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Übersicht" sheetId="1" r:id="rId1"/>
    <sheet name="Vorgaben" sheetId="2" r:id="rId2"/>
    <sheet name="Objekte" sheetId="3" r:id="rId3"/>
    <sheet name="Mietverträge" sheetId="4" r:id="rId4"/>
    <sheet name="Darlehen" sheetId="5" r:id="rId5"/>
    <sheet name="Tilgungsplan" sheetId="6" r:id="rId6"/>
    <sheet name="Zahlungen" sheetId="7" r:id="rId7"/>
    <sheet name="Objekte im Detail" sheetId="8" r:id="rId8"/>
    <sheet name="Prognose" sheetId="9" r:id="rId9"/>
    <sheet name="Dashboard" sheetId="10" r:id="rId10"/>
    <sheet name="Kern" sheetId="11" state="hidden" r:id="rId11"/>
    <sheet name="Tilgung" sheetId="12" state="hidden" r:id="rId12"/>
  </sheets>
  <definedNames>
    <definedName name="PortfolioName">Vorgaben!$C$7</definedName>
    <definedName name="Jahr">Vorgaben!$C$8</definedName>
    <definedName name="StichtagEingabe">Vorgaben!$C$9</definedName>
    <definedName name="Stichtag">Vorgaben!$C$10</definedName>
    <definedName name="SteuersatzBasis">Vorgaben!$C$15</definedName>
    <definedName name="Kirchensteuer">Vorgaben!$C$16</definedName>
    <definedName name="Soli">Vorgaben!$C$17</definedName>
    <definedName name="SteuersatzEff">Vorgaben!$C$18</definedName>
    <definedName name="Szenario">Vorgaben!$C$22</definedName>
    <definedName name="Mietsteigerung">Vorgaben!$C$37</definedName>
    <definedName name="Wertsteigerung">Vorgaben!$C$38</definedName>
    <definedName name="Inflation">Vorgaben!$C$39</definedName>
    <definedName name="Leerstand">Vorgaben!$C$40</definedName>
    <definedName name="InstandProzent">Vorgaben!$C$41</definedName>
    <definedName name="Anschlusszins">Vorgaben!$C$42</definedName>
    <definedName name="PrognoseJahre">Vorgaben!$C$33</definedName>
    <definedName name="VerkaufNach">Vorgaben!$C$46</definedName>
    <definedName name="Verkaufskosten">Vorgaben!$C$47</definedName>
    <definedName name="VorgabeGrESt">Vorgaben!$C$51</definedName>
    <definedName name="VorgabeNotar">Vorgaben!$C$52</definedName>
    <definedName name="VorgabeMakler">Vorgaben!$C$53</definedName>
    <definedName name="Objekttypen">Kern!$B$4:$B$8</definedName>
    <definedName name="Darlehensarten">Kern!$C$4:$C$6</definedName>
    <definedName name="JaNein">Kern!$D$4:$D$5</definedName>
    <definedName name="Anpassungsarten">Kern!$E$4:$E$6</definedName>
    <definedName name="Kirchensaetze">Kern!$F$4:$F$6</definedName>
    <definedName name="Szenarien">Kern!$H$4:$H$6</definedName>
    <definedName name="SzenMiete">Kern!$I$4:$I$6</definedName>
    <definedName name="SzenWert">Kern!$J$4:$J$6</definedName>
    <definedName name="SzenLeer">Kern!$K$4:$K$6</definedName>
    <definedName name="SzenAnschluss">Kern!$L$4:$L$6</definedName>
    <definedName name="SzenInstand">Kern!$M$4:$M$6</definedName>
    <definedName name="Bundeslaender">Kern!$O$4:$O$19</definedName>
    <definedName name="GrEStSatz">Kern!$P$4:$P$19</definedName>
    <definedName name="Zahlungsarten">Kern!$R$4:$R$13</definedName>
    <definedName name="Monatsnamen">Kern!$V$4:$V$15</definedName>
    <definedName name="ObjNr">Objekte!$B$8:$B$17</definedName>
    <definedName name="ObjBezeichnung">Objekte!$C$8:$C$17</definedName>
    <definedName name="ObjTyp">Objekte!$D$8:$D$17</definedName>
    <definedName name="ObjKaufdatum">Objekte!$H$8:$H$17</definedName>
    <definedName name="ObjKaufpreis">Objekte!$I$8:$I$17</definedName>
    <definedName name="ObjHausgeld">Objekte!$R$8:$R$17</definedName>
    <definedName name="ObjUmlage">Objekte!$S$8:$S$17</definedName>
    <definedName name="ObjVerwaltung">Objekte!$T$8:$T$17</definedName>
    <definedName name="ObjInstand">Objekte!$U$8:$U$17</definedName>
    <definedName name="ObjSonstige">Objekte!$V$8:$V$17</definedName>
    <definedName name="ObjWert">Objekte!$W$8:$W$17</definedName>
    <definedName name="ObjInvest">Objekte!$AA$8:$AA$17</definedName>
    <definedName name="ObjNkSumme">Objekte!$Z$8:$Z$17</definedName>
    <definedName name="ObjAfaJahr">Objekte!$AD$8:$AD$17</definedName>
    <definedName name="ObjAfaDauer">Objekte!$AE$8:$AE$17</definedName>
    <definedName name="ObjBewirt">Objekte!$AF$8:$AF$17</definedName>
    <definedName name="ObjSteuersatz">Objekte!$AG$8:$AG$17</definedName>
    <definedName name="ObjFlaeche">Objekte!$AH$8:$AH$17</definedName>
    <definedName name="ObjKaufJahr">Objekte!$AI$8:$AI$17</definedName>
    <definedName name="ObjKaufMonat">Objekte!$AJ$8:$AJ$17</definedName>
    <definedName name="ObjBelegt">Objekte!$AK$8:$AK$17</definedName>
    <definedName name="ObjLaufend">Objekte!$AL$8:$AL$17</definedName>
    <definedName name="ObjInstandBasis">Objekte!$AM$8:$AM$17</definedName>
    <definedName name="ObjWertEff">Objekte!$AN$8:$AN$17</definedName>
    <definedName name="EhNr">Objekte!$B$22:$B$51</definedName>
    <definedName name="EhFlaeche">Objekte!$E$22:$E$51</definedName>
    <definedName name="EhObj">Objekte!$AP$22:$AP$51</definedName>
    <definedName name="EhVermietet">Objekte!$AQ$22:$AQ$51</definedName>
    <definedName name="EhAnzeige">Objekte!$AR$22:$AR$51</definedName>
    <definedName name="MvEinheitName">Mietverträge!$C$8:$C$37</definedName>
    <definedName name="MvBeginn">Mietverträge!$E$8:$E$37</definedName>
    <definedName name="MvEinheitNr">Mietverträge!$T$8:$T$37</definedName>
    <definedName name="MvObj">Mietverträge!$U$8:$U$37</definedName>
    <definedName name="MvEnde">Mietverträge!$V$8:$V$37</definedName>
    <definedName name="MvSatz">Mietverträge!$W$8:$W$37</definedName>
    <definedName name="MvAktiv">Mietverträge!$X$8:$X$37</definedName>
    <definedName name="MvKalt">Mietverträge!$Y$8:$Y$37</definedName>
    <definedName name="MvNk">Mietverträge!$Z$8:$Z$37</definedName>
    <definedName name="DarlNr">Darlehen!$B$8:$B$27</definedName>
    <definedName name="DarlBank">Darlehen!$D$8:$D$27</definedName>
    <definedName name="DarlBetrag">Darlehen!$F$8:$F$27</definedName>
    <definedName name="DarlAuszahlung">Darlehen!$G$8:$G$27</definedName>
    <definedName name="DarlSollzins">Darlehen!$H$8:$H$27</definedName>
    <definedName name="DarlTilgung">Darlehen!$I$8:$I$27</definedName>
    <definedName name="DarlBindung">Darlehen!$J$8:$J$27</definedName>
    <definedName name="DarlSonderrecht">Darlehen!$P$8:$P$27</definedName>
    <definedName name="DarlObj">Darlehen!$R$8:$R$27</definedName>
    <definedName name="DarlOhneTilgung">Darlehen!$S$8:$S$27</definedName>
    <definedName name="DarlAnschluss">Darlehen!$T$8:$T$27</definedName>
    <definedName name="DarlTilgStart">Darlehen!$U$8:$U$27</definedName>
    <definedName name="DarlErsatzRate">Darlehen!$V$8:$V$27</definedName>
    <definedName name="DarlErsatzZins">Darlehen!$W$8:$W$27</definedName>
    <definedName name="DarlRate1">Darlehen!$X$8:$X$27</definedName>
    <definedName name="DarlAnzeige">Darlehen!$Y$8:$Y$27</definedName>
    <definedName name="DarlBelegt">Darlehen!$Z$8:$Z$27</definedName>
    <definedName name="DarlReichweite">Darlehen!$AA$8:$AA$27</definedName>
    <definedName name="SondDarl">Darlehen!$G$32:$G$71</definedName>
    <definedName name="SondDatum">Darlehen!$D$32:$D$71</definedName>
    <definedName name="SondBetrag">Darlehen!$E$32:$E$71</definedName>
    <definedName name="SondJahr">Darlehen!$H$32:$H$71</definedName>
    <definedName name="TilgDarl">Tilgung!$B$4:$B$9603</definedName>
    <definedName name="TilgObj">Tilgung!$C$4:$C$9603</definedName>
    <definedName name="TilgDatum">Tilgung!$E$4:$E$9603</definedName>
    <definedName name="TilgJahr">Tilgung!$F$4:$F$9603</definedName>
    <definedName name="TilgZins">Tilgung!$L$4:$L$9603</definedName>
    <definedName name="TilgTilgung">Tilgung!$M$4:$M$9603</definedName>
    <definedName name="TilgSonder">Tilgung!$N$4:$N$9603</definedName>
    <definedName name="TilgErsatz">Tilgung!$O$4:$O$9603</definedName>
    <definedName name="TilgErtrag">Tilgung!$P$4:$P$9603</definedName>
    <definedName name="TilgAktiv">Tilgung!$I$4:$I$9603</definedName>
    <definedName name="MlVertrag">Kern!$B$24:$B$953</definedName>
    <definedName name="MlJahr">Kern!$C$24:$C$953</definedName>
    <definedName name="MlObj">Kern!$D$24:$D$953</definedName>
    <definedName name="MlSumme">Kern!$Q$24:$Q$953</definedName>
    <definedName name="NkObj">Kern!$C$958:$C$987</definedName>
    <definedName name="OjObj">Kern!$B$992:$B$1301</definedName>
    <definedName name="OjJahr">Kern!$C$992:$C$1301</definedName>
    <definedName name="OjAfa">Kern!$P$992:$P$1301</definedName>
    <definedName name="ZahlObj">Zahlungen!$B$15:$B$114</definedName>
    <definedName name="ZahlArt">Zahlungen!$C$15:$C$114</definedName>
    <definedName name="ZahlSumme">Zahlungen!$Q$15:$Q$114</definedName>
    <definedName name="MvAb1">Mietverträge!$J$8:$J$37</definedName>
    <definedName name="MvKalt1">Mietverträge!$K$8:$K$37</definedName>
    <definedName name="MvNkV1">Mietverträge!$L$8:$L$37</definedName>
    <definedName name="MvKey1">Mietverträge!$AA$8:$AA$37</definedName>
    <definedName name="MvAb2">Mietverträge!$M$8:$M$37</definedName>
    <definedName name="MvKalt2">Mietverträge!$N$8:$N$37</definedName>
    <definedName name="MvNkV2">Mietverträge!$O$8:$O$37</definedName>
    <definedName name="MvKey2">Mietverträge!$AB$8:$AB$37</definedName>
    <definedName name="MvAb3">Mietverträge!$P$8:$P$37</definedName>
    <definedName name="MvKalt3">Mietverträge!$Q$8:$Q$37</definedName>
    <definedName name="MvNkV3">Mietverträge!$R$8:$R$37</definedName>
    <definedName name="MvKey3">Mietverträge!$AC$8:$AC$37</definedName>
    <definedName name="MlM1">Kern!$E$24:$E$953</definedName>
    <definedName name="NkM1">Kern!$E$958:$E$987</definedName>
    <definedName name="MlM2">Kern!$F$24:$F$953</definedName>
    <definedName name="NkM2">Kern!$F$958:$F$987</definedName>
    <definedName name="MlM3">Kern!$G$24:$G$953</definedName>
    <definedName name="NkM3">Kern!$G$958:$G$987</definedName>
    <definedName name="MlM4">Kern!$H$24:$H$953</definedName>
    <definedName name="NkM4">Kern!$H$958:$H$987</definedName>
    <definedName name="MlM5">Kern!$I$24:$I$953</definedName>
    <definedName name="NkM5">Kern!$I$958:$I$987</definedName>
    <definedName name="MlM6">Kern!$J$24:$J$953</definedName>
    <definedName name="NkM6">Kern!$J$958:$J$987</definedName>
    <definedName name="MlM7">Kern!$K$24:$K$953</definedName>
    <definedName name="NkM7">Kern!$K$958:$K$987</definedName>
    <definedName name="MlM8">Kern!$L$24:$L$953</definedName>
    <definedName name="NkM8">Kern!$L$958:$L$987</definedName>
    <definedName name="MlM9">Kern!$M$24:$M$953</definedName>
    <definedName name="NkM9">Kern!$M$958:$M$987</definedName>
    <definedName name="MlM10">Kern!$N$24:$N$953</definedName>
    <definedName name="NkM10">Kern!$N$958:$N$987</definedName>
    <definedName name="MlM11">Kern!$O$24:$O$953</definedName>
    <definedName name="NkM11">Kern!$O$958:$O$987</definedName>
    <definedName name="MlM12">Kern!$P$24:$P$953</definedName>
    <definedName name="NkM12">Kern!$P$958:$P$987</definedName>
    <definedName name="IstObj">Kern!$B$1306:$B$1315</definedName>
    <definedName name="IstInvest">Kern!$C$1306:$C$1315</definedName>
    <definedName name="IstNkSumme">Kern!$D$1306:$D$1315</definedName>
    <definedName name="IstWert">Kern!$E$1306:$E$1315</definedName>
    <definedName name="IstFlaeche">Kern!$F$1306:$F$1315</definedName>
    <definedName name="IstMieteMonat">Kern!$G$1306:$G$1315</definedName>
    <definedName name="IstRunrate">Kern!$H$1306:$H$1315</definedName>
    <definedName name="IstNkMonat">Kern!$I$1306:$I$1315</definedName>
    <definedName name="IstEinheiten">Kern!$J$1306:$J$1315</definedName>
    <definedName name="IstVermietet">Kern!$K$1306:$K$1315</definedName>
    <definedName name="IstLeerstand">Kern!$L$1306:$L$1315</definedName>
    <definedName name="IstBewirtVoll">Kern!$M$1306:$M$1315</definedName>
    <definedName name="IstDarlehen">Kern!$N$1306:$N$1315</definedName>
    <definedName name="IstRest">Kern!$O$1306:$O$1315</definedName>
    <definedName name="IstZins12">Kern!$P$1306:$P$1315</definedName>
    <definedName name="IstTilgung12">Kern!$Q$1306:$Q$1315</definedName>
    <definedName name="IstSonder12">Kern!$R$1306:$R$1315</definedName>
    <definedName name="IstErsatz12">Kern!$S$1306:$S$1315</definedName>
    <definedName name="IstKapital12">Kern!$T$1306:$T$1315</definedName>
    <definedName name="IstRateMonat">Kern!$U$1306:$U$1315</definedName>
    <definedName name="IstIstMiete">Kern!$V$1306:$V$1315</definedName>
    <definedName name="IstIstNk">Kern!$W$1306:$W$1315</definedName>
    <definedName name="IstIstHausgeld">Kern!$X$1306:$X$1315</definedName>
    <definedName name="IstIstVerwaltung">Kern!$Y$1306:$Y$1315</definedName>
    <definedName name="IstIstInstand">Kern!$Z$1306:$Z$1315</definedName>
    <definedName name="IstIstSonstige">Kern!$AA$1306:$AA$1315</definedName>
    <definedName name="IstIstBewirt">Kern!$AB$1306:$AB$1315</definedName>
    <definedName name="IstIstZins">Kern!$AC$1306:$AC$1315</definedName>
    <definedName name="IstIstTilgung">Kern!$AD$1306:$AD$1315</definedName>
    <definedName name="IstIstSonder">Kern!$AE$1306:$AE$1315</definedName>
    <definedName name="IstIstErsatz">Kern!$AF$1306:$AF$1315</definedName>
    <definedName name="IstIstKapital">Kern!$AG$1306:$AG$1315</definedName>
    <definedName name="IstAfaJahr">Kern!$AH$1306:$AH$1315</definedName>
    <definedName name="IstAfaVoll">Kern!$AI$1306:$AI$1315</definedName>
    <definedName name="IstWerbung">Kern!$AJ$1306:$AJ$1315</definedName>
    <definedName name="IstEinkuenfte">Kern!$AK$1306:$AK$1315</definedName>
    <definedName name="IstSteuersatz">Kern!$AL$1306:$AL$1315</definedName>
    <definedName name="IstSteuer">Kern!$AM$1306:$AM$1315</definedName>
    <definedName name="IstCfVor">Kern!$AN$1306:$AN$1315</definedName>
    <definedName name="IstCfNach">Kern!$AO$1306:$AO$1315</definedName>
    <definedName name="IstCfRunrate">Kern!$AP$1306:$AP$1315</definedName>
    <definedName name="IstEinkRunrate">Kern!$AQ$1306:$AQ$1315</definedName>
    <definedName name="IstSteuerRunrate">Kern!$AR$1306:$AR$1315</definedName>
    <definedName name="IstCfRunrateNach">Kern!$AS$1306:$AS$1315</definedName>
    <definedName name="IstEkEingesetzt">Kern!$AT$1306:$AT$1315</definedName>
    <definedName name="IstEk">Kern!$AU$1306:$AU$1315</definedName>
    <definedName name="IstGetilgt">Kern!$AV$1306:$AV$1315</definedName>
    <definedName name="IstErsatzEin">Kern!$AW$1306:$AW$1315</definedName>
    <definedName name="IstErsatzGut">Kern!$AX$1306:$AX$1315</definedName>
    <definedName name="OjT">Kern!$D$992:$D$1301</definedName>
    <definedName name="OjAnteil">Kern!$E$992:$E$1301</definedName>
    <definedName name="OjMiete">Kern!$F$992:$F$1301</definedName>
    <definedName name="OjBewirt">Kern!$G$992:$G$1301</definedName>
    <definedName name="OjInstand">Kern!$H$992:$H$1301</definedName>
    <definedName name="OjZins">Kern!$I$992:$I$1301</definedName>
    <definedName name="OjTilgung">Kern!$J$992:$J$1301</definedName>
    <definedName name="OjSonder">Kern!$K$992:$K$1301</definedName>
    <definedName name="OjErsatz">Kern!$L$992:$L$1301</definedName>
    <definedName name="OjRest">Kern!$M$992:$M$1301</definedName>
    <definedName name="OjGuthaben">Kern!$N$992:$N$1301</definedName>
    <definedName name="OjWert">Kern!$O$992:$O$1301</definedName>
    <definedName name="OjEinkuenfte">Kern!$Q$992:$Q$1301</definedName>
    <definedName name="OjSteuer">Kern!$R$992:$R$1301</definedName>
    <definedName name="OjKapitaldienst">Kern!$S$992:$S$1301</definedName>
    <definedName name="OjCfVor">Kern!$T$992:$T$1301</definedName>
    <definedName name="OjCfNach">Kern!$U$992:$U$1301</definedName>
    <definedName name="OjEk">Kern!$V$992:$V$1301</definedName>
    <definedName name="OjAufbau">Kern!$W$992:$W$1301</definedName>
    <definedName name="OjLtv">Kern!$X$992:$X$1301</definedName>
    <definedName name="VkObj">Kern!$B$1320:$B$1329</definedName>
    <definedName name="VkBrutto">Kern!$C$1320:$C$1329</definedName>
    <definedName name="VkKosten">Kern!$D$1320:$D$1329</definedName>
    <definedName name="VkNetto">Kern!$E$1320:$E$1329</definedName>
    <definedName name="VkKumAfa">Kern!$F$1320:$F$1329</definedName>
    <definedName name="VkBuchwert">Kern!$G$1320:$G$1329</definedName>
    <definedName name="VkGewinn">Kern!$H$1320:$H$1329</definedName>
    <definedName name="VkSteuer">Kern!$I$1320:$I$1329</definedName>
    <definedName name="VkRest">Kern!$J$1320:$J$1329</definedName>
  </definedNames>
  <calcPr calcId="0" fullCalcOnLoad="1"/>
</workbook>
</file>

<file path=xl/styles.xml><?xml version="1.0" encoding="utf-8"?>
<styleSheet xmlns="http://schemas.openxmlformats.org/spreadsheetml/2006/main">
  <numFmts count="10">
    <numFmt numFmtId="164" formatCode="0;-0;&quot;–&quot;"/>
    <numFmt numFmtId="165" formatCode="DD.MM.YYYY"/>
    <numFmt numFmtId="166" formatCode="0.00 &quot;%&quot;;-0.00 &quot;%&quot;;&quot;–&quot;"/>
    <numFmt numFmtId="167" formatCode="0.0;-0.0;&quot;–&quot;"/>
    <numFmt numFmtId="168" formatCode="#,##0 &quot;€&quot;;-#,##0 &quot;€&quot;;&quot;–&quot;"/>
    <numFmt numFmtId="169" formatCode="#,##0.00 &quot;€&quot;;-#,##0.00 &quot;€&quot;;&quot;–&quot;"/>
    <numFmt numFmtId="170" formatCode="0.0 &quot;%&quot;;-0.0 &quot;%&quot;;&quot;–&quot;"/>
    <numFmt numFmtId="171" formatCode="0.00;-0.00;&quot;–&quot;"/>
    <numFmt numFmtId="172" formatCode="MM.YYYY"/>
    <numFmt numFmtId="173" formatCode="0.000000"/>
  </numFmts>
  <fonts count="14">
    <font>
      <sz val="10"/>
      <name val="Calibri"/>
    </font>
    <font>
      <sz val="8"/>
      <b/>
      <color rgb="FFC9A227"/>
      <name val="Calibri"/>
    </font>
    <font>
      <sz val="18"/>
      <b/>
      <color rgb="FF14213D"/>
      <name val="Calibri"/>
    </font>
    <font>
      <sz val="10"/>
      <color rgb="FF5B6779"/>
      <name val="Calibri"/>
    </font>
    <font>
      <sz val="12"/>
      <b/>
      <color rgb="FF14213D"/>
      <name val="Calibri"/>
    </font>
    <font>
      <sz val="11"/>
      <b/>
      <color rgb="FFC9A227"/>
      <name val="Calibri"/>
    </font>
    <font>
      <sz val="10"/>
      <b/>
      <name val="Calibri"/>
    </font>
    <font>
      <sz val="9"/>
      <color rgb="FF5B6779"/>
      <name val="Calibri"/>
    </font>
    <font>
      <sz val="10"/>
      <b/>
      <color rgb="FFC9A227"/>
      <name val="Calibri"/>
    </font>
    <font>
      <sz val="8"/>
      <color rgb="FF8794A7"/>
      <name val="Calibri"/>
    </font>
    <font>
      <sz val="9"/>
      <color rgb="FF14213D"/>
      <name val="Calibri"/>
    </font>
    <font>
      <sz val="9"/>
      <b/>
      <color rgb="FFFFFFFF"/>
      <name val="Calibri"/>
    </font>
    <font>
      <sz val="10"/>
      <b/>
      <color rgb="FF14213D"/>
      <name val="Calibri"/>
    </font>
    <font>
      <sz val="13"/>
      <b/>
      <color rgb="FF14213D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4F8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14213D"/>
        <bgColor indexed="64"/>
      </patternFill>
    </fill>
    <fill>
      <patternFill patternType="solid">
        <fgColor rgb="FFD8DCE4"/>
        <bgColor indexed="64"/>
      </patternFill>
    </fill>
  </fills>
  <borders count="2">
    <border>
      <left/>
      <right/>
      <top/>
      <bottom/>
      <diagonal/>
    </border>
    <border>
      <left style="thin">
        <color rgb="FF9DB2D9"/>
      </left>
      <right style="thin">
        <color rgb="FF9DB2D9"/>
      </right>
      <top style="thin">
        <color rgb="FF9DB2D9"/>
      </top>
      <bottom style="thin">
        <color rgb="FF9DB2D9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applyFont="1" xfId="0"/>
    <xf numFmtId="0" fontId="2" fillId="0" borderId="0" applyFont="1" xfId="0"/>
    <xf numFmtId="0" fontId="3" fillId="0" borderId="0" applyFont="1" xfId="0"/>
    <xf numFmtId="0" fontId="4" fillId="0" borderId="0" applyFont="1" xfId="0"/>
    <xf numFmtId="0" fontId="5" fillId="0" borderId="0" applyFont="1" applyAlignment="1" xfId="0">
      <alignment horizontal="right"/>
    </xf>
    <xf numFmtId="0" fontId="6" fillId="0" borderId="0" applyFont="1" xfId="0"/>
    <xf numFmtId="0" fontId="7" fillId="0" borderId="0" applyFont="1" applyAlignment="1" xfId="0">
      <alignment vertical="top" wrapText="1"/>
    </xf>
    <xf numFmtId="0" fontId="8" fillId="0" borderId="0" applyFont="1" applyAlignment="1" xfId="0">
      <alignment horizontal="right"/>
    </xf>
    <xf numFmtId="0" fontId="0" fillId="2" borderId="1" applyFill="1" applyBorder="1" xfId="0"/>
    <xf numFmtId="0" fontId="0" fillId="3" borderId="0" applyFill="1" xfId="0"/>
    <xf numFmtId="0" fontId="0" fillId="4" borderId="0" applyFill="1" xfId="0"/>
    <xf numFmtId="0" fontId="0" fillId="5" borderId="0" applyFill="1" xfId="0"/>
    <xf numFmtId="0" fontId="9" fillId="0" borderId="0" applyFont="1" xfId="0"/>
    <xf numFmtId="0" fontId="0" fillId="0" borderId="0" applyAlignment="1" xfId="0">
      <alignment horizontal="left"/>
    </xf>
    <xf numFmtId="0" fontId="0" fillId="2" borderId="1" applyFill="1" applyBorder="1" applyAlignment="1" xfId="0">
      <alignment horizontal="left"/>
    </xf>
    <xf numFmtId="0" fontId="7" fillId="0" borderId="0" applyFont="1" xfId="0"/>
    <xf numFmtId="164" fontId="0" fillId="2" borderId="1" applyNumberFormat="1" applyFill="1" applyBorder="1" applyAlignment="1" xfId="0">
      <alignment horizontal="right"/>
    </xf>
    <xf numFmtId="165" fontId="0" fillId="2" borderId="1" applyNumberFormat="1" applyFill="1" applyBorder="1" applyAlignment="1" xfId="0">
      <alignment horizontal="right"/>
    </xf>
    <xf numFmtId="165" fontId="0" fillId="3" borderId="0" applyNumberFormat="1" applyFill="1" applyAlignment="1" xfId="0">
      <alignment horizontal="right"/>
    </xf>
    <xf numFmtId="0" fontId="10" fillId="0" borderId="0" applyFont="1" applyAlignment="1" xfId="0">
      <alignment horizontal="center"/>
    </xf>
    <xf numFmtId="0" fontId="10" fillId="0" borderId="0" applyFont="1" xfId="0"/>
    <xf numFmtId="166" fontId="0" fillId="2" borderId="1" applyNumberFormat="1" applyFill="1" applyBorder="1" applyAlignment="1" xfId="0">
      <alignment horizontal="right"/>
    </xf>
    <xf numFmtId="166" fontId="0" fillId="3" borderId="0" applyNumberFormat="1" applyFill="1" applyAlignment="1" xfId="0">
      <alignment horizontal="right"/>
    </xf>
    <xf numFmtId="0" fontId="11" fillId="6" borderId="0" applyFont="1" applyFill="1" applyAlignment="1" xfId="0">
      <alignment horizontal="center" vertical="center" wrapText="1"/>
    </xf>
    <xf numFmtId="0" fontId="11" fillId="6" borderId="0" applyFont="1" applyFill="1" applyAlignment="1" xfId="0">
      <alignment horizontal="left" vertical="center" wrapText="1"/>
    </xf>
    <xf numFmtId="164" fontId="3" fillId="3" borderId="0" applyNumberFormat="1" applyFont="1" applyFill="1" applyAlignment="1" xfId="0">
      <alignment horizontal="right"/>
    </xf>
    <xf numFmtId="167" fontId="0" fillId="2" borderId="1" applyNumberFormat="1" applyFill="1" applyBorder="1" applyAlignment="1" xfId="0">
      <alignment horizontal="right"/>
    </xf>
    <xf numFmtId="168" fontId="0" fillId="2" borderId="1" applyNumberFormat="1" applyFill="1" applyBorder="1" applyAlignment="1" xfId="0">
      <alignment horizontal="right"/>
    </xf>
    <xf numFmtId="164" fontId="3" fillId="0" borderId="0" applyNumberFormat="1" applyFont="1" applyAlignment="1" xfId="0">
      <alignment horizontal="right"/>
    </xf>
    <xf numFmtId="168" fontId="0" fillId="0" borderId="0" applyNumberFormat="1" applyAlignment="1" xfId="0">
      <alignment horizontal="right"/>
    </xf>
    <xf numFmtId="166" fontId="0" fillId="0" borderId="0" applyNumberFormat="1" applyAlignment="1" xfId="0">
      <alignment horizontal="right"/>
    </xf>
    <xf numFmtId="167" fontId="0" fillId="0" borderId="0" applyNumberFormat="1" applyAlignment="1" xfId="0">
      <alignment horizontal="right"/>
    </xf>
    <xf numFmtId="169" fontId="0" fillId="0" borderId="0" applyNumberFormat="1" applyAlignment="1" xfId="0">
      <alignment horizontal="right"/>
    </xf>
    <xf numFmtId="170" fontId="0" fillId="0" borderId="0" applyNumberFormat="1" applyAlignment="1" xfId="0">
      <alignment horizontal="right"/>
    </xf>
    <xf numFmtId="171" fontId="0" fillId="0" borderId="0" applyNumberFormat="1" applyAlignment="1" xfId="0">
      <alignment horizontal="right"/>
    </xf>
    <xf numFmtId="164" fontId="0" fillId="0" borderId="0" applyNumberFormat="1" applyAlignment="1" xfId="0">
      <alignment horizontal="right"/>
    </xf>
    <xf numFmtId="0" fontId="0" fillId="0" borderId="0" applyAlignment="1" xfId="0">
      <alignment horizontal="right"/>
    </xf>
    <xf numFmtId="168" fontId="12" fillId="0" borderId="0" applyNumberFormat="1" applyFont="1" applyAlignment="1" xfId="0">
      <alignment horizontal="right"/>
    </xf>
    <xf numFmtId="166" fontId="12" fillId="0" borderId="0" applyNumberFormat="1" applyFont="1" applyAlignment="1" xfId="0">
      <alignment horizontal="right"/>
    </xf>
    <xf numFmtId="164" fontId="12" fillId="0" borderId="0" applyNumberFormat="1" applyFont="1" applyAlignment="1" xfId="0">
      <alignment horizontal="right"/>
    </xf>
    <xf numFmtId="172" fontId="0" fillId="0" borderId="0" applyNumberFormat="1" applyAlignment="1" xfId="0">
      <alignment horizontal="right"/>
    </xf>
    <xf numFmtId="168" fontId="6" fillId="0" borderId="0" applyNumberFormat="1" applyFont="1" applyAlignment="1" xfId="0">
      <alignment horizontal="right"/>
    </xf>
    <xf numFmtId="173" fontId="0" fillId="0" borderId="0" applyNumberFormat="1" xfId="0"/>
    <xf numFmtId="0" fontId="13" fillId="0" borderId="0" applyFont="1" xfId="0"/>
    <xf numFmtId="0" fontId="0" fillId="7" borderId="0" applyFill="1" xfId="0"/>
    <xf numFmtId="164" fontId="6" fillId="0" borderId="0" applyNumberFormat="1" applyFont="1" applyAlignment="1" xfId="0">
      <alignment horizontal="right"/>
    </xf>
    <xf numFmtId="167" fontId="12" fillId="0" borderId="0" applyNumberFormat="1" applyFont="1" applyAlignment="1" xfId="0">
      <alignment horizontal="right"/>
    </xf>
    <xf numFmtId="170" fontId="12" fillId="0" borderId="0" applyNumberFormat="1" applyFont="1" applyAlignment="1" xfId="0">
      <alignment horizontal="right"/>
    </xf>
    <xf numFmtId="171" fontId="12" fillId="0" borderId="0" applyNumberFormat="1" applyFont="1" applyAlignment="1" xfId="0">
      <alignment horizontal="right"/>
    </xf>
    <xf numFmtId="0" fontId="7" fillId="3" borderId="0" applyFont="1" applyFill="1" xfId="0"/>
    <xf numFmtId="172" fontId="0" fillId="0" borderId="0" applyNumberFormat="1" xfId="0"/>
  </cellXfs>
  <cellStyles count="1">
    <cellStyle name="Standard" xfId="0" builtinId="0"/>
  </cellStyles>
  <dxfs count="4">
    <dxf>
      <font>
        <color rgb="FFB91C1C"/>
      </font>
      <fill>
        <patternFill>
          <bgColor rgb="FFFDECEC"/>
        </patternFill>
      </fill>
    </dxf>
    <dxf>
      <font>
        <color rgb="FFB91C1C"/>
      </font>
    </dxf>
    <dxf>
      <font>
        <i/>
        <color rgb="FF8794A7"/>
      </font>
    </dxf>
    <dxf>
      <fill>
        <patternFill>
          <bgColor rgb="FFFFF6D9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C9A227"/>
  </sheetPr>
  <sheetViews>
    <sheetView showGridLines="0" workbookViewId="0"/>
  </sheetViews>
  <sheetFormatPr defaultRowHeight="15"/>
  <cols>
    <col min="1" max="1" width="2" customWidth="1"/>
    <col min="2" max="2" width="4" customWidth="1"/>
    <col min="3" max="3" width="32" customWidth="1"/>
    <col min="4" max="4" width="2" customWidth="1"/>
    <col min="5" max="5" width="86" customWidth="1"/>
  </cols>
  <sheetData>
    <row r="2">
      <c r="A2"/>
      <c r="B2"/>
      <c r="C2" s="1" t="inlineStr">
        <is>
          <t xml:space="preserve">ZAHLENKOMPASS</t>
        </is>
      </c>
    </row>
    <row r="3">
      <c r="A3"/>
      <c r="B3"/>
      <c r="C3" s="2" t="inlineStr">
        <is>
          <t xml:space="preserve">ImmoPortfolio</t>
        </is>
      </c>
    </row>
    <row r="4">
      <c r="A4"/>
      <c r="B4"/>
      <c r="C4" s="3">
        <f>"Immobilien-Portfolio "&amp;Jahr&amp;" · Tabellenfassung für Excel und Google Sheets"</f>
      </c>
    </row>
    <row r="6">
      <c r="A6"/>
      <c r="B6"/>
      <c r="C6" s="4" t="inlineStr">
        <is>
          <t xml:space="preserve">So richtest du die Mappe ein</t>
        </is>
      </c>
    </row>
    <row r="7">
      <c r="A7"/>
      <c r="B7" s="5">
        <v>1</v>
      </c>
      <c r="C7" s="6" t="inlineStr">
        <is>
          <t xml:space="preserve">Vorgaben ausfüllen</t>
        </is>
      </c>
      <c r="D7"/>
      <c r="E7" s="7" t="inlineStr">
        <is>
          <t xml:space="preserve">Name, Jahr, Steuersatz und die Annahmen für die Prognose. Der Stichtag darf leer bleiben – dann rechnet die Mappe mit dem heutigen Tag.</t>
        </is>
      </c>
    </row>
    <row r="8">
      <c r="A8"/>
      <c r="B8" s="5">
        <v>2</v>
      </c>
      <c r="C8" s="6" t="inlineStr">
        <is>
          <t xml:space="preserve">Objekte eintragen</t>
        </is>
      </c>
      <c r="D8"/>
      <c r="E8" s="7" t="inlineStr">
        <is>
          <t xml:space="preserve">Blatt Objekte, Block A. Kaufpreis, Kaufdatum und Fläche genügen für den Anfang. Die Grunderwerbsteuer kommt aus dem Bundesland, wenn du keinen eigenen Prozentsatz einträgst.</t>
        </is>
      </c>
    </row>
    <row r="9">
      <c r="A9"/>
      <c r="B9" s="5">
        <v>3</v>
      </c>
      <c r="C9" s="6" t="inlineStr">
        <is>
          <t xml:space="preserve">Einheiten anlegen</t>
        </is>
      </c>
      <c r="D9"/>
      <c r="E9" s="7" t="inlineStr">
        <is>
          <t xml:space="preserve">Blatt Objekte, Block B. Auch ein Objekt mit nur einer Wohnung braucht eine Zeile – die Mietverträge hängen daran.</t>
        </is>
      </c>
    </row>
    <row r="10">
      <c r="A10"/>
      <c r="B10" s="5">
        <v>4</v>
      </c>
      <c r="C10" s="6" t="inlineStr">
        <is>
          <t xml:space="preserve">Mietverträge erfassen</t>
        </is>
      </c>
      <c r="D10"/>
      <c r="E10" s="7" t="inlineStr">
        <is>
          <t xml:space="preserve">Bis zu drei Konditionen je Vertrag. Eine Staffel ist einfach eine weitere Kondition mit späterem "gilt ab".</t>
        </is>
      </c>
    </row>
    <row r="11">
      <c r="A11"/>
      <c r="B11" s="5">
        <v>5</v>
      </c>
      <c r="C11" s="6" t="inlineStr">
        <is>
          <t xml:space="preserve">Darlehen erfassen</t>
        </is>
      </c>
      <c r="D11"/>
      <c r="E11" s="7" t="inlineStr">
        <is>
          <t xml:space="preserve">Betrag, Auszahlung, Sollzins und Anfangstilgung reichen. Sondertilgungen stehen im Block darunter.</t>
        </is>
      </c>
    </row>
    <row r="12">
      <c r="A12"/>
      <c r="B12" s="5">
        <v>6</v>
      </c>
      <c r="C12" s="6" t="inlineStr">
        <is>
          <t xml:space="preserve">Ablesen</t>
        </is>
      </c>
      <c r="D12"/>
      <c r="E12" s="7" t="inlineStr">
        <is>
          <t xml:space="preserve">Dashboard für das Ganze, Objekte im Detail für einzelne Immobilien, Prognose für die Zukunft.</t>
        </is>
      </c>
    </row>
    <row r="14">
      <c r="A14"/>
      <c r="B14"/>
      <c r="C14" s="4" t="inlineStr">
        <is>
          <t xml:space="preserve">Die Blätter</t>
        </is>
      </c>
    </row>
    <row r="15">
      <c r="A15"/>
      <c r="B15" s="8" t="inlineStr">
        <is>
          <t xml:space="preserve">·</t>
        </is>
      </c>
      <c r="C15" t="inlineStr">
        <is>
          <t xml:space="preserve">Vorgaben</t>
        </is>
      </c>
      <c r="D15"/>
      <c r="E15" s="7" t="inlineStr">
        <is>
          <t xml:space="preserve">Alles, was für die ganze Mappe gilt: Steuern, Annahmen, Szenario, Verkauf.</t>
        </is>
      </c>
    </row>
    <row r="16">
      <c r="A16"/>
      <c r="B16" s="8" t="inlineStr">
        <is>
          <t xml:space="preserve">·</t>
        </is>
      </c>
      <c r="C16" t="inlineStr">
        <is>
          <t xml:space="preserve">Objekte</t>
        </is>
      </c>
      <c r="D16"/>
      <c r="E16" s="7" t="inlineStr">
        <is>
          <t xml:space="preserve">A Stammdaten · B Einheiten · C Kennzahlen je Objekt im Vergleich.</t>
        </is>
      </c>
    </row>
    <row r="17">
      <c r="A17"/>
      <c r="B17" s="8" t="inlineStr">
        <is>
          <t xml:space="preserve">·</t>
        </is>
      </c>
      <c r="C17" t="inlineStr">
        <is>
          <t xml:space="preserve">Mietverträge</t>
        </is>
      </c>
      <c r="D17"/>
      <c r="E17" s="7" t="inlineStr">
        <is>
          <t xml:space="preserve">A Verträge mit Staffeln · B Miete je Objekt.</t>
        </is>
      </c>
    </row>
    <row r="18">
      <c r="A18"/>
      <c r="B18" s="8" t="inlineStr">
        <is>
          <t xml:space="preserve">·</t>
        </is>
      </c>
      <c r="C18" t="inlineStr">
        <is>
          <t xml:space="preserve">Darlehen</t>
        </is>
      </c>
      <c r="D18"/>
      <c r="E18" s="7" t="inlineStr">
        <is>
          <t xml:space="preserve">A Darlehen · B Sondertilgungen · C Kennzahlen je Darlehen.</t>
        </is>
      </c>
    </row>
    <row r="19">
      <c r="A19"/>
      <c r="B19" s="8" t="inlineStr">
        <is>
          <t xml:space="preserve">·</t>
        </is>
      </c>
      <c r="C19" t="inlineStr">
        <is>
          <t xml:space="preserve">Tilgungsplan</t>
        </is>
      </c>
      <c r="D19"/>
      <c r="E19" s="7" t="inlineStr">
        <is>
          <t xml:space="preserve">Ein Darlehen zur Auswahl, Monat für Monat.</t>
        </is>
      </c>
    </row>
    <row r="20">
      <c r="A20"/>
      <c r="B20" s="8" t="inlineStr">
        <is>
          <t xml:space="preserve">·</t>
        </is>
      </c>
      <c r="C20" t="inlineStr">
        <is>
          <t xml:space="preserve">Zahlungen</t>
        </is>
      </c>
      <c r="D20"/>
      <c r="E20" s="7" t="inlineStr">
        <is>
          <t xml:space="preserve">A Summen je Gruppe · B tatsächliche Zahlungen · C Korrekturen.</t>
        </is>
      </c>
    </row>
    <row r="21">
      <c r="A21"/>
      <c r="B21" s="8" t="inlineStr">
        <is>
          <t xml:space="preserve">·</t>
        </is>
      </c>
      <c r="C21" t="inlineStr">
        <is>
          <t xml:space="preserve">Objekte im Detail</t>
        </is>
      </c>
      <c r="D21"/>
      <c r="E21" s="7" t="inlineStr">
        <is>
          <t xml:space="preserve">Je Objekt ein Block von 26 Zeilen. Objekt 1 beginnt in Zeile 6.</t>
        </is>
      </c>
    </row>
    <row r="22">
      <c r="A22"/>
      <c r="B22" s="8" t="inlineStr">
        <is>
          <t xml:space="preserve">·</t>
        </is>
      </c>
      <c r="C22" t="inlineStr">
        <is>
          <t xml:space="preserve">Prognose</t>
        </is>
      </c>
      <c r="D22"/>
      <c r="E22" s="7" t="inlineStr">
        <is>
          <t xml:space="preserve">Jahr für Jahr über das Portfolio, dazu die Verkaufsrechnung.</t>
        </is>
      </c>
    </row>
    <row r="23">
      <c r="A23"/>
      <c r="B23" s="8" t="inlineStr">
        <is>
          <t xml:space="preserve">·</t>
        </is>
      </c>
      <c r="C23" t="inlineStr">
        <is>
          <t xml:space="preserve">Dashboard</t>
        </is>
      </c>
      <c r="D23"/>
      <c r="E23" s="7" t="inlineStr">
        <is>
          <t xml:space="preserve">Bestand, Finanzierung, Rendite, Cashflow und Hinweise auf einen Blick.</t>
        </is>
      </c>
    </row>
    <row r="25">
      <c r="A25"/>
      <c r="B25"/>
      <c r="C25" s="4" t="inlineStr">
        <is>
          <t xml:space="preserve">So liest du die Farben</t>
        </is>
      </c>
    </row>
    <row r="26">
      <c r="A26"/>
      <c r="B26" s="9"/>
      <c r="C26" t="inlineStr">
        <is>
          <t xml:space="preserve">Weiß mit blauem Rand</t>
        </is>
      </c>
      <c r="D26"/>
      <c r="E26" s="7" t="inlineStr">
        <is>
          <t xml:space="preserve">Eingabe – nur hier wird getippt.</t>
        </is>
      </c>
    </row>
    <row r="27">
      <c r="A27"/>
      <c r="B27" s="10"/>
      <c r="C27" t="inlineStr">
        <is>
          <t xml:space="preserve">Grau</t>
        </is>
      </c>
      <c r="D27"/>
      <c r="E27" s="7" t="inlineStr">
        <is>
          <t xml:space="preserve">Gerechnet. Eine Änderung hier zerstört die Formel.</t>
        </is>
      </c>
    </row>
    <row r="28">
      <c r="A28"/>
      <c r="B28" s="11"/>
      <c r="C28" t="inlineStr">
        <is>
          <t xml:space="preserve">Gelb</t>
        </is>
      </c>
      <c r="D28"/>
      <c r="E28" s="7" t="inlineStr">
        <is>
          <t xml:space="preserve">Ein Wert wurde von Hand korrigiert.</t>
        </is>
      </c>
    </row>
    <row r="29">
      <c r="A29"/>
      <c r="B29" s="12"/>
      <c r="C29" t="inlineStr">
        <is>
          <t xml:space="preserve">Rot</t>
        </is>
      </c>
      <c r="D29"/>
      <c r="E29" s="7" t="inlineStr">
        <is>
          <t xml:space="preserve">Beanstandung: negativer Cashflow, Leerstand, Kapitaldienstdeckung unter eins, überschrittenes Sondertilgungsrecht, unpassender Stichtag. Steht nichts in Rot, gibt es nichts zu tun.</t>
        </is>
      </c>
    </row>
    <row r="31">
      <c r="A31"/>
      <c r="B31"/>
      <c r="C31" t="inlineStr">
        <is>
          <t xml:space="preserve">Die Mappe ist bewusst nicht geschützt.</t>
        </is>
      </c>
      <c r="D31"/>
      <c r="E31" s="7" t="inlineStr">
        <is>
          <t xml:space="preserve">Google Sheets übernimmt einen Blattschutz beim Import nur halb; eine Sperre, die mal greift und mal nicht, verwirrt mehr, als sie nützt. Die Farbe genügt.</t>
        </is>
      </c>
    </row>
    <row r="33">
      <c r="A33"/>
      <c r="B33"/>
      <c r="C33" s="4" t="inlineStr">
        <is>
          <t xml:space="preserve">So wird gerechnet</t>
        </is>
      </c>
    </row>
    <row r="34">
      <c r="A34"/>
      <c r="B34" s="8" t="inlineStr">
        <is>
          <t xml:space="preserve">·</t>
        </is>
      </c>
      <c r="C34" t="inlineStr">
        <is>
          <t xml:space="preserve">Cashflow</t>
        </is>
      </c>
      <c r="D34"/>
      <c r="E34" s="7" t="inlineStr">
        <is>
          <t xml:space="preserve">Kaltmiete − nicht umlagefähige Bewirtschaftung − Zinsen − Tilgung = Cashflow vor Steuern. Die Tilgung mindert den Cashflow, aber nicht die Steuer; die AfA mindert die Steuer, aber nicht den Cashflow.</t>
        </is>
      </c>
    </row>
    <row r="35">
      <c r="A35"/>
      <c r="B35" s="8" t="inlineStr">
        <is>
          <t xml:space="preserve">·</t>
        </is>
      </c>
      <c r="C35" t="inlineStr">
        <is>
          <t xml:space="preserve">Steuer</t>
        </is>
      </c>
      <c r="D35"/>
      <c r="E35" s="7" t="inlineStr">
        <is>
          <t xml:space="preserve">Kaltmiete − Bewirtschaftung − Zinsen − AfA = Einkünfte aus Vermietung, mal effektivem Steuersatz. Soli und Kirchensteuer kommen auf die Einkommensteuer, nicht auf das Einkommen.</t>
        </is>
      </c>
    </row>
    <row r="36">
      <c r="A36"/>
      <c r="B36" s="8" t="inlineStr">
        <is>
          <t xml:space="preserve">·</t>
        </is>
      </c>
      <c r="C36" t="inlineStr">
        <is>
          <t xml:space="preserve">Abschreibung</t>
        </is>
      </c>
      <c r="D36"/>
      <c r="E36" s="7" t="inlineStr">
        <is>
          <t xml:space="preserve">Der Grundstücksanteil wird auf den reinen Kaufpreis angewendet – die Kaufnebenkosten zählen damit vollständig zum Gebäude. Im Kaufjahr wird ab dem Kaufmonat zeitanteilig abgeschrieben.</t>
        </is>
      </c>
    </row>
    <row r="37">
      <c r="A37"/>
      <c r="B37" s="8" t="inlineStr">
        <is>
          <t xml:space="preserve">·</t>
        </is>
      </c>
      <c r="C37" t="inlineStr">
        <is>
          <t xml:space="preserve">Tilgung</t>
        </is>
      </c>
      <c r="D37"/>
      <c r="E37" s="7" t="inlineStr">
        <is>
          <t xml:space="preserve">Nachschüssige Annuität, monatlich verrechnet. Die erste Rate fällt im Monat nach der Auszahlung an. Nach Ablauf der Zinsbindung läuft die bisherige Rate weiter, solange sie mindestens 1 % der Restschuld tilgt.</t>
        </is>
      </c>
    </row>
    <row r="38">
      <c r="A38"/>
      <c r="B38" s="8" t="inlineStr">
        <is>
          <t xml:space="preserve">·</t>
        </is>
      </c>
      <c r="C38" t="inlineStr">
        <is>
          <t xml:space="preserve">Renditen</t>
        </is>
      </c>
      <c r="D38"/>
      <c r="E38" s="7" t="inlineStr">
        <is>
          <t xml:space="preserve">Rechnen immer mit zwölf mal der aktuellen Monatsmiete, damit ein angeschnittenes Anschaffungsjahr sie nicht verzerrt.</t>
        </is>
      </c>
    </row>
    <row r="39">
      <c r="A39"/>
      <c r="B39" s="8" t="inlineStr">
        <is>
          <t xml:space="preserve">·</t>
        </is>
      </c>
      <c r="C39" t="inlineStr">
        <is>
          <t xml:space="preserve">Nebenkosten</t>
        </is>
      </c>
      <c r="D39"/>
      <c r="E39" s="7" t="inlineStr">
        <is>
          <t xml:space="preserve">Umlagefähige Kosten und Nebenkosten-Vorauszahlungen sind ein durchlaufender Posten und bleiben im Cashflow außen vor.</t>
        </is>
      </c>
    </row>
    <row r="41">
      <c r="A41"/>
      <c r="B41"/>
      <c r="C41" s="4" t="inlineStr">
        <is>
          <t xml:space="preserve">Grenzen dieser Mappe</t>
        </is>
      </c>
    </row>
    <row r="42">
      <c r="A42"/>
      <c r="B42" s="8" t="inlineStr">
        <is>
          <t xml:space="preserve">·</t>
        </is>
      </c>
      <c r="C42" t="inlineStr">
        <is>
          <t xml:space="preserve">Ein Szenario zur Zeit</t>
        </is>
      </c>
      <c r="D42"/>
      <c r="E42" s="7" t="inlineStr">
        <is>
          <t xml:space="preserve">Der Umschalter auf dem Blatt Vorgaben ändert die ganze Mappe – auch die Tilgungspläne, weil der Anschlusszins vom Szenario abhängt. Die drei Szenarien vergleichst du durch Umschalten.</t>
        </is>
      </c>
    </row>
    <row r="43">
      <c r="A43"/>
      <c r="B43" s="8" t="inlineStr">
        <is>
          <t xml:space="preserve">·</t>
        </is>
      </c>
      <c r="C43" t="inlineStr">
        <is>
          <t xml:space="preserve">Ein Kalenderjahr</t>
        </is>
      </c>
      <c r="D43"/>
      <c r="E43" s="7" t="inlineStr">
        <is>
          <t xml:space="preserve">Zahlungen, Korrekturen und der Cashflow-Block gelten für das Jahr auf dem Blatt Vorgaben. Ein anderes Jahr ist eine neu erzeugte Mappe.</t>
        </is>
      </c>
    </row>
    <row r="44">
      <c r="A44"/>
      <c r="B44" s="8" t="inlineStr">
        <is>
          <t xml:space="preserve">·</t>
        </is>
      </c>
      <c r="C44" t="inlineStr">
        <is>
          <t xml:space="preserve">Zahlungen je Objekt und Art</t>
        </is>
      </c>
      <c r="D44"/>
      <c r="E44" s="7" t="inlineStr">
        <is>
          <t xml:space="preserve">Mehrere Mietverträge oder Darlehen eines Objekts erscheinen summiert, nicht einzeln.</t>
        </is>
      </c>
    </row>
    <row r="45">
      <c r="A45"/>
      <c r="B45" s="8" t="inlineStr">
        <is>
          <t xml:space="preserve">·</t>
        </is>
      </c>
      <c r="C45" t="inlineStr">
        <is>
          <t xml:space="preserve">Platz</t>
        </is>
      </c>
      <c r="D45"/>
      <c r="E45" s="7" t="inlineStr">
        <is>
          <t xml:space="preserve">10 Objekte, 30 Einheiten, 30 Mietverträge mit je 3 Konditionen, 20 Darlehen, 40 Sondertilgungen.</t>
        </is>
      </c>
    </row>
    <row r="46">
      <c r="A46"/>
      <c r="B46" s="8" t="inlineStr">
        <is>
          <t xml:space="preserve">·</t>
        </is>
      </c>
      <c r="C46" t="inlineStr">
        <is>
          <t xml:space="preserve">Zeitraum</t>
        </is>
      </c>
      <c r="D46"/>
      <c r="E46" s="7" t="inlineStr">
        <is>
          <t xml:space="preserve">Die Prognose reicht 30 Jahre. Ein Tilgungsplan wird über 40 Jahre ab seiner Auszahlung gerechnet – für ein Darlehen, das lange vor dem Jahr der Mappe ausgezahlt wurde, kann das am Ende der Prognose knapp werden. Das Dashboard sagt es, wenn es so ist.</t>
        </is>
      </c>
    </row>
    <row r="47">
      <c r="A47"/>
      <c r="B47" s="8" t="inlineStr">
        <is>
          <t xml:space="preserve">·</t>
        </is>
      </c>
      <c r="C47" t="inlineStr">
        <is>
          <t xml:space="preserve">Ein Verkehrswert je Objekt</t>
        </is>
      </c>
      <c r="D47"/>
      <c r="E47" s="7" t="inlineStr">
        <is>
          <t xml:space="preserve">Keine Werthistorie, ein Feld für aktivierte Modernisierungen statt einer Liste.</t>
        </is>
      </c>
    </row>
    <row r="48">
      <c r="A48"/>
      <c r="B48" s="8" t="inlineStr">
        <is>
          <t xml:space="preserve">·</t>
        </is>
      </c>
      <c r="C48" t="inlineStr">
        <is>
          <t xml:space="preserve">Keine Anhänge</t>
        </is>
      </c>
      <c r="D48"/>
      <c r="E48" s="7" t="inlineStr">
        <is>
          <t xml:space="preserve">Bilder, Dokumente und das Änderungsprotokoll bleiben Sache der App.</t>
        </is>
      </c>
    </row>
    <row r="51">
      <c r="A51"/>
      <c r="B51"/>
      <c r="C51" s="13" t="inlineStr">
        <is>
          <t xml:space="preserve">Erzeugt vom Skill zahlenkompass-tabelle · Funktioniert in Excel und in Google Sheets · Keine Makros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3A4F78"/>
  </sheetPr>
  <sheetViews>
    <sheetView showGridLines="0" workbookViewId="0"/>
  </sheetViews>
  <sheetFormatPr defaultRowHeight="15"/>
  <cols>
    <col min="1" max="1" width="2" customWidth="1"/>
    <col min="2" max="2" width="36" customWidth="1"/>
    <col min="3" max="3" width="16" customWidth="1"/>
    <col min="4" max="4" width="3" customWidth="1"/>
    <col min="5" max="5" width="62" customWidth="1"/>
  </cols>
  <sheetData>
    <row r="2">
      <c r="A2"/>
      <c r="B2" s="1" t="inlineStr">
        <is>
          <t xml:space="preserve">ZAHLENKOMPASS</t>
        </is>
      </c>
    </row>
    <row r="3">
      <c r="A3"/>
      <c r="B3" s="2" t="inlineStr">
        <is>
          <t xml:space="preserve">Vorgaben</t>
        </is>
      </c>
    </row>
    <row r="4">
      <c r="A4"/>
      <c r="B4" s="3">
        <f>"ImmoPortfolio · Tabellenfassung "&amp;Jahr&amp;" · alles, was für die ganze Mappe gilt"</f>
      </c>
    </row>
    <row r="6">
      <c r="A6"/>
      <c r="B6" s="4" t="inlineStr">
        <is>
          <t xml:space="preserve">Portfolio</t>
        </is>
      </c>
    </row>
    <row r="7">
      <c r="A7"/>
      <c r="B7" s="14" t="inlineStr">
        <is>
          <t xml:space="preserve">Name</t>
        </is>
      </c>
      <c r="C7" s="15"/>
      <c r="D7"/>
      <c r="E7" s="16" t="inlineStr">
        <is>
          <t xml:space="preserve">Erscheint auf der Übersicht und im Dashboard.</t>
        </is>
      </c>
    </row>
    <row r="8">
      <c r="A8"/>
      <c r="B8" s="14" t="inlineStr">
        <is>
          <t xml:space="preserve">Jahr der Mappe</t>
        </is>
      </c>
      <c r="C8" s="17">
        <v>2026</v>
      </c>
      <c r="D8"/>
      <c r="E8" s="16" t="inlineStr">
        <is>
          <t xml:space="preserve">Zahlungen und Cashflow gelten für dieses Jahr, die Prognose startet hier.</t>
        </is>
      </c>
    </row>
    <row r="9">
      <c r="A9"/>
      <c r="B9" s="14" t="inlineStr">
        <is>
          <t xml:space="preserve">Stichtag</t>
        </is>
      </c>
      <c r="C9" s="18"/>
      <c r="D9"/>
      <c r="E9" s="16" t="inlineStr">
        <is>
          <t xml:space="preserve">Leer lassen = heute. Maßgeblich für Restschuld, laufende Miete und alle Renditen.</t>
        </is>
      </c>
    </row>
    <row r="10">
      <c r="A10"/>
      <c r="B10" s="14" t="inlineStr">
        <is>
          <t xml:space="preserve">wirksamer Stichtag</t>
        </is>
      </c>
      <c r="C10" s="19">
        <f>IF(StichtagEingabe="",TODAY(),StichtagEingabe)</f>
      </c>
      <c r="D10"/>
      <c r="E10"/>
    </row>
    <row r="11">
      <c r="A11"/>
      <c r="B11"/>
      <c r="C11" s="20">
        <f>IF(YEAR(Stichtag)=Jahr,"","Achtung")</f>
      </c>
      <c r="D11"/>
      <c r="E11" s="21">
        <f>IF(YEAR(Stichtag)=Jahr,"","Der Stichtag liegt nicht im Jahr der Mappe. Jahreswerte und Stichtagswerte passen dann nicht zusammen.")</f>
      </c>
    </row>
    <row r="14">
      <c r="A14"/>
      <c r="B14" s="4" t="inlineStr">
        <is>
          <t xml:space="preserve">Steuern</t>
        </is>
      </c>
    </row>
    <row r="15">
      <c r="A15"/>
      <c r="B15" s="14" t="inlineStr">
        <is>
          <t xml:space="preserve">Persönlicher Grenzsteuersatz</t>
        </is>
      </c>
      <c r="C15" s="22">
        <v>42</v>
      </c>
      <c r="D15"/>
      <c r="E15"/>
    </row>
    <row r="16">
      <c r="A16"/>
      <c r="B16" s="14" t="inlineStr">
        <is>
          <t xml:space="preserve">Kirchensteuer</t>
        </is>
      </c>
      <c r="C16" s="22">
        <v>0</v>
      </c>
      <c r="D16"/>
      <c r="E16" s="16" t="inlineStr">
        <is>
          <t xml:space="preserve">0, 8 oder 9 Prozent – auf die Einkommensteuer, nicht auf das Einkommen.</t>
        </is>
      </c>
    </row>
    <row r="17">
      <c r="A17"/>
      <c r="B17" s="14" t="inlineStr">
        <is>
          <t xml:space="preserve">Solidaritätszuschlag</t>
        </is>
      </c>
      <c r="C17" s="15" t="inlineStr">
        <is>
          <t xml:space="preserve">Nein</t>
        </is>
      </c>
      <c r="D17"/>
      <c r="E17" s="16" t="inlineStr">
        <is>
          <t xml:space="preserve">5,5 Prozent auf die Einkommensteuer.</t>
        </is>
      </c>
    </row>
    <row r="18">
      <c r="A18"/>
      <c r="B18" s="14" t="inlineStr">
        <is>
          <t xml:space="preserve">effektiver Steuersatz</t>
        </is>
      </c>
      <c r="C18" s="23">
        <f>SteuersatzBasis*(1+(IF(Soli="Ja",5.5,0)+Kirchensteuer)/100)</f>
      </c>
      <c r="D18"/>
      <c r="E18" s="16" t="inlineStr">
        <is>
          <t xml:space="preserve">Gilt für alle Objekte ohne eigenen Satz.</t>
        </is>
      </c>
    </row>
    <row r="21">
      <c r="A21"/>
      <c r="B21" s="4" t="inlineStr">
        <is>
          <t xml:space="preserve">Szenario</t>
        </is>
      </c>
    </row>
    <row r="22">
      <c r="A22"/>
      <c r="B22" s="14" t="inlineStr">
        <is>
          <t xml:space="preserve">Gewähltes Szenario</t>
        </is>
      </c>
      <c r="C22" s="15" t="inlineStr">
        <is>
          <t xml:space="preserve">Basis</t>
        </is>
      </c>
      <c r="D22"/>
      <c r="E22" s="16" t="inlineStr">
        <is>
          <t xml:space="preserve">Die ganze Mappe rechnet mit diesem Szenario – auch die Tilgungspläne.</t>
        </is>
      </c>
    </row>
    <row r="23">
      <c r="A23"/>
      <c r="B23"/>
      <c r="C23"/>
      <c r="D23"/>
      <c r="E23" s="13" t="inlineStr">
        <is>
          <t xml:space="preserve">Zum Vergleich der drei Szenarien schaltest du hier um und liest das Dashboard erneut.</t>
        </is>
      </c>
    </row>
    <row r="26">
      <c r="A26"/>
      <c r="B26" s="4" t="inlineStr">
        <is>
          <t xml:space="preserve">Annahmen (Basis)</t>
        </is>
      </c>
    </row>
    <row r="27">
      <c r="A27"/>
      <c r="B27" s="14" t="inlineStr">
        <is>
          <t xml:space="preserve">Mietsteigerung p. a.</t>
        </is>
      </c>
      <c r="C27" s="22">
        <v>1.5</v>
      </c>
      <c r="D27"/>
      <c r="E27" s="16" t="inlineStr">
        <is>
          <t xml:space="preserve">Negative Werte senken die Miete.</t>
        </is>
      </c>
    </row>
    <row r="28">
      <c r="A28"/>
      <c r="B28" s="14" t="inlineStr">
        <is>
          <t xml:space="preserve">Wertsteigerung p. a.</t>
        </is>
      </c>
      <c r="C28" s="22">
        <v>2</v>
      </c>
      <c r="D28"/>
      <c r="E28"/>
    </row>
    <row r="29">
      <c r="A29"/>
      <c r="B29" s="14" t="inlineStr">
        <is>
          <t xml:space="preserve">Inflation p. a.</t>
        </is>
      </c>
      <c r="C29" s="22">
        <v>2</v>
      </c>
      <c r="D29"/>
      <c r="E29" s="16" t="inlineStr">
        <is>
          <t xml:space="preserve">Schreibt die Bewirtschaftungskosten fort.</t>
        </is>
      </c>
    </row>
    <row r="30">
      <c r="A30"/>
      <c r="B30" s="14" t="inlineStr">
        <is>
          <t xml:space="preserve">Leerstandsquote</t>
        </is>
      </c>
      <c r="C30" s="22">
        <v>2</v>
      </c>
      <c r="D30"/>
      <c r="E30" s="16" t="inlineStr">
        <is>
          <t xml:space="preserve">Nur in der Prognose, nicht in den Ist-Zahlungen.</t>
        </is>
      </c>
    </row>
    <row r="31">
      <c r="A31"/>
      <c r="B31" s="14" t="inlineStr">
        <is>
          <t xml:space="preserve">Instandhaltung vom Kaufpreis p. a.</t>
        </is>
      </c>
      <c r="C31" s="22">
        <v>1</v>
      </c>
      <c r="D31"/>
      <c r="E31" s="16" t="inlineStr">
        <is>
          <t xml:space="preserve">Greift nur, wenn am Objekt kein eigener Betrag steht.</t>
        </is>
      </c>
    </row>
    <row r="32">
      <c r="A32"/>
      <c r="B32" s="14" t="inlineStr">
        <is>
          <t xml:space="preserve">Anschlusszins</t>
        </is>
      </c>
      <c r="C32" s="22">
        <v>4.5</v>
      </c>
      <c r="D32"/>
      <c r="E32" s="16" t="inlineStr">
        <is>
          <t xml:space="preserve">Nach Ablauf der Zinsbindung, sofern am Darlehen nichts anderes steht.</t>
        </is>
      </c>
    </row>
    <row r="33">
      <c r="A33"/>
      <c r="B33" s="14" t="inlineStr">
        <is>
          <t xml:space="preserve">Prognosejahre</t>
        </is>
      </c>
      <c r="C33" s="17">
        <v>20</v>
      </c>
      <c r="D33"/>
      <c r="E33" s="16" t="inlineStr">
        <is>
          <t xml:space="preserve">Höchstens 30. Die Tabelle rechnet immer bis 30, zeigt aber nur so viele Jahre.</t>
        </is>
      </c>
    </row>
    <row r="36">
      <c r="A36"/>
      <c r="B36" s="4" t="inlineStr">
        <is>
          <t xml:space="preserve">Im gewählten Szenario wirksam</t>
        </is>
      </c>
    </row>
    <row r="37">
      <c r="A37"/>
      <c r="B37" s="14" t="inlineStr">
        <is>
          <t xml:space="preserve">Mietsteigerung p. a.</t>
        </is>
      </c>
      <c r="C37" s="23">
        <f>$C$27+INDEX(SzenMiete,MATCH(Szenario,Szenarien,0))</f>
      </c>
      <c r="D37"/>
      <c r="E37"/>
    </row>
    <row r="38">
      <c r="A38"/>
      <c r="B38" s="14" t="inlineStr">
        <is>
          <t xml:space="preserve">Wertsteigerung p. a.</t>
        </is>
      </c>
      <c r="C38" s="23">
        <f>$C$28+INDEX(SzenWert,MATCH(Szenario,Szenarien,0))</f>
      </c>
      <c r="D38"/>
      <c r="E38"/>
    </row>
    <row r="39">
      <c r="A39"/>
      <c r="B39" s="14" t="inlineStr">
        <is>
          <t xml:space="preserve">Inflation p. a.</t>
        </is>
      </c>
      <c r="C39" s="23">
        <f>$C$29</f>
      </c>
      <c r="D39"/>
      <c r="E39"/>
    </row>
    <row r="40">
      <c r="A40"/>
      <c r="B40" s="14" t="inlineStr">
        <is>
          <t xml:space="preserve">Leerstandsquote</t>
        </is>
      </c>
      <c r="C40" s="23">
        <f>MAX(0,$C$30+INDEX(SzenLeer,MATCH(Szenario,Szenarien,0)))</f>
      </c>
      <c r="D40"/>
      <c r="E40"/>
    </row>
    <row r="41">
      <c r="A41"/>
      <c r="B41" s="14" t="inlineStr">
        <is>
          <t xml:space="preserve">Instandhaltung p. a.</t>
        </is>
      </c>
      <c r="C41" s="23">
        <f>MAX(0,$C$31+INDEX(SzenInstand,MATCH(Szenario,Szenarien,0)))</f>
      </c>
      <c r="D41"/>
      <c r="E41"/>
    </row>
    <row r="42">
      <c r="A42"/>
      <c r="B42" s="14" t="inlineStr">
        <is>
          <t xml:space="preserve">Anschlusszins</t>
        </is>
      </c>
      <c r="C42" s="23">
        <f>MAX(0,$C$32+INDEX(SzenAnschluss,MATCH(Szenario,Szenarien,0)))</f>
      </c>
      <c r="D42"/>
      <c r="E42"/>
    </row>
    <row r="45">
      <c r="A45"/>
      <c r="B45" s="4" t="inlineStr">
        <is>
          <t xml:space="preserve">Verkauf (freiwillig)</t>
        </is>
      </c>
    </row>
    <row r="46">
      <c r="A46"/>
      <c r="B46" s="14" t="inlineStr">
        <is>
          <t xml:space="preserve">Verkauf nach Jahren</t>
        </is>
      </c>
      <c r="C46" s="17"/>
      <c r="D46"/>
      <c r="E46" s="16" t="inlineStr">
        <is>
          <t xml:space="preserve">Leer lassen = kein Verkauf. Innerhalb von zehn Jahren wird der Gewinn versteuert.</t>
        </is>
      </c>
    </row>
    <row r="47">
      <c r="A47"/>
      <c r="B47" s="14" t="inlineStr">
        <is>
          <t xml:space="preserve">Verkaufskosten</t>
        </is>
      </c>
      <c r="C47" s="22">
        <v>3</v>
      </c>
      <c r="D47"/>
      <c r="E47" s="16" t="inlineStr">
        <is>
          <t xml:space="preserve">Vom Verkaufserlös.</t>
        </is>
      </c>
    </row>
    <row r="50">
      <c r="A50"/>
      <c r="B50" s="4" t="inlineStr">
        <is>
          <t xml:space="preserve">Kaufnebenkosten – Vorbelegung</t>
        </is>
      </c>
    </row>
    <row r="51">
      <c r="A51"/>
      <c r="B51" s="14" t="inlineStr">
        <is>
          <t xml:space="preserve">Grunderwerbsteuer</t>
        </is>
      </c>
      <c r="C51" s="22">
        <v>6.5</v>
      </c>
      <c r="D51"/>
      <c r="E51" s="16" t="inlineStr">
        <is>
          <t xml:space="preserve">Gilt, wenn am Objekt weder Prozentsatz noch Bundesland steht.</t>
        </is>
      </c>
    </row>
    <row r="52">
      <c r="A52"/>
      <c r="B52" s="14" t="inlineStr">
        <is>
          <t xml:space="preserve">Notar und Grundbuch</t>
        </is>
      </c>
      <c r="C52" s="22">
        <v>1.5</v>
      </c>
      <c r="D52"/>
      <c r="E52"/>
    </row>
    <row r="53">
      <c r="A53"/>
      <c r="B53" s="14" t="inlineStr">
        <is>
          <t xml:space="preserve">Maklerprovision</t>
        </is>
      </c>
      <c r="C53" s="22">
        <v>3.57</v>
      </c>
      <c r="D53"/>
      <c r="E53"/>
    </row>
  </sheetData>
  <conditionalFormatting sqref="C11 E11">
    <cfRule type="expression" dxfId="0" priority="1">
      <formula>YEAR(Stichtag)&lt;&gt;Jahr</formula>
    </cfRule>
  </conditionalFormatting>
  <dataValidations count="3">
    <dataValidation type="list" allowBlank="1" showInputMessage="1" showErrorMessage="1" promptTitle="Kirchensteuer" prompt="0, 8 oder 9 Prozent" sqref="C16">
      <formula1>Kirchensaetze</formula1>
    </dataValidation>
    <dataValidation type="list" allowBlank="1" showInputMessage="1" showErrorMessage="1" promptTitle="Solidaritätszuschlag" prompt="Ja oder Nein" sqref="C17">
      <formula1>JaNein</formula1>
    </dataValidation>
    <dataValidation type="list" allowBlank="1" showInputMessage="1" showErrorMessage="1" promptTitle="Szenario" prompt="pessimistisch, Basis oder optimistisch" sqref="C22">
      <formula1>Szenarien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3A4F78"/>
  </sheetPr>
  <sheetViews>
    <sheetView showGridLines="0" workbookViewId="0">
      <pane xSplit="3" topLeftCell="D1" activePane="bottomRight" state="frozen"/>
    </sheetView>
  </sheetViews>
  <sheetFormatPr defaultRowHeight="15"/>
  <cols>
    <col min="1" max="1" width="2" customWidth="1"/>
    <col min="2" max="2" width="5" customWidth="1"/>
    <col min="3" max="3" width="28" customWidth="1"/>
    <col min="4" max="4" width="12" customWidth="1"/>
    <col min="5" max="5" width="18" customWidth="1"/>
    <col min="6" max="6" width="9" customWidth="1"/>
    <col min="7" max="7" width="10" customWidth="1"/>
    <col min="8" max="8" width="12" customWidth="1"/>
    <col min="9" max="9" width="14" customWidth="1"/>
    <col min="10" max="10" width="20" customWidth="1"/>
    <col min="11" max="11" width="11" customWidth="1"/>
    <col min="12" max="12" width="10" customWidth="1"/>
    <col min="13" max="13" width="10" customWidth="1"/>
    <col min="14" max="14" width="12" customWidth="1"/>
    <col min="15" max="15" width="12" customWidth="1"/>
    <col min="16" max="16" width="10" customWidth="1"/>
    <col min="17" max="17" width="13" customWidth="1"/>
    <col min="18" max="18" width="12" customWidth="1"/>
    <col min="19" max="19" width="13" customWidth="1"/>
    <col min="20" max="20" width="12" customWidth="1"/>
    <col min="21" max="21" width="13" customWidth="1"/>
    <col min="22" max="22" width="12" customWidth="1"/>
    <col min="23" max="23" width="14" customWidth="1"/>
    <col min="24" max="24" width="12" customWidth="1"/>
    <col min="25" max="25" width="12" customWidth="1" hidden="1"/>
    <col min="26" max="26" width="12" customWidth="1" hidden="1"/>
    <col min="27" max="27" width="12" customWidth="1" hidden="1"/>
    <col min="28" max="28" width="12" customWidth="1" hidden="1"/>
    <col min="29" max="29" width="12" customWidth="1" hidden="1"/>
    <col min="30" max="30" width="12" customWidth="1" hidden="1"/>
    <col min="31" max="31" width="12" customWidth="1" hidden="1"/>
    <col min="32" max="32" width="12" customWidth="1" hidden="1"/>
    <col min="33" max="33" width="12" customWidth="1" hidden="1"/>
    <col min="34" max="34" width="12" customWidth="1" hidden="1"/>
    <col min="35" max="35" width="12" customWidth="1" hidden="1"/>
    <col min="36" max="36" width="12" customWidth="1" hidden="1"/>
    <col min="37" max="37" width="12" customWidth="1" hidden="1"/>
    <col min="38" max="38" width="12" customWidth="1" hidden="1"/>
    <col min="39" max="39" width="12" customWidth="1" hidden="1"/>
    <col min="40" max="40" width="12" customWidth="1" hidden="1"/>
    <col min="41" max="41" width="12" customWidth="1" hidden="1"/>
    <col min="42" max="42" width="12" customWidth="1" hidden="1"/>
    <col min="43" max="43" width="12" customWidth="1" hidden="1"/>
    <col min="44" max="44" width="12" customWidth="1" hidden="1"/>
  </cols>
  <sheetData>
    <row r="2">
      <c r="A2"/>
      <c r="B2" s="1" t="inlineStr">
        <is>
          <t xml:space="preserve">ZAHLENKOMPASS</t>
        </is>
      </c>
    </row>
    <row r="3">
      <c r="A3"/>
      <c r="B3" s="2" t="inlineStr">
        <is>
          <t xml:space="preserve">Objekte</t>
        </is>
      </c>
    </row>
    <row r="4">
      <c r="A4"/>
      <c r="B4" s="3">
        <f>"Stammdaten, Einheiten und Kennzahlen · "&amp;Jahr</f>
      </c>
    </row>
    <row r="6">
      <c r="A6"/>
      <c r="B6" s="4" t="inlineStr">
        <is>
          <t xml:space="preserve">A · Stammdaten</t>
        </is>
      </c>
      <c r="C6"/>
      <c r="D6"/>
      <c r="E6"/>
      <c r="F6"/>
      <c r="G6"/>
      <c r="H6" s="13" t="inlineStr">
        <is>
          <t xml:space="preserve">weiß mit blauem Rand = hier wird getippt</t>
        </is>
      </c>
    </row>
    <row r="7">
      <c r="A7"/>
      <c r="B7" s="24" t="inlineStr">
        <is>
          <t xml:space="preserve">Nr</t>
        </is>
      </c>
      <c r="C7" s="25" t="inlineStr">
        <is>
          <t xml:space="preserve">Bezeichnung</t>
        </is>
      </c>
      <c r="D7" s="24" t="inlineStr">
        <is>
          <t xml:space="preserve">Typ</t>
        </is>
      </c>
      <c r="E7" s="25" t="inlineStr">
        <is>
          <t xml:space="preserve">Ort</t>
        </is>
      </c>
      <c r="F7" s="24" t="inlineStr">
        <is>
          <t xml:space="preserve">Baujahr</t>
        </is>
      </c>
      <c r="G7" s="24" t="inlineStr">
        <is>
          <t xml:space="preserve">Fläche m²</t>
        </is>
      </c>
      <c r="H7" s="24" t="inlineStr">
        <is>
          <t xml:space="preserve">Kaufdatum</t>
        </is>
      </c>
      <c r="I7" s="24" t="inlineStr">
        <is>
          <t xml:space="preserve">Kaufpreis</t>
        </is>
      </c>
      <c r="J7" s="25" t="inlineStr">
        <is>
          <t xml:space="preserve">Bundesland</t>
        </is>
      </c>
      <c r="K7" s="24" t="inlineStr">
        <is>
          <t xml:space="preserve">GrESt %</t>
        </is>
      </c>
      <c r="L7" s="24" t="inlineStr">
        <is>
          <t xml:space="preserve">Notar %</t>
        </is>
      </c>
      <c r="M7" s="24" t="inlineStr">
        <is>
          <t xml:space="preserve">Makler %</t>
        </is>
      </c>
      <c r="N7" s="24" t="inlineStr">
        <is>
          <t xml:space="preserve">Weitere NK €</t>
        </is>
      </c>
      <c r="O7" s="24" t="inlineStr">
        <is>
          <t xml:space="preserve">Grundstück %</t>
        </is>
      </c>
      <c r="P7" s="24" t="inlineStr">
        <is>
          <t xml:space="preserve">AfA %</t>
        </is>
      </c>
      <c r="Q7" s="24" t="inlineStr">
        <is>
          <t xml:space="preserve">Modernis. €</t>
        </is>
      </c>
      <c r="R7" s="24" t="inlineStr">
        <is>
          <t xml:space="preserve">Hausgeld/M</t>
        </is>
      </c>
      <c r="S7" s="24" t="inlineStr">
        <is>
          <t xml:space="preserve">davon umlagef./M</t>
        </is>
      </c>
      <c r="T7" s="24" t="inlineStr">
        <is>
          <t xml:space="preserve">Verwaltung/M</t>
        </is>
      </c>
      <c r="U7" s="24" t="inlineStr">
        <is>
          <t xml:space="preserve">Instandh./M</t>
        </is>
      </c>
      <c r="V7" s="24" t="inlineStr">
        <is>
          <t xml:space="preserve">Sonstige/Jahr</t>
        </is>
      </c>
      <c r="W7" s="24" t="inlineStr">
        <is>
          <t xml:space="preserve">Verkehrswert</t>
        </is>
      </c>
      <c r="X7" s="24" t="inlineStr">
        <is>
          <t xml:space="preserve">Steuersatz %</t>
        </is>
      </c>
    </row>
    <row r="8">
      <c r="A8"/>
      <c r="B8" s="26">
        <v>1</v>
      </c>
      <c r="C8" s="15"/>
      <c r="D8" s="15"/>
      <c r="E8" s="15"/>
      <c r="F8" s="17"/>
      <c r="G8" s="27"/>
      <c r="H8" s="18"/>
      <c r="I8" s="28"/>
      <c r="J8" s="15"/>
      <c r="K8" s="22"/>
      <c r="L8" s="22"/>
      <c r="M8" s="22"/>
      <c r="N8" s="28"/>
      <c r="O8" s="22">
        <v>20</v>
      </c>
      <c r="P8" s="22">
        <v>2</v>
      </c>
      <c r="Q8" s="28"/>
      <c r="R8" s="28"/>
      <c r="S8" s="28"/>
      <c r="T8" s="28"/>
      <c r="U8" s="28"/>
      <c r="V8" s="28"/>
      <c r="W8" s="28"/>
      <c r="X8" s="22"/>
      <c r="Y8"/>
      <c r="Z8">
        <f>$I8*($AO8+IF($L8="",VorgabeNotar,$L8)+IF($M8="",VorgabeMakler,$M8))/100+$N8</f>
      </c>
      <c r="AA8">
        <f>$I8+$Z8</f>
      </c>
      <c r="AB8">
        <f>$I8*$O8/100</f>
      </c>
      <c r="AC8">
        <f>MAX(0,$AA8-$AB8)+$Q8</f>
      </c>
      <c r="AD8">
        <f>$AC8*$P8/100</f>
      </c>
      <c r="AE8">
        <f>IF($P8=0,0,100/$P8)</f>
      </c>
      <c r="AF8">
        <f>(MAX(0,$R8-$S8)+$T8+$U8)*12+$V8</f>
      </c>
      <c r="AG8">
        <f>IF($X8="",SteuersatzEff,$X8*(1+(IF(Soli="Ja",5.5,0)+Kirchensteuer)/100))</f>
      </c>
      <c r="AH8">
        <f>IF(SUMIF(EhObj,$B8,EhFlaeche)&gt;0,SUMIF(EhObj,$B8,EhFlaeche),$G8)</f>
      </c>
      <c r="AI8">
        <f>IF($H8="",0,YEAR($H8))</f>
      </c>
      <c r="AJ8">
        <f>IF($H8="",1,MONTH($H8))</f>
      </c>
      <c r="AK8">
        <f>IF($C8="",0,1)</f>
      </c>
      <c r="AL8">
        <f>(MAX(0,$R8-$S8)+$T8)*12+$V8</f>
      </c>
      <c r="AM8">
        <f>IF($U8&gt;0,$U8*12,$I8*InstandProzent/100)</f>
      </c>
      <c r="AN8">
        <f>IF($W8="",$I8,$W8)</f>
      </c>
      <c r="AO8">
        <f>IF($K8&lt;&gt;"",$K8,IF($J8="",VorgabeGrESt,IFERROR(INDEX(GrEStSatz,MATCH($J8,Bundeslaender,0)),VorgabeGrESt)))</f>
      </c>
    </row>
    <row r="9">
      <c r="A9"/>
      <c r="B9" s="26">
        <v>2</v>
      </c>
      <c r="C9" s="15"/>
      <c r="D9" s="15"/>
      <c r="E9" s="15"/>
      <c r="F9" s="17"/>
      <c r="G9" s="27"/>
      <c r="H9" s="18"/>
      <c r="I9" s="28"/>
      <c r="J9" s="15"/>
      <c r="K9" s="22"/>
      <c r="L9" s="22"/>
      <c r="M9" s="22"/>
      <c r="N9" s="28"/>
      <c r="O9" s="22">
        <v>20</v>
      </c>
      <c r="P9" s="22">
        <v>2</v>
      </c>
      <c r="Q9" s="28"/>
      <c r="R9" s="28"/>
      <c r="S9" s="28"/>
      <c r="T9" s="28"/>
      <c r="U9" s="28"/>
      <c r="V9" s="28"/>
      <c r="W9" s="28"/>
      <c r="X9" s="22"/>
      <c r="Y9"/>
      <c r="Z9">
        <f>$I9*($AO9+IF($L9="",VorgabeNotar,$L9)+IF($M9="",VorgabeMakler,$M9))/100+$N9</f>
      </c>
      <c r="AA9">
        <f>$I9+$Z9</f>
      </c>
      <c r="AB9">
        <f>$I9*$O9/100</f>
      </c>
      <c r="AC9">
        <f>MAX(0,$AA9-$AB9)+$Q9</f>
      </c>
      <c r="AD9">
        <f>$AC9*$P9/100</f>
      </c>
      <c r="AE9">
        <f>IF($P9=0,0,100/$P9)</f>
      </c>
      <c r="AF9">
        <f>(MAX(0,$R9-$S9)+$T9+$U9)*12+$V9</f>
      </c>
      <c r="AG9">
        <f>IF($X9="",SteuersatzEff,$X9*(1+(IF(Soli="Ja",5.5,0)+Kirchensteuer)/100))</f>
      </c>
      <c r="AH9">
        <f>IF(SUMIF(EhObj,$B9,EhFlaeche)&gt;0,SUMIF(EhObj,$B9,EhFlaeche),$G9)</f>
      </c>
      <c r="AI9">
        <f>IF($H9="",0,YEAR($H9))</f>
      </c>
      <c r="AJ9">
        <f>IF($H9="",1,MONTH($H9))</f>
      </c>
      <c r="AK9">
        <f>IF($C9="",0,1)</f>
      </c>
      <c r="AL9">
        <f>(MAX(0,$R9-$S9)+$T9)*12+$V9</f>
      </c>
      <c r="AM9">
        <f>IF($U9&gt;0,$U9*12,$I9*InstandProzent/100)</f>
      </c>
      <c r="AN9">
        <f>IF($W9="",$I9,$W9)</f>
      </c>
      <c r="AO9">
        <f>IF($K9&lt;&gt;"",$K9,IF($J9="",VorgabeGrESt,IFERROR(INDEX(GrEStSatz,MATCH($J9,Bundeslaender,0)),VorgabeGrESt)))</f>
      </c>
    </row>
    <row r="10">
      <c r="A10"/>
      <c r="B10" s="26">
        <v>3</v>
      </c>
      <c r="C10" s="15"/>
      <c r="D10" s="15"/>
      <c r="E10" s="15"/>
      <c r="F10" s="17"/>
      <c r="G10" s="27"/>
      <c r="H10" s="18"/>
      <c r="I10" s="28"/>
      <c r="J10" s="15"/>
      <c r="K10" s="22"/>
      <c r="L10" s="22"/>
      <c r="M10" s="22"/>
      <c r="N10" s="28"/>
      <c r="O10" s="22">
        <v>20</v>
      </c>
      <c r="P10" s="22">
        <v>2</v>
      </c>
      <c r="Q10" s="28"/>
      <c r="R10" s="28"/>
      <c r="S10" s="28"/>
      <c r="T10" s="28"/>
      <c r="U10" s="28"/>
      <c r="V10" s="28"/>
      <c r="W10" s="28"/>
      <c r="X10" s="22"/>
      <c r="Y10"/>
      <c r="Z10">
        <f>$I10*($AO10+IF($L10="",VorgabeNotar,$L10)+IF($M10="",VorgabeMakler,$M10))/100+$N10</f>
      </c>
      <c r="AA10">
        <f>$I10+$Z10</f>
      </c>
      <c r="AB10">
        <f>$I10*$O10/100</f>
      </c>
      <c r="AC10">
        <f>MAX(0,$AA10-$AB10)+$Q10</f>
      </c>
      <c r="AD10">
        <f>$AC10*$P10/100</f>
      </c>
      <c r="AE10">
        <f>IF($P10=0,0,100/$P10)</f>
      </c>
      <c r="AF10">
        <f>(MAX(0,$R10-$S10)+$T10+$U10)*12+$V10</f>
      </c>
      <c r="AG10">
        <f>IF($X10="",SteuersatzEff,$X10*(1+(IF(Soli="Ja",5.5,0)+Kirchensteuer)/100))</f>
      </c>
      <c r="AH10">
        <f>IF(SUMIF(EhObj,$B10,EhFlaeche)&gt;0,SUMIF(EhObj,$B10,EhFlaeche),$G10)</f>
      </c>
      <c r="AI10">
        <f>IF($H10="",0,YEAR($H10))</f>
      </c>
      <c r="AJ10">
        <f>IF($H10="",1,MONTH($H10))</f>
      </c>
      <c r="AK10">
        <f>IF($C10="",0,1)</f>
      </c>
      <c r="AL10">
        <f>(MAX(0,$R10-$S10)+$T10)*12+$V10</f>
      </c>
      <c r="AM10">
        <f>IF($U10&gt;0,$U10*12,$I10*InstandProzent/100)</f>
      </c>
      <c r="AN10">
        <f>IF($W10="",$I10,$W10)</f>
      </c>
      <c r="AO10">
        <f>IF($K10&lt;&gt;"",$K10,IF($J10="",VorgabeGrESt,IFERROR(INDEX(GrEStSatz,MATCH($J10,Bundeslaender,0)),VorgabeGrESt)))</f>
      </c>
    </row>
    <row r="11">
      <c r="A11"/>
      <c r="B11" s="26">
        <v>4</v>
      </c>
      <c r="C11" s="15"/>
      <c r="D11" s="15"/>
      <c r="E11" s="15"/>
      <c r="F11" s="17"/>
      <c r="G11" s="27"/>
      <c r="H11" s="18"/>
      <c r="I11" s="28"/>
      <c r="J11" s="15"/>
      <c r="K11" s="22"/>
      <c r="L11" s="22"/>
      <c r="M11" s="22"/>
      <c r="N11" s="28"/>
      <c r="O11" s="22">
        <v>20</v>
      </c>
      <c r="P11" s="22">
        <v>2</v>
      </c>
      <c r="Q11" s="28"/>
      <c r="R11" s="28"/>
      <c r="S11" s="28"/>
      <c r="T11" s="28"/>
      <c r="U11" s="28"/>
      <c r="V11" s="28"/>
      <c r="W11" s="28"/>
      <c r="X11" s="22"/>
      <c r="Y11"/>
      <c r="Z11">
        <f>$I11*($AO11+IF($L11="",VorgabeNotar,$L11)+IF($M11="",VorgabeMakler,$M11))/100+$N11</f>
      </c>
      <c r="AA11">
        <f>$I11+$Z11</f>
      </c>
      <c r="AB11">
        <f>$I11*$O11/100</f>
      </c>
      <c r="AC11">
        <f>MAX(0,$AA11-$AB11)+$Q11</f>
      </c>
      <c r="AD11">
        <f>$AC11*$P11/100</f>
      </c>
      <c r="AE11">
        <f>IF($P11=0,0,100/$P11)</f>
      </c>
      <c r="AF11">
        <f>(MAX(0,$R11-$S11)+$T11+$U11)*12+$V11</f>
      </c>
      <c r="AG11">
        <f>IF($X11="",SteuersatzEff,$X11*(1+(IF(Soli="Ja",5.5,0)+Kirchensteuer)/100))</f>
      </c>
      <c r="AH11">
        <f>IF(SUMIF(EhObj,$B11,EhFlaeche)&gt;0,SUMIF(EhObj,$B11,EhFlaeche),$G11)</f>
      </c>
      <c r="AI11">
        <f>IF($H11="",0,YEAR($H11))</f>
      </c>
      <c r="AJ11">
        <f>IF($H11="",1,MONTH($H11))</f>
      </c>
      <c r="AK11">
        <f>IF($C11="",0,1)</f>
      </c>
      <c r="AL11">
        <f>(MAX(0,$R11-$S11)+$T11)*12+$V11</f>
      </c>
      <c r="AM11">
        <f>IF($U11&gt;0,$U11*12,$I11*InstandProzent/100)</f>
      </c>
      <c r="AN11">
        <f>IF($W11="",$I11,$W11)</f>
      </c>
      <c r="AO11">
        <f>IF($K11&lt;&gt;"",$K11,IF($J11="",VorgabeGrESt,IFERROR(INDEX(GrEStSatz,MATCH($J11,Bundeslaender,0)),VorgabeGrESt)))</f>
      </c>
    </row>
    <row r="12">
      <c r="A12"/>
      <c r="B12" s="26">
        <v>5</v>
      </c>
      <c r="C12" s="15"/>
      <c r="D12" s="15"/>
      <c r="E12" s="15"/>
      <c r="F12" s="17"/>
      <c r="G12" s="27"/>
      <c r="H12" s="18"/>
      <c r="I12" s="28"/>
      <c r="J12" s="15"/>
      <c r="K12" s="22"/>
      <c r="L12" s="22"/>
      <c r="M12" s="22"/>
      <c r="N12" s="28"/>
      <c r="O12" s="22">
        <v>20</v>
      </c>
      <c r="P12" s="22">
        <v>2</v>
      </c>
      <c r="Q12" s="28"/>
      <c r="R12" s="28"/>
      <c r="S12" s="28"/>
      <c r="T12" s="28"/>
      <c r="U12" s="28"/>
      <c r="V12" s="28"/>
      <c r="W12" s="28"/>
      <c r="X12" s="22"/>
      <c r="Y12"/>
      <c r="Z12">
        <f>$I12*($AO12+IF($L12="",VorgabeNotar,$L12)+IF($M12="",VorgabeMakler,$M12))/100+$N12</f>
      </c>
      <c r="AA12">
        <f>$I12+$Z12</f>
      </c>
      <c r="AB12">
        <f>$I12*$O12/100</f>
      </c>
      <c r="AC12">
        <f>MAX(0,$AA12-$AB12)+$Q12</f>
      </c>
      <c r="AD12">
        <f>$AC12*$P12/100</f>
      </c>
      <c r="AE12">
        <f>IF($P12=0,0,100/$P12)</f>
      </c>
      <c r="AF12">
        <f>(MAX(0,$R12-$S12)+$T12+$U12)*12+$V12</f>
      </c>
      <c r="AG12">
        <f>IF($X12="",SteuersatzEff,$X12*(1+(IF(Soli="Ja",5.5,0)+Kirchensteuer)/100))</f>
      </c>
      <c r="AH12">
        <f>IF(SUMIF(EhObj,$B12,EhFlaeche)&gt;0,SUMIF(EhObj,$B12,EhFlaeche),$G12)</f>
      </c>
      <c r="AI12">
        <f>IF($H12="",0,YEAR($H12))</f>
      </c>
      <c r="AJ12">
        <f>IF($H12="",1,MONTH($H12))</f>
      </c>
      <c r="AK12">
        <f>IF($C12="",0,1)</f>
      </c>
      <c r="AL12">
        <f>(MAX(0,$R12-$S12)+$T12)*12+$V12</f>
      </c>
      <c r="AM12">
        <f>IF($U12&gt;0,$U12*12,$I12*InstandProzent/100)</f>
      </c>
      <c r="AN12">
        <f>IF($W12="",$I12,$W12)</f>
      </c>
      <c r="AO12">
        <f>IF($K12&lt;&gt;"",$K12,IF($J12="",VorgabeGrESt,IFERROR(INDEX(GrEStSatz,MATCH($J12,Bundeslaender,0)),VorgabeGrESt)))</f>
      </c>
    </row>
    <row r="13">
      <c r="A13"/>
      <c r="B13" s="26">
        <v>6</v>
      </c>
      <c r="C13" s="15"/>
      <c r="D13" s="15"/>
      <c r="E13" s="15"/>
      <c r="F13" s="17"/>
      <c r="G13" s="27"/>
      <c r="H13" s="18"/>
      <c r="I13" s="28"/>
      <c r="J13" s="15"/>
      <c r="K13" s="22"/>
      <c r="L13" s="22"/>
      <c r="M13" s="22"/>
      <c r="N13" s="28"/>
      <c r="O13" s="22">
        <v>20</v>
      </c>
      <c r="P13" s="22">
        <v>2</v>
      </c>
      <c r="Q13" s="28"/>
      <c r="R13" s="28"/>
      <c r="S13" s="28"/>
      <c r="T13" s="28"/>
      <c r="U13" s="28"/>
      <c r="V13" s="28"/>
      <c r="W13" s="28"/>
      <c r="X13" s="22"/>
      <c r="Y13"/>
      <c r="Z13">
        <f>$I13*($AO13+IF($L13="",VorgabeNotar,$L13)+IF($M13="",VorgabeMakler,$M13))/100+$N13</f>
      </c>
      <c r="AA13">
        <f>$I13+$Z13</f>
      </c>
      <c r="AB13">
        <f>$I13*$O13/100</f>
      </c>
      <c r="AC13">
        <f>MAX(0,$AA13-$AB13)+$Q13</f>
      </c>
      <c r="AD13">
        <f>$AC13*$P13/100</f>
      </c>
      <c r="AE13">
        <f>IF($P13=0,0,100/$P13)</f>
      </c>
      <c r="AF13">
        <f>(MAX(0,$R13-$S13)+$T13+$U13)*12+$V13</f>
      </c>
      <c r="AG13">
        <f>IF($X13="",SteuersatzEff,$X13*(1+(IF(Soli="Ja",5.5,0)+Kirchensteuer)/100))</f>
      </c>
      <c r="AH13">
        <f>IF(SUMIF(EhObj,$B13,EhFlaeche)&gt;0,SUMIF(EhObj,$B13,EhFlaeche),$G13)</f>
      </c>
      <c r="AI13">
        <f>IF($H13="",0,YEAR($H13))</f>
      </c>
      <c r="AJ13">
        <f>IF($H13="",1,MONTH($H13))</f>
      </c>
      <c r="AK13">
        <f>IF($C13="",0,1)</f>
      </c>
      <c r="AL13">
        <f>(MAX(0,$R13-$S13)+$T13)*12+$V13</f>
      </c>
      <c r="AM13">
        <f>IF($U13&gt;0,$U13*12,$I13*InstandProzent/100)</f>
      </c>
      <c r="AN13">
        <f>IF($W13="",$I13,$W13)</f>
      </c>
      <c r="AO13">
        <f>IF($K13&lt;&gt;"",$K13,IF($J13="",VorgabeGrESt,IFERROR(INDEX(GrEStSatz,MATCH($J13,Bundeslaender,0)),VorgabeGrESt)))</f>
      </c>
    </row>
    <row r="14">
      <c r="A14"/>
      <c r="B14" s="26">
        <v>7</v>
      </c>
      <c r="C14" s="15"/>
      <c r="D14" s="15"/>
      <c r="E14" s="15"/>
      <c r="F14" s="17"/>
      <c r="G14" s="27"/>
      <c r="H14" s="18"/>
      <c r="I14" s="28"/>
      <c r="J14" s="15"/>
      <c r="K14" s="22"/>
      <c r="L14" s="22"/>
      <c r="M14" s="22"/>
      <c r="N14" s="28"/>
      <c r="O14" s="22">
        <v>20</v>
      </c>
      <c r="P14" s="22">
        <v>2</v>
      </c>
      <c r="Q14" s="28"/>
      <c r="R14" s="28"/>
      <c r="S14" s="28"/>
      <c r="T14" s="28"/>
      <c r="U14" s="28"/>
      <c r="V14" s="28"/>
      <c r="W14" s="28"/>
      <c r="X14" s="22"/>
      <c r="Y14"/>
      <c r="Z14">
        <f>$I14*($AO14+IF($L14="",VorgabeNotar,$L14)+IF($M14="",VorgabeMakler,$M14))/100+$N14</f>
      </c>
      <c r="AA14">
        <f>$I14+$Z14</f>
      </c>
      <c r="AB14">
        <f>$I14*$O14/100</f>
      </c>
      <c r="AC14">
        <f>MAX(0,$AA14-$AB14)+$Q14</f>
      </c>
      <c r="AD14">
        <f>$AC14*$P14/100</f>
      </c>
      <c r="AE14">
        <f>IF($P14=0,0,100/$P14)</f>
      </c>
      <c r="AF14">
        <f>(MAX(0,$R14-$S14)+$T14+$U14)*12+$V14</f>
      </c>
      <c r="AG14">
        <f>IF($X14="",SteuersatzEff,$X14*(1+(IF(Soli="Ja",5.5,0)+Kirchensteuer)/100))</f>
      </c>
      <c r="AH14">
        <f>IF(SUMIF(EhObj,$B14,EhFlaeche)&gt;0,SUMIF(EhObj,$B14,EhFlaeche),$G14)</f>
      </c>
      <c r="AI14">
        <f>IF($H14="",0,YEAR($H14))</f>
      </c>
      <c r="AJ14">
        <f>IF($H14="",1,MONTH($H14))</f>
      </c>
      <c r="AK14">
        <f>IF($C14="",0,1)</f>
      </c>
      <c r="AL14">
        <f>(MAX(0,$R14-$S14)+$T14)*12+$V14</f>
      </c>
      <c r="AM14">
        <f>IF($U14&gt;0,$U14*12,$I14*InstandProzent/100)</f>
      </c>
      <c r="AN14">
        <f>IF($W14="",$I14,$W14)</f>
      </c>
      <c r="AO14">
        <f>IF($K14&lt;&gt;"",$K14,IF($J14="",VorgabeGrESt,IFERROR(INDEX(GrEStSatz,MATCH($J14,Bundeslaender,0)),VorgabeGrESt)))</f>
      </c>
    </row>
    <row r="15">
      <c r="A15"/>
      <c r="B15" s="26">
        <v>8</v>
      </c>
      <c r="C15" s="15"/>
      <c r="D15" s="15"/>
      <c r="E15" s="15"/>
      <c r="F15" s="17"/>
      <c r="G15" s="27"/>
      <c r="H15" s="18"/>
      <c r="I15" s="28"/>
      <c r="J15" s="15"/>
      <c r="K15" s="22"/>
      <c r="L15" s="22"/>
      <c r="M15" s="22"/>
      <c r="N15" s="28"/>
      <c r="O15" s="22">
        <v>20</v>
      </c>
      <c r="P15" s="22">
        <v>2</v>
      </c>
      <c r="Q15" s="28"/>
      <c r="R15" s="28"/>
      <c r="S15" s="28"/>
      <c r="T15" s="28"/>
      <c r="U15" s="28"/>
      <c r="V15" s="28"/>
      <c r="W15" s="28"/>
      <c r="X15" s="22"/>
      <c r="Y15"/>
      <c r="Z15">
        <f>$I15*($AO15+IF($L15="",VorgabeNotar,$L15)+IF($M15="",VorgabeMakler,$M15))/100+$N15</f>
      </c>
      <c r="AA15">
        <f>$I15+$Z15</f>
      </c>
      <c r="AB15">
        <f>$I15*$O15/100</f>
      </c>
      <c r="AC15">
        <f>MAX(0,$AA15-$AB15)+$Q15</f>
      </c>
      <c r="AD15">
        <f>$AC15*$P15/100</f>
      </c>
      <c r="AE15">
        <f>IF($P15=0,0,100/$P15)</f>
      </c>
      <c r="AF15">
        <f>(MAX(0,$R15-$S15)+$T15+$U15)*12+$V15</f>
      </c>
      <c r="AG15">
        <f>IF($X15="",SteuersatzEff,$X15*(1+(IF(Soli="Ja",5.5,0)+Kirchensteuer)/100))</f>
      </c>
      <c r="AH15">
        <f>IF(SUMIF(EhObj,$B15,EhFlaeche)&gt;0,SUMIF(EhObj,$B15,EhFlaeche),$G15)</f>
      </c>
      <c r="AI15">
        <f>IF($H15="",0,YEAR($H15))</f>
      </c>
      <c r="AJ15">
        <f>IF($H15="",1,MONTH($H15))</f>
      </c>
      <c r="AK15">
        <f>IF($C15="",0,1)</f>
      </c>
      <c r="AL15">
        <f>(MAX(0,$R15-$S15)+$T15)*12+$V15</f>
      </c>
      <c r="AM15">
        <f>IF($U15&gt;0,$U15*12,$I15*InstandProzent/100)</f>
      </c>
      <c r="AN15">
        <f>IF($W15="",$I15,$W15)</f>
      </c>
      <c r="AO15">
        <f>IF($K15&lt;&gt;"",$K15,IF($J15="",VorgabeGrESt,IFERROR(INDEX(GrEStSatz,MATCH($J15,Bundeslaender,0)),VorgabeGrESt)))</f>
      </c>
    </row>
    <row r="16">
      <c r="A16"/>
      <c r="B16" s="26">
        <v>9</v>
      </c>
      <c r="C16" s="15"/>
      <c r="D16" s="15"/>
      <c r="E16" s="15"/>
      <c r="F16" s="17"/>
      <c r="G16" s="27"/>
      <c r="H16" s="18"/>
      <c r="I16" s="28"/>
      <c r="J16" s="15"/>
      <c r="K16" s="22"/>
      <c r="L16" s="22"/>
      <c r="M16" s="22"/>
      <c r="N16" s="28"/>
      <c r="O16" s="22">
        <v>20</v>
      </c>
      <c r="P16" s="22">
        <v>2</v>
      </c>
      <c r="Q16" s="28"/>
      <c r="R16" s="28"/>
      <c r="S16" s="28"/>
      <c r="T16" s="28"/>
      <c r="U16" s="28"/>
      <c r="V16" s="28"/>
      <c r="W16" s="28"/>
      <c r="X16" s="22"/>
      <c r="Y16"/>
      <c r="Z16">
        <f>$I16*($AO16+IF($L16="",VorgabeNotar,$L16)+IF($M16="",VorgabeMakler,$M16))/100+$N16</f>
      </c>
      <c r="AA16">
        <f>$I16+$Z16</f>
      </c>
      <c r="AB16">
        <f>$I16*$O16/100</f>
      </c>
      <c r="AC16">
        <f>MAX(0,$AA16-$AB16)+$Q16</f>
      </c>
      <c r="AD16">
        <f>$AC16*$P16/100</f>
      </c>
      <c r="AE16">
        <f>IF($P16=0,0,100/$P16)</f>
      </c>
      <c r="AF16">
        <f>(MAX(0,$R16-$S16)+$T16+$U16)*12+$V16</f>
      </c>
      <c r="AG16">
        <f>IF($X16="",SteuersatzEff,$X16*(1+(IF(Soli="Ja",5.5,0)+Kirchensteuer)/100))</f>
      </c>
      <c r="AH16">
        <f>IF(SUMIF(EhObj,$B16,EhFlaeche)&gt;0,SUMIF(EhObj,$B16,EhFlaeche),$G16)</f>
      </c>
      <c r="AI16">
        <f>IF($H16="",0,YEAR($H16))</f>
      </c>
      <c r="AJ16">
        <f>IF($H16="",1,MONTH($H16))</f>
      </c>
      <c r="AK16">
        <f>IF($C16="",0,1)</f>
      </c>
      <c r="AL16">
        <f>(MAX(0,$R16-$S16)+$T16)*12+$V16</f>
      </c>
      <c r="AM16">
        <f>IF($U16&gt;0,$U16*12,$I16*InstandProzent/100)</f>
      </c>
      <c r="AN16">
        <f>IF($W16="",$I16,$W16)</f>
      </c>
      <c r="AO16">
        <f>IF($K16&lt;&gt;"",$K16,IF($J16="",VorgabeGrESt,IFERROR(INDEX(GrEStSatz,MATCH($J16,Bundeslaender,0)),VorgabeGrESt)))</f>
      </c>
    </row>
    <row r="17">
      <c r="A17"/>
      <c r="B17" s="26">
        <v>10</v>
      </c>
      <c r="C17" s="15"/>
      <c r="D17" s="15"/>
      <c r="E17" s="15"/>
      <c r="F17" s="17"/>
      <c r="G17" s="27"/>
      <c r="H17" s="18"/>
      <c r="I17" s="28"/>
      <c r="J17" s="15"/>
      <c r="K17" s="22"/>
      <c r="L17" s="22"/>
      <c r="M17" s="22"/>
      <c r="N17" s="28"/>
      <c r="O17" s="22">
        <v>20</v>
      </c>
      <c r="P17" s="22">
        <v>2</v>
      </c>
      <c r="Q17" s="28"/>
      <c r="R17" s="28"/>
      <c r="S17" s="28"/>
      <c r="T17" s="28"/>
      <c r="U17" s="28"/>
      <c r="V17" s="28"/>
      <c r="W17" s="28"/>
      <c r="X17" s="22"/>
      <c r="Y17"/>
      <c r="Z17">
        <f>$I17*($AO17+IF($L17="",VorgabeNotar,$L17)+IF($M17="",VorgabeMakler,$M17))/100+$N17</f>
      </c>
      <c r="AA17">
        <f>$I17+$Z17</f>
      </c>
      <c r="AB17">
        <f>$I17*$O17/100</f>
      </c>
      <c r="AC17">
        <f>MAX(0,$AA17-$AB17)+$Q17</f>
      </c>
      <c r="AD17">
        <f>$AC17*$P17/100</f>
      </c>
      <c r="AE17">
        <f>IF($P17=0,0,100/$P17)</f>
      </c>
      <c r="AF17">
        <f>(MAX(0,$R17-$S17)+$T17+$U17)*12+$V17</f>
      </c>
      <c r="AG17">
        <f>IF($X17="",SteuersatzEff,$X17*(1+(IF(Soli="Ja",5.5,0)+Kirchensteuer)/100))</f>
      </c>
      <c r="AH17">
        <f>IF(SUMIF(EhObj,$B17,EhFlaeche)&gt;0,SUMIF(EhObj,$B17,EhFlaeche),$G17)</f>
      </c>
      <c r="AI17">
        <f>IF($H17="",0,YEAR($H17))</f>
      </c>
      <c r="AJ17">
        <f>IF($H17="",1,MONTH($H17))</f>
      </c>
      <c r="AK17">
        <f>IF($C17="",0,1)</f>
      </c>
      <c r="AL17">
        <f>(MAX(0,$R17-$S17)+$T17)*12+$V17</f>
      </c>
      <c r="AM17">
        <f>IF($U17&gt;0,$U17*12,$I17*InstandProzent/100)</f>
      </c>
      <c r="AN17">
        <f>IF($W17="",$I17,$W17)</f>
      </c>
      <c r="AO17">
        <f>IF($K17&lt;&gt;"",$K17,IF($J17="",VorgabeGrESt,IFERROR(INDEX(GrEStSatz,MATCH($J17,Bundeslaender,0)),VorgabeGrESt)))</f>
      </c>
    </row>
    <row r="20">
      <c r="A20"/>
      <c r="B20" s="4" t="inlineStr">
        <is>
          <t xml:space="preserve">B · Einheiten</t>
        </is>
      </c>
      <c r="C20"/>
      <c r="D20"/>
      <c r="E20" s="13" t="inlineStr">
        <is>
          <t xml:space="preserve">Ein Objekt mit nur einer Wohnung braucht trotzdem eine Zeile – die Mietverträge hängen daran.</t>
        </is>
      </c>
    </row>
    <row r="21">
      <c r="A21"/>
      <c r="B21" s="24" t="inlineStr">
        <is>
          <t xml:space="preserve">Nr</t>
        </is>
      </c>
      <c r="C21" s="25" t="inlineStr">
        <is>
          <t xml:space="preserve">Objekt</t>
        </is>
      </c>
      <c r="D21" s="25" t="inlineStr">
        <is>
          <t xml:space="preserve">Bezeichnung</t>
        </is>
      </c>
      <c r="E21" s="24" t="inlineStr">
        <is>
          <t xml:space="preserve">Fläche m²</t>
        </is>
      </c>
      <c r="F21" s="24" t="inlineStr">
        <is>
          <t xml:space="preserve">Zimmer</t>
        </is>
      </c>
    </row>
    <row r="22">
      <c r="A22"/>
      <c r="B22" s="26">
        <v>1</v>
      </c>
      <c r="C22" s="15"/>
      <c r="D22" s="15"/>
      <c r="E22" s="27"/>
      <c r="F22" s="27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>
        <f>IFERROR(MATCH($C22,ObjBezeichnung,0),0)</f>
      </c>
      <c r="AQ22">
        <f>IF(COUNTIFS(MvEinheitNr,$B22,MvAktiv,1)&gt;0,1,0)</f>
      </c>
      <c r="AR22">
        <f>IF($D22="","",$D22&amp;" ("&amp;$C22&amp;")")</f>
      </c>
    </row>
    <row r="23">
      <c r="A23"/>
      <c r="B23" s="26">
        <v>2</v>
      </c>
      <c r="C23" s="15"/>
      <c r="D23" s="15"/>
      <c r="E23" s="27"/>
      <c r="F23" s="27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>
        <f>IFERROR(MATCH($C23,ObjBezeichnung,0),0)</f>
      </c>
      <c r="AQ23">
        <f>IF(COUNTIFS(MvEinheitNr,$B23,MvAktiv,1)&gt;0,1,0)</f>
      </c>
      <c r="AR23">
        <f>IF($D23="","",$D23&amp;" ("&amp;$C23&amp;")")</f>
      </c>
    </row>
    <row r="24">
      <c r="A24"/>
      <c r="B24" s="26">
        <v>3</v>
      </c>
      <c r="C24" s="15"/>
      <c r="D24" s="15"/>
      <c r="E24" s="27"/>
      <c r="F24" s="27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>
        <f>IFERROR(MATCH($C24,ObjBezeichnung,0),0)</f>
      </c>
      <c r="AQ24">
        <f>IF(COUNTIFS(MvEinheitNr,$B24,MvAktiv,1)&gt;0,1,0)</f>
      </c>
      <c r="AR24">
        <f>IF($D24="","",$D24&amp;" ("&amp;$C24&amp;")")</f>
      </c>
    </row>
    <row r="25">
      <c r="A25"/>
      <c r="B25" s="26">
        <v>4</v>
      </c>
      <c r="C25" s="15"/>
      <c r="D25" s="15"/>
      <c r="E25" s="27"/>
      <c r="F25" s="27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>
        <f>IFERROR(MATCH($C25,ObjBezeichnung,0),0)</f>
      </c>
      <c r="AQ25">
        <f>IF(COUNTIFS(MvEinheitNr,$B25,MvAktiv,1)&gt;0,1,0)</f>
      </c>
      <c r="AR25">
        <f>IF($D25="","",$D25&amp;" ("&amp;$C25&amp;")")</f>
      </c>
    </row>
    <row r="26">
      <c r="A26"/>
      <c r="B26" s="26">
        <v>5</v>
      </c>
      <c r="C26" s="15"/>
      <c r="D26" s="15"/>
      <c r="E26" s="27"/>
      <c r="F26" s="27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>
        <f>IFERROR(MATCH($C26,ObjBezeichnung,0),0)</f>
      </c>
      <c r="AQ26">
        <f>IF(COUNTIFS(MvEinheitNr,$B26,MvAktiv,1)&gt;0,1,0)</f>
      </c>
      <c r="AR26">
        <f>IF($D26="","",$D26&amp;" ("&amp;$C26&amp;")")</f>
      </c>
    </row>
    <row r="27">
      <c r="A27"/>
      <c r="B27" s="26">
        <v>6</v>
      </c>
      <c r="C27" s="15"/>
      <c r="D27" s="15"/>
      <c r="E27" s="27"/>
      <c r="F27" s="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>
        <f>IFERROR(MATCH($C27,ObjBezeichnung,0),0)</f>
      </c>
      <c r="AQ27">
        <f>IF(COUNTIFS(MvEinheitNr,$B27,MvAktiv,1)&gt;0,1,0)</f>
      </c>
      <c r="AR27">
        <f>IF($D27="","",$D27&amp;" ("&amp;$C27&amp;")")</f>
      </c>
    </row>
    <row r="28">
      <c r="A28"/>
      <c r="B28" s="26">
        <v>7</v>
      </c>
      <c r="C28" s="15"/>
      <c r="D28" s="15"/>
      <c r="E28" s="27"/>
      <c r="F28" s="27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>
        <f>IFERROR(MATCH($C28,ObjBezeichnung,0),0)</f>
      </c>
      <c r="AQ28">
        <f>IF(COUNTIFS(MvEinheitNr,$B28,MvAktiv,1)&gt;0,1,0)</f>
      </c>
      <c r="AR28">
        <f>IF($D28="","",$D28&amp;" ("&amp;$C28&amp;")")</f>
      </c>
    </row>
    <row r="29">
      <c r="A29"/>
      <c r="B29" s="26">
        <v>8</v>
      </c>
      <c r="C29" s="15"/>
      <c r="D29" s="15"/>
      <c r="E29" s="27"/>
      <c r="F29" s="27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>
        <f>IFERROR(MATCH($C29,ObjBezeichnung,0),0)</f>
      </c>
      <c r="AQ29">
        <f>IF(COUNTIFS(MvEinheitNr,$B29,MvAktiv,1)&gt;0,1,0)</f>
      </c>
      <c r="AR29">
        <f>IF($D29="","",$D29&amp;" ("&amp;$C29&amp;")")</f>
      </c>
    </row>
    <row r="30">
      <c r="A30"/>
      <c r="B30" s="26">
        <v>9</v>
      </c>
      <c r="C30" s="15"/>
      <c r="D30" s="15"/>
      <c r="E30" s="27"/>
      <c r="F30" s="27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>
        <f>IFERROR(MATCH($C30,ObjBezeichnung,0),0)</f>
      </c>
      <c r="AQ30">
        <f>IF(COUNTIFS(MvEinheitNr,$B30,MvAktiv,1)&gt;0,1,0)</f>
      </c>
      <c r="AR30">
        <f>IF($D30="","",$D30&amp;" ("&amp;$C30&amp;")")</f>
      </c>
    </row>
    <row r="31">
      <c r="A31"/>
      <c r="B31" s="26">
        <v>10</v>
      </c>
      <c r="C31" s="15"/>
      <c r="D31" s="15"/>
      <c r="E31" s="27"/>
      <c r="F31" s="27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>
        <f>IFERROR(MATCH($C31,ObjBezeichnung,0),0)</f>
      </c>
      <c r="AQ31">
        <f>IF(COUNTIFS(MvEinheitNr,$B31,MvAktiv,1)&gt;0,1,0)</f>
      </c>
      <c r="AR31">
        <f>IF($D31="","",$D31&amp;" ("&amp;$C31&amp;")")</f>
      </c>
    </row>
    <row r="32">
      <c r="A32"/>
      <c r="B32" s="26">
        <v>11</v>
      </c>
      <c r="C32" s="15"/>
      <c r="D32" s="15"/>
      <c r="E32" s="27"/>
      <c r="F32" s="27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>
        <f>IFERROR(MATCH($C32,ObjBezeichnung,0),0)</f>
      </c>
      <c r="AQ32">
        <f>IF(COUNTIFS(MvEinheitNr,$B32,MvAktiv,1)&gt;0,1,0)</f>
      </c>
      <c r="AR32">
        <f>IF($D32="","",$D32&amp;" ("&amp;$C32&amp;")")</f>
      </c>
    </row>
    <row r="33">
      <c r="A33"/>
      <c r="B33" s="26">
        <v>12</v>
      </c>
      <c r="C33" s="15"/>
      <c r="D33" s="15"/>
      <c r="E33" s="27"/>
      <c r="F33" s="27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>
        <f>IFERROR(MATCH($C33,ObjBezeichnung,0),0)</f>
      </c>
      <c r="AQ33">
        <f>IF(COUNTIFS(MvEinheitNr,$B33,MvAktiv,1)&gt;0,1,0)</f>
      </c>
      <c r="AR33">
        <f>IF($D33="","",$D33&amp;" ("&amp;$C33&amp;")")</f>
      </c>
    </row>
    <row r="34">
      <c r="A34"/>
      <c r="B34" s="26">
        <v>13</v>
      </c>
      <c r="C34" s="15"/>
      <c r="D34" s="15"/>
      <c r="E34" s="27"/>
      <c r="F34" s="27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>
        <f>IFERROR(MATCH($C34,ObjBezeichnung,0),0)</f>
      </c>
      <c r="AQ34">
        <f>IF(COUNTIFS(MvEinheitNr,$B34,MvAktiv,1)&gt;0,1,0)</f>
      </c>
      <c r="AR34">
        <f>IF($D34="","",$D34&amp;" ("&amp;$C34&amp;")")</f>
      </c>
    </row>
    <row r="35">
      <c r="A35"/>
      <c r="B35" s="26">
        <v>14</v>
      </c>
      <c r="C35" s="15"/>
      <c r="D35" s="15"/>
      <c r="E35" s="27"/>
      <c r="F35" s="27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>
        <f>IFERROR(MATCH($C35,ObjBezeichnung,0),0)</f>
      </c>
      <c r="AQ35">
        <f>IF(COUNTIFS(MvEinheitNr,$B35,MvAktiv,1)&gt;0,1,0)</f>
      </c>
      <c r="AR35">
        <f>IF($D35="","",$D35&amp;" ("&amp;$C35&amp;")")</f>
      </c>
    </row>
    <row r="36">
      <c r="A36"/>
      <c r="B36" s="26">
        <v>15</v>
      </c>
      <c r="C36" s="15"/>
      <c r="D36" s="15"/>
      <c r="E36" s="27"/>
      <c r="F36" s="27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>
        <f>IFERROR(MATCH($C36,ObjBezeichnung,0),0)</f>
      </c>
      <c r="AQ36">
        <f>IF(COUNTIFS(MvEinheitNr,$B36,MvAktiv,1)&gt;0,1,0)</f>
      </c>
      <c r="AR36">
        <f>IF($D36="","",$D36&amp;" ("&amp;$C36&amp;")")</f>
      </c>
    </row>
    <row r="37">
      <c r="A37"/>
      <c r="B37" s="26">
        <v>16</v>
      </c>
      <c r="C37" s="15"/>
      <c r="D37" s="15"/>
      <c r="E37" s="27"/>
      <c r="F37" s="2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>
        <f>IFERROR(MATCH($C37,ObjBezeichnung,0),0)</f>
      </c>
      <c r="AQ37">
        <f>IF(COUNTIFS(MvEinheitNr,$B37,MvAktiv,1)&gt;0,1,0)</f>
      </c>
      <c r="AR37">
        <f>IF($D37="","",$D37&amp;" ("&amp;$C37&amp;")")</f>
      </c>
    </row>
    <row r="38">
      <c r="A38"/>
      <c r="B38" s="26">
        <v>17</v>
      </c>
      <c r="C38" s="15"/>
      <c r="D38" s="15"/>
      <c r="E38" s="27"/>
      <c r="F38" s="27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>
        <f>IFERROR(MATCH($C38,ObjBezeichnung,0),0)</f>
      </c>
      <c r="AQ38">
        <f>IF(COUNTIFS(MvEinheitNr,$B38,MvAktiv,1)&gt;0,1,0)</f>
      </c>
      <c r="AR38">
        <f>IF($D38="","",$D38&amp;" ("&amp;$C38&amp;")")</f>
      </c>
    </row>
    <row r="39">
      <c r="A39"/>
      <c r="B39" s="26">
        <v>18</v>
      </c>
      <c r="C39" s="15"/>
      <c r="D39" s="15"/>
      <c r="E39" s="27"/>
      <c r="F39" s="27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f>IFERROR(MATCH($C39,ObjBezeichnung,0),0)</f>
      </c>
      <c r="AQ39">
        <f>IF(COUNTIFS(MvEinheitNr,$B39,MvAktiv,1)&gt;0,1,0)</f>
      </c>
      <c r="AR39">
        <f>IF($D39="","",$D39&amp;" ("&amp;$C39&amp;")")</f>
      </c>
    </row>
    <row r="40">
      <c r="A40"/>
      <c r="B40" s="26">
        <v>19</v>
      </c>
      <c r="C40" s="15"/>
      <c r="D40" s="15"/>
      <c r="E40" s="27"/>
      <c r="F40" s="27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>
        <f>IFERROR(MATCH($C40,ObjBezeichnung,0),0)</f>
      </c>
      <c r="AQ40">
        <f>IF(COUNTIFS(MvEinheitNr,$B40,MvAktiv,1)&gt;0,1,0)</f>
      </c>
      <c r="AR40">
        <f>IF($D40="","",$D40&amp;" ("&amp;$C40&amp;")")</f>
      </c>
    </row>
    <row r="41">
      <c r="A41"/>
      <c r="B41" s="26">
        <v>20</v>
      </c>
      <c r="C41" s="15"/>
      <c r="D41" s="15"/>
      <c r="E41" s="27"/>
      <c r="F41" s="27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>
        <f>IFERROR(MATCH($C41,ObjBezeichnung,0),0)</f>
      </c>
      <c r="AQ41">
        <f>IF(COUNTIFS(MvEinheitNr,$B41,MvAktiv,1)&gt;0,1,0)</f>
      </c>
      <c r="AR41">
        <f>IF($D41="","",$D41&amp;" ("&amp;$C41&amp;")")</f>
      </c>
    </row>
    <row r="42">
      <c r="A42"/>
      <c r="B42" s="26">
        <v>21</v>
      </c>
      <c r="C42" s="15"/>
      <c r="D42" s="15"/>
      <c r="E42" s="27"/>
      <c r="F42" s="27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>
        <f>IFERROR(MATCH($C42,ObjBezeichnung,0),0)</f>
      </c>
      <c r="AQ42">
        <f>IF(COUNTIFS(MvEinheitNr,$B42,MvAktiv,1)&gt;0,1,0)</f>
      </c>
      <c r="AR42">
        <f>IF($D42="","",$D42&amp;" ("&amp;$C42&amp;")")</f>
      </c>
    </row>
    <row r="43">
      <c r="A43"/>
      <c r="B43" s="26">
        <v>22</v>
      </c>
      <c r="C43" s="15"/>
      <c r="D43" s="15"/>
      <c r="E43" s="27"/>
      <c r="F43" s="27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>
        <f>IFERROR(MATCH($C43,ObjBezeichnung,0),0)</f>
      </c>
      <c r="AQ43">
        <f>IF(COUNTIFS(MvEinheitNr,$B43,MvAktiv,1)&gt;0,1,0)</f>
      </c>
      <c r="AR43">
        <f>IF($D43="","",$D43&amp;" ("&amp;$C43&amp;")")</f>
      </c>
    </row>
    <row r="44">
      <c r="A44"/>
      <c r="B44" s="26">
        <v>23</v>
      </c>
      <c r="C44" s="15"/>
      <c r="D44" s="15"/>
      <c r="E44" s="27"/>
      <c r="F44" s="27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>
        <f>IFERROR(MATCH($C44,ObjBezeichnung,0),0)</f>
      </c>
      <c r="AQ44">
        <f>IF(COUNTIFS(MvEinheitNr,$B44,MvAktiv,1)&gt;0,1,0)</f>
      </c>
      <c r="AR44">
        <f>IF($D44="","",$D44&amp;" ("&amp;$C44&amp;")")</f>
      </c>
    </row>
    <row r="45">
      <c r="A45"/>
      <c r="B45" s="26">
        <v>24</v>
      </c>
      <c r="C45" s="15"/>
      <c r="D45" s="15"/>
      <c r="E45" s="27"/>
      <c r="F45" s="27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>
        <f>IFERROR(MATCH($C45,ObjBezeichnung,0),0)</f>
      </c>
      <c r="AQ45">
        <f>IF(COUNTIFS(MvEinheitNr,$B45,MvAktiv,1)&gt;0,1,0)</f>
      </c>
      <c r="AR45">
        <f>IF($D45="","",$D45&amp;" ("&amp;$C45&amp;")")</f>
      </c>
    </row>
    <row r="46">
      <c r="A46"/>
      <c r="B46" s="26">
        <v>25</v>
      </c>
      <c r="C46" s="15"/>
      <c r="D46" s="15"/>
      <c r="E46" s="27"/>
      <c r="F46" s="27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>
        <f>IFERROR(MATCH($C46,ObjBezeichnung,0),0)</f>
      </c>
      <c r="AQ46">
        <f>IF(COUNTIFS(MvEinheitNr,$B46,MvAktiv,1)&gt;0,1,0)</f>
      </c>
      <c r="AR46">
        <f>IF($D46="","",$D46&amp;" ("&amp;$C46&amp;")")</f>
      </c>
    </row>
    <row r="47">
      <c r="A47"/>
      <c r="B47" s="26">
        <v>26</v>
      </c>
      <c r="C47" s="15"/>
      <c r="D47" s="15"/>
      <c r="E47" s="27"/>
      <c r="F47" s="2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>
        <f>IFERROR(MATCH($C47,ObjBezeichnung,0),0)</f>
      </c>
      <c r="AQ47">
        <f>IF(COUNTIFS(MvEinheitNr,$B47,MvAktiv,1)&gt;0,1,0)</f>
      </c>
      <c r="AR47">
        <f>IF($D47="","",$D47&amp;" ("&amp;$C47&amp;")")</f>
      </c>
    </row>
    <row r="48">
      <c r="A48"/>
      <c r="B48" s="26">
        <v>27</v>
      </c>
      <c r="C48" s="15"/>
      <c r="D48" s="15"/>
      <c r="E48" s="27"/>
      <c r="F48" s="27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>
        <f>IFERROR(MATCH($C48,ObjBezeichnung,0),0)</f>
      </c>
      <c r="AQ48">
        <f>IF(COUNTIFS(MvEinheitNr,$B48,MvAktiv,1)&gt;0,1,0)</f>
      </c>
      <c r="AR48">
        <f>IF($D48="","",$D48&amp;" ("&amp;$C48&amp;")")</f>
      </c>
    </row>
    <row r="49">
      <c r="A49"/>
      <c r="B49" s="26">
        <v>28</v>
      </c>
      <c r="C49" s="15"/>
      <c r="D49" s="15"/>
      <c r="E49" s="27"/>
      <c r="F49" s="27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>
        <f>IFERROR(MATCH($C49,ObjBezeichnung,0),0)</f>
      </c>
      <c r="AQ49">
        <f>IF(COUNTIFS(MvEinheitNr,$B49,MvAktiv,1)&gt;0,1,0)</f>
      </c>
      <c r="AR49">
        <f>IF($D49="","",$D49&amp;" ("&amp;$C49&amp;")")</f>
      </c>
    </row>
    <row r="50">
      <c r="A50"/>
      <c r="B50" s="26">
        <v>29</v>
      </c>
      <c r="C50" s="15"/>
      <c r="D50" s="15"/>
      <c r="E50" s="27"/>
      <c r="F50" s="27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>
        <f>IFERROR(MATCH($C50,ObjBezeichnung,0),0)</f>
      </c>
      <c r="AQ50">
        <f>IF(COUNTIFS(MvEinheitNr,$B50,MvAktiv,1)&gt;0,1,0)</f>
      </c>
      <c r="AR50">
        <f>IF($D50="","",$D50&amp;" ("&amp;$C50&amp;")")</f>
      </c>
    </row>
    <row r="51">
      <c r="A51"/>
      <c r="B51" s="26">
        <v>30</v>
      </c>
      <c r="C51" s="15"/>
      <c r="D51" s="15"/>
      <c r="E51" s="27"/>
      <c r="F51" s="27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>
        <f>IFERROR(MATCH($C51,ObjBezeichnung,0),0)</f>
      </c>
      <c r="AQ51">
        <f>IF(COUNTIFS(MvEinheitNr,$B51,MvAktiv,1)&gt;0,1,0)</f>
      </c>
      <c r="AR51">
        <f>IF($D51="","",$D51&amp;" ("&amp;$C51&amp;")")</f>
      </c>
    </row>
    <row r="54">
      <c r="A54"/>
      <c r="B54" s="4">
        <f>"C · Kennzahlen je Objekt zum "&amp;TEXT(DAY(Stichtag),"00")&amp;"."&amp;TEXT(MONTH(Stichtag),"00")&amp;"."&amp;YEAR(Stichtag)</f>
      </c>
      <c r="C54"/>
      <c r="D54"/>
      <c r="E54"/>
      <c r="F54"/>
      <c r="G54"/>
      <c r="H54" s="13" t="inlineStr">
        <is>
          <t xml:space="preserve">gerechnet – hier wird nichts eingetragen</t>
        </is>
      </c>
    </row>
    <row r="55">
      <c r="A55"/>
      <c r="B55" s="24" t="inlineStr">
        <is>
          <t xml:space="preserve">Nr</t>
        </is>
      </c>
      <c r="C55" s="25" t="inlineStr">
        <is>
          <t xml:space="preserve">Bezeichnung</t>
        </is>
      </c>
      <c r="D55" s="24" t="inlineStr">
        <is>
          <t xml:space="preserve">Investition</t>
        </is>
      </c>
      <c r="E55" s="24" t="inlineStr">
        <is>
          <t xml:space="preserve">Verkehrswert</t>
        </is>
      </c>
      <c r="F55" s="24" t="inlineStr">
        <is>
          <t xml:space="preserve">Restschuld</t>
        </is>
      </c>
      <c r="G55" s="24" t="inlineStr">
        <is>
          <t xml:space="preserve">Kaltmiete/M</t>
        </is>
      </c>
      <c r="H55" s="24" t="inlineStr">
        <is>
          <t xml:space="preserve">Brutto­rendite</t>
        </is>
      </c>
      <c r="I55" s="24" t="inlineStr">
        <is>
          <t xml:space="preserve">Netto­rendite</t>
        </is>
      </c>
      <c r="J55" s="24" t="inlineStr">
        <is>
          <t xml:space="preserve">Kaufpreis­faktor</t>
        </is>
      </c>
      <c r="K55" s="24" t="inlineStr">
        <is>
          <t xml:space="preserve">€/m²</t>
        </is>
      </c>
      <c r="L55" s="24" t="inlineStr">
        <is>
          <t xml:space="preserve">Beleihung</t>
        </is>
      </c>
      <c r="M55" s="24" t="inlineStr">
        <is>
          <t xml:space="preserve">DSCR</t>
        </is>
      </c>
      <c r="N55" s="24" t="inlineStr">
        <is>
          <t xml:space="preserve">CF/M vor St.</t>
        </is>
      </c>
      <c r="O55" s="24" t="inlineStr">
        <is>
          <t xml:space="preserve">CF/M nach St.</t>
        </is>
      </c>
      <c r="P55" s="24" t="inlineStr">
        <is>
          <t xml:space="preserve">EK-Rendite</t>
        </is>
      </c>
    </row>
    <row r="56">
      <c r="A56"/>
      <c r="B56" s="29">
        <v>1</v>
      </c>
      <c r="C56">
        <f>IF(INDEX(ObjBelegt,1)=0,"–",INDEX(ObjBezeichnung,1))</f>
      </c>
      <c r="D56" s="30">
        <f>IF(INDEX(ObjBelegt,1)=0,"",INDEX(IstInvest,1))</f>
      </c>
      <c r="E56" s="30">
        <f>IF(INDEX(ObjBelegt,1)=0,"",INDEX(IstWert,1))</f>
      </c>
      <c r="F56" s="30">
        <f>IF(INDEX(ObjBelegt,1)=0,"",INDEX(IstRest,1))</f>
      </c>
      <c r="G56" s="30">
        <f>IF(INDEX(ObjBelegt,1)=0,"",INDEX(IstMieteMonat,1))</f>
      </c>
      <c r="H56" s="31">
        <f>IF(INDEX(ObjBelegt,1)=0,"",IF(INDEX(IstInvest,1)=0,0,INDEX(IstRunrate,1)/INDEX(IstInvest,1)*100))</f>
      </c>
      <c r="I56" s="31">
        <f>IF(INDEX(ObjBelegt,1)=0,"",IF(INDEX(IstInvest,1)=0,0,(INDEX(IstRunrate,1)-INDEX(IstBewirtVoll,1))/INDEX(IstInvest,1)*100))</f>
      </c>
      <c r="J56" s="32">
        <f>IF(INDEX(ObjBelegt,1)=0,"",IF(INDEX(IstRunrate,1)=0,0,INDEX(ObjKaufpreis,1)/INDEX(IstRunrate,1)))</f>
      </c>
      <c r="K56" s="33">
        <f>IF(INDEX(ObjBelegt,1)=0,"",IF(INDEX(IstFlaeche,1)=0,0,INDEX(IstMieteMonat,1)/INDEX(IstFlaeche,1)))</f>
      </c>
      <c r="L56" s="34">
        <f>IF(INDEX(ObjBelegt,1)=0,"",IF(INDEX(IstWert,1)=0,0,INDEX(IstRest,1)/INDEX(IstWert,1)*100))</f>
      </c>
      <c r="M56" s="35">
        <f>IF(INDEX(ObjBelegt,1)=0,"",IF(INDEX(IstKapital12,1)=0,0,(INDEX(IstRunrate,1)-INDEX(IstBewirtVoll,1))/INDEX(IstKapital12,1)))</f>
      </c>
      <c r="N56" s="30">
        <f>IF(INDEX(ObjBelegt,1)=0,"",INDEX(IstCfVor,1)/12)</f>
      </c>
      <c r="O56" s="30">
        <f>IF(INDEX(ObjBelegt,1)=0,"",INDEX(IstCfNach,1)/12)</f>
      </c>
      <c r="P56" s="31">
        <f>IF(INDEX(ObjBelegt,1)=0,"",IF(INDEX(IstEkEingesetzt,1)=0,0,INDEX(IstCfRunrateNach,1)/INDEX(IstEkEingesetzt,1)*100))</f>
      </c>
    </row>
    <row r="57">
      <c r="A57"/>
      <c r="B57" s="29">
        <v>2</v>
      </c>
      <c r="C57">
        <f>IF(INDEX(ObjBelegt,2)=0,"–",INDEX(ObjBezeichnung,2))</f>
      </c>
      <c r="D57" s="30">
        <f>IF(INDEX(ObjBelegt,2)=0,"",INDEX(IstInvest,2))</f>
      </c>
      <c r="E57" s="30">
        <f>IF(INDEX(ObjBelegt,2)=0,"",INDEX(IstWert,2))</f>
      </c>
      <c r="F57" s="30">
        <f>IF(INDEX(ObjBelegt,2)=0,"",INDEX(IstRest,2))</f>
      </c>
      <c r="G57" s="30">
        <f>IF(INDEX(ObjBelegt,2)=0,"",INDEX(IstMieteMonat,2))</f>
      </c>
      <c r="H57" s="31">
        <f>IF(INDEX(ObjBelegt,2)=0,"",IF(INDEX(IstInvest,2)=0,0,INDEX(IstRunrate,2)/INDEX(IstInvest,2)*100))</f>
      </c>
      <c r="I57" s="31">
        <f>IF(INDEX(ObjBelegt,2)=0,"",IF(INDEX(IstInvest,2)=0,0,(INDEX(IstRunrate,2)-INDEX(IstBewirtVoll,2))/INDEX(IstInvest,2)*100))</f>
      </c>
      <c r="J57" s="32">
        <f>IF(INDEX(ObjBelegt,2)=0,"",IF(INDEX(IstRunrate,2)=0,0,INDEX(ObjKaufpreis,2)/INDEX(IstRunrate,2)))</f>
      </c>
      <c r="K57" s="33">
        <f>IF(INDEX(ObjBelegt,2)=0,"",IF(INDEX(IstFlaeche,2)=0,0,INDEX(IstMieteMonat,2)/INDEX(IstFlaeche,2)))</f>
      </c>
      <c r="L57" s="34">
        <f>IF(INDEX(ObjBelegt,2)=0,"",IF(INDEX(IstWert,2)=0,0,INDEX(IstRest,2)/INDEX(IstWert,2)*100))</f>
      </c>
      <c r="M57" s="35">
        <f>IF(INDEX(ObjBelegt,2)=0,"",IF(INDEX(IstKapital12,2)=0,0,(INDEX(IstRunrate,2)-INDEX(IstBewirtVoll,2))/INDEX(IstKapital12,2)))</f>
      </c>
      <c r="N57" s="30">
        <f>IF(INDEX(ObjBelegt,2)=0,"",INDEX(IstCfVor,2)/12)</f>
      </c>
      <c r="O57" s="30">
        <f>IF(INDEX(ObjBelegt,2)=0,"",INDEX(IstCfNach,2)/12)</f>
      </c>
      <c r="P57" s="31">
        <f>IF(INDEX(ObjBelegt,2)=0,"",IF(INDEX(IstEkEingesetzt,2)=0,0,INDEX(IstCfRunrateNach,2)/INDEX(IstEkEingesetzt,2)*100))</f>
      </c>
    </row>
    <row r="58">
      <c r="A58"/>
      <c r="B58" s="29">
        <v>3</v>
      </c>
      <c r="C58">
        <f>IF(INDEX(ObjBelegt,3)=0,"–",INDEX(ObjBezeichnung,3))</f>
      </c>
      <c r="D58" s="30">
        <f>IF(INDEX(ObjBelegt,3)=0,"",INDEX(IstInvest,3))</f>
      </c>
      <c r="E58" s="30">
        <f>IF(INDEX(ObjBelegt,3)=0,"",INDEX(IstWert,3))</f>
      </c>
      <c r="F58" s="30">
        <f>IF(INDEX(ObjBelegt,3)=0,"",INDEX(IstRest,3))</f>
      </c>
      <c r="G58" s="30">
        <f>IF(INDEX(ObjBelegt,3)=0,"",INDEX(IstMieteMonat,3))</f>
      </c>
      <c r="H58" s="31">
        <f>IF(INDEX(ObjBelegt,3)=0,"",IF(INDEX(IstInvest,3)=0,0,INDEX(IstRunrate,3)/INDEX(IstInvest,3)*100))</f>
      </c>
      <c r="I58" s="31">
        <f>IF(INDEX(ObjBelegt,3)=0,"",IF(INDEX(IstInvest,3)=0,0,(INDEX(IstRunrate,3)-INDEX(IstBewirtVoll,3))/INDEX(IstInvest,3)*100))</f>
      </c>
      <c r="J58" s="32">
        <f>IF(INDEX(ObjBelegt,3)=0,"",IF(INDEX(IstRunrate,3)=0,0,INDEX(ObjKaufpreis,3)/INDEX(IstRunrate,3)))</f>
      </c>
      <c r="K58" s="33">
        <f>IF(INDEX(ObjBelegt,3)=0,"",IF(INDEX(IstFlaeche,3)=0,0,INDEX(IstMieteMonat,3)/INDEX(IstFlaeche,3)))</f>
      </c>
      <c r="L58" s="34">
        <f>IF(INDEX(ObjBelegt,3)=0,"",IF(INDEX(IstWert,3)=0,0,INDEX(IstRest,3)/INDEX(IstWert,3)*100))</f>
      </c>
      <c r="M58" s="35">
        <f>IF(INDEX(ObjBelegt,3)=0,"",IF(INDEX(IstKapital12,3)=0,0,(INDEX(IstRunrate,3)-INDEX(IstBewirtVoll,3))/INDEX(IstKapital12,3)))</f>
      </c>
      <c r="N58" s="30">
        <f>IF(INDEX(ObjBelegt,3)=0,"",INDEX(IstCfVor,3)/12)</f>
      </c>
      <c r="O58" s="30">
        <f>IF(INDEX(ObjBelegt,3)=0,"",INDEX(IstCfNach,3)/12)</f>
      </c>
      <c r="P58" s="31">
        <f>IF(INDEX(ObjBelegt,3)=0,"",IF(INDEX(IstEkEingesetzt,3)=0,0,INDEX(IstCfRunrateNach,3)/INDEX(IstEkEingesetzt,3)*100))</f>
      </c>
    </row>
    <row r="59">
      <c r="A59"/>
      <c r="B59" s="29">
        <v>4</v>
      </c>
      <c r="C59">
        <f>IF(INDEX(ObjBelegt,4)=0,"–",INDEX(ObjBezeichnung,4))</f>
      </c>
      <c r="D59" s="30">
        <f>IF(INDEX(ObjBelegt,4)=0,"",INDEX(IstInvest,4))</f>
      </c>
      <c r="E59" s="30">
        <f>IF(INDEX(ObjBelegt,4)=0,"",INDEX(IstWert,4))</f>
      </c>
      <c r="F59" s="30">
        <f>IF(INDEX(ObjBelegt,4)=0,"",INDEX(IstRest,4))</f>
      </c>
      <c r="G59" s="30">
        <f>IF(INDEX(ObjBelegt,4)=0,"",INDEX(IstMieteMonat,4))</f>
      </c>
      <c r="H59" s="31">
        <f>IF(INDEX(ObjBelegt,4)=0,"",IF(INDEX(IstInvest,4)=0,0,INDEX(IstRunrate,4)/INDEX(IstInvest,4)*100))</f>
      </c>
      <c r="I59" s="31">
        <f>IF(INDEX(ObjBelegt,4)=0,"",IF(INDEX(IstInvest,4)=0,0,(INDEX(IstRunrate,4)-INDEX(IstBewirtVoll,4))/INDEX(IstInvest,4)*100))</f>
      </c>
      <c r="J59" s="32">
        <f>IF(INDEX(ObjBelegt,4)=0,"",IF(INDEX(IstRunrate,4)=0,0,INDEX(ObjKaufpreis,4)/INDEX(IstRunrate,4)))</f>
      </c>
      <c r="K59" s="33">
        <f>IF(INDEX(ObjBelegt,4)=0,"",IF(INDEX(IstFlaeche,4)=0,0,INDEX(IstMieteMonat,4)/INDEX(IstFlaeche,4)))</f>
      </c>
      <c r="L59" s="34">
        <f>IF(INDEX(ObjBelegt,4)=0,"",IF(INDEX(IstWert,4)=0,0,INDEX(IstRest,4)/INDEX(IstWert,4)*100))</f>
      </c>
      <c r="M59" s="35">
        <f>IF(INDEX(ObjBelegt,4)=0,"",IF(INDEX(IstKapital12,4)=0,0,(INDEX(IstRunrate,4)-INDEX(IstBewirtVoll,4))/INDEX(IstKapital12,4)))</f>
      </c>
      <c r="N59" s="30">
        <f>IF(INDEX(ObjBelegt,4)=0,"",INDEX(IstCfVor,4)/12)</f>
      </c>
      <c r="O59" s="30">
        <f>IF(INDEX(ObjBelegt,4)=0,"",INDEX(IstCfNach,4)/12)</f>
      </c>
      <c r="P59" s="31">
        <f>IF(INDEX(ObjBelegt,4)=0,"",IF(INDEX(IstEkEingesetzt,4)=0,0,INDEX(IstCfRunrateNach,4)/INDEX(IstEkEingesetzt,4)*100))</f>
      </c>
    </row>
    <row r="60">
      <c r="A60"/>
      <c r="B60" s="29">
        <v>5</v>
      </c>
      <c r="C60">
        <f>IF(INDEX(ObjBelegt,5)=0,"–",INDEX(ObjBezeichnung,5))</f>
      </c>
      <c r="D60" s="30">
        <f>IF(INDEX(ObjBelegt,5)=0,"",INDEX(IstInvest,5))</f>
      </c>
      <c r="E60" s="30">
        <f>IF(INDEX(ObjBelegt,5)=0,"",INDEX(IstWert,5))</f>
      </c>
      <c r="F60" s="30">
        <f>IF(INDEX(ObjBelegt,5)=0,"",INDEX(IstRest,5))</f>
      </c>
      <c r="G60" s="30">
        <f>IF(INDEX(ObjBelegt,5)=0,"",INDEX(IstMieteMonat,5))</f>
      </c>
      <c r="H60" s="31">
        <f>IF(INDEX(ObjBelegt,5)=0,"",IF(INDEX(IstInvest,5)=0,0,INDEX(IstRunrate,5)/INDEX(IstInvest,5)*100))</f>
      </c>
      <c r="I60" s="31">
        <f>IF(INDEX(ObjBelegt,5)=0,"",IF(INDEX(IstInvest,5)=0,0,(INDEX(IstRunrate,5)-INDEX(IstBewirtVoll,5))/INDEX(IstInvest,5)*100))</f>
      </c>
      <c r="J60" s="32">
        <f>IF(INDEX(ObjBelegt,5)=0,"",IF(INDEX(IstRunrate,5)=0,0,INDEX(ObjKaufpreis,5)/INDEX(IstRunrate,5)))</f>
      </c>
      <c r="K60" s="33">
        <f>IF(INDEX(ObjBelegt,5)=0,"",IF(INDEX(IstFlaeche,5)=0,0,INDEX(IstMieteMonat,5)/INDEX(IstFlaeche,5)))</f>
      </c>
      <c r="L60" s="34">
        <f>IF(INDEX(ObjBelegt,5)=0,"",IF(INDEX(IstWert,5)=0,0,INDEX(IstRest,5)/INDEX(IstWert,5)*100))</f>
      </c>
      <c r="M60" s="35">
        <f>IF(INDEX(ObjBelegt,5)=0,"",IF(INDEX(IstKapital12,5)=0,0,(INDEX(IstRunrate,5)-INDEX(IstBewirtVoll,5))/INDEX(IstKapital12,5)))</f>
      </c>
      <c r="N60" s="30">
        <f>IF(INDEX(ObjBelegt,5)=0,"",INDEX(IstCfVor,5)/12)</f>
      </c>
      <c r="O60" s="30">
        <f>IF(INDEX(ObjBelegt,5)=0,"",INDEX(IstCfNach,5)/12)</f>
      </c>
      <c r="P60" s="31">
        <f>IF(INDEX(ObjBelegt,5)=0,"",IF(INDEX(IstEkEingesetzt,5)=0,0,INDEX(IstCfRunrateNach,5)/INDEX(IstEkEingesetzt,5)*100))</f>
      </c>
    </row>
    <row r="61">
      <c r="A61"/>
      <c r="B61" s="29">
        <v>6</v>
      </c>
      <c r="C61">
        <f>IF(INDEX(ObjBelegt,6)=0,"–",INDEX(ObjBezeichnung,6))</f>
      </c>
      <c r="D61" s="30">
        <f>IF(INDEX(ObjBelegt,6)=0,"",INDEX(IstInvest,6))</f>
      </c>
      <c r="E61" s="30">
        <f>IF(INDEX(ObjBelegt,6)=0,"",INDEX(IstWert,6))</f>
      </c>
      <c r="F61" s="30">
        <f>IF(INDEX(ObjBelegt,6)=0,"",INDEX(IstRest,6))</f>
      </c>
      <c r="G61" s="30">
        <f>IF(INDEX(ObjBelegt,6)=0,"",INDEX(IstMieteMonat,6))</f>
      </c>
      <c r="H61" s="31">
        <f>IF(INDEX(ObjBelegt,6)=0,"",IF(INDEX(IstInvest,6)=0,0,INDEX(IstRunrate,6)/INDEX(IstInvest,6)*100))</f>
      </c>
      <c r="I61" s="31">
        <f>IF(INDEX(ObjBelegt,6)=0,"",IF(INDEX(IstInvest,6)=0,0,(INDEX(IstRunrate,6)-INDEX(IstBewirtVoll,6))/INDEX(IstInvest,6)*100))</f>
      </c>
      <c r="J61" s="32">
        <f>IF(INDEX(ObjBelegt,6)=0,"",IF(INDEX(IstRunrate,6)=0,0,INDEX(ObjKaufpreis,6)/INDEX(IstRunrate,6)))</f>
      </c>
      <c r="K61" s="33">
        <f>IF(INDEX(ObjBelegt,6)=0,"",IF(INDEX(IstFlaeche,6)=0,0,INDEX(IstMieteMonat,6)/INDEX(IstFlaeche,6)))</f>
      </c>
      <c r="L61" s="34">
        <f>IF(INDEX(ObjBelegt,6)=0,"",IF(INDEX(IstWert,6)=0,0,INDEX(IstRest,6)/INDEX(IstWert,6)*100))</f>
      </c>
      <c r="M61" s="35">
        <f>IF(INDEX(ObjBelegt,6)=0,"",IF(INDEX(IstKapital12,6)=0,0,(INDEX(IstRunrate,6)-INDEX(IstBewirtVoll,6))/INDEX(IstKapital12,6)))</f>
      </c>
      <c r="N61" s="30">
        <f>IF(INDEX(ObjBelegt,6)=0,"",INDEX(IstCfVor,6)/12)</f>
      </c>
      <c r="O61" s="30">
        <f>IF(INDEX(ObjBelegt,6)=0,"",INDEX(IstCfNach,6)/12)</f>
      </c>
      <c r="P61" s="31">
        <f>IF(INDEX(ObjBelegt,6)=0,"",IF(INDEX(IstEkEingesetzt,6)=0,0,INDEX(IstCfRunrateNach,6)/INDEX(IstEkEingesetzt,6)*100))</f>
      </c>
    </row>
    <row r="62">
      <c r="A62"/>
      <c r="B62" s="29">
        <v>7</v>
      </c>
      <c r="C62">
        <f>IF(INDEX(ObjBelegt,7)=0,"–",INDEX(ObjBezeichnung,7))</f>
      </c>
      <c r="D62" s="30">
        <f>IF(INDEX(ObjBelegt,7)=0,"",INDEX(IstInvest,7))</f>
      </c>
      <c r="E62" s="30">
        <f>IF(INDEX(ObjBelegt,7)=0,"",INDEX(IstWert,7))</f>
      </c>
      <c r="F62" s="30">
        <f>IF(INDEX(ObjBelegt,7)=0,"",INDEX(IstRest,7))</f>
      </c>
      <c r="G62" s="30">
        <f>IF(INDEX(ObjBelegt,7)=0,"",INDEX(IstMieteMonat,7))</f>
      </c>
      <c r="H62" s="31">
        <f>IF(INDEX(ObjBelegt,7)=0,"",IF(INDEX(IstInvest,7)=0,0,INDEX(IstRunrate,7)/INDEX(IstInvest,7)*100))</f>
      </c>
      <c r="I62" s="31">
        <f>IF(INDEX(ObjBelegt,7)=0,"",IF(INDEX(IstInvest,7)=0,0,(INDEX(IstRunrate,7)-INDEX(IstBewirtVoll,7))/INDEX(IstInvest,7)*100))</f>
      </c>
      <c r="J62" s="32">
        <f>IF(INDEX(ObjBelegt,7)=0,"",IF(INDEX(IstRunrate,7)=0,0,INDEX(ObjKaufpreis,7)/INDEX(IstRunrate,7)))</f>
      </c>
      <c r="K62" s="33">
        <f>IF(INDEX(ObjBelegt,7)=0,"",IF(INDEX(IstFlaeche,7)=0,0,INDEX(IstMieteMonat,7)/INDEX(IstFlaeche,7)))</f>
      </c>
      <c r="L62" s="34">
        <f>IF(INDEX(ObjBelegt,7)=0,"",IF(INDEX(IstWert,7)=0,0,INDEX(IstRest,7)/INDEX(IstWert,7)*100))</f>
      </c>
      <c r="M62" s="35">
        <f>IF(INDEX(ObjBelegt,7)=0,"",IF(INDEX(IstKapital12,7)=0,0,(INDEX(IstRunrate,7)-INDEX(IstBewirtVoll,7))/INDEX(IstKapital12,7)))</f>
      </c>
      <c r="N62" s="30">
        <f>IF(INDEX(ObjBelegt,7)=0,"",INDEX(IstCfVor,7)/12)</f>
      </c>
      <c r="O62" s="30">
        <f>IF(INDEX(ObjBelegt,7)=0,"",INDEX(IstCfNach,7)/12)</f>
      </c>
      <c r="P62" s="31">
        <f>IF(INDEX(ObjBelegt,7)=0,"",IF(INDEX(IstEkEingesetzt,7)=0,0,INDEX(IstCfRunrateNach,7)/INDEX(IstEkEingesetzt,7)*100))</f>
      </c>
    </row>
    <row r="63">
      <c r="A63"/>
      <c r="B63" s="29">
        <v>8</v>
      </c>
      <c r="C63">
        <f>IF(INDEX(ObjBelegt,8)=0,"–",INDEX(ObjBezeichnung,8))</f>
      </c>
      <c r="D63" s="30">
        <f>IF(INDEX(ObjBelegt,8)=0,"",INDEX(IstInvest,8))</f>
      </c>
      <c r="E63" s="30">
        <f>IF(INDEX(ObjBelegt,8)=0,"",INDEX(IstWert,8))</f>
      </c>
      <c r="F63" s="30">
        <f>IF(INDEX(ObjBelegt,8)=0,"",INDEX(IstRest,8))</f>
      </c>
      <c r="G63" s="30">
        <f>IF(INDEX(ObjBelegt,8)=0,"",INDEX(IstMieteMonat,8))</f>
      </c>
      <c r="H63" s="31">
        <f>IF(INDEX(ObjBelegt,8)=0,"",IF(INDEX(IstInvest,8)=0,0,INDEX(IstRunrate,8)/INDEX(IstInvest,8)*100))</f>
      </c>
      <c r="I63" s="31">
        <f>IF(INDEX(ObjBelegt,8)=0,"",IF(INDEX(IstInvest,8)=0,0,(INDEX(IstRunrate,8)-INDEX(IstBewirtVoll,8))/INDEX(IstInvest,8)*100))</f>
      </c>
      <c r="J63" s="32">
        <f>IF(INDEX(ObjBelegt,8)=0,"",IF(INDEX(IstRunrate,8)=0,0,INDEX(ObjKaufpreis,8)/INDEX(IstRunrate,8)))</f>
      </c>
      <c r="K63" s="33">
        <f>IF(INDEX(ObjBelegt,8)=0,"",IF(INDEX(IstFlaeche,8)=0,0,INDEX(IstMieteMonat,8)/INDEX(IstFlaeche,8)))</f>
      </c>
      <c r="L63" s="34">
        <f>IF(INDEX(ObjBelegt,8)=0,"",IF(INDEX(IstWert,8)=0,0,INDEX(IstRest,8)/INDEX(IstWert,8)*100))</f>
      </c>
      <c r="M63" s="35">
        <f>IF(INDEX(ObjBelegt,8)=0,"",IF(INDEX(IstKapital12,8)=0,0,(INDEX(IstRunrate,8)-INDEX(IstBewirtVoll,8))/INDEX(IstKapital12,8)))</f>
      </c>
      <c r="N63" s="30">
        <f>IF(INDEX(ObjBelegt,8)=0,"",INDEX(IstCfVor,8)/12)</f>
      </c>
      <c r="O63" s="30">
        <f>IF(INDEX(ObjBelegt,8)=0,"",INDEX(IstCfNach,8)/12)</f>
      </c>
      <c r="P63" s="31">
        <f>IF(INDEX(ObjBelegt,8)=0,"",IF(INDEX(IstEkEingesetzt,8)=0,0,INDEX(IstCfRunrateNach,8)/INDEX(IstEkEingesetzt,8)*100))</f>
      </c>
    </row>
    <row r="64">
      <c r="A64"/>
      <c r="B64" s="29">
        <v>9</v>
      </c>
      <c r="C64">
        <f>IF(INDEX(ObjBelegt,9)=0,"–",INDEX(ObjBezeichnung,9))</f>
      </c>
      <c r="D64" s="30">
        <f>IF(INDEX(ObjBelegt,9)=0,"",INDEX(IstInvest,9))</f>
      </c>
      <c r="E64" s="30">
        <f>IF(INDEX(ObjBelegt,9)=0,"",INDEX(IstWert,9))</f>
      </c>
      <c r="F64" s="30">
        <f>IF(INDEX(ObjBelegt,9)=0,"",INDEX(IstRest,9))</f>
      </c>
      <c r="G64" s="30">
        <f>IF(INDEX(ObjBelegt,9)=0,"",INDEX(IstMieteMonat,9))</f>
      </c>
      <c r="H64" s="31">
        <f>IF(INDEX(ObjBelegt,9)=0,"",IF(INDEX(IstInvest,9)=0,0,INDEX(IstRunrate,9)/INDEX(IstInvest,9)*100))</f>
      </c>
      <c r="I64" s="31">
        <f>IF(INDEX(ObjBelegt,9)=0,"",IF(INDEX(IstInvest,9)=0,0,(INDEX(IstRunrate,9)-INDEX(IstBewirtVoll,9))/INDEX(IstInvest,9)*100))</f>
      </c>
      <c r="J64" s="32">
        <f>IF(INDEX(ObjBelegt,9)=0,"",IF(INDEX(IstRunrate,9)=0,0,INDEX(ObjKaufpreis,9)/INDEX(IstRunrate,9)))</f>
      </c>
      <c r="K64" s="33">
        <f>IF(INDEX(ObjBelegt,9)=0,"",IF(INDEX(IstFlaeche,9)=0,0,INDEX(IstMieteMonat,9)/INDEX(IstFlaeche,9)))</f>
      </c>
      <c r="L64" s="34">
        <f>IF(INDEX(ObjBelegt,9)=0,"",IF(INDEX(IstWert,9)=0,0,INDEX(IstRest,9)/INDEX(IstWert,9)*100))</f>
      </c>
      <c r="M64" s="35">
        <f>IF(INDEX(ObjBelegt,9)=0,"",IF(INDEX(IstKapital12,9)=0,0,(INDEX(IstRunrate,9)-INDEX(IstBewirtVoll,9))/INDEX(IstKapital12,9)))</f>
      </c>
      <c r="N64" s="30">
        <f>IF(INDEX(ObjBelegt,9)=0,"",INDEX(IstCfVor,9)/12)</f>
      </c>
      <c r="O64" s="30">
        <f>IF(INDEX(ObjBelegt,9)=0,"",INDEX(IstCfNach,9)/12)</f>
      </c>
      <c r="P64" s="31">
        <f>IF(INDEX(ObjBelegt,9)=0,"",IF(INDEX(IstEkEingesetzt,9)=0,0,INDEX(IstCfRunrateNach,9)/INDEX(IstEkEingesetzt,9)*100))</f>
      </c>
    </row>
    <row r="65">
      <c r="A65"/>
      <c r="B65" s="29">
        <v>10</v>
      </c>
      <c r="C65">
        <f>IF(INDEX(ObjBelegt,10)=0,"–",INDEX(ObjBezeichnung,10))</f>
      </c>
      <c r="D65" s="30">
        <f>IF(INDEX(ObjBelegt,10)=0,"",INDEX(IstInvest,10))</f>
      </c>
      <c r="E65" s="30">
        <f>IF(INDEX(ObjBelegt,10)=0,"",INDEX(IstWert,10))</f>
      </c>
      <c r="F65" s="30">
        <f>IF(INDEX(ObjBelegt,10)=0,"",INDEX(IstRest,10))</f>
      </c>
      <c r="G65" s="30">
        <f>IF(INDEX(ObjBelegt,10)=0,"",INDEX(IstMieteMonat,10))</f>
      </c>
      <c r="H65" s="31">
        <f>IF(INDEX(ObjBelegt,10)=0,"",IF(INDEX(IstInvest,10)=0,0,INDEX(IstRunrate,10)/INDEX(IstInvest,10)*100))</f>
      </c>
      <c r="I65" s="31">
        <f>IF(INDEX(ObjBelegt,10)=0,"",IF(INDEX(IstInvest,10)=0,0,(INDEX(IstRunrate,10)-INDEX(IstBewirtVoll,10))/INDEX(IstInvest,10)*100))</f>
      </c>
      <c r="J65" s="32">
        <f>IF(INDEX(ObjBelegt,10)=0,"",IF(INDEX(IstRunrate,10)=0,0,INDEX(ObjKaufpreis,10)/INDEX(IstRunrate,10)))</f>
      </c>
      <c r="K65" s="33">
        <f>IF(INDEX(ObjBelegt,10)=0,"",IF(INDEX(IstFlaeche,10)=0,0,INDEX(IstMieteMonat,10)/INDEX(IstFlaeche,10)))</f>
      </c>
      <c r="L65" s="34">
        <f>IF(INDEX(ObjBelegt,10)=0,"",IF(INDEX(IstWert,10)=0,0,INDEX(IstRest,10)/INDEX(IstWert,10)*100))</f>
      </c>
      <c r="M65" s="35">
        <f>IF(INDEX(ObjBelegt,10)=0,"",IF(INDEX(IstKapital12,10)=0,0,(INDEX(IstRunrate,10)-INDEX(IstBewirtVoll,10))/INDEX(IstKapital12,10)))</f>
      </c>
      <c r="N65" s="30">
        <f>IF(INDEX(ObjBelegt,10)=0,"",INDEX(IstCfVor,10)/12)</f>
      </c>
      <c r="O65" s="30">
        <f>IF(INDEX(ObjBelegt,10)=0,"",INDEX(IstCfNach,10)/12)</f>
      </c>
      <c r="P65" s="31">
        <f>IF(INDEX(ObjBelegt,10)=0,"",IF(INDEX(IstEkEingesetzt,10)=0,0,INDEX(IstCfRunrateNach,10)/INDEX(IstEkEingesetzt,10)*100))</f>
      </c>
    </row>
  </sheetData>
  <conditionalFormatting sqref="N56:O65">
    <cfRule type="expression" dxfId="1" priority="1">
      <formula>N56&lt;0</formula>
    </cfRule>
  </conditionalFormatting>
  <dataValidations count="3">
    <dataValidation type="list" allowBlank="1" showInputMessage="1" showErrorMessage="1" promptTitle="Typ" prompt="Aus der Liste wählen" sqref="D8:D17">
      <formula1>Objekttypen</formula1>
    </dataValidation>
    <dataValidation type="list" allowBlank="1" showInputMessage="1" showErrorMessage="1" promptTitle="Bundesland" prompt="Setzt die Grunderwerbsteuer; ein eigener Prozentsatz geht vor" sqref="J8:J17">
      <formula1>Bundeslaender</formula1>
    </dataValidation>
    <dataValidation type="list" allowBlank="1" showInputMessage="1" showErrorMessage="1" promptTitle="Objekt" prompt="Aus der Liste der Objekte wählen" sqref="C22:C51">
      <formula1>ObjBezeichnung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3A4F78"/>
  </sheetPr>
  <sheetViews>
    <sheetView showGridLines="0" workbookViewId="0">
      <pane xSplit="4" topLeftCell="E1" activePane="bottomRight" state="frozen"/>
    </sheetView>
  </sheetViews>
  <sheetFormatPr defaultRowHeight="15"/>
  <cols>
    <col min="1" max="1" width="2" customWidth="1"/>
    <col min="2" max="2" width="5" customWidth="1"/>
    <col min="3" max="3" width="30" customWidth="1"/>
    <col min="4" max="4" width="20" customWidth="1"/>
    <col min="5" max="5" width="12" customWidth="1"/>
    <col min="6" max="6" width="13" customWidth="1"/>
    <col min="7" max="7" width="13" customWidth="1"/>
    <col min="8" max="8" width="12" customWidth="1"/>
    <col min="9" max="9" width="10" customWidth="1"/>
    <col min="10" max="10" width="12" customWidth="1"/>
    <col min="11" max="11" width="12" customWidth="1"/>
    <col min="12" max="12" width="11" customWidth="1"/>
    <col min="13" max="13" width="12" customWidth="1"/>
    <col min="14" max="14" width="12" customWidth="1"/>
    <col min="15" max="15" width="11" customWidth="1"/>
    <col min="16" max="16" width="12" customWidth="1"/>
    <col min="17" max="17" width="12" customWidth="1"/>
    <col min="18" max="18" width="11" customWidth="1"/>
    <col min="20" max="20" width="12" customWidth="1" hidden="1"/>
    <col min="21" max="21" width="12" customWidth="1" hidden="1"/>
    <col min="22" max="22" width="12" customWidth="1" hidden="1"/>
    <col min="23" max="23" width="12" customWidth="1" hidden="1"/>
    <col min="24" max="24" width="12" customWidth="1" hidden="1"/>
    <col min="25" max="25" width="12" customWidth="1" hidden="1"/>
    <col min="26" max="26" width="12" customWidth="1" hidden="1"/>
    <col min="27" max="27" width="12" customWidth="1" hidden="1"/>
    <col min="28" max="28" width="12" customWidth="1" hidden="1"/>
    <col min="29" max="29" width="12" customWidth="1" hidden="1"/>
  </cols>
  <sheetData>
    <row r="2">
      <c r="A2"/>
      <c r="B2" s="1" t="inlineStr">
        <is>
          <t xml:space="preserve">ZAHLENKOMPASS</t>
        </is>
      </c>
    </row>
    <row r="3">
      <c r="A3"/>
      <c r="B3" s="2" t="inlineStr">
        <is>
          <t xml:space="preserve">Mietverträge</t>
        </is>
      </c>
    </row>
    <row r="4">
      <c r="A4"/>
      <c r="B4" s="3" t="inlineStr">
        <is>
          <t xml:space="preserve">Eine Zeile je Vertrag. Staffelmieten sind weitere Konditionen mit späterem "gilt ab".</t>
        </is>
      </c>
    </row>
    <row r="6">
      <c r="A6"/>
      <c r="B6" s="4" t="inlineStr">
        <is>
          <t xml:space="preserve">A · Verträge</t>
        </is>
      </c>
    </row>
    <row r="7">
      <c r="A7"/>
      <c r="B7" s="24" t="inlineStr">
        <is>
          <t xml:space="preserve">Nr</t>
        </is>
      </c>
      <c r="C7" s="25" t="inlineStr">
        <is>
          <t xml:space="preserve">Einheit</t>
        </is>
      </c>
      <c r="D7" s="25" t="inlineStr">
        <is>
          <t xml:space="preserve">Mieter</t>
        </is>
      </c>
      <c r="E7" s="24" t="inlineStr">
        <is>
          <t xml:space="preserve">Beginn</t>
        </is>
      </c>
      <c r="F7" s="24" t="inlineStr">
        <is>
          <t xml:space="preserve">befristet bis</t>
        </is>
      </c>
      <c r="G7" s="24" t="inlineStr">
        <is>
          <t xml:space="preserve">gekündigt zum</t>
        </is>
      </c>
      <c r="H7" s="24" t="inlineStr">
        <is>
          <t xml:space="preserve">Anpassung</t>
        </is>
      </c>
      <c r="I7" s="24" t="inlineStr">
        <is>
          <t xml:space="preserve">Index % p.a.</t>
        </is>
      </c>
      <c r="J7" s="24" t="inlineStr">
        <is>
          <t xml:space="preserve">gilt ab 1</t>
        </is>
      </c>
      <c r="K7" s="24" t="inlineStr">
        <is>
          <t xml:space="preserve">kalt 1</t>
        </is>
      </c>
      <c r="L7" s="24" t="inlineStr">
        <is>
          <t xml:space="preserve">NK 1</t>
        </is>
      </c>
      <c r="M7" s="24" t="inlineStr">
        <is>
          <t xml:space="preserve">gilt ab 2</t>
        </is>
      </c>
      <c r="N7" s="24" t="inlineStr">
        <is>
          <t xml:space="preserve">kalt 2</t>
        </is>
      </c>
      <c r="O7" s="24" t="inlineStr">
        <is>
          <t xml:space="preserve">NK 2</t>
        </is>
      </c>
      <c r="P7" s="24" t="inlineStr">
        <is>
          <t xml:space="preserve">gilt ab 3</t>
        </is>
      </c>
      <c r="Q7" s="24" t="inlineStr">
        <is>
          <t xml:space="preserve">kalt 3</t>
        </is>
      </c>
      <c r="R7" s="24" t="inlineStr">
        <is>
          <t xml:space="preserve">NK 3</t>
        </is>
      </c>
    </row>
    <row r="8">
      <c r="A8"/>
      <c r="B8" s="26">
        <v>1</v>
      </c>
      <c r="C8" s="15"/>
      <c r="D8" s="15"/>
      <c r="E8" s="18"/>
      <c r="F8" s="18"/>
      <c r="G8" s="18"/>
      <c r="H8" s="15"/>
      <c r="I8" s="22"/>
      <c r="J8" s="18"/>
      <c r="K8" s="28"/>
      <c r="L8" s="28"/>
      <c r="M8" s="18"/>
      <c r="N8" s="28"/>
      <c r="O8" s="28"/>
      <c r="P8" s="18"/>
      <c r="Q8" s="28"/>
      <c r="R8" s="28"/>
      <c r="S8"/>
      <c r="T8">
        <f>IFERROR(MATCH($C8,EhAnzeige,0),0)</f>
      </c>
      <c r="U8">
        <f>IF($T8=0,0,INDEX(EhObj,$T8))</f>
      </c>
      <c r="V8">
        <f>IF(AND($F8="",$G8=""),0,IF($F8="",$G8,IF($G8="",$F8,MIN($F8,$G8))))</f>
      </c>
      <c r="W8">
        <f>IF(AND($H8="Index",$I8&lt;&gt;""),$I8,Mietsteigerung)</f>
      </c>
      <c r="X8">
        <f>IF(OR($E8="",$E8&gt;Stichtag),0,IF(AND($V8&gt;0,$V8&lt;Stichtag),0,1))</f>
      </c>
      <c r="Y8">
        <f>IF($X8=0,0,IF(Stichtag&gt;=$AC8,$Q8,IF(Stichtag&gt;=$AB8,$N8,IF(Stichtag&gt;=$AA8,$K8,0))))</f>
      </c>
      <c r="Z8">
        <f>IF($X8=0,0,IF(Stichtag&gt;=$AC8,$R8,IF(Stichtag&gt;=$AB8,$O8,IF(Stichtag&gt;=$AA8,$L8,0))))</f>
      </c>
      <c r="AA8">
        <f>IF($J8="",999999,$J8)</f>
      </c>
      <c r="AB8">
        <f>IF($M8="",999999,$M8)</f>
      </c>
      <c r="AC8">
        <f>IF($P8="",999999,$P8)</f>
      </c>
    </row>
    <row r="9">
      <c r="A9"/>
      <c r="B9" s="26">
        <v>2</v>
      </c>
      <c r="C9" s="15"/>
      <c r="D9" s="15"/>
      <c r="E9" s="18"/>
      <c r="F9" s="18"/>
      <c r="G9" s="18"/>
      <c r="H9" s="15"/>
      <c r="I9" s="22"/>
      <c r="J9" s="18"/>
      <c r="K9" s="28"/>
      <c r="L9" s="28"/>
      <c r="M9" s="18"/>
      <c r="N9" s="28"/>
      <c r="O9" s="28"/>
      <c r="P9" s="18"/>
      <c r="Q9" s="28"/>
      <c r="R9" s="28"/>
      <c r="S9"/>
      <c r="T9">
        <f>IFERROR(MATCH($C9,EhAnzeige,0),0)</f>
      </c>
      <c r="U9">
        <f>IF($T9=0,0,INDEX(EhObj,$T9))</f>
      </c>
      <c r="V9">
        <f>IF(AND($F9="",$G9=""),0,IF($F9="",$G9,IF($G9="",$F9,MIN($F9,$G9))))</f>
      </c>
      <c r="W9">
        <f>IF(AND($H9="Index",$I9&lt;&gt;""),$I9,Mietsteigerung)</f>
      </c>
      <c r="X9">
        <f>IF(OR($E9="",$E9&gt;Stichtag),0,IF(AND($V9&gt;0,$V9&lt;Stichtag),0,1))</f>
      </c>
      <c r="Y9">
        <f>IF($X9=0,0,IF(Stichtag&gt;=$AC9,$Q9,IF(Stichtag&gt;=$AB9,$N9,IF(Stichtag&gt;=$AA9,$K9,0))))</f>
      </c>
      <c r="Z9">
        <f>IF($X9=0,0,IF(Stichtag&gt;=$AC9,$R9,IF(Stichtag&gt;=$AB9,$O9,IF(Stichtag&gt;=$AA9,$L9,0))))</f>
      </c>
      <c r="AA9">
        <f>IF($J9="",999999,$J9)</f>
      </c>
      <c r="AB9">
        <f>IF($M9="",999999,$M9)</f>
      </c>
      <c r="AC9">
        <f>IF($P9="",999999,$P9)</f>
      </c>
    </row>
    <row r="10">
      <c r="A10"/>
      <c r="B10" s="26">
        <v>3</v>
      </c>
      <c r="C10" s="15"/>
      <c r="D10" s="15"/>
      <c r="E10" s="18"/>
      <c r="F10" s="18"/>
      <c r="G10" s="18"/>
      <c r="H10" s="15"/>
      <c r="I10" s="22"/>
      <c r="J10" s="18"/>
      <c r="K10" s="28"/>
      <c r="L10" s="28"/>
      <c r="M10" s="18"/>
      <c r="N10" s="28"/>
      <c r="O10" s="28"/>
      <c r="P10" s="18"/>
      <c r="Q10" s="28"/>
      <c r="R10" s="28"/>
      <c r="S10"/>
      <c r="T10">
        <f>IFERROR(MATCH($C10,EhAnzeige,0),0)</f>
      </c>
      <c r="U10">
        <f>IF($T10=0,0,INDEX(EhObj,$T10))</f>
      </c>
      <c r="V10">
        <f>IF(AND($F10="",$G10=""),0,IF($F10="",$G10,IF($G10="",$F10,MIN($F10,$G10))))</f>
      </c>
      <c r="W10">
        <f>IF(AND($H10="Index",$I10&lt;&gt;""),$I10,Mietsteigerung)</f>
      </c>
      <c r="X10">
        <f>IF(OR($E10="",$E10&gt;Stichtag),0,IF(AND($V10&gt;0,$V10&lt;Stichtag),0,1))</f>
      </c>
      <c r="Y10">
        <f>IF($X10=0,0,IF(Stichtag&gt;=$AC10,$Q10,IF(Stichtag&gt;=$AB10,$N10,IF(Stichtag&gt;=$AA10,$K10,0))))</f>
      </c>
      <c r="Z10">
        <f>IF($X10=0,0,IF(Stichtag&gt;=$AC10,$R10,IF(Stichtag&gt;=$AB10,$O10,IF(Stichtag&gt;=$AA10,$L10,0))))</f>
      </c>
      <c r="AA10">
        <f>IF($J10="",999999,$J10)</f>
      </c>
      <c r="AB10">
        <f>IF($M10="",999999,$M10)</f>
      </c>
      <c r="AC10">
        <f>IF($P10="",999999,$P10)</f>
      </c>
    </row>
    <row r="11">
      <c r="A11"/>
      <c r="B11" s="26">
        <v>4</v>
      </c>
      <c r="C11" s="15"/>
      <c r="D11" s="15"/>
      <c r="E11" s="18"/>
      <c r="F11" s="18"/>
      <c r="G11" s="18"/>
      <c r="H11" s="15"/>
      <c r="I11" s="22"/>
      <c r="J11" s="18"/>
      <c r="K11" s="28"/>
      <c r="L11" s="28"/>
      <c r="M11" s="18"/>
      <c r="N11" s="28"/>
      <c r="O11" s="28"/>
      <c r="P11" s="18"/>
      <c r="Q11" s="28"/>
      <c r="R11" s="28"/>
      <c r="S11"/>
      <c r="T11">
        <f>IFERROR(MATCH($C11,EhAnzeige,0),0)</f>
      </c>
      <c r="U11">
        <f>IF($T11=0,0,INDEX(EhObj,$T11))</f>
      </c>
      <c r="V11">
        <f>IF(AND($F11="",$G11=""),0,IF($F11="",$G11,IF($G11="",$F11,MIN($F11,$G11))))</f>
      </c>
      <c r="W11">
        <f>IF(AND($H11="Index",$I11&lt;&gt;""),$I11,Mietsteigerung)</f>
      </c>
      <c r="X11">
        <f>IF(OR($E11="",$E11&gt;Stichtag),0,IF(AND($V11&gt;0,$V11&lt;Stichtag),0,1))</f>
      </c>
      <c r="Y11">
        <f>IF($X11=0,0,IF(Stichtag&gt;=$AC11,$Q11,IF(Stichtag&gt;=$AB11,$N11,IF(Stichtag&gt;=$AA11,$K11,0))))</f>
      </c>
      <c r="Z11">
        <f>IF($X11=0,0,IF(Stichtag&gt;=$AC11,$R11,IF(Stichtag&gt;=$AB11,$O11,IF(Stichtag&gt;=$AA11,$L11,0))))</f>
      </c>
      <c r="AA11">
        <f>IF($J11="",999999,$J11)</f>
      </c>
      <c r="AB11">
        <f>IF($M11="",999999,$M11)</f>
      </c>
      <c r="AC11">
        <f>IF($P11="",999999,$P11)</f>
      </c>
    </row>
    <row r="12">
      <c r="A12"/>
      <c r="B12" s="26">
        <v>5</v>
      </c>
      <c r="C12" s="15"/>
      <c r="D12" s="15"/>
      <c r="E12" s="18"/>
      <c r="F12" s="18"/>
      <c r="G12" s="18"/>
      <c r="H12" s="15"/>
      <c r="I12" s="22"/>
      <c r="J12" s="18"/>
      <c r="K12" s="28"/>
      <c r="L12" s="28"/>
      <c r="M12" s="18"/>
      <c r="N12" s="28"/>
      <c r="O12" s="28"/>
      <c r="P12" s="18"/>
      <c r="Q12" s="28"/>
      <c r="R12" s="28"/>
      <c r="S12"/>
      <c r="T12">
        <f>IFERROR(MATCH($C12,EhAnzeige,0),0)</f>
      </c>
      <c r="U12">
        <f>IF($T12=0,0,INDEX(EhObj,$T12))</f>
      </c>
      <c r="V12">
        <f>IF(AND($F12="",$G12=""),0,IF($F12="",$G12,IF($G12="",$F12,MIN($F12,$G12))))</f>
      </c>
      <c r="W12">
        <f>IF(AND($H12="Index",$I12&lt;&gt;""),$I12,Mietsteigerung)</f>
      </c>
      <c r="X12">
        <f>IF(OR($E12="",$E12&gt;Stichtag),0,IF(AND($V12&gt;0,$V12&lt;Stichtag),0,1))</f>
      </c>
      <c r="Y12">
        <f>IF($X12=0,0,IF(Stichtag&gt;=$AC12,$Q12,IF(Stichtag&gt;=$AB12,$N12,IF(Stichtag&gt;=$AA12,$K12,0))))</f>
      </c>
      <c r="Z12">
        <f>IF($X12=0,0,IF(Stichtag&gt;=$AC12,$R12,IF(Stichtag&gt;=$AB12,$O12,IF(Stichtag&gt;=$AA12,$L12,0))))</f>
      </c>
      <c r="AA12">
        <f>IF($J12="",999999,$J12)</f>
      </c>
      <c r="AB12">
        <f>IF($M12="",999999,$M12)</f>
      </c>
      <c r="AC12">
        <f>IF($P12="",999999,$P12)</f>
      </c>
    </row>
    <row r="13">
      <c r="A13"/>
      <c r="B13" s="26">
        <v>6</v>
      </c>
      <c r="C13" s="15"/>
      <c r="D13" s="15"/>
      <c r="E13" s="18"/>
      <c r="F13" s="18"/>
      <c r="G13" s="18"/>
      <c r="H13" s="15"/>
      <c r="I13" s="22"/>
      <c r="J13" s="18"/>
      <c r="K13" s="28"/>
      <c r="L13" s="28"/>
      <c r="M13" s="18"/>
      <c r="N13" s="28"/>
      <c r="O13" s="28"/>
      <c r="P13" s="18"/>
      <c r="Q13" s="28"/>
      <c r="R13" s="28"/>
      <c r="S13"/>
      <c r="T13">
        <f>IFERROR(MATCH($C13,EhAnzeige,0),0)</f>
      </c>
      <c r="U13">
        <f>IF($T13=0,0,INDEX(EhObj,$T13))</f>
      </c>
      <c r="V13">
        <f>IF(AND($F13="",$G13=""),0,IF($F13="",$G13,IF($G13="",$F13,MIN($F13,$G13))))</f>
      </c>
      <c r="W13">
        <f>IF(AND($H13="Index",$I13&lt;&gt;""),$I13,Mietsteigerung)</f>
      </c>
      <c r="X13">
        <f>IF(OR($E13="",$E13&gt;Stichtag),0,IF(AND($V13&gt;0,$V13&lt;Stichtag),0,1))</f>
      </c>
      <c r="Y13">
        <f>IF($X13=0,0,IF(Stichtag&gt;=$AC13,$Q13,IF(Stichtag&gt;=$AB13,$N13,IF(Stichtag&gt;=$AA13,$K13,0))))</f>
      </c>
      <c r="Z13">
        <f>IF($X13=0,0,IF(Stichtag&gt;=$AC13,$R13,IF(Stichtag&gt;=$AB13,$O13,IF(Stichtag&gt;=$AA13,$L13,0))))</f>
      </c>
      <c r="AA13">
        <f>IF($J13="",999999,$J13)</f>
      </c>
      <c r="AB13">
        <f>IF($M13="",999999,$M13)</f>
      </c>
      <c r="AC13">
        <f>IF($P13="",999999,$P13)</f>
      </c>
    </row>
    <row r="14">
      <c r="A14"/>
      <c r="B14" s="26">
        <v>7</v>
      </c>
      <c r="C14" s="15"/>
      <c r="D14" s="15"/>
      <c r="E14" s="18"/>
      <c r="F14" s="18"/>
      <c r="G14" s="18"/>
      <c r="H14" s="15"/>
      <c r="I14" s="22"/>
      <c r="J14" s="18"/>
      <c r="K14" s="28"/>
      <c r="L14" s="28"/>
      <c r="M14" s="18"/>
      <c r="N14" s="28"/>
      <c r="O14" s="28"/>
      <c r="P14" s="18"/>
      <c r="Q14" s="28"/>
      <c r="R14" s="28"/>
      <c r="S14"/>
      <c r="T14">
        <f>IFERROR(MATCH($C14,EhAnzeige,0),0)</f>
      </c>
      <c r="U14">
        <f>IF($T14=0,0,INDEX(EhObj,$T14))</f>
      </c>
      <c r="V14">
        <f>IF(AND($F14="",$G14=""),0,IF($F14="",$G14,IF($G14="",$F14,MIN($F14,$G14))))</f>
      </c>
      <c r="W14">
        <f>IF(AND($H14="Index",$I14&lt;&gt;""),$I14,Mietsteigerung)</f>
      </c>
      <c r="X14">
        <f>IF(OR($E14="",$E14&gt;Stichtag),0,IF(AND($V14&gt;0,$V14&lt;Stichtag),0,1))</f>
      </c>
      <c r="Y14">
        <f>IF($X14=0,0,IF(Stichtag&gt;=$AC14,$Q14,IF(Stichtag&gt;=$AB14,$N14,IF(Stichtag&gt;=$AA14,$K14,0))))</f>
      </c>
      <c r="Z14">
        <f>IF($X14=0,0,IF(Stichtag&gt;=$AC14,$R14,IF(Stichtag&gt;=$AB14,$O14,IF(Stichtag&gt;=$AA14,$L14,0))))</f>
      </c>
      <c r="AA14">
        <f>IF($J14="",999999,$J14)</f>
      </c>
      <c r="AB14">
        <f>IF($M14="",999999,$M14)</f>
      </c>
      <c r="AC14">
        <f>IF($P14="",999999,$P14)</f>
      </c>
    </row>
    <row r="15">
      <c r="A15"/>
      <c r="B15" s="26">
        <v>8</v>
      </c>
      <c r="C15" s="15"/>
      <c r="D15" s="15"/>
      <c r="E15" s="18"/>
      <c r="F15" s="18"/>
      <c r="G15" s="18"/>
      <c r="H15" s="15"/>
      <c r="I15" s="22"/>
      <c r="J15" s="18"/>
      <c r="K15" s="28"/>
      <c r="L15" s="28"/>
      <c r="M15" s="18"/>
      <c r="N15" s="28"/>
      <c r="O15" s="28"/>
      <c r="P15" s="18"/>
      <c r="Q15" s="28"/>
      <c r="R15" s="28"/>
      <c r="S15"/>
      <c r="T15">
        <f>IFERROR(MATCH($C15,EhAnzeige,0),0)</f>
      </c>
      <c r="U15">
        <f>IF($T15=0,0,INDEX(EhObj,$T15))</f>
      </c>
      <c r="V15">
        <f>IF(AND($F15="",$G15=""),0,IF($F15="",$G15,IF($G15="",$F15,MIN($F15,$G15))))</f>
      </c>
      <c r="W15">
        <f>IF(AND($H15="Index",$I15&lt;&gt;""),$I15,Mietsteigerung)</f>
      </c>
      <c r="X15">
        <f>IF(OR($E15="",$E15&gt;Stichtag),0,IF(AND($V15&gt;0,$V15&lt;Stichtag),0,1))</f>
      </c>
      <c r="Y15">
        <f>IF($X15=0,0,IF(Stichtag&gt;=$AC15,$Q15,IF(Stichtag&gt;=$AB15,$N15,IF(Stichtag&gt;=$AA15,$K15,0))))</f>
      </c>
      <c r="Z15">
        <f>IF($X15=0,0,IF(Stichtag&gt;=$AC15,$R15,IF(Stichtag&gt;=$AB15,$O15,IF(Stichtag&gt;=$AA15,$L15,0))))</f>
      </c>
      <c r="AA15">
        <f>IF($J15="",999999,$J15)</f>
      </c>
      <c r="AB15">
        <f>IF($M15="",999999,$M15)</f>
      </c>
      <c r="AC15">
        <f>IF($P15="",999999,$P15)</f>
      </c>
    </row>
    <row r="16">
      <c r="A16"/>
      <c r="B16" s="26">
        <v>9</v>
      </c>
      <c r="C16" s="15"/>
      <c r="D16" s="15"/>
      <c r="E16" s="18"/>
      <c r="F16" s="18"/>
      <c r="G16" s="18"/>
      <c r="H16" s="15"/>
      <c r="I16" s="22"/>
      <c r="J16" s="18"/>
      <c r="K16" s="28"/>
      <c r="L16" s="28"/>
      <c r="M16" s="18"/>
      <c r="N16" s="28"/>
      <c r="O16" s="28"/>
      <c r="P16" s="18"/>
      <c r="Q16" s="28"/>
      <c r="R16" s="28"/>
      <c r="S16"/>
      <c r="T16">
        <f>IFERROR(MATCH($C16,EhAnzeige,0),0)</f>
      </c>
      <c r="U16">
        <f>IF($T16=0,0,INDEX(EhObj,$T16))</f>
      </c>
      <c r="V16">
        <f>IF(AND($F16="",$G16=""),0,IF($F16="",$G16,IF($G16="",$F16,MIN($F16,$G16))))</f>
      </c>
      <c r="W16">
        <f>IF(AND($H16="Index",$I16&lt;&gt;""),$I16,Mietsteigerung)</f>
      </c>
      <c r="X16">
        <f>IF(OR($E16="",$E16&gt;Stichtag),0,IF(AND($V16&gt;0,$V16&lt;Stichtag),0,1))</f>
      </c>
      <c r="Y16">
        <f>IF($X16=0,0,IF(Stichtag&gt;=$AC16,$Q16,IF(Stichtag&gt;=$AB16,$N16,IF(Stichtag&gt;=$AA16,$K16,0))))</f>
      </c>
      <c r="Z16">
        <f>IF($X16=0,0,IF(Stichtag&gt;=$AC16,$R16,IF(Stichtag&gt;=$AB16,$O16,IF(Stichtag&gt;=$AA16,$L16,0))))</f>
      </c>
      <c r="AA16">
        <f>IF($J16="",999999,$J16)</f>
      </c>
      <c r="AB16">
        <f>IF($M16="",999999,$M16)</f>
      </c>
      <c r="AC16">
        <f>IF($P16="",999999,$P16)</f>
      </c>
    </row>
    <row r="17">
      <c r="A17"/>
      <c r="B17" s="26">
        <v>10</v>
      </c>
      <c r="C17" s="15"/>
      <c r="D17" s="15"/>
      <c r="E17" s="18"/>
      <c r="F17" s="18"/>
      <c r="G17" s="18"/>
      <c r="H17" s="15"/>
      <c r="I17" s="22"/>
      <c r="J17" s="18"/>
      <c r="K17" s="28"/>
      <c r="L17" s="28"/>
      <c r="M17" s="18"/>
      <c r="N17" s="28"/>
      <c r="O17" s="28"/>
      <c r="P17" s="18"/>
      <c r="Q17" s="28"/>
      <c r="R17" s="28"/>
      <c r="S17"/>
      <c r="T17">
        <f>IFERROR(MATCH($C17,EhAnzeige,0),0)</f>
      </c>
      <c r="U17">
        <f>IF($T17=0,0,INDEX(EhObj,$T17))</f>
      </c>
      <c r="V17">
        <f>IF(AND($F17="",$G17=""),0,IF($F17="",$G17,IF($G17="",$F17,MIN($F17,$G17))))</f>
      </c>
      <c r="W17">
        <f>IF(AND($H17="Index",$I17&lt;&gt;""),$I17,Mietsteigerung)</f>
      </c>
      <c r="X17">
        <f>IF(OR($E17="",$E17&gt;Stichtag),0,IF(AND($V17&gt;0,$V17&lt;Stichtag),0,1))</f>
      </c>
      <c r="Y17">
        <f>IF($X17=0,0,IF(Stichtag&gt;=$AC17,$Q17,IF(Stichtag&gt;=$AB17,$N17,IF(Stichtag&gt;=$AA17,$K17,0))))</f>
      </c>
      <c r="Z17">
        <f>IF($X17=0,0,IF(Stichtag&gt;=$AC17,$R17,IF(Stichtag&gt;=$AB17,$O17,IF(Stichtag&gt;=$AA17,$L17,0))))</f>
      </c>
      <c r="AA17">
        <f>IF($J17="",999999,$J17)</f>
      </c>
      <c r="AB17">
        <f>IF($M17="",999999,$M17)</f>
      </c>
      <c r="AC17">
        <f>IF($P17="",999999,$P17)</f>
      </c>
    </row>
    <row r="18">
      <c r="A18"/>
      <c r="B18" s="26">
        <v>11</v>
      </c>
      <c r="C18" s="15"/>
      <c r="D18" s="15"/>
      <c r="E18" s="18"/>
      <c r="F18" s="18"/>
      <c r="G18" s="18"/>
      <c r="H18" s="15"/>
      <c r="I18" s="22"/>
      <c r="J18" s="18"/>
      <c r="K18" s="28"/>
      <c r="L18" s="28"/>
      <c r="M18" s="18"/>
      <c r="N18" s="28"/>
      <c r="O18" s="28"/>
      <c r="P18" s="18"/>
      <c r="Q18" s="28"/>
      <c r="R18" s="28"/>
      <c r="S18"/>
      <c r="T18">
        <f>IFERROR(MATCH($C18,EhAnzeige,0),0)</f>
      </c>
      <c r="U18">
        <f>IF($T18=0,0,INDEX(EhObj,$T18))</f>
      </c>
      <c r="V18">
        <f>IF(AND($F18="",$G18=""),0,IF($F18="",$G18,IF($G18="",$F18,MIN($F18,$G18))))</f>
      </c>
      <c r="W18">
        <f>IF(AND($H18="Index",$I18&lt;&gt;""),$I18,Mietsteigerung)</f>
      </c>
      <c r="X18">
        <f>IF(OR($E18="",$E18&gt;Stichtag),0,IF(AND($V18&gt;0,$V18&lt;Stichtag),0,1))</f>
      </c>
      <c r="Y18">
        <f>IF($X18=0,0,IF(Stichtag&gt;=$AC18,$Q18,IF(Stichtag&gt;=$AB18,$N18,IF(Stichtag&gt;=$AA18,$K18,0))))</f>
      </c>
      <c r="Z18">
        <f>IF($X18=0,0,IF(Stichtag&gt;=$AC18,$R18,IF(Stichtag&gt;=$AB18,$O18,IF(Stichtag&gt;=$AA18,$L18,0))))</f>
      </c>
      <c r="AA18">
        <f>IF($J18="",999999,$J18)</f>
      </c>
      <c r="AB18">
        <f>IF($M18="",999999,$M18)</f>
      </c>
      <c r="AC18">
        <f>IF($P18="",999999,$P18)</f>
      </c>
    </row>
    <row r="19">
      <c r="A19"/>
      <c r="B19" s="26">
        <v>12</v>
      </c>
      <c r="C19" s="15"/>
      <c r="D19" s="15"/>
      <c r="E19" s="18"/>
      <c r="F19" s="18"/>
      <c r="G19" s="18"/>
      <c r="H19" s="15"/>
      <c r="I19" s="22"/>
      <c r="J19" s="18"/>
      <c r="K19" s="28"/>
      <c r="L19" s="28"/>
      <c r="M19" s="18"/>
      <c r="N19" s="28"/>
      <c r="O19" s="28"/>
      <c r="P19" s="18"/>
      <c r="Q19" s="28"/>
      <c r="R19" s="28"/>
      <c r="S19"/>
      <c r="T19">
        <f>IFERROR(MATCH($C19,EhAnzeige,0),0)</f>
      </c>
      <c r="U19">
        <f>IF($T19=0,0,INDEX(EhObj,$T19))</f>
      </c>
      <c r="V19">
        <f>IF(AND($F19="",$G19=""),0,IF($F19="",$G19,IF($G19="",$F19,MIN($F19,$G19))))</f>
      </c>
      <c r="W19">
        <f>IF(AND($H19="Index",$I19&lt;&gt;""),$I19,Mietsteigerung)</f>
      </c>
      <c r="X19">
        <f>IF(OR($E19="",$E19&gt;Stichtag),0,IF(AND($V19&gt;0,$V19&lt;Stichtag),0,1))</f>
      </c>
      <c r="Y19">
        <f>IF($X19=0,0,IF(Stichtag&gt;=$AC19,$Q19,IF(Stichtag&gt;=$AB19,$N19,IF(Stichtag&gt;=$AA19,$K19,0))))</f>
      </c>
      <c r="Z19">
        <f>IF($X19=0,0,IF(Stichtag&gt;=$AC19,$R19,IF(Stichtag&gt;=$AB19,$O19,IF(Stichtag&gt;=$AA19,$L19,0))))</f>
      </c>
      <c r="AA19">
        <f>IF($J19="",999999,$J19)</f>
      </c>
      <c r="AB19">
        <f>IF($M19="",999999,$M19)</f>
      </c>
      <c r="AC19">
        <f>IF($P19="",999999,$P19)</f>
      </c>
    </row>
    <row r="20">
      <c r="A20"/>
      <c r="B20" s="26">
        <v>13</v>
      </c>
      <c r="C20" s="15"/>
      <c r="D20" s="15"/>
      <c r="E20" s="18"/>
      <c r="F20" s="18"/>
      <c r="G20" s="18"/>
      <c r="H20" s="15"/>
      <c r="I20" s="22"/>
      <c r="J20" s="18"/>
      <c r="K20" s="28"/>
      <c r="L20" s="28"/>
      <c r="M20" s="18"/>
      <c r="N20" s="28"/>
      <c r="O20" s="28"/>
      <c r="P20" s="18"/>
      <c r="Q20" s="28"/>
      <c r="R20" s="28"/>
      <c r="S20"/>
      <c r="T20">
        <f>IFERROR(MATCH($C20,EhAnzeige,0),0)</f>
      </c>
      <c r="U20">
        <f>IF($T20=0,0,INDEX(EhObj,$T20))</f>
      </c>
      <c r="V20">
        <f>IF(AND($F20="",$G20=""),0,IF($F20="",$G20,IF($G20="",$F20,MIN($F20,$G20))))</f>
      </c>
      <c r="W20">
        <f>IF(AND($H20="Index",$I20&lt;&gt;""),$I20,Mietsteigerung)</f>
      </c>
      <c r="X20">
        <f>IF(OR($E20="",$E20&gt;Stichtag),0,IF(AND($V20&gt;0,$V20&lt;Stichtag),0,1))</f>
      </c>
      <c r="Y20">
        <f>IF($X20=0,0,IF(Stichtag&gt;=$AC20,$Q20,IF(Stichtag&gt;=$AB20,$N20,IF(Stichtag&gt;=$AA20,$K20,0))))</f>
      </c>
      <c r="Z20">
        <f>IF($X20=0,0,IF(Stichtag&gt;=$AC20,$R20,IF(Stichtag&gt;=$AB20,$O20,IF(Stichtag&gt;=$AA20,$L20,0))))</f>
      </c>
      <c r="AA20">
        <f>IF($J20="",999999,$J20)</f>
      </c>
      <c r="AB20">
        <f>IF($M20="",999999,$M20)</f>
      </c>
      <c r="AC20">
        <f>IF($P20="",999999,$P20)</f>
      </c>
    </row>
    <row r="21">
      <c r="A21"/>
      <c r="B21" s="26">
        <v>14</v>
      </c>
      <c r="C21" s="15"/>
      <c r="D21" s="15"/>
      <c r="E21" s="18"/>
      <c r="F21" s="18"/>
      <c r="G21" s="18"/>
      <c r="H21" s="15"/>
      <c r="I21" s="22"/>
      <c r="J21" s="18"/>
      <c r="K21" s="28"/>
      <c r="L21" s="28"/>
      <c r="M21" s="18"/>
      <c r="N21" s="28"/>
      <c r="O21" s="28"/>
      <c r="P21" s="18"/>
      <c r="Q21" s="28"/>
      <c r="R21" s="28"/>
      <c r="S21"/>
      <c r="T21">
        <f>IFERROR(MATCH($C21,EhAnzeige,0),0)</f>
      </c>
      <c r="U21">
        <f>IF($T21=0,0,INDEX(EhObj,$T21))</f>
      </c>
      <c r="V21">
        <f>IF(AND($F21="",$G21=""),0,IF($F21="",$G21,IF($G21="",$F21,MIN($F21,$G21))))</f>
      </c>
      <c r="W21">
        <f>IF(AND($H21="Index",$I21&lt;&gt;""),$I21,Mietsteigerung)</f>
      </c>
      <c r="X21">
        <f>IF(OR($E21="",$E21&gt;Stichtag),0,IF(AND($V21&gt;0,$V21&lt;Stichtag),0,1))</f>
      </c>
      <c r="Y21">
        <f>IF($X21=0,0,IF(Stichtag&gt;=$AC21,$Q21,IF(Stichtag&gt;=$AB21,$N21,IF(Stichtag&gt;=$AA21,$K21,0))))</f>
      </c>
      <c r="Z21">
        <f>IF($X21=0,0,IF(Stichtag&gt;=$AC21,$R21,IF(Stichtag&gt;=$AB21,$O21,IF(Stichtag&gt;=$AA21,$L21,0))))</f>
      </c>
      <c r="AA21">
        <f>IF($J21="",999999,$J21)</f>
      </c>
      <c r="AB21">
        <f>IF($M21="",999999,$M21)</f>
      </c>
      <c r="AC21">
        <f>IF($P21="",999999,$P21)</f>
      </c>
    </row>
    <row r="22">
      <c r="A22"/>
      <c r="B22" s="26">
        <v>15</v>
      </c>
      <c r="C22" s="15"/>
      <c r="D22" s="15"/>
      <c r="E22" s="18"/>
      <c r="F22" s="18"/>
      <c r="G22" s="18"/>
      <c r="H22" s="15"/>
      <c r="I22" s="22"/>
      <c r="J22" s="18"/>
      <c r="K22" s="28"/>
      <c r="L22" s="28"/>
      <c r="M22" s="18"/>
      <c r="N22" s="28"/>
      <c r="O22" s="28"/>
      <c r="P22" s="18"/>
      <c r="Q22" s="28"/>
      <c r="R22" s="28"/>
      <c r="S22"/>
      <c r="T22">
        <f>IFERROR(MATCH($C22,EhAnzeige,0),0)</f>
      </c>
      <c r="U22">
        <f>IF($T22=0,0,INDEX(EhObj,$T22))</f>
      </c>
      <c r="V22">
        <f>IF(AND($F22="",$G22=""),0,IF($F22="",$G22,IF($G22="",$F22,MIN($F22,$G22))))</f>
      </c>
      <c r="W22">
        <f>IF(AND($H22="Index",$I22&lt;&gt;""),$I22,Mietsteigerung)</f>
      </c>
      <c r="X22">
        <f>IF(OR($E22="",$E22&gt;Stichtag),0,IF(AND($V22&gt;0,$V22&lt;Stichtag),0,1))</f>
      </c>
      <c r="Y22">
        <f>IF($X22=0,0,IF(Stichtag&gt;=$AC22,$Q22,IF(Stichtag&gt;=$AB22,$N22,IF(Stichtag&gt;=$AA22,$K22,0))))</f>
      </c>
      <c r="Z22">
        <f>IF($X22=0,0,IF(Stichtag&gt;=$AC22,$R22,IF(Stichtag&gt;=$AB22,$O22,IF(Stichtag&gt;=$AA22,$L22,0))))</f>
      </c>
      <c r="AA22">
        <f>IF($J22="",999999,$J22)</f>
      </c>
      <c r="AB22">
        <f>IF($M22="",999999,$M22)</f>
      </c>
      <c r="AC22">
        <f>IF($P22="",999999,$P22)</f>
      </c>
    </row>
    <row r="23">
      <c r="A23"/>
      <c r="B23" s="26">
        <v>16</v>
      </c>
      <c r="C23" s="15"/>
      <c r="D23" s="15"/>
      <c r="E23" s="18"/>
      <c r="F23" s="18"/>
      <c r="G23" s="18"/>
      <c r="H23" s="15"/>
      <c r="I23" s="22"/>
      <c r="J23" s="18"/>
      <c r="K23" s="28"/>
      <c r="L23" s="28"/>
      <c r="M23" s="18"/>
      <c r="N23" s="28"/>
      <c r="O23" s="28"/>
      <c r="P23" s="18"/>
      <c r="Q23" s="28"/>
      <c r="R23" s="28"/>
      <c r="S23"/>
      <c r="T23">
        <f>IFERROR(MATCH($C23,EhAnzeige,0),0)</f>
      </c>
      <c r="U23">
        <f>IF($T23=0,0,INDEX(EhObj,$T23))</f>
      </c>
      <c r="V23">
        <f>IF(AND($F23="",$G23=""),0,IF($F23="",$G23,IF($G23="",$F23,MIN($F23,$G23))))</f>
      </c>
      <c r="W23">
        <f>IF(AND($H23="Index",$I23&lt;&gt;""),$I23,Mietsteigerung)</f>
      </c>
      <c r="X23">
        <f>IF(OR($E23="",$E23&gt;Stichtag),0,IF(AND($V23&gt;0,$V23&lt;Stichtag),0,1))</f>
      </c>
      <c r="Y23">
        <f>IF($X23=0,0,IF(Stichtag&gt;=$AC23,$Q23,IF(Stichtag&gt;=$AB23,$N23,IF(Stichtag&gt;=$AA23,$K23,0))))</f>
      </c>
      <c r="Z23">
        <f>IF($X23=0,0,IF(Stichtag&gt;=$AC23,$R23,IF(Stichtag&gt;=$AB23,$O23,IF(Stichtag&gt;=$AA23,$L23,0))))</f>
      </c>
      <c r="AA23">
        <f>IF($J23="",999999,$J23)</f>
      </c>
      <c r="AB23">
        <f>IF($M23="",999999,$M23)</f>
      </c>
      <c r="AC23">
        <f>IF($P23="",999999,$P23)</f>
      </c>
    </row>
    <row r="24">
      <c r="A24"/>
      <c r="B24" s="26">
        <v>17</v>
      </c>
      <c r="C24" s="15"/>
      <c r="D24" s="15"/>
      <c r="E24" s="18"/>
      <c r="F24" s="18"/>
      <c r="G24" s="18"/>
      <c r="H24" s="15"/>
      <c r="I24" s="22"/>
      <c r="J24" s="18"/>
      <c r="K24" s="28"/>
      <c r="L24" s="28"/>
      <c r="M24" s="18"/>
      <c r="N24" s="28"/>
      <c r="O24" s="28"/>
      <c r="P24" s="18"/>
      <c r="Q24" s="28"/>
      <c r="R24" s="28"/>
      <c r="S24"/>
      <c r="T24">
        <f>IFERROR(MATCH($C24,EhAnzeige,0),0)</f>
      </c>
      <c r="U24">
        <f>IF($T24=0,0,INDEX(EhObj,$T24))</f>
      </c>
      <c r="V24">
        <f>IF(AND($F24="",$G24=""),0,IF($F24="",$G24,IF($G24="",$F24,MIN($F24,$G24))))</f>
      </c>
      <c r="W24">
        <f>IF(AND($H24="Index",$I24&lt;&gt;""),$I24,Mietsteigerung)</f>
      </c>
      <c r="X24">
        <f>IF(OR($E24="",$E24&gt;Stichtag),0,IF(AND($V24&gt;0,$V24&lt;Stichtag),0,1))</f>
      </c>
      <c r="Y24">
        <f>IF($X24=0,0,IF(Stichtag&gt;=$AC24,$Q24,IF(Stichtag&gt;=$AB24,$N24,IF(Stichtag&gt;=$AA24,$K24,0))))</f>
      </c>
      <c r="Z24">
        <f>IF($X24=0,0,IF(Stichtag&gt;=$AC24,$R24,IF(Stichtag&gt;=$AB24,$O24,IF(Stichtag&gt;=$AA24,$L24,0))))</f>
      </c>
      <c r="AA24">
        <f>IF($J24="",999999,$J24)</f>
      </c>
      <c r="AB24">
        <f>IF($M24="",999999,$M24)</f>
      </c>
      <c r="AC24">
        <f>IF($P24="",999999,$P24)</f>
      </c>
    </row>
    <row r="25">
      <c r="A25"/>
      <c r="B25" s="26">
        <v>18</v>
      </c>
      <c r="C25" s="15"/>
      <c r="D25" s="15"/>
      <c r="E25" s="18"/>
      <c r="F25" s="18"/>
      <c r="G25" s="18"/>
      <c r="H25" s="15"/>
      <c r="I25" s="22"/>
      <c r="J25" s="18"/>
      <c r="K25" s="28"/>
      <c r="L25" s="28"/>
      <c r="M25" s="18"/>
      <c r="N25" s="28"/>
      <c r="O25" s="28"/>
      <c r="P25" s="18"/>
      <c r="Q25" s="28"/>
      <c r="R25" s="28"/>
      <c r="S25"/>
      <c r="T25">
        <f>IFERROR(MATCH($C25,EhAnzeige,0),0)</f>
      </c>
      <c r="U25">
        <f>IF($T25=0,0,INDEX(EhObj,$T25))</f>
      </c>
      <c r="V25">
        <f>IF(AND($F25="",$G25=""),0,IF($F25="",$G25,IF($G25="",$F25,MIN($F25,$G25))))</f>
      </c>
      <c r="W25">
        <f>IF(AND($H25="Index",$I25&lt;&gt;""),$I25,Mietsteigerung)</f>
      </c>
      <c r="X25">
        <f>IF(OR($E25="",$E25&gt;Stichtag),0,IF(AND($V25&gt;0,$V25&lt;Stichtag),0,1))</f>
      </c>
      <c r="Y25">
        <f>IF($X25=0,0,IF(Stichtag&gt;=$AC25,$Q25,IF(Stichtag&gt;=$AB25,$N25,IF(Stichtag&gt;=$AA25,$K25,0))))</f>
      </c>
      <c r="Z25">
        <f>IF($X25=0,0,IF(Stichtag&gt;=$AC25,$R25,IF(Stichtag&gt;=$AB25,$O25,IF(Stichtag&gt;=$AA25,$L25,0))))</f>
      </c>
      <c r="AA25">
        <f>IF($J25="",999999,$J25)</f>
      </c>
      <c r="AB25">
        <f>IF($M25="",999999,$M25)</f>
      </c>
      <c r="AC25">
        <f>IF($P25="",999999,$P25)</f>
      </c>
    </row>
    <row r="26">
      <c r="A26"/>
      <c r="B26" s="26">
        <v>19</v>
      </c>
      <c r="C26" s="15"/>
      <c r="D26" s="15"/>
      <c r="E26" s="18"/>
      <c r="F26" s="18"/>
      <c r="G26" s="18"/>
      <c r="H26" s="15"/>
      <c r="I26" s="22"/>
      <c r="J26" s="18"/>
      <c r="K26" s="28"/>
      <c r="L26" s="28"/>
      <c r="M26" s="18"/>
      <c r="N26" s="28"/>
      <c r="O26" s="28"/>
      <c r="P26" s="18"/>
      <c r="Q26" s="28"/>
      <c r="R26" s="28"/>
      <c r="S26"/>
      <c r="T26">
        <f>IFERROR(MATCH($C26,EhAnzeige,0),0)</f>
      </c>
      <c r="U26">
        <f>IF($T26=0,0,INDEX(EhObj,$T26))</f>
      </c>
      <c r="V26">
        <f>IF(AND($F26="",$G26=""),0,IF($F26="",$G26,IF($G26="",$F26,MIN($F26,$G26))))</f>
      </c>
      <c r="W26">
        <f>IF(AND($H26="Index",$I26&lt;&gt;""),$I26,Mietsteigerung)</f>
      </c>
      <c r="X26">
        <f>IF(OR($E26="",$E26&gt;Stichtag),0,IF(AND($V26&gt;0,$V26&lt;Stichtag),0,1))</f>
      </c>
      <c r="Y26">
        <f>IF($X26=0,0,IF(Stichtag&gt;=$AC26,$Q26,IF(Stichtag&gt;=$AB26,$N26,IF(Stichtag&gt;=$AA26,$K26,0))))</f>
      </c>
      <c r="Z26">
        <f>IF($X26=0,0,IF(Stichtag&gt;=$AC26,$R26,IF(Stichtag&gt;=$AB26,$O26,IF(Stichtag&gt;=$AA26,$L26,0))))</f>
      </c>
      <c r="AA26">
        <f>IF($J26="",999999,$J26)</f>
      </c>
      <c r="AB26">
        <f>IF($M26="",999999,$M26)</f>
      </c>
      <c r="AC26">
        <f>IF($P26="",999999,$P26)</f>
      </c>
    </row>
    <row r="27">
      <c r="A27"/>
      <c r="B27" s="26">
        <v>20</v>
      </c>
      <c r="C27" s="15"/>
      <c r="D27" s="15"/>
      <c r="E27" s="18"/>
      <c r="F27" s="18"/>
      <c r="G27" s="18"/>
      <c r="H27" s="15"/>
      <c r="I27" s="22"/>
      <c r="J27" s="18"/>
      <c r="K27" s="28"/>
      <c r="L27" s="28"/>
      <c r="M27" s="18"/>
      <c r="N27" s="28"/>
      <c r="O27" s="28"/>
      <c r="P27" s="18"/>
      <c r="Q27" s="28"/>
      <c r="R27" s="28"/>
      <c r="S27"/>
      <c r="T27">
        <f>IFERROR(MATCH($C27,EhAnzeige,0),0)</f>
      </c>
      <c r="U27">
        <f>IF($T27=0,0,INDEX(EhObj,$T27))</f>
      </c>
      <c r="V27">
        <f>IF(AND($F27="",$G27=""),0,IF($F27="",$G27,IF($G27="",$F27,MIN($F27,$G27))))</f>
      </c>
      <c r="W27">
        <f>IF(AND($H27="Index",$I27&lt;&gt;""),$I27,Mietsteigerung)</f>
      </c>
      <c r="X27">
        <f>IF(OR($E27="",$E27&gt;Stichtag),0,IF(AND($V27&gt;0,$V27&lt;Stichtag),0,1))</f>
      </c>
      <c r="Y27">
        <f>IF($X27=0,0,IF(Stichtag&gt;=$AC27,$Q27,IF(Stichtag&gt;=$AB27,$N27,IF(Stichtag&gt;=$AA27,$K27,0))))</f>
      </c>
      <c r="Z27">
        <f>IF($X27=0,0,IF(Stichtag&gt;=$AC27,$R27,IF(Stichtag&gt;=$AB27,$O27,IF(Stichtag&gt;=$AA27,$L27,0))))</f>
      </c>
      <c r="AA27">
        <f>IF($J27="",999999,$J27)</f>
      </c>
      <c r="AB27">
        <f>IF($M27="",999999,$M27)</f>
      </c>
      <c r="AC27">
        <f>IF($P27="",999999,$P27)</f>
      </c>
    </row>
    <row r="28">
      <c r="A28"/>
      <c r="B28" s="26">
        <v>21</v>
      </c>
      <c r="C28" s="15"/>
      <c r="D28" s="15"/>
      <c r="E28" s="18"/>
      <c r="F28" s="18"/>
      <c r="G28" s="18"/>
      <c r="H28" s="15"/>
      <c r="I28" s="22"/>
      <c r="J28" s="18"/>
      <c r="K28" s="28"/>
      <c r="L28" s="28"/>
      <c r="M28" s="18"/>
      <c r="N28" s="28"/>
      <c r="O28" s="28"/>
      <c r="P28" s="18"/>
      <c r="Q28" s="28"/>
      <c r="R28" s="28"/>
      <c r="S28"/>
      <c r="T28">
        <f>IFERROR(MATCH($C28,EhAnzeige,0),0)</f>
      </c>
      <c r="U28">
        <f>IF($T28=0,0,INDEX(EhObj,$T28))</f>
      </c>
      <c r="V28">
        <f>IF(AND($F28="",$G28=""),0,IF($F28="",$G28,IF($G28="",$F28,MIN($F28,$G28))))</f>
      </c>
      <c r="W28">
        <f>IF(AND($H28="Index",$I28&lt;&gt;""),$I28,Mietsteigerung)</f>
      </c>
      <c r="X28">
        <f>IF(OR($E28="",$E28&gt;Stichtag),0,IF(AND($V28&gt;0,$V28&lt;Stichtag),0,1))</f>
      </c>
      <c r="Y28">
        <f>IF($X28=0,0,IF(Stichtag&gt;=$AC28,$Q28,IF(Stichtag&gt;=$AB28,$N28,IF(Stichtag&gt;=$AA28,$K28,0))))</f>
      </c>
      <c r="Z28">
        <f>IF($X28=0,0,IF(Stichtag&gt;=$AC28,$R28,IF(Stichtag&gt;=$AB28,$O28,IF(Stichtag&gt;=$AA28,$L28,0))))</f>
      </c>
      <c r="AA28">
        <f>IF($J28="",999999,$J28)</f>
      </c>
      <c r="AB28">
        <f>IF($M28="",999999,$M28)</f>
      </c>
      <c r="AC28">
        <f>IF($P28="",999999,$P28)</f>
      </c>
    </row>
    <row r="29">
      <c r="A29"/>
      <c r="B29" s="26">
        <v>22</v>
      </c>
      <c r="C29" s="15"/>
      <c r="D29" s="15"/>
      <c r="E29" s="18"/>
      <c r="F29" s="18"/>
      <c r="G29" s="18"/>
      <c r="H29" s="15"/>
      <c r="I29" s="22"/>
      <c r="J29" s="18"/>
      <c r="K29" s="28"/>
      <c r="L29" s="28"/>
      <c r="M29" s="18"/>
      <c r="N29" s="28"/>
      <c r="O29" s="28"/>
      <c r="P29" s="18"/>
      <c r="Q29" s="28"/>
      <c r="R29" s="28"/>
      <c r="S29"/>
      <c r="T29">
        <f>IFERROR(MATCH($C29,EhAnzeige,0),0)</f>
      </c>
      <c r="U29">
        <f>IF($T29=0,0,INDEX(EhObj,$T29))</f>
      </c>
      <c r="V29">
        <f>IF(AND($F29="",$G29=""),0,IF($F29="",$G29,IF($G29="",$F29,MIN($F29,$G29))))</f>
      </c>
      <c r="W29">
        <f>IF(AND($H29="Index",$I29&lt;&gt;""),$I29,Mietsteigerung)</f>
      </c>
      <c r="X29">
        <f>IF(OR($E29="",$E29&gt;Stichtag),0,IF(AND($V29&gt;0,$V29&lt;Stichtag),0,1))</f>
      </c>
      <c r="Y29">
        <f>IF($X29=0,0,IF(Stichtag&gt;=$AC29,$Q29,IF(Stichtag&gt;=$AB29,$N29,IF(Stichtag&gt;=$AA29,$K29,0))))</f>
      </c>
      <c r="Z29">
        <f>IF($X29=0,0,IF(Stichtag&gt;=$AC29,$R29,IF(Stichtag&gt;=$AB29,$O29,IF(Stichtag&gt;=$AA29,$L29,0))))</f>
      </c>
      <c r="AA29">
        <f>IF($J29="",999999,$J29)</f>
      </c>
      <c r="AB29">
        <f>IF($M29="",999999,$M29)</f>
      </c>
      <c r="AC29">
        <f>IF($P29="",999999,$P29)</f>
      </c>
    </row>
    <row r="30">
      <c r="A30"/>
      <c r="B30" s="26">
        <v>23</v>
      </c>
      <c r="C30" s="15"/>
      <c r="D30" s="15"/>
      <c r="E30" s="18"/>
      <c r="F30" s="18"/>
      <c r="G30" s="18"/>
      <c r="H30" s="15"/>
      <c r="I30" s="22"/>
      <c r="J30" s="18"/>
      <c r="K30" s="28"/>
      <c r="L30" s="28"/>
      <c r="M30" s="18"/>
      <c r="N30" s="28"/>
      <c r="O30" s="28"/>
      <c r="P30" s="18"/>
      <c r="Q30" s="28"/>
      <c r="R30" s="28"/>
      <c r="S30"/>
      <c r="T30">
        <f>IFERROR(MATCH($C30,EhAnzeige,0),0)</f>
      </c>
      <c r="U30">
        <f>IF($T30=0,0,INDEX(EhObj,$T30))</f>
      </c>
      <c r="V30">
        <f>IF(AND($F30="",$G30=""),0,IF($F30="",$G30,IF($G30="",$F30,MIN($F30,$G30))))</f>
      </c>
      <c r="W30">
        <f>IF(AND($H30="Index",$I30&lt;&gt;""),$I30,Mietsteigerung)</f>
      </c>
      <c r="X30">
        <f>IF(OR($E30="",$E30&gt;Stichtag),0,IF(AND($V30&gt;0,$V30&lt;Stichtag),0,1))</f>
      </c>
      <c r="Y30">
        <f>IF($X30=0,0,IF(Stichtag&gt;=$AC30,$Q30,IF(Stichtag&gt;=$AB30,$N30,IF(Stichtag&gt;=$AA30,$K30,0))))</f>
      </c>
      <c r="Z30">
        <f>IF($X30=0,0,IF(Stichtag&gt;=$AC30,$R30,IF(Stichtag&gt;=$AB30,$O30,IF(Stichtag&gt;=$AA30,$L30,0))))</f>
      </c>
      <c r="AA30">
        <f>IF($J30="",999999,$J30)</f>
      </c>
      <c r="AB30">
        <f>IF($M30="",999999,$M30)</f>
      </c>
      <c r="AC30">
        <f>IF($P30="",999999,$P30)</f>
      </c>
    </row>
    <row r="31">
      <c r="A31"/>
      <c r="B31" s="26">
        <v>24</v>
      </c>
      <c r="C31" s="15"/>
      <c r="D31" s="15"/>
      <c r="E31" s="18"/>
      <c r="F31" s="18"/>
      <c r="G31" s="18"/>
      <c r="H31" s="15"/>
      <c r="I31" s="22"/>
      <c r="J31" s="18"/>
      <c r="K31" s="28"/>
      <c r="L31" s="28"/>
      <c r="M31" s="18"/>
      <c r="N31" s="28"/>
      <c r="O31" s="28"/>
      <c r="P31" s="18"/>
      <c r="Q31" s="28"/>
      <c r="R31" s="28"/>
      <c r="S31"/>
      <c r="T31">
        <f>IFERROR(MATCH($C31,EhAnzeige,0),0)</f>
      </c>
      <c r="U31">
        <f>IF($T31=0,0,INDEX(EhObj,$T31))</f>
      </c>
      <c r="V31">
        <f>IF(AND($F31="",$G31=""),0,IF($F31="",$G31,IF($G31="",$F31,MIN($F31,$G31))))</f>
      </c>
      <c r="W31">
        <f>IF(AND($H31="Index",$I31&lt;&gt;""),$I31,Mietsteigerung)</f>
      </c>
      <c r="X31">
        <f>IF(OR($E31="",$E31&gt;Stichtag),0,IF(AND($V31&gt;0,$V31&lt;Stichtag),0,1))</f>
      </c>
      <c r="Y31">
        <f>IF($X31=0,0,IF(Stichtag&gt;=$AC31,$Q31,IF(Stichtag&gt;=$AB31,$N31,IF(Stichtag&gt;=$AA31,$K31,0))))</f>
      </c>
      <c r="Z31">
        <f>IF($X31=0,0,IF(Stichtag&gt;=$AC31,$R31,IF(Stichtag&gt;=$AB31,$O31,IF(Stichtag&gt;=$AA31,$L31,0))))</f>
      </c>
      <c r="AA31">
        <f>IF($J31="",999999,$J31)</f>
      </c>
      <c r="AB31">
        <f>IF($M31="",999999,$M31)</f>
      </c>
      <c r="AC31">
        <f>IF($P31="",999999,$P31)</f>
      </c>
    </row>
    <row r="32">
      <c r="A32"/>
      <c r="B32" s="26">
        <v>25</v>
      </c>
      <c r="C32" s="15"/>
      <c r="D32" s="15"/>
      <c r="E32" s="18"/>
      <c r="F32" s="18"/>
      <c r="G32" s="18"/>
      <c r="H32" s="15"/>
      <c r="I32" s="22"/>
      <c r="J32" s="18"/>
      <c r="K32" s="28"/>
      <c r="L32" s="28"/>
      <c r="M32" s="18"/>
      <c r="N32" s="28"/>
      <c r="O32" s="28"/>
      <c r="P32" s="18"/>
      <c r="Q32" s="28"/>
      <c r="R32" s="28"/>
      <c r="S32"/>
      <c r="T32">
        <f>IFERROR(MATCH($C32,EhAnzeige,0),0)</f>
      </c>
      <c r="U32">
        <f>IF($T32=0,0,INDEX(EhObj,$T32))</f>
      </c>
      <c r="V32">
        <f>IF(AND($F32="",$G32=""),0,IF($F32="",$G32,IF($G32="",$F32,MIN($F32,$G32))))</f>
      </c>
      <c r="W32">
        <f>IF(AND($H32="Index",$I32&lt;&gt;""),$I32,Mietsteigerung)</f>
      </c>
      <c r="X32">
        <f>IF(OR($E32="",$E32&gt;Stichtag),0,IF(AND($V32&gt;0,$V32&lt;Stichtag),0,1))</f>
      </c>
      <c r="Y32">
        <f>IF($X32=0,0,IF(Stichtag&gt;=$AC32,$Q32,IF(Stichtag&gt;=$AB32,$N32,IF(Stichtag&gt;=$AA32,$K32,0))))</f>
      </c>
      <c r="Z32">
        <f>IF($X32=0,0,IF(Stichtag&gt;=$AC32,$R32,IF(Stichtag&gt;=$AB32,$O32,IF(Stichtag&gt;=$AA32,$L32,0))))</f>
      </c>
      <c r="AA32">
        <f>IF($J32="",999999,$J32)</f>
      </c>
      <c r="AB32">
        <f>IF($M32="",999999,$M32)</f>
      </c>
      <c r="AC32">
        <f>IF($P32="",999999,$P32)</f>
      </c>
    </row>
    <row r="33">
      <c r="A33"/>
      <c r="B33" s="26">
        <v>26</v>
      </c>
      <c r="C33" s="15"/>
      <c r="D33" s="15"/>
      <c r="E33" s="18"/>
      <c r="F33" s="18"/>
      <c r="G33" s="18"/>
      <c r="H33" s="15"/>
      <c r="I33" s="22"/>
      <c r="J33" s="18"/>
      <c r="K33" s="28"/>
      <c r="L33" s="28"/>
      <c r="M33" s="18"/>
      <c r="N33" s="28"/>
      <c r="O33" s="28"/>
      <c r="P33" s="18"/>
      <c r="Q33" s="28"/>
      <c r="R33" s="28"/>
      <c r="S33"/>
      <c r="T33">
        <f>IFERROR(MATCH($C33,EhAnzeige,0),0)</f>
      </c>
      <c r="U33">
        <f>IF($T33=0,0,INDEX(EhObj,$T33))</f>
      </c>
      <c r="V33">
        <f>IF(AND($F33="",$G33=""),0,IF($F33="",$G33,IF($G33="",$F33,MIN($F33,$G33))))</f>
      </c>
      <c r="W33">
        <f>IF(AND($H33="Index",$I33&lt;&gt;""),$I33,Mietsteigerung)</f>
      </c>
      <c r="X33">
        <f>IF(OR($E33="",$E33&gt;Stichtag),0,IF(AND($V33&gt;0,$V33&lt;Stichtag),0,1))</f>
      </c>
      <c r="Y33">
        <f>IF($X33=0,0,IF(Stichtag&gt;=$AC33,$Q33,IF(Stichtag&gt;=$AB33,$N33,IF(Stichtag&gt;=$AA33,$K33,0))))</f>
      </c>
      <c r="Z33">
        <f>IF($X33=0,0,IF(Stichtag&gt;=$AC33,$R33,IF(Stichtag&gt;=$AB33,$O33,IF(Stichtag&gt;=$AA33,$L33,0))))</f>
      </c>
      <c r="AA33">
        <f>IF($J33="",999999,$J33)</f>
      </c>
      <c r="AB33">
        <f>IF($M33="",999999,$M33)</f>
      </c>
      <c r="AC33">
        <f>IF($P33="",999999,$P33)</f>
      </c>
    </row>
    <row r="34">
      <c r="A34"/>
      <c r="B34" s="26">
        <v>27</v>
      </c>
      <c r="C34" s="15"/>
      <c r="D34" s="15"/>
      <c r="E34" s="18"/>
      <c r="F34" s="18"/>
      <c r="G34" s="18"/>
      <c r="H34" s="15"/>
      <c r="I34" s="22"/>
      <c r="J34" s="18"/>
      <c r="K34" s="28"/>
      <c r="L34" s="28"/>
      <c r="M34" s="18"/>
      <c r="N34" s="28"/>
      <c r="O34" s="28"/>
      <c r="P34" s="18"/>
      <c r="Q34" s="28"/>
      <c r="R34" s="28"/>
      <c r="S34"/>
      <c r="T34">
        <f>IFERROR(MATCH($C34,EhAnzeige,0),0)</f>
      </c>
      <c r="U34">
        <f>IF($T34=0,0,INDEX(EhObj,$T34))</f>
      </c>
      <c r="V34">
        <f>IF(AND($F34="",$G34=""),0,IF($F34="",$G34,IF($G34="",$F34,MIN($F34,$G34))))</f>
      </c>
      <c r="W34">
        <f>IF(AND($H34="Index",$I34&lt;&gt;""),$I34,Mietsteigerung)</f>
      </c>
      <c r="X34">
        <f>IF(OR($E34="",$E34&gt;Stichtag),0,IF(AND($V34&gt;0,$V34&lt;Stichtag),0,1))</f>
      </c>
      <c r="Y34">
        <f>IF($X34=0,0,IF(Stichtag&gt;=$AC34,$Q34,IF(Stichtag&gt;=$AB34,$N34,IF(Stichtag&gt;=$AA34,$K34,0))))</f>
      </c>
      <c r="Z34">
        <f>IF($X34=0,0,IF(Stichtag&gt;=$AC34,$R34,IF(Stichtag&gt;=$AB34,$O34,IF(Stichtag&gt;=$AA34,$L34,0))))</f>
      </c>
      <c r="AA34">
        <f>IF($J34="",999999,$J34)</f>
      </c>
      <c r="AB34">
        <f>IF($M34="",999999,$M34)</f>
      </c>
      <c r="AC34">
        <f>IF($P34="",999999,$P34)</f>
      </c>
    </row>
    <row r="35">
      <c r="A35"/>
      <c r="B35" s="26">
        <v>28</v>
      </c>
      <c r="C35" s="15"/>
      <c r="D35" s="15"/>
      <c r="E35" s="18"/>
      <c r="F35" s="18"/>
      <c r="G35" s="18"/>
      <c r="H35" s="15"/>
      <c r="I35" s="22"/>
      <c r="J35" s="18"/>
      <c r="K35" s="28"/>
      <c r="L35" s="28"/>
      <c r="M35" s="18"/>
      <c r="N35" s="28"/>
      <c r="O35" s="28"/>
      <c r="P35" s="18"/>
      <c r="Q35" s="28"/>
      <c r="R35" s="28"/>
      <c r="S35"/>
      <c r="T35">
        <f>IFERROR(MATCH($C35,EhAnzeige,0),0)</f>
      </c>
      <c r="U35">
        <f>IF($T35=0,0,INDEX(EhObj,$T35))</f>
      </c>
      <c r="V35">
        <f>IF(AND($F35="",$G35=""),0,IF($F35="",$G35,IF($G35="",$F35,MIN($F35,$G35))))</f>
      </c>
      <c r="W35">
        <f>IF(AND($H35="Index",$I35&lt;&gt;""),$I35,Mietsteigerung)</f>
      </c>
      <c r="X35">
        <f>IF(OR($E35="",$E35&gt;Stichtag),0,IF(AND($V35&gt;0,$V35&lt;Stichtag),0,1))</f>
      </c>
      <c r="Y35">
        <f>IF($X35=0,0,IF(Stichtag&gt;=$AC35,$Q35,IF(Stichtag&gt;=$AB35,$N35,IF(Stichtag&gt;=$AA35,$K35,0))))</f>
      </c>
      <c r="Z35">
        <f>IF($X35=0,0,IF(Stichtag&gt;=$AC35,$R35,IF(Stichtag&gt;=$AB35,$O35,IF(Stichtag&gt;=$AA35,$L35,0))))</f>
      </c>
      <c r="AA35">
        <f>IF($J35="",999999,$J35)</f>
      </c>
      <c r="AB35">
        <f>IF($M35="",999999,$M35)</f>
      </c>
      <c r="AC35">
        <f>IF($P35="",999999,$P35)</f>
      </c>
    </row>
    <row r="36">
      <c r="A36"/>
      <c r="B36" s="26">
        <v>29</v>
      </c>
      <c r="C36" s="15"/>
      <c r="D36" s="15"/>
      <c r="E36" s="18"/>
      <c r="F36" s="18"/>
      <c r="G36" s="18"/>
      <c r="H36" s="15"/>
      <c r="I36" s="22"/>
      <c r="J36" s="18"/>
      <c r="K36" s="28"/>
      <c r="L36" s="28"/>
      <c r="M36" s="18"/>
      <c r="N36" s="28"/>
      <c r="O36" s="28"/>
      <c r="P36" s="18"/>
      <c r="Q36" s="28"/>
      <c r="R36" s="28"/>
      <c r="S36"/>
      <c r="T36">
        <f>IFERROR(MATCH($C36,EhAnzeige,0),0)</f>
      </c>
      <c r="U36">
        <f>IF($T36=0,0,INDEX(EhObj,$T36))</f>
      </c>
      <c r="V36">
        <f>IF(AND($F36="",$G36=""),0,IF($F36="",$G36,IF($G36="",$F36,MIN($F36,$G36))))</f>
      </c>
      <c r="W36">
        <f>IF(AND($H36="Index",$I36&lt;&gt;""),$I36,Mietsteigerung)</f>
      </c>
      <c r="X36">
        <f>IF(OR($E36="",$E36&gt;Stichtag),0,IF(AND($V36&gt;0,$V36&lt;Stichtag),0,1))</f>
      </c>
      <c r="Y36">
        <f>IF($X36=0,0,IF(Stichtag&gt;=$AC36,$Q36,IF(Stichtag&gt;=$AB36,$N36,IF(Stichtag&gt;=$AA36,$K36,0))))</f>
      </c>
      <c r="Z36">
        <f>IF($X36=0,0,IF(Stichtag&gt;=$AC36,$R36,IF(Stichtag&gt;=$AB36,$O36,IF(Stichtag&gt;=$AA36,$L36,0))))</f>
      </c>
      <c r="AA36">
        <f>IF($J36="",999999,$J36)</f>
      </c>
      <c r="AB36">
        <f>IF($M36="",999999,$M36)</f>
      </c>
      <c r="AC36">
        <f>IF($P36="",999999,$P36)</f>
      </c>
    </row>
    <row r="37">
      <c r="A37"/>
      <c r="B37" s="26">
        <v>30</v>
      </c>
      <c r="C37" s="15"/>
      <c r="D37" s="15"/>
      <c r="E37" s="18"/>
      <c r="F37" s="18"/>
      <c r="G37" s="18"/>
      <c r="H37" s="15"/>
      <c r="I37" s="22"/>
      <c r="J37" s="18"/>
      <c r="K37" s="28"/>
      <c r="L37" s="28"/>
      <c r="M37" s="18"/>
      <c r="N37" s="28"/>
      <c r="O37" s="28"/>
      <c r="P37" s="18"/>
      <c r="Q37" s="28"/>
      <c r="R37" s="28"/>
      <c r="S37"/>
      <c r="T37">
        <f>IFERROR(MATCH($C37,EhAnzeige,0),0)</f>
      </c>
      <c r="U37">
        <f>IF($T37=0,0,INDEX(EhObj,$T37))</f>
      </c>
      <c r="V37">
        <f>IF(AND($F37="",$G37=""),0,IF($F37="",$G37,IF($G37="",$F37,MIN($F37,$G37))))</f>
      </c>
      <c r="W37">
        <f>IF(AND($H37="Index",$I37&lt;&gt;""),$I37,Mietsteigerung)</f>
      </c>
      <c r="X37">
        <f>IF(OR($E37="",$E37&gt;Stichtag),0,IF(AND($V37&gt;0,$V37&lt;Stichtag),0,1))</f>
      </c>
      <c r="Y37">
        <f>IF($X37=0,0,IF(Stichtag&gt;=$AC37,$Q37,IF(Stichtag&gt;=$AB37,$N37,IF(Stichtag&gt;=$AA37,$K37,0))))</f>
      </c>
      <c r="Z37">
        <f>IF($X37=0,0,IF(Stichtag&gt;=$AC37,$R37,IF(Stichtag&gt;=$AB37,$O37,IF(Stichtag&gt;=$AA37,$L37,0))))</f>
      </c>
      <c r="AA37">
        <f>IF($J37="",999999,$J37)</f>
      </c>
      <c r="AB37">
        <f>IF($M37="",999999,$M37)</f>
      </c>
      <c r="AC37">
        <f>IF($P37="",999999,$P37)</f>
      </c>
    </row>
    <row r="40">
      <c r="A40"/>
      <c r="B40" s="4">
        <f>"B · Miete je Objekt zum "&amp;TEXT(DAY(Stichtag),"00")&amp;"."&amp;TEXT(MONTH(Stichtag),"00")&amp;"."&amp;YEAR(Stichtag)</f>
      </c>
    </row>
    <row r="41">
      <c r="A41"/>
      <c r="B41" s="24" t="inlineStr">
        <is>
          <t xml:space="preserve">Nr</t>
        </is>
      </c>
      <c r="C41" s="25" t="inlineStr">
        <is>
          <t xml:space="preserve">Objekt</t>
        </is>
      </c>
      <c r="D41" s="24" t="inlineStr">
        <is>
          <t xml:space="preserve">Einheiten</t>
        </is>
      </c>
      <c r="E41" s="24" t="inlineStr">
        <is>
          <t xml:space="preserve">vermietet</t>
        </is>
      </c>
      <c r="F41" s="24" t="inlineStr">
        <is>
          <t xml:space="preserve">leer</t>
        </is>
      </c>
      <c r="G41" s="24" t="inlineStr">
        <is>
          <t xml:space="preserve">Kaltmiete/M</t>
        </is>
      </c>
      <c r="H41" s="24" t="inlineStr">
        <is>
          <t xml:space="preserve">NK/M</t>
        </is>
      </c>
      <c r="I41" s="24" t="inlineStr">
        <is>
          <t xml:space="preserve">Warmmiete/M</t>
        </is>
      </c>
      <c r="J41" s="24" t="inlineStr">
        <is>
          <t xml:space="preserve">€/m²</t>
        </is>
      </c>
    </row>
    <row r="42">
      <c r="A42"/>
      <c r="B42" s="29">
        <v>1</v>
      </c>
      <c r="C42">
        <f>IF(INDEX(ObjBelegt,1)=0,"–",INDEX(ObjBezeichnung,1))</f>
      </c>
      <c r="D42" s="36">
        <f>IF(INDEX(ObjBelegt,1)=0,"",INDEX(IstEinheiten,1))</f>
      </c>
      <c r="E42" s="36">
        <f>IF(INDEX(ObjBelegt,1)=0,"",INDEX(IstVermietet,1))</f>
      </c>
      <c r="F42" s="36">
        <f>IF(INDEX(ObjBelegt,1)=0,"",INDEX(IstLeerstand,1))</f>
      </c>
      <c r="G42" s="30">
        <f>IF(INDEX(ObjBelegt,1)=0,"",INDEX(IstMieteMonat,1))</f>
      </c>
      <c r="H42" s="30">
        <f>IF(INDEX(ObjBelegt,1)=0,"",INDEX(IstNkMonat,1))</f>
      </c>
      <c r="I42" s="30">
        <f>IF(INDEX(ObjBelegt,1)=0,"",INDEX(IstMieteMonat,1)+INDEX(IstNkMonat,1))</f>
      </c>
      <c r="J42" s="33">
        <f>IF(INDEX(ObjBelegt,1)=0,"",IF(INDEX(IstFlaeche,1)=0,0,INDEX(IstMieteMonat,1)/INDEX(IstFlaeche,1)))</f>
      </c>
    </row>
    <row r="43">
      <c r="A43"/>
      <c r="B43" s="29">
        <v>2</v>
      </c>
      <c r="C43">
        <f>IF(INDEX(ObjBelegt,2)=0,"–",INDEX(ObjBezeichnung,2))</f>
      </c>
      <c r="D43" s="36">
        <f>IF(INDEX(ObjBelegt,2)=0,"",INDEX(IstEinheiten,2))</f>
      </c>
      <c r="E43" s="36">
        <f>IF(INDEX(ObjBelegt,2)=0,"",INDEX(IstVermietet,2))</f>
      </c>
      <c r="F43" s="36">
        <f>IF(INDEX(ObjBelegt,2)=0,"",INDEX(IstLeerstand,2))</f>
      </c>
      <c r="G43" s="30">
        <f>IF(INDEX(ObjBelegt,2)=0,"",INDEX(IstMieteMonat,2))</f>
      </c>
      <c r="H43" s="30">
        <f>IF(INDEX(ObjBelegt,2)=0,"",INDEX(IstNkMonat,2))</f>
      </c>
      <c r="I43" s="30">
        <f>IF(INDEX(ObjBelegt,2)=0,"",INDEX(IstMieteMonat,2)+INDEX(IstNkMonat,2))</f>
      </c>
      <c r="J43" s="33">
        <f>IF(INDEX(ObjBelegt,2)=0,"",IF(INDEX(IstFlaeche,2)=0,0,INDEX(IstMieteMonat,2)/INDEX(IstFlaeche,2)))</f>
      </c>
    </row>
    <row r="44">
      <c r="A44"/>
      <c r="B44" s="29">
        <v>3</v>
      </c>
      <c r="C44">
        <f>IF(INDEX(ObjBelegt,3)=0,"–",INDEX(ObjBezeichnung,3))</f>
      </c>
      <c r="D44" s="36">
        <f>IF(INDEX(ObjBelegt,3)=0,"",INDEX(IstEinheiten,3))</f>
      </c>
      <c r="E44" s="36">
        <f>IF(INDEX(ObjBelegt,3)=0,"",INDEX(IstVermietet,3))</f>
      </c>
      <c r="F44" s="36">
        <f>IF(INDEX(ObjBelegt,3)=0,"",INDEX(IstLeerstand,3))</f>
      </c>
      <c r="G44" s="30">
        <f>IF(INDEX(ObjBelegt,3)=0,"",INDEX(IstMieteMonat,3))</f>
      </c>
      <c r="H44" s="30">
        <f>IF(INDEX(ObjBelegt,3)=0,"",INDEX(IstNkMonat,3))</f>
      </c>
      <c r="I44" s="30">
        <f>IF(INDEX(ObjBelegt,3)=0,"",INDEX(IstMieteMonat,3)+INDEX(IstNkMonat,3))</f>
      </c>
      <c r="J44" s="33">
        <f>IF(INDEX(ObjBelegt,3)=0,"",IF(INDEX(IstFlaeche,3)=0,0,INDEX(IstMieteMonat,3)/INDEX(IstFlaeche,3)))</f>
      </c>
    </row>
    <row r="45">
      <c r="A45"/>
      <c r="B45" s="29">
        <v>4</v>
      </c>
      <c r="C45">
        <f>IF(INDEX(ObjBelegt,4)=0,"–",INDEX(ObjBezeichnung,4))</f>
      </c>
      <c r="D45" s="36">
        <f>IF(INDEX(ObjBelegt,4)=0,"",INDEX(IstEinheiten,4))</f>
      </c>
      <c r="E45" s="36">
        <f>IF(INDEX(ObjBelegt,4)=0,"",INDEX(IstVermietet,4))</f>
      </c>
      <c r="F45" s="36">
        <f>IF(INDEX(ObjBelegt,4)=0,"",INDEX(IstLeerstand,4))</f>
      </c>
      <c r="G45" s="30">
        <f>IF(INDEX(ObjBelegt,4)=0,"",INDEX(IstMieteMonat,4))</f>
      </c>
      <c r="H45" s="30">
        <f>IF(INDEX(ObjBelegt,4)=0,"",INDEX(IstNkMonat,4))</f>
      </c>
      <c r="I45" s="30">
        <f>IF(INDEX(ObjBelegt,4)=0,"",INDEX(IstMieteMonat,4)+INDEX(IstNkMonat,4))</f>
      </c>
      <c r="J45" s="33">
        <f>IF(INDEX(ObjBelegt,4)=0,"",IF(INDEX(IstFlaeche,4)=0,0,INDEX(IstMieteMonat,4)/INDEX(IstFlaeche,4)))</f>
      </c>
    </row>
    <row r="46">
      <c r="A46"/>
      <c r="B46" s="29">
        <v>5</v>
      </c>
      <c r="C46">
        <f>IF(INDEX(ObjBelegt,5)=0,"–",INDEX(ObjBezeichnung,5))</f>
      </c>
      <c r="D46" s="36">
        <f>IF(INDEX(ObjBelegt,5)=0,"",INDEX(IstEinheiten,5))</f>
      </c>
      <c r="E46" s="36">
        <f>IF(INDEX(ObjBelegt,5)=0,"",INDEX(IstVermietet,5))</f>
      </c>
      <c r="F46" s="36">
        <f>IF(INDEX(ObjBelegt,5)=0,"",INDEX(IstLeerstand,5))</f>
      </c>
      <c r="G46" s="30">
        <f>IF(INDEX(ObjBelegt,5)=0,"",INDEX(IstMieteMonat,5))</f>
      </c>
      <c r="H46" s="30">
        <f>IF(INDEX(ObjBelegt,5)=0,"",INDEX(IstNkMonat,5))</f>
      </c>
      <c r="I46" s="30">
        <f>IF(INDEX(ObjBelegt,5)=0,"",INDEX(IstMieteMonat,5)+INDEX(IstNkMonat,5))</f>
      </c>
      <c r="J46" s="33">
        <f>IF(INDEX(ObjBelegt,5)=0,"",IF(INDEX(IstFlaeche,5)=0,0,INDEX(IstMieteMonat,5)/INDEX(IstFlaeche,5)))</f>
      </c>
    </row>
    <row r="47">
      <c r="A47"/>
      <c r="B47" s="29">
        <v>6</v>
      </c>
      <c r="C47">
        <f>IF(INDEX(ObjBelegt,6)=0,"–",INDEX(ObjBezeichnung,6))</f>
      </c>
      <c r="D47" s="36">
        <f>IF(INDEX(ObjBelegt,6)=0,"",INDEX(IstEinheiten,6))</f>
      </c>
      <c r="E47" s="36">
        <f>IF(INDEX(ObjBelegt,6)=0,"",INDEX(IstVermietet,6))</f>
      </c>
      <c r="F47" s="36">
        <f>IF(INDEX(ObjBelegt,6)=0,"",INDEX(IstLeerstand,6))</f>
      </c>
      <c r="G47" s="30">
        <f>IF(INDEX(ObjBelegt,6)=0,"",INDEX(IstMieteMonat,6))</f>
      </c>
      <c r="H47" s="30">
        <f>IF(INDEX(ObjBelegt,6)=0,"",INDEX(IstNkMonat,6))</f>
      </c>
      <c r="I47" s="30">
        <f>IF(INDEX(ObjBelegt,6)=0,"",INDEX(IstMieteMonat,6)+INDEX(IstNkMonat,6))</f>
      </c>
      <c r="J47" s="33">
        <f>IF(INDEX(ObjBelegt,6)=0,"",IF(INDEX(IstFlaeche,6)=0,0,INDEX(IstMieteMonat,6)/INDEX(IstFlaeche,6)))</f>
      </c>
    </row>
    <row r="48">
      <c r="A48"/>
      <c r="B48" s="29">
        <v>7</v>
      </c>
      <c r="C48">
        <f>IF(INDEX(ObjBelegt,7)=0,"–",INDEX(ObjBezeichnung,7))</f>
      </c>
      <c r="D48" s="36">
        <f>IF(INDEX(ObjBelegt,7)=0,"",INDEX(IstEinheiten,7))</f>
      </c>
      <c r="E48" s="36">
        <f>IF(INDEX(ObjBelegt,7)=0,"",INDEX(IstVermietet,7))</f>
      </c>
      <c r="F48" s="36">
        <f>IF(INDEX(ObjBelegt,7)=0,"",INDEX(IstLeerstand,7))</f>
      </c>
      <c r="G48" s="30">
        <f>IF(INDEX(ObjBelegt,7)=0,"",INDEX(IstMieteMonat,7))</f>
      </c>
      <c r="H48" s="30">
        <f>IF(INDEX(ObjBelegt,7)=0,"",INDEX(IstNkMonat,7))</f>
      </c>
      <c r="I48" s="30">
        <f>IF(INDEX(ObjBelegt,7)=0,"",INDEX(IstMieteMonat,7)+INDEX(IstNkMonat,7))</f>
      </c>
      <c r="J48" s="33">
        <f>IF(INDEX(ObjBelegt,7)=0,"",IF(INDEX(IstFlaeche,7)=0,0,INDEX(IstMieteMonat,7)/INDEX(IstFlaeche,7)))</f>
      </c>
    </row>
    <row r="49">
      <c r="A49"/>
      <c r="B49" s="29">
        <v>8</v>
      </c>
      <c r="C49">
        <f>IF(INDEX(ObjBelegt,8)=0,"–",INDEX(ObjBezeichnung,8))</f>
      </c>
      <c r="D49" s="36">
        <f>IF(INDEX(ObjBelegt,8)=0,"",INDEX(IstEinheiten,8))</f>
      </c>
      <c r="E49" s="36">
        <f>IF(INDEX(ObjBelegt,8)=0,"",INDEX(IstVermietet,8))</f>
      </c>
      <c r="F49" s="36">
        <f>IF(INDEX(ObjBelegt,8)=0,"",INDEX(IstLeerstand,8))</f>
      </c>
      <c r="G49" s="30">
        <f>IF(INDEX(ObjBelegt,8)=0,"",INDEX(IstMieteMonat,8))</f>
      </c>
      <c r="H49" s="30">
        <f>IF(INDEX(ObjBelegt,8)=0,"",INDEX(IstNkMonat,8))</f>
      </c>
      <c r="I49" s="30">
        <f>IF(INDEX(ObjBelegt,8)=0,"",INDEX(IstMieteMonat,8)+INDEX(IstNkMonat,8))</f>
      </c>
      <c r="J49" s="33">
        <f>IF(INDEX(ObjBelegt,8)=0,"",IF(INDEX(IstFlaeche,8)=0,0,INDEX(IstMieteMonat,8)/INDEX(IstFlaeche,8)))</f>
      </c>
    </row>
    <row r="50">
      <c r="A50"/>
      <c r="B50" s="29">
        <v>9</v>
      </c>
      <c r="C50">
        <f>IF(INDEX(ObjBelegt,9)=0,"–",INDEX(ObjBezeichnung,9))</f>
      </c>
      <c r="D50" s="36">
        <f>IF(INDEX(ObjBelegt,9)=0,"",INDEX(IstEinheiten,9))</f>
      </c>
      <c r="E50" s="36">
        <f>IF(INDEX(ObjBelegt,9)=0,"",INDEX(IstVermietet,9))</f>
      </c>
      <c r="F50" s="36">
        <f>IF(INDEX(ObjBelegt,9)=0,"",INDEX(IstLeerstand,9))</f>
      </c>
      <c r="G50" s="30">
        <f>IF(INDEX(ObjBelegt,9)=0,"",INDEX(IstMieteMonat,9))</f>
      </c>
      <c r="H50" s="30">
        <f>IF(INDEX(ObjBelegt,9)=0,"",INDEX(IstNkMonat,9))</f>
      </c>
      <c r="I50" s="30">
        <f>IF(INDEX(ObjBelegt,9)=0,"",INDEX(IstMieteMonat,9)+INDEX(IstNkMonat,9))</f>
      </c>
      <c r="J50" s="33">
        <f>IF(INDEX(ObjBelegt,9)=0,"",IF(INDEX(IstFlaeche,9)=0,0,INDEX(IstMieteMonat,9)/INDEX(IstFlaeche,9)))</f>
      </c>
    </row>
    <row r="51">
      <c r="A51"/>
      <c r="B51" s="29">
        <v>10</v>
      </c>
      <c r="C51">
        <f>IF(INDEX(ObjBelegt,10)=0,"–",INDEX(ObjBezeichnung,10))</f>
      </c>
      <c r="D51" s="36">
        <f>IF(INDEX(ObjBelegt,10)=0,"",INDEX(IstEinheiten,10))</f>
      </c>
      <c r="E51" s="36">
        <f>IF(INDEX(ObjBelegt,10)=0,"",INDEX(IstVermietet,10))</f>
      </c>
      <c r="F51" s="36">
        <f>IF(INDEX(ObjBelegt,10)=0,"",INDEX(IstLeerstand,10))</f>
      </c>
      <c r="G51" s="30">
        <f>IF(INDEX(ObjBelegt,10)=0,"",INDEX(IstMieteMonat,10))</f>
      </c>
      <c r="H51" s="30">
        <f>IF(INDEX(ObjBelegt,10)=0,"",INDEX(IstNkMonat,10))</f>
      </c>
      <c r="I51" s="30">
        <f>IF(INDEX(ObjBelegt,10)=0,"",INDEX(IstMieteMonat,10)+INDEX(IstNkMonat,10))</f>
      </c>
      <c r="J51" s="33">
        <f>IF(INDEX(ObjBelegt,10)=0,"",IF(INDEX(IstFlaeche,10)=0,0,INDEX(IstMieteMonat,10)/INDEX(IstFlaeche,10)))</f>
      </c>
    </row>
  </sheetData>
  <conditionalFormatting sqref="B8:I37">
    <cfRule type="expression" dxfId="2" priority="1">
      <formula>AND($E8&lt;&gt;"",$X8=0)</formula>
    </cfRule>
  </conditionalFormatting>
  <conditionalFormatting sqref="F42:F51">
    <cfRule type="expression" dxfId="0" priority="1">
      <formula>F42&gt;0</formula>
    </cfRule>
  </conditionalFormatting>
  <dataValidations count="2">
    <dataValidation type="list" allowBlank="1" showInputMessage="1" showErrorMessage="1" promptTitle="Einheit" prompt="Aus der Liste der Einheiten wählen" sqref="C8:C37">
      <formula1>EhAnzeige</formula1>
    </dataValidation>
    <dataValidation type="list" allowBlank="1" showInputMessage="1" showErrorMessage="1" promptTitle="Anpassung" prompt="Bei Index zählt der eigene Satz, sonst die Annahme aus den Vorgaben" sqref="H8:H37">
      <formula1>Anpassungsarten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3A4F78"/>
  </sheetPr>
  <sheetViews>
    <sheetView showGridLines="0" workbookViewId="0">
      <pane xSplit="4" topLeftCell="E1" activePane="bottomRight" state="frozen"/>
    </sheetView>
  </sheetViews>
  <sheetFormatPr defaultRowHeight="15"/>
  <cols>
    <col min="1" max="1" width="2" customWidth="1"/>
    <col min="2" max="2" width="5" customWidth="1"/>
    <col min="3" max="3" width="28" customWidth="1"/>
    <col min="4" max="4" width="18" customWidth="1"/>
    <col min="5" max="5" width="12" customWidth="1"/>
    <col min="6" max="6" width="14" customWidth="1"/>
    <col min="7" max="7" width="12" customWidth="1"/>
    <col min="8" max="8" width="11" customWidth="1"/>
    <col min="9" max="9" width="12" customWidth="1"/>
    <col min="10" max="10" width="13" customWidth="1"/>
    <col min="11" max="11" width="14" customWidth="1"/>
    <col min="12" max="12" width="13" customWidth="1"/>
    <col min="13" max="13" width="14" customWidth="1"/>
    <col min="14" max="14" width="13" customWidth="1"/>
    <col min="15" max="15" width="13" customWidth="1"/>
    <col min="16" max="16" width="14" customWidth="1"/>
    <col min="17" max="17" width="12" customWidth="1" hidden="1"/>
    <col min="18" max="18" width="12" customWidth="1" hidden="1"/>
    <col min="19" max="19" width="12" customWidth="1" hidden="1"/>
    <col min="20" max="20" width="12" customWidth="1" hidden="1"/>
    <col min="21" max="21" width="12" customWidth="1" hidden="1"/>
    <col min="22" max="22" width="12" customWidth="1" hidden="1"/>
    <col min="23" max="23" width="12" customWidth="1" hidden="1"/>
    <col min="24" max="24" width="12" customWidth="1" hidden="1"/>
    <col min="25" max="25" width="12" customWidth="1" hidden="1"/>
    <col min="26" max="26" width="12" customWidth="1" hidden="1"/>
    <col min="27" max="27" width="12" customWidth="1" hidden="1"/>
  </cols>
  <sheetData>
    <row r="2">
      <c r="A2"/>
      <c r="B2" s="1" t="inlineStr">
        <is>
          <t xml:space="preserve">ZAHLENKOMPASS</t>
        </is>
      </c>
    </row>
    <row r="3">
      <c r="A3"/>
      <c r="B3" s="2" t="inlineStr">
        <is>
          <t xml:space="preserve">Darlehen</t>
        </is>
      </c>
    </row>
    <row r="4">
      <c r="A4"/>
      <c r="B4" s="3" t="inlineStr">
        <is>
          <t xml:space="preserve">Nachschüssige Annuität, monatlich verrechnet. Die erste Rate fällt im Monat nach der Auszahlung an.</t>
        </is>
      </c>
    </row>
    <row r="6">
      <c r="A6"/>
      <c r="B6" s="4" t="inlineStr">
        <is>
          <t xml:space="preserve">A · Darlehen</t>
        </is>
      </c>
    </row>
    <row r="7">
      <c r="A7"/>
      <c r="B7" s="24" t="inlineStr">
        <is>
          <t xml:space="preserve">Nr</t>
        </is>
      </c>
      <c r="C7" s="25" t="inlineStr">
        <is>
          <t xml:space="preserve">Objekt</t>
        </is>
      </c>
      <c r="D7" s="25" t="inlineStr">
        <is>
          <t xml:space="preserve">Bank</t>
        </is>
      </c>
      <c r="E7" s="24" t="inlineStr">
        <is>
          <t xml:space="preserve">Art</t>
        </is>
      </c>
      <c r="F7" s="24" t="inlineStr">
        <is>
          <t xml:space="preserve">Betrag</t>
        </is>
      </c>
      <c r="G7" s="24" t="inlineStr">
        <is>
          <t xml:space="preserve">Auszahlung</t>
        </is>
      </c>
      <c r="H7" s="24" t="inlineStr">
        <is>
          <t xml:space="preserve">Sollzins %</t>
        </is>
      </c>
      <c r="I7" s="24" t="inlineStr">
        <is>
          <t xml:space="preserve">Tilgung %</t>
        </is>
      </c>
      <c r="J7" s="24" t="inlineStr">
        <is>
          <t xml:space="preserve">Zinsbindung bis</t>
        </is>
      </c>
      <c r="K7" s="24" t="inlineStr">
        <is>
          <t xml:space="preserve">eig. Anschluss %</t>
        </is>
      </c>
      <c r="L7" s="24" t="inlineStr">
        <is>
          <t xml:space="preserve">Tilgungsstart</t>
        </is>
      </c>
      <c r="M7" s="24" t="inlineStr">
        <is>
          <t xml:space="preserve">Tilgungsersatz</t>
        </is>
      </c>
      <c r="N7" s="24" t="inlineStr">
        <is>
          <t xml:space="preserve">Ersatz % p.a.</t>
        </is>
      </c>
      <c r="O7" s="24" t="inlineStr">
        <is>
          <t xml:space="preserve">Verzinsung %</t>
        </is>
      </c>
      <c r="P7" s="24" t="inlineStr">
        <is>
          <t xml:space="preserve">Sondertilgung % p.a.</t>
        </is>
      </c>
    </row>
    <row r="8">
      <c r="A8"/>
      <c r="B8" s="26">
        <v>1</v>
      </c>
      <c r="C8" s="15"/>
      <c r="D8" s="15"/>
      <c r="E8" s="15"/>
      <c r="F8" s="28"/>
      <c r="G8" s="18"/>
      <c r="H8" s="22"/>
      <c r="I8" s="22"/>
      <c r="J8" s="18"/>
      <c r="K8" s="22"/>
      <c r="L8" s="18"/>
      <c r="M8" s="15"/>
      <c r="N8" s="22"/>
      <c r="O8" s="22"/>
      <c r="P8" s="22">
        <v>5</v>
      </c>
      <c r="Q8"/>
      <c r="R8">
        <f>IFERROR(MATCH($C8,ObjBezeichnung,0),0)</f>
      </c>
      <c r="S8">
        <f>IF(OR($E8="Endfällig",$M8="Ja"),1,0)</f>
      </c>
      <c r="T8">
        <f>IF($K8="",Anschlusszins,$K8)</f>
      </c>
      <c r="U8">
        <f>IF(OR($L8="",$G8=""),0,DATE(YEAR($L8),MONTH($L8),1))</f>
      </c>
      <c r="V8">
        <f>IF($M8="Ja",$F8*$N8/100/12,0)</f>
      </c>
      <c r="W8">
        <f>IF($M8="Ja",$O8/100/12,0)</f>
      </c>
      <c r="X8">
        <f>IF($S8=1,0,$F8*($H8+$I8)/100/12)</f>
      </c>
      <c r="Y8">
        <f>IF($F8="","",$B8&amp;" · "&amp;IF($D8="","Darlehen",$D8))</f>
      </c>
      <c r="Z8">
        <f>IF(OR($F8="",$F8=0,$G8=""),0,1)</f>
      </c>
      <c r="AA8">
        <f>IF(AND($Z8=1,SUMIFS(TilgAktiv,TilgDarl,$B8)&gt;=480,EOMONTH($G8,479)+1&lt;DATE(Jahr+MIN(PrognoseJahre,30),12,1)),1,0)</f>
      </c>
    </row>
    <row r="9">
      <c r="A9"/>
      <c r="B9" s="26">
        <v>2</v>
      </c>
      <c r="C9" s="15"/>
      <c r="D9" s="15"/>
      <c r="E9" s="15"/>
      <c r="F9" s="28"/>
      <c r="G9" s="18"/>
      <c r="H9" s="22"/>
      <c r="I9" s="22"/>
      <c r="J9" s="18"/>
      <c r="K9" s="22"/>
      <c r="L9" s="18"/>
      <c r="M9" s="15"/>
      <c r="N9" s="22"/>
      <c r="O9" s="22"/>
      <c r="P9" s="22">
        <v>5</v>
      </c>
      <c r="Q9"/>
      <c r="R9">
        <f>IFERROR(MATCH($C9,ObjBezeichnung,0),0)</f>
      </c>
      <c r="S9">
        <f>IF(OR($E9="Endfällig",$M9="Ja"),1,0)</f>
      </c>
      <c r="T9">
        <f>IF($K9="",Anschlusszins,$K9)</f>
      </c>
      <c r="U9">
        <f>IF(OR($L9="",$G9=""),0,DATE(YEAR($L9),MONTH($L9),1))</f>
      </c>
      <c r="V9">
        <f>IF($M9="Ja",$F9*$N9/100/12,0)</f>
      </c>
      <c r="W9">
        <f>IF($M9="Ja",$O9/100/12,0)</f>
      </c>
      <c r="X9">
        <f>IF($S9=1,0,$F9*($H9+$I9)/100/12)</f>
      </c>
      <c r="Y9">
        <f>IF($F9="","",$B9&amp;" · "&amp;IF($D9="","Darlehen",$D9))</f>
      </c>
      <c r="Z9">
        <f>IF(OR($F9="",$F9=0,$G9=""),0,1)</f>
      </c>
      <c r="AA9">
        <f>IF(AND($Z9=1,SUMIFS(TilgAktiv,TilgDarl,$B9)&gt;=480,EOMONTH($G9,479)+1&lt;DATE(Jahr+MIN(PrognoseJahre,30),12,1)),1,0)</f>
      </c>
    </row>
    <row r="10">
      <c r="A10"/>
      <c r="B10" s="26">
        <v>3</v>
      </c>
      <c r="C10" s="15"/>
      <c r="D10" s="15"/>
      <c r="E10" s="15"/>
      <c r="F10" s="28"/>
      <c r="G10" s="18"/>
      <c r="H10" s="22"/>
      <c r="I10" s="22"/>
      <c r="J10" s="18"/>
      <c r="K10" s="22"/>
      <c r="L10" s="18"/>
      <c r="M10" s="15"/>
      <c r="N10" s="22"/>
      <c r="O10" s="22"/>
      <c r="P10" s="22">
        <v>5</v>
      </c>
      <c r="Q10"/>
      <c r="R10">
        <f>IFERROR(MATCH($C10,ObjBezeichnung,0),0)</f>
      </c>
      <c r="S10">
        <f>IF(OR($E10="Endfällig",$M10="Ja"),1,0)</f>
      </c>
      <c r="T10">
        <f>IF($K10="",Anschlusszins,$K10)</f>
      </c>
      <c r="U10">
        <f>IF(OR($L10="",$G10=""),0,DATE(YEAR($L10),MONTH($L10),1))</f>
      </c>
      <c r="V10">
        <f>IF($M10="Ja",$F10*$N10/100/12,0)</f>
      </c>
      <c r="W10">
        <f>IF($M10="Ja",$O10/100/12,0)</f>
      </c>
      <c r="X10">
        <f>IF($S10=1,0,$F10*($H10+$I10)/100/12)</f>
      </c>
      <c r="Y10">
        <f>IF($F10="","",$B10&amp;" · "&amp;IF($D10="","Darlehen",$D10))</f>
      </c>
      <c r="Z10">
        <f>IF(OR($F10="",$F10=0,$G10=""),0,1)</f>
      </c>
      <c r="AA10">
        <f>IF(AND($Z10=1,SUMIFS(TilgAktiv,TilgDarl,$B10)&gt;=480,EOMONTH($G10,479)+1&lt;DATE(Jahr+MIN(PrognoseJahre,30),12,1)),1,0)</f>
      </c>
    </row>
    <row r="11">
      <c r="A11"/>
      <c r="B11" s="26">
        <v>4</v>
      </c>
      <c r="C11" s="15"/>
      <c r="D11" s="15"/>
      <c r="E11" s="15"/>
      <c r="F11" s="28"/>
      <c r="G11" s="18"/>
      <c r="H11" s="22"/>
      <c r="I11" s="22"/>
      <c r="J11" s="18"/>
      <c r="K11" s="22"/>
      <c r="L11" s="18"/>
      <c r="M11" s="15"/>
      <c r="N11" s="22"/>
      <c r="O11" s="22"/>
      <c r="P11" s="22">
        <v>5</v>
      </c>
      <c r="Q11"/>
      <c r="R11">
        <f>IFERROR(MATCH($C11,ObjBezeichnung,0),0)</f>
      </c>
      <c r="S11">
        <f>IF(OR($E11="Endfällig",$M11="Ja"),1,0)</f>
      </c>
      <c r="T11">
        <f>IF($K11="",Anschlusszins,$K11)</f>
      </c>
      <c r="U11">
        <f>IF(OR($L11="",$G11=""),0,DATE(YEAR($L11),MONTH($L11),1))</f>
      </c>
      <c r="V11">
        <f>IF($M11="Ja",$F11*$N11/100/12,0)</f>
      </c>
      <c r="W11">
        <f>IF($M11="Ja",$O11/100/12,0)</f>
      </c>
      <c r="X11">
        <f>IF($S11=1,0,$F11*($H11+$I11)/100/12)</f>
      </c>
      <c r="Y11">
        <f>IF($F11="","",$B11&amp;" · "&amp;IF($D11="","Darlehen",$D11))</f>
      </c>
      <c r="Z11">
        <f>IF(OR($F11="",$F11=0,$G11=""),0,1)</f>
      </c>
      <c r="AA11">
        <f>IF(AND($Z11=1,SUMIFS(TilgAktiv,TilgDarl,$B11)&gt;=480,EOMONTH($G11,479)+1&lt;DATE(Jahr+MIN(PrognoseJahre,30),12,1)),1,0)</f>
      </c>
    </row>
    <row r="12">
      <c r="A12"/>
      <c r="B12" s="26">
        <v>5</v>
      </c>
      <c r="C12" s="15"/>
      <c r="D12" s="15"/>
      <c r="E12" s="15"/>
      <c r="F12" s="28"/>
      <c r="G12" s="18"/>
      <c r="H12" s="22"/>
      <c r="I12" s="22"/>
      <c r="J12" s="18"/>
      <c r="K12" s="22"/>
      <c r="L12" s="18"/>
      <c r="M12" s="15"/>
      <c r="N12" s="22"/>
      <c r="O12" s="22"/>
      <c r="P12" s="22">
        <v>5</v>
      </c>
      <c r="Q12"/>
      <c r="R12">
        <f>IFERROR(MATCH($C12,ObjBezeichnung,0),0)</f>
      </c>
      <c r="S12">
        <f>IF(OR($E12="Endfällig",$M12="Ja"),1,0)</f>
      </c>
      <c r="T12">
        <f>IF($K12="",Anschlusszins,$K12)</f>
      </c>
      <c r="U12">
        <f>IF(OR($L12="",$G12=""),0,DATE(YEAR($L12),MONTH($L12),1))</f>
      </c>
      <c r="V12">
        <f>IF($M12="Ja",$F12*$N12/100/12,0)</f>
      </c>
      <c r="W12">
        <f>IF($M12="Ja",$O12/100/12,0)</f>
      </c>
      <c r="X12">
        <f>IF($S12=1,0,$F12*($H12+$I12)/100/12)</f>
      </c>
      <c r="Y12">
        <f>IF($F12="","",$B12&amp;" · "&amp;IF($D12="","Darlehen",$D12))</f>
      </c>
      <c r="Z12">
        <f>IF(OR($F12="",$F12=0,$G12=""),0,1)</f>
      </c>
      <c r="AA12">
        <f>IF(AND($Z12=1,SUMIFS(TilgAktiv,TilgDarl,$B12)&gt;=480,EOMONTH($G12,479)+1&lt;DATE(Jahr+MIN(PrognoseJahre,30),12,1)),1,0)</f>
      </c>
    </row>
    <row r="13">
      <c r="A13"/>
      <c r="B13" s="26">
        <v>6</v>
      </c>
      <c r="C13" s="15"/>
      <c r="D13" s="15"/>
      <c r="E13" s="15"/>
      <c r="F13" s="28"/>
      <c r="G13" s="18"/>
      <c r="H13" s="22"/>
      <c r="I13" s="22"/>
      <c r="J13" s="18"/>
      <c r="K13" s="22"/>
      <c r="L13" s="18"/>
      <c r="M13" s="15"/>
      <c r="N13" s="22"/>
      <c r="O13" s="22"/>
      <c r="P13" s="22">
        <v>5</v>
      </c>
      <c r="Q13"/>
      <c r="R13">
        <f>IFERROR(MATCH($C13,ObjBezeichnung,0),0)</f>
      </c>
      <c r="S13">
        <f>IF(OR($E13="Endfällig",$M13="Ja"),1,0)</f>
      </c>
      <c r="T13">
        <f>IF($K13="",Anschlusszins,$K13)</f>
      </c>
      <c r="U13">
        <f>IF(OR($L13="",$G13=""),0,DATE(YEAR($L13),MONTH($L13),1))</f>
      </c>
      <c r="V13">
        <f>IF($M13="Ja",$F13*$N13/100/12,0)</f>
      </c>
      <c r="W13">
        <f>IF($M13="Ja",$O13/100/12,0)</f>
      </c>
      <c r="X13">
        <f>IF($S13=1,0,$F13*($H13+$I13)/100/12)</f>
      </c>
      <c r="Y13">
        <f>IF($F13="","",$B13&amp;" · "&amp;IF($D13="","Darlehen",$D13))</f>
      </c>
      <c r="Z13">
        <f>IF(OR($F13="",$F13=0,$G13=""),0,1)</f>
      </c>
      <c r="AA13">
        <f>IF(AND($Z13=1,SUMIFS(TilgAktiv,TilgDarl,$B13)&gt;=480,EOMONTH($G13,479)+1&lt;DATE(Jahr+MIN(PrognoseJahre,30),12,1)),1,0)</f>
      </c>
    </row>
    <row r="14">
      <c r="A14"/>
      <c r="B14" s="26">
        <v>7</v>
      </c>
      <c r="C14" s="15"/>
      <c r="D14" s="15"/>
      <c r="E14" s="15"/>
      <c r="F14" s="28"/>
      <c r="G14" s="18"/>
      <c r="H14" s="22"/>
      <c r="I14" s="22"/>
      <c r="J14" s="18"/>
      <c r="K14" s="22"/>
      <c r="L14" s="18"/>
      <c r="M14" s="15"/>
      <c r="N14" s="22"/>
      <c r="O14" s="22"/>
      <c r="P14" s="22">
        <v>5</v>
      </c>
      <c r="Q14"/>
      <c r="R14">
        <f>IFERROR(MATCH($C14,ObjBezeichnung,0),0)</f>
      </c>
      <c r="S14">
        <f>IF(OR($E14="Endfällig",$M14="Ja"),1,0)</f>
      </c>
      <c r="T14">
        <f>IF($K14="",Anschlusszins,$K14)</f>
      </c>
      <c r="U14">
        <f>IF(OR($L14="",$G14=""),0,DATE(YEAR($L14),MONTH($L14),1))</f>
      </c>
      <c r="V14">
        <f>IF($M14="Ja",$F14*$N14/100/12,0)</f>
      </c>
      <c r="W14">
        <f>IF($M14="Ja",$O14/100/12,0)</f>
      </c>
      <c r="X14">
        <f>IF($S14=1,0,$F14*($H14+$I14)/100/12)</f>
      </c>
      <c r="Y14">
        <f>IF($F14="","",$B14&amp;" · "&amp;IF($D14="","Darlehen",$D14))</f>
      </c>
      <c r="Z14">
        <f>IF(OR($F14="",$F14=0,$G14=""),0,1)</f>
      </c>
      <c r="AA14">
        <f>IF(AND($Z14=1,SUMIFS(TilgAktiv,TilgDarl,$B14)&gt;=480,EOMONTH($G14,479)+1&lt;DATE(Jahr+MIN(PrognoseJahre,30),12,1)),1,0)</f>
      </c>
    </row>
    <row r="15">
      <c r="A15"/>
      <c r="B15" s="26">
        <v>8</v>
      </c>
      <c r="C15" s="15"/>
      <c r="D15" s="15"/>
      <c r="E15" s="15"/>
      <c r="F15" s="28"/>
      <c r="G15" s="18"/>
      <c r="H15" s="22"/>
      <c r="I15" s="22"/>
      <c r="J15" s="18"/>
      <c r="K15" s="22"/>
      <c r="L15" s="18"/>
      <c r="M15" s="15"/>
      <c r="N15" s="22"/>
      <c r="O15" s="22"/>
      <c r="P15" s="22">
        <v>5</v>
      </c>
      <c r="Q15"/>
      <c r="R15">
        <f>IFERROR(MATCH($C15,ObjBezeichnung,0),0)</f>
      </c>
      <c r="S15">
        <f>IF(OR($E15="Endfällig",$M15="Ja"),1,0)</f>
      </c>
      <c r="T15">
        <f>IF($K15="",Anschlusszins,$K15)</f>
      </c>
      <c r="U15">
        <f>IF(OR($L15="",$G15=""),0,DATE(YEAR($L15),MONTH($L15),1))</f>
      </c>
      <c r="V15">
        <f>IF($M15="Ja",$F15*$N15/100/12,0)</f>
      </c>
      <c r="W15">
        <f>IF($M15="Ja",$O15/100/12,0)</f>
      </c>
      <c r="X15">
        <f>IF($S15=1,0,$F15*($H15+$I15)/100/12)</f>
      </c>
      <c r="Y15">
        <f>IF($F15="","",$B15&amp;" · "&amp;IF($D15="","Darlehen",$D15))</f>
      </c>
      <c r="Z15">
        <f>IF(OR($F15="",$F15=0,$G15=""),0,1)</f>
      </c>
      <c r="AA15">
        <f>IF(AND($Z15=1,SUMIFS(TilgAktiv,TilgDarl,$B15)&gt;=480,EOMONTH($G15,479)+1&lt;DATE(Jahr+MIN(PrognoseJahre,30),12,1)),1,0)</f>
      </c>
    </row>
    <row r="16">
      <c r="A16"/>
      <c r="B16" s="26">
        <v>9</v>
      </c>
      <c r="C16" s="15"/>
      <c r="D16" s="15"/>
      <c r="E16" s="15"/>
      <c r="F16" s="28"/>
      <c r="G16" s="18"/>
      <c r="H16" s="22"/>
      <c r="I16" s="22"/>
      <c r="J16" s="18"/>
      <c r="K16" s="22"/>
      <c r="L16" s="18"/>
      <c r="M16" s="15"/>
      <c r="N16" s="22"/>
      <c r="O16" s="22"/>
      <c r="P16" s="22">
        <v>5</v>
      </c>
      <c r="Q16"/>
      <c r="R16">
        <f>IFERROR(MATCH($C16,ObjBezeichnung,0),0)</f>
      </c>
      <c r="S16">
        <f>IF(OR($E16="Endfällig",$M16="Ja"),1,0)</f>
      </c>
      <c r="T16">
        <f>IF($K16="",Anschlusszins,$K16)</f>
      </c>
      <c r="U16">
        <f>IF(OR($L16="",$G16=""),0,DATE(YEAR($L16),MONTH($L16),1))</f>
      </c>
      <c r="V16">
        <f>IF($M16="Ja",$F16*$N16/100/12,0)</f>
      </c>
      <c r="W16">
        <f>IF($M16="Ja",$O16/100/12,0)</f>
      </c>
      <c r="X16">
        <f>IF($S16=1,0,$F16*($H16+$I16)/100/12)</f>
      </c>
      <c r="Y16">
        <f>IF($F16="","",$B16&amp;" · "&amp;IF($D16="","Darlehen",$D16))</f>
      </c>
      <c r="Z16">
        <f>IF(OR($F16="",$F16=0,$G16=""),0,1)</f>
      </c>
      <c r="AA16">
        <f>IF(AND($Z16=1,SUMIFS(TilgAktiv,TilgDarl,$B16)&gt;=480,EOMONTH($G16,479)+1&lt;DATE(Jahr+MIN(PrognoseJahre,30),12,1)),1,0)</f>
      </c>
    </row>
    <row r="17">
      <c r="A17"/>
      <c r="B17" s="26">
        <v>10</v>
      </c>
      <c r="C17" s="15"/>
      <c r="D17" s="15"/>
      <c r="E17" s="15"/>
      <c r="F17" s="28"/>
      <c r="G17" s="18"/>
      <c r="H17" s="22"/>
      <c r="I17" s="22"/>
      <c r="J17" s="18"/>
      <c r="K17" s="22"/>
      <c r="L17" s="18"/>
      <c r="M17" s="15"/>
      <c r="N17" s="22"/>
      <c r="O17" s="22"/>
      <c r="P17" s="22">
        <v>5</v>
      </c>
      <c r="Q17"/>
      <c r="R17">
        <f>IFERROR(MATCH($C17,ObjBezeichnung,0),0)</f>
      </c>
      <c r="S17">
        <f>IF(OR($E17="Endfällig",$M17="Ja"),1,0)</f>
      </c>
      <c r="T17">
        <f>IF($K17="",Anschlusszins,$K17)</f>
      </c>
      <c r="U17">
        <f>IF(OR($L17="",$G17=""),0,DATE(YEAR($L17),MONTH($L17),1))</f>
      </c>
      <c r="V17">
        <f>IF($M17="Ja",$F17*$N17/100/12,0)</f>
      </c>
      <c r="W17">
        <f>IF($M17="Ja",$O17/100/12,0)</f>
      </c>
      <c r="X17">
        <f>IF($S17=1,0,$F17*($H17+$I17)/100/12)</f>
      </c>
      <c r="Y17">
        <f>IF($F17="","",$B17&amp;" · "&amp;IF($D17="","Darlehen",$D17))</f>
      </c>
      <c r="Z17">
        <f>IF(OR($F17="",$F17=0,$G17=""),0,1)</f>
      </c>
      <c r="AA17">
        <f>IF(AND($Z17=1,SUMIFS(TilgAktiv,TilgDarl,$B17)&gt;=480,EOMONTH($G17,479)+1&lt;DATE(Jahr+MIN(PrognoseJahre,30),12,1)),1,0)</f>
      </c>
    </row>
    <row r="18">
      <c r="A18"/>
      <c r="B18" s="26">
        <v>11</v>
      </c>
      <c r="C18" s="15"/>
      <c r="D18" s="15"/>
      <c r="E18" s="15"/>
      <c r="F18" s="28"/>
      <c r="G18" s="18"/>
      <c r="H18" s="22"/>
      <c r="I18" s="22"/>
      <c r="J18" s="18"/>
      <c r="K18" s="22"/>
      <c r="L18" s="18"/>
      <c r="M18" s="15"/>
      <c r="N18" s="22"/>
      <c r="O18" s="22"/>
      <c r="P18" s="22">
        <v>5</v>
      </c>
      <c r="Q18"/>
      <c r="R18">
        <f>IFERROR(MATCH($C18,ObjBezeichnung,0),0)</f>
      </c>
      <c r="S18">
        <f>IF(OR($E18="Endfällig",$M18="Ja"),1,0)</f>
      </c>
      <c r="T18">
        <f>IF($K18="",Anschlusszins,$K18)</f>
      </c>
      <c r="U18">
        <f>IF(OR($L18="",$G18=""),0,DATE(YEAR($L18),MONTH($L18),1))</f>
      </c>
      <c r="V18">
        <f>IF($M18="Ja",$F18*$N18/100/12,0)</f>
      </c>
      <c r="W18">
        <f>IF($M18="Ja",$O18/100/12,0)</f>
      </c>
      <c r="X18">
        <f>IF($S18=1,0,$F18*($H18+$I18)/100/12)</f>
      </c>
      <c r="Y18">
        <f>IF($F18="","",$B18&amp;" · "&amp;IF($D18="","Darlehen",$D18))</f>
      </c>
      <c r="Z18">
        <f>IF(OR($F18="",$F18=0,$G18=""),0,1)</f>
      </c>
      <c r="AA18">
        <f>IF(AND($Z18=1,SUMIFS(TilgAktiv,TilgDarl,$B18)&gt;=480,EOMONTH($G18,479)+1&lt;DATE(Jahr+MIN(PrognoseJahre,30),12,1)),1,0)</f>
      </c>
    </row>
    <row r="19">
      <c r="A19"/>
      <c r="B19" s="26">
        <v>12</v>
      </c>
      <c r="C19" s="15"/>
      <c r="D19" s="15"/>
      <c r="E19" s="15"/>
      <c r="F19" s="28"/>
      <c r="G19" s="18"/>
      <c r="H19" s="22"/>
      <c r="I19" s="22"/>
      <c r="J19" s="18"/>
      <c r="K19" s="22"/>
      <c r="L19" s="18"/>
      <c r="M19" s="15"/>
      <c r="N19" s="22"/>
      <c r="O19" s="22"/>
      <c r="P19" s="22">
        <v>5</v>
      </c>
      <c r="Q19"/>
      <c r="R19">
        <f>IFERROR(MATCH($C19,ObjBezeichnung,0),0)</f>
      </c>
      <c r="S19">
        <f>IF(OR($E19="Endfällig",$M19="Ja"),1,0)</f>
      </c>
      <c r="T19">
        <f>IF($K19="",Anschlusszins,$K19)</f>
      </c>
      <c r="U19">
        <f>IF(OR($L19="",$G19=""),0,DATE(YEAR($L19),MONTH($L19),1))</f>
      </c>
      <c r="V19">
        <f>IF($M19="Ja",$F19*$N19/100/12,0)</f>
      </c>
      <c r="W19">
        <f>IF($M19="Ja",$O19/100/12,0)</f>
      </c>
      <c r="X19">
        <f>IF($S19=1,0,$F19*($H19+$I19)/100/12)</f>
      </c>
      <c r="Y19">
        <f>IF($F19="","",$B19&amp;" · "&amp;IF($D19="","Darlehen",$D19))</f>
      </c>
      <c r="Z19">
        <f>IF(OR($F19="",$F19=0,$G19=""),0,1)</f>
      </c>
      <c r="AA19">
        <f>IF(AND($Z19=1,SUMIFS(TilgAktiv,TilgDarl,$B19)&gt;=480,EOMONTH($G19,479)+1&lt;DATE(Jahr+MIN(PrognoseJahre,30),12,1)),1,0)</f>
      </c>
    </row>
    <row r="20">
      <c r="A20"/>
      <c r="B20" s="26">
        <v>13</v>
      </c>
      <c r="C20" s="15"/>
      <c r="D20" s="15"/>
      <c r="E20" s="15"/>
      <c r="F20" s="28"/>
      <c r="G20" s="18"/>
      <c r="H20" s="22"/>
      <c r="I20" s="22"/>
      <c r="J20" s="18"/>
      <c r="K20" s="22"/>
      <c r="L20" s="18"/>
      <c r="M20" s="15"/>
      <c r="N20" s="22"/>
      <c r="O20" s="22"/>
      <c r="P20" s="22">
        <v>5</v>
      </c>
      <c r="Q20"/>
      <c r="R20">
        <f>IFERROR(MATCH($C20,ObjBezeichnung,0),0)</f>
      </c>
      <c r="S20">
        <f>IF(OR($E20="Endfällig",$M20="Ja"),1,0)</f>
      </c>
      <c r="T20">
        <f>IF($K20="",Anschlusszins,$K20)</f>
      </c>
      <c r="U20">
        <f>IF(OR($L20="",$G20=""),0,DATE(YEAR($L20),MONTH($L20),1))</f>
      </c>
      <c r="V20">
        <f>IF($M20="Ja",$F20*$N20/100/12,0)</f>
      </c>
      <c r="W20">
        <f>IF($M20="Ja",$O20/100/12,0)</f>
      </c>
      <c r="X20">
        <f>IF($S20=1,0,$F20*($H20+$I20)/100/12)</f>
      </c>
      <c r="Y20">
        <f>IF($F20="","",$B20&amp;" · "&amp;IF($D20="","Darlehen",$D20))</f>
      </c>
      <c r="Z20">
        <f>IF(OR($F20="",$F20=0,$G20=""),0,1)</f>
      </c>
      <c r="AA20">
        <f>IF(AND($Z20=1,SUMIFS(TilgAktiv,TilgDarl,$B20)&gt;=480,EOMONTH($G20,479)+1&lt;DATE(Jahr+MIN(PrognoseJahre,30),12,1)),1,0)</f>
      </c>
    </row>
    <row r="21">
      <c r="A21"/>
      <c r="B21" s="26">
        <v>14</v>
      </c>
      <c r="C21" s="15"/>
      <c r="D21" s="15"/>
      <c r="E21" s="15"/>
      <c r="F21" s="28"/>
      <c r="G21" s="18"/>
      <c r="H21" s="22"/>
      <c r="I21" s="22"/>
      <c r="J21" s="18"/>
      <c r="K21" s="22"/>
      <c r="L21" s="18"/>
      <c r="M21" s="15"/>
      <c r="N21" s="22"/>
      <c r="O21" s="22"/>
      <c r="P21" s="22">
        <v>5</v>
      </c>
      <c r="Q21"/>
      <c r="R21">
        <f>IFERROR(MATCH($C21,ObjBezeichnung,0),0)</f>
      </c>
      <c r="S21">
        <f>IF(OR($E21="Endfällig",$M21="Ja"),1,0)</f>
      </c>
      <c r="T21">
        <f>IF($K21="",Anschlusszins,$K21)</f>
      </c>
      <c r="U21">
        <f>IF(OR($L21="",$G21=""),0,DATE(YEAR($L21),MONTH($L21),1))</f>
      </c>
      <c r="V21">
        <f>IF($M21="Ja",$F21*$N21/100/12,0)</f>
      </c>
      <c r="W21">
        <f>IF($M21="Ja",$O21/100/12,0)</f>
      </c>
      <c r="X21">
        <f>IF($S21=1,0,$F21*($H21+$I21)/100/12)</f>
      </c>
      <c r="Y21">
        <f>IF($F21="","",$B21&amp;" · "&amp;IF($D21="","Darlehen",$D21))</f>
      </c>
      <c r="Z21">
        <f>IF(OR($F21="",$F21=0,$G21=""),0,1)</f>
      </c>
      <c r="AA21">
        <f>IF(AND($Z21=1,SUMIFS(TilgAktiv,TilgDarl,$B21)&gt;=480,EOMONTH($G21,479)+1&lt;DATE(Jahr+MIN(PrognoseJahre,30),12,1)),1,0)</f>
      </c>
    </row>
    <row r="22">
      <c r="A22"/>
      <c r="B22" s="26">
        <v>15</v>
      </c>
      <c r="C22" s="15"/>
      <c r="D22" s="15"/>
      <c r="E22" s="15"/>
      <c r="F22" s="28"/>
      <c r="G22" s="18"/>
      <c r="H22" s="22"/>
      <c r="I22" s="22"/>
      <c r="J22" s="18"/>
      <c r="K22" s="22"/>
      <c r="L22" s="18"/>
      <c r="M22" s="15"/>
      <c r="N22" s="22"/>
      <c r="O22" s="22"/>
      <c r="P22" s="22">
        <v>5</v>
      </c>
      <c r="Q22"/>
      <c r="R22">
        <f>IFERROR(MATCH($C22,ObjBezeichnung,0),0)</f>
      </c>
      <c r="S22">
        <f>IF(OR($E22="Endfällig",$M22="Ja"),1,0)</f>
      </c>
      <c r="T22">
        <f>IF($K22="",Anschlusszins,$K22)</f>
      </c>
      <c r="U22">
        <f>IF(OR($L22="",$G22=""),0,DATE(YEAR($L22),MONTH($L22),1))</f>
      </c>
      <c r="V22">
        <f>IF($M22="Ja",$F22*$N22/100/12,0)</f>
      </c>
      <c r="W22">
        <f>IF($M22="Ja",$O22/100/12,0)</f>
      </c>
      <c r="X22">
        <f>IF($S22=1,0,$F22*($H22+$I22)/100/12)</f>
      </c>
      <c r="Y22">
        <f>IF($F22="","",$B22&amp;" · "&amp;IF($D22="","Darlehen",$D22))</f>
      </c>
      <c r="Z22">
        <f>IF(OR($F22="",$F22=0,$G22=""),0,1)</f>
      </c>
      <c r="AA22">
        <f>IF(AND($Z22=1,SUMIFS(TilgAktiv,TilgDarl,$B22)&gt;=480,EOMONTH($G22,479)+1&lt;DATE(Jahr+MIN(PrognoseJahre,30),12,1)),1,0)</f>
      </c>
    </row>
    <row r="23">
      <c r="A23"/>
      <c r="B23" s="26">
        <v>16</v>
      </c>
      <c r="C23" s="15"/>
      <c r="D23" s="15"/>
      <c r="E23" s="15"/>
      <c r="F23" s="28"/>
      <c r="G23" s="18"/>
      <c r="H23" s="22"/>
      <c r="I23" s="22"/>
      <c r="J23" s="18"/>
      <c r="K23" s="22"/>
      <c r="L23" s="18"/>
      <c r="M23" s="15"/>
      <c r="N23" s="22"/>
      <c r="O23" s="22"/>
      <c r="P23" s="22">
        <v>5</v>
      </c>
      <c r="Q23"/>
      <c r="R23">
        <f>IFERROR(MATCH($C23,ObjBezeichnung,0),0)</f>
      </c>
      <c r="S23">
        <f>IF(OR($E23="Endfällig",$M23="Ja"),1,0)</f>
      </c>
      <c r="T23">
        <f>IF($K23="",Anschlusszins,$K23)</f>
      </c>
      <c r="U23">
        <f>IF(OR($L23="",$G23=""),0,DATE(YEAR($L23),MONTH($L23),1))</f>
      </c>
      <c r="V23">
        <f>IF($M23="Ja",$F23*$N23/100/12,0)</f>
      </c>
      <c r="W23">
        <f>IF($M23="Ja",$O23/100/12,0)</f>
      </c>
      <c r="X23">
        <f>IF($S23=1,0,$F23*($H23+$I23)/100/12)</f>
      </c>
      <c r="Y23">
        <f>IF($F23="","",$B23&amp;" · "&amp;IF($D23="","Darlehen",$D23))</f>
      </c>
      <c r="Z23">
        <f>IF(OR($F23="",$F23=0,$G23=""),0,1)</f>
      </c>
      <c r="AA23">
        <f>IF(AND($Z23=1,SUMIFS(TilgAktiv,TilgDarl,$B23)&gt;=480,EOMONTH($G23,479)+1&lt;DATE(Jahr+MIN(PrognoseJahre,30),12,1)),1,0)</f>
      </c>
    </row>
    <row r="24">
      <c r="A24"/>
      <c r="B24" s="26">
        <v>17</v>
      </c>
      <c r="C24" s="15"/>
      <c r="D24" s="15"/>
      <c r="E24" s="15"/>
      <c r="F24" s="28"/>
      <c r="G24" s="18"/>
      <c r="H24" s="22"/>
      <c r="I24" s="22"/>
      <c r="J24" s="18"/>
      <c r="K24" s="22"/>
      <c r="L24" s="18"/>
      <c r="M24" s="15"/>
      <c r="N24" s="22"/>
      <c r="O24" s="22"/>
      <c r="P24" s="22">
        <v>5</v>
      </c>
      <c r="Q24"/>
      <c r="R24">
        <f>IFERROR(MATCH($C24,ObjBezeichnung,0),0)</f>
      </c>
      <c r="S24">
        <f>IF(OR($E24="Endfällig",$M24="Ja"),1,0)</f>
      </c>
      <c r="T24">
        <f>IF($K24="",Anschlusszins,$K24)</f>
      </c>
      <c r="U24">
        <f>IF(OR($L24="",$G24=""),0,DATE(YEAR($L24),MONTH($L24),1))</f>
      </c>
      <c r="V24">
        <f>IF($M24="Ja",$F24*$N24/100/12,0)</f>
      </c>
      <c r="W24">
        <f>IF($M24="Ja",$O24/100/12,0)</f>
      </c>
      <c r="X24">
        <f>IF($S24=1,0,$F24*($H24+$I24)/100/12)</f>
      </c>
      <c r="Y24">
        <f>IF($F24="","",$B24&amp;" · "&amp;IF($D24="","Darlehen",$D24))</f>
      </c>
      <c r="Z24">
        <f>IF(OR($F24="",$F24=0,$G24=""),0,1)</f>
      </c>
      <c r="AA24">
        <f>IF(AND($Z24=1,SUMIFS(TilgAktiv,TilgDarl,$B24)&gt;=480,EOMONTH($G24,479)+1&lt;DATE(Jahr+MIN(PrognoseJahre,30),12,1)),1,0)</f>
      </c>
    </row>
    <row r="25">
      <c r="A25"/>
      <c r="B25" s="26">
        <v>18</v>
      </c>
      <c r="C25" s="15"/>
      <c r="D25" s="15"/>
      <c r="E25" s="15"/>
      <c r="F25" s="28"/>
      <c r="G25" s="18"/>
      <c r="H25" s="22"/>
      <c r="I25" s="22"/>
      <c r="J25" s="18"/>
      <c r="K25" s="22"/>
      <c r="L25" s="18"/>
      <c r="M25" s="15"/>
      <c r="N25" s="22"/>
      <c r="O25" s="22"/>
      <c r="P25" s="22">
        <v>5</v>
      </c>
      <c r="Q25"/>
      <c r="R25">
        <f>IFERROR(MATCH($C25,ObjBezeichnung,0),0)</f>
      </c>
      <c r="S25">
        <f>IF(OR($E25="Endfällig",$M25="Ja"),1,0)</f>
      </c>
      <c r="T25">
        <f>IF($K25="",Anschlusszins,$K25)</f>
      </c>
      <c r="U25">
        <f>IF(OR($L25="",$G25=""),0,DATE(YEAR($L25),MONTH($L25),1))</f>
      </c>
      <c r="V25">
        <f>IF($M25="Ja",$F25*$N25/100/12,0)</f>
      </c>
      <c r="W25">
        <f>IF($M25="Ja",$O25/100/12,0)</f>
      </c>
      <c r="X25">
        <f>IF($S25=1,0,$F25*($H25+$I25)/100/12)</f>
      </c>
      <c r="Y25">
        <f>IF($F25="","",$B25&amp;" · "&amp;IF($D25="","Darlehen",$D25))</f>
      </c>
      <c r="Z25">
        <f>IF(OR($F25="",$F25=0,$G25=""),0,1)</f>
      </c>
      <c r="AA25">
        <f>IF(AND($Z25=1,SUMIFS(TilgAktiv,TilgDarl,$B25)&gt;=480,EOMONTH($G25,479)+1&lt;DATE(Jahr+MIN(PrognoseJahre,30),12,1)),1,0)</f>
      </c>
    </row>
    <row r="26">
      <c r="A26"/>
      <c r="B26" s="26">
        <v>19</v>
      </c>
      <c r="C26" s="15"/>
      <c r="D26" s="15"/>
      <c r="E26" s="15"/>
      <c r="F26" s="28"/>
      <c r="G26" s="18"/>
      <c r="H26" s="22"/>
      <c r="I26" s="22"/>
      <c r="J26" s="18"/>
      <c r="K26" s="22"/>
      <c r="L26" s="18"/>
      <c r="M26" s="15"/>
      <c r="N26" s="22"/>
      <c r="O26" s="22"/>
      <c r="P26" s="22">
        <v>5</v>
      </c>
      <c r="Q26"/>
      <c r="R26">
        <f>IFERROR(MATCH($C26,ObjBezeichnung,0),0)</f>
      </c>
      <c r="S26">
        <f>IF(OR($E26="Endfällig",$M26="Ja"),1,0)</f>
      </c>
      <c r="T26">
        <f>IF($K26="",Anschlusszins,$K26)</f>
      </c>
      <c r="U26">
        <f>IF(OR($L26="",$G26=""),0,DATE(YEAR($L26),MONTH($L26),1))</f>
      </c>
      <c r="V26">
        <f>IF($M26="Ja",$F26*$N26/100/12,0)</f>
      </c>
      <c r="W26">
        <f>IF($M26="Ja",$O26/100/12,0)</f>
      </c>
      <c r="X26">
        <f>IF($S26=1,0,$F26*($H26+$I26)/100/12)</f>
      </c>
      <c r="Y26">
        <f>IF($F26="","",$B26&amp;" · "&amp;IF($D26="","Darlehen",$D26))</f>
      </c>
      <c r="Z26">
        <f>IF(OR($F26="",$F26=0,$G26=""),0,1)</f>
      </c>
      <c r="AA26">
        <f>IF(AND($Z26=1,SUMIFS(TilgAktiv,TilgDarl,$B26)&gt;=480,EOMONTH($G26,479)+1&lt;DATE(Jahr+MIN(PrognoseJahre,30),12,1)),1,0)</f>
      </c>
    </row>
    <row r="27">
      <c r="A27"/>
      <c r="B27" s="26">
        <v>20</v>
      </c>
      <c r="C27" s="15"/>
      <c r="D27" s="15"/>
      <c r="E27" s="15"/>
      <c r="F27" s="28"/>
      <c r="G27" s="18"/>
      <c r="H27" s="22"/>
      <c r="I27" s="22"/>
      <c r="J27" s="18"/>
      <c r="K27" s="22"/>
      <c r="L27" s="18"/>
      <c r="M27" s="15"/>
      <c r="N27" s="22"/>
      <c r="O27" s="22"/>
      <c r="P27" s="22">
        <v>5</v>
      </c>
      <c r="Q27"/>
      <c r="R27">
        <f>IFERROR(MATCH($C27,ObjBezeichnung,0),0)</f>
      </c>
      <c r="S27">
        <f>IF(OR($E27="Endfällig",$M27="Ja"),1,0)</f>
      </c>
      <c r="T27">
        <f>IF($K27="",Anschlusszins,$K27)</f>
      </c>
      <c r="U27">
        <f>IF(OR($L27="",$G27=""),0,DATE(YEAR($L27),MONTH($L27),1))</f>
      </c>
      <c r="V27">
        <f>IF($M27="Ja",$F27*$N27/100/12,0)</f>
      </c>
      <c r="W27">
        <f>IF($M27="Ja",$O27/100/12,0)</f>
      </c>
      <c r="X27">
        <f>IF($S27=1,0,$F27*($H27+$I27)/100/12)</f>
      </c>
      <c r="Y27">
        <f>IF($F27="","",$B27&amp;" · "&amp;IF($D27="","Darlehen",$D27))</f>
      </c>
      <c r="Z27">
        <f>IF(OR($F27="",$F27=0,$G27=""),0,1)</f>
      </c>
      <c r="AA27">
        <f>IF(AND($Z27=1,SUMIFS(TilgAktiv,TilgDarl,$B27)&gt;=480,EOMONTH($G27,479)+1&lt;DATE(Jahr+MIN(PrognoseJahre,30),12,1)),1,0)</f>
      </c>
    </row>
    <row r="30">
      <c r="A30"/>
      <c r="B30" s="4" t="inlineStr">
        <is>
          <t xml:space="preserve">B · Sondertilgungen</t>
        </is>
      </c>
      <c r="C30"/>
      <c r="D30"/>
      <c r="E30" s="13" t="inlineStr">
        <is>
          <t xml:space="preserve">Werden im Monat des Datums verrechnet, höchstens bis zur Restschuld.</t>
        </is>
      </c>
    </row>
    <row r="31">
      <c r="A31"/>
      <c r="B31" s="24" t="inlineStr">
        <is>
          <t xml:space="preserve">Nr</t>
        </is>
      </c>
      <c r="C31" s="25" t="inlineStr">
        <is>
          <t xml:space="preserve">Darlehen</t>
        </is>
      </c>
      <c r="D31" s="24" t="inlineStr">
        <is>
          <t xml:space="preserve">Datum</t>
        </is>
      </c>
      <c r="E31" s="24" t="inlineStr">
        <is>
          <t xml:space="preserve">Betrag</t>
        </is>
      </c>
    </row>
    <row r="32">
      <c r="A32"/>
      <c r="B32" s="26">
        <v>1</v>
      </c>
      <c r="C32" s="15"/>
      <c r="D32" s="18"/>
      <c r="E32" s="28"/>
      <c r="F32"/>
      <c r="G32">
        <f>IFERROR(MATCH($C32,DarlAnzeige,0),0)</f>
      </c>
      <c r="H32">
        <f>IF($D32="",0,YEAR($D32))</f>
      </c>
    </row>
    <row r="33">
      <c r="A33"/>
      <c r="B33" s="26">
        <v>2</v>
      </c>
      <c r="C33" s="15"/>
      <c r="D33" s="18"/>
      <c r="E33" s="28"/>
      <c r="F33"/>
      <c r="G33">
        <f>IFERROR(MATCH($C33,DarlAnzeige,0),0)</f>
      </c>
      <c r="H33">
        <f>IF($D33="",0,YEAR($D33))</f>
      </c>
    </row>
    <row r="34">
      <c r="A34"/>
      <c r="B34" s="26">
        <v>3</v>
      </c>
      <c r="C34" s="15"/>
      <c r="D34" s="18"/>
      <c r="E34" s="28"/>
      <c r="F34"/>
      <c r="G34">
        <f>IFERROR(MATCH($C34,DarlAnzeige,0),0)</f>
      </c>
      <c r="H34">
        <f>IF($D34="",0,YEAR($D34))</f>
      </c>
    </row>
    <row r="35">
      <c r="A35"/>
      <c r="B35" s="26">
        <v>4</v>
      </c>
      <c r="C35" s="15"/>
      <c r="D35" s="18"/>
      <c r="E35" s="28"/>
      <c r="F35"/>
      <c r="G35">
        <f>IFERROR(MATCH($C35,DarlAnzeige,0),0)</f>
      </c>
      <c r="H35">
        <f>IF($D35="",0,YEAR($D35))</f>
      </c>
    </row>
    <row r="36">
      <c r="A36"/>
      <c r="B36" s="26">
        <v>5</v>
      </c>
      <c r="C36" s="15"/>
      <c r="D36" s="18"/>
      <c r="E36" s="28"/>
      <c r="F36"/>
      <c r="G36">
        <f>IFERROR(MATCH($C36,DarlAnzeige,0),0)</f>
      </c>
      <c r="H36">
        <f>IF($D36="",0,YEAR($D36))</f>
      </c>
    </row>
    <row r="37">
      <c r="A37"/>
      <c r="B37" s="26">
        <v>6</v>
      </c>
      <c r="C37" s="15"/>
      <c r="D37" s="18"/>
      <c r="E37" s="28"/>
      <c r="F37"/>
      <c r="G37">
        <f>IFERROR(MATCH($C37,DarlAnzeige,0),0)</f>
      </c>
      <c r="H37">
        <f>IF($D37="",0,YEAR($D37))</f>
      </c>
    </row>
    <row r="38">
      <c r="A38"/>
      <c r="B38" s="26">
        <v>7</v>
      </c>
      <c r="C38" s="15"/>
      <c r="D38" s="18"/>
      <c r="E38" s="28"/>
      <c r="F38"/>
      <c r="G38">
        <f>IFERROR(MATCH($C38,DarlAnzeige,0),0)</f>
      </c>
      <c r="H38">
        <f>IF($D38="",0,YEAR($D38))</f>
      </c>
    </row>
    <row r="39">
      <c r="A39"/>
      <c r="B39" s="26">
        <v>8</v>
      </c>
      <c r="C39" s="15"/>
      <c r="D39" s="18"/>
      <c r="E39" s="28"/>
      <c r="F39"/>
      <c r="G39">
        <f>IFERROR(MATCH($C39,DarlAnzeige,0),0)</f>
      </c>
      <c r="H39">
        <f>IF($D39="",0,YEAR($D39))</f>
      </c>
    </row>
    <row r="40">
      <c r="A40"/>
      <c r="B40" s="26">
        <v>9</v>
      </c>
      <c r="C40" s="15"/>
      <c r="D40" s="18"/>
      <c r="E40" s="28"/>
      <c r="F40"/>
      <c r="G40">
        <f>IFERROR(MATCH($C40,DarlAnzeige,0),0)</f>
      </c>
      <c r="H40">
        <f>IF($D40="",0,YEAR($D40))</f>
      </c>
    </row>
    <row r="41">
      <c r="A41"/>
      <c r="B41" s="26">
        <v>10</v>
      </c>
      <c r="C41" s="15"/>
      <c r="D41" s="18"/>
      <c r="E41" s="28"/>
      <c r="F41"/>
      <c r="G41">
        <f>IFERROR(MATCH($C41,DarlAnzeige,0),0)</f>
      </c>
      <c r="H41">
        <f>IF($D41="",0,YEAR($D41))</f>
      </c>
    </row>
    <row r="42">
      <c r="A42"/>
      <c r="B42" s="26">
        <v>11</v>
      </c>
      <c r="C42" s="15"/>
      <c r="D42" s="18"/>
      <c r="E42" s="28"/>
      <c r="F42"/>
      <c r="G42">
        <f>IFERROR(MATCH($C42,DarlAnzeige,0),0)</f>
      </c>
      <c r="H42">
        <f>IF($D42="",0,YEAR($D42))</f>
      </c>
    </row>
    <row r="43">
      <c r="A43"/>
      <c r="B43" s="26">
        <v>12</v>
      </c>
      <c r="C43" s="15"/>
      <c r="D43" s="18"/>
      <c r="E43" s="28"/>
      <c r="F43"/>
      <c r="G43">
        <f>IFERROR(MATCH($C43,DarlAnzeige,0),0)</f>
      </c>
      <c r="H43">
        <f>IF($D43="",0,YEAR($D43))</f>
      </c>
    </row>
    <row r="44">
      <c r="A44"/>
      <c r="B44" s="26">
        <v>13</v>
      </c>
      <c r="C44" s="15"/>
      <c r="D44" s="18"/>
      <c r="E44" s="28"/>
      <c r="F44"/>
      <c r="G44">
        <f>IFERROR(MATCH($C44,DarlAnzeige,0),0)</f>
      </c>
      <c r="H44">
        <f>IF($D44="",0,YEAR($D44))</f>
      </c>
    </row>
    <row r="45">
      <c r="A45"/>
      <c r="B45" s="26">
        <v>14</v>
      </c>
      <c r="C45" s="15"/>
      <c r="D45" s="18"/>
      <c r="E45" s="28"/>
      <c r="F45"/>
      <c r="G45">
        <f>IFERROR(MATCH($C45,DarlAnzeige,0),0)</f>
      </c>
      <c r="H45">
        <f>IF($D45="",0,YEAR($D45))</f>
      </c>
    </row>
    <row r="46">
      <c r="A46"/>
      <c r="B46" s="26">
        <v>15</v>
      </c>
      <c r="C46" s="15"/>
      <c r="D46" s="18"/>
      <c r="E46" s="28"/>
      <c r="F46"/>
      <c r="G46">
        <f>IFERROR(MATCH($C46,DarlAnzeige,0),0)</f>
      </c>
      <c r="H46">
        <f>IF($D46="",0,YEAR($D46))</f>
      </c>
    </row>
    <row r="47">
      <c r="A47"/>
      <c r="B47" s="26">
        <v>16</v>
      </c>
      <c r="C47" s="15"/>
      <c r="D47" s="18"/>
      <c r="E47" s="28"/>
      <c r="F47"/>
      <c r="G47">
        <f>IFERROR(MATCH($C47,DarlAnzeige,0),0)</f>
      </c>
      <c r="H47">
        <f>IF($D47="",0,YEAR($D47))</f>
      </c>
    </row>
    <row r="48">
      <c r="A48"/>
      <c r="B48" s="26">
        <v>17</v>
      </c>
      <c r="C48" s="15"/>
      <c r="D48" s="18"/>
      <c r="E48" s="28"/>
      <c r="F48"/>
      <c r="G48">
        <f>IFERROR(MATCH($C48,DarlAnzeige,0),0)</f>
      </c>
      <c r="H48">
        <f>IF($D48="",0,YEAR($D48))</f>
      </c>
    </row>
    <row r="49">
      <c r="A49"/>
      <c r="B49" s="26">
        <v>18</v>
      </c>
      <c r="C49" s="15"/>
      <c r="D49" s="18"/>
      <c r="E49" s="28"/>
      <c r="F49"/>
      <c r="G49">
        <f>IFERROR(MATCH($C49,DarlAnzeige,0),0)</f>
      </c>
      <c r="H49">
        <f>IF($D49="",0,YEAR($D49))</f>
      </c>
    </row>
    <row r="50">
      <c r="A50"/>
      <c r="B50" s="26">
        <v>19</v>
      </c>
      <c r="C50" s="15"/>
      <c r="D50" s="18"/>
      <c r="E50" s="28"/>
      <c r="F50"/>
      <c r="G50">
        <f>IFERROR(MATCH($C50,DarlAnzeige,0),0)</f>
      </c>
      <c r="H50">
        <f>IF($D50="",0,YEAR($D50))</f>
      </c>
    </row>
    <row r="51">
      <c r="A51"/>
      <c r="B51" s="26">
        <v>20</v>
      </c>
      <c r="C51" s="15"/>
      <c r="D51" s="18"/>
      <c r="E51" s="28"/>
      <c r="F51"/>
      <c r="G51">
        <f>IFERROR(MATCH($C51,DarlAnzeige,0),0)</f>
      </c>
      <c r="H51">
        <f>IF($D51="",0,YEAR($D51))</f>
      </c>
    </row>
    <row r="52">
      <c r="A52"/>
      <c r="B52" s="26">
        <v>21</v>
      </c>
      <c r="C52" s="15"/>
      <c r="D52" s="18"/>
      <c r="E52" s="28"/>
      <c r="F52"/>
      <c r="G52">
        <f>IFERROR(MATCH($C52,DarlAnzeige,0),0)</f>
      </c>
      <c r="H52">
        <f>IF($D52="",0,YEAR($D52))</f>
      </c>
    </row>
    <row r="53">
      <c r="A53"/>
      <c r="B53" s="26">
        <v>22</v>
      </c>
      <c r="C53" s="15"/>
      <c r="D53" s="18"/>
      <c r="E53" s="28"/>
      <c r="F53"/>
      <c r="G53">
        <f>IFERROR(MATCH($C53,DarlAnzeige,0),0)</f>
      </c>
      <c r="H53">
        <f>IF($D53="",0,YEAR($D53))</f>
      </c>
    </row>
    <row r="54">
      <c r="A54"/>
      <c r="B54" s="26">
        <v>23</v>
      </c>
      <c r="C54" s="15"/>
      <c r="D54" s="18"/>
      <c r="E54" s="28"/>
      <c r="F54"/>
      <c r="G54">
        <f>IFERROR(MATCH($C54,DarlAnzeige,0),0)</f>
      </c>
      <c r="H54">
        <f>IF($D54="",0,YEAR($D54))</f>
      </c>
    </row>
    <row r="55">
      <c r="A55"/>
      <c r="B55" s="26">
        <v>24</v>
      </c>
      <c r="C55" s="15"/>
      <c r="D55" s="18"/>
      <c r="E55" s="28"/>
      <c r="F55"/>
      <c r="G55">
        <f>IFERROR(MATCH($C55,DarlAnzeige,0),0)</f>
      </c>
      <c r="H55">
        <f>IF($D55="",0,YEAR($D55))</f>
      </c>
    </row>
    <row r="56">
      <c r="A56"/>
      <c r="B56" s="26">
        <v>25</v>
      </c>
      <c r="C56" s="15"/>
      <c r="D56" s="18"/>
      <c r="E56" s="28"/>
      <c r="F56"/>
      <c r="G56">
        <f>IFERROR(MATCH($C56,DarlAnzeige,0),0)</f>
      </c>
      <c r="H56">
        <f>IF($D56="",0,YEAR($D56))</f>
      </c>
    </row>
    <row r="57">
      <c r="A57"/>
      <c r="B57" s="26">
        <v>26</v>
      </c>
      <c r="C57" s="15"/>
      <c r="D57" s="18"/>
      <c r="E57" s="28"/>
      <c r="F57"/>
      <c r="G57">
        <f>IFERROR(MATCH($C57,DarlAnzeige,0),0)</f>
      </c>
      <c r="H57">
        <f>IF($D57="",0,YEAR($D57))</f>
      </c>
    </row>
    <row r="58">
      <c r="A58"/>
      <c r="B58" s="26">
        <v>27</v>
      </c>
      <c r="C58" s="15"/>
      <c r="D58" s="18"/>
      <c r="E58" s="28"/>
      <c r="F58"/>
      <c r="G58">
        <f>IFERROR(MATCH($C58,DarlAnzeige,0),0)</f>
      </c>
      <c r="H58">
        <f>IF($D58="",0,YEAR($D58))</f>
      </c>
    </row>
    <row r="59">
      <c r="A59"/>
      <c r="B59" s="26">
        <v>28</v>
      </c>
      <c r="C59" s="15"/>
      <c r="D59" s="18"/>
      <c r="E59" s="28"/>
      <c r="F59"/>
      <c r="G59">
        <f>IFERROR(MATCH($C59,DarlAnzeige,0),0)</f>
      </c>
      <c r="H59">
        <f>IF($D59="",0,YEAR($D59))</f>
      </c>
    </row>
    <row r="60">
      <c r="A60"/>
      <c r="B60" s="26">
        <v>29</v>
      </c>
      <c r="C60" s="15"/>
      <c r="D60" s="18"/>
      <c r="E60" s="28"/>
      <c r="F60"/>
      <c r="G60">
        <f>IFERROR(MATCH($C60,DarlAnzeige,0),0)</f>
      </c>
      <c r="H60">
        <f>IF($D60="",0,YEAR($D60))</f>
      </c>
    </row>
    <row r="61">
      <c r="A61"/>
      <c r="B61" s="26">
        <v>30</v>
      </c>
      <c r="C61" s="15"/>
      <c r="D61" s="18"/>
      <c r="E61" s="28"/>
      <c r="F61"/>
      <c r="G61">
        <f>IFERROR(MATCH($C61,DarlAnzeige,0),0)</f>
      </c>
      <c r="H61">
        <f>IF($D61="",0,YEAR($D61))</f>
      </c>
    </row>
    <row r="62">
      <c r="A62"/>
      <c r="B62" s="26">
        <v>31</v>
      </c>
      <c r="C62" s="15"/>
      <c r="D62" s="18"/>
      <c r="E62" s="28"/>
      <c r="F62"/>
      <c r="G62">
        <f>IFERROR(MATCH($C62,DarlAnzeige,0),0)</f>
      </c>
      <c r="H62">
        <f>IF($D62="",0,YEAR($D62))</f>
      </c>
    </row>
    <row r="63">
      <c r="A63"/>
      <c r="B63" s="26">
        <v>32</v>
      </c>
      <c r="C63" s="15"/>
      <c r="D63" s="18"/>
      <c r="E63" s="28"/>
      <c r="F63"/>
      <c r="G63">
        <f>IFERROR(MATCH($C63,DarlAnzeige,0),0)</f>
      </c>
      <c r="H63">
        <f>IF($D63="",0,YEAR($D63))</f>
      </c>
    </row>
    <row r="64">
      <c r="A64"/>
      <c r="B64" s="26">
        <v>33</v>
      </c>
      <c r="C64" s="15"/>
      <c r="D64" s="18"/>
      <c r="E64" s="28"/>
      <c r="F64"/>
      <c r="G64">
        <f>IFERROR(MATCH($C64,DarlAnzeige,0),0)</f>
      </c>
      <c r="H64">
        <f>IF($D64="",0,YEAR($D64))</f>
      </c>
    </row>
    <row r="65">
      <c r="A65"/>
      <c r="B65" s="26">
        <v>34</v>
      </c>
      <c r="C65" s="15"/>
      <c r="D65" s="18"/>
      <c r="E65" s="28"/>
      <c r="F65"/>
      <c r="G65">
        <f>IFERROR(MATCH($C65,DarlAnzeige,0),0)</f>
      </c>
      <c r="H65">
        <f>IF($D65="",0,YEAR($D65))</f>
      </c>
    </row>
    <row r="66">
      <c r="A66"/>
      <c r="B66" s="26">
        <v>35</v>
      </c>
      <c r="C66" s="15"/>
      <c r="D66" s="18"/>
      <c r="E66" s="28"/>
      <c r="F66"/>
      <c r="G66">
        <f>IFERROR(MATCH($C66,DarlAnzeige,0),0)</f>
      </c>
      <c r="H66">
        <f>IF($D66="",0,YEAR($D66))</f>
      </c>
    </row>
    <row r="67">
      <c r="A67"/>
      <c r="B67" s="26">
        <v>36</v>
      </c>
      <c r="C67" s="15"/>
      <c r="D67" s="18"/>
      <c r="E67" s="28"/>
      <c r="F67"/>
      <c r="G67">
        <f>IFERROR(MATCH($C67,DarlAnzeige,0),0)</f>
      </c>
      <c r="H67">
        <f>IF($D67="",0,YEAR($D67))</f>
      </c>
    </row>
    <row r="68">
      <c r="A68"/>
      <c r="B68" s="26">
        <v>37</v>
      </c>
      <c r="C68" s="15"/>
      <c r="D68" s="18"/>
      <c r="E68" s="28"/>
      <c r="F68"/>
      <c r="G68">
        <f>IFERROR(MATCH($C68,DarlAnzeige,0),0)</f>
      </c>
      <c r="H68">
        <f>IF($D68="",0,YEAR($D68))</f>
      </c>
    </row>
    <row r="69">
      <c r="A69"/>
      <c r="B69" s="26">
        <v>38</v>
      </c>
      <c r="C69" s="15"/>
      <c r="D69" s="18"/>
      <c r="E69" s="28"/>
      <c r="F69"/>
      <c r="G69">
        <f>IFERROR(MATCH($C69,DarlAnzeige,0),0)</f>
      </c>
      <c r="H69">
        <f>IF($D69="",0,YEAR($D69))</f>
      </c>
    </row>
    <row r="70">
      <c r="A70"/>
      <c r="B70" s="26">
        <v>39</v>
      </c>
      <c r="C70" s="15"/>
      <c r="D70" s="18"/>
      <c r="E70" s="28"/>
      <c r="F70"/>
      <c r="G70">
        <f>IFERROR(MATCH($C70,DarlAnzeige,0),0)</f>
      </c>
      <c r="H70">
        <f>IF($D70="",0,YEAR($D70))</f>
      </c>
    </row>
    <row r="71">
      <c r="A71"/>
      <c r="B71" s="26">
        <v>40</v>
      </c>
      <c r="C71" s="15"/>
      <c r="D71" s="18"/>
      <c r="E71" s="28"/>
      <c r="F71"/>
      <c r="G71">
        <f>IFERROR(MATCH($C71,DarlAnzeige,0),0)</f>
      </c>
      <c r="H71">
        <f>IF($D71="",0,YEAR($D71))</f>
      </c>
    </row>
    <row r="74">
      <c r="A74"/>
      <c r="B74" s="4">
        <f>"C · Kennzahlen je Darlehen zum "&amp;TEXT(DAY(Stichtag),"00")&amp;"."&amp;TEXT(MONTH(Stichtag),"00")&amp;"."&amp;YEAR(Stichtag)</f>
      </c>
    </row>
    <row r="75">
      <c r="A75"/>
      <c r="B75" s="24" t="inlineStr">
        <is>
          <t xml:space="preserve">Nr</t>
        </is>
      </c>
      <c r="C75" s="25" t="inlineStr">
        <is>
          <t xml:space="preserve">Bank</t>
        </is>
      </c>
      <c r="D75" s="24" t="inlineStr">
        <is>
          <t xml:space="preserve">Betrag</t>
        </is>
      </c>
      <c r="E75" s="24" t="inlineStr">
        <is>
          <t xml:space="preserve">Rate/Monat</t>
        </is>
      </c>
      <c r="F75" s="24" t="inlineStr">
        <is>
          <t xml:space="preserve">Restschuld</t>
        </is>
      </c>
      <c r="G75" s="24" t="inlineStr">
        <is>
          <t xml:space="preserve">Rest bei Bindungsende</t>
        </is>
      </c>
      <c r="H75" s="24" t="inlineStr">
        <is>
          <t xml:space="preserve">Volltilgung</t>
        </is>
      </c>
      <c r="I75" s="24" t="inlineStr">
        <is>
          <t xml:space="preserve">Zinsen gesamt</t>
        </is>
      </c>
      <c r="J75" s="24" t="inlineStr">
        <is>
          <t xml:space="preserve">Ersatz-Guthaben</t>
        </is>
      </c>
      <c r="K75" s="24" t="inlineStr">
        <is>
          <t xml:space="preserve">Deckung</t>
        </is>
      </c>
      <c r="L75" s="24" t="inlineStr">
        <is>
          <t xml:space="preserve">Sonder­tilgung Jahr</t>
        </is>
      </c>
      <c r="M75" s="24" t="inlineStr">
        <is>
          <t xml:space="preserve">davon zulässig</t>
        </is>
      </c>
    </row>
    <row r="76">
      <c r="A76"/>
      <c r="B76" s="29">
        <v>1</v>
      </c>
      <c r="C76">
        <f>IF(INDEX(DarlBelegt,1)=0,"–",IF(INDEX(DarlBank,1)="","Darlehen",INDEX(DarlBank,1)))</f>
      </c>
      <c r="D76" s="30">
        <f>IF(INDEX(DarlBelegt,1)=0,"",INDEX(DarlBetrag,1))</f>
      </c>
      <c r="E76" s="30">
        <f>IF(INDEX(DarlBelegt,1)=0,"",SUMIFS(TilgZins,TilgDarl,1,TilgDatum,EOMONTH(Stichtag,0)+1)+SUMIFS(TilgTilgung,TilgDarl,1,TilgDatum,EOMONTH(Stichtag,0)+1)+SUMIFS(TilgErsatz,TilgDarl,1,TilgDatum,EOMONTH(Stichtag,0)+1))</f>
      </c>
      <c r="F76" s="30">
        <f>IF(INDEX(DarlBelegt,1)=0,"",MAX(0,INDEX(DarlBetrag,1)-SUMIFS(TilgTilgung,TilgDarl,1,TilgDatum,"&lt;="&amp;Stichtag)-SUMIFS(TilgSonder,TilgDarl,1,TilgDatum,"&lt;="&amp;Stichtag)))</f>
      </c>
      <c r="G76" s="30">
        <f>IF(INDEX(DarlBelegt,1)=0,"",IF(INDEX(DarlBindung,1)="","",MAX(0,INDEX(DarlBetrag,1)-SUMIFS(TilgTilgung,TilgDarl,1,TilgDatum,"&lt;="&amp;INDEX(DarlBindung,1))-SUMIFS(TilgSonder,TilgDarl,1,TilgDatum,"&lt;="&amp;INDEX(DarlBindung,1)))))</f>
      </c>
      <c r="H76" s="37">
        <f>IF(INDEX(DarlBelegt,1)=0,"",IF(SUMIFS(TilgAktiv,TilgDarl,1)&gt;=480,"über 30 Jahre",TEXT(MONTH(EOMONTH(INDEX(DarlAuszahlung,1),SUMIFS(TilgAktiv,TilgDarl,1)-1)+1),"00")&amp;"."&amp;YEAR(EOMONTH(INDEX(DarlAuszahlung,1),SUMIFS(TilgAktiv,TilgDarl,1)-1)+1)))</f>
      </c>
      <c r="I76" s="30">
        <f>IF(INDEX(DarlBelegt,1)=0,"",SUMIFS(TilgZins,TilgDarl,1))</f>
      </c>
      <c r="J76" s="30">
        <f>IF(INDEX(DarlBelegt,1)=0,"",IF(INDEX(DarlErsatzRate,1)=0,"",SUMIFS(TilgErsatz,TilgDarl,1,TilgDatum,"&lt;="&amp;Stichtag)+SUMIFS(TilgErtrag,TilgDarl,1,TilgDatum,"&lt;="&amp;Stichtag)))</f>
      </c>
      <c r="K76" s="34">
        <f>IF(INDEX(DarlBelegt,1)=0,"",IF(OR(INDEX(DarlErsatzRate,1)=0,MAX(0,INDEX(DarlBetrag,1)-SUMIFS(TilgTilgung,TilgDarl,1,TilgDatum,"&lt;="&amp;Stichtag)-SUMIFS(TilgSonder,TilgDarl,1,TilgDatum,"&lt;="&amp;Stichtag))=0),"",(SUMIFS(TilgErsatz,TilgDarl,1,TilgDatum,"&lt;="&amp;Stichtag)+SUMIFS(TilgErtrag,TilgDarl,1,TilgDatum,"&lt;="&amp;Stichtag))/MAX(0,INDEX(DarlBetrag,1)-SUMIFS(TilgTilgung,TilgDarl,1,TilgDatum,"&lt;="&amp;Stichtag)-SUMIFS(TilgSonder,TilgDarl,1,TilgDatum,"&lt;="&amp;Stichtag))*100))</f>
      </c>
      <c r="L76" s="30">
        <f>IF(INDEX(DarlBelegt,1)=0,"",SUMIFS(SondBetrag,SondDarl,1,SondJahr,Jahr))</f>
      </c>
      <c r="M76" s="30">
        <f>IF(INDEX(DarlBelegt,1)=0,"",INDEX(DarlBetrag,1)*INDEX(DarlSonderrecht,1)/100)</f>
      </c>
    </row>
    <row r="77">
      <c r="A77"/>
      <c r="B77" s="29">
        <v>2</v>
      </c>
      <c r="C77">
        <f>IF(INDEX(DarlBelegt,2)=0,"–",IF(INDEX(DarlBank,2)="","Darlehen",INDEX(DarlBank,2)))</f>
      </c>
      <c r="D77" s="30">
        <f>IF(INDEX(DarlBelegt,2)=0,"",INDEX(DarlBetrag,2))</f>
      </c>
      <c r="E77" s="30">
        <f>IF(INDEX(DarlBelegt,2)=0,"",SUMIFS(TilgZins,TilgDarl,2,TilgDatum,EOMONTH(Stichtag,0)+1)+SUMIFS(TilgTilgung,TilgDarl,2,TilgDatum,EOMONTH(Stichtag,0)+1)+SUMIFS(TilgErsatz,TilgDarl,2,TilgDatum,EOMONTH(Stichtag,0)+1))</f>
      </c>
      <c r="F77" s="30">
        <f>IF(INDEX(DarlBelegt,2)=0,"",MAX(0,INDEX(DarlBetrag,2)-SUMIFS(TilgTilgung,TilgDarl,2,TilgDatum,"&lt;="&amp;Stichtag)-SUMIFS(TilgSonder,TilgDarl,2,TilgDatum,"&lt;="&amp;Stichtag)))</f>
      </c>
      <c r="G77" s="30">
        <f>IF(INDEX(DarlBelegt,2)=0,"",IF(INDEX(DarlBindung,2)="","",MAX(0,INDEX(DarlBetrag,2)-SUMIFS(TilgTilgung,TilgDarl,2,TilgDatum,"&lt;="&amp;INDEX(DarlBindung,2))-SUMIFS(TilgSonder,TilgDarl,2,TilgDatum,"&lt;="&amp;INDEX(DarlBindung,2)))))</f>
      </c>
      <c r="H77" s="37">
        <f>IF(INDEX(DarlBelegt,2)=0,"",IF(SUMIFS(TilgAktiv,TilgDarl,2)&gt;=480,"über 30 Jahre",TEXT(MONTH(EOMONTH(INDEX(DarlAuszahlung,2),SUMIFS(TilgAktiv,TilgDarl,2)-1)+1),"00")&amp;"."&amp;YEAR(EOMONTH(INDEX(DarlAuszahlung,2),SUMIFS(TilgAktiv,TilgDarl,2)-1)+1)))</f>
      </c>
      <c r="I77" s="30">
        <f>IF(INDEX(DarlBelegt,2)=0,"",SUMIFS(TilgZins,TilgDarl,2))</f>
      </c>
      <c r="J77" s="30">
        <f>IF(INDEX(DarlBelegt,2)=0,"",IF(INDEX(DarlErsatzRate,2)=0,"",SUMIFS(TilgErsatz,TilgDarl,2,TilgDatum,"&lt;="&amp;Stichtag)+SUMIFS(TilgErtrag,TilgDarl,2,TilgDatum,"&lt;="&amp;Stichtag)))</f>
      </c>
      <c r="K77" s="34">
        <f>IF(INDEX(DarlBelegt,2)=0,"",IF(OR(INDEX(DarlErsatzRate,2)=0,MAX(0,INDEX(DarlBetrag,2)-SUMIFS(TilgTilgung,TilgDarl,2,TilgDatum,"&lt;="&amp;Stichtag)-SUMIFS(TilgSonder,TilgDarl,2,TilgDatum,"&lt;="&amp;Stichtag))=0),"",(SUMIFS(TilgErsatz,TilgDarl,2,TilgDatum,"&lt;="&amp;Stichtag)+SUMIFS(TilgErtrag,TilgDarl,2,TilgDatum,"&lt;="&amp;Stichtag))/MAX(0,INDEX(DarlBetrag,2)-SUMIFS(TilgTilgung,TilgDarl,2,TilgDatum,"&lt;="&amp;Stichtag)-SUMIFS(TilgSonder,TilgDarl,2,TilgDatum,"&lt;="&amp;Stichtag))*100))</f>
      </c>
      <c r="L77" s="30">
        <f>IF(INDEX(DarlBelegt,2)=0,"",SUMIFS(SondBetrag,SondDarl,2,SondJahr,Jahr))</f>
      </c>
      <c r="M77" s="30">
        <f>IF(INDEX(DarlBelegt,2)=0,"",INDEX(DarlBetrag,2)*INDEX(DarlSonderrecht,2)/100)</f>
      </c>
    </row>
    <row r="78">
      <c r="A78"/>
      <c r="B78" s="29">
        <v>3</v>
      </c>
      <c r="C78">
        <f>IF(INDEX(DarlBelegt,3)=0,"–",IF(INDEX(DarlBank,3)="","Darlehen",INDEX(DarlBank,3)))</f>
      </c>
      <c r="D78" s="30">
        <f>IF(INDEX(DarlBelegt,3)=0,"",INDEX(DarlBetrag,3))</f>
      </c>
      <c r="E78" s="30">
        <f>IF(INDEX(DarlBelegt,3)=0,"",SUMIFS(TilgZins,TilgDarl,3,TilgDatum,EOMONTH(Stichtag,0)+1)+SUMIFS(TilgTilgung,TilgDarl,3,TilgDatum,EOMONTH(Stichtag,0)+1)+SUMIFS(TilgErsatz,TilgDarl,3,TilgDatum,EOMONTH(Stichtag,0)+1))</f>
      </c>
      <c r="F78" s="30">
        <f>IF(INDEX(DarlBelegt,3)=0,"",MAX(0,INDEX(DarlBetrag,3)-SUMIFS(TilgTilgung,TilgDarl,3,TilgDatum,"&lt;="&amp;Stichtag)-SUMIFS(TilgSonder,TilgDarl,3,TilgDatum,"&lt;="&amp;Stichtag)))</f>
      </c>
      <c r="G78" s="30">
        <f>IF(INDEX(DarlBelegt,3)=0,"",IF(INDEX(DarlBindung,3)="","",MAX(0,INDEX(DarlBetrag,3)-SUMIFS(TilgTilgung,TilgDarl,3,TilgDatum,"&lt;="&amp;INDEX(DarlBindung,3))-SUMIFS(TilgSonder,TilgDarl,3,TilgDatum,"&lt;="&amp;INDEX(DarlBindung,3)))))</f>
      </c>
      <c r="H78" s="37">
        <f>IF(INDEX(DarlBelegt,3)=0,"",IF(SUMIFS(TilgAktiv,TilgDarl,3)&gt;=480,"über 30 Jahre",TEXT(MONTH(EOMONTH(INDEX(DarlAuszahlung,3),SUMIFS(TilgAktiv,TilgDarl,3)-1)+1),"00")&amp;"."&amp;YEAR(EOMONTH(INDEX(DarlAuszahlung,3),SUMIFS(TilgAktiv,TilgDarl,3)-1)+1)))</f>
      </c>
      <c r="I78" s="30">
        <f>IF(INDEX(DarlBelegt,3)=0,"",SUMIFS(TilgZins,TilgDarl,3))</f>
      </c>
      <c r="J78" s="30">
        <f>IF(INDEX(DarlBelegt,3)=0,"",IF(INDEX(DarlErsatzRate,3)=0,"",SUMIFS(TilgErsatz,TilgDarl,3,TilgDatum,"&lt;="&amp;Stichtag)+SUMIFS(TilgErtrag,TilgDarl,3,TilgDatum,"&lt;="&amp;Stichtag)))</f>
      </c>
      <c r="K78" s="34">
        <f>IF(INDEX(DarlBelegt,3)=0,"",IF(OR(INDEX(DarlErsatzRate,3)=0,MAX(0,INDEX(DarlBetrag,3)-SUMIFS(TilgTilgung,TilgDarl,3,TilgDatum,"&lt;="&amp;Stichtag)-SUMIFS(TilgSonder,TilgDarl,3,TilgDatum,"&lt;="&amp;Stichtag))=0),"",(SUMIFS(TilgErsatz,TilgDarl,3,TilgDatum,"&lt;="&amp;Stichtag)+SUMIFS(TilgErtrag,TilgDarl,3,TilgDatum,"&lt;="&amp;Stichtag))/MAX(0,INDEX(DarlBetrag,3)-SUMIFS(TilgTilgung,TilgDarl,3,TilgDatum,"&lt;="&amp;Stichtag)-SUMIFS(TilgSonder,TilgDarl,3,TilgDatum,"&lt;="&amp;Stichtag))*100))</f>
      </c>
      <c r="L78" s="30">
        <f>IF(INDEX(DarlBelegt,3)=0,"",SUMIFS(SondBetrag,SondDarl,3,SondJahr,Jahr))</f>
      </c>
      <c r="M78" s="30">
        <f>IF(INDEX(DarlBelegt,3)=0,"",INDEX(DarlBetrag,3)*INDEX(DarlSonderrecht,3)/100)</f>
      </c>
    </row>
    <row r="79">
      <c r="A79"/>
      <c r="B79" s="29">
        <v>4</v>
      </c>
      <c r="C79">
        <f>IF(INDEX(DarlBelegt,4)=0,"–",IF(INDEX(DarlBank,4)="","Darlehen",INDEX(DarlBank,4)))</f>
      </c>
      <c r="D79" s="30">
        <f>IF(INDEX(DarlBelegt,4)=0,"",INDEX(DarlBetrag,4))</f>
      </c>
      <c r="E79" s="30">
        <f>IF(INDEX(DarlBelegt,4)=0,"",SUMIFS(TilgZins,TilgDarl,4,TilgDatum,EOMONTH(Stichtag,0)+1)+SUMIFS(TilgTilgung,TilgDarl,4,TilgDatum,EOMONTH(Stichtag,0)+1)+SUMIFS(TilgErsatz,TilgDarl,4,TilgDatum,EOMONTH(Stichtag,0)+1))</f>
      </c>
      <c r="F79" s="30">
        <f>IF(INDEX(DarlBelegt,4)=0,"",MAX(0,INDEX(DarlBetrag,4)-SUMIFS(TilgTilgung,TilgDarl,4,TilgDatum,"&lt;="&amp;Stichtag)-SUMIFS(TilgSonder,TilgDarl,4,TilgDatum,"&lt;="&amp;Stichtag)))</f>
      </c>
      <c r="G79" s="30">
        <f>IF(INDEX(DarlBelegt,4)=0,"",IF(INDEX(DarlBindung,4)="","",MAX(0,INDEX(DarlBetrag,4)-SUMIFS(TilgTilgung,TilgDarl,4,TilgDatum,"&lt;="&amp;INDEX(DarlBindung,4))-SUMIFS(TilgSonder,TilgDarl,4,TilgDatum,"&lt;="&amp;INDEX(DarlBindung,4)))))</f>
      </c>
      <c r="H79" s="37">
        <f>IF(INDEX(DarlBelegt,4)=0,"",IF(SUMIFS(TilgAktiv,TilgDarl,4)&gt;=480,"über 30 Jahre",TEXT(MONTH(EOMONTH(INDEX(DarlAuszahlung,4),SUMIFS(TilgAktiv,TilgDarl,4)-1)+1),"00")&amp;"."&amp;YEAR(EOMONTH(INDEX(DarlAuszahlung,4),SUMIFS(TilgAktiv,TilgDarl,4)-1)+1)))</f>
      </c>
      <c r="I79" s="30">
        <f>IF(INDEX(DarlBelegt,4)=0,"",SUMIFS(TilgZins,TilgDarl,4))</f>
      </c>
      <c r="J79" s="30">
        <f>IF(INDEX(DarlBelegt,4)=0,"",IF(INDEX(DarlErsatzRate,4)=0,"",SUMIFS(TilgErsatz,TilgDarl,4,TilgDatum,"&lt;="&amp;Stichtag)+SUMIFS(TilgErtrag,TilgDarl,4,TilgDatum,"&lt;="&amp;Stichtag)))</f>
      </c>
      <c r="K79" s="34">
        <f>IF(INDEX(DarlBelegt,4)=0,"",IF(OR(INDEX(DarlErsatzRate,4)=0,MAX(0,INDEX(DarlBetrag,4)-SUMIFS(TilgTilgung,TilgDarl,4,TilgDatum,"&lt;="&amp;Stichtag)-SUMIFS(TilgSonder,TilgDarl,4,TilgDatum,"&lt;="&amp;Stichtag))=0),"",(SUMIFS(TilgErsatz,TilgDarl,4,TilgDatum,"&lt;="&amp;Stichtag)+SUMIFS(TilgErtrag,TilgDarl,4,TilgDatum,"&lt;="&amp;Stichtag))/MAX(0,INDEX(DarlBetrag,4)-SUMIFS(TilgTilgung,TilgDarl,4,TilgDatum,"&lt;="&amp;Stichtag)-SUMIFS(TilgSonder,TilgDarl,4,TilgDatum,"&lt;="&amp;Stichtag))*100))</f>
      </c>
      <c r="L79" s="30">
        <f>IF(INDEX(DarlBelegt,4)=0,"",SUMIFS(SondBetrag,SondDarl,4,SondJahr,Jahr))</f>
      </c>
      <c r="M79" s="30">
        <f>IF(INDEX(DarlBelegt,4)=0,"",INDEX(DarlBetrag,4)*INDEX(DarlSonderrecht,4)/100)</f>
      </c>
    </row>
    <row r="80">
      <c r="A80"/>
      <c r="B80" s="29">
        <v>5</v>
      </c>
      <c r="C80">
        <f>IF(INDEX(DarlBelegt,5)=0,"–",IF(INDEX(DarlBank,5)="","Darlehen",INDEX(DarlBank,5)))</f>
      </c>
      <c r="D80" s="30">
        <f>IF(INDEX(DarlBelegt,5)=0,"",INDEX(DarlBetrag,5))</f>
      </c>
      <c r="E80" s="30">
        <f>IF(INDEX(DarlBelegt,5)=0,"",SUMIFS(TilgZins,TilgDarl,5,TilgDatum,EOMONTH(Stichtag,0)+1)+SUMIFS(TilgTilgung,TilgDarl,5,TilgDatum,EOMONTH(Stichtag,0)+1)+SUMIFS(TilgErsatz,TilgDarl,5,TilgDatum,EOMONTH(Stichtag,0)+1))</f>
      </c>
      <c r="F80" s="30">
        <f>IF(INDEX(DarlBelegt,5)=0,"",MAX(0,INDEX(DarlBetrag,5)-SUMIFS(TilgTilgung,TilgDarl,5,TilgDatum,"&lt;="&amp;Stichtag)-SUMIFS(TilgSonder,TilgDarl,5,TilgDatum,"&lt;="&amp;Stichtag)))</f>
      </c>
      <c r="G80" s="30">
        <f>IF(INDEX(DarlBelegt,5)=0,"",IF(INDEX(DarlBindung,5)="","",MAX(0,INDEX(DarlBetrag,5)-SUMIFS(TilgTilgung,TilgDarl,5,TilgDatum,"&lt;="&amp;INDEX(DarlBindung,5))-SUMIFS(TilgSonder,TilgDarl,5,TilgDatum,"&lt;="&amp;INDEX(DarlBindung,5)))))</f>
      </c>
      <c r="H80" s="37">
        <f>IF(INDEX(DarlBelegt,5)=0,"",IF(SUMIFS(TilgAktiv,TilgDarl,5)&gt;=480,"über 30 Jahre",TEXT(MONTH(EOMONTH(INDEX(DarlAuszahlung,5),SUMIFS(TilgAktiv,TilgDarl,5)-1)+1),"00")&amp;"."&amp;YEAR(EOMONTH(INDEX(DarlAuszahlung,5),SUMIFS(TilgAktiv,TilgDarl,5)-1)+1)))</f>
      </c>
      <c r="I80" s="30">
        <f>IF(INDEX(DarlBelegt,5)=0,"",SUMIFS(TilgZins,TilgDarl,5))</f>
      </c>
      <c r="J80" s="30">
        <f>IF(INDEX(DarlBelegt,5)=0,"",IF(INDEX(DarlErsatzRate,5)=0,"",SUMIFS(TilgErsatz,TilgDarl,5,TilgDatum,"&lt;="&amp;Stichtag)+SUMIFS(TilgErtrag,TilgDarl,5,TilgDatum,"&lt;="&amp;Stichtag)))</f>
      </c>
      <c r="K80" s="34">
        <f>IF(INDEX(DarlBelegt,5)=0,"",IF(OR(INDEX(DarlErsatzRate,5)=0,MAX(0,INDEX(DarlBetrag,5)-SUMIFS(TilgTilgung,TilgDarl,5,TilgDatum,"&lt;="&amp;Stichtag)-SUMIFS(TilgSonder,TilgDarl,5,TilgDatum,"&lt;="&amp;Stichtag))=0),"",(SUMIFS(TilgErsatz,TilgDarl,5,TilgDatum,"&lt;="&amp;Stichtag)+SUMIFS(TilgErtrag,TilgDarl,5,TilgDatum,"&lt;="&amp;Stichtag))/MAX(0,INDEX(DarlBetrag,5)-SUMIFS(TilgTilgung,TilgDarl,5,TilgDatum,"&lt;="&amp;Stichtag)-SUMIFS(TilgSonder,TilgDarl,5,TilgDatum,"&lt;="&amp;Stichtag))*100))</f>
      </c>
      <c r="L80" s="30">
        <f>IF(INDEX(DarlBelegt,5)=0,"",SUMIFS(SondBetrag,SondDarl,5,SondJahr,Jahr))</f>
      </c>
      <c r="M80" s="30">
        <f>IF(INDEX(DarlBelegt,5)=0,"",INDEX(DarlBetrag,5)*INDEX(DarlSonderrecht,5)/100)</f>
      </c>
    </row>
    <row r="81">
      <c r="A81"/>
      <c r="B81" s="29">
        <v>6</v>
      </c>
      <c r="C81">
        <f>IF(INDEX(DarlBelegt,6)=0,"–",IF(INDEX(DarlBank,6)="","Darlehen",INDEX(DarlBank,6)))</f>
      </c>
      <c r="D81" s="30">
        <f>IF(INDEX(DarlBelegt,6)=0,"",INDEX(DarlBetrag,6))</f>
      </c>
      <c r="E81" s="30">
        <f>IF(INDEX(DarlBelegt,6)=0,"",SUMIFS(TilgZins,TilgDarl,6,TilgDatum,EOMONTH(Stichtag,0)+1)+SUMIFS(TilgTilgung,TilgDarl,6,TilgDatum,EOMONTH(Stichtag,0)+1)+SUMIFS(TilgErsatz,TilgDarl,6,TilgDatum,EOMONTH(Stichtag,0)+1))</f>
      </c>
      <c r="F81" s="30">
        <f>IF(INDEX(DarlBelegt,6)=0,"",MAX(0,INDEX(DarlBetrag,6)-SUMIFS(TilgTilgung,TilgDarl,6,TilgDatum,"&lt;="&amp;Stichtag)-SUMIFS(TilgSonder,TilgDarl,6,TilgDatum,"&lt;="&amp;Stichtag)))</f>
      </c>
      <c r="G81" s="30">
        <f>IF(INDEX(DarlBelegt,6)=0,"",IF(INDEX(DarlBindung,6)="","",MAX(0,INDEX(DarlBetrag,6)-SUMIFS(TilgTilgung,TilgDarl,6,TilgDatum,"&lt;="&amp;INDEX(DarlBindung,6))-SUMIFS(TilgSonder,TilgDarl,6,TilgDatum,"&lt;="&amp;INDEX(DarlBindung,6)))))</f>
      </c>
      <c r="H81" s="37">
        <f>IF(INDEX(DarlBelegt,6)=0,"",IF(SUMIFS(TilgAktiv,TilgDarl,6)&gt;=480,"über 30 Jahre",TEXT(MONTH(EOMONTH(INDEX(DarlAuszahlung,6),SUMIFS(TilgAktiv,TilgDarl,6)-1)+1),"00")&amp;"."&amp;YEAR(EOMONTH(INDEX(DarlAuszahlung,6),SUMIFS(TilgAktiv,TilgDarl,6)-1)+1)))</f>
      </c>
      <c r="I81" s="30">
        <f>IF(INDEX(DarlBelegt,6)=0,"",SUMIFS(TilgZins,TilgDarl,6))</f>
      </c>
      <c r="J81" s="30">
        <f>IF(INDEX(DarlBelegt,6)=0,"",IF(INDEX(DarlErsatzRate,6)=0,"",SUMIFS(TilgErsatz,TilgDarl,6,TilgDatum,"&lt;="&amp;Stichtag)+SUMIFS(TilgErtrag,TilgDarl,6,TilgDatum,"&lt;="&amp;Stichtag)))</f>
      </c>
      <c r="K81" s="34">
        <f>IF(INDEX(DarlBelegt,6)=0,"",IF(OR(INDEX(DarlErsatzRate,6)=0,MAX(0,INDEX(DarlBetrag,6)-SUMIFS(TilgTilgung,TilgDarl,6,TilgDatum,"&lt;="&amp;Stichtag)-SUMIFS(TilgSonder,TilgDarl,6,TilgDatum,"&lt;="&amp;Stichtag))=0),"",(SUMIFS(TilgErsatz,TilgDarl,6,TilgDatum,"&lt;="&amp;Stichtag)+SUMIFS(TilgErtrag,TilgDarl,6,TilgDatum,"&lt;="&amp;Stichtag))/MAX(0,INDEX(DarlBetrag,6)-SUMIFS(TilgTilgung,TilgDarl,6,TilgDatum,"&lt;="&amp;Stichtag)-SUMIFS(TilgSonder,TilgDarl,6,TilgDatum,"&lt;="&amp;Stichtag))*100))</f>
      </c>
      <c r="L81" s="30">
        <f>IF(INDEX(DarlBelegt,6)=0,"",SUMIFS(SondBetrag,SondDarl,6,SondJahr,Jahr))</f>
      </c>
      <c r="M81" s="30">
        <f>IF(INDEX(DarlBelegt,6)=0,"",INDEX(DarlBetrag,6)*INDEX(DarlSonderrecht,6)/100)</f>
      </c>
    </row>
    <row r="82">
      <c r="A82"/>
      <c r="B82" s="29">
        <v>7</v>
      </c>
      <c r="C82">
        <f>IF(INDEX(DarlBelegt,7)=0,"–",IF(INDEX(DarlBank,7)="","Darlehen",INDEX(DarlBank,7)))</f>
      </c>
      <c r="D82" s="30">
        <f>IF(INDEX(DarlBelegt,7)=0,"",INDEX(DarlBetrag,7))</f>
      </c>
      <c r="E82" s="30">
        <f>IF(INDEX(DarlBelegt,7)=0,"",SUMIFS(TilgZins,TilgDarl,7,TilgDatum,EOMONTH(Stichtag,0)+1)+SUMIFS(TilgTilgung,TilgDarl,7,TilgDatum,EOMONTH(Stichtag,0)+1)+SUMIFS(TilgErsatz,TilgDarl,7,TilgDatum,EOMONTH(Stichtag,0)+1))</f>
      </c>
      <c r="F82" s="30">
        <f>IF(INDEX(DarlBelegt,7)=0,"",MAX(0,INDEX(DarlBetrag,7)-SUMIFS(TilgTilgung,TilgDarl,7,TilgDatum,"&lt;="&amp;Stichtag)-SUMIFS(TilgSonder,TilgDarl,7,TilgDatum,"&lt;="&amp;Stichtag)))</f>
      </c>
      <c r="G82" s="30">
        <f>IF(INDEX(DarlBelegt,7)=0,"",IF(INDEX(DarlBindung,7)="","",MAX(0,INDEX(DarlBetrag,7)-SUMIFS(TilgTilgung,TilgDarl,7,TilgDatum,"&lt;="&amp;INDEX(DarlBindung,7))-SUMIFS(TilgSonder,TilgDarl,7,TilgDatum,"&lt;="&amp;INDEX(DarlBindung,7)))))</f>
      </c>
      <c r="H82" s="37">
        <f>IF(INDEX(DarlBelegt,7)=0,"",IF(SUMIFS(TilgAktiv,TilgDarl,7)&gt;=480,"über 30 Jahre",TEXT(MONTH(EOMONTH(INDEX(DarlAuszahlung,7),SUMIFS(TilgAktiv,TilgDarl,7)-1)+1),"00")&amp;"."&amp;YEAR(EOMONTH(INDEX(DarlAuszahlung,7),SUMIFS(TilgAktiv,TilgDarl,7)-1)+1)))</f>
      </c>
      <c r="I82" s="30">
        <f>IF(INDEX(DarlBelegt,7)=0,"",SUMIFS(TilgZins,TilgDarl,7))</f>
      </c>
      <c r="J82" s="30">
        <f>IF(INDEX(DarlBelegt,7)=0,"",IF(INDEX(DarlErsatzRate,7)=0,"",SUMIFS(TilgErsatz,TilgDarl,7,TilgDatum,"&lt;="&amp;Stichtag)+SUMIFS(TilgErtrag,TilgDarl,7,TilgDatum,"&lt;="&amp;Stichtag)))</f>
      </c>
      <c r="K82" s="34">
        <f>IF(INDEX(DarlBelegt,7)=0,"",IF(OR(INDEX(DarlErsatzRate,7)=0,MAX(0,INDEX(DarlBetrag,7)-SUMIFS(TilgTilgung,TilgDarl,7,TilgDatum,"&lt;="&amp;Stichtag)-SUMIFS(TilgSonder,TilgDarl,7,TilgDatum,"&lt;="&amp;Stichtag))=0),"",(SUMIFS(TilgErsatz,TilgDarl,7,TilgDatum,"&lt;="&amp;Stichtag)+SUMIFS(TilgErtrag,TilgDarl,7,TilgDatum,"&lt;="&amp;Stichtag))/MAX(0,INDEX(DarlBetrag,7)-SUMIFS(TilgTilgung,TilgDarl,7,TilgDatum,"&lt;="&amp;Stichtag)-SUMIFS(TilgSonder,TilgDarl,7,TilgDatum,"&lt;="&amp;Stichtag))*100))</f>
      </c>
      <c r="L82" s="30">
        <f>IF(INDEX(DarlBelegt,7)=0,"",SUMIFS(SondBetrag,SondDarl,7,SondJahr,Jahr))</f>
      </c>
      <c r="M82" s="30">
        <f>IF(INDEX(DarlBelegt,7)=0,"",INDEX(DarlBetrag,7)*INDEX(DarlSonderrecht,7)/100)</f>
      </c>
    </row>
    <row r="83">
      <c r="A83"/>
      <c r="B83" s="29">
        <v>8</v>
      </c>
      <c r="C83">
        <f>IF(INDEX(DarlBelegt,8)=0,"–",IF(INDEX(DarlBank,8)="","Darlehen",INDEX(DarlBank,8)))</f>
      </c>
      <c r="D83" s="30">
        <f>IF(INDEX(DarlBelegt,8)=0,"",INDEX(DarlBetrag,8))</f>
      </c>
      <c r="E83" s="30">
        <f>IF(INDEX(DarlBelegt,8)=0,"",SUMIFS(TilgZins,TilgDarl,8,TilgDatum,EOMONTH(Stichtag,0)+1)+SUMIFS(TilgTilgung,TilgDarl,8,TilgDatum,EOMONTH(Stichtag,0)+1)+SUMIFS(TilgErsatz,TilgDarl,8,TilgDatum,EOMONTH(Stichtag,0)+1))</f>
      </c>
      <c r="F83" s="30">
        <f>IF(INDEX(DarlBelegt,8)=0,"",MAX(0,INDEX(DarlBetrag,8)-SUMIFS(TilgTilgung,TilgDarl,8,TilgDatum,"&lt;="&amp;Stichtag)-SUMIFS(TilgSonder,TilgDarl,8,TilgDatum,"&lt;="&amp;Stichtag)))</f>
      </c>
      <c r="G83" s="30">
        <f>IF(INDEX(DarlBelegt,8)=0,"",IF(INDEX(DarlBindung,8)="","",MAX(0,INDEX(DarlBetrag,8)-SUMIFS(TilgTilgung,TilgDarl,8,TilgDatum,"&lt;="&amp;INDEX(DarlBindung,8))-SUMIFS(TilgSonder,TilgDarl,8,TilgDatum,"&lt;="&amp;INDEX(DarlBindung,8)))))</f>
      </c>
      <c r="H83" s="37">
        <f>IF(INDEX(DarlBelegt,8)=0,"",IF(SUMIFS(TilgAktiv,TilgDarl,8)&gt;=480,"über 30 Jahre",TEXT(MONTH(EOMONTH(INDEX(DarlAuszahlung,8),SUMIFS(TilgAktiv,TilgDarl,8)-1)+1),"00")&amp;"."&amp;YEAR(EOMONTH(INDEX(DarlAuszahlung,8),SUMIFS(TilgAktiv,TilgDarl,8)-1)+1)))</f>
      </c>
      <c r="I83" s="30">
        <f>IF(INDEX(DarlBelegt,8)=0,"",SUMIFS(TilgZins,TilgDarl,8))</f>
      </c>
      <c r="J83" s="30">
        <f>IF(INDEX(DarlBelegt,8)=0,"",IF(INDEX(DarlErsatzRate,8)=0,"",SUMIFS(TilgErsatz,TilgDarl,8,TilgDatum,"&lt;="&amp;Stichtag)+SUMIFS(TilgErtrag,TilgDarl,8,TilgDatum,"&lt;="&amp;Stichtag)))</f>
      </c>
      <c r="K83" s="34">
        <f>IF(INDEX(DarlBelegt,8)=0,"",IF(OR(INDEX(DarlErsatzRate,8)=0,MAX(0,INDEX(DarlBetrag,8)-SUMIFS(TilgTilgung,TilgDarl,8,TilgDatum,"&lt;="&amp;Stichtag)-SUMIFS(TilgSonder,TilgDarl,8,TilgDatum,"&lt;="&amp;Stichtag))=0),"",(SUMIFS(TilgErsatz,TilgDarl,8,TilgDatum,"&lt;="&amp;Stichtag)+SUMIFS(TilgErtrag,TilgDarl,8,TilgDatum,"&lt;="&amp;Stichtag))/MAX(0,INDEX(DarlBetrag,8)-SUMIFS(TilgTilgung,TilgDarl,8,TilgDatum,"&lt;="&amp;Stichtag)-SUMIFS(TilgSonder,TilgDarl,8,TilgDatum,"&lt;="&amp;Stichtag))*100))</f>
      </c>
      <c r="L83" s="30">
        <f>IF(INDEX(DarlBelegt,8)=0,"",SUMIFS(SondBetrag,SondDarl,8,SondJahr,Jahr))</f>
      </c>
      <c r="M83" s="30">
        <f>IF(INDEX(DarlBelegt,8)=0,"",INDEX(DarlBetrag,8)*INDEX(DarlSonderrecht,8)/100)</f>
      </c>
    </row>
    <row r="84">
      <c r="A84"/>
      <c r="B84" s="29">
        <v>9</v>
      </c>
      <c r="C84">
        <f>IF(INDEX(DarlBelegt,9)=0,"–",IF(INDEX(DarlBank,9)="","Darlehen",INDEX(DarlBank,9)))</f>
      </c>
      <c r="D84" s="30">
        <f>IF(INDEX(DarlBelegt,9)=0,"",INDEX(DarlBetrag,9))</f>
      </c>
      <c r="E84" s="30">
        <f>IF(INDEX(DarlBelegt,9)=0,"",SUMIFS(TilgZins,TilgDarl,9,TilgDatum,EOMONTH(Stichtag,0)+1)+SUMIFS(TilgTilgung,TilgDarl,9,TilgDatum,EOMONTH(Stichtag,0)+1)+SUMIFS(TilgErsatz,TilgDarl,9,TilgDatum,EOMONTH(Stichtag,0)+1))</f>
      </c>
      <c r="F84" s="30">
        <f>IF(INDEX(DarlBelegt,9)=0,"",MAX(0,INDEX(DarlBetrag,9)-SUMIFS(TilgTilgung,TilgDarl,9,TilgDatum,"&lt;="&amp;Stichtag)-SUMIFS(TilgSonder,TilgDarl,9,TilgDatum,"&lt;="&amp;Stichtag)))</f>
      </c>
      <c r="G84" s="30">
        <f>IF(INDEX(DarlBelegt,9)=0,"",IF(INDEX(DarlBindung,9)="","",MAX(0,INDEX(DarlBetrag,9)-SUMIFS(TilgTilgung,TilgDarl,9,TilgDatum,"&lt;="&amp;INDEX(DarlBindung,9))-SUMIFS(TilgSonder,TilgDarl,9,TilgDatum,"&lt;="&amp;INDEX(DarlBindung,9)))))</f>
      </c>
      <c r="H84" s="37">
        <f>IF(INDEX(DarlBelegt,9)=0,"",IF(SUMIFS(TilgAktiv,TilgDarl,9)&gt;=480,"über 30 Jahre",TEXT(MONTH(EOMONTH(INDEX(DarlAuszahlung,9),SUMIFS(TilgAktiv,TilgDarl,9)-1)+1),"00")&amp;"."&amp;YEAR(EOMONTH(INDEX(DarlAuszahlung,9),SUMIFS(TilgAktiv,TilgDarl,9)-1)+1)))</f>
      </c>
      <c r="I84" s="30">
        <f>IF(INDEX(DarlBelegt,9)=0,"",SUMIFS(TilgZins,TilgDarl,9))</f>
      </c>
      <c r="J84" s="30">
        <f>IF(INDEX(DarlBelegt,9)=0,"",IF(INDEX(DarlErsatzRate,9)=0,"",SUMIFS(TilgErsatz,TilgDarl,9,TilgDatum,"&lt;="&amp;Stichtag)+SUMIFS(TilgErtrag,TilgDarl,9,TilgDatum,"&lt;="&amp;Stichtag)))</f>
      </c>
      <c r="K84" s="34">
        <f>IF(INDEX(DarlBelegt,9)=0,"",IF(OR(INDEX(DarlErsatzRate,9)=0,MAX(0,INDEX(DarlBetrag,9)-SUMIFS(TilgTilgung,TilgDarl,9,TilgDatum,"&lt;="&amp;Stichtag)-SUMIFS(TilgSonder,TilgDarl,9,TilgDatum,"&lt;="&amp;Stichtag))=0),"",(SUMIFS(TilgErsatz,TilgDarl,9,TilgDatum,"&lt;="&amp;Stichtag)+SUMIFS(TilgErtrag,TilgDarl,9,TilgDatum,"&lt;="&amp;Stichtag))/MAX(0,INDEX(DarlBetrag,9)-SUMIFS(TilgTilgung,TilgDarl,9,TilgDatum,"&lt;="&amp;Stichtag)-SUMIFS(TilgSonder,TilgDarl,9,TilgDatum,"&lt;="&amp;Stichtag))*100))</f>
      </c>
      <c r="L84" s="30">
        <f>IF(INDEX(DarlBelegt,9)=0,"",SUMIFS(SondBetrag,SondDarl,9,SondJahr,Jahr))</f>
      </c>
      <c r="M84" s="30">
        <f>IF(INDEX(DarlBelegt,9)=0,"",INDEX(DarlBetrag,9)*INDEX(DarlSonderrecht,9)/100)</f>
      </c>
    </row>
    <row r="85">
      <c r="A85"/>
      <c r="B85" s="29">
        <v>10</v>
      </c>
      <c r="C85">
        <f>IF(INDEX(DarlBelegt,10)=0,"–",IF(INDEX(DarlBank,10)="","Darlehen",INDEX(DarlBank,10)))</f>
      </c>
      <c r="D85" s="30">
        <f>IF(INDEX(DarlBelegt,10)=0,"",INDEX(DarlBetrag,10))</f>
      </c>
      <c r="E85" s="30">
        <f>IF(INDEX(DarlBelegt,10)=0,"",SUMIFS(TilgZins,TilgDarl,10,TilgDatum,EOMONTH(Stichtag,0)+1)+SUMIFS(TilgTilgung,TilgDarl,10,TilgDatum,EOMONTH(Stichtag,0)+1)+SUMIFS(TilgErsatz,TilgDarl,10,TilgDatum,EOMONTH(Stichtag,0)+1))</f>
      </c>
      <c r="F85" s="30">
        <f>IF(INDEX(DarlBelegt,10)=0,"",MAX(0,INDEX(DarlBetrag,10)-SUMIFS(TilgTilgung,TilgDarl,10,TilgDatum,"&lt;="&amp;Stichtag)-SUMIFS(TilgSonder,TilgDarl,10,TilgDatum,"&lt;="&amp;Stichtag)))</f>
      </c>
      <c r="G85" s="30">
        <f>IF(INDEX(DarlBelegt,10)=0,"",IF(INDEX(DarlBindung,10)="","",MAX(0,INDEX(DarlBetrag,10)-SUMIFS(TilgTilgung,TilgDarl,10,TilgDatum,"&lt;="&amp;INDEX(DarlBindung,10))-SUMIFS(TilgSonder,TilgDarl,10,TilgDatum,"&lt;="&amp;INDEX(DarlBindung,10)))))</f>
      </c>
      <c r="H85" s="37">
        <f>IF(INDEX(DarlBelegt,10)=0,"",IF(SUMIFS(TilgAktiv,TilgDarl,10)&gt;=480,"über 30 Jahre",TEXT(MONTH(EOMONTH(INDEX(DarlAuszahlung,10),SUMIFS(TilgAktiv,TilgDarl,10)-1)+1),"00")&amp;"."&amp;YEAR(EOMONTH(INDEX(DarlAuszahlung,10),SUMIFS(TilgAktiv,TilgDarl,10)-1)+1)))</f>
      </c>
      <c r="I85" s="30">
        <f>IF(INDEX(DarlBelegt,10)=0,"",SUMIFS(TilgZins,TilgDarl,10))</f>
      </c>
      <c r="J85" s="30">
        <f>IF(INDEX(DarlBelegt,10)=0,"",IF(INDEX(DarlErsatzRate,10)=0,"",SUMIFS(TilgErsatz,TilgDarl,10,TilgDatum,"&lt;="&amp;Stichtag)+SUMIFS(TilgErtrag,TilgDarl,10,TilgDatum,"&lt;="&amp;Stichtag)))</f>
      </c>
      <c r="K85" s="34">
        <f>IF(INDEX(DarlBelegt,10)=0,"",IF(OR(INDEX(DarlErsatzRate,10)=0,MAX(0,INDEX(DarlBetrag,10)-SUMIFS(TilgTilgung,TilgDarl,10,TilgDatum,"&lt;="&amp;Stichtag)-SUMIFS(TilgSonder,TilgDarl,10,TilgDatum,"&lt;="&amp;Stichtag))=0),"",(SUMIFS(TilgErsatz,TilgDarl,10,TilgDatum,"&lt;="&amp;Stichtag)+SUMIFS(TilgErtrag,TilgDarl,10,TilgDatum,"&lt;="&amp;Stichtag))/MAX(0,INDEX(DarlBetrag,10)-SUMIFS(TilgTilgung,TilgDarl,10,TilgDatum,"&lt;="&amp;Stichtag)-SUMIFS(TilgSonder,TilgDarl,10,TilgDatum,"&lt;="&amp;Stichtag))*100))</f>
      </c>
      <c r="L85" s="30">
        <f>IF(INDEX(DarlBelegt,10)=0,"",SUMIFS(SondBetrag,SondDarl,10,SondJahr,Jahr))</f>
      </c>
      <c r="M85" s="30">
        <f>IF(INDEX(DarlBelegt,10)=0,"",INDEX(DarlBetrag,10)*INDEX(DarlSonderrecht,10)/100)</f>
      </c>
    </row>
    <row r="86">
      <c r="A86"/>
      <c r="B86" s="29">
        <v>11</v>
      </c>
      <c r="C86">
        <f>IF(INDEX(DarlBelegt,11)=0,"–",IF(INDEX(DarlBank,11)="","Darlehen",INDEX(DarlBank,11)))</f>
      </c>
      <c r="D86" s="30">
        <f>IF(INDEX(DarlBelegt,11)=0,"",INDEX(DarlBetrag,11))</f>
      </c>
      <c r="E86" s="30">
        <f>IF(INDEX(DarlBelegt,11)=0,"",SUMIFS(TilgZins,TilgDarl,11,TilgDatum,EOMONTH(Stichtag,0)+1)+SUMIFS(TilgTilgung,TilgDarl,11,TilgDatum,EOMONTH(Stichtag,0)+1)+SUMIFS(TilgErsatz,TilgDarl,11,TilgDatum,EOMONTH(Stichtag,0)+1))</f>
      </c>
      <c r="F86" s="30">
        <f>IF(INDEX(DarlBelegt,11)=0,"",MAX(0,INDEX(DarlBetrag,11)-SUMIFS(TilgTilgung,TilgDarl,11,TilgDatum,"&lt;="&amp;Stichtag)-SUMIFS(TilgSonder,TilgDarl,11,TilgDatum,"&lt;="&amp;Stichtag)))</f>
      </c>
      <c r="G86" s="30">
        <f>IF(INDEX(DarlBelegt,11)=0,"",IF(INDEX(DarlBindung,11)="","",MAX(0,INDEX(DarlBetrag,11)-SUMIFS(TilgTilgung,TilgDarl,11,TilgDatum,"&lt;="&amp;INDEX(DarlBindung,11))-SUMIFS(TilgSonder,TilgDarl,11,TilgDatum,"&lt;="&amp;INDEX(DarlBindung,11)))))</f>
      </c>
      <c r="H86" s="37">
        <f>IF(INDEX(DarlBelegt,11)=0,"",IF(SUMIFS(TilgAktiv,TilgDarl,11)&gt;=480,"über 30 Jahre",TEXT(MONTH(EOMONTH(INDEX(DarlAuszahlung,11),SUMIFS(TilgAktiv,TilgDarl,11)-1)+1),"00")&amp;"."&amp;YEAR(EOMONTH(INDEX(DarlAuszahlung,11),SUMIFS(TilgAktiv,TilgDarl,11)-1)+1)))</f>
      </c>
      <c r="I86" s="30">
        <f>IF(INDEX(DarlBelegt,11)=0,"",SUMIFS(TilgZins,TilgDarl,11))</f>
      </c>
      <c r="J86" s="30">
        <f>IF(INDEX(DarlBelegt,11)=0,"",IF(INDEX(DarlErsatzRate,11)=0,"",SUMIFS(TilgErsatz,TilgDarl,11,TilgDatum,"&lt;="&amp;Stichtag)+SUMIFS(TilgErtrag,TilgDarl,11,TilgDatum,"&lt;="&amp;Stichtag)))</f>
      </c>
      <c r="K86" s="34">
        <f>IF(INDEX(DarlBelegt,11)=0,"",IF(OR(INDEX(DarlErsatzRate,11)=0,MAX(0,INDEX(DarlBetrag,11)-SUMIFS(TilgTilgung,TilgDarl,11,TilgDatum,"&lt;="&amp;Stichtag)-SUMIFS(TilgSonder,TilgDarl,11,TilgDatum,"&lt;="&amp;Stichtag))=0),"",(SUMIFS(TilgErsatz,TilgDarl,11,TilgDatum,"&lt;="&amp;Stichtag)+SUMIFS(TilgErtrag,TilgDarl,11,TilgDatum,"&lt;="&amp;Stichtag))/MAX(0,INDEX(DarlBetrag,11)-SUMIFS(TilgTilgung,TilgDarl,11,TilgDatum,"&lt;="&amp;Stichtag)-SUMIFS(TilgSonder,TilgDarl,11,TilgDatum,"&lt;="&amp;Stichtag))*100))</f>
      </c>
      <c r="L86" s="30">
        <f>IF(INDEX(DarlBelegt,11)=0,"",SUMIFS(SondBetrag,SondDarl,11,SondJahr,Jahr))</f>
      </c>
      <c r="M86" s="30">
        <f>IF(INDEX(DarlBelegt,11)=0,"",INDEX(DarlBetrag,11)*INDEX(DarlSonderrecht,11)/100)</f>
      </c>
    </row>
    <row r="87">
      <c r="A87"/>
      <c r="B87" s="29">
        <v>12</v>
      </c>
      <c r="C87">
        <f>IF(INDEX(DarlBelegt,12)=0,"–",IF(INDEX(DarlBank,12)="","Darlehen",INDEX(DarlBank,12)))</f>
      </c>
      <c r="D87" s="30">
        <f>IF(INDEX(DarlBelegt,12)=0,"",INDEX(DarlBetrag,12))</f>
      </c>
      <c r="E87" s="30">
        <f>IF(INDEX(DarlBelegt,12)=0,"",SUMIFS(TilgZins,TilgDarl,12,TilgDatum,EOMONTH(Stichtag,0)+1)+SUMIFS(TilgTilgung,TilgDarl,12,TilgDatum,EOMONTH(Stichtag,0)+1)+SUMIFS(TilgErsatz,TilgDarl,12,TilgDatum,EOMONTH(Stichtag,0)+1))</f>
      </c>
      <c r="F87" s="30">
        <f>IF(INDEX(DarlBelegt,12)=0,"",MAX(0,INDEX(DarlBetrag,12)-SUMIFS(TilgTilgung,TilgDarl,12,TilgDatum,"&lt;="&amp;Stichtag)-SUMIFS(TilgSonder,TilgDarl,12,TilgDatum,"&lt;="&amp;Stichtag)))</f>
      </c>
      <c r="G87" s="30">
        <f>IF(INDEX(DarlBelegt,12)=0,"",IF(INDEX(DarlBindung,12)="","",MAX(0,INDEX(DarlBetrag,12)-SUMIFS(TilgTilgung,TilgDarl,12,TilgDatum,"&lt;="&amp;INDEX(DarlBindung,12))-SUMIFS(TilgSonder,TilgDarl,12,TilgDatum,"&lt;="&amp;INDEX(DarlBindung,12)))))</f>
      </c>
      <c r="H87" s="37">
        <f>IF(INDEX(DarlBelegt,12)=0,"",IF(SUMIFS(TilgAktiv,TilgDarl,12)&gt;=480,"über 30 Jahre",TEXT(MONTH(EOMONTH(INDEX(DarlAuszahlung,12),SUMIFS(TilgAktiv,TilgDarl,12)-1)+1),"00")&amp;"."&amp;YEAR(EOMONTH(INDEX(DarlAuszahlung,12),SUMIFS(TilgAktiv,TilgDarl,12)-1)+1)))</f>
      </c>
      <c r="I87" s="30">
        <f>IF(INDEX(DarlBelegt,12)=0,"",SUMIFS(TilgZins,TilgDarl,12))</f>
      </c>
      <c r="J87" s="30">
        <f>IF(INDEX(DarlBelegt,12)=0,"",IF(INDEX(DarlErsatzRate,12)=0,"",SUMIFS(TilgErsatz,TilgDarl,12,TilgDatum,"&lt;="&amp;Stichtag)+SUMIFS(TilgErtrag,TilgDarl,12,TilgDatum,"&lt;="&amp;Stichtag)))</f>
      </c>
      <c r="K87" s="34">
        <f>IF(INDEX(DarlBelegt,12)=0,"",IF(OR(INDEX(DarlErsatzRate,12)=0,MAX(0,INDEX(DarlBetrag,12)-SUMIFS(TilgTilgung,TilgDarl,12,TilgDatum,"&lt;="&amp;Stichtag)-SUMIFS(TilgSonder,TilgDarl,12,TilgDatum,"&lt;="&amp;Stichtag))=0),"",(SUMIFS(TilgErsatz,TilgDarl,12,TilgDatum,"&lt;="&amp;Stichtag)+SUMIFS(TilgErtrag,TilgDarl,12,TilgDatum,"&lt;="&amp;Stichtag))/MAX(0,INDEX(DarlBetrag,12)-SUMIFS(TilgTilgung,TilgDarl,12,TilgDatum,"&lt;="&amp;Stichtag)-SUMIFS(TilgSonder,TilgDarl,12,TilgDatum,"&lt;="&amp;Stichtag))*100))</f>
      </c>
      <c r="L87" s="30">
        <f>IF(INDEX(DarlBelegt,12)=0,"",SUMIFS(SondBetrag,SondDarl,12,SondJahr,Jahr))</f>
      </c>
      <c r="M87" s="30">
        <f>IF(INDEX(DarlBelegt,12)=0,"",INDEX(DarlBetrag,12)*INDEX(DarlSonderrecht,12)/100)</f>
      </c>
    </row>
    <row r="88">
      <c r="A88"/>
      <c r="B88" s="29">
        <v>13</v>
      </c>
      <c r="C88">
        <f>IF(INDEX(DarlBelegt,13)=0,"–",IF(INDEX(DarlBank,13)="","Darlehen",INDEX(DarlBank,13)))</f>
      </c>
      <c r="D88" s="30">
        <f>IF(INDEX(DarlBelegt,13)=0,"",INDEX(DarlBetrag,13))</f>
      </c>
      <c r="E88" s="30">
        <f>IF(INDEX(DarlBelegt,13)=0,"",SUMIFS(TilgZins,TilgDarl,13,TilgDatum,EOMONTH(Stichtag,0)+1)+SUMIFS(TilgTilgung,TilgDarl,13,TilgDatum,EOMONTH(Stichtag,0)+1)+SUMIFS(TilgErsatz,TilgDarl,13,TilgDatum,EOMONTH(Stichtag,0)+1))</f>
      </c>
      <c r="F88" s="30">
        <f>IF(INDEX(DarlBelegt,13)=0,"",MAX(0,INDEX(DarlBetrag,13)-SUMIFS(TilgTilgung,TilgDarl,13,TilgDatum,"&lt;="&amp;Stichtag)-SUMIFS(TilgSonder,TilgDarl,13,TilgDatum,"&lt;="&amp;Stichtag)))</f>
      </c>
      <c r="G88" s="30">
        <f>IF(INDEX(DarlBelegt,13)=0,"",IF(INDEX(DarlBindung,13)="","",MAX(0,INDEX(DarlBetrag,13)-SUMIFS(TilgTilgung,TilgDarl,13,TilgDatum,"&lt;="&amp;INDEX(DarlBindung,13))-SUMIFS(TilgSonder,TilgDarl,13,TilgDatum,"&lt;="&amp;INDEX(DarlBindung,13)))))</f>
      </c>
      <c r="H88" s="37">
        <f>IF(INDEX(DarlBelegt,13)=0,"",IF(SUMIFS(TilgAktiv,TilgDarl,13)&gt;=480,"über 30 Jahre",TEXT(MONTH(EOMONTH(INDEX(DarlAuszahlung,13),SUMIFS(TilgAktiv,TilgDarl,13)-1)+1),"00")&amp;"."&amp;YEAR(EOMONTH(INDEX(DarlAuszahlung,13),SUMIFS(TilgAktiv,TilgDarl,13)-1)+1)))</f>
      </c>
      <c r="I88" s="30">
        <f>IF(INDEX(DarlBelegt,13)=0,"",SUMIFS(TilgZins,TilgDarl,13))</f>
      </c>
      <c r="J88" s="30">
        <f>IF(INDEX(DarlBelegt,13)=0,"",IF(INDEX(DarlErsatzRate,13)=0,"",SUMIFS(TilgErsatz,TilgDarl,13,TilgDatum,"&lt;="&amp;Stichtag)+SUMIFS(TilgErtrag,TilgDarl,13,TilgDatum,"&lt;="&amp;Stichtag)))</f>
      </c>
      <c r="K88" s="34">
        <f>IF(INDEX(DarlBelegt,13)=0,"",IF(OR(INDEX(DarlErsatzRate,13)=0,MAX(0,INDEX(DarlBetrag,13)-SUMIFS(TilgTilgung,TilgDarl,13,TilgDatum,"&lt;="&amp;Stichtag)-SUMIFS(TilgSonder,TilgDarl,13,TilgDatum,"&lt;="&amp;Stichtag))=0),"",(SUMIFS(TilgErsatz,TilgDarl,13,TilgDatum,"&lt;="&amp;Stichtag)+SUMIFS(TilgErtrag,TilgDarl,13,TilgDatum,"&lt;="&amp;Stichtag))/MAX(0,INDEX(DarlBetrag,13)-SUMIFS(TilgTilgung,TilgDarl,13,TilgDatum,"&lt;="&amp;Stichtag)-SUMIFS(TilgSonder,TilgDarl,13,TilgDatum,"&lt;="&amp;Stichtag))*100))</f>
      </c>
      <c r="L88" s="30">
        <f>IF(INDEX(DarlBelegt,13)=0,"",SUMIFS(SondBetrag,SondDarl,13,SondJahr,Jahr))</f>
      </c>
      <c r="M88" s="30">
        <f>IF(INDEX(DarlBelegt,13)=0,"",INDEX(DarlBetrag,13)*INDEX(DarlSonderrecht,13)/100)</f>
      </c>
    </row>
    <row r="89">
      <c r="A89"/>
      <c r="B89" s="29">
        <v>14</v>
      </c>
      <c r="C89">
        <f>IF(INDEX(DarlBelegt,14)=0,"–",IF(INDEX(DarlBank,14)="","Darlehen",INDEX(DarlBank,14)))</f>
      </c>
      <c r="D89" s="30">
        <f>IF(INDEX(DarlBelegt,14)=0,"",INDEX(DarlBetrag,14))</f>
      </c>
      <c r="E89" s="30">
        <f>IF(INDEX(DarlBelegt,14)=0,"",SUMIFS(TilgZins,TilgDarl,14,TilgDatum,EOMONTH(Stichtag,0)+1)+SUMIFS(TilgTilgung,TilgDarl,14,TilgDatum,EOMONTH(Stichtag,0)+1)+SUMIFS(TilgErsatz,TilgDarl,14,TilgDatum,EOMONTH(Stichtag,0)+1))</f>
      </c>
      <c r="F89" s="30">
        <f>IF(INDEX(DarlBelegt,14)=0,"",MAX(0,INDEX(DarlBetrag,14)-SUMIFS(TilgTilgung,TilgDarl,14,TilgDatum,"&lt;="&amp;Stichtag)-SUMIFS(TilgSonder,TilgDarl,14,TilgDatum,"&lt;="&amp;Stichtag)))</f>
      </c>
      <c r="G89" s="30">
        <f>IF(INDEX(DarlBelegt,14)=0,"",IF(INDEX(DarlBindung,14)="","",MAX(0,INDEX(DarlBetrag,14)-SUMIFS(TilgTilgung,TilgDarl,14,TilgDatum,"&lt;="&amp;INDEX(DarlBindung,14))-SUMIFS(TilgSonder,TilgDarl,14,TilgDatum,"&lt;="&amp;INDEX(DarlBindung,14)))))</f>
      </c>
      <c r="H89" s="37">
        <f>IF(INDEX(DarlBelegt,14)=0,"",IF(SUMIFS(TilgAktiv,TilgDarl,14)&gt;=480,"über 30 Jahre",TEXT(MONTH(EOMONTH(INDEX(DarlAuszahlung,14),SUMIFS(TilgAktiv,TilgDarl,14)-1)+1),"00")&amp;"."&amp;YEAR(EOMONTH(INDEX(DarlAuszahlung,14),SUMIFS(TilgAktiv,TilgDarl,14)-1)+1)))</f>
      </c>
      <c r="I89" s="30">
        <f>IF(INDEX(DarlBelegt,14)=0,"",SUMIFS(TilgZins,TilgDarl,14))</f>
      </c>
      <c r="J89" s="30">
        <f>IF(INDEX(DarlBelegt,14)=0,"",IF(INDEX(DarlErsatzRate,14)=0,"",SUMIFS(TilgErsatz,TilgDarl,14,TilgDatum,"&lt;="&amp;Stichtag)+SUMIFS(TilgErtrag,TilgDarl,14,TilgDatum,"&lt;="&amp;Stichtag)))</f>
      </c>
      <c r="K89" s="34">
        <f>IF(INDEX(DarlBelegt,14)=0,"",IF(OR(INDEX(DarlErsatzRate,14)=0,MAX(0,INDEX(DarlBetrag,14)-SUMIFS(TilgTilgung,TilgDarl,14,TilgDatum,"&lt;="&amp;Stichtag)-SUMIFS(TilgSonder,TilgDarl,14,TilgDatum,"&lt;="&amp;Stichtag))=0),"",(SUMIFS(TilgErsatz,TilgDarl,14,TilgDatum,"&lt;="&amp;Stichtag)+SUMIFS(TilgErtrag,TilgDarl,14,TilgDatum,"&lt;="&amp;Stichtag))/MAX(0,INDEX(DarlBetrag,14)-SUMIFS(TilgTilgung,TilgDarl,14,TilgDatum,"&lt;="&amp;Stichtag)-SUMIFS(TilgSonder,TilgDarl,14,TilgDatum,"&lt;="&amp;Stichtag))*100))</f>
      </c>
      <c r="L89" s="30">
        <f>IF(INDEX(DarlBelegt,14)=0,"",SUMIFS(SondBetrag,SondDarl,14,SondJahr,Jahr))</f>
      </c>
      <c r="M89" s="30">
        <f>IF(INDEX(DarlBelegt,14)=0,"",INDEX(DarlBetrag,14)*INDEX(DarlSonderrecht,14)/100)</f>
      </c>
    </row>
    <row r="90">
      <c r="A90"/>
      <c r="B90" s="29">
        <v>15</v>
      </c>
      <c r="C90">
        <f>IF(INDEX(DarlBelegt,15)=0,"–",IF(INDEX(DarlBank,15)="","Darlehen",INDEX(DarlBank,15)))</f>
      </c>
      <c r="D90" s="30">
        <f>IF(INDEX(DarlBelegt,15)=0,"",INDEX(DarlBetrag,15))</f>
      </c>
      <c r="E90" s="30">
        <f>IF(INDEX(DarlBelegt,15)=0,"",SUMIFS(TilgZins,TilgDarl,15,TilgDatum,EOMONTH(Stichtag,0)+1)+SUMIFS(TilgTilgung,TilgDarl,15,TilgDatum,EOMONTH(Stichtag,0)+1)+SUMIFS(TilgErsatz,TilgDarl,15,TilgDatum,EOMONTH(Stichtag,0)+1))</f>
      </c>
      <c r="F90" s="30">
        <f>IF(INDEX(DarlBelegt,15)=0,"",MAX(0,INDEX(DarlBetrag,15)-SUMIFS(TilgTilgung,TilgDarl,15,TilgDatum,"&lt;="&amp;Stichtag)-SUMIFS(TilgSonder,TilgDarl,15,TilgDatum,"&lt;="&amp;Stichtag)))</f>
      </c>
      <c r="G90" s="30">
        <f>IF(INDEX(DarlBelegt,15)=0,"",IF(INDEX(DarlBindung,15)="","",MAX(0,INDEX(DarlBetrag,15)-SUMIFS(TilgTilgung,TilgDarl,15,TilgDatum,"&lt;="&amp;INDEX(DarlBindung,15))-SUMIFS(TilgSonder,TilgDarl,15,TilgDatum,"&lt;="&amp;INDEX(DarlBindung,15)))))</f>
      </c>
      <c r="H90" s="37">
        <f>IF(INDEX(DarlBelegt,15)=0,"",IF(SUMIFS(TilgAktiv,TilgDarl,15)&gt;=480,"über 30 Jahre",TEXT(MONTH(EOMONTH(INDEX(DarlAuszahlung,15),SUMIFS(TilgAktiv,TilgDarl,15)-1)+1),"00")&amp;"."&amp;YEAR(EOMONTH(INDEX(DarlAuszahlung,15),SUMIFS(TilgAktiv,TilgDarl,15)-1)+1)))</f>
      </c>
      <c r="I90" s="30">
        <f>IF(INDEX(DarlBelegt,15)=0,"",SUMIFS(TilgZins,TilgDarl,15))</f>
      </c>
      <c r="J90" s="30">
        <f>IF(INDEX(DarlBelegt,15)=0,"",IF(INDEX(DarlErsatzRate,15)=0,"",SUMIFS(TilgErsatz,TilgDarl,15,TilgDatum,"&lt;="&amp;Stichtag)+SUMIFS(TilgErtrag,TilgDarl,15,TilgDatum,"&lt;="&amp;Stichtag)))</f>
      </c>
      <c r="K90" s="34">
        <f>IF(INDEX(DarlBelegt,15)=0,"",IF(OR(INDEX(DarlErsatzRate,15)=0,MAX(0,INDEX(DarlBetrag,15)-SUMIFS(TilgTilgung,TilgDarl,15,TilgDatum,"&lt;="&amp;Stichtag)-SUMIFS(TilgSonder,TilgDarl,15,TilgDatum,"&lt;="&amp;Stichtag))=0),"",(SUMIFS(TilgErsatz,TilgDarl,15,TilgDatum,"&lt;="&amp;Stichtag)+SUMIFS(TilgErtrag,TilgDarl,15,TilgDatum,"&lt;="&amp;Stichtag))/MAX(0,INDEX(DarlBetrag,15)-SUMIFS(TilgTilgung,TilgDarl,15,TilgDatum,"&lt;="&amp;Stichtag)-SUMIFS(TilgSonder,TilgDarl,15,TilgDatum,"&lt;="&amp;Stichtag))*100))</f>
      </c>
      <c r="L90" s="30">
        <f>IF(INDEX(DarlBelegt,15)=0,"",SUMIFS(SondBetrag,SondDarl,15,SondJahr,Jahr))</f>
      </c>
      <c r="M90" s="30">
        <f>IF(INDEX(DarlBelegt,15)=0,"",INDEX(DarlBetrag,15)*INDEX(DarlSonderrecht,15)/100)</f>
      </c>
    </row>
    <row r="91">
      <c r="A91"/>
      <c r="B91" s="29">
        <v>16</v>
      </c>
      <c r="C91">
        <f>IF(INDEX(DarlBelegt,16)=0,"–",IF(INDEX(DarlBank,16)="","Darlehen",INDEX(DarlBank,16)))</f>
      </c>
      <c r="D91" s="30">
        <f>IF(INDEX(DarlBelegt,16)=0,"",INDEX(DarlBetrag,16))</f>
      </c>
      <c r="E91" s="30">
        <f>IF(INDEX(DarlBelegt,16)=0,"",SUMIFS(TilgZins,TilgDarl,16,TilgDatum,EOMONTH(Stichtag,0)+1)+SUMIFS(TilgTilgung,TilgDarl,16,TilgDatum,EOMONTH(Stichtag,0)+1)+SUMIFS(TilgErsatz,TilgDarl,16,TilgDatum,EOMONTH(Stichtag,0)+1))</f>
      </c>
      <c r="F91" s="30">
        <f>IF(INDEX(DarlBelegt,16)=0,"",MAX(0,INDEX(DarlBetrag,16)-SUMIFS(TilgTilgung,TilgDarl,16,TilgDatum,"&lt;="&amp;Stichtag)-SUMIFS(TilgSonder,TilgDarl,16,TilgDatum,"&lt;="&amp;Stichtag)))</f>
      </c>
      <c r="G91" s="30">
        <f>IF(INDEX(DarlBelegt,16)=0,"",IF(INDEX(DarlBindung,16)="","",MAX(0,INDEX(DarlBetrag,16)-SUMIFS(TilgTilgung,TilgDarl,16,TilgDatum,"&lt;="&amp;INDEX(DarlBindung,16))-SUMIFS(TilgSonder,TilgDarl,16,TilgDatum,"&lt;="&amp;INDEX(DarlBindung,16)))))</f>
      </c>
      <c r="H91" s="37">
        <f>IF(INDEX(DarlBelegt,16)=0,"",IF(SUMIFS(TilgAktiv,TilgDarl,16)&gt;=480,"über 30 Jahre",TEXT(MONTH(EOMONTH(INDEX(DarlAuszahlung,16),SUMIFS(TilgAktiv,TilgDarl,16)-1)+1),"00")&amp;"."&amp;YEAR(EOMONTH(INDEX(DarlAuszahlung,16),SUMIFS(TilgAktiv,TilgDarl,16)-1)+1)))</f>
      </c>
      <c r="I91" s="30">
        <f>IF(INDEX(DarlBelegt,16)=0,"",SUMIFS(TilgZins,TilgDarl,16))</f>
      </c>
      <c r="J91" s="30">
        <f>IF(INDEX(DarlBelegt,16)=0,"",IF(INDEX(DarlErsatzRate,16)=0,"",SUMIFS(TilgErsatz,TilgDarl,16,TilgDatum,"&lt;="&amp;Stichtag)+SUMIFS(TilgErtrag,TilgDarl,16,TilgDatum,"&lt;="&amp;Stichtag)))</f>
      </c>
      <c r="K91" s="34">
        <f>IF(INDEX(DarlBelegt,16)=0,"",IF(OR(INDEX(DarlErsatzRate,16)=0,MAX(0,INDEX(DarlBetrag,16)-SUMIFS(TilgTilgung,TilgDarl,16,TilgDatum,"&lt;="&amp;Stichtag)-SUMIFS(TilgSonder,TilgDarl,16,TilgDatum,"&lt;="&amp;Stichtag))=0),"",(SUMIFS(TilgErsatz,TilgDarl,16,TilgDatum,"&lt;="&amp;Stichtag)+SUMIFS(TilgErtrag,TilgDarl,16,TilgDatum,"&lt;="&amp;Stichtag))/MAX(0,INDEX(DarlBetrag,16)-SUMIFS(TilgTilgung,TilgDarl,16,TilgDatum,"&lt;="&amp;Stichtag)-SUMIFS(TilgSonder,TilgDarl,16,TilgDatum,"&lt;="&amp;Stichtag))*100))</f>
      </c>
      <c r="L91" s="30">
        <f>IF(INDEX(DarlBelegt,16)=0,"",SUMIFS(SondBetrag,SondDarl,16,SondJahr,Jahr))</f>
      </c>
      <c r="M91" s="30">
        <f>IF(INDEX(DarlBelegt,16)=0,"",INDEX(DarlBetrag,16)*INDEX(DarlSonderrecht,16)/100)</f>
      </c>
    </row>
    <row r="92">
      <c r="A92"/>
      <c r="B92" s="29">
        <v>17</v>
      </c>
      <c r="C92">
        <f>IF(INDEX(DarlBelegt,17)=0,"–",IF(INDEX(DarlBank,17)="","Darlehen",INDEX(DarlBank,17)))</f>
      </c>
      <c r="D92" s="30">
        <f>IF(INDEX(DarlBelegt,17)=0,"",INDEX(DarlBetrag,17))</f>
      </c>
      <c r="E92" s="30">
        <f>IF(INDEX(DarlBelegt,17)=0,"",SUMIFS(TilgZins,TilgDarl,17,TilgDatum,EOMONTH(Stichtag,0)+1)+SUMIFS(TilgTilgung,TilgDarl,17,TilgDatum,EOMONTH(Stichtag,0)+1)+SUMIFS(TilgErsatz,TilgDarl,17,TilgDatum,EOMONTH(Stichtag,0)+1))</f>
      </c>
      <c r="F92" s="30">
        <f>IF(INDEX(DarlBelegt,17)=0,"",MAX(0,INDEX(DarlBetrag,17)-SUMIFS(TilgTilgung,TilgDarl,17,TilgDatum,"&lt;="&amp;Stichtag)-SUMIFS(TilgSonder,TilgDarl,17,TilgDatum,"&lt;="&amp;Stichtag)))</f>
      </c>
      <c r="G92" s="30">
        <f>IF(INDEX(DarlBelegt,17)=0,"",IF(INDEX(DarlBindung,17)="","",MAX(0,INDEX(DarlBetrag,17)-SUMIFS(TilgTilgung,TilgDarl,17,TilgDatum,"&lt;="&amp;INDEX(DarlBindung,17))-SUMIFS(TilgSonder,TilgDarl,17,TilgDatum,"&lt;="&amp;INDEX(DarlBindung,17)))))</f>
      </c>
      <c r="H92" s="37">
        <f>IF(INDEX(DarlBelegt,17)=0,"",IF(SUMIFS(TilgAktiv,TilgDarl,17)&gt;=480,"über 30 Jahre",TEXT(MONTH(EOMONTH(INDEX(DarlAuszahlung,17),SUMIFS(TilgAktiv,TilgDarl,17)-1)+1),"00")&amp;"."&amp;YEAR(EOMONTH(INDEX(DarlAuszahlung,17),SUMIFS(TilgAktiv,TilgDarl,17)-1)+1)))</f>
      </c>
      <c r="I92" s="30">
        <f>IF(INDEX(DarlBelegt,17)=0,"",SUMIFS(TilgZins,TilgDarl,17))</f>
      </c>
      <c r="J92" s="30">
        <f>IF(INDEX(DarlBelegt,17)=0,"",IF(INDEX(DarlErsatzRate,17)=0,"",SUMIFS(TilgErsatz,TilgDarl,17,TilgDatum,"&lt;="&amp;Stichtag)+SUMIFS(TilgErtrag,TilgDarl,17,TilgDatum,"&lt;="&amp;Stichtag)))</f>
      </c>
      <c r="K92" s="34">
        <f>IF(INDEX(DarlBelegt,17)=0,"",IF(OR(INDEX(DarlErsatzRate,17)=0,MAX(0,INDEX(DarlBetrag,17)-SUMIFS(TilgTilgung,TilgDarl,17,TilgDatum,"&lt;="&amp;Stichtag)-SUMIFS(TilgSonder,TilgDarl,17,TilgDatum,"&lt;="&amp;Stichtag))=0),"",(SUMIFS(TilgErsatz,TilgDarl,17,TilgDatum,"&lt;="&amp;Stichtag)+SUMIFS(TilgErtrag,TilgDarl,17,TilgDatum,"&lt;="&amp;Stichtag))/MAX(0,INDEX(DarlBetrag,17)-SUMIFS(TilgTilgung,TilgDarl,17,TilgDatum,"&lt;="&amp;Stichtag)-SUMIFS(TilgSonder,TilgDarl,17,TilgDatum,"&lt;="&amp;Stichtag))*100))</f>
      </c>
      <c r="L92" s="30">
        <f>IF(INDEX(DarlBelegt,17)=0,"",SUMIFS(SondBetrag,SondDarl,17,SondJahr,Jahr))</f>
      </c>
      <c r="M92" s="30">
        <f>IF(INDEX(DarlBelegt,17)=0,"",INDEX(DarlBetrag,17)*INDEX(DarlSonderrecht,17)/100)</f>
      </c>
    </row>
    <row r="93">
      <c r="A93"/>
      <c r="B93" s="29">
        <v>18</v>
      </c>
      <c r="C93">
        <f>IF(INDEX(DarlBelegt,18)=0,"–",IF(INDEX(DarlBank,18)="","Darlehen",INDEX(DarlBank,18)))</f>
      </c>
      <c r="D93" s="30">
        <f>IF(INDEX(DarlBelegt,18)=0,"",INDEX(DarlBetrag,18))</f>
      </c>
      <c r="E93" s="30">
        <f>IF(INDEX(DarlBelegt,18)=0,"",SUMIFS(TilgZins,TilgDarl,18,TilgDatum,EOMONTH(Stichtag,0)+1)+SUMIFS(TilgTilgung,TilgDarl,18,TilgDatum,EOMONTH(Stichtag,0)+1)+SUMIFS(TilgErsatz,TilgDarl,18,TilgDatum,EOMONTH(Stichtag,0)+1))</f>
      </c>
      <c r="F93" s="30">
        <f>IF(INDEX(DarlBelegt,18)=0,"",MAX(0,INDEX(DarlBetrag,18)-SUMIFS(TilgTilgung,TilgDarl,18,TilgDatum,"&lt;="&amp;Stichtag)-SUMIFS(TilgSonder,TilgDarl,18,TilgDatum,"&lt;="&amp;Stichtag)))</f>
      </c>
      <c r="G93" s="30">
        <f>IF(INDEX(DarlBelegt,18)=0,"",IF(INDEX(DarlBindung,18)="","",MAX(0,INDEX(DarlBetrag,18)-SUMIFS(TilgTilgung,TilgDarl,18,TilgDatum,"&lt;="&amp;INDEX(DarlBindung,18))-SUMIFS(TilgSonder,TilgDarl,18,TilgDatum,"&lt;="&amp;INDEX(DarlBindung,18)))))</f>
      </c>
      <c r="H93" s="37">
        <f>IF(INDEX(DarlBelegt,18)=0,"",IF(SUMIFS(TilgAktiv,TilgDarl,18)&gt;=480,"über 30 Jahre",TEXT(MONTH(EOMONTH(INDEX(DarlAuszahlung,18),SUMIFS(TilgAktiv,TilgDarl,18)-1)+1),"00")&amp;"."&amp;YEAR(EOMONTH(INDEX(DarlAuszahlung,18),SUMIFS(TilgAktiv,TilgDarl,18)-1)+1)))</f>
      </c>
      <c r="I93" s="30">
        <f>IF(INDEX(DarlBelegt,18)=0,"",SUMIFS(TilgZins,TilgDarl,18))</f>
      </c>
      <c r="J93" s="30">
        <f>IF(INDEX(DarlBelegt,18)=0,"",IF(INDEX(DarlErsatzRate,18)=0,"",SUMIFS(TilgErsatz,TilgDarl,18,TilgDatum,"&lt;="&amp;Stichtag)+SUMIFS(TilgErtrag,TilgDarl,18,TilgDatum,"&lt;="&amp;Stichtag)))</f>
      </c>
      <c r="K93" s="34">
        <f>IF(INDEX(DarlBelegt,18)=0,"",IF(OR(INDEX(DarlErsatzRate,18)=0,MAX(0,INDEX(DarlBetrag,18)-SUMIFS(TilgTilgung,TilgDarl,18,TilgDatum,"&lt;="&amp;Stichtag)-SUMIFS(TilgSonder,TilgDarl,18,TilgDatum,"&lt;="&amp;Stichtag))=0),"",(SUMIFS(TilgErsatz,TilgDarl,18,TilgDatum,"&lt;="&amp;Stichtag)+SUMIFS(TilgErtrag,TilgDarl,18,TilgDatum,"&lt;="&amp;Stichtag))/MAX(0,INDEX(DarlBetrag,18)-SUMIFS(TilgTilgung,TilgDarl,18,TilgDatum,"&lt;="&amp;Stichtag)-SUMIFS(TilgSonder,TilgDarl,18,TilgDatum,"&lt;="&amp;Stichtag))*100))</f>
      </c>
      <c r="L93" s="30">
        <f>IF(INDEX(DarlBelegt,18)=0,"",SUMIFS(SondBetrag,SondDarl,18,SondJahr,Jahr))</f>
      </c>
      <c r="M93" s="30">
        <f>IF(INDEX(DarlBelegt,18)=0,"",INDEX(DarlBetrag,18)*INDEX(DarlSonderrecht,18)/100)</f>
      </c>
    </row>
    <row r="94">
      <c r="A94"/>
      <c r="B94" s="29">
        <v>19</v>
      </c>
      <c r="C94">
        <f>IF(INDEX(DarlBelegt,19)=0,"–",IF(INDEX(DarlBank,19)="","Darlehen",INDEX(DarlBank,19)))</f>
      </c>
      <c r="D94" s="30">
        <f>IF(INDEX(DarlBelegt,19)=0,"",INDEX(DarlBetrag,19))</f>
      </c>
      <c r="E94" s="30">
        <f>IF(INDEX(DarlBelegt,19)=0,"",SUMIFS(TilgZins,TilgDarl,19,TilgDatum,EOMONTH(Stichtag,0)+1)+SUMIFS(TilgTilgung,TilgDarl,19,TilgDatum,EOMONTH(Stichtag,0)+1)+SUMIFS(TilgErsatz,TilgDarl,19,TilgDatum,EOMONTH(Stichtag,0)+1))</f>
      </c>
      <c r="F94" s="30">
        <f>IF(INDEX(DarlBelegt,19)=0,"",MAX(0,INDEX(DarlBetrag,19)-SUMIFS(TilgTilgung,TilgDarl,19,TilgDatum,"&lt;="&amp;Stichtag)-SUMIFS(TilgSonder,TilgDarl,19,TilgDatum,"&lt;="&amp;Stichtag)))</f>
      </c>
      <c r="G94" s="30">
        <f>IF(INDEX(DarlBelegt,19)=0,"",IF(INDEX(DarlBindung,19)="","",MAX(0,INDEX(DarlBetrag,19)-SUMIFS(TilgTilgung,TilgDarl,19,TilgDatum,"&lt;="&amp;INDEX(DarlBindung,19))-SUMIFS(TilgSonder,TilgDarl,19,TilgDatum,"&lt;="&amp;INDEX(DarlBindung,19)))))</f>
      </c>
      <c r="H94" s="37">
        <f>IF(INDEX(DarlBelegt,19)=0,"",IF(SUMIFS(TilgAktiv,TilgDarl,19)&gt;=480,"über 30 Jahre",TEXT(MONTH(EOMONTH(INDEX(DarlAuszahlung,19),SUMIFS(TilgAktiv,TilgDarl,19)-1)+1),"00")&amp;"."&amp;YEAR(EOMONTH(INDEX(DarlAuszahlung,19),SUMIFS(TilgAktiv,TilgDarl,19)-1)+1)))</f>
      </c>
      <c r="I94" s="30">
        <f>IF(INDEX(DarlBelegt,19)=0,"",SUMIFS(TilgZins,TilgDarl,19))</f>
      </c>
      <c r="J94" s="30">
        <f>IF(INDEX(DarlBelegt,19)=0,"",IF(INDEX(DarlErsatzRate,19)=0,"",SUMIFS(TilgErsatz,TilgDarl,19,TilgDatum,"&lt;="&amp;Stichtag)+SUMIFS(TilgErtrag,TilgDarl,19,TilgDatum,"&lt;="&amp;Stichtag)))</f>
      </c>
      <c r="K94" s="34">
        <f>IF(INDEX(DarlBelegt,19)=0,"",IF(OR(INDEX(DarlErsatzRate,19)=0,MAX(0,INDEX(DarlBetrag,19)-SUMIFS(TilgTilgung,TilgDarl,19,TilgDatum,"&lt;="&amp;Stichtag)-SUMIFS(TilgSonder,TilgDarl,19,TilgDatum,"&lt;="&amp;Stichtag))=0),"",(SUMIFS(TilgErsatz,TilgDarl,19,TilgDatum,"&lt;="&amp;Stichtag)+SUMIFS(TilgErtrag,TilgDarl,19,TilgDatum,"&lt;="&amp;Stichtag))/MAX(0,INDEX(DarlBetrag,19)-SUMIFS(TilgTilgung,TilgDarl,19,TilgDatum,"&lt;="&amp;Stichtag)-SUMIFS(TilgSonder,TilgDarl,19,TilgDatum,"&lt;="&amp;Stichtag))*100))</f>
      </c>
      <c r="L94" s="30">
        <f>IF(INDEX(DarlBelegt,19)=0,"",SUMIFS(SondBetrag,SondDarl,19,SondJahr,Jahr))</f>
      </c>
      <c r="M94" s="30">
        <f>IF(INDEX(DarlBelegt,19)=0,"",INDEX(DarlBetrag,19)*INDEX(DarlSonderrecht,19)/100)</f>
      </c>
    </row>
    <row r="95">
      <c r="A95"/>
      <c r="B95" s="29">
        <v>20</v>
      </c>
      <c r="C95">
        <f>IF(INDEX(DarlBelegt,20)=0,"–",IF(INDEX(DarlBank,20)="","Darlehen",INDEX(DarlBank,20)))</f>
      </c>
      <c r="D95" s="30">
        <f>IF(INDEX(DarlBelegt,20)=0,"",INDEX(DarlBetrag,20))</f>
      </c>
      <c r="E95" s="30">
        <f>IF(INDEX(DarlBelegt,20)=0,"",SUMIFS(TilgZins,TilgDarl,20,TilgDatum,EOMONTH(Stichtag,0)+1)+SUMIFS(TilgTilgung,TilgDarl,20,TilgDatum,EOMONTH(Stichtag,0)+1)+SUMIFS(TilgErsatz,TilgDarl,20,TilgDatum,EOMONTH(Stichtag,0)+1))</f>
      </c>
      <c r="F95" s="30">
        <f>IF(INDEX(DarlBelegt,20)=0,"",MAX(0,INDEX(DarlBetrag,20)-SUMIFS(TilgTilgung,TilgDarl,20,TilgDatum,"&lt;="&amp;Stichtag)-SUMIFS(TilgSonder,TilgDarl,20,TilgDatum,"&lt;="&amp;Stichtag)))</f>
      </c>
      <c r="G95" s="30">
        <f>IF(INDEX(DarlBelegt,20)=0,"",IF(INDEX(DarlBindung,20)="","",MAX(0,INDEX(DarlBetrag,20)-SUMIFS(TilgTilgung,TilgDarl,20,TilgDatum,"&lt;="&amp;INDEX(DarlBindung,20))-SUMIFS(TilgSonder,TilgDarl,20,TilgDatum,"&lt;="&amp;INDEX(DarlBindung,20)))))</f>
      </c>
      <c r="H95" s="37">
        <f>IF(INDEX(DarlBelegt,20)=0,"",IF(SUMIFS(TilgAktiv,TilgDarl,20)&gt;=480,"über 30 Jahre",TEXT(MONTH(EOMONTH(INDEX(DarlAuszahlung,20),SUMIFS(TilgAktiv,TilgDarl,20)-1)+1),"00")&amp;"."&amp;YEAR(EOMONTH(INDEX(DarlAuszahlung,20),SUMIFS(TilgAktiv,TilgDarl,20)-1)+1)))</f>
      </c>
      <c r="I95" s="30">
        <f>IF(INDEX(DarlBelegt,20)=0,"",SUMIFS(TilgZins,TilgDarl,20))</f>
      </c>
      <c r="J95" s="30">
        <f>IF(INDEX(DarlBelegt,20)=0,"",IF(INDEX(DarlErsatzRate,20)=0,"",SUMIFS(TilgErsatz,TilgDarl,20,TilgDatum,"&lt;="&amp;Stichtag)+SUMIFS(TilgErtrag,TilgDarl,20,TilgDatum,"&lt;="&amp;Stichtag)))</f>
      </c>
      <c r="K95" s="34">
        <f>IF(INDEX(DarlBelegt,20)=0,"",IF(OR(INDEX(DarlErsatzRate,20)=0,MAX(0,INDEX(DarlBetrag,20)-SUMIFS(TilgTilgung,TilgDarl,20,TilgDatum,"&lt;="&amp;Stichtag)-SUMIFS(TilgSonder,TilgDarl,20,TilgDatum,"&lt;="&amp;Stichtag))=0),"",(SUMIFS(TilgErsatz,TilgDarl,20,TilgDatum,"&lt;="&amp;Stichtag)+SUMIFS(TilgErtrag,TilgDarl,20,TilgDatum,"&lt;="&amp;Stichtag))/MAX(0,INDEX(DarlBetrag,20)-SUMIFS(TilgTilgung,TilgDarl,20,TilgDatum,"&lt;="&amp;Stichtag)-SUMIFS(TilgSonder,TilgDarl,20,TilgDatum,"&lt;="&amp;Stichtag))*100))</f>
      </c>
      <c r="L95" s="30">
        <f>IF(INDEX(DarlBelegt,20)=0,"",SUMIFS(SondBetrag,SondDarl,20,SondJahr,Jahr))</f>
      </c>
      <c r="M95" s="30">
        <f>IF(INDEX(DarlBelegt,20)=0,"",INDEX(DarlBetrag,20)*INDEX(DarlSonderrecht,20)/100)</f>
      </c>
    </row>
  </sheetData>
  <conditionalFormatting sqref="L76:L95">
    <cfRule type="expression" dxfId="0" priority="1">
      <formula>AND(ISNUMBER($M76),$L76&gt;$M76)</formula>
    </cfRule>
  </conditionalFormatting>
  <dataValidations count="4">
    <dataValidation type="list" allowBlank="1" showInputMessage="1" showErrorMessage="1" promptTitle="Objekt" prompt="Aus der Liste der Objekte wählen" sqref="C8:C27">
      <formula1>ObjBezeichnung</formula1>
    </dataValidation>
    <dataValidation type="list" allowBlank="1" showInputMessage="1" showErrorMessage="1" promptTitle="Art" prompt="Endfällig tilgt nicht" sqref="E8:E27">
      <formula1>Darlehensarten</formula1>
    </dataValidation>
    <dataValidation type="list" allowBlank="1" showInputMessage="1" showErrorMessage="1" promptTitle="Tilgungsersatz" prompt="Statt zu tilgen wird auf ein verzinstes Konto eingezahlt" sqref="M8:M27">
      <formula1>JaNein</formula1>
    </dataValidation>
    <dataValidation type="list" allowBlank="1" showInputMessage="1" showErrorMessage="1" promptTitle="Darlehen" prompt="Aus der Liste der Darlehen wählen" sqref="C32:C71">
      <formula1>DarlAnzeige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C9A227"/>
  </sheetPr>
  <sheetViews>
    <sheetView showGridLines="0" workbookViewId="0">
      <pane ySplit="14" topLeftCell="A15" activePane="bottomRight" state="frozen"/>
    </sheetView>
  </sheetViews>
  <sheetFormatPr defaultRowHeight="15"/>
  <cols>
    <col min="1" max="1" width="2" customWidth="1"/>
    <col min="2" max="2" width="8" customWidth="1"/>
    <col min="3" max="3" width="12" customWidth="1"/>
    <col min="4" max="4" width="11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2" customWidth="1"/>
    <col min="14" max="14" width="10" customWidth="1" hidden="1"/>
  </cols>
  <sheetData>
    <row r="2">
      <c r="A2"/>
      <c r="B2" s="1" t="inlineStr">
        <is>
          <t xml:space="preserve">ZAHLENKOMPASS</t>
        </is>
      </c>
    </row>
    <row r="3">
      <c r="A3"/>
      <c r="B3" s="2" t="inlineStr">
        <is>
          <t xml:space="preserve">Tilgungsplan</t>
        </is>
      </c>
    </row>
    <row r="4">
      <c r="A4"/>
      <c r="B4" s="3" t="inlineStr">
        <is>
          <t xml:space="preserve">Nachschüssige Annuität, Monat für Monat. Nach Ablauf der Zinsbindung läuft die Rate weiter, solange sie mindestens 1 % tilgt.</t>
        </is>
      </c>
    </row>
    <row r="6">
      <c r="A6"/>
      <c r="B6" s="14" t="inlineStr">
        <is>
          <t xml:space="preserve">Darlehen</t>
        </is>
      </c>
      <c r="C6" s="15"/>
      <c r="D6"/>
      <c r="E6" s="16" t="inlineStr">
        <is>
          <t xml:space="preserve">← aus der Liste wählen, leer = das erste</t>
        </is>
      </c>
      <c r="F6"/>
      <c r="G6"/>
      <c r="H6"/>
      <c r="I6"/>
      <c r="J6"/>
      <c r="K6"/>
      <c r="L6"/>
      <c r="M6"/>
      <c r="N6">
        <f>IF($C$6="",1,IFERROR(MATCH($C$6,DarlAnzeige,0),1))</f>
      </c>
    </row>
    <row r="8">
      <c r="A8"/>
      <c r="B8" s="16" t="inlineStr">
        <is>
          <t xml:space="preserve">Darlehensbetrag</t>
        </is>
      </c>
      <c r="C8"/>
      <c r="D8"/>
      <c r="E8" s="38">
        <f>INDEX(DarlBetrag,$N$6)</f>
      </c>
      <c r="F8"/>
      <c r="G8" s="16" t="inlineStr">
        <is>
          <t xml:space="preserve">Sollzins</t>
        </is>
      </c>
      <c r="H8"/>
      <c r="I8"/>
      <c r="J8" s="39">
        <f>INDEX(DarlSollzins,$N$6)</f>
      </c>
    </row>
    <row r="9">
      <c r="A9"/>
      <c r="B9" s="16" t="inlineStr">
        <is>
          <t xml:space="preserve">Anfangstilgung</t>
        </is>
      </c>
      <c r="C9"/>
      <c r="D9"/>
      <c r="E9" s="39">
        <f>INDEX(DarlTilgung,$N$6)</f>
      </c>
      <c r="F9"/>
      <c r="G9" s="16" t="inlineStr">
        <is>
          <t xml:space="preserve">Rate im nächsten Monat</t>
        </is>
      </c>
      <c r="H9"/>
      <c r="I9"/>
      <c r="J9" s="38">
        <f>SUMIFS(TilgZins,TilgDarl,$N$6,TilgDatum,EOMONTH(Stichtag,0)+1)+SUMIFS(TilgTilgung,TilgDarl,$N$6,TilgDatum,EOMONTH(Stichtag,0)+1)+SUMIFS(TilgErsatz,TilgDarl,$N$6,TilgDatum,EOMONTH(Stichtag,0)+1)</f>
      </c>
    </row>
    <row r="10">
      <c r="A10"/>
      <c r="B10" s="16" t="inlineStr">
        <is>
          <t xml:space="preserve">Restschuld heute</t>
        </is>
      </c>
      <c r="C10"/>
      <c r="D10"/>
      <c r="E10" s="38">
        <f>MAX(0,INDEX(DarlBetrag,$N$6)-SUMIFS(TilgTilgung,TilgDarl,$N$6,TilgDatum,"&lt;="&amp;Stichtag)-SUMIFS(TilgSonder,TilgDarl,$N$6,TilgDatum,"&lt;="&amp;Stichtag))</f>
      </c>
      <c r="F10"/>
      <c r="G10" s="16" t="inlineStr">
        <is>
          <t xml:space="preserve">davon getilgt</t>
        </is>
      </c>
      <c r="H10"/>
      <c r="I10"/>
      <c r="J10" s="38">
        <f>INDEX(DarlBetrag,$N$6)-MAX(0,INDEX(DarlBetrag,$N$6)-SUMIFS(TilgTilgung,TilgDarl,$N$6,TilgDatum,"&lt;="&amp;Stichtag)-SUMIFS(TilgSonder,TilgDarl,$N$6,TilgDatum,"&lt;="&amp;Stichtag))</f>
      </c>
    </row>
    <row r="11">
      <c r="A11"/>
      <c r="B11" s="16" t="inlineStr">
        <is>
          <t xml:space="preserve">Restschuld bei Bindungsende</t>
        </is>
      </c>
      <c r="C11"/>
      <c r="D11"/>
      <c r="E11" s="38">
        <f>IF(INDEX(DarlBindung,$N$6)="",0,MAX(0,INDEX(DarlBetrag,$N$6)-SUMIFS(TilgTilgung,TilgDarl,$N$6,TilgDatum,"&lt;="&amp;INDEX(DarlBindung,$N$6))-SUMIFS(TilgSonder,TilgDarl,$N$6,TilgDatum,"&lt;="&amp;INDEX(DarlBindung,$N$6))))</f>
      </c>
      <c r="F11"/>
      <c r="G11" s="16" t="inlineStr">
        <is>
          <t xml:space="preserve">Zinsen über die ganze Laufzeit</t>
        </is>
      </c>
      <c r="H11"/>
      <c r="I11"/>
      <c r="J11" s="38">
        <f>SUMIFS(TilgZins,TilgDarl,$N$6)</f>
      </c>
    </row>
    <row r="12">
      <c r="A12"/>
      <c r="B12" s="16" t="inlineStr">
        <is>
          <t xml:space="preserve">Laufzeit in Monaten</t>
        </is>
      </c>
      <c r="C12"/>
      <c r="D12"/>
      <c r="E12" s="40">
        <f>SUMIFS(TilgAktiv,TilgDarl,$N$6)</f>
      </c>
      <c r="F12"/>
      <c r="G12" s="16" t="inlineStr">
        <is>
          <t xml:space="preserve">Sondertilgungsrecht p. a.</t>
        </is>
      </c>
      <c r="H12"/>
      <c r="I12"/>
      <c r="J12" s="38">
        <f>INDEX(DarlBetrag,$N$6)*INDEX(DarlSonderrecht,$N$6)/100</f>
      </c>
    </row>
    <row r="13">
      <c r="A13"/>
      <c r="B13" s="16" t="inlineStr">
        <is>
          <t xml:space="preserve">Tilgungsersatz eingezahlt</t>
        </is>
      </c>
      <c r="C13"/>
      <c r="D13"/>
      <c r="E13" s="38">
        <f>SUMIFS(TilgErsatz,TilgDarl,$N$6,TilgDatum,"&lt;="&amp;Stichtag)</f>
      </c>
      <c r="F13"/>
      <c r="G13" s="16" t="inlineStr">
        <is>
          <t xml:space="preserve">Guthaben mit Verzinsung</t>
        </is>
      </c>
      <c r="H13"/>
      <c r="I13"/>
      <c r="J13" s="38">
        <f>SUMIFS(TilgErsatz,TilgDarl,$N$6,TilgDatum,"&lt;="&amp;Stichtag)+SUMIFS(TilgErtrag,TilgDarl,$N$6,TilgDatum,"&lt;="&amp;Stichtag)</f>
      </c>
    </row>
    <row r="14">
      <c r="A14"/>
      <c r="B14" s="24" t="inlineStr">
        <is>
          <t xml:space="preserve">Monat</t>
        </is>
      </c>
      <c r="C14" s="24" t="inlineStr">
        <is>
          <t xml:space="preserve">Fällig</t>
        </is>
      </c>
      <c r="D14" s="24" t="inlineStr">
        <is>
          <t xml:space="preserve">Zinssatz</t>
        </is>
      </c>
      <c r="E14" s="24" t="inlineStr">
        <is>
          <t xml:space="preserve">Restschuld Anfang</t>
        </is>
      </c>
      <c r="F14" s="24" t="inlineStr">
        <is>
          <t xml:space="preserve">Rate</t>
        </is>
      </c>
      <c r="G14" s="24" t="inlineStr">
        <is>
          <t xml:space="preserve">Zins</t>
        </is>
      </c>
      <c r="H14" s="24" t="inlineStr">
        <is>
          <t xml:space="preserve">Tilgung</t>
        </is>
      </c>
      <c r="I14" s="24" t="inlineStr">
        <is>
          <t xml:space="preserve">Sondertilgung</t>
        </is>
      </c>
      <c r="J14" s="24" t="inlineStr">
        <is>
          <t xml:space="preserve">Tilgungsersatz</t>
        </is>
      </c>
      <c r="K14" s="24" t="inlineStr">
        <is>
          <t xml:space="preserve">Guthaben</t>
        </is>
      </c>
      <c r="L14" s="24" t="inlineStr">
        <is>
          <t xml:space="preserve">Restschuld Ende</t>
        </is>
      </c>
    </row>
    <row r="15">
      <c r="A15"/>
      <c r="B15" s="36">
        <f>IF(INDEX(TilgAktiv,($N$6-1)*480+1)=0,"",1)</f>
      </c>
      <c r="C15" s="41">
        <f>IF(INDEX(TilgAktiv,($N$6-1)*480+1)=0,"",INDEX(TilgDatum,($N$6-1)*480+1))</f>
      </c>
      <c r="D15" s="31">
        <f>IF(INDEX(TilgAktiv,($N$6-1)*480+1)=0,"",INDEX(Tilgung!$H$4:$H$9603,($N$6-1)*480+1))</f>
      </c>
      <c r="E15" s="30">
        <f>IF(INDEX(TilgAktiv,($N$6-1)*480+1)=0,"",INDEX(Tilgung!$J$4:$J$9603,($N$6-1)*480+1))</f>
      </c>
      <c r="F15" s="30">
        <f>IF(INDEX(TilgAktiv,($N$6-1)*480+1)=0,"",IF(INDEX(TilgTilgung,($N$6-1)*480+1)=0,INDEX(TilgZins,($N$6-1)*480+1),INDEX(TilgZins,($N$6-1)*480+1)+INDEX(TilgTilgung,($N$6-1)*480+1))+INDEX(TilgErsatz,($N$6-1)*480+1))</f>
      </c>
      <c r="G15" s="30">
        <f>IF(INDEX(TilgAktiv,($N$6-1)*480+1)=0,"",INDEX(TilgZins,($N$6-1)*480+1))</f>
      </c>
      <c r="H15" s="30">
        <f>IF(INDEX(TilgAktiv,($N$6-1)*480+1)=0,"",INDEX(TilgTilgung,($N$6-1)*480+1))</f>
      </c>
      <c r="I15" s="30">
        <f>IF(INDEX(TilgAktiv,($N$6-1)*480+1)=0,"",INDEX(TilgSonder,($N$6-1)*480+1))</f>
      </c>
      <c r="J15" s="30">
        <f>IF(INDEX(TilgAktiv,($N$6-1)*480+1)=0,"",INDEX(TilgErsatz,($N$6-1)*480+1))</f>
      </c>
      <c r="K15" s="30">
        <f>IF(INDEX(TilgAktiv,($N$6-1)*480+1)=0,"",INDEX(Tilgung!$Q$4:$Q$9603,($N$6-1)*480+1))</f>
      </c>
      <c r="L15" s="30">
        <f>IF(INDEX(TilgAktiv,($N$6-1)*480+1)=0,"",INDEX(Tilgung!$R$4:$R$9603,($N$6-1)*480+1))</f>
      </c>
    </row>
    <row r="16">
      <c r="A16"/>
      <c r="B16" s="36">
        <f>IF(INDEX(TilgAktiv,($N$6-1)*480+2)=0,"",2)</f>
      </c>
      <c r="C16" s="41">
        <f>IF(INDEX(TilgAktiv,($N$6-1)*480+2)=0,"",INDEX(TilgDatum,($N$6-1)*480+2))</f>
      </c>
      <c r="D16" s="31">
        <f>IF(INDEX(TilgAktiv,($N$6-1)*480+2)=0,"",INDEX(Tilgung!$H$4:$H$9603,($N$6-1)*480+2))</f>
      </c>
      <c r="E16" s="30">
        <f>IF(INDEX(TilgAktiv,($N$6-1)*480+2)=0,"",INDEX(Tilgung!$J$4:$J$9603,($N$6-1)*480+2))</f>
      </c>
      <c r="F16" s="30">
        <f>IF(INDEX(TilgAktiv,($N$6-1)*480+2)=0,"",IF(INDEX(TilgTilgung,($N$6-1)*480+2)=0,INDEX(TilgZins,($N$6-1)*480+2),INDEX(TilgZins,($N$6-1)*480+2)+INDEX(TilgTilgung,($N$6-1)*480+2))+INDEX(TilgErsatz,($N$6-1)*480+2))</f>
      </c>
      <c r="G16" s="30">
        <f>IF(INDEX(TilgAktiv,($N$6-1)*480+2)=0,"",INDEX(TilgZins,($N$6-1)*480+2))</f>
      </c>
      <c r="H16" s="30">
        <f>IF(INDEX(TilgAktiv,($N$6-1)*480+2)=0,"",INDEX(TilgTilgung,($N$6-1)*480+2))</f>
      </c>
      <c r="I16" s="30">
        <f>IF(INDEX(TilgAktiv,($N$6-1)*480+2)=0,"",INDEX(TilgSonder,($N$6-1)*480+2))</f>
      </c>
      <c r="J16" s="30">
        <f>IF(INDEX(TilgAktiv,($N$6-1)*480+2)=0,"",INDEX(TilgErsatz,($N$6-1)*480+2))</f>
      </c>
      <c r="K16" s="30">
        <f>IF(INDEX(TilgAktiv,($N$6-1)*480+2)=0,"",INDEX(Tilgung!$Q$4:$Q$9603,($N$6-1)*480+2))</f>
      </c>
      <c r="L16" s="30">
        <f>IF(INDEX(TilgAktiv,($N$6-1)*480+2)=0,"",INDEX(Tilgung!$R$4:$R$9603,($N$6-1)*480+2))</f>
      </c>
    </row>
    <row r="17">
      <c r="A17"/>
      <c r="B17" s="36">
        <f>IF(INDEX(TilgAktiv,($N$6-1)*480+3)=0,"",3)</f>
      </c>
      <c r="C17" s="41">
        <f>IF(INDEX(TilgAktiv,($N$6-1)*480+3)=0,"",INDEX(TilgDatum,($N$6-1)*480+3))</f>
      </c>
      <c r="D17" s="31">
        <f>IF(INDEX(TilgAktiv,($N$6-1)*480+3)=0,"",INDEX(Tilgung!$H$4:$H$9603,($N$6-1)*480+3))</f>
      </c>
      <c r="E17" s="30">
        <f>IF(INDEX(TilgAktiv,($N$6-1)*480+3)=0,"",INDEX(Tilgung!$J$4:$J$9603,($N$6-1)*480+3))</f>
      </c>
      <c r="F17" s="30">
        <f>IF(INDEX(TilgAktiv,($N$6-1)*480+3)=0,"",IF(INDEX(TilgTilgung,($N$6-1)*480+3)=0,INDEX(TilgZins,($N$6-1)*480+3),INDEX(TilgZins,($N$6-1)*480+3)+INDEX(TilgTilgung,($N$6-1)*480+3))+INDEX(TilgErsatz,($N$6-1)*480+3))</f>
      </c>
      <c r="G17" s="30">
        <f>IF(INDEX(TilgAktiv,($N$6-1)*480+3)=0,"",INDEX(TilgZins,($N$6-1)*480+3))</f>
      </c>
      <c r="H17" s="30">
        <f>IF(INDEX(TilgAktiv,($N$6-1)*480+3)=0,"",INDEX(TilgTilgung,($N$6-1)*480+3))</f>
      </c>
      <c r="I17" s="30">
        <f>IF(INDEX(TilgAktiv,($N$6-1)*480+3)=0,"",INDEX(TilgSonder,($N$6-1)*480+3))</f>
      </c>
      <c r="J17" s="30">
        <f>IF(INDEX(TilgAktiv,($N$6-1)*480+3)=0,"",INDEX(TilgErsatz,($N$6-1)*480+3))</f>
      </c>
      <c r="K17" s="30">
        <f>IF(INDEX(TilgAktiv,($N$6-1)*480+3)=0,"",INDEX(Tilgung!$Q$4:$Q$9603,($N$6-1)*480+3))</f>
      </c>
      <c r="L17" s="30">
        <f>IF(INDEX(TilgAktiv,($N$6-1)*480+3)=0,"",INDEX(Tilgung!$R$4:$R$9603,($N$6-1)*480+3))</f>
      </c>
    </row>
    <row r="18">
      <c r="A18"/>
      <c r="B18" s="36">
        <f>IF(INDEX(TilgAktiv,($N$6-1)*480+4)=0,"",4)</f>
      </c>
      <c r="C18" s="41">
        <f>IF(INDEX(TilgAktiv,($N$6-1)*480+4)=0,"",INDEX(TilgDatum,($N$6-1)*480+4))</f>
      </c>
      <c r="D18" s="31">
        <f>IF(INDEX(TilgAktiv,($N$6-1)*480+4)=0,"",INDEX(Tilgung!$H$4:$H$9603,($N$6-1)*480+4))</f>
      </c>
      <c r="E18" s="30">
        <f>IF(INDEX(TilgAktiv,($N$6-1)*480+4)=0,"",INDEX(Tilgung!$J$4:$J$9603,($N$6-1)*480+4))</f>
      </c>
      <c r="F18" s="30">
        <f>IF(INDEX(TilgAktiv,($N$6-1)*480+4)=0,"",IF(INDEX(TilgTilgung,($N$6-1)*480+4)=0,INDEX(TilgZins,($N$6-1)*480+4),INDEX(TilgZins,($N$6-1)*480+4)+INDEX(TilgTilgung,($N$6-1)*480+4))+INDEX(TilgErsatz,($N$6-1)*480+4))</f>
      </c>
      <c r="G18" s="30">
        <f>IF(INDEX(TilgAktiv,($N$6-1)*480+4)=0,"",INDEX(TilgZins,($N$6-1)*480+4))</f>
      </c>
      <c r="H18" s="30">
        <f>IF(INDEX(TilgAktiv,($N$6-1)*480+4)=0,"",INDEX(TilgTilgung,($N$6-1)*480+4))</f>
      </c>
      <c r="I18" s="30">
        <f>IF(INDEX(TilgAktiv,($N$6-1)*480+4)=0,"",INDEX(TilgSonder,($N$6-1)*480+4))</f>
      </c>
      <c r="J18" s="30">
        <f>IF(INDEX(TilgAktiv,($N$6-1)*480+4)=0,"",INDEX(TilgErsatz,($N$6-1)*480+4))</f>
      </c>
      <c r="K18" s="30">
        <f>IF(INDEX(TilgAktiv,($N$6-1)*480+4)=0,"",INDEX(Tilgung!$Q$4:$Q$9603,($N$6-1)*480+4))</f>
      </c>
      <c r="L18" s="30">
        <f>IF(INDEX(TilgAktiv,($N$6-1)*480+4)=0,"",INDEX(Tilgung!$R$4:$R$9603,($N$6-1)*480+4))</f>
      </c>
    </row>
    <row r="19">
      <c r="A19"/>
      <c r="B19" s="36">
        <f>IF(INDEX(TilgAktiv,($N$6-1)*480+5)=0,"",5)</f>
      </c>
      <c r="C19" s="41">
        <f>IF(INDEX(TilgAktiv,($N$6-1)*480+5)=0,"",INDEX(TilgDatum,($N$6-1)*480+5))</f>
      </c>
      <c r="D19" s="31">
        <f>IF(INDEX(TilgAktiv,($N$6-1)*480+5)=0,"",INDEX(Tilgung!$H$4:$H$9603,($N$6-1)*480+5))</f>
      </c>
      <c r="E19" s="30">
        <f>IF(INDEX(TilgAktiv,($N$6-1)*480+5)=0,"",INDEX(Tilgung!$J$4:$J$9603,($N$6-1)*480+5))</f>
      </c>
      <c r="F19" s="30">
        <f>IF(INDEX(TilgAktiv,($N$6-1)*480+5)=0,"",IF(INDEX(TilgTilgung,($N$6-1)*480+5)=0,INDEX(TilgZins,($N$6-1)*480+5),INDEX(TilgZins,($N$6-1)*480+5)+INDEX(TilgTilgung,($N$6-1)*480+5))+INDEX(TilgErsatz,($N$6-1)*480+5))</f>
      </c>
      <c r="G19" s="30">
        <f>IF(INDEX(TilgAktiv,($N$6-1)*480+5)=0,"",INDEX(TilgZins,($N$6-1)*480+5))</f>
      </c>
      <c r="H19" s="30">
        <f>IF(INDEX(TilgAktiv,($N$6-1)*480+5)=0,"",INDEX(TilgTilgung,($N$6-1)*480+5))</f>
      </c>
      <c r="I19" s="30">
        <f>IF(INDEX(TilgAktiv,($N$6-1)*480+5)=0,"",INDEX(TilgSonder,($N$6-1)*480+5))</f>
      </c>
      <c r="J19" s="30">
        <f>IF(INDEX(TilgAktiv,($N$6-1)*480+5)=0,"",INDEX(TilgErsatz,($N$6-1)*480+5))</f>
      </c>
      <c r="K19" s="30">
        <f>IF(INDEX(TilgAktiv,($N$6-1)*480+5)=0,"",INDEX(Tilgung!$Q$4:$Q$9603,($N$6-1)*480+5))</f>
      </c>
      <c r="L19" s="30">
        <f>IF(INDEX(TilgAktiv,($N$6-1)*480+5)=0,"",INDEX(Tilgung!$R$4:$R$9603,($N$6-1)*480+5))</f>
      </c>
    </row>
    <row r="20">
      <c r="A20"/>
      <c r="B20" s="36">
        <f>IF(INDEX(TilgAktiv,($N$6-1)*480+6)=0,"",6)</f>
      </c>
      <c r="C20" s="41">
        <f>IF(INDEX(TilgAktiv,($N$6-1)*480+6)=0,"",INDEX(TilgDatum,($N$6-1)*480+6))</f>
      </c>
      <c r="D20" s="31">
        <f>IF(INDEX(TilgAktiv,($N$6-1)*480+6)=0,"",INDEX(Tilgung!$H$4:$H$9603,($N$6-1)*480+6))</f>
      </c>
      <c r="E20" s="30">
        <f>IF(INDEX(TilgAktiv,($N$6-1)*480+6)=0,"",INDEX(Tilgung!$J$4:$J$9603,($N$6-1)*480+6))</f>
      </c>
      <c r="F20" s="30">
        <f>IF(INDEX(TilgAktiv,($N$6-1)*480+6)=0,"",IF(INDEX(TilgTilgung,($N$6-1)*480+6)=0,INDEX(TilgZins,($N$6-1)*480+6),INDEX(TilgZins,($N$6-1)*480+6)+INDEX(TilgTilgung,($N$6-1)*480+6))+INDEX(TilgErsatz,($N$6-1)*480+6))</f>
      </c>
      <c r="G20" s="30">
        <f>IF(INDEX(TilgAktiv,($N$6-1)*480+6)=0,"",INDEX(TilgZins,($N$6-1)*480+6))</f>
      </c>
      <c r="H20" s="30">
        <f>IF(INDEX(TilgAktiv,($N$6-1)*480+6)=0,"",INDEX(TilgTilgung,($N$6-1)*480+6))</f>
      </c>
      <c r="I20" s="30">
        <f>IF(INDEX(TilgAktiv,($N$6-1)*480+6)=0,"",INDEX(TilgSonder,($N$6-1)*480+6))</f>
      </c>
      <c r="J20" s="30">
        <f>IF(INDEX(TilgAktiv,($N$6-1)*480+6)=0,"",INDEX(TilgErsatz,($N$6-1)*480+6))</f>
      </c>
      <c r="K20" s="30">
        <f>IF(INDEX(TilgAktiv,($N$6-1)*480+6)=0,"",INDEX(Tilgung!$Q$4:$Q$9603,($N$6-1)*480+6))</f>
      </c>
      <c r="L20" s="30">
        <f>IF(INDEX(TilgAktiv,($N$6-1)*480+6)=0,"",INDEX(Tilgung!$R$4:$R$9603,($N$6-1)*480+6))</f>
      </c>
    </row>
    <row r="21">
      <c r="A21"/>
      <c r="B21" s="36">
        <f>IF(INDEX(TilgAktiv,($N$6-1)*480+7)=0,"",7)</f>
      </c>
      <c r="C21" s="41">
        <f>IF(INDEX(TilgAktiv,($N$6-1)*480+7)=0,"",INDEX(TilgDatum,($N$6-1)*480+7))</f>
      </c>
      <c r="D21" s="31">
        <f>IF(INDEX(TilgAktiv,($N$6-1)*480+7)=0,"",INDEX(Tilgung!$H$4:$H$9603,($N$6-1)*480+7))</f>
      </c>
      <c r="E21" s="30">
        <f>IF(INDEX(TilgAktiv,($N$6-1)*480+7)=0,"",INDEX(Tilgung!$J$4:$J$9603,($N$6-1)*480+7))</f>
      </c>
      <c r="F21" s="30">
        <f>IF(INDEX(TilgAktiv,($N$6-1)*480+7)=0,"",IF(INDEX(TilgTilgung,($N$6-1)*480+7)=0,INDEX(TilgZins,($N$6-1)*480+7),INDEX(TilgZins,($N$6-1)*480+7)+INDEX(TilgTilgung,($N$6-1)*480+7))+INDEX(TilgErsatz,($N$6-1)*480+7))</f>
      </c>
      <c r="G21" s="30">
        <f>IF(INDEX(TilgAktiv,($N$6-1)*480+7)=0,"",INDEX(TilgZins,($N$6-1)*480+7))</f>
      </c>
      <c r="H21" s="30">
        <f>IF(INDEX(TilgAktiv,($N$6-1)*480+7)=0,"",INDEX(TilgTilgung,($N$6-1)*480+7))</f>
      </c>
      <c r="I21" s="30">
        <f>IF(INDEX(TilgAktiv,($N$6-1)*480+7)=0,"",INDEX(TilgSonder,($N$6-1)*480+7))</f>
      </c>
      <c r="J21" s="30">
        <f>IF(INDEX(TilgAktiv,($N$6-1)*480+7)=0,"",INDEX(TilgErsatz,($N$6-1)*480+7))</f>
      </c>
      <c r="K21" s="30">
        <f>IF(INDEX(TilgAktiv,($N$6-1)*480+7)=0,"",INDEX(Tilgung!$Q$4:$Q$9603,($N$6-1)*480+7))</f>
      </c>
      <c r="L21" s="30">
        <f>IF(INDEX(TilgAktiv,($N$6-1)*480+7)=0,"",INDEX(Tilgung!$R$4:$R$9603,($N$6-1)*480+7))</f>
      </c>
    </row>
    <row r="22">
      <c r="A22"/>
      <c r="B22" s="36">
        <f>IF(INDEX(TilgAktiv,($N$6-1)*480+8)=0,"",8)</f>
      </c>
      <c r="C22" s="41">
        <f>IF(INDEX(TilgAktiv,($N$6-1)*480+8)=0,"",INDEX(TilgDatum,($N$6-1)*480+8))</f>
      </c>
      <c r="D22" s="31">
        <f>IF(INDEX(TilgAktiv,($N$6-1)*480+8)=0,"",INDEX(Tilgung!$H$4:$H$9603,($N$6-1)*480+8))</f>
      </c>
      <c r="E22" s="30">
        <f>IF(INDEX(TilgAktiv,($N$6-1)*480+8)=0,"",INDEX(Tilgung!$J$4:$J$9603,($N$6-1)*480+8))</f>
      </c>
      <c r="F22" s="30">
        <f>IF(INDEX(TilgAktiv,($N$6-1)*480+8)=0,"",IF(INDEX(TilgTilgung,($N$6-1)*480+8)=0,INDEX(TilgZins,($N$6-1)*480+8),INDEX(TilgZins,($N$6-1)*480+8)+INDEX(TilgTilgung,($N$6-1)*480+8))+INDEX(TilgErsatz,($N$6-1)*480+8))</f>
      </c>
      <c r="G22" s="30">
        <f>IF(INDEX(TilgAktiv,($N$6-1)*480+8)=0,"",INDEX(TilgZins,($N$6-1)*480+8))</f>
      </c>
      <c r="H22" s="30">
        <f>IF(INDEX(TilgAktiv,($N$6-1)*480+8)=0,"",INDEX(TilgTilgung,($N$6-1)*480+8))</f>
      </c>
      <c r="I22" s="30">
        <f>IF(INDEX(TilgAktiv,($N$6-1)*480+8)=0,"",INDEX(TilgSonder,($N$6-1)*480+8))</f>
      </c>
      <c r="J22" s="30">
        <f>IF(INDEX(TilgAktiv,($N$6-1)*480+8)=0,"",INDEX(TilgErsatz,($N$6-1)*480+8))</f>
      </c>
      <c r="K22" s="30">
        <f>IF(INDEX(TilgAktiv,($N$6-1)*480+8)=0,"",INDEX(Tilgung!$Q$4:$Q$9603,($N$6-1)*480+8))</f>
      </c>
      <c r="L22" s="30">
        <f>IF(INDEX(TilgAktiv,($N$6-1)*480+8)=0,"",INDEX(Tilgung!$R$4:$R$9603,($N$6-1)*480+8))</f>
      </c>
    </row>
    <row r="23">
      <c r="A23"/>
      <c r="B23" s="36">
        <f>IF(INDEX(TilgAktiv,($N$6-1)*480+9)=0,"",9)</f>
      </c>
      <c r="C23" s="41">
        <f>IF(INDEX(TilgAktiv,($N$6-1)*480+9)=0,"",INDEX(TilgDatum,($N$6-1)*480+9))</f>
      </c>
      <c r="D23" s="31">
        <f>IF(INDEX(TilgAktiv,($N$6-1)*480+9)=0,"",INDEX(Tilgung!$H$4:$H$9603,($N$6-1)*480+9))</f>
      </c>
      <c r="E23" s="30">
        <f>IF(INDEX(TilgAktiv,($N$6-1)*480+9)=0,"",INDEX(Tilgung!$J$4:$J$9603,($N$6-1)*480+9))</f>
      </c>
      <c r="F23" s="30">
        <f>IF(INDEX(TilgAktiv,($N$6-1)*480+9)=0,"",IF(INDEX(TilgTilgung,($N$6-1)*480+9)=0,INDEX(TilgZins,($N$6-1)*480+9),INDEX(TilgZins,($N$6-1)*480+9)+INDEX(TilgTilgung,($N$6-1)*480+9))+INDEX(TilgErsatz,($N$6-1)*480+9))</f>
      </c>
      <c r="G23" s="30">
        <f>IF(INDEX(TilgAktiv,($N$6-1)*480+9)=0,"",INDEX(TilgZins,($N$6-1)*480+9))</f>
      </c>
      <c r="H23" s="30">
        <f>IF(INDEX(TilgAktiv,($N$6-1)*480+9)=0,"",INDEX(TilgTilgung,($N$6-1)*480+9))</f>
      </c>
      <c r="I23" s="30">
        <f>IF(INDEX(TilgAktiv,($N$6-1)*480+9)=0,"",INDEX(TilgSonder,($N$6-1)*480+9))</f>
      </c>
      <c r="J23" s="30">
        <f>IF(INDEX(TilgAktiv,($N$6-1)*480+9)=0,"",INDEX(TilgErsatz,($N$6-1)*480+9))</f>
      </c>
      <c r="K23" s="30">
        <f>IF(INDEX(TilgAktiv,($N$6-1)*480+9)=0,"",INDEX(Tilgung!$Q$4:$Q$9603,($N$6-1)*480+9))</f>
      </c>
      <c r="L23" s="30">
        <f>IF(INDEX(TilgAktiv,($N$6-1)*480+9)=0,"",INDEX(Tilgung!$R$4:$R$9603,($N$6-1)*480+9))</f>
      </c>
    </row>
    <row r="24">
      <c r="A24"/>
      <c r="B24" s="36">
        <f>IF(INDEX(TilgAktiv,($N$6-1)*480+10)=0,"",10)</f>
      </c>
      <c r="C24" s="41">
        <f>IF(INDEX(TilgAktiv,($N$6-1)*480+10)=0,"",INDEX(TilgDatum,($N$6-1)*480+10))</f>
      </c>
      <c r="D24" s="31">
        <f>IF(INDEX(TilgAktiv,($N$6-1)*480+10)=0,"",INDEX(Tilgung!$H$4:$H$9603,($N$6-1)*480+10))</f>
      </c>
      <c r="E24" s="30">
        <f>IF(INDEX(TilgAktiv,($N$6-1)*480+10)=0,"",INDEX(Tilgung!$J$4:$J$9603,($N$6-1)*480+10))</f>
      </c>
      <c r="F24" s="30">
        <f>IF(INDEX(TilgAktiv,($N$6-1)*480+10)=0,"",IF(INDEX(TilgTilgung,($N$6-1)*480+10)=0,INDEX(TilgZins,($N$6-1)*480+10),INDEX(TilgZins,($N$6-1)*480+10)+INDEX(TilgTilgung,($N$6-1)*480+10))+INDEX(TilgErsatz,($N$6-1)*480+10))</f>
      </c>
      <c r="G24" s="30">
        <f>IF(INDEX(TilgAktiv,($N$6-1)*480+10)=0,"",INDEX(TilgZins,($N$6-1)*480+10))</f>
      </c>
      <c r="H24" s="30">
        <f>IF(INDEX(TilgAktiv,($N$6-1)*480+10)=0,"",INDEX(TilgTilgung,($N$6-1)*480+10))</f>
      </c>
      <c r="I24" s="30">
        <f>IF(INDEX(TilgAktiv,($N$6-1)*480+10)=0,"",INDEX(TilgSonder,($N$6-1)*480+10))</f>
      </c>
      <c r="J24" s="30">
        <f>IF(INDEX(TilgAktiv,($N$6-1)*480+10)=0,"",INDEX(TilgErsatz,($N$6-1)*480+10))</f>
      </c>
      <c r="K24" s="30">
        <f>IF(INDEX(TilgAktiv,($N$6-1)*480+10)=0,"",INDEX(Tilgung!$Q$4:$Q$9603,($N$6-1)*480+10))</f>
      </c>
      <c r="L24" s="30">
        <f>IF(INDEX(TilgAktiv,($N$6-1)*480+10)=0,"",INDEX(Tilgung!$R$4:$R$9603,($N$6-1)*480+10))</f>
      </c>
    </row>
    <row r="25">
      <c r="A25"/>
      <c r="B25" s="36">
        <f>IF(INDEX(TilgAktiv,($N$6-1)*480+11)=0,"",11)</f>
      </c>
      <c r="C25" s="41">
        <f>IF(INDEX(TilgAktiv,($N$6-1)*480+11)=0,"",INDEX(TilgDatum,($N$6-1)*480+11))</f>
      </c>
      <c r="D25" s="31">
        <f>IF(INDEX(TilgAktiv,($N$6-1)*480+11)=0,"",INDEX(Tilgung!$H$4:$H$9603,($N$6-1)*480+11))</f>
      </c>
      <c r="E25" s="30">
        <f>IF(INDEX(TilgAktiv,($N$6-1)*480+11)=0,"",INDEX(Tilgung!$J$4:$J$9603,($N$6-1)*480+11))</f>
      </c>
      <c r="F25" s="30">
        <f>IF(INDEX(TilgAktiv,($N$6-1)*480+11)=0,"",IF(INDEX(TilgTilgung,($N$6-1)*480+11)=0,INDEX(TilgZins,($N$6-1)*480+11),INDEX(TilgZins,($N$6-1)*480+11)+INDEX(TilgTilgung,($N$6-1)*480+11))+INDEX(TilgErsatz,($N$6-1)*480+11))</f>
      </c>
      <c r="G25" s="30">
        <f>IF(INDEX(TilgAktiv,($N$6-1)*480+11)=0,"",INDEX(TilgZins,($N$6-1)*480+11))</f>
      </c>
      <c r="H25" s="30">
        <f>IF(INDEX(TilgAktiv,($N$6-1)*480+11)=0,"",INDEX(TilgTilgung,($N$6-1)*480+11))</f>
      </c>
      <c r="I25" s="30">
        <f>IF(INDEX(TilgAktiv,($N$6-1)*480+11)=0,"",INDEX(TilgSonder,($N$6-1)*480+11))</f>
      </c>
      <c r="J25" s="30">
        <f>IF(INDEX(TilgAktiv,($N$6-1)*480+11)=0,"",INDEX(TilgErsatz,($N$6-1)*480+11))</f>
      </c>
      <c r="K25" s="30">
        <f>IF(INDEX(TilgAktiv,($N$6-1)*480+11)=0,"",INDEX(Tilgung!$Q$4:$Q$9603,($N$6-1)*480+11))</f>
      </c>
      <c r="L25" s="30">
        <f>IF(INDEX(TilgAktiv,($N$6-1)*480+11)=0,"",INDEX(Tilgung!$R$4:$R$9603,($N$6-1)*480+11))</f>
      </c>
    </row>
    <row r="26">
      <c r="A26"/>
      <c r="B26" s="36">
        <f>IF(INDEX(TilgAktiv,($N$6-1)*480+12)=0,"",12)</f>
      </c>
      <c r="C26" s="41">
        <f>IF(INDEX(TilgAktiv,($N$6-1)*480+12)=0,"",INDEX(TilgDatum,($N$6-1)*480+12))</f>
      </c>
      <c r="D26" s="31">
        <f>IF(INDEX(TilgAktiv,($N$6-1)*480+12)=0,"",INDEX(Tilgung!$H$4:$H$9603,($N$6-1)*480+12))</f>
      </c>
      <c r="E26" s="30">
        <f>IF(INDEX(TilgAktiv,($N$6-1)*480+12)=0,"",INDEX(Tilgung!$J$4:$J$9603,($N$6-1)*480+12))</f>
      </c>
      <c r="F26" s="30">
        <f>IF(INDEX(TilgAktiv,($N$6-1)*480+12)=0,"",IF(INDEX(TilgTilgung,($N$6-1)*480+12)=0,INDEX(TilgZins,($N$6-1)*480+12),INDEX(TilgZins,($N$6-1)*480+12)+INDEX(TilgTilgung,($N$6-1)*480+12))+INDEX(TilgErsatz,($N$6-1)*480+12))</f>
      </c>
      <c r="G26" s="30">
        <f>IF(INDEX(TilgAktiv,($N$6-1)*480+12)=0,"",INDEX(TilgZins,($N$6-1)*480+12))</f>
      </c>
      <c r="H26" s="30">
        <f>IF(INDEX(TilgAktiv,($N$6-1)*480+12)=0,"",INDEX(TilgTilgung,($N$6-1)*480+12))</f>
      </c>
      <c r="I26" s="30">
        <f>IF(INDEX(TilgAktiv,($N$6-1)*480+12)=0,"",INDEX(TilgSonder,($N$6-1)*480+12))</f>
      </c>
      <c r="J26" s="30">
        <f>IF(INDEX(TilgAktiv,($N$6-1)*480+12)=0,"",INDEX(TilgErsatz,($N$6-1)*480+12))</f>
      </c>
      <c r="K26" s="30">
        <f>IF(INDEX(TilgAktiv,($N$6-1)*480+12)=0,"",INDEX(Tilgung!$Q$4:$Q$9603,($N$6-1)*480+12))</f>
      </c>
      <c r="L26" s="30">
        <f>IF(INDEX(TilgAktiv,($N$6-1)*480+12)=0,"",INDEX(Tilgung!$R$4:$R$9603,($N$6-1)*480+12))</f>
      </c>
    </row>
    <row r="27">
      <c r="A27"/>
      <c r="B27" s="36">
        <f>IF(INDEX(TilgAktiv,($N$6-1)*480+13)=0,"",13)</f>
      </c>
      <c r="C27" s="41">
        <f>IF(INDEX(TilgAktiv,($N$6-1)*480+13)=0,"",INDEX(TilgDatum,($N$6-1)*480+13))</f>
      </c>
      <c r="D27" s="31">
        <f>IF(INDEX(TilgAktiv,($N$6-1)*480+13)=0,"",INDEX(Tilgung!$H$4:$H$9603,($N$6-1)*480+13))</f>
      </c>
      <c r="E27" s="30">
        <f>IF(INDEX(TilgAktiv,($N$6-1)*480+13)=0,"",INDEX(Tilgung!$J$4:$J$9603,($N$6-1)*480+13))</f>
      </c>
      <c r="F27" s="30">
        <f>IF(INDEX(TilgAktiv,($N$6-1)*480+13)=0,"",IF(INDEX(TilgTilgung,($N$6-1)*480+13)=0,INDEX(TilgZins,($N$6-1)*480+13),INDEX(TilgZins,($N$6-1)*480+13)+INDEX(TilgTilgung,($N$6-1)*480+13))+INDEX(TilgErsatz,($N$6-1)*480+13))</f>
      </c>
      <c r="G27" s="30">
        <f>IF(INDEX(TilgAktiv,($N$6-1)*480+13)=0,"",INDEX(TilgZins,($N$6-1)*480+13))</f>
      </c>
      <c r="H27" s="30">
        <f>IF(INDEX(TilgAktiv,($N$6-1)*480+13)=0,"",INDEX(TilgTilgung,($N$6-1)*480+13))</f>
      </c>
      <c r="I27" s="30">
        <f>IF(INDEX(TilgAktiv,($N$6-1)*480+13)=0,"",INDEX(TilgSonder,($N$6-1)*480+13))</f>
      </c>
      <c r="J27" s="30">
        <f>IF(INDEX(TilgAktiv,($N$6-1)*480+13)=0,"",INDEX(TilgErsatz,($N$6-1)*480+13))</f>
      </c>
      <c r="K27" s="30">
        <f>IF(INDEX(TilgAktiv,($N$6-1)*480+13)=0,"",INDEX(Tilgung!$Q$4:$Q$9603,($N$6-1)*480+13))</f>
      </c>
      <c r="L27" s="30">
        <f>IF(INDEX(TilgAktiv,($N$6-1)*480+13)=0,"",INDEX(Tilgung!$R$4:$R$9603,($N$6-1)*480+13))</f>
      </c>
    </row>
    <row r="28">
      <c r="A28"/>
      <c r="B28" s="36">
        <f>IF(INDEX(TilgAktiv,($N$6-1)*480+14)=0,"",14)</f>
      </c>
      <c r="C28" s="41">
        <f>IF(INDEX(TilgAktiv,($N$6-1)*480+14)=0,"",INDEX(TilgDatum,($N$6-1)*480+14))</f>
      </c>
      <c r="D28" s="31">
        <f>IF(INDEX(TilgAktiv,($N$6-1)*480+14)=0,"",INDEX(Tilgung!$H$4:$H$9603,($N$6-1)*480+14))</f>
      </c>
      <c r="E28" s="30">
        <f>IF(INDEX(TilgAktiv,($N$6-1)*480+14)=0,"",INDEX(Tilgung!$J$4:$J$9603,($N$6-1)*480+14))</f>
      </c>
      <c r="F28" s="30">
        <f>IF(INDEX(TilgAktiv,($N$6-1)*480+14)=0,"",IF(INDEX(TilgTilgung,($N$6-1)*480+14)=0,INDEX(TilgZins,($N$6-1)*480+14),INDEX(TilgZins,($N$6-1)*480+14)+INDEX(TilgTilgung,($N$6-1)*480+14))+INDEX(TilgErsatz,($N$6-1)*480+14))</f>
      </c>
      <c r="G28" s="30">
        <f>IF(INDEX(TilgAktiv,($N$6-1)*480+14)=0,"",INDEX(TilgZins,($N$6-1)*480+14))</f>
      </c>
      <c r="H28" s="30">
        <f>IF(INDEX(TilgAktiv,($N$6-1)*480+14)=0,"",INDEX(TilgTilgung,($N$6-1)*480+14))</f>
      </c>
      <c r="I28" s="30">
        <f>IF(INDEX(TilgAktiv,($N$6-1)*480+14)=0,"",INDEX(TilgSonder,($N$6-1)*480+14))</f>
      </c>
      <c r="J28" s="30">
        <f>IF(INDEX(TilgAktiv,($N$6-1)*480+14)=0,"",INDEX(TilgErsatz,($N$6-1)*480+14))</f>
      </c>
      <c r="K28" s="30">
        <f>IF(INDEX(TilgAktiv,($N$6-1)*480+14)=0,"",INDEX(Tilgung!$Q$4:$Q$9603,($N$6-1)*480+14))</f>
      </c>
      <c r="L28" s="30">
        <f>IF(INDEX(TilgAktiv,($N$6-1)*480+14)=0,"",INDEX(Tilgung!$R$4:$R$9603,($N$6-1)*480+14))</f>
      </c>
    </row>
    <row r="29">
      <c r="A29"/>
      <c r="B29" s="36">
        <f>IF(INDEX(TilgAktiv,($N$6-1)*480+15)=0,"",15)</f>
      </c>
      <c r="C29" s="41">
        <f>IF(INDEX(TilgAktiv,($N$6-1)*480+15)=0,"",INDEX(TilgDatum,($N$6-1)*480+15))</f>
      </c>
      <c r="D29" s="31">
        <f>IF(INDEX(TilgAktiv,($N$6-1)*480+15)=0,"",INDEX(Tilgung!$H$4:$H$9603,($N$6-1)*480+15))</f>
      </c>
      <c r="E29" s="30">
        <f>IF(INDEX(TilgAktiv,($N$6-1)*480+15)=0,"",INDEX(Tilgung!$J$4:$J$9603,($N$6-1)*480+15))</f>
      </c>
      <c r="F29" s="30">
        <f>IF(INDEX(TilgAktiv,($N$6-1)*480+15)=0,"",IF(INDEX(TilgTilgung,($N$6-1)*480+15)=0,INDEX(TilgZins,($N$6-1)*480+15),INDEX(TilgZins,($N$6-1)*480+15)+INDEX(TilgTilgung,($N$6-1)*480+15))+INDEX(TilgErsatz,($N$6-1)*480+15))</f>
      </c>
      <c r="G29" s="30">
        <f>IF(INDEX(TilgAktiv,($N$6-1)*480+15)=0,"",INDEX(TilgZins,($N$6-1)*480+15))</f>
      </c>
      <c r="H29" s="30">
        <f>IF(INDEX(TilgAktiv,($N$6-1)*480+15)=0,"",INDEX(TilgTilgung,($N$6-1)*480+15))</f>
      </c>
      <c r="I29" s="30">
        <f>IF(INDEX(TilgAktiv,($N$6-1)*480+15)=0,"",INDEX(TilgSonder,($N$6-1)*480+15))</f>
      </c>
      <c r="J29" s="30">
        <f>IF(INDEX(TilgAktiv,($N$6-1)*480+15)=0,"",INDEX(TilgErsatz,($N$6-1)*480+15))</f>
      </c>
      <c r="K29" s="30">
        <f>IF(INDEX(TilgAktiv,($N$6-1)*480+15)=0,"",INDEX(Tilgung!$Q$4:$Q$9603,($N$6-1)*480+15))</f>
      </c>
      <c r="L29" s="30">
        <f>IF(INDEX(TilgAktiv,($N$6-1)*480+15)=0,"",INDEX(Tilgung!$R$4:$R$9603,($N$6-1)*480+15))</f>
      </c>
    </row>
    <row r="30">
      <c r="A30"/>
      <c r="B30" s="36">
        <f>IF(INDEX(TilgAktiv,($N$6-1)*480+16)=0,"",16)</f>
      </c>
      <c r="C30" s="41">
        <f>IF(INDEX(TilgAktiv,($N$6-1)*480+16)=0,"",INDEX(TilgDatum,($N$6-1)*480+16))</f>
      </c>
      <c r="D30" s="31">
        <f>IF(INDEX(TilgAktiv,($N$6-1)*480+16)=0,"",INDEX(Tilgung!$H$4:$H$9603,($N$6-1)*480+16))</f>
      </c>
      <c r="E30" s="30">
        <f>IF(INDEX(TilgAktiv,($N$6-1)*480+16)=0,"",INDEX(Tilgung!$J$4:$J$9603,($N$6-1)*480+16))</f>
      </c>
      <c r="F30" s="30">
        <f>IF(INDEX(TilgAktiv,($N$6-1)*480+16)=0,"",IF(INDEX(TilgTilgung,($N$6-1)*480+16)=0,INDEX(TilgZins,($N$6-1)*480+16),INDEX(TilgZins,($N$6-1)*480+16)+INDEX(TilgTilgung,($N$6-1)*480+16))+INDEX(TilgErsatz,($N$6-1)*480+16))</f>
      </c>
      <c r="G30" s="30">
        <f>IF(INDEX(TilgAktiv,($N$6-1)*480+16)=0,"",INDEX(TilgZins,($N$6-1)*480+16))</f>
      </c>
      <c r="H30" s="30">
        <f>IF(INDEX(TilgAktiv,($N$6-1)*480+16)=0,"",INDEX(TilgTilgung,($N$6-1)*480+16))</f>
      </c>
      <c r="I30" s="30">
        <f>IF(INDEX(TilgAktiv,($N$6-1)*480+16)=0,"",INDEX(TilgSonder,($N$6-1)*480+16))</f>
      </c>
      <c r="J30" s="30">
        <f>IF(INDEX(TilgAktiv,($N$6-1)*480+16)=0,"",INDEX(TilgErsatz,($N$6-1)*480+16))</f>
      </c>
      <c r="K30" s="30">
        <f>IF(INDEX(TilgAktiv,($N$6-1)*480+16)=0,"",INDEX(Tilgung!$Q$4:$Q$9603,($N$6-1)*480+16))</f>
      </c>
      <c r="L30" s="30">
        <f>IF(INDEX(TilgAktiv,($N$6-1)*480+16)=0,"",INDEX(Tilgung!$R$4:$R$9603,($N$6-1)*480+16))</f>
      </c>
    </row>
    <row r="31">
      <c r="A31"/>
      <c r="B31" s="36">
        <f>IF(INDEX(TilgAktiv,($N$6-1)*480+17)=0,"",17)</f>
      </c>
      <c r="C31" s="41">
        <f>IF(INDEX(TilgAktiv,($N$6-1)*480+17)=0,"",INDEX(TilgDatum,($N$6-1)*480+17))</f>
      </c>
      <c r="D31" s="31">
        <f>IF(INDEX(TilgAktiv,($N$6-1)*480+17)=0,"",INDEX(Tilgung!$H$4:$H$9603,($N$6-1)*480+17))</f>
      </c>
      <c r="E31" s="30">
        <f>IF(INDEX(TilgAktiv,($N$6-1)*480+17)=0,"",INDEX(Tilgung!$J$4:$J$9603,($N$6-1)*480+17))</f>
      </c>
      <c r="F31" s="30">
        <f>IF(INDEX(TilgAktiv,($N$6-1)*480+17)=0,"",IF(INDEX(TilgTilgung,($N$6-1)*480+17)=0,INDEX(TilgZins,($N$6-1)*480+17),INDEX(TilgZins,($N$6-1)*480+17)+INDEX(TilgTilgung,($N$6-1)*480+17))+INDEX(TilgErsatz,($N$6-1)*480+17))</f>
      </c>
      <c r="G31" s="30">
        <f>IF(INDEX(TilgAktiv,($N$6-1)*480+17)=0,"",INDEX(TilgZins,($N$6-1)*480+17))</f>
      </c>
      <c r="H31" s="30">
        <f>IF(INDEX(TilgAktiv,($N$6-1)*480+17)=0,"",INDEX(TilgTilgung,($N$6-1)*480+17))</f>
      </c>
      <c r="I31" s="30">
        <f>IF(INDEX(TilgAktiv,($N$6-1)*480+17)=0,"",INDEX(TilgSonder,($N$6-1)*480+17))</f>
      </c>
      <c r="J31" s="30">
        <f>IF(INDEX(TilgAktiv,($N$6-1)*480+17)=0,"",INDEX(TilgErsatz,($N$6-1)*480+17))</f>
      </c>
      <c r="K31" s="30">
        <f>IF(INDEX(TilgAktiv,($N$6-1)*480+17)=0,"",INDEX(Tilgung!$Q$4:$Q$9603,($N$6-1)*480+17))</f>
      </c>
      <c r="L31" s="30">
        <f>IF(INDEX(TilgAktiv,($N$6-1)*480+17)=0,"",INDEX(Tilgung!$R$4:$R$9603,($N$6-1)*480+17))</f>
      </c>
    </row>
    <row r="32">
      <c r="A32"/>
      <c r="B32" s="36">
        <f>IF(INDEX(TilgAktiv,($N$6-1)*480+18)=0,"",18)</f>
      </c>
      <c r="C32" s="41">
        <f>IF(INDEX(TilgAktiv,($N$6-1)*480+18)=0,"",INDEX(TilgDatum,($N$6-1)*480+18))</f>
      </c>
      <c r="D32" s="31">
        <f>IF(INDEX(TilgAktiv,($N$6-1)*480+18)=0,"",INDEX(Tilgung!$H$4:$H$9603,($N$6-1)*480+18))</f>
      </c>
      <c r="E32" s="30">
        <f>IF(INDEX(TilgAktiv,($N$6-1)*480+18)=0,"",INDEX(Tilgung!$J$4:$J$9603,($N$6-1)*480+18))</f>
      </c>
      <c r="F32" s="30">
        <f>IF(INDEX(TilgAktiv,($N$6-1)*480+18)=0,"",IF(INDEX(TilgTilgung,($N$6-1)*480+18)=0,INDEX(TilgZins,($N$6-1)*480+18),INDEX(TilgZins,($N$6-1)*480+18)+INDEX(TilgTilgung,($N$6-1)*480+18))+INDEX(TilgErsatz,($N$6-1)*480+18))</f>
      </c>
      <c r="G32" s="30">
        <f>IF(INDEX(TilgAktiv,($N$6-1)*480+18)=0,"",INDEX(TilgZins,($N$6-1)*480+18))</f>
      </c>
      <c r="H32" s="30">
        <f>IF(INDEX(TilgAktiv,($N$6-1)*480+18)=0,"",INDEX(TilgTilgung,($N$6-1)*480+18))</f>
      </c>
      <c r="I32" s="30">
        <f>IF(INDEX(TilgAktiv,($N$6-1)*480+18)=0,"",INDEX(TilgSonder,($N$6-1)*480+18))</f>
      </c>
      <c r="J32" s="30">
        <f>IF(INDEX(TilgAktiv,($N$6-1)*480+18)=0,"",INDEX(TilgErsatz,($N$6-1)*480+18))</f>
      </c>
      <c r="K32" s="30">
        <f>IF(INDEX(TilgAktiv,($N$6-1)*480+18)=0,"",INDEX(Tilgung!$Q$4:$Q$9603,($N$6-1)*480+18))</f>
      </c>
      <c r="L32" s="30">
        <f>IF(INDEX(TilgAktiv,($N$6-1)*480+18)=0,"",INDEX(Tilgung!$R$4:$R$9603,($N$6-1)*480+18))</f>
      </c>
    </row>
    <row r="33">
      <c r="A33"/>
      <c r="B33" s="36">
        <f>IF(INDEX(TilgAktiv,($N$6-1)*480+19)=0,"",19)</f>
      </c>
      <c r="C33" s="41">
        <f>IF(INDEX(TilgAktiv,($N$6-1)*480+19)=0,"",INDEX(TilgDatum,($N$6-1)*480+19))</f>
      </c>
      <c r="D33" s="31">
        <f>IF(INDEX(TilgAktiv,($N$6-1)*480+19)=0,"",INDEX(Tilgung!$H$4:$H$9603,($N$6-1)*480+19))</f>
      </c>
      <c r="E33" s="30">
        <f>IF(INDEX(TilgAktiv,($N$6-1)*480+19)=0,"",INDEX(Tilgung!$J$4:$J$9603,($N$6-1)*480+19))</f>
      </c>
      <c r="F33" s="30">
        <f>IF(INDEX(TilgAktiv,($N$6-1)*480+19)=0,"",IF(INDEX(TilgTilgung,($N$6-1)*480+19)=0,INDEX(TilgZins,($N$6-1)*480+19),INDEX(TilgZins,($N$6-1)*480+19)+INDEX(TilgTilgung,($N$6-1)*480+19))+INDEX(TilgErsatz,($N$6-1)*480+19))</f>
      </c>
      <c r="G33" s="30">
        <f>IF(INDEX(TilgAktiv,($N$6-1)*480+19)=0,"",INDEX(TilgZins,($N$6-1)*480+19))</f>
      </c>
      <c r="H33" s="30">
        <f>IF(INDEX(TilgAktiv,($N$6-1)*480+19)=0,"",INDEX(TilgTilgung,($N$6-1)*480+19))</f>
      </c>
      <c r="I33" s="30">
        <f>IF(INDEX(TilgAktiv,($N$6-1)*480+19)=0,"",INDEX(TilgSonder,($N$6-1)*480+19))</f>
      </c>
      <c r="J33" s="30">
        <f>IF(INDEX(TilgAktiv,($N$6-1)*480+19)=0,"",INDEX(TilgErsatz,($N$6-1)*480+19))</f>
      </c>
      <c r="K33" s="30">
        <f>IF(INDEX(TilgAktiv,($N$6-1)*480+19)=0,"",INDEX(Tilgung!$Q$4:$Q$9603,($N$6-1)*480+19))</f>
      </c>
      <c r="L33" s="30">
        <f>IF(INDEX(TilgAktiv,($N$6-1)*480+19)=0,"",INDEX(Tilgung!$R$4:$R$9603,($N$6-1)*480+19))</f>
      </c>
    </row>
    <row r="34">
      <c r="A34"/>
      <c r="B34" s="36">
        <f>IF(INDEX(TilgAktiv,($N$6-1)*480+20)=0,"",20)</f>
      </c>
      <c r="C34" s="41">
        <f>IF(INDEX(TilgAktiv,($N$6-1)*480+20)=0,"",INDEX(TilgDatum,($N$6-1)*480+20))</f>
      </c>
      <c r="D34" s="31">
        <f>IF(INDEX(TilgAktiv,($N$6-1)*480+20)=0,"",INDEX(Tilgung!$H$4:$H$9603,($N$6-1)*480+20))</f>
      </c>
      <c r="E34" s="30">
        <f>IF(INDEX(TilgAktiv,($N$6-1)*480+20)=0,"",INDEX(Tilgung!$J$4:$J$9603,($N$6-1)*480+20))</f>
      </c>
      <c r="F34" s="30">
        <f>IF(INDEX(TilgAktiv,($N$6-1)*480+20)=0,"",IF(INDEX(TilgTilgung,($N$6-1)*480+20)=0,INDEX(TilgZins,($N$6-1)*480+20),INDEX(TilgZins,($N$6-1)*480+20)+INDEX(TilgTilgung,($N$6-1)*480+20))+INDEX(TilgErsatz,($N$6-1)*480+20))</f>
      </c>
      <c r="G34" s="30">
        <f>IF(INDEX(TilgAktiv,($N$6-1)*480+20)=0,"",INDEX(TilgZins,($N$6-1)*480+20))</f>
      </c>
      <c r="H34" s="30">
        <f>IF(INDEX(TilgAktiv,($N$6-1)*480+20)=0,"",INDEX(TilgTilgung,($N$6-1)*480+20))</f>
      </c>
      <c r="I34" s="30">
        <f>IF(INDEX(TilgAktiv,($N$6-1)*480+20)=0,"",INDEX(TilgSonder,($N$6-1)*480+20))</f>
      </c>
      <c r="J34" s="30">
        <f>IF(INDEX(TilgAktiv,($N$6-1)*480+20)=0,"",INDEX(TilgErsatz,($N$6-1)*480+20))</f>
      </c>
      <c r="K34" s="30">
        <f>IF(INDEX(TilgAktiv,($N$6-1)*480+20)=0,"",INDEX(Tilgung!$Q$4:$Q$9603,($N$6-1)*480+20))</f>
      </c>
      <c r="L34" s="30">
        <f>IF(INDEX(TilgAktiv,($N$6-1)*480+20)=0,"",INDEX(Tilgung!$R$4:$R$9603,($N$6-1)*480+20))</f>
      </c>
    </row>
    <row r="35">
      <c r="A35"/>
      <c r="B35" s="36">
        <f>IF(INDEX(TilgAktiv,($N$6-1)*480+21)=0,"",21)</f>
      </c>
      <c r="C35" s="41">
        <f>IF(INDEX(TilgAktiv,($N$6-1)*480+21)=0,"",INDEX(TilgDatum,($N$6-1)*480+21))</f>
      </c>
      <c r="D35" s="31">
        <f>IF(INDEX(TilgAktiv,($N$6-1)*480+21)=0,"",INDEX(Tilgung!$H$4:$H$9603,($N$6-1)*480+21))</f>
      </c>
      <c r="E35" s="30">
        <f>IF(INDEX(TilgAktiv,($N$6-1)*480+21)=0,"",INDEX(Tilgung!$J$4:$J$9603,($N$6-1)*480+21))</f>
      </c>
      <c r="F35" s="30">
        <f>IF(INDEX(TilgAktiv,($N$6-1)*480+21)=0,"",IF(INDEX(TilgTilgung,($N$6-1)*480+21)=0,INDEX(TilgZins,($N$6-1)*480+21),INDEX(TilgZins,($N$6-1)*480+21)+INDEX(TilgTilgung,($N$6-1)*480+21))+INDEX(TilgErsatz,($N$6-1)*480+21))</f>
      </c>
      <c r="G35" s="30">
        <f>IF(INDEX(TilgAktiv,($N$6-1)*480+21)=0,"",INDEX(TilgZins,($N$6-1)*480+21))</f>
      </c>
      <c r="H35" s="30">
        <f>IF(INDEX(TilgAktiv,($N$6-1)*480+21)=0,"",INDEX(TilgTilgung,($N$6-1)*480+21))</f>
      </c>
      <c r="I35" s="30">
        <f>IF(INDEX(TilgAktiv,($N$6-1)*480+21)=0,"",INDEX(TilgSonder,($N$6-1)*480+21))</f>
      </c>
      <c r="J35" s="30">
        <f>IF(INDEX(TilgAktiv,($N$6-1)*480+21)=0,"",INDEX(TilgErsatz,($N$6-1)*480+21))</f>
      </c>
      <c r="K35" s="30">
        <f>IF(INDEX(TilgAktiv,($N$6-1)*480+21)=0,"",INDEX(Tilgung!$Q$4:$Q$9603,($N$6-1)*480+21))</f>
      </c>
      <c r="L35" s="30">
        <f>IF(INDEX(TilgAktiv,($N$6-1)*480+21)=0,"",INDEX(Tilgung!$R$4:$R$9603,($N$6-1)*480+21))</f>
      </c>
    </row>
    <row r="36">
      <c r="A36"/>
      <c r="B36" s="36">
        <f>IF(INDEX(TilgAktiv,($N$6-1)*480+22)=0,"",22)</f>
      </c>
      <c r="C36" s="41">
        <f>IF(INDEX(TilgAktiv,($N$6-1)*480+22)=0,"",INDEX(TilgDatum,($N$6-1)*480+22))</f>
      </c>
      <c r="D36" s="31">
        <f>IF(INDEX(TilgAktiv,($N$6-1)*480+22)=0,"",INDEX(Tilgung!$H$4:$H$9603,($N$6-1)*480+22))</f>
      </c>
      <c r="E36" s="30">
        <f>IF(INDEX(TilgAktiv,($N$6-1)*480+22)=0,"",INDEX(Tilgung!$J$4:$J$9603,($N$6-1)*480+22))</f>
      </c>
      <c r="F36" s="30">
        <f>IF(INDEX(TilgAktiv,($N$6-1)*480+22)=0,"",IF(INDEX(TilgTilgung,($N$6-1)*480+22)=0,INDEX(TilgZins,($N$6-1)*480+22),INDEX(TilgZins,($N$6-1)*480+22)+INDEX(TilgTilgung,($N$6-1)*480+22))+INDEX(TilgErsatz,($N$6-1)*480+22))</f>
      </c>
      <c r="G36" s="30">
        <f>IF(INDEX(TilgAktiv,($N$6-1)*480+22)=0,"",INDEX(TilgZins,($N$6-1)*480+22))</f>
      </c>
      <c r="H36" s="30">
        <f>IF(INDEX(TilgAktiv,($N$6-1)*480+22)=0,"",INDEX(TilgTilgung,($N$6-1)*480+22))</f>
      </c>
      <c r="I36" s="30">
        <f>IF(INDEX(TilgAktiv,($N$6-1)*480+22)=0,"",INDEX(TilgSonder,($N$6-1)*480+22))</f>
      </c>
      <c r="J36" s="30">
        <f>IF(INDEX(TilgAktiv,($N$6-1)*480+22)=0,"",INDEX(TilgErsatz,($N$6-1)*480+22))</f>
      </c>
      <c r="K36" s="30">
        <f>IF(INDEX(TilgAktiv,($N$6-1)*480+22)=0,"",INDEX(Tilgung!$Q$4:$Q$9603,($N$6-1)*480+22))</f>
      </c>
      <c r="L36" s="30">
        <f>IF(INDEX(TilgAktiv,($N$6-1)*480+22)=0,"",INDEX(Tilgung!$R$4:$R$9603,($N$6-1)*480+22))</f>
      </c>
    </row>
    <row r="37">
      <c r="A37"/>
      <c r="B37" s="36">
        <f>IF(INDEX(TilgAktiv,($N$6-1)*480+23)=0,"",23)</f>
      </c>
      <c r="C37" s="41">
        <f>IF(INDEX(TilgAktiv,($N$6-1)*480+23)=0,"",INDEX(TilgDatum,($N$6-1)*480+23))</f>
      </c>
      <c r="D37" s="31">
        <f>IF(INDEX(TilgAktiv,($N$6-1)*480+23)=0,"",INDEX(Tilgung!$H$4:$H$9603,($N$6-1)*480+23))</f>
      </c>
      <c r="E37" s="30">
        <f>IF(INDEX(TilgAktiv,($N$6-1)*480+23)=0,"",INDEX(Tilgung!$J$4:$J$9603,($N$6-1)*480+23))</f>
      </c>
      <c r="F37" s="30">
        <f>IF(INDEX(TilgAktiv,($N$6-1)*480+23)=0,"",IF(INDEX(TilgTilgung,($N$6-1)*480+23)=0,INDEX(TilgZins,($N$6-1)*480+23),INDEX(TilgZins,($N$6-1)*480+23)+INDEX(TilgTilgung,($N$6-1)*480+23))+INDEX(TilgErsatz,($N$6-1)*480+23))</f>
      </c>
      <c r="G37" s="30">
        <f>IF(INDEX(TilgAktiv,($N$6-1)*480+23)=0,"",INDEX(TilgZins,($N$6-1)*480+23))</f>
      </c>
      <c r="H37" s="30">
        <f>IF(INDEX(TilgAktiv,($N$6-1)*480+23)=0,"",INDEX(TilgTilgung,($N$6-1)*480+23))</f>
      </c>
      <c r="I37" s="30">
        <f>IF(INDEX(TilgAktiv,($N$6-1)*480+23)=0,"",INDEX(TilgSonder,($N$6-1)*480+23))</f>
      </c>
      <c r="J37" s="30">
        <f>IF(INDEX(TilgAktiv,($N$6-1)*480+23)=0,"",INDEX(TilgErsatz,($N$6-1)*480+23))</f>
      </c>
      <c r="K37" s="30">
        <f>IF(INDEX(TilgAktiv,($N$6-1)*480+23)=0,"",INDEX(Tilgung!$Q$4:$Q$9603,($N$6-1)*480+23))</f>
      </c>
      <c r="L37" s="30">
        <f>IF(INDEX(TilgAktiv,($N$6-1)*480+23)=0,"",INDEX(Tilgung!$R$4:$R$9603,($N$6-1)*480+23))</f>
      </c>
    </row>
    <row r="38">
      <c r="A38"/>
      <c r="B38" s="36">
        <f>IF(INDEX(TilgAktiv,($N$6-1)*480+24)=0,"",24)</f>
      </c>
      <c r="C38" s="41">
        <f>IF(INDEX(TilgAktiv,($N$6-1)*480+24)=0,"",INDEX(TilgDatum,($N$6-1)*480+24))</f>
      </c>
      <c r="D38" s="31">
        <f>IF(INDEX(TilgAktiv,($N$6-1)*480+24)=0,"",INDEX(Tilgung!$H$4:$H$9603,($N$6-1)*480+24))</f>
      </c>
      <c r="E38" s="30">
        <f>IF(INDEX(TilgAktiv,($N$6-1)*480+24)=0,"",INDEX(Tilgung!$J$4:$J$9603,($N$6-1)*480+24))</f>
      </c>
      <c r="F38" s="30">
        <f>IF(INDEX(TilgAktiv,($N$6-1)*480+24)=0,"",IF(INDEX(TilgTilgung,($N$6-1)*480+24)=0,INDEX(TilgZins,($N$6-1)*480+24),INDEX(TilgZins,($N$6-1)*480+24)+INDEX(TilgTilgung,($N$6-1)*480+24))+INDEX(TilgErsatz,($N$6-1)*480+24))</f>
      </c>
      <c r="G38" s="30">
        <f>IF(INDEX(TilgAktiv,($N$6-1)*480+24)=0,"",INDEX(TilgZins,($N$6-1)*480+24))</f>
      </c>
      <c r="H38" s="30">
        <f>IF(INDEX(TilgAktiv,($N$6-1)*480+24)=0,"",INDEX(TilgTilgung,($N$6-1)*480+24))</f>
      </c>
      <c r="I38" s="30">
        <f>IF(INDEX(TilgAktiv,($N$6-1)*480+24)=0,"",INDEX(TilgSonder,($N$6-1)*480+24))</f>
      </c>
      <c r="J38" s="30">
        <f>IF(INDEX(TilgAktiv,($N$6-1)*480+24)=0,"",INDEX(TilgErsatz,($N$6-1)*480+24))</f>
      </c>
      <c r="K38" s="30">
        <f>IF(INDEX(TilgAktiv,($N$6-1)*480+24)=0,"",INDEX(Tilgung!$Q$4:$Q$9603,($N$6-1)*480+24))</f>
      </c>
      <c r="L38" s="30">
        <f>IF(INDEX(TilgAktiv,($N$6-1)*480+24)=0,"",INDEX(Tilgung!$R$4:$R$9603,($N$6-1)*480+24))</f>
      </c>
    </row>
    <row r="39">
      <c r="A39"/>
      <c r="B39" s="36">
        <f>IF(INDEX(TilgAktiv,($N$6-1)*480+25)=0,"",25)</f>
      </c>
      <c r="C39" s="41">
        <f>IF(INDEX(TilgAktiv,($N$6-1)*480+25)=0,"",INDEX(TilgDatum,($N$6-1)*480+25))</f>
      </c>
      <c r="D39" s="31">
        <f>IF(INDEX(TilgAktiv,($N$6-1)*480+25)=0,"",INDEX(Tilgung!$H$4:$H$9603,($N$6-1)*480+25))</f>
      </c>
      <c r="E39" s="30">
        <f>IF(INDEX(TilgAktiv,($N$6-1)*480+25)=0,"",INDEX(Tilgung!$J$4:$J$9603,($N$6-1)*480+25))</f>
      </c>
      <c r="F39" s="30">
        <f>IF(INDEX(TilgAktiv,($N$6-1)*480+25)=0,"",IF(INDEX(TilgTilgung,($N$6-1)*480+25)=0,INDEX(TilgZins,($N$6-1)*480+25),INDEX(TilgZins,($N$6-1)*480+25)+INDEX(TilgTilgung,($N$6-1)*480+25))+INDEX(TilgErsatz,($N$6-1)*480+25))</f>
      </c>
      <c r="G39" s="30">
        <f>IF(INDEX(TilgAktiv,($N$6-1)*480+25)=0,"",INDEX(TilgZins,($N$6-1)*480+25))</f>
      </c>
      <c r="H39" s="30">
        <f>IF(INDEX(TilgAktiv,($N$6-1)*480+25)=0,"",INDEX(TilgTilgung,($N$6-1)*480+25))</f>
      </c>
      <c r="I39" s="30">
        <f>IF(INDEX(TilgAktiv,($N$6-1)*480+25)=0,"",INDEX(TilgSonder,($N$6-1)*480+25))</f>
      </c>
      <c r="J39" s="30">
        <f>IF(INDEX(TilgAktiv,($N$6-1)*480+25)=0,"",INDEX(TilgErsatz,($N$6-1)*480+25))</f>
      </c>
      <c r="K39" s="30">
        <f>IF(INDEX(TilgAktiv,($N$6-1)*480+25)=0,"",INDEX(Tilgung!$Q$4:$Q$9603,($N$6-1)*480+25))</f>
      </c>
      <c r="L39" s="30">
        <f>IF(INDEX(TilgAktiv,($N$6-1)*480+25)=0,"",INDEX(Tilgung!$R$4:$R$9603,($N$6-1)*480+25))</f>
      </c>
    </row>
    <row r="40">
      <c r="A40"/>
      <c r="B40" s="36">
        <f>IF(INDEX(TilgAktiv,($N$6-1)*480+26)=0,"",26)</f>
      </c>
      <c r="C40" s="41">
        <f>IF(INDEX(TilgAktiv,($N$6-1)*480+26)=0,"",INDEX(TilgDatum,($N$6-1)*480+26))</f>
      </c>
      <c r="D40" s="31">
        <f>IF(INDEX(TilgAktiv,($N$6-1)*480+26)=0,"",INDEX(Tilgung!$H$4:$H$9603,($N$6-1)*480+26))</f>
      </c>
      <c r="E40" s="30">
        <f>IF(INDEX(TilgAktiv,($N$6-1)*480+26)=0,"",INDEX(Tilgung!$J$4:$J$9603,($N$6-1)*480+26))</f>
      </c>
      <c r="F40" s="30">
        <f>IF(INDEX(TilgAktiv,($N$6-1)*480+26)=0,"",IF(INDEX(TilgTilgung,($N$6-1)*480+26)=0,INDEX(TilgZins,($N$6-1)*480+26),INDEX(TilgZins,($N$6-1)*480+26)+INDEX(TilgTilgung,($N$6-1)*480+26))+INDEX(TilgErsatz,($N$6-1)*480+26))</f>
      </c>
      <c r="G40" s="30">
        <f>IF(INDEX(TilgAktiv,($N$6-1)*480+26)=0,"",INDEX(TilgZins,($N$6-1)*480+26))</f>
      </c>
      <c r="H40" s="30">
        <f>IF(INDEX(TilgAktiv,($N$6-1)*480+26)=0,"",INDEX(TilgTilgung,($N$6-1)*480+26))</f>
      </c>
      <c r="I40" s="30">
        <f>IF(INDEX(TilgAktiv,($N$6-1)*480+26)=0,"",INDEX(TilgSonder,($N$6-1)*480+26))</f>
      </c>
      <c r="J40" s="30">
        <f>IF(INDEX(TilgAktiv,($N$6-1)*480+26)=0,"",INDEX(TilgErsatz,($N$6-1)*480+26))</f>
      </c>
      <c r="K40" s="30">
        <f>IF(INDEX(TilgAktiv,($N$6-1)*480+26)=0,"",INDEX(Tilgung!$Q$4:$Q$9603,($N$6-1)*480+26))</f>
      </c>
      <c r="L40" s="30">
        <f>IF(INDEX(TilgAktiv,($N$6-1)*480+26)=0,"",INDEX(Tilgung!$R$4:$R$9603,($N$6-1)*480+26))</f>
      </c>
    </row>
    <row r="41">
      <c r="A41"/>
      <c r="B41" s="36">
        <f>IF(INDEX(TilgAktiv,($N$6-1)*480+27)=0,"",27)</f>
      </c>
      <c r="C41" s="41">
        <f>IF(INDEX(TilgAktiv,($N$6-1)*480+27)=0,"",INDEX(TilgDatum,($N$6-1)*480+27))</f>
      </c>
      <c r="D41" s="31">
        <f>IF(INDEX(TilgAktiv,($N$6-1)*480+27)=0,"",INDEX(Tilgung!$H$4:$H$9603,($N$6-1)*480+27))</f>
      </c>
      <c r="E41" s="30">
        <f>IF(INDEX(TilgAktiv,($N$6-1)*480+27)=0,"",INDEX(Tilgung!$J$4:$J$9603,($N$6-1)*480+27))</f>
      </c>
      <c r="F41" s="30">
        <f>IF(INDEX(TilgAktiv,($N$6-1)*480+27)=0,"",IF(INDEX(TilgTilgung,($N$6-1)*480+27)=0,INDEX(TilgZins,($N$6-1)*480+27),INDEX(TilgZins,($N$6-1)*480+27)+INDEX(TilgTilgung,($N$6-1)*480+27))+INDEX(TilgErsatz,($N$6-1)*480+27))</f>
      </c>
      <c r="G41" s="30">
        <f>IF(INDEX(TilgAktiv,($N$6-1)*480+27)=0,"",INDEX(TilgZins,($N$6-1)*480+27))</f>
      </c>
      <c r="H41" s="30">
        <f>IF(INDEX(TilgAktiv,($N$6-1)*480+27)=0,"",INDEX(TilgTilgung,($N$6-1)*480+27))</f>
      </c>
      <c r="I41" s="30">
        <f>IF(INDEX(TilgAktiv,($N$6-1)*480+27)=0,"",INDEX(TilgSonder,($N$6-1)*480+27))</f>
      </c>
      <c r="J41" s="30">
        <f>IF(INDEX(TilgAktiv,($N$6-1)*480+27)=0,"",INDEX(TilgErsatz,($N$6-1)*480+27))</f>
      </c>
      <c r="K41" s="30">
        <f>IF(INDEX(TilgAktiv,($N$6-1)*480+27)=0,"",INDEX(Tilgung!$Q$4:$Q$9603,($N$6-1)*480+27))</f>
      </c>
      <c r="L41" s="30">
        <f>IF(INDEX(TilgAktiv,($N$6-1)*480+27)=0,"",INDEX(Tilgung!$R$4:$R$9603,($N$6-1)*480+27))</f>
      </c>
    </row>
    <row r="42">
      <c r="A42"/>
      <c r="B42" s="36">
        <f>IF(INDEX(TilgAktiv,($N$6-1)*480+28)=0,"",28)</f>
      </c>
      <c r="C42" s="41">
        <f>IF(INDEX(TilgAktiv,($N$6-1)*480+28)=0,"",INDEX(TilgDatum,($N$6-1)*480+28))</f>
      </c>
      <c r="D42" s="31">
        <f>IF(INDEX(TilgAktiv,($N$6-1)*480+28)=0,"",INDEX(Tilgung!$H$4:$H$9603,($N$6-1)*480+28))</f>
      </c>
      <c r="E42" s="30">
        <f>IF(INDEX(TilgAktiv,($N$6-1)*480+28)=0,"",INDEX(Tilgung!$J$4:$J$9603,($N$6-1)*480+28))</f>
      </c>
      <c r="F42" s="30">
        <f>IF(INDEX(TilgAktiv,($N$6-1)*480+28)=0,"",IF(INDEX(TilgTilgung,($N$6-1)*480+28)=0,INDEX(TilgZins,($N$6-1)*480+28),INDEX(TilgZins,($N$6-1)*480+28)+INDEX(TilgTilgung,($N$6-1)*480+28))+INDEX(TilgErsatz,($N$6-1)*480+28))</f>
      </c>
      <c r="G42" s="30">
        <f>IF(INDEX(TilgAktiv,($N$6-1)*480+28)=0,"",INDEX(TilgZins,($N$6-1)*480+28))</f>
      </c>
      <c r="H42" s="30">
        <f>IF(INDEX(TilgAktiv,($N$6-1)*480+28)=0,"",INDEX(TilgTilgung,($N$6-1)*480+28))</f>
      </c>
      <c r="I42" s="30">
        <f>IF(INDEX(TilgAktiv,($N$6-1)*480+28)=0,"",INDEX(TilgSonder,($N$6-1)*480+28))</f>
      </c>
      <c r="J42" s="30">
        <f>IF(INDEX(TilgAktiv,($N$6-1)*480+28)=0,"",INDEX(TilgErsatz,($N$6-1)*480+28))</f>
      </c>
      <c r="K42" s="30">
        <f>IF(INDEX(TilgAktiv,($N$6-1)*480+28)=0,"",INDEX(Tilgung!$Q$4:$Q$9603,($N$6-1)*480+28))</f>
      </c>
      <c r="L42" s="30">
        <f>IF(INDEX(TilgAktiv,($N$6-1)*480+28)=0,"",INDEX(Tilgung!$R$4:$R$9603,($N$6-1)*480+28))</f>
      </c>
    </row>
    <row r="43">
      <c r="A43"/>
      <c r="B43" s="36">
        <f>IF(INDEX(TilgAktiv,($N$6-1)*480+29)=0,"",29)</f>
      </c>
      <c r="C43" s="41">
        <f>IF(INDEX(TilgAktiv,($N$6-1)*480+29)=0,"",INDEX(TilgDatum,($N$6-1)*480+29))</f>
      </c>
      <c r="D43" s="31">
        <f>IF(INDEX(TilgAktiv,($N$6-1)*480+29)=0,"",INDEX(Tilgung!$H$4:$H$9603,($N$6-1)*480+29))</f>
      </c>
      <c r="E43" s="30">
        <f>IF(INDEX(TilgAktiv,($N$6-1)*480+29)=0,"",INDEX(Tilgung!$J$4:$J$9603,($N$6-1)*480+29))</f>
      </c>
      <c r="F43" s="30">
        <f>IF(INDEX(TilgAktiv,($N$6-1)*480+29)=0,"",IF(INDEX(TilgTilgung,($N$6-1)*480+29)=0,INDEX(TilgZins,($N$6-1)*480+29),INDEX(TilgZins,($N$6-1)*480+29)+INDEX(TilgTilgung,($N$6-1)*480+29))+INDEX(TilgErsatz,($N$6-1)*480+29))</f>
      </c>
      <c r="G43" s="30">
        <f>IF(INDEX(TilgAktiv,($N$6-1)*480+29)=0,"",INDEX(TilgZins,($N$6-1)*480+29))</f>
      </c>
      <c r="H43" s="30">
        <f>IF(INDEX(TilgAktiv,($N$6-1)*480+29)=0,"",INDEX(TilgTilgung,($N$6-1)*480+29))</f>
      </c>
      <c r="I43" s="30">
        <f>IF(INDEX(TilgAktiv,($N$6-1)*480+29)=0,"",INDEX(TilgSonder,($N$6-1)*480+29))</f>
      </c>
      <c r="J43" s="30">
        <f>IF(INDEX(TilgAktiv,($N$6-1)*480+29)=0,"",INDEX(TilgErsatz,($N$6-1)*480+29))</f>
      </c>
      <c r="K43" s="30">
        <f>IF(INDEX(TilgAktiv,($N$6-1)*480+29)=0,"",INDEX(Tilgung!$Q$4:$Q$9603,($N$6-1)*480+29))</f>
      </c>
      <c r="L43" s="30">
        <f>IF(INDEX(TilgAktiv,($N$6-1)*480+29)=0,"",INDEX(Tilgung!$R$4:$R$9603,($N$6-1)*480+29))</f>
      </c>
    </row>
    <row r="44">
      <c r="A44"/>
      <c r="B44" s="36">
        <f>IF(INDEX(TilgAktiv,($N$6-1)*480+30)=0,"",30)</f>
      </c>
      <c r="C44" s="41">
        <f>IF(INDEX(TilgAktiv,($N$6-1)*480+30)=0,"",INDEX(TilgDatum,($N$6-1)*480+30))</f>
      </c>
      <c r="D44" s="31">
        <f>IF(INDEX(TilgAktiv,($N$6-1)*480+30)=0,"",INDEX(Tilgung!$H$4:$H$9603,($N$6-1)*480+30))</f>
      </c>
      <c r="E44" s="30">
        <f>IF(INDEX(TilgAktiv,($N$6-1)*480+30)=0,"",INDEX(Tilgung!$J$4:$J$9603,($N$6-1)*480+30))</f>
      </c>
      <c r="F44" s="30">
        <f>IF(INDEX(TilgAktiv,($N$6-1)*480+30)=0,"",IF(INDEX(TilgTilgung,($N$6-1)*480+30)=0,INDEX(TilgZins,($N$6-1)*480+30),INDEX(TilgZins,($N$6-1)*480+30)+INDEX(TilgTilgung,($N$6-1)*480+30))+INDEX(TilgErsatz,($N$6-1)*480+30))</f>
      </c>
      <c r="G44" s="30">
        <f>IF(INDEX(TilgAktiv,($N$6-1)*480+30)=0,"",INDEX(TilgZins,($N$6-1)*480+30))</f>
      </c>
      <c r="H44" s="30">
        <f>IF(INDEX(TilgAktiv,($N$6-1)*480+30)=0,"",INDEX(TilgTilgung,($N$6-1)*480+30))</f>
      </c>
      <c r="I44" s="30">
        <f>IF(INDEX(TilgAktiv,($N$6-1)*480+30)=0,"",INDEX(TilgSonder,($N$6-1)*480+30))</f>
      </c>
      <c r="J44" s="30">
        <f>IF(INDEX(TilgAktiv,($N$6-1)*480+30)=0,"",INDEX(TilgErsatz,($N$6-1)*480+30))</f>
      </c>
      <c r="K44" s="30">
        <f>IF(INDEX(TilgAktiv,($N$6-1)*480+30)=0,"",INDEX(Tilgung!$Q$4:$Q$9603,($N$6-1)*480+30))</f>
      </c>
      <c r="L44" s="30">
        <f>IF(INDEX(TilgAktiv,($N$6-1)*480+30)=0,"",INDEX(Tilgung!$R$4:$R$9603,($N$6-1)*480+30))</f>
      </c>
    </row>
    <row r="45">
      <c r="A45"/>
      <c r="B45" s="36">
        <f>IF(INDEX(TilgAktiv,($N$6-1)*480+31)=0,"",31)</f>
      </c>
      <c r="C45" s="41">
        <f>IF(INDEX(TilgAktiv,($N$6-1)*480+31)=0,"",INDEX(TilgDatum,($N$6-1)*480+31))</f>
      </c>
      <c r="D45" s="31">
        <f>IF(INDEX(TilgAktiv,($N$6-1)*480+31)=0,"",INDEX(Tilgung!$H$4:$H$9603,($N$6-1)*480+31))</f>
      </c>
      <c r="E45" s="30">
        <f>IF(INDEX(TilgAktiv,($N$6-1)*480+31)=0,"",INDEX(Tilgung!$J$4:$J$9603,($N$6-1)*480+31))</f>
      </c>
      <c r="F45" s="30">
        <f>IF(INDEX(TilgAktiv,($N$6-1)*480+31)=0,"",IF(INDEX(TilgTilgung,($N$6-1)*480+31)=0,INDEX(TilgZins,($N$6-1)*480+31),INDEX(TilgZins,($N$6-1)*480+31)+INDEX(TilgTilgung,($N$6-1)*480+31))+INDEX(TilgErsatz,($N$6-1)*480+31))</f>
      </c>
      <c r="G45" s="30">
        <f>IF(INDEX(TilgAktiv,($N$6-1)*480+31)=0,"",INDEX(TilgZins,($N$6-1)*480+31))</f>
      </c>
      <c r="H45" s="30">
        <f>IF(INDEX(TilgAktiv,($N$6-1)*480+31)=0,"",INDEX(TilgTilgung,($N$6-1)*480+31))</f>
      </c>
      <c r="I45" s="30">
        <f>IF(INDEX(TilgAktiv,($N$6-1)*480+31)=0,"",INDEX(TilgSonder,($N$6-1)*480+31))</f>
      </c>
      <c r="J45" s="30">
        <f>IF(INDEX(TilgAktiv,($N$6-1)*480+31)=0,"",INDEX(TilgErsatz,($N$6-1)*480+31))</f>
      </c>
      <c r="K45" s="30">
        <f>IF(INDEX(TilgAktiv,($N$6-1)*480+31)=0,"",INDEX(Tilgung!$Q$4:$Q$9603,($N$6-1)*480+31))</f>
      </c>
      <c r="L45" s="30">
        <f>IF(INDEX(TilgAktiv,($N$6-1)*480+31)=0,"",INDEX(Tilgung!$R$4:$R$9603,($N$6-1)*480+31))</f>
      </c>
    </row>
    <row r="46">
      <c r="A46"/>
      <c r="B46" s="36">
        <f>IF(INDEX(TilgAktiv,($N$6-1)*480+32)=0,"",32)</f>
      </c>
      <c r="C46" s="41">
        <f>IF(INDEX(TilgAktiv,($N$6-1)*480+32)=0,"",INDEX(TilgDatum,($N$6-1)*480+32))</f>
      </c>
      <c r="D46" s="31">
        <f>IF(INDEX(TilgAktiv,($N$6-1)*480+32)=0,"",INDEX(Tilgung!$H$4:$H$9603,($N$6-1)*480+32))</f>
      </c>
      <c r="E46" s="30">
        <f>IF(INDEX(TilgAktiv,($N$6-1)*480+32)=0,"",INDEX(Tilgung!$J$4:$J$9603,($N$6-1)*480+32))</f>
      </c>
      <c r="F46" s="30">
        <f>IF(INDEX(TilgAktiv,($N$6-1)*480+32)=0,"",IF(INDEX(TilgTilgung,($N$6-1)*480+32)=0,INDEX(TilgZins,($N$6-1)*480+32),INDEX(TilgZins,($N$6-1)*480+32)+INDEX(TilgTilgung,($N$6-1)*480+32))+INDEX(TilgErsatz,($N$6-1)*480+32))</f>
      </c>
      <c r="G46" s="30">
        <f>IF(INDEX(TilgAktiv,($N$6-1)*480+32)=0,"",INDEX(TilgZins,($N$6-1)*480+32))</f>
      </c>
      <c r="H46" s="30">
        <f>IF(INDEX(TilgAktiv,($N$6-1)*480+32)=0,"",INDEX(TilgTilgung,($N$6-1)*480+32))</f>
      </c>
      <c r="I46" s="30">
        <f>IF(INDEX(TilgAktiv,($N$6-1)*480+32)=0,"",INDEX(TilgSonder,($N$6-1)*480+32))</f>
      </c>
      <c r="J46" s="30">
        <f>IF(INDEX(TilgAktiv,($N$6-1)*480+32)=0,"",INDEX(TilgErsatz,($N$6-1)*480+32))</f>
      </c>
      <c r="K46" s="30">
        <f>IF(INDEX(TilgAktiv,($N$6-1)*480+32)=0,"",INDEX(Tilgung!$Q$4:$Q$9603,($N$6-1)*480+32))</f>
      </c>
      <c r="L46" s="30">
        <f>IF(INDEX(TilgAktiv,($N$6-1)*480+32)=0,"",INDEX(Tilgung!$R$4:$R$9603,($N$6-1)*480+32))</f>
      </c>
    </row>
    <row r="47">
      <c r="A47"/>
      <c r="B47" s="36">
        <f>IF(INDEX(TilgAktiv,($N$6-1)*480+33)=0,"",33)</f>
      </c>
      <c r="C47" s="41">
        <f>IF(INDEX(TilgAktiv,($N$6-1)*480+33)=0,"",INDEX(TilgDatum,($N$6-1)*480+33))</f>
      </c>
      <c r="D47" s="31">
        <f>IF(INDEX(TilgAktiv,($N$6-1)*480+33)=0,"",INDEX(Tilgung!$H$4:$H$9603,($N$6-1)*480+33))</f>
      </c>
      <c r="E47" s="30">
        <f>IF(INDEX(TilgAktiv,($N$6-1)*480+33)=0,"",INDEX(Tilgung!$J$4:$J$9603,($N$6-1)*480+33))</f>
      </c>
      <c r="F47" s="30">
        <f>IF(INDEX(TilgAktiv,($N$6-1)*480+33)=0,"",IF(INDEX(TilgTilgung,($N$6-1)*480+33)=0,INDEX(TilgZins,($N$6-1)*480+33),INDEX(TilgZins,($N$6-1)*480+33)+INDEX(TilgTilgung,($N$6-1)*480+33))+INDEX(TilgErsatz,($N$6-1)*480+33))</f>
      </c>
      <c r="G47" s="30">
        <f>IF(INDEX(TilgAktiv,($N$6-1)*480+33)=0,"",INDEX(TilgZins,($N$6-1)*480+33))</f>
      </c>
      <c r="H47" s="30">
        <f>IF(INDEX(TilgAktiv,($N$6-1)*480+33)=0,"",INDEX(TilgTilgung,($N$6-1)*480+33))</f>
      </c>
      <c r="I47" s="30">
        <f>IF(INDEX(TilgAktiv,($N$6-1)*480+33)=0,"",INDEX(TilgSonder,($N$6-1)*480+33))</f>
      </c>
      <c r="J47" s="30">
        <f>IF(INDEX(TilgAktiv,($N$6-1)*480+33)=0,"",INDEX(TilgErsatz,($N$6-1)*480+33))</f>
      </c>
      <c r="K47" s="30">
        <f>IF(INDEX(TilgAktiv,($N$6-1)*480+33)=0,"",INDEX(Tilgung!$Q$4:$Q$9603,($N$6-1)*480+33))</f>
      </c>
      <c r="L47" s="30">
        <f>IF(INDEX(TilgAktiv,($N$6-1)*480+33)=0,"",INDEX(Tilgung!$R$4:$R$9603,($N$6-1)*480+33))</f>
      </c>
    </row>
    <row r="48">
      <c r="A48"/>
      <c r="B48" s="36">
        <f>IF(INDEX(TilgAktiv,($N$6-1)*480+34)=0,"",34)</f>
      </c>
      <c r="C48" s="41">
        <f>IF(INDEX(TilgAktiv,($N$6-1)*480+34)=0,"",INDEX(TilgDatum,($N$6-1)*480+34))</f>
      </c>
      <c r="D48" s="31">
        <f>IF(INDEX(TilgAktiv,($N$6-1)*480+34)=0,"",INDEX(Tilgung!$H$4:$H$9603,($N$6-1)*480+34))</f>
      </c>
      <c r="E48" s="30">
        <f>IF(INDEX(TilgAktiv,($N$6-1)*480+34)=0,"",INDEX(Tilgung!$J$4:$J$9603,($N$6-1)*480+34))</f>
      </c>
      <c r="F48" s="30">
        <f>IF(INDEX(TilgAktiv,($N$6-1)*480+34)=0,"",IF(INDEX(TilgTilgung,($N$6-1)*480+34)=0,INDEX(TilgZins,($N$6-1)*480+34),INDEX(TilgZins,($N$6-1)*480+34)+INDEX(TilgTilgung,($N$6-1)*480+34))+INDEX(TilgErsatz,($N$6-1)*480+34))</f>
      </c>
      <c r="G48" s="30">
        <f>IF(INDEX(TilgAktiv,($N$6-1)*480+34)=0,"",INDEX(TilgZins,($N$6-1)*480+34))</f>
      </c>
      <c r="H48" s="30">
        <f>IF(INDEX(TilgAktiv,($N$6-1)*480+34)=0,"",INDEX(TilgTilgung,($N$6-1)*480+34))</f>
      </c>
      <c r="I48" s="30">
        <f>IF(INDEX(TilgAktiv,($N$6-1)*480+34)=0,"",INDEX(TilgSonder,($N$6-1)*480+34))</f>
      </c>
      <c r="J48" s="30">
        <f>IF(INDEX(TilgAktiv,($N$6-1)*480+34)=0,"",INDEX(TilgErsatz,($N$6-1)*480+34))</f>
      </c>
      <c r="K48" s="30">
        <f>IF(INDEX(TilgAktiv,($N$6-1)*480+34)=0,"",INDEX(Tilgung!$Q$4:$Q$9603,($N$6-1)*480+34))</f>
      </c>
      <c r="L48" s="30">
        <f>IF(INDEX(TilgAktiv,($N$6-1)*480+34)=0,"",INDEX(Tilgung!$R$4:$R$9603,($N$6-1)*480+34))</f>
      </c>
    </row>
    <row r="49">
      <c r="A49"/>
      <c r="B49" s="36">
        <f>IF(INDEX(TilgAktiv,($N$6-1)*480+35)=0,"",35)</f>
      </c>
      <c r="C49" s="41">
        <f>IF(INDEX(TilgAktiv,($N$6-1)*480+35)=0,"",INDEX(TilgDatum,($N$6-1)*480+35))</f>
      </c>
      <c r="D49" s="31">
        <f>IF(INDEX(TilgAktiv,($N$6-1)*480+35)=0,"",INDEX(Tilgung!$H$4:$H$9603,($N$6-1)*480+35))</f>
      </c>
      <c r="E49" s="30">
        <f>IF(INDEX(TilgAktiv,($N$6-1)*480+35)=0,"",INDEX(Tilgung!$J$4:$J$9603,($N$6-1)*480+35))</f>
      </c>
      <c r="F49" s="30">
        <f>IF(INDEX(TilgAktiv,($N$6-1)*480+35)=0,"",IF(INDEX(TilgTilgung,($N$6-1)*480+35)=0,INDEX(TilgZins,($N$6-1)*480+35),INDEX(TilgZins,($N$6-1)*480+35)+INDEX(TilgTilgung,($N$6-1)*480+35))+INDEX(TilgErsatz,($N$6-1)*480+35))</f>
      </c>
      <c r="G49" s="30">
        <f>IF(INDEX(TilgAktiv,($N$6-1)*480+35)=0,"",INDEX(TilgZins,($N$6-1)*480+35))</f>
      </c>
      <c r="H49" s="30">
        <f>IF(INDEX(TilgAktiv,($N$6-1)*480+35)=0,"",INDEX(TilgTilgung,($N$6-1)*480+35))</f>
      </c>
      <c r="I49" s="30">
        <f>IF(INDEX(TilgAktiv,($N$6-1)*480+35)=0,"",INDEX(TilgSonder,($N$6-1)*480+35))</f>
      </c>
      <c r="J49" s="30">
        <f>IF(INDEX(TilgAktiv,($N$6-1)*480+35)=0,"",INDEX(TilgErsatz,($N$6-1)*480+35))</f>
      </c>
      <c r="K49" s="30">
        <f>IF(INDEX(TilgAktiv,($N$6-1)*480+35)=0,"",INDEX(Tilgung!$Q$4:$Q$9603,($N$6-1)*480+35))</f>
      </c>
      <c r="L49" s="30">
        <f>IF(INDEX(TilgAktiv,($N$6-1)*480+35)=0,"",INDEX(Tilgung!$R$4:$R$9603,($N$6-1)*480+35))</f>
      </c>
    </row>
    <row r="50">
      <c r="A50"/>
      <c r="B50" s="36">
        <f>IF(INDEX(TilgAktiv,($N$6-1)*480+36)=0,"",36)</f>
      </c>
      <c r="C50" s="41">
        <f>IF(INDEX(TilgAktiv,($N$6-1)*480+36)=0,"",INDEX(TilgDatum,($N$6-1)*480+36))</f>
      </c>
      <c r="D50" s="31">
        <f>IF(INDEX(TilgAktiv,($N$6-1)*480+36)=0,"",INDEX(Tilgung!$H$4:$H$9603,($N$6-1)*480+36))</f>
      </c>
      <c r="E50" s="30">
        <f>IF(INDEX(TilgAktiv,($N$6-1)*480+36)=0,"",INDEX(Tilgung!$J$4:$J$9603,($N$6-1)*480+36))</f>
      </c>
      <c r="F50" s="30">
        <f>IF(INDEX(TilgAktiv,($N$6-1)*480+36)=0,"",IF(INDEX(TilgTilgung,($N$6-1)*480+36)=0,INDEX(TilgZins,($N$6-1)*480+36),INDEX(TilgZins,($N$6-1)*480+36)+INDEX(TilgTilgung,($N$6-1)*480+36))+INDEX(TilgErsatz,($N$6-1)*480+36))</f>
      </c>
      <c r="G50" s="30">
        <f>IF(INDEX(TilgAktiv,($N$6-1)*480+36)=0,"",INDEX(TilgZins,($N$6-1)*480+36))</f>
      </c>
      <c r="H50" s="30">
        <f>IF(INDEX(TilgAktiv,($N$6-1)*480+36)=0,"",INDEX(TilgTilgung,($N$6-1)*480+36))</f>
      </c>
      <c r="I50" s="30">
        <f>IF(INDEX(TilgAktiv,($N$6-1)*480+36)=0,"",INDEX(TilgSonder,($N$6-1)*480+36))</f>
      </c>
      <c r="J50" s="30">
        <f>IF(INDEX(TilgAktiv,($N$6-1)*480+36)=0,"",INDEX(TilgErsatz,($N$6-1)*480+36))</f>
      </c>
      <c r="K50" s="30">
        <f>IF(INDEX(TilgAktiv,($N$6-1)*480+36)=0,"",INDEX(Tilgung!$Q$4:$Q$9603,($N$6-1)*480+36))</f>
      </c>
      <c r="L50" s="30">
        <f>IF(INDEX(TilgAktiv,($N$6-1)*480+36)=0,"",INDEX(Tilgung!$R$4:$R$9603,($N$6-1)*480+36))</f>
      </c>
    </row>
    <row r="51">
      <c r="A51"/>
      <c r="B51" s="36">
        <f>IF(INDEX(TilgAktiv,($N$6-1)*480+37)=0,"",37)</f>
      </c>
      <c r="C51" s="41">
        <f>IF(INDEX(TilgAktiv,($N$6-1)*480+37)=0,"",INDEX(TilgDatum,($N$6-1)*480+37))</f>
      </c>
      <c r="D51" s="31">
        <f>IF(INDEX(TilgAktiv,($N$6-1)*480+37)=0,"",INDEX(Tilgung!$H$4:$H$9603,($N$6-1)*480+37))</f>
      </c>
      <c r="E51" s="30">
        <f>IF(INDEX(TilgAktiv,($N$6-1)*480+37)=0,"",INDEX(Tilgung!$J$4:$J$9603,($N$6-1)*480+37))</f>
      </c>
      <c r="F51" s="30">
        <f>IF(INDEX(TilgAktiv,($N$6-1)*480+37)=0,"",IF(INDEX(TilgTilgung,($N$6-1)*480+37)=0,INDEX(TilgZins,($N$6-1)*480+37),INDEX(TilgZins,($N$6-1)*480+37)+INDEX(TilgTilgung,($N$6-1)*480+37))+INDEX(TilgErsatz,($N$6-1)*480+37))</f>
      </c>
      <c r="G51" s="30">
        <f>IF(INDEX(TilgAktiv,($N$6-1)*480+37)=0,"",INDEX(TilgZins,($N$6-1)*480+37))</f>
      </c>
      <c r="H51" s="30">
        <f>IF(INDEX(TilgAktiv,($N$6-1)*480+37)=0,"",INDEX(TilgTilgung,($N$6-1)*480+37))</f>
      </c>
      <c r="I51" s="30">
        <f>IF(INDEX(TilgAktiv,($N$6-1)*480+37)=0,"",INDEX(TilgSonder,($N$6-1)*480+37))</f>
      </c>
      <c r="J51" s="30">
        <f>IF(INDEX(TilgAktiv,($N$6-1)*480+37)=0,"",INDEX(TilgErsatz,($N$6-1)*480+37))</f>
      </c>
      <c r="K51" s="30">
        <f>IF(INDEX(TilgAktiv,($N$6-1)*480+37)=0,"",INDEX(Tilgung!$Q$4:$Q$9603,($N$6-1)*480+37))</f>
      </c>
      <c r="L51" s="30">
        <f>IF(INDEX(TilgAktiv,($N$6-1)*480+37)=0,"",INDEX(Tilgung!$R$4:$R$9603,($N$6-1)*480+37))</f>
      </c>
    </row>
    <row r="52">
      <c r="A52"/>
      <c r="B52" s="36">
        <f>IF(INDEX(TilgAktiv,($N$6-1)*480+38)=0,"",38)</f>
      </c>
      <c r="C52" s="41">
        <f>IF(INDEX(TilgAktiv,($N$6-1)*480+38)=0,"",INDEX(TilgDatum,($N$6-1)*480+38))</f>
      </c>
      <c r="D52" s="31">
        <f>IF(INDEX(TilgAktiv,($N$6-1)*480+38)=0,"",INDEX(Tilgung!$H$4:$H$9603,($N$6-1)*480+38))</f>
      </c>
      <c r="E52" s="30">
        <f>IF(INDEX(TilgAktiv,($N$6-1)*480+38)=0,"",INDEX(Tilgung!$J$4:$J$9603,($N$6-1)*480+38))</f>
      </c>
      <c r="F52" s="30">
        <f>IF(INDEX(TilgAktiv,($N$6-1)*480+38)=0,"",IF(INDEX(TilgTilgung,($N$6-1)*480+38)=0,INDEX(TilgZins,($N$6-1)*480+38),INDEX(TilgZins,($N$6-1)*480+38)+INDEX(TilgTilgung,($N$6-1)*480+38))+INDEX(TilgErsatz,($N$6-1)*480+38))</f>
      </c>
      <c r="G52" s="30">
        <f>IF(INDEX(TilgAktiv,($N$6-1)*480+38)=0,"",INDEX(TilgZins,($N$6-1)*480+38))</f>
      </c>
      <c r="H52" s="30">
        <f>IF(INDEX(TilgAktiv,($N$6-1)*480+38)=0,"",INDEX(TilgTilgung,($N$6-1)*480+38))</f>
      </c>
      <c r="I52" s="30">
        <f>IF(INDEX(TilgAktiv,($N$6-1)*480+38)=0,"",INDEX(TilgSonder,($N$6-1)*480+38))</f>
      </c>
      <c r="J52" s="30">
        <f>IF(INDEX(TilgAktiv,($N$6-1)*480+38)=0,"",INDEX(TilgErsatz,($N$6-1)*480+38))</f>
      </c>
      <c r="K52" s="30">
        <f>IF(INDEX(TilgAktiv,($N$6-1)*480+38)=0,"",INDEX(Tilgung!$Q$4:$Q$9603,($N$6-1)*480+38))</f>
      </c>
      <c r="L52" s="30">
        <f>IF(INDEX(TilgAktiv,($N$6-1)*480+38)=0,"",INDEX(Tilgung!$R$4:$R$9603,($N$6-1)*480+38))</f>
      </c>
    </row>
    <row r="53">
      <c r="A53"/>
      <c r="B53" s="36">
        <f>IF(INDEX(TilgAktiv,($N$6-1)*480+39)=0,"",39)</f>
      </c>
      <c r="C53" s="41">
        <f>IF(INDEX(TilgAktiv,($N$6-1)*480+39)=0,"",INDEX(TilgDatum,($N$6-1)*480+39))</f>
      </c>
      <c r="D53" s="31">
        <f>IF(INDEX(TilgAktiv,($N$6-1)*480+39)=0,"",INDEX(Tilgung!$H$4:$H$9603,($N$6-1)*480+39))</f>
      </c>
      <c r="E53" s="30">
        <f>IF(INDEX(TilgAktiv,($N$6-1)*480+39)=0,"",INDEX(Tilgung!$J$4:$J$9603,($N$6-1)*480+39))</f>
      </c>
      <c r="F53" s="30">
        <f>IF(INDEX(TilgAktiv,($N$6-1)*480+39)=0,"",IF(INDEX(TilgTilgung,($N$6-1)*480+39)=0,INDEX(TilgZins,($N$6-1)*480+39),INDEX(TilgZins,($N$6-1)*480+39)+INDEX(TilgTilgung,($N$6-1)*480+39))+INDEX(TilgErsatz,($N$6-1)*480+39))</f>
      </c>
      <c r="G53" s="30">
        <f>IF(INDEX(TilgAktiv,($N$6-1)*480+39)=0,"",INDEX(TilgZins,($N$6-1)*480+39))</f>
      </c>
      <c r="H53" s="30">
        <f>IF(INDEX(TilgAktiv,($N$6-1)*480+39)=0,"",INDEX(TilgTilgung,($N$6-1)*480+39))</f>
      </c>
      <c r="I53" s="30">
        <f>IF(INDEX(TilgAktiv,($N$6-1)*480+39)=0,"",INDEX(TilgSonder,($N$6-1)*480+39))</f>
      </c>
      <c r="J53" s="30">
        <f>IF(INDEX(TilgAktiv,($N$6-1)*480+39)=0,"",INDEX(TilgErsatz,($N$6-1)*480+39))</f>
      </c>
      <c r="K53" s="30">
        <f>IF(INDEX(TilgAktiv,($N$6-1)*480+39)=0,"",INDEX(Tilgung!$Q$4:$Q$9603,($N$6-1)*480+39))</f>
      </c>
      <c r="L53" s="30">
        <f>IF(INDEX(TilgAktiv,($N$6-1)*480+39)=0,"",INDEX(Tilgung!$R$4:$R$9603,($N$6-1)*480+39))</f>
      </c>
    </row>
    <row r="54">
      <c r="A54"/>
      <c r="B54" s="36">
        <f>IF(INDEX(TilgAktiv,($N$6-1)*480+40)=0,"",40)</f>
      </c>
      <c r="C54" s="41">
        <f>IF(INDEX(TilgAktiv,($N$6-1)*480+40)=0,"",INDEX(TilgDatum,($N$6-1)*480+40))</f>
      </c>
      <c r="D54" s="31">
        <f>IF(INDEX(TilgAktiv,($N$6-1)*480+40)=0,"",INDEX(Tilgung!$H$4:$H$9603,($N$6-1)*480+40))</f>
      </c>
      <c r="E54" s="30">
        <f>IF(INDEX(TilgAktiv,($N$6-1)*480+40)=0,"",INDEX(Tilgung!$J$4:$J$9603,($N$6-1)*480+40))</f>
      </c>
      <c r="F54" s="30">
        <f>IF(INDEX(TilgAktiv,($N$6-1)*480+40)=0,"",IF(INDEX(TilgTilgung,($N$6-1)*480+40)=0,INDEX(TilgZins,($N$6-1)*480+40),INDEX(TilgZins,($N$6-1)*480+40)+INDEX(TilgTilgung,($N$6-1)*480+40))+INDEX(TilgErsatz,($N$6-1)*480+40))</f>
      </c>
      <c r="G54" s="30">
        <f>IF(INDEX(TilgAktiv,($N$6-1)*480+40)=0,"",INDEX(TilgZins,($N$6-1)*480+40))</f>
      </c>
      <c r="H54" s="30">
        <f>IF(INDEX(TilgAktiv,($N$6-1)*480+40)=0,"",INDEX(TilgTilgung,($N$6-1)*480+40))</f>
      </c>
      <c r="I54" s="30">
        <f>IF(INDEX(TilgAktiv,($N$6-1)*480+40)=0,"",INDEX(TilgSonder,($N$6-1)*480+40))</f>
      </c>
      <c r="J54" s="30">
        <f>IF(INDEX(TilgAktiv,($N$6-1)*480+40)=0,"",INDEX(TilgErsatz,($N$6-1)*480+40))</f>
      </c>
      <c r="K54" s="30">
        <f>IF(INDEX(TilgAktiv,($N$6-1)*480+40)=0,"",INDEX(Tilgung!$Q$4:$Q$9603,($N$6-1)*480+40))</f>
      </c>
      <c r="L54" s="30">
        <f>IF(INDEX(TilgAktiv,($N$6-1)*480+40)=0,"",INDEX(Tilgung!$R$4:$R$9603,($N$6-1)*480+40))</f>
      </c>
    </row>
    <row r="55">
      <c r="A55"/>
      <c r="B55" s="36">
        <f>IF(INDEX(TilgAktiv,($N$6-1)*480+41)=0,"",41)</f>
      </c>
      <c r="C55" s="41">
        <f>IF(INDEX(TilgAktiv,($N$6-1)*480+41)=0,"",INDEX(TilgDatum,($N$6-1)*480+41))</f>
      </c>
      <c r="D55" s="31">
        <f>IF(INDEX(TilgAktiv,($N$6-1)*480+41)=0,"",INDEX(Tilgung!$H$4:$H$9603,($N$6-1)*480+41))</f>
      </c>
      <c r="E55" s="30">
        <f>IF(INDEX(TilgAktiv,($N$6-1)*480+41)=0,"",INDEX(Tilgung!$J$4:$J$9603,($N$6-1)*480+41))</f>
      </c>
      <c r="F55" s="30">
        <f>IF(INDEX(TilgAktiv,($N$6-1)*480+41)=0,"",IF(INDEX(TilgTilgung,($N$6-1)*480+41)=0,INDEX(TilgZins,($N$6-1)*480+41),INDEX(TilgZins,($N$6-1)*480+41)+INDEX(TilgTilgung,($N$6-1)*480+41))+INDEX(TilgErsatz,($N$6-1)*480+41))</f>
      </c>
      <c r="G55" s="30">
        <f>IF(INDEX(TilgAktiv,($N$6-1)*480+41)=0,"",INDEX(TilgZins,($N$6-1)*480+41))</f>
      </c>
      <c r="H55" s="30">
        <f>IF(INDEX(TilgAktiv,($N$6-1)*480+41)=0,"",INDEX(TilgTilgung,($N$6-1)*480+41))</f>
      </c>
      <c r="I55" s="30">
        <f>IF(INDEX(TilgAktiv,($N$6-1)*480+41)=0,"",INDEX(TilgSonder,($N$6-1)*480+41))</f>
      </c>
      <c r="J55" s="30">
        <f>IF(INDEX(TilgAktiv,($N$6-1)*480+41)=0,"",INDEX(TilgErsatz,($N$6-1)*480+41))</f>
      </c>
      <c r="K55" s="30">
        <f>IF(INDEX(TilgAktiv,($N$6-1)*480+41)=0,"",INDEX(Tilgung!$Q$4:$Q$9603,($N$6-1)*480+41))</f>
      </c>
      <c r="L55" s="30">
        <f>IF(INDEX(TilgAktiv,($N$6-1)*480+41)=0,"",INDEX(Tilgung!$R$4:$R$9603,($N$6-1)*480+41))</f>
      </c>
    </row>
    <row r="56">
      <c r="A56"/>
      <c r="B56" s="36">
        <f>IF(INDEX(TilgAktiv,($N$6-1)*480+42)=0,"",42)</f>
      </c>
      <c r="C56" s="41">
        <f>IF(INDEX(TilgAktiv,($N$6-1)*480+42)=0,"",INDEX(TilgDatum,($N$6-1)*480+42))</f>
      </c>
      <c r="D56" s="31">
        <f>IF(INDEX(TilgAktiv,($N$6-1)*480+42)=0,"",INDEX(Tilgung!$H$4:$H$9603,($N$6-1)*480+42))</f>
      </c>
      <c r="E56" s="30">
        <f>IF(INDEX(TilgAktiv,($N$6-1)*480+42)=0,"",INDEX(Tilgung!$J$4:$J$9603,($N$6-1)*480+42))</f>
      </c>
      <c r="F56" s="30">
        <f>IF(INDEX(TilgAktiv,($N$6-1)*480+42)=0,"",IF(INDEX(TilgTilgung,($N$6-1)*480+42)=0,INDEX(TilgZins,($N$6-1)*480+42),INDEX(TilgZins,($N$6-1)*480+42)+INDEX(TilgTilgung,($N$6-1)*480+42))+INDEX(TilgErsatz,($N$6-1)*480+42))</f>
      </c>
      <c r="G56" s="30">
        <f>IF(INDEX(TilgAktiv,($N$6-1)*480+42)=0,"",INDEX(TilgZins,($N$6-1)*480+42))</f>
      </c>
      <c r="H56" s="30">
        <f>IF(INDEX(TilgAktiv,($N$6-1)*480+42)=0,"",INDEX(TilgTilgung,($N$6-1)*480+42))</f>
      </c>
      <c r="I56" s="30">
        <f>IF(INDEX(TilgAktiv,($N$6-1)*480+42)=0,"",INDEX(TilgSonder,($N$6-1)*480+42))</f>
      </c>
      <c r="J56" s="30">
        <f>IF(INDEX(TilgAktiv,($N$6-1)*480+42)=0,"",INDEX(TilgErsatz,($N$6-1)*480+42))</f>
      </c>
      <c r="K56" s="30">
        <f>IF(INDEX(TilgAktiv,($N$6-1)*480+42)=0,"",INDEX(Tilgung!$Q$4:$Q$9603,($N$6-1)*480+42))</f>
      </c>
      <c r="L56" s="30">
        <f>IF(INDEX(TilgAktiv,($N$6-1)*480+42)=0,"",INDEX(Tilgung!$R$4:$R$9603,($N$6-1)*480+42))</f>
      </c>
    </row>
    <row r="57">
      <c r="A57"/>
      <c r="B57" s="36">
        <f>IF(INDEX(TilgAktiv,($N$6-1)*480+43)=0,"",43)</f>
      </c>
      <c r="C57" s="41">
        <f>IF(INDEX(TilgAktiv,($N$6-1)*480+43)=0,"",INDEX(TilgDatum,($N$6-1)*480+43))</f>
      </c>
      <c r="D57" s="31">
        <f>IF(INDEX(TilgAktiv,($N$6-1)*480+43)=0,"",INDEX(Tilgung!$H$4:$H$9603,($N$6-1)*480+43))</f>
      </c>
      <c r="E57" s="30">
        <f>IF(INDEX(TilgAktiv,($N$6-1)*480+43)=0,"",INDEX(Tilgung!$J$4:$J$9603,($N$6-1)*480+43))</f>
      </c>
      <c r="F57" s="30">
        <f>IF(INDEX(TilgAktiv,($N$6-1)*480+43)=0,"",IF(INDEX(TilgTilgung,($N$6-1)*480+43)=0,INDEX(TilgZins,($N$6-1)*480+43),INDEX(TilgZins,($N$6-1)*480+43)+INDEX(TilgTilgung,($N$6-1)*480+43))+INDEX(TilgErsatz,($N$6-1)*480+43))</f>
      </c>
      <c r="G57" s="30">
        <f>IF(INDEX(TilgAktiv,($N$6-1)*480+43)=0,"",INDEX(TilgZins,($N$6-1)*480+43))</f>
      </c>
      <c r="H57" s="30">
        <f>IF(INDEX(TilgAktiv,($N$6-1)*480+43)=0,"",INDEX(TilgTilgung,($N$6-1)*480+43))</f>
      </c>
      <c r="I57" s="30">
        <f>IF(INDEX(TilgAktiv,($N$6-1)*480+43)=0,"",INDEX(TilgSonder,($N$6-1)*480+43))</f>
      </c>
      <c r="J57" s="30">
        <f>IF(INDEX(TilgAktiv,($N$6-1)*480+43)=0,"",INDEX(TilgErsatz,($N$6-1)*480+43))</f>
      </c>
      <c r="K57" s="30">
        <f>IF(INDEX(TilgAktiv,($N$6-1)*480+43)=0,"",INDEX(Tilgung!$Q$4:$Q$9603,($N$6-1)*480+43))</f>
      </c>
      <c r="L57" s="30">
        <f>IF(INDEX(TilgAktiv,($N$6-1)*480+43)=0,"",INDEX(Tilgung!$R$4:$R$9603,($N$6-1)*480+43))</f>
      </c>
    </row>
    <row r="58">
      <c r="A58"/>
      <c r="B58" s="36">
        <f>IF(INDEX(TilgAktiv,($N$6-1)*480+44)=0,"",44)</f>
      </c>
      <c r="C58" s="41">
        <f>IF(INDEX(TilgAktiv,($N$6-1)*480+44)=0,"",INDEX(TilgDatum,($N$6-1)*480+44))</f>
      </c>
      <c r="D58" s="31">
        <f>IF(INDEX(TilgAktiv,($N$6-1)*480+44)=0,"",INDEX(Tilgung!$H$4:$H$9603,($N$6-1)*480+44))</f>
      </c>
      <c r="E58" s="30">
        <f>IF(INDEX(TilgAktiv,($N$6-1)*480+44)=0,"",INDEX(Tilgung!$J$4:$J$9603,($N$6-1)*480+44))</f>
      </c>
      <c r="F58" s="30">
        <f>IF(INDEX(TilgAktiv,($N$6-1)*480+44)=0,"",IF(INDEX(TilgTilgung,($N$6-1)*480+44)=0,INDEX(TilgZins,($N$6-1)*480+44),INDEX(TilgZins,($N$6-1)*480+44)+INDEX(TilgTilgung,($N$6-1)*480+44))+INDEX(TilgErsatz,($N$6-1)*480+44))</f>
      </c>
      <c r="G58" s="30">
        <f>IF(INDEX(TilgAktiv,($N$6-1)*480+44)=0,"",INDEX(TilgZins,($N$6-1)*480+44))</f>
      </c>
      <c r="H58" s="30">
        <f>IF(INDEX(TilgAktiv,($N$6-1)*480+44)=0,"",INDEX(TilgTilgung,($N$6-1)*480+44))</f>
      </c>
      <c r="I58" s="30">
        <f>IF(INDEX(TilgAktiv,($N$6-1)*480+44)=0,"",INDEX(TilgSonder,($N$6-1)*480+44))</f>
      </c>
      <c r="J58" s="30">
        <f>IF(INDEX(TilgAktiv,($N$6-1)*480+44)=0,"",INDEX(TilgErsatz,($N$6-1)*480+44))</f>
      </c>
      <c r="K58" s="30">
        <f>IF(INDEX(TilgAktiv,($N$6-1)*480+44)=0,"",INDEX(Tilgung!$Q$4:$Q$9603,($N$6-1)*480+44))</f>
      </c>
      <c r="L58" s="30">
        <f>IF(INDEX(TilgAktiv,($N$6-1)*480+44)=0,"",INDEX(Tilgung!$R$4:$R$9603,($N$6-1)*480+44))</f>
      </c>
    </row>
    <row r="59">
      <c r="A59"/>
      <c r="B59" s="36">
        <f>IF(INDEX(TilgAktiv,($N$6-1)*480+45)=0,"",45)</f>
      </c>
      <c r="C59" s="41">
        <f>IF(INDEX(TilgAktiv,($N$6-1)*480+45)=0,"",INDEX(TilgDatum,($N$6-1)*480+45))</f>
      </c>
      <c r="D59" s="31">
        <f>IF(INDEX(TilgAktiv,($N$6-1)*480+45)=0,"",INDEX(Tilgung!$H$4:$H$9603,($N$6-1)*480+45))</f>
      </c>
      <c r="E59" s="30">
        <f>IF(INDEX(TilgAktiv,($N$6-1)*480+45)=0,"",INDEX(Tilgung!$J$4:$J$9603,($N$6-1)*480+45))</f>
      </c>
      <c r="F59" s="30">
        <f>IF(INDEX(TilgAktiv,($N$6-1)*480+45)=0,"",IF(INDEX(TilgTilgung,($N$6-1)*480+45)=0,INDEX(TilgZins,($N$6-1)*480+45),INDEX(TilgZins,($N$6-1)*480+45)+INDEX(TilgTilgung,($N$6-1)*480+45))+INDEX(TilgErsatz,($N$6-1)*480+45))</f>
      </c>
      <c r="G59" s="30">
        <f>IF(INDEX(TilgAktiv,($N$6-1)*480+45)=0,"",INDEX(TilgZins,($N$6-1)*480+45))</f>
      </c>
      <c r="H59" s="30">
        <f>IF(INDEX(TilgAktiv,($N$6-1)*480+45)=0,"",INDEX(TilgTilgung,($N$6-1)*480+45))</f>
      </c>
      <c r="I59" s="30">
        <f>IF(INDEX(TilgAktiv,($N$6-1)*480+45)=0,"",INDEX(TilgSonder,($N$6-1)*480+45))</f>
      </c>
      <c r="J59" s="30">
        <f>IF(INDEX(TilgAktiv,($N$6-1)*480+45)=0,"",INDEX(TilgErsatz,($N$6-1)*480+45))</f>
      </c>
      <c r="K59" s="30">
        <f>IF(INDEX(TilgAktiv,($N$6-1)*480+45)=0,"",INDEX(Tilgung!$Q$4:$Q$9603,($N$6-1)*480+45))</f>
      </c>
      <c r="L59" s="30">
        <f>IF(INDEX(TilgAktiv,($N$6-1)*480+45)=0,"",INDEX(Tilgung!$R$4:$R$9603,($N$6-1)*480+45))</f>
      </c>
    </row>
    <row r="60">
      <c r="A60"/>
      <c r="B60" s="36">
        <f>IF(INDEX(TilgAktiv,($N$6-1)*480+46)=0,"",46)</f>
      </c>
      <c r="C60" s="41">
        <f>IF(INDEX(TilgAktiv,($N$6-1)*480+46)=0,"",INDEX(TilgDatum,($N$6-1)*480+46))</f>
      </c>
      <c r="D60" s="31">
        <f>IF(INDEX(TilgAktiv,($N$6-1)*480+46)=0,"",INDEX(Tilgung!$H$4:$H$9603,($N$6-1)*480+46))</f>
      </c>
      <c r="E60" s="30">
        <f>IF(INDEX(TilgAktiv,($N$6-1)*480+46)=0,"",INDEX(Tilgung!$J$4:$J$9603,($N$6-1)*480+46))</f>
      </c>
      <c r="F60" s="30">
        <f>IF(INDEX(TilgAktiv,($N$6-1)*480+46)=0,"",IF(INDEX(TilgTilgung,($N$6-1)*480+46)=0,INDEX(TilgZins,($N$6-1)*480+46),INDEX(TilgZins,($N$6-1)*480+46)+INDEX(TilgTilgung,($N$6-1)*480+46))+INDEX(TilgErsatz,($N$6-1)*480+46))</f>
      </c>
      <c r="G60" s="30">
        <f>IF(INDEX(TilgAktiv,($N$6-1)*480+46)=0,"",INDEX(TilgZins,($N$6-1)*480+46))</f>
      </c>
      <c r="H60" s="30">
        <f>IF(INDEX(TilgAktiv,($N$6-1)*480+46)=0,"",INDEX(TilgTilgung,($N$6-1)*480+46))</f>
      </c>
      <c r="I60" s="30">
        <f>IF(INDEX(TilgAktiv,($N$6-1)*480+46)=0,"",INDEX(TilgSonder,($N$6-1)*480+46))</f>
      </c>
      <c r="J60" s="30">
        <f>IF(INDEX(TilgAktiv,($N$6-1)*480+46)=0,"",INDEX(TilgErsatz,($N$6-1)*480+46))</f>
      </c>
      <c r="K60" s="30">
        <f>IF(INDEX(TilgAktiv,($N$6-1)*480+46)=0,"",INDEX(Tilgung!$Q$4:$Q$9603,($N$6-1)*480+46))</f>
      </c>
      <c r="L60" s="30">
        <f>IF(INDEX(TilgAktiv,($N$6-1)*480+46)=0,"",INDEX(Tilgung!$R$4:$R$9603,($N$6-1)*480+46))</f>
      </c>
    </row>
    <row r="61">
      <c r="A61"/>
      <c r="B61" s="36">
        <f>IF(INDEX(TilgAktiv,($N$6-1)*480+47)=0,"",47)</f>
      </c>
      <c r="C61" s="41">
        <f>IF(INDEX(TilgAktiv,($N$6-1)*480+47)=0,"",INDEX(TilgDatum,($N$6-1)*480+47))</f>
      </c>
      <c r="D61" s="31">
        <f>IF(INDEX(TilgAktiv,($N$6-1)*480+47)=0,"",INDEX(Tilgung!$H$4:$H$9603,($N$6-1)*480+47))</f>
      </c>
      <c r="E61" s="30">
        <f>IF(INDEX(TilgAktiv,($N$6-1)*480+47)=0,"",INDEX(Tilgung!$J$4:$J$9603,($N$6-1)*480+47))</f>
      </c>
      <c r="F61" s="30">
        <f>IF(INDEX(TilgAktiv,($N$6-1)*480+47)=0,"",IF(INDEX(TilgTilgung,($N$6-1)*480+47)=0,INDEX(TilgZins,($N$6-1)*480+47),INDEX(TilgZins,($N$6-1)*480+47)+INDEX(TilgTilgung,($N$6-1)*480+47))+INDEX(TilgErsatz,($N$6-1)*480+47))</f>
      </c>
      <c r="G61" s="30">
        <f>IF(INDEX(TilgAktiv,($N$6-1)*480+47)=0,"",INDEX(TilgZins,($N$6-1)*480+47))</f>
      </c>
      <c r="H61" s="30">
        <f>IF(INDEX(TilgAktiv,($N$6-1)*480+47)=0,"",INDEX(TilgTilgung,($N$6-1)*480+47))</f>
      </c>
      <c r="I61" s="30">
        <f>IF(INDEX(TilgAktiv,($N$6-1)*480+47)=0,"",INDEX(TilgSonder,($N$6-1)*480+47))</f>
      </c>
      <c r="J61" s="30">
        <f>IF(INDEX(TilgAktiv,($N$6-1)*480+47)=0,"",INDEX(TilgErsatz,($N$6-1)*480+47))</f>
      </c>
      <c r="K61" s="30">
        <f>IF(INDEX(TilgAktiv,($N$6-1)*480+47)=0,"",INDEX(Tilgung!$Q$4:$Q$9603,($N$6-1)*480+47))</f>
      </c>
      <c r="L61" s="30">
        <f>IF(INDEX(TilgAktiv,($N$6-1)*480+47)=0,"",INDEX(Tilgung!$R$4:$R$9603,($N$6-1)*480+47))</f>
      </c>
    </row>
    <row r="62">
      <c r="A62"/>
      <c r="B62" s="36">
        <f>IF(INDEX(TilgAktiv,($N$6-1)*480+48)=0,"",48)</f>
      </c>
      <c r="C62" s="41">
        <f>IF(INDEX(TilgAktiv,($N$6-1)*480+48)=0,"",INDEX(TilgDatum,($N$6-1)*480+48))</f>
      </c>
      <c r="D62" s="31">
        <f>IF(INDEX(TilgAktiv,($N$6-1)*480+48)=0,"",INDEX(Tilgung!$H$4:$H$9603,($N$6-1)*480+48))</f>
      </c>
      <c r="E62" s="30">
        <f>IF(INDEX(TilgAktiv,($N$6-1)*480+48)=0,"",INDEX(Tilgung!$J$4:$J$9603,($N$6-1)*480+48))</f>
      </c>
      <c r="F62" s="30">
        <f>IF(INDEX(TilgAktiv,($N$6-1)*480+48)=0,"",IF(INDEX(TilgTilgung,($N$6-1)*480+48)=0,INDEX(TilgZins,($N$6-1)*480+48),INDEX(TilgZins,($N$6-1)*480+48)+INDEX(TilgTilgung,($N$6-1)*480+48))+INDEX(TilgErsatz,($N$6-1)*480+48))</f>
      </c>
      <c r="G62" s="30">
        <f>IF(INDEX(TilgAktiv,($N$6-1)*480+48)=0,"",INDEX(TilgZins,($N$6-1)*480+48))</f>
      </c>
      <c r="H62" s="30">
        <f>IF(INDEX(TilgAktiv,($N$6-1)*480+48)=0,"",INDEX(TilgTilgung,($N$6-1)*480+48))</f>
      </c>
      <c r="I62" s="30">
        <f>IF(INDEX(TilgAktiv,($N$6-1)*480+48)=0,"",INDEX(TilgSonder,($N$6-1)*480+48))</f>
      </c>
      <c r="J62" s="30">
        <f>IF(INDEX(TilgAktiv,($N$6-1)*480+48)=0,"",INDEX(TilgErsatz,($N$6-1)*480+48))</f>
      </c>
      <c r="K62" s="30">
        <f>IF(INDEX(TilgAktiv,($N$6-1)*480+48)=0,"",INDEX(Tilgung!$Q$4:$Q$9603,($N$6-1)*480+48))</f>
      </c>
      <c r="L62" s="30">
        <f>IF(INDEX(TilgAktiv,($N$6-1)*480+48)=0,"",INDEX(Tilgung!$R$4:$R$9603,($N$6-1)*480+48))</f>
      </c>
    </row>
    <row r="63">
      <c r="A63"/>
      <c r="B63" s="36">
        <f>IF(INDEX(TilgAktiv,($N$6-1)*480+49)=0,"",49)</f>
      </c>
      <c r="C63" s="41">
        <f>IF(INDEX(TilgAktiv,($N$6-1)*480+49)=0,"",INDEX(TilgDatum,($N$6-1)*480+49))</f>
      </c>
      <c r="D63" s="31">
        <f>IF(INDEX(TilgAktiv,($N$6-1)*480+49)=0,"",INDEX(Tilgung!$H$4:$H$9603,($N$6-1)*480+49))</f>
      </c>
      <c r="E63" s="30">
        <f>IF(INDEX(TilgAktiv,($N$6-1)*480+49)=0,"",INDEX(Tilgung!$J$4:$J$9603,($N$6-1)*480+49))</f>
      </c>
      <c r="F63" s="30">
        <f>IF(INDEX(TilgAktiv,($N$6-1)*480+49)=0,"",IF(INDEX(TilgTilgung,($N$6-1)*480+49)=0,INDEX(TilgZins,($N$6-1)*480+49),INDEX(TilgZins,($N$6-1)*480+49)+INDEX(TilgTilgung,($N$6-1)*480+49))+INDEX(TilgErsatz,($N$6-1)*480+49))</f>
      </c>
      <c r="G63" s="30">
        <f>IF(INDEX(TilgAktiv,($N$6-1)*480+49)=0,"",INDEX(TilgZins,($N$6-1)*480+49))</f>
      </c>
      <c r="H63" s="30">
        <f>IF(INDEX(TilgAktiv,($N$6-1)*480+49)=0,"",INDEX(TilgTilgung,($N$6-1)*480+49))</f>
      </c>
      <c r="I63" s="30">
        <f>IF(INDEX(TilgAktiv,($N$6-1)*480+49)=0,"",INDEX(TilgSonder,($N$6-1)*480+49))</f>
      </c>
      <c r="J63" s="30">
        <f>IF(INDEX(TilgAktiv,($N$6-1)*480+49)=0,"",INDEX(TilgErsatz,($N$6-1)*480+49))</f>
      </c>
      <c r="K63" s="30">
        <f>IF(INDEX(TilgAktiv,($N$6-1)*480+49)=0,"",INDEX(Tilgung!$Q$4:$Q$9603,($N$6-1)*480+49))</f>
      </c>
      <c r="L63" s="30">
        <f>IF(INDEX(TilgAktiv,($N$6-1)*480+49)=0,"",INDEX(Tilgung!$R$4:$R$9603,($N$6-1)*480+49))</f>
      </c>
    </row>
    <row r="64">
      <c r="A64"/>
      <c r="B64" s="36">
        <f>IF(INDEX(TilgAktiv,($N$6-1)*480+50)=0,"",50)</f>
      </c>
      <c r="C64" s="41">
        <f>IF(INDEX(TilgAktiv,($N$6-1)*480+50)=0,"",INDEX(TilgDatum,($N$6-1)*480+50))</f>
      </c>
      <c r="D64" s="31">
        <f>IF(INDEX(TilgAktiv,($N$6-1)*480+50)=0,"",INDEX(Tilgung!$H$4:$H$9603,($N$6-1)*480+50))</f>
      </c>
      <c r="E64" s="30">
        <f>IF(INDEX(TilgAktiv,($N$6-1)*480+50)=0,"",INDEX(Tilgung!$J$4:$J$9603,($N$6-1)*480+50))</f>
      </c>
      <c r="F64" s="30">
        <f>IF(INDEX(TilgAktiv,($N$6-1)*480+50)=0,"",IF(INDEX(TilgTilgung,($N$6-1)*480+50)=0,INDEX(TilgZins,($N$6-1)*480+50),INDEX(TilgZins,($N$6-1)*480+50)+INDEX(TilgTilgung,($N$6-1)*480+50))+INDEX(TilgErsatz,($N$6-1)*480+50))</f>
      </c>
      <c r="G64" s="30">
        <f>IF(INDEX(TilgAktiv,($N$6-1)*480+50)=0,"",INDEX(TilgZins,($N$6-1)*480+50))</f>
      </c>
      <c r="H64" s="30">
        <f>IF(INDEX(TilgAktiv,($N$6-1)*480+50)=0,"",INDEX(TilgTilgung,($N$6-1)*480+50))</f>
      </c>
      <c r="I64" s="30">
        <f>IF(INDEX(TilgAktiv,($N$6-1)*480+50)=0,"",INDEX(TilgSonder,($N$6-1)*480+50))</f>
      </c>
      <c r="J64" s="30">
        <f>IF(INDEX(TilgAktiv,($N$6-1)*480+50)=0,"",INDEX(TilgErsatz,($N$6-1)*480+50))</f>
      </c>
      <c r="K64" s="30">
        <f>IF(INDEX(TilgAktiv,($N$6-1)*480+50)=0,"",INDEX(Tilgung!$Q$4:$Q$9603,($N$6-1)*480+50))</f>
      </c>
      <c r="L64" s="30">
        <f>IF(INDEX(TilgAktiv,($N$6-1)*480+50)=0,"",INDEX(Tilgung!$R$4:$R$9603,($N$6-1)*480+50))</f>
      </c>
    </row>
    <row r="65">
      <c r="A65"/>
      <c r="B65" s="36">
        <f>IF(INDEX(TilgAktiv,($N$6-1)*480+51)=0,"",51)</f>
      </c>
      <c r="C65" s="41">
        <f>IF(INDEX(TilgAktiv,($N$6-1)*480+51)=0,"",INDEX(TilgDatum,($N$6-1)*480+51))</f>
      </c>
      <c r="D65" s="31">
        <f>IF(INDEX(TilgAktiv,($N$6-1)*480+51)=0,"",INDEX(Tilgung!$H$4:$H$9603,($N$6-1)*480+51))</f>
      </c>
      <c r="E65" s="30">
        <f>IF(INDEX(TilgAktiv,($N$6-1)*480+51)=0,"",INDEX(Tilgung!$J$4:$J$9603,($N$6-1)*480+51))</f>
      </c>
      <c r="F65" s="30">
        <f>IF(INDEX(TilgAktiv,($N$6-1)*480+51)=0,"",IF(INDEX(TilgTilgung,($N$6-1)*480+51)=0,INDEX(TilgZins,($N$6-1)*480+51),INDEX(TilgZins,($N$6-1)*480+51)+INDEX(TilgTilgung,($N$6-1)*480+51))+INDEX(TilgErsatz,($N$6-1)*480+51))</f>
      </c>
      <c r="G65" s="30">
        <f>IF(INDEX(TilgAktiv,($N$6-1)*480+51)=0,"",INDEX(TilgZins,($N$6-1)*480+51))</f>
      </c>
      <c r="H65" s="30">
        <f>IF(INDEX(TilgAktiv,($N$6-1)*480+51)=0,"",INDEX(TilgTilgung,($N$6-1)*480+51))</f>
      </c>
      <c r="I65" s="30">
        <f>IF(INDEX(TilgAktiv,($N$6-1)*480+51)=0,"",INDEX(TilgSonder,($N$6-1)*480+51))</f>
      </c>
      <c r="J65" s="30">
        <f>IF(INDEX(TilgAktiv,($N$6-1)*480+51)=0,"",INDEX(TilgErsatz,($N$6-1)*480+51))</f>
      </c>
      <c r="K65" s="30">
        <f>IF(INDEX(TilgAktiv,($N$6-1)*480+51)=0,"",INDEX(Tilgung!$Q$4:$Q$9603,($N$6-1)*480+51))</f>
      </c>
      <c r="L65" s="30">
        <f>IF(INDEX(TilgAktiv,($N$6-1)*480+51)=0,"",INDEX(Tilgung!$R$4:$R$9603,($N$6-1)*480+51))</f>
      </c>
    </row>
    <row r="66">
      <c r="A66"/>
      <c r="B66" s="36">
        <f>IF(INDEX(TilgAktiv,($N$6-1)*480+52)=0,"",52)</f>
      </c>
      <c r="C66" s="41">
        <f>IF(INDEX(TilgAktiv,($N$6-1)*480+52)=0,"",INDEX(TilgDatum,($N$6-1)*480+52))</f>
      </c>
      <c r="D66" s="31">
        <f>IF(INDEX(TilgAktiv,($N$6-1)*480+52)=0,"",INDEX(Tilgung!$H$4:$H$9603,($N$6-1)*480+52))</f>
      </c>
      <c r="E66" s="30">
        <f>IF(INDEX(TilgAktiv,($N$6-1)*480+52)=0,"",INDEX(Tilgung!$J$4:$J$9603,($N$6-1)*480+52))</f>
      </c>
      <c r="F66" s="30">
        <f>IF(INDEX(TilgAktiv,($N$6-1)*480+52)=0,"",IF(INDEX(TilgTilgung,($N$6-1)*480+52)=0,INDEX(TilgZins,($N$6-1)*480+52),INDEX(TilgZins,($N$6-1)*480+52)+INDEX(TilgTilgung,($N$6-1)*480+52))+INDEX(TilgErsatz,($N$6-1)*480+52))</f>
      </c>
      <c r="G66" s="30">
        <f>IF(INDEX(TilgAktiv,($N$6-1)*480+52)=0,"",INDEX(TilgZins,($N$6-1)*480+52))</f>
      </c>
      <c r="H66" s="30">
        <f>IF(INDEX(TilgAktiv,($N$6-1)*480+52)=0,"",INDEX(TilgTilgung,($N$6-1)*480+52))</f>
      </c>
      <c r="I66" s="30">
        <f>IF(INDEX(TilgAktiv,($N$6-1)*480+52)=0,"",INDEX(TilgSonder,($N$6-1)*480+52))</f>
      </c>
      <c r="J66" s="30">
        <f>IF(INDEX(TilgAktiv,($N$6-1)*480+52)=0,"",INDEX(TilgErsatz,($N$6-1)*480+52))</f>
      </c>
      <c r="K66" s="30">
        <f>IF(INDEX(TilgAktiv,($N$6-1)*480+52)=0,"",INDEX(Tilgung!$Q$4:$Q$9603,($N$6-1)*480+52))</f>
      </c>
      <c r="L66" s="30">
        <f>IF(INDEX(TilgAktiv,($N$6-1)*480+52)=0,"",INDEX(Tilgung!$R$4:$R$9603,($N$6-1)*480+52))</f>
      </c>
    </row>
    <row r="67">
      <c r="A67"/>
      <c r="B67" s="36">
        <f>IF(INDEX(TilgAktiv,($N$6-1)*480+53)=0,"",53)</f>
      </c>
      <c r="C67" s="41">
        <f>IF(INDEX(TilgAktiv,($N$6-1)*480+53)=0,"",INDEX(TilgDatum,($N$6-1)*480+53))</f>
      </c>
      <c r="D67" s="31">
        <f>IF(INDEX(TilgAktiv,($N$6-1)*480+53)=0,"",INDEX(Tilgung!$H$4:$H$9603,($N$6-1)*480+53))</f>
      </c>
      <c r="E67" s="30">
        <f>IF(INDEX(TilgAktiv,($N$6-1)*480+53)=0,"",INDEX(Tilgung!$J$4:$J$9603,($N$6-1)*480+53))</f>
      </c>
      <c r="F67" s="30">
        <f>IF(INDEX(TilgAktiv,($N$6-1)*480+53)=0,"",IF(INDEX(TilgTilgung,($N$6-1)*480+53)=0,INDEX(TilgZins,($N$6-1)*480+53),INDEX(TilgZins,($N$6-1)*480+53)+INDEX(TilgTilgung,($N$6-1)*480+53))+INDEX(TilgErsatz,($N$6-1)*480+53))</f>
      </c>
      <c r="G67" s="30">
        <f>IF(INDEX(TilgAktiv,($N$6-1)*480+53)=0,"",INDEX(TilgZins,($N$6-1)*480+53))</f>
      </c>
      <c r="H67" s="30">
        <f>IF(INDEX(TilgAktiv,($N$6-1)*480+53)=0,"",INDEX(TilgTilgung,($N$6-1)*480+53))</f>
      </c>
      <c r="I67" s="30">
        <f>IF(INDEX(TilgAktiv,($N$6-1)*480+53)=0,"",INDEX(TilgSonder,($N$6-1)*480+53))</f>
      </c>
      <c r="J67" s="30">
        <f>IF(INDEX(TilgAktiv,($N$6-1)*480+53)=0,"",INDEX(TilgErsatz,($N$6-1)*480+53))</f>
      </c>
      <c r="K67" s="30">
        <f>IF(INDEX(TilgAktiv,($N$6-1)*480+53)=0,"",INDEX(Tilgung!$Q$4:$Q$9603,($N$6-1)*480+53))</f>
      </c>
      <c r="L67" s="30">
        <f>IF(INDEX(TilgAktiv,($N$6-1)*480+53)=0,"",INDEX(Tilgung!$R$4:$R$9603,($N$6-1)*480+53))</f>
      </c>
    </row>
    <row r="68">
      <c r="A68"/>
      <c r="B68" s="36">
        <f>IF(INDEX(TilgAktiv,($N$6-1)*480+54)=0,"",54)</f>
      </c>
      <c r="C68" s="41">
        <f>IF(INDEX(TilgAktiv,($N$6-1)*480+54)=0,"",INDEX(TilgDatum,($N$6-1)*480+54))</f>
      </c>
      <c r="D68" s="31">
        <f>IF(INDEX(TilgAktiv,($N$6-1)*480+54)=0,"",INDEX(Tilgung!$H$4:$H$9603,($N$6-1)*480+54))</f>
      </c>
      <c r="E68" s="30">
        <f>IF(INDEX(TilgAktiv,($N$6-1)*480+54)=0,"",INDEX(Tilgung!$J$4:$J$9603,($N$6-1)*480+54))</f>
      </c>
      <c r="F68" s="30">
        <f>IF(INDEX(TilgAktiv,($N$6-1)*480+54)=0,"",IF(INDEX(TilgTilgung,($N$6-1)*480+54)=0,INDEX(TilgZins,($N$6-1)*480+54),INDEX(TilgZins,($N$6-1)*480+54)+INDEX(TilgTilgung,($N$6-1)*480+54))+INDEX(TilgErsatz,($N$6-1)*480+54))</f>
      </c>
      <c r="G68" s="30">
        <f>IF(INDEX(TilgAktiv,($N$6-1)*480+54)=0,"",INDEX(TilgZins,($N$6-1)*480+54))</f>
      </c>
      <c r="H68" s="30">
        <f>IF(INDEX(TilgAktiv,($N$6-1)*480+54)=0,"",INDEX(TilgTilgung,($N$6-1)*480+54))</f>
      </c>
      <c r="I68" s="30">
        <f>IF(INDEX(TilgAktiv,($N$6-1)*480+54)=0,"",INDEX(TilgSonder,($N$6-1)*480+54))</f>
      </c>
      <c r="J68" s="30">
        <f>IF(INDEX(TilgAktiv,($N$6-1)*480+54)=0,"",INDEX(TilgErsatz,($N$6-1)*480+54))</f>
      </c>
      <c r="K68" s="30">
        <f>IF(INDEX(TilgAktiv,($N$6-1)*480+54)=0,"",INDEX(Tilgung!$Q$4:$Q$9603,($N$6-1)*480+54))</f>
      </c>
      <c r="L68" s="30">
        <f>IF(INDEX(TilgAktiv,($N$6-1)*480+54)=0,"",INDEX(Tilgung!$R$4:$R$9603,($N$6-1)*480+54))</f>
      </c>
    </row>
    <row r="69">
      <c r="A69"/>
      <c r="B69" s="36">
        <f>IF(INDEX(TilgAktiv,($N$6-1)*480+55)=0,"",55)</f>
      </c>
      <c r="C69" s="41">
        <f>IF(INDEX(TilgAktiv,($N$6-1)*480+55)=0,"",INDEX(TilgDatum,($N$6-1)*480+55))</f>
      </c>
      <c r="D69" s="31">
        <f>IF(INDEX(TilgAktiv,($N$6-1)*480+55)=0,"",INDEX(Tilgung!$H$4:$H$9603,($N$6-1)*480+55))</f>
      </c>
      <c r="E69" s="30">
        <f>IF(INDEX(TilgAktiv,($N$6-1)*480+55)=0,"",INDEX(Tilgung!$J$4:$J$9603,($N$6-1)*480+55))</f>
      </c>
      <c r="F69" s="30">
        <f>IF(INDEX(TilgAktiv,($N$6-1)*480+55)=0,"",IF(INDEX(TilgTilgung,($N$6-1)*480+55)=0,INDEX(TilgZins,($N$6-1)*480+55),INDEX(TilgZins,($N$6-1)*480+55)+INDEX(TilgTilgung,($N$6-1)*480+55))+INDEX(TilgErsatz,($N$6-1)*480+55))</f>
      </c>
      <c r="G69" s="30">
        <f>IF(INDEX(TilgAktiv,($N$6-1)*480+55)=0,"",INDEX(TilgZins,($N$6-1)*480+55))</f>
      </c>
      <c r="H69" s="30">
        <f>IF(INDEX(TilgAktiv,($N$6-1)*480+55)=0,"",INDEX(TilgTilgung,($N$6-1)*480+55))</f>
      </c>
      <c r="I69" s="30">
        <f>IF(INDEX(TilgAktiv,($N$6-1)*480+55)=0,"",INDEX(TilgSonder,($N$6-1)*480+55))</f>
      </c>
      <c r="J69" s="30">
        <f>IF(INDEX(TilgAktiv,($N$6-1)*480+55)=0,"",INDEX(TilgErsatz,($N$6-1)*480+55))</f>
      </c>
      <c r="K69" s="30">
        <f>IF(INDEX(TilgAktiv,($N$6-1)*480+55)=0,"",INDEX(Tilgung!$Q$4:$Q$9603,($N$6-1)*480+55))</f>
      </c>
      <c r="L69" s="30">
        <f>IF(INDEX(TilgAktiv,($N$6-1)*480+55)=0,"",INDEX(Tilgung!$R$4:$R$9603,($N$6-1)*480+55))</f>
      </c>
    </row>
    <row r="70">
      <c r="A70"/>
      <c r="B70" s="36">
        <f>IF(INDEX(TilgAktiv,($N$6-1)*480+56)=0,"",56)</f>
      </c>
      <c r="C70" s="41">
        <f>IF(INDEX(TilgAktiv,($N$6-1)*480+56)=0,"",INDEX(TilgDatum,($N$6-1)*480+56))</f>
      </c>
      <c r="D70" s="31">
        <f>IF(INDEX(TilgAktiv,($N$6-1)*480+56)=0,"",INDEX(Tilgung!$H$4:$H$9603,($N$6-1)*480+56))</f>
      </c>
      <c r="E70" s="30">
        <f>IF(INDEX(TilgAktiv,($N$6-1)*480+56)=0,"",INDEX(Tilgung!$J$4:$J$9603,($N$6-1)*480+56))</f>
      </c>
      <c r="F70" s="30">
        <f>IF(INDEX(TilgAktiv,($N$6-1)*480+56)=0,"",IF(INDEX(TilgTilgung,($N$6-1)*480+56)=0,INDEX(TilgZins,($N$6-1)*480+56),INDEX(TilgZins,($N$6-1)*480+56)+INDEX(TilgTilgung,($N$6-1)*480+56))+INDEX(TilgErsatz,($N$6-1)*480+56))</f>
      </c>
      <c r="G70" s="30">
        <f>IF(INDEX(TilgAktiv,($N$6-1)*480+56)=0,"",INDEX(TilgZins,($N$6-1)*480+56))</f>
      </c>
      <c r="H70" s="30">
        <f>IF(INDEX(TilgAktiv,($N$6-1)*480+56)=0,"",INDEX(TilgTilgung,($N$6-1)*480+56))</f>
      </c>
      <c r="I70" s="30">
        <f>IF(INDEX(TilgAktiv,($N$6-1)*480+56)=0,"",INDEX(TilgSonder,($N$6-1)*480+56))</f>
      </c>
      <c r="J70" s="30">
        <f>IF(INDEX(TilgAktiv,($N$6-1)*480+56)=0,"",INDEX(TilgErsatz,($N$6-1)*480+56))</f>
      </c>
      <c r="K70" s="30">
        <f>IF(INDEX(TilgAktiv,($N$6-1)*480+56)=0,"",INDEX(Tilgung!$Q$4:$Q$9603,($N$6-1)*480+56))</f>
      </c>
      <c r="L70" s="30">
        <f>IF(INDEX(TilgAktiv,($N$6-1)*480+56)=0,"",INDEX(Tilgung!$R$4:$R$9603,($N$6-1)*480+56))</f>
      </c>
    </row>
    <row r="71">
      <c r="A71"/>
      <c r="B71" s="36">
        <f>IF(INDEX(TilgAktiv,($N$6-1)*480+57)=0,"",57)</f>
      </c>
      <c r="C71" s="41">
        <f>IF(INDEX(TilgAktiv,($N$6-1)*480+57)=0,"",INDEX(TilgDatum,($N$6-1)*480+57))</f>
      </c>
      <c r="D71" s="31">
        <f>IF(INDEX(TilgAktiv,($N$6-1)*480+57)=0,"",INDEX(Tilgung!$H$4:$H$9603,($N$6-1)*480+57))</f>
      </c>
      <c r="E71" s="30">
        <f>IF(INDEX(TilgAktiv,($N$6-1)*480+57)=0,"",INDEX(Tilgung!$J$4:$J$9603,($N$6-1)*480+57))</f>
      </c>
      <c r="F71" s="30">
        <f>IF(INDEX(TilgAktiv,($N$6-1)*480+57)=0,"",IF(INDEX(TilgTilgung,($N$6-1)*480+57)=0,INDEX(TilgZins,($N$6-1)*480+57),INDEX(TilgZins,($N$6-1)*480+57)+INDEX(TilgTilgung,($N$6-1)*480+57))+INDEX(TilgErsatz,($N$6-1)*480+57))</f>
      </c>
      <c r="G71" s="30">
        <f>IF(INDEX(TilgAktiv,($N$6-1)*480+57)=0,"",INDEX(TilgZins,($N$6-1)*480+57))</f>
      </c>
      <c r="H71" s="30">
        <f>IF(INDEX(TilgAktiv,($N$6-1)*480+57)=0,"",INDEX(TilgTilgung,($N$6-1)*480+57))</f>
      </c>
      <c r="I71" s="30">
        <f>IF(INDEX(TilgAktiv,($N$6-1)*480+57)=0,"",INDEX(TilgSonder,($N$6-1)*480+57))</f>
      </c>
      <c r="J71" s="30">
        <f>IF(INDEX(TilgAktiv,($N$6-1)*480+57)=0,"",INDEX(TilgErsatz,($N$6-1)*480+57))</f>
      </c>
      <c r="K71" s="30">
        <f>IF(INDEX(TilgAktiv,($N$6-1)*480+57)=0,"",INDEX(Tilgung!$Q$4:$Q$9603,($N$6-1)*480+57))</f>
      </c>
      <c r="L71" s="30">
        <f>IF(INDEX(TilgAktiv,($N$6-1)*480+57)=0,"",INDEX(Tilgung!$R$4:$R$9603,($N$6-1)*480+57))</f>
      </c>
    </row>
    <row r="72">
      <c r="A72"/>
      <c r="B72" s="36">
        <f>IF(INDEX(TilgAktiv,($N$6-1)*480+58)=0,"",58)</f>
      </c>
      <c r="C72" s="41">
        <f>IF(INDEX(TilgAktiv,($N$6-1)*480+58)=0,"",INDEX(TilgDatum,($N$6-1)*480+58))</f>
      </c>
      <c r="D72" s="31">
        <f>IF(INDEX(TilgAktiv,($N$6-1)*480+58)=0,"",INDEX(Tilgung!$H$4:$H$9603,($N$6-1)*480+58))</f>
      </c>
      <c r="E72" s="30">
        <f>IF(INDEX(TilgAktiv,($N$6-1)*480+58)=0,"",INDEX(Tilgung!$J$4:$J$9603,($N$6-1)*480+58))</f>
      </c>
      <c r="F72" s="30">
        <f>IF(INDEX(TilgAktiv,($N$6-1)*480+58)=0,"",IF(INDEX(TilgTilgung,($N$6-1)*480+58)=0,INDEX(TilgZins,($N$6-1)*480+58),INDEX(TilgZins,($N$6-1)*480+58)+INDEX(TilgTilgung,($N$6-1)*480+58))+INDEX(TilgErsatz,($N$6-1)*480+58))</f>
      </c>
      <c r="G72" s="30">
        <f>IF(INDEX(TilgAktiv,($N$6-1)*480+58)=0,"",INDEX(TilgZins,($N$6-1)*480+58))</f>
      </c>
      <c r="H72" s="30">
        <f>IF(INDEX(TilgAktiv,($N$6-1)*480+58)=0,"",INDEX(TilgTilgung,($N$6-1)*480+58))</f>
      </c>
      <c r="I72" s="30">
        <f>IF(INDEX(TilgAktiv,($N$6-1)*480+58)=0,"",INDEX(TilgSonder,($N$6-1)*480+58))</f>
      </c>
      <c r="J72" s="30">
        <f>IF(INDEX(TilgAktiv,($N$6-1)*480+58)=0,"",INDEX(TilgErsatz,($N$6-1)*480+58))</f>
      </c>
      <c r="K72" s="30">
        <f>IF(INDEX(TilgAktiv,($N$6-1)*480+58)=0,"",INDEX(Tilgung!$Q$4:$Q$9603,($N$6-1)*480+58))</f>
      </c>
      <c r="L72" s="30">
        <f>IF(INDEX(TilgAktiv,($N$6-1)*480+58)=0,"",INDEX(Tilgung!$R$4:$R$9603,($N$6-1)*480+58))</f>
      </c>
    </row>
    <row r="73">
      <c r="A73"/>
      <c r="B73" s="36">
        <f>IF(INDEX(TilgAktiv,($N$6-1)*480+59)=0,"",59)</f>
      </c>
      <c r="C73" s="41">
        <f>IF(INDEX(TilgAktiv,($N$6-1)*480+59)=0,"",INDEX(TilgDatum,($N$6-1)*480+59))</f>
      </c>
      <c r="D73" s="31">
        <f>IF(INDEX(TilgAktiv,($N$6-1)*480+59)=0,"",INDEX(Tilgung!$H$4:$H$9603,($N$6-1)*480+59))</f>
      </c>
      <c r="E73" s="30">
        <f>IF(INDEX(TilgAktiv,($N$6-1)*480+59)=0,"",INDEX(Tilgung!$J$4:$J$9603,($N$6-1)*480+59))</f>
      </c>
      <c r="F73" s="30">
        <f>IF(INDEX(TilgAktiv,($N$6-1)*480+59)=0,"",IF(INDEX(TilgTilgung,($N$6-1)*480+59)=0,INDEX(TilgZins,($N$6-1)*480+59),INDEX(TilgZins,($N$6-1)*480+59)+INDEX(TilgTilgung,($N$6-1)*480+59))+INDEX(TilgErsatz,($N$6-1)*480+59))</f>
      </c>
      <c r="G73" s="30">
        <f>IF(INDEX(TilgAktiv,($N$6-1)*480+59)=0,"",INDEX(TilgZins,($N$6-1)*480+59))</f>
      </c>
      <c r="H73" s="30">
        <f>IF(INDEX(TilgAktiv,($N$6-1)*480+59)=0,"",INDEX(TilgTilgung,($N$6-1)*480+59))</f>
      </c>
      <c r="I73" s="30">
        <f>IF(INDEX(TilgAktiv,($N$6-1)*480+59)=0,"",INDEX(TilgSonder,($N$6-1)*480+59))</f>
      </c>
      <c r="J73" s="30">
        <f>IF(INDEX(TilgAktiv,($N$6-1)*480+59)=0,"",INDEX(TilgErsatz,($N$6-1)*480+59))</f>
      </c>
      <c r="K73" s="30">
        <f>IF(INDEX(TilgAktiv,($N$6-1)*480+59)=0,"",INDEX(Tilgung!$Q$4:$Q$9603,($N$6-1)*480+59))</f>
      </c>
      <c r="L73" s="30">
        <f>IF(INDEX(TilgAktiv,($N$6-1)*480+59)=0,"",INDEX(Tilgung!$R$4:$R$9603,($N$6-1)*480+59))</f>
      </c>
    </row>
    <row r="74">
      <c r="A74"/>
      <c r="B74" s="36">
        <f>IF(INDEX(TilgAktiv,($N$6-1)*480+60)=0,"",60)</f>
      </c>
      <c r="C74" s="41">
        <f>IF(INDEX(TilgAktiv,($N$6-1)*480+60)=0,"",INDEX(TilgDatum,($N$6-1)*480+60))</f>
      </c>
      <c r="D74" s="31">
        <f>IF(INDEX(TilgAktiv,($N$6-1)*480+60)=0,"",INDEX(Tilgung!$H$4:$H$9603,($N$6-1)*480+60))</f>
      </c>
      <c r="E74" s="30">
        <f>IF(INDEX(TilgAktiv,($N$6-1)*480+60)=0,"",INDEX(Tilgung!$J$4:$J$9603,($N$6-1)*480+60))</f>
      </c>
      <c r="F74" s="30">
        <f>IF(INDEX(TilgAktiv,($N$6-1)*480+60)=0,"",IF(INDEX(TilgTilgung,($N$6-1)*480+60)=0,INDEX(TilgZins,($N$6-1)*480+60),INDEX(TilgZins,($N$6-1)*480+60)+INDEX(TilgTilgung,($N$6-1)*480+60))+INDEX(TilgErsatz,($N$6-1)*480+60))</f>
      </c>
      <c r="G74" s="30">
        <f>IF(INDEX(TilgAktiv,($N$6-1)*480+60)=0,"",INDEX(TilgZins,($N$6-1)*480+60))</f>
      </c>
      <c r="H74" s="30">
        <f>IF(INDEX(TilgAktiv,($N$6-1)*480+60)=0,"",INDEX(TilgTilgung,($N$6-1)*480+60))</f>
      </c>
      <c r="I74" s="30">
        <f>IF(INDEX(TilgAktiv,($N$6-1)*480+60)=0,"",INDEX(TilgSonder,($N$6-1)*480+60))</f>
      </c>
      <c r="J74" s="30">
        <f>IF(INDEX(TilgAktiv,($N$6-1)*480+60)=0,"",INDEX(TilgErsatz,($N$6-1)*480+60))</f>
      </c>
      <c r="K74" s="30">
        <f>IF(INDEX(TilgAktiv,($N$6-1)*480+60)=0,"",INDEX(Tilgung!$Q$4:$Q$9603,($N$6-1)*480+60))</f>
      </c>
      <c r="L74" s="30">
        <f>IF(INDEX(TilgAktiv,($N$6-1)*480+60)=0,"",INDEX(Tilgung!$R$4:$R$9603,($N$6-1)*480+60))</f>
      </c>
    </row>
    <row r="75">
      <c r="A75"/>
      <c r="B75" s="36">
        <f>IF(INDEX(TilgAktiv,($N$6-1)*480+61)=0,"",61)</f>
      </c>
      <c r="C75" s="41">
        <f>IF(INDEX(TilgAktiv,($N$6-1)*480+61)=0,"",INDEX(TilgDatum,($N$6-1)*480+61))</f>
      </c>
      <c r="D75" s="31">
        <f>IF(INDEX(TilgAktiv,($N$6-1)*480+61)=0,"",INDEX(Tilgung!$H$4:$H$9603,($N$6-1)*480+61))</f>
      </c>
      <c r="E75" s="30">
        <f>IF(INDEX(TilgAktiv,($N$6-1)*480+61)=0,"",INDEX(Tilgung!$J$4:$J$9603,($N$6-1)*480+61))</f>
      </c>
      <c r="F75" s="30">
        <f>IF(INDEX(TilgAktiv,($N$6-1)*480+61)=0,"",IF(INDEX(TilgTilgung,($N$6-1)*480+61)=0,INDEX(TilgZins,($N$6-1)*480+61),INDEX(TilgZins,($N$6-1)*480+61)+INDEX(TilgTilgung,($N$6-1)*480+61))+INDEX(TilgErsatz,($N$6-1)*480+61))</f>
      </c>
      <c r="G75" s="30">
        <f>IF(INDEX(TilgAktiv,($N$6-1)*480+61)=0,"",INDEX(TilgZins,($N$6-1)*480+61))</f>
      </c>
      <c r="H75" s="30">
        <f>IF(INDEX(TilgAktiv,($N$6-1)*480+61)=0,"",INDEX(TilgTilgung,($N$6-1)*480+61))</f>
      </c>
      <c r="I75" s="30">
        <f>IF(INDEX(TilgAktiv,($N$6-1)*480+61)=0,"",INDEX(TilgSonder,($N$6-1)*480+61))</f>
      </c>
      <c r="J75" s="30">
        <f>IF(INDEX(TilgAktiv,($N$6-1)*480+61)=0,"",INDEX(TilgErsatz,($N$6-1)*480+61))</f>
      </c>
      <c r="K75" s="30">
        <f>IF(INDEX(TilgAktiv,($N$6-1)*480+61)=0,"",INDEX(Tilgung!$Q$4:$Q$9603,($N$6-1)*480+61))</f>
      </c>
      <c r="L75" s="30">
        <f>IF(INDEX(TilgAktiv,($N$6-1)*480+61)=0,"",INDEX(Tilgung!$R$4:$R$9603,($N$6-1)*480+61))</f>
      </c>
    </row>
    <row r="76">
      <c r="A76"/>
      <c r="B76" s="36">
        <f>IF(INDEX(TilgAktiv,($N$6-1)*480+62)=0,"",62)</f>
      </c>
      <c r="C76" s="41">
        <f>IF(INDEX(TilgAktiv,($N$6-1)*480+62)=0,"",INDEX(TilgDatum,($N$6-1)*480+62))</f>
      </c>
      <c r="D76" s="31">
        <f>IF(INDEX(TilgAktiv,($N$6-1)*480+62)=0,"",INDEX(Tilgung!$H$4:$H$9603,($N$6-1)*480+62))</f>
      </c>
      <c r="E76" s="30">
        <f>IF(INDEX(TilgAktiv,($N$6-1)*480+62)=0,"",INDEX(Tilgung!$J$4:$J$9603,($N$6-1)*480+62))</f>
      </c>
      <c r="F76" s="30">
        <f>IF(INDEX(TilgAktiv,($N$6-1)*480+62)=0,"",IF(INDEX(TilgTilgung,($N$6-1)*480+62)=0,INDEX(TilgZins,($N$6-1)*480+62),INDEX(TilgZins,($N$6-1)*480+62)+INDEX(TilgTilgung,($N$6-1)*480+62))+INDEX(TilgErsatz,($N$6-1)*480+62))</f>
      </c>
      <c r="G76" s="30">
        <f>IF(INDEX(TilgAktiv,($N$6-1)*480+62)=0,"",INDEX(TilgZins,($N$6-1)*480+62))</f>
      </c>
      <c r="H76" s="30">
        <f>IF(INDEX(TilgAktiv,($N$6-1)*480+62)=0,"",INDEX(TilgTilgung,($N$6-1)*480+62))</f>
      </c>
      <c r="I76" s="30">
        <f>IF(INDEX(TilgAktiv,($N$6-1)*480+62)=0,"",INDEX(TilgSonder,($N$6-1)*480+62))</f>
      </c>
      <c r="J76" s="30">
        <f>IF(INDEX(TilgAktiv,($N$6-1)*480+62)=0,"",INDEX(TilgErsatz,($N$6-1)*480+62))</f>
      </c>
      <c r="K76" s="30">
        <f>IF(INDEX(TilgAktiv,($N$6-1)*480+62)=0,"",INDEX(Tilgung!$Q$4:$Q$9603,($N$6-1)*480+62))</f>
      </c>
      <c r="L76" s="30">
        <f>IF(INDEX(TilgAktiv,($N$6-1)*480+62)=0,"",INDEX(Tilgung!$R$4:$R$9603,($N$6-1)*480+62))</f>
      </c>
    </row>
    <row r="77">
      <c r="A77"/>
      <c r="B77" s="36">
        <f>IF(INDEX(TilgAktiv,($N$6-1)*480+63)=0,"",63)</f>
      </c>
      <c r="C77" s="41">
        <f>IF(INDEX(TilgAktiv,($N$6-1)*480+63)=0,"",INDEX(TilgDatum,($N$6-1)*480+63))</f>
      </c>
      <c r="D77" s="31">
        <f>IF(INDEX(TilgAktiv,($N$6-1)*480+63)=0,"",INDEX(Tilgung!$H$4:$H$9603,($N$6-1)*480+63))</f>
      </c>
      <c r="E77" s="30">
        <f>IF(INDEX(TilgAktiv,($N$6-1)*480+63)=0,"",INDEX(Tilgung!$J$4:$J$9603,($N$6-1)*480+63))</f>
      </c>
      <c r="F77" s="30">
        <f>IF(INDEX(TilgAktiv,($N$6-1)*480+63)=0,"",IF(INDEX(TilgTilgung,($N$6-1)*480+63)=0,INDEX(TilgZins,($N$6-1)*480+63),INDEX(TilgZins,($N$6-1)*480+63)+INDEX(TilgTilgung,($N$6-1)*480+63))+INDEX(TilgErsatz,($N$6-1)*480+63))</f>
      </c>
      <c r="G77" s="30">
        <f>IF(INDEX(TilgAktiv,($N$6-1)*480+63)=0,"",INDEX(TilgZins,($N$6-1)*480+63))</f>
      </c>
      <c r="H77" s="30">
        <f>IF(INDEX(TilgAktiv,($N$6-1)*480+63)=0,"",INDEX(TilgTilgung,($N$6-1)*480+63))</f>
      </c>
      <c r="I77" s="30">
        <f>IF(INDEX(TilgAktiv,($N$6-1)*480+63)=0,"",INDEX(TilgSonder,($N$6-1)*480+63))</f>
      </c>
      <c r="J77" s="30">
        <f>IF(INDEX(TilgAktiv,($N$6-1)*480+63)=0,"",INDEX(TilgErsatz,($N$6-1)*480+63))</f>
      </c>
      <c r="K77" s="30">
        <f>IF(INDEX(TilgAktiv,($N$6-1)*480+63)=0,"",INDEX(Tilgung!$Q$4:$Q$9603,($N$6-1)*480+63))</f>
      </c>
      <c r="L77" s="30">
        <f>IF(INDEX(TilgAktiv,($N$6-1)*480+63)=0,"",INDEX(Tilgung!$R$4:$R$9603,($N$6-1)*480+63))</f>
      </c>
    </row>
    <row r="78">
      <c r="A78"/>
      <c r="B78" s="36">
        <f>IF(INDEX(TilgAktiv,($N$6-1)*480+64)=0,"",64)</f>
      </c>
      <c r="C78" s="41">
        <f>IF(INDEX(TilgAktiv,($N$6-1)*480+64)=0,"",INDEX(TilgDatum,($N$6-1)*480+64))</f>
      </c>
      <c r="D78" s="31">
        <f>IF(INDEX(TilgAktiv,($N$6-1)*480+64)=0,"",INDEX(Tilgung!$H$4:$H$9603,($N$6-1)*480+64))</f>
      </c>
      <c r="E78" s="30">
        <f>IF(INDEX(TilgAktiv,($N$6-1)*480+64)=0,"",INDEX(Tilgung!$J$4:$J$9603,($N$6-1)*480+64))</f>
      </c>
      <c r="F78" s="30">
        <f>IF(INDEX(TilgAktiv,($N$6-1)*480+64)=0,"",IF(INDEX(TilgTilgung,($N$6-1)*480+64)=0,INDEX(TilgZins,($N$6-1)*480+64),INDEX(TilgZins,($N$6-1)*480+64)+INDEX(TilgTilgung,($N$6-1)*480+64))+INDEX(TilgErsatz,($N$6-1)*480+64))</f>
      </c>
      <c r="G78" s="30">
        <f>IF(INDEX(TilgAktiv,($N$6-1)*480+64)=0,"",INDEX(TilgZins,($N$6-1)*480+64))</f>
      </c>
      <c r="H78" s="30">
        <f>IF(INDEX(TilgAktiv,($N$6-1)*480+64)=0,"",INDEX(TilgTilgung,($N$6-1)*480+64))</f>
      </c>
      <c r="I78" s="30">
        <f>IF(INDEX(TilgAktiv,($N$6-1)*480+64)=0,"",INDEX(TilgSonder,($N$6-1)*480+64))</f>
      </c>
      <c r="J78" s="30">
        <f>IF(INDEX(TilgAktiv,($N$6-1)*480+64)=0,"",INDEX(TilgErsatz,($N$6-1)*480+64))</f>
      </c>
      <c r="K78" s="30">
        <f>IF(INDEX(TilgAktiv,($N$6-1)*480+64)=0,"",INDEX(Tilgung!$Q$4:$Q$9603,($N$6-1)*480+64))</f>
      </c>
      <c r="L78" s="30">
        <f>IF(INDEX(TilgAktiv,($N$6-1)*480+64)=0,"",INDEX(Tilgung!$R$4:$R$9603,($N$6-1)*480+64))</f>
      </c>
    </row>
    <row r="79">
      <c r="A79"/>
      <c r="B79" s="36">
        <f>IF(INDEX(TilgAktiv,($N$6-1)*480+65)=0,"",65)</f>
      </c>
      <c r="C79" s="41">
        <f>IF(INDEX(TilgAktiv,($N$6-1)*480+65)=0,"",INDEX(TilgDatum,($N$6-1)*480+65))</f>
      </c>
      <c r="D79" s="31">
        <f>IF(INDEX(TilgAktiv,($N$6-1)*480+65)=0,"",INDEX(Tilgung!$H$4:$H$9603,($N$6-1)*480+65))</f>
      </c>
      <c r="E79" s="30">
        <f>IF(INDEX(TilgAktiv,($N$6-1)*480+65)=0,"",INDEX(Tilgung!$J$4:$J$9603,($N$6-1)*480+65))</f>
      </c>
      <c r="F79" s="30">
        <f>IF(INDEX(TilgAktiv,($N$6-1)*480+65)=0,"",IF(INDEX(TilgTilgung,($N$6-1)*480+65)=0,INDEX(TilgZins,($N$6-1)*480+65),INDEX(TilgZins,($N$6-1)*480+65)+INDEX(TilgTilgung,($N$6-1)*480+65))+INDEX(TilgErsatz,($N$6-1)*480+65))</f>
      </c>
      <c r="G79" s="30">
        <f>IF(INDEX(TilgAktiv,($N$6-1)*480+65)=0,"",INDEX(TilgZins,($N$6-1)*480+65))</f>
      </c>
      <c r="H79" s="30">
        <f>IF(INDEX(TilgAktiv,($N$6-1)*480+65)=0,"",INDEX(TilgTilgung,($N$6-1)*480+65))</f>
      </c>
      <c r="I79" s="30">
        <f>IF(INDEX(TilgAktiv,($N$6-1)*480+65)=0,"",INDEX(TilgSonder,($N$6-1)*480+65))</f>
      </c>
      <c r="J79" s="30">
        <f>IF(INDEX(TilgAktiv,($N$6-1)*480+65)=0,"",INDEX(TilgErsatz,($N$6-1)*480+65))</f>
      </c>
      <c r="K79" s="30">
        <f>IF(INDEX(TilgAktiv,($N$6-1)*480+65)=0,"",INDEX(Tilgung!$Q$4:$Q$9603,($N$6-1)*480+65))</f>
      </c>
      <c r="L79" s="30">
        <f>IF(INDEX(TilgAktiv,($N$6-1)*480+65)=0,"",INDEX(Tilgung!$R$4:$R$9603,($N$6-1)*480+65))</f>
      </c>
    </row>
    <row r="80">
      <c r="A80"/>
      <c r="B80" s="36">
        <f>IF(INDEX(TilgAktiv,($N$6-1)*480+66)=0,"",66)</f>
      </c>
      <c r="C80" s="41">
        <f>IF(INDEX(TilgAktiv,($N$6-1)*480+66)=0,"",INDEX(TilgDatum,($N$6-1)*480+66))</f>
      </c>
      <c r="D80" s="31">
        <f>IF(INDEX(TilgAktiv,($N$6-1)*480+66)=0,"",INDEX(Tilgung!$H$4:$H$9603,($N$6-1)*480+66))</f>
      </c>
      <c r="E80" s="30">
        <f>IF(INDEX(TilgAktiv,($N$6-1)*480+66)=0,"",INDEX(Tilgung!$J$4:$J$9603,($N$6-1)*480+66))</f>
      </c>
      <c r="F80" s="30">
        <f>IF(INDEX(TilgAktiv,($N$6-1)*480+66)=0,"",IF(INDEX(TilgTilgung,($N$6-1)*480+66)=0,INDEX(TilgZins,($N$6-1)*480+66),INDEX(TilgZins,($N$6-1)*480+66)+INDEX(TilgTilgung,($N$6-1)*480+66))+INDEX(TilgErsatz,($N$6-1)*480+66))</f>
      </c>
      <c r="G80" s="30">
        <f>IF(INDEX(TilgAktiv,($N$6-1)*480+66)=0,"",INDEX(TilgZins,($N$6-1)*480+66))</f>
      </c>
      <c r="H80" s="30">
        <f>IF(INDEX(TilgAktiv,($N$6-1)*480+66)=0,"",INDEX(TilgTilgung,($N$6-1)*480+66))</f>
      </c>
      <c r="I80" s="30">
        <f>IF(INDEX(TilgAktiv,($N$6-1)*480+66)=0,"",INDEX(TilgSonder,($N$6-1)*480+66))</f>
      </c>
      <c r="J80" s="30">
        <f>IF(INDEX(TilgAktiv,($N$6-1)*480+66)=0,"",INDEX(TilgErsatz,($N$6-1)*480+66))</f>
      </c>
      <c r="K80" s="30">
        <f>IF(INDEX(TilgAktiv,($N$6-1)*480+66)=0,"",INDEX(Tilgung!$Q$4:$Q$9603,($N$6-1)*480+66))</f>
      </c>
      <c r="L80" s="30">
        <f>IF(INDEX(TilgAktiv,($N$6-1)*480+66)=0,"",INDEX(Tilgung!$R$4:$R$9603,($N$6-1)*480+66))</f>
      </c>
    </row>
    <row r="81">
      <c r="A81"/>
      <c r="B81" s="36">
        <f>IF(INDEX(TilgAktiv,($N$6-1)*480+67)=0,"",67)</f>
      </c>
      <c r="C81" s="41">
        <f>IF(INDEX(TilgAktiv,($N$6-1)*480+67)=0,"",INDEX(TilgDatum,($N$6-1)*480+67))</f>
      </c>
      <c r="D81" s="31">
        <f>IF(INDEX(TilgAktiv,($N$6-1)*480+67)=0,"",INDEX(Tilgung!$H$4:$H$9603,($N$6-1)*480+67))</f>
      </c>
      <c r="E81" s="30">
        <f>IF(INDEX(TilgAktiv,($N$6-1)*480+67)=0,"",INDEX(Tilgung!$J$4:$J$9603,($N$6-1)*480+67))</f>
      </c>
      <c r="F81" s="30">
        <f>IF(INDEX(TilgAktiv,($N$6-1)*480+67)=0,"",IF(INDEX(TilgTilgung,($N$6-1)*480+67)=0,INDEX(TilgZins,($N$6-1)*480+67),INDEX(TilgZins,($N$6-1)*480+67)+INDEX(TilgTilgung,($N$6-1)*480+67))+INDEX(TilgErsatz,($N$6-1)*480+67))</f>
      </c>
      <c r="G81" s="30">
        <f>IF(INDEX(TilgAktiv,($N$6-1)*480+67)=0,"",INDEX(TilgZins,($N$6-1)*480+67))</f>
      </c>
      <c r="H81" s="30">
        <f>IF(INDEX(TilgAktiv,($N$6-1)*480+67)=0,"",INDEX(TilgTilgung,($N$6-1)*480+67))</f>
      </c>
      <c r="I81" s="30">
        <f>IF(INDEX(TilgAktiv,($N$6-1)*480+67)=0,"",INDEX(TilgSonder,($N$6-1)*480+67))</f>
      </c>
      <c r="J81" s="30">
        <f>IF(INDEX(TilgAktiv,($N$6-1)*480+67)=0,"",INDEX(TilgErsatz,($N$6-1)*480+67))</f>
      </c>
      <c r="K81" s="30">
        <f>IF(INDEX(TilgAktiv,($N$6-1)*480+67)=0,"",INDEX(Tilgung!$Q$4:$Q$9603,($N$6-1)*480+67))</f>
      </c>
      <c r="L81" s="30">
        <f>IF(INDEX(TilgAktiv,($N$6-1)*480+67)=0,"",INDEX(Tilgung!$R$4:$R$9603,($N$6-1)*480+67))</f>
      </c>
    </row>
    <row r="82">
      <c r="A82"/>
      <c r="B82" s="36">
        <f>IF(INDEX(TilgAktiv,($N$6-1)*480+68)=0,"",68)</f>
      </c>
      <c r="C82" s="41">
        <f>IF(INDEX(TilgAktiv,($N$6-1)*480+68)=0,"",INDEX(TilgDatum,($N$6-1)*480+68))</f>
      </c>
      <c r="D82" s="31">
        <f>IF(INDEX(TilgAktiv,($N$6-1)*480+68)=0,"",INDEX(Tilgung!$H$4:$H$9603,($N$6-1)*480+68))</f>
      </c>
      <c r="E82" s="30">
        <f>IF(INDEX(TilgAktiv,($N$6-1)*480+68)=0,"",INDEX(Tilgung!$J$4:$J$9603,($N$6-1)*480+68))</f>
      </c>
      <c r="F82" s="30">
        <f>IF(INDEX(TilgAktiv,($N$6-1)*480+68)=0,"",IF(INDEX(TilgTilgung,($N$6-1)*480+68)=0,INDEX(TilgZins,($N$6-1)*480+68),INDEX(TilgZins,($N$6-1)*480+68)+INDEX(TilgTilgung,($N$6-1)*480+68))+INDEX(TilgErsatz,($N$6-1)*480+68))</f>
      </c>
      <c r="G82" s="30">
        <f>IF(INDEX(TilgAktiv,($N$6-1)*480+68)=0,"",INDEX(TilgZins,($N$6-1)*480+68))</f>
      </c>
      <c r="H82" s="30">
        <f>IF(INDEX(TilgAktiv,($N$6-1)*480+68)=0,"",INDEX(TilgTilgung,($N$6-1)*480+68))</f>
      </c>
      <c r="I82" s="30">
        <f>IF(INDEX(TilgAktiv,($N$6-1)*480+68)=0,"",INDEX(TilgSonder,($N$6-1)*480+68))</f>
      </c>
      <c r="J82" s="30">
        <f>IF(INDEX(TilgAktiv,($N$6-1)*480+68)=0,"",INDEX(TilgErsatz,($N$6-1)*480+68))</f>
      </c>
      <c r="K82" s="30">
        <f>IF(INDEX(TilgAktiv,($N$6-1)*480+68)=0,"",INDEX(Tilgung!$Q$4:$Q$9603,($N$6-1)*480+68))</f>
      </c>
      <c r="L82" s="30">
        <f>IF(INDEX(TilgAktiv,($N$6-1)*480+68)=0,"",INDEX(Tilgung!$R$4:$R$9603,($N$6-1)*480+68))</f>
      </c>
    </row>
    <row r="83">
      <c r="A83"/>
      <c r="B83" s="36">
        <f>IF(INDEX(TilgAktiv,($N$6-1)*480+69)=0,"",69)</f>
      </c>
      <c r="C83" s="41">
        <f>IF(INDEX(TilgAktiv,($N$6-1)*480+69)=0,"",INDEX(TilgDatum,($N$6-1)*480+69))</f>
      </c>
      <c r="D83" s="31">
        <f>IF(INDEX(TilgAktiv,($N$6-1)*480+69)=0,"",INDEX(Tilgung!$H$4:$H$9603,($N$6-1)*480+69))</f>
      </c>
      <c r="E83" s="30">
        <f>IF(INDEX(TilgAktiv,($N$6-1)*480+69)=0,"",INDEX(Tilgung!$J$4:$J$9603,($N$6-1)*480+69))</f>
      </c>
      <c r="F83" s="30">
        <f>IF(INDEX(TilgAktiv,($N$6-1)*480+69)=0,"",IF(INDEX(TilgTilgung,($N$6-1)*480+69)=0,INDEX(TilgZins,($N$6-1)*480+69),INDEX(TilgZins,($N$6-1)*480+69)+INDEX(TilgTilgung,($N$6-1)*480+69))+INDEX(TilgErsatz,($N$6-1)*480+69))</f>
      </c>
      <c r="G83" s="30">
        <f>IF(INDEX(TilgAktiv,($N$6-1)*480+69)=0,"",INDEX(TilgZins,($N$6-1)*480+69))</f>
      </c>
      <c r="H83" s="30">
        <f>IF(INDEX(TilgAktiv,($N$6-1)*480+69)=0,"",INDEX(TilgTilgung,($N$6-1)*480+69))</f>
      </c>
      <c r="I83" s="30">
        <f>IF(INDEX(TilgAktiv,($N$6-1)*480+69)=0,"",INDEX(TilgSonder,($N$6-1)*480+69))</f>
      </c>
      <c r="J83" s="30">
        <f>IF(INDEX(TilgAktiv,($N$6-1)*480+69)=0,"",INDEX(TilgErsatz,($N$6-1)*480+69))</f>
      </c>
      <c r="K83" s="30">
        <f>IF(INDEX(TilgAktiv,($N$6-1)*480+69)=0,"",INDEX(Tilgung!$Q$4:$Q$9603,($N$6-1)*480+69))</f>
      </c>
      <c r="L83" s="30">
        <f>IF(INDEX(TilgAktiv,($N$6-1)*480+69)=0,"",INDEX(Tilgung!$R$4:$R$9603,($N$6-1)*480+69))</f>
      </c>
    </row>
    <row r="84">
      <c r="A84"/>
      <c r="B84" s="36">
        <f>IF(INDEX(TilgAktiv,($N$6-1)*480+70)=0,"",70)</f>
      </c>
      <c r="C84" s="41">
        <f>IF(INDEX(TilgAktiv,($N$6-1)*480+70)=0,"",INDEX(TilgDatum,($N$6-1)*480+70))</f>
      </c>
      <c r="D84" s="31">
        <f>IF(INDEX(TilgAktiv,($N$6-1)*480+70)=0,"",INDEX(Tilgung!$H$4:$H$9603,($N$6-1)*480+70))</f>
      </c>
      <c r="E84" s="30">
        <f>IF(INDEX(TilgAktiv,($N$6-1)*480+70)=0,"",INDEX(Tilgung!$J$4:$J$9603,($N$6-1)*480+70))</f>
      </c>
      <c r="F84" s="30">
        <f>IF(INDEX(TilgAktiv,($N$6-1)*480+70)=0,"",IF(INDEX(TilgTilgung,($N$6-1)*480+70)=0,INDEX(TilgZins,($N$6-1)*480+70),INDEX(TilgZins,($N$6-1)*480+70)+INDEX(TilgTilgung,($N$6-1)*480+70))+INDEX(TilgErsatz,($N$6-1)*480+70))</f>
      </c>
      <c r="G84" s="30">
        <f>IF(INDEX(TilgAktiv,($N$6-1)*480+70)=0,"",INDEX(TilgZins,($N$6-1)*480+70))</f>
      </c>
      <c r="H84" s="30">
        <f>IF(INDEX(TilgAktiv,($N$6-1)*480+70)=0,"",INDEX(TilgTilgung,($N$6-1)*480+70))</f>
      </c>
      <c r="I84" s="30">
        <f>IF(INDEX(TilgAktiv,($N$6-1)*480+70)=0,"",INDEX(TilgSonder,($N$6-1)*480+70))</f>
      </c>
      <c r="J84" s="30">
        <f>IF(INDEX(TilgAktiv,($N$6-1)*480+70)=0,"",INDEX(TilgErsatz,($N$6-1)*480+70))</f>
      </c>
      <c r="K84" s="30">
        <f>IF(INDEX(TilgAktiv,($N$6-1)*480+70)=0,"",INDEX(Tilgung!$Q$4:$Q$9603,($N$6-1)*480+70))</f>
      </c>
      <c r="L84" s="30">
        <f>IF(INDEX(TilgAktiv,($N$6-1)*480+70)=0,"",INDEX(Tilgung!$R$4:$R$9603,($N$6-1)*480+70))</f>
      </c>
    </row>
    <row r="85">
      <c r="A85"/>
      <c r="B85" s="36">
        <f>IF(INDEX(TilgAktiv,($N$6-1)*480+71)=0,"",71)</f>
      </c>
      <c r="C85" s="41">
        <f>IF(INDEX(TilgAktiv,($N$6-1)*480+71)=0,"",INDEX(TilgDatum,($N$6-1)*480+71))</f>
      </c>
      <c r="D85" s="31">
        <f>IF(INDEX(TilgAktiv,($N$6-1)*480+71)=0,"",INDEX(Tilgung!$H$4:$H$9603,($N$6-1)*480+71))</f>
      </c>
      <c r="E85" s="30">
        <f>IF(INDEX(TilgAktiv,($N$6-1)*480+71)=0,"",INDEX(Tilgung!$J$4:$J$9603,($N$6-1)*480+71))</f>
      </c>
      <c r="F85" s="30">
        <f>IF(INDEX(TilgAktiv,($N$6-1)*480+71)=0,"",IF(INDEX(TilgTilgung,($N$6-1)*480+71)=0,INDEX(TilgZins,($N$6-1)*480+71),INDEX(TilgZins,($N$6-1)*480+71)+INDEX(TilgTilgung,($N$6-1)*480+71))+INDEX(TilgErsatz,($N$6-1)*480+71))</f>
      </c>
      <c r="G85" s="30">
        <f>IF(INDEX(TilgAktiv,($N$6-1)*480+71)=0,"",INDEX(TilgZins,($N$6-1)*480+71))</f>
      </c>
      <c r="H85" s="30">
        <f>IF(INDEX(TilgAktiv,($N$6-1)*480+71)=0,"",INDEX(TilgTilgung,($N$6-1)*480+71))</f>
      </c>
      <c r="I85" s="30">
        <f>IF(INDEX(TilgAktiv,($N$6-1)*480+71)=0,"",INDEX(TilgSonder,($N$6-1)*480+71))</f>
      </c>
      <c r="J85" s="30">
        <f>IF(INDEX(TilgAktiv,($N$6-1)*480+71)=0,"",INDEX(TilgErsatz,($N$6-1)*480+71))</f>
      </c>
      <c r="K85" s="30">
        <f>IF(INDEX(TilgAktiv,($N$6-1)*480+71)=0,"",INDEX(Tilgung!$Q$4:$Q$9603,($N$6-1)*480+71))</f>
      </c>
      <c r="L85" s="30">
        <f>IF(INDEX(TilgAktiv,($N$6-1)*480+71)=0,"",INDEX(Tilgung!$R$4:$R$9603,($N$6-1)*480+71))</f>
      </c>
    </row>
    <row r="86">
      <c r="A86"/>
      <c r="B86" s="36">
        <f>IF(INDEX(TilgAktiv,($N$6-1)*480+72)=0,"",72)</f>
      </c>
      <c r="C86" s="41">
        <f>IF(INDEX(TilgAktiv,($N$6-1)*480+72)=0,"",INDEX(TilgDatum,($N$6-1)*480+72))</f>
      </c>
      <c r="D86" s="31">
        <f>IF(INDEX(TilgAktiv,($N$6-1)*480+72)=0,"",INDEX(Tilgung!$H$4:$H$9603,($N$6-1)*480+72))</f>
      </c>
      <c r="E86" s="30">
        <f>IF(INDEX(TilgAktiv,($N$6-1)*480+72)=0,"",INDEX(Tilgung!$J$4:$J$9603,($N$6-1)*480+72))</f>
      </c>
      <c r="F86" s="30">
        <f>IF(INDEX(TilgAktiv,($N$6-1)*480+72)=0,"",IF(INDEX(TilgTilgung,($N$6-1)*480+72)=0,INDEX(TilgZins,($N$6-1)*480+72),INDEX(TilgZins,($N$6-1)*480+72)+INDEX(TilgTilgung,($N$6-1)*480+72))+INDEX(TilgErsatz,($N$6-1)*480+72))</f>
      </c>
      <c r="G86" s="30">
        <f>IF(INDEX(TilgAktiv,($N$6-1)*480+72)=0,"",INDEX(TilgZins,($N$6-1)*480+72))</f>
      </c>
      <c r="H86" s="30">
        <f>IF(INDEX(TilgAktiv,($N$6-1)*480+72)=0,"",INDEX(TilgTilgung,($N$6-1)*480+72))</f>
      </c>
      <c r="I86" s="30">
        <f>IF(INDEX(TilgAktiv,($N$6-1)*480+72)=0,"",INDEX(TilgSonder,($N$6-1)*480+72))</f>
      </c>
      <c r="J86" s="30">
        <f>IF(INDEX(TilgAktiv,($N$6-1)*480+72)=0,"",INDEX(TilgErsatz,($N$6-1)*480+72))</f>
      </c>
      <c r="K86" s="30">
        <f>IF(INDEX(TilgAktiv,($N$6-1)*480+72)=0,"",INDEX(Tilgung!$Q$4:$Q$9603,($N$6-1)*480+72))</f>
      </c>
      <c r="L86" s="30">
        <f>IF(INDEX(TilgAktiv,($N$6-1)*480+72)=0,"",INDEX(Tilgung!$R$4:$R$9603,($N$6-1)*480+72))</f>
      </c>
    </row>
    <row r="87">
      <c r="A87"/>
      <c r="B87" s="36">
        <f>IF(INDEX(TilgAktiv,($N$6-1)*480+73)=0,"",73)</f>
      </c>
      <c r="C87" s="41">
        <f>IF(INDEX(TilgAktiv,($N$6-1)*480+73)=0,"",INDEX(TilgDatum,($N$6-1)*480+73))</f>
      </c>
      <c r="D87" s="31">
        <f>IF(INDEX(TilgAktiv,($N$6-1)*480+73)=0,"",INDEX(Tilgung!$H$4:$H$9603,($N$6-1)*480+73))</f>
      </c>
      <c r="E87" s="30">
        <f>IF(INDEX(TilgAktiv,($N$6-1)*480+73)=0,"",INDEX(Tilgung!$J$4:$J$9603,($N$6-1)*480+73))</f>
      </c>
      <c r="F87" s="30">
        <f>IF(INDEX(TilgAktiv,($N$6-1)*480+73)=0,"",IF(INDEX(TilgTilgung,($N$6-1)*480+73)=0,INDEX(TilgZins,($N$6-1)*480+73),INDEX(TilgZins,($N$6-1)*480+73)+INDEX(TilgTilgung,($N$6-1)*480+73))+INDEX(TilgErsatz,($N$6-1)*480+73))</f>
      </c>
      <c r="G87" s="30">
        <f>IF(INDEX(TilgAktiv,($N$6-1)*480+73)=0,"",INDEX(TilgZins,($N$6-1)*480+73))</f>
      </c>
      <c r="H87" s="30">
        <f>IF(INDEX(TilgAktiv,($N$6-1)*480+73)=0,"",INDEX(TilgTilgung,($N$6-1)*480+73))</f>
      </c>
      <c r="I87" s="30">
        <f>IF(INDEX(TilgAktiv,($N$6-1)*480+73)=0,"",INDEX(TilgSonder,($N$6-1)*480+73))</f>
      </c>
      <c r="J87" s="30">
        <f>IF(INDEX(TilgAktiv,($N$6-1)*480+73)=0,"",INDEX(TilgErsatz,($N$6-1)*480+73))</f>
      </c>
      <c r="K87" s="30">
        <f>IF(INDEX(TilgAktiv,($N$6-1)*480+73)=0,"",INDEX(Tilgung!$Q$4:$Q$9603,($N$6-1)*480+73))</f>
      </c>
      <c r="L87" s="30">
        <f>IF(INDEX(TilgAktiv,($N$6-1)*480+73)=0,"",INDEX(Tilgung!$R$4:$R$9603,($N$6-1)*480+73))</f>
      </c>
    </row>
    <row r="88">
      <c r="A88"/>
      <c r="B88" s="36">
        <f>IF(INDEX(TilgAktiv,($N$6-1)*480+74)=0,"",74)</f>
      </c>
      <c r="C88" s="41">
        <f>IF(INDEX(TilgAktiv,($N$6-1)*480+74)=0,"",INDEX(TilgDatum,($N$6-1)*480+74))</f>
      </c>
      <c r="D88" s="31">
        <f>IF(INDEX(TilgAktiv,($N$6-1)*480+74)=0,"",INDEX(Tilgung!$H$4:$H$9603,($N$6-1)*480+74))</f>
      </c>
      <c r="E88" s="30">
        <f>IF(INDEX(TilgAktiv,($N$6-1)*480+74)=0,"",INDEX(Tilgung!$J$4:$J$9603,($N$6-1)*480+74))</f>
      </c>
      <c r="F88" s="30">
        <f>IF(INDEX(TilgAktiv,($N$6-1)*480+74)=0,"",IF(INDEX(TilgTilgung,($N$6-1)*480+74)=0,INDEX(TilgZins,($N$6-1)*480+74),INDEX(TilgZins,($N$6-1)*480+74)+INDEX(TilgTilgung,($N$6-1)*480+74))+INDEX(TilgErsatz,($N$6-1)*480+74))</f>
      </c>
      <c r="G88" s="30">
        <f>IF(INDEX(TilgAktiv,($N$6-1)*480+74)=0,"",INDEX(TilgZins,($N$6-1)*480+74))</f>
      </c>
      <c r="H88" s="30">
        <f>IF(INDEX(TilgAktiv,($N$6-1)*480+74)=0,"",INDEX(TilgTilgung,($N$6-1)*480+74))</f>
      </c>
      <c r="I88" s="30">
        <f>IF(INDEX(TilgAktiv,($N$6-1)*480+74)=0,"",INDEX(TilgSonder,($N$6-1)*480+74))</f>
      </c>
      <c r="J88" s="30">
        <f>IF(INDEX(TilgAktiv,($N$6-1)*480+74)=0,"",INDEX(TilgErsatz,($N$6-1)*480+74))</f>
      </c>
      <c r="K88" s="30">
        <f>IF(INDEX(TilgAktiv,($N$6-1)*480+74)=0,"",INDEX(Tilgung!$Q$4:$Q$9603,($N$6-1)*480+74))</f>
      </c>
      <c r="L88" s="30">
        <f>IF(INDEX(TilgAktiv,($N$6-1)*480+74)=0,"",INDEX(Tilgung!$R$4:$R$9603,($N$6-1)*480+74))</f>
      </c>
    </row>
    <row r="89">
      <c r="A89"/>
      <c r="B89" s="36">
        <f>IF(INDEX(TilgAktiv,($N$6-1)*480+75)=0,"",75)</f>
      </c>
      <c r="C89" s="41">
        <f>IF(INDEX(TilgAktiv,($N$6-1)*480+75)=0,"",INDEX(TilgDatum,($N$6-1)*480+75))</f>
      </c>
      <c r="D89" s="31">
        <f>IF(INDEX(TilgAktiv,($N$6-1)*480+75)=0,"",INDEX(Tilgung!$H$4:$H$9603,($N$6-1)*480+75))</f>
      </c>
      <c r="E89" s="30">
        <f>IF(INDEX(TilgAktiv,($N$6-1)*480+75)=0,"",INDEX(Tilgung!$J$4:$J$9603,($N$6-1)*480+75))</f>
      </c>
      <c r="F89" s="30">
        <f>IF(INDEX(TilgAktiv,($N$6-1)*480+75)=0,"",IF(INDEX(TilgTilgung,($N$6-1)*480+75)=0,INDEX(TilgZins,($N$6-1)*480+75),INDEX(TilgZins,($N$6-1)*480+75)+INDEX(TilgTilgung,($N$6-1)*480+75))+INDEX(TilgErsatz,($N$6-1)*480+75))</f>
      </c>
      <c r="G89" s="30">
        <f>IF(INDEX(TilgAktiv,($N$6-1)*480+75)=0,"",INDEX(TilgZins,($N$6-1)*480+75))</f>
      </c>
      <c r="H89" s="30">
        <f>IF(INDEX(TilgAktiv,($N$6-1)*480+75)=0,"",INDEX(TilgTilgung,($N$6-1)*480+75))</f>
      </c>
      <c r="I89" s="30">
        <f>IF(INDEX(TilgAktiv,($N$6-1)*480+75)=0,"",INDEX(TilgSonder,($N$6-1)*480+75))</f>
      </c>
      <c r="J89" s="30">
        <f>IF(INDEX(TilgAktiv,($N$6-1)*480+75)=0,"",INDEX(TilgErsatz,($N$6-1)*480+75))</f>
      </c>
      <c r="K89" s="30">
        <f>IF(INDEX(TilgAktiv,($N$6-1)*480+75)=0,"",INDEX(Tilgung!$Q$4:$Q$9603,($N$6-1)*480+75))</f>
      </c>
      <c r="L89" s="30">
        <f>IF(INDEX(TilgAktiv,($N$6-1)*480+75)=0,"",INDEX(Tilgung!$R$4:$R$9603,($N$6-1)*480+75))</f>
      </c>
    </row>
    <row r="90">
      <c r="A90"/>
      <c r="B90" s="36">
        <f>IF(INDEX(TilgAktiv,($N$6-1)*480+76)=0,"",76)</f>
      </c>
      <c r="C90" s="41">
        <f>IF(INDEX(TilgAktiv,($N$6-1)*480+76)=0,"",INDEX(TilgDatum,($N$6-1)*480+76))</f>
      </c>
      <c r="D90" s="31">
        <f>IF(INDEX(TilgAktiv,($N$6-1)*480+76)=0,"",INDEX(Tilgung!$H$4:$H$9603,($N$6-1)*480+76))</f>
      </c>
      <c r="E90" s="30">
        <f>IF(INDEX(TilgAktiv,($N$6-1)*480+76)=0,"",INDEX(Tilgung!$J$4:$J$9603,($N$6-1)*480+76))</f>
      </c>
      <c r="F90" s="30">
        <f>IF(INDEX(TilgAktiv,($N$6-1)*480+76)=0,"",IF(INDEX(TilgTilgung,($N$6-1)*480+76)=0,INDEX(TilgZins,($N$6-1)*480+76),INDEX(TilgZins,($N$6-1)*480+76)+INDEX(TilgTilgung,($N$6-1)*480+76))+INDEX(TilgErsatz,($N$6-1)*480+76))</f>
      </c>
      <c r="G90" s="30">
        <f>IF(INDEX(TilgAktiv,($N$6-1)*480+76)=0,"",INDEX(TilgZins,($N$6-1)*480+76))</f>
      </c>
      <c r="H90" s="30">
        <f>IF(INDEX(TilgAktiv,($N$6-1)*480+76)=0,"",INDEX(TilgTilgung,($N$6-1)*480+76))</f>
      </c>
      <c r="I90" s="30">
        <f>IF(INDEX(TilgAktiv,($N$6-1)*480+76)=0,"",INDEX(TilgSonder,($N$6-1)*480+76))</f>
      </c>
      <c r="J90" s="30">
        <f>IF(INDEX(TilgAktiv,($N$6-1)*480+76)=0,"",INDEX(TilgErsatz,($N$6-1)*480+76))</f>
      </c>
      <c r="K90" s="30">
        <f>IF(INDEX(TilgAktiv,($N$6-1)*480+76)=0,"",INDEX(Tilgung!$Q$4:$Q$9603,($N$6-1)*480+76))</f>
      </c>
      <c r="L90" s="30">
        <f>IF(INDEX(TilgAktiv,($N$6-1)*480+76)=0,"",INDEX(Tilgung!$R$4:$R$9603,($N$6-1)*480+76))</f>
      </c>
    </row>
    <row r="91">
      <c r="A91"/>
      <c r="B91" s="36">
        <f>IF(INDEX(TilgAktiv,($N$6-1)*480+77)=0,"",77)</f>
      </c>
      <c r="C91" s="41">
        <f>IF(INDEX(TilgAktiv,($N$6-1)*480+77)=0,"",INDEX(TilgDatum,($N$6-1)*480+77))</f>
      </c>
      <c r="D91" s="31">
        <f>IF(INDEX(TilgAktiv,($N$6-1)*480+77)=0,"",INDEX(Tilgung!$H$4:$H$9603,($N$6-1)*480+77))</f>
      </c>
      <c r="E91" s="30">
        <f>IF(INDEX(TilgAktiv,($N$6-1)*480+77)=0,"",INDEX(Tilgung!$J$4:$J$9603,($N$6-1)*480+77))</f>
      </c>
      <c r="F91" s="30">
        <f>IF(INDEX(TilgAktiv,($N$6-1)*480+77)=0,"",IF(INDEX(TilgTilgung,($N$6-1)*480+77)=0,INDEX(TilgZins,($N$6-1)*480+77),INDEX(TilgZins,($N$6-1)*480+77)+INDEX(TilgTilgung,($N$6-1)*480+77))+INDEX(TilgErsatz,($N$6-1)*480+77))</f>
      </c>
      <c r="G91" s="30">
        <f>IF(INDEX(TilgAktiv,($N$6-1)*480+77)=0,"",INDEX(TilgZins,($N$6-1)*480+77))</f>
      </c>
      <c r="H91" s="30">
        <f>IF(INDEX(TilgAktiv,($N$6-1)*480+77)=0,"",INDEX(TilgTilgung,($N$6-1)*480+77))</f>
      </c>
      <c r="I91" s="30">
        <f>IF(INDEX(TilgAktiv,($N$6-1)*480+77)=0,"",INDEX(TilgSonder,($N$6-1)*480+77))</f>
      </c>
      <c r="J91" s="30">
        <f>IF(INDEX(TilgAktiv,($N$6-1)*480+77)=0,"",INDEX(TilgErsatz,($N$6-1)*480+77))</f>
      </c>
      <c r="K91" s="30">
        <f>IF(INDEX(TilgAktiv,($N$6-1)*480+77)=0,"",INDEX(Tilgung!$Q$4:$Q$9603,($N$6-1)*480+77))</f>
      </c>
      <c r="L91" s="30">
        <f>IF(INDEX(TilgAktiv,($N$6-1)*480+77)=0,"",INDEX(Tilgung!$R$4:$R$9603,($N$6-1)*480+77))</f>
      </c>
    </row>
    <row r="92">
      <c r="A92"/>
      <c r="B92" s="36">
        <f>IF(INDEX(TilgAktiv,($N$6-1)*480+78)=0,"",78)</f>
      </c>
      <c r="C92" s="41">
        <f>IF(INDEX(TilgAktiv,($N$6-1)*480+78)=0,"",INDEX(TilgDatum,($N$6-1)*480+78))</f>
      </c>
      <c r="D92" s="31">
        <f>IF(INDEX(TilgAktiv,($N$6-1)*480+78)=0,"",INDEX(Tilgung!$H$4:$H$9603,($N$6-1)*480+78))</f>
      </c>
      <c r="E92" s="30">
        <f>IF(INDEX(TilgAktiv,($N$6-1)*480+78)=0,"",INDEX(Tilgung!$J$4:$J$9603,($N$6-1)*480+78))</f>
      </c>
      <c r="F92" s="30">
        <f>IF(INDEX(TilgAktiv,($N$6-1)*480+78)=0,"",IF(INDEX(TilgTilgung,($N$6-1)*480+78)=0,INDEX(TilgZins,($N$6-1)*480+78),INDEX(TilgZins,($N$6-1)*480+78)+INDEX(TilgTilgung,($N$6-1)*480+78))+INDEX(TilgErsatz,($N$6-1)*480+78))</f>
      </c>
      <c r="G92" s="30">
        <f>IF(INDEX(TilgAktiv,($N$6-1)*480+78)=0,"",INDEX(TilgZins,($N$6-1)*480+78))</f>
      </c>
      <c r="H92" s="30">
        <f>IF(INDEX(TilgAktiv,($N$6-1)*480+78)=0,"",INDEX(TilgTilgung,($N$6-1)*480+78))</f>
      </c>
      <c r="I92" s="30">
        <f>IF(INDEX(TilgAktiv,($N$6-1)*480+78)=0,"",INDEX(TilgSonder,($N$6-1)*480+78))</f>
      </c>
      <c r="J92" s="30">
        <f>IF(INDEX(TilgAktiv,($N$6-1)*480+78)=0,"",INDEX(TilgErsatz,($N$6-1)*480+78))</f>
      </c>
      <c r="K92" s="30">
        <f>IF(INDEX(TilgAktiv,($N$6-1)*480+78)=0,"",INDEX(Tilgung!$Q$4:$Q$9603,($N$6-1)*480+78))</f>
      </c>
      <c r="L92" s="30">
        <f>IF(INDEX(TilgAktiv,($N$6-1)*480+78)=0,"",INDEX(Tilgung!$R$4:$R$9603,($N$6-1)*480+78))</f>
      </c>
    </row>
    <row r="93">
      <c r="A93"/>
      <c r="B93" s="36">
        <f>IF(INDEX(TilgAktiv,($N$6-1)*480+79)=0,"",79)</f>
      </c>
      <c r="C93" s="41">
        <f>IF(INDEX(TilgAktiv,($N$6-1)*480+79)=0,"",INDEX(TilgDatum,($N$6-1)*480+79))</f>
      </c>
      <c r="D93" s="31">
        <f>IF(INDEX(TilgAktiv,($N$6-1)*480+79)=0,"",INDEX(Tilgung!$H$4:$H$9603,($N$6-1)*480+79))</f>
      </c>
      <c r="E93" s="30">
        <f>IF(INDEX(TilgAktiv,($N$6-1)*480+79)=0,"",INDEX(Tilgung!$J$4:$J$9603,($N$6-1)*480+79))</f>
      </c>
      <c r="F93" s="30">
        <f>IF(INDEX(TilgAktiv,($N$6-1)*480+79)=0,"",IF(INDEX(TilgTilgung,($N$6-1)*480+79)=0,INDEX(TilgZins,($N$6-1)*480+79),INDEX(TilgZins,($N$6-1)*480+79)+INDEX(TilgTilgung,($N$6-1)*480+79))+INDEX(TilgErsatz,($N$6-1)*480+79))</f>
      </c>
      <c r="G93" s="30">
        <f>IF(INDEX(TilgAktiv,($N$6-1)*480+79)=0,"",INDEX(TilgZins,($N$6-1)*480+79))</f>
      </c>
      <c r="H93" s="30">
        <f>IF(INDEX(TilgAktiv,($N$6-1)*480+79)=0,"",INDEX(TilgTilgung,($N$6-1)*480+79))</f>
      </c>
      <c r="I93" s="30">
        <f>IF(INDEX(TilgAktiv,($N$6-1)*480+79)=0,"",INDEX(TilgSonder,($N$6-1)*480+79))</f>
      </c>
      <c r="J93" s="30">
        <f>IF(INDEX(TilgAktiv,($N$6-1)*480+79)=0,"",INDEX(TilgErsatz,($N$6-1)*480+79))</f>
      </c>
      <c r="K93" s="30">
        <f>IF(INDEX(TilgAktiv,($N$6-1)*480+79)=0,"",INDEX(Tilgung!$Q$4:$Q$9603,($N$6-1)*480+79))</f>
      </c>
      <c r="L93" s="30">
        <f>IF(INDEX(TilgAktiv,($N$6-1)*480+79)=0,"",INDEX(Tilgung!$R$4:$R$9603,($N$6-1)*480+79))</f>
      </c>
    </row>
    <row r="94">
      <c r="A94"/>
      <c r="B94" s="36">
        <f>IF(INDEX(TilgAktiv,($N$6-1)*480+80)=0,"",80)</f>
      </c>
      <c r="C94" s="41">
        <f>IF(INDEX(TilgAktiv,($N$6-1)*480+80)=0,"",INDEX(TilgDatum,($N$6-1)*480+80))</f>
      </c>
      <c r="D94" s="31">
        <f>IF(INDEX(TilgAktiv,($N$6-1)*480+80)=0,"",INDEX(Tilgung!$H$4:$H$9603,($N$6-1)*480+80))</f>
      </c>
      <c r="E94" s="30">
        <f>IF(INDEX(TilgAktiv,($N$6-1)*480+80)=0,"",INDEX(Tilgung!$J$4:$J$9603,($N$6-1)*480+80))</f>
      </c>
      <c r="F94" s="30">
        <f>IF(INDEX(TilgAktiv,($N$6-1)*480+80)=0,"",IF(INDEX(TilgTilgung,($N$6-1)*480+80)=0,INDEX(TilgZins,($N$6-1)*480+80),INDEX(TilgZins,($N$6-1)*480+80)+INDEX(TilgTilgung,($N$6-1)*480+80))+INDEX(TilgErsatz,($N$6-1)*480+80))</f>
      </c>
      <c r="G94" s="30">
        <f>IF(INDEX(TilgAktiv,($N$6-1)*480+80)=0,"",INDEX(TilgZins,($N$6-1)*480+80))</f>
      </c>
      <c r="H94" s="30">
        <f>IF(INDEX(TilgAktiv,($N$6-1)*480+80)=0,"",INDEX(TilgTilgung,($N$6-1)*480+80))</f>
      </c>
      <c r="I94" s="30">
        <f>IF(INDEX(TilgAktiv,($N$6-1)*480+80)=0,"",INDEX(TilgSonder,($N$6-1)*480+80))</f>
      </c>
      <c r="J94" s="30">
        <f>IF(INDEX(TilgAktiv,($N$6-1)*480+80)=0,"",INDEX(TilgErsatz,($N$6-1)*480+80))</f>
      </c>
      <c r="K94" s="30">
        <f>IF(INDEX(TilgAktiv,($N$6-1)*480+80)=0,"",INDEX(Tilgung!$Q$4:$Q$9603,($N$6-1)*480+80))</f>
      </c>
      <c r="L94" s="30">
        <f>IF(INDEX(TilgAktiv,($N$6-1)*480+80)=0,"",INDEX(Tilgung!$R$4:$R$9603,($N$6-1)*480+80))</f>
      </c>
    </row>
    <row r="95">
      <c r="A95"/>
      <c r="B95" s="36">
        <f>IF(INDEX(TilgAktiv,($N$6-1)*480+81)=0,"",81)</f>
      </c>
      <c r="C95" s="41">
        <f>IF(INDEX(TilgAktiv,($N$6-1)*480+81)=0,"",INDEX(TilgDatum,($N$6-1)*480+81))</f>
      </c>
      <c r="D95" s="31">
        <f>IF(INDEX(TilgAktiv,($N$6-1)*480+81)=0,"",INDEX(Tilgung!$H$4:$H$9603,($N$6-1)*480+81))</f>
      </c>
      <c r="E95" s="30">
        <f>IF(INDEX(TilgAktiv,($N$6-1)*480+81)=0,"",INDEX(Tilgung!$J$4:$J$9603,($N$6-1)*480+81))</f>
      </c>
      <c r="F95" s="30">
        <f>IF(INDEX(TilgAktiv,($N$6-1)*480+81)=0,"",IF(INDEX(TilgTilgung,($N$6-1)*480+81)=0,INDEX(TilgZins,($N$6-1)*480+81),INDEX(TilgZins,($N$6-1)*480+81)+INDEX(TilgTilgung,($N$6-1)*480+81))+INDEX(TilgErsatz,($N$6-1)*480+81))</f>
      </c>
      <c r="G95" s="30">
        <f>IF(INDEX(TilgAktiv,($N$6-1)*480+81)=0,"",INDEX(TilgZins,($N$6-1)*480+81))</f>
      </c>
      <c r="H95" s="30">
        <f>IF(INDEX(TilgAktiv,($N$6-1)*480+81)=0,"",INDEX(TilgTilgung,($N$6-1)*480+81))</f>
      </c>
      <c r="I95" s="30">
        <f>IF(INDEX(TilgAktiv,($N$6-1)*480+81)=0,"",INDEX(TilgSonder,($N$6-1)*480+81))</f>
      </c>
      <c r="J95" s="30">
        <f>IF(INDEX(TilgAktiv,($N$6-1)*480+81)=0,"",INDEX(TilgErsatz,($N$6-1)*480+81))</f>
      </c>
      <c r="K95" s="30">
        <f>IF(INDEX(TilgAktiv,($N$6-1)*480+81)=0,"",INDEX(Tilgung!$Q$4:$Q$9603,($N$6-1)*480+81))</f>
      </c>
      <c r="L95" s="30">
        <f>IF(INDEX(TilgAktiv,($N$6-1)*480+81)=0,"",INDEX(Tilgung!$R$4:$R$9603,($N$6-1)*480+81))</f>
      </c>
    </row>
    <row r="96">
      <c r="A96"/>
      <c r="B96" s="36">
        <f>IF(INDEX(TilgAktiv,($N$6-1)*480+82)=0,"",82)</f>
      </c>
      <c r="C96" s="41">
        <f>IF(INDEX(TilgAktiv,($N$6-1)*480+82)=0,"",INDEX(TilgDatum,($N$6-1)*480+82))</f>
      </c>
      <c r="D96" s="31">
        <f>IF(INDEX(TilgAktiv,($N$6-1)*480+82)=0,"",INDEX(Tilgung!$H$4:$H$9603,($N$6-1)*480+82))</f>
      </c>
      <c r="E96" s="30">
        <f>IF(INDEX(TilgAktiv,($N$6-1)*480+82)=0,"",INDEX(Tilgung!$J$4:$J$9603,($N$6-1)*480+82))</f>
      </c>
      <c r="F96" s="30">
        <f>IF(INDEX(TilgAktiv,($N$6-1)*480+82)=0,"",IF(INDEX(TilgTilgung,($N$6-1)*480+82)=0,INDEX(TilgZins,($N$6-1)*480+82),INDEX(TilgZins,($N$6-1)*480+82)+INDEX(TilgTilgung,($N$6-1)*480+82))+INDEX(TilgErsatz,($N$6-1)*480+82))</f>
      </c>
      <c r="G96" s="30">
        <f>IF(INDEX(TilgAktiv,($N$6-1)*480+82)=0,"",INDEX(TilgZins,($N$6-1)*480+82))</f>
      </c>
      <c r="H96" s="30">
        <f>IF(INDEX(TilgAktiv,($N$6-1)*480+82)=0,"",INDEX(TilgTilgung,($N$6-1)*480+82))</f>
      </c>
      <c r="I96" s="30">
        <f>IF(INDEX(TilgAktiv,($N$6-1)*480+82)=0,"",INDEX(TilgSonder,($N$6-1)*480+82))</f>
      </c>
      <c r="J96" s="30">
        <f>IF(INDEX(TilgAktiv,($N$6-1)*480+82)=0,"",INDEX(TilgErsatz,($N$6-1)*480+82))</f>
      </c>
      <c r="K96" s="30">
        <f>IF(INDEX(TilgAktiv,($N$6-1)*480+82)=0,"",INDEX(Tilgung!$Q$4:$Q$9603,($N$6-1)*480+82))</f>
      </c>
      <c r="L96" s="30">
        <f>IF(INDEX(TilgAktiv,($N$6-1)*480+82)=0,"",INDEX(Tilgung!$R$4:$R$9603,($N$6-1)*480+82))</f>
      </c>
    </row>
    <row r="97">
      <c r="A97"/>
      <c r="B97" s="36">
        <f>IF(INDEX(TilgAktiv,($N$6-1)*480+83)=0,"",83)</f>
      </c>
      <c r="C97" s="41">
        <f>IF(INDEX(TilgAktiv,($N$6-1)*480+83)=0,"",INDEX(TilgDatum,($N$6-1)*480+83))</f>
      </c>
      <c r="D97" s="31">
        <f>IF(INDEX(TilgAktiv,($N$6-1)*480+83)=0,"",INDEX(Tilgung!$H$4:$H$9603,($N$6-1)*480+83))</f>
      </c>
      <c r="E97" s="30">
        <f>IF(INDEX(TilgAktiv,($N$6-1)*480+83)=0,"",INDEX(Tilgung!$J$4:$J$9603,($N$6-1)*480+83))</f>
      </c>
      <c r="F97" s="30">
        <f>IF(INDEX(TilgAktiv,($N$6-1)*480+83)=0,"",IF(INDEX(TilgTilgung,($N$6-1)*480+83)=0,INDEX(TilgZins,($N$6-1)*480+83),INDEX(TilgZins,($N$6-1)*480+83)+INDEX(TilgTilgung,($N$6-1)*480+83))+INDEX(TilgErsatz,($N$6-1)*480+83))</f>
      </c>
      <c r="G97" s="30">
        <f>IF(INDEX(TilgAktiv,($N$6-1)*480+83)=0,"",INDEX(TilgZins,($N$6-1)*480+83))</f>
      </c>
      <c r="H97" s="30">
        <f>IF(INDEX(TilgAktiv,($N$6-1)*480+83)=0,"",INDEX(TilgTilgung,($N$6-1)*480+83))</f>
      </c>
      <c r="I97" s="30">
        <f>IF(INDEX(TilgAktiv,($N$6-1)*480+83)=0,"",INDEX(TilgSonder,($N$6-1)*480+83))</f>
      </c>
      <c r="J97" s="30">
        <f>IF(INDEX(TilgAktiv,($N$6-1)*480+83)=0,"",INDEX(TilgErsatz,($N$6-1)*480+83))</f>
      </c>
      <c r="K97" s="30">
        <f>IF(INDEX(TilgAktiv,($N$6-1)*480+83)=0,"",INDEX(Tilgung!$Q$4:$Q$9603,($N$6-1)*480+83))</f>
      </c>
      <c r="L97" s="30">
        <f>IF(INDEX(TilgAktiv,($N$6-1)*480+83)=0,"",INDEX(Tilgung!$R$4:$R$9603,($N$6-1)*480+83))</f>
      </c>
    </row>
    <row r="98">
      <c r="A98"/>
      <c r="B98" s="36">
        <f>IF(INDEX(TilgAktiv,($N$6-1)*480+84)=0,"",84)</f>
      </c>
      <c r="C98" s="41">
        <f>IF(INDEX(TilgAktiv,($N$6-1)*480+84)=0,"",INDEX(TilgDatum,($N$6-1)*480+84))</f>
      </c>
      <c r="D98" s="31">
        <f>IF(INDEX(TilgAktiv,($N$6-1)*480+84)=0,"",INDEX(Tilgung!$H$4:$H$9603,($N$6-1)*480+84))</f>
      </c>
      <c r="E98" s="30">
        <f>IF(INDEX(TilgAktiv,($N$6-1)*480+84)=0,"",INDEX(Tilgung!$J$4:$J$9603,($N$6-1)*480+84))</f>
      </c>
      <c r="F98" s="30">
        <f>IF(INDEX(TilgAktiv,($N$6-1)*480+84)=0,"",IF(INDEX(TilgTilgung,($N$6-1)*480+84)=0,INDEX(TilgZins,($N$6-1)*480+84),INDEX(TilgZins,($N$6-1)*480+84)+INDEX(TilgTilgung,($N$6-1)*480+84))+INDEX(TilgErsatz,($N$6-1)*480+84))</f>
      </c>
      <c r="G98" s="30">
        <f>IF(INDEX(TilgAktiv,($N$6-1)*480+84)=0,"",INDEX(TilgZins,($N$6-1)*480+84))</f>
      </c>
      <c r="H98" s="30">
        <f>IF(INDEX(TilgAktiv,($N$6-1)*480+84)=0,"",INDEX(TilgTilgung,($N$6-1)*480+84))</f>
      </c>
      <c r="I98" s="30">
        <f>IF(INDEX(TilgAktiv,($N$6-1)*480+84)=0,"",INDEX(TilgSonder,($N$6-1)*480+84))</f>
      </c>
      <c r="J98" s="30">
        <f>IF(INDEX(TilgAktiv,($N$6-1)*480+84)=0,"",INDEX(TilgErsatz,($N$6-1)*480+84))</f>
      </c>
      <c r="K98" s="30">
        <f>IF(INDEX(TilgAktiv,($N$6-1)*480+84)=0,"",INDEX(Tilgung!$Q$4:$Q$9603,($N$6-1)*480+84))</f>
      </c>
      <c r="L98" s="30">
        <f>IF(INDEX(TilgAktiv,($N$6-1)*480+84)=0,"",INDEX(Tilgung!$R$4:$R$9603,($N$6-1)*480+84))</f>
      </c>
    </row>
    <row r="99">
      <c r="A99"/>
      <c r="B99" s="36">
        <f>IF(INDEX(TilgAktiv,($N$6-1)*480+85)=0,"",85)</f>
      </c>
      <c r="C99" s="41">
        <f>IF(INDEX(TilgAktiv,($N$6-1)*480+85)=0,"",INDEX(TilgDatum,($N$6-1)*480+85))</f>
      </c>
      <c r="D99" s="31">
        <f>IF(INDEX(TilgAktiv,($N$6-1)*480+85)=0,"",INDEX(Tilgung!$H$4:$H$9603,($N$6-1)*480+85))</f>
      </c>
      <c r="E99" s="30">
        <f>IF(INDEX(TilgAktiv,($N$6-1)*480+85)=0,"",INDEX(Tilgung!$J$4:$J$9603,($N$6-1)*480+85))</f>
      </c>
      <c r="F99" s="30">
        <f>IF(INDEX(TilgAktiv,($N$6-1)*480+85)=0,"",IF(INDEX(TilgTilgung,($N$6-1)*480+85)=0,INDEX(TilgZins,($N$6-1)*480+85),INDEX(TilgZins,($N$6-1)*480+85)+INDEX(TilgTilgung,($N$6-1)*480+85))+INDEX(TilgErsatz,($N$6-1)*480+85))</f>
      </c>
      <c r="G99" s="30">
        <f>IF(INDEX(TilgAktiv,($N$6-1)*480+85)=0,"",INDEX(TilgZins,($N$6-1)*480+85))</f>
      </c>
      <c r="H99" s="30">
        <f>IF(INDEX(TilgAktiv,($N$6-1)*480+85)=0,"",INDEX(TilgTilgung,($N$6-1)*480+85))</f>
      </c>
      <c r="I99" s="30">
        <f>IF(INDEX(TilgAktiv,($N$6-1)*480+85)=0,"",INDEX(TilgSonder,($N$6-1)*480+85))</f>
      </c>
      <c r="J99" s="30">
        <f>IF(INDEX(TilgAktiv,($N$6-1)*480+85)=0,"",INDEX(TilgErsatz,($N$6-1)*480+85))</f>
      </c>
      <c r="K99" s="30">
        <f>IF(INDEX(TilgAktiv,($N$6-1)*480+85)=0,"",INDEX(Tilgung!$Q$4:$Q$9603,($N$6-1)*480+85))</f>
      </c>
      <c r="L99" s="30">
        <f>IF(INDEX(TilgAktiv,($N$6-1)*480+85)=0,"",INDEX(Tilgung!$R$4:$R$9603,($N$6-1)*480+85))</f>
      </c>
    </row>
    <row r="100">
      <c r="A100"/>
      <c r="B100" s="36">
        <f>IF(INDEX(TilgAktiv,($N$6-1)*480+86)=0,"",86)</f>
      </c>
      <c r="C100" s="41">
        <f>IF(INDEX(TilgAktiv,($N$6-1)*480+86)=0,"",INDEX(TilgDatum,($N$6-1)*480+86))</f>
      </c>
      <c r="D100" s="31">
        <f>IF(INDEX(TilgAktiv,($N$6-1)*480+86)=0,"",INDEX(Tilgung!$H$4:$H$9603,($N$6-1)*480+86))</f>
      </c>
      <c r="E100" s="30">
        <f>IF(INDEX(TilgAktiv,($N$6-1)*480+86)=0,"",INDEX(Tilgung!$J$4:$J$9603,($N$6-1)*480+86))</f>
      </c>
      <c r="F100" s="30">
        <f>IF(INDEX(TilgAktiv,($N$6-1)*480+86)=0,"",IF(INDEX(TilgTilgung,($N$6-1)*480+86)=0,INDEX(TilgZins,($N$6-1)*480+86),INDEX(TilgZins,($N$6-1)*480+86)+INDEX(TilgTilgung,($N$6-1)*480+86))+INDEX(TilgErsatz,($N$6-1)*480+86))</f>
      </c>
      <c r="G100" s="30">
        <f>IF(INDEX(TilgAktiv,($N$6-1)*480+86)=0,"",INDEX(TilgZins,($N$6-1)*480+86))</f>
      </c>
      <c r="H100" s="30">
        <f>IF(INDEX(TilgAktiv,($N$6-1)*480+86)=0,"",INDEX(TilgTilgung,($N$6-1)*480+86))</f>
      </c>
      <c r="I100" s="30">
        <f>IF(INDEX(TilgAktiv,($N$6-1)*480+86)=0,"",INDEX(TilgSonder,($N$6-1)*480+86))</f>
      </c>
      <c r="J100" s="30">
        <f>IF(INDEX(TilgAktiv,($N$6-1)*480+86)=0,"",INDEX(TilgErsatz,($N$6-1)*480+86))</f>
      </c>
      <c r="K100" s="30">
        <f>IF(INDEX(TilgAktiv,($N$6-1)*480+86)=0,"",INDEX(Tilgung!$Q$4:$Q$9603,($N$6-1)*480+86))</f>
      </c>
      <c r="L100" s="30">
        <f>IF(INDEX(TilgAktiv,($N$6-1)*480+86)=0,"",INDEX(Tilgung!$R$4:$R$9603,($N$6-1)*480+86))</f>
      </c>
    </row>
    <row r="101">
      <c r="A101"/>
      <c r="B101" s="36">
        <f>IF(INDEX(TilgAktiv,($N$6-1)*480+87)=0,"",87)</f>
      </c>
      <c r="C101" s="41">
        <f>IF(INDEX(TilgAktiv,($N$6-1)*480+87)=0,"",INDEX(TilgDatum,($N$6-1)*480+87))</f>
      </c>
      <c r="D101" s="31">
        <f>IF(INDEX(TilgAktiv,($N$6-1)*480+87)=0,"",INDEX(Tilgung!$H$4:$H$9603,($N$6-1)*480+87))</f>
      </c>
      <c r="E101" s="30">
        <f>IF(INDEX(TilgAktiv,($N$6-1)*480+87)=0,"",INDEX(Tilgung!$J$4:$J$9603,($N$6-1)*480+87))</f>
      </c>
      <c r="F101" s="30">
        <f>IF(INDEX(TilgAktiv,($N$6-1)*480+87)=0,"",IF(INDEX(TilgTilgung,($N$6-1)*480+87)=0,INDEX(TilgZins,($N$6-1)*480+87),INDEX(TilgZins,($N$6-1)*480+87)+INDEX(TilgTilgung,($N$6-1)*480+87))+INDEX(TilgErsatz,($N$6-1)*480+87))</f>
      </c>
      <c r="G101" s="30">
        <f>IF(INDEX(TilgAktiv,($N$6-1)*480+87)=0,"",INDEX(TilgZins,($N$6-1)*480+87))</f>
      </c>
      <c r="H101" s="30">
        <f>IF(INDEX(TilgAktiv,($N$6-1)*480+87)=0,"",INDEX(TilgTilgung,($N$6-1)*480+87))</f>
      </c>
      <c r="I101" s="30">
        <f>IF(INDEX(TilgAktiv,($N$6-1)*480+87)=0,"",INDEX(TilgSonder,($N$6-1)*480+87))</f>
      </c>
      <c r="J101" s="30">
        <f>IF(INDEX(TilgAktiv,($N$6-1)*480+87)=0,"",INDEX(TilgErsatz,($N$6-1)*480+87))</f>
      </c>
      <c r="K101" s="30">
        <f>IF(INDEX(TilgAktiv,($N$6-1)*480+87)=0,"",INDEX(Tilgung!$Q$4:$Q$9603,($N$6-1)*480+87))</f>
      </c>
      <c r="L101" s="30">
        <f>IF(INDEX(TilgAktiv,($N$6-1)*480+87)=0,"",INDEX(Tilgung!$R$4:$R$9603,($N$6-1)*480+87))</f>
      </c>
    </row>
    <row r="102">
      <c r="A102"/>
      <c r="B102" s="36">
        <f>IF(INDEX(TilgAktiv,($N$6-1)*480+88)=0,"",88)</f>
      </c>
      <c r="C102" s="41">
        <f>IF(INDEX(TilgAktiv,($N$6-1)*480+88)=0,"",INDEX(TilgDatum,($N$6-1)*480+88))</f>
      </c>
      <c r="D102" s="31">
        <f>IF(INDEX(TilgAktiv,($N$6-1)*480+88)=0,"",INDEX(Tilgung!$H$4:$H$9603,($N$6-1)*480+88))</f>
      </c>
      <c r="E102" s="30">
        <f>IF(INDEX(TilgAktiv,($N$6-1)*480+88)=0,"",INDEX(Tilgung!$J$4:$J$9603,($N$6-1)*480+88))</f>
      </c>
      <c r="F102" s="30">
        <f>IF(INDEX(TilgAktiv,($N$6-1)*480+88)=0,"",IF(INDEX(TilgTilgung,($N$6-1)*480+88)=0,INDEX(TilgZins,($N$6-1)*480+88),INDEX(TilgZins,($N$6-1)*480+88)+INDEX(TilgTilgung,($N$6-1)*480+88))+INDEX(TilgErsatz,($N$6-1)*480+88))</f>
      </c>
      <c r="G102" s="30">
        <f>IF(INDEX(TilgAktiv,($N$6-1)*480+88)=0,"",INDEX(TilgZins,($N$6-1)*480+88))</f>
      </c>
      <c r="H102" s="30">
        <f>IF(INDEX(TilgAktiv,($N$6-1)*480+88)=0,"",INDEX(TilgTilgung,($N$6-1)*480+88))</f>
      </c>
      <c r="I102" s="30">
        <f>IF(INDEX(TilgAktiv,($N$6-1)*480+88)=0,"",INDEX(TilgSonder,($N$6-1)*480+88))</f>
      </c>
      <c r="J102" s="30">
        <f>IF(INDEX(TilgAktiv,($N$6-1)*480+88)=0,"",INDEX(TilgErsatz,($N$6-1)*480+88))</f>
      </c>
      <c r="K102" s="30">
        <f>IF(INDEX(TilgAktiv,($N$6-1)*480+88)=0,"",INDEX(Tilgung!$Q$4:$Q$9603,($N$6-1)*480+88))</f>
      </c>
      <c r="L102" s="30">
        <f>IF(INDEX(TilgAktiv,($N$6-1)*480+88)=0,"",INDEX(Tilgung!$R$4:$R$9603,($N$6-1)*480+88))</f>
      </c>
    </row>
    <row r="103">
      <c r="A103"/>
      <c r="B103" s="36">
        <f>IF(INDEX(TilgAktiv,($N$6-1)*480+89)=0,"",89)</f>
      </c>
      <c r="C103" s="41">
        <f>IF(INDEX(TilgAktiv,($N$6-1)*480+89)=0,"",INDEX(TilgDatum,($N$6-1)*480+89))</f>
      </c>
      <c r="D103" s="31">
        <f>IF(INDEX(TilgAktiv,($N$6-1)*480+89)=0,"",INDEX(Tilgung!$H$4:$H$9603,($N$6-1)*480+89))</f>
      </c>
      <c r="E103" s="30">
        <f>IF(INDEX(TilgAktiv,($N$6-1)*480+89)=0,"",INDEX(Tilgung!$J$4:$J$9603,($N$6-1)*480+89))</f>
      </c>
      <c r="F103" s="30">
        <f>IF(INDEX(TilgAktiv,($N$6-1)*480+89)=0,"",IF(INDEX(TilgTilgung,($N$6-1)*480+89)=0,INDEX(TilgZins,($N$6-1)*480+89),INDEX(TilgZins,($N$6-1)*480+89)+INDEX(TilgTilgung,($N$6-1)*480+89))+INDEX(TilgErsatz,($N$6-1)*480+89))</f>
      </c>
      <c r="G103" s="30">
        <f>IF(INDEX(TilgAktiv,($N$6-1)*480+89)=0,"",INDEX(TilgZins,($N$6-1)*480+89))</f>
      </c>
      <c r="H103" s="30">
        <f>IF(INDEX(TilgAktiv,($N$6-1)*480+89)=0,"",INDEX(TilgTilgung,($N$6-1)*480+89))</f>
      </c>
      <c r="I103" s="30">
        <f>IF(INDEX(TilgAktiv,($N$6-1)*480+89)=0,"",INDEX(TilgSonder,($N$6-1)*480+89))</f>
      </c>
      <c r="J103" s="30">
        <f>IF(INDEX(TilgAktiv,($N$6-1)*480+89)=0,"",INDEX(TilgErsatz,($N$6-1)*480+89))</f>
      </c>
      <c r="K103" s="30">
        <f>IF(INDEX(TilgAktiv,($N$6-1)*480+89)=0,"",INDEX(Tilgung!$Q$4:$Q$9603,($N$6-1)*480+89))</f>
      </c>
      <c r="L103" s="30">
        <f>IF(INDEX(TilgAktiv,($N$6-1)*480+89)=0,"",INDEX(Tilgung!$R$4:$R$9603,($N$6-1)*480+89))</f>
      </c>
    </row>
    <row r="104">
      <c r="A104"/>
      <c r="B104" s="36">
        <f>IF(INDEX(TilgAktiv,($N$6-1)*480+90)=0,"",90)</f>
      </c>
      <c r="C104" s="41">
        <f>IF(INDEX(TilgAktiv,($N$6-1)*480+90)=0,"",INDEX(TilgDatum,($N$6-1)*480+90))</f>
      </c>
      <c r="D104" s="31">
        <f>IF(INDEX(TilgAktiv,($N$6-1)*480+90)=0,"",INDEX(Tilgung!$H$4:$H$9603,($N$6-1)*480+90))</f>
      </c>
      <c r="E104" s="30">
        <f>IF(INDEX(TilgAktiv,($N$6-1)*480+90)=0,"",INDEX(Tilgung!$J$4:$J$9603,($N$6-1)*480+90))</f>
      </c>
      <c r="F104" s="30">
        <f>IF(INDEX(TilgAktiv,($N$6-1)*480+90)=0,"",IF(INDEX(TilgTilgung,($N$6-1)*480+90)=0,INDEX(TilgZins,($N$6-1)*480+90),INDEX(TilgZins,($N$6-1)*480+90)+INDEX(TilgTilgung,($N$6-1)*480+90))+INDEX(TilgErsatz,($N$6-1)*480+90))</f>
      </c>
      <c r="G104" s="30">
        <f>IF(INDEX(TilgAktiv,($N$6-1)*480+90)=0,"",INDEX(TilgZins,($N$6-1)*480+90))</f>
      </c>
      <c r="H104" s="30">
        <f>IF(INDEX(TilgAktiv,($N$6-1)*480+90)=0,"",INDEX(TilgTilgung,($N$6-1)*480+90))</f>
      </c>
      <c r="I104" s="30">
        <f>IF(INDEX(TilgAktiv,($N$6-1)*480+90)=0,"",INDEX(TilgSonder,($N$6-1)*480+90))</f>
      </c>
      <c r="J104" s="30">
        <f>IF(INDEX(TilgAktiv,($N$6-1)*480+90)=0,"",INDEX(TilgErsatz,($N$6-1)*480+90))</f>
      </c>
      <c r="K104" s="30">
        <f>IF(INDEX(TilgAktiv,($N$6-1)*480+90)=0,"",INDEX(Tilgung!$Q$4:$Q$9603,($N$6-1)*480+90))</f>
      </c>
      <c r="L104" s="30">
        <f>IF(INDEX(TilgAktiv,($N$6-1)*480+90)=0,"",INDEX(Tilgung!$R$4:$R$9603,($N$6-1)*480+90))</f>
      </c>
    </row>
    <row r="105">
      <c r="A105"/>
      <c r="B105" s="36">
        <f>IF(INDEX(TilgAktiv,($N$6-1)*480+91)=0,"",91)</f>
      </c>
      <c r="C105" s="41">
        <f>IF(INDEX(TilgAktiv,($N$6-1)*480+91)=0,"",INDEX(TilgDatum,($N$6-1)*480+91))</f>
      </c>
      <c r="D105" s="31">
        <f>IF(INDEX(TilgAktiv,($N$6-1)*480+91)=0,"",INDEX(Tilgung!$H$4:$H$9603,($N$6-1)*480+91))</f>
      </c>
      <c r="E105" s="30">
        <f>IF(INDEX(TilgAktiv,($N$6-1)*480+91)=0,"",INDEX(Tilgung!$J$4:$J$9603,($N$6-1)*480+91))</f>
      </c>
      <c r="F105" s="30">
        <f>IF(INDEX(TilgAktiv,($N$6-1)*480+91)=0,"",IF(INDEX(TilgTilgung,($N$6-1)*480+91)=0,INDEX(TilgZins,($N$6-1)*480+91),INDEX(TilgZins,($N$6-1)*480+91)+INDEX(TilgTilgung,($N$6-1)*480+91))+INDEX(TilgErsatz,($N$6-1)*480+91))</f>
      </c>
      <c r="G105" s="30">
        <f>IF(INDEX(TilgAktiv,($N$6-1)*480+91)=0,"",INDEX(TilgZins,($N$6-1)*480+91))</f>
      </c>
      <c r="H105" s="30">
        <f>IF(INDEX(TilgAktiv,($N$6-1)*480+91)=0,"",INDEX(TilgTilgung,($N$6-1)*480+91))</f>
      </c>
      <c r="I105" s="30">
        <f>IF(INDEX(TilgAktiv,($N$6-1)*480+91)=0,"",INDEX(TilgSonder,($N$6-1)*480+91))</f>
      </c>
      <c r="J105" s="30">
        <f>IF(INDEX(TilgAktiv,($N$6-1)*480+91)=0,"",INDEX(TilgErsatz,($N$6-1)*480+91))</f>
      </c>
      <c r="K105" s="30">
        <f>IF(INDEX(TilgAktiv,($N$6-1)*480+91)=0,"",INDEX(Tilgung!$Q$4:$Q$9603,($N$6-1)*480+91))</f>
      </c>
      <c r="L105" s="30">
        <f>IF(INDEX(TilgAktiv,($N$6-1)*480+91)=0,"",INDEX(Tilgung!$R$4:$R$9603,($N$6-1)*480+91))</f>
      </c>
    </row>
    <row r="106">
      <c r="A106"/>
      <c r="B106" s="36">
        <f>IF(INDEX(TilgAktiv,($N$6-1)*480+92)=0,"",92)</f>
      </c>
      <c r="C106" s="41">
        <f>IF(INDEX(TilgAktiv,($N$6-1)*480+92)=0,"",INDEX(TilgDatum,($N$6-1)*480+92))</f>
      </c>
      <c r="D106" s="31">
        <f>IF(INDEX(TilgAktiv,($N$6-1)*480+92)=0,"",INDEX(Tilgung!$H$4:$H$9603,($N$6-1)*480+92))</f>
      </c>
      <c r="E106" s="30">
        <f>IF(INDEX(TilgAktiv,($N$6-1)*480+92)=0,"",INDEX(Tilgung!$J$4:$J$9603,($N$6-1)*480+92))</f>
      </c>
      <c r="F106" s="30">
        <f>IF(INDEX(TilgAktiv,($N$6-1)*480+92)=0,"",IF(INDEX(TilgTilgung,($N$6-1)*480+92)=0,INDEX(TilgZins,($N$6-1)*480+92),INDEX(TilgZins,($N$6-1)*480+92)+INDEX(TilgTilgung,($N$6-1)*480+92))+INDEX(TilgErsatz,($N$6-1)*480+92))</f>
      </c>
      <c r="G106" s="30">
        <f>IF(INDEX(TilgAktiv,($N$6-1)*480+92)=0,"",INDEX(TilgZins,($N$6-1)*480+92))</f>
      </c>
      <c r="H106" s="30">
        <f>IF(INDEX(TilgAktiv,($N$6-1)*480+92)=0,"",INDEX(TilgTilgung,($N$6-1)*480+92))</f>
      </c>
      <c r="I106" s="30">
        <f>IF(INDEX(TilgAktiv,($N$6-1)*480+92)=0,"",INDEX(TilgSonder,($N$6-1)*480+92))</f>
      </c>
      <c r="J106" s="30">
        <f>IF(INDEX(TilgAktiv,($N$6-1)*480+92)=0,"",INDEX(TilgErsatz,($N$6-1)*480+92))</f>
      </c>
      <c r="K106" s="30">
        <f>IF(INDEX(TilgAktiv,($N$6-1)*480+92)=0,"",INDEX(Tilgung!$Q$4:$Q$9603,($N$6-1)*480+92))</f>
      </c>
      <c r="L106" s="30">
        <f>IF(INDEX(TilgAktiv,($N$6-1)*480+92)=0,"",INDEX(Tilgung!$R$4:$R$9603,($N$6-1)*480+92))</f>
      </c>
    </row>
    <row r="107">
      <c r="A107"/>
      <c r="B107" s="36">
        <f>IF(INDEX(TilgAktiv,($N$6-1)*480+93)=0,"",93)</f>
      </c>
      <c r="C107" s="41">
        <f>IF(INDEX(TilgAktiv,($N$6-1)*480+93)=0,"",INDEX(TilgDatum,($N$6-1)*480+93))</f>
      </c>
      <c r="D107" s="31">
        <f>IF(INDEX(TilgAktiv,($N$6-1)*480+93)=0,"",INDEX(Tilgung!$H$4:$H$9603,($N$6-1)*480+93))</f>
      </c>
      <c r="E107" s="30">
        <f>IF(INDEX(TilgAktiv,($N$6-1)*480+93)=0,"",INDEX(Tilgung!$J$4:$J$9603,($N$6-1)*480+93))</f>
      </c>
      <c r="F107" s="30">
        <f>IF(INDEX(TilgAktiv,($N$6-1)*480+93)=0,"",IF(INDEX(TilgTilgung,($N$6-1)*480+93)=0,INDEX(TilgZins,($N$6-1)*480+93),INDEX(TilgZins,($N$6-1)*480+93)+INDEX(TilgTilgung,($N$6-1)*480+93))+INDEX(TilgErsatz,($N$6-1)*480+93))</f>
      </c>
      <c r="G107" s="30">
        <f>IF(INDEX(TilgAktiv,($N$6-1)*480+93)=0,"",INDEX(TilgZins,($N$6-1)*480+93))</f>
      </c>
      <c r="H107" s="30">
        <f>IF(INDEX(TilgAktiv,($N$6-1)*480+93)=0,"",INDEX(TilgTilgung,($N$6-1)*480+93))</f>
      </c>
      <c r="I107" s="30">
        <f>IF(INDEX(TilgAktiv,($N$6-1)*480+93)=0,"",INDEX(TilgSonder,($N$6-1)*480+93))</f>
      </c>
      <c r="J107" s="30">
        <f>IF(INDEX(TilgAktiv,($N$6-1)*480+93)=0,"",INDEX(TilgErsatz,($N$6-1)*480+93))</f>
      </c>
      <c r="K107" s="30">
        <f>IF(INDEX(TilgAktiv,($N$6-1)*480+93)=0,"",INDEX(Tilgung!$Q$4:$Q$9603,($N$6-1)*480+93))</f>
      </c>
      <c r="L107" s="30">
        <f>IF(INDEX(TilgAktiv,($N$6-1)*480+93)=0,"",INDEX(Tilgung!$R$4:$R$9603,($N$6-1)*480+93))</f>
      </c>
    </row>
    <row r="108">
      <c r="A108"/>
      <c r="B108" s="36">
        <f>IF(INDEX(TilgAktiv,($N$6-1)*480+94)=0,"",94)</f>
      </c>
      <c r="C108" s="41">
        <f>IF(INDEX(TilgAktiv,($N$6-1)*480+94)=0,"",INDEX(TilgDatum,($N$6-1)*480+94))</f>
      </c>
      <c r="D108" s="31">
        <f>IF(INDEX(TilgAktiv,($N$6-1)*480+94)=0,"",INDEX(Tilgung!$H$4:$H$9603,($N$6-1)*480+94))</f>
      </c>
      <c r="E108" s="30">
        <f>IF(INDEX(TilgAktiv,($N$6-1)*480+94)=0,"",INDEX(Tilgung!$J$4:$J$9603,($N$6-1)*480+94))</f>
      </c>
      <c r="F108" s="30">
        <f>IF(INDEX(TilgAktiv,($N$6-1)*480+94)=0,"",IF(INDEX(TilgTilgung,($N$6-1)*480+94)=0,INDEX(TilgZins,($N$6-1)*480+94),INDEX(TilgZins,($N$6-1)*480+94)+INDEX(TilgTilgung,($N$6-1)*480+94))+INDEX(TilgErsatz,($N$6-1)*480+94))</f>
      </c>
      <c r="G108" s="30">
        <f>IF(INDEX(TilgAktiv,($N$6-1)*480+94)=0,"",INDEX(TilgZins,($N$6-1)*480+94))</f>
      </c>
      <c r="H108" s="30">
        <f>IF(INDEX(TilgAktiv,($N$6-1)*480+94)=0,"",INDEX(TilgTilgung,($N$6-1)*480+94))</f>
      </c>
      <c r="I108" s="30">
        <f>IF(INDEX(TilgAktiv,($N$6-1)*480+94)=0,"",INDEX(TilgSonder,($N$6-1)*480+94))</f>
      </c>
      <c r="J108" s="30">
        <f>IF(INDEX(TilgAktiv,($N$6-1)*480+94)=0,"",INDEX(TilgErsatz,($N$6-1)*480+94))</f>
      </c>
      <c r="K108" s="30">
        <f>IF(INDEX(TilgAktiv,($N$6-1)*480+94)=0,"",INDEX(Tilgung!$Q$4:$Q$9603,($N$6-1)*480+94))</f>
      </c>
      <c r="L108" s="30">
        <f>IF(INDEX(TilgAktiv,($N$6-1)*480+94)=0,"",INDEX(Tilgung!$R$4:$R$9603,($N$6-1)*480+94))</f>
      </c>
    </row>
    <row r="109">
      <c r="A109"/>
      <c r="B109" s="36">
        <f>IF(INDEX(TilgAktiv,($N$6-1)*480+95)=0,"",95)</f>
      </c>
      <c r="C109" s="41">
        <f>IF(INDEX(TilgAktiv,($N$6-1)*480+95)=0,"",INDEX(TilgDatum,($N$6-1)*480+95))</f>
      </c>
      <c r="D109" s="31">
        <f>IF(INDEX(TilgAktiv,($N$6-1)*480+95)=0,"",INDEX(Tilgung!$H$4:$H$9603,($N$6-1)*480+95))</f>
      </c>
      <c r="E109" s="30">
        <f>IF(INDEX(TilgAktiv,($N$6-1)*480+95)=0,"",INDEX(Tilgung!$J$4:$J$9603,($N$6-1)*480+95))</f>
      </c>
      <c r="F109" s="30">
        <f>IF(INDEX(TilgAktiv,($N$6-1)*480+95)=0,"",IF(INDEX(TilgTilgung,($N$6-1)*480+95)=0,INDEX(TilgZins,($N$6-1)*480+95),INDEX(TilgZins,($N$6-1)*480+95)+INDEX(TilgTilgung,($N$6-1)*480+95))+INDEX(TilgErsatz,($N$6-1)*480+95))</f>
      </c>
      <c r="G109" s="30">
        <f>IF(INDEX(TilgAktiv,($N$6-1)*480+95)=0,"",INDEX(TilgZins,($N$6-1)*480+95))</f>
      </c>
      <c r="H109" s="30">
        <f>IF(INDEX(TilgAktiv,($N$6-1)*480+95)=0,"",INDEX(TilgTilgung,($N$6-1)*480+95))</f>
      </c>
      <c r="I109" s="30">
        <f>IF(INDEX(TilgAktiv,($N$6-1)*480+95)=0,"",INDEX(TilgSonder,($N$6-1)*480+95))</f>
      </c>
      <c r="J109" s="30">
        <f>IF(INDEX(TilgAktiv,($N$6-1)*480+95)=0,"",INDEX(TilgErsatz,($N$6-1)*480+95))</f>
      </c>
      <c r="K109" s="30">
        <f>IF(INDEX(TilgAktiv,($N$6-1)*480+95)=0,"",INDEX(Tilgung!$Q$4:$Q$9603,($N$6-1)*480+95))</f>
      </c>
      <c r="L109" s="30">
        <f>IF(INDEX(TilgAktiv,($N$6-1)*480+95)=0,"",INDEX(Tilgung!$R$4:$R$9603,($N$6-1)*480+95))</f>
      </c>
    </row>
    <row r="110">
      <c r="A110"/>
      <c r="B110" s="36">
        <f>IF(INDEX(TilgAktiv,($N$6-1)*480+96)=0,"",96)</f>
      </c>
      <c r="C110" s="41">
        <f>IF(INDEX(TilgAktiv,($N$6-1)*480+96)=0,"",INDEX(TilgDatum,($N$6-1)*480+96))</f>
      </c>
      <c r="D110" s="31">
        <f>IF(INDEX(TilgAktiv,($N$6-1)*480+96)=0,"",INDEX(Tilgung!$H$4:$H$9603,($N$6-1)*480+96))</f>
      </c>
      <c r="E110" s="30">
        <f>IF(INDEX(TilgAktiv,($N$6-1)*480+96)=0,"",INDEX(Tilgung!$J$4:$J$9603,($N$6-1)*480+96))</f>
      </c>
      <c r="F110" s="30">
        <f>IF(INDEX(TilgAktiv,($N$6-1)*480+96)=0,"",IF(INDEX(TilgTilgung,($N$6-1)*480+96)=0,INDEX(TilgZins,($N$6-1)*480+96),INDEX(TilgZins,($N$6-1)*480+96)+INDEX(TilgTilgung,($N$6-1)*480+96))+INDEX(TilgErsatz,($N$6-1)*480+96))</f>
      </c>
      <c r="G110" s="30">
        <f>IF(INDEX(TilgAktiv,($N$6-1)*480+96)=0,"",INDEX(TilgZins,($N$6-1)*480+96))</f>
      </c>
      <c r="H110" s="30">
        <f>IF(INDEX(TilgAktiv,($N$6-1)*480+96)=0,"",INDEX(TilgTilgung,($N$6-1)*480+96))</f>
      </c>
      <c r="I110" s="30">
        <f>IF(INDEX(TilgAktiv,($N$6-1)*480+96)=0,"",INDEX(TilgSonder,($N$6-1)*480+96))</f>
      </c>
      <c r="J110" s="30">
        <f>IF(INDEX(TilgAktiv,($N$6-1)*480+96)=0,"",INDEX(TilgErsatz,($N$6-1)*480+96))</f>
      </c>
      <c r="K110" s="30">
        <f>IF(INDEX(TilgAktiv,($N$6-1)*480+96)=0,"",INDEX(Tilgung!$Q$4:$Q$9603,($N$6-1)*480+96))</f>
      </c>
      <c r="L110" s="30">
        <f>IF(INDEX(TilgAktiv,($N$6-1)*480+96)=0,"",INDEX(Tilgung!$R$4:$R$9603,($N$6-1)*480+96))</f>
      </c>
    </row>
    <row r="111">
      <c r="A111"/>
      <c r="B111" s="36">
        <f>IF(INDEX(TilgAktiv,($N$6-1)*480+97)=0,"",97)</f>
      </c>
      <c r="C111" s="41">
        <f>IF(INDEX(TilgAktiv,($N$6-1)*480+97)=0,"",INDEX(TilgDatum,($N$6-1)*480+97))</f>
      </c>
      <c r="D111" s="31">
        <f>IF(INDEX(TilgAktiv,($N$6-1)*480+97)=0,"",INDEX(Tilgung!$H$4:$H$9603,($N$6-1)*480+97))</f>
      </c>
      <c r="E111" s="30">
        <f>IF(INDEX(TilgAktiv,($N$6-1)*480+97)=0,"",INDEX(Tilgung!$J$4:$J$9603,($N$6-1)*480+97))</f>
      </c>
      <c r="F111" s="30">
        <f>IF(INDEX(TilgAktiv,($N$6-1)*480+97)=0,"",IF(INDEX(TilgTilgung,($N$6-1)*480+97)=0,INDEX(TilgZins,($N$6-1)*480+97),INDEX(TilgZins,($N$6-1)*480+97)+INDEX(TilgTilgung,($N$6-1)*480+97))+INDEX(TilgErsatz,($N$6-1)*480+97))</f>
      </c>
      <c r="G111" s="30">
        <f>IF(INDEX(TilgAktiv,($N$6-1)*480+97)=0,"",INDEX(TilgZins,($N$6-1)*480+97))</f>
      </c>
      <c r="H111" s="30">
        <f>IF(INDEX(TilgAktiv,($N$6-1)*480+97)=0,"",INDEX(TilgTilgung,($N$6-1)*480+97))</f>
      </c>
      <c r="I111" s="30">
        <f>IF(INDEX(TilgAktiv,($N$6-1)*480+97)=0,"",INDEX(TilgSonder,($N$6-1)*480+97))</f>
      </c>
      <c r="J111" s="30">
        <f>IF(INDEX(TilgAktiv,($N$6-1)*480+97)=0,"",INDEX(TilgErsatz,($N$6-1)*480+97))</f>
      </c>
      <c r="K111" s="30">
        <f>IF(INDEX(TilgAktiv,($N$6-1)*480+97)=0,"",INDEX(Tilgung!$Q$4:$Q$9603,($N$6-1)*480+97))</f>
      </c>
      <c r="L111" s="30">
        <f>IF(INDEX(TilgAktiv,($N$6-1)*480+97)=0,"",INDEX(Tilgung!$R$4:$R$9603,($N$6-1)*480+97))</f>
      </c>
    </row>
    <row r="112">
      <c r="A112"/>
      <c r="B112" s="36">
        <f>IF(INDEX(TilgAktiv,($N$6-1)*480+98)=0,"",98)</f>
      </c>
      <c r="C112" s="41">
        <f>IF(INDEX(TilgAktiv,($N$6-1)*480+98)=0,"",INDEX(TilgDatum,($N$6-1)*480+98))</f>
      </c>
      <c r="D112" s="31">
        <f>IF(INDEX(TilgAktiv,($N$6-1)*480+98)=0,"",INDEX(Tilgung!$H$4:$H$9603,($N$6-1)*480+98))</f>
      </c>
      <c r="E112" s="30">
        <f>IF(INDEX(TilgAktiv,($N$6-1)*480+98)=0,"",INDEX(Tilgung!$J$4:$J$9603,($N$6-1)*480+98))</f>
      </c>
      <c r="F112" s="30">
        <f>IF(INDEX(TilgAktiv,($N$6-1)*480+98)=0,"",IF(INDEX(TilgTilgung,($N$6-1)*480+98)=0,INDEX(TilgZins,($N$6-1)*480+98),INDEX(TilgZins,($N$6-1)*480+98)+INDEX(TilgTilgung,($N$6-1)*480+98))+INDEX(TilgErsatz,($N$6-1)*480+98))</f>
      </c>
      <c r="G112" s="30">
        <f>IF(INDEX(TilgAktiv,($N$6-1)*480+98)=0,"",INDEX(TilgZins,($N$6-1)*480+98))</f>
      </c>
      <c r="H112" s="30">
        <f>IF(INDEX(TilgAktiv,($N$6-1)*480+98)=0,"",INDEX(TilgTilgung,($N$6-1)*480+98))</f>
      </c>
      <c r="I112" s="30">
        <f>IF(INDEX(TilgAktiv,($N$6-1)*480+98)=0,"",INDEX(TilgSonder,($N$6-1)*480+98))</f>
      </c>
      <c r="J112" s="30">
        <f>IF(INDEX(TilgAktiv,($N$6-1)*480+98)=0,"",INDEX(TilgErsatz,($N$6-1)*480+98))</f>
      </c>
      <c r="K112" s="30">
        <f>IF(INDEX(TilgAktiv,($N$6-1)*480+98)=0,"",INDEX(Tilgung!$Q$4:$Q$9603,($N$6-1)*480+98))</f>
      </c>
      <c r="L112" s="30">
        <f>IF(INDEX(TilgAktiv,($N$6-1)*480+98)=0,"",INDEX(Tilgung!$R$4:$R$9603,($N$6-1)*480+98))</f>
      </c>
    </row>
    <row r="113">
      <c r="A113"/>
      <c r="B113" s="36">
        <f>IF(INDEX(TilgAktiv,($N$6-1)*480+99)=0,"",99)</f>
      </c>
      <c r="C113" s="41">
        <f>IF(INDEX(TilgAktiv,($N$6-1)*480+99)=0,"",INDEX(TilgDatum,($N$6-1)*480+99))</f>
      </c>
      <c r="D113" s="31">
        <f>IF(INDEX(TilgAktiv,($N$6-1)*480+99)=0,"",INDEX(Tilgung!$H$4:$H$9603,($N$6-1)*480+99))</f>
      </c>
      <c r="E113" s="30">
        <f>IF(INDEX(TilgAktiv,($N$6-1)*480+99)=0,"",INDEX(Tilgung!$J$4:$J$9603,($N$6-1)*480+99))</f>
      </c>
      <c r="F113" s="30">
        <f>IF(INDEX(TilgAktiv,($N$6-1)*480+99)=0,"",IF(INDEX(TilgTilgung,($N$6-1)*480+99)=0,INDEX(TilgZins,($N$6-1)*480+99),INDEX(TilgZins,($N$6-1)*480+99)+INDEX(TilgTilgung,($N$6-1)*480+99))+INDEX(TilgErsatz,($N$6-1)*480+99))</f>
      </c>
      <c r="G113" s="30">
        <f>IF(INDEX(TilgAktiv,($N$6-1)*480+99)=0,"",INDEX(TilgZins,($N$6-1)*480+99))</f>
      </c>
      <c r="H113" s="30">
        <f>IF(INDEX(TilgAktiv,($N$6-1)*480+99)=0,"",INDEX(TilgTilgung,($N$6-1)*480+99))</f>
      </c>
      <c r="I113" s="30">
        <f>IF(INDEX(TilgAktiv,($N$6-1)*480+99)=0,"",INDEX(TilgSonder,($N$6-1)*480+99))</f>
      </c>
      <c r="J113" s="30">
        <f>IF(INDEX(TilgAktiv,($N$6-1)*480+99)=0,"",INDEX(TilgErsatz,($N$6-1)*480+99))</f>
      </c>
      <c r="K113" s="30">
        <f>IF(INDEX(TilgAktiv,($N$6-1)*480+99)=0,"",INDEX(Tilgung!$Q$4:$Q$9603,($N$6-1)*480+99))</f>
      </c>
      <c r="L113" s="30">
        <f>IF(INDEX(TilgAktiv,($N$6-1)*480+99)=0,"",INDEX(Tilgung!$R$4:$R$9603,($N$6-1)*480+99))</f>
      </c>
    </row>
    <row r="114">
      <c r="A114"/>
      <c r="B114" s="36">
        <f>IF(INDEX(TilgAktiv,($N$6-1)*480+100)=0,"",100)</f>
      </c>
      <c r="C114" s="41">
        <f>IF(INDEX(TilgAktiv,($N$6-1)*480+100)=0,"",INDEX(TilgDatum,($N$6-1)*480+100))</f>
      </c>
      <c r="D114" s="31">
        <f>IF(INDEX(TilgAktiv,($N$6-1)*480+100)=0,"",INDEX(Tilgung!$H$4:$H$9603,($N$6-1)*480+100))</f>
      </c>
      <c r="E114" s="30">
        <f>IF(INDEX(TilgAktiv,($N$6-1)*480+100)=0,"",INDEX(Tilgung!$J$4:$J$9603,($N$6-1)*480+100))</f>
      </c>
      <c r="F114" s="30">
        <f>IF(INDEX(TilgAktiv,($N$6-1)*480+100)=0,"",IF(INDEX(TilgTilgung,($N$6-1)*480+100)=0,INDEX(TilgZins,($N$6-1)*480+100),INDEX(TilgZins,($N$6-1)*480+100)+INDEX(TilgTilgung,($N$6-1)*480+100))+INDEX(TilgErsatz,($N$6-1)*480+100))</f>
      </c>
      <c r="G114" s="30">
        <f>IF(INDEX(TilgAktiv,($N$6-1)*480+100)=0,"",INDEX(TilgZins,($N$6-1)*480+100))</f>
      </c>
      <c r="H114" s="30">
        <f>IF(INDEX(TilgAktiv,($N$6-1)*480+100)=0,"",INDEX(TilgTilgung,($N$6-1)*480+100))</f>
      </c>
      <c r="I114" s="30">
        <f>IF(INDEX(TilgAktiv,($N$6-1)*480+100)=0,"",INDEX(TilgSonder,($N$6-1)*480+100))</f>
      </c>
      <c r="J114" s="30">
        <f>IF(INDEX(TilgAktiv,($N$6-1)*480+100)=0,"",INDEX(TilgErsatz,($N$6-1)*480+100))</f>
      </c>
      <c r="K114" s="30">
        <f>IF(INDEX(TilgAktiv,($N$6-1)*480+100)=0,"",INDEX(Tilgung!$Q$4:$Q$9603,($N$6-1)*480+100))</f>
      </c>
      <c r="L114" s="30">
        <f>IF(INDEX(TilgAktiv,($N$6-1)*480+100)=0,"",INDEX(Tilgung!$R$4:$R$9603,($N$6-1)*480+100))</f>
      </c>
    </row>
    <row r="115">
      <c r="A115"/>
      <c r="B115" s="36">
        <f>IF(INDEX(TilgAktiv,($N$6-1)*480+101)=0,"",101)</f>
      </c>
      <c r="C115" s="41">
        <f>IF(INDEX(TilgAktiv,($N$6-1)*480+101)=0,"",INDEX(TilgDatum,($N$6-1)*480+101))</f>
      </c>
      <c r="D115" s="31">
        <f>IF(INDEX(TilgAktiv,($N$6-1)*480+101)=0,"",INDEX(Tilgung!$H$4:$H$9603,($N$6-1)*480+101))</f>
      </c>
      <c r="E115" s="30">
        <f>IF(INDEX(TilgAktiv,($N$6-1)*480+101)=0,"",INDEX(Tilgung!$J$4:$J$9603,($N$6-1)*480+101))</f>
      </c>
      <c r="F115" s="30">
        <f>IF(INDEX(TilgAktiv,($N$6-1)*480+101)=0,"",IF(INDEX(TilgTilgung,($N$6-1)*480+101)=0,INDEX(TilgZins,($N$6-1)*480+101),INDEX(TilgZins,($N$6-1)*480+101)+INDEX(TilgTilgung,($N$6-1)*480+101))+INDEX(TilgErsatz,($N$6-1)*480+101))</f>
      </c>
      <c r="G115" s="30">
        <f>IF(INDEX(TilgAktiv,($N$6-1)*480+101)=0,"",INDEX(TilgZins,($N$6-1)*480+101))</f>
      </c>
      <c r="H115" s="30">
        <f>IF(INDEX(TilgAktiv,($N$6-1)*480+101)=0,"",INDEX(TilgTilgung,($N$6-1)*480+101))</f>
      </c>
      <c r="I115" s="30">
        <f>IF(INDEX(TilgAktiv,($N$6-1)*480+101)=0,"",INDEX(TilgSonder,($N$6-1)*480+101))</f>
      </c>
      <c r="J115" s="30">
        <f>IF(INDEX(TilgAktiv,($N$6-1)*480+101)=0,"",INDEX(TilgErsatz,($N$6-1)*480+101))</f>
      </c>
      <c r="K115" s="30">
        <f>IF(INDEX(TilgAktiv,($N$6-1)*480+101)=0,"",INDEX(Tilgung!$Q$4:$Q$9603,($N$6-1)*480+101))</f>
      </c>
      <c r="L115" s="30">
        <f>IF(INDEX(TilgAktiv,($N$6-1)*480+101)=0,"",INDEX(Tilgung!$R$4:$R$9603,($N$6-1)*480+101))</f>
      </c>
    </row>
    <row r="116">
      <c r="A116"/>
      <c r="B116" s="36">
        <f>IF(INDEX(TilgAktiv,($N$6-1)*480+102)=0,"",102)</f>
      </c>
      <c r="C116" s="41">
        <f>IF(INDEX(TilgAktiv,($N$6-1)*480+102)=0,"",INDEX(TilgDatum,($N$6-1)*480+102))</f>
      </c>
      <c r="D116" s="31">
        <f>IF(INDEX(TilgAktiv,($N$6-1)*480+102)=0,"",INDEX(Tilgung!$H$4:$H$9603,($N$6-1)*480+102))</f>
      </c>
      <c r="E116" s="30">
        <f>IF(INDEX(TilgAktiv,($N$6-1)*480+102)=0,"",INDEX(Tilgung!$J$4:$J$9603,($N$6-1)*480+102))</f>
      </c>
      <c r="F116" s="30">
        <f>IF(INDEX(TilgAktiv,($N$6-1)*480+102)=0,"",IF(INDEX(TilgTilgung,($N$6-1)*480+102)=0,INDEX(TilgZins,($N$6-1)*480+102),INDEX(TilgZins,($N$6-1)*480+102)+INDEX(TilgTilgung,($N$6-1)*480+102))+INDEX(TilgErsatz,($N$6-1)*480+102))</f>
      </c>
      <c r="G116" s="30">
        <f>IF(INDEX(TilgAktiv,($N$6-1)*480+102)=0,"",INDEX(TilgZins,($N$6-1)*480+102))</f>
      </c>
      <c r="H116" s="30">
        <f>IF(INDEX(TilgAktiv,($N$6-1)*480+102)=0,"",INDEX(TilgTilgung,($N$6-1)*480+102))</f>
      </c>
      <c r="I116" s="30">
        <f>IF(INDEX(TilgAktiv,($N$6-1)*480+102)=0,"",INDEX(TilgSonder,($N$6-1)*480+102))</f>
      </c>
      <c r="J116" s="30">
        <f>IF(INDEX(TilgAktiv,($N$6-1)*480+102)=0,"",INDEX(TilgErsatz,($N$6-1)*480+102))</f>
      </c>
      <c r="K116" s="30">
        <f>IF(INDEX(TilgAktiv,($N$6-1)*480+102)=0,"",INDEX(Tilgung!$Q$4:$Q$9603,($N$6-1)*480+102))</f>
      </c>
      <c r="L116" s="30">
        <f>IF(INDEX(TilgAktiv,($N$6-1)*480+102)=0,"",INDEX(Tilgung!$R$4:$R$9603,($N$6-1)*480+102))</f>
      </c>
    </row>
    <row r="117">
      <c r="A117"/>
      <c r="B117" s="36">
        <f>IF(INDEX(TilgAktiv,($N$6-1)*480+103)=0,"",103)</f>
      </c>
      <c r="C117" s="41">
        <f>IF(INDEX(TilgAktiv,($N$6-1)*480+103)=0,"",INDEX(TilgDatum,($N$6-1)*480+103))</f>
      </c>
      <c r="D117" s="31">
        <f>IF(INDEX(TilgAktiv,($N$6-1)*480+103)=0,"",INDEX(Tilgung!$H$4:$H$9603,($N$6-1)*480+103))</f>
      </c>
      <c r="E117" s="30">
        <f>IF(INDEX(TilgAktiv,($N$6-1)*480+103)=0,"",INDEX(Tilgung!$J$4:$J$9603,($N$6-1)*480+103))</f>
      </c>
      <c r="F117" s="30">
        <f>IF(INDEX(TilgAktiv,($N$6-1)*480+103)=0,"",IF(INDEX(TilgTilgung,($N$6-1)*480+103)=0,INDEX(TilgZins,($N$6-1)*480+103),INDEX(TilgZins,($N$6-1)*480+103)+INDEX(TilgTilgung,($N$6-1)*480+103))+INDEX(TilgErsatz,($N$6-1)*480+103))</f>
      </c>
      <c r="G117" s="30">
        <f>IF(INDEX(TilgAktiv,($N$6-1)*480+103)=0,"",INDEX(TilgZins,($N$6-1)*480+103))</f>
      </c>
      <c r="H117" s="30">
        <f>IF(INDEX(TilgAktiv,($N$6-1)*480+103)=0,"",INDEX(TilgTilgung,($N$6-1)*480+103))</f>
      </c>
      <c r="I117" s="30">
        <f>IF(INDEX(TilgAktiv,($N$6-1)*480+103)=0,"",INDEX(TilgSonder,($N$6-1)*480+103))</f>
      </c>
      <c r="J117" s="30">
        <f>IF(INDEX(TilgAktiv,($N$6-1)*480+103)=0,"",INDEX(TilgErsatz,($N$6-1)*480+103))</f>
      </c>
      <c r="K117" s="30">
        <f>IF(INDEX(TilgAktiv,($N$6-1)*480+103)=0,"",INDEX(Tilgung!$Q$4:$Q$9603,($N$6-1)*480+103))</f>
      </c>
      <c r="L117" s="30">
        <f>IF(INDEX(TilgAktiv,($N$6-1)*480+103)=0,"",INDEX(Tilgung!$R$4:$R$9603,($N$6-1)*480+103))</f>
      </c>
    </row>
    <row r="118">
      <c r="A118"/>
      <c r="B118" s="36">
        <f>IF(INDEX(TilgAktiv,($N$6-1)*480+104)=0,"",104)</f>
      </c>
      <c r="C118" s="41">
        <f>IF(INDEX(TilgAktiv,($N$6-1)*480+104)=0,"",INDEX(TilgDatum,($N$6-1)*480+104))</f>
      </c>
      <c r="D118" s="31">
        <f>IF(INDEX(TilgAktiv,($N$6-1)*480+104)=0,"",INDEX(Tilgung!$H$4:$H$9603,($N$6-1)*480+104))</f>
      </c>
      <c r="E118" s="30">
        <f>IF(INDEX(TilgAktiv,($N$6-1)*480+104)=0,"",INDEX(Tilgung!$J$4:$J$9603,($N$6-1)*480+104))</f>
      </c>
      <c r="F118" s="30">
        <f>IF(INDEX(TilgAktiv,($N$6-1)*480+104)=0,"",IF(INDEX(TilgTilgung,($N$6-1)*480+104)=0,INDEX(TilgZins,($N$6-1)*480+104),INDEX(TilgZins,($N$6-1)*480+104)+INDEX(TilgTilgung,($N$6-1)*480+104))+INDEX(TilgErsatz,($N$6-1)*480+104))</f>
      </c>
      <c r="G118" s="30">
        <f>IF(INDEX(TilgAktiv,($N$6-1)*480+104)=0,"",INDEX(TilgZins,($N$6-1)*480+104))</f>
      </c>
      <c r="H118" s="30">
        <f>IF(INDEX(TilgAktiv,($N$6-1)*480+104)=0,"",INDEX(TilgTilgung,($N$6-1)*480+104))</f>
      </c>
      <c r="I118" s="30">
        <f>IF(INDEX(TilgAktiv,($N$6-1)*480+104)=0,"",INDEX(TilgSonder,($N$6-1)*480+104))</f>
      </c>
      <c r="J118" s="30">
        <f>IF(INDEX(TilgAktiv,($N$6-1)*480+104)=0,"",INDEX(TilgErsatz,($N$6-1)*480+104))</f>
      </c>
      <c r="K118" s="30">
        <f>IF(INDEX(TilgAktiv,($N$6-1)*480+104)=0,"",INDEX(Tilgung!$Q$4:$Q$9603,($N$6-1)*480+104))</f>
      </c>
      <c r="L118" s="30">
        <f>IF(INDEX(TilgAktiv,($N$6-1)*480+104)=0,"",INDEX(Tilgung!$R$4:$R$9603,($N$6-1)*480+104))</f>
      </c>
    </row>
    <row r="119">
      <c r="A119"/>
      <c r="B119" s="36">
        <f>IF(INDEX(TilgAktiv,($N$6-1)*480+105)=0,"",105)</f>
      </c>
      <c r="C119" s="41">
        <f>IF(INDEX(TilgAktiv,($N$6-1)*480+105)=0,"",INDEX(TilgDatum,($N$6-1)*480+105))</f>
      </c>
      <c r="D119" s="31">
        <f>IF(INDEX(TilgAktiv,($N$6-1)*480+105)=0,"",INDEX(Tilgung!$H$4:$H$9603,($N$6-1)*480+105))</f>
      </c>
      <c r="E119" s="30">
        <f>IF(INDEX(TilgAktiv,($N$6-1)*480+105)=0,"",INDEX(Tilgung!$J$4:$J$9603,($N$6-1)*480+105))</f>
      </c>
      <c r="F119" s="30">
        <f>IF(INDEX(TilgAktiv,($N$6-1)*480+105)=0,"",IF(INDEX(TilgTilgung,($N$6-1)*480+105)=0,INDEX(TilgZins,($N$6-1)*480+105),INDEX(TilgZins,($N$6-1)*480+105)+INDEX(TilgTilgung,($N$6-1)*480+105))+INDEX(TilgErsatz,($N$6-1)*480+105))</f>
      </c>
      <c r="G119" s="30">
        <f>IF(INDEX(TilgAktiv,($N$6-1)*480+105)=0,"",INDEX(TilgZins,($N$6-1)*480+105))</f>
      </c>
      <c r="H119" s="30">
        <f>IF(INDEX(TilgAktiv,($N$6-1)*480+105)=0,"",INDEX(TilgTilgung,($N$6-1)*480+105))</f>
      </c>
      <c r="I119" s="30">
        <f>IF(INDEX(TilgAktiv,($N$6-1)*480+105)=0,"",INDEX(TilgSonder,($N$6-1)*480+105))</f>
      </c>
      <c r="J119" s="30">
        <f>IF(INDEX(TilgAktiv,($N$6-1)*480+105)=0,"",INDEX(TilgErsatz,($N$6-1)*480+105))</f>
      </c>
      <c r="K119" s="30">
        <f>IF(INDEX(TilgAktiv,($N$6-1)*480+105)=0,"",INDEX(Tilgung!$Q$4:$Q$9603,($N$6-1)*480+105))</f>
      </c>
      <c r="L119" s="30">
        <f>IF(INDEX(TilgAktiv,($N$6-1)*480+105)=0,"",INDEX(Tilgung!$R$4:$R$9603,($N$6-1)*480+105))</f>
      </c>
    </row>
    <row r="120">
      <c r="A120"/>
      <c r="B120" s="36">
        <f>IF(INDEX(TilgAktiv,($N$6-1)*480+106)=0,"",106)</f>
      </c>
      <c r="C120" s="41">
        <f>IF(INDEX(TilgAktiv,($N$6-1)*480+106)=0,"",INDEX(TilgDatum,($N$6-1)*480+106))</f>
      </c>
      <c r="D120" s="31">
        <f>IF(INDEX(TilgAktiv,($N$6-1)*480+106)=0,"",INDEX(Tilgung!$H$4:$H$9603,($N$6-1)*480+106))</f>
      </c>
      <c r="E120" s="30">
        <f>IF(INDEX(TilgAktiv,($N$6-1)*480+106)=0,"",INDEX(Tilgung!$J$4:$J$9603,($N$6-1)*480+106))</f>
      </c>
      <c r="F120" s="30">
        <f>IF(INDEX(TilgAktiv,($N$6-1)*480+106)=0,"",IF(INDEX(TilgTilgung,($N$6-1)*480+106)=0,INDEX(TilgZins,($N$6-1)*480+106),INDEX(TilgZins,($N$6-1)*480+106)+INDEX(TilgTilgung,($N$6-1)*480+106))+INDEX(TilgErsatz,($N$6-1)*480+106))</f>
      </c>
      <c r="G120" s="30">
        <f>IF(INDEX(TilgAktiv,($N$6-1)*480+106)=0,"",INDEX(TilgZins,($N$6-1)*480+106))</f>
      </c>
      <c r="H120" s="30">
        <f>IF(INDEX(TilgAktiv,($N$6-1)*480+106)=0,"",INDEX(TilgTilgung,($N$6-1)*480+106))</f>
      </c>
      <c r="I120" s="30">
        <f>IF(INDEX(TilgAktiv,($N$6-1)*480+106)=0,"",INDEX(TilgSonder,($N$6-1)*480+106))</f>
      </c>
      <c r="J120" s="30">
        <f>IF(INDEX(TilgAktiv,($N$6-1)*480+106)=0,"",INDEX(TilgErsatz,($N$6-1)*480+106))</f>
      </c>
      <c r="K120" s="30">
        <f>IF(INDEX(TilgAktiv,($N$6-1)*480+106)=0,"",INDEX(Tilgung!$Q$4:$Q$9603,($N$6-1)*480+106))</f>
      </c>
      <c r="L120" s="30">
        <f>IF(INDEX(TilgAktiv,($N$6-1)*480+106)=0,"",INDEX(Tilgung!$R$4:$R$9603,($N$6-1)*480+106))</f>
      </c>
    </row>
    <row r="121">
      <c r="A121"/>
      <c r="B121" s="36">
        <f>IF(INDEX(TilgAktiv,($N$6-1)*480+107)=0,"",107)</f>
      </c>
      <c r="C121" s="41">
        <f>IF(INDEX(TilgAktiv,($N$6-1)*480+107)=0,"",INDEX(TilgDatum,($N$6-1)*480+107))</f>
      </c>
      <c r="D121" s="31">
        <f>IF(INDEX(TilgAktiv,($N$6-1)*480+107)=0,"",INDEX(Tilgung!$H$4:$H$9603,($N$6-1)*480+107))</f>
      </c>
      <c r="E121" s="30">
        <f>IF(INDEX(TilgAktiv,($N$6-1)*480+107)=0,"",INDEX(Tilgung!$J$4:$J$9603,($N$6-1)*480+107))</f>
      </c>
      <c r="F121" s="30">
        <f>IF(INDEX(TilgAktiv,($N$6-1)*480+107)=0,"",IF(INDEX(TilgTilgung,($N$6-1)*480+107)=0,INDEX(TilgZins,($N$6-1)*480+107),INDEX(TilgZins,($N$6-1)*480+107)+INDEX(TilgTilgung,($N$6-1)*480+107))+INDEX(TilgErsatz,($N$6-1)*480+107))</f>
      </c>
      <c r="G121" s="30">
        <f>IF(INDEX(TilgAktiv,($N$6-1)*480+107)=0,"",INDEX(TilgZins,($N$6-1)*480+107))</f>
      </c>
      <c r="H121" s="30">
        <f>IF(INDEX(TilgAktiv,($N$6-1)*480+107)=0,"",INDEX(TilgTilgung,($N$6-1)*480+107))</f>
      </c>
      <c r="I121" s="30">
        <f>IF(INDEX(TilgAktiv,($N$6-1)*480+107)=0,"",INDEX(TilgSonder,($N$6-1)*480+107))</f>
      </c>
      <c r="J121" s="30">
        <f>IF(INDEX(TilgAktiv,($N$6-1)*480+107)=0,"",INDEX(TilgErsatz,($N$6-1)*480+107))</f>
      </c>
      <c r="K121" s="30">
        <f>IF(INDEX(TilgAktiv,($N$6-1)*480+107)=0,"",INDEX(Tilgung!$Q$4:$Q$9603,($N$6-1)*480+107))</f>
      </c>
      <c r="L121" s="30">
        <f>IF(INDEX(TilgAktiv,($N$6-1)*480+107)=0,"",INDEX(Tilgung!$R$4:$R$9603,($N$6-1)*480+107))</f>
      </c>
    </row>
    <row r="122">
      <c r="A122"/>
      <c r="B122" s="36">
        <f>IF(INDEX(TilgAktiv,($N$6-1)*480+108)=0,"",108)</f>
      </c>
      <c r="C122" s="41">
        <f>IF(INDEX(TilgAktiv,($N$6-1)*480+108)=0,"",INDEX(TilgDatum,($N$6-1)*480+108))</f>
      </c>
      <c r="D122" s="31">
        <f>IF(INDEX(TilgAktiv,($N$6-1)*480+108)=0,"",INDEX(Tilgung!$H$4:$H$9603,($N$6-1)*480+108))</f>
      </c>
      <c r="E122" s="30">
        <f>IF(INDEX(TilgAktiv,($N$6-1)*480+108)=0,"",INDEX(Tilgung!$J$4:$J$9603,($N$6-1)*480+108))</f>
      </c>
      <c r="F122" s="30">
        <f>IF(INDEX(TilgAktiv,($N$6-1)*480+108)=0,"",IF(INDEX(TilgTilgung,($N$6-1)*480+108)=0,INDEX(TilgZins,($N$6-1)*480+108),INDEX(TilgZins,($N$6-1)*480+108)+INDEX(TilgTilgung,($N$6-1)*480+108))+INDEX(TilgErsatz,($N$6-1)*480+108))</f>
      </c>
      <c r="G122" s="30">
        <f>IF(INDEX(TilgAktiv,($N$6-1)*480+108)=0,"",INDEX(TilgZins,($N$6-1)*480+108))</f>
      </c>
      <c r="H122" s="30">
        <f>IF(INDEX(TilgAktiv,($N$6-1)*480+108)=0,"",INDEX(TilgTilgung,($N$6-1)*480+108))</f>
      </c>
      <c r="I122" s="30">
        <f>IF(INDEX(TilgAktiv,($N$6-1)*480+108)=0,"",INDEX(TilgSonder,($N$6-1)*480+108))</f>
      </c>
      <c r="J122" s="30">
        <f>IF(INDEX(TilgAktiv,($N$6-1)*480+108)=0,"",INDEX(TilgErsatz,($N$6-1)*480+108))</f>
      </c>
      <c r="K122" s="30">
        <f>IF(INDEX(TilgAktiv,($N$6-1)*480+108)=0,"",INDEX(Tilgung!$Q$4:$Q$9603,($N$6-1)*480+108))</f>
      </c>
      <c r="L122" s="30">
        <f>IF(INDEX(TilgAktiv,($N$6-1)*480+108)=0,"",INDEX(Tilgung!$R$4:$R$9603,($N$6-1)*480+108))</f>
      </c>
    </row>
    <row r="123">
      <c r="A123"/>
      <c r="B123" s="36">
        <f>IF(INDEX(TilgAktiv,($N$6-1)*480+109)=0,"",109)</f>
      </c>
      <c r="C123" s="41">
        <f>IF(INDEX(TilgAktiv,($N$6-1)*480+109)=0,"",INDEX(TilgDatum,($N$6-1)*480+109))</f>
      </c>
      <c r="D123" s="31">
        <f>IF(INDEX(TilgAktiv,($N$6-1)*480+109)=0,"",INDEX(Tilgung!$H$4:$H$9603,($N$6-1)*480+109))</f>
      </c>
      <c r="E123" s="30">
        <f>IF(INDEX(TilgAktiv,($N$6-1)*480+109)=0,"",INDEX(Tilgung!$J$4:$J$9603,($N$6-1)*480+109))</f>
      </c>
      <c r="F123" s="30">
        <f>IF(INDEX(TilgAktiv,($N$6-1)*480+109)=0,"",IF(INDEX(TilgTilgung,($N$6-1)*480+109)=0,INDEX(TilgZins,($N$6-1)*480+109),INDEX(TilgZins,($N$6-1)*480+109)+INDEX(TilgTilgung,($N$6-1)*480+109))+INDEX(TilgErsatz,($N$6-1)*480+109))</f>
      </c>
      <c r="G123" s="30">
        <f>IF(INDEX(TilgAktiv,($N$6-1)*480+109)=0,"",INDEX(TilgZins,($N$6-1)*480+109))</f>
      </c>
      <c r="H123" s="30">
        <f>IF(INDEX(TilgAktiv,($N$6-1)*480+109)=0,"",INDEX(TilgTilgung,($N$6-1)*480+109))</f>
      </c>
      <c r="I123" s="30">
        <f>IF(INDEX(TilgAktiv,($N$6-1)*480+109)=0,"",INDEX(TilgSonder,($N$6-1)*480+109))</f>
      </c>
      <c r="J123" s="30">
        <f>IF(INDEX(TilgAktiv,($N$6-1)*480+109)=0,"",INDEX(TilgErsatz,($N$6-1)*480+109))</f>
      </c>
      <c r="K123" s="30">
        <f>IF(INDEX(TilgAktiv,($N$6-1)*480+109)=0,"",INDEX(Tilgung!$Q$4:$Q$9603,($N$6-1)*480+109))</f>
      </c>
      <c r="L123" s="30">
        <f>IF(INDEX(TilgAktiv,($N$6-1)*480+109)=0,"",INDEX(Tilgung!$R$4:$R$9603,($N$6-1)*480+109))</f>
      </c>
    </row>
    <row r="124">
      <c r="A124"/>
      <c r="B124" s="36">
        <f>IF(INDEX(TilgAktiv,($N$6-1)*480+110)=0,"",110)</f>
      </c>
      <c r="C124" s="41">
        <f>IF(INDEX(TilgAktiv,($N$6-1)*480+110)=0,"",INDEX(TilgDatum,($N$6-1)*480+110))</f>
      </c>
      <c r="D124" s="31">
        <f>IF(INDEX(TilgAktiv,($N$6-1)*480+110)=0,"",INDEX(Tilgung!$H$4:$H$9603,($N$6-1)*480+110))</f>
      </c>
      <c r="E124" s="30">
        <f>IF(INDEX(TilgAktiv,($N$6-1)*480+110)=0,"",INDEX(Tilgung!$J$4:$J$9603,($N$6-1)*480+110))</f>
      </c>
      <c r="F124" s="30">
        <f>IF(INDEX(TilgAktiv,($N$6-1)*480+110)=0,"",IF(INDEX(TilgTilgung,($N$6-1)*480+110)=0,INDEX(TilgZins,($N$6-1)*480+110),INDEX(TilgZins,($N$6-1)*480+110)+INDEX(TilgTilgung,($N$6-1)*480+110))+INDEX(TilgErsatz,($N$6-1)*480+110))</f>
      </c>
      <c r="G124" s="30">
        <f>IF(INDEX(TilgAktiv,($N$6-1)*480+110)=0,"",INDEX(TilgZins,($N$6-1)*480+110))</f>
      </c>
      <c r="H124" s="30">
        <f>IF(INDEX(TilgAktiv,($N$6-1)*480+110)=0,"",INDEX(TilgTilgung,($N$6-1)*480+110))</f>
      </c>
      <c r="I124" s="30">
        <f>IF(INDEX(TilgAktiv,($N$6-1)*480+110)=0,"",INDEX(TilgSonder,($N$6-1)*480+110))</f>
      </c>
      <c r="J124" s="30">
        <f>IF(INDEX(TilgAktiv,($N$6-1)*480+110)=0,"",INDEX(TilgErsatz,($N$6-1)*480+110))</f>
      </c>
      <c r="K124" s="30">
        <f>IF(INDEX(TilgAktiv,($N$6-1)*480+110)=0,"",INDEX(Tilgung!$Q$4:$Q$9603,($N$6-1)*480+110))</f>
      </c>
      <c r="L124" s="30">
        <f>IF(INDEX(TilgAktiv,($N$6-1)*480+110)=0,"",INDEX(Tilgung!$R$4:$R$9603,($N$6-1)*480+110))</f>
      </c>
    </row>
    <row r="125">
      <c r="A125"/>
      <c r="B125" s="36">
        <f>IF(INDEX(TilgAktiv,($N$6-1)*480+111)=0,"",111)</f>
      </c>
      <c r="C125" s="41">
        <f>IF(INDEX(TilgAktiv,($N$6-1)*480+111)=0,"",INDEX(TilgDatum,($N$6-1)*480+111))</f>
      </c>
      <c r="D125" s="31">
        <f>IF(INDEX(TilgAktiv,($N$6-1)*480+111)=0,"",INDEX(Tilgung!$H$4:$H$9603,($N$6-1)*480+111))</f>
      </c>
      <c r="E125" s="30">
        <f>IF(INDEX(TilgAktiv,($N$6-1)*480+111)=0,"",INDEX(Tilgung!$J$4:$J$9603,($N$6-1)*480+111))</f>
      </c>
      <c r="F125" s="30">
        <f>IF(INDEX(TilgAktiv,($N$6-1)*480+111)=0,"",IF(INDEX(TilgTilgung,($N$6-1)*480+111)=0,INDEX(TilgZins,($N$6-1)*480+111),INDEX(TilgZins,($N$6-1)*480+111)+INDEX(TilgTilgung,($N$6-1)*480+111))+INDEX(TilgErsatz,($N$6-1)*480+111))</f>
      </c>
      <c r="G125" s="30">
        <f>IF(INDEX(TilgAktiv,($N$6-1)*480+111)=0,"",INDEX(TilgZins,($N$6-1)*480+111))</f>
      </c>
      <c r="H125" s="30">
        <f>IF(INDEX(TilgAktiv,($N$6-1)*480+111)=0,"",INDEX(TilgTilgung,($N$6-1)*480+111))</f>
      </c>
      <c r="I125" s="30">
        <f>IF(INDEX(TilgAktiv,($N$6-1)*480+111)=0,"",INDEX(TilgSonder,($N$6-1)*480+111))</f>
      </c>
      <c r="J125" s="30">
        <f>IF(INDEX(TilgAktiv,($N$6-1)*480+111)=0,"",INDEX(TilgErsatz,($N$6-1)*480+111))</f>
      </c>
      <c r="K125" s="30">
        <f>IF(INDEX(TilgAktiv,($N$6-1)*480+111)=0,"",INDEX(Tilgung!$Q$4:$Q$9603,($N$6-1)*480+111))</f>
      </c>
      <c r="L125" s="30">
        <f>IF(INDEX(TilgAktiv,($N$6-1)*480+111)=0,"",INDEX(Tilgung!$R$4:$R$9603,($N$6-1)*480+111))</f>
      </c>
    </row>
    <row r="126">
      <c r="A126"/>
      <c r="B126" s="36">
        <f>IF(INDEX(TilgAktiv,($N$6-1)*480+112)=0,"",112)</f>
      </c>
      <c r="C126" s="41">
        <f>IF(INDEX(TilgAktiv,($N$6-1)*480+112)=0,"",INDEX(TilgDatum,($N$6-1)*480+112))</f>
      </c>
      <c r="D126" s="31">
        <f>IF(INDEX(TilgAktiv,($N$6-1)*480+112)=0,"",INDEX(Tilgung!$H$4:$H$9603,($N$6-1)*480+112))</f>
      </c>
      <c r="E126" s="30">
        <f>IF(INDEX(TilgAktiv,($N$6-1)*480+112)=0,"",INDEX(Tilgung!$J$4:$J$9603,($N$6-1)*480+112))</f>
      </c>
      <c r="F126" s="30">
        <f>IF(INDEX(TilgAktiv,($N$6-1)*480+112)=0,"",IF(INDEX(TilgTilgung,($N$6-1)*480+112)=0,INDEX(TilgZins,($N$6-1)*480+112),INDEX(TilgZins,($N$6-1)*480+112)+INDEX(TilgTilgung,($N$6-1)*480+112))+INDEX(TilgErsatz,($N$6-1)*480+112))</f>
      </c>
      <c r="G126" s="30">
        <f>IF(INDEX(TilgAktiv,($N$6-1)*480+112)=0,"",INDEX(TilgZins,($N$6-1)*480+112))</f>
      </c>
      <c r="H126" s="30">
        <f>IF(INDEX(TilgAktiv,($N$6-1)*480+112)=0,"",INDEX(TilgTilgung,($N$6-1)*480+112))</f>
      </c>
      <c r="I126" s="30">
        <f>IF(INDEX(TilgAktiv,($N$6-1)*480+112)=0,"",INDEX(TilgSonder,($N$6-1)*480+112))</f>
      </c>
      <c r="J126" s="30">
        <f>IF(INDEX(TilgAktiv,($N$6-1)*480+112)=0,"",INDEX(TilgErsatz,($N$6-1)*480+112))</f>
      </c>
      <c r="K126" s="30">
        <f>IF(INDEX(TilgAktiv,($N$6-1)*480+112)=0,"",INDEX(Tilgung!$Q$4:$Q$9603,($N$6-1)*480+112))</f>
      </c>
      <c r="L126" s="30">
        <f>IF(INDEX(TilgAktiv,($N$6-1)*480+112)=0,"",INDEX(Tilgung!$R$4:$R$9603,($N$6-1)*480+112))</f>
      </c>
    </row>
    <row r="127">
      <c r="A127"/>
      <c r="B127" s="36">
        <f>IF(INDEX(TilgAktiv,($N$6-1)*480+113)=0,"",113)</f>
      </c>
      <c r="C127" s="41">
        <f>IF(INDEX(TilgAktiv,($N$6-1)*480+113)=0,"",INDEX(TilgDatum,($N$6-1)*480+113))</f>
      </c>
      <c r="D127" s="31">
        <f>IF(INDEX(TilgAktiv,($N$6-1)*480+113)=0,"",INDEX(Tilgung!$H$4:$H$9603,($N$6-1)*480+113))</f>
      </c>
      <c r="E127" s="30">
        <f>IF(INDEX(TilgAktiv,($N$6-1)*480+113)=0,"",INDEX(Tilgung!$J$4:$J$9603,($N$6-1)*480+113))</f>
      </c>
      <c r="F127" s="30">
        <f>IF(INDEX(TilgAktiv,($N$6-1)*480+113)=0,"",IF(INDEX(TilgTilgung,($N$6-1)*480+113)=0,INDEX(TilgZins,($N$6-1)*480+113),INDEX(TilgZins,($N$6-1)*480+113)+INDEX(TilgTilgung,($N$6-1)*480+113))+INDEX(TilgErsatz,($N$6-1)*480+113))</f>
      </c>
      <c r="G127" s="30">
        <f>IF(INDEX(TilgAktiv,($N$6-1)*480+113)=0,"",INDEX(TilgZins,($N$6-1)*480+113))</f>
      </c>
      <c r="H127" s="30">
        <f>IF(INDEX(TilgAktiv,($N$6-1)*480+113)=0,"",INDEX(TilgTilgung,($N$6-1)*480+113))</f>
      </c>
      <c r="I127" s="30">
        <f>IF(INDEX(TilgAktiv,($N$6-1)*480+113)=0,"",INDEX(TilgSonder,($N$6-1)*480+113))</f>
      </c>
      <c r="J127" s="30">
        <f>IF(INDEX(TilgAktiv,($N$6-1)*480+113)=0,"",INDEX(TilgErsatz,($N$6-1)*480+113))</f>
      </c>
      <c r="K127" s="30">
        <f>IF(INDEX(TilgAktiv,($N$6-1)*480+113)=0,"",INDEX(Tilgung!$Q$4:$Q$9603,($N$6-1)*480+113))</f>
      </c>
      <c r="L127" s="30">
        <f>IF(INDEX(TilgAktiv,($N$6-1)*480+113)=0,"",INDEX(Tilgung!$R$4:$R$9603,($N$6-1)*480+113))</f>
      </c>
    </row>
    <row r="128">
      <c r="A128"/>
      <c r="B128" s="36">
        <f>IF(INDEX(TilgAktiv,($N$6-1)*480+114)=0,"",114)</f>
      </c>
      <c r="C128" s="41">
        <f>IF(INDEX(TilgAktiv,($N$6-1)*480+114)=0,"",INDEX(TilgDatum,($N$6-1)*480+114))</f>
      </c>
      <c r="D128" s="31">
        <f>IF(INDEX(TilgAktiv,($N$6-1)*480+114)=0,"",INDEX(Tilgung!$H$4:$H$9603,($N$6-1)*480+114))</f>
      </c>
      <c r="E128" s="30">
        <f>IF(INDEX(TilgAktiv,($N$6-1)*480+114)=0,"",INDEX(Tilgung!$J$4:$J$9603,($N$6-1)*480+114))</f>
      </c>
      <c r="F128" s="30">
        <f>IF(INDEX(TilgAktiv,($N$6-1)*480+114)=0,"",IF(INDEX(TilgTilgung,($N$6-1)*480+114)=0,INDEX(TilgZins,($N$6-1)*480+114),INDEX(TilgZins,($N$6-1)*480+114)+INDEX(TilgTilgung,($N$6-1)*480+114))+INDEX(TilgErsatz,($N$6-1)*480+114))</f>
      </c>
      <c r="G128" s="30">
        <f>IF(INDEX(TilgAktiv,($N$6-1)*480+114)=0,"",INDEX(TilgZins,($N$6-1)*480+114))</f>
      </c>
      <c r="H128" s="30">
        <f>IF(INDEX(TilgAktiv,($N$6-1)*480+114)=0,"",INDEX(TilgTilgung,($N$6-1)*480+114))</f>
      </c>
      <c r="I128" s="30">
        <f>IF(INDEX(TilgAktiv,($N$6-1)*480+114)=0,"",INDEX(TilgSonder,($N$6-1)*480+114))</f>
      </c>
      <c r="J128" s="30">
        <f>IF(INDEX(TilgAktiv,($N$6-1)*480+114)=0,"",INDEX(TilgErsatz,($N$6-1)*480+114))</f>
      </c>
      <c r="K128" s="30">
        <f>IF(INDEX(TilgAktiv,($N$6-1)*480+114)=0,"",INDEX(Tilgung!$Q$4:$Q$9603,($N$6-1)*480+114))</f>
      </c>
      <c r="L128" s="30">
        <f>IF(INDEX(TilgAktiv,($N$6-1)*480+114)=0,"",INDEX(Tilgung!$R$4:$R$9603,($N$6-1)*480+114))</f>
      </c>
    </row>
    <row r="129">
      <c r="A129"/>
      <c r="B129" s="36">
        <f>IF(INDEX(TilgAktiv,($N$6-1)*480+115)=0,"",115)</f>
      </c>
      <c r="C129" s="41">
        <f>IF(INDEX(TilgAktiv,($N$6-1)*480+115)=0,"",INDEX(TilgDatum,($N$6-1)*480+115))</f>
      </c>
      <c r="D129" s="31">
        <f>IF(INDEX(TilgAktiv,($N$6-1)*480+115)=0,"",INDEX(Tilgung!$H$4:$H$9603,($N$6-1)*480+115))</f>
      </c>
      <c r="E129" s="30">
        <f>IF(INDEX(TilgAktiv,($N$6-1)*480+115)=0,"",INDEX(Tilgung!$J$4:$J$9603,($N$6-1)*480+115))</f>
      </c>
      <c r="F129" s="30">
        <f>IF(INDEX(TilgAktiv,($N$6-1)*480+115)=0,"",IF(INDEX(TilgTilgung,($N$6-1)*480+115)=0,INDEX(TilgZins,($N$6-1)*480+115),INDEX(TilgZins,($N$6-1)*480+115)+INDEX(TilgTilgung,($N$6-1)*480+115))+INDEX(TilgErsatz,($N$6-1)*480+115))</f>
      </c>
      <c r="G129" s="30">
        <f>IF(INDEX(TilgAktiv,($N$6-1)*480+115)=0,"",INDEX(TilgZins,($N$6-1)*480+115))</f>
      </c>
      <c r="H129" s="30">
        <f>IF(INDEX(TilgAktiv,($N$6-1)*480+115)=0,"",INDEX(TilgTilgung,($N$6-1)*480+115))</f>
      </c>
      <c r="I129" s="30">
        <f>IF(INDEX(TilgAktiv,($N$6-1)*480+115)=0,"",INDEX(TilgSonder,($N$6-1)*480+115))</f>
      </c>
      <c r="J129" s="30">
        <f>IF(INDEX(TilgAktiv,($N$6-1)*480+115)=0,"",INDEX(TilgErsatz,($N$6-1)*480+115))</f>
      </c>
      <c r="K129" s="30">
        <f>IF(INDEX(TilgAktiv,($N$6-1)*480+115)=0,"",INDEX(Tilgung!$Q$4:$Q$9603,($N$6-1)*480+115))</f>
      </c>
      <c r="L129" s="30">
        <f>IF(INDEX(TilgAktiv,($N$6-1)*480+115)=0,"",INDEX(Tilgung!$R$4:$R$9603,($N$6-1)*480+115))</f>
      </c>
    </row>
    <row r="130">
      <c r="A130"/>
      <c r="B130" s="36">
        <f>IF(INDEX(TilgAktiv,($N$6-1)*480+116)=0,"",116)</f>
      </c>
      <c r="C130" s="41">
        <f>IF(INDEX(TilgAktiv,($N$6-1)*480+116)=0,"",INDEX(TilgDatum,($N$6-1)*480+116))</f>
      </c>
      <c r="D130" s="31">
        <f>IF(INDEX(TilgAktiv,($N$6-1)*480+116)=0,"",INDEX(Tilgung!$H$4:$H$9603,($N$6-1)*480+116))</f>
      </c>
      <c r="E130" s="30">
        <f>IF(INDEX(TilgAktiv,($N$6-1)*480+116)=0,"",INDEX(Tilgung!$J$4:$J$9603,($N$6-1)*480+116))</f>
      </c>
      <c r="F130" s="30">
        <f>IF(INDEX(TilgAktiv,($N$6-1)*480+116)=0,"",IF(INDEX(TilgTilgung,($N$6-1)*480+116)=0,INDEX(TilgZins,($N$6-1)*480+116),INDEX(TilgZins,($N$6-1)*480+116)+INDEX(TilgTilgung,($N$6-1)*480+116))+INDEX(TilgErsatz,($N$6-1)*480+116))</f>
      </c>
      <c r="G130" s="30">
        <f>IF(INDEX(TilgAktiv,($N$6-1)*480+116)=0,"",INDEX(TilgZins,($N$6-1)*480+116))</f>
      </c>
      <c r="H130" s="30">
        <f>IF(INDEX(TilgAktiv,($N$6-1)*480+116)=0,"",INDEX(TilgTilgung,($N$6-1)*480+116))</f>
      </c>
      <c r="I130" s="30">
        <f>IF(INDEX(TilgAktiv,($N$6-1)*480+116)=0,"",INDEX(TilgSonder,($N$6-1)*480+116))</f>
      </c>
      <c r="J130" s="30">
        <f>IF(INDEX(TilgAktiv,($N$6-1)*480+116)=0,"",INDEX(TilgErsatz,($N$6-1)*480+116))</f>
      </c>
      <c r="K130" s="30">
        <f>IF(INDEX(TilgAktiv,($N$6-1)*480+116)=0,"",INDEX(Tilgung!$Q$4:$Q$9603,($N$6-1)*480+116))</f>
      </c>
      <c r="L130" s="30">
        <f>IF(INDEX(TilgAktiv,($N$6-1)*480+116)=0,"",INDEX(Tilgung!$R$4:$R$9603,($N$6-1)*480+116))</f>
      </c>
    </row>
    <row r="131">
      <c r="A131"/>
      <c r="B131" s="36">
        <f>IF(INDEX(TilgAktiv,($N$6-1)*480+117)=0,"",117)</f>
      </c>
      <c r="C131" s="41">
        <f>IF(INDEX(TilgAktiv,($N$6-1)*480+117)=0,"",INDEX(TilgDatum,($N$6-1)*480+117))</f>
      </c>
      <c r="D131" s="31">
        <f>IF(INDEX(TilgAktiv,($N$6-1)*480+117)=0,"",INDEX(Tilgung!$H$4:$H$9603,($N$6-1)*480+117))</f>
      </c>
      <c r="E131" s="30">
        <f>IF(INDEX(TilgAktiv,($N$6-1)*480+117)=0,"",INDEX(Tilgung!$J$4:$J$9603,($N$6-1)*480+117))</f>
      </c>
      <c r="F131" s="30">
        <f>IF(INDEX(TilgAktiv,($N$6-1)*480+117)=0,"",IF(INDEX(TilgTilgung,($N$6-1)*480+117)=0,INDEX(TilgZins,($N$6-1)*480+117),INDEX(TilgZins,($N$6-1)*480+117)+INDEX(TilgTilgung,($N$6-1)*480+117))+INDEX(TilgErsatz,($N$6-1)*480+117))</f>
      </c>
      <c r="G131" s="30">
        <f>IF(INDEX(TilgAktiv,($N$6-1)*480+117)=0,"",INDEX(TilgZins,($N$6-1)*480+117))</f>
      </c>
      <c r="H131" s="30">
        <f>IF(INDEX(TilgAktiv,($N$6-1)*480+117)=0,"",INDEX(TilgTilgung,($N$6-1)*480+117))</f>
      </c>
      <c r="I131" s="30">
        <f>IF(INDEX(TilgAktiv,($N$6-1)*480+117)=0,"",INDEX(TilgSonder,($N$6-1)*480+117))</f>
      </c>
      <c r="J131" s="30">
        <f>IF(INDEX(TilgAktiv,($N$6-1)*480+117)=0,"",INDEX(TilgErsatz,($N$6-1)*480+117))</f>
      </c>
      <c r="K131" s="30">
        <f>IF(INDEX(TilgAktiv,($N$6-1)*480+117)=0,"",INDEX(Tilgung!$Q$4:$Q$9603,($N$6-1)*480+117))</f>
      </c>
      <c r="L131" s="30">
        <f>IF(INDEX(TilgAktiv,($N$6-1)*480+117)=0,"",INDEX(Tilgung!$R$4:$R$9603,($N$6-1)*480+117))</f>
      </c>
    </row>
    <row r="132">
      <c r="A132"/>
      <c r="B132" s="36">
        <f>IF(INDEX(TilgAktiv,($N$6-1)*480+118)=0,"",118)</f>
      </c>
      <c r="C132" s="41">
        <f>IF(INDEX(TilgAktiv,($N$6-1)*480+118)=0,"",INDEX(TilgDatum,($N$6-1)*480+118))</f>
      </c>
      <c r="D132" s="31">
        <f>IF(INDEX(TilgAktiv,($N$6-1)*480+118)=0,"",INDEX(Tilgung!$H$4:$H$9603,($N$6-1)*480+118))</f>
      </c>
      <c r="E132" s="30">
        <f>IF(INDEX(TilgAktiv,($N$6-1)*480+118)=0,"",INDEX(Tilgung!$J$4:$J$9603,($N$6-1)*480+118))</f>
      </c>
      <c r="F132" s="30">
        <f>IF(INDEX(TilgAktiv,($N$6-1)*480+118)=0,"",IF(INDEX(TilgTilgung,($N$6-1)*480+118)=0,INDEX(TilgZins,($N$6-1)*480+118),INDEX(TilgZins,($N$6-1)*480+118)+INDEX(TilgTilgung,($N$6-1)*480+118))+INDEX(TilgErsatz,($N$6-1)*480+118))</f>
      </c>
      <c r="G132" s="30">
        <f>IF(INDEX(TilgAktiv,($N$6-1)*480+118)=0,"",INDEX(TilgZins,($N$6-1)*480+118))</f>
      </c>
      <c r="H132" s="30">
        <f>IF(INDEX(TilgAktiv,($N$6-1)*480+118)=0,"",INDEX(TilgTilgung,($N$6-1)*480+118))</f>
      </c>
      <c r="I132" s="30">
        <f>IF(INDEX(TilgAktiv,($N$6-1)*480+118)=0,"",INDEX(TilgSonder,($N$6-1)*480+118))</f>
      </c>
      <c r="J132" s="30">
        <f>IF(INDEX(TilgAktiv,($N$6-1)*480+118)=0,"",INDEX(TilgErsatz,($N$6-1)*480+118))</f>
      </c>
      <c r="K132" s="30">
        <f>IF(INDEX(TilgAktiv,($N$6-1)*480+118)=0,"",INDEX(Tilgung!$Q$4:$Q$9603,($N$6-1)*480+118))</f>
      </c>
      <c r="L132" s="30">
        <f>IF(INDEX(TilgAktiv,($N$6-1)*480+118)=0,"",INDEX(Tilgung!$R$4:$R$9603,($N$6-1)*480+118))</f>
      </c>
    </row>
    <row r="133">
      <c r="A133"/>
      <c r="B133" s="36">
        <f>IF(INDEX(TilgAktiv,($N$6-1)*480+119)=0,"",119)</f>
      </c>
      <c r="C133" s="41">
        <f>IF(INDEX(TilgAktiv,($N$6-1)*480+119)=0,"",INDEX(TilgDatum,($N$6-1)*480+119))</f>
      </c>
      <c r="D133" s="31">
        <f>IF(INDEX(TilgAktiv,($N$6-1)*480+119)=0,"",INDEX(Tilgung!$H$4:$H$9603,($N$6-1)*480+119))</f>
      </c>
      <c r="E133" s="30">
        <f>IF(INDEX(TilgAktiv,($N$6-1)*480+119)=0,"",INDEX(Tilgung!$J$4:$J$9603,($N$6-1)*480+119))</f>
      </c>
      <c r="F133" s="30">
        <f>IF(INDEX(TilgAktiv,($N$6-1)*480+119)=0,"",IF(INDEX(TilgTilgung,($N$6-1)*480+119)=0,INDEX(TilgZins,($N$6-1)*480+119),INDEX(TilgZins,($N$6-1)*480+119)+INDEX(TilgTilgung,($N$6-1)*480+119))+INDEX(TilgErsatz,($N$6-1)*480+119))</f>
      </c>
      <c r="G133" s="30">
        <f>IF(INDEX(TilgAktiv,($N$6-1)*480+119)=0,"",INDEX(TilgZins,($N$6-1)*480+119))</f>
      </c>
      <c r="H133" s="30">
        <f>IF(INDEX(TilgAktiv,($N$6-1)*480+119)=0,"",INDEX(TilgTilgung,($N$6-1)*480+119))</f>
      </c>
      <c r="I133" s="30">
        <f>IF(INDEX(TilgAktiv,($N$6-1)*480+119)=0,"",INDEX(TilgSonder,($N$6-1)*480+119))</f>
      </c>
      <c r="J133" s="30">
        <f>IF(INDEX(TilgAktiv,($N$6-1)*480+119)=0,"",INDEX(TilgErsatz,($N$6-1)*480+119))</f>
      </c>
      <c r="K133" s="30">
        <f>IF(INDEX(TilgAktiv,($N$6-1)*480+119)=0,"",INDEX(Tilgung!$Q$4:$Q$9603,($N$6-1)*480+119))</f>
      </c>
      <c r="L133" s="30">
        <f>IF(INDEX(TilgAktiv,($N$6-1)*480+119)=0,"",INDEX(Tilgung!$R$4:$R$9603,($N$6-1)*480+119))</f>
      </c>
    </row>
    <row r="134">
      <c r="A134"/>
      <c r="B134" s="36">
        <f>IF(INDEX(TilgAktiv,($N$6-1)*480+120)=0,"",120)</f>
      </c>
      <c r="C134" s="41">
        <f>IF(INDEX(TilgAktiv,($N$6-1)*480+120)=0,"",INDEX(TilgDatum,($N$6-1)*480+120))</f>
      </c>
      <c r="D134" s="31">
        <f>IF(INDEX(TilgAktiv,($N$6-1)*480+120)=0,"",INDEX(Tilgung!$H$4:$H$9603,($N$6-1)*480+120))</f>
      </c>
      <c r="E134" s="30">
        <f>IF(INDEX(TilgAktiv,($N$6-1)*480+120)=0,"",INDEX(Tilgung!$J$4:$J$9603,($N$6-1)*480+120))</f>
      </c>
      <c r="F134" s="30">
        <f>IF(INDEX(TilgAktiv,($N$6-1)*480+120)=0,"",IF(INDEX(TilgTilgung,($N$6-1)*480+120)=0,INDEX(TilgZins,($N$6-1)*480+120),INDEX(TilgZins,($N$6-1)*480+120)+INDEX(TilgTilgung,($N$6-1)*480+120))+INDEX(TilgErsatz,($N$6-1)*480+120))</f>
      </c>
      <c r="G134" s="30">
        <f>IF(INDEX(TilgAktiv,($N$6-1)*480+120)=0,"",INDEX(TilgZins,($N$6-1)*480+120))</f>
      </c>
      <c r="H134" s="30">
        <f>IF(INDEX(TilgAktiv,($N$6-1)*480+120)=0,"",INDEX(TilgTilgung,($N$6-1)*480+120))</f>
      </c>
      <c r="I134" s="30">
        <f>IF(INDEX(TilgAktiv,($N$6-1)*480+120)=0,"",INDEX(TilgSonder,($N$6-1)*480+120))</f>
      </c>
      <c r="J134" s="30">
        <f>IF(INDEX(TilgAktiv,($N$6-1)*480+120)=0,"",INDEX(TilgErsatz,($N$6-1)*480+120))</f>
      </c>
      <c r="K134" s="30">
        <f>IF(INDEX(TilgAktiv,($N$6-1)*480+120)=0,"",INDEX(Tilgung!$Q$4:$Q$9603,($N$6-1)*480+120))</f>
      </c>
      <c r="L134" s="30">
        <f>IF(INDEX(TilgAktiv,($N$6-1)*480+120)=0,"",INDEX(Tilgung!$R$4:$R$9603,($N$6-1)*480+120))</f>
      </c>
    </row>
    <row r="135">
      <c r="A135"/>
      <c r="B135" s="36">
        <f>IF(INDEX(TilgAktiv,($N$6-1)*480+121)=0,"",121)</f>
      </c>
      <c r="C135" s="41">
        <f>IF(INDEX(TilgAktiv,($N$6-1)*480+121)=0,"",INDEX(TilgDatum,($N$6-1)*480+121))</f>
      </c>
      <c r="D135" s="31">
        <f>IF(INDEX(TilgAktiv,($N$6-1)*480+121)=0,"",INDEX(Tilgung!$H$4:$H$9603,($N$6-1)*480+121))</f>
      </c>
      <c r="E135" s="30">
        <f>IF(INDEX(TilgAktiv,($N$6-1)*480+121)=0,"",INDEX(Tilgung!$J$4:$J$9603,($N$6-1)*480+121))</f>
      </c>
      <c r="F135" s="30">
        <f>IF(INDEX(TilgAktiv,($N$6-1)*480+121)=0,"",IF(INDEX(TilgTilgung,($N$6-1)*480+121)=0,INDEX(TilgZins,($N$6-1)*480+121),INDEX(TilgZins,($N$6-1)*480+121)+INDEX(TilgTilgung,($N$6-1)*480+121))+INDEX(TilgErsatz,($N$6-1)*480+121))</f>
      </c>
      <c r="G135" s="30">
        <f>IF(INDEX(TilgAktiv,($N$6-1)*480+121)=0,"",INDEX(TilgZins,($N$6-1)*480+121))</f>
      </c>
      <c r="H135" s="30">
        <f>IF(INDEX(TilgAktiv,($N$6-1)*480+121)=0,"",INDEX(TilgTilgung,($N$6-1)*480+121))</f>
      </c>
      <c r="I135" s="30">
        <f>IF(INDEX(TilgAktiv,($N$6-1)*480+121)=0,"",INDEX(TilgSonder,($N$6-1)*480+121))</f>
      </c>
      <c r="J135" s="30">
        <f>IF(INDEX(TilgAktiv,($N$6-1)*480+121)=0,"",INDEX(TilgErsatz,($N$6-1)*480+121))</f>
      </c>
      <c r="K135" s="30">
        <f>IF(INDEX(TilgAktiv,($N$6-1)*480+121)=0,"",INDEX(Tilgung!$Q$4:$Q$9603,($N$6-1)*480+121))</f>
      </c>
      <c r="L135" s="30">
        <f>IF(INDEX(TilgAktiv,($N$6-1)*480+121)=0,"",INDEX(Tilgung!$R$4:$R$9603,($N$6-1)*480+121))</f>
      </c>
    </row>
    <row r="136">
      <c r="A136"/>
      <c r="B136" s="36">
        <f>IF(INDEX(TilgAktiv,($N$6-1)*480+122)=0,"",122)</f>
      </c>
      <c r="C136" s="41">
        <f>IF(INDEX(TilgAktiv,($N$6-1)*480+122)=0,"",INDEX(TilgDatum,($N$6-1)*480+122))</f>
      </c>
      <c r="D136" s="31">
        <f>IF(INDEX(TilgAktiv,($N$6-1)*480+122)=0,"",INDEX(Tilgung!$H$4:$H$9603,($N$6-1)*480+122))</f>
      </c>
      <c r="E136" s="30">
        <f>IF(INDEX(TilgAktiv,($N$6-1)*480+122)=0,"",INDEX(Tilgung!$J$4:$J$9603,($N$6-1)*480+122))</f>
      </c>
      <c r="F136" s="30">
        <f>IF(INDEX(TilgAktiv,($N$6-1)*480+122)=0,"",IF(INDEX(TilgTilgung,($N$6-1)*480+122)=0,INDEX(TilgZins,($N$6-1)*480+122),INDEX(TilgZins,($N$6-1)*480+122)+INDEX(TilgTilgung,($N$6-1)*480+122))+INDEX(TilgErsatz,($N$6-1)*480+122))</f>
      </c>
      <c r="G136" s="30">
        <f>IF(INDEX(TilgAktiv,($N$6-1)*480+122)=0,"",INDEX(TilgZins,($N$6-1)*480+122))</f>
      </c>
      <c r="H136" s="30">
        <f>IF(INDEX(TilgAktiv,($N$6-1)*480+122)=0,"",INDEX(TilgTilgung,($N$6-1)*480+122))</f>
      </c>
      <c r="I136" s="30">
        <f>IF(INDEX(TilgAktiv,($N$6-1)*480+122)=0,"",INDEX(TilgSonder,($N$6-1)*480+122))</f>
      </c>
      <c r="J136" s="30">
        <f>IF(INDEX(TilgAktiv,($N$6-1)*480+122)=0,"",INDEX(TilgErsatz,($N$6-1)*480+122))</f>
      </c>
      <c r="K136" s="30">
        <f>IF(INDEX(TilgAktiv,($N$6-1)*480+122)=0,"",INDEX(Tilgung!$Q$4:$Q$9603,($N$6-1)*480+122))</f>
      </c>
      <c r="L136" s="30">
        <f>IF(INDEX(TilgAktiv,($N$6-1)*480+122)=0,"",INDEX(Tilgung!$R$4:$R$9603,($N$6-1)*480+122))</f>
      </c>
    </row>
    <row r="137">
      <c r="A137"/>
      <c r="B137" s="36">
        <f>IF(INDEX(TilgAktiv,($N$6-1)*480+123)=0,"",123)</f>
      </c>
      <c r="C137" s="41">
        <f>IF(INDEX(TilgAktiv,($N$6-1)*480+123)=0,"",INDEX(TilgDatum,($N$6-1)*480+123))</f>
      </c>
      <c r="D137" s="31">
        <f>IF(INDEX(TilgAktiv,($N$6-1)*480+123)=0,"",INDEX(Tilgung!$H$4:$H$9603,($N$6-1)*480+123))</f>
      </c>
      <c r="E137" s="30">
        <f>IF(INDEX(TilgAktiv,($N$6-1)*480+123)=0,"",INDEX(Tilgung!$J$4:$J$9603,($N$6-1)*480+123))</f>
      </c>
      <c r="F137" s="30">
        <f>IF(INDEX(TilgAktiv,($N$6-1)*480+123)=0,"",IF(INDEX(TilgTilgung,($N$6-1)*480+123)=0,INDEX(TilgZins,($N$6-1)*480+123),INDEX(TilgZins,($N$6-1)*480+123)+INDEX(TilgTilgung,($N$6-1)*480+123))+INDEX(TilgErsatz,($N$6-1)*480+123))</f>
      </c>
      <c r="G137" s="30">
        <f>IF(INDEX(TilgAktiv,($N$6-1)*480+123)=0,"",INDEX(TilgZins,($N$6-1)*480+123))</f>
      </c>
      <c r="H137" s="30">
        <f>IF(INDEX(TilgAktiv,($N$6-1)*480+123)=0,"",INDEX(TilgTilgung,($N$6-1)*480+123))</f>
      </c>
      <c r="I137" s="30">
        <f>IF(INDEX(TilgAktiv,($N$6-1)*480+123)=0,"",INDEX(TilgSonder,($N$6-1)*480+123))</f>
      </c>
      <c r="J137" s="30">
        <f>IF(INDEX(TilgAktiv,($N$6-1)*480+123)=0,"",INDEX(TilgErsatz,($N$6-1)*480+123))</f>
      </c>
      <c r="K137" s="30">
        <f>IF(INDEX(TilgAktiv,($N$6-1)*480+123)=0,"",INDEX(Tilgung!$Q$4:$Q$9603,($N$6-1)*480+123))</f>
      </c>
      <c r="L137" s="30">
        <f>IF(INDEX(TilgAktiv,($N$6-1)*480+123)=0,"",INDEX(Tilgung!$R$4:$R$9603,($N$6-1)*480+123))</f>
      </c>
    </row>
    <row r="138">
      <c r="A138"/>
      <c r="B138" s="36">
        <f>IF(INDEX(TilgAktiv,($N$6-1)*480+124)=0,"",124)</f>
      </c>
      <c r="C138" s="41">
        <f>IF(INDEX(TilgAktiv,($N$6-1)*480+124)=0,"",INDEX(TilgDatum,($N$6-1)*480+124))</f>
      </c>
      <c r="D138" s="31">
        <f>IF(INDEX(TilgAktiv,($N$6-1)*480+124)=0,"",INDEX(Tilgung!$H$4:$H$9603,($N$6-1)*480+124))</f>
      </c>
      <c r="E138" s="30">
        <f>IF(INDEX(TilgAktiv,($N$6-1)*480+124)=0,"",INDEX(Tilgung!$J$4:$J$9603,($N$6-1)*480+124))</f>
      </c>
      <c r="F138" s="30">
        <f>IF(INDEX(TilgAktiv,($N$6-1)*480+124)=0,"",IF(INDEX(TilgTilgung,($N$6-1)*480+124)=0,INDEX(TilgZins,($N$6-1)*480+124),INDEX(TilgZins,($N$6-1)*480+124)+INDEX(TilgTilgung,($N$6-1)*480+124))+INDEX(TilgErsatz,($N$6-1)*480+124))</f>
      </c>
      <c r="G138" s="30">
        <f>IF(INDEX(TilgAktiv,($N$6-1)*480+124)=0,"",INDEX(TilgZins,($N$6-1)*480+124))</f>
      </c>
      <c r="H138" s="30">
        <f>IF(INDEX(TilgAktiv,($N$6-1)*480+124)=0,"",INDEX(TilgTilgung,($N$6-1)*480+124))</f>
      </c>
      <c r="I138" s="30">
        <f>IF(INDEX(TilgAktiv,($N$6-1)*480+124)=0,"",INDEX(TilgSonder,($N$6-1)*480+124))</f>
      </c>
      <c r="J138" s="30">
        <f>IF(INDEX(TilgAktiv,($N$6-1)*480+124)=0,"",INDEX(TilgErsatz,($N$6-1)*480+124))</f>
      </c>
      <c r="K138" s="30">
        <f>IF(INDEX(TilgAktiv,($N$6-1)*480+124)=0,"",INDEX(Tilgung!$Q$4:$Q$9603,($N$6-1)*480+124))</f>
      </c>
      <c r="L138" s="30">
        <f>IF(INDEX(TilgAktiv,($N$6-1)*480+124)=0,"",INDEX(Tilgung!$R$4:$R$9603,($N$6-1)*480+124))</f>
      </c>
    </row>
    <row r="139">
      <c r="A139"/>
      <c r="B139" s="36">
        <f>IF(INDEX(TilgAktiv,($N$6-1)*480+125)=0,"",125)</f>
      </c>
      <c r="C139" s="41">
        <f>IF(INDEX(TilgAktiv,($N$6-1)*480+125)=0,"",INDEX(TilgDatum,($N$6-1)*480+125))</f>
      </c>
      <c r="D139" s="31">
        <f>IF(INDEX(TilgAktiv,($N$6-1)*480+125)=0,"",INDEX(Tilgung!$H$4:$H$9603,($N$6-1)*480+125))</f>
      </c>
      <c r="E139" s="30">
        <f>IF(INDEX(TilgAktiv,($N$6-1)*480+125)=0,"",INDEX(Tilgung!$J$4:$J$9603,($N$6-1)*480+125))</f>
      </c>
      <c r="F139" s="30">
        <f>IF(INDEX(TilgAktiv,($N$6-1)*480+125)=0,"",IF(INDEX(TilgTilgung,($N$6-1)*480+125)=0,INDEX(TilgZins,($N$6-1)*480+125),INDEX(TilgZins,($N$6-1)*480+125)+INDEX(TilgTilgung,($N$6-1)*480+125))+INDEX(TilgErsatz,($N$6-1)*480+125))</f>
      </c>
      <c r="G139" s="30">
        <f>IF(INDEX(TilgAktiv,($N$6-1)*480+125)=0,"",INDEX(TilgZins,($N$6-1)*480+125))</f>
      </c>
      <c r="H139" s="30">
        <f>IF(INDEX(TilgAktiv,($N$6-1)*480+125)=0,"",INDEX(TilgTilgung,($N$6-1)*480+125))</f>
      </c>
      <c r="I139" s="30">
        <f>IF(INDEX(TilgAktiv,($N$6-1)*480+125)=0,"",INDEX(TilgSonder,($N$6-1)*480+125))</f>
      </c>
      <c r="J139" s="30">
        <f>IF(INDEX(TilgAktiv,($N$6-1)*480+125)=0,"",INDEX(TilgErsatz,($N$6-1)*480+125))</f>
      </c>
      <c r="K139" s="30">
        <f>IF(INDEX(TilgAktiv,($N$6-1)*480+125)=0,"",INDEX(Tilgung!$Q$4:$Q$9603,($N$6-1)*480+125))</f>
      </c>
      <c r="L139" s="30">
        <f>IF(INDEX(TilgAktiv,($N$6-1)*480+125)=0,"",INDEX(Tilgung!$R$4:$R$9603,($N$6-1)*480+125))</f>
      </c>
    </row>
    <row r="140">
      <c r="A140"/>
      <c r="B140" s="36">
        <f>IF(INDEX(TilgAktiv,($N$6-1)*480+126)=0,"",126)</f>
      </c>
      <c r="C140" s="41">
        <f>IF(INDEX(TilgAktiv,($N$6-1)*480+126)=0,"",INDEX(TilgDatum,($N$6-1)*480+126))</f>
      </c>
      <c r="D140" s="31">
        <f>IF(INDEX(TilgAktiv,($N$6-1)*480+126)=0,"",INDEX(Tilgung!$H$4:$H$9603,($N$6-1)*480+126))</f>
      </c>
      <c r="E140" s="30">
        <f>IF(INDEX(TilgAktiv,($N$6-1)*480+126)=0,"",INDEX(Tilgung!$J$4:$J$9603,($N$6-1)*480+126))</f>
      </c>
      <c r="F140" s="30">
        <f>IF(INDEX(TilgAktiv,($N$6-1)*480+126)=0,"",IF(INDEX(TilgTilgung,($N$6-1)*480+126)=0,INDEX(TilgZins,($N$6-1)*480+126),INDEX(TilgZins,($N$6-1)*480+126)+INDEX(TilgTilgung,($N$6-1)*480+126))+INDEX(TilgErsatz,($N$6-1)*480+126))</f>
      </c>
      <c r="G140" s="30">
        <f>IF(INDEX(TilgAktiv,($N$6-1)*480+126)=0,"",INDEX(TilgZins,($N$6-1)*480+126))</f>
      </c>
      <c r="H140" s="30">
        <f>IF(INDEX(TilgAktiv,($N$6-1)*480+126)=0,"",INDEX(TilgTilgung,($N$6-1)*480+126))</f>
      </c>
      <c r="I140" s="30">
        <f>IF(INDEX(TilgAktiv,($N$6-1)*480+126)=0,"",INDEX(TilgSonder,($N$6-1)*480+126))</f>
      </c>
      <c r="J140" s="30">
        <f>IF(INDEX(TilgAktiv,($N$6-1)*480+126)=0,"",INDEX(TilgErsatz,($N$6-1)*480+126))</f>
      </c>
      <c r="K140" s="30">
        <f>IF(INDEX(TilgAktiv,($N$6-1)*480+126)=0,"",INDEX(Tilgung!$Q$4:$Q$9603,($N$6-1)*480+126))</f>
      </c>
      <c r="L140" s="30">
        <f>IF(INDEX(TilgAktiv,($N$6-1)*480+126)=0,"",INDEX(Tilgung!$R$4:$R$9603,($N$6-1)*480+126))</f>
      </c>
    </row>
    <row r="141">
      <c r="A141"/>
      <c r="B141" s="36">
        <f>IF(INDEX(TilgAktiv,($N$6-1)*480+127)=0,"",127)</f>
      </c>
      <c r="C141" s="41">
        <f>IF(INDEX(TilgAktiv,($N$6-1)*480+127)=0,"",INDEX(TilgDatum,($N$6-1)*480+127))</f>
      </c>
      <c r="D141" s="31">
        <f>IF(INDEX(TilgAktiv,($N$6-1)*480+127)=0,"",INDEX(Tilgung!$H$4:$H$9603,($N$6-1)*480+127))</f>
      </c>
      <c r="E141" s="30">
        <f>IF(INDEX(TilgAktiv,($N$6-1)*480+127)=0,"",INDEX(Tilgung!$J$4:$J$9603,($N$6-1)*480+127))</f>
      </c>
      <c r="F141" s="30">
        <f>IF(INDEX(TilgAktiv,($N$6-1)*480+127)=0,"",IF(INDEX(TilgTilgung,($N$6-1)*480+127)=0,INDEX(TilgZins,($N$6-1)*480+127),INDEX(TilgZins,($N$6-1)*480+127)+INDEX(TilgTilgung,($N$6-1)*480+127))+INDEX(TilgErsatz,($N$6-1)*480+127))</f>
      </c>
      <c r="G141" s="30">
        <f>IF(INDEX(TilgAktiv,($N$6-1)*480+127)=0,"",INDEX(TilgZins,($N$6-1)*480+127))</f>
      </c>
      <c r="H141" s="30">
        <f>IF(INDEX(TilgAktiv,($N$6-1)*480+127)=0,"",INDEX(TilgTilgung,($N$6-1)*480+127))</f>
      </c>
      <c r="I141" s="30">
        <f>IF(INDEX(TilgAktiv,($N$6-1)*480+127)=0,"",INDEX(TilgSonder,($N$6-1)*480+127))</f>
      </c>
      <c r="J141" s="30">
        <f>IF(INDEX(TilgAktiv,($N$6-1)*480+127)=0,"",INDEX(TilgErsatz,($N$6-1)*480+127))</f>
      </c>
      <c r="K141" s="30">
        <f>IF(INDEX(TilgAktiv,($N$6-1)*480+127)=0,"",INDEX(Tilgung!$Q$4:$Q$9603,($N$6-1)*480+127))</f>
      </c>
      <c r="L141" s="30">
        <f>IF(INDEX(TilgAktiv,($N$6-1)*480+127)=0,"",INDEX(Tilgung!$R$4:$R$9603,($N$6-1)*480+127))</f>
      </c>
    </row>
    <row r="142">
      <c r="A142"/>
      <c r="B142" s="36">
        <f>IF(INDEX(TilgAktiv,($N$6-1)*480+128)=0,"",128)</f>
      </c>
      <c r="C142" s="41">
        <f>IF(INDEX(TilgAktiv,($N$6-1)*480+128)=0,"",INDEX(TilgDatum,($N$6-1)*480+128))</f>
      </c>
      <c r="D142" s="31">
        <f>IF(INDEX(TilgAktiv,($N$6-1)*480+128)=0,"",INDEX(Tilgung!$H$4:$H$9603,($N$6-1)*480+128))</f>
      </c>
      <c r="E142" s="30">
        <f>IF(INDEX(TilgAktiv,($N$6-1)*480+128)=0,"",INDEX(Tilgung!$J$4:$J$9603,($N$6-1)*480+128))</f>
      </c>
      <c r="F142" s="30">
        <f>IF(INDEX(TilgAktiv,($N$6-1)*480+128)=0,"",IF(INDEX(TilgTilgung,($N$6-1)*480+128)=0,INDEX(TilgZins,($N$6-1)*480+128),INDEX(TilgZins,($N$6-1)*480+128)+INDEX(TilgTilgung,($N$6-1)*480+128))+INDEX(TilgErsatz,($N$6-1)*480+128))</f>
      </c>
      <c r="G142" s="30">
        <f>IF(INDEX(TilgAktiv,($N$6-1)*480+128)=0,"",INDEX(TilgZins,($N$6-1)*480+128))</f>
      </c>
      <c r="H142" s="30">
        <f>IF(INDEX(TilgAktiv,($N$6-1)*480+128)=0,"",INDEX(TilgTilgung,($N$6-1)*480+128))</f>
      </c>
      <c r="I142" s="30">
        <f>IF(INDEX(TilgAktiv,($N$6-1)*480+128)=0,"",INDEX(TilgSonder,($N$6-1)*480+128))</f>
      </c>
      <c r="J142" s="30">
        <f>IF(INDEX(TilgAktiv,($N$6-1)*480+128)=0,"",INDEX(TilgErsatz,($N$6-1)*480+128))</f>
      </c>
      <c r="K142" s="30">
        <f>IF(INDEX(TilgAktiv,($N$6-1)*480+128)=0,"",INDEX(Tilgung!$Q$4:$Q$9603,($N$6-1)*480+128))</f>
      </c>
      <c r="L142" s="30">
        <f>IF(INDEX(TilgAktiv,($N$6-1)*480+128)=0,"",INDEX(Tilgung!$R$4:$R$9603,($N$6-1)*480+128))</f>
      </c>
    </row>
    <row r="143">
      <c r="A143"/>
      <c r="B143" s="36">
        <f>IF(INDEX(TilgAktiv,($N$6-1)*480+129)=0,"",129)</f>
      </c>
      <c r="C143" s="41">
        <f>IF(INDEX(TilgAktiv,($N$6-1)*480+129)=0,"",INDEX(TilgDatum,($N$6-1)*480+129))</f>
      </c>
      <c r="D143" s="31">
        <f>IF(INDEX(TilgAktiv,($N$6-1)*480+129)=0,"",INDEX(Tilgung!$H$4:$H$9603,($N$6-1)*480+129))</f>
      </c>
      <c r="E143" s="30">
        <f>IF(INDEX(TilgAktiv,($N$6-1)*480+129)=0,"",INDEX(Tilgung!$J$4:$J$9603,($N$6-1)*480+129))</f>
      </c>
      <c r="F143" s="30">
        <f>IF(INDEX(TilgAktiv,($N$6-1)*480+129)=0,"",IF(INDEX(TilgTilgung,($N$6-1)*480+129)=0,INDEX(TilgZins,($N$6-1)*480+129),INDEX(TilgZins,($N$6-1)*480+129)+INDEX(TilgTilgung,($N$6-1)*480+129))+INDEX(TilgErsatz,($N$6-1)*480+129))</f>
      </c>
      <c r="G143" s="30">
        <f>IF(INDEX(TilgAktiv,($N$6-1)*480+129)=0,"",INDEX(TilgZins,($N$6-1)*480+129))</f>
      </c>
      <c r="H143" s="30">
        <f>IF(INDEX(TilgAktiv,($N$6-1)*480+129)=0,"",INDEX(TilgTilgung,($N$6-1)*480+129))</f>
      </c>
      <c r="I143" s="30">
        <f>IF(INDEX(TilgAktiv,($N$6-1)*480+129)=0,"",INDEX(TilgSonder,($N$6-1)*480+129))</f>
      </c>
      <c r="J143" s="30">
        <f>IF(INDEX(TilgAktiv,($N$6-1)*480+129)=0,"",INDEX(TilgErsatz,($N$6-1)*480+129))</f>
      </c>
      <c r="K143" s="30">
        <f>IF(INDEX(TilgAktiv,($N$6-1)*480+129)=0,"",INDEX(Tilgung!$Q$4:$Q$9603,($N$6-1)*480+129))</f>
      </c>
      <c r="L143" s="30">
        <f>IF(INDEX(TilgAktiv,($N$6-1)*480+129)=0,"",INDEX(Tilgung!$R$4:$R$9603,($N$6-1)*480+129))</f>
      </c>
    </row>
    <row r="144">
      <c r="A144"/>
      <c r="B144" s="36">
        <f>IF(INDEX(TilgAktiv,($N$6-1)*480+130)=0,"",130)</f>
      </c>
      <c r="C144" s="41">
        <f>IF(INDEX(TilgAktiv,($N$6-1)*480+130)=0,"",INDEX(TilgDatum,($N$6-1)*480+130))</f>
      </c>
      <c r="D144" s="31">
        <f>IF(INDEX(TilgAktiv,($N$6-1)*480+130)=0,"",INDEX(Tilgung!$H$4:$H$9603,($N$6-1)*480+130))</f>
      </c>
      <c r="E144" s="30">
        <f>IF(INDEX(TilgAktiv,($N$6-1)*480+130)=0,"",INDEX(Tilgung!$J$4:$J$9603,($N$6-1)*480+130))</f>
      </c>
      <c r="F144" s="30">
        <f>IF(INDEX(TilgAktiv,($N$6-1)*480+130)=0,"",IF(INDEX(TilgTilgung,($N$6-1)*480+130)=0,INDEX(TilgZins,($N$6-1)*480+130),INDEX(TilgZins,($N$6-1)*480+130)+INDEX(TilgTilgung,($N$6-1)*480+130))+INDEX(TilgErsatz,($N$6-1)*480+130))</f>
      </c>
      <c r="G144" s="30">
        <f>IF(INDEX(TilgAktiv,($N$6-1)*480+130)=0,"",INDEX(TilgZins,($N$6-1)*480+130))</f>
      </c>
      <c r="H144" s="30">
        <f>IF(INDEX(TilgAktiv,($N$6-1)*480+130)=0,"",INDEX(TilgTilgung,($N$6-1)*480+130))</f>
      </c>
      <c r="I144" s="30">
        <f>IF(INDEX(TilgAktiv,($N$6-1)*480+130)=0,"",INDEX(TilgSonder,($N$6-1)*480+130))</f>
      </c>
      <c r="J144" s="30">
        <f>IF(INDEX(TilgAktiv,($N$6-1)*480+130)=0,"",INDEX(TilgErsatz,($N$6-1)*480+130))</f>
      </c>
      <c r="K144" s="30">
        <f>IF(INDEX(TilgAktiv,($N$6-1)*480+130)=0,"",INDEX(Tilgung!$Q$4:$Q$9603,($N$6-1)*480+130))</f>
      </c>
      <c r="L144" s="30">
        <f>IF(INDEX(TilgAktiv,($N$6-1)*480+130)=0,"",INDEX(Tilgung!$R$4:$R$9603,($N$6-1)*480+130))</f>
      </c>
    </row>
    <row r="145">
      <c r="A145"/>
      <c r="B145" s="36">
        <f>IF(INDEX(TilgAktiv,($N$6-1)*480+131)=0,"",131)</f>
      </c>
      <c r="C145" s="41">
        <f>IF(INDEX(TilgAktiv,($N$6-1)*480+131)=0,"",INDEX(TilgDatum,($N$6-1)*480+131))</f>
      </c>
      <c r="D145" s="31">
        <f>IF(INDEX(TilgAktiv,($N$6-1)*480+131)=0,"",INDEX(Tilgung!$H$4:$H$9603,($N$6-1)*480+131))</f>
      </c>
      <c r="E145" s="30">
        <f>IF(INDEX(TilgAktiv,($N$6-1)*480+131)=0,"",INDEX(Tilgung!$J$4:$J$9603,($N$6-1)*480+131))</f>
      </c>
      <c r="F145" s="30">
        <f>IF(INDEX(TilgAktiv,($N$6-1)*480+131)=0,"",IF(INDEX(TilgTilgung,($N$6-1)*480+131)=0,INDEX(TilgZins,($N$6-1)*480+131),INDEX(TilgZins,($N$6-1)*480+131)+INDEX(TilgTilgung,($N$6-1)*480+131))+INDEX(TilgErsatz,($N$6-1)*480+131))</f>
      </c>
      <c r="G145" s="30">
        <f>IF(INDEX(TilgAktiv,($N$6-1)*480+131)=0,"",INDEX(TilgZins,($N$6-1)*480+131))</f>
      </c>
      <c r="H145" s="30">
        <f>IF(INDEX(TilgAktiv,($N$6-1)*480+131)=0,"",INDEX(TilgTilgung,($N$6-1)*480+131))</f>
      </c>
      <c r="I145" s="30">
        <f>IF(INDEX(TilgAktiv,($N$6-1)*480+131)=0,"",INDEX(TilgSonder,($N$6-1)*480+131))</f>
      </c>
      <c r="J145" s="30">
        <f>IF(INDEX(TilgAktiv,($N$6-1)*480+131)=0,"",INDEX(TilgErsatz,($N$6-1)*480+131))</f>
      </c>
      <c r="K145" s="30">
        <f>IF(INDEX(TilgAktiv,($N$6-1)*480+131)=0,"",INDEX(Tilgung!$Q$4:$Q$9603,($N$6-1)*480+131))</f>
      </c>
      <c r="L145" s="30">
        <f>IF(INDEX(TilgAktiv,($N$6-1)*480+131)=0,"",INDEX(Tilgung!$R$4:$R$9603,($N$6-1)*480+131))</f>
      </c>
    </row>
    <row r="146">
      <c r="A146"/>
      <c r="B146" s="36">
        <f>IF(INDEX(TilgAktiv,($N$6-1)*480+132)=0,"",132)</f>
      </c>
      <c r="C146" s="41">
        <f>IF(INDEX(TilgAktiv,($N$6-1)*480+132)=0,"",INDEX(TilgDatum,($N$6-1)*480+132))</f>
      </c>
      <c r="D146" s="31">
        <f>IF(INDEX(TilgAktiv,($N$6-1)*480+132)=0,"",INDEX(Tilgung!$H$4:$H$9603,($N$6-1)*480+132))</f>
      </c>
      <c r="E146" s="30">
        <f>IF(INDEX(TilgAktiv,($N$6-1)*480+132)=0,"",INDEX(Tilgung!$J$4:$J$9603,($N$6-1)*480+132))</f>
      </c>
      <c r="F146" s="30">
        <f>IF(INDEX(TilgAktiv,($N$6-1)*480+132)=0,"",IF(INDEX(TilgTilgung,($N$6-1)*480+132)=0,INDEX(TilgZins,($N$6-1)*480+132),INDEX(TilgZins,($N$6-1)*480+132)+INDEX(TilgTilgung,($N$6-1)*480+132))+INDEX(TilgErsatz,($N$6-1)*480+132))</f>
      </c>
      <c r="G146" s="30">
        <f>IF(INDEX(TilgAktiv,($N$6-1)*480+132)=0,"",INDEX(TilgZins,($N$6-1)*480+132))</f>
      </c>
      <c r="H146" s="30">
        <f>IF(INDEX(TilgAktiv,($N$6-1)*480+132)=0,"",INDEX(TilgTilgung,($N$6-1)*480+132))</f>
      </c>
      <c r="I146" s="30">
        <f>IF(INDEX(TilgAktiv,($N$6-1)*480+132)=0,"",INDEX(TilgSonder,($N$6-1)*480+132))</f>
      </c>
      <c r="J146" s="30">
        <f>IF(INDEX(TilgAktiv,($N$6-1)*480+132)=0,"",INDEX(TilgErsatz,($N$6-1)*480+132))</f>
      </c>
      <c r="K146" s="30">
        <f>IF(INDEX(TilgAktiv,($N$6-1)*480+132)=0,"",INDEX(Tilgung!$Q$4:$Q$9603,($N$6-1)*480+132))</f>
      </c>
      <c r="L146" s="30">
        <f>IF(INDEX(TilgAktiv,($N$6-1)*480+132)=0,"",INDEX(Tilgung!$R$4:$R$9603,($N$6-1)*480+132))</f>
      </c>
    </row>
    <row r="147">
      <c r="A147"/>
      <c r="B147" s="36">
        <f>IF(INDEX(TilgAktiv,($N$6-1)*480+133)=0,"",133)</f>
      </c>
      <c r="C147" s="41">
        <f>IF(INDEX(TilgAktiv,($N$6-1)*480+133)=0,"",INDEX(TilgDatum,($N$6-1)*480+133))</f>
      </c>
      <c r="D147" s="31">
        <f>IF(INDEX(TilgAktiv,($N$6-1)*480+133)=0,"",INDEX(Tilgung!$H$4:$H$9603,($N$6-1)*480+133))</f>
      </c>
      <c r="E147" s="30">
        <f>IF(INDEX(TilgAktiv,($N$6-1)*480+133)=0,"",INDEX(Tilgung!$J$4:$J$9603,($N$6-1)*480+133))</f>
      </c>
      <c r="F147" s="30">
        <f>IF(INDEX(TilgAktiv,($N$6-1)*480+133)=0,"",IF(INDEX(TilgTilgung,($N$6-1)*480+133)=0,INDEX(TilgZins,($N$6-1)*480+133),INDEX(TilgZins,($N$6-1)*480+133)+INDEX(TilgTilgung,($N$6-1)*480+133))+INDEX(TilgErsatz,($N$6-1)*480+133))</f>
      </c>
      <c r="G147" s="30">
        <f>IF(INDEX(TilgAktiv,($N$6-1)*480+133)=0,"",INDEX(TilgZins,($N$6-1)*480+133))</f>
      </c>
      <c r="H147" s="30">
        <f>IF(INDEX(TilgAktiv,($N$6-1)*480+133)=0,"",INDEX(TilgTilgung,($N$6-1)*480+133))</f>
      </c>
      <c r="I147" s="30">
        <f>IF(INDEX(TilgAktiv,($N$6-1)*480+133)=0,"",INDEX(TilgSonder,($N$6-1)*480+133))</f>
      </c>
      <c r="J147" s="30">
        <f>IF(INDEX(TilgAktiv,($N$6-1)*480+133)=0,"",INDEX(TilgErsatz,($N$6-1)*480+133))</f>
      </c>
      <c r="K147" s="30">
        <f>IF(INDEX(TilgAktiv,($N$6-1)*480+133)=0,"",INDEX(Tilgung!$Q$4:$Q$9603,($N$6-1)*480+133))</f>
      </c>
      <c r="L147" s="30">
        <f>IF(INDEX(TilgAktiv,($N$6-1)*480+133)=0,"",INDEX(Tilgung!$R$4:$R$9603,($N$6-1)*480+133))</f>
      </c>
    </row>
    <row r="148">
      <c r="A148"/>
      <c r="B148" s="36">
        <f>IF(INDEX(TilgAktiv,($N$6-1)*480+134)=0,"",134)</f>
      </c>
      <c r="C148" s="41">
        <f>IF(INDEX(TilgAktiv,($N$6-1)*480+134)=0,"",INDEX(TilgDatum,($N$6-1)*480+134))</f>
      </c>
      <c r="D148" s="31">
        <f>IF(INDEX(TilgAktiv,($N$6-1)*480+134)=0,"",INDEX(Tilgung!$H$4:$H$9603,($N$6-1)*480+134))</f>
      </c>
      <c r="E148" s="30">
        <f>IF(INDEX(TilgAktiv,($N$6-1)*480+134)=0,"",INDEX(Tilgung!$J$4:$J$9603,($N$6-1)*480+134))</f>
      </c>
      <c r="F148" s="30">
        <f>IF(INDEX(TilgAktiv,($N$6-1)*480+134)=0,"",IF(INDEX(TilgTilgung,($N$6-1)*480+134)=0,INDEX(TilgZins,($N$6-1)*480+134),INDEX(TilgZins,($N$6-1)*480+134)+INDEX(TilgTilgung,($N$6-1)*480+134))+INDEX(TilgErsatz,($N$6-1)*480+134))</f>
      </c>
      <c r="G148" s="30">
        <f>IF(INDEX(TilgAktiv,($N$6-1)*480+134)=0,"",INDEX(TilgZins,($N$6-1)*480+134))</f>
      </c>
      <c r="H148" s="30">
        <f>IF(INDEX(TilgAktiv,($N$6-1)*480+134)=0,"",INDEX(TilgTilgung,($N$6-1)*480+134))</f>
      </c>
      <c r="I148" s="30">
        <f>IF(INDEX(TilgAktiv,($N$6-1)*480+134)=0,"",INDEX(TilgSonder,($N$6-1)*480+134))</f>
      </c>
      <c r="J148" s="30">
        <f>IF(INDEX(TilgAktiv,($N$6-1)*480+134)=0,"",INDEX(TilgErsatz,($N$6-1)*480+134))</f>
      </c>
      <c r="K148" s="30">
        <f>IF(INDEX(TilgAktiv,($N$6-1)*480+134)=0,"",INDEX(Tilgung!$Q$4:$Q$9603,($N$6-1)*480+134))</f>
      </c>
      <c r="L148" s="30">
        <f>IF(INDEX(TilgAktiv,($N$6-1)*480+134)=0,"",INDEX(Tilgung!$R$4:$R$9603,($N$6-1)*480+134))</f>
      </c>
    </row>
    <row r="149">
      <c r="A149"/>
      <c r="B149" s="36">
        <f>IF(INDEX(TilgAktiv,($N$6-1)*480+135)=0,"",135)</f>
      </c>
      <c r="C149" s="41">
        <f>IF(INDEX(TilgAktiv,($N$6-1)*480+135)=0,"",INDEX(TilgDatum,($N$6-1)*480+135))</f>
      </c>
      <c r="D149" s="31">
        <f>IF(INDEX(TilgAktiv,($N$6-1)*480+135)=0,"",INDEX(Tilgung!$H$4:$H$9603,($N$6-1)*480+135))</f>
      </c>
      <c r="E149" s="30">
        <f>IF(INDEX(TilgAktiv,($N$6-1)*480+135)=0,"",INDEX(Tilgung!$J$4:$J$9603,($N$6-1)*480+135))</f>
      </c>
      <c r="F149" s="30">
        <f>IF(INDEX(TilgAktiv,($N$6-1)*480+135)=0,"",IF(INDEX(TilgTilgung,($N$6-1)*480+135)=0,INDEX(TilgZins,($N$6-1)*480+135),INDEX(TilgZins,($N$6-1)*480+135)+INDEX(TilgTilgung,($N$6-1)*480+135))+INDEX(TilgErsatz,($N$6-1)*480+135))</f>
      </c>
      <c r="G149" s="30">
        <f>IF(INDEX(TilgAktiv,($N$6-1)*480+135)=0,"",INDEX(TilgZins,($N$6-1)*480+135))</f>
      </c>
      <c r="H149" s="30">
        <f>IF(INDEX(TilgAktiv,($N$6-1)*480+135)=0,"",INDEX(TilgTilgung,($N$6-1)*480+135))</f>
      </c>
      <c r="I149" s="30">
        <f>IF(INDEX(TilgAktiv,($N$6-1)*480+135)=0,"",INDEX(TilgSonder,($N$6-1)*480+135))</f>
      </c>
      <c r="J149" s="30">
        <f>IF(INDEX(TilgAktiv,($N$6-1)*480+135)=0,"",INDEX(TilgErsatz,($N$6-1)*480+135))</f>
      </c>
      <c r="K149" s="30">
        <f>IF(INDEX(TilgAktiv,($N$6-1)*480+135)=0,"",INDEX(Tilgung!$Q$4:$Q$9603,($N$6-1)*480+135))</f>
      </c>
      <c r="L149" s="30">
        <f>IF(INDEX(TilgAktiv,($N$6-1)*480+135)=0,"",INDEX(Tilgung!$R$4:$R$9603,($N$6-1)*480+135))</f>
      </c>
    </row>
    <row r="150">
      <c r="A150"/>
      <c r="B150" s="36">
        <f>IF(INDEX(TilgAktiv,($N$6-1)*480+136)=0,"",136)</f>
      </c>
      <c r="C150" s="41">
        <f>IF(INDEX(TilgAktiv,($N$6-1)*480+136)=0,"",INDEX(TilgDatum,($N$6-1)*480+136))</f>
      </c>
      <c r="D150" s="31">
        <f>IF(INDEX(TilgAktiv,($N$6-1)*480+136)=0,"",INDEX(Tilgung!$H$4:$H$9603,($N$6-1)*480+136))</f>
      </c>
      <c r="E150" s="30">
        <f>IF(INDEX(TilgAktiv,($N$6-1)*480+136)=0,"",INDEX(Tilgung!$J$4:$J$9603,($N$6-1)*480+136))</f>
      </c>
      <c r="F150" s="30">
        <f>IF(INDEX(TilgAktiv,($N$6-1)*480+136)=0,"",IF(INDEX(TilgTilgung,($N$6-1)*480+136)=0,INDEX(TilgZins,($N$6-1)*480+136),INDEX(TilgZins,($N$6-1)*480+136)+INDEX(TilgTilgung,($N$6-1)*480+136))+INDEX(TilgErsatz,($N$6-1)*480+136))</f>
      </c>
      <c r="G150" s="30">
        <f>IF(INDEX(TilgAktiv,($N$6-1)*480+136)=0,"",INDEX(TilgZins,($N$6-1)*480+136))</f>
      </c>
      <c r="H150" s="30">
        <f>IF(INDEX(TilgAktiv,($N$6-1)*480+136)=0,"",INDEX(TilgTilgung,($N$6-1)*480+136))</f>
      </c>
      <c r="I150" s="30">
        <f>IF(INDEX(TilgAktiv,($N$6-1)*480+136)=0,"",INDEX(TilgSonder,($N$6-1)*480+136))</f>
      </c>
      <c r="J150" s="30">
        <f>IF(INDEX(TilgAktiv,($N$6-1)*480+136)=0,"",INDEX(TilgErsatz,($N$6-1)*480+136))</f>
      </c>
      <c r="K150" s="30">
        <f>IF(INDEX(TilgAktiv,($N$6-1)*480+136)=0,"",INDEX(Tilgung!$Q$4:$Q$9603,($N$6-1)*480+136))</f>
      </c>
      <c r="L150" s="30">
        <f>IF(INDEX(TilgAktiv,($N$6-1)*480+136)=0,"",INDEX(Tilgung!$R$4:$R$9603,($N$6-1)*480+136))</f>
      </c>
    </row>
    <row r="151">
      <c r="A151"/>
      <c r="B151" s="36">
        <f>IF(INDEX(TilgAktiv,($N$6-1)*480+137)=0,"",137)</f>
      </c>
      <c r="C151" s="41">
        <f>IF(INDEX(TilgAktiv,($N$6-1)*480+137)=0,"",INDEX(TilgDatum,($N$6-1)*480+137))</f>
      </c>
      <c r="D151" s="31">
        <f>IF(INDEX(TilgAktiv,($N$6-1)*480+137)=0,"",INDEX(Tilgung!$H$4:$H$9603,($N$6-1)*480+137))</f>
      </c>
      <c r="E151" s="30">
        <f>IF(INDEX(TilgAktiv,($N$6-1)*480+137)=0,"",INDEX(Tilgung!$J$4:$J$9603,($N$6-1)*480+137))</f>
      </c>
      <c r="F151" s="30">
        <f>IF(INDEX(TilgAktiv,($N$6-1)*480+137)=0,"",IF(INDEX(TilgTilgung,($N$6-1)*480+137)=0,INDEX(TilgZins,($N$6-1)*480+137),INDEX(TilgZins,($N$6-1)*480+137)+INDEX(TilgTilgung,($N$6-1)*480+137))+INDEX(TilgErsatz,($N$6-1)*480+137))</f>
      </c>
      <c r="G151" s="30">
        <f>IF(INDEX(TilgAktiv,($N$6-1)*480+137)=0,"",INDEX(TilgZins,($N$6-1)*480+137))</f>
      </c>
      <c r="H151" s="30">
        <f>IF(INDEX(TilgAktiv,($N$6-1)*480+137)=0,"",INDEX(TilgTilgung,($N$6-1)*480+137))</f>
      </c>
      <c r="I151" s="30">
        <f>IF(INDEX(TilgAktiv,($N$6-1)*480+137)=0,"",INDEX(TilgSonder,($N$6-1)*480+137))</f>
      </c>
      <c r="J151" s="30">
        <f>IF(INDEX(TilgAktiv,($N$6-1)*480+137)=0,"",INDEX(TilgErsatz,($N$6-1)*480+137))</f>
      </c>
      <c r="K151" s="30">
        <f>IF(INDEX(TilgAktiv,($N$6-1)*480+137)=0,"",INDEX(Tilgung!$Q$4:$Q$9603,($N$6-1)*480+137))</f>
      </c>
      <c r="L151" s="30">
        <f>IF(INDEX(TilgAktiv,($N$6-1)*480+137)=0,"",INDEX(Tilgung!$R$4:$R$9603,($N$6-1)*480+137))</f>
      </c>
    </row>
    <row r="152">
      <c r="A152"/>
      <c r="B152" s="36">
        <f>IF(INDEX(TilgAktiv,($N$6-1)*480+138)=0,"",138)</f>
      </c>
      <c r="C152" s="41">
        <f>IF(INDEX(TilgAktiv,($N$6-1)*480+138)=0,"",INDEX(TilgDatum,($N$6-1)*480+138))</f>
      </c>
      <c r="D152" s="31">
        <f>IF(INDEX(TilgAktiv,($N$6-1)*480+138)=0,"",INDEX(Tilgung!$H$4:$H$9603,($N$6-1)*480+138))</f>
      </c>
      <c r="E152" s="30">
        <f>IF(INDEX(TilgAktiv,($N$6-1)*480+138)=0,"",INDEX(Tilgung!$J$4:$J$9603,($N$6-1)*480+138))</f>
      </c>
      <c r="F152" s="30">
        <f>IF(INDEX(TilgAktiv,($N$6-1)*480+138)=0,"",IF(INDEX(TilgTilgung,($N$6-1)*480+138)=0,INDEX(TilgZins,($N$6-1)*480+138),INDEX(TilgZins,($N$6-1)*480+138)+INDEX(TilgTilgung,($N$6-1)*480+138))+INDEX(TilgErsatz,($N$6-1)*480+138))</f>
      </c>
      <c r="G152" s="30">
        <f>IF(INDEX(TilgAktiv,($N$6-1)*480+138)=0,"",INDEX(TilgZins,($N$6-1)*480+138))</f>
      </c>
      <c r="H152" s="30">
        <f>IF(INDEX(TilgAktiv,($N$6-1)*480+138)=0,"",INDEX(TilgTilgung,($N$6-1)*480+138))</f>
      </c>
      <c r="I152" s="30">
        <f>IF(INDEX(TilgAktiv,($N$6-1)*480+138)=0,"",INDEX(TilgSonder,($N$6-1)*480+138))</f>
      </c>
      <c r="J152" s="30">
        <f>IF(INDEX(TilgAktiv,($N$6-1)*480+138)=0,"",INDEX(TilgErsatz,($N$6-1)*480+138))</f>
      </c>
      <c r="K152" s="30">
        <f>IF(INDEX(TilgAktiv,($N$6-1)*480+138)=0,"",INDEX(Tilgung!$Q$4:$Q$9603,($N$6-1)*480+138))</f>
      </c>
      <c r="L152" s="30">
        <f>IF(INDEX(TilgAktiv,($N$6-1)*480+138)=0,"",INDEX(Tilgung!$R$4:$R$9603,($N$6-1)*480+138))</f>
      </c>
    </row>
    <row r="153">
      <c r="A153"/>
      <c r="B153" s="36">
        <f>IF(INDEX(TilgAktiv,($N$6-1)*480+139)=0,"",139)</f>
      </c>
      <c r="C153" s="41">
        <f>IF(INDEX(TilgAktiv,($N$6-1)*480+139)=0,"",INDEX(TilgDatum,($N$6-1)*480+139))</f>
      </c>
      <c r="D153" s="31">
        <f>IF(INDEX(TilgAktiv,($N$6-1)*480+139)=0,"",INDEX(Tilgung!$H$4:$H$9603,($N$6-1)*480+139))</f>
      </c>
      <c r="E153" s="30">
        <f>IF(INDEX(TilgAktiv,($N$6-1)*480+139)=0,"",INDEX(Tilgung!$J$4:$J$9603,($N$6-1)*480+139))</f>
      </c>
      <c r="F153" s="30">
        <f>IF(INDEX(TilgAktiv,($N$6-1)*480+139)=0,"",IF(INDEX(TilgTilgung,($N$6-1)*480+139)=0,INDEX(TilgZins,($N$6-1)*480+139),INDEX(TilgZins,($N$6-1)*480+139)+INDEX(TilgTilgung,($N$6-1)*480+139))+INDEX(TilgErsatz,($N$6-1)*480+139))</f>
      </c>
      <c r="G153" s="30">
        <f>IF(INDEX(TilgAktiv,($N$6-1)*480+139)=0,"",INDEX(TilgZins,($N$6-1)*480+139))</f>
      </c>
      <c r="H153" s="30">
        <f>IF(INDEX(TilgAktiv,($N$6-1)*480+139)=0,"",INDEX(TilgTilgung,($N$6-1)*480+139))</f>
      </c>
      <c r="I153" s="30">
        <f>IF(INDEX(TilgAktiv,($N$6-1)*480+139)=0,"",INDEX(TilgSonder,($N$6-1)*480+139))</f>
      </c>
      <c r="J153" s="30">
        <f>IF(INDEX(TilgAktiv,($N$6-1)*480+139)=0,"",INDEX(TilgErsatz,($N$6-1)*480+139))</f>
      </c>
      <c r="K153" s="30">
        <f>IF(INDEX(TilgAktiv,($N$6-1)*480+139)=0,"",INDEX(Tilgung!$Q$4:$Q$9603,($N$6-1)*480+139))</f>
      </c>
      <c r="L153" s="30">
        <f>IF(INDEX(TilgAktiv,($N$6-1)*480+139)=0,"",INDEX(Tilgung!$R$4:$R$9603,($N$6-1)*480+139))</f>
      </c>
    </row>
    <row r="154">
      <c r="A154"/>
      <c r="B154" s="36">
        <f>IF(INDEX(TilgAktiv,($N$6-1)*480+140)=0,"",140)</f>
      </c>
      <c r="C154" s="41">
        <f>IF(INDEX(TilgAktiv,($N$6-1)*480+140)=0,"",INDEX(TilgDatum,($N$6-1)*480+140))</f>
      </c>
      <c r="D154" s="31">
        <f>IF(INDEX(TilgAktiv,($N$6-1)*480+140)=0,"",INDEX(Tilgung!$H$4:$H$9603,($N$6-1)*480+140))</f>
      </c>
      <c r="E154" s="30">
        <f>IF(INDEX(TilgAktiv,($N$6-1)*480+140)=0,"",INDEX(Tilgung!$J$4:$J$9603,($N$6-1)*480+140))</f>
      </c>
      <c r="F154" s="30">
        <f>IF(INDEX(TilgAktiv,($N$6-1)*480+140)=0,"",IF(INDEX(TilgTilgung,($N$6-1)*480+140)=0,INDEX(TilgZins,($N$6-1)*480+140),INDEX(TilgZins,($N$6-1)*480+140)+INDEX(TilgTilgung,($N$6-1)*480+140))+INDEX(TilgErsatz,($N$6-1)*480+140))</f>
      </c>
      <c r="G154" s="30">
        <f>IF(INDEX(TilgAktiv,($N$6-1)*480+140)=0,"",INDEX(TilgZins,($N$6-1)*480+140))</f>
      </c>
      <c r="H154" s="30">
        <f>IF(INDEX(TilgAktiv,($N$6-1)*480+140)=0,"",INDEX(TilgTilgung,($N$6-1)*480+140))</f>
      </c>
      <c r="I154" s="30">
        <f>IF(INDEX(TilgAktiv,($N$6-1)*480+140)=0,"",INDEX(TilgSonder,($N$6-1)*480+140))</f>
      </c>
      <c r="J154" s="30">
        <f>IF(INDEX(TilgAktiv,($N$6-1)*480+140)=0,"",INDEX(TilgErsatz,($N$6-1)*480+140))</f>
      </c>
      <c r="K154" s="30">
        <f>IF(INDEX(TilgAktiv,($N$6-1)*480+140)=0,"",INDEX(Tilgung!$Q$4:$Q$9603,($N$6-1)*480+140))</f>
      </c>
      <c r="L154" s="30">
        <f>IF(INDEX(TilgAktiv,($N$6-1)*480+140)=0,"",INDEX(Tilgung!$R$4:$R$9603,($N$6-1)*480+140))</f>
      </c>
    </row>
    <row r="155">
      <c r="A155"/>
      <c r="B155" s="36">
        <f>IF(INDEX(TilgAktiv,($N$6-1)*480+141)=0,"",141)</f>
      </c>
      <c r="C155" s="41">
        <f>IF(INDEX(TilgAktiv,($N$6-1)*480+141)=0,"",INDEX(TilgDatum,($N$6-1)*480+141))</f>
      </c>
      <c r="D155" s="31">
        <f>IF(INDEX(TilgAktiv,($N$6-1)*480+141)=0,"",INDEX(Tilgung!$H$4:$H$9603,($N$6-1)*480+141))</f>
      </c>
      <c r="E155" s="30">
        <f>IF(INDEX(TilgAktiv,($N$6-1)*480+141)=0,"",INDEX(Tilgung!$J$4:$J$9603,($N$6-1)*480+141))</f>
      </c>
      <c r="F155" s="30">
        <f>IF(INDEX(TilgAktiv,($N$6-1)*480+141)=0,"",IF(INDEX(TilgTilgung,($N$6-1)*480+141)=0,INDEX(TilgZins,($N$6-1)*480+141),INDEX(TilgZins,($N$6-1)*480+141)+INDEX(TilgTilgung,($N$6-1)*480+141))+INDEX(TilgErsatz,($N$6-1)*480+141))</f>
      </c>
      <c r="G155" s="30">
        <f>IF(INDEX(TilgAktiv,($N$6-1)*480+141)=0,"",INDEX(TilgZins,($N$6-1)*480+141))</f>
      </c>
      <c r="H155" s="30">
        <f>IF(INDEX(TilgAktiv,($N$6-1)*480+141)=0,"",INDEX(TilgTilgung,($N$6-1)*480+141))</f>
      </c>
      <c r="I155" s="30">
        <f>IF(INDEX(TilgAktiv,($N$6-1)*480+141)=0,"",INDEX(TilgSonder,($N$6-1)*480+141))</f>
      </c>
      <c r="J155" s="30">
        <f>IF(INDEX(TilgAktiv,($N$6-1)*480+141)=0,"",INDEX(TilgErsatz,($N$6-1)*480+141))</f>
      </c>
      <c r="K155" s="30">
        <f>IF(INDEX(TilgAktiv,($N$6-1)*480+141)=0,"",INDEX(Tilgung!$Q$4:$Q$9603,($N$6-1)*480+141))</f>
      </c>
      <c r="L155" s="30">
        <f>IF(INDEX(TilgAktiv,($N$6-1)*480+141)=0,"",INDEX(Tilgung!$R$4:$R$9603,($N$6-1)*480+141))</f>
      </c>
    </row>
    <row r="156">
      <c r="A156"/>
      <c r="B156" s="36">
        <f>IF(INDEX(TilgAktiv,($N$6-1)*480+142)=0,"",142)</f>
      </c>
      <c r="C156" s="41">
        <f>IF(INDEX(TilgAktiv,($N$6-1)*480+142)=0,"",INDEX(TilgDatum,($N$6-1)*480+142))</f>
      </c>
      <c r="D156" s="31">
        <f>IF(INDEX(TilgAktiv,($N$6-1)*480+142)=0,"",INDEX(Tilgung!$H$4:$H$9603,($N$6-1)*480+142))</f>
      </c>
      <c r="E156" s="30">
        <f>IF(INDEX(TilgAktiv,($N$6-1)*480+142)=0,"",INDEX(Tilgung!$J$4:$J$9603,($N$6-1)*480+142))</f>
      </c>
      <c r="F156" s="30">
        <f>IF(INDEX(TilgAktiv,($N$6-1)*480+142)=0,"",IF(INDEX(TilgTilgung,($N$6-1)*480+142)=0,INDEX(TilgZins,($N$6-1)*480+142),INDEX(TilgZins,($N$6-1)*480+142)+INDEX(TilgTilgung,($N$6-1)*480+142))+INDEX(TilgErsatz,($N$6-1)*480+142))</f>
      </c>
      <c r="G156" s="30">
        <f>IF(INDEX(TilgAktiv,($N$6-1)*480+142)=0,"",INDEX(TilgZins,($N$6-1)*480+142))</f>
      </c>
      <c r="H156" s="30">
        <f>IF(INDEX(TilgAktiv,($N$6-1)*480+142)=0,"",INDEX(TilgTilgung,($N$6-1)*480+142))</f>
      </c>
      <c r="I156" s="30">
        <f>IF(INDEX(TilgAktiv,($N$6-1)*480+142)=0,"",INDEX(TilgSonder,($N$6-1)*480+142))</f>
      </c>
      <c r="J156" s="30">
        <f>IF(INDEX(TilgAktiv,($N$6-1)*480+142)=0,"",INDEX(TilgErsatz,($N$6-1)*480+142))</f>
      </c>
      <c r="K156" s="30">
        <f>IF(INDEX(TilgAktiv,($N$6-1)*480+142)=0,"",INDEX(Tilgung!$Q$4:$Q$9603,($N$6-1)*480+142))</f>
      </c>
      <c r="L156" s="30">
        <f>IF(INDEX(TilgAktiv,($N$6-1)*480+142)=0,"",INDEX(Tilgung!$R$4:$R$9603,($N$6-1)*480+142))</f>
      </c>
    </row>
    <row r="157">
      <c r="A157"/>
      <c r="B157" s="36">
        <f>IF(INDEX(TilgAktiv,($N$6-1)*480+143)=0,"",143)</f>
      </c>
      <c r="C157" s="41">
        <f>IF(INDEX(TilgAktiv,($N$6-1)*480+143)=0,"",INDEX(TilgDatum,($N$6-1)*480+143))</f>
      </c>
      <c r="D157" s="31">
        <f>IF(INDEX(TilgAktiv,($N$6-1)*480+143)=0,"",INDEX(Tilgung!$H$4:$H$9603,($N$6-1)*480+143))</f>
      </c>
      <c r="E157" s="30">
        <f>IF(INDEX(TilgAktiv,($N$6-1)*480+143)=0,"",INDEX(Tilgung!$J$4:$J$9603,($N$6-1)*480+143))</f>
      </c>
      <c r="F157" s="30">
        <f>IF(INDEX(TilgAktiv,($N$6-1)*480+143)=0,"",IF(INDEX(TilgTilgung,($N$6-1)*480+143)=0,INDEX(TilgZins,($N$6-1)*480+143),INDEX(TilgZins,($N$6-1)*480+143)+INDEX(TilgTilgung,($N$6-1)*480+143))+INDEX(TilgErsatz,($N$6-1)*480+143))</f>
      </c>
      <c r="G157" s="30">
        <f>IF(INDEX(TilgAktiv,($N$6-1)*480+143)=0,"",INDEX(TilgZins,($N$6-1)*480+143))</f>
      </c>
      <c r="H157" s="30">
        <f>IF(INDEX(TilgAktiv,($N$6-1)*480+143)=0,"",INDEX(TilgTilgung,($N$6-1)*480+143))</f>
      </c>
      <c r="I157" s="30">
        <f>IF(INDEX(TilgAktiv,($N$6-1)*480+143)=0,"",INDEX(TilgSonder,($N$6-1)*480+143))</f>
      </c>
      <c r="J157" s="30">
        <f>IF(INDEX(TilgAktiv,($N$6-1)*480+143)=0,"",INDEX(TilgErsatz,($N$6-1)*480+143))</f>
      </c>
      <c r="K157" s="30">
        <f>IF(INDEX(TilgAktiv,($N$6-1)*480+143)=0,"",INDEX(Tilgung!$Q$4:$Q$9603,($N$6-1)*480+143))</f>
      </c>
      <c r="L157" s="30">
        <f>IF(INDEX(TilgAktiv,($N$6-1)*480+143)=0,"",INDEX(Tilgung!$R$4:$R$9603,($N$6-1)*480+143))</f>
      </c>
    </row>
    <row r="158">
      <c r="A158"/>
      <c r="B158" s="36">
        <f>IF(INDEX(TilgAktiv,($N$6-1)*480+144)=0,"",144)</f>
      </c>
      <c r="C158" s="41">
        <f>IF(INDEX(TilgAktiv,($N$6-1)*480+144)=0,"",INDEX(TilgDatum,($N$6-1)*480+144))</f>
      </c>
      <c r="D158" s="31">
        <f>IF(INDEX(TilgAktiv,($N$6-1)*480+144)=0,"",INDEX(Tilgung!$H$4:$H$9603,($N$6-1)*480+144))</f>
      </c>
      <c r="E158" s="30">
        <f>IF(INDEX(TilgAktiv,($N$6-1)*480+144)=0,"",INDEX(Tilgung!$J$4:$J$9603,($N$6-1)*480+144))</f>
      </c>
      <c r="F158" s="30">
        <f>IF(INDEX(TilgAktiv,($N$6-1)*480+144)=0,"",IF(INDEX(TilgTilgung,($N$6-1)*480+144)=0,INDEX(TilgZins,($N$6-1)*480+144),INDEX(TilgZins,($N$6-1)*480+144)+INDEX(TilgTilgung,($N$6-1)*480+144))+INDEX(TilgErsatz,($N$6-1)*480+144))</f>
      </c>
      <c r="G158" s="30">
        <f>IF(INDEX(TilgAktiv,($N$6-1)*480+144)=0,"",INDEX(TilgZins,($N$6-1)*480+144))</f>
      </c>
      <c r="H158" s="30">
        <f>IF(INDEX(TilgAktiv,($N$6-1)*480+144)=0,"",INDEX(TilgTilgung,($N$6-1)*480+144))</f>
      </c>
      <c r="I158" s="30">
        <f>IF(INDEX(TilgAktiv,($N$6-1)*480+144)=0,"",INDEX(TilgSonder,($N$6-1)*480+144))</f>
      </c>
      <c r="J158" s="30">
        <f>IF(INDEX(TilgAktiv,($N$6-1)*480+144)=0,"",INDEX(TilgErsatz,($N$6-1)*480+144))</f>
      </c>
      <c r="K158" s="30">
        <f>IF(INDEX(TilgAktiv,($N$6-1)*480+144)=0,"",INDEX(Tilgung!$Q$4:$Q$9603,($N$6-1)*480+144))</f>
      </c>
      <c r="L158" s="30">
        <f>IF(INDEX(TilgAktiv,($N$6-1)*480+144)=0,"",INDEX(Tilgung!$R$4:$R$9603,($N$6-1)*480+144))</f>
      </c>
    </row>
    <row r="159">
      <c r="A159"/>
      <c r="B159" s="36">
        <f>IF(INDEX(TilgAktiv,($N$6-1)*480+145)=0,"",145)</f>
      </c>
      <c r="C159" s="41">
        <f>IF(INDEX(TilgAktiv,($N$6-1)*480+145)=0,"",INDEX(TilgDatum,($N$6-1)*480+145))</f>
      </c>
      <c r="D159" s="31">
        <f>IF(INDEX(TilgAktiv,($N$6-1)*480+145)=0,"",INDEX(Tilgung!$H$4:$H$9603,($N$6-1)*480+145))</f>
      </c>
      <c r="E159" s="30">
        <f>IF(INDEX(TilgAktiv,($N$6-1)*480+145)=0,"",INDEX(Tilgung!$J$4:$J$9603,($N$6-1)*480+145))</f>
      </c>
      <c r="F159" s="30">
        <f>IF(INDEX(TilgAktiv,($N$6-1)*480+145)=0,"",IF(INDEX(TilgTilgung,($N$6-1)*480+145)=0,INDEX(TilgZins,($N$6-1)*480+145),INDEX(TilgZins,($N$6-1)*480+145)+INDEX(TilgTilgung,($N$6-1)*480+145))+INDEX(TilgErsatz,($N$6-1)*480+145))</f>
      </c>
      <c r="G159" s="30">
        <f>IF(INDEX(TilgAktiv,($N$6-1)*480+145)=0,"",INDEX(TilgZins,($N$6-1)*480+145))</f>
      </c>
      <c r="H159" s="30">
        <f>IF(INDEX(TilgAktiv,($N$6-1)*480+145)=0,"",INDEX(TilgTilgung,($N$6-1)*480+145))</f>
      </c>
      <c r="I159" s="30">
        <f>IF(INDEX(TilgAktiv,($N$6-1)*480+145)=0,"",INDEX(TilgSonder,($N$6-1)*480+145))</f>
      </c>
      <c r="J159" s="30">
        <f>IF(INDEX(TilgAktiv,($N$6-1)*480+145)=0,"",INDEX(TilgErsatz,($N$6-1)*480+145))</f>
      </c>
      <c r="K159" s="30">
        <f>IF(INDEX(TilgAktiv,($N$6-1)*480+145)=0,"",INDEX(Tilgung!$Q$4:$Q$9603,($N$6-1)*480+145))</f>
      </c>
      <c r="L159" s="30">
        <f>IF(INDEX(TilgAktiv,($N$6-1)*480+145)=0,"",INDEX(Tilgung!$R$4:$R$9603,($N$6-1)*480+145))</f>
      </c>
    </row>
    <row r="160">
      <c r="A160"/>
      <c r="B160" s="36">
        <f>IF(INDEX(TilgAktiv,($N$6-1)*480+146)=0,"",146)</f>
      </c>
      <c r="C160" s="41">
        <f>IF(INDEX(TilgAktiv,($N$6-1)*480+146)=0,"",INDEX(TilgDatum,($N$6-1)*480+146))</f>
      </c>
      <c r="D160" s="31">
        <f>IF(INDEX(TilgAktiv,($N$6-1)*480+146)=0,"",INDEX(Tilgung!$H$4:$H$9603,($N$6-1)*480+146))</f>
      </c>
      <c r="E160" s="30">
        <f>IF(INDEX(TilgAktiv,($N$6-1)*480+146)=0,"",INDEX(Tilgung!$J$4:$J$9603,($N$6-1)*480+146))</f>
      </c>
      <c r="F160" s="30">
        <f>IF(INDEX(TilgAktiv,($N$6-1)*480+146)=0,"",IF(INDEX(TilgTilgung,($N$6-1)*480+146)=0,INDEX(TilgZins,($N$6-1)*480+146),INDEX(TilgZins,($N$6-1)*480+146)+INDEX(TilgTilgung,($N$6-1)*480+146))+INDEX(TilgErsatz,($N$6-1)*480+146))</f>
      </c>
      <c r="G160" s="30">
        <f>IF(INDEX(TilgAktiv,($N$6-1)*480+146)=0,"",INDEX(TilgZins,($N$6-1)*480+146))</f>
      </c>
      <c r="H160" s="30">
        <f>IF(INDEX(TilgAktiv,($N$6-1)*480+146)=0,"",INDEX(TilgTilgung,($N$6-1)*480+146))</f>
      </c>
      <c r="I160" s="30">
        <f>IF(INDEX(TilgAktiv,($N$6-1)*480+146)=0,"",INDEX(TilgSonder,($N$6-1)*480+146))</f>
      </c>
      <c r="J160" s="30">
        <f>IF(INDEX(TilgAktiv,($N$6-1)*480+146)=0,"",INDEX(TilgErsatz,($N$6-1)*480+146))</f>
      </c>
      <c r="K160" s="30">
        <f>IF(INDEX(TilgAktiv,($N$6-1)*480+146)=0,"",INDEX(Tilgung!$Q$4:$Q$9603,($N$6-1)*480+146))</f>
      </c>
      <c r="L160" s="30">
        <f>IF(INDEX(TilgAktiv,($N$6-1)*480+146)=0,"",INDEX(Tilgung!$R$4:$R$9603,($N$6-1)*480+146))</f>
      </c>
    </row>
    <row r="161">
      <c r="A161"/>
      <c r="B161" s="36">
        <f>IF(INDEX(TilgAktiv,($N$6-1)*480+147)=0,"",147)</f>
      </c>
      <c r="C161" s="41">
        <f>IF(INDEX(TilgAktiv,($N$6-1)*480+147)=0,"",INDEX(TilgDatum,($N$6-1)*480+147))</f>
      </c>
      <c r="D161" s="31">
        <f>IF(INDEX(TilgAktiv,($N$6-1)*480+147)=0,"",INDEX(Tilgung!$H$4:$H$9603,($N$6-1)*480+147))</f>
      </c>
      <c r="E161" s="30">
        <f>IF(INDEX(TilgAktiv,($N$6-1)*480+147)=0,"",INDEX(Tilgung!$J$4:$J$9603,($N$6-1)*480+147))</f>
      </c>
      <c r="F161" s="30">
        <f>IF(INDEX(TilgAktiv,($N$6-1)*480+147)=0,"",IF(INDEX(TilgTilgung,($N$6-1)*480+147)=0,INDEX(TilgZins,($N$6-1)*480+147),INDEX(TilgZins,($N$6-1)*480+147)+INDEX(TilgTilgung,($N$6-1)*480+147))+INDEX(TilgErsatz,($N$6-1)*480+147))</f>
      </c>
      <c r="G161" s="30">
        <f>IF(INDEX(TilgAktiv,($N$6-1)*480+147)=0,"",INDEX(TilgZins,($N$6-1)*480+147))</f>
      </c>
      <c r="H161" s="30">
        <f>IF(INDEX(TilgAktiv,($N$6-1)*480+147)=0,"",INDEX(TilgTilgung,($N$6-1)*480+147))</f>
      </c>
      <c r="I161" s="30">
        <f>IF(INDEX(TilgAktiv,($N$6-1)*480+147)=0,"",INDEX(TilgSonder,($N$6-1)*480+147))</f>
      </c>
      <c r="J161" s="30">
        <f>IF(INDEX(TilgAktiv,($N$6-1)*480+147)=0,"",INDEX(TilgErsatz,($N$6-1)*480+147))</f>
      </c>
      <c r="K161" s="30">
        <f>IF(INDEX(TilgAktiv,($N$6-1)*480+147)=0,"",INDEX(Tilgung!$Q$4:$Q$9603,($N$6-1)*480+147))</f>
      </c>
      <c r="L161" s="30">
        <f>IF(INDEX(TilgAktiv,($N$6-1)*480+147)=0,"",INDEX(Tilgung!$R$4:$R$9603,($N$6-1)*480+147))</f>
      </c>
    </row>
    <row r="162">
      <c r="A162"/>
      <c r="B162" s="36">
        <f>IF(INDEX(TilgAktiv,($N$6-1)*480+148)=0,"",148)</f>
      </c>
      <c r="C162" s="41">
        <f>IF(INDEX(TilgAktiv,($N$6-1)*480+148)=0,"",INDEX(TilgDatum,($N$6-1)*480+148))</f>
      </c>
      <c r="D162" s="31">
        <f>IF(INDEX(TilgAktiv,($N$6-1)*480+148)=0,"",INDEX(Tilgung!$H$4:$H$9603,($N$6-1)*480+148))</f>
      </c>
      <c r="E162" s="30">
        <f>IF(INDEX(TilgAktiv,($N$6-1)*480+148)=0,"",INDEX(Tilgung!$J$4:$J$9603,($N$6-1)*480+148))</f>
      </c>
      <c r="F162" s="30">
        <f>IF(INDEX(TilgAktiv,($N$6-1)*480+148)=0,"",IF(INDEX(TilgTilgung,($N$6-1)*480+148)=0,INDEX(TilgZins,($N$6-1)*480+148),INDEX(TilgZins,($N$6-1)*480+148)+INDEX(TilgTilgung,($N$6-1)*480+148))+INDEX(TilgErsatz,($N$6-1)*480+148))</f>
      </c>
      <c r="G162" s="30">
        <f>IF(INDEX(TilgAktiv,($N$6-1)*480+148)=0,"",INDEX(TilgZins,($N$6-1)*480+148))</f>
      </c>
      <c r="H162" s="30">
        <f>IF(INDEX(TilgAktiv,($N$6-1)*480+148)=0,"",INDEX(TilgTilgung,($N$6-1)*480+148))</f>
      </c>
      <c r="I162" s="30">
        <f>IF(INDEX(TilgAktiv,($N$6-1)*480+148)=0,"",INDEX(TilgSonder,($N$6-1)*480+148))</f>
      </c>
      <c r="J162" s="30">
        <f>IF(INDEX(TilgAktiv,($N$6-1)*480+148)=0,"",INDEX(TilgErsatz,($N$6-1)*480+148))</f>
      </c>
      <c r="K162" s="30">
        <f>IF(INDEX(TilgAktiv,($N$6-1)*480+148)=0,"",INDEX(Tilgung!$Q$4:$Q$9603,($N$6-1)*480+148))</f>
      </c>
      <c r="L162" s="30">
        <f>IF(INDEX(TilgAktiv,($N$6-1)*480+148)=0,"",INDEX(Tilgung!$R$4:$R$9603,($N$6-1)*480+148))</f>
      </c>
    </row>
    <row r="163">
      <c r="A163"/>
      <c r="B163" s="36">
        <f>IF(INDEX(TilgAktiv,($N$6-1)*480+149)=0,"",149)</f>
      </c>
      <c r="C163" s="41">
        <f>IF(INDEX(TilgAktiv,($N$6-1)*480+149)=0,"",INDEX(TilgDatum,($N$6-1)*480+149))</f>
      </c>
      <c r="D163" s="31">
        <f>IF(INDEX(TilgAktiv,($N$6-1)*480+149)=0,"",INDEX(Tilgung!$H$4:$H$9603,($N$6-1)*480+149))</f>
      </c>
      <c r="E163" s="30">
        <f>IF(INDEX(TilgAktiv,($N$6-1)*480+149)=0,"",INDEX(Tilgung!$J$4:$J$9603,($N$6-1)*480+149))</f>
      </c>
      <c r="F163" s="30">
        <f>IF(INDEX(TilgAktiv,($N$6-1)*480+149)=0,"",IF(INDEX(TilgTilgung,($N$6-1)*480+149)=0,INDEX(TilgZins,($N$6-1)*480+149),INDEX(TilgZins,($N$6-1)*480+149)+INDEX(TilgTilgung,($N$6-1)*480+149))+INDEX(TilgErsatz,($N$6-1)*480+149))</f>
      </c>
      <c r="G163" s="30">
        <f>IF(INDEX(TilgAktiv,($N$6-1)*480+149)=0,"",INDEX(TilgZins,($N$6-1)*480+149))</f>
      </c>
      <c r="H163" s="30">
        <f>IF(INDEX(TilgAktiv,($N$6-1)*480+149)=0,"",INDEX(TilgTilgung,($N$6-1)*480+149))</f>
      </c>
      <c r="I163" s="30">
        <f>IF(INDEX(TilgAktiv,($N$6-1)*480+149)=0,"",INDEX(TilgSonder,($N$6-1)*480+149))</f>
      </c>
      <c r="J163" s="30">
        <f>IF(INDEX(TilgAktiv,($N$6-1)*480+149)=0,"",INDEX(TilgErsatz,($N$6-1)*480+149))</f>
      </c>
      <c r="K163" s="30">
        <f>IF(INDEX(TilgAktiv,($N$6-1)*480+149)=0,"",INDEX(Tilgung!$Q$4:$Q$9603,($N$6-1)*480+149))</f>
      </c>
      <c r="L163" s="30">
        <f>IF(INDEX(TilgAktiv,($N$6-1)*480+149)=0,"",INDEX(Tilgung!$R$4:$R$9603,($N$6-1)*480+149))</f>
      </c>
    </row>
    <row r="164">
      <c r="A164"/>
      <c r="B164" s="36">
        <f>IF(INDEX(TilgAktiv,($N$6-1)*480+150)=0,"",150)</f>
      </c>
      <c r="C164" s="41">
        <f>IF(INDEX(TilgAktiv,($N$6-1)*480+150)=0,"",INDEX(TilgDatum,($N$6-1)*480+150))</f>
      </c>
      <c r="D164" s="31">
        <f>IF(INDEX(TilgAktiv,($N$6-1)*480+150)=0,"",INDEX(Tilgung!$H$4:$H$9603,($N$6-1)*480+150))</f>
      </c>
      <c r="E164" s="30">
        <f>IF(INDEX(TilgAktiv,($N$6-1)*480+150)=0,"",INDEX(Tilgung!$J$4:$J$9603,($N$6-1)*480+150))</f>
      </c>
      <c r="F164" s="30">
        <f>IF(INDEX(TilgAktiv,($N$6-1)*480+150)=0,"",IF(INDEX(TilgTilgung,($N$6-1)*480+150)=0,INDEX(TilgZins,($N$6-1)*480+150),INDEX(TilgZins,($N$6-1)*480+150)+INDEX(TilgTilgung,($N$6-1)*480+150))+INDEX(TilgErsatz,($N$6-1)*480+150))</f>
      </c>
      <c r="G164" s="30">
        <f>IF(INDEX(TilgAktiv,($N$6-1)*480+150)=0,"",INDEX(TilgZins,($N$6-1)*480+150))</f>
      </c>
      <c r="H164" s="30">
        <f>IF(INDEX(TilgAktiv,($N$6-1)*480+150)=0,"",INDEX(TilgTilgung,($N$6-1)*480+150))</f>
      </c>
      <c r="I164" s="30">
        <f>IF(INDEX(TilgAktiv,($N$6-1)*480+150)=0,"",INDEX(TilgSonder,($N$6-1)*480+150))</f>
      </c>
      <c r="J164" s="30">
        <f>IF(INDEX(TilgAktiv,($N$6-1)*480+150)=0,"",INDEX(TilgErsatz,($N$6-1)*480+150))</f>
      </c>
      <c r="K164" s="30">
        <f>IF(INDEX(TilgAktiv,($N$6-1)*480+150)=0,"",INDEX(Tilgung!$Q$4:$Q$9603,($N$6-1)*480+150))</f>
      </c>
      <c r="L164" s="30">
        <f>IF(INDEX(TilgAktiv,($N$6-1)*480+150)=0,"",INDEX(Tilgung!$R$4:$R$9603,($N$6-1)*480+150))</f>
      </c>
    </row>
    <row r="165">
      <c r="A165"/>
      <c r="B165" s="36">
        <f>IF(INDEX(TilgAktiv,($N$6-1)*480+151)=0,"",151)</f>
      </c>
      <c r="C165" s="41">
        <f>IF(INDEX(TilgAktiv,($N$6-1)*480+151)=0,"",INDEX(TilgDatum,($N$6-1)*480+151))</f>
      </c>
      <c r="D165" s="31">
        <f>IF(INDEX(TilgAktiv,($N$6-1)*480+151)=0,"",INDEX(Tilgung!$H$4:$H$9603,($N$6-1)*480+151))</f>
      </c>
      <c r="E165" s="30">
        <f>IF(INDEX(TilgAktiv,($N$6-1)*480+151)=0,"",INDEX(Tilgung!$J$4:$J$9603,($N$6-1)*480+151))</f>
      </c>
      <c r="F165" s="30">
        <f>IF(INDEX(TilgAktiv,($N$6-1)*480+151)=0,"",IF(INDEX(TilgTilgung,($N$6-1)*480+151)=0,INDEX(TilgZins,($N$6-1)*480+151),INDEX(TilgZins,($N$6-1)*480+151)+INDEX(TilgTilgung,($N$6-1)*480+151))+INDEX(TilgErsatz,($N$6-1)*480+151))</f>
      </c>
      <c r="G165" s="30">
        <f>IF(INDEX(TilgAktiv,($N$6-1)*480+151)=0,"",INDEX(TilgZins,($N$6-1)*480+151))</f>
      </c>
      <c r="H165" s="30">
        <f>IF(INDEX(TilgAktiv,($N$6-1)*480+151)=0,"",INDEX(TilgTilgung,($N$6-1)*480+151))</f>
      </c>
      <c r="I165" s="30">
        <f>IF(INDEX(TilgAktiv,($N$6-1)*480+151)=0,"",INDEX(TilgSonder,($N$6-1)*480+151))</f>
      </c>
      <c r="J165" s="30">
        <f>IF(INDEX(TilgAktiv,($N$6-1)*480+151)=0,"",INDEX(TilgErsatz,($N$6-1)*480+151))</f>
      </c>
      <c r="K165" s="30">
        <f>IF(INDEX(TilgAktiv,($N$6-1)*480+151)=0,"",INDEX(Tilgung!$Q$4:$Q$9603,($N$6-1)*480+151))</f>
      </c>
      <c r="L165" s="30">
        <f>IF(INDEX(TilgAktiv,($N$6-1)*480+151)=0,"",INDEX(Tilgung!$R$4:$R$9603,($N$6-1)*480+151))</f>
      </c>
    </row>
    <row r="166">
      <c r="A166"/>
      <c r="B166" s="36">
        <f>IF(INDEX(TilgAktiv,($N$6-1)*480+152)=0,"",152)</f>
      </c>
      <c r="C166" s="41">
        <f>IF(INDEX(TilgAktiv,($N$6-1)*480+152)=0,"",INDEX(TilgDatum,($N$6-1)*480+152))</f>
      </c>
      <c r="D166" s="31">
        <f>IF(INDEX(TilgAktiv,($N$6-1)*480+152)=0,"",INDEX(Tilgung!$H$4:$H$9603,($N$6-1)*480+152))</f>
      </c>
      <c r="E166" s="30">
        <f>IF(INDEX(TilgAktiv,($N$6-1)*480+152)=0,"",INDEX(Tilgung!$J$4:$J$9603,($N$6-1)*480+152))</f>
      </c>
      <c r="F166" s="30">
        <f>IF(INDEX(TilgAktiv,($N$6-1)*480+152)=0,"",IF(INDEX(TilgTilgung,($N$6-1)*480+152)=0,INDEX(TilgZins,($N$6-1)*480+152),INDEX(TilgZins,($N$6-1)*480+152)+INDEX(TilgTilgung,($N$6-1)*480+152))+INDEX(TilgErsatz,($N$6-1)*480+152))</f>
      </c>
      <c r="G166" s="30">
        <f>IF(INDEX(TilgAktiv,($N$6-1)*480+152)=0,"",INDEX(TilgZins,($N$6-1)*480+152))</f>
      </c>
      <c r="H166" s="30">
        <f>IF(INDEX(TilgAktiv,($N$6-1)*480+152)=0,"",INDEX(TilgTilgung,($N$6-1)*480+152))</f>
      </c>
      <c r="I166" s="30">
        <f>IF(INDEX(TilgAktiv,($N$6-1)*480+152)=0,"",INDEX(TilgSonder,($N$6-1)*480+152))</f>
      </c>
      <c r="J166" s="30">
        <f>IF(INDEX(TilgAktiv,($N$6-1)*480+152)=0,"",INDEX(TilgErsatz,($N$6-1)*480+152))</f>
      </c>
      <c r="K166" s="30">
        <f>IF(INDEX(TilgAktiv,($N$6-1)*480+152)=0,"",INDEX(Tilgung!$Q$4:$Q$9603,($N$6-1)*480+152))</f>
      </c>
      <c r="L166" s="30">
        <f>IF(INDEX(TilgAktiv,($N$6-1)*480+152)=0,"",INDEX(Tilgung!$R$4:$R$9603,($N$6-1)*480+152))</f>
      </c>
    </row>
    <row r="167">
      <c r="A167"/>
      <c r="B167" s="36">
        <f>IF(INDEX(TilgAktiv,($N$6-1)*480+153)=0,"",153)</f>
      </c>
      <c r="C167" s="41">
        <f>IF(INDEX(TilgAktiv,($N$6-1)*480+153)=0,"",INDEX(TilgDatum,($N$6-1)*480+153))</f>
      </c>
      <c r="D167" s="31">
        <f>IF(INDEX(TilgAktiv,($N$6-1)*480+153)=0,"",INDEX(Tilgung!$H$4:$H$9603,($N$6-1)*480+153))</f>
      </c>
      <c r="E167" s="30">
        <f>IF(INDEX(TilgAktiv,($N$6-1)*480+153)=0,"",INDEX(Tilgung!$J$4:$J$9603,($N$6-1)*480+153))</f>
      </c>
      <c r="F167" s="30">
        <f>IF(INDEX(TilgAktiv,($N$6-1)*480+153)=0,"",IF(INDEX(TilgTilgung,($N$6-1)*480+153)=0,INDEX(TilgZins,($N$6-1)*480+153),INDEX(TilgZins,($N$6-1)*480+153)+INDEX(TilgTilgung,($N$6-1)*480+153))+INDEX(TilgErsatz,($N$6-1)*480+153))</f>
      </c>
      <c r="G167" s="30">
        <f>IF(INDEX(TilgAktiv,($N$6-1)*480+153)=0,"",INDEX(TilgZins,($N$6-1)*480+153))</f>
      </c>
      <c r="H167" s="30">
        <f>IF(INDEX(TilgAktiv,($N$6-1)*480+153)=0,"",INDEX(TilgTilgung,($N$6-1)*480+153))</f>
      </c>
      <c r="I167" s="30">
        <f>IF(INDEX(TilgAktiv,($N$6-1)*480+153)=0,"",INDEX(TilgSonder,($N$6-1)*480+153))</f>
      </c>
      <c r="J167" s="30">
        <f>IF(INDEX(TilgAktiv,($N$6-1)*480+153)=0,"",INDEX(TilgErsatz,($N$6-1)*480+153))</f>
      </c>
      <c r="K167" s="30">
        <f>IF(INDEX(TilgAktiv,($N$6-1)*480+153)=0,"",INDEX(Tilgung!$Q$4:$Q$9603,($N$6-1)*480+153))</f>
      </c>
      <c r="L167" s="30">
        <f>IF(INDEX(TilgAktiv,($N$6-1)*480+153)=0,"",INDEX(Tilgung!$R$4:$R$9603,($N$6-1)*480+153))</f>
      </c>
    </row>
    <row r="168">
      <c r="A168"/>
      <c r="B168" s="36">
        <f>IF(INDEX(TilgAktiv,($N$6-1)*480+154)=0,"",154)</f>
      </c>
      <c r="C168" s="41">
        <f>IF(INDEX(TilgAktiv,($N$6-1)*480+154)=0,"",INDEX(TilgDatum,($N$6-1)*480+154))</f>
      </c>
      <c r="D168" s="31">
        <f>IF(INDEX(TilgAktiv,($N$6-1)*480+154)=0,"",INDEX(Tilgung!$H$4:$H$9603,($N$6-1)*480+154))</f>
      </c>
      <c r="E168" s="30">
        <f>IF(INDEX(TilgAktiv,($N$6-1)*480+154)=0,"",INDEX(Tilgung!$J$4:$J$9603,($N$6-1)*480+154))</f>
      </c>
      <c r="F168" s="30">
        <f>IF(INDEX(TilgAktiv,($N$6-1)*480+154)=0,"",IF(INDEX(TilgTilgung,($N$6-1)*480+154)=0,INDEX(TilgZins,($N$6-1)*480+154),INDEX(TilgZins,($N$6-1)*480+154)+INDEX(TilgTilgung,($N$6-1)*480+154))+INDEX(TilgErsatz,($N$6-1)*480+154))</f>
      </c>
      <c r="G168" s="30">
        <f>IF(INDEX(TilgAktiv,($N$6-1)*480+154)=0,"",INDEX(TilgZins,($N$6-1)*480+154))</f>
      </c>
      <c r="H168" s="30">
        <f>IF(INDEX(TilgAktiv,($N$6-1)*480+154)=0,"",INDEX(TilgTilgung,($N$6-1)*480+154))</f>
      </c>
      <c r="I168" s="30">
        <f>IF(INDEX(TilgAktiv,($N$6-1)*480+154)=0,"",INDEX(TilgSonder,($N$6-1)*480+154))</f>
      </c>
      <c r="J168" s="30">
        <f>IF(INDEX(TilgAktiv,($N$6-1)*480+154)=0,"",INDEX(TilgErsatz,($N$6-1)*480+154))</f>
      </c>
      <c r="K168" s="30">
        <f>IF(INDEX(TilgAktiv,($N$6-1)*480+154)=0,"",INDEX(Tilgung!$Q$4:$Q$9603,($N$6-1)*480+154))</f>
      </c>
      <c r="L168" s="30">
        <f>IF(INDEX(TilgAktiv,($N$6-1)*480+154)=0,"",INDEX(Tilgung!$R$4:$R$9603,($N$6-1)*480+154))</f>
      </c>
    </row>
    <row r="169">
      <c r="A169"/>
      <c r="B169" s="36">
        <f>IF(INDEX(TilgAktiv,($N$6-1)*480+155)=0,"",155)</f>
      </c>
      <c r="C169" s="41">
        <f>IF(INDEX(TilgAktiv,($N$6-1)*480+155)=0,"",INDEX(TilgDatum,($N$6-1)*480+155))</f>
      </c>
      <c r="D169" s="31">
        <f>IF(INDEX(TilgAktiv,($N$6-1)*480+155)=0,"",INDEX(Tilgung!$H$4:$H$9603,($N$6-1)*480+155))</f>
      </c>
      <c r="E169" s="30">
        <f>IF(INDEX(TilgAktiv,($N$6-1)*480+155)=0,"",INDEX(Tilgung!$J$4:$J$9603,($N$6-1)*480+155))</f>
      </c>
      <c r="F169" s="30">
        <f>IF(INDEX(TilgAktiv,($N$6-1)*480+155)=0,"",IF(INDEX(TilgTilgung,($N$6-1)*480+155)=0,INDEX(TilgZins,($N$6-1)*480+155),INDEX(TilgZins,($N$6-1)*480+155)+INDEX(TilgTilgung,($N$6-1)*480+155))+INDEX(TilgErsatz,($N$6-1)*480+155))</f>
      </c>
      <c r="G169" s="30">
        <f>IF(INDEX(TilgAktiv,($N$6-1)*480+155)=0,"",INDEX(TilgZins,($N$6-1)*480+155))</f>
      </c>
      <c r="H169" s="30">
        <f>IF(INDEX(TilgAktiv,($N$6-1)*480+155)=0,"",INDEX(TilgTilgung,($N$6-1)*480+155))</f>
      </c>
      <c r="I169" s="30">
        <f>IF(INDEX(TilgAktiv,($N$6-1)*480+155)=0,"",INDEX(TilgSonder,($N$6-1)*480+155))</f>
      </c>
      <c r="J169" s="30">
        <f>IF(INDEX(TilgAktiv,($N$6-1)*480+155)=0,"",INDEX(TilgErsatz,($N$6-1)*480+155))</f>
      </c>
      <c r="K169" s="30">
        <f>IF(INDEX(TilgAktiv,($N$6-1)*480+155)=0,"",INDEX(Tilgung!$Q$4:$Q$9603,($N$6-1)*480+155))</f>
      </c>
      <c r="L169" s="30">
        <f>IF(INDEX(TilgAktiv,($N$6-1)*480+155)=0,"",INDEX(Tilgung!$R$4:$R$9603,($N$6-1)*480+155))</f>
      </c>
    </row>
    <row r="170">
      <c r="A170"/>
      <c r="B170" s="36">
        <f>IF(INDEX(TilgAktiv,($N$6-1)*480+156)=0,"",156)</f>
      </c>
      <c r="C170" s="41">
        <f>IF(INDEX(TilgAktiv,($N$6-1)*480+156)=0,"",INDEX(TilgDatum,($N$6-1)*480+156))</f>
      </c>
      <c r="D170" s="31">
        <f>IF(INDEX(TilgAktiv,($N$6-1)*480+156)=0,"",INDEX(Tilgung!$H$4:$H$9603,($N$6-1)*480+156))</f>
      </c>
      <c r="E170" s="30">
        <f>IF(INDEX(TilgAktiv,($N$6-1)*480+156)=0,"",INDEX(Tilgung!$J$4:$J$9603,($N$6-1)*480+156))</f>
      </c>
      <c r="F170" s="30">
        <f>IF(INDEX(TilgAktiv,($N$6-1)*480+156)=0,"",IF(INDEX(TilgTilgung,($N$6-1)*480+156)=0,INDEX(TilgZins,($N$6-1)*480+156),INDEX(TilgZins,($N$6-1)*480+156)+INDEX(TilgTilgung,($N$6-1)*480+156))+INDEX(TilgErsatz,($N$6-1)*480+156))</f>
      </c>
      <c r="G170" s="30">
        <f>IF(INDEX(TilgAktiv,($N$6-1)*480+156)=0,"",INDEX(TilgZins,($N$6-1)*480+156))</f>
      </c>
      <c r="H170" s="30">
        <f>IF(INDEX(TilgAktiv,($N$6-1)*480+156)=0,"",INDEX(TilgTilgung,($N$6-1)*480+156))</f>
      </c>
      <c r="I170" s="30">
        <f>IF(INDEX(TilgAktiv,($N$6-1)*480+156)=0,"",INDEX(TilgSonder,($N$6-1)*480+156))</f>
      </c>
      <c r="J170" s="30">
        <f>IF(INDEX(TilgAktiv,($N$6-1)*480+156)=0,"",INDEX(TilgErsatz,($N$6-1)*480+156))</f>
      </c>
      <c r="K170" s="30">
        <f>IF(INDEX(TilgAktiv,($N$6-1)*480+156)=0,"",INDEX(Tilgung!$Q$4:$Q$9603,($N$6-1)*480+156))</f>
      </c>
      <c r="L170" s="30">
        <f>IF(INDEX(TilgAktiv,($N$6-1)*480+156)=0,"",INDEX(Tilgung!$R$4:$R$9603,($N$6-1)*480+156))</f>
      </c>
    </row>
    <row r="171">
      <c r="A171"/>
      <c r="B171" s="36">
        <f>IF(INDEX(TilgAktiv,($N$6-1)*480+157)=0,"",157)</f>
      </c>
      <c r="C171" s="41">
        <f>IF(INDEX(TilgAktiv,($N$6-1)*480+157)=0,"",INDEX(TilgDatum,($N$6-1)*480+157))</f>
      </c>
      <c r="D171" s="31">
        <f>IF(INDEX(TilgAktiv,($N$6-1)*480+157)=0,"",INDEX(Tilgung!$H$4:$H$9603,($N$6-1)*480+157))</f>
      </c>
      <c r="E171" s="30">
        <f>IF(INDEX(TilgAktiv,($N$6-1)*480+157)=0,"",INDEX(Tilgung!$J$4:$J$9603,($N$6-1)*480+157))</f>
      </c>
      <c r="F171" s="30">
        <f>IF(INDEX(TilgAktiv,($N$6-1)*480+157)=0,"",IF(INDEX(TilgTilgung,($N$6-1)*480+157)=0,INDEX(TilgZins,($N$6-1)*480+157),INDEX(TilgZins,($N$6-1)*480+157)+INDEX(TilgTilgung,($N$6-1)*480+157))+INDEX(TilgErsatz,($N$6-1)*480+157))</f>
      </c>
      <c r="G171" s="30">
        <f>IF(INDEX(TilgAktiv,($N$6-1)*480+157)=0,"",INDEX(TilgZins,($N$6-1)*480+157))</f>
      </c>
      <c r="H171" s="30">
        <f>IF(INDEX(TilgAktiv,($N$6-1)*480+157)=0,"",INDEX(TilgTilgung,($N$6-1)*480+157))</f>
      </c>
      <c r="I171" s="30">
        <f>IF(INDEX(TilgAktiv,($N$6-1)*480+157)=0,"",INDEX(TilgSonder,($N$6-1)*480+157))</f>
      </c>
      <c r="J171" s="30">
        <f>IF(INDEX(TilgAktiv,($N$6-1)*480+157)=0,"",INDEX(TilgErsatz,($N$6-1)*480+157))</f>
      </c>
      <c r="K171" s="30">
        <f>IF(INDEX(TilgAktiv,($N$6-1)*480+157)=0,"",INDEX(Tilgung!$Q$4:$Q$9603,($N$6-1)*480+157))</f>
      </c>
      <c r="L171" s="30">
        <f>IF(INDEX(TilgAktiv,($N$6-1)*480+157)=0,"",INDEX(Tilgung!$R$4:$R$9603,($N$6-1)*480+157))</f>
      </c>
    </row>
    <row r="172">
      <c r="A172"/>
      <c r="B172" s="36">
        <f>IF(INDEX(TilgAktiv,($N$6-1)*480+158)=0,"",158)</f>
      </c>
      <c r="C172" s="41">
        <f>IF(INDEX(TilgAktiv,($N$6-1)*480+158)=0,"",INDEX(TilgDatum,($N$6-1)*480+158))</f>
      </c>
      <c r="D172" s="31">
        <f>IF(INDEX(TilgAktiv,($N$6-1)*480+158)=0,"",INDEX(Tilgung!$H$4:$H$9603,($N$6-1)*480+158))</f>
      </c>
      <c r="E172" s="30">
        <f>IF(INDEX(TilgAktiv,($N$6-1)*480+158)=0,"",INDEX(Tilgung!$J$4:$J$9603,($N$6-1)*480+158))</f>
      </c>
      <c r="F172" s="30">
        <f>IF(INDEX(TilgAktiv,($N$6-1)*480+158)=0,"",IF(INDEX(TilgTilgung,($N$6-1)*480+158)=0,INDEX(TilgZins,($N$6-1)*480+158),INDEX(TilgZins,($N$6-1)*480+158)+INDEX(TilgTilgung,($N$6-1)*480+158))+INDEX(TilgErsatz,($N$6-1)*480+158))</f>
      </c>
      <c r="G172" s="30">
        <f>IF(INDEX(TilgAktiv,($N$6-1)*480+158)=0,"",INDEX(TilgZins,($N$6-1)*480+158))</f>
      </c>
      <c r="H172" s="30">
        <f>IF(INDEX(TilgAktiv,($N$6-1)*480+158)=0,"",INDEX(TilgTilgung,($N$6-1)*480+158))</f>
      </c>
      <c r="I172" s="30">
        <f>IF(INDEX(TilgAktiv,($N$6-1)*480+158)=0,"",INDEX(TilgSonder,($N$6-1)*480+158))</f>
      </c>
      <c r="J172" s="30">
        <f>IF(INDEX(TilgAktiv,($N$6-1)*480+158)=0,"",INDEX(TilgErsatz,($N$6-1)*480+158))</f>
      </c>
      <c r="K172" s="30">
        <f>IF(INDEX(TilgAktiv,($N$6-1)*480+158)=0,"",INDEX(Tilgung!$Q$4:$Q$9603,($N$6-1)*480+158))</f>
      </c>
      <c r="L172" s="30">
        <f>IF(INDEX(TilgAktiv,($N$6-1)*480+158)=0,"",INDEX(Tilgung!$R$4:$R$9603,($N$6-1)*480+158))</f>
      </c>
    </row>
    <row r="173">
      <c r="A173"/>
      <c r="B173" s="36">
        <f>IF(INDEX(TilgAktiv,($N$6-1)*480+159)=0,"",159)</f>
      </c>
      <c r="C173" s="41">
        <f>IF(INDEX(TilgAktiv,($N$6-1)*480+159)=0,"",INDEX(TilgDatum,($N$6-1)*480+159))</f>
      </c>
      <c r="D173" s="31">
        <f>IF(INDEX(TilgAktiv,($N$6-1)*480+159)=0,"",INDEX(Tilgung!$H$4:$H$9603,($N$6-1)*480+159))</f>
      </c>
      <c r="E173" s="30">
        <f>IF(INDEX(TilgAktiv,($N$6-1)*480+159)=0,"",INDEX(Tilgung!$J$4:$J$9603,($N$6-1)*480+159))</f>
      </c>
      <c r="F173" s="30">
        <f>IF(INDEX(TilgAktiv,($N$6-1)*480+159)=0,"",IF(INDEX(TilgTilgung,($N$6-1)*480+159)=0,INDEX(TilgZins,($N$6-1)*480+159),INDEX(TilgZins,($N$6-1)*480+159)+INDEX(TilgTilgung,($N$6-1)*480+159))+INDEX(TilgErsatz,($N$6-1)*480+159))</f>
      </c>
      <c r="G173" s="30">
        <f>IF(INDEX(TilgAktiv,($N$6-1)*480+159)=0,"",INDEX(TilgZins,($N$6-1)*480+159))</f>
      </c>
      <c r="H173" s="30">
        <f>IF(INDEX(TilgAktiv,($N$6-1)*480+159)=0,"",INDEX(TilgTilgung,($N$6-1)*480+159))</f>
      </c>
      <c r="I173" s="30">
        <f>IF(INDEX(TilgAktiv,($N$6-1)*480+159)=0,"",INDEX(TilgSonder,($N$6-1)*480+159))</f>
      </c>
      <c r="J173" s="30">
        <f>IF(INDEX(TilgAktiv,($N$6-1)*480+159)=0,"",INDEX(TilgErsatz,($N$6-1)*480+159))</f>
      </c>
      <c r="K173" s="30">
        <f>IF(INDEX(TilgAktiv,($N$6-1)*480+159)=0,"",INDEX(Tilgung!$Q$4:$Q$9603,($N$6-1)*480+159))</f>
      </c>
      <c r="L173" s="30">
        <f>IF(INDEX(TilgAktiv,($N$6-1)*480+159)=0,"",INDEX(Tilgung!$R$4:$R$9603,($N$6-1)*480+159))</f>
      </c>
    </row>
    <row r="174">
      <c r="A174"/>
      <c r="B174" s="36">
        <f>IF(INDEX(TilgAktiv,($N$6-1)*480+160)=0,"",160)</f>
      </c>
      <c r="C174" s="41">
        <f>IF(INDEX(TilgAktiv,($N$6-1)*480+160)=0,"",INDEX(TilgDatum,($N$6-1)*480+160))</f>
      </c>
      <c r="D174" s="31">
        <f>IF(INDEX(TilgAktiv,($N$6-1)*480+160)=0,"",INDEX(Tilgung!$H$4:$H$9603,($N$6-1)*480+160))</f>
      </c>
      <c r="E174" s="30">
        <f>IF(INDEX(TilgAktiv,($N$6-1)*480+160)=0,"",INDEX(Tilgung!$J$4:$J$9603,($N$6-1)*480+160))</f>
      </c>
      <c r="F174" s="30">
        <f>IF(INDEX(TilgAktiv,($N$6-1)*480+160)=0,"",IF(INDEX(TilgTilgung,($N$6-1)*480+160)=0,INDEX(TilgZins,($N$6-1)*480+160),INDEX(TilgZins,($N$6-1)*480+160)+INDEX(TilgTilgung,($N$6-1)*480+160))+INDEX(TilgErsatz,($N$6-1)*480+160))</f>
      </c>
      <c r="G174" s="30">
        <f>IF(INDEX(TilgAktiv,($N$6-1)*480+160)=0,"",INDEX(TilgZins,($N$6-1)*480+160))</f>
      </c>
      <c r="H174" s="30">
        <f>IF(INDEX(TilgAktiv,($N$6-1)*480+160)=0,"",INDEX(TilgTilgung,($N$6-1)*480+160))</f>
      </c>
      <c r="I174" s="30">
        <f>IF(INDEX(TilgAktiv,($N$6-1)*480+160)=0,"",INDEX(TilgSonder,($N$6-1)*480+160))</f>
      </c>
      <c r="J174" s="30">
        <f>IF(INDEX(TilgAktiv,($N$6-1)*480+160)=0,"",INDEX(TilgErsatz,($N$6-1)*480+160))</f>
      </c>
      <c r="K174" s="30">
        <f>IF(INDEX(TilgAktiv,($N$6-1)*480+160)=0,"",INDEX(Tilgung!$Q$4:$Q$9603,($N$6-1)*480+160))</f>
      </c>
      <c r="L174" s="30">
        <f>IF(INDEX(TilgAktiv,($N$6-1)*480+160)=0,"",INDEX(Tilgung!$R$4:$R$9603,($N$6-1)*480+160))</f>
      </c>
    </row>
    <row r="175">
      <c r="A175"/>
      <c r="B175" s="36">
        <f>IF(INDEX(TilgAktiv,($N$6-1)*480+161)=0,"",161)</f>
      </c>
      <c r="C175" s="41">
        <f>IF(INDEX(TilgAktiv,($N$6-1)*480+161)=0,"",INDEX(TilgDatum,($N$6-1)*480+161))</f>
      </c>
      <c r="D175" s="31">
        <f>IF(INDEX(TilgAktiv,($N$6-1)*480+161)=0,"",INDEX(Tilgung!$H$4:$H$9603,($N$6-1)*480+161))</f>
      </c>
      <c r="E175" s="30">
        <f>IF(INDEX(TilgAktiv,($N$6-1)*480+161)=0,"",INDEX(Tilgung!$J$4:$J$9603,($N$6-1)*480+161))</f>
      </c>
      <c r="F175" s="30">
        <f>IF(INDEX(TilgAktiv,($N$6-1)*480+161)=0,"",IF(INDEX(TilgTilgung,($N$6-1)*480+161)=0,INDEX(TilgZins,($N$6-1)*480+161),INDEX(TilgZins,($N$6-1)*480+161)+INDEX(TilgTilgung,($N$6-1)*480+161))+INDEX(TilgErsatz,($N$6-1)*480+161))</f>
      </c>
      <c r="G175" s="30">
        <f>IF(INDEX(TilgAktiv,($N$6-1)*480+161)=0,"",INDEX(TilgZins,($N$6-1)*480+161))</f>
      </c>
      <c r="H175" s="30">
        <f>IF(INDEX(TilgAktiv,($N$6-1)*480+161)=0,"",INDEX(TilgTilgung,($N$6-1)*480+161))</f>
      </c>
      <c r="I175" s="30">
        <f>IF(INDEX(TilgAktiv,($N$6-1)*480+161)=0,"",INDEX(TilgSonder,($N$6-1)*480+161))</f>
      </c>
      <c r="J175" s="30">
        <f>IF(INDEX(TilgAktiv,($N$6-1)*480+161)=0,"",INDEX(TilgErsatz,($N$6-1)*480+161))</f>
      </c>
      <c r="K175" s="30">
        <f>IF(INDEX(TilgAktiv,($N$6-1)*480+161)=0,"",INDEX(Tilgung!$Q$4:$Q$9603,($N$6-1)*480+161))</f>
      </c>
      <c r="L175" s="30">
        <f>IF(INDEX(TilgAktiv,($N$6-1)*480+161)=0,"",INDEX(Tilgung!$R$4:$R$9603,($N$6-1)*480+161))</f>
      </c>
    </row>
    <row r="176">
      <c r="A176"/>
      <c r="B176" s="36">
        <f>IF(INDEX(TilgAktiv,($N$6-1)*480+162)=0,"",162)</f>
      </c>
      <c r="C176" s="41">
        <f>IF(INDEX(TilgAktiv,($N$6-1)*480+162)=0,"",INDEX(TilgDatum,($N$6-1)*480+162))</f>
      </c>
      <c r="D176" s="31">
        <f>IF(INDEX(TilgAktiv,($N$6-1)*480+162)=0,"",INDEX(Tilgung!$H$4:$H$9603,($N$6-1)*480+162))</f>
      </c>
      <c r="E176" s="30">
        <f>IF(INDEX(TilgAktiv,($N$6-1)*480+162)=0,"",INDEX(Tilgung!$J$4:$J$9603,($N$6-1)*480+162))</f>
      </c>
      <c r="F176" s="30">
        <f>IF(INDEX(TilgAktiv,($N$6-1)*480+162)=0,"",IF(INDEX(TilgTilgung,($N$6-1)*480+162)=0,INDEX(TilgZins,($N$6-1)*480+162),INDEX(TilgZins,($N$6-1)*480+162)+INDEX(TilgTilgung,($N$6-1)*480+162))+INDEX(TilgErsatz,($N$6-1)*480+162))</f>
      </c>
      <c r="G176" s="30">
        <f>IF(INDEX(TilgAktiv,($N$6-1)*480+162)=0,"",INDEX(TilgZins,($N$6-1)*480+162))</f>
      </c>
      <c r="H176" s="30">
        <f>IF(INDEX(TilgAktiv,($N$6-1)*480+162)=0,"",INDEX(TilgTilgung,($N$6-1)*480+162))</f>
      </c>
      <c r="I176" s="30">
        <f>IF(INDEX(TilgAktiv,($N$6-1)*480+162)=0,"",INDEX(TilgSonder,($N$6-1)*480+162))</f>
      </c>
      <c r="J176" s="30">
        <f>IF(INDEX(TilgAktiv,($N$6-1)*480+162)=0,"",INDEX(TilgErsatz,($N$6-1)*480+162))</f>
      </c>
      <c r="K176" s="30">
        <f>IF(INDEX(TilgAktiv,($N$6-1)*480+162)=0,"",INDEX(Tilgung!$Q$4:$Q$9603,($N$6-1)*480+162))</f>
      </c>
      <c r="L176" s="30">
        <f>IF(INDEX(TilgAktiv,($N$6-1)*480+162)=0,"",INDEX(Tilgung!$R$4:$R$9603,($N$6-1)*480+162))</f>
      </c>
    </row>
    <row r="177">
      <c r="A177"/>
      <c r="B177" s="36">
        <f>IF(INDEX(TilgAktiv,($N$6-1)*480+163)=0,"",163)</f>
      </c>
      <c r="C177" s="41">
        <f>IF(INDEX(TilgAktiv,($N$6-1)*480+163)=0,"",INDEX(TilgDatum,($N$6-1)*480+163))</f>
      </c>
      <c r="D177" s="31">
        <f>IF(INDEX(TilgAktiv,($N$6-1)*480+163)=0,"",INDEX(Tilgung!$H$4:$H$9603,($N$6-1)*480+163))</f>
      </c>
      <c r="E177" s="30">
        <f>IF(INDEX(TilgAktiv,($N$6-1)*480+163)=0,"",INDEX(Tilgung!$J$4:$J$9603,($N$6-1)*480+163))</f>
      </c>
      <c r="F177" s="30">
        <f>IF(INDEX(TilgAktiv,($N$6-1)*480+163)=0,"",IF(INDEX(TilgTilgung,($N$6-1)*480+163)=0,INDEX(TilgZins,($N$6-1)*480+163),INDEX(TilgZins,($N$6-1)*480+163)+INDEX(TilgTilgung,($N$6-1)*480+163))+INDEX(TilgErsatz,($N$6-1)*480+163))</f>
      </c>
      <c r="G177" s="30">
        <f>IF(INDEX(TilgAktiv,($N$6-1)*480+163)=0,"",INDEX(TilgZins,($N$6-1)*480+163))</f>
      </c>
      <c r="H177" s="30">
        <f>IF(INDEX(TilgAktiv,($N$6-1)*480+163)=0,"",INDEX(TilgTilgung,($N$6-1)*480+163))</f>
      </c>
      <c r="I177" s="30">
        <f>IF(INDEX(TilgAktiv,($N$6-1)*480+163)=0,"",INDEX(TilgSonder,($N$6-1)*480+163))</f>
      </c>
      <c r="J177" s="30">
        <f>IF(INDEX(TilgAktiv,($N$6-1)*480+163)=0,"",INDEX(TilgErsatz,($N$6-1)*480+163))</f>
      </c>
      <c r="K177" s="30">
        <f>IF(INDEX(TilgAktiv,($N$6-1)*480+163)=0,"",INDEX(Tilgung!$Q$4:$Q$9603,($N$6-1)*480+163))</f>
      </c>
      <c r="L177" s="30">
        <f>IF(INDEX(TilgAktiv,($N$6-1)*480+163)=0,"",INDEX(Tilgung!$R$4:$R$9603,($N$6-1)*480+163))</f>
      </c>
    </row>
    <row r="178">
      <c r="A178"/>
      <c r="B178" s="36">
        <f>IF(INDEX(TilgAktiv,($N$6-1)*480+164)=0,"",164)</f>
      </c>
      <c r="C178" s="41">
        <f>IF(INDEX(TilgAktiv,($N$6-1)*480+164)=0,"",INDEX(TilgDatum,($N$6-1)*480+164))</f>
      </c>
      <c r="D178" s="31">
        <f>IF(INDEX(TilgAktiv,($N$6-1)*480+164)=0,"",INDEX(Tilgung!$H$4:$H$9603,($N$6-1)*480+164))</f>
      </c>
      <c r="E178" s="30">
        <f>IF(INDEX(TilgAktiv,($N$6-1)*480+164)=0,"",INDEX(Tilgung!$J$4:$J$9603,($N$6-1)*480+164))</f>
      </c>
      <c r="F178" s="30">
        <f>IF(INDEX(TilgAktiv,($N$6-1)*480+164)=0,"",IF(INDEX(TilgTilgung,($N$6-1)*480+164)=0,INDEX(TilgZins,($N$6-1)*480+164),INDEX(TilgZins,($N$6-1)*480+164)+INDEX(TilgTilgung,($N$6-1)*480+164))+INDEX(TilgErsatz,($N$6-1)*480+164))</f>
      </c>
      <c r="G178" s="30">
        <f>IF(INDEX(TilgAktiv,($N$6-1)*480+164)=0,"",INDEX(TilgZins,($N$6-1)*480+164))</f>
      </c>
      <c r="H178" s="30">
        <f>IF(INDEX(TilgAktiv,($N$6-1)*480+164)=0,"",INDEX(TilgTilgung,($N$6-1)*480+164))</f>
      </c>
      <c r="I178" s="30">
        <f>IF(INDEX(TilgAktiv,($N$6-1)*480+164)=0,"",INDEX(TilgSonder,($N$6-1)*480+164))</f>
      </c>
      <c r="J178" s="30">
        <f>IF(INDEX(TilgAktiv,($N$6-1)*480+164)=0,"",INDEX(TilgErsatz,($N$6-1)*480+164))</f>
      </c>
      <c r="K178" s="30">
        <f>IF(INDEX(TilgAktiv,($N$6-1)*480+164)=0,"",INDEX(Tilgung!$Q$4:$Q$9603,($N$6-1)*480+164))</f>
      </c>
      <c r="L178" s="30">
        <f>IF(INDEX(TilgAktiv,($N$6-1)*480+164)=0,"",INDEX(Tilgung!$R$4:$R$9603,($N$6-1)*480+164))</f>
      </c>
    </row>
    <row r="179">
      <c r="A179"/>
      <c r="B179" s="36">
        <f>IF(INDEX(TilgAktiv,($N$6-1)*480+165)=0,"",165)</f>
      </c>
      <c r="C179" s="41">
        <f>IF(INDEX(TilgAktiv,($N$6-1)*480+165)=0,"",INDEX(TilgDatum,($N$6-1)*480+165))</f>
      </c>
      <c r="D179" s="31">
        <f>IF(INDEX(TilgAktiv,($N$6-1)*480+165)=0,"",INDEX(Tilgung!$H$4:$H$9603,($N$6-1)*480+165))</f>
      </c>
      <c r="E179" s="30">
        <f>IF(INDEX(TilgAktiv,($N$6-1)*480+165)=0,"",INDEX(Tilgung!$J$4:$J$9603,($N$6-1)*480+165))</f>
      </c>
      <c r="F179" s="30">
        <f>IF(INDEX(TilgAktiv,($N$6-1)*480+165)=0,"",IF(INDEX(TilgTilgung,($N$6-1)*480+165)=0,INDEX(TilgZins,($N$6-1)*480+165),INDEX(TilgZins,($N$6-1)*480+165)+INDEX(TilgTilgung,($N$6-1)*480+165))+INDEX(TilgErsatz,($N$6-1)*480+165))</f>
      </c>
      <c r="G179" s="30">
        <f>IF(INDEX(TilgAktiv,($N$6-1)*480+165)=0,"",INDEX(TilgZins,($N$6-1)*480+165))</f>
      </c>
      <c r="H179" s="30">
        <f>IF(INDEX(TilgAktiv,($N$6-1)*480+165)=0,"",INDEX(TilgTilgung,($N$6-1)*480+165))</f>
      </c>
      <c r="I179" s="30">
        <f>IF(INDEX(TilgAktiv,($N$6-1)*480+165)=0,"",INDEX(TilgSonder,($N$6-1)*480+165))</f>
      </c>
      <c r="J179" s="30">
        <f>IF(INDEX(TilgAktiv,($N$6-1)*480+165)=0,"",INDEX(TilgErsatz,($N$6-1)*480+165))</f>
      </c>
      <c r="K179" s="30">
        <f>IF(INDEX(TilgAktiv,($N$6-1)*480+165)=0,"",INDEX(Tilgung!$Q$4:$Q$9603,($N$6-1)*480+165))</f>
      </c>
      <c r="L179" s="30">
        <f>IF(INDEX(TilgAktiv,($N$6-1)*480+165)=0,"",INDEX(Tilgung!$R$4:$R$9603,($N$6-1)*480+165))</f>
      </c>
    </row>
    <row r="180">
      <c r="A180"/>
      <c r="B180" s="36">
        <f>IF(INDEX(TilgAktiv,($N$6-1)*480+166)=0,"",166)</f>
      </c>
      <c r="C180" s="41">
        <f>IF(INDEX(TilgAktiv,($N$6-1)*480+166)=0,"",INDEX(TilgDatum,($N$6-1)*480+166))</f>
      </c>
      <c r="D180" s="31">
        <f>IF(INDEX(TilgAktiv,($N$6-1)*480+166)=0,"",INDEX(Tilgung!$H$4:$H$9603,($N$6-1)*480+166))</f>
      </c>
      <c r="E180" s="30">
        <f>IF(INDEX(TilgAktiv,($N$6-1)*480+166)=0,"",INDEX(Tilgung!$J$4:$J$9603,($N$6-1)*480+166))</f>
      </c>
      <c r="F180" s="30">
        <f>IF(INDEX(TilgAktiv,($N$6-1)*480+166)=0,"",IF(INDEX(TilgTilgung,($N$6-1)*480+166)=0,INDEX(TilgZins,($N$6-1)*480+166),INDEX(TilgZins,($N$6-1)*480+166)+INDEX(TilgTilgung,($N$6-1)*480+166))+INDEX(TilgErsatz,($N$6-1)*480+166))</f>
      </c>
      <c r="G180" s="30">
        <f>IF(INDEX(TilgAktiv,($N$6-1)*480+166)=0,"",INDEX(TilgZins,($N$6-1)*480+166))</f>
      </c>
      <c r="H180" s="30">
        <f>IF(INDEX(TilgAktiv,($N$6-1)*480+166)=0,"",INDEX(TilgTilgung,($N$6-1)*480+166))</f>
      </c>
      <c r="I180" s="30">
        <f>IF(INDEX(TilgAktiv,($N$6-1)*480+166)=0,"",INDEX(TilgSonder,($N$6-1)*480+166))</f>
      </c>
      <c r="J180" s="30">
        <f>IF(INDEX(TilgAktiv,($N$6-1)*480+166)=0,"",INDEX(TilgErsatz,($N$6-1)*480+166))</f>
      </c>
      <c r="K180" s="30">
        <f>IF(INDEX(TilgAktiv,($N$6-1)*480+166)=0,"",INDEX(Tilgung!$Q$4:$Q$9603,($N$6-1)*480+166))</f>
      </c>
      <c r="L180" s="30">
        <f>IF(INDEX(TilgAktiv,($N$6-1)*480+166)=0,"",INDEX(Tilgung!$R$4:$R$9603,($N$6-1)*480+166))</f>
      </c>
    </row>
    <row r="181">
      <c r="A181"/>
      <c r="B181" s="36">
        <f>IF(INDEX(TilgAktiv,($N$6-1)*480+167)=0,"",167)</f>
      </c>
      <c r="C181" s="41">
        <f>IF(INDEX(TilgAktiv,($N$6-1)*480+167)=0,"",INDEX(TilgDatum,($N$6-1)*480+167))</f>
      </c>
      <c r="D181" s="31">
        <f>IF(INDEX(TilgAktiv,($N$6-1)*480+167)=0,"",INDEX(Tilgung!$H$4:$H$9603,($N$6-1)*480+167))</f>
      </c>
      <c r="E181" s="30">
        <f>IF(INDEX(TilgAktiv,($N$6-1)*480+167)=0,"",INDEX(Tilgung!$J$4:$J$9603,($N$6-1)*480+167))</f>
      </c>
      <c r="F181" s="30">
        <f>IF(INDEX(TilgAktiv,($N$6-1)*480+167)=0,"",IF(INDEX(TilgTilgung,($N$6-1)*480+167)=0,INDEX(TilgZins,($N$6-1)*480+167),INDEX(TilgZins,($N$6-1)*480+167)+INDEX(TilgTilgung,($N$6-1)*480+167))+INDEX(TilgErsatz,($N$6-1)*480+167))</f>
      </c>
      <c r="G181" s="30">
        <f>IF(INDEX(TilgAktiv,($N$6-1)*480+167)=0,"",INDEX(TilgZins,($N$6-1)*480+167))</f>
      </c>
      <c r="H181" s="30">
        <f>IF(INDEX(TilgAktiv,($N$6-1)*480+167)=0,"",INDEX(TilgTilgung,($N$6-1)*480+167))</f>
      </c>
      <c r="I181" s="30">
        <f>IF(INDEX(TilgAktiv,($N$6-1)*480+167)=0,"",INDEX(TilgSonder,($N$6-1)*480+167))</f>
      </c>
      <c r="J181" s="30">
        <f>IF(INDEX(TilgAktiv,($N$6-1)*480+167)=0,"",INDEX(TilgErsatz,($N$6-1)*480+167))</f>
      </c>
      <c r="K181" s="30">
        <f>IF(INDEX(TilgAktiv,($N$6-1)*480+167)=0,"",INDEX(Tilgung!$Q$4:$Q$9603,($N$6-1)*480+167))</f>
      </c>
      <c r="L181" s="30">
        <f>IF(INDEX(TilgAktiv,($N$6-1)*480+167)=0,"",INDEX(Tilgung!$R$4:$R$9603,($N$6-1)*480+167))</f>
      </c>
    </row>
    <row r="182">
      <c r="A182"/>
      <c r="B182" s="36">
        <f>IF(INDEX(TilgAktiv,($N$6-1)*480+168)=0,"",168)</f>
      </c>
      <c r="C182" s="41">
        <f>IF(INDEX(TilgAktiv,($N$6-1)*480+168)=0,"",INDEX(TilgDatum,($N$6-1)*480+168))</f>
      </c>
      <c r="D182" s="31">
        <f>IF(INDEX(TilgAktiv,($N$6-1)*480+168)=0,"",INDEX(Tilgung!$H$4:$H$9603,($N$6-1)*480+168))</f>
      </c>
      <c r="E182" s="30">
        <f>IF(INDEX(TilgAktiv,($N$6-1)*480+168)=0,"",INDEX(Tilgung!$J$4:$J$9603,($N$6-1)*480+168))</f>
      </c>
      <c r="F182" s="30">
        <f>IF(INDEX(TilgAktiv,($N$6-1)*480+168)=0,"",IF(INDEX(TilgTilgung,($N$6-1)*480+168)=0,INDEX(TilgZins,($N$6-1)*480+168),INDEX(TilgZins,($N$6-1)*480+168)+INDEX(TilgTilgung,($N$6-1)*480+168))+INDEX(TilgErsatz,($N$6-1)*480+168))</f>
      </c>
      <c r="G182" s="30">
        <f>IF(INDEX(TilgAktiv,($N$6-1)*480+168)=0,"",INDEX(TilgZins,($N$6-1)*480+168))</f>
      </c>
      <c r="H182" s="30">
        <f>IF(INDEX(TilgAktiv,($N$6-1)*480+168)=0,"",INDEX(TilgTilgung,($N$6-1)*480+168))</f>
      </c>
      <c r="I182" s="30">
        <f>IF(INDEX(TilgAktiv,($N$6-1)*480+168)=0,"",INDEX(TilgSonder,($N$6-1)*480+168))</f>
      </c>
      <c r="J182" s="30">
        <f>IF(INDEX(TilgAktiv,($N$6-1)*480+168)=0,"",INDEX(TilgErsatz,($N$6-1)*480+168))</f>
      </c>
      <c r="K182" s="30">
        <f>IF(INDEX(TilgAktiv,($N$6-1)*480+168)=0,"",INDEX(Tilgung!$Q$4:$Q$9603,($N$6-1)*480+168))</f>
      </c>
      <c r="L182" s="30">
        <f>IF(INDEX(TilgAktiv,($N$6-1)*480+168)=0,"",INDEX(Tilgung!$R$4:$R$9603,($N$6-1)*480+168))</f>
      </c>
    </row>
    <row r="183">
      <c r="A183"/>
      <c r="B183" s="36">
        <f>IF(INDEX(TilgAktiv,($N$6-1)*480+169)=0,"",169)</f>
      </c>
      <c r="C183" s="41">
        <f>IF(INDEX(TilgAktiv,($N$6-1)*480+169)=0,"",INDEX(TilgDatum,($N$6-1)*480+169))</f>
      </c>
      <c r="D183" s="31">
        <f>IF(INDEX(TilgAktiv,($N$6-1)*480+169)=0,"",INDEX(Tilgung!$H$4:$H$9603,($N$6-1)*480+169))</f>
      </c>
      <c r="E183" s="30">
        <f>IF(INDEX(TilgAktiv,($N$6-1)*480+169)=0,"",INDEX(Tilgung!$J$4:$J$9603,($N$6-1)*480+169))</f>
      </c>
      <c r="F183" s="30">
        <f>IF(INDEX(TilgAktiv,($N$6-1)*480+169)=0,"",IF(INDEX(TilgTilgung,($N$6-1)*480+169)=0,INDEX(TilgZins,($N$6-1)*480+169),INDEX(TilgZins,($N$6-1)*480+169)+INDEX(TilgTilgung,($N$6-1)*480+169))+INDEX(TilgErsatz,($N$6-1)*480+169))</f>
      </c>
      <c r="G183" s="30">
        <f>IF(INDEX(TilgAktiv,($N$6-1)*480+169)=0,"",INDEX(TilgZins,($N$6-1)*480+169))</f>
      </c>
      <c r="H183" s="30">
        <f>IF(INDEX(TilgAktiv,($N$6-1)*480+169)=0,"",INDEX(TilgTilgung,($N$6-1)*480+169))</f>
      </c>
      <c r="I183" s="30">
        <f>IF(INDEX(TilgAktiv,($N$6-1)*480+169)=0,"",INDEX(TilgSonder,($N$6-1)*480+169))</f>
      </c>
      <c r="J183" s="30">
        <f>IF(INDEX(TilgAktiv,($N$6-1)*480+169)=0,"",INDEX(TilgErsatz,($N$6-1)*480+169))</f>
      </c>
      <c r="K183" s="30">
        <f>IF(INDEX(TilgAktiv,($N$6-1)*480+169)=0,"",INDEX(Tilgung!$Q$4:$Q$9603,($N$6-1)*480+169))</f>
      </c>
      <c r="L183" s="30">
        <f>IF(INDEX(TilgAktiv,($N$6-1)*480+169)=0,"",INDEX(Tilgung!$R$4:$R$9603,($N$6-1)*480+169))</f>
      </c>
    </row>
    <row r="184">
      <c r="A184"/>
      <c r="B184" s="36">
        <f>IF(INDEX(TilgAktiv,($N$6-1)*480+170)=0,"",170)</f>
      </c>
      <c r="C184" s="41">
        <f>IF(INDEX(TilgAktiv,($N$6-1)*480+170)=0,"",INDEX(TilgDatum,($N$6-1)*480+170))</f>
      </c>
      <c r="D184" s="31">
        <f>IF(INDEX(TilgAktiv,($N$6-1)*480+170)=0,"",INDEX(Tilgung!$H$4:$H$9603,($N$6-1)*480+170))</f>
      </c>
      <c r="E184" s="30">
        <f>IF(INDEX(TilgAktiv,($N$6-1)*480+170)=0,"",INDEX(Tilgung!$J$4:$J$9603,($N$6-1)*480+170))</f>
      </c>
      <c r="F184" s="30">
        <f>IF(INDEX(TilgAktiv,($N$6-1)*480+170)=0,"",IF(INDEX(TilgTilgung,($N$6-1)*480+170)=0,INDEX(TilgZins,($N$6-1)*480+170),INDEX(TilgZins,($N$6-1)*480+170)+INDEX(TilgTilgung,($N$6-1)*480+170))+INDEX(TilgErsatz,($N$6-1)*480+170))</f>
      </c>
      <c r="G184" s="30">
        <f>IF(INDEX(TilgAktiv,($N$6-1)*480+170)=0,"",INDEX(TilgZins,($N$6-1)*480+170))</f>
      </c>
      <c r="H184" s="30">
        <f>IF(INDEX(TilgAktiv,($N$6-1)*480+170)=0,"",INDEX(TilgTilgung,($N$6-1)*480+170))</f>
      </c>
      <c r="I184" s="30">
        <f>IF(INDEX(TilgAktiv,($N$6-1)*480+170)=0,"",INDEX(TilgSonder,($N$6-1)*480+170))</f>
      </c>
      <c r="J184" s="30">
        <f>IF(INDEX(TilgAktiv,($N$6-1)*480+170)=0,"",INDEX(TilgErsatz,($N$6-1)*480+170))</f>
      </c>
      <c r="K184" s="30">
        <f>IF(INDEX(TilgAktiv,($N$6-1)*480+170)=0,"",INDEX(Tilgung!$Q$4:$Q$9603,($N$6-1)*480+170))</f>
      </c>
      <c r="L184" s="30">
        <f>IF(INDEX(TilgAktiv,($N$6-1)*480+170)=0,"",INDEX(Tilgung!$R$4:$R$9603,($N$6-1)*480+170))</f>
      </c>
    </row>
    <row r="185">
      <c r="A185"/>
      <c r="B185" s="36">
        <f>IF(INDEX(TilgAktiv,($N$6-1)*480+171)=0,"",171)</f>
      </c>
      <c r="C185" s="41">
        <f>IF(INDEX(TilgAktiv,($N$6-1)*480+171)=0,"",INDEX(TilgDatum,($N$6-1)*480+171))</f>
      </c>
      <c r="D185" s="31">
        <f>IF(INDEX(TilgAktiv,($N$6-1)*480+171)=0,"",INDEX(Tilgung!$H$4:$H$9603,($N$6-1)*480+171))</f>
      </c>
      <c r="E185" s="30">
        <f>IF(INDEX(TilgAktiv,($N$6-1)*480+171)=0,"",INDEX(Tilgung!$J$4:$J$9603,($N$6-1)*480+171))</f>
      </c>
      <c r="F185" s="30">
        <f>IF(INDEX(TilgAktiv,($N$6-1)*480+171)=0,"",IF(INDEX(TilgTilgung,($N$6-1)*480+171)=0,INDEX(TilgZins,($N$6-1)*480+171),INDEX(TilgZins,($N$6-1)*480+171)+INDEX(TilgTilgung,($N$6-1)*480+171))+INDEX(TilgErsatz,($N$6-1)*480+171))</f>
      </c>
      <c r="G185" s="30">
        <f>IF(INDEX(TilgAktiv,($N$6-1)*480+171)=0,"",INDEX(TilgZins,($N$6-1)*480+171))</f>
      </c>
      <c r="H185" s="30">
        <f>IF(INDEX(TilgAktiv,($N$6-1)*480+171)=0,"",INDEX(TilgTilgung,($N$6-1)*480+171))</f>
      </c>
      <c r="I185" s="30">
        <f>IF(INDEX(TilgAktiv,($N$6-1)*480+171)=0,"",INDEX(TilgSonder,($N$6-1)*480+171))</f>
      </c>
      <c r="J185" s="30">
        <f>IF(INDEX(TilgAktiv,($N$6-1)*480+171)=0,"",INDEX(TilgErsatz,($N$6-1)*480+171))</f>
      </c>
      <c r="K185" s="30">
        <f>IF(INDEX(TilgAktiv,($N$6-1)*480+171)=0,"",INDEX(Tilgung!$Q$4:$Q$9603,($N$6-1)*480+171))</f>
      </c>
      <c r="L185" s="30">
        <f>IF(INDEX(TilgAktiv,($N$6-1)*480+171)=0,"",INDEX(Tilgung!$R$4:$R$9603,($N$6-1)*480+171))</f>
      </c>
    </row>
    <row r="186">
      <c r="A186"/>
      <c r="B186" s="36">
        <f>IF(INDEX(TilgAktiv,($N$6-1)*480+172)=0,"",172)</f>
      </c>
      <c r="C186" s="41">
        <f>IF(INDEX(TilgAktiv,($N$6-1)*480+172)=0,"",INDEX(TilgDatum,($N$6-1)*480+172))</f>
      </c>
      <c r="D186" s="31">
        <f>IF(INDEX(TilgAktiv,($N$6-1)*480+172)=0,"",INDEX(Tilgung!$H$4:$H$9603,($N$6-1)*480+172))</f>
      </c>
      <c r="E186" s="30">
        <f>IF(INDEX(TilgAktiv,($N$6-1)*480+172)=0,"",INDEX(Tilgung!$J$4:$J$9603,($N$6-1)*480+172))</f>
      </c>
      <c r="F186" s="30">
        <f>IF(INDEX(TilgAktiv,($N$6-1)*480+172)=0,"",IF(INDEX(TilgTilgung,($N$6-1)*480+172)=0,INDEX(TilgZins,($N$6-1)*480+172),INDEX(TilgZins,($N$6-1)*480+172)+INDEX(TilgTilgung,($N$6-1)*480+172))+INDEX(TilgErsatz,($N$6-1)*480+172))</f>
      </c>
      <c r="G186" s="30">
        <f>IF(INDEX(TilgAktiv,($N$6-1)*480+172)=0,"",INDEX(TilgZins,($N$6-1)*480+172))</f>
      </c>
      <c r="H186" s="30">
        <f>IF(INDEX(TilgAktiv,($N$6-1)*480+172)=0,"",INDEX(TilgTilgung,($N$6-1)*480+172))</f>
      </c>
      <c r="I186" s="30">
        <f>IF(INDEX(TilgAktiv,($N$6-1)*480+172)=0,"",INDEX(TilgSonder,($N$6-1)*480+172))</f>
      </c>
      <c r="J186" s="30">
        <f>IF(INDEX(TilgAktiv,($N$6-1)*480+172)=0,"",INDEX(TilgErsatz,($N$6-1)*480+172))</f>
      </c>
      <c r="K186" s="30">
        <f>IF(INDEX(TilgAktiv,($N$6-1)*480+172)=0,"",INDEX(Tilgung!$Q$4:$Q$9603,($N$6-1)*480+172))</f>
      </c>
      <c r="L186" s="30">
        <f>IF(INDEX(TilgAktiv,($N$6-1)*480+172)=0,"",INDEX(Tilgung!$R$4:$R$9603,($N$6-1)*480+172))</f>
      </c>
    </row>
    <row r="187">
      <c r="A187"/>
      <c r="B187" s="36">
        <f>IF(INDEX(TilgAktiv,($N$6-1)*480+173)=0,"",173)</f>
      </c>
      <c r="C187" s="41">
        <f>IF(INDEX(TilgAktiv,($N$6-1)*480+173)=0,"",INDEX(TilgDatum,($N$6-1)*480+173))</f>
      </c>
      <c r="D187" s="31">
        <f>IF(INDEX(TilgAktiv,($N$6-1)*480+173)=0,"",INDEX(Tilgung!$H$4:$H$9603,($N$6-1)*480+173))</f>
      </c>
      <c r="E187" s="30">
        <f>IF(INDEX(TilgAktiv,($N$6-1)*480+173)=0,"",INDEX(Tilgung!$J$4:$J$9603,($N$6-1)*480+173))</f>
      </c>
      <c r="F187" s="30">
        <f>IF(INDEX(TilgAktiv,($N$6-1)*480+173)=0,"",IF(INDEX(TilgTilgung,($N$6-1)*480+173)=0,INDEX(TilgZins,($N$6-1)*480+173),INDEX(TilgZins,($N$6-1)*480+173)+INDEX(TilgTilgung,($N$6-1)*480+173))+INDEX(TilgErsatz,($N$6-1)*480+173))</f>
      </c>
      <c r="G187" s="30">
        <f>IF(INDEX(TilgAktiv,($N$6-1)*480+173)=0,"",INDEX(TilgZins,($N$6-1)*480+173))</f>
      </c>
      <c r="H187" s="30">
        <f>IF(INDEX(TilgAktiv,($N$6-1)*480+173)=0,"",INDEX(TilgTilgung,($N$6-1)*480+173))</f>
      </c>
      <c r="I187" s="30">
        <f>IF(INDEX(TilgAktiv,($N$6-1)*480+173)=0,"",INDEX(TilgSonder,($N$6-1)*480+173))</f>
      </c>
      <c r="J187" s="30">
        <f>IF(INDEX(TilgAktiv,($N$6-1)*480+173)=0,"",INDEX(TilgErsatz,($N$6-1)*480+173))</f>
      </c>
      <c r="K187" s="30">
        <f>IF(INDEX(TilgAktiv,($N$6-1)*480+173)=0,"",INDEX(Tilgung!$Q$4:$Q$9603,($N$6-1)*480+173))</f>
      </c>
      <c r="L187" s="30">
        <f>IF(INDEX(TilgAktiv,($N$6-1)*480+173)=0,"",INDEX(Tilgung!$R$4:$R$9603,($N$6-1)*480+173))</f>
      </c>
    </row>
    <row r="188">
      <c r="A188"/>
      <c r="B188" s="36">
        <f>IF(INDEX(TilgAktiv,($N$6-1)*480+174)=0,"",174)</f>
      </c>
      <c r="C188" s="41">
        <f>IF(INDEX(TilgAktiv,($N$6-1)*480+174)=0,"",INDEX(TilgDatum,($N$6-1)*480+174))</f>
      </c>
      <c r="D188" s="31">
        <f>IF(INDEX(TilgAktiv,($N$6-1)*480+174)=0,"",INDEX(Tilgung!$H$4:$H$9603,($N$6-1)*480+174))</f>
      </c>
      <c r="E188" s="30">
        <f>IF(INDEX(TilgAktiv,($N$6-1)*480+174)=0,"",INDEX(Tilgung!$J$4:$J$9603,($N$6-1)*480+174))</f>
      </c>
      <c r="F188" s="30">
        <f>IF(INDEX(TilgAktiv,($N$6-1)*480+174)=0,"",IF(INDEX(TilgTilgung,($N$6-1)*480+174)=0,INDEX(TilgZins,($N$6-1)*480+174),INDEX(TilgZins,($N$6-1)*480+174)+INDEX(TilgTilgung,($N$6-1)*480+174))+INDEX(TilgErsatz,($N$6-1)*480+174))</f>
      </c>
      <c r="G188" s="30">
        <f>IF(INDEX(TilgAktiv,($N$6-1)*480+174)=0,"",INDEX(TilgZins,($N$6-1)*480+174))</f>
      </c>
      <c r="H188" s="30">
        <f>IF(INDEX(TilgAktiv,($N$6-1)*480+174)=0,"",INDEX(TilgTilgung,($N$6-1)*480+174))</f>
      </c>
      <c r="I188" s="30">
        <f>IF(INDEX(TilgAktiv,($N$6-1)*480+174)=0,"",INDEX(TilgSonder,($N$6-1)*480+174))</f>
      </c>
      <c r="J188" s="30">
        <f>IF(INDEX(TilgAktiv,($N$6-1)*480+174)=0,"",INDEX(TilgErsatz,($N$6-1)*480+174))</f>
      </c>
      <c r="K188" s="30">
        <f>IF(INDEX(TilgAktiv,($N$6-1)*480+174)=0,"",INDEX(Tilgung!$Q$4:$Q$9603,($N$6-1)*480+174))</f>
      </c>
      <c r="L188" s="30">
        <f>IF(INDEX(TilgAktiv,($N$6-1)*480+174)=0,"",INDEX(Tilgung!$R$4:$R$9603,($N$6-1)*480+174))</f>
      </c>
    </row>
    <row r="189">
      <c r="A189"/>
      <c r="B189" s="36">
        <f>IF(INDEX(TilgAktiv,($N$6-1)*480+175)=0,"",175)</f>
      </c>
      <c r="C189" s="41">
        <f>IF(INDEX(TilgAktiv,($N$6-1)*480+175)=0,"",INDEX(TilgDatum,($N$6-1)*480+175))</f>
      </c>
      <c r="D189" s="31">
        <f>IF(INDEX(TilgAktiv,($N$6-1)*480+175)=0,"",INDEX(Tilgung!$H$4:$H$9603,($N$6-1)*480+175))</f>
      </c>
      <c r="E189" s="30">
        <f>IF(INDEX(TilgAktiv,($N$6-1)*480+175)=0,"",INDEX(Tilgung!$J$4:$J$9603,($N$6-1)*480+175))</f>
      </c>
      <c r="F189" s="30">
        <f>IF(INDEX(TilgAktiv,($N$6-1)*480+175)=0,"",IF(INDEX(TilgTilgung,($N$6-1)*480+175)=0,INDEX(TilgZins,($N$6-1)*480+175),INDEX(TilgZins,($N$6-1)*480+175)+INDEX(TilgTilgung,($N$6-1)*480+175))+INDEX(TilgErsatz,($N$6-1)*480+175))</f>
      </c>
      <c r="G189" s="30">
        <f>IF(INDEX(TilgAktiv,($N$6-1)*480+175)=0,"",INDEX(TilgZins,($N$6-1)*480+175))</f>
      </c>
      <c r="H189" s="30">
        <f>IF(INDEX(TilgAktiv,($N$6-1)*480+175)=0,"",INDEX(TilgTilgung,($N$6-1)*480+175))</f>
      </c>
      <c r="I189" s="30">
        <f>IF(INDEX(TilgAktiv,($N$6-1)*480+175)=0,"",INDEX(TilgSonder,($N$6-1)*480+175))</f>
      </c>
      <c r="J189" s="30">
        <f>IF(INDEX(TilgAktiv,($N$6-1)*480+175)=0,"",INDEX(TilgErsatz,($N$6-1)*480+175))</f>
      </c>
      <c r="K189" s="30">
        <f>IF(INDEX(TilgAktiv,($N$6-1)*480+175)=0,"",INDEX(Tilgung!$Q$4:$Q$9603,($N$6-1)*480+175))</f>
      </c>
      <c r="L189" s="30">
        <f>IF(INDEX(TilgAktiv,($N$6-1)*480+175)=0,"",INDEX(Tilgung!$R$4:$R$9603,($N$6-1)*480+175))</f>
      </c>
    </row>
    <row r="190">
      <c r="A190"/>
      <c r="B190" s="36">
        <f>IF(INDEX(TilgAktiv,($N$6-1)*480+176)=0,"",176)</f>
      </c>
      <c r="C190" s="41">
        <f>IF(INDEX(TilgAktiv,($N$6-1)*480+176)=0,"",INDEX(TilgDatum,($N$6-1)*480+176))</f>
      </c>
      <c r="D190" s="31">
        <f>IF(INDEX(TilgAktiv,($N$6-1)*480+176)=0,"",INDEX(Tilgung!$H$4:$H$9603,($N$6-1)*480+176))</f>
      </c>
      <c r="E190" s="30">
        <f>IF(INDEX(TilgAktiv,($N$6-1)*480+176)=0,"",INDEX(Tilgung!$J$4:$J$9603,($N$6-1)*480+176))</f>
      </c>
      <c r="F190" s="30">
        <f>IF(INDEX(TilgAktiv,($N$6-1)*480+176)=0,"",IF(INDEX(TilgTilgung,($N$6-1)*480+176)=0,INDEX(TilgZins,($N$6-1)*480+176),INDEX(TilgZins,($N$6-1)*480+176)+INDEX(TilgTilgung,($N$6-1)*480+176))+INDEX(TilgErsatz,($N$6-1)*480+176))</f>
      </c>
      <c r="G190" s="30">
        <f>IF(INDEX(TilgAktiv,($N$6-1)*480+176)=0,"",INDEX(TilgZins,($N$6-1)*480+176))</f>
      </c>
      <c r="H190" s="30">
        <f>IF(INDEX(TilgAktiv,($N$6-1)*480+176)=0,"",INDEX(TilgTilgung,($N$6-1)*480+176))</f>
      </c>
      <c r="I190" s="30">
        <f>IF(INDEX(TilgAktiv,($N$6-1)*480+176)=0,"",INDEX(TilgSonder,($N$6-1)*480+176))</f>
      </c>
      <c r="J190" s="30">
        <f>IF(INDEX(TilgAktiv,($N$6-1)*480+176)=0,"",INDEX(TilgErsatz,($N$6-1)*480+176))</f>
      </c>
      <c r="K190" s="30">
        <f>IF(INDEX(TilgAktiv,($N$6-1)*480+176)=0,"",INDEX(Tilgung!$Q$4:$Q$9603,($N$6-1)*480+176))</f>
      </c>
      <c r="L190" s="30">
        <f>IF(INDEX(TilgAktiv,($N$6-1)*480+176)=0,"",INDEX(Tilgung!$R$4:$R$9603,($N$6-1)*480+176))</f>
      </c>
    </row>
    <row r="191">
      <c r="A191"/>
      <c r="B191" s="36">
        <f>IF(INDEX(TilgAktiv,($N$6-1)*480+177)=0,"",177)</f>
      </c>
      <c r="C191" s="41">
        <f>IF(INDEX(TilgAktiv,($N$6-1)*480+177)=0,"",INDEX(TilgDatum,($N$6-1)*480+177))</f>
      </c>
      <c r="D191" s="31">
        <f>IF(INDEX(TilgAktiv,($N$6-1)*480+177)=0,"",INDEX(Tilgung!$H$4:$H$9603,($N$6-1)*480+177))</f>
      </c>
      <c r="E191" s="30">
        <f>IF(INDEX(TilgAktiv,($N$6-1)*480+177)=0,"",INDEX(Tilgung!$J$4:$J$9603,($N$6-1)*480+177))</f>
      </c>
      <c r="F191" s="30">
        <f>IF(INDEX(TilgAktiv,($N$6-1)*480+177)=0,"",IF(INDEX(TilgTilgung,($N$6-1)*480+177)=0,INDEX(TilgZins,($N$6-1)*480+177),INDEX(TilgZins,($N$6-1)*480+177)+INDEX(TilgTilgung,($N$6-1)*480+177))+INDEX(TilgErsatz,($N$6-1)*480+177))</f>
      </c>
      <c r="G191" s="30">
        <f>IF(INDEX(TilgAktiv,($N$6-1)*480+177)=0,"",INDEX(TilgZins,($N$6-1)*480+177))</f>
      </c>
      <c r="H191" s="30">
        <f>IF(INDEX(TilgAktiv,($N$6-1)*480+177)=0,"",INDEX(TilgTilgung,($N$6-1)*480+177))</f>
      </c>
      <c r="I191" s="30">
        <f>IF(INDEX(TilgAktiv,($N$6-1)*480+177)=0,"",INDEX(TilgSonder,($N$6-1)*480+177))</f>
      </c>
      <c r="J191" s="30">
        <f>IF(INDEX(TilgAktiv,($N$6-1)*480+177)=0,"",INDEX(TilgErsatz,($N$6-1)*480+177))</f>
      </c>
      <c r="K191" s="30">
        <f>IF(INDEX(TilgAktiv,($N$6-1)*480+177)=0,"",INDEX(Tilgung!$Q$4:$Q$9603,($N$6-1)*480+177))</f>
      </c>
      <c r="L191" s="30">
        <f>IF(INDEX(TilgAktiv,($N$6-1)*480+177)=0,"",INDEX(Tilgung!$R$4:$R$9603,($N$6-1)*480+177))</f>
      </c>
    </row>
    <row r="192">
      <c r="A192"/>
      <c r="B192" s="36">
        <f>IF(INDEX(TilgAktiv,($N$6-1)*480+178)=0,"",178)</f>
      </c>
      <c r="C192" s="41">
        <f>IF(INDEX(TilgAktiv,($N$6-1)*480+178)=0,"",INDEX(TilgDatum,($N$6-1)*480+178))</f>
      </c>
      <c r="D192" s="31">
        <f>IF(INDEX(TilgAktiv,($N$6-1)*480+178)=0,"",INDEX(Tilgung!$H$4:$H$9603,($N$6-1)*480+178))</f>
      </c>
      <c r="E192" s="30">
        <f>IF(INDEX(TilgAktiv,($N$6-1)*480+178)=0,"",INDEX(Tilgung!$J$4:$J$9603,($N$6-1)*480+178))</f>
      </c>
      <c r="F192" s="30">
        <f>IF(INDEX(TilgAktiv,($N$6-1)*480+178)=0,"",IF(INDEX(TilgTilgung,($N$6-1)*480+178)=0,INDEX(TilgZins,($N$6-1)*480+178),INDEX(TilgZins,($N$6-1)*480+178)+INDEX(TilgTilgung,($N$6-1)*480+178))+INDEX(TilgErsatz,($N$6-1)*480+178))</f>
      </c>
      <c r="G192" s="30">
        <f>IF(INDEX(TilgAktiv,($N$6-1)*480+178)=0,"",INDEX(TilgZins,($N$6-1)*480+178))</f>
      </c>
      <c r="H192" s="30">
        <f>IF(INDEX(TilgAktiv,($N$6-1)*480+178)=0,"",INDEX(TilgTilgung,($N$6-1)*480+178))</f>
      </c>
      <c r="I192" s="30">
        <f>IF(INDEX(TilgAktiv,($N$6-1)*480+178)=0,"",INDEX(TilgSonder,($N$6-1)*480+178))</f>
      </c>
      <c r="J192" s="30">
        <f>IF(INDEX(TilgAktiv,($N$6-1)*480+178)=0,"",INDEX(TilgErsatz,($N$6-1)*480+178))</f>
      </c>
      <c r="K192" s="30">
        <f>IF(INDEX(TilgAktiv,($N$6-1)*480+178)=0,"",INDEX(Tilgung!$Q$4:$Q$9603,($N$6-1)*480+178))</f>
      </c>
      <c r="L192" s="30">
        <f>IF(INDEX(TilgAktiv,($N$6-1)*480+178)=0,"",INDEX(Tilgung!$R$4:$R$9603,($N$6-1)*480+178))</f>
      </c>
    </row>
    <row r="193">
      <c r="A193"/>
      <c r="B193" s="36">
        <f>IF(INDEX(TilgAktiv,($N$6-1)*480+179)=0,"",179)</f>
      </c>
      <c r="C193" s="41">
        <f>IF(INDEX(TilgAktiv,($N$6-1)*480+179)=0,"",INDEX(TilgDatum,($N$6-1)*480+179))</f>
      </c>
      <c r="D193" s="31">
        <f>IF(INDEX(TilgAktiv,($N$6-1)*480+179)=0,"",INDEX(Tilgung!$H$4:$H$9603,($N$6-1)*480+179))</f>
      </c>
      <c r="E193" s="30">
        <f>IF(INDEX(TilgAktiv,($N$6-1)*480+179)=0,"",INDEX(Tilgung!$J$4:$J$9603,($N$6-1)*480+179))</f>
      </c>
      <c r="F193" s="30">
        <f>IF(INDEX(TilgAktiv,($N$6-1)*480+179)=0,"",IF(INDEX(TilgTilgung,($N$6-1)*480+179)=0,INDEX(TilgZins,($N$6-1)*480+179),INDEX(TilgZins,($N$6-1)*480+179)+INDEX(TilgTilgung,($N$6-1)*480+179))+INDEX(TilgErsatz,($N$6-1)*480+179))</f>
      </c>
      <c r="G193" s="30">
        <f>IF(INDEX(TilgAktiv,($N$6-1)*480+179)=0,"",INDEX(TilgZins,($N$6-1)*480+179))</f>
      </c>
      <c r="H193" s="30">
        <f>IF(INDEX(TilgAktiv,($N$6-1)*480+179)=0,"",INDEX(TilgTilgung,($N$6-1)*480+179))</f>
      </c>
      <c r="I193" s="30">
        <f>IF(INDEX(TilgAktiv,($N$6-1)*480+179)=0,"",INDEX(TilgSonder,($N$6-1)*480+179))</f>
      </c>
      <c r="J193" s="30">
        <f>IF(INDEX(TilgAktiv,($N$6-1)*480+179)=0,"",INDEX(TilgErsatz,($N$6-1)*480+179))</f>
      </c>
      <c r="K193" s="30">
        <f>IF(INDEX(TilgAktiv,($N$6-1)*480+179)=0,"",INDEX(Tilgung!$Q$4:$Q$9603,($N$6-1)*480+179))</f>
      </c>
      <c r="L193" s="30">
        <f>IF(INDEX(TilgAktiv,($N$6-1)*480+179)=0,"",INDEX(Tilgung!$R$4:$R$9603,($N$6-1)*480+179))</f>
      </c>
    </row>
    <row r="194">
      <c r="A194"/>
      <c r="B194" s="36">
        <f>IF(INDEX(TilgAktiv,($N$6-1)*480+180)=0,"",180)</f>
      </c>
      <c r="C194" s="41">
        <f>IF(INDEX(TilgAktiv,($N$6-1)*480+180)=0,"",INDEX(TilgDatum,($N$6-1)*480+180))</f>
      </c>
      <c r="D194" s="31">
        <f>IF(INDEX(TilgAktiv,($N$6-1)*480+180)=0,"",INDEX(Tilgung!$H$4:$H$9603,($N$6-1)*480+180))</f>
      </c>
      <c r="E194" s="30">
        <f>IF(INDEX(TilgAktiv,($N$6-1)*480+180)=0,"",INDEX(Tilgung!$J$4:$J$9603,($N$6-1)*480+180))</f>
      </c>
      <c r="F194" s="30">
        <f>IF(INDEX(TilgAktiv,($N$6-1)*480+180)=0,"",IF(INDEX(TilgTilgung,($N$6-1)*480+180)=0,INDEX(TilgZins,($N$6-1)*480+180),INDEX(TilgZins,($N$6-1)*480+180)+INDEX(TilgTilgung,($N$6-1)*480+180))+INDEX(TilgErsatz,($N$6-1)*480+180))</f>
      </c>
      <c r="G194" s="30">
        <f>IF(INDEX(TilgAktiv,($N$6-1)*480+180)=0,"",INDEX(TilgZins,($N$6-1)*480+180))</f>
      </c>
      <c r="H194" s="30">
        <f>IF(INDEX(TilgAktiv,($N$6-1)*480+180)=0,"",INDEX(TilgTilgung,($N$6-1)*480+180))</f>
      </c>
      <c r="I194" s="30">
        <f>IF(INDEX(TilgAktiv,($N$6-1)*480+180)=0,"",INDEX(TilgSonder,($N$6-1)*480+180))</f>
      </c>
      <c r="J194" s="30">
        <f>IF(INDEX(TilgAktiv,($N$6-1)*480+180)=0,"",INDEX(TilgErsatz,($N$6-1)*480+180))</f>
      </c>
      <c r="K194" s="30">
        <f>IF(INDEX(TilgAktiv,($N$6-1)*480+180)=0,"",INDEX(Tilgung!$Q$4:$Q$9603,($N$6-1)*480+180))</f>
      </c>
      <c r="L194" s="30">
        <f>IF(INDEX(TilgAktiv,($N$6-1)*480+180)=0,"",INDEX(Tilgung!$R$4:$R$9603,($N$6-1)*480+180))</f>
      </c>
    </row>
    <row r="195">
      <c r="A195"/>
      <c r="B195" s="36">
        <f>IF(INDEX(TilgAktiv,($N$6-1)*480+181)=0,"",181)</f>
      </c>
      <c r="C195" s="41">
        <f>IF(INDEX(TilgAktiv,($N$6-1)*480+181)=0,"",INDEX(TilgDatum,($N$6-1)*480+181))</f>
      </c>
      <c r="D195" s="31">
        <f>IF(INDEX(TilgAktiv,($N$6-1)*480+181)=0,"",INDEX(Tilgung!$H$4:$H$9603,($N$6-1)*480+181))</f>
      </c>
      <c r="E195" s="30">
        <f>IF(INDEX(TilgAktiv,($N$6-1)*480+181)=0,"",INDEX(Tilgung!$J$4:$J$9603,($N$6-1)*480+181))</f>
      </c>
      <c r="F195" s="30">
        <f>IF(INDEX(TilgAktiv,($N$6-1)*480+181)=0,"",IF(INDEX(TilgTilgung,($N$6-1)*480+181)=0,INDEX(TilgZins,($N$6-1)*480+181),INDEX(TilgZins,($N$6-1)*480+181)+INDEX(TilgTilgung,($N$6-1)*480+181))+INDEX(TilgErsatz,($N$6-1)*480+181))</f>
      </c>
      <c r="G195" s="30">
        <f>IF(INDEX(TilgAktiv,($N$6-1)*480+181)=0,"",INDEX(TilgZins,($N$6-1)*480+181))</f>
      </c>
      <c r="H195" s="30">
        <f>IF(INDEX(TilgAktiv,($N$6-1)*480+181)=0,"",INDEX(TilgTilgung,($N$6-1)*480+181))</f>
      </c>
      <c r="I195" s="30">
        <f>IF(INDEX(TilgAktiv,($N$6-1)*480+181)=0,"",INDEX(TilgSonder,($N$6-1)*480+181))</f>
      </c>
      <c r="J195" s="30">
        <f>IF(INDEX(TilgAktiv,($N$6-1)*480+181)=0,"",INDEX(TilgErsatz,($N$6-1)*480+181))</f>
      </c>
      <c r="K195" s="30">
        <f>IF(INDEX(TilgAktiv,($N$6-1)*480+181)=0,"",INDEX(Tilgung!$Q$4:$Q$9603,($N$6-1)*480+181))</f>
      </c>
      <c r="L195" s="30">
        <f>IF(INDEX(TilgAktiv,($N$6-1)*480+181)=0,"",INDEX(Tilgung!$R$4:$R$9603,($N$6-1)*480+181))</f>
      </c>
    </row>
    <row r="196">
      <c r="A196"/>
      <c r="B196" s="36">
        <f>IF(INDEX(TilgAktiv,($N$6-1)*480+182)=0,"",182)</f>
      </c>
      <c r="C196" s="41">
        <f>IF(INDEX(TilgAktiv,($N$6-1)*480+182)=0,"",INDEX(TilgDatum,($N$6-1)*480+182))</f>
      </c>
      <c r="D196" s="31">
        <f>IF(INDEX(TilgAktiv,($N$6-1)*480+182)=0,"",INDEX(Tilgung!$H$4:$H$9603,($N$6-1)*480+182))</f>
      </c>
      <c r="E196" s="30">
        <f>IF(INDEX(TilgAktiv,($N$6-1)*480+182)=0,"",INDEX(Tilgung!$J$4:$J$9603,($N$6-1)*480+182))</f>
      </c>
      <c r="F196" s="30">
        <f>IF(INDEX(TilgAktiv,($N$6-1)*480+182)=0,"",IF(INDEX(TilgTilgung,($N$6-1)*480+182)=0,INDEX(TilgZins,($N$6-1)*480+182),INDEX(TilgZins,($N$6-1)*480+182)+INDEX(TilgTilgung,($N$6-1)*480+182))+INDEX(TilgErsatz,($N$6-1)*480+182))</f>
      </c>
      <c r="G196" s="30">
        <f>IF(INDEX(TilgAktiv,($N$6-1)*480+182)=0,"",INDEX(TilgZins,($N$6-1)*480+182))</f>
      </c>
      <c r="H196" s="30">
        <f>IF(INDEX(TilgAktiv,($N$6-1)*480+182)=0,"",INDEX(TilgTilgung,($N$6-1)*480+182))</f>
      </c>
      <c r="I196" s="30">
        <f>IF(INDEX(TilgAktiv,($N$6-1)*480+182)=0,"",INDEX(TilgSonder,($N$6-1)*480+182))</f>
      </c>
      <c r="J196" s="30">
        <f>IF(INDEX(TilgAktiv,($N$6-1)*480+182)=0,"",INDEX(TilgErsatz,($N$6-1)*480+182))</f>
      </c>
      <c r="K196" s="30">
        <f>IF(INDEX(TilgAktiv,($N$6-1)*480+182)=0,"",INDEX(Tilgung!$Q$4:$Q$9603,($N$6-1)*480+182))</f>
      </c>
      <c r="L196" s="30">
        <f>IF(INDEX(TilgAktiv,($N$6-1)*480+182)=0,"",INDEX(Tilgung!$R$4:$R$9603,($N$6-1)*480+182))</f>
      </c>
    </row>
    <row r="197">
      <c r="A197"/>
      <c r="B197" s="36">
        <f>IF(INDEX(TilgAktiv,($N$6-1)*480+183)=0,"",183)</f>
      </c>
      <c r="C197" s="41">
        <f>IF(INDEX(TilgAktiv,($N$6-1)*480+183)=0,"",INDEX(TilgDatum,($N$6-1)*480+183))</f>
      </c>
      <c r="D197" s="31">
        <f>IF(INDEX(TilgAktiv,($N$6-1)*480+183)=0,"",INDEX(Tilgung!$H$4:$H$9603,($N$6-1)*480+183))</f>
      </c>
      <c r="E197" s="30">
        <f>IF(INDEX(TilgAktiv,($N$6-1)*480+183)=0,"",INDEX(Tilgung!$J$4:$J$9603,($N$6-1)*480+183))</f>
      </c>
      <c r="F197" s="30">
        <f>IF(INDEX(TilgAktiv,($N$6-1)*480+183)=0,"",IF(INDEX(TilgTilgung,($N$6-1)*480+183)=0,INDEX(TilgZins,($N$6-1)*480+183),INDEX(TilgZins,($N$6-1)*480+183)+INDEX(TilgTilgung,($N$6-1)*480+183))+INDEX(TilgErsatz,($N$6-1)*480+183))</f>
      </c>
      <c r="G197" s="30">
        <f>IF(INDEX(TilgAktiv,($N$6-1)*480+183)=0,"",INDEX(TilgZins,($N$6-1)*480+183))</f>
      </c>
      <c r="H197" s="30">
        <f>IF(INDEX(TilgAktiv,($N$6-1)*480+183)=0,"",INDEX(TilgTilgung,($N$6-1)*480+183))</f>
      </c>
      <c r="I197" s="30">
        <f>IF(INDEX(TilgAktiv,($N$6-1)*480+183)=0,"",INDEX(TilgSonder,($N$6-1)*480+183))</f>
      </c>
      <c r="J197" s="30">
        <f>IF(INDEX(TilgAktiv,($N$6-1)*480+183)=0,"",INDEX(TilgErsatz,($N$6-1)*480+183))</f>
      </c>
      <c r="K197" s="30">
        <f>IF(INDEX(TilgAktiv,($N$6-1)*480+183)=0,"",INDEX(Tilgung!$Q$4:$Q$9603,($N$6-1)*480+183))</f>
      </c>
      <c r="L197" s="30">
        <f>IF(INDEX(TilgAktiv,($N$6-1)*480+183)=0,"",INDEX(Tilgung!$R$4:$R$9603,($N$6-1)*480+183))</f>
      </c>
    </row>
    <row r="198">
      <c r="A198"/>
      <c r="B198" s="36">
        <f>IF(INDEX(TilgAktiv,($N$6-1)*480+184)=0,"",184)</f>
      </c>
      <c r="C198" s="41">
        <f>IF(INDEX(TilgAktiv,($N$6-1)*480+184)=0,"",INDEX(TilgDatum,($N$6-1)*480+184))</f>
      </c>
      <c r="D198" s="31">
        <f>IF(INDEX(TilgAktiv,($N$6-1)*480+184)=0,"",INDEX(Tilgung!$H$4:$H$9603,($N$6-1)*480+184))</f>
      </c>
      <c r="E198" s="30">
        <f>IF(INDEX(TilgAktiv,($N$6-1)*480+184)=0,"",INDEX(Tilgung!$J$4:$J$9603,($N$6-1)*480+184))</f>
      </c>
      <c r="F198" s="30">
        <f>IF(INDEX(TilgAktiv,($N$6-1)*480+184)=0,"",IF(INDEX(TilgTilgung,($N$6-1)*480+184)=0,INDEX(TilgZins,($N$6-1)*480+184),INDEX(TilgZins,($N$6-1)*480+184)+INDEX(TilgTilgung,($N$6-1)*480+184))+INDEX(TilgErsatz,($N$6-1)*480+184))</f>
      </c>
      <c r="G198" s="30">
        <f>IF(INDEX(TilgAktiv,($N$6-1)*480+184)=0,"",INDEX(TilgZins,($N$6-1)*480+184))</f>
      </c>
      <c r="H198" s="30">
        <f>IF(INDEX(TilgAktiv,($N$6-1)*480+184)=0,"",INDEX(TilgTilgung,($N$6-1)*480+184))</f>
      </c>
      <c r="I198" s="30">
        <f>IF(INDEX(TilgAktiv,($N$6-1)*480+184)=0,"",INDEX(TilgSonder,($N$6-1)*480+184))</f>
      </c>
      <c r="J198" s="30">
        <f>IF(INDEX(TilgAktiv,($N$6-1)*480+184)=0,"",INDEX(TilgErsatz,($N$6-1)*480+184))</f>
      </c>
      <c r="K198" s="30">
        <f>IF(INDEX(TilgAktiv,($N$6-1)*480+184)=0,"",INDEX(Tilgung!$Q$4:$Q$9603,($N$6-1)*480+184))</f>
      </c>
      <c r="L198" s="30">
        <f>IF(INDEX(TilgAktiv,($N$6-1)*480+184)=0,"",INDEX(Tilgung!$R$4:$R$9603,($N$6-1)*480+184))</f>
      </c>
    </row>
    <row r="199">
      <c r="A199"/>
      <c r="B199" s="36">
        <f>IF(INDEX(TilgAktiv,($N$6-1)*480+185)=0,"",185)</f>
      </c>
      <c r="C199" s="41">
        <f>IF(INDEX(TilgAktiv,($N$6-1)*480+185)=0,"",INDEX(TilgDatum,($N$6-1)*480+185))</f>
      </c>
      <c r="D199" s="31">
        <f>IF(INDEX(TilgAktiv,($N$6-1)*480+185)=0,"",INDEX(Tilgung!$H$4:$H$9603,($N$6-1)*480+185))</f>
      </c>
      <c r="E199" s="30">
        <f>IF(INDEX(TilgAktiv,($N$6-1)*480+185)=0,"",INDEX(Tilgung!$J$4:$J$9603,($N$6-1)*480+185))</f>
      </c>
      <c r="F199" s="30">
        <f>IF(INDEX(TilgAktiv,($N$6-1)*480+185)=0,"",IF(INDEX(TilgTilgung,($N$6-1)*480+185)=0,INDEX(TilgZins,($N$6-1)*480+185),INDEX(TilgZins,($N$6-1)*480+185)+INDEX(TilgTilgung,($N$6-1)*480+185))+INDEX(TilgErsatz,($N$6-1)*480+185))</f>
      </c>
      <c r="G199" s="30">
        <f>IF(INDEX(TilgAktiv,($N$6-1)*480+185)=0,"",INDEX(TilgZins,($N$6-1)*480+185))</f>
      </c>
      <c r="H199" s="30">
        <f>IF(INDEX(TilgAktiv,($N$6-1)*480+185)=0,"",INDEX(TilgTilgung,($N$6-1)*480+185))</f>
      </c>
      <c r="I199" s="30">
        <f>IF(INDEX(TilgAktiv,($N$6-1)*480+185)=0,"",INDEX(TilgSonder,($N$6-1)*480+185))</f>
      </c>
      <c r="J199" s="30">
        <f>IF(INDEX(TilgAktiv,($N$6-1)*480+185)=0,"",INDEX(TilgErsatz,($N$6-1)*480+185))</f>
      </c>
      <c r="K199" s="30">
        <f>IF(INDEX(TilgAktiv,($N$6-1)*480+185)=0,"",INDEX(Tilgung!$Q$4:$Q$9603,($N$6-1)*480+185))</f>
      </c>
      <c r="L199" s="30">
        <f>IF(INDEX(TilgAktiv,($N$6-1)*480+185)=0,"",INDEX(Tilgung!$R$4:$R$9603,($N$6-1)*480+185))</f>
      </c>
    </row>
    <row r="200">
      <c r="A200"/>
      <c r="B200" s="36">
        <f>IF(INDEX(TilgAktiv,($N$6-1)*480+186)=0,"",186)</f>
      </c>
      <c r="C200" s="41">
        <f>IF(INDEX(TilgAktiv,($N$6-1)*480+186)=0,"",INDEX(TilgDatum,($N$6-1)*480+186))</f>
      </c>
      <c r="D200" s="31">
        <f>IF(INDEX(TilgAktiv,($N$6-1)*480+186)=0,"",INDEX(Tilgung!$H$4:$H$9603,($N$6-1)*480+186))</f>
      </c>
      <c r="E200" s="30">
        <f>IF(INDEX(TilgAktiv,($N$6-1)*480+186)=0,"",INDEX(Tilgung!$J$4:$J$9603,($N$6-1)*480+186))</f>
      </c>
      <c r="F200" s="30">
        <f>IF(INDEX(TilgAktiv,($N$6-1)*480+186)=0,"",IF(INDEX(TilgTilgung,($N$6-1)*480+186)=0,INDEX(TilgZins,($N$6-1)*480+186),INDEX(TilgZins,($N$6-1)*480+186)+INDEX(TilgTilgung,($N$6-1)*480+186))+INDEX(TilgErsatz,($N$6-1)*480+186))</f>
      </c>
      <c r="G200" s="30">
        <f>IF(INDEX(TilgAktiv,($N$6-1)*480+186)=0,"",INDEX(TilgZins,($N$6-1)*480+186))</f>
      </c>
      <c r="H200" s="30">
        <f>IF(INDEX(TilgAktiv,($N$6-1)*480+186)=0,"",INDEX(TilgTilgung,($N$6-1)*480+186))</f>
      </c>
      <c r="I200" s="30">
        <f>IF(INDEX(TilgAktiv,($N$6-1)*480+186)=0,"",INDEX(TilgSonder,($N$6-1)*480+186))</f>
      </c>
      <c r="J200" s="30">
        <f>IF(INDEX(TilgAktiv,($N$6-1)*480+186)=0,"",INDEX(TilgErsatz,($N$6-1)*480+186))</f>
      </c>
      <c r="K200" s="30">
        <f>IF(INDEX(TilgAktiv,($N$6-1)*480+186)=0,"",INDEX(Tilgung!$Q$4:$Q$9603,($N$6-1)*480+186))</f>
      </c>
      <c r="L200" s="30">
        <f>IF(INDEX(TilgAktiv,($N$6-1)*480+186)=0,"",INDEX(Tilgung!$R$4:$R$9603,($N$6-1)*480+186))</f>
      </c>
    </row>
    <row r="201">
      <c r="A201"/>
      <c r="B201" s="36">
        <f>IF(INDEX(TilgAktiv,($N$6-1)*480+187)=0,"",187)</f>
      </c>
      <c r="C201" s="41">
        <f>IF(INDEX(TilgAktiv,($N$6-1)*480+187)=0,"",INDEX(TilgDatum,($N$6-1)*480+187))</f>
      </c>
      <c r="D201" s="31">
        <f>IF(INDEX(TilgAktiv,($N$6-1)*480+187)=0,"",INDEX(Tilgung!$H$4:$H$9603,($N$6-1)*480+187))</f>
      </c>
      <c r="E201" s="30">
        <f>IF(INDEX(TilgAktiv,($N$6-1)*480+187)=0,"",INDEX(Tilgung!$J$4:$J$9603,($N$6-1)*480+187))</f>
      </c>
      <c r="F201" s="30">
        <f>IF(INDEX(TilgAktiv,($N$6-1)*480+187)=0,"",IF(INDEX(TilgTilgung,($N$6-1)*480+187)=0,INDEX(TilgZins,($N$6-1)*480+187),INDEX(TilgZins,($N$6-1)*480+187)+INDEX(TilgTilgung,($N$6-1)*480+187))+INDEX(TilgErsatz,($N$6-1)*480+187))</f>
      </c>
      <c r="G201" s="30">
        <f>IF(INDEX(TilgAktiv,($N$6-1)*480+187)=0,"",INDEX(TilgZins,($N$6-1)*480+187))</f>
      </c>
      <c r="H201" s="30">
        <f>IF(INDEX(TilgAktiv,($N$6-1)*480+187)=0,"",INDEX(TilgTilgung,($N$6-1)*480+187))</f>
      </c>
      <c r="I201" s="30">
        <f>IF(INDEX(TilgAktiv,($N$6-1)*480+187)=0,"",INDEX(TilgSonder,($N$6-1)*480+187))</f>
      </c>
      <c r="J201" s="30">
        <f>IF(INDEX(TilgAktiv,($N$6-1)*480+187)=0,"",INDEX(TilgErsatz,($N$6-1)*480+187))</f>
      </c>
      <c r="K201" s="30">
        <f>IF(INDEX(TilgAktiv,($N$6-1)*480+187)=0,"",INDEX(Tilgung!$Q$4:$Q$9603,($N$6-1)*480+187))</f>
      </c>
      <c r="L201" s="30">
        <f>IF(INDEX(TilgAktiv,($N$6-1)*480+187)=0,"",INDEX(Tilgung!$R$4:$R$9603,($N$6-1)*480+187))</f>
      </c>
    </row>
    <row r="202">
      <c r="A202"/>
      <c r="B202" s="36">
        <f>IF(INDEX(TilgAktiv,($N$6-1)*480+188)=0,"",188)</f>
      </c>
      <c r="C202" s="41">
        <f>IF(INDEX(TilgAktiv,($N$6-1)*480+188)=0,"",INDEX(TilgDatum,($N$6-1)*480+188))</f>
      </c>
      <c r="D202" s="31">
        <f>IF(INDEX(TilgAktiv,($N$6-1)*480+188)=0,"",INDEX(Tilgung!$H$4:$H$9603,($N$6-1)*480+188))</f>
      </c>
      <c r="E202" s="30">
        <f>IF(INDEX(TilgAktiv,($N$6-1)*480+188)=0,"",INDEX(Tilgung!$J$4:$J$9603,($N$6-1)*480+188))</f>
      </c>
      <c r="F202" s="30">
        <f>IF(INDEX(TilgAktiv,($N$6-1)*480+188)=0,"",IF(INDEX(TilgTilgung,($N$6-1)*480+188)=0,INDEX(TilgZins,($N$6-1)*480+188),INDEX(TilgZins,($N$6-1)*480+188)+INDEX(TilgTilgung,($N$6-1)*480+188))+INDEX(TilgErsatz,($N$6-1)*480+188))</f>
      </c>
      <c r="G202" s="30">
        <f>IF(INDEX(TilgAktiv,($N$6-1)*480+188)=0,"",INDEX(TilgZins,($N$6-1)*480+188))</f>
      </c>
      <c r="H202" s="30">
        <f>IF(INDEX(TilgAktiv,($N$6-1)*480+188)=0,"",INDEX(TilgTilgung,($N$6-1)*480+188))</f>
      </c>
      <c r="I202" s="30">
        <f>IF(INDEX(TilgAktiv,($N$6-1)*480+188)=0,"",INDEX(TilgSonder,($N$6-1)*480+188))</f>
      </c>
      <c r="J202" s="30">
        <f>IF(INDEX(TilgAktiv,($N$6-1)*480+188)=0,"",INDEX(TilgErsatz,($N$6-1)*480+188))</f>
      </c>
      <c r="K202" s="30">
        <f>IF(INDEX(TilgAktiv,($N$6-1)*480+188)=0,"",INDEX(Tilgung!$Q$4:$Q$9603,($N$6-1)*480+188))</f>
      </c>
      <c r="L202" s="30">
        <f>IF(INDEX(TilgAktiv,($N$6-1)*480+188)=0,"",INDEX(Tilgung!$R$4:$R$9603,($N$6-1)*480+188))</f>
      </c>
    </row>
    <row r="203">
      <c r="A203"/>
      <c r="B203" s="36">
        <f>IF(INDEX(TilgAktiv,($N$6-1)*480+189)=0,"",189)</f>
      </c>
      <c r="C203" s="41">
        <f>IF(INDEX(TilgAktiv,($N$6-1)*480+189)=0,"",INDEX(TilgDatum,($N$6-1)*480+189))</f>
      </c>
      <c r="D203" s="31">
        <f>IF(INDEX(TilgAktiv,($N$6-1)*480+189)=0,"",INDEX(Tilgung!$H$4:$H$9603,($N$6-1)*480+189))</f>
      </c>
      <c r="E203" s="30">
        <f>IF(INDEX(TilgAktiv,($N$6-1)*480+189)=0,"",INDEX(Tilgung!$J$4:$J$9603,($N$6-1)*480+189))</f>
      </c>
      <c r="F203" s="30">
        <f>IF(INDEX(TilgAktiv,($N$6-1)*480+189)=0,"",IF(INDEX(TilgTilgung,($N$6-1)*480+189)=0,INDEX(TilgZins,($N$6-1)*480+189),INDEX(TilgZins,($N$6-1)*480+189)+INDEX(TilgTilgung,($N$6-1)*480+189))+INDEX(TilgErsatz,($N$6-1)*480+189))</f>
      </c>
      <c r="G203" s="30">
        <f>IF(INDEX(TilgAktiv,($N$6-1)*480+189)=0,"",INDEX(TilgZins,($N$6-1)*480+189))</f>
      </c>
      <c r="H203" s="30">
        <f>IF(INDEX(TilgAktiv,($N$6-1)*480+189)=0,"",INDEX(TilgTilgung,($N$6-1)*480+189))</f>
      </c>
      <c r="I203" s="30">
        <f>IF(INDEX(TilgAktiv,($N$6-1)*480+189)=0,"",INDEX(TilgSonder,($N$6-1)*480+189))</f>
      </c>
      <c r="J203" s="30">
        <f>IF(INDEX(TilgAktiv,($N$6-1)*480+189)=0,"",INDEX(TilgErsatz,($N$6-1)*480+189))</f>
      </c>
      <c r="K203" s="30">
        <f>IF(INDEX(TilgAktiv,($N$6-1)*480+189)=0,"",INDEX(Tilgung!$Q$4:$Q$9603,($N$6-1)*480+189))</f>
      </c>
      <c r="L203" s="30">
        <f>IF(INDEX(TilgAktiv,($N$6-1)*480+189)=0,"",INDEX(Tilgung!$R$4:$R$9603,($N$6-1)*480+189))</f>
      </c>
    </row>
    <row r="204">
      <c r="A204"/>
      <c r="B204" s="36">
        <f>IF(INDEX(TilgAktiv,($N$6-1)*480+190)=0,"",190)</f>
      </c>
      <c r="C204" s="41">
        <f>IF(INDEX(TilgAktiv,($N$6-1)*480+190)=0,"",INDEX(TilgDatum,($N$6-1)*480+190))</f>
      </c>
      <c r="D204" s="31">
        <f>IF(INDEX(TilgAktiv,($N$6-1)*480+190)=0,"",INDEX(Tilgung!$H$4:$H$9603,($N$6-1)*480+190))</f>
      </c>
      <c r="E204" s="30">
        <f>IF(INDEX(TilgAktiv,($N$6-1)*480+190)=0,"",INDEX(Tilgung!$J$4:$J$9603,($N$6-1)*480+190))</f>
      </c>
      <c r="F204" s="30">
        <f>IF(INDEX(TilgAktiv,($N$6-1)*480+190)=0,"",IF(INDEX(TilgTilgung,($N$6-1)*480+190)=0,INDEX(TilgZins,($N$6-1)*480+190),INDEX(TilgZins,($N$6-1)*480+190)+INDEX(TilgTilgung,($N$6-1)*480+190))+INDEX(TilgErsatz,($N$6-1)*480+190))</f>
      </c>
      <c r="G204" s="30">
        <f>IF(INDEX(TilgAktiv,($N$6-1)*480+190)=0,"",INDEX(TilgZins,($N$6-1)*480+190))</f>
      </c>
      <c r="H204" s="30">
        <f>IF(INDEX(TilgAktiv,($N$6-1)*480+190)=0,"",INDEX(TilgTilgung,($N$6-1)*480+190))</f>
      </c>
      <c r="I204" s="30">
        <f>IF(INDEX(TilgAktiv,($N$6-1)*480+190)=0,"",INDEX(TilgSonder,($N$6-1)*480+190))</f>
      </c>
      <c r="J204" s="30">
        <f>IF(INDEX(TilgAktiv,($N$6-1)*480+190)=0,"",INDEX(TilgErsatz,($N$6-1)*480+190))</f>
      </c>
      <c r="K204" s="30">
        <f>IF(INDEX(TilgAktiv,($N$6-1)*480+190)=0,"",INDEX(Tilgung!$Q$4:$Q$9603,($N$6-1)*480+190))</f>
      </c>
      <c r="L204" s="30">
        <f>IF(INDEX(TilgAktiv,($N$6-1)*480+190)=0,"",INDEX(Tilgung!$R$4:$R$9603,($N$6-1)*480+190))</f>
      </c>
    </row>
    <row r="205">
      <c r="A205"/>
      <c r="B205" s="36">
        <f>IF(INDEX(TilgAktiv,($N$6-1)*480+191)=0,"",191)</f>
      </c>
      <c r="C205" s="41">
        <f>IF(INDEX(TilgAktiv,($N$6-1)*480+191)=0,"",INDEX(TilgDatum,($N$6-1)*480+191))</f>
      </c>
      <c r="D205" s="31">
        <f>IF(INDEX(TilgAktiv,($N$6-1)*480+191)=0,"",INDEX(Tilgung!$H$4:$H$9603,($N$6-1)*480+191))</f>
      </c>
      <c r="E205" s="30">
        <f>IF(INDEX(TilgAktiv,($N$6-1)*480+191)=0,"",INDEX(Tilgung!$J$4:$J$9603,($N$6-1)*480+191))</f>
      </c>
      <c r="F205" s="30">
        <f>IF(INDEX(TilgAktiv,($N$6-1)*480+191)=0,"",IF(INDEX(TilgTilgung,($N$6-1)*480+191)=0,INDEX(TilgZins,($N$6-1)*480+191),INDEX(TilgZins,($N$6-1)*480+191)+INDEX(TilgTilgung,($N$6-1)*480+191))+INDEX(TilgErsatz,($N$6-1)*480+191))</f>
      </c>
      <c r="G205" s="30">
        <f>IF(INDEX(TilgAktiv,($N$6-1)*480+191)=0,"",INDEX(TilgZins,($N$6-1)*480+191))</f>
      </c>
      <c r="H205" s="30">
        <f>IF(INDEX(TilgAktiv,($N$6-1)*480+191)=0,"",INDEX(TilgTilgung,($N$6-1)*480+191))</f>
      </c>
      <c r="I205" s="30">
        <f>IF(INDEX(TilgAktiv,($N$6-1)*480+191)=0,"",INDEX(TilgSonder,($N$6-1)*480+191))</f>
      </c>
      <c r="J205" s="30">
        <f>IF(INDEX(TilgAktiv,($N$6-1)*480+191)=0,"",INDEX(TilgErsatz,($N$6-1)*480+191))</f>
      </c>
      <c r="K205" s="30">
        <f>IF(INDEX(TilgAktiv,($N$6-1)*480+191)=0,"",INDEX(Tilgung!$Q$4:$Q$9603,($N$6-1)*480+191))</f>
      </c>
      <c r="L205" s="30">
        <f>IF(INDEX(TilgAktiv,($N$6-1)*480+191)=0,"",INDEX(Tilgung!$R$4:$R$9603,($N$6-1)*480+191))</f>
      </c>
    </row>
    <row r="206">
      <c r="A206"/>
      <c r="B206" s="36">
        <f>IF(INDEX(TilgAktiv,($N$6-1)*480+192)=0,"",192)</f>
      </c>
      <c r="C206" s="41">
        <f>IF(INDEX(TilgAktiv,($N$6-1)*480+192)=0,"",INDEX(TilgDatum,($N$6-1)*480+192))</f>
      </c>
      <c r="D206" s="31">
        <f>IF(INDEX(TilgAktiv,($N$6-1)*480+192)=0,"",INDEX(Tilgung!$H$4:$H$9603,($N$6-1)*480+192))</f>
      </c>
      <c r="E206" s="30">
        <f>IF(INDEX(TilgAktiv,($N$6-1)*480+192)=0,"",INDEX(Tilgung!$J$4:$J$9603,($N$6-1)*480+192))</f>
      </c>
      <c r="F206" s="30">
        <f>IF(INDEX(TilgAktiv,($N$6-1)*480+192)=0,"",IF(INDEX(TilgTilgung,($N$6-1)*480+192)=0,INDEX(TilgZins,($N$6-1)*480+192),INDEX(TilgZins,($N$6-1)*480+192)+INDEX(TilgTilgung,($N$6-1)*480+192))+INDEX(TilgErsatz,($N$6-1)*480+192))</f>
      </c>
      <c r="G206" s="30">
        <f>IF(INDEX(TilgAktiv,($N$6-1)*480+192)=0,"",INDEX(TilgZins,($N$6-1)*480+192))</f>
      </c>
      <c r="H206" s="30">
        <f>IF(INDEX(TilgAktiv,($N$6-1)*480+192)=0,"",INDEX(TilgTilgung,($N$6-1)*480+192))</f>
      </c>
      <c r="I206" s="30">
        <f>IF(INDEX(TilgAktiv,($N$6-1)*480+192)=0,"",INDEX(TilgSonder,($N$6-1)*480+192))</f>
      </c>
      <c r="J206" s="30">
        <f>IF(INDEX(TilgAktiv,($N$6-1)*480+192)=0,"",INDEX(TilgErsatz,($N$6-1)*480+192))</f>
      </c>
      <c r="K206" s="30">
        <f>IF(INDEX(TilgAktiv,($N$6-1)*480+192)=0,"",INDEX(Tilgung!$Q$4:$Q$9603,($N$6-1)*480+192))</f>
      </c>
      <c r="L206" s="30">
        <f>IF(INDEX(TilgAktiv,($N$6-1)*480+192)=0,"",INDEX(Tilgung!$R$4:$R$9603,($N$6-1)*480+192))</f>
      </c>
    </row>
    <row r="207">
      <c r="A207"/>
      <c r="B207" s="36">
        <f>IF(INDEX(TilgAktiv,($N$6-1)*480+193)=0,"",193)</f>
      </c>
      <c r="C207" s="41">
        <f>IF(INDEX(TilgAktiv,($N$6-1)*480+193)=0,"",INDEX(TilgDatum,($N$6-1)*480+193))</f>
      </c>
      <c r="D207" s="31">
        <f>IF(INDEX(TilgAktiv,($N$6-1)*480+193)=0,"",INDEX(Tilgung!$H$4:$H$9603,($N$6-1)*480+193))</f>
      </c>
      <c r="E207" s="30">
        <f>IF(INDEX(TilgAktiv,($N$6-1)*480+193)=0,"",INDEX(Tilgung!$J$4:$J$9603,($N$6-1)*480+193))</f>
      </c>
      <c r="F207" s="30">
        <f>IF(INDEX(TilgAktiv,($N$6-1)*480+193)=0,"",IF(INDEX(TilgTilgung,($N$6-1)*480+193)=0,INDEX(TilgZins,($N$6-1)*480+193),INDEX(TilgZins,($N$6-1)*480+193)+INDEX(TilgTilgung,($N$6-1)*480+193))+INDEX(TilgErsatz,($N$6-1)*480+193))</f>
      </c>
      <c r="G207" s="30">
        <f>IF(INDEX(TilgAktiv,($N$6-1)*480+193)=0,"",INDEX(TilgZins,($N$6-1)*480+193))</f>
      </c>
      <c r="H207" s="30">
        <f>IF(INDEX(TilgAktiv,($N$6-1)*480+193)=0,"",INDEX(TilgTilgung,($N$6-1)*480+193))</f>
      </c>
      <c r="I207" s="30">
        <f>IF(INDEX(TilgAktiv,($N$6-1)*480+193)=0,"",INDEX(TilgSonder,($N$6-1)*480+193))</f>
      </c>
      <c r="J207" s="30">
        <f>IF(INDEX(TilgAktiv,($N$6-1)*480+193)=0,"",INDEX(TilgErsatz,($N$6-1)*480+193))</f>
      </c>
      <c r="K207" s="30">
        <f>IF(INDEX(TilgAktiv,($N$6-1)*480+193)=0,"",INDEX(Tilgung!$Q$4:$Q$9603,($N$6-1)*480+193))</f>
      </c>
      <c r="L207" s="30">
        <f>IF(INDEX(TilgAktiv,($N$6-1)*480+193)=0,"",INDEX(Tilgung!$R$4:$R$9603,($N$6-1)*480+193))</f>
      </c>
    </row>
    <row r="208">
      <c r="A208"/>
      <c r="B208" s="36">
        <f>IF(INDEX(TilgAktiv,($N$6-1)*480+194)=0,"",194)</f>
      </c>
      <c r="C208" s="41">
        <f>IF(INDEX(TilgAktiv,($N$6-1)*480+194)=0,"",INDEX(TilgDatum,($N$6-1)*480+194))</f>
      </c>
      <c r="D208" s="31">
        <f>IF(INDEX(TilgAktiv,($N$6-1)*480+194)=0,"",INDEX(Tilgung!$H$4:$H$9603,($N$6-1)*480+194))</f>
      </c>
      <c r="E208" s="30">
        <f>IF(INDEX(TilgAktiv,($N$6-1)*480+194)=0,"",INDEX(Tilgung!$J$4:$J$9603,($N$6-1)*480+194))</f>
      </c>
      <c r="F208" s="30">
        <f>IF(INDEX(TilgAktiv,($N$6-1)*480+194)=0,"",IF(INDEX(TilgTilgung,($N$6-1)*480+194)=0,INDEX(TilgZins,($N$6-1)*480+194),INDEX(TilgZins,($N$6-1)*480+194)+INDEX(TilgTilgung,($N$6-1)*480+194))+INDEX(TilgErsatz,($N$6-1)*480+194))</f>
      </c>
      <c r="G208" s="30">
        <f>IF(INDEX(TilgAktiv,($N$6-1)*480+194)=0,"",INDEX(TilgZins,($N$6-1)*480+194))</f>
      </c>
      <c r="H208" s="30">
        <f>IF(INDEX(TilgAktiv,($N$6-1)*480+194)=0,"",INDEX(TilgTilgung,($N$6-1)*480+194))</f>
      </c>
      <c r="I208" s="30">
        <f>IF(INDEX(TilgAktiv,($N$6-1)*480+194)=0,"",INDEX(TilgSonder,($N$6-1)*480+194))</f>
      </c>
      <c r="J208" s="30">
        <f>IF(INDEX(TilgAktiv,($N$6-1)*480+194)=0,"",INDEX(TilgErsatz,($N$6-1)*480+194))</f>
      </c>
      <c r="K208" s="30">
        <f>IF(INDEX(TilgAktiv,($N$6-1)*480+194)=0,"",INDEX(Tilgung!$Q$4:$Q$9603,($N$6-1)*480+194))</f>
      </c>
      <c r="L208" s="30">
        <f>IF(INDEX(TilgAktiv,($N$6-1)*480+194)=0,"",INDEX(Tilgung!$R$4:$R$9603,($N$6-1)*480+194))</f>
      </c>
    </row>
    <row r="209">
      <c r="A209"/>
      <c r="B209" s="36">
        <f>IF(INDEX(TilgAktiv,($N$6-1)*480+195)=0,"",195)</f>
      </c>
      <c r="C209" s="41">
        <f>IF(INDEX(TilgAktiv,($N$6-1)*480+195)=0,"",INDEX(TilgDatum,($N$6-1)*480+195))</f>
      </c>
      <c r="D209" s="31">
        <f>IF(INDEX(TilgAktiv,($N$6-1)*480+195)=0,"",INDEX(Tilgung!$H$4:$H$9603,($N$6-1)*480+195))</f>
      </c>
      <c r="E209" s="30">
        <f>IF(INDEX(TilgAktiv,($N$6-1)*480+195)=0,"",INDEX(Tilgung!$J$4:$J$9603,($N$6-1)*480+195))</f>
      </c>
      <c r="F209" s="30">
        <f>IF(INDEX(TilgAktiv,($N$6-1)*480+195)=0,"",IF(INDEX(TilgTilgung,($N$6-1)*480+195)=0,INDEX(TilgZins,($N$6-1)*480+195),INDEX(TilgZins,($N$6-1)*480+195)+INDEX(TilgTilgung,($N$6-1)*480+195))+INDEX(TilgErsatz,($N$6-1)*480+195))</f>
      </c>
      <c r="G209" s="30">
        <f>IF(INDEX(TilgAktiv,($N$6-1)*480+195)=0,"",INDEX(TilgZins,($N$6-1)*480+195))</f>
      </c>
      <c r="H209" s="30">
        <f>IF(INDEX(TilgAktiv,($N$6-1)*480+195)=0,"",INDEX(TilgTilgung,($N$6-1)*480+195))</f>
      </c>
      <c r="I209" s="30">
        <f>IF(INDEX(TilgAktiv,($N$6-1)*480+195)=0,"",INDEX(TilgSonder,($N$6-1)*480+195))</f>
      </c>
      <c r="J209" s="30">
        <f>IF(INDEX(TilgAktiv,($N$6-1)*480+195)=0,"",INDEX(TilgErsatz,($N$6-1)*480+195))</f>
      </c>
      <c r="K209" s="30">
        <f>IF(INDEX(TilgAktiv,($N$6-1)*480+195)=0,"",INDEX(Tilgung!$Q$4:$Q$9603,($N$6-1)*480+195))</f>
      </c>
      <c r="L209" s="30">
        <f>IF(INDEX(TilgAktiv,($N$6-1)*480+195)=0,"",INDEX(Tilgung!$R$4:$R$9603,($N$6-1)*480+195))</f>
      </c>
    </row>
    <row r="210">
      <c r="A210"/>
      <c r="B210" s="36">
        <f>IF(INDEX(TilgAktiv,($N$6-1)*480+196)=0,"",196)</f>
      </c>
      <c r="C210" s="41">
        <f>IF(INDEX(TilgAktiv,($N$6-1)*480+196)=0,"",INDEX(TilgDatum,($N$6-1)*480+196))</f>
      </c>
      <c r="D210" s="31">
        <f>IF(INDEX(TilgAktiv,($N$6-1)*480+196)=0,"",INDEX(Tilgung!$H$4:$H$9603,($N$6-1)*480+196))</f>
      </c>
      <c r="E210" s="30">
        <f>IF(INDEX(TilgAktiv,($N$6-1)*480+196)=0,"",INDEX(Tilgung!$J$4:$J$9603,($N$6-1)*480+196))</f>
      </c>
      <c r="F210" s="30">
        <f>IF(INDEX(TilgAktiv,($N$6-1)*480+196)=0,"",IF(INDEX(TilgTilgung,($N$6-1)*480+196)=0,INDEX(TilgZins,($N$6-1)*480+196),INDEX(TilgZins,($N$6-1)*480+196)+INDEX(TilgTilgung,($N$6-1)*480+196))+INDEX(TilgErsatz,($N$6-1)*480+196))</f>
      </c>
      <c r="G210" s="30">
        <f>IF(INDEX(TilgAktiv,($N$6-1)*480+196)=0,"",INDEX(TilgZins,($N$6-1)*480+196))</f>
      </c>
      <c r="H210" s="30">
        <f>IF(INDEX(TilgAktiv,($N$6-1)*480+196)=0,"",INDEX(TilgTilgung,($N$6-1)*480+196))</f>
      </c>
      <c r="I210" s="30">
        <f>IF(INDEX(TilgAktiv,($N$6-1)*480+196)=0,"",INDEX(TilgSonder,($N$6-1)*480+196))</f>
      </c>
      <c r="J210" s="30">
        <f>IF(INDEX(TilgAktiv,($N$6-1)*480+196)=0,"",INDEX(TilgErsatz,($N$6-1)*480+196))</f>
      </c>
      <c r="K210" s="30">
        <f>IF(INDEX(TilgAktiv,($N$6-1)*480+196)=0,"",INDEX(Tilgung!$Q$4:$Q$9603,($N$6-1)*480+196))</f>
      </c>
      <c r="L210" s="30">
        <f>IF(INDEX(TilgAktiv,($N$6-1)*480+196)=0,"",INDEX(Tilgung!$R$4:$R$9603,($N$6-1)*480+196))</f>
      </c>
    </row>
    <row r="211">
      <c r="A211"/>
      <c r="B211" s="36">
        <f>IF(INDEX(TilgAktiv,($N$6-1)*480+197)=0,"",197)</f>
      </c>
      <c r="C211" s="41">
        <f>IF(INDEX(TilgAktiv,($N$6-1)*480+197)=0,"",INDEX(TilgDatum,($N$6-1)*480+197))</f>
      </c>
      <c r="D211" s="31">
        <f>IF(INDEX(TilgAktiv,($N$6-1)*480+197)=0,"",INDEX(Tilgung!$H$4:$H$9603,($N$6-1)*480+197))</f>
      </c>
      <c r="E211" s="30">
        <f>IF(INDEX(TilgAktiv,($N$6-1)*480+197)=0,"",INDEX(Tilgung!$J$4:$J$9603,($N$6-1)*480+197))</f>
      </c>
      <c r="F211" s="30">
        <f>IF(INDEX(TilgAktiv,($N$6-1)*480+197)=0,"",IF(INDEX(TilgTilgung,($N$6-1)*480+197)=0,INDEX(TilgZins,($N$6-1)*480+197),INDEX(TilgZins,($N$6-1)*480+197)+INDEX(TilgTilgung,($N$6-1)*480+197))+INDEX(TilgErsatz,($N$6-1)*480+197))</f>
      </c>
      <c r="G211" s="30">
        <f>IF(INDEX(TilgAktiv,($N$6-1)*480+197)=0,"",INDEX(TilgZins,($N$6-1)*480+197))</f>
      </c>
      <c r="H211" s="30">
        <f>IF(INDEX(TilgAktiv,($N$6-1)*480+197)=0,"",INDEX(TilgTilgung,($N$6-1)*480+197))</f>
      </c>
      <c r="I211" s="30">
        <f>IF(INDEX(TilgAktiv,($N$6-1)*480+197)=0,"",INDEX(TilgSonder,($N$6-1)*480+197))</f>
      </c>
      <c r="J211" s="30">
        <f>IF(INDEX(TilgAktiv,($N$6-1)*480+197)=0,"",INDEX(TilgErsatz,($N$6-1)*480+197))</f>
      </c>
      <c r="K211" s="30">
        <f>IF(INDEX(TilgAktiv,($N$6-1)*480+197)=0,"",INDEX(Tilgung!$Q$4:$Q$9603,($N$6-1)*480+197))</f>
      </c>
      <c r="L211" s="30">
        <f>IF(INDEX(TilgAktiv,($N$6-1)*480+197)=0,"",INDEX(Tilgung!$R$4:$R$9603,($N$6-1)*480+197))</f>
      </c>
    </row>
    <row r="212">
      <c r="A212"/>
      <c r="B212" s="36">
        <f>IF(INDEX(TilgAktiv,($N$6-1)*480+198)=0,"",198)</f>
      </c>
      <c r="C212" s="41">
        <f>IF(INDEX(TilgAktiv,($N$6-1)*480+198)=0,"",INDEX(TilgDatum,($N$6-1)*480+198))</f>
      </c>
      <c r="D212" s="31">
        <f>IF(INDEX(TilgAktiv,($N$6-1)*480+198)=0,"",INDEX(Tilgung!$H$4:$H$9603,($N$6-1)*480+198))</f>
      </c>
      <c r="E212" s="30">
        <f>IF(INDEX(TilgAktiv,($N$6-1)*480+198)=0,"",INDEX(Tilgung!$J$4:$J$9603,($N$6-1)*480+198))</f>
      </c>
      <c r="F212" s="30">
        <f>IF(INDEX(TilgAktiv,($N$6-1)*480+198)=0,"",IF(INDEX(TilgTilgung,($N$6-1)*480+198)=0,INDEX(TilgZins,($N$6-1)*480+198),INDEX(TilgZins,($N$6-1)*480+198)+INDEX(TilgTilgung,($N$6-1)*480+198))+INDEX(TilgErsatz,($N$6-1)*480+198))</f>
      </c>
      <c r="G212" s="30">
        <f>IF(INDEX(TilgAktiv,($N$6-1)*480+198)=0,"",INDEX(TilgZins,($N$6-1)*480+198))</f>
      </c>
      <c r="H212" s="30">
        <f>IF(INDEX(TilgAktiv,($N$6-1)*480+198)=0,"",INDEX(TilgTilgung,($N$6-1)*480+198))</f>
      </c>
      <c r="I212" s="30">
        <f>IF(INDEX(TilgAktiv,($N$6-1)*480+198)=0,"",INDEX(TilgSonder,($N$6-1)*480+198))</f>
      </c>
      <c r="J212" s="30">
        <f>IF(INDEX(TilgAktiv,($N$6-1)*480+198)=0,"",INDEX(TilgErsatz,($N$6-1)*480+198))</f>
      </c>
      <c r="K212" s="30">
        <f>IF(INDEX(TilgAktiv,($N$6-1)*480+198)=0,"",INDEX(Tilgung!$Q$4:$Q$9603,($N$6-1)*480+198))</f>
      </c>
      <c r="L212" s="30">
        <f>IF(INDEX(TilgAktiv,($N$6-1)*480+198)=0,"",INDEX(Tilgung!$R$4:$R$9603,($N$6-1)*480+198))</f>
      </c>
    </row>
    <row r="213">
      <c r="A213"/>
      <c r="B213" s="36">
        <f>IF(INDEX(TilgAktiv,($N$6-1)*480+199)=0,"",199)</f>
      </c>
      <c r="C213" s="41">
        <f>IF(INDEX(TilgAktiv,($N$6-1)*480+199)=0,"",INDEX(TilgDatum,($N$6-1)*480+199))</f>
      </c>
      <c r="D213" s="31">
        <f>IF(INDEX(TilgAktiv,($N$6-1)*480+199)=0,"",INDEX(Tilgung!$H$4:$H$9603,($N$6-1)*480+199))</f>
      </c>
      <c r="E213" s="30">
        <f>IF(INDEX(TilgAktiv,($N$6-1)*480+199)=0,"",INDEX(Tilgung!$J$4:$J$9603,($N$6-1)*480+199))</f>
      </c>
      <c r="F213" s="30">
        <f>IF(INDEX(TilgAktiv,($N$6-1)*480+199)=0,"",IF(INDEX(TilgTilgung,($N$6-1)*480+199)=0,INDEX(TilgZins,($N$6-1)*480+199),INDEX(TilgZins,($N$6-1)*480+199)+INDEX(TilgTilgung,($N$6-1)*480+199))+INDEX(TilgErsatz,($N$6-1)*480+199))</f>
      </c>
      <c r="G213" s="30">
        <f>IF(INDEX(TilgAktiv,($N$6-1)*480+199)=0,"",INDEX(TilgZins,($N$6-1)*480+199))</f>
      </c>
      <c r="H213" s="30">
        <f>IF(INDEX(TilgAktiv,($N$6-1)*480+199)=0,"",INDEX(TilgTilgung,($N$6-1)*480+199))</f>
      </c>
      <c r="I213" s="30">
        <f>IF(INDEX(TilgAktiv,($N$6-1)*480+199)=0,"",INDEX(TilgSonder,($N$6-1)*480+199))</f>
      </c>
      <c r="J213" s="30">
        <f>IF(INDEX(TilgAktiv,($N$6-1)*480+199)=0,"",INDEX(TilgErsatz,($N$6-1)*480+199))</f>
      </c>
      <c r="K213" s="30">
        <f>IF(INDEX(TilgAktiv,($N$6-1)*480+199)=0,"",INDEX(Tilgung!$Q$4:$Q$9603,($N$6-1)*480+199))</f>
      </c>
      <c r="L213" s="30">
        <f>IF(INDEX(TilgAktiv,($N$6-1)*480+199)=0,"",INDEX(Tilgung!$R$4:$R$9603,($N$6-1)*480+199))</f>
      </c>
    </row>
    <row r="214">
      <c r="A214"/>
      <c r="B214" s="36">
        <f>IF(INDEX(TilgAktiv,($N$6-1)*480+200)=0,"",200)</f>
      </c>
      <c r="C214" s="41">
        <f>IF(INDEX(TilgAktiv,($N$6-1)*480+200)=0,"",INDEX(TilgDatum,($N$6-1)*480+200))</f>
      </c>
      <c r="D214" s="31">
        <f>IF(INDEX(TilgAktiv,($N$6-1)*480+200)=0,"",INDEX(Tilgung!$H$4:$H$9603,($N$6-1)*480+200))</f>
      </c>
      <c r="E214" s="30">
        <f>IF(INDEX(TilgAktiv,($N$6-1)*480+200)=0,"",INDEX(Tilgung!$J$4:$J$9603,($N$6-1)*480+200))</f>
      </c>
      <c r="F214" s="30">
        <f>IF(INDEX(TilgAktiv,($N$6-1)*480+200)=0,"",IF(INDEX(TilgTilgung,($N$6-1)*480+200)=0,INDEX(TilgZins,($N$6-1)*480+200),INDEX(TilgZins,($N$6-1)*480+200)+INDEX(TilgTilgung,($N$6-1)*480+200))+INDEX(TilgErsatz,($N$6-1)*480+200))</f>
      </c>
      <c r="G214" s="30">
        <f>IF(INDEX(TilgAktiv,($N$6-1)*480+200)=0,"",INDEX(TilgZins,($N$6-1)*480+200))</f>
      </c>
      <c r="H214" s="30">
        <f>IF(INDEX(TilgAktiv,($N$6-1)*480+200)=0,"",INDEX(TilgTilgung,($N$6-1)*480+200))</f>
      </c>
      <c r="I214" s="30">
        <f>IF(INDEX(TilgAktiv,($N$6-1)*480+200)=0,"",INDEX(TilgSonder,($N$6-1)*480+200))</f>
      </c>
      <c r="J214" s="30">
        <f>IF(INDEX(TilgAktiv,($N$6-1)*480+200)=0,"",INDEX(TilgErsatz,($N$6-1)*480+200))</f>
      </c>
      <c r="K214" s="30">
        <f>IF(INDEX(TilgAktiv,($N$6-1)*480+200)=0,"",INDEX(Tilgung!$Q$4:$Q$9603,($N$6-1)*480+200))</f>
      </c>
      <c r="L214" s="30">
        <f>IF(INDEX(TilgAktiv,($N$6-1)*480+200)=0,"",INDEX(Tilgung!$R$4:$R$9603,($N$6-1)*480+200))</f>
      </c>
    </row>
    <row r="215">
      <c r="A215"/>
      <c r="B215" s="36">
        <f>IF(INDEX(TilgAktiv,($N$6-1)*480+201)=0,"",201)</f>
      </c>
      <c r="C215" s="41">
        <f>IF(INDEX(TilgAktiv,($N$6-1)*480+201)=0,"",INDEX(TilgDatum,($N$6-1)*480+201))</f>
      </c>
      <c r="D215" s="31">
        <f>IF(INDEX(TilgAktiv,($N$6-1)*480+201)=0,"",INDEX(Tilgung!$H$4:$H$9603,($N$6-1)*480+201))</f>
      </c>
      <c r="E215" s="30">
        <f>IF(INDEX(TilgAktiv,($N$6-1)*480+201)=0,"",INDEX(Tilgung!$J$4:$J$9603,($N$6-1)*480+201))</f>
      </c>
      <c r="F215" s="30">
        <f>IF(INDEX(TilgAktiv,($N$6-1)*480+201)=0,"",IF(INDEX(TilgTilgung,($N$6-1)*480+201)=0,INDEX(TilgZins,($N$6-1)*480+201),INDEX(TilgZins,($N$6-1)*480+201)+INDEX(TilgTilgung,($N$6-1)*480+201))+INDEX(TilgErsatz,($N$6-1)*480+201))</f>
      </c>
      <c r="G215" s="30">
        <f>IF(INDEX(TilgAktiv,($N$6-1)*480+201)=0,"",INDEX(TilgZins,($N$6-1)*480+201))</f>
      </c>
      <c r="H215" s="30">
        <f>IF(INDEX(TilgAktiv,($N$6-1)*480+201)=0,"",INDEX(TilgTilgung,($N$6-1)*480+201))</f>
      </c>
      <c r="I215" s="30">
        <f>IF(INDEX(TilgAktiv,($N$6-1)*480+201)=0,"",INDEX(TilgSonder,($N$6-1)*480+201))</f>
      </c>
      <c r="J215" s="30">
        <f>IF(INDEX(TilgAktiv,($N$6-1)*480+201)=0,"",INDEX(TilgErsatz,($N$6-1)*480+201))</f>
      </c>
      <c r="K215" s="30">
        <f>IF(INDEX(TilgAktiv,($N$6-1)*480+201)=0,"",INDEX(Tilgung!$Q$4:$Q$9603,($N$6-1)*480+201))</f>
      </c>
      <c r="L215" s="30">
        <f>IF(INDEX(TilgAktiv,($N$6-1)*480+201)=0,"",INDEX(Tilgung!$R$4:$R$9603,($N$6-1)*480+201))</f>
      </c>
    </row>
    <row r="216">
      <c r="A216"/>
      <c r="B216" s="36">
        <f>IF(INDEX(TilgAktiv,($N$6-1)*480+202)=0,"",202)</f>
      </c>
      <c r="C216" s="41">
        <f>IF(INDEX(TilgAktiv,($N$6-1)*480+202)=0,"",INDEX(TilgDatum,($N$6-1)*480+202))</f>
      </c>
      <c r="D216" s="31">
        <f>IF(INDEX(TilgAktiv,($N$6-1)*480+202)=0,"",INDEX(Tilgung!$H$4:$H$9603,($N$6-1)*480+202))</f>
      </c>
      <c r="E216" s="30">
        <f>IF(INDEX(TilgAktiv,($N$6-1)*480+202)=0,"",INDEX(Tilgung!$J$4:$J$9603,($N$6-1)*480+202))</f>
      </c>
      <c r="F216" s="30">
        <f>IF(INDEX(TilgAktiv,($N$6-1)*480+202)=0,"",IF(INDEX(TilgTilgung,($N$6-1)*480+202)=0,INDEX(TilgZins,($N$6-1)*480+202),INDEX(TilgZins,($N$6-1)*480+202)+INDEX(TilgTilgung,($N$6-1)*480+202))+INDEX(TilgErsatz,($N$6-1)*480+202))</f>
      </c>
      <c r="G216" s="30">
        <f>IF(INDEX(TilgAktiv,($N$6-1)*480+202)=0,"",INDEX(TilgZins,($N$6-1)*480+202))</f>
      </c>
      <c r="H216" s="30">
        <f>IF(INDEX(TilgAktiv,($N$6-1)*480+202)=0,"",INDEX(TilgTilgung,($N$6-1)*480+202))</f>
      </c>
      <c r="I216" s="30">
        <f>IF(INDEX(TilgAktiv,($N$6-1)*480+202)=0,"",INDEX(TilgSonder,($N$6-1)*480+202))</f>
      </c>
      <c r="J216" s="30">
        <f>IF(INDEX(TilgAktiv,($N$6-1)*480+202)=0,"",INDEX(TilgErsatz,($N$6-1)*480+202))</f>
      </c>
      <c r="K216" s="30">
        <f>IF(INDEX(TilgAktiv,($N$6-1)*480+202)=0,"",INDEX(Tilgung!$Q$4:$Q$9603,($N$6-1)*480+202))</f>
      </c>
      <c r="L216" s="30">
        <f>IF(INDEX(TilgAktiv,($N$6-1)*480+202)=0,"",INDEX(Tilgung!$R$4:$R$9603,($N$6-1)*480+202))</f>
      </c>
    </row>
    <row r="217">
      <c r="A217"/>
      <c r="B217" s="36">
        <f>IF(INDEX(TilgAktiv,($N$6-1)*480+203)=0,"",203)</f>
      </c>
      <c r="C217" s="41">
        <f>IF(INDEX(TilgAktiv,($N$6-1)*480+203)=0,"",INDEX(TilgDatum,($N$6-1)*480+203))</f>
      </c>
      <c r="D217" s="31">
        <f>IF(INDEX(TilgAktiv,($N$6-1)*480+203)=0,"",INDEX(Tilgung!$H$4:$H$9603,($N$6-1)*480+203))</f>
      </c>
      <c r="E217" s="30">
        <f>IF(INDEX(TilgAktiv,($N$6-1)*480+203)=0,"",INDEX(Tilgung!$J$4:$J$9603,($N$6-1)*480+203))</f>
      </c>
      <c r="F217" s="30">
        <f>IF(INDEX(TilgAktiv,($N$6-1)*480+203)=0,"",IF(INDEX(TilgTilgung,($N$6-1)*480+203)=0,INDEX(TilgZins,($N$6-1)*480+203),INDEX(TilgZins,($N$6-1)*480+203)+INDEX(TilgTilgung,($N$6-1)*480+203))+INDEX(TilgErsatz,($N$6-1)*480+203))</f>
      </c>
      <c r="G217" s="30">
        <f>IF(INDEX(TilgAktiv,($N$6-1)*480+203)=0,"",INDEX(TilgZins,($N$6-1)*480+203))</f>
      </c>
      <c r="H217" s="30">
        <f>IF(INDEX(TilgAktiv,($N$6-1)*480+203)=0,"",INDEX(TilgTilgung,($N$6-1)*480+203))</f>
      </c>
      <c r="I217" s="30">
        <f>IF(INDEX(TilgAktiv,($N$6-1)*480+203)=0,"",INDEX(TilgSonder,($N$6-1)*480+203))</f>
      </c>
      <c r="J217" s="30">
        <f>IF(INDEX(TilgAktiv,($N$6-1)*480+203)=0,"",INDEX(TilgErsatz,($N$6-1)*480+203))</f>
      </c>
      <c r="K217" s="30">
        <f>IF(INDEX(TilgAktiv,($N$6-1)*480+203)=0,"",INDEX(Tilgung!$Q$4:$Q$9603,($N$6-1)*480+203))</f>
      </c>
      <c r="L217" s="30">
        <f>IF(INDEX(TilgAktiv,($N$6-1)*480+203)=0,"",INDEX(Tilgung!$R$4:$R$9603,($N$6-1)*480+203))</f>
      </c>
    </row>
    <row r="218">
      <c r="A218"/>
      <c r="B218" s="36">
        <f>IF(INDEX(TilgAktiv,($N$6-1)*480+204)=0,"",204)</f>
      </c>
      <c r="C218" s="41">
        <f>IF(INDEX(TilgAktiv,($N$6-1)*480+204)=0,"",INDEX(TilgDatum,($N$6-1)*480+204))</f>
      </c>
      <c r="D218" s="31">
        <f>IF(INDEX(TilgAktiv,($N$6-1)*480+204)=0,"",INDEX(Tilgung!$H$4:$H$9603,($N$6-1)*480+204))</f>
      </c>
      <c r="E218" s="30">
        <f>IF(INDEX(TilgAktiv,($N$6-1)*480+204)=0,"",INDEX(Tilgung!$J$4:$J$9603,($N$6-1)*480+204))</f>
      </c>
      <c r="F218" s="30">
        <f>IF(INDEX(TilgAktiv,($N$6-1)*480+204)=0,"",IF(INDEX(TilgTilgung,($N$6-1)*480+204)=0,INDEX(TilgZins,($N$6-1)*480+204),INDEX(TilgZins,($N$6-1)*480+204)+INDEX(TilgTilgung,($N$6-1)*480+204))+INDEX(TilgErsatz,($N$6-1)*480+204))</f>
      </c>
      <c r="G218" s="30">
        <f>IF(INDEX(TilgAktiv,($N$6-1)*480+204)=0,"",INDEX(TilgZins,($N$6-1)*480+204))</f>
      </c>
      <c r="H218" s="30">
        <f>IF(INDEX(TilgAktiv,($N$6-1)*480+204)=0,"",INDEX(TilgTilgung,($N$6-1)*480+204))</f>
      </c>
      <c r="I218" s="30">
        <f>IF(INDEX(TilgAktiv,($N$6-1)*480+204)=0,"",INDEX(TilgSonder,($N$6-1)*480+204))</f>
      </c>
      <c r="J218" s="30">
        <f>IF(INDEX(TilgAktiv,($N$6-1)*480+204)=0,"",INDEX(TilgErsatz,($N$6-1)*480+204))</f>
      </c>
      <c r="K218" s="30">
        <f>IF(INDEX(TilgAktiv,($N$6-1)*480+204)=0,"",INDEX(Tilgung!$Q$4:$Q$9603,($N$6-1)*480+204))</f>
      </c>
      <c r="L218" s="30">
        <f>IF(INDEX(TilgAktiv,($N$6-1)*480+204)=0,"",INDEX(Tilgung!$R$4:$R$9603,($N$6-1)*480+204))</f>
      </c>
    </row>
    <row r="219">
      <c r="A219"/>
      <c r="B219" s="36">
        <f>IF(INDEX(TilgAktiv,($N$6-1)*480+205)=0,"",205)</f>
      </c>
      <c r="C219" s="41">
        <f>IF(INDEX(TilgAktiv,($N$6-1)*480+205)=0,"",INDEX(TilgDatum,($N$6-1)*480+205))</f>
      </c>
      <c r="D219" s="31">
        <f>IF(INDEX(TilgAktiv,($N$6-1)*480+205)=0,"",INDEX(Tilgung!$H$4:$H$9603,($N$6-1)*480+205))</f>
      </c>
      <c r="E219" s="30">
        <f>IF(INDEX(TilgAktiv,($N$6-1)*480+205)=0,"",INDEX(Tilgung!$J$4:$J$9603,($N$6-1)*480+205))</f>
      </c>
      <c r="F219" s="30">
        <f>IF(INDEX(TilgAktiv,($N$6-1)*480+205)=0,"",IF(INDEX(TilgTilgung,($N$6-1)*480+205)=0,INDEX(TilgZins,($N$6-1)*480+205),INDEX(TilgZins,($N$6-1)*480+205)+INDEX(TilgTilgung,($N$6-1)*480+205))+INDEX(TilgErsatz,($N$6-1)*480+205))</f>
      </c>
      <c r="G219" s="30">
        <f>IF(INDEX(TilgAktiv,($N$6-1)*480+205)=0,"",INDEX(TilgZins,($N$6-1)*480+205))</f>
      </c>
      <c r="H219" s="30">
        <f>IF(INDEX(TilgAktiv,($N$6-1)*480+205)=0,"",INDEX(TilgTilgung,($N$6-1)*480+205))</f>
      </c>
      <c r="I219" s="30">
        <f>IF(INDEX(TilgAktiv,($N$6-1)*480+205)=0,"",INDEX(TilgSonder,($N$6-1)*480+205))</f>
      </c>
      <c r="J219" s="30">
        <f>IF(INDEX(TilgAktiv,($N$6-1)*480+205)=0,"",INDEX(TilgErsatz,($N$6-1)*480+205))</f>
      </c>
      <c r="K219" s="30">
        <f>IF(INDEX(TilgAktiv,($N$6-1)*480+205)=0,"",INDEX(Tilgung!$Q$4:$Q$9603,($N$6-1)*480+205))</f>
      </c>
      <c r="L219" s="30">
        <f>IF(INDEX(TilgAktiv,($N$6-1)*480+205)=0,"",INDEX(Tilgung!$R$4:$R$9603,($N$6-1)*480+205))</f>
      </c>
    </row>
    <row r="220">
      <c r="A220"/>
      <c r="B220" s="36">
        <f>IF(INDEX(TilgAktiv,($N$6-1)*480+206)=0,"",206)</f>
      </c>
      <c r="C220" s="41">
        <f>IF(INDEX(TilgAktiv,($N$6-1)*480+206)=0,"",INDEX(TilgDatum,($N$6-1)*480+206))</f>
      </c>
      <c r="D220" s="31">
        <f>IF(INDEX(TilgAktiv,($N$6-1)*480+206)=0,"",INDEX(Tilgung!$H$4:$H$9603,($N$6-1)*480+206))</f>
      </c>
      <c r="E220" s="30">
        <f>IF(INDEX(TilgAktiv,($N$6-1)*480+206)=0,"",INDEX(Tilgung!$J$4:$J$9603,($N$6-1)*480+206))</f>
      </c>
      <c r="F220" s="30">
        <f>IF(INDEX(TilgAktiv,($N$6-1)*480+206)=0,"",IF(INDEX(TilgTilgung,($N$6-1)*480+206)=0,INDEX(TilgZins,($N$6-1)*480+206),INDEX(TilgZins,($N$6-1)*480+206)+INDEX(TilgTilgung,($N$6-1)*480+206))+INDEX(TilgErsatz,($N$6-1)*480+206))</f>
      </c>
      <c r="G220" s="30">
        <f>IF(INDEX(TilgAktiv,($N$6-1)*480+206)=0,"",INDEX(TilgZins,($N$6-1)*480+206))</f>
      </c>
      <c r="H220" s="30">
        <f>IF(INDEX(TilgAktiv,($N$6-1)*480+206)=0,"",INDEX(TilgTilgung,($N$6-1)*480+206))</f>
      </c>
      <c r="I220" s="30">
        <f>IF(INDEX(TilgAktiv,($N$6-1)*480+206)=0,"",INDEX(TilgSonder,($N$6-1)*480+206))</f>
      </c>
      <c r="J220" s="30">
        <f>IF(INDEX(TilgAktiv,($N$6-1)*480+206)=0,"",INDEX(TilgErsatz,($N$6-1)*480+206))</f>
      </c>
      <c r="K220" s="30">
        <f>IF(INDEX(TilgAktiv,($N$6-1)*480+206)=0,"",INDEX(Tilgung!$Q$4:$Q$9603,($N$6-1)*480+206))</f>
      </c>
      <c r="L220" s="30">
        <f>IF(INDEX(TilgAktiv,($N$6-1)*480+206)=0,"",INDEX(Tilgung!$R$4:$R$9603,($N$6-1)*480+206))</f>
      </c>
    </row>
    <row r="221">
      <c r="A221"/>
      <c r="B221" s="36">
        <f>IF(INDEX(TilgAktiv,($N$6-1)*480+207)=0,"",207)</f>
      </c>
      <c r="C221" s="41">
        <f>IF(INDEX(TilgAktiv,($N$6-1)*480+207)=0,"",INDEX(TilgDatum,($N$6-1)*480+207))</f>
      </c>
      <c r="D221" s="31">
        <f>IF(INDEX(TilgAktiv,($N$6-1)*480+207)=0,"",INDEX(Tilgung!$H$4:$H$9603,($N$6-1)*480+207))</f>
      </c>
      <c r="E221" s="30">
        <f>IF(INDEX(TilgAktiv,($N$6-1)*480+207)=0,"",INDEX(Tilgung!$J$4:$J$9603,($N$6-1)*480+207))</f>
      </c>
      <c r="F221" s="30">
        <f>IF(INDEX(TilgAktiv,($N$6-1)*480+207)=0,"",IF(INDEX(TilgTilgung,($N$6-1)*480+207)=0,INDEX(TilgZins,($N$6-1)*480+207),INDEX(TilgZins,($N$6-1)*480+207)+INDEX(TilgTilgung,($N$6-1)*480+207))+INDEX(TilgErsatz,($N$6-1)*480+207))</f>
      </c>
      <c r="G221" s="30">
        <f>IF(INDEX(TilgAktiv,($N$6-1)*480+207)=0,"",INDEX(TilgZins,($N$6-1)*480+207))</f>
      </c>
      <c r="H221" s="30">
        <f>IF(INDEX(TilgAktiv,($N$6-1)*480+207)=0,"",INDEX(TilgTilgung,($N$6-1)*480+207))</f>
      </c>
      <c r="I221" s="30">
        <f>IF(INDEX(TilgAktiv,($N$6-1)*480+207)=0,"",INDEX(TilgSonder,($N$6-1)*480+207))</f>
      </c>
      <c r="J221" s="30">
        <f>IF(INDEX(TilgAktiv,($N$6-1)*480+207)=0,"",INDEX(TilgErsatz,($N$6-1)*480+207))</f>
      </c>
      <c r="K221" s="30">
        <f>IF(INDEX(TilgAktiv,($N$6-1)*480+207)=0,"",INDEX(Tilgung!$Q$4:$Q$9603,($N$6-1)*480+207))</f>
      </c>
      <c r="L221" s="30">
        <f>IF(INDEX(TilgAktiv,($N$6-1)*480+207)=0,"",INDEX(Tilgung!$R$4:$R$9603,($N$6-1)*480+207))</f>
      </c>
    </row>
    <row r="222">
      <c r="A222"/>
      <c r="B222" s="36">
        <f>IF(INDEX(TilgAktiv,($N$6-1)*480+208)=0,"",208)</f>
      </c>
      <c r="C222" s="41">
        <f>IF(INDEX(TilgAktiv,($N$6-1)*480+208)=0,"",INDEX(TilgDatum,($N$6-1)*480+208))</f>
      </c>
      <c r="D222" s="31">
        <f>IF(INDEX(TilgAktiv,($N$6-1)*480+208)=0,"",INDEX(Tilgung!$H$4:$H$9603,($N$6-1)*480+208))</f>
      </c>
      <c r="E222" s="30">
        <f>IF(INDEX(TilgAktiv,($N$6-1)*480+208)=0,"",INDEX(Tilgung!$J$4:$J$9603,($N$6-1)*480+208))</f>
      </c>
      <c r="F222" s="30">
        <f>IF(INDEX(TilgAktiv,($N$6-1)*480+208)=0,"",IF(INDEX(TilgTilgung,($N$6-1)*480+208)=0,INDEX(TilgZins,($N$6-1)*480+208),INDEX(TilgZins,($N$6-1)*480+208)+INDEX(TilgTilgung,($N$6-1)*480+208))+INDEX(TilgErsatz,($N$6-1)*480+208))</f>
      </c>
      <c r="G222" s="30">
        <f>IF(INDEX(TilgAktiv,($N$6-1)*480+208)=0,"",INDEX(TilgZins,($N$6-1)*480+208))</f>
      </c>
      <c r="H222" s="30">
        <f>IF(INDEX(TilgAktiv,($N$6-1)*480+208)=0,"",INDEX(TilgTilgung,($N$6-1)*480+208))</f>
      </c>
      <c r="I222" s="30">
        <f>IF(INDEX(TilgAktiv,($N$6-1)*480+208)=0,"",INDEX(TilgSonder,($N$6-1)*480+208))</f>
      </c>
      <c r="J222" s="30">
        <f>IF(INDEX(TilgAktiv,($N$6-1)*480+208)=0,"",INDEX(TilgErsatz,($N$6-1)*480+208))</f>
      </c>
      <c r="K222" s="30">
        <f>IF(INDEX(TilgAktiv,($N$6-1)*480+208)=0,"",INDEX(Tilgung!$Q$4:$Q$9603,($N$6-1)*480+208))</f>
      </c>
      <c r="L222" s="30">
        <f>IF(INDEX(TilgAktiv,($N$6-1)*480+208)=0,"",INDEX(Tilgung!$R$4:$R$9603,($N$6-1)*480+208))</f>
      </c>
    </row>
    <row r="223">
      <c r="A223"/>
      <c r="B223" s="36">
        <f>IF(INDEX(TilgAktiv,($N$6-1)*480+209)=0,"",209)</f>
      </c>
      <c r="C223" s="41">
        <f>IF(INDEX(TilgAktiv,($N$6-1)*480+209)=0,"",INDEX(TilgDatum,($N$6-1)*480+209))</f>
      </c>
      <c r="D223" s="31">
        <f>IF(INDEX(TilgAktiv,($N$6-1)*480+209)=0,"",INDEX(Tilgung!$H$4:$H$9603,($N$6-1)*480+209))</f>
      </c>
      <c r="E223" s="30">
        <f>IF(INDEX(TilgAktiv,($N$6-1)*480+209)=0,"",INDEX(Tilgung!$J$4:$J$9603,($N$6-1)*480+209))</f>
      </c>
      <c r="F223" s="30">
        <f>IF(INDEX(TilgAktiv,($N$6-1)*480+209)=0,"",IF(INDEX(TilgTilgung,($N$6-1)*480+209)=0,INDEX(TilgZins,($N$6-1)*480+209),INDEX(TilgZins,($N$6-1)*480+209)+INDEX(TilgTilgung,($N$6-1)*480+209))+INDEX(TilgErsatz,($N$6-1)*480+209))</f>
      </c>
      <c r="G223" s="30">
        <f>IF(INDEX(TilgAktiv,($N$6-1)*480+209)=0,"",INDEX(TilgZins,($N$6-1)*480+209))</f>
      </c>
      <c r="H223" s="30">
        <f>IF(INDEX(TilgAktiv,($N$6-1)*480+209)=0,"",INDEX(TilgTilgung,($N$6-1)*480+209))</f>
      </c>
      <c r="I223" s="30">
        <f>IF(INDEX(TilgAktiv,($N$6-1)*480+209)=0,"",INDEX(TilgSonder,($N$6-1)*480+209))</f>
      </c>
      <c r="J223" s="30">
        <f>IF(INDEX(TilgAktiv,($N$6-1)*480+209)=0,"",INDEX(TilgErsatz,($N$6-1)*480+209))</f>
      </c>
      <c r="K223" s="30">
        <f>IF(INDEX(TilgAktiv,($N$6-1)*480+209)=0,"",INDEX(Tilgung!$Q$4:$Q$9603,($N$6-1)*480+209))</f>
      </c>
      <c r="L223" s="30">
        <f>IF(INDEX(TilgAktiv,($N$6-1)*480+209)=0,"",INDEX(Tilgung!$R$4:$R$9603,($N$6-1)*480+209))</f>
      </c>
    </row>
    <row r="224">
      <c r="A224"/>
      <c r="B224" s="36">
        <f>IF(INDEX(TilgAktiv,($N$6-1)*480+210)=0,"",210)</f>
      </c>
      <c r="C224" s="41">
        <f>IF(INDEX(TilgAktiv,($N$6-1)*480+210)=0,"",INDEX(TilgDatum,($N$6-1)*480+210))</f>
      </c>
      <c r="D224" s="31">
        <f>IF(INDEX(TilgAktiv,($N$6-1)*480+210)=0,"",INDEX(Tilgung!$H$4:$H$9603,($N$6-1)*480+210))</f>
      </c>
      <c r="E224" s="30">
        <f>IF(INDEX(TilgAktiv,($N$6-1)*480+210)=0,"",INDEX(Tilgung!$J$4:$J$9603,($N$6-1)*480+210))</f>
      </c>
      <c r="F224" s="30">
        <f>IF(INDEX(TilgAktiv,($N$6-1)*480+210)=0,"",IF(INDEX(TilgTilgung,($N$6-1)*480+210)=0,INDEX(TilgZins,($N$6-1)*480+210),INDEX(TilgZins,($N$6-1)*480+210)+INDEX(TilgTilgung,($N$6-1)*480+210))+INDEX(TilgErsatz,($N$6-1)*480+210))</f>
      </c>
      <c r="G224" s="30">
        <f>IF(INDEX(TilgAktiv,($N$6-1)*480+210)=0,"",INDEX(TilgZins,($N$6-1)*480+210))</f>
      </c>
      <c r="H224" s="30">
        <f>IF(INDEX(TilgAktiv,($N$6-1)*480+210)=0,"",INDEX(TilgTilgung,($N$6-1)*480+210))</f>
      </c>
      <c r="I224" s="30">
        <f>IF(INDEX(TilgAktiv,($N$6-1)*480+210)=0,"",INDEX(TilgSonder,($N$6-1)*480+210))</f>
      </c>
      <c r="J224" s="30">
        <f>IF(INDEX(TilgAktiv,($N$6-1)*480+210)=0,"",INDEX(TilgErsatz,($N$6-1)*480+210))</f>
      </c>
      <c r="K224" s="30">
        <f>IF(INDEX(TilgAktiv,($N$6-1)*480+210)=0,"",INDEX(Tilgung!$Q$4:$Q$9603,($N$6-1)*480+210))</f>
      </c>
      <c r="L224" s="30">
        <f>IF(INDEX(TilgAktiv,($N$6-1)*480+210)=0,"",INDEX(Tilgung!$R$4:$R$9603,($N$6-1)*480+210))</f>
      </c>
    </row>
    <row r="225">
      <c r="A225"/>
      <c r="B225" s="36">
        <f>IF(INDEX(TilgAktiv,($N$6-1)*480+211)=0,"",211)</f>
      </c>
      <c r="C225" s="41">
        <f>IF(INDEX(TilgAktiv,($N$6-1)*480+211)=0,"",INDEX(TilgDatum,($N$6-1)*480+211))</f>
      </c>
      <c r="D225" s="31">
        <f>IF(INDEX(TilgAktiv,($N$6-1)*480+211)=0,"",INDEX(Tilgung!$H$4:$H$9603,($N$6-1)*480+211))</f>
      </c>
      <c r="E225" s="30">
        <f>IF(INDEX(TilgAktiv,($N$6-1)*480+211)=0,"",INDEX(Tilgung!$J$4:$J$9603,($N$6-1)*480+211))</f>
      </c>
      <c r="F225" s="30">
        <f>IF(INDEX(TilgAktiv,($N$6-1)*480+211)=0,"",IF(INDEX(TilgTilgung,($N$6-1)*480+211)=0,INDEX(TilgZins,($N$6-1)*480+211),INDEX(TilgZins,($N$6-1)*480+211)+INDEX(TilgTilgung,($N$6-1)*480+211))+INDEX(TilgErsatz,($N$6-1)*480+211))</f>
      </c>
      <c r="G225" s="30">
        <f>IF(INDEX(TilgAktiv,($N$6-1)*480+211)=0,"",INDEX(TilgZins,($N$6-1)*480+211))</f>
      </c>
      <c r="H225" s="30">
        <f>IF(INDEX(TilgAktiv,($N$6-1)*480+211)=0,"",INDEX(TilgTilgung,($N$6-1)*480+211))</f>
      </c>
      <c r="I225" s="30">
        <f>IF(INDEX(TilgAktiv,($N$6-1)*480+211)=0,"",INDEX(TilgSonder,($N$6-1)*480+211))</f>
      </c>
      <c r="J225" s="30">
        <f>IF(INDEX(TilgAktiv,($N$6-1)*480+211)=0,"",INDEX(TilgErsatz,($N$6-1)*480+211))</f>
      </c>
      <c r="K225" s="30">
        <f>IF(INDEX(TilgAktiv,($N$6-1)*480+211)=0,"",INDEX(Tilgung!$Q$4:$Q$9603,($N$6-1)*480+211))</f>
      </c>
      <c r="L225" s="30">
        <f>IF(INDEX(TilgAktiv,($N$6-1)*480+211)=0,"",INDEX(Tilgung!$R$4:$R$9603,($N$6-1)*480+211))</f>
      </c>
    </row>
    <row r="226">
      <c r="A226"/>
      <c r="B226" s="36">
        <f>IF(INDEX(TilgAktiv,($N$6-1)*480+212)=0,"",212)</f>
      </c>
      <c r="C226" s="41">
        <f>IF(INDEX(TilgAktiv,($N$6-1)*480+212)=0,"",INDEX(TilgDatum,($N$6-1)*480+212))</f>
      </c>
      <c r="D226" s="31">
        <f>IF(INDEX(TilgAktiv,($N$6-1)*480+212)=0,"",INDEX(Tilgung!$H$4:$H$9603,($N$6-1)*480+212))</f>
      </c>
      <c r="E226" s="30">
        <f>IF(INDEX(TilgAktiv,($N$6-1)*480+212)=0,"",INDEX(Tilgung!$J$4:$J$9603,($N$6-1)*480+212))</f>
      </c>
      <c r="F226" s="30">
        <f>IF(INDEX(TilgAktiv,($N$6-1)*480+212)=0,"",IF(INDEX(TilgTilgung,($N$6-1)*480+212)=0,INDEX(TilgZins,($N$6-1)*480+212),INDEX(TilgZins,($N$6-1)*480+212)+INDEX(TilgTilgung,($N$6-1)*480+212))+INDEX(TilgErsatz,($N$6-1)*480+212))</f>
      </c>
      <c r="G226" s="30">
        <f>IF(INDEX(TilgAktiv,($N$6-1)*480+212)=0,"",INDEX(TilgZins,($N$6-1)*480+212))</f>
      </c>
      <c r="H226" s="30">
        <f>IF(INDEX(TilgAktiv,($N$6-1)*480+212)=0,"",INDEX(TilgTilgung,($N$6-1)*480+212))</f>
      </c>
      <c r="I226" s="30">
        <f>IF(INDEX(TilgAktiv,($N$6-1)*480+212)=0,"",INDEX(TilgSonder,($N$6-1)*480+212))</f>
      </c>
      <c r="J226" s="30">
        <f>IF(INDEX(TilgAktiv,($N$6-1)*480+212)=0,"",INDEX(TilgErsatz,($N$6-1)*480+212))</f>
      </c>
      <c r="K226" s="30">
        <f>IF(INDEX(TilgAktiv,($N$6-1)*480+212)=0,"",INDEX(Tilgung!$Q$4:$Q$9603,($N$6-1)*480+212))</f>
      </c>
      <c r="L226" s="30">
        <f>IF(INDEX(TilgAktiv,($N$6-1)*480+212)=0,"",INDEX(Tilgung!$R$4:$R$9603,($N$6-1)*480+212))</f>
      </c>
    </row>
    <row r="227">
      <c r="A227"/>
      <c r="B227" s="36">
        <f>IF(INDEX(TilgAktiv,($N$6-1)*480+213)=0,"",213)</f>
      </c>
      <c r="C227" s="41">
        <f>IF(INDEX(TilgAktiv,($N$6-1)*480+213)=0,"",INDEX(TilgDatum,($N$6-1)*480+213))</f>
      </c>
      <c r="D227" s="31">
        <f>IF(INDEX(TilgAktiv,($N$6-1)*480+213)=0,"",INDEX(Tilgung!$H$4:$H$9603,($N$6-1)*480+213))</f>
      </c>
      <c r="E227" s="30">
        <f>IF(INDEX(TilgAktiv,($N$6-1)*480+213)=0,"",INDEX(Tilgung!$J$4:$J$9603,($N$6-1)*480+213))</f>
      </c>
      <c r="F227" s="30">
        <f>IF(INDEX(TilgAktiv,($N$6-1)*480+213)=0,"",IF(INDEX(TilgTilgung,($N$6-1)*480+213)=0,INDEX(TilgZins,($N$6-1)*480+213),INDEX(TilgZins,($N$6-1)*480+213)+INDEX(TilgTilgung,($N$6-1)*480+213))+INDEX(TilgErsatz,($N$6-1)*480+213))</f>
      </c>
      <c r="G227" s="30">
        <f>IF(INDEX(TilgAktiv,($N$6-1)*480+213)=0,"",INDEX(TilgZins,($N$6-1)*480+213))</f>
      </c>
      <c r="H227" s="30">
        <f>IF(INDEX(TilgAktiv,($N$6-1)*480+213)=0,"",INDEX(TilgTilgung,($N$6-1)*480+213))</f>
      </c>
      <c r="I227" s="30">
        <f>IF(INDEX(TilgAktiv,($N$6-1)*480+213)=0,"",INDEX(TilgSonder,($N$6-1)*480+213))</f>
      </c>
      <c r="J227" s="30">
        <f>IF(INDEX(TilgAktiv,($N$6-1)*480+213)=0,"",INDEX(TilgErsatz,($N$6-1)*480+213))</f>
      </c>
      <c r="K227" s="30">
        <f>IF(INDEX(TilgAktiv,($N$6-1)*480+213)=0,"",INDEX(Tilgung!$Q$4:$Q$9603,($N$6-1)*480+213))</f>
      </c>
      <c r="L227" s="30">
        <f>IF(INDEX(TilgAktiv,($N$6-1)*480+213)=0,"",INDEX(Tilgung!$R$4:$R$9603,($N$6-1)*480+213))</f>
      </c>
    </row>
    <row r="228">
      <c r="A228"/>
      <c r="B228" s="36">
        <f>IF(INDEX(TilgAktiv,($N$6-1)*480+214)=0,"",214)</f>
      </c>
      <c r="C228" s="41">
        <f>IF(INDEX(TilgAktiv,($N$6-1)*480+214)=0,"",INDEX(TilgDatum,($N$6-1)*480+214))</f>
      </c>
      <c r="D228" s="31">
        <f>IF(INDEX(TilgAktiv,($N$6-1)*480+214)=0,"",INDEX(Tilgung!$H$4:$H$9603,($N$6-1)*480+214))</f>
      </c>
      <c r="E228" s="30">
        <f>IF(INDEX(TilgAktiv,($N$6-1)*480+214)=0,"",INDEX(Tilgung!$J$4:$J$9603,($N$6-1)*480+214))</f>
      </c>
      <c r="F228" s="30">
        <f>IF(INDEX(TilgAktiv,($N$6-1)*480+214)=0,"",IF(INDEX(TilgTilgung,($N$6-1)*480+214)=0,INDEX(TilgZins,($N$6-1)*480+214),INDEX(TilgZins,($N$6-1)*480+214)+INDEX(TilgTilgung,($N$6-1)*480+214))+INDEX(TilgErsatz,($N$6-1)*480+214))</f>
      </c>
      <c r="G228" s="30">
        <f>IF(INDEX(TilgAktiv,($N$6-1)*480+214)=0,"",INDEX(TilgZins,($N$6-1)*480+214))</f>
      </c>
      <c r="H228" s="30">
        <f>IF(INDEX(TilgAktiv,($N$6-1)*480+214)=0,"",INDEX(TilgTilgung,($N$6-1)*480+214))</f>
      </c>
      <c r="I228" s="30">
        <f>IF(INDEX(TilgAktiv,($N$6-1)*480+214)=0,"",INDEX(TilgSonder,($N$6-1)*480+214))</f>
      </c>
      <c r="J228" s="30">
        <f>IF(INDEX(TilgAktiv,($N$6-1)*480+214)=0,"",INDEX(TilgErsatz,($N$6-1)*480+214))</f>
      </c>
      <c r="K228" s="30">
        <f>IF(INDEX(TilgAktiv,($N$6-1)*480+214)=0,"",INDEX(Tilgung!$Q$4:$Q$9603,($N$6-1)*480+214))</f>
      </c>
      <c r="L228" s="30">
        <f>IF(INDEX(TilgAktiv,($N$6-1)*480+214)=0,"",INDEX(Tilgung!$R$4:$R$9603,($N$6-1)*480+214))</f>
      </c>
    </row>
    <row r="229">
      <c r="A229"/>
      <c r="B229" s="36">
        <f>IF(INDEX(TilgAktiv,($N$6-1)*480+215)=0,"",215)</f>
      </c>
      <c r="C229" s="41">
        <f>IF(INDEX(TilgAktiv,($N$6-1)*480+215)=0,"",INDEX(TilgDatum,($N$6-1)*480+215))</f>
      </c>
      <c r="D229" s="31">
        <f>IF(INDEX(TilgAktiv,($N$6-1)*480+215)=0,"",INDEX(Tilgung!$H$4:$H$9603,($N$6-1)*480+215))</f>
      </c>
      <c r="E229" s="30">
        <f>IF(INDEX(TilgAktiv,($N$6-1)*480+215)=0,"",INDEX(Tilgung!$J$4:$J$9603,($N$6-1)*480+215))</f>
      </c>
      <c r="F229" s="30">
        <f>IF(INDEX(TilgAktiv,($N$6-1)*480+215)=0,"",IF(INDEX(TilgTilgung,($N$6-1)*480+215)=0,INDEX(TilgZins,($N$6-1)*480+215),INDEX(TilgZins,($N$6-1)*480+215)+INDEX(TilgTilgung,($N$6-1)*480+215))+INDEX(TilgErsatz,($N$6-1)*480+215))</f>
      </c>
      <c r="G229" s="30">
        <f>IF(INDEX(TilgAktiv,($N$6-1)*480+215)=0,"",INDEX(TilgZins,($N$6-1)*480+215))</f>
      </c>
      <c r="H229" s="30">
        <f>IF(INDEX(TilgAktiv,($N$6-1)*480+215)=0,"",INDEX(TilgTilgung,($N$6-1)*480+215))</f>
      </c>
      <c r="I229" s="30">
        <f>IF(INDEX(TilgAktiv,($N$6-1)*480+215)=0,"",INDEX(TilgSonder,($N$6-1)*480+215))</f>
      </c>
      <c r="J229" s="30">
        <f>IF(INDEX(TilgAktiv,($N$6-1)*480+215)=0,"",INDEX(TilgErsatz,($N$6-1)*480+215))</f>
      </c>
      <c r="K229" s="30">
        <f>IF(INDEX(TilgAktiv,($N$6-1)*480+215)=0,"",INDEX(Tilgung!$Q$4:$Q$9603,($N$6-1)*480+215))</f>
      </c>
      <c r="L229" s="30">
        <f>IF(INDEX(TilgAktiv,($N$6-1)*480+215)=0,"",INDEX(Tilgung!$R$4:$R$9603,($N$6-1)*480+215))</f>
      </c>
    </row>
    <row r="230">
      <c r="A230"/>
      <c r="B230" s="36">
        <f>IF(INDEX(TilgAktiv,($N$6-1)*480+216)=0,"",216)</f>
      </c>
      <c r="C230" s="41">
        <f>IF(INDEX(TilgAktiv,($N$6-1)*480+216)=0,"",INDEX(TilgDatum,($N$6-1)*480+216))</f>
      </c>
      <c r="D230" s="31">
        <f>IF(INDEX(TilgAktiv,($N$6-1)*480+216)=0,"",INDEX(Tilgung!$H$4:$H$9603,($N$6-1)*480+216))</f>
      </c>
      <c r="E230" s="30">
        <f>IF(INDEX(TilgAktiv,($N$6-1)*480+216)=0,"",INDEX(Tilgung!$J$4:$J$9603,($N$6-1)*480+216))</f>
      </c>
      <c r="F230" s="30">
        <f>IF(INDEX(TilgAktiv,($N$6-1)*480+216)=0,"",IF(INDEX(TilgTilgung,($N$6-1)*480+216)=0,INDEX(TilgZins,($N$6-1)*480+216),INDEX(TilgZins,($N$6-1)*480+216)+INDEX(TilgTilgung,($N$6-1)*480+216))+INDEX(TilgErsatz,($N$6-1)*480+216))</f>
      </c>
      <c r="G230" s="30">
        <f>IF(INDEX(TilgAktiv,($N$6-1)*480+216)=0,"",INDEX(TilgZins,($N$6-1)*480+216))</f>
      </c>
      <c r="H230" s="30">
        <f>IF(INDEX(TilgAktiv,($N$6-1)*480+216)=0,"",INDEX(TilgTilgung,($N$6-1)*480+216))</f>
      </c>
      <c r="I230" s="30">
        <f>IF(INDEX(TilgAktiv,($N$6-1)*480+216)=0,"",INDEX(TilgSonder,($N$6-1)*480+216))</f>
      </c>
      <c r="J230" s="30">
        <f>IF(INDEX(TilgAktiv,($N$6-1)*480+216)=0,"",INDEX(TilgErsatz,($N$6-1)*480+216))</f>
      </c>
      <c r="K230" s="30">
        <f>IF(INDEX(TilgAktiv,($N$6-1)*480+216)=0,"",INDEX(Tilgung!$Q$4:$Q$9603,($N$6-1)*480+216))</f>
      </c>
      <c r="L230" s="30">
        <f>IF(INDEX(TilgAktiv,($N$6-1)*480+216)=0,"",INDEX(Tilgung!$R$4:$R$9603,($N$6-1)*480+216))</f>
      </c>
    </row>
    <row r="231">
      <c r="A231"/>
      <c r="B231" s="36">
        <f>IF(INDEX(TilgAktiv,($N$6-1)*480+217)=0,"",217)</f>
      </c>
      <c r="C231" s="41">
        <f>IF(INDEX(TilgAktiv,($N$6-1)*480+217)=0,"",INDEX(TilgDatum,($N$6-1)*480+217))</f>
      </c>
      <c r="D231" s="31">
        <f>IF(INDEX(TilgAktiv,($N$6-1)*480+217)=0,"",INDEX(Tilgung!$H$4:$H$9603,($N$6-1)*480+217))</f>
      </c>
      <c r="E231" s="30">
        <f>IF(INDEX(TilgAktiv,($N$6-1)*480+217)=0,"",INDEX(Tilgung!$J$4:$J$9603,($N$6-1)*480+217))</f>
      </c>
      <c r="F231" s="30">
        <f>IF(INDEX(TilgAktiv,($N$6-1)*480+217)=0,"",IF(INDEX(TilgTilgung,($N$6-1)*480+217)=0,INDEX(TilgZins,($N$6-1)*480+217),INDEX(TilgZins,($N$6-1)*480+217)+INDEX(TilgTilgung,($N$6-1)*480+217))+INDEX(TilgErsatz,($N$6-1)*480+217))</f>
      </c>
      <c r="G231" s="30">
        <f>IF(INDEX(TilgAktiv,($N$6-1)*480+217)=0,"",INDEX(TilgZins,($N$6-1)*480+217))</f>
      </c>
      <c r="H231" s="30">
        <f>IF(INDEX(TilgAktiv,($N$6-1)*480+217)=0,"",INDEX(TilgTilgung,($N$6-1)*480+217))</f>
      </c>
      <c r="I231" s="30">
        <f>IF(INDEX(TilgAktiv,($N$6-1)*480+217)=0,"",INDEX(TilgSonder,($N$6-1)*480+217))</f>
      </c>
      <c r="J231" s="30">
        <f>IF(INDEX(TilgAktiv,($N$6-1)*480+217)=0,"",INDEX(TilgErsatz,($N$6-1)*480+217))</f>
      </c>
      <c r="K231" s="30">
        <f>IF(INDEX(TilgAktiv,($N$6-1)*480+217)=0,"",INDEX(Tilgung!$Q$4:$Q$9603,($N$6-1)*480+217))</f>
      </c>
      <c r="L231" s="30">
        <f>IF(INDEX(TilgAktiv,($N$6-1)*480+217)=0,"",INDEX(Tilgung!$R$4:$R$9603,($N$6-1)*480+217))</f>
      </c>
    </row>
    <row r="232">
      <c r="A232"/>
      <c r="B232" s="36">
        <f>IF(INDEX(TilgAktiv,($N$6-1)*480+218)=0,"",218)</f>
      </c>
      <c r="C232" s="41">
        <f>IF(INDEX(TilgAktiv,($N$6-1)*480+218)=0,"",INDEX(TilgDatum,($N$6-1)*480+218))</f>
      </c>
      <c r="D232" s="31">
        <f>IF(INDEX(TilgAktiv,($N$6-1)*480+218)=0,"",INDEX(Tilgung!$H$4:$H$9603,($N$6-1)*480+218))</f>
      </c>
      <c r="E232" s="30">
        <f>IF(INDEX(TilgAktiv,($N$6-1)*480+218)=0,"",INDEX(Tilgung!$J$4:$J$9603,($N$6-1)*480+218))</f>
      </c>
      <c r="F232" s="30">
        <f>IF(INDEX(TilgAktiv,($N$6-1)*480+218)=0,"",IF(INDEX(TilgTilgung,($N$6-1)*480+218)=0,INDEX(TilgZins,($N$6-1)*480+218),INDEX(TilgZins,($N$6-1)*480+218)+INDEX(TilgTilgung,($N$6-1)*480+218))+INDEX(TilgErsatz,($N$6-1)*480+218))</f>
      </c>
      <c r="G232" s="30">
        <f>IF(INDEX(TilgAktiv,($N$6-1)*480+218)=0,"",INDEX(TilgZins,($N$6-1)*480+218))</f>
      </c>
      <c r="H232" s="30">
        <f>IF(INDEX(TilgAktiv,($N$6-1)*480+218)=0,"",INDEX(TilgTilgung,($N$6-1)*480+218))</f>
      </c>
      <c r="I232" s="30">
        <f>IF(INDEX(TilgAktiv,($N$6-1)*480+218)=0,"",INDEX(TilgSonder,($N$6-1)*480+218))</f>
      </c>
      <c r="J232" s="30">
        <f>IF(INDEX(TilgAktiv,($N$6-1)*480+218)=0,"",INDEX(TilgErsatz,($N$6-1)*480+218))</f>
      </c>
      <c r="K232" s="30">
        <f>IF(INDEX(TilgAktiv,($N$6-1)*480+218)=0,"",INDEX(Tilgung!$Q$4:$Q$9603,($N$6-1)*480+218))</f>
      </c>
      <c r="L232" s="30">
        <f>IF(INDEX(TilgAktiv,($N$6-1)*480+218)=0,"",INDEX(Tilgung!$R$4:$R$9603,($N$6-1)*480+218))</f>
      </c>
    </row>
    <row r="233">
      <c r="A233"/>
      <c r="B233" s="36">
        <f>IF(INDEX(TilgAktiv,($N$6-1)*480+219)=0,"",219)</f>
      </c>
      <c r="C233" s="41">
        <f>IF(INDEX(TilgAktiv,($N$6-1)*480+219)=0,"",INDEX(TilgDatum,($N$6-1)*480+219))</f>
      </c>
      <c r="D233" s="31">
        <f>IF(INDEX(TilgAktiv,($N$6-1)*480+219)=0,"",INDEX(Tilgung!$H$4:$H$9603,($N$6-1)*480+219))</f>
      </c>
      <c r="E233" s="30">
        <f>IF(INDEX(TilgAktiv,($N$6-1)*480+219)=0,"",INDEX(Tilgung!$J$4:$J$9603,($N$6-1)*480+219))</f>
      </c>
      <c r="F233" s="30">
        <f>IF(INDEX(TilgAktiv,($N$6-1)*480+219)=0,"",IF(INDEX(TilgTilgung,($N$6-1)*480+219)=0,INDEX(TilgZins,($N$6-1)*480+219),INDEX(TilgZins,($N$6-1)*480+219)+INDEX(TilgTilgung,($N$6-1)*480+219))+INDEX(TilgErsatz,($N$6-1)*480+219))</f>
      </c>
      <c r="G233" s="30">
        <f>IF(INDEX(TilgAktiv,($N$6-1)*480+219)=0,"",INDEX(TilgZins,($N$6-1)*480+219))</f>
      </c>
      <c r="H233" s="30">
        <f>IF(INDEX(TilgAktiv,($N$6-1)*480+219)=0,"",INDEX(TilgTilgung,($N$6-1)*480+219))</f>
      </c>
      <c r="I233" s="30">
        <f>IF(INDEX(TilgAktiv,($N$6-1)*480+219)=0,"",INDEX(TilgSonder,($N$6-1)*480+219))</f>
      </c>
      <c r="J233" s="30">
        <f>IF(INDEX(TilgAktiv,($N$6-1)*480+219)=0,"",INDEX(TilgErsatz,($N$6-1)*480+219))</f>
      </c>
      <c r="K233" s="30">
        <f>IF(INDEX(TilgAktiv,($N$6-1)*480+219)=0,"",INDEX(Tilgung!$Q$4:$Q$9603,($N$6-1)*480+219))</f>
      </c>
      <c r="L233" s="30">
        <f>IF(INDEX(TilgAktiv,($N$6-1)*480+219)=0,"",INDEX(Tilgung!$R$4:$R$9603,($N$6-1)*480+219))</f>
      </c>
    </row>
    <row r="234">
      <c r="A234"/>
      <c r="B234" s="36">
        <f>IF(INDEX(TilgAktiv,($N$6-1)*480+220)=0,"",220)</f>
      </c>
      <c r="C234" s="41">
        <f>IF(INDEX(TilgAktiv,($N$6-1)*480+220)=0,"",INDEX(TilgDatum,($N$6-1)*480+220))</f>
      </c>
      <c r="D234" s="31">
        <f>IF(INDEX(TilgAktiv,($N$6-1)*480+220)=0,"",INDEX(Tilgung!$H$4:$H$9603,($N$6-1)*480+220))</f>
      </c>
      <c r="E234" s="30">
        <f>IF(INDEX(TilgAktiv,($N$6-1)*480+220)=0,"",INDEX(Tilgung!$J$4:$J$9603,($N$6-1)*480+220))</f>
      </c>
      <c r="F234" s="30">
        <f>IF(INDEX(TilgAktiv,($N$6-1)*480+220)=0,"",IF(INDEX(TilgTilgung,($N$6-1)*480+220)=0,INDEX(TilgZins,($N$6-1)*480+220),INDEX(TilgZins,($N$6-1)*480+220)+INDEX(TilgTilgung,($N$6-1)*480+220))+INDEX(TilgErsatz,($N$6-1)*480+220))</f>
      </c>
      <c r="G234" s="30">
        <f>IF(INDEX(TilgAktiv,($N$6-1)*480+220)=0,"",INDEX(TilgZins,($N$6-1)*480+220))</f>
      </c>
      <c r="H234" s="30">
        <f>IF(INDEX(TilgAktiv,($N$6-1)*480+220)=0,"",INDEX(TilgTilgung,($N$6-1)*480+220))</f>
      </c>
      <c r="I234" s="30">
        <f>IF(INDEX(TilgAktiv,($N$6-1)*480+220)=0,"",INDEX(TilgSonder,($N$6-1)*480+220))</f>
      </c>
      <c r="J234" s="30">
        <f>IF(INDEX(TilgAktiv,($N$6-1)*480+220)=0,"",INDEX(TilgErsatz,($N$6-1)*480+220))</f>
      </c>
      <c r="K234" s="30">
        <f>IF(INDEX(TilgAktiv,($N$6-1)*480+220)=0,"",INDEX(Tilgung!$Q$4:$Q$9603,($N$6-1)*480+220))</f>
      </c>
      <c r="L234" s="30">
        <f>IF(INDEX(TilgAktiv,($N$6-1)*480+220)=0,"",INDEX(Tilgung!$R$4:$R$9603,($N$6-1)*480+220))</f>
      </c>
    </row>
    <row r="235">
      <c r="A235"/>
      <c r="B235" s="36">
        <f>IF(INDEX(TilgAktiv,($N$6-1)*480+221)=0,"",221)</f>
      </c>
      <c r="C235" s="41">
        <f>IF(INDEX(TilgAktiv,($N$6-1)*480+221)=0,"",INDEX(TilgDatum,($N$6-1)*480+221))</f>
      </c>
      <c r="D235" s="31">
        <f>IF(INDEX(TilgAktiv,($N$6-1)*480+221)=0,"",INDEX(Tilgung!$H$4:$H$9603,($N$6-1)*480+221))</f>
      </c>
      <c r="E235" s="30">
        <f>IF(INDEX(TilgAktiv,($N$6-1)*480+221)=0,"",INDEX(Tilgung!$J$4:$J$9603,($N$6-1)*480+221))</f>
      </c>
      <c r="F235" s="30">
        <f>IF(INDEX(TilgAktiv,($N$6-1)*480+221)=0,"",IF(INDEX(TilgTilgung,($N$6-1)*480+221)=0,INDEX(TilgZins,($N$6-1)*480+221),INDEX(TilgZins,($N$6-1)*480+221)+INDEX(TilgTilgung,($N$6-1)*480+221))+INDEX(TilgErsatz,($N$6-1)*480+221))</f>
      </c>
      <c r="G235" s="30">
        <f>IF(INDEX(TilgAktiv,($N$6-1)*480+221)=0,"",INDEX(TilgZins,($N$6-1)*480+221))</f>
      </c>
      <c r="H235" s="30">
        <f>IF(INDEX(TilgAktiv,($N$6-1)*480+221)=0,"",INDEX(TilgTilgung,($N$6-1)*480+221))</f>
      </c>
      <c r="I235" s="30">
        <f>IF(INDEX(TilgAktiv,($N$6-1)*480+221)=0,"",INDEX(TilgSonder,($N$6-1)*480+221))</f>
      </c>
      <c r="J235" s="30">
        <f>IF(INDEX(TilgAktiv,($N$6-1)*480+221)=0,"",INDEX(TilgErsatz,($N$6-1)*480+221))</f>
      </c>
      <c r="K235" s="30">
        <f>IF(INDEX(TilgAktiv,($N$6-1)*480+221)=0,"",INDEX(Tilgung!$Q$4:$Q$9603,($N$6-1)*480+221))</f>
      </c>
      <c r="L235" s="30">
        <f>IF(INDEX(TilgAktiv,($N$6-1)*480+221)=0,"",INDEX(Tilgung!$R$4:$R$9603,($N$6-1)*480+221))</f>
      </c>
    </row>
    <row r="236">
      <c r="A236"/>
      <c r="B236" s="36">
        <f>IF(INDEX(TilgAktiv,($N$6-1)*480+222)=0,"",222)</f>
      </c>
      <c r="C236" s="41">
        <f>IF(INDEX(TilgAktiv,($N$6-1)*480+222)=0,"",INDEX(TilgDatum,($N$6-1)*480+222))</f>
      </c>
      <c r="D236" s="31">
        <f>IF(INDEX(TilgAktiv,($N$6-1)*480+222)=0,"",INDEX(Tilgung!$H$4:$H$9603,($N$6-1)*480+222))</f>
      </c>
      <c r="E236" s="30">
        <f>IF(INDEX(TilgAktiv,($N$6-1)*480+222)=0,"",INDEX(Tilgung!$J$4:$J$9603,($N$6-1)*480+222))</f>
      </c>
      <c r="F236" s="30">
        <f>IF(INDEX(TilgAktiv,($N$6-1)*480+222)=0,"",IF(INDEX(TilgTilgung,($N$6-1)*480+222)=0,INDEX(TilgZins,($N$6-1)*480+222),INDEX(TilgZins,($N$6-1)*480+222)+INDEX(TilgTilgung,($N$6-1)*480+222))+INDEX(TilgErsatz,($N$6-1)*480+222))</f>
      </c>
      <c r="G236" s="30">
        <f>IF(INDEX(TilgAktiv,($N$6-1)*480+222)=0,"",INDEX(TilgZins,($N$6-1)*480+222))</f>
      </c>
      <c r="H236" s="30">
        <f>IF(INDEX(TilgAktiv,($N$6-1)*480+222)=0,"",INDEX(TilgTilgung,($N$6-1)*480+222))</f>
      </c>
      <c r="I236" s="30">
        <f>IF(INDEX(TilgAktiv,($N$6-1)*480+222)=0,"",INDEX(TilgSonder,($N$6-1)*480+222))</f>
      </c>
      <c r="J236" s="30">
        <f>IF(INDEX(TilgAktiv,($N$6-1)*480+222)=0,"",INDEX(TilgErsatz,($N$6-1)*480+222))</f>
      </c>
      <c r="K236" s="30">
        <f>IF(INDEX(TilgAktiv,($N$6-1)*480+222)=0,"",INDEX(Tilgung!$Q$4:$Q$9603,($N$6-1)*480+222))</f>
      </c>
      <c r="L236" s="30">
        <f>IF(INDEX(TilgAktiv,($N$6-1)*480+222)=0,"",INDEX(Tilgung!$R$4:$R$9603,($N$6-1)*480+222))</f>
      </c>
    </row>
    <row r="237">
      <c r="A237"/>
      <c r="B237" s="36">
        <f>IF(INDEX(TilgAktiv,($N$6-1)*480+223)=0,"",223)</f>
      </c>
      <c r="C237" s="41">
        <f>IF(INDEX(TilgAktiv,($N$6-1)*480+223)=0,"",INDEX(TilgDatum,($N$6-1)*480+223))</f>
      </c>
      <c r="D237" s="31">
        <f>IF(INDEX(TilgAktiv,($N$6-1)*480+223)=0,"",INDEX(Tilgung!$H$4:$H$9603,($N$6-1)*480+223))</f>
      </c>
      <c r="E237" s="30">
        <f>IF(INDEX(TilgAktiv,($N$6-1)*480+223)=0,"",INDEX(Tilgung!$J$4:$J$9603,($N$6-1)*480+223))</f>
      </c>
      <c r="F237" s="30">
        <f>IF(INDEX(TilgAktiv,($N$6-1)*480+223)=0,"",IF(INDEX(TilgTilgung,($N$6-1)*480+223)=0,INDEX(TilgZins,($N$6-1)*480+223),INDEX(TilgZins,($N$6-1)*480+223)+INDEX(TilgTilgung,($N$6-1)*480+223))+INDEX(TilgErsatz,($N$6-1)*480+223))</f>
      </c>
      <c r="G237" s="30">
        <f>IF(INDEX(TilgAktiv,($N$6-1)*480+223)=0,"",INDEX(TilgZins,($N$6-1)*480+223))</f>
      </c>
      <c r="H237" s="30">
        <f>IF(INDEX(TilgAktiv,($N$6-1)*480+223)=0,"",INDEX(TilgTilgung,($N$6-1)*480+223))</f>
      </c>
      <c r="I237" s="30">
        <f>IF(INDEX(TilgAktiv,($N$6-1)*480+223)=0,"",INDEX(TilgSonder,($N$6-1)*480+223))</f>
      </c>
      <c r="J237" s="30">
        <f>IF(INDEX(TilgAktiv,($N$6-1)*480+223)=0,"",INDEX(TilgErsatz,($N$6-1)*480+223))</f>
      </c>
      <c r="K237" s="30">
        <f>IF(INDEX(TilgAktiv,($N$6-1)*480+223)=0,"",INDEX(Tilgung!$Q$4:$Q$9603,($N$6-1)*480+223))</f>
      </c>
      <c r="L237" s="30">
        <f>IF(INDEX(TilgAktiv,($N$6-1)*480+223)=0,"",INDEX(Tilgung!$R$4:$R$9603,($N$6-1)*480+223))</f>
      </c>
    </row>
    <row r="238">
      <c r="A238"/>
      <c r="B238" s="36">
        <f>IF(INDEX(TilgAktiv,($N$6-1)*480+224)=0,"",224)</f>
      </c>
      <c r="C238" s="41">
        <f>IF(INDEX(TilgAktiv,($N$6-1)*480+224)=0,"",INDEX(TilgDatum,($N$6-1)*480+224))</f>
      </c>
      <c r="D238" s="31">
        <f>IF(INDEX(TilgAktiv,($N$6-1)*480+224)=0,"",INDEX(Tilgung!$H$4:$H$9603,($N$6-1)*480+224))</f>
      </c>
      <c r="E238" s="30">
        <f>IF(INDEX(TilgAktiv,($N$6-1)*480+224)=0,"",INDEX(Tilgung!$J$4:$J$9603,($N$6-1)*480+224))</f>
      </c>
      <c r="F238" s="30">
        <f>IF(INDEX(TilgAktiv,($N$6-1)*480+224)=0,"",IF(INDEX(TilgTilgung,($N$6-1)*480+224)=0,INDEX(TilgZins,($N$6-1)*480+224),INDEX(TilgZins,($N$6-1)*480+224)+INDEX(TilgTilgung,($N$6-1)*480+224))+INDEX(TilgErsatz,($N$6-1)*480+224))</f>
      </c>
      <c r="G238" s="30">
        <f>IF(INDEX(TilgAktiv,($N$6-1)*480+224)=0,"",INDEX(TilgZins,($N$6-1)*480+224))</f>
      </c>
      <c r="H238" s="30">
        <f>IF(INDEX(TilgAktiv,($N$6-1)*480+224)=0,"",INDEX(TilgTilgung,($N$6-1)*480+224))</f>
      </c>
      <c r="I238" s="30">
        <f>IF(INDEX(TilgAktiv,($N$6-1)*480+224)=0,"",INDEX(TilgSonder,($N$6-1)*480+224))</f>
      </c>
      <c r="J238" s="30">
        <f>IF(INDEX(TilgAktiv,($N$6-1)*480+224)=0,"",INDEX(TilgErsatz,($N$6-1)*480+224))</f>
      </c>
      <c r="K238" s="30">
        <f>IF(INDEX(TilgAktiv,($N$6-1)*480+224)=0,"",INDEX(Tilgung!$Q$4:$Q$9603,($N$6-1)*480+224))</f>
      </c>
      <c r="L238" s="30">
        <f>IF(INDEX(TilgAktiv,($N$6-1)*480+224)=0,"",INDEX(Tilgung!$R$4:$R$9603,($N$6-1)*480+224))</f>
      </c>
    </row>
    <row r="239">
      <c r="A239"/>
      <c r="B239" s="36">
        <f>IF(INDEX(TilgAktiv,($N$6-1)*480+225)=0,"",225)</f>
      </c>
      <c r="C239" s="41">
        <f>IF(INDEX(TilgAktiv,($N$6-1)*480+225)=0,"",INDEX(TilgDatum,($N$6-1)*480+225))</f>
      </c>
      <c r="D239" s="31">
        <f>IF(INDEX(TilgAktiv,($N$6-1)*480+225)=0,"",INDEX(Tilgung!$H$4:$H$9603,($N$6-1)*480+225))</f>
      </c>
      <c r="E239" s="30">
        <f>IF(INDEX(TilgAktiv,($N$6-1)*480+225)=0,"",INDEX(Tilgung!$J$4:$J$9603,($N$6-1)*480+225))</f>
      </c>
      <c r="F239" s="30">
        <f>IF(INDEX(TilgAktiv,($N$6-1)*480+225)=0,"",IF(INDEX(TilgTilgung,($N$6-1)*480+225)=0,INDEX(TilgZins,($N$6-1)*480+225),INDEX(TilgZins,($N$6-1)*480+225)+INDEX(TilgTilgung,($N$6-1)*480+225))+INDEX(TilgErsatz,($N$6-1)*480+225))</f>
      </c>
      <c r="G239" s="30">
        <f>IF(INDEX(TilgAktiv,($N$6-1)*480+225)=0,"",INDEX(TilgZins,($N$6-1)*480+225))</f>
      </c>
      <c r="H239" s="30">
        <f>IF(INDEX(TilgAktiv,($N$6-1)*480+225)=0,"",INDEX(TilgTilgung,($N$6-1)*480+225))</f>
      </c>
      <c r="I239" s="30">
        <f>IF(INDEX(TilgAktiv,($N$6-1)*480+225)=0,"",INDEX(TilgSonder,($N$6-1)*480+225))</f>
      </c>
      <c r="J239" s="30">
        <f>IF(INDEX(TilgAktiv,($N$6-1)*480+225)=0,"",INDEX(TilgErsatz,($N$6-1)*480+225))</f>
      </c>
      <c r="K239" s="30">
        <f>IF(INDEX(TilgAktiv,($N$6-1)*480+225)=0,"",INDEX(Tilgung!$Q$4:$Q$9603,($N$6-1)*480+225))</f>
      </c>
      <c r="L239" s="30">
        <f>IF(INDEX(TilgAktiv,($N$6-1)*480+225)=0,"",INDEX(Tilgung!$R$4:$R$9603,($N$6-1)*480+225))</f>
      </c>
    </row>
    <row r="240">
      <c r="A240"/>
      <c r="B240" s="36">
        <f>IF(INDEX(TilgAktiv,($N$6-1)*480+226)=0,"",226)</f>
      </c>
      <c r="C240" s="41">
        <f>IF(INDEX(TilgAktiv,($N$6-1)*480+226)=0,"",INDEX(TilgDatum,($N$6-1)*480+226))</f>
      </c>
      <c r="D240" s="31">
        <f>IF(INDEX(TilgAktiv,($N$6-1)*480+226)=0,"",INDEX(Tilgung!$H$4:$H$9603,($N$6-1)*480+226))</f>
      </c>
      <c r="E240" s="30">
        <f>IF(INDEX(TilgAktiv,($N$6-1)*480+226)=0,"",INDEX(Tilgung!$J$4:$J$9603,($N$6-1)*480+226))</f>
      </c>
      <c r="F240" s="30">
        <f>IF(INDEX(TilgAktiv,($N$6-1)*480+226)=0,"",IF(INDEX(TilgTilgung,($N$6-1)*480+226)=0,INDEX(TilgZins,($N$6-1)*480+226),INDEX(TilgZins,($N$6-1)*480+226)+INDEX(TilgTilgung,($N$6-1)*480+226))+INDEX(TilgErsatz,($N$6-1)*480+226))</f>
      </c>
      <c r="G240" s="30">
        <f>IF(INDEX(TilgAktiv,($N$6-1)*480+226)=0,"",INDEX(TilgZins,($N$6-1)*480+226))</f>
      </c>
      <c r="H240" s="30">
        <f>IF(INDEX(TilgAktiv,($N$6-1)*480+226)=0,"",INDEX(TilgTilgung,($N$6-1)*480+226))</f>
      </c>
      <c r="I240" s="30">
        <f>IF(INDEX(TilgAktiv,($N$6-1)*480+226)=0,"",INDEX(TilgSonder,($N$6-1)*480+226))</f>
      </c>
      <c r="J240" s="30">
        <f>IF(INDEX(TilgAktiv,($N$6-1)*480+226)=0,"",INDEX(TilgErsatz,($N$6-1)*480+226))</f>
      </c>
      <c r="K240" s="30">
        <f>IF(INDEX(TilgAktiv,($N$6-1)*480+226)=0,"",INDEX(Tilgung!$Q$4:$Q$9603,($N$6-1)*480+226))</f>
      </c>
      <c r="L240" s="30">
        <f>IF(INDEX(TilgAktiv,($N$6-1)*480+226)=0,"",INDEX(Tilgung!$R$4:$R$9603,($N$6-1)*480+226))</f>
      </c>
    </row>
    <row r="241">
      <c r="A241"/>
      <c r="B241" s="36">
        <f>IF(INDEX(TilgAktiv,($N$6-1)*480+227)=0,"",227)</f>
      </c>
      <c r="C241" s="41">
        <f>IF(INDEX(TilgAktiv,($N$6-1)*480+227)=0,"",INDEX(TilgDatum,($N$6-1)*480+227))</f>
      </c>
      <c r="D241" s="31">
        <f>IF(INDEX(TilgAktiv,($N$6-1)*480+227)=0,"",INDEX(Tilgung!$H$4:$H$9603,($N$6-1)*480+227))</f>
      </c>
      <c r="E241" s="30">
        <f>IF(INDEX(TilgAktiv,($N$6-1)*480+227)=0,"",INDEX(Tilgung!$J$4:$J$9603,($N$6-1)*480+227))</f>
      </c>
      <c r="F241" s="30">
        <f>IF(INDEX(TilgAktiv,($N$6-1)*480+227)=0,"",IF(INDEX(TilgTilgung,($N$6-1)*480+227)=0,INDEX(TilgZins,($N$6-1)*480+227),INDEX(TilgZins,($N$6-1)*480+227)+INDEX(TilgTilgung,($N$6-1)*480+227))+INDEX(TilgErsatz,($N$6-1)*480+227))</f>
      </c>
      <c r="G241" s="30">
        <f>IF(INDEX(TilgAktiv,($N$6-1)*480+227)=0,"",INDEX(TilgZins,($N$6-1)*480+227))</f>
      </c>
      <c r="H241" s="30">
        <f>IF(INDEX(TilgAktiv,($N$6-1)*480+227)=0,"",INDEX(TilgTilgung,($N$6-1)*480+227))</f>
      </c>
      <c r="I241" s="30">
        <f>IF(INDEX(TilgAktiv,($N$6-1)*480+227)=0,"",INDEX(TilgSonder,($N$6-1)*480+227))</f>
      </c>
      <c r="J241" s="30">
        <f>IF(INDEX(TilgAktiv,($N$6-1)*480+227)=0,"",INDEX(TilgErsatz,($N$6-1)*480+227))</f>
      </c>
      <c r="K241" s="30">
        <f>IF(INDEX(TilgAktiv,($N$6-1)*480+227)=0,"",INDEX(Tilgung!$Q$4:$Q$9603,($N$6-1)*480+227))</f>
      </c>
      <c r="L241" s="30">
        <f>IF(INDEX(TilgAktiv,($N$6-1)*480+227)=0,"",INDEX(Tilgung!$R$4:$R$9603,($N$6-1)*480+227))</f>
      </c>
    </row>
    <row r="242">
      <c r="A242"/>
      <c r="B242" s="36">
        <f>IF(INDEX(TilgAktiv,($N$6-1)*480+228)=0,"",228)</f>
      </c>
      <c r="C242" s="41">
        <f>IF(INDEX(TilgAktiv,($N$6-1)*480+228)=0,"",INDEX(TilgDatum,($N$6-1)*480+228))</f>
      </c>
      <c r="D242" s="31">
        <f>IF(INDEX(TilgAktiv,($N$6-1)*480+228)=0,"",INDEX(Tilgung!$H$4:$H$9603,($N$6-1)*480+228))</f>
      </c>
      <c r="E242" s="30">
        <f>IF(INDEX(TilgAktiv,($N$6-1)*480+228)=0,"",INDEX(Tilgung!$J$4:$J$9603,($N$6-1)*480+228))</f>
      </c>
      <c r="F242" s="30">
        <f>IF(INDEX(TilgAktiv,($N$6-1)*480+228)=0,"",IF(INDEX(TilgTilgung,($N$6-1)*480+228)=0,INDEX(TilgZins,($N$6-1)*480+228),INDEX(TilgZins,($N$6-1)*480+228)+INDEX(TilgTilgung,($N$6-1)*480+228))+INDEX(TilgErsatz,($N$6-1)*480+228))</f>
      </c>
      <c r="G242" s="30">
        <f>IF(INDEX(TilgAktiv,($N$6-1)*480+228)=0,"",INDEX(TilgZins,($N$6-1)*480+228))</f>
      </c>
      <c r="H242" s="30">
        <f>IF(INDEX(TilgAktiv,($N$6-1)*480+228)=0,"",INDEX(TilgTilgung,($N$6-1)*480+228))</f>
      </c>
      <c r="I242" s="30">
        <f>IF(INDEX(TilgAktiv,($N$6-1)*480+228)=0,"",INDEX(TilgSonder,($N$6-1)*480+228))</f>
      </c>
      <c r="J242" s="30">
        <f>IF(INDEX(TilgAktiv,($N$6-1)*480+228)=0,"",INDEX(TilgErsatz,($N$6-1)*480+228))</f>
      </c>
      <c r="K242" s="30">
        <f>IF(INDEX(TilgAktiv,($N$6-1)*480+228)=0,"",INDEX(Tilgung!$Q$4:$Q$9603,($N$6-1)*480+228))</f>
      </c>
      <c r="L242" s="30">
        <f>IF(INDEX(TilgAktiv,($N$6-1)*480+228)=0,"",INDEX(Tilgung!$R$4:$R$9603,($N$6-1)*480+228))</f>
      </c>
    </row>
    <row r="243">
      <c r="A243"/>
      <c r="B243" s="36">
        <f>IF(INDEX(TilgAktiv,($N$6-1)*480+229)=0,"",229)</f>
      </c>
      <c r="C243" s="41">
        <f>IF(INDEX(TilgAktiv,($N$6-1)*480+229)=0,"",INDEX(TilgDatum,($N$6-1)*480+229))</f>
      </c>
      <c r="D243" s="31">
        <f>IF(INDEX(TilgAktiv,($N$6-1)*480+229)=0,"",INDEX(Tilgung!$H$4:$H$9603,($N$6-1)*480+229))</f>
      </c>
      <c r="E243" s="30">
        <f>IF(INDEX(TilgAktiv,($N$6-1)*480+229)=0,"",INDEX(Tilgung!$J$4:$J$9603,($N$6-1)*480+229))</f>
      </c>
      <c r="F243" s="30">
        <f>IF(INDEX(TilgAktiv,($N$6-1)*480+229)=0,"",IF(INDEX(TilgTilgung,($N$6-1)*480+229)=0,INDEX(TilgZins,($N$6-1)*480+229),INDEX(TilgZins,($N$6-1)*480+229)+INDEX(TilgTilgung,($N$6-1)*480+229))+INDEX(TilgErsatz,($N$6-1)*480+229))</f>
      </c>
      <c r="G243" s="30">
        <f>IF(INDEX(TilgAktiv,($N$6-1)*480+229)=0,"",INDEX(TilgZins,($N$6-1)*480+229))</f>
      </c>
      <c r="H243" s="30">
        <f>IF(INDEX(TilgAktiv,($N$6-1)*480+229)=0,"",INDEX(TilgTilgung,($N$6-1)*480+229))</f>
      </c>
      <c r="I243" s="30">
        <f>IF(INDEX(TilgAktiv,($N$6-1)*480+229)=0,"",INDEX(TilgSonder,($N$6-1)*480+229))</f>
      </c>
      <c r="J243" s="30">
        <f>IF(INDEX(TilgAktiv,($N$6-1)*480+229)=0,"",INDEX(TilgErsatz,($N$6-1)*480+229))</f>
      </c>
      <c r="K243" s="30">
        <f>IF(INDEX(TilgAktiv,($N$6-1)*480+229)=0,"",INDEX(Tilgung!$Q$4:$Q$9603,($N$6-1)*480+229))</f>
      </c>
      <c r="L243" s="30">
        <f>IF(INDEX(TilgAktiv,($N$6-1)*480+229)=0,"",INDEX(Tilgung!$R$4:$R$9603,($N$6-1)*480+229))</f>
      </c>
    </row>
    <row r="244">
      <c r="A244"/>
      <c r="B244" s="36">
        <f>IF(INDEX(TilgAktiv,($N$6-1)*480+230)=0,"",230)</f>
      </c>
      <c r="C244" s="41">
        <f>IF(INDEX(TilgAktiv,($N$6-1)*480+230)=0,"",INDEX(TilgDatum,($N$6-1)*480+230))</f>
      </c>
      <c r="D244" s="31">
        <f>IF(INDEX(TilgAktiv,($N$6-1)*480+230)=0,"",INDEX(Tilgung!$H$4:$H$9603,($N$6-1)*480+230))</f>
      </c>
      <c r="E244" s="30">
        <f>IF(INDEX(TilgAktiv,($N$6-1)*480+230)=0,"",INDEX(Tilgung!$J$4:$J$9603,($N$6-1)*480+230))</f>
      </c>
      <c r="F244" s="30">
        <f>IF(INDEX(TilgAktiv,($N$6-1)*480+230)=0,"",IF(INDEX(TilgTilgung,($N$6-1)*480+230)=0,INDEX(TilgZins,($N$6-1)*480+230),INDEX(TilgZins,($N$6-1)*480+230)+INDEX(TilgTilgung,($N$6-1)*480+230))+INDEX(TilgErsatz,($N$6-1)*480+230))</f>
      </c>
      <c r="G244" s="30">
        <f>IF(INDEX(TilgAktiv,($N$6-1)*480+230)=0,"",INDEX(TilgZins,($N$6-1)*480+230))</f>
      </c>
      <c r="H244" s="30">
        <f>IF(INDEX(TilgAktiv,($N$6-1)*480+230)=0,"",INDEX(TilgTilgung,($N$6-1)*480+230))</f>
      </c>
      <c r="I244" s="30">
        <f>IF(INDEX(TilgAktiv,($N$6-1)*480+230)=0,"",INDEX(TilgSonder,($N$6-1)*480+230))</f>
      </c>
      <c r="J244" s="30">
        <f>IF(INDEX(TilgAktiv,($N$6-1)*480+230)=0,"",INDEX(TilgErsatz,($N$6-1)*480+230))</f>
      </c>
      <c r="K244" s="30">
        <f>IF(INDEX(TilgAktiv,($N$6-1)*480+230)=0,"",INDEX(Tilgung!$Q$4:$Q$9603,($N$6-1)*480+230))</f>
      </c>
      <c r="L244" s="30">
        <f>IF(INDEX(TilgAktiv,($N$6-1)*480+230)=0,"",INDEX(Tilgung!$R$4:$R$9603,($N$6-1)*480+230))</f>
      </c>
    </row>
    <row r="245">
      <c r="A245"/>
      <c r="B245" s="36">
        <f>IF(INDEX(TilgAktiv,($N$6-1)*480+231)=0,"",231)</f>
      </c>
      <c r="C245" s="41">
        <f>IF(INDEX(TilgAktiv,($N$6-1)*480+231)=0,"",INDEX(TilgDatum,($N$6-1)*480+231))</f>
      </c>
      <c r="D245" s="31">
        <f>IF(INDEX(TilgAktiv,($N$6-1)*480+231)=0,"",INDEX(Tilgung!$H$4:$H$9603,($N$6-1)*480+231))</f>
      </c>
      <c r="E245" s="30">
        <f>IF(INDEX(TilgAktiv,($N$6-1)*480+231)=0,"",INDEX(Tilgung!$J$4:$J$9603,($N$6-1)*480+231))</f>
      </c>
      <c r="F245" s="30">
        <f>IF(INDEX(TilgAktiv,($N$6-1)*480+231)=0,"",IF(INDEX(TilgTilgung,($N$6-1)*480+231)=0,INDEX(TilgZins,($N$6-1)*480+231),INDEX(TilgZins,($N$6-1)*480+231)+INDEX(TilgTilgung,($N$6-1)*480+231))+INDEX(TilgErsatz,($N$6-1)*480+231))</f>
      </c>
      <c r="G245" s="30">
        <f>IF(INDEX(TilgAktiv,($N$6-1)*480+231)=0,"",INDEX(TilgZins,($N$6-1)*480+231))</f>
      </c>
      <c r="H245" s="30">
        <f>IF(INDEX(TilgAktiv,($N$6-1)*480+231)=0,"",INDEX(TilgTilgung,($N$6-1)*480+231))</f>
      </c>
      <c r="I245" s="30">
        <f>IF(INDEX(TilgAktiv,($N$6-1)*480+231)=0,"",INDEX(TilgSonder,($N$6-1)*480+231))</f>
      </c>
      <c r="J245" s="30">
        <f>IF(INDEX(TilgAktiv,($N$6-1)*480+231)=0,"",INDEX(TilgErsatz,($N$6-1)*480+231))</f>
      </c>
      <c r="K245" s="30">
        <f>IF(INDEX(TilgAktiv,($N$6-1)*480+231)=0,"",INDEX(Tilgung!$Q$4:$Q$9603,($N$6-1)*480+231))</f>
      </c>
      <c r="L245" s="30">
        <f>IF(INDEX(TilgAktiv,($N$6-1)*480+231)=0,"",INDEX(Tilgung!$R$4:$R$9603,($N$6-1)*480+231))</f>
      </c>
    </row>
    <row r="246">
      <c r="A246"/>
      <c r="B246" s="36">
        <f>IF(INDEX(TilgAktiv,($N$6-1)*480+232)=0,"",232)</f>
      </c>
      <c r="C246" s="41">
        <f>IF(INDEX(TilgAktiv,($N$6-1)*480+232)=0,"",INDEX(TilgDatum,($N$6-1)*480+232))</f>
      </c>
      <c r="D246" s="31">
        <f>IF(INDEX(TilgAktiv,($N$6-1)*480+232)=0,"",INDEX(Tilgung!$H$4:$H$9603,($N$6-1)*480+232))</f>
      </c>
      <c r="E246" s="30">
        <f>IF(INDEX(TilgAktiv,($N$6-1)*480+232)=0,"",INDEX(Tilgung!$J$4:$J$9603,($N$6-1)*480+232))</f>
      </c>
      <c r="F246" s="30">
        <f>IF(INDEX(TilgAktiv,($N$6-1)*480+232)=0,"",IF(INDEX(TilgTilgung,($N$6-1)*480+232)=0,INDEX(TilgZins,($N$6-1)*480+232),INDEX(TilgZins,($N$6-1)*480+232)+INDEX(TilgTilgung,($N$6-1)*480+232))+INDEX(TilgErsatz,($N$6-1)*480+232))</f>
      </c>
      <c r="G246" s="30">
        <f>IF(INDEX(TilgAktiv,($N$6-1)*480+232)=0,"",INDEX(TilgZins,($N$6-1)*480+232))</f>
      </c>
      <c r="H246" s="30">
        <f>IF(INDEX(TilgAktiv,($N$6-1)*480+232)=0,"",INDEX(TilgTilgung,($N$6-1)*480+232))</f>
      </c>
      <c r="I246" s="30">
        <f>IF(INDEX(TilgAktiv,($N$6-1)*480+232)=0,"",INDEX(TilgSonder,($N$6-1)*480+232))</f>
      </c>
      <c r="J246" s="30">
        <f>IF(INDEX(TilgAktiv,($N$6-1)*480+232)=0,"",INDEX(TilgErsatz,($N$6-1)*480+232))</f>
      </c>
      <c r="K246" s="30">
        <f>IF(INDEX(TilgAktiv,($N$6-1)*480+232)=0,"",INDEX(Tilgung!$Q$4:$Q$9603,($N$6-1)*480+232))</f>
      </c>
      <c r="L246" s="30">
        <f>IF(INDEX(TilgAktiv,($N$6-1)*480+232)=0,"",INDEX(Tilgung!$R$4:$R$9603,($N$6-1)*480+232))</f>
      </c>
    </row>
    <row r="247">
      <c r="A247"/>
      <c r="B247" s="36">
        <f>IF(INDEX(TilgAktiv,($N$6-1)*480+233)=0,"",233)</f>
      </c>
      <c r="C247" s="41">
        <f>IF(INDEX(TilgAktiv,($N$6-1)*480+233)=0,"",INDEX(TilgDatum,($N$6-1)*480+233))</f>
      </c>
      <c r="D247" s="31">
        <f>IF(INDEX(TilgAktiv,($N$6-1)*480+233)=0,"",INDEX(Tilgung!$H$4:$H$9603,($N$6-1)*480+233))</f>
      </c>
      <c r="E247" s="30">
        <f>IF(INDEX(TilgAktiv,($N$6-1)*480+233)=0,"",INDEX(Tilgung!$J$4:$J$9603,($N$6-1)*480+233))</f>
      </c>
      <c r="F247" s="30">
        <f>IF(INDEX(TilgAktiv,($N$6-1)*480+233)=0,"",IF(INDEX(TilgTilgung,($N$6-1)*480+233)=0,INDEX(TilgZins,($N$6-1)*480+233),INDEX(TilgZins,($N$6-1)*480+233)+INDEX(TilgTilgung,($N$6-1)*480+233))+INDEX(TilgErsatz,($N$6-1)*480+233))</f>
      </c>
      <c r="G247" s="30">
        <f>IF(INDEX(TilgAktiv,($N$6-1)*480+233)=0,"",INDEX(TilgZins,($N$6-1)*480+233))</f>
      </c>
      <c r="H247" s="30">
        <f>IF(INDEX(TilgAktiv,($N$6-1)*480+233)=0,"",INDEX(TilgTilgung,($N$6-1)*480+233))</f>
      </c>
      <c r="I247" s="30">
        <f>IF(INDEX(TilgAktiv,($N$6-1)*480+233)=0,"",INDEX(TilgSonder,($N$6-1)*480+233))</f>
      </c>
      <c r="J247" s="30">
        <f>IF(INDEX(TilgAktiv,($N$6-1)*480+233)=0,"",INDEX(TilgErsatz,($N$6-1)*480+233))</f>
      </c>
      <c r="K247" s="30">
        <f>IF(INDEX(TilgAktiv,($N$6-1)*480+233)=0,"",INDEX(Tilgung!$Q$4:$Q$9603,($N$6-1)*480+233))</f>
      </c>
      <c r="L247" s="30">
        <f>IF(INDEX(TilgAktiv,($N$6-1)*480+233)=0,"",INDEX(Tilgung!$R$4:$R$9603,($N$6-1)*480+233))</f>
      </c>
    </row>
    <row r="248">
      <c r="A248"/>
      <c r="B248" s="36">
        <f>IF(INDEX(TilgAktiv,($N$6-1)*480+234)=0,"",234)</f>
      </c>
      <c r="C248" s="41">
        <f>IF(INDEX(TilgAktiv,($N$6-1)*480+234)=0,"",INDEX(TilgDatum,($N$6-1)*480+234))</f>
      </c>
      <c r="D248" s="31">
        <f>IF(INDEX(TilgAktiv,($N$6-1)*480+234)=0,"",INDEX(Tilgung!$H$4:$H$9603,($N$6-1)*480+234))</f>
      </c>
      <c r="E248" s="30">
        <f>IF(INDEX(TilgAktiv,($N$6-1)*480+234)=0,"",INDEX(Tilgung!$J$4:$J$9603,($N$6-1)*480+234))</f>
      </c>
      <c r="F248" s="30">
        <f>IF(INDEX(TilgAktiv,($N$6-1)*480+234)=0,"",IF(INDEX(TilgTilgung,($N$6-1)*480+234)=0,INDEX(TilgZins,($N$6-1)*480+234),INDEX(TilgZins,($N$6-1)*480+234)+INDEX(TilgTilgung,($N$6-1)*480+234))+INDEX(TilgErsatz,($N$6-1)*480+234))</f>
      </c>
      <c r="G248" s="30">
        <f>IF(INDEX(TilgAktiv,($N$6-1)*480+234)=0,"",INDEX(TilgZins,($N$6-1)*480+234))</f>
      </c>
      <c r="H248" s="30">
        <f>IF(INDEX(TilgAktiv,($N$6-1)*480+234)=0,"",INDEX(TilgTilgung,($N$6-1)*480+234))</f>
      </c>
      <c r="I248" s="30">
        <f>IF(INDEX(TilgAktiv,($N$6-1)*480+234)=0,"",INDEX(TilgSonder,($N$6-1)*480+234))</f>
      </c>
      <c r="J248" s="30">
        <f>IF(INDEX(TilgAktiv,($N$6-1)*480+234)=0,"",INDEX(TilgErsatz,($N$6-1)*480+234))</f>
      </c>
      <c r="K248" s="30">
        <f>IF(INDEX(TilgAktiv,($N$6-1)*480+234)=0,"",INDEX(Tilgung!$Q$4:$Q$9603,($N$6-1)*480+234))</f>
      </c>
      <c r="L248" s="30">
        <f>IF(INDEX(TilgAktiv,($N$6-1)*480+234)=0,"",INDEX(Tilgung!$R$4:$R$9603,($N$6-1)*480+234))</f>
      </c>
    </row>
    <row r="249">
      <c r="A249"/>
      <c r="B249" s="36">
        <f>IF(INDEX(TilgAktiv,($N$6-1)*480+235)=0,"",235)</f>
      </c>
      <c r="C249" s="41">
        <f>IF(INDEX(TilgAktiv,($N$6-1)*480+235)=0,"",INDEX(TilgDatum,($N$6-1)*480+235))</f>
      </c>
      <c r="D249" s="31">
        <f>IF(INDEX(TilgAktiv,($N$6-1)*480+235)=0,"",INDEX(Tilgung!$H$4:$H$9603,($N$6-1)*480+235))</f>
      </c>
      <c r="E249" s="30">
        <f>IF(INDEX(TilgAktiv,($N$6-1)*480+235)=0,"",INDEX(Tilgung!$J$4:$J$9603,($N$6-1)*480+235))</f>
      </c>
      <c r="F249" s="30">
        <f>IF(INDEX(TilgAktiv,($N$6-1)*480+235)=0,"",IF(INDEX(TilgTilgung,($N$6-1)*480+235)=0,INDEX(TilgZins,($N$6-1)*480+235),INDEX(TilgZins,($N$6-1)*480+235)+INDEX(TilgTilgung,($N$6-1)*480+235))+INDEX(TilgErsatz,($N$6-1)*480+235))</f>
      </c>
      <c r="G249" s="30">
        <f>IF(INDEX(TilgAktiv,($N$6-1)*480+235)=0,"",INDEX(TilgZins,($N$6-1)*480+235))</f>
      </c>
      <c r="H249" s="30">
        <f>IF(INDEX(TilgAktiv,($N$6-1)*480+235)=0,"",INDEX(TilgTilgung,($N$6-1)*480+235))</f>
      </c>
      <c r="I249" s="30">
        <f>IF(INDEX(TilgAktiv,($N$6-1)*480+235)=0,"",INDEX(TilgSonder,($N$6-1)*480+235))</f>
      </c>
      <c r="J249" s="30">
        <f>IF(INDEX(TilgAktiv,($N$6-1)*480+235)=0,"",INDEX(TilgErsatz,($N$6-1)*480+235))</f>
      </c>
      <c r="K249" s="30">
        <f>IF(INDEX(TilgAktiv,($N$6-1)*480+235)=0,"",INDEX(Tilgung!$Q$4:$Q$9603,($N$6-1)*480+235))</f>
      </c>
      <c r="L249" s="30">
        <f>IF(INDEX(TilgAktiv,($N$6-1)*480+235)=0,"",INDEX(Tilgung!$R$4:$R$9603,($N$6-1)*480+235))</f>
      </c>
    </row>
    <row r="250">
      <c r="A250"/>
      <c r="B250" s="36">
        <f>IF(INDEX(TilgAktiv,($N$6-1)*480+236)=0,"",236)</f>
      </c>
      <c r="C250" s="41">
        <f>IF(INDEX(TilgAktiv,($N$6-1)*480+236)=0,"",INDEX(TilgDatum,($N$6-1)*480+236))</f>
      </c>
      <c r="D250" s="31">
        <f>IF(INDEX(TilgAktiv,($N$6-1)*480+236)=0,"",INDEX(Tilgung!$H$4:$H$9603,($N$6-1)*480+236))</f>
      </c>
      <c r="E250" s="30">
        <f>IF(INDEX(TilgAktiv,($N$6-1)*480+236)=0,"",INDEX(Tilgung!$J$4:$J$9603,($N$6-1)*480+236))</f>
      </c>
      <c r="F250" s="30">
        <f>IF(INDEX(TilgAktiv,($N$6-1)*480+236)=0,"",IF(INDEX(TilgTilgung,($N$6-1)*480+236)=0,INDEX(TilgZins,($N$6-1)*480+236),INDEX(TilgZins,($N$6-1)*480+236)+INDEX(TilgTilgung,($N$6-1)*480+236))+INDEX(TilgErsatz,($N$6-1)*480+236))</f>
      </c>
      <c r="G250" s="30">
        <f>IF(INDEX(TilgAktiv,($N$6-1)*480+236)=0,"",INDEX(TilgZins,($N$6-1)*480+236))</f>
      </c>
      <c r="H250" s="30">
        <f>IF(INDEX(TilgAktiv,($N$6-1)*480+236)=0,"",INDEX(TilgTilgung,($N$6-1)*480+236))</f>
      </c>
      <c r="I250" s="30">
        <f>IF(INDEX(TilgAktiv,($N$6-1)*480+236)=0,"",INDEX(TilgSonder,($N$6-1)*480+236))</f>
      </c>
      <c r="J250" s="30">
        <f>IF(INDEX(TilgAktiv,($N$6-1)*480+236)=0,"",INDEX(TilgErsatz,($N$6-1)*480+236))</f>
      </c>
      <c r="K250" s="30">
        <f>IF(INDEX(TilgAktiv,($N$6-1)*480+236)=0,"",INDEX(Tilgung!$Q$4:$Q$9603,($N$6-1)*480+236))</f>
      </c>
      <c r="L250" s="30">
        <f>IF(INDEX(TilgAktiv,($N$6-1)*480+236)=0,"",INDEX(Tilgung!$R$4:$R$9603,($N$6-1)*480+236))</f>
      </c>
    </row>
    <row r="251">
      <c r="A251"/>
      <c r="B251" s="36">
        <f>IF(INDEX(TilgAktiv,($N$6-1)*480+237)=0,"",237)</f>
      </c>
      <c r="C251" s="41">
        <f>IF(INDEX(TilgAktiv,($N$6-1)*480+237)=0,"",INDEX(TilgDatum,($N$6-1)*480+237))</f>
      </c>
      <c r="D251" s="31">
        <f>IF(INDEX(TilgAktiv,($N$6-1)*480+237)=0,"",INDEX(Tilgung!$H$4:$H$9603,($N$6-1)*480+237))</f>
      </c>
      <c r="E251" s="30">
        <f>IF(INDEX(TilgAktiv,($N$6-1)*480+237)=0,"",INDEX(Tilgung!$J$4:$J$9603,($N$6-1)*480+237))</f>
      </c>
      <c r="F251" s="30">
        <f>IF(INDEX(TilgAktiv,($N$6-1)*480+237)=0,"",IF(INDEX(TilgTilgung,($N$6-1)*480+237)=0,INDEX(TilgZins,($N$6-1)*480+237),INDEX(TilgZins,($N$6-1)*480+237)+INDEX(TilgTilgung,($N$6-1)*480+237))+INDEX(TilgErsatz,($N$6-1)*480+237))</f>
      </c>
      <c r="G251" s="30">
        <f>IF(INDEX(TilgAktiv,($N$6-1)*480+237)=0,"",INDEX(TilgZins,($N$6-1)*480+237))</f>
      </c>
      <c r="H251" s="30">
        <f>IF(INDEX(TilgAktiv,($N$6-1)*480+237)=0,"",INDEX(TilgTilgung,($N$6-1)*480+237))</f>
      </c>
      <c r="I251" s="30">
        <f>IF(INDEX(TilgAktiv,($N$6-1)*480+237)=0,"",INDEX(TilgSonder,($N$6-1)*480+237))</f>
      </c>
      <c r="J251" s="30">
        <f>IF(INDEX(TilgAktiv,($N$6-1)*480+237)=0,"",INDEX(TilgErsatz,($N$6-1)*480+237))</f>
      </c>
      <c r="K251" s="30">
        <f>IF(INDEX(TilgAktiv,($N$6-1)*480+237)=0,"",INDEX(Tilgung!$Q$4:$Q$9603,($N$6-1)*480+237))</f>
      </c>
      <c r="L251" s="30">
        <f>IF(INDEX(TilgAktiv,($N$6-1)*480+237)=0,"",INDEX(Tilgung!$R$4:$R$9603,($N$6-1)*480+237))</f>
      </c>
    </row>
    <row r="252">
      <c r="A252"/>
      <c r="B252" s="36">
        <f>IF(INDEX(TilgAktiv,($N$6-1)*480+238)=0,"",238)</f>
      </c>
      <c r="C252" s="41">
        <f>IF(INDEX(TilgAktiv,($N$6-1)*480+238)=0,"",INDEX(TilgDatum,($N$6-1)*480+238))</f>
      </c>
      <c r="D252" s="31">
        <f>IF(INDEX(TilgAktiv,($N$6-1)*480+238)=0,"",INDEX(Tilgung!$H$4:$H$9603,($N$6-1)*480+238))</f>
      </c>
      <c r="E252" s="30">
        <f>IF(INDEX(TilgAktiv,($N$6-1)*480+238)=0,"",INDEX(Tilgung!$J$4:$J$9603,($N$6-1)*480+238))</f>
      </c>
      <c r="F252" s="30">
        <f>IF(INDEX(TilgAktiv,($N$6-1)*480+238)=0,"",IF(INDEX(TilgTilgung,($N$6-1)*480+238)=0,INDEX(TilgZins,($N$6-1)*480+238),INDEX(TilgZins,($N$6-1)*480+238)+INDEX(TilgTilgung,($N$6-1)*480+238))+INDEX(TilgErsatz,($N$6-1)*480+238))</f>
      </c>
      <c r="G252" s="30">
        <f>IF(INDEX(TilgAktiv,($N$6-1)*480+238)=0,"",INDEX(TilgZins,($N$6-1)*480+238))</f>
      </c>
      <c r="H252" s="30">
        <f>IF(INDEX(TilgAktiv,($N$6-1)*480+238)=0,"",INDEX(TilgTilgung,($N$6-1)*480+238))</f>
      </c>
      <c r="I252" s="30">
        <f>IF(INDEX(TilgAktiv,($N$6-1)*480+238)=0,"",INDEX(TilgSonder,($N$6-1)*480+238))</f>
      </c>
      <c r="J252" s="30">
        <f>IF(INDEX(TilgAktiv,($N$6-1)*480+238)=0,"",INDEX(TilgErsatz,($N$6-1)*480+238))</f>
      </c>
      <c r="K252" s="30">
        <f>IF(INDEX(TilgAktiv,($N$6-1)*480+238)=0,"",INDEX(Tilgung!$Q$4:$Q$9603,($N$6-1)*480+238))</f>
      </c>
      <c r="L252" s="30">
        <f>IF(INDEX(TilgAktiv,($N$6-1)*480+238)=0,"",INDEX(Tilgung!$R$4:$R$9603,($N$6-1)*480+238))</f>
      </c>
    </row>
    <row r="253">
      <c r="A253"/>
      <c r="B253" s="36">
        <f>IF(INDEX(TilgAktiv,($N$6-1)*480+239)=0,"",239)</f>
      </c>
      <c r="C253" s="41">
        <f>IF(INDEX(TilgAktiv,($N$6-1)*480+239)=0,"",INDEX(TilgDatum,($N$6-1)*480+239))</f>
      </c>
      <c r="D253" s="31">
        <f>IF(INDEX(TilgAktiv,($N$6-1)*480+239)=0,"",INDEX(Tilgung!$H$4:$H$9603,($N$6-1)*480+239))</f>
      </c>
      <c r="E253" s="30">
        <f>IF(INDEX(TilgAktiv,($N$6-1)*480+239)=0,"",INDEX(Tilgung!$J$4:$J$9603,($N$6-1)*480+239))</f>
      </c>
      <c r="F253" s="30">
        <f>IF(INDEX(TilgAktiv,($N$6-1)*480+239)=0,"",IF(INDEX(TilgTilgung,($N$6-1)*480+239)=0,INDEX(TilgZins,($N$6-1)*480+239),INDEX(TilgZins,($N$6-1)*480+239)+INDEX(TilgTilgung,($N$6-1)*480+239))+INDEX(TilgErsatz,($N$6-1)*480+239))</f>
      </c>
      <c r="G253" s="30">
        <f>IF(INDEX(TilgAktiv,($N$6-1)*480+239)=0,"",INDEX(TilgZins,($N$6-1)*480+239))</f>
      </c>
      <c r="H253" s="30">
        <f>IF(INDEX(TilgAktiv,($N$6-1)*480+239)=0,"",INDEX(TilgTilgung,($N$6-1)*480+239))</f>
      </c>
      <c r="I253" s="30">
        <f>IF(INDEX(TilgAktiv,($N$6-1)*480+239)=0,"",INDEX(TilgSonder,($N$6-1)*480+239))</f>
      </c>
      <c r="J253" s="30">
        <f>IF(INDEX(TilgAktiv,($N$6-1)*480+239)=0,"",INDEX(TilgErsatz,($N$6-1)*480+239))</f>
      </c>
      <c r="K253" s="30">
        <f>IF(INDEX(TilgAktiv,($N$6-1)*480+239)=0,"",INDEX(Tilgung!$Q$4:$Q$9603,($N$6-1)*480+239))</f>
      </c>
      <c r="L253" s="30">
        <f>IF(INDEX(TilgAktiv,($N$6-1)*480+239)=0,"",INDEX(Tilgung!$R$4:$R$9603,($N$6-1)*480+239))</f>
      </c>
    </row>
    <row r="254">
      <c r="A254"/>
      <c r="B254" s="36">
        <f>IF(INDEX(TilgAktiv,($N$6-1)*480+240)=0,"",240)</f>
      </c>
      <c r="C254" s="41">
        <f>IF(INDEX(TilgAktiv,($N$6-1)*480+240)=0,"",INDEX(TilgDatum,($N$6-1)*480+240))</f>
      </c>
      <c r="D254" s="31">
        <f>IF(INDEX(TilgAktiv,($N$6-1)*480+240)=0,"",INDEX(Tilgung!$H$4:$H$9603,($N$6-1)*480+240))</f>
      </c>
      <c r="E254" s="30">
        <f>IF(INDEX(TilgAktiv,($N$6-1)*480+240)=0,"",INDEX(Tilgung!$J$4:$J$9603,($N$6-1)*480+240))</f>
      </c>
      <c r="F254" s="30">
        <f>IF(INDEX(TilgAktiv,($N$6-1)*480+240)=0,"",IF(INDEX(TilgTilgung,($N$6-1)*480+240)=0,INDEX(TilgZins,($N$6-1)*480+240),INDEX(TilgZins,($N$6-1)*480+240)+INDEX(TilgTilgung,($N$6-1)*480+240))+INDEX(TilgErsatz,($N$6-1)*480+240))</f>
      </c>
      <c r="G254" s="30">
        <f>IF(INDEX(TilgAktiv,($N$6-1)*480+240)=0,"",INDEX(TilgZins,($N$6-1)*480+240))</f>
      </c>
      <c r="H254" s="30">
        <f>IF(INDEX(TilgAktiv,($N$6-1)*480+240)=0,"",INDEX(TilgTilgung,($N$6-1)*480+240))</f>
      </c>
      <c r="I254" s="30">
        <f>IF(INDEX(TilgAktiv,($N$6-1)*480+240)=0,"",INDEX(TilgSonder,($N$6-1)*480+240))</f>
      </c>
      <c r="J254" s="30">
        <f>IF(INDEX(TilgAktiv,($N$6-1)*480+240)=0,"",INDEX(TilgErsatz,($N$6-1)*480+240))</f>
      </c>
      <c r="K254" s="30">
        <f>IF(INDEX(TilgAktiv,($N$6-1)*480+240)=0,"",INDEX(Tilgung!$Q$4:$Q$9603,($N$6-1)*480+240))</f>
      </c>
      <c r="L254" s="30">
        <f>IF(INDEX(TilgAktiv,($N$6-1)*480+240)=0,"",INDEX(Tilgung!$R$4:$R$9603,($N$6-1)*480+240))</f>
      </c>
    </row>
    <row r="255">
      <c r="A255"/>
      <c r="B255" s="36">
        <f>IF(INDEX(TilgAktiv,($N$6-1)*480+241)=0,"",241)</f>
      </c>
      <c r="C255" s="41">
        <f>IF(INDEX(TilgAktiv,($N$6-1)*480+241)=0,"",INDEX(TilgDatum,($N$6-1)*480+241))</f>
      </c>
      <c r="D255" s="31">
        <f>IF(INDEX(TilgAktiv,($N$6-1)*480+241)=0,"",INDEX(Tilgung!$H$4:$H$9603,($N$6-1)*480+241))</f>
      </c>
      <c r="E255" s="30">
        <f>IF(INDEX(TilgAktiv,($N$6-1)*480+241)=0,"",INDEX(Tilgung!$J$4:$J$9603,($N$6-1)*480+241))</f>
      </c>
      <c r="F255" s="30">
        <f>IF(INDEX(TilgAktiv,($N$6-1)*480+241)=0,"",IF(INDEX(TilgTilgung,($N$6-1)*480+241)=0,INDEX(TilgZins,($N$6-1)*480+241),INDEX(TilgZins,($N$6-1)*480+241)+INDEX(TilgTilgung,($N$6-1)*480+241))+INDEX(TilgErsatz,($N$6-1)*480+241))</f>
      </c>
      <c r="G255" s="30">
        <f>IF(INDEX(TilgAktiv,($N$6-1)*480+241)=0,"",INDEX(TilgZins,($N$6-1)*480+241))</f>
      </c>
      <c r="H255" s="30">
        <f>IF(INDEX(TilgAktiv,($N$6-1)*480+241)=0,"",INDEX(TilgTilgung,($N$6-1)*480+241))</f>
      </c>
      <c r="I255" s="30">
        <f>IF(INDEX(TilgAktiv,($N$6-1)*480+241)=0,"",INDEX(TilgSonder,($N$6-1)*480+241))</f>
      </c>
      <c r="J255" s="30">
        <f>IF(INDEX(TilgAktiv,($N$6-1)*480+241)=0,"",INDEX(TilgErsatz,($N$6-1)*480+241))</f>
      </c>
      <c r="K255" s="30">
        <f>IF(INDEX(TilgAktiv,($N$6-1)*480+241)=0,"",INDEX(Tilgung!$Q$4:$Q$9603,($N$6-1)*480+241))</f>
      </c>
      <c r="L255" s="30">
        <f>IF(INDEX(TilgAktiv,($N$6-1)*480+241)=0,"",INDEX(Tilgung!$R$4:$R$9603,($N$6-1)*480+241))</f>
      </c>
    </row>
    <row r="256">
      <c r="A256"/>
      <c r="B256" s="36">
        <f>IF(INDEX(TilgAktiv,($N$6-1)*480+242)=0,"",242)</f>
      </c>
      <c r="C256" s="41">
        <f>IF(INDEX(TilgAktiv,($N$6-1)*480+242)=0,"",INDEX(TilgDatum,($N$6-1)*480+242))</f>
      </c>
      <c r="D256" s="31">
        <f>IF(INDEX(TilgAktiv,($N$6-1)*480+242)=0,"",INDEX(Tilgung!$H$4:$H$9603,($N$6-1)*480+242))</f>
      </c>
      <c r="E256" s="30">
        <f>IF(INDEX(TilgAktiv,($N$6-1)*480+242)=0,"",INDEX(Tilgung!$J$4:$J$9603,($N$6-1)*480+242))</f>
      </c>
      <c r="F256" s="30">
        <f>IF(INDEX(TilgAktiv,($N$6-1)*480+242)=0,"",IF(INDEX(TilgTilgung,($N$6-1)*480+242)=0,INDEX(TilgZins,($N$6-1)*480+242),INDEX(TilgZins,($N$6-1)*480+242)+INDEX(TilgTilgung,($N$6-1)*480+242))+INDEX(TilgErsatz,($N$6-1)*480+242))</f>
      </c>
      <c r="G256" s="30">
        <f>IF(INDEX(TilgAktiv,($N$6-1)*480+242)=0,"",INDEX(TilgZins,($N$6-1)*480+242))</f>
      </c>
      <c r="H256" s="30">
        <f>IF(INDEX(TilgAktiv,($N$6-1)*480+242)=0,"",INDEX(TilgTilgung,($N$6-1)*480+242))</f>
      </c>
      <c r="I256" s="30">
        <f>IF(INDEX(TilgAktiv,($N$6-1)*480+242)=0,"",INDEX(TilgSonder,($N$6-1)*480+242))</f>
      </c>
      <c r="J256" s="30">
        <f>IF(INDEX(TilgAktiv,($N$6-1)*480+242)=0,"",INDEX(TilgErsatz,($N$6-1)*480+242))</f>
      </c>
      <c r="K256" s="30">
        <f>IF(INDEX(TilgAktiv,($N$6-1)*480+242)=0,"",INDEX(Tilgung!$Q$4:$Q$9603,($N$6-1)*480+242))</f>
      </c>
      <c r="L256" s="30">
        <f>IF(INDEX(TilgAktiv,($N$6-1)*480+242)=0,"",INDEX(Tilgung!$R$4:$R$9603,($N$6-1)*480+242))</f>
      </c>
    </row>
    <row r="257">
      <c r="A257"/>
      <c r="B257" s="36">
        <f>IF(INDEX(TilgAktiv,($N$6-1)*480+243)=0,"",243)</f>
      </c>
      <c r="C257" s="41">
        <f>IF(INDEX(TilgAktiv,($N$6-1)*480+243)=0,"",INDEX(TilgDatum,($N$6-1)*480+243))</f>
      </c>
      <c r="D257" s="31">
        <f>IF(INDEX(TilgAktiv,($N$6-1)*480+243)=0,"",INDEX(Tilgung!$H$4:$H$9603,($N$6-1)*480+243))</f>
      </c>
      <c r="E257" s="30">
        <f>IF(INDEX(TilgAktiv,($N$6-1)*480+243)=0,"",INDEX(Tilgung!$J$4:$J$9603,($N$6-1)*480+243))</f>
      </c>
      <c r="F257" s="30">
        <f>IF(INDEX(TilgAktiv,($N$6-1)*480+243)=0,"",IF(INDEX(TilgTilgung,($N$6-1)*480+243)=0,INDEX(TilgZins,($N$6-1)*480+243),INDEX(TilgZins,($N$6-1)*480+243)+INDEX(TilgTilgung,($N$6-1)*480+243))+INDEX(TilgErsatz,($N$6-1)*480+243))</f>
      </c>
      <c r="G257" s="30">
        <f>IF(INDEX(TilgAktiv,($N$6-1)*480+243)=0,"",INDEX(TilgZins,($N$6-1)*480+243))</f>
      </c>
      <c r="H257" s="30">
        <f>IF(INDEX(TilgAktiv,($N$6-1)*480+243)=0,"",INDEX(TilgTilgung,($N$6-1)*480+243))</f>
      </c>
      <c r="I257" s="30">
        <f>IF(INDEX(TilgAktiv,($N$6-1)*480+243)=0,"",INDEX(TilgSonder,($N$6-1)*480+243))</f>
      </c>
      <c r="J257" s="30">
        <f>IF(INDEX(TilgAktiv,($N$6-1)*480+243)=0,"",INDEX(TilgErsatz,($N$6-1)*480+243))</f>
      </c>
      <c r="K257" s="30">
        <f>IF(INDEX(TilgAktiv,($N$6-1)*480+243)=0,"",INDEX(Tilgung!$Q$4:$Q$9603,($N$6-1)*480+243))</f>
      </c>
      <c r="L257" s="30">
        <f>IF(INDEX(TilgAktiv,($N$6-1)*480+243)=0,"",INDEX(Tilgung!$R$4:$R$9603,($N$6-1)*480+243))</f>
      </c>
    </row>
    <row r="258">
      <c r="A258"/>
      <c r="B258" s="36">
        <f>IF(INDEX(TilgAktiv,($N$6-1)*480+244)=0,"",244)</f>
      </c>
      <c r="C258" s="41">
        <f>IF(INDEX(TilgAktiv,($N$6-1)*480+244)=0,"",INDEX(TilgDatum,($N$6-1)*480+244))</f>
      </c>
      <c r="D258" s="31">
        <f>IF(INDEX(TilgAktiv,($N$6-1)*480+244)=0,"",INDEX(Tilgung!$H$4:$H$9603,($N$6-1)*480+244))</f>
      </c>
      <c r="E258" s="30">
        <f>IF(INDEX(TilgAktiv,($N$6-1)*480+244)=0,"",INDEX(Tilgung!$J$4:$J$9603,($N$6-1)*480+244))</f>
      </c>
      <c r="F258" s="30">
        <f>IF(INDEX(TilgAktiv,($N$6-1)*480+244)=0,"",IF(INDEX(TilgTilgung,($N$6-1)*480+244)=0,INDEX(TilgZins,($N$6-1)*480+244),INDEX(TilgZins,($N$6-1)*480+244)+INDEX(TilgTilgung,($N$6-1)*480+244))+INDEX(TilgErsatz,($N$6-1)*480+244))</f>
      </c>
      <c r="G258" s="30">
        <f>IF(INDEX(TilgAktiv,($N$6-1)*480+244)=0,"",INDEX(TilgZins,($N$6-1)*480+244))</f>
      </c>
      <c r="H258" s="30">
        <f>IF(INDEX(TilgAktiv,($N$6-1)*480+244)=0,"",INDEX(TilgTilgung,($N$6-1)*480+244))</f>
      </c>
      <c r="I258" s="30">
        <f>IF(INDEX(TilgAktiv,($N$6-1)*480+244)=0,"",INDEX(TilgSonder,($N$6-1)*480+244))</f>
      </c>
      <c r="J258" s="30">
        <f>IF(INDEX(TilgAktiv,($N$6-1)*480+244)=0,"",INDEX(TilgErsatz,($N$6-1)*480+244))</f>
      </c>
      <c r="K258" s="30">
        <f>IF(INDEX(TilgAktiv,($N$6-1)*480+244)=0,"",INDEX(Tilgung!$Q$4:$Q$9603,($N$6-1)*480+244))</f>
      </c>
      <c r="L258" s="30">
        <f>IF(INDEX(TilgAktiv,($N$6-1)*480+244)=0,"",INDEX(Tilgung!$R$4:$R$9603,($N$6-1)*480+244))</f>
      </c>
    </row>
    <row r="259">
      <c r="A259"/>
      <c r="B259" s="36">
        <f>IF(INDEX(TilgAktiv,($N$6-1)*480+245)=0,"",245)</f>
      </c>
      <c r="C259" s="41">
        <f>IF(INDEX(TilgAktiv,($N$6-1)*480+245)=0,"",INDEX(TilgDatum,($N$6-1)*480+245))</f>
      </c>
      <c r="D259" s="31">
        <f>IF(INDEX(TilgAktiv,($N$6-1)*480+245)=0,"",INDEX(Tilgung!$H$4:$H$9603,($N$6-1)*480+245))</f>
      </c>
      <c r="E259" s="30">
        <f>IF(INDEX(TilgAktiv,($N$6-1)*480+245)=0,"",INDEX(Tilgung!$J$4:$J$9603,($N$6-1)*480+245))</f>
      </c>
      <c r="F259" s="30">
        <f>IF(INDEX(TilgAktiv,($N$6-1)*480+245)=0,"",IF(INDEX(TilgTilgung,($N$6-1)*480+245)=0,INDEX(TilgZins,($N$6-1)*480+245),INDEX(TilgZins,($N$6-1)*480+245)+INDEX(TilgTilgung,($N$6-1)*480+245))+INDEX(TilgErsatz,($N$6-1)*480+245))</f>
      </c>
      <c r="G259" s="30">
        <f>IF(INDEX(TilgAktiv,($N$6-1)*480+245)=0,"",INDEX(TilgZins,($N$6-1)*480+245))</f>
      </c>
      <c r="H259" s="30">
        <f>IF(INDEX(TilgAktiv,($N$6-1)*480+245)=0,"",INDEX(TilgTilgung,($N$6-1)*480+245))</f>
      </c>
      <c r="I259" s="30">
        <f>IF(INDEX(TilgAktiv,($N$6-1)*480+245)=0,"",INDEX(TilgSonder,($N$6-1)*480+245))</f>
      </c>
      <c r="J259" s="30">
        <f>IF(INDEX(TilgAktiv,($N$6-1)*480+245)=0,"",INDEX(TilgErsatz,($N$6-1)*480+245))</f>
      </c>
      <c r="K259" s="30">
        <f>IF(INDEX(TilgAktiv,($N$6-1)*480+245)=0,"",INDEX(Tilgung!$Q$4:$Q$9603,($N$6-1)*480+245))</f>
      </c>
      <c r="L259" s="30">
        <f>IF(INDEX(TilgAktiv,($N$6-1)*480+245)=0,"",INDEX(Tilgung!$R$4:$R$9603,($N$6-1)*480+245))</f>
      </c>
    </row>
    <row r="260">
      <c r="A260"/>
      <c r="B260" s="36">
        <f>IF(INDEX(TilgAktiv,($N$6-1)*480+246)=0,"",246)</f>
      </c>
      <c r="C260" s="41">
        <f>IF(INDEX(TilgAktiv,($N$6-1)*480+246)=0,"",INDEX(TilgDatum,($N$6-1)*480+246))</f>
      </c>
      <c r="D260" s="31">
        <f>IF(INDEX(TilgAktiv,($N$6-1)*480+246)=0,"",INDEX(Tilgung!$H$4:$H$9603,($N$6-1)*480+246))</f>
      </c>
      <c r="E260" s="30">
        <f>IF(INDEX(TilgAktiv,($N$6-1)*480+246)=0,"",INDEX(Tilgung!$J$4:$J$9603,($N$6-1)*480+246))</f>
      </c>
      <c r="F260" s="30">
        <f>IF(INDEX(TilgAktiv,($N$6-1)*480+246)=0,"",IF(INDEX(TilgTilgung,($N$6-1)*480+246)=0,INDEX(TilgZins,($N$6-1)*480+246),INDEX(TilgZins,($N$6-1)*480+246)+INDEX(TilgTilgung,($N$6-1)*480+246))+INDEX(TilgErsatz,($N$6-1)*480+246))</f>
      </c>
      <c r="G260" s="30">
        <f>IF(INDEX(TilgAktiv,($N$6-1)*480+246)=0,"",INDEX(TilgZins,($N$6-1)*480+246))</f>
      </c>
      <c r="H260" s="30">
        <f>IF(INDEX(TilgAktiv,($N$6-1)*480+246)=0,"",INDEX(TilgTilgung,($N$6-1)*480+246))</f>
      </c>
      <c r="I260" s="30">
        <f>IF(INDEX(TilgAktiv,($N$6-1)*480+246)=0,"",INDEX(TilgSonder,($N$6-1)*480+246))</f>
      </c>
      <c r="J260" s="30">
        <f>IF(INDEX(TilgAktiv,($N$6-1)*480+246)=0,"",INDEX(TilgErsatz,($N$6-1)*480+246))</f>
      </c>
      <c r="K260" s="30">
        <f>IF(INDEX(TilgAktiv,($N$6-1)*480+246)=0,"",INDEX(Tilgung!$Q$4:$Q$9603,($N$6-1)*480+246))</f>
      </c>
      <c r="L260" s="30">
        <f>IF(INDEX(TilgAktiv,($N$6-1)*480+246)=0,"",INDEX(Tilgung!$R$4:$R$9603,($N$6-1)*480+246))</f>
      </c>
    </row>
    <row r="261">
      <c r="A261"/>
      <c r="B261" s="36">
        <f>IF(INDEX(TilgAktiv,($N$6-1)*480+247)=0,"",247)</f>
      </c>
      <c r="C261" s="41">
        <f>IF(INDEX(TilgAktiv,($N$6-1)*480+247)=0,"",INDEX(TilgDatum,($N$6-1)*480+247))</f>
      </c>
      <c r="D261" s="31">
        <f>IF(INDEX(TilgAktiv,($N$6-1)*480+247)=0,"",INDEX(Tilgung!$H$4:$H$9603,($N$6-1)*480+247))</f>
      </c>
      <c r="E261" s="30">
        <f>IF(INDEX(TilgAktiv,($N$6-1)*480+247)=0,"",INDEX(Tilgung!$J$4:$J$9603,($N$6-1)*480+247))</f>
      </c>
      <c r="F261" s="30">
        <f>IF(INDEX(TilgAktiv,($N$6-1)*480+247)=0,"",IF(INDEX(TilgTilgung,($N$6-1)*480+247)=0,INDEX(TilgZins,($N$6-1)*480+247),INDEX(TilgZins,($N$6-1)*480+247)+INDEX(TilgTilgung,($N$6-1)*480+247))+INDEX(TilgErsatz,($N$6-1)*480+247))</f>
      </c>
      <c r="G261" s="30">
        <f>IF(INDEX(TilgAktiv,($N$6-1)*480+247)=0,"",INDEX(TilgZins,($N$6-1)*480+247))</f>
      </c>
      <c r="H261" s="30">
        <f>IF(INDEX(TilgAktiv,($N$6-1)*480+247)=0,"",INDEX(TilgTilgung,($N$6-1)*480+247))</f>
      </c>
      <c r="I261" s="30">
        <f>IF(INDEX(TilgAktiv,($N$6-1)*480+247)=0,"",INDEX(TilgSonder,($N$6-1)*480+247))</f>
      </c>
      <c r="J261" s="30">
        <f>IF(INDEX(TilgAktiv,($N$6-1)*480+247)=0,"",INDEX(TilgErsatz,($N$6-1)*480+247))</f>
      </c>
      <c r="K261" s="30">
        <f>IF(INDEX(TilgAktiv,($N$6-1)*480+247)=0,"",INDEX(Tilgung!$Q$4:$Q$9603,($N$6-1)*480+247))</f>
      </c>
      <c r="L261" s="30">
        <f>IF(INDEX(TilgAktiv,($N$6-1)*480+247)=0,"",INDEX(Tilgung!$R$4:$R$9603,($N$6-1)*480+247))</f>
      </c>
    </row>
    <row r="262">
      <c r="A262"/>
      <c r="B262" s="36">
        <f>IF(INDEX(TilgAktiv,($N$6-1)*480+248)=0,"",248)</f>
      </c>
      <c r="C262" s="41">
        <f>IF(INDEX(TilgAktiv,($N$6-1)*480+248)=0,"",INDEX(TilgDatum,($N$6-1)*480+248))</f>
      </c>
      <c r="D262" s="31">
        <f>IF(INDEX(TilgAktiv,($N$6-1)*480+248)=0,"",INDEX(Tilgung!$H$4:$H$9603,($N$6-1)*480+248))</f>
      </c>
      <c r="E262" s="30">
        <f>IF(INDEX(TilgAktiv,($N$6-1)*480+248)=0,"",INDEX(Tilgung!$J$4:$J$9603,($N$6-1)*480+248))</f>
      </c>
      <c r="F262" s="30">
        <f>IF(INDEX(TilgAktiv,($N$6-1)*480+248)=0,"",IF(INDEX(TilgTilgung,($N$6-1)*480+248)=0,INDEX(TilgZins,($N$6-1)*480+248),INDEX(TilgZins,($N$6-1)*480+248)+INDEX(TilgTilgung,($N$6-1)*480+248))+INDEX(TilgErsatz,($N$6-1)*480+248))</f>
      </c>
      <c r="G262" s="30">
        <f>IF(INDEX(TilgAktiv,($N$6-1)*480+248)=0,"",INDEX(TilgZins,($N$6-1)*480+248))</f>
      </c>
      <c r="H262" s="30">
        <f>IF(INDEX(TilgAktiv,($N$6-1)*480+248)=0,"",INDEX(TilgTilgung,($N$6-1)*480+248))</f>
      </c>
      <c r="I262" s="30">
        <f>IF(INDEX(TilgAktiv,($N$6-1)*480+248)=0,"",INDEX(TilgSonder,($N$6-1)*480+248))</f>
      </c>
      <c r="J262" s="30">
        <f>IF(INDEX(TilgAktiv,($N$6-1)*480+248)=0,"",INDEX(TilgErsatz,($N$6-1)*480+248))</f>
      </c>
      <c r="K262" s="30">
        <f>IF(INDEX(TilgAktiv,($N$6-1)*480+248)=0,"",INDEX(Tilgung!$Q$4:$Q$9603,($N$6-1)*480+248))</f>
      </c>
      <c r="L262" s="30">
        <f>IF(INDEX(TilgAktiv,($N$6-1)*480+248)=0,"",INDEX(Tilgung!$R$4:$R$9603,($N$6-1)*480+248))</f>
      </c>
    </row>
    <row r="263">
      <c r="A263"/>
      <c r="B263" s="36">
        <f>IF(INDEX(TilgAktiv,($N$6-1)*480+249)=0,"",249)</f>
      </c>
      <c r="C263" s="41">
        <f>IF(INDEX(TilgAktiv,($N$6-1)*480+249)=0,"",INDEX(TilgDatum,($N$6-1)*480+249))</f>
      </c>
      <c r="D263" s="31">
        <f>IF(INDEX(TilgAktiv,($N$6-1)*480+249)=0,"",INDEX(Tilgung!$H$4:$H$9603,($N$6-1)*480+249))</f>
      </c>
      <c r="E263" s="30">
        <f>IF(INDEX(TilgAktiv,($N$6-1)*480+249)=0,"",INDEX(Tilgung!$J$4:$J$9603,($N$6-1)*480+249))</f>
      </c>
      <c r="F263" s="30">
        <f>IF(INDEX(TilgAktiv,($N$6-1)*480+249)=0,"",IF(INDEX(TilgTilgung,($N$6-1)*480+249)=0,INDEX(TilgZins,($N$6-1)*480+249),INDEX(TilgZins,($N$6-1)*480+249)+INDEX(TilgTilgung,($N$6-1)*480+249))+INDEX(TilgErsatz,($N$6-1)*480+249))</f>
      </c>
      <c r="G263" s="30">
        <f>IF(INDEX(TilgAktiv,($N$6-1)*480+249)=0,"",INDEX(TilgZins,($N$6-1)*480+249))</f>
      </c>
      <c r="H263" s="30">
        <f>IF(INDEX(TilgAktiv,($N$6-1)*480+249)=0,"",INDEX(TilgTilgung,($N$6-1)*480+249))</f>
      </c>
      <c r="I263" s="30">
        <f>IF(INDEX(TilgAktiv,($N$6-1)*480+249)=0,"",INDEX(TilgSonder,($N$6-1)*480+249))</f>
      </c>
      <c r="J263" s="30">
        <f>IF(INDEX(TilgAktiv,($N$6-1)*480+249)=0,"",INDEX(TilgErsatz,($N$6-1)*480+249))</f>
      </c>
      <c r="K263" s="30">
        <f>IF(INDEX(TilgAktiv,($N$6-1)*480+249)=0,"",INDEX(Tilgung!$Q$4:$Q$9603,($N$6-1)*480+249))</f>
      </c>
      <c r="L263" s="30">
        <f>IF(INDEX(TilgAktiv,($N$6-1)*480+249)=0,"",INDEX(Tilgung!$R$4:$R$9603,($N$6-1)*480+249))</f>
      </c>
    </row>
    <row r="264">
      <c r="A264"/>
      <c r="B264" s="36">
        <f>IF(INDEX(TilgAktiv,($N$6-1)*480+250)=0,"",250)</f>
      </c>
      <c r="C264" s="41">
        <f>IF(INDEX(TilgAktiv,($N$6-1)*480+250)=0,"",INDEX(TilgDatum,($N$6-1)*480+250))</f>
      </c>
      <c r="D264" s="31">
        <f>IF(INDEX(TilgAktiv,($N$6-1)*480+250)=0,"",INDEX(Tilgung!$H$4:$H$9603,($N$6-1)*480+250))</f>
      </c>
      <c r="E264" s="30">
        <f>IF(INDEX(TilgAktiv,($N$6-1)*480+250)=0,"",INDEX(Tilgung!$J$4:$J$9603,($N$6-1)*480+250))</f>
      </c>
      <c r="F264" s="30">
        <f>IF(INDEX(TilgAktiv,($N$6-1)*480+250)=0,"",IF(INDEX(TilgTilgung,($N$6-1)*480+250)=0,INDEX(TilgZins,($N$6-1)*480+250),INDEX(TilgZins,($N$6-1)*480+250)+INDEX(TilgTilgung,($N$6-1)*480+250))+INDEX(TilgErsatz,($N$6-1)*480+250))</f>
      </c>
      <c r="G264" s="30">
        <f>IF(INDEX(TilgAktiv,($N$6-1)*480+250)=0,"",INDEX(TilgZins,($N$6-1)*480+250))</f>
      </c>
      <c r="H264" s="30">
        <f>IF(INDEX(TilgAktiv,($N$6-1)*480+250)=0,"",INDEX(TilgTilgung,($N$6-1)*480+250))</f>
      </c>
      <c r="I264" s="30">
        <f>IF(INDEX(TilgAktiv,($N$6-1)*480+250)=0,"",INDEX(TilgSonder,($N$6-1)*480+250))</f>
      </c>
      <c r="J264" s="30">
        <f>IF(INDEX(TilgAktiv,($N$6-1)*480+250)=0,"",INDEX(TilgErsatz,($N$6-1)*480+250))</f>
      </c>
      <c r="K264" s="30">
        <f>IF(INDEX(TilgAktiv,($N$6-1)*480+250)=0,"",INDEX(Tilgung!$Q$4:$Q$9603,($N$6-1)*480+250))</f>
      </c>
      <c r="L264" s="30">
        <f>IF(INDEX(TilgAktiv,($N$6-1)*480+250)=0,"",INDEX(Tilgung!$R$4:$R$9603,($N$6-1)*480+250))</f>
      </c>
    </row>
    <row r="265">
      <c r="A265"/>
      <c r="B265" s="36">
        <f>IF(INDEX(TilgAktiv,($N$6-1)*480+251)=0,"",251)</f>
      </c>
      <c r="C265" s="41">
        <f>IF(INDEX(TilgAktiv,($N$6-1)*480+251)=0,"",INDEX(TilgDatum,($N$6-1)*480+251))</f>
      </c>
      <c r="D265" s="31">
        <f>IF(INDEX(TilgAktiv,($N$6-1)*480+251)=0,"",INDEX(Tilgung!$H$4:$H$9603,($N$6-1)*480+251))</f>
      </c>
      <c r="E265" s="30">
        <f>IF(INDEX(TilgAktiv,($N$6-1)*480+251)=0,"",INDEX(Tilgung!$J$4:$J$9603,($N$6-1)*480+251))</f>
      </c>
      <c r="F265" s="30">
        <f>IF(INDEX(TilgAktiv,($N$6-1)*480+251)=0,"",IF(INDEX(TilgTilgung,($N$6-1)*480+251)=0,INDEX(TilgZins,($N$6-1)*480+251),INDEX(TilgZins,($N$6-1)*480+251)+INDEX(TilgTilgung,($N$6-1)*480+251))+INDEX(TilgErsatz,($N$6-1)*480+251))</f>
      </c>
      <c r="G265" s="30">
        <f>IF(INDEX(TilgAktiv,($N$6-1)*480+251)=0,"",INDEX(TilgZins,($N$6-1)*480+251))</f>
      </c>
      <c r="H265" s="30">
        <f>IF(INDEX(TilgAktiv,($N$6-1)*480+251)=0,"",INDEX(TilgTilgung,($N$6-1)*480+251))</f>
      </c>
      <c r="I265" s="30">
        <f>IF(INDEX(TilgAktiv,($N$6-1)*480+251)=0,"",INDEX(TilgSonder,($N$6-1)*480+251))</f>
      </c>
      <c r="J265" s="30">
        <f>IF(INDEX(TilgAktiv,($N$6-1)*480+251)=0,"",INDEX(TilgErsatz,($N$6-1)*480+251))</f>
      </c>
      <c r="K265" s="30">
        <f>IF(INDEX(TilgAktiv,($N$6-1)*480+251)=0,"",INDEX(Tilgung!$Q$4:$Q$9603,($N$6-1)*480+251))</f>
      </c>
      <c r="L265" s="30">
        <f>IF(INDEX(TilgAktiv,($N$6-1)*480+251)=0,"",INDEX(Tilgung!$R$4:$R$9603,($N$6-1)*480+251))</f>
      </c>
    </row>
    <row r="266">
      <c r="A266"/>
      <c r="B266" s="36">
        <f>IF(INDEX(TilgAktiv,($N$6-1)*480+252)=0,"",252)</f>
      </c>
      <c r="C266" s="41">
        <f>IF(INDEX(TilgAktiv,($N$6-1)*480+252)=0,"",INDEX(TilgDatum,($N$6-1)*480+252))</f>
      </c>
      <c r="D266" s="31">
        <f>IF(INDEX(TilgAktiv,($N$6-1)*480+252)=0,"",INDEX(Tilgung!$H$4:$H$9603,($N$6-1)*480+252))</f>
      </c>
      <c r="E266" s="30">
        <f>IF(INDEX(TilgAktiv,($N$6-1)*480+252)=0,"",INDEX(Tilgung!$J$4:$J$9603,($N$6-1)*480+252))</f>
      </c>
      <c r="F266" s="30">
        <f>IF(INDEX(TilgAktiv,($N$6-1)*480+252)=0,"",IF(INDEX(TilgTilgung,($N$6-1)*480+252)=0,INDEX(TilgZins,($N$6-1)*480+252),INDEX(TilgZins,($N$6-1)*480+252)+INDEX(TilgTilgung,($N$6-1)*480+252))+INDEX(TilgErsatz,($N$6-1)*480+252))</f>
      </c>
      <c r="G266" s="30">
        <f>IF(INDEX(TilgAktiv,($N$6-1)*480+252)=0,"",INDEX(TilgZins,($N$6-1)*480+252))</f>
      </c>
      <c r="H266" s="30">
        <f>IF(INDEX(TilgAktiv,($N$6-1)*480+252)=0,"",INDEX(TilgTilgung,($N$6-1)*480+252))</f>
      </c>
      <c r="I266" s="30">
        <f>IF(INDEX(TilgAktiv,($N$6-1)*480+252)=0,"",INDEX(TilgSonder,($N$6-1)*480+252))</f>
      </c>
      <c r="J266" s="30">
        <f>IF(INDEX(TilgAktiv,($N$6-1)*480+252)=0,"",INDEX(TilgErsatz,($N$6-1)*480+252))</f>
      </c>
      <c r="K266" s="30">
        <f>IF(INDEX(TilgAktiv,($N$6-1)*480+252)=0,"",INDEX(Tilgung!$Q$4:$Q$9603,($N$6-1)*480+252))</f>
      </c>
      <c r="L266" s="30">
        <f>IF(INDEX(TilgAktiv,($N$6-1)*480+252)=0,"",INDEX(Tilgung!$R$4:$R$9603,($N$6-1)*480+252))</f>
      </c>
    </row>
    <row r="267">
      <c r="A267"/>
      <c r="B267" s="36">
        <f>IF(INDEX(TilgAktiv,($N$6-1)*480+253)=0,"",253)</f>
      </c>
      <c r="C267" s="41">
        <f>IF(INDEX(TilgAktiv,($N$6-1)*480+253)=0,"",INDEX(TilgDatum,($N$6-1)*480+253))</f>
      </c>
      <c r="D267" s="31">
        <f>IF(INDEX(TilgAktiv,($N$6-1)*480+253)=0,"",INDEX(Tilgung!$H$4:$H$9603,($N$6-1)*480+253))</f>
      </c>
      <c r="E267" s="30">
        <f>IF(INDEX(TilgAktiv,($N$6-1)*480+253)=0,"",INDEX(Tilgung!$J$4:$J$9603,($N$6-1)*480+253))</f>
      </c>
      <c r="F267" s="30">
        <f>IF(INDEX(TilgAktiv,($N$6-1)*480+253)=0,"",IF(INDEX(TilgTilgung,($N$6-1)*480+253)=0,INDEX(TilgZins,($N$6-1)*480+253),INDEX(TilgZins,($N$6-1)*480+253)+INDEX(TilgTilgung,($N$6-1)*480+253))+INDEX(TilgErsatz,($N$6-1)*480+253))</f>
      </c>
      <c r="G267" s="30">
        <f>IF(INDEX(TilgAktiv,($N$6-1)*480+253)=0,"",INDEX(TilgZins,($N$6-1)*480+253))</f>
      </c>
      <c r="H267" s="30">
        <f>IF(INDEX(TilgAktiv,($N$6-1)*480+253)=0,"",INDEX(TilgTilgung,($N$6-1)*480+253))</f>
      </c>
      <c r="I267" s="30">
        <f>IF(INDEX(TilgAktiv,($N$6-1)*480+253)=0,"",INDEX(TilgSonder,($N$6-1)*480+253))</f>
      </c>
      <c r="J267" s="30">
        <f>IF(INDEX(TilgAktiv,($N$6-1)*480+253)=0,"",INDEX(TilgErsatz,($N$6-1)*480+253))</f>
      </c>
      <c r="K267" s="30">
        <f>IF(INDEX(TilgAktiv,($N$6-1)*480+253)=0,"",INDEX(Tilgung!$Q$4:$Q$9603,($N$6-1)*480+253))</f>
      </c>
      <c r="L267" s="30">
        <f>IF(INDEX(TilgAktiv,($N$6-1)*480+253)=0,"",INDEX(Tilgung!$R$4:$R$9603,($N$6-1)*480+253))</f>
      </c>
    </row>
    <row r="268">
      <c r="A268"/>
      <c r="B268" s="36">
        <f>IF(INDEX(TilgAktiv,($N$6-1)*480+254)=0,"",254)</f>
      </c>
      <c r="C268" s="41">
        <f>IF(INDEX(TilgAktiv,($N$6-1)*480+254)=0,"",INDEX(TilgDatum,($N$6-1)*480+254))</f>
      </c>
      <c r="D268" s="31">
        <f>IF(INDEX(TilgAktiv,($N$6-1)*480+254)=0,"",INDEX(Tilgung!$H$4:$H$9603,($N$6-1)*480+254))</f>
      </c>
      <c r="E268" s="30">
        <f>IF(INDEX(TilgAktiv,($N$6-1)*480+254)=0,"",INDEX(Tilgung!$J$4:$J$9603,($N$6-1)*480+254))</f>
      </c>
      <c r="F268" s="30">
        <f>IF(INDEX(TilgAktiv,($N$6-1)*480+254)=0,"",IF(INDEX(TilgTilgung,($N$6-1)*480+254)=0,INDEX(TilgZins,($N$6-1)*480+254),INDEX(TilgZins,($N$6-1)*480+254)+INDEX(TilgTilgung,($N$6-1)*480+254))+INDEX(TilgErsatz,($N$6-1)*480+254))</f>
      </c>
      <c r="G268" s="30">
        <f>IF(INDEX(TilgAktiv,($N$6-1)*480+254)=0,"",INDEX(TilgZins,($N$6-1)*480+254))</f>
      </c>
      <c r="H268" s="30">
        <f>IF(INDEX(TilgAktiv,($N$6-1)*480+254)=0,"",INDEX(TilgTilgung,($N$6-1)*480+254))</f>
      </c>
      <c r="I268" s="30">
        <f>IF(INDEX(TilgAktiv,($N$6-1)*480+254)=0,"",INDEX(TilgSonder,($N$6-1)*480+254))</f>
      </c>
      <c r="J268" s="30">
        <f>IF(INDEX(TilgAktiv,($N$6-1)*480+254)=0,"",INDEX(TilgErsatz,($N$6-1)*480+254))</f>
      </c>
      <c r="K268" s="30">
        <f>IF(INDEX(TilgAktiv,($N$6-1)*480+254)=0,"",INDEX(Tilgung!$Q$4:$Q$9603,($N$6-1)*480+254))</f>
      </c>
      <c r="L268" s="30">
        <f>IF(INDEX(TilgAktiv,($N$6-1)*480+254)=0,"",INDEX(Tilgung!$R$4:$R$9603,($N$6-1)*480+254))</f>
      </c>
    </row>
    <row r="269">
      <c r="A269"/>
      <c r="B269" s="36">
        <f>IF(INDEX(TilgAktiv,($N$6-1)*480+255)=0,"",255)</f>
      </c>
      <c r="C269" s="41">
        <f>IF(INDEX(TilgAktiv,($N$6-1)*480+255)=0,"",INDEX(TilgDatum,($N$6-1)*480+255))</f>
      </c>
      <c r="D269" s="31">
        <f>IF(INDEX(TilgAktiv,($N$6-1)*480+255)=0,"",INDEX(Tilgung!$H$4:$H$9603,($N$6-1)*480+255))</f>
      </c>
      <c r="E269" s="30">
        <f>IF(INDEX(TilgAktiv,($N$6-1)*480+255)=0,"",INDEX(Tilgung!$J$4:$J$9603,($N$6-1)*480+255))</f>
      </c>
      <c r="F269" s="30">
        <f>IF(INDEX(TilgAktiv,($N$6-1)*480+255)=0,"",IF(INDEX(TilgTilgung,($N$6-1)*480+255)=0,INDEX(TilgZins,($N$6-1)*480+255),INDEX(TilgZins,($N$6-1)*480+255)+INDEX(TilgTilgung,($N$6-1)*480+255))+INDEX(TilgErsatz,($N$6-1)*480+255))</f>
      </c>
      <c r="G269" s="30">
        <f>IF(INDEX(TilgAktiv,($N$6-1)*480+255)=0,"",INDEX(TilgZins,($N$6-1)*480+255))</f>
      </c>
      <c r="H269" s="30">
        <f>IF(INDEX(TilgAktiv,($N$6-1)*480+255)=0,"",INDEX(TilgTilgung,($N$6-1)*480+255))</f>
      </c>
      <c r="I269" s="30">
        <f>IF(INDEX(TilgAktiv,($N$6-1)*480+255)=0,"",INDEX(TilgSonder,($N$6-1)*480+255))</f>
      </c>
      <c r="J269" s="30">
        <f>IF(INDEX(TilgAktiv,($N$6-1)*480+255)=0,"",INDEX(TilgErsatz,($N$6-1)*480+255))</f>
      </c>
      <c r="K269" s="30">
        <f>IF(INDEX(TilgAktiv,($N$6-1)*480+255)=0,"",INDEX(Tilgung!$Q$4:$Q$9603,($N$6-1)*480+255))</f>
      </c>
      <c r="L269" s="30">
        <f>IF(INDEX(TilgAktiv,($N$6-1)*480+255)=0,"",INDEX(Tilgung!$R$4:$R$9603,($N$6-1)*480+255))</f>
      </c>
    </row>
    <row r="270">
      <c r="A270"/>
      <c r="B270" s="36">
        <f>IF(INDEX(TilgAktiv,($N$6-1)*480+256)=0,"",256)</f>
      </c>
      <c r="C270" s="41">
        <f>IF(INDEX(TilgAktiv,($N$6-1)*480+256)=0,"",INDEX(TilgDatum,($N$6-1)*480+256))</f>
      </c>
      <c r="D270" s="31">
        <f>IF(INDEX(TilgAktiv,($N$6-1)*480+256)=0,"",INDEX(Tilgung!$H$4:$H$9603,($N$6-1)*480+256))</f>
      </c>
      <c r="E270" s="30">
        <f>IF(INDEX(TilgAktiv,($N$6-1)*480+256)=0,"",INDEX(Tilgung!$J$4:$J$9603,($N$6-1)*480+256))</f>
      </c>
      <c r="F270" s="30">
        <f>IF(INDEX(TilgAktiv,($N$6-1)*480+256)=0,"",IF(INDEX(TilgTilgung,($N$6-1)*480+256)=0,INDEX(TilgZins,($N$6-1)*480+256),INDEX(TilgZins,($N$6-1)*480+256)+INDEX(TilgTilgung,($N$6-1)*480+256))+INDEX(TilgErsatz,($N$6-1)*480+256))</f>
      </c>
      <c r="G270" s="30">
        <f>IF(INDEX(TilgAktiv,($N$6-1)*480+256)=0,"",INDEX(TilgZins,($N$6-1)*480+256))</f>
      </c>
      <c r="H270" s="30">
        <f>IF(INDEX(TilgAktiv,($N$6-1)*480+256)=0,"",INDEX(TilgTilgung,($N$6-1)*480+256))</f>
      </c>
      <c r="I270" s="30">
        <f>IF(INDEX(TilgAktiv,($N$6-1)*480+256)=0,"",INDEX(TilgSonder,($N$6-1)*480+256))</f>
      </c>
      <c r="J270" s="30">
        <f>IF(INDEX(TilgAktiv,($N$6-1)*480+256)=0,"",INDEX(TilgErsatz,($N$6-1)*480+256))</f>
      </c>
      <c r="K270" s="30">
        <f>IF(INDEX(TilgAktiv,($N$6-1)*480+256)=0,"",INDEX(Tilgung!$Q$4:$Q$9603,($N$6-1)*480+256))</f>
      </c>
      <c r="L270" s="30">
        <f>IF(INDEX(TilgAktiv,($N$6-1)*480+256)=0,"",INDEX(Tilgung!$R$4:$R$9603,($N$6-1)*480+256))</f>
      </c>
    </row>
    <row r="271">
      <c r="A271"/>
      <c r="B271" s="36">
        <f>IF(INDEX(TilgAktiv,($N$6-1)*480+257)=0,"",257)</f>
      </c>
      <c r="C271" s="41">
        <f>IF(INDEX(TilgAktiv,($N$6-1)*480+257)=0,"",INDEX(TilgDatum,($N$6-1)*480+257))</f>
      </c>
      <c r="D271" s="31">
        <f>IF(INDEX(TilgAktiv,($N$6-1)*480+257)=0,"",INDEX(Tilgung!$H$4:$H$9603,($N$6-1)*480+257))</f>
      </c>
      <c r="E271" s="30">
        <f>IF(INDEX(TilgAktiv,($N$6-1)*480+257)=0,"",INDEX(Tilgung!$J$4:$J$9603,($N$6-1)*480+257))</f>
      </c>
      <c r="F271" s="30">
        <f>IF(INDEX(TilgAktiv,($N$6-1)*480+257)=0,"",IF(INDEX(TilgTilgung,($N$6-1)*480+257)=0,INDEX(TilgZins,($N$6-1)*480+257),INDEX(TilgZins,($N$6-1)*480+257)+INDEX(TilgTilgung,($N$6-1)*480+257))+INDEX(TilgErsatz,($N$6-1)*480+257))</f>
      </c>
      <c r="G271" s="30">
        <f>IF(INDEX(TilgAktiv,($N$6-1)*480+257)=0,"",INDEX(TilgZins,($N$6-1)*480+257))</f>
      </c>
      <c r="H271" s="30">
        <f>IF(INDEX(TilgAktiv,($N$6-1)*480+257)=0,"",INDEX(TilgTilgung,($N$6-1)*480+257))</f>
      </c>
      <c r="I271" s="30">
        <f>IF(INDEX(TilgAktiv,($N$6-1)*480+257)=0,"",INDEX(TilgSonder,($N$6-1)*480+257))</f>
      </c>
      <c r="J271" s="30">
        <f>IF(INDEX(TilgAktiv,($N$6-1)*480+257)=0,"",INDEX(TilgErsatz,($N$6-1)*480+257))</f>
      </c>
      <c r="K271" s="30">
        <f>IF(INDEX(TilgAktiv,($N$6-1)*480+257)=0,"",INDEX(Tilgung!$Q$4:$Q$9603,($N$6-1)*480+257))</f>
      </c>
      <c r="L271" s="30">
        <f>IF(INDEX(TilgAktiv,($N$6-1)*480+257)=0,"",INDEX(Tilgung!$R$4:$R$9603,($N$6-1)*480+257))</f>
      </c>
    </row>
    <row r="272">
      <c r="A272"/>
      <c r="B272" s="36">
        <f>IF(INDEX(TilgAktiv,($N$6-1)*480+258)=0,"",258)</f>
      </c>
      <c r="C272" s="41">
        <f>IF(INDEX(TilgAktiv,($N$6-1)*480+258)=0,"",INDEX(TilgDatum,($N$6-1)*480+258))</f>
      </c>
      <c r="D272" s="31">
        <f>IF(INDEX(TilgAktiv,($N$6-1)*480+258)=0,"",INDEX(Tilgung!$H$4:$H$9603,($N$6-1)*480+258))</f>
      </c>
      <c r="E272" s="30">
        <f>IF(INDEX(TilgAktiv,($N$6-1)*480+258)=0,"",INDEX(Tilgung!$J$4:$J$9603,($N$6-1)*480+258))</f>
      </c>
      <c r="F272" s="30">
        <f>IF(INDEX(TilgAktiv,($N$6-1)*480+258)=0,"",IF(INDEX(TilgTilgung,($N$6-1)*480+258)=0,INDEX(TilgZins,($N$6-1)*480+258),INDEX(TilgZins,($N$6-1)*480+258)+INDEX(TilgTilgung,($N$6-1)*480+258))+INDEX(TilgErsatz,($N$6-1)*480+258))</f>
      </c>
      <c r="G272" s="30">
        <f>IF(INDEX(TilgAktiv,($N$6-1)*480+258)=0,"",INDEX(TilgZins,($N$6-1)*480+258))</f>
      </c>
      <c r="H272" s="30">
        <f>IF(INDEX(TilgAktiv,($N$6-1)*480+258)=0,"",INDEX(TilgTilgung,($N$6-1)*480+258))</f>
      </c>
      <c r="I272" s="30">
        <f>IF(INDEX(TilgAktiv,($N$6-1)*480+258)=0,"",INDEX(TilgSonder,($N$6-1)*480+258))</f>
      </c>
      <c r="J272" s="30">
        <f>IF(INDEX(TilgAktiv,($N$6-1)*480+258)=0,"",INDEX(TilgErsatz,($N$6-1)*480+258))</f>
      </c>
      <c r="K272" s="30">
        <f>IF(INDEX(TilgAktiv,($N$6-1)*480+258)=0,"",INDEX(Tilgung!$Q$4:$Q$9603,($N$6-1)*480+258))</f>
      </c>
      <c r="L272" s="30">
        <f>IF(INDEX(TilgAktiv,($N$6-1)*480+258)=0,"",INDEX(Tilgung!$R$4:$R$9603,($N$6-1)*480+258))</f>
      </c>
    </row>
    <row r="273">
      <c r="A273"/>
      <c r="B273" s="36">
        <f>IF(INDEX(TilgAktiv,($N$6-1)*480+259)=0,"",259)</f>
      </c>
      <c r="C273" s="41">
        <f>IF(INDEX(TilgAktiv,($N$6-1)*480+259)=0,"",INDEX(TilgDatum,($N$6-1)*480+259))</f>
      </c>
      <c r="D273" s="31">
        <f>IF(INDEX(TilgAktiv,($N$6-1)*480+259)=0,"",INDEX(Tilgung!$H$4:$H$9603,($N$6-1)*480+259))</f>
      </c>
      <c r="E273" s="30">
        <f>IF(INDEX(TilgAktiv,($N$6-1)*480+259)=0,"",INDEX(Tilgung!$J$4:$J$9603,($N$6-1)*480+259))</f>
      </c>
      <c r="F273" s="30">
        <f>IF(INDEX(TilgAktiv,($N$6-1)*480+259)=0,"",IF(INDEX(TilgTilgung,($N$6-1)*480+259)=0,INDEX(TilgZins,($N$6-1)*480+259),INDEX(TilgZins,($N$6-1)*480+259)+INDEX(TilgTilgung,($N$6-1)*480+259))+INDEX(TilgErsatz,($N$6-1)*480+259))</f>
      </c>
      <c r="G273" s="30">
        <f>IF(INDEX(TilgAktiv,($N$6-1)*480+259)=0,"",INDEX(TilgZins,($N$6-1)*480+259))</f>
      </c>
      <c r="H273" s="30">
        <f>IF(INDEX(TilgAktiv,($N$6-1)*480+259)=0,"",INDEX(TilgTilgung,($N$6-1)*480+259))</f>
      </c>
      <c r="I273" s="30">
        <f>IF(INDEX(TilgAktiv,($N$6-1)*480+259)=0,"",INDEX(TilgSonder,($N$6-1)*480+259))</f>
      </c>
      <c r="J273" s="30">
        <f>IF(INDEX(TilgAktiv,($N$6-1)*480+259)=0,"",INDEX(TilgErsatz,($N$6-1)*480+259))</f>
      </c>
      <c r="K273" s="30">
        <f>IF(INDEX(TilgAktiv,($N$6-1)*480+259)=0,"",INDEX(Tilgung!$Q$4:$Q$9603,($N$6-1)*480+259))</f>
      </c>
      <c r="L273" s="30">
        <f>IF(INDEX(TilgAktiv,($N$6-1)*480+259)=0,"",INDEX(Tilgung!$R$4:$R$9603,($N$6-1)*480+259))</f>
      </c>
    </row>
    <row r="274">
      <c r="A274"/>
      <c r="B274" s="36">
        <f>IF(INDEX(TilgAktiv,($N$6-1)*480+260)=0,"",260)</f>
      </c>
      <c r="C274" s="41">
        <f>IF(INDEX(TilgAktiv,($N$6-1)*480+260)=0,"",INDEX(TilgDatum,($N$6-1)*480+260))</f>
      </c>
      <c r="D274" s="31">
        <f>IF(INDEX(TilgAktiv,($N$6-1)*480+260)=0,"",INDEX(Tilgung!$H$4:$H$9603,($N$6-1)*480+260))</f>
      </c>
      <c r="E274" s="30">
        <f>IF(INDEX(TilgAktiv,($N$6-1)*480+260)=0,"",INDEX(Tilgung!$J$4:$J$9603,($N$6-1)*480+260))</f>
      </c>
      <c r="F274" s="30">
        <f>IF(INDEX(TilgAktiv,($N$6-1)*480+260)=0,"",IF(INDEX(TilgTilgung,($N$6-1)*480+260)=0,INDEX(TilgZins,($N$6-1)*480+260),INDEX(TilgZins,($N$6-1)*480+260)+INDEX(TilgTilgung,($N$6-1)*480+260))+INDEX(TilgErsatz,($N$6-1)*480+260))</f>
      </c>
      <c r="G274" s="30">
        <f>IF(INDEX(TilgAktiv,($N$6-1)*480+260)=0,"",INDEX(TilgZins,($N$6-1)*480+260))</f>
      </c>
      <c r="H274" s="30">
        <f>IF(INDEX(TilgAktiv,($N$6-1)*480+260)=0,"",INDEX(TilgTilgung,($N$6-1)*480+260))</f>
      </c>
      <c r="I274" s="30">
        <f>IF(INDEX(TilgAktiv,($N$6-1)*480+260)=0,"",INDEX(TilgSonder,($N$6-1)*480+260))</f>
      </c>
      <c r="J274" s="30">
        <f>IF(INDEX(TilgAktiv,($N$6-1)*480+260)=0,"",INDEX(TilgErsatz,($N$6-1)*480+260))</f>
      </c>
      <c r="K274" s="30">
        <f>IF(INDEX(TilgAktiv,($N$6-1)*480+260)=0,"",INDEX(Tilgung!$Q$4:$Q$9603,($N$6-1)*480+260))</f>
      </c>
      <c r="L274" s="30">
        <f>IF(INDEX(TilgAktiv,($N$6-1)*480+260)=0,"",INDEX(Tilgung!$R$4:$R$9603,($N$6-1)*480+260))</f>
      </c>
    </row>
    <row r="275">
      <c r="A275"/>
      <c r="B275" s="36">
        <f>IF(INDEX(TilgAktiv,($N$6-1)*480+261)=0,"",261)</f>
      </c>
      <c r="C275" s="41">
        <f>IF(INDEX(TilgAktiv,($N$6-1)*480+261)=0,"",INDEX(TilgDatum,($N$6-1)*480+261))</f>
      </c>
      <c r="D275" s="31">
        <f>IF(INDEX(TilgAktiv,($N$6-1)*480+261)=0,"",INDEX(Tilgung!$H$4:$H$9603,($N$6-1)*480+261))</f>
      </c>
      <c r="E275" s="30">
        <f>IF(INDEX(TilgAktiv,($N$6-1)*480+261)=0,"",INDEX(Tilgung!$J$4:$J$9603,($N$6-1)*480+261))</f>
      </c>
      <c r="F275" s="30">
        <f>IF(INDEX(TilgAktiv,($N$6-1)*480+261)=0,"",IF(INDEX(TilgTilgung,($N$6-1)*480+261)=0,INDEX(TilgZins,($N$6-1)*480+261),INDEX(TilgZins,($N$6-1)*480+261)+INDEX(TilgTilgung,($N$6-1)*480+261))+INDEX(TilgErsatz,($N$6-1)*480+261))</f>
      </c>
      <c r="G275" s="30">
        <f>IF(INDEX(TilgAktiv,($N$6-1)*480+261)=0,"",INDEX(TilgZins,($N$6-1)*480+261))</f>
      </c>
      <c r="H275" s="30">
        <f>IF(INDEX(TilgAktiv,($N$6-1)*480+261)=0,"",INDEX(TilgTilgung,($N$6-1)*480+261))</f>
      </c>
      <c r="I275" s="30">
        <f>IF(INDEX(TilgAktiv,($N$6-1)*480+261)=0,"",INDEX(TilgSonder,($N$6-1)*480+261))</f>
      </c>
      <c r="J275" s="30">
        <f>IF(INDEX(TilgAktiv,($N$6-1)*480+261)=0,"",INDEX(TilgErsatz,($N$6-1)*480+261))</f>
      </c>
      <c r="K275" s="30">
        <f>IF(INDEX(TilgAktiv,($N$6-1)*480+261)=0,"",INDEX(Tilgung!$Q$4:$Q$9603,($N$6-1)*480+261))</f>
      </c>
      <c r="L275" s="30">
        <f>IF(INDEX(TilgAktiv,($N$6-1)*480+261)=0,"",INDEX(Tilgung!$R$4:$R$9603,($N$6-1)*480+261))</f>
      </c>
    </row>
    <row r="276">
      <c r="A276"/>
      <c r="B276" s="36">
        <f>IF(INDEX(TilgAktiv,($N$6-1)*480+262)=0,"",262)</f>
      </c>
      <c r="C276" s="41">
        <f>IF(INDEX(TilgAktiv,($N$6-1)*480+262)=0,"",INDEX(TilgDatum,($N$6-1)*480+262))</f>
      </c>
      <c r="D276" s="31">
        <f>IF(INDEX(TilgAktiv,($N$6-1)*480+262)=0,"",INDEX(Tilgung!$H$4:$H$9603,($N$6-1)*480+262))</f>
      </c>
      <c r="E276" s="30">
        <f>IF(INDEX(TilgAktiv,($N$6-1)*480+262)=0,"",INDEX(Tilgung!$J$4:$J$9603,($N$6-1)*480+262))</f>
      </c>
      <c r="F276" s="30">
        <f>IF(INDEX(TilgAktiv,($N$6-1)*480+262)=0,"",IF(INDEX(TilgTilgung,($N$6-1)*480+262)=0,INDEX(TilgZins,($N$6-1)*480+262),INDEX(TilgZins,($N$6-1)*480+262)+INDEX(TilgTilgung,($N$6-1)*480+262))+INDEX(TilgErsatz,($N$6-1)*480+262))</f>
      </c>
      <c r="G276" s="30">
        <f>IF(INDEX(TilgAktiv,($N$6-1)*480+262)=0,"",INDEX(TilgZins,($N$6-1)*480+262))</f>
      </c>
      <c r="H276" s="30">
        <f>IF(INDEX(TilgAktiv,($N$6-1)*480+262)=0,"",INDEX(TilgTilgung,($N$6-1)*480+262))</f>
      </c>
      <c r="I276" s="30">
        <f>IF(INDEX(TilgAktiv,($N$6-1)*480+262)=0,"",INDEX(TilgSonder,($N$6-1)*480+262))</f>
      </c>
      <c r="J276" s="30">
        <f>IF(INDEX(TilgAktiv,($N$6-1)*480+262)=0,"",INDEX(TilgErsatz,($N$6-1)*480+262))</f>
      </c>
      <c r="K276" s="30">
        <f>IF(INDEX(TilgAktiv,($N$6-1)*480+262)=0,"",INDEX(Tilgung!$Q$4:$Q$9603,($N$6-1)*480+262))</f>
      </c>
      <c r="L276" s="30">
        <f>IF(INDEX(TilgAktiv,($N$6-1)*480+262)=0,"",INDEX(Tilgung!$R$4:$R$9603,($N$6-1)*480+262))</f>
      </c>
    </row>
    <row r="277">
      <c r="A277"/>
      <c r="B277" s="36">
        <f>IF(INDEX(TilgAktiv,($N$6-1)*480+263)=0,"",263)</f>
      </c>
      <c r="C277" s="41">
        <f>IF(INDEX(TilgAktiv,($N$6-1)*480+263)=0,"",INDEX(TilgDatum,($N$6-1)*480+263))</f>
      </c>
      <c r="D277" s="31">
        <f>IF(INDEX(TilgAktiv,($N$6-1)*480+263)=0,"",INDEX(Tilgung!$H$4:$H$9603,($N$6-1)*480+263))</f>
      </c>
      <c r="E277" s="30">
        <f>IF(INDEX(TilgAktiv,($N$6-1)*480+263)=0,"",INDEX(Tilgung!$J$4:$J$9603,($N$6-1)*480+263))</f>
      </c>
      <c r="F277" s="30">
        <f>IF(INDEX(TilgAktiv,($N$6-1)*480+263)=0,"",IF(INDEX(TilgTilgung,($N$6-1)*480+263)=0,INDEX(TilgZins,($N$6-1)*480+263),INDEX(TilgZins,($N$6-1)*480+263)+INDEX(TilgTilgung,($N$6-1)*480+263))+INDEX(TilgErsatz,($N$6-1)*480+263))</f>
      </c>
      <c r="G277" s="30">
        <f>IF(INDEX(TilgAktiv,($N$6-1)*480+263)=0,"",INDEX(TilgZins,($N$6-1)*480+263))</f>
      </c>
      <c r="H277" s="30">
        <f>IF(INDEX(TilgAktiv,($N$6-1)*480+263)=0,"",INDEX(TilgTilgung,($N$6-1)*480+263))</f>
      </c>
      <c r="I277" s="30">
        <f>IF(INDEX(TilgAktiv,($N$6-1)*480+263)=0,"",INDEX(TilgSonder,($N$6-1)*480+263))</f>
      </c>
      <c r="J277" s="30">
        <f>IF(INDEX(TilgAktiv,($N$6-1)*480+263)=0,"",INDEX(TilgErsatz,($N$6-1)*480+263))</f>
      </c>
      <c r="K277" s="30">
        <f>IF(INDEX(TilgAktiv,($N$6-1)*480+263)=0,"",INDEX(Tilgung!$Q$4:$Q$9603,($N$6-1)*480+263))</f>
      </c>
      <c r="L277" s="30">
        <f>IF(INDEX(TilgAktiv,($N$6-1)*480+263)=0,"",INDEX(Tilgung!$R$4:$R$9603,($N$6-1)*480+263))</f>
      </c>
    </row>
    <row r="278">
      <c r="A278"/>
      <c r="B278" s="36">
        <f>IF(INDEX(TilgAktiv,($N$6-1)*480+264)=0,"",264)</f>
      </c>
      <c r="C278" s="41">
        <f>IF(INDEX(TilgAktiv,($N$6-1)*480+264)=0,"",INDEX(TilgDatum,($N$6-1)*480+264))</f>
      </c>
      <c r="D278" s="31">
        <f>IF(INDEX(TilgAktiv,($N$6-1)*480+264)=0,"",INDEX(Tilgung!$H$4:$H$9603,($N$6-1)*480+264))</f>
      </c>
      <c r="E278" s="30">
        <f>IF(INDEX(TilgAktiv,($N$6-1)*480+264)=0,"",INDEX(Tilgung!$J$4:$J$9603,($N$6-1)*480+264))</f>
      </c>
      <c r="F278" s="30">
        <f>IF(INDEX(TilgAktiv,($N$6-1)*480+264)=0,"",IF(INDEX(TilgTilgung,($N$6-1)*480+264)=0,INDEX(TilgZins,($N$6-1)*480+264),INDEX(TilgZins,($N$6-1)*480+264)+INDEX(TilgTilgung,($N$6-1)*480+264))+INDEX(TilgErsatz,($N$6-1)*480+264))</f>
      </c>
      <c r="G278" s="30">
        <f>IF(INDEX(TilgAktiv,($N$6-1)*480+264)=0,"",INDEX(TilgZins,($N$6-1)*480+264))</f>
      </c>
      <c r="H278" s="30">
        <f>IF(INDEX(TilgAktiv,($N$6-1)*480+264)=0,"",INDEX(TilgTilgung,($N$6-1)*480+264))</f>
      </c>
      <c r="I278" s="30">
        <f>IF(INDEX(TilgAktiv,($N$6-1)*480+264)=0,"",INDEX(TilgSonder,($N$6-1)*480+264))</f>
      </c>
      <c r="J278" s="30">
        <f>IF(INDEX(TilgAktiv,($N$6-1)*480+264)=0,"",INDEX(TilgErsatz,($N$6-1)*480+264))</f>
      </c>
      <c r="K278" s="30">
        <f>IF(INDEX(TilgAktiv,($N$6-1)*480+264)=0,"",INDEX(Tilgung!$Q$4:$Q$9603,($N$6-1)*480+264))</f>
      </c>
      <c r="L278" s="30">
        <f>IF(INDEX(TilgAktiv,($N$6-1)*480+264)=0,"",INDEX(Tilgung!$R$4:$R$9603,($N$6-1)*480+264))</f>
      </c>
    </row>
    <row r="279">
      <c r="A279"/>
      <c r="B279" s="36">
        <f>IF(INDEX(TilgAktiv,($N$6-1)*480+265)=0,"",265)</f>
      </c>
      <c r="C279" s="41">
        <f>IF(INDEX(TilgAktiv,($N$6-1)*480+265)=0,"",INDEX(TilgDatum,($N$6-1)*480+265))</f>
      </c>
      <c r="D279" s="31">
        <f>IF(INDEX(TilgAktiv,($N$6-1)*480+265)=0,"",INDEX(Tilgung!$H$4:$H$9603,($N$6-1)*480+265))</f>
      </c>
      <c r="E279" s="30">
        <f>IF(INDEX(TilgAktiv,($N$6-1)*480+265)=0,"",INDEX(Tilgung!$J$4:$J$9603,($N$6-1)*480+265))</f>
      </c>
      <c r="F279" s="30">
        <f>IF(INDEX(TilgAktiv,($N$6-1)*480+265)=0,"",IF(INDEX(TilgTilgung,($N$6-1)*480+265)=0,INDEX(TilgZins,($N$6-1)*480+265),INDEX(TilgZins,($N$6-1)*480+265)+INDEX(TilgTilgung,($N$6-1)*480+265))+INDEX(TilgErsatz,($N$6-1)*480+265))</f>
      </c>
      <c r="G279" s="30">
        <f>IF(INDEX(TilgAktiv,($N$6-1)*480+265)=0,"",INDEX(TilgZins,($N$6-1)*480+265))</f>
      </c>
      <c r="H279" s="30">
        <f>IF(INDEX(TilgAktiv,($N$6-1)*480+265)=0,"",INDEX(TilgTilgung,($N$6-1)*480+265))</f>
      </c>
      <c r="I279" s="30">
        <f>IF(INDEX(TilgAktiv,($N$6-1)*480+265)=0,"",INDEX(TilgSonder,($N$6-1)*480+265))</f>
      </c>
      <c r="J279" s="30">
        <f>IF(INDEX(TilgAktiv,($N$6-1)*480+265)=0,"",INDEX(TilgErsatz,($N$6-1)*480+265))</f>
      </c>
      <c r="K279" s="30">
        <f>IF(INDEX(TilgAktiv,($N$6-1)*480+265)=0,"",INDEX(Tilgung!$Q$4:$Q$9603,($N$6-1)*480+265))</f>
      </c>
      <c r="L279" s="30">
        <f>IF(INDEX(TilgAktiv,($N$6-1)*480+265)=0,"",INDEX(Tilgung!$R$4:$R$9603,($N$6-1)*480+265))</f>
      </c>
    </row>
    <row r="280">
      <c r="A280"/>
      <c r="B280" s="36">
        <f>IF(INDEX(TilgAktiv,($N$6-1)*480+266)=0,"",266)</f>
      </c>
      <c r="C280" s="41">
        <f>IF(INDEX(TilgAktiv,($N$6-1)*480+266)=0,"",INDEX(TilgDatum,($N$6-1)*480+266))</f>
      </c>
      <c r="D280" s="31">
        <f>IF(INDEX(TilgAktiv,($N$6-1)*480+266)=0,"",INDEX(Tilgung!$H$4:$H$9603,($N$6-1)*480+266))</f>
      </c>
      <c r="E280" s="30">
        <f>IF(INDEX(TilgAktiv,($N$6-1)*480+266)=0,"",INDEX(Tilgung!$J$4:$J$9603,($N$6-1)*480+266))</f>
      </c>
      <c r="F280" s="30">
        <f>IF(INDEX(TilgAktiv,($N$6-1)*480+266)=0,"",IF(INDEX(TilgTilgung,($N$6-1)*480+266)=0,INDEX(TilgZins,($N$6-1)*480+266),INDEX(TilgZins,($N$6-1)*480+266)+INDEX(TilgTilgung,($N$6-1)*480+266))+INDEX(TilgErsatz,($N$6-1)*480+266))</f>
      </c>
      <c r="G280" s="30">
        <f>IF(INDEX(TilgAktiv,($N$6-1)*480+266)=0,"",INDEX(TilgZins,($N$6-1)*480+266))</f>
      </c>
      <c r="H280" s="30">
        <f>IF(INDEX(TilgAktiv,($N$6-1)*480+266)=0,"",INDEX(TilgTilgung,($N$6-1)*480+266))</f>
      </c>
      <c r="I280" s="30">
        <f>IF(INDEX(TilgAktiv,($N$6-1)*480+266)=0,"",INDEX(TilgSonder,($N$6-1)*480+266))</f>
      </c>
      <c r="J280" s="30">
        <f>IF(INDEX(TilgAktiv,($N$6-1)*480+266)=0,"",INDEX(TilgErsatz,($N$6-1)*480+266))</f>
      </c>
      <c r="K280" s="30">
        <f>IF(INDEX(TilgAktiv,($N$6-1)*480+266)=0,"",INDEX(Tilgung!$Q$4:$Q$9603,($N$6-1)*480+266))</f>
      </c>
      <c r="L280" s="30">
        <f>IF(INDEX(TilgAktiv,($N$6-1)*480+266)=0,"",INDEX(Tilgung!$R$4:$R$9603,($N$6-1)*480+266))</f>
      </c>
    </row>
    <row r="281">
      <c r="A281"/>
      <c r="B281" s="36">
        <f>IF(INDEX(TilgAktiv,($N$6-1)*480+267)=0,"",267)</f>
      </c>
      <c r="C281" s="41">
        <f>IF(INDEX(TilgAktiv,($N$6-1)*480+267)=0,"",INDEX(TilgDatum,($N$6-1)*480+267))</f>
      </c>
      <c r="D281" s="31">
        <f>IF(INDEX(TilgAktiv,($N$6-1)*480+267)=0,"",INDEX(Tilgung!$H$4:$H$9603,($N$6-1)*480+267))</f>
      </c>
      <c r="E281" s="30">
        <f>IF(INDEX(TilgAktiv,($N$6-1)*480+267)=0,"",INDEX(Tilgung!$J$4:$J$9603,($N$6-1)*480+267))</f>
      </c>
      <c r="F281" s="30">
        <f>IF(INDEX(TilgAktiv,($N$6-1)*480+267)=0,"",IF(INDEX(TilgTilgung,($N$6-1)*480+267)=0,INDEX(TilgZins,($N$6-1)*480+267),INDEX(TilgZins,($N$6-1)*480+267)+INDEX(TilgTilgung,($N$6-1)*480+267))+INDEX(TilgErsatz,($N$6-1)*480+267))</f>
      </c>
      <c r="G281" s="30">
        <f>IF(INDEX(TilgAktiv,($N$6-1)*480+267)=0,"",INDEX(TilgZins,($N$6-1)*480+267))</f>
      </c>
      <c r="H281" s="30">
        <f>IF(INDEX(TilgAktiv,($N$6-1)*480+267)=0,"",INDEX(TilgTilgung,($N$6-1)*480+267))</f>
      </c>
      <c r="I281" s="30">
        <f>IF(INDEX(TilgAktiv,($N$6-1)*480+267)=0,"",INDEX(TilgSonder,($N$6-1)*480+267))</f>
      </c>
      <c r="J281" s="30">
        <f>IF(INDEX(TilgAktiv,($N$6-1)*480+267)=0,"",INDEX(TilgErsatz,($N$6-1)*480+267))</f>
      </c>
      <c r="K281" s="30">
        <f>IF(INDEX(TilgAktiv,($N$6-1)*480+267)=0,"",INDEX(Tilgung!$Q$4:$Q$9603,($N$6-1)*480+267))</f>
      </c>
      <c r="L281" s="30">
        <f>IF(INDEX(TilgAktiv,($N$6-1)*480+267)=0,"",INDEX(Tilgung!$R$4:$R$9603,($N$6-1)*480+267))</f>
      </c>
    </row>
    <row r="282">
      <c r="A282"/>
      <c r="B282" s="36">
        <f>IF(INDEX(TilgAktiv,($N$6-1)*480+268)=0,"",268)</f>
      </c>
      <c r="C282" s="41">
        <f>IF(INDEX(TilgAktiv,($N$6-1)*480+268)=0,"",INDEX(TilgDatum,($N$6-1)*480+268))</f>
      </c>
      <c r="D282" s="31">
        <f>IF(INDEX(TilgAktiv,($N$6-1)*480+268)=0,"",INDEX(Tilgung!$H$4:$H$9603,($N$6-1)*480+268))</f>
      </c>
      <c r="E282" s="30">
        <f>IF(INDEX(TilgAktiv,($N$6-1)*480+268)=0,"",INDEX(Tilgung!$J$4:$J$9603,($N$6-1)*480+268))</f>
      </c>
      <c r="F282" s="30">
        <f>IF(INDEX(TilgAktiv,($N$6-1)*480+268)=0,"",IF(INDEX(TilgTilgung,($N$6-1)*480+268)=0,INDEX(TilgZins,($N$6-1)*480+268),INDEX(TilgZins,($N$6-1)*480+268)+INDEX(TilgTilgung,($N$6-1)*480+268))+INDEX(TilgErsatz,($N$6-1)*480+268))</f>
      </c>
      <c r="G282" s="30">
        <f>IF(INDEX(TilgAktiv,($N$6-1)*480+268)=0,"",INDEX(TilgZins,($N$6-1)*480+268))</f>
      </c>
      <c r="H282" s="30">
        <f>IF(INDEX(TilgAktiv,($N$6-1)*480+268)=0,"",INDEX(TilgTilgung,($N$6-1)*480+268))</f>
      </c>
      <c r="I282" s="30">
        <f>IF(INDEX(TilgAktiv,($N$6-1)*480+268)=0,"",INDEX(TilgSonder,($N$6-1)*480+268))</f>
      </c>
      <c r="J282" s="30">
        <f>IF(INDEX(TilgAktiv,($N$6-1)*480+268)=0,"",INDEX(TilgErsatz,($N$6-1)*480+268))</f>
      </c>
      <c r="K282" s="30">
        <f>IF(INDEX(TilgAktiv,($N$6-1)*480+268)=0,"",INDEX(Tilgung!$Q$4:$Q$9603,($N$6-1)*480+268))</f>
      </c>
      <c r="L282" s="30">
        <f>IF(INDEX(TilgAktiv,($N$6-1)*480+268)=0,"",INDEX(Tilgung!$R$4:$R$9603,($N$6-1)*480+268))</f>
      </c>
    </row>
    <row r="283">
      <c r="A283"/>
      <c r="B283" s="36">
        <f>IF(INDEX(TilgAktiv,($N$6-1)*480+269)=0,"",269)</f>
      </c>
      <c r="C283" s="41">
        <f>IF(INDEX(TilgAktiv,($N$6-1)*480+269)=0,"",INDEX(TilgDatum,($N$6-1)*480+269))</f>
      </c>
      <c r="D283" s="31">
        <f>IF(INDEX(TilgAktiv,($N$6-1)*480+269)=0,"",INDEX(Tilgung!$H$4:$H$9603,($N$6-1)*480+269))</f>
      </c>
      <c r="E283" s="30">
        <f>IF(INDEX(TilgAktiv,($N$6-1)*480+269)=0,"",INDEX(Tilgung!$J$4:$J$9603,($N$6-1)*480+269))</f>
      </c>
      <c r="F283" s="30">
        <f>IF(INDEX(TilgAktiv,($N$6-1)*480+269)=0,"",IF(INDEX(TilgTilgung,($N$6-1)*480+269)=0,INDEX(TilgZins,($N$6-1)*480+269),INDEX(TilgZins,($N$6-1)*480+269)+INDEX(TilgTilgung,($N$6-1)*480+269))+INDEX(TilgErsatz,($N$6-1)*480+269))</f>
      </c>
      <c r="G283" s="30">
        <f>IF(INDEX(TilgAktiv,($N$6-1)*480+269)=0,"",INDEX(TilgZins,($N$6-1)*480+269))</f>
      </c>
      <c r="H283" s="30">
        <f>IF(INDEX(TilgAktiv,($N$6-1)*480+269)=0,"",INDEX(TilgTilgung,($N$6-1)*480+269))</f>
      </c>
      <c r="I283" s="30">
        <f>IF(INDEX(TilgAktiv,($N$6-1)*480+269)=0,"",INDEX(TilgSonder,($N$6-1)*480+269))</f>
      </c>
      <c r="J283" s="30">
        <f>IF(INDEX(TilgAktiv,($N$6-1)*480+269)=0,"",INDEX(TilgErsatz,($N$6-1)*480+269))</f>
      </c>
      <c r="K283" s="30">
        <f>IF(INDEX(TilgAktiv,($N$6-1)*480+269)=0,"",INDEX(Tilgung!$Q$4:$Q$9603,($N$6-1)*480+269))</f>
      </c>
      <c r="L283" s="30">
        <f>IF(INDEX(TilgAktiv,($N$6-1)*480+269)=0,"",INDEX(Tilgung!$R$4:$R$9603,($N$6-1)*480+269))</f>
      </c>
    </row>
    <row r="284">
      <c r="A284"/>
      <c r="B284" s="36">
        <f>IF(INDEX(TilgAktiv,($N$6-1)*480+270)=0,"",270)</f>
      </c>
      <c r="C284" s="41">
        <f>IF(INDEX(TilgAktiv,($N$6-1)*480+270)=0,"",INDEX(TilgDatum,($N$6-1)*480+270))</f>
      </c>
      <c r="D284" s="31">
        <f>IF(INDEX(TilgAktiv,($N$6-1)*480+270)=0,"",INDEX(Tilgung!$H$4:$H$9603,($N$6-1)*480+270))</f>
      </c>
      <c r="E284" s="30">
        <f>IF(INDEX(TilgAktiv,($N$6-1)*480+270)=0,"",INDEX(Tilgung!$J$4:$J$9603,($N$6-1)*480+270))</f>
      </c>
      <c r="F284" s="30">
        <f>IF(INDEX(TilgAktiv,($N$6-1)*480+270)=0,"",IF(INDEX(TilgTilgung,($N$6-1)*480+270)=0,INDEX(TilgZins,($N$6-1)*480+270),INDEX(TilgZins,($N$6-1)*480+270)+INDEX(TilgTilgung,($N$6-1)*480+270))+INDEX(TilgErsatz,($N$6-1)*480+270))</f>
      </c>
      <c r="G284" s="30">
        <f>IF(INDEX(TilgAktiv,($N$6-1)*480+270)=0,"",INDEX(TilgZins,($N$6-1)*480+270))</f>
      </c>
      <c r="H284" s="30">
        <f>IF(INDEX(TilgAktiv,($N$6-1)*480+270)=0,"",INDEX(TilgTilgung,($N$6-1)*480+270))</f>
      </c>
      <c r="I284" s="30">
        <f>IF(INDEX(TilgAktiv,($N$6-1)*480+270)=0,"",INDEX(TilgSonder,($N$6-1)*480+270))</f>
      </c>
      <c r="J284" s="30">
        <f>IF(INDEX(TilgAktiv,($N$6-1)*480+270)=0,"",INDEX(TilgErsatz,($N$6-1)*480+270))</f>
      </c>
      <c r="K284" s="30">
        <f>IF(INDEX(TilgAktiv,($N$6-1)*480+270)=0,"",INDEX(Tilgung!$Q$4:$Q$9603,($N$6-1)*480+270))</f>
      </c>
      <c r="L284" s="30">
        <f>IF(INDEX(TilgAktiv,($N$6-1)*480+270)=0,"",INDEX(Tilgung!$R$4:$R$9603,($N$6-1)*480+270))</f>
      </c>
    </row>
    <row r="285">
      <c r="A285"/>
      <c r="B285" s="36">
        <f>IF(INDEX(TilgAktiv,($N$6-1)*480+271)=0,"",271)</f>
      </c>
      <c r="C285" s="41">
        <f>IF(INDEX(TilgAktiv,($N$6-1)*480+271)=0,"",INDEX(TilgDatum,($N$6-1)*480+271))</f>
      </c>
      <c r="D285" s="31">
        <f>IF(INDEX(TilgAktiv,($N$6-1)*480+271)=0,"",INDEX(Tilgung!$H$4:$H$9603,($N$6-1)*480+271))</f>
      </c>
      <c r="E285" s="30">
        <f>IF(INDEX(TilgAktiv,($N$6-1)*480+271)=0,"",INDEX(Tilgung!$J$4:$J$9603,($N$6-1)*480+271))</f>
      </c>
      <c r="F285" s="30">
        <f>IF(INDEX(TilgAktiv,($N$6-1)*480+271)=0,"",IF(INDEX(TilgTilgung,($N$6-1)*480+271)=0,INDEX(TilgZins,($N$6-1)*480+271),INDEX(TilgZins,($N$6-1)*480+271)+INDEX(TilgTilgung,($N$6-1)*480+271))+INDEX(TilgErsatz,($N$6-1)*480+271))</f>
      </c>
      <c r="G285" s="30">
        <f>IF(INDEX(TilgAktiv,($N$6-1)*480+271)=0,"",INDEX(TilgZins,($N$6-1)*480+271))</f>
      </c>
      <c r="H285" s="30">
        <f>IF(INDEX(TilgAktiv,($N$6-1)*480+271)=0,"",INDEX(TilgTilgung,($N$6-1)*480+271))</f>
      </c>
      <c r="I285" s="30">
        <f>IF(INDEX(TilgAktiv,($N$6-1)*480+271)=0,"",INDEX(TilgSonder,($N$6-1)*480+271))</f>
      </c>
      <c r="J285" s="30">
        <f>IF(INDEX(TilgAktiv,($N$6-1)*480+271)=0,"",INDEX(TilgErsatz,($N$6-1)*480+271))</f>
      </c>
      <c r="K285" s="30">
        <f>IF(INDEX(TilgAktiv,($N$6-1)*480+271)=0,"",INDEX(Tilgung!$Q$4:$Q$9603,($N$6-1)*480+271))</f>
      </c>
      <c r="L285" s="30">
        <f>IF(INDEX(TilgAktiv,($N$6-1)*480+271)=0,"",INDEX(Tilgung!$R$4:$R$9603,($N$6-1)*480+271))</f>
      </c>
    </row>
    <row r="286">
      <c r="A286"/>
      <c r="B286" s="36">
        <f>IF(INDEX(TilgAktiv,($N$6-1)*480+272)=0,"",272)</f>
      </c>
      <c r="C286" s="41">
        <f>IF(INDEX(TilgAktiv,($N$6-1)*480+272)=0,"",INDEX(TilgDatum,($N$6-1)*480+272))</f>
      </c>
      <c r="D286" s="31">
        <f>IF(INDEX(TilgAktiv,($N$6-1)*480+272)=0,"",INDEX(Tilgung!$H$4:$H$9603,($N$6-1)*480+272))</f>
      </c>
      <c r="E286" s="30">
        <f>IF(INDEX(TilgAktiv,($N$6-1)*480+272)=0,"",INDEX(Tilgung!$J$4:$J$9603,($N$6-1)*480+272))</f>
      </c>
      <c r="F286" s="30">
        <f>IF(INDEX(TilgAktiv,($N$6-1)*480+272)=0,"",IF(INDEX(TilgTilgung,($N$6-1)*480+272)=0,INDEX(TilgZins,($N$6-1)*480+272),INDEX(TilgZins,($N$6-1)*480+272)+INDEX(TilgTilgung,($N$6-1)*480+272))+INDEX(TilgErsatz,($N$6-1)*480+272))</f>
      </c>
      <c r="G286" s="30">
        <f>IF(INDEX(TilgAktiv,($N$6-1)*480+272)=0,"",INDEX(TilgZins,($N$6-1)*480+272))</f>
      </c>
      <c r="H286" s="30">
        <f>IF(INDEX(TilgAktiv,($N$6-1)*480+272)=0,"",INDEX(TilgTilgung,($N$6-1)*480+272))</f>
      </c>
      <c r="I286" s="30">
        <f>IF(INDEX(TilgAktiv,($N$6-1)*480+272)=0,"",INDEX(TilgSonder,($N$6-1)*480+272))</f>
      </c>
      <c r="J286" s="30">
        <f>IF(INDEX(TilgAktiv,($N$6-1)*480+272)=0,"",INDEX(TilgErsatz,($N$6-1)*480+272))</f>
      </c>
      <c r="K286" s="30">
        <f>IF(INDEX(TilgAktiv,($N$6-1)*480+272)=0,"",INDEX(Tilgung!$Q$4:$Q$9603,($N$6-1)*480+272))</f>
      </c>
      <c r="L286" s="30">
        <f>IF(INDEX(TilgAktiv,($N$6-1)*480+272)=0,"",INDEX(Tilgung!$R$4:$R$9603,($N$6-1)*480+272))</f>
      </c>
    </row>
    <row r="287">
      <c r="A287"/>
      <c r="B287" s="36">
        <f>IF(INDEX(TilgAktiv,($N$6-1)*480+273)=0,"",273)</f>
      </c>
      <c r="C287" s="41">
        <f>IF(INDEX(TilgAktiv,($N$6-1)*480+273)=0,"",INDEX(TilgDatum,($N$6-1)*480+273))</f>
      </c>
      <c r="D287" s="31">
        <f>IF(INDEX(TilgAktiv,($N$6-1)*480+273)=0,"",INDEX(Tilgung!$H$4:$H$9603,($N$6-1)*480+273))</f>
      </c>
      <c r="E287" s="30">
        <f>IF(INDEX(TilgAktiv,($N$6-1)*480+273)=0,"",INDEX(Tilgung!$J$4:$J$9603,($N$6-1)*480+273))</f>
      </c>
      <c r="F287" s="30">
        <f>IF(INDEX(TilgAktiv,($N$6-1)*480+273)=0,"",IF(INDEX(TilgTilgung,($N$6-1)*480+273)=0,INDEX(TilgZins,($N$6-1)*480+273),INDEX(TilgZins,($N$6-1)*480+273)+INDEX(TilgTilgung,($N$6-1)*480+273))+INDEX(TilgErsatz,($N$6-1)*480+273))</f>
      </c>
      <c r="G287" s="30">
        <f>IF(INDEX(TilgAktiv,($N$6-1)*480+273)=0,"",INDEX(TilgZins,($N$6-1)*480+273))</f>
      </c>
      <c r="H287" s="30">
        <f>IF(INDEX(TilgAktiv,($N$6-1)*480+273)=0,"",INDEX(TilgTilgung,($N$6-1)*480+273))</f>
      </c>
      <c r="I287" s="30">
        <f>IF(INDEX(TilgAktiv,($N$6-1)*480+273)=0,"",INDEX(TilgSonder,($N$6-1)*480+273))</f>
      </c>
      <c r="J287" s="30">
        <f>IF(INDEX(TilgAktiv,($N$6-1)*480+273)=0,"",INDEX(TilgErsatz,($N$6-1)*480+273))</f>
      </c>
      <c r="K287" s="30">
        <f>IF(INDEX(TilgAktiv,($N$6-1)*480+273)=0,"",INDEX(Tilgung!$Q$4:$Q$9603,($N$6-1)*480+273))</f>
      </c>
      <c r="L287" s="30">
        <f>IF(INDEX(TilgAktiv,($N$6-1)*480+273)=0,"",INDEX(Tilgung!$R$4:$R$9603,($N$6-1)*480+273))</f>
      </c>
    </row>
    <row r="288">
      <c r="A288"/>
      <c r="B288" s="36">
        <f>IF(INDEX(TilgAktiv,($N$6-1)*480+274)=0,"",274)</f>
      </c>
      <c r="C288" s="41">
        <f>IF(INDEX(TilgAktiv,($N$6-1)*480+274)=0,"",INDEX(TilgDatum,($N$6-1)*480+274))</f>
      </c>
      <c r="D288" s="31">
        <f>IF(INDEX(TilgAktiv,($N$6-1)*480+274)=0,"",INDEX(Tilgung!$H$4:$H$9603,($N$6-1)*480+274))</f>
      </c>
      <c r="E288" s="30">
        <f>IF(INDEX(TilgAktiv,($N$6-1)*480+274)=0,"",INDEX(Tilgung!$J$4:$J$9603,($N$6-1)*480+274))</f>
      </c>
      <c r="F288" s="30">
        <f>IF(INDEX(TilgAktiv,($N$6-1)*480+274)=0,"",IF(INDEX(TilgTilgung,($N$6-1)*480+274)=0,INDEX(TilgZins,($N$6-1)*480+274),INDEX(TilgZins,($N$6-1)*480+274)+INDEX(TilgTilgung,($N$6-1)*480+274))+INDEX(TilgErsatz,($N$6-1)*480+274))</f>
      </c>
      <c r="G288" s="30">
        <f>IF(INDEX(TilgAktiv,($N$6-1)*480+274)=0,"",INDEX(TilgZins,($N$6-1)*480+274))</f>
      </c>
      <c r="H288" s="30">
        <f>IF(INDEX(TilgAktiv,($N$6-1)*480+274)=0,"",INDEX(TilgTilgung,($N$6-1)*480+274))</f>
      </c>
      <c r="I288" s="30">
        <f>IF(INDEX(TilgAktiv,($N$6-1)*480+274)=0,"",INDEX(TilgSonder,($N$6-1)*480+274))</f>
      </c>
      <c r="J288" s="30">
        <f>IF(INDEX(TilgAktiv,($N$6-1)*480+274)=0,"",INDEX(TilgErsatz,($N$6-1)*480+274))</f>
      </c>
      <c r="K288" s="30">
        <f>IF(INDEX(TilgAktiv,($N$6-1)*480+274)=0,"",INDEX(Tilgung!$Q$4:$Q$9603,($N$6-1)*480+274))</f>
      </c>
      <c r="L288" s="30">
        <f>IF(INDEX(TilgAktiv,($N$6-1)*480+274)=0,"",INDEX(Tilgung!$R$4:$R$9603,($N$6-1)*480+274))</f>
      </c>
    </row>
    <row r="289">
      <c r="A289"/>
      <c r="B289" s="36">
        <f>IF(INDEX(TilgAktiv,($N$6-1)*480+275)=0,"",275)</f>
      </c>
      <c r="C289" s="41">
        <f>IF(INDEX(TilgAktiv,($N$6-1)*480+275)=0,"",INDEX(TilgDatum,($N$6-1)*480+275))</f>
      </c>
      <c r="D289" s="31">
        <f>IF(INDEX(TilgAktiv,($N$6-1)*480+275)=0,"",INDEX(Tilgung!$H$4:$H$9603,($N$6-1)*480+275))</f>
      </c>
      <c r="E289" s="30">
        <f>IF(INDEX(TilgAktiv,($N$6-1)*480+275)=0,"",INDEX(Tilgung!$J$4:$J$9603,($N$6-1)*480+275))</f>
      </c>
      <c r="F289" s="30">
        <f>IF(INDEX(TilgAktiv,($N$6-1)*480+275)=0,"",IF(INDEX(TilgTilgung,($N$6-1)*480+275)=0,INDEX(TilgZins,($N$6-1)*480+275),INDEX(TilgZins,($N$6-1)*480+275)+INDEX(TilgTilgung,($N$6-1)*480+275))+INDEX(TilgErsatz,($N$6-1)*480+275))</f>
      </c>
      <c r="G289" s="30">
        <f>IF(INDEX(TilgAktiv,($N$6-1)*480+275)=0,"",INDEX(TilgZins,($N$6-1)*480+275))</f>
      </c>
      <c r="H289" s="30">
        <f>IF(INDEX(TilgAktiv,($N$6-1)*480+275)=0,"",INDEX(TilgTilgung,($N$6-1)*480+275))</f>
      </c>
      <c r="I289" s="30">
        <f>IF(INDEX(TilgAktiv,($N$6-1)*480+275)=0,"",INDEX(TilgSonder,($N$6-1)*480+275))</f>
      </c>
      <c r="J289" s="30">
        <f>IF(INDEX(TilgAktiv,($N$6-1)*480+275)=0,"",INDEX(TilgErsatz,($N$6-1)*480+275))</f>
      </c>
      <c r="K289" s="30">
        <f>IF(INDEX(TilgAktiv,($N$6-1)*480+275)=0,"",INDEX(Tilgung!$Q$4:$Q$9603,($N$6-1)*480+275))</f>
      </c>
      <c r="L289" s="30">
        <f>IF(INDEX(TilgAktiv,($N$6-1)*480+275)=0,"",INDEX(Tilgung!$R$4:$R$9603,($N$6-1)*480+275))</f>
      </c>
    </row>
    <row r="290">
      <c r="A290"/>
      <c r="B290" s="36">
        <f>IF(INDEX(TilgAktiv,($N$6-1)*480+276)=0,"",276)</f>
      </c>
      <c r="C290" s="41">
        <f>IF(INDEX(TilgAktiv,($N$6-1)*480+276)=0,"",INDEX(TilgDatum,($N$6-1)*480+276))</f>
      </c>
      <c r="D290" s="31">
        <f>IF(INDEX(TilgAktiv,($N$6-1)*480+276)=0,"",INDEX(Tilgung!$H$4:$H$9603,($N$6-1)*480+276))</f>
      </c>
      <c r="E290" s="30">
        <f>IF(INDEX(TilgAktiv,($N$6-1)*480+276)=0,"",INDEX(Tilgung!$J$4:$J$9603,($N$6-1)*480+276))</f>
      </c>
      <c r="F290" s="30">
        <f>IF(INDEX(TilgAktiv,($N$6-1)*480+276)=0,"",IF(INDEX(TilgTilgung,($N$6-1)*480+276)=0,INDEX(TilgZins,($N$6-1)*480+276),INDEX(TilgZins,($N$6-1)*480+276)+INDEX(TilgTilgung,($N$6-1)*480+276))+INDEX(TilgErsatz,($N$6-1)*480+276))</f>
      </c>
      <c r="G290" s="30">
        <f>IF(INDEX(TilgAktiv,($N$6-1)*480+276)=0,"",INDEX(TilgZins,($N$6-1)*480+276))</f>
      </c>
      <c r="H290" s="30">
        <f>IF(INDEX(TilgAktiv,($N$6-1)*480+276)=0,"",INDEX(TilgTilgung,($N$6-1)*480+276))</f>
      </c>
      <c r="I290" s="30">
        <f>IF(INDEX(TilgAktiv,($N$6-1)*480+276)=0,"",INDEX(TilgSonder,($N$6-1)*480+276))</f>
      </c>
      <c r="J290" s="30">
        <f>IF(INDEX(TilgAktiv,($N$6-1)*480+276)=0,"",INDEX(TilgErsatz,($N$6-1)*480+276))</f>
      </c>
      <c r="K290" s="30">
        <f>IF(INDEX(TilgAktiv,($N$6-1)*480+276)=0,"",INDEX(Tilgung!$Q$4:$Q$9603,($N$6-1)*480+276))</f>
      </c>
      <c r="L290" s="30">
        <f>IF(INDEX(TilgAktiv,($N$6-1)*480+276)=0,"",INDEX(Tilgung!$R$4:$R$9603,($N$6-1)*480+276))</f>
      </c>
    </row>
    <row r="291">
      <c r="A291"/>
      <c r="B291" s="36">
        <f>IF(INDEX(TilgAktiv,($N$6-1)*480+277)=0,"",277)</f>
      </c>
      <c r="C291" s="41">
        <f>IF(INDEX(TilgAktiv,($N$6-1)*480+277)=0,"",INDEX(TilgDatum,($N$6-1)*480+277))</f>
      </c>
      <c r="D291" s="31">
        <f>IF(INDEX(TilgAktiv,($N$6-1)*480+277)=0,"",INDEX(Tilgung!$H$4:$H$9603,($N$6-1)*480+277))</f>
      </c>
      <c r="E291" s="30">
        <f>IF(INDEX(TilgAktiv,($N$6-1)*480+277)=0,"",INDEX(Tilgung!$J$4:$J$9603,($N$6-1)*480+277))</f>
      </c>
      <c r="F291" s="30">
        <f>IF(INDEX(TilgAktiv,($N$6-1)*480+277)=0,"",IF(INDEX(TilgTilgung,($N$6-1)*480+277)=0,INDEX(TilgZins,($N$6-1)*480+277),INDEX(TilgZins,($N$6-1)*480+277)+INDEX(TilgTilgung,($N$6-1)*480+277))+INDEX(TilgErsatz,($N$6-1)*480+277))</f>
      </c>
      <c r="G291" s="30">
        <f>IF(INDEX(TilgAktiv,($N$6-1)*480+277)=0,"",INDEX(TilgZins,($N$6-1)*480+277))</f>
      </c>
      <c r="H291" s="30">
        <f>IF(INDEX(TilgAktiv,($N$6-1)*480+277)=0,"",INDEX(TilgTilgung,($N$6-1)*480+277))</f>
      </c>
      <c r="I291" s="30">
        <f>IF(INDEX(TilgAktiv,($N$6-1)*480+277)=0,"",INDEX(TilgSonder,($N$6-1)*480+277))</f>
      </c>
      <c r="J291" s="30">
        <f>IF(INDEX(TilgAktiv,($N$6-1)*480+277)=0,"",INDEX(TilgErsatz,($N$6-1)*480+277))</f>
      </c>
      <c r="K291" s="30">
        <f>IF(INDEX(TilgAktiv,($N$6-1)*480+277)=0,"",INDEX(Tilgung!$Q$4:$Q$9603,($N$6-1)*480+277))</f>
      </c>
      <c r="L291" s="30">
        <f>IF(INDEX(TilgAktiv,($N$6-1)*480+277)=0,"",INDEX(Tilgung!$R$4:$R$9603,($N$6-1)*480+277))</f>
      </c>
    </row>
    <row r="292">
      <c r="A292"/>
      <c r="B292" s="36">
        <f>IF(INDEX(TilgAktiv,($N$6-1)*480+278)=0,"",278)</f>
      </c>
      <c r="C292" s="41">
        <f>IF(INDEX(TilgAktiv,($N$6-1)*480+278)=0,"",INDEX(TilgDatum,($N$6-1)*480+278))</f>
      </c>
      <c r="D292" s="31">
        <f>IF(INDEX(TilgAktiv,($N$6-1)*480+278)=0,"",INDEX(Tilgung!$H$4:$H$9603,($N$6-1)*480+278))</f>
      </c>
      <c r="E292" s="30">
        <f>IF(INDEX(TilgAktiv,($N$6-1)*480+278)=0,"",INDEX(Tilgung!$J$4:$J$9603,($N$6-1)*480+278))</f>
      </c>
      <c r="F292" s="30">
        <f>IF(INDEX(TilgAktiv,($N$6-1)*480+278)=0,"",IF(INDEX(TilgTilgung,($N$6-1)*480+278)=0,INDEX(TilgZins,($N$6-1)*480+278),INDEX(TilgZins,($N$6-1)*480+278)+INDEX(TilgTilgung,($N$6-1)*480+278))+INDEX(TilgErsatz,($N$6-1)*480+278))</f>
      </c>
      <c r="G292" s="30">
        <f>IF(INDEX(TilgAktiv,($N$6-1)*480+278)=0,"",INDEX(TilgZins,($N$6-1)*480+278))</f>
      </c>
      <c r="H292" s="30">
        <f>IF(INDEX(TilgAktiv,($N$6-1)*480+278)=0,"",INDEX(TilgTilgung,($N$6-1)*480+278))</f>
      </c>
      <c r="I292" s="30">
        <f>IF(INDEX(TilgAktiv,($N$6-1)*480+278)=0,"",INDEX(TilgSonder,($N$6-1)*480+278))</f>
      </c>
      <c r="J292" s="30">
        <f>IF(INDEX(TilgAktiv,($N$6-1)*480+278)=0,"",INDEX(TilgErsatz,($N$6-1)*480+278))</f>
      </c>
      <c r="K292" s="30">
        <f>IF(INDEX(TilgAktiv,($N$6-1)*480+278)=0,"",INDEX(Tilgung!$Q$4:$Q$9603,($N$6-1)*480+278))</f>
      </c>
      <c r="L292" s="30">
        <f>IF(INDEX(TilgAktiv,($N$6-1)*480+278)=0,"",INDEX(Tilgung!$R$4:$R$9603,($N$6-1)*480+278))</f>
      </c>
    </row>
    <row r="293">
      <c r="A293"/>
      <c r="B293" s="36">
        <f>IF(INDEX(TilgAktiv,($N$6-1)*480+279)=0,"",279)</f>
      </c>
      <c r="C293" s="41">
        <f>IF(INDEX(TilgAktiv,($N$6-1)*480+279)=0,"",INDEX(TilgDatum,($N$6-1)*480+279))</f>
      </c>
      <c r="D293" s="31">
        <f>IF(INDEX(TilgAktiv,($N$6-1)*480+279)=0,"",INDEX(Tilgung!$H$4:$H$9603,($N$6-1)*480+279))</f>
      </c>
      <c r="E293" s="30">
        <f>IF(INDEX(TilgAktiv,($N$6-1)*480+279)=0,"",INDEX(Tilgung!$J$4:$J$9603,($N$6-1)*480+279))</f>
      </c>
      <c r="F293" s="30">
        <f>IF(INDEX(TilgAktiv,($N$6-1)*480+279)=0,"",IF(INDEX(TilgTilgung,($N$6-1)*480+279)=0,INDEX(TilgZins,($N$6-1)*480+279),INDEX(TilgZins,($N$6-1)*480+279)+INDEX(TilgTilgung,($N$6-1)*480+279))+INDEX(TilgErsatz,($N$6-1)*480+279))</f>
      </c>
      <c r="G293" s="30">
        <f>IF(INDEX(TilgAktiv,($N$6-1)*480+279)=0,"",INDEX(TilgZins,($N$6-1)*480+279))</f>
      </c>
      <c r="H293" s="30">
        <f>IF(INDEX(TilgAktiv,($N$6-1)*480+279)=0,"",INDEX(TilgTilgung,($N$6-1)*480+279))</f>
      </c>
      <c r="I293" s="30">
        <f>IF(INDEX(TilgAktiv,($N$6-1)*480+279)=0,"",INDEX(TilgSonder,($N$6-1)*480+279))</f>
      </c>
      <c r="J293" s="30">
        <f>IF(INDEX(TilgAktiv,($N$6-1)*480+279)=0,"",INDEX(TilgErsatz,($N$6-1)*480+279))</f>
      </c>
      <c r="K293" s="30">
        <f>IF(INDEX(TilgAktiv,($N$6-1)*480+279)=0,"",INDEX(Tilgung!$Q$4:$Q$9603,($N$6-1)*480+279))</f>
      </c>
      <c r="L293" s="30">
        <f>IF(INDEX(TilgAktiv,($N$6-1)*480+279)=0,"",INDEX(Tilgung!$R$4:$R$9603,($N$6-1)*480+279))</f>
      </c>
    </row>
    <row r="294">
      <c r="A294"/>
      <c r="B294" s="36">
        <f>IF(INDEX(TilgAktiv,($N$6-1)*480+280)=0,"",280)</f>
      </c>
      <c r="C294" s="41">
        <f>IF(INDEX(TilgAktiv,($N$6-1)*480+280)=0,"",INDEX(TilgDatum,($N$6-1)*480+280))</f>
      </c>
      <c r="D294" s="31">
        <f>IF(INDEX(TilgAktiv,($N$6-1)*480+280)=0,"",INDEX(Tilgung!$H$4:$H$9603,($N$6-1)*480+280))</f>
      </c>
      <c r="E294" s="30">
        <f>IF(INDEX(TilgAktiv,($N$6-1)*480+280)=0,"",INDEX(Tilgung!$J$4:$J$9603,($N$6-1)*480+280))</f>
      </c>
      <c r="F294" s="30">
        <f>IF(INDEX(TilgAktiv,($N$6-1)*480+280)=0,"",IF(INDEX(TilgTilgung,($N$6-1)*480+280)=0,INDEX(TilgZins,($N$6-1)*480+280),INDEX(TilgZins,($N$6-1)*480+280)+INDEX(TilgTilgung,($N$6-1)*480+280))+INDEX(TilgErsatz,($N$6-1)*480+280))</f>
      </c>
      <c r="G294" s="30">
        <f>IF(INDEX(TilgAktiv,($N$6-1)*480+280)=0,"",INDEX(TilgZins,($N$6-1)*480+280))</f>
      </c>
      <c r="H294" s="30">
        <f>IF(INDEX(TilgAktiv,($N$6-1)*480+280)=0,"",INDEX(TilgTilgung,($N$6-1)*480+280))</f>
      </c>
      <c r="I294" s="30">
        <f>IF(INDEX(TilgAktiv,($N$6-1)*480+280)=0,"",INDEX(TilgSonder,($N$6-1)*480+280))</f>
      </c>
      <c r="J294" s="30">
        <f>IF(INDEX(TilgAktiv,($N$6-1)*480+280)=0,"",INDEX(TilgErsatz,($N$6-1)*480+280))</f>
      </c>
      <c r="K294" s="30">
        <f>IF(INDEX(TilgAktiv,($N$6-1)*480+280)=0,"",INDEX(Tilgung!$Q$4:$Q$9603,($N$6-1)*480+280))</f>
      </c>
      <c r="L294" s="30">
        <f>IF(INDEX(TilgAktiv,($N$6-1)*480+280)=0,"",INDEX(Tilgung!$R$4:$R$9603,($N$6-1)*480+280))</f>
      </c>
    </row>
    <row r="295">
      <c r="A295"/>
      <c r="B295" s="36">
        <f>IF(INDEX(TilgAktiv,($N$6-1)*480+281)=0,"",281)</f>
      </c>
      <c r="C295" s="41">
        <f>IF(INDEX(TilgAktiv,($N$6-1)*480+281)=0,"",INDEX(TilgDatum,($N$6-1)*480+281))</f>
      </c>
      <c r="D295" s="31">
        <f>IF(INDEX(TilgAktiv,($N$6-1)*480+281)=0,"",INDEX(Tilgung!$H$4:$H$9603,($N$6-1)*480+281))</f>
      </c>
      <c r="E295" s="30">
        <f>IF(INDEX(TilgAktiv,($N$6-1)*480+281)=0,"",INDEX(Tilgung!$J$4:$J$9603,($N$6-1)*480+281))</f>
      </c>
      <c r="F295" s="30">
        <f>IF(INDEX(TilgAktiv,($N$6-1)*480+281)=0,"",IF(INDEX(TilgTilgung,($N$6-1)*480+281)=0,INDEX(TilgZins,($N$6-1)*480+281),INDEX(TilgZins,($N$6-1)*480+281)+INDEX(TilgTilgung,($N$6-1)*480+281))+INDEX(TilgErsatz,($N$6-1)*480+281))</f>
      </c>
      <c r="G295" s="30">
        <f>IF(INDEX(TilgAktiv,($N$6-1)*480+281)=0,"",INDEX(TilgZins,($N$6-1)*480+281))</f>
      </c>
      <c r="H295" s="30">
        <f>IF(INDEX(TilgAktiv,($N$6-1)*480+281)=0,"",INDEX(TilgTilgung,($N$6-1)*480+281))</f>
      </c>
      <c r="I295" s="30">
        <f>IF(INDEX(TilgAktiv,($N$6-1)*480+281)=0,"",INDEX(TilgSonder,($N$6-1)*480+281))</f>
      </c>
      <c r="J295" s="30">
        <f>IF(INDEX(TilgAktiv,($N$6-1)*480+281)=0,"",INDEX(TilgErsatz,($N$6-1)*480+281))</f>
      </c>
      <c r="K295" s="30">
        <f>IF(INDEX(TilgAktiv,($N$6-1)*480+281)=0,"",INDEX(Tilgung!$Q$4:$Q$9603,($N$6-1)*480+281))</f>
      </c>
      <c r="L295" s="30">
        <f>IF(INDEX(TilgAktiv,($N$6-1)*480+281)=0,"",INDEX(Tilgung!$R$4:$R$9603,($N$6-1)*480+281))</f>
      </c>
    </row>
    <row r="296">
      <c r="A296"/>
      <c r="B296" s="36">
        <f>IF(INDEX(TilgAktiv,($N$6-1)*480+282)=0,"",282)</f>
      </c>
      <c r="C296" s="41">
        <f>IF(INDEX(TilgAktiv,($N$6-1)*480+282)=0,"",INDEX(TilgDatum,($N$6-1)*480+282))</f>
      </c>
      <c r="D296" s="31">
        <f>IF(INDEX(TilgAktiv,($N$6-1)*480+282)=0,"",INDEX(Tilgung!$H$4:$H$9603,($N$6-1)*480+282))</f>
      </c>
      <c r="E296" s="30">
        <f>IF(INDEX(TilgAktiv,($N$6-1)*480+282)=0,"",INDEX(Tilgung!$J$4:$J$9603,($N$6-1)*480+282))</f>
      </c>
      <c r="F296" s="30">
        <f>IF(INDEX(TilgAktiv,($N$6-1)*480+282)=0,"",IF(INDEX(TilgTilgung,($N$6-1)*480+282)=0,INDEX(TilgZins,($N$6-1)*480+282),INDEX(TilgZins,($N$6-1)*480+282)+INDEX(TilgTilgung,($N$6-1)*480+282))+INDEX(TilgErsatz,($N$6-1)*480+282))</f>
      </c>
      <c r="G296" s="30">
        <f>IF(INDEX(TilgAktiv,($N$6-1)*480+282)=0,"",INDEX(TilgZins,($N$6-1)*480+282))</f>
      </c>
      <c r="H296" s="30">
        <f>IF(INDEX(TilgAktiv,($N$6-1)*480+282)=0,"",INDEX(TilgTilgung,($N$6-1)*480+282))</f>
      </c>
      <c r="I296" s="30">
        <f>IF(INDEX(TilgAktiv,($N$6-1)*480+282)=0,"",INDEX(TilgSonder,($N$6-1)*480+282))</f>
      </c>
      <c r="J296" s="30">
        <f>IF(INDEX(TilgAktiv,($N$6-1)*480+282)=0,"",INDEX(TilgErsatz,($N$6-1)*480+282))</f>
      </c>
      <c r="K296" s="30">
        <f>IF(INDEX(TilgAktiv,($N$6-1)*480+282)=0,"",INDEX(Tilgung!$Q$4:$Q$9603,($N$6-1)*480+282))</f>
      </c>
      <c r="L296" s="30">
        <f>IF(INDEX(TilgAktiv,($N$6-1)*480+282)=0,"",INDEX(Tilgung!$R$4:$R$9603,($N$6-1)*480+282))</f>
      </c>
    </row>
    <row r="297">
      <c r="A297"/>
      <c r="B297" s="36">
        <f>IF(INDEX(TilgAktiv,($N$6-1)*480+283)=0,"",283)</f>
      </c>
      <c r="C297" s="41">
        <f>IF(INDEX(TilgAktiv,($N$6-1)*480+283)=0,"",INDEX(TilgDatum,($N$6-1)*480+283))</f>
      </c>
      <c r="D297" s="31">
        <f>IF(INDEX(TilgAktiv,($N$6-1)*480+283)=0,"",INDEX(Tilgung!$H$4:$H$9603,($N$6-1)*480+283))</f>
      </c>
      <c r="E297" s="30">
        <f>IF(INDEX(TilgAktiv,($N$6-1)*480+283)=0,"",INDEX(Tilgung!$J$4:$J$9603,($N$6-1)*480+283))</f>
      </c>
      <c r="F297" s="30">
        <f>IF(INDEX(TilgAktiv,($N$6-1)*480+283)=0,"",IF(INDEX(TilgTilgung,($N$6-1)*480+283)=0,INDEX(TilgZins,($N$6-1)*480+283),INDEX(TilgZins,($N$6-1)*480+283)+INDEX(TilgTilgung,($N$6-1)*480+283))+INDEX(TilgErsatz,($N$6-1)*480+283))</f>
      </c>
      <c r="G297" s="30">
        <f>IF(INDEX(TilgAktiv,($N$6-1)*480+283)=0,"",INDEX(TilgZins,($N$6-1)*480+283))</f>
      </c>
      <c r="H297" s="30">
        <f>IF(INDEX(TilgAktiv,($N$6-1)*480+283)=0,"",INDEX(TilgTilgung,($N$6-1)*480+283))</f>
      </c>
      <c r="I297" s="30">
        <f>IF(INDEX(TilgAktiv,($N$6-1)*480+283)=0,"",INDEX(TilgSonder,($N$6-1)*480+283))</f>
      </c>
      <c r="J297" s="30">
        <f>IF(INDEX(TilgAktiv,($N$6-1)*480+283)=0,"",INDEX(TilgErsatz,($N$6-1)*480+283))</f>
      </c>
      <c r="K297" s="30">
        <f>IF(INDEX(TilgAktiv,($N$6-1)*480+283)=0,"",INDEX(Tilgung!$Q$4:$Q$9603,($N$6-1)*480+283))</f>
      </c>
      <c r="L297" s="30">
        <f>IF(INDEX(TilgAktiv,($N$6-1)*480+283)=0,"",INDEX(Tilgung!$R$4:$R$9603,($N$6-1)*480+283))</f>
      </c>
    </row>
    <row r="298">
      <c r="A298"/>
      <c r="B298" s="36">
        <f>IF(INDEX(TilgAktiv,($N$6-1)*480+284)=0,"",284)</f>
      </c>
      <c r="C298" s="41">
        <f>IF(INDEX(TilgAktiv,($N$6-1)*480+284)=0,"",INDEX(TilgDatum,($N$6-1)*480+284))</f>
      </c>
      <c r="D298" s="31">
        <f>IF(INDEX(TilgAktiv,($N$6-1)*480+284)=0,"",INDEX(Tilgung!$H$4:$H$9603,($N$6-1)*480+284))</f>
      </c>
      <c r="E298" s="30">
        <f>IF(INDEX(TilgAktiv,($N$6-1)*480+284)=0,"",INDEX(Tilgung!$J$4:$J$9603,($N$6-1)*480+284))</f>
      </c>
      <c r="F298" s="30">
        <f>IF(INDEX(TilgAktiv,($N$6-1)*480+284)=0,"",IF(INDEX(TilgTilgung,($N$6-1)*480+284)=0,INDEX(TilgZins,($N$6-1)*480+284),INDEX(TilgZins,($N$6-1)*480+284)+INDEX(TilgTilgung,($N$6-1)*480+284))+INDEX(TilgErsatz,($N$6-1)*480+284))</f>
      </c>
      <c r="G298" s="30">
        <f>IF(INDEX(TilgAktiv,($N$6-1)*480+284)=0,"",INDEX(TilgZins,($N$6-1)*480+284))</f>
      </c>
      <c r="H298" s="30">
        <f>IF(INDEX(TilgAktiv,($N$6-1)*480+284)=0,"",INDEX(TilgTilgung,($N$6-1)*480+284))</f>
      </c>
      <c r="I298" s="30">
        <f>IF(INDEX(TilgAktiv,($N$6-1)*480+284)=0,"",INDEX(TilgSonder,($N$6-1)*480+284))</f>
      </c>
      <c r="J298" s="30">
        <f>IF(INDEX(TilgAktiv,($N$6-1)*480+284)=0,"",INDEX(TilgErsatz,($N$6-1)*480+284))</f>
      </c>
      <c r="K298" s="30">
        <f>IF(INDEX(TilgAktiv,($N$6-1)*480+284)=0,"",INDEX(Tilgung!$Q$4:$Q$9603,($N$6-1)*480+284))</f>
      </c>
      <c r="L298" s="30">
        <f>IF(INDEX(TilgAktiv,($N$6-1)*480+284)=0,"",INDEX(Tilgung!$R$4:$R$9603,($N$6-1)*480+284))</f>
      </c>
    </row>
    <row r="299">
      <c r="A299"/>
      <c r="B299" s="36">
        <f>IF(INDEX(TilgAktiv,($N$6-1)*480+285)=0,"",285)</f>
      </c>
      <c r="C299" s="41">
        <f>IF(INDEX(TilgAktiv,($N$6-1)*480+285)=0,"",INDEX(TilgDatum,($N$6-1)*480+285))</f>
      </c>
      <c r="D299" s="31">
        <f>IF(INDEX(TilgAktiv,($N$6-1)*480+285)=0,"",INDEX(Tilgung!$H$4:$H$9603,($N$6-1)*480+285))</f>
      </c>
      <c r="E299" s="30">
        <f>IF(INDEX(TilgAktiv,($N$6-1)*480+285)=0,"",INDEX(Tilgung!$J$4:$J$9603,($N$6-1)*480+285))</f>
      </c>
      <c r="F299" s="30">
        <f>IF(INDEX(TilgAktiv,($N$6-1)*480+285)=0,"",IF(INDEX(TilgTilgung,($N$6-1)*480+285)=0,INDEX(TilgZins,($N$6-1)*480+285),INDEX(TilgZins,($N$6-1)*480+285)+INDEX(TilgTilgung,($N$6-1)*480+285))+INDEX(TilgErsatz,($N$6-1)*480+285))</f>
      </c>
      <c r="G299" s="30">
        <f>IF(INDEX(TilgAktiv,($N$6-1)*480+285)=0,"",INDEX(TilgZins,($N$6-1)*480+285))</f>
      </c>
      <c r="H299" s="30">
        <f>IF(INDEX(TilgAktiv,($N$6-1)*480+285)=0,"",INDEX(TilgTilgung,($N$6-1)*480+285))</f>
      </c>
      <c r="I299" s="30">
        <f>IF(INDEX(TilgAktiv,($N$6-1)*480+285)=0,"",INDEX(TilgSonder,($N$6-1)*480+285))</f>
      </c>
      <c r="J299" s="30">
        <f>IF(INDEX(TilgAktiv,($N$6-1)*480+285)=0,"",INDEX(TilgErsatz,($N$6-1)*480+285))</f>
      </c>
      <c r="K299" s="30">
        <f>IF(INDEX(TilgAktiv,($N$6-1)*480+285)=0,"",INDEX(Tilgung!$Q$4:$Q$9603,($N$6-1)*480+285))</f>
      </c>
      <c r="L299" s="30">
        <f>IF(INDEX(TilgAktiv,($N$6-1)*480+285)=0,"",INDEX(Tilgung!$R$4:$R$9603,($N$6-1)*480+285))</f>
      </c>
    </row>
    <row r="300">
      <c r="A300"/>
      <c r="B300" s="36">
        <f>IF(INDEX(TilgAktiv,($N$6-1)*480+286)=0,"",286)</f>
      </c>
      <c r="C300" s="41">
        <f>IF(INDEX(TilgAktiv,($N$6-1)*480+286)=0,"",INDEX(TilgDatum,($N$6-1)*480+286))</f>
      </c>
      <c r="D300" s="31">
        <f>IF(INDEX(TilgAktiv,($N$6-1)*480+286)=0,"",INDEX(Tilgung!$H$4:$H$9603,($N$6-1)*480+286))</f>
      </c>
      <c r="E300" s="30">
        <f>IF(INDEX(TilgAktiv,($N$6-1)*480+286)=0,"",INDEX(Tilgung!$J$4:$J$9603,($N$6-1)*480+286))</f>
      </c>
      <c r="F300" s="30">
        <f>IF(INDEX(TilgAktiv,($N$6-1)*480+286)=0,"",IF(INDEX(TilgTilgung,($N$6-1)*480+286)=0,INDEX(TilgZins,($N$6-1)*480+286),INDEX(TilgZins,($N$6-1)*480+286)+INDEX(TilgTilgung,($N$6-1)*480+286))+INDEX(TilgErsatz,($N$6-1)*480+286))</f>
      </c>
      <c r="G300" s="30">
        <f>IF(INDEX(TilgAktiv,($N$6-1)*480+286)=0,"",INDEX(TilgZins,($N$6-1)*480+286))</f>
      </c>
      <c r="H300" s="30">
        <f>IF(INDEX(TilgAktiv,($N$6-1)*480+286)=0,"",INDEX(TilgTilgung,($N$6-1)*480+286))</f>
      </c>
      <c r="I300" s="30">
        <f>IF(INDEX(TilgAktiv,($N$6-1)*480+286)=0,"",INDEX(TilgSonder,($N$6-1)*480+286))</f>
      </c>
      <c r="J300" s="30">
        <f>IF(INDEX(TilgAktiv,($N$6-1)*480+286)=0,"",INDEX(TilgErsatz,($N$6-1)*480+286))</f>
      </c>
      <c r="K300" s="30">
        <f>IF(INDEX(TilgAktiv,($N$6-1)*480+286)=0,"",INDEX(Tilgung!$Q$4:$Q$9603,($N$6-1)*480+286))</f>
      </c>
      <c r="L300" s="30">
        <f>IF(INDEX(TilgAktiv,($N$6-1)*480+286)=0,"",INDEX(Tilgung!$R$4:$R$9603,($N$6-1)*480+286))</f>
      </c>
    </row>
    <row r="301">
      <c r="A301"/>
      <c r="B301" s="36">
        <f>IF(INDEX(TilgAktiv,($N$6-1)*480+287)=0,"",287)</f>
      </c>
      <c r="C301" s="41">
        <f>IF(INDEX(TilgAktiv,($N$6-1)*480+287)=0,"",INDEX(TilgDatum,($N$6-1)*480+287))</f>
      </c>
      <c r="D301" s="31">
        <f>IF(INDEX(TilgAktiv,($N$6-1)*480+287)=0,"",INDEX(Tilgung!$H$4:$H$9603,($N$6-1)*480+287))</f>
      </c>
      <c r="E301" s="30">
        <f>IF(INDEX(TilgAktiv,($N$6-1)*480+287)=0,"",INDEX(Tilgung!$J$4:$J$9603,($N$6-1)*480+287))</f>
      </c>
      <c r="F301" s="30">
        <f>IF(INDEX(TilgAktiv,($N$6-1)*480+287)=0,"",IF(INDEX(TilgTilgung,($N$6-1)*480+287)=0,INDEX(TilgZins,($N$6-1)*480+287),INDEX(TilgZins,($N$6-1)*480+287)+INDEX(TilgTilgung,($N$6-1)*480+287))+INDEX(TilgErsatz,($N$6-1)*480+287))</f>
      </c>
      <c r="G301" s="30">
        <f>IF(INDEX(TilgAktiv,($N$6-1)*480+287)=0,"",INDEX(TilgZins,($N$6-1)*480+287))</f>
      </c>
      <c r="H301" s="30">
        <f>IF(INDEX(TilgAktiv,($N$6-1)*480+287)=0,"",INDEX(TilgTilgung,($N$6-1)*480+287))</f>
      </c>
      <c r="I301" s="30">
        <f>IF(INDEX(TilgAktiv,($N$6-1)*480+287)=0,"",INDEX(TilgSonder,($N$6-1)*480+287))</f>
      </c>
      <c r="J301" s="30">
        <f>IF(INDEX(TilgAktiv,($N$6-1)*480+287)=0,"",INDEX(TilgErsatz,($N$6-1)*480+287))</f>
      </c>
      <c r="K301" s="30">
        <f>IF(INDEX(TilgAktiv,($N$6-1)*480+287)=0,"",INDEX(Tilgung!$Q$4:$Q$9603,($N$6-1)*480+287))</f>
      </c>
      <c r="L301" s="30">
        <f>IF(INDEX(TilgAktiv,($N$6-1)*480+287)=0,"",INDEX(Tilgung!$R$4:$R$9603,($N$6-1)*480+287))</f>
      </c>
    </row>
    <row r="302">
      <c r="A302"/>
      <c r="B302" s="36">
        <f>IF(INDEX(TilgAktiv,($N$6-1)*480+288)=0,"",288)</f>
      </c>
      <c r="C302" s="41">
        <f>IF(INDEX(TilgAktiv,($N$6-1)*480+288)=0,"",INDEX(TilgDatum,($N$6-1)*480+288))</f>
      </c>
      <c r="D302" s="31">
        <f>IF(INDEX(TilgAktiv,($N$6-1)*480+288)=0,"",INDEX(Tilgung!$H$4:$H$9603,($N$6-1)*480+288))</f>
      </c>
      <c r="E302" s="30">
        <f>IF(INDEX(TilgAktiv,($N$6-1)*480+288)=0,"",INDEX(Tilgung!$J$4:$J$9603,($N$6-1)*480+288))</f>
      </c>
      <c r="F302" s="30">
        <f>IF(INDEX(TilgAktiv,($N$6-1)*480+288)=0,"",IF(INDEX(TilgTilgung,($N$6-1)*480+288)=0,INDEX(TilgZins,($N$6-1)*480+288),INDEX(TilgZins,($N$6-1)*480+288)+INDEX(TilgTilgung,($N$6-1)*480+288))+INDEX(TilgErsatz,($N$6-1)*480+288))</f>
      </c>
      <c r="G302" s="30">
        <f>IF(INDEX(TilgAktiv,($N$6-1)*480+288)=0,"",INDEX(TilgZins,($N$6-1)*480+288))</f>
      </c>
      <c r="H302" s="30">
        <f>IF(INDEX(TilgAktiv,($N$6-1)*480+288)=0,"",INDEX(TilgTilgung,($N$6-1)*480+288))</f>
      </c>
      <c r="I302" s="30">
        <f>IF(INDEX(TilgAktiv,($N$6-1)*480+288)=0,"",INDEX(TilgSonder,($N$6-1)*480+288))</f>
      </c>
      <c r="J302" s="30">
        <f>IF(INDEX(TilgAktiv,($N$6-1)*480+288)=0,"",INDEX(TilgErsatz,($N$6-1)*480+288))</f>
      </c>
      <c r="K302" s="30">
        <f>IF(INDEX(TilgAktiv,($N$6-1)*480+288)=0,"",INDEX(Tilgung!$Q$4:$Q$9603,($N$6-1)*480+288))</f>
      </c>
      <c r="L302" s="30">
        <f>IF(INDEX(TilgAktiv,($N$6-1)*480+288)=0,"",INDEX(Tilgung!$R$4:$R$9603,($N$6-1)*480+288))</f>
      </c>
    </row>
    <row r="303">
      <c r="A303"/>
      <c r="B303" s="36">
        <f>IF(INDEX(TilgAktiv,($N$6-1)*480+289)=0,"",289)</f>
      </c>
      <c r="C303" s="41">
        <f>IF(INDEX(TilgAktiv,($N$6-1)*480+289)=0,"",INDEX(TilgDatum,($N$6-1)*480+289))</f>
      </c>
      <c r="D303" s="31">
        <f>IF(INDEX(TilgAktiv,($N$6-1)*480+289)=0,"",INDEX(Tilgung!$H$4:$H$9603,($N$6-1)*480+289))</f>
      </c>
      <c r="E303" s="30">
        <f>IF(INDEX(TilgAktiv,($N$6-1)*480+289)=0,"",INDEX(Tilgung!$J$4:$J$9603,($N$6-1)*480+289))</f>
      </c>
      <c r="F303" s="30">
        <f>IF(INDEX(TilgAktiv,($N$6-1)*480+289)=0,"",IF(INDEX(TilgTilgung,($N$6-1)*480+289)=0,INDEX(TilgZins,($N$6-1)*480+289),INDEX(TilgZins,($N$6-1)*480+289)+INDEX(TilgTilgung,($N$6-1)*480+289))+INDEX(TilgErsatz,($N$6-1)*480+289))</f>
      </c>
      <c r="G303" s="30">
        <f>IF(INDEX(TilgAktiv,($N$6-1)*480+289)=0,"",INDEX(TilgZins,($N$6-1)*480+289))</f>
      </c>
      <c r="H303" s="30">
        <f>IF(INDEX(TilgAktiv,($N$6-1)*480+289)=0,"",INDEX(TilgTilgung,($N$6-1)*480+289))</f>
      </c>
      <c r="I303" s="30">
        <f>IF(INDEX(TilgAktiv,($N$6-1)*480+289)=0,"",INDEX(TilgSonder,($N$6-1)*480+289))</f>
      </c>
      <c r="J303" s="30">
        <f>IF(INDEX(TilgAktiv,($N$6-1)*480+289)=0,"",INDEX(TilgErsatz,($N$6-1)*480+289))</f>
      </c>
      <c r="K303" s="30">
        <f>IF(INDEX(TilgAktiv,($N$6-1)*480+289)=0,"",INDEX(Tilgung!$Q$4:$Q$9603,($N$6-1)*480+289))</f>
      </c>
      <c r="L303" s="30">
        <f>IF(INDEX(TilgAktiv,($N$6-1)*480+289)=0,"",INDEX(Tilgung!$R$4:$R$9603,($N$6-1)*480+289))</f>
      </c>
    </row>
    <row r="304">
      <c r="A304"/>
      <c r="B304" s="36">
        <f>IF(INDEX(TilgAktiv,($N$6-1)*480+290)=0,"",290)</f>
      </c>
      <c r="C304" s="41">
        <f>IF(INDEX(TilgAktiv,($N$6-1)*480+290)=0,"",INDEX(TilgDatum,($N$6-1)*480+290))</f>
      </c>
      <c r="D304" s="31">
        <f>IF(INDEX(TilgAktiv,($N$6-1)*480+290)=0,"",INDEX(Tilgung!$H$4:$H$9603,($N$6-1)*480+290))</f>
      </c>
      <c r="E304" s="30">
        <f>IF(INDEX(TilgAktiv,($N$6-1)*480+290)=0,"",INDEX(Tilgung!$J$4:$J$9603,($N$6-1)*480+290))</f>
      </c>
      <c r="F304" s="30">
        <f>IF(INDEX(TilgAktiv,($N$6-1)*480+290)=0,"",IF(INDEX(TilgTilgung,($N$6-1)*480+290)=0,INDEX(TilgZins,($N$6-1)*480+290),INDEX(TilgZins,($N$6-1)*480+290)+INDEX(TilgTilgung,($N$6-1)*480+290))+INDEX(TilgErsatz,($N$6-1)*480+290))</f>
      </c>
      <c r="G304" s="30">
        <f>IF(INDEX(TilgAktiv,($N$6-1)*480+290)=0,"",INDEX(TilgZins,($N$6-1)*480+290))</f>
      </c>
      <c r="H304" s="30">
        <f>IF(INDEX(TilgAktiv,($N$6-1)*480+290)=0,"",INDEX(TilgTilgung,($N$6-1)*480+290))</f>
      </c>
      <c r="I304" s="30">
        <f>IF(INDEX(TilgAktiv,($N$6-1)*480+290)=0,"",INDEX(TilgSonder,($N$6-1)*480+290))</f>
      </c>
      <c r="J304" s="30">
        <f>IF(INDEX(TilgAktiv,($N$6-1)*480+290)=0,"",INDEX(TilgErsatz,($N$6-1)*480+290))</f>
      </c>
      <c r="K304" s="30">
        <f>IF(INDEX(TilgAktiv,($N$6-1)*480+290)=0,"",INDEX(Tilgung!$Q$4:$Q$9603,($N$6-1)*480+290))</f>
      </c>
      <c r="L304" s="30">
        <f>IF(INDEX(TilgAktiv,($N$6-1)*480+290)=0,"",INDEX(Tilgung!$R$4:$R$9603,($N$6-1)*480+290))</f>
      </c>
    </row>
    <row r="305">
      <c r="A305"/>
      <c r="B305" s="36">
        <f>IF(INDEX(TilgAktiv,($N$6-1)*480+291)=0,"",291)</f>
      </c>
      <c r="C305" s="41">
        <f>IF(INDEX(TilgAktiv,($N$6-1)*480+291)=0,"",INDEX(TilgDatum,($N$6-1)*480+291))</f>
      </c>
      <c r="D305" s="31">
        <f>IF(INDEX(TilgAktiv,($N$6-1)*480+291)=0,"",INDEX(Tilgung!$H$4:$H$9603,($N$6-1)*480+291))</f>
      </c>
      <c r="E305" s="30">
        <f>IF(INDEX(TilgAktiv,($N$6-1)*480+291)=0,"",INDEX(Tilgung!$J$4:$J$9603,($N$6-1)*480+291))</f>
      </c>
      <c r="F305" s="30">
        <f>IF(INDEX(TilgAktiv,($N$6-1)*480+291)=0,"",IF(INDEX(TilgTilgung,($N$6-1)*480+291)=0,INDEX(TilgZins,($N$6-1)*480+291),INDEX(TilgZins,($N$6-1)*480+291)+INDEX(TilgTilgung,($N$6-1)*480+291))+INDEX(TilgErsatz,($N$6-1)*480+291))</f>
      </c>
      <c r="G305" s="30">
        <f>IF(INDEX(TilgAktiv,($N$6-1)*480+291)=0,"",INDEX(TilgZins,($N$6-1)*480+291))</f>
      </c>
      <c r="H305" s="30">
        <f>IF(INDEX(TilgAktiv,($N$6-1)*480+291)=0,"",INDEX(TilgTilgung,($N$6-1)*480+291))</f>
      </c>
      <c r="I305" s="30">
        <f>IF(INDEX(TilgAktiv,($N$6-1)*480+291)=0,"",INDEX(TilgSonder,($N$6-1)*480+291))</f>
      </c>
      <c r="J305" s="30">
        <f>IF(INDEX(TilgAktiv,($N$6-1)*480+291)=0,"",INDEX(TilgErsatz,($N$6-1)*480+291))</f>
      </c>
      <c r="K305" s="30">
        <f>IF(INDEX(TilgAktiv,($N$6-1)*480+291)=0,"",INDEX(Tilgung!$Q$4:$Q$9603,($N$6-1)*480+291))</f>
      </c>
      <c r="L305" s="30">
        <f>IF(INDEX(TilgAktiv,($N$6-1)*480+291)=0,"",INDEX(Tilgung!$R$4:$R$9603,($N$6-1)*480+291))</f>
      </c>
    </row>
    <row r="306">
      <c r="A306"/>
      <c r="B306" s="36">
        <f>IF(INDEX(TilgAktiv,($N$6-1)*480+292)=0,"",292)</f>
      </c>
      <c r="C306" s="41">
        <f>IF(INDEX(TilgAktiv,($N$6-1)*480+292)=0,"",INDEX(TilgDatum,($N$6-1)*480+292))</f>
      </c>
      <c r="D306" s="31">
        <f>IF(INDEX(TilgAktiv,($N$6-1)*480+292)=0,"",INDEX(Tilgung!$H$4:$H$9603,($N$6-1)*480+292))</f>
      </c>
      <c r="E306" s="30">
        <f>IF(INDEX(TilgAktiv,($N$6-1)*480+292)=0,"",INDEX(Tilgung!$J$4:$J$9603,($N$6-1)*480+292))</f>
      </c>
      <c r="F306" s="30">
        <f>IF(INDEX(TilgAktiv,($N$6-1)*480+292)=0,"",IF(INDEX(TilgTilgung,($N$6-1)*480+292)=0,INDEX(TilgZins,($N$6-1)*480+292),INDEX(TilgZins,($N$6-1)*480+292)+INDEX(TilgTilgung,($N$6-1)*480+292))+INDEX(TilgErsatz,($N$6-1)*480+292))</f>
      </c>
      <c r="G306" s="30">
        <f>IF(INDEX(TilgAktiv,($N$6-1)*480+292)=0,"",INDEX(TilgZins,($N$6-1)*480+292))</f>
      </c>
      <c r="H306" s="30">
        <f>IF(INDEX(TilgAktiv,($N$6-1)*480+292)=0,"",INDEX(TilgTilgung,($N$6-1)*480+292))</f>
      </c>
      <c r="I306" s="30">
        <f>IF(INDEX(TilgAktiv,($N$6-1)*480+292)=0,"",INDEX(TilgSonder,($N$6-1)*480+292))</f>
      </c>
      <c r="J306" s="30">
        <f>IF(INDEX(TilgAktiv,($N$6-1)*480+292)=0,"",INDEX(TilgErsatz,($N$6-1)*480+292))</f>
      </c>
      <c r="K306" s="30">
        <f>IF(INDEX(TilgAktiv,($N$6-1)*480+292)=0,"",INDEX(Tilgung!$Q$4:$Q$9603,($N$6-1)*480+292))</f>
      </c>
      <c r="L306" s="30">
        <f>IF(INDEX(TilgAktiv,($N$6-1)*480+292)=0,"",INDEX(Tilgung!$R$4:$R$9603,($N$6-1)*480+292))</f>
      </c>
    </row>
    <row r="307">
      <c r="A307"/>
      <c r="B307" s="36">
        <f>IF(INDEX(TilgAktiv,($N$6-1)*480+293)=0,"",293)</f>
      </c>
      <c r="C307" s="41">
        <f>IF(INDEX(TilgAktiv,($N$6-1)*480+293)=0,"",INDEX(TilgDatum,($N$6-1)*480+293))</f>
      </c>
      <c r="D307" s="31">
        <f>IF(INDEX(TilgAktiv,($N$6-1)*480+293)=0,"",INDEX(Tilgung!$H$4:$H$9603,($N$6-1)*480+293))</f>
      </c>
      <c r="E307" s="30">
        <f>IF(INDEX(TilgAktiv,($N$6-1)*480+293)=0,"",INDEX(Tilgung!$J$4:$J$9603,($N$6-1)*480+293))</f>
      </c>
      <c r="F307" s="30">
        <f>IF(INDEX(TilgAktiv,($N$6-1)*480+293)=0,"",IF(INDEX(TilgTilgung,($N$6-1)*480+293)=0,INDEX(TilgZins,($N$6-1)*480+293),INDEX(TilgZins,($N$6-1)*480+293)+INDEX(TilgTilgung,($N$6-1)*480+293))+INDEX(TilgErsatz,($N$6-1)*480+293))</f>
      </c>
      <c r="G307" s="30">
        <f>IF(INDEX(TilgAktiv,($N$6-1)*480+293)=0,"",INDEX(TilgZins,($N$6-1)*480+293))</f>
      </c>
      <c r="H307" s="30">
        <f>IF(INDEX(TilgAktiv,($N$6-1)*480+293)=0,"",INDEX(TilgTilgung,($N$6-1)*480+293))</f>
      </c>
      <c r="I307" s="30">
        <f>IF(INDEX(TilgAktiv,($N$6-1)*480+293)=0,"",INDEX(TilgSonder,($N$6-1)*480+293))</f>
      </c>
      <c r="J307" s="30">
        <f>IF(INDEX(TilgAktiv,($N$6-1)*480+293)=0,"",INDEX(TilgErsatz,($N$6-1)*480+293))</f>
      </c>
      <c r="K307" s="30">
        <f>IF(INDEX(TilgAktiv,($N$6-1)*480+293)=0,"",INDEX(Tilgung!$Q$4:$Q$9603,($N$6-1)*480+293))</f>
      </c>
      <c r="L307" s="30">
        <f>IF(INDEX(TilgAktiv,($N$6-1)*480+293)=0,"",INDEX(Tilgung!$R$4:$R$9603,($N$6-1)*480+293))</f>
      </c>
    </row>
    <row r="308">
      <c r="A308"/>
      <c r="B308" s="36">
        <f>IF(INDEX(TilgAktiv,($N$6-1)*480+294)=0,"",294)</f>
      </c>
      <c r="C308" s="41">
        <f>IF(INDEX(TilgAktiv,($N$6-1)*480+294)=0,"",INDEX(TilgDatum,($N$6-1)*480+294))</f>
      </c>
      <c r="D308" s="31">
        <f>IF(INDEX(TilgAktiv,($N$6-1)*480+294)=0,"",INDEX(Tilgung!$H$4:$H$9603,($N$6-1)*480+294))</f>
      </c>
      <c r="E308" s="30">
        <f>IF(INDEX(TilgAktiv,($N$6-1)*480+294)=0,"",INDEX(Tilgung!$J$4:$J$9603,($N$6-1)*480+294))</f>
      </c>
      <c r="F308" s="30">
        <f>IF(INDEX(TilgAktiv,($N$6-1)*480+294)=0,"",IF(INDEX(TilgTilgung,($N$6-1)*480+294)=0,INDEX(TilgZins,($N$6-1)*480+294),INDEX(TilgZins,($N$6-1)*480+294)+INDEX(TilgTilgung,($N$6-1)*480+294))+INDEX(TilgErsatz,($N$6-1)*480+294))</f>
      </c>
      <c r="G308" s="30">
        <f>IF(INDEX(TilgAktiv,($N$6-1)*480+294)=0,"",INDEX(TilgZins,($N$6-1)*480+294))</f>
      </c>
      <c r="H308" s="30">
        <f>IF(INDEX(TilgAktiv,($N$6-1)*480+294)=0,"",INDEX(TilgTilgung,($N$6-1)*480+294))</f>
      </c>
      <c r="I308" s="30">
        <f>IF(INDEX(TilgAktiv,($N$6-1)*480+294)=0,"",INDEX(TilgSonder,($N$6-1)*480+294))</f>
      </c>
      <c r="J308" s="30">
        <f>IF(INDEX(TilgAktiv,($N$6-1)*480+294)=0,"",INDEX(TilgErsatz,($N$6-1)*480+294))</f>
      </c>
      <c r="K308" s="30">
        <f>IF(INDEX(TilgAktiv,($N$6-1)*480+294)=0,"",INDEX(Tilgung!$Q$4:$Q$9603,($N$6-1)*480+294))</f>
      </c>
      <c r="L308" s="30">
        <f>IF(INDEX(TilgAktiv,($N$6-1)*480+294)=0,"",INDEX(Tilgung!$R$4:$R$9603,($N$6-1)*480+294))</f>
      </c>
    </row>
    <row r="309">
      <c r="A309"/>
      <c r="B309" s="36">
        <f>IF(INDEX(TilgAktiv,($N$6-1)*480+295)=0,"",295)</f>
      </c>
      <c r="C309" s="41">
        <f>IF(INDEX(TilgAktiv,($N$6-1)*480+295)=0,"",INDEX(TilgDatum,($N$6-1)*480+295))</f>
      </c>
      <c r="D309" s="31">
        <f>IF(INDEX(TilgAktiv,($N$6-1)*480+295)=0,"",INDEX(Tilgung!$H$4:$H$9603,($N$6-1)*480+295))</f>
      </c>
      <c r="E309" s="30">
        <f>IF(INDEX(TilgAktiv,($N$6-1)*480+295)=0,"",INDEX(Tilgung!$J$4:$J$9603,($N$6-1)*480+295))</f>
      </c>
      <c r="F309" s="30">
        <f>IF(INDEX(TilgAktiv,($N$6-1)*480+295)=0,"",IF(INDEX(TilgTilgung,($N$6-1)*480+295)=0,INDEX(TilgZins,($N$6-1)*480+295),INDEX(TilgZins,($N$6-1)*480+295)+INDEX(TilgTilgung,($N$6-1)*480+295))+INDEX(TilgErsatz,($N$6-1)*480+295))</f>
      </c>
      <c r="G309" s="30">
        <f>IF(INDEX(TilgAktiv,($N$6-1)*480+295)=0,"",INDEX(TilgZins,($N$6-1)*480+295))</f>
      </c>
      <c r="H309" s="30">
        <f>IF(INDEX(TilgAktiv,($N$6-1)*480+295)=0,"",INDEX(TilgTilgung,($N$6-1)*480+295))</f>
      </c>
      <c r="I309" s="30">
        <f>IF(INDEX(TilgAktiv,($N$6-1)*480+295)=0,"",INDEX(TilgSonder,($N$6-1)*480+295))</f>
      </c>
      <c r="J309" s="30">
        <f>IF(INDEX(TilgAktiv,($N$6-1)*480+295)=0,"",INDEX(TilgErsatz,($N$6-1)*480+295))</f>
      </c>
      <c r="K309" s="30">
        <f>IF(INDEX(TilgAktiv,($N$6-1)*480+295)=0,"",INDEX(Tilgung!$Q$4:$Q$9603,($N$6-1)*480+295))</f>
      </c>
      <c r="L309" s="30">
        <f>IF(INDEX(TilgAktiv,($N$6-1)*480+295)=0,"",INDEX(Tilgung!$R$4:$R$9603,($N$6-1)*480+295))</f>
      </c>
    </row>
    <row r="310">
      <c r="A310"/>
      <c r="B310" s="36">
        <f>IF(INDEX(TilgAktiv,($N$6-1)*480+296)=0,"",296)</f>
      </c>
      <c r="C310" s="41">
        <f>IF(INDEX(TilgAktiv,($N$6-1)*480+296)=0,"",INDEX(TilgDatum,($N$6-1)*480+296))</f>
      </c>
      <c r="D310" s="31">
        <f>IF(INDEX(TilgAktiv,($N$6-1)*480+296)=0,"",INDEX(Tilgung!$H$4:$H$9603,($N$6-1)*480+296))</f>
      </c>
      <c r="E310" s="30">
        <f>IF(INDEX(TilgAktiv,($N$6-1)*480+296)=0,"",INDEX(Tilgung!$J$4:$J$9603,($N$6-1)*480+296))</f>
      </c>
      <c r="F310" s="30">
        <f>IF(INDEX(TilgAktiv,($N$6-1)*480+296)=0,"",IF(INDEX(TilgTilgung,($N$6-1)*480+296)=0,INDEX(TilgZins,($N$6-1)*480+296),INDEX(TilgZins,($N$6-1)*480+296)+INDEX(TilgTilgung,($N$6-1)*480+296))+INDEX(TilgErsatz,($N$6-1)*480+296))</f>
      </c>
      <c r="G310" s="30">
        <f>IF(INDEX(TilgAktiv,($N$6-1)*480+296)=0,"",INDEX(TilgZins,($N$6-1)*480+296))</f>
      </c>
      <c r="H310" s="30">
        <f>IF(INDEX(TilgAktiv,($N$6-1)*480+296)=0,"",INDEX(TilgTilgung,($N$6-1)*480+296))</f>
      </c>
      <c r="I310" s="30">
        <f>IF(INDEX(TilgAktiv,($N$6-1)*480+296)=0,"",INDEX(TilgSonder,($N$6-1)*480+296))</f>
      </c>
      <c r="J310" s="30">
        <f>IF(INDEX(TilgAktiv,($N$6-1)*480+296)=0,"",INDEX(TilgErsatz,($N$6-1)*480+296))</f>
      </c>
      <c r="K310" s="30">
        <f>IF(INDEX(TilgAktiv,($N$6-1)*480+296)=0,"",INDEX(Tilgung!$Q$4:$Q$9603,($N$6-1)*480+296))</f>
      </c>
      <c r="L310" s="30">
        <f>IF(INDEX(TilgAktiv,($N$6-1)*480+296)=0,"",INDEX(Tilgung!$R$4:$R$9603,($N$6-1)*480+296))</f>
      </c>
    </row>
    <row r="311">
      <c r="A311"/>
      <c r="B311" s="36">
        <f>IF(INDEX(TilgAktiv,($N$6-1)*480+297)=0,"",297)</f>
      </c>
      <c r="C311" s="41">
        <f>IF(INDEX(TilgAktiv,($N$6-1)*480+297)=0,"",INDEX(TilgDatum,($N$6-1)*480+297))</f>
      </c>
      <c r="D311" s="31">
        <f>IF(INDEX(TilgAktiv,($N$6-1)*480+297)=0,"",INDEX(Tilgung!$H$4:$H$9603,($N$6-1)*480+297))</f>
      </c>
      <c r="E311" s="30">
        <f>IF(INDEX(TilgAktiv,($N$6-1)*480+297)=0,"",INDEX(Tilgung!$J$4:$J$9603,($N$6-1)*480+297))</f>
      </c>
      <c r="F311" s="30">
        <f>IF(INDEX(TilgAktiv,($N$6-1)*480+297)=0,"",IF(INDEX(TilgTilgung,($N$6-1)*480+297)=0,INDEX(TilgZins,($N$6-1)*480+297),INDEX(TilgZins,($N$6-1)*480+297)+INDEX(TilgTilgung,($N$6-1)*480+297))+INDEX(TilgErsatz,($N$6-1)*480+297))</f>
      </c>
      <c r="G311" s="30">
        <f>IF(INDEX(TilgAktiv,($N$6-1)*480+297)=0,"",INDEX(TilgZins,($N$6-1)*480+297))</f>
      </c>
      <c r="H311" s="30">
        <f>IF(INDEX(TilgAktiv,($N$6-1)*480+297)=0,"",INDEX(TilgTilgung,($N$6-1)*480+297))</f>
      </c>
      <c r="I311" s="30">
        <f>IF(INDEX(TilgAktiv,($N$6-1)*480+297)=0,"",INDEX(TilgSonder,($N$6-1)*480+297))</f>
      </c>
      <c r="J311" s="30">
        <f>IF(INDEX(TilgAktiv,($N$6-1)*480+297)=0,"",INDEX(TilgErsatz,($N$6-1)*480+297))</f>
      </c>
      <c r="K311" s="30">
        <f>IF(INDEX(TilgAktiv,($N$6-1)*480+297)=0,"",INDEX(Tilgung!$Q$4:$Q$9603,($N$6-1)*480+297))</f>
      </c>
      <c r="L311" s="30">
        <f>IF(INDEX(TilgAktiv,($N$6-1)*480+297)=0,"",INDEX(Tilgung!$R$4:$R$9603,($N$6-1)*480+297))</f>
      </c>
    </row>
    <row r="312">
      <c r="A312"/>
      <c r="B312" s="36">
        <f>IF(INDEX(TilgAktiv,($N$6-1)*480+298)=0,"",298)</f>
      </c>
      <c r="C312" s="41">
        <f>IF(INDEX(TilgAktiv,($N$6-1)*480+298)=0,"",INDEX(TilgDatum,($N$6-1)*480+298))</f>
      </c>
      <c r="D312" s="31">
        <f>IF(INDEX(TilgAktiv,($N$6-1)*480+298)=0,"",INDEX(Tilgung!$H$4:$H$9603,($N$6-1)*480+298))</f>
      </c>
      <c r="E312" s="30">
        <f>IF(INDEX(TilgAktiv,($N$6-1)*480+298)=0,"",INDEX(Tilgung!$J$4:$J$9603,($N$6-1)*480+298))</f>
      </c>
      <c r="F312" s="30">
        <f>IF(INDEX(TilgAktiv,($N$6-1)*480+298)=0,"",IF(INDEX(TilgTilgung,($N$6-1)*480+298)=0,INDEX(TilgZins,($N$6-1)*480+298),INDEX(TilgZins,($N$6-1)*480+298)+INDEX(TilgTilgung,($N$6-1)*480+298))+INDEX(TilgErsatz,($N$6-1)*480+298))</f>
      </c>
      <c r="G312" s="30">
        <f>IF(INDEX(TilgAktiv,($N$6-1)*480+298)=0,"",INDEX(TilgZins,($N$6-1)*480+298))</f>
      </c>
      <c r="H312" s="30">
        <f>IF(INDEX(TilgAktiv,($N$6-1)*480+298)=0,"",INDEX(TilgTilgung,($N$6-1)*480+298))</f>
      </c>
      <c r="I312" s="30">
        <f>IF(INDEX(TilgAktiv,($N$6-1)*480+298)=0,"",INDEX(TilgSonder,($N$6-1)*480+298))</f>
      </c>
      <c r="J312" s="30">
        <f>IF(INDEX(TilgAktiv,($N$6-1)*480+298)=0,"",INDEX(TilgErsatz,($N$6-1)*480+298))</f>
      </c>
      <c r="K312" s="30">
        <f>IF(INDEX(TilgAktiv,($N$6-1)*480+298)=0,"",INDEX(Tilgung!$Q$4:$Q$9603,($N$6-1)*480+298))</f>
      </c>
      <c r="L312" s="30">
        <f>IF(INDEX(TilgAktiv,($N$6-1)*480+298)=0,"",INDEX(Tilgung!$R$4:$R$9603,($N$6-1)*480+298))</f>
      </c>
    </row>
    <row r="313">
      <c r="A313"/>
      <c r="B313" s="36">
        <f>IF(INDEX(TilgAktiv,($N$6-1)*480+299)=0,"",299)</f>
      </c>
      <c r="C313" s="41">
        <f>IF(INDEX(TilgAktiv,($N$6-1)*480+299)=0,"",INDEX(TilgDatum,($N$6-1)*480+299))</f>
      </c>
      <c r="D313" s="31">
        <f>IF(INDEX(TilgAktiv,($N$6-1)*480+299)=0,"",INDEX(Tilgung!$H$4:$H$9603,($N$6-1)*480+299))</f>
      </c>
      <c r="E313" s="30">
        <f>IF(INDEX(TilgAktiv,($N$6-1)*480+299)=0,"",INDEX(Tilgung!$J$4:$J$9603,($N$6-1)*480+299))</f>
      </c>
      <c r="F313" s="30">
        <f>IF(INDEX(TilgAktiv,($N$6-1)*480+299)=0,"",IF(INDEX(TilgTilgung,($N$6-1)*480+299)=0,INDEX(TilgZins,($N$6-1)*480+299),INDEX(TilgZins,($N$6-1)*480+299)+INDEX(TilgTilgung,($N$6-1)*480+299))+INDEX(TilgErsatz,($N$6-1)*480+299))</f>
      </c>
      <c r="G313" s="30">
        <f>IF(INDEX(TilgAktiv,($N$6-1)*480+299)=0,"",INDEX(TilgZins,($N$6-1)*480+299))</f>
      </c>
      <c r="H313" s="30">
        <f>IF(INDEX(TilgAktiv,($N$6-1)*480+299)=0,"",INDEX(TilgTilgung,($N$6-1)*480+299))</f>
      </c>
      <c r="I313" s="30">
        <f>IF(INDEX(TilgAktiv,($N$6-1)*480+299)=0,"",INDEX(TilgSonder,($N$6-1)*480+299))</f>
      </c>
      <c r="J313" s="30">
        <f>IF(INDEX(TilgAktiv,($N$6-1)*480+299)=0,"",INDEX(TilgErsatz,($N$6-1)*480+299))</f>
      </c>
      <c r="K313" s="30">
        <f>IF(INDEX(TilgAktiv,($N$6-1)*480+299)=0,"",INDEX(Tilgung!$Q$4:$Q$9603,($N$6-1)*480+299))</f>
      </c>
      <c r="L313" s="30">
        <f>IF(INDEX(TilgAktiv,($N$6-1)*480+299)=0,"",INDEX(Tilgung!$R$4:$R$9603,($N$6-1)*480+299))</f>
      </c>
    </row>
    <row r="314">
      <c r="A314"/>
      <c r="B314" s="36">
        <f>IF(INDEX(TilgAktiv,($N$6-1)*480+300)=0,"",300)</f>
      </c>
      <c r="C314" s="41">
        <f>IF(INDEX(TilgAktiv,($N$6-1)*480+300)=0,"",INDEX(TilgDatum,($N$6-1)*480+300))</f>
      </c>
      <c r="D314" s="31">
        <f>IF(INDEX(TilgAktiv,($N$6-1)*480+300)=0,"",INDEX(Tilgung!$H$4:$H$9603,($N$6-1)*480+300))</f>
      </c>
      <c r="E314" s="30">
        <f>IF(INDEX(TilgAktiv,($N$6-1)*480+300)=0,"",INDEX(Tilgung!$J$4:$J$9603,($N$6-1)*480+300))</f>
      </c>
      <c r="F314" s="30">
        <f>IF(INDEX(TilgAktiv,($N$6-1)*480+300)=0,"",IF(INDEX(TilgTilgung,($N$6-1)*480+300)=0,INDEX(TilgZins,($N$6-1)*480+300),INDEX(TilgZins,($N$6-1)*480+300)+INDEX(TilgTilgung,($N$6-1)*480+300))+INDEX(TilgErsatz,($N$6-1)*480+300))</f>
      </c>
      <c r="G314" s="30">
        <f>IF(INDEX(TilgAktiv,($N$6-1)*480+300)=0,"",INDEX(TilgZins,($N$6-1)*480+300))</f>
      </c>
      <c r="H314" s="30">
        <f>IF(INDEX(TilgAktiv,($N$6-1)*480+300)=0,"",INDEX(TilgTilgung,($N$6-1)*480+300))</f>
      </c>
      <c r="I314" s="30">
        <f>IF(INDEX(TilgAktiv,($N$6-1)*480+300)=0,"",INDEX(TilgSonder,($N$6-1)*480+300))</f>
      </c>
      <c r="J314" s="30">
        <f>IF(INDEX(TilgAktiv,($N$6-1)*480+300)=0,"",INDEX(TilgErsatz,($N$6-1)*480+300))</f>
      </c>
      <c r="K314" s="30">
        <f>IF(INDEX(TilgAktiv,($N$6-1)*480+300)=0,"",INDEX(Tilgung!$Q$4:$Q$9603,($N$6-1)*480+300))</f>
      </c>
      <c r="L314" s="30">
        <f>IF(INDEX(TilgAktiv,($N$6-1)*480+300)=0,"",INDEX(Tilgung!$R$4:$R$9603,($N$6-1)*480+300))</f>
      </c>
    </row>
    <row r="315">
      <c r="A315"/>
      <c r="B315" s="36">
        <f>IF(INDEX(TilgAktiv,($N$6-1)*480+301)=0,"",301)</f>
      </c>
      <c r="C315" s="41">
        <f>IF(INDEX(TilgAktiv,($N$6-1)*480+301)=0,"",INDEX(TilgDatum,($N$6-1)*480+301))</f>
      </c>
      <c r="D315" s="31">
        <f>IF(INDEX(TilgAktiv,($N$6-1)*480+301)=0,"",INDEX(Tilgung!$H$4:$H$9603,($N$6-1)*480+301))</f>
      </c>
      <c r="E315" s="30">
        <f>IF(INDEX(TilgAktiv,($N$6-1)*480+301)=0,"",INDEX(Tilgung!$J$4:$J$9603,($N$6-1)*480+301))</f>
      </c>
      <c r="F315" s="30">
        <f>IF(INDEX(TilgAktiv,($N$6-1)*480+301)=0,"",IF(INDEX(TilgTilgung,($N$6-1)*480+301)=0,INDEX(TilgZins,($N$6-1)*480+301),INDEX(TilgZins,($N$6-1)*480+301)+INDEX(TilgTilgung,($N$6-1)*480+301))+INDEX(TilgErsatz,($N$6-1)*480+301))</f>
      </c>
      <c r="G315" s="30">
        <f>IF(INDEX(TilgAktiv,($N$6-1)*480+301)=0,"",INDEX(TilgZins,($N$6-1)*480+301))</f>
      </c>
      <c r="H315" s="30">
        <f>IF(INDEX(TilgAktiv,($N$6-1)*480+301)=0,"",INDEX(TilgTilgung,($N$6-1)*480+301))</f>
      </c>
      <c r="I315" s="30">
        <f>IF(INDEX(TilgAktiv,($N$6-1)*480+301)=0,"",INDEX(TilgSonder,($N$6-1)*480+301))</f>
      </c>
      <c r="J315" s="30">
        <f>IF(INDEX(TilgAktiv,($N$6-1)*480+301)=0,"",INDEX(TilgErsatz,($N$6-1)*480+301))</f>
      </c>
      <c r="K315" s="30">
        <f>IF(INDEX(TilgAktiv,($N$6-1)*480+301)=0,"",INDEX(Tilgung!$Q$4:$Q$9603,($N$6-1)*480+301))</f>
      </c>
      <c r="L315" s="30">
        <f>IF(INDEX(TilgAktiv,($N$6-1)*480+301)=0,"",INDEX(Tilgung!$R$4:$R$9603,($N$6-1)*480+301))</f>
      </c>
    </row>
    <row r="316">
      <c r="A316"/>
      <c r="B316" s="36">
        <f>IF(INDEX(TilgAktiv,($N$6-1)*480+302)=0,"",302)</f>
      </c>
      <c r="C316" s="41">
        <f>IF(INDEX(TilgAktiv,($N$6-1)*480+302)=0,"",INDEX(TilgDatum,($N$6-1)*480+302))</f>
      </c>
      <c r="D316" s="31">
        <f>IF(INDEX(TilgAktiv,($N$6-1)*480+302)=0,"",INDEX(Tilgung!$H$4:$H$9603,($N$6-1)*480+302))</f>
      </c>
      <c r="E316" s="30">
        <f>IF(INDEX(TilgAktiv,($N$6-1)*480+302)=0,"",INDEX(Tilgung!$J$4:$J$9603,($N$6-1)*480+302))</f>
      </c>
      <c r="F316" s="30">
        <f>IF(INDEX(TilgAktiv,($N$6-1)*480+302)=0,"",IF(INDEX(TilgTilgung,($N$6-1)*480+302)=0,INDEX(TilgZins,($N$6-1)*480+302),INDEX(TilgZins,($N$6-1)*480+302)+INDEX(TilgTilgung,($N$6-1)*480+302))+INDEX(TilgErsatz,($N$6-1)*480+302))</f>
      </c>
      <c r="G316" s="30">
        <f>IF(INDEX(TilgAktiv,($N$6-1)*480+302)=0,"",INDEX(TilgZins,($N$6-1)*480+302))</f>
      </c>
      <c r="H316" s="30">
        <f>IF(INDEX(TilgAktiv,($N$6-1)*480+302)=0,"",INDEX(TilgTilgung,($N$6-1)*480+302))</f>
      </c>
      <c r="I316" s="30">
        <f>IF(INDEX(TilgAktiv,($N$6-1)*480+302)=0,"",INDEX(TilgSonder,($N$6-1)*480+302))</f>
      </c>
      <c r="J316" s="30">
        <f>IF(INDEX(TilgAktiv,($N$6-1)*480+302)=0,"",INDEX(TilgErsatz,($N$6-1)*480+302))</f>
      </c>
      <c r="K316" s="30">
        <f>IF(INDEX(TilgAktiv,($N$6-1)*480+302)=0,"",INDEX(Tilgung!$Q$4:$Q$9603,($N$6-1)*480+302))</f>
      </c>
      <c r="L316" s="30">
        <f>IF(INDEX(TilgAktiv,($N$6-1)*480+302)=0,"",INDEX(Tilgung!$R$4:$R$9603,($N$6-1)*480+302))</f>
      </c>
    </row>
    <row r="317">
      <c r="A317"/>
      <c r="B317" s="36">
        <f>IF(INDEX(TilgAktiv,($N$6-1)*480+303)=0,"",303)</f>
      </c>
      <c r="C317" s="41">
        <f>IF(INDEX(TilgAktiv,($N$6-1)*480+303)=0,"",INDEX(TilgDatum,($N$6-1)*480+303))</f>
      </c>
      <c r="D317" s="31">
        <f>IF(INDEX(TilgAktiv,($N$6-1)*480+303)=0,"",INDEX(Tilgung!$H$4:$H$9603,($N$6-1)*480+303))</f>
      </c>
      <c r="E317" s="30">
        <f>IF(INDEX(TilgAktiv,($N$6-1)*480+303)=0,"",INDEX(Tilgung!$J$4:$J$9603,($N$6-1)*480+303))</f>
      </c>
      <c r="F317" s="30">
        <f>IF(INDEX(TilgAktiv,($N$6-1)*480+303)=0,"",IF(INDEX(TilgTilgung,($N$6-1)*480+303)=0,INDEX(TilgZins,($N$6-1)*480+303),INDEX(TilgZins,($N$6-1)*480+303)+INDEX(TilgTilgung,($N$6-1)*480+303))+INDEX(TilgErsatz,($N$6-1)*480+303))</f>
      </c>
      <c r="G317" s="30">
        <f>IF(INDEX(TilgAktiv,($N$6-1)*480+303)=0,"",INDEX(TilgZins,($N$6-1)*480+303))</f>
      </c>
      <c r="H317" s="30">
        <f>IF(INDEX(TilgAktiv,($N$6-1)*480+303)=0,"",INDEX(TilgTilgung,($N$6-1)*480+303))</f>
      </c>
      <c r="I317" s="30">
        <f>IF(INDEX(TilgAktiv,($N$6-1)*480+303)=0,"",INDEX(TilgSonder,($N$6-1)*480+303))</f>
      </c>
      <c r="J317" s="30">
        <f>IF(INDEX(TilgAktiv,($N$6-1)*480+303)=0,"",INDEX(TilgErsatz,($N$6-1)*480+303))</f>
      </c>
      <c r="K317" s="30">
        <f>IF(INDEX(TilgAktiv,($N$6-1)*480+303)=0,"",INDEX(Tilgung!$Q$4:$Q$9603,($N$6-1)*480+303))</f>
      </c>
      <c r="L317" s="30">
        <f>IF(INDEX(TilgAktiv,($N$6-1)*480+303)=0,"",INDEX(Tilgung!$R$4:$R$9603,($N$6-1)*480+303))</f>
      </c>
    </row>
    <row r="318">
      <c r="A318"/>
      <c r="B318" s="36">
        <f>IF(INDEX(TilgAktiv,($N$6-1)*480+304)=0,"",304)</f>
      </c>
      <c r="C318" s="41">
        <f>IF(INDEX(TilgAktiv,($N$6-1)*480+304)=0,"",INDEX(TilgDatum,($N$6-1)*480+304))</f>
      </c>
      <c r="D318" s="31">
        <f>IF(INDEX(TilgAktiv,($N$6-1)*480+304)=0,"",INDEX(Tilgung!$H$4:$H$9603,($N$6-1)*480+304))</f>
      </c>
      <c r="E318" s="30">
        <f>IF(INDEX(TilgAktiv,($N$6-1)*480+304)=0,"",INDEX(Tilgung!$J$4:$J$9603,($N$6-1)*480+304))</f>
      </c>
      <c r="F318" s="30">
        <f>IF(INDEX(TilgAktiv,($N$6-1)*480+304)=0,"",IF(INDEX(TilgTilgung,($N$6-1)*480+304)=0,INDEX(TilgZins,($N$6-1)*480+304),INDEX(TilgZins,($N$6-1)*480+304)+INDEX(TilgTilgung,($N$6-1)*480+304))+INDEX(TilgErsatz,($N$6-1)*480+304))</f>
      </c>
      <c r="G318" s="30">
        <f>IF(INDEX(TilgAktiv,($N$6-1)*480+304)=0,"",INDEX(TilgZins,($N$6-1)*480+304))</f>
      </c>
      <c r="H318" s="30">
        <f>IF(INDEX(TilgAktiv,($N$6-1)*480+304)=0,"",INDEX(TilgTilgung,($N$6-1)*480+304))</f>
      </c>
      <c r="I318" s="30">
        <f>IF(INDEX(TilgAktiv,($N$6-1)*480+304)=0,"",INDEX(TilgSonder,($N$6-1)*480+304))</f>
      </c>
      <c r="J318" s="30">
        <f>IF(INDEX(TilgAktiv,($N$6-1)*480+304)=0,"",INDEX(TilgErsatz,($N$6-1)*480+304))</f>
      </c>
      <c r="K318" s="30">
        <f>IF(INDEX(TilgAktiv,($N$6-1)*480+304)=0,"",INDEX(Tilgung!$Q$4:$Q$9603,($N$6-1)*480+304))</f>
      </c>
      <c r="L318" s="30">
        <f>IF(INDEX(TilgAktiv,($N$6-1)*480+304)=0,"",INDEX(Tilgung!$R$4:$R$9603,($N$6-1)*480+304))</f>
      </c>
    </row>
    <row r="319">
      <c r="A319"/>
      <c r="B319" s="36">
        <f>IF(INDEX(TilgAktiv,($N$6-1)*480+305)=0,"",305)</f>
      </c>
      <c r="C319" s="41">
        <f>IF(INDEX(TilgAktiv,($N$6-1)*480+305)=0,"",INDEX(TilgDatum,($N$6-1)*480+305))</f>
      </c>
      <c r="D319" s="31">
        <f>IF(INDEX(TilgAktiv,($N$6-1)*480+305)=0,"",INDEX(Tilgung!$H$4:$H$9603,($N$6-1)*480+305))</f>
      </c>
      <c r="E319" s="30">
        <f>IF(INDEX(TilgAktiv,($N$6-1)*480+305)=0,"",INDEX(Tilgung!$J$4:$J$9603,($N$6-1)*480+305))</f>
      </c>
      <c r="F319" s="30">
        <f>IF(INDEX(TilgAktiv,($N$6-1)*480+305)=0,"",IF(INDEX(TilgTilgung,($N$6-1)*480+305)=0,INDEX(TilgZins,($N$6-1)*480+305),INDEX(TilgZins,($N$6-1)*480+305)+INDEX(TilgTilgung,($N$6-1)*480+305))+INDEX(TilgErsatz,($N$6-1)*480+305))</f>
      </c>
      <c r="G319" s="30">
        <f>IF(INDEX(TilgAktiv,($N$6-1)*480+305)=0,"",INDEX(TilgZins,($N$6-1)*480+305))</f>
      </c>
      <c r="H319" s="30">
        <f>IF(INDEX(TilgAktiv,($N$6-1)*480+305)=0,"",INDEX(TilgTilgung,($N$6-1)*480+305))</f>
      </c>
      <c r="I319" s="30">
        <f>IF(INDEX(TilgAktiv,($N$6-1)*480+305)=0,"",INDEX(TilgSonder,($N$6-1)*480+305))</f>
      </c>
      <c r="J319" s="30">
        <f>IF(INDEX(TilgAktiv,($N$6-1)*480+305)=0,"",INDEX(TilgErsatz,($N$6-1)*480+305))</f>
      </c>
      <c r="K319" s="30">
        <f>IF(INDEX(TilgAktiv,($N$6-1)*480+305)=0,"",INDEX(Tilgung!$Q$4:$Q$9603,($N$6-1)*480+305))</f>
      </c>
      <c r="L319" s="30">
        <f>IF(INDEX(TilgAktiv,($N$6-1)*480+305)=0,"",INDEX(Tilgung!$R$4:$R$9603,($N$6-1)*480+305))</f>
      </c>
    </row>
    <row r="320">
      <c r="A320"/>
      <c r="B320" s="36">
        <f>IF(INDEX(TilgAktiv,($N$6-1)*480+306)=0,"",306)</f>
      </c>
      <c r="C320" s="41">
        <f>IF(INDEX(TilgAktiv,($N$6-1)*480+306)=0,"",INDEX(TilgDatum,($N$6-1)*480+306))</f>
      </c>
      <c r="D320" s="31">
        <f>IF(INDEX(TilgAktiv,($N$6-1)*480+306)=0,"",INDEX(Tilgung!$H$4:$H$9603,($N$6-1)*480+306))</f>
      </c>
      <c r="E320" s="30">
        <f>IF(INDEX(TilgAktiv,($N$6-1)*480+306)=0,"",INDEX(Tilgung!$J$4:$J$9603,($N$6-1)*480+306))</f>
      </c>
      <c r="F320" s="30">
        <f>IF(INDEX(TilgAktiv,($N$6-1)*480+306)=0,"",IF(INDEX(TilgTilgung,($N$6-1)*480+306)=0,INDEX(TilgZins,($N$6-1)*480+306),INDEX(TilgZins,($N$6-1)*480+306)+INDEX(TilgTilgung,($N$6-1)*480+306))+INDEX(TilgErsatz,($N$6-1)*480+306))</f>
      </c>
      <c r="G320" s="30">
        <f>IF(INDEX(TilgAktiv,($N$6-1)*480+306)=0,"",INDEX(TilgZins,($N$6-1)*480+306))</f>
      </c>
      <c r="H320" s="30">
        <f>IF(INDEX(TilgAktiv,($N$6-1)*480+306)=0,"",INDEX(TilgTilgung,($N$6-1)*480+306))</f>
      </c>
      <c r="I320" s="30">
        <f>IF(INDEX(TilgAktiv,($N$6-1)*480+306)=0,"",INDEX(TilgSonder,($N$6-1)*480+306))</f>
      </c>
      <c r="J320" s="30">
        <f>IF(INDEX(TilgAktiv,($N$6-1)*480+306)=0,"",INDEX(TilgErsatz,($N$6-1)*480+306))</f>
      </c>
      <c r="K320" s="30">
        <f>IF(INDEX(TilgAktiv,($N$6-1)*480+306)=0,"",INDEX(Tilgung!$Q$4:$Q$9603,($N$6-1)*480+306))</f>
      </c>
      <c r="L320" s="30">
        <f>IF(INDEX(TilgAktiv,($N$6-1)*480+306)=0,"",INDEX(Tilgung!$R$4:$R$9603,($N$6-1)*480+306))</f>
      </c>
    </row>
    <row r="321">
      <c r="A321"/>
      <c r="B321" s="36">
        <f>IF(INDEX(TilgAktiv,($N$6-1)*480+307)=0,"",307)</f>
      </c>
      <c r="C321" s="41">
        <f>IF(INDEX(TilgAktiv,($N$6-1)*480+307)=0,"",INDEX(TilgDatum,($N$6-1)*480+307))</f>
      </c>
      <c r="D321" s="31">
        <f>IF(INDEX(TilgAktiv,($N$6-1)*480+307)=0,"",INDEX(Tilgung!$H$4:$H$9603,($N$6-1)*480+307))</f>
      </c>
      <c r="E321" s="30">
        <f>IF(INDEX(TilgAktiv,($N$6-1)*480+307)=0,"",INDEX(Tilgung!$J$4:$J$9603,($N$6-1)*480+307))</f>
      </c>
      <c r="F321" s="30">
        <f>IF(INDEX(TilgAktiv,($N$6-1)*480+307)=0,"",IF(INDEX(TilgTilgung,($N$6-1)*480+307)=0,INDEX(TilgZins,($N$6-1)*480+307),INDEX(TilgZins,($N$6-1)*480+307)+INDEX(TilgTilgung,($N$6-1)*480+307))+INDEX(TilgErsatz,($N$6-1)*480+307))</f>
      </c>
      <c r="G321" s="30">
        <f>IF(INDEX(TilgAktiv,($N$6-1)*480+307)=0,"",INDEX(TilgZins,($N$6-1)*480+307))</f>
      </c>
      <c r="H321" s="30">
        <f>IF(INDEX(TilgAktiv,($N$6-1)*480+307)=0,"",INDEX(TilgTilgung,($N$6-1)*480+307))</f>
      </c>
      <c r="I321" s="30">
        <f>IF(INDEX(TilgAktiv,($N$6-1)*480+307)=0,"",INDEX(TilgSonder,($N$6-1)*480+307))</f>
      </c>
      <c r="J321" s="30">
        <f>IF(INDEX(TilgAktiv,($N$6-1)*480+307)=0,"",INDEX(TilgErsatz,($N$6-1)*480+307))</f>
      </c>
      <c r="K321" s="30">
        <f>IF(INDEX(TilgAktiv,($N$6-1)*480+307)=0,"",INDEX(Tilgung!$Q$4:$Q$9603,($N$6-1)*480+307))</f>
      </c>
      <c r="L321" s="30">
        <f>IF(INDEX(TilgAktiv,($N$6-1)*480+307)=0,"",INDEX(Tilgung!$R$4:$R$9603,($N$6-1)*480+307))</f>
      </c>
    </row>
    <row r="322">
      <c r="A322"/>
      <c r="B322" s="36">
        <f>IF(INDEX(TilgAktiv,($N$6-1)*480+308)=0,"",308)</f>
      </c>
      <c r="C322" s="41">
        <f>IF(INDEX(TilgAktiv,($N$6-1)*480+308)=0,"",INDEX(TilgDatum,($N$6-1)*480+308))</f>
      </c>
      <c r="D322" s="31">
        <f>IF(INDEX(TilgAktiv,($N$6-1)*480+308)=0,"",INDEX(Tilgung!$H$4:$H$9603,($N$6-1)*480+308))</f>
      </c>
      <c r="E322" s="30">
        <f>IF(INDEX(TilgAktiv,($N$6-1)*480+308)=0,"",INDEX(Tilgung!$J$4:$J$9603,($N$6-1)*480+308))</f>
      </c>
      <c r="F322" s="30">
        <f>IF(INDEX(TilgAktiv,($N$6-1)*480+308)=0,"",IF(INDEX(TilgTilgung,($N$6-1)*480+308)=0,INDEX(TilgZins,($N$6-1)*480+308),INDEX(TilgZins,($N$6-1)*480+308)+INDEX(TilgTilgung,($N$6-1)*480+308))+INDEX(TilgErsatz,($N$6-1)*480+308))</f>
      </c>
      <c r="G322" s="30">
        <f>IF(INDEX(TilgAktiv,($N$6-1)*480+308)=0,"",INDEX(TilgZins,($N$6-1)*480+308))</f>
      </c>
      <c r="H322" s="30">
        <f>IF(INDEX(TilgAktiv,($N$6-1)*480+308)=0,"",INDEX(TilgTilgung,($N$6-1)*480+308))</f>
      </c>
      <c r="I322" s="30">
        <f>IF(INDEX(TilgAktiv,($N$6-1)*480+308)=0,"",INDEX(TilgSonder,($N$6-1)*480+308))</f>
      </c>
      <c r="J322" s="30">
        <f>IF(INDEX(TilgAktiv,($N$6-1)*480+308)=0,"",INDEX(TilgErsatz,($N$6-1)*480+308))</f>
      </c>
      <c r="K322" s="30">
        <f>IF(INDEX(TilgAktiv,($N$6-1)*480+308)=0,"",INDEX(Tilgung!$Q$4:$Q$9603,($N$6-1)*480+308))</f>
      </c>
      <c r="L322" s="30">
        <f>IF(INDEX(TilgAktiv,($N$6-1)*480+308)=0,"",INDEX(Tilgung!$R$4:$R$9603,($N$6-1)*480+308))</f>
      </c>
    </row>
    <row r="323">
      <c r="A323"/>
      <c r="B323" s="36">
        <f>IF(INDEX(TilgAktiv,($N$6-1)*480+309)=0,"",309)</f>
      </c>
      <c r="C323" s="41">
        <f>IF(INDEX(TilgAktiv,($N$6-1)*480+309)=0,"",INDEX(TilgDatum,($N$6-1)*480+309))</f>
      </c>
      <c r="D323" s="31">
        <f>IF(INDEX(TilgAktiv,($N$6-1)*480+309)=0,"",INDEX(Tilgung!$H$4:$H$9603,($N$6-1)*480+309))</f>
      </c>
      <c r="E323" s="30">
        <f>IF(INDEX(TilgAktiv,($N$6-1)*480+309)=0,"",INDEX(Tilgung!$J$4:$J$9603,($N$6-1)*480+309))</f>
      </c>
      <c r="F323" s="30">
        <f>IF(INDEX(TilgAktiv,($N$6-1)*480+309)=0,"",IF(INDEX(TilgTilgung,($N$6-1)*480+309)=0,INDEX(TilgZins,($N$6-1)*480+309),INDEX(TilgZins,($N$6-1)*480+309)+INDEX(TilgTilgung,($N$6-1)*480+309))+INDEX(TilgErsatz,($N$6-1)*480+309))</f>
      </c>
      <c r="G323" s="30">
        <f>IF(INDEX(TilgAktiv,($N$6-1)*480+309)=0,"",INDEX(TilgZins,($N$6-1)*480+309))</f>
      </c>
      <c r="H323" s="30">
        <f>IF(INDEX(TilgAktiv,($N$6-1)*480+309)=0,"",INDEX(TilgTilgung,($N$6-1)*480+309))</f>
      </c>
      <c r="I323" s="30">
        <f>IF(INDEX(TilgAktiv,($N$6-1)*480+309)=0,"",INDEX(TilgSonder,($N$6-1)*480+309))</f>
      </c>
      <c r="J323" s="30">
        <f>IF(INDEX(TilgAktiv,($N$6-1)*480+309)=0,"",INDEX(TilgErsatz,($N$6-1)*480+309))</f>
      </c>
      <c r="K323" s="30">
        <f>IF(INDEX(TilgAktiv,($N$6-1)*480+309)=0,"",INDEX(Tilgung!$Q$4:$Q$9603,($N$6-1)*480+309))</f>
      </c>
      <c r="L323" s="30">
        <f>IF(INDEX(TilgAktiv,($N$6-1)*480+309)=0,"",INDEX(Tilgung!$R$4:$R$9603,($N$6-1)*480+309))</f>
      </c>
    </row>
    <row r="324">
      <c r="A324"/>
      <c r="B324" s="36">
        <f>IF(INDEX(TilgAktiv,($N$6-1)*480+310)=0,"",310)</f>
      </c>
      <c r="C324" s="41">
        <f>IF(INDEX(TilgAktiv,($N$6-1)*480+310)=0,"",INDEX(TilgDatum,($N$6-1)*480+310))</f>
      </c>
      <c r="D324" s="31">
        <f>IF(INDEX(TilgAktiv,($N$6-1)*480+310)=0,"",INDEX(Tilgung!$H$4:$H$9603,($N$6-1)*480+310))</f>
      </c>
      <c r="E324" s="30">
        <f>IF(INDEX(TilgAktiv,($N$6-1)*480+310)=0,"",INDEX(Tilgung!$J$4:$J$9603,($N$6-1)*480+310))</f>
      </c>
      <c r="F324" s="30">
        <f>IF(INDEX(TilgAktiv,($N$6-1)*480+310)=0,"",IF(INDEX(TilgTilgung,($N$6-1)*480+310)=0,INDEX(TilgZins,($N$6-1)*480+310),INDEX(TilgZins,($N$6-1)*480+310)+INDEX(TilgTilgung,($N$6-1)*480+310))+INDEX(TilgErsatz,($N$6-1)*480+310))</f>
      </c>
      <c r="G324" s="30">
        <f>IF(INDEX(TilgAktiv,($N$6-1)*480+310)=0,"",INDEX(TilgZins,($N$6-1)*480+310))</f>
      </c>
      <c r="H324" s="30">
        <f>IF(INDEX(TilgAktiv,($N$6-1)*480+310)=0,"",INDEX(TilgTilgung,($N$6-1)*480+310))</f>
      </c>
      <c r="I324" s="30">
        <f>IF(INDEX(TilgAktiv,($N$6-1)*480+310)=0,"",INDEX(TilgSonder,($N$6-1)*480+310))</f>
      </c>
      <c r="J324" s="30">
        <f>IF(INDEX(TilgAktiv,($N$6-1)*480+310)=0,"",INDEX(TilgErsatz,($N$6-1)*480+310))</f>
      </c>
      <c r="K324" s="30">
        <f>IF(INDEX(TilgAktiv,($N$6-1)*480+310)=0,"",INDEX(Tilgung!$Q$4:$Q$9603,($N$6-1)*480+310))</f>
      </c>
      <c r="L324" s="30">
        <f>IF(INDEX(TilgAktiv,($N$6-1)*480+310)=0,"",INDEX(Tilgung!$R$4:$R$9603,($N$6-1)*480+310))</f>
      </c>
    </row>
    <row r="325">
      <c r="A325"/>
      <c r="B325" s="36">
        <f>IF(INDEX(TilgAktiv,($N$6-1)*480+311)=0,"",311)</f>
      </c>
      <c r="C325" s="41">
        <f>IF(INDEX(TilgAktiv,($N$6-1)*480+311)=0,"",INDEX(TilgDatum,($N$6-1)*480+311))</f>
      </c>
      <c r="D325" s="31">
        <f>IF(INDEX(TilgAktiv,($N$6-1)*480+311)=0,"",INDEX(Tilgung!$H$4:$H$9603,($N$6-1)*480+311))</f>
      </c>
      <c r="E325" s="30">
        <f>IF(INDEX(TilgAktiv,($N$6-1)*480+311)=0,"",INDEX(Tilgung!$J$4:$J$9603,($N$6-1)*480+311))</f>
      </c>
      <c r="F325" s="30">
        <f>IF(INDEX(TilgAktiv,($N$6-1)*480+311)=0,"",IF(INDEX(TilgTilgung,($N$6-1)*480+311)=0,INDEX(TilgZins,($N$6-1)*480+311),INDEX(TilgZins,($N$6-1)*480+311)+INDEX(TilgTilgung,($N$6-1)*480+311))+INDEX(TilgErsatz,($N$6-1)*480+311))</f>
      </c>
      <c r="G325" s="30">
        <f>IF(INDEX(TilgAktiv,($N$6-1)*480+311)=0,"",INDEX(TilgZins,($N$6-1)*480+311))</f>
      </c>
      <c r="H325" s="30">
        <f>IF(INDEX(TilgAktiv,($N$6-1)*480+311)=0,"",INDEX(TilgTilgung,($N$6-1)*480+311))</f>
      </c>
      <c r="I325" s="30">
        <f>IF(INDEX(TilgAktiv,($N$6-1)*480+311)=0,"",INDEX(TilgSonder,($N$6-1)*480+311))</f>
      </c>
      <c r="J325" s="30">
        <f>IF(INDEX(TilgAktiv,($N$6-1)*480+311)=0,"",INDEX(TilgErsatz,($N$6-1)*480+311))</f>
      </c>
      <c r="K325" s="30">
        <f>IF(INDEX(TilgAktiv,($N$6-1)*480+311)=0,"",INDEX(Tilgung!$Q$4:$Q$9603,($N$6-1)*480+311))</f>
      </c>
      <c r="L325" s="30">
        <f>IF(INDEX(TilgAktiv,($N$6-1)*480+311)=0,"",INDEX(Tilgung!$R$4:$R$9603,($N$6-1)*480+311))</f>
      </c>
    </row>
    <row r="326">
      <c r="A326"/>
      <c r="B326" s="36">
        <f>IF(INDEX(TilgAktiv,($N$6-1)*480+312)=0,"",312)</f>
      </c>
      <c r="C326" s="41">
        <f>IF(INDEX(TilgAktiv,($N$6-1)*480+312)=0,"",INDEX(TilgDatum,($N$6-1)*480+312))</f>
      </c>
      <c r="D326" s="31">
        <f>IF(INDEX(TilgAktiv,($N$6-1)*480+312)=0,"",INDEX(Tilgung!$H$4:$H$9603,($N$6-1)*480+312))</f>
      </c>
      <c r="E326" s="30">
        <f>IF(INDEX(TilgAktiv,($N$6-1)*480+312)=0,"",INDEX(Tilgung!$J$4:$J$9603,($N$6-1)*480+312))</f>
      </c>
      <c r="F326" s="30">
        <f>IF(INDEX(TilgAktiv,($N$6-1)*480+312)=0,"",IF(INDEX(TilgTilgung,($N$6-1)*480+312)=0,INDEX(TilgZins,($N$6-1)*480+312),INDEX(TilgZins,($N$6-1)*480+312)+INDEX(TilgTilgung,($N$6-1)*480+312))+INDEX(TilgErsatz,($N$6-1)*480+312))</f>
      </c>
      <c r="G326" s="30">
        <f>IF(INDEX(TilgAktiv,($N$6-1)*480+312)=0,"",INDEX(TilgZins,($N$6-1)*480+312))</f>
      </c>
      <c r="H326" s="30">
        <f>IF(INDEX(TilgAktiv,($N$6-1)*480+312)=0,"",INDEX(TilgTilgung,($N$6-1)*480+312))</f>
      </c>
      <c r="I326" s="30">
        <f>IF(INDEX(TilgAktiv,($N$6-1)*480+312)=0,"",INDEX(TilgSonder,($N$6-1)*480+312))</f>
      </c>
      <c r="J326" s="30">
        <f>IF(INDEX(TilgAktiv,($N$6-1)*480+312)=0,"",INDEX(TilgErsatz,($N$6-1)*480+312))</f>
      </c>
      <c r="K326" s="30">
        <f>IF(INDEX(TilgAktiv,($N$6-1)*480+312)=0,"",INDEX(Tilgung!$Q$4:$Q$9603,($N$6-1)*480+312))</f>
      </c>
      <c r="L326" s="30">
        <f>IF(INDEX(TilgAktiv,($N$6-1)*480+312)=0,"",INDEX(Tilgung!$R$4:$R$9603,($N$6-1)*480+312))</f>
      </c>
    </row>
    <row r="327">
      <c r="A327"/>
      <c r="B327" s="36">
        <f>IF(INDEX(TilgAktiv,($N$6-1)*480+313)=0,"",313)</f>
      </c>
      <c r="C327" s="41">
        <f>IF(INDEX(TilgAktiv,($N$6-1)*480+313)=0,"",INDEX(TilgDatum,($N$6-1)*480+313))</f>
      </c>
      <c r="D327" s="31">
        <f>IF(INDEX(TilgAktiv,($N$6-1)*480+313)=0,"",INDEX(Tilgung!$H$4:$H$9603,($N$6-1)*480+313))</f>
      </c>
      <c r="E327" s="30">
        <f>IF(INDEX(TilgAktiv,($N$6-1)*480+313)=0,"",INDEX(Tilgung!$J$4:$J$9603,($N$6-1)*480+313))</f>
      </c>
      <c r="F327" s="30">
        <f>IF(INDEX(TilgAktiv,($N$6-1)*480+313)=0,"",IF(INDEX(TilgTilgung,($N$6-1)*480+313)=0,INDEX(TilgZins,($N$6-1)*480+313),INDEX(TilgZins,($N$6-1)*480+313)+INDEX(TilgTilgung,($N$6-1)*480+313))+INDEX(TilgErsatz,($N$6-1)*480+313))</f>
      </c>
      <c r="G327" s="30">
        <f>IF(INDEX(TilgAktiv,($N$6-1)*480+313)=0,"",INDEX(TilgZins,($N$6-1)*480+313))</f>
      </c>
      <c r="H327" s="30">
        <f>IF(INDEX(TilgAktiv,($N$6-1)*480+313)=0,"",INDEX(TilgTilgung,($N$6-1)*480+313))</f>
      </c>
      <c r="I327" s="30">
        <f>IF(INDEX(TilgAktiv,($N$6-1)*480+313)=0,"",INDEX(TilgSonder,($N$6-1)*480+313))</f>
      </c>
      <c r="J327" s="30">
        <f>IF(INDEX(TilgAktiv,($N$6-1)*480+313)=0,"",INDEX(TilgErsatz,($N$6-1)*480+313))</f>
      </c>
      <c r="K327" s="30">
        <f>IF(INDEX(TilgAktiv,($N$6-1)*480+313)=0,"",INDEX(Tilgung!$Q$4:$Q$9603,($N$6-1)*480+313))</f>
      </c>
      <c r="L327" s="30">
        <f>IF(INDEX(TilgAktiv,($N$6-1)*480+313)=0,"",INDEX(Tilgung!$R$4:$R$9603,($N$6-1)*480+313))</f>
      </c>
    </row>
    <row r="328">
      <c r="A328"/>
      <c r="B328" s="36">
        <f>IF(INDEX(TilgAktiv,($N$6-1)*480+314)=0,"",314)</f>
      </c>
      <c r="C328" s="41">
        <f>IF(INDEX(TilgAktiv,($N$6-1)*480+314)=0,"",INDEX(TilgDatum,($N$6-1)*480+314))</f>
      </c>
      <c r="D328" s="31">
        <f>IF(INDEX(TilgAktiv,($N$6-1)*480+314)=0,"",INDEX(Tilgung!$H$4:$H$9603,($N$6-1)*480+314))</f>
      </c>
      <c r="E328" s="30">
        <f>IF(INDEX(TilgAktiv,($N$6-1)*480+314)=0,"",INDEX(Tilgung!$J$4:$J$9603,($N$6-1)*480+314))</f>
      </c>
      <c r="F328" s="30">
        <f>IF(INDEX(TilgAktiv,($N$6-1)*480+314)=0,"",IF(INDEX(TilgTilgung,($N$6-1)*480+314)=0,INDEX(TilgZins,($N$6-1)*480+314),INDEX(TilgZins,($N$6-1)*480+314)+INDEX(TilgTilgung,($N$6-1)*480+314))+INDEX(TilgErsatz,($N$6-1)*480+314))</f>
      </c>
      <c r="G328" s="30">
        <f>IF(INDEX(TilgAktiv,($N$6-1)*480+314)=0,"",INDEX(TilgZins,($N$6-1)*480+314))</f>
      </c>
      <c r="H328" s="30">
        <f>IF(INDEX(TilgAktiv,($N$6-1)*480+314)=0,"",INDEX(TilgTilgung,($N$6-1)*480+314))</f>
      </c>
      <c r="I328" s="30">
        <f>IF(INDEX(TilgAktiv,($N$6-1)*480+314)=0,"",INDEX(TilgSonder,($N$6-1)*480+314))</f>
      </c>
      <c r="J328" s="30">
        <f>IF(INDEX(TilgAktiv,($N$6-1)*480+314)=0,"",INDEX(TilgErsatz,($N$6-1)*480+314))</f>
      </c>
      <c r="K328" s="30">
        <f>IF(INDEX(TilgAktiv,($N$6-1)*480+314)=0,"",INDEX(Tilgung!$Q$4:$Q$9603,($N$6-1)*480+314))</f>
      </c>
      <c r="L328" s="30">
        <f>IF(INDEX(TilgAktiv,($N$6-1)*480+314)=0,"",INDEX(Tilgung!$R$4:$R$9603,($N$6-1)*480+314))</f>
      </c>
    </row>
    <row r="329">
      <c r="A329"/>
      <c r="B329" s="36">
        <f>IF(INDEX(TilgAktiv,($N$6-1)*480+315)=0,"",315)</f>
      </c>
      <c r="C329" s="41">
        <f>IF(INDEX(TilgAktiv,($N$6-1)*480+315)=0,"",INDEX(TilgDatum,($N$6-1)*480+315))</f>
      </c>
      <c r="D329" s="31">
        <f>IF(INDEX(TilgAktiv,($N$6-1)*480+315)=0,"",INDEX(Tilgung!$H$4:$H$9603,($N$6-1)*480+315))</f>
      </c>
      <c r="E329" s="30">
        <f>IF(INDEX(TilgAktiv,($N$6-1)*480+315)=0,"",INDEX(Tilgung!$J$4:$J$9603,($N$6-1)*480+315))</f>
      </c>
      <c r="F329" s="30">
        <f>IF(INDEX(TilgAktiv,($N$6-1)*480+315)=0,"",IF(INDEX(TilgTilgung,($N$6-1)*480+315)=0,INDEX(TilgZins,($N$6-1)*480+315),INDEX(TilgZins,($N$6-1)*480+315)+INDEX(TilgTilgung,($N$6-1)*480+315))+INDEX(TilgErsatz,($N$6-1)*480+315))</f>
      </c>
      <c r="G329" s="30">
        <f>IF(INDEX(TilgAktiv,($N$6-1)*480+315)=0,"",INDEX(TilgZins,($N$6-1)*480+315))</f>
      </c>
      <c r="H329" s="30">
        <f>IF(INDEX(TilgAktiv,($N$6-1)*480+315)=0,"",INDEX(TilgTilgung,($N$6-1)*480+315))</f>
      </c>
      <c r="I329" s="30">
        <f>IF(INDEX(TilgAktiv,($N$6-1)*480+315)=0,"",INDEX(TilgSonder,($N$6-1)*480+315))</f>
      </c>
      <c r="J329" s="30">
        <f>IF(INDEX(TilgAktiv,($N$6-1)*480+315)=0,"",INDEX(TilgErsatz,($N$6-1)*480+315))</f>
      </c>
      <c r="K329" s="30">
        <f>IF(INDEX(TilgAktiv,($N$6-1)*480+315)=0,"",INDEX(Tilgung!$Q$4:$Q$9603,($N$6-1)*480+315))</f>
      </c>
      <c r="L329" s="30">
        <f>IF(INDEX(TilgAktiv,($N$6-1)*480+315)=0,"",INDEX(Tilgung!$R$4:$R$9603,($N$6-1)*480+315))</f>
      </c>
    </row>
    <row r="330">
      <c r="A330"/>
      <c r="B330" s="36">
        <f>IF(INDEX(TilgAktiv,($N$6-1)*480+316)=0,"",316)</f>
      </c>
      <c r="C330" s="41">
        <f>IF(INDEX(TilgAktiv,($N$6-1)*480+316)=0,"",INDEX(TilgDatum,($N$6-1)*480+316))</f>
      </c>
      <c r="D330" s="31">
        <f>IF(INDEX(TilgAktiv,($N$6-1)*480+316)=0,"",INDEX(Tilgung!$H$4:$H$9603,($N$6-1)*480+316))</f>
      </c>
      <c r="E330" s="30">
        <f>IF(INDEX(TilgAktiv,($N$6-1)*480+316)=0,"",INDEX(Tilgung!$J$4:$J$9603,($N$6-1)*480+316))</f>
      </c>
      <c r="F330" s="30">
        <f>IF(INDEX(TilgAktiv,($N$6-1)*480+316)=0,"",IF(INDEX(TilgTilgung,($N$6-1)*480+316)=0,INDEX(TilgZins,($N$6-1)*480+316),INDEX(TilgZins,($N$6-1)*480+316)+INDEX(TilgTilgung,($N$6-1)*480+316))+INDEX(TilgErsatz,($N$6-1)*480+316))</f>
      </c>
      <c r="G330" s="30">
        <f>IF(INDEX(TilgAktiv,($N$6-1)*480+316)=0,"",INDEX(TilgZins,($N$6-1)*480+316))</f>
      </c>
      <c r="H330" s="30">
        <f>IF(INDEX(TilgAktiv,($N$6-1)*480+316)=0,"",INDEX(TilgTilgung,($N$6-1)*480+316))</f>
      </c>
      <c r="I330" s="30">
        <f>IF(INDEX(TilgAktiv,($N$6-1)*480+316)=0,"",INDEX(TilgSonder,($N$6-1)*480+316))</f>
      </c>
      <c r="J330" s="30">
        <f>IF(INDEX(TilgAktiv,($N$6-1)*480+316)=0,"",INDEX(TilgErsatz,($N$6-1)*480+316))</f>
      </c>
      <c r="K330" s="30">
        <f>IF(INDEX(TilgAktiv,($N$6-1)*480+316)=0,"",INDEX(Tilgung!$Q$4:$Q$9603,($N$6-1)*480+316))</f>
      </c>
      <c r="L330" s="30">
        <f>IF(INDEX(TilgAktiv,($N$6-1)*480+316)=0,"",INDEX(Tilgung!$R$4:$R$9603,($N$6-1)*480+316))</f>
      </c>
    </row>
    <row r="331">
      <c r="A331"/>
      <c r="B331" s="36">
        <f>IF(INDEX(TilgAktiv,($N$6-1)*480+317)=0,"",317)</f>
      </c>
      <c r="C331" s="41">
        <f>IF(INDEX(TilgAktiv,($N$6-1)*480+317)=0,"",INDEX(TilgDatum,($N$6-1)*480+317))</f>
      </c>
      <c r="D331" s="31">
        <f>IF(INDEX(TilgAktiv,($N$6-1)*480+317)=0,"",INDEX(Tilgung!$H$4:$H$9603,($N$6-1)*480+317))</f>
      </c>
      <c r="E331" s="30">
        <f>IF(INDEX(TilgAktiv,($N$6-1)*480+317)=0,"",INDEX(Tilgung!$J$4:$J$9603,($N$6-1)*480+317))</f>
      </c>
      <c r="F331" s="30">
        <f>IF(INDEX(TilgAktiv,($N$6-1)*480+317)=0,"",IF(INDEX(TilgTilgung,($N$6-1)*480+317)=0,INDEX(TilgZins,($N$6-1)*480+317),INDEX(TilgZins,($N$6-1)*480+317)+INDEX(TilgTilgung,($N$6-1)*480+317))+INDEX(TilgErsatz,($N$6-1)*480+317))</f>
      </c>
      <c r="G331" s="30">
        <f>IF(INDEX(TilgAktiv,($N$6-1)*480+317)=0,"",INDEX(TilgZins,($N$6-1)*480+317))</f>
      </c>
      <c r="H331" s="30">
        <f>IF(INDEX(TilgAktiv,($N$6-1)*480+317)=0,"",INDEX(TilgTilgung,($N$6-1)*480+317))</f>
      </c>
      <c r="I331" s="30">
        <f>IF(INDEX(TilgAktiv,($N$6-1)*480+317)=0,"",INDEX(TilgSonder,($N$6-1)*480+317))</f>
      </c>
      <c r="J331" s="30">
        <f>IF(INDEX(TilgAktiv,($N$6-1)*480+317)=0,"",INDEX(TilgErsatz,($N$6-1)*480+317))</f>
      </c>
      <c r="K331" s="30">
        <f>IF(INDEX(TilgAktiv,($N$6-1)*480+317)=0,"",INDEX(Tilgung!$Q$4:$Q$9603,($N$6-1)*480+317))</f>
      </c>
      <c r="L331" s="30">
        <f>IF(INDEX(TilgAktiv,($N$6-1)*480+317)=0,"",INDEX(Tilgung!$R$4:$R$9603,($N$6-1)*480+317))</f>
      </c>
    </row>
    <row r="332">
      <c r="A332"/>
      <c r="B332" s="36">
        <f>IF(INDEX(TilgAktiv,($N$6-1)*480+318)=0,"",318)</f>
      </c>
      <c r="C332" s="41">
        <f>IF(INDEX(TilgAktiv,($N$6-1)*480+318)=0,"",INDEX(TilgDatum,($N$6-1)*480+318))</f>
      </c>
      <c r="D332" s="31">
        <f>IF(INDEX(TilgAktiv,($N$6-1)*480+318)=0,"",INDEX(Tilgung!$H$4:$H$9603,($N$6-1)*480+318))</f>
      </c>
      <c r="E332" s="30">
        <f>IF(INDEX(TilgAktiv,($N$6-1)*480+318)=0,"",INDEX(Tilgung!$J$4:$J$9603,($N$6-1)*480+318))</f>
      </c>
      <c r="F332" s="30">
        <f>IF(INDEX(TilgAktiv,($N$6-1)*480+318)=0,"",IF(INDEX(TilgTilgung,($N$6-1)*480+318)=0,INDEX(TilgZins,($N$6-1)*480+318),INDEX(TilgZins,($N$6-1)*480+318)+INDEX(TilgTilgung,($N$6-1)*480+318))+INDEX(TilgErsatz,($N$6-1)*480+318))</f>
      </c>
      <c r="G332" s="30">
        <f>IF(INDEX(TilgAktiv,($N$6-1)*480+318)=0,"",INDEX(TilgZins,($N$6-1)*480+318))</f>
      </c>
      <c r="H332" s="30">
        <f>IF(INDEX(TilgAktiv,($N$6-1)*480+318)=0,"",INDEX(TilgTilgung,($N$6-1)*480+318))</f>
      </c>
      <c r="I332" s="30">
        <f>IF(INDEX(TilgAktiv,($N$6-1)*480+318)=0,"",INDEX(TilgSonder,($N$6-1)*480+318))</f>
      </c>
      <c r="J332" s="30">
        <f>IF(INDEX(TilgAktiv,($N$6-1)*480+318)=0,"",INDEX(TilgErsatz,($N$6-1)*480+318))</f>
      </c>
      <c r="K332" s="30">
        <f>IF(INDEX(TilgAktiv,($N$6-1)*480+318)=0,"",INDEX(Tilgung!$Q$4:$Q$9603,($N$6-1)*480+318))</f>
      </c>
      <c r="L332" s="30">
        <f>IF(INDEX(TilgAktiv,($N$6-1)*480+318)=0,"",INDEX(Tilgung!$R$4:$R$9603,($N$6-1)*480+318))</f>
      </c>
    </row>
    <row r="333">
      <c r="A333"/>
      <c r="B333" s="36">
        <f>IF(INDEX(TilgAktiv,($N$6-1)*480+319)=0,"",319)</f>
      </c>
      <c r="C333" s="41">
        <f>IF(INDEX(TilgAktiv,($N$6-1)*480+319)=0,"",INDEX(TilgDatum,($N$6-1)*480+319))</f>
      </c>
      <c r="D333" s="31">
        <f>IF(INDEX(TilgAktiv,($N$6-1)*480+319)=0,"",INDEX(Tilgung!$H$4:$H$9603,($N$6-1)*480+319))</f>
      </c>
      <c r="E333" s="30">
        <f>IF(INDEX(TilgAktiv,($N$6-1)*480+319)=0,"",INDEX(Tilgung!$J$4:$J$9603,($N$6-1)*480+319))</f>
      </c>
      <c r="F333" s="30">
        <f>IF(INDEX(TilgAktiv,($N$6-1)*480+319)=0,"",IF(INDEX(TilgTilgung,($N$6-1)*480+319)=0,INDEX(TilgZins,($N$6-1)*480+319),INDEX(TilgZins,($N$6-1)*480+319)+INDEX(TilgTilgung,($N$6-1)*480+319))+INDEX(TilgErsatz,($N$6-1)*480+319))</f>
      </c>
      <c r="G333" s="30">
        <f>IF(INDEX(TilgAktiv,($N$6-1)*480+319)=0,"",INDEX(TilgZins,($N$6-1)*480+319))</f>
      </c>
      <c r="H333" s="30">
        <f>IF(INDEX(TilgAktiv,($N$6-1)*480+319)=0,"",INDEX(TilgTilgung,($N$6-1)*480+319))</f>
      </c>
      <c r="I333" s="30">
        <f>IF(INDEX(TilgAktiv,($N$6-1)*480+319)=0,"",INDEX(TilgSonder,($N$6-1)*480+319))</f>
      </c>
      <c r="J333" s="30">
        <f>IF(INDEX(TilgAktiv,($N$6-1)*480+319)=0,"",INDEX(TilgErsatz,($N$6-1)*480+319))</f>
      </c>
      <c r="K333" s="30">
        <f>IF(INDEX(TilgAktiv,($N$6-1)*480+319)=0,"",INDEX(Tilgung!$Q$4:$Q$9603,($N$6-1)*480+319))</f>
      </c>
      <c r="L333" s="30">
        <f>IF(INDEX(TilgAktiv,($N$6-1)*480+319)=0,"",INDEX(Tilgung!$R$4:$R$9603,($N$6-1)*480+319))</f>
      </c>
    </row>
    <row r="334">
      <c r="A334"/>
      <c r="B334" s="36">
        <f>IF(INDEX(TilgAktiv,($N$6-1)*480+320)=0,"",320)</f>
      </c>
      <c r="C334" s="41">
        <f>IF(INDEX(TilgAktiv,($N$6-1)*480+320)=0,"",INDEX(TilgDatum,($N$6-1)*480+320))</f>
      </c>
      <c r="D334" s="31">
        <f>IF(INDEX(TilgAktiv,($N$6-1)*480+320)=0,"",INDEX(Tilgung!$H$4:$H$9603,($N$6-1)*480+320))</f>
      </c>
      <c r="E334" s="30">
        <f>IF(INDEX(TilgAktiv,($N$6-1)*480+320)=0,"",INDEX(Tilgung!$J$4:$J$9603,($N$6-1)*480+320))</f>
      </c>
      <c r="F334" s="30">
        <f>IF(INDEX(TilgAktiv,($N$6-1)*480+320)=0,"",IF(INDEX(TilgTilgung,($N$6-1)*480+320)=0,INDEX(TilgZins,($N$6-1)*480+320),INDEX(TilgZins,($N$6-1)*480+320)+INDEX(TilgTilgung,($N$6-1)*480+320))+INDEX(TilgErsatz,($N$6-1)*480+320))</f>
      </c>
      <c r="G334" s="30">
        <f>IF(INDEX(TilgAktiv,($N$6-1)*480+320)=0,"",INDEX(TilgZins,($N$6-1)*480+320))</f>
      </c>
      <c r="H334" s="30">
        <f>IF(INDEX(TilgAktiv,($N$6-1)*480+320)=0,"",INDEX(TilgTilgung,($N$6-1)*480+320))</f>
      </c>
      <c r="I334" s="30">
        <f>IF(INDEX(TilgAktiv,($N$6-1)*480+320)=0,"",INDEX(TilgSonder,($N$6-1)*480+320))</f>
      </c>
      <c r="J334" s="30">
        <f>IF(INDEX(TilgAktiv,($N$6-1)*480+320)=0,"",INDEX(TilgErsatz,($N$6-1)*480+320))</f>
      </c>
      <c r="K334" s="30">
        <f>IF(INDEX(TilgAktiv,($N$6-1)*480+320)=0,"",INDEX(Tilgung!$Q$4:$Q$9603,($N$6-1)*480+320))</f>
      </c>
      <c r="L334" s="30">
        <f>IF(INDEX(TilgAktiv,($N$6-1)*480+320)=0,"",INDEX(Tilgung!$R$4:$R$9603,($N$6-1)*480+320))</f>
      </c>
    </row>
    <row r="335">
      <c r="A335"/>
      <c r="B335" s="36">
        <f>IF(INDEX(TilgAktiv,($N$6-1)*480+321)=0,"",321)</f>
      </c>
      <c r="C335" s="41">
        <f>IF(INDEX(TilgAktiv,($N$6-1)*480+321)=0,"",INDEX(TilgDatum,($N$6-1)*480+321))</f>
      </c>
      <c r="D335" s="31">
        <f>IF(INDEX(TilgAktiv,($N$6-1)*480+321)=0,"",INDEX(Tilgung!$H$4:$H$9603,($N$6-1)*480+321))</f>
      </c>
      <c r="E335" s="30">
        <f>IF(INDEX(TilgAktiv,($N$6-1)*480+321)=0,"",INDEX(Tilgung!$J$4:$J$9603,($N$6-1)*480+321))</f>
      </c>
      <c r="F335" s="30">
        <f>IF(INDEX(TilgAktiv,($N$6-1)*480+321)=0,"",IF(INDEX(TilgTilgung,($N$6-1)*480+321)=0,INDEX(TilgZins,($N$6-1)*480+321),INDEX(TilgZins,($N$6-1)*480+321)+INDEX(TilgTilgung,($N$6-1)*480+321))+INDEX(TilgErsatz,($N$6-1)*480+321))</f>
      </c>
      <c r="G335" s="30">
        <f>IF(INDEX(TilgAktiv,($N$6-1)*480+321)=0,"",INDEX(TilgZins,($N$6-1)*480+321))</f>
      </c>
      <c r="H335" s="30">
        <f>IF(INDEX(TilgAktiv,($N$6-1)*480+321)=0,"",INDEX(TilgTilgung,($N$6-1)*480+321))</f>
      </c>
      <c r="I335" s="30">
        <f>IF(INDEX(TilgAktiv,($N$6-1)*480+321)=0,"",INDEX(TilgSonder,($N$6-1)*480+321))</f>
      </c>
      <c r="J335" s="30">
        <f>IF(INDEX(TilgAktiv,($N$6-1)*480+321)=0,"",INDEX(TilgErsatz,($N$6-1)*480+321))</f>
      </c>
      <c r="K335" s="30">
        <f>IF(INDEX(TilgAktiv,($N$6-1)*480+321)=0,"",INDEX(Tilgung!$Q$4:$Q$9603,($N$6-1)*480+321))</f>
      </c>
      <c r="L335" s="30">
        <f>IF(INDEX(TilgAktiv,($N$6-1)*480+321)=0,"",INDEX(Tilgung!$R$4:$R$9603,($N$6-1)*480+321))</f>
      </c>
    </row>
    <row r="336">
      <c r="A336"/>
      <c r="B336" s="36">
        <f>IF(INDEX(TilgAktiv,($N$6-1)*480+322)=0,"",322)</f>
      </c>
      <c r="C336" s="41">
        <f>IF(INDEX(TilgAktiv,($N$6-1)*480+322)=0,"",INDEX(TilgDatum,($N$6-1)*480+322))</f>
      </c>
      <c r="D336" s="31">
        <f>IF(INDEX(TilgAktiv,($N$6-1)*480+322)=0,"",INDEX(Tilgung!$H$4:$H$9603,($N$6-1)*480+322))</f>
      </c>
      <c r="E336" s="30">
        <f>IF(INDEX(TilgAktiv,($N$6-1)*480+322)=0,"",INDEX(Tilgung!$J$4:$J$9603,($N$6-1)*480+322))</f>
      </c>
      <c r="F336" s="30">
        <f>IF(INDEX(TilgAktiv,($N$6-1)*480+322)=0,"",IF(INDEX(TilgTilgung,($N$6-1)*480+322)=0,INDEX(TilgZins,($N$6-1)*480+322),INDEX(TilgZins,($N$6-1)*480+322)+INDEX(TilgTilgung,($N$6-1)*480+322))+INDEX(TilgErsatz,($N$6-1)*480+322))</f>
      </c>
      <c r="G336" s="30">
        <f>IF(INDEX(TilgAktiv,($N$6-1)*480+322)=0,"",INDEX(TilgZins,($N$6-1)*480+322))</f>
      </c>
      <c r="H336" s="30">
        <f>IF(INDEX(TilgAktiv,($N$6-1)*480+322)=0,"",INDEX(TilgTilgung,($N$6-1)*480+322))</f>
      </c>
      <c r="I336" s="30">
        <f>IF(INDEX(TilgAktiv,($N$6-1)*480+322)=0,"",INDEX(TilgSonder,($N$6-1)*480+322))</f>
      </c>
      <c r="J336" s="30">
        <f>IF(INDEX(TilgAktiv,($N$6-1)*480+322)=0,"",INDEX(TilgErsatz,($N$6-1)*480+322))</f>
      </c>
      <c r="K336" s="30">
        <f>IF(INDEX(TilgAktiv,($N$6-1)*480+322)=0,"",INDEX(Tilgung!$Q$4:$Q$9603,($N$6-1)*480+322))</f>
      </c>
      <c r="L336" s="30">
        <f>IF(INDEX(TilgAktiv,($N$6-1)*480+322)=0,"",INDEX(Tilgung!$R$4:$R$9603,($N$6-1)*480+322))</f>
      </c>
    </row>
    <row r="337">
      <c r="A337"/>
      <c r="B337" s="36">
        <f>IF(INDEX(TilgAktiv,($N$6-1)*480+323)=0,"",323)</f>
      </c>
      <c r="C337" s="41">
        <f>IF(INDEX(TilgAktiv,($N$6-1)*480+323)=0,"",INDEX(TilgDatum,($N$6-1)*480+323))</f>
      </c>
      <c r="D337" s="31">
        <f>IF(INDEX(TilgAktiv,($N$6-1)*480+323)=0,"",INDEX(Tilgung!$H$4:$H$9603,($N$6-1)*480+323))</f>
      </c>
      <c r="E337" s="30">
        <f>IF(INDEX(TilgAktiv,($N$6-1)*480+323)=0,"",INDEX(Tilgung!$J$4:$J$9603,($N$6-1)*480+323))</f>
      </c>
      <c r="F337" s="30">
        <f>IF(INDEX(TilgAktiv,($N$6-1)*480+323)=0,"",IF(INDEX(TilgTilgung,($N$6-1)*480+323)=0,INDEX(TilgZins,($N$6-1)*480+323),INDEX(TilgZins,($N$6-1)*480+323)+INDEX(TilgTilgung,($N$6-1)*480+323))+INDEX(TilgErsatz,($N$6-1)*480+323))</f>
      </c>
      <c r="G337" s="30">
        <f>IF(INDEX(TilgAktiv,($N$6-1)*480+323)=0,"",INDEX(TilgZins,($N$6-1)*480+323))</f>
      </c>
      <c r="H337" s="30">
        <f>IF(INDEX(TilgAktiv,($N$6-1)*480+323)=0,"",INDEX(TilgTilgung,($N$6-1)*480+323))</f>
      </c>
      <c r="I337" s="30">
        <f>IF(INDEX(TilgAktiv,($N$6-1)*480+323)=0,"",INDEX(TilgSonder,($N$6-1)*480+323))</f>
      </c>
      <c r="J337" s="30">
        <f>IF(INDEX(TilgAktiv,($N$6-1)*480+323)=0,"",INDEX(TilgErsatz,($N$6-1)*480+323))</f>
      </c>
      <c r="K337" s="30">
        <f>IF(INDEX(TilgAktiv,($N$6-1)*480+323)=0,"",INDEX(Tilgung!$Q$4:$Q$9603,($N$6-1)*480+323))</f>
      </c>
      <c r="L337" s="30">
        <f>IF(INDEX(TilgAktiv,($N$6-1)*480+323)=0,"",INDEX(Tilgung!$R$4:$R$9603,($N$6-1)*480+323))</f>
      </c>
    </row>
    <row r="338">
      <c r="A338"/>
      <c r="B338" s="36">
        <f>IF(INDEX(TilgAktiv,($N$6-1)*480+324)=0,"",324)</f>
      </c>
      <c r="C338" s="41">
        <f>IF(INDEX(TilgAktiv,($N$6-1)*480+324)=0,"",INDEX(TilgDatum,($N$6-1)*480+324))</f>
      </c>
      <c r="D338" s="31">
        <f>IF(INDEX(TilgAktiv,($N$6-1)*480+324)=0,"",INDEX(Tilgung!$H$4:$H$9603,($N$6-1)*480+324))</f>
      </c>
      <c r="E338" s="30">
        <f>IF(INDEX(TilgAktiv,($N$6-1)*480+324)=0,"",INDEX(Tilgung!$J$4:$J$9603,($N$6-1)*480+324))</f>
      </c>
      <c r="F338" s="30">
        <f>IF(INDEX(TilgAktiv,($N$6-1)*480+324)=0,"",IF(INDEX(TilgTilgung,($N$6-1)*480+324)=0,INDEX(TilgZins,($N$6-1)*480+324),INDEX(TilgZins,($N$6-1)*480+324)+INDEX(TilgTilgung,($N$6-1)*480+324))+INDEX(TilgErsatz,($N$6-1)*480+324))</f>
      </c>
      <c r="G338" s="30">
        <f>IF(INDEX(TilgAktiv,($N$6-1)*480+324)=0,"",INDEX(TilgZins,($N$6-1)*480+324))</f>
      </c>
      <c r="H338" s="30">
        <f>IF(INDEX(TilgAktiv,($N$6-1)*480+324)=0,"",INDEX(TilgTilgung,($N$6-1)*480+324))</f>
      </c>
      <c r="I338" s="30">
        <f>IF(INDEX(TilgAktiv,($N$6-1)*480+324)=0,"",INDEX(TilgSonder,($N$6-1)*480+324))</f>
      </c>
      <c r="J338" s="30">
        <f>IF(INDEX(TilgAktiv,($N$6-1)*480+324)=0,"",INDEX(TilgErsatz,($N$6-1)*480+324))</f>
      </c>
      <c r="K338" s="30">
        <f>IF(INDEX(TilgAktiv,($N$6-1)*480+324)=0,"",INDEX(Tilgung!$Q$4:$Q$9603,($N$6-1)*480+324))</f>
      </c>
      <c r="L338" s="30">
        <f>IF(INDEX(TilgAktiv,($N$6-1)*480+324)=0,"",INDEX(Tilgung!$R$4:$R$9603,($N$6-1)*480+324))</f>
      </c>
    </row>
    <row r="339">
      <c r="A339"/>
      <c r="B339" s="36">
        <f>IF(INDEX(TilgAktiv,($N$6-1)*480+325)=0,"",325)</f>
      </c>
      <c r="C339" s="41">
        <f>IF(INDEX(TilgAktiv,($N$6-1)*480+325)=0,"",INDEX(TilgDatum,($N$6-1)*480+325))</f>
      </c>
      <c r="D339" s="31">
        <f>IF(INDEX(TilgAktiv,($N$6-1)*480+325)=0,"",INDEX(Tilgung!$H$4:$H$9603,($N$6-1)*480+325))</f>
      </c>
      <c r="E339" s="30">
        <f>IF(INDEX(TilgAktiv,($N$6-1)*480+325)=0,"",INDEX(Tilgung!$J$4:$J$9603,($N$6-1)*480+325))</f>
      </c>
      <c r="F339" s="30">
        <f>IF(INDEX(TilgAktiv,($N$6-1)*480+325)=0,"",IF(INDEX(TilgTilgung,($N$6-1)*480+325)=0,INDEX(TilgZins,($N$6-1)*480+325),INDEX(TilgZins,($N$6-1)*480+325)+INDEX(TilgTilgung,($N$6-1)*480+325))+INDEX(TilgErsatz,($N$6-1)*480+325))</f>
      </c>
      <c r="G339" s="30">
        <f>IF(INDEX(TilgAktiv,($N$6-1)*480+325)=0,"",INDEX(TilgZins,($N$6-1)*480+325))</f>
      </c>
      <c r="H339" s="30">
        <f>IF(INDEX(TilgAktiv,($N$6-1)*480+325)=0,"",INDEX(TilgTilgung,($N$6-1)*480+325))</f>
      </c>
      <c r="I339" s="30">
        <f>IF(INDEX(TilgAktiv,($N$6-1)*480+325)=0,"",INDEX(TilgSonder,($N$6-1)*480+325))</f>
      </c>
      <c r="J339" s="30">
        <f>IF(INDEX(TilgAktiv,($N$6-1)*480+325)=0,"",INDEX(TilgErsatz,($N$6-1)*480+325))</f>
      </c>
      <c r="K339" s="30">
        <f>IF(INDEX(TilgAktiv,($N$6-1)*480+325)=0,"",INDEX(Tilgung!$Q$4:$Q$9603,($N$6-1)*480+325))</f>
      </c>
      <c r="L339" s="30">
        <f>IF(INDEX(TilgAktiv,($N$6-1)*480+325)=0,"",INDEX(Tilgung!$R$4:$R$9603,($N$6-1)*480+325))</f>
      </c>
    </row>
    <row r="340">
      <c r="A340"/>
      <c r="B340" s="36">
        <f>IF(INDEX(TilgAktiv,($N$6-1)*480+326)=0,"",326)</f>
      </c>
      <c r="C340" s="41">
        <f>IF(INDEX(TilgAktiv,($N$6-1)*480+326)=0,"",INDEX(TilgDatum,($N$6-1)*480+326))</f>
      </c>
      <c r="D340" s="31">
        <f>IF(INDEX(TilgAktiv,($N$6-1)*480+326)=0,"",INDEX(Tilgung!$H$4:$H$9603,($N$6-1)*480+326))</f>
      </c>
      <c r="E340" s="30">
        <f>IF(INDEX(TilgAktiv,($N$6-1)*480+326)=0,"",INDEX(Tilgung!$J$4:$J$9603,($N$6-1)*480+326))</f>
      </c>
      <c r="F340" s="30">
        <f>IF(INDEX(TilgAktiv,($N$6-1)*480+326)=0,"",IF(INDEX(TilgTilgung,($N$6-1)*480+326)=0,INDEX(TilgZins,($N$6-1)*480+326),INDEX(TilgZins,($N$6-1)*480+326)+INDEX(TilgTilgung,($N$6-1)*480+326))+INDEX(TilgErsatz,($N$6-1)*480+326))</f>
      </c>
      <c r="G340" s="30">
        <f>IF(INDEX(TilgAktiv,($N$6-1)*480+326)=0,"",INDEX(TilgZins,($N$6-1)*480+326))</f>
      </c>
      <c r="H340" s="30">
        <f>IF(INDEX(TilgAktiv,($N$6-1)*480+326)=0,"",INDEX(TilgTilgung,($N$6-1)*480+326))</f>
      </c>
      <c r="I340" s="30">
        <f>IF(INDEX(TilgAktiv,($N$6-1)*480+326)=0,"",INDEX(TilgSonder,($N$6-1)*480+326))</f>
      </c>
      <c r="J340" s="30">
        <f>IF(INDEX(TilgAktiv,($N$6-1)*480+326)=0,"",INDEX(TilgErsatz,($N$6-1)*480+326))</f>
      </c>
      <c r="K340" s="30">
        <f>IF(INDEX(TilgAktiv,($N$6-1)*480+326)=0,"",INDEX(Tilgung!$Q$4:$Q$9603,($N$6-1)*480+326))</f>
      </c>
      <c r="L340" s="30">
        <f>IF(INDEX(TilgAktiv,($N$6-1)*480+326)=0,"",INDEX(Tilgung!$R$4:$R$9603,($N$6-1)*480+326))</f>
      </c>
    </row>
    <row r="341">
      <c r="A341"/>
      <c r="B341" s="36">
        <f>IF(INDEX(TilgAktiv,($N$6-1)*480+327)=0,"",327)</f>
      </c>
      <c r="C341" s="41">
        <f>IF(INDEX(TilgAktiv,($N$6-1)*480+327)=0,"",INDEX(TilgDatum,($N$6-1)*480+327))</f>
      </c>
      <c r="D341" s="31">
        <f>IF(INDEX(TilgAktiv,($N$6-1)*480+327)=0,"",INDEX(Tilgung!$H$4:$H$9603,($N$6-1)*480+327))</f>
      </c>
      <c r="E341" s="30">
        <f>IF(INDEX(TilgAktiv,($N$6-1)*480+327)=0,"",INDEX(Tilgung!$J$4:$J$9603,($N$6-1)*480+327))</f>
      </c>
      <c r="F341" s="30">
        <f>IF(INDEX(TilgAktiv,($N$6-1)*480+327)=0,"",IF(INDEX(TilgTilgung,($N$6-1)*480+327)=0,INDEX(TilgZins,($N$6-1)*480+327),INDEX(TilgZins,($N$6-1)*480+327)+INDEX(TilgTilgung,($N$6-1)*480+327))+INDEX(TilgErsatz,($N$6-1)*480+327))</f>
      </c>
      <c r="G341" s="30">
        <f>IF(INDEX(TilgAktiv,($N$6-1)*480+327)=0,"",INDEX(TilgZins,($N$6-1)*480+327))</f>
      </c>
      <c r="H341" s="30">
        <f>IF(INDEX(TilgAktiv,($N$6-1)*480+327)=0,"",INDEX(TilgTilgung,($N$6-1)*480+327))</f>
      </c>
      <c r="I341" s="30">
        <f>IF(INDEX(TilgAktiv,($N$6-1)*480+327)=0,"",INDEX(TilgSonder,($N$6-1)*480+327))</f>
      </c>
      <c r="J341" s="30">
        <f>IF(INDEX(TilgAktiv,($N$6-1)*480+327)=0,"",INDEX(TilgErsatz,($N$6-1)*480+327))</f>
      </c>
      <c r="K341" s="30">
        <f>IF(INDEX(TilgAktiv,($N$6-1)*480+327)=0,"",INDEX(Tilgung!$Q$4:$Q$9603,($N$6-1)*480+327))</f>
      </c>
      <c r="L341" s="30">
        <f>IF(INDEX(TilgAktiv,($N$6-1)*480+327)=0,"",INDEX(Tilgung!$R$4:$R$9603,($N$6-1)*480+327))</f>
      </c>
    </row>
    <row r="342">
      <c r="A342"/>
      <c r="B342" s="36">
        <f>IF(INDEX(TilgAktiv,($N$6-1)*480+328)=0,"",328)</f>
      </c>
      <c r="C342" s="41">
        <f>IF(INDEX(TilgAktiv,($N$6-1)*480+328)=0,"",INDEX(TilgDatum,($N$6-1)*480+328))</f>
      </c>
      <c r="D342" s="31">
        <f>IF(INDEX(TilgAktiv,($N$6-1)*480+328)=0,"",INDEX(Tilgung!$H$4:$H$9603,($N$6-1)*480+328))</f>
      </c>
      <c r="E342" s="30">
        <f>IF(INDEX(TilgAktiv,($N$6-1)*480+328)=0,"",INDEX(Tilgung!$J$4:$J$9603,($N$6-1)*480+328))</f>
      </c>
      <c r="F342" s="30">
        <f>IF(INDEX(TilgAktiv,($N$6-1)*480+328)=0,"",IF(INDEX(TilgTilgung,($N$6-1)*480+328)=0,INDEX(TilgZins,($N$6-1)*480+328),INDEX(TilgZins,($N$6-1)*480+328)+INDEX(TilgTilgung,($N$6-1)*480+328))+INDEX(TilgErsatz,($N$6-1)*480+328))</f>
      </c>
      <c r="G342" s="30">
        <f>IF(INDEX(TilgAktiv,($N$6-1)*480+328)=0,"",INDEX(TilgZins,($N$6-1)*480+328))</f>
      </c>
      <c r="H342" s="30">
        <f>IF(INDEX(TilgAktiv,($N$6-1)*480+328)=0,"",INDEX(TilgTilgung,($N$6-1)*480+328))</f>
      </c>
      <c r="I342" s="30">
        <f>IF(INDEX(TilgAktiv,($N$6-1)*480+328)=0,"",INDEX(TilgSonder,($N$6-1)*480+328))</f>
      </c>
      <c r="J342" s="30">
        <f>IF(INDEX(TilgAktiv,($N$6-1)*480+328)=0,"",INDEX(TilgErsatz,($N$6-1)*480+328))</f>
      </c>
      <c r="K342" s="30">
        <f>IF(INDEX(TilgAktiv,($N$6-1)*480+328)=0,"",INDEX(Tilgung!$Q$4:$Q$9603,($N$6-1)*480+328))</f>
      </c>
      <c r="L342" s="30">
        <f>IF(INDEX(TilgAktiv,($N$6-1)*480+328)=0,"",INDEX(Tilgung!$R$4:$R$9603,($N$6-1)*480+328))</f>
      </c>
    </row>
    <row r="343">
      <c r="A343"/>
      <c r="B343" s="36">
        <f>IF(INDEX(TilgAktiv,($N$6-1)*480+329)=0,"",329)</f>
      </c>
      <c r="C343" s="41">
        <f>IF(INDEX(TilgAktiv,($N$6-1)*480+329)=0,"",INDEX(TilgDatum,($N$6-1)*480+329))</f>
      </c>
      <c r="D343" s="31">
        <f>IF(INDEX(TilgAktiv,($N$6-1)*480+329)=0,"",INDEX(Tilgung!$H$4:$H$9603,($N$6-1)*480+329))</f>
      </c>
      <c r="E343" s="30">
        <f>IF(INDEX(TilgAktiv,($N$6-1)*480+329)=0,"",INDEX(Tilgung!$J$4:$J$9603,($N$6-1)*480+329))</f>
      </c>
      <c r="F343" s="30">
        <f>IF(INDEX(TilgAktiv,($N$6-1)*480+329)=0,"",IF(INDEX(TilgTilgung,($N$6-1)*480+329)=0,INDEX(TilgZins,($N$6-1)*480+329),INDEX(TilgZins,($N$6-1)*480+329)+INDEX(TilgTilgung,($N$6-1)*480+329))+INDEX(TilgErsatz,($N$6-1)*480+329))</f>
      </c>
      <c r="G343" s="30">
        <f>IF(INDEX(TilgAktiv,($N$6-1)*480+329)=0,"",INDEX(TilgZins,($N$6-1)*480+329))</f>
      </c>
      <c r="H343" s="30">
        <f>IF(INDEX(TilgAktiv,($N$6-1)*480+329)=0,"",INDEX(TilgTilgung,($N$6-1)*480+329))</f>
      </c>
      <c r="I343" s="30">
        <f>IF(INDEX(TilgAktiv,($N$6-1)*480+329)=0,"",INDEX(TilgSonder,($N$6-1)*480+329))</f>
      </c>
      <c r="J343" s="30">
        <f>IF(INDEX(TilgAktiv,($N$6-1)*480+329)=0,"",INDEX(TilgErsatz,($N$6-1)*480+329))</f>
      </c>
      <c r="K343" s="30">
        <f>IF(INDEX(TilgAktiv,($N$6-1)*480+329)=0,"",INDEX(Tilgung!$Q$4:$Q$9603,($N$6-1)*480+329))</f>
      </c>
      <c r="L343" s="30">
        <f>IF(INDEX(TilgAktiv,($N$6-1)*480+329)=0,"",INDEX(Tilgung!$R$4:$R$9603,($N$6-1)*480+329))</f>
      </c>
    </row>
    <row r="344">
      <c r="A344"/>
      <c r="B344" s="36">
        <f>IF(INDEX(TilgAktiv,($N$6-1)*480+330)=0,"",330)</f>
      </c>
      <c r="C344" s="41">
        <f>IF(INDEX(TilgAktiv,($N$6-1)*480+330)=0,"",INDEX(TilgDatum,($N$6-1)*480+330))</f>
      </c>
      <c r="D344" s="31">
        <f>IF(INDEX(TilgAktiv,($N$6-1)*480+330)=0,"",INDEX(Tilgung!$H$4:$H$9603,($N$6-1)*480+330))</f>
      </c>
      <c r="E344" s="30">
        <f>IF(INDEX(TilgAktiv,($N$6-1)*480+330)=0,"",INDEX(Tilgung!$J$4:$J$9603,($N$6-1)*480+330))</f>
      </c>
      <c r="F344" s="30">
        <f>IF(INDEX(TilgAktiv,($N$6-1)*480+330)=0,"",IF(INDEX(TilgTilgung,($N$6-1)*480+330)=0,INDEX(TilgZins,($N$6-1)*480+330),INDEX(TilgZins,($N$6-1)*480+330)+INDEX(TilgTilgung,($N$6-1)*480+330))+INDEX(TilgErsatz,($N$6-1)*480+330))</f>
      </c>
      <c r="G344" s="30">
        <f>IF(INDEX(TilgAktiv,($N$6-1)*480+330)=0,"",INDEX(TilgZins,($N$6-1)*480+330))</f>
      </c>
      <c r="H344" s="30">
        <f>IF(INDEX(TilgAktiv,($N$6-1)*480+330)=0,"",INDEX(TilgTilgung,($N$6-1)*480+330))</f>
      </c>
      <c r="I344" s="30">
        <f>IF(INDEX(TilgAktiv,($N$6-1)*480+330)=0,"",INDEX(TilgSonder,($N$6-1)*480+330))</f>
      </c>
      <c r="J344" s="30">
        <f>IF(INDEX(TilgAktiv,($N$6-1)*480+330)=0,"",INDEX(TilgErsatz,($N$6-1)*480+330))</f>
      </c>
      <c r="K344" s="30">
        <f>IF(INDEX(TilgAktiv,($N$6-1)*480+330)=0,"",INDEX(Tilgung!$Q$4:$Q$9603,($N$6-1)*480+330))</f>
      </c>
      <c r="L344" s="30">
        <f>IF(INDEX(TilgAktiv,($N$6-1)*480+330)=0,"",INDEX(Tilgung!$R$4:$R$9603,($N$6-1)*480+330))</f>
      </c>
    </row>
    <row r="345">
      <c r="A345"/>
      <c r="B345" s="36">
        <f>IF(INDEX(TilgAktiv,($N$6-1)*480+331)=0,"",331)</f>
      </c>
      <c r="C345" s="41">
        <f>IF(INDEX(TilgAktiv,($N$6-1)*480+331)=0,"",INDEX(TilgDatum,($N$6-1)*480+331))</f>
      </c>
      <c r="D345" s="31">
        <f>IF(INDEX(TilgAktiv,($N$6-1)*480+331)=0,"",INDEX(Tilgung!$H$4:$H$9603,($N$6-1)*480+331))</f>
      </c>
      <c r="E345" s="30">
        <f>IF(INDEX(TilgAktiv,($N$6-1)*480+331)=0,"",INDEX(Tilgung!$J$4:$J$9603,($N$6-1)*480+331))</f>
      </c>
      <c r="F345" s="30">
        <f>IF(INDEX(TilgAktiv,($N$6-1)*480+331)=0,"",IF(INDEX(TilgTilgung,($N$6-1)*480+331)=0,INDEX(TilgZins,($N$6-1)*480+331),INDEX(TilgZins,($N$6-1)*480+331)+INDEX(TilgTilgung,($N$6-1)*480+331))+INDEX(TilgErsatz,($N$6-1)*480+331))</f>
      </c>
      <c r="G345" s="30">
        <f>IF(INDEX(TilgAktiv,($N$6-1)*480+331)=0,"",INDEX(TilgZins,($N$6-1)*480+331))</f>
      </c>
      <c r="H345" s="30">
        <f>IF(INDEX(TilgAktiv,($N$6-1)*480+331)=0,"",INDEX(TilgTilgung,($N$6-1)*480+331))</f>
      </c>
      <c r="I345" s="30">
        <f>IF(INDEX(TilgAktiv,($N$6-1)*480+331)=0,"",INDEX(TilgSonder,($N$6-1)*480+331))</f>
      </c>
      <c r="J345" s="30">
        <f>IF(INDEX(TilgAktiv,($N$6-1)*480+331)=0,"",INDEX(TilgErsatz,($N$6-1)*480+331))</f>
      </c>
      <c r="K345" s="30">
        <f>IF(INDEX(TilgAktiv,($N$6-1)*480+331)=0,"",INDEX(Tilgung!$Q$4:$Q$9603,($N$6-1)*480+331))</f>
      </c>
      <c r="L345" s="30">
        <f>IF(INDEX(TilgAktiv,($N$6-1)*480+331)=0,"",INDEX(Tilgung!$R$4:$R$9603,($N$6-1)*480+331))</f>
      </c>
    </row>
    <row r="346">
      <c r="A346"/>
      <c r="B346" s="36">
        <f>IF(INDEX(TilgAktiv,($N$6-1)*480+332)=0,"",332)</f>
      </c>
      <c r="C346" s="41">
        <f>IF(INDEX(TilgAktiv,($N$6-1)*480+332)=0,"",INDEX(TilgDatum,($N$6-1)*480+332))</f>
      </c>
      <c r="D346" s="31">
        <f>IF(INDEX(TilgAktiv,($N$6-1)*480+332)=0,"",INDEX(Tilgung!$H$4:$H$9603,($N$6-1)*480+332))</f>
      </c>
      <c r="E346" s="30">
        <f>IF(INDEX(TilgAktiv,($N$6-1)*480+332)=0,"",INDEX(Tilgung!$J$4:$J$9603,($N$6-1)*480+332))</f>
      </c>
      <c r="F346" s="30">
        <f>IF(INDEX(TilgAktiv,($N$6-1)*480+332)=0,"",IF(INDEX(TilgTilgung,($N$6-1)*480+332)=0,INDEX(TilgZins,($N$6-1)*480+332),INDEX(TilgZins,($N$6-1)*480+332)+INDEX(TilgTilgung,($N$6-1)*480+332))+INDEX(TilgErsatz,($N$6-1)*480+332))</f>
      </c>
      <c r="G346" s="30">
        <f>IF(INDEX(TilgAktiv,($N$6-1)*480+332)=0,"",INDEX(TilgZins,($N$6-1)*480+332))</f>
      </c>
      <c r="H346" s="30">
        <f>IF(INDEX(TilgAktiv,($N$6-1)*480+332)=0,"",INDEX(TilgTilgung,($N$6-1)*480+332))</f>
      </c>
      <c r="I346" s="30">
        <f>IF(INDEX(TilgAktiv,($N$6-1)*480+332)=0,"",INDEX(TilgSonder,($N$6-1)*480+332))</f>
      </c>
      <c r="J346" s="30">
        <f>IF(INDEX(TilgAktiv,($N$6-1)*480+332)=0,"",INDEX(TilgErsatz,($N$6-1)*480+332))</f>
      </c>
      <c r="K346" s="30">
        <f>IF(INDEX(TilgAktiv,($N$6-1)*480+332)=0,"",INDEX(Tilgung!$Q$4:$Q$9603,($N$6-1)*480+332))</f>
      </c>
      <c r="L346" s="30">
        <f>IF(INDEX(TilgAktiv,($N$6-1)*480+332)=0,"",INDEX(Tilgung!$R$4:$R$9603,($N$6-1)*480+332))</f>
      </c>
    </row>
    <row r="347">
      <c r="A347"/>
      <c r="B347" s="36">
        <f>IF(INDEX(TilgAktiv,($N$6-1)*480+333)=0,"",333)</f>
      </c>
      <c r="C347" s="41">
        <f>IF(INDEX(TilgAktiv,($N$6-1)*480+333)=0,"",INDEX(TilgDatum,($N$6-1)*480+333))</f>
      </c>
      <c r="D347" s="31">
        <f>IF(INDEX(TilgAktiv,($N$6-1)*480+333)=0,"",INDEX(Tilgung!$H$4:$H$9603,($N$6-1)*480+333))</f>
      </c>
      <c r="E347" s="30">
        <f>IF(INDEX(TilgAktiv,($N$6-1)*480+333)=0,"",INDEX(Tilgung!$J$4:$J$9603,($N$6-1)*480+333))</f>
      </c>
      <c r="F347" s="30">
        <f>IF(INDEX(TilgAktiv,($N$6-1)*480+333)=0,"",IF(INDEX(TilgTilgung,($N$6-1)*480+333)=0,INDEX(TilgZins,($N$6-1)*480+333),INDEX(TilgZins,($N$6-1)*480+333)+INDEX(TilgTilgung,($N$6-1)*480+333))+INDEX(TilgErsatz,($N$6-1)*480+333))</f>
      </c>
      <c r="G347" s="30">
        <f>IF(INDEX(TilgAktiv,($N$6-1)*480+333)=0,"",INDEX(TilgZins,($N$6-1)*480+333))</f>
      </c>
      <c r="H347" s="30">
        <f>IF(INDEX(TilgAktiv,($N$6-1)*480+333)=0,"",INDEX(TilgTilgung,($N$6-1)*480+333))</f>
      </c>
      <c r="I347" s="30">
        <f>IF(INDEX(TilgAktiv,($N$6-1)*480+333)=0,"",INDEX(TilgSonder,($N$6-1)*480+333))</f>
      </c>
      <c r="J347" s="30">
        <f>IF(INDEX(TilgAktiv,($N$6-1)*480+333)=0,"",INDEX(TilgErsatz,($N$6-1)*480+333))</f>
      </c>
      <c r="K347" s="30">
        <f>IF(INDEX(TilgAktiv,($N$6-1)*480+333)=0,"",INDEX(Tilgung!$Q$4:$Q$9603,($N$6-1)*480+333))</f>
      </c>
      <c r="L347" s="30">
        <f>IF(INDEX(TilgAktiv,($N$6-1)*480+333)=0,"",INDEX(Tilgung!$R$4:$R$9603,($N$6-1)*480+333))</f>
      </c>
    </row>
    <row r="348">
      <c r="A348"/>
      <c r="B348" s="36">
        <f>IF(INDEX(TilgAktiv,($N$6-1)*480+334)=0,"",334)</f>
      </c>
      <c r="C348" s="41">
        <f>IF(INDEX(TilgAktiv,($N$6-1)*480+334)=0,"",INDEX(TilgDatum,($N$6-1)*480+334))</f>
      </c>
      <c r="D348" s="31">
        <f>IF(INDEX(TilgAktiv,($N$6-1)*480+334)=0,"",INDEX(Tilgung!$H$4:$H$9603,($N$6-1)*480+334))</f>
      </c>
      <c r="E348" s="30">
        <f>IF(INDEX(TilgAktiv,($N$6-1)*480+334)=0,"",INDEX(Tilgung!$J$4:$J$9603,($N$6-1)*480+334))</f>
      </c>
      <c r="F348" s="30">
        <f>IF(INDEX(TilgAktiv,($N$6-1)*480+334)=0,"",IF(INDEX(TilgTilgung,($N$6-1)*480+334)=0,INDEX(TilgZins,($N$6-1)*480+334),INDEX(TilgZins,($N$6-1)*480+334)+INDEX(TilgTilgung,($N$6-1)*480+334))+INDEX(TilgErsatz,($N$6-1)*480+334))</f>
      </c>
      <c r="G348" s="30">
        <f>IF(INDEX(TilgAktiv,($N$6-1)*480+334)=0,"",INDEX(TilgZins,($N$6-1)*480+334))</f>
      </c>
      <c r="H348" s="30">
        <f>IF(INDEX(TilgAktiv,($N$6-1)*480+334)=0,"",INDEX(TilgTilgung,($N$6-1)*480+334))</f>
      </c>
      <c r="I348" s="30">
        <f>IF(INDEX(TilgAktiv,($N$6-1)*480+334)=0,"",INDEX(TilgSonder,($N$6-1)*480+334))</f>
      </c>
      <c r="J348" s="30">
        <f>IF(INDEX(TilgAktiv,($N$6-1)*480+334)=0,"",INDEX(TilgErsatz,($N$6-1)*480+334))</f>
      </c>
      <c r="K348" s="30">
        <f>IF(INDEX(TilgAktiv,($N$6-1)*480+334)=0,"",INDEX(Tilgung!$Q$4:$Q$9603,($N$6-1)*480+334))</f>
      </c>
      <c r="L348" s="30">
        <f>IF(INDEX(TilgAktiv,($N$6-1)*480+334)=0,"",INDEX(Tilgung!$R$4:$R$9603,($N$6-1)*480+334))</f>
      </c>
    </row>
    <row r="349">
      <c r="A349"/>
      <c r="B349" s="36">
        <f>IF(INDEX(TilgAktiv,($N$6-1)*480+335)=0,"",335)</f>
      </c>
      <c r="C349" s="41">
        <f>IF(INDEX(TilgAktiv,($N$6-1)*480+335)=0,"",INDEX(TilgDatum,($N$6-1)*480+335))</f>
      </c>
      <c r="D349" s="31">
        <f>IF(INDEX(TilgAktiv,($N$6-1)*480+335)=0,"",INDEX(Tilgung!$H$4:$H$9603,($N$6-1)*480+335))</f>
      </c>
      <c r="E349" s="30">
        <f>IF(INDEX(TilgAktiv,($N$6-1)*480+335)=0,"",INDEX(Tilgung!$J$4:$J$9603,($N$6-1)*480+335))</f>
      </c>
      <c r="F349" s="30">
        <f>IF(INDEX(TilgAktiv,($N$6-1)*480+335)=0,"",IF(INDEX(TilgTilgung,($N$6-1)*480+335)=0,INDEX(TilgZins,($N$6-1)*480+335),INDEX(TilgZins,($N$6-1)*480+335)+INDEX(TilgTilgung,($N$6-1)*480+335))+INDEX(TilgErsatz,($N$6-1)*480+335))</f>
      </c>
      <c r="G349" s="30">
        <f>IF(INDEX(TilgAktiv,($N$6-1)*480+335)=0,"",INDEX(TilgZins,($N$6-1)*480+335))</f>
      </c>
      <c r="H349" s="30">
        <f>IF(INDEX(TilgAktiv,($N$6-1)*480+335)=0,"",INDEX(TilgTilgung,($N$6-1)*480+335))</f>
      </c>
      <c r="I349" s="30">
        <f>IF(INDEX(TilgAktiv,($N$6-1)*480+335)=0,"",INDEX(TilgSonder,($N$6-1)*480+335))</f>
      </c>
      <c r="J349" s="30">
        <f>IF(INDEX(TilgAktiv,($N$6-1)*480+335)=0,"",INDEX(TilgErsatz,($N$6-1)*480+335))</f>
      </c>
      <c r="K349" s="30">
        <f>IF(INDEX(TilgAktiv,($N$6-1)*480+335)=0,"",INDEX(Tilgung!$Q$4:$Q$9603,($N$6-1)*480+335))</f>
      </c>
      <c r="L349" s="30">
        <f>IF(INDEX(TilgAktiv,($N$6-1)*480+335)=0,"",INDEX(Tilgung!$R$4:$R$9603,($N$6-1)*480+335))</f>
      </c>
    </row>
    <row r="350">
      <c r="A350"/>
      <c r="B350" s="36">
        <f>IF(INDEX(TilgAktiv,($N$6-1)*480+336)=0,"",336)</f>
      </c>
      <c r="C350" s="41">
        <f>IF(INDEX(TilgAktiv,($N$6-1)*480+336)=0,"",INDEX(TilgDatum,($N$6-1)*480+336))</f>
      </c>
      <c r="D350" s="31">
        <f>IF(INDEX(TilgAktiv,($N$6-1)*480+336)=0,"",INDEX(Tilgung!$H$4:$H$9603,($N$6-1)*480+336))</f>
      </c>
      <c r="E350" s="30">
        <f>IF(INDEX(TilgAktiv,($N$6-1)*480+336)=0,"",INDEX(Tilgung!$J$4:$J$9603,($N$6-1)*480+336))</f>
      </c>
      <c r="F350" s="30">
        <f>IF(INDEX(TilgAktiv,($N$6-1)*480+336)=0,"",IF(INDEX(TilgTilgung,($N$6-1)*480+336)=0,INDEX(TilgZins,($N$6-1)*480+336),INDEX(TilgZins,($N$6-1)*480+336)+INDEX(TilgTilgung,($N$6-1)*480+336))+INDEX(TilgErsatz,($N$6-1)*480+336))</f>
      </c>
      <c r="G350" s="30">
        <f>IF(INDEX(TilgAktiv,($N$6-1)*480+336)=0,"",INDEX(TilgZins,($N$6-1)*480+336))</f>
      </c>
      <c r="H350" s="30">
        <f>IF(INDEX(TilgAktiv,($N$6-1)*480+336)=0,"",INDEX(TilgTilgung,($N$6-1)*480+336))</f>
      </c>
      <c r="I350" s="30">
        <f>IF(INDEX(TilgAktiv,($N$6-1)*480+336)=0,"",INDEX(TilgSonder,($N$6-1)*480+336))</f>
      </c>
      <c r="J350" s="30">
        <f>IF(INDEX(TilgAktiv,($N$6-1)*480+336)=0,"",INDEX(TilgErsatz,($N$6-1)*480+336))</f>
      </c>
      <c r="K350" s="30">
        <f>IF(INDEX(TilgAktiv,($N$6-1)*480+336)=0,"",INDEX(Tilgung!$Q$4:$Q$9603,($N$6-1)*480+336))</f>
      </c>
      <c r="L350" s="30">
        <f>IF(INDEX(TilgAktiv,($N$6-1)*480+336)=0,"",INDEX(Tilgung!$R$4:$R$9603,($N$6-1)*480+336))</f>
      </c>
    </row>
    <row r="351">
      <c r="A351"/>
      <c r="B351" s="36">
        <f>IF(INDEX(TilgAktiv,($N$6-1)*480+337)=0,"",337)</f>
      </c>
      <c r="C351" s="41">
        <f>IF(INDEX(TilgAktiv,($N$6-1)*480+337)=0,"",INDEX(TilgDatum,($N$6-1)*480+337))</f>
      </c>
      <c r="D351" s="31">
        <f>IF(INDEX(TilgAktiv,($N$6-1)*480+337)=0,"",INDEX(Tilgung!$H$4:$H$9603,($N$6-1)*480+337))</f>
      </c>
      <c r="E351" s="30">
        <f>IF(INDEX(TilgAktiv,($N$6-1)*480+337)=0,"",INDEX(Tilgung!$J$4:$J$9603,($N$6-1)*480+337))</f>
      </c>
      <c r="F351" s="30">
        <f>IF(INDEX(TilgAktiv,($N$6-1)*480+337)=0,"",IF(INDEX(TilgTilgung,($N$6-1)*480+337)=0,INDEX(TilgZins,($N$6-1)*480+337),INDEX(TilgZins,($N$6-1)*480+337)+INDEX(TilgTilgung,($N$6-1)*480+337))+INDEX(TilgErsatz,($N$6-1)*480+337))</f>
      </c>
      <c r="G351" s="30">
        <f>IF(INDEX(TilgAktiv,($N$6-1)*480+337)=0,"",INDEX(TilgZins,($N$6-1)*480+337))</f>
      </c>
      <c r="H351" s="30">
        <f>IF(INDEX(TilgAktiv,($N$6-1)*480+337)=0,"",INDEX(TilgTilgung,($N$6-1)*480+337))</f>
      </c>
      <c r="I351" s="30">
        <f>IF(INDEX(TilgAktiv,($N$6-1)*480+337)=0,"",INDEX(TilgSonder,($N$6-1)*480+337))</f>
      </c>
      <c r="J351" s="30">
        <f>IF(INDEX(TilgAktiv,($N$6-1)*480+337)=0,"",INDEX(TilgErsatz,($N$6-1)*480+337))</f>
      </c>
      <c r="K351" s="30">
        <f>IF(INDEX(TilgAktiv,($N$6-1)*480+337)=0,"",INDEX(Tilgung!$Q$4:$Q$9603,($N$6-1)*480+337))</f>
      </c>
      <c r="L351" s="30">
        <f>IF(INDEX(TilgAktiv,($N$6-1)*480+337)=0,"",INDEX(Tilgung!$R$4:$R$9603,($N$6-1)*480+337))</f>
      </c>
    </row>
    <row r="352">
      <c r="A352"/>
      <c r="B352" s="36">
        <f>IF(INDEX(TilgAktiv,($N$6-1)*480+338)=0,"",338)</f>
      </c>
      <c r="C352" s="41">
        <f>IF(INDEX(TilgAktiv,($N$6-1)*480+338)=0,"",INDEX(TilgDatum,($N$6-1)*480+338))</f>
      </c>
      <c r="D352" s="31">
        <f>IF(INDEX(TilgAktiv,($N$6-1)*480+338)=0,"",INDEX(Tilgung!$H$4:$H$9603,($N$6-1)*480+338))</f>
      </c>
      <c r="E352" s="30">
        <f>IF(INDEX(TilgAktiv,($N$6-1)*480+338)=0,"",INDEX(Tilgung!$J$4:$J$9603,($N$6-1)*480+338))</f>
      </c>
      <c r="F352" s="30">
        <f>IF(INDEX(TilgAktiv,($N$6-1)*480+338)=0,"",IF(INDEX(TilgTilgung,($N$6-1)*480+338)=0,INDEX(TilgZins,($N$6-1)*480+338),INDEX(TilgZins,($N$6-1)*480+338)+INDEX(TilgTilgung,($N$6-1)*480+338))+INDEX(TilgErsatz,($N$6-1)*480+338))</f>
      </c>
      <c r="G352" s="30">
        <f>IF(INDEX(TilgAktiv,($N$6-1)*480+338)=0,"",INDEX(TilgZins,($N$6-1)*480+338))</f>
      </c>
      <c r="H352" s="30">
        <f>IF(INDEX(TilgAktiv,($N$6-1)*480+338)=0,"",INDEX(TilgTilgung,($N$6-1)*480+338))</f>
      </c>
      <c r="I352" s="30">
        <f>IF(INDEX(TilgAktiv,($N$6-1)*480+338)=0,"",INDEX(TilgSonder,($N$6-1)*480+338))</f>
      </c>
      <c r="J352" s="30">
        <f>IF(INDEX(TilgAktiv,($N$6-1)*480+338)=0,"",INDEX(TilgErsatz,($N$6-1)*480+338))</f>
      </c>
      <c r="K352" s="30">
        <f>IF(INDEX(TilgAktiv,($N$6-1)*480+338)=0,"",INDEX(Tilgung!$Q$4:$Q$9603,($N$6-1)*480+338))</f>
      </c>
      <c r="L352" s="30">
        <f>IF(INDEX(TilgAktiv,($N$6-1)*480+338)=0,"",INDEX(Tilgung!$R$4:$R$9603,($N$6-1)*480+338))</f>
      </c>
    </row>
    <row r="353">
      <c r="A353"/>
      <c r="B353" s="36">
        <f>IF(INDEX(TilgAktiv,($N$6-1)*480+339)=0,"",339)</f>
      </c>
      <c r="C353" s="41">
        <f>IF(INDEX(TilgAktiv,($N$6-1)*480+339)=0,"",INDEX(TilgDatum,($N$6-1)*480+339))</f>
      </c>
      <c r="D353" s="31">
        <f>IF(INDEX(TilgAktiv,($N$6-1)*480+339)=0,"",INDEX(Tilgung!$H$4:$H$9603,($N$6-1)*480+339))</f>
      </c>
      <c r="E353" s="30">
        <f>IF(INDEX(TilgAktiv,($N$6-1)*480+339)=0,"",INDEX(Tilgung!$J$4:$J$9603,($N$6-1)*480+339))</f>
      </c>
      <c r="F353" s="30">
        <f>IF(INDEX(TilgAktiv,($N$6-1)*480+339)=0,"",IF(INDEX(TilgTilgung,($N$6-1)*480+339)=0,INDEX(TilgZins,($N$6-1)*480+339),INDEX(TilgZins,($N$6-1)*480+339)+INDEX(TilgTilgung,($N$6-1)*480+339))+INDEX(TilgErsatz,($N$6-1)*480+339))</f>
      </c>
      <c r="G353" s="30">
        <f>IF(INDEX(TilgAktiv,($N$6-1)*480+339)=0,"",INDEX(TilgZins,($N$6-1)*480+339))</f>
      </c>
      <c r="H353" s="30">
        <f>IF(INDEX(TilgAktiv,($N$6-1)*480+339)=0,"",INDEX(TilgTilgung,($N$6-1)*480+339))</f>
      </c>
      <c r="I353" s="30">
        <f>IF(INDEX(TilgAktiv,($N$6-1)*480+339)=0,"",INDEX(TilgSonder,($N$6-1)*480+339))</f>
      </c>
      <c r="J353" s="30">
        <f>IF(INDEX(TilgAktiv,($N$6-1)*480+339)=0,"",INDEX(TilgErsatz,($N$6-1)*480+339))</f>
      </c>
      <c r="K353" s="30">
        <f>IF(INDEX(TilgAktiv,($N$6-1)*480+339)=0,"",INDEX(Tilgung!$Q$4:$Q$9603,($N$6-1)*480+339))</f>
      </c>
      <c r="L353" s="30">
        <f>IF(INDEX(TilgAktiv,($N$6-1)*480+339)=0,"",INDEX(Tilgung!$R$4:$R$9603,($N$6-1)*480+339))</f>
      </c>
    </row>
    <row r="354">
      <c r="A354"/>
      <c r="B354" s="36">
        <f>IF(INDEX(TilgAktiv,($N$6-1)*480+340)=0,"",340)</f>
      </c>
      <c r="C354" s="41">
        <f>IF(INDEX(TilgAktiv,($N$6-1)*480+340)=0,"",INDEX(TilgDatum,($N$6-1)*480+340))</f>
      </c>
      <c r="D354" s="31">
        <f>IF(INDEX(TilgAktiv,($N$6-1)*480+340)=0,"",INDEX(Tilgung!$H$4:$H$9603,($N$6-1)*480+340))</f>
      </c>
      <c r="E354" s="30">
        <f>IF(INDEX(TilgAktiv,($N$6-1)*480+340)=0,"",INDEX(Tilgung!$J$4:$J$9603,($N$6-1)*480+340))</f>
      </c>
      <c r="F354" s="30">
        <f>IF(INDEX(TilgAktiv,($N$6-1)*480+340)=0,"",IF(INDEX(TilgTilgung,($N$6-1)*480+340)=0,INDEX(TilgZins,($N$6-1)*480+340),INDEX(TilgZins,($N$6-1)*480+340)+INDEX(TilgTilgung,($N$6-1)*480+340))+INDEX(TilgErsatz,($N$6-1)*480+340))</f>
      </c>
      <c r="G354" s="30">
        <f>IF(INDEX(TilgAktiv,($N$6-1)*480+340)=0,"",INDEX(TilgZins,($N$6-1)*480+340))</f>
      </c>
      <c r="H354" s="30">
        <f>IF(INDEX(TilgAktiv,($N$6-1)*480+340)=0,"",INDEX(TilgTilgung,($N$6-1)*480+340))</f>
      </c>
      <c r="I354" s="30">
        <f>IF(INDEX(TilgAktiv,($N$6-1)*480+340)=0,"",INDEX(TilgSonder,($N$6-1)*480+340))</f>
      </c>
      <c r="J354" s="30">
        <f>IF(INDEX(TilgAktiv,($N$6-1)*480+340)=0,"",INDEX(TilgErsatz,($N$6-1)*480+340))</f>
      </c>
      <c r="K354" s="30">
        <f>IF(INDEX(TilgAktiv,($N$6-1)*480+340)=0,"",INDEX(Tilgung!$Q$4:$Q$9603,($N$6-1)*480+340))</f>
      </c>
      <c r="L354" s="30">
        <f>IF(INDEX(TilgAktiv,($N$6-1)*480+340)=0,"",INDEX(Tilgung!$R$4:$R$9603,($N$6-1)*480+340))</f>
      </c>
    </row>
    <row r="355">
      <c r="A355"/>
      <c r="B355" s="36">
        <f>IF(INDEX(TilgAktiv,($N$6-1)*480+341)=0,"",341)</f>
      </c>
      <c r="C355" s="41">
        <f>IF(INDEX(TilgAktiv,($N$6-1)*480+341)=0,"",INDEX(TilgDatum,($N$6-1)*480+341))</f>
      </c>
      <c r="D355" s="31">
        <f>IF(INDEX(TilgAktiv,($N$6-1)*480+341)=0,"",INDEX(Tilgung!$H$4:$H$9603,($N$6-1)*480+341))</f>
      </c>
      <c r="E355" s="30">
        <f>IF(INDEX(TilgAktiv,($N$6-1)*480+341)=0,"",INDEX(Tilgung!$J$4:$J$9603,($N$6-1)*480+341))</f>
      </c>
      <c r="F355" s="30">
        <f>IF(INDEX(TilgAktiv,($N$6-1)*480+341)=0,"",IF(INDEX(TilgTilgung,($N$6-1)*480+341)=0,INDEX(TilgZins,($N$6-1)*480+341),INDEX(TilgZins,($N$6-1)*480+341)+INDEX(TilgTilgung,($N$6-1)*480+341))+INDEX(TilgErsatz,($N$6-1)*480+341))</f>
      </c>
      <c r="G355" s="30">
        <f>IF(INDEX(TilgAktiv,($N$6-1)*480+341)=0,"",INDEX(TilgZins,($N$6-1)*480+341))</f>
      </c>
      <c r="H355" s="30">
        <f>IF(INDEX(TilgAktiv,($N$6-1)*480+341)=0,"",INDEX(TilgTilgung,($N$6-1)*480+341))</f>
      </c>
      <c r="I355" s="30">
        <f>IF(INDEX(TilgAktiv,($N$6-1)*480+341)=0,"",INDEX(TilgSonder,($N$6-1)*480+341))</f>
      </c>
      <c r="J355" s="30">
        <f>IF(INDEX(TilgAktiv,($N$6-1)*480+341)=0,"",INDEX(TilgErsatz,($N$6-1)*480+341))</f>
      </c>
      <c r="K355" s="30">
        <f>IF(INDEX(TilgAktiv,($N$6-1)*480+341)=0,"",INDEX(Tilgung!$Q$4:$Q$9603,($N$6-1)*480+341))</f>
      </c>
      <c r="L355" s="30">
        <f>IF(INDEX(TilgAktiv,($N$6-1)*480+341)=0,"",INDEX(Tilgung!$R$4:$R$9603,($N$6-1)*480+341))</f>
      </c>
    </row>
    <row r="356">
      <c r="A356"/>
      <c r="B356" s="36">
        <f>IF(INDEX(TilgAktiv,($N$6-1)*480+342)=0,"",342)</f>
      </c>
      <c r="C356" s="41">
        <f>IF(INDEX(TilgAktiv,($N$6-1)*480+342)=0,"",INDEX(TilgDatum,($N$6-1)*480+342))</f>
      </c>
      <c r="D356" s="31">
        <f>IF(INDEX(TilgAktiv,($N$6-1)*480+342)=0,"",INDEX(Tilgung!$H$4:$H$9603,($N$6-1)*480+342))</f>
      </c>
      <c r="E356" s="30">
        <f>IF(INDEX(TilgAktiv,($N$6-1)*480+342)=0,"",INDEX(Tilgung!$J$4:$J$9603,($N$6-1)*480+342))</f>
      </c>
      <c r="F356" s="30">
        <f>IF(INDEX(TilgAktiv,($N$6-1)*480+342)=0,"",IF(INDEX(TilgTilgung,($N$6-1)*480+342)=0,INDEX(TilgZins,($N$6-1)*480+342),INDEX(TilgZins,($N$6-1)*480+342)+INDEX(TilgTilgung,($N$6-1)*480+342))+INDEX(TilgErsatz,($N$6-1)*480+342))</f>
      </c>
      <c r="G356" s="30">
        <f>IF(INDEX(TilgAktiv,($N$6-1)*480+342)=0,"",INDEX(TilgZins,($N$6-1)*480+342))</f>
      </c>
      <c r="H356" s="30">
        <f>IF(INDEX(TilgAktiv,($N$6-1)*480+342)=0,"",INDEX(TilgTilgung,($N$6-1)*480+342))</f>
      </c>
      <c r="I356" s="30">
        <f>IF(INDEX(TilgAktiv,($N$6-1)*480+342)=0,"",INDEX(TilgSonder,($N$6-1)*480+342))</f>
      </c>
      <c r="J356" s="30">
        <f>IF(INDEX(TilgAktiv,($N$6-1)*480+342)=0,"",INDEX(TilgErsatz,($N$6-1)*480+342))</f>
      </c>
      <c r="K356" s="30">
        <f>IF(INDEX(TilgAktiv,($N$6-1)*480+342)=0,"",INDEX(Tilgung!$Q$4:$Q$9603,($N$6-1)*480+342))</f>
      </c>
      <c r="L356" s="30">
        <f>IF(INDEX(TilgAktiv,($N$6-1)*480+342)=0,"",INDEX(Tilgung!$R$4:$R$9603,($N$6-1)*480+342))</f>
      </c>
    </row>
    <row r="357">
      <c r="A357"/>
      <c r="B357" s="36">
        <f>IF(INDEX(TilgAktiv,($N$6-1)*480+343)=0,"",343)</f>
      </c>
      <c r="C357" s="41">
        <f>IF(INDEX(TilgAktiv,($N$6-1)*480+343)=0,"",INDEX(TilgDatum,($N$6-1)*480+343))</f>
      </c>
      <c r="D357" s="31">
        <f>IF(INDEX(TilgAktiv,($N$6-1)*480+343)=0,"",INDEX(Tilgung!$H$4:$H$9603,($N$6-1)*480+343))</f>
      </c>
      <c r="E357" s="30">
        <f>IF(INDEX(TilgAktiv,($N$6-1)*480+343)=0,"",INDEX(Tilgung!$J$4:$J$9603,($N$6-1)*480+343))</f>
      </c>
      <c r="F357" s="30">
        <f>IF(INDEX(TilgAktiv,($N$6-1)*480+343)=0,"",IF(INDEX(TilgTilgung,($N$6-1)*480+343)=0,INDEX(TilgZins,($N$6-1)*480+343),INDEX(TilgZins,($N$6-1)*480+343)+INDEX(TilgTilgung,($N$6-1)*480+343))+INDEX(TilgErsatz,($N$6-1)*480+343))</f>
      </c>
      <c r="G357" s="30">
        <f>IF(INDEX(TilgAktiv,($N$6-1)*480+343)=0,"",INDEX(TilgZins,($N$6-1)*480+343))</f>
      </c>
      <c r="H357" s="30">
        <f>IF(INDEX(TilgAktiv,($N$6-1)*480+343)=0,"",INDEX(TilgTilgung,($N$6-1)*480+343))</f>
      </c>
      <c r="I357" s="30">
        <f>IF(INDEX(TilgAktiv,($N$6-1)*480+343)=0,"",INDEX(TilgSonder,($N$6-1)*480+343))</f>
      </c>
      <c r="J357" s="30">
        <f>IF(INDEX(TilgAktiv,($N$6-1)*480+343)=0,"",INDEX(TilgErsatz,($N$6-1)*480+343))</f>
      </c>
      <c r="K357" s="30">
        <f>IF(INDEX(TilgAktiv,($N$6-1)*480+343)=0,"",INDEX(Tilgung!$Q$4:$Q$9603,($N$6-1)*480+343))</f>
      </c>
      <c r="L357" s="30">
        <f>IF(INDEX(TilgAktiv,($N$6-1)*480+343)=0,"",INDEX(Tilgung!$R$4:$R$9603,($N$6-1)*480+343))</f>
      </c>
    </row>
    <row r="358">
      <c r="A358"/>
      <c r="B358" s="36">
        <f>IF(INDEX(TilgAktiv,($N$6-1)*480+344)=0,"",344)</f>
      </c>
      <c r="C358" s="41">
        <f>IF(INDEX(TilgAktiv,($N$6-1)*480+344)=0,"",INDEX(TilgDatum,($N$6-1)*480+344))</f>
      </c>
      <c r="D358" s="31">
        <f>IF(INDEX(TilgAktiv,($N$6-1)*480+344)=0,"",INDEX(Tilgung!$H$4:$H$9603,($N$6-1)*480+344))</f>
      </c>
      <c r="E358" s="30">
        <f>IF(INDEX(TilgAktiv,($N$6-1)*480+344)=0,"",INDEX(Tilgung!$J$4:$J$9603,($N$6-1)*480+344))</f>
      </c>
      <c r="F358" s="30">
        <f>IF(INDEX(TilgAktiv,($N$6-1)*480+344)=0,"",IF(INDEX(TilgTilgung,($N$6-1)*480+344)=0,INDEX(TilgZins,($N$6-1)*480+344),INDEX(TilgZins,($N$6-1)*480+344)+INDEX(TilgTilgung,($N$6-1)*480+344))+INDEX(TilgErsatz,($N$6-1)*480+344))</f>
      </c>
      <c r="G358" s="30">
        <f>IF(INDEX(TilgAktiv,($N$6-1)*480+344)=0,"",INDEX(TilgZins,($N$6-1)*480+344))</f>
      </c>
      <c r="H358" s="30">
        <f>IF(INDEX(TilgAktiv,($N$6-1)*480+344)=0,"",INDEX(TilgTilgung,($N$6-1)*480+344))</f>
      </c>
      <c r="I358" s="30">
        <f>IF(INDEX(TilgAktiv,($N$6-1)*480+344)=0,"",INDEX(TilgSonder,($N$6-1)*480+344))</f>
      </c>
      <c r="J358" s="30">
        <f>IF(INDEX(TilgAktiv,($N$6-1)*480+344)=0,"",INDEX(TilgErsatz,($N$6-1)*480+344))</f>
      </c>
      <c r="K358" s="30">
        <f>IF(INDEX(TilgAktiv,($N$6-1)*480+344)=0,"",INDEX(Tilgung!$Q$4:$Q$9603,($N$6-1)*480+344))</f>
      </c>
      <c r="L358" s="30">
        <f>IF(INDEX(TilgAktiv,($N$6-1)*480+344)=0,"",INDEX(Tilgung!$R$4:$R$9603,($N$6-1)*480+344))</f>
      </c>
    </row>
    <row r="359">
      <c r="A359"/>
      <c r="B359" s="36">
        <f>IF(INDEX(TilgAktiv,($N$6-1)*480+345)=0,"",345)</f>
      </c>
      <c r="C359" s="41">
        <f>IF(INDEX(TilgAktiv,($N$6-1)*480+345)=0,"",INDEX(TilgDatum,($N$6-1)*480+345))</f>
      </c>
      <c r="D359" s="31">
        <f>IF(INDEX(TilgAktiv,($N$6-1)*480+345)=0,"",INDEX(Tilgung!$H$4:$H$9603,($N$6-1)*480+345))</f>
      </c>
      <c r="E359" s="30">
        <f>IF(INDEX(TilgAktiv,($N$6-1)*480+345)=0,"",INDEX(Tilgung!$J$4:$J$9603,($N$6-1)*480+345))</f>
      </c>
      <c r="F359" s="30">
        <f>IF(INDEX(TilgAktiv,($N$6-1)*480+345)=0,"",IF(INDEX(TilgTilgung,($N$6-1)*480+345)=0,INDEX(TilgZins,($N$6-1)*480+345),INDEX(TilgZins,($N$6-1)*480+345)+INDEX(TilgTilgung,($N$6-1)*480+345))+INDEX(TilgErsatz,($N$6-1)*480+345))</f>
      </c>
      <c r="G359" s="30">
        <f>IF(INDEX(TilgAktiv,($N$6-1)*480+345)=0,"",INDEX(TilgZins,($N$6-1)*480+345))</f>
      </c>
      <c r="H359" s="30">
        <f>IF(INDEX(TilgAktiv,($N$6-1)*480+345)=0,"",INDEX(TilgTilgung,($N$6-1)*480+345))</f>
      </c>
      <c r="I359" s="30">
        <f>IF(INDEX(TilgAktiv,($N$6-1)*480+345)=0,"",INDEX(TilgSonder,($N$6-1)*480+345))</f>
      </c>
      <c r="J359" s="30">
        <f>IF(INDEX(TilgAktiv,($N$6-1)*480+345)=0,"",INDEX(TilgErsatz,($N$6-1)*480+345))</f>
      </c>
      <c r="K359" s="30">
        <f>IF(INDEX(TilgAktiv,($N$6-1)*480+345)=0,"",INDEX(Tilgung!$Q$4:$Q$9603,($N$6-1)*480+345))</f>
      </c>
      <c r="L359" s="30">
        <f>IF(INDEX(TilgAktiv,($N$6-1)*480+345)=0,"",INDEX(Tilgung!$R$4:$R$9603,($N$6-1)*480+345))</f>
      </c>
    </row>
    <row r="360">
      <c r="A360"/>
      <c r="B360" s="36">
        <f>IF(INDEX(TilgAktiv,($N$6-1)*480+346)=0,"",346)</f>
      </c>
      <c r="C360" s="41">
        <f>IF(INDEX(TilgAktiv,($N$6-1)*480+346)=0,"",INDEX(TilgDatum,($N$6-1)*480+346))</f>
      </c>
      <c r="D360" s="31">
        <f>IF(INDEX(TilgAktiv,($N$6-1)*480+346)=0,"",INDEX(Tilgung!$H$4:$H$9603,($N$6-1)*480+346))</f>
      </c>
      <c r="E360" s="30">
        <f>IF(INDEX(TilgAktiv,($N$6-1)*480+346)=0,"",INDEX(Tilgung!$J$4:$J$9603,($N$6-1)*480+346))</f>
      </c>
      <c r="F360" s="30">
        <f>IF(INDEX(TilgAktiv,($N$6-1)*480+346)=0,"",IF(INDEX(TilgTilgung,($N$6-1)*480+346)=0,INDEX(TilgZins,($N$6-1)*480+346),INDEX(TilgZins,($N$6-1)*480+346)+INDEX(TilgTilgung,($N$6-1)*480+346))+INDEX(TilgErsatz,($N$6-1)*480+346))</f>
      </c>
      <c r="G360" s="30">
        <f>IF(INDEX(TilgAktiv,($N$6-1)*480+346)=0,"",INDEX(TilgZins,($N$6-1)*480+346))</f>
      </c>
      <c r="H360" s="30">
        <f>IF(INDEX(TilgAktiv,($N$6-1)*480+346)=0,"",INDEX(TilgTilgung,($N$6-1)*480+346))</f>
      </c>
      <c r="I360" s="30">
        <f>IF(INDEX(TilgAktiv,($N$6-1)*480+346)=0,"",INDEX(TilgSonder,($N$6-1)*480+346))</f>
      </c>
      <c r="J360" s="30">
        <f>IF(INDEX(TilgAktiv,($N$6-1)*480+346)=0,"",INDEX(TilgErsatz,($N$6-1)*480+346))</f>
      </c>
      <c r="K360" s="30">
        <f>IF(INDEX(TilgAktiv,($N$6-1)*480+346)=0,"",INDEX(Tilgung!$Q$4:$Q$9603,($N$6-1)*480+346))</f>
      </c>
      <c r="L360" s="30">
        <f>IF(INDEX(TilgAktiv,($N$6-1)*480+346)=0,"",INDEX(Tilgung!$R$4:$R$9603,($N$6-1)*480+346))</f>
      </c>
    </row>
    <row r="361">
      <c r="A361"/>
      <c r="B361" s="36">
        <f>IF(INDEX(TilgAktiv,($N$6-1)*480+347)=0,"",347)</f>
      </c>
      <c r="C361" s="41">
        <f>IF(INDEX(TilgAktiv,($N$6-1)*480+347)=0,"",INDEX(TilgDatum,($N$6-1)*480+347))</f>
      </c>
      <c r="D361" s="31">
        <f>IF(INDEX(TilgAktiv,($N$6-1)*480+347)=0,"",INDEX(Tilgung!$H$4:$H$9603,($N$6-1)*480+347))</f>
      </c>
      <c r="E361" s="30">
        <f>IF(INDEX(TilgAktiv,($N$6-1)*480+347)=0,"",INDEX(Tilgung!$J$4:$J$9603,($N$6-1)*480+347))</f>
      </c>
      <c r="F361" s="30">
        <f>IF(INDEX(TilgAktiv,($N$6-1)*480+347)=0,"",IF(INDEX(TilgTilgung,($N$6-1)*480+347)=0,INDEX(TilgZins,($N$6-1)*480+347),INDEX(TilgZins,($N$6-1)*480+347)+INDEX(TilgTilgung,($N$6-1)*480+347))+INDEX(TilgErsatz,($N$6-1)*480+347))</f>
      </c>
      <c r="G361" s="30">
        <f>IF(INDEX(TilgAktiv,($N$6-1)*480+347)=0,"",INDEX(TilgZins,($N$6-1)*480+347))</f>
      </c>
      <c r="H361" s="30">
        <f>IF(INDEX(TilgAktiv,($N$6-1)*480+347)=0,"",INDEX(TilgTilgung,($N$6-1)*480+347))</f>
      </c>
      <c r="I361" s="30">
        <f>IF(INDEX(TilgAktiv,($N$6-1)*480+347)=0,"",INDEX(TilgSonder,($N$6-1)*480+347))</f>
      </c>
      <c r="J361" s="30">
        <f>IF(INDEX(TilgAktiv,($N$6-1)*480+347)=0,"",INDEX(TilgErsatz,($N$6-1)*480+347))</f>
      </c>
      <c r="K361" s="30">
        <f>IF(INDEX(TilgAktiv,($N$6-1)*480+347)=0,"",INDEX(Tilgung!$Q$4:$Q$9603,($N$6-1)*480+347))</f>
      </c>
      <c r="L361" s="30">
        <f>IF(INDEX(TilgAktiv,($N$6-1)*480+347)=0,"",INDEX(Tilgung!$R$4:$R$9603,($N$6-1)*480+347))</f>
      </c>
    </row>
    <row r="362">
      <c r="A362"/>
      <c r="B362" s="36">
        <f>IF(INDEX(TilgAktiv,($N$6-1)*480+348)=0,"",348)</f>
      </c>
      <c r="C362" s="41">
        <f>IF(INDEX(TilgAktiv,($N$6-1)*480+348)=0,"",INDEX(TilgDatum,($N$6-1)*480+348))</f>
      </c>
      <c r="D362" s="31">
        <f>IF(INDEX(TilgAktiv,($N$6-1)*480+348)=0,"",INDEX(Tilgung!$H$4:$H$9603,($N$6-1)*480+348))</f>
      </c>
      <c r="E362" s="30">
        <f>IF(INDEX(TilgAktiv,($N$6-1)*480+348)=0,"",INDEX(Tilgung!$J$4:$J$9603,($N$6-1)*480+348))</f>
      </c>
      <c r="F362" s="30">
        <f>IF(INDEX(TilgAktiv,($N$6-1)*480+348)=0,"",IF(INDEX(TilgTilgung,($N$6-1)*480+348)=0,INDEX(TilgZins,($N$6-1)*480+348),INDEX(TilgZins,($N$6-1)*480+348)+INDEX(TilgTilgung,($N$6-1)*480+348))+INDEX(TilgErsatz,($N$6-1)*480+348))</f>
      </c>
      <c r="G362" s="30">
        <f>IF(INDEX(TilgAktiv,($N$6-1)*480+348)=0,"",INDEX(TilgZins,($N$6-1)*480+348))</f>
      </c>
      <c r="H362" s="30">
        <f>IF(INDEX(TilgAktiv,($N$6-1)*480+348)=0,"",INDEX(TilgTilgung,($N$6-1)*480+348))</f>
      </c>
      <c r="I362" s="30">
        <f>IF(INDEX(TilgAktiv,($N$6-1)*480+348)=0,"",INDEX(TilgSonder,($N$6-1)*480+348))</f>
      </c>
      <c r="J362" s="30">
        <f>IF(INDEX(TilgAktiv,($N$6-1)*480+348)=0,"",INDEX(TilgErsatz,($N$6-1)*480+348))</f>
      </c>
      <c r="K362" s="30">
        <f>IF(INDEX(TilgAktiv,($N$6-1)*480+348)=0,"",INDEX(Tilgung!$Q$4:$Q$9603,($N$6-1)*480+348))</f>
      </c>
      <c r="L362" s="30">
        <f>IF(INDEX(TilgAktiv,($N$6-1)*480+348)=0,"",INDEX(Tilgung!$R$4:$R$9603,($N$6-1)*480+348))</f>
      </c>
    </row>
    <row r="363">
      <c r="A363"/>
      <c r="B363" s="36">
        <f>IF(INDEX(TilgAktiv,($N$6-1)*480+349)=0,"",349)</f>
      </c>
      <c r="C363" s="41">
        <f>IF(INDEX(TilgAktiv,($N$6-1)*480+349)=0,"",INDEX(TilgDatum,($N$6-1)*480+349))</f>
      </c>
      <c r="D363" s="31">
        <f>IF(INDEX(TilgAktiv,($N$6-1)*480+349)=0,"",INDEX(Tilgung!$H$4:$H$9603,($N$6-1)*480+349))</f>
      </c>
      <c r="E363" s="30">
        <f>IF(INDEX(TilgAktiv,($N$6-1)*480+349)=0,"",INDEX(Tilgung!$J$4:$J$9603,($N$6-1)*480+349))</f>
      </c>
      <c r="F363" s="30">
        <f>IF(INDEX(TilgAktiv,($N$6-1)*480+349)=0,"",IF(INDEX(TilgTilgung,($N$6-1)*480+349)=0,INDEX(TilgZins,($N$6-1)*480+349),INDEX(TilgZins,($N$6-1)*480+349)+INDEX(TilgTilgung,($N$6-1)*480+349))+INDEX(TilgErsatz,($N$6-1)*480+349))</f>
      </c>
      <c r="G363" s="30">
        <f>IF(INDEX(TilgAktiv,($N$6-1)*480+349)=0,"",INDEX(TilgZins,($N$6-1)*480+349))</f>
      </c>
      <c r="H363" s="30">
        <f>IF(INDEX(TilgAktiv,($N$6-1)*480+349)=0,"",INDEX(TilgTilgung,($N$6-1)*480+349))</f>
      </c>
      <c r="I363" s="30">
        <f>IF(INDEX(TilgAktiv,($N$6-1)*480+349)=0,"",INDEX(TilgSonder,($N$6-1)*480+349))</f>
      </c>
      <c r="J363" s="30">
        <f>IF(INDEX(TilgAktiv,($N$6-1)*480+349)=0,"",INDEX(TilgErsatz,($N$6-1)*480+349))</f>
      </c>
      <c r="K363" s="30">
        <f>IF(INDEX(TilgAktiv,($N$6-1)*480+349)=0,"",INDEX(Tilgung!$Q$4:$Q$9603,($N$6-1)*480+349))</f>
      </c>
      <c r="L363" s="30">
        <f>IF(INDEX(TilgAktiv,($N$6-1)*480+349)=0,"",INDEX(Tilgung!$R$4:$R$9603,($N$6-1)*480+349))</f>
      </c>
    </row>
    <row r="364">
      <c r="A364"/>
      <c r="B364" s="36">
        <f>IF(INDEX(TilgAktiv,($N$6-1)*480+350)=0,"",350)</f>
      </c>
      <c r="C364" s="41">
        <f>IF(INDEX(TilgAktiv,($N$6-1)*480+350)=0,"",INDEX(TilgDatum,($N$6-1)*480+350))</f>
      </c>
      <c r="D364" s="31">
        <f>IF(INDEX(TilgAktiv,($N$6-1)*480+350)=0,"",INDEX(Tilgung!$H$4:$H$9603,($N$6-1)*480+350))</f>
      </c>
      <c r="E364" s="30">
        <f>IF(INDEX(TilgAktiv,($N$6-1)*480+350)=0,"",INDEX(Tilgung!$J$4:$J$9603,($N$6-1)*480+350))</f>
      </c>
      <c r="F364" s="30">
        <f>IF(INDEX(TilgAktiv,($N$6-1)*480+350)=0,"",IF(INDEX(TilgTilgung,($N$6-1)*480+350)=0,INDEX(TilgZins,($N$6-1)*480+350),INDEX(TilgZins,($N$6-1)*480+350)+INDEX(TilgTilgung,($N$6-1)*480+350))+INDEX(TilgErsatz,($N$6-1)*480+350))</f>
      </c>
      <c r="G364" s="30">
        <f>IF(INDEX(TilgAktiv,($N$6-1)*480+350)=0,"",INDEX(TilgZins,($N$6-1)*480+350))</f>
      </c>
      <c r="H364" s="30">
        <f>IF(INDEX(TilgAktiv,($N$6-1)*480+350)=0,"",INDEX(TilgTilgung,($N$6-1)*480+350))</f>
      </c>
      <c r="I364" s="30">
        <f>IF(INDEX(TilgAktiv,($N$6-1)*480+350)=0,"",INDEX(TilgSonder,($N$6-1)*480+350))</f>
      </c>
      <c r="J364" s="30">
        <f>IF(INDEX(TilgAktiv,($N$6-1)*480+350)=0,"",INDEX(TilgErsatz,($N$6-1)*480+350))</f>
      </c>
      <c r="K364" s="30">
        <f>IF(INDEX(TilgAktiv,($N$6-1)*480+350)=0,"",INDEX(Tilgung!$Q$4:$Q$9603,($N$6-1)*480+350))</f>
      </c>
      <c r="L364" s="30">
        <f>IF(INDEX(TilgAktiv,($N$6-1)*480+350)=0,"",INDEX(Tilgung!$R$4:$R$9603,($N$6-1)*480+350))</f>
      </c>
    </row>
    <row r="365">
      <c r="A365"/>
      <c r="B365" s="36">
        <f>IF(INDEX(TilgAktiv,($N$6-1)*480+351)=0,"",351)</f>
      </c>
      <c r="C365" s="41">
        <f>IF(INDEX(TilgAktiv,($N$6-1)*480+351)=0,"",INDEX(TilgDatum,($N$6-1)*480+351))</f>
      </c>
      <c r="D365" s="31">
        <f>IF(INDEX(TilgAktiv,($N$6-1)*480+351)=0,"",INDEX(Tilgung!$H$4:$H$9603,($N$6-1)*480+351))</f>
      </c>
      <c r="E365" s="30">
        <f>IF(INDEX(TilgAktiv,($N$6-1)*480+351)=0,"",INDEX(Tilgung!$J$4:$J$9603,($N$6-1)*480+351))</f>
      </c>
      <c r="F365" s="30">
        <f>IF(INDEX(TilgAktiv,($N$6-1)*480+351)=0,"",IF(INDEX(TilgTilgung,($N$6-1)*480+351)=0,INDEX(TilgZins,($N$6-1)*480+351),INDEX(TilgZins,($N$6-1)*480+351)+INDEX(TilgTilgung,($N$6-1)*480+351))+INDEX(TilgErsatz,($N$6-1)*480+351))</f>
      </c>
      <c r="G365" s="30">
        <f>IF(INDEX(TilgAktiv,($N$6-1)*480+351)=0,"",INDEX(TilgZins,($N$6-1)*480+351))</f>
      </c>
      <c r="H365" s="30">
        <f>IF(INDEX(TilgAktiv,($N$6-1)*480+351)=0,"",INDEX(TilgTilgung,($N$6-1)*480+351))</f>
      </c>
      <c r="I365" s="30">
        <f>IF(INDEX(TilgAktiv,($N$6-1)*480+351)=0,"",INDEX(TilgSonder,($N$6-1)*480+351))</f>
      </c>
      <c r="J365" s="30">
        <f>IF(INDEX(TilgAktiv,($N$6-1)*480+351)=0,"",INDEX(TilgErsatz,($N$6-1)*480+351))</f>
      </c>
      <c r="K365" s="30">
        <f>IF(INDEX(TilgAktiv,($N$6-1)*480+351)=0,"",INDEX(Tilgung!$Q$4:$Q$9603,($N$6-1)*480+351))</f>
      </c>
      <c r="L365" s="30">
        <f>IF(INDEX(TilgAktiv,($N$6-1)*480+351)=0,"",INDEX(Tilgung!$R$4:$R$9603,($N$6-1)*480+351))</f>
      </c>
    </row>
    <row r="366">
      <c r="A366"/>
      <c r="B366" s="36">
        <f>IF(INDEX(TilgAktiv,($N$6-1)*480+352)=0,"",352)</f>
      </c>
      <c r="C366" s="41">
        <f>IF(INDEX(TilgAktiv,($N$6-1)*480+352)=0,"",INDEX(TilgDatum,($N$6-1)*480+352))</f>
      </c>
      <c r="D366" s="31">
        <f>IF(INDEX(TilgAktiv,($N$6-1)*480+352)=0,"",INDEX(Tilgung!$H$4:$H$9603,($N$6-1)*480+352))</f>
      </c>
      <c r="E366" s="30">
        <f>IF(INDEX(TilgAktiv,($N$6-1)*480+352)=0,"",INDEX(Tilgung!$J$4:$J$9603,($N$6-1)*480+352))</f>
      </c>
      <c r="F366" s="30">
        <f>IF(INDEX(TilgAktiv,($N$6-1)*480+352)=0,"",IF(INDEX(TilgTilgung,($N$6-1)*480+352)=0,INDEX(TilgZins,($N$6-1)*480+352),INDEX(TilgZins,($N$6-1)*480+352)+INDEX(TilgTilgung,($N$6-1)*480+352))+INDEX(TilgErsatz,($N$6-1)*480+352))</f>
      </c>
      <c r="G366" s="30">
        <f>IF(INDEX(TilgAktiv,($N$6-1)*480+352)=0,"",INDEX(TilgZins,($N$6-1)*480+352))</f>
      </c>
      <c r="H366" s="30">
        <f>IF(INDEX(TilgAktiv,($N$6-1)*480+352)=0,"",INDEX(TilgTilgung,($N$6-1)*480+352))</f>
      </c>
      <c r="I366" s="30">
        <f>IF(INDEX(TilgAktiv,($N$6-1)*480+352)=0,"",INDEX(TilgSonder,($N$6-1)*480+352))</f>
      </c>
      <c r="J366" s="30">
        <f>IF(INDEX(TilgAktiv,($N$6-1)*480+352)=0,"",INDEX(TilgErsatz,($N$6-1)*480+352))</f>
      </c>
      <c r="K366" s="30">
        <f>IF(INDEX(TilgAktiv,($N$6-1)*480+352)=0,"",INDEX(Tilgung!$Q$4:$Q$9603,($N$6-1)*480+352))</f>
      </c>
      <c r="L366" s="30">
        <f>IF(INDEX(TilgAktiv,($N$6-1)*480+352)=0,"",INDEX(Tilgung!$R$4:$R$9603,($N$6-1)*480+352))</f>
      </c>
    </row>
    <row r="367">
      <c r="A367"/>
      <c r="B367" s="36">
        <f>IF(INDEX(TilgAktiv,($N$6-1)*480+353)=0,"",353)</f>
      </c>
      <c r="C367" s="41">
        <f>IF(INDEX(TilgAktiv,($N$6-1)*480+353)=0,"",INDEX(TilgDatum,($N$6-1)*480+353))</f>
      </c>
      <c r="D367" s="31">
        <f>IF(INDEX(TilgAktiv,($N$6-1)*480+353)=0,"",INDEX(Tilgung!$H$4:$H$9603,($N$6-1)*480+353))</f>
      </c>
      <c r="E367" s="30">
        <f>IF(INDEX(TilgAktiv,($N$6-1)*480+353)=0,"",INDEX(Tilgung!$J$4:$J$9603,($N$6-1)*480+353))</f>
      </c>
      <c r="F367" s="30">
        <f>IF(INDEX(TilgAktiv,($N$6-1)*480+353)=0,"",IF(INDEX(TilgTilgung,($N$6-1)*480+353)=0,INDEX(TilgZins,($N$6-1)*480+353),INDEX(TilgZins,($N$6-1)*480+353)+INDEX(TilgTilgung,($N$6-1)*480+353))+INDEX(TilgErsatz,($N$6-1)*480+353))</f>
      </c>
      <c r="G367" s="30">
        <f>IF(INDEX(TilgAktiv,($N$6-1)*480+353)=0,"",INDEX(TilgZins,($N$6-1)*480+353))</f>
      </c>
      <c r="H367" s="30">
        <f>IF(INDEX(TilgAktiv,($N$6-1)*480+353)=0,"",INDEX(TilgTilgung,($N$6-1)*480+353))</f>
      </c>
      <c r="I367" s="30">
        <f>IF(INDEX(TilgAktiv,($N$6-1)*480+353)=0,"",INDEX(TilgSonder,($N$6-1)*480+353))</f>
      </c>
      <c r="J367" s="30">
        <f>IF(INDEX(TilgAktiv,($N$6-1)*480+353)=0,"",INDEX(TilgErsatz,($N$6-1)*480+353))</f>
      </c>
      <c r="K367" s="30">
        <f>IF(INDEX(TilgAktiv,($N$6-1)*480+353)=0,"",INDEX(Tilgung!$Q$4:$Q$9603,($N$6-1)*480+353))</f>
      </c>
      <c r="L367" s="30">
        <f>IF(INDEX(TilgAktiv,($N$6-1)*480+353)=0,"",INDEX(Tilgung!$R$4:$R$9603,($N$6-1)*480+353))</f>
      </c>
    </row>
    <row r="368">
      <c r="A368"/>
      <c r="B368" s="36">
        <f>IF(INDEX(TilgAktiv,($N$6-1)*480+354)=0,"",354)</f>
      </c>
      <c r="C368" s="41">
        <f>IF(INDEX(TilgAktiv,($N$6-1)*480+354)=0,"",INDEX(TilgDatum,($N$6-1)*480+354))</f>
      </c>
      <c r="D368" s="31">
        <f>IF(INDEX(TilgAktiv,($N$6-1)*480+354)=0,"",INDEX(Tilgung!$H$4:$H$9603,($N$6-1)*480+354))</f>
      </c>
      <c r="E368" s="30">
        <f>IF(INDEX(TilgAktiv,($N$6-1)*480+354)=0,"",INDEX(Tilgung!$J$4:$J$9603,($N$6-1)*480+354))</f>
      </c>
      <c r="F368" s="30">
        <f>IF(INDEX(TilgAktiv,($N$6-1)*480+354)=0,"",IF(INDEX(TilgTilgung,($N$6-1)*480+354)=0,INDEX(TilgZins,($N$6-1)*480+354),INDEX(TilgZins,($N$6-1)*480+354)+INDEX(TilgTilgung,($N$6-1)*480+354))+INDEX(TilgErsatz,($N$6-1)*480+354))</f>
      </c>
      <c r="G368" s="30">
        <f>IF(INDEX(TilgAktiv,($N$6-1)*480+354)=0,"",INDEX(TilgZins,($N$6-1)*480+354))</f>
      </c>
      <c r="H368" s="30">
        <f>IF(INDEX(TilgAktiv,($N$6-1)*480+354)=0,"",INDEX(TilgTilgung,($N$6-1)*480+354))</f>
      </c>
      <c r="I368" s="30">
        <f>IF(INDEX(TilgAktiv,($N$6-1)*480+354)=0,"",INDEX(TilgSonder,($N$6-1)*480+354))</f>
      </c>
      <c r="J368" s="30">
        <f>IF(INDEX(TilgAktiv,($N$6-1)*480+354)=0,"",INDEX(TilgErsatz,($N$6-1)*480+354))</f>
      </c>
      <c r="K368" s="30">
        <f>IF(INDEX(TilgAktiv,($N$6-1)*480+354)=0,"",INDEX(Tilgung!$Q$4:$Q$9603,($N$6-1)*480+354))</f>
      </c>
      <c r="L368" s="30">
        <f>IF(INDEX(TilgAktiv,($N$6-1)*480+354)=0,"",INDEX(Tilgung!$R$4:$R$9603,($N$6-1)*480+354))</f>
      </c>
    </row>
    <row r="369">
      <c r="A369"/>
      <c r="B369" s="36">
        <f>IF(INDEX(TilgAktiv,($N$6-1)*480+355)=0,"",355)</f>
      </c>
      <c r="C369" s="41">
        <f>IF(INDEX(TilgAktiv,($N$6-1)*480+355)=0,"",INDEX(TilgDatum,($N$6-1)*480+355))</f>
      </c>
      <c r="D369" s="31">
        <f>IF(INDEX(TilgAktiv,($N$6-1)*480+355)=0,"",INDEX(Tilgung!$H$4:$H$9603,($N$6-1)*480+355))</f>
      </c>
      <c r="E369" s="30">
        <f>IF(INDEX(TilgAktiv,($N$6-1)*480+355)=0,"",INDEX(Tilgung!$J$4:$J$9603,($N$6-1)*480+355))</f>
      </c>
      <c r="F369" s="30">
        <f>IF(INDEX(TilgAktiv,($N$6-1)*480+355)=0,"",IF(INDEX(TilgTilgung,($N$6-1)*480+355)=0,INDEX(TilgZins,($N$6-1)*480+355),INDEX(TilgZins,($N$6-1)*480+355)+INDEX(TilgTilgung,($N$6-1)*480+355))+INDEX(TilgErsatz,($N$6-1)*480+355))</f>
      </c>
      <c r="G369" s="30">
        <f>IF(INDEX(TilgAktiv,($N$6-1)*480+355)=0,"",INDEX(TilgZins,($N$6-1)*480+355))</f>
      </c>
      <c r="H369" s="30">
        <f>IF(INDEX(TilgAktiv,($N$6-1)*480+355)=0,"",INDEX(TilgTilgung,($N$6-1)*480+355))</f>
      </c>
      <c r="I369" s="30">
        <f>IF(INDEX(TilgAktiv,($N$6-1)*480+355)=0,"",INDEX(TilgSonder,($N$6-1)*480+355))</f>
      </c>
      <c r="J369" s="30">
        <f>IF(INDEX(TilgAktiv,($N$6-1)*480+355)=0,"",INDEX(TilgErsatz,($N$6-1)*480+355))</f>
      </c>
      <c r="K369" s="30">
        <f>IF(INDEX(TilgAktiv,($N$6-1)*480+355)=0,"",INDEX(Tilgung!$Q$4:$Q$9603,($N$6-1)*480+355))</f>
      </c>
      <c r="L369" s="30">
        <f>IF(INDEX(TilgAktiv,($N$6-1)*480+355)=0,"",INDEX(Tilgung!$R$4:$R$9603,($N$6-1)*480+355))</f>
      </c>
    </row>
    <row r="370">
      <c r="A370"/>
      <c r="B370" s="36">
        <f>IF(INDEX(TilgAktiv,($N$6-1)*480+356)=0,"",356)</f>
      </c>
      <c r="C370" s="41">
        <f>IF(INDEX(TilgAktiv,($N$6-1)*480+356)=0,"",INDEX(TilgDatum,($N$6-1)*480+356))</f>
      </c>
      <c r="D370" s="31">
        <f>IF(INDEX(TilgAktiv,($N$6-1)*480+356)=0,"",INDEX(Tilgung!$H$4:$H$9603,($N$6-1)*480+356))</f>
      </c>
      <c r="E370" s="30">
        <f>IF(INDEX(TilgAktiv,($N$6-1)*480+356)=0,"",INDEX(Tilgung!$J$4:$J$9603,($N$6-1)*480+356))</f>
      </c>
      <c r="F370" s="30">
        <f>IF(INDEX(TilgAktiv,($N$6-1)*480+356)=0,"",IF(INDEX(TilgTilgung,($N$6-1)*480+356)=0,INDEX(TilgZins,($N$6-1)*480+356),INDEX(TilgZins,($N$6-1)*480+356)+INDEX(TilgTilgung,($N$6-1)*480+356))+INDEX(TilgErsatz,($N$6-1)*480+356))</f>
      </c>
      <c r="G370" s="30">
        <f>IF(INDEX(TilgAktiv,($N$6-1)*480+356)=0,"",INDEX(TilgZins,($N$6-1)*480+356))</f>
      </c>
      <c r="H370" s="30">
        <f>IF(INDEX(TilgAktiv,($N$6-1)*480+356)=0,"",INDEX(TilgTilgung,($N$6-1)*480+356))</f>
      </c>
      <c r="I370" s="30">
        <f>IF(INDEX(TilgAktiv,($N$6-1)*480+356)=0,"",INDEX(TilgSonder,($N$6-1)*480+356))</f>
      </c>
      <c r="J370" s="30">
        <f>IF(INDEX(TilgAktiv,($N$6-1)*480+356)=0,"",INDEX(TilgErsatz,($N$6-1)*480+356))</f>
      </c>
      <c r="K370" s="30">
        <f>IF(INDEX(TilgAktiv,($N$6-1)*480+356)=0,"",INDEX(Tilgung!$Q$4:$Q$9603,($N$6-1)*480+356))</f>
      </c>
      <c r="L370" s="30">
        <f>IF(INDEX(TilgAktiv,($N$6-1)*480+356)=0,"",INDEX(Tilgung!$R$4:$R$9603,($N$6-1)*480+356))</f>
      </c>
    </row>
    <row r="371">
      <c r="A371"/>
      <c r="B371" s="36">
        <f>IF(INDEX(TilgAktiv,($N$6-1)*480+357)=0,"",357)</f>
      </c>
      <c r="C371" s="41">
        <f>IF(INDEX(TilgAktiv,($N$6-1)*480+357)=0,"",INDEX(TilgDatum,($N$6-1)*480+357))</f>
      </c>
      <c r="D371" s="31">
        <f>IF(INDEX(TilgAktiv,($N$6-1)*480+357)=0,"",INDEX(Tilgung!$H$4:$H$9603,($N$6-1)*480+357))</f>
      </c>
      <c r="E371" s="30">
        <f>IF(INDEX(TilgAktiv,($N$6-1)*480+357)=0,"",INDEX(Tilgung!$J$4:$J$9603,($N$6-1)*480+357))</f>
      </c>
      <c r="F371" s="30">
        <f>IF(INDEX(TilgAktiv,($N$6-1)*480+357)=0,"",IF(INDEX(TilgTilgung,($N$6-1)*480+357)=0,INDEX(TilgZins,($N$6-1)*480+357),INDEX(TilgZins,($N$6-1)*480+357)+INDEX(TilgTilgung,($N$6-1)*480+357))+INDEX(TilgErsatz,($N$6-1)*480+357))</f>
      </c>
      <c r="G371" s="30">
        <f>IF(INDEX(TilgAktiv,($N$6-1)*480+357)=0,"",INDEX(TilgZins,($N$6-1)*480+357))</f>
      </c>
      <c r="H371" s="30">
        <f>IF(INDEX(TilgAktiv,($N$6-1)*480+357)=0,"",INDEX(TilgTilgung,($N$6-1)*480+357))</f>
      </c>
      <c r="I371" s="30">
        <f>IF(INDEX(TilgAktiv,($N$6-1)*480+357)=0,"",INDEX(TilgSonder,($N$6-1)*480+357))</f>
      </c>
      <c r="J371" s="30">
        <f>IF(INDEX(TilgAktiv,($N$6-1)*480+357)=0,"",INDEX(TilgErsatz,($N$6-1)*480+357))</f>
      </c>
      <c r="K371" s="30">
        <f>IF(INDEX(TilgAktiv,($N$6-1)*480+357)=0,"",INDEX(Tilgung!$Q$4:$Q$9603,($N$6-1)*480+357))</f>
      </c>
      <c r="L371" s="30">
        <f>IF(INDEX(TilgAktiv,($N$6-1)*480+357)=0,"",INDEX(Tilgung!$R$4:$R$9603,($N$6-1)*480+357))</f>
      </c>
    </row>
    <row r="372">
      <c r="A372"/>
      <c r="B372" s="36">
        <f>IF(INDEX(TilgAktiv,($N$6-1)*480+358)=0,"",358)</f>
      </c>
      <c r="C372" s="41">
        <f>IF(INDEX(TilgAktiv,($N$6-1)*480+358)=0,"",INDEX(TilgDatum,($N$6-1)*480+358))</f>
      </c>
      <c r="D372" s="31">
        <f>IF(INDEX(TilgAktiv,($N$6-1)*480+358)=0,"",INDEX(Tilgung!$H$4:$H$9603,($N$6-1)*480+358))</f>
      </c>
      <c r="E372" s="30">
        <f>IF(INDEX(TilgAktiv,($N$6-1)*480+358)=0,"",INDEX(Tilgung!$J$4:$J$9603,($N$6-1)*480+358))</f>
      </c>
      <c r="F372" s="30">
        <f>IF(INDEX(TilgAktiv,($N$6-1)*480+358)=0,"",IF(INDEX(TilgTilgung,($N$6-1)*480+358)=0,INDEX(TilgZins,($N$6-1)*480+358),INDEX(TilgZins,($N$6-1)*480+358)+INDEX(TilgTilgung,($N$6-1)*480+358))+INDEX(TilgErsatz,($N$6-1)*480+358))</f>
      </c>
      <c r="G372" s="30">
        <f>IF(INDEX(TilgAktiv,($N$6-1)*480+358)=0,"",INDEX(TilgZins,($N$6-1)*480+358))</f>
      </c>
      <c r="H372" s="30">
        <f>IF(INDEX(TilgAktiv,($N$6-1)*480+358)=0,"",INDEX(TilgTilgung,($N$6-1)*480+358))</f>
      </c>
      <c r="I372" s="30">
        <f>IF(INDEX(TilgAktiv,($N$6-1)*480+358)=0,"",INDEX(TilgSonder,($N$6-1)*480+358))</f>
      </c>
      <c r="J372" s="30">
        <f>IF(INDEX(TilgAktiv,($N$6-1)*480+358)=0,"",INDEX(TilgErsatz,($N$6-1)*480+358))</f>
      </c>
      <c r="K372" s="30">
        <f>IF(INDEX(TilgAktiv,($N$6-1)*480+358)=0,"",INDEX(Tilgung!$Q$4:$Q$9603,($N$6-1)*480+358))</f>
      </c>
      <c r="L372" s="30">
        <f>IF(INDEX(TilgAktiv,($N$6-1)*480+358)=0,"",INDEX(Tilgung!$R$4:$R$9603,($N$6-1)*480+358))</f>
      </c>
    </row>
    <row r="373">
      <c r="A373"/>
      <c r="B373" s="36">
        <f>IF(INDEX(TilgAktiv,($N$6-1)*480+359)=0,"",359)</f>
      </c>
      <c r="C373" s="41">
        <f>IF(INDEX(TilgAktiv,($N$6-1)*480+359)=0,"",INDEX(TilgDatum,($N$6-1)*480+359))</f>
      </c>
      <c r="D373" s="31">
        <f>IF(INDEX(TilgAktiv,($N$6-1)*480+359)=0,"",INDEX(Tilgung!$H$4:$H$9603,($N$6-1)*480+359))</f>
      </c>
      <c r="E373" s="30">
        <f>IF(INDEX(TilgAktiv,($N$6-1)*480+359)=0,"",INDEX(Tilgung!$J$4:$J$9603,($N$6-1)*480+359))</f>
      </c>
      <c r="F373" s="30">
        <f>IF(INDEX(TilgAktiv,($N$6-1)*480+359)=0,"",IF(INDEX(TilgTilgung,($N$6-1)*480+359)=0,INDEX(TilgZins,($N$6-1)*480+359),INDEX(TilgZins,($N$6-1)*480+359)+INDEX(TilgTilgung,($N$6-1)*480+359))+INDEX(TilgErsatz,($N$6-1)*480+359))</f>
      </c>
      <c r="G373" s="30">
        <f>IF(INDEX(TilgAktiv,($N$6-1)*480+359)=0,"",INDEX(TilgZins,($N$6-1)*480+359))</f>
      </c>
      <c r="H373" s="30">
        <f>IF(INDEX(TilgAktiv,($N$6-1)*480+359)=0,"",INDEX(TilgTilgung,($N$6-1)*480+359))</f>
      </c>
      <c r="I373" s="30">
        <f>IF(INDEX(TilgAktiv,($N$6-1)*480+359)=0,"",INDEX(TilgSonder,($N$6-1)*480+359))</f>
      </c>
      <c r="J373" s="30">
        <f>IF(INDEX(TilgAktiv,($N$6-1)*480+359)=0,"",INDEX(TilgErsatz,($N$6-1)*480+359))</f>
      </c>
      <c r="K373" s="30">
        <f>IF(INDEX(TilgAktiv,($N$6-1)*480+359)=0,"",INDEX(Tilgung!$Q$4:$Q$9603,($N$6-1)*480+359))</f>
      </c>
      <c r="L373" s="30">
        <f>IF(INDEX(TilgAktiv,($N$6-1)*480+359)=0,"",INDEX(Tilgung!$R$4:$R$9603,($N$6-1)*480+359))</f>
      </c>
    </row>
    <row r="374">
      <c r="A374"/>
      <c r="B374" s="36">
        <f>IF(INDEX(TilgAktiv,($N$6-1)*480+360)=0,"",360)</f>
      </c>
      <c r="C374" s="41">
        <f>IF(INDEX(TilgAktiv,($N$6-1)*480+360)=0,"",INDEX(TilgDatum,($N$6-1)*480+360))</f>
      </c>
      <c r="D374" s="31">
        <f>IF(INDEX(TilgAktiv,($N$6-1)*480+360)=0,"",INDEX(Tilgung!$H$4:$H$9603,($N$6-1)*480+360))</f>
      </c>
      <c r="E374" s="30">
        <f>IF(INDEX(TilgAktiv,($N$6-1)*480+360)=0,"",INDEX(Tilgung!$J$4:$J$9603,($N$6-1)*480+360))</f>
      </c>
      <c r="F374" s="30">
        <f>IF(INDEX(TilgAktiv,($N$6-1)*480+360)=0,"",IF(INDEX(TilgTilgung,($N$6-1)*480+360)=0,INDEX(TilgZins,($N$6-1)*480+360),INDEX(TilgZins,($N$6-1)*480+360)+INDEX(TilgTilgung,($N$6-1)*480+360))+INDEX(TilgErsatz,($N$6-1)*480+360))</f>
      </c>
      <c r="G374" s="30">
        <f>IF(INDEX(TilgAktiv,($N$6-1)*480+360)=0,"",INDEX(TilgZins,($N$6-1)*480+360))</f>
      </c>
      <c r="H374" s="30">
        <f>IF(INDEX(TilgAktiv,($N$6-1)*480+360)=0,"",INDEX(TilgTilgung,($N$6-1)*480+360))</f>
      </c>
      <c r="I374" s="30">
        <f>IF(INDEX(TilgAktiv,($N$6-1)*480+360)=0,"",INDEX(TilgSonder,($N$6-1)*480+360))</f>
      </c>
      <c r="J374" s="30">
        <f>IF(INDEX(TilgAktiv,($N$6-1)*480+360)=0,"",INDEX(TilgErsatz,($N$6-1)*480+360))</f>
      </c>
      <c r="K374" s="30">
        <f>IF(INDEX(TilgAktiv,($N$6-1)*480+360)=0,"",INDEX(Tilgung!$Q$4:$Q$9603,($N$6-1)*480+360))</f>
      </c>
      <c r="L374" s="30">
        <f>IF(INDEX(TilgAktiv,($N$6-1)*480+360)=0,"",INDEX(Tilgung!$R$4:$R$9603,($N$6-1)*480+360))</f>
      </c>
    </row>
    <row r="375">
      <c r="A375"/>
      <c r="B375" s="36">
        <f>IF(INDEX(TilgAktiv,($N$6-1)*480+361)=0,"",361)</f>
      </c>
      <c r="C375" s="41">
        <f>IF(INDEX(TilgAktiv,($N$6-1)*480+361)=0,"",INDEX(TilgDatum,($N$6-1)*480+361))</f>
      </c>
      <c r="D375" s="31">
        <f>IF(INDEX(TilgAktiv,($N$6-1)*480+361)=0,"",INDEX(Tilgung!$H$4:$H$9603,($N$6-1)*480+361))</f>
      </c>
      <c r="E375" s="30">
        <f>IF(INDEX(TilgAktiv,($N$6-1)*480+361)=0,"",INDEX(Tilgung!$J$4:$J$9603,($N$6-1)*480+361))</f>
      </c>
      <c r="F375" s="30">
        <f>IF(INDEX(TilgAktiv,($N$6-1)*480+361)=0,"",IF(INDEX(TilgTilgung,($N$6-1)*480+361)=0,INDEX(TilgZins,($N$6-1)*480+361),INDEX(TilgZins,($N$6-1)*480+361)+INDEX(TilgTilgung,($N$6-1)*480+361))+INDEX(TilgErsatz,($N$6-1)*480+361))</f>
      </c>
      <c r="G375" s="30">
        <f>IF(INDEX(TilgAktiv,($N$6-1)*480+361)=0,"",INDEX(TilgZins,($N$6-1)*480+361))</f>
      </c>
      <c r="H375" s="30">
        <f>IF(INDEX(TilgAktiv,($N$6-1)*480+361)=0,"",INDEX(TilgTilgung,($N$6-1)*480+361))</f>
      </c>
      <c r="I375" s="30">
        <f>IF(INDEX(TilgAktiv,($N$6-1)*480+361)=0,"",INDEX(TilgSonder,($N$6-1)*480+361))</f>
      </c>
      <c r="J375" s="30">
        <f>IF(INDEX(TilgAktiv,($N$6-1)*480+361)=0,"",INDEX(TilgErsatz,($N$6-1)*480+361))</f>
      </c>
      <c r="K375" s="30">
        <f>IF(INDEX(TilgAktiv,($N$6-1)*480+361)=0,"",INDEX(Tilgung!$Q$4:$Q$9603,($N$6-1)*480+361))</f>
      </c>
      <c r="L375" s="30">
        <f>IF(INDEX(TilgAktiv,($N$6-1)*480+361)=0,"",INDEX(Tilgung!$R$4:$R$9603,($N$6-1)*480+361))</f>
      </c>
    </row>
    <row r="376">
      <c r="A376"/>
      <c r="B376" s="36">
        <f>IF(INDEX(TilgAktiv,($N$6-1)*480+362)=0,"",362)</f>
      </c>
      <c r="C376" s="41">
        <f>IF(INDEX(TilgAktiv,($N$6-1)*480+362)=0,"",INDEX(TilgDatum,($N$6-1)*480+362))</f>
      </c>
      <c r="D376" s="31">
        <f>IF(INDEX(TilgAktiv,($N$6-1)*480+362)=0,"",INDEX(Tilgung!$H$4:$H$9603,($N$6-1)*480+362))</f>
      </c>
      <c r="E376" s="30">
        <f>IF(INDEX(TilgAktiv,($N$6-1)*480+362)=0,"",INDEX(Tilgung!$J$4:$J$9603,($N$6-1)*480+362))</f>
      </c>
      <c r="F376" s="30">
        <f>IF(INDEX(TilgAktiv,($N$6-1)*480+362)=0,"",IF(INDEX(TilgTilgung,($N$6-1)*480+362)=0,INDEX(TilgZins,($N$6-1)*480+362),INDEX(TilgZins,($N$6-1)*480+362)+INDEX(TilgTilgung,($N$6-1)*480+362))+INDEX(TilgErsatz,($N$6-1)*480+362))</f>
      </c>
      <c r="G376" s="30">
        <f>IF(INDEX(TilgAktiv,($N$6-1)*480+362)=0,"",INDEX(TilgZins,($N$6-1)*480+362))</f>
      </c>
      <c r="H376" s="30">
        <f>IF(INDEX(TilgAktiv,($N$6-1)*480+362)=0,"",INDEX(TilgTilgung,($N$6-1)*480+362))</f>
      </c>
      <c r="I376" s="30">
        <f>IF(INDEX(TilgAktiv,($N$6-1)*480+362)=0,"",INDEX(TilgSonder,($N$6-1)*480+362))</f>
      </c>
      <c r="J376" s="30">
        <f>IF(INDEX(TilgAktiv,($N$6-1)*480+362)=0,"",INDEX(TilgErsatz,($N$6-1)*480+362))</f>
      </c>
      <c r="K376" s="30">
        <f>IF(INDEX(TilgAktiv,($N$6-1)*480+362)=0,"",INDEX(Tilgung!$Q$4:$Q$9603,($N$6-1)*480+362))</f>
      </c>
      <c r="L376" s="30">
        <f>IF(INDEX(TilgAktiv,($N$6-1)*480+362)=0,"",INDEX(Tilgung!$R$4:$R$9603,($N$6-1)*480+362))</f>
      </c>
    </row>
    <row r="377">
      <c r="A377"/>
      <c r="B377" s="36">
        <f>IF(INDEX(TilgAktiv,($N$6-1)*480+363)=0,"",363)</f>
      </c>
      <c r="C377" s="41">
        <f>IF(INDEX(TilgAktiv,($N$6-1)*480+363)=0,"",INDEX(TilgDatum,($N$6-1)*480+363))</f>
      </c>
      <c r="D377" s="31">
        <f>IF(INDEX(TilgAktiv,($N$6-1)*480+363)=0,"",INDEX(Tilgung!$H$4:$H$9603,($N$6-1)*480+363))</f>
      </c>
      <c r="E377" s="30">
        <f>IF(INDEX(TilgAktiv,($N$6-1)*480+363)=0,"",INDEX(Tilgung!$J$4:$J$9603,($N$6-1)*480+363))</f>
      </c>
      <c r="F377" s="30">
        <f>IF(INDEX(TilgAktiv,($N$6-1)*480+363)=0,"",IF(INDEX(TilgTilgung,($N$6-1)*480+363)=0,INDEX(TilgZins,($N$6-1)*480+363),INDEX(TilgZins,($N$6-1)*480+363)+INDEX(TilgTilgung,($N$6-1)*480+363))+INDEX(TilgErsatz,($N$6-1)*480+363))</f>
      </c>
      <c r="G377" s="30">
        <f>IF(INDEX(TilgAktiv,($N$6-1)*480+363)=0,"",INDEX(TilgZins,($N$6-1)*480+363))</f>
      </c>
      <c r="H377" s="30">
        <f>IF(INDEX(TilgAktiv,($N$6-1)*480+363)=0,"",INDEX(TilgTilgung,($N$6-1)*480+363))</f>
      </c>
      <c r="I377" s="30">
        <f>IF(INDEX(TilgAktiv,($N$6-1)*480+363)=0,"",INDEX(TilgSonder,($N$6-1)*480+363))</f>
      </c>
      <c r="J377" s="30">
        <f>IF(INDEX(TilgAktiv,($N$6-1)*480+363)=0,"",INDEX(TilgErsatz,($N$6-1)*480+363))</f>
      </c>
      <c r="K377" s="30">
        <f>IF(INDEX(TilgAktiv,($N$6-1)*480+363)=0,"",INDEX(Tilgung!$Q$4:$Q$9603,($N$6-1)*480+363))</f>
      </c>
      <c r="L377" s="30">
        <f>IF(INDEX(TilgAktiv,($N$6-1)*480+363)=0,"",INDEX(Tilgung!$R$4:$R$9603,($N$6-1)*480+363))</f>
      </c>
    </row>
    <row r="378">
      <c r="A378"/>
      <c r="B378" s="36">
        <f>IF(INDEX(TilgAktiv,($N$6-1)*480+364)=0,"",364)</f>
      </c>
      <c r="C378" s="41">
        <f>IF(INDEX(TilgAktiv,($N$6-1)*480+364)=0,"",INDEX(TilgDatum,($N$6-1)*480+364))</f>
      </c>
      <c r="D378" s="31">
        <f>IF(INDEX(TilgAktiv,($N$6-1)*480+364)=0,"",INDEX(Tilgung!$H$4:$H$9603,($N$6-1)*480+364))</f>
      </c>
      <c r="E378" s="30">
        <f>IF(INDEX(TilgAktiv,($N$6-1)*480+364)=0,"",INDEX(Tilgung!$J$4:$J$9603,($N$6-1)*480+364))</f>
      </c>
      <c r="F378" s="30">
        <f>IF(INDEX(TilgAktiv,($N$6-1)*480+364)=0,"",IF(INDEX(TilgTilgung,($N$6-1)*480+364)=0,INDEX(TilgZins,($N$6-1)*480+364),INDEX(TilgZins,($N$6-1)*480+364)+INDEX(TilgTilgung,($N$6-1)*480+364))+INDEX(TilgErsatz,($N$6-1)*480+364))</f>
      </c>
      <c r="G378" s="30">
        <f>IF(INDEX(TilgAktiv,($N$6-1)*480+364)=0,"",INDEX(TilgZins,($N$6-1)*480+364))</f>
      </c>
      <c r="H378" s="30">
        <f>IF(INDEX(TilgAktiv,($N$6-1)*480+364)=0,"",INDEX(TilgTilgung,($N$6-1)*480+364))</f>
      </c>
      <c r="I378" s="30">
        <f>IF(INDEX(TilgAktiv,($N$6-1)*480+364)=0,"",INDEX(TilgSonder,($N$6-1)*480+364))</f>
      </c>
      <c r="J378" s="30">
        <f>IF(INDEX(TilgAktiv,($N$6-1)*480+364)=0,"",INDEX(TilgErsatz,($N$6-1)*480+364))</f>
      </c>
      <c r="K378" s="30">
        <f>IF(INDEX(TilgAktiv,($N$6-1)*480+364)=0,"",INDEX(Tilgung!$Q$4:$Q$9603,($N$6-1)*480+364))</f>
      </c>
      <c r="L378" s="30">
        <f>IF(INDEX(TilgAktiv,($N$6-1)*480+364)=0,"",INDEX(Tilgung!$R$4:$R$9603,($N$6-1)*480+364))</f>
      </c>
    </row>
    <row r="379">
      <c r="A379"/>
      <c r="B379" s="36">
        <f>IF(INDEX(TilgAktiv,($N$6-1)*480+365)=0,"",365)</f>
      </c>
      <c r="C379" s="41">
        <f>IF(INDEX(TilgAktiv,($N$6-1)*480+365)=0,"",INDEX(TilgDatum,($N$6-1)*480+365))</f>
      </c>
      <c r="D379" s="31">
        <f>IF(INDEX(TilgAktiv,($N$6-1)*480+365)=0,"",INDEX(Tilgung!$H$4:$H$9603,($N$6-1)*480+365))</f>
      </c>
      <c r="E379" s="30">
        <f>IF(INDEX(TilgAktiv,($N$6-1)*480+365)=0,"",INDEX(Tilgung!$J$4:$J$9603,($N$6-1)*480+365))</f>
      </c>
      <c r="F379" s="30">
        <f>IF(INDEX(TilgAktiv,($N$6-1)*480+365)=0,"",IF(INDEX(TilgTilgung,($N$6-1)*480+365)=0,INDEX(TilgZins,($N$6-1)*480+365),INDEX(TilgZins,($N$6-1)*480+365)+INDEX(TilgTilgung,($N$6-1)*480+365))+INDEX(TilgErsatz,($N$6-1)*480+365))</f>
      </c>
      <c r="G379" s="30">
        <f>IF(INDEX(TilgAktiv,($N$6-1)*480+365)=0,"",INDEX(TilgZins,($N$6-1)*480+365))</f>
      </c>
      <c r="H379" s="30">
        <f>IF(INDEX(TilgAktiv,($N$6-1)*480+365)=0,"",INDEX(TilgTilgung,($N$6-1)*480+365))</f>
      </c>
      <c r="I379" s="30">
        <f>IF(INDEX(TilgAktiv,($N$6-1)*480+365)=0,"",INDEX(TilgSonder,($N$6-1)*480+365))</f>
      </c>
      <c r="J379" s="30">
        <f>IF(INDEX(TilgAktiv,($N$6-1)*480+365)=0,"",INDEX(TilgErsatz,($N$6-1)*480+365))</f>
      </c>
      <c r="K379" s="30">
        <f>IF(INDEX(TilgAktiv,($N$6-1)*480+365)=0,"",INDEX(Tilgung!$Q$4:$Q$9603,($N$6-1)*480+365))</f>
      </c>
      <c r="L379" s="30">
        <f>IF(INDEX(TilgAktiv,($N$6-1)*480+365)=0,"",INDEX(Tilgung!$R$4:$R$9603,($N$6-1)*480+365))</f>
      </c>
    </row>
    <row r="380">
      <c r="A380"/>
      <c r="B380" s="36">
        <f>IF(INDEX(TilgAktiv,($N$6-1)*480+366)=0,"",366)</f>
      </c>
      <c r="C380" s="41">
        <f>IF(INDEX(TilgAktiv,($N$6-1)*480+366)=0,"",INDEX(TilgDatum,($N$6-1)*480+366))</f>
      </c>
      <c r="D380" s="31">
        <f>IF(INDEX(TilgAktiv,($N$6-1)*480+366)=0,"",INDEX(Tilgung!$H$4:$H$9603,($N$6-1)*480+366))</f>
      </c>
      <c r="E380" s="30">
        <f>IF(INDEX(TilgAktiv,($N$6-1)*480+366)=0,"",INDEX(Tilgung!$J$4:$J$9603,($N$6-1)*480+366))</f>
      </c>
      <c r="F380" s="30">
        <f>IF(INDEX(TilgAktiv,($N$6-1)*480+366)=0,"",IF(INDEX(TilgTilgung,($N$6-1)*480+366)=0,INDEX(TilgZins,($N$6-1)*480+366),INDEX(TilgZins,($N$6-1)*480+366)+INDEX(TilgTilgung,($N$6-1)*480+366))+INDEX(TilgErsatz,($N$6-1)*480+366))</f>
      </c>
      <c r="G380" s="30">
        <f>IF(INDEX(TilgAktiv,($N$6-1)*480+366)=0,"",INDEX(TilgZins,($N$6-1)*480+366))</f>
      </c>
      <c r="H380" s="30">
        <f>IF(INDEX(TilgAktiv,($N$6-1)*480+366)=0,"",INDEX(TilgTilgung,($N$6-1)*480+366))</f>
      </c>
      <c r="I380" s="30">
        <f>IF(INDEX(TilgAktiv,($N$6-1)*480+366)=0,"",INDEX(TilgSonder,($N$6-1)*480+366))</f>
      </c>
      <c r="J380" s="30">
        <f>IF(INDEX(TilgAktiv,($N$6-1)*480+366)=0,"",INDEX(TilgErsatz,($N$6-1)*480+366))</f>
      </c>
      <c r="K380" s="30">
        <f>IF(INDEX(TilgAktiv,($N$6-1)*480+366)=0,"",INDEX(Tilgung!$Q$4:$Q$9603,($N$6-1)*480+366))</f>
      </c>
      <c r="L380" s="30">
        <f>IF(INDEX(TilgAktiv,($N$6-1)*480+366)=0,"",INDEX(Tilgung!$R$4:$R$9603,($N$6-1)*480+366))</f>
      </c>
    </row>
    <row r="381">
      <c r="A381"/>
      <c r="B381" s="36">
        <f>IF(INDEX(TilgAktiv,($N$6-1)*480+367)=0,"",367)</f>
      </c>
      <c r="C381" s="41">
        <f>IF(INDEX(TilgAktiv,($N$6-1)*480+367)=0,"",INDEX(TilgDatum,($N$6-1)*480+367))</f>
      </c>
      <c r="D381" s="31">
        <f>IF(INDEX(TilgAktiv,($N$6-1)*480+367)=0,"",INDEX(Tilgung!$H$4:$H$9603,($N$6-1)*480+367))</f>
      </c>
      <c r="E381" s="30">
        <f>IF(INDEX(TilgAktiv,($N$6-1)*480+367)=0,"",INDEX(Tilgung!$J$4:$J$9603,($N$6-1)*480+367))</f>
      </c>
      <c r="F381" s="30">
        <f>IF(INDEX(TilgAktiv,($N$6-1)*480+367)=0,"",IF(INDEX(TilgTilgung,($N$6-1)*480+367)=0,INDEX(TilgZins,($N$6-1)*480+367),INDEX(TilgZins,($N$6-1)*480+367)+INDEX(TilgTilgung,($N$6-1)*480+367))+INDEX(TilgErsatz,($N$6-1)*480+367))</f>
      </c>
      <c r="G381" s="30">
        <f>IF(INDEX(TilgAktiv,($N$6-1)*480+367)=0,"",INDEX(TilgZins,($N$6-1)*480+367))</f>
      </c>
      <c r="H381" s="30">
        <f>IF(INDEX(TilgAktiv,($N$6-1)*480+367)=0,"",INDEX(TilgTilgung,($N$6-1)*480+367))</f>
      </c>
      <c r="I381" s="30">
        <f>IF(INDEX(TilgAktiv,($N$6-1)*480+367)=0,"",INDEX(TilgSonder,($N$6-1)*480+367))</f>
      </c>
      <c r="J381" s="30">
        <f>IF(INDEX(TilgAktiv,($N$6-1)*480+367)=0,"",INDEX(TilgErsatz,($N$6-1)*480+367))</f>
      </c>
      <c r="K381" s="30">
        <f>IF(INDEX(TilgAktiv,($N$6-1)*480+367)=0,"",INDEX(Tilgung!$Q$4:$Q$9603,($N$6-1)*480+367))</f>
      </c>
      <c r="L381" s="30">
        <f>IF(INDEX(TilgAktiv,($N$6-1)*480+367)=0,"",INDEX(Tilgung!$R$4:$R$9603,($N$6-1)*480+367))</f>
      </c>
    </row>
    <row r="382">
      <c r="A382"/>
      <c r="B382" s="36">
        <f>IF(INDEX(TilgAktiv,($N$6-1)*480+368)=0,"",368)</f>
      </c>
      <c r="C382" s="41">
        <f>IF(INDEX(TilgAktiv,($N$6-1)*480+368)=0,"",INDEX(TilgDatum,($N$6-1)*480+368))</f>
      </c>
      <c r="D382" s="31">
        <f>IF(INDEX(TilgAktiv,($N$6-1)*480+368)=0,"",INDEX(Tilgung!$H$4:$H$9603,($N$6-1)*480+368))</f>
      </c>
      <c r="E382" s="30">
        <f>IF(INDEX(TilgAktiv,($N$6-1)*480+368)=0,"",INDEX(Tilgung!$J$4:$J$9603,($N$6-1)*480+368))</f>
      </c>
      <c r="F382" s="30">
        <f>IF(INDEX(TilgAktiv,($N$6-1)*480+368)=0,"",IF(INDEX(TilgTilgung,($N$6-1)*480+368)=0,INDEX(TilgZins,($N$6-1)*480+368),INDEX(TilgZins,($N$6-1)*480+368)+INDEX(TilgTilgung,($N$6-1)*480+368))+INDEX(TilgErsatz,($N$6-1)*480+368))</f>
      </c>
      <c r="G382" s="30">
        <f>IF(INDEX(TilgAktiv,($N$6-1)*480+368)=0,"",INDEX(TilgZins,($N$6-1)*480+368))</f>
      </c>
      <c r="H382" s="30">
        <f>IF(INDEX(TilgAktiv,($N$6-1)*480+368)=0,"",INDEX(TilgTilgung,($N$6-1)*480+368))</f>
      </c>
      <c r="I382" s="30">
        <f>IF(INDEX(TilgAktiv,($N$6-1)*480+368)=0,"",INDEX(TilgSonder,($N$6-1)*480+368))</f>
      </c>
      <c r="J382" s="30">
        <f>IF(INDEX(TilgAktiv,($N$6-1)*480+368)=0,"",INDEX(TilgErsatz,($N$6-1)*480+368))</f>
      </c>
      <c r="K382" s="30">
        <f>IF(INDEX(TilgAktiv,($N$6-1)*480+368)=0,"",INDEX(Tilgung!$Q$4:$Q$9603,($N$6-1)*480+368))</f>
      </c>
      <c r="L382" s="30">
        <f>IF(INDEX(TilgAktiv,($N$6-1)*480+368)=0,"",INDEX(Tilgung!$R$4:$R$9603,($N$6-1)*480+368))</f>
      </c>
    </row>
    <row r="383">
      <c r="A383"/>
      <c r="B383" s="36">
        <f>IF(INDEX(TilgAktiv,($N$6-1)*480+369)=0,"",369)</f>
      </c>
      <c r="C383" s="41">
        <f>IF(INDEX(TilgAktiv,($N$6-1)*480+369)=0,"",INDEX(TilgDatum,($N$6-1)*480+369))</f>
      </c>
      <c r="D383" s="31">
        <f>IF(INDEX(TilgAktiv,($N$6-1)*480+369)=0,"",INDEX(Tilgung!$H$4:$H$9603,($N$6-1)*480+369))</f>
      </c>
      <c r="E383" s="30">
        <f>IF(INDEX(TilgAktiv,($N$6-1)*480+369)=0,"",INDEX(Tilgung!$J$4:$J$9603,($N$6-1)*480+369))</f>
      </c>
      <c r="F383" s="30">
        <f>IF(INDEX(TilgAktiv,($N$6-1)*480+369)=0,"",IF(INDEX(TilgTilgung,($N$6-1)*480+369)=0,INDEX(TilgZins,($N$6-1)*480+369),INDEX(TilgZins,($N$6-1)*480+369)+INDEX(TilgTilgung,($N$6-1)*480+369))+INDEX(TilgErsatz,($N$6-1)*480+369))</f>
      </c>
      <c r="G383" s="30">
        <f>IF(INDEX(TilgAktiv,($N$6-1)*480+369)=0,"",INDEX(TilgZins,($N$6-1)*480+369))</f>
      </c>
      <c r="H383" s="30">
        <f>IF(INDEX(TilgAktiv,($N$6-1)*480+369)=0,"",INDEX(TilgTilgung,($N$6-1)*480+369))</f>
      </c>
      <c r="I383" s="30">
        <f>IF(INDEX(TilgAktiv,($N$6-1)*480+369)=0,"",INDEX(TilgSonder,($N$6-1)*480+369))</f>
      </c>
      <c r="J383" s="30">
        <f>IF(INDEX(TilgAktiv,($N$6-1)*480+369)=0,"",INDEX(TilgErsatz,($N$6-1)*480+369))</f>
      </c>
      <c r="K383" s="30">
        <f>IF(INDEX(TilgAktiv,($N$6-1)*480+369)=0,"",INDEX(Tilgung!$Q$4:$Q$9603,($N$6-1)*480+369))</f>
      </c>
      <c r="L383" s="30">
        <f>IF(INDEX(TilgAktiv,($N$6-1)*480+369)=0,"",INDEX(Tilgung!$R$4:$R$9603,($N$6-1)*480+369))</f>
      </c>
    </row>
    <row r="384">
      <c r="A384"/>
      <c r="B384" s="36">
        <f>IF(INDEX(TilgAktiv,($N$6-1)*480+370)=0,"",370)</f>
      </c>
      <c r="C384" s="41">
        <f>IF(INDEX(TilgAktiv,($N$6-1)*480+370)=0,"",INDEX(TilgDatum,($N$6-1)*480+370))</f>
      </c>
      <c r="D384" s="31">
        <f>IF(INDEX(TilgAktiv,($N$6-1)*480+370)=0,"",INDEX(Tilgung!$H$4:$H$9603,($N$6-1)*480+370))</f>
      </c>
      <c r="E384" s="30">
        <f>IF(INDEX(TilgAktiv,($N$6-1)*480+370)=0,"",INDEX(Tilgung!$J$4:$J$9603,($N$6-1)*480+370))</f>
      </c>
      <c r="F384" s="30">
        <f>IF(INDEX(TilgAktiv,($N$6-1)*480+370)=0,"",IF(INDEX(TilgTilgung,($N$6-1)*480+370)=0,INDEX(TilgZins,($N$6-1)*480+370),INDEX(TilgZins,($N$6-1)*480+370)+INDEX(TilgTilgung,($N$6-1)*480+370))+INDEX(TilgErsatz,($N$6-1)*480+370))</f>
      </c>
      <c r="G384" s="30">
        <f>IF(INDEX(TilgAktiv,($N$6-1)*480+370)=0,"",INDEX(TilgZins,($N$6-1)*480+370))</f>
      </c>
      <c r="H384" s="30">
        <f>IF(INDEX(TilgAktiv,($N$6-1)*480+370)=0,"",INDEX(TilgTilgung,($N$6-1)*480+370))</f>
      </c>
      <c r="I384" s="30">
        <f>IF(INDEX(TilgAktiv,($N$6-1)*480+370)=0,"",INDEX(TilgSonder,($N$6-1)*480+370))</f>
      </c>
      <c r="J384" s="30">
        <f>IF(INDEX(TilgAktiv,($N$6-1)*480+370)=0,"",INDEX(TilgErsatz,($N$6-1)*480+370))</f>
      </c>
      <c r="K384" s="30">
        <f>IF(INDEX(TilgAktiv,($N$6-1)*480+370)=0,"",INDEX(Tilgung!$Q$4:$Q$9603,($N$6-1)*480+370))</f>
      </c>
      <c r="L384" s="30">
        <f>IF(INDEX(TilgAktiv,($N$6-1)*480+370)=0,"",INDEX(Tilgung!$R$4:$R$9603,($N$6-1)*480+370))</f>
      </c>
    </row>
    <row r="385">
      <c r="A385"/>
      <c r="B385" s="36">
        <f>IF(INDEX(TilgAktiv,($N$6-1)*480+371)=0,"",371)</f>
      </c>
      <c r="C385" s="41">
        <f>IF(INDEX(TilgAktiv,($N$6-1)*480+371)=0,"",INDEX(TilgDatum,($N$6-1)*480+371))</f>
      </c>
      <c r="D385" s="31">
        <f>IF(INDEX(TilgAktiv,($N$6-1)*480+371)=0,"",INDEX(Tilgung!$H$4:$H$9603,($N$6-1)*480+371))</f>
      </c>
      <c r="E385" s="30">
        <f>IF(INDEX(TilgAktiv,($N$6-1)*480+371)=0,"",INDEX(Tilgung!$J$4:$J$9603,($N$6-1)*480+371))</f>
      </c>
      <c r="F385" s="30">
        <f>IF(INDEX(TilgAktiv,($N$6-1)*480+371)=0,"",IF(INDEX(TilgTilgung,($N$6-1)*480+371)=0,INDEX(TilgZins,($N$6-1)*480+371),INDEX(TilgZins,($N$6-1)*480+371)+INDEX(TilgTilgung,($N$6-1)*480+371))+INDEX(TilgErsatz,($N$6-1)*480+371))</f>
      </c>
      <c r="G385" s="30">
        <f>IF(INDEX(TilgAktiv,($N$6-1)*480+371)=0,"",INDEX(TilgZins,($N$6-1)*480+371))</f>
      </c>
      <c r="H385" s="30">
        <f>IF(INDEX(TilgAktiv,($N$6-1)*480+371)=0,"",INDEX(TilgTilgung,($N$6-1)*480+371))</f>
      </c>
      <c r="I385" s="30">
        <f>IF(INDEX(TilgAktiv,($N$6-1)*480+371)=0,"",INDEX(TilgSonder,($N$6-1)*480+371))</f>
      </c>
      <c r="J385" s="30">
        <f>IF(INDEX(TilgAktiv,($N$6-1)*480+371)=0,"",INDEX(TilgErsatz,($N$6-1)*480+371))</f>
      </c>
      <c r="K385" s="30">
        <f>IF(INDEX(TilgAktiv,($N$6-1)*480+371)=0,"",INDEX(Tilgung!$Q$4:$Q$9603,($N$6-1)*480+371))</f>
      </c>
      <c r="L385" s="30">
        <f>IF(INDEX(TilgAktiv,($N$6-1)*480+371)=0,"",INDEX(Tilgung!$R$4:$R$9603,($N$6-1)*480+371))</f>
      </c>
    </row>
    <row r="386">
      <c r="A386"/>
      <c r="B386" s="36">
        <f>IF(INDEX(TilgAktiv,($N$6-1)*480+372)=0,"",372)</f>
      </c>
      <c r="C386" s="41">
        <f>IF(INDEX(TilgAktiv,($N$6-1)*480+372)=0,"",INDEX(TilgDatum,($N$6-1)*480+372))</f>
      </c>
      <c r="D386" s="31">
        <f>IF(INDEX(TilgAktiv,($N$6-1)*480+372)=0,"",INDEX(Tilgung!$H$4:$H$9603,($N$6-1)*480+372))</f>
      </c>
      <c r="E386" s="30">
        <f>IF(INDEX(TilgAktiv,($N$6-1)*480+372)=0,"",INDEX(Tilgung!$J$4:$J$9603,($N$6-1)*480+372))</f>
      </c>
      <c r="F386" s="30">
        <f>IF(INDEX(TilgAktiv,($N$6-1)*480+372)=0,"",IF(INDEX(TilgTilgung,($N$6-1)*480+372)=0,INDEX(TilgZins,($N$6-1)*480+372),INDEX(TilgZins,($N$6-1)*480+372)+INDEX(TilgTilgung,($N$6-1)*480+372))+INDEX(TilgErsatz,($N$6-1)*480+372))</f>
      </c>
      <c r="G386" s="30">
        <f>IF(INDEX(TilgAktiv,($N$6-1)*480+372)=0,"",INDEX(TilgZins,($N$6-1)*480+372))</f>
      </c>
      <c r="H386" s="30">
        <f>IF(INDEX(TilgAktiv,($N$6-1)*480+372)=0,"",INDEX(TilgTilgung,($N$6-1)*480+372))</f>
      </c>
      <c r="I386" s="30">
        <f>IF(INDEX(TilgAktiv,($N$6-1)*480+372)=0,"",INDEX(TilgSonder,($N$6-1)*480+372))</f>
      </c>
      <c r="J386" s="30">
        <f>IF(INDEX(TilgAktiv,($N$6-1)*480+372)=0,"",INDEX(TilgErsatz,($N$6-1)*480+372))</f>
      </c>
      <c r="K386" s="30">
        <f>IF(INDEX(TilgAktiv,($N$6-1)*480+372)=0,"",INDEX(Tilgung!$Q$4:$Q$9603,($N$6-1)*480+372))</f>
      </c>
      <c r="L386" s="30">
        <f>IF(INDEX(TilgAktiv,($N$6-1)*480+372)=0,"",INDEX(Tilgung!$R$4:$R$9603,($N$6-1)*480+372))</f>
      </c>
    </row>
    <row r="387">
      <c r="A387"/>
      <c r="B387" s="36">
        <f>IF(INDEX(TilgAktiv,($N$6-1)*480+373)=0,"",373)</f>
      </c>
      <c r="C387" s="41">
        <f>IF(INDEX(TilgAktiv,($N$6-1)*480+373)=0,"",INDEX(TilgDatum,($N$6-1)*480+373))</f>
      </c>
      <c r="D387" s="31">
        <f>IF(INDEX(TilgAktiv,($N$6-1)*480+373)=0,"",INDEX(Tilgung!$H$4:$H$9603,($N$6-1)*480+373))</f>
      </c>
      <c r="E387" s="30">
        <f>IF(INDEX(TilgAktiv,($N$6-1)*480+373)=0,"",INDEX(Tilgung!$J$4:$J$9603,($N$6-1)*480+373))</f>
      </c>
      <c r="F387" s="30">
        <f>IF(INDEX(TilgAktiv,($N$6-1)*480+373)=0,"",IF(INDEX(TilgTilgung,($N$6-1)*480+373)=0,INDEX(TilgZins,($N$6-1)*480+373),INDEX(TilgZins,($N$6-1)*480+373)+INDEX(TilgTilgung,($N$6-1)*480+373))+INDEX(TilgErsatz,($N$6-1)*480+373))</f>
      </c>
      <c r="G387" s="30">
        <f>IF(INDEX(TilgAktiv,($N$6-1)*480+373)=0,"",INDEX(TilgZins,($N$6-1)*480+373))</f>
      </c>
      <c r="H387" s="30">
        <f>IF(INDEX(TilgAktiv,($N$6-1)*480+373)=0,"",INDEX(TilgTilgung,($N$6-1)*480+373))</f>
      </c>
      <c r="I387" s="30">
        <f>IF(INDEX(TilgAktiv,($N$6-1)*480+373)=0,"",INDEX(TilgSonder,($N$6-1)*480+373))</f>
      </c>
      <c r="J387" s="30">
        <f>IF(INDEX(TilgAktiv,($N$6-1)*480+373)=0,"",INDEX(TilgErsatz,($N$6-1)*480+373))</f>
      </c>
      <c r="K387" s="30">
        <f>IF(INDEX(TilgAktiv,($N$6-1)*480+373)=0,"",INDEX(Tilgung!$Q$4:$Q$9603,($N$6-1)*480+373))</f>
      </c>
      <c r="L387" s="30">
        <f>IF(INDEX(TilgAktiv,($N$6-1)*480+373)=0,"",INDEX(Tilgung!$R$4:$R$9603,($N$6-1)*480+373))</f>
      </c>
    </row>
    <row r="388">
      <c r="A388"/>
      <c r="B388" s="36">
        <f>IF(INDEX(TilgAktiv,($N$6-1)*480+374)=0,"",374)</f>
      </c>
      <c r="C388" s="41">
        <f>IF(INDEX(TilgAktiv,($N$6-1)*480+374)=0,"",INDEX(TilgDatum,($N$6-1)*480+374))</f>
      </c>
      <c r="D388" s="31">
        <f>IF(INDEX(TilgAktiv,($N$6-1)*480+374)=0,"",INDEX(Tilgung!$H$4:$H$9603,($N$6-1)*480+374))</f>
      </c>
      <c r="E388" s="30">
        <f>IF(INDEX(TilgAktiv,($N$6-1)*480+374)=0,"",INDEX(Tilgung!$J$4:$J$9603,($N$6-1)*480+374))</f>
      </c>
      <c r="F388" s="30">
        <f>IF(INDEX(TilgAktiv,($N$6-1)*480+374)=0,"",IF(INDEX(TilgTilgung,($N$6-1)*480+374)=0,INDEX(TilgZins,($N$6-1)*480+374),INDEX(TilgZins,($N$6-1)*480+374)+INDEX(TilgTilgung,($N$6-1)*480+374))+INDEX(TilgErsatz,($N$6-1)*480+374))</f>
      </c>
      <c r="G388" s="30">
        <f>IF(INDEX(TilgAktiv,($N$6-1)*480+374)=0,"",INDEX(TilgZins,($N$6-1)*480+374))</f>
      </c>
      <c r="H388" s="30">
        <f>IF(INDEX(TilgAktiv,($N$6-1)*480+374)=0,"",INDEX(TilgTilgung,($N$6-1)*480+374))</f>
      </c>
      <c r="I388" s="30">
        <f>IF(INDEX(TilgAktiv,($N$6-1)*480+374)=0,"",INDEX(TilgSonder,($N$6-1)*480+374))</f>
      </c>
      <c r="J388" s="30">
        <f>IF(INDEX(TilgAktiv,($N$6-1)*480+374)=0,"",INDEX(TilgErsatz,($N$6-1)*480+374))</f>
      </c>
      <c r="K388" s="30">
        <f>IF(INDEX(TilgAktiv,($N$6-1)*480+374)=0,"",INDEX(Tilgung!$Q$4:$Q$9603,($N$6-1)*480+374))</f>
      </c>
      <c r="L388" s="30">
        <f>IF(INDEX(TilgAktiv,($N$6-1)*480+374)=0,"",INDEX(Tilgung!$R$4:$R$9603,($N$6-1)*480+374))</f>
      </c>
    </row>
    <row r="389">
      <c r="A389"/>
      <c r="B389" s="36">
        <f>IF(INDEX(TilgAktiv,($N$6-1)*480+375)=0,"",375)</f>
      </c>
      <c r="C389" s="41">
        <f>IF(INDEX(TilgAktiv,($N$6-1)*480+375)=0,"",INDEX(TilgDatum,($N$6-1)*480+375))</f>
      </c>
      <c r="D389" s="31">
        <f>IF(INDEX(TilgAktiv,($N$6-1)*480+375)=0,"",INDEX(Tilgung!$H$4:$H$9603,($N$6-1)*480+375))</f>
      </c>
      <c r="E389" s="30">
        <f>IF(INDEX(TilgAktiv,($N$6-1)*480+375)=0,"",INDEX(Tilgung!$J$4:$J$9603,($N$6-1)*480+375))</f>
      </c>
      <c r="F389" s="30">
        <f>IF(INDEX(TilgAktiv,($N$6-1)*480+375)=0,"",IF(INDEX(TilgTilgung,($N$6-1)*480+375)=0,INDEX(TilgZins,($N$6-1)*480+375),INDEX(TilgZins,($N$6-1)*480+375)+INDEX(TilgTilgung,($N$6-1)*480+375))+INDEX(TilgErsatz,($N$6-1)*480+375))</f>
      </c>
      <c r="G389" s="30">
        <f>IF(INDEX(TilgAktiv,($N$6-1)*480+375)=0,"",INDEX(TilgZins,($N$6-1)*480+375))</f>
      </c>
      <c r="H389" s="30">
        <f>IF(INDEX(TilgAktiv,($N$6-1)*480+375)=0,"",INDEX(TilgTilgung,($N$6-1)*480+375))</f>
      </c>
      <c r="I389" s="30">
        <f>IF(INDEX(TilgAktiv,($N$6-1)*480+375)=0,"",INDEX(TilgSonder,($N$6-1)*480+375))</f>
      </c>
      <c r="J389" s="30">
        <f>IF(INDEX(TilgAktiv,($N$6-1)*480+375)=0,"",INDEX(TilgErsatz,($N$6-1)*480+375))</f>
      </c>
      <c r="K389" s="30">
        <f>IF(INDEX(TilgAktiv,($N$6-1)*480+375)=0,"",INDEX(Tilgung!$Q$4:$Q$9603,($N$6-1)*480+375))</f>
      </c>
      <c r="L389" s="30">
        <f>IF(INDEX(TilgAktiv,($N$6-1)*480+375)=0,"",INDEX(Tilgung!$R$4:$R$9603,($N$6-1)*480+375))</f>
      </c>
    </row>
    <row r="390">
      <c r="A390"/>
      <c r="B390" s="36">
        <f>IF(INDEX(TilgAktiv,($N$6-1)*480+376)=0,"",376)</f>
      </c>
      <c r="C390" s="41">
        <f>IF(INDEX(TilgAktiv,($N$6-1)*480+376)=0,"",INDEX(TilgDatum,($N$6-1)*480+376))</f>
      </c>
      <c r="D390" s="31">
        <f>IF(INDEX(TilgAktiv,($N$6-1)*480+376)=0,"",INDEX(Tilgung!$H$4:$H$9603,($N$6-1)*480+376))</f>
      </c>
      <c r="E390" s="30">
        <f>IF(INDEX(TilgAktiv,($N$6-1)*480+376)=0,"",INDEX(Tilgung!$J$4:$J$9603,($N$6-1)*480+376))</f>
      </c>
      <c r="F390" s="30">
        <f>IF(INDEX(TilgAktiv,($N$6-1)*480+376)=0,"",IF(INDEX(TilgTilgung,($N$6-1)*480+376)=0,INDEX(TilgZins,($N$6-1)*480+376),INDEX(TilgZins,($N$6-1)*480+376)+INDEX(TilgTilgung,($N$6-1)*480+376))+INDEX(TilgErsatz,($N$6-1)*480+376))</f>
      </c>
      <c r="G390" s="30">
        <f>IF(INDEX(TilgAktiv,($N$6-1)*480+376)=0,"",INDEX(TilgZins,($N$6-1)*480+376))</f>
      </c>
      <c r="H390" s="30">
        <f>IF(INDEX(TilgAktiv,($N$6-1)*480+376)=0,"",INDEX(TilgTilgung,($N$6-1)*480+376))</f>
      </c>
      <c r="I390" s="30">
        <f>IF(INDEX(TilgAktiv,($N$6-1)*480+376)=0,"",INDEX(TilgSonder,($N$6-1)*480+376))</f>
      </c>
      <c r="J390" s="30">
        <f>IF(INDEX(TilgAktiv,($N$6-1)*480+376)=0,"",INDEX(TilgErsatz,($N$6-1)*480+376))</f>
      </c>
      <c r="K390" s="30">
        <f>IF(INDEX(TilgAktiv,($N$6-1)*480+376)=0,"",INDEX(Tilgung!$Q$4:$Q$9603,($N$6-1)*480+376))</f>
      </c>
      <c r="L390" s="30">
        <f>IF(INDEX(TilgAktiv,($N$6-1)*480+376)=0,"",INDEX(Tilgung!$R$4:$R$9603,($N$6-1)*480+376))</f>
      </c>
    </row>
    <row r="391">
      <c r="A391"/>
      <c r="B391" s="36">
        <f>IF(INDEX(TilgAktiv,($N$6-1)*480+377)=0,"",377)</f>
      </c>
      <c r="C391" s="41">
        <f>IF(INDEX(TilgAktiv,($N$6-1)*480+377)=0,"",INDEX(TilgDatum,($N$6-1)*480+377))</f>
      </c>
      <c r="D391" s="31">
        <f>IF(INDEX(TilgAktiv,($N$6-1)*480+377)=0,"",INDEX(Tilgung!$H$4:$H$9603,($N$6-1)*480+377))</f>
      </c>
      <c r="E391" s="30">
        <f>IF(INDEX(TilgAktiv,($N$6-1)*480+377)=0,"",INDEX(Tilgung!$J$4:$J$9603,($N$6-1)*480+377))</f>
      </c>
      <c r="F391" s="30">
        <f>IF(INDEX(TilgAktiv,($N$6-1)*480+377)=0,"",IF(INDEX(TilgTilgung,($N$6-1)*480+377)=0,INDEX(TilgZins,($N$6-1)*480+377),INDEX(TilgZins,($N$6-1)*480+377)+INDEX(TilgTilgung,($N$6-1)*480+377))+INDEX(TilgErsatz,($N$6-1)*480+377))</f>
      </c>
      <c r="G391" s="30">
        <f>IF(INDEX(TilgAktiv,($N$6-1)*480+377)=0,"",INDEX(TilgZins,($N$6-1)*480+377))</f>
      </c>
      <c r="H391" s="30">
        <f>IF(INDEX(TilgAktiv,($N$6-1)*480+377)=0,"",INDEX(TilgTilgung,($N$6-1)*480+377))</f>
      </c>
      <c r="I391" s="30">
        <f>IF(INDEX(TilgAktiv,($N$6-1)*480+377)=0,"",INDEX(TilgSonder,($N$6-1)*480+377))</f>
      </c>
      <c r="J391" s="30">
        <f>IF(INDEX(TilgAktiv,($N$6-1)*480+377)=0,"",INDEX(TilgErsatz,($N$6-1)*480+377))</f>
      </c>
      <c r="K391" s="30">
        <f>IF(INDEX(TilgAktiv,($N$6-1)*480+377)=0,"",INDEX(Tilgung!$Q$4:$Q$9603,($N$6-1)*480+377))</f>
      </c>
      <c r="L391" s="30">
        <f>IF(INDEX(TilgAktiv,($N$6-1)*480+377)=0,"",INDEX(Tilgung!$R$4:$R$9603,($N$6-1)*480+377))</f>
      </c>
    </row>
    <row r="392">
      <c r="A392"/>
      <c r="B392" s="36">
        <f>IF(INDEX(TilgAktiv,($N$6-1)*480+378)=0,"",378)</f>
      </c>
      <c r="C392" s="41">
        <f>IF(INDEX(TilgAktiv,($N$6-1)*480+378)=0,"",INDEX(TilgDatum,($N$6-1)*480+378))</f>
      </c>
      <c r="D392" s="31">
        <f>IF(INDEX(TilgAktiv,($N$6-1)*480+378)=0,"",INDEX(Tilgung!$H$4:$H$9603,($N$6-1)*480+378))</f>
      </c>
      <c r="E392" s="30">
        <f>IF(INDEX(TilgAktiv,($N$6-1)*480+378)=0,"",INDEX(Tilgung!$J$4:$J$9603,($N$6-1)*480+378))</f>
      </c>
      <c r="F392" s="30">
        <f>IF(INDEX(TilgAktiv,($N$6-1)*480+378)=0,"",IF(INDEX(TilgTilgung,($N$6-1)*480+378)=0,INDEX(TilgZins,($N$6-1)*480+378),INDEX(TilgZins,($N$6-1)*480+378)+INDEX(TilgTilgung,($N$6-1)*480+378))+INDEX(TilgErsatz,($N$6-1)*480+378))</f>
      </c>
      <c r="G392" s="30">
        <f>IF(INDEX(TilgAktiv,($N$6-1)*480+378)=0,"",INDEX(TilgZins,($N$6-1)*480+378))</f>
      </c>
      <c r="H392" s="30">
        <f>IF(INDEX(TilgAktiv,($N$6-1)*480+378)=0,"",INDEX(TilgTilgung,($N$6-1)*480+378))</f>
      </c>
      <c r="I392" s="30">
        <f>IF(INDEX(TilgAktiv,($N$6-1)*480+378)=0,"",INDEX(TilgSonder,($N$6-1)*480+378))</f>
      </c>
      <c r="J392" s="30">
        <f>IF(INDEX(TilgAktiv,($N$6-1)*480+378)=0,"",INDEX(TilgErsatz,($N$6-1)*480+378))</f>
      </c>
      <c r="K392" s="30">
        <f>IF(INDEX(TilgAktiv,($N$6-1)*480+378)=0,"",INDEX(Tilgung!$Q$4:$Q$9603,($N$6-1)*480+378))</f>
      </c>
      <c r="L392" s="30">
        <f>IF(INDEX(TilgAktiv,($N$6-1)*480+378)=0,"",INDEX(Tilgung!$R$4:$R$9603,($N$6-1)*480+378))</f>
      </c>
    </row>
    <row r="393">
      <c r="A393"/>
      <c r="B393" s="36">
        <f>IF(INDEX(TilgAktiv,($N$6-1)*480+379)=0,"",379)</f>
      </c>
      <c r="C393" s="41">
        <f>IF(INDEX(TilgAktiv,($N$6-1)*480+379)=0,"",INDEX(TilgDatum,($N$6-1)*480+379))</f>
      </c>
      <c r="D393" s="31">
        <f>IF(INDEX(TilgAktiv,($N$6-1)*480+379)=0,"",INDEX(Tilgung!$H$4:$H$9603,($N$6-1)*480+379))</f>
      </c>
      <c r="E393" s="30">
        <f>IF(INDEX(TilgAktiv,($N$6-1)*480+379)=0,"",INDEX(Tilgung!$J$4:$J$9603,($N$6-1)*480+379))</f>
      </c>
      <c r="F393" s="30">
        <f>IF(INDEX(TilgAktiv,($N$6-1)*480+379)=0,"",IF(INDEX(TilgTilgung,($N$6-1)*480+379)=0,INDEX(TilgZins,($N$6-1)*480+379),INDEX(TilgZins,($N$6-1)*480+379)+INDEX(TilgTilgung,($N$6-1)*480+379))+INDEX(TilgErsatz,($N$6-1)*480+379))</f>
      </c>
      <c r="G393" s="30">
        <f>IF(INDEX(TilgAktiv,($N$6-1)*480+379)=0,"",INDEX(TilgZins,($N$6-1)*480+379))</f>
      </c>
      <c r="H393" s="30">
        <f>IF(INDEX(TilgAktiv,($N$6-1)*480+379)=0,"",INDEX(TilgTilgung,($N$6-1)*480+379))</f>
      </c>
      <c r="I393" s="30">
        <f>IF(INDEX(TilgAktiv,($N$6-1)*480+379)=0,"",INDEX(TilgSonder,($N$6-1)*480+379))</f>
      </c>
      <c r="J393" s="30">
        <f>IF(INDEX(TilgAktiv,($N$6-1)*480+379)=0,"",INDEX(TilgErsatz,($N$6-1)*480+379))</f>
      </c>
      <c r="K393" s="30">
        <f>IF(INDEX(TilgAktiv,($N$6-1)*480+379)=0,"",INDEX(Tilgung!$Q$4:$Q$9603,($N$6-1)*480+379))</f>
      </c>
      <c r="L393" s="30">
        <f>IF(INDEX(TilgAktiv,($N$6-1)*480+379)=0,"",INDEX(Tilgung!$R$4:$R$9603,($N$6-1)*480+379))</f>
      </c>
    </row>
    <row r="394">
      <c r="A394"/>
      <c r="B394" s="36">
        <f>IF(INDEX(TilgAktiv,($N$6-1)*480+380)=0,"",380)</f>
      </c>
      <c r="C394" s="41">
        <f>IF(INDEX(TilgAktiv,($N$6-1)*480+380)=0,"",INDEX(TilgDatum,($N$6-1)*480+380))</f>
      </c>
      <c r="D394" s="31">
        <f>IF(INDEX(TilgAktiv,($N$6-1)*480+380)=0,"",INDEX(Tilgung!$H$4:$H$9603,($N$6-1)*480+380))</f>
      </c>
      <c r="E394" s="30">
        <f>IF(INDEX(TilgAktiv,($N$6-1)*480+380)=0,"",INDEX(Tilgung!$J$4:$J$9603,($N$6-1)*480+380))</f>
      </c>
      <c r="F394" s="30">
        <f>IF(INDEX(TilgAktiv,($N$6-1)*480+380)=0,"",IF(INDEX(TilgTilgung,($N$6-1)*480+380)=0,INDEX(TilgZins,($N$6-1)*480+380),INDEX(TilgZins,($N$6-1)*480+380)+INDEX(TilgTilgung,($N$6-1)*480+380))+INDEX(TilgErsatz,($N$6-1)*480+380))</f>
      </c>
      <c r="G394" s="30">
        <f>IF(INDEX(TilgAktiv,($N$6-1)*480+380)=0,"",INDEX(TilgZins,($N$6-1)*480+380))</f>
      </c>
      <c r="H394" s="30">
        <f>IF(INDEX(TilgAktiv,($N$6-1)*480+380)=0,"",INDEX(TilgTilgung,($N$6-1)*480+380))</f>
      </c>
      <c r="I394" s="30">
        <f>IF(INDEX(TilgAktiv,($N$6-1)*480+380)=0,"",INDEX(TilgSonder,($N$6-1)*480+380))</f>
      </c>
      <c r="J394" s="30">
        <f>IF(INDEX(TilgAktiv,($N$6-1)*480+380)=0,"",INDEX(TilgErsatz,($N$6-1)*480+380))</f>
      </c>
      <c r="K394" s="30">
        <f>IF(INDEX(TilgAktiv,($N$6-1)*480+380)=0,"",INDEX(Tilgung!$Q$4:$Q$9603,($N$6-1)*480+380))</f>
      </c>
      <c r="L394" s="30">
        <f>IF(INDEX(TilgAktiv,($N$6-1)*480+380)=0,"",INDEX(Tilgung!$R$4:$R$9603,($N$6-1)*480+380))</f>
      </c>
    </row>
    <row r="395">
      <c r="A395"/>
      <c r="B395" s="36">
        <f>IF(INDEX(TilgAktiv,($N$6-1)*480+381)=0,"",381)</f>
      </c>
      <c r="C395" s="41">
        <f>IF(INDEX(TilgAktiv,($N$6-1)*480+381)=0,"",INDEX(TilgDatum,($N$6-1)*480+381))</f>
      </c>
      <c r="D395" s="31">
        <f>IF(INDEX(TilgAktiv,($N$6-1)*480+381)=0,"",INDEX(Tilgung!$H$4:$H$9603,($N$6-1)*480+381))</f>
      </c>
      <c r="E395" s="30">
        <f>IF(INDEX(TilgAktiv,($N$6-1)*480+381)=0,"",INDEX(Tilgung!$J$4:$J$9603,($N$6-1)*480+381))</f>
      </c>
      <c r="F395" s="30">
        <f>IF(INDEX(TilgAktiv,($N$6-1)*480+381)=0,"",IF(INDEX(TilgTilgung,($N$6-1)*480+381)=0,INDEX(TilgZins,($N$6-1)*480+381),INDEX(TilgZins,($N$6-1)*480+381)+INDEX(TilgTilgung,($N$6-1)*480+381))+INDEX(TilgErsatz,($N$6-1)*480+381))</f>
      </c>
      <c r="G395" s="30">
        <f>IF(INDEX(TilgAktiv,($N$6-1)*480+381)=0,"",INDEX(TilgZins,($N$6-1)*480+381))</f>
      </c>
      <c r="H395" s="30">
        <f>IF(INDEX(TilgAktiv,($N$6-1)*480+381)=0,"",INDEX(TilgTilgung,($N$6-1)*480+381))</f>
      </c>
      <c r="I395" s="30">
        <f>IF(INDEX(TilgAktiv,($N$6-1)*480+381)=0,"",INDEX(TilgSonder,($N$6-1)*480+381))</f>
      </c>
      <c r="J395" s="30">
        <f>IF(INDEX(TilgAktiv,($N$6-1)*480+381)=0,"",INDEX(TilgErsatz,($N$6-1)*480+381))</f>
      </c>
      <c r="K395" s="30">
        <f>IF(INDEX(TilgAktiv,($N$6-1)*480+381)=0,"",INDEX(Tilgung!$Q$4:$Q$9603,($N$6-1)*480+381))</f>
      </c>
      <c r="L395" s="30">
        <f>IF(INDEX(TilgAktiv,($N$6-1)*480+381)=0,"",INDEX(Tilgung!$R$4:$R$9603,($N$6-1)*480+381))</f>
      </c>
    </row>
    <row r="396">
      <c r="A396"/>
      <c r="B396" s="36">
        <f>IF(INDEX(TilgAktiv,($N$6-1)*480+382)=0,"",382)</f>
      </c>
      <c r="C396" s="41">
        <f>IF(INDEX(TilgAktiv,($N$6-1)*480+382)=0,"",INDEX(TilgDatum,($N$6-1)*480+382))</f>
      </c>
      <c r="D396" s="31">
        <f>IF(INDEX(TilgAktiv,($N$6-1)*480+382)=0,"",INDEX(Tilgung!$H$4:$H$9603,($N$6-1)*480+382))</f>
      </c>
      <c r="E396" s="30">
        <f>IF(INDEX(TilgAktiv,($N$6-1)*480+382)=0,"",INDEX(Tilgung!$J$4:$J$9603,($N$6-1)*480+382))</f>
      </c>
      <c r="F396" s="30">
        <f>IF(INDEX(TilgAktiv,($N$6-1)*480+382)=0,"",IF(INDEX(TilgTilgung,($N$6-1)*480+382)=0,INDEX(TilgZins,($N$6-1)*480+382),INDEX(TilgZins,($N$6-1)*480+382)+INDEX(TilgTilgung,($N$6-1)*480+382))+INDEX(TilgErsatz,($N$6-1)*480+382))</f>
      </c>
      <c r="G396" s="30">
        <f>IF(INDEX(TilgAktiv,($N$6-1)*480+382)=0,"",INDEX(TilgZins,($N$6-1)*480+382))</f>
      </c>
      <c r="H396" s="30">
        <f>IF(INDEX(TilgAktiv,($N$6-1)*480+382)=0,"",INDEX(TilgTilgung,($N$6-1)*480+382))</f>
      </c>
      <c r="I396" s="30">
        <f>IF(INDEX(TilgAktiv,($N$6-1)*480+382)=0,"",INDEX(TilgSonder,($N$6-1)*480+382))</f>
      </c>
      <c r="J396" s="30">
        <f>IF(INDEX(TilgAktiv,($N$6-1)*480+382)=0,"",INDEX(TilgErsatz,($N$6-1)*480+382))</f>
      </c>
      <c r="K396" s="30">
        <f>IF(INDEX(TilgAktiv,($N$6-1)*480+382)=0,"",INDEX(Tilgung!$Q$4:$Q$9603,($N$6-1)*480+382))</f>
      </c>
      <c r="L396" s="30">
        <f>IF(INDEX(TilgAktiv,($N$6-1)*480+382)=0,"",INDEX(Tilgung!$R$4:$R$9603,($N$6-1)*480+382))</f>
      </c>
    </row>
    <row r="397">
      <c r="A397"/>
      <c r="B397" s="36">
        <f>IF(INDEX(TilgAktiv,($N$6-1)*480+383)=0,"",383)</f>
      </c>
      <c r="C397" s="41">
        <f>IF(INDEX(TilgAktiv,($N$6-1)*480+383)=0,"",INDEX(TilgDatum,($N$6-1)*480+383))</f>
      </c>
      <c r="D397" s="31">
        <f>IF(INDEX(TilgAktiv,($N$6-1)*480+383)=0,"",INDEX(Tilgung!$H$4:$H$9603,($N$6-1)*480+383))</f>
      </c>
      <c r="E397" s="30">
        <f>IF(INDEX(TilgAktiv,($N$6-1)*480+383)=0,"",INDEX(Tilgung!$J$4:$J$9603,($N$6-1)*480+383))</f>
      </c>
      <c r="F397" s="30">
        <f>IF(INDEX(TilgAktiv,($N$6-1)*480+383)=0,"",IF(INDEX(TilgTilgung,($N$6-1)*480+383)=0,INDEX(TilgZins,($N$6-1)*480+383),INDEX(TilgZins,($N$6-1)*480+383)+INDEX(TilgTilgung,($N$6-1)*480+383))+INDEX(TilgErsatz,($N$6-1)*480+383))</f>
      </c>
      <c r="G397" s="30">
        <f>IF(INDEX(TilgAktiv,($N$6-1)*480+383)=0,"",INDEX(TilgZins,($N$6-1)*480+383))</f>
      </c>
      <c r="H397" s="30">
        <f>IF(INDEX(TilgAktiv,($N$6-1)*480+383)=0,"",INDEX(TilgTilgung,($N$6-1)*480+383))</f>
      </c>
      <c r="I397" s="30">
        <f>IF(INDEX(TilgAktiv,($N$6-1)*480+383)=0,"",INDEX(TilgSonder,($N$6-1)*480+383))</f>
      </c>
      <c r="J397" s="30">
        <f>IF(INDEX(TilgAktiv,($N$6-1)*480+383)=0,"",INDEX(TilgErsatz,($N$6-1)*480+383))</f>
      </c>
      <c r="K397" s="30">
        <f>IF(INDEX(TilgAktiv,($N$6-1)*480+383)=0,"",INDEX(Tilgung!$Q$4:$Q$9603,($N$6-1)*480+383))</f>
      </c>
      <c r="L397" s="30">
        <f>IF(INDEX(TilgAktiv,($N$6-1)*480+383)=0,"",INDEX(Tilgung!$R$4:$R$9603,($N$6-1)*480+383))</f>
      </c>
    </row>
    <row r="398">
      <c r="A398"/>
      <c r="B398" s="36">
        <f>IF(INDEX(TilgAktiv,($N$6-1)*480+384)=0,"",384)</f>
      </c>
      <c r="C398" s="41">
        <f>IF(INDEX(TilgAktiv,($N$6-1)*480+384)=0,"",INDEX(TilgDatum,($N$6-1)*480+384))</f>
      </c>
      <c r="D398" s="31">
        <f>IF(INDEX(TilgAktiv,($N$6-1)*480+384)=0,"",INDEX(Tilgung!$H$4:$H$9603,($N$6-1)*480+384))</f>
      </c>
      <c r="E398" s="30">
        <f>IF(INDEX(TilgAktiv,($N$6-1)*480+384)=0,"",INDEX(Tilgung!$J$4:$J$9603,($N$6-1)*480+384))</f>
      </c>
      <c r="F398" s="30">
        <f>IF(INDEX(TilgAktiv,($N$6-1)*480+384)=0,"",IF(INDEX(TilgTilgung,($N$6-1)*480+384)=0,INDEX(TilgZins,($N$6-1)*480+384),INDEX(TilgZins,($N$6-1)*480+384)+INDEX(TilgTilgung,($N$6-1)*480+384))+INDEX(TilgErsatz,($N$6-1)*480+384))</f>
      </c>
      <c r="G398" s="30">
        <f>IF(INDEX(TilgAktiv,($N$6-1)*480+384)=0,"",INDEX(TilgZins,($N$6-1)*480+384))</f>
      </c>
      <c r="H398" s="30">
        <f>IF(INDEX(TilgAktiv,($N$6-1)*480+384)=0,"",INDEX(TilgTilgung,($N$6-1)*480+384))</f>
      </c>
      <c r="I398" s="30">
        <f>IF(INDEX(TilgAktiv,($N$6-1)*480+384)=0,"",INDEX(TilgSonder,($N$6-1)*480+384))</f>
      </c>
      <c r="J398" s="30">
        <f>IF(INDEX(TilgAktiv,($N$6-1)*480+384)=0,"",INDEX(TilgErsatz,($N$6-1)*480+384))</f>
      </c>
      <c r="K398" s="30">
        <f>IF(INDEX(TilgAktiv,($N$6-1)*480+384)=0,"",INDEX(Tilgung!$Q$4:$Q$9603,($N$6-1)*480+384))</f>
      </c>
      <c r="L398" s="30">
        <f>IF(INDEX(TilgAktiv,($N$6-1)*480+384)=0,"",INDEX(Tilgung!$R$4:$R$9603,($N$6-1)*480+384))</f>
      </c>
    </row>
    <row r="399">
      <c r="A399"/>
      <c r="B399" s="36">
        <f>IF(INDEX(TilgAktiv,($N$6-1)*480+385)=0,"",385)</f>
      </c>
      <c r="C399" s="41">
        <f>IF(INDEX(TilgAktiv,($N$6-1)*480+385)=0,"",INDEX(TilgDatum,($N$6-1)*480+385))</f>
      </c>
      <c r="D399" s="31">
        <f>IF(INDEX(TilgAktiv,($N$6-1)*480+385)=0,"",INDEX(Tilgung!$H$4:$H$9603,($N$6-1)*480+385))</f>
      </c>
      <c r="E399" s="30">
        <f>IF(INDEX(TilgAktiv,($N$6-1)*480+385)=0,"",INDEX(Tilgung!$J$4:$J$9603,($N$6-1)*480+385))</f>
      </c>
      <c r="F399" s="30">
        <f>IF(INDEX(TilgAktiv,($N$6-1)*480+385)=0,"",IF(INDEX(TilgTilgung,($N$6-1)*480+385)=0,INDEX(TilgZins,($N$6-1)*480+385),INDEX(TilgZins,($N$6-1)*480+385)+INDEX(TilgTilgung,($N$6-1)*480+385))+INDEX(TilgErsatz,($N$6-1)*480+385))</f>
      </c>
      <c r="G399" s="30">
        <f>IF(INDEX(TilgAktiv,($N$6-1)*480+385)=0,"",INDEX(TilgZins,($N$6-1)*480+385))</f>
      </c>
      <c r="H399" s="30">
        <f>IF(INDEX(TilgAktiv,($N$6-1)*480+385)=0,"",INDEX(TilgTilgung,($N$6-1)*480+385))</f>
      </c>
      <c r="I399" s="30">
        <f>IF(INDEX(TilgAktiv,($N$6-1)*480+385)=0,"",INDEX(TilgSonder,($N$6-1)*480+385))</f>
      </c>
      <c r="J399" s="30">
        <f>IF(INDEX(TilgAktiv,($N$6-1)*480+385)=0,"",INDEX(TilgErsatz,($N$6-1)*480+385))</f>
      </c>
      <c r="K399" s="30">
        <f>IF(INDEX(TilgAktiv,($N$6-1)*480+385)=0,"",INDEX(Tilgung!$Q$4:$Q$9603,($N$6-1)*480+385))</f>
      </c>
      <c r="L399" s="30">
        <f>IF(INDEX(TilgAktiv,($N$6-1)*480+385)=0,"",INDEX(Tilgung!$R$4:$R$9603,($N$6-1)*480+385))</f>
      </c>
    </row>
    <row r="400">
      <c r="A400"/>
      <c r="B400" s="36">
        <f>IF(INDEX(TilgAktiv,($N$6-1)*480+386)=0,"",386)</f>
      </c>
      <c r="C400" s="41">
        <f>IF(INDEX(TilgAktiv,($N$6-1)*480+386)=0,"",INDEX(TilgDatum,($N$6-1)*480+386))</f>
      </c>
      <c r="D400" s="31">
        <f>IF(INDEX(TilgAktiv,($N$6-1)*480+386)=0,"",INDEX(Tilgung!$H$4:$H$9603,($N$6-1)*480+386))</f>
      </c>
      <c r="E400" s="30">
        <f>IF(INDEX(TilgAktiv,($N$6-1)*480+386)=0,"",INDEX(Tilgung!$J$4:$J$9603,($N$6-1)*480+386))</f>
      </c>
      <c r="F400" s="30">
        <f>IF(INDEX(TilgAktiv,($N$6-1)*480+386)=0,"",IF(INDEX(TilgTilgung,($N$6-1)*480+386)=0,INDEX(TilgZins,($N$6-1)*480+386),INDEX(TilgZins,($N$6-1)*480+386)+INDEX(TilgTilgung,($N$6-1)*480+386))+INDEX(TilgErsatz,($N$6-1)*480+386))</f>
      </c>
      <c r="G400" s="30">
        <f>IF(INDEX(TilgAktiv,($N$6-1)*480+386)=0,"",INDEX(TilgZins,($N$6-1)*480+386))</f>
      </c>
      <c r="H400" s="30">
        <f>IF(INDEX(TilgAktiv,($N$6-1)*480+386)=0,"",INDEX(TilgTilgung,($N$6-1)*480+386))</f>
      </c>
      <c r="I400" s="30">
        <f>IF(INDEX(TilgAktiv,($N$6-1)*480+386)=0,"",INDEX(TilgSonder,($N$6-1)*480+386))</f>
      </c>
      <c r="J400" s="30">
        <f>IF(INDEX(TilgAktiv,($N$6-1)*480+386)=0,"",INDEX(TilgErsatz,($N$6-1)*480+386))</f>
      </c>
      <c r="K400" s="30">
        <f>IF(INDEX(TilgAktiv,($N$6-1)*480+386)=0,"",INDEX(Tilgung!$Q$4:$Q$9603,($N$6-1)*480+386))</f>
      </c>
      <c r="L400" s="30">
        <f>IF(INDEX(TilgAktiv,($N$6-1)*480+386)=0,"",INDEX(Tilgung!$R$4:$R$9603,($N$6-1)*480+386))</f>
      </c>
    </row>
    <row r="401">
      <c r="A401"/>
      <c r="B401" s="36">
        <f>IF(INDEX(TilgAktiv,($N$6-1)*480+387)=0,"",387)</f>
      </c>
      <c r="C401" s="41">
        <f>IF(INDEX(TilgAktiv,($N$6-1)*480+387)=0,"",INDEX(TilgDatum,($N$6-1)*480+387))</f>
      </c>
      <c r="D401" s="31">
        <f>IF(INDEX(TilgAktiv,($N$6-1)*480+387)=0,"",INDEX(Tilgung!$H$4:$H$9603,($N$6-1)*480+387))</f>
      </c>
      <c r="E401" s="30">
        <f>IF(INDEX(TilgAktiv,($N$6-1)*480+387)=0,"",INDEX(Tilgung!$J$4:$J$9603,($N$6-1)*480+387))</f>
      </c>
      <c r="F401" s="30">
        <f>IF(INDEX(TilgAktiv,($N$6-1)*480+387)=0,"",IF(INDEX(TilgTilgung,($N$6-1)*480+387)=0,INDEX(TilgZins,($N$6-1)*480+387),INDEX(TilgZins,($N$6-1)*480+387)+INDEX(TilgTilgung,($N$6-1)*480+387))+INDEX(TilgErsatz,($N$6-1)*480+387))</f>
      </c>
      <c r="G401" s="30">
        <f>IF(INDEX(TilgAktiv,($N$6-1)*480+387)=0,"",INDEX(TilgZins,($N$6-1)*480+387))</f>
      </c>
      <c r="H401" s="30">
        <f>IF(INDEX(TilgAktiv,($N$6-1)*480+387)=0,"",INDEX(TilgTilgung,($N$6-1)*480+387))</f>
      </c>
      <c r="I401" s="30">
        <f>IF(INDEX(TilgAktiv,($N$6-1)*480+387)=0,"",INDEX(TilgSonder,($N$6-1)*480+387))</f>
      </c>
      <c r="J401" s="30">
        <f>IF(INDEX(TilgAktiv,($N$6-1)*480+387)=0,"",INDEX(TilgErsatz,($N$6-1)*480+387))</f>
      </c>
      <c r="K401" s="30">
        <f>IF(INDEX(TilgAktiv,($N$6-1)*480+387)=0,"",INDEX(Tilgung!$Q$4:$Q$9603,($N$6-1)*480+387))</f>
      </c>
      <c r="L401" s="30">
        <f>IF(INDEX(TilgAktiv,($N$6-1)*480+387)=0,"",INDEX(Tilgung!$R$4:$R$9603,($N$6-1)*480+387))</f>
      </c>
    </row>
    <row r="402">
      <c r="A402"/>
      <c r="B402" s="36">
        <f>IF(INDEX(TilgAktiv,($N$6-1)*480+388)=0,"",388)</f>
      </c>
      <c r="C402" s="41">
        <f>IF(INDEX(TilgAktiv,($N$6-1)*480+388)=0,"",INDEX(TilgDatum,($N$6-1)*480+388))</f>
      </c>
      <c r="D402" s="31">
        <f>IF(INDEX(TilgAktiv,($N$6-1)*480+388)=0,"",INDEX(Tilgung!$H$4:$H$9603,($N$6-1)*480+388))</f>
      </c>
      <c r="E402" s="30">
        <f>IF(INDEX(TilgAktiv,($N$6-1)*480+388)=0,"",INDEX(Tilgung!$J$4:$J$9603,($N$6-1)*480+388))</f>
      </c>
      <c r="F402" s="30">
        <f>IF(INDEX(TilgAktiv,($N$6-1)*480+388)=0,"",IF(INDEX(TilgTilgung,($N$6-1)*480+388)=0,INDEX(TilgZins,($N$6-1)*480+388),INDEX(TilgZins,($N$6-1)*480+388)+INDEX(TilgTilgung,($N$6-1)*480+388))+INDEX(TilgErsatz,($N$6-1)*480+388))</f>
      </c>
      <c r="G402" s="30">
        <f>IF(INDEX(TilgAktiv,($N$6-1)*480+388)=0,"",INDEX(TilgZins,($N$6-1)*480+388))</f>
      </c>
      <c r="H402" s="30">
        <f>IF(INDEX(TilgAktiv,($N$6-1)*480+388)=0,"",INDEX(TilgTilgung,($N$6-1)*480+388))</f>
      </c>
      <c r="I402" s="30">
        <f>IF(INDEX(TilgAktiv,($N$6-1)*480+388)=0,"",INDEX(TilgSonder,($N$6-1)*480+388))</f>
      </c>
      <c r="J402" s="30">
        <f>IF(INDEX(TilgAktiv,($N$6-1)*480+388)=0,"",INDEX(TilgErsatz,($N$6-1)*480+388))</f>
      </c>
      <c r="K402" s="30">
        <f>IF(INDEX(TilgAktiv,($N$6-1)*480+388)=0,"",INDEX(Tilgung!$Q$4:$Q$9603,($N$6-1)*480+388))</f>
      </c>
      <c r="L402" s="30">
        <f>IF(INDEX(TilgAktiv,($N$6-1)*480+388)=0,"",INDEX(Tilgung!$R$4:$R$9603,($N$6-1)*480+388))</f>
      </c>
    </row>
    <row r="403">
      <c r="A403"/>
      <c r="B403" s="36">
        <f>IF(INDEX(TilgAktiv,($N$6-1)*480+389)=0,"",389)</f>
      </c>
      <c r="C403" s="41">
        <f>IF(INDEX(TilgAktiv,($N$6-1)*480+389)=0,"",INDEX(TilgDatum,($N$6-1)*480+389))</f>
      </c>
      <c r="D403" s="31">
        <f>IF(INDEX(TilgAktiv,($N$6-1)*480+389)=0,"",INDEX(Tilgung!$H$4:$H$9603,($N$6-1)*480+389))</f>
      </c>
      <c r="E403" s="30">
        <f>IF(INDEX(TilgAktiv,($N$6-1)*480+389)=0,"",INDEX(Tilgung!$J$4:$J$9603,($N$6-1)*480+389))</f>
      </c>
      <c r="F403" s="30">
        <f>IF(INDEX(TilgAktiv,($N$6-1)*480+389)=0,"",IF(INDEX(TilgTilgung,($N$6-1)*480+389)=0,INDEX(TilgZins,($N$6-1)*480+389),INDEX(TilgZins,($N$6-1)*480+389)+INDEX(TilgTilgung,($N$6-1)*480+389))+INDEX(TilgErsatz,($N$6-1)*480+389))</f>
      </c>
      <c r="G403" s="30">
        <f>IF(INDEX(TilgAktiv,($N$6-1)*480+389)=0,"",INDEX(TilgZins,($N$6-1)*480+389))</f>
      </c>
      <c r="H403" s="30">
        <f>IF(INDEX(TilgAktiv,($N$6-1)*480+389)=0,"",INDEX(TilgTilgung,($N$6-1)*480+389))</f>
      </c>
      <c r="I403" s="30">
        <f>IF(INDEX(TilgAktiv,($N$6-1)*480+389)=0,"",INDEX(TilgSonder,($N$6-1)*480+389))</f>
      </c>
      <c r="J403" s="30">
        <f>IF(INDEX(TilgAktiv,($N$6-1)*480+389)=0,"",INDEX(TilgErsatz,($N$6-1)*480+389))</f>
      </c>
      <c r="K403" s="30">
        <f>IF(INDEX(TilgAktiv,($N$6-1)*480+389)=0,"",INDEX(Tilgung!$Q$4:$Q$9603,($N$6-1)*480+389))</f>
      </c>
      <c r="L403" s="30">
        <f>IF(INDEX(TilgAktiv,($N$6-1)*480+389)=0,"",INDEX(Tilgung!$R$4:$R$9603,($N$6-1)*480+389))</f>
      </c>
    </row>
    <row r="404">
      <c r="A404"/>
      <c r="B404" s="36">
        <f>IF(INDEX(TilgAktiv,($N$6-1)*480+390)=0,"",390)</f>
      </c>
      <c r="C404" s="41">
        <f>IF(INDEX(TilgAktiv,($N$6-1)*480+390)=0,"",INDEX(TilgDatum,($N$6-1)*480+390))</f>
      </c>
      <c r="D404" s="31">
        <f>IF(INDEX(TilgAktiv,($N$6-1)*480+390)=0,"",INDEX(Tilgung!$H$4:$H$9603,($N$6-1)*480+390))</f>
      </c>
      <c r="E404" s="30">
        <f>IF(INDEX(TilgAktiv,($N$6-1)*480+390)=0,"",INDEX(Tilgung!$J$4:$J$9603,($N$6-1)*480+390))</f>
      </c>
      <c r="F404" s="30">
        <f>IF(INDEX(TilgAktiv,($N$6-1)*480+390)=0,"",IF(INDEX(TilgTilgung,($N$6-1)*480+390)=0,INDEX(TilgZins,($N$6-1)*480+390),INDEX(TilgZins,($N$6-1)*480+390)+INDEX(TilgTilgung,($N$6-1)*480+390))+INDEX(TilgErsatz,($N$6-1)*480+390))</f>
      </c>
      <c r="G404" s="30">
        <f>IF(INDEX(TilgAktiv,($N$6-1)*480+390)=0,"",INDEX(TilgZins,($N$6-1)*480+390))</f>
      </c>
      <c r="H404" s="30">
        <f>IF(INDEX(TilgAktiv,($N$6-1)*480+390)=0,"",INDEX(TilgTilgung,($N$6-1)*480+390))</f>
      </c>
      <c r="I404" s="30">
        <f>IF(INDEX(TilgAktiv,($N$6-1)*480+390)=0,"",INDEX(TilgSonder,($N$6-1)*480+390))</f>
      </c>
      <c r="J404" s="30">
        <f>IF(INDEX(TilgAktiv,($N$6-1)*480+390)=0,"",INDEX(TilgErsatz,($N$6-1)*480+390))</f>
      </c>
      <c r="K404" s="30">
        <f>IF(INDEX(TilgAktiv,($N$6-1)*480+390)=0,"",INDEX(Tilgung!$Q$4:$Q$9603,($N$6-1)*480+390))</f>
      </c>
      <c r="L404" s="30">
        <f>IF(INDEX(TilgAktiv,($N$6-1)*480+390)=0,"",INDEX(Tilgung!$R$4:$R$9603,($N$6-1)*480+390))</f>
      </c>
    </row>
    <row r="405">
      <c r="A405"/>
      <c r="B405" s="36">
        <f>IF(INDEX(TilgAktiv,($N$6-1)*480+391)=0,"",391)</f>
      </c>
      <c r="C405" s="41">
        <f>IF(INDEX(TilgAktiv,($N$6-1)*480+391)=0,"",INDEX(TilgDatum,($N$6-1)*480+391))</f>
      </c>
      <c r="D405" s="31">
        <f>IF(INDEX(TilgAktiv,($N$6-1)*480+391)=0,"",INDEX(Tilgung!$H$4:$H$9603,($N$6-1)*480+391))</f>
      </c>
      <c r="E405" s="30">
        <f>IF(INDEX(TilgAktiv,($N$6-1)*480+391)=0,"",INDEX(Tilgung!$J$4:$J$9603,($N$6-1)*480+391))</f>
      </c>
      <c r="F405" s="30">
        <f>IF(INDEX(TilgAktiv,($N$6-1)*480+391)=0,"",IF(INDEX(TilgTilgung,($N$6-1)*480+391)=0,INDEX(TilgZins,($N$6-1)*480+391),INDEX(TilgZins,($N$6-1)*480+391)+INDEX(TilgTilgung,($N$6-1)*480+391))+INDEX(TilgErsatz,($N$6-1)*480+391))</f>
      </c>
      <c r="G405" s="30">
        <f>IF(INDEX(TilgAktiv,($N$6-1)*480+391)=0,"",INDEX(TilgZins,($N$6-1)*480+391))</f>
      </c>
      <c r="H405" s="30">
        <f>IF(INDEX(TilgAktiv,($N$6-1)*480+391)=0,"",INDEX(TilgTilgung,($N$6-1)*480+391))</f>
      </c>
      <c r="I405" s="30">
        <f>IF(INDEX(TilgAktiv,($N$6-1)*480+391)=0,"",INDEX(TilgSonder,($N$6-1)*480+391))</f>
      </c>
      <c r="J405" s="30">
        <f>IF(INDEX(TilgAktiv,($N$6-1)*480+391)=0,"",INDEX(TilgErsatz,($N$6-1)*480+391))</f>
      </c>
      <c r="K405" s="30">
        <f>IF(INDEX(TilgAktiv,($N$6-1)*480+391)=0,"",INDEX(Tilgung!$Q$4:$Q$9603,($N$6-1)*480+391))</f>
      </c>
      <c r="L405" s="30">
        <f>IF(INDEX(TilgAktiv,($N$6-1)*480+391)=0,"",INDEX(Tilgung!$R$4:$R$9603,($N$6-1)*480+391))</f>
      </c>
    </row>
    <row r="406">
      <c r="A406"/>
      <c r="B406" s="36">
        <f>IF(INDEX(TilgAktiv,($N$6-1)*480+392)=0,"",392)</f>
      </c>
      <c r="C406" s="41">
        <f>IF(INDEX(TilgAktiv,($N$6-1)*480+392)=0,"",INDEX(TilgDatum,($N$6-1)*480+392))</f>
      </c>
      <c r="D406" s="31">
        <f>IF(INDEX(TilgAktiv,($N$6-1)*480+392)=0,"",INDEX(Tilgung!$H$4:$H$9603,($N$6-1)*480+392))</f>
      </c>
      <c r="E406" s="30">
        <f>IF(INDEX(TilgAktiv,($N$6-1)*480+392)=0,"",INDEX(Tilgung!$J$4:$J$9603,($N$6-1)*480+392))</f>
      </c>
      <c r="F406" s="30">
        <f>IF(INDEX(TilgAktiv,($N$6-1)*480+392)=0,"",IF(INDEX(TilgTilgung,($N$6-1)*480+392)=0,INDEX(TilgZins,($N$6-1)*480+392),INDEX(TilgZins,($N$6-1)*480+392)+INDEX(TilgTilgung,($N$6-1)*480+392))+INDEX(TilgErsatz,($N$6-1)*480+392))</f>
      </c>
      <c r="G406" s="30">
        <f>IF(INDEX(TilgAktiv,($N$6-1)*480+392)=0,"",INDEX(TilgZins,($N$6-1)*480+392))</f>
      </c>
      <c r="H406" s="30">
        <f>IF(INDEX(TilgAktiv,($N$6-1)*480+392)=0,"",INDEX(TilgTilgung,($N$6-1)*480+392))</f>
      </c>
      <c r="I406" s="30">
        <f>IF(INDEX(TilgAktiv,($N$6-1)*480+392)=0,"",INDEX(TilgSonder,($N$6-1)*480+392))</f>
      </c>
      <c r="J406" s="30">
        <f>IF(INDEX(TilgAktiv,($N$6-1)*480+392)=0,"",INDEX(TilgErsatz,($N$6-1)*480+392))</f>
      </c>
      <c r="K406" s="30">
        <f>IF(INDEX(TilgAktiv,($N$6-1)*480+392)=0,"",INDEX(Tilgung!$Q$4:$Q$9603,($N$6-1)*480+392))</f>
      </c>
      <c r="L406" s="30">
        <f>IF(INDEX(TilgAktiv,($N$6-1)*480+392)=0,"",INDEX(Tilgung!$R$4:$R$9603,($N$6-1)*480+392))</f>
      </c>
    </row>
    <row r="407">
      <c r="A407"/>
      <c r="B407" s="36">
        <f>IF(INDEX(TilgAktiv,($N$6-1)*480+393)=0,"",393)</f>
      </c>
      <c r="C407" s="41">
        <f>IF(INDEX(TilgAktiv,($N$6-1)*480+393)=0,"",INDEX(TilgDatum,($N$6-1)*480+393))</f>
      </c>
      <c r="D407" s="31">
        <f>IF(INDEX(TilgAktiv,($N$6-1)*480+393)=0,"",INDEX(Tilgung!$H$4:$H$9603,($N$6-1)*480+393))</f>
      </c>
      <c r="E407" s="30">
        <f>IF(INDEX(TilgAktiv,($N$6-1)*480+393)=0,"",INDEX(Tilgung!$J$4:$J$9603,($N$6-1)*480+393))</f>
      </c>
      <c r="F407" s="30">
        <f>IF(INDEX(TilgAktiv,($N$6-1)*480+393)=0,"",IF(INDEX(TilgTilgung,($N$6-1)*480+393)=0,INDEX(TilgZins,($N$6-1)*480+393),INDEX(TilgZins,($N$6-1)*480+393)+INDEX(TilgTilgung,($N$6-1)*480+393))+INDEX(TilgErsatz,($N$6-1)*480+393))</f>
      </c>
      <c r="G407" s="30">
        <f>IF(INDEX(TilgAktiv,($N$6-1)*480+393)=0,"",INDEX(TilgZins,($N$6-1)*480+393))</f>
      </c>
      <c r="H407" s="30">
        <f>IF(INDEX(TilgAktiv,($N$6-1)*480+393)=0,"",INDEX(TilgTilgung,($N$6-1)*480+393))</f>
      </c>
      <c r="I407" s="30">
        <f>IF(INDEX(TilgAktiv,($N$6-1)*480+393)=0,"",INDEX(TilgSonder,($N$6-1)*480+393))</f>
      </c>
      <c r="J407" s="30">
        <f>IF(INDEX(TilgAktiv,($N$6-1)*480+393)=0,"",INDEX(TilgErsatz,($N$6-1)*480+393))</f>
      </c>
      <c r="K407" s="30">
        <f>IF(INDEX(TilgAktiv,($N$6-1)*480+393)=0,"",INDEX(Tilgung!$Q$4:$Q$9603,($N$6-1)*480+393))</f>
      </c>
      <c r="L407" s="30">
        <f>IF(INDEX(TilgAktiv,($N$6-1)*480+393)=0,"",INDEX(Tilgung!$R$4:$R$9603,($N$6-1)*480+393))</f>
      </c>
    </row>
    <row r="408">
      <c r="A408"/>
      <c r="B408" s="36">
        <f>IF(INDEX(TilgAktiv,($N$6-1)*480+394)=0,"",394)</f>
      </c>
      <c r="C408" s="41">
        <f>IF(INDEX(TilgAktiv,($N$6-1)*480+394)=0,"",INDEX(TilgDatum,($N$6-1)*480+394))</f>
      </c>
      <c r="D408" s="31">
        <f>IF(INDEX(TilgAktiv,($N$6-1)*480+394)=0,"",INDEX(Tilgung!$H$4:$H$9603,($N$6-1)*480+394))</f>
      </c>
      <c r="E408" s="30">
        <f>IF(INDEX(TilgAktiv,($N$6-1)*480+394)=0,"",INDEX(Tilgung!$J$4:$J$9603,($N$6-1)*480+394))</f>
      </c>
      <c r="F408" s="30">
        <f>IF(INDEX(TilgAktiv,($N$6-1)*480+394)=0,"",IF(INDEX(TilgTilgung,($N$6-1)*480+394)=0,INDEX(TilgZins,($N$6-1)*480+394),INDEX(TilgZins,($N$6-1)*480+394)+INDEX(TilgTilgung,($N$6-1)*480+394))+INDEX(TilgErsatz,($N$6-1)*480+394))</f>
      </c>
      <c r="G408" s="30">
        <f>IF(INDEX(TilgAktiv,($N$6-1)*480+394)=0,"",INDEX(TilgZins,($N$6-1)*480+394))</f>
      </c>
      <c r="H408" s="30">
        <f>IF(INDEX(TilgAktiv,($N$6-1)*480+394)=0,"",INDEX(TilgTilgung,($N$6-1)*480+394))</f>
      </c>
      <c r="I408" s="30">
        <f>IF(INDEX(TilgAktiv,($N$6-1)*480+394)=0,"",INDEX(TilgSonder,($N$6-1)*480+394))</f>
      </c>
      <c r="J408" s="30">
        <f>IF(INDEX(TilgAktiv,($N$6-1)*480+394)=0,"",INDEX(TilgErsatz,($N$6-1)*480+394))</f>
      </c>
      <c r="K408" s="30">
        <f>IF(INDEX(TilgAktiv,($N$6-1)*480+394)=0,"",INDEX(Tilgung!$Q$4:$Q$9603,($N$6-1)*480+394))</f>
      </c>
      <c r="L408" s="30">
        <f>IF(INDEX(TilgAktiv,($N$6-1)*480+394)=0,"",INDEX(Tilgung!$R$4:$R$9603,($N$6-1)*480+394))</f>
      </c>
    </row>
    <row r="409">
      <c r="A409"/>
      <c r="B409" s="36">
        <f>IF(INDEX(TilgAktiv,($N$6-1)*480+395)=0,"",395)</f>
      </c>
      <c r="C409" s="41">
        <f>IF(INDEX(TilgAktiv,($N$6-1)*480+395)=0,"",INDEX(TilgDatum,($N$6-1)*480+395))</f>
      </c>
      <c r="D409" s="31">
        <f>IF(INDEX(TilgAktiv,($N$6-1)*480+395)=0,"",INDEX(Tilgung!$H$4:$H$9603,($N$6-1)*480+395))</f>
      </c>
      <c r="E409" s="30">
        <f>IF(INDEX(TilgAktiv,($N$6-1)*480+395)=0,"",INDEX(Tilgung!$J$4:$J$9603,($N$6-1)*480+395))</f>
      </c>
      <c r="F409" s="30">
        <f>IF(INDEX(TilgAktiv,($N$6-1)*480+395)=0,"",IF(INDEX(TilgTilgung,($N$6-1)*480+395)=0,INDEX(TilgZins,($N$6-1)*480+395),INDEX(TilgZins,($N$6-1)*480+395)+INDEX(TilgTilgung,($N$6-1)*480+395))+INDEX(TilgErsatz,($N$6-1)*480+395))</f>
      </c>
      <c r="G409" s="30">
        <f>IF(INDEX(TilgAktiv,($N$6-1)*480+395)=0,"",INDEX(TilgZins,($N$6-1)*480+395))</f>
      </c>
      <c r="H409" s="30">
        <f>IF(INDEX(TilgAktiv,($N$6-1)*480+395)=0,"",INDEX(TilgTilgung,($N$6-1)*480+395))</f>
      </c>
      <c r="I409" s="30">
        <f>IF(INDEX(TilgAktiv,($N$6-1)*480+395)=0,"",INDEX(TilgSonder,($N$6-1)*480+395))</f>
      </c>
      <c r="J409" s="30">
        <f>IF(INDEX(TilgAktiv,($N$6-1)*480+395)=0,"",INDEX(TilgErsatz,($N$6-1)*480+395))</f>
      </c>
      <c r="K409" s="30">
        <f>IF(INDEX(TilgAktiv,($N$6-1)*480+395)=0,"",INDEX(Tilgung!$Q$4:$Q$9603,($N$6-1)*480+395))</f>
      </c>
      <c r="L409" s="30">
        <f>IF(INDEX(TilgAktiv,($N$6-1)*480+395)=0,"",INDEX(Tilgung!$R$4:$R$9603,($N$6-1)*480+395))</f>
      </c>
    </row>
    <row r="410">
      <c r="A410"/>
      <c r="B410" s="36">
        <f>IF(INDEX(TilgAktiv,($N$6-1)*480+396)=0,"",396)</f>
      </c>
      <c r="C410" s="41">
        <f>IF(INDEX(TilgAktiv,($N$6-1)*480+396)=0,"",INDEX(TilgDatum,($N$6-1)*480+396))</f>
      </c>
      <c r="D410" s="31">
        <f>IF(INDEX(TilgAktiv,($N$6-1)*480+396)=0,"",INDEX(Tilgung!$H$4:$H$9603,($N$6-1)*480+396))</f>
      </c>
      <c r="E410" s="30">
        <f>IF(INDEX(TilgAktiv,($N$6-1)*480+396)=0,"",INDEX(Tilgung!$J$4:$J$9603,($N$6-1)*480+396))</f>
      </c>
      <c r="F410" s="30">
        <f>IF(INDEX(TilgAktiv,($N$6-1)*480+396)=0,"",IF(INDEX(TilgTilgung,($N$6-1)*480+396)=0,INDEX(TilgZins,($N$6-1)*480+396),INDEX(TilgZins,($N$6-1)*480+396)+INDEX(TilgTilgung,($N$6-1)*480+396))+INDEX(TilgErsatz,($N$6-1)*480+396))</f>
      </c>
      <c r="G410" s="30">
        <f>IF(INDEX(TilgAktiv,($N$6-1)*480+396)=0,"",INDEX(TilgZins,($N$6-1)*480+396))</f>
      </c>
      <c r="H410" s="30">
        <f>IF(INDEX(TilgAktiv,($N$6-1)*480+396)=0,"",INDEX(TilgTilgung,($N$6-1)*480+396))</f>
      </c>
      <c r="I410" s="30">
        <f>IF(INDEX(TilgAktiv,($N$6-1)*480+396)=0,"",INDEX(TilgSonder,($N$6-1)*480+396))</f>
      </c>
      <c r="J410" s="30">
        <f>IF(INDEX(TilgAktiv,($N$6-1)*480+396)=0,"",INDEX(TilgErsatz,($N$6-1)*480+396))</f>
      </c>
      <c r="K410" s="30">
        <f>IF(INDEX(TilgAktiv,($N$6-1)*480+396)=0,"",INDEX(Tilgung!$Q$4:$Q$9603,($N$6-1)*480+396))</f>
      </c>
      <c r="L410" s="30">
        <f>IF(INDEX(TilgAktiv,($N$6-1)*480+396)=0,"",INDEX(Tilgung!$R$4:$R$9603,($N$6-1)*480+396))</f>
      </c>
    </row>
    <row r="411">
      <c r="A411"/>
      <c r="B411" s="36">
        <f>IF(INDEX(TilgAktiv,($N$6-1)*480+397)=0,"",397)</f>
      </c>
      <c r="C411" s="41">
        <f>IF(INDEX(TilgAktiv,($N$6-1)*480+397)=0,"",INDEX(TilgDatum,($N$6-1)*480+397))</f>
      </c>
      <c r="D411" s="31">
        <f>IF(INDEX(TilgAktiv,($N$6-1)*480+397)=0,"",INDEX(Tilgung!$H$4:$H$9603,($N$6-1)*480+397))</f>
      </c>
      <c r="E411" s="30">
        <f>IF(INDEX(TilgAktiv,($N$6-1)*480+397)=0,"",INDEX(Tilgung!$J$4:$J$9603,($N$6-1)*480+397))</f>
      </c>
      <c r="F411" s="30">
        <f>IF(INDEX(TilgAktiv,($N$6-1)*480+397)=0,"",IF(INDEX(TilgTilgung,($N$6-1)*480+397)=0,INDEX(TilgZins,($N$6-1)*480+397),INDEX(TilgZins,($N$6-1)*480+397)+INDEX(TilgTilgung,($N$6-1)*480+397))+INDEX(TilgErsatz,($N$6-1)*480+397))</f>
      </c>
      <c r="G411" s="30">
        <f>IF(INDEX(TilgAktiv,($N$6-1)*480+397)=0,"",INDEX(TilgZins,($N$6-1)*480+397))</f>
      </c>
      <c r="H411" s="30">
        <f>IF(INDEX(TilgAktiv,($N$6-1)*480+397)=0,"",INDEX(TilgTilgung,($N$6-1)*480+397))</f>
      </c>
      <c r="I411" s="30">
        <f>IF(INDEX(TilgAktiv,($N$6-1)*480+397)=0,"",INDEX(TilgSonder,($N$6-1)*480+397))</f>
      </c>
      <c r="J411" s="30">
        <f>IF(INDEX(TilgAktiv,($N$6-1)*480+397)=0,"",INDEX(TilgErsatz,($N$6-1)*480+397))</f>
      </c>
      <c r="K411" s="30">
        <f>IF(INDEX(TilgAktiv,($N$6-1)*480+397)=0,"",INDEX(Tilgung!$Q$4:$Q$9603,($N$6-1)*480+397))</f>
      </c>
      <c r="L411" s="30">
        <f>IF(INDEX(TilgAktiv,($N$6-1)*480+397)=0,"",INDEX(Tilgung!$R$4:$R$9603,($N$6-1)*480+397))</f>
      </c>
    </row>
    <row r="412">
      <c r="A412"/>
      <c r="B412" s="36">
        <f>IF(INDEX(TilgAktiv,($N$6-1)*480+398)=0,"",398)</f>
      </c>
      <c r="C412" s="41">
        <f>IF(INDEX(TilgAktiv,($N$6-1)*480+398)=0,"",INDEX(TilgDatum,($N$6-1)*480+398))</f>
      </c>
      <c r="D412" s="31">
        <f>IF(INDEX(TilgAktiv,($N$6-1)*480+398)=0,"",INDEX(Tilgung!$H$4:$H$9603,($N$6-1)*480+398))</f>
      </c>
      <c r="E412" s="30">
        <f>IF(INDEX(TilgAktiv,($N$6-1)*480+398)=0,"",INDEX(Tilgung!$J$4:$J$9603,($N$6-1)*480+398))</f>
      </c>
      <c r="F412" s="30">
        <f>IF(INDEX(TilgAktiv,($N$6-1)*480+398)=0,"",IF(INDEX(TilgTilgung,($N$6-1)*480+398)=0,INDEX(TilgZins,($N$6-1)*480+398),INDEX(TilgZins,($N$6-1)*480+398)+INDEX(TilgTilgung,($N$6-1)*480+398))+INDEX(TilgErsatz,($N$6-1)*480+398))</f>
      </c>
      <c r="G412" s="30">
        <f>IF(INDEX(TilgAktiv,($N$6-1)*480+398)=0,"",INDEX(TilgZins,($N$6-1)*480+398))</f>
      </c>
      <c r="H412" s="30">
        <f>IF(INDEX(TilgAktiv,($N$6-1)*480+398)=0,"",INDEX(TilgTilgung,($N$6-1)*480+398))</f>
      </c>
      <c r="I412" s="30">
        <f>IF(INDEX(TilgAktiv,($N$6-1)*480+398)=0,"",INDEX(TilgSonder,($N$6-1)*480+398))</f>
      </c>
      <c r="J412" s="30">
        <f>IF(INDEX(TilgAktiv,($N$6-1)*480+398)=0,"",INDEX(TilgErsatz,($N$6-1)*480+398))</f>
      </c>
      <c r="K412" s="30">
        <f>IF(INDEX(TilgAktiv,($N$6-1)*480+398)=0,"",INDEX(Tilgung!$Q$4:$Q$9603,($N$6-1)*480+398))</f>
      </c>
      <c r="L412" s="30">
        <f>IF(INDEX(TilgAktiv,($N$6-1)*480+398)=0,"",INDEX(Tilgung!$R$4:$R$9603,($N$6-1)*480+398))</f>
      </c>
    </row>
    <row r="413">
      <c r="A413"/>
      <c r="B413" s="36">
        <f>IF(INDEX(TilgAktiv,($N$6-1)*480+399)=0,"",399)</f>
      </c>
      <c r="C413" s="41">
        <f>IF(INDEX(TilgAktiv,($N$6-1)*480+399)=0,"",INDEX(TilgDatum,($N$6-1)*480+399))</f>
      </c>
      <c r="D413" s="31">
        <f>IF(INDEX(TilgAktiv,($N$6-1)*480+399)=0,"",INDEX(Tilgung!$H$4:$H$9603,($N$6-1)*480+399))</f>
      </c>
      <c r="E413" s="30">
        <f>IF(INDEX(TilgAktiv,($N$6-1)*480+399)=0,"",INDEX(Tilgung!$J$4:$J$9603,($N$6-1)*480+399))</f>
      </c>
      <c r="F413" s="30">
        <f>IF(INDEX(TilgAktiv,($N$6-1)*480+399)=0,"",IF(INDEX(TilgTilgung,($N$6-1)*480+399)=0,INDEX(TilgZins,($N$6-1)*480+399),INDEX(TilgZins,($N$6-1)*480+399)+INDEX(TilgTilgung,($N$6-1)*480+399))+INDEX(TilgErsatz,($N$6-1)*480+399))</f>
      </c>
      <c r="G413" s="30">
        <f>IF(INDEX(TilgAktiv,($N$6-1)*480+399)=0,"",INDEX(TilgZins,($N$6-1)*480+399))</f>
      </c>
      <c r="H413" s="30">
        <f>IF(INDEX(TilgAktiv,($N$6-1)*480+399)=0,"",INDEX(TilgTilgung,($N$6-1)*480+399))</f>
      </c>
      <c r="I413" s="30">
        <f>IF(INDEX(TilgAktiv,($N$6-1)*480+399)=0,"",INDEX(TilgSonder,($N$6-1)*480+399))</f>
      </c>
      <c r="J413" s="30">
        <f>IF(INDEX(TilgAktiv,($N$6-1)*480+399)=0,"",INDEX(TilgErsatz,($N$6-1)*480+399))</f>
      </c>
      <c r="K413" s="30">
        <f>IF(INDEX(TilgAktiv,($N$6-1)*480+399)=0,"",INDEX(Tilgung!$Q$4:$Q$9603,($N$6-1)*480+399))</f>
      </c>
      <c r="L413" s="30">
        <f>IF(INDEX(TilgAktiv,($N$6-1)*480+399)=0,"",INDEX(Tilgung!$R$4:$R$9603,($N$6-1)*480+399))</f>
      </c>
    </row>
    <row r="414">
      <c r="A414"/>
      <c r="B414" s="36">
        <f>IF(INDEX(TilgAktiv,($N$6-1)*480+400)=0,"",400)</f>
      </c>
      <c r="C414" s="41">
        <f>IF(INDEX(TilgAktiv,($N$6-1)*480+400)=0,"",INDEX(TilgDatum,($N$6-1)*480+400))</f>
      </c>
      <c r="D414" s="31">
        <f>IF(INDEX(TilgAktiv,($N$6-1)*480+400)=0,"",INDEX(Tilgung!$H$4:$H$9603,($N$6-1)*480+400))</f>
      </c>
      <c r="E414" s="30">
        <f>IF(INDEX(TilgAktiv,($N$6-1)*480+400)=0,"",INDEX(Tilgung!$J$4:$J$9603,($N$6-1)*480+400))</f>
      </c>
      <c r="F414" s="30">
        <f>IF(INDEX(TilgAktiv,($N$6-1)*480+400)=0,"",IF(INDEX(TilgTilgung,($N$6-1)*480+400)=0,INDEX(TilgZins,($N$6-1)*480+400),INDEX(TilgZins,($N$6-1)*480+400)+INDEX(TilgTilgung,($N$6-1)*480+400))+INDEX(TilgErsatz,($N$6-1)*480+400))</f>
      </c>
      <c r="G414" s="30">
        <f>IF(INDEX(TilgAktiv,($N$6-1)*480+400)=0,"",INDEX(TilgZins,($N$6-1)*480+400))</f>
      </c>
      <c r="H414" s="30">
        <f>IF(INDEX(TilgAktiv,($N$6-1)*480+400)=0,"",INDEX(TilgTilgung,($N$6-1)*480+400))</f>
      </c>
      <c r="I414" s="30">
        <f>IF(INDEX(TilgAktiv,($N$6-1)*480+400)=0,"",INDEX(TilgSonder,($N$6-1)*480+400))</f>
      </c>
      <c r="J414" s="30">
        <f>IF(INDEX(TilgAktiv,($N$6-1)*480+400)=0,"",INDEX(TilgErsatz,($N$6-1)*480+400))</f>
      </c>
      <c r="K414" s="30">
        <f>IF(INDEX(TilgAktiv,($N$6-1)*480+400)=0,"",INDEX(Tilgung!$Q$4:$Q$9603,($N$6-1)*480+400))</f>
      </c>
      <c r="L414" s="30">
        <f>IF(INDEX(TilgAktiv,($N$6-1)*480+400)=0,"",INDEX(Tilgung!$R$4:$R$9603,($N$6-1)*480+400))</f>
      </c>
    </row>
    <row r="415">
      <c r="A415"/>
      <c r="B415" s="36">
        <f>IF(INDEX(TilgAktiv,($N$6-1)*480+401)=0,"",401)</f>
      </c>
      <c r="C415" s="41">
        <f>IF(INDEX(TilgAktiv,($N$6-1)*480+401)=0,"",INDEX(TilgDatum,($N$6-1)*480+401))</f>
      </c>
      <c r="D415" s="31">
        <f>IF(INDEX(TilgAktiv,($N$6-1)*480+401)=0,"",INDEX(Tilgung!$H$4:$H$9603,($N$6-1)*480+401))</f>
      </c>
      <c r="E415" s="30">
        <f>IF(INDEX(TilgAktiv,($N$6-1)*480+401)=0,"",INDEX(Tilgung!$J$4:$J$9603,($N$6-1)*480+401))</f>
      </c>
      <c r="F415" s="30">
        <f>IF(INDEX(TilgAktiv,($N$6-1)*480+401)=0,"",IF(INDEX(TilgTilgung,($N$6-1)*480+401)=0,INDEX(TilgZins,($N$6-1)*480+401),INDEX(TilgZins,($N$6-1)*480+401)+INDEX(TilgTilgung,($N$6-1)*480+401))+INDEX(TilgErsatz,($N$6-1)*480+401))</f>
      </c>
      <c r="G415" s="30">
        <f>IF(INDEX(TilgAktiv,($N$6-1)*480+401)=0,"",INDEX(TilgZins,($N$6-1)*480+401))</f>
      </c>
      <c r="H415" s="30">
        <f>IF(INDEX(TilgAktiv,($N$6-1)*480+401)=0,"",INDEX(TilgTilgung,($N$6-1)*480+401))</f>
      </c>
      <c r="I415" s="30">
        <f>IF(INDEX(TilgAktiv,($N$6-1)*480+401)=0,"",INDEX(TilgSonder,($N$6-1)*480+401))</f>
      </c>
      <c r="J415" s="30">
        <f>IF(INDEX(TilgAktiv,($N$6-1)*480+401)=0,"",INDEX(TilgErsatz,($N$6-1)*480+401))</f>
      </c>
      <c r="K415" s="30">
        <f>IF(INDEX(TilgAktiv,($N$6-1)*480+401)=0,"",INDEX(Tilgung!$Q$4:$Q$9603,($N$6-1)*480+401))</f>
      </c>
      <c r="L415" s="30">
        <f>IF(INDEX(TilgAktiv,($N$6-1)*480+401)=0,"",INDEX(Tilgung!$R$4:$R$9603,($N$6-1)*480+401))</f>
      </c>
    </row>
    <row r="416">
      <c r="A416"/>
      <c r="B416" s="36">
        <f>IF(INDEX(TilgAktiv,($N$6-1)*480+402)=0,"",402)</f>
      </c>
      <c r="C416" s="41">
        <f>IF(INDEX(TilgAktiv,($N$6-1)*480+402)=0,"",INDEX(TilgDatum,($N$6-1)*480+402))</f>
      </c>
      <c r="D416" s="31">
        <f>IF(INDEX(TilgAktiv,($N$6-1)*480+402)=0,"",INDEX(Tilgung!$H$4:$H$9603,($N$6-1)*480+402))</f>
      </c>
      <c r="E416" s="30">
        <f>IF(INDEX(TilgAktiv,($N$6-1)*480+402)=0,"",INDEX(Tilgung!$J$4:$J$9603,($N$6-1)*480+402))</f>
      </c>
      <c r="F416" s="30">
        <f>IF(INDEX(TilgAktiv,($N$6-1)*480+402)=0,"",IF(INDEX(TilgTilgung,($N$6-1)*480+402)=0,INDEX(TilgZins,($N$6-1)*480+402),INDEX(TilgZins,($N$6-1)*480+402)+INDEX(TilgTilgung,($N$6-1)*480+402))+INDEX(TilgErsatz,($N$6-1)*480+402))</f>
      </c>
      <c r="G416" s="30">
        <f>IF(INDEX(TilgAktiv,($N$6-1)*480+402)=0,"",INDEX(TilgZins,($N$6-1)*480+402))</f>
      </c>
      <c r="H416" s="30">
        <f>IF(INDEX(TilgAktiv,($N$6-1)*480+402)=0,"",INDEX(TilgTilgung,($N$6-1)*480+402))</f>
      </c>
      <c r="I416" s="30">
        <f>IF(INDEX(TilgAktiv,($N$6-1)*480+402)=0,"",INDEX(TilgSonder,($N$6-1)*480+402))</f>
      </c>
      <c r="J416" s="30">
        <f>IF(INDEX(TilgAktiv,($N$6-1)*480+402)=0,"",INDEX(TilgErsatz,($N$6-1)*480+402))</f>
      </c>
      <c r="K416" s="30">
        <f>IF(INDEX(TilgAktiv,($N$6-1)*480+402)=0,"",INDEX(Tilgung!$Q$4:$Q$9603,($N$6-1)*480+402))</f>
      </c>
      <c r="L416" s="30">
        <f>IF(INDEX(TilgAktiv,($N$6-1)*480+402)=0,"",INDEX(Tilgung!$R$4:$R$9603,($N$6-1)*480+402))</f>
      </c>
    </row>
    <row r="417">
      <c r="A417"/>
      <c r="B417" s="36">
        <f>IF(INDEX(TilgAktiv,($N$6-1)*480+403)=0,"",403)</f>
      </c>
      <c r="C417" s="41">
        <f>IF(INDEX(TilgAktiv,($N$6-1)*480+403)=0,"",INDEX(TilgDatum,($N$6-1)*480+403))</f>
      </c>
      <c r="D417" s="31">
        <f>IF(INDEX(TilgAktiv,($N$6-1)*480+403)=0,"",INDEX(Tilgung!$H$4:$H$9603,($N$6-1)*480+403))</f>
      </c>
      <c r="E417" s="30">
        <f>IF(INDEX(TilgAktiv,($N$6-1)*480+403)=0,"",INDEX(Tilgung!$J$4:$J$9603,($N$6-1)*480+403))</f>
      </c>
      <c r="F417" s="30">
        <f>IF(INDEX(TilgAktiv,($N$6-1)*480+403)=0,"",IF(INDEX(TilgTilgung,($N$6-1)*480+403)=0,INDEX(TilgZins,($N$6-1)*480+403),INDEX(TilgZins,($N$6-1)*480+403)+INDEX(TilgTilgung,($N$6-1)*480+403))+INDEX(TilgErsatz,($N$6-1)*480+403))</f>
      </c>
      <c r="G417" s="30">
        <f>IF(INDEX(TilgAktiv,($N$6-1)*480+403)=0,"",INDEX(TilgZins,($N$6-1)*480+403))</f>
      </c>
      <c r="H417" s="30">
        <f>IF(INDEX(TilgAktiv,($N$6-1)*480+403)=0,"",INDEX(TilgTilgung,($N$6-1)*480+403))</f>
      </c>
      <c r="I417" s="30">
        <f>IF(INDEX(TilgAktiv,($N$6-1)*480+403)=0,"",INDEX(TilgSonder,($N$6-1)*480+403))</f>
      </c>
      <c r="J417" s="30">
        <f>IF(INDEX(TilgAktiv,($N$6-1)*480+403)=0,"",INDEX(TilgErsatz,($N$6-1)*480+403))</f>
      </c>
      <c r="K417" s="30">
        <f>IF(INDEX(TilgAktiv,($N$6-1)*480+403)=0,"",INDEX(Tilgung!$Q$4:$Q$9603,($N$6-1)*480+403))</f>
      </c>
      <c r="L417" s="30">
        <f>IF(INDEX(TilgAktiv,($N$6-1)*480+403)=0,"",INDEX(Tilgung!$R$4:$R$9603,($N$6-1)*480+403))</f>
      </c>
    </row>
    <row r="418">
      <c r="A418"/>
      <c r="B418" s="36">
        <f>IF(INDEX(TilgAktiv,($N$6-1)*480+404)=0,"",404)</f>
      </c>
      <c r="C418" s="41">
        <f>IF(INDEX(TilgAktiv,($N$6-1)*480+404)=0,"",INDEX(TilgDatum,($N$6-1)*480+404))</f>
      </c>
      <c r="D418" s="31">
        <f>IF(INDEX(TilgAktiv,($N$6-1)*480+404)=0,"",INDEX(Tilgung!$H$4:$H$9603,($N$6-1)*480+404))</f>
      </c>
      <c r="E418" s="30">
        <f>IF(INDEX(TilgAktiv,($N$6-1)*480+404)=0,"",INDEX(Tilgung!$J$4:$J$9603,($N$6-1)*480+404))</f>
      </c>
      <c r="F418" s="30">
        <f>IF(INDEX(TilgAktiv,($N$6-1)*480+404)=0,"",IF(INDEX(TilgTilgung,($N$6-1)*480+404)=0,INDEX(TilgZins,($N$6-1)*480+404),INDEX(TilgZins,($N$6-1)*480+404)+INDEX(TilgTilgung,($N$6-1)*480+404))+INDEX(TilgErsatz,($N$6-1)*480+404))</f>
      </c>
      <c r="G418" s="30">
        <f>IF(INDEX(TilgAktiv,($N$6-1)*480+404)=0,"",INDEX(TilgZins,($N$6-1)*480+404))</f>
      </c>
      <c r="H418" s="30">
        <f>IF(INDEX(TilgAktiv,($N$6-1)*480+404)=0,"",INDEX(TilgTilgung,($N$6-1)*480+404))</f>
      </c>
      <c r="I418" s="30">
        <f>IF(INDEX(TilgAktiv,($N$6-1)*480+404)=0,"",INDEX(TilgSonder,($N$6-1)*480+404))</f>
      </c>
      <c r="J418" s="30">
        <f>IF(INDEX(TilgAktiv,($N$6-1)*480+404)=0,"",INDEX(TilgErsatz,($N$6-1)*480+404))</f>
      </c>
      <c r="K418" s="30">
        <f>IF(INDEX(TilgAktiv,($N$6-1)*480+404)=0,"",INDEX(Tilgung!$Q$4:$Q$9603,($N$6-1)*480+404))</f>
      </c>
      <c r="L418" s="30">
        <f>IF(INDEX(TilgAktiv,($N$6-1)*480+404)=0,"",INDEX(Tilgung!$R$4:$R$9603,($N$6-1)*480+404))</f>
      </c>
    </row>
    <row r="419">
      <c r="A419"/>
      <c r="B419" s="36">
        <f>IF(INDEX(TilgAktiv,($N$6-1)*480+405)=0,"",405)</f>
      </c>
      <c r="C419" s="41">
        <f>IF(INDEX(TilgAktiv,($N$6-1)*480+405)=0,"",INDEX(TilgDatum,($N$6-1)*480+405))</f>
      </c>
      <c r="D419" s="31">
        <f>IF(INDEX(TilgAktiv,($N$6-1)*480+405)=0,"",INDEX(Tilgung!$H$4:$H$9603,($N$6-1)*480+405))</f>
      </c>
      <c r="E419" s="30">
        <f>IF(INDEX(TilgAktiv,($N$6-1)*480+405)=0,"",INDEX(Tilgung!$J$4:$J$9603,($N$6-1)*480+405))</f>
      </c>
      <c r="F419" s="30">
        <f>IF(INDEX(TilgAktiv,($N$6-1)*480+405)=0,"",IF(INDEX(TilgTilgung,($N$6-1)*480+405)=0,INDEX(TilgZins,($N$6-1)*480+405),INDEX(TilgZins,($N$6-1)*480+405)+INDEX(TilgTilgung,($N$6-1)*480+405))+INDEX(TilgErsatz,($N$6-1)*480+405))</f>
      </c>
      <c r="G419" s="30">
        <f>IF(INDEX(TilgAktiv,($N$6-1)*480+405)=0,"",INDEX(TilgZins,($N$6-1)*480+405))</f>
      </c>
      <c r="H419" s="30">
        <f>IF(INDEX(TilgAktiv,($N$6-1)*480+405)=0,"",INDEX(TilgTilgung,($N$6-1)*480+405))</f>
      </c>
      <c r="I419" s="30">
        <f>IF(INDEX(TilgAktiv,($N$6-1)*480+405)=0,"",INDEX(TilgSonder,($N$6-1)*480+405))</f>
      </c>
      <c r="J419" s="30">
        <f>IF(INDEX(TilgAktiv,($N$6-1)*480+405)=0,"",INDEX(TilgErsatz,($N$6-1)*480+405))</f>
      </c>
      <c r="K419" s="30">
        <f>IF(INDEX(TilgAktiv,($N$6-1)*480+405)=0,"",INDEX(Tilgung!$Q$4:$Q$9603,($N$6-1)*480+405))</f>
      </c>
      <c r="L419" s="30">
        <f>IF(INDEX(TilgAktiv,($N$6-1)*480+405)=0,"",INDEX(Tilgung!$R$4:$R$9603,($N$6-1)*480+405))</f>
      </c>
    </row>
    <row r="420">
      <c r="A420"/>
      <c r="B420" s="36">
        <f>IF(INDEX(TilgAktiv,($N$6-1)*480+406)=0,"",406)</f>
      </c>
      <c r="C420" s="41">
        <f>IF(INDEX(TilgAktiv,($N$6-1)*480+406)=0,"",INDEX(TilgDatum,($N$6-1)*480+406))</f>
      </c>
      <c r="D420" s="31">
        <f>IF(INDEX(TilgAktiv,($N$6-1)*480+406)=0,"",INDEX(Tilgung!$H$4:$H$9603,($N$6-1)*480+406))</f>
      </c>
      <c r="E420" s="30">
        <f>IF(INDEX(TilgAktiv,($N$6-1)*480+406)=0,"",INDEX(Tilgung!$J$4:$J$9603,($N$6-1)*480+406))</f>
      </c>
      <c r="F420" s="30">
        <f>IF(INDEX(TilgAktiv,($N$6-1)*480+406)=0,"",IF(INDEX(TilgTilgung,($N$6-1)*480+406)=0,INDEX(TilgZins,($N$6-1)*480+406),INDEX(TilgZins,($N$6-1)*480+406)+INDEX(TilgTilgung,($N$6-1)*480+406))+INDEX(TilgErsatz,($N$6-1)*480+406))</f>
      </c>
      <c r="G420" s="30">
        <f>IF(INDEX(TilgAktiv,($N$6-1)*480+406)=0,"",INDEX(TilgZins,($N$6-1)*480+406))</f>
      </c>
      <c r="H420" s="30">
        <f>IF(INDEX(TilgAktiv,($N$6-1)*480+406)=0,"",INDEX(TilgTilgung,($N$6-1)*480+406))</f>
      </c>
      <c r="I420" s="30">
        <f>IF(INDEX(TilgAktiv,($N$6-1)*480+406)=0,"",INDEX(TilgSonder,($N$6-1)*480+406))</f>
      </c>
      <c r="J420" s="30">
        <f>IF(INDEX(TilgAktiv,($N$6-1)*480+406)=0,"",INDEX(TilgErsatz,($N$6-1)*480+406))</f>
      </c>
      <c r="K420" s="30">
        <f>IF(INDEX(TilgAktiv,($N$6-1)*480+406)=0,"",INDEX(Tilgung!$Q$4:$Q$9603,($N$6-1)*480+406))</f>
      </c>
      <c r="L420" s="30">
        <f>IF(INDEX(TilgAktiv,($N$6-1)*480+406)=0,"",INDEX(Tilgung!$R$4:$R$9603,($N$6-1)*480+406))</f>
      </c>
    </row>
    <row r="421">
      <c r="A421"/>
      <c r="B421" s="36">
        <f>IF(INDEX(TilgAktiv,($N$6-1)*480+407)=0,"",407)</f>
      </c>
      <c r="C421" s="41">
        <f>IF(INDEX(TilgAktiv,($N$6-1)*480+407)=0,"",INDEX(TilgDatum,($N$6-1)*480+407))</f>
      </c>
      <c r="D421" s="31">
        <f>IF(INDEX(TilgAktiv,($N$6-1)*480+407)=0,"",INDEX(Tilgung!$H$4:$H$9603,($N$6-1)*480+407))</f>
      </c>
      <c r="E421" s="30">
        <f>IF(INDEX(TilgAktiv,($N$6-1)*480+407)=0,"",INDEX(Tilgung!$J$4:$J$9603,($N$6-1)*480+407))</f>
      </c>
      <c r="F421" s="30">
        <f>IF(INDEX(TilgAktiv,($N$6-1)*480+407)=0,"",IF(INDEX(TilgTilgung,($N$6-1)*480+407)=0,INDEX(TilgZins,($N$6-1)*480+407),INDEX(TilgZins,($N$6-1)*480+407)+INDEX(TilgTilgung,($N$6-1)*480+407))+INDEX(TilgErsatz,($N$6-1)*480+407))</f>
      </c>
      <c r="G421" s="30">
        <f>IF(INDEX(TilgAktiv,($N$6-1)*480+407)=0,"",INDEX(TilgZins,($N$6-1)*480+407))</f>
      </c>
      <c r="H421" s="30">
        <f>IF(INDEX(TilgAktiv,($N$6-1)*480+407)=0,"",INDEX(TilgTilgung,($N$6-1)*480+407))</f>
      </c>
      <c r="I421" s="30">
        <f>IF(INDEX(TilgAktiv,($N$6-1)*480+407)=0,"",INDEX(TilgSonder,($N$6-1)*480+407))</f>
      </c>
      <c r="J421" s="30">
        <f>IF(INDEX(TilgAktiv,($N$6-1)*480+407)=0,"",INDEX(TilgErsatz,($N$6-1)*480+407))</f>
      </c>
      <c r="K421" s="30">
        <f>IF(INDEX(TilgAktiv,($N$6-1)*480+407)=0,"",INDEX(Tilgung!$Q$4:$Q$9603,($N$6-1)*480+407))</f>
      </c>
      <c r="L421" s="30">
        <f>IF(INDEX(TilgAktiv,($N$6-1)*480+407)=0,"",INDEX(Tilgung!$R$4:$R$9603,($N$6-1)*480+407))</f>
      </c>
    </row>
    <row r="422">
      <c r="A422"/>
      <c r="B422" s="36">
        <f>IF(INDEX(TilgAktiv,($N$6-1)*480+408)=0,"",408)</f>
      </c>
      <c r="C422" s="41">
        <f>IF(INDEX(TilgAktiv,($N$6-1)*480+408)=0,"",INDEX(TilgDatum,($N$6-1)*480+408))</f>
      </c>
      <c r="D422" s="31">
        <f>IF(INDEX(TilgAktiv,($N$6-1)*480+408)=0,"",INDEX(Tilgung!$H$4:$H$9603,($N$6-1)*480+408))</f>
      </c>
      <c r="E422" s="30">
        <f>IF(INDEX(TilgAktiv,($N$6-1)*480+408)=0,"",INDEX(Tilgung!$J$4:$J$9603,($N$6-1)*480+408))</f>
      </c>
      <c r="F422" s="30">
        <f>IF(INDEX(TilgAktiv,($N$6-1)*480+408)=0,"",IF(INDEX(TilgTilgung,($N$6-1)*480+408)=0,INDEX(TilgZins,($N$6-1)*480+408),INDEX(TilgZins,($N$6-1)*480+408)+INDEX(TilgTilgung,($N$6-1)*480+408))+INDEX(TilgErsatz,($N$6-1)*480+408))</f>
      </c>
      <c r="G422" s="30">
        <f>IF(INDEX(TilgAktiv,($N$6-1)*480+408)=0,"",INDEX(TilgZins,($N$6-1)*480+408))</f>
      </c>
      <c r="H422" s="30">
        <f>IF(INDEX(TilgAktiv,($N$6-1)*480+408)=0,"",INDEX(TilgTilgung,($N$6-1)*480+408))</f>
      </c>
      <c r="I422" s="30">
        <f>IF(INDEX(TilgAktiv,($N$6-1)*480+408)=0,"",INDEX(TilgSonder,($N$6-1)*480+408))</f>
      </c>
      <c r="J422" s="30">
        <f>IF(INDEX(TilgAktiv,($N$6-1)*480+408)=0,"",INDEX(TilgErsatz,($N$6-1)*480+408))</f>
      </c>
      <c r="K422" s="30">
        <f>IF(INDEX(TilgAktiv,($N$6-1)*480+408)=0,"",INDEX(Tilgung!$Q$4:$Q$9603,($N$6-1)*480+408))</f>
      </c>
      <c r="L422" s="30">
        <f>IF(INDEX(TilgAktiv,($N$6-1)*480+408)=0,"",INDEX(Tilgung!$R$4:$R$9603,($N$6-1)*480+408))</f>
      </c>
    </row>
    <row r="423">
      <c r="A423"/>
      <c r="B423" s="36">
        <f>IF(INDEX(TilgAktiv,($N$6-1)*480+409)=0,"",409)</f>
      </c>
      <c r="C423" s="41">
        <f>IF(INDEX(TilgAktiv,($N$6-1)*480+409)=0,"",INDEX(TilgDatum,($N$6-1)*480+409))</f>
      </c>
      <c r="D423" s="31">
        <f>IF(INDEX(TilgAktiv,($N$6-1)*480+409)=0,"",INDEX(Tilgung!$H$4:$H$9603,($N$6-1)*480+409))</f>
      </c>
      <c r="E423" s="30">
        <f>IF(INDEX(TilgAktiv,($N$6-1)*480+409)=0,"",INDEX(Tilgung!$J$4:$J$9603,($N$6-1)*480+409))</f>
      </c>
      <c r="F423" s="30">
        <f>IF(INDEX(TilgAktiv,($N$6-1)*480+409)=0,"",IF(INDEX(TilgTilgung,($N$6-1)*480+409)=0,INDEX(TilgZins,($N$6-1)*480+409),INDEX(TilgZins,($N$6-1)*480+409)+INDEX(TilgTilgung,($N$6-1)*480+409))+INDEX(TilgErsatz,($N$6-1)*480+409))</f>
      </c>
      <c r="G423" s="30">
        <f>IF(INDEX(TilgAktiv,($N$6-1)*480+409)=0,"",INDEX(TilgZins,($N$6-1)*480+409))</f>
      </c>
      <c r="H423" s="30">
        <f>IF(INDEX(TilgAktiv,($N$6-1)*480+409)=0,"",INDEX(TilgTilgung,($N$6-1)*480+409))</f>
      </c>
      <c r="I423" s="30">
        <f>IF(INDEX(TilgAktiv,($N$6-1)*480+409)=0,"",INDEX(TilgSonder,($N$6-1)*480+409))</f>
      </c>
      <c r="J423" s="30">
        <f>IF(INDEX(TilgAktiv,($N$6-1)*480+409)=0,"",INDEX(TilgErsatz,($N$6-1)*480+409))</f>
      </c>
      <c r="K423" s="30">
        <f>IF(INDEX(TilgAktiv,($N$6-1)*480+409)=0,"",INDEX(Tilgung!$Q$4:$Q$9603,($N$6-1)*480+409))</f>
      </c>
      <c r="L423" s="30">
        <f>IF(INDEX(TilgAktiv,($N$6-1)*480+409)=0,"",INDEX(Tilgung!$R$4:$R$9603,($N$6-1)*480+409))</f>
      </c>
    </row>
    <row r="424">
      <c r="A424"/>
      <c r="B424" s="36">
        <f>IF(INDEX(TilgAktiv,($N$6-1)*480+410)=0,"",410)</f>
      </c>
      <c r="C424" s="41">
        <f>IF(INDEX(TilgAktiv,($N$6-1)*480+410)=0,"",INDEX(TilgDatum,($N$6-1)*480+410))</f>
      </c>
      <c r="D424" s="31">
        <f>IF(INDEX(TilgAktiv,($N$6-1)*480+410)=0,"",INDEX(Tilgung!$H$4:$H$9603,($N$6-1)*480+410))</f>
      </c>
      <c r="E424" s="30">
        <f>IF(INDEX(TilgAktiv,($N$6-1)*480+410)=0,"",INDEX(Tilgung!$J$4:$J$9603,($N$6-1)*480+410))</f>
      </c>
      <c r="F424" s="30">
        <f>IF(INDEX(TilgAktiv,($N$6-1)*480+410)=0,"",IF(INDEX(TilgTilgung,($N$6-1)*480+410)=0,INDEX(TilgZins,($N$6-1)*480+410),INDEX(TilgZins,($N$6-1)*480+410)+INDEX(TilgTilgung,($N$6-1)*480+410))+INDEX(TilgErsatz,($N$6-1)*480+410))</f>
      </c>
      <c r="G424" s="30">
        <f>IF(INDEX(TilgAktiv,($N$6-1)*480+410)=0,"",INDEX(TilgZins,($N$6-1)*480+410))</f>
      </c>
      <c r="H424" s="30">
        <f>IF(INDEX(TilgAktiv,($N$6-1)*480+410)=0,"",INDEX(TilgTilgung,($N$6-1)*480+410))</f>
      </c>
      <c r="I424" s="30">
        <f>IF(INDEX(TilgAktiv,($N$6-1)*480+410)=0,"",INDEX(TilgSonder,($N$6-1)*480+410))</f>
      </c>
      <c r="J424" s="30">
        <f>IF(INDEX(TilgAktiv,($N$6-1)*480+410)=0,"",INDEX(TilgErsatz,($N$6-1)*480+410))</f>
      </c>
      <c r="K424" s="30">
        <f>IF(INDEX(TilgAktiv,($N$6-1)*480+410)=0,"",INDEX(Tilgung!$Q$4:$Q$9603,($N$6-1)*480+410))</f>
      </c>
      <c r="L424" s="30">
        <f>IF(INDEX(TilgAktiv,($N$6-1)*480+410)=0,"",INDEX(Tilgung!$R$4:$R$9603,($N$6-1)*480+410))</f>
      </c>
    </row>
    <row r="425">
      <c r="A425"/>
      <c r="B425" s="36">
        <f>IF(INDEX(TilgAktiv,($N$6-1)*480+411)=0,"",411)</f>
      </c>
      <c r="C425" s="41">
        <f>IF(INDEX(TilgAktiv,($N$6-1)*480+411)=0,"",INDEX(TilgDatum,($N$6-1)*480+411))</f>
      </c>
      <c r="D425" s="31">
        <f>IF(INDEX(TilgAktiv,($N$6-1)*480+411)=0,"",INDEX(Tilgung!$H$4:$H$9603,($N$6-1)*480+411))</f>
      </c>
      <c r="E425" s="30">
        <f>IF(INDEX(TilgAktiv,($N$6-1)*480+411)=0,"",INDEX(Tilgung!$J$4:$J$9603,($N$6-1)*480+411))</f>
      </c>
      <c r="F425" s="30">
        <f>IF(INDEX(TilgAktiv,($N$6-1)*480+411)=0,"",IF(INDEX(TilgTilgung,($N$6-1)*480+411)=0,INDEX(TilgZins,($N$6-1)*480+411),INDEX(TilgZins,($N$6-1)*480+411)+INDEX(TilgTilgung,($N$6-1)*480+411))+INDEX(TilgErsatz,($N$6-1)*480+411))</f>
      </c>
      <c r="G425" s="30">
        <f>IF(INDEX(TilgAktiv,($N$6-1)*480+411)=0,"",INDEX(TilgZins,($N$6-1)*480+411))</f>
      </c>
      <c r="H425" s="30">
        <f>IF(INDEX(TilgAktiv,($N$6-1)*480+411)=0,"",INDEX(TilgTilgung,($N$6-1)*480+411))</f>
      </c>
      <c r="I425" s="30">
        <f>IF(INDEX(TilgAktiv,($N$6-1)*480+411)=0,"",INDEX(TilgSonder,($N$6-1)*480+411))</f>
      </c>
      <c r="J425" s="30">
        <f>IF(INDEX(TilgAktiv,($N$6-1)*480+411)=0,"",INDEX(TilgErsatz,($N$6-1)*480+411))</f>
      </c>
      <c r="K425" s="30">
        <f>IF(INDEX(TilgAktiv,($N$6-1)*480+411)=0,"",INDEX(Tilgung!$Q$4:$Q$9603,($N$6-1)*480+411))</f>
      </c>
      <c r="L425" s="30">
        <f>IF(INDEX(TilgAktiv,($N$6-1)*480+411)=0,"",INDEX(Tilgung!$R$4:$R$9603,($N$6-1)*480+411))</f>
      </c>
    </row>
    <row r="426">
      <c r="A426"/>
      <c r="B426" s="36">
        <f>IF(INDEX(TilgAktiv,($N$6-1)*480+412)=0,"",412)</f>
      </c>
      <c r="C426" s="41">
        <f>IF(INDEX(TilgAktiv,($N$6-1)*480+412)=0,"",INDEX(TilgDatum,($N$6-1)*480+412))</f>
      </c>
      <c r="D426" s="31">
        <f>IF(INDEX(TilgAktiv,($N$6-1)*480+412)=0,"",INDEX(Tilgung!$H$4:$H$9603,($N$6-1)*480+412))</f>
      </c>
      <c r="E426" s="30">
        <f>IF(INDEX(TilgAktiv,($N$6-1)*480+412)=0,"",INDEX(Tilgung!$J$4:$J$9603,($N$6-1)*480+412))</f>
      </c>
      <c r="F426" s="30">
        <f>IF(INDEX(TilgAktiv,($N$6-1)*480+412)=0,"",IF(INDEX(TilgTilgung,($N$6-1)*480+412)=0,INDEX(TilgZins,($N$6-1)*480+412),INDEX(TilgZins,($N$6-1)*480+412)+INDEX(TilgTilgung,($N$6-1)*480+412))+INDEX(TilgErsatz,($N$6-1)*480+412))</f>
      </c>
      <c r="G426" s="30">
        <f>IF(INDEX(TilgAktiv,($N$6-1)*480+412)=0,"",INDEX(TilgZins,($N$6-1)*480+412))</f>
      </c>
      <c r="H426" s="30">
        <f>IF(INDEX(TilgAktiv,($N$6-1)*480+412)=0,"",INDEX(TilgTilgung,($N$6-1)*480+412))</f>
      </c>
      <c r="I426" s="30">
        <f>IF(INDEX(TilgAktiv,($N$6-1)*480+412)=0,"",INDEX(TilgSonder,($N$6-1)*480+412))</f>
      </c>
      <c r="J426" s="30">
        <f>IF(INDEX(TilgAktiv,($N$6-1)*480+412)=0,"",INDEX(TilgErsatz,($N$6-1)*480+412))</f>
      </c>
      <c r="K426" s="30">
        <f>IF(INDEX(TilgAktiv,($N$6-1)*480+412)=0,"",INDEX(Tilgung!$Q$4:$Q$9603,($N$6-1)*480+412))</f>
      </c>
      <c r="L426" s="30">
        <f>IF(INDEX(TilgAktiv,($N$6-1)*480+412)=0,"",INDEX(Tilgung!$R$4:$R$9603,($N$6-1)*480+412))</f>
      </c>
    </row>
    <row r="427">
      <c r="A427"/>
      <c r="B427" s="36">
        <f>IF(INDEX(TilgAktiv,($N$6-1)*480+413)=0,"",413)</f>
      </c>
      <c r="C427" s="41">
        <f>IF(INDEX(TilgAktiv,($N$6-1)*480+413)=0,"",INDEX(TilgDatum,($N$6-1)*480+413))</f>
      </c>
      <c r="D427" s="31">
        <f>IF(INDEX(TilgAktiv,($N$6-1)*480+413)=0,"",INDEX(Tilgung!$H$4:$H$9603,($N$6-1)*480+413))</f>
      </c>
      <c r="E427" s="30">
        <f>IF(INDEX(TilgAktiv,($N$6-1)*480+413)=0,"",INDEX(Tilgung!$J$4:$J$9603,($N$6-1)*480+413))</f>
      </c>
      <c r="F427" s="30">
        <f>IF(INDEX(TilgAktiv,($N$6-1)*480+413)=0,"",IF(INDEX(TilgTilgung,($N$6-1)*480+413)=0,INDEX(TilgZins,($N$6-1)*480+413),INDEX(TilgZins,($N$6-1)*480+413)+INDEX(TilgTilgung,($N$6-1)*480+413))+INDEX(TilgErsatz,($N$6-1)*480+413))</f>
      </c>
      <c r="G427" s="30">
        <f>IF(INDEX(TilgAktiv,($N$6-1)*480+413)=0,"",INDEX(TilgZins,($N$6-1)*480+413))</f>
      </c>
      <c r="H427" s="30">
        <f>IF(INDEX(TilgAktiv,($N$6-1)*480+413)=0,"",INDEX(TilgTilgung,($N$6-1)*480+413))</f>
      </c>
      <c r="I427" s="30">
        <f>IF(INDEX(TilgAktiv,($N$6-1)*480+413)=0,"",INDEX(TilgSonder,($N$6-1)*480+413))</f>
      </c>
      <c r="J427" s="30">
        <f>IF(INDEX(TilgAktiv,($N$6-1)*480+413)=0,"",INDEX(TilgErsatz,($N$6-1)*480+413))</f>
      </c>
      <c r="K427" s="30">
        <f>IF(INDEX(TilgAktiv,($N$6-1)*480+413)=0,"",INDEX(Tilgung!$Q$4:$Q$9603,($N$6-1)*480+413))</f>
      </c>
      <c r="L427" s="30">
        <f>IF(INDEX(TilgAktiv,($N$6-1)*480+413)=0,"",INDEX(Tilgung!$R$4:$R$9603,($N$6-1)*480+413))</f>
      </c>
    </row>
    <row r="428">
      <c r="A428"/>
      <c r="B428" s="36">
        <f>IF(INDEX(TilgAktiv,($N$6-1)*480+414)=0,"",414)</f>
      </c>
      <c r="C428" s="41">
        <f>IF(INDEX(TilgAktiv,($N$6-1)*480+414)=0,"",INDEX(TilgDatum,($N$6-1)*480+414))</f>
      </c>
      <c r="D428" s="31">
        <f>IF(INDEX(TilgAktiv,($N$6-1)*480+414)=0,"",INDEX(Tilgung!$H$4:$H$9603,($N$6-1)*480+414))</f>
      </c>
      <c r="E428" s="30">
        <f>IF(INDEX(TilgAktiv,($N$6-1)*480+414)=0,"",INDEX(Tilgung!$J$4:$J$9603,($N$6-1)*480+414))</f>
      </c>
      <c r="F428" s="30">
        <f>IF(INDEX(TilgAktiv,($N$6-1)*480+414)=0,"",IF(INDEX(TilgTilgung,($N$6-1)*480+414)=0,INDEX(TilgZins,($N$6-1)*480+414),INDEX(TilgZins,($N$6-1)*480+414)+INDEX(TilgTilgung,($N$6-1)*480+414))+INDEX(TilgErsatz,($N$6-1)*480+414))</f>
      </c>
      <c r="G428" s="30">
        <f>IF(INDEX(TilgAktiv,($N$6-1)*480+414)=0,"",INDEX(TilgZins,($N$6-1)*480+414))</f>
      </c>
      <c r="H428" s="30">
        <f>IF(INDEX(TilgAktiv,($N$6-1)*480+414)=0,"",INDEX(TilgTilgung,($N$6-1)*480+414))</f>
      </c>
      <c r="I428" s="30">
        <f>IF(INDEX(TilgAktiv,($N$6-1)*480+414)=0,"",INDEX(TilgSonder,($N$6-1)*480+414))</f>
      </c>
      <c r="J428" s="30">
        <f>IF(INDEX(TilgAktiv,($N$6-1)*480+414)=0,"",INDEX(TilgErsatz,($N$6-1)*480+414))</f>
      </c>
      <c r="K428" s="30">
        <f>IF(INDEX(TilgAktiv,($N$6-1)*480+414)=0,"",INDEX(Tilgung!$Q$4:$Q$9603,($N$6-1)*480+414))</f>
      </c>
      <c r="L428" s="30">
        <f>IF(INDEX(TilgAktiv,($N$6-1)*480+414)=0,"",INDEX(Tilgung!$R$4:$R$9603,($N$6-1)*480+414))</f>
      </c>
    </row>
    <row r="429">
      <c r="A429"/>
      <c r="B429" s="36">
        <f>IF(INDEX(TilgAktiv,($N$6-1)*480+415)=0,"",415)</f>
      </c>
      <c r="C429" s="41">
        <f>IF(INDEX(TilgAktiv,($N$6-1)*480+415)=0,"",INDEX(TilgDatum,($N$6-1)*480+415))</f>
      </c>
      <c r="D429" s="31">
        <f>IF(INDEX(TilgAktiv,($N$6-1)*480+415)=0,"",INDEX(Tilgung!$H$4:$H$9603,($N$6-1)*480+415))</f>
      </c>
      <c r="E429" s="30">
        <f>IF(INDEX(TilgAktiv,($N$6-1)*480+415)=0,"",INDEX(Tilgung!$J$4:$J$9603,($N$6-1)*480+415))</f>
      </c>
      <c r="F429" s="30">
        <f>IF(INDEX(TilgAktiv,($N$6-1)*480+415)=0,"",IF(INDEX(TilgTilgung,($N$6-1)*480+415)=0,INDEX(TilgZins,($N$6-1)*480+415),INDEX(TilgZins,($N$6-1)*480+415)+INDEX(TilgTilgung,($N$6-1)*480+415))+INDEX(TilgErsatz,($N$6-1)*480+415))</f>
      </c>
      <c r="G429" s="30">
        <f>IF(INDEX(TilgAktiv,($N$6-1)*480+415)=0,"",INDEX(TilgZins,($N$6-1)*480+415))</f>
      </c>
      <c r="H429" s="30">
        <f>IF(INDEX(TilgAktiv,($N$6-1)*480+415)=0,"",INDEX(TilgTilgung,($N$6-1)*480+415))</f>
      </c>
      <c r="I429" s="30">
        <f>IF(INDEX(TilgAktiv,($N$6-1)*480+415)=0,"",INDEX(TilgSonder,($N$6-1)*480+415))</f>
      </c>
      <c r="J429" s="30">
        <f>IF(INDEX(TilgAktiv,($N$6-1)*480+415)=0,"",INDEX(TilgErsatz,($N$6-1)*480+415))</f>
      </c>
      <c r="K429" s="30">
        <f>IF(INDEX(TilgAktiv,($N$6-1)*480+415)=0,"",INDEX(Tilgung!$Q$4:$Q$9603,($N$6-1)*480+415))</f>
      </c>
      <c r="L429" s="30">
        <f>IF(INDEX(TilgAktiv,($N$6-1)*480+415)=0,"",INDEX(Tilgung!$R$4:$R$9603,($N$6-1)*480+415))</f>
      </c>
    </row>
    <row r="430">
      <c r="A430"/>
      <c r="B430" s="36">
        <f>IF(INDEX(TilgAktiv,($N$6-1)*480+416)=0,"",416)</f>
      </c>
      <c r="C430" s="41">
        <f>IF(INDEX(TilgAktiv,($N$6-1)*480+416)=0,"",INDEX(TilgDatum,($N$6-1)*480+416))</f>
      </c>
      <c r="D430" s="31">
        <f>IF(INDEX(TilgAktiv,($N$6-1)*480+416)=0,"",INDEX(Tilgung!$H$4:$H$9603,($N$6-1)*480+416))</f>
      </c>
      <c r="E430" s="30">
        <f>IF(INDEX(TilgAktiv,($N$6-1)*480+416)=0,"",INDEX(Tilgung!$J$4:$J$9603,($N$6-1)*480+416))</f>
      </c>
      <c r="F430" s="30">
        <f>IF(INDEX(TilgAktiv,($N$6-1)*480+416)=0,"",IF(INDEX(TilgTilgung,($N$6-1)*480+416)=0,INDEX(TilgZins,($N$6-1)*480+416),INDEX(TilgZins,($N$6-1)*480+416)+INDEX(TilgTilgung,($N$6-1)*480+416))+INDEX(TilgErsatz,($N$6-1)*480+416))</f>
      </c>
      <c r="G430" s="30">
        <f>IF(INDEX(TilgAktiv,($N$6-1)*480+416)=0,"",INDEX(TilgZins,($N$6-1)*480+416))</f>
      </c>
      <c r="H430" s="30">
        <f>IF(INDEX(TilgAktiv,($N$6-1)*480+416)=0,"",INDEX(TilgTilgung,($N$6-1)*480+416))</f>
      </c>
      <c r="I430" s="30">
        <f>IF(INDEX(TilgAktiv,($N$6-1)*480+416)=0,"",INDEX(TilgSonder,($N$6-1)*480+416))</f>
      </c>
      <c r="J430" s="30">
        <f>IF(INDEX(TilgAktiv,($N$6-1)*480+416)=0,"",INDEX(TilgErsatz,($N$6-1)*480+416))</f>
      </c>
      <c r="K430" s="30">
        <f>IF(INDEX(TilgAktiv,($N$6-1)*480+416)=0,"",INDEX(Tilgung!$Q$4:$Q$9603,($N$6-1)*480+416))</f>
      </c>
      <c r="L430" s="30">
        <f>IF(INDEX(TilgAktiv,($N$6-1)*480+416)=0,"",INDEX(Tilgung!$R$4:$R$9603,($N$6-1)*480+416))</f>
      </c>
    </row>
    <row r="431">
      <c r="A431"/>
      <c r="B431" s="36">
        <f>IF(INDEX(TilgAktiv,($N$6-1)*480+417)=0,"",417)</f>
      </c>
      <c r="C431" s="41">
        <f>IF(INDEX(TilgAktiv,($N$6-1)*480+417)=0,"",INDEX(TilgDatum,($N$6-1)*480+417))</f>
      </c>
      <c r="D431" s="31">
        <f>IF(INDEX(TilgAktiv,($N$6-1)*480+417)=0,"",INDEX(Tilgung!$H$4:$H$9603,($N$6-1)*480+417))</f>
      </c>
      <c r="E431" s="30">
        <f>IF(INDEX(TilgAktiv,($N$6-1)*480+417)=0,"",INDEX(Tilgung!$J$4:$J$9603,($N$6-1)*480+417))</f>
      </c>
      <c r="F431" s="30">
        <f>IF(INDEX(TilgAktiv,($N$6-1)*480+417)=0,"",IF(INDEX(TilgTilgung,($N$6-1)*480+417)=0,INDEX(TilgZins,($N$6-1)*480+417),INDEX(TilgZins,($N$6-1)*480+417)+INDEX(TilgTilgung,($N$6-1)*480+417))+INDEX(TilgErsatz,($N$6-1)*480+417))</f>
      </c>
      <c r="G431" s="30">
        <f>IF(INDEX(TilgAktiv,($N$6-1)*480+417)=0,"",INDEX(TilgZins,($N$6-1)*480+417))</f>
      </c>
      <c r="H431" s="30">
        <f>IF(INDEX(TilgAktiv,($N$6-1)*480+417)=0,"",INDEX(TilgTilgung,($N$6-1)*480+417))</f>
      </c>
      <c r="I431" s="30">
        <f>IF(INDEX(TilgAktiv,($N$6-1)*480+417)=0,"",INDEX(TilgSonder,($N$6-1)*480+417))</f>
      </c>
      <c r="J431" s="30">
        <f>IF(INDEX(TilgAktiv,($N$6-1)*480+417)=0,"",INDEX(TilgErsatz,($N$6-1)*480+417))</f>
      </c>
      <c r="K431" s="30">
        <f>IF(INDEX(TilgAktiv,($N$6-1)*480+417)=0,"",INDEX(Tilgung!$Q$4:$Q$9603,($N$6-1)*480+417))</f>
      </c>
      <c r="L431" s="30">
        <f>IF(INDEX(TilgAktiv,($N$6-1)*480+417)=0,"",INDEX(Tilgung!$R$4:$R$9603,($N$6-1)*480+417))</f>
      </c>
    </row>
    <row r="432">
      <c r="A432"/>
      <c r="B432" s="36">
        <f>IF(INDEX(TilgAktiv,($N$6-1)*480+418)=0,"",418)</f>
      </c>
      <c r="C432" s="41">
        <f>IF(INDEX(TilgAktiv,($N$6-1)*480+418)=0,"",INDEX(TilgDatum,($N$6-1)*480+418))</f>
      </c>
      <c r="D432" s="31">
        <f>IF(INDEX(TilgAktiv,($N$6-1)*480+418)=0,"",INDEX(Tilgung!$H$4:$H$9603,($N$6-1)*480+418))</f>
      </c>
      <c r="E432" s="30">
        <f>IF(INDEX(TilgAktiv,($N$6-1)*480+418)=0,"",INDEX(Tilgung!$J$4:$J$9603,($N$6-1)*480+418))</f>
      </c>
      <c r="F432" s="30">
        <f>IF(INDEX(TilgAktiv,($N$6-1)*480+418)=0,"",IF(INDEX(TilgTilgung,($N$6-1)*480+418)=0,INDEX(TilgZins,($N$6-1)*480+418),INDEX(TilgZins,($N$6-1)*480+418)+INDEX(TilgTilgung,($N$6-1)*480+418))+INDEX(TilgErsatz,($N$6-1)*480+418))</f>
      </c>
      <c r="G432" s="30">
        <f>IF(INDEX(TilgAktiv,($N$6-1)*480+418)=0,"",INDEX(TilgZins,($N$6-1)*480+418))</f>
      </c>
      <c r="H432" s="30">
        <f>IF(INDEX(TilgAktiv,($N$6-1)*480+418)=0,"",INDEX(TilgTilgung,($N$6-1)*480+418))</f>
      </c>
      <c r="I432" s="30">
        <f>IF(INDEX(TilgAktiv,($N$6-1)*480+418)=0,"",INDEX(TilgSonder,($N$6-1)*480+418))</f>
      </c>
      <c r="J432" s="30">
        <f>IF(INDEX(TilgAktiv,($N$6-1)*480+418)=0,"",INDEX(TilgErsatz,($N$6-1)*480+418))</f>
      </c>
      <c r="K432" s="30">
        <f>IF(INDEX(TilgAktiv,($N$6-1)*480+418)=0,"",INDEX(Tilgung!$Q$4:$Q$9603,($N$6-1)*480+418))</f>
      </c>
      <c r="L432" s="30">
        <f>IF(INDEX(TilgAktiv,($N$6-1)*480+418)=0,"",INDEX(Tilgung!$R$4:$R$9603,($N$6-1)*480+418))</f>
      </c>
    </row>
    <row r="433">
      <c r="A433"/>
      <c r="B433" s="36">
        <f>IF(INDEX(TilgAktiv,($N$6-1)*480+419)=0,"",419)</f>
      </c>
      <c r="C433" s="41">
        <f>IF(INDEX(TilgAktiv,($N$6-1)*480+419)=0,"",INDEX(TilgDatum,($N$6-1)*480+419))</f>
      </c>
      <c r="D433" s="31">
        <f>IF(INDEX(TilgAktiv,($N$6-1)*480+419)=0,"",INDEX(Tilgung!$H$4:$H$9603,($N$6-1)*480+419))</f>
      </c>
      <c r="E433" s="30">
        <f>IF(INDEX(TilgAktiv,($N$6-1)*480+419)=0,"",INDEX(Tilgung!$J$4:$J$9603,($N$6-1)*480+419))</f>
      </c>
      <c r="F433" s="30">
        <f>IF(INDEX(TilgAktiv,($N$6-1)*480+419)=0,"",IF(INDEX(TilgTilgung,($N$6-1)*480+419)=0,INDEX(TilgZins,($N$6-1)*480+419),INDEX(TilgZins,($N$6-1)*480+419)+INDEX(TilgTilgung,($N$6-1)*480+419))+INDEX(TilgErsatz,($N$6-1)*480+419))</f>
      </c>
      <c r="G433" s="30">
        <f>IF(INDEX(TilgAktiv,($N$6-1)*480+419)=0,"",INDEX(TilgZins,($N$6-1)*480+419))</f>
      </c>
      <c r="H433" s="30">
        <f>IF(INDEX(TilgAktiv,($N$6-1)*480+419)=0,"",INDEX(TilgTilgung,($N$6-1)*480+419))</f>
      </c>
      <c r="I433" s="30">
        <f>IF(INDEX(TilgAktiv,($N$6-1)*480+419)=0,"",INDEX(TilgSonder,($N$6-1)*480+419))</f>
      </c>
      <c r="J433" s="30">
        <f>IF(INDEX(TilgAktiv,($N$6-1)*480+419)=0,"",INDEX(TilgErsatz,($N$6-1)*480+419))</f>
      </c>
      <c r="K433" s="30">
        <f>IF(INDEX(TilgAktiv,($N$6-1)*480+419)=0,"",INDEX(Tilgung!$Q$4:$Q$9603,($N$6-1)*480+419))</f>
      </c>
      <c r="L433" s="30">
        <f>IF(INDEX(TilgAktiv,($N$6-1)*480+419)=0,"",INDEX(Tilgung!$R$4:$R$9603,($N$6-1)*480+419))</f>
      </c>
    </row>
    <row r="434">
      <c r="A434"/>
      <c r="B434" s="36">
        <f>IF(INDEX(TilgAktiv,($N$6-1)*480+420)=0,"",420)</f>
      </c>
      <c r="C434" s="41">
        <f>IF(INDEX(TilgAktiv,($N$6-1)*480+420)=0,"",INDEX(TilgDatum,($N$6-1)*480+420))</f>
      </c>
      <c r="D434" s="31">
        <f>IF(INDEX(TilgAktiv,($N$6-1)*480+420)=0,"",INDEX(Tilgung!$H$4:$H$9603,($N$6-1)*480+420))</f>
      </c>
      <c r="E434" s="30">
        <f>IF(INDEX(TilgAktiv,($N$6-1)*480+420)=0,"",INDEX(Tilgung!$J$4:$J$9603,($N$6-1)*480+420))</f>
      </c>
      <c r="F434" s="30">
        <f>IF(INDEX(TilgAktiv,($N$6-1)*480+420)=0,"",IF(INDEX(TilgTilgung,($N$6-1)*480+420)=0,INDEX(TilgZins,($N$6-1)*480+420),INDEX(TilgZins,($N$6-1)*480+420)+INDEX(TilgTilgung,($N$6-1)*480+420))+INDEX(TilgErsatz,($N$6-1)*480+420))</f>
      </c>
      <c r="G434" s="30">
        <f>IF(INDEX(TilgAktiv,($N$6-1)*480+420)=0,"",INDEX(TilgZins,($N$6-1)*480+420))</f>
      </c>
      <c r="H434" s="30">
        <f>IF(INDEX(TilgAktiv,($N$6-1)*480+420)=0,"",INDEX(TilgTilgung,($N$6-1)*480+420))</f>
      </c>
      <c r="I434" s="30">
        <f>IF(INDEX(TilgAktiv,($N$6-1)*480+420)=0,"",INDEX(TilgSonder,($N$6-1)*480+420))</f>
      </c>
      <c r="J434" s="30">
        <f>IF(INDEX(TilgAktiv,($N$6-1)*480+420)=0,"",INDEX(TilgErsatz,($N$6-1)*480+420))</f>
      </c>
      <c r="K434" s="30">
        <f>IF(INDEX(TilgAktiv,($N$6-1)*480+420)=0,"",INDEX(Tilgung!$Q$4:$Q$9603,($N$6-1)*480+420))</f>
      </c>
      <c r="L434" s="30">
        <f>IF(INDEX(TilgAktiv,($N$6-1)*480+420)=0,"",INDEX(Tilgung!$R$4:$R$9603,($N$6-1)*480+420))</f>
      </c>
    </row>
    <row r="435">
      <c r="A435"/>
      <c r="B435" s="36">
        <f>IF(INDEX(TilgAktiv,($N$6-1)*480+421)=0,"",421)</f>
      </c>
      <c r="C435" s="41">
        <f>IF(INDEX(TilgAktiv,($N$6-1)*480+421)=0,"",INDEX(TilgDatum,($N$6-1)*480+421))</f>
      </c>
      <c r="D435" s="31">
        <f>IF(INDEX(TilgAktiv,($N$6-1)*480+421)=0,"",INDEX(Tilgung!$H$4:$H$9603,($N$6-1)*480+421))</f>
      </c>
      <c r="E435" s="30">
        <f>IF(INDEX(TilgAktiv,($N$6-1)*480+421)=0,"",INDEX(Tilgung!$J$4:$J$9603,($N$6-1)*480+421))</f>
      </c>
      <c r="F435" s="30">
        <f>IF(INDEX(TilgAktiv,($N$6-1)*480+421)=0,"",IF(INDEX(TilgTilgung,($N$6-1)*480+421)=0,INDEX(TilgZins,($N$6-1)*480+421),INDEX(TilgZins,($N$6-1)*480+421)+INDEX(TilgTilgung,($N$6-1)*480+421))+INDEX(TilgErsatz,($N$6-1)*480+421))</f>
      </c>
      <c r="G435" s="30">
        <f>IF(INDEX(TilgAktiv,($N$6-1)*480+421)=0,"",INDEX(TilgZins,($N$6-1)*480+421))</f>
      </c>
      <c r="H435" s="30">
        <f>IF(INDEX(TilgAktiv,($N$6-1)*480+421)=0,"",INDEX(TilgTilgung,($N$6-1)*480+421))</f>
      </c>
      <c r="I435" s="30">
        <f>IF(INDEX(TilgAktiv,($N$6-1)*480+421)=0,"",INDEX(TilgSonder,($N$6-1)*480+421))</f>
      </c>
      <c r="J435" s="30">
        <f>IF(INDEX(TilgAktiv,($N$6-1)*480+421)=0,"",INDEX(TilgErsatz,($N$6-1)*480+421))</f>
      </c>
      <c r="K435" s="30">
        <f>IF(INDEX(TilgAktiv,($N$6-1)*480+421)=0,"",INDEX(Tilgung!$Q$4:$Q$9603,($N$6-1)*480+421))</f>
      </c>
      <c r="L435" s="30">
        <f>IF(INDEX(TilgAktiv,($N$6-1)*480+421)=0,"",INDEX(Tilgung!$R$4:$R$9603,($N$6-1)*480+421))</f>
      </c>
    </row>
    <row r="436">
      <c r="A436"/>
      <c r="B436" s="36">
        <f>IF(INDEX(TilgAktiv,($N$6-1)*480+422)=0,"",422)</f>
      </c>
      <c r="C436" s="41">
        <f>IF(INDEX(TilgAktiv,($N$6-1)*480+422)=0,"",INDEX(TilgDatum,($N$6-1)*480+422))</f>
      </c>
      <c r="D436" s="31">
        <f>IF(INDEX(TilgAktiv,($N$6-1)*480+422)=0,"",INDEX(Tilgung!$H$4:$H$9603,($N$6-1)*480+422))</f>
      </c>
      <c r="E436" s="30">
        <f>IF(INDEX(TilgAktiv,($N$6-1)*480+422)=0,"",INDEX(Tilgung!$J$4:$J$9603,($N$6-1)*480+422))</f>
      </c>
      <c r="F436" s="30">
        <f>IF(INDEX(TilgAktiv,($N$6-1)*480+422)=0,"",IF(INDEX(TilgTilgung,($N$6-1)*480+422)=0,INDEX(TilgZins,($N$6-1)*480+422),INDEX(TilgZins,($N$6-1)*480+422)+INDEX(TilgTilgung,($N$6-1)*480+422))+INDEX(TilgErsatz,($N$6-1)*480+422))</f>
      </c>
      <c r="G436" s="30">
        <f>IF(INDEX(TilgAktiv,($N$6-1)*480+422)=0,"",INDEX(TilgZins,($N$6-1)*480+422))</f>
      </c>
      <c r="H436" s="30">
        <f>IF(INDEX(TilgAktiv,($N$6-1)*480+422)=0,"",INDEX(TilgTilgung,($N$6-1)*480+422))</f>
      </c>
      <c r="I436" s="30">
        <f>IF(INDEX(TilgAktiv,($N$6-1)*480+422)=0,"",INDEX(TilgSonder,($N$6-1)*480+422))</f>
      </c>
      <c r="J436" s="30">
        <f>IF(INDEX(TilgAktiv,($N$6-1)*480+422)=0,"",INDEX(TilgErsatz,($N$6-1)*480+422))</f>
      </c>
      <c r="K436" s="30">
        <f>IF(INDEX(TilgAktiv,($N$6-1)*480+422)=0,"",INDEX(Tilgung!$Q$4:$Q$9603,($N$6-1)*480+422))</f>
      </c>
      <c r="L436" s="30">
        <f>IF(INDEX(TilgAktiv,($N$6-1)*480+422)=0,"",INDEX(Tilgung!$R$4:$R$9603,($N$6-1)*480+422))</f>
      </c>
    </row>
    <row r="437">
      <c r="A437"/>
      <c r="B437" s="36">
        <f>IF(INDEX(TilgAktiv,($N$6-1)*480+423)=0,"",423)</f>
      </c>
      <c r="C437" s="41">
        <f>IF(INDEX(TilgAktiv,($N$6-1)*480+423)=0,"",INDEX(TilgDatum,($N$6-1)*480+423))</f>
      </c>
      <c r="D437" s="31">
        <f>IF(INDEX(TilgAktiv,($N$6-1)*480+423)=0,"",INDEX(Tilgung!$H$4:$H$9603,($N$6-1)*480+423))</f>
      </c>
      <c r="E437" s="30">
        <f>IF(INDEX(TilgAktiv,($N$6-1)*480+423)=0,"",INDEX(Tilgung!$J$4:$J$9603,($N$6-1)*480+423))</f>
      </c>
      <c r="F437" s="30">
        <f>IF(INDEX(TilgAktiv,($N$6-1)*480+423)=0,"",IF(INDEX(TilgTilgung,($N$6-1)*480+423)=0,INDEX(TilgZins,($N$6-1)*480+423),INDEX(TilgZins,($N$6-1)*480+423)+INDEX(TilgTilgung,($N$6-1)*480+423))+INDEX(TilgErsatz,($N$6-1)*480+423))</f>
      </c>
      <c r="G437" s="30">
        <f>IF(INDEX(TilgAktiv,($N$6-1)*480+423)=0,"",INDEX(TilgZins,($N$6-1)*480+423))</f>
      </c>
      <c r="H437" s="30">
        <f>IF(INDEX(TilgAktiv,($N$6-1)*480+423)=0,"",INDEX(TilgTilgung,($N$6-1)*480+423))</f>
      </c>
      <c r="I437" s="30">
        <f>IF(INDEX(TilgAktiv,($N$6-1)*480+423)=0,"",INDEX(TilgSonder,($N$6-1)*480+423))</f>
      </c>
      <c r="J437" s="30">
        <f>IF(INDEX(TilgAktiv,($N$6-1)*480+423)=0,"",INDEX(TilgErsatz,($N$6-1)*480+423))</f>
      </c>
      <c r="K437" s="30">
        <f>IF(INDEX(TilgAktiv,($N$6-1)*480+423)=0,"",INDEX(Tilgung!$Q$4:$Q$9603,($N$6-1)*480+423))</f>
      </c>
      <c r="L437" s="30">
        <f>IF(INDEX(TilgAktiv,($N$6-1)*480+423)=0,"",INDEX(Tilgung!$R$4:$R$9603,($N$6-1)*480+423))</f>
      </c>
    </row>
    <row r="438">
      <c r="A438"/>
      <c r="B438" s="36">
        <f>IF(INDEX(TilgAktiv,($N$6-1)*480+424)=0,"",424)</f>
      </c>
      <c r="C438" s="41">
        <f>IF(INDEX(TilgAktiv,($N$6-1)*480+424)=0,"",INDEX(TilgDatum,($N$6-1)*480+424))</f>
      </c>
      <c r="D438" s="31">
        <f>IF(INDEX(TilgAktiv,($N$6-1)*480+424)=0,"",INDEX(Tilgung!$H$4:$H$9603,($N$6-1)*480+424))</f>
      </c>
      <c r="E438" s="30">
        <f>IF(INDEX(TilgAktiv,($N$6-1)*480+424)=0,"",INDEX(Tilgung!$J$4:$J$9603,($N$6-1)*480+424))</f>
      </c>
      <c r="F438" s="30">
        <f>IF(INDEX(TilgAktiv,($N$6-1)*480+424)=0,"",IF(INDEX(TilgTilgung,($N$6-1)*480+424)=0,INDEX(TilgZins,($N$6-1)*480+424),INDEX(TilgZins,($N$6-1)*480+424)+INDEX(TilgTilgung,($N$6-1)*480+424))+INDEX(TilgErsatz,($N$6-1)*480+424))</f>
      </c>
      <c r="G438" s="30">
        <f>IF(INDEX(TilgAktiv,($N$6-1)*480+424)=0,"",INDEX(TilgZins,($N$6-1)*480+424))</f>
      </c>
      <c r="H438" s="30">
        <f>IF(INDEX(TilgAktiv,($N$6-1)*480+424)=0,"",INDEX(TilgTilgung,($N$6-1)*480+424))</f>
      </c>
      <c r="I438" s="30">
        <f>IF(INDEX(TilgAktiv,($N$6-1)*480+424)=0,"",INDEX(TilgSonder,($N$6-1)*480+424))</f>
      </c>
      <c r="J438" s="30">
        <f>IF(INDEX(TilgAktiv,($N$6-1)*480+424)=0,"",INDEX(TilgErsatz,($N$6-1)*480+424))</f>
      </c>
      <c r="K438" s="30">
        <f>IF(INDEX(TilgAktiv,($N$6-1)*480+424)=0,"",INDEX(Tilgung!$Q$4:$Q$9603,($N$6-1)*480+424))</f>
      </c>
      <c r="L438" s="30">
        <f>IF(INDEX(TilgAktiv,($N$6-1)*480+424)=0,"",INDEX(Tilgung!$R$4:$R$9603,($N$6-1)*480+424))</f>
      </c>
    </row>
    <row r="439">
      <c r="A439"/>
      <c r="B439" s="36">
        <f>IF(INDEX(TilgAktiv,($N$6-1)*480+425)=0,"",425)</f>
      </c>
      <c r="C439" s="41">
        <f>IF(INDEX(TilgAktiv,($N$6-1)*480+425)=0,"",INDEX(TilgDatum,($N$6-1)*480+425))</f>
      </c>
      <c r="D439" s="31">
        <f>IF(INDEX(TilgAktiv,($N$6-1)*480+425)=0,"",INDEX(Tilgung!$H$4:$H$9603,($N$6-1)*480+425))</f>
      </c>
      <c r="E439" s="30">
        <f>IF(INDEX(TilgAktiv,($N$6-1)*480+425)=0,"",INDEX(Tilgung!$J$4:$J$9603,($N$6-1)*480+425))</f>
      </c>
      <c r="F439" s="30">
        <f>IF(INDEX(TilgAktiv,($N$6-1)*480+425)=0,"",IF(INDEX(TilgTilgung,($N$6-1)*480+425)=0,INDEX(TilgZins,($N$6-1)*480+425),INDEX(TilgZins,($N$6-1)*480+425)+INDEX(TilgTilgung,($N$6-1)*480+425))+INDEX(TilgErsatz,($N$6-1)*480+425))</f>
      </c>
      <c r="G439" s="30">
        <f>IF(INDEX(TilgAktiv,($N$6-1)*480+425)=0,"",INDEX(TilgZins,($N$6-1)*480+425))</f>
      </c>
      <c r="H439" s="30">
        <f>IF(INDEX(TilgAktiv,($N$6-1)*480+425)=0,"",INDEX(TilgTilgung,($N$6-1)*480+425))</f>
      </c>
      <c r="I439" s="30">
        <f>IF(INDEX(TilgAktiv,($N$6-1)*480+425)=0,"",INDEX(TilgSonder,($N$6-1)*480+425))</f>
      </c>
      <c r="J439" s="30">
        <f>IF(INDEX(TilgAktiv,($N$6-1)*480+425)=0,"",INDEX(TilgErsatz,($N$6-1)*480+425))</f>
      </c>
      <c r="K439" s="30">
        <f>IF(INDEX(TilgAktiv,($N$6-1)*480+425)=0,"",INDEX(Tilgung!$Q$4:$Q$9603,($N$6-1)*480+425))</f>
      </c>
      <c r="L439" s="30">
        <f>IF(INDEX(TilgAktiv,($N$6-1)*480+425)=0,"",INDEX(Tilgung!$R$4:$R$9603,($N$6-1)*480+425))</f>
      </c>
    </row>
    <row r="440">
      <c r="A440"/>
      <c r="B440" s="36">
        <f>IF(INDEX(TilgAktiv,($N$6-1)*480+426)=0,"",426)</f>
      </c>
      <c r="C440" s="41">
        <f>IF(INDEX(TilgAktiv,($N$6-1)*480+426)=0,"",INDEX(TilgDatum,($N$6-1)*480+426))</f>
      </c>
      <c r="D440" s="31">
        <f>IF(INDEX(TilgAktiv,($N$6-1)*480+426)=0,"",INDEX(Tilgung!$H$4:$H$9603,($N$6-1)*480+426))</f>
      </c>
      <c r="E440" s="30">
        <f>IF(INDEX(TilgAktiv,($N$6-1)*480+426)=0,"",INDEX(Tilgung!$J$4:$J$9603,($N$6-1)*480+426))</f>
      </c>
      <c r="F440" s="30">
        <f>IF(INDEX(TilgAktiv,($N$6-1)*480+426)=0,"",IF(INDEX(TilgTilgung,($N$6-1)*480+426)=0,INDEX(TilgZins,($N$6-1)*480+426),INDEX(TilgZins,($N$6-1)*480+426)+INDEX(TilgTilgung,($N$6-1)*480+426))+INDEX(TilgErsatz,($N$6-1)*480+426))</f>
      </c>
      <c r="G440" s="30">
        <f>IF(INDEX(TilgAktiv,($N$6-1)*480+426)=0,"",INDEX(TilgZins,($N$6-1)*480+426))</f>
      </c>
      <c r="H440" s="30">
        <f>IF(INDEX(TilgAktiv,($N$6-1)*480+426)=0,"",INDEX(TilgTilgung,($N$6-1)*480+426))</f>
      </c>
      <c r="I440" s="30">
        <f>IF(INDEX(TilgAktiv,($N$6-1)*480+426)=0,"",INDEX(TilgSonder,($N$6-1)*480+426))</f>
      </c>
      <c r="J440" s="30">
        <f>IF(INDEX(TilgAktiv,($N$6-1)*480+426)=0,"",INDEX(TilgErsatz,($N$6-1)*480+426))</f>
      </c>
      <c r="K440" s="30">
        <f>IF(INDEX(TilgAktiv,($N$6-1)*480+426)=0,"",INDEX(Tilgung!$Q$4:$Q$9603,($N$6-1)*480+426))</f>
      </c>
      <c r="L440" s="30">
        <f>IF(INDEX(TilgAktiv,($N$6-1)*480+426)=0,"",INDEX(Tilgung!$R$4:$R$9603,($N$6-1)*480+426))</f>
      </c>
    </row>
    <row r="441">
      <c r="A441"/>
      <c r="B441" s="36">
        <f>IF(INDEX(TilgAktiv,($N$6-1)*480+427)=0,"",427)</f>
      </c>
      <c r="C441" s="41">
        <f>IF(INDEX(TilgAktiv,($N$6-1)*480+427)=0,"",INDEX(TilgDatum,($N$6-1)*480+427))</f>
      </c>
      <c r="D441" s="31">
        <f>IF(INDEX(TilgAktiv,($N$6-1)*480+427)=0,"",INDEX(Tilgung!$H$4:$H$9603,($N$6-1)*480+427))</f>
      </c>
      <c r="E441" s="30">
        <f>IF(INDEX(TilgAktiv,($N$6-1)*480+427)=0,"",INDEX(Tilgung!$J$4:$J$9603,($N$6-1)*480+427))</f>
      </c>
      <c r="F441" s="30">
        <f>IF(INDEX(TilgAktiv,($N$6-1)*480+427)=0,"",IF(INDEX(TilgTilgung,($N$6-1)*480+427)=0,INDEX(TilgZins,($N$6-1)*480+427),INDEX(TilgZins,($N$6-1)*480+427)+INDEX(TilgTilgung,($N$6-1)*480+427))+INDEX(TilgErsatz,($N$6-1)*480+427))</f>
      </c>
      <c r="G441" s="30">
        <f>IF(INDEX(TilgAktiv,($N$6-1)*480+427)=0,"",INDEX(TilgZins,($N$6-1)*480+427))</f>
      </c>
      <c r="H441" s="30">
        <f>IF(INDEX(TilgAktiv,($N$6-1)*480+427)=0,"",INDEX(TilgTilgung,($N$6-1)*480+427))</f>
      </c>
      <c r="I441" s="30">
        <f>IF(INDEX(TilgAktiv,($N$6-1)*480+427)=0,"",INDEX(TilgSonder,($N$6-1)*480+427))</f>
      </c>
      <c r="J441" s="30">
        <f>IF(INDEX(TilgAktiv,($N$6-1)*480+427)=0,"",INDEX(TilgErsatz,($N$6-1)*480+427))</f>
      </c>
      <c r="K441" s="30">
        <f>IF(INDEX(TilgAktiv,($N$6-1)*480+427)=0,"",INDEX(Tilgung!$Q$4:$Q$9603,($N$6-1)*480+427))</f>
      </c>
      <c r="L441" s="30">
        <f>IF(INDEX(TilgAktiv,($N$6-1)*480+427)=0,"",INDEX(Tilgung!$R$4:$R$9603,($N$6-1)*480+427))</f>
      </c>
    </row>
    <row r="442">
      <c r="A442"/>
      <c r="B442" s="36">
        <f>IF(INDEX(TilgAktiv,($N$6-1)*480+428)=0,"",428)</f>
      </c>
      <c r="C442" s="41">
        <f>IF(INDEX(TilgAktiv,($N$6-1)*480+428)=0,"",INDEX(TilgDatum,($N$6-1)*480+428))</f>
      </c>
      <c r="D442" s="31">
        <f>IF(INDEX(TilgAktiv,($N$6-1)*480+428)=0,"",INDEX(Tilgung!$H$4:$H$9603,($N$6-1)*480+428))</f>
      </c>
      <c r="E442" s="30">
        <f>IF(INDEX(TilgAktiv,($N$6-1)*480+428)=0,"",INDEX(Tilgung!$J$4:$J$9603,($N$6-1)*480+428))</f>
      </c>
      <c r="F442" s="30">
        <f>IF(INDEX(TilgAktiv,($N$6-1)*480+428)=0,"",IF(INDEX(TilgTilgung,($N$6-1)*480+428)=0,INDEX(TilgZins,($N$6-1)*480+428),INDEX(TilgZins,($N$6-1)*480+428)+INDEX(TilgTilgung,($N$6-1)*480+428))+INDEX(TilgErsatz,($N$6-1)*480+428))</f>
      </c>
      <c r="G442" s="30">
        <f>IF(INDEX(TilgAktiv,($N$6-1)*480+428)=0,"",INDEX(TilgZins,($N$6-1)*480+428))</f>
      </c>
      <c r="H442" s="30">
        <f>IF(INDEX(TilgAktiv,($N$6-1)*480+428)=0,"",INDEX(TilgTilgung,($N$6-1)*480+428))</f>
      </c>
      <c r="I442" s="30">
        <f>IF(INDEX(TilgAktiv,($N$6-1)*480+428)=0,"",INDEX(TilgSonder,($N$6-1)*480+428))</f>
      </c>
      <c r="J442" s="30">
        <f>IF(INDEX(TilgAktiv,($N$6-1)*480+428)=0,"",INDEX(TilgErsatz,($N$6-1)*480+428))</f>
      </c>
      <c r="K442" s="30">
        <f>IF(INDEX(TilgAktiv,($N$6-1)*480+428)=0,"",INDEX(Tilgung!$Q$4:$Q$9603,($N$6-1)*480+428))</f>
      </c>
      <c r="L442" s="30">
        <f>IF(INDEX(TilgAktiv,($N$6-1)*480+428)=0,"",INDEX(Tilgung!$R$4:$R$9603,($N$6-1)*480+428))</f>
      </c>
    </row>
    <row r="443">
      <c r="A443"/>
      <c r="B443" s="36">
        <f>IF(INDEX(TilgAktiv,($N$6-1)*480+429)=0,"",429)</f>
      </c>
      <c r="C443" s="41">
        <f>IF(INDEX(TilgAktiv,($N$6-1)*480+429)=0,"",INDEX(TilgDatum,($N$6-1)*480+429))</f>
      </c>
      <c r="D443" s="31">
        <f>IF(INDEX(TilgAktiv,($N$6-1)*480+429)=0,"",INDEX(Tilgung!$H$4:$H$9603,($N$6-1)*480+429))</f>
      </c>
      <c r="E443" s="30">
        <f>IF(INDEX(TilgAktiv,($N$6-1)*480+429)=0,"",INDEX(Tilgung!$J$4:$J$9603,($N$6-1)*480+429))</f>
      </c>
      <c r="F443" s="30">
        <f>IF(INDEX(TilgAktiv,($N$6-1)*480+429)=0,"",IF(INDEX(TilgTilgung,($N$6-1)*480+429)=0,INDEX(TilgZins,($N$6-1)*480+429),INDEX(TilgZins,($N$6-1)*480+429)+INDEX(TilgTilgung,($N$6-1)*480+429))+INDEX(TilgErsatz,($N$6-1)*480+429))</f>
      </c>
      <c r="G443" s="30">
        <f>IF(INDEX(TilgAktiv,($N$6-1)*480+429)=0,"",INDEX(TilgZins,($N$6-1)*480+429))</f>
      </c>
      <c r="H443" s="30">
        <f>IF(INDEX(TilgAktiv,($N$6-1)*480+429)=0,"",INDEX(TilgTilgung,($N$6-1)*480+429))</f>
      </c>
      <c r="I443" s="30">
        <f>IF(INDEX(TilgAktiv,($N$6-1)*480+429)=0,"",INDEX(TilgSonder,($N$6-1)*480+429))</f>
      </c>
      <c r="J443" s="30">
        <f>IF(INDEX(TilgAktiv,($N$6-1)*480+429)=0,"",INDEX(TilgErsatz,($N$6-1)*480+429))</f>
      </c>
      <c r="K443" s="30">
        <f>IF(INDEX(TilgAktiv,($N$6-1)*480+429)=0,"",INDEX(Tilgung!$Q$4:$Q$9603,($N$6-1)*480+429))</f>
      </c>
      <c r="L443" s="30">
        <f>IF(INDEX(TilgAktiv,($N$6-1)*480+429)=0,"",INDEX(Tilgung!$R$4:$R$9603,($N$6-1)*480+429))</f>
      </c>
    </row>
    <row r="444">
      <c r="A444"/>
      <c r="B444" s="36">
        <f>IF(INDEX(TilgAktiv,($N$6-1)*480+430)=0,"",430)</f>
      </c>
      <c r="C444" s="41">
        <f>IF(INDEX(TilgAktiv,($N$6-1)*480+430)=0,"",INDEX(TilgDatum,($N$6-1)*480+430))</f>
      </c>
      <c r="D444" s="31">
        <f>IF(INDEX(TilgAktiv,($N$6-1)*480+430)=0,"",INDEX(Tilgung!$H$4:$H$9603,($N$6-1)*480+430))</f>
      </c>
      <c r="E444" s="30">
        <f>IF(INDEX(TilgAktiv,($N$6-1)*480+430)=0,"",INDEX(Tilgung!$J$4:$J$9603,($N$6-1)*480+430))</f>
      </c>
      <c r="F444" s="30">
        <f>IF(INDEX(TilgAktiv,($N$6-1)*480+430)=0,"",IF(INDEX(TilgTilgung,($N$6-1)*480+430)=0,INDEX(TilgZins,($N$6-1)*480+430),INDEX(TilgZins,($N$6-1)*480+430)+INDEX(TilgTilgung,($N$6-1)*480+430))+INDEX(TilgErsatz,($N$6-1)*480+430))</f>
      </c>
      <c r="G444" s="30">
        <f>IF(INDEX(TilgAktiv,($N$6-1)*480+430)=0,"",INDEX(TilgZins,($N$6-1)*480+430))</f>
      </c>
      <c r="H444" s="30">
        <f>IF(INDEX(TilgAktiv,($N$6-1)*480+430)=0,"",INDEX(TilgTilgung,($N$6-1)*480+430))</f>
      </c>
      <c r="I444" s="30">
        <f>IF(INDEX(TilgAktiv,($N$6-1)*480+430)=0,"",INDEX(TilgSonder,($N$6-1)*480+430))</f>
      </c>
      <c r="J444" s="30">
        <f>IF(INDEX(TilgAktiv,($N$6-1)*480+430)=0,"",INDEX(TilgErsatz,($N$6-1)*480+430))</f>
      </c>
      <c r="K444" s="30">
        <f>IF(INDEX(TilgAktiv,($N$6-1)*480+430)=0,"",INDEX(Tilgung!$Q$4:$Q$9603,($N$6-1)*480+430))</f>
      </c>
      <c r="L444" s="30">
        <f>IF(INDEX(TilgAktiv,($N$6-1)*480+430)=0,"",INDEX(Tilgung!$R$4:$R$9603,($N$6-1)*480+430))</f>
      </c>
    </row>
    <row r="445">
      <c r="A445"/>
      <c r="B445" s="36">
        <f>IF(INDEX(TilgAktiv,($N$6-1)*480+431)=0,"",431)</f>
      </c>
      <c r="C445" s="41">
        <f>IF(INDEX(TilgAktiv,($N$6-1)*480+431)=0,"",INDEX(TilgDatum,($N$6-1)*480+431))</f>
      </c>
      <c r="D445" s="31">
        <f>IF(INDEX(TilgAktiv,($N$6-1)*480+431)=0,"",INDEX(Tilgung!$H$4:$H$9603,($N$6-1)*480+431))</f>
      </c>
      <c r="E445" s="30">
        <f>IF(INDEX(TilgAktiv,($N$6-1)*480+431)=0,"",INDEX(Tilgung!$J$4:$J$9603,($N$6-1)*480+431))</f>
      </c>
      <c r="F445" s="30">
        <f>IF(INDEX(TilgAktiv,($N$6-1)*480+431)=0,"",IF(INDEX(TilgTilgung,($N$6-1)*480+431)=0,INDEX(TilgZins,($N$6-1)*480+431),INDEX(TilgZins,($N$6-1)*480+431)+INDEX(TilgTilgung,($N$6-1)*480+431))+INDEX(TilgErsatz,($N$6-1)*480+431))</f>
      </c>
      <c r="G445" s="30">
        <f>IF(INDEX(TilgAktiv,($N$6-1)*480+431)=0,"",INDEX(TilgZins,($N$6-1)*480+431))</f>
      </c>
      <c r="H445" s="30">
        <f>IF(INDEX(TilgAktiv,($N$6-1)*480+431)=0,"",INDEX(TilgTilgung,($N$6-1)*480+431))</f>
      </c>
      <c r="I445" s="30">
        <f>IF(INDEX(TilgAktiv,($N$6-1)*480+431)=0,"",INDEX(TilgSonder,($N$6-1)*480+431))</f>
      </c>
      <c r="J445" s="30">
        <f>IF(INDEX(TilgAktiv,($N$6-1)*480+431)=0,"",INDEX(TilgErsatz,($N$6-1)*480+431))</f>
      </c>
      <c r="K445" s="30">
        <f>IF(INDEX(TilgAktiv,($N$6-1)*480+431)=0,"",INDEX(Tilgung!$Q$4:$Q$9603,($N$6-1)*480+431))</f>
      </c>
      <c r="L445" s="30">
        <f>IF(INDEX(TilgAktiv,($N$6-1)*480+431)=0,"",INDEX(Tilgung!$R$4:$R$9603,($N$6-1)*480+431))</f>
      </c>
    </row>
    <row r="446">
      <c r="A446"/>
      <c r="B446" s="36">
        <f>IF(INDEX(TilgAktiv,($N$6-1)*480+432)=0,"",432)</f>
      </c>
      <c r="C446" s="41">
        <f>IF(INDEX(TilgAktiv,($N$6-1)*480+432)=0,"",INDEX(TilgDatum,($N$6-1)*480+432))</f>
      </c>
      <c r="D446" s="31">
        <f>IF(INDEX(TilgAktiv,($N$6-1)*480+432)=0,"",INDEX(Tilgung!$H$4:$H$9603,($N$6-1)*480+432))</f>
      </c>
      <c r="E446" s="30">
        <f>IF(INDEX(TilgAktiv,($N$6-1)*480+432)=0,"",INDEX(Tilgung!$J$4:$J$9603,($N$6-1)*480+432))</f>
      </c>
      <c r="F446" s="30">
        <f>IF(INDEX(TilgAktiv,($N$6-1)*480+432)=0,"",IF(INDEX(TilgTilgung,($N$6-1)*480+432)=0,INDEX(TilgZins,($N$6-1)*480+432),INDEX(TilgZins,($N$6-1)*480+432)+INDEX(TilgTilgung,($N$6-1)*480+432))+INDEX(TilgErsatz,($N$6-1)*480+432))</f>
      </c>
      <c r="G446" s="30">
        <f>IF(INDEX(TilgAktiv,($N$6-1)*480+432)=0,"",INDEX(TilgZins,($N$6-1)*480+432))</f>
      </c>
      <c r="H446" s="30">
        <f>IF(INDEX(TilgAktiv,($N$6-1)*480+432)=0,"",INDEX(TilgTilgung,($N$6-1)*480+432))</f>
      </c>
      <c r="I446" s="30">
        <f>IF(INDEX(TilgAktiv,($N$6-1)*480+432)=0,"",INDEX(TilgSonder,($N$6-1)*480+432))</f>
      </c>
      <c r="J446" s="30">
        <f>IF(INDEX(TilgAktiv,($N$6-1)*480+432)=0,"",INDEX(TilgErsatz,($N$6-1)*480+432))</f>
      </c>
      <c r="K446" s="30">
        <f>IF(INDEX(TilgAktiv,($N$6-1)*480+432)=0,"",INDEX(Tilgung!$Q$4:$Q$9603,($N$6-1)*480+432))</f>
      </c>
      <c r="L446" s="30">
        <f>IF(INDEX(TilgAktiv,($N$6-1)*480+432)=0,"",INDEX(Tilgung!$R$4:$R$9603,($N$6-1)*480+432))</f>
      </c>
    </row>
    <row r="447">
      <c r="A447"/>
      <c r="B447" s="36">
        <f>IF(INDEX(TilgAktiv,($N$6-1)*480+433)=0,"",433)</f>
      </c>
      <c r="C447" s="41">
        <f>IF(INDEX(TilgAktiv,($N$6-1)*480+433)=0,"",INDEX(TilgDatum,($N$6-1)*480+433))</f>
      </c>
      <c r="D447" s="31">
        <f>IF(INDEX(TilgAktiv,($N$6-1)*480+433)=0,"",INDEX(Tilgung!$H$4:$H$9603,($N$6-1)*480+433))</f>
      </c>
      <c r="E447" s="30">
        <f>IF(INDEX(TilgAktiv,($N$6-1)*480+433)=0,"",INDEX(Tilgung!$J$4:$J$9603,($N$6-1)*480+433))</f>
      </c>
      <c r="F447" s="30">
        <f>IF(INDEX(TilgAktiv,($N$6-1)*480+433)=0,"",IF(INDEX(TilgTilgung,($N$6-1)*480+433)=0,INDEX(TilgZins,($N$6-1)*480+433),INDEX(TilgZins,($N$6-1)*480+433)+INDEX(TilgTilgung,($N$6-1)*480+433))+INDEX(TilgErsatz,($N$6-1)*480+433))</f>
      </c>
      <c r="G447" s="30">
        <f>IF(INDEX(TilgAktiv,($N$6-1)*480+433)=0,"",INDEX(TilgZins,($N$6-1)*480+433))</f>
      </c>
      <c r="H447" s="30">
        <f>IF(INDEX(TilgAktiv,($N$6-1)*480+433)=0,"",INDEX(TilgTilgung,($N$6-1)*480+433))</f>
      </c>
      <c r="I447" s="30">
        <f>IF(INDEX(TilgAktiv,($N$6-1)*480+433)=0,"",INDEX(TilgSonder,($N$6-1)*480+433))</f>
      </c>
      <c r="J447" s="30">
        <f>IF(INDEX(TilgAktiv,($N$6-1)*480+433)=0,"",INDEX(TilgErsatz,($N$6-1)*480+433))</f>
      </c>
      <c r="K447" s="30">
        <f>IF(INDEX(TilgAktiv,($N$6-1)*480+433)=0,"",INDEX(Tilgung!$Q$4:$Q$9603,($N$6-1)*480+433))</f>
      </c>
      <c r="L447" s="30">
        <f>IF(INDEX(TilgAktiv,($N$6-1)*480+433)=0,"",INDEX(Tilgung!$R$4:$R$9603,($N$6-1)*480+433))</f>
      </c>
    </row>
    <row r="448">
      <c r="A448"/>
      <c r="B448" s="36">
        <f>IF(INDEX(TilgAktiv,($N$6-1)*480+434)=0,"",434)</f>
      </c>
      <c r="C448" s="41">
        <f>IF(INDEX(TilgAktiv,($N$6-1)*480+434)=0,"",INDEX(TilgDatum,($N$6-1)*480+434))</f>
      </c>
      <c r="D448" s="31">
        <f>IF(INDEX(TilgAktiv,($N$6-1)*480+434)=0,"",INDEX(Tilgung!$H$4:$H$9603,($N$6-1)*480+434))</f>
      </c>
      <c r="E448" s="30">
        <f>IF(INDEX(TilgAktiv,($N$6-1)*480+434)=0,"",INDEX(Tilgung!$J$4:$J$9603,($N$6-1)*480+434))</f>
      </c>
      <c r="F448" s="30">
        <f>IF(INDEX(TilgAktiv,($N$6-1)*480+434)=0,"",IF(INDEX(TilgTilgung,($N$6-1)*480+434)=0,INDEX(TilgZins,($N$6-1)*480+434),INDEX(TilgZins,($N$6-1)*480+434)+INDEX(TilgTilgung,($N$6-1)*480+434))+INDEX(TilgErsatz,($N$6-1)*480+434))</f>
      </c>
      <c r="G448" s="30">
        <f>IF(INDEX(TilgAktiv,($N$6-1)*480+434)=0,"",INDEX(TilgZins,($N$6-1)*480+434))</f>
      </c>
      <c r="H448" s="30">
        <f>IF(INDEX(TilgAktiv,($N$6-1)*480+434)=0,"",INDEX(TilgTilgung,($N$6-1)*480+434))</f>
      </c>
      <c r="I448" s="30">
        <f>IF(INDEX(TilgAktiv,($N$6-1)*480+434)=0,"",INDEX(TilgSonder,($N$6-1)*480+434))</f>
      </c>
      <c r="J448" s="30">
        <f>IF(INDEX(TilgAktiv,($N$6-1)*480+434)=0,"",INDEX(TilgErsatz,($N$6-1)*480+434))</f>
      </c>
      <c r="K448" s="30">
        <f>IF(INDEX(TilgAktiv,($N$6-1)*480+434)=0,"",INDEX(Tilgung!$Q$4:$Q$9603,($N$6-1)*480+434))</f>
      </c>
      <c r="L448" s="30">
        <f>IF(INDEX(TilgAktiv,($N$6-1)*480+434)=0,"",INDEX(Tilgung!$R$4:$R$9603,($N$6-1)*480+434))</f>
      </c>
    </row>
    <row r="449">
      <c r="A449"/>
      <c r="B449" s="36">
        <f>IF(INDEX(TilgAktiv,($N$6-1)*480+435)=0,"",435)</f>
      </c>
      <c r="C449" s="41">
        <f>IF(INDEX(TilgAktiv,($N$6-1)*480+435)=0,"",INDEX(TilgDatum,($N$6-1)*480+435))</f>
      </c>
      <c r="D449" s="31">
        <f>IF(INDEX(TilgAktiv,($N$6-1)*480+435)=0,"",INDEX(Tilgung!$H$4:$H$9603,($N$6-1)*480+435))</f>
      </c>
      <c r="E449" s="30">
        <f>IF(INDEX(TilgAktiv,($N$6-1)*480+435)=0,"",INDEX(Tilgung!$J$4:$J$9603,($N$6-1)*480+435))</f>
      </c>
      <c r="F449" s="30">
        <f>IF(INDEX(TilgAktiv,($N$6-1)*480+435)=0,"",IF(INDEX(TilgTilgung,($N$6-1)*480+435)=0,INDEX(TilgZins,($N$6-1)*480+435),INDEX(TilgZins,($N$6-1)*480+435)+INDEX(TilgTilgung,($N$6-1)*480+435))+INDEX(TilgErsatz,($N$6-1)*480+435))</f>
      </c>
      <c r="G449" s="30">
        <f>IF(INDEX(TilgAktiv,($N$6-1)*480+435)=0,"",INDEX(TilgZins,($N$6-1)*480+435))</f>
      </c>
      <c r="H449" s="30">
        <f>IF(INDEX(TilgAktiv,($N$6-1)*480+435)=0,"",INDEX(TilgTilgung,($N$6-1)*480+435))</f>
      </c>
      <c r="I449" s="30">
        <f>IF(INDEX(TilgAktiv,($N$6-1)*480+435)=0,"",INDEX(TilgSonder,($N$6-1)*480+435))</f>
      </c>
      <c r="J449" s="30">
        <f>IF(INDEX(TilgAktiv,($N$6-1)*480+435)=0,"",INDEX(TilgErsatz,($N$6-1)*480+435))</f>
      </c>
      <c r="K449" s="30">
        <f>IF(INDEX(TilgAktiv,($N$6-1)*480+435)=0,"",INDEX(Tilgung!$Q$4:$Q$9603,($N$6-1)*480+435))</f>
      </c>
      <c r="L449" s="30">
        <f>IF(INDEX(TilgAktiv,($N$6-1)*480+435)=0,"",INDEX(Tilgung!$R$4:$R$9603,($N$6-1)*480+435))</f>
      </c>
    </row>
    <row r="450">
      <c r="A450"/>
      <c r="B450" s="36">
        <f>IF(INDEX(TilgAktiv,($N$6-1)*480+436)=0,"",436)</f>
      </c>
      <c r="C450" s="41">
        <f>IF(INDEX(TilgAktiv,($N$6-1)*480+436)=0,"",INDEX(TilgDatum,($N$6-1)*480+436))</f>
      </c>
      <c r="D450" s="31">
        <f>IF(INDEX(TilgAktiv,($N$6-1)*480+436)=0,"",INDEX(Tilgung!$H$4:$H$9603,($N$6-1)*480+436))</f>
      </c>
      <c r="E450" s="30">
        <f>IF(INDEX(TilgAktiv,($N$6-1)*480+436)=0,"",INDEX(Tilgung!$J$4:$J$9603,($N$6-1)*480+436))</f>
      </c>
      <c r="F450" s="30">
        <f>IF(INDEX(TilgAktiv,($N$6-1)*480+436)=0,"",IF(INDEX(TilgTilgung,($N$6-1)*480+436)=0,INDEX(TilgZins,($N$6-1)*480+436),INDEX(TilgZins,($N$6-1)*480+436)+INDEX(TilgTilgung,($N$6-1)*480+436))+INDEX(TilgErsatz,($N$6-1)*480+436))</f>
      </c>
      <c r="G450" s="30">
        <f>IF(INDEX(TilgAktiv,($N$6-1)*480+436)=0,"",INDEX(TilgZins,($N$6-1)*480+436))</f>
      </c>
      <c r="H450" s="30">
        <f>IF(INDEX(TilgAktiv,($N$6-1)*480+436)=0,"",INDEX(TilgTilgung,($N$6-1)*480+436))</f>
      </c>
      <c r="I450" s="30">
        <f>IF(INDEX(TilgAktiv,($N$6-1)*480+436)=0,"",INDEX(TilgSonder,($N$6-1)*480+436))</f>
      </c>
      <c r="J450" s="30">
        <f>IF(INDEX(TilgAktiv,($N$6-1)*480+436)=0,"",INDEX(TilgErsatz,($N$6-1)*480+436))</f>
      </c>
      <c r="K450" s="30">
        <f>IF(INDEX(TilgAktiv,($N$6-1)*480+436)=0,"",INDEX(Tilgung!$Q$4:$Q$9603,($N$6-1)*480+436))</f>
      </c>
      <c r="L450" s="30">
        <f>IF(INDEX(TilgAktiv,($N$6-1)*480+436)=0,"",INDEX(Tilgung!$R$4:$R$9603,($N$6-1)*480+436))</f>
      </c>
    </row>
    <row r="451">
      <c r="A451"/>
      <c r="B451" s="36">
        <f>IF(INDEX(TilgAktiv,($N$6-1)*480+437)=0,"",437)</f>
      </c>
      <c r="C451" s="41">
        <f>IF(INDEX(TilgAktiv,($N$6-1)*480+437)=0,"",INDEX(TilgDatum,($N$6-1)*480+437))</f>
      </c>
      <c r="D451" s="31">
        <f>IF(INDEX(TilgAktiv,($N$6-1)*480+437)=0,"",INDEX(Tilgung!$H$4:$H$9603,($N$6-1)*480+437))</f>
      </c>
      <c r="E451" s="30">
        <f>IF(INDEX(TilgAktiv,($N$6-1)*480+437)=0,"",INDEX(Tilgung!$J$4:$J$9603,($N$6-1)*480+437))</f>
      </c>
      <c r="F451" s="30">
        <f>IF(INDEX(TilgAktiv,($N$6-1)*480+437)=0,"",IF(INDEX(TilgTilgung,($N$6-1)*480+437)=0,INDEX(TilgZins,($N$6-1)*480+437),INDEX(TilgZins,($N$6-1)*480+437)+INDEX(TilgTilgung,($N$6-1)*480+437))+INDEX(TilgErsatz,($N$6-1)*480+437))</f>
      </c>
      <c r="G451" s="30">
        <f>IF(INDEX(TilgAktiv,($N$6-1)*480+437)=0,"",INDEX(TilgZins,($N$6-1)*480+437))</f>
      </c>
      <c r="H451" s="30">
        <f>IF(INDEX(TilgAktiv,($N$6-1)*480+437)=0,"",INDEX(TilgTilgung,($N$6-1)*480+437))</f>
      </c>
      <c r="I451" s="30">
        <f>IF(INDEX(TilgAktiv,($N$6-1)*480+437)=0,"",INDEX(TilgSonder,($N$6-1)*480+437))</f>
      </c>
      <c r="J451" s="30">
        <f>IF(INDEX(TilgAktiv,($N$6-1)*480+437)=0,"",INDEX(TilgErsatz,($N$6-1)*480+437))</f>
      </c>
      <c r="K451" s="30">
        <f>IF(INDEX(TilgAktiv,($N$6-1)*480+437)=0,"",INDEX(Tilgung!$Q$4:$Q$9603,($N$6-1)*480+437))</f>
      </c>
      <c r="L451" s="30">
        <f>IF(INDEX(TilgAktiv,($N$6-1)*480+437)=0,"",INDEX(Tilgung!$R$4:$R$9603,($N$6-1)*480+437))</f>
      </c>
    </row>
    <row r="452">
      <c r="A452"/>
      <c r="B452" s="36">
        <f>IF(INDEX(TilgAktiv,($N$6-1)*480+438)=0,"",438)</f>
      </c>
      <c r="C452" s="41">
        <f>IF(INDEX(TilgAktiv,($N$6-1)*480+438)=0,"",INDEX(TilgDatum,($N$6-1)*480+438))</f>
      </c>
      <c r="D452" s="31">
        <f>IF(INDEX(TilgAktiv,($N$6-1)*480+438)=0,"",INDEX(Tilgung!$H$4:$H$9603,($N$6-1)*480+438))</f>
      </c>
      <c r="E452" s="30">
        <f>IF(INDEX(TilgAktiv,($N$6-1)*480+438)=0,"",INDEX(Tilgung!$J$4:$J$9603,($N$6-1)*480+438))</f>
      </c>
      <c r="F452" s="30">
        <f>IF(INDEX(TilgAktiv,($N$6-1)*480+438)=0,"",IF(INDEX(TilgTilgung,($N$6-1)*480+438)=0,INDEX(TilgZins,($N$6-1)*480+438),INDEX(TilgZins,($N$6-1)*480+438)+INDEX(TilgTilgung,($N$6-1)*480+438))+INDEX(TilgErsatz,($N$6-1)*480+438))</f>
      </c>
      <c r="G452" s="30">
        <f>IF(INDEX(TilgAktiv,($N$6-1)*480+438)=0,"",INDEX(TilgZins,($N$6-1)*480+438))</f>
      </c>
      <c r="H452" s="30">
        <f>IF(INDEX(TilgAktiv,($N$6-1)*480+438)=0,"",INDEX(TilgTilgung,($N$6-1)*480+438))</f>
      </c>
      <c r="I452" s="30">
        <f>IF(INDEX(TilgAktiv,($N$6-1)*480+438)=0,"",INDEX(TilgSonder,($N$6-1)*480+438))</f>
      </c>
      <c r="J452" s="30">
        <f>IF(INDEX(TilgAktiv,($N$6-1)*480+438)=0,"",INDEX(TilgErsatz,($N$6-1)*480+438))</f>
      </c>
      <c r="K452" s="30">
        <f>IF(INDEX(TilgAktiv,($N$6-1)*480+438)=0,"",INDEX(Tilgung!$Q$4:$Q$9603,($N$6-1)*480+438))</f>
      </c>
      <c r="L452" s="30">
        <f>IF(INDEX(TilgAktiv,($N$6-1)*480+438)=0,"",INDEX(Tilgung!$R$4:$R$9603,($N$6-1)*480+438))</f>
      </c>
    </row>
    <row r="453">
      <c r="A453"/>
      <c r="B453" s="36">
        <f>IF(INDEX(TilgAktiv,($N$6-1)*480+439)=0,"",439)</f>
      </c>
      <c r="C453" s="41">
        <f>IF(INDEX(TilgAktiv,($N$6-1)*480+439)=0,"",INDEX(TilgDatum,($N$6-1)*480+439))</f>
      </c>
      <c r="D453" s="31">
        <f>IF(INDEX(TilgAktiv,($N$6-1)*480+439)=0,"",INDEX(Tilgung!$H$4:$H$9603,($N$6-1)*480+439))</f>
      </c>
      <c r="E453" s="30">
        <f>IF(INDEX(TilgAktiv,($N$6-1)*480+439)=0,"",INDEX(Tilgung!$J$4:$J$9603,($N$6-1)*480+439))</f>
      </c>
      <c r="F453" s="30">
        <f>IF(INDEX(TilgAktiv,($N$6-1)*480+439)=0,"",IF(INDEX(TilgTilgung,($N$6-1)*480+439)=0,INDEX(TilgZins,($N$6-1)*480+439),INDEX(TilgZins,($N$6-1)*480+439)+INDEX(TilgTilgung,($N$6-1)*480+439))+INDEX(TilgErsatz,($N$6-1)*480+439))</f>
      </c>
      <c r="G453" s="30">
        <f>IF(INDEX(TilgAktiv,($N$6-1)*480+439)=0,"",INDEX(TilgZins,($N$6-1)*480+439))</f>
      </c>
      <c r="H453" s="30">
        <f>IF(INDEX(TilgAktiv,($N$6-1)*480+439)=0,"",INDEX(TilgTilgung,($N$6-1)*480+439))</f>
      </c>
      <c r="I453" s="30">
        <f>IF(INDEX(TilgAktiv,($N$6-1)*480+439)=0,"",INDEX(TilgSonder,($N$6-1)*480+439))</f>
      </c>
      <c r="J453" s="30">
        <f>IF(INDEX(TilgAktiv,($N$6-1)*480+439)=0,"",INDEX(TilgErsatz,($N$6-1)*480+439))</f>
      </c>
      <c r="K453" s="30">
        <f>IF(INDEX(TilgAktiv,($N$6-1)*480+439)=0,"",INDEX(Tilgung!$Q$4:$Q$9603,($N$6-1)*480+439))</f>
      </c>
      <c r="L453" s="30">
        <f>IF(INDEX(TilgAktiv,($N$6-1)*480+439)=0,"",INDEX(Tilgung!$R$4:$R$9603,($N$6-1)*480+439))</f>
      </c>
    </row>
    <row r="454">
      <c r="A454"/>
      <c r="B454" s="36">
        <f>IF(INDEX(TilgAktiv,($N$6-1)*480+440)=0,"",440)</f>
      </c>
      <c r="C454" s="41">
        <f>IF(INDEX(TilgAktiv,($N$6-1)*480+440)=0,"",INDEX(TilgDatum,($N$6-1)*480+440))</f>
      </c>
      <c r="D454" s="31">
        <f>IF(INDEX(TilgAktiv,($N$6-1)*480+440)=0,"",INDEX(Tilgung!$H$4:$H$9603,($N$6-1)*480+440))</f>
      </c>
      <c r="E454" s="30">
        <f>IF(INDEX(TilgAktiv,($N$6-1)*480+440)=0,"",INDEX(Tilgung!$J$4:$J$9603,($N$6-1)*480+440))</f>
      </c>
      <c r="F454" s="30">
        <f>IF(INDEX(TilgAktiv,($N$6-1)*480+440)=0,"",IF(INDEX(TilgTilgung,($N$6-1)*480+440)=0,INDEX(TilgZins,($N$6-1)*480+440),INDEX(TilgZins,($N$6-1)*480+440)+INDEX(TilgTilgung,($N$6-1)*480+440))+INDEX(TilgErsatz,($N$6-1)*480+440))</f>
      </c>
      <c r="G454" s="30">
        <f>IF(INDEX(TilgAktiv,($N$6-1)*480+440)=0,"",INDEX(TilgZins,($N$6-1)*480+440))</f>
      </c>
      <c r="H454" s="30">
        <f>IF(INDEX(TilgAktiv,($N$6-1)*480+440)=0,"",INDEX(TilgTilgung,($N$6-1)*480+440))</f>
      </c>
      <c r="I454" s="30">
        <f>IF(INDEX(TilgAktiv,($N$6-1)*480+440)=0,"",INDEX(TilgSonder,($N$6-1)*480+440))</f>
      </c>
      <c r="J454" s="30">
        <f>IF(INDEX(TilgAktiv,($N$6-1)*480+440)=0,"",INDEX(TilgErsatz,($N$6-1)*480+440))</f>
      </c>
      <c r="K454" s="30">
        <f>IF(INDEX(TilgAktiv,($N$6-1)*480+440)=0,"",INDEX(Tilgung!$Q$4:$Q$9603,($N$6-1)*480+440))</f>
      </c>
      <c r="L454" s="30">
        <f>IF(INDEX(TilgAktiv,($N$6-1)*480+440)=0,"",INDEX(Tilgung!$R$4:$R$9603,($N$6-1)*480+440))</f>
      </c>
    </row>
    <row r="455">
      <c r="A455"/>
      <c r="B455" s="36">
        <f>IF(INDEX(TilgAktiv,($N$6-1)*480+441)=0,"",441)</f>
      </c>
      <c r="C455" s="41">
        <f>IF(INDEX(TilgAktiv,($N$6-1)*480+441)=0,"",INDEX(TilgDatum,($N$6-1)*480+441))</f>
      </c>
      <c r="D455" s="31">
        <f>IF(INDEX(TilgAktiv,($N$6-1)*480+441)=0,"",INDEX(Tilgung!$H$4:$H$9603,($N$6-1)*480+441))</f>
      </c>
      <c r="E455" s="30">
        <f>IF(INDEX(TilgAktiv,($N$6-1)*480+441)=0,"",INDEX(Tilgung!$J$4:$J$9603,($N$6-1)*480+441))</f>
      </c>
      <c r="F455" s="30">
        <f>IF(INDEX(TilgAktiv,($N$6-1)*480+441)=0,"",IF(INDEX(TilgTilgung,($N$6-1)*480+441)=0,INDEX(TilgZins,($N$6-1)*480+441),INDEX(TilgZins,($N$6-1)*480+441)+INDEX(TilgTilgung,($N$6-1)*480+441))+INDEX(TilgErsatz,($N$6-1)*480+441))</f>
      </c>
      <c r="G455" s="30">
        <f>IF(INDEX(TilgAktiv,($N$6-1)*480+441)=0,"",INDEX(TilgZins,($N$6-1)*480+441))</f>
      </c>
      <c r="H455" s="30">
        <f>IF(INDEX(TilgAktiv,($N$6-1)*480+441)=0,"",INDEX(TilgTilgung,($N$6-1)*480+441))</f>
      </c>
      <c r="I455" s="30">
        <f>IF(INDEX(TilgAktiv,($N$6-1)*480+441)=0,"",INDEX(TilgSonder,($N$6-1)*480+441))</f>
      </c>
      <c r="J455" s="30">
        <f>IF(INDEX(TilgAktiv,($N$6-1)*480+441)=0,"",INDEX(TilgErsatz,($N$6-1)*480+441))</f>
      </c>
      <c r="K455" s="30">
        <f>IF(INDEX(TilgAktiv,($N$6-1)*480+441)=0,"",INDEX(Tilgung!$Q$4:$Q$9603,($N$6-1)*480+441))</f>
      </c>
      <c r="L455" s="30">
        <f>IF(INDEX(TilgAktiv,($N$6-1)*480+441)=0,"",INDEX(Tilgung!$R$4:$R$9603,($N$6-1)*480+441))</f>
      </c>
    </row>
    <row r="456">
      <c r="A456"/>
      <c r="B456" s="36">
        <f>IF(INDEX(TilgAktiv,($N$6-1)*480+442)=0,"",442)</f>
      </c>
      <c r="C456" s="41">
        <f>IF(INDEX(TilgAktiv,($N$6-1)*480+442)=0,"",INDEX(TilgDatum,($N$6-1)*480+442))</f>
      </c>
      <c r="D456" s="31">
        <f>IF(INDEX(TilgAktiv,($N$6-1)*480+442)=0,"",INDEX(Tilgung!$H$4:$H$9603,($N$6-1)*480+442))</f>
      </c>
      <c r="E456" s="30">
        <f>IF(INDEX(TilgAktiv,($N$6-1)*480+442)=0,"",INDEX(Tilgung!$J$4:$J$9603,($N$6-1)*480+442))</f>
      </c>
      <c r="F456" s="30">
        <f>IF(INDEX(TilgAktiv,($N$6-1)*480+442)=0,"",IF(INDEX(TilgTilgung,($N$6-1)*480+442)=0,INDEX(TilgZins,($N$6-1)*480+442),INDEX(TilgZins,($N$6-1)*480+442)+INDEX(TilgTilgung,($N$6-1)*480+442))+INDEX(TilgErsatz,($N$6-1)*480+442))</f>
      </c>
      <c r="G456" s="30">
        <f>IF(INDEX(TilgAktiv,($N$6-1)*480+442)=0,"",INDEX(TilgZins,($N$6-1)*480+442))</f>
      </c>
      <c r="H456" s="30">
        <f>IF(INDEX(TilgAktiv,($N$6-1)*480+442)=0,"",INDEX(TilgTilgung,($N$6-1)*480+442))</f>
      </c>
      <c r="I456" s="30">
        <f>IF(INDEX(TilgAktiv,($N$6-1)*480+442)=0,"",INDEX(TilgSonder,($N$6-1)*480+442))</f>
      </c>
      <c r="J456" s="30">
        <f>IF(INDEX(TilgAktiv,($N$6-1)*480+442)=0,"",INDEX(TilgErsatz,($N$6-1)*480+442))</f>
      </c>
      <c r="K456" s="30">
        <f>IF(INDEX(TilgAktiv,($N$6-1)*480+442)=0,"",INDEX(Tilgung!$Q$4:$Q$9603,($N$6-1)*480+442))</f>
      </c>
      <c r="L456" s="30">
        <f>IF(INDEX(TilgAktiv,($N$6-1)*480+442)=0,"",INDEX(Tilgung!$R$4:$R$9603,($N$6-1)*480+442))</f>
      </c>
    </row>
    <row r="457">
      <c r="A457"/>
      <c r="B457" s="36">
        <f>IF(INDEX(TilgAktiv,($N$6-1)*480+443)=0,"",443)</f>
      </c>
      <c r="C457" s="41">
        <f>IF(INDEX(TilgAktiv,($N$6-1)*480+443)=0,"",INDEX(TilgDatum,($N$6-1)*480+443))</f>
      </c>
      <c r="D457" s="31">
        <f>IF(INDEX(TilgAktiv,($N$6-1)*480+443)=0,"",INDEX(Tilgung!$H$4:$H$9603,($N$6-1)*480+443))</f>
      </c>
      <c r="E457" s="30">
        <f>IF(INDEX(TilgAktiv,($N$6-1)*480+443)=0,"",INDEX(Tilgung!$J$4:$J$9603,($N$6-1)*480+443))</f>
      </c>
      <c r="F457" s="30">
        <f>IF(INDEX(TilgAktiv,($N$6-1)*480+443)=0,"",IF(INDEX(TilgTilgung,($N$6-1)*480+443)=0,INDEX(TilgZins,($N$6-1)*480+443),INDEX(TilgZins,($N$6-1)*480+443)+INDEX(TilgTilgung,($N$6-1)*480+443))+INDEX(TilgErsatz,($N$6-1)*480+443))</f>
      </c>
      <c r="G457" s="30">
        <f>IF(INDEX(TilgAktiv,($N$6-1)*480+443)=0,"",INDEX(TilgZins,($N$6-1)*480+443))</f>
      </c>
      <c r="H457" s="30">
        <f>IF(INDEX(TilgAktiv,($N$6-1)*480+443)=0,"",INDEX(TilgTilgung,($N$6-1)*480+443))</f>
      </c>
      <c r="I457" s="30">
        <f>IF(INDEX(TilgAktiv,($N$6-1)*480+443)=0,"",INDEX(TilgSonder,($N$6-1)*480+443))</f>
      </c>
      <c r="J457" s="30">
        <f>IF(INDEX(TilgAktiv,($N$6-1)*480+443)=0,"",INDEX(TilgErsatz,($N$6-1)*480+443))</f>
      </c>
      <c r="K457" s="30">
        <f>IF(INDEX(TilgAktiv,($N$6-1)*480+443)=0,"",INDEX(Tilgung!$Q$4:$Q$9603,($N$6-1)*480+443))</f>
      </c>
      <c r="L457" s="30">
        <f>IF(INDEX(TilgAktiv,($N$6-1)*480+443)=0,"",INDEX(Tilgung!$R$4:$R$9603,($N$6-1)*480+443))</f>
      </c>
    </row>
    <row r="458">
      <c r="A458"/>
      <c r="B458" s="36">
        <f>IF(INDEX(TilgAktiv,($N$6-1)*480+444)=0,"",444)</f>
      </c>
      <c r="C458" s="41">
        <f>IF(INDEX(TilgAktiv,($N$6-1)*480+444)=0,"",INDEX(TilgDatum,($N$6-1)*480+444))</f>
      </c>
      <c r="D458" s="31">
        <f>IF(INDEX(TilgAktiv,($N$6-1)*480+444)=0,"",INDEX(Tilgung!$H$4:$H$9603,($N$6-1)*480+444))</f>
      </c>
      <c r="E458" s="30">
        <f>IF(INDEX(TilgAktiv,($N$6-1)*480+444)=0,"",INDEX(Tilgung!$J$4:$J$9603,($N$6-1)*480+444))</f>
      </c>
      <c r="F458" s="30">
        <f>IF(INDEX(TilgAktiv,($N$6-1)*480+444)=0,"",IF(INDEX(TilgTilgung,($N$6-1)*480+444)=0,INDEX(TilgZins,($N$6-1)*480+444),INDEX(TilgZins,($N$6-1)*480+444)+INDEX(TilgTilgung,($N$6-1)*480+444))+INDEX(TilgErsatz,($N$6-1)*480+444))</f>
      </c>
      <c r="G458" s="30">
        <f>IF(INDEX(TilgAktiv,($N$6-1)*480+444)=0,"",INDEX(TilgZins,($N$6-1)*480+444))</f>
      </c>
      <c r="H458" s="30">
        <f>IF(INDEX(TilgAktiv,($N$6-1)*480+444)=0,"",INDEX(TilgTilgung,($N$6-1)*480+444))</f>
      </c>
      <c r="I458" s="30">
        <f>IF(INDEX(TilgAktiv,($N$6-1)*480+444)=0,"",INDEX(TilgSonder,($N$6-1)*480+444))</f>
      </c>
      <c r="J458" s="30">
        <f>IF(INDEX(TilgAktiv,($N$6-1)*480+444)=0,"",INDEX(TilgErsatz,($N$6-1)*480+444))</f>
      </c>
      <c r="K458" s="30">
        <f>IF(INDEX(TilgAktiv,($N$6-1)*480+444)=0,"",INDEX(Tilgung!$Q$4:$Q$9603,($N$6-1)*480+444))</f>
      </c>
      <c r="L458" s="30">
        <f>IF(INDEX(TilgAktiv,($N$6-1)*480+444)=0,"",INDEX(Tilgung!$R$4:$R$9603,($N$6-1)*480+444))</f>
      </c>
    </row>
    <row r="459">
      <c r="A459"/>
      <c r="B459" s="36">
        <f>IF(INDEX(TilgAktiv,($N$6-1)*480+445)=0,"",445)</f>
      </c>
      <c r="C459" s="41">
        <f>IF(INDEX(TilgAktiv,($N$6-1)*480+445)=0,"",INDEX(TilgDatum,($N$6-1)*480+445))</f>
      </c>
      <c r="D459" s="31">
        <f>IF(INDEX(TilgAktiv,($N$6-1)*480+445)=0,"",INDEX(Tilgung!$H$4:$H$9603,($N$6-1)*480+445))</f>
      </c>
      <c r="E459" s="30">
        <f>IF(INDEX(TilgAktiv,($N$6-1)*480+445)=0,"",INDEX(Tilgung!$J$4:$J$9603,($N$6-1)*480+445))</f>
      </c>
      <c r="F459" s="30">
        <f>IF(INDEX(TilgAktiv,($N$6-1)*480+445)=0,"",IF(INDEX(TilgTilgung,($N$6-1)*480+445)=0,INDEX(TilgZins,($N$6-1)*480+445),INDEX(TilgZins,($N$6-1)*480+445)+INDEX(TilgTilgung,($N$6-1)*480+445))+INDEX(TilgErsatz,($N$6-1)*480+445))</f>
      </c>
      <c r="G459" s="30">
        <f>IF(INDEX(TilgAktiv,($N$6-1)*480+445)=0,"",INDEX(TilgZins,($N$6-1)*480+445))</f>
      </c>
      <c r="H459" s="30">
        <f>IF(INDEX(TilgAktiv,($N$6-1)*480+445)=0,"",INDEX(TilgTilgung,($N$6-1)*480+445))</f>
      </c>
      <c r="I459" s="30">
        <f>IF(INDEX(TilgAktiv,($N$6-1)*480+445)=0,"",INDEX(TilgSonder,($N$6-1)*480+445))</f>
      </c>
      <c r="J459" s="30">
        <f>IF(INDEX(TilgAktiv,($N$6-1)*480+445)=0,"",INDEX(TilgErsatz,($N$6-1)*480+445))</f>
      </c>
      <c r="K459" s="30">
        <f>IF(INDEX(TilgAktiv,($N$6-1)*480+445)=0,"",INDEX(Tilgung!$Q$4:$Q$9603,($N$6-1)*480+445))</f>
      </c>
      <c r="L459" s="30">
        <f>IF(INDEX(TilgAktiv,($N$6-1)*480+445)=0,"",INDEX(Tilgung!$R$4:$R$9603,($N$6-1)*480+445))</f>
      </c>
    </row>
    <row r="460">
      <c r="A460"/>
      <c r="B460" s="36">
        <f>IF(INDEX(TilgAktiv,($N$6-1)*480+446)=0,"",446)</f>
      </c>
      <c r="C460" s="41">
        <f>IF(INDEX(TilgAktiv,($N$6-1)*480+446)=0,"",INDEX(TilgDatum,($N$6-1)*480+446))</f>
      </c>
      <c r="D460" s="31">
        <f>IF(INDEX(TilgAktiv,($N$6-1)*480+446)=0,"",INDEX(Tilgung!$H$4:$H$9603,($N$6-1)*480+446))</f>
      </c>
      <c r="E460" s="30">
        <f>IF(INDEX(TilgAktiv,($N$6-1)*480+446)=0,"",INDEX(Tilgung!$J$4:$J$9603,($N$6-1)*480+446))</f>
      </c>
      <c r="F460" s="30">
        <f>IF(INDEX(TilgAktiv,($N$6-1)*480+446)=0,"",IF(INDEX(TilgTilgung,($N$6-1)*480+446)=0,INDEX(TilgZins,($N$6-1)*480+446),INDEX(TilgZins,($N$6-1)*480+446)+INDEX(TilgTilgung,($N$6-1)*480+446))+INDEX(TilgErsatz,($N$6-1)*480+446))</f>
      </c>
      <c r="G460" s="30">
        <f>IF(INDEX(TilgAktiv,($N$6-1)*480+446)=0,"",INDEX(TilgZins,($N$6-1)*480+446))</f>
      </c>
      <c r="H460" s="30">
        <f>IF(INDEX(TilgAktiv,($N$6-1)*480+446)=0,"",INDEX(TilgTilgung,($N$6-1)*480+446))</f>
      </c>
      <c r="I460" s="30">
        <f>IF(INDEX(TilgAktiv,($N$6-1)*480+446)=0,"",INDEX(TilgSonder,($N$6-1)*480+446))</f>
      </c>
      <c r="J460" s="30">
        <f>IF(INDEX(TilgAktiv,($N$6-1)*480+446)=0,"",INDEX(TilgErsatz,($N$6-1)*480+446))</f>
      </c>
      <c r="K460" s="30">
        <f>IF(INDEX(TilgAktiv,($N$6-1)*480+446)=0,"",INDEX(Tilgung!$Q$4:$Q$9603,($N$6-1)*480+446))</f>
      </c>
      <c r="L460" s="30">
        <f>IF(INDEX(TilgAktiv,($N$6-1)*480+446)=0,"",INDEX(Tilgung!$R$4:$R$9603,($N$6-1)*480+446))</f>
      </c>
    </row>
    <row r="461">
      <c r="A461"/>
      <c r="B461" s="36">
        <f>IF(INDEX(TilgAktiv,($N$6-1)*480+447)=0,"",447)</f>
      </c>
      <c r="C461" s="41">
        <f>IF(INDEX(TilgAktiv,($N$6-1)*480+447)=0,"",INDEX(TilgDatum,($N$6-1)*480+447))</f>
      </c>
      <c r="D461" s="31">
        <f>IF(INDEX(TilgAktiv,($N$6-1)*480+447)=0,"",INDEX(Tilgung!$H$4:$H$9603,($N$6-1)*480+447))</f>
      </c>
      <c r="E461" s="30">
        <f>IF(INDEX(TilgAktiv,($N$6-1)*480+447)=0,"",INDEX(Tilgung!$J$4:$J$9603,($N$6-1)*480+447))</f>
      </c>
      <c r="F461" s="30">
        <f>IF(INDEX(TilgAktiv,($N$6-1)*480+447)=0,"",IF(INDEX(TilgTilgung,($N$6-1)*480+447)=0,INDEX(TilgZins,($N$6-1)*480+447),INDEX(TilgZins,($N$6-1)*480+447)+INDEX(TilgTilgung,($N$6-1)*480+447))+INDEX(TilgErsatz,($N$6-1)*480+447))</f>
      </c>
      <c r="G461" s="30">
        <f>IF(INDEX(TilgAktiv,($N$6-1)*480+447)=0,"",INDEX(TilgZins,($N$6-1)*480+447))</f>
      </c>
      <c r="H461" s="30">
        <f>IF(INDEX(TilgAktiv,($N$6-1)*480+447)=0,"",INDEX(TilgTilgung,($N$6-1)*480+447))</f>
      </c>
      <c r="I461" s="30">
        <f>IF(INDEX(TilgAktiv,($N$6-1)*480+447)=0,"",INDEX(TilgSonder,($N$6-1)*480+447))</f>
      </c>
      <c r="J461" s="30">
        <f>IF(INDEX(TilgAktiv,($N$6-1)*480+447)=0,"",INDEX(TilgErsatz,($N$6-1)*480+447))</f>
      </c>
      <c r="K461" s="30">
        <f>IF(INDEX(TilgAktiv,($N$6-1)*480+447)=0,"",INDEX(Tilgung!$Q$4:$Q$9603,($N$6-1)*480+447))</f>
      </c>
      <c r="L461" s="30">
        <f>IF(INDEX(TilgAktiv,($N$6-1)*480+447)=0,"",INDEX(Tilgung!$R$4:$R$9603,($N$6-1)*480+447))</f>
      </c>
    </row>
    <row r="462">
      <c r="A462"/>
      <c r="B462" s="36">
        <f>IF(INDEX(TilgAktiv,($N$6-1)*480+448)=0,"",448)</f>
      </c>
      <c r="C462" s="41">
        <f>IF(INDEX(TilgAktiv,($N$6-1)*480+448)=0,"",INDEX(TilgDatum,($N$6-1)*480+448))</f>
      </c>
      <c r="D462" s="31">
        <f>IF(INDEX(TilgAktiv,($N$6-1)*480+448)=0,"",INDEX(Tilgung!$H$4:$H$9603,($N$6-1)*480+448))</f>
      </c>
      <c r="E462" s="30">
        <f>IF(INDEX(TilgAktiv,($N$6-1)*480+448)=0,"",INDEX(Tilgung!$J$4:$J$9603,($N$6-1)*480+448))</f>
      </c>
      <c r="F462" s="30">
        <f>IF(INDEX(TilgAktiv,($N$6-1)*480+448)=0,"",IF(INDEX(TilgTilgung,($N$6-1)*480+448)=0,INDEX(TilgZins,($N$6-1)*480+448),INDEX(TilgZins,($N$6-1)*480+448)+INDEX(TilgTilgung,($N$6-1)*480+448))+INDEX(TilgErsatz,($N$6-1)*480+448))</f>
      </c>
      <c r="G462" s="30">
        <f>IF(INDEX(TilgAktiv,($N$6-1)*480+448)=0,"",INDEX(TilgZins,($N$6-1)*480+448))</f>
      </c>
      <c r="H462" s="30">
        <f>IF(INDEX(TilgAktiv,($N$6-1)*480+448)=0,"",INDEX(TilgTilgung,($N$6-1)*480+448))</f>
      </c>
      <c r="I462" s="30">
        <f>IF(INDEX(TilgAktiv,($N$6-1)*480+448)=0,"",INDEX(TilgSonder,($N$6-1)*480+448))</f>
      </c>
      <c r="J462" s="30">
        <f>IF(INDEX(TilgAktiv,($N$6-1)*480+448)=0,"",INDEX(TilgErsatz,($N$6-1)*480+448))</f>
      </c>
      <c r="K462" s="30">
        <f>IF(INDEX(TilgAktiv,($N$6-1)*480+448)=0,"",INDEX(Tilgung!$Q$4:$Q$9603,($N$6-1)*480+448))</f>
      </c>
      <c r="L462" s="30">
        <f>IF(INDEX(TilgAktiv,($N$6-1)*480+448)=0,"",INDEX(Tilgung!$R$4:$R$9603,($N$6-1)*480+448))</f>
      </c>
    </row>
    <row r="463">
      <c r="A463"/>
      <c r="B463" s="36">
        <f>IF(INDEX(TilgAktiv,($N$6-1)*480+449)=0,"",449)</f>
      </c>
      <c r="C463" s="41">
        <f>IF(INDEX(TilgAktiv,($N$6-1)*480+449)=0,"",INDEX(TilgDatum,($N$6-1)*480+449))</f>
      </c>
      <c r="D463" s="31">
        <f>IF(INDEX(TilgAktiv,($N$6-1)*480+449)=0,"",INDEX(Tilgung!$H$4:$H$9603,($N$6-1)*480+449))</f>
      </c>
      <c r="E463" s="30">
        <f>IF(INDEX(TilgAktiv,($N$6-1)*480+449)=0,"",INDEX(Tilgung!$J$4:$J$9603,($N$6-1)*480+449))</f>
      </c>
      <c r="F463" s="30">
        <f>IF(INDEX(TilgAktiv,($N$6-1)*480+449)=0,"",IF(INDEX(TilgTilgung,($N$6-1)*480+449)=0,INDEX(TilgZins,($N$6-1)*480+449),INDEX(TilgZins,($N$6-1)*480+449)+INDEX(TilgTilgung,($N$6-1)*480+449))+INDEX(TilgErsatz,($N$6-1)*480+449))</f>
      </c>
      <c r="G463" s="30">
        <f>IF(INDEX(TilgAktiv,($N$6-1)*480+449)=0,"",INDEX(TilgZins,($N$6-1)*480+449))</f>
      </c>
      <c r="H463" s="30">
        <f>IF(INDEX(TilgAktiv,($N$6-1)*480+449)=0,"",INDEX(TilgTilgung,($N$6-1)*480+449))</f>
      </c>
      <c r="I463" s="30">
        <f>IF(INDEX(TilgAktiv,($N$6-1)*480+449)=0,"",INDEX(TilgSonder,($N$6-1)*480+449))</f>
      </c>
      <c r="J463" s="30">
        <f>IF(INDEX(TilgAktiv,($N$6-1)*480+449)=0,"",INDEX(TilgErsatz,($N$6-1)*480+449))</f>
      </c>
      <c r="K463" s="30">
        <f>IF(INDEX(TilgAktiv,($N$6-1)*480+449)=0,"",INDEX(Tilgung!$Q$4:$Q$9603,($N$6-1)*480+449))</f>
      </c>
      <c r="L463" s="30">
        <f>IF(INDEX(TilgAktiv,($N$6-1)*480+449)=0,"",INDEX(Tilgung!$R$4:$R$9603,($N$6-1)*480+449))</f>
      </c>
    </row>
    <row r="464">
      <c r="A464"/>
      <c r="B464" s="36">
        <f>IF(INDEX(TilgAktiv,($N$6-1)*480+450)=0,"",450)</f>
      </c>
      <c r="C464" s="41">
        <f>IF(INDEX(TilgAktiv,($N$6-1)*480+450)=0,"",INDEX(TilgDatum,($N$6-1)*480+450))</f>
      </c>
      <c r="D464" s="31">
        <f>IF(INDEX(TilgAktiv,($N$6-1)*480+450)=0,"",INDEX(Tilgung!$H$4:$H$9603,($N$6-1)*480+450))</f>
      </c>
      <c r="E464" s="30">
        <f>IF(INDEX(TilgAktiv,($N$6-1)*480+450)=0,"",INDEX(Tilgung!$J$4:$J$9603,($N$6-1)*480+450))</f>
      </c>
      <c r="F464" s="30">
        <f>IF(INDEX(TilgAktiv,($N$6-1)*480+450)=0,"",IF(INDEX(TilgTilgung,($N$6-1)*480+450)=0,INDEX(TilgZins,($N$6-1)*480+450),INDEX(TilgZins,($N$6-1)*480+450)+INDEX(TilgTilgung,($N$6-1)*480+450))+INDEX(TilgErsatz,($N$6-1)*480+450))</f>
      </c>
      <c r="G464" s="30">
        <f>IF(INDEX(TilgAktiv,($N$6-1)*480+450)=0,"",INDEX(TilgZins,($N$6-1)*480+450))</f>
      </c>
      <c r="H464" s="30">
        <f>IF(INDEX(TilgAktiv,($N$6-1)*480+450)=0,"",INDEX(TilgTilgung,($N$6-1)*480+450))</f>
      </c>
      <c r="I464" s="30">
        <f>IF(INDEX(TilgAktiv,($N$6-1)*480+450)=0,"",INDEX(TilgSonder,($N$6-1)*480+450))</f>
      </c>
      <c r="J464" s="30">
        <f>IF(INDEX(TilgAktiv,($N$6-1)*480+450)=0,"",INDEX(TilgErsatz,($N$6-1)*480+450))</f>
      </c>
      <c r="K464" s="30">
        <f>IF(INDEX(TilgAktiv,($N$6-1)*480+450)=0,"",INDEX(Tilgung!$Q$4:$Q$9603,($N$6-1)*480+450))</f>
      </c>
      <c r="L464" s="30">
        <f>IF(INDEX(TilgAktiv,($N$6-1)*480+450)=0,"",INDEX(Tilgung!$R$4:$R$9603,($N$6-1)*480+450))</f>
      </c>
    </row>
    <row r="465">
      <c r="A465"/>
      <c r="B465" s="36">
        <f>IF(INDEX(TilgAktiv,($N$6-1)*480+451)=0,"",451)</f>
      </c>
      <c r="C465" s="41">
        <f>IF(INDEX(TilgAktiv,($N$6-1)*480+451)=0,"",INDEX(TilgDatum,($N$6-1)*480+451))</f>
      </c>
      <c r="D465" s="31">
        <f>IF(INDEX(TilgAktiv,($N$6-1)*480+451)=0,"",INDEX(Tilgung!$H$4:$H$9603,($N$6-1)*480+451))</f>
      </c>
      <c r="E465" s="30">
        <f>IF(INDEX(TilgAktiv,($N$6-1)*480+451)=0,"",INDEX(Tilgung!$J$4:$J$9603,($N$6-1)*480+451))</f>
      </c>
      <c r="F465" s="30">
        <f>IF(INDEX(TilgAktiv,($N$6-1)*480+451)=0,"",IF(INDEX(TilgTilgung,($N$6-1)*480+451)=0,INDEX(TilgZins,($N$6-1)*480+451),INDEX(TilgZins,($N$6-1)*480+451)+INDEX(TilgTilgung,($N$6-1)*480+451))+INDEX(TilgErsatz,($N$6-1)*480+451))</f>
      </c>
      <c r="G465" s="30">
        <f>IF(INDEX(TilgAktiv,($N$6-1)*480+451)=0,"",INDEX(TilgZins,($N$6-1)*480+451))</f>
      </c>
      <c r="H465" s="30">
        <f>IF(INDEX(TilgAktiv,($N$6-1)*480+451)=0,"",INDEX(TilgTilgung,($N$6-1)*480+451))</f>
      </c>
      <c r="I465" s="30">
        <f>IF(INDEX(TilgAktiv,($N$6-1)*480+451)=0,"",INDEX(TilgSonder,($N$6-1)*480+451))</f>
      </c>
      <c r="J465" s="30">
        <f>IF(INDEX(TilgAktiv,($N$6-1)*480+451)=0,"",INDEX(TilgErsatz,($N$6-1)*480+451))</f>
      </c>
      <c r="K465" s="30">
        <f>IF(INDEX(TilgAktiv,($N$6-1)*480+451)=0,"",INDEX(Tilgung!$Q$4:$Q$9603,($N$6-1)*480+451))</f>
      </c>
      <c r="L465" s="30">
        <f>IF(INDEX(TilgAktiv,($N$6-1)*480+451)=0,"",INDEX(Tilgung!$R$4:$R$9603,($N$6-1)*480+451))</f>
      </c>
    </row>
    <row r="466">
      <c r="A466"/>
      <c r="B466" s="36">
        <f>IF(INDEX(TilgAktiv,($N$6-1)*480+452)=0,"",452)</f>
      </c>
      <c r="C466" s="41">
        <f>IF(INDEX(TilgAktiv,($N$6-1)*480+452)=0,"",INDEX(TilgDatum,($N$6-1)*480+452))</f>
      </c>
      <c r="D466" s="31">
        <f>IF(INDEX(TilgAktiv,($N$6-1)*480+452)=0,"",INDEX(Tilgung!$H$4:$H$9603,($N$6-1)*480+452))</f>
      </c>
      <c r="E466" s="30">
        <f>IF(INDEX(TilgAktiv,($N$6-1)*480+452)=0,"",INDEX(Tilgung!$J$4:$J$9603,($N$6-1)*480+452))</f>
      </c>
      <c r="F466" s="30">
        <f>IF(INDEX(TilgAktiv,($N$6-1)*480+452)=0,"",IF(INDEX(TilgTilgung,($N$6-1)*480+452)=0,INDEX(TilgZins,($N$6-1)*480+452),INDEX(TilgZins,($N$6-1)*480+452)+INDEX(TilgTilgung,($N$6-1)*480+452))+INDEX(TilgErsatz,($N$6-1)*480+452))</f>
      </c>
      <c r="G466" s="30">
        <f>IF(INDEX(TilgAktiv,($N$6-1)*480+452)=0,"",INDEX(TilgZins,($N$6-1)*480+452))</f>
      </c>
      <c r="H466" s="30">
        <f>IF(INDEX(TilgAktiv,($N$6-1)*480+452)=0,"",INDEX(TilgTilgung,($N$6-1)*480+452))</f>
      </c>
      <c r="I466" s="30">
        <f>IF(INDEX(TilgAktiv,($N$6-1)*480+452)=0,"",INDEX(TilgSonder,($N$6-1)*480+452))</f>
      </c>
      <c r="J466" s="30">
        <f>IF(INDEX(TilgAktiv,($N$6-1)*480+452)=0,"",INDEX(TilgErsatz,($N$6-1)*480+452))</f>
      </c>
      <c r="K466" s="30">
        <f>IF(INDEX(TilgAktiv,($N$6-1)*480+452)=0,"",INDEX(Tilgung!$Q$4:$Q$9603,($N$6-1)*480+452))</f>
      </c>
      <c r="L466" s="30">
        <f>IF(INDEX(TilgAktiv,($N$6-1)*480+452)=0,"",INDEX(Tilgung!$R$4:$R$9603,($N$6-1)*480+452))</f>
      </c>
    </row>
    <row r="467">
      <c r="A467"/>
      <c r="B467" s="36">
        <f>IF(INDEX(TilgAktiv,($N$6-1)*480+453)=0,"",453)</f>
      </c>
      <c r="C467" s="41">
        <f>IF(INDEX(TilgAktiv,($N$6-1)*480+453)=0,"",INDEX(TilgDatum,($N$6-1)*480+453))</f>
      </c>
      <c r="D467" s="31">
        <f>IF(INDEX(TilgAktiv,($N$6-1)*480+453)=0,"",INDEX(Tilgung!$H$4:$H$9603,($N$6-1)*480+453))</f>
      </c>
      <c r="E467" s="30">
        <f>IF(INDEX(TilgAktiv,($N$6-1)*480+453)=0,"",INDEX(Tilgung!$J$4:$J$9603,($N$6-1)*480+453))</f>
      </c>
      <c r="F467" s="30">
        <f>IF(INDEX(TilgAktiv,($N$6-1)*480+453)=0,"",IF(INDEX(TilgTilgung,($N$6-1)*480+453)=0,INDEX(TilgZins,($N$6-1)*480+453),INDEX(TilgZins,($N$6-1)*480+453)+INDEX(TilgTilgung,($N$6-1)*480+453))+INDEX(TilgErsatz,($N$6-1)*480+453))</f>
      </c>
      <c r="G467" s="30">
        <f>IF(INDEX(TilgAktiv,($N$6-1)*480+453)=0,"",INDEX(TilgZins,($N$6-1)*480+453))</f>
      </c>
      <c r="H467" s="30">
        <f>IF(INDEX(TilgAktiv,($N$6-1)*480+453)=0,"",INDEX(TilgTilgung,($N$6-1)*480+453))</f>
      </c>
      <c r="I467" s="30">
        <f>IF(INDEX(TilgAktiv,($N$6-1)*480+453)=0,"",INDEX(TilgSonder,($N$6-1)*480+453))</f>
      </c>
      <c r="J467" s="30">
        <f>IF(INDEX(TilgAktiv,($N$6-1)*480+453)=0,"",INDEX(TilgErsatz,($N$6-1)*480+453))</f>
      </c>
      <c r="K467" s="30">
        <f>IF(INDEX(TilgAktiv,($N$6-1)*480+453)=0,"",INDEX(Tilgung!$Q$4:$Q$9603,($N$6-1)*480+453))</f>
      </c>
      <c r="L467" s="30">
        <f>IF(INDEX(TilgAktiv,($N$6-1)*480+453)=0,"",INDEX(Tilgung!$R$4:$R$9603,($N$6-1)*480+453))</f>
      </c>
    </row>
    <row r="468">
      <c r="A468"/>
      <c r="B468" s="36">
        <f>IF(INDEX(TilgAktiv,($N$6-1)*480+454)=0,"",454)</f>
      </c>
      <c r="C468" s="41">
        <f>IF(INDEX(TilgAktiv,($N$6-1)*480+454)=0,"",INDEX(TilgDatum,($N$6-1)*480+454))</f>
      </c>
      <c r="D468" s="31">
        <f>IF(INDEX(TilgAktiv,($N$6-1)*480+454)=0,"",INDEX(Tilgung!$H$4:$H$9603,($N$6-1)*480+454))</f>
      </c>
      <c r="E468" s="30">
        <f>IF(INDEX(TilgAktiv,($N$6-1)*480+454)=0,"",INDEX(Tilgung!$J$4:$J$9603,($N$6-1)*480+454))</f>
      </c>
      <c r="F468" s="30">
        <f>IF(INDEX(TilgAktiv,($N$6-1)*480+454)=0,"",IF(INDEX(TilgTilgung,($N$6-1)*480+454)=0,INDEX(TilgZins,($N$6-1)*480+454),INDEX(TilgZins,($N$6-1)*480+454)+INDEX(TilgTilgung,($N$6-1)*480+454))+INDEX(TilgErsatz,($N$6-1)*480+454))</f>
      </c>
      <c r="G468" s="30">
        <f>IF(INDEX(TilgAktiv,($N$6-1)*480+454)=0,"",INDEX(TilgZins,($N$6-1)*480+454))</f>
      </c>
      <c r="H468" s="30">
        <f>IF(INDEX(TilgAktiv,($N$6-1)*480+454)=0,"",INDEX(TilgTilgung,($N$6-1)*480+454))</f>
      </c>
      <c r="I468" s="30">
        <f>IF(INDEX(TilgAktiv,($N$6-1)*480+454)=0,"",INDEX(TilgSonder,($N$6-1)*480+454))</f>
      </c>
      <c r="J468" s="30">
        <f>IF(INDEX(TilgAktiv,($N$6-1)*480+454)=0,"",INDEX(TilgErsatz,($N$6-1)*480+454))</f>
      </c>
      <c r="K468" s="30">
        <f>IF(INDEX(TilgAktiv,($N$6-1)*480+454)=0,"",INDEX(Tilgung!$Q$4:$Q$9603,($N$6-1)*480+454))</f>
      </c>
      <c r="L468" s="30">
        <f>IF(INDEX(TilgAktiv,($N$6-1)*480+454)=0,"",INDEX(Tilgung!$R$4:$R$9603,($N$6-1)*480+454))</f>
      </c>
    </row>
    <row r="469">
      <c r="A469"/>
      <c r="B469" s="36">
        <f>IF(INDEX(TilgAktiv,($N$6-1)*480+455)=0,"",455)</f>
      </c>
      <c r="C469" s="41">
        <f>IF(INDEX(TilgAktiv,($N$6-1)*480+455)=0,"",INDEX(TilgDatum,($N$6-1)*480+455))</f>
      </c>
      <c r="D469" s="31">
        <f>IF(INDEX(TilgAktiv,($N$6-1)*480+455)=0,"",INDEX(Tilgung!$H$4:$H$9603,($N$6-1)*480+455))</f>
      </c>
      <c r="E469" s="30">
        <f>IF(INDEX(TilgAktiv,($N$6-1)*480+455)=0,"",INDEX(Tilgung!$J$4:$J$9603,($N$6-1)*480+455))</f>
      </c>
      <c r="F469" s="30">
        <f>IF(INDEX(TilgAktiv,($N$6-1)*480+455)=0,"",IF(INDEX(TilgTilgung,($N$6-1)*480+455)=0,INDEX(TilgZins,($N$6-1)*480+455),INDEX(TilgZins,($N$6-1)*480+455)+INDEX(TilgTilgung,($N$6-1)*480+455))+INDEX(TilgErsatz,($N$6-1)*480+455))</f>
      </c>
      <c r="G469" s="30">
        <f>IF(INDEX(TilgAktiv,($N$6-1)*480+455)=0,"",INDEX(TilgZins,($N$6-1)*480+455))</f>
      </c>
      <c r="H469" s="30">
        <f>IF(INDEX(TilgAktiv,($N$6-1)*480+455)=0,"",INDEX(TilgTilgung,($N$6-1)*480+455))</f>
      </c>
      <c r="I469" s="30">
        <f>IF(INDEX(TilgAktiv,($N$6-1)*480+455)=0,"",INDEX(TilgSonder,($N$6-1)*480+455))</f>
      </c>
      <c r="J469" s="30">
        <f>IF(INDEX(TilgAktiv,($N$6-1)*480+455)=0,"",INDEX(TilgErsatz,($N$6-1)*480+455))</f>
      </c>
      <c r="K469" s="30">
        <f>IF(INDEX(TilgAktiv,($N$6-1)*480+455)=0,"",INDEX(Tilgung!$Q$4:$Q$9603,($N$6-1)*480+455))</f>
      </c>
      <c r="L469" s="30">
        <f>IF(INDEX(TilgAktiv,($N$6-1)*480+455)=0,"",INDEX(Tilgung!$R$4:$R$9603,($N$6-1)*480+455))</f>
      </c>
    </row>
    <row r="470">
      <c r="A470"/>
      <c r="B470" s="36">
        <f>IF(INDEX(TilgAktiv,($N$6-1)*480+456)=0,"",456)</f>
      </c>
      <c r="C470" s="41">
        <f>IF(INDEX(TilgAktiv,($N$6-1)*480+456)=0,"",INDEX(TilgDatum,($N$6-1)*480+456))</f>
      </c>
      <c r="D470" s="31">
        <f>IF(INDEX(TilgAktiv,($N$6-1)*480+456)=0,"",INDEX(Tilgung!$H$4:$H$9603,($N$6-1)*480+456))</f>
      </c>
      <c r="E470" s="30">
        <f>IF(INDEX(TilgAktiv,($N$6-1)*480+456)=0,"",INDEX(Tilgung!$J$4:$J$9603,($N$6-1)*480+456))</f>
      </c>
      <c r="F470" s="30">
        <f>IF(INDEX(TilgAktiv,($N$6-1)*480+456)=0,"",IF(INDEX(TilgTilgung,($N$6-1)*480+456)=0,INDEX(TilgZins,($N$6-1)*480+456),INDEX(TilgZins,($N$6-1)*480+456)+INDEX(TilgTilgung,($N$6-1)*480+456))+INDEX(TilgErsatz,($N$6-1)*480+456))</f>
      </c>
      <c r="G470" s="30">
        <f>IF(INDEX(TilgAktiv,($N$6-1)*480+456)=0,"",INDEX(TilgZins,($N$6-1)*480+456))</f>
      </c>
      <c r="H470" s="30">
        <f>IF(INDEX(TilgAktiv,($N$6-1)*480+456)=0,"",INDEX(TilgTilgung,($N$6-1)*480+456))</f>
      </c>
      <c r="I470" s="30">
        <f>IF(INDEX(TilgAktiv,($N$6-1)*480+456)=0,"",INDEX(TilgSonder,($N$6-1)*480+456))</f>
      </c>
      <c r="J470" s="30">
        <f>IF(INDEX(TilgAktiv,($N$6-1)*480+456)=0,"",INDEX(TilgErsatz,($N$6-1)*480+456))</f>
      </c>
      <c r="K470" s="30">
        <f>IF(INDEX(TilgAktiv,($N$6-1)*480+456)=0,"",INDEX(Tilgung!$Q$4:$Q$9603,($N$6-1)*480+456))</f>
      </c>
      <c r="L470" s="30">
        <f>IF(INDEX(TilgAktiv,($N$6-1)*480+456)=0,"",INDEX(Tilgung!$R$4:$R$9603,($N$6-1)*480+456))</f>
      </c>
    </row>
    <row r="471">
      <c r="A471"/>
      <c r="B471" s="36">
        <f>IF(INDEX(TilgAktiv,($N$6-1)*480+457)=0,"",457)</f>
      </c>
      <c r="C471" s="41">
        <f>IF(INDEX(TilgAktiv,($N$6-1)*480+457)=0,"",INDEX(TilgDatum,($N$6-1)*480+457))</f>
      </c>
      <c r="D471" s="31">
        <f>IF(INDEX(TilgAktiv,($N$6-1)*480+457)=0,"",INDEX(Tilgung!$H$4:$H$9603,($N$6-1)*480+457))</f>
      </c>
      <c r="E471" s="30">
        <f>IF(INDEX(TilgAktiv,($N$6-1)*480+457)=0,"",INDEX(Tilgung!$J$4:$J$9603,($N$6-1)*480+457))</f>
      </c>
      <c r="F471" s="30">
        <f>IF(INDEX(TilgAktiv,($N$6-1)*480+457)=0,"",IF(INDEX(TilgTilgung,($N$6-1)*480+457)=0,INDEX(TilgZins,($N$6-1)*480+457),INDEX(TilgZins,($N$6-1)*480+457)+INDEX(TilgTilgung,($N$6-1)*480+457))+INDEX(TilgErsatz,($N$6-1)*480+457))</f>
      </c>
      <c r="G471" s="30">
        <f>IF(INDEX(TilgAktiv,($N$6-1)*480+457)=0,"",INDEX(TilgZins,($N$6-1)*480+457))</f>
      </c>
      <c r="H471" s="30">
        <f>IF(INDEX(TilgAktiv,($N$6-1)*480+457)=0,"",INDEX(TilgTilgung,($N$6-1)*480+457))</f>
      </c>
      <c r="I471" s="30">
        <f>IF(INDEX(TilgAktiv,($N$6-1)*480+457)=0,"",INDEX(TilgSonder,($N$6-1)*480+457))</f>
      </c>
      <c r="J471" s="30">
        <f>IF(INDEX(TilgAktiv,($N$6-1)*480+457)=0,"",INDEX(TilgErsatz,($N$6-1)*480+457))</f>
      </c>
      <c r="K471" s="30">
        <f>IF(INDEX(TilgAktiv,($N$6-1)*480+457)=0,"",INDEX(Tilgung!$Q$4:$Q$9603,($N$6-1)*480+457))</f>
      </c>
      <c r="L471" s="30">
        <f>IF(INDEX(TilgAktiv,($N$6-1)*480+457)=0,"",INDEX(Tilgung!$R$4:$R$9603,($N$6-1)*480+457))</f>
      </c>
    </row>
    <row r="472">
      <c r="A472"/>
      <c r="B472" s="36">
        <f>IF(INDEX(TilgAktiv,($N$6-1)*480+458)=0,"",458)</f>
      </c>
      <c r="C472" s="41">
        <f>IF(INDEX(TilgAktiv,($N$6-1)*480+458)=0,"",INDEX(TilgDatum,($N$6-1)*480+458))</f>
      </c>
      <c r="D472" s="31">
        <f>IF(INDEX(TilgAktiv,($N$6-1)*480+458)=0,"",INDEX(Tilgung!$H$4:$H$9603,($N$6-1)*480+458))</f>
      </c>
      <c r="E472" s="30">
        <f>IF(INDEX(TilgAktiv,($N$6-1)*480+458)=0,"",INDEX(Tilgung!$J$4:$J$9603,($N$6-1)*480+458))</f>
      </c>
      <c r="F472" s="30">
        <f>IF(INDEX(TilgAktiv,($N$6-1)*480+458)=0,"",IF(INDEX(TilgTilgung,($N$6-1)*480+458)=0,INDEX(TilgZins,($N$6-1)*480+458),INDEX(TilgZins,($N$6-1)*480+458)+INDEX(TilgTilgung,($N$6-1)*480+458))+INDEX(TilgErsatz,($N$6-1)*480+458))</f>
      </c>
      <c r="G472" s="30">
        <f>IF(INDEX(TilgAktiv,($N$6-1)*480+458)=0,"",INDEX(TilgZins,($N$6-1)*480+458))</f>
      </c>
      <c r="H472" s="30">
        <f>IF(INDEX(TilgAktiv,($N$6-1)*480+458)=0,"",INDEX(TilgTilgung,($N$6-1)*480+458))</f>
      </c>
      <c r="I472" s="30">
        <f>IF(INDEX(TilgAktiv,($N$6-1)*480+458)=0,"",INDEX(TilgSonder,($N$6-1)*480+458))</f>
      </c>
      <c r="J472" s="30">
        <f>IF(INDEX(TilgAktiv,($N$6-1)*480+458)=0,"",INDEX(TilgErsatz,($N$6-1)*480+458))</f>
      </c>
      <c r="K472" s="30">
        <f>IF(INDEX(TilgAktiv,($N$6-1)*480+458)=0,"",INDEX(Tilgung!$Q$4:$Q$9603,($N$6-1)*480+458))</f>
      </c>
      <c r="L472" s="30">
        <f>IF(INDEX(TilgAktiv,($N$6-1)*480+458)=0,"",INDEX(Tilgung!$R$4:$R$9603,($N$6-1)*480+458))</f>
      </c>
    </row>
    <row r="473">
      <c r="A473"/>
      <c r="B473" s="36">
        <f>IF(INDEX(TilgAktiv,($N$6-1)*480+459)=0,"",459)</f>
      </c>
      <c r="C473" s="41">
        <f>IF(INDEX(TilgAktiv,($N$6-1)*480+459)=0,"",INDEX(TilgDatum,($N$6-1)*480+459))</f>
      </c>
      <c r="D473" s="31">
        <f>IF(INDEX(TilgAktiv,($N$6-1)*480+459)=0,"",INDEX(Tilgung!$H$4:$H$9603,($N$6-1)*480+459))</f>
      </c>
      <c r="E473" s="30">
        <f>IF(INDEX(TilgAktiv,($N$6-1)*480+459)=0,"",INDEX(Tilgung!$J$4:$J$9603,($N$6-1)*480+459))</f>
      </c>
      <c r="F473" s="30">
        <f>IF(INDEX(TilgAktiv,($N$6-1)*480+459)=0,"",IF(INDEX(TilgTilgung,($N$6-1)*480+459)=0,INDEX(TilgZins,($N$6-1)*480+459),INDEX(TilgZins,($N$6-1)*480+459)+INDEX(TilgTilgung,($N$6-1)*480+459))+INDEX(TilgErsatz,($N$6-1)*480+459))</f>
      </c>
      <c r="G473" s="30">
        <f>IF(INDEX(TilgAktiv,($N$6-1)*480+459)=0,"",INDEX(TilgZins,($N$6-1)*480+459))</f>
      </c>
      <c r="H473" s="30">
        <f>IF(INDEX(TilgAktiv,($N$6-1)*480+459)=0,"",INDEX(TilgTilgung,($N$6-1)*480+459))</f>
      </c>
      <c r="I473" s="30">
        <f>IF(INDEX(TilgAktiv,($N$6-1)*480+459)=0,"",INDEX(TilgSonder,($N$6-1)*480+459))</f>
      </c>
      <c r="J473" s="30">
        <f>IF(INDEX(TilgAktiv,($N$6-1)*480+459)=0,"",INDEX(TilgErsatz,($N$6-1)*480+459))</f>
      </c>
      <c r="K473" s="30">
        <f>IF(INDEX(TilgAktiv,($N$6-1)*480+459)=0,"",INDEX(Tilgung!$Q$4:$Q$9603,($N$6-1)*480+459))</f>
      </c>
      <c r="L473" s="30">
        <f>IF(INDEX(TilgAktiv,($N$6-1)*480+459)=0,"",INDEX(Tilgung!$R$4:$R$9603,($N$6-1)*480+459))</f>
      </c>
    </row>
    <row r="474">
      <c r="A474"/>
      <c r="B474" s="36">
        <f>IF(INDEX(TilgAktiv,($N$6-1)*480+460)=0,"",460)</f>
      </c>
      <c r="C474" s="41">
        <f>IF(INDEX(TilgAktiv,($N$6-1)*480+460)=0,"",INDEX(TilgDatum,($N$6-1)*480+460))</f>
      </c>
      <c r="D474" s="31">
        <f>IF(INDEX(TilgAktiv,($N$6-1)*480+460)=0,"",INDEX(Tilgung!$H$4:$H$9603,($N$6-1)*480+460))</f>
      </c>
      <c r="E474" s="30">
        <f>IF(INDEX(TilgAktiv,($N$6-1)*480+460)=0,"",INDEX(Tilgung!$J$4:$J$9603,($N$6-1)*480+460))</f>
      </c>
      <c r="F474" s="30">
        <f>IF(INDEX(TilgAktiv,($N$6-1)*480+460)=0,"",IF(INDEX(TilgTilgung,($N$6-1)*480+460)=0,INDEX(TilgZins,($N$6-1)*480+460),INDEX(TilgZins,($N$6-1)*480+460)+INDEX(TilgTilgung,($N$6-1)*480+460))+INDEX(TilgErsatz,($N$6-1)*480+460))</f>
      </c>
      <c r="G474" s="30">
        <f>IF(INDEX(TilgAktiv,($N$6-1)*480+460)=0,"",INDEX(TilgZins,($N$6-1)*480+460))</f>
      </c>
      <c r="H474" s="30">
        <f>IF(INDEX(TilgAktiv,($N$6-1)*480+460)=0,"",INDEX(TilgTilgung,($N$6-1)*480+460))</f>
      </c>
      <c r="I474" s="30">
        <f>IF(INDEX(TilgAktiv,($N$6-1)*480+460)=0,"",INDEX(TilgSonder,($N$6-1)*480+460))</f>
      </c>
      <c r="J474" s="30">
        <f>IF(INDEX(TilgAktiv,($N$6-1)*480+460)=0,"",INDEX(TilgErsatz,($N$6-1)*480+460))</f>
      </c>
      <c r="K474" s="30">
        <f>IF(INDEX(TilgAktiv,($N$6-1)*480+460)=0,"",INDEX(Tilgung!$Q$4:$Q$9603,($N$6-1)*480+460))</f>
      </c>
      <c r="L474" s="30">
        <f>IF(INDEX(TilgAktiv,($N$6-1)*480+460)=0,"",INDEX(Tilgung!$R$4:$R$9603,($N$6-1)*480+460))</f>
      </c>
    </row>
    <row r="475">
      <c r="A475"/>
      <c r="B475" s="36">
        <f>IF(INDEX(TilgAktiv,($N$6-1)*480+461)=0,"",461)</f>
      </c>
      <c r="C475" s="41">
        <f>IF(INDEX(TilgAktiv,($N$6-1)*480+461)=0,"",INDEX(TilgDatum,($N$6-1)*480+461))</f>
      </c>
      <c r="D475" s="31">
        <f>IF(INDEX(TilgAktiv,($N$6-1)*480+461)=0,"",INDEX(Tilgung!$H$4:$H$9603,($N$6-1)*480+461))</f>
      </c>
      <c r="E475" s="30">
        <f>IF(INDEX(TilgAktiv,($N$6-1)*480+461)=0,"",INDEX(Tilgung!$J$4:$J$9603,($N$6-1)*480+461))</f>
      </c>
      <c r="F475" s="30">
        <f>IF(INDEX(TilgAktiv,($N$6-1)*480+461)=0,"",IF(INDEX(TilgTilgung,($N$6-1)*480+461)=0,INDEX(TilgZins,($N$6-1)*480+461),INDEX(TilgZins,($N$6-1)*480+461)+INDEX(TilgTilgung,($N$6-1)*480+461))+INDEX(TilgErsatz,($N$6-1)*480+461))</f>
      </c>
      <c r="G475" s="30">
        <f>IF(INDEX(TilgAktiv,($N$6-1)*480+461)=0,"",INDEX(TilgZins,($N$6-1)*480+461))</f>
      </c>
      <c r="H475" s="30">
        <f>IF(INDEX(TilgAktiv,($N$6-1)*480+461)=0,"",INDEX(TilgTilgung,($N$6-1)*480+461))</f>
      </c>
      <c r="I475" s="30">
        <f>IF(INDEX(TilgAktiv,($N$6-1)*480+461)=0,"",INDEX(TilgSonder,($N$6-1)*480+461))</f>
      </c>
      <c r="J475" s="30">
        <f>IF(INDEX(TilgAktiv,($N$6-1)*480+461)=0,"",INDEX(TilgErsatz,($N$6-1)*480+461))</f>
      </c>
      <c r="K475" s="30">
        <f>IF(INDEX(TilgAktiv,($N$6-1)*480+461)=0,"",INDEX(Tilgung!$Q$4:$Q$9603,($N$6-1)*480+461))</f>
      </c>
      <c r="L475" s="30">
        <f>IF(INDEX(TilgAktiv,($N$6-1)*480+461)=0,"",INDEX(Tilgung!$R$4:$R$9603,($N$6-1)*480+461))</f>
      </c>
    </row>
    <row r="476">
      <c r="A476"/>
      <c r="B476" s="36">
        <f>IF(INDEX(TilgAktiv,($N$6-1)*480+462)=0,"",462)</f>
      </c>
      <c r="C476" s="41">
        <f>IF(INDEX(TilgAktiv,($N$6-1)*480+462)=0,"",INDEX(TilgDatum,($N$6-1)*480+462))</f>
      </c>
      <c r="D476" s="31">
        <f>IF(INDEX(TilgAktiv,($N$6-1)*480+462)=0,"",INDEX(Tilgung!$H$4:$H$9603,($N$6-1)*480+462))</f>
      </c>
      <c r="E476" s="30">
        <f>IF(INDEX(TilgAktiv,($N$6-1)*480+462)=0,"",INDEX(Tilgung!$J$4:$J$9603,($N$6-1)*480+462))</f>
      </c>
      <c r="F476" s="30">
        <f>IF(INDEX(TilgAktiv,($N$6-1)*480+462)=0,"",IF(INDEX(TilgTilgung,($N$6-1)*480+462)=0,INDEX(TilgZins,($N$6-1)*480+462),INDEX(TilgZins,($N$6-1)*480+462)+INDEX(TilgTilgung,($N$6-1)*480+462))+INDEX(TilgErsatz,($N$6-1)*480+462))</f>
      </c>
      <c r="G476" s="30">
        <f>IF(INDEX(TilgAktiv,($N$6-1)*480+462)=0,"",INDEX(TilgZins,($N$6-1)*480+462))</f>
      </c>
      <c r="H476" s="30">
        <f>IF(INDEX(TilgAktiv,($N$6-1)*480+462)=0,"",INDEX(TilgTilgung,($N$6-1)*480+462))</f>
      </c>
      <c r="I476" s="30">
        <f>IF(INDEX(TilgAktiv,($N$6-1)*480+462)=0,"",INDEX(TilgSonder,($N$6-1)*480+462))</f>
      </c>
      <c r="J476" s="30">
        <f>IF(INDEX(TilgAktiv,($N$6-1)*480+462)=0,"",INDEX(TilgErsatz,($N$6-1)*480+462))</f>
      </c>
      <c r="K476" s="30">
        <f>IF(INDEX(TilgAktiv,($N$6-1)*480+462)=0,"",INDEX(Tilgung!$Q$4:$Q$9603,($N$6-1)*480+462))</f>
      </c>
      <c r="L476" s="30">
        <f>IF(INDEX(TilgAktiv,($N$6-1)*480+462)=0,"",INDEX(Tilgung!$R$4:$R$9603,($N$6-1)*480+462))</f>
      </c>
    </row>
    <row r="477">
      <c r="A477"/>
      <c r="B477" s="36">
        <f>IF(INDEX(TilgAktiv,($N$6-1)*480+463)=0,"",463)</f>
      </c>
      <c r="C477" s="41">
        <f>IF(INDEX(TilgAktiv,($N$6-1)*480+463)=0,"",INDEX(TilgDatum,($N$6-1)*480+463))</f>
      </c>
      <c r="D477" s="31">
        <f>IF(INDEX(TilgAktiv,($N$6-1)*480+463)=0,"",INDEX(Tilgung!$H$4:$H$9603,($N$6-1)*480+463))</f>
      </c>
      <c r="E477" s="30">
        <f>IF(INDEX(TilgAktiv,($N$6-1)*480+463)=0,"",INDEX(Tilgung!$J$4:$J$9603,($N$6-1)*480+463))</f>
      </c>
      <c r="F477" s="30">
        <f>IF(INDEX(TilgAktiv,($N$6-1)*480+463)=0,"",IF(INDEX(TilgTilgung,($N$6-1)*480+463)=0,INDEX(TilgZins,($N$6-1)*480+463),INDEX(TilgZins,($N$6-1)*480+463)+INDEX(TilgTilgung,($N$6-1)*480+463))+INDEX(TilgErsatz,($N$6-1)*480+463))</f>
      </c>
      <c r="G477" s="30">
        <f>IF(INDEX(TilgAktiv,($N$6-1)*480+463)=0,"",INDEX(TilgZins,($N$6-1)*480+463))</f>
      </c>
      <c r="H477" s="30">
        <f>IF(INDEX(TilgAktiv,($N$6-1)*480+463)=0,"",INDEX(TilgTilgung,($N$6-1)*480+463))</f>
      </c>
      <c r="I477" s="30">
        <f>IF(INDEX(TilgAktiv,($N$6-1)*480+463)=0,"",INDEX(TilgSonder,($N$6-1)*480+463))</f>
      </c>
      <c r="J477" s="30">
        <f>IF(INDEX(TilgAktiv,($N$6-1)*480+463)=0,"",INDEX(TilgErsatz,($N$6-1)*480+463))</f>
      </c>
      <c r="K477" s="30">
        <f>IF(INDEX(TilgAktiv,($N$6-1)*480+463)=0,"",INDEX(Tilgung!$Q$4:$Q$9603,($N$6-1)*480+463))</f>
      </c>
      <c r="L477" s="30">
        <f>IF(INDEX(TilgAktiv,($N$6-1)*480+463)=0,"",INDEX(Tilgung!$R$4:$R$9603,($N$6-1)*480+463))</f>
      </c>
    </row>
    <row r="478">
      <c r="A478"/>
      <c r="B478" s="36">
        <f>IF(INDEX(TilgAktiv,($N$6-1)*480+464)=0,"",464)</f>
      </c>
      <c r="C478" s="41">
        <f>IF(INDEX(TilgAktiv,($N$6-1)*480+464)=0,"",INDEX(TilgDatum,($N$6-1)*480+464))</f>
      </c>
      <c r="D478" s="31">
        <f>IF(INDEX(TilgAktiv,($N$6-1)*480+464)=0,"",INDEX(Tilgung!$H$4:$H$9603,($N$6-1)*480+464))</f>
      </c>
      <c r="E478" s="30">
        <f>IF(INDEX(TilgAktiv,($N$6-1)*480+464)=0,"",INDEX(Tilgung!$J$4:$J$9603,($N$6-1)*480+464))</f>
      </c>
      <c r="F478" s="30">
        <f>IF(INDEX(TilgAktiv,($N$6-1)*480+464)=0,"",IF(INDEX(TilgTilgung,($N$6-1)*480+464)=0,INDEX(TilgZins,($N$6-1)*480+464),INDEX(TilgZins,($N$6-1)*480+464)+INDEX(TilgTilgung,($N$6-1)*480+464))+INDEX(TilgErsatz,($N$6-1)*480+464))</f>
      </c>
      <c r="G478" s="30">
        <f>IF(INDEX(TilgAktiv,($N$6-1)*480+464)=0,"",INDEX(TilgZins,($N$6-1)*480+464))</f>
      </c>
      <c r="H478" s="30">
        <f>IF(INDEX(TilgAktiv,($N$6-1)*480+464)=0,"",INDEX(TilgTilgung,($N$6-1)*480+464))</f>
      </c>
      <c r="I478" s="30">
        <f>IF(INDEX(TilgAktiv,($N$6-1)*480+464)=0,"",INDEX(TilgSonder,($N$6-1)*480+464))</f>
      </c>
      <c r="J478" s="30">
        <f>IF(INDEX(TilgAktiv,($N$6-1)*480+464)=0,"",INDEX(TilgErsatz,($N$6-1)*480+464))</f>
      </c>
      <c r="K478" s="30">
        <f>IF(INDEX(TilgAktiv,($N$6-1)*480+464)=0,"",INDEX(Tilgung!$Q$4:$Q$9603,($N$6-1)*480+464))</f>
      </c>
      <c r="L478" s="30">
        <f>IF(INDEX(TilgAktiv,($N$6-1)*480+464)=0,"",INDEX(Tilgung!$R$4:$R$9603,($N$6-1)*480+464))</f>
      </c>
    </row>
    <row r="479">
      <c r="A479"/>
      <c r="B479" s="36">
        <f>IF(INDEX(TilgAktiv,($N$6-1)*480+465)=0,"",465)</f>
      </c>
      <c r="C479" s="41">
        <f>IF(INDEX(TilgAktiv,($N$6-1)*480+465)=0,"",INDEX(TilgDatum,($N$6-1)*480+465))</f>
      </c>
      <c r="D479" s="31">
        <f>IF(INDEX(TilgAktiv,($N$6-1)*480+465)=0,"",INDEX(Tilgung!$H$4:$H$9603,($N$6-1)*480+465))</f>
      </c>
      <c r="E479" s="30">
        <f>IF(INDEX(TilgAktiv,($N$6-1)*480+465)=0,"",INDEX(Tilgung!$J$4:$J$9603,($N$6-1)*480+465))</f>
      </c>
      <c r="F479" s="30">
        <f>IF(INDEX(TilgAktiv,($N$6-1)*480+465)=0,"",IF(INDEX(TilgTilgung,($N$6-1)*480+465)=0,INDEX(TilgZins,($N$6-1)*480+465),INDEX(TilgZins,($N$6-1)*480+465)+INDEX(TilgTilgung,($N$6-1)*480+465))+INDEX(TilgErsatz,($N$6-1)*480+465))</f>
      </c>
      <c r="G479" s="30">
        <f>IF(INDEX(TilgAktiv,($N$6-1)*480+465)=0,"",INDEX(TilgZins,($N$6-1)*480+465))</f>
      </c>
      <c r="H479" s="30">
        <f>IF(INDEX(TilgAktiv,($N$6-1)*480+465)=0,"",INDEX(TilgTilgung,($N$6-1)*480+465))</f>
      </c>
      <c r="I479" s="30">
        <f>IF(INDEX(TilgAktiv,($N$6-1)*480+465)=0,"",INDEX(TilgSonder,($N$6-1)*480+465))</f>
      </c>
      <c r="J479" s="30">
        <f>IF(INDEX(TilgAktiv,($N$6-1)*480+465)=0,"",INDEX(TilgErsatz,($N$6-1)*480+465))</f>
      </c>
      <c r="K479" s="30">
        <f>IF(INDEX(TilgAktiv,($N$6-1)*480+465)=0,"",INDEX(Tilgung!$Q$4:$Q$9603,($N$6-1)*480+465))</f>
      </c>
      <c r="L479" s="30">
        <f>IF(INDEX(TilgAktiv,($N$6-1)*480+465)=0,"",INDEX(Tilgung!$R$4:$R$9603,($N$6-1)*480+465))</f>
      </c>
    </row>
    <row r="480">
      <c r="A480"/>
      <c r="B480" s="36">
        <f>IF(INDEX(TilgAktiv,($N$6-1)*480+466)=0,"",466)</f>
      </c>
      <c r="C480" s="41">
        <f>IF(INDEX(TilgAktiv,($N$6-1)*480+466)=0,"",INDEX(TilgDatum,($N$6-1)*480+466))</f>
      </c>
      <c r="D480" s="31">
        <f>IF(INDEX(TilgAktiv,($N$6-1)*480+466)=0,"",INDEX(Tilgung!$H$4:$H$9603,($N$6-1)*480+466))</f>
      </c>
      <c r="E480" s="30">
        <f>IF(INDEX(TilgAktiv,($N$6-1)*480+466)=0,"",INDEX(Tilgung!$J$4:$J$9603,($N$6-1)*480+466))</f>
      </c>
      <c r="F480" s="30">
        <f>IF(INDEX(TilgAktiv,($N$6-1)*480+466)=0,"",IF(INDEX(TilgTilgung,($N$6-1)*480+466)=0,INDEX(TilgZins,($N$6-1)*480+466),INDEX(TilgZins,($N$6-1)*480+466)+INDEX(TilgTilgung,($N$6-1)*480+466))+INDEX(TilgErsatz,($N$6-1)*480+466))</f>
      </c>
      <c r="G480" s="30">
        <f>IF(INDEX(TilgAktiv,($N$6-1)*480+466)=0,"",INDEX(TilgZins,($N$6-1)*480+466))</f>
      </c>
      <c r="H480" s="30">
        <f>IF(INDEX(TilgAktiv,($N$6-1)*480+466)=0,"",INDEX(TilgTilgung,($N$6-1)*480+466))</f>
      </c>
      <c r="I480" s="30">
        <f>IF(INDEX(TilgAktiv,($N$6-1)*480+466)=0,"",INDEX(TilgSonder,($N$6-1)*480+466))</f>
      </c>
      <c r="J480" s="30">
        <f>IF(INDEX(TilgAktiv,($N$6-1)*480+466)=0,"",INDEX(TilgErsatz,($N$6-1)*480+466))</f>
      </c>
      <c r="K480" s="30">
        <f>IF(INDEX(TilgAktiv,($N$6-1)*480+466)=0,"",INDEX(Tilgung!$Q$4:$Q$9603,($N$6-1)*480+466))</f>
      </c>
      <c r="L480" s="30">
        <f>IF(INDEX(TilgAktiv,($N$6-1)*480+466)=0,"",INDEX(Tilgung!$R$4:$R$9603,($N$6-1)*480+466))</f>
      </c>
    </row>
    <row r="481">
      <c r="A481"/>
      <c r="B481" s="36">
        <f>IF(INDEX(TilgAktiv,($N$6-1)*480+467)=0,"",467)</f>
      </c>
      <c r="C481" s="41">
        <f>IF(INDEX(TilgAktiv,($N$6-1)*480+467)=0,"",INDEX(TilgDatum,($N$6-1)*480+467))</f>
      </c>
      <c r="D481" s="31">
        <f>IF(INDEX(TilgAktiv,($N$6-1)*480+467)=0,"",INDEX(Tilgung!$H$4:$H$9603,($N$6-1)*480+467))</f>
      </c>
      <c r="E481" s="30">
        <f>IF(INDEX(TilgAktiv,($N$6-1)*480+467)=0,"",INDEX(Tilgung!$J$4:$J$9603,($N$6-1)*480+467))</f>
      </c>
      <c r="F481" s="30">
        <f>IF(INDEX(TilgAktiv,($N$6-1)*480+467)=0,"",IF(INDEX(TilgTilgung,($N$6-1)*480+467)=0,INDEX(TilgZins,($N$6-1)*480+467),INDEX(TilgZins,($N$6-1)*480+467)+INDEX(TilgTilgung,($N$6-1)*480+467))+INDEX(TilgErsatz,($N$6-1)*480+467))</f>
      </c>
      <c r="G481" s="30">
        <f>IF(INDEX(TilgAktiv,($N$6-1)*480+467)=0,"",INDEX(TilgZins,($N$6-1)*480+467))</f>
      </c>
      <c r="H481" s="30">
        <f>IF(INDEX(TilgAktiv,($N$6-1)*480+467)=0,"",INDEX(TilgTilgung,($N$6-1)*480+467))</f>
      </c>
      <c r="I481" s="30">
        <f>IF(INDEX(TilgAktiv,($N$6-1)*480+467)=0,"",INDEX(TilgSonder,($N$6-1)*480+467))</f>
      </c>
      <c r="J481" s="30">
        <f>IF(INDEX(TilgAktiv,($N$6-1)*480+467)=0,"",INDEX(TilgErsatz,($N$6-1)*480+467))</f>
      </c>
      <c r="K481" s="30">
        <f>IF(INDEX(TilgAktiv,($N$6-1)*480+467)=0,"",INDEX(Tilgung!$Q$4:$Q$9603,($N$6-1)*480+467))</f>
      </c>
      <c r="L481" s="30">
        <f>IF(INDEX(TilgAktiv,($N$6-1)*480+467)=0,"",INDEX(Tilgung!$R$4:$R$9603,($N$6-1)*480+467))</f>
      </c>
    </row>
    <row r="482">
      <c r="A482"/>
      <c r="B482" s="36">
        <f>IF(INDEX(TilgAktiv,($N$6-1)*480+468)=0,"",468)</f>
      </c>
      <c r="C482" s="41">
        <f>IF(INDEX(TilgAktiv,($N$6-1)*480+468)=0,"",INDEX(TilgDatum,($N$6-1)*480+468))</f>
      </c>
      <c r="D482" s="31">
        <f>IF(INDEX(TilgAktiv,($N$6-1)*480+468)=0,"",INDEX(Tilgung!$H$4:$H$9603,($N$6-1)*480+468))</f>
      </c>
      <c r="E482" s="30">
        <f>IF(INDEX(TilgAktiv,($N$6-1)*480+468)=0,"",INDEX(Tilgung!$J$4:$J$9603,($N$6-1)*480+468))</f>
      </c>
      <c r="F482" s="30">
        <f>IF(INDEX(TilgAktiv,($N$6-1)*480+468)=0,"",IF(INDEX(TilgTilgung,($N$6-1)*480+468)=0,INDEX(TilgZins,($N$6-1)*480+468),INDEX(TilgZins,($N$6-1)*480+468)+INDEX(TilgTilgung,($N$6-1)*480+468))+INDEX(TilgErsatz,($N$6-1)*480+468))</f>
      </c>
      <c r="G482" s="30">
        <f>IF(INDEX(TilgAktiv,($N$6-1)*480+468)=0,"",INDEX(TilgZins,($N$6-1)*480+468))</f>
      </c>
      <c r="H482" s="30">
        <f>IF(INDEX(TilgAktiv,($N$6-1)*480+468)=0,"",INDEX(TilgTilgung,($N$6-1)*480+468))</f>
      </c>
      <c r="I482" s="30">
        <f>IF(INDEX(TilgAktiv,($N$6-1)*480+468)=0,"",INDEX(TilgSonder,($N$6-1)*480+468))</f>
      </c>
      <c r="J482" s="30">
        <f>IF(INDEX(TilgAktiv,($N$6-1)*480+468)=0,"",INDEX(TilgErsatz,($N$6-1)*480+468))</f>
      </c>
      <c r="K482" s="30">
        <f>IF(INDEX(TilgAktiv,($N$6-1)*480+468)=0,"",INDEX(Tilgung!$Q$4:$Q$9603,($N$6-1)*480+468))</f>
      </c>
      <c r="L482" s="30">
        <f>IF(INDEX(TilgAktiv,($N$6-1)*480+468)=0,"",INDEX(Tilgung!$R$4:$R$9603,($N$6-1)*480+468))</f>
      </c>
    </row>
    <row r="483">
      <c r="A483"/>
      <c r="B483" s="36">
        <f>IF(INDEX(TilgAktiv,($N$6-1)*480+469)=0,"",469)</f>
      </c>
      <c r="C483" s="41">
        <f>IF(INDEX(TilgAktiv,($N$6-1)*480+469)=0,"",INDEX(TilgDatum,($N$6-1)*480+469))</f>
      </c>
      <c r="D483" s="31">
        <f>IF(INDEX(TilgAktiv,($N$6-1)*480+469)=0,"",INDEX(Tilgung!$H$4:$H$9603,($N$6-1)*480+469))</f>
      </c>
      <c r="E483" s="30">
        <f>IF(INDEX(TilgAktiv,($N$6-1)*480+469)=0,"",INDEX(Tilgung!$J$4:$J$9603,($N$6-1)*480+469))</f>
      </c>
      <c r="F483" s="30">
        <f>IF(INDEX(TilgAktiv,($N$6-1)*480+469)=0,"",IF(INDEX(TilgTilgung,($N$6-1)*480+469)=0,INDEX(TilgZins,($N$6-1)*480+469),INDEX(TilgZins,($N$6-1)*480+469)+INDEX(TilgTilgung,($N$6-1)*480+469))+INDEX(TilgErsatz,($N$6-1)*480+469))</f>
      </c>
      <c r="G483" s="30">
        <f>IF(INDEX(TilgAktiv,($N$6-1)*480+469)=0,"",INDEX(TilgZins,($N$6-1)*480+469))</f>
      </c>
      <c r="H483" s="30">
        <f>IF(INDEX(TilgAktiv,($N$6-1)*480+469)=0,"",INDEX(TilgTilgung,($N$6-1)*480+469))</f>
      </c>
      <c r="I483" s="30">
        <f>IF(INDEX(TilgAktiv,($N$6-1)*480+469)=0,"",INDEX(TilgSonder,($N$6-1)*480+469))</f>
      </c>
      <c r="J483" s="30">
        <f>IF(INDEX(TilgAktiv,($N$6-1)*480+469)=0,"",INDEX(TilgErsatz,($N$6-1)*480+469))</f>
      </c>
      <c r="K483" s="30">
        <f>IF(INDEX(TilgAktiv,($N$6-1)*480+469)=0,"",INDEX(Tilgung!$Q$4:$Q$9603,($N$6-1)*480+469))</f>
      </c>
      <c r="L483" s="30">
        <f>IF(INDEX(TilgAktiv,($N$6-1)*480+469)=0,"",INDEX(Tilgung!$R$4:$R$9603,($N$6-1)*480+469))</f>
      </c>
    </row>
    <row r="484">
      <c r="A484"/>
      <c r="B484" s="36">
        <f>IF(INDEX(TilgAktiv,($N$6-1)*480+470)=0,"",470)</f>
      </c>
      <c r="C484" s="41">
        <f>IF(INDEX(TilgAktiv,($N$6-1)*480+470)=0,"",INDEX(TilgDatum,($N$6-1)*480+470))</f>
      </c>
      <c r="D484" s="31">
        <f>IF(INDEX(TilgAktiv,($N$6-1)*480+470)=0,"",INDEX(Tilgung!$H$4:$H$9603,($N$6-1)*480+470))</f>
      </c>
      <c r="E484" s="30">
        <f>IF(INDEX(TilgAktiv,($N$6-1)*480+470)=0,"",INDEX(Tilgung!$J$4:$J$9603,($N$6-1)*480+470))</f>
      </c>
      <c r="F484" s="30">
        <f>IF(INDEX(TilgAktiv,($N$6-1)*480+470)=0,"",IF(INDEX(TilgTilgung,($N$6-1)*480+470)=0,INDEX(TilgZins,($N$6-1)*480+470),INDEX(TilgZins,($N$6-1)*480+470)+INDEX(TilgTilgung,($N$6-1)*480+470))+INDEX(TilgErsatz,($N$6-1)*480+470))</f>
      </c>
      <c r="G484" s="30">
        <f>IF(INDEX(TilgAktiv,($N$6-1)*480+470)=0,"",INDEX(TilgZins,($N$6-1)*480+470))</f>
      </c>
      <c r="H484" s="30">
        <f>IF(INDEX(TilgAktiv,($N$6-1)*480+470)=0,"",INDEX(TilgTilgung,($N$6-1)*480+470))</f>
      </c>
      <c r="I484" s="30">
        <f>IF(INDEX(TilgAktiv,($N$6-1)*480+470)=0,"",INDEX(TilgSonder,($N$6-1)*480+470))</f>
      </c>
      <c r="J484" s="30">
        <f>IF(INDEX(TilgAktiv,($N$6-1)*480+470)=0,"",INDEX(TilgErsatz,($N$6-1)*480+470))</f>
      </c>
      <c r="K484" s="30">
        <f>IF(INDEX(TilgAktiv,($N$6-1)*480+470)=0,"",INDEX(Tilgung!$Q$4:$Q$9603,($N$6-1)*480+470))</f>
      </c>
      <c r="L484" s="30">
        <f>IF(INDEX(TilgAktiv,($N$6-1)*480+470)=0,"",INDEX(Tilgung!$R$4:$R$9603,($N$6-1)*480+470))</f>
      </c>
    </row>
    <row r="485">
      <c r="A485"/>
      <c r="B485" s="36">
        <f>IF(INDEX(TilgAktiv,($N$6-1)*480+471)=0,"",471)</f>
      </c>
      <c r="C485" s="41">
        <f>IF(INDEX(TilgAktiv,($N$6-1)*480+471)=0,"",INDEX(TilgDatum,($N$6-1)*480+471))</f>
      </c>
      <c r="D485" s="31">
        <f>IF(INDEX(TilgAktiv,($N$6-1)*480+471)=0,"",INDEX(Tilgung!$H$4:$H$9603,($N$6-1)*480+471))</f>
      </c>
      <c r="E485" s="30">
        <f>IF(INDEX(TilgAktiv,($N$6-1)*480+471)=0,"",INDEX(Tilgung!$J$4:$J$9603,($N$6-1)*480+471))</f>
      </c>
      <c r="F485" s="30">
        <f>IF(INDEX(TilgAktiv,($N$6-1)*480+471)=0,"",IF(INDEX(TilgTilgung,($N$6-1)*480+471)=0,INDEX(TilgZins,($N$6-1)*480+471),INDEX(TilgZins,($N$6-1)*480+471)+INDEX(TilgTilgung,($N$6-1)*480+471))+INDEX(TilgErsatz,($N$6-1)*480+471))</f>
      </c>
      <c r="G485" s="30">
        <f>IF(INDEX(TilgAktiv,($N$6-1)*480+471)=0,"",INDEX(TilgZins,($N$6-1)*480+471))</f>
      </c>
      <c r="H485" s="30">
        <f>IF(INDEX(TilgAktiv,($N$6-1)*480+471)=0,"",INDEX(TilgTilgung,($N$6-1)*480+471))</f>
      </c>
      <c r="I485" s="30">
        <f>IF(INDEX(TilgAktiv,($N$6-1)*480+471)=0,"",INDEX(TilgSonder,($N$6-1)*480+471))</f>
      </c>
      <c r="J485" s="30">
        <f>IF(INDEX(TilgAktiv,($N$6-1)*480+471)=0,"",INDEX(TilgErsatz,($N$6-1)*480+471))</f>
      </c>
      <c r="K485" s="30">
        <f>IF(INDEX(TilgAktiv,($N$6-1)*480+471)=0,"",INDEX(Tilgung!$Q$4:$Q$9603,($N$6-1)*480+471))</f>
      </c>
      <c r="L485" s="30">
        <f>IF(INDEX(TilgAktiv,($N$6-1)*480+471)=0,"",INDEX(Tilgung!$R$4:$R$9603,($N$6-1)*480+471))</f>
      </c>
    </row>
    <row r="486">
      <c r="A486"/>
      <c r="B486" s="36">
        <f>IF(INDEX(TilgAktiv,($N$6-1)*480+472)=0,"",472)</f>
      </c>
      <c r="C486" s="41">
        <f>IF(INDEX(TilgAktiv,($N$6-1)*480+472)=0,"",INDEX(TilgDatum,($N$6-1)*480+472))</f>
      </c>
      <c r="D486" s="31">
        <f>IF(INDEX(TilgAktiv,($N$6-1)*480+472)=0,"",INDEX(Tilgung!$H$4:$H$9603,($N$6-1)*480+472))</f>
      </c>
      <c r="E486" s="30">
        <f>IF(INDEX(TilgAktiv,($N$6-1)*480+472)=0,"",INDEX(Tilgung!$J$4:$J$9603,($N$6-1)*480+472))</f>
      </c>
      <c r="F486" s="30">
        <f>IF(INDEX(TilgAktiv,($N$6-1)*480+472)=0,"",IF(INDEX(TilgTilgung,($N$6-1)*480+472)=0,INDEX(TilgZins,($N$6-1)*480+472),INDEX(TilgZins,($N$6-1)*480+472)+INDEX(TilgTilgung,($N$6-1)*480+472))+INDEX(TilgErsatz,($N$6-1)*480+472))</f>
      </c>
      <c r="G486" s="30">
        <f>IF(INDEX(TilgAktiv,($N$6-1)*480+472)=0,"",INDEX(TilgZins,($N$6-1)*480+472))</f>
      </c>
      <c r="H486" s="30">
        <f>IF(INDEX(TilgAktiv,($N$6-1)*480+472)=0,"",INDEX(TilgTilgung,($N$6-1)*480+472))</f>
      </c>
      <c r="I486" s="30">
        <f>IF(INDEX(TilgAktiv,($N$6-1)*480+472)=0,"",INDEX(TilgSonder,($N$6-1)*480+472))</f>
      </c>
      <c r="J486" s="30">
        <f>IF(INDEX(TilgAktiv,($N$6-1)*480+472)=0,"",INDEX(TilgErsatz,($N$6-1)*480+472))</f>
      </c>
      <c r="K486" s="30">
        <f>IF(INDEX(TilgAktiv,($N$6-1)*480+472)=0,"",INDEX(Tilgung!$Q$4:$Q$9603,($N$6-1)*480+472))</f>
      </c>
      <c r="L486" s="30">
        <f>IF(INDEX(TilgAktiv,($N$6-1)*480+472)=0,"",INDEX(Tilgung!$R$4:$R$9603,($N$6-1)*480+472))</f>
      </c>
    </row>
    <row r="487">
      <c r="A487"/>
      <c r="B487" s="36">
        <f>IF(INDEX(TilgAktiv,($N$6-1)*480+473)=0,"",473)</f>
      </c>
      <c r="C487" s="41">
        <f>IF(INDEX(TilgAktiv,($N$6-1)*480+473)=0,"",INDEX(TilgDatum,($N$6-1)*480+473))</f>
      </c>
      <c r="D487" s="31">
        <f>IF(INDEX(TilgAktiv,($N$6-1)*480+473)=0,"",INDEX(Tilgung!$H$4:$H$9603,($N$6-1)*480+473))</f>
      </c>
      <c r="E487" s="30">
        <f>IF(INDEX(TilgAktiv,($N$6-1)*480+473)=0,"",INDEX(Tilgung!$J$4:$J$9603,($N$6-1)*480+473))</f>
      </c>
      <c r="F487" s="30">
        <f>IF(INDEX(TilgAktiv,($N$6-1)*480+473)=0,"",IF(INDEX(TilgTilgung,($N$6-1)*480+473)=0,INDEX(TilgZins,($N$6-1)*480+473),INDEX(TilgZins,($N$6-1)*480+473)+INDEX(TilgTilgung,($N$6-1)*480+473))+INDEX(TilgErsatz,($N$6-1)*480+473))</f>
      </c>
      <c r="G487" s="30">
        <f>IF(INDEX(TilgAktiv,($N$6-1)*480+473)=0,"",INDEX(TilgZins,($N$6-1)*480+473))</f>
      </c>
      <c r="H487" s="30">
        <f>IF(INDEX(TilgAktiv,($N$6-1)*480+473)=0,"",INDEX(TilgTilgung,($N$6-1)*480+473))</f>
      </c>
      <c r="I487" s="30">
        <f>IF(INDEX(TilgAktiv,($N$6-1)*480+473)=0,"",INDEX(TilgSonder,($N$6-1)*480+473))</f>
      </c>
      <c r="J487" s="30">
        <f>IF(INDEX(TilgAktiv,($N$6-1)*480+473)=0,"",INDEX(TilgErsatz,($N$6-1)*480+473))</f>
      </c>
      <c r="K487" s="30">
        <f>IF(INDEX(TilgAktiv,($N$6-1)*480+473)=0,"",INDEX(Tilgung!$Q$4:$Q$9603,($N$6-1)*480+473))</f>
      </c>
      <c r="L487" s="30">
        <f>IF(INDEX(TilgAktiv,($N$6-1)*480+473)=0,"",INDEX(Tilgung!$R$4:$R$9603,($N$6-1)*480+473))</f>
      </c>
    </row>
    <row r="488">
      <c r="A488"/>
      <c r="B488" s="36">
        <f>IF(INDEX(TilgAktiv,($N$6-1)*480+474)=0,"",474)</f>
      </c>
      <c r="C488" s="41">
        <f>IF(INDEX(TilgAktiv,($N$6-1)*480+474)=0,"",INDEX(TilgDatum,($N$6-1)*480+474))</f>
      </c>
      <c r="D488" s="31">
        <f>IF(INDEX(TilgAktiv,($N$6-1)*480+474)=0,"",INDEX(Tilgung!$H$4:$H$9603,($N$6-1)*480+474))</f>
      </c>
      <c r="E488" s="30">
        <f>IF(INDEX(TilgAktiv,($N$6-1)*480+474)=0,"",INDEX(Tilgung!$J$4:$J$9603,($N$6-1)*480+474))</f>
      </c>
      <c r="F488" s="30">
        <f>IF(INDEX(TilgAktiv,($N$6-1)*480+474)=0,"",IF(INDEX(TilgTilgung,($N$6-1)*480+474)=0,INDEX(TilgZins,($N$6-1)*480+474),INDEX(TilgZins,($N$6-1)*480+474)+INDEX(TilgTilgung,($N$6-1)*480+474))+INDEX(TilgErsatz,($N$6-1)*480+474))</f>
      </c>
      <c r="G488" s="30">
        <f>IF(INDEX(TilgAktiv,($N$6-1)*480+474)=0,"",INDEX(TilgZins,($N$6-1)*480+474))</f>
      </c>
      <c r="H488" s="30">
        <f>IF(INDEX(TilgAktiv,($N$6-1)*480+474)=0,"",INDEX(TilgTilgung,($N$6-1)*480+474))</f>
      </c>
      <c r="I488" s="30">
        <f>IF(INDEX(TilgAktiv,($N$6-1)*480+474)=0,"",INDEX(TilgSonder,($N$6-1)*480+474))</f>
      </c>
      <c r="J488" s="30">
        <f>IF(INDEX(TilgAktiv,($N$6-1)*480+474)=0,"",INDEX(TilgErsatz,($N$6-1)*480+474))</f>
      </c>
      <c r="K488" s="30">
        <f>IF(INDEX(TilgAktiv,($N$6-1)*480+474)=0,"",INDEX(Tilgung!$Q$4:$Q$9603,($N$6-1)*480+474))</f>
      </c>
      <c r="L488" s="30">
        <f>IF(INDEX(TilgAktiv,($N$6-1)*480+474)=0,"",INDEX(Tilgung!$R$4:$R$9603,($N$6-1)*480+474))</f>
      </c>
    </row>
    <row r="489">
      <c r="A489"/>
      <c r="B489" s="36">
        <f>IF(INDEX(TilgAktiv,($N$6-1)*480+475)=0,"",475)</f>
      </c>
      <c r="C489" s="41">
        <f>IF(INDEX(TilgAktiv,($N$6-1)*480+475)=0,"",INDEX(TilgDatum,($N$6-1)*480+475))</f>
      </c>
      <c r="D489" s="31">
        <f>IF(INDEX(TilgAktiv,($N$6-1)*480+475)=0,"",INDEX(Tilgung!$H$4:$H$9603,($N$6-1)*480+475))</f>
      </c>
      <c r="E489" s="30">
        <f>IF(INDEX(TilgAktiv,($N$6-1)*480+475)=0,"",INDEX(Tilgung!$J$4:$J$9603,($N$6-1)*480+475))</f>
      </c>
      <c r="F489" s="30">
        <f>IF(INDEX(TilgAktiv,($N$6-1)*480+475)=0,"",IF(INDEX(TilgTilgung,($N$6-1)*480+475)=0,INDEX(TilgZins,($N$6-1)*480+475),INDEX(TilgZins,($N$6-1)*480+475)+INDEX(TilgTilgung,($N$6-1)*480+475))+INDEX(TilgErsatz,($N$6-1)*480+475))</f>
      </c>
      <c r="G489" s="30">
        <f>IF(INDEX(TilgAktiv,($N$6-1)*480+475)=0,"",INDEX(TilgZins,($N$6-1)*480+475))</f>
      </c>
      <c r="H489" s="30">
        <f>IF(INDEX(TilgAktiv,($N$6-1)*480+475)=0,"",INDEX(TilgTilgung,($N$6-1)*480+475))</f>
      </c>
      <c r="I489" s="30">
        <f>IF(INDEX(TilgAktiv,($N$6-1)*480+475)=0,"",INDEX(TilgSonder,($N$6-1)*480+475))</f>
      </c>
      <c r="J489" s="30">
        <f>IF(INDEX(TilgAktiv,($N$6-1)*480+475)=0,"",INDEX(TilgErsatz,($N$6-1)*480+475))</f>
      </c>
      <c r="K489" s="30">
        <f>IF(INDEX(TilgAktiv,($N$6-1)*480+475)=0,"",INDEX(Tilgung!$Q$4:$Q$9603,($N$6-1)*480+475))</f>
      </c>
      <c r="L489" s="30">
        <f>IF(INDEX(TilgAktiv,($N$6-1)*480+475)=0,"",INDEX(Tilgung!$R$4:$R$9603,($N$6-1)*480+475))</f>
      </c>
    </row>
    <row r="490">
      <c r="A490"/>
      <c r="B490" s="36">
        <f>IF(INDEX(TilgAktiv,($N$6-1)*480+476)=0,"",476)</f>
      </c>
      <c r="C490" s="41">
        <f>IF(INDEX(TilgAktiv,($N$6-1)*480+476)=0,"",INDEX(TilgDatum,($N$6-1)*480+476))</f>
      </c>
      <c r="D490" s="31">
        <f>IF(INDEX(TilgAktiv,($N$6-1)*480+476)=0,"",INDEX(Tilgung!$H$4:$H$9603,($N$6-1)*480+476))</f>
      </c>
      <c r="E490" s="30">
        <f>IF(INDEX(TilgAktiv,($N$6-1)*480+476)=0,"",INDEX(Tilgung!$J$4:$J$9603,($N$6-1)*480+476))</f>
      </c>
      <c r="F490" s="30">
        <f>IF(INDEX(TilgAktiv,($N$6-1)*480+476)=0,"",IF(INDEX(TilgTilgung,($N$6-1)*480+476)=0,INDEX(TilgZins,($N$6-1)*480+476),INDEX(TilgZins,($N$6-1)*480+476)+INDEX(TilgTilgung,($N$6-1)*480+476))+INDEX(TilgErsatz,($N$6-1)*480+476))</f>
      </c>
      <c r="G490" s="30">
        <f>IF(INDEX(TilgAktiv,($N$6-1)*480+476)=0,"",INDEX(TilgZins,($N$6-1)*480+476))</f>
      </c>
      <c r="H490" s="30">
        <f>IF(INDEX(TilgAktiv,($N$6-1)*480+476)=0,"",INDEX(TilgTilgung,($N$6-1)*480+476))</f>
      </c>
      <c r="I490" s="30">
        <f>IF(INDEX(TilgAktiv,($N$6-1)*480+476)=0,"",INDEX(TilgSonder,($N$6-1)*480+476))</f>
      </c>
      <c r="J490" s="30">
        <f>IF(INDEX(TilgAktiv,($N$6-1)*480+476)=0,"",INDEX(TilgErsatz,($N$6-1)*480+476))</f>
      </c>
      <c r="K490" s="30">
        <f>IF(INDEX(TilgAktiv,($N$6-1)*480+476)=0,"",INDEX(Tilgung!$Q$4:$Q$9603,($N$6-1)*480+476))</f>
      </c>
      <c r="L490" s="30">
        <f>IF(INDEX(TilgAktiv,($N$6-1)*480+476)=0,"",INDEX(Tilgung!$R$4:$R$9603,($N$6-1)*480+476))</f>
      </c>
    </row>
    <row r="491">
      <c r="A491"/>
      <c r="B491" s="36">
        <f>IF(INDEX(TilgAktiv,($N$6-1)*480+477)=0,"",477)</f>
      </c>
      <c r="C491" s="41">
        <f>IF(INDEX(TilgAktiv,($N$6-1)*480+477)=0,"",INDEX(TilgDatum,($N$6-1)*480+477))</f>
      </c>
      <c r="D491" s="31">
        <f>IF(INDEX(TilgAktiv,($N$6-1)*480+477)=0,"",INDEX(Tilgung!$H$4:$H$9603,($N$6-1)*480+477))</f>
      </c>
      <c r="E491" s="30">
        <f>IF(INDEX(TilgAktiv,($N$6-1)*480+477)=0,"",INDEX(Tilgung!$J$4:$J$9603,($N$6-1)*480+477))</f>
      </c>
      <c r="F491" s="30">
        <f>IF(INDEX(TilgAktiv,($N$6-1)*480+477)=0,"",IF(INDEX(TilgTilgung,($N$6-1)*480+477)=0,INDEX(TilgZins,($N$6-1)*480+477),INDEX(TilgZins,($N$6-1)*480+477)+INDEX(TilgTilgung,($N$6-1)*480+477))+INDEX(TilgErsatz,($N$6-1)*480+477))</f>
      </c>
      <c r="G491" s="30">
        <f>IF(INDEX(TilgAktiv,($N$6-1)*480+477)=0,"",INDEX(TilgZins,($N$6-1)*480+477))</f>
      </c>
      <c r="H491" s="30">
        <f>IF(INDEX(TilgAktiv,($N$6-1)*480+477)=0,"",INDEX(TilgTilgung,($N$6-1)*480+477))</f>
      </c>
      <c r="I491" s="30">
        <f>IF(INDEX(TilgAktiv,($N$6-1)*480+477)=0,"",INDEX(TilgSonder,($N$6-1)*480+477))</f>
      </c>
      <c r="J491" s="30">
        <f>IF(INDEX(TilgAktiv,($N$6-1)*480+477)=0,"",INDEX(TilgErsatz,($N$6-1)*480+477))</f>
      </c>
      <c r="K491" s="30">
        <f>IF(INDEX(TilgAktiv,($N$6-1)*480+477)=0,"",INDEX(Tilgung!$Q$4:$Q$9603,($N$6-1)*480+477))</f>
      </c>
      <c r="L491" s="30">
        <f>IF(INDEX(TilgAktiv,($N$6-1)*480+477)=0,"",INDEX(Tilgung!$R$4:$R$9603,($N$6-1)*480+477))</f>
      </c>
    </row>
    <row r="492">
      <c r="A492"/>
      <c r="B492" s="36">
        <f>IF(INDEX(TilgAktiv,($N$6-1)*480+478)=0,"",478)</f>
      </c>
      <c r="C492" s="41">
        <f>IF(INDEX(TilgAktiv,($N$6-1)*480+478)=0,"",INDEX(TilgDatum,($N$6-1)*480+478))</f>
      </c>
      <c r="D492" s="31">
        <f>IF(INDEX(TilgAktiv,($N$6-1)*480+478)=0,"",INDEX(Tilgung!$H$4:$H$9603,($N$6-1)*480+478))</f>
      </c>
      <c r="E492" s="30">
        <f>IF(INDEX(TilgAktiv,($N$6-1)*480+478)=0,"",INDEX(Tilgung!$J$4:$J$9603,($N$6-1)*480+478))</f>
      </c>
      <c r="F492" s="30">
        <f>IF(INDEX(TilgAktiv,($N$6-1)*480+478)=0,"",IF(INDEX(TilgTilgung,($N$6-1)*480+478)=0,INDEX(TilgZins,($N$6-1)*480+478),INDEX(TilgZins,($N$6-1)*480+478)+INDEX(TilgTilgung,($N$6-1)*480+478))+INDEX(TilgErsatz,($N$6-1)*480+478))</f>
      </c>
      <c r="G492" s="30">
        <f>IF(INDEX(TilgAktiv,($N$6-1)*480+478)=0,"",INDEX(TilgZins,($N$6-1)*480+478))</f>
      </c>
      <c r="H492" s="30">
        <f>IF(INDEX(TilgAktiv,($N$6-1)*480+478)=0,"",INDEX(TilgTilgung,($N$6-1)*480+478))</f>
      </c>
      <c r="I492" s="30">
        <f>IF(INDEX(TilgAktiv,($N$6-1)*480+478)=0,"",INDEX(TilgSonder,($N$6-1)*480+478))</f>
      </c>
      <c r="J492" s="30">
        <f>IF(INDEX(TilgAktiv,($N$6-1)*480+478)=0,"",INDEX(TilgErsatz,($N$6-1)*480+478))</f>
      </c>
      <c r="K492" s="30">
        <f>IF(INDEX(TilgAktiv,($N$6-1)*480+478)=0,"",INDEX(Tilgung!$Q$4:$Q$9603,($N$6-1)*480+478))</f>
      </c>
      <c r="L492" s="30">
        <f>IF(INDEX(TilgAktiv,($N$6-1)*480+478)=0,"",INDEX(Tilgung!$R$4:$R$9603,($N$6-1)*480+478))</f>
      </c>
    </row>
    <row r="493">
      <c r="A493"/>
      <c r="B493" s="36">
        <f>IF(INDEX(TilgAktiv,($N$6-1)*480+479)=0,"",479)</f>
      </c>
      <c r="C493" s="41">
        <f>IF(INDEX(TilgAktiv,($N$6-1)*480+479)=0,"",INDEX(TilgDatum,($N$6-1)*480+479))</f>
      </c>
      <c r="D493" s="31">
        <f>IF(INDEX(TilgAktiv,($N$6-1)*480+479)=0,"",INDEX(Tilgung!$H$4:$H$9603,($N$6-1)*480+479))</f>
      </c>
      <c r="E493" s="30">
        <f>IF(INDEX(TilgAktiv,($N$6-1)*480+479)=0,"",INDEX(Tilgung!$J$4:$J$9603,($N$6-1)*480+479))</f>
      </c>
      <c r="F493" s="30">
        <f>IF(INDEX(TilgAktiv,($N$6-1)*480+479)=0,"",IF(INDEX(TilgTilgung,($N$6-1)*480+479)=0,INDEX(TilgZins,($N$6-1)*480+479),INDEX(TilgZins,($N$6-1)*480+479)+INDEX(TilgTilgung,($N$6-1)*480+479))+INDEX(TilgErsatz,($N$6-1)*480+479))</f>
      </c>
      <c r="G493" s="30">
        <f>IF(INDEX(TilgAktiv,($N$6-1)*480+479)=0,"",INDEX(TilgZins,($N$6-1)*480+479))</f>
      </c>
      <c r="H493" s="30">
        <f>IF(INDEX(TilgAktiv,($N$6-1)*480+479)=0,"",INDEX(TilgTilgung,($N$6-1)*480+479))</f>
      </c>
      <c r="I493" s="30">
        <f>IF(INDEX(TilgAktiv,($N$6-1)*480+479)=0,"",INDEX(TilgSonder,($N$6-1)*480+479))</f>
      </c>
      <c r="J493" s="30">
        <f>IF(INDEX(TilgAktiv,($N$6-1)*480+479)=0,"",INDEX(TilgErsatz,($N$6-1)*480+479))</f>
      </c>
      <c r="K493" s="30">
        <f>IF(INDEX(TilgAktiv,($N$6-1)*480+479)=0,"",INDEX(Tilgung!$Q$4:$Q$9603,($N$6-1)*480+479))</f>
      </c>
      <c r="L493" s="30">
        <f>IF(INDEX(TilgAktiv,($N$6-1)*480+479)=0,"",INDEX(Tilgung!$R$4:$R$9603,($N$6-1)*480+479))</f>
      </c>
    </row>
    <row r="494">
      <c r="A494"/>
      <c r="B494" s="36">
        <f>IF(INDEX(TilgAktiv,($N$6-1)*480+480)=0,"",480)</f>
      </c>
      <c r="C494" s="41">
        <f>IF(INDEX(TilgAktiv,($N$6-1)*480+480)=0,"",INDEX(TilgDatum,($N$6-1)*480+480))</f>
      </c>
      <c r="D494" s="31">
        <f>IF(INDEX(TilgAktiv,($N$6-1)*480+480)=0,"",INDEX(Tilgung!$H$4:$H$9603,($N$6-1)*480+480))</f>
      </c>
      <c r="E494" s="30">
        <f>IF(INDEX(TilgAktiv,($N$6-1)*480+480)=0,"",INDEX(Tilgung!$J$4:$J$9603,($N$6-1)*480+480))</f>
      </c>
      <c r="F494" s="30">
        <f>IF(INDEX(TilgAktiv,($N$6-1)*480+480)=0,"",IF(INDEX(TilgTilgung,($N$6-1)*480+480)=0,INDEX(TilgZins,($N$6-1)*480+480),INDEX(TilgZins,($N$6-1)*480+480)+INDEX(TilgTilgung,($N$6-1)*480+480))+INDEX(TilgErsatz,($N$6-1)*480+480))</f>
      </c>
      <c r="G494" s="30">
        <f>IF(INDEX(TilgAktiv,($N$6-1)*480+480)=0,"",INDEX(TilgZins,($N$6-1)*480+480))</f>
      </c>
      <c r="H494" s="30">
        <f>IF(INDEX(TilgAktiv,($N$6-1)*480+480)=0,"",INDEX(TilgTilgung,($N$6-1)*480+480))</f>
      </c>
      <c r="I494" s="30">
        <f>IF(INDEX(TilgAktiv,($N$6-1)*480+480)=0,"",INDEX(TilgSonder,($N$6-1)*480+480))</f>
      </c>
      <c r="J494" s="30">
        <f>IF(INDEX(TilgAktiv,($N$6-1)*480+480)=0,"",INDEX(TilgErsatz,($N$6-1)*480+480))</f>
      </c>
      <c r="K494" s="30">
        <f>IF(INDEX(TilgAktiv,($N$6-1)*480+480)=0,"",INDEX(Tilgung!$Q$4:$Q$9603,($N$6-1)*480+480))</f>
      </c>
      <c r="L494" s="30">
        <f>IF(INDEX(TilgAktiv,($N$6-1)*480+480)=0,"",INDEX(Tilgung!$R$4:$R$9603,($N$6-1)*480+480))</f>
      </c>
    </row>
  </sheetData>
  <mergeCells count="12">
    <mergeCell ref="B8:D8"/>
    <mergeCell ref="G8:I8"/>
    <mergeCell ref="B9:D9"/>
    <mergeCell ref="G9:I9"/>
    <mergeCell ref="B10:D10"/>
    <mergeCell ref="G10:I10"/>
    <mergeCell ref="B11:D11"/>
    <mergeCell ref="G11:I11"/>
    <mergeCell ref="B12:D12"/>
    <mergeCell ref="G12:I12"/>
    <mergeCell ref="B13:D13"/>
    <mergeCell ref="G13:I13"/>
  </mergeCells>
  <dataValidations count="1">
    <dataValidation type="list" allowBlank="1" showInputMessage="1" showErrorMessage="1" promptTitle="Darlehen" prompt="Aus der Liste der Darlehen wählen" sqref="C6">
      <formula1>DarlAnzeige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3A4F78"/>
  </sheetPr>
  <sheetViews>
    <sheetView showGridLines="0" workbookViewId="0">
      <pane xSplit="4" ySplit="14" topLeftCell="E15" activePane="bottomRight" state="frozen"/>
    </sheetView>
  </sheetViews>
  <sheetFormatPr defaultRowHeight="15"/>
  <cols>
    <col min="1" max="1" width="2" customWidth="1"/>
    <col min="2" max="2" width="26" customWidth="1"/>
    <col min="3" max="3" width="26" customWidth="1"/>
    <col min="4" max="4" width="15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14" customWidth="1"/>
    <col min="18" max="18" width="2" customWidth="1"/>
    <col min="19" max="19" width="11" customWidth="1" hidden="1"/>
    <col min="20" max="20" width="11" customWidth="1" hidden="1"/>
    <col min="21" max="21" width="11" customWidth="1" hidden="1"/>
    <col min="22" max="22" width="11" customWidth="1" hidden="1"/>
    <col min="23" max="23" width="11" customWidth="1" hidden="1"/>
    <col min="24" max="24" width="11" customWidth="1" hidden="1"/>
    <col min="25" max="25" width="11" customWidth="1" hidden="1"/>
    <col min="26" max="26" width="11" customWidth="1" hidden="1"/>
    <col min="27" max="27" width="11" customWidth="1" hidden="1"/>
    <col min="28" max="28" width="11" customWidth="1" hidden="1"/>
    <col min="29" max="29" width="11" customWidth="1" hidden="1"/>
    <col min="30" max="30" width="11" customWidth="1" hidden="1"/>
  </cols>
  <sheetData>
    <row r="2">
      <c r="A2"/>
      <c r="B2" s="1" t="inlineStr">
        <is>
          <t xml:space="preserve">ZAHLENKOMPASS</t>
        </is>
      </c>
    </row>
    <row r="3">
      <c r="A3"/>
      <c r="B3" s="2">
        <f>"Zahlungen "&amp;Jahr</f>
      </c>
    </row>
    <row r="4">
      <c r="A4"/>
      <c r="B4" s="3" t="inlineStr">
        <is>
          <t xml:space="preserve">Abgeleitet aus Mietverträgen, Kostenfeldern und Tilgungsplänen. Korrekturen trägst du unten ein.</t>
        </is>
      </c>
    </row>
    <row r="6">
      <c r="A6"/>
      <c r="B6" s="4" t="inlineStr">
        <is>
          <t xml:space="preserve">A · Summen je Gruppe</t>
        </is>
      </c>
    </row>
    <row r="7">
      <c r="A7"/>
      <c r="B7" s="25" t="inlineStr">
        <is>
          <t xml:space="preserve">Gruppe</t>
        </is>
      </c>
      <c r="C7"/>
      <c r="D7"/>
      <c r="E7" s="24" t="inlineStr">
        <is>
          <t xml:space="preserve">Jan</t>
        </is>
      </c>
      <c r="F7" s="24" t="inlineStr">
        <is>
          <t xml:space="preserve">Feb</t>
        </is>
      </c>
      <c r="G7" s="24" t="inlineStr">
        <is>
          <t xml:space="preserve">Mrz</t>
        </is>
      </c>
      <c r="H7" s="24" t="inlineStr">
        <is>
          <t xml:space="preserve">Apr</t>
        </is>
      </c>
      <c r="I7" s="24" t="inlineStr">
        <is>
          <t xml:space="preserve">Mai</t>
        </is>
      </c>
      <c r="J7" s="24" t="inlineStr">
        <is>
          <t xml:space="preserve">Jun</t>
        </is>
      </c>
      <c r="K7" s="24" t="inlineStr">
        <is>
          <t xml:space="preserve">Jul</t>
        </is>
      </c>
      <c r="L7" s="24" t="inlineStr">
        <is>
          <t xml:space="preserve">Aug</t>
        </is>
      </c>
      <c r="M7" s="24" t="inlineStr">
        <is>
          <t xml:space="preserve">Sep</t>
        </is>
      </c>
      <c r="N7" s="24" t="inlineStr">
        <is>
          <t xml:space="preserve">Okt</t>
        </is>
      </c>
      <c r="O7" s="24" t="inlineStr">
        <is>
          <t xml:space="preserve">Nov</t>
        </is>
      </c>
      <c r="P7" s="24" t="inlineStr">
        <is>
          <t xml:space="preserve">Dez</t>
        </is>
      </c>
      <c r="Q7" s="24" t="inlineStr">
        <is>
          <t xml:space="preserve">Jahr</t>
        </is>
      </c>
    </row>
    <row r="8">
      <c r="A8"/>
      <c r="B8" s="6" t="inlineStr">
        <is>
          <t xml:space="preserve">Einnahmen</t>
        </is>
      </c>
      <c r="C8"/>
      <c r="D8"/>
      <c r="E8" s="30">
        <f>SUMIFS($E$15:$E$114,$D$15:$D$114,$B8)</f>
      </c>
      <c r="F8" s="30">
        <f>SUMIFS($F$15:$F$114,$D$15:$D$114,$B8)</f>
      </c>
      <c r="G8" s="30">
        <f>SUMIFS($G$15:$G$114,$D$15:$D$114,$B8)</f>
      </c>
      <c r="H8" s="30">
        <f>SUMIFS($H$15:$H$114,$D$15:$D$114,$B8)</f>
      </c>
      <c r="I8" s="30">
        <f>SUMIFS($I$15:$I$114,$D$15:$D$114,$B8)</f>
      </c>
      <c r="J8" s="30">
        <f>SUMIFS($J$15:$J$114,$D$15:$D$114,$B8)</f>
      </c>
      <c r="K8" s="30">
        <f>SUMIFS($K$15:$K$114,$D$15:$D$114,$B8)</f>
      </c>
      <c r="L8" s="30">
        <f>SUMIFS($L$15:$L$114,$D$15:$D$114,$B8)</f>
      </c>
      <c r="M8" s="30">
        <f>SUMIFS($M$15:$M$114,$D$15:$D$114,$B8)</f>
      </c>
      <c r="N8" s="30">
        <f>SUMIFS($N$15:$N$114,$D$15:$D$114,$B8)</f>
      </c>
      <c r="O8" s="30">
        <f>SUMIFS($O$15:$O$114,$D$15:$D$114,$B8)</f>
      </c>
      <c r="P8" s="30">
        <f>SUMIFS($P$15:$P$114,$D$15:$D$114,$B8)</f>
      </c>
      <c r="Q8" s="42">
        <f>SUM($E8:$P8)</f>
      </c>
    </row>
    <row r="9">
      <c r="A9"/>
      <c r="B9" s="6" t="inlineStr">
        <is>
          <t xml:space="preserve">Bewirtschaftung</t>
        </is>
      </c>
      <c r="C9"/>
      <c r="D9"/>
      <c r="E9" s="30">
        <f>SUMIFS($E$15:$E$114,$D$15:$D$114,$B9)</f>
      </c>
      <c r="F9" s="30">
        <f>SUMIFS($F$15:$F$114,$D$15:$D$114,$B9)</f>
      </c>
      <c r="G9" s="30">
        <f>SUMIFS($G$15:$G$114,$D$15:$D$114,$B9)</f>
      </c>
      <c r="H9" s="30">
        <f>SUMIFS($H$15:$H$114,$D$15:$D$114,$B9)</f>
      </c>
      <c r="I9" s="30">
        <f>SUMIFS($I$15:$I$114,$D$15:$D$114,$B9)</f>
      </c>
      <c r="J9" s="30">
        <f>SUMIFS($J$15:$J$114,$D$15:$D$114,$B9)</f>
      </c>
      <c r="K9" s="30">
        <f>SUMIFS($K$15:$K$114,$D$15:$D$114,$B9)</f>
      </c>
      <c r="L9" s="30">
        <f>SUMIFS($L$15:$L$114,$D$15:$D$114,$B9)</f>
      </c>
      <c r="M9" s="30">
        <f>SUMIFS($M$15:$M$114,$D$15:$D$114,$B9)</f>
      </c>
      <c r="N9" s="30">
        <f>SUMIFS($N$15:$N$114,$D$15:$D$114,$B9)</f>
      </c>
      <c r="O9" s="30">
        <f>SUMIFS($O$15:$O$114,$D$15:$D$114,$B9)</f>
      </c>
      <c r="P9" s="30">
        <f>SUMIFS($P$15:$P$114,$D$15:$D$114,$B9)</f>
      </c>
      <c r="Q9" s="42">
        <f>SUM($E9:$P9)</f>
      </c>
    </row>
    <row r="10">
      <c r="A10"/>
      <c r="B10" s="6" t="inlineStr">
        <is>
          <t xml:space="preserve">Finanzierung</t>
        </is>
      </c>
      <c r="C10"/>
      <c r="D10"/>
      <c r="E10" s="30">
        <f>SUMIFS($E$15:$E$114,$D$15:$D$114,$B10)</f>
      </c>
      <c r="F10" s="30">
        <f>SUMIFS($F$15:$F$114,$D$15:$D$114,$B10)</f>
      </c>
      <c r="G10" s="30">
        <f>SUMIFS($G$15:$G$114,$D$15:$D$114,$B10)</f>
      </c>
      <c r="H10" s="30">
        <f>SUMIFS($H$15:$H$114,$D$15:$D$114,$B10)</f>
      </c>
      <c r="I10" s="30">
        <f>SUMIFS($I$15:$I$114,$D$15:$D$114,$B10)</f>
      </c>
      <c r="J10" s="30">
        <f>SUMIFS($J$15:$J$114,$D$15:$D$114,$B10)</f>
      </c>
      <c r="K10" s="30">
        <f>SUMIFS($K$15:$K$114,$D$15:$D$114,$B10)</f>
      </c>
      <c r="L10" s="30">
        <f>SUMIFS($L$15:$L$114,$D$15:$D$114,$B10)</f>
      </c>
      <c r="M10" s="30">
        <f>SUMIFS($M$15:$M$114,$D$15:$D$114,$B10)</f>
      </c>
      <c r="N10" s="30">
        <f>SUMIFS($N$15:$N$114,$D$15:$D$114,$B10)</f>
      </c>
      <c r="O10" s="30">
        <f>SUMIFS($O$15:$O$114,$D$15:$D$114,$B10)</f>
      </c>
      <c r="P10" s="30">
        <f>SUMIFS($P$15:$P$114,$D$15:$D$114,$B10)</f>
      </c>
      <c r="Q10" s="42">
        <f>SUM($E10:$P10)</f>
      </c>
    </row>
    <row r="11">
      <c r="A11"/>
      <c r="B11" s="6" t="inlineStr">
        <is>
          <t xml:space="preserve">Saldo</t>
        </is>
      </c>
      <c r="C11"/>
      <c r="D11"/>
      <c r="E11" s="42">
        <f>$E$8-$E$9-$E$10</f>
      </c>
      <c r="F11" s="42">
        <f>$F$8-$F$9-$F$10</f>
      </c>
      <c r="G11" s="42">
        <f>$G$8-$G$9-$G$10</f>
      </c>
      <c r="H11" s="42">
        <f>$H$8-$H$9-$H$10</f>
      </c>
      <c r="I11" s="42">
        <f>$I$8-$I$9-$I$10</f>
      </c>
      <c r="J11" s="42">
        <f>$J$8-$J$9-$J$10</f>
      </c>
      <c r="K11" s="42">
        <f>$K$8-$K$9-$K$10</f>
      </c>
      <c r="L11" s="42">
        <f>$L$8-$L$9-$L$10</f>
      </c>
      <c r="M11" s="42">
        <f>$M$8-$M$9-$M$10</f>
      </c>
      <c r="N11" s="42">
        <f>$N$8-$N$9-$N$10</f>
      </c>
      <c r="O11" s="42">
        <f>$O$8-$O$9-$O$10</f>
      </c>
      <c r="P11" s="42">
        <f>$P$8-$P$9-$P$10</f>
      </c>
      <c r="Q11" s="42">
        <f>SUM($E11:$P11)</f>
      </c>
      <c r="R11"/>
      <c r="S11" s="13" t="inlineStr">
        <is>
          <t xml:space="preserve">einschließlich der durchlaufenden Nebenkosten</t>
        </is>
      </c>
    </row>
    <row r="13">
      <c r="A13"/>
      <c r="B13" s="4" t="inlineStr">
        <is>
          <t xml:space="preserve">B · Tatsächliche Zahlungen</t>
        </is>
      </c>
      <c r="C13"/>
      <c r="D13"/>
      <c r="E13" s="13" t="inlineStr">
        <is>
          <t xml:space="preserve">Ein korrigierter Monat wird gelb hinterlegt.</t>
        </is>
      </c>
    </row>
    <row r="14">
      <c r="A14"/>
      <c r="B14" s="25" t="inlineStr">
        <is>
          <t xml:space="preserve">Objekt</t>
        </is>
      </c>
      <c r="C14" s="25" t="inlineStr">
        <is>
          <t xml:space="preserve">Zahlungsart</t>
        </is>
      </c>
      <c r="D14" s="25" t="inlineStr">
        <is>
          <t xml:space="preserve">Gruppe</t>
        </is>
      </c>
      <c r="E14" s="24" t="inlineStr">
        <is>
          <t xml:space="preserve">Jan</t>
        </is>
      </c>
      <c r="F14" s="24" t="inlineStr">
        <is>
          <t xml:space="preserve">Feb</t>
        </is>
      </c>
      <c r="G14" s="24" t="inlineStr">
        <is>
          <t xml:space="preserve">Mrz</t>
        </is>
      </c>
      <c r="H14" s="24" t="inlineStr">
        <is>
          <t xml:space="preserve">Apr</t>
        </is>
      </c>
      <c r="I14" s="24" t="inlineStr">
        <is>
          <t xml:space="preserve">Mai</t>
        </is>
      </c>
      <c r="J14" s="24" t="inlineStr">
        <is>
          <t xml:space="preserve">Jun</t>
        </is>
      </c>
      <c r="K14" s="24" t="inlineStr">
        <is>
          <t xml:space="preserve">Jul</t>
        </is>
      </c>
      <c r="L14" s="24" t="inlineStr">
        <is>
          <t xml:space="preserve">Aug</t>
        </is>
      </c>
      <c r="M14" s="24" t="inlineStr">
        <is>
          <t xml:space="preserve">Sep</t>
        </is>
      </c>
      <c r="N14" s="24" t="inlineStr">
        <is>
          <t xml:space="preserve">Okt</t>
        </is>
      </c>
      <c r="O14" s="24" t="inlineStr">
        <is>
          <t xml:space="preserve">Nov</t>
        </is>
      </c>
      <c r="P14" s="24" t="inlineStr">
        <is>
          <t xml:space="preserve">Dez</t>
        </is>
      </c>
      <c r="Q14" s="24" t="inlineStr">
        <is>
          <t xml:space="preserve">Jahr</t>
        </is>
      </c>
    </row>
    <row r="15">
      <c r="A15"/>
      <c r="B15" s="6">
        <f>IF(INDEX(ObjBelegt,1)=0,"– Objekt 1 –",INDEX(ObjBezeichnung,1))</f>
      </c>
      <c r="C15" s="16" t="inlineStr">
        <is>
          <t xml:space="preserve">Mieteinnahme</t>
        </is>
      </c>
      <c r="D15" s="16" t="inlineStr">
        <is>
          <t xml:space="preserve">Einnahmen</t>
        </is>
      </c>
      <c r="E15" s="30">
        <f>IF($E119="",$S15,$E119)</f>
      </c>
      <c r="F15" s="30">
        <f>IF($F119="",$T15,$F119)</f>
      </c>
      <c r="G15" s="30">
        <f>IF($G119="",$U15,$G119)</f>
      </c>
      <c r="H15" s="30">
        <f>IF($H119="",$V15,$H119)</f>
      </c>
      <c r="I15" s="30">
        <f>IF($I119="",$W15,$I119)</f>
      </c>
      <c r="J15" s="30">
        <f>IF($J119="",$X15,$J119)</f>
      </c>
      <c r="K15" s="30">
        <f>IF($K119="",$Y15,$K119)</f>
      </c>
      <c r="L15" s="30">
        <f>IF($L119="",$Z15,$L119)</f>
      </c>
      <c r="M15" s="30">
        <f>IF($M119="",$AA15,$M119)</f>
      </c>
      <c r="N15" s="30">
        <f>IF($N119="",$AB15,$N119)</f>
      </c>
      <c r="O15" s="30">
        <f>IF($O119="",$AC15,$O119)</f>
      </c>
      <c r="P15" s="30">
        <f>IF($P119="",$AD15,$P119)</f>
      </c>
      <c r="Q15" s="42">
        <f>SUM($E15:$P15)</f>
      </c>
      <c r="R15"/>
      <c r="S15" s="43">
        <f>SUMIFS(MlM1,MlObj,1,MlJahr,Jahr)</f>
      </c>
      <c r="T15" s="43">
        <f>SUMIFS(MlM2,MlObj,1,MlJahr,Jahr)</f>
      </c>
      <c r="U15" s="43">
        <f>SUMIFS(MlM3,MlObj,1,MlJahr,Jahr)</f>
      </c>
      <c r="V15" s="43">
        <f>SUMIFS(MlM4,MlObj,1,MlJahr,Jahr)</f>
      </c>
      <c r="W15" s="43">
        <f>SUMIFS(MlM5,MlObj,1,MlJahr,Jahr)</f>
      </c>
      <c r="X15" s="43">
        <f>SUMIFS(MlM6,MlObj,1,MlJahr,Jahr)</f>
      </c>
      <c r="Y15" s="43">
        <f>SUMIFS(MlM7,MlObj,1,MlJahr,Jahr)</f>
      </c>
      <c r="Z15" s="43">
        <f>SUMIFS(MlM8,MlObj,1,MlJahr,Jahr)</f>
      </c>
      <c r="AA15" s="43">
        <f>SUMIFS(MlM9,MlObj,1,MlJahr,Jahr)</f>
      </c>
      <c r="AB15" s="43">
        <f>SUMIFS(MlM10,MlObj,1,MlJahr,Jahr)</f>
      </c>
      <c r="AC15" s="43">
        <f>SUMIFS(MlM11,MlObj,1,MlJahr,Jahr)</f>
      </c>
      <c r="AD15" s="43">
        <f>SUMIFS(MlM12,MlObj,1,MlJahr,Jahr)</f>
      </c>
    </row>
    <row r="16">
      <c r="A16"/>
      <c r="B16"/>
      <c r="C16" s="16" t="inlineStr">
        <is>
          <t xml:space="preserve">Nebenkosten-Vorauszahlung</t>
        </is>
      </c>
      <c r="D16" s="16" t="inlineStr">
        <is>
          <t xml:space="preserve">Einnahmen</t>
        </is>
      </c>
      <c r="E16" s="30">
        <f>IF($E120="",$S16,$E120)</f>
      </c>
      <c r="F16" s="30">
        <f>IF($F120="",$T16,$F120)</f>
      </c>
      <c r="G16" s="30">
        <f>IF($G120="",$U16,$G120)</f>
      </c>
      <c r="H16" s="30">
        <f>IF($H120="",$V16,$H120)</f>
      </c>
      <c r="I16" s="30">
        <f>IF($I120="",$W16,$I120)</f>
      </c>
      <c r="J16" s="30">
        <f>IF($J120="",$X16,$J120)</f>
      </c>
      <c r="K16" s="30">
        <f>IF($K120="",$Y16,$K120)</f>
      </c>
      <c r="L16" s="30">
        <f>IF($L120="",$Z16,$L120)</f>
      </c>
      <c r="M16" s="30">
        <f>IF($M120="",$AA16,$M120)</f>
      </c>
      <c r="N16" s="30">
        <f>IF($N120="",$AB16,$N120)</f>
      </c>
      <c r="O16" s="30">
        <f>IF($O120="",$AC16,$O120)</f>
      </c>
      <c r="P16" s="30">
        <f>IF($P120="",$AD16,$P120)</f>
      </c>
      <c r="Q16" s="42">
        <f>SUM($E16:$P16)</f>
      </c>
      <c r="R16"/>
      <c r="S16" s="43">
        <f>SUMIF(NkObj,1,NkM1)</f>
      </c>
      <c r="T16" s="43">
        <f>SUMIF(NkObj,1,NkM2)</f>
      </c>
      <c r="U16" s="43">
        <f>SUMIF(NkObj,1,NkM3)</f>
      </c>
      <c r="V16" s="43">
        <f>SUMIF(NkObj,1,NkM4)</f>
      </c>
      <c r="W16" s="43">
        <f>SUMIF(NkObj,1,NkM5)</f>
      </c>
      <c r="X16" s="43">
        <f>SUMIF(NkObj,1,NkM6)</f>
      </c>
      <c r="Y16" s="43">
        <f>SUMIF(NkObj,1,NkM7)</f>
      </c>
      <c r="Z16" s="43">
        <f>SUMIF(NkObj,1,NkM8)</f>
      </c>
      <c r="AA16" s="43">
        <f>SUMIF(NkObj,1,NkM9)</f>
      </c>
      <c r="AB16" s="43">
        <f>SUMIF(NkObj,1,NkM10)</f>
      </c>
      <c r="AC16" s="43">
        <f>SUMIF(NkObj,1,NkM11)</f>
      </c>
      <c r="AD16" s="43">
        <f>SUMIF(NkObj,1,NkM12)</f>
      </c>
    </row>
    <row r="17">
      <c r="A17"/>
      <c r="B17"/>
      <c r="C17" s="16" t="inlineStr">
        <is>
          <t xml:space="preserve">Hausgeld, nicht umlagefähig</t>
        </is>
      </c>
      <c r="D17" s="16" t="inlineStr">
        <is>
          <t xml:space="preserve">Bewirtschaftung</t>
        </is>
      </c>
      <c r="E17" s="30">
        <f>IF($E121="",$S17,$E121)</f>
      </c>
      <c r="F17" s="30">
        <f>IF($F121="",$T17,$F121)</f>
      </c>
      <c r="G17" s="30">
        <f>IF($G121="",$U17,$G121)</f>
      </c>
      <c r="H17" s="30">
        <f>IF($H121="",$V17,$H121)</f>
      </c>
      <c r="I17" s="30">
        <f>IF($I121="",$W17,$I121)</f>
      </c>
      <c r="J17" s="30">
        <f>IF($J121="",$X17,$J121)</f>
      </c>
      <c r="K17" s="30">
        <f>IF($K121="",$Y17,$K121)</f>
      </c>
      <c r="L17" s="30">
        <f>IF($L121="",$Z17,$L121)</f>
      </c>
      <c r="M17" s="30">
        <f>IF($M121="",$AA17,$M121)</f>
      </c>
      <c r="N17" s="30">
        <f>IF($N121="",$AB17,$N121)</f>
      </c>
      <c r="O17" s="30">
        <f>IF($O121="",$AC17,$O121)</f>
      </c>
      <c r="P17" s="30">
        <f>IF($P121="",$AD17,$P121)</f>
      </c>
      <c r="Q17" s="42">
        <f>SUM($E17:$P17)</f>
      </c>
      <c r="R17"/>
      <c r="S17" s="43">
        <f>IF(AND(INDEX(ObjKaufJahr,1)&gt;0,DATE(Jahr,1,1)&gt;=DATE(INDEX(ObjKaufJahr,1),INDEX(ObjKaufMonat,1),1)),MAX(0,INDEX(ObjHausgeld,1)-INDEX(ObjUmlage,1)),0)</f>
      </c>
      <c r="T17" s="43">
        <f>IF(AND(INDEX(ObjKaufJahr,1)&gt;0,DATE(Jahr,2,1)&gt;=DATE(INDEX(ObjKaufJahr,1),INDEX(ObjKaufMonat,1),1)),MAX(0,INDEX(ObjHausgeld,1)-INDEX(ObjUmlage,1)),0)</f>
      </c>
      <c r="U17" s="43">
        <f>IF(AND(INDEX(ObjKaufJahr,1)&gt;0,DATE(Jahr,3,1)&gt;=DATE(INDEX(ObjKaufJahr,1),INDEX(ObjKaufMonat,1),1)),MAX(0,INDEX(ObjHausgeld,1)-INDEX(ObjUmlage,1)),0)</f>
      </c>
      <c r="V17" s="43">
        <f>IF(AND(INDEX(ObjKaufJahr,1)&gt;0,DATE(Jahr,4,1)&gt;=DATE(INDEX(ObjKaufJahr,1),INDEX(ObjKaufMonat,1),1)),MAX(0,INDEX(ObjHausgeld,1)-INDEX(ObjUmlage,1)),0)</f>
      </c>
      <c r="W17" s="43">
        <f>IF(AND(INDEX(ObjKaufJahr,1)&gt;0,DATE(Jahr,5,1)&gt;=DATE(INDEX(ObjKaufJahr,1),INDEX(ObjKaufMonat,1),1)),MAX(0,INDEX(ObjHausgeld,1)-INDEX(ObjUmlage,1)),0)</f>
      </c>
      <c r="X17" s="43">
        <f>IF(AND(INDEX(ObjKaufJahr,1)&gt;0,DATE(Jahr,6,1)&gt;=DATE(INDEX(ObjKaufJahr,1),INDEX(ObjKaufMonat,1),1)),MAX(0,INDEX(ObjHausgeld,1)-INDEX(ObjUmlage,1)),0)</f>
      </c>
      <c r="Y17" s="43">
        <f>IF(AND(INDEX(ObjKaufJahr,1)&gt;0,DATE(Jahr,7,1)&gt;=DATE(INDEX(ObjKaufJahr,1),INDEX(ObjKaufMonat,1),1)),MAX(0,INDEX(ObjHausgeld,1)-INDEX(ObjUmlage,1)),0)</f>
      </c>
      <c r="Z17" s="43">
        <f>IF(AND(INDEX(ObjKaufJahr,1)&gt;0,DATE(Jahr,8,1)&gt;=DATE(INDEX(ObjKaufJahr,1),INDEX(ObjKaufMonat,1),1)),MAX(0,INDEX(ObjHausgeld,1)-INDEX(ObjUmlage,1)),0)</f>
      </c>
      <c r="AA17" s="43">
        <f>IF(AND(INDEX(ObjKaufJahr,1)&gt;0,DATE(Jahr,9,1)&gt;=DATE(INDEX(ObjKaufJahr,1),INDEX(ObjKaufMonat,1),1)),MAX(0,INDEX(ObjHausgeld,1)-INDEX(ObjUmlage,1)),0)</f>
      </c>
      <c r="AB17" s="43">
        <f>IF(AND(INDEX(ObjKaufJahr,1)&gt;0,DATE(Jahr,10,1)&gt;=DATE(INDEX(ObjKaufJahr,1),INDEX(ObjKaufMonat,1),1)),MAX(0,INDEX(ObjHausgeld,1)-INDEX(ObjUmlage,1)),0)</f>
      </c>
      <c r="AC17" s="43">
        <f>IF(AND(INDEX(ObjKaufJahr,1)&gt;0,DATE(Jahr,11,1)&gt;=DATE(INDEX(ObjKaufJahr,1),INDEX(ObjKaufMonat,1),1)),MAX(0,INDEX(ObjHausgeld,1)-INDEX(ObjUmlage,1)),0)</f>
      </c>
      <c r="AD17" s="43">
        <f>IF(AND(INDEX(ObjKaufJahr,1)&gt;0,DATE(Jahr,12,1)&gt;=DATE(INDEX(ObjKaufJahr,1),INDEX(ObjKaufMonat,1),1)),MAX(0,INDEX(ObjHausgeld,1)-INDEX(ObjUmlage,1)),0)</f>
      </c>
    </row>
    <row r="18">
      <c r="A18"/>
      <c r="B18"/>
      <c r="C18" s="16" t="inlineStr">
        <is>
          <t xml:space="preserve">Verwaltung</t>
        </is>
      </c>
      <c r="D18" s="16" t="inlineStr">
        <is>
          <t xml:space="preserve">Bewirtschaftung</t>
        </is>
      </c>
      <c r="E18" s="30">
        <f>IF($E122="",$S18,$E122)</f>
      </c>
      <c r="F18" s="30">
        <f>IF($F122="",$T18,$F122)</f>
      </c>
      <c r="G18" s="30">
        <f>IF($G122="",$U18,$G122)</f>
      </c>
      <c r="H18" s="30">
        <f>IF($H122="",$V18,$H122)</f>
      </c>
      <c r="I18" s="30">
        <f>IF($I122="",$W18,$I122)</f>
      </c>
      <c r="J18" s="30">
        <f>IF($J122="",$X18,$J122)</f>
      </c>
      <c r="K18" s="30">
        <f>IF($K122="",$Y18,$K122)</f>
      </c>
      <c r="L18" s="30">
        <f>IF($L122="",$Z18,$L122)</f>
      </c>
      <c r="M18" s="30">
        <f>IF($M122="",$AA18,$M122)</f>
      </c>
      <c r="N18" s="30">
        <f>IF($N122="",$AB18,$N122)</f>
      </c>
      <c r="O18" s="30">
        <f>IF($O122="",$AC18,$O122)</f>
      </c>
      <c r="P18" s="30">
        <f>IF($P122="",$AD18,$P122)</f>
      </c>
      <c r="Q18" s="42">
        <f>SUM($E18:$P18)</f>
      </c>
      <c r="R18"/>
      <c r="S18" s="43">
        <f>IF(AND(INDEX(ObjKaufJahr,1)&gt;0,DATE(Jahr,1,1)&gt;=DATE(INDEX(ObjKaufJahr,1),INDEX(ObjKaufMonat,1),1)),INDEX(ObjVerwaltung,1),0)</f>
      </c>
      <c r="T18" s="43">
        <f>IF(AND(INDEX(ObjKaufJahr,1)&gt;0,DATE(Jahr,2,1)&gt;=DATE(INDEX(ObjKaufJahr,1),INDEX(ObjKaufMonat,1),1)),INDEX(ObjVerwaltung,1),0)</f>
      </c>
      <c r="U18" s="43">
        <f>IF(AND(INDEX(ObjKaufJahr,1)&gt;0,DATE(Jahr,3,1)&gt;=DATE(INDEX(ObjKaufJahr,1),INDEX(ObjKaufMonat,1),1)),INDEX(ObjVerwaltung,1),0)</f>
      </c>
      <c r="V18" s="43">
        <f>IF(AND(INDEX(ObjKaufJahr,1)&gt;0,DATE(Jahr,4,1)&gt;=DATE(INDEX(ObjKaufJahr,1),INDEX(ObjKaufMonat,1),1)),INDEX(ObjVerwaltung,1),0)</f>
      </c>
      <c r="W18" s="43">
        <f>IF(AND(INDEX(ObjKaufJahr,1)&gt;0,DATE(Jahr,5,1)&gt;=DATE(INDEX(ObjKaufJahr,1),INDEX(ObjKaufMonat,1),1)),INDEX(ObjVerwaltung,1),0)</f>
      </c>
      <c r="X18" s="43">
        <f>IF(AND(INDEX(ObjKaufJahr,1)&gt;0,DATE(Jahr,6,1)&gt;=DATE(INDEX(ObjKaufJahr,1),INDEX(ObjKaufMonat,1),1)),INDEX(ObjVerwaltung,1),0)</f>
      </c>
      <c r="Y18" s="43">
        <f>IF(AND(INDEX(ObjKaufJahr,1)&gt;0,DATE(Jahr,7,1)&gt;=DATE(INDEX(ObjKaufJahr,1),INDEX(ObjKaufMonat,1),1)),INDEX(ObjVerwaltung,1),0)</f>
      </c>
      <c r="Z18" s="43">
        <f>IF(AND(INDEX(ObjKaufJahr,1)&gt;0,DATE(Jahr,8,1)&gt;=DATE(INDEX(ObjKaufJahr,1),INDEX(ObjKaufMonat,1),1)),INDEX(ObjVerwaltung,1),0)</f>
      </c>
      <c r="AA18" s="43">
        <f>IF(AND(INDEX(ObjKaufJahr,1)&gt;0,DATE(Jahr,9,1)&gt;=DATE(INDEX(ObjKaufJahr,1),INDEX(ObjKaufMonat,1),1)),INDEX(ObjVerwaltung,1),0)</f>
      </c>
      <c r="AB18" s="43">
        <f>IF(AND(INDEX(ObjKaufJahr,1)&gt;0,DATE(Jahr,10,1)&gt;=DATE(INDEX(ObjKaufJahr,1),INDEX(ObjKaufMonat,1),1)),INDEX(ObjVerwaltung,1),0)</f>
      </c>
      <c r="AC18" s="43">
        <f>IF(AND(INDEX(ObjKaufJahr,1)&gt;0,DATE(Jahr,11,1)&gt;=DATE(INDEX(ObjKaufJahr,1),INDEX(ObjKaufMonat,1),1)),INDEX(ObjVerwaltung,1),0)</f>
      </c>
      <c r="AD18" s="43">
        <f>IF(AND(INDEX(ObjKaufJahr,1)&gt;0,DATE(Jahr,12,1)&gt;=DATE(INDEX(ObjKaufJahr,1),INDEX(ObjKaufMonat,1),1)),INDEX(ObjVerwaltung,1),0)</f>
      </c>
    </row>
    <row r="19">
      <c r="A19"/>
      <c r="B19"/>
      <c r="C19" s="16" t="inlineStr">
        <is>
          <t xml:space="preserve">Instandhaltung</t>
        </is>
      </c>
      <c r="D19" s="16" t="inlineStr">
        <is>
          <t xml:space="preserve">Bewirtschaftung</t>
        </is>
      </c>
      <c r="E19" s="30">
        <f>IF($E123="",$S19,$E123)</f>
      </c>
      <c r="F19" s="30">
        <f>IF($F123="",$T19,$F123)</f>
      </c>
      <c r="G19" s="30">
        <f>IF($G123="",$U19,$G123)</f>
      </c>
      <c r="H19" s="30">
        <f>IF($H123="",$V19,$H123)</f>
      </c>
      <c r="I19" s="30">
        <f>IF($I123="",$W19,$I123)</f>
      </c>
      <c r="J19" s="30">
        <f>IF($J123="",$X19,$J123)</f>
      </c>
      <c r="K19" s="30">
        <f>IF($K123="",$Y19,$K123)</f>
      </c>
      <c r="L19" s="30">
        <f>IF($L123="",$Z19,$L123)</f>
      </c>
      <c r="M19" s="30">
        <f>IF($M123="",$AA19,$M123)</f>
      </c>
      <c r="N19" s="30">
        <f>IF($N123="",$AB19,$N123)</f>
      </c>
      <c r="O19" s="30">
        <f>IF($O123="",$AC19,$O123)</f>
      </c>
      <c r="P19" s="30">
        <f>IF($P123="",$AD19,$P123)</f>
      </c>
      <c r="Q19" s="42">
        <f>SUM($E19:$P19)</f>
      </c>
      <c r="R19"/>
      <c r="S19" s="43">
        <f>IF(AND(INDEX(ObjKaufJahr,1)&gt;0,DATE(Jahr,1,1)&gt;=DATE(INDEX(ObjKaufJahr,1),INDEX(ObjKaufMonat,1),1)),INDEX(ObjInstand,1),0)</f>
      </c>
      <c r="T19" s="43">
        <f>IF(AND(INDEX(ObjKaufJahr,1)&gt;0,DATE(Jahr,2,1)&gt;=DATE(INDEX(ObjKaufJahr,1),INDEX(ObjKaufMonat,1),1)),INDEX(ObjInstand,1),0)</f>
      </c>
      <c r="U19" s="43">
        <f>IF(AND(INDEX(ObjKaufJahr,1)&gt;0,DATE(Jahr,3,1)&gt;=DATE(INDEX(ObjKaufJahr,1),INDEX(ObjKaufMonat,1),1)),INDEX(ObjInstand,1),0)</f>
      </c>
      <c r="V19" s="43">
        <f>IF(AND(INDEX(ObjKaufJahr,1)&gt;0,DATE(Jahr,4,1)&gt;=DATE(INDEX(ObjKaufJahr,1),INDEX(ObjKaufMonat,1),1)),INDEX(ObjInstand,1),0)</f>
      </c>
      <c r="W19" s="43">
        <f>IF(AND(INDEX(ObjKaufJahr,1)&gt;0,DATE(Jahr,5,1)&gt;=DATE(INDEX(ObjKaufJahr,1),INDEX(ObjKaufMonat,1),1)),INDEX(ObjInstand,1),0)</f>
      </c>
      <c r="X19" s="43">
        <f>IF(AND(INDEX(ObjKaufJahr,1)&gt;0,DATE(Jahr,6,1)&gt;=DATE(INDEX(ObjKaufJahr,1),INDEX(ObjKaufMonat,1),1)),INDEX(ObjInstand,1),0)</f>
      </c>
      <c r="Y19" s="43">
        <f>IF(AND(INDEX(ObjKaufJahr,1)&gt;0,DATE(Jahr,7,1)&gt;=DATE(INDEX(ObjKaufJahr,1),INDEX(ObjKaufMonat,1),1)),INDEX(ObjInstand,1),0)</f>
      </c>
      <c r="Z19" s="43">
        <f>IF(AND(INDEX(ObjKaufJahr,1)&gt;0,DATE(Jahr,8,1)&gt;=DATE(INDEX(ObjKaufJahr,1),INDEX(ObjKaufMonat,1),1)),INDEX(ObjInstand,1),0)</f>
      </c>
      <c r="AA19" s="43">
        <f>IF(AND(INDEX(ObjKaufJahr,1)&gt;0,DATE(Jahr,9,1)&gt;=DATE(INDEX(ObjKaufJahr,1),INDEX(ObjKaufMonat,1),1)),INDEX(ObjInstand,1),0)</f>
      </c>
      <c r="AB19" s="43">
        <f>IF(AND(INDEX(ObjKaufJahr,1)&gt;0,DATE(Jahr,10,1)&gt;=DATE(INDEX(ObjKaufJahr,1),INDEX(ObjKaufMonat,1),1)),INDEX(ObjInstand,1),0)</f>
      </c>
      <c r="AC19" s="43">
        <f>IF(AND(INDEX(ObjKaufJahr,1)&gt;0,DATE(Jahr,11,1)&gt;=DATE(INDEX(ObjKaufJahr,1),INDEX(ObjKaufMonat,1),1)),INDEX(ObjInstand,1),0)</f>
      </c>
      <c r="AD19" s="43">
        <f>IF(AND(INDEX(ObjKaufJahr,1)&gt;0,DATE(Jahr,12,1)&gt;=DATE(INDEX(ObjKaufJahr,1),INDEX(ObjKaufMonat,1),1)),INDEX(ObjInstand,1),0)</f>
      </c>
    </row>
    <row r="20">
      <c r="A20"/>
      <c r="B20"/>
      <c r="C20" s="16" t="inlineStr">
        <is>
          <t xml:space="preserve">Sonstige Kosten</t>
        </is>
      </c>
      <c r="D20" s="16" t="inlineStr">
        <is>
          <t xml:space="preserve">Bewirtschaftung</t>
        </is>
      </c>
      <c r="E20" s="30">
        <f>IF($E124="",$S20,$E124)</f>
      </c>
      <c r="F20" s="30">
        <f>IF($F124="",$T20,$F124)</f>
      </c>
      <c r="G20" s="30">
        <f>IF($G124="",$U20,$G124)</f>
      </c>
      <c r="H20" s="30">
        <f>IF($H124="",$V20,$H124)</f>
      </c>
      <c r="I20" s="30">
        <f>IF($I124="",$W20,$I124)</f>
      </c>
      <c r="J20" s="30">
        <f>IF($J124="",$X20,$J124)</f>
      </c>
      <c r="K20" s="30">
        <f>IF($K124="",$Y20,$K124)</f>
      </c>
      <c r="L20" s="30">
        <f>IF($L124="",$Z20,$L124)</f>
      </c>
      <c r="M20" s="30">
        <f>IF($M124="",$AA20,$M124)</f>
      </c>
      <c r="N20" s="30">
        <f>IF($N124="",$AB20,$N124)</f>
      </c>
      <c r="O20" s="30">
        <f>IF($O124="",$AC20,$O124)</f>
      </c>
      <c r="P20" s="30">
        <f>IF($P124="",$AD20,$P124)</f>
      </c>
      <c r="Q20" s="42">
        <f>SUM($E20:$P20)</f>
      </c>
      <c r="R20"/>
      <c r="S20" s="43">
        <f>IF(AND(INDEX(ObjKaufJahr,1)&gt;0,DATE(Jahr,1,1)&gt;=DATE(INDEX(ObjKaufJahr,1),INDEX(ObjKaufMonat,1),1)),INDEX(ObjSonstige,1)/12,0)</f>
      </c>
      <c r="T20" s="43">
        <f>IF(AND(INDEX(ObjKaufJahr,1)&gt;0,DATE(Jahr,2,1)&gt;=DATE(INDEX(ObjKaufJahr,1),INDEX(ObjKaufMonat,1),1)),INDEX(ObjSonstige,1)/12,0)</f>
      </c>
      <c r="U20" s="43">
        <f>IF(AND(INDEX(ObjKaufJahr,1)&gt;0,DATE(Jahr,3,1)&gt;=DATE(INDEX(ObjKaufJahr,1),INDEX(ObjKaufMonat,1),1)),INDEX(ObjSonstige,1)/12,0)</f>
      </c>
      <c r="V20" s="43">
        <f>IF(AND(INDEX(ObjKaufJahr,1)&gt;0,DATE(Jahr,4,1)&gt;=DATE(INDEX(ObjKaufJahr,1),INDEX(ObjKaufMonat,1),1)),INDEX(ObjSonstige,1)/12,0)</f>
      </c>
      <c r="W20" s="43">
        <f>IF(AND(INDEX(ObjKaufJahr,1)&gt;0,DATE(Jahr,5,1)&gt;=DATE(INDEX(ObjKaufJahr,1),INDEX(ObjKaufMonat,1),1)),INDEX(ObjSonstige,1)/12,0)</f>
      </c>
      <c r="X20" s="43">
        <f>IF(AND(INDEX(ObjKaufJahr,1)&gt;0,DATE(Jahr,6,1)&gt;=DATE(INDEX(ObjKaufJahr,1),INDEX(ObjKaufMonat,1),1)),INDEX(ObjSonstige,1)/12,0)</f>
      </c>
      <c r="Y20" s="43">
        <f>IF(AND(INDEX(ObjKaufJahr,1)&gt;0,DATE(Jahr,7,1)&gt;=DATE(INDEX(ObjKaufJahr,1),INDEX(ObjKaufMonat,1),1)),INDEX(ObjSonstige,1)/12,0)</f>
      </c>
      <c r="Z20" s="43">
        <f>IF(AND(INDEX(ObjKaufJahr,1)&gt;0,DATE(Jahr,8,1)&gt;=DATE(INDEX(ObjKaufJahr,1),INDEX(ObjKaufMonat,1),1)),INDEX(ObjSonstige,1)/12,0)</f>
      </c>
      <c r="AA20" s="43">
        <f>IF(AND(INDEX(ObjKaufJahr,1)&gt;0,DATE(Jahr,9,1)&gt;=DATE(INDEX(ObjKaufJahr,1),INDEX(ObjKaufMonat,1),1)),INDEX(ObjSonstige,1)/12,0)</f>
      </c>
      <c r="AB20" s="43">
        <f>IF(AND(INDEX(ObjKaufJahr,1)&gt;0,DATE(Jahr,10,1)&gt;=DATE(INDEX(ObjKaufJahr,1),INDEX(ObjKaufMonat,1),1)),INDEX(ObjSonstige,1)/12,0)</f>
      </c>
      <c r="AC20" s="43">
        <f>IF(AND(INDEX(ObjKaufJahr,1)&gt;0,DATE(Jahr,11,1)&gt;=DATE(INDEX(ObjKaufJahr,1),INDEX(ObjKaufMonat,1),1)),INDEX(ObjSonstige,1)/12,0)</f>
      </c>
      <c r="AD20" s="43">
        <f>IF(AND(INDEX(ObjKaufJahr,1)&gt;0,DATE(Jahr,12,1)&gt;=DATE(INDEX(ObjKaufJahr,1),INDEX(ObjKaufMonat,1),1)),INDEX(ObjSonstige,1)/12,0)</f>
      </c>
    </row>
    <row r="21">
      <c r="A21"/>
      <c r="B21"/>
      <c r="C21" s="16" t="inlineStr">
        <is>
          <t xml:space="preserve">Zinsen</t>
        </is>
      </c>
      <c r="D21" s="16" t="inlineStr">
        <is>
          <t xml:space="preserve">Finanzierung</t>
        </is>
      </c>
      <c r="E21" s="30">
        <f>IF($E125="",$S21,$E125)</f>
      </c>
      <c r="F21" s="30">
        <f>IF($F125="",$T21,$F125)</f>
      </c>
      <c r="G21" s="30">
        <f>IF($G125="",$U21,$G125)</f>
      </c>
      <c r="H21" s="30">
        <f>IF($H125="",$V21,$H125)</f>
      </c>
      <c r="I21" s="30">
        <f>IF($I125="",$W21,$I125)</f>
      </c>
      <c r="J21" s="30">
        <f>IF($J125="",$X21,$J125)</f>
      </c>
      <c r="K21" s="30">
        <f>IF($K125="",$Y21,$K125)</f>
      </c>
      <c r="L21" s="30">
        <f>IF($L125="",$Z21,$L125)</f>
      </c>
      <c r="M21" s="30">
        <f>IF($M125="",$AA21,$M125)</f>
      </c>
      <c r="N21" s="30">
        <f>IF($N125="",$AB21,$N125)</f>
      </c>
      <c r="O21" s="30">
        <f>IF($O125="",$AC21,$O125)</f>
      </c>
      <c r="P21" s="30">
        <f>IF($P125="",$AD21,$P125)</f>
      </c>
      <c r="Q21" s="42">
        <f>SUM($E21:$P21)</f>
      </c>
      <c r="R21"/>
      <c r="S21" s="43">
        <f>SUMIFS(TilgZins,TilgObj,1,TilgDatum,DATE(Jahr,1,1))</f>
      </c>
      <c r="T21" s="43">
        <f>SUMIFS(TilgZins,TilgObj,1,TilgDatum,DATE(Jahr,2,1))</f>
      </c>
      <c r="U21" s="43">
        <f>SUMIFS(TilgZins,TilgObj,1,TilgDatum,DATE(Jahr,3,1))</f>
      </c>
      <c r="V21" s="43">
        <f>SUMIFS(TilgZins,TilgObj,1,TilgDatum,DATE(Jahr,4,1))</f>
      </c>
      <c r="W21" s="43">
        <f>SUMIFS(TilgZins,TilgObj,1,TilgDatum,DATE(Jahr,5,1))</f>
      </c>
      <c r="X21" s="43">
        <f>SUMIFS(TilgZins,TilgObj,1,TilgDatum,DATE(Jahr,6,1))</f>
      </c>
      <c r="Y21" s="43">
        <f>SUMIFS(TilgZins,TilgObj,1,TilgDatum,DATE(Jahr,7,1))</f>
      </c>
      <c r="Z21" s="43">
        <f>SUMIFS(TilgZins,TilgObj,1,TilgDatum,DATE(Jahr,8,1))</f>
      </c>
      <c r="AA21" s="43">
        <f>SUMIFS(TilgZins,TilgObj,1,TilgDatum,DATE(Jahr,9,1))</f>
      </c>
      <c r="AB21" s="43">
        <f>SUMIFS(TilgZins,TilgObj,1,TilgDatum,DATE(Jahr,10,1))</f>
      </c>
      <c r="AC21" s="43">
        <f>SUMIFS(TilgZins,TilgObj,1,TilgDatum,DATE(Jahr,11,1))</f>
      </c>
      <c r="AD21" s="43">
        <f>SUMIFS(TilgZins,TilgObj,1,TilgDatum,DATE(Jahr,12,1))</f>
      </c>
    </row>
    <row r="22">
      <c r="A22"/>
      <c r="B22"/>
      <c r="C22" s="16" t="inlineStr">
        <is>
          <t xml:space="preserve">Tilgung</t>
        </is>
      </c>
      <c r="D22" s="16" t="inlineStr">
        <is>
          <t xml:space="preserve">Finanzierung</t>
        </is>
      </c>
      <c r="E22" s="30">
        <f>IF($E126="",$S22,$E126)</f>
      </c>
      <c r="F22" s="30">
        <f>IF($F126="",$T22,$F126)</f>
      </c>
      <c r="G22" s="30">
        <f>IF($G126="",$U22,$G126)</f>
      </c>
      <c r="H22" s="30">
        <f>IF($H126="",$V22,$H126)</f>
      </c>
      <c r="I22" s="30">
        <f>IF($I126="",$W22,$I126)</f>
      </c>
      <c r="J22" s="30">
        <f>IF($J126="",$X22,$J126)</f>
      </c>
      <c r="K22" s="30">
        <f>IF($K126="",$Y22,$K126)</f>
      </c>
      <c r="L22" s="30">
        <f>IF($L126="",$Z22,$L126)</f>
      </c>
      <c r="M22" s="30">
        <f>IF($M126="",$AA22,$M126)</f>
      </c>
      <c r="N22" s="30">
        <f>IF($N126="",$AB22,$N126)</f>
      </c>
      <c r="O22" s="30">
        <f>IF($O126="",$AC22,$O126)</f>
      </c>
      <c r="P22" s="30">
        <f>IF($P126="",$AD22,$P126)</f>
      </c>
      <c r="Q22" s="42">
        <f>SUM($E22:$P22)</f>
      </c>
      <c r="R22"/>
      <c r="S22" s="43">
        <f>SUMIFS(TilgTilgung,TilgObj,1,TilgDatum,DATE(Jahr,1,1))</f>
      </c>
      <c r="T22" s="43">
        <f>SUMIFS(TilgTilgung,TilgObj,1,TilgDatum,DATE(Jahr,2,1))</f>
      </c>
      <c r="U22" s="43">
        <f>SUMIFS(TilgTilgung,TilgObj,1,TilgDatum,DATE(Jahr,3,1))</f>
      </c>
      <c r="V22" s="43">
        <f>SUMIFS(TilgTilgung,TilgObj,1,TilgDatum,DATE(Jahr,4,1))</f>
      </c>
      <c r="W22" s="43">
        <f>SUMIFS(TilgTilgung,TilgObj,1,TilgDatum,DATE(Jahr,5,1))</f>
      </c>
      <c r="X22" s="43">
        <f>SUMIFS(TilgTilgung,TilgObj,1,TilgDatum,DATE(Jahr,6,1))</f>
      </c>
      <c r="Y22" s="43">
        <f>SUMIFS(TilgTilgung,TilgObj,1,TilgDatum,DATE(Jahr,7,1))</f>
      </c>
      <c r="Z22" s="43">
        <f>SUMIFS(TilgTilgung,TilgObj,1,TilgDatum,DATE(Jahr,8,1))</f>
      </c>
      <c r="AA22" s="43">
        <f>SUMIFS(TilgTilgung,TilgObj,1,TilgDatum,DATE(Jahr,9,1))</f>
      </c>
      <c r="AB22" s="43">
        <f>SUMIFS(TilgTilgung,TilgObj,1,TilgDatum,DATE(Jahr,10,1))</f>
      </c>
      <c r="AC22" s="43">
        <f>SUMIFS(TilgTilgung,TilgObj,1,TilgDatum,DATE(Jahr,11,1))</f>
      </c>
      <c r="AD22" s="43">
        <f>SUMIFS(TilgTilgung,TilgObj,1,TilgDatum,DATE(Jahr,12,1))</f>
      </c>
    </row>
    <row r="23">
      <c r="A23"/>
      <c r="B23"/>
      <c r="C23" s="16" t="inlineStr">
        <is>
          <t xml:space="preserve">Sondertilgung</t>
        </is>
      </c>
      <c r="D23" s="16" t="inlineStr">
        <is>
          <t xml:space="preserve">Finanzierung</t>
        </is>
      </c>
      <c r="E23" s="30">
        <f>IF($E127="",$S23,$E127)</f>
      </c>
      <c r="F23" s="30">
        <f>IF($F127="",$T23,$F127)</f>
      </c>
      <c r="G23" s="30">
        <f>IF($G127="",$U23,$G127)</f>
      </c>
      <c r="H23" s="30">
        <f>IF($H127="",$V23,$H127)</f>
      </c>
      <c r="I23" s="30">
        <f>IF($I127="",$W23,$I127)</f>
      </c>
      <c r="J23" s="30">
        <f>IF($J127="",$X23,$J127)</f>
      </c>
      <c r="K23" s="30">
        <f>IF($K127="",$Y23,$K127)</f>
      </c>
      <c r="L23" s="30">
        <f>IF($L127="",$Z23,$L127)</f>
      </c>
      <c r="M23" s="30">
        <f>IF($M127="",$AA23,$M127)</f>
      </c>
      <c r="N23" s="30">
        <f>IF($N127="",$AB23,$N127)</f>
      </c>
      <c r="O23" s="30">
        <f>IF($O127="",$AC23,$O127)</f>
      </c>
      <c r="P23" s="30">
        <f>IF($P127="",$AD23,$P127)</f>
      </c>
      <c r="Q23" s="42">
        <f>SUM($E23:$P23)</f>
      </c>
      <c r="R23"/>
      <c r="S23" s="43">
        <f>SUMIFS(TilgSonder,TilgObj,1,TilgDatum,DATE(Jahr,1,1))</f>
      </c>
      <c r="T23" s="43">
        <f>SUMIFS(TilgSonder,TilgObj,1,TilgDatum,DATE(Jahr,2,1))</f>
      </c>
      <c r="U23" s="43">
        <f>SUMIFS(TilgSonder,TilgObj,1,TilgDatum,DATE(Jahr,3,1))</f>
      </c>
      <c r="V23" s="43">
        <f>SUMIFS(TilgSonder,TilgObj,1,TilgDatum,DATE(Jahr,4,1))</f>
      </c>
      <c r="W23" s="43">
        <f>SUMIFS(TilgSonder,TilgObj,1,TilgDatum,DATE(Jahr,5,1))</f>
      </c>
      <c r="X23" s="43">
        <f>SUMIFS(TilgSonder,TilgObj,1,TilgDatum,DATE(Jahr,6,1))</f>
      </c>
      <c r="Y23" s="43">
        <f>SUMIFS(TilgSonder,TilgObj,1,TilgDatum,DATE(Jahr,7,1))</f>
      </c>
      <c r="Z23" s="43">
        <f>SUMIFS(TilgSonder,TilgObj,1,TilgDatum,DATE(Jahr,8,1))</f>
      </c>
      <c r="AA23" s="43">
        <f>SUMIFS(TilgSonder,TilgObj,1,TilgDatum,DATE(Jahr,9,1))</f>
      </c>
      <c r="AB23" s="43">
        <f>SUMIFS(TilgSonder,TilgObj,1,TilgDatum,DATE(Jahr,10,1))</f>
      </c>
      <c r="AC23" s="43">
        <f>SUMIFS(TilgSonder,TilgObj,1,TilgDatum,DATE(Jahr,11,1))</f>
      </c>
      <c r="AD23" s="43">
        <f>SUMIFS(TilgSonder,TilgObj,1,TilgDatum,DATE(Jahr,12,1))</f>
      </c>
    </row>
    <row r="24">
      <c r="A24"/>
      <c r="B24"/>
      <c r="C24" s="16" t="inlineStr">
        <is>
          <t xml:space="preserve">Tilgungsersatzleistung</t>
        </is>
      </c>
      <c r="D24" s="16" t="inlineStr">
        <is>
          <t xml:space="preserve">Finanzierung</t>
        </is>
      </c>
      <c r="E24" s="30">
        <f>IF($E128="",$S24,$E128)</f>
      </c>
      <c r="F24" s="30">
        <f>IF($F128="",$T24,$F128)</f>
      </c>
      <c r="G24" s="30">
        <f>IF($G128="",$U24,$G128)</f>
      </c>
      <c r="H24" s="30">
        <f>IF($H128="",$V24,$H128)</f>
      </c>
      <c r="I24" s="30">
        <f>IF($I128="",$W24,$I128)</f>
      </c>
      <c r="J24" s="30">
        <f>IF($J128="",$X24,$J128)</f>
      </c>
      <c r="K24" s="30">
        <f>IF($K128="",$Y24,$K128)</f>
      </c>
      <c r="L24" s="30">
        <f>IF($L128="",$Z24,$L128)</f>
      </c>
      <c r="M24" s="30">
        <f>IF($M128="",$AA24,$M128)</f>
      </c>
      <c r="N24" s="30">
        <f>IF($N128="",$AB24,$N128)</f>
      </c>
      <c r="O24" s="30">
        <f>IF($O128="",$AC24,$O128)</f>
      </c>
      <c r="P24" s="30">
        <f>IF($P128="",$AD24,$P128)</f>
      </c>
      <c r="Q24" s="42">
        <f>SUM($E24:$P24)</f>
      </c>
      <c r="R24"/>
      <c r="S24" s="43">
        <f>SUMIFS(TilgErsatz,TilgObj,1,TilgDatum,DATE(Jahr,1,1))</f>
      </c>
      <c r="T24" s="43">
        <f>SUMIFS(TilgErsatz,TilgObj,1,TilgDatum,DATE(Jahr,2,1))</f>
      </c>
      <c r="U24" s="43">
        <f>SUMIFS(TilgErsatz,TilgObj,1,TilgDatum,DATE(Jahr,3,1))</f>
      </c>
      <c r="V24" s="43">
        <f>SUMIFS(TilgErsatz,TilgObj,1,TilgDatum,DATE(Jahr,4,1))</f>
      </c>
      <c r="W24" s="43">
        <f>SUMIFS(TilgErsatz,TilgObj,1,TilgDatum,DATE(Jahr,5,1))</f>
      </c>
      <c r="X24" s="43">
        <f>SUMIFS(TilgErsatz,TilgObj,1,TilgDatum,DATE(Jahr,6,1))</f>
      </c>
      <c r="Y24" s="43">
        <f>SUMIFS(TilgErsatz,TilgObj,1,TilgDatum,DATE(Jahr,7,1))</f>
      </c>
      <c r="Z24" s="43">
        <f>SUMIFS(TilgErsatz,TilgObj,1,TilgDatum,DATE(Jahr,8,1))</f>
      </c>
      <c r="AA24" s="43">
        <f>SUMIFS(TilgErsatz,TilgObj,1,TilgDatum,DATE(Jahr,9,1))</f>
      </c>
      <c r="AB24" s="43">
        <f>SUMIFS(TilgErsatz,TilgObj,1,TilgDatum,DATE(Jahr,10,1))</f>
      </c>
      <c r="AC24" s="43">
        <f>SUMIFS(TilgErsatz,TilgObj,1,TilgDatum,DATE(Jahr,11,1))</f>
      </c>
      <c r="AD24" s="43">
        <f>SUMIFS(TilgErsatz,TilgObj,1,TilgDatum,DATE(Jahr,12,1))</f>
      </c>
    </row>
    <row r="25">
      <c r="A25"/>
      <c r="B25" s="6">
        <f>IF(INDEX(ObjBelegt,2)=0,"– Objekt 2 –",INDEX(ObjBezeichnung,2))</f>
      </c>
      <c r="C25" s="16" t="inlineStr">
        <is>
          <t xml:space="preserve">Mieteinnahme</t>
        </is>
      </c>
      <c r="D25" s="16" t="inlineStr">
        <is>
          <t xml:space="preserve">Einnahmen</t>
        </is>
      </c>
      <c r="E25" s="30">
        <f>IF($E129="",$S25,$E129)</f>
      </c>
      <c r="F25" s="30">
        <f>IF($F129="",$T25,$F129)</f>
      </c>
      <c r="G25" s="30">
        <f>IF($G129="",$U25,$G129)</f>
      </c>
      <c r="H25" s="30">
        <f>IF($H129="",$V25,$H129)</f>
      </c>
      <c r="I25" s="30">
        <f>IF($I129="",$W25,$I129)</f>
      </c>
      <c r="J25" s="30">
        <f>IF($J129="",$X25,$J129)</f>
      </c>
      <c r="K25" s="30">
        <f>IF($K129="",$Y25,$K129)</f>
      </c>
      <c r="L25" s="30">
        <f>IF($L129="",$Z25,$L129)</f>
      </c>
      <c r="M25" s="30">
        <f>IF($M129="",$AA25,$M129)</f>
      </c>
      <c r="N25" s="30">
        <f>IF($N129="",$AB25,$N129)</f>
      </c>
      <c r="O25" s="30">
        <f>IF($O129="",$AC25,$O129)</f>
      </c>
      <c r="P25" s="30">
        <f>IF($P129="",$AD25,$P129)</f>
      </c>
      <c r="Q25" s="42">
        <f>SUM($E25:$P25)</f>
      </c>
      <c r="R25"/>
      <c r="S25" s="43">
        <f>SUMIFS(MlM1,MlObj,2,MlJahr,Jahr)</f>
      </c>
      <c r="T25" s="43">
        <f>SUMIFS(MlM2,MlObj,2,MlJahr,Jahr)</f>
      </c>
      <c r="U25" s="43">
        <f>SUMIFS(MlM3,MlObj,2,MlJahr,Jahr)</f>
      </c>
      <c r="V25" s="43">
        <f>SUMIFS(MlM4,MlObj,2,MlJahr,Jahr)</f>
      </c>
      <c r="W25" s="43">
        <f>SUMIFS(MlM5,MlObj,2,MlJahr,Jahr)</f>
      </c>
      <c r="X25" s="43">
        <f>SUMIFS(MlM6,MlObj,2,MlJahr,Jahr)</f>
      </c>
      <c r="Y25" s="43">
        <f>SUMIFS(MlM7,MlObj,2,MlJahr,Jahr)</f>
      </c>
      <c r="Z25" s="43">
        <f>SUMIFS(MlM8,MlObj,2,MlJahr,Jahr)</f>
      </c>
      <c r="AA25" s="43">
        <f>SUMIFS(MlM9,MlObj,2,MlJahr,Jahr)</f>
      </c>
      <c r="AB25" s="43">
        <f>SUMIFS(MlM10,MlObj,2,MlJahr,Jahr)</f>
      </c>
      <c r="AC25" s="43">
        <f>SUMIFS(MlM11,MlObj,2,MlJahr,Jahr)</f>
      </c>
      <c r="AD25" s="43">
        <f>SUMIFS(MlM12,MlObj,2,MlJahr,Jahr)</f>
      </c>
    </row>
    <row r="26">
      <c r="A26"/>
      <c r="B26"/>
      <c r="C26" s="16" t="inlineStr">
        <is>
          <t xml:space="preserve">Nebenkosten-Vorauszahlung</t>
        </is>
      </c>
      <c r="D26" s="16" t="inlineStr">
        <is>
          <t xml:space="preserve">Einnahmen</t>
        </is>
      </c>
      <c r="E26" s="30">
        <f>IF($E130="",$S26,$E130)</f>
      </c>
      <c r="F26" s="30">
        <f>IF($F130="",$T26,$F130)</f>
      </c>
      <c r="G26" s="30">
        <f>IF($G130="",$U26,$G130)</f>
      </c>
      <c r="H26" s="30">
        <f>IF($H130="",$V26,$H130)</f>
      </c>
      <c r="I26" s="30">
        <f>IF($I130="",$W26,$I130)</f>
      </c>
      <c r="J26" s="30">
        <f>IF($J130="",$X26,$J130)</f>
      </c>
      <c r="K26" s="30">
        <f>IF($K130="",$Y26,$K130)</f>
      </c>
      <c r="L26" s="30">
        <f>IF($L130="",$Z26,$L130)</f>
      </c>
      <c r="M26" s="30">
        <f>IF($M130="",$AA26,$M130)</f>
      </c>
      <c r="N26" s="30">
        <f>IF($N130="",$AB26,$N130)</f>
      </c>
      <c r="O26" s="30">
        <f>IF($O130="",$AC26,$O130)</f>
      </c>
      <c r="P26" s="30">
        <f>IF($P130="",$AD26,$P130)</f>
      </c>
      <c r="Q26" s="42">
        <f>SUM($E26:$P26)</f>
      </c>
      <c r="R26"/>
      <c r="S26" s="43">
        <f>SUMIF(NkObj,2,NkM1)</f>
      </c>
      <c r="T26" s="43">
        <f>SUMIF(NkObj,2,NkM2)</f>
      </c>
      <c r="U26" s="43">
        <f>SUMIF(NkObj,2,NkM3)</f>
      </c>
      <c r="V26" s="43">
        <f>SUMIF(NkObj,2,NkM4)</f>
      </c>
      <c r="W26" s="43">
        <f>SUMIF(NkObj,2,NkM5)</f>
      </c>
      <c r="X26" s="43">
        <f>SUMIF(NkObj,2,NkM6)</f>
      </c>
      <c r="Y26" s="43">
        <f>SUMIF(NkObj,2,NkM7)</f>
      </c>
      <c r="Z26" s="43">
        <f>SUMIF(NkObj,2,NkM8)</f>
      </c>
      <c r="AA26" s="43">
        <f>SUMIF(NkObj,2,NkM9)</f>
      </c>
      <c r="AB26" s="43">
        <f>SUMIF(NkObj,2,NkM10)</f>
      </c>
      <c r="AC26" s="43">
        <f>SUMIF(NkObj,2,NkM11)</f>
      </c>
      <c r="AD26" s="43">
        <f>SUMIF(NkObj,2,NkM12)</f>
      </c>
    </row>
    <row r="27">
      <c r="A27"/>
      <c r="B27"/>
      <c r="C27" s="16" t="inlineStr">
        <is>
          <t xml:space="preserve">Hausgeld, nicht umlagefähig</t>
        </is>
      </c>
      <c r="D27" s="16" t="inlineStr">
        <is>
          <t xml:space="preserve">Bewirtschaftung</t>
        </is>
      </c>
      <c r="E27" s="30">
        <f>IF($E131="",$S27,$E131)</f>
      </c>
      <c r="F27" s="30">
        <f>IF($F131="",$T27,$F131)</f>
      </c>
      <c r="G27" s="30">
        <f>IF($G131="",$U27,$G131)</f>
      </c>
      <c r="H27" s="30">
        <f>IF($H131="",$V27,$H131)</f>
      </c>
      <c r="I27" s="30">
        <f>IF($I131="",$W27,$I131)</f>
      </c>
      <c r="J27" s="30">
        <f>IF($J131="",$X27,$J131)</f>
      </c>
      <c r="K27" s="30">
        <f>IF($K131="",$Y27,$K131)</f>
      </c>
      <c r="L27" s="30">
        <f>IF($L131="",$Z27,$L131)</f>
      </c>
      <c r="M27" s="30">
        <f>IF($M131="",$AA27,$M131)</f>
      </c>
      <c r="N27" s="30">
        <f>IF($N131="",$AB27,$N131)</f>
      </c>
      <c r="O27" s="30">
        <f>IF($O131="",$AC27,$O131)</f>
      </c>
      <c r="P27" s="30">
        <f>IF($P131="",$AD27,$P131)</f>
      </c>
      <c r="Q27" s="42">
        <f>SUM($E27:$P27)</f>
      </c>
      <c r="R27"/>
      <c r="S27" s="43">
        <f>IF(AND(INDEX(ObjKaufJahr,2)&gt;0,DATE(Jahr,1,1)&gt;=DATE(INDEX(ObjKaufJahr,2),INDEX(ObjKaufMonat,2),1)),MAX(0,INDEX(ObjHausgeld,2)-INDEX(ObjUmlage,2)),0)</f>
      </c>
      <c r="T27" s="43">
        <f>IF(AND(INDEX(ObjKaufJahr,2)&gt;0,DATE(Jahr,2,1)&gt;=DATE(INDEX(ObjKaufJahr,2),INDEX(ObjKaufMonat,2),1)),MAX(0,INDEX(ObjHausgeld,2)-INDEX(ObjUmlage,2)),0)</f>
      </c>
      <c r="U27" s="43">
        <f>IF(AND(INDEX(ObjKaufJahr,2)&gt;0,DATE(Jahr,3,1)&gt;=DATE(INDEX(ObjKaufJahr,2),INDEX(ObjKaufMonat,2),1)),MAX(0,INDEX(ObjHausgeld,2)-INDEX(ObjUmlage,2)),0)</f>
      </c>
      <c r="V27" s="43">
        <f>IF(AND(INDEX(ObjKaufJahr,2)&gt;0,DATE(Jahr,4,1)&gt;=DATE(INDEX(ObjKaufJahr,2),INDEX(ObjKaufMonat,2),1)),MAX(0,INDEX(ObjHausgeld,2)-INDEX(ObjUmlage,2)),0)</f>
      </c>
      <c r="W27" s="43">
        <f>IF(AND(INDEX(ObjKaufJahr,2)&gt;0,DATE(Jahr,5,1)&gt;=DATE(INDEX(ObjKaufJahr,2),INDEX(ObjKaufMonat,2),1)),MAX(0,INDEX(ObjHausgeld,2)-INDEX(ObjUmlage,2)),0)</f>
      </c>
      <c r="X27" s="43">
        <f>IF(AND(INDEX(ObjKaufJahr,2)&gt;0,DATE(Jahr,6,1)&gt;=DATE(INDEX(ObjKaufJahr,2),INDEX(ObjKaufMonat,2),1)),MAX(0,INDEX(ObjHausgeld,2)-INDEX(ObjUmlage,2)),0)</f>
      </c>
      <c r="Y27" s="43">
        <f>IF(AND(INDEX(ObjKaufJahr,2)&gt;0,DATE(Jahr,7,1)&gt;=DATE(INDEX(ObjKaufJahr,2),INDEX(ObjKaufMonat,2),1)),MAX(0,INDEX(ObjHausgeld,2)-INDEX(ObjUmlage,2)),0)</f>
      </c>
      <c r="Z27" s="43">
        <f>IF(AND(INDEX(ObjKaufJahr,2)&gt;0,DATE(Jahr,8,1)&gt;=DATE(INDEX(ObjKaufJahr,2),INDEX(ObjKaufMonat,2),1)),MAX(0,INDEX(ObjHausgeld,2)-INDEX(ObjUmlage,2)),0)</f>
      </c>
      <c r="AA27" s="43">
        <f>IF(AND(INDEX(ObjKaufJahr,2)&gt;0,DATE(Jahr,9,1)&gt;=DATE(INDEX(ObjKaufJahr,2),INDEX(ObjKaufMonat,2),1)),MAX(0,INDEX(ObjHausgeld,2)-INDEX(ObjUmlage,2)),0)</f>
      </c>
      <c r="AB27" s="43">
        <f>IF(AND(INDEX(ObjKaufJahr,2)&gt;0,DATE(Jahr,10,1)&gt;=DATE(INDEX(ObjKaufJahr,2),INDEX(ObjKaufMonat,2),1)),MAX(0,INDEX(ObjHausgeld,2)-INDEX(ObjUmlage,2)),0)</f>
      </c>
      <c r="AC27" s="43">
        <f>IF(AND(INDEX(ObjKaufJahr,2)&gt;0,DATE(Jahr,11,1)&gt;=DATE(INDEX(ObjKaufJahr,2),INDEX(ObjKaufMonat,2),1)),MAX(0,INDEX(ObjHausgeld,2)-INDEX(ObjUmlage,2)),0)</f>
      </c>
      <c r="AD27" s="43">
        <f>IF(AND(INDEX(ObjKaufJahr,2)&gt;0,DATE(Jahr,12,1)&gt;=DATE(INDEX(ObjKaufJahr,2),INDEX(ObjKaufMonat,2),1)),MAX(0,INDEX(ObjHausgeld,2)-INDEX(ObjUmlage,2)),0)</f>
      </c>
    </row>
    <row r="28">
      <c r="A28"/>
      <c r="B28"/>
      <c r="C28" s="16" t="inlineStr">
        <is>
          <t xml:space="preserve">Verwaltung</t>
        </is>
      </c>
      <c r="D28" s="16" t="inlineStr">
        <is>
          <t xml:space="preserve">Bewirtschaftung</t>
        </is>
      </c>
      <c r="E28" s="30">
        <f>IF($E132="",$S28,$E132)</f>
      </c>
      <c r="F28" s="30">
        <f>IF($F132="",$T28,$F132)</f>
      </c>
      <c r="G28" s="30">
        <f>IF($G132="",$U28,$G132)</f>
      </c>
      <c r="H28" s="30">
        <f>IF($H132="",$V28,$H132)</f>
      </c>
      <c r="I28" s="30">
        <f>IF($I132="",$W28,$I132)</f>
      </c>
      <c r="J28" s="30">
        <f>IF($J132="",$X28,$J132)</f>
      </c>
      <c r="K28" s="30">
        <f>IF($K132="",$Y28,$K132)</f>
      </c>
      <c r="L28" s="30">
        <f>IF($L132="",$Z28,$L132)</f>
      </c>
      <c r="M28" s="30">
        <f>IF($M132="",$AA28,$M132)</f>
      </c>
      <c r="N28" s="30">
        <f>IF($N132="",$AB28,$N132)</f>
      </c>
      <c r="O28" s="30">
        <f>IF($O132="",$AC28,$O132)</f>
      </c>
      <c r="P28" s="30">
        <f>IF($P132="",$AD28,$P132)</f>
      </c>
      <c r="Q28" s="42">
        <f>SUM($E28:$P28)</f>
      </c>
      <c r="R28"/>
      <c r="S28" s="43">
        <f>IF(AND(INDEX(ObjKaufJahr,2)&gt;0,DATE(Jahr,1,1)&gt;=DATE(INDEX(ObjKaufJahr,2),INDEX(ObjKaufMonat,2),1)),INDEX(ObjVerwaltung,2),0)</f>
      </c>
      <c r="T28" s="43">
        <f>IF(AND(INDEX(ObjKaufJahr,2)&gt;0,DATE(Jahr,2,1)&gt;=DATE(INDEX(ObjKaufJahr,2),INDEX(ObjKaufMonat,2),1)),INDEX(ObjVerwaltung,2),0)</f>
      </c>
      <c r="U28" s="43">
        <f>IF(AND(INDEX(ObjKaufJahr,2)&gt;0,DATE(Jahr,3,1)&gt;=DATE(INDEX(ObjKaufJahr,2),INDEX(ObjKaufMonat,2),1)),INDEX(ObjVerwaltung,2),0)</f>
      </c>
      <c r="V28" s="43">
        <f>IF(AND(INDEX(ObjKaufJahr,2)&gt;0,DATE(Jahr,4,1)&gt;=DATE(INDEX(ObjKaufJahr,2),INDEX(ObjKaufMonat,2),1)),INDEX(ObjVerwaltung,2),0)</f>
      </c>
      <c r="W28" s="43">
        <f>IF(AND(INDEX(ObjKaufJahr,2)&gt;0,DATE(Jahr,5,1)&gt;=DATE(INDEX(ObjKaufJahr,2),INDEX(ObjKaufMonat,2),1)),INDEX(ObjVerwaltung,2),0)</f>
      </c>
      <c r="X28" s="43">
        <f>IF(AND(INDEX(ObjKaufJahr,2)&gt;0,DATE(Jahr,6,1)&gt;=DATE(INDEX(ObjKaufJahr,2),INDEX(ObjKaufMonat,2),1)),INDEX(ObjVerwaltung,2),0)</f>
      </c>
      <c r="Y28" s="43">
        <f>IF(AND(INDEX(ObjKaufJahr,2)&gt;0,DATE(Jahr,7,1)&gt;=DATE(INDEX(ObjKaufJahr,2),INDEX(ObjKaufMonat,2),1)),INDEX(ObjVerwaltung,2),0)</f>
      </c>
      <c r="Z28" s="43">
        <f>IF(AND(INDEX(ObjKaufJahr,2)&gt;0,DATE(Jahr,8,1)&gt;=DATE(INDEX(ObjKaufJahr,2),INDEX(ObjKaufMonat,2),1)),INDEX(ObjVerwaltung,2),0)</f>
      </c>
      <c r="AA28" s="43">
        <f>IF(AND(INDEX(ObjKaufJahr,2)&gt;0,DATE(Jahr,9,1)&gt;=DATE(INDEX(ObjKaufJahr,2),INDEX(ObjKaufMonat,2),1)),INDEX(ObjVerwaltung,2),0)</f>
      </c>
      <c r="AB28" s="43">
        <f>IF(AND(INDEX(ObjKaufJahr,2)&gt;0,DATE(Jahr,10,1)&gt;=DATE(INDEX(ObjKaufJahr,2),INDEX(ObjKaufMonat,2),1)),INDEX(ObjVerwaltung,2),0)</f>
      </c>
      <c r="AC28" s="43">
        <f>IF(AND(INDEX(ObjKaufJahr,2)&gt;0,DATE(Jahr,11,1)&gt;=DATE(INDEX(ObjKaufJahr,2),INDEX(ObjKaufMonat,2),1)),INDEX(ObjVerwaltung,2),0)</f>
      </c>
      <c r="AD28" s="43">
        <f>IF(AND(INDEX(ObjKaufJahr,2)&gt;0,DATE(Jahr,12,1)&gt;=DATE(INDEX(ObjKaufJahr,2),INDEX(ObjKaufMonat,2),1)),INDEX(ObjVerwaltung,2),0)</f>
      </c>
    </row>
    <row r="29">
      <c r="A29"/>
      <c r="B29"/>
      <c r="C29" s="16" t="inlineStr">
        <is>
          <t xml:space="preserve">Instandhaltung</t>
        </is>
      </c>
      <c r="D29" s="16" t="inlineStr">
        <is>
          <t xml:space="preserve">Bewirtschaftung</t>
        </is>
      </c>
      <c r="E29" s="30">
        <f>IF($E133="",$S29,$E133)</f>
      </c>
      <c r="F29" s="30">
        <f>IF($F133="",$T29,$F133)</f>
      </c>
      <c r="G29" s="30">
        <f>IF($G133="",$U29,$G133)</f>
      </c>
      <c r="H29" s="30">
        <f>IF($H133="",$V29,$H133)</f>
      </c>
      <c r="I29" s="30">
        <f>IF($I133="",$W29,$I133)</f>
      </c>
      <c r="J29" s="30">
        <f>IF($J133="",$X29,$J133)</f>
      </c>
      <c r="K29" s="30">
        <f>IF($K133="",$Y29,$K133)</f>
      </c>
      <c r="L29" s="30">
        <f>IF($L133="",$Z29,$L133)</f>
      </c>
      <c r="M29" s="30">
        <f>IF($M133="",$AA29,$M133)</f>
      </c>
      <c r="N29" s="30">
        <f>IF($N133="",$AB29,$N133)</f>
      </c>
      <c r="O29" s="30">
        <f>IF($O133="",$AC29,$O133)</f>
      </c>
      <c r="P29" s="30">
        <f>IF($P133="",$AD29,$P133)</f>
      </c>
      <c r="Q29" s="42">
        <f>SUM($E29:$P29)</f>
      </c>
      <c r="R29"/>
      <c r="S29" s="43">
        <f>IF(AND(INDEX(ObjKaufJahr,2)&gt;0,DATE(Jahr,1,1)&gt;=DATE(INDEX(ObjKaufJahr,2),INDEX(ObjKaufMonat,2),1)),INDEX(ObjInstand,2),0)</f>
      </c>
      <c r="T29" s="43">
        <f>IF(AND(INDEX(ObjKaufJahr,2)&gt;0,DATE(Jahr,2,1)&gt;=DATE(INDEX(ObjKaufJahr,2),INDEX(ObjKaufMonat,2),1)),INDEX(ObjInstand,2),0)</f>
      </c>
      <c r="U29" s="43">
        <f>IF(AND(INDEX(ObjKaufJahr,2)&gt;0,DATE(Jahr,3,1)&gt;=DATE(INDEX(ObjKaufJahr,2),INDEX(ObjKaufMonat,2),1)),INDEX(ObjInstand,2),0)</f>
      </c>
      <c r="V29" s="43">
        <f>IF(AND(INDEX(ObjKaufJahr,2)&gt;0,DATE(Jahr,4,1)&gt;=DATE(INDEX(ObjKaufJahr,2),INDEX(ObjKaufMonat,2),1)),INDEX(ObjInstand,2),0)</f>
      </c>
      <c r="W29" s="43">
        <f>IF(AND(INDEX(ObjKaufJahr,2)&gt;0,DATE(Jahr,5,1)&gt;=DATE(INDEX(ObjKaufJahr,2),INDEX(ObjKaufMonat,2),1)),INDEX(ObjInstand,2),0)</f>
      </c>
      <c r="X29" s="43">
        <f>IF(AND(INDEX(ObjKaufJahr,2)&gt;0,DATE(Jahr,6,1)&gt;=DATE(INDEX(ObjKaufJahr,2),INDEX(ObjKaufMonat,2),1)),INDEX(ObjInstand,2),0)</f>
      </c>
      <c r="Y29" s="43">
        <f>IF(AND(INDEX(ObjKaufJahr,2)&gt;0,DATE(Jahr,7,1)&gt;=DATE(INDEX(ObjKaufJahr,2),INDEX(ObjKaufMonat,2),1)),INDEX(ObjInstand,2),0)</f>
      </c>
      <c r="Z29" s="43">
        <f>IF(AND(INDEX(ObjKaufJahr,2)&gt;0,DATE(Jahr,8,1)&gt;=DATE(INDEX(ObjKaufJahr,2),INDEX(ObjKaufMonat,2),1)),INDEX(ObjInstand,2),0)</f>
      </c>
      <c r="AA29" s="43">
        <f>IF(AND(INDEX(ObjKaufJahr,2)&gt;0,DATE(Jahr,9,1)&gt;=DATE(INDEX(ObjKaufJahr,2),INDEX(ObjKaufMonat,2),1)),INDEX(ObjInstand,2),0)</f>
      </c>
      <c r="AB29" s="43">
        <f>IF(AND(INDEX(ObjKaufJahr,2)&gt;0,DATE(Jahr,10,1)&gt;=DATE(INDEX(ObjKaufJahr,2),INDEX(ObjKaufMonat,2),1)),INDEX(ObjInstand,2),0)</f>
      </c>
      <c r="AC29" s="43">
        <f>IF(AND(INDEX(ObjKaufJahr,2)&gt;0,DATE(Jahr,11,1)&gt;=DATE(INDEX(ObjKaufJahr,2),INDEX(ObjKaufMonat,2),1)),INDEX(ObjInstand,2),0)</f>
      </c>
      <c r="AD29" s="43">
        <f>IF(AND(INDEX(ObjKaufJahr,2)&gt;0,DATE(Jahr,12,1)&gt;=DATE(INDEX(ObjKaufJahr,2),INDEX(ObjKaufMonat,2),1)),INDEX(ObjInstand,2),0)</f>
      </c>
    </row>
    <row r="30">
      <c r="A30"/>
      <c r="B30"/>
      <c r="C30" s="16" t="inlineStr">
        <is>
          <t xml:space="preserve">Sonstige Kosten</t>
        </is>
      </c>
      <c r="D30" s="16" t="inlineStr">
        <is>
          <t xml:space="preserve">Bewirtschaftung</t>
        </is>
      </c>
      <c r="E30" s="30">
        <f>IF($E134="",$S30,$E134)</f>
      </c>
      <c r="F30" s="30">
        <f>IF($F134="",$T30,$F134)</f>
      </c>
      <c r="G30" s="30">
        <f>IF($G134="",$U30,$G134)</f>
      </c>
      <c r="H30" s="30">
        <f>IF($H134="",$V30,$H134)</f>
      </c>
      <c r="I30" s="30">
        <f>IF($I134="",$W30,$I134)</f>
      </c>
      <c r="J30" s="30">
        <f>IF($J134="",$X30,$J134)</f>
      </c>
      <c r="K30" s="30">
        <f>IF($K134="",$Y30,$K134)</f>
      </c>
      <c r="L30" s="30">
        <f>IF($L134="",$Z30,$L134)</f>
      </c>
      <c r="M30" s="30">
        <f>IF($M134="",$AA30,$M134)</f>
      </c>
      <c r="N30" s="30">
        <f>IF($N134="",$AB30,$N134)</f>
      </c>
      <c r="O30" s="30">
        <f>IF($O134="",$AC30,$O134)</f>
      </c>
      <c r="P30" s="30">
        <f>IF($P134="",$AD30,$P134)</f>
      </c>
      <c r="Q30" s="42">
        <f>SUM($E30:$P30)</f>
      </c>
      <c r="R30"/>
      <c r="S30" s="43">
        <f>IF(AND(INDEX(ObjKaufJahr,2)&gt;0,DATE(Jahr,1,1)&gt;=DATE(INDEX(ObjKaufJahr,2),INDEX(ObjKaufMonat,2),1)),INDEX(ObjSonstige,2)/12,0)</f>
      </c>
      <c r="T30" s="43">
        <f>IF(AND(INDEX(ObjKaufJahr,2)&gt;0,DATE(Jahr,2,1)&gt;=DATE(INDEX(ObjKaufJahr,2),INDEX(ObjKaufMonat,2),1)),INDEX(ObjSonstige,2)/12,0)</f>
      </c>
      <c r="U30" s="43">
        <f>IF(AND(INDEX(ObjKaufJahr,2)&gt;0,DATE(Jahr,3,1)&gt;=DATE(INDEX(ObjKaufJahr,2),INDEX(ObjKaufMonat,2),1)),INDEX(ObjSonstige,2)/12,0)</f>
      </c>
      <c r="V30" s="43">
        <f>IF(AND(INDEX(ObjKaufJahr,2)&gt;0,DATE(Jahr,4,1)&gt;=DATE(INDEX(ObjKaufJahr,2),INDEX(ObjKaufMonat,2),1)),INDEX(ObjSonstige,2)/12,0)</f>
      </c>
      <c r="W30" s="43">
        <f>IF(AND(INDEX(ObjKaufJahr,2)&gt;0,DATE(Jahr,5,1)&gt;=DATE(INDEX(ObjKaufJahr,2),INDEX(ObjKaufMonat,2),1)),INDEX(ObjSonstige,2)/12,0)</f>
      </c>
      <c r="X30" s="43">
        <f>IF(AND(INDEX(ObjKaufJahr,2)&gt;0,DATE(Jahr,6,1)&gt;=DATE(INDEX(ObjKaufJahr,2),INDEX(ObjKaufMonat,2),1)),INDEX(ObjSonstige,2)/12,0)</f>
      </c>
      <c r="Y30" s="43">
        <f>IF(AND(INDEX(ObjKaufJahr,2)&gt;0,DATE(Jahr,7,1)&gt;=DATE(INDEX(ObjKaufJahr,2),INDEX(ObjKaufMonat,2),1)),INDEX(ObjSonstige,2)/12,0)</f>
      </c>
      <c r="Z30" s="43">
        <f>IF(AND(INDEX(ObjKaufJahr,2)&gt;0,DATE(Jahr,8,1)&gt;=DATE(INDEX(ObjKaufJahr,2),INDEX(ObjKaufMonat,2),1)),INDEX(ObjSonstige,2)/12,0)</f>
      </c>
      <c r="AA30" s="43">
        <f>IF(AND(INDEX(ObjKaufJahr,2)&gt;0,DATE(Jahr,9,1)&gt;=DATE(INDEX(ObjKaufJahr,2),INDEX(ObjKaufMonat,2),1)),INDEX(ObjSonstige,2)/12,0)</f>
      </c>
      <c r="AB30" s="43">
        <f>IF(AND(INDEX(ObjKaufJahr,2)&gt;0,DATE(Jahr,10,1)&gt;=DATE(INDEX(ObjKaufJahr,2),INDEX(ObjKaufMonat,2),1)),INDEX(ObjSonstige,2)/12,0)</f>
      </c>
      <c r="AC30" s="43">
        <f>IF(AND(INDEX(ObjKaufJahr,2)&gt;0,DATE(Jahr,11,1)&gt;=DATE(INDEX(ObjKaufJahr,2),INDEX(ObjKaufMonat,2),1)),INDEX(ObjSonstige,2)/12,0)</f>
      </c>
      <c r="AD30" s="43">
        <f>IF(AND(INDEX(ObjKaufJahr,2)&gt;0,DATE(Jahr,12,1)&gt;=DATE(INDEX(ObjKaufJahr,2),INDEX(ObjKaufMonat,2),1)),INDEX(ObjSonstige,2)/12,0)</f>
      </c>
    </row>
    <row r="31">
      <c r="A31"/>
      <c r="B31"/>
      <c r="C31" s="16" t="inlineStr">
        <is>
          <t xml:space="preserve">Zinsen</t>
        </is>
      </c>
      <c r="D31" s="16" t="inlineStr">
        <is>
          <t xml:space="preserve">Finanzierung</t>
        </is>
      </c>
      <c r="E31" s="30">
        <f>IF($E135="",$S31,$E135)</f>
      </c>
      <c r="F31" s="30">
        <f>IF($F135="",$T31,$F135)</f>
      </c>
      <c r="G31" s="30">
        <f>IF($G135="",$U31,$G135)</f>
      </c>
      <c r="H31" s="30">
        <f>IF($H135="",$V31,$H135)</f>
      </c>
      <c r="I31" s="30">
        <f>IF($I135="",$W31,$I135)</f>
      </c>
      <c r="J31" s="30">
        <f>IF($J135="",$X31,$J135)</f>
      </c>
      <c r="K31" s="30">
        <f>IF($K135="",$Y31,$K135)</f>
      </c>
      <c r="L31" s="30">
        <f>IF($L135="",$Z31,$L135)</f>
      </c>
      <c r="M31" s="30">
        <f>IF($M135="",$AA31,$M135)</f>
      </c>
      <c r="N31" s="30">
        <f>IF($N135="",$AB31,$N135)</f>
      </c>
      <c r="O31" s="30">
        <f>IF($O135="",$AC31,$O135)</f>
      </c>
      <c r="P31" s="30">
        <f>IF($P135="",$AD31,$P135)</f>
      </c>
      <c r="Q31" s="42">
        <f>SUM($E31:$P31)</f>
      </c>
      <c r="R31"/>
      <c r="S31" s="43">
        <f>SUMIFS(TilgZins,TilgObj,2,TilgDatum,DATE(Jahr,1,1))</f>
      </c>
      <c r="T31" s="43">
        <f>SUMIFS(TilgZins,TilgObj,2,TilgDatum,DATE(Jahr,2,1))</f>
      </c>
      <c r="U31" s="43">
        <f>SUMIFS(TilgZins,TilgObj,2,TilgDatum,DATE(Jahr,3,1))</f>
      </c>
      <c r="V31" s="43">
        <f>SUMIFS(TilgZins,TilgObj,2,TilgDatum,DATE(Jahr,4,1))</f>
      </c>
      <c r="W31" s="43">
        <f>SUMIFS(TilgZins,TilgObj,2,TilgDatum,DATE(Jahr,5,1))</f>
      </c>
      <c r="X31" s="43">
        <f>SUMIFS(TilgZins,TilgObj,2,TilgDatum,DATE(Jahr,6,1))</f>
      </c>
      <c r="Y31" s="43">
        <f>SUMIFS(TilgZins,TilgObj,2,TilgDatum,DATE(Jahr,7,1))</f>
      </c>
      <c r="Z31" s="43">
        <f>SUMIFS(TilgZins,TilgObj,2,TilgDatum,DATE(Jahr,8,1))</f>
      </c>
      <c r="AA31" s="43">
        <f>SUMIFS(TilgZins,TilgObj,2,TilgDatum,DATE(Jahr,9,1))</f>
      </c>
      <c r="AB31" s="43">
        <f>SUMIFS(TilgZins,TilgObj,2,TilgDatum,DATE(Jahr,10,1))</f>
      </c>
      <c r="AC31" s="43">
        <f>SUMIFS(TilgZins,TilgObj,2,TilgDatum,DATE(Jahr,11,1))</f>
      </c>
      <c r="AD31" s="43">
        <f>SUMIFS(TilgZins,TilgObj,2,TilgDatum,DATE(Jahr,12,1))</f>
      </c>
    </row>
    <row r="32">
      <c r="A32"/>
      <c r="B32"/>
      <c r="C32" s="16" t="inlineStr">
        <is>
          <t xml:space="preserve">Tilgung</t>
        </is>
      </c>
      <c r="D32" s="16" t="inlineStr">
        <is>
          <t xml:space="preserve">Finanzierung</t>
        </is>
      </c>
      <c r="E32" s="30">
        <f>IF($E136="",$S32,$E136)</f>
      </c>
      <c r="F32" s="30">
        <f>IF($F136="",$T32,$F136)</f>
      </c>
      <c r="G32" s="30">
        <f>IF($G136="",$U32,$G136)</f>
      </c>
      <c r="H32" s="30">
        <f>IF($H136="",$V32,$H136)</f>
      </c>
      <c r="I32" s="30">
        <f>IF($I136="",$W32,$I136)</f>
      </c>
      <c r="J32" s="30">
        <f>IF($J136="",$X32,$J136)</f>
      </c>
      <c r="K32" s="30">
        <f>IF($K136="",$Y32,$K136)</f>
      </c>
      <c r="L32" s="30">
        <f>IF($L136="",$Z32,$L136)</f>
      </c>
      <c r="M32" s="30">
        <f>IF($M136="",$AA32,$M136)</f>
      </c>
      <c r="N32" s="30">
        <f>IF($N136="",$AB32,$N136)</f>
      </c>
      <c r="O32" s="30">
        <f>IF($O136="",$AC32,$O136)</f>
      </c>
      <c r="P32" s="30">
        <f>IF($P136="",$AD32,$P136)</f>
      </c>
      <c r="Q32" s="42">
        <f>SUM($E32:$P32)</f>
      </c>
      <c r="R32"/>
      <c r="S32" s="43">
        <f>SUMIFS(TilgTilgung,TilgObj,2,TilgDatum,DATE(Jahr,1,1))</f>
      </c>
      <c r="T32" s="43">
        <f>SUMIFS(TilgTilgung,TilgObj,2,TilgDatum,DATE(Jahr,2,1))</f>
      </c>
      <c r="U32" s="43">
        <f>SUMIFS(TilgTilgung,TilgObj,2,TilgDatum,DATE(Jahr,3,1))</f>
      </c>
      <c r="V32" s="43">
        <f>SUMIFS(TilgTilgung,TilgObj,2,TilgDatum,DATE(Jahr,4,1))</f>
      </c>
      <c r="W32" s="43">
        <f>SUMIFS(TilgTilgung,TilgObj,2,TilgDatum,DATE(Jahr,5,1))</f>
      </c>
      <c r="X32" s="43">
        <f>SUMIFS(TilgTilgung,TilgObj,2,TilgDatum,DATE(Jahr,6,1))</f>
      </c>
      <c r="Y32" s="43">
        <f>SUMIFS(TilgTilgung,TilgObj,2,TilgDatum,DATE(Jahr,7,1))</f>
      </c>
      <c r="Z32" s="43">
        <f>SUMIFS(TilgTilgung,TilgObj,2,TilgDatum,DATE(Jahr,8,1))</f>
      </c>
      <c r="AA32" s="43">
        <f>SUMIFS(TilgTilgung,TilgObj,2,TilgDatum,DATE(Jahr,9,1))</f>
      </c>
      <c r="AB32" s="43">
        <f>SUMIFS(TilgTilgung,TilgObj,2,TilgDatum,DATE(Jahr,10,1))</f>
      </c>
      <c r="AC32" s="43">
        <f>SUMIFS(TilgTilgung,TilgObj,2,TilgDatum,DATE(Jahr,11,1))</f>
      </c>
      <c r="AD32" s="43">
        <f>SUMIFS(TilgTilgung,TilgObj,2,TilgDatum,DATE(Jahr,12,1))</f>
      </c>
    </row>
    <row r="33">
      <c r="A33"/>
      <c r="B33"/>
      <c r="C33" s="16" t="inlineStr">
        <is>
          <t xml:space="preserve">Sondertilgung</t>
        </is>
      </c>
      <c r="D33" s="16" t="inlineStr">
        <is>
          <t xml:space="preserve">Finanzierung</t>
        </is>
      </c>
      <c r="E33" s="30">
        <f>IF($E137="",$S33,$E137)</f>
      </c>
      <c r="F33" s="30">
        <f>IF($F137="",$T33,$F137)</f>
      </c>
      <c r="G33" s="30">
        <f>IF($G137="",$U33,$G137)</f>
      </c>
      <c r="H33" s="30">
        <f>IF($H137="",$V33,$H137)</f>
      </c>
      <c r="I33" s="30">
        <f>IF($I137="",$W33,$I137)</f>
      </c>
      <c r="J33" s="30">
        <f>IF($J137="",$X33,$J137)</f>
      </c>
      <c r="K33" s="30">
        <f>IF($K137="",$Y33,$K137)</f>
      </c>
      <c r="L33" s="30">
        <f>IF($L137="",$Z33,$L137)</f>
      </c>
      <c r="M33" s="30">
        <f>IF($M137="",$AA33,$M137)</f>
      </c>
      <c r="N33" s="30">
        <f>IF($N137="",$AB33,$N137)</f>
      </c>
      <c r="O33" s="30">
        <f>IF($O137="",$AC33,$O137)</f>
      </c>
      <c r="P33" s="30">
        <f>IF($P137="",$AD33,$P137)</f>
      </c>
      <c r="Q33" s="42">
        <f>SUM($E33:$P33)</f>
      </c>
      <c r="R33"/>
      <c r="S33" s="43">
        <f>SUMIFS(TilgSonder,TilgObj,2,TilgDatum,DATE(Jahr,1,1))</f>
      </c>
      <c r="T33" s="43">
        <f>SUMIFS(TilgSonder,TilgObj,2,TilgDatum,DATE(Jahr,2,1))</f>
      </c>
      <c r="U33" s="43">
        <f>SUMIFS(TilgSonder,TilgObj,2,TilgDatum,DATE(Jahr,3,1))</f>
      </c>
      <c r="V33" s="43">
        <f>SUMIFS(TilgSonder,TilgObj,2,TilgDatum,DATE(Jahr,4,1))</f>
      </c>
      <c r="W33" s="43">
        <f>SUMIFS(TilgSonder,TilgObj,2,TilgDatum,DATE(Jahr,5,1))</f>
      </c>
      <c r="X33" s="43">
        <f>SUMIFS(TilgSonder,TilgObj,2,TilgDatum,DATE(Jahr,6,1))</f>
      </c>
      <c r="Y33" s="43">
        <f>SUMIFS(TilgSonder,TilgObj,2,TilgDatum,DATE(Jahr,7,1))</f>
      </c>
      <c r="Z33" s="43">
        <f>SUMIFS(TilgSonder,TilgObj,2,TilgDatum,DATE(Jahr,8,1))</f>
      </c>
      <c r="AA33" s="43">
        <f>SUMIFS(TilgSonder,TilgObj,2,TilgDatum,DATE(Jahr,9,1))</f>
      </c>
      <c r="AB33" s="43">
        <f>SUMIFS(TilgSonder,TilgObj,2,TilgDatum,DATE(Jahr,10,1))</f>
      </c>
      <c r="AC33" s="43">
        <f>SUMIFS(TilgSonder,TilgObj,2,TilgDatum,DATE(Jahr,11,1))</f>
      </c>
      <c r="AD33" s="43">
        <f>SUMIFS(TilgSonder,TilgObj,2,TilgDatum,DATE(Jahr,12,1))</f>
      </c>
    </row>
    <row r="34">
      <c r="A34"/>
      <c r="B34"/>
      <c r="C34" s="16" t="inlineStr">
        <is>
          <t xml:space="preserve">Tilgungsersatzleistung</t>
        </is>
      </c>
      <c r="D34" s="16" t="inlineStr">
        <is>
          <t xml:space="preserve">Finanzierung</t>
        </is>
      </c>
      <c r="E34" s="30">
        <f>IF($E138="",$S34,$E138)</f>
      </c>
      <c r="F34" s="30">
        <f>IF($F138="",$T34,$F138)</f>
      </c>
      <c r="G34" s="30">
        <f>IF($G138="",$U34,$G138)</f>
      </c>
      <c r="H34" s="30">
        <f>IF($H138="",$V34,$H138)</f>
      </c>
      <c r="I34" s="30">
        <f>IF($I138="",$W34,$I138)</f>
      </c>
      <c r="J34" s="30">
        <f>IF($J138="",$X34,$J138)</f>
      </c>
      <c r="K34" s="30">
        <f>IF($K138="",$Y34,$K138)</f>
      </c>
      <c r="L34" s="30">
        <f>IF($L138="",$Z34,$L138)</f>
      </c>
      <c r="M34" s="30">
        <f>IF($M138="",$AA34,$M138)</f>
      </c>
      <c r="N34" s="30">
        <f>IF($N138="",$AB34,$N138)</f>
      </c>
      <c r="O34" s="30">
        <f>IF($O138="",$AC34,$O138)</f>
      </c>
      <c r="P34" s="30">
        <f>IF($P138="",$AD34,$P138)</f>
      </c>
      <c r="Q34" s="42">
        <f>SUM($E34:$P34)</f>
      </c>
      <c r="R34"/>
      <c r="S34" s="43">
        <f>SUMIFS(TilgErsatz,TilgObj,2,TilgDatum,DATE(Jahr,1,1))</f>
      </c>
      <c r="T34" s="43">
        <f>SUMIFS(TilgErsatz,TilgObj,2,TilgDatum,DATE(Jahr,2,1))</f>
      </c>
      <c r="U34" s="43">
        <f>SUMIFS(TilgErsatz,TilgObj,2,TilgDatum,DATE(Jahr,3,1))</f>
      </c>
      <c r="V34" s="43">
        <f>SUMIFS(TilgErsatz,TilgObj,2,TilgDatum,DATE(Jahr,4,1))</f>
      </c>
      <c r="W34" s="43">
        <f>SUMIFS(TilgErsatz,TilgObj,2,TilgDatum,DATE(Jahr,5,1))</f>
      </c>
      <c r="X34" s="43">
        <f>SUMIFS(TilgErsatz,TilgObj,2,TilgDatum,DATE(Jahr,6,1))</f>
      </c>
      <c r="Y34" s="43">
        <f>SUMIFS(TilgErsatz,TilgObj,2,TilgDatum,DATE(Jahr,7,1))</f>
      </c>
      <c r="Z34" s="43">
        <f>SUMIFS(TilgErsatz,TilgObj,2,TilgDatum,DATE(Jahr,8,1))</f>
      </c>
      <c r="AA34" s="43">
        <f>SUMIFS(TilgErsatz,TilgObj,2,TilgDatum,DATE(Jahr,9,1))</f>
      </c>
      <c r="AB34" s="43">
        <f>SUMIFS(TilgErsatz,TilgObj,2,TilgDatum,DATE(Jahr,10,1))</f>
      </c>
      <c r="AC34" s="43">
        <f>SUMIFS(TilgErsatz,TilgObj,2,TilgDatum,DATE(Jahr,11,1))</f>
      </c>
      <c r="AD34" s="43">
        <f>SUMIFS(TilgErsatz,TilgObj,2,TilgDatum,DATE(Jahr,12,1))</f>
      </c>
    </row>
    <row r="35">
      <c r="A35"/>
      <c r="B35" s="6">
        <f>IF(INDEX(ObjBelegt,3)=0,"– Objekt 3 –",INDEX(ObjBezeichnung,3))</f>
      </c>
      <c r="C35" s="16" t="inlineStr">
        <is>
          <t xml:space="preserve">Mieteinnahme</t>
        </is>
      </c>
      <c r="D35" s="16" t="inlineStr">
        <is>
          <t xml:space="preserve">Einnahmen</t>
        </is>
      </c>
      <c r="E35" s="30">
        <f>IF($E139="",$S35,$E139)</f>
      </c>
      <c r="F35" s="30">
        <f>IF($F139="",$T35,$F139)</f>
      </c>
      <c r="G35" s="30">
        <f>IF($G139="",$U35,$G139)</f>
      </c>
      <c r="H35" s="30">
        <f>IF($H139="",$V35,$H139)</f>
      </c>
      <c r="I35" s="30">
        <f>IF($I139="",$W35,$I139)</f>
      </c>
      <c r="J35" s="30">
        <f>IF($J139="",$X35,$J139)</f>
      </c>
      <c r="K35" s="30">
        <f>IF($K139="",$Y35,$K139)</f>
      </c>
      <c r="L35" s="30">
        <f>IF($L139="",$Z35,$L139)</f>
      </c>
      <c r="M35" s="30">
        <f>IF($M139="",$AA35,$M139)</f>
      </c>
      <c r="N35" s="30">
        <f>IF($N139="",$AB35,$N139)</f>
      </c>
      <c r="O35" s="30">
        <f>IF($O139="",$AC35,$O139)</f>
      </c>
      <c r="P35" s="30">
        <f>IF($P139="",$AD35,$P139)</f>
      </c>
      <c r="Q35" s="42">
        <f>SUM($E35:$P35)</f>
      </c>
      <c r="R35"/>
      <c r="S35" s="43">
        <f>SUMIFS(MlM1,MlObj,3,MlJahr,Jahr)</f>
      </c>
      <c r="T35" s="43">
        <f>SUMIFS(MlM2,MlObj,3,MlJahr,Jahr)</f>
      </c>
      <c r="U35" s="43">
        <f>SUMIFS(MlM3,MlObj,3,MlJahr,Jahr)</f>
      </c>
      <c r="V35" s="43">
        <f>SUMIFS(MlM4,MlObj,3,MlJahr,Jahr)</f>
      </c>
      <c r="W35" s="43">
        <f>SUMIFS(MlM5,MlObj,3,MlJahr,Jahr)</f>
      </c>
      <c r="X35" s="43">
        <f>SUMIFS(MlM6,MlObj,3,MlJahr,Jahr)</f>
      </c>
      <c r="Y35" s="43">
        <f>SUMIFS(MlM7,MlObj,3,MlJahr,Jahr)</f>
      </c>
      <c r="Z35" s="43">
        <f>SUMIFS(MlM8,MlObj,3,MlJahr,Jahr)</f>
      </c>
      <c r="AA35" s="43">
        <f>SUMIFS(MlM9,MlObj,3,MlJahr,Jahr)</f>
      </c>
      <c r="AB35" s="43">
        <f>SUMIFS(MlM10,MlObj,3,MlJahr,Jahr)</f>
      </c>
      <c r="AC35" s="43">
        <f>SUMIFS(MlM11,MlObj,3,MlJahr,Jahr)</f>
      </c>
      <c r="AD35" s="43">
        <f>SUMIFS(MlM12,MlObj,3,MlJahr,Jahr)</f>
      </c>
    </row>
    <row r="36">
      <c r="A36"/>
      <c r="B36"/>
      <c r="C36" s="16" t="inlineStr">
        <is>
          <t xml:space="preserve">Nebenkosten-Vorauszahlung</t>
        </is>
      </c>
      <c r="D36" s="16" t="inlineStr">
        <is>
          <t xml:space="preserve">Einnahmen</t>
        </is>
      </c>
      <c r="E36" s="30">
        <f>IF($E140="",$S36,$E140)</f>
      </c>
      <c r="F36" s="30">
        <f>IF($F140="",$T36,$F140)</f>
      </c>
      <c r="G36" s="30">
        <f>IF($G140="",$U36,$G140)</f>
      </c>
      <c r="H36" s="30">
        <f>IF($H140="",$V36,$H140)</f>
      </c>
      <c r="I36" s="30">
        <f>IF($I140="",$W36,$I140)</f>
      </c>
      <c r="J36" s="30">
        <f>IF($J140="",$X36,$J140)</f>
      </c>
      <c r="K36" s="30">
        <f>IF($K140="",$Y36,$K140)</f>
      </c>
      <c r="L36" s="30">
        <f>IF($L140="",$Z36,$L140)</f>
      </c>
      <c r="M36" s="30">
        <f>IF($M140="",$AA36,$M140)</f>
      </c>
      <c r="N36" s="30">
        <f>IF($N140="",$AB36,$N140)</f>
      </c>
      <c r="O36" s="30">
        <f>IF($O140="",$AC36,$O140)</f>
      </c>
      <c r="P36" s="30">
        <f>IF($P140="",$AD36,$P140)</f>
      </c>
      <c r="Q36" s="42">
        <f>SUM($E36:$P36)</f>
      </c>
      <c r="R36"/>
      <c r="S36" s="43">
        <f>SUMIF(NkObj,3,NkM1)</f>
      </c>
      <c r="T36" s="43">
        <f>SUMIF(NkObj,3,NkM2)</f>
      </c>
      <c r="U36" s="43">
        <f>SUMIF(NkObj,3,NkM3)</f>
      </c>
      <c r="V36" s="43">
        <f>SUMIF(NkObj,3,NkM4)</f>
      </c>
      <c r="W36" s="43">
        <f>SUMIF(NkObj,3,NkM5)</f>
      </c>
      <c r="X36" s="43">
        <f>SUMIF(NkObj,3,NkM6)</f>
      </c>
      <c r="Y36" s="43">
        <f>SUMIF(NkObj,3,NkM7)</f>
      </c>
      <c r="Z36" s="43">
        <f>SUMIF(NkObj,3,NkM8)</f>
      </c>
      <c r="AA36" s="43">
        <f>SUMIF(NkObj,3,NkM9)</f>
      </c>
      <c r="AB36" s="43">
        <f>SUMIF(NkObj,3,NkM10)</f>
      </c>
      <c r="AC36" s="43">
        <f>SUMIF(NkObj,3,NkM11)</f>
      </c>
      <c r="AD36" s="43">
        <f>SUMIF(NkObj,3,NkM12)</f>
      </c>
    </row>
    <row r="37">
      <c r="A37"/>
      <c r="B37"/>
      <c r="C37" s="16" t="inlineStr">
        <is>
          <t xml:space="preserve">Hausgeld, nicht umlagefähig</t>
        </is>
      </c>
      <c r="D37" s="16" t="inlineStr">
        <is>
          <t xml:space="preserve">Bewirtschaftung</t>
        </is>
      </c>
      <c r="E37" s="30">
        <f>IF($E141="",$S37,$E141)</f>
      </c>
      <c r="F37" s="30">
        <f>IF($F141="",$T37,$F141)</f>
      </c>
      <c r="G37" s="30">
        <f>IF($G141="",$U37,$G141)</f>
      </c>
      <c r="H37" s="30">
        <f>IF($H141="",$V37,$H141)</f>
      </c>
      <c r="I37" s="30">
        <f>IF($I141="",$W37,$I141)</f>
      </c>
      <c r="J37" s="30">
        <f>IF($J141="",$X37,$J141)</f>
      </c>
      <c r="K37" s="30">
        <f>IF($K141="",$Y37,$K141)</f>
      </c>
      <c r="L37" s="30">
        <f>IF($L141="",$Z37,$L141)</f>
      </c>
      <c r="M37" s="30">
        <f>IF($M141="",$AA37,$M141)</f>
      </c>
      <c r="N37" s="30">
        <f>IF($N141="",$AB37,$N141)</f>
      </c>
      <c r="O37" s="30">
        <f>IF($O141="",$AC37,$O141)</f>
      </c>
      <c r="P37" s="30">
        <f>IF($P141="",$AD37,$P141)</f>
      </c>
      <c r="Q37" s="42">
        <f>SUM($E37:$P37)</f>
      </c>
      <c r="R37"/>
      <c r="S37" s="43">
        <f>IF(AND(INDEX(ObjKaufJahr,3)&gt;0,DATE(Jahr,1,1)&gt;=DATE(INDEX(ObjKaufJahr,3),INDEX(ObjKaufMonat,3),1)),MAX(0,INDEX(ObjHausgeld,3)-INDEX(ObjUmlage,3)),0)</f>
      </c>
      <c r="T37" s="43">
        <f>IF(AND(INDEX(ObjKaufJahr,3)&gt;0,DATE(Jahr,2,1)&gt;=DATE(INDEX(ObjKaufJahr,3),INDEX(ObjKaufMonat,3),1)),MAX(0,INDEX(ObjHausgeld,3)-INDEX(ObjUmlage,3)),0)</f>
      </c>
      <c r="U37" s="43">
        <f>IF(AND(INDEX(ObjKaufJahr,3)&gt;0,DATE(Jahr,3,1)&gt;=DATE(INDEX(ObjKaufJahr,3),INDEX(ObjKaufMonat,3),1)),MAX(0,INDEX(ObjHausgeld,3)-INDEX(ObjUmlage,3)),0)</f>
      </c>
      <c r="V37" s="43">
        <f>IF(AND(INDEX(ObjKaufJahr,3)&gt;0,DATE(Jahr,4,1)&gt;=DATE(INDEX(ObjKaufJahr,3),INDEX(ObjKaufMonat,3),1)),MAX(0,INDEX(ObjHausgeld,3)-INDEX(ObjUmlage,3)),0)</f>
      </c>
      <c r="W37" s="43">
        <f>IF(AND(INDEX(ObjKaufJahr,3)&gt;0,DATE(Jahr,5,1)&gt;=DATE(INDEX(ObjKaufJahr,3),INDEX(ObjKaufMonat,3),1)),MAX(0,INDEX(ObjHausgeld,3)-INDEX(ObjUmlage,3)),0)</f>
      </c>
      <c r="X37" s="43">
        <f>IF(AND(INDEX(ObjKaufJahr,3)&gt;0,DATE(Jahr,6,1)&gt;=DATE(INDEX(ObjKaufJahr,3),INDEX(ObjKaufMonat,3),1)),MAX(0,INDEX(ObjHausgeld,3)-INDEX(ObjUmlage,3)),0)</f>
      </c>
      <c r="Y37" s="43">
        <f>IF(AND(INDEX(ObjKaufJahr,3)&gt;0,DATE(Jahr,7,1)&gt;=DATE(INDEX(ObjKaufJahr,3),INDEX(ObjKaufMonat,3),1)),MAX(0,INDEX(ObjHausgeld,3)-INDEX(ObjUmlage,3)),0)</f>
      </c>
      <c r="Z37" s="43">
        <f>IF(AND(INDEX(ObjKaufJahr,3)&gt;0,DATE(Jahr,8,1)&gt;=DATE(INDEX(ObjKaufJahr,3),INDEX(ObjKaufMonat,3),1)),MAX(0,INDEX(ObjHausgeld,3)-INDEX(ObjUmlage,3)),0)</f>
      </c>
      <c r="AA37" s="43">
        <f>IF(AND(INDEX(ObjKaufJahr,3)&gt;0,DATE(Jahr,9,1)&gt;=DATE(INDEX(ObjKaufJahr,3),INDEX(ObjKaufMonat,3),1)),MAX(0,INDEX(ObjHausgeld,3)-INDEX(ObjUmlage,3)),0)</f>
      </c>
      <c r="AB37" s="43">
        <f>IF(AND(INDEX(ObjKaufJahr,3)&gt;0,DATE(Jahr,10,1)&gt;=DATE(INDEX(ObjKaufJahr,3),INDEX(ObjKaufMonat,3),1)),MAX(0,INDEX(ObjHausgeld,3)-INDEX(ObjUmlage,3)),0)</f>
      </c>
      <c r="AC37" s="43">
        <f>IF(AND(INDEX(ObjKaufJahr,3)&gt;0,DATE(Jahr,11,1)&gt;=DATE(INDEX(ObjKaufJahr,3),INDEX(ObjKaufMonat,3),1)),MAX(0,INDEX(ObjHausgeld,3)-INDEX(ObjUmlage,3)),0)</f>
      </c>
      <c r="AD37" s="43">
        <f>IF(AND(INDEX(ObjKaufJahr,3)&gt;0,DATE(Jahr,12,1)&gt;=DATE(INDEX(ObjKaufJahr,3),INDEX(ObjKaufMonat,3),1)),MAX(0,INDEX(ObjHausgeld,3)-INDEX(ObjUmlage,3)),0)</f>
      </c>
    </row>
    <row r="38">
      <c r="A38"/>
      <c r="B38"/>
      <c r="C38" s="16" t="inlineStr">
        <is>
          <t xml:space="preserve">Verwaltung</t>
        </is>
      </c>
      <c r="D38" s="16" t="inlineStr">
        <is>
          <t xml:space="preserve">Bewirtschaftung</t>
        </is>
      </c>
      <c r="E38" s="30">
        <f>IF($E142="",$S38,$E142)</f>
      </c>
      <c r="F38" s="30">
        <f>IF($F142="",$T38,$F142)</f>
      </c>
      <c r="G38" s="30">
        <f>IF($G142="",$U38,$G142)</f>
      </c>
      <c r="H38" s="30">
        <f>IF($H142="",$V38,$H142)</f>
      </c>
      <c r="I38" s="30">
        <f>IF($I142="",$W38,$I142)</f>
      </c>
      <c r="J38" s="30">
        <f>IF($J142="",$X38,$J142)</f>
      </c>
      <c r="K38" s="30">
        <f>IF($K142="",$Y38,$K142)</f>
      </c>
      <c r="L38" s="30">
        <f>IF($L142="",$Z38,$L142)</f>
      </c>
      <c r="M38" s="30">
        <f>IF($M142="",$AA38,$M142)</f>
      </c>
      <c r="N38" s="30">
        <f>IF($N142="",$AB38,$N142)</f>
      </c>
      <c r="O38" s="30">
        <f>IF($O142="",$AC38,$O142)</f>
      </c>
      <c r="P38" s="30">
        <f>IF($P142="",$AD38,$P142)</f>
      </c>
      <c r="Q38" s="42">
        <f>SUM($E38:$P38)</f>
      </c>
      <c r="R38"/>
      <c r="S38" s="43">
        <f>IF(AND(INDEX(ObjKaufJahr,3)&gt;0,DATE(Jahr,1,1)&gt;=DATE(INDEX(ObjKaufJahr,3),INDEX(ObjKaufMonat,3),1)),INDEX(ObjVerwaltung,3),0)</f>
      </c>
      <c r="T38" s="43">
        <f>IF(AND(INDEX(ObjKaufJahr,3)&gt;0,DATE(Jahr,2,1)&gt;=DATE(INDEX(ObjKaufJahr,3),INDEX(ObjKaufMonat,3),1)),INDEX(ObjVerwaltung,3),0)</f>
      </c>
      <c r="U38" s="43">
        <f>IF(AND(INDEX(ObjKaufJahr,3)&gt;0,DATE(Jahr,3,1)&gt;=DATE(INDEX(ObjKaufJahr,3),INDEX(ObjKaufMonat,3),1)),INDEX(ObjVerwaltung,3),0)</f>
      </c>
      <c r="V38" s="43">
        <f>IF(AND(INDEX(ObjKaufJahr,3)&gt;0,DATE(Jahr,4,1)&gt;=DATE(INDEX(ObjKaufJahr,3),INDEX(ObjKaufMonat,3),1)),INDEX(ObjVerwaltung,3),0)</f>
      </c>
      <c r="W38" s="43">
        <f>IF(AND(INDEX(ObjKaufJahr,3)&gt;0,DATE(Jahr,5,1)&gt;=DATE(INDEX(ObjKaufJahr,3),INDEX(ObjKaufMonat,3),1)),INDEX(ObjVerwaltung,3),0)</f>
      </c>
      <c r="X38" s="43">
        <f>IF(AND(INDEX(ObjKaufJahr,3)&gt;0,DATE(Jahr,6,1)&gt;=DATE(INDEX(ObjKaufJahr,3),INDEX(ObjKaufMonat,3),1)),INDEX(ObjVerwaltung,3),0)</f>
      </c>
      <c r="Y38" s="43">
        <f>IF(AND(INDEX(ObjKaufJahr,3)&gt;0,DATE(Jahr,7,1)&gt;=DATE(INDEX(ObjKaufJahr,3),INDEX(ObjKaufMonat,3),1)),INDEX(ObjVerwaltung,3),0)</f>
      </c>
      <c r="Z38" s="43">
        <f>IF(AND(INDEX(ObjKaufJahr,3)&gt;0,DATE(Jahr,8,1)&gt;=DATE(INDEX(ObjKaufJahr,3),INDEX(ObjKaufMonat,3),1)),INDEX(ObjVerwaltung,3),0)</f>
      </c>
      <c r="AA38" s="43">
        <f>IF(AND(INDEX(ObjKaufJahr,3)&gt;0,DATE(Jahr,9,1)&gt;=DATE(INDEX(ObjKaufJahr,3),INDEX(ObjKaufMonat,3),1)),INDEX(ObjVerwaltung,3),0)</f>
      </c>
      <c r="AB38" s="43">
        <f>IF(AND(INDEX(ObjKaufJahr,3)&gt;0,DATE(Jahr,10,1)&gt;=DATE(INDEX(ObjKaufJahr,3),INDEX(ObjKaufMonat,3),1)),INDEX(ObjVerwaltung,3),0)</f>
      </c>
      <c r="AC38" s="43">
        <f>IF(AND(INDEX(ObjKaufJahr,3)&gt;0,DATE(Jahr,11,1)&gt;=DATE(INDEX(ObjKaufJahr,3),INDEX(ObjKaufMonat,3),1)),INDEX(ObjVerwaltung,3),0)</f>
      </c>
      <c r="AD38" s="43">
        <f>IF(AND(INDEX(ObjKaufJahr,3)&gt;0,DATE(Jahr,12,1)&gt;=DATE(INDEX(ObjKaufJahr,3),INDEX(ObjKaufMonat,3),1)),INDEX(ObjVerwaltung,3),0)</f>
      </c>
    </row>
    <row r="39">
      <c r="A39"/>
      <c r="B39"/>
      <c r="C39" s="16" t="inlineStr">
        <is>
          <t xml:space="preserve">Instandhaltung</t>
        </is>
      </c>
      <c r="D39" s="16" t="inlineStr">
        <is>
          <t xml:space="preserve">Bewirtschaftung</t>
        </is>
      </c>
      <c r="E39" s="30">
        <f>IF($E143="",$S39,$E143)</f>
      </c>
      <c r="F39" s="30">
        <f>IF($F143="",$T39,$F143)</f>
      </c>
      <c r="G39" s="30">
        <f>IF($G143="",$U39,$G143)</f>
      </c>
      <c r="H39" s="30">
        <f>IF($H143="",$V39,$H143)</f>
      </c>
      <c r="I39" s="30">
        <f>IF($I143="",$W39,$I143)</f>
      </c>
      <c r="J39" s="30">
        <f>IF($J143="",$X39,$J143)</f>
      </c>
      <c r="K39" s="30">
        <f>IF($K143="",$Y39,$K143)</f>
      </c>
      <c r="L39" s="30">
        <f>IF($L143="",$Z39,$L143)</f>
      </c>
      <c r="M39" s="30">
        <f>IF($M143="",$AA39,$M143)</f>
      </c>
      <c r="N39" s="30">
        <f>IF($N143="",$AB39,$N143)</f>
      </c>
      <c r="O39" s="30">
        <f>IF($O143="",$AC39,$O143)</f>
      </c>
      <c r="P39" s="30">
        <f>IF($P143="",$AD39,$P143)</f>
      </c>
      <c r="Q39" s="42">
        <f>SUM($E39:$P39)</f>
      </c>
      <c r="R39"/>
      <c r="S39" s="43">
        <f>IF(AND(INDEX(ObjKaufJahr,3)&gt;0,DATE(Jahr,1,1)&gt;=DATE(INDEX(ObjKaufJahr,3),INDEX(ObjKaufMonat,3),1)),INDEX(ObjInstand,3),0)</f>
      </c>
      <c r="T39" s="43">
        <f>IF(AND(INDEX(ObjKaufJahr,3)&gt;0,DATE(Jahr,2,1)&gt;=DATE(INDEX(ObjKaufJahr,3),INDEX(ObjKaufMonat,3),1)),INDEX(ObjInstand,3),0)</f>
      </c>
      <c r="U39" s="43">
        <f>IF(AND(INDEX(ObjKaufJahr,3)&gt;0,DATE(Jahr,3,1)&gt;=DATE(INDEX(ObjKaufJahr,3),INDEX(ObjKaufMonat,3),1)),INDEX(ObjInstand,3),0)</f>
      </c>
      <c r="V39" s="43">
        <f>IF(AND(INDEX(ObjKaufJahr,3)&gt;0,DATE(Jahr,4,1)&gt;=DATE(INDEX(ObjKaufJahr,3),INDEX(ObjKaufMonat,3),1)),INDEX(ObjInstand,3),0)</f>
      </c>
      <c r="W39" s="43">
        <f>IF(AND(INDEX(ObjKaufJahr,3)&gt;0,DATE(Jahr,5,1)&gt;=DATE(INDEX(ObjKaufJahr,3),INDEX(ObjKaufMonat,3),1)),INDEX(ObjInstand,3),0)</f>
      </c>
      <c r="X39" s="43">
        <f>IF(AND(INDEX(ObjKaufJahr,3)&gt;0,DATE(Jahr,6,1)&gt;=DATE(INDEX(ObjKaufJahr,3),INDEX(ObjKaufMonat,3),1)),INDEX(ObjInstand,3),0)</f>
      </c>
      <c r="Y39" s="43">
        <f>IF(AND(INDEX(ObjKaufJahr,3)&gt;0,DATE(Jahr,7,1)&gt;=DATE(INDEX(ObjKaufJahr,3),INDEX(ObjKaufMonat,3),1)),INDEX(ObjInstand,3),0)</f>
      </c>
      <c r="Z39" s="43">
        <f>IF(AND(INDEX(ObjKaufJahr,3)&gt;0,DATE(Jahr,8,1)&gt;=DATE(INDEX(ObjKaufJahr,3),INDEX(ObjKaufMonat,3),1)),INDEX(ObjInstand,3),0)</f>
      </c>
      <c r="AA39" s="43">
        <f>IF(AND(INDEX(ObjKaufJahr,3)&gt;0,DATE(Jahr,9,1)&gt;=DATE(INDEX(ObjKaufJahr,3),INDEX(ObjKaufMonat,3),1)),INDEX(ObjInstand,3),0)</f>
      </c>
      <c r="AB39" s="43">
        <f>IF(AND(INDEX(ObjKaufJahr,3)&gt;0,DATE(Jahr,10,1)&gt;=DATE(INDEX(ObjKaufJahr,3),INDEX(ObjKaufMonat,3),1)),INDEX(ObjInstand,3),0)</f>
      </c>
      <c r="AC39" s="43">
        <f>IF(AND(INDEX(ObjKaufJahr,3)&gt;0,DATE(Jahr,11,1)&gt;=DATE(INDEX(ObjKaufJahr,3),INDEX(ObjKaufMonat,3),1)),INDEX(ObjInstand,3),0)</f>
      </c>
      <c r="AD39" s="43">
        <f>IF(AND(INDEX(ObjKaufJahr,3)&gt;0,DATE(Jahr,12,1)&gt;=DATE(INDEX(ObjKaufJahr,3),INDEX(ObjKaufMonat,3),1)),INDEX(ObjInstand,3),0)</f>
      </c>
    </row>
    <row r="40">
      <c r="A40"/>
      <c r="B40"/>
      <c r="C40" s="16" t="inlineStr">
        <is>
          <t xml:space="preserve">Sonstige Kosten</t>
        </is>
      </c>
      <c r="D40" s="16" t="inlineStr">
        <is>
          <t xml:space="preserve">Bewirtschaftung</t>
        </is>
      </c>
      <c r="E40" s="30">
        <f>IF($E144="",$S40,$E144)</f>
      </c>
      <c r="F40" s="30">
        <f>IF($F144="",$T40,$F144)</f>
      </c>
      <c r="G40" s="30">
        <f>IF($G144="",$U40,$G144)</f>
      </c>
      <c r="H40" s="30">
        <f>IF($H144="",$V40,$H144)</f>
      </c>
      <c r="I40" s="30">
        <f>IF($I144="",$W40,$I144)</f>
      </c>
      <c r="J40" s="30">
        <f>IF($J144="",$X40,$J144)</f>
      </c>
      <c r="K40" s="30">
        <f>IF($K144="",$Y40,$K144)</f>
      </c>
      <c r="L40" s="30">
        <f>IF($L144="",$Z40,$L144)</f>
      </c>
      <c r="M40" s="30">
        <f>IF($M144="",$AA40,$M144)</f>
      </c>
      <c r="N40" s="30">
        <f>IF($N144="",$AB40,$N144)</f>
      </c>
      <c r="O40" s="30">
        <f>IF($O144="",$AC40,$O144)</f>
      </c>
      <c r="P40" s="30">
        <f>IF($P144="",$AD40,$P144)</f>
      </c>
      <c r="Q40" s="42">
        <f>SUM($E40:$P40)</f>
      </c>
      <c r="R40"/>
      <c r="S40" s="43">
        <f>IF(AND(INDEX(ObjKaufJahr,3)&gt;0,DATE(Jahr,1,1)&gt;=DATE(INDEX(ObjKaufJahr,3),INDEX(ObjKaufMonat,3),1)),INDEX(ObjSonstige,3)/12,0)</f>
      </c>
      <c r="T40" s="43">
        <f>IF(AND(INDEX(ObjKaufJahr,3)&gt;0,DATE(Jahr,2,1)&gt;=DATE(INDEX(ObjKaufJahr,3),INDEX(ObjKaufMonat,3),1)),INDEX(ObjSonstige,3)/12,0)</f>
      </c>
      <c r="U40" s="43">
        <f>IF(AND(INDEX(ObjKaufJahr,3)&gt;0,DATE(Jahr,3,1)&gt;=DATE(INDEX(ObjKaufJahr,3),INDEX(ObjKaufMonat,3),1)),INDEX(ObjSonstige,3)/12,0)</f>
      </c>
      <c r="V40" s="43">
        <f>IF(AND(INDEX(ObjKaufJahr,3)&gt;0,DATE(Jahr,4,1)&gt;=DATE(INDEX(ObjKaufJahr,3),INDEX(ObjKaufMonat,3),1)),INDEX(ObjSonstige,3)/12,0)</f>
      </c>
      <c r="W40" s="43">
        <f>IF(AND(INDEX(ObjKaufJahr,3)&gt;0,DATE(Jahr,5,1)&gt;=DATE(INDEX(ObjKaufJahr,3),INDEX(ObjKaufMonat,3),1)),INDEX(ObjSonstige,3)/12,0)</f>
      </c>
      <c r="X40" s="43">
        <f>IF(AND(INDEX(ObjKaufJahr,3)&gt;0,DATE(Jahr,6,1)&gt;=DATE(INDEX(ObjKaufJahr,3),INDEX(ObjKaufMonat,3),1)),INDEX(ObjSonstige,3)/12,0)</f>
      </c>
      <c r="Y40" s="43">
        <f>IF(AND(INDEX(ObjKaufJahr,3)&gt;0,DATE(Jahr,7,1)&gt;=DATE(INDEX(ObjKaufJahr,3),INDEX(ObjKaufMonat,3),1)),INDEX(ObjSonstige,3)/12,0)</f>
      </c>
      <c r="Z40" s="43">
        <f>IF(AND(INDEX(ObjKaufJahr,3)&gt;0,DATE(Jahr,8,1)&gt;=DATE(INDEX(ObjKaufJahr,3),INDEX(ObjKaufMonat,3),1)),INDEX(ObjSonstige,3)/12,0)</f>
      </c>
      <c r="AA40" s="43">
        <f>IF(AND(INDEX(ObjKaufJahr,3)&gt;0,DATE(Jahr,9,1)&gt;=DATE(INDEX(ObjKaufJahr,3),INDEX(ObjKaufMonat,3),1)),INDEX(ObjSonstige,3)/12,0)</f>
      </c>
      <c r="AB40" s="43">
        <f>IF(AND(INDEX(ObjKaufJahr,3)&gt;0,DATE(Jahr,10,1)&gt;=DATE(INDEX(ObjKaufJahr,3),INDEX(ObjKaufMonat,3),1)),INDEX(ObjSonstige,3)/12,0)</f>
      </c>
      <c r="AC40" s="43">
        <f>IF(AND(INDEX(ObjKaufJahr,3)&gt;0,DATE(Jahr,11,1)&gt;=DATE(INDEX(ObjKaufJahr,3),INDEX(ObjKaufMonat,3),1)),INDEX(ObjSonstige,3)/12,0)</f>
      </c>
      <c r="AD40" s="43">
        <f>IF(AND(INDEX(ObjKaufJahr,3)&gt;0,DATE(Jahr,12,1)&gt;=DATE(INDEX(ObjKaufJahr,3),INDEX(ObjKaufMonat,3),1)),INDEX(ObjSonstige,3)/12,0)</f>
      </c>
    </row>
    <row r="41">
      <c r="A41"/>
      <c r="B41"/>
      <c r="C41" s="16" t="inlineStr">
        <is>
          <t xml:space="preserve">Zinsen</t>
        </is>
      </c>
      <c r="D41" s="16" t="inlineStr">
        <is>
          <t xml:space="preserve">Finanzierung</t>
        </is>
      </c>
      <c r="E41" s="30">
        <f>IF($E145="",$S41,$E145)</f>
      </c>
      <c r="F41" s="30">
        <f>IF($F145="",$T41,$F145)</f>
      </c>
      <c r="G41" s="30">
        <f>IF($G145="",$U41,$G145)</f>
      </c>
      <c r="H41" s="30">
        <f>IF($H145="",$V41,$H145)</f>
      </c>
      <c r="I41" s="30">
        <f>IF($I145="",$W41,$I145)</f>
      </c>
      <c r="J41" s="30">
        <f>IF($J145="",$X41,$J145)</f>
      </c>
      <c r="K41" s="30">
        <f>IF($K145="",$Y41,$K145)</f>
      </c>
      <c r="L41" s="30">
        <f>IF($L145="",$Z41,$L145)</f>
      </c>
      <c r="M41" s="30">
        <f>IF($M145="",$AA41,$M145)</f>
      </c>
      <c r="N41" s="30">
        <f>IF($N145="",$AB41,$N145)</f>
      </c>
      <c r="O41" s="30">
        <f>IF($O145="",$AC41,$O145)</f>
      </c>
      <c r="P41" s="30">
        <f>IF($P145="",$AD41,$P145)</f>
      </c>
      <c r="Q41" s="42">
        <f>SUM($E41:$P41)</f>
      </c>
      <c r="R41"/>
      <c r="S41" s="43">
        <f>SUMIFS(TilgZins,TilgObj,3,TilgDatum,DATE(Jahr,1,1))</f>
      </c>
      <c r="T41" s="43">
        <f>SUMIFS(TilgZins,TilgObj,3,TilgDatum,DATE(Jahr,2,1))</f>
      </c>
      <c r="U41" s="43">
        <f>SUMIFS(TilgZins,TilgObj,3,TilgDatum,DATE(Jahr,3,1))</f>
      </c>
      <c r="V41" s="43">
        <f>SUMIFS(TilgZins,TilgObj,3,TilgDatum,DATE(Jahr,4,1))</f>
      </c>
      <c r="W41" s="43">
        <f>SUMIFS(TilgZins,TilgObj,3,TilgDatum,DATE(Jahr,5,1))</f>
      </c>
      <c r="X41" s="43">
        <f>SUMIFS(TilgZins,TilgObj,3,TilgDatum,DATE(Jahr,6,1))</f>
      </c>
      <c r="Y41" s="43">
        <f>SUMIFS(TilgZins,TilgObj,3,TilgDatum,DATE(Jahr,7,1))</f>
      </c>
      <c r="Z41" s="43">
        <f>SUMIFS(TilgZins,TilgObj,3,TilgDatum,DATE(Jahr,8,1))</f>
      </c>
      <c r="AA41" s="43">
        <f>SUMIFS(TilgZins,TilgObj,3,TilgDatum,DATE(Jahr,9,1))</f>
      </c>
      <c r="AB41" s="43">
        <f>SUMIFS(TilgZins,TilgObj,3,TilgDatum,DATE(Jahr,10,1))</f>
      </c>
      <c r="AC41" s="43">
        <f>SUMIFS(TilgZins,TilgObj,3,TilgDatum,DATE(Jahr,11,1))</f>
      </c>
      <c r="AD41" s="43">
        <f>SUMIFS(TilgZins,TilgObj,3,TilgDatum,DATE(Jahr,12,1))</f>
      </c>
    </row>
    <row r="42">
      <c r="A42"/>
      <c r="B42"/>
      <c r="C42" s="16" t="inlineStr">
        <is>
          <t xml:space="preserve">Tilgung</t>
        </is>
      </c>
      <c r="D42" s="16" t="inlineStr">
        <is>
          <t xml:space="preserve">Finanzierung</t>
        </is>
      </c>
      <c r="E42" s="30">
        <f>IF($E146="",$S42,$E146)</f>
      </c>
      <c r="F42" s="30">
        <f>IF($F146="",$T42,$F146)</f>
      </c>
      <c r="G42" s="30">
        <f>IF($G146="",$U42,$G146)</f>
      </c>
      <c r="H42" s="30">
        <f>IF($H146="",$V42,$H146)</f>
      </c>
      <c r="I42" s="30">
        <f>IF($I146="",$W42,$I146)</f>
      </c>
      <c r="J42" s="30">
        <f>IF($J146="",$X42,$J146)</f>
      </c>
      <c r="K42" s="30">
        <f>IF($K146="",$Y42,$K146)</f>
      </c>
      <c r="L42" s="30">
        <f>IF($L146="",$Z42,$L146)</f>
      </c>
      <c r="M42" s="30">
        <f>IF($M146="",$AA42,$M146)</f>
      </c>
      <c r="N42" s="30">
        <f>IF($N146="",$AB42,$N146)</f>
      </c>
      <c r="O42" s="30">
        <f>IF($O146="",$AC42,$O146)</f>
      </c>
      <c r="P42" s="30">
        <f>IF($P146="",$AD42,$P146)</f>
      </c>
      <c r="Q42" s="42">
        <f>SUM($E42:$P42)</f>
      </c>
      <c r="R42"/>
      <c r="S42" s="43">
        <f>SUMIFS(TilgTilgung,TilgObj,3,TilgDatum,DATE(Jahr,1,1))</f>
      </c>
      <c r="T42" s="43">
        <f>SUMIFS(TilgTilgung,TilgObj,3,TilgDatum,DATE(Jahr,2,1))</f>
      </c>
      <c r="U42" s="43">
        <f>SUMIFS(TilgTilgung,TilgObj,3,TilgDatum,DATE(Jahr,3,1))</f>
      </c>
      <c r="V42" s="43">
        <f>SUMIFS(TilgTilgung,TilgObj,3,TilgDatum,DATE(Jahr,4,1))</f>
      </c>
      <c r="W42" s="43">
        <f>SUMIFS(TilgTilgung,TilgObj,3,TilgDatum,DATE(Jahr,5,1))</f>
      </c>
      <c r="X42" s="43">
        <f>SUMIFS(TilgTilgung,TilgObj,3,TilgDatum,DATE(Jahr,6,1))</f>
      </c>
      <c r="Y42" s="43">
        <f>SUMIFS(TilgTilgung,TilgObj,3,TilgDatum,DATE(Jahr,7,1))</f>
      </c>
      <c r="Z42" s="43">
        <f>SUMIFS(TilgTilgung,TilgObj,3,TilgDatum,DATE(Jahr,8,1))</f>
      </c>
      <c r="AA42" s="43">
        <f>SUMIFS(TilgTilgung,TilgObj,3,TilgDatum,DATE(Jahr,9,1))</f>
      </c>
      <c r="AB42" s="43">
        <f>SUMIFS(TilgTilgung,TilgObj,3,TilgDatum,DATE(Jahr,10,1))</f>
      </c>
      <c r="AC42" s="43">
        <f>SUMIFS(TilgTilgung,TilgObj,3,TilgDatum,DATE(Jahr,11,1))</f>
      </c>
      <c r="AD42" s="43">
        <f>SUMIFS(TilgTilgung,TilgObj,3,TilgDatum,DATE(Jahr,12,1))</f>
      </c>
    </row>
    <row r="43">
      <c r="A43"/>
      <c r="B43"/>
      <c r="C43" s="16" t="inlineStr">
        <is>
          <t xml:space="preserve">Sondertilgung</t>
        </is>
      </c>
      <c r="D43" s="16" t="inlineStr">
        <is>
          <t xml:space="preserve">Finanzierung</t>
        </is>
      </c>
      <c r="E43" s="30">
        <f>IF($E147="",$S43,$E147)</f>
      </c>
      <c r="F43" s="30">
        <f>IF($F147="",$T43,$F147)</f>
      </c>
      <c r="G43" s="30">
        <f>IF($G147="",$U43,$G147)</f>
      </c>
      <c r="H43" s="30">
        <f>IF($H147="",$V43,$H147)</f>
      </c>
      <c r="I43" s="30">
        <f>IF($I147="",$W43,$I147)</f>
      </c>
      <c r="J43" s="30">
        <f>IF($J147="",$X43,$J147)</f>
      </c>
      <c r="K43" s="30">
        <f>IF($K147="",$Y43,$K147)</f>
      </c>
      <c r="L43" s="30">
        <f>IF($L147="",$Z43,$L147)</f>
      </c>
      <c r="M43" s="30">
        <f>IF($M147="",$AA43,$M147)</f>
      </c>
      <c r="N43" s="30">
        <f>IF($N147="",$AB43,$N147)</f>
      </c>
      <c r="O43" s="30">
        <f>IF($O147="",$AC43,$O147)</f>
      </c>
      <c r="P43" s="30">
        <f>IF($P147="",$AD43,$P147)</f>
      </c>
      <c r="Q43" s="42">
        <f>SUM($E43:$P43)</f>
      </c>
      <c r="R43"/>
      <c r="S43" s="43">
        <f>SUMIFS(TilgSonder,TilgObj,3,TilgDatum,DATE(Jahr,1,1))</f>
      </c>
      <c r="T43" s="43">
        <f>SUMIFS(TilgSonder,TilgObj,3,TilgDatum,DATE(Jahr,2,1))</f>
      </c>
      <c r="U43" s="43">
        <f>SUMIFS(TilgSonder,TilgObj,3,TilgDatum,DATE(Jahr,3,1))</f>
      </c>
      <c r="V43" s="43">
        <f>SUMIFS(TilgSonder,TilgObj,3,TilgDatum,DATE(Jahr,4,1))</f>
      </c>
      <c r="W43" s="43">
        <f>SUMIFS(TilgSonder,TilgObj,3,TilgDatum,DATE(Jahr,5,1))</f>
      </c>
      <c r="X43" s="43">
        <f>SUMIFS(TilgSonder,TilgObj,3,TilgDatum,DATE(Jahr,6,1))</f>
      </c>
      <c r="Y43" s="43">
        <f>SUMIFS(TilgSonder,TilgObj,3,TilgDatum,DATE(Jahr,7,1))</f>
      </c>
      <c r="Z43" s="43">
        <f>SUMIFS(TilgSonder,TilgObj,3,TilgDatum,DATE(Jahr,8,1))</f>
      </c>
      <c r="AA43" s="43">
        <f>SUMIFS(TilgSonder,TilgObj,3,TilgDatum,DATE(Jahr,9,1))</f>
      </c>
      <c r="AB43" s="43">
        <f>SUMIFS(TilgSonder,TilgObj,3,TilgDatum,DATE(Jahr,10,1))</f>
      </c>
      <c r="AC43" s="43">
        <f>SUMIFS(TilgSonder,TilgObj,3,TilgDatum,DATE(Jahr,11,1))</f>
      </c>
      <c r="AD43" s="43">
        <f>SUMIFS(TilgSonder,TilgObj,3,TilgDatum,DATE(Jahr,12,1))</f>
      </c>
    </row>
    <row r="44">
      <c r="A44"/>
      <c r="B44"/>
      <c r="C44" s="16" t="inlineStr">
        <is>
          <t xml:space="preserve">Tilgungsersatzleistung</t>
        </is>
      </c>
      <c r="D44" s="16" t="inlineStr">
        <is>
          <t xml:space="preserve">Finanzierung</t>
        </is>
      </c>
      <c r="E44" s="30">
        <f>IF($E148="",$S44,$E148)</f>
      </c>
      <c r="F44" s="30">
        <f>IF($F148="",$T44,$F148)</f>
      </c>
      <c r="G44" s="30">
        <f>IF($G148="",$U44,$G148)</f>
      </c>
      <c r="H44" s="30">
        <f>IF($H148="",$V44,$H148)</f>
      </c>
      <c r="I44" s="30">
        <f>IF($I148="",$W44,$I148)</f>
      </c>
      <c r="J44" s="30">
        <f>IF($J148="",$X44,$J148)</f>
      </c>
      <c r="K44" s="30">
        <f>IF($K148="",$Y44,$K148)</f>
      </c>
      <c r="L44" s="30">
        <f>IF($L148="",$Z44,$L148)</f>
      </c>
      <c r="M44" s="30">
        <f>IF($M148="",$AA44,$M148)</f>
      </c>
      <c r="N44" s="30">
        <f>IF($N148="",$AB44,$N148)</f>
      </c>
      <c r="O44" s="30">
        <f>IF($O148="",$AC44,$O148)</f>
      </c>
      <c r="P44" s="30">
        <f>IF($P148="",$AD44,$P148)</f>
      </c>
      <c r="Q44" s="42">
        <f>SUM($E44:$P44)</f>
      </c>
      <c r="R44"/>
      <c r="S44" s="43">
        <f>SUMIFS(TilgErsatz,TilgObj,3,TilgDatum,DATE(Jahr,1,1))</f>
      </c>
      <c r="T44" s="43">
        <f>SUMIFS(TilgErsatz,TilgObj,3,TilgDatum,DATE(Jahr,2,1))</f>
      </c>
      <c r="U44" s="43">
        <f>SUMIFS(TilgErsatz,TilgObj,3,TilgDatum,DATE(Jahr,3,1))</f>
      </c>
      <c r="V44" s="43">
        <f>SUMIFS(TilgErsatz,TilgObj,3,TilgDatum,DATE(Jahr,4,1))</f>
      </c>
      <c r="W44" s="43">
        <f>SUMIFS(TilgErsatz,TilgObj,3,TilgDatum,DATE(Jahr,5,1))</f>
      </c>
      <c r="X44" s="43">
        <f>SUMIFS(TilgErsatz,TilgObj,3,TilgDatum,DATE(Jahr,6,1))</f>
      </c>
      <c r="Y44" s="43">
        <f>SUMIFS(TilgErsatz,TilgObj,3,TilgDatum,DATE(Jahr,7,1))</f>
      </c>
      <c r="Z44" s="43">
        <f>SUMIFS(TilgErsatz,TilgObj,3,TilgDatum,DATE(Jahr,8,1))</f>
      </c>
      <c r="AA44" s="43">
        <f>SUMIFS(TilgErsatz,TilgObj,3,TilgDatum,DATE(Jahr,9,1))</f>
      </c>
      <c r="AB44" s="43">
        <f>SUMIFS(TilgErsatz,TilgObj,3,TilgDatum,DATE(Jahr,10,1))</f>
      </c>
      <c r="AC44" s="43">
        <f>SUMIFS(TilgErsatz,TilgObj,3,TilgDatum,DATE(Jahr,11,1))</f>
      </c>
      <c r="AD44" s="43">
        <f>SUMIFS(TilgErsatz,TilgObj,3,TilgDatum,DATE(Jahr,12,1))</f>
      </c>
    </row>
    <row r="45">
      <c r="A45"/>
      <c r="B45" s="6">
        <f>IF(INDEX(ObjBelegt,4)=0,"– Objekt 4 –",INDEX(ObjBezeichnung,4))</f>
      </c>
      <c r="C45" s="16" t="inlineStr">
        <is>
          <t xml:space="preserve">Mieteinnahme</t>
        </is>
      </c>
      <c r="D45" s="16" t="inlineStr">
        <is>
          <t xml:space="preserve">Einnahmen</t>
        </is>
      </c>
      <c r="E45" s="30">
        <f>IF($E149="",$S45,$E149)</f>
      </c>
      <c r="F45" s="30">
        <f>IF($F149="",$T45,$F149)</f>
      </c>
      <c r="G45" s="30">
        <f>IF($G149="",$U45,$G149)</f>
      </c>
      <c r="H45" s="30">
        <f>IF($H149="",$V45,$H149)</f>
      </c>
      <c r="I45" s="30">
        <f>IF($I149="",$W45,$I149)</f>
      </c>
      <c r="J45" s="30">
        <f>IF($J149="",$X45,$J149)</f>
      </c>
      <c r="K45" s="30">
        <f>IF($K149="",$Y45,$K149)</f>
      </c>
      <c r="L45" s="30">
        <f>IF($L149="",$Z45,$L149)</f>
      </c>
      <c r="M45" s="30">
        <f>IF($M149="",$AA45,$M149)</f>
      </c>
      <c r="N45" s="30">
        <f>IF($N149="",$AB45,$N149)</f>
      </c>
      <c r="O45" s="30">
        <f>IF($O149="",$AC45,$O149)</f>
      </c>
      <c r="P45" s="30">
        <f>IF($P149="",$AD45,$P149)</f>
      </c>
      <c r="Q45" s="42">
        <f>SUM($E45:$P45)</f>
      </c>
      <c r="R45"/>
      <c r="S45" s="43">
        <f>SUMIFS(MlM1,MlObj,4,MlJahr,Jahr)</f>
      </c>
      <c r="T45" s="43">
        <f>SUMIFS(MlM2,MlObj,4,MlJahr,Jahr)</f>
      </c>
      <c r="U45" s="43">
        <f>SUMIFS(MlM3,MlObj,4,MlJahr,Jahr)</f>
      </c>
      <c r="V45" s="43">
        <f>SUMIFS(MlM4,MlObj,4,MlJahr,Jahr)</f>
      </c>
      <c r="W45" s="43">
        <f>SUMIFS(MlM5,MlObj,4,MlJahr,Jahr)</f>
      </c>
      <c r="X45" s="43">
        <f>SUMIFS(MlM6,MlObj,4,MlJahr,Jahr)</f>
      </c>
      <c r="Y45" s="43">
        <f>SUMIFS(MlM7,MlObj,4,MlJahr,Jahr)</f>
      </c>
      <c r="Z45" s="43">
        <f>SUMIFS(MlM8,MlObj,4,MlJahr,Jahr)</f>
      </c>
      <c r="AA45" s="43">
        <f>SUMIFS(MlM9,MlObj,4,MlJahr,Jahr)</f>
      </c>
      <c r="AB45" s="43">
        <f>SUMIFS(MlM10,MlObj,4,MlJahr,Jahr)</f>
      </c>
      <c r="AC45" s="43">
        <f>SUMIFS(MlM11,MlObj,4,MlJahr,Jahr)</f>
      </c>
      <c r="AD45" s="43">
        <f>SUMIFS(MlM12,MlObj,4,MlJahr,Jahr)</f>
      </c>
    </row>
    <row r="46">
      <c r="A46"/>
      <c r="B46"/>
      <c r="C46" s="16" t="inlineStr">
        <is>
          <t xml:space="preserve">Nebenkosten-Vorauszahlung</t>
        </is>
      </c>
      <c r="D46" s="16" t="inlineStr">
        <is>
          <t xml:space="preserve">Einnahmen</t>
        </is>
      </c>
      <c r="E46" s="30">
        <f>IF($E150="",$S46,$E150)</f>
      </c>
      <c r="F46" s="30">
        <f>IF($F150="",$T46,$F150)</f>
      </c>
      <c r="G46" s="30">
        <f>IF($G150="",$U46,$G150)</f>
      </c>
      <c r="H46" s="30">
        <f>IF($H150="",$V46,$H150)</f>
      </c>
      <c r="I46" s="30">
        <f>IF($I150="",$W46,$I150)</f>
      </c>
      <c r="J46" s="30">
        <f>IF($J150="",$X46,$J150)</f>
      </c>
      <c r="K46" s="30">
        <f>IF($K150="",$Y46,$K150)</f>
      </c>
      <c r="L46" s="30">
        <f>IF($L150="",$Z46,$L150)</f>
      </c>
      <c r="M46" s="30">
        <f>IF($M150="",$AA46,$M150)</f>
      </c>
      <c r="N46" s="30">
        <f>IF($N150="",$AB46,$N150)</f>
      </c>
      <c r="O46" s="30">
        <f>IF($O150="",$AC46,$O150)</f>
      </c>
      <c r="P46" s="30">
        <f>IF($P150="",$AD46,$P150)</f>
      </c>
      <c r="Q46" s="42">
        <f>SUM($E46:$P46)</f>
      </c>
      <c r="R46"/>
      <c r="S46" s="43">
        <f>SUMIF(NkObj,4,NkM1)</f>
      </c>
      <c r="T46" s="43">
        <f>SUMIF(NkObj,4,NkM2)</f>
      </c>
      <c r="U46" s="43">
        <f>SUMIF(NkObj,4,NkM3)</f>
      </c>
      <c r="V46" s="43">
        <f>SUMIF(NkObj,4,NkM4)</f>
      </c>
      <c r="W46" s="43">
        <f>SUMIF(NkObj,4,NkM5)</f>
      </c>
      <c r="X46" s="43">
        <f>SUMIF(NkObj,4,NkM6)</f>
      </c>
      <c r="Y46" s="43">
        <f>SUMIF(NkObj,4,NkM7)</f>
      </c>
      <c r="Z46" s="43">
        <f>SUMIF(NkObj,4,NkM8)</f>
      </c>
      <c r="AA46" s="43">
        <f>SUMIF(NkObj,4,NkM9)</f>
      </c>
      <c r="AB46" s="43">
        <f>SUMIF(NkObj,4,NkM10)</f>
      </c>
      <c r="AC46" s="43">
        <f>SUMIF(NkObj,4,NkM11)</f>
      </c>
      <c r="AD46" s="43">
        <f>SUMIF(NkObj,4,NkM12)</f>
      </c>
    </row>
    <row r="47">
      <c r="A47"/>
      <c r="B47"/>
      <c r="C47" s="16" t="inlineStr">
        <is>
          <t xml:space="preserve">Hausgeld, nicht umlagefähig</t>
        </is>
      </c>
      <c r="D47" s="16" t="inlineStr">
        <is>
          <t xml:space="preserve">Bewirtschaftung</t>
        </is>
      </c>
      <c r="E47" s="30">
        <f>IF($E151="",$S47,$E151)</f>
      </c>
      <c r="F47" s="30">
        <f>IF($F151="",$T47,$F151)</f>
      </c>
      <c r="G47" s="30">
        <f>IF($G151="",$U47,$G151)</f>
      </c>
      <c r="H47" s="30">
        <f>IF($H151="",$V47,$H151)</f>
      </c>
      <c r="I47" s="30">
        <f>IF($I151="",$W47,$I151)</f>
      </c>
      <c r="J47" s="30">
        <f>IF($J151="",$X47,$J151)</f>
      </c>
      <c r="K47" s="30">
        <f>IF($K151="",$Y47,$K151)</f>
      </c>
      <c r="L47" s="30">
        <f>IF($L151="",$Z47,$L151)</f>
      </c>
      <c r="M47" s="30">
        <f>IF($M151="",$AA47,$M151)</f>
      </c>
      <c r="N47" s="30">
        <f>IF($N151="",$AB47,$N151)</f>
      </c>
      <c r="O47" s="30">
        <f>IF($O151="",$AC47,$O151)</f>
      </c>
      <c r="P47" s="30">
        <f>IF($P151="",$AD47,$P151)</f>
      </c>
      <c r="Q47" s="42">
        <f>SUM($E47:$P47)</f>
      </c>
      <c r="R47"/>
      <c r="S47" s="43">
        <f>IF(AND(INDEX(ObjKaufJahr,4)&gt;0,DATE(Jahr,1,1)&gt;=DATE(INDEX(ObjKaufJahr,4),INDEX(ObjKaufMonat,4),1)),MAX(0,INDEX(ObjHausgeld,4)-INDEX(ObjUmlage,4)),0)</f>
      </c>
      <c r="T47" s="43">
        <f>IF(AND(INDEX(ObjKaufJahr,4)&gt;0,DATE(Jahr,2,1)&gt;=DATE(INDEX(ObjKaufJahr,4),INDEX(ObjKaufMonat,4),1)),MAX(0,INDEX(ObjHausgeld,4)-INDEX(ObjUmlage,4)),0)</f>
      </c>
      <c r="U47" s="43">
        <f>IF(AND(INDEX(ObjKaufJahr,4)&gt;0,DATE(Jahr,3,1)&gt;=DATE(INDEX(ObjKaufJahr,4),INDEX(ObjKaufMonat,4),1)),MAX(0,INDEX(ObjHausgeld,4)-INDEX(ObjUmlage,4)),0)</f>
      </c>
      <c r="V47" s="43">
        <f>IF(AND(INDEX(ObjKaufJahr,4)&gt;0,DATE(Jahr,4,1)&gt;=DATE(INDEX(ObjKaufJahr,4),INDEX(ObjKaufMonat,4),1)),MAX(0,INDEX(ObjHausgeld,4)-INDEX(ObjUmlage,4)),0)</f>
      </c>
      <c r="W47" s="43">
        <f>IF(AND(INDEX(ObjKaufJahr,4)&gt;0,DATE(Jahr,5,1)&gt;=DATE(INDEX(ObjKaufJahr,4),INDEX(ObjKaufMonat,4),1)),MAX(0,INDEX(ObjHausgeld,4)-INDEX(ObjUmlage,4)),0)</f>
      </c>
      <c r="X47" s="43">
        <f>IF(AND(INDEX(ObjKaufJahr,4)&gt;0,DATE(Jahr,6,1)&gt;=DATE(INDEX(ObjKaufJahr,4),INDEX(ObjKaufMonat,4),1)),MAX(0,INDEX(ObjHausgeld,4)-INDEX(ObjUmlage,4)),0)</f>
      </c>
      <c r="Y47" s="43">
        <f>IF(AND(INDEX(ObjKaufJahr,4)&gt;0,DATE(Jahr,7,1)&gt;=DATE(INDEX(ObjKaufJahr,4),INDEX(ObjKaufMonat,4),1)),MAX(0,INDEX(ObjHausgeld,4)-INDEX(ObjUmlage,4)),0)</f>
      </c>
      <c r="Z47" s="43">
        <f>IF(AND(INDEX(ObjKaufJahr,4)&gt;0,DATE(Jahr,8,1)&gt;=DATE(INDEX(ObjKaufJahr,4),INDEX(ObjKaufMonat,4),1)),MAX(0,INDEX(ObjHausgeld,4)-INDEX(ObjUmlage,4)),0)</f>
      </c>
      <c r="AA47" s="43">
        <f>IF(AND(INDEX(ObjKaufJahr,4)&gt;0,DATE(Jahr,9,1)&gt;=DATE(INDEX(ObjKaufJahr,4),INDEX(ObjKaufMonat,4),1)),MAX(0,INDEX(ObjHausgeld,4)-INDEX(ObjUmlage,4)),0)</f>
      </c>
      <c r="AB47" s="43">
        <f>IF(AND(INDEX(ObjKaufJahr,4)&gt;0,DATE(Jahr,10,1)&gt;=DATE(INDEX(ObjKaufJahr,4),INDEX(ObjKaufMonat,4),1)),MAX(0,INDEX(ObjHausgeld,4)-INDEX(ObjUmlage,4)),0)</f>
      </c>
      <c r="AC47" s="43">
        <f>IF(AND(INDEX(ObjKaufJahr,4)&gt;0,DATE(Jahr,11,1)&gt;=DATE(INDEX(ObjKaufJahr,4),INDEX(ObjKaufMonat,4),1)),MAX(0,INDEX(ObjHausgeld,4)-INDEX(ObjUmlage,4)),0)</f>
      </c>
      <c r="AD47" s="43">
        <f>IF(AND(INDEX(ObjKaufJahr,4)&gt;0,DATE(Jahr,12,1)&gt;=DATE(INDEX(ObjKaufJahr,4),INDEX(ObjKaufMonat,4),1)),MAX(0,INDEX(ObjHausgeld,4)-INDEX(ObjUmlage,4)),0)</f>
      </c>
    </row>
    <row r="48">
      <c r="A48"/>
      <c r="B48"/>
      <c r="C48" s="16" t="inlineStr">
        <is>
          <t xml:space="preserve">Verwaltung</t>
        </is>
      </c>
      <c r="D48" s="16" t="inlineStr">
        <is>
          <t xml:space="preserve">Bewirtschaftung</t>
        </is>
      </c>
      <c r="E48" s="30">
        <f>IF($E152="",$S48,$E152)</f>
      </c>
      <c r="F48" s="30">
        <f>IF($F152="",$T48,$F152)</f>
      </c>
      <c r="G48" s="30">
        <f>IF($G152="",$U48,$G152)</f>
      </c>
      <c r="H48" s="30">
        <f>IF($H152="",$V48,$H152)</f>
      </c>
      <c r="I48" s="30">
        <f>IF($I152="",$W48,$I152)</f>
      </c>
      <c r="J48" s="30">
        <f>IF($J152="",$X48,$J152)</f>
      </c>
      <c r="K48" s="30">
        <f>IF($K152="",$Y48,$K152)</f>
      </c>
      <c r="L48" s="30">
        <f>IF($L152="",$Z48,$L152)</f>
      </c>
      <c r="M48" s="30">
        <f>IF($M152="",$AA48,$M152)</f>
      </c>
      <c r="N48" s="30">
        <f>IF($N152="",$AB48,$N152)</f>
      </c>
      <c r="O48" s="30">
        <f>IF($O152="",$AC48,$O152)</f>
      </c>
      <c r="P48" s="30">
        <f>IF($P152="",$AD48,$P152)</f>
      </c>
      <c r="Q48" s="42">
        <f>SUM($E48:$P48)</f>
      </c>
      <c r="R48"/>
      <c r="S48" s="43">
        <f>IF(AND(INDEX(ObjKaufJahr,4)&gt;0,DATE(Jahr,1,1)&gt;=DATE(INDEX(ObjKaufJahr,4),INDEX(ObjKaufMonat,4),1)),INDEX(ObjVerwaltung,4),0)</f>
      </c>
      <c r="T48" s="43">
        <f>IF(AND(INDEX(ObjKaufJahr,4)&gt;0,DATE(Jahr,2,1)&gt;=DATE(INDEX(ObjKaufJahr,4),INDEX(ObjKaufMonat,4),1)),INDEX(ObjVerwaltung,4),0)</f>
      </c>
      <c r="U48" s="43">
        <f>IF(AND(INDEX(ObjKaufJahr,4)&gt;0,DATE(Jahr,3,1)&gt;=DATE(INDEX(ObjKaufJahr,4),INDEX(ObjKaufMonat,4),1)),INDEX(ObjVerwaltung,4),0)</f>
      </c>
      <c r="V48" s="43">
        <f>IF(AND(INDEX(ObjKaufJahr,4)&gt;0,DATE(Jahr,4,1)&gt;=DATE(INDEX(ObjKaufJahr,4),INDEX(ObjKaufMonat,4),1)),INDEX(ObjVerwaltung,4),0)</f>
      </c>
      <c r="W48" s="43">
        <f>IF(AND(INDEX(ObjKaufJahr,4)&gt;0,DATE(Jahr,5,1)&gt;=DATE(INDEX(ObjKaufJahr,4),INDEX(ObjKaufMonat,4),1)),INDEX(ObjVerwaltung,4),0)</f>
      </c>
      <c r="X48" s="43">
        <f>IF(AND(INDEX(ObjKaufJahr,4)&gt;0,DATE(Jahr,6,1)&gt;=DATE(INDEX(ObjKaufJahr,4),INDEX(ObjKaufMonat,4),1)),INDEX(ObjVerwaltung,4),0)</f>
      </c>
      <c r="Y48" s="43">
        <f>IF(AND(INDEX(ObjKaufJahr,4)&gt;0,DATE(Jahr,7,1)&gt;=DATE(INDEX(ObjKaufJahr,4),INDEX(ObjKaufMonat,4),1)),INDEX(ObjVerwaltung,4),0)</f>
      </c>
      <c r="Z48" s="43">
        <f>IF(AND(INDEX(ObjKaufJahr,4)&gt;0,DATE(Jahr,8,1)&gt;=DATE(INDEX(ObjKaufJahr,4),INDEX(ObjKaufMonat,4),1)),INDEX(ObjVerwaltung,4),0)</f>
      </c>
      <c r="AA48" s="43">
        <f>IF(AND(INDEX(ObjKaufJahr,4)&gt;0,DATE(Jahr,9,1)&gt;=DATE(INDEX(ObjKaufJahr,4),INDEX(ObjKaufMonat,4),1)),INDEX(ObjVerwaltung,4),0)</f>
      </c>
      <c r="AB48" s="43">
        <f>IF(AND(INDEX(ObjKaufJahr,4)&gt;0,DATE(Jahr,10,1)&gt;=DATE(INDEX(ObjKaufJahr,4),INDEX(ObjKaufMonat,4),1)),INDEX(ObjVerwaltung,4),0)</f>
      </c>
      <c r="AC48" s="43">
        <f>IF(AND(INDEX(ObjKaufJahr,4)&gt;0,DATE(Jahr,11,1)&gt;=DATE(INDEX(ObjKaufJahr,4),INDEX(ObjKaufMonat,4),1)),INDEX(ObjVerwaltung,4),0)</f>
      </c>
      <c r="AD48" s="43">
        <f>IF(AND(INDEX(ObjKaufJahr,4)&gt;0,DATE(Jahr,12,1)&gt;=DATE(INDEX(ObjKaufJahr,4),INDEX(ObjKaufMonat,4),1)),INDEX(ObjVerwaltung,4),0)</f>
      </c>
    </row>
    <row r="49">
      <c r="A49"/>
      <c r="B49"/>
      <c r="C49" s="16" t="inlineStr">
        <is>
          <t xml:space="preserve">Instandhaltung</t>
        </is>
      </c>
      <c r="D49" s="16" t="inlineStr">
        <is>
          <t xml:space="preserve">Bewirtschaftung</t>
        </is>
      </c>
      <c r="E49" s="30">
        <f>IF($E153="",$S49,$E153)</f>
      </c>
      <c r="F49" s="30">
        <f>IF($F153="",$T49,$F153)</f>
      </c>
      <c r="G49" s="30">
        <f>IF($G153="",$U49,$G153)</f>
      </c>
      <c r="H49" s="30">
        <f>IF($H153="",$V49,$H153)</f>
      </c>
      <c r="I49" s="30">
        <f>IF($I153="",$W49,$I153)</f>
      </c>
      <c r="J49" s="30">
        <f>IF($J153="",$X49,$J153)</f>
      </c>
      <c r="K49" s="30">
        <f>IF($K153="",$Y49,$K153)</f>
      </c>
      <c r="L49" s="30">
        <f>IF($L153="",$Z49,$L153)</f>
      </c>
      <c r="M49" s="30">
        <f>IF($M153="",$AA49,$M153)</f>
      </c>
      <c r="N49" s="30">
        <f>IF($N153="",$AB49,$N153)</f>
      </c>
      <c r="O49" s="30">
        <f>IF($O153="",$AC49,$O153)</f>
      </c>
      <c r="P49" s="30">
        <f>IF($P153="",$AD49,$P153)</f>
      </c>
      <c r="Q49" s="42">
        <f>SUM($E49:$P49)</f>
      </c>
      <c r="R49"/>
      <c r="S49" s="43">
        <f>IF(AND(INDEX(ObjKaufJahr,4)&gt;0,DATE(Jahr,1,1)&gt;=DATE(INDEX(ObjKaufJahr,4),INDEX(ObjKaufMonat,4),1)),INDEX(ObjInstand,4),0)</f>
      </c>
      <c r="T49" s="43">
        <f>IF(AND(INDEX(ObjKaufJahr,4)&gt;0,DATE(Jahr,2,1)&gt;=DATE(INDEX(ObjKaufJahr,4),INDEX(ObjKaufMonat,4),1)),INDEX(ObjInstand,4),0)</f>
      </c>
      <c r="U49" s="43">
        <f>IF(AND(INDEX(ObjKaufJahr,4)&gt;0,DATE(Jahr,3,1)&gt;=DATE(INDEX(ObjKaufJahr,4),INDEX(ObjKaufMonat,4),1)),INDEX(ObjInstand,4),0)</f>
      </c>
      <c r="V49" s="43">
        <f>IF(AND(INDEX(ObjKaufJahr,4)&gt;0,DATE(Jahr,4,1)&gt;=DATE(INDEX(ObjKaufJahr,4),INDEX(ObjKaufMonat,4),1)),INDEX(ObjInstand,4),0)</f>
      </c>
      <c r="W49" s="43">
        <f>IF(AND(INDEX(ObjKaufJahr,4)&gt;0,DATE(Jahr,5,1)&gt;=DATE(INDEX(ObjKaufJahr,4),INDEX(ObjKaufMonat,4),1)),INDEX(ObjInstand,4),0)</f>
      </c>
      <c r="X49" s="43">
        <f>IF(AND(INDEX(ObjKaufJahr,4)&gt;0,DATE(Jahr,6,1)&gt;=DATE(INDEX(ObjKaufJahr,4),INDEX(ObjKaufMonat,4),1)),INDEX(ObjInstand,4),0)</f>
      </c>
      <c r="Y49" s="43">
        <f>IF(AND(INDEX(ObjKaufJahr,4)&gt;0,DATE(Jahr,7,1)&gt;=DATE(INDEX(ObjKaufJahr,4),INDEX(ObjKaufMonat,4),1)),INDEX(ObjInstand,4),0)</f>
      </c>
      <c r="Z49" s="43">
        <f>IF(AND(INDEX(ObjKaufJahr,4)&gt;0,DATE(Jahr,8,1)&gt;=DATE(INDEX(ObjKaufJahr,4),INDEX(ObjKaufMonat,4),1)),INDEX(ObjInstand,4),0)</f>
      </c>
      <c r="AA49" s="43">
        <f>IF(AND(INDEX(ObjKaufJahr,4)&gt;0,DATE(Jahr,9,1)&gt;=DATE(INDEX(ObjKaufJahr,4),INDEX(ObjKaufMonat,4),1)),INDEX(ObjInstand,4),0)</f>
      </c>
      <c r="AB49" s="43">
        <f>IF(AND(INDEX(ObjKaufJahr,4)&gt;0,DATE(Jahr,10,1)&gt;=DATE(INDEX(ObjKaufJahr,4),INDEX(ObjKaufMonat,4),1)),INDEX(ObjInstand,4),0)</f>
      </c>
      <c r="AC49" s="43">
        <f>IF(AND(INDEX(ObjKaufJahr,4)&gt;0,DATE(Jahr,11,1)&gt;=DATE(INDEX(ObjKaufJahr,4),INDEX(ObjKaufMonat,4),1)),INDEX(ObjInstand,4),0)</f>
      </c>
      <c r="AD49" s="43">
        <f>IF(AND(INDEX(ObjKaufJahr,4)&gt;0,DATE(Jahr,12,1)&gt;=DATE(INDEX(ObjKaufJahr,4),INDEX(ObjKaufMonat,4),1)),INDEX(ObjInstand,4),0)</f>
      </c>
    </row>
    <row r="50">
      <c r="A50"/>
      <c r="B50"/>
      <c r="C50" s="16" t="inlineStr">
        <is>
          <t xml:space="preserve">Sonstige Kosten</t>
        </is>
      </c>
      <c r="D50" s="16" t="inlineStr">
        <is>
          <t xml:space="preserve">Bewirtschaftung</t>
        </is>
      </c>
      <c r="E50" s="30">
        <f>IF($E154="",$S50,$E154)</f>
      </c>
      <c r="F50" s="30">
        <f>IF($F154="",$T50,$F154)</f>
      </c>
      <c r="G50" s="30">
        <f>IF($G154="",$U50,$G154)</f>
      </c>
      <c r="H50" s="30">
        <f>IF($H154="",$V50,$H154)</f>
      </c>
      <c r="I50" s="30">
        <f>IF($I154="",$W50,$I154)</f>
      </c>
      <c r="J50" s="30">
        <f>IF($J154="",$X50,$J154)</f>
      </c>
      <c r="K50" s="30">
        <f>IF($K154="",$Y50,$K154)</f>
      </c>
      <c r="L50" s="30">
        <f>IF($L154="",$Z50,$L154)</f>
      </c>
      <c r="M50" s="30">
        <f>IF($M154="",$AA50,$M154)</f>
      </c>
      <c r="N50" s="30">
        <f>IF($N154="",$AB50,$N154)</f>
      </c>
      <c r="O50" s="30">
        <f>IF($O154="",$AC50,$O154)</f>
      </c>
      <c r="P50" s="30">
        <f>IF($P154="",$AD50,$P154)</f>
      </c>
      <c r="Q50" s="42">
        <f>SUM($E50:$P50)</f>
      </c>
      <c r="R50"/>
      <c r="S50" s="43">
        <f>IF(AND(INDEX(ObjKaufJahr,4)&gt;0,DATE(Jahr,1,1)&gt;=DATE(INDEX(ObjKaufJahr,4),INDEX(ObjKaufMonat,4),1)),INDEX(ObjSonstige,4)/12,0)</f>
      </c>
      <c r="T50" s="43">
        <f>IF(AND(INDEX(ObjKaufJahr,4)&gt;0,DATE(Jahr,2,1)&gt;=DATE(INDEX(ObjKaufJahr,4),INDEX(ObjKaufMonat,4),1)),INDEX(ObjSonstige,4)/12,0)</f>
      </c>
      <c r="U50" s="43">
        <f>IF(AND(INDEX(ObjKaufJahr,4)&gt;0,DATE(Jahr,3,1)&gt;=DATE(INDEX(ObjKaufJahr,4),INDEX(ObjKaufMonat,4),1)),INDEX(ObjSonstige,4)/12,0)</f>
      </c>
      <c r="V50" s="43">
        <f>IF(AND(INDEX(ObjKaufJahr,4)&gt;0,DATE(Jahr,4,1)&gt;=DATE(INDEX(ObjKaufJahr,4),INDEX(ObjKaufMonat,4),1)),INDEX(ObjSonstige,4)/12,0)</f>
      </c>
      <c r="W50" s="43">
        <f>IF(AND(INDEX(ObjKaufJahr,4)&gt;0,DATE(Jahr,5,1)&gt;=DATE(INDEX(ObjKaufJahr,4),INDEX(ObjKaufMonat,4),1)),INDEX(ObjSonstige,4)/12,0)</f>
      </c>
      <c r="X50" s="43">
        <f>IF(AND(INDEX(ObjKaufJahr,4)&gt;0,DATE(Jahr,6,1)&gt;=DATE(INDEX(ObjKaufJahr,4),INDEX(ObjKaufMonat,4),1)),INDEX(ObjSonstige,4)/12,0)</f>
      </c>
      <c r="Y50" s="43">
        <f>IF(AND(INDEX(ObjKaufJahr,4)&gt;0,DATE(Jahr,7,1)&gt;=DATE(INDEX(ObjKaufJahr,4),INDEX(ObjKaufMonat,4),1)),INDEX(ObjSonstige,4)/12,0)</f>
      </c>
      <c r="Z50" s="43">
        <f>IF(AND(INDEX(ObjKaufJahr,4)&gt;0,DATE(Jahr,8,1)&gt;=DATE(INDEX(ObjKaufJahr,4),INDEX(ObjKaufMonat,4),1)),INDEX(ObjSonstige,4)/12,0)</f>
      </c>
      <c r="AA50" s="43">
        <f>IF(AND(INDEX(ObjKaufJahr,4)&gt;0,DATE(Jahr,9,1)&gt;=DATE(INDEX(ObjKaufJahr,4),INDEX(ObjKaufMonat,4),1)),INDEX(ObjSonstige,4)/12,0)</f>
      </c>
      <c r="AB50" s="43">
        <f>IF(AND(INDEX(ObjKaufJahr,4)&gt;0,DATE(Jahr,10,1)&gt;=DATE(INDEX(ObjKaufJahr,4),INDEX(ObjKaufMonat,4),1)),INDEX(ObjSonstige,4)/12,0)</f>
      </c>
      <c r="AC50" s="43">
        <f>IF(AND(INDEX(ObjKaufJahr,4)&gt;0,DATE(Jahr,11,1)&gt;=DATE(INDEX(ObjKaufJahr,4),INDEX(ObjKaufMonat,4),1)),INDEX(ObjSonstige,4)/12,0)</f>
      </c>
      <c r="AD50" s="43">
        <f>IF(AND(INDEX(ObjKaufJahr,4)&gt;0,DATE(Jahr,12,1)&gt;=DATE(INDEX(ObjKaufJahr,4),INDEX(ObjKaufMonat,4),1)),INDEX(ObjSonstige,4)/12,0)</f>
      </c>
    </row>
    <row r="51">
      <c r="A51"/>
      <c r="B51"/>
      <c r="C51" s="16" t="inlineStr">
        <is>
          <t xml:space="preserve">Zinsen</t>
        </is>
      </c>
      <c r="D51" s="16" t="inlineStr">
        <is>
          <t xml:space="preserve">Finanzierung</t>
        </is>
      </c>
      <c r="E51" s="30">
        <f>IF($E155="",$S51,$E155)</f>
      </c>
      <c r="F51" s="30">
        <f>IF($F155="",$T51,$F155)</f>
      </c>
      <c r="G51" s="30">
        <f>IF($G155="",$U51,$G155)</f>
      </c>
      <c r="H51" s="30">
        <f>IF($H155="",$V51,$H155)</f>
      </c>
      <c r="I51" s="30">
        <f>IF($I155="",$W51,$I155)</f>
      </c>
      <c r="J51" s="30">
        <f>IF($J155="",$X51,$J155)</f>
      </c>
      <c r="K51" s="30">
        <f>IF($K155="",$Y51,$K155)</f>
      </c>
      <c r="L51" s="30">
        <f>IF($L155="",$Z51,$L155)</f>
      </c>
      <c r="M51" s="30">
        <f>IF($M155="",$AA51,$M155)</f>
      </c>
      <c r="N51" s="30">
        <f>IF($N155="",$AB51,$N155)</f>
      </c>
      <c r="O51" s="30">
        <f>IF($O155="",$AC51,$O155)</f>
      </c>
      <c r="P51" s="30">
        <f>IF($P155="",$AD51,$P155)</f>
      </c>
      <c r="Q51" s="42">
        <f>SUM($E51:$P51)</f>
      </c>
      <c r="R51"/>
      <c r="S51" s="43">
        <f>SUMIFS(TilgZins,TilgObj,4,TilgDatum,DATE(Jahr,1,1))</f>
      </c>
      <c r="T51" s="43">
        <f>SUMIFS(TilgZins,TilgObj,4,TilgDatum,DATE(Jahr,2,1))</f>
      </c>
      <c r="U51" s="43">
        <f>SUMIFS(TilgZins,TilgObj,4,TilgDatum,DATE(Jahr,3,1))</f>
      </c>
      <c r="V51" s="43">
        <f>SUMIFS(TilgZins,TilgObj,4,TilgDatum,DATE(Jahr,4,1))</f>
      </c>
      <c r="W51" s="43">
        <f>SUMIFS(TilgZins,TilgObj,4,TilgDatum,DATE(Jahr,5,1))</f>
      </c>
      <c r="X51" s="43">
        <f>SUMIFS(TilgZins,TilgObj,4,TilgDatum,DATE(Jahr,6,1))</f>
      </c>
      <c r="Y51" s="43">
        <f>SUMIFS(TilgZins,TilgObj,4,TilgDatum,DATE(Jahr,7,1))</f>
      </c>
      <c r="Z51" s="43">
        <f>SUMIFS(TilgZins,TilgObj,4,TilgDatum,DATE(Jahr,8,1))</f>
      </c>
      <c r="AA51" s="43">
        <f>SUMIFS(TilgZins,TilgObj,4,TilgDatum,DATE(Jahr,9,1))</f>
      </c>
      <c r="AB51" s="43">
        <f>SUMIFS(TilgZins,TilgObj,4,TilgDatum,DATE(Jahr,10,1))</f>
      </c>
      <c r="AC51" s="43">
        <f>SUMIFS(TilgZins,TilgObj,4,TilgDatum,DATE(Jahr,11,1))</f>
      </c>
      <c r="AD51" s="43">
        <f>SUMIFS(TilgZins,TilgObj,4,TilgDatum,DATE(Jahr,12,1))</f>
      </c>
    </row>
    <row r="52">
      <c r="A52"/>
      <c r="B52"/>
      <c r="C52" s="16" t="inlineStr">
        <is>
          <t xml:space="preserve">Tilgung</t>
        </is>
      </c>
      <c r="D52" s="16" t="inlineStr">
        <is>
          <t xml:space="preserve">Finanzierung</t>
        </is>
      </c>
      <c r="E52" s="30">
        <f>IF($E156="",$S52,$E156)</f>
      </c>
      <c r="F52" s="30">
        <f>IF($F156="",$T52,$F156)</f>
      </c>
      <c r="G52" s="30">
        <f>IF($G156="",$U52,$G156)</f>
      </c>
      <c r="H52" s="30">
        <f>IF($H156="",$V52,$H156)</f>
      </c>
      <c r="I52" s="30">
        <f>IF($I156="",$W52,$I156)</f>
      </c>
      <c r="J52" s="30">
        <f>IF($J156="",$X52,$J156)</f>
      </c>
      <c r="K52" s="30">
        <f>IF($K156="",$Y52,$K156)</f>
      </c>
      <c r="L52" s="30">
        <f>IF($L156="",$Z52,$L156)</f>
      </c>
      <c r="M52" s="30">
        <f>IF($M156="",$AA52,$M156)</f>
      </c>
      <c r="N52" s="30">
        <f>IF($N156="",$AB52,$N156)</f>
      </c>
      <c r="O52" s="30">
        <f>IF($O156="",$AC52,$O156)</f>
      </c>
      <c r="P52" s="30">
        <f>IF($P156="",$AD52,$P156)</f>
      </c>
      <c r="Q52" s="42">
        <f>SUM($E52:$P52)</f>
      </c>
      <c r="R52"/>
      <c r="S52" s="43">
        <f>SUMIFS(TilgTilgung,TilgObj,4,TilgDatum,DATE(Jahr,1,1))</f>
      </c>
      <c r="T52" s="43">
        <f>SUMIFS(TilgTilgung,TilgObj,4,TilgDatum,DATE(Jahr,2,1))</f>
      </c>
      <c r="U52" s="43">
        <f>SUMIFS(TilgTilgung,TilgObj,4,TilgDatum,DATE(Jahr,3,1))</f>
      </c>
      <c r="V52" s="43">
        <f>SUMIFS(TilgTilgung,TilgObj,4,TilgDatum,DATE(Jahr,4,1))</f>
      </c>
      <c r="W52" s="43">
        <f>SUMIFS(TilgTilgung,TilgObj,4,TilgDatum,DATE(Jahr,5,1))</f>
      </c>
      <c r="X52" s="43">
        <f>SUMIFS(TilgTilgung,TilgObj,4,TilgDatum,DATE(Jahr,6,1))</f>
      </c>
      <c r="Y52" s="43">
        <f>SUMIFS(TilgTilgung,TilgObj,4,TilgDatum,DATE(Jahr,7,1))</f>
      </c>
      <c r="Z52" s="43">
        <f>SUMIFS(TilgTilgung,TilgObj,4,TilgDatum,DATE(Jahr,8,1))</f>
      </c>
      <c r="AA52" s="43">
        <f>SUMIFS(TilgTilgung,TilgObj,4,TilgDatum,DATE(Jahr,9,1))</f>
      </c>
      <c r="AB52" s="43">
        <f>SUMIFS(TilgTilgung,TilgObj,4,TilgDatum,DATE(Jahr,10,1))</f>
      </c>
      <c r="AC52" s="43">
        <f>SUMIFS(TilgTilgung,TilgObj,4,TilgDatum,DATE(Jahr,11,1))</f>
      </c>
      <c r="AD52" s="43">
        <f>SUMIFS(TilgTilgung,TilgObj,4,TilgDatum,DATE(Jahr,12,1))</f>
      </c>
    </row>
    <row r="53">
      <c r="A53"/>
      <c r="B53"/>
      <c r="C53" s="16" t="inlineStr">
        <is>
          <t xml:space="preserve">Sondertilgung</t>
        </is>
      </c>
      <c r="D53" s="16" t="inlineStr">
        <is>
          <t xml:space="preserve">Finanzierung</t>
        </is>
      </c>
      <c r="E53" s="30">
        <f>IF($E157="",$S53,$E157)</f>
      </c>
      <c r="F53" s="30">
        <f>IF($F157="",$T53,$F157)</f>
      </c>
      <c r="G53" s="30">
        <f>IF($G157="",$U53,$G157)</f>
      </c>
      <c r="H53" s="30">
        <f>IF($H157="",$V53,$H157)</f>
      </c>
      <c r="I53" s="30">
        <f>IF($I157="",$W53,$I157)</f>
      </c>
      <c r="J53" s="30">
        <f>IF($J157="",$X53,$J157)</f>
      </c>
      <c r="K53" s="30">
        <f>IF($K157="",$Y53,$K157)</f>
      </c>
      <c r="L53" s="30">
        <f>IF($L157="",$Z53,$L157)</f>
      </c>
      <c r="M53" s="30">
        <f>IF($M157="",$AA53,$M157)</f>
      </c>
      <c r="N53" s="30">
        <f>IF($N157="",$AB53,$N157)</f>
      </c>
      <c r="O53" s="30">
        <f>IF($O157="",$AC53,$O157)</f>
      </c>
      <c r="P53" s="30">
        <f>IF($P157="",$AD53,$P157)</f>
      </c>
      <c r="Q53" s="42">
        <f>SUM($E53:$P53)</f>
      </c>
      <c r="R53"/>
      <c r="S53" s="43">
        <f>SUMIFS(TilgSonder,TilgObj,4,TilgDatum,DATE(Jahr,1,1))</f>
      </c>
      <c r="T53" s="43">
        <f>SUMIFS(TilgSonder,TilgObj,4,TilgDatum,DATE(Jahr,2,1))</f>
      </c>
      <c r="U53" s="43">
        <f>SUMIFS(TilgSonder,TilgObj,4,TilgDatum,DATE(Jahr,3,1))</f>
      </c>
      <c r="V53" s="43">
        <f>SUMIFS(TilgSonder,TilgObj,4,TilgDatum,DATE(Jahr,4,1))</f>
      </c>
      <c r="W53" s="43">
        <f>SUMIFS(TilgSonder,TilgObj,4,TilgDatum,DATE(Jahr,5,1))</f>
      </c>
      <c r="X53" s="43">
        <f>SUMIFS(TilgSonder,TilgObj,4,TilgDatum,DATE(Jahr,6,1))</f>
      </c>
      <c r="Y53" s="43">
        <f>SUMIFS(TilgSonder,TilgObj,4,TilgDatum,DATE(Jahr,7,1))</f>
      </c>
      <c r="Z53" s="43">
        <f>SUMIFS(TilgSonder,TilgObj,4,TilgDatum,DATE(Jahr,8,1))</f>
      </c>
      <c r="AA53" s="43">
        <f>SUMIFS(TilgSonder,TilgObj,4,TilgDatum,DATE(Jahr,9,1))</f>
      </c>
      <c r="AB53" s="43">
        <f>SUMIFS(TilgSonder,TilgObj,4,TilgDatum,DATE(Jahr,10,1))</f>
      </c>
      <c r="AC53" s="43">
        <f>SUMIFS(TilgSonder,TilgObj,4,TilgDatum,DATE(Jahr,11,1))</f>
      </c>
      <c r="AD53" s="43">
        <f>SUMIFS(TilgSonder,TilgObj,4,TilgDatum,DATE(Jahr,12,1))</f>
      </c>
    </row>
    <row r="54">
      <c r="A54"/>
      <c r="B54"/>
      <c r="C54" s="16" t="inlineStr">
        <is>
          <t xml:space="preserve">Tilgungsersatzleistung</t>
        </is>
      </c>
      <c r="D54" s="16" t="inlineStr">
        <is>
          <t xml:space="preserve">Finanzierung</t>
        </is>
      </c>
      <c r="E54" s="30">
        <f>IF($E158="",$S54,$E158)</f>
      </c>
      <c r="F54" s="30">
        <f>IF($F158="",$T54,$F158)</f>
      </c>
      <c r="G54" s="30">
        <f>IF($G158="",$U54,$G158)</f>
      </c>
      <c r="H54" s="30">
        <f>IF($H158="",$V54,$H158)</f>
      </c>
      <c r="I54" s="30">
        <f>IF($I158="",$W54,$I158)</f>
      </c>
      <c r="J54" s="30">
        <f>IF($J158="",$X54,$J158)</f>
      </c>
      <c r="K54" s="30">
        <f>IF($K158="",$Y54,$K158)</f>
      </c>
      <c r="L54" s="30">
        <f>IF($L158="",$Z54,$L158)</f>
      </c>
      <c r="M54" s="30">
        <f>IF($M158="",$AA54,$M158)</f>
      </c>
      <c r="N54" s="30">
        <f>IF($N158="",$AB54,$N158)</f>
      </c>
      <c r="O54" s="30">
        <f>IF($O158="",$AC54,$O158)</f>
      </c>
      <c r="P54" s="30">
        <f>IF($P158="",$AD54,$P158)</f>
      </c>
      <c r="Q54" s="42">
        <f>SUM($E54:$P54)</f>
      </c>
      <c r="R54"/>
      <c r="S54" s="43">
        <f>SUMIFS(TilgErsatz,TilgObj,4,TilgDatum,DATE(Jahr,1,1))</f>
      </c>
      <c r="T54" s="43">
        <f>SUMIFS(TilgErsatz,TilgObj,4,TilgDatum,DATE(Jahr,2,1))</f>
      </c>
      <c r="U54" s="43">
        <f>SUMIFS(TilgErsatz,TilgObj,4,TilgDatum,DATE(Jahr,3,1))</f>
      </c>
      <c r="V54" s="43">
        <f>SUMIFS(TilgErsatz,TilgObj,4,TilgDatum,DATE(Jahr,4,1))</f>
      </c>
      <c r="W54" s="43">
        <f>SUMIFS(TilgErsatz,TilgObj,4,TilgDatum,DATE(Jahr,5,1))</f>
      </c>
      <c r="X54" s="43">
        <f>SUMIFS(TilgErsatz,TilgObj,4,TilgDatum,DATE(Jahr,6,1))</f>
      </c>
      <c r="Y54" s="43">
        <f>SUMIFS(TilgErsatz,TilgObj,4,TilgDatum,DATE(Jahr,7,1))</f>
      </c>
      <c r="Z54" s="43">
        <f>SUMIFS(TilgErsatz,TilgObj,4,TilgDatum,DATE(Jahr,8,1))</f>
      </c>
      <c r="AA54" s="43">
        <f>SUMIFS(TilgErsatz,TilgObj,4,TilgDatum,DATE(Jahr,9,1))</f>
      </c>
      <c r="AB54" s="43">
        <f>SUMIFS(TilgErsatz,TilgObj,4,TilgDatum,DATE(Jahr,10,1))</f>
      </c>
      <c r="AC54" s="43">
        <f>SUMIFS(TilgErsatz,TilgObj,4,TilgDatum,DATE(Jahr,11,1))</f>
      </c>
      <c r="AD54" s="43">
        <f>SUMIFS(TilgErsatz,TilgObj,4,TilgDatum,DATE(Jahr,12,1))</f>
      </c>
    </row>
    <row r="55">
      <c r="A55"/>
      <c r="B55" s="6">
        <f>IF(INDEX(ObjBelegt,5)=0,"– Objekt 5 –",INDEX(ObjBezeichnung,5))</f>
      </c>
      <c r="C55" s="16" t="inlineStr">
        <is>
          <t xml:space="preserve">Mieteinnahme</t>
        </is>
      </c>
      <c r="D55" s="16" t="inlineStr">
        <is>
          <t xml:space="preserve">Einnahmen</t>
        </is>
      </c>
      <c r="E55" s="30">
        <f>IF($E159="",$S55,$E159)</f>
      </c>
      <c r="F55" s="30">
        <f>IF($F159="",$T55,$F159)</f>
      </c>
      <c r="G55" s="30">
        <f>IF($G159="",$U55,$G159)</f>
      </c>
      <c r="H55" s="30">
        <f>IF($H159="",$V55,$H159)</f>
      </c>
      <c r="I55" s="30">
        <f>IF($I159="",$W55,$I159)</f>
      </c>
      <c r="J55" s="30">
        <f>IF($J159="",$X55,$J159)</f>
      </c>
      <c r="K55" s="30">
        <f>IF($K159="",$Y55,$K159)</f>
      </c>
      <c r="L55" s="30">
        <f>IF($L159="",$Z55,$L159)</f>
      </c>
      <c r="M55" s="30">
        <f>IF($M159="",$AA55,$M159)</f>
      </c>
      <c r="N55" s="30">
        <f>IF($N159="",$AB55,$N159)</f>
      </c>
      <c r="O55" s="30">
        <f>IF($O159="",$AC55,$O159)</f>
      </c>
      <c r="P55" s="30">
        <f>IF($P159="",$AD55,$P159)</f>
      </c>
      <c r="Q55" s="42">
        <f>SUM($E55:$P55)</f>
      </c>
      <c r="R55"/>
      <c r="S55" s="43">
        <f>SUMIFS(MlM1,MlObj,5,MlJahr,Jahr)</f>
      </c>
      <c r="T55" s="43">
        <f>SUMIFS(MlM2,MlObj,5,MlJahr,Jahr)</f>
      </c>
      <c r="U55" s="43">
        <f>SUMIFS(MlM3,MlObj,5,MlJahr,Jahr)</f>
      </c>
      <c r="V55" s="43">
        <f>SUMIFS(MlM4,MlObj,5,MlJahr,Jahr)</f>
      </c>
      <c r="W55" s="43">
        <f>SUMIFS(MlM5,MlObj,5,MlJahr,Jahr)</f>
      </c>
      <c r="X55" s="43">
        <f>SUMIFS(MlM6,MlObj,5,MlJahr,Jahr)</f>
      </c>
      <c r="Y55" s="43">
        <f>SUMIFS(MlM7,MlObj,5,MlJahr,Jahr)</f>
      </c>
      <c r="Z55" s="43">
        <f>SUMIFS(MlM8,MlObj,5,MlJahr,Jahr)</f>
      </c>
      <c r="AA55" s="43">
        <f>SUMIFS(MlM9,MlObj,5,MlJahr,Jahr)</f>
      </c>
      <c r="AB55" s="43">
        <f>SUMIFS(MlM10,MlObj,5,MlJahr,Jahr)</f>
      </c>
      <c r="AC55" s="43">
        <f>SUMIFS(MlM11,MlObj,5,MlJahr,Jahr)</f>
      </c>
      <c r="AD55" s="43">
        <f>SUMIFS(MlM12,MlObj,5,MlJahr,Jahr)</f>
      </c>
    </row>
    <row r="56">
      <c r="A56"/>
      <c r="B56"/>
      <c r="C56" s="16" t="inlineStr">
        <is>
          <t xml:space="preserve">Nebenkosten-Vorauszahlung</t>
        </is>
      </c>
      <c r="D56" s="16" t="inlineStr">
        <is>
          <t xml:space="preserve">Einnahmen</t>
        </is>
      </c>
      <c r="E56" s="30">
        <f>IF($E160="",$S56,$E160)</f>
      </c>
      <c r="F56" s="30">
        <f>IF($F160="",$T56,$F160)</f>
      </c>
      <c r="G56" s="30">
        <f>IF($G160="",$U56,$G160)</f>
      </c>
      <c r="H56" s="30">
        <f>IF($H160="",$V56,$H160)</f>
      </c>
      <c r="I56" s="30">
        <f>IF($I160="",$W56,$I160)</f>
      </c>
      <c r="J56" s="30">
        <f>IF($J160="",$X56,$J160)</f>
      </c>
      <c r="K56" s="30">
        <f>IF($K160="",$Y56,$K160)</f>
      </c>
      <c r="L56" s="30">
        <f>IF($L160="",$Z56,$L160)</f>
      </c>
      <c r="M56" s="30">
        <f>IF($M160="",$AA56,$M160)</f>
      </c>
      <c r="N56" s="30">
        <f>IF($N160="",$AB56,$N160)</f>
      </c>
      <c r="O56" s="30">
        <f>IF($O160="",$AC56,$O160)</f>
      </c>
      <c r="P56" s="30">
        <f>IF($P160="",$AD56,$P160)</f>
      </c>
      <c r="Q56" s="42">
        <f>SUM($E56:$P56)</f>
      </c>
      <c r="R56"/>
      <c r="S56" s="43">
        <f>SUMIF(NkObj,5,NkM1)</f>
      </c>
      <c r="T56" s="43">
        <f>SUMIF(NkObj,5,NkM2)</f>
      </c>
      <c r="U56" s="43">
        <f>SUMIF(NkObj,5,NkM3)</f>
      </c>
      <c r="V56" s="43">
        <f>SUMIF(NkObj,5,NkM4)</f>
      </c>
      <c r="W56" s="43">
        <f>SUMIF(NkObj,5,NkM5)</f>
      </c>
      <c r="X56" s="43">
        <f>SUMIF(NkObj,5,NkM6)</f>
      </c>
      <c r="Y56" s="43">
        <f>SUMIF(NkObj,5,NkM7)</f>
      </c>
      <c r="Z56" s="43">
        <f>SUMIF(NkObj,5,NkM8)</f>
      </c>
      <c r="AA56" s="43">
        <f>SUMIF(NkObj,5,NkM9)</f>
      </c>
      <c r="AB56" s="43">
        <f>SUMIF(NkObj,5,NkM10)</f>
      </c>
      <c r="AC56" s="43">
        <f>SUMIF(NkObj,5,NkM11)</f>
      </c>
      <c r="AD56" s="43">
        <f>SUMIF(NkObj,5,NkM12)</f>
      </c>
    </row>
    <row r="57">
      <c r="A57"/>
      <c r="B57"/>
      <c r="C57" s="16" t="inlineStr">
        <is>
          <t xml:space="preserve">Hausgeld, nicht umlagefähig</t>
        </is>
      </c>
      <c r="D57" s="16" t="inlineStr">
        <is>
          <t xml:space="preserve">Bewirtschaftung</t>
        </is>
      </c>
      <c r="E57" s="30">
        <f>IF($E161="",$S57,$E161)</f>
      </c>
      <c r="F57" s="30">
        <f>IF($F161="",$T57,$F161)</f>
      </c>
      <c r="G57" s="30">
        <f>IF($G161="",$U57,$G161)</f>
      </c>
      <c r="H57" s="30">
        <f>IF($H161="",$V57,$H161)</f>
      </c>
      <c r="I57" s="30">
        <f>IF($I161="",$W57,$I161)</f>
      </c>
      <c r="J57" s="30">
        <f>IF($J161="",$X57,$J161)</f>
      </c>
      <c r="K57" s="30">
        <f>IF($K161="",$Y57,$K161)</f>
      </c>
      <c r="L57" s="30">
        <f>IF($L161="",$Z57,$L161)</f>
      </c>
      <c r="M57" s="30">
        <f>IF($M161="",$AA57,$M161)</f>
      </c>
      <c r="N57" s="30">
        <f>IF($N161="",$AB57,$N161)</f>
      </c>
      <c r="O57" s="30">
        <f>IF($O161="",$AC57,$O161)</f>
      </c>
      <c r="P57" s="30">
        <f>IF($P161="",$AD57,$P161)</f>
      </c>
      <c r="Q57" s="42">
        <f>SUM($E57:$P57)</f>
      </c>
      <c r="R57"/>
      <c r="S57" s="43">
        <f>IF(AND(INDEX(ObjKaufJahr,5)&gt;0,DATE(Jahr,1,1)&gt;=DATE(INDEX(ObjKaufJahr,5),INDEX(ObjKaufMonat,5),1)),MAX(0,INDEX(ObjHausgeld,5)-INDEX(ObjUmlage,5)),0)</f>
      </c>
      <c r="T57" s="43">
        <f>IF(AND(INDEX(ObjKaufJahr,5)&gt;0,DATE(Jahr,2,1)&gt;=DATE(INDEX(ObjKaufJahr,5),INDEX(ObjKaufMonat,5),1)),MAX(0,INDEX(ObjHausgeld,5)-INDEX(ObjUmlage,5)),0)</f>
      </c>
      <c r="U57" s="43">
        <f>IF(AND(INDEX(ObjKaufJahr,5)&gt;0,DATE(Jahr,3,1)&gt;=DATE(INDEX(ObjKaufJahr,5),INDEX(ObjKaufMonat,5),1)),MAX(0,INDEX(ObjHausgeld,5)-INDEX(ObjUmlage,5)),0)</f>
      </c>
      <c r="V57" s="43">
        <f>IF(AND(INDEX(ObjKaufJahr,5)&gt;0,DATE(Jahr,4,1)&gt;=DATE(INDEX(ObjKaufJahr,5),INDEX(ObjKaufMonat,5),1)),MAX(0,INDEX(ObjHausgeld,5)-INDEX(ObjUmlage,5)),0)</f>
      </c>
      <c r="W57" s="43">
        <f>IF(AND(INDEX(ObjKaufJahr,5)&gt;0,DATE(Jahr,5,1)&gt;=DATE(INDEX(ObjKaufJahr,5),INDEX(ObjKaufMonat,5),1)),MAX(0,INDEX(ObjHausgeld,5)-INDEX(ObjUmlage,5)),0)</f>
      </c>
      <c r="X57" s="43">
        <f>IF(AND(INDEX(ObjKaufJahr,5)&gt;0,DATE(Jahr,6,1)&gt;=DATE(INDEX(ObjKaufJahr,5),INDEX(ObjKaufMonat,5),1)),MAX(0,INDEX(ObjHausgeld,5)-INDEX(ObjUmlage,5)),0)</f>
      </c>
      <c r="Y57" s="43">
        <f>IF(AND(INDEX(ObjKaufJahr,5)&gt;0,DATE(Jahr,7,1)&gt;=DATE(INDEX(ObjKaufJahr,5),INDEX(ObjKaufMonat,5),1)),MAX(0,INDEX(ObjHausgeld,5)-INDEX(ObjUmlage,5)),0)</f>
      </c>
      <c r="Z57" s="43">
        <f>IF(AND(INDEX(ObjKaufJahr,5)&gt;0,DATE(Jahr,8,1)&gt;=DATE(INDEX(ObjKaufJahr,5),INDEX(ObjKaufMonat,5),1)),MAX(0,INDEX(ObjHausgeld,5)-INDEX(ObjUmlage,5)),0)</f>
      </c>
      <c r="AA57" s="43">
        <f>IF(AND(INDEX(ObjKaufJahr,5)&gt;0,DATE(Jahr,9,1)&gt;=DATE(INDEX(ObjKaufJahr,5),INDEX(ObjKaufMonat,5),1)),MAX(0,INDEX(ObjHausgeld,5)-INDEX(ObjUmlage,5)),0)</f>
      </c>
      <c r="AB57" s="43">
        <f>IF(AND(INDEX(ObjKaufJahr,5)&gt;0,DATE(Jahr,10,1)&gt;=DATE(INDEX(ObjKaufJahr,5),INDEX(ObjKaufMonat,5),1)),MAX(0,INDEX(ObjHausgeld,5)-INDEX(ObjUmlage,5)),0)</f>
      </c>
      <c r="AC57" s="43">
        <f>IF(AND(INDEX(ObjKaufJahr,5)&gt;0,DATE(Jahr,11,1)&gt;=DATE(INDEX(ObjKaufJahr,5),INDEX(ObjKaufMonat,5),1)),MAX(0,INDEX(ObjHausgeld,5)-INDEX(ObjUmlage,5)),0)</f>
      </c>
      <c r="AD57" s="43">
        <f>IF(AND(INDEX(ObjKaufJahr,5)&gt;0,DATE(Jahr,12,1)&gt;=DATE(INDEX(ObjKaufJahr,5),INDEX(ObjKaufMonat,5),1)),MAX(0,INDEX(ObjHausgeld,5)-INDEX(ObjUmlage,5)),0)</f>
      </c>
    </row>
    <row r="58">
      <c r="A58"/>
      <c r="B58"/>
      <c r="C58" s="16" t="inlineStr">
        <is>
          <t xml:space="preserve">Verwaltung</t>
        </is>
      </c>
      <c r="D58" s="16" t="inlineStr">
        <is>
          <t xml:space="preserve">Bewirtschaftung</t>
        </is>
      </c>
      <c r="E58" s="30">
        <f>IF($E162="",$S58,$E162)</f>
      </c>
      <c r="F58" s="30">
        <f>IF($F162="",$T58,$F162)</f>
      </c>
      <c r="G58" s="30">
        <f>IF($G162="",$U58,$G162)</f>
      </c>
      <c r="H58" s="30">
        <f>IF($H162="",$V58,$H162)</f>
      </c>
      <c r="I58" s="30">
        <f>IF($I162="",$W58,$I162)</f>
      </c>
      <c r="J58" s="30">
        <f>IF($J162="",$X58,$J162)</f>
      </c>
      <c r="K58" s="30">
        <f>IF($K162="",$Y58,$K162)</f>
      </c>
      <c r="L58" s="30">
        <f>IF($L162="",$Z58,$L162)</f>
      </c>
      <c r="M58" s="30">
        <f>IF($M162="",$AA58,$M162)</f>
      </c>
      <c r="N58" s="30">
        <f>IF($N162="",$AB58,$N162)</f>
      </c>
      <c r="O58" s="30">
        <f>IF($O162="",$AC58,$O162)</f>
      </c>
      <c r="P58" s="30">
        <f>IF($P162="",$AD58,$P162)</f>
      </c>
      <c r="Q58" s="42">
        <f>SUM($E58:$P58)</f>
      </c>
      <c r="R58"/>
      <c r="S58" s="43">
        <f>IF(AND(INDEX(ObjKaufJahr,5)&gt;0,DATE(Jahr,1,1)&gt;=DATE(INDEX(ObjKaufJahr,5),INDEX(ObjKaufMonat,5),1)),INDEX(ObjVerwaltung,5),0)</f>
      </c>
      <c r="T58" s="43">
        <f>IF(AND(INDEX(ObjKaufJahr,5)&gt;0,DATE(Jahr,2,1)&gt;=DATE(INDEX(ObjKaufJahr,5),INDEX(ObjKaufMonat,5),1)),INDEX(ObjVerwaltung,5),0)</f>
      </c>
      <c r="U58" s="43">
        <f>IF(AND(INDEX(ObjKaufJahr,5)&gt;0,DATE(Jahr,3,1)&gt;=DATE(INDEX(ObjKaufJahr,5),INDEX(ObjKaufMonat,5),1)),INDEX(ObjVerwaltung,5),0)</f>
      </c>
      <c r="V58" s="43">
        <f>IF(AND(INDEX(ObjKaufJahr,5)&gt;0,DATE(Jahr,4,1)&gt;=DATE(INDEX(ObjKaufJahr,5),INDEX(ObjKaufMonat,5),1)),INDEX(ObjVerwaltung,5),0)</f>
      </c>
      <c r="W58" s="43">
        <f>IF(AND(INDEX(ObjKaufJahr,5)&gt;0,DATE(Jahr,5,1)&gt;=DATE(INDEX(ObjKaufJahr,5),INDEX(ObjKaufMonat,5),1)),INDEX(ObjVerwaltung,5),0)</f>
      </c>
      <c r="X58" s="43">
        <f>IF(AND(INDEX(ObjKaufJahr,5)&gt;0,DATE(Jahr,6,1)&gt;=DATE(INDEX(ObjKaufJahr,5),INDEX(ObjKaufMonat,5),1)),INDEX(ObjVerwaltung,5),0)</f>
      </c>
      <c r="Y58" s="43">
        <f>IF(AND(INDEX(ObjKaufJahr,5)&gt;0,DATE(Jahr,7,1)&gt;=DATE(INDEX(ObjKaufJahr,5),INDEX(ObjKaufMonat,5),1)),INDEX(ObjVerwaltung,5),0)</f>
      </c>
      <c r="Z58" s="43">
        <f>IF(AND(INDEX(ObjKaufJahr,5)&gt;0,DATE(Jahr,8,1)&gt;=DATE(INDEX(ObjKaufJahr,5),INDEX(ObjKaufMonat,5),1)),INDEX(ObjVerwaltung,5),0)</f>
      </c>
      <c r="AA58" s="43">
        <f>IF(AND(INDEX(ObjKaufJahr,5)&gt;0,DATE(Jahr,9,1)&gt;=DATE(INDEX(ObjKaufJahr,5),INDEX(ObjKaufMonat,5),1)),INDEX(ObjVerwaltung,5),0)</f>
      </c>
      <c r="AB58" s="43">
        <f>IF(AND(INDEX(ObjKaufJahr,5)&gt;0,DATE(Jahr,10,1)&gt;=DATE(INDEX(ObjKaufJahr,5),INDEX(ObjKaufMonat,5),1)),INDEX(ObjVerwaltung,5),0)</f>
      </c>
      <c r="AC58" s="43">
        <f>IF(AND(INDEX(ObjKaufJahr,5)&gt;0,DATE(Jahr,11,1)&gt;=DATE(INDEX(ObjKaufJahr,5),INDEX(ObjKaufMonat,5),1)),INDEX(ObjVerwaltung,5),0)</f>
      </c>
      <c r="AD58" s="43">
        <f>IF(AND(INDEX(ObjKaufJahr,5)&gt;0,DATE(Jahr,12,1)&gt;=DATE(INDEX(ObjKaufJahr,5),INDEX(ObjKaufMonat,5),1)),INDEX(ObjVerwaltung,5),0)</f>
      </c>
    </row>
    <row r="59">
      <c r="A59"/>
      <c r="B59"/>
      <c r="C59" s="16" t="inlineStr">
        <is>
          <t xml:space="preserve">Instandhaltung</t>
        </is>
      </c>
      <c r="D59" s="16" t="inlineStr">
        <is>
          <t xml:space="preserve">Bewirtschaftung</t>
        </is>
      </c>
      <c r="E59" s="30">
        <f>IF($E163="",$S59,$E163)</f>
      </c>
      <c r="F59" s="30">
        <f>IF($F163="",$T59,$F163)</f>
      </c>
      <c r="G59" s="30">
        <f>IF($G163="",$U59,$G163)</f>
      </c>
      <c r="H59" s="30">
        <f>IF($H163="",$V59,$H163)</f>
      </c>
      <c r="I59" s="30">
        <f>IF($I163="",$W59,$I163)</f>
      </c>
      <c r="J59" s="30">
        <f>IF($J163="",$X59,$J163)</f>
      </c>
      <c r="K59" s="30">
        <f>IF($K163="",$Y59,$K163)</f>
      </c>
      <c r="L59" s="30">
        <f>IF($L163="",$Z59,$L163)</f>
      </c>
      <c r="M59" s="30">
        <f>IF($M163="",$AA59,$M163)</f>
      </c>
      <c r="N59" s="30">
        <f>IF($N163="",$AB59,$N163)</f>
      </c>
      <c r="O59" s="30">
        <f>IF($O163="",$AC59,$O163)</f>
      </c>
      <c r="P59" s="30">
        <f>IF($P163="",$AD59,$P163)</f>
      </c>
      <c r="Q59" s="42">
        <f>SUM($E59:$P59)</f>
      </c>
      <c r="R59"/>
      <c r="S59" s="43">
        <f>IF(AND(INDEX(ObjKaufJahr,5)&gt;0,DATE(Jahr,1,1)&gt;=DATE(INDEX(ObjKaufJahr,5),INDEX(ObjKaufMonat,5),1)),INDEX(ObjInstand,5),0)</f>
      </c>
      <c r="T59" s="43">
        <f>IF(AND(INDEX(ObjKaufJahr,5)&gt;0,DATE(Jahr,2,1)&gt;=DATE(INDEX(ObjKaufJahr,5),INDEX(ObjKaufMonat,5),1)),INDEX(ObjInstand,5),0)</f>
      </c>
      <c r="U59" s="43">
        <f>IF(AND(INDEX(ObjKaufJahr,5)&gt;0,DATE(Jahr,3,1)&gt;=DATE(INDEX(ObjKaufJahr,5),INDEX(ObjKaufMonat,5),1)),INDEX(ObjInstand,5),0)</f>
      </c>
      <c r="V59" s="43">
        <f>IF(AND(INDEX(ObjKaufJahr,5)&gt;0,DATE(Jahr,4,1)&gt;=DATE(INDEX(ObjKaufJahr,5),INDEX(ObjKaufMonat,5),1)),INDEX(ObjInstand,5),0)</f>
      </c>
      <c r="W59" s="43">
        <f>IF(AND(INDEX(ObjKaufJahr,5)&gt;0,DATE(Jahr,5,1)&gt;=DATE(INDEX(ObjKaufJahr,5),INDEX(ObjKaufMonat,5),1)),INDEX(ObjInstand,5),0)</f>
      </c>
      <c r="X59" s="43">
        <f>IF(AND(INDEX(ObjKaufJahr,5)&gt;0,DATE(Jahr,6,1)&gt;=DATE(INDEX(ObjKaufJahr,5),INDEX(ObjKaufMonat,5),1)),INDEX(ObjInstand,5),0)</f>
      </c>
      <c r="Y59" s="43">
        <f>IF(AND(INDEX(ObjKaufJahr,5)&gt;0,DATE(Jahr,7,1)&gt;=DATE(INDEX(ObjKaufJahr,5),INDEX(ObjKaufMonat,5),1)),INDEX(ObjInstand,5),0)</f>
      </c>
      <c r="Z59" s="43">
        <f>IF(AND(INDEX(ObjKaufJahr,5)&gt;0,DATE(Jahr,8,1)&gt;=DATE(INDEX(ObjKaufJahr,5),INDEX(ObjKaufMonat,5),1)),INDEX(ObjInstand,5),0)</f>
      </c>
      <c r="AA59" s="43">
        <f>IF(AND(INDEX(ObjKaufJahr,5)&gt;0,DATE(Jahr,9,1)&gt;=DATE(INDEX(ObjKaufJahr,5),INDEX(ObjKaufMonat,5),1)),INDEX(ObjInstand,5),0)</f>
      </c>
      <c r="AB59" s="43">
        <f>IF(AND(INDEX(ObjKaufJahr,5)&gt;0,DATE(Jahr,10,1)&gt;=DATE(INDEX(ObjKaufJahr,5),INDEX(ObjKaufMonat,5),1)),INDEX(ObjInstand,5),0)</f>
      </c>
      <c r="AC59" s="43">
        <f>IF(AND(INDEX(ObjKaufJahr,5)&gt;0,DATE(Jahr,11,1)&gt;=DATE(INDEX(ObjKaufJahr,5),INDEX(ObjKaufMonat,5),1)),INDEX(ObjInstand,5),0)</f>
      </c>
      <c r="AD59" s="43">
        <f>IF(AND(INDEX(ObjKaufJahr,5)&gt;0,DATE(Jahr,12,1)&gt;=DATE(INDEX(ObjKaufJahr,5),INDEX(ObjKaufMonat,5),1)),INDEX(ObjInstand,5),0)</f>
      </c>
    </row>
    <row r="60">
      <c r="A60"/>
      <c r="B60"/>
      <c r="C60" s="16" t="inlineStr">
        <is>
          <t xml:space="preserve">Sonstige Kosten</t>
        </is>
      </c>
      <c r="D60" s="16" t="inlineStr">
        <is>
          <t xml:space="preserve">Bewirtschaftung</t>
        </is>
      </c>
      <c r="E60" s="30">
        <f>IF($E164="",$S60,$E164)</f>
      </c>
      <c r="F60" s="30">
        <f>IF($F164="",$T60,$F164)</f>
      </c>
      <c r="G60" s="30">
        <f>IF($G164="",$U60,$G164)</f>
      </c>
      <c r="H60" s="30">
        <f>IF($H164="",$V60,$H164)</f>
      </c>
      <c r="I60" s="30">
        <f>IF($I164="",$W60,$I164)</f>
      </c>
      <c r="J60" s="30">
        <f>IF($J164="",$X60,$J164)</f>
      </c>
      <c r="K60" s="30">
        <f>IF($K164="",$Y60,$K164)</f>
      </c>
      <c r="L60" s="30">
        <f>IF($L164="",$Z60,$L164)</f>
      </c>
      <c r="M60" s="30">
        <f>IF($M164="",$AA60,$M164)</f>
      </c>
      <c r="N60" s="30">
        <f>IF($N164="",$AB60,$N164)</f>
      </c>
      <c r="O60" s="30">
        <f>IF($O164="",$AC60,$O164)</f>
      </c>
      <c r="P60" s="30">
        <f>IF($P164="",$AD60,$P164)</f>
      </c>
      <c r="Q60" s="42">
        <f>SUM($E60:$P60)</f>
      </c>
      <c r="R60"/>
      <c r="S60" s="43">
        <f>IF(AND(INDEX(ObjKaufJahr,5)&gt;0,DATE(Jahr,1,1)&gt;=DATE(INDEX(ObjKaufJahr,5),INDEX(ObjKaufMonat,5),1)),INDEX(ObjSonstige,5)/12,0)</f>
      </c>
      <c r="T60" s="43">
        <f>IF(AND(INDEX(ObjKaufJahr,5)&gt;0,DATE(Jahr,2,1)&gt;=DATE(INDEX(ObjKaufJahr,5),INDEX(ObjKaufMonat,5),1)),INDEX(ObjSonstige,5)/12,0)</f>
      </c>
      <c r="U60" s="43">
        <f>IF(AND(INDEX(ObjKaufJahr,5)&gt;0,DATE(Jahr,3,1)&gt;=DATE(INDEX(ObjKaufJahr,5),INDEX(ObjKaufMonat,5),1)),INDEX(ObjSonstige,5)/12,0)</f>
      </c>
      <c r="V60" s="43">
        <f>IF(AND(INDEX(ObjKaufJahr,5)&gt;0,DATE(Jahr,4,1)&gt;=DATE(INDEX(ObjKaufJahr,5),INDEX(ObjKaufMonat,5),1)),INDEX(ObjSonstige,5)/12,0)</f>
      </c>
      <c r="W60" s="43">
        <f>IF(AND(INDEX(ObjKaufJahr,5)&gt;0,DATE(Jahr,5,1)&gt;=DATE(INDEX(ObjKaufJahr,5),INDEX(ObjKaufMonat,5),1)),INDEX(ObjSonstige,5)/12,0)</f>
      </c>
      <c r="X60" s="43">
        <f>IF(AND(INDEX(ObjKaufJahr,5)&gt;0,DATE(Jahr,6,1)&gt;=DATE(INDEX(ObjKaufJahr,5),INDEX(ObjKaufMonat,5),1)),INDEX(ObjSonstige,5)/12,0)</f>
      </c>
      <c r="Y60" s="43">
        <f>IF(AND(INDEX(ObjKaufJahr,5)&gt;0,DATE(Jahr,7,1)&gt;=DATE(INDEX(ObjKaufJahr,5),INDEX(ObjKaufMonat,5),1)),INDEX(ObjSonstige,5)/12,0)</f>
      </c>
      <c r="Z60" s="43">
        <f>IF(AND(INDEX(ObjKaufJahr,5)&gt;0,DATE(Jahr,8,1)&gt;=DATE(INDEX(ObjKaufJahr,5),INDEX(ObjKaufMonat,5),1)),INDEX(ObjSonstige,5)/12,0)</f>
      </c>
      <c r="AA60" s="43">
        <f>IF(AND(INDEX(ObjKaufJahr,5)&gt;0,DATE(Jahr,9,1)&gt;=DATE(INDEX(ObjKaufJahr,5),INDEX(ObjKaufMonat,5),1)),INDEX(ObjSonstige,5)/12,0)</f>
      </c>
      <c r="AB60" s="43">
        <f>IF(AND(INDEX(ObjKaufJahr,5)&gt;0,DATE(Jahr,10,1)&gt;=DATE(INDEX(ObjKaufJahr,5),INDEX(ObjKaufMonat,5),1)),INDEX(ObjSonstige,5)/12,0)</f>
      </c>
      <c r="AC60" s="43">
        <f>IF(AND(INDEX(ObjKaufJahr,5)&gt;0,DATE(Jahr,11,1)&gt;=DATE(INDEX(ObjKaufJahr,5),INDEX(ObjKaufMonat,5),1)),INDEX(ObjSonstige,5)/12,0)</f>
      </c>
      <c r="AD60" s="43">
        <f>IF(AND(INDEX(ObjKaufJahr,5)&gt;0,DATE(Jahr,12,1)&gt;=DATE(INDEX(ObjKaufJahr,5),INDEX(ObjKaufMonat,5),1)),INDEX(ObjSonstige,5)/12,0)</f>
      </c>
    </row>
    <row r="61">
      <c r="A61"/>
      <c r="B61"/>
      <c r="C61" s="16" t="inlineStr">
        <is>
          <t xml:space="preserve">Zinsen</t>
        </is>
      </c>
      <c r="D61" s="16" t="inlineStr">
        <is>
          <t xml:space="preserve">Finanzierung</t>
        </is>
      </c>
      <c r="E61" s="30">
        <f>IF($E165="",$S61,$E165)</f>
      </c>
      <c r="F61" s="30">
        <f>IF($F165="",$T61,$F165)</f>
      </c>
      <c r="G61" s="30">
        <f>IF($G165="",$U61,$G165)</f>
      </c>
      <c r="H61" s="30">
        <f>IF($H165="",$V61,$H165)</f>
      </c>
      <c r="I61" s="30">
        <f>IF($I165="",$W61,$I165)</f>
      </c>
      <c r="J61" s="30">
        <f>IF($J165="",$X61,$J165)</f>
      </c>
      <c r="K61" s="30">
        <f>IF($K165="",$Y61,$K165)</f>
      </c>
      <c r="L61" s="30">
        <f>IF($L165="",$Z61,$L165)</f>
      </c>
      <c r="M61" s="30">
        <f>IF($M165="",$AA61,$M165)</f>
      </c>
      <c r="N61" s="30">
        <f>IF($N165="",$AB61,$N165)</f>
      </c>
      <c r="O61" s="30">
        <f>IF($O165="",$AC61,$O165)</f>
      </c>
      <c r="P61" s="30">
        <f>IF($P165="",$AD61,$P165)</f>
      </c>
      <c r="Q61" s="42">
        <f>SUM($E61:$P61)</f>
      </c>
      <c r="R61"/>
      <c r="S61" s="43">
        <f>SUMIFS(TilgZins,TilgObj,5,TilgDatum,DATE(Jahr,1,1))</f>
      </c>
      <c r="T61" s="43">
        <f>SUMIFS(TilgZins,TilgObj,5,TilgDatum,DATE(Jahr,2,1))</f>
      </c>
      <c r="U61" s="43">
        <f>SUMIFS(TilgZins,TilgObj,5,TilgDatum,DATE(Jahr,3,1))</f>
      </c>
      <c r="V61" s="43">
        <f>SUMIFS(TilgZins,TilgObj,5,TilgDatum,DATE(Jahr,4,1))</f>
      </c>
      <c r="W61" s="43">
        <f>SUMIFS(TilgZins,TilgObj,5,TilgDatum,DATE(Jahr,5,1))</f>
      </c>
      <c r="X61" s="43">
        <f>SUMIFS(TilgZins,TilgObj,5,TilgDatum,DATE(Jahr,6,1))</f>
      </c>
      <c r="Y61" s="43">
        <f>SUMIFS(TilgZins,TilgObj,5,TilgDatum,DATE(Jahr,7,1))</f>
      </c>
      <c r="Z61" s="43">
        <f>SUMIFS(TilgZins,TilgObj,5,TilgDatum,DATE(Jahr,8,1))</f>
      </c>
      <c r="AA61" s="43">
        <f>SUMIFS(TilgZins,TilgObj,5,TilgDatum,DATE(Jahr,9,1))</f>
      </c>
      <c r="AB61" s="43">
        <f>SUMIFS(TilgZins,TilgObj,5,TilgDatum,DATE(Jahr,10,1))</f>
      </c>
      <c r="AC61" s="43">
        <f>SUMIFS(TilgZins,TilgObj,5,TilgDatum,DATE(Jahr,11,1))</f>
      </c>
      <c r="AD61" s="43">
        <f>SUMIFS(TilgZins,TilgObj,5,TilgDatum,DATE(Jahr,12,1))</f>
      </c>
    </row>
    <row r="62">
      <c r="A62"/>
      <c r="B62"/>
      <c r="C62" s="16" t="inlineStr">
        <is>
          <t xml:space="preserve">Tilgung</t>
        </is>
      </c>
      <c r="D62" s="16" t="inlineStr">
        <is>
          <t xml:space="preserve">Finanzierung</t>
        </is>
      </c>
      <c r="E62" s="30">
        <f>IF($E166="",$S62,$E166)</f>
      </c>
      <c r="F62" s="30">
        <f>IF($F166="",$T62,$F166)</f>
      </c>
      <c r="G62" s="30">
        <f>IF($G166="",$U62,$G166)</f>
      </c>
      <c r="H62" s="30">
        <f>IF($H166="",$V62,$H166)</f>
      </c>
      <c r="I62" s="30">
        <f>IF($I166="",$W62,$I166)</f>
      </c>
      <c r="J62" s="30">
        <f>IF($J166="",$X62,$J166)</f>
      </c>
      <c r="K62" s="30">
        <f>IF($K166="",$Y62,$K166)</f>
      </c>
      <c r="L62" s="30">
        <f>IF($L166="",$Z62,$L166)</f>
      </c>
      <c r="M62" s="30">
        <f>IF($M166="",$AA62,$M166)</f>
      </c>
      <c r="N62" s="30">
        <f>IF($N166="",$AB62,$N166)</f>
      </c>
      <c r="O62" s="30">
        <f>IF($O166="",$AC62,$O166)</f>
      </c>
      <c r="P62" s="30">
        <f>IF($P166="",$AD62,$P166)</f>
      </c>
      <c r="Q62" s="42">
        <f>SUM($E62:$P62)</f>
      </c>
      <c r="R62"/>
      <c r="S62" s="43">
        <f>SUMIFS(TilgTilgung,TilgObj,5,TilgDatum,DATE(Jahr,1,1))</f>
      </c>
      <c r="T62" s="43">
        <f>SUMIFS(TilgTilgung,TilgObj,5,TilgDatum,DATE(Jahr,2,1))</f>
      </c>
      <c r="U62" s="43">
        <f>SUMIFS(TilgTilgung,TilgObj,5,TilgDatum,DATE(Jahr,3,1))</f>
      </c>
      <c r="V62" s="43">
        <f>SUMIFS(TilgTilgung,TilgObj,5,TilgDatum,DATE(Jahr,4,1))</f>
      </c>
      <c r="W62" s="43">
        <f>SUMIFS(TilgTilgung,TilgObj,5,TilgDatum,DATE(Jahr,5,1))</f>
      </c>
      <c r="X62" s="43">
        <f>SUMIFS(TilgTilgung,TilgObj,5,TilgDatum,DATE(Jahr,6,1))</f>
      </c>
      <c r="Y62" s="43">
        <f>SUMIFS(TilgTilgung,TilgObj,5,TilgDatum,DATE(Jahr,7,1))</f>
      </c>
      <c r="Z62" s="43">
        <f>SUMIFS(TilgTilgung,TilgObj,5,TilgDatum,DATE(Jahr,8,1))</f>
      </c>
      <c r="AA62" s="43">
        <f>SUMIFS(TilgTilgung,TilgObj,5,TilgDatum,DATE(Jahr,9,1))</f>
      </c>
      <c r="AB62" s="43">
        <f>SUMIFS(TilgTilgung,TilgObj,5,TilgDatum,DATE(Jahr,10,1))</f>
      </c>
      <c r="AC62" s="43">
        <f>SUMIFS(TilgTilgung,TilgObj,5,TilgDatum,DATE(Jahr,11,1))</f>
      </c>
      <c r="AD62" s="43">
        <f>SUMIFS(TilgTilgung,TilgObj,5,TilgDatum,DATE(Jahr,12,1))</f>
      </c>
    </row>
    <row r="63">
      <c r="A63"/>
      <c r="B63"/>
      <c r="C63" s="16" t="inlineStr">
        <is>
          <t xml:space="preserve">Sondertilgung</t>
        </is>
      </c>
      <c r="D63" s="16" t="inlineStr">
        <is>
          <t xml:space="preserve">Finanzierung</t>
        </is>
      </c>
      <c r="E63" s="30">
        <f>IF($E167="",$S63,$E167)</f>
      </c>
      <c r="F63" s="30">
        <f>IF($F167="",$T63,$F167)</f>
      </c>
      <c r="G63" s="30">
        <f>IF($G167="",$U63,$G167)</f>
      </c>
      <c r="H63" s="30">
        <f>IF($H167="",$V63,$H167)</f>
      </c>
      <c r="I63" s="30">
        <f>IF($I167="",$W63,$I167)</f>
      </c>
      <c r="J63" s="30">
        <f>IF($J167="",$X63,$J167)</f>
      </c>
      <c r="K63" s="30">
        <f>IF($K167="",$Y63,$K167)</f>
      </c>
      <c r="L63" s="30">
        <f>IF($L167="",$Z63,$L167)</f>
      </c>
      <c r="M63" s="30">
        <f>IF($M167="",$AA63,$M167)</f>
      </c>
      <c r="N63" s="30">
        <f>IF($N167="",$AB63,$N167)</f>
      </c>
      <c r="O63" s="30">
        <f>IF($O167="",$AC63,$O167)</f>
      </c>
      <c r="P63" s="30">
        <f>IF($P167="",$AD63,$P167)</f>
      </c>
      <c r="Q63" s="42">
        <f>SUM($E63:$P63)</f>
      </c>
      <c r="R63"/>
      <c r="S63" s="43">
        <f>SUMIFS(TilgSonder,TilgObj,5,TilgDatum,DATE(Jahr,1,1))</f>
      </c>
      <c r="T63" s="43">
        <f>SUMIFS(TilgSonder,TilgObj,5,TilgDatum,DATE(Jahr,2,1))</f>
      </c>
      <c r="U63" s="43">
        <f>SUMIFS(TilgSonder,TilgObj,5,TilgDatum,DATE(Jahr,3,1))</f>
      </c>
      <c r="V63" s="43">
        <f>SUMIFS(TilgSonder,TilgObj,5,TilgDatum,DATE(Jahr,4,1))</f>
      </c>
      <c r="W63" s="43">
        <f>SUMIFS(TilgSonder,TilgObj,5,TilgDatum,DATE(Jahr,5,1))</f>
      </c>
      <c r="X63" s="43">
        <f>SUMIFS(TilgSonder,TilgObj,5,TilgDatum,DATE(Jahr,6,1))</f>
      </c>
      <c r="Y63" s="43">
        <f>SUMIFS(TilgSonder,TilgObj,5,TilgDatum,DATE(Jahr,7,1))</f>
      </c>
      <c r="Z63" s="43">
        <f>SUMIFS(TilgSonder,TilgObj,5,TilgDatum,DATE(Jahr,8,1))</f>
      </c>
      <c r="AA63" s="43">
        <f>SUMIFS(TilgSonder,TilgObj,5,TilgDatum,DATE(Jahr,9,1))</f>
      </c>
      <c r="AB63" s="43">
        <f>SUMIFS(TilgSonder,TilgObj,5,TilgDatum,DATE(Jahr,10,1))</f>
      </c>
      <c r="AC63" s="43">
        <f>SUMIFS(TilgSonder,TilgObj,5,TilgDatum,DATE(Jahr,11,1))</f>
      </c>
      <c r="AD63" s="43">
        <f>SUMIFS(TilgSonder,TilgObj,5,TilgDatum,DATE(Jahr,12,1))</f>
      </c>
    </row>
    <row r="64">
      <c r="A64"/>
      <c r="B64"/>
      <c r="C64" s="16" t="inlineStr">
        <is>
          <t xml:space="preserve">Tilgungsersatzleistung</t>
        </is>
      </c>
      <c r="D64" s="16" t="inlineStr">
        <is>
          <t xml:space="preserve">Finanzierung</t>
        </is>
      </c>
      <c r="E64" s="30">
        <f>IF($E168="",$S64,$E168)</f>
      </c>
      <c r="F64" s="30">
        <f>IF($F168="",$T64,$F168)</f>
      </c>
      <c r="G64" s="30">
        <f>IF($G168="",$U64,$G168)</f>
      </c>
      <c r="H64" s="30">
        <f>IF($H168="",$V64,$H168)</f>
      </c>
      <c r="I64" s="30">
        <f>IF($I168="",$W64,$I168)</f>
      </c>
      <c r="J64" s="30">
        <f>IF($J168="",$X64,$J168)</f>
      </c>
      <c r="K64" s="30">
        <f>IF($K168="",$Y64,$K168)</f>
      </c>
      <c r="L64" s="30">
        <f>IF($L168="",$Z64,$L168)</f>
      </c>
      <c r="M64" s="30">
        <f>IF($M168="",$AA64,$M168)</f>
      </c>
      <c r="N64" s="30">
        <f>IF($N168="",$AB64,$N168)</f>
      </c>
      <c r="O64" s="30">
        <f>IF($O168="",$AC64,$O168)</f>
      </c>
      <c r="P64" s="30">
        <f>IF($P168="",$AD64,$P168)</f>
      </c>
      <c r="Q64" s="42">
        <f>SUM($E64:$P64)</f>
      </c>
      <c r="R64"/>
      <c r="S64" s="43">
        <f>SUMIFS(TilgErsatz,TilgObj,5,TilgDatum,DATE(Jahr,1,1))</f>
      </c>
      <c r="T64" s="43">
        <f>SUMIFS(TilgErsatz,TilgObj,5,TilgDatum,DATE(Jahr,2,1))</f>
      </c>
      <c r="U64" s="43">
        <f>SUMIFS(TilgErsatz,TilgObj,5,TilgDatum,DATE(Jahr,3,1))</f>
      </c>
      <c r="V64" s="43">
        <f>SUMIFS(TilgErsatz,TilgObj,5,TilgDatum,DATE(Jahr,4,1))</f>
      </c>
      <c r="W64" s="43">
        <f>SUMIFS(TilgErsatz,TilgObj,5,TilgDatum,DATE(Jahr,5,1))</f>
      </c>
      <c r="X64" s="43">
        <f>SUMIFS(TilgErsatz,TilgObj,5,TilgDatum,DATE(Jahr,6,1))</f>
      </c>
      <c r="Y64" s="43">
        <f>SUMIFS(TilgErsatz,TilgObj,5,TilgDatum,DATE(Jahr,7,1))</f>
      </c>
      <c r="Z64" s="43">
        <f>SUMIFS(TilgErsatz,TilgObj,5,TilgDatum,DATE(Jahr,8,1))</f>
      </c>
      <c r="AA64" s="43">
        <f>SUMIFS(TilgErsatz,TilgObj,5,TilgDatum,DATE(Jahr,9,1))</f>
      </c>
      <c r="AB64" s="43">
        <f>SUMIFS(TilgErsatz,TilgObj,5,TilgDatum,DATE(Jahr,10,1))</f>
      </c>
      <c r="AC64" s="43">
        <f>SUMIFS(TilgErsatz,TilgObj,5,TilgDatum,DATE(Jahr,11,1))</f>
      </c>
      <c r="AD64" s="43">
        <f>SUMIFS(TilgErsatz,TilgObj,5,TilgDatum,DATE(Jahr,12,1))</f>
      </c>
    </row>
    <row r="65">
      <c r="A65"/>
      <c r="B65" s="6">
        <f>IF(INDEX(ObjBelegt,6)=0,"– Objekt 6 –",INDEX(ObjBezeichnung,6))</f>
      </c>
      <c r="C65" s="16" t="inlineStr">
        <is>
          <t xml:space="preserve">Mieteinnahme</t>
        </is>
      </c>
      <c r="D65" s="16" t="inlineStr">
        <is>
          <t xml:space="preserve">Einnahmen</t>
        </is>
      </c>
      <c r="E65" s="30">
        <f>IF($E169="",$S65,$E169)</f>
      </c>
      <c r="F65" s="30">
        <f>IF($F169="",$T65,$F169)</f>
      </c>
      <c r="G65" s="30">
        <f>IF($G169="",$U65,$G169)</f>
      </c>
      <c r="H65" s="30">
        <f>IF($H169="",$V65,$H169)</f>
      </c>
      <c r="I65" s="30">
        <f>IF($I169="",$W65,$I169)</f>
      </c>
      <c r="J65" s="30">
        <f>IF($J169="",$X65,$J169)</f>
      </c>
      <c r="K65" s="30">
        <f>IF($K169="",$Y65,$K169)</f>
      </c>
      <c r="L65" s="30">
        <f>IF($L169="",$Z65,$L169)</f>
      </c>
      <c r="M65" s="30">
        <f>IF($M169="",$AA65,$M169)</f>
      </c>
      <c r="N65" s="30">
        <f>IF($N169="",$AB65,$N169)</f>
      </c>
      <c r="O65" s="30">
        <f>IF($O169="",$AC65,$O169)</f>
      </c>
      <c r="P65" s="30">
        <f>IF($P169="",$AD65,$P169)</f>
      </c>
      <c r="Q65" s="42">
        <f>SUM($E65:$P65)</f>
      </c>
      <c r="R65"/>
      <c r="S65" s="43">
        <f>SUMIFS(MlM1,MlObj,6,MlJahr,Jahr)</f>
      </c>
      <c r="T65" s="43">
        <f>SUMIFS(MlM2,MlObj,6,MlJahr,Jahr)</f>
      </c>
      <c r="U65" s="43">
        <f>SUMIFS(MlM3,MlObj,6,MlJahr,Jahr)</f>
      </c>
      <c r="V65" s="43">
        <f>SUMIFS(MlM4,MlObj,6,MlJahr,Jahr)</f>
      </c>
      <c r="W65" s="43">
        <f>SUMIFS(MlM5,MlObj,6,MlJahr,Jahr)</f>
      </c>
      <c r="X65" s="43">
        <f>SUMIFS(MlM6,MlObj,6,MlJahr,Jahr)</f>
      </c>
      <c r="Y65" s="43">
        <f>SUMIFS(MlM7,MlObj,6,MlJahr,Jahr)</f>
      </c>
      <c r="Z65" s="43">
        <f>SUMIFS(MlM8,MlObj,6,MlJahr,Jahr)</f>
      </c>
      <c r="AA65" s="43">
        <f>SUMIFS(MlM9,MlObj,6,MlJahr,Jahr)</f>
      </c>
      <c r="AB65" s="43">
        <f>SUMIFS(MlM10,MlObj,6,MlJahr,Jahr)</f>
      </c>
      <c r="AC65" s="43">
        <f>SUMIFS(MlM11,MlObj,6,MlJahr,Jahr)</f>
      </c>
      <c r="AD65" s="43">
        <f>SUMIFS(MlM12,MlObj,6,MlJahr,Jahr)</f>
      </c>
    </row>
    <row r="66">
      <c r="A66"/>
      <c r="B66"/>
      <c r="C66" s="16" t="inlineStr">
        <is>
          <t xml:space="preserve">Nebenkosten-Vorauszahlung</t>
        </is>
      </c>
      <c r="D66" s="16" t="inlineStr">
        <is>
          <t xml:space="preserve">Einnahmen</t>
        </is>
      </c>
      <c r="E66" s="30">
        <f>IF($E170="",$S66,$E170)</f>
      </c>
      <c r="F66" s="30">
        <f>IF($F170="",$T66,$F170)</f>
      </c>
      <c r="G66" s="30">
        <f>IF($G170="",$U66,$G170)</f>
      </c>
      <c r="H66" s="30">
        <f>IF($H170="",$V66,$H170)</f>
      </c>
      <c r="I66" s="30">
        <f>IF($I170="",$W66,$I170)</f>
      </c>
      <c r="J66" s="30">
        <f>IF($J170="",$X66,$J170)</f>
      </c>
      <c r="K66" s="30">
        <f>IF($K170="",$Y66,$K170)</f>
      </c>
      <c r="L66" s="30">
        <f>IF($L170="",$Z66,$L170)</f>
      </c>
      <c r="M66" s="30">
        <f>IF($M170="",$AA66,$M170)</f>
      </c>
      <c r="N66" s="30">
        <f>IF($N170="",$AB66,$N170)</f>
      </c>
      <c r="O66" s="30">
        <f>IF($O170="",$AC66,$O170)</f>
      </c>
      <c r="P66" s="30">
        <f>IF($P170="",$AD66,$P170)</f>
      </c>
      <c r="Q66" s="42">
        <f>SUM($E66:$P66)</f>
      </c>
      <c r="R66"/>
      <c r="S66" s="43">
        <f>SUMIF(NkObj,6,NkM1)</f>
      </c>
      <c r="T66" s="43">
        <f>SUMIF(NkObj,6,NkM2)</f>
      </c>
      <c r="U66" s="43">
        <f>SUMIF(NkObj,6,NkM3)</f>
      </c>
      <c r="V66" s="43">
        <f>SUMIF(NkObj,6,NkM4)</f>
      </c>
      <c r="W66" s="43">
        <f>SUMIF(NkObj,6,NkM5)</f>
      </c>
      <c r="X66" s="43">
        <f>SUMIF(NkObj,6,NkM6)</f>
      </c>
      <c r="Y66" s="43">
        <f>SUMIF(NkObj,6,NkM7)</f>
      </c>
      <c r="Z66" s="43">
        <f>SUMIF(NkObj,6,NkM8)</f>
      </c>
      <c r="AA66" s="43">
        <f>SUMIF(NkObj,6,NkM9)</f>
      </c>
      <c r="AB66" s="43">
        <f>SUMIF(NkObj,6,NkM10)</f>
      </c>
      <c r="AC66" s="43">
        <f>SUMIF(NkObj,6,NkM11)</f>
      </c>
      <c r="AD66" s="43">
        <f>SUMIF(NkObj,6,NkM12)</f>
      </c>
    </row>
    <row r="67">
      <c r="A67"/>
      <c r="B67"/>
      <c r="C67" s="16" t="inlineStr">
        <is>
          <t xml:space="preserve">Hausgeld, nicht umlagefähig</t>
        </is>
      </c>
      <c r="D67" s="16" t="inlineStr">
        <is>
          <t xml:space="preserve">Bewirtschaftung</t>
        </is>
      </c>
      <c r="E67" s="30">
        <f>IF($E171="",$S67,$E171)</f>
      </c>
      <c r="F67" s="30">
        <f>IF($F171="",$T67,$F171)</f>
      </c>
      <c r="G67" s="30">
        <f>IF($G171="",$U67,$G171)</f>
      </c>
      <c r="H67" s="30">
        <f>IF($H171="",$V67,$H171)</f>
      </c>
      <c r="I67" s="30">
        <f>IF($I171="",$W67,$I171)</f>
      </c>
      <c r="J67" s="30">
        <f>IF($J171="",$X67,$J171)</f>
      </c>
      <c r="K67" s="30">
        <f>IF($K171="",$Y67,$K171)</f>
      </c>
      <c r="L67" s="30">
        <f>IF($L171="",$Z67,$L171)</f>
      </c>
      <c r="M67" s="30">
        <f>IF($M171="",$AA67,$M171)</f>
      </c>
      <c r="N67" s="30">
        <f>IF($N171="",$AB67,$N171)</f>
      </c>
      <c r="O67" s="30">
        <f>IF($O171="",$AC67,$O171)</f>
      </c>
      <c r="P67" s="30">
        <f>IF($P171="",$AD67,$P171)</f>
      </c>
      <c r="Q67" s="42">
        <f>SUM($E67:$P67)</f>
      </c>
      <c r="R67"/>
      <c r="S67" s="43">
        <f>IF(AND(INDEX(ObjKaufJahr,6)&gt;0,DATE(Jahr,1,1)&gt;=DATE(INDEX(ObjKaufJahr,6),INDEX(ObjKaufMonat,6),1)),MAX(0,INDEX(ObjHausgeld,6)-INDEX(ObjUmlage,6)),0)</f>
      </c>
      <c r="T67" s="43">
        <f>IF(AND(INDEX(ObjKaufJahr,6)&gt;0,DATE(Jahr,2,1)&gt;=DATE(INDEX(ObjKaufJahr,6),INDEX(ObjKaufMonat,6),1)),MAX(0,INDEX(ObjHausgeld,6)-INDEX(ObjUmlage,6)),0)</f>
      </c>
      <c r="U67" s="43">
        <f>IF(AND(INDEX(ObjKaufJahr,6)&gt;0,DATE(Jahr,3,1)&gt;=DATE(INDEX(ObjKaufJahr,6),INDEX(ObjKaufMonat,6),1)),MAX(0,INDEX(ObjHausgeld,6)-INDEX(ObjUmlage,6)),0)</f>
      </c>
      <c r="V67" s="43">
        <f>IF(AND(INDEX(ObjKaufJahr,6)&gt;0,DATE(Jahr,4,1)&gt;=DATE(INDEX(ObjKaufJahr,6),INDEX(ObjKaufMonat,6),1)),MAX(0,INDEX(ObjHausgeld,6)-INDEX(ObjUmlage,6)),0)</f>
      </c>
      <c r="W67" s="43">
        <f>IF(AND(INDEX(ObjKaufJahr,6)&gt;0,DATE(Jahr,5,1)&gt;=DATE(INDEX(ObjKaufJahr,6),INDEX(ObjKaufMonat,6),1)),MAX(0,INDEX(ObjHausgeld,6)-INDEX(ObjUmlage,6)),0)</f>
      </c>
      <c r="X67" s="43">
        <f>IF(AND(INDEX(ObjKaufJahr,6)&gt;0,DATE(Jahr,6,1)&gt;=DATE(INDEX(ObjKaufJahr,6),INDEX(ObjKaufMonat,6),1)),MAX(0,INDEX(ObjHausgeld,6)-INDEX(ObjUmlage,6)),0)</f>
      </c>
      <c r="Y67" s="43">
        <f>IF(AND(INDEX(ObjKaufJahr,6)&gt;0,DATE(Jahr,7,1)&gt;=DATE(INDEX(ObjKaufJahr,6),INDEX(ObjKaufMonat,6),1)),MAX(0,INDEX(ObjHausgeld,6)-INDEX(ObjUmlage,6)),0)</f>
      </c>
      <c r="Z67" s="43">
        <f>IF(AND(INDEX(ObjKaufJahr,6)&gt;0,DATE(Jahr,8,1)&gt;=DATE(INDEX(ObjKaufJahr,6),INDEX(ObjKaufMonat,6),1)),MAX(0,INDEX(ObjHausgeld,6)-INDEX(ObjUmlage,6)),0)</f>
      </c>
      <c r="AA67" s="43">
        <f>IF(AND(INDEX(ObjKaufJahr,6)&gt;0,DATE(Jahr,9,1)&gt;=DATE(INDEX(ObjKaufJahr,6),INDEX(ObjKaufMonat,6),1)),MAX(0,INDEX(ObjHausgeld,6)-INDEX(ObjUmlage,6)),0)</f>
      </c>
      <c r="AB67" s="43">
        <f>IF(AND(INDEX(ObjKaufJahr,6)&gt;0,DATE(Jahr,10,1)&gt;=DATE(INDEX(ObjKaufJahr,6),INDEX(ObjKaufMonat,6),1)),MAX(0,INDEX(ObjHausgeld,6)-INDEX(ObjUmlage,6)),0)</f>
      </c>
      <c r="AC67" s="43">
        <f>IF(AND(INDEX(ObjKaufJahr,6)&gt;0,DATE(Jahr,11,1)&gt;=DATE(INDEX(ObjKaufJahr,6),INDEX(ObjKaufMonat,6),1)),MAX(0,INDEX(ObjHausgeld,6)-INDEX(ObjUmlage,6)),0)</f>
      </c>
      <c r="AD67" s="43">
        <f>IF(AND(INDEX(ObjKaufJahr,6)&gt;0,DATE(Jahr,12,1)&gt;=DATE(INDEX(ObjKaufJahr,6),INDEX(ObjKaufMonat,6),1)),MAX(0,INDEX(ObjHausgeld,6)-INDEX(ObjUmlage,6)),0)</f>
      </c>
    </row>
    <row r="68">
      <c r="A68"/>
      <c r="B68"/>
      <c r="C68" s="16" t="inlineStr">
        <is>
          <t xml:space="preserve">Verwaltung</t>
        </is>
      </c>
      <c r="D68" s="16" t="inlineStr">
        <is>
          <t xml:space="preserve">Bewirtschaftung</t>
        </is>
      </c>
      <c r="E68" s="30">
        <f>IF($E172="",$S68,$E172)</f>
      </c>
      <c r="F68" s="30">
        <f>IF($F172="",$T68,$F172)</f>
      </c>
      <c r="G68" s="30">
        <f>IF($G172="",$U68,$G172)</f>
      </c>
      <c r="H68" s="30">
        <f>IF($H172="",$V68,$H172)</f>
      </c>
      <c r="I68" s="30">
        <f>IF($I172="",$W68,$I172)</f>
      </c>
      <c r="J68" s="30">
        <f>IF($J172="",$X68,$J172)</f>
      </c>
      <c r="K68" s="30">
        <f>IF($K172="",$Y68,$K172)</f>
      </c>
      <c r="L68" s="30">
        <f>IF($L172="",$Z68,$L172)</f>
      </c>
      <c r="M68" s="30">
        <f>IF($M172="",$AA68,$M172)</f>
      </c>
      <c r="N68" s="30">
        <f>IF($N172="",$AB68,$N172)</f>
      </c>
      <c r="O68" s="30">
        <f>IF($O172="",$AC68,$O172)</f>
      </c>
      <c r="P68" s="30">
        <f>IF($P172="",$AD68,$P172)</f>
      </c>
      <c r="Q68" s="42">
        <f>SUM($E68:$P68)</f>
      </c>
      <c r="R68"/>
      <c r="S68" s="43">
        <f>IF(AND(INDEX(ObjKaufJahr,6)&gt;0,DATE(Jahr,1,1)&gt;=DATE(INDEX(ObjKaufJahr,6),INDEX(ObjKaufMonat,6),1)),INDEX(ObjVerwaltung,6),0)</f>
      </c>
      <c r="T68" s="43">
        <f>IF(AND(INDEX(ObjKaufJahr,6)&gt;0,DATE(Jahr,2,1)&gt;=DATE(INDEX(ObjKaufJahr,6),INDEX(ObjKaufMonat,6),1)),INDEX(ObjVerwaltung,6),0)</f>
      </c>
      <c r="U68" s="43">
        <f>IF(AND(INDEX(ObjKaufJahr,6)&gt;0,DATE(Jahr,3,1)&gt;=DATE(INDEX(ObjKaufJahr,6),INDEX(ObjKaufMonat,6),1)),INDEX(ObjVerwaltung,6),0)</f>
      </c>
      <c r="V68" s="43">
        <f>IF(AND(INDEX(ObjKaufJahr,6)&gt;0,DATE(Jahr,4,1)&gt;=DATE(INDEX(ObjKaufJahr,6),INDEX(ObjKaufMonat,6),1)),INDEX(ObjVerwaltung,6),0)</f>
      </c>
      <c r="W68" s="43">
        <f>IF(AND(INDEX(ObjKaufJahr,6)&gt;0,DATE(Jahr,5,1)&gt;=DATE(INDEX(ObjKaufJahr,6),INDEX(ObjKaufMonat,6),1)),INDEX(ObjVerwaltung,6),0)</f>
      </c>
      <c r="X68" s="43">
        <f>IF(AND(INDEX(ObjKaufJahr,6)&gt;0,DATE(Jahr,6,1)&gt;=DATE(INDEX(ObjKaufJahr,6),INDEX(ObjKaufMonat,6),1)),INDEX(ObjVerwaltung,6),0)</f>
      </c>
      <c r="Y68" s="43">
        <f>IF(AND(INDEX(ObjKaufJahr,6)&gt;0,DATE(Jahr,7,1)&gt;=DATE(INDEX(ObjKaufJahr,6),INDEX(ObjKaufMonat,6),1)),INDEX(ObjVerwaltung,6),0)</f>
      </c>
      <c r="Z68" s="43">
        <f>IF(AND(INDEX(ObjKaufJahr,6)&gt;0,DATE(Jahr,8,1)&gt;=DATE(INDEX(ObjKaufJahr,6),INDEX(ObjKaufMonat,6),1)),INDEX(ObjVerwaltung,6),0)</f>
      </c>
      <c r="AA68" s="43">
        <f>IF(AND(INDEX(ObjKaufJahr,6)&gt;0,DATE(Jahr,9,1)&gt;=DATE(INDEX(ObjKaufJahr,6),INDEX(ObjKaufMonat,6),1)),INDEX(ObjVerwaltung,6),0)</f>
      </c>
      <c r="AB68" s="43">
        <f>IF(AND(INDEX(ObjKaufJahr,6)&gt;0,DATE(Jahr,10,1)&gt;=DATE(INDEX(ObjKaufJahr,6),INDEX(ObjKaufMonat,6),1)),INDEX(ObjVerwaltung,6),0)</f>
      </c>
      <c r="AC68" s="43">
        <f>IF(AND(INDEX(ObjKaufJahr,6)&gt;0,DATE(Jahr,11,1)&gt;=DATE(INDEX(ObjKaufJahr,6),INDEX(ObjKaufMonat,6),1)),INDEX(ObjVerwaltung,6),0)</f>
      </c>
      <c r="AD68" s="43">
        <f>IF(AND(INDEX(ObjKaufJahr,6)&gt;0,DATE(Jahr,12,1)&gt;=DATE(INDEX(ObjKaufJahr,6),INDEX(ObjKaufMonat,6),1)),INDEX(ObjVerwaltung,6),0)</f>
      </c>
    </row>
    <row r="69">
      <c r="A69"/>
      <c r="B69"/>
      <c r="C69" s="16" t="inlineStr">
        <is>
          <t xml:space="preserve">Instandhaltung</t>
        </is>
      </c>
      <c r="D69" s="16" t="inlineStr">
        <is>
          <t xml:space="preserve">Bewirtschaftung</t>
        </is>
      </c>
      <c r="E69" s="30">
        <f>IF($E173="",$S69,$E173)</f>
      </c>
      <c r="F69" s="30">
        <f>IF($F173="",$T69,$F173)</f>
      </c>
      <c r="G69" s="30">
        <f>IF($G173="",$U69,$G173)</f>
      </c>
      <c r="H69" s="30">
        <f>IF($H173="",$V69,$H173)</f>
      </c>
      <c r="I69" s="30">
        <f>IF($I173="",$W69,$I173)</f>
      </c>
      <c r="J69" s="30">
        <f>IF($J173="",$X69,$J173)</f>
      </c>
      <c r="K69" s="30">
        <f>IF($K173="",$Y69,$K173)</f>
      </c>
      <c r="L69" s="30">
        <f>IF($L173="",$Z69,$L173)</f>
      </c>
      <c r="M69" s="30">
        <f>IF($M173="",$AA69,$M173)</f>
      </c>
      <c r="N69" s="30">
        <f>IF($N173="",$AB69,$N173)</f>
      </c>
      <c r="O69" s="30">
        <f>IF($O173="",$AC69,$O173)</f>
      </c>
      <c r="P69" s="30">
        <f>IF($P173="",$AD69,$P173)</f>
      </c>
      <c r="Q69" s="42">
        <f>SUM($E69:$P69)</f>
      </c>
      <c r="R69"/>
      <c r="S69" s="43">
        <f>IF(AND(INDEX(ObjKaufJahr,6)&gt;0,DATE(Jahr,1,1)&gt;=DATE(INDEX(ObjKaufJahr,6),INDEX(ObjKaufMonat,6),1)),INDEX(ObjInstand,6),0)</f>
      </c>
      <c r="T69" s="43">
        <f>IF(AND(INDEX(ObjKaufJahr,6)&gt;0,DATE(Jahr,2,1)&gt;=DATE(INDEX(ObjKaufJahr,6),INDEX(ObjKaufMonat,6),1)),INDEX(ObjInstand,6),0)</f>
      </c>
      <c r="U69" s="43">
        <f>IF(AND(INDEX(ObjKaufJahr,6)&gt;0,DATE(Jahr,3,1)&gt;=DATE(INDEX(ObjKaufJahr,6),INDEX(ObjKaufMonat,6),1)),INDEX(ObjInstand,6),0)</f>
      </c>
      <c r="V69" s="43">
        <f>IF(AND(INDEX(ObjKaufJahr,6)&gt;0,DATE(Jahr,4,1)&gt;=DATE(INDEX(ObjKaufJahr,6),INDEX(ObjKaufMonat,6),1)),INDEX(ObjInstand,6),0)</f>
      </c>
      <c r="W69" s="43">
        <f>IF(AND(INDEX(ObjKaufJahr,6)&gt;0,DATE(Jahr,5,1)&gt;=DATE(INDEX(ObjKaufJahr,6),INDEX(ObjKaufMonat,6),1)),INDEX(ObjInstand,6),0)</f>
      </c>
      <c r="X69" s="43">
        <f>IF(AND(INDEX(ObjKaufJahr,6)&gt;0,DATE(Jahr,6,1)&gt;=DATE(INDEX(ObjKaufJahr,6),INDEX(ObjKaufMonat,6),1)),INDEX(ObjInstand,6),0)</f>
      </c>
      <c r="Y69" s="43">
        <f>IF(AND(INDEX(ObjKaufJahr,6)&gt;0,DATE(Jahr,7,1)&gt;=DATE(INDEX(ObjKaufJahr,6),INDEX(ObjKaufMonat,6),1)),INDEX(ObjInstand,6),0)</f>
      </c>
      <c r="Z69" s="43">
        <f>IF(AND(INDEX(ObjKaufJahr,6)&gt;0,DATE(Jahr,8,1)&gt;=DATE(INDEX(ObjKaufJahr,6),INDEX(ObjKaufMonat,6),1)),INDEX(ObjInstand,6),0)</f>
      </c>
      <c r="AA69" s="43">
        <f>IF(AND(INDEX(ObjKaufJahr,6)&gt;0,DATE(Jahr,9,1)&gt;=DATE(INDEX(ObjKaufJahr,6),INDEX(ObjKaufMonat,6),1)),INDEX(ObjInstand,6),0)</f>
      </c>
      <c r="AB69" s="43">
        <f>IF(AND(INDEX(ObjKaufJahr,6)&gt;0,DATE(Jahr,10,1)&gt;=DATE(INDEX(ObjKaufJahr,6),INDEX(ObjKaufMonat,6),1)),INDEX(ObjInstand,6),0)</f>
      </c>
      <c r="AC69" s="43">
        <f>IF(AND(INDEX(ObjKaufJahr,6)&gt;0,DATE(Jahr,11,1)&gt;=DATE(INDEX(ObjKaufJahr,6),INDEX(ObjKaufMonat,6),1)),INDEX(ObjInstand,6),0)</f>
      </c>
      <c r="AD69" s="43">
        <f>IF(AND(INDEX(ObjKaufJahr,6)&gt;0,DATE(Jahr,12,1)&gt;=DATE(INDEX(ObjKaufJahr,6),INDEX(ObjKaufMonat,6),1)),INDEX(ObjInstand,6),0)</f>
      </c>
    </row>
    <row r="70">
      <c r="A70"/>
      <c r="B70"/>
      <c r="C70" s="16" t="inlineStr">
        <is>
          <t xml:space="preserve">Sonstige Kosten</t>
        </is>
      </c>
      <c r="D70" s="16" t="inlineStr">
        <is>
          <t xml:space="preserve">Bewirtschaftung</t>
        </is>
      </c>
      <c r="E70" s="30">
        <f>IF($E174="",$S70,$E174)</f>
      </c>
      <c r="F70" s="30">
        <f>IF($F174="",$T70,$F174)</f>
      </c>
      <c r="G70" s="30">
        <f>IF($G174="",$U70,$G174)</f>
      </c>
      <c r="H70" s="30">
        <f>IF($H174="",$V70,$H174)</f>
      </c>
      <c r="I70" s="30">
        <f>IF($I174="",$W70,$I174)</f>
      </c>
      <c r="J70" s="30">
        <f>IF($J174="",$X70,$J174)</f>
      </c>
      <c r="K70" s="30">
        <f>IF($K174="",$Y70,$K174)</f>
      </c>
      <c r="L70" s="30">
        <f>IF($L174="",$Z70,$L174)</f>
      </c>
      <c r="M70" s="30">
        <f>IF($M174="",$AA70,$M174)</f>
      </c>
      <c r="N70" s="30">
        <f>IF($N174="",$AB70,$N174)</f>
      </c>
      <c r="O70" s="30">
        <f>IF($O174="",$AC70,$O174)</f>
      </c>
      <c r="P70" s="30">
        <f>IF($P174="",$AD70,$P174)</f>
      </c>
      <c r="Q70" s="42">
        <f>SUM($E70:$P70)</f>
      </c>
      <c r="R70"/>
      <c r="S70" s="43">
        <f>IF(AND(INDEX(ObjKaufJahr,6)&gt;0,DATE(Jahr,1,1)&gt;=DATE(INDEX(ObjKaufJahr,6),INDEX(ObjKaufMonat,6),1)),INDEX(ObjSonstige,6)/12,0)</f>
      </c>
      <c r="T70" s="43">
        <f>IF(AND(INDEX(ObjKaufJahr,6)&gt;0,DATE(Jahr,2,1)&gt;=DATE(INDEX(ObjKaufJahr,6),INDEX(ObjKaufMonat,6),1)),INDEX(ObjSonstige,6)/12,0)</f>
      </c>
      <c r="U70" s="43">
        <f>IF(AND(INDEX(ObjKaufJahr,6)&gt;0,DATE(Jahr,3,1)&gt;=DATE(INDEX(ObjKaufJahr,6),INDEX(ObjKaufMonat,6),1)),INDEX(ObjSonstige,6)/12,0)</f>
      </c>
      <c r="V70" s="43">
        <f>IF(AND(INDEX(ObjKaufJahr,6)&gt;0,DATE(Jahr,4,1)&gt;=DATE(INDEX(ObjKaufJahr,6),INDEX(ObjKaufMonat,6),1)),INDEX(ObjSonstige,6)/12,0)</f>
      </c>
      <c r="W70" s="43">
        <f>IF(AND(INDEX(ObjKaufJahr,6)&gt;0,DATE(Jahr,5,1)&gt;=DATE(INDEX(ObjKaufJahr,6),INDEX(ObjKaufMonat,6),1)),INDEX(ObjSonstige,6)/12,0)</f>
      </c>
      <c r="X70" s="43">
        <f>IF(AND(INDEX(ObjKaufJahr,6)&gt;0,DATE(Jahr,6,1)&gt;=DATE(INDEX(ObjKaufJahr,6),INDEX(ObjKaufMonat,6),1)),INDEX(ObjSonstige,6)/12,0)</f>
      </c>
      <c r="Y70" s="43">
        <f>IF(AND(INDEX(ObjKaufJahr,6)&gt;0,DATE(Jahr,7,1)&gt;=DATE(INDEX(ObjKaufJahr,6),INDEX(ObjKaufMonat,6),1)),INDEX(ObjSonstige,6)/12,0)</f>
      </c>
      <c r="Z70" s="43">
        <f>IF(AND(INDEX(ObjKaufJahr,6)&gt;0,DATE(Jahr,8,1)&gt;=DATE(INDEX(ObjKaufJahr,6),INDEX(ObjKaufMonat,6),1)),INDEX(ObjSonstige,6)/12,0)</f>
      </c>
      <c r="AA70" s="43">
        <f>IF(AND(INDEX(ObjKaufJahr,6)&gt;0,DATE(Jahr,9,1)&gt;=DATE(INDEX(ObjKaufJahr,6),INDEX(ObjKaufMonat,6),1)),INDEX(ObjSonstige,6)/12,0)</f>
      </c>
      <c r="AB70" s="43">
        <f>IF(AND(INDEX(ObjKaufJahr,6)&gt;0,DATE(Jahr,10,1)&gt;=DATE(INDEX(ObjKaufJahr,6),INDEX(ObjKaufMonat,6),1)),INDEX(ObjSonstige,6)/12,0)</f>
      </c>
      <c r="AC70" s="43">
        <f>IF(AND(INDEX(ObjKaufJahr,6)&gt;0,DATE(Jahr,11,1)&gt;=DATE(INDEX(ObjKaufJahr,6),INDEX(ObjKaufMonat,6),1)),INDEX(ObjSonstige,6)/12,0)</f>
      </c>
      <c r="AD70" s="43">
        <f>IF(AND(INDEX(ObjKaufJahr,6)&gt;0,DATE(Jahr,12,1)&gt;=DATE(INDEX(ObjKaufJahr,6),INDEX(ObjKaufMonat,6),1)),INDEX(ObjSonstige,6)/12,0)</f>
      </c>
    </row>
    <row r="71">
      <c r="A71"/>
      <c r="B71"/>
      <c r="C71" s="16" t="inlineStr">
        <is>
          <t xml:space="preserve">Zinsen</t>
        </is>
      </c>
      <c r="D71" s="16" t="inlineStr">
        <is>
          <t xml:space="preserve">Finanzierung</t>
        </is>
      </c>
      <c r="E71" s="30">
        <f>IF($E175="",$S71,$E175)</f>
      </c>
      <c r="F71" s="30">
        <f>IF($F175="",$T71,$F175)</f>
      </c>
      <c r="G71" s="30">
        <f>IF($G175="",$U71,$G175)</f>
      </c>
      <c r="H71" s="30">
        <f>IF($H175="",$V71,$H175)</f>
      </c>
      <c r="I71" s="30">
        <f>IF($I175="",$W71,$I175)</f>
      </c>
      <c r="J71" s="30">
        <f>IF($J175="",$X71,$J175)</f>
      </c>
      <c r="K71" s="30">
        <f>IF($K175="",$Y71,$K175)</f>
      </c>
      <c r="L71" s="30">
        <f>IF($L175="",$Z71,$L175)</f>
      </c>
      <c r="M71" s="30">
        <f>IF($M175="",$AA71,$M175)</f>
      </c>
      <c r="N71" s="30">
        <f>IF($N175="",$AB71,$N175)</f>
      </c>
      <c r="O71" s="30">
        <f>IF($O175="",$AC71,$O175)</f>
      </c>
      <c r="P71" s="30">
        <f>IF($P175="",$AD71,$P175)</f>
      </c>
      <c r="Q71" s="42">
        <f>SUM($E71:$P71)</f>
      </c>
      <c r="R71"/>
      <c r="S71" s="43">
        <f>SUMIFS(TilgZins,TilgObj,6,TilgDatum,DATE(Jahr,1,1))</f>
      </c>
      <c r="T71" s="43">
        <f>SUMIFS(TilgZins,TilgObj,6,TilgDatum,DATE(Jahr,2,1))</f>
      </c>
      <c r="U71" s="43">
        <f>SUMIFS(TilgZins,TilgObj,6,TilgDatum,DATE(Jahr,3,1))</f>
      </c>
      <c r="V71" s="43">
        <f>SUMIFS(TilgZins,TilgObj,6,TilgDatum,DATE(Jahr,4,1))</f>
      </c>
      <c r="W71" s="43">
        <f>SUMIFS(TilgZins,TilgObj,6,TilgDatum,DATE(Jahr,5,1))</f>
      </c>
      <c r="X71" s="43">
        <f>SUMIFS(TilgZins,TilgObj,6,TilgDatum,DATE(Jahr,6,1))</f>
      </c>
      <c r="Y71" s="43">
        <f>SUMIFS(TilgZins,TilgObj,6,TilgDatum,DATE(Jahr,7,1))</f>
      </c>
      <c r="Z71" s="43">
        <f>SUMIFS(TilgZins,TilgObj,6,TilgDatum,DATE(Jahr,8,1))</f>
      </c>
      <c r="AA71" s="43">
        <f>SUMIFS(TilgZins,TilgObj,6,TilgDatum,DATE(Jahr,9,1))</f>
      </c>
      <c r="AB71" s="43">
        <f>SUMIFS(TilgZins,TilgObj,6,TilgDatum,DATE(Jahr,10,1))</f>
      </c>
      <c r="AC71" s="43">
        <f>SUMIFS(TilgZins,TilgObj,6,TilgDatum,DATE(Jahr,11,1))</f>
      </c>
      <c r="AD71" s="43">
        <f>SUMIFS(TilgZins,TilgObj,6,TilgDatum,DATE(Jahr,12,1))</f>
      </c>
    </row>
    <row r="72">
      <c r="A72"/>
      <c r="B72"/>
      <c r="C72" s="16" t="inlineStr">
        <is>
          <t xml:space="preserve">Tilgung</t>
        </is>
      </c>
      <c r="D72" s="16" t="inlineStr">
        <is>
          <t xml:space="preserve">Finanzierung</t>
        </is>
      </c>
      <c r="E72" s="30">
        <f>IF($E176="",$S72,$E176)</f>
      </c>
      <c r="F72" s="30">
        <f>IF($F176="",$T72,$F176)</f>
      </c>
      <c r="G72" s="30">
        <f>IF($G176="",$U72,$G176)</f>
      </c>
      <c r="H72" s="30">
        <f>IF($H176="",$V72,$H176)</f>
      </c>
      <c r="I72" s="30">
        <f>IF($I176="",$W72,$I176)</f>
      </c>
      <c r="J72" s="30">
        <f>IF($J176="",$X72,$J176)</f>
      </c>
      <c r="K72" s="30">
        <f>IF($K176="",$Y72,$K176)</f>
      </c>
      <c r="L72" s="30">
        <f>IF($L176="",$Z72,$L176)</f>
      </c>
      <c r="M72" s="30">
        <f>IF($M176="",$AA72,$M176)</f>
      </c>
      <c r="N72" s="30">
        <f>IF($N176="",$AB72,$N176)</f>
      </c>
      <c r="O72" s="30">
        <f>IF($O176="",$AC72,$O176)</f>
      </c>
      <c r="P72" s="30">
        <f>IF($P176="",$AD72,$P176)</f>
      </c>
      <c r="Q72" s="42">
        <f>SUM($E72:$P72)</f>
      </c>
      <c r="R72"/>
      <c r="S72" s="43">
        <f>SUMIFS(TilgTilgung,TilgObj,6,TilgDatum,DATE(Jahr,1,1))</f>
      </c>
      <c r="T72" s="43">
        <f>SUMIFS(TilgTilgung,TilgObj,6,TilgDatum,DATE(Jahr,2,1))</f>
      </c>
      <c r="U72" s="43">
        <f>SUMIFS(TilgTilgung,TilgObj,6,TilgDatum,DATE(Jahr,3,1))</f>
      </c>
      <c r="V72" s="43">
        <f>SUMIFS(TilgTilgung,TilgObj,6,TilgDatum,DATE(Jahr,4,1))</f>
      </c>
      <c r="W72" s="43">
        <f>SUMIFS(TilgTilgung,TilgObj,6,TilgDatum,DATE(Jahr,5,1))</f>
      </c>
      <c r="X72" s="43">
        <f>SUMIFS(TilgTilgung,TilgObj,6,TilgDatum,DATE(Jahr,6,1))</f>
      </c>
      <c r="Y72" s="43">
        <f>SUMIFS(TilgTilgung,TilgObj,6,TilgDatum,DATE(Jahr,7,1))</f>
      </c>
      <c r="Z72" s="43">
        <f>SUMIFS(TilgTilgung,TilgObj,6,TilgDatum,DATE(Jahr,8,1))</f>
      </c>
      <c r="AA72" s="43">
        <f>SUMIFS(TilgTilgung,TilgObj,6,TilgDatum,DATE(Jahr,9,1))</f>
      </c>
      <c r="AB72" s="43">
        <f>SUMIFS(TilgTilgung,TilgObj,6,TilgDatum,DATE(Jahr,10,1))</f>
      </c>
      <c r="AC72" s="43">
        <f>SUMIFS(TilgTilgung,TilgObj,6,TilgDatum,DATE(Jahr,11,1))</f>
      </c>
      <c r="AD72" s="43">
        <f>SUMIFS(TilgTilgung,TilgObj,6,TilgDatum,DATE(Jahr,12,1))</f>
      </c>
    </row>
    <row r="73">
      <c r="A73"/>
      <c r="B73"/>
      <c r="C73" s="16" t="inlineStr">
        <is>
          <t xml:space="preserve">Sondertilgung</t>
        </is>
      </c>
      <c r="D73" s="16" t="inlineStr">
        <is>
          <t xml:space="preserve">Finanzierung</t>
        </is>
      </c>
      <c r="E73" s="30">
        <f>IF($E177="",$S73,$E177)</f>
      </c>
      <c r="F73" s="30">
        <f>IF($F177="",$T73,$F177)</f>
      </c>
      <c r="G73" s="30">
        <f>IF($G177="",$U73,$G177)</f>
      </c>
      <c r="H73" s="30">
        <f>IF($H177="",$V73,$H177)</f>
      </c>
      <c r="I73" s="30">
        <f>IF($I177="",$W73,$I177)</f>
      </c>
      <c r="J73" s="30">
        <f>IF($J177="",$X73,$J177)</f>
      </c>
      <c r="K73" s="30">
        <f>IF($K177="",$Y73,$K177)</f>
      </c>
      <c r="L73" s="30">
        <f>IF($L177="",$Z73,$L177)</f>
      </c>
      <c r="M73" s="30">
        <f>IF($M177="",$AA73,$M177)</f>
      </c>
      <c r="N73" s="30">
        <f>IF($N177="",$AB73,$N177)</f>
      </c>
      <c r="O73" s="30">
        <f>IF($O177="",$AC73,$O177)</f>
      </c>
      <c r="P73" s="30">
        <f>IF($P177="",$AD73,$P177)</f>
      </c>
      <c r="Q73" s="42">
        <f>SUM($E73:$P73)</f>
      </c>
      <c r="R73"/>
      <c r="S73" s="43">
        <f>SUMIFS(TilgSonder,TilgObj,6,TilgDatum,DATE(Jahr,1,1))</f>
      </c>
      <c r="T73" s="43">
        <f>SUMIFS(TilgSonder,TilgObj,6,TilgDatum,DATE(Jahr,2,1))</f>
      </c>
      <c r="U73" s="43">
        <f>SUMIFS(TilgSonder,TilgObj,6,TilgDatum,DATE(Jahr,3,1))</f>
      </c>
      <c r="V73" s="43">
        <f>SUMIFS(TilgSonder,TilgObj,6,TilgDatum,DATE(Jahr,4,1))</f>
      </c>
      <c r="W73" s="43">
        <f>SUMIFS(TilgSonder,TilgObj,6,TilgDatum,DATE(Jahr,5,1))</f>
      </c>
      <c r="X73" s="43">
        <f>SUMIFS(TilgSonder,TilgObj,6,TilgDatum,DATE(Jahr,6,1))</f>
      </c>
      <c r="Y73" s="43">
        <f>SUMIFS(TilgSonder,TilgObj,6,TilgDatum,DATE(Jahr,7,1))</f>
      </c>
      <c r="Z73" s="43">
        <f>SUMIFS(TilgSonder,TilgObj,6,TilgDatum,DATE(Jahr,8,1))</f>
      </c>
      <c r="AA73" s="43">
        <f>SUMIFS(TilgSonder,TilgObj,6,TilgDatum,DATE(Jahr,9,1))</f>
      </c>
      <c r="AB73" s="43">
        <f>SUMIFS(TilgSonder,TilgObj,6,TilgDatum,DATE(Jahr,10,1))</f>
      </c>
      <c r="AC73" s="43">
        <f>SUMIFS(TilgSonder,TilgObj,6,TilgDatum,DATE(Jahr,11,1))</f>
      </c>
      <c r="AD73" s="43">
        <f>SUMIFS(TilgSonder,TilgObj,6,TilgDatum,DATE(Jahr,12,1))</f>
      </c>
    </row>
    <row r="74">
      <c r="A74"/>
      <c r="B74"/>
      <c r="C74" s="16" t="inlineStr">
        <is>
          <t xml:space="preserve">Tilgungsersatzleistung</t>
        </is>
      </c>
      <c r="D74" s="16" t="inlineStr">
        <is>
          <t xml:space="preserve">Finanzierung</t>
        </is>
      </c>
      <c r="E74" s="30">
        <f>IF($E178="",$S74,$E178)</f>
      </c>
      <c r="F74" s="30">
        <f>IF($F178="",$T74,$F178)</f>
      </c>
      <c r="G74" s="30">
        <f>IF($G178="",$U74,$G178)</f>
      </c>
      <c r="H74" s="30">
        <f>IF($H178="",$V74,$H178)</f>
      </c>
      <c r="I74" s="30">
        <f>IF($I178="",$W74,$I178)</f>
      </c>
      <c r="J74" s="30">
        <f>IF($J178="",$X74,$J178)</f>
      </c>
      <c r="K74" s="30">
        <f>IF($K178="",$Y74,$K178)</f>
      </c>
      <c r="L74" s="30">
        <f>IF($L178="",$Z74,$L178)</f>
      </c>
      <c r="M74" s="30">
        <f>IF($M178="",$AA74,$M178)</f>
      </c>
      <c r="N74" s="30">
        <f>IF($N178="",$AB74,$N178)</f>
      </c>
      <c r="O74" s="30">
        <f>IF($O178="",$AC74,$O178)</f>
      </c>
      <c r="P74" s="30">
        <f>IF($P178="",$AD74,$P178)</f>
      </c>
      <c r="Q74" s="42">
        <f>SUM($E74:$P74)</f>
      </c>
      <c r="R74"/>
      <c r="S74" s="43">
        <f>SUMIFS(TilgErsatz,TilgObj,6,TilgDatum,DATE(Jahr,1,1))</f>
      </c>
      <c r="T74" s="43">
        <f>SUMIFS(TilgErsatz,TilgObj,6,TilgDatum,DATE(Jahr,2,1))</f>
      </c>
      <c r="U74" s="43">
        <f>SUMIFS(TilgErsatz,TilgObj,6,TilgDatum,DATE(Jahr,3,1))</f>
      </c>
      <c r="V74" s="43">
        <f>SUMIFS(TilgErsatz,TilgObj,6,TilgDatum,DATE(Jahr,4,1))</f>
      </c>
      <c r="W74" s="43">
        <f>SUMIFS(TilgErsatz,TilgObj,6,TilgDatum,DATE(Jahr,5,1))</f>
      </c>
      <c r="X74" s="43">
        <f>SUMIFS(TilgErsatz,TilgObj,6,TilgDatum,DATE(Jahr,6,1))</f>
      </c>
      <c r="Y74" s="43">
        <f>SUMIFS(TilgErsatz,TilgObj,6,TilgDatum,DATE(Jahr,7,1))</f>
      </c>
      <c r="Z74" s="43">
        <f>SUMIFS(TilgErsatz,TilgObj,6,TilgDatum,DATE(Jahr,8,1))</f>
      </c>
      <c r="AA74" s="43">
        <f>SUMIFS(TilgErsatz,TilgObj,6,TilgDatum,DATE(Jahr,9,1))</f>
      </c>
      <c r="AB74" s="43">
        <f>SUMIFS(TilgErsatz,TilgObj,6,TilgDatum,DATE(Jahr,10,1))</f>
      </c>
      <c r="AC74" s="43">
        <f>SUMIFS(TilgErsatz,TilgObj,6,TilgDatum,DATE(Jahr,11,1))</f>
      </c>
      <c r="AD74" s="43">
        <f>SUMIFS(TilgErsatz,TilgObj,6,TilgDatum,DATE(Jahr,12,1))</f>
      </c>
    </row>
    <row r="75">
      <c r="A75"/>
      <c r="B75" s="6">
        <f>IF(INDEX(ObjBelegt,7)=0,"– Objekt 7 –",INDEX(ObjBezeichnung,7))</f>
      </c>
      <c r="C75" s="16" t="inlineStr">
        <is>
          <t xml:space="preserve">Mieteinnahme</t>
        </is>
      </c>
      <c r="D75" s="16" t="inlineStr">
        <is>
          <t xml:space="preserve">Einnahmen</t>
        </is>
      </c>
      <c r="E75" s="30">
        <f>IF($E179="",$S75,$E179)</f>
      </c>
      <c r="F75" s="30">
        <f>IF($F179="",$T75,$F179)</f>
      </c>
      <c r="G75" s="30">
        <f>IF($G179="",$U75,$G179)</f>
      </c>
      <c r="H75" s="30">
        <f>IF($H179="",$V75,$H179)</f>
      </c>
      <c r="I75" s="30">
        <f>IF($I179="",$W75,$I179)</f>
      </c>
      <c r="J75" s="30">
        <f>IF($J179="",$X75,$J179)</f>
      </c>
      <c r="K75" s="30">
        <f>IF($K179="",$Y75,$K179)</f>
      </c>
      <c r="L75" s="30">
        <f>IF($L179="",$Z75,$L179)</f>
      </c>
      <c r="M75" s="30">
        <f>IF($M179="",$AA75,$M179)</f>
      </c>
      <c r="N75" s="30">
        <f>IF($N179="",$AB75,$N179)</f>
      </c>
      <c r="O75" s="30">
        <f>IF($O179="",$AC75,$O179)</f>
      </c>
      <c r="P75" s="30">
        <f>IF($P179="",$AD75,$P179)</f>
      </c>
      <c r="Q75" s="42">
        <f>SUM($E75:$P75)</f>
      </c>
      <c r="R75"/>
      <c r="S75" s="43">
        <f>SUMIFS(MlM1,MlObj,7,MlJahr,Jahr)</f>
      </c>
      <c r="T75" s="43">
        <f>SUMIFS(MlM2,MlObj,7,MlJahr,Jahr)</f>
      </c>
      <c r="U75" s="43">
        <f>SUMIFS(MlM3,MlObj,7,MlJahr,Jahr)</f>
      </c>
      <c r="V75" s="43">
        <f>SUMIFS(MlM4,MlObj,7,MlJahr,Jahr)</f>
      </c>
      <c r="W75" s="43">
        <f>SUMIFS(MlM5,MlObj,7,MlJahr,Jahr)</f>
      </c>
      <c r="X75" s="43">
        <f>SUMIFS(MlM6,MlObj,7,MlJahr,Jahr)</f>
      </c>
      <c r="Y75" s="43">
        <f>SUMIFS(MlM7,MlObj,7,MlJahr,Jahr)</f>
      </c>
      <c r="Z75" s="43">
        <f>SUMIFS(MlM8,MlObj,7,MlJahr,Jahr)</f>
      </c>
      <c r="AA75" s="43">
        <f>SUMIFS(MlM9,MlObj,7,MlJahr,Jahr)</f>
      </c>
      <c r="AB75" s="43">
        <f>SUMIFS(MlM10,MlObj,7,MlJahr,Jahr)</f>
      </c>
      <c r="AC75" s="43">
        <f>SUMIFS(MlM11,MlObj,7,MlJahr,Jahr)</f>
      </c>
      <c r="AD75" s="43">
        <f>SUMIFS(MlM12,MlObj,7,MlJahr,Jahr)</f>
      </c>
    </row>
    <row r="76">
      <c r="A76"/>
      <c r="B76"/>
      <c r="C76" s="16" t="inlineStr">
        <is>
          <t xml:space="preserve">Nebenkosten-Vorauszahlung</t>
        </is>
      </c>
      <c r="D76" s="16" t="inlineStr">
        <is>
          <t xml:space="preserve">Einnahmen</t>
        </is>
      </c>
      <c r="E76" s="30">
        <f>IF($E180="",$S76,$E180)</f>
      </c>
      <c r="F76" s="30">
        <f>IF($F180="",$T76,$F180)</f>
      </c>
      <c r="G76" s="30">
        <f>IF($G180="",$U76,$G180)</f>
      </c>
      <c r="H76" s="30">
        <f>IF($H180="",$V76,$H180)</f>
      </c>
      <c r="I76" s="30">
        <f>IF($I180="",$W76,$I180)</f>
      </c>
      <c r="J76" s="30">
        <f>IF($J180="",$X76,$J180)</f>
      </c>
      <c r="K76" s="30">
        <f>IF($K180="",$Y76,$K180)</f>
      </c>
      <c r="L76" s="30">
        <f>IF($L180="",$Z76,$L180)</f>
      </c>
      <c r="M76" s="30">
        <f>IF($M180="",$AA76,$M180)</f>
      </c>
      <c r="N76" s="30">
        <f>IF($N180="",$AB76,$N180)</f>
      </c>
      <c r="O76" s="30">
        <f>IF($O180="",$AC76,$O180)</f>
      </c>
      <c r="P76" s="30">
        <f>IF($P180="",$AD76,$P180)</f>
      </c>
      <c r="Q76" s="42">
        <f>SUM($E76:$P76)</f>
      </c>
      <c r="R76"/>
      <c r="S76" s="43">
        <f>SUMIF(NkObj,7,NkM1)</f>
      </c>
      <c r="T76" s="43">
        <f>SUMIF(NkObj,7,NkM2)</f>
      </c>
      <c r="U76" s="43">
        <f>SUMIF(NkObj,7,NkM3)</f>
      </c>
      <c r="V76" s="43">
        <f>SUMIF(NkObj,7,NkM4)</f>
      </c>
      <c r="W76" s="43">
        <f>SUMIF(NkObj,7,NkM5)</f>
      </c>
      <c r="X76" s="43">
        <f>SUMIF(NkObj,7,NkM6)</f>
      </c>
      <c r="Y76" s="43">
        <f>SUMIF(NkObj,7,NkM7)</f>
      </c>
      <c r="Z76" s="43">
        <f>SUMIF(NkObj,7,NkM8)</f>
      </c>
      <c r="AA76" s="43">
        <f>SUMIF(NkObj,7,NkM9)</f>
      </c>
      <c r="AB76" s="43">
        <f>SUMIF(NkObj,7,NkM10)</f>
      </c>
      <c r="AC76" s="43">
        <f>SUMIF(NkObj,7,NkM11)</f>
      </c>
      <c r="AD76" s="43">
        <f>SUMIF(NkObj,7,NkM12)</f>
      </c>
    </row>
    <row r="77">
      <c r="A77"/>
      <c r="B77"/>
      <c r="C77" s="16" t="inlineStr">
        <is>
          <t xml:space="preserve">Hausgeld, nicht umlagefähig</t>
        </is>
      </c>
      <c r="D77" s="16" t="inlineStr">
        <is>
          <t xml:space="preserve">Bewirtschaftung</t>
        </is>
      </c>
      <c r="E77" s="30">
        <f>IF($E181="",$S77,$E181)</f>
      </c>
      <c r="F77" s="30">
        <f>IF($F181="",$T77,$F181)</f>
      </c>
      <c r="G77" s="30">
        <f>IF($G181="",$U77,$G181)</f>
      </c>
      <c r="H77" s="30">
        <f>IF($H181="",$V77,$H181)</f>
      </c>
      <c r="I77" s="30">
        <f>IF($I181="",$W77,$I181)</f>
      </c>
      <c r="J77" s="30">
        <f>IF($J181="",$X77,$J181)</f>
      </c>
      <c r="K77" s="30">
        <f>IF($K181="",$Y77,$K181)</f>
      </c>
      <c r="L77" s="30">
        <f>IF($L181="",$Z77,$L181)</f>
      </c>
      <c r="M77" s="30">
        <f>IF($M181="",$AA77,$M181)</f>
      </c>
      <c r="N77" s="30">
        <f>IF($N181="",$AB77,$N181)</f>
      </c>
      <c r="O77" s="30">
        <f>IF($O181="",$AC77,$O181)</f>
      </c>
      <c r="P77" s="30">
        <f>IF($P181="",$AD77,$P181)</f>
      </c>
      <c r="Q77" s="42">
        <f>SUM($E77:$P77)</f>
      </c>
      <c r="R77"/>
      <c r="S77" s="43">
        <f>IF(AND(INDEX(ObjKaufJahr,7)&gt;0,DATE(Jahr,1,1)&gt;=DATE(INDEX(ObjKaufJahr,7),INDEX(ObjKaufMonat,7),1)),MAX(0,INDEX(ObjHausgeld,7)-INDEX(ObjUmlage,7)),0)</f>
      </c>
      <c r="T77" s="43">
        <f>IF(AND(INDEX(ObjKaufJahr,7)&gt;0,DATE(Jahr,2,1)&gt;=DATE(INDEX(ObjKaufJahr,7),INDEX(ObjKaufMonat,7),1)),MAX(0,INDEX(ObjHausgeld,7)-INDEX(ObjUmlage,7)),0)</f>
      </c>
      <c r="U77" s="43">
        <f>IF(AND(INDEX(ObjKaufJahr,7)&gt;0,DATE(Jahr,3,1)&gt;=DATE(INDEX(ObjKaufJahr,7),INDEX(ObjKaufMonat,7),1)),MAX(0,INDEX(ObjHausgeld,7)-INDEX(ObjUmlage,7)),0)</f>
      </c>
      <c r="V77" s="43">
        <f>IF(AND(INDEX(ObjKaufJahr,7)&gt;0,DATE(Jahr,4,1)&gt;=DATE(INDEX(ObjKaufJahr,7),INDEX(ObjKaufMonat,7),1)),MAX(0,INDEX(ObjHausgeld,7)-INDEX(ObjUmlage,7)),0)</f>
      </c>
      <c r="W77" s="43">
        <f>IF(AND(INDEX(ObjKaufJahr,7)&gt;0,DATE(Jahr,5,1)&gt;=DATE(INDEX(ObjKaufJahr,7),INDEX(ObjKaufMonat,7),1)),MAX(0,INDEX(ObjHausgeld,7)-INDEX(ObjUmlage,7)),0)</f>
      </c>
      <c r="X77" s="43">
        <f>IF(AND(INDEX(ObjKaufJahr,7)&gt;0,DATE(Jahr,6,1)&gt;=DATE(INDEX(ObjKaufJahr,7),INDEX(ObjKaufMonat,7),1)),MAX(0,INDEX(ObjHausgeld,7)-INDEX(ObjUmlage,7)),0)</f>
      </c>
      <c r="Y77" s="43">
        <f>IF(AND(INDEX(ObjKaufJahr,7)&gt;0,DATE(Jahr,7,1)&gt;=DATE(INDEX(ObjKaufJahr,7),INDEX(ObjKaufMonat,7),1)),MAX(0,INDEX(ObjHausgeld,7)-INDEX(ObjUmlage,7)),0)</f>
      </c>
      <c r="Z77" s="43">
        <f>IF(AND(INDEX(ObjKaufJahr,7)&gt;0,DATE(Jahr,8,1)&gt;=DATE(INDEX(ObjKaufJahr,7),INDEX(ObjKaufMonat,7),1)),MAX(0,INDEX(ObjHausgeld,7)-INDEX(ObjUmlage,7)),0)</f>
      </c>
      <c r="AA77" s="43">
        <f>IF(AND(INDEX(ObjKaufJahr,7)&gt;0,DATE(Jahr,9,1)&gt;=DATE(INDEX(ObjKaufJahr,7),INDEX(ObjKaufMonat,7),1)),MAX(0,INDEX(ObjHausgeld,7)-INDEX(ObjUmlage,7)),0)</f>
      </c>
      <c r="AB77" s="43">
        <f>IF(AND(INDEX(ObjKaufJahr,7)&gt;0,DATE(Jahr,10,1)&gt;=DATE(INDEX(ObjKaufJahr,7),INDEX(ObjKaufMonat,7),1)),MAX(0,INDEX(ObjHausgeld,7)-INDEX(ObjUmlage,7)),0)</f>
      </c>
      <c r="AC77" s="43">
        <f>IF(AND(INDEX(ObjKaufJahr,7)&gt;0,DATE(Jahr,11,1)&gt;=DATE(INDEX(ObjKaufJahr,7),INDEX(ObjKaufMonat,7),1)),MAX(0,INDEX(ObjHausgeld,7)-INDEX(ObjUmlage,7)),0)</f>
      </c>
      <c r="AD77" s="43">
        <f>IF(AND(INDEX(ObjKaufJahr,7)&gt;0,DATE(Jahr,12,1)&gt;=DATE(INDEX(ObjKaufJahr,7),INDEX(ObjKaufMonat,7),1)),MAX(0,INDEX(ObjHausgeld,7)-INDEX(ObjUmlage,7)),0)</f>
      </c>
    </row>
    <row r="78">
      <c r="A78"/>
      <c r="B78"/>
      <c r="C78" s="16" t="inlineStr">
        <is>
          <t xml:space="preserve">Verwaltung</t>
        </is>
      </c>
      <c r="D78" s="16" t="inlineStr">
        <is>
          <t xml:space="preserve">Bewirtschaftung</t>
        </is>
      </c>
      <c r="E78" s="30">
        <f>IF($E182="",$S78,$E182)</f>
      </c>
      <c r="F78" s="30">
        <f>IF($F182="",$T78,$F182)</f>
      </c>
      <c r="G78" s="30">
        <f>IF($G182="",$U78,$G182)</f>
      </c>
      <c r="H78" s="30">
        <f>IF($H182="",$V78,$H182)</f>
      </c>
      <c r="I78" s="30">
        <f>IF($I182="",$W78,$I182)</f>
      </c>
      <c r="J78" s="30">
        <f>IF($J182="",$X78,$J182)</f>
      </c>
      <c r="K78" s="30">
        <f>IF($K182="",$Y78,$K182)</f>
      </c>
      <c r="L78" s="30">
        <f>IF($L182="",$Z78,$L182)</f>
      </c>
      <c r="M78" s="30">
        <f>IF($M182="",$AA78,$M182)</f>
      </c>
      <c r="N78" s="30">
        <f>IF($N182="",$AB78,$N182)</f>
      </c>
      <c r="O78" s="30">
        <f>IF($O182="",$AC78,$O182)</f>
      </c>
      <c r="P78" s="30">
        <f>IF($P182="",$AD78,$P182)</f>
      </c>
      <c r="Q78" s="42">
        <f>SUM($E78:$P78)</f>
      </c>
      <c r="R78"/>
      <c r="S78" s="43">
        <f>IF(AND(INDEX(ObjKaufJahr,7)&gt;0,DATE(Jahr,1,1)&gt;=DATE(INDEX(ObjKaufJahr,7),INDEX(ObjKaufMonat,7),1)),INDEX(ObjVerwaltung,7),0)</f>
      </c>
      <c r="T78" s="43">
        <f>IF(AND(INDEX(ObjKaufJahr,7)&gt;0,DATE(Jahr,2,1)&gt;=DATE(INDEX(ObjKaufJahr,7),INDEX(ObjKaufMonat,7),1)),INDEX(ObjVerwaltung,7),0)</f>
      </c>
      <c r="U78" s="43">
        <f>IF(AND(INDEX(ObjKaufJahr,7)&gt;0,DATE(Jahr,3,1)&gt;=DATE(INDEX(ObjKaufJahr,7),INDEX(ObjKaufMonat,7),1)),INDEX(ObjVerwaltung,7),0)</f>
      </c>
      <c r="V78" s="43">
        <f>IF(AND(INDEX(ObjKaufJahr,7)&gt;0,DATE(Jahr,4,1)&gt;=DATE(INDEX(ObjKaufJahr,7),INDEX(ObjKaufMonat,7),1)),INDEX(ObjVerwaltung,7),0)</f>
      </c>
      <c r="W78" s="43">
        <f>IF(AND(INDEX(ObjKaufJahr,7)&gt;0,DATE(Jahr,5,1)&gt;=DATE(INDEX(ObjKaufJahr,7),INDEX(ObjKaufMonat,7),1)),INDEX(ObjVerwaltung,7),0)</f>
      </c>
      <c r="X78" s="43">
        <f>IF(AND(INDEX(ObjKaufJahr,7)&gt;0,DATE(Jahr,6,1)&gt;=DATE(INDEX(ObjKaufJahr,7),INDEX(ObjKaufMonat,7),1)),INDEX(ObjVerwaltung,7),0)</f>
      </c>
      <c r="Y78" s="43">
        <f>IF(AND(INDEX(ObjKaufJahr,7)&gt;0,DATE(Jahr,7,1)&gt;=DATE(INDEX(ObjKaufJahr,7),INDEX(ObjKaufMonat,7),1)),INDEX(ObjVerwaltung,7),0)</f>
      </c>
      <c r="Z78" s="43">
        <f>IF(AND(INDEX(ObjKaufJahr,7)&gt;0,DATE(Jahr,8,1)&gt;=DATE(INDEX(ObjKaufJahr,7),INDEX(ObjKaufMonat,7),1)),INDEX(ObjVerwaltung,7),0)</f>
      </c>
      <c r="AA78" s="43">
        <f>IF(AND(INDEX(ObjKaufJahr,7)&gt;0,DATE(Jahr,9,1)&gt;=DATE(INDEX(ObjKaufJahr,7),INDEX(ObjKaufMonat,7),1)),INDEX(ObjVerwaltung,7),0)</f>
      </c>
      <c r="AB78" s="43">
        <f>IF(AND(INDEX(ObjKaufJahr,7)&gt;0,DATE(Jahr,10,1)&gt;=DATE(INDEX(ObjKaufJahr,7),INDEX(ObjKaufMonat,7),1)),INDEX(ObjVerwaltung,7),0)</f>
      </c>
      <c r="AC78" s="43">
        <f>IF(AND(INDEX(ObjKaufJahr,7)&gt;0,DATE(Jahr,11,1)&gt;=DATE(INDEX(ObjKaufJahr,7),INDEX(ObjKaufMonat,7),1)),INDEX(ObjVerwaltung,7),0)</f>
      </c>
      <c r="AD78" s="43">
        <f>IF(AND(INDEX(ObjKaufJahr,7)&gt;0,DATE(Jahr,12,1)&gt;=DATE(INDEX(ObjKaufJahr,7),INDEX(ObjKaufMonat,7),1)),INDEX(ObjVerwaltung,7),0)</f>
      </c>
    </row>
    <row r="79">
      <c r="A79"/>
      <c r="B79"/>
      <c r="C79" s="16" t="inlineStr">
        <is>
          <t xml:space="preserve">Instandhaltung</t>
        </is>
      </c>
      <c r="D79" s="16" t="inlineStr">
        <is>
          <t xml:space="preserve">Bewirtschaftung</t>
        </is>
      </c>
      <c r="E79" s="30">
        <f>IF($E183="",$S79,$E183)</f>
      </c>
      <c r="F79" s="30">
        <f>IF($F183="",$T79,$F183)</f>
      </c>
      <c r="G79" s="30">
        <f>IF($G183="",$U79,$G183)</f>
      </c>
      <c r="H79" s="30">
        <f>IF($H183="",$V79,$H183)</f>
      </c>
      <c r="I79" s="30">
        <f>IF($I183="",$W79,$I183)</f>
      </c>
      <c r="J79" s="30">
        <f>IF($J183="",$X79,$J183)</f>
      </c>
      <c r="K79" s="30">
        <f>IF($K183="",$Y79,$K183)</f>
      </c>
      <c r="L79" s="30">
        <f>IF($L183="",$Z79,$L183)</f>
      </c>
      <c r="M79" s="30">
        <f>IF($M183="",$AA79,$M183)</f>
      </c>
      <c r="N79" s="30">
        <f>IF($N183="",$AB79,$N183)</f>
      </c>
      <c r="O79" s="30">
        <f>IF($O183="",$AC79,$O183)</f>
      </c>
      <c r="P79" s="30">
        <f>IF($P183="",$AD79,$P183)</f>
      </c>
      <c r="Q79" s="42">
        <f>SUM($E79:$P79)</f>
      </c>
      <c r="R79"/>
      <c r="S79" s="43">
        <f>IF(AND(INDEX(ObjKaufJahr,7)&gt;0,DATE(Jahr,1,1)&gt;=DATE(INDEX(ObjKaufJahr,7),INDEX(ObjKaufMonat,7),1)),INDEX(ObjInstand,7),0)</f>
      </c>
      <c r="T79" s="43">
        <f>IF(AND(INDEX(ObjKaufJahr,7)&gt;0,DATE(Jahr,2,1)&gt;=DATE(INDEX(ObjKaufJahr,7),INDEX(ObjKaufMonat,7),1)),INDEX(ObjInstand,7),0)</f>
      </c>
      <c r="U79" s="43">
        <f>IF(AND(INDEX(ObjKaufJahr,7)&gt;0,DATE(Jahr,3,1)&gt;=DATE(INDEX(ObjKaufJahr,7),INDEX(ObjKaufMonat,7),1)),INDEX(ObjInstand,7),0)</f>
      </c>
      <c r="V79" s="43">
        <f>IF(AND(INDEX(ObjKaufJahr,7)&gt;0,DATE(Jahr,4,1)&gt;=DATE(INDEX(ObjKaufJahr,7),INDEX(ObjKaufMonat,7),1)),INDEX(ObjInstand,7),0)</f>
      </c>
      <c r="W79" s="43">
        <f>IF(AND(INDEX(ObjKaufJahr,7)&gt;0,DATE(Jahr,5,1)&gt;=DATE(INDEX(ObjKaufJahr,7),INDEX(ObjKaufMonat,7),1)),INDEX(ObjInstand,7),0)</f>
      </c>
      <c r="X79" s="43">
        <f>IF(AND(INDEX(ObjKaufJahr,7)&gt;0,DATE(Jahr,6,1)&gt;=DATE(INDEX(ObjKaufJahr,7),INDEX(ObjKaufMonat,7),1)),INDEX(ObjInstand,7),0)</f>
      </c>
      <c r="Y79" s="43">
        <f>IF(AND(INDEX(ObjKaufJahr,7)&gt;0,DATE(Jahr,7,1)&gt;=DATE(INDEX(ObjKaufJahr,7),INDEX(ObjKaufMonat,7),1)),INDEX(ObjInstand,7),0)</f>
      </c>
      <c r="Z79" s="43">
        <f>IF(AND(INDEX(ObjKaufJahr,7)&gt;0,DATE(Jahr,8,1)&gt;=DATE(INDEX(ObjKaufJahr,7),INDEX(ObjKaufMonat,7),1)),INDEX(ObjInstand,7),0)</f>
      </c>
      <c r="AA79" s="43">
        <f>IF(AND(INDEX(ObjKaufJahr,7)&gt;0,DATE(Jahr,9,1)&gt;=DATE(INDEX(ObjKaufJahr,7),INDEX(ObjKaufMonat,7),1)),INDEX(ObjInstand,7),0)</f>
      </c>
      <c r="AB79" s="43">
        <f>IF(AND(INDEX(ObjKaufJahr,7)&gt;0,DATE(Jahr,10,1)&gt;=DATE(INDEX(ObjKaufJahr,7),INDEX(ObjKaufMonat,7),1)),INDEX(ObjInstand,7),0)</f>
      </c>
      <c r="AC79" s="43">
        <f>IF(AND(INDEX(ObjKaufJahr,7)&gt;0,DATE(Jahr,11,1)&gt;=DATE(INDEX(ObjKaufJahr,7),INDEX(ObjKaufMonat,7),1)),INDEX(ObjInstand,7),0)</f>
      </c>
      <c r="AD79" s="43">
        <f>IF(AND(INDEX(ObjKaufJahr,7)&gt;0,DATE(Jahr,12,1)&gt;=DATE(INDEX(ObjKaufJahr,7),INDEX(ObjKaufMonat,7),1)),INDEX(ObjInstand,7),0)</f>
      </c>
    </row>
    <row r="80">
      <c r="A80"/>
      <c r="B80"/>
      <c r="C80" s="16" t="inlineStr">
        <is>
          <t xml:space="preserve">Sonstige Kosten</t>
        </is>
      </c>
      <c r="D80" s="16" t="inlineStr">
        <is>
          <t xml:space="preserve">Bewirtschaftung</t>
        </is>
      </c>
      <c r="E80" s="30">
        <f>IF($E184="",$S80,$E184)</f>
      </c>
      <c r="F80" s="30">
        <f>IF($F184="",$T80,$F184)</f>
      </c>
      <c r="G80" s="30">
        <f>IF($G184="",$U80,$G184)</f>
      </c>
      <c r="H80" s="30">
        <f>IF($H184="",$V80,$H184)</f>
      </c>
      <c r="I80" s="30">
        <f>IF($I184="",$W80,$I184)</f>
      </c>
      <c r="J80" s="30">
        <f>IF($J184="",$X80,$J184)</f>
      </c>
      <c r="K80" s="30">
        <f>IF($K184="",$Y80,$K184)</f>
      </c>
      <c r="L80" s="30">
        <f>IF($L184="",$Z80,$L184)</f>
      </c>
      <c r="M80" s="30">
        <f>IF($M184="",$AA80,$M184)</f>
      </c>
      <c r="N80" s="30">
        <f>IF($N184="",$AB80,$N184)</f>
      </c>
      <c r="O80" s="30">
        <f>IF($O184="",$AC80,$O184)</f>
      </c>
      <c r="P80" s="30">
        <f>IF($P184="",$AD80,$P184)</f>
      </c>
      <c r="Q80" s="42">
        <f>SUM($E80:$P80)</f>
      </c>
      <c r="R80"/>
      <c r="S80" s="43">
        <f>IF(AND(INDEX(ObjKaufJahr,7)&gt;0,DATE(Jahr,1,1)&gt;=DATE(INDEX(ObjKaufJahr,7),INDEX(ObjKaufMonat,7),1)),INDEX(ObjSonstige,7)/12,0)</f>
      </c>
      <c r="T80" s="43">
        <f>IF(AND(INDEX(ObjKaufJahr,7)&gt;0,DATE(Jahr,2,1)&gt;=DATE(INDEX(ObjKaufJahr,7),INDEX(ObjKaufMonat,7),1)),INDEX(ObjSonstige,7)/12,0)</f>
      </c>
      <c r="U80" s="43">
        <f>IF(AND(INDEX(ObjKaufJahr,7)&gt;0,DATE(Jahr,3,1)&gt;=DATE(INDEX(ObjKaufJahr,7),INDEX(ObjKaufMonat,7),1)),INDEX(ObjSonstige,7)/12,0)</f>
      </c>
      <c r="V80" s="43">
        <f>IF(AND(INDEX(ObjKaufJahr,7)&gt;0,DATE(Jahr,4,1)&gt;=DATE(INDEX(ObjKaufJahr,7),INDEX(ObjKaufMonat,7),1)),INDEX(ObjSonstige,7)/12,0)</f>
      </c>
      <c r="W80" s="43">
        <f>IF(AND(INDEX(ObjKaufJahr,7)&gt;0,DATE(Jahr,5,1)&gt;=DATE(INDEX(ObjKaufJahr,7),INDEX(ObjKaufMonat,7),1)),INDEX(ObjSonstige,7)/12,0)</f>
      </c>
      <c r="X80" s="43">
        <f>IF(AND(INDEX(ObjKaufJahr,7)&gt;0,DATE(Jahr,6,1)&gt;=DATE(INDEX(ObjKaufJahr,7),INDEX(ObjKaufMonat,7),1)),INDEX(ObjSonstige,7)/12,0)</f>
      </c>
      <c r="Y80" s="43">
        <f>IF(AND(INDEX(ObjKaufJahr,7)&gt;0,DATE(Jahr,7,1)&gt;=DATE(INDEX(ObjKaufJahr,7),INDEX(ObjKaufMonat,7),1)),INDEX(ObjSonstige,7)/12,0)</f>
      </c>
      <c r="Z80" s="43">
        <f>IF(AND(INDEX(ObjKaufJahr,7)&gt;0,DATE(Jahr,8,1)&gt;=DATE(INDEX(ObjKaufJahr,7),INDEX(ObjKaufMonat,7),1)),INDEX(ObjSonstige,7)/12,0)</f>
      </c>
      <c r="AA80" s="43">
        <f>IF(AND(INDEX(ObjKaufJahr,7)&gt;0,DATE(Jahr,9,1)&gt;=DATE(INDEX(ObjKaufJahr,7),INDEX(ObjKaufMonat,7),1)),INDEX(ObjSonstige,7)/12,0)</f>
      </c>
      <c r="AB80" s="43">
        <f>IF(AND(INDEX(ObjKaufJahr,7)&gt;0,DATE(Jahr,10,1)&gt;=DATE(INDEX(ObjKaufJahr,7),INDEX(ObjKaufMonat,7),1)),INDEX(ObjSonstige,7)/12,0)</f>
      </c>
      <c r="AC80" s="43">
        <f>IF(AND(INDEX(ObjKaufJahr,7)&gt;0,DATE(Jahr,11,1)&gt;=DATE(INDEX(ObjKaufJahr,7),INDEX(ObjKaufMonat,7),1)),INDEX(ObjSonstige,7)/12,0)</f>
      </c>
      <c r="AD80" s="43">
        <f>IF(AND(INDEX(ObjKaufJahr,7)&gt;0,DATE(Jahr,12,1)&gt;=DATE(INDEX(ObjKaufJahr,7),INDEX(ObjKaufMonat,7),1)),INDEX(ObjSonstige,7)/12,0)</f>
      </c>
    </row>
    <row r="81">
      <c r="A81"/>
      <c r="B81"/>
      <c r="C81" s="16" t="inlineStr">
        <is>
          <t xml:space="preserve">Zinsen</t>
        </is>
      </c>
      <c r="D81" s="16" t="inlineStr">
        <is>
          <t xml:space="preserve">Finanzierung</t>
        </is>
      </c>
      <c r="E81" s="30">
        <f>IF($E185="",$S81,$E185)</f>
      </c>
      <c r="F81" s="30">
        <f>IF($F185="",$T81,$F185)</f>
      </c>
      <c r="G81" s="30">
        <f>IF($G185="",$U81,$G185)</f>
      </c>
      <c r="H81" s="30">
        <f>IF($H185="",$V81,$H185)</f>
      </c>
      <c r="I81" s="30">
        <f>IF($I185="",$W81,$I185)</f>
      </c>
      <c r="J81" s="30">
        <f>IF($J185="",$X81,$J185)</f>
      </c>
      <c r="K81" s="30">
        <f>IF($K185="",$Y81,$K185)</f>
      </c>
      <c r="L81" s="30">
        <f>IF($L185="",$Z81,$L185)</f>
      </c>
      <c r="M81" s="30">
        <f>IF($M185="",$AA81,$M185)</f>
      </c>
      <c r="N81" s="30">
        <f>IF($N185="",$AB81,$N185)</f>
      </c>
      <c r="O81" s="30">
        <f>IF($O185="",$AC81,$O185)</f>
      </c>
      <c r="P81" s="30">
        <f>IF($P185="",$AD81,$P185)</f>
      </c>
      <c r="Q81" s="42">
        <f>SUM($E81:$P81)</f>
      </c>
      <c r="R81"/>
      <c r="S81" s="43">
        <f>SUMIFS(TilgZins,TilgObj,7,TilgDatum,DATE(Jahr,1,1))</f>
      </c>
      <c r="T81" s="43">
        <f>SUMIFS(TilgZins,TilgObj,7,TilgDatum,DATE(Jahr,2,1))</f>
      </c>
      <c r="U81" s="43">
        <f>SUMIFS(TilgZins,TilgObj,7,TilgDatum,DATE(Jahr,3,1))</f>
      </c>
      <c r="V81" s="43">
        <f>SUMIFS(TilgZins,TilgObj,7,TilgDatum,DATE(Jahr,4,1))</f>
      </c>
      <c r="W81" s="43">
        <f>SUMIFS(TilgZins,TilgObj,7,TilgDatum,DATE(Jahr,5,1))</f>
      </c>
      <c r="X81" s="43">
        <f>SUMIFS(TilgZins,TilgObj,7,TilgDatum,DATE(Jahr,6,1))</f>
      </c>
      <c r="Y81" s="43">
        <f>SUMIFS(TilgZins,TilgObj,7,TilgDatum,DATE(Jahr,7,1))</f>
      </c>
      <c r="Z81" s="43">
        <f>SUMIFS(TilgZins,TilgObj,7,TilgDatum,DATE(Jahr,8,1))</f>
      </c>
      <c r="AA81" s="43">
        <f>SUMIFS(TilgZins,TilgObj,7,TilgDatum,DATE(Jahr,9,1))</f>
      </c>
      <c r="AB81" s="43">
        <f>SUMIFS(TilgZins,TilgObj,7,TilgDatum,DATE(Jahr,10,1))</f>
      </c>
      <c r="AC81" s="43">
        <f>SUMIFS(TilgZins,TilgObj,7,TilgDatum,DATE(Jahr,11,1))</f>
      </c>
      <c r="AD81" s="43">
        <f>SUMIFS(TilgZins,TilgObj,7,TilgDatum,DATE(Jahr,12,1))</f>
      </c>
    </row>
    <row r="82">
      <c r="A82"/>
      <c r="B82"/>
      <c r="C82" s="16" t="inlineStr">
        <is>
          <t xml:space="preserve">Tilgung</t>
        </is>
      </c>
      <c r="D82" s="16" t="inlineStr">
        <is>
          <t xml:space="preserve">Finanzierung</t>
        </is>
      </c>
      <c r="E82" s="30">
        <f>IF($E186="",$S82,$E186)</f>
      </c>
      <c r="F82" s="30">
        <f>IF($F186="",$T82,$F186)</f>
      </c>
      <c r="G82" s="30">
        <f>IF($G186="",$U82,$G186)</f>
      </c>
      <c r="H82" s="30">
        <f>IF($H186="",$V82,$H186)</f>
      </c>
      <c r="I82" s="30">
        <f>IF($I186="",$W82,$I186)</f>
      </c>
      <c r="J82" s="30">
        <f>IF($J186="",$X82,$J186)</f>
      </c>
      <c r="K82" s="30">
        <f>IF($K186="",$Y82,$K186)</f>
      </c>
      <c r="L82" s="30">
        <f>IF($L186="",$Z82,$L186)</f>
      </c>
      <c r="M82" s="30">
        <f>IF($M186="",$AA82,$M186)</f>
      </c>
      <c r="N82" s="30">
        <f>IF($N186="",$AB82,$N186)</f>
      </c>
      <c r="O82" s="30">
        <f>IF($O186="",$AC82,$O186)</f>
      </c>
      <c r="P82" s="30">
        <f>IF($P186="",$AD82,$P186)</f>
      </c>
      <c r="Q82" s="42">
        <f>SUM($E82:$P82)</f>
      </c>
      <c r="R82"/>
      <c r="S82" s="43">
        <f>SUMIFS(TilgTilgung,TilgObj,7,TilgDatum,DATE(Jahr,1,1))</f>
      </c>
      <c r="T82" s="43">
        <f>SUMIFS(TilgTilgung,TilgObj,7,TilgDatum,DATE(Jahr,2,1))</f>
      </c>
      <c r="U82" s="43">
        <f>SUMIFS(TilgTilgung,TilgObj,7,TilgDatum,DATE(Jahr,3,1))</f>
      </c>
      <c r="V82" s="43">
        <f>SUMIFS(TilgTilgung,TilgObj,7,TilgDatum,DATE(Jahr,4,1))</f>
      </c>
      <c r="W82" s="43">
        <f>SUMIFS(TilgTilgung,TilgObj,7,TilgDatum,DATE(Jahr,5,1))</f>
      </c>
      <c r="X82" s="43">
        <f>SUMIFS(TilgTilgung,TilgObj,7,TilgDatum,DATE(Jahr,6,1))</f>
      </c>
      <c r="Y82" s="43">
        <f>SUMIFS(TilgTilgung,TilgObj,7,TilgDatum,DATE(Jahr,7,1))</f>
      </c>
      <c r="Z82" s="43">
        <f>SUMIFS(TilgTilgung,TilgObj,7,TilgDatum,DATE(Jahr,8,1))</f>
      </c>
      <c r="AA82" s="43">
        <f>SUMIFS(TilgTilgung,TilgObj,7,TilgDatum,DATE(Jahr,9,1))</f>
      </c>
      <c r="AB82" s="43">
        <f>SUMIFS(TilgTilgung,TilgObj,7,TilgDatum,DATE(Jahr,10,1))</f>
      </c>
      <c r="AC82" s="43">
        <f>SUMIFS(TilgTilgung,TilgObj,7,TilgDatum,DATE(Jahr,11,1))</f>
      </c>
      <c r="AD82" s="43">
        <f>SUMIFS(TilgTilgung,TilgObj,7,TilgDatum,DATE(Jahr,12,1))</f>
      </c>
    </row>
    <row r="83">
      <c r="A83"/>
      <c r="B83"/>
      <c r="C83" s="16" t="inlineStr">
        <is>
          <t xml:space="preserve">Sondertilgung</t>
        </is>
      </c>
      <c r="D83" s="16" t="inlineStr">
        <is>
          <t xml:space="preserve">Finanzierung</t>
        </is>
      </c>
      <c r="E83" s="30">
        <f>IF($E187="",$S83,$E187)</f>
      </c>
      <c r="F83" s="30">
        <f>IF($F187="",$T83,$F187)</f>
      </c>
      <c r="G83" s="30">
        <f>IF($G187="",$U83,$G187)</f>
      </c>
      <c r="H83" s="30">
        <f>IF($H187="",$V83,$H187)</f>
      </c>
      <c r="I83" s="30">
        <f>IF($I187="",$W83,$I187)</f>
      </c>
      <c r="J83" s="30">
        <f>IF($J187="",$X83,$J187)</f>
      </c>
      <c r="K83" s="30">
        <f>IF($K187="",$Y83,$K187)</f>
      </c>
      <c r="L83" s="30">
        <f>IF($L187="",$Z83,$L187)</f>
      </c>
      <c r="M83" s="30">
        <f>IF($M187="",$AA83,$M187)</f>
      </c>
      <c r="N83" s="30">
        <f>IF($N187="",$AB83,$N187)</f>
      </c>
      <c r="O83" s="30">
        <f>IF($O187="",$AC83,$O187)</f>
      </c>
      <c r="P83" s="30">
        <f>IF($P187="",$AD83,$P187)</f>
      </c>
      <c r="Q83" s="42">
        <f>SUM($E83:$P83)</f>
      </c>
      <c r="R83"/>
      <c r="S83" s="43">
        <f>SUMIFS(TilgSonder,TilgObj,7,TilgDatum,DATE(Jahr,1,1))</f>
      </c>
      <c r="T83" s="43">
        <f>SUMIFS(TilgSonder,TilgObj,7,TilgDatum,DATE(Jahr,2,1))</f>
      </c>
      <c r="U83" s="43">
        <f>SUMIFS(TilgSonder,TilgObj,7,TilgDatum,DATE(Jahr,3,1))</f>
      </c>
      <c r="V83" s="43">
        <f>SUMIFS(TilgSonder,TilgObj,7,TilgDatum,DATE(Jahr,4,1))</f>
      </c>
      <c r="W83" s="43">
        <f>SUMIFS(TilgSonder,TilgObj,7,TilgDatum,DATE(Jahr,5,1))</f>
      </c>
      <c r="X83" s="43">
        <f>SUMIFS(TilgSonder,TilgObj,7,TilgDatum,DATE(Jahr,6,1))</f>
      </c>
      <c r="Y83" s="43">
        <f>SUMIFS(TilgSonder,TilgObj,7,TilgDatum,DATE(Jahr,7,1))</f>
      </c>
      <c r="Z83" s="43">
        <f>SUMIFS(TilgSonder,TilgObj,7,TilgDatum,DATE(Jahr,8,1))</f>
      </c>
      <c r="AA83" s="43">
        <f>SUMIFS(TilgSonder,TilgObj,7,TilgDatum,DATE(Jahr,9,1))</f>
      </c>
      <c r="AB83" s="43">
        <f>SUMIFS(TilgSonder,TilgObj,7,TilgDatum,DATE(Jahr,10,1))</f>
      </c>
      <c r="AC83" s="43">
        <f>SUMIFS(TilgSonder,TilgObj,7,TilgDatum,DATE(Jahr,11,1))</f>
      </c>
      <c r="AD83" s="43">
        <f>SUMIFS(TilgSonder,TilgObj,7,TilgDatum,DATE(Jahr,12,1))</f>
      </c>
    </row>
    <row r="84">
      <c r="A84"/>
      <c r="B84"/>
      <c r="C84" s="16" t="inlineStr">
        <is>
          <t xml:space="preserve">Tilgungsersatzleistung</t>
        </is>
      </c>
      <c r="D84" s="16" t="inlineStr">
        <is>
          <t xml:space="preserve">Finanzierung</t>
        </is>
      </c>
      <c r="E84" s="30">
        <f>IF($E188="",$S84,$E188)</f>
      </c>
      <c r="F84" s="30">
        <f>IF($F188="",$T84,$F188)</f>
      </c>
      <c r="G84" s="30">
        <f>IF($G188="",$U84,$G188)</f>
      </c>
      <c r="H84" s="30">
        <f>IF($H188="",$V84,$H188)</f>
      </c>
      <c r="I84" s="30">
        <f>IF($I188="",$W84,$I188)</f>
      </c>
      <c r="J84" s="30">
        <f>IF($J188="",$X84,$J188)</f>
      </c>
      <c r="K84" s="30">
        <f>IF($K188="",$Y84,$K188)</f>
      </c>
      <c r="L84" s="30">
        <f>IF($L188="",$Z84,$L188)</f>
      </c>
      <c r="M84" s="30">
        <f>IF($M188="",$AA84,$M188)</f>
      </c>
      <c r="N84" s="30">
        <f>IF($N188="",$AB84,$N188)</f>
      </c>
      <c r="O84" s="30">
        <f>IF($O188="",$AC84,$O188)</f>
      </c>
      <c r="P84" s="30">
        <f>IF($P188="",$AD84,$P188)</f>
      </c>
      <c r="Q84" s="42">
        <f>SUM($E84:$P84)</f>
      </c>
      <c r="R84"/>
      <c r="S84" s="43">
        <f>SUMIFS(TilgErsatz,TilgObj,7,TilgDatum,DATE(Jahr,1,1))</f>
      </c>
      <c r="T84" s="43">
        <f>SUMIFS(TilgErsatz,TilgObj,7,TilgDatum,DATE(Jahr,2,1))</f>
      </c>
      <c r="U84" s="43">
        <f>SUMIFS(TilgErsatz,TilgObj,7,TilgDatum,DATE(Jahr,3,1))</f>
      </c>
      <c r="V84" s="43">
        <f>SUMIFS(TilgErsatz,TilgObj,7,TilgDatum,DATE(Jahr,4,1))</f>
      </c>
      <c r="W84" s="43">
        <f>SUMIFS(TilgErsatz,TilgObj,7,TilgDatum,DATE(Jahr,5,1))</f>
      </c>
      <c r="X84" s="43">
        <f>SUMIFS(TilgErsatz,TilgObj,7,TilgDatum,DATE(Jahr,6,1))</f>
      </c>
      <c r="Y84" s="43">
        <f>SUMIFS(TilgErsatz,TilgObj,7,TilgDatum,DATE(Jahr,7,1))</f>
      </c>
      <c r="Z84" s="43">
        <f>SUMIFS(TilgErsatz,TilgObj,7,TilgDatum,DATE(Jahr,8,1))</f>
      </c>
      <c r="AA84" s="43">
        <f>SUMIFS(TilgErsatz,TilgObj,7,TilgDatum,DATE(Jahr,9,1))</f>
      </c>
      <c r="AB84" s="43">
        <f>SUMIFS(TilgErsatz,TilgObj,7,TilgDatum,DATE(Jahr,10,1))</f>
      </c>
      <c r="AC84" s="43">
        <f>SUMIFS(TilgErsatz,TilgObj,7,TilgDatum,DATE(Jahr,11,1))</f>
      </c>
      <c r="AD84" s="43">
        <f>SUMIFS(TilgErsatz,TilgObj,7,TilgDatum,DATE(Jahr,12,1))</f>
      </c>
    </row>
    <row r="85">
      <c r="A85"/>
      <c r="B85" s="6">
        <f>IF(INDEX(ObjBelegt,8)=0,"– Objekt 8 –",INDEX(ObjBezeichnung,8))</f>
      </c>
      <c r="C85" s="16" t="inlineStr">
        <is>
          <t xml:space="preserve">Mieteinnahme</t>
        </is>
      </c>
      <c r="D85" s="16" t="inlineStr">
        <is>
          <t xml:space="preserve">Einnahmen</t>
        </is>
      </c>
      <c r="E85" s="30">
        <f>IF($E189="",$S85,$E189)</f>
      </c>
      <c r="F85" s="30">
        <f>IF($F189="",$T85,$F189)</f>
      </c>
      <c r="G85" s="30">
        <f>IF($G189="",$U85,$G189)</f>
      </c>
      <c r="H85" s="30">
        <f>IF($H189="",$V85,$H189)</f>
      </c>
      <c r="I85" s="30">
        <f>IF($I189="",$W85,$I189)</f>
      </c>
      <c r="J85" s="30">
        <f>IF($J189="",$X85,$J189)</f>
      </c>
      <c r="K85" s="30">
        <f>IF($K189="",$Y85,$K189)</f>
      </c>
      <c r="L85" s="30">
        <f>IF($L189="",$Z85,$L189)</f>
      </c>
      <c r="M85" s="30">
        <f>IF($M189="",$AA85,$M189)</f>
      </c>
      <c r="N85" s="30">
        <f>IF($N189="",$AB85,$N189)</f>
      </c>
      <c r="O85" s="30">
        <f>IF($O189="",$AC85,$O189)</f>
      </c>
      <c r="P85" s="30">
        <f>IF($P189="",$AD85,$P189)</f>
      </c>
      <c r="Q85" s="42">
        <f>SUM($E85:$P85)</f>
      </c>
      <c r="R85"/>
      <c r="S85" s="43">
        <f>SUMIFS(MlM1,MlObj,8,MlJahr,Jahr)</f>
      </c>
      <c r="T85" s="43">
        <f>SUMIFS(MlM2,MlObj,8,MlJahr,Jahr)</f>
      </c>
      <c r="U85" s="43">
        <f>SUMIFS(MlM3,MlObj,8,MlJahr,Jahr)</f>
      </c>
      <c r="V85" s="43">
        <f>SUMIFS(MlM4,MlObj,8,MlJahr,Jahr)</f>
      </c>
      <c r="W85" s="43">
        <f>SUMIFS(MlM5,MlObj,8,MlJahr,Jahr)</f>
      </c>
      <c r="X85" s="43">
        <f>SUMIFS(MlM6,MlObj,8,MlJahr,Jahr)</f>
      </c>
      <c r="Y85" s="43">
        <f>SUMIFS(MlM7,MlObj,8,MlJahr,Jahr)</f>
      </c>
      <c r="Z85" s="43">
        <f>SUMIFS(MlM8,MlObj,8,MlJahr,Jahr)</f>
      </c>
      <c r="AA85" s="43">
        <f>SUMIFS(MlM9,MlObj,8,MlJahr,Jahr)</f>
      </c>
      <c r="AB85" s="43">
        <f>SUMIFS(MlM10,MlObj,8,MlJahr,Jahr)</f>
      </c>
      <c r="AC85" s="43">
        <f>SUMIFS(MlM11,MlObj,8,MlJahr,Jahr)</f>
      </c>
      <c r="AD85" s="43">
        <f>SUMIFS(MlM12,MlObj,8,MlJahr,Jahr)</f>
      </c>
    </row>
    <row r="86">
      <c r="A86"/>
      <c r="B86"/>
      <c r="C86" s="16" t="inlineStr">
        <is>
          <t xml:space="preserve">Nebenkosten-Vorauszahlung</t>
        </is>
      </c>
      <c r="D86" s="16" t="inlineStr">
        <is>
          <t xml:space="preserve">Einnahmen</t>
        </is>
      </c>
      <c r="E86" s="30">
        <f>IF($E190="",$S86,$E190)</f>
      </c>
      <c r="F86" s="30">
        <f>IF($F190="",$T86,$F190)</f>
      </c>
      <c r="G86" s="30">
        <f>IF($G190="",$U86,$G190)</f>
      </c>
      <c r="H86" s="30">
        <f>IF($H190="",$V86,$H190)</f>
      </c>
      <c r="I86" s="30">
        <f>IF($I190="",$W86,$I190)</f>
      </c>
      <c r="J86" s="30">
        <f>IF($J190="",$X86,$J190)</f>
      </c>
      <c r="K86" s="30">
        <f>IF($K190="",$Y86,$K190)</f>
      </c>
      <c r="L86" s="30">
        <f>IF($L190="",$Z86,$L190)</f>
      </c>
      <c r="M86" s="30">
        <f>IF($M190="",$AA86,$M190)</f>
      </c>
      <c r="N86" s="30">
        <f>IF($N190="",$AB86,$N190)</f>
      </c>
      <c r="O86" s="30">
        <f>IF($O190="",$AC86,$O190)</f>
      </c>
      <c r="P86" s="30">
        <f>IF($P190="",$AD86,$P190)</f>
      </c>
      <c r="Q86" s="42">
        <f>SUM($E86:$P86)</f>
      </c>
      <c r="R86"/>
      <c r="S86" s="43">
        <f>SUMIF(NkObj,8,NkM1)</f>
      </c>
      <c r="T86" s="43">
        <f>SUMIF(NkObj,8,NkM2)</f>
      </c>
      <c r="U86" s="43">
        <f>SUMIF(NkObj,8,NkM3)</f>
      </c>
      <c r="V86" s="43">
        <f>SUMIF(NkObj,8,NkM4)</f>
      </c>
      <c r="W86" s="43">
        <f>SUMIF(NkObj,8,NkM5)</f>
      </c>
      <c r="X86" s="43">
        <f>SUMIF(NkObj,8,NkM6)</f>
      </c>
      <c r="Y86" s="43">
        <f>SUMIF(NkObj,8,NkM7)</f>
      </c>
      <c r="Z86" s="43">
        <f>SUMIF(NkObj,8,NkM8)</f>
      </c>
      <c r="AA86" s="43">
        <f>SUMIF(NkObj,8,NkM9)</f>
      </c>
      <c r="AB86" s="43">
        <f>SUMIF(NkObj,8,NkM10)</f>
      </c>
      <c r="AC86" s="43">
        <f>SUMIF(NkObj,8,NkM11)</f>
      </c>
      <c r="AD86" s="43">
        <f>SUMIF(NkObj,8,NkM12)</f>
      </c>
    </row>
    <row r="87">
      <c r="A87"/>
      <c r="B87"/>
      <c r="C87" s="16" t="inlineStr">
        <is>
          <t xml:space="preserve">Hausgeld, nicht umlagefähig</t>
        </is>
      </c>
      <c r="D87" s="16" t="inlineStr">
        <is>
          <t xml:space="preserve">Bewirtschaftung</t>
        </is>
      </c>
      <c r="E87" s="30">
        <f>IF($E191="",$S87,$E191)</f>
      </c>
      <c r="F87" s="30">
        <f>IF($F191="",$T87,$F191)</f>
      </c>
      <c r="G87" s="30">
        <f>IF($G191="",$U87,$G191)</f>
      </c>
      <c r="H87" s="30">
        <f>IF($H191="",$V87,$H191)</f>
      </c>
      <c r="I87" s="30">
        <f>IF($I191="",$W87,$I191)</f>
      </c>
      <c r="J87" s="30">
        <f>IF($J191="",$X87,$J191)</f>
      </c>
      <c r="K87" s="30">
        <f>IF($K191="",$Y87,$K191)</f>
      </c>
      <c r="L87" s="30">
        <f>IF($L191="",$Z87,$L191)</f>
      </c>
      <c r="M87" s="30">
        <f>IF($M191="",$AA87,$M191)</f>
      </c>
      <c r="N87" s="30">
        <f>IF($N191="",$AB87,$N191)</f>
      </c>
      <c r="O87" s="30">
        <f>IF($O191="",$AC87,$O191)</f>
      </c>
      <c r="P87" s="30">
        <f>IF($P191="",$AD87,$P191)</f>
      </c>
      <c r="Q87" s="42">
        <f>SUM($E87:$P87)</f>
      </c>
      <c r="R87"/>
      <c r="S87" s="43">
        <f>IF(AND(INDEX(ObjKaufJahr,8)&gt;0,DATE(Jahr,1,1)&gt;=DATE(INDEX(ObjKaufJahr,8),INDEX(ObjKaufMonat,8),1)),MAX(0,INDEX(ObjHausgeld,8)-INDEX(ObjUmlage,8)),0)</f>
      </c>
      <c r="T87" s="43">
        <f>IF(AND(INDEX(ObjKaufJahr,8)&gt;0,DATE(Jahr,2,1)&gt;=DATE(INDEX(ObjKaufJahr,8),INDEX(ObjKaufMonat,8),1)),MAX(0,INDEX(ObjHausgeld,8)-INDEX(ObjUmlage,8)),0)</f>
      </c>
      <c r="U87" s="43">
        <f>IF(AND(INDEX(ObjKaufJahr,8)&gt;0,DATE(Jahr,3,1)&gt;=DATE(INDEX(ObjKaufJahr,8),INDEX(ObjKaufMonat,8),1)),MAX(0,INDEX(ObjHausgeld,8)-INDEX(ObjUmlage,8)),0)</f>
      </c>
      <c r="V87" s="43">
        <f>IF(AND(INDEX(ObjKaufJahr,8)&gt;0,DATE(Jahr,4,1)&gt;=DATE(INDEX(ObjKaufJahr,8),INDEX(ObjKaufMonat,8),1)),MAX(0,INDEX(ObjHausgeld,8)-INDEX(ObjUmlage,8)),0)</f>
      </c>
      <c r="W87" s="43">
        <f>IF(AND(INDEX(ObjKaufJahr,8)&gt;0,DATE(Jahr,5,1)&gt;=DATE(INDEX(ObjKaufJahr,8),INDEX(ObjKaufMonat,8),1)),MAX(0,INDEX(ObjHausgeld,8)-INDEX(ObjUmlage,8)),0)</f>
      </c>
      <c r="X87" s="43">
        <f>IF(AND(INDEX(ObjKaufJahr,8)&gt;0,DATE(Jahr,6,1)&gt;=DATE(INDEX(ObjKaufJahr,8),INDEX(ObjKaufMonat,8),1)),MAX(0,INDEX(ObjHausgeld,8)-INDEX(ObjUmlage,8)),0)</f>
      </c>
      <c r="Y87" s="43">
        <f>IF(AND(INDEX(ObjKaufJahr,8)&gt;0,DATE(Jahr,7,1)&gt;=DATE(INDEX(ObjKaufJahr,8),INDEX(ObjKaufMonat,8),1)),MAX(0,INDEX(ObjHausgeld,8)-INDEX(ObjUmlage,8)),0)</f>
      </c>
      <c r="Z87" s="43">
        <f>IF(AND(INDEX(ObjKaufJahr,8)&gt;0,DATE(Jahr,8,1)&gt;=DATE(INDEX(ObjKaufJahr,8),INDEX(ObjKaufMonat,8),1)),MAX(0,INDEX(ObjHausgeld,8)-INDEX(ObjUmlage,8)),0)</f>
      </c>
      <c r="AA87" s="43">
        <f>IF(AND(INDEX(ObjKaufJahr,8)&gt;0,DATE(Jahr,9,1)&gt;=DATE(INDEX(ObjKaufJahr,8),INDEX(ObjKaufMonat,8),1)),MAX(0,INDEX(ObjHausgeld,8)-INDEX(ObjUmlage,8)),0)</f>
      </c>
      <c r="AB87" s="43">
        <f>IF(AND(INDEX(ObjKaufJahr,8)&gt;0,DATE(Jahr,10,1)&gt;=DATE(INDEX(ObjKaufJahr,8),INDEX(ObjKaufMonat,8),1)),MAX(0,INDEX(ObjHausgeld,8)-INDEX(ObjUmlage,8)),0)</f>
      </c>
      <c r="AC87" s="43">
        <f>IF(AND(INDEX(ObjKaufJahr,8)&gt;0,DATE(Jahr,11,1)&gt;=DATE(INDEX(ObjKaufJahr,8),INDEX(ObjKaufMonat,8),1)),MAX(0,INDEX(ObjHausgeld,8)-INDEX(ObjUmlage,8)),0)</f>
      </c>
      <c r="AD87" s="43">
        <f>IF(AND(INDEX(ObjKaufJahr,8)&gt;0,DATE(Jahr,12,1)&gt;=DATE(INDEX(ObjKaufJahr,8),INDEX(ObjKaufMonat,8),1)),MAX(0,INDEX(ObjHausgeld,8)-INDEX(ObjUmlage,8)),0)</f>
      </c>
    </row>
    <row r="88">
      <c r="A88"/>
      <c r="B88"/>
      <c r="C88" s="16" t="inlineStr">
        <is>
          <t xml:space="preserve">Verwaltung</t>
        </is>
      </c>
      <c r="D88" s="16" t="inlineStr">
        <is>
          <t xml:space="preserve">Bewirtschaftung</t>
        </is>
      </c>
      <c r="E88" s="30">
        <f>IF($E192="",$S88,$E192)</f>
      </c>
      <c r="F88" s="30">
        <f>IF($F192="",$T88,$F192)</f>
      </c>
      <c r="G88" s="30">
        <f>IF($G192="",$U88,$G192)</f>
      </c>
      <c r="H88" s="30">
        <f>IF($H192="",$V88,$H192)</f>
      </c>
      <c r="I88" s="30">
        <f>IF($I192="",$W88,$I192)</f>
      </c>
      <c r="J88" s="30">
        <f>IF($J192="",$X88,$J192)</f>
      </c>
      <c r="K88" s="30">
        <f>IF($K192="",$Y88,$K192)</f>
      </c>
      <c r="L88" s="30">
        <f>IF($L192="",$Z88,$L192)</f>
      </c>
      <c r="M88" s="30">
        <f>IF($M192="",$AA88,$M192)</f>
      </c>
      <c r="N88" s="30">
        <f>IF($N192="",$AB88,$N192)</f>
      </c>
      <c r="O88" s="30">
        <f>IF($O192="",$AC88,$O192)</f>
      </c>
      <c r="P88" s="30">
        <f>IF($P192="",$AD88,$P192)</f>
      </c>
      <c r="Q88" s="42">
        <f>SUM($E88:$P88)</f>
      </c>
      <c r="R88"/>
      <c r="S88" s="43">
        <f>IF(AND(INDEX(ObjKaufJahr,8)&gt;0,DATE(Jahr,1,1)&gt;=DATE(INDEX(ObjKaufJahr,8),INDEX(ObjKaufMonat,8),1)),INDEX(ObjVerwaltung,8),0)</f>
      </c>
      <c r="T88" s="43">
        <f>IF(AND(INDEX(ObjKaufJahr,8)&gt;0,DATE(Jahr,2,1)&gt;=DATE(INDEX(ObjKaufJahr,8),INDEX(ObjKaufMonat,8),1)),INDEX(ObjVerwaltung,8),0)</f>
      </c>
      <c r="U88" s="43">
        <f>IF(AND(INDEX(ObjKaufJahr,8)&gt;0,DATE(Jahr,3,1)&gt;=DATE(INDEX(ObjKaufJahr,8),INDEX(ObjKaufMonat,8),1)),INDEX(ObjVerwaltung,8),0)</f>
      </c>
      <c r="V88" s="43">
        <f>IF(AND(INDEX(ObjKaufJahr,8)&gt;0,DATE(Jahr,4,1)&gt;=DATE(INDEX(ObjKaufJahr,8),INDEX(ObjKaufMonat,8),1)),INDEX(ObjVerwaltung,8),0)</f>
      </c>
      <c r="W88" s="43">
        <f>IF(AND(INDEX(ObjKaufJahr,8)&gt;0,DATE(Jahr,5,1)&gt;=DATE(INDEX(ObjKaufJahr,8),INDEX(ObjKaufMonat,8),1)),INDEX(ObjVerwaltung,8),0)</f>
      </c>
      <c r="X88" s="43">
        <f>IF(AND(INDEX(ObjKaufJahr,8)&gt;0,DATE(Jahr,6,1)&gt;=DATE(INDEX(ObjKaufJahr,8),INDEX(ObjKaufMonat,8),1)),INDEX(ObjVerwaltung,8),0)</f>
      </c>
      <c r="Y88" s="43">
        <f>IF(AND(INDEX(ObjKaufJahr,8)&gt;0,DATE(Jahr,7,1)&gt;=DATE(INDEX(ObjKaufJahr,8),INDEX(ObjKaufMonat,8),1)),INDEX(ObjVerwaltung,8),0)</f>
      </c>
      <c r="Z88" s="43">
        <f>IF(AND(INDEX(ObjKaufJahr,8)&gt;0,DATE(Jahr,8,1)&gt;=DATE(INDEX(ObjKaufJahr,8),INDEX(ObjKaufMonat,8),1)),INDEX(ObjVerwaltung,8),0)</f>
      </c>
      <c r="AA88" s="43">
        <f>IF(AND(INDEX(ObjKaufJahr,8)&gt;0,DATE(Jahr,9,1)&gt;=DATE(INDEX(ObjKaufJahr,8),INDEX(ObjKaufMonat,8),1)),INDEX(ObjVerwaltung,8),0)</f>
      </c>
      <c r="AB88" s="43">
        <f>IF(AND(INDEX(ObjKaufJahr,8)&gt;0,DATE(Jahr,10,1)&gt;=DATE(INDEX(ObjKaufJahr,8),INDEX(ObjKaufMonat,8),1)),INDEX(ObjVerwaltung,8),0)</f>
      </c>
      <c r="AC88" s="43">
        <f>IF(AND(INDEX(ObjKaufJahr,8)&gt;0,DATE(Jahr,11,1)&gt;=DATE(INDEX(ObjKaufJahr,8),INDEX(ObjKaufMonat,8),1)),INDEX(ObjVerwaltung,8),0)</f>
      </c>
      <c r="AD88" s="43">
        <f>IF(AND(INDEX(ObjKaufJahr,8)&gt;0,DATE(Jahr,12,1)&gt;=DATE(INDEX(ObjKaufJahr,8),INDEX(ObjKaufMonat,8),1)),INDEX(ObjVerwaltung,8),0)</f>
      </c>
    </row>
    <row r="89">
      <c r="A89"/>
      <c r="B89"/>
      <c r="C89" s="16" t="inlineStr">
        <is>
          <t xml:space="preserve">Instandhaltung</t>
        </is>
      </c>
      <c r="D89" s="16" t="inlineStr">
        <is>
          <t xml:space="preserve">Bewirtschaftung</t>
        </is>
      </c>
      <c r="E89" s="30">
        <f>IF($E193="",$S89,$E193)</f>
      </c>
      <c r="F89" s="30">
        <f>IF($F193="",$T89,$F193)</f>
      </c>
      <c r="G89" s="30">
        <f>IF($G193="",$U89,$G193)</f>
      </c>
      <c r="H89" s="30">
        <f>IF($H193="",$V89,$H193)</f>
      </c>
      <c r="I89" s="30">
        <f>IF($I193="",$W89,$I193)</f>
      </c>
      <c r="J89" s="30">
        <f>IF($J193="",$X89,$J193)</f>
      </c>
      <c r="K89" s="30">
        <f>IF($K193="",$Y89,$K193)</f>
      </c>
      <c r="L89" s="30">
        <f>IF($L193="",$Z89,$L193)</f>
      </c>
      <c r="M89" s="30">
        <f>IF($M193="",$AA89,$M193)</f>
      </c>
      <c r="N89" s="30">
        <f>IF($N193="",$AB89,$N193)</f>
      </c>
      <c r="O89" s="30">
        <f>IF($O193="",$AC89,$O193)</f>
      </c>
      <c r="P89" s="30">
        <f>IF($P193="",$AD89,$P193)</f>
      </c>
      <c r="Q89" s="42">
        <f>SUM($E89:$P89)</f>
      </c>
      <c r="R89"/>
      <c r="S89" s="43">
        <f>IF(AND(INDEX(ObjKaufJahr,8)&gt;0,DATE(Jahr,1,1)&gt;=DATE(INDEX(ObjKaufJahr,8),INDEX(ObjKaufMonat,8),1)),INDEX(ObjInstand,8),0)</f>
      </c>
      <c r="T89" s="43">
        <f>IF(AND(INDEX(ObjKaufJahr,8)&gt;0,DATE(Jahr,2,1)&gt;=DATE(INDEX(ObjKaufJahr,8),INDEX(ObjKaufMonat,8),1)),INDEX(ObjInstand,8),0)</f>
      </c>
      <c r="U89" s="43">
        <f>IF(AND(INDEX(ObjKaufJahr,8)&gt;0,DATE(Jahr,3,1)&gt;=DATE(INDEX(ObjKaufJahr,8),INDEX(ObjKaufMonat,8),1)),INDEX(ObjInstand,8),0)</f>
      </c>
      <c r="V89" s="43">
        <f>IF(AND(INDEX(ObjKaufJahr,8)&gt;0,DATE(Jahr,4,1)&gt;=DATE(INDEX(ObjKaufJahr,8),INDEX(ObjKaufMonat,8),1)),INDEX(ObjInstand,8),0)</f>
      </c>
      <c r="W89" s="43">
        <f>IF(AND(INDEX(ObjKaufJahr,8)&gt;0,DATE(Jahr,5,1)&gt;=DATE(INDEX(ObjKaufJahr,8),INDEX(ObjKaufMonat,8),1)),INDEX(ObjInstand,8),0)</f>
      </c>
      <c r="X89" s="43">
        <f>IF(AND(INDEX(ObjKaufJahr,8)&gt;0,DATE(Jahr,6,1)&gt;=DATE(INDEX(ObjKaufJahr,8),INDEX(ObjKaufMonat,8),1)),INDEX(ObjInstand,8),0)</f>
      </c>
      <c r="Y89" s="43">
        <f>IF(AND(INDEX(ObjKaufJahr,8)&gt;0,DATE(Jahr,7,1)&gt;=DATE(INDEX(ObjKaufJahr,8),INDEX(ObjKaufMonat,8),1)),INDEX(ObjInstand,8),0)</f>
      </c>
      <c r="Z89" s="43">
        <f>IF(AND(INDEX(ObjKaufJahr,8)&gt;0,DATE(Jahr,8,1)&gt;=DATE(INDEX(ObjKaufJahr,8),INDEX(ObjKaufMonat,8),1)),INDEX(ObjInstand,8),0)</f>
      </c>
      <c r="AA89" s="43">
        <f>IF(AND(INDEX(ObjKaufJahr,8)&gt;0,DATE(Jahr,9,1)&gt;=DATE(INDEX(ObjKaufJahr,8),INDEX(ObjKaufMonat,8),1)),INDEX(ObjInstand,8),0)</f>
      </c>
      <c r="AB89" s="43">
        <f>IF(AND(INDEX(ObjKaufJahr,8)&gt;0,DATE(Jahr,10,1)&gt;=DATE(INDEX(ObjKaufJahr,8),INDEX(ObjKaufMonat,8),1)),INDEX(ObjInstand,8),0)</f>
      </c>
      <c r="AC89" s="43">
        <f>IF(AND(INDEX(ObjKaufJahr,8)&gt;0,DATE(Jahr,11,1)&gt;=DATE(INDEX(ObjKaufJahr,8),INDEX(ObjKaufMonat,8),1)),INDEX(ObjInstand,8),0)</f>
      </c>
      <c r="AD89" s="43">
        <f>IF(AND(INDEX(ObjKaufJahr,8)&gt;0,DATE(Jahr,12,1)&gt;=DATE(INDEX(ObjKaufJahr,8),INDEX(ObjKaufMonat,8),1)),INDEX(ObjInstand,8),0)</f>
      </c>
    </row>
    <row r="90">
      <c r="A90"/>
      <c r="B90"/>
      <c r="C90" s="16" t="inlineStr">
        <is>
          <t xml:space="preserve">Sonstige Kosten</t>
        </is>
      </c>
      <c r="D90" s="16" t="inlineStr">
        <is>
          <t xml:space="preserve">Bewirtschaftung</t>
        </is>
      </c>
      <c r="E90" s="30">
        <f>IF($E194="",$S90,$E194)</f>
      </c>
      <c r="F90" s="30">
        <f>IF($F194="",$T90,$F194)</f>
      </c>
      <c r="G90" s="30">
        <f>IF($G194="",$U90,$G194)</f>
      </c>
      <c r="H90" s="30">
        <f>IF($H194="",$V90,$H194)</f>
      </c>
      <c r="I90" s="30">
        <f>IF($I194="",$W90,$I194)</f>
      </c>
      <c r="J90" s="30">
        <f>IF($J194="",$X90,$J194)</f>
      </c>
      <c r="K90" s="30">
        <f>IF($K194="",$Y90,$K194)</f>
      </c>
      <c r="L90" s="30">
        <f>IF($L194="",$Z90,$L194)</f>
      </c>
      <c r="M90" s="30">
        <f>IF($M194="",$AA90,$M194)</f>
      </c>
      <c r="N90" s="30">
        <f>IF($N194="",$AB90,$N194)</f>
      </c>
      <c r="O90" s="30">
        <f>IF($O194="",$AC90,$O194)</f>
      </c>
      <c r="P90" s="30">
        <f>IF($P194="",$AD90,$P194)</f>
      </c>
      <c r="Q90" s="42">
        <f>SUM($E90:$P90)</f>
      </c>
      <c r="R90"/>
      <c r="S90" s="43">
        <f>IF(AND(INDEX(ObjKaufJahr,8)&gt;0,DATE(Jahr,1,1)&gt;=DATE(INDEX(ObjKaufJahr,8),INDEX(ObjKaufMonat,8),1)),INDEX(ObjSonstige,8)/12,0)</f>
      </c>
      <c r="T90" s="43">
        <f>IF(AND(INDEX(ObjKaufJahr,8)&gt;0,DATE(Jahr,2,1)&gt;=DATE(INDEX(ObjKaufJahr,8),INDEX(ObjKaufMonat,8),1)),INDEX(ObjSonstige,8)/12,0)</f>
      </c>
      <c r="U90" s="43">
        <f>IF(AND(INDEX(ObjKaufJahr,8)&gt;0,DATE(Jahr,3,1)&gt;=DATE(INDEX(ObjKaufJahr,8),INDEX(ObjKaufMonat,8),1)),INDEX(ObjSonstige,8)/12,0)</f>
      </c>
      <c r="V90" s="43">
        <f>IF(AND(INDEX(ObjKaufJahr,8)&gt;0,DATE(Jahr,4,1)&gt;=DATE(INDEX(ObjKaufJahr,8),INDEX(ObjKaufMonat,8),1)),INDEX(ObjSonstige,8)/12,0)</f>
      </c>
      <c r="W90" s="43">
        <f>IF(AND(INDEX(ObjKaufJahr,8)&gt;0,DATE(Jahr,5,1)&gt;=DATE(INDEX(ObjKaufJahr,8),INDEX(ObjKaufMonat,8),1)),INDEX(ObjSonstige,8)/12,0)</f>
      </c>
      <c r="X90" s="43">
        <f>IF(AND(INDEX(ObjKaufJahr,8)&gt;0,DATE(Jahr,6,1)&gt;=DATE(INDEX(ObjKaufJahr,8),INDEX(ObjKaufMonat,8),1)),INDEX(ObjSonstige,8)/12,0)</f>
      </c>
      <c r="Y90" s="43">
        <f>IF(AND(INDEX(ObjKaufJahr,8)&gt;0,DATE(Jahr,7,1)&gt;=DATE(INDEX(ObjKaufJahr,8),INDEX(ObjKaufMonat,8),1)),INDEX(ObjSonstige,8)/12,0)</f>
      </c>
      <c r="Z90" s="43">
        <f>IF(AND(INDEX(ObjKaufJahr,8)&gt;0,DATE(Jahr,8,1)&gt;=DATE(INDEX(ObjKaufJahr,8),INDEX(ObjKaufMonat,8),1)),INDEX(ObjSonstige,8)/12,0)</f>
      </c>
      <c r="AA90" s="43">
        <f>IF(AND(INDEX(ObjKaufJahr,8)&gt;0,DATE(Jahr,9,1)&gt;=DATE(INDEX(ObjKaufJahr,8),INDEX(ObjKaufMonat,8),1)),INDEX(ObjSonstige,8)/12,0)</f>
      </c>
      <c r="AB90" s="43">
        <f>IF(AND(INDEX(ObjKaufJahr,8)&gt;0,DATE(Jahr,10,1)&gt;=DATE(INDEX(ObjKaufJahr,8),INDEX(ObjKaufMonat,8),1)),INDEX(ObjSonstige,8)/12,0)</f>
      </c>
      <c r="AC90" s="43">
        <f>IF(AND(INDEX(ObjKaufJahr,8)&gt;0,DATE(Jahr,11,1)&gt;=DATE(INDEX(ObjKaufJahr,8),INDEX(ObjKaufMonat,8),1)),INDEX(ObjSonstige,8)/12,0)</f>
      </c>
      <c r="AD90" s="43">
        <f>IF(AND(INDEX(ObjKaufJahr,8)&gt;0,DATE(Jahr,12,1)&gt;=DATE(INDEX(ObjKaufJahr,8),INDEX(ObjKaufMonat,8),1)),INDEX(ObjSonstige,8)/12,0)</f>
      </c>
    </row>
    <row r="91">
      <c r="A91"/>
      <c r="B91"/>
      <c r="C91" s="16" t="inlineStr">
        <is>
          <t xml:space="preserve">Zinsen</t>
        </is>
      </c>
      <c r="D91" s="16" t="inlineStr">
        <is>
          <t xml:space="preserve">Finanzierung</t>
        </is>
      </c>
      <c r="E91" s="30">
        <f>IF($E195="",$S91,$E195)</f>
      </c>
      <c r="F91" s="30">
        <f>IF($F195="",$T91,$F195)</f>
      </c>
      <c r="G91" s="30">
        <f>IF($G195="",$U91,$G195)</f>
      </c>
      <c r="H91" s="30">
        <f>IF($H195="",$V91,$H195)</f>
      </c>
      <c r="I91" s="30">
        <f>IF($I195="",$W91,$I195)</f>
      </c>
      <c r="J91" s="30">
        <f>IF($J195="",$X91,$J195)</f>
      </c>
      <c r="K91" s="30">
        <f>IF($K195="",$Y91,$K195)</f>
      </c>
      <c r="L91" s="30">
        <f>IF($L195="",$Z91,$L195)</f>
      </c>
      <c r="M91" s="30">
        <f>IF($M195="",$AA91,$M195)</f>
      </c>
      <c r="N91" s="30">
        <f>IF($N195="",$AB91,$N195)</f>
      </c>
      <c r="O91" s="30">
        <f>IF($O195="",$AC91,$O195)</f>
      </c>
      <c r="P91" s="30">
        <f>IF($P195="",$AD91,$P195)</f>
      </c>
      <c r="Q91" s="42">
        <f>SUM($E91:$P91)</f>
      </c>
      <c r="R91"/>
      <c r="S91" s="43">
        <f>SUMIFS(TilgZins,TilgObj,8,TilgDatum,DATE(Jahr,1,1))</f>
      </c>
      <c r="T91" s="43">
        <f>SUMIFS(TilgZins,TilgObj,8,TilgDatum,DATE(Jahr,2,1))</f>
      </c>
      <c r="U91" s="43">
        <f>SUMIFS(TilgZins,TilgObj,8,TilgDatum,DATE(Jahr,3,1))</f>
      </c>
      <c r="V91" s="43">
        <f>SUMIFS(TilgZins,TilgObj,8,TilgDatum,DATE(Jahr,4,1))</f>
      </c>
      <c r="W91" s="43">
        <f>SUMIFS(TilgZins,TilgObj,8,TilgDatum,DATE(Jahr,5,1))</f>
      </c>
      <c r="X91" s="43">
        <f>SUMIFS(TilgZins,TilgObj,8,TilgDatum,DATE(Jahr,6,1))</f>
      </c>
      <c r="Y91" s="43">
        <f>SUMIFS(TilgZins,TilgObj,8,TilgDatum,DATE(Jahr,7,1))</f>
      </c>
      <c r="Z91" s="43">
        <f>SUMIFS(TilgZins,TilgObj,8,TilgDatum,DATE(Jahr,8,1))</f>
      </c>
      <c r="AA91" s="43">
        <f>SUMIFS(TilgZins,TilgObj,8,TilgDatum,DATE(Jahr,9,1))</f>
      </c>
      <c r="AB91" s="43">
        <f>SUMIFS(TilgZins,TilgObj,8,TilgDatum,DATE(Jahr,10,1))</f>
      </c>
      <c r="AC91" s="43">
        <f>SUMIFS(TilgZins,TilgObj,8,TilgDatum,DATE(Jahr,11,1))</f>
      </c>
      <c r="AD91" s="43">
        <f>SUMIFS(TilgZins,TilgObj,8,TilgDatum,DATE(Jahr,12,1))</f>
      </c>
    </row>
    <row r="92">
      <c r="A92"/>
      <c r="B92"/>
      <c r="C92" s="16" t="inlineStr">
        <is>
          <t xml:space="preserve">Tilgung</t>
        </is>
      </c>
      <c r="D92" s="16" t="inlineStr">
        <is>
          <t xml:space="preserve">Finanzierung</t>
        </is>
      </c>
      <c r="E92" s="30">
        <f>IF($E196="",$S92,$E196)</f>
      </c>
      <c r="F92" s="30">
        <f>IF($F196="",$T92,$F196)</f>
      </c>
      <c r="G92" s="30">
        <f>IF($G196="",$U92,$G196)</f>
      </c>
      <c r="H92" s="30">
        <f>IF($H196="",$V92,$H196)</f>
      </c>
      <c r="I92" s="30">
        <f>IF($I196="",$W92,$I196)</f>
      </c>
      <c r="J92" s="30">
        <f>IF($J196="",$X92,$J196)</f>
      </c>
      <c r="K92" s="30">
        <f>IF($K196="",$Y92,$K196)</f>
      </c>
      <c r="L92" s="30">
        <f>IF($L196="",$Z92,$L196)</f>
      </c>
      <c r="M92" s="30">
        <f>IF($M196="",$AA92,$M196)</f>
      </c>
      <c r="N92" s="30">
        <f>IF($N196="",$AB92,$N196)</f>
      </c>
      <c r="O92" s="30">
        <f>IF($O196="",$AC92,$O196)</f>
      </c>
      <c r="P92" s="30">
        <f>IF($P196="",$AD92,$P196)</f>
      </c>
      <c r="Q92" s="42">
        <f>SUM($E92:$P92)</f>
      </c>
      <c r="R92"/>
      <c r="S92" s="43">
        <f>SUMIFS(TilgTilgung,TilgObj,8,TilgDatum,DATE(Jahr,1,1))</f>
      </c>
      <c r="T92" s="43">
        <f>SUMIFS(TilgTilgung,TilgObj,8,TilgDatum,DATE(Jahr,2,1))</f>
      </c>
      <c r="U92" s="43">
        <f>SUMIFS(TilgTilgung,TilgObj,8,TilgDatum,DATE(Jahr,3,1))</f>
      </c>
      <c r="V92" s="43">
        <f>SUMIFS(TilgTilgung,TilgObj,8,TilgDatum,DATE(Jahr,4,1))</f>
      </c>
      <c r="W92" s="43">
        <f>SUMIFS(TilgTilgung,TilgObj,8,TilgDatum,DATE(Jahr,5,1))</f>
      </c>
      <c r="X92" s="43">
        <f>SUMIFS(TilgTilgung,TilgObj,8,TilgDatum,DATE(Jahr,6,1))</f>
      </c>
      <c r="Y92" s="43">
        <f>SUMIFS(TilgTilgung,TilgObj,8,TilgDatum,DATE(Jahr,7,1))</f>
      </c>
      <c r="Z92" s="43">
        <f>SUMIFS(TilgTilgung,TilgObj,8,TilgDatum,DATE(Jahr,8,1))</f>
      </c>
      <c r="AA92" s="43">
        <f>SUMIFS(TilgTilgung,TilgObj,8,TilgDatum,DATE(Jahr,9,1))</f>
      </c>
      <c r="AB92" s="43">
        <f>SUMIFS(TilgTilgung,TilgObj,8,TilgDatum,DATE(Jahr,10,1))</f>
      </c>
      <c r="AC92" s="43">
        <f>SUMIFS(TilgTilgung,TilgObj,8,TilgDatum,DATE(Jahr,11,1))</f>
      </c>
      <c r="AD92" s="43">
        <f>SUMIFS(TilgTilgung,TilgObj,8,TilgDatum,DATE(Jahr,12,1))</f>
      </c>
    </row>
    <row r="93">
      <c r="A93"/>
      <c r="B93"/>
      <c r="C93" s="16" t="inlineStr">
        <is>
          <t xml:space="preserve">Sondertilgung</t>
        </is>
      </c>
      <c r="D93" s="16" t="inlineStr">
        <is>
          <t xml:space="preserve">Finanzierung</t>
        </is>
      </c>
      <c r="E93" s="30">
        <f>IF($E197="",$S93,$E197)</f>
      </c>
      <c r="F93" s="30">
        <f>IF($F197="",$T93,$F197)</f>
      </c>
      <c r="G93" s="30">
        <f>IF($G197="",$U93,$G197)</f>
      </c>
      <c r="H93" s="30">
        <f>IF($H197="",$V93,$H197)</f>
      </c>
      <c r="I93" s="30">
        <f>IF($I197="",$W93,$I197)</f>
      </c>
      <c r="J93" s="30">
        <f>IF($J197="",$X93,$J197)</f>
      </c>
      <c r="K93" s="30">
        <f>IF($K197="",$Y93,$K197)</f>
      </c>
      <c r="L93" s="30">
        <f>IF($L197="",$Z93,$L197)</f>
      </c>
      <c r="M93" s="30">
        <f>IF($M197="",$AA93,$M197)</f>
      </c>
      <c r="N93" s="30">
        <f>IF($N197="",$AB93,$N197)</f>
      </c>
      <c r="O93" s="30">
        <f>IF($O197="",$AC93,$O197)</f>
      </c>
      <c r="P93" s="30">
        <f>IF($P197="",$AD93,$P197)</f>
      </c>
      <c r="Q93" s="42">
        <f>SUM($E93:$P93)</f>
      </c>
      <c r="R93"/>
      <c r="S93" s="43">
        <f>SUMIFS(TilgSonder,TilgObj,8,TilgDatum,DATE(Jahr,1,1))</f>
      </c>
      <c r="T93" s="43">
        <f>SUMIFS(TilgSonder,TilgObj,8,TilgDatum,DATE(Jahr,2,1))</f>
      </c>
      <c r="U93" s="43">
        <f>SUMIFS(TilgSonder,TilgObj,8,TilgDatum,DATE(Jahr,3,1))</f>
      </c>
      <c r="V93" s="43">
        <f>SUMIFS(TilgSonder,TilgObj,8,TilgDatum,DATE(Jahr,4,1))</f>
      </c>
      <c r="W93" s="43">
        <f>SUMIFS(TilgSonder,TilgObj,8,TilgDatum,DATE(Jahr,5,1))</f>
      </c>
      <c r="X93" s="43">
        <f>SUMIFS(TilgSonder,TilgObj,8,TilgDatum,DATE(Jahr,6,1))</f>
      </c>
      <c r="Y93" s="43">
        <f>SUMIFS(TilgSonder,TilgObj,8,TilgDatum,DATE(Jahr,7,1))</f>
      </c>
      <c r="Z93" s="43">
        <f>SUMIFS(TilgSonder,TilgObj,8,TilgDatum,DATE(Jahr,8,1))</f>
      </c>
      <c r="AA93" s="43">
        <f>SUMIFS(TilgSonder,TilgObj,8,TilgDatum,DATE(Jahr,9,1))</f>
      </c>
      <c r="AB93" s="43">
        <f>SUMIFS(TilgSonder,TilgObj,8,TilgDatum,DATE(Jahr,10,1))</f>
      </c>
      <c r="AC93" s="43">
        <f>SUMIFS(TilgSonder,TilgObj,8,TilgDatum,DATE(Jahr,11,1))</f>
      </c>
      <c r="AD93" s="43">
        <f>SUMIFS(TilgSonder,TilgObj,8,TilgDatum,DATE(Jahr,12,1))</f>
      </c>
    </row>
    <row r="94">
      <c r="A94"/>
      <c r="B94"/>
      <c r="C94" s="16" t="inlineStr">
        <is>
          <t xml:space="preserve">Tilgungsersatzleistung</t>
        </is>
      </c>
      <c r="D94" s="16" t="inlineStr">
        <is>
          <t xml:space="preserve">Finanzierung</t>
        </is>
      </c>
      <c r="E94" s="30">
        <f>IF($E198="",$S94,$E198)</f>
      </c>
      <c r="F94" s="30">
        <f>IF($F198="",$T94,$F198)</f>
      </c>
      <c r="G94" s="30">
        <f>IF($G198="",$U94,$G198)</f>
      </c>
      <c r="H94" s="30">
        <f>IF($H198="",$V94,$H198)</f>
      </c>
      <c r="I94" s="30">
        <f>IF($I198="",$W94,$I198)</f>
      </c>
      <c r="J94" s="30">
        <f>IF($J198="",$X94,$J198)</f>
      </c>
      <c r="K94" s="30">
        <f>IF($K198="",$Y94,$K198)</f>
      </c>
      <c r="L94" s="30">
        <f>IF($L198="",$Z94,$L198)</f>
      </c>
      <c r="M94" s="30">
        <f>IF($M198="",$AA94,$M198)</f>
      </c>
      <c r="N94" s="30">
        <f>IF($N198="",$AB94,$N198)</f>
      </c>
      <c r="O94" s="30">
        <f>IF($O198="",$AC94,$O198)</f>
      </c>
      <c r="P94" s="30">
        <f>IF($P198="",$AD94,$P198)</f>
      </c>
      <c r="Q94" s="42">
        <f>SUM($E94:$P94)</f>
      </c>
      <c r="R94"/>
      <c r="S94" s="43">
        <f>SUMIFS(TilgErsatz,TilgObj,8,TilgDatum,DATE(Jahr,1,1))</f>
      </c>
      <c r="T94" s="43">
        <f>SUMIFS(TilgErsatz,TilgObj,8,TilgDatum,DATE(Jahr,2,1))</f>
      </c>
      <c r="U94" s="43">
        <f>SUMIFS(TilgErsatz,TilgObj,8,TilgDatum,DATE(Jahr,3,1))</f>
      </c>
      <c r="V94" s="43">
        <f>SUMIFS(TilgErsatz,TilgObj,8,TilgDatum,DATE(Jahr,4,1))</f>
      </c>
      <c r="W94" s="43">
        <f>SUMIFS(TilgErsatz,TilgObj,8,TilgDatum,DATE(Jahr,5,1))</f>
      </c>
      <c r="X94" s="43">
        <f>SUMIFS(TilgErsatz,TilgObj,8,TilgDatum,DATE(Jahr,6,1))</f>
      </c>
      <c r="Y94" s="43">
        <f>SUMIFS(TilgErsatz,TilgObj,8,TilgDatum,DATE(Jahr,7,1))</f>
      </c>
      <c r="Z94" s="43">
        <f>SUMIFS(TilgErsatz,TilgObj,8,TilgDatum,DATE(Jahr,8,1))</f>
      </c>
      <c r="AA94" s="43">
        <f>SUMIFS(TilgErsatz,TilgObj,8,TilgDatum,DATE(Jahr,9,1))</f>
      </c>
      <c r="AB94" s="43">
        <f>SUMIFS(TilgErsatz,TilgObj,8,TilgDatum,DATE(Jahr,10,1))</f>
      </c>
      <c r="AC94" s="43">
        <f>SUMIFS(TilgErsatz,TilgObj,8,TilgDatum,DATE(Jahr,11,1))</f>
      </c>
      <c r="AD94" s="43">
        <f>SUMIFS(TilgErsatz,TilgObj,8,TilgDatum,DATE(Jahr,12,1))</f>
      </c>
    </row>
    <row r="95">
      <c r="A95"/>
      <c r="B95" s="6">
        <f>IF(INDEX(ObjBelegt,9)=0,"– Objekt 9 –",INDEX(ObjBezeichnung,9))</f>
      </c>
      <c r="C95" s="16" t="inlineStr">
        <is>
          <t xml:space="preserve">Mieteinnahme</t>
        </is>
      </c>
      <c r="D95" s="16" t="inlineStr">
        <is>
          <t xml:space="preserve">Einnahmen</t>
        </is>
      </c>
      <c r="E95" s="30">
        <f>IF($E199="",$S95,$E199)</f>
      </c>
      <c r="F95" s="30">
        <f>IF($F199="",$T95,$F199)</f>
      </c>
      <c r="G95" s="30">
        <f>IF($G199="",$U95,$G199)</f>
      </c>
      <c r="H95" s="30">
        <f>IF($H199="",$V95,$H199)</f>
      </c>
      <c r="I95" s="30">
        <f>IF($I199="",$W95,$I199)</f>
      </c>
      <c r="J95" s="30">
        <f>IF($J199="",$X95,$J199)</f>
      </c>
      <c r="K95" s="30">
        <f>IF($K199="",$Y95,$K199)</f>
      </c>
      <c r="L95" s="30">
        <f>IF($L199="",$Z95,$L199)</f>
      </c>
      <c r="M95" s="30">
        <f>IF($M199="",$AA95,$M199)</f>
      </c>
      <c r="N95" s="30">
        <f>IF($N199="",$AB95,$N199)</f>
      </c>
      <c r="O95" s="30">
        <f>IF($O199="",$AC95,$O199)</f>
      </c>
      <c r="P95" s="30">
        <f>IF($P199="",$AD95,$P199)</f>
      </c>
      <c r="Q95" s="42">
        <f>SUM($E95:$P95)</f>
      </c>
      <c r="R95"/>
      <c r="S95" s="43">
        <f>SUMIFS(MlM1,MlObj,9,MlJahr,Jahr)</f>
      </c>
      <c r="T95" s="43">
        <f>SUMIFS(MlM2,MlObj,9,MlJahr,Jahr)</f>
      </c>
      <c r="U95" s="43">
        <f>SUMIFS(MlM3,MlObj,9,MlJahr,Jahr)</f>
      </c>
      <c r="V95" s="43">
        <f>SUMIFS(MlM4,MlObj,9,MlJahr,Jahr)</f>
      </c>
      <c r="W95" s="43">
        <f>SUMIFS(MlM5,MlObj,9,MlJahr,Jahr)</f>
      </c>
      <c r="X95" s="43">
        <f>SUMIFS(MlM6,MlObj,9,MlJahr,Jahr)</f>
      </c>
      <c r="Y95" s="43">
        <f>SUMIFS(MlM7,MlObj,9,MlJahr,Jahr)</f>
      </c>
      <c r="Z95" s="43">
        <f>SUMIFS(MlM8,MlObj,9,MlJahr,Jahr)</f>
      </c>
      <c r="AA95" s="43">
        <f>SUMIFS(MlM9,MlObj,9,MlJahr,Jahr)</f>
      </c>
      <c r="AB95" s="43">
        <f>SUMIFS(MlM10,MlObj,9,MlJahr,Jahr)</f>
      </c>
      <c r="AC95" s="43">
        <f>SUMIFS(MlM11,MlObj,9,MlJahr,Jahr)</f>
      </c>
      <c r="AD95" s="43">
        <f>SUMIFS(MlM12,MlObj,9,MlJahr,Jahr)</f>
      </c>
    </row>
    <row r="96">
      <c r="A96"/>
      <c r="B96"/>
      <c r="C96" s="16" t="inlineStr">
        <is>
          <t xml:space="preserve">Nebenkosten-Vorauszahlung</t>
        </is>
      </c>
      <c r="D96" s="16" t="inlineStr">
        <is>
          <t xml:space="preserve">Einnahmen</t>
        </is>
      </c>
      <c r="E96" s="30">
        <f>IF($E200="",$S96,$E200)</f>
      </c>
      <c r="F96" s="30">
        <f>IF($F200="",$T96,$F200)</f>
      </c>
      <c r="G96" s="30">
        <f>IF($G200="",$U96,$G200)</f>
      </c>
      <c r="H96" s="30">
        <f>IF($H200="",$V96,$H200)</f>
      </c>
      <c r="I96" s="30">
        <f>IF($I200="",$W96,$I200)</f>
      </c>
      <c r="J96" s="30">
        <f>IF($J200="",$X96,$J200)</f>
      </c>
      <c r="K96" s="30">
        <f>IF($K200="",$Y96,$K200)</f>
      </c>
      <c r="L96" s="30">
        <f>IF($L200="",$Z96,$L200)</f>
      </c>
      <c r="M96" s="30">
        <f>IF($M200="",$AA96,$M200)</f>
      </c>
      <c r="N96" s="30">
        <f>IF($N200="",$AB96,$N200)</f>
      </c>
      <c r="O96" s="30">
        <f>IF($O200="",$AC96,$O200)</f>
      </c>
      <c r="P96" s="30">
        <f>IF($P200="",$AD96,$P200)</f>
      </c>
      <c r="Q96" s="42">
        <f>SUM($E96:$P96)</f>
      </c>
      <c r="R96"/>
      <c r="S96" s="43">
        <f>SUMIF(NkObj,9,NkM1)</f>
      </c>
      <c r="T96" s="43">
        <f>SUMIF(NkObj,9,NkM2)</f>
      </c>
      <c r="U96" s="43">
        <f>SUMIF(NkObj,9,NkM3)</f>
      </c>
      <c r="V96" s="43">
        <f>SUMIF(NkObj,9,NkM4)</f>
      </c>
      <c r="W96" s="43">
        <f>SUMIF(NkObj,9,NkM5)</f>
      </c>
      <c r="X96" s="43">
        <f>SUMIF(NkObj,9,NkM6)</f>
      </c>
      <c r="Y96" s="43">
        <f>SUMIF(NkObj,9,NkM7)</f>
      </c>
      <c r="Z96" s="43">
        <f>SUMIF(NkObj,9,NkM8)</f>
      </c>
      <c r="AA96" s="43">
        <f>SUMIF(NkObj,9,NkM9)</f>
      </c>
      <c r="AB96" s="43">
        <f>SUMIF(NkObj,9,NkM10)</f>
      </c>
      <c r="AC96" s="43">
        <f>SUMIF(NkObj,9,NkM11)</f>
      </c>
      <c r="AD96" s="43">
        <f>SUMIF(NkObj,9,NkM12)</f>
      </c>
    </row>
    <row r="97">
      <c r="A97"/>
      <c r="B97"/>
      <c r="C97" s="16" t="inlineStr">
        <is>
          <t xml:space="preserve">Hausgeld, nicht umlagefähig</t>
        </is>
      </c>
      <c r="D97" s="16" t="inlineStr">
        <is>
          <t xml:space="preserve">Bewirtschaftung</t>
        </is>
      </c>
      <c r="E97" s="30">
        <f>IF($E201="",$S97,$E201)</f>
      </c>
      <c r="F97" s="30">
        <f>IF($F201="",$T97,$F201)</f>
      </c>
      <c r="G97" s="30">
        <f>IF($G201="",$U97,$G201)</f>
      </c>
      <c r="H97" s="30">
        <f>IF($H201="",$V97,$H201)</f>
      </c>
      <c r="I97" s="30">
        <f>IF($I201="",$W97,$I201)</f>
      </c>
      <c r="J97" s="30">
        <f>IF($J201="",$X97,$J201)</f>
      </c>
      <c r="K97" s="30">
        <f>IF($K201="",$Y97,$K201)</f>
      </c>
      <c r="L97" s="30">
        <f>IF($L201="",$Z97,$L201)</f>
      </c>
      <c r="M97" s="30">
        <f>IF($M201="",$AA97,$M201)</f>
      </c>
      <c r="N97" s="30">
        <f>IF($N201="",$AB97,$N201)</f>
      </c>
      <c r="O97" s="30">
        <f>IF($O201="",$AC97,$O201)</f>
      </c>
      <c r="P97" s="30">
        <f>IF($P201="",$AD97,$P201)</f>
      </c>
      <c r="Q97" s="42">
        <f>SUM($E97:$P97)</f>
      </c>
      <c r="R97"/>
      <c r="S97" s="43">
        <f>IF(AND(INDEX(ObjKaufJahr,9)&gt;0,DATE(Jahr,1,1)&gt;=DATE(INDEX(ObjKaufJahr,9),INDEX(ObjKaufMonat,9),1)),MAX(0,INDEX(ObjHausgeld,9)-INDEX(ObjUmlage,9)),0)</f>
      </c>
      <c r="T97" s="43">
        <f>IF(AND(INDEX(ObjKaufJahr,9)&gt;0,DATE(Jahr,2,1)&gt;=DATE(INDEX(ObjKaufJahr,9),INDEX(ObjKaufMonat,9),1)),MAX(0,INDEX(ObjHausgeld,9)-INDEX(ObjUmlage,9)),0)</f>
      </c>
      <c r="U97" s="43">
        <f>IF(AND(INDEX(ObjKaufJahr,9)&gt;0,DATE(Jahr,3,1)&gt;=DATE(INDEX(ObjKaufJahr,9),INDEX(ObjKaufMonat,9),1)),MAX(0,INDEX(ObjHausgeld,9)-INDEX(ObjUmlage,9)),0)</f>
      </c>
      <c r="V97" s="43">
        <f>IF(AND(INDEX(ObjKaufJahr,9)&gt;0,DATE(Jahr,4,1)&gt;=DATE(INDEX(ObjKaufJahr,9),INDEX(ObjKaufMonat,9),1)),MAX(0,INDEX(ObjHausgeld,9)-INDEX(ObjUmlage,9)),0)</f>
      </c>
      <c r="W97" s="43">
        <f>IF(AND(INDEX(ObjKaufJahr,9)&gt;0,DATE(Jahr,5,1)&gt;=DATE(INDEX(ObjKaufJahr,9),INDEX(ObjKaufMonat,9),1)),MAX(0,INDEX(ObjHausgeld,9)-INDEX(ObjUmlage,9)),0)</f>
      </c>
      <c r="X97" s="43">
        <f>IF(AND(INDEX(ObjKaufJahr,9)&gt;0,DATE(Jahr,6,1)&gt;=DATE(INDEX(ObjKaufJahr,9),INDEX(ObjKaufMonat,9),1)),MAX(0,INDEX(ObjHausgeld,9)-INDEX(ObjUmlage,9)),0)</f>
      </c>
      <c r="Y97" s="43">
        <f>IF(AND(INDEX(ObjKaufJahr,9)&gt;0,DATE(Jahr,7,1)&gt;=DATE(INDEX(ObjKaufJahr,9),INDEX(ObjKaufMonat,9),1)),MAX(0,INDEX(ObjHausgeld,9)-INDEX(ObjUmlage,9)),0)</f>
      </c>
      <c r="Z97" s="43">
        <f>IF(AND(INDEX(ObjKaufJahr,9)&gt;0,DATE(Jahr,8,1)&gt;=DATE(INDEX(ObjKaufJahr,9),INDEX(ObjKaufMonat,9),1)),MAX(0,INDEX(ObjHausgeld,9)-INDEX(ObjUmlage,9)),0)</f>
      </c>
      <c r="AA97" s="43">
        <f>IF(AND(INDEX(ObjKaufJahr,9)&gt;0,DATE(Jahr,9,1)&gt;=DATE(INDEX(ObjKaufJahr,9),INDEX(ObjKaufMonat,9),1)),MAX(0,INDEX(ObjHausgeld,9)-INDEX(ObjUmlage,9)),0)</f>
      </c>
      <c r="AB97" s="43">
        <f>IF(AND(INDEX(ObjKaufJahr,9)&gt;0,DATE(Jahr,10,1)&gt;=DATE(INDEX(ObjKaufJahr,9),INDEX(ObjKaufMonat,9),1)),MAX(0,INDEX(ObjHausgeld,9)-INDEX(ObjUmlage,9)),0)</f>
      </c>
      <c r="AC97" s="43">
        <f>IF(AND(INDEX(ObjKaufJahr,9)&gt;0,DATE(Jahr,11,1)&gt;=DATE(INDEX(ObjKaufJahr,9),INDEX(ObjKaufMonat,9),1)),MAX(0,INDEX(ObjHausgeld,9)-INDEX(ObjUmlage,9)),0)</f>
      </c>
      <c r="AD97" s="43">
        <f>IF(AND(INDEX(ObjKaufJahr,9)&gt;0,DATE(Jahr,12,1)&gt;=DATE(INDEX(ObjKaufJahr,9),INDEX(ObjKaufMonat,9),1)),MAX(0,INDEX(ObjHausgeld,9)-INDEX(ObjUmlage,9)),0)</f>
      </c>
    </row>
    <row r="98">
      <c r="A98"/>
      <c r="B98"/>
      <c r="C98" s="16" t="inlineStr">
        <is>
          <t xml:space="preserve">Verwaltung</t>
        </is>
      </c>
      <c r="D98" s="16" t="inlineStr">
        <is>
          <t xml:space="preserve">Bewirtschaftung</t>
        </is>
      </c>
      <c r="E98" s="30">
        <f>IF($E202="",$S98,$E202)</f>
      </c>
      <c r="F98" s="30">
        <f>IF($F202="",$T98,$F202)</f>
      </c>
      <c r="G98" s="30">
        <f>IF($G202="",$U98,$G202)</f>
      </c>
      <c r="H98" s="30">
        <f>IF($H202="",$V98,$H202)</f>
      </c>
      <c r="I98" s="30">
        <f>IF($I202="",$W98,$I202)</f>
      </c>
      <c r="J98" s="30">
        <f>IF($J202="",$X98,$J202)</f>
      </c>
      <c r="K98" s="30">
        <f>IF($K202="",$Y98,$K202)</f>
      </c>
      <c r="L98" s="30">
        <f>IF($L202="",$Z98,$L202)</f>
      </c>
      <c r="M98" s="30">
        <f>IF($M202="",$AA98,$M202)</f>
      </c>
      <c r="N98" s="30">
        <f>IF($N202="",$AB98,$N202)</f>
      </c>
      <c r="O98" s="30">
        <f>IF($O202="",$AC98,$O202)</f>
      </c>
      <c r="P98" s="30">
        <f>IF($P202="",$AD98,$P202)</f>
      </c>
      <c r="Q98" s="42">
        <f>SUM($E98:$P98)</f>
      </c>
      <c r="R98"/>
      <c r="S98" s="43">
        <f>IF(AND(INDEX(ObjKaufJahr,9)&gt;0,DATE(Jahr,1,1)&gt;=DATE(INDEX(ObjKaufJahr,9),INDEX(ObjKaufMonat,9),1)),INDEX(ObjVerwaltung,9),0)</f>
      </c>
      <c r="T98" s="43">
        <f>IF(AND(INDEX(ObjKaufJahr,9)&gt;0,DATE(Jahr,2,1)&gt;=DATE(INDEX(ObjKaufJahr,9),INDEX(ObjKaufMonat,9),1)),INDEX(ObjVerwaltung,9),0)</f>
      </c>
      <c r="U98" s="43">
        <f>IF(AND(INDEX(ObjKaufJahr,9)&gt;0,DATE(Jahr,3,1)&gt;=DATE(INDEX(ObjKaufJahr,9),INDEX(ObjKaufMonat,9),1)),INDEX(ObjVerwaltung,9),0)</f>
      </c>
      <c r="V98" s="43">
        <f>IF(AND(INDEX(ObjKaufJahr,9)&gt;0,DATE(Jahr,4,1)&gt;=DATE(INDEX(ObjKaufJahr,9),INDEX(ObjKaufMonat,9),1)),INDEX(ObjVerwaltung,9),0)</f>
      </c>
      <c r="W98" s="43">
        <f>IF(AND(INDEX(ObjKaufJahr,9)&gt;0,DATE(Jahr,5,1)&gt;=DATE(INDEX(ObjKaufJahr,9),INDEX(ObjKaufMonat,9),1)),INDEX(ObjVerwaltung,9),0)</f>
      </c>
      <c r="X98" s="43">
        <f>IF(AND(INDEX(ObjKaufJahr,9)&gt;0,DATE(Jahr,6,1)&gt;=DATE(INDEX(ObjKaufJahr,9),INDEX(ObjKaufMonat,9),1)),INDEX(ObjVerwaltung,9),0)</f>
      </c>
      <c r="Y98" s="43">
        <f>IF(AND(INDEX(ObjKaufJahr,9)&gt;0,DATE(Jahr,7,1)&gt;=DATE(INDEX(ObjKaufJahr,9),INDEX(ObjKaufMonat,9),1)),INDEX(ObjVerwaltung,9),0)</f>
      </c>
      <c r="Z98" s="43">
        <f>IF(AND(INDEX(ObjKaufJahr,9)&gt;0,DATE(Jahr,8,1)&gt;=DATE(INDEX(ObjKaufJahr,9),INDEX(ObjKaufMonat,9),1)),INDEX(ObjVerwaltung,9),0)</f>
      </c>
      <c r="AA98" s="43">
        <f>IF(AND(INDEX(ObjKaufJahr,9)&gt;0,DATE(Jahr,9,1)&gt;=DATE(INDEX(ObjKaufJahr,9),INDEX(ObjKaufMonat,9),1)),INDEX(ObjVerwaltung,9),0)</f>
      </c>
      <c r="AB98" s="43">
        <f>IF(AND(INDEX(ObjKaufJahr,9)&gt;0,DATE(Jahr,10,1)&gt;=DATE(INDEX(ObjKaufJahr,9),INDEX(ObjKaufMonat,9),1)),INDEX(ObjVerwaltung,9),0)</f>
      </c>
      <c r="AC98" s="43">
        <f>IF(AND(INDEX(ObjKaufJahr,9)&gt;0,DATE(Jahr,11,1)&gt;=DATE(INDEX(ObjKaufJahr,9),INDEX(ObjKaufMonat,9),1)),INDEX(ObjVerwaltung,9),0)</f>
      </c>
      <c r="AD98" s="43">
        <f>IF(AND(INDEX(ObjKaufJahr,9)&gt;0,DATE(Jahr,12,1)&gt;=DATE(INDEX(ObjKaufJahr,9),INDEX(ObjKaufMonat,9),1)),INDEX(ObjVerwaltung,9),0)</f>
      </c>
    </row>
    <row r="99">
      <c r="A99"/>
      <c r="B99"/>
      <c r="C99" s="16" t="inlineStr">
        <is>
          <t xml:space="preserve">Instandhaltung</t>
        </is>
      </c>
      <c r="D99" s="16" t="inlineStr">
        <is>
          <t xml:space="preserve">Bewirtschaftung</t>
        </is>
      </c>
      <c r="E99" s="30">
        <f>IF($E203="",$S99,$E203)</f>
      </c>
      <c r="F99" s="30">
        <f>IF($F203="",$T99,$F203)</f>
      </c>
      <c r="G99" s="30">
        <f>IF($G203="",$U99,$G203)</f>
      </c>
      <c r="H99" s="30">
        <f>IF($H203="",$V99,$H203)</f>
      </c>
      <c r="I99" s="30">
        <f>IF($I203="",$W99,$I203)</f>
      </c>
      <c r="J99" s="30">
        <f>IF($J203="",$X99,$J203)</f>
      </c>
      <c r="K99" s="30">
        <f>IF($K203="",$Y99,$K203)</f>
      </c>
      <c r="L99" s="30">
        <f>IF($L203="",$Z99,$L203)</f>
      </c>
      <c r="M99" s="30">
        <f>IF($M203="",$AA99,$M203)</f>
      </c>
      <c r="N99" s="30">
        <f>IF($N203="",$AB99,$N203)</f>
      </c>
      <c r="O99" s="30">
        <f>IF($O203="",$AC99,$O203)</f>
      </c>
      <c r="P99" s="30">
        <f>IF($P203="",$AD99,$P203)</f>
      </c>
      <c r="Q99" s="42">
        <f>SUM($E99:$P99)</f>
      </c>
      <c r="R99"/>
      <c r="S99" s="43">
        <f>IF(AND(INDEX(ObjKaufJahr,9)&gt;0,DATE(Jahr,1,1)&gt;=DATE(INDEX(ObjKaufJahr,9),INDEX(ObjKaufMonat,9),1)),INDEX(ObjInstand,9),0)</f>
      </c>
      <c r="T99" s="43">
        <f>IF(AND(INDEX(ObjKaufJahr,9)&gt;0,DATE(Jahr,2,1)&gt;=DATE(INDEX(ObjKaufJahr,9),INDEX(ObjKaufMonat,9),1)),INDEX(ObjInstand,9),0)</f>
      </c>
      <c r="U99" s="43">
        <f>IF(AND(INDEX(ObjKaufJahr,9)&gt;0,DATE(Jahr,3,1)&gt;=DATE(INDEX(ObjKaufJahr,9),INDEX(ObjKaufMonat,9),1)),INDEX(ObjInstand,9),0)</f>
      </c>
      <c r="V99" s="43">
        <f>IF(AND(INDEX(ObjKaufJahr,9)&gt;0,DATE(Jahr,4,1)&gt;=DATE(INDEX(ObjKaufJahr,9),INDEX(ObjKaufMonat,9),1)),INDEX(ObjInstand,9),0)</f>
      </c>
      <c r="W99" s="43">
        <f>IF(AND(INDEX(ObjKaufJahr,9)&gt;0,DATE(Jahr,5,1)&gt;=DATE(INDEX(ObjKaufJahr,9),INDEX(ObjKaufMonat,9),1)),INDEX(ObjInstand,9),0)</f>
      </c>
      <c r="X99" s="43">
        <f>IF(AND(INDEX(ObjKaufJahr,9)&gt;0,DATE(Jahr,6,1)&gt;=DATE(INDEX(ObjKaufJahr,9),INDEX(ObjKaufMonat,9),1)),INDEX(ObjInstand,9),0)</f>
      </c>
      <c r="Y99" s="43">
        <f>IF(AND(INDEX(ObjKaufJahr,9)&gt;0,DATE(Jahr,7,1)&gt;=DATE(INDEX(ObjKaufJahr,9),INDEX(ObjKaufMonat,9),1)),INDEX(ObjInstand,9),0)</f>
      </c>
      <c r="Z99" s="43">
        <f>IF(AND(INDEX(ObjKaufJahr,9)&gt;0,DATE(Jahr,8,1)&gt;=DATE(INDEX(ObjKaufJahr,9),INDEX(ObjKaufMonat,9),1)),INDEX(ObjInstand,9),0)</f>
      </c>
      <c r="AA99" s="43">
        <f>IF(AND(INDEX(ObjKaufJahr,9)&gt;0,DATE(Jahr,9,1)&gt;=DATE(INDEX(ObjKaufJahr,9),INDEX(ObjKaufMonat,9),1)),INDEX(ObjInstand,9),0)</f>
      </c>
      <c r="AB99" s="43">
        <f>IF(AND(INDEX(ObjKaufJahr,9)&gt;0,DATE(Jahr,10,1)&gt;=DATE(INDEX(ObjKaufJahr,9),INDEX(ObjKaufMonat,9),1)),INDEX(ObjInstand,9),0)</f>
      </c>
      <c r="AC99" s="43">
        <f>IF(AND(INDEX(ObjKaufJahr,9)&gt;0,DATE(Jahr,11,1)&gt;=DATE(INDEX(ObjKaufJahr,9),INDEX(ObjKaufMonat,9),1)),INDEX(ObjInstand,9),0)</f>
      </c>
      <c r="AD99" s="43">
        <f>IF(AND(INDEX(ObjKaufJahr,9)&gt;0,DATE(Jahr,12,1)&gt;=DATE(INDEX(ObjKaufJahr,9),INDEX(ObjKaufMonat,9),1)),INDEX(ObjInstand,9),0)</f>
      </c>
    </row>
    <row r="100">
      <c r="A100"/>
      <c r="B100"/>
      <c r="C100" s="16" t="inlineStr">
        <is>
          <t xml:space="preserve">Sonstige Kosten</t>
        </is>
      </c>
      <c r="D100" s="16" t="inlineStr">
        <is>
          <t xml:space="preserve">Bewirtschaftung</t>
        </is>
      </c>
      <c r="E100" s="30">
        <f>IF($E204="",$S100,$E204)</f>
      </c>
      <c r="F100" s="30">
        <f>IF($F204="",$T100,$F204)</f>
      </c>
      <c r="G100" s="30">
        <f>IF($G204="",$U100,$G204)</f>
      </c>
      <c r="H100" s="30">
        <f>IF($H204="",$V100,$H204)</f>
      </c>
      <c r="I100" s="30">
        <f>IF($I204="",$W100,$I204)</f>
      </c>
      <c r="J100" s="30">
        <f>IF($J204="",$X100,$J204)</f>
      </c>
      <c r="K100" s="30">
        <f>IF($K204="",$Y100,$K204)</f>
      </c>
      <c r="L100" s="30">
        <f>IF($L204="",$Z100,$L204)</f>
      </c>
      <c r="M100" s="30">
        <f>IF($M204="",$AA100,$M204)</f>
      </c>
      <c r="N100" s="30">
        <f>IF($N204="",$AB100,$N204)</f>
      </c>
      <c r="O100" s="30">
        <f>IF($O204="",$AC100,$O204)</f>
      </c>
      <c r="P100" s="30">
        <f>IF($P204="",$AD100,$P204)</f>
      </c>
      <c r="Q100" s="42">
        <f>SUM($E100:$P100)</f>
      </c>
      <c r="R100"/>
      <c r="S100" s="43">
        <f>IF(AND(INDEX(ObjKaufJahr,9)&gt;0,DATE(Jahr,1,1)&gt;=DATE(INDEX(ObjKaufJahr,9),INDEX(ObjKaufMonat,9),1)),INDEX(ObjSonstige,9)/12,0)</f>
      </c>
      <c r="T100" s="43">
        <f>IF(AND(INDEX(ObjKaufJahr,9)&gt;0,DATE(Jahr,2,1)&gt;=DATE(INDEX(ObjKaufJahr,9),INDEX(ObjKaufMonat,9),1)),INDEX(ObjSonstige,9)/12,0)</f>
      </c>
      <c r="U100" s="43">
        <f>IF(AND(INDEX(ObjKaufJahr,9)&gt;0,DATE(Jahr,3,1)&gt;=DATE(INDEX(ObjKaufJahr,9),INDEX(ObjKaufMonat,9),1)),INDEX(ObjSonstige,9)/12,0)</f>
      </c>
      <c r="V100" s="43">
        <f>IF(AND(INDEX(ObjKaufJahr,9)&gt;0,DATE(Jahr,4,1)&gt;=DATE(INDEX(ObjKaufJahr,9),INDEX(ObjKaufMonat,9),1)),INDEX(ObjSonstige,9)/12,0)</f>
      </c>
      <c r="W100" s="43">
        <f>IF(AND(INDEX(ObjKaufJahr,9)&gt;0,DATE(Jahr,5,1)&gt;=DATE(INDEX(ObjKaufJahr,9),INDEX(ObjKaufMonat,9),1)),INDEX(ObjSonstige,9)/12,0)</f>
      </c>
      <c r="X100" s="43">
        <f>IF(AND(INDEX(ObjKaufJahr,9)&gt;0,DATE(Jahr,6,1)&gt;=DATE(INDEX(ObjKaufJahr,9),INDEX(ObjKaufMonat,9),1)),INDEX(ObjSonstige,9)/12,0)</f>
      </c>
      <c r="Y100" s="43">
        <f>IF(AND(INDEX(ObjKaufJahr,9)&gt;0,DATE(Jahr,7,1)&gt;=DATE(INDEX(ObjKaufJahr,9),INDEX(ObjKaufMonat,9),1)),INDEX(ObjSonstige,9)/12,0)</f>
      </c>
      <c r="Z100" s="43">
        <f>IF(AND(INDEX(ObjKaufJahr,9)&gt;0,DATE(Jahr,8,1)&gt;=DATE(INDEX(ObjKaufJahr,9),INDEX(ObjKaufMonat,9),1)),INDEX(ObjSonstige,9)/12,0)</f>
      </c>
      <c r="AA100" s="43">
        <f>IF(AND(INDEX(ObjKaufJahr,9)&gt;0,DATE(Jahr,9,1)&gt;=DATE(INDEX(ObjKaufJahr,9),INDEX(ObjKaufMonat,9),1)),INDEX(ObjSonstige,9)/12,0)</f>
      </c>
      <c r="AB100" s="43">
        <f>IF(AND(INDEX(ObjKaufJahr,9)&gt;0,DATE(Jahr,10,1)&gt;=DATE(INDEX(ObjKaufJahr,9),INDEX(ObjKaufMonat,9),1)),INDEX(ObjSonstige,9)/12,0)</f>
      </c>
      <c r="AC100" s="43">
        <f>IF(AND(INDEX(ObjKaufJahr,9)&gt;0,DATE(Jahr,11,1)&gt;=DATE(INDEX(ObjKaufJahr,9),INDEX(ObjKaufMonat,9),1)),INDEX(ObjSonstige,9)/12,0)</f>
      </c>
      <c r="AD100" s="43">
        <f>IF(AND(INDEX(ObjKaufJahr,9)&gt;0,DATE(Jahr,12,1)&gt;=DATE(INDEX(ObjKaufJahr,9),INDEX(ObjKaufMonat,9),1)),INDEX(ObjSonstige,9)/12,0)</f>
      </c>
    </row>
    <row r="101">
      <c r="A101"/>
      <c r="B101"/>
      <c r="C101" s="16" t="inlineStr">
        <is>
          <t xml:space="preserve">Zinsen</t>
        </is>
      </c>
      <c r="D101" s="16" t="inlineStr">
        <is>
          <t xml:space="preserve">Finanzierung</t>
        </is>
      </c>
      <c r="E101" s="30">
        <f>IF($E205="",$S101,$E205)</f>
      </c>
      <c r="F101" s="30">
        <f>IF($F205="",$T101,$F205)</f>
      </c>
      <c r="G101" s="30">
        <f>IF($G205="",$U101,$G205)</f>
      </c>
      <c r="H101" s="30">
        <f>IF($H205="",$V101,$H205)</f>
      </c>
      <c r="I101" s="30">
        <f>IF($I205="",$W101,$I205)</f>
      </c>
      <c r="J101" s="30">
        <f>IF($J205="",$X101,$J205)</f>
      </c>
      <c r="K101" s="30">
        <f>IF($K205="",$Y101,$K205)</f>
      </c>
      <c r="L101" s="30">
        <f>IF($L205="",$Z101,$L205)</f>
      </c>
      <c r="M101" s="30">
        <f>IF($M205="",$AA101,$M205)</f>
      </c>
      <c r="N101" s="30">
        <f>IF($N205="",$AB101,$N205)</f>
      </c>
      <c r="O101" s="30">
        <f>IF($O205="",$AC101,$O205)</f>
      </c>
      <c r="P101" s="30">
        <f>IF($P205="",$AD101,$P205)</f>
      </c>
      <c r="Q101" s="42">
        <f>SUM($E101:$P101)</f>
      </c>
      <c r="R101"/>
      <c r="S101" s="43">
        <f>SUMIFS(TilgZins,TilgObj,9,TilgDatum,DATE(Jahr,1,1))</f>
      </c>
      <c r="T101" s="43">
        <f>SUMIFS(TilgZins,TilgObj,9,TilgDatum,DATE(Jahr,2,1))</f>
      </c>
      <c r="U101" s="43">
        <f>SUMIFS(TilgZins,TilgObj,9,TilgDatum,DATE(Jahr,3,1))</f>
      </c>
      <c r="V101" s="43">
        <f>SUMIFS(TilgZins,TilgObj,9,TilgDatum,DATE(Jahr,4,1))</f>
      </c>
      <c r="W101" s="43">
        <f>SUMIFS(TilgZins,TilgObj,9,TilgDatum,DATE(Jahr,5,1))</f>
      </c>
      <c r="X101" s="43">
        <f>SUMIFS(TilgZins,TilgObj,9,TilgDatum,DATE(Jahr,6,1))</f>
      </c>
      <c r="Y101" s="43">
        <f>SUMIFS(TilgZins,TilgObj,9,TilgDatum,DATE(Jahr,7,1))</f>
      </c>
      <c r="Z101" s="43">
        <f>SUMIFS(TilgZins,TilgObj,9,TilgDatum,DATE(Jahr,8,1))</f>
      </c>
      <c r="AA101" s="43">
        <f>SUMIFS(TilgZins,TilgObj,9,TilgDatum,DATE(Jahr,9,1))</f>
      </c>
      <c r="AB101" s="43">
        <f>SUMIFS(TilgZins,TilgObj,9,TilgDatum,DATE(Jahr,10,1))</f>
      </c>
      <c r="AC101" s="43">
        <f>SUMIFS(TilgZins,TilgObj,9,TilgDatum,DATE(Jahr,11,1))</f>
      </c>
      <c r="AD101" s="43">
        <f>SUMIFS(TilgZins,TilgObj,9,TilgDatum,DATE(Jahr,12,1))</f>
      </c>
    </row>
    <row r="102">
      <c r="A102"/>
      <c r="B102"/>
      <c r="C102" s="16" t="inlineStr">
        <is>
          <t xml:space="preserve">Tilgung</t>
        </is>
      </c>
      <c r="D102" s="16" t="inlineStr">
        <is>
          <t xml:space="preserve">Finanzierung</t>
        </is>
      </c>
      <c r="E102" s="30">
        <f>IF($E206="",$S102,$E206)</f>
      </c>
      <c r="F102" s="30">
        <f>IF($F206="",$T102,$F206)</f>
      </c>
      <c r="G102" s="30">
        <f>IF($G206="",$U102,$G206)</f>
      </c>
      <c r="H102" s="30">
        <f>IF($H206="",$V102,$H206)</f>
      </c>
      <c r="I102" s="30">
        <f>IF($I206="",$W102,$I206)</f>
      </c>
      <c r="J102" s="30">
        <f>IF($J206="",$X102,$J206)</f>
      </c>
      <c r="K102" s="30">
        <f>IF($K206="",$Y102,$K206)</f>
      </c>
      <c r="L102" s="30">
        <f>IF($L206="",$Z102,$L206)</f>
      </c>
      <c r="M102" s="30">
        <f>IF($M206="",$AA102,$M206)</f>
      </c>
      <c r="N102" s="30">
        <f>IF($N206="",$AB102,$N206)</f>
      </c>
      <c r="O102" s="30">
        <f>IF($O206="",$AC102,$O206)</f>
      </c>
      <c r="P102" s="30">
        <f>IF($P206="",$AD102,$P206)</f>
      </c>
      <c r="Q102" s="42">
        <f>SUM($E102:$P102)</f>
      </c>
      <c r="R102"/>
      <c r="S102" s="43">
        <f>SUMIFS(TilgTilgung,TilgObj,9,TilgDatum,DATE(Jahr,1,1))</f>
      </c>
      <c r="T102" s="43">
        <f>SUMIFS(TilgTilgung,TilgObj,9,TilgDatum,DATE(Jahr,2,1))</f>
      </c>
      <c r="U102" s="43">
        <f>SUMIFS(TilgTilgung,TilgObj,9,TilgDatum,DATE(Jahr,3,1))</f>
      </c>
      <c r="V102" s="43">
        <f>SUMIFS(TilgTilgung,TilgObj,9,TilgDatum,DATE(Jahr,4,1))</f>
      </c>
      <c r="W102" s="43">
        <f>SUMIFS(TilgTilgung,TilgObj,9,TilgDatum,DATE(Jahr,5,1))</f>
      </c>
      <c r="X102" s="43">
        <f>SUMIFS(TilgTilgung,TilgObj,9,TilgDatum,DATE(Jahr,6,1))</f>
      </c>
      <c r="Y102" s="43">
        <f>SUMIFS(TilgTilgung,TilgObj,9,TilgDatum,DATE(Jahr,7,1))</f>
      </c>
      <c r="Z102" s="43">
        <f>SUMIFS(TilgTilgung,TilgObj,9,TilgDatum,DATE(Jahr,8,1))</f>
      </c>
      <c r="AA102" s="43">
        <f>SUMIFS(TilgTilgung,TilgObj,9,TilgDatum,DATE(Jahr,9,1))</f>
      </c>
      <c r="AB102" s="43">
        <f>SUMIFS(TilgTilgung,TilgObj,9,TilgDatum,DATE(Jahr,10,1))</f>
      </c>
      <c r="AC102" s="43">
        <f>SUMIFS(TilgTilgung,TilgObj,9,TilgDatum,DATE(Jahr,11,1))</f>
      </c>
      <c r="AD102" s="43">
        <f>SUMIFS(TilgTilgung,TilgObj,9,TilgDatum,DATE(Jahr,12,1))</f>
      </c>
    </row>
    <row r="103">
      <c r="A103"/>
      <c r="B103"/>
      <c r="C103" s="16" t="inlineStr">
        <is>
          <t xml:space="preserve">Sondertilgung</t>
        </is>
      </c>
      <c r="D103" s="16" t="inlineStr">
        <is>
          <t xml:space="preserve">Finanzierung</t>
        </is>
      </c>
      <c r="E103" s="30">
        <f>IF($E207="",$S103,$E207)</f>
      </c>
      <c r="F103" s="30">
        <f>IF($F207="",$T103,$F207)</f>
      </c>
      <c r="G103" s="30">
        <f>IF($G207="",$U103,$G207)</f>
      </c>
      <c r="H103" s="30">
        <f>IF($H207="",$V103,$H207)</f>
      </c>
      <c r="I103" s="30">
        <f>IF($I207="",$W103,$I207)</f>
      </c>
      <c r="J103" s="30">
        <f>IF($J207="",$X103,$J207)</f>
      </c>
      <c r="K103" s="30">
        <f>IF($K207="",$Y103,$K207)</f>
      </c>
      <c r="L103" s="30">
        <f>IF($L207="",$Z103,$L207)</f>
      </c>
      <c r="M103" s="30">
        <f>IF($M207="",$AA103,$M207)</f>
      </c>
      <c r="N103" s="30">
        <f>IF($N207="",$AB103,$N207)</f>
      </c>
      <c r="O103" s="30">
        <f>IF($O207="",$AC103,$O207)</f>
      </c>
      <c r="P103" s="30">
        <f>IF($P207="",$AD103,$P207)</f>
      </c>
      <c r="Q103" s="42">
        <f>SUM($E103:$P103)</f>
      </c>
      <c r="R103"/>
      <c r="S103" s="43">
        <f>SUMIFS(TilgSonder,TilgObj,9,TilgDatum,DATE(Jahr,1,1))</f>
      </c>
      <c r="T103" s="43">
        <f>SUMIFS(TilgSonder,TilgObj,9,TilgDatum,DATE(Jahr,2,1))</f>
      </c>
      <c r="U103" s="43">
        <f>SUMIFS(TilgSonder,TilgObj,9,TilgDatum,DATE(Jahr,3,1))</f>
      </c>
      <c r="V103" s="43">
        <f>SUMIFS(TilgSonder,TilgObj,9,TilgDatum,DATE(Jahr,4,1))</f>
      </c>
      <c r="W103" s="43">
        <f>SUMIFS(TilgSonder,TilgObj,9,TilgDatum,DATE(Jahr,5,1))</f>
      </c>
      <c r="X103" s="43">
        <f>SUMIFS(TilgSonder,TilgObj,9,TilgDatum,DATE(Jahr,6,1))</f>
      </c>
      <c r="Y103" s="43">
        <f>SUMIFS(TilgSonder,TilgObj,9,TilgDatum,DATE(Jahr,7,1))</f>
      </c>
      <c r="Z103" s="43">
        <f>SUMIFS(TilgSonder,TilgObj,9,TilgDatum,DATE(Jahr,8,1))</f>
      </c>
      <c r="AA103" s="43">
        <f>SUMIFS(TilgSonder,TilgObj,9,TilgDatum,DATE(Jahr,9,1))</f>
      </c>
      <c r="AB103" s="43">
        <f>SUMIFS(TilgSonder,TilgObj,9,TilgDatum,DATE(Jahr,10,1))</f>
      </c>
      <c r="AC103" s="43">
        <f>SUMIFS(TilgSonder,TilgObj,9,TilgDatum,DATE(Jahr,11,1))</f>
      </c>
      <c r="AD103" s="43">
        <f>SUMIFS(TilgSonder,TilgObj,9,TilgDatum,DATE(Jahr,12,1))</f>
      </c>
    </row>
    <row r="104">
      <c r="A104"/>
      <c r="B104"/>
      <c r="C104" s="16" t="inlineStr">
        <is>
          <t xml:space="preserve">Tilgungsersatzleistung</t>
        </is>
      </c>
      <c r="D104" s="16" t="inlineStr">
        <is>
          <t xml:space="preserve">Finanzierung</t>
        </is>
      </c>
      <c r="E104" s="30">
        <f>IF($E208="",$S104,$E208)</f>
      </c>
      <c r="F104" s="30">
        <f>IF($F208="",$T104,$F208)</f>
      </c>
      <c r="G104" s="30">
        <f>IF($G208="",$U104,$G208)</f>
      </c>
      <c r="H104" s="30">
        <f>IF($H208="",$V104,$H208)</f>
      </c>
      <c r="I104" s="30">
        <f>IF($I208="",$W104,$I208)</f>
      </c>
      <c r="J104" s="30">
        <f>IF($J208="",$X104,$J208)</f>
      </c>
      <c r="K104" s="30">
        <f>IF($K208="",$Y104,$K208)</f>
      </c>
      <c r="L104" s="30">
        <f>IF($L208="",$Z104,$L208)</f>
      </c>
      <c r="M104" s="30">
        <f>IF($M208="",$AA104,$M208)</f>
      </c>
      <c r="N104" s="30">
        <f>IF($N208="",$AB104,$N208)</f>
      </c>
      <c r="O104" s="30">
        <f>IF($O208="",$AC104,$O208)</f>
      </c>
      <c r="P104" s="30">
        <f>IF($P208="",$AD104,$P208)</f>
      </c>
      <c r="Q104" s="42">
        <f>SUM($E104:$P104)</f>
      </c>
      <c r="R104"/>
      <c r="S104" s="43">
        <f>SUMIFS(TilgErsatz,TilgObj,9,TilgDatum,DATE(Jahr,1,1))</f>
      </c>
      <c r="T104" s="43">
        <f>SUMIFS(TilgErsatz,TilgObj,9,TilgDatum,DATE(Jahr,2,1))</f>
      </c>
      <c r="U104" s="43">
        <f>SUMIFS(TilgErsatz,TilgObj,9,TilgDatum,DATE(Jahr,3,1))</f>
      </c>
      <c r="V104" s="43">
        <f>SUMIFS(TilgErsatz,TilgObj,9,TilgDatum,DATE(Jahr,4,1))</f>
      </c>
      <c r="W104" s="43">
        <f>SUMIFS(TilgErsatz,TilgObj,9,TilgDatum,DATE(Jahr,5,1))</f>
      </c>
      <c r="X104" s="43">
        <f>SUMIFS(TilgErsatz,TilgObj,9,TilgDatum,DATE(Jahr,6,1))</f>
      </c>
      <c r="Y104" s="43">
        <f>SUMIFS(TilgErsatz,TilgObj,9,TilgDatum,DATE(Jahr,7,1))</f>
      </c>
      <c r="Z104" s="43">
        <f>SUMIFS(TilgErsatz,TilgObj,9,TilgDatum,DATE(Jahr,8,1))</f>
      </c>
      <c r="AA104" s="43">
        <f>SUMIFS(TilgErsatz,TilgObj,9,TilgDatum,DATE(Jahr,9,1))</f>
      </c>
      <c r="AB104" s="43">
        <f>SUMIFS(TilgErsatz,TilgObj,9,TilgDatum,DATE(Jahr,10,1))</f>
      </c>
      <c r="AC104" s="43">
        <f>SUMIFS(TilgErsatz,TilgObj,9,TilgDatum,DATE(Jahr,11,1))</f>
      </c>
      <c r="AD104" s="43">
        <f>SUMIFS(TilgErsatz,TilgObj,9,TilgDatum,DATE(Jahr,12,1))</f>
      </c>
    </row>
    <row r="105">
      <c r="A105"/>
      <c r="B105" s="6">
        <f>IF(INDEX(ObjBelegt,10)=0,"– Objekt 10 –",INDEX(ObjBezeichnung,10))</f>
      </c>
      <c r="C105" s="16" t="inlineStr">
        <is>
          <t xml:space="preserve">Mieteinnahme</t>
        </is>
      </c>
      <c r="D105" s="16" t="inlineStr">
        <is>
          <t xml:space="preserve">Einnahmen</t>
        </is>
      </c>
      <c r="E105" s="30">
        <f>IF($E209="",$S105,$E209)</f>
      </c>
      <c r="F105" s="30">
        <f>IF($F209="",$T105,$F209)</f>
      </c>
      <c r="G105" s="30">
        <f>IF($G209="",$U105,$G209)</f>
      </c>
      <c r="H105" s="30">
        <f>IF($H209="",$V105,$H209)</f>
      </c>
      <c r="I105" s="30">
        <f>IF($I209="",$W105,$I209)</f>
      </c>
      <c r="J105" s="30">
        <f>IF($J209="",$X105,$J209)</f>
      </c>
      <c r="K105" s="30">
        <f>IF($K209="",$Y105,$K209)</f>
      </c>
      <c r="L105" s="30">
        <f>IF($L209="",$Z105,$L209)</f>
      </c>
      <c r="M105" s="30">
        <f>IF($M209="",$AA105,$M209)</f>
      </c>
      <c r="N105" s="30">
        <f>IF($N209="",$AB105,$N209)</f>
      </c>
      <c r="O105" s="30">
        <f>IF($O209="",$AC105,$O209)</f>
      </c>
      <c r="P105" s="30">
        <f>IF($P209="",$AD105,$P209)</f>
      </c>
      <c r="Q105" s="42">
        <f>SUM($E105:$P105)</f>
      </c>
      <c r="R105"/>
      <c r="S105" s="43">
        <f>SUMIFS(MlM1,MlObj,10,MlJahr,Jahr)</f>
      </c>
      <c r="T105" s="43">
        <f>SUMIFS(MlM2,MlObj,10,MlJahr,Jahr)</f>
      </c>
      <c r="U105" s="43">
        <f>SUMIFS(MlM3,MlObj,10,MlJahr,Jahr)</f>
      </c>
      <c r="V105" s="43">
        <f>SUMIFS(MlM4,MlObj,10,MlJahr,Jahr)</f>
      </c>
      <c r="W105" s="43">
        <f>SUMIFS(MlM5,MlObj,10,MlJahr,Jahr)</f>
      </c>
      <c r="X105" s="43">
        <f>SUMIFS(MlM6,MlObj,10,MlJahr,Jahr)</f>
      </c>
      <c r="Y105" s="43">
        <f>SUMIFS(MlM7,MlObj,10,MlJahr,Jahr)</f>
      </c>
      <c r="Z105" s="43">
        <f>SUMIFS(MlM8,MlObj,10,MlJahr,Jahr)</f>
      </c>
      <c r="AA105" s="43">
        <f>SUMIFS(MlM9,MlObj,10,MlJahr,Jahr)</f>
      </c>
      <c r="AB105" s="43">
        <f>SUMIFS(MlM10,MlObj,10,MlJahr,Jahr)</f>
      </c>
      <c r="AC105" s="43">
        <f>SUMIFS(MlM11,MlObj,10,MlJahr,Jahr)</f>
      </c>
      <c r="AD105" s="43">
        <f>SUMIFS(MlM12,MlObj,10,MlJahr,Jahr)</f>
      </c>
    </row>
    <row r="106">
      <c r="A106"/>
      <c r="B106"/>
      <c r="C106" s="16" t="inlineStr">
        <is>
          <t xml:space="preserve">Nebenkosten-Vorauszahlung</t>
        </is>
      </c>
      <c r="D106" s="16" t="inlineStr">
        <is>
          <t xml:space="preserve">Einnahmen</t>
        </is>
      </c>
      <c r="E106" s="30">
        <f>IF($E210="",$S106,$E210)</f>
      </c>
      <c r="F106" s="30">
        <f>IF($F210="",$T106,$F210)</f>
      </c>
      <c r="G106" s="30">
        <f>IF($G210="",$U106,$G210)</f>
      </c>
      <c r="H106" s="30">
        <f>IF($H210="",$V106,$H210)</f>
      </c>
      <c r="I106" s="30">
        <f>IF($I210="",$W106,$I210)</f>
      </c>
      <c r="J106" s="30">
        <f>IF($J210="",$X106,$J210)</f>
      </c>
      <c r="K106" s="30">
        <f>IF($K210="",$Y106,$K210)</f>
      </c>
      <c r="L106" s="30">
        <f>IF($L210="",$Z106,$L210)</f>
      </c>
      <c r="M106" s="30">
        <f>IF($M210="",$AA106,$M210)</f>
      </c>
      <c r="N106" s="30">
        <f>IF($N210="",$AB106,$N210)</f>
      </c>
      <c r="O106" s="30">
        <f>IF($O210="",$AC106,$O210)</f>
      </c>
      <c r="P106" s="30">
        <f>IF($P210="",$AD106,$P210)</f>
      </c>
      <c r="Q106" s="42">
        <f>SUM($E106:$P106)</f>
      </c>
      <c r="R106"/>
      <c r="S106" s="43">
        <f>SUMIF(NkObj,10,NkM1)</f>
      </c>
      <c r="T106" s="43">
        <f>SUMIF(NkObj,10,NkM2)</f>
      </c>
      <c r="U106" s="43">
        <f>SUMIF(NkObj,10,NkM3)</f>
      </c>
      <c r="V106" s="43">
        <f>SUMIF(NkObj,10,NkM4)</f>
      </c>
      <c r="W106" s="43">
        <f>SUMIF(NkObj,10,NkM5)</f>
      </c>
      <c r="X106" s="43">
        <f>SUMIF(NkObj,10,NkM6)</f>
      </c>
      <c r="Y106" s="43">
        <f>SUMIF(NkObj,10,NkM7)</f>
      </c>
      <c r="Z106" s="43">
        <f>SUMIF(NkObj,10,NkM8)</f>
      </c>
      <c r="AA106" s="43">
        <f>SUMIF(NkObj,10,NkM9)</f>
      </c>
      <c r="AB106" s="43">
        <f>SUMIF(NkObj,10,NkM10)</f>
      </c>
      <c r="AC106" s="43">
        <f>SUMIF(NkObj,10,NkM11)</f>
      </c>
      <c r="AD106" s="43">
        <f>SUMIF(NkObj,10,NkM12)</f>
      </c>
    </row>
    <row r="107">
      <c r="A107"/>
      <c r="B107"/>
      <c r="C107" s="16" t="inlineStr">
        <is>
          <t xml:space="preserve">Hausgeld, nicht umlagefähig</t>
        </is>
      </c>
      <c r="D107" s="16" t="inlineStr">
        <is>
          <t xml:space="preserve">Bewirtschaftung</t>
        </is>
      </c>
      <c r="E107" s="30">
        <f>IF($E211="",$S107,$E211)</f>
      </c>
      <c r="F107" s="30">
        <f>IF($F211="",$T107,$F211)</f>
      </c>
      <c r="G107" s="30">
        <f>IF($G211="",$U107,$G211)</f>
      </c>
      <c r="H107" s="30">
        <f>IF($H211="",$V107,$H211)</f>
      </c>
      <c r="I107" s="30">
        <f>IF($I211="",$W107,$I211)</f>
      </c>
      <c r="J107" s="30">
        <f>IF($J211="",$X107,$J211)</f>
      </c>
      <c r="K107" s="30">
        <f>IF($K211="",$Y107,$K211)</f>
      </c>
      <c r="L107" s="30">
        <f>IF($L211="",$Z107,$L211)</f>
      </c>
      <c r="M107" s="30">
        <f>IF($M211="",$AA107,$M211)</f>
      </c>
      <c r="N107" s="30">
        <f>IF($N211="",$AB107,$N211)</f>
      </c>
      <c r="O107" s="30">
        <f>IF($O211="",$AC107,$O211)</f>
      </c>
      <c r="P107" s="30">
        <f>IF($P211="",$AD107,$P211)</f>
      </c>
      <c r="Q107" s="42">
        <f>SUM($E107:$P107)</f>
      </c>
      <c r="R107"/>
      <c r="S107" s="43">
        <f>IF(AND(INDEX(ObjKaufJahr,10)&gt;0,DATE(Jahr,1,1)&gt;=DATE(INDEX(ObjKaufJahr,10),INDEX(ObjKaufMonat,10),1)),MAX(0,INDEX(ObjHausgeld,10)-INDEX(ObjUmlage,10)),0)</f>
      </c>
      <c r="T107" s="43">
        <f>IF(AND(INDEX(ObjKaufJahr,10)&gt;0,DATE(Jahr,2,1)&gt;=DATE(INDEX(ObjKaufJahr,10),INDEX(ObjKaufMonat,10),1)),MAX(0,INDEX(ObjHausgeld,10)-INDEX(ObjUmlage,10)),0)</f>
      </c>
      <c r="U107" s="43">
        <f>IF(AND(INDEX(ObjKaufJahr,10)&gt;0,DATE(Jahr,3,1)&gt;=DATE(INDEX(ObjKaufJahr,10),INDEX(ObjKaufMonat,10),1)),MAX(0,INDEX(ObjHausgeld,10)-INDEX(ObjUmlage,10)),0)</f>
      </c>
      <c r="V107" s="43">
        <f>IF(AND(INDEX(ObjKaufJahr,10)&gt;0,DATE(Jahr,4,1)&gt;=DATE(INDEX(ObjKaufJahr,10),INDEX(ObjKaufMonat,10),1)),MAX(0,INDEX(ObjHausgeld,10)-INDEX(ObjUmlage,10)),0)</f>
      </c>
      <c r="W107" s="43">
        <f>IF(AND(INDEX(ObjKaufJahr,10)&gt;0,DATE(Jahr,5,1)&gt;=DATE(INDEX(ObjKaufJahr,10),INDEX(ObjKaufMonat,10),1)),MAX(0,INDEX(ObjHausgeld,10)-INDEX(ObjUmlage,10)),0)</f>
      </c>
      <c r="X107" s="43">
        <f>IF(AND(INDEX(ObjKaufJahr,10)&gt;0,DATE(Jahr,6,1)&gt;=DATE(INDEX(ObjKaufJahr,10),INDEX(ObjKaufMonat,10),1)),MAX(0,INDEX(ObjHausgeld,10)-INDEX(ObjUmlage,10)),0)</f>
      </c>
      <c r="Y107" s="43">
        <f>IF(AND(INDEX(ObjKaufJahr,10)&gt;0,DATE(Jahr,7,1)&gt;=DATE(INDEX(ObjKaufJahr,10),INDEX(ObjKaufMonat,10),1)),MAX(0,INDEX(ObjHausgeld,10)-INDEX(ObjUmlage,10)),0)</f>
      </c>
      <c r="Z107" s="43">
        <f>IF(AND(INDEX(ObjKaufJahr,10)&gt;0,DATE(Jahr,8,1)&gt;=DATE(INDEX(ObjKaufJahr,10),INDEX(ObjKaufMonat,10),1)),MAX(0,INDEX(ObjHausgeld,10)-INDEX(ObjUmlage,10)),0)</f>
      </c>
      <c r="AA107" s="43">
        <f>IF(AND(INDEX(ObjKaufJahr,10)&gt;0,DATE(Jahr,9,1)&gt;=DATE(INDEX(ObjKaufJahr,10),INDEX(ObjKaufMonat,10),1)),MAX(0,INDEX(ObjHausgeld,10)-INDEX(ObjUmlage,10)),0)</f>
      </c>
      <c r="AB107" s="43">
        <f>IF(AND(INDEX(ObjKaufJahr,10)&gt;0,DATE(Jahr,10,1)&gt;=DATE(INDEX(ObjKaufJahr,10),INDEX(ObjKaufMonat,10),1)),MAX(0,INDEX(ObjHausgeld,10)-INDEX(ObjUmlage,10)),0)</f>
      </c>
      <c r="AC107" s="43">
        <f>IF(AND(INDEX(ObjKaufJahr,10)&gt;0,DATE(Jahr,11,1)&gt;=DATE(INDEX(ObjKaufJahr,10),INDEX(ObjKaufMonat,10),1)),MAX(0,INDEX(ObjHausgeld,10)-INDEX(ObjUmlage,10)),0)</f>
      </c>
      <c r="AD107" s="43">
        <f>IF(AND(INDEX(ObjKaufJahr,10)&gt;0,DATE(Jahr,12,1)&gt;=DATE(INDEX(ObjKaufJahr,10),INDEX(ObjKaufMonat,10),1)),MAX(0,INDEX(ObjHausgeld,10)-INDEX(ObjUmlage,10)),0)</f>
      </c>
    </row>
    <row r="108">
      <c r="A108"/>
      <c r="B108"/>
      <c r="C108" s="16" t="inlineStr">
        <is>
          <t xml:space="preserve">Verwaltung</t>
        </is>
      </c>
      <c r="D108" s="16" t="inlineStr">
        <is>
          <t xml:space="preserve">Bewirtschaftung</t>
        </is>
      </c>
      <c r="E108" s="30">
        <f>IF($E212="",$S108,$E212)</f>
      </c>
      <c r="F108" s="30">
        <f>IF($F212="",$T108,$F212)</f>
      </c>
      <c r="G108" s="30">
        <f>IF($G212="",$U108,$G212)</f>
      </c>
      <c r="H108" s="30">
        <f>IF($H212="",$V108,$H212)</f>
      </c>
      <c r="I108" s="30">
        <f>IF($I212="",$W108,$I212)</f>
      </c>
      <c r="J108" s="30">
        <f>IF($J212="",$X108,$J212)</f>
      </c>
      <c r="K108" s="30">
        <f>IF($K212="",$Y108,$K212)</f>
      </c>
      <c r="L108" s="30">
        <f>IF($L212="",$Z108,$L212)</f>
      </c>
      <c r="M108" s="30">
        <f>IF($M212="",$AA108,$M212)</f>
      </c>
      <c r="N108" s="30">
        <f>IF($N212="",$AB108,$N212)</f>
      </c>
      <c r="O108" s="30">
        <f>IF($O212="",$AC108,$O212)</f>
      </c>
      <c r="P108" s="30">
        <f>IF($P212="",$AD108,$P212)</f>
      </c>
      <c r="Q108" s="42">
        <f>SUM($E108:$P108)</f>
      </c>
      <c r="R108"/>
      <c r="S108" s="43">
        <f>IF(AND(INDEX(ObjKaufJahr,10)&gt;0,DATE(Jahr,1,1)&gt;=DATE(INDEX(ObjKaufJahr,10),INDEX(ObjKaufMonat,10),1)),INDEX(ObjVerwaltung,10),0)</f>
      </c>
      <c r="T108" s="43">
        <f>IF(AND(INDEX(ObjKaufJahr,10)&gt;0,DATE(Jahr,2,1)&gt;=DATE(INDEX(ObjKaufJahr,10),INDEX(ObjKaufMonat,10),1)),INDEX(ObjVerwaltung,10),0)</f>
      </c>
      <c r="U108" s="43">
        <f>IF(AND(INDEX(ObjKaufJahr,10)&gt;0,DATE(Jahr,3,1)&gt;=DATE(INDEX(ObjKaufJahr,10),INDEX(ObjKaufMonat,10),1)),INDEX(ObjVerwaltung,10),0)</f>
      </c>
      <c r="V108" s="43">
        <f>IF(AND(INDEX(ObjKaufJahr,10)&gt;0,DATE(Jahr,4,1)&gt;=DATE(INDEX(ObjKaufJahr,10),INDEX(ObjKaufMonat,10),1)),INDEX(ObjVerwaltung,10),0)</f>
      </c>
      <c r="W108" s="43">
        <f>IF(AND(INDEX(ObjKaufJahr,10)&gt;0,DATE(Jahr,5,1)&gt;=DATE(INDEX(ObjKaufJahr,10),INDEX(ObjKaufMonat,10),1)),INDEX(ObjVerwaltung,10),0)</f>
      </c>
      <c r="X108" s="43">
        <f>IF(AND(INDEX(ObjKaufJahr,10)&gt;0,DATE(Jahr,6,1)&gt;=DATE(INDEX(ObjKaufJahr,10),INDEX(ObjKaufMonat,10),1)),INDEX(ObjVerwaltung,10),0)</f>
      </c>
      <c r="Y108" s="43">
        <f>IF(AND(INDEX(ObjKaufJahr,10)&gt;0,DATE(Jahr,7,1)&gt;=DATE(INDEX(ObjKaufJahr,10),INDEX(ObjKaufMonat,10),1)),INDEX(ObjVerwaltung,10),0)</f>
      </c>
      <c r="Z108" s="43">
        <f>IF(AND(INDEX(ObjKaufJahr,10)&gt;0,DATE(Jahr,8,1)&gt;=DATE(INDEX(ObjKaufJahr,10),INDEX(ObjKaufMonat,10),1)),INDEX(ObjVerwaltung,10),0)</f>
      </c>
      <c r="AA108" s="43">
        <f>IF(AND(INDEX(ObjKaufJahr,10)&gt;0,DATE(Jahr,9,1)&gt;=DATE(INDEX(ObjKaufJahr,10),INDEX(ObjKaufMonat,10),1)),INDEX(ObjVerwaltung,10),0)</f>
      </c>
      <c r="AB108" s="43">
        <f>IF(AND(INDEX(ObjKaufJahr,10)&gt;0,DATE(Jahr,10,1)&gt;=DATE(INDEX(ObjKaufJahr,10),INDEX(ObjKaufMonat,10),1)),INDEX(ObjVerwaltung,10),0)</f>
      </c>
      <c r="AC108" s="43">
        <f>IF(AND(INDEX(ObjKaufJahr,10)&gt;0,DATE(Jahr,11,1)&gt;=DATE(INDEX(ObjKaufJahr,10),INDEX(ObjKaufMonat,10),1)),INDEX(ObjVerwaltung,10),0)</f>
      </c>
      <c r="AD108" s="43">
        <f>IF(AND(INDEX(ObjKaufJahr,10)&gt;0,DATE(Jahr,12,1)&gt;=DATE(INDEX(ObjKaufJahr,10),INDEX(ObjKaufMonat,10),1)),INDEX(ObjVerwaltung,10),0)</f>
      </c>
    </row>
    <row r="109">
      <c r="A109"/>
      <c r="B109"/>
      <c r="C109" s="16" t="inlineStr">
        <is>
          <t xml:space="preserve">Instandhaltung</t>
        </is>
      </c>
      <c r="D109" s="16" t="inlineStr">
        <is>
          <t xml:space="preserve">Bewirtschaftung</t>
        </is>
      </c>
      <c r="E109" s="30">
        <f>IF($E213="",$S109,$E213)</f>
      </c>
      <c r="F109" s="30">
        <f>IF($F213="",$T109,$F213)</f>
      </c>
      <c r="G109" s="30">
        <f>IF($G213="",$U109,$G213)</f>
      </c>
      <c r="H109" s="30">
        <f>IF($H213="",$V109,$H213)</f>
      </c>
      <c r="I109" s="30">
        <f>IF($I213="",$W109,$I213)</f>
      </c>
      <c r="J109" s="30">
        <f>IF($J213="",$X109,$J213)</f>
      </c>
      <c r="K109" s="30">
        <f>IF($K213="",$Y109,$K213)</f>
      </c>
      <c r="L109" s="30">
        <f>IF($L213="",$Z109,$L213)</f>
      </c>
      <c r="M109" s="30">
        <f>IF($M213="",$AA109,$M213)</f>
      </c>
      <c r="N109" s="30">
        <f>IF($N213="",$AB109,$N213)</f>
      </c>
      <c r="O109" s="30">
        <f>IF($O213="",$AC109,$O213)</f>
      </c>
      <c r="P109" s="30">
        <f>IF($P213="",$AD109,$P213)</f>
      </c>
      <c r="Q109" s="42">
        <f>SUM($E109:$P109)</f>
      </c>
      <c r="R109"/>
      <c r="S109" s="43">
        <f>IF(AND(INDEX(ObjKaufJahr,10)&gt;0,DATE(Jahr,1,1)&gt;=DATE(INDEX(ObjKaufJahr,10),INDEX(ObjKaufMonat,10),1)),INDEX(ObjInstand,10),0)</f>
      </c>
      <c r="T109" s="43">
        <f>IF(AND(INDEX(ObjKaufJahr,10)&gt;0,DATE(Jahr,2,1)&gt;=DATE(INDEX(ObjKaufJahr,10),INDEX(ObjKaufMonat,10),1)),INDEX(ObjInstand,10),0)</f>
      </c>
      <c r="U109" s="43">
        <f>IF(AND(INDEX(ObjKaufJahr,10)&gt;0,DATE(Jahr,3,1)&gt;=DATE(INDEX(ObjKaufJahr,10),INDEX(ObjKaufMonat,10),1)),INDEX(ObjInstand,10),0)</f>
      </c>
      <c r="V109" s="43">
        <f>IF(AND(INDEX(ObjKaufJahr,10)&gt;0,DATE(Jahr,4,1)&gt;=DATE(INDEX(ObjKaufJahr,10),INDEX(ObjKaufMonat,10),1)),INDEX(ObjInstand,10),0)</f>
      </c>
      <c r="W109" s="43">
        <f>IF(AND(INDEX(ObjKaufJahr,10)&gt;0,DATE(Jahr,5,1)&gt;=DATE(INDEX(ObjKaufJahr,10),INDEX(ObjKaufMonat,10),1)),INDEX(ObjInstand,10),0)</f>
      </c>
      <c r="X109" s="43">
        <f>IF(AND(INDEX(ObjKaufJahr,10)&gt;0,DATE(Jahr,6,1)&gt;=DATE(INDEX(ObjKaufJahr,10),INDEX(ObjKaufMonat,10),1)),INDEX(ObjInstand,10),0)</f>
      </c>
      <c r="Y109" s="43">
        <f>IF(AND(INDEX(ObjKaufJahr,10)&gt;0,DATE(Jahr,7,1)&gt;=DATE(INDEX(ObjKaufJahr,10),INDEX(ObjKaufMonat,10),1)),INDEX(ObjInstand,10),0)</f>
      </c>
      <c r="Z109" s="43">
        <f>IF(AND(INDEX(ObjKaufJahr,10)&gt;0,DATE(Jahr,8,1)&gt;=DATE(INDEX(ObjKaufJahr,10),INDEX(ObjKaufMonat,10),1)),INDEX(ObjInstand,10),0)</f>
      </c>
      <c r="AA109" s="43">
        <f>IF(AND(INDEX(ObjKaufJahr,10)&gt;0,DATE(Jahr,9,1)&gt;=DATE(INDEX(ObjKaufJahr,10),INDEX(ObjKaufMonat,10),1)),INDEX(ObjInstand,10),0)</f>
      </c>
      <c r="AB109" s="43">
        <f>IF(AND(INDEX(ObjKaufJahr,10)&gt;0,DATE(Jahr,10,1)&gt;=DATE(INDEX(ObjKaufJahr,10),INDEX(ObjKaufMonat,10),1)),INDEX(ObjInstand,10),0)</f>
      </c>
      <c r="AC109" s="43">
        <f>IF(AND(INDEX(ObjKaufJahr,10)&gt;0,DATE(Jahr,11,1)&gt;=DATE(INDEX(ObjKaufJahr,10),INDEX(ObjKaufMonat,10),1)),INDEX(ObjInstand,10),0)</f>
      </c>
      <c r="AD109" s="43">
        <f>IF(AND(INDEX(ObjKaufJahr,10)&gt;0,DATE(Jahr,12,1)&gt;=DATE(INDEX(ObjKaufJahr,10),INDEX(ObjKaufMonat,10),1)),INDEX(ObjInstand,10),0)</f>
      </c>
    </row>
    <row r="110">
      <c r="A110"/>
      <c r="B110"/>
      <c r="C110" s="16" t="inlineStr">
        <is>
          <t xml:space="preserve">Sonstige Kosten</t>
        </is>
      </c>
      <c r="D110" s="16" t="inlineStr">
        <is>
          <t xml:space="preserve">Bewirtschaftung</t>
        </is>
      </c>
      <c r="E110" s="30">
        <f>IF($E214="",$S110,$E214)</f>
      </c>
      <c r="F110" s="30">
        <f>IF($F214="",$T110,$F214)</f>
      </c>
      <c r="G110" s="30">
        <f>IF($G214="",$U110,$G214)</f>
      </c>
      <c r="H110" s="30">
        <f>IF($H214="",$V110,$H214)</f>
      </c>
      <c r="I110" s="30">
        <f>IF($I214="",$W110,$I214)</f>
      </c>
      <c r="J110" s="30">
        <f>IF($J214="",$X110,$J214)</f>
      </c>
      <c r="K110" s="30">
        <f>IF($K214="",$Y110,$K214)</f>
      </c>
      <c r="L110" s="30">
        <f>IF($L214="",$Z110,$L214)</f>
      </c>
      <c r="M110" s="30">
        <f>IF($M214="",$AA110,$M214)</f>
      </c>
      <c r="N110" s="30">
        <f>IF($N214="",$AB110,$N214)</f>
      </c>
      <c r="O110" s="30">
        <f>IF($O214="",$AC110,$O214)</f>
      </c>
      <c r="P110" s="30">
        <f>IF($P214="",$AD110,$P214)</f>
      </c>
      <c r="Q110" s="42">
        <f>SUM($E110:$P110)</f>
      </c>
      <c r="R110"/>
      <c r="S110" s="43">
        <f>IF(AND(INDEX(ObjKaufJahr,10)&gt;0,DATE(Jahr,1,1)&gt;=DATE(INDEX(ObjKaufJahr,10),INDEX(ObjKaufMonat,10),1)),INDEX(ObjSonstige,10)/12,0)</f>
      </c>
      <c r="T110" s="43">
        <f>IF(AND(INDEX(ObjKaufJahr,10)&gt;0,DATE(Jahr,2,1)&gt;=DATE(INDEX(ObjKaufJahr,10),INDEX(ObjKaufMonat,10),1)),INDEX(ObjSonstige,10)/12,0)</f>
      </c>
      <c r="U110" s="43">
        <f>IF(AND(INDEX(ObjKaufJahr,10)&gt;0,DATE(Jahr,3,1)&gt;=DATE(INDEX(ObjKaufJahr,10),INDEX(ObjKaufMonat,10),1)),INDEX(ObjSonstige,10)/12,0)</f>
      </c>
      <c r="V110" s="43">
        <f>IF(AND(INDEX(ObjKaufJahr,10)&gt;0,DATE(Jahr,4,1)&gt;=DATE(INDEX(ObjKaufJahr,10),INDEX(ObjKaufMonat,10),1)),INDEX(ObjSonstige,10)/12,0)</f>
      </c>
      <c r="W110" s="43">
        <f>IF(AND(INDEX(ObjKaufJahr,10)&gt;0,DATE(Jahr,5,1)&gt;=DATE(INDEX(ObjKaufJahr,10),INDEX(ObjKaufMonat,10),1)),INDEX(ObjSonstige,10)/12,0)</f>
      </c>
      <c r="X110" s="43">
        <f>IF(AND(INDEX(ObjKaufJahr,10)&gt;0,DATE(Jahr,6,1)&gt;=DATE(INDEX(ObjKaufJahr,10),INDEX(ObjKaufMonat,10),1)),INDEX(ObjSonstige,10)/12,0)</f>
      </c>
      <c r="Y110" s="43">
        <f>IF(AND(INDEX(ObjKaufJahr,10)&gt;0,DATE(Jahr,7,1)&gt;=DATE(INDEX(ObjKaufJahr,10),INDEX(ObjKaufMonat,10),1)),INDEX(ObjSonstige,10)/12,0)</f>
      </c>
      <c r="Z110" s="43">
        <f>IF(AND(INDEX(ObjKaufJahr,10)&gt;0,DATE(Jahr,8,1)&gt;=DATE(INDEX(ObjKaufJahr,10),INDEX(ObjKaufMonat,10),1)),INDEX(ObjSonstige,10)/12,0)</f>
      </c>
      <c r="AA110" s="43">
        <f>IF(AND(INDEX(ObjKaufJahr,10)&gt;0,DATE(Jahr,9,1)&gt;=DATE(INDEX(ObjKaufJahr,10),INDEX(ObjKaufMonat,10),1)),INDEX(ObjSonstige,10)/12,0)</f>
      </c>
      <c r="AB110" s="43">
        <f>IF(AND(INDEX(ObjKaufJahr,10)&gt;0,DATE(Jahr,10,1)&gt;=DATE(INDEX(ObjKaufJahr,10),INDEX(ObjKaufMonat,10),1)),INDEX(ObjSonstige,10)/12,0)</f>
      </c>
      <c r="AC110" s="43">
        <f>IF(AND(INDEX(ObjKaufJahr,10)&gt;0,DATE(Jahr,11,1)&gt;=DATE(INDEX(ObjKaufJahr,10),INDEX(ObjKaufMonat,10),1)),INDEX(ObjSonstige,10)/12,0)</f>
      </c>
      <c r="AD110" s="43">
        <f>IF(AND(INDEX(ObjKaufJahr,10)&gt;0,DATE(Jahr,12,1)&gt;=DATE(INDEX(ObjKaufJahr,10),INDEX(ObjKaufMonat,10),1)),INDEX(ObjSonstige,10)/12,0)</f>
      </c>
    </row>
    <row r="111">
      <c r="A111"/>
      <c r="B111"/>
      <c r="C111" s="16" t="inlineStr">
        <is>
          <t xml:space="preserve">Zinsen</t>
        </is>
      </c>
      <c r="D111" s="16" t="inlineStr">
        <is>
          <t xml:space="preserve">Finanzierung</t>
        </is>
      </c>
      <c r="E111" s="30">
        <f>IF($E215="",$S111,$E215)</f>
      </c>
      <c r="F111" s="30">
        <f>IF($F215="",$T111,$F215)</f>
      </c>
      <c r="G111" s="30">
        <f>IF($G215="",$U111,$G215)</f>
      </c>
      <c r="H111" s="30">
        <f>IF($H215="",$V111,$H215)</f>
      </c>
      <c r="I111" s="30">
        <f>IF($I215="",$W111,$I215)</f>
      </c>
      <c r="J111" s="30">
        <f>IF($J215="",$X111,$J215)</f>
      </c>
      <c r="K111" s="30">
        <f>IF($K215="",$Y111,$K215)</f>
      </c>
      <c r="L111" s="30">
        <f>IF($L215="",$Z111,$L215)</f>
      </c>
      <c r="M111" s="30">
        <f>IF($M215="",$AA111,$M215)</f>
      </c>
      <c r="N111" s="30">
        <f>IF($N215="",$AB111,$N215)</f>
      </c>
      <c r="O111" s="30">
        <f>IF($O215="",$AC111,$O215)</f>
      </c>
      <c r="P111" s="30">
        <f>IF($P215="",$AD111,$P215)</f>
      </c>
      <c r="Q111" s="42">
        <f>SUM($E111:$P111)</f>
      </c>
      <c r="R111"/>
      <c r="S111" s="43">
        <f>SUMIFS(TilgZins,TilgObj,10,TilgDatum,DATE(Jahr,1,1))</f>
      </c>
      <c r="T111" s="43">
        <f>SUMIFS(TilgZins,TilgObj,10,TilgDatum,DATE(Jahr,2,1))</f>
      </c>
      <c r="U111" s="43">
        <f>SUMIFS(TilgZins,TilgObj,10,TilgDatum,DATE(Jahr,3,1))</f>
      </c>
      <c r="V111" s="43">
        <f>SUMIFS(TilgZins,TilgObj,10,TilgDatum,DATE(Jahr,4,1))</f>
      </c>
      <c r="W111" s="43">
        <f>SUMIFS(TilgZins,TilgObj,10,TilgDatum,DATE(Jahr,5,1))</f>
      </c>
      <c r="X111" s="43">
        <f>SUMIFS(TilgZins,TilgObj,10,TilgDatum,DATE(Jahr,6,1))</f>
      </c>
      <c r="Y111" s="43">
        <f>SUMIFS(TilgZins,TilgObj,10,TilgDatum,DATE(Jahr,7,1))</f>
      </c>
      <c r="Z111" s="43">
        <f>SUMIFS(TilgZins,TilgObj,10,TilgDatum,DATE(Jahr,8,1))</f>
      </c>
      <c r="AA111" s="43">
        <f>SUMIFS(TilgZins,TilgObj,10,TilgDatum,DATE(Jahr,9,1))</f>
      </c>
      <c r="AB111" s="43">
        <f>SUMIFS(TilgZins,TilgObj,10,TilgDatum,DATE(Jahr,10,1))</f>
      </c>
      <c r="AC111" s="43">
        <f>SUMIFS(TilgZins,TilgObj,10,TilgDatum,DATE(Jahr,11,1))</f>
      </c>
      <c r="AD111" s="43">
        <f>SUMIFS(TilgZins,TilgObj,10,TilgDatum,DATE(Jahr,12,1))</f>
      </c>
    </row>
    <row r="112">
      <c r="A112"/>
      <c r="B112"/>
      <c r="C112" s="16" t="inlineStr">
        <is>
          <t xml:space="preserve">Tilgung</t>
        </is>
      </c>
      <c r="D112" s="16" t="inlineStr">
        <is>
          <t xml:space="preserve">Finanzierung</t>
        </is>
      </c>
      <c r="E112" s="30">
        <f>IF($E216="",$S112,$E216)</f>
      </c>
      <c r="F112" s="30">
        <f>IF($F216="",$T112,$F216)</f>
      </c>
      <c r="G112" s="30">
        <f>IF($G216="",$U112,$G216)</f>
      </c>
      <c r="H112" s="30">
        <f>IF($H216="",$V112,$H216)</f>
      </c>
      <c r="I112" s="30">
        <f>IF($I216="",$W112,$I216)</f>
      </c>
      <c r="J112" s="30">
        <f>IF($J216="",$X112,$J216)</f>
      </c>
      <c r="K112" s="30">
        <f>IF($K216="",$Y112,$K216)</f>
      </c>
      <c r="L112" s="30">
        <f>IF($L216="",$Z112,$L216)</f>
      </c>
      <c r="M112" s="30">
        <f>IF($M216="",$AA112,$M216)</f>
      </c>
      <c r="N112" s="30">
        <f>IF($N216="",$AB112,$N216)</f>
      </c>
      <c r="O112" s="30">
        <f>IF($O216="",$AC112,$O216)</f>
      </c>
      <c r="P112" s="30">
        <f>IF($P216="",$AD112,$P216)</f>
      </c>
      <c r="Q112" s="42">
        <f>SUM($E112:$P112)</f>
      </c>
      <c r="R112"/>
      <c r="S112" s="43">
        <f>SUMIFS(TilgTilgung,TilgObj,10,TilgDatum,DATE(Jahr,1,1))</f>
      </c>
      <c r="T112" s="43">
        <f>SUMIFS(TilgTilgung,TilgObj,10,TilgDatum,DATE(Jahr,2,1))</f>
      </c>
      <c r="U112" s="43">
        <f>SUMIFS(TilgTilgung,TilgObj,10,TilgDatum,DATE(Jahr,3,1))</f>
      </c>
      <c r="V112" s="43">
        <f>SUMIFS(TilgTilgung,TilgObj,10,TilgDatum,DATE(Jahr,4,1))</f>
      </c>
      <c r="W112" s="43">
        <f>SUMIFS(TilgTilgung,TilgObj,10,TilgDatum,DATE(Jahr,5,1))</f>
      </c>
      <c r="X112" s="43">
        <f>SUMIFS(TilgTilgung,TilgObj,10,TilgDatum,DATE(Jahr,6,1))</f>
      </c>
      <c r="Y112" s="43">
        <f>SUMIFS(TilgTilgung,TilgObj,10,TilgDatum,DATE(Jahr,7,1))</f>
      </c>
      <c r="Z112" s="43">
        <f>SUMIFS(TilgTilgung,TilgObj,10,TilgDatum,DATE(Jahr,8,1))</f>
      </c>
      <c r="AA112" s="43">
        <f>SUMIFS(TilgTilgung,TilgObj,10,TilgDatum,DATE(Jahr,9,1))</f>
      </c>
      <c r="AB112" s="43">
        <f>SUMIFS(TilgTilgung,TilgObj,10,TilgDatum,DATE(Jahr,10,1))</f>
      </c>
      <c r="AC112" s="43">
        <f>SUMIFS(TilgTilgung,TilgObj,10,TilgDatum,DATE(Jahr,11,1))</f>
      </c>
      <c r="AD112" s="43">
        <f>SUMIFS(TilgTilgung,TilgObj,10,TilgDatum,DATE(Jahr,12,1))</f>
      </c>
    </row>
    <row r="113">
      <c r="A113"/>
      <c r="B113"/>
      <c r="C113" s="16" t="inlineStr">
        <is>
          <t xml:space="preserve">Sondertilgung</t>
        </is>
      </c>
      <c r="D113" s="16" t="inlineStr">
        <is>
          <t xml:space="preserve">Finanzierung</t>
        </is>
      </c>
      <c r="E113" s="30">
        <f>IF($E217="",$S113,$E217)</f>
      </c>
      <c r="F113" s="30">
        <f>IF($F217="",$T113,$F217)</f>
      </c>
      <c r="G113" s="30">
        <f>IF($G217="",$U113,$G217)</f>
      </c>
      <c r="H113" s="30">
        <f>IF($H217="",$V113,$H217)</f>
      </c>
      <c r="I113" s="30">
        <f>IF($I217="",$W113,$I217)</f>
      </c>
      <c r="J113" s="30">
        <f>IF($J217="",$X113,$J217)</f>
      </c>
      <c r="K113" s="30">
        <f>IF($K217="",$Y113,$K217)</f>
      </c>
      <c r="L113" s="30">
        <f>IF($L217="",$Z113,$L217)</f>
      </c>
      <c r="M113" s="30">
        <f>IF($M217="",$AA113,$M217)</f>
      </c>
      <c r="N113" s="30">
        <f>IF($N217="",$AB113,$N217)</f>
      </c>
      <c r="O113" s="30">
        <f>IF($O217="",$AC113,$O217)</f>
      </c>
      <c r="P113" s="30">
        <f>IF($P217="",$AD113,$P217)</f>
      </c>
      <c r="Q113" s="42">
        <f>SUM($E113:$P113)</f>
      </c>
      <c r="R113"/>
      <c r="S113" s="43">
        <f>SUMIFS(TilgSonder,TilgObj,10,TilgDatum,DATE(Jahr,1,1))</f>
      </c>
      <c r="T113" s="43">
        <f>SUMIFS(TilgSonder,TilgObj,10,TilgDatum,DATE(Jahr,2,1))</f>
      </c>
      <c r="U113" s="43">
        <f>SUMIFS(TilgSonder,TilgObj,10,TilgDatum,DATE(Jahr,3,1))</f>
      </c>
      <c r="V113" s="43">
        <f>SUMIFS(TilgSonder,TilgObj,10,TilgDatum,DATE(Jahr,4,1))</f>
      </c>
      <c r="W113" s="43">
        <f>SUMIFS(TilgSonder,TilgObj,10,TilgDatum,DATE(Jahr,5,1))</f>
      </c>
      <c r="X113" s="43">
        <f>SUMIFS(TilgSonder,TilgObj,10,TilgDatum,DATE(Jahr,6,1))</f>
      </c>
      <c r="Y113" s="43">
        <f>SUMIFS(TilgSonder,TilgObj,10,TilgDatum,DATE(Jahr,7,1))</f>
      </c>
      <c r="Z113" s="43">
        <f>SUMIFS(TilgSonder,TilgObj,10,TilgDatum,DATE(Jahr,8,1))</f>
      </c>
      <c r="AA113" s="43">
        <f>SUMIFS(TilgSonder,TilgObj,10,TilgDatum,DATE(Jahr,9,1))</f>
      </c>
      <c r="AB113" s="43">
        <f>SUMIFS(TilgSonder,TilgObj,10,TilgDatum,DATE(Jahr,10,1))</f>
      </c>
      <c r="AC113" s="43">
        <f>SUMIFS(TilgSonder,TilgObj,10,TilgDatum,DATE(Jahr,11,1))</f>
      </c>
      <c r="AD113" s="43">
        <f>SUMIFS(TilgSonder,TilgObj,10,TilgDatum,DATE(Jahr,12,1))</f>
      </c>
    </row>
    <row r="114">
      <c r="A114"/>
      <c r="B114"/>
      <c r="C114" s="16" t="inlineStr">
        <is>
          <t xml:space="preserve">Tilgungsersatzleistung</t>
        </is>
      </c>
      <c r="D114" s="16" t="inlineStr">
        <is>
          <t xml:space="preserve">Finanzierung</t>
        </is>
      </c>
      <c r="E114" s="30">
        <f>IF($E218="",$S114,$E218)</f>
      </c>
      <c r="F114" s="30">
        <f>IF($F218="",$T114,$F218)</f>
      </c>
      <c r="G114" s="30">
        <f>IF($G218="",$U114,$G218)</f>
      </c>
      <c r="H114" s="30">
        <f>IF($H218="",$V114,$H218)</f>
      </c>
      <c r="I114" s="30">
        <f>IF($I218="",$W114,$I218)</f>
      </c>
      <c r="J114" s="30">
        <f>IF($J218="",$X114,$J218)</f>
      </c>
      <c r="K114" s="30">
        <f>IF($K218="",$Y114,$K218)</f>
      </c>
      <c r="L114" s="30">
        <f>IF($L218="",$Z114,$L218)</f>
      </c>
      <c r="M114" s="30">
        <f>IF($M218="",$AA114,$M218)</f>
      </c>
      <c r="N114" s="30">
        <f>IF($N218="",$AB114,$N218)</f>
      </c>
      <c r="O114" s="30">
        <f>IF($O218="",$AC114,$O218)</f>
      </c>
      <c r="P114" s="30">
        <f>IF($P218="",$AD114,$P218)</f>
      </c>
      <c r="Q114" s="42">
        <f>SUM($E114:$P114)</f>
      </c>
      <c r="R114"/>
      <c r="S114" s="43">
        <f>SUMIFS(TilgErsatz,TilgObj,10,TilgDatum,DATE(Jahr,1,1))</f>
      </c>
      <c r="T114" s="43">
        <f>SUMIFS(TilgErsatz,TilgObj,10,TilgDatum,DATE(Jahr,2,1))</f>
      </c>
      <c r="U114" s="43">
        <f>SUMIFS(TilgErsatz,TilgObj,10,TilgDatum,DATE(Jahr,3,1))</f>
      </c>
      <c r="V114" s="43">
        <f>SUMIFS(TilgErsatz,TilgObj,10,TilgDatum,DATE(Jahr,4,1))</f>
      </c>
      <c r="W114" s="43">
        <f>SUMIFS(TilgErsatz,TilgObj,10,TilgDatum,DATE(Jahr,5,1))</f>
      </c>
      <c r="X114" s="43">
        <f>SUMIFS(TilgErsatz,TilgObj,10,TilgDatum,DATE(Jahr,6,1))</f>
      </c>
      <c r="Y114" s="43">
        <f>SUMIFS(TilgErsatz,TilgObj,10,TilgDatum,DATE(Jahr,7,1))</f>
      </c>
      <c r="Z114" s="43">
        <f>SUMIFS(TilgErsatz,TilgObj,10,TilgDatum,DATE(Jahr,8,1))</f>
      </c>
      <c r="AA114" s="43">
        <f>SUMIFS(TilgErsatz,TilgObj,10,TilgDatum,DATE(Jahr,9,1))</f>
      </c>
      <c r="AB114" s="43">
        <f>SUMIFS(TilgErsatz,TilgObj,10,TilgDatum,DATE(Jahr,10,1))</f>
      </c>
      <c r="AC114" s="43">
        <f>SUMIFS(TilgErsatz,TilgObj,10,TilgDatum,DATE(Jahr,11,1))</f>
      </c>
      <c r="AD114" s="43">
        <f>SUMIFS(TilgErsatz,TilgObj,10,TilgDatum,DATE(Jahr,12,1))</f>
      </c>
    </row>
    <row r="117">
      <c r="A117"/>
      <c r="B117" s="4" t="inlineStr">
        <is>
          <t xml:space="preserve">C · Korrekturen</t>
        </is>
      </c>
      <c r="C117"/>
      <c r="D117"/>
      <c r="E117" s="13" t="inlineStr">
        <is>
          <t xml:space="preserve">Leer = wie gerechnet · 0 = Zahlung entfällt · Zahl = abweichender Betrag.</t>
        </is>
      </c>
    </row>
    <row r="118">
      <c r="A118"/>
      <c r="B118" s="25" t="inlineStr">
        <is>
          <t xml:space="preserve">Objekt</t>
        </is>
      </c>
      <c r="C118" s="25" t="inlineStr">
        <is>
          <t xml:space="preserve">Zahlungsart</t>
        </is>
      </c>
      <c r="D118" s="25" t="inlineStr">
        <is>
          <t xml:space="preserve">Gruppe</t>
        </is>
      </c>
      <c r="E118" s="24" t="inlineStr">
        <is>
          <t xml:space="preserve">Jan</t>
        </is>
      </c>
      <c r="F118" s="24" t="inlineStr">
        <is>
          <t xml:space="preserve">Feb</t>
        </is>
      </c>
      <c r="G118" s="24" t="inlineStr">
        <is>
          <t xml:space="preserve">Mrz</t>
        </is>
      </c>
      <c r="H118" s="24" t="inlineStr">
        <is>
          <t xml:space="preserve">Apr</t>
        </is>
      </c>
      <c r="I118" s="24" t="inlineStr">
        <is>
          <t xml:space="preserve">Mai</t>
        </is>
      </c>
      <c r="J118" s="24" t="inlineStr">
        <is>
          <t xml:space="preserve">Jun</t>
        </is>
      </c>
      <c r="K118" s="24" t="inlineStr">
        <is>
          <t xml:space="preserve">Jul</t>
        </is>
      </c>
      <c r="L118" s="24" t="inlineStr">
        <is>
          <t xml:space="preserve">Aug</t>
        </is>
      </c>
      <c r="M118" s="24" t="inlineStr">
        <is>
          <t xml:space="preserve">Sep</t>
        </is>
      </c>
      <c r="N118" s="24" t="inlineStr">
        <is>
          <t xml:space="preserve">Okt</t>
        </is>
      </c>
      <c r="O118" s="24" t="inlineStr">
        <is>
          <t xml:space="preserve">Nov</t>
        </is>
      </c>
      <c r="P118" s="24" t="inlineStr">
        <is>
          <t xml:space="preserve">Dez</t>
        </is>
      </c>
    </row>
    <row r="119">
      <c r="A119"/>
      <c r="B119" s="6">
        <f>IF(INDEX(ObjBelegt,1)=0,"– Objekt 1 –",INDEX(ObjBezeichnung,1))</f>
      </c>
      <c r="C119" s="16" t="inlineStr">
        <is>
          <t xml:space="preserve">Mieteinnahme</t>
        </is>
      </c>
      <c r="D119" s="16" t="inlineStr">
        <is>
          <t xml:space="preserve">Einnahmen</t>
        </is>
      </c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</row>
    <row r="120">
      <c r="A120"/>
      <c r="B120"/>
      <c r="C120" s="16" t="inlineStr">
        <is>
          <t xml:space="preserve">Nebenkosten-Vorauszahlung</t>
        </is>
      </c>
      <c r="D120" s="16" t="inlineStr">
        <is>
          <t xml:space="preserve">Einnahmen</t>
        </is>
      </c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</row>
    <row r="121">
      <c r="A121"/>
      <c r="B121"/>
      <c r="C121" s="16" t="inlineStr">
        <is>
          <t xml:space="preserve">Hausgeld, nicht umlagefähig</t>
        </is>
      </c>
      <c r="D121" s="16" t="inlineStr">
        <is>
          <t xml:space="preserve">Bewirtschaftung</t>
        </is>
      </c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</row>
    <row r="122">
      <c r="A122"/>
      <c r="B122"/>
      <c r="C122" s="16" t="inlineStr">
        <is>
          <t xml:space="preserve">Verwaltung</t>
        </is>
      </c>
      <c r="D122" s="16" t="inlineStr">
        <is>
          <t xml:space="preserve">Bewirtschaftung</t>
        </is>
      </c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</row>
    <row r="123">
      <c r="A123"/>
      <c r="B123"/>
      <c r="C123" s="16" t="inlineStr">
        <is>
          <t xml:space="preserve">Instandhaltung</t>
        </is>
      </c>
      <c r="D123" s="16" t="inlineStr">
        <is>
          <t xml:space="preserve">Bewirtschaftung</t>
        </is>
      </c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</row>
    <row r="124">
      <c r="A124"/>
      <c r="B124"/>
      <c r="C124" s="16" t="inlineStr">
        <is>
          <t xml:space="preserve">Sonstige Kosten</t>
        </is>
      </c>
      <c r="D124" s="16" t="inlineStr">
        <is>
          <t xml:space="preserve">Bewirtschaftung</t>
        </is>
      </c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</row>
    <row r="125">
      <c r="A125"/>
      <c r="B125"/>
      <c r="C125" s="16" t="inlineStr">
        <is>
          <t xml:space="preserve">Zinsen</t>
        </is>
      </c>
      <c r="D125" s="16" t="inlineStr">
        <is>
          <t xml:space="preserve">Finanzierung</t>
        </is>
      </c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</row>
    <row r="126">
      <c r="A126"/>
      <c r="B126"/>
      <c r="C126" s="16" t="inlineStr">
        <is>
          <t xml:space="preserve">Tilgung</t>
        </is>
      </c>
      <c r="D126" s="16" t="inlineStr">
        <is>
          <t xml:space="preserve">Finanzierung</t>
        </is>
      </c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</row>
    <row r="127">
      <c r="A127"/>
      <c r="B127"/>
      <c r="C127" s="16" t="inlineStr">
        <is>
          <t xml:space="preserve">Sondertilgung</t>
        </is>
      </c>
      <c r="D127" s="16" t="inlineStr">
        <is>
          <t xml:space="preserve">Finanzierung</t>
        </is>
      </c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</row>
    <row r="128">
      <c r="A128"/>
      <c r="B128"/>
      <c r="C128" s="16" t="inlineStr">
        <is>
          <t xml:space="preserve">Tilgungsersatzleistung</t>
        </is>
      </c>
      <c r="D128" s="16" t="inlineStr">
        <is>
          <t xml:space="preserve">Finanzierung</t>
        </is>
      </c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</row>
    <row r="129">
      <c r="A129"/>
      <c r="B129" s="6">
        <f>IF(INDEX(ObjBelegt,2)=0,"– Objekt 2 –",INDEX(ObjBezeichnung,2))</f>
      </c>
      <c r="C129" s="16" t="inlineStr">
        <is>
          <t xml:space="preserve">Mieteinnahme</t>
        </is>
      </c>
      <c r="D129" s="16" t="inlineStr">
        <is>
          <t xml:space="preserve">Einnahmen</t>
        </is>
      </c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</row>
    <row r="130">
      <c r="A130"/>
      <c r="B130"/>
      <c r="C130" s="16" t="inlineStr">
        <is>
          <t xml:space="preserve">Nebenkosten-Vorauszahlung</t>
        </is>
      </c>
      <c r="D130" s="16" t="inlineStr">
        <is>
          <t xml:space="preserve">Einnahmen</t>
        </is>
      </c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</row>
    <row r="131">
      <c r="A131"/>
      <c r="B131"/>
      <c r="C131" s="16" t="inlineStr">
        <is>
          <t xml:space="preserve">Hausgeld, nicht umlagefähig</t>
        </is>
      </c>
      <c r="D131" s="16" t="inlineStr">
        <is>
          <t xml:space="preserve">Bewirtschaftung</t>
        </is>
      </c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</row>
    <row r="132">
      <c r="A132"/>
      <c r="B132"/>
      <c r="C132" s="16" t="inlineStr">
        <is>
          <t xml:space="preserve">Verwaltung</t>
        </is>
      </c>
      <c r="D132" s="16" t="inlineStr">
        <is>
          <t xml:space="preserve">Bewirtschaftung</t>
        </is>
      </c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</row>
    <row r="133">
      <c r="A133"/>
      <c r="B133"/>
      <c r="C133" s="16" t="inlineStr">
        <is>
          <t xml:space="preserve">Instandhaltung</t>
        </is>
      </c>
      <c r="D133" s="16" t="inlineStr">
        <is>
          <t xml:space="preserve">Bewirtschaftung</t>
        </is>
      </c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</row>
    <row r="134">
      <c r="A134"/>
      <c r="B134"/>
      <c r="C134" s="16" t="inlineStr">
        <is>
          <t xml:space="preserve">Sonstige Kosten</t>
        </is>
      </c>
      <c r="D134" s="16" t="inlineStr">
        <is>
          <t xml:space="preserve">Bewirtschaftung</t>
        </is>
      </c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</row>
    <row r="135">
      <c r="A135"/>
      <c r="B135"/>
      <c r="C135" s="16" t="inlineStr">
        <is>
          <t xml:space="preserve">Zinsen</t>
        </is>
      </c>
      <c r="D135" s="16" t="inlineStr">
        <is>
          <t xml:space="preserve">Finanzierung</t>
        </is>
      </c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</row>
    <row r="136">
      <c r="A136"/>
      <c r="B136"/>
      <c r="C136" s="16" t="inlineStr">
        <is>
          <t xml:space="preserve">Tilgung</t>
        </is>
      </c>
      <c r="D136" s="16" t="inlineStr">
        <is>
          <t xml:space="preserve">Finanzierung</t>
        </is>
      </c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</row>
    <row r="137">
      <c r="A137"/>
      <c r="B137"/>
      <c r="C137" s="16" t="inlineStr">
        <is>
          <t xml:space="preserve">Sondertilgung</t>
        </is>
      </c>
      <c r="D137" s="16" t="inlineStr">
        <is>
          <t xml:space="preserve">Finanzierung</t>
        </is>
      </c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</row>
    <row r="138">
      <c r="A138"/>
      <c r="B138"/>
      <c r="C138" s="16" t="inlineStr">
        <is>
          <t xml:space="preserve">Tilgungsersatzleistung</t>
        </is>
      </c>
      <c r="D138" s="16" t="inlineStr">
        <is>
          <t xml:space="preserve">Finanzierung</t>
        </is>
      </c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</row>
    <row r="139">
      <c r="A139"/>
      <c r="B139" s="6">
        <f>IF(INDEX(ObjBelegt,3)=0,"– Objekt 3 –",INDEX(ObjBezeichnung,3))</f>
      </c>
      <c r="C139" s="16" t="inlineStr">
        <is>
          <t xml:space="preserve">Mieteinnahme</t>
        </is>
      </c>
      <c r="D139" s="16" t="inlineStr">
        <is>
          <t xml:space="preserve">Einnahmen</t>
        </is>
      </c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</row>
    <row r="140">
      <c r="A140"/>
      <c r="B140"/>
      <c r="C140" s="16" t="inlineStr">
        <is>
          <t xml:space="preserve">Nebenkosten-Vorauszahlung</t>
        </is>
      </c>
      <c r="D140" s="16" t="inlineStr">
        <is>
          <t xml:space="preserve">Einnahmen</t>
        </is>
      </c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</row>
    <row r="141">
      <c r="A141"/>
      <c r="B141"/>
      <c r="C141" s="16" t="inlineStr">
        <is>
          <t xml:space="preserve">Hausgeld, nicht umlagefähig</t>
        </is>
      </c>
      <c r="D141" s="16" t="inlineStr">
        <is>
          <t xml:space="preserve">Bewirtschaftung</t>
        </is>
      </c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</row>
    <row r="142">
      <c r="A142"/>
      <c r="B142"/>
      <c r="C142" s="16" t="inlineStr">
        <is>
          <t xml:space="preserve">Verwaltung</t>
        </is>
      </c>
      <c r="D142" s="16" t="inlineStr">
        <is>
          <t xml:space="preserve">Bewirtschaftung</t>
        </is>
      </c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</row>
    <row r="143">
      <c r="A143"/>
      <c r="B143"/>
      <c r="C143" s="16" t="inlineStr">
        <is>
          <t xml:space="preserve">Instandhaltung</t>
        </is>
      </c>
      <c r="D143" s="16" t="inlineStr">
        <is>
          <t xml:space="preserve">Bewirtschaftung</t>
        </is>
      </c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</row>
    <row r="144">
      <c r="A144"/>
      <c r="B144"/>
      <c r="C144" s="16" t="inlineStr">
        <is>
          <t xml:space="preserve">Sonstige Kosten</t>
        </is>
      </c>
      <c r="D144" s="16" t="inlineStr">
        <is>
          <t xml:space="preserve">Bewirtschaftung</t>
        </is>
      </c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</row>
    <row r="145">
      <c r="A145"/>
      <c r="B145"/>
      <c r="C145" s="16" t="inlineStr">
        <is>
          <t xml:space="preserve">Zinsen</t>
        </is>
      </c>
      <c r="D145" s="16" t="inlineStr">
        <is>
          <t xml:space="preserve">Finanzierung</t>
        </is>
      </c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</row>
    <row r="146">
      <c r="A146"/>
      <c r="B146"/>
      <c r="C146" s="16" t="inlineStr">
        <is>
          <t xml:space="preserve">Tilgung</t>
        </is>
      </c>
      <c r="D146" s="16" t="inlineStr">
        <is>
          <t xml:space="preserve">Finanzierung</t>
        </is>
      </c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</row>
    <row r="147">
      <c r="A147"/>
      <c r="B147"/>
      <c r="C147" s="16" t="inlineStr">
        <is>
          <t xml:space="preserve">Sondertilgung</t>
        </is>
      </c>
      <c r="D147" s="16" t="inlineStr">
        <is>
          <t xml:space="preserve">Finanzierung</t>
        </is>
      </c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</row>
    <row r="148">
      <c r="A148"/>
      <c r="B148"/>
      <c r="C148" s="16" t="inlineStr">
        <is>
          <t xml:space="preserve">Tilgungsersatzleistung</t>
        </is>
      </c>
      <c r="D148" s="16" t="inlineStr">
        <is>
          <t xml:space="preserve">Finanzierung</t>
        </is>
      </c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</row>
    <row r="149">
      <c r="A149"/>
      <c r="B149" s="6">
        <f>IF(INDEX(ObjBelegt,4)=0,"– Objekt 4 –",INDEX(ObjBezeichnung,4))</f>
      </c>
      <c r="C149" s="16" t="inlineStr">
        <is>
          <t xml:space="preserve">Mieteinnahme</t>
        </is>
      </c>
      <c r="D149" s="16" t="inlineStr">
        <is>
          <t xml:space="preserve">Einnahmen</t>
        </is>
      </c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</row>
    <row r="150">
      <c r="A150"/>
      <c r="B150"/>
      <c r="C150" s="16" t="inlineStr">
        <is>
          <t xml:space="preserve">Nebenkosten-Vorauszahlung</t>
        </is>
      </c>
      <c r="D150" s="16" t="inlineStr">
        <is>
          <t xml:space="preserve">Einnahmen</t>
        </is>
      </c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</row>
    <row r="151">
      <c r="A151"/>
      <c r="B151"/>
      <c r="C151" s="16" t="inlineStr">
        <is>
          <t xml:space="preserve">Hausgeld, nicht umlagefähig</t>
        </is>
      </c>
      <c r="D151" s="16" t="inlineStr">
        <is>
          <t xml:space="preserve">Bewirtschaftung</t>
        </is>
      </c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</row>
    <row r="152">
      <c r="A152"/>
      <c r="B152"/>
      <c r="C152" s="16" t="inlineStr">
        <is>
          <t xml:space="preserve">Verwaltung</t>
        </is>
      </c>
      <c r="D152" s="16" t="inlineStr">
        <is>
          <t xml:space="preserve">Bewirtschaftung</t>
        </is>
      </c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</row>
    <row r="153">
      <c r="A153"/>
      <c r="B153"/>
      <c r="C153" s="16" t="inlineStr">
        <is>
          <t xml:space="preserve">Instandhaltung</t>
        </is>
      </c>
      <c r="D153" s="16" t="inlineStr">
        <is>
          <t xml:space="preserve">Bewirtschaftung</t>
        </is>
      </c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</row>
    <row r="154">
      <c r="A154"/>
      <c r="B154"/>
      <c r="C154" s="16" t="inlineStr">
        <is>
          <t xml:space="preserve">Sonstige Kosten</t>
        </is>
      </c>
      <c r="D154" s="16" t="inlineStr">
        <is>
          <t xml:space="preserve">Bewirtschaftung</t>
        </is>
      </c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</row>
    <row r="155">
      <c r="A155"/>
      <c r="B155"/>
      <c r="C155" s="16" t="inlineStr">
        <is>
          <t xml:space="preserve">Zinsen</t>
        </is>
      </c>
      <c r="D155" s="16" t="inlineStr">
        <is>
          <t xml:space="preserve">Finanzierung</t>
        </is>
      </c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</row>
    <row r="156">
      <c r="A156"/>
      <c r="B156"/>
      <c r="C156" s="16" t="inlineStr">
        <is>
          <t xml:space="preserve">Tilgung</t>
        </is>
      </c>
      <c r="D156" s="16" t="inlineStr">
        <is>
          <t xml:space="preserve">Finanzierung</t>
        </is>
      </c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</row>
    <row r="157">
      <c r="A157"/>
      <c r="B157"/>
      <c r="C157" s="16" t="inlineStr">
        <is>
          <t xml:space="preserve">Sondertilgung</t>
        </is>
      </c>
      <c r="D157" s="16" t="inlineStr">
        <is>
          <t xml:space="preserve">Finanzierung</t>
        </is>
      </c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</row>
    <row r="158">
      <c r="A158"/>
      <c r="B158"/>
      <c r="C158" s="16" t="inlineStr">
        <is>
          <t xml:space="preserve">Tilgungsersatzleistung</t>
        </is>
      </c>
      <c r="D158" s="16" t="inlineStr">
        <is>
          <t xml:space="preserve">Finanzierung</t>
        </is>
      </c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</row>
    <row r="159">
      <c r="A159"/>
      <c r="B159" s="6">
        <f>IF(INDEX(ObjBelegt,5)=0,"– Objekt 5 –",INDEX(ObjBezeichnung,5))</f>
      </c>
      <c r="C159" s="16" t="inlineStr">
        <is>
          <t xml:space="preserve">Mieteinnahme</t>
        </is>
      </c>
      <c r="D159" s="16" t="inlineStr">
        <is>
          <t xml:space="preserve">Einnahmen</t>
        </is>
      </c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</row>
    <row r="160">
      <c r="A160"/>
      <c r="B160"/>
      <c r="C160" s="16" t="inlineStr">
        <is>
          <t xml:space="preserve">Nebenkosten-Vorauszahlung</t>
        </is>
      </c>
      <c r="D160" s="16" t="inlineStr">
        <is>
          <t xml:space="preserve">Einnahmen</t>
        </is>
      </c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</row>
    <row r="161">
      <c r="A161"/>
      <c r="B161"/>
      <c r="C161" s="16" t="inlineStr">
        <is>
          <t xml:space="preserve">Hausgeld, nicht umlagefähig</t>
        </is>
      </c>
      <c r="D161" s="16" t="inlineStr">
        <is>
          <t xml:space="preserve">Bewirtschaftung</t>
        </is>
      </c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</row>
    <row r="162">
      <c r="A162"/>
      <c r="B162"/>
      <c r="C162" s="16" t="inlineStr">
        <is>
          <t xml:space="preserve">Verwaltung</t>
        </is>
      </c>
      <c r="D162" s="16" t="inlineStr">
        <is>
          <t xml:space="preserve">Bewirtschaftung</t>
        </is>
      </c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</row>
    <row r="163">
      <c r="A163"/>
      <c r="B163"/>
      <c r="C163" s="16" t="inlineStr">
        <is>
          <t xml:space="preserve">Instandhaltung</t>
        </is>
      </c>
      <c r="D163" s="16" t="inlineStr">
        <is>
          <t xml:space="preserve">Bewirtschaftung</t>
        </is>
      </c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</row>
    <row r="164">
      <c r="A164"/>
      <c r="B164"/>
      <c r="C164" s="16" t="inlineStr">
        <is>
          <t xml:space="preserve">Sonstige Kosten</t>
        </is>
      </c>
      <c r="D164" s="16" t="inlineStr">
        <is>
          <t xml:space="preserve">Bewirtschaftung</t>
        </is>
      </c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</row>
    <row r="165">
      <c r="A165"/>
      <c r="B165"/>
      <c r="C165" s="16" t="inlineStr">
        <is>
          <t xml:space="preserve">Zinsen</t>
        </is>
      </c>
      <c r="D165" s="16" t="inlineStr">
        <is>
          <t xml:space="preserve">Finanzierung</t>
        </is>
      </c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</row>
    <row r="166">
      <c r="A166"/>
      <c r="B166"/>
      <c r="C166" s="16" t="inlineStr">
        <is>
          <t xml:space="preserve">Tilgung</t>
        </is>
      </c>
      <c r="D166" s="16" t="inlineStr">
        <is>
          <t xml:space="preserve">Finanzierung</t>
        </is>
      </c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</row>
    <row r="167">
      <c r="A167"/>
      <c r="B167"/>
      <c r="C167" s="16" t="inlineStr">
        <is>
          <t xml:space="preserve">Sondertilgung</t>
        </is>
      </c>
      <c r="D167" s="16" t="inlineStr">
        <is>
          <t xml:space="preserve">Finanzierung</t>
        </is>
      </c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</row>
    <row r="168">
      <c r="A168"/>
      <c r="B168"/>
      <c r="C168" s="16" t="inlineStr">
        <is>
          <t xml:space="preserve">Tilgungsersatzleistung</t>
        </is>
      </c>
      <c r="D168" s="16" t="inlineStr">
        <is>
          <t xml:space="preserve">Finanzierung</t>
        </is>
      </c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</row>
    <row r="169">
      <c r="A169"/>
      <c r="B169" s="6">
        <f>IF(INDEX(ObjBelegt,6)=0,"– Objekt 6 –",INDEX(ObjBezeichnung,6))</f>
      </c>
      <c r="C169" s="16" t="inlineStr">
        <is>
          <t xml:space="preserve">Mieteinnahme</t>
        </is>
      </c>
      <c r="D169" s="16" t="inlineStr">
        <is>
          <t xml:space="preserve">Einnahmen</t>
        </is>
      </c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</row>
    <row r="170">
      <c r="A170"/>
      <c r="B170"/>
      <c r="C170" s="16" t="inlineStr">
        <is>
          <t xml:space="preserve">Nebenkosten-Vorauszahlung</t>
        </is>
      </c>
      <c r="D170" s="16" t="inlineStr">
        <is>
          <t xml:space="preserve">Einnahmen</t>
        </is>
      </c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</row>
    <row r="171">
      <c r="A171"/>
      <c r="B171"/>
      <c r="C171" s="16" t="inlineStr">
        <is>
          <t xml:space="preserve">Hausgeld, nicht umlagefähig</t>
        </is>
      </c>
      <c r="D171" s="16" t="inlineStr">
        <is>
          <t xml:space="preserve">Bewirtschaftung</t>
        </is>
      </c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</row>
    <row r="172">
      <c r="A172"/>
      <c r="B172"/>
      <c r="C172" s="16" t="inlineStr">
        <is>
          <t xml:space="preserve">Verwaltung</t>
        </is>
      </c>
      <c r="D172" s="16" t="inlineStr">
        <is>
          <t xml:space="preserve">Bewirtschaftung</t>
        </is>
      </c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</row>
    <row r="173">
      <c r="A173"/>
      <c r="B173"/>
      <c r="C173" s="16" t="inlineStr">
        <is>
          <t xml:space="preserve">Instandhaltung</t>
        </is>
      </c>
      <c r="D173" s="16" t="inlineStr">
        <is>
          <t xml:space="preserve">Bewirtschaftung</t>
        </is>
      </c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</row>
    <row r="174">
      <c r="A174"/>
      <c r="B174"/>
      <c r="C174" s="16" t="inlineStr">
        <is>
          <t xml:space="preserve">Sonstige Kosten</t>
        </is>
      </c>
      <c r="D174" s="16" t="inlineStr">
        <is>
          <t xml:space="preserve">Bewirtschaftung</t>
        </is>
      </c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</row>
    <row r="175">
      <c r="A175"/>
      <c r="B175"/>
      <c r="C175" s="16" t="inlineStr">
        <is>
          <t xml:space="preserve">Zinsen</t>
        </is>
      </c>
      <c r="D175" s="16" t="inlineStr">
        <is>
          <t xml:space="preserve">Finanzierung</t>
        </is>
      </c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</row>
    <row r="176">
      <c r="A176"/>
      <c r="B176"/>
      <c r="C176" s="16" t="inlineStr">
        <is>
          <t xml:space="preserve">Tilgung</t>
        </is>
      </c>
      <c r="D176" s="16" t="inlineStr">
        <is>
          <t xml:space="preserve">Finanzierung</t>
        </is>
      </c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</row>
    <row r="177">
      <c r="A177"/>
      <c r="B177"/>
      <c r="C177" s="16" t="inlineStr">
        <is>
          <t xml:space="preserve">Sondertilgung</t>
        </is>
      </c>
      <c r="D177" s="16" t="inlineStr">
        <is>
          <t xml:space="preserve">Finanzierung</t>
        </is>
      </c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</row>
    <row r="178">
      <c r="A178"/>
      <c r="B178"/>
      <c r="C178" s="16" t="inlineStr">
        <is>
          <t xml:space="preserve">Tilgungsersatzleistung</t>
        </is>
      </c>
      <c r="D178" s="16" t="inlineStr">
        <is>
          <t xml:space="preserve">Finanzierung</t>
        </is>
      </c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</row>
    <row r="179">
      <c r="A179"/>
      <c r="B179" s="6">
        <f>IF(INDEX(ObjBelegt,7)=0,"– Objekt 7 –",INDEX(ObjBezeichnung,7))</f>
      </c>
      <c r="C179" s="16" t="inlineStr">
        <is>
          <t xml:space="preserve">Mieteinnahme</t>
        </is>
      </c>
      <c r="D179" s="16" t="inlineStr">
        <is>
          <t xml:space="preserve">Einnahmen</t>
        </is>
      </c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</row>
    <row r="180">
      <c r="A180"/>
      <c r="B180"/>
      <c r="C180" s="16" t="inlineStr">
        <is>
          <t xml:space="preserve">Nebenkosten-Vorauszahlung</t>
        </is>
      </c>
      <c r="D180" s="16" t="inlineStr">
        <is>
          <t xml:space="preserve">Einnahmen</t>
        </is>
      </c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</row>
    <row r="181">
      <c r="A181"/>
      <c r="B181"/>
      <c r="C181" s="16" t="inlineStr">
        <is>
          <t xml:space="preserve">Hausgeld, nicht umlagefähig</t>
        </is>
      </c>
      <c r="D181" s="16" t="inlineStr">
        <is>
          <t xml:space="preserve">Bewirtschaftung</t>
        </is>
      </c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</row>
    <row r="182">
      <c r="A182"/>
      <c r="B182"/>
      <c r="C182" s="16" t="inlineStr">
        <is>
          <t xml:space="preserve">Verwaltung</t>
        </is>
      </c>
      <c r="D182" s="16" t="inlineStr">
        <is>
          <t xml:space="preserve">Bewirtschaftung</t>
        </is>
      </c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</row>
    <row r="183">
      <c r="A183"/>
      <c r="B183"/>
      <c r="C183" s="16" t="inlineStr">
        <is>
          <t xml:space="preserve">Instandhaltung</t>
        </is>
      </c>
      <c r="D183" s="16" t="inlineStr">
        <is>
          <t xml:space="preserve">Bewirtschaftung</t>
        </is>
      </c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</row>
    <row r="184">
      <c r="A184"/>
      <c r="B184"/>
      <c r="C184" s="16" t="inlineStr">
        <is>
          <t xml:space="preserve">Sonstige Kosten</t>
        </is>
      </c>
      <c r="D184" s="16" t="inlineStr">
        <is>
          <t xml:space="preserve">Bewirtschaftung</t>
        </is>
      </c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</row>
    <row r="185">
      <c r="A185"/>
      <c r="B185"/>
      <c r="C185" s="16" t="inlineStr">
        <is>
          <t xml:space="preserve">Zinsen</t>
        </is>
      </c>
      <c r="D185" s="16" t="inlineStr">
        <is>
          <t xml:space="preserve">Finanzierung</t>
        </is>
      </c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</row>
    <row r="186">
      <c r="A186"/>
      <c r="B186"/>
      <c r="C186" s="16" t="inlineStr">
        <is>
          <t xml:space="preserve">Tilgung</t>
        </is>
      </c>
      <c r="D186" s="16" t="inlineStr">
        <is>
          <t xml:space="preserve">Finanzierung</t>
        </is>
      </c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</row>
    <row r="187">
      <c r="A187"/>
      <c r="B187"/>
      <c r="C187" s="16" t="inlineStr">
        <is>
          <t xml:space="preserve">Sondertilgung</t>
        </is>
      </c>
      <c r="D187" s="16" t="inlineStr">
        <is>
          <t xml:space="preserve">Finanzierung</t>
        </is>
      </c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</row>
    <row r="188">
      <c r="A188"/>
      <c r="B188"/>
      <c r="C188" s="16" t="inlineStr">
        <is>
          <t xml:space="preserve">Tilgungsersatzleistung</t>
        </is>
      </c>
      <c r="D188" s="16" t="inlineStr">
        <is>
          <t xml:space="preserve">Finanzierung</t>
        </is>
      </c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</row>
    <row r="189">
      <c r="A189"/>
      <c r="B189" s="6">
        <f>IF(INDEX(ObjBelegt,8)=0,"– Objekt 8 –",INDEX(ObjBezeichnung,8))</f>
      </c>
      <c r="C189" s="16" t="inlineStr">
        <is>
          <t xml:space="preserve">Mieteinnahme</t>
        </is>
      </c>
      <c r="D189" s="16" t="inlineStr">
        <is>
          <t xml:space="preserve">Einnahmen</t>
        </is>
      </c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</row>
    <row r="190">
      <c r="A190"/>
      <c r="B190"/>
      <c r="C190" s="16" t="inlineStr">
        <is>
          <t xml:space="preserve">Nebenkosten-Vorauszahlung</t>
        </is>
      </c>
      <c r="D190" s="16" t="inlineStr">
        <is>
          <t xml:space="preserve">Einnahmen</t>
        </is>
      </c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</row>
    <row r="191">
      <c r="A191"/>
      <c r="B191"/>
      <c r="C191" s="16" t="inlineStr">
        <is>
          <t xml:space="preserve">Hausgeld, nicht umlagefähig</t>
        </is>
      </c>
      <c r="D191" s="16" t="inlineStr">
        <is>
          <t xml:space="preserve">Bewirtschaftung</t>
        </is>
      </c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</row>
    <row r="192">
      <c r="A192"/>
      <c r="B192"/>
      <c r="C192" s="16" t="inlineStr">
        <is>
          <t xml:space="preserve">Verwaltung</t>
        </is>
      </c>
      <c r="D192" s="16" t="inlineStr">
        <is>
          <t xml:space="preserve">Bewirtschaftung</t>
        </is>
      </c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</row>
    <row r="193">
      <c r="A193"/>
      <c r="B193"/>
      <c r="C193" s="16" t="inlineStr">
        <is>
          <t xml:space="preserve">Instandhaltung</t>
        </is>
      </c>
      <c r="D193" s="16" t="inlineStr">
        <is>
          <t xml:space="preserve">Bewirtschaftung</t>
        </is>
      </c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</row>
    <row r="194">
      <c r="A194"/>
      <c r="B194"/>
      <c r="C194" s="16" t="inlineStr">
        <is>
          <t xml:space="preserve">Sonstige Kosten</t>
        </is>
      </c>
      <c r="D194" s="16" t="inlineStr">
        <is>
          <t xml:space="preserve">Bewirtschaftung</t>
        </is>
      </c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</row>
    <row r="195">
      <c r="A195"/>
      <c r="B195"/>
      <c r="C195" s="16" t="inlineStr">
        <is>
          <t xml:space="preserve">Zinsen</t>
        </is>
      </c>
      <c r="D195" s="16" t="inlineStr">
        <is>
          <t xml:space="preserve">Finanzierung</t>
        </is>
      </c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</row>
    <row r="196">
      <c r="A196"/>
      <c r="B196"/>
      <c r="C196" s="16" t="inlineStr">
        <is>
          <t xml:space="preserve">Tilgung</t>
        </is>
      </c>
      <c r="D196" s="16" t="inlineStr">
        <is>
          <t xml:space="preserve">Finanzierung</t>
        </is>
      </c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</row>
    <row r="197">
      <c r="A197"/>
      <c r="B197"/>
      <c r="C197" s="16" t="inlineStr">
        <is>
          <t xml:space="preserve">Sondertilgung</t>
        </is>
      </c>
      <c r="D197" s="16" t="inlineStr">
        <is>
          <t xml:space="preserve">Finanzierung</t>
        </is>
      </c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</row>
    <row r="198">
      <c r="A198"/>
      <c r="B198"/>
      <c r="C198" s="16" t="inlineStr">
        <is>
          <t xml:space="preserve">Tilgungsersatzleistung</t>
        </is>
      </c>
      <c r="D198" s="16" t="inlineStr">
        <is>
          <t xml:space="preserve">Finanzierung</t>
        </is>
      </c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</row>
    <row r="199">
      <c r="A199"/>
      <c r="B199" s="6">
        <f>IF(INDEX(ObjBelegt,9)=0,"– Objekt 9 –",INDEX(ObjBezeichnung,9))</f>
      </c>
      <c r="C199" s="16" t="inlineStr">
        <is>
          <t xml:space="preserve">Mieteinnahme</t>
        </is>
      </c>
      <c r="D199" s="16" t="inlineStr">
        <is>
          <t xml:space="preserve">Einnahmen</t>
        </is>
      </c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</row>
    <row r="200">
      <c r="A200"/>
      <c r="B200"/>
      <c r="C200" s="16" t="inlineStr">
        <is>
          <t xml:space="preserve">Nebenkosten-Vorauszahlung</t>
        </is>
      </c>
      <c r="D200" s="16" t="inlineStr">
        <is>
          <t xml:space="preserve">Einnahmen</t>
        </is>
      </c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</row>
    <row r="201">
      <c r="A201"/>
      <c r="B201"/>
      <c r="C201" s="16" t="inlineStr">
        <is>
          <t xml:space="preserve">Hausgeld, nicht umlagefähig</t>
        </is>
      </c>
      <c r="D201" s="16" t="inlineStr">
        <is>
          <t xml:space="preserve">Bewirtschaftung</t>
        </is>
      </c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</row>
    <row r="202">
      <c r="A202"/>
      <c r="B202"/>
      <c r="C202" s="16" t="inlineStr">
        <is>
          <t xml:space="preserve">Verwaltung</t>
        </is>
      </c>
      <c r="D202" s="16" t="inlineStr">
        <is>
          <t xml:space="preserve">Bewirtschaftung</t>
        </is>
      </c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</row>
    <row r="203">
      <c r="A203"/>
      <c r="B203"/>
      <c r="C203" s="16" t="inlineStr">
        <is>
          <t xml:space="preserve">Instandhaltung</t>
        </is>
      </c>
      <c r="D203" s="16" t="inlineStr">
        <is>
          <t xml:space="preserve">Bewirtschaftung</t>
        </is>
      </c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</row>
    <row r="204">
      <c r="A204"/>
      <c r="B204"/>
      <c r="C204" s="16" t="inlineStr">
        <is>
          <t xml:space="preserve">Sonstige Kosten</t>
        </is>
      </c>
      <c r="D204" s="16" t="inlineStr">
        <is>
          <t xml:space="preserve">Bewirtschaftung</t>
        </is>
      </c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</row>
    <row r="205">
      <c r="A205"/>
      <c r="B205"/>
      <c r="C205" s="16" t="inlineStr">
        <is>
          <t xml:space="preserve">Zinsen</t>
        </is>
      </c>
      <c r="D205" s="16" t="inlineStr">
        <is>
          <t xml:space="preserve">Finanzierung</t>
        </is>
      </c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</row>
    <row r="206">
      <c r="A206"/>
      <c r="B206"/>
      <c r="C206" s="16" t="inlineStr">
        <is>
          <t xml:space="preserve">Tilgung</t>
        </is>
      </c>
      <c r="D206" s="16" t="inlineStr">
        <is>
          <t xml:space="preserve">Finanzierung</t>
        </is>
      </c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</row>
    <row r="207">
      <c r="A207"/>
      <c r="B207"/>
      <c r="C207" s="16" t="inlineStr">
        <is>
          <t xml:space="preserve">Sondertilgung</t>
        </is>
      </c>
      <c r="D207" s="16" t="inlineStr">
        <is>
          <t xml:space="preserve">Finanzierung</t>
        </is>
      </c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</row>
    <row r="208">
      <c r="A208"/>
      <c r="B208"/>
      <c r="C208" s="16" t="inlineStr">
        <is>
          <t xml:space="preserve">Tilgungsersatzleistung</t>
        </is>
      </c>
      <c r="D208" s="16" t="inlineStr">
        <is>
          <t xml:space="preserve">Finanzierung</t>
        </is>
      </c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</row>
    <row r="209">
      <c r="A209"/>
      <c r="B209" s="6">
        <f>IF(INDEX(ObjBelegt,10)=0,"– Objekt 10 –",INDEX(ObjBezeichnung,10))</f>
      </c>
      <c r="C209" s="16" t="inlineStr">
        <is>
          <t xml:space="preserve">Mieteinnahme</t>
        </is>
      </c>
      <c r="D209" s="16" t="inlineStr">
        <is>
          <t xml:space="preserve">Einnahmen</t>
        </is>
      </c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</row>
    <row r="210">
      <c r="A210"/>
      <c r="B210"/>
      <c r="C210" s="16" t="inlineStr">
        <is>
          <t xml:space="preserve">Nebenkosten-Vorauszahlung</t>
        </is>
      </c>
      <c r="D210" s="16" t="inlineStr">
        <is>
          <t xml:space="preserve">Einnahmen</t>
        </is>
      </c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</row>
    <row r="211">
      <c r="A211"/>
      <c r="B211"/>
      <c r="C211" s="16" t="inlineStr">
        <is>
          <t xml:space="preserve">Hausgeld, nicht umlagefähig</t>
        </is>
      </c>
      <c r="D211" s="16" t="inlineStr">
        <is>
          <t xml:space="preserve">Bewirtschaftung</t>
        </is>
      </c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</row>
    <row r="212">
      <c r="A212"/>
      <c r="B212"/>
      <c r="C212" s="16" t="inlineStr">
        <is>
          <t xml:space="preserve">Verwaltung</t>
        </is>
      </c>
      <c r="D212" s="16" t="inlineStr">
        <is>
          <t xml:space="preserve">Bewirtschaftung</t>
        </is>
      </c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</row>
    <row r="213">
      <c r="A213"/>
      <c r="B213"/>
      <c r="C213" s="16" t="inlineStr">
        <is>
          <t xml:space="preserve">Instandhaltung</t>
        </is>
      </c>
      <c r="D213" s="16" t="inlineStr">
        <is>
          <t xml:space="preserve">Bewirtschaftung</t>
        </is>
      </c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</row>
    <row r="214">
      <c r="A214"/>
      <c r="B214"/>
      <c r="C214" s="16" t="inlineStr">
        <is>
          <t xml:space="preserve">Sonstige Kosten</t>
        </is>
      </c>
      <c r="D214" s="16" t="inlineStr">
        <is>
          <t xml:space="preserve">Bewirtschaftung</t>
        </is>
      </c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</row>
    <row r="215">
      <c r="A215"/>
      <c r="B215"/>
      <c r="C215" s="16" t="inlineStr">
        <is>
          <t xml:space="preserve">Zinsen</t>
        </is>
      </c>
      <c r="D215" s="16" t="inlineStr">
        <is>
          <t xml:space="preserve">Finanzierung</t>
        </is>
      </c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</row>
    <row r="216">
      <c r="A216"/>
      <c r="B216"/>
      <c r="C216" s="16" t="inlineStr">
        <is>
          <t xml:space="preserve">Tilgung</t>
        </is>
      </c>
      <c r="D216" s="16" t="inlineStr">
        <is>
          <t xml:space="preserve">Finanzierung</t>
        </is>
      </c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</row>
    <row r="217">
      <c r="A217"/>
      <c r="B217"/>
      <c r="C217" s="16" t="inlineStr">
        <is>
          <t xml:space="preserve">Sondertilgung</t>
        </is>
      </c>
      <c r="D217" s="16" t="inlineStr">
        <is>
          <t xml:space="preserve">Finanzierung</t>
        </is>
      </c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</row>
    <row r="218">
      <c r="A218"/>
      <c r="B218"/>
      <c r="C218" s="16" t="inlineStr">
        <is>
          <t xml:space="preserve">Tilgungsersatzleistung</t>
        </is>
      </c>
      <c r="D218" s="16" t="inlineStr">
        <is>
          <t xml:space="preserve">Finanzierung</t>
        </is>
      </c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</row>
  </sheetData>
  <conditionalFormatting sqref="E15:P114">
    <cfRule type="expression" dxfId="3" priority="1">
      <formula>E119&lt;&gt;""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C9A227"/>
  </sheetPr>
  <sheetViews>
    <sheetView showGridLines="0" workbookViewId="0"/>
  </sheetViews>
  <sheetFormatPr defaultRowHeight="15"/>
  <cols>
    <col min="1" max="1" width="2" customWidth="1"/>
    <col min="2" max="2" width="30" customWidth="1"/>
    <col min="3" max="3" width="16" customWidth="1"/>
    <col min="4" max="4" width="3" customWidth="1"/>
    <col min="5" max="5" width="30" customWidth="1"/>
    <col min="6" max="6" width="16" customWidth="1"/>
  </cols>
  <sheetData>
    <row r="2">
      <c r="A2"/>
      <c r="B2" s="1" t="inlineStr">
        <is>
          <t xml:space="preserve">ZAHLENKOMPASS</t>
        </is>
      </c>
    </row>
    <row r="3">
      <c r="A3"/>
      <c r="B3" s="2" t="inlineStr">
        <is>
          <t xml:space="preserve">Objekte im Detail</t>
        </is>
      </c>
    </row>
    <row r="4">
      <c r="A4"/>
      <c r="B4" s="3">
        <f>"Je Objekt ein Block von 26 Zeilen · Objekt 1 beginnt in Zeile 6"</f>
      </c>
    </row>
    <row r="6">
      <c r="A6"/>
      <c r="B6" s="44">
        <f>IF(INDEX(ObjBelegt,1)=0,"– Objekt 1 ist nicht belegt –",INDEX(ObjBezeichnung,1))</f>
      </c>
    </row>
    <row r="7">
      <c r="A7"/>
      <c r="B7" s="16">
        <f>IF(INDEX(ObjBelegt,1)=0,"",INDEX(ObjTyp,1)&amp;" · "&amp;INDEX(ObjBezeichnung,1))</f>
      </c>
      <c r="C7"/>
      <c r="D7"/>
      <c r="E7" s="16">
        <f>IF(INDEX(ObjBelegt,1)=0,"","Kauf: "&amp;TEXT(DAY(INDEX(ObjKaufdatum,1)),"00")&amp;"."&amp;TEXT(MONTH(INDEX(ObjKaufdatum,1)),"00")&amp;"."&amp;YEAR(INDEX(ObjKaufdatum,1)))</f>
      </c>
    </row>
    <row r="9">
      <c r="A9"/>
      <c r="B9" s="25" t="inlineStr">
        <is>
          <t xml:space="preserve">Kennzahlen</t>
        </is>
      </c>
      <c r="C9" s="24"/>
      <c r="D9"/>
      <c r="E9" s="25">
        <f>"Cashflow "&amp;Jahr</f>
      </c>
      <c r="F9" s="24"/>
    </row>
    <row r="10">
      <c r="A10"/>
      <c r="B10" s="16" t="inlineStr">
        <is>
          <t xml:space="preserve">Kaufpreis</t>
        </is>
      </c>
      <c r="C10" s="30">
        <f>IF(INDEX(ObjBelegt,1)=0,"",INDEX(ObjKaufpreis,1))</f>
      </c>
      <c r="D10"/>
      <c r="E10" s="16" t="inlineStr">
        <is>
          <t xml:space="preserve">Kaltmiete</t>
        </is>
      </c>
      <c r="F10" s="30">
        <f>IF(INDEX(ObjBelegt,1)=0,"",INDEX(IstIstMiete,1))</f>
      </c>
    </row>
    <row r="11">
      <c r="A11"/>
      <c r="B11" s="16" t="inlineStr">
        <is>
          <t xml:space="preserve">Kaufnebenkosten</t>
        </is>
      </c>
      <c r="C11" s="30">
        <f>IF(INDEX(ObjBelegt,1)=0,"",INDEX(IstNkSumme,1))</f>
      </c>
      <c r="D11"/>
      <c r="E11" s="16" t="inlineStr">
        <is>
          <t xml:space="preserve">− Bewirtschaftung</t>
        </is>
      </c>
      <c r="F11" s="30">
        <f>IF(INDEX(ObjBelegt,1)=0,"",-INDEX(IstIstBewirt,1))</f>
      </c>
    </row>
    <row r="12">
      <c r="A12"/>
      <c r="B12" s="16" t="inlineStr">
        <is>
          <t xml:space="preserve">Gesamtinvestition</t>
        </is>
      </c>
      <c r="C12" s="30">
        <f>IF(INDEX(ObjBelegt,1)=0,"",INDEX(IstInvest,1))</f>
      </c>
      <c r="D12"/>
      <c r="E12" s="16" t="inlineStr">
        <is>
          <t xml:space="preserve">− Zinsen</t>
        </is>
      </c>
      <c r="F12" s="30">
        <f>IF(INDEX(ObjBelegt,1)=0,"",-INDEX(IstIstZins,1))</f>
      </c>
    </row>
    <row r="13">
      <c r="A13"/>
      <c r="B13" s="16" t="inlineStr">
        <is>
          <t xml:space="preserve">Verkehrswert</t>
        </is>
      </c>
      <c r="C13" s="30">
        <f>IF(INDEX(ObjBelegt,1)=0,"",INDEX(IstWert,1))</f>
      </c>
      <c r="D13"/>
      <c r="E13" s="16" t="inlineStr">
        <is>
          <t xml:space="preserve">− Tilgung und Sondertilgung</t>
        </is>
      </c>
      <c r="F13" s="30">
        <f>IF(INDEX(ObjBelegt,1)=0,"",-INDEX(IstIstTilgung,1)-INDEX(IstIstSonder,1)-INDEX(IstIstErsatz,1))</f>
      </c>
    </row>
    <row r="14">
      <c r="A14"/>
      <c r="B14" s="16" t="inlineStr">
        <is>
          <t xml:space="preserve">Fläche</t>
        </is>
      </c>
      <c r="C14" s="32">
        <f>IF(INDEX(ObjBelegt,1)=0,"",INDEX(IstFlaeche,1))</f>
      </c>
      <c r="D14"/>
      <c r="E14" s="6" t="inlineStr">
        <is>
          <t xml:space="preserve">= Cashflow vor Steuern</t>
        </is>
      </c>
      <c r="F14" s="30">
        <f>IF(INDEX(ObjBelegt,1)=0,"",INDEX(IstCfVor,1))</f>
      </c>
    </row>
    <row r="15">
      <c r="A15"/>
      <c r="B15" s="16" t="inlineStr">
        <is>
          <t xml:space="preserve">Kaltmiete je Monat</t>
        </is>
      </c>
      <c r="C15" s="30">
        <f>IF(INDEX(ObjBelegt,1)=0,"",INDEX(IstMieteMonat,1))</f>
      </c>
      <c r="D15"/>
      <c r="E15" s="16" t="inlineStr">
        <is>
          <t xml:space="preserve">AfA (mindert nur die Steuer)</t>
        </is>
      </c>
      <c r="F15" s="30">
        <f>IF(INDEX(ObjBelegt,1)=0,"",-INDEX(IstAfaJahr,1))</f>
      </c>
    </row>
    <row r="16">
      <c r="A16"/>
      <c r="B16" s="16" t="inlineStr">
        <is>
          <t xml:space="preserve">Miete je m²</t>
        </is>
      </c>
      <c r="C16" s="33">
        <f>IF(INDEX(ObjBelegt,1)=0,"",IF(INDEX(IstFlaeche,1)=0,0,INDEX(IstMieteMonat,1)/INDEX(IstFlaeche,1)))</f>
      </c>
      <c r="D16"/>
      <c r="E16" s="16" t="inlineStr">
        <is>
          <t xml:space="preserve">= Einkünfte aus Vermietung</t>
        </is>
      </c>
      <c r="F16" s="30">
        <f>IF(INDEX(ObjBelegt,1)=0,"",INDEX(IstEinkuenfte,1))</f>
      </c>
    </row>
    <row r="17">
      <c r="A17"/>
      <c r="B17" s="16" t="inlineStr">
        <is>
          <t xml:space="preserve">Bruttorendite</t>
        </is>
      </c>
      <c r="C17" s="31">
        <f>IF(INDEX(ObjBelegt,1)=0,"",IF(INDEX(IstInvest,1)=0,0,INDEX(IstRunrate,1)/INDEX(IstInvest,1)*100))</f>
      </c>
      <c r="D17"/>
      <c r="E17" s="16" t="inlineStr">
        <is>
          <t xml:space="preserve">Steuer (negativ = Erstattung)</t>
        </is>
      </c>
      <c r="F17" s="30">
        <f>IF(INDEX(ObjBelegt,1)=0,"",INDEX(IstSteuer,1))</f>
      </c>
    </row>
    <row r="18">
      <c r="A18"/>
      <c r="B18" s="16" t="inlineStr">
        <is>
          <t xml:space="preserve">Nettorendite</t>
        </is>
      </c>
      <c r="C18" s="31">
        <f>IF(INDEX(ObjBelegt,1)=0,"",IF(INDEX(IstInvest,1)=0,0,(INDEX(IstRunrate,1)-INDEX(IstBewirtVoll,1))/INDEX(IstInvest,1)*100))</f>
      </c>
      <c r="D18"/>
      <c r="E18" s="6" t="inlineStr">
        <is>
          <t xml:space="preserve">= Cashflow nach Steuern</t>
        </is>
      </c>
      <c r="F18" s="30">
        <f>IF(INDEX(ObjBelegt,1)=0,"",INDEX(IstCfNach,1))</f>
      </c>
    </row>
    <row r="19">
      <c r="A19"/>
      <c r="B19" s="16" t="inlineStr">
        <is>
          <t xml:space="preserve">Kaufpreisfaktor</t>
        </is>
      </c>
      <c r="C19" s="32">
        <f>IF(INDEX(ObjBelegt,1)=0,"",IF(INDEX(IstRunrate,1)=0,0,INDEX(ObjKaufpreis,1)/INDEX(IstRunrate,1)))</f>
      </c>
      <c r="D19"/>
      <c r="E19" s="16" t="inlineStr">
        <is>
          <t xml:space="preserve">je Monat nach Steuern</t>
        </is>
      </c>
      <c r="F19" s="30">
        <f>IF(INDEX(ObjBelegt,1)=0,"",INDEX(IstCfNach,1)/12)</f>
      </c>
    </row>
    <row r="21">
      <c r="A21"/>
      <c r="B21" s="25" t="inlineStr">
        <is>
          <t xml:space="preserve">Finanzierung</t>
        </is>
      </c>
      <c r="C21" s="24"/>
      <c r="D21"/>
      <c r="E21" s="25" t="inlineStr">
        <is>
          <t xml:space="preserve">Eingesetztes Kapital</t>
        </is>
      </c>
      <c r="F21" s="24"/>
    </row>
    <row r="22">
      <c r="A22"/>
      <c r="B22" s="16" t="inlineStr">
        <is>
          <t xml:space="preserve">Darlehenssumme</t>
        </is>
      </c>
      <c r="C22" s="30">
        <f>IF(INDEX(ObjBelegt,1)=0,"",INDEX(IstDarlehen,1))</f>
      </c>
      <c r="D22"/>
      <c r="E22" s="16" t="inlineStr">
        <is>
          <t xml:space="preserve">Eigenkapital eingesetzt</t>
        </is>
      </c>
      <c r="F22" s="30">
        <f>IF(INDEX(ObjBelegt,1)=0,"",INDEX(IstEkEingesetzt,1))</f>
      </c>
    </row>
    <row r="23">
      <c r="A23"/>
      <c r="B23" s="16" t="inlineStr">
        <is>
          <t xml:space="preserve">Restschuld</t>
        </is>
      </c>
      <c r="C23" s="30">
        <f>IF(INDEX(ObjBelegt,1)=0,"",INDEX(IstRest,1))</f>
      </c>
      <c r="D23"/>
      <c r="E23" s="16" t="inlineStr">
        <is>
          <t xml:space="preserve">Eigenkapital heute</t>
        </is>
      </c>
      <c r="F23" s="30">
        <f>IF(INDEX(ObjBelegt,1)=0,"",INDEX(IstEk,1))</f>
      </c>
    </row>
    <row r="24">
      <c r="A24"/>
      <c r="B24" s="16" t="inlineStr">
        <is>
          <t xml:space="preserve">davon getilgt</t>
        </is>
      </c>
      <c r="C24" s="30">
        <f>IF(INDEX(ObjBelegt,1)=0,"",INDEX(IstGetilgt,1))</f>
      </c>
      <c r="D24"/>
      <c r="E24" s="16" t="inlineStr">
        <is>
          <t xml:space="preserve">EK-Rendite (Cashflow)</t>
        </is>
      </c>
      <c r="F24" s="31">
        <f>IF(INDEX(ObjBelegt,1)=0,"",IF(INDEX(IstEkEingesetzt,1)=0,0,INDEX(IstCfRunrateNach,1)/INDEX(IstEkEingesetzt,1)*100))</f>
      </c>
    </row>
    <row r="25">
      <c r="A25"/>
      <c r="B25" s="16" t="inlineStr">
        <is>
          <t xml:space="preserve">Rate je Monat</t>
        </is>
      </c>
      <c r="C25" s="30">
        <f>IF(INDEX(ObjBelegt,1)=0,"",INDEX(IstRateMonat,1))</f>
      </c>
      <c r="D25"/>
      <c r="E25" s="16" t="inlineStr">
        <is>
          <t xml:space="preserve">EK-Rendite mit Tilgung</t>
        </is>
      </c>
      <c r="F25" s="31">
        <f>IF(INDEX(ObjBelegt,1)=0,"",IF(INDEX(IstEkEingesetzt,1)=0,0,(INDEX(IstCfRunrateNach,1)+INDEX(IstTilgung12,1)+INDEX(IstSonder12,1)+INDEX(IstErsatz12,1))/INDEX(IstEkEingesetzt,1)*100))</f>
      </c>
    </row>
    <row r="26">
      <c r="A26"/>
      <c r="B26" s="16" t="inlineStr">
        <is>
          <t xml:space="preserve">Beleihungsauslauf</t>
        </is>
      </c>
      <c r="C26" s="34">
        <f>IF(INDEX(ObjBelegt,1)=0,"",IF(INDEX(IstWert,1)=0,0,INDEX(IstRest,1)/INDEX(IstWert,1)*100))</f>
      </c>
      <c r="D26"/>
      <c r="E26" s="16" t="inlineStr">
        <is>
          <t xml:space="preserve">Tilgungsersatz eingezahlt</t>
        </is>
      </c>
      <c r="F26" s="30">
        <f>IF(INDEX(ObjBelegt,1)=0,"",INDEX(IstErsatzEin,1))</f>
      </c>
    </row>
    <row r="27">
      <c r="A27"/>
      <c r="B27" s="16" t="inlineStr">
        <is>
          <t xml:space="preserve">Kapitaldienstdeckung DSCR</t>
        </is>
      </c>
      <c r="C27" s="35">
        <f>IF(INDEX(ObjBelegt,1)=0,"",IF(INDEX(IstKapital12,1)=0,0,(INDEX(IstRunrate,1)-INDEX(IstBewirtVoll,1))/INDEX(IstKapital12,1)))</f>
      </c>
      <c r="D27"/>
      <c r="E27" s="16" t="inlineStr">
        <is>
          <t xml:space="preserve">Guthaben mit Verzinsung</t>
        </is>
      </c>
      <c r="F27" s="30">
        <f>IF(INDEX(ObjBelegt,1)=0,"",INDEX(IstErsatzGut,1))</f>
      </c>
    </row>
    <row r="28">
      <c r="A28"/>
      <c r="B28" s="16" t="inlineStr">
        <is>
          <t xml:space="preserve">Einheiten / davon vermietet</t>
        </is>
      </c>
      <c r="C28" s="37">
        <f>IF(INDEX(ObjBelegt,1)=0,"",INDEX(IstEinheiten,1)&amp;" / "&amp;INDEX(IstVermietet,1))</f>
      </c>
    </row>
    <row r="30">
      <c r="A30"/>
      <c r="B30" s="45"/>
      <c r="C30" s="45"/>
      <c r="D30" s="45"/>
      <c r="E30" s="45"/>
      <c r="F30" s="45"/>
    </row>
    <row r="32">
      <c r="A32"/>
      <c r="B32" s="44">
        <f>IF(INDEX(ObjBelegt,2)=0,"– Objekt 2 ist nicht belegt –",INDEX(ObjBezeichnung,2))</f>
      </c>
    </row>
    <row r="33">
      <c r="A33"/>
      <c r="B33" s="16">
        <f>IF(INDEX(ObjBelegt,2)=0,"",INDEX(ObjTyp,2)&amp;" · "&amp;INDEX(ObjBezeichnung,2))</f>
      </c>
      <c r="C33"/>
      <c r="D33"/>
      <c r="E33" s="16">
        <f>IF(INDEX(ObjBelegt,2)=0,"","Kauf: "&amp;TEXT(DAY(INDEX(ObjKaufdatum,2)),"00")&amp;"."&amp;TEXT(MONTH(INDEX(ObjKaufdatum,2)),"00")&amp;"."&amp;YEAR(INDEX(ObjKaufdatum,2)))</f>
      </c>
    </row>
    <row r="35">
      <c r="A35"/>
      <c r="B35" s="25" t="inlineStr">
        <is>
          <t xml:space="preserve">Kennzahlen</t>
        </is>
      </c>
      <c r="C35" s="24"/>
      <c r="D35"/>
      <c r="E35" s="25">
        <f>"Cashflow "&amp;Jahr</f>
      </c>
      <c r="F35" s="24"/>
    </row>
    <row r="36">
      <c r="A36"/>
      <c r="B36" s="16" t="inlineStr">
        <is>
          <t xml:space="preserve">Kaufpreis</t>
        </is>
      </c>
      <c r="C36" s="30">
        <f>IF(INDEX(ObjBelegt,2)=0,"",INDEX(ObjKaufpreis,2))</f>
      </c>
      <c r="D36"/>
      <c r="E36" s="16" t="inlineStr">
        <is>
          <t xml:space="preserve">Kaltmiete</t>
        </is>
      </c>
      <c r="F36" s="30">
        <f>IF(INDEX(ObjBelegt,2)=0,"",INDEX(IstIstMiete,2))</f>
      </c>
    </row>
    <row r="37">
      <c r="A37"/>
      <c r="B37" s="16" t="inlineStr">
        <is>
          <t xml:space="preserve">Kaufnebenkosten</t>
        </is>
      </c>
      <c r="C37" s="30">
        <f>IF(INDEX(ObjBelegt,2)=0,"",INDEX(IstNkSumme,2))</f>
      </c>
      <c r="D37"/>
      <c r="E37" s="16" t="inlineStr">
        <is>
          <t xml:space="preserve">− Bewirtschaftung</t>
        </is>
      </c>
      <c r="F37" s="30">
        <f>IF(INDEX(ObjBelegt,2)=0,"",-INDEX(IstIstBewirt,2))</f>
      </c>
    </row>
    <row r="38">
      <c r="A38"/>
      <c r="B38" s="16" t="inlineStr">
        <is>
          <t xml:space="preserve">Gesamtinvestition</t>
        </is>
      </c>
      <c r="C38" s="30">
        <f>IF(INDEX(ObjBelegt,2)=0,"",INDEX(IstInvest,2))</f>
      </c>
      <c r="D38"/>
      <c r="E38" s="16" t="inlineStr">
        <is>
          <t xml:space="preserve">− Zinsen</t>
        </is>
      </c>
      <c r="F38" s="30">
        <f>IF(INDEX(ObjBelegt,2)=0,"",-INDEX(IstIstZins,2))</f>
      </c>
    </row>
    <row r="39">
      <c r="A39"/>
      <c r="B39" s="16" t="inlineStr">
        <is>
          <t xml:space="preserve">Verkehrswert</t>
        </is>
      </c>
      <c r="C39" s="30">
        <f>IF(INDEX(ObjBelegt,2)=0,"",INDEX(IstWert,2))</f>
      </c>
      <c r="D39"/>
      <c r="E39" s="16" t="inlineStr">
        <is>
          <t xml:space="preserve">− Tilgung und Sondertilgung</t>
        </is>
      </c>
      <c r="F39" s="30">
        <f>IF(INDEX(ObjBelegt,2)=0,"",-INDEX(IstIstTilgung,2)-INDEX(IstIstSonder,2)-INDEX(IstIstErsatz,2))</f>
      </c>
    </row>
    <row r="40">
      <c r="A40"/>
      <c r="B40" s="16" t="inlineStr">
        <is>
          <t xml:space="preserve">Fläche</t>
        </is>
      </c>
      <c r="C40" s="32">
        <f>IF(INDEX(ObjBelegt,2)=0,"",INDEX(IstFlaeche,2))</f>
      </c>
      <c r="D40"/>
      <c r="E40" s="6" t="inlineStr">
        <is>
          <t xml:space="preserve">= Cashflow vor Steuern</t>
        </is>
      </c>
      <c r="F40" s="30">
        <f>IF(INDEX(ObjBelegt,2)=0,"",INDEX(IstCfVor,2))</f>
      </c>
    </row>
    <row r="41">
      <c r="A41"/>
      <c r="B41" s="16" t="inlineStr">
        <is>
          <t xml:space="preserve">Kaltmiete je Monat</t>
        </is>
      </c>
      <c r="C41" s="30">
        <f>IF(INDEX(ObjBelegt,2)=0,"",INDEX(IstMieteMonat,2))</f>
      </c>
      <c r="D41"/>
      <c r="E41" s="16" t="inlineStr">
        <is>
          <t xml:space="preserve">AfA (mindert nur die Steuer)</t>
        </is>
      </c>
      <c r="F41" s="30">
        <f>IF(INDEX(ObjBelegt,2)=0,"",-INDEX(IstAfaJahr,2))</f>
      </c>
    </row>
    <row r="42">
      <c r="A42"/>
      <c r="B42" s="16" t="inlineStr">
        <is>
          <t xml:space="preserve">Miete je m²</t>
        </is>
      </c>
      <c r="C42" s="33">
        <f>IF(INDEX(ObjBelegt,2)=0,"",IF(INDEX(IstFlaeche,2)=0,0,INDEX(IstMieteMonat,2)/INDEX(IstFlaeche,2)))</f>
      </c>
      <c r="D42"/>
      <c r="E42" s="16" t="inlineStr">
        <is>
          <t xml:space="preserve">= Einkünfte aus Vermietung</t>
        </is>
      </c>
      <c r="F42" s="30">
        <f>IF(INDEX(ObjBelegt,2)=0,"",INDEX(IstEinkuenfte,2))</f>
      </c>
    </row>
    <row r="43">
      <c r="A43"/>
      <c r="B43" s="16" t="inlineStr">
        <is>
          <t xml:space="preserve">Bruttorendite</t>
        </is>
      </c>
      <c r="C43" s="31">
        <f>IF(INDEX(ObjBelegt,2)=0,"",IF(INDEX(IstInvest,2)=0,0,INDEX(IstRunrate,2)/INDEX(IstInvest,2)*100))</f>
      </c>
      <c r="D43"/>
      <c r="E43" s="16" t="inlineStr">
        <is>
          <t xml:space="preserve">Steuer (negativ = Erstattung)</t>
        </is>
      </c>
      <c r="F43" s="30">
        <f>IF(INDEX(ObjBelegt,2)=0,"",INDEX(IstSteuer,2))</f>
      </c>
    </row>
    <row r="44">
      <c r="A44"/>
      <c r="B44" s="16" t="inlineStr">
        <is>
          <t xml:space="preserve">Nettorendite</t>
        </is>
      </c>
      <c r="C44" s="31">
        <f>IF(INDEX(ObjBelegt,2)=0,"",IF(INDEX(IstInvest,2)=0,0,(INDEX(IstRunrate,2)-INDEX(IstBewirtVoll,2))/INDEX(IstInvest,2)*100))</f>
      </c>
      <c r="D44"/>
      <c r="E44" s="6" t="inlineStr">
        <is>
          <t xml:space="preserve">= Cashflow nach Steuern</t>
        </is>
      </c>
      <c r="F44" s="30">
        <f>IF(INDEX(ObjBelegt,2)=0,"",INDEX(IstCfNach,2))</f>
      </c>
    </row>
    <row r="45">
      <c r="A45"/>
      <c r="B45" s="16" t="inlineStr">
        <is>
          <t xml:space="preserve">Kaufpreisfaktor</t>
        </is>
      </c>
      <c r="C45" s="32">
        <f>IF(INDEX(ObjBelegt,2)=0,"",IF(INDEX(IstRunrate,2)=0,0,INDEX(ObjKaufpreis,2)/INDEX(IstRunrate,2)))</f>
      </c>
      <c r="D45"/>
      <c r="E45" s="16" t="inlineStr">
        <is>
          <t xml:space="preserve">je Monat nach Steuern</t>
        </is>
      </c>
      <c r="F45" s="30">
        <f>IF(INDEX(ObjBelegt,2)=0,"",INDEX(IstCfNach,2)/12)</f>
      </c>
    </row>
    <row r="47">
      <c r="A47"/>
      <c r="B47" s="25" t="inlineStr">
        <is>
          <t xml:space="preserve">Finanzierung</t>
        </is>
      </c>
      <c r="C47" s="24"/>
      <c r="D47"/>
      <c r="E47" s="25" t="inlineStr">
        <is>
          <t xml:space="preserve">Eingesetztes Kapital</t>
        </is>
      </c>
      <c r="F47" s="24"/>
    </row>
    <row r="48">
      <c r="A48"/>
      <c r="B48" s="16" t="inlineStr">
        <is>
          <t xml:space="preserve">Darlehenssumme</t>
        </is>
      </c>
      <c r="C48" s="30">
        <f>IF(INDEX(ObjBelegt,2)=0,"",INDEX(IstDarlehen,2))</f>
      </c>
      <c r="D48"/>
      <c r="E48" s="16" t="inlineStr">
        <is>
          <t xml:space="preserve">Eigenkapital eingesetzt</t>
        </is>
      </c>
      <c r="F48" s="30">
        <f>IF(INDEX(ObjBelegt,2)=0,"",INDEX(IstEkEingesetzt,2))</f>
      </c>
    </row>
    <row r="49">
      <c r="A49"/>
      <c r="B49" s="16" t="inlineStr">
        <is>
          <t xml:space="preserve">Restschuld</t>
        </is>
      </c>
      <c r="C49" s="30">
        <f>IF(INDEX(ObjBelegt,2)=0,"",INDEX(IstRest,2))</f>
      </c>
      <c r="D49"/>
      <c r="E49" s="16" t="inlineStr">
        <is>
          <t xml:space="preserve">Eigenkapital heute</t>
        </is>
      </c>
      <c r="F49" s="30">
        <f>IF(INDEX(ObjBelegt,2)=0,"",INDEX(IstEk,2))</f>
      </c>
    </row>
    <row r="50">
      <c r="A50"/>
      <c r="B50" s="16" t="inlineStr">
        <is>
          <t xml:space="preserve">davon getilgt</t>
        </is>
      </c>
      <c r="C50" s="30">
        <f>IF(INDEX(ObjBelegt,2)=0,"",INDEX(IstGetilgt,2))</f>
      </c>
      <c r="D50"/>
      <c r="E50" s="16" t="inlineStr">
        <is>
          <t xml:space="preserve">EK-Rendite (Cashflow)</t>
        </is>
      </c>
      <c r="F50" s="31">
        <f>IF(INDEX(ObjBelegt,2)=0,"",IF(INDEX(IstEkEingesetzt,2)=0,0,INDEX(IstCfRunrateNach,2)/INDEX(IstEkEingesetzt,2)*100))</f>
      </c>
    </row>
    <row r="51">
      <c r="A51"/>
      <c r="B51" s="16" t="inlineStr">
        <is>
          <t xml:space="preserve">Rate je Monat</t>
        </is>
      </c>
      <c r="C51" s="30">
        <f>IF(INDEX(ObjBelegt,2)=0,"",INDEX(IstRateMonat,2))</f>
      </c>
      <c r="D51"/>
      <c r="E51" s="16" t="inlineStr">
        <is>
          <t xml:space="preserve">EK-Rendite mit Tilgung</t>
        </is>
      </c>
      <c r="F51" s="31">
        <f>IF(INDEX(ObjBelegt,2)=0,"",IF(INDEX(IstEkEingesetzt,2)=0,0,(INDEX(IstCfRunrateNach,2)+INDEX(IstTilgung12,2)+INDEX(IstSonder12,2)+INDEX(IstErsatz12,2))/INDEX(IstEkEingesetzt,2)*100))</f>
      </c>
    </row>
    <row r="52">
      <c r="A52"/>
      <c r="B52" s="16" t="inlineStr">
        <is>
          <t xml:space="preserve">Beleihungsauslauf</t>
        </is>
      </c>
      <c r="C52" s="34">
        <f>IF(INDEX(ObjBelegt,2)=0,"",IF(INDEX(IstWert,2)=0,0,INDEX(IstRest,2)/INDEX(IstWert,2)*100))</f>
      </c>
      <c r="D52"/>
      <c r="E52" s="16" t="inlineStr">
        <is>
          <t xml:space="preserve">Tilgungsersatz eingezahlt</t>
        </is>
      </c>
      <c r="F52" s="30">
        <f>IF(INDEX(ObjBelegt,2)=0,"",INDEX(IstErsatzEin,2))</f>
      </c>
    </row>
    <row r="53">
      <c r="A53"/>
      <c r="B53" s="16" t="inlineStr">
        <is>
          <t xml:space="preserve">Kapitaldienstdeckung DSCR</t>
        </is>
      </c>
      <c r="C53" s="35">
        <f>IF(INDEX(ObjBelegt,2)=0,"",IF(INDEX(IstKapital12,2)=0,0,(INDEX(IstRunrate,2)-INDEX(IstBewirtVoll,2))/INDEX(IstKapital12,2)))</f>
      </c>
      <c r="D53"/>
      <c r="E53" s="16" t="inlineStr">
        <is>
          <t xml:space="preserve">Guthaben mit Verzinsung</t>
        </is>
      </c>
      <c r="F53" s="30">
        <f>IF(INDEX(ObjBelegt,2)=0,"",INDEX(IstErsatzGut,2))</f>
      </c>
    </row>
    <row r="54">
      <c r="A54"/>
      <c r="B54" s="16" t="inlineStr">
        <is>
          <t xml:space="preserve">Einheiten / davon vermietet</t>
        </is>
      </c>
      <c r="C54" s="37">
        <f>IF(INDEX(ObjBelegt,2)=0,"",INDEX(IstEinheiten,2)&amp;" / "&amp;INDEX(IstVermietet,2))</f>
      </c>
    </row>
    <row r="56">
      <c r="A56"/>
      <c r="B56" s="45"/>
      <c r="C56" s="45"/>
      <c r="D56" s="45"/>
      <c r="E56" s="45"/>
      <c r="F56" s="45"/>
    </row>
    <row r="58">
      <c r="A58"/>
      <c r="B58" s="44">
        <f>IF(INDEX(ObjBelegt,3)=0,"– Objekt 3 ist nicht belegt –",INDEX(ObjBezeichnung,3))</f>
      </c>
    </row>
    <row r="59">
      <c r="A59"/>
      <c r="B59" s="16">
        <f>IF(INDEX(ObjBelegt,3)=0,"",INDEX(ObjTyp,3)&amp;" · "&amp;INDEX(ObjBezeichnung,3))</f>
      </c>
      <c r="C59"/>
      <c r="D59"/>
      <c r="E59" s="16">
        <f>IF(INDEX(ObjBelegt,3)=0,"","Kauf: "&amp;TEXT(DAY(INDEX(ObjKaufdatum,3)),"00")&amp;"."&amp;TEXT(MONTH(INDEX(ObjKaufdatum,3)),"00")&amp;"."&amp;YEAR(INDEX(ObjKaufdatum,3)))</f>
      </c>
    </row>
    <row r="61">
      <c r="A61"/>
      <c r="B61" s="25" t="inlineStr">
        <is>
          <t xml:space="preserve">Kennzahlen</t>
        </is>
      </c>
      <c r="C61" s="24"/>
      <c r="D61"/>
      <c r="E61" s="25">
        <f>"Cashflow "&amp;Jahr</f>
      </c>
      <c r="F61" s="24"/>
    </row>
    <row r="62">
      <c r="A62"/>
      <c r="B62" s="16" t="inlineStr">
        <is>
          <t xml:space="preserve">Kaufpreis</t>
        </is>
      </c>
      <c r="C62" s="30">
        <f>IF(INDEX(ObjBelegt,3)=0,"",INDEX(ObjKaufpreis,3))</f>
      </c>
      <c r="D62"/>
      <c r="E62" s="16" t="inlineStr">
        <is>
          <t xml:space="preserve">Kaltmiete</t>
        </is>
      </c>
      <c r="F62" s="30">
        <f>IF(INDEX(ObjBelegt,3)=0,"",INDEX(IstIstMiete,3))</f>
      </c>
    </row>
    <row r="63">
      <c r="A63"/>
      <c r="B63" s="16" t="inlineStr">
        <is>
          <t xml:space="preserve">Kaufnebenkosten</t>
        </is>
      </c>
      <c r="C63" s="30">
        <f>IF(INDEX(ObjBelegt,3)=0,"",INDEX(IstNkSumme,3))</f>
      </c>
      <c r="D63"/>
      <c r="E63" s="16" t="inlineStr">
        <is>
          <t xml:space="preserve">− Bewirtschaftung</t>
        </is>
      </c>
      <c r="F63" s="30">
        <f>IF(INDEX(ObjBelegt,3)=0,"",-INDEX(IstIstBewirt,3))</f>
      </c>
    </row>
    <row r="64">
      <c r="A64"/>
      <c r="B64" s="16" t="inlineStr">
        <is>
          <t xml:space="preserve">Gesamtinvestition</t>
        </is>
      </c>
      <c r="C64" s="30">
        <f>IF(INDEX(ObjBelegt,3)=0,"",INDEX(IstInvest,3))</f>
      </c>
      <c r="D64"/>
      <c r="E64" s="16" t="inlineStr">
        <is>
          <t xml:space="preserve">− Zinsen</t>
        </is>
      </c>
      <c r="F64" s="30">
        <f>IF(INDEX(ObjBelegt,3)=0,"",-INDEX(IstIstZins,3))</f>
      </c>
    </row>
    <row r="65">
      <c r="A65"/>
      <c r="B65" s="16" t="inlineStr">
        <is>
          <t xml:space="preserve">Verkehrswert</t>
        </is>
      </c>
      <c r="C65" s="30">
        <f>IF(INDEX(ObjBelegt,3)=0,"",INDEX(IstWert,3))</f>
      </c>
      <c r="D65"/>
      <c r="E65" s="16" t="inlineStr">
        <is>
          <t xml:space="preserve">− Tilgung und Sondertilgung</t>
        </is>
      </c>
      <c r="F65" s="30">
        <f>IF(INDEX(ObjBelegt,3)=0,"",-INDEX(IstIstTilgung,3)-INDEX(IstIstSonder,3)-INDEX(IstIstErsatz,3))</f>
      </c>
    </row>
    <row r="66">
      <c r="A66"/>
      <c r="B66" s="16" t="inlineStr">
        <is>
          <t xml:space="preserve">Fläche</t>
        </is>
      </c>
      <c r="C66" s="32">
        <f>IF(INDEX(ObjBelegt,3)=0,"",INDEX(IstFlaeche,3))</f>
      </c>
      <c r="D66"/>
      <c r="E66" s="6" t="inlineStr">
        <is>
          <t xml:space="preserve">= Cashflow vor Steuern</t>
        </is>
      </c>
      <c r="F66" s="30">
        <f>IF(INDEX(ObjBelegt,3)=0,"",INDEX(IstCfVor,3))</f>
      </c>
    </row>
    <row r="67">
      <c r="A67"/>
      <c r="B67" s="16" t="inlineStr">
        <is>
          <t xml:space="preserve">Kaltmiete je Monat</t>
        </is>
      </c>
      <c r="C67" s="30">
        <f>IF(INDEX(ObjBelegt,3)=0,"",INDEX(IstMieteMonat,3))</f>
      </c>
      <c r="D67"/>
      <c r="E67" s="16" t="inlineStr">
        <is>
          <t xml:space="preserve">AfA (mindert nur die Steuer)</t>
        </is>
      </c>
      <c r="F67" s="30">
        <f>IF(INDEX(ObjBelegt,3)=0,"",-INDEX(IstAfaJahr,3))</f>
      </c>
    </row>
    <row r="68">
      <c r="A68"/>
      <c r="B68" s="16" t="inlineStr">
        <is>
          <t xml:space="preserve">Miete je m²</t>
        </is>
      </c>
      <c r="C68" s="33">
        <f>IF(INDEX(ObjBelegt,3)=0,"",IF(INDEX(IstFlaeche,3)=0,0,INDEX(IstMieteMonat,3)/INDEX(IstFlaeche,3)))</f>
      </c>
      <c r="D68"/>
      <c r="E68" s="16" t="inlineStr">
        <is>
          <t xml:space="preserve">= Einkünfte aus Vermietung</t>
        </is>
      </c>
      <c r="F68" s="30">
        <f>IF(INDEX(ObjBelegt,3)=0,"",INDEX(IstEinkuenfte,3))</f>
      </c>
    </row>
    <row r="69">
      <c r="A69"/>
      <c r="B69" s="16" t="inlineStr">
        <is>
          <t xml:space="preserve">Bruttorendite</t>
        </is>
      </c>
      <c r="C69" s="31">
        <f>IF(INDEX(ObjBelegt,3)=0,"",IF(INDEX(IstInvest,3)=0,0,INDEX(IstRunrate,3)/INDEX(IstInvest,3)*100))</f>
      </c>
      <c r="D69"/>
      <c r="E69" s="16" t="inlineStr">
        <is>
          <t xml:space="preserve">Steuer (negativ = Erstattung)</t>
        </is>
      </c>
      <c r="F69" s="30">
        <f>IF(INDEX(ObjBelegt,3)=0,"",INDEX(IstSteuer,3))</f>
      </c>
    </row>
    <row r="70">
      <c r="A70"/>
      <c r="B70" s="16" t="inlineStr">
        <is>
          <t xml:space="preserve">Nettorendite</t>
        </is>
      </c>
      <c r="C70" s="31">
        <f>IF(INDEX(ObjBelegt,3)=0,"",IF(INDEX(IstInvest,3)=0,0,(INDEX(IstRunrate,3)-INDEX(IstBewirtVoll,3))/INDEX(IstInvest,3)*100))</f>
      </c>
      <c r="D70"/>
      <c r="E70" s="6" t="inlineStr">
        <is>
          <t xml:space="preserve">= Cashflow nach Steuern</t>
        </is>
      </c>
      <c r="F70" s="30">
        <f>IF(INDEX(ObjBelegt,3)=0,"",INDEX(IstCfNach,3))</f>
      </c>
    </row>
    <row r="71">
      <c r="A71"/>
      <c r="B71" s="16" t="inlineStr">
        <is>
          <t xml:space="preserve">Kaufpreisfaktor</t>
        </is>
      </c>
      <c r="C71" s="32">
        <f>IF(INDEX(ObjBelegt,3)=0,"",IF(INDEX(IstRunrate,3)=0,0,INDEX(ObjKaufpreis,3)/INDEX(IstRunrate,3)))</f>
      </c>
      <c r="D71"/>
      <c r="E71" s="16" t="inlineStr">
        <is>
          <t xml:space="preserve">je Monat nach Steuern</t>
        </is>
      </c>
      <c r="F71" s="30">
        <f>IF(INDEX(ObjBelegt,3)=0,"",INDEX(IstCfNach,3)/12)</f>
      </c>
    </row>
    <row r="73">
      <c r="A73"/>
      <c r="B73" s="25" t="inlineStr">
        <is>
          <t xml:space="preserve">Finanzierung</t>
        </is>
      </c>
      <c r="C73" s="24"/>
      <c r="D73"/>
      <c r="E73" s="25" t="inlineStr">
        <is>
          <t xml:space="preserve">Eingesetztes Kapital</t>
        </is>
      </c>
      <c r="F73" s="24"/>
    </row>
    <row r="74">
      <c r="A74"/>
      <c r="B74" s="16" t="inlineStr">
        <is>
          <t xml:space="preserve">Darlehenssumme</t>
        </is>
      </c>
      <c r="C74" s="30">
        <f>IF(INDEX(ObjBelegt,3)=0,"",INDEX(IstDarlehen,3))</f>
      </c>
      <c r="D74"/>
      <c r="E74" s="16" t="inlineStr">
        <is>
          <t xml:space="preserve">Eigenkapital eingesetzt</t>
        </is>
      </c>
      <c r="F74" s="30">
        <f>IF(INDEX(ObjBelegt,3)=0,"",INDEX(IstEkEingesetzt,3))</f>
      </c>
    </row>
    <row r="75">
      <c r="A75"/>
      <c r="B75" s="16" t="inlineStr">
        <is>
          <t xml:space="preserve">Restschuld</t>
        </is>
      </c>
      <c r="C75" s="30">
        <f>IF(INDEX(ObjBelegt,3)=0,"",INDEX(IstRest,3))</f>
      </c>
      <c r="D75"/>
      <c r="E75" s="16" t="inlineStr">
        <is>
          <t xml:space="preserve">Eigenkapital heute</t>
        </is>
      </c>
      <c r="F75" s="30">
        <f>IF(INDEX(ObjBelegt,3)=0,"",INDEX(IstEk,3))</f>
      </c>
    </row>
    <row r="76">
      <c r="A76"/>
      <c r="B76" s="16" t="inlineStr">
        <is>
          <t xml:space="preserve">davon getilgt</t>
        </is>
      </c>
      <c r="C76" s="30">
        <f>IF(INDEX(ObjBelegt,3)=0,"",INDEX(IstGetilgt,3))</f>
      </c>
      <c r="D76"/>
      <c r="E76" s="16" t="inlineStr">
        <is>
          <t xml:space="preserve">EK-Rendite (Cashflow)</t>
        </is>
      </c>
      <c r="F76" s="31">
        <f>IF(INDEX(ObjBelegt,3)=0,"",IF(INDEX(IstEkEingesetzt,3)=0,0,INDEX(IstCfRunrateNach,3)/INDEX(IstEkEingesetzt,3)*100))</f>
      </c>
    </row>
    <row r="77">
      <c r="A77"/>
      <c r="B77" s="16" t="inlineStr">
        <is>
          <t xml:space="preserve">Rate je Monat</t>
        </is>
      </c>
      <c r="C77" s="30">
        <f>IF(INDEX(ObjBelegt,3)=0,"",INDEX(IstRateMonat,3))</f>
      </c>
      <c r="D77"/>
      <c r="E77" s="16" t="inlineStr">
        <is>
          <t xml:space="preserve">EK-Rendite mit Tilgung</t>
        </is>
      </c>
      <c r="F77" s="31">
        <f>IF(INDEX(ObjBelegt,3)=0,"",IF(INDEX(IstEkEingesetzt,3)=0,0,(INDEX(IstCfRunrateNach,3)+INDEX(IstTilgung12,3)+INDEX(IstSonder12,3)+INDEX(IstErsatz12,3))/INDEX(IstEkEingesetzt,3)*100))</f>
      </c>
    </row>
    <row r="78">
      <c r="A78"/>
      <c r="B78" s="16" t="inlineStr">
        <is>
          <t xml:space="preserve">Beleihungsauslauf</t>
        </is>
      </c>
      <c r="C78" s="34">
        <f>IF(INDEX(ObjBelegt,3)=0,"",IF(INDEX(IstWert,3)=0,0,INDEX(IstRest,3)/INDEX(IstWert,3)*100))</f>
      </c>
      <c r="D78"/>
      <c r="E78" s="16" t="inlineStr">
        <is>
          <t xml:space="preserve">Tilgungsersatz eingezahlt</t>
        </is>
      </c>
      <c r="F78" s="30">
        <f>IF(INDEX(ObjBelegt,3)=0,"",INDEX(IstErsatzEin,3))</f>
      </c>
    </row>
    <row r="79">
      <c r="A79"/>
      <c r="B79" s="16" t="inlineStr">
        <is>
          <t xml:space="preserve">Kapitaldienstdeckung DSCR</t>
        </is>
      </c>
      <c r="C79" s="35">
        <f>IF(INDEX(ObjBelegt,3)=0,"",IF(INDEX(IstKapital12,3)=0,0,(INDEX(IstRunrate,3)-INDEX(IstBewirtVoll,3))/INDEX(IstKapital12,3)))</f>
      </c>
      <c r="D79"/>
      <c r="E79" s="16" t="inlineStr">
        <is>
          <t xml:space="preserve">Guthaben mit Verzinsung</t>
        </is>
      </c>
      <c r="F79" s="30">
        <f>IF(INDEX(ObjBelegt,3)=0,"",INDEX(IstErsatzGut,3))</f>
      </c>
    </row>
    <row r="80">
      <c r="A80"/>
      <c r="B80" s="16" t="inlineStr">
        <is>
          <t xml:space="preserve">Einheiten / davon vermietet</t>
        </is>
      </c>
      <c r="C80" s="37">
        <f>IF(INDEX(ObjBelegt,3)=0,"",INDEX(IstEinheiten,3)&amp;" / "&amp;INDEX(IstVermietet,3))</f>
      </c>
    </row>
    <row r="82">
      <c r="A82"/>
      <c r="B82" s="45"/>
      <c r="C82" s="45"/>
      <c r="D82" s="45"/>
      <c r="E82" s="45"/>
      <c r="F82" s="45"/>
    </row>
    <row r="84">
      <c r="A84"/>
      <c r="B84" s="44">
        <f>IF(INDEX(ObjBelegt,4)=0,"– Objekt 4 ist nicht belegt –",INDEX(ObjBezeichnung,4))</f>
      </c>
    </row>
    <row r="85">
      <c r="A85"/>
      <c r="B85" s="16">
        <f>IF(INDEX(ObjBelegt,4)=0,"",INDEX(ObjTyp,4)&amp;" · "&amp;INDEX(ObjBezeichnung,4))</f>
      </c>
      <c r="C85"/>
      <c r="D85"/>
      <c r="E85" s="16">
        <f>IF(INDEX(ObjBelegt,4)=0,"","Kauf: "&amp;TEXT(DAY(INDEX(ObjKaufdatum,4)),"00")&amp;"."&amp;TEXT(MONTH(INDEX(ObjKaufdatum,4)),"00")&amp;"."&amp;YEAR(INDEX(ObjKaufdatum,4)))</f>
      </c>
    </row>
    <row r="87">
      <c r="A87"/>
      <c r="B87" s="25" t="inlineStr">
        <is>
          <t xml:space="preserve">Kennzahlen</t>
        </is>
      </c>
      <c r="C87" s="24"/>
      <c r="D87"/>
      <c r="E87" s="25">
        <f>"Cashflow "&amp;Jahr</f>
      </c>
      <c r="F87" s="24"/>
    </row>
    <row r="88">
      <c r="A88"/>
      <c r="B88" s="16" t="inlineStr">
        <is>
          <t xml:space="preserve">Kaufpreis</t>
        </is>
      </c>
      <c r="C88" s="30">
        <f>IF(INDEX(ObjBelegt,4)=0,"",INDEX(ObjKaufpreis,4))</f>
      </c>
      <c r="D88"/>
      <c r="E88" s="16" t="inlineStr">
        <is>
          <t xml:space="preserve">Kaltmiete</t>
        </is>
      </c>
      <c r="F88" s="30">
        <f>IF(INDEX(ObjBelegt,4)=0,"",INDEX(IstIstMiete,4))</f>
      </c>
    </row>
    <row r="89">
      <c r="A89"/>
      <c r="B89" s="16" t="inlineStr">
        <is>
          <t xml:space="preserve">Kaufnebenkosten</t>
        </is>
      </c>
      <c r="C89" s="30">
        <f>IF(INDEX(ObjBelegt,4)=0,"",INDEX(IstNkSumme,4))</f>
      </c>
      <c r="D89"/>
      <c r="E89" s="16" t="inlineStr">
        <is>
          <t xml:space="preserve">− Bewirtschaftung</t>
        </is>
      </c>
      <c r="F89" s="30">
        <f>IF(INDEX(ObjBelegt,4)=0,"",-INDEX(IstIstBewirt,4))</f>
      </c>
    </row>
    <row r="90">
      <c r="A90"/>
      <c r="B90" s="16" t="inlineStr">
        <is>
          <t xml:space="preserve">Gesamtinvestition</t>
        </is>
      </c>
      <c r="C90" s="30">
        <f>IF(INDEX(ObjBelegt,4)=0,"",INDEX(IstInvest,4))</f>
      </c>
      <c r="D90"/>
      <c r="E90" s="16" t="inlineStr">
        <is>
          <t xml:space="preserve">− Zinsen</t>
        </is>
      </c>
      <c r="F90" s="30">
        <f>IF(INDEX(ObjBelegt,4)=0,"",-INDEX(IstIstZins,4))</f>
      </c>
    </row>
    <row r="91">
      <c r="A91"/>
      <c r="B91" s="16" t="inlineStr">
        <is>
          <t xml:space="preserve">Verkehrswert</t>
        </is>
      </c>
      <c r="C91" s="30">
        <f>IF(INDEX(ObjBelegt,4)=0,"",INDEX(IstWert,4))</f>
      </c>
      <c r="D91"/>
      <c r="E91" s="16" t="inlineStr">
        <is>
          <t xml:space="preserve">− Tilgung und Sondertilgung</t>
        </is>
      </c>
      <c r="F91" s="30">
        <f>IF(INDEX(ObjBelegt,4)=0,"",-INDEX(IstIstTilgung,4)-INDEX(IstIstSonder,4)-INDEX(IstIstErsatz,4))</f>
      </c>
    </row>
    <row r="92">
      <c r="A92"/>
      <c r="B92" s="16" t="inlineStr">
        <is>
          <t xml:space="preserve">Fläche</t>
        </is>
      </c>
      <c r="C92" s="32">
        <f>IF(INDEX(ObjBelegt,4)=0,"",INDEX(IstFlaeche,4))</f>
      </c>
      <c r="D92"/>
      <c r="E92" s="6" t="inlineStr">
        <is>
          <t xml:space="preserve">= Cashflow vor Steuern</t>
        </is>
      </c>
      <c r="F92" s="30">
        <f>IF(INDEX(ObjBelegt,4)=0,"",INDEX(IstCfVor,4))</f>
      </c>
    </row>
    <row r="93">
      <c r="A93"/>
      <c r="B93" s="16" t="inlineStr">
        <is>
          <t xml:space="preserve">Kaltmiete je Monat</t>
        </is>
      </c>
      <c r="C93" s="30">
        <f>IF(INDEX(ObjBelegt,4)=0,"",INDEX(IstMieteMonat,4))</f>
      </c>
      <c r="D93"/>
      <c r="E93" s="16" t="inlineStr">
        <is>
          <t xml:space="preserve">AfA (mindert nur die Steuer)</t>
        </is>
      </c>
      <c r="F93" s="30">
        <f>IF(INDEX(ObjBelegt,4)=0,"",-INDEX(IstAfaJahr,4))</f>
      </c>
    </row>
    <row r="94">
      <c r="A94"/>
      <c r="B94" s="16" t="inlineStr">
        <is>
          <t xml:space="preserve">Miete je m²</t>
        </is>
      </c>
      <c r="C94" s="33">
        <f>IF(INDEX(ObjBelegt,4)=0,"",IF(INDEX(IstFlaeche,4)=0,0,INDEX(IstMieteMonat,4)/INDEX(IstFlaeche,4)))</f>
      </c>
      <c r="D94"/>
      <c r="E94" s="16" t="inlineStr">
        <is>
          <t xml:space="preserve">= Einkünfte aus Vermietung</t>
        </is>
      </c>
      <c r="F94" s="30">
        <f>IF(INDEX(ObjBelegt,4)=0,"",INDEX(IstEinkuenfte,4))</f>
      </c>
    </row>
    <row r="95">
      <c r="A95"/>
      <c r="B95" s="16" t="inlineStr">
        <is>
          <t xml:space="preserve">Bruttorendite</t>
        </is>
      </c>
      <c r="C95" s="31">
        <f>IF(INDEX(ObjBelegt,4)=0,"",IF(INDEX(IstInvest,4)=0,0,INDEX(IstRunrate,4)/INDEX(IstInvest,4)*100))</f>
      </c>
      <c r="D95"/>
      <c r="E95" s="16" t="inlineStr">
        <is>
          <t xml:space="preserve">Steuer (negativ = Erstattung)</t>
        </is>
      </c>
      <c r="F95" s="30">
        <f>IF(INDEX(ObjBelegt,4)=0,"",INDEX(IstSteuer,4))</f>
      </c>
    </row>
    <row r="96">
      <c r="A96"/>
      <c r="B96" s="16" t="inlineStr">
        <is>
          <t xml:space="preserve">Nettorendite</t>
        </is>
      </c>
      <c r="C96" s="31">
        <f>IF(INDEX(ObjBelegt,4)=0,"",IF(INDEX(IstInvest,4)=0,0,(INDEX(IstRunrate,4)-INDEX(IstBewirtVoll,4))/INDEX(IstInvest,4)*100))</f>
      </c>
      <c r="D96"/>
      <c r="E96" s="6" t="inlineStr">
        <is>
          <t xml:space="preserve">= Cashflow nach Steuern</t>
        </is>
      </c>
      <c r="F96" s="30">
        <f>IF(INDEX(ObjBelegt,4)=0,"",INDEX(IstCfNach,4))</f>
      </c>
    </row>
    <row r="97">
      <c r="A97"/>
      <c r="B97" s="16" t="inlineStr">
        <is>
          <t xml:space="preserve">Kaufpreisfaktor</t>
        </is>
      </c>
      <c r="C97" s="32">
        <f>IF(INDEX(ObjBelegt,4)=0,"",IF(INDEX(IstRunrate,4)=0,0,INDEX(ObjKaufpreis,4)/INDEX(IstRunrate,4)))</f>
      </c>
      <c r="D97"/>
      <c r="E97" s="16" t="inlineStr">
        <is>
          <t xml:space="preserve">je Monat nach Steuern</t>
        </is>
      </c>
      <c r="F97" s="30">
        <f>IF(INDEX(ObjBelegt,4)=0,"",INDEX(IstCfNach,4)/12)</f>
      </c>
    </row>
    <row r="99">
      <c r="A99"/>
      <c r="B99" s="25" t="inlineStr">
        <is>
          <t xml:space="preserve">Finanzierung</t>
        </is>
      </c>
      <c r="C99" s="24"/>
      <c r="D99"/>
      <c r="E99" s="25" t="inlineStr">
        <is>
          <t xml:space="preserve">Eingesetztes Kapital</t>
        </is>
      </c>
      <c r="F99" s="24"/>
    </row>
    <row r="100">
      <c r="A100"/>
      <c r="B100" s="16" t="inlineStr">
        <is>
          <t xml:space="preserve">Darlehenssumme</t>
        </is>
      </c>
      <c r="C100" s="30">
        <f>IF(INDEX(ObjBelegt,4)=0,"",INDEX(IstDarlehen,4))</f>
      </c>
      <c r="D100"/>
      <c r="E100" s="16" t="inlineStr">
        <is>
          <t xml:space="preserve">Eigenkapital eingesetzt</t>
        </is>
      </c>
      <c r="F100" s="30">
        <f>IF(INDEX(ObjBelegt,4)=0,"",INDEX(IstEkEingesetzt,4))</f>
      </c>
    </row>
    <row r="101">
      <c r="A101"/>
      <c r="B101" s="16" t="inlineStr">
        <is>
          <t xml:space="preserve">Restschuld</t>
        </is>
      </c>
      <c r="C101" s="30">
        <f>IF(INDEX(ObjBelegt,4)=0,"",INDEX(IstRest,4))</f>
      </c>
      <c r="D101"/>
      <c r="E101" s="16" t="inlineStr">
        <is>
          <t xml:space="preserve">Eigenkapital heute</t>
        </is>
      </c>
      <c r="F101" s="30">
        <f>IF(INDEX(ObjBelegt,4)=0,"",INDEX(IstEk,4))</f>
      </c>
    </row>
    <row r="102">
      <c r="A102"/>
      <c r="B102" s="16" t="inlineStr">
        <is>
          <t xml:space="preserve">davon getilgt</t>
        </is>
      </c>
      <c r="C102" s="30">
        <f>IF(INDEX(ObjBelegt,4)=0,"",INDEX(IstGetilgt,4))</f>
      </c>
      <c r="D102"/>
      <c r="E102" s="16" t="inlineStr">
        <is>
          <t xml:space="preserve">EK-Rendite (Cashflow)</t>
        </is>
      </c>
      <c r="F102" s="31">
        <f>IF(INDEX(ObjBelegt,4)=0,"",IF(INDEX(IstEkEingesetzt,4)=0,0,INDEX(IstCfRunrateNach,4)/INDEX(IstEkEingesetzt,4)*100))</f>
      </c>
    </row>
    <row r="103">
      <c r="A103"/>
      <c r="B103" s="16" t="inlineStr">
        <is>
          <t xml:space="preserve">Rate je Monat</t>
        </is>
      </c>
      <c r="C103" s="30">
        <f>IF(INDEX(ObjBelegt,4)=0,"",INDEX(IstRateMonat,4))</f>
      </c>
      <c r="D103"/>
      <c r="E103" s="16" t="inlineStr">
        <is>
          <t xml:space="preserve">EK-Rendite mit Tilgung</t>
        </is>
      </c>
      <c r="F103" s="31">
        <f>IF(INDEX(ObjBelegt,4)=0,"",IF(INDEX(IstEkEingesetzt,4)=0,0,(INDEX(IstCfRunrateNach,4)+INDEX(IstTilgung12,4)+INDEX(IstSonder12,4)+INDEX(IstErsatz12,4))/INDEX(IstEkEingesetzt,4)*100))</f>
      </c>
    </row>
    <row r="104">
      <c r="A104"/>
      <c r="B104" s="16" t="inlineStr">
        <is>
          <t xml:space="preserve">Beleihungsauslauf</t>
        </is>
      </c>
      <c r="C104" s="34">
        <f>IF(INDEX(ObjBelegt,4)=0,"",IF(INDEX(IstWert,4)=0,0,INDEX(IstRest,4)/INDEX(IstWert,4)*100))</f>
      </c>
      <c r="D104"/>
      <c r="E104" s="16" t="inlineStr">
        <is>
          <t xml:space="preserve">Tilgungsersatz eingezahlt</t>
        </is>
      </c>
      <c r="F104" s="30">
        <f>IF(INDEX(ObjBelegt,4)=0,"",INDEX(IstErsatzEin,4))</f>
      </c>
    </row>
    <row r="105">
      <c r="A105"/>
      <c r="B105" s="16" t="inlineStr">
        <is>
          <t xml:space="preserve">Kapitaldienstdeckung DSCR</t>
        </is>
      </c>
      <c r="C105" s="35">
        <f>IF(INDEX(ObjBelegt,4)=0,"",IF(INDEX(IstKapital12,4)=0,0,(INDEX(IstRunrate,4)-INDEX(IstBewirtVoll,4))/INDEX(IstKapital12,4)))</f>
      </c>
      <c r="D105"/>
      <c r="E105" s="16" t="inlineStr">
        <is>
          <t xml:space="preserve">Guthaben mit Verzinsung</t>
        </is>
      </c>
      <c r="F105" s="30">
        <f>IF(INDEX(ObjBelegt,4)=0,"",INDEX(IstErsatzGut,4))</f>
      </c>
    </row>
    <row r="106">
      <c r="A106"/>
      <c r="B106" s="16" t="inlineStr">
        <is>
          <t xml:space="preserve">Einheiten / davon vermietet</t>
        </is>
      </c>
      <c r="C106" s="37">
        <f>IF(INDEX(ObjBelegt,4)=0,"",INDEX(IstEinheiten,4)&amp;" / "&amp;INDEX(IstVermietet,4))</f>
      </c>
    </row>
    <row r="108">
      <c r="A108"/>
      <c r="B108" s="45"/>
      <c r="C108" s="45"/>
      <c r="D108" s="45"/>
      <c r="E108" s="45"/>
      <c r="F108" s="45"/>
    </row>
    <row r="110">
      <c r="A110"/>
      <c r="B110" s="44">
        <f>IF(INDEX(ObjBelegt,5)=0,"– Objekt 5 ist nicht belegt –",INDEX(ObjBezeichnung,5))</f>
      </c>
    </row>
    <row r="111">
      <c r="A111"/>
      <c r="B111" s="16">
        <f>IF(INDEX(ObjBelegt,5)=0,"",INDEX(ObjTyp,5)&amp;" · "&amp;INDEX(ObjBezeichnung,5))</f>
      </c>
      <c r="C111"/>
      <c r="D111"/>
      <c r="E111" s="16">
        <f>IF(INDEX(ObjBelegt,5)=0,"","Kauf: "&amp;TEXT(DAY(INDEX(ObjKaufdatum,5)),"00")&amp;"."&amp;TEXT(MONTH(INDEX(ObjKaufdatum,5)),"00")&amp;"."&amp;YEAR(INDEX(ObjKaufdatum,5)))</f>
      </c>
    </row>
    <row r="113">
      <c r="A113"/>
      <c r="B113" s="25" t="inlineStr">
        <is>
          <t xml:space="preserve">Kennzahlen</t>
        </is>
      </c>
      <c r="C113" s="24"/>
      <c r="D113"/>
      <c r="E113" s="25">
        <f>"Cashflow "&amp;Jahr</f>
      </c>
      <c r="F113" s="24"/>
    </row>
    <row r="114">
      <c r="A114"/>
      <c r="B114" s="16" t="inlineStr">
        <is>
          <t xml:space="preserve">Kaufpreis</t>
        </is>
      </c>
      <c r="C114" s="30">
        <f>IF(INDEX(ObjBelegt,5)=0,"",INDEX(ObjKaufpreis,5))</f>
      </c>
      <c r="D114"/>
      <c r="E114" s="16" t="inlineStr">
        <is>
          <t xml:space="preserve">Kaltmiete</t>
        </is>
      </c>
      <c r="F114" s="30">
        <f>IF(INDEX(ObjBelegt,5)=0,"",INDEX(IstIstMiete,5))</f>
      </c>
    </row>
    <row r="115">
      <c r="A115"/>
      <c r="B115" s="16" t="inlineStr">
        <is>
          <t xml:space="preserve">Kaufnebenkosten</t>
        </is>
      </c>
      <c r="C115" s="30">
        <f>IF(INDEX(ObjBelegt,5)=0,"",INDEX(IstNkSumme,5))</f>
      </c>
      <c r="D115"/>
      <c r="E115" s="16" t="inlineStr">
        <is>
          <t xml:space="preserve">− Bewirtschaftung</t>
        </is>
      </c>
      <c r="F115" s="30">
        <f>IF(INDEX(ObjBelegt,5)=0,"",-INDEX(IstIstBewirt,5))</f>
      </c>
    </row>
    <row r="116">
      <c r="A116"/>
      <c r="B116" s="16" t="inlineStr">
        <is>
          <t xml:space="preserve">Gesamtinvestition</t>
        </is>
      </c>
      <c r="C116" s="30">
        <f>IF(INDEX(ObjBelegt,5)=0,"",INDEX(IstInvest,5))</f>
      </c>
      <c r="D116"/>
      <c r="E116" s="16" t="inlineStr">
        <is>
          <t xml:space="preserve">− Zinsen</t>
        </is>
      </c>
      <c r="F116" s="30">
        <f>IF(INDEX(ObjBelegt,5)=0,"",-INDEX(IstIstZins,5))</f>
      </c>
    </row>
    <row r="117">
      <c r="A117"/>
      <c r="B117" s="16" t="inlineStr">
        <is>
          <t xml:space="preserve">Verkehrswert</t>
        </is>
      </c>
      <c r="C117" s="30">
        <f>IF(INDEX(ObjBelegt,5)=0,"",INDEX(IstWert,5))</f>
      </c>
      <c r="D117"/>
      <c r="E117" s="16" t="inlineStr">
        <is>
          <t xml:space="preserve">− Tilgung und Sondertilgung</t>
        </is>
      </c>
      <c r="F117" s="30">
        <f>IF(INDEX(ObjBelegt,5)=0,"",-INDEX(IstIstTilgung,5)-INDEX(IstIstSonder,5)-INDEX(IstIstErsatz,5))</f>
      </c>
    </row>
    <row r="118">
      <c r="A118"/>
      <c r="B118" s="16" t="inlineStr">
        <is>
          <t xml:space="preserve">Fläche</t>
        </is>
      </c>
      <c r="C118" s="32">
        <f>IF(INDEX(ObjBelegt,5)=0,"",INDEX(IstFlaeche,5))</f>
      </c>
      <c r="D118"/>
      <c r="E118" s="6" t="inlineStr">
        <is>
          <t xml:space="preserve">= Cashflow vor Steuern</t>
        </is>
      </c>
      <c r="F118" s="30">
        <f>IF(INDEX(ObjBelegt,5)=0,"",INDEX(IstCfVor,5))</f>
      </c>
    </row>
    <row r="119">
      <c r="A119"/>
      <c r="B119" s="16" t="inlineStr">
        <is>
          <t xml:space="preserve">Kaltmiete je Monat</t>
        </is>
      </c>
      <c r="C119" s="30">
        <f>IF(INDEX(ObjBelegt,5)=0,"",INDEX(IstMieteMonat,5))</f>
      </c>
      <c r="D119"/>
      <c r="E119" s="16" t="inlineStr">
        <is>
          <t xml:space="preserve">AfA (mindert nur die Steuer)</t>
        </is>
      </c>
      <c r="F119" s="30">
        <f>IF(INDEX(ObjBelegt,5)=0,"",-INDEX(IstAfaJahr,5))</f>
      </c>
    </row>
    <row r="120">
      <c r="A120"/>
      <c r="B120" s="16" t="inlineStr">
        <is>
          <t xml:space="preserve">Miete je m²</t>
        </is>
      </c>
      <c r="C120" s="33">
        <f>IF(INDEX(ObjBelegt,5)=0,"",IF(INDEX(IstFlaeche,5)=0,0,INDEX(IstMieteMonat,5)/INDEX(IstFlaeche,5)))</f>
      </c>
      <c r="D120"/>
      <c r="E120" s="16" t="inlineStr">
        <is>
          <t xml:space="preserve">= Einkünfte aus Vermietung</t>
        </is>
      </c>
      <c r="F120" s="30">
        <f>IF(INDEX(ObjBelegt,5)=0,"",INDEX(IstEinkuenfte,5))</f>
      </c>
    </row>
    <row r="121">
      <c r="A121"/>
      <c r="B121" s="16" t="inlineStr">
        <is>
          <t xml:space="preserve">Bruttorendite</t>
        </is>
      </c>
      <c r="C121" s="31">
        <f>IF(INDEX(ObjBelegt,5)=0,"",IF(INDEX(IstInvest,5)=0,0,INDEX(IstRunrate,5)/INDEX(IstInvest,5)*100))</f>
      </c>
      <c r="D121"/>
      <c r="E121" s="16" t="inlineStr">
        <is>
          <t xml:space="preserve">Steuer (negativ = Erstattung)</t>
        </is>
      </c>
      <c r="F121" s="30">
        <f>IF(INDEX(ObjBelegt,5)=0,"",INDEX(IstSteuer,5))</f>
      </c>
    </row>
    <row r="122">
      <c r="A122"/>
      <c r="B122" s="16" t="inlineStr">
        <is>
          <t xml:space="preserve">Nettorendite</t>
        </is>
      </c>
      <c r="C122" s="31">
        <f>IF(INDEX(ObjBelegt,5)=0,"",IF(INDEX(IstInvest,5)=0,0,(INDEX(IstRunrate,5)-INDEX(IstBewirtVoll,5))/INDEX(IstInvest,5)*100))</f>
      </c>
      <c r="D122"/>
      <c r="E122" s="6" t="inlineStr">
        <is>
          <t xml:space="preserve">= Cashflow nach Steuern</t>
        </is>
      </c>
      <c r="F122" s="30">
        <f>IF(INDEX(ObjBelegt,5)=0,"",INDEX(IstCfNach,5))</f>
      </c>
    </row>
    <row r="123">
      <c r="A123"/>
      <c r="B123" s="16" t="inlineStr">
        <is>
          <t xml:space="preserve">Kaufpreisfaktor</t>
        </is>
      </c>
      <c r="C123" s="32">
        <f>IF(INDEX(ObjBelegt,5)=0,"",IF(INDEX(IstRunrate,5)=0,0,INDEX(ObjKaufpreis,5)/INDEX(IstRunrate,5)))</f>
      </c>
      <c r="D123"/>
      <c r="E123" s="16" t="inlineStr">
        <is>
          <t xml:space="preserve">je Monat nach Steuern</t>
        </is>
      </c>
      <c r="F123" s="30">
        <f>IF(INDEX(ObjBelegt,5)=0,"",INDEX(IstCfNach,5)/12)</f>
      </c>
    </row>
    <row r="125">
      <c r="A125"/>
      <c r="B125" s="25" t="inlineStr">
        <is>
          <t xml:space="preserve">Finanzierung</t>
        </is>
      </c>
      <c r="C125" s="24"/>
      <c r="D125"/>
      <c r="E125" s="25" t="inlineStr">
        <is>
          <t xml:space="preserve">Eingesetztes Kapital</t>
        </is>
      </c>
      <c r="F125" s="24"/>
    </row>
    <row r="126">
      <c r="A126"/>
      <c r="B126" s="16" t="inlineStr">
        <is>
          <t xml:space="preserve">Darlehenssumme</t>
        </is>
      </c>
      <c r="C126" s="30">
        <f>IF(INDEX(ObjBelegt,5)=0,"",INDEX(IstDarlehen,5))</f>
      </c>
      <c r="D126"/>
      <c r="E126" s="16" t="inlineStr">
        <is>
          <t xml:space="preserve">Eigenkapital eingesetzt</t>
        </is>
      </c>
      <c r="F126" s="30">
        <f>IF(INDEX(ObjBelegt,5)=0,"",INDEX(IstEkEingesetzt,5))</f>
      </c>
    </row>
    <row r="127">
      <c r="A127"/>
      <c r="B127" s="16" t="inlineStr">
        <is>
          <t xml:space="preserve">Restschuld</t>
        </is>
      </c>
      <c r="C127" s="30">
        <f>IF(INDEX(ObjBelegt,5)=0,"",INDEX(IstRest,5))</f>
      </c>
      <c r="D127"/>
      <c r="E127" s="16" t="inlineStr">
        <is>
          <t xml:space="preserve">Eigenkapital heute</t>
        </is>
      </c>
      <c r="F127" s="30">
        <f>IF(INDEX(ObjBelegt,5)=0,"",INDEX(IstEk,5))</f>
      </c>
    </row>
    <row r="128">
      <c r="A128"/>
      <c r="B128" s="16" t="inlineStr">
        <is>
          <t xml:space="preserve">davon getilgt</t>
        </is>
      </c>
      <c r="C128" s="30">
        <f>IF(INDEX(ObjBelegt,5)=0,"",INDEX(IstGetilgt,5))</f>
      </c>
      <c r="D128"/>
      <c r="E128" s="16" t="inlineStr">
        <is>
          <t xml:space="preserve">EK-Rendite (Cashflow)</t>
        </is>
      </c>
      <c r="F128" s="31">
        <f>IF(INDEX(ObjBelegt,5)=0,"",IF(INDEX(IstEkEingesetzt,5)=0,0,INDEX(IstCfRunrateNach,5)/INDEX(IstEkEingesetzt,5)*100))</f>
      </c>
    </row>
    <row r="129">
      <c r="A129"/>
      <c r="B129" s="16" t="inlineStr">
        <is>
          <t xml:space="preserve">Rate je Monat</t>
        </is>
      </c>
      <c r="C129" s="30">
        <f>IF(INDEX(ObjBelegt,5)=0,"",INDEX(IstRateMonat,5))</f>
      </c>
      <c r="D129"/>
      <c r="E129" s="16" t="inlineStr">
        <is>
          <t xml:space="preserve">EK-Rendite mit Tilgung</t>
        </is>
      </c>
      <c r="F129" s="31">
        <f>IF(INDEX(ObjBelegt,5)=0,"",IF(INDEX(IstEkEingesetzt,5)=0,0,(INDEX(IstCfRunrateNach,5)+INDEX(IstTilgung12,5)+INDEX(IstSonder12,5)+INDEX(IstErsatz12,5))/INDEX(IstEkEingesetzt,5)*100))</f>
      </c>
    </row>
    <row r="130">
      <c r="A130"/>
      <c r="B130" s="16" t="inlineStr">
        <is>
          <t xml:space="preserve">Beleihungsauslauf</t>
        </is>
      </c>
      <c r="C130" s="34">
        <f>IF(INDEX(ObjBelegt,5)=0,"",IF(INDEX(IstWert,5)=0,0,INDEX(IstRest,5)/INDEX(IstWert,5)*100))</f>
      </c>
      <c r="D130"/>
      <c r="E130" s="16" t="inlineStr">
        <is>
          <t xml:space="preserve">Tilgungsersatz eingezahlt</t>
        </is>
      </c>
      <c r="F130" s="30">
        <f>IF(INDEX(ObjBelegt,5)=0,"",INDEX(IstErsatzEin,5))</f>
      </c>
    </row>
    <row r="131">
      <c r="A131"/>
      <c r="B131" s="16" t="inlineStr">
        <is>
          <t xml:space="preserve">Kapitaldienstdeckung DSCR</t>
        </is>
      </c>
      <c r="C131" s="35">
        <f>IF(INDEX(ObjBelegt,5)=0,"",IF(INDEX(IstKapital12,5)=0,0,(INDEX(IstRunrate,5)-INDEX(IstBewirtVoll,5))/INDEX(IstKapital12,5)))</f>
      </c>
      <c r="D131"/>
      <c r="E131" s="16" t="inlineStr">
        <is>
          <t xml:space="preserve">Guthaben mit Verzinsung</t>
        </is>
      </c>
      <c r="F131" s="30">
        <f>IF(INDEX(ObjBelegt,5)=0,"",INDEX(IstErsatzGut,5))</f>
      </c>
    </row>
    <row r="132">
      <c r="A132"/>
      <c r="B132" s="16" t="inlineStr">
        <is>
          <t xml:space="preserve">Einheiten / davon vermietet</t>
        </is>
      </c>
      <c r="C132" s="37">
        <f>IF(INDEX(ObjBelegt,5)=0,"",INDEX(IstEinheiten,5)&amp;" / "&amp;INDEX(IstVermietet,5))</f>
      </c>
    </row>
    <row r="134">
      <c r="A134"/>
      <c r="B134" s="45"/>
      <c r="C134" s="45"/>
      <c r="D134" s="45"/>
      <c r="E134" s="45"/>
      <c r="F134" s="45"/>
    </row>
    <row r="136">
      <c r="A136"/>
      <c r="B136" s="44">
        <f>IF(INDEX(ObjBelegt,6)=0,"– Objekt 6 ist nicht belegt –",INDEX(ObjBezeichnung,6))</f>
      </c>
    </row>
    <row r="137">
      <c r="A137"/>
      <c r="B137" s="16">
        <f>IF(INDEX(ObjBelegt,6)=0,"",INDEX(ObjTyp,6)&amp;" · "&amp;INDEX(ObjBezeichnung,6))</f>
      </c>
      <c r="C137"/>
      <c r="D137"/>
      <c r="E137" s="16">
        <f>IF(INDEX(ObjBelegt,6)=0,"","Kauf: "&amp;TEXT(DAY(INDEX(ObjKaufdatum,6)),"00")&amp;"."&amp;TEXT(MONTH(INDEX(ObjKaufdatum,6)),"00")&amp;"."&amp;YEAR(INDEX(ObjKaufdatum,6)))</f>
      </c>
    </row>
    <row r="139">
      <c r="A139"/>
      <c r="B139" s="25" t="inlineStr">
        <is>
          <t xml:space="preserve">Kennzahlen</t>
        </is>
      </c>
      <c r="C139" s="24"/>
      <c r="D139"/>
      <c r="E139" s="25">
        <f>"Cashflow "&amp;Jahr</f>
      </c>
      <c r="F139" s="24"/>
    </row>
    <row r="140">
      <c r="A140"/>
      <c r="B140" s="16" t="inlineStr">
        <is>
          <t xml:space="preserve">Kaufpreis</t>
        </is>
      </c>
      <c r="C140" s="30">
        <f>IF(INDEX(ObjBelegt,6)=0,"",INDEX(ObjKaufpreis,6))</f>
      </c>
      <c r="D140"/>
      <c r="E140" s="16" t="inlineStr">
        <is>
          <t xml:space="preserve">Kaltmiete</t>
        </is>
      </c>
      <c r="F140" s="30">
        <f>IF(INDEX(ObjBelegt,6)=0,"",INDEX(IstIstMiete,6))</f>
      </c>
    </row>
    <row r="141">
      <c r="A141"/>
      <c r="B141" s="16" t="inlineStr">
        <is>
          <t xml:space="preserve">Kaufnebenkosten</t>
        </is>
      </c>
      <c r="C141" s="30">
        <f>IF(INDEX(ObjBelegt,6)=0,"",INDEX(IstNkSumme,6))</f>
      </c>
      <c r="D141"/>
      <c r="E141" s="16" t="inlineStr">
        <is>
          <t xml:space="preserve">− Bewirtschaftung</t>
        </is>
      </c>
      <c r="F141" s="30">
        <f>IF(INDEX(ObjBelegt,6)=0,"",-INDEX(IstIstBewirt,6))</f>
      </c>
    </row>
    <row r="142">
      <c r="A142"/>
      <c r="B142" s="16" t="inlineStr">
        <is>
          <t xml:space="preserve">Gesamtinvestition</t>
        </is>
      </c>
      <c r="C142" s="30">
        <f>IF(INDEX(ObjBelegt,6)=0,"",INDEX(IstInvest,6))</f>
      </c>
      <c r="D142"/>
      <c r="E142" s="16" t="inlineStr">
        <is>
          <t xml:space="preserve">− Zinsen</t>
        </is>
      </c>
      <c r="F142" s="30">
        <f>IF(INDEX(ObjBelegt,6)=0,"",-INDEX(IstIstZins,6))</f>
      </c>
    </row>
    <row r="143">
      <c r="A143"/>
      <c r="B143" s="16" t="inlineStr">
        <is>
          <t xml:space="preserve">Verkehrswert</t>
        </is>
      </c>
      <c r="C143" s="30">
        <f>IF(INDEX(ObjBelegt,6)=0,"",INDEX(IstWert,6))</f>
      </c>
      <c r="D143"/>
      <c r="E143" s="16" t="inlineStr">
        <is>
          <t xml:space="preserve">− Tilgung und Sondertilgung</t>
        </is>
      </c>
      <c r="F143" s="30">
        <f>IF(INDEX(ObjBelegt,6)=0,"",-INDEX(IstIstTilgung,6)-INDEX(IstIstSonder,6)-INDEX(IstIstErsatz,6))</f>
      </c>
    </row>
    <row r="144">
      <c r="A144"/>
      <c r="B144" s="16" t="inlineStr">
        <is>
          <t xml:space="preserve">Fläche</t>
        </is>
      </c>
      <c r="C144" s="32">
        <f>IF(INDEX(ObjBelegt,6)=0,"",INDEX(IstFlaeche,6))</f>
      </c>
      <c r="D144"/>
      <c r="E144" s="6" t="inlineStr">
        <is>
          <t xml:space="preserve">= Cashflow vor Steuern</t>
        </is>
      </c>
      <c r="F144" s="30">
        <f>IF(INDEX(ObjBelegt,6)=0,"",INDEX(IstCfVor,6))</f>
      </c>
    </row>
    <row r="145">
      <c r="A145"/>
      <c r="B145" s="16" t="inlineStr">
        <is>
          <t xml:space="preserve">Kaltmiete je Monat</t>
        </is>
      </c>
      <c r="C145" s="30">
        <f>IF(INDEX(ObjBelegt,6)=0,"",INDEX(IstMieteMonat,6))</f>
      </c>
      <c r="D145"/>
      <c r="E145" s="16" t="inlineStr">
        <is>
          <t xml:space="preserve">AfA (mindert nur die Steuer)</t>
        </is>
      </c>
      <c r="F145" s="30">
        <f>IF(INDEX(ObjBelegt,6)=0,"",-INDEX(IstAfaJahr,6))</f>
      </c>
    </row>
    <row r="146">
      <c r="A146"/>
      <c r="B146" s="16" t="inlineStr">
        <is>
          <t xml:space="preserve">Miete je m²</t>
        </is>
      </c>
      <c r="C146" s="33">
        <f>IF(INDEX(ObjBelegt,6)=0,"",IF(INDEX(IstFlaeche,6)=0,0,INDEX(IstMieteMonat,6)/INDEX(IstFlaeche,6)))</f>
      </c>
      <c r="D146"/>
      <c r="E146" s="16" t="inlineStr">
        <is>
          <t xml:space="preserve">= Einkünfte aus Vermietung</t>
        </is>
      </c>
      <c r="F146" s="30">
        <f>IF(INDEX(ObjBelegt,6)=0,"",INDEX(IstEinkuenfte,6))</f>
      </c>
    </row>
    <row r="147">
      <c r="A147"/>
      <c r="B147" s="16" t="inlineStr">
        <is>
          <t xml:space="preserve">Bruttorendite</t>
        </is>
      </c>
      <c r="C147" s="31">
        <f>IF(INDEX(ObjBelegt,6)=0,"",IF(INDEX(IstInvest,6)=0,0,INDEX(IstRunrate,6)/INDEX(IstInvest,6)*100))</f>
      </c>
      <c r="D147"/>
      <c r="E147" s="16" t="inlineStr">
        <is>
          <t xml:space="preserve">Steuer (negativ = Erstattung)</t>
        </is>
      </c>
      <c r="F147" s="30">
        <f>IF(INDEX(ObjBelegt,6)=0,"",INDEX(IstSteuer,6))</f>
      </c>
    </row>
    <row r="148">
      <c r="A148"/>
      <c r="B148" s="16" t="inlineStr">
        <is>
          <t xml:space="preserve">Nettorendite</t>
        </is>
      </c>
      <c r="C148" s="31">
        <f>IF(INDEX(ObjBelegt,6)=0,"",IF(INDEX(IstInvest,6)=0,0,(INDEX(IstRunrate,6)-INDEX(IstBewirtVoll,6))/INDEX(IstInvest,6)*100))</f>
      </c>
      <c r="D148"/>
      <c r="E148" s="6" t="inlineStr">
        <is>
          <t xml:space="preserve">= Cashflow nach Steuern</t>
        </is>
      </c>
      <c r="F148" s="30">
        <f>IF(INDEX(ObjBelegt,6)=0,"",INDEX(IstCfNach,6))</f>
      </c>
    </row>
    <row r="149">
      <c r="A149"/>
      <c r="B149" s="16" t="inlineStr">
        <is>
          <t xml:space="preserve">Kaufpreisfaktor</t>
        </is>
      </c>
      <c r="C149" s="32">
        <f>IF(INDEX(ObjBelegt,6)=0,"",IF(INDEX(IstRunrate,6)=0,0,INDEX(ObjKaufpreis,6)/INDEX(IstRunrate,6)))</f>
      </c>
      <c r="D149"/>
      <c r="E149" s="16" t="inlineStr">
        <is>
          <t xml:space="preserve">je Monat nach Steuern</t>
        </is>
      </c>
      <c r="F149" s="30">
        <f>IF(INDEX(ObjBelegt,6)=0,"",INDEX(IstCfNach,6)/12)</f>
      </c>
    </row>
    <row r="151">
      <c r="A151"/>
      <c r="B151" s="25" t="inlineStr">
        <is>
          <t xml:space="preserve">Finanzierung</t>
        </is>
      </c>
      <c r="C151" s="24"/>
      <c r="D151"/>
      <c r="E151" s="25" t="inlineStr">
        <is>
          <t xml:space="preserve">Eingesetztes Kapital</t>
        </is>
      </c>
      <c r="F151" s="24"/>
    </row>
    <row r="152">
      <c r="A152"/>
      <c r="B152" s="16" t="inlineStr">
        <is>
          <t xml:space="preserve">Darlehenssumme</t>
        </is>
      </c>
      <c r="C152" s="30">
        <f>IF(INDEX(ObjBelegt,6)=0,"",INDEX(IstDarlehen,6))</f>
      </c>
      <c r="D152"/>
      <c r="E152" s="16" t="inlineStr">
        <is>
          <t xml:space="preserve">Eigenkapital eingesetzt</t>
        </is>
      </c>
      <c r="F152" s="30">
        <f>IF(INDEX(ObjBelegt,6)=0,"",INDEX(IstEkEingesetzt,6))</f>
      </c>
    </row>
    <row r="153">
      <c r="A153"/>
      <c r="B153" s="16" t="inlineStr">
        <is>
          <t xml:space="preserve">Restschuld</t>
        </is>
      </c>
      <c r="C153" s="30">
        <f>IF(INDEX(ObjBelegt,6)=0,"",INDEX(IstRest,6))</f>
      </c>
      <c r="D153"/>
      <c r="E153" s="16" t="inlineStr">
        <is>
          <t xml:space="preserve">Eigenkapital heute</t>
        </is>
      </c>
      <c r="F153" s="30">
        <f>IF(INDEX(ObjBelegt,6)=0,"",INDEX(IstEk,6))</f>
      </c>
    </row>
    <row r="154">
      <c r="A154"/>
      <c r="B154" s="16" t="inlineStr">
        <is>
          <t xml:space="preserve">davon getilgt</t>
        </is>
      </c>
      <c r="C154" s="30">
        <f>IF(INDEX(ObjBelegt,6)=0,"",INDEX(IstGetilgt,6))</f>
      </c>
      <c r="D154"/>
      <c r="E154" s="16" t="inlineStr">
        <is>
          <t xml:space="preserve">EK-Rendite (Cashflow)</t>
        </is>
      </c>
      <c r="F154" s="31">
        <f>IF(INDEX(ObjBelegt,6)=0,"",IF(INDEX(IstEkEingesetzt,6)=0,0,INDEX(IstCfRunrateNach,6)/INDEX(IstEkEingesetzt,6)*100))</f>
      </c>
    </row>
    <row r="155">
      <c r="A155"/>
      <c r="B155" s="16" t="inlineStr">
        <is>
          <t xml:space="preserve">Rate je Monat</t>
        </is>
      </c>
      <c r="C155" s="30">
        <f>IF(INDEX(ObjBelegt,6)=0,"",INDEX(IstRateMonat,6))</f>
      </c>
      <c r="D155"/>
      <c r="E155" s="16" t="inlineStr">
        <is>
          <t xml:space="preserve">EK-Rendite mit Tilgung</t>
        </is>
      </c>
      <c r="F155" s="31">
        <f>IF(INDEX(ObjBelegt,6)=0,"",IF(INDEX(IstEkEingesetzt,6)=0,0,(INDEX(IstCfRunrateNach,6)+INDEX(IstTilgung12,6)+INDEX(IstSonder12,6)+INDEX(IstErsatz12,6))/INDEX(IstEkEingesetzt,6)*100))</f>
      </c>
    </row>
    <row r="156">
      <c r="A156"/>
      <c r="B156" s="16" t="inlineStr">
        <is>
          <t xml:space="preserve">Beleihungsauslauf</t>
        </is>
      </c>
      <c r="C156" s="34">
        <f>IF(INDEX(ObjBelegt,6)=0,"",IF(INDEX(IstWert,6)=0,0,INDEX(IstRest,6)/INDEX(IstWert,6)*100))</f>
      </c>
      <c r="D156"/>
      <c r="E156" s="16" t="inlineStr">
        <is>
          <t xml:space="preserve">Tilgungsersatz eingezahlt</t>
        </is>
      </c>
      <c r="F156" s="30">
        <f>IF(INDEX(ObjBelegt,6)=0,"",INDEX(IstErsatzEin,6))</f>
      </c>
    </row>
    <row r="157">
      <c r="A157"/>
      <c r="B157" s="16" t="inlineStr">
        <is>
          <t xml:space="preserve">Kapitaldienstdeckung DSCR</t>
        </is>
      </c>
      <c r="C157" s="35">
        <f>IF(INDEX(ObjBelegt,6)=0,"",IF(INDEX(IstKapital12,6)=0,0,(INDEX(IstRunrate,6)-INDEX(IstBewirtVoll,6))/INDEX(IstKapital12,6)))</f>
      </c>
      <c r="D157"/>
      <c r="E157" s="16" t="inlineStr">
        <is>
          <t xml:space="preserve">Guthaben mit Verzinsung</t>
        </is>
      </c>
      <c r="F157" s="30">
        <f>IF(INDEX(ObjBelegt,6)=0,"",INDEX(IstErsatzGut,6))</f>
      </c>
    </row>
    <row r="158">
      <c r="A158"/>
      <c r="B158" s="16" t="inlineStr">
        <is>
          <t xml:space="preserve">Einheiten / davon vermietet</t>
        </is>
      </c>
      <c r="C158" s="37">
        <f>IF(INDEX(ObjBelegt,6)=0,"",INDEX(IstEinheiten,6)&amp;" / "&amp;INDEX(IstVermietet,6))</f>
      </c>
    </row>
    <row r="160">
      <c r="A160"/>
      <c r="B160" s="45"/>
      <c r="C160" s="45"/>
      <c r="D160" s="45"/>
      <c r="E160" s="45"/>
      <c r="F160" s="45"/>
    </row>
    <row r="162">
      <c r="A162"/>
      <c r="B162" s="44">
        <f>IF(INDEX(ObjBelegt,7)=0,"– Objekt 7 ist nicht belegt –",INDEX(ObjBezeichnung,7))</f>
      </c>
    </row>
    <row r="163">
      <c r="A163"/>
      <c r="B163" s="16">
        <f>IF(INDEX(ObjBelegt,7)=0,"",INDEX(ObjTyp,7)&amp;" · "&amp;INDEX(ObjBezeichnung,7))</f>
      </c>
      <c r="C163"/>
      <c r="D163"/>
      <c r="E163" s="16">
        <f>IF(INDEX(ObjBelegt,7)=0,"","Kauf: "&amp;TEXT(DAY(INDEX(ObjKaufdatum,7)),"00")&amp;"."&amp;TEXT(MONTH(INDEX(ObjKaufdatum,7)),"00")&amp;"."&amp;YEAR(INDEX(ObjKaufdatum,7)))</f>
      </c>
    </row>
    <row r="165">
      <c r="A165"/>
      <c r="B165" s="25" t="inlineStr">
        <is>
          <t xml:space="preserve">Kennzahlen</t>
        </is>
      </c>
      <c r="C165" s="24"/>
      <c r="D165"/>
      <c r="E165" s="25">
        <f>"Cashflow "&amp;Jahr</f>
      </c>
      <c r="F165" s="24"/>
    </row>
    <row r="166">
      <c r="A166"/>
      <c r="B166" s="16" t="inlineStr">
        <is>
          <t xml:space="preserve">Kaufpreis</t>
        </is>
      </c>
      <c r="C166" s="30">
        <f>IF(INDEX(ObjBelegt,7)=0,"",INDEX(ObjKaufpreis,7))</f>
      </c>
      <c r="D166"/>
      <c r="E166" s="16" t="inlineStr">
        <is>
          <t xml:space="preserve">Kaltmiete</t>
        </is>
      </c>
      <c r="F166" s="30">
        <f>IF(INDEX(ObjBelegt,7)=0,"",INDEX(IstIstMiete,7))</f>
      </c>
    </row>
    <row r="167">
      <c r="A167"/>
      <c r="B167" s="16" t="inlineStr">
        <is>
          <t xml:space="preserve">Kaufnebenkosten</t>
        </is>
      </c>
      <c r="C167" s="30">
        <f>IF(INDEX(ObjBelegt,7)=0,"",INDEX(IstNkSumme,7))</f>
      </c>
      <c r="D167"/>
      <c r="E167" s="16" t="inlineStr">
        <is>
          <t xml:space="preserve">− Bewirtschaftung</t>
        </is>
      </c>
      <c r="F167" s="30">
        <f>IF(INDEX(ObjBelegt,7)=0,"",-INDEX(IstIstBewirt,7))</f>
      </c>
    </row>
    <row r="168">
      <c r="A168"/>
      <c r="B168" s="16" t="inlineStr">
        <is>
          <t xml:space="preserve">Gesamtinvestition</t>
        </is>
      </c>
      <c r="C168" s="30">
        <f>IF(INDEX(ObjBelegt,7)=0,"",INDEX(IstInvest,7))</f>
      </c>
      <c r="D168"/>
      <c r="E168" s="16" t="inlineStr">
        <is>
          <t xml:space="preserve">− Zinsen</t>
        </is>
      </c>
      <c r="F168" s="30">
        <f>IF(INDEX(ObjBelegt,7)=0,"",-INDEX(IstIstZins,7))</f>
      </c>
    </row>
    <row r="169">
      <c r="A169"/>
      <c r="B169" s="16" t="inlineStr">
        <is>
          <t xml:space="preserve">Verkehrswert</t>
        </is>
      </c>
      <c r="C169" s="30">
        <f>IF(INDEX(ObjBelegt,7)=0,"",INDEX(IstWert,7))</f>
      </c>
      <c r="D169"/>
      <c r="E169" s="16" t="inlineStr">
        <is>
          <t xml:space="preserve">− Tilgung und Sondertilgung</t>
        </is>
      </c>
      <c r="F169" s="30">
        <f>IF(INDEX(ObjBelegt,7)=0,"",-INDEX(IstIstTilgung,7)-INDEX(IstIstSonder,7)-INDEX(IstIstErsatz,7))</f>
      </c>
    </row>
    <row r="170">
      <c r="A170"/>
      <c r="B170" s="16" t="inlineStr">
        <is>
          <t xml:space="preserve">Fläche</t>
        </is>
      </c>
      <c r="C170" s="32">
        <f>IF(INDEX(ObjBelegt,7)=0,"",INDEX(IstFlaeche,7))</f>
      </c>
      <c r="D170"/>
      <c r="E170" s="6" t="inlineStr">
        <is>
          <t xml:space="preserve">= Cashflow vor Steuern</t>
        </is>
      </c>
      <c r="F170" s="30">
        <f>IF(INDEX(ObjBelegt,7)=0,"",INDEX(IstCfVor,7))</f>
      </c>
    </row>
    <row r="171">
      <c r="A171"/>
      <c r="B171" s="16" t="inlineStr">
        <is>
          <t xml:space="preserve">Kaltmiete je Monat</t>
        </is>
      </c>
      <c r="C171" s="30">
        <f>IF(INDEX(ObjBelegt,7)=0,"",INDEX(IstMieteMonat,7))</f>
      </c>
      <c r="D171"/>
      <c r="E171" s="16" t="inlineStr">
        <is>
          <t xml:space="preserve">AfA (mindert nur die Steuer)</t>
        </is>
      </c>
      <c r="F171" s="30">
        <f>IF(INDEX(ObjBelegt,7)=0,"",-INDEX(IstAfaJahr,7))</f>
      </c>
    </row>
    <row r="172">
      <c r="A172"/>
      <c r="B172" s="16" t="inlineStr">
        <is>
          <t xml:space="preserve">Miete je m²</t>
        </is>
      </c>
      <c r="C172" s="33">
        <f>IF(INDEX(ObjBelegt,7)=0,"",IF(INDEX(IstFlaeche,7)=0,0,INDEX(IstMieteMonat,7)/INDEX(IstFlaeche,7)))</f>
      </c>
      <c r="D172"/>
      <c r="E172" s="16" t="inlineStr">
        <is>
          <t xml:space="preserve">= Einkünfte aus Vermietung</t>
        </is>
      </c>
      <c r="F172" s="30">
        <f>IF(INDEX(ObjBelegt,7)=0,"",INDEX(IstEinkuenfte,7))</f>
      </c>
    </row>
    <row r="173">
      <c r="A173"/>
      <c r="B173" s="16" t="inlineStr">
        <is>
          <t xml:space="preserve">Bruttorendite</t>
        </is>
      </c>
      <c r="C173" s="31">
        <f>IF(INDEX(ObjBelegt,7)=0,"",IF(INDEX(IstInvest,7)=0,0,INDEX(IstRunrate,7)/INDEX(IstInvest,7)*100))</f>
      </c>
      <c r="D173"/>
      <c r="E173" s="16" t="inlineStr">
        <is>
          <t xml:space="preserve">Steuer (negativ = Erstattung)</t>
        </is>
      </c>
      <c r="F173" s="30">
        <f>IF(INDEX(ObjBelegt,7)=0,"",INDEX(IstSteuer,7))</f>
      </c>
    </row>
    <row r="174">
      <c r="A174"/>
      <c r="B174" s="16" t="inlineStr">
        <is>
          <t xml:space="preserve">Nettorendite</t>
        </is>
      </c>
      <c r="C174" s="31">
        <f>IF(INDEX(ObjBelegt,7)=0,"",IF(INDEX(IstInvest,7)=0,0,(INDEX(IstRunrate,7)-INDEX(IstBewirtVoll,7))/INDEX(IstInvest,7)*100))</f>
      </c>
      <c r="D174"/>
      <c r="E174" s="6" t="inlineStr">
        <is>
          <t xml:space="preserve">= Cashflow nach Steuern</t>
        </is>
      </c>
      <c r="F174" s="30">
        <f>IF(INDEX(ObjBelegt,7)=0,"",INDEX(IstCfNach,7))</f>
      </c>
    </row>
    <row r="175">
      <c r="A175"/>
      <c r="B175" s="16" t="inlineStr">
        <is>
          <t xml:space="preserve">Kaufpreisfaktor</t>
        </is>
      </c>
      <c r="C175" s="32">
        <f>IF(INDEX(ObjBelegt,7)=0,"",IF(INDEX(IstRunrate,7)=0,0,INDEX(ObjKaufpreis,7)/INDEX(IstRunrate,7)))</f>
      </c>
      <c r="D175"/>
      <c r="E175" s="16" t="inlineStr">
        <is>
          <t xml:space="preserve">je Monat nach Steuern</t>
        </is>
      </c>
      <c r="F175" s="30">
        <f>IF(INDEX(ObjBelegt,7)=0,"",INDEX(IstCfNach,7)/12)</f>
      </c>
    </row>
    <row r="177">
      <c r="A177"/>
      <c r="B177" s="25" t="inlineStr">
        <is>
          <t xml:space="preserve">Finanzierung</t>
        </is>
      </c>
      <c r="C177" s="24"/>
      <c r="D177"/>
      <c r="E177" s="25" t="inlineStr">
        <is>
          <t xml:space="preserve">Eingesetztes Kapital</t>
        </is>
      </c>
      <c r="F177" s="24"/>
    </row>
    <row r="178">
      <c r="A178"/>
      <c r="B178" s="16" t="inlineStr">
        <is>
          <t xml:space="preserve">Darlehenssumme</t>
        </is>
      </c>
      <c r="C178" s="30">
        <f>IF(INDEX(ObjBelegt,7)=0,"",INDEX(IstDarlehen,7))</f>
      </c>
      <c r="D178"/>
      <c r="E178" s="16" t="inlineStr">
        <is>
          <t xml:space="preserve">Eigenkapital eingesetzt</t>
        </is>
      </c>
      <c r="F178" s="30">
        <f>IF(INDEX(ObjBelegt,7)=0,"",INDEX(IstEkEingesetzt,7))</f>
      </c>
    </row>
    <row r="179">
      <c r="A179"/>
      <c r="B179" s="16" t="inlineStr">
        <is>
          <t xml:space="preserve">Restschuld</t>
        </is>
      </c>
      <c r="C179" s="30">
        <f>IF(INDEX(ObjBelegt,7)=0,"",INDEX(IstRest,7))</f>
      </c>
      <c r="D179"/>
      <c r="E179" s="16" t="inlineStr">
        <is>
          <t xml:space="preserve">Eigenkapital heute</t>
        </is>
      </c>
      <c r="F179" s="30">
        <f>IF(INDEX(ObjBelegt,7)=0,"",INDEX(IstEk,7))</f>
      </c>
    </row>
    <row r="180">
      <c r="A180"/>
      <c r="B180" s="16" t="inlineStr">
        <is>
          <t xml:space="preserve">davon getilgt</t>
        </is>
      </c>
      <c r="C180" s="30">
        <f>IF(INDEX(ObjBelegt,7)=0,"",INDEX(IstGetilgt,7))</f>
      </c>
      <c r="D180"/>
      <c r="E180" s="16" t="inlineStr">
        <is>
          <t xml:space="preserve">EK-Rendite (Cashflow)</t>
        </is>
      </c>
      <c r="F180" s="31">
        <f>IF(INDEX(ObjBelegt,7)=0,"",IF(INDEX(IstEkEingesetzt,7)=0,0,INDEX(IstCfRunrateNach,7)/INDEX(IstEkEingesetzt,7)*100))</f>
      </c>
    </row>
    <row r="181">
      <c r="A181"/>
      <c r="B181" s="16" t="inlineStr">
        <is>
          <t xml:space="preserve">Rate je Monat</t>
        </is>
      </c>
      <c r="C181" s="30">
        <f>IF(INDEX(ObjBelegt,7)=0,"",INDEX(IstRateMonat,7))</f>
      </c>
      <c r="D181"/>
      <c r="E181" s="16" t="inlineStr">
        <is>
          <t xml:space="preserve">EK-Rendite mit Tilgung</t>
        </is>
      </c>
      <c r="F181" s="31">
        <f>IF(INDEX(ObjBelegt,7)=0,"",IF(INDEX(IstEkEingesetzt,7)=0,0,(INDEX(IstCfRunrateNach,7)+INDEX(IstTilgung12,7)+INDEX(IstSonder12,7)+INDEX(IstErsatz12,7))/INDEX(IstEkEingesetzt,7)*100))</f>
      </c>
    </row>
    <row r="182">
      <c r="A182"/>
      <c r="B182" s="16" t="inlineStr">
        <is>
          <t xml:space="preserve">Beleihungsauslauf</t>
        </is>
      </c>
      <c r="C182" s="34">
        <f>IF(INDEX(ObjBelegt,7)=0,"",IF(INDEX(IstWert,7)=0,0,INDEX(IstRest,7)/INDEX(IstWert,7)*100))</f>
      </c>
      <c r="D182"/>
      <c r="E182" s="16" t="inlineStr">
        <is>
          <t xml:space="preserve">Tilgungsersatz eingezahlt</t>
        </is>
      </c>
      <c r="F182" s="30">
        <f>IF(INDEX(ObjBelegt,7)=0,"",INDEX(IstErsatzEin,7))</f>
      </c>
    </row>
    <row r="183">
      <c r="A183"/>
      <c r="B183" s="16" t="inlineStr">
        <is>
          <t xml:space="preserve">Kapitaldienstdeckung DSCR</t>
        </is>
      </c>
      <c r="C183" s="35">
        <f>IF(INDEX(ObjBelegt,7)=0,"",IF(INDEX(IstKapital12,7)=0,0,(INDEX(IstRunrate,7)-INDEX(IstBewirtVoll,7))/INDEX(IstKapital12,7)))</f>
      </c>
      <c r="D183"/>
      <c r="E183" s="16" t="inlineStr">
        <is>
          <t xml:space="preserve">Guthaben mit Verzinsung</t>
        </is>
      </c>
      <c r="F183" s="30">
        <f>IF(INDEX(ObjBelegt,7)=0,"",INDEX(IstErsatzGut,7))</f>
      </c>
    </row>
    <row r="184">
      <c r="A184"/>
      <c r="B184" s="16" t="inlineStr">
        <is>
          <t xml:space="preserve">Einheiten / davon vermietet</t>
        </is>
      </c>
      <c r="C184" s="37">
        <f>IF(INDEX(ObjBelegt,7)=0,"",INDEX(IstEinheiten,7)&amp;" / "&amp;INDEX(IstVermietet,7))</f>
      </c>
    </row>
    <row r="186">
      <c r="A186"/>
      <c r="B186" s="45"/>
      <c r="C186" s="45"/>
      <c r="D186" s="45"/>
      <c r="E186" s="45"/>
      <c r="F186" s="45"/>
    </row>
    <row r="188">
      <c r="A188"/>
      <c r="B188" s="44">
        <f>IF(INDEX(ObjBelegt,8)=0,"– Objekt 8 ist nicht belegt –",INDEX(ObjBezeichnung,8))</f>
      </c>
    </row>
    <row r="189">
      <c r="A189"/>
      <c r="B189" s="16">
        <f>IF(INDEX(ObjBelegt,8)=0,"",INDEX(ObjTyp,8)&amp;" · "&amp;INDEX(ObjBezeichnung,8))</f>
      </c>
      <c r="C189"/>
      <c r="D189"/>
      <c r="E189" s="16">
        <f>IF(INDEX(ObjBelegt,8)=0,"","Kauf: "&amp;TEXT(DAY(INDEX(ObjKaufdatum,8)),"00")&amp;"."&amp;TEXT(MONTH(INDEX(ObjKaufdatum,8)),"00")&amp;"."&amp;YEAR(INDEX(ObjKaufdatum,8)))</f>
      </c>
    </row>
    <row r="191">
      <c r="A191"/>
      <c r="B191" s="25" t="inlineStr">
        <is>
          <t xml:space="preserve">Kennzahlen</t>
        </is>
      </c>
      <c r="C191" s="24"/>
      <c r="D191"/>
      <c r="E191" s="25">
        <f>"Cashflow "&amp;Jahr</f>
      </c>
      <c r="F191" s="24"/>
    </row>
    <row r="192">
      <c r="A192"/>
      <c r="B192" s="16" t="inlineStr">
        <is>
          <t xml:space="preserve">Kaufpreis</t>
        </is>
      </c>
      <c r="C192" s="30">
        <f>IF(INDEX(ObjBelegt,8)=0,"",INDEX(ObjKaufpreis,8))</f>
      </c>
      <c r="D192"/>
      <c r="E192" s="16" t="inlineStr">
        <is>
          <t xml:space="preserve">Kaltmiete</t>
        </is>
      </c>
      <c r="F192" s="30">
        <f>IF(INDEX(ObjBelegt,8)=0,"",INDEX(IstIstMiete,8))</f>
      </c>
    </row>
    <row r="193">
      <c r="A193"/>
      <c r="B193" s="16" t="inlineStr">
        <is>
          <t xml:space="preserve">Kaufnebenkosten</t>
        </is>
      </c>
      <c r="C193" s="30">
        <f>IF(INDEX(ObjBelegt,8)=0,"",INDEX(IstNkSumme,8))</f>
      </c>
      <c r="D193"/>
      <c r="E193" s="16" t="inlineStr">
        <is>
          <t xml:space="preserve">− Bewirtschaftung</t>
        </is>
      </c>
      <c r="F193" s="30">
        <f>IF(INDEX(ObjBelegt,8)=0,"",-INDEX(IstIstBewirt,8))</f>
      </c>
    </row>
    <row r="194">
      <c r="A194"/>
      <c r="B194" s="16" t="inlineStr">
        <is>
          <t xml:space="preserve">Gesamtinvestition</t>
        </is>
      </c>
      <c r="C194" s="30">
        <f>IF(INDEX(ObjBelegt,8)=0,"",INDEX(IstInvest,8))</f>
      </c>
      <c r="D194"/>
      <c r="E194" s="16" t="inlineStr">
        <is>
          <t xml:space="preserve">− Zinsen</t>
        </is>
      </c>
      <c r="F194" s="30">
        <f>IF(INDEX(ObjBelegt,8)=0,"",-INDEX(IstIstZins,8))</f>
      </c>
    </row>
    <row r="195">
      <c r="A195"/>
      <c r="B195" s="16" t="inlineStr">
        <is>
          <t xml:space="preserve">Verkehrswert</t>
        </is>
      </c>
      <c r="C195" s="30">
        <f>IF(INDEX(ObjBelegt,8)=0,"",INDEX(IstWert,8))</f>
      </c>
      <c r="D195"/>
      <c r="E195" s="16" t="inlineStr">
        <is>
          <t xml:space="preserve">− Tilgung und Sondertilgung</t>
        </is>
      </c>
      <c r="F195" s="30">
        <f>IF(INDEX(ObjBelegt,8)=0,"",-INDEX(IstIstTilgung,8)-INDEX(IstIstSonder,8)-INDEX(IstIstErsatz,8))</f>
      </c>
    </row>
    <row r="196">
      <c r="A196"/>
      <c r="B196" s="16" t="inlineStr">
        <is>
          <t xml:space="preserve">Fläche</t>
        </is>
      </c>
      <c r="C196" s="32">
        <f>IF(INDEX(ObjBelegt,8)=0,"",INDEX(IstFlaeche,8))</f>
      </c>
      <c r="D196"/>
      <c r="E196" s="6" t="inlineStr">
        <is>
          <t xml:space="preserve">= Cashflow vor Steuern</t>
        </is>
      </c>
      <c r="F196" s="30">
        <f>IF(INDEX(ObjBelegt,8)=0,"",INDEX(IstCfVor,8))</f>
      </c>
    </row>
    <row r="197">
      <c r="A197"/>
      <c r="B197" s="16" t="inlineStr">
        <is>
          <t xml:space="preserve">Kaltmiete je Monat</t>
        </is>
      </c>
      <c r="C197" s="30">
        <f>IF(INDEX(ObjBelegt,8)=0,"",INDEX(IstMieteMonat,8))</f>
      </c>
      <c r="D197"/>
      <c r="E197" s="16" t="inlineStr">
        <is>
          <t xml:space="preserve">AfA (mindert nur die Steuer)</t>
        </is>
      </c>
      <c r="F197" s="30">
        <f>IF(INDEX(ObjBelegt,8)=0,"",-INDEX(IstAfaJahr,8))</f>
      </c>
    </row>
    <row r="198">
      <c r="A198"/>
      <c r="B198" s="16" t="inlineStr">
        <is>
          <t xml:space="preserve">Miete je m²</t>
        </is>
      </c>
      <c r="C198" s="33">
        <f>IF(INDEX(ObjBelegt,8)=0,"",IF(INDEX(IstFlaeche,8)=0,0,INDEX(IstMieteMonat,8)/INDEX(IstFlaeche,8)))</f>
      </c>
      <c r="D198"/>
      <c r="E198" s="16" t="inlineStr">
        <is>
          <t xml:space="preserve">= Einkünfte aus Vermietung</t>
        </is>
      </c>
      <c r="F198" s="30">
        <f>IF(INDEX(ObjBelegt,8)=0,"",INDEX(IstEinkuenfte,8))</f>
      </c>
    </row>
    <row r="199">
      <c r="A199"/>
      <c r="B199" s="16" t="inlineStr">
        <is>
          <t xml:space="preserve">Bruttorendite</t>
        </is>
      </c>
      <c r="C199" s="31">
        <f>IF(INDEX(ObjBelegt,8)=0,"",IF(INDEX(IstInvest,8)=0,0,INDEX(IstRunrate,8)/INDEX(IstInvest,8)*100))</f>
      </c>
      <c r="D199"/>
      <c r="E199" s="16" t="inlineStr">
        <is>
          <t xml:space="preserve">Steuer (negativ = Erstattung)</t>
        </is>
      </c>
      <c r="F199" s="30">
        <f>IF(INDEX(ObjBelegt,8)=0,"",INDEX(IstSteuer,8))</f>
      </c>
    </row>
    <row r="200">
      <c r="A200"/>
      <c r="B200" s="16" t="inlineStr">
        <is>
          <t xml:space="preserve">Nettorendite</t>
        </is>
      </c>
      <c r="C200" s="31">
        <f>IF(INDEX(ObjBelegt,8)=0,"",IF(INDEX(IstInvest,8)=0,0,(INDEX(IstRunrate,8)-INDEX(IstBewirtVoll,8))/INDEX(IstInvest,8)*100))</f>
      </c>
      <c r="D200"/>
      <c r="E200" s="6" t="inlineStr">
        <is>
          <t xml:space="preserve">= Cashflow nach Steuern</t>
        </is>
      </c>
      <c r="F200" s="30">
        <f>IF(INDEX(ObjBelegt,8)=0,"",INDEX(IstCfNach,8))</f>
      </c>
    </row>
    <row r="201">
      <c r="A201"/>
      <c r="B201" s="16" t="inlineStr">
        <is>
          <t xml:space="preserve">Kaufpreisfaktor</t>
        </is>
      </c>
      <c r="C201" s="32">
        <f>IF(INDEX(ObjBelegt,8)=0,"",IF(INDEX(IstRunrate,8)=0,0,INDEX(ObjKaufpreis,8)/INDEX(IstRunrate,8)))</f>
      </c>
      <c r="D201"/>
      <c r="E201" s="16" t="inlineStr">
        <is>
          <t xml:space="preserve">je Monat nach Steuern</t>
        </is>
      </c>
      <c r="F201" s="30">
        <f>IF(INDEX(ObjBelegt,8)=0,"",INDEX(IstCfNach,8)/12)</f>
      </c>
    </row>
    <row r="203">
      <c r="A203"/>
      <c r="B203" s="25" t="inlineStr">
        <is>
          <t xml:space="preserve">Finanzierung</t>
        </is>
      </c>
      <c r="C203" s="24"/>
      <c r="D203"/>
      <c r="E203" s="25" t="inlineStr">
        <is>
          <t xml:space="preserve">Eingesetztes Kapital</t>
        </is>
      </c>
      <c r="F203" s="24"/>
    </row>
    <row r="204">
      <c r="A204"/>
      <c r="B204" s="16" t="inlineStr">
        <is>
          <t xml:space="preserve">Darlehenssumme</t>
        </is>
      </c>
      <c r="C204" s="30">
        <f>IF(INDEX(ObjBelegt,8)=0,"",INDEX(IstDarlehen,8))</f>
      </c>
      <c r="D204"/>
      <c r="E204" s="16" t="inlineStr">
        <is>
          <t xml:space="preserve">Eigenkapital eingesetzt</t>
        </is>
      </c>
      <c r="F204" s="30">
        <f>IF(INDEX(ObjBelegt,8)=0,"",INDEX(IstEkEingesetzt,8))</f>
      </c>
    </row>
    <row r="205">
      <c r="A205"/>
      <c r="B205" s="16" t="inlineStr">
        <is>
          <t xml:space="preserve">Restschuld</t>
        </is>
      </c>
      <c r="C205" s="30">
        <f>IF(INDEX(ObjBelegt,8)=0,"",INDEX(IstRest,8))</f>
      </c>
      <c r="D205"/>
      <c r="E205" s="16" t="inlineStr">
        <is>
          <t xml:space="preserve">Eigenkapital heute</t>
        </is>
      </c>
      <c r="F205" s="30">
        <f>IF(INDEX(ObjBelegt,8)=0,"",INDEX(IstEk,8))</f>
      </c>
    </row>
    <row r="206">
      <c r="A206"/>
      <c r="B206" s="16" t="inlineStr">
        <is>
          <t xml:space="preserve">davon getilgt</t>
        </is>
      </c>
      <c r="C206" s="30">
        <f>IF(INDEX(ObjBelegt,8)=0,"",INDEX(IstGetilgt,8))</f>
      </c>
      <c r="D206"/>
      <c r="E206" s="16" t="inlineStr">
        <is>
          <t xml:space="preserve">EK-Rendite (Cashflow)</t>
        </is>
      </c>
      <c r="F206" s="31">
        <f>IF(INDEX(ObjBelegt,8)=0,"",IF(INDEX(IstEkEingesetzt,8)=0,0,INDEX(IstCfRunrateNach,8)/INDEX(IstEkEingesetzt,8)*100))</f>
      </c>
    </row>
    <row r="207">
      <c r="A207"/>
      <c r="B207" s="16" t="inlineStr">
        <is>
          <t xml:space="preserve">Rate je Monat</t>
        </is>
      </c>
      <c r="C207" s="30">
        <f>IF(INDEX(ObjBelegt,8)=0,"",INDEX(IstRateMonat,8))</f>
      </c>
      <c r="D207"/>
      <c r="E207" s="16" t="inlineStr">
        <is>
          <t xml:space="preserve">EK-Rendite mit Tilgung</t>
        </is>
      </c>
      <c r="F207" s="31">
        <f>IF(INDEX(ObjBelegt,8)=0,"",IF(INDEX(IstEkEingesetzt,8)=0,0,(INDEX(IstCfRunrateNach,8)+INDEX(IstTilgung12,8)+INDEX(IstSonder12,8)+INDEX(IstErsatz12,8))/INDEX(IstEkEingesetzt,8)*100))</f>
      </c>
    </row>
    <row r="208">
      <c r="A208"/>
      <c r="B208" s="16" t="inlineStr">
        <is>
          <t xml:space="preserve">Beleihungsauslauf</t>
        </is>
      </c>
      <c r="C208" s="34">
        <f>IF(INDEX(ObjBelegt,8)=0,"",IF(INDEX(IstWert,8)=0,0,INDEX(IstRest,8)/INDEX(IstWert,8)*100))</f>
      </c>
      <c r="D208"/>
      <c r="E208" s="16" t="inlineStr">
        <is>
          <t xml:space="preserve">Tilgungsersatz eingezahlt</t>
        </is>
      </c>
      <c r="F208" s="30">
        <f>IF(INDEX(ObjBelegt,8)=0,"",INDEX(IstErsatzEin,8))</f>
      </c>
    </row>
    <row r="209">
      <c r="A209"/>
      <c r="B209" s="16" t="inlineStr">
        <is>
          <t xml:space="preserve">Kapitaldienstdeckung DSCR</t>
        </is>
      </c>
      <c r="C209" s="35">
        <f>IF(INDEX(ObjBelegt,8)=0,"",IF(INDEX(IstKapital12,8)=0,0,(INDEX(IstRunrate,8)-INDEX(IstBewirtVoll,8))/INDEX(IstKapital12,8)))</f>
      </c>
      <c r="D209"/>
      <c r="E209" s="16" t="inlineStr">
        <is>
          <t xml:space="preserve">Guthaben mit Verzinsung</t>
        </is>
      </c>
      <c r="F209" s="30">
        <f>IF(INDEX(ObjBelegt,8)=0,"",INDEX(IstErsatzGut,8))</f>
      </c>
    </row>
    <row r="210">
      <c r="A210"/>
      <c r="B210" s="16" t="inlineStr">
        <is>
          <t xml:space="preserve">Einheiten / davon vermietet</t>
        </is>
      </c>
      <c r="C210" s="37">
        <f>IF(INDEX(ObjBelegt,8)=0,"",INDEX(IstEinheiten,8)&amp;" / "&amp;INDEX(IstVermietet,8))</f>
      </c>
    </row>
    <row r="212">
      <c r="A212"/>
      <c r="B212" s="45"/>
      <c r="C212" s="45"/>
      <c r="D212" s="45"/>
      <c r="E212" s="45"/>
      <c r="F212" s="45"/>
    </row>
    <row r="214">
      <c r="A214"/>
      <c r="B214" s="44">
        <f>IF(INDEX(ObjBelegt,9)=0,"– Objekt 9 ist nicht belegt –",INDEX(ObjBezeichnung,9))</f>
      </c>
    </row>
    <row r="215">
      <c r="A215"/>
      <c r="B215" s="16">
        <f>IF(INDEX(ObjBelegt,9)=0,"",INDEX(ObjTyp,9)&amp;" · "&amp;INDEX(ObjBezeichnung,9))</f>
      </c>
      <c r="C215"/>
      <c r="D215"/>
      <c r="E215" s="16">
        <f>IF(INDEX(ObjBelegt,9)=0,"","Kauf: "&amp;TEXT(DAY(INDEX(ObjKaufdatum,9)),"00")&amp;"."&amp;TEXT(MONTH(INDEX(ObjKaufdatum,9)),"00")&amp;"."&amp;YEAR(INDEX(ObjKaufdatum,9)))</f>
      </c>
    </row>
    <row r="217">
      <c r="A217"/>
      <c r="B217" s="25" t="inlineStr">
        <is>
          <t xml:space="preserve">Kennzahlen</t>
        </is>
      </c>
      <c r="C217" s="24"/>
      <c r="D217"/>
      <c r="E217" s="25">
        <f>"Cashflow "&amp;Jahr</f>
      </c>
      <c r="F217" s="24"/>
    </row>
    <row r="218">
      <c r="A218"/>
      <c r="B218" s="16" t="inlineStr">
        <is>
          <t xml:space="preserve">Kaufpreis</t>
        </is>
      </c>
      <c r="C218" s="30">
        <f>IF(INDEX(ObjBelegt,9)=0,"",INDEX(ObjKaufpreis,9))</f>
      </c>
      <c r="D218"/>
      <c r="E218" s="16" t="inlineStr">
        <is>
          <t xml:space="preserve">Kaltmiete</t>
        </is>
      </c>
      <c r="F218" s="30">
        <f>IF(INDEX(ObjBelegt,9)=0,"",INDEX(IstIstMiete,9))</f>
      </c>
    </row>
    <row r="219">
      <c r="A219"/>
      <c r="B219" s="16" t="inlineStr">
        <is>
          <t xml:space="preserve">Kaufnebenkosten</t>
        </is>
      </c>
      <c r="C219" s="30">
        <f>IF(INDEX(ObjBelegt,9)=0,"",INDEX(IstNkSumme,9))</f>
      </c>
      <c r="D219"/>
      <c r="E219" s="16" t="inlineStr">
        <is>
          <t xml:space="preserve">− Bewirtschaftung</t>
        </is>
      </c>
      <c r="F219" s="30">
        <f>IF(INDEX(ObjBelegt,9)=0,"",-INDEX(IstIstBewirt,9))</f>
      </c>
    </row>
    <row r="220">
      <c r="A220"/>
      <c r="B220" s="16" t="inlineStr">
        <is>
          <t xml:space="preserve">Gesamtinvestition</t>
        </is>
      </c>
      <c r="C220" s="30">
        <f>IF(INDEX(ObjBelegt,9)=0,"",INDEX(IstInvest,9))</f>
      </c>
      <c r="D220"/>
      <c r="E220" s="16" t="inlineStr">
        <is>
          <t xml:space="preserve">− Zinsen</t>
        </is>
      </c>
      <c r="F220" s="30">
        <f>IF(INDEX(ObjBelegt,9)=0,"",-INDEX(IstIstZins,9))</f>
      </c>
    </row>
    <row r="221">
      <c r="A221"/>
      <c r="B221" s="16" t="inlineStr">
        <is>
          <t xml:space="preserve">Verkehrswert</t>
        </is>
      </c>
      <c r="C221" s="30">
        <f>IF(INDEX(ObjBelegt,9)=0,"",INDEX(IstWert,9))</f>
      </c>
      <c r="D221"/>
      <c r="E221" s="16" t="inlineStr">
        <is>
          <t xml:space="preserve">− Tilgung und Sondertilgung</t>
        </is>
      </c>
      <c r="F221" s="30">
        <f>IF(INDEX(ObjBelegt,9)=0,"",-INDEX(IstIstTilgung,9)-INDEX(IstIstSonder,9)-INDEX(IstIstErsatz,9))</f>
      </c>
    </row>
    <row r="222">
      <c r="A222"/>
      <c r="B222" s="16" t="inlineStr">
        <is>
          <t xml:space="preserve">Fläche</t>
        </is>
      </c>
      <c r="C222" s="32">
        <f>IF(INDEX(ObjBelegt,9)=0,"",INDEX(IstFlaeche,9))</f>
      </c>
      <c r="D222"/>
      <c r="E222" s="6" t="inlineStr">
        <is>
          <t xml:space="preserve">= Cashflow vor Steuern</t>
        </is>
      </c>
      <c r="F222" s="30">
        <f>IF(INDEX(ObjBelegt,9)=0,"",INDEX(IstCfVor,9))</f>
      </c>
    </row>
    <row r="223">
      <c r="A223"/>
      <c r="B223" s="16" t="inlineStr">
        <is>
          <t xml:space="preserve">Kaltmiete je Monat</t>
        </is>
      </c>
      <c r="C223" s="30">
        <f>IF(INDEX(ObjBelegt,9)=0,"",INDEX(IstMieteMonat,9))</f>
      </c>
      <c r="D223"/>
      <c r="E223" s="16" t="inlineStr">
        <is>
          <t xml:space="preserve">AfA (mindert nur die Steuer)</t>
        </is>
      </c>
      <c r="F223" s="30">
        <f>IF(INDEX(ObjBelegt,9)=0,"",-INDEX(IstAfaJahr,9))</f>
      </c>
    </row>
    <row r="224">
      <c r="A224"/>
      <c r="B224" s="16" t="inlineStr">
        <is>
          <t xml:space="preserve">Miete je m²</t>
        </is>
      </c>
      <c r="C224" s="33">
        <f>IF(INDEX(ObjBelegt,9)=0,"",IF(INDEX(IstFlaeche,9)=0,0,INDEX(IstMieteMonat,9)/INDEX(IstFlaeche,9)))</f>
      </c>
      <c r="D224"/>
      <c r="E224" s="16" t="inlineStr">
        <is>
          <t xml:space="preserve">= Einkünfte aus Vermietung</t>
        </is>
      </c>
      <c r="F224" s="30">
        <f>IF(INDEX(ObjBelegt,9)=0,"",INDEX(IstEinkuenfte,9))</f>
      </c>
    </row>
    <row r="225">
      <c r="A225"/>
      <c r="B225" s="16" t="inlineStr">
        <is>
          <t xml:space="preserve">Bruttorendite</t>
        </is>
      </c>
      <c r="C225" s="31">
        <f>IF(INDEX(ObjBelegt,9)=0,"",IF(INDEX(IstInvest,9)=0,0,INDEX(IstRunrate,9)/INDEX(IstInvest,9)*100))</f>
      </c>
      <c r="D225"/>
      <c r="E225" s="16" t="inlineStr">
        <is>
          <t xml:space="preserve">Steuer (negativ = Erstattung)</t>
        </is>
      </c>
      <c r="F225" s="30">
        <f>IF(INDEX(ObjBelegt,9)=0,"",INDEX(IstSteuer,9))</f>
      </c>
    </row>
    <row r="226">
      <c r="A226"/>
      <c r="B226" s="16" t="inlineStr">
        <is>
          <t xml:space="preserve">Nettorendite</t>
        </is>
      </c>
      <c r="C226" s="31">
        <f>IF(INDEX(ObjBelegt,9)=0,"",IF(INDEX(IstInvest,9)=0,0,(INDEX(IstRunrate,9)-INDEX(IstBewirtVoll,9))/INDEX(IstInvest,9)*100))</f>
      </c>
      <c r="D226"/>
      <c r="E226" s="6" t="inlineStr">
        <is>
          <t xml:space="preserve">= Cashflow nach Steuern</t>
        </is>
      </c>
      <c r="F226" s="30">
        <f>IF(INDEX(ObjBelegt,9)=0,"",INDEX(IstCfNach,9))</f>
      </c>
    </row>
    <row r="227">
      <c r="A227"/>
      <c r="B227" s="16" t="inlineStr">
        <is>
          <t xml:space="preserve">Kaufpreisfaktor</t>
        </is>
      </c>
      <c r="C227" s="32">
        <f>IF(INDEX(ObjBelegt,9)=0,"",IF(INDEX(IstRunrate,9)=0,0,INDEX(ObjKaufpreis,9)/INDEX(IstRunrate,9)))</f>
      </c>
      <c r="D227"/>
      <c r="E227" s="16" t="inlineStr">
        <is>
          <t xml:space="preserve">je Monat nach Steuern</t>
        </is>
      </c>
      <c r="F227" s="30">
        <f>IF(INDEX(ObjBelegt,9)=0,"",INDEX(IstCfNach,9)/12)</f>
      </c>
    </row>
    <row r="229">
      <c r="A229"/>
      <c r="B229" s="25" t="inlineStr">
        <is>
          <t xml:space="preserve">Finanzierung</t>
        </is>
      </c>
      <c r="C229" s="24"/>
      <c r="D229"/>
      <c r="E229" s="25" t="inlineStr">
        <is>
          <t xml:space="preserve">Eingesetztes Kapital</t>
        </is>
      </c>
      <c r="F229" s="24"/>
    </row>
    <row r="230">
      <c r="A230"/>
      <c r="B230" s="16" t="inlineStr">
        <is>
          <t xml:space="preserve">Darlehenssumme</t>
        </is>
      </c>
      <c r="C230" s="30">
        <f>IF(INDEX(ObjBelegt,9)=0,"",INDEX(IstDarlehen,9))</f>
      </c>
      <c r="D230"/>
      <c r="E230" s="16" t="inlineStr">
        <is>
          <t xml:space="preserve">Eigenkapital eingesetzt</t>
        </is>
      </c>
      <c r="F230" s="30">
        <f>IF(INDEX(ObjBelegt,9)=0,"",INDEX(IstEkEingesetzt,9))</f>
      </c>
    </row>
    <row r="231">
      <c r="A231"/>
      <c r="B231" s="16" t="inlineStr">
        <is>
          <t xml:space="preserve">Restschuld</t>
        </is>
      </c>
      <c r="C231" s="30">
        <f>IF(INDEX(ObjBelegt,9)=0,"",INDEX(IstRest,9))</f>
      </c>
      <c r="D231"/>
      <c r="E231" s="16" t="inlineStr">
        <is>
          <t xml:space="preserve">Eigenkapital heute</t>
        </is>
      </c>
      <c r="F231" s="30">
        <f>IF(INDEX(ObjBelegt,9)=0,"",INDEX(IstEk,9))</f>
      </c>
    </row>
    <row r="232">
      <c r="A232"/>
      <c r="B232" s="16" t="inlineStr">
        <is>
          <t xml:space="preserve">davon getilgt</t>
        </is>
      </c>
      <c r="C232" s="30">
        <f>IF(INDEX(ObjBelegt,9)=0,"",INDEX(IstGetilgt,9))</f>
      </c>
      <c r="D232"/>
      <c r="E232" s="16" t="inlineStr">
        <is>
          <t xml:space="preserve">EK-Rendite (Cashflow)</t>
        </is>
      </c>
      <c r="F232" s="31">
        <f>IF(INDEX(ObjBelegt,9)=0,"",IF(INDEX(IstEkEingesetzt,9)=0,0,INDEX(IstCfRunrateNach,9)/INDEX(IstEkEingesetzt,9)*100))</f>
      </c>
    </row>
    <row r="233">
      <c r="A233"/>
      <c r="B233" s="16" t="inlineStr">
        <is>
          <t xml:space="preserve">Rate je Monat</t>
        </is>
      </c>
      <c r="C233" s="30">
        <f>IF(INDEX(ObjBelegt,9)=0,"",INDEX(IstRateMonat,9))</f>
      </c>
      <c r="D233"/>
      <c r="E233" s="16" t="inlineStr">
        <is>
          <t xml:space="preserve">EK-Rendite mit Tilgung</t>
        </is>
      </c>
      <c r="F233" s="31">
        <f>IF(INDEX(ObjBelegt,9)=0,"",IF(INDEX(IstEkEingesetzt,9)=0,0,(INDEX(IstCfRunrateNach,9)+INDEX(IstTilgung12,9)+INDEX(IstSonder12,9)+INDEX(IstErsatz12,9))/INDEX(IstEkEingesetzt,9)*100))</f>
      </c>
    </row>
    <row r="234">
      <c r="A234"/>
      <c r="B234" s="16" t="inlineStr">
        <is>
          <t xml:space="preserve">Beleihungsauslauf</t>
        </is>
      </c>
      <c r="C234" s="34">
        <f>IF(INDEX(ObjBelegt,9)=0,"",IF(INDEX(IstWert,9)=0,0,INDEX(IstRest,9)/INDEX(IstWert,9)*100))</f>
      </c>
      <c r="D234"/>
      <c r="E234" s="16" t="inlineStr">
        <is>
          <t xml:space="preserve">Tilgungsersatz eingezahlt</t>
        </is>
      </c>
      <c r="F234" s="30">
        <f>IF(INDEX(ObjBelegt,9)=0,"",INDEX(IstErsatzEin,9))</f>
      </c>
    </row>
    <row r="235">
      <c r="A235"/>
      <c r="B235" s="16" t="inlineStr">
        <is>
          <t xml:space="preserve">Kapitaldienstdeckung DSCR</t>
        </is>
      </c>
      <c r="C235" s="35">
        <f>IF(INDEX(ObjBelegt,9)=0,"",IF(INDEX(IstKapital12,9)=0,0,(INDEX(IstRunrate,9)-INDEX(IstBewirtVoll,9))/INDEX(IstKapital12,9)))</f>
      </c>
      <c r="D235"/>
      <c r="E235" s="16" t="inlineStr">
        <is>
          <t xml:space="preserve">Guthaben mit Verzinsung</t>
        </is>
      </c>
      <c r="F235" s="30">
        <f>IF(INDEX(ObjBelegt,9)=0,"",INDEX(IstErsatzGut,9))</f>
      </c>
    </row>
    <row r="236">
      <c r="A236"/>
      <c r="B236" s="16" t="inlineStr">
        <is>
          <t xml:space="preserve">Einheiten / davon vermietet</t>
        </is>
      </c>
      <c r="C236" s="37">
        <f>IF(INDEX(ObjBelegt,9)=0,"",INDEX(IstEinheiten,9)&amp;" / "&amp;INDEX(IstVermietet,9))</f>
      </c>
    </row>
    <row r="238">
      <c r="A238"/>
      <c r="B238" s="45"/>
      <c r="C238" s="45"/>
      <c r="D238" s="45"/>
      <c r="E238" s="45"/>
      <c r="F238" s="45"/>
    </row>
    <row r="240">
      <c r="A240"/>
      <c r="B240" s="44">
        <f>IF(INDEX(ObjBelegt,10)=0,"– Objekt 10 ist nicht belegt –",INDEX(ObjBezeichnung,10))</f>
      </c>
    </row>
    <row r="241">
      <c r="A241"/>
      <c r="B241" s="16">
        <f>IF(INDEX(ObjBelegt,10)=0,"",INDEX(ObjTyp,10)&amp;" · "&amp;INDEX(ObjBezeichnung,10))</f>
      </c>
      <c r="C241"/>
      <c r="D241"/>
      <c r="E241" s="16">
        <f>IF(INDEX(ObjBelegt,10)=0,"","Kauf: "&amp;TEXT(DAY(INDEX(ObjKaufdatum,10)),"00")&amp;"."&amp;TEXT(MONTH(INDEX(ObjKaufdatum,10)),"00")&amp;"."&amp;YEAR(INDEX(ObjKaufdatum,10)))</f>
      </c>
    </row>
    <row r="243">
      <c r="A243"/>
      <c r="B243" s="25" t="inlineStr">
        <is>
          <t xml:space="preserve">Kennzahlen</t>
        </is>
      </c>
      <c r="C243" s="24"/>
      <c r="D243"/>
      <c r="E243" s="25">
        <f>"Cashflow "&amp;Jahr</f>
      </c>
      <c r="F243" s="24"/>
    </row>
    <row r="244">
      <c r="A244"/>
      <c r="B244" s="16" t="inlineStr">
        <is>
          <t xml:space="preserve">Kaufpreis</t>
        </is>
      </c>
      <c r="C244" s="30">
        <f>IF(INDEX(ObjBelegt,10)=0,"",INDEX(ObjKaufpreis,10))</f>
      </c>
      <c r="D244"/>
      <c r="E244" s="16" t="inlineStr">
        <is>
          <t xml:space="preserve">Kaltmiete</t>
        </is>
      </c>
      <c r="F244" s="30">
        <f>IF(INDEX(ObjBelegt,10)=0,"",INDEX(IstIstMiete,10))</f>
      </c>
    </row>
    <row r="245">
      <c r="A245"/>
      <c r="B245" s="16" t="inlineStr">
        <is>
          <t xml:space="preserve">Kaufnebenkosten</t>
        </is>
      </c>
      <c r="C245" s="30">
        <f>IF(INDEX(ObjBelegt,10)=0,"",INDEX(IstNkSumme,10))</f>
      </c>
      <c r="D245"/>
      <c r="E245" s="16" t="inlineStr">
        <is>
          <t xml:space="preserve">− Bewirtschaftung</t>
        </is>
      </c>
      <c r="F245" s="30">
        <f>IF(INDEX(ObjBelegt,10)=0,"",-INDEX(IstIstBewirt,10))</f>
      </c>
    </row>
    <row r="246">
      <c r="A246"/>
      <c r="B246" s="16" t="inlineStr">
        <is>
          <t xml:space="preserve">Gesamtinvestition</t>
        </is>
      </c>
      <c r="C246" s="30">
        <f>IF(INDEX(ObjBelegt,10)=0,"",INDEX(IstInvest,10))</f>
      </c>
      <c r="D246"/>
      <c r="E246" s="16" t="inlineStr">
        <is>
          <t xml:space="preserve">− Zinsen</t>
        </is>
      </c>
      <c r="F246" s="30">
        <f>IF(INDEX(ObjBelegt,10)=0,"",-INDEX(IstIstZins,10))</f>
      </c>
    </row>
    <row r="247">
      <c r="A247"/>
      <c r="B247" s="16" t="inlineStr">
        <is>
          <t xml:space="preserve">Verkehrswert</t>
        </is>
      </c>
      <c r="C247" s="30">
        <f>IF(INDEX(ObjBelegt,10)=0,"",INDEX(IstWert,10))</f>
      </c>
      <c r="D247"/>
      <c r="E247" s="16" t="inlineStr">
        <is>
          <t xml:space="preserve">− Tilgung und Sondertilgung</t>
        </is>
      </c>
      <c r="F247" s="30">
        <f>IF(INDEX(ObjBelegt,10)=0,"",-INDEX(IstIstTilgung,10)-INDEX(IstIstSonder,10)-INDEX(IstIstErsatz,10))</f>
      </c>
    </row>
    <row r="248">
      <c r="A248"/>
      <c r="B248" s="16" t="inlineStr">
        <is>
          <t xml:space="preserve">Fläche</t>
        </is>
      </c>
      <c r="C248" s="32">
        <f>IF(INDEX(ObjBelegt,10)=0,"",INDEX(IstFlaeche,10))</f>
      </c>
      <c r="D248"/>
      <c r="E248" s="6" t="inlineStr">
        <is>
          <t xml:space="preserve">= Cashflow vor Steuern</t>
        </is>
      </c>
      <c r="F248" s="30">
        <f>IF(INDEX(ObjBelegt,10)=0,"",INDEX(IstCfVor,10))</f>
      </c>
    </row>
    <row r="249">
      <c r="A249"/>
      <c r="B249" s="16" t="inlineStr">
        <is>
          <t xml:space="preserve">Kaltmiete je Monat</t>
        </is>
      </c>
      <c r="C249" s="30">
        <f>IF(INDEX(ObjBelegt,10)=0,"",INDEX(IstMieteMonat,10))</f>
      </c>
      <c r="D249"/>
      <c r="E249" s="16" t="inlineStr">
        <is>
          <t xml:space="preserve">AfA (mindert nur die Steuer)</t>
        </is>
      </c>
      <c r="F249" s="30">
        <f>IF(INDEX(ObjBelegt,10)=0,"",-INDEX(IstAfaJahr,10))</f>
      </c>
    </row>
    <row r="250">
      <c r="A250"/>
      <c r="B250" s="16" t="inlineStr">
        <is>
          <t xml:space="preserve">Miete je m²</t>
        </is>
      </c>
      <c r="C250" s="33">
        <f>IF(INDEX(ObjBelegt,10)=0,"",IF(INDEX(IstFlaeche,10)=0,0,INDEX(IstMieteMonat,10)/INDEX(IstFlaeche,10)))</f>
      </c>
      <c r="D250"/>
      <c r="E250" s="16" t="inlineStr">
        <is>
          <t xml:space="preserve">= Einkünfte aus Vermietung</t>
        </is>
      </c>
      <c r="F250" s="30">
        <f>IF(INDEX(ObjBelegt,10)=0,"",INDEX(IstEinkuenfte,10))</f>
      </c>
    </row>
    <row r="251">
      <c r="A251"/>
      <c r="B251" s="16" t="inlineStr">
        <is>
          <t xml:space="preserve">Bruttorendite</t>
        </is>
      </c>
      <c r="C251" s="31">
        <f>IF(INDEX(ObjBelegt,10)=0,"",IF(INDEX(IstInvest,10)=0,0,INDEX(IstRunrate,10)/INDEX(IstInvest,10)*100))</f>
      </c>
      <c r="D251"/>
      <c r="E251" s="16" t="inlineStr">
        <is>
          <t xml:space="preserve">Steuer (negativ = Erstattung)</t>
        </is>
      </c>
      <c r="F251" s="30">
        <f>IF(INDEX(ObjBelegt,10)=0,"",INDEX(IstSteuer,10))</f>
      </c>
    </row>
    <row r="252">
      <c r="A252"/>
      <c r="B252" s="16" t="inlineStr">
        <is>
          <t xml:space="preserve">Nettorendite</t>
        </is>
      </c>
      <c r="C252" s="31">
        <f>IF(INDEX(ObjBelegt,10)=0,"",IF(INDEX(IstInvest,10)=0,0,(INDEX(IstRunrate,10)-INDEX(IstBewirtVoll,10))/INDEX(IstInvest,10)*100))</f>
      </c>
      <c r="D252"/>
      <c r="E252" s="6" t="inlineStr">
        <is>
          <t xml:space="preserve">= Cashflow nach Steuern</t>
        </is>
      </c>
      <c r="F252" s="30">
        <f>IF(INDEX(ObjBelegt,10)=0,"",INDEX(IstCfNach,10))</f>
      </c>
    </row>
    <row r="253">
      <c r="A253"/>
      <c r="B253" s="16" t="inlineStr">
        <is>
          <t xml:space="preserve">Kaufpreisfaktor</t>
        </is>
      </c>
      <c r="C253" s="32">
        <f>IF(INDEX(ObjBelegt,10)=0,"",IF(INDEX(IstRunrate,10)=0,0,INDEX(ObjKaufpreis,10)/INDEX(IstRunrate,10)))</f>
      </c>
      <c r="D253"/>
      <c r="E253" s="16" t="inlineStr">
        <is>
          <t xml:space="preserve">je Monat nach Steuern</t>
        </is>
      </c>
      <c r="F253" s="30">
        <f>IF(INDEX(ObjBelegt,10)=0,"",INDEX(IstCfNach,10)/12)</f>
      </c>
    </row>
    <row r="255">
      <c r="A255"/>
      <c r="B255" s="25" t="inlineStr">
        <is>
          <t xml:space="preserve">Finanzierung</t>
        </is>
      </c>
      <c r="C255" s="24"/>
      <c r="D255"/>
      <c r="E255" s="25" t="inlineStr">
        <is>
          <t xml:space="preserve">Eingesetztes Kapital</t>
        </is>
      </c>
      <c r="F255" s="24"/>
    </row>
    <row r="256">
      <c r="A256"/>
      <c r="B256" s="16" t="inlineStr">
        <is>
          <t xml:space="preserve">Darlehenssumme</t>
        </is>
      </c>
      <c r="C256" s="30">
        <f>IF(INDEX(ObjBelegt,10)=0,"",INDEX(IstDarlehen,10))</f>
      </c>
      <c r="D256"/>
      <c r="E256" s="16" t="inlineStr">
        <is>
          <t xml:space="preserve">Eigenkapital eingesetzt</t>
        </is>
      </c>
      <c r="F256" s="30">
        <f>IF(INDEX(ObjBelegt,10)=0,"",INDEX(IstEkEingesetzt,10))</f>
      </c>
    </row>
    <row r="257">
      <c r="A257"/>
      <c r="B257" s="16" t="inlineStr">
        <is>
          <t xml:space="preserve">Restschuld</t>
        </is>
      </c>
      <c r="C257" s="30">
        <f>IF(INDEX(ObjBelegt,10)=0,"",INDEX(IstRest,10))</f>
      </c>
      <c r="D257"/>
      <c r="E257" s="16" t="inlineStr">
        <is>
          <t xml:space="preserve">Eigenkapital heute</t>
        </is>
      </c>
      <c r="F257" s="30">
        <f>IF(INDEX(ObjBelegt,10)=0,"",INDEX(IstEk,10))</f>
      </c>
    </row>
    <row r="258">
      <c r="A258"/>
      <c r="B258" s="16" t="inlineStr">
        <is>
          <t xml:space="preserve">davon getilgt</t>
        </is>
      </c>
      <c r="C258" s="30">
        <f>IF(INDEX(ObjBelegt,10)=0,"",INDEX(IstGetilgt,10))</f>
      </c>
      <c r="D258"/>
      <c r="E258" s="16" t="inlineStr">
        <is>
          <t xml:space="preserve">EK-Rendite (Cashflow)</t>
        </is>
      </c>
      <c r="F258" s="31">
        <f>IF(INDEX(ObjBelegt,10)=0,"",IF(INDEX(IstEkEingesetzt,10)=0,0,INDEX(IstCfRunrateNach,10)/INDEX(IstEkEingesetzt,10)*100))</f>
      </c>
    </row>
    <row r="259">
      <c r="A259"/>
      <c r="B259" s="16" t="inlineStr">
        <is>
          <t xml:space="preserve">Rate je Monat</t>
        </is>
      </c>
      <c r="C259" s="30">
        <f>IF(INDEX(ObjBelegt,10)=0,"",INDEX(IstRateMonat,10))</f>
      </c>
      <c r="D259"/>
      <c r="E259" s="16" t="inlineStr">
        <is>
          <t xml:space="preserve">EK-Rendite mit Tilgung</t>
        </is>
      </c>
      <c r="F259" s="31">
        <f>IF(INDEX(ObjBelegt,10)=0,"",IF(INDEX(IstEkEingesetzt,10)=0,0,(INDEX(IstCfRunrateNach,10)+INDEX(IstTilgung12,10)+INDEX(IstSonder12,10)+INDEX(IstErsatz12,10))/INDEX(IstEkEingesetzt,10)*100))</f>
      </c>
    </row>
    <row r="260">
      <c r="A260"/>
      <c r="B260" s="16" t="inlineStr">
        <is>
          <t xml:space="preserve">Beleihungsauslauf</t>
        </is>
      </c>
      <c r="C260" s="34">
        <f>IF(INDEX(ObjBelegt,10)=0,"",IF(INDEX(IstWert,10)=0,0,INDEX(IstRest,10)/INDEX(IstWert,10)*100))</f>
      </c>
      <c r="D260"/>
      <c r="E260" s="16" t="inlineStr">
        <is>
          <t xml:space="preserve">Tilgungsersatz eingezahlt</t>
        </is>
      </c>
      <c r="F260" s="30">
        <f>IF(INDEX(ObjBelegt,10)=0,"",INDEX(IstErsatzEin,10))</f>
      </c>
    </row>
    <row r="261">
      <c r="A261"/>
      <c r="B261" s="16" t="inlineStr">
        <is>
          <t xml:space="preserve">Kapitaldienstdeckung DSCR</t>
        </is>
      </c>
      <c r="C261" s="35">
        <f>IF(INDEX(ObjBelegt,10)=0,"",IF(INDEX(IstKapital12,10)=0,0,(INDEX(IstRunrate,10)-INDEX(IstBewirtVoll,10))/INDEX(IstKapital12,10)))</f>
      </c>
      <c r="D261"/>
      <c r="E261" s="16" t="inlineStr">
        <is>
          <t xml:space="preserve">Guthaben mit Verzinsung</t>
        </is>
      </c>
      <c r="F261" s="30">
        <f>IF(INDEX(ObjBelegt,10)=0,"",INDEX(IstErsatzGut,10))</f>
      </c>
    </row>
    <row r="262">
      <c r="A262"/>
      <c r="B262" s="16" t="inlineStr">
        <is>
          <t xml:space="preserve">Einheiten / davon vermietet</t>
        </is>
      </c>
      <c r="C262" s="37">
        <f>IF(INDEX(ObjBelegt,10)=0,"",INDEX(IstEinheiten,10)&amp;" / "&amp;INDEX(IstVermietet,10))</f>
      </c>
    </row>
    <row r="264">
      <c r="A264"/>
      <c r="B264" s="45"/>
      <c r="C264" s="45"/>
      <c r="D264" s="45"/>
      <c r="E264" s="45"/>
      <c r="F264" s="4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C9A227"/>
  </sheetPr>
  <sheetViews>
    <sheetView showGridLines="0" workbookViewId="0">
      <pane xSplit="2" ySplit="8" topLeftCell="C9" activePane="bottomRight" state="frozen"/>
    </sheetView>
  </sheetViews>
  <sheetFormatPr defaultRowHeight="15"/>
  <cols>
    <col min="1" max="1" width="2" customWidth="1"/>
    <col min="2" max="2" width="8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</cols>
  <sheetData>
    <row r="2">
      <c r="A2"/>
      <c r="B2" s="1" t="inlineStr">
        <is>
          <t xml:space="preserve">ZAHLENKOMPASS</t>
        </is>
      </c>
    </row>
    <row r="3">
      <c r="A3"/>
      <c r="B3" s="2" t="inlineStr">
        <is>
          <t xml:space="preserve">Prognose</t>
        </is>
      </c>
    </row>
    <row r="4">
      <c r="A4"/>
      <c r="B4" s="3">
        <f>"Szenario: "&amp;Szenario&amp;" · Start "&amp;Jahr&amp;" · Annahmen und Umschalter stehen auf dem Blatt Vorgaben"</f>
      </c>
    </row>
    <row r="6">
      <c r="A6"/>
      <c r="B6" s="4" t="inlineStr">
        <is>
          <t xml:space="preserve">A · Jahr für Jahr über das ganze Portfolio</t>
        </is>
      </c>
    </row>
    <row r="8">
      <c r="A8"/>
      <c r="B8" s="24" t="inlineStr">
        <is>
          <t xml:space="preserve">Jahr</t>
        </is>
      </c>
      <c r="C8" s="24" t="inlineStr">
        <is>
          <t xml:space="preserve">Miete</t>
        </is>
      </c>
      <c r="D8" s="24" t="inlineStr">
        <is>
          <t xml:space="preserve">Bewirt­schaftung</t>
        </is>
      </c>
      <c r="E8" s="24" t="inlineStr">
        <is>
          <t xml:space="preserve">Instand­haltung</t>
        </is>
      </c>
      <c r="F8" s="24" t="inlineStr">
        <is>
          <t xml:space="preserve">Zins</t>
        </is>
      </c>
      <c r="G8" s="24" t="inlineStr">
        <is>
          <t xml:space="preserve">Tilgung</t>
        </is>
      </c>
      <c r="H8" s="24" t="inlineStr">
        <is>
          <t xml:space="preserve">Sonder­tilgung</t>
        </is>
      </c>
      <c r="I8" s="24" t="inlineStr">
        <is>
          <t xml:space="preserve">Tilgungs­ersatz</t>
        </is>
      </c>
      <c r="J8" s="24" t="inlineStr">
        <is>
          <t xml:space="preserve">Kapital­dienst</t>
        </is>
      </c>
      <c r="K8" s="24" t="inlineStr">
        <is>
          <t xml:space="preserve">AfA</t>
        </is>
      </c>
      <c r="L8" s="24" t="inlineStr">
        <is>
          <t xml:space="preserve">Einkünfte</t>
        </is>
      </c>
      <c r="M8" s="24" t="inlineStr">
        <is>
          <t xml:space="preserve">Steuer</t>
        </is>
      </c>
      <c r="N8" s="24" t="inlineStr">
        <is>
          <t xml:space="preserve">CF vor St.</t>
        </is>
      </c>
      <c r="O8" s="24" t="inlineStr">
        <is>
          <t xml:space="preserve">CF nach St.</t>
        </is>
      </c>
      <c r="P8" s="24" t="inlineStr">
        <is>
          <t xml:space="preserve">kumuliert vor St.</t>
        </is>
      </c>
      <c r="Q8" s="24" t="inlineStr">
        <is>
          <t xml:space="preserve">kumuliert nach St.</t>
        </is>
      </c>
      <c r="R8" s="24" t="inlineStr">
        <is>
          <t xml:space="preserve">Verkehrswert</t>
        </is>
      </c>
      <c r="S8" s="24" t="inlineStr">
        <is>
          <t xml:space="preserve">Restschuld</t>
        </is>
      </c>
      <c r="T8" s="24" t="inlineStr">
        <is>
          <t xml:space="preserve">Ersatz-Guthaben</t>
        </is>
      </c>
      <c r="U8" s="24" t="inlineStr">
        <is>
          <t xml:space="preserve">Vermögen</t>
        </is>
      </c>
      <c r="V8" s="24" t="inlineStr">
        <is>
          <t xml:space="preserve">Beleihung</t>
        </is>
      </c>
      <c r="W8" s="24" t="inlineStr">
        <is>
          <t xml:space="preserve">EK-Rendite vor St.</t>
        </is>
      </c>
      <c r="X8" s="24" t="inlineStr">
        <is>
          <t xml:space="preserve">EK-Rendite nach St.</t>
        </is>
      </c>
    </row>
    <row r="9">
      <c r="A9"/>
      <c r="B9" s="46">
        <f>IF(0&gt;PrognoseJahre,"",Jahr+0)</f>
      </c>
      <c r="C9" s="30">
        <f>IF(0&gt;PrognoseJahre,"",SUMIFS(OjMiete,OjJahr,$B9))</f>
      </c>
      <c r="D9" s="30">
        <f>IF(0&gt;PrognoseJahre,"",SUMIFS(OjBewirt,OjJahr,$B9))</f>
      </c>
      <c r="E9" s="30">
        <f>IF(0&gt;PrognoseJahre,"",SUMIFS(OjInstand,OjJahr,$B9))</f>
      </c>
      <c r="F9" s="30">
        <f>IF(0&gt;PrognoseJahre,"",SUMIFS(OjZins,OjJahr,$B9))</f>
      </c>
      <c r="G9" s="30">
        <f>IF(0&gt;PrognoseJahre,"",SUMIFS(OjTilgung,OjJahr,$B9))</f>
      </c>
      <c r="H9" s="30">
        <f>IF(0&gt;PrognoseJahre,"",SUMIFS(OjSonder,OjJahr,$B9))</f>
      </c>
      <c r="I9" s="30">
        <f>IF(0&gt;PrognoseJahre,"",SUMIFS(OjErsatz,OjJahr,$B9))</f>
      </c>
      <c r="J9" s="30">
        <f>IF(0&gt;PrognoseJahre,"",SUMIFS(OjKapitaldienst,OjJahr,$B9))</f>
      </c>
      <c r="K9" s="30">
        <f>IF(0&gt;PrognoseJahre,"",SUMIFS(OjAfa,OjJahr,$B9))</f>
      </c>
      <c r="L9" s="30">
        <f>IF(0&gt;PrognoseJahre,"",SUMIFS(OjEinkuenfte,OjJahr,$B9))</f>
      </c>
      <c r="M9" s="30">
        <f>IF(0&gt;PrognoseJahre,"",SUMIFS(OjSteuer,OjJahr,$B9))</f>
      </c>
      <c r="N9" s="30">
        <f>IF(0&gt;PrognoseJahre,"",SUMIFS(OjCfVor,OjJahr,$B9))</f>
      </c>
      <c r="O9" s="30">
        <f>IF(0&gt;PrognoseJahre,"",SUMIFS(OjCfNach,OjJahr,$B9))</f>
      </c>
      <c r="P9" s="30">
        <f>IF(0&gt;PrognoseJahre,"",$N9)</f>
      </c>
      <c r="Q9" s="30">
        <f>IF(0&gt;PrognoseJahre,"",$O9)</f>
      </c>
      <c r="R9" s="30">
        <f>IF(0&gt;PrognoseJahre,"",SUMIFS(OjWert,OjJahr,$B9))</f>
      </c>
      <c r="S9" s="30">
        <f>IF(0&gt;PrognoseJahre,"",SUMIFS(OjRest,OjJahr,$B9))</f>
      </c>
      <c r="T9" s="30">
        <f>IF(0&gt;PrognoseJahre,"",SUMIFS(OjGuthaben,OjJahr,$B9))</f>
      </c>
      <c r="U9" s="30">
        <f>IF(0&gt;PrognoseJahre,"",$R9-$S9+$T9)</f>
      </c>
      <c r="V9" s="34">
        <f>IF(0&gt;PrognoseJahre,"",IF($R9=0,0,$S9/$R9*100))</f>
      </c>
      <c r="W9" s="31">
        <f>IF(0&gt;PrognoseJahre,"",IF(SUM(IstEkEingesetzt)=0,0,$N9/SUM(IstEkEingesetzt)*100))</f>
      </c>
      <c r="X9" s="31">
        <f>IF(0&gt;PrognoseJahre,"",IF(SUM(IstEkEingesetzt)=0,0,$O9/SUM(IstEkEingesetzt)*100))</f>
      </c>
    </row>
    <row r="10">
      <c r="A10"/>
      <c r="B10" s="46">
        <f>IF(1&gt;PrognoseJahre,"",Jahr+1)</f>
      </c>
      <c r="C10" s="30">
        <f>IF(1&gt;PrognoseJahre,"",SUMIFS(OjMiete,OjJahr,$B10))</f>
      </c>
      <c r="D10" s="30">
        <f>IF(1&gt;PrognoseJahre,"",SUMIFS(OjBewirt,OjJahr,$B10))</f>
      </c>
      <c r="E10" s="30">
        <f>IF(1&gt;PrognoseJahre,"",SUMIFS(OjInstand,OjJahr,$B10))</f>
      </c>
      <c r="F10" s="30">
        <f>IF(1&gt;PrognoseJahre,"",SUMIFS(OjZins,OjJahr,$B10))</f>
      </c>
      <c r="G10" s="30">
        <f>IF(1&gt;PrognoseJahre,"",SUMIFS(OjTilgung,OjJahr,$B10))</f>
      </c>
      <c r="H10" s="30">
        <f>IF(1&gt;PrognoseJahre,"",SUMIFS(OjSonder,OjJahr,$B10))</f>
      </c>
      <c r="I10" s="30">
        <f>IF(1&gt;PrognoseJahre,"",SUMIFS(OjErsatz,OjJahr,$B10))</f>
      </c>
      <c r="J10" s="30">
        <f>IF(1&gt;PrognoseJahre,"",SUMIFS(OjKapitaldienst,OjJahr,$B10))</f>
      </c>
      <c r="K10" s="30">
        <f>IF(1&gt;PrognoseJahre,"",SUMIFS(OjAfa,OjJahr,$B10))</f>
      </c>
      <c r="L10" s="30">
        <f>IF(1&gt;PrognoseJahre,"",SUMIFS(OjEinkuenfte,OjJahr,$B10))</f>
      </c>
      <c r="M10" s="30">
        <f>IF(1&gt;PrognoseJahre,"",SUMIFS(OjSteuer,OjJahr,$B10))</f>
      </c>
      <c r="N10" s="30">
        <f>IF(1&gt;PrognoseJahre,"",SUMIFS(OjCfVor,OjJahr,$B10))</f>
      </c>
      <c r="O10" s="30">
        <f>IF(1&gt;PrognoseJahre,"",SUMIFS(OjCfNach,OjJahr,$B10))</f>
      </c>
      <c r="P10" s="30">
        <f>IF(1&gt;PrognoseJahre,"",$P9+$N10)</f>
      </c>
      <c r="Q10" s="30">
        <f>IF(1&gt;PrognoseJahre,"",$Q9+$O10)</f>
      </c>
      <c r="R10" s="30">
        <f>IF(1&gt;PrognoseJahre,"",SUMIFS(OjWert,OjJahr,$B10))</f>
      </c>
      <c r="S10" s="30">
        <f>IF(1&gt;PrognoseJahre,"",SUMIFS(OjRest,OjJahr,$B10))</f>
      </c>
      <c r="T10" s="30">
        <f>IF(1&gt;PrognoseJahre,"",SUMIFS(OjGuthaben,OjJahr,$B10))</f>
      </c>
      <c r="U10" s="30">
        <f>IF(1&gt;PrognoseJahre,"",$R10-$S10+$T10)</f>
      </c>
      <c r="V10" s="34">
        <f>IF(1&gt;PrognoseJahre,"",IF($R10=0,0,$S10/$R10*100))</f>
      </c>
      <c r="W10" s="31">
        <f>IF(1&gt;PrognoseJahre,"",IF(SUM(IstEkEingesetzt)=0,0,$N10/SUM(IstEkEingesetzt)*100))</f>
      </c>
      <c r="X10" s="31">
        <f>IF(1&gt;PrognoseJahre,"",IF(SUM(IstEkEingesetzt)=0,0,$O10/SUM(IstEkEingesetzt)*100))</f>
      </c>
    </row>
    <row r="11">
      <c r="A11"/>
      <c r="B11" s="46">
        <f>IF(2&gt;PrognoseJahre,"",Jahr+2)</f>
      </c>
      <c r="C11" s="30">
        <f>IF(2&gt;PrognoseJahre,"",SUMIFS(OjMiete,OjJahr,$B11))</f>
      </c>
      <c r="D11" s="30">
        <f>IF(2&gt;PrognoseJahre,"",SUMIFS(OjBewirt,OjJahr,$B11))</f>
      </c>
      <c r="E11" s="30">
        <f>IF(2&gt;PrognoseJahre,"",SUMIFS(OjInstand,OjJahr,$B11))</f>
      </c>
      <c r="F11" s="30">
        <f>IF(2&gt;PrognoseJahre,"",SUMIFS(OjZins,OjJahr,$B11))</f>
      </c>
      <c r="G11" s="30">
        <f>IF(2&gt;PrognoseJahre,"",SUMIFS(OjTilgung,OjJahr,$B11))</f>
      </c>
      <c r="H11" s="30">
        <f>IF(2&gt;PrognoseJahre,"",SUMIFS(OjSonder,OjJahr,$B11))</f>
      </c>
      <c r="I11" s="30">
        <f>IF(2&gt;PrognoseJahre,"",SUMIFS(OjErsatz,OjJahr,$B11))</f>
      </c>
      <c r="J11" s="30">
        <f>IF(2&gt;PrognoseJahre,"",SUMIFS(OjKapitaldienst,OjJahr,$B11))</f>
      </c>
      <c r="K11" s="30">
        <f>IF(2&gt;PrognoseJahre,"",SUMIFS(OjAfa,OjJahr,$B11))</f>
      </c>
      <c r="L11" s="30">
        <f>IF(2&gt;PrognoseJahre,"",SUMIFS(OjEinkuenfte,OjJahr,$B11))</f>
      </c>
      <c r="M11" s="30">
        <f>IF(2&gt;PrognoseJahre,"",SUMIFS(OjSteuer,OjJahr,$B11))</f>
      </c>
      <c r="N11" s="30">
        <f>IF(2&gt;PrognoseJahre,"",SUMIFS(OjCfVor,OjJahr,$B11))</f>
      </c>
      <c r="O11" s="30">
        <f>IF(2&gt;PrognoseJahre,"",SUMIFS(OjCfNach,OjJahr,$B11))</f>
      </c>
      <c r="P11" s="30">
        <f>IF(2&gt;PrognoseJahre,"",$P10+$N11)</f>
      </c>
      <c r="Q11" s="30">
        <f>IF(2&gt;PrognoseJahre,"",$Q10+$O11)</f>
      </c>
      <c r="R11" s="30">
        <f>IF(2&gt;PrognoseJahre,"",SUMIFS(OjWert,OjJahr,$B11))</f>
      </c>
      <c r="S11" s="30">
        <f>IF(2&gt;PrognoseJahre,"",SUMIFS(OjRest,OjJahr,$B11))</f>
      </c>
      <c r="T11" s="30">
        <f>IF(2&gt;PrognoseJahre,"",SUMIFS(OjGuthaben,OjJahr,$B11))</f>
      </c>
      <c r="U11" s="30">
        <f>IF(2&gt;PrognoseJahre,"",$R11-$S11+$T11)</f>
      </c>
      <c r="V11" s="34">
        <f>IF(2&gt;PrognoseJahre,"",IF($R11=0,0,$S11/$R11*100))</f>
      </c>
      <c r="W11" s="31">
        <f>IF(2&gt;PrognoseJahre,"",IF(SUM(IstEkEingesetzt)=0,0,$N11/SUM(IstEkEingesetzt)*100))</f>
      </c>
      <c r="X11" s="31">
        <f>IF(2&gt;PrognoseJahre,"",IF(SUM(IstEkEingesetzt)=0,0,$O11/SUM(IstEkEingesetzt)*100))</f>
      </c>
    </row>
    <row r="12">
      <c r="A12"/>
      <c r="B12" s="46">
        <f>IF(3&gt;PrognoseJahre,"",Jahr+3)</f>
      </c>
      <c r="C12" s="30">
        <f>IF(3&gt;PrognoseJahre,"",SUMIFS(OjMiete,OjJahr,$B12))</f>
      </c>
      <c r="D12" s="30">
        <f>IF(3&gt;PrognoseJahre,"",SUMIFS(OjBewirt,OjJahr,$B12))</f>
      </c>
      <c r="E12" s="30">
        <f>IF(3&gt;PrognoseJahre,"",SUMIFS(OjInstand,OjJahr,$B12))</f>
      </c>
      <c r="F12" s="30">
        <f>IF(3&gt;PrognoseJahre,"",SUMIFS(OjZins,OjJahr,$B12))</f>
      </c>
      <c r="G12" s="30">
        <f>IF(3&gt;PrognoseJahre,"",SUMIFS(OjTilgung,OjJahr,$B12))</f>
      </c>
      <c r="H12" s="30">
        <f>IF(3&gt;PrognoseJahre,"",SUMIFS(OjSonder,OjJahr,$B12))</f>
      </c>
      <c r="I12" s="30">
        <f>IF(3&gt;PrognoseJahre,"",SUMIFS(OjErsatz,OjJahr,$B12))</f>
      </c>
      <c r="J12" s="30">
        <f>IF(3&gt;PrognoseJahre,"",SUMIFS(OjKapitaldienst,OjJahr,$B12))</f>
      </c>
      <c r="K12" s="30">
        <f>IF(3&gt;PrognoseJahre,"",SUMIFS(OjAfa,OjJahr,$B12))</f>
      </c>
      <c r="L12" s="30">
        <f>IF(3&gt;PrognoseJahre,"",SUMIFS(OjEinkuenfte,OjJahr,$B12))</f>
      </c>
      <c r="M12" s="30">
        <f>IF(3&gt;PrognoseJahre,"",SUMIFS(OjSteuer,OjJahr,$B12))</f>
      </c>
      <c r="N12" s="30">
        <f>IF(3&gt;PrognoseJahre,"",SUMIFS(OjCfVor,OjJahr,$B12))</f>
      </c>
      <c r="O12" s="30">
        <f>IF(3&gt;PrognoseJahre,"",SUMIFS(OjCfNach,OjJahr,$B12))</f>
      </c>
      <c r="P12" s="30">
        <f>IF(3&gt;PrognoseJahre,"",$P11+$N12)</f>
      </c>
      <c r="Q12" s="30">
        <f>IF(3&gt;PrognoseJahre,"",$Q11+$O12)</f>
      </c>
      <c r="R12" s="30">
        <f>IF(3&gt;PrognoseJahre,"",SUMIFS(OjWert,OjJahr,$B12))</f>
      </c>
      <c r="S12" s="30">
        <f>IF(3&gt;PrognoseJahre,"",SUMIFS(OjRest,OjJahr,$B12))</f>
      </c>
      <c r="T12" s="30">
        <f>IF(3&gt;PrognoseJahre,"",SUMIFS(OjGuthaben,OjJahr,$B12))</f>
      </c>
      <c r="U12" s="30">
        <f>IF(3&gt;PrognoseJahre,"",$R12-$S12+$T12)</f>
      </c>
      <c r="V12" s="34">
        <f>IF(3&gt;PrognoseJahre,"",IF($R12=0,0,$S12/$R12*100))</f>
      </c>
      <c r="W12" s="31">
        <f>IF(3&gt;PrognoseJahre,"",IF(SUM(IstEkEingesetzt)=0,0,$N12/SUM(IstEkEingesetzt)*100))</f>
      </c>
      <c r="X12" s="31">
        <f>IF(3&gt;PrognoseJahre,"",IF(SUM(IstEkEingesetzt)=0,0,$O12/SUM(IstEkEingesetzt)*100))</f>
      </c>
    </row>
    <row r="13">
      <c r="A13"/>
      <c r="B13" s="46">
        <f>IF(4&gt;PrognoseJahre,"",Jahr+4)</f>
      </c>
      <c r="C13" s="30">
        <f>IF(4&gt;PrognoseJahre,"",SUMIFS(OjMiete,OjJahr,$B13))</f>
      </c>
      <c r="D13" s="30">
        <f>IF(4&gt;PrognoseJahre,"",SUMIFS(OjBewirt,OjJahr,$B13))</f>
      </c>
      <c r="E13" s="30">
        <f>IF(4&gt;PrognoseJahre,"",SUMIFS(OjInstand,OjJahr,$B13))</f>
      </c>
      <c r="F13" s="30">
        <f>IF(4&gt;PrognoseJahre,"",SUMIFS(OjZins,OjJahr,$B13))</f>
      </c>
      <c r="G13" s="30">
        <f>IF(4&gt;PrognoseJahre,"",SUMIFS(OjTilgung,OjJahr,$B13))</f>
      </c>
      <c r="H13" s="30">
        <f>IF(4&gt;PrognoseJahre,"",SUMIFS(OjSonder,OjJahr,$B13))</f>
      </c>
      <c r="I13" s="30">
        <f>IF(4&gt;PrognoseJahre,"",SUMIFS(OjErsatz,OjJahr,$B13))</f>
      </c>
      <c r="J13" s="30">
        <f>IF(4&gt;PrognoseJahre,"",SUMIFS(OjKapitaldienst,OjJahr,$B13))</f>
      </c>
      <c r="K13" s="30">
        <f>IF(4&gt;PrognoseJahre,"",SUMIFS(OjAfa,OjJahr,$B13))</f>
      </c>
      <c r="L13" s="30">
        <f>IF(4&gt;PrognoseJahre,"",SUMIFS(OjEinkuenfte,OjJahr,$B13))</f>
      </c>
      <c r="M13" s="30">
        <f>IF(4&gt;PrognoseJahre,"",SUMIFS(OjSteuer,OjJahr,$B13))</f>
      </c>
      <c r="N13" s="30">
        <f>IF(4&gt;PrognoseJahre,"",SUMIFS(OjCfVor,OjJahr,$B13))</f>
      </c>
      <c r="O13" s="30">
        <f>IF(4&gt;PrognoseJahre,"",SUMIFS(OjCfNach,OjJahr,$B13))</f>
      </c>
      <c r="P13" s="30">
        <f>IF(4&gt;PrognoseJahre,"",$P12+$N13)</f>
      </c>
      <c r="Q13" s="30">
        <f>IF(4&gt;PrognoseJahre,"",$Q12+$O13)</f>
      </c>
      <c r="R13" s="30">
        <f>IF(4&gt;PrognoseJahre,"",SUMIFS(OjWert,OjJahr,$B13))</f>
      </c>
      <c r="S13" s="30">
        <f>IF(4&gt;PrognoseJahre,"",SUMIFS(OjRest,OjJahr,$B13))</f>
      </c>
      <c r="T13" s="30">
        <f>IF(4&gt;PrognoseJahre,"",SUMIFS(OjGuthaben,OjJahr,$B13))</f>
      </c>
      <c r="U13" s="30">
        <f>IF(4&gt;PrognoseJahre,"",$R13-$S13+$T13)</f>
      </c>
      <c r="V13" s="34">
        <f>IF(4&gt;PrognoseJahre,"",IF($R13=0,0,$S13/$R13*100))</f>
      </c>
      <c r="W13" s="31">
        <f>IF(4&gt;PrognoseJahre,"",IF(SUM(IstEkEingesetzt)=0,0,$N13/SUM(IstEkEingesetzt)*100))</f>
      </c>
      <c r="X13" s="31">
        <f>IF(4&gt;PrognoseJahre,"",IF(SUM(IstEkEingesetzt)=0,0,$O13/SUM(IstEkEingesetzt)*100))</f>
      </c>
    </row>
    <row r="14">
      <c r="A14"/>
      <c r="B14" s="46">
        <f>IF(5&gt;PrognoseJahre,"",Jahr+5)</f>
      </c>
      <c r="C14" s="30">
        <f>IF(5&gt;PrognoseJahre,"",SUMIFS(OjMiete,OjJahr,$B14))</f>
      </c>
      <c r="D14" s="30">
        <f>IF(5&gt;PrognoseJahre,"",SUMIFS(OjBewirt,OjJahr,$B14))</f>
      </c>
      <c r="E14" s="30">
        <f>IF(5&gt;PrognoseJahre,"",SUMIFS(OjInstand,OjJahr,$B14))</f>
      </c>
      <c r="F14" s="30">
        <f>IF(5&gt;PrognoseJahre,"",SUMIFS(OjZins,OjJahr,$B14))</f>
      </c>
      <c r="G14" s="30">
        <f>IF(5&gt;PrognoseJahre,"",SUMIFS(OjTilgung,OjJahr,$B14))</f>
      </c>
      <c r="H14" s="30">
        <f>IF(5&gt;PrognoseJahre,"",SUMIFS(OjSonder,OjJahr,$B14))</f>
      </c>
      <c r="I14" s="30">
        <f>IF(5&gt;PrognoseJahre,"",SUMIFS(OjErsatz,OjJahr,$B14))</f>
      </c>
      <c r="J14" s="30">
        <f>IF(5&gt;PrognoseJahre,"",SUMIFS(OjKapitaldienst,OjJahr,$B14))</f>
      </c>
      <c r="K14" s="30">
        <f>IF(5&gt;PrognoseJahre,"",SUMIFS(OjAfa,OjJahr,$B14))</f>
      </c>
      <c r="L14" s="30">
        <f>IF(5&gt;PrognoseJahre,"",SUMIFS(OjEinkuenfte,OjJahr,$B14))</f>
      </c>
      <c r="M14" s="30">
        <f>IF(5&gt;PrognoseJahre,"",SUMIFS(OjSteuer,OjJahr,$B14))</f>
      </c>
      <c r="N14" s="30">
        <f>IF(5&gt;PrognoseJahre,"",SUMIFS(OjCfVor,OjJahr,$B14))</f>
      </c>
      <c r="O14" s="30">
        <f>IF(5&gt;PrognoseJahre,"",SUMIFS(OjCfNach,OjJahr,$B14))</f>
      </c>
      <c r="P14" s="30">
        <f>IF(5&gt;PrognoseJahre,"",$P13+$N14)</f>
      </c>
      <c r="Q14" s="30">
        <f>IF(5&gt;PrognoseJahre,"",$Q13+$O14)</f>
      </c>
      <c r="R14" s="30">
        <f>IF(5&gt;PrognoseJahre,"",SUMIFS(OjWert,OjJahr,$B14))</f>
      </c>
      <c r="S14" s="30">
        <f>IF(5&gt;PrognoseJahre,"",SUMIFS(OjRest,OjJahr,$B14))</f>
      </c>
      <c r="T14" s="30">
        <f>IF(5&gt;PrognoseJahre,"",SUMIFS(OjGuthaben,OjJahr,$B14))</f>
      </c>
      <c r="U14" s="30">
        <f>IF(5&gt;PrognoseJahre,"",$R14-$S14+$T14)</f>
      </c>
      <c r="V14" s="34">
        <f>IF(5&gt;PrognoseJahre,"",IF($R14=0,0,$S14/$R14*100))</f>
      </c>
      <c r="W14" s="31">
        <f>IF(5&gt;PrognoseJahre,"",IF(SUM(IstEkEingesetzt)=0,0,$N14/SUM(IstEkEingesetzt)*100))</f>
      </c>
      <c r="X14" s="31">
        <f>IF(5&gt;PrognoseJahre,"",IF(SUM(IstEkEingesetzt)=0,0,$O14/SUM(IstEkEingesetzt)*100))</f>
      </c>
    </row>
    <row r="15">
      <c r="A15"/>
      <c r="B15" s="46">
        <f>IF(6&gt;PrognoseJahre,"",Jahr+6)</f>
      </c>
      <c r="C15" s="30">
        <f>IF(6&gt;PrognoseJahre,"",SUMIFS(OjMiete,OjJahr,$B15))</f>
      </c>
      <c r="D15" s="30">
        <f>IF(6&gt;PrognoseJahre,"",SUMIFS(OjBewirt,OjJahr,$B15))</f>
      </c>
      <c r="E15" s="30">
        <f>IF(6&gt;PrognoseJahre,"",SUMIFS(OjInstand,OjJahr,$B15))</f>
      </c>
      <c r="F15" s="30">
        <f>IF(6&gt;PrognoseJahre,"",SUMIFS(OjZins,OjJahr,$B15))</f>
      </c>
      <c r="G15" s="30">
        <f>IF(6&gt;PrognoseJahre,"",SUMIFS(OjTilgung,OjJahr,$B15))</f>
      </c>
      <c r="H15" s="30">
        <f>IF(6&gt;PrognoseJahre,"",SUMIFS(OjSonder,OjJahr,$B15))</f>
      </c>
      <c r="I15" s="30">
        <f>IF(6&gt;PrognoseJahre,"",SUMIFS(OjErsatz,OjJahr,$B15))</f>
      </c>
      <c r="J15" s="30">
        <f>IF(6&gt;PrognoseJahre,"",SUMIFS(OjKapitaldienst,OjJahr,$B15))</f>
      </c>
      <c r="K15" s="30">
        <f>IF(6&gt;PrognoseJahre,"",SUMIFS(OjAfa,OjJahr,$B15))</f>
      </c>
      <c r="L15" s="30">
        <f>IF(6&gt;PrognoseJahre,"",SUMIFS(OjEinkuenfte,OjJahr,$B15))</f>
      </c>
      <c r="M15" s="30">
        <f>IF(6&gt;PrognoseJahre,"",SUMIFS(OjSteuer,OjJahr,$B15))</f>
      </c>
      <c r="N15" s="30">
        <f>IF(6&gt;PrognoseJahre,"",SUMIFS(OjCfVor,OjJahr,$B15))</f>
      </c>
      <c r="O15" s="30">
        <f>IF(6&gt;PrognoseJahre,"",SUMIFS(OjCfNach,OjJahr,$B15))</f>
      </c>
      <c r="P15" s="30">
        <f>IF(6&gt;PrognoseJahre,"",$P14+$N15)</f>
      </c>
      <c r="Q15" s="30">
        <f>IF(6&gt;PrognoseJahre,"",$Q14+$O15)</f>
      </c>
      <c r="R15" s="30">
        <f>IF(6&gt;PrognoseJahre,"",SUMIFS(OjWert,OjJahr,$B15))</f>
      </c>
      <c r="S15" s="30">
        <f>IF(6&gt;PrognoseJahre,"",SUMIFS(OjRest,OjJahr,$B15))</f>
      </c>
      <c r="T15" s="30">
        <f>IF(6&gt;PrognoseJahre,"",SUMIFS(OjGuthaben,OjJahr,$B15))</f>
      </c>
      <c r="U15" s="30">
        <f>IF(6&gt;PrognoseJahre,"",$R15-$S15+$T15)</f>
      </c>
      <c r="V15" s="34">
        <f>IF(6&gt;PrognoseJahre,"",IF($R15=0,0,$S15/$R15*100))</f>
      </c>
      <c r="W15" s="31">
        <f>IF(6&gt;PrognoseJahre,"",IF(SUM(IstEkEingesetzt)=0,0,$N15/SUM(IstEkEingesetzt)*100))</f>
      </c>
      <c r="X15" s="31">
        <f>IF(6&gt;PrognoseJahre,"",IF(SUM(IstEkEingesetzt)=0,0,$O15/SUM(IstEkEingesetzt)*100))</f>
      </c>
    </row>
    <row r="16">
      <c r="A16"/>
      <c r="B16" s="46">
        <f>IF(7&gt;PrognoseJahre,"",Jahr+7)</f>
      </c>
      <c r="C16" s="30">
        <f>IF(7&gt;PrognoseJahre,"",SUMIFS(OjMiete,OjJahr,$B16))</f>
      </c>
      <c r="D16" s="30">
        <f>IF(7&gt;PrognoseJahre,"",SUMIFS(OjBewirt,OjJahr,$B16))</f>
      </c>
      <c r="E16" s="30">
        <f>IF(7&gt;PrognoseJahre,"",SUMIFS(OjInstand,OjJahr,$B16))</f>
      </c>
      <c r="F16" s="30">
        <f>IF(7&gt;PrognoseJahre,"",SUMIFS(OjZins,OjJahr,$B16))</f>
      </c>
      <c r="G16" s="30">
        <f>IF(7&gt;PrognoseJahre,"",SUMIFS(OjTilgung,OjJahr,$B16))</f>
      </c>
      <c r="H16" s="30">
        <f>IF(7&gt;PrognoseJahre,"",SUMIFS(OjSonder,OjJahr,$B16))</f>
      </c>
      <c r="I16" s="30">
        <f>IF(7&gt;PrognoseJahre,"",SUMIFS(OjErsatz,OjJahr,$B16))</f>
      </c>
      <c r="J16" s="30">
        <f>IF(7&gt;PrognoseJahre,"",SUMIFS(OjKapitaldienst,OjJahr,$B16))</f>
      </c>
      <c r="K16" s="30">
        <f>IF(7&gt;PrognoseJahre,"",SUMIFS(OjAfa,OjJahr,$B16))</f>
      </c>
      <c r="L16" s="30">
        <f>IF(7&gt;PrognoseJahre,"",SUMIFS(OjEinkuenfte,OjJahr,$B16))</f>
      </c>
      <c r="M16" s="30">
        <f>IF(7&gt;PrognoseJahre,"",SUMIFS(OjSteuer,OjJahr,$B16))</f>
      </c>
      <c r="N16" s="30">
        <f>IF(7&gt;PrognoseJahre,"",SUMIFS(OjCfVor,OjJahr,$B16))</f>
      </c>
      <c r="O16" s="30">
        <f>IF(7&gt;PrognoseJahre,"",SUMIFS(OjCfNach,OjJahr,$B16))</f>
      </c>
      <c r="P16" s="30">
        <f>IF(7&gt;PrognoseJahre,"",$P15+$N16)</f>
      </c>
      <c r="Q16" s="30">
        <f>IF(7&gt;PrognoseJahre,"",$Q15+$O16)</f>
      </c>
      <c r="R16" s="30">
        <f>IF(7&gt;PrognoseJahre,"",SUMIFS(OjWert,OjJahr,$B16))</f>
      </c>
      <c r="S16" s="30">
        <f>IF(7&gt;PrognoseJahre,"",SUMIFS(OjRest,OjJahr,$B16))</f>
      </c>
      <c r="T16" s="30">
        <f>IF(7&gt;PrognoseJahre,"",SUMIFS(OjGuthaben,OjJahr,$B16))</f>
      </c>
      <c r="U16" s="30">
        <f>IF(7&gt;PrognoseJahre,"",$R16-$S16+$T16)</f>
      </c>
      <c r="V16" s="34">
        <f>IF(7&gt;PrognoseJahre,"",IF($R16=0,0,$S16/$R16*100))</f>
      </c>
      <c r="W16" s="31">
        <f>IF(7&gt;PrognoseJahre,"",IF(SUM(IstEkEingesetzt)=0,0,$N16/SUM(IstEkEingesetzt)*100))</f>
      </c>
      <c r="X16" s="31">
        <f>IF(7&gt;PrognoseJahre,"",IF(SUM(IstEkEingesetzt)=0,0,$O16/SUM(IstEkEingesetzt)*100))</f>
      </c>
    </row>
    <row r="17">
      <c r="A17"/>
      <c r="B17" s="46">
        <f>IF(8&gt;PrognoseJahre,"",Jahr+8)</f>
      </c>
      <c r="C17" s="30">
        <f>IF(8&gt;PrognoseJahre,"",SUMIFS(OjMiete,OjJahr,$B17))</f>
      </c>
      <c r="D17" s="30">
        <f>IF(8&gt;PrognoseJahre,"",SUMIFS(OjBewirt,OjJahr,$B17))</f>
      </c>
      <c r="E17" s="30">
        <f>IF(8&gt;PrognoseJahre,"",SUMIFS(OjInstand,OjJahr,$B17))</f>
      </c>
      <c r="F17" s="30">
        <f>IF(8&gt;PrognoseJahre,"",SUMIFS(OjZins,OjJahr,$B17))</f>
      </c>
      <c r="G17" s="30">
        <f>IF(8&gt;PrognoseJahre,"",SUMIFS(OjTilgung,OjJahr,$B17))</f>
      </c>
      <c r="H17" s="30">
        <f>IF(8&gt;PrognoseJahre,"",SUMIFS(OjSonder,OjJahr,$B17))</f>
      </c>
      <c r="I17" s="30">
        <f>IF(8&gt;PrognoseJahre,"",SUMIFS(OjErsatz,OjJahr,$B17))</f>
      </c>
      <c r="J17" s="30">
        <f>IF(8&gt;PrognoseJahre,"",SUMIFS(OjKapitaldienst,OjJahr,$B17))</f>
      </c>
      <c r="K17" s="30">
        <f>IF(8&gt;PrognoseJahre,"",SUMIFS(OjAfa,OjJahr,$B17))</f>
      </c>
      <c r="L17" s="30">
        <f>IF(8&gt;PrognoseJahre,"",SUMIFS(OjEinkuenfte,OjJahr,$B17))</f>
      </c>
      <c r="M17" s="30">
        <f>IF(8&gt;PrognoseJahre,"",SUMIFS(OjSteuer,OjJahr,$B17))</f>
      </c>
      <c r="N17" s="30">
        <f>IF(8&gt;PrognoseJahre,"",SUMIFS(OjCfVor,OjJahr,$B17))</f>
      </c>
      <c r="O17" s="30">
        <f>IF(8&gt;PrognoseJahre,"",SUMIFS(OjCfNach,OjJahr,$B17))</f>
      </c>
      <c r="P17" s="30">
        <f>IF(8&gt;PrognoseJahre,"",$P16+$N17)</f>
      </c>
      <c r="Q17" s="30">
        <f>IF(8&gt;PrognoseJahre,"",$Q16+$O17)</f>
      </c>
      <c r="R17" s="30">
        <f>IF(8&gt;PrognoseJahre,"",SUMIFS(OjWert,OjJahr,$B17))</f>
      </c>
      <c r="S17" s="30">
        <f>IF(8&gt;PrognoseJahre,"",SUMIFS(OjRest,OjJahr,$B17))</f>
      </c>
      <c r="T17" s="30">
        <f>IF(8&gt;PrognoseJahre,"",SUMIFS(OjGuthaben,OjJahr,$B17))</f>
      </c>
      <c r="U17" s="30">
        <f>IF(8&gt;PrognoseJahre,"",$R17-$S17+$T17)</f>
      </c>
      <c r="V17" s="34">
        <f>IF(8&gt;PrognoseJahre,"",IF($R17=0,0,$S17/$R17*100))</f>
      </c>
      <c r="W17" s="31">
        <f>IF(8&gt;PrognoseJahre,"",IF(SUM(IstEkEingesetzt)=0,0,$N17/SUM(IstEkEingesetzt)*100))</f>
      </c>
      <c r="X17" s="31">
        <f>IF(8&gt;PrognoseJahre,"",IF(SUM(IstEkEingesetzt)=0,0,$O17/SUM(IstEkEingesetzt)*100))</f>
      </c>
    </row>
    <row r="18">
      <c r="A18"/>
      <c r="B18" s="46">
        <f>IF(9&gt;PrognoseJahre,"",Jahr+9)</f>
      </c>
      <c r="C18" s="30">
        <f>IF(9&gt;PrognoseJahre,"",SUMIFS(OjMiete,OjJahr,$B18))</f>
      </c>
      <c r="D18" s="30">
        <f>IF(9&gt;PrognoseJahre,"",SUMIFS(OjBewirt,OjJahr,$B18))</f>
      </c>
      <c r="E18" s="30">
        <f>IF(9&gt;PrognoseJahre,"",SUMIFS(OjInstand,OjJahr,$B18))</f>
      </c>
      <c r="F18" s="30">
        <f>IF(9&gt;PrognoseJahre,"",SUMIFS(OjZins,OjJahr,$B18))</f>
      </c>
      <c r="G18" s="30">
        <f>IF(9&gt;PrognoseJahre,"",SUMIFS(OjTilgung,OjJahr,$B18))</f>
      </c>
      <c r="H18" s="30">
        <f>IF(9&gt;PrognoseJahre,"",SUMIFS(OjSonder,OjJahr,$B18))</f>
      </c>
      <c r="I18" s="30">
        <f>IF(9&gt;PrognoseJahre,"",SUMIFS(OjErsatz,OjJahr,$B18))</f>
      </c>
      <c r="J18" s="30">
        <f>IF(9&gt;PrognoseJahre,"",SUMIFS(OjKapitaldienst,OjJahr,$B18))</f>
      </c>
      <c r="K18" s="30">
        <f>IF(9&gt;PrognoseJahre,"",SUMIFS(OjAfa,OjJahr,$B18))</f>
      </c>
      <c r="L18" s="30">
        <f>IF(9&gt;PrognoseJahre,"",SUMIFS(OjEinkuenfte,OjJahr,$B18))</f>
      </c>
      <c r="M18" s="30">
        <f>IF(9&gt;PrognoseJahre,"",SUMIFS(OjSteuer,OjJahr,$B18))</f>
      </c>
      <c r="N18" s="30">
        <f>IF(9&gt;PrognoseJahre,"",SUMIFS(OjCfVor,OjJahr,$B18))</f>
      </c>
      <c r="O18" s="30">
        <f>IF(9&gt;PrognoseJahre,"",SUMIFS(OjCfNach,OjJahr,$B18))</f>
      </c>
      <c r="P18" s="30">
        <f>IF(9&gt;PrognoseJahre,"",$P17+$N18)</f>
      </c>
      <c r="Q18" s="30">
        <f>IF(9&gt;PrognoseJahre,"",$Q17+$O18)</f>
      </c>
      <c r="R18" s="30">
        <f>IF(9&gt;PrognoseJahre,"",SUMIFS(OjWert,OjJahr,$B18))</f>
      </c>
      <c r="S18" s="30">
        <f>IF(9&gt;PrognoseJahre,"",SUMIFS(OjRest,OjJahr,$B18))</f>
      </c>
      <c r="T18" s="30">
        <f>IF(9&gt;PrognoseJahre,"",SUMIFS(OjGuthaben,OjJahr,$B18))</f>
      </c>
      <c r="U18" s="30">
        <f>IF(9&gt;PrognoseJahre,"",$R18-$S18+$T18)</f>
      </c>
      <c r="V18" s="34">
        <f>IF(9&gt;PrognoseJahre,"",IF($R18=0,0,$S18/$R18*100))</f>
      </c>
      <c r="W18" s="31">
        <f>IF(9&gt;PrognoseJahre,"",IF(SUM(IstEkEingesetzt)=0,0,$N18/SUM(IstEkEingesetzt)*100))</f>
      </c>
      <c r="X18" s="31">
        <f>IF(9&gt;PrognoseJahre,"",IF(SUM(IstEkEingesetzt)=0,0,$O18/SUM(IstEkEingesetzt)*100))</f>
      </c>
    </row>
    <row r="19">
      <c r="A19"/>
      <c r="B19" s="46">
        <f>IF(10&gt;PrognoseJahre,"",Jahr+10)</f>
      </c>
      <c r="C19" s="30">
        <f>IF(10&gt;PrognoseJahre,"",SUMIFS(OjMiete,OjJahr,$B19))</f>
      </c>
      <c r="D19" s="30">
        <f>IF(10&gt;PrognoseJahre,"",SUMIFS(OjBewirt,OjJahr,$B19))</f>
      </c>
      <c r="E19" s="30">
        <f>IF(10&gt;PrognoseJahre,"",SUMIFS(OjInstand,OjJahr,$B19))</f>
      </c>
      <c r="F19" s="30">
        <f>IF(10&gt;PrognoseJahre,"",SUMIFS(OjZins,OjJahr,$B19))</f>
      </c>
      <c r="G19" s="30">
        <f>IF(10&gt;PrognoseJahre,"",SUMIFS(OjTilgung,OjJahr,$B19))</f>
      </c>
      <c r="H19" s="30">
        <f>IF(10&gt;PrognoseJahre,"",SUMIFS(OjSonder,OjJahr,$B19))</f>
      </c>
      <c r="I19" s="30">
        <f>IF(10&gt;PrognoseJahre,"",SUMIFS(OjErsatz,OjJahr,$B19))</f>
      </c>
      <c r="J19" s="30">
        <f>IF(10&gt;PrognoseJahre,"",SUMIFS(OjKapitaldienst,OjJahr,$B19))</f>
      </c>
      <c r="K19" s="30">
        <f>IF(10&gt;PrognoseJahre,"",SUMIFS(OjAfa,OjJahr,$B19))</f>
      </c>
      <c r="L19" s="30">
        <f>IF(10&gt;PrognoseJahre,"",SUMIFS(OjEinkuenfte,OjJahr,$B19))</f>
      </c>
      <c r="M19" s="30">
        <f>IF(10&gt;PrognoseJahre,"",SUMIFS(OjSteuer,OjJahr,$B19))</f>
      </c>
      <c r="N19" s="30">
        <f>IF(10&gt;PrognoseJahre,"",SUMIFS(OjCfVor,OjJahr,$B19))</f>
      </c>
      <c r="O19" s="30">
        <f>IF(10&gt;PrognoseJahre,"",SUMIFS(OjCfNach,OjJahr,$B19))</f>
      </c>
      <c r="P19" s="30">
        <f>IF(10&gt;PrognoseJahre,"",$P18+$N19)</f>
      </c>
      <c r="Q19" s="30">
        <f>IF(10&gt;PrognoseJahre,"",$Q18+$O19)</f>
      </c>
      <c r="R19" s="30">
        <f>IF(10&gt;PrognoseJahre,"",SUMIFS(OjWert,OjJahr,$B19))</f>
      </c>
      <c r="S19" s="30">
        <f>IF(10&gt;PrognoseJahre,"",SUMIFS(OjRest,OjJahr,$B19))</f>
      </c>
      <c r="T19" s="30">
        <f>IF(10&gt;PrognoseJahre,"",SUMIFS(OjGuthaben,OjJahr,$B19))</f>
      </c>
      <c r="U19" s="30">
        <f>IF(10&gt;PrognoseJahre,"",$R19-$S19+$T19)</f>
      </c>
      <c r="V19" s="34">
        <f>IF(10&gt;PrognoseJahre,"",IF($R19=0,0,$S19/$R19*100))</f>
      </c>
      <c r="W19" s="31">
        <f>IF(10&gt;PrognoseJahre,"",IF(SUM(IstEkEingesetzt)=0,0,$N19/SUM(IstEkEingesetzt)*100))</f>
      </c>
      <c r="X19" s="31">
        <f>IF(10&gt;PrognoseJahre,"",IF(SUM(IstEkEingesetzt)=0,0,$O19/SUM(IstEkEingesetzt)*100))</f>
      </c>
    </row>
    <row r="20">
      <c r="A20"/>
      <c r="B20" s="46">
        <f>IF(11&gt;PrognoseJahre,"",Jahr+11)</f>
      </c>
      <c r="C20" s="30">
        <f>IF(11&gt;PrognoseJahre,"",SUMIFS(OjMiete,OjJahr,$B20))</f>
      </c>
      <c r="D20" s="30">
        <f>IF(11&gt;PrognoseJahre,"",SUMIFS(OjBewirt,OjJahr,$B20))</f>
      </c>
      <c r="E20" s="30">
        <f>IF(11&gt;PrognoseJahre,"",SUMIFS(OjInstand,OjJahr,$B20))</f>
      </c>
      <c r="F20" s="30">
        <f>IF(11&gt;PrognoseJahre,"",SUMIFS(OjZins,OjJahr,$B20))</f>
      </c>
      <c r="G20" s="30">
        <f>IF(11&gt;PrognoseJahre,"",SUMIFS(OjTilgung,OjJahr,$B20))</f>
      </c>
      <c r="H20" s="30">
        <f>IF(11&gt;PrognoseJahre,"",SUMIFS(OjSonder,OjJahr,$B20))</f>
      </c>
      <c r="I20" s="30">
        <f>IF(11&gt;PrognoseJahre,"",SUMIFS(OjErsatz,OjJahr,$B20))</f>
      </c>
      <c r="J20" s="30">
        <f>IF(11&gt;PrognoseJahre,"",SUMIFS(OjKapitaldienst,OjJahr,$B20))</f>
      </c>
      <c r="K20" s="30">
        <f>IF(11&gt;PrognoseJahre,"",SUMIFS(OjAfa,OjJahr,$B20))</f>
      </c>
      <c r="L20" s="30">
        <f>IF(11&gt;PrognoseJahre,"",SUMIFS(OjEinkuenfte,OjJahr,$B20))</f>
      </c>
      <c r="M20" s="30">
        <f>IF(11&gt;PrognoseJahre,"",SUMIFS(OjSteuer,OjJahr,$B20))</f>
      </c>
      <c r="N20" s="30">
        <f>IF(11&gt;PrognoseJahre,"",SUMIFS(OjCfVor,OjJahr,$B20))</f>
      </c>
      <c r="O20" s="30">
        <f>IF(11&gt;PrognoseJahre,"",SUMIFS(OjCfNach,OjJahr,$B20))</f>
      </c>
      <c r="P20" s="30">
        <f>IF(11&gt;PrognoseJahre,"",$P19+$N20)</f>
      </c>
      <c r="Q20" s="30">
        <f>IF(11&gt;PrognoseJahre,"",$Q19+$O20)</f>
      </c>
      <c r="R20" s="30">
        <f>IF(11&gt;PrognoseJahre,"",SUMIFS(OjWert,OjJahr,$B20))</f>
      </c>
      <c r="S20" s="30">
        <f>IF(11&gt;PrognoseJahre,"",SUMIFS(OjRest,OjJahr,$B20))</f>
      </c>
      <c r="T20" s="30">
        <f>IF(11&gt;PrognoseJahre,"",SUMIFS(OjGuthaben,OjJahr,$B20))</f>
      </c>
      <c r="U20" s="30">
        <f>IF(11&gt;PrognoseJahre,"",$R20-$S20+$T20)</f>
      </c>
      <c r="V20" s="34">
        <f>IF(11&gt;PrognoseJahre,"",IF($R20=0,0,$S20/$R20*100))</f>
      </c>
      <c r="W20" s="31">
        <f>IF(11&gt;PrognoseJahre,"",IF(SUM(IstEkEingesetzt)=0,0,$N20/SUM(IstEkEingesetzt)*100))</f>
      </c>
      <c r="X20" s="31">
        <f>IF(11&gt;PrognoseJahre,"",IF(SUM(IstEkEingesetzt)=0,0,$O20/SUM(IstEkEingesetzt)*100))</f>
      </c>
    </row>
    <row r="21">
      <c r="A21"/>
      <c r="B21" s="46">
        <f>IF(12&gt;PrognoseJahre,"",Jahr+12)</f>
      </c>
      <c r="C21" s="30">
        <f>IF(12&gt;PrognoseJahre,"",SUMIFS(OjMiete,OjJahr,$B21))</f>
      </c>
      <c r="D21" s="30">
        <f>IF(12&gt;PrognoseJahre,"",SUMIFS(OjBewirt,OjJahr,$B21))</f>
      </c>
      <c r="E21" s="30">
        <f>IF(12&gt;PrognoseJahre,"",SUMIFS(OjInstand,OjJahr,$B21))</f>
      </c>
      <c r="F21" s="30">
        <f>IF(12&gt;PrognoseJahre,"",SUMIFS(OjZins,OjJahr,$B21))</f>
      </c>
      <c r="G21" s="30">
        <f>IF(12&gt;PrognoseJahre,"",SUMIFS(OjTilgung,OjJahr,$B21))</f>
      </c>
      <c r="H21" s="30">
        <f>IF(12&gt;PrognoseJahre,"",SUMIFS(OjSonder,OjJahr,$B21))</f>
      </c>
      <c r="I21" s="30">
        <f>IF(12&gt;PrognoseJahre,"",SUMIFS(OjErsatz,OjJahr,$B21))</f>
      </c>
      <c r="J21" s="30">
        <f>IF(12&gt;PrognoseJahre,"",SUMIFS(OjKapitaldienst,OjJahr,$B21))</f>
      </c>
      <c r="K21" s="30">
        <f>IF(12&gt;PrognoseJahre,"",SUMIFS(OjAfa,OjJahr,$B21))</f>
      </c>
      <c r="L21" s="30">
        <f>IF(12&gt;PrognoseJahre,"",SUMIFS(OjEinkuenfte,OjJahr,$B21))</f>
      </c>
      <c r="M21" s="30">
        <f>IF(12&gt;PrognoseJahre,"",SUMIFS(OjSteuer,OjJahr,$B21))</f>
      </c>
      <c r="N21" s="30">
        <f>IF(12&gt;PrognoseJahre,"",SUMIFS(OjCfVor,OjJahr,$B21))</f>
      </c>
      <c r="O21" s="30">
        <f>IF(12&gt;PrognoseJahre,"",SUMIFS(OjCfNach,OjJahr,$B21))</f>
      </c>
      <c r="P21" s="30">
        <f>IF(12&gt;PrognoseJahre,"",$P20+$N21)</f>
      </c>
      <c r="Q21" s="30">
        <f>IF(12&gt;PrognoseJahre,"",$Q20+$O21)</f>
      </c>
      <c r="R21" s="30">
        <f>IF(12&gt;PrognoseJahre,"",SUMIFS(OjWert,OjJahr,$B21))</f>
      </c>
      <c r="S21" s="30">
        <f>IF(12&gt;PrognoseJahre,"",SUMIFS(OjRest,OjJahr,$B21))</f>
      </c>
      <c r="T21" s="30">
        <f>IF(12&gt;PrognoseJahre,"",SUMIFS(OjGuthaben,OjJahr,$B21))</f>
      </c>
      <c r="U21" s="30">
        <f>IF(12&gt;PrognoseJahre,"",$R21-$S21+$T21)</f>
      </c>
      <c r="V21" s="34">
        <f>IF(12&gt;PrognoseJahre,"",IF($R21=0,0,$S21/$R21*100))</f>
      </c>
      <c r="W21" s="31">
        <f>IF(12&gt;PrognoseJahre,"",IF(SUM(IstEkEingesetzt)=0,0,$N21/SUM(IstEkEingesetzt)*100))</f>
      </c>
      <c r="X21" s="31">
        <f>IF(12&gt;PrognoseJahre,"",IF(SUM(IstEkEingesetzt)=0,0,$O21/SUM(IstEkEingesetzt)*100))</f>
      </c>
    </row>
    <row r="22">
      <c r="A22"/>
      <c r="B22" s="46">
        <f>IF(13&gt;PrognoseJahre,"",Jahr+13)</f>
      </c>
      <c r="C22" s="30">
        <f>IF(13&gt;PrognoseJahre,"",SUMIFS(OjMiete,OjJahr,$B22))</f>
      </c>
      <c r="D22" s="30">
        <f>IF(13&gt;PrognoseJahre,"",SUMIFS(OjBewirt,OjJahr,$B22))</f>
      </c>
      <c r="E22" s="30">
        <f>IF(13&gt;PrognoseJahre,"",SUMIFS(OjInstand,OjJahr,$B22))</f>
      </c>
      <c r="F22" s="30">
        <f>IF(13&gt;PrognoseJahre,"",SUMIFS(OjZins,OjJahr,$B22))</f>
      </c>
      <c r="G22" s="30">
        <f>IF(13&gt;PrognoseJahre,"",SUMIFS(OjTilgung,OjJahr,$B22))</f>
      </c>
      <c r="H22" s="30">
        <f>IF(13&gt;PrognoseJahre,"",SUMIFS(OjSonder,OjJahr,$B22))</f>
      </c>
      <c r="I22" s="30">
        <f>IF(13&gt;PrognoseJahre,"",SUMIFS(OjErsatz,OjJahr,$B22))</f>
      </c>
      <c r="J22" s="30">
        <f>IF(13&gt;PrognoseJahre,"",SUMIFS(OjKapitaldienst,OjJahr,$B22))</f>
      </c>
      <c r="K22" s="30">
        <f>IF(13&gt;PrognoseJahre,"",SUMIFS(OjAfa,OjJahr,$B22))</f>
      </c>
      <c r="L22" s="30">
        <f>IF(13&gt;PrognoseJahre,"",SUMIFS(OjEinkuenfte,OjJahr,$B22))</f>
      </c>
      <c r="M22" s="30">
        <f>IF(13&gt;PrognoseJahre,"",SUMIFS(OjSteuer,OjJahr,$B22))</f>
      </c>
      <c r="N22" s="30">
        <f>IF(13&gt;PrognoseJahre,"",SUMIFS(OjCfVor,OjJahr,$B22))</f>
      </c>
      <c r="O22" s="30">
        <f>IF(13&gt;PrognoseJahre,"",SUMIFS(OjCfNach,OjJahr,$B22))</f>
      </c>
      <c r="P22" s="30">
        <f>IF(13&gt;PrognoseJahre,"",$P21+$N22)</f>
      </c>
      <c r="Q22" s="30">
        <f>IF(13&gt;PrognoseJahre,"",$Q21+$O22)</f>
      </c>
      <c r="R22" s="30">
        <f>IF(13&gt;PrognoseJahre,"",SUMIFS(OjWert,OjJahr,$B22))</f>
      </c>
      <c r="S22" s="30">
        <f>IF(13&gt;PrognoseJahre,"",SUMIFS(OjRest,OjJahr,$B22))</f>
      </c>
      <c r="T22" s="30">
        <f>IF(13&gt;PrognoseJahre,"",SUMIFS(OjGuthaben,OjJahr,$B22))</f>
      </c>
      <c r="U22" s="30">
        <f>IF(13&gt;PrognoseJahre,"",$R22-$S22+$T22)</f>
      </c>
      <c r="V22" s="34">
        <f>IF(13&gt;PrognoseJahre,"",IF($R22=0,0,$S22/$R22*100))</f>
      </c>
      <c r="W22" s="31">
        <f>IF(13&gt;PrognoseJahre,"",IF(SUM(IstEkEingesetzt)=0,0,$N22/SUM(IstEkEingesetzt)*100))</f>
      </c>
      <c r="X22" s="31">
        <f>IF(13&gt;PrognoseJahre,"",IF(SUM(IstEkEingesetzt)=0,0,$O22/SUM(IstEkEingesetzt)*100))</f>
      </c>
    </row>
    <row r="23">
      <c r="A23"/>
      <c r="B23" s="46">
        <f>IF(14&gt;PrognoseJahre,"",Jahr+14)</f>
      </c>
      <c r="C23" s="30">
        <f>IF(14&gt;PrognoseJahre,"",SUMIFS(OjMiete,OjJahr,$B23))</f>
      </c>
      <c r="D23" s="30">
        <f>IF(14&gt;PrognoseJahre,"",SUMIFS(OjBewirt,OjJahr,$B23))</f>
      </c>
      <c r="E23" s="30">
        <f>IF(14&gt;PrognoseJahre,"",SUMIFS(OjInstand,OjJahr,$B23))</f>
      </c>
      <c r="F23" s="30">
        <f>IF(14&gt;PrognoseJahre,"",SUMIFS(OjZins,OjJahr,$B23))</f>
      </c>
      <c r="G23" s="30">
        <f>IF(14&gt;PrognoseJahre,"",SUMIFS(OjTilgung,OjJahr,$B23))</f>
      </c>
      <c r="H23" s="30">
        <f>IF(14&gt;PrognoseJahre,"",SUMIFS(OjSonder,OjJahr,$B23))</f>
      </c>
      <c r="I23" s="30">
        <f>IF(14&gt;PrognoseJahre,"",SUMIFS(OjErsatz,OjJahr,$B23))</f>
      </c>
      <c r="J23" s="30">
        <f>IF(14&gt;PrognoseJahre,"",SUMIFS(OjKapitaldienst,OjJahr,$B23))</f>
      </c>
      <c r="K23" s="30">
        <f>IF(14&gt;PrognoseJahre,"",SUMIFS(OjAfa,OjJahr,$B23))</f>
      </c>
      <c r="L23" s="30">
        <f>IF(14&gt;PrognoseJahre,"",SUMIFS(OjEinkuenfte,OjJahr,$B23))</f>
      </c>
      <c r="M23" s="30">
        <f>IF(14&gt;PrognoseJahre,"",SUMIFS(OjSteuer,OjJahr,$B23))</f>
      </c>
      <c r="N23" s="30">
        <f>IF(14&gt;PrognoseJahre,"",SUMIFS(OjCfVor,OjJahr,$B23))</f>
      </c>
      <c r="O23" s="30">
        <f>IF(14&gt;PrognoseJahre,"",SUMIFS(OjCfNach,OjJahr,$B23))</f>
      </c>
      <c r="P23" s="30">
        <f>IF(14&gt;PrognoseJahre,"",$P22+$N23)</f>
      </c>
      <c r="Q23" s="30">
        <f>IF(14&gt;PrognoseJahre,"",$Q22+$O23)</f>
      </c>
      <c r="R23" s="30">
        <f>IF(14&gt;PrognoseJahre,"",SUMIFS(OjWert,OjJahr,$B23))</f>
      </c>
      <c r="S23" s="30">
        <f>IF(14&gt;PrognoseJahre,"",SUMIFS(OjRest,OjJahr,$B23))</f>
      </c>
      <c r="T23" s="30">
        <f>IF(14&gt;PrognoseJahre,"",SUMIFS(OjGuthaben,OjJahr,$B23))</f>
      </c>
      <c r="U23" s="30">
        <f>IF(14&gt;PrognoseJahre,"",$R23-$S23+$T23)</f>
      </c>
      <c r="V23" s="34">
        <f>IF(14&gt;PrognoseJahre,"",IF($R23=0,0,$S23/$R23*100))</f>
      </c>
      <c r="W23" s="31">
        <f>IF(14&gt;PrognoseJahre,"",IF(SUM(IstEkEingesetzt)=0,0,$N23/SUM(IstEkEingesetzt)*100))</f>
      </c>
      <c r="X23" s="31">
        <f>IF(14&gt;PrognoseJahre,"",IF(SUM(IstEkEingesetzt)=0,0,$O23/SUM(IstEkEingesetzt)*100))</f>
      </c>
    </row>
    <row r="24">
      <c r="A24"/>
      <c r="B24" s="46">
        <f>IF(15&gt;PrognoseJahre,"",Jahr+15)</f>
      </c>
      <c r="C24" s="30">
        <f>IF(15&gt;PrognoseJahre,"",SUMIFS(OjMiete,OjJahr,$B24))</f>
      </c>
      <c r="D24" s="30">
        <f>IF(15&gt;PrognoseJahre,"",SUMIFS(OjBewirt,OjJahr,$B24))</f>
      </c>
      <c r="E24" s="30">
        <f>IF(15&gt;PrognoseJahre,"",SUMIFS(OjInstand,OjJahr,$B24))</f>
      </c>
      <c r="F24" s="30">
        <f>IF(15&gt;PrognoseJahre,"",SUMIFS(OjZins,OjJahr,$B24))</f>
      </c>
      <c r="G24" s="30">
        <f>IF(15&gt;PrognoseJahre,"",SUMIFS(OjTilgung,OjJahr,$B24))</f>
      </c>
      <c r="H24" s="30">
        <f>IF(15&gt;PrognoseJahre,"",SUMIFS(OjSonder,OjJahr,$B24))</f>
      </c>
      <c r="I24" s="30">
        <f>IF(15&gt;PrognoseJahre,"",SUMIFS(OjErsatz,OjJahr,$B24))</f>
      </c>
      <c r="J24" s="30">
        <f>IF(15&gt;PrognoseJahre,"",SUMIFS(OjKapitaldienst,OjJahr,$B24))</f>
      </c>
      <c r="K24" s="30">
        <f>IF(15&gt;PrognoseJahre,"",SUMIFS(OjAfa,OjJahr,$B24))</f>
      </c>
      <c r="L24" s="30">
        <f>IF(15&gt;PrognoseJahre,"",SUMIFS(OjEinkuenfte,OjJahr,$B24))</f>
      </c>
      <c r="M24" s="30">
        <f>IF(15&gt;PrognoseJahre,"",SUMIFS(OjSteuer,OjJahr,$B24))</f>
      </c>
      <c r="N24" s="30">
        <f>IF(15&gt;PrognoseJahre,"",SUMIFS(OjCfVor,OjJahr,$B24))</f>
      </c>
      <c r="O24" s="30">
        <f>IF(15&gt;PrognoseJahre,"",SUMIFS(OjCfNach,OjJahr,$B24))</f>
      </c>
      <c r="P24" s="30">
        <f>IF(15&gt;PrognoseJahre,"",$P23+$N24)</f>
      </c>
      <c r="Q24" s="30">
        <f>IF(15&gt;PrognoseJahre,"",$Q23+$O24)</f>
      </c>
      <c r="R24" s="30">
        <f>IF(15&gt;PrognoseJahre,"",SUMIFS(OjWert,OjJahr,$B24))</f>
      </c>
      <c r="S24" s="30">
        <f>IF(15&gt;PrognoseJahre,"",SUMIFS(OjRest,OjJahr,$B24))</f>
      </c>
      <c r="T24" s="30">
        <f>IF(15&gt;PrognoseJahre,"",SUMIFS(OjGuthaben,OjJahr,$B24))</f>
      </c>
      <c r="U24" s="30">
        <f>IF(15&gt;PrognoseJahre,"",$R24-$S24+$T24)</f>
      </c>
      <c r="V24" s="34">
        <f>IF(15&gt;PrognoseJahre,"",IF($R24=0,0,$S24/$R24*100))</f>
      </c>
      <c r="W24" s="31">
        <f>IF(15&gt;PrognoseJahre,"",IF(SUM(IstEkEingesetzt)=0,0,$N24/SUM(IstEkEingesetzt)*100))</f>
      </c>
      <c r="X24" s="31">
        <f>IF(15&gt;PrognoseJahre,"",IF(SUM(IstEkEingesetzt)=0,0,$O24/SUM(IstEkEingesetzt)*100))</f>
      </c>
    </row>
    <row r="25">
      <c r="A25"/>
      <c r="B25" s="46">
        <f>IF(16&gt;PrognoseJahre,"",Jahr+16)</f>
      </c>
      <c r="C25" s="30">
        <f>IF(16&gt;PrognoseJahre,"",SUMIFS(OjMiete,OjJahr,$B25))</f>
      </c>
      <c r="D25" s="30">
        <f>IF(16&gt;PrognoseJahre,"",SUMIFS(OjBewirt,OjJahr,$B25))</f>
      </c>
      <c r="E25" s="30">
        <f>IF(16&gt;PrognoseJahre,"",SUMIFS(OjInstand,OjJahr,$B25))</f>
      </c>
      <c r="F25" s="30">
        <f>IF(16&gt;PrognoseJahre,"",SUMIFS(OjZins,OjJahr,$B25))</f>
      </c>
      <c r="G25" s="30">
        <f>IF(16&gt;PrognoseJahre,"",SUMIFS(OjTilgung,OjJahr,$B25))</f>
      </c>
      <c r="H25" s="30">
        <f>IF(16&gt;PrognoseJahre,"",SUMIFS(OjSonder,OjJahr,$B25))</f>
      </c>
      <c r="I25" s="30">
        <f>IF(16&gt;PrognoseJahre,"",SUMIFS(OjErsatz,OjJahr,$B25))</f>
      </c>
      <c r="J25" s="30">
        <f>IF(16&gt;PrognoseJahre,"",SUMIFS(OjKapitaldienst,OjJahr,$B25))</f>
      </c>
      <c r="K25" s="30">
        <f>IF(16&gt;PrognoseJahre,"",SUMIFS(OjAfa,OjJahr,$B25))</f>
      </c>
      <c r="L25" s="30">
        <f>IF(16&gt;PrognoseJahre,"",SUMIFS(OjEinkuenfte,OjJahr,$B25))</f>
      </c>
      <c r="M25" s="30">
        <f>IF(16&gt;PrognoseJahre,"",SUMIFS(OjSteuer,OjJahr,$B25))</f>
      </c>
      <c r="N25" s="30">
        <f>IF(16&gt;PrognoseJahre,"",SUMIFS(OjCfVor,OjJahr,$B25))</f>
      </c>
      <c r="O25" s="30">
        <f>IF(16&gt;PrognoseJahre,"",SUMIFS(OjCfNach,OjJahr,$B25))</f>
      </c>
      <c r="P25" s="30">
        <f>IF(16&gt;PrognoseJahre,"",$P24+$N25)</f>
      </c>
      <c r="Q25" s="30">
        <f>IF(16&gt;PrognoseJahre,"",$Q24+$O25)</f>
      </c>
      <c r="R25" s="30">
        <f>IF(16&gt;PrognoseJahre,"",SUMIFS(OjWert,OjJahr,$B25))</f>
      </c>
      <c r="S25" s="30">
        <f>IF(16&gt;PrognoseJahre,"",SUMIFS(OjRest,OjJahr,$B25))</f>
      </c>
      <c r="T25" s="30">
        <f>IF(16&gt;PrognoseJahre,"",SUMIFS(OjGuthaben,OjJahr,$B25))</f>
      </c>
      <c r="U25" s="30">
        <f>IF(16&gt;PrognoseJahre,"",$R25-$S25+$T25)</f>
      </c>
      <c r="V25" s="34">
        <f>IF(16&gt;PrognoseJahre,"",IF($R25=0,0,$S25/$R25*100))</f>
      </c>
      <c r="W25" s="31">
        <f>IF(16&gt;PrognoseJahre,"",IF(SUM(IstEkEingesetzt)=0,0,$N25/SUM(IstEkEingesetzt)*100))</f>
      </c>
      <c r="X25" s="31">
        <f>IF(16&gt;PrognoseJahre,"",IF(SUM(IstEkEingesetzt)=0,0,$O25/SUM(IstEkEingesetzt)*100))</f>
      </c>
    </row>
    <row r="26">
      <c r="A26"/>
      <c r="B26" s="46">
        <f>IF(17&gt;PrognoseJahre,"",Jahr+17)</f>
      </c>
      <c r="C26" s="30">
        <f>IF(17&gt;PrognoseJahre,"",SUMIFS(OjMiete,OjJahr,$B26))</f>
      </c>
      <c r="D26" s="30">
        <f>IF(17&gt;PrognoseJahre,"",SUMIFS(OjBewirt,OjJahr,$B26))</f>
      </c>
      <c r="E26" s="30">
        <f>IF(17&gt;PrognoseJahre,"",SUMIFS(OjInstand,OjJahr,$B26))</f>
      </c>
      <c r="F26" s="30">
        <f>IF(17&gt;PrognoseJahre,"",SUMIFS(OjZins,OjJahr,$B26))</f>
      </c>
      <c r="G26" s="30">
        <f>IF(17&gt;PrognoseJahre,"",SUMIFS(OjTilgung,OjJahr,$B26))</f>
      </c>
      <c r="H26" s="30">
        <f>IF(17&gt;PrognoseJahre,"",SUMIFS(OjSonder,OjJahr,$B26))</f>
      </c>
      <c r="I26" s="30">
        <f>IF(17&gt;PrognoseJahre,"",SUMIFS(OjErsatz,OjJahr,$B26))</f>
      </c>
      <c r="J26" s="30">
        <f>IF(17&gt;PrognoseJahre,"",SUMIFS(OjKapitaldienst,OjJahr,$B26))</f>
      </c>
      <c r="K26" s="30">
        <f>IF(17&gt;PrognoseJahre,"",SUMIFS(OjAfa,OjJahr,$B26))</f>
      </c>
      <c r="L26" s="30">
        <f>IF(17&gt;PrognoseJahre,"",SUMIFS(OjEinkuenfte,OjJahr,$B26))</f>
      </c>
      <c r="M26" s="30">
        <f>IF(17&gt;PrognoseJahre,"",SUMIFS(OjSteuer,OjJahr,$B26))</f>
      </c>
      <c r="N26" s="30">
        <f>IF(17&gt;PrognoseJahre,"",SUMIFS(OjCfVor,OjJahr,$B26))</f>
      </c>
      <c r="O26" s="30">
        <f>IF(17&gt;PrognoseJahre,"",SUMIFS(OjCfNach,OjJahr,$B26))</f>
      </c>
      <c r="P26" s="30">
        <f>IF(17&gt;PrognoseJahre,"",$P25+$N26)</f>
      </c>
      <c r="Q26" s="30">
        <f>IF(17&gt;PrognoseJahre,"",$Q25+$O26)</f>
      </c>
      <c r="R26" s="30">
        <f>IF(17&gt;PrognoseJahre,"",SUMIFS(OjWert,OjJahr,$B26))</f>
      </c>
      <c r="S26" s="30">
        <f>IF(17&gt;PrognoseJahre,"",SUMIFS(OjRest,OjJahr,$B26))</f>
      </c>
      <c r="T26" s="30">
        <f>IF(17&gt;PrognoseJahre,"",SUMIFS(OjGuthaben,OjJahr,$B26))</f>
      </c>
      <c r="U26" s="30">
        <f>IF(17&gt;PrognoseJahre,"",$R26-$S26+$T26)</f>
      </c>
      <c r="V26" s="34">
        <f>IF(17&gt;PrognoseJahre,"",IF($R26=0,0,$S26/$R26*100))</f>
      </c>
      <c r="W26" s="31">
        <f>IF(17&gt;PrognoseJahre,"",IF(SUM(IstEkEingesetzt)=0,0,$N26/SUM(IstEkEingesetzt)*100))</f>
      </c>
      <c r="X26" s="31">
        <f>IF(17&gt;PrognoseJahre,"",IF(SUM(IstEkEingesetzt)=0,0,$O26/SUM(IstEkEingesetzt)*100))</f>
      </c>
    </row>
    <row r="27">
      <c r="A27"/>
      <c r="B27" s="46">
        <f>IF(18&gt;PrognoseJahre,"",Jahr+18)</f>
      </c>
      <c r="C27" s="30">
        <f>IF(18&gt;PrognoseJahre,"",SUMIFS(OjMiete,OjJahr,$B27))</f>
      </c>
      <c r="D27" s="30">
        <f>IF(18&gt;PrognoseJahre,"",SUMIFS(OjBewirt,OjJahr,$B27))</f>
      </c>
      <c r="E27" s="30">
        <f>IF(18&gt;PrognoseJahre,"",SUMIFS(OjInstand,OjJahr,$B27))</f>
      </c>
      <c r="F27" s="30">
        <f>IF(18&gt;PrognoseJahre,"",SUMIFS(OjZins,OjJahr,$B27))</f>
      </c>
      <c r="G27" s="30">
        <f>IF(18&gt;PrognoseJahre,"",SUMIFS(OjTilgung,OjJahr,$B27))</f>
      </c>
      <c r="H27" s="30">
        <f>IF(18&gt;PrognoseJahre,"",SUMIFS(OjSonder,OjJahr,$B27))</f>
      </c>
      <c r="I27" s="30">
        <f>IF(18&gt;PrognoseJahre,"",SUMIFS(OjErsatz,OjJahr,$B27))</f>
      </c>
      <c r="J27" s="30">
        <f>IF(18&gt;PrognoseJahre,"",SUMIFS(OjKapitaldienst,OjJahr,$B27))</f>
      </c>
      <c r="K27" s="30">
        <f>IF(18&gt;PrognoseJahre,"",SUMIFS(OjAfa,OjJahr,$B27))</f>
      </c>
      <c r="L27" s="30">
        <f>IF(18&gt;PrognoseJahre,"",SUMIFS(OjEinkuenfte,OjJahr,$B27))</f>
      </c>
      <c r="M27" s="30">
        <f>IF(18&gt;PrognoseJahre,"",SUMIFS(OjSteuer,OjJahr,$B27))</f>
      </c>
      <c r="N27" s="30">
        <f>IF(18&gt;PrognoseJahre,"",SUMIFS(OjCfVor,OjJahr,$B27))</f>
      </c>
      <c r="O27" s="30">
        <f>IF(18&gt;PrognoseJahre,"",SUMIFS(OjCfNach,OjJahr,$B27))</f>
      </c>
      <c r="P27" s="30">
        <f>IF(18&gt;PrognoseJahre,"",$P26+$N27)</f>
      </c>
      <c r="Q27" s="30">
        <f>IF(18&gt;PrognoseJahre,"",$Q26+$O27)</f>
      </c>
      <c r="R27" s="30">
        <f>IF(18&gt;PrognoseJahre,"",SUMIFS(OjWert,OjJahr,$B27))</f>
      </c>
      <c r="S27" s="30">
        <f>IF(18&gt;PrognoseJahre,"",SUMIFS(OjRest,OjJahr,$B27))</f>
      </c>
      <c r="T27" s="30">
        <f>IF(18&gt;PrognoseJahre,"",SUMIFS(OjGuthaben,OjJahr,$B27))</f>
      </c>
      <c r="U27" s="30">
        <f>IF(18&gt;PrognoseJahre,"",$R27-$S27+$T27)</f>
      </c>
      <c r="V27" s="34">
        <f>IF(18&gt;PrognoseJahre,"",IF($R27=0,0,$S27/$R27*100))</f>
      </c>
      <c r="W27" s="31">
        <f>IF(18&gt;PrognoseJahre,"",IF(SUM(IstEkEingesetzt)=0,0,$N27/SUM(IstEkEingesetzt)*100))</f>
      </c>
      <c r="X27" s="31">
        <f>IF(18&gt;PrognoseJahre,"",IF(SUM(IstEkEingesetzt)=0,0,$O27/SUM(IstEkEingesetzt)*100))</f>
      </c>
    </row>
    <row r="28">
      <c r="A28"/>
      <c r="B28" s="46">
        <f>IF(19&gt;PrognoseJahre,"",Jahr+19)</f>
      </c>
      <c r="C28" s="30">
        <f>IF(19&gt;PrognoseJahre,"",SUMIFS(OjMiete,OjJahr,$B28))</f>
      </c>
      <c r="D28" s="30">
        <f>IF(19&gt;PrognoseJahre,"",SUMIFS(OjBewirt,OjJahr,$B28))</f>
      </c>
      <c r="E28" s="30">
        <f>IF(19&gt;PrognoseJahre,"",SUMIFS(OjInstand,OjJahr,$B28))</f>
      </c>
      <c r="F28" s="30">
        <f>IF(19&gt;PrognoseJahre,"",SUMIFS(OjZins,OjJahr,$B28))</f>
      </c>
      <c r="G28" s="30">
        <f>IF(19&gt;PrognoseJahre,"",SUMIFS(OjTilgung,OjJahr,$B28))</f>
      </c>
      <c r="H28" s="30">
        <f>IF(19&gt;PrognoseJahre,"",SUMIFS(OjSonder,OjJahr,$B28))</f>
      </c>
      <c r="I28" s="30">
        <f>IF(19&gt;PrognoseJahre,"",SUMIFS(OjErsatz,OjJahr,$B28))</f>
      </c>
      <c r="J28" s="30">
        <f>IF(19&gt;PrognoseJahre,"",SUMIFS(OjKapitaldienst,OjJahr,$B28))</f>
      </c>
      <c r="K28" s="30">
        <f>IF(19&gt;PrognoseJahre,"",SUMIFS(OjAfa,OjJahr,$B28))</f>
      </c>
      <c r="L28" s="30">
        <f>IF(19&gt;PrognoseJahre,"",SUMIFS(OjEinkuenfte,OjJahr,$B28))</f>
      </c>
      <c r="M28" s="30">
        <f>IF(19&gt;PrognoseJahre,"",SUMIFS(OjSteuer,OjJahr,$B28))</f>
      </c>
      <c r="N28" s="30">
        <f>IF(19&gt;PrognoseJahre,"",SUMIFS(OjCfVor,OjJahr,$B28))</f>
      </c>
      <c r="O28" s="30">
        <f>IF(19&gt;PrognoseJahre,"",SUMIFS(OjCfNach,OjJahr,$B28))</f>
      </c>
      <c r="P28" s="30">
        <f>IF(19&gt;PrognoseJahre,"",$P27+$N28)</f>
      </c>
      <c r="Q28" s="30">
        <f>IF(19&gt;PrognoseJahre,"",$Q27+$O28)</f>
      </c>
      <c r="R28" s="30">
        <f>IF(19&gt;PrognoseJahre,"",SUMIFS(OjWert,OjJahr,$B28))</f>
      </c>
      <c r="S28" s="30">
        <f>IF(19&gt;PrognoseJahre,"",SUMIFS(OjRest,OjJahr,$B28))</f>
      </c>
      <c r="T28" s="30">
        <f>IF(19&gt;PrognoseJahre,"",SUMIFS(OjGuthaben,OjJahr,$B28))</f>
      </c>
      <c r="U28" s="30">
        <f>IF(19&gt;PrognoseJahre,"",$R28-$S28+$T28)</f>
      </c>
      <c r="V28" s="34">
        <f>IF(19&gt;PrognoseJahre,"",IF($R28=0,0,$S28/$R28*100))</f>
      </c>
      <c r="W28" s="31">
        <f>IF(19&gt;PrognoseJahre,"",IF(SUM(IstEkEingesetzt)=0,0,$N28/SUM(IstEkEingesetzt)*100))</f>
      </c>
      <c r="X28" s="31">
        <f>IF(19&gt;PrognoseJahre,"",IF(SUM(IstEkEingesetzt)=0,0,$O28/SUM(IstEkEingesetzt)*100))</f>
      </c>
    </row>
    <row r="29">
      <c r="A29"/>
      <c r="B29" s="46">
        <f>IF(20&gt;PrognoseJahre,"",Jahr+20)</f>
      </c>
      <c r="C29" s="30">
        <f>IF(20&gt;PrognoseJahre,"",SUMIFS(OjMiete,OjJahr,$B29))</f>
      </c>
      <c r="D29" s="30">
        <f>IF(20&gt;PrognoseJahre,"",SUMIFS(OjBewirt,OjJahr,$B29))</f>
      </c>
      <c r="E29" s="30">
        <f>IF(20&gt;PrognoseJahre,"",SUMIFS(OjInstand,OjJahr,$B29))</f>
      </c>
      <c r="F29" s="30">
        <f>IF(20&gt;PrognoseJahre,"",SUMIFS(OjZins,OjJahr,$B29))</f>
      </c>
      <c r="G29" s="30">
        <f>IF(20&gt;PrognoseJahre,"",SUMIFS(OjTilgung,OjJahr,$B29))</f>
      </c>
      <c r="H29" s="30">
        <f>IF(20&gt;PrognoseJahre,"",SUMIFS(OjSonder,OjJahr,$B29))</f>
      </c>
      <c r="I29" s="30">
        <f>IF(20&gt;PrognoseJahre,"",SUMIFS(OjErsatz,OjJahr,$B29))</f>
      </c>
      <c r="J29" s="30">
        <f>IF(20&gt;PrognoseJahre,"",SUMIFS(OjKapitaldienst,OjJahr,$B29))</f>
      </c>
      <c r="K29" s="30">
        <f>IF(20&gt;PrognoseJahre,"",SUMIFS(OjAfa,OjJahr,$B29))</f>
      </c>
      <c r="L29" s="30">
        <f>IF(20&gt;PrognoseJahre,"",SUMIFS(OjEinkuenfte,OjJahr,$B29))</f>
      </c>
      <c r="M29" s="30">
        <f>IF(20&gt;PrognoseJahre,"",SUMIFS(OjSteuer,OjJahr,$B29))</f>
      </c>
      <c r="N29" s="30">
        <f>IF(20&gt;PrognoseJahre,"",SUMIFS(OjCfVor,OjJahr,$B29))</f>
      </c>
      <c r="O29" s="30">
        <f>IF(20&gt;PrognoseJahre,"",SUMIFS(OjCfNach,OjJahr,$B29))</f>
      </c>
      <c r="P29" s="30">
        <f>IF(20&gt;PrognoseJahre,"",$P28+$N29)</f>
      </c>
      <c r="Q29" s="30">
        <f>IF(20&gt;PrognoseJahre,"",$Q28+$O29)</f>
      </c>
      <c r="R29" s="30">
        <f>IF(20&gt;PrognoseJahre,"",SUMIFS(OjWert,OjJahr,$B29))</f>
      </c>
      <c r="S29" s="30">
        <f>IF(20&gt;PrognoseJahre,"",SUMIFS(OjRest,OjJahr,$B29))</f>
      </c>
      <c r="T29" s="30">
        <f>IF(20&gt;PrognoseJahre,"",SUMIFS(OjGuthaben,OjJahr,$B29))</f>
      </c>
      <c r="U29" s="30">
        <f>IF(20&gt;PrognoseJahre,"",$R29-$S29+$T29)</f>
      </c>
      <c r="V29" s="34">
        <f>IF(20&gt;PrognoseJahre,"",IF($R29=0,0,$S29/$R29*100))</f>
      </c>
      <c r="W29" s="31">
        <f>IF(20&gt;PrognoseJahre,"",IF(SUM(IstEkEingesetzt)=0,0,$N29/SUM(IstEkEingesetzt)*100))</f>
      </c>
      <c r="X29" s="31">
        <f>IF(20&gt;PrognoseJahre,"",IF(SUM(IstEkEingesetzt)=0,0,$O29/SUM(IstEkEingesetzt)*100))</f>
      </c>
    </row>
    <row r="30">
      <c r="A30"/>
      <c r="B30" s="46">
        <f>IF(21&gt;PrognoseJahre,"",Jahr+21)</f>
      </c>
      <c r="C30" s="30">
        <f>IF(21&gt;PrognoseJahre,"",SUMIFS(OjMiete,OjJahr,$B30))</f>
      </c>
      <c r="D30" s="30">
        <f>IF(21&gt;PrognoseJahre,"",SUMIFS(OjBewirt,OjJahr,$B30))</f>
      </c>
      <c r="E30" s="30">
        <f>IF(21&gt;PrognoseJahre,"",SUMIFS(OjInstand,OjJahr,$B30))</f>
      </c>
      <c r="F30" s="30">
        <f>IF(21&gt;PrognoseJahre,"",SUMIFS(OjZins,OjJahr,$B30))</f>
      </c>
      <c r="G30" s="30">
        <f>IF(21&gt;PrognoseJahre,"",SUMIFS(OjTilgung,OjJahr,$B30))</f>
      </c>
      <c r="H30" s="30">
        <f>IF(21&gt;PrognoseJahre,"",SUMIFS(OjSonder,OjJahr,$B30))</f>
      </c>
      <c r="I30" s="30">
        <f>IF(21&gt;PrognoseJahre,"",SUMIFS(OjErsatz,OjJahr,$B30))</f>
      </c>
      <c r="J30" s="30">
        <f>IF(21&gt;PrognoseJahre,"",SUMIFS(OjKapitaldienst,OjJahr,$B30))</f>
      </c>
      <c r="K30" s="30">
        <f>IF(21&gt;PrognoseJahre,"",SUMIFS(OjAfa,OjJahr,$B30))</f>
      </c>
      <c r="L30" s="30">
        <f>IF(21&gt;PrognoseJahre,"",SUMIFS(OjEinkuenfte,OjJahr,$B30))</f>
      </c>
      <c r="M30" s="30">
        <f>IF(21&gt;PrognoseJahre,"",SUMIFS(OjSteuer,OjJahr,$B30))</f>
      </c>
      <c r="N30" s="30">
        <f>IF(21&gt;PrognoseJahre,"",SUMIFS(OjCfVor,OjJahr,$B30))</f>
      </c>
      <c r="O30" s="30">
        <f>IF(21&gt;PrognoseJahre,"",SUMIFS(OjCfNach,OjJahr,$B30))</f>
      </c>
      <c r="P30" s="30">
        <f>IF(21&gt;PrognoseJahre,"",$P29+$N30)</f>
      </c>
      <c r="Q30" s="30">
        <f>IF(21&gt;PrognoseJahre,"",$Q29+$O30)</f>
      </c>
      <c r="R30" s="30">
        <f>IF(21&gt;PrognoseJahre,"",SUMIFS(OjWert,OjJahr,$B30))</f>
      </c>
      <c r="S30" s="30">
        <f>IF(21&gt;PrognoseJahre,"",SUMIFS(OjRest,OjJahr,$B30))</f>
      </c>
      <c r="T30" s="30">
        <f>IF(21&gt;PrognoseJahre,"",SUMIFS(OjGuthaben,OjJahr,$B30))</f>
      </c>
      <c r="U30" s="30">
        <f>IF(21&gt;PrognoseJahre,"",$R30-$S30+$T30)</f>
      </c>
      <c r="V30" s="34">
        <f>IF(21&gt;PrognoseJahre,"",IF($R30=0,0,$S30/$R30*100))</f>
      </c>
      <c r="W30" s="31">
        <f>IF(21&gt;PrognoseJahre,"",IF(SUM(IstEkEingesetzt)=0,0,$N30/SUM(IstEkEingesetzt)*100))</f>
      </c>
      <c r="X30" s="31">
        <f>IF(21&gt;PrognoseJahre,"",IF(SUM(IstEkEingesetzt)=0,0,$O30/SUM(IstEkEingesetzt)*100))</f>
      </c>
    </row>
    <row r="31">
      <c r="A31"/>
      <c r="B31" s="46">
        <f>IF(22&gt;PrognoseJahre,"",Jahr+22)</f>
      </c>
      <c r="C31" s="30">
        <f>IF(22&gt;PrognoseJahre,"",SUMIFS(OjMiete,OjJahr,$B31))</f>
      </c>
      <c r="D31" s="30">
        <f>IF(22&gt;PrognoseJahre,"",SUMIFS(OjBewirt,OjJahr,$B31))</f>
      </c>
      <c r="E31" s="30">
        <f>IF(22&gt;PrognoseJahre,"",SUMIFS(OjInstand,OjJahr,$B31))</f>
      </c>
      <c r="F31" s="30">
        <f>IF(22&gt;PrognoseJahre,"",SUMIFS(OjZins,OjJahr,$B31))</f>
      </c>
      <c r="G31" s="30">
        <f>IF(22&gt;PrognoseJahre,"",SUMIFS(OjTilgung,OjJahr,$B31))</f>
      </c>
      <c r="H31" s="30">
        <f>IF(22&gt;PrognoseJahre,"",SUMIFS(OjSonder,OjJahr,$B31))</f>
      </c>
      <c r="I31" s="30">
        <f>IF(22&gt;PrognoseJahre,"",SUMIFS(OjErsatz,OjJahr,$B31))</f>
      </c>
      <c r="J31" s="30">
        <f>IF(22&gt;PrognoseJahre,"",SUMIFS(OjKapitaldienst,OjJahr,$B31))</f>
      </c>
      <c r="K31" s="30">
        <f>IF(22&gt;PrognoseJahre,"",SUMIFS(OjAfa,OjJahr,$B31))</f>
      </c>
      <c r="L31" s="30">
        <f>IF(22&gt;PrognoseJahre,"",SUMIFS(OjEinkuenfte,OjJahr,$B31))</f>
      </c>
      <c r="M31" s="30">
        <f>IF(22&gt;PrognoseJahre,"",SUMIFS(OjSteuer,OjJahr,$B31))</f>
      </c>
      <c r="N31" s="30">
        <f>IF(22&gt;PrognoseJahre,"",SUMIFS(OjCfVor,OjJahr,$B31))</f>
      </c>
      <c r="O31" s="30">
        <f>IF(22&gt;PrognoseJahre,"",SUMIFS(OjCfNach,OjJahr,$B31))</f>
      </c>
      <c r="P31" s="30">
        <f>IF(22&gt;PrognoseJahre,"",$P30+$N31)</f>
      </c>
      <c r="Q31" s="30">
        <f>IF(22&gt;PrognoseJahre,"",$Q30+$O31)</f>
      </c>
      <c r="R31" s="30">
        <f>IF(22&gt;PrognoseJahre,"",SUMIFS(OjWert,OjJahr,$B31))</f>
      </c>
      <c r="S31" s="30">
        <f>IF(22&gt;PrognoseJahre,"",SUMIFS(OjRest,OjJahr,$B31))</f>
      </c>
      <c r="T31" s="30">
        <f>IF(22&gt;PrognoseJahre,"",SUMIFS(OjGuthaben,OjJahr,$B31))</f>
      </c>
      <c r="U31" s="30">
        <f>IF(22&gt;PrognoseJahre,"",$R31-$S31+$T31)</f>
      </c>
      <c r="V31" s="34">
        <f>IF(22&gt;PrognoseJahre,"",IF($R31=0,0,$S31/$R31*100))</f>
      </c>
      <c r="W31" s="31">
        <f>IF(22&gt;PrognoseJahre,"",IF(SUM(IstEkEingesetzt)=0,0,$N31/SUM(IstEkEingesetzt)*100))</f>
      </c>
      <c r="X31" s="31">
        <f>IF(22&gt;PrognoseJahre,"",IF(SUM(IstEkEingesetzt)=0,0,$O31/SUM(IstEkEingesetzt)*100))</f>
      </c>
    </row>
    <row r="32">
      <c r="A32"/>
      <c r="B32" s="46">
        <f>IF(23&gt;PrognoseJahre,"",Jahr+23)</f>
      </c>
      <c r="C32" s="30">
        <f>IF(23&gt;PrognoseJahre,"",SUMIFS(OjMiete,OjJahr,$B32))</f>
      </c>
      <c r="D32" s="30">
        <f>IF(23&gt;PrognoseJahre,"",SUMIFS(OjBewirt,OjJahr,$B32))</f>
      </c>
      <c r="E32" s="30">
        <f>IF(23&gt;PrognoseJahre,"",SUMIFS(OjInstand,OjJahr,$B32))</f>
      </c>
      <c r="F32" s="30">
        <f>IF(23&gt;PrognoseJahre,"",SUMIFS(OjZins,OjJahr,$B32))</f>
      </c>
      <c r="G32" s="30">
        <f>IF(23&gt;PrognoseJahre,"",SUMIFS(OjTilgung,OjJahr,$B32))</f>
      </c>
      <c r="H32" s="30">
        <f>IF(23&gt;PrognoseJahre,"",SUMIFS(OjSonder,OjJahr,$B32))</f>
      </c>
      <c r="I32" s="30">
        <f>IF(23&gt;PrognoseJahre,"",SUMIFS(OjErsatz,OjJahr,$B32))</f>
      </c>
      <c r="J32" s="30">
        <f>IF(23&gt;PrognoseJahre,"",SUMIFS(OjKapitaldienst,OjJahr,$B32))</f>
      </c>
      <c r="K32" s="30">
        <f>IF(23&gt;PrognoseJahre,"",SUMIFS(OjAfa,OjJahr,$B32))</f>
      </c>
      <c r="L32" s="30">
        <f>IF(23&gt;PrognoseJahre,"",SUMIFS(OjEinkuenfte,OjJahr,$B32))</f>
      </c>
      <c r="M32" s="30">
        <f>IF(23&gt;PrognoseJahre,"",SUMIFS(OjSteuer,OjJahr,$B32))</f>
      </c>
      <c r="N32" s="30">
        <f>IF(23&gt;PrognoseJahre,"",SUMIFS(OjCfVor,OjJahr,$B32))</f>
      </c>
      <c r="O32" s="30">
        <f>IF(23&gt;PrognoseJahre,"",SUMIFS(OjCfNach,OjJahr,$B32))</f>
      </c>
      <c r="P32" s="30">
        <f>IF(23&gt;PrognoseJahre,"",$P31+$N32)</f>
      </c>
      <c r="Q32" s="30">
        <f>IF(23&gt;PrognoseJahre,"",$Q31+$O32)</f>
      </c>
      <c r="R32" s="30">
        <f>IF(23&gt;PrognoseJahre,"",SUMIFS(OjWert,OjJahr,$B32))</f>
      </c>
      <c r="S32" s="30">
        <f>IF(23&gt;PrognoseJahre,"",SUMIFS(OjRest,OjJahr,$B32))</f>
      </c>
      <c r="T32" s="30">
        <f>IF(23&gt;PrognoseJahre,"",SUMIFS(OjGuthaben,OjJahr,$B32))</f>
      </c>
      <c r="U32" s="30">
        <f>IF(23&gt;PrognoseJahre,"",$R32-$S32+$T32)</f>
      </c>
      <c r="V32" s="34">
        <f>IF(23&gt;PrognoseJahre,"",IF($R32=0,0,$S32/$R32*100))</f>
      </c>
      <c r="W32" s="31">
        <f>IF(23&gt;PrognoseJahre,"",IF(SUM(IstEkEingesetzt)=0,0,$N32/SUM(IstEkEingesetzt)*100))</f>
      </c>
      <c r="X32" s="31">
        <f>IF(23&gt;PrognoseJahre,"",IF(SUM(IstEkEingesetzt)=0,0,$O32/SUM(IstEkEingesetzt)*100))</f>
      </c>
    </row>
    <row r="33">
      <c r="A33"/>
      <c r="B33" s="46">
        <f>IF(24&gt;PrognoseJahre,"",Jahr+24)</f>
      </c>
      <c r="C33" s="30">
        <f>IF(24&gt;PrognoseJahre,"",SUMIFS(OjMiete,OjJahr,$B33))</f>
      </c>
      <c r="D33" s="30">
        <f>IF(24&gt;PrognoseJahre,"",SUMIFS(OjBewirt,OjJahr,$B33))</f>
      </c>
      <c r="E33" s="30">
        <f>IF(24&gt;PrognoseJahre,"",SUMIFS(OjInstand,OjJahr,$B33))</f>
      </c>
      <c r="F33" s="30">
        <f>IF(24&gt;PrognoseJahre,"",SUMIFS(OjZins,OjJahr,$B33))</f>
      </c>
      <c r="G33" s="30">
        <f>IF(24&gt;PrognoseJahre,"",SUMIFS(OjTilgung,OjJahr,$B33))</f>
      </c>
      <c r="H33" s="30">
        <f>IF(24&gt;PrognoseJahre,"",SUMIFS(OjSonder,OjJahr,$B33))</f>
      </c>
      <c r="I33" s="30">
        <f>IF(24&gt;PrognoseJahre,"",SUMIFS(OjErsatz,OjJahr,$B33))</f>
      </c>
      <c r="J33" s="30">
        <f>IF(24&gt;PrognoseJahre,"",SUMIFS(OjKapitaldienst,OjJahr,$B33))</f>
      </c>
      <c r="K33" s="30">
        <f>IF(24&gt;PrognoseJahre,"",SUMIFS(OjAfa,OjJahr,$B33))</f>
      </c>
      <c r="L33" s="30">
        <f>IF(24&gt;PrognoseJahre,"",SUMIFS(OjEinkuenfte,OjJahr,$B33))</f>
      </c>
      <c r="M33" s="30">
        <f>IF(24&gt;PrognoseJahre,"",SUMIFS(OjSteuer,OjJahr,$B33))</f>
      </c>
      <c r="N33" s="30">
        <f>IF(24&gt;PrognoseJahre,"",SUMIFS(OjCfVor,OjJahr,$B33))</f>
      </c>
      <c r="O33" s="30">
        <f>IF(24&gt;PrognoseJahre,"",SUMIFS(OjCfNach,OjJahr,$B33))</f>
      </c>
      <c r="P33" s="30">
        <f>IF(24&gt;PrognoseJahre,"",$P32+$N33)</f>
      </c>
      <c r="Q33" s="30">
        <f>IF(24&gt;PrognoseJahre,"",$Q32+$O33)</f>
      </c>
      <c r="R33" s="30">
        <f>IF(24&gt;PrognoseJahre,"",SUMIFS(OjWert,OjJahr,$B33))</f>
      </c>
      <c r="S33" s="30">
        <f>IF(24&gt;PrognoseJahre,"",SUMIFS(OjRest,OjJahr,$B33))</f>
      </c>
      <c r="T33" s="30">
        <f>IF(24&gt;PrognoseJahre,"",SUMIFS(OjGuthaben,OjJahr,$B33))</f>
      </c>
      <c r="U33" s="30">
        <f>IF(24&gt;PrognoseJahre,"",$R33-$S33+$T33)</f>
      </c>
      <c r="V33" s="34">
        <f>IF(24&gt;PrognoseJahre,"",IF($R33=0,0,$S33/$R33*100))</f>
      </c>
      <c r="W33" s="31">
        <f>IF(24&gt;PrognoseJahre,"",IF(SUM(IstEkEingesetzt)=0,0,$N33/SUM(IstEkEingesetzt)*100))</f>
      </c>
      <c r="X33" s="31">
        <f>IF(24&gt;PrognoseJahre,"",IF(SUM(IstEkEingesetzt)=0,0,$O33/SUM(IstEkEingesetzt)*100))</f>
      </c>
    </row>
    <row r="34">
      <c r="A34"/>
      <c r="B34" s="46">
        <f>IF(25&gt;PrognoseJahre,"",Jahr+25)</f>
      </c>
      <c r="C34" s="30">
        <f>IF(25&gt;PrognoseJahre,"",SUMIFS(OjMiete,OjJahr,$B34))</f>
      </c>
      <c r="D34" s="30">
        <f>IF(25&gt;PrognoseJahre,"",SUMIFS(OjBewirt,OjJahr,$B34))</f>
      </c>
      <c r="E34" s="30">
        <f>IF(25&gt;PrognoseJahre,"",SUMIFS(OjInstand,OjJahr,$B34))</f>
      </c>
      <c r="F34" s="30">
        <f>IF(25&gt;PrognoseJahre,"",SUMIFS(OjZins,OjJahr,$B34))</f>
      </c>
      <c r="G34" s="30">
        <f>IF(25&gt;PrognoseJahre,"",SUMIFS(OjTilgung,OjJahr,$B34))</f>
      </c>
      <c r="H34" s="30">
        <f>IF(25&gt;PrognoseJahre,"",SUMIFS(OjSonder,OjJahr,$B34))</f>
      </c>
      <c r="I34" s="30">
        <f>IF(25&gt;PrognoseJahre,"",SUMIFS(OjErsatz,OjJahr,$B34))</f>
      </c>
      <c r="J34" s="30">
        <f>IF(25&gt;PrognoseJahre,"",SUMIFS(OjKapitaldienst,OjJahr,$B34))</f>
      </c>
      <c r="K34" s="30">
        <f>IF(25&gt;PrognoseJahre,"",SUMIFS(OjAfa,OjJahr,$B34))</f>
      </c>
      <c r="L34" s="30">
        <f>IF(25&gt;PrognoseJahre,"",SUMIFS(OjEinkuenfte,OjJahr,$B34))</f>
      </c>
      <c r="M34" s="30">
        <f>IF(25&gt;PrognoseJahre,"",SUMIFS(OjSteuer,OjJahr,$B34))</f>
      </c>
      <c r="N34" s="30">
        <f>IF(25&gt;PrognoseJahre,"",SUMIFS(OjCfVor,OjJahr,$B34))</f>
      </c>
      <c r="O34" s="30">
        <f>IF(25&gt;PrognoseJahre,"",SUMIFS(OjCfNach,OjJahr,$B34))</f>
      </c>
      <c r="P34" s="30">
        <f>IF(25&gt;PrognoseJahre,"",$P33+$N34)</f>
      </c>
      <c r="Q34" s="30">
        <f>IF(25&gt;PrognoseJahre,"",$Q33+$O34)</f>
      </c>
      <c r="R34" s="30">
        <f>IF(25&gt;PrognoseJahre,"",SUMIFS(OjWert,OjJahr,$B34))</f>
      </c>
      <c r="S34" s="30">
        <f>IF(25&gt;PrognoseJahre,"",SUMIFS(OjRest,OjJahr,$B34))</f>
      </c>
      <c r="T34" s="30">
        <f>IF(25&gt;PrognoseJahre,"",SUMIFS(OjGuthaben,OjJahr,$B34))</f>
      </c>
      <c r="U34" s="30">
        <f>IF(25&gt;PrognoseJahre,"",$R34-$S34+$T34)</f>
      </c>
      <c r="V34" s="34">
        <f>IF(25&gt;PrognoseJahre,"",IF($R34=0,0,$S34/$R34*100))</f>
      </c>
      <c r="W34" s="31">
        <f>IF(25&gt;PrognoseJahre,"",IF(SUM(IstEkEingesetzt)=0,0,$N34/SUM(IstEkEingesetzt)*100))</f>
      </c>
      <c r="X34" s="31">
        <f>IF(25&gt;PrognoseJahre,"",IF(SUM(IstEkEingesetzt)=0,0,$O34/SUM(IstEkEingesetzt)*100))</f>
      </c>
    </row>
    <row r="35">
      <c r="A35"/>
      <c r="B35" s="46">
        <f>IF(26&gt;PrognoseJahre,"",Jahr+26)</f>
      </c>
      <c r="C35" s="30">
        <f>IF(26&gt;PrognoseJahre,"",SUMIFS(OjMiete,OjJahr,$B35))</f>
      </c>
      <c r="D35" s="30">
        <f>IF(26&gt;PrognoseJahre,"",SUMIFS(OjBewirt,OjJahr,$B35))</f>
      </c>
      <c r="E35" s="30">
        <f>IF(26&gt;PrognoseJahre,"",SUMIFS(OjInstand,OjJahr,$B35))</f>
      </c>
      <c r="F35" s="30">
        <f>IF(26&gt;PrognoseJahre,"",SUMIFS(OjZins,OjJahr,$B35))</f>
      </c>
      <c r="G35" s="30">
        <f>IF(26&gt;PrognoseJahre,"",SUMIFS(OjTilgung,OjJahr,$B35))</f>
      </c>
      <c r="H35" s="30">
        <f>IF(26&gt;PrognoseJahre,"",SUMIFS(OjSonder,OjJahr,$B35))</f>
      </c>
      <c r="I35" s="30">
        <f>IF(26&gt;PrognoseJahre,"",SUMIFS(OjErsatz,OjJahr,$B35))</f>
      </c>
      <c r="J35" s="30">
        <f>IF(26&gt;PrognoseJahre,"",SUMIFS(OjKapitaldienst,OjJahr,$B35))</f>
      </c>
      <c r="K35" s="30">
        <f>IF(26&gt;PrognoseJahre,"",SUMIFS(OjAfa,OjJahr,$B35))</f>
      </c>
      <c r="L35" s="30">
        <f>IF(26&gt;PrognoseJahre,"",SUMIFS(OjEinkuenfte,OjJahr,$B35))</f>
      </c>
      <c r="M35" s="30">
        <f>IF(26&gt;PrognoseJahre,"",SUMIFS(OjSteuer,OjJahr,$B35))</f>
      </c>
      <c r="N35" s="30">
        <f>IF(26&gt;PrognoseJahre,"",SUMIFS(OjCfVor,OjJahr,$B35))</f>
      </c>
      <c r="O35" s="30">
        <f>IF(26&gt;PrognoseJahre,"",SUMIFS(OjCfNach,OjJahr,$B35))</f>
      </c>
      <c r="P35" s="30">
        <f>IF(26&gt;PrognoseJahre,"",$P34+$N35)</f>
      </c>
      <c r="Q35" s="30">
        <f>IF(26&gt;PrognoseJahre,"",$Q34+$O35)</f>
      </c>
      <c r="R35" s="30">
        <f>IF(26&gt;PrognoseJahre,"",SUMIFS(OjWert,OjJahr,$B35))</f>
      </c>
      <c r="S35" s="30">
        <f>IF(26&gt;PrognoseJahre,"",SUMIFS(OjRest,OjJahr,$B35))</f>
      </c>
      <c r="T35" s="30">
        <f>IF(26&gt;PrognoseJahre,"",SUMIFS(OjGuthaben,OjJahr,$B35))</f>
      </c>
      <c r="U35" s="30">
        <f>IF(26&gt;PrognoseJahre,"",$R35-$S35+$T35)</f>
      </c>
      <c r="V35" s="34">
        <f>IF(26&gt;PrognoseJahre,"",IF($R35=0,0,$S35/$R35*100))</f>
      </c>
      <c r="W35" s="31">
        <f>IF(26&gt;PrognoseJahre,"",IF(SUM(IstEkEingesetzt)=0,0,$N35/SUM(IstEkEingesetzt)*100))</f>
      </c>
      <c r="X35" s="31">
        <f>IF(26&gt;PrognoseJahre,"",IF(SUM(IstEkEingesetzt)=0,0,$O35/SUM(IstEkEingesetzt)*100))</f>
      </c>
    </row>
    <row r="36">
      <c r="A36"/>
      <c r="B36" s="46">
        <f>IF(27&gt;PrognoseJahre,"",Jahr+27)</f>
      </c>
      <c r="C36" s="30">
        <f>IF(27&gt;PrognoseJahre,"",SUMIFS(OjMiete,OjJahr,$B36))</f>
      </c>
      <c r="D36" s="30">
        <f>IF(27&gt;PrognoseJahre,"",SUMIFS(OjBewirt,OjJahr,$B36))</f>
      </c>
      <c r="E36" s="30">
        <f>IF(27&gt;PrognoseJahre,"",SUMIFS(OjInstand,OjJahr,$B36))</f>
      </c>
      <c r="F36" s="30">
        <f>IF(27&gt;PrognoseJahre,"",SUMIFS(OjZins,OjJahr,$B36))</f>
      </c>
      <c r="G36" s="30">
        <f>IF(27&gt;PrognoseJahre,"",SUMIFS(OjTilgung,OjJahr,$B36))</f>
      </c>
      <c r="H36" s="30">
        <f>IF(27&gt;PrognoseJahre,"",SUMIFS(OjSonder,OjJahr,$B36))</f>
      </c>
      <c r="I36" s="30">
        <f>IF(27&gt;PrognoseJahre,"",SUMIFS(OjErsatz,OjJahr,$B36))</f>
      </c>
      <c r="J36" s="30">
        <f>IF(27&gt;PrognoseJahre,"",SUMIFS(OjKapitaldienst,OjJahr,$B36))</f>
      </c>
      <c r="K36" s="30">
        <f>IF(27&gt;PrognoseJahre,"",SUMIFS(OjAfa,OjJahr,$B36))</f>
      </c>
      <c r="L36" s="30">
        <f>IF(27&gt;PrognoseJahre,"",SUMIFS(OjEinkuenfte,OjJahr,$B36))</f>
      </c>
      <c r="M36" s="30">
        <f>IF(27&gt;PrognoseJahre,"",SUMIFS(OjSteuer,OjJahr,$B36))</f>
      </c>
      <c r="N36" s="30">
        <f>IF(27&gt;PrognoseJahre,"",SUMIFS(OjCfVor,OjJahr,$B36))</f>
      </c>
      <c r="O36" s="30">
        <f>IF(27&gt;PrognoseJahre,"",SUMIFS(OjCfNach,OjJahr,$B36))</f>
      </c>
      <c r="P36" s="30">
        <f>IF(27&gt;PrognoseJahre,"",$P35+$N36)</f>
      </c>
      <c r="Q36" s="30">
        <f>IF(27&gt;PrognoseJahre,"",$Q35+$O36)</f>
      </c>
      <c r="R36" s="30">
        <f>IF(27&gt;PrognoseJahre,"",SUMIFS(OjWert,OjJahr,$B36))</f>
      </c>
      <c r="S36" s="30">
        <f>IF(27&gt;PrognoseJahre,"",SUMIFS(OjRest,OjJahr,$B36))</f>
      </c>
      <c r="T36" s="30">
        <f>IF(27&gt;PrognoseJahre,"",SUMIFS(OjGuthaben,OjJahr,$B36))</f>
      </c>
      <c r="U36" s="30">
        <f>IF(27&gt;PrognoseJahre,"",$R36-$S36+$T36)</f>
      </c>
      <c r="V36" s="34">
        <f>IF(27&gt;PrognoseJahre,"",IF($R36=0,0,$S36/$R36*100))</f>
      </c>
      <c r="W36" s="31">
        <f>IF(27&gt;PrognoseJahre,"",IF(SUM(IstEkEingesetzt)=0,0,$N36/SUM(IstEkEingesetzt)*100))</f>
      </c>
      <c r="X36" s="31">
        <f>IF(27&gt;PrognoseJahre,"",IF(SUM(IstEkEingesetzt)=0,0,$O36/SUM(IstEkEingesetzt)*100))</f>
      </c>
    </row>
    <row r="37">
      <c r="A37"/>
      <c r="B37" s="46">
        <f>IF(28&gt;PrognoseJahre,"",Jahr+28)</f>
      </c>
      <c r="C37" s="30">
        <f>IF(28&gt;PrognoseJahre,"",SUMIFS(OjMiete,OjJahr,$B37))</f>
      </c>
      <c r="D37" s="30">
        <f>IF(28&gt;PrognoseJahre,"",SUMIFS(OjBewirt,OjJahr,$B37))</f>
      </c>
      <c r="E37" s="30">
        <f>IF(28&gt;PrognoseJahre,"",SUMIFS(OjInstand,OjJahr,$B37))</f>
      </c>
      <c r="F37" s="30">
        <f>IF(28&gt;PrognoseJahre,"",SUMIFS(OjZins,OjJahr,$B37))</f>
      </c>
      <c r="G37" s="30">
        <f>IF(28&gt;PrognoseJahre,"",SUMIFS(OjTilgung,OjJahr,$B37))</f>
      </c>
      <c r="H37" s="30">
        <f>IF(28&gt;PrognoseJahre,"",SUMIFS(OjSonder,OjJahr,$B37))</f>
      </c>
      <c r="I37" s="30">
        <f>IF(28&gt;PrognoseJahre,"",SUMIFS(OjErsatz,OjJahr,$B37))</f>
      </c>
      <c r="J37" s="30">
        <f>IF(28&gt;PrognoseJahre,"",SUMIFS(OjKapitaldienst,OjJahr,$B37))</f>
      </c>
      <c r="K37" s="30">
        <f>IF(28&gt;PrognoseJahre,"",SUMIFS(OjAfa,OjJahr,$B37))</f>
      </c>
      <c r="L37" s="30">
        <f>IF(28&gt;PrognoseJahre,"",SUMIFS(OjEinkuenfte,OjJahr,$B37))</f>
      </c>
      <c r="M37" s="30">
        <f>IF(28&gt;PrognoseJahre,"",SUMIFS(OjSteuer,OjJahr,$B37))</f>
      </c>
      <c r="N37" s="30">
        <f>IF(28&gt;PrognoseJahre,"",SUMIFS(OjCfVor,OjJahr,$B37))</f>
      </c>
      <c r="O37" s="30">
        <f>IF(28&gt;PrognoseJahre,"",SUMIFS(OjCfNach,OjJahr,$B37))</f>
      </c>
      <c r="P37" s="30">
        <f>IF(28&gt;PrognoseJahre,"",$P36+$N37)</f>
      </c>
      <c r="Q37" s="30">
        <f>IF(28&gt;PrognoseJahre,"",$Q36+$O37)</f>
      </c>
      <c r="R37" s="30">
        <f>IF(28&gt;PrognoseJahre,"",SUMIFS(OjWert,OjJahr,$B37))</f>
      </c>
      <c r="S37" s="30">
        <f>IF(28&gt;PrognoseJahre,"",SUMIFS(OjRest,OjJahr,$B37))</f>
      </c>
      <c r="T37" s="30">
        <f>IF(28&gt;PrognoseJahre,"",SUMIFS(OjGuthaben,OjJahr,$B37))</f>
      </c>
      <c r="U37" s="30">
        <f>IF(28&gt;PrognoseJahre,"",$R37-$S37+$T37)</f>
      </c>
      <c r="V37" s="34">
        <f>IF(28&gt;PrognoseJahre,"",IF($R37=0,0,$S37/$R37*100))</f>
      </c>
      <c r="W37" s="31">
        <f>IF(28&gt;PrognoseJahre,"",IF(SUM(IstEkEingesetzt)=0,0,$N37/SUM(IstEkEingesetzt)*100))</f>
      </c>
      <c r="X37" s="31">
        <f>IF(28&gt;PrognoseJahre,"",IF(SUM(IstEkEingesetzt)=0,0,$O37/SUM(IstEkEingesetzt)*100))</f>
      </c>
    </row>
    <row r="38">
      <c r="A38"/>
      <c r="B38" s="46">
        <f>IF(29&gt;PrognoseJahre,"",Jahr+29)</f>
      </c>
      <c r="C38" s="30">
        <f>IF(29&gt;PrognoseJahre,"",SUMIFS(OjMiete,OjJahr,$B38))</f>
      </c>
      <c r="D38" s="30">
        <f>IF(29&gt;PrognoseJahre,"",SUMIFS(OjBewirt,OjJahr,$B38))</f>
      </c>
      <c r="E38" s="30">
        <f>IF(29&gt;PrognoseJahre,"",SUMIFS(OjInstand,OjJahr,$B38))</f>
      </c>
      <c r="F38" s="30">
        <f>IF(29&gt;PrognoseJahre,"",SUMIFS(OjZins,OjJahr,$B38))</f>
      </c>
      <c r="G38" s="30">
        <f>IF(29&gt;PrognoseJahre,"",SUMIFS(OjTilgung,OjJahr,$B38))</f>
      </c>
      <c r="H38" s="30">
        <f>IF(29&gt;PrognoseJahre,"",SUMIFS(OjSonder,OjJahr,$B38))</f>
      </c>
      <c r="I38" s="30">
        <f>IF(29&gt;PrognoseJahre,"",SUMIFS(OjErsatz,OjJahr,$B38))</f>
      </c>
      <c r="J38" s="30">
        <f>IF(29&gt;PrognoseJahre,"",SUMIFS(OjKapitaldienst,OjJahr,$B38))</f>
      </c>
      <c r="K38" s="30">
        <f>IF(29&gt;PrognoseJahre,"",SUMIFS(OjAfa,OjJahr,$B38))</f>
      </c>
      <c r="L38" s="30">
        <f>IF(29&gt;PrognoseJahre,"",SUMIFS(OjEinkuenfte,OjJahr,$B38))</f>
      </c>
      <c r="M38" s="30">
        <f>IF(29&gt;PrognoseJahre,"",SUMIFS(OjSteuer,OjJahr,$B38))</f>
      </c>
      <c r="N38" s="30">
        <f>IF(29&gt;PrognoseJahre,"",SUMIFS(OjCfVor,OjJahr,$B38))</f>
      </c>
      <c r="O38" s="30">
        <f>IF(29&gt;PrognoseJahre,"",SUMIFS(OjCfNach,OjJahr,$B38))</f>
      </c>
      <c r="P38" s="30">
        <f>IF(29&gt;PrognoseJahre,"",$P37+$N38)</f>
      </c>
      <c r="Q38" s="30">
        <f>IF(29&gt;PrognoseJahre,"",$Q37+$O38)</f>
      </c>
      <c r="R38" s="30">
        <f>IF(29&gt;PrognoseJahre,"",SUMIFS(OjWert,OjJahr,$B38))</f>
      </c>
      <c r="S38" s="30">
        <f>IF(29&gt;PrognoseJahre,"",SUMIFS(OjRest,OjJahr,$B38))</f>
      </c>
      <c r="T38" s="30">
        <f>IF(29&gt;PrognoseJahre,"",SUMIFS(OjGuthaben,OjJahr,$B38))</f>
      </c>
      <c r="U38" s="30">
        <f>IF(29&gt;PrognoseJahre,"",$R38-$S38+$T38)</f>
      </c>
      <c r="V38" s="34">
        <f>IF(29&gt;PrognoseJahre,"",IF($R38=0,0,$S38/$R38*100))</f>
      </c>
      <c r="W38" s="31">
        <f>IF(29&gt;PrognoseJahre,"",IF(SUM(IstEkEingesetzt)=0,0,$N38/SUM(IstEkEingesetzt)*100))</f>
      </c>
      <c r="X38" s="31">
        <f>IF(29&gt;PrognoseJahre,"",IF(SUM(IstEkEingesetzt)=0,0,$O38/SUM(IstEkEingesetzt)*100))</f>
      </c>
    </row>
    <row r="39">
      <c r="A39"/>
      <c r="B39" s="46">
        <f>IF(30&gt;PrognoseJahre,"",Jahr+30)</f>
      </c>
      <c r="C39" s="30">
        <f>IF(30&gt;PrognoseJahre,"",SUMIFS(OjMiete,OjJahr,$B39))</f>
      </c>
      <c r="D39" s="30">
        <f>IF(30&gt;PrognoseJahre,"",SUMIFS(OjBewirt,OjJahr,$B39))</f>
      </c>
      <c r="E39" s="30">
        <f>IF(30&gt;PrognoseJahre,"",SUMIFS(OjInstand,OjJahr,$B39))</f>
      </c>
      <c r="F39" s="30">
        <f>IF(30&gt;PrognoseJahre,"",SUMIFS(OjZins,OjJahr,$B39))</f>
      </c>
      <c r="G39" s="30">
        <f>IF(30&gt;PrognoseJahre,"",SUMIFS(OjTilgung,OjJahr,$B39))</f>
      </c>
      <c r="H39" s="30">
        <f>IF(30&gt;PrognoseJahre,"",SUMIFS(OjSonder,OjJahr,$B39))</f>
      </c>
      <c r="I39" s="30">
        <f>IF(30&gt;PrognoseJahre,"",SUMIFS(OjErsatz,OjJahr,$B39))</f>
      </c>
      <c r="J39" s="30">
        <f>IF(30&gt;PrognoseJahre,"",SUMIFS(OjKapitaldienst,OjJahr,$B39))</f>
      </c>
      <c r="K39" s="30">
        <f>IF(30&gt;PrognoseJahre,"",SUMIFS(OjAfa,OjJahr,$B39))</f>
      </c>
      <c r="L39" s="30">
        <f>IF(30&gt;PrognoseJahre,"",SUMIFS(OjEinkuenfte,OjJahr,$B39))</f>
      </c>
      <c r="M39" s="30">
        <f>IF(30&gt;PrognoseJahre,"",SUMIFS(OjSteuer,OjJahr,$B39))</f>
      </c>
      <c r="N39" s="30">
        <f>IF(30&gt;PrognoseJahre,"",SUMIFS(OjCfVor,OjJahr,$B39))</f>
      </c>
      <c r="O39" s="30">
        <f>IF(30&gt;PrognoseJahre,"",SUMIFS(OjCfNach,OjJahr,$B39))</f>
      </c>
      <c r="P39" s="30">
        <f>IF(30&gt;PrognoseJahre,"",$P38+$N39)</f>
      </c>
      <c r="Q39" s="30">
        <f>IF(30&gt;PrognoseJahre,"",$Q38+$O39)</f>
      </c>
      <c r="R39" s="30">
        <f>IF(30&gt;PrognoseJahre,"",SUMIFS(OjWert,OjJahr,$B39))</f>
      </c>
      <c r="S39" s="30">
        <f>IF(30&gt;PrognoseJahre,"",SUMIFS(OjRest,OjJahr,$B39))</f>
      </c>
      <c r="T39" s="30">
        <f>IF(30&gt;PrognoseJahre,"",SUMIFS(OjGuthaben,OjJahr,$B39))</f>
      </c>
      <c r="U39" s="30">
        <f>IF(30&gt;PrognoseJahre,"",$R39-$S39+$T39)</f>
      </c>
      <c r="V39" s="34">
        <f>IF(30&gt;PrognoseJahre,"",IF($R39=0,0,$S39/$R39*100))</f>
      </c>
      <c r="W39" s="31">
        <f>IF(30&gt;PrognoseJahre,"",IF(SUM(IstEkEingesetzt)=0,0,$N39/SUM(IstEkEingesetzt)*100))</f>
      </c>
      <c r="X39" s="31">
        <f>IF(30&gt;PrognoseJahre,"",IF(SUM(IstEkEingesetzt)=0,0,$O39/SUM(IstEkEingesetzt)*100))</f>
      </c>
    </row>
    <row r="42">
      <c r="A42"/>
      <c r="B42" s="4">
        <f>IF(OR(VerkaufNach="",VerkaufNach=0),"B · Verkauf – auf dem Blatt Vorgaben eintragen","B · Verkauf im Jahr "&amp;(Jahr+VerkaufNach))</f>
      </c>
    </row>
    <row r="43">
      <c r="A43"/>
      <c r="B43" s="25" t="inlineStr">
        <is>
          <t xml:space="preserve">Objekt</t>
        </is>
      </c>
      <c r="C43" s="24" t="inlineStr">
        <is>
          <t xml:space="preserve">Erlös brutto</t>
        </is>
      </c>
      <c r="D43" s="24" t="inlineStr">
        <is>
          <t xml:space="preserve">Verkaufskosten</t>
        </is>
      </c>
      <c r="E43" s="24" t="inlineStr">
        <is>
          <t xml:space="preserve">Erlös netto</t>
        </is>
      </c>
      <c r="F43" s="24" t="inlineStr">
        <is>
          <t xml:space="preserve">AfA bis dahin</t>
        </is>
      </c>
      <c r="G43" s="24" t="inlineStr">
        <is>
          <t xml:space="preserve">Buchwert</t>
        </is>
      </c>
      <c r="H43" s="24" t="inlineStr">
        <is>
          <t xml:space="preserve">Gewinn</t>
        </is>
      </c>
      <c r="I43" s="24" t="inlineStr">
        <is>
          <t xml:space="preserve">Steuer</t>
        </is>
      </c>
      <c r="J43" s="24" t="inlineStr">
        <is>
          <t xml:space="preserve">Restschuld</t>
        </is>
      </c>
      <c r="K43" s="24" t="inlineStr">
        <is>
          <t xml:space="preserve">bleibt</t>
        </is>
      </c>
    </row>
    <row r="44">
      <c r="A44"/>
      <c r="B44">
        <f>IF(INDEX(ObjBelegt,1)=0,"–",INDEX(ObjBezeichnung,1))</f>
      </c>
      <c r="C44" s="30">
        <f>IF(INDEX(ObjBelegt,1)=0,"",INDEX(VkBrutto,1))</f>
      </c>
      <c r="D44" s="30">
        <f>IF(INDEX(ObjBelegt,1)=0,"",-INDEX(VkKosten,1))</f>
      </c>
      <c r="E44" s="30">
        <f>IF(INDEX(ObjBelegt,1)=0,"",INDEX(VkNetto,1))</f>
      </c>
      <c r="F44" s="30">
        <f>IF(INDEX(ObjBelegt,1)=0,"",INDEX(VkKumAfa,1))</f>
      </c>
      <c r="G44" s="30">
        <f>IF(INDEX(ObjBelegt,1)=0,"",INDEX(VkBuchwert,1))</f>
      </c>
      <c r="H44" s="30">
        <f>IF(INDEX(ObjBelegt,1)=0,"",INDEX(VkGewinn,1))</f>
      </c>
      <c r="I44" s="30">
        <f>IF(INDEX(ObjBelegt,1)=0,"",-INDEX(VkSteuer,1))</f>
      </c>
      <c r="J44" s="30">
        <f>IF(INDEX(ObjBelegt,1)=0,"",-INDEX(VkRest,1))</f>
      </c>
      <c r="K44" s="30">
        <f>IF(INDEX(ObjBelegt,1)=0,"",INDEX(VkNetto,1)-INDEX(VkSteuer,1)-INDEX(VkRest,1))</f>
      </c>
    </row>
    <row r="45">
      <c r="A45"/>
      <c r="B45">
        <f>IF(INDEX(ObjBelegt,2)=0,"–",INDEX(ObjBezeichnung,2))</f>
      </c>
      <c r="C45" s="30">
        <f>IF(INDEX(ObjBelegt,2)=0,"",INDEX(VkBrutto,2))</f>
      </c>
      <c r="D45" s="30">
        <f>IF(INDEX(ObjBelegt,2)=0,"",-INDEX(VkKosten,2))</f>
      </c>
      <c r="E45" s="30">
        <f>IF(INDEX(ObjBelegt,2)=0,"",INDEX(VkNetto,2))</f>
      </c>
      <c r="F45" s="30">
        <f>IF(INDEX(ObjBelegt,2)=0,"",INDEX(VkKumAfa,2))</f>
      </c>
      <c r="G45" s="30">
        <f>IF(INDEX(ObjBelegt,2)=0,"",INDEX(VkBuchwert,2))</f>
      </c>
      <c r="H45" s="30">
        <f>IF(INDEX(ObjBelegt,2)=0,"",INDEX(VkGewinn,2))</f>
      </c>
      <c r="I45" s="30">
        <f>IF(INDEX(ObjBelegt,2)=0,"",-INDEX(VkSteuer,2))</f>
      </c>
      <c r="J45" s="30">
        <f>IF(INDEX(ObjBelegt,2)=0,"",-INDEX(VkRest,2))</f>
      </c>
      <c r="K45" s="30">
        <f>IF(INDEX(ObjBelegt,2)=0,"",INDEX(VkNetto,2)-INDEX(VkSteuer,2)-INDEX(VkRest,2))</f>
      </c>
    </row>
    <row r="46">
      <c r="A46"/>
      <c r="B46">
        <f>IF(INDEX(ObjBelegt,3)=0,"–",INDEX(ObjBezeichnung,3))</f>
      </c>
      <c r="C46" s="30">
        <f>IF(INDEX(ObjBelegt,3)=0,"",INDEX(VkBrutto,3))</f>
      </c>
      <c r="D46" s="30">
        <f>IF(INDEX(ObjBelegt,3)=0,"",-INDEX(VkKosten,3))</f>
      </c>
      <c r="E46" s="30">
        <f>IF(INDEX(ObjBelegt,3)=0,"",INDEX(VkNetto,3))</f>
      </c>
      <c r="F46" s="30">
        <f>IF(INDEX(ObjBelegt,3)=0,"",INDEX(VkKumAfa,3))</f>
      </c>
      <c r="G46" s="30">
        <f>IF(INDEX(ObjBelegt,3)=0,"",INDEX(VkBuchwert,3))</f>
      </c>
      <c r="H46" s="30">
        <f>IF(INDEX(ObjBelegt,3)=0,"",INDEX(VkGewinn,3))</f>
      </c>
      <c r="I46" s="30">
        <f>IF(INDEX(ObjBelegt,3)=0,"",-INDEX(VkSteuer,3))</f>
      </c>
      <c r="J46" s="30">
        <f>IF(INDEX(ObjBelegt,3)=0,"",-INDEX(VkRest,3))</f>
      </c>
      <c r="K46" s="30">
        <f>IF(INDEX(ObjBelegt,3)=0,"",INDEX(VkNetto,3)-INDEX(VkSteuer,3)-INDEX(VkRest,3))</f>
      </c>
    </row>
    <row r="47">
      <c r="A47"/>
      <c r="B47">
        <f>IF(INDEX(ObjBelegt,4)=0,"–",INDEX(ObjBezeichnung,4))</f>
      </c>
      <c r="C47" s="30">
        <f>IF(INDEX(ObjBelegt,4)=0,"",INDEX(VkBrutto,4))</f>
      </c>
      <c r="D47" s="30">
        <f>IF(INDEX(ObjBelegt,4)=0,"",-INDEX(VkKosten,4))</f>
      </c>
      <c r="E47" s="30">
        <f>IF(INDEX(ObjBelegt,4)=0,"",INDEX(VkNetto,4))</f>
      </c>
      <c r="F47" s="30">
        <f>IF(INDEX(ObjBelegt,4)=0,"",INDEX(VkKumAfa,4))</f>
      </c>
      <c r="G47" s="30">
        <f>IF(INDEX(ObjBelegt,4)=0,"",INDEX(VkBuchwert,4))</f>
      </c>
      <c r="H47" s="30">
        <f>IF(INDEX(ObjBelegt,4)=0,"",INDEX(VkGewinn,4))</f>
      </c>
      <c r="I47" s="30">
        <f>IF(INDEX(ObjBelegt,4)=0,"",-INDEX(VkSteuer,4))</f>
      </c>
      <c r="J47" s="30">
        <f>IF(INDEX(ObjBelegt,4)=0,"",-INDEX(VkRest,4))</f>
      </c>
      <c r="K47" s="30">
        <f>IF(INDEX(ObjBelegt,4)=0,"",INDEX(VkNetto,4)-INDEX(VkSteuer,4)-INDEX(VkRest,4))</f>
      </c>
    </row>
    <row r="48">
      <c r="A48"/>
      <c r="B48">
        <f>IF(INDEX(ObjBelegt,5)=0,"–",INDEX(ObjBezeichnung,5))</f>
      </c>
      <c r="C48" s="30">
        <f>IF(INDEX(ObjBelegt,5)=0,"",INDEX(VkBrutto,5))</f>
      </c>
      <c r="D48" s="30">
        <f>IF(INDEX(ObjBelegt,5)=0,"",-INDEX(VkKosten,5))</f>
      </c>
      <c r="E48" s="30">
        <f>IF(INDEX(ObjBelegt,5)=0,"",INDEX(VkNetto,5))</f>
      </c>
      <c r="F48" s="30">
        <f>IF(INDEX(ObjBelegt,5)=0,"",INDEX(VkKumAfa,5))</f>
      </c>
      <c r="G48" s="30">
        <f>IF(INDEX(ObjBelegt,5)=0,"",INDEX(VkBuchwert,5))</f>
      </c>
      <c r="H48" s="30">
        <f>IF(INDEX(ObjBelegt,5)=0,"",INDEX(VkGewinn,5))</f>
      </c>
      <c r="I48" s="30">
        <f>IF(INDEX(ObjBelegt,5)=0,"",-INDEX(VkSteuer,5))</f>
      </c>
      <c r="J48" s="30">
        <f>IF(INDEX(ObjBelegt,5)=0,"",-INDEX(VkRest,5))</f>
      </c>
      <c r="K48" s="30">
        <f>IF(INDEX(ObjBelegt,5)=0,"",INDEX(VkNetto,5)-INDEX(VkSteuer,5)-INDEX(VkRest,5))</f>
      </c>
    </row>
    <row r="49">
      <c r="A49"/>
      <c r="B49">
        <f>IF(INDEX(ObjBelegt,6)=0,"–",INDEX(ObjBezeichnung,6))</f>
      </c>
      <c r="C49" s="30">
        <f>IF(INDEX(ObjBelegt,6)=0,"",INDEX(VkBrutto,6))</f>
      </c>
      <c r="D49" s="30">
        <f>IF(INDEX(ObjBelegt,6)=0,"",-INDEX(VkKosten,6))</f>
      </c>
      <c r="E49" s="30">
        <f>IF(INDEX(ObjBelegt,6)=0,"",INDEX(VkNetto,6))</f>
      </c>
      <c r="F49" s="30">
        <f>IF(INDEX(ObjBelegt,6)=0,"",INDEX(VkKumAfa,6))</f>
      </c>
      <c r="G49" s="30">
        <f>IF(INDEX(ObjBelegt,6)=0,"",INDEX(VkBuchwert,6))</f>
      </c>
      <c r="H49" s="30">
        <f>IF(INDEX(ObjBelegt,6)=0,"",INDEX(VkGewinn,6))</f>
      </c>
      <c r="I49" s="30">
        <f>IF(INDEX(ObjBelegt,6)=0,"",-INDEX(VkSteuer,6))</f>
      </c>
      <c r="J49" s="30">
        <f>IF(INDEX(ObjBelegt,6)=0,"",-INDEX(VkRest,6))</f>
      </c>
      <c r="K49" s="30">
        <f>IF(INDEX(ObjBelegt,6)=0,"",INDEX(VkNetto,6)-INDEX(VkSteuer,6)-INDEX(VkRest,6))</f>
      </c>
    </row>
    <row r="50">
      <c r="A50"/>
      <c r="B50">
        <f>IF(INDEX(ObjBelegt,7)=0,"–",INDEX(ObjBezeichnung,7))</f>
      </c>
      <c r="C50" s="30">
        <f>IF(INDEX(ObjBelegt,7)=0,"",INDEX(VkBrutto,7))</f>
      </c>
      <c r="D50" s="30">
        <f>IF(INDEX(ObjBelegt,7)=0,"",-INDEX(VkKosten,7))</f>
      </c>
      <c r="E50" s="30">
        <f>IF(INDEX(ObjBelegt,7)=0,"",INDEX(VkNetto,7))</f>
      </c>
      <c r="F50" s="30">
        <f>IF(INDEX(ObjBelegt,7)=0,"",INDEX(VkKumAfa,7))</f>
      </c>
      <c r="G50" s="30">
        <f>IF(INDEX(ObjBelegt,7)=0,"",INDEX(VkBuchwert,7))</f>
      </c>
      <c r="H50" s="30">
        <f>IF(INDEX(ObjBelegt,7)=0,"",INDEX(VkGewinn,7))</f>
      </c>
      <c r="I50" s="30">
        <f>IF(INDEX(ObjBelegt,7)=0,"",-INDEX(VkSteuer,7))</f>
      </c>
      <c r="J50" s="30">
        <f>IF(INDEX(ObjBelegt,7)=0,"",-INDEX(VkRest,7))</f>
      </c>
      <c r="K50" s="30">
        <f>IF(INDEX(ObjBelegt,7)=0,"",INDEX(VkNetto,7)-INDEX(VkSteuer,7)-INDEX(VkRest,7))</f>
      </c>
    </row>
    <row r="51">
      <c r="A51"/>
      <c r="B51">
        <f>IF(INDEX(ObjBelegt,8)=0,"–",INDEX(ObjBezeichnung,8))</f>
      </c>
      <c r="C51" s="30">
        <f>IF(INDEX(ObjBelegt,8)=0,"",INDEX(VkBrutto,8))</f>
      </c>
      <c r="D51" s="30">
        <f>IF(INDEX(ObjBelegt,8)=0,"",-INDEX(VkKosten,8))</f>
      </c>
      <c r="E51" s="30">
        <f>IF(INDEX(ObjBelegt,8)=0,"",INDEX(VkNetto,8))</f>
      </c>
      <c r="F51" s="30">
        <f>IF(INDEX(ObjBelegt,8)=0,"",INDEX(VkKumAfa,8))</f>
      </c>
      <c r="G51" s="30">
        <f>IF(INDEX(ObjBelegt,8)=0,"",INDEX(VkBuchwert,8))</f>
      </c>
      <c r="H51" s="30">
        <f>IF(INDEX(ObjBelegt,8)=0,"",INDEX(VkGewinn,8))</f>
      </c>
      <c r="I51" s="30">
        <f>IF(INDEX(ObjBelegt,8)=0,"",-INDEX(VkSteuer,8))</f>
      </c>
      <c r="J51" s="30">
        <f>IF(INDEX(ObjBelegt,8)=0,"",-INDEX(VkRest,8))</f>
      </c>
      <c r="K51" s="30">
        <f>IF(INDEX(ObjBelegt,8)=0,"",INDEX(VkNetto,8)-INDEX(VkSteuer,8)-INDEX(VkRest,8))</f>
      </c>
    </row>
    <row r="52">
      <c r="A52"/>
      <c r="B52">
        <f>IF(INDEX(ObjBelegt,9)=0,"–",INDEX(ObjBezeichnung,9))</f>
      </c>
      <c r="C52" s="30">
        <f>IF(INDEX(ObjBelegt,9)=0,"",INDEX(VkBrutto,9))</f>
      </c>
      <c r="D52" s="30">
        <f>IF(INDEX(ObjBelegt,9)=0,"",-INDEX(VkKosten,9))</f>
      </c>
      <c r="E52" s="30">
        <f>IF(INDEX(ObjBelegt,9)=0,"",INDEX(VkNetto,9))</f>
      </c>
      <c r="F52" s="30">
        <f>IF(INDEX(ObjBelegt,9)=0,"",INDEX(VkKumAfa,9))</f>
      </c>
      <c r="G52" s="30">
        <f>IF(INDEX(ObjBelegt,9)=0,"",INDEX(VkBuchwert,9))</f>
      </c>
      <c r="H52" s="30">
        <f>IF(INDEX(ObjBelegt,9)=0,"",INDEX(VkGewinn,9))</f>
      </c>
      <c r="I52" s="30">
        <f>IF(INDEX(ObjBelegt,9)=0,"",-INDEX(VkSteuer,9))</f>
      </c>
      <c r="J52" s="30">
        <f>IF(INDEX(ObjBelegt,9)=0,"",-INDEX(VkRest,9))</f>
      </c>
      <c r="K52" s="30">
        <f>IF(INDEX(ObjBelegt,9)=0,"",INDEX(VkNetto,9)-INDEX(VkSteuer,9)-INDEX(VkRest,9))</f>
      </c>
    </row>
    <row r="53">
      <c r="A53"/>
      <c r="B53">
        <f>IF(INDEX(ObjBelegt,10)=0,"–",INDEX(ObjBezeichnung,10))</f>
      </c>
      <c r="C53" s="30">
        <f>IF(INDEX(ObjBelegt,10)=0,"",INDEX(VkBrutto,10))</f>
      </c>
      <c r="D53" s="30">
        <f>IF(INDEX(ObjBelegt,10)=0,"",-INDEX(VkKosten,10))</f>
      </c>
      <c r="E53" s="30">
        <f>IF(INDEX(ObjBelegt,10)=0,"",INDEX(VkNetto,10))</f>
      </c>
      <c r="F53" s="30">
        <f>IF(INDEX(ObjBelegt,10)=0,"",INDEX(VkKumAfa,10))</f>
      </c>
      <c r="G53" s="30">
        <f>IF(INDEX(ObjBelegt,10)=0,"",INDEX(VkBuchwert,10))</f>
      </c>
      <c r="H53" s="30">
        <f>IF(INDEX(ObjBelegt,10)=0,"",INDEX(VkGewinn,10))</f>
      </c>
      <c r="I53" s="30">
        <f>IF(INDEX(ObjBelegt,10)=0,"",-INDEX(VkSteuer,10))</f>
      </c>
      <c r="J53" s="30">
        <f>IF(INDEX(ObjBelegt,10)=0,"",-INDEX(VkRest,10))</f>
      </c>
      <c r="K53" s="30">
        <f>IF(INDEX(ObjBelegt,10)=0,"",INDEX(VkNetto,10)-INDEX(VkSteuer,10)-INDEX(VkRest,10))</f>
      </c>
    </row>
    <row r="54">
      <c r="A54"/>
      <c r="B54" s="6" t="inlineStr">
        <is>
          <t xml:space="preserve">Summe</t>
        </is>
      </c>
      <c r="C54" s="42">
        <f>SUM(VkBrutto)</f>
      </c>
      <c r="D54"/>
      <c r="E54"/>
      <c r="F54"/>
      <c r="G54"/>
      <c r="H54"/>
      <c r="I54" s="42">
        <f>-SUM(VkSteuer)</f>
      </c>
      <c r="J54" s="42">
        <f>-SUM(VkRest)</f>
      </c>
      <c r="K54" s="38">
        <f>SUM(VkNetto)-SUM(VkSteuer)-SUM(VkRest)</f>
      </c>
    </row>
    <row r="56">
      <c r="A56"/>
      <c r="B56" s="13" t="inlineStr">
        <is>
          <t xml:space="preserve">Innerhalb von zehn Jahren Haltedauer wird der Gewinn versteuert; Bemessungsgrundlage ist der Buchwert nach bereits geltend gemachter AfA.</t>
        </is>
      </c>
    </row>
  </sheetData>
  <conditionalFormatting sqref="N9:Q39">
    <cfRule type="expression" dxfId="1" priority="1">
      <formula>AND(ISNUMBER(N9),N9&lt;0)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C9A227"/>
  </sheetPr>
  <sheetViews>
    <sheetView showGridLines="0" workbookViewId="0"/>
  </sheetViews>
  <sheetFormatPr defaultRowHeight="15"/>
  <cols>
    <col min="1" max="1" width="2" customWidth="1"/>
    <col min="2" max="2" width="30" customWidth="1"/>
    <col min="3" max="3" width="17" customWidth="1"/>
    <col min="4" max="4" width="3" customWidth="1"/>
    <col min="5" max="5" width="30" customWidth="1"/>
    <col min="6" max="6" width="17" customWidth="1"/>
    <col min="7" max="7" width="3" customWidth="1"/>
    <col min="8" max="8" width="30" customWidth="1"/>
    <col min="9" max="9" width="17" customWidth="1"/>
    <col min="10" max="10" width="2" customWidth="1"/>
    <col min="11" max="11" hidden="1"/>
  </cols>
  <sheetData>
    <row r="2">
      <c r="A2"/>
      <c r="B2" s="1" t="inlineStr">
        <is>
          <t xml:space="preserve">ZAHLENKOMPASS</t>
        </is>
      </c>
    </row>
    <row r="3">
      <c r="A3"/>
      <c r="B3" s="2">
        <f>IF(PortfolioName="","Dashboard",PortfolioName)</f>
      </c>
    </row>
    <row r="4">
      <c r="A4"/>
      <c r="B4" s="3">
        <f>"Stand "&amp;TEXT(DAY(Stichtag),"00")&amp;"."&amp;TEXT(MONTH(Stichtag),"00")&amp;"."&amp;YEAR(Stichtag)&amp;" · Szenario "&amp;Szenario</f>
      </c>
    </row>
    <row r="6">
      <c r="A6"/>
      <c r="B6" s="4" t="inlineStr">
        <is>
          <t xml:space="preserve">Bestand</t>
        </is>
      </c>
    </row>
    <row r="8">
      <c r="A8"/>
      <c r="B8" s="16" t="inlineStr">
        <is>
          <t xml:space="preserve">Objekte</t>
        </is>
      </c>
      <c r="C8" s="40">
        <f>SUM(ObjBelegt)</f>
      </c>
      <c r="D8"/>
      <c r="E8" s="16" t="inlineStr">
        <is>
          <t xml:space="preserve">Einheiten</t>
        </is>
      </c>
      <c r="F8" s="40">
        <f>SUM(IstEinheiten)</f>
      </c>
      <c r="G8"/>
      <c r="H8" s="16" t="inlineStr">
        <is>
          <t xml:space="preserve">Fläche gesamt</t>
        </is>
      </c>
      <c r="I8" s="47">
        <f>SUM(IstFlaeche)</f>
      </c>
    </row>
    <row r="9">
      <c r="A9"/>
      <c r="B9" s="16" t="inlineStr">
        <is>
          <t xml:space="preserve">Gesamtinvestition</t>
        </is>
      </c>
      <c r="C9" s="38">
        <f>SUM(IstInvest)</f>
      </c>
      <c r="D9"/>
      <c r="E9" s="16" t="inlineStr">
        <is>
          <t xml:space="preserve">Verkehrswert</t>
        </is>
      </c>
      <c r="F9" s="38">
        <f>SUM(IstWert)</f>
      </c>
      <c r="G9"/>
      <c r="H9" s="16" t="inlineStr">
        <is>
          <t xml:space="preserve">Wertzuwachs</t>
        </is>
      </c>
      <c r="I9" s="38">
        <f>SUM(IstWert)-SUM(ObjKaufpreis)</f>
      </c>
    </row>
    <row r="10">
      <c r="A10"/>
      <c r="B10" s="4" t="inlineStr">
        <is>
          <t xml:space="preserve">Finanzierung</t>
        </is>
      </c>
    </row>
    <row r="12">
      <c r="A12"/>
      <c r="B12" s="16" t="inlineStr">
        <is>
          <t xml:space="preserve">Darlehenssumme</t>
        </is>
      </c>
      <c r="C12" s="38">
        <f>SUM(IstDarlehen)</f>
      </c>
      <c r="D12"/>
      <c r="E12" s="16" t="inlineStr">
        <is>
          <t xml:space="preserve">Restschuld</t>
        </is>
      </c>
      <c r="F12" s="38">
        <f>SUM(IstRest)</f>
      </c>
      <c r="G12"/>
      <c r="H12" s="16" t="inlineStr">
        <is>
          <t xml:space="preserve">davon getilgt</t>
        </is>
      </c>
      <c r="I12" s="38">
        <f>SUM(IstGetilgt)</f>
      </c>
    </row>
    <row r="13">
      <c r="A13"/>
      <c r="B13" s="16" t="inlineStr">
        <is>
          <t xml:space="preserve">Beleihungsauslauf</t>
        </is>
      </c>
      <c r="C13" s="48">
        <f>IF(SUM(IstWert)=0,0,SUM(IstRest)/SUM(IstWert)*100)</f>
      </c>
      <c r="D13"/>
      <c r="E13" s="16" t="inlineStr">
        <is>
          <t xml:space="preserve">Eigenkapital heute</t>
        </is>
      </c>
      <c r="F13" s="38">
        <f>SUM(IstWert)-SUM(IstRest)</f>
      </c>
      <c r="G13"/>
      <c r="H13" s="16" t="inlineStr">
        <is>
          <t xml:space="preserve">Eigenkapital eingesetzt</t>
        </is>
      </c>
      <c r="I13" s="38">
        <f>SUM(IstEkEingesetzt)</f>
      </c>
    </row>
    <row r="14">
      <c r="A14"/>
      <c r="B14" s="16" t="inlineStr">
        <is>
          <t xml:space="preserve">Kapitaldienst (12 Monate)</t>
        </is>
      </c>
      <c r="C14" s="38">
        <f>SUM(IstKapital12)</f>
      </c>
      <c r="D14"/>
      <c r="E14" s="16" t="inlineStr">
        <is>
          <t xml:space="preserve">Kapitaldienstdeckung DSCR</t>
        </is>
      </c>
      <c r="F14" s="49">
        <f>IF(SUM(IstKapital12)=0,0,(SUM(IstRunrate)-SUM(IstBewirtVoll))/SUM(IstKapital12))</f>
      </c>
      <c r="G14"/>
      <c r="H14" s="16" t="inlineStr">
        <is>
          <t xml:space="preserve">Tilgungsersatz-Guthaben</t>
        </is>
      </c>
      <c r="I14" s="38">
        <f>SUM(IstErsatzGut)</f>
      </c>
    </row>
    <row r="15">
      <c r="A15"/>
      <c r="B15" s="4" t="inlineStr">
        <is>
          <t xml:space="preserve">Miete und Rendite</t>
        </is>
      </c>
    </row>
    <row r="17">
      <c r="A17"/>
      <c r="B17" s="16" t="inlineStr">
        <is>
          <t xml:space="preserve">Kaltmiete je Monat</t>
        </is>
      </c>
      <c r="C17" s="38">
        <f>SUM(IstMieteMonat)</f>
      </c>
      <c r="D17"/>
      <c r="E17" s="16" t="inlineStr">
        <is>
          <t xml:space="preserve">Kaltmiete auf zwölf Monate</t>
        </is>
      </c>
      <c r="F17" s="38">
        <f>SUM(IstRunrate)</f>
      </c>
      <c r="G17"/>
      <c r="H17" s="16" t="inlineStr">
        <is>
          <t xml:space="preserve">Vermietungsquote</t>
        </is>
      </c>
      <c r="I17" s="48">
        <f>IF(SUM(IstEinheiten)=0,0,SUM(IstVermietet)/SUM(IstEinheiten)*100)</f>
      </c>
    </row>
    <row r="18">
      <c r="A18"/>
      <c r="B18" s="16" t="inlineStr">
        <is>
          <t xml:space="preserve">Bruttomietrendite</t>
        </is>
      </c>
      <c r="C18" s="39">
        <f>IF(SUM(IstInvest)=0,0,SUM(IstRunrate)/SUM(IstInvest)*100)</f>
      </c>
      <c r="D18"/>
      <c r="E18" s="16" t="inlineStr">
        <is>
          <t xml:space="preserve">Nettomietrendite</t>
        </is>
      </c>
      <c r="F18" s="39">
        <f>IF(SUM(IstInvest)=0,0,(SUM(IstRunrate)-SUM(IstBewirtVoll))/SUM(IstInvest)*100)</f>
      </c>
      <c r="G18"/>
      <c r="H18" s="16" t="inlineStr">
        <is>
          <t xml:space="preserve">Kaufpreisfaktor</t>
        </is>
      </c>
      <c r="I18" s="47">
        <f>IF(SUM(IstRunrate)=0,0,SUM(ObjKaufpreis)/SUM(IstRunrate))</f>
      </c>
    </row>
    <row r="19">
      <c r="A19"/>
      <c r="B19" s="16" t="inlineStr">
        <is>
          <t xml:space="preserve">EK-Rendite (Cashflow)</t>
        </is>
      </c>
      <c r="C19" s="39">
        <f>IF(SUM(IstEkEingesetzt)=0,0,SUM(IstCfRunrateNach)/SUM(IstEkEingesetzt)*100)</f>
      </c>
      <c r="D19"/>
      <c r="E19" s="16" t="inlineStr">
        <is>
          <t xml:space="preserve">EK-Rendite mit Tilgung</t>
        </is>
      </c>
      <c r="F19" s="39">
        <f>IF(SUM(IstEkEingesetzt)=0,0,(SUM(IstCfRunrateNach)+SUM(IstTilgung12)+SUM(IstSonder12)+SUM(IstErsatz12))/SUM(IstEkEingesetzt)*100)</f>
      </c>
      <c r="G19"/>
      <c r="H19" s="16" t="inlineStr">
        <is>
          <t xml:space="preserve">Leerstand (Einheiten)</t>
        </is>
      </c>
      <c r="I19" s="40">
        <f>SUM(IstLeerstand)</f>
      </c>
    </row>
    <row r="20">
      <c r="A20"/>
      <c r="B20" s="4" t="inlineStr">
        <is>
          <t xml:space="preserve">Cashflow</t>
        </is>
      </c>
    </row>
    <row r="22">
      <c r="A22"/>
      <c r="B22"/>
      <c r="C22" s="24" t="inlineStr">
        <is>
          <t xml:space="preserve">vor Steuern</t>
        </is>
      </c>
      <c r="D22"/>
      <c r="E22"/>
      <c r="F22" s="24" t="inlineStr">
        <is>
          <t xml:space="preserve">nach Steuern</t>
        </is>
      </c>
      <c r="G22"/>
      <c r="H22"/>
      <c r="I22" s="24" t="inlineStr">
        <is>
          <t xml:space="preserve">je Monat nach Steuern</t>
        </is>
      </c>
    </row>
    <row r="23">
      <c r="A23"/>
      <c r="B23" s="16" t="inlineStr">
        <is>
          <t xml:space="preserve">laufendes Jahr</t>
        </is>
      </c>
      <c r="C23" s="38">
        <f>SUM(IstCfVor)</f>
      </c>
      <c r="D23"/>
      <c r="E23" s="16" t="inlineStr">
        <is>
          <t xml:space="preserve"> </t>
        </is>
      </c>
      <c r="F23" s="38">
        <f>SUM(IstCfNach)</f>
      </c>
      <c r="G23"/>
      <c r="H23" s="16" t="inlineStr">
        <is>
          <t xml:space="preserve"> </t>
        </is>
      </c>
      <c r="I23" s="38">
        <f>SUM(IstCfNach)/12</f>
      </c>
    </row>
    <row r="24">
      <c r="A24"/>
      <c r="B24" s="16" t="inlineStr">
        <is>
          <t xml:space="preserve">Folgejahr (volles Jahr)</t>
        </is>
      </c>
      <c r="C24" s="38">
        <f>SUMIFS(OjCfVor,OjJahr,Jahr+1)</f>
      </c>
      <c r="D24"/>
      <c r="E24" s="16" t="inlineStr">
        <is>
          <t xml:space="preserve"> </t>
        </is>
      </c>
      <c r="F24" s="38">
        <f>SUMIFS(OjCfNach,OjJahr,Jahr+1)</f>
      </c>
      <c r="G24"/>
      <c r="H24" s="16" t="inlineStr">
        <is>
          <t xml:space="preserve"> </t>
        </is>
      </c>
      <c r="I24" s="38">
        <f>SUMIFS(OjCfNach,OjJahr,Jahr+1)/12</f>
      </c>
    </row>
    <row r="25">
      <c r="A25"/>
      <c r="B25" s="16" t="inlineStr">
        <is>
          <t xml:space="preserve">Zehnjahresschnitt</t>
        </is>
      </c>
      <c r="C25" s="38">
        <f>SUMIFS(OjCfVor,OjJahr,"&gt;="&amp;(Jahr+1),OjJahr,"&lt;="&amp;(Jahr+10))/10</f>
      </c>
      <c r="D25"/>
      <c r="E25" s="16" t="inlineStr">
        <is>
          <t xml:space="preserve"> </t>
        </is>
      </c>
      <c r="F25" s="38">
        <f>SUMIFS(OjCfNach,OjJahr,"&gt;="&amp;(Jahr+1),OjJahr,"&lt;="&amp;(Jahr+10))/10</f>
      </c>
      <c r="G25"/>
      <c r="H25" s="16" t="inlineStr">
        <is>
          <t xml:space="preserve"> </t>
        </is>
      </c>
      <c r="I25" s="38">
        <f>SUMIFS(OjCfNach,OjJahr,"&gt;="&amp;(Jahr+1),OjJahr,"&lt;="&amp;(Jahr+10))/120</f>
      </c>
    </row>
    <row r="26">
      <c r="A26"/>
      <c r="B26" s="13" t="inlineStr">
        <is>
          <t xml:space="preserve">Das laufende Jahr kann angeschnitten sein – im Anschaffungsjahr stehen weniger als zwölf Monate Miete gegen zwölf Monate Kosten. Für die laufende Belastung ist das Folgejahr die aussagekräftige Zahl.</t>
        </is>
      </c>
    </row>
    <row r="27">
      <c r="A27"/>
      <c r="B27" s="4" t="inlineStr">
        <is>
          <t xml:space="preserve">Hinweise</t>
        </is>
      </c>
    </row>
    <row r="29">
      <c r="A29"/>
      <c r="B29" s="50">
        <f>IF(K29=0,"Alle Einheiten sind vermietet.",K29&amp;" Einheit(en) ohne laufenden Mietvertrag.")</f>
      </c>
      <c r="C29" s="50"/>
      <c r="D29" s="50"/>
      <c r="E29" s="50"/>
      <c r="F29" s="50"/>
      <c r="G29" s="50"/>
      <c r="H29" s="50"/>
      <c r="I29" s="50"/>
      <c r="J29"/>
      <c r="K29" s="36">
        <f>SUM(IstLeerstand)</f>
      </c>
    </row>
    <row r="30">
      <c r="A30"/>
      <c r="B30" s="50">
        <f>IF(K30=0,"Keine Zinsbindung läuft in den nächsten zwei Jahren aus.",K30&amp;" Zinsbindung(en) laufen in den nächsten zwei Jahren aus.")</f>
      </c>
      <c r="C30" s="50"/>
      <c r="D30" s="50"/>
      <c r="E30" s="50"/>
      <c r="F30" s="50"/>
      <c r="G30" s="50"/>
      <c r="H30" s="50"/>
      <c r="I30" s="50"/>
      <c r="J30"/>
      <c r="K30" s="36">
        <f>COUNTIFS(DarlBindung,"&gt;"&amp;Stichtag,DarlBindung,"&lt;="&amp;DATE(YEAR(Stichtag)+2,MONTH(Stichtag),DAY(Stichtag)))</f>
      </c>
    </row>
    <row r="31">
      <c r="A31"/>
      <c r="B31" s="50">
        <f>IF(K31=0,"Kein Mietvertrag endet in den nächsten 180 Tagen.",K31&amp;" Mietvertrag/-verträge enden in den nächsten 180 Tagen.")</f>
      </c>
      <c r="C31" s="50"/>
      <c r="D31" s="50"/>
      <c r="E31" s="50"/>
      <c r="F31" s="50"/>
      <c r="G31" s="50"/>
      <c r="H31" s="50"/>
      <c r="I31" s="50"/>
      <c r="J31"/>
      <c r="K31" s="36">
        <f>COUNTIFS(MvEnde,"&gt;"&amp;Stichtag,MvEnde,"&lt;="&amp;(Stichtag+180))</f>
      </c>
    </row>
    <row r="32">
      <c r="A32"/>
      <c r="B32" s="50">
        <f>IF(K32=0,"Für jedes Objekt ist ein Verkehrswert erfasst.",K32&amp;" Objekt(e) ohne Verkehrswert – dort wird mit dem Kaufpreis gerechnet.")</f>
      </c>
      <c r="C32" s="50"/>
      <c r="D32" s="50"/>
      <c r="E32" s="50"/>
      <c r="F32" s="50"/>
      <c r="G32" s="50"/>
      <c r="H32" s="50"/>
      <c r="I32" s="50"/>
      <c r="J32"/>
      <c r="K32" s="36">
        <f>COUNTIFS(ObjBelegt,1,ObjWert,"")</f>
      </c>
    </row>
    <row r="33">
      <c r="A33"/>
      <c r="B33" s="50">
        <f>IF(K33=0,"Für jedes Objekt ist ein Kaufdatum erfasst.",K33&amp;" Objekt(e) ohne Kaufdatum – AfA und Besitzmonate bleiben dort null.")</f>
      </c>
      <c r="C33" s="50"/>
      <c r="D33" s="50"/>
      <c r="E33" s="50"/>
      <c r="F33" s="50"/>
      <c r="G33" s="50"/>
      <c r="H33" s="50"/>
      <c r="I33" s="50"/>
      <c r="J33"/>
      <c r="K33" s="36">
        <f>COUNTIFS(ObjBelegt,1,ObjKaufdatum,"")</f>
      </c>
    </row>
    <row r="34">
      <c r="A34"/>
      <c r="B34" s="50">
        <f>IF(K34=0,"Alle Tilgungspläne reichen bis zum Ende der Prognose.",K34&amp;" Darlehen läuft/laufen über die gerechneten 40 Jahre ab Auszahlung hinaus – Zins und Tilgung fehlen dort am Ende der Prognose. Prognosejahre verringern oder die Mappe mit mehr Monaten neu erzeugen.")</f>
      </c>
      <c r="C34" s="50"/>
      <c r="D34" s="50"/>
      <c r="E34" s="50"/>
      <c r="F34" s="50"/>
      <c r="G34" s="50"/>
      <c r="H34" s="50"/>
      <c r="I34" s="50"/>
      <c r="J34"/>
      <c r="K34" s="36">
        <f>SUM(DarlReichweite)</f>
      </c>
    </row>
  </sheetData>
  <conditionalFormatting sqref="B29:I34">
    <cfRule type="expression" dxfId="0" priority="1">
      <formula>$K29&gt;0</formula>
    </cfRule>
  </conditionalFormatting>
  <conditionalFormatting sqref="C23:C25">
    <cfRule type="expression" dxfId="1" priority="1">
      <formula>C23&lt;0</formula>
    </cfRule>
  </conditionalFormatting>
  <conditionalFormatting sqref="F23:F25">
    <cfRule type="expression" dxfId="1" priority="1">
      <formula>F23&lt;0</formula>
    </cfRule>
  </conditionalFormatting>
  <conditionalFormatting sqref="I23:I25">
    <cfRule type="expression" dxfId="1" priority="1">
      <formula>I23&lt;0</formula>
    </cfRule>
  </conditionalFormatting>
  <conditionalFormatting sqref="F14">
    <cfRule type="expression" dxfId="1" priority="1">
      <formula>AND(F14&gt;0,F14&lt;1)</formula>
    </cfRule>
  </conditionalFormatting>
  <conditionalFormatting sqref="C19">
    <cfRule type="expression" dxfId="1" priority="1">
      <formula>C19&lt;0</formula>
    </cfRule>
  </conditionalFormatting>
  <conditionalFormatting sqref="F19">
    <cfRule type="expression" dxfId="1" priority="1">
      <formula>F19&lt;0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  <col min="43" max="43" width="20" customWidth="1"/>
    <col min="44" max="44" width="20" customWidth="1"/>
    <col min="45" max="45" width="20" customWidth="1"/>
    <col min="46" max="46" width="20" customWidth="1"/>
    <col min="47" max="47" width="20" customWidth="1"/>
    <col min="48" max="48" width="20" customWidth="1"/>
    <col min="49" max="49" width="20" customWidth="1"/>
    <col min="50" max="50" width="20" customWidth="1"/>
  </cols>
  <sheetData>
    <row r="1">
      <c r="A1"/>
      <c r="B1" s="4" t="inlineStr">
        <is>
          <t xml:space="preserve">Kern – Nachschlagetabellen und Rechenblöcke, nicht bearbeiten</t>
        </is>
      </c>
    </row>
    <row r="3">
      <c r="A3"/>
      <c r="B3" s="24" t="inlineStr">
        <is>
          <t xml:space="preserve">Objekttyp</t>
        </is>
      </c>
      <c r="C3" s="24" t="inlineStr">
        <is>
          <t xml:space="preserve">Darlehensart</t>
        </is>
      </c>
      <c r="D3" s="24" t="inlineStr">
        <is>
          <t xml:space="preserve">Ja/Nein</t>
        </is>
      </c>
      <c r="E3" s="24" t="inlineStr">
        <is>
          <t xml:space="preserve">Anpassung</t>
        </is>
      </c>
      <c r="F3" s="24" t="inlineStr">
        <is>
          <t xml:space="preserve">Kirchensteuer</t>
        </is>
      </c>
      <c r="G3"/>
      <c r="H3" s="24" t="inlineStr">
        <is>
          <t xml:space="preserve">Szenario</t>
        </is>
      </c>
      <c r="I3" s="24" t="inlineStr">
        <is>
          <t xml:space="preserve">Δ Miete</t>
        </is>
      </c>
      <c r="J3" s="24" t="inlineStr">
        <is>
          <t xml:space="preserve">Δ Wert</t>
        </is>
      </c>
      <c r="K3" s="24" t="inlineStr">
        <is>
          <t xml:space="preserve">Δ Leerstand</t>
        </is>
      </c>
      <c r="L3" s="24" t="inlineStr">
        <is>
          <t xml:space="preserve">Δ Anschluss</t>
        </is>
      </c>
      <c r="M3" s="24" t="inlineStr">
        <is>
          <t xml:space="preserve">Δ Instand</t>
        </is>
      </c>
      <c r="N3"/>
      <c r="O3" s="24" t="inlineStr">
        <is>
          <t xml:space="preserve">Bundesland</t>
        </is>
      </c>
      <c r="P3" s="24" t="inlineStr">
        <is>
          <t xml:space="preserve">GrESt %</t>
        </is>
      </c>
      <c r="Q3"/>
      <c r="R3" s="24" t="inlineStr">
        <is>
          <t xml:space="preserve">Zahlungsart</t>
        </is>
      </c>
      <c r="S3" s="24" t="inlineStr">
        <is>
          <t xml:space="preserve">Gruppe</t>
        </is>
      </c>
      <c r="T3" s="24" t="inlineStr">
        <is>
          <t xml:space="preserve">Vorzeichen</t>
        </is>
      </c>
      <c r="U3"/>
      <c r="V3" s="24" t="inlineStr">
        <is>
          <t xml:space="preserve">Monat</t>
        </is>
      </c>
    </row>
    <row r="4">
      <c r="A4"/>
      <c r="B4" t="inlineStr">
        <is>
          <t xml:space="preserve">ETW</t>
        </is>
      </c>
      <c r="C4" t="inlineStr">
        <is>
          <t xml:space="preserve">Annuität</t>
        </is>
      </c>
      <c r="D4" t="inlineStr">
        <is>
          <t xml:space="preserve">Ja</t>
        </is>
      </c>
      <c r="E4" t="inlineStr">
        <is>
          <t xml:space="preserve">keine</t>
        </is>
      </c>
      <c r="F4">
        <v>0</v>
      </c>
      <c r="G4"/>
      <c r="H4" t="inlineStr">
        <is>
          <t xml:space="preserve">pessimistisch</t>
        </is>
      </c>
      <c r="I4">
        <v>-1</v>
      </c>
      <c r="J4">
        <v>-2</v>
      </c>
      <c r="K4">
        <v>3</v>
      </c>
      <c r="L4">
        <v>1.5</v>
      </c>
      <c r="M4">
        <v>0.5</v>
      </c>
      <c r="N4"/>
      <c r="O4" t="inlineStr">
        <is>
          <t xml:space="preserve">Baden-Württemberg</t>
        </is>
      </c>
      <c r="P4">
        <v>5</v>
      </c>
      <c r="Q4"/>
      <c r="R4" t="inlineStr">
        <is>
          <t xml:space="preserve">Mieteinnahme</t>
        </is>
      </c>
      <c r="S4" t="inlineStr">
        <is>
          <t xml:space="preserve">Einnahmen</t>
        </is>
      </c>
      <c r="T4">
        <v>1</v>
      </c>
      <c r="U4"/>
      <c r="V4" t="inlineStr">
        <is>
          <t xml:space="preserve">Januar</t>
        </is>
      </c>
    </row>
    <row r="5">
      <c r="A5"/>
      <c r="B5" t="inlineStr">
        <is>
          <t xml:space="preserve">MFH</t>
        </is>
      </c>
      <c r="C5" t="inlineStr">
        <is>
          <t xml:space="preserve">KfW</t>
        </is>
      </c>
      <c r="D5" t="inlineStr">
        <is>
          <t xml:space="preserve">Nein</t>
        </is>
      </c>
      <c r="E5" t="inlineStr">
        <is>
          <t xml:space="preserve">Staffel</t>
        </is>
      </c>
      <c r="F5">
        <v>8</v>
      </c>
      <c r="G5"/>
      <c r="H5" t="inlineStr">
        <is>
          <t xml:space="preserve">Basis</t>
        </is>
      </c>
      <c r="I5">
        <v>0</v>
      </c>
      <c r="J5">
        <v>0</v>
      </c>
      <c r="K5">
        <v>0</v>
      </c>
      <c r="L5">
        <v>0</v>
      </c>
      <c r="M5">
        <v>0</v>
      </c>
      <c r="N5"/>
      <c r="O5" t="inlineStr">
        <is>
          <t xml:space="preserve">Bayern</t>
        </is>
      </c>
      <c r="P5">
        <v>3.5</v>
      </c>
      <c r="Q5"/>
      <c r="R5" t="inlineStr">
        <is>
          <t xml:space="preserve">Nebenkosten-Vorauszahlung</t>
        </is>
      </c>
      <c r="S5" t="inlineStr">
        <is>
          <t xml:space="preserve">Einnahmen</t>
        </is>
      </c>
      <c r="T5">
        <v>1</v>
      </c>
      <c r="U5"/>
      <c r="V5" t="inlineStr">
        <is>
          <t xml:space="preserve">Februar</t>
        </is>
      </c>
    </row>
    <row r="6">
      <c r="A6"/>
      <c r="B6" t="inlineStr">
        <is>
          <t xml:space="preserve">EFH</t>
        </is>
      </c>
      <c r="C6" t="inlineStr">
        <is>
          <t xml:space="preserve">Endfällig</t>
        </is>
      </c>
      <c r="D6"/>
      <c r="E6" t="inlineStr">
        <is>
          <t xml:space="preserve">Index</t>
        </is>
      </c>
      <c r="F6">
        <v>9</v>
      </c>
      <c r="G6"/>
      <c r="H6" t="inlineStr">
        <is>
          <t xml:space="preserve">optimistisch</t>
        </is>
      </c>
      <c r="I6">
        <v>1</v>
      </c>
      <c r="J6">
        <v>1.5</v>
      </c>
      <c r="K6">
        <v>-1</v>
      </c>
      <c r="L6">
        <v>-1</v>
      </c>
      <c r="M6">
        <v>-0.25</v>
      </c>
      <c r="N6"/>
      <c r="O6" t="inlineStr">
        <is>
          <t xml:space="preserve">Berlin</t>
        </is>
      </c>
      <c r="P6">
        <v>6</v>
      </c>
      <c r="Q6"/>
      <c r="R6" t="inlineStr">
        <is>
          <t xml:space="preserve">Hausgeld, nicht umlagefähig</t>
        </is>
      </c>
      <c r="S6" t="inlineStr">
        <is>
          <t xml:space="preserve">Bewirtschaftung</t>
        </is>
      </c>
      <c r="T6">
        <v>-1</v>
      </c>
      <c r="U6"/>
      <c r="V6" t="inlineStr">
        <is>
          <t xml:space="preserve">März</t>
        </is>
      </c>
    </row>
    <row r="7">
      <c r="A7"/>
      <c r="B7" t="inlineStr">
        <is>
          <t xml:space="preserve">Gewerbe</t>
        </is>
      </c>
      <c r="C7"/>
      <c r="D7"/>
      <c r="E7"/>
      <c r="F7"/>
      <c r="G7"/>
      <c r="H7"/>
      <c r="I7"/>
      <c r="J7"/>
      <c r="K7"/>
      <c r="L7"/>
      <c r="M7"/>
      <c r="N7"/>
      <c r="O7" t="inlineStr">
        <is>
          <t xml:space="preserve">Brandenburg</t>
        </is>
      </c>
      <c r="P7">
        <v>6.5</v>
      </c>
      <c r="Q7"/>
      <c r="R7" t="inlineStr">
        <is>
          <t xml:space="preserve">Verwaltung</t>
        </is>
      </c>
      <c r="S7" t="inlineStr">
        <is>
          <t xml:space="preserve">Bewirtschaftung</t>
        </is>
      </c>
      <c r="T7">
        <v>-1</v>
      </c>
      <c r="U7"/>
      <c r="V7" t="inlineStr">
        <is>
          <t xml:space="preserve">April</t>
        </is>
      </c>
    </row>
    <row r="8">
      <c r="A8"/>
      <c r="B8" t="inlineStr">
        <is>
          <t xml:space="preserve">Grundstück</t>
        </is>
      </c>
      <c r="C8"/>
      <c r="D8"/>
      <c r="E8"/>
      <c r="F8"/>
      <c r="G8"/>
      <c r="H8"/>
      <c r="I8"/>
      <c r="J8"/>
      <c r="K8"/>
      <c r="L8"/>
      <c r="M8"/>
      <c r="N8"/>
      <c r="O8" t="inlineStr">
        <is>
          <t xml:space="preserve">Bremen</t>
        </is>
      </c>
      <c r="P8">
        <v>5</v>
      </c>
      <c r="Q8"/>
      <c r="R8" t="inlineStr">
        <is>
          <t xml:space="preserve">Instandhaltung</t>
        </is>
      </c>
      <c r="S8" t="inlineStr">
        <is>
          <t xml:space="preserve">Bewirtschaftung</t>
        </is>
      </c>
      <c r="T8">
        <v>-1</v>
      </c>
      <c r="U8"/>
      <c r="V8" t="inlineStr">
        <is>
          <t xml:space="preserve">Mai</t>
        </is>
      </c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 t="inlineStr">
        <is>
          <t xml:space="preserve">Hamburg</t>
        </is>
      </c>
      <c r="P9">
        <v>5.5</v>
      </c>
      <c r="Q9"/>
      <c r="R9" t="inlineStr">
        <is>
          <t xml:space="preserve">Sonstige Kosten</t>
        </is>
      </c>
      <c r="S9" t="inlineStr">
        <is>
          <t xml:space="preserve">Bewirtschaftung</t>
        </is>
      </c>
      <c r="T9">
        <v>-1</v>
      </c>
      <c r="U9"/>
      <c r="V9" t="inlineStr">
        <is>
          <t xml:space="preserve">Juni</t>
        </is>
      </c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 t="inlineStr">
        <is>
          <t xml:space="preserve">Hessen</t>
        </is>
      </c>
      <c r="P10">
        <v>6</v>
      </c>
      <c r="Q10"/>
      <c r="R10" t="inlineStr">
        <is>
          <t xml:space="preserve">Zinsen</t>
        </is>
      </c>
      <c r="S10" t="inlineStr">
        <is>
          <t xml:space="preserve">Finanzierung</t>
        </is>
      </c>
      <c r="T10">
        <v>-1</v>
      </c>
      <c r="U10"/>
      <c r="V10" t="inlineStr">
        <is>
          <t xml:space="preserve">Juli</t>
        </is>
      </c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 t="inlineStr">
        <is>
          <t xml:space="preserve">Mecklenburg-Vorpommern</t>
        </is>
      </c>
      <c r="P11">
        <v>6</v>
      </c>
      <c r="Q11"/>
      <c r="R11" t="inlineStr">
        <is>
          <t xml:space="preserve">Tilgung</t>
        </is>
      </c>
      <c r="S11" t="inlineStr">
        <is>
          <t xml:space="preserve">Finanzierung</t>
        </is>
      </c>
      <c r="T11">
        <v>-1</v>
      </c>
      <c r="U11"/>
      <c r="V11" t="inlineStr">
        <is>
          <t xml:space="preserve">August</t>
        </is>
      </c>
    </row>
    <row r="1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 t="inlineStr">
        <is>
          <t xml:space="preserve">Niedersachsen</t>
        </is>
      </c>
      <c r="P12">
        <v>5</v>
      </c>
      <c r="Q12"/>
      <c r="R12" t="inlineStr">
        <is>
          <t xml:space="preserve">Sondertilgung</t>
        </is>
      </c>
      <c r="S12" t="inlineStr">
        <is>
          <t xml:space="preserve">Finanzierung</t>
        </is>
      </c>
      <c r="T12">
        <v>-1</v>
      </c>
      <c r="U12"/>
      <c r="V12" t="inlineStr">
        <is>
          <t xml:space="preserve">September</t>
        </is>
      </c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 t="inlineStr">
        <is>
          <t xml:space="preserve">Nordrhein-Westfalen</t>
        </is>
      </c>
      <c r="P13">
        <v>6.5</v>
      </c>
      <c r="Q13"/>
      <c r="R13" t="inlineStr">
        <is>
          <t xml:space="preserve">Tilgungsersatzleistung</t>
        </is>
      </c>
      <c r="S13" t="inlineStr">
        <is>
          <t xml:space="preserve">Finanzierung</t>
        </is>
      </c>
      <c r="T13">
        <v>-1</v>
      </c>
      <c r="U13"/>
      <c r="V13" t="inlineStr">
        <is>
          <t xml:space="preserve">Oktober</t>
        </is>
      </c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 t="inlineStr">
        <is>
          <t xml:space="preserve">Rheinland-Pfalz</t>
        </is>
      </c>
      <c r="P14">
        <v>5</v>
      </c>
      <c r="Q14"/>
      <c r="R14"/>
      <c r="S14"/>
      <c r="T14"/>
      <c r="U14"/>
      <c r="V14" t="inlineStr">
        <is>
          <t xml:space="preserve">November</t>
        </is>
      </c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 t="inlineStr">
        <is>
          <t xml:space="preserve">Saarland</t>
        </is>
      </c>
      <c r="P15">
        <v>6.5</v>
      </c>
      <c r="Q15"/>
      <c r="R15"/>
      <c r="S15"/>
      <c r="T15"/>
      <c r="U15"/>
      <c r="V15" t="inlineStr">
        <is>
          <t xml:space="preserve">Dezember</t>
        </is>
      </c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 t="inlineStr">
        <is>
          <t xml:space="preserve">Sachsen</t>
        </is>
      </c>
      <c r="P16">
        <v>5.5</v>
      </c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 t="inlineStr">
        <is>
          <t xml:space="preserve">Sachsen-Anhalt</t>
        </is>
      </c>
      <c r="P17">
        <v>5</v>
      </c>
    </row>
    <row r="1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 t="inlineStr">
        <is>
          <t xml:space="preserve">Schleswig-Holstein</t>
        </is>
      </c>
      <c r="P18">
        <v>6.5</v>
      </c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 t="inlineStr">
        <is>
          <t xml:space="preserve">Thüringen</t>
        </is>
      </c>
      <c r="P19">
        <v>5</v>
      </c>
    </row>
    <row r="22">
      <c r="A22"/>
      <c r="B22" s="4" t="inlineStr">
        <is>
          <t xml:space="preserve">B · Mietlauf (Vertrag × Jahr, Monat für Monat)</t>
        </is>
      </c>
    </row>
    <row r="23">
      <c r="A23"/>
      <c r="B23" s="24" t="inlineStr">
        <is>
          <t xml:space="preserve">Vertrag</t>
        </is>
      </c>
      <c r="C23" s="24" t="inlineStr">
        <is>
          <t xml:space="preserve">Jahr</t>
        </is>
      </c>
      <c r="D23" s="24" t="inlineStr">
        <is>
          <t xml:space="preserve">Objekt</t>
        </is>
      </c>
      <c r="E23" s="24" t="inlineStr">
        <is>
          <t xml:space="preserve">Jan</t>
        </is>
      </c>
      <c r="F23" s="24" t="inlineStr">
        <is>
          <t xml:space="preserve">Feb</t>
        </is>
      </c>
      <c r="G23" s="24" t="inlineStr">
        <is>
          <t xml:space="preserve">Mrz</t>
        </is>
      </c>
      <c r="H23" s="24" t="inlineStr">
        <is>
          <t xml:space="preserve">Apr</t>
        </is>
      </c>
      <c r="I23" s="24" t="inlineStr">
        <is>
          <t xml:space="preserve">Mai</t>
        </is>
      </c>
      <c r="J23" s="24" t="inlineStr">
        <is>
          <t xml:space="preserve">Jun</t>
        </is>
      </c>
      <c r="K23" s="24" t="inlineStr">
        <is>
          <t xml:space="preserve">Jul</t>
        </is>
      </c>
      <c r="L23" s="24" t="inlineStr">
        <is>
          <t xml:space="preserve">Aug</t>
        </is>
      </c>
      <c r="M23" s="24" t="inlineStr">
        <is>
          <t xml:space="preserve">Sep</t>
        </is>
      </c>
      <c r="N23" s="24" t="inlineStr">
        <is>
          <t xml:space="preserve">Okt</t>
        </is>
      </c>
      <c r="O23" s="24" t="inlineStr">
        <is>
          <t xml:space="preserve">Nov</t>
        </is>
      </c>
      <c r="P23" s="24" t="inlineStr">
        <is>
          <t xml:space="preserve">Dez</t>
        </is>
      </c>
      <c r="Q23" s="24" t="inlineStr">
        <is>
          <t xml:space="preserve">Summe</t>
        </is>
      </c>
      <c r="R23"/>
      <c r="S23" s="24" t="inlineStr">
        <is>
          <t xml:space="preserve">Beginn</t>
        </is>
      </c>
      <c r="T23" s="24" t="inlineStr">
        <is>
          <t xml:space="preserve">Ende</t>
        </is>
      </c>
      <c r="U23" s="24" t="inlineStr">
        <is>
          <t xml:space="preserve">Satz</t>
        </is>
      </c>
      <c r="V23" s="24" t="inlineStr">
        <is>
          <t xml:space="preserve">Key 1</t>
        </is>
      </c>
      <c r="W23" s="24" t="inlineStr">
        <is>
          <t xml:space="preserve">Key 2</t>
        </is>
      </c>
      <c r="X23" s="24" t="inlineStr">
        <is>
          <t xml:space="preserve">Key 3</t>
        </is>
      </c>
      <c r="Y23" s="24" t="inlineStr">
        <is>
          <t xml:space="preserve">Kalt 1</t>
        </is>
      </c>
      <c r="Z23" s="24" t="inlineStr">
        <is>
          <t xml:space="preserve">Kalt 2</t>
        </is>
      </c>
      <c r="AA23" s="24" t="inlineStr">
        <is>
          <t xml:space="preserve">Kalt 3</t>
        </is>
      </c>
      <c r="AB23" s="24" t="inlineStr">
        <is>
          <t xml:space="preserve">Basisjahr 1</t>
        </is>
      </c>
      <c r="AC23" s="24" t="inlineStr">
        <is>
          <t xml:space="preserve">Basisjahr 2</t>
        </is>
      </c>
      <c r="AD23" s="24" t="inlineStr">
        <is>
          <t xml:space="preserve">Basisjahr 3</t>
        </is>
      </c>
    </row>
    <row r="24">
      <c r="A24"/>
      <c r="B24">
        <v>1</v>
      </c>
      <c r="C24" s="43">
        <f>Jahr+0</f>
      </c>
      <c r="D24" s="43">
        <f>INDEX(MvObj,1)</f>
      </c>
      <c r="E24" s="43">
        <f>IF($S$24=0,0,IF(OR(DATE($C24,1,15)&lt;$S$24,AND($T$24&gt;0,DATE($C24,1,15)&gt;$T$24)),0,IF(DATE($C24,1,15)&gt;=$X$24,$AA$24*(1+($U$24)/100)^MAX(0,$C24-$AD$24),IF(DATE($C24,1,15)&gt;=$W$24,$Z$24*(1+($U$24)/100)^MAX(0,$C24-$AC$24),IF(DATE($C24,1,15)&gt;=$V$24,$Y$24*(1+($U$24)/100)^MAX(0,$C24-$AB$24),0)))))</f>
      </c>
      <c r="F24" s="43">
        <f>IF($S$24=0,0,IF(OR(DATE($C24,2,15)&lt;$S$24,AND($T$24&gt;0,DATE($C24,2,15)&gt;$T$24)),0,IF(DATE($C24,2,15)&gt;=$X$24,$AA$24*(1+($U$24)/100)^MAX(0,$C24-$AD$24),IF(DATE($C24,2,15)&gt;=$W$24,$Z$24*(1+($U$24)/100)^MAX(0,$C24-$AC$24),IF(DATE($C24,2,15)&gt;=$V$24,$Y$24*(1+($U$24)/100)^MAX(0,$C24-$AB$24),0)))))</f>
      </c>
      <c r="G24" s="43">
        <f>IF($S$24=0,0,IF(OR(DATE($C24,3,15)&lt;$S$24,AND($T$24&gt;0,DATE($C24,3,15)&gt;$T$24)),0,IF(DATE($C24,3,15)&gt;=$X$24,$AA$24*(1+($U$24)/100)^MAX(0,$C24-$AD$24),IF(DATE($C24,3,15)&gt;=$W$24,$Z$24*(1+($U$24)/100)^MAX(0,$C24-$AC$24),IF(DATE($C24,3,15)&gt;=$V$24,$Y$24*(1+($U$24)/100)^MAX(0,$C24-$AB$24),0)))))</f>
      </c>
      <c r="H24" s="43">
        <f>IF($S$24=0,0,IF(OR(DATE($C24,4,15)&lt;$S$24,AND($T$24&gt;0,DATE($C24,4,15)&gt;$T$24)),0,IF(DATE($C24,4,15)&gt;=$X$24,$AA$24*(1+($U$24)/100)^MAX(0,$C24-$AD$24),IF(DATE($C24,4,15)&gt;=$W$24,$Z$24*(1+($U$24)/100)^MAX(0,$C24-$AC$24),IF(DATE($C24,4,15)&gt;=$V$24,$Y$24*(1+($U$24)/100)^MAX(0,$C24-$AB$24),0)))))</f>
      </c>
      <c r="I24" s="43">
        <f>IF($S$24=0,0,IF(OR(DATE($C24,5,15)&lt;$S$24,AND($T$24&gt;0,DATE($C24,5,15)&gt;$T$24)),0,IF(DATE($C24,5,15)&gt;=$X$24,$AA$24*(1+($U$24)/100)^MAX(0,$C24-$AD$24),IF(DATE($C24,5,15)&gt;=$W$24,$Z$24*(1+($U$24)/100)^MAX(0,$C24-$AC$24),IF(DATE($C24,5,15)&gt;=$V$24,$Y$24*(1+($U$24)/100)^MAX(0,$C24-$AB$24),0)))))</f>
      </c>
      <c r="J24" s="43">
        <f>IF($S$24=0,0,IF(OR(DATE($C24,6,15)&lt;$S$24,AND($T$24&gt;0,DATE($C24,6,15)&gt;$T$24)),0,IF(DATE($C24,6,15)&gt;=$X$24,$AA$24*(1+($U$24)/100)^MAX(0,$C24-$AD$24),IF(DATE($C24,6,15)&gt;=$W$24,$Z$24*(1+($U$24)/100)^MAX(0,$C24-$AC$24),IF(DATE($C24,6,15)&gt;=$V$24,$Y$24*(1+($U$24)/100)^MAX(0,$C24-$AB$24),0)))))</f>
      </c>
      <c r="K24" s="43">
        <f>IF($S$24=0,0,IF(OR(DATE($C24,7,15)&lt;$S$24,AND($T$24&gt;0,DATE($C24,7,15)&gt;$T$24)),0,IF(DATE($C24,7,15)&gt;=$X$24,$AA$24*(1+($U$24)/100)^MAX(0,$C24-$AD$24),IF(DATE($C24,7,15)&gt;=$W$24,$Z$24*(1+($U$24)/100)^MAX(0,$C24-$AC$24),IF(DATE($C24,7,15)&gt;=$V$24,$Y$24*(1+($U$24)/100)^MAX(0,$C24-$AB$24),0)))))</f>
      </c>
      <c r="L24" s="43">
        <f>IF($S$24=0,0,IF(OR(DATE($C24,8,15)&lt;$S$24,AND($T$24&gt;0,DATE($C24,8,15)&gt;$T$24)),0,IF(DATE($C24,8,15)&gt;=$X$24,$AA$24*(1+($U$24)/100)^MAX(0,$C24-$AD$24),IF(DATE($C24,8,15)&gt;=$W$24,$Z$24*(1+($U$24)/100)^MAX(0,$C24-$AC$24),IF(DATE($C24,8,15)&gt;=$V$24,$Y$24*(1+($U$24)/100)^MAX(0,$C24-$AB$24),0)))))</f>
      </c>
      <c r="M24" s="43">
        <f>IF($S$24=0,0,IF(OR(DATE($C24,9,15)&lt;$S$24,AND($T$24&gt;0,DATE($C24,9,15)&gt;$T$24)),0,IF(DATE($C24,9,15)&gt;=$X$24,$AA$24*(1+($U$24)/100)^MAX(0,$C24-$AD$24),IF(DATE($C24,9,15)&gt;=$W$24,$Z$24*(1+($U$24)/100)^MAX(0,$C24-$AC$24),IF(DATE($C24,9,15)&gt;=$V$24,$Y$24*(1+($U$24)/100)^MAX(0,$C24-$AB$24),0)))))</f>
      </c>
      <c r="N24" s="43">
        <f>IF($S$24=0,0,IF(OR(DATE($C24,10,15)&lt;$S$24,AND($T$24&gt;0,DATE($C24,10,15)&gt;$T$24)),0,IF(DATE($C24,10,15)&gt;=$X$24,$AA$24*(1+($U$24)/100)^MAX(0,$C24-$AD$24),IF(DATE($C24,10,15)&gt;=$W$24,$Z$24*(1+($U$24)/100)^MAX(0,$C24-$AC$24),IF(DATE($C24,10,15)&gt;=$V$24,$Y$24*(1+($U$24)/100)^MAX(0,$C24-$AB$24),0)))))</f>
      </c>
      <c r="O24" s="43">
        <f>IF($S$24=0,0,IF(OR(DATE($C24,11,15)&lt;$S$24,AND($T$24&gt;0,DATE($C24,11,15)&gt;$T$24)),0,IF(DATE($C24,11,15)&gt;=$X$24,$AA$24*(1+($U$24)/100)^MAX(0,$C24-$AD$24),IF(DATE($C24,11,15)&gt;=$W$24,$Z$24*(1+($U$24)/100)^MAX(0,$C24-$AC$24),IF(DATE($C24,11,15)&gt;=$V$24,$Y$24*(1+($U$24)/100)^MAX(0,$C24-$AB$24),0)))))</f>
      </c>
      <c r="P24" s="43">
        <f>IF($S$24=0,0,IF(OR(DATE($C24,12,15)&lt;$S$24,AND($T$24&gt;0,DATE($C24,12,15)&gt;$T$24)),0,IF(DATE($C24,12,15)&gt;=$X$24,$AA$24*(1+($U$24)/100)^MAX(0,$C24-$AD$24),IF(DATE($C24,12,15)&gt;=$W$24,$Z$24*(1+($U$24)/100)^MAX(0,$C24-$AC$24),IF(DATE($C24,12,15)&gt;=$V$24,$Y$24*(1+($U$24)/100)^MAX(0,$C24-$AB$24),0)))))</f>
      </c>
      <c r="Q24" s="43">
        <f>SUM($E24:$P24)</f>
      </c>
      <c r="R24"/>
      <c r="S24" s="43">
        <f>IF(INDEX(MvBeginn,1)="",0,INDEX(MvBeginn,1))</f>
      </c>
      <c r="T24" s="43">
        <f>INDEX(MvEnde,1)</f>
      </c>
      <c r="U24" s="43">
        <f>INDEX(MvSatz,1)</f>
      </c>
      <c r="V24" s="43">
        <f>INDEX(MvKey1,1)</f>
      </c>
      <c r="W24" s="43">
        <f>INDEX(MvKey2,1)</f>
      </c>
      <c r="X24" s="43">
        <f>INDEX(MvKey3,1)</f>
      </c>
      <c r="Y24" s="43">
        <f>INDEX(MvKalt1,1)</f>
      </c>
      <c r="Z24" s="43">
        <f>INDEX(MvKalt2,1)</f>
      </c>
      <c r="AA24" s="43">
        <f>INDEX(MvKalt3,1)</f>
      </c>
      <c r="AB24" s="43">
        <f>MAX(YEAR(INDEX(MvAb1,1)),Jahr)</f>
      </c>
      <c r="AC24" s="43">
        <f>MAX(YEAR(INDEX(MvAb2,1)),Jahr)</f>
      </c>
      <c r="AD24" s="43">
        <f>MAX(YEAR(INDEX(MvAb3,1)),Jahr)</f>
      </c>
    </row>
    <row r="25">
      <c r="A25"/>
      <c r="B25">
        <v>1</v>
      </c>
      <c r="C25" s="43">
        <f>Jahr+1</f>
      </c>
      <c r="D25" s="43">
        <f>INDEX(MvObj,1)</f>
      </c>
      <c r="E25" s="43">
        <f>IF($S$24=0,0,IF(OR(DATE($C25,1,15)&lt;$S$24,AND($T$24&gt;0,DATE($C25,1,15)&gt;$T$24)),0,IF(DATE($C25,1,15)&gt;=$X$24,$AA$24*(1+($U$24)/100)^MAX(0,$C25-$AD$24),IF(DATE($C25,1,15)&gt;=$W$24,$Z$24*(1+($U$24)/100)^MAX(0,$C25-$AC$24),IF(DATE($C25,1,15)&gt;=$V$24,$Y$24*(1+($U$24)/100)^MAX(0,$C25-$AB$24),0)))))</f>
      </c>
      <c r="F25" s="43">
        <f>IF($S$24=0,0,IF(OR(DATE($C25,2,15)&lt;$S$24,AND($T$24&gt;0,DATE($C25,2,15)&gt;$T$24)),0,IF(DATE($C25,2,15)&gt;=$X$24,$AA$24*(1+($U$24)/100)^MAX(0,$C25-$AD$24),IF(DATE($C25,2,15)&gt;=$W$24,$Z$24*(1+($U$24)/100)^MAX(0,$C25-$AC$24),IF(DATE($C25,2,15)&gt;=$V$24,$Y$24*(1+($U$24)/100)^MAX(0,$C25-$AB$24),0)))))</f>
      </c>
      <c r="G25" s="43">
        <f>IF($S$24=0,0,IF(OR(DATE($C25,3,15)&lt;$S$24,AND($T$24&gt;0,DATE($C25,3,15)&gt;$T$24)),0,IF(DATE($C25,3,15)&gt;=$X$24,$AA$24*(1+($U$24)/100)^MAX(0,$C25-$AD$24),IF(DATE($C25,3,15)&gt;=$W$24,$Z$24*(1+($U$24)/100)^MAX(0,$C25-$AC$24),IF(DATE($C25,3,15)&gt;=$V$24,$Y$24*(1+($U$24)/100)^MAX(0,$C25-$AB$24),0)))))</f>
      </c>
      <c r="H25" s="43">
        <f>IF($S$24=0,0,IF(OR(DATE($C25,4,15)&lt;$S$24,AND($T$24&gt;0,DATE($C25,4,15)&gt;$T$24)),0,IF(DATE($C25,4,15)&gt;=$X$24,$AA$24*(1+($U$24)/100)^MAX(0,$C25-$AD$24),IF(DATE($C25,4,15)&gt;=$W$24,$Z$24*(1+($U$24)/100)^MAX(0,$C25-$AC$24),IF(DATE($C25,4,15)&gt;=$V$24,$Y$24*(1+($U$24)/100)^MAX(0,$C25-$AB$24),0)))))</f>
      </c>
      <c r="I25" s="43">
        <f>IF($S$24=0,0,IF(OR(DATE($C25,5,15)&lt;$S$24,AND($T$24&gt;0,DATE($C25,5,15)&gt;$T$24)),0,IF(DATE($C25,5,15)&gt;=$X$24,$AA$24*(1+($U$24)/100)^MAX(0,$C25-$AD$24),IF(DATE($C25,5,15)&gt;=$W$24,$Z$24*(1+($U$24)/100)^MAX(0,$C25-$AC$24),IF(DATE($C25,5,15)&gt;=$V$24,$Y$24*(1+($U$24)/100)^MAX(0,$C25-$AB$24),0)))))</f>
      </c>
      <c r="J25" s="43">
        <f>IF($S$24=0,0,IF(OR(DATE($C25,6,15)&lt;$S$24,AND($T$24&gt;0,DATE($C25,6,15)&gt;$T$24)),0,IF(DATE($C25,6,15)&gt;=$X$24,$AA$24*(1+($U$24)/100)^MAX(0,$C25-$AD$24),IF(DATE($C25,6,15)&gt;=$W$24,$Z$24*(1+($U$24)/100)^MAX(0,$C25-$AC$24),IF(DATE($C25,6,15)&gt;=$V$24,$Y$24*(1+($U$24)/100)^MAX(0,$C25-$AB$24),0)))))</f>
      </c>
      <c r="K25" s="43">
        <f>IF($S$24=0,0,IF(OR(DATE($C25,7,15)&lt;$S$24,AND($T$24&gt;0,DATE($C25,7,15)&gt;$T$24)),0,IF(DATE($C25,7,15)&gt;=$X$24,$AA$24*(1+($U$24)/100)^MAX(0,$C25-$AD$24),IF(DATE($C25,7,15)&gt;=$W$24,$Z$24*(1+($U$24)/100)^MAX(0,$C25-$AC$24),IF(DATE($C25,7,15)&gt;=$V$24,$Y$24*(1+($U$24)/100)^MAX(0,$C25-$AB$24),0)))))</f>
      </c>
      <c r="L25" s="43">
        <f>IF($S$24=0,0,IF(OR(DATE($C25,8,15)&lt;$S$24,AND($T$24&gt;0,DATE($C25,8,15)&gt;$T$24)),0,IF(DATE($C25,8,15)&gt;=$X$24,$AA$24*(1+($U$24)/100)^MAX(0,$C25-$AD$24),IF(DATE($C25,8,15)&gt;=$W$24,$Z$24*(1+($U$24)/100)^MAX(0,$C25-$AC$24),IF(DATE($C25,8,15)&gt;=$V$24,$Y$24*(1+($U$24)/100)^MAX(0,$C25-$AB$24),0)))))</f>
      </c>
      <c r="M25" s="43">
        <f>IF($S$24=0,0,IF(OR(DATE($C25,9,15)&lt;$S$24,AND($T$24&gt;0,DATE($C25,9,15)&gt;$T$24)),0,IF(DATE($C25,9,15)&gt;=$X$24,$AA$24*(1+($U$24)/100)^MAX(0,$C25-$AD$24),IF(DATE($C25,9,15)&gt;=$W$24,$Z$24*(1+($U$24)/100)^MAX(0,$C25-$AC$24),IF(DATE($C25,9,15)&gt;=$V$24,$Y$24*(1+($U$24)/100)^MAX(0,$C25-$AB$24),0)))))</f>
      </c>
      <c r="N25" s="43">
        <f>IF($S$24=0,0,IF(OR(DATE($C25,10,15)&lt;$S$24,AND($T$24&gt;0,DATE($C25,10,15)&gt;$T$24)),0,IF(DATE($C25,10,15)&gt;=$X$24,$AA$24*(1+($U$24)/100)^MAX(0,$C25-$AD$24),IF(DATE($C25,10,15)&gt;=$W$24,$Z$24*(1+($U$24)/100)^MAX(0,$C25-$AC$24),IF(DATE($C25,10,15)&gt;=$V$24,$Y$24*(1+($U$24)/100)^MAX(0,$C25-$AB$24),0)))))</f>
      </c>
      <c r="O25" s="43">
        <f>IF($S$24=0,0,IF(OR(DATE($C25,11,15)&lt;$S$24,AND($T$24&gt;0,DATE($C25,11,15)&gt;$T$24)),0,IF(DATE($C25,11,15)&gt;=$X$24,$AA$24*(1+($U$24)/100)^MAX(0,$C25-$AD$24),IF(DATE($C25,11,15)&gt;=$W$24,$Z$24*(1+($U$24)/100)^MAX(0,$C25-$AC$24),IF(DATE($C25,11,15)&gt;=$V$24,$Y$24*(1+($U$24)/100)^MAX(0,$C25-$AB$24),0)))))</f>
      </c>
      <c r="P25" s="43">
        <f>IF($S$24=0,0,IF(OR(DATE($C25,12,15)&lt;$S$24,AND($T$24&gt;0,DATE($C25,12,15)&gt;$T$24)),0,IF(DATE($C25,12,15)&gt;=$X$24,$AA$24*(1+($U$24)/100)^MAX(0,$C25-$AD$24),IF(DATE($C25,12,15)&gt;=$W$24,$Z$24*(1+($U$24)/100)^MAX(0,$C25-$AC$24),IF(DATE($C25,12,15)&gt;=$V$24,$Y$24*(1+($U$24)/100)^MAX(0,$C25-$AB$24),0)))))</f>
      </c>
      <c r="Q25" s="43">
        <f>SUM($E25:$P25)</f>
      </c>
    </row>
    <row r="26">
      <c r="A26"/>
      <c r="B26">
        <v>1</v>
      </c>
      <c r="C26" s="43">
        <f>Jahr+2</f>
      </c>
      <c r="D26" s="43">
        <f>INDEX(MvObj,1)</f>
      </c>
      <c r="E26" s="43">
        <f>IF($S$24=0,0,IF(OR(DATE($C26,1,15)&lt;$S$24,AND($T$24&gt;0,DATE($C26,1,15)&gt;$T$24)),0,IF(DATE($C26,1,15)&gt;=$X$24,$AA$24*(1+($U$24)/100)^MAX(0,$C26-$AD$24),IF(DATE($C26,1,15)&gt;=$W$24,$Z$24*(1+($U$24)/100)^MAX(0,$C26-$AC$24),IF(DATE($C26,1,15)&gt;=$V$24,$Y$24*(1+($U$24)/100)^MAX(0,$C26-$AB$24),0)))))</f>
      </c>
      <c r="F26" s="43">
        <f>IF($S$24=0,0,IF(OR(DATE($C26,2,15)&lt;$S$24,AND($T$24&gt;0,DATE($C26,2,15)&gt;$T$24)),0,IF(DATE($C26,2,15)&gt;=$X$24,$AA$24*(1+($U$24)/100)^MAX(0,$C26-$AD$24),IF(DATE($C26,2,15)&gt;=$W$24,$Z$24*(1+($U$24)/100)^MAX(0,$C26-$AC$24),IF(DATE($C26,2,15)&gt;=$V$24,$Y$24*(1+($U$24)/100)^MAX(0,$C26-$AB$24),0)))))</f>
      </c>
      <c r="G26" s="43">
        <f>IF($S$24=0,0,IF(OR(DATE($C26,3,15)&lt;$S$24,AND($T$24&gt;0,DATE($C26,3,15)&gt;$T$24)),0,IF(DATE($C26,3,15)&gt;=$X$24,$AA$24*(1+($U$24)/100)^MAX(0,$C26-$AD$24),IF(DATE($C26,3,15)&gt;=$W$24,$Z$24*(1+($U$24)/100)^MAX(0,$C26-$AC$24),IF(DATE($C26,3,15)&gt;=$V$24,$Y$24*(1+($U$24)/100)^MAX(0,$C26-$AB$24),0)))))</f>
      </c>
      <c r="H26" s="43">
        <f>IF($S$24=0,0,IF(OR(DATE($C26,4,15)&lt;$S$24,AND($T$24&gt;0,DATE($C26,4,15)&gt;$T$24)),0,IF(DATE($C26,4,15)&gt;=$X$24,$AA$24*(1+($U$24)/100)^MAX(0,$C26-$AD$24),IF(DATE($C26,4,15)&gt;=$W$24,$Z$24*(1+($U$24)/100)^MAX(0,$C26-$AC$24),IF(DATE($C26,4,15)&gt;=$V$24,$Y$24*(1+($U$24)/100)^MAX(0,$C26-$AB$24),0)))))</f>
      </c>
      <c r="I26" s="43">
        <f>IF($S$24=0,0,IF(OR(DATE($C26,5,15)&lt;$S$24,AND($T$24&gt;0,DATE($C26,5,15)&gt;$T$24)),0,IF(DATE($C26,5,15)&gt;=$X$24,$AA$24*(1+($U$24)/100)^MAX(0,$C26-$AD$24),IF(DATE($C26,5,15)&gt;=$W$24,$Z$24*(1+($U$24)/100)^MAX(0,$C26-$AC$24),IF(DATE($C26,5,15)&gt;=$V$24,$Y$24*(1+($U$24)/100)^MAX(0,$C26-$AB$24),0)))))</f>
      </c>
      <c r="J26" s="43">
        <f>IF($S$24=0,0,IF(OR(DATE($C26,6,15)&lt;$S$24,AND($T$24&gt;0,DATE($C26,6,15)&gt;$T$24)),0,IF(DATE($C26,6,15)&gt;=$X$24,$AA$24*(1+($U$24)/100)^MAX(0,$C26-$AD$24),IF(DATE($C26,6,15)&gt;=$W$24,$Z$24*(1+($U$24)/100)^MAX(0,$C26-$AC$24),IF(DATE($C26,6,15)&gt;=$V$24,$Y$24*(1+($U$24)/100)^MAX(0,$C26-$AB$24),0)))))</f>
      </c>
      <c r="K26" s="43">
        <f>IF($S$24=0,0,IF(OR(DATE($C26,7,15)&lt;$S$24,AND($T$24&gt;0,DATE($C26,7,15)&gt;$T$24)),0,IF(DATE($C26,7,15)&gt;=$X$24,$AA$24*(1+($U$24)/100)^MAX(0,$C26-$AD$24),IF(DATE($C26,7,15)&gt;=$W$24,$Z$24*(1+($U$24)/100)^MAX(0,$C26-$AC$24),IF(DATE($C26,7,15)&gt;=$V$24,$Y$24*(1+($U$24)/100)^MAX(0,$C26-$AB$24),0)))))</f>
      </c>
      <c r="L26" s="43">
        <f>IF($S$24=0,0,IF(OR(DATE($C26,8,15)&lt;$S$24,AND($T$24&gt;0,DATE($C26,8,15)&gt;$T$24)),0,IF(DATE($C26,8,15)&gt;=$X$24,$AA$24*(1+($U$24)/100)^MAX(0,$C26-$AD$24),IF(DATE($C26,8,15)&gt;=$W$24,$Z$24*(1+($U$24)/100)^MAX(0,$C26-$AC$24),IF(DATE($C26,8,15)&gt;=$V$24,$Y$24*(1+($U$24)/100)^MAX(0,$C26-$AB$24),0)))))</f>
      </c>
      <c r="M26" s="43">
        <f>IF($S$24=0,0,IF(OR(DATE($C26,9,15)&lt;$S$24,AND($T$24&gt;0,DATE($C26,9,15)&gt;$T$24)),0,IF(DATE($C26,9,15)&gt;=$X$24,$AA$24*(1+($U$24)/100)^MAX(0,$C26-$AD$24),IF(DATE($C26,9,15)&gt;=$W$24,$Z$24*(1+($U$24)/100)^MAX(0,$C26-$AC$24),IF(DATE($C26,9,15)&gt;=$V$24,$Y$24*(1+($U$24)/100)^MAX(0,$C26-$AB$24),0)))))</f>
      </c>
      <c r="N26" s="43">
        <f>IF($S$24=0,0,IF(OR(DATE($C26,10,15)&lt;$S$24,AND($T$24&gt;0,DATE($C26,10,15)&gt;$T$24)),0,IF(DATE($C26,10,15)&gt;=$X$24,$AA$24*(1+($U$24)/100)^MAX(0,$C26-$AD$24),IF(DATE($C26,10,15)&gt;=$W$24,$Z$24*(1+($U$24)/100)^MAX(0,$C26-$AC$24),IF(DATE($C26,10,15)&gt;=$V$24,$Y$24*(1+($U$24)/100)^MAX(0,$C26-$AB$24),0)))))</f>
      </c>
      <c r="O26" s="43">
        <f>IF($S$24=0,0,IF(OR(DATE($C26,11,15)&lt;$S$24,AND($T$24&gt;0,DATE($C26,11,15)&gt;$T$24)),0,IF(DATE($C26,11,15)&gt;=$X$24,$AA$24*(1+($U$24)/100)^MAX(0,$C26-$AD$24),IF(DATE($C26,11,15)&gt;=$W$24,$Z$24*(1+($U$24)/100)^MAX(0,$C26-$AC$24),IF(DATE($C26,11,15)&gt;=$V$24,$Y$24*(1+($U$24)/100)^MAX(0,$C26-$AB$24),0)))))</f>
      </c>
      <c r="P26" s="43">
        <f>IF($S$24=0,0,IF(OR(DATE($C26,12,15)&lt;$S$24,AND($T$24&gt;0,DATE($C26,12,15)&gt;$T$24)),0,IF(DATE($C26,12,15)&gt;=$X$24,$AA$24*(1+($U$24)/100)^MAX(0,$C26-$AD$24),IF(DATE($C26,12,15)&gt;=$W$24,$Z$24*(1+($U$24)/100)^MAX(0,$C26-$AC$24),IF(DATE($C26,12,15)&gt;=$V$24,$Y$24*(1+($U$24)/100)^MAX(0,$C26-$AB$24),0)))))</f>
      </c>
      <c r="Q26" s="43">
        <f>SUM($E26:$P26)</f>
      </c>
    </row>
    <row r="27">
      <c r="A27"/>
      <c r="B27">
        <v>1</v>
      </c>
      <c r="C27" s="43">
        <f>Jahr+3</f>
      </c>
      <c r="D27" s="43">
        <f>INDEX(MvObj,1)</f>
      </c>
      <c r="E27" s="43">
        <f>IF($S$24=0,0,IF(OR(DATE($C27,1,15)&lt;$S$24,AND($T$24&gt;0,DATE($C27,1,15)&gt;$T$24)),0,IF(DATE($C27,1,15)&gt;=$X$24,$AA$24*(1+($U$24)/100)^MAX(0,$C27-$AD$24),IF(DATE($C27,1,15)&gt;=$W$24,$Z$24*(1+($U$24)/100)^MAX(0,$C27-$AC$24),IF(DATE($C27,1,15)&gt;=$V$24,$Y$24*(1+($U$24)/100)^MAX(0,$C27-$AB$24),0)))))</f>
      </c>
      <c r="F27" s="43">
        <f>IF($S$24=0,0,IF(OR(DATE($C27,2,15)&lt;$S$24,AND($T$24&gt;0,DATE($C27,2,15)&gt;$T$24)),0,IF(DATE($C27,2,15)&gt;=$X$24,$AA$24*(1+($U$24)/100)^MAX(0,$C27-$AD$24),IF(DATE($C27,2,15)&gt;=$W$24,$Z$24*(1+($U$24)/100)^MAX(0,$C27-$AC$24),IF(DATE($C27,2,15)&gt;=$V$24,$Y$24*(1+($U$24)/100)^MAX(0,$C27-$AB$24),0)))))</f>
      </c>
      <c r="G27" s="43">
        <f>IF($S$24=0,0,IF(OR(DATE($C27,3,15)&lt;$S$24,AND($T$24&gt;0,DATE($C27,3,15)&gt;$T$24)),0,IF(DATE($C27,3,15)&gt;=$X$24,$AA$24*(1+($U$24)/100)^MAX(0,$C27-$AD$24),IF(DATE($C27,3,15)&gt;=$W$24,$Z$24*(1+($U$24)/100)^MAX(0,$C27-$AC$24),IF(DATE($C27,3,15)&gt;=$V$24,$Y$24*(1+($U$24)/100)^MAX(0,$C27-$AB$24),0)))))</f>
      </c>
      <c r="H27" s="43">
        <f>IF($S$24=0,0,IF(OR(DATE($C27,4,15)&lt;$S$24,AND($T$24&gt;0,DATE($C27,4,15)&gt;$T$24)),0,IF(DATE($C27,4,15)&gt;=$X$24,$AA$24*(1+($U$24)/100)^MAX(0,$C27-$AD$24),IF(DATE($C27,4,15)&gt;=$W$24,$Z$24*(1+($U$24)/100)^MAX(0,$C27-$AC$24),IF(DATE($C27,4,15)&gt;=$V$24,$Y$24*(1+($U$24)/100)^MAX(0,$C27-$AB$24),0)))))</f>
      </c>
      <c r="I27" s="43">
        <f>IF($S$24=0,0,IF(OR(DATE($C27,5,15)&lt;$S$24,AND($T$24&gt;0,DATE($C27,5,15)&gt;$T$24)),0,IF(DATE($C27,5,15)&gt;=$X$24,$AA$24*(1+($U$24)/100)^MAX(0,$C27-$AD$24),IF(DATE($C27,5,15)&gt;=$W$24,$Z$24*(1+($U$24)/100)^MAX(0,$C27-$AC$24),IF(DATE($C27,5,15)&gt;=$V$24,$Y$24*(1+($U$24)/100)^MAX(0,$C27-$AB$24),0)))))</f>
      </c>
      <c r="J27" s="43">
        <f>IF($S$24=0,0,IF(OR(DATE($C27,6,15)&lt;$S$24,AND($T$24&gt;0,DATE($C27,6,15)&gt;$T$24)),0,IF(DATE($C27,6,15)&gt;=$X$24,$AA$24*(1+($U$24)/100)^MAX(0,$C27-$AD$24),IF(DATE($C27,6,15)&gt;=$W$24,$Z$24*(1+($U$24)/100)^MAX(0,$C27-$AC$24),IF(DATE($C27,6,15)&gt;=$V$24,$Y$24*(1+($U$24)/100)^MAX(0,$C27-$AB$24),0)))))</f>
      </c>
      <c r="K27" s="43">
        <f>IF($S$24=0,0,IF(OR(DATE($C27,7,15)&lt;$S$24,AND($T$24&gt;0,DATE($C27,7,15)&gt;$T$24)),0,IF(DATE($C27,7,15)&gt;=$X$24,$AA$24*(1+($U$24)/100)^MAX(0,$C27-$AD$24),IF(DATE($C27,7,15)&gt;=$W$24,$Z$24*(1+($U$24)/100)^MAX(0,$C27-$AC$24),IF(DATE($C27,7,15)&gt;=$V$24,$Y$24*(1+($U$24)/100)^MAX(0,$C27-$AB$24),0)))))</f>
      </c>
      <c r="L27" s="43">
        <f>IF($S$24=0,0,IF(OR(DATE($C27,8,15)&lt;$S$24,AND($T$24&gt;0,DATE($C27,8,15)&gt;$T$24)),0,IF(DATE($C27,8,15)&gt;=$X$24,$AA$24*(1+($U$24)/100)^MAX(0,$C27-$AD$24),IF(DATE($C27,8,15)&gt;=$W$24,$Z$24*(1+($U$24)/100)^MAX(0,$C27-$AC$24),IF(DATE($C27,8,15)&gt;=$V$24,$Y$24*(1+($U$24)/100)^MAX(0,$C27-$AB$24),0)))))</f>
      </c>
      <c r="M27" s="43">
        <f>IF($S$24=0,0,IF(OR(DATE($C27,9,15)&lt;$S$24,AND($T$24&gt;0,DATE($C27,9,15)&gt;$T$24)),0,IF(DATE($C27,9,15)&gt;=$X$24,$AA$24*(1+($U$24)/100)^MAX(0,$C27-$AD$24),IF(DATE($C27,9,15)&gt;=$W$24,$Z$24*(1+($U$24)/100)^MAX(0,$C27-$AC$24),IF(DATE($C27,9,15)&gt;=$V$24,$Y$24*(1+($U$24)/100)^MAX(0,$C27-$AB$24),0)))))</f>
      </c>
      <c r="N27" s="43">
        <f>IF($S$24=0,0,IF(OR(DATE($C27,10,15)&lt;$S$24,AND($T$24&gt;0,DATE($C27,10,15)&gt;$T$24)),0,IF(DATE($C27,10,15)&gt;=$X$24,$AA$24*(1+($U$24)/100)^MAX(0,$C27-$AD$24),IF(DATE($C27,10,15)&gt;=$W$24,$Z$24*(1+($U$24)/100)^MAX(0,$C27-$AC$24),IF(DATE($C27,10,15)&gt;=$V$24,$Y$24*(1+($U$24)/100)^MAX(0,$C27-$AB$24),0)))))</f>
      </c>
      <c r="O27" s="43">
        <f>IF($S$24=0,0,IF(OR(DATE($C27,11,15)&lt;$S$24,AND($T$24&gt;0,DATE($C27,11,15)&gt;$T$24)),0,IF(DATE($C27,11,15)&gt;=$X$24,$AA$24*(1+($U$24)/100)^MAX(0,$C27-$AD$24),IF(DATE($C27,11,15)&gt;=$W$24,$Z$24*(1+($U$24)/100)^MAX(0,$C27-$AC$24),IF(DATE($C27,11,15)&gt;=$V$24,$Y$24*(1+($U$24)/100)^MAX(0,$C27-$AB$24),0)))))</f>
      </c>
      <c r="P27" s="43">
        <f>IF($S$24=0,0,IF(OR(DATE($C27,12,15)&lt;$S$24,AND($T$24&gt;0,DATE($C27,12,15)&gt;$T$24)),0,IF(DATE($C27,12,15)&gt;=$X$24,$AA$24*(1+($U$24)/100)^MAX(0,$C27-$AD$24),IF(DATE($C27,12,15)&gt;=$W$24,$Z$24*(1+($U$24)/100)^MAX(0,$C27-$AC$24),IF(DATE($C27,12,15)&gt;=$V$24,$Y$24*(1+($U$24)/100)^MAX(0,$C27-$AB$24),0)))))</f>
      </c>
      <c r="Q27" s="43">
        <f>SUM($E27:$P27)</f>
      </c>
    </row>
    <row r="28">
      <c r="A28"/>
      <c r="B28">
        <v>1</v>
      </c>
      <c r="C28" s="43">
        <f>Jahr+4</f>
      </c>
      <c r="D28" s="43">
        <f>INDEX(MvObj,1)</f>
      </c>
      <c r="E28" s="43">
        <f>IF($S$24=0,0,IF(OR(DATE($C28,1,15)&lt;$S$24,AND($T$24&gt;0,DATE($C28,1,15)&gt;$T$24)),0,IF(DATE($C28,1,15)&gt;=$X$24,$AA$24*(1+($U$24)/100)^MAX(0,$C28-$AD$24),IF(DATE($C28,1,15)&gt;=$W$24,$Z$24*(1+($U$24)/100)^MAX(0,$C28-$AC$24),IF(DATE($C28,1,15)&gt;=$V$24,$Y$24*(1+($U$24)/100)^MAX(0,$C28-$AB$24),0)))))</f>
      </c>
      <c r="F28" s="43">
        <f>IF($S$24=0,0,IF(OR(DATE($C28,2,15)&lt;$S$24,AND($T$24&gt;0,DATE($C28,2,15)&gt;$T$24)),0,IF(DATE($C28,2,15)&gt;=$X$24,$AA$24*(1+($U$24)/100)^MAX(0,$C28-$AD$24),IF(DATE($C28,2,15)&gt;=$W$24,$Z$24*(1+($U$24)/100)^MAX(0,$C28-$AC$24),IF(DATE($C28,2,15)&gt;=$V$24,$Y$24*(1+($U$24)/100)^MAX(0,$C28-$AB$24),0)))))</f>
      </c>
      <c r="G28" s="43">
        <f>IF($S$24=0,0,IF(OR(DATE($C28,3,15)&lt;$S$24,AND($T$24&gt;0,DATE($C28,3,15)&gt;$T$24)),0,IF(DATE($C28,3,15)&gt;=$X$24,$AA$24*(1+($U$24)/100)^MAX(0,$C28-$AD$24),IF(DATE($C28,3,15)&gt;=$W$24,$Z$24*(1+($U$24)/100)^MAX(0,$C28-$AC$24),IF(DATE($C28,3,15)&gt;=$V$24,$Y$24*(1+($U$24)/100)^MAX(0,$C28-$AB$24),0)))))</f>
      </c>
      <c r="H28" s="43">
        <f>IF($S$24=0,0,IF(OR(DATE($C28,4,15)&lt;$S$24,AND($T$24&gt;0,DATE($C28,4,15)&gt;$T$24)),0,IF(DATE($C28,4,15)&gt;=$X$24,$AA$24*(1+($U$24)/100)^MAX(0,$C28-$AD$24),IF(DATE($C28,4,15)&gt;=$W$24,$Z$24*(1+($U$24)/100)^MAX(0,$C28-$AC$24),IF(DATE($C28,4,15)&gt;=$V$24,$Y$24*(1+($U$24)/100)^MAX(0,$C28-$AB$24),0)))))</f>
      </c>
      <c r="I28" s="43">
        <f>IF($S$24=0,0,IF(OR(DATE($C28,5,15)&lt;$S$24,AND($T$24&gt;0,DATE($C28,5,15)&gt;$T$24)),0,IF(DATE($C28,5,15)&gt;=$X$24,$AA$24*(1+($U$24)/100)^MAX(0,$C28-$AD$24),IF(DATE($C28,5,15)&gt;=$W$24,$Z$24*(1+($U$24)/100)^MAX(0,$C28-$AC$24),IF(DATE($C28,5,15)&gt;=$V$24,$Y$24*(1+($U$24)/100)^MAX(0,$C28-$AB$24),0)))))</f>
      </c>
      <c r="J28" s="43">
        <f>IF($S$24=0,0,IF(OR(DATE($C28,6,15)&lt;$S$24,AND($T$24&gt;0,DATE($C28,6,15)&gt;$T$24)),0,IF(DATE($C28,6,15)&gt;=$X$24,$AA$24*(1+($U$24)/100)^MAX(0,$C28-$AD$24),IF(DATE($C28,6,15)&gt;=$W$24,$Z$24*(1+($U$24)/100)^MAX(0,$C28-$AC$24),IF(DATE($C28,6,15)&gt;=$V$24,$Y$24*(1+($U$24)/100)^MAX(0,$C28-$AB$24),0)))))</f>
      </c>
      <c r="K28" s="43">
        <f>IF($S$24=0,0,IF(OR(DATE($C28,7,15)&lt;$S$24,AND($T$24&gt;0,DATE($C28,7,15)&gt;$T$24)),0,IF(DATE($C28,7,15)&gt;=$X$24,$AA$24*(1+($U$24)/100)^MAX(0,$C28-$AD$24),IF(DATE($C28,7,15)&gt;=$W$24,$Z$24*(1+($U$24)/100)^MAX(0,$C28-$AC$24),IF(DATE($C28,7,15)&gt;=$V$24,$Y$24*(1+($U$24)/100)^MAX(0,$C28-$AB$24),0)))))</f>
      </c>
      <c r="L28" s="43">
        <f>IF($S$24=0,0,IF(OR(DATE($C28,8,15)&lt;$S$24,AND($T$24&gt;0,DATE($C28,8,15)&gt;$T$24)),0,IF(DATE($C28,8,15)&gt;=$X$24,$AA$24*(1+($U$24)/100)^MAX(0,$C28-$AD$24),IF(DATE($C28,8,15)&gt;=$W$24,$Z$24*(1+($U$24)/100)^MAX(0,$C28-$AC$24),IF(DATE($C28,8,15)&gt;=$V$24,$Y$24*(1+($U$24)/100)^MAX(0,$C28-$AB$24),0)))))</f>
      </c>
      <c r="M28" s="43">
        <f>IF($S$24=0,0,IF(OR(DATE($C28,9,15)&lt;$S$24,AND($T$24&gt;0,DATE($C28,9,15)&gt;$T$24)),0,IF(DATE($C28,9,15)&gt;=$X$24,$AA$24*(1+($U$24)/100)^MAX(0,$C28-$AD$24),IF(DATE($C28,9,15)&gt;=$W$24,$Z$24*(1+($U$24)/100)^MAX(0,$C28-$AC$24),IF(DATE($C28,9,15)&gt;=$V$24,$Y$24*(1+($U$24)/100)^MAX(0,$C28-$AB$24),0)))))</f>
      </c>
      <c r="N28" s="43">
        <f>IF($S$24=0,0,IF(OR(DATE($C28,10,15)&lt;$S$24,AND($T$24&gt;0,DATE($C28,10,15)&gt;$T$24)),0,IF(DATE($C28,10,15)&gt;=$X$24,$AA$24*(1+($U$24)/100)^MAX(0,$C28-$AD$24),IF(DATE($C28,10,15)&gt;=$W$24,$Z$24*(1+($U$24)/100)^MAX(0,$C28-$AC$24),IF(DATE($C28,10,15)&gt;=$V$24,$Y$24*(1+($U$24)/100)^MAX(0,$C28-$AB$24),0)))))</f>
      </c>
      <c r="O28" s="43">
        <f>IF($S$24=0,0,IF(OR(DATE($C28,11,15)&lt;$S$24,AND($T$24&gt;0,DATE($C28,11,15)&gt;$T$24)),0,IF(DATE($C28,11,15)&gt;=$X$24,$AA$24*(1+($U$24)/100)^MAX(0,$C28-$AD$24),IF(DATE($C28,11,15)&gt;=$W$24,$Z$24*(1+($U$24)/100)^MAX(0,$C28-$AC$24),IF(DATE($C28,11,15)&gt;=$V$24,$Y$24*(1+($U$24)/100)^MAX(0,$C28-$AB$24),0)))))</f>
      </c>
      <c r="P28" s="43">
        <f>IF($S$24=0,0,IF(OR(DATE($C28,12,15)&lt;$S$24,AND($T$24&gt;0,DATE($C28,12,15)&gt;$T$24)),0,IF(DATE($C28,12,15)&gt;=$X$24,$AA$24*(1+($U$24)/100)^MAX(0,$C28-$AD$24),IF(DATE($C28,12,15)&gt;=$W$24,$Z$24*(1+($U$24)/100)^MAX(0,$C28-$AC$24),IF(DATE($C28,12,15)&gt;=$V$24,$Y$24*(1+($U$24)/100)^MAX(0,$C28-$AB$24),0)))))</f>
      </c>
      <c r="Q28" s="43">
        <f>SUM($E28:$P28)</f>
      </c>
    </row>
    <row r="29">
      <c r="A29"/>
      <c r="B29">
        <v>1</v>
      </c>
      <c r="C29" s="43">
        <f>Jahr+5</f>
      </c>
      <c r="D29" s="43">
        <f>INDEX(MvObj,1)</f>
      </c>
      <c r="E29" s="43">
        <f>IF($S$24=0,0,IF(OR(DATE($C29,1,15)&lt;$S$24,AND($T$24&gt;0,DATE($C29,1,15)&gt;$T$24)),0,IF(DATE($C29,1,15)&gt;=$X$24,$AA$24*(1+($U$24)/100)^MAX(0,$C29-$AD$24),IF(DATE($C29,1,15)&gt;=$W$24,$Z$24*(1+($U$24)/100)^MAX(0,$C29-$AC$24),IF(DATE($C29,1,15)&gt;=$V$24,$Y$24*(1+($U$24)/100)^MAX(0,$C29-$AB$24),0)))))</f>
      </c>
      <c r="F29" s="43">
        <f>IF($S$24=0,0,IF(OR(DATE($C29,2,15)&lt;$S$24,AND($T$24&gt;0,DATE($C29,2,15)&gt;$T$24)),0,IF(DATE($C29,2,15)&gt;=$X$24,$AA$24*(1+($U$24)/100)^MAX(0,$C29-$AD$24),IF(DATE($C29,2,15)&gt;=$W$24,$Z$24*(1+($U$24)/100)^MAX(0,$C29-$AC$24),IF(DATE($C29,2,15)&gt;=$V$24,$Y$24*(1+($U$24)/100)^MAX(0,$C29-$AB$24),0)))))</f>
      </c>
      <c r="G29" s="43">
        <f>IF($S$24=0,0,IF(OR(DATE($C29,3,15)&lt;$S$24,AND($T$24&gt;0,DATE($C29,3,15)&gt;$T$24)),0,IF(DATE($C29,3,15)&gt;=$X$24,$AA$24*(1+($U$24)/100)^MAX(0,$C29-$AD$24),IF(DATE($C29,3,15)&gt;=$W$24,$Z$24*(1+($U$24)/100)^MAX(0,$C29-$AC$24),IF(DATE($C29,3,15)&gt;=$V$24,$Y$24*(1+($U$24)/100)^MAX(0,$C29-$AB$24),0)))))</f>
      </c>
      <c r="H29" s="43">
        <f>IF($S$24=0,0,IF(OR(DATE($C29,4,15)&lt;$S$24,AND($T$24&gt;0,DATE($C29,4,15)&gt;$T$24)),0,IF(DATE($C29,4,15)&gt;=$X$24,$AA$24*(1+($U$24)/100)^MAX(0,$C29-$AD$24),IF(DATE($C29,4,15)&gt;=$W$24,$Z$24*(1+($U$24)/100)^MAX(0,$C29-$AC$24),IF(DATE($C29,4,15)&gt;=$V$24,$Y$24*(1+($U$24)/100)^MAX(0,$C29-$AB$24),0)))))</f>
      </c>
      <c r="I29" s="43">
        <f>IF($S$24=0,0,IF(OR(DATE($C29,5,15)&lt;$S$24,AND($T$24&gt;0,DATE($C29,5,15)&gt;$T$24)),0,IF(DATE($C29,5,15)&gt;=$X$24,$AA$24*(1+($U$24)/100)^MAX(0,$C29-$AD$24),IF(DATE($C29,5,15)&gt;=$W$24,$Z$24*(1+($U$24)/100)^MAX(0,$C29-$AC$24),IF(DATE($C29,5,15)&gt;=$V$24,$Y$24*(1+($U$24)/100)^MAX(0,$C29-$AB$24),0)))))</f>
      </c>
      <c r="J29" s="43">
        <f>IF($S$24=0,0,IF(OR(DATE($C29,6,15)&lt;$S$24,AND($T$24&gt;0,DATE($C29,6,15)&gt;$T$24)),0,IF(DATE($C29,6,15)&gt;=$X$24,$AA$24*(1+($U$24)/100)^MAX(0,$C29-$AD$24),IF(DATE($C29,6,15)&gt;=$W$24,$Z$24*(1+($U$24)/100)^MAX(0,$C29-$AC$24),IF(DATE($C29,6,15)&gt;=$V$24,$Y$24*(1+($U$24)/100)^MAX(0,$C29-$AB$24),0)))))</f>
      </c>
      <c r="K29" s="43">
        <f>IF($S$24=0,0,IF(OR(DATE($C29,7,15)&lt;$S$24,AND($T$24&gt;0,DATE($C29,7,15)&gt;$T$24)),0,IF(DATE($C29,7,15)&gt;=$X$24,$AA$24*(1+($U$24)/100)^MAX(0,$C29-$AD$24),IF(DATE($C29,7,15)&gt;=$W$24,$Z$24*(1+($U$24)/100)^MAX(0,$C29-$AC$24),IF(DATE($C29,7,15)&gt;=$V$24,$Y$24*(1+($U$24)/100)^MAX(0,$C29-$AB$24),0)))))</f>
      </c>
      <c r="L29" s="43">
        <f>IF($S$24=0,0,IF(OR(DATE($C29,8,15)&lt;$S$24,AND($T$24&gt;0,DATE($C29,8,15)&gt;$T$24)),0,IF(DATE($C29,8,15)&gt;=$X$24,$AA$24*(1+($U$24)/100)^MAX(0,$C29-$AD$24),IF(DATE($C29,8,15)&gt;=$W$24,$Z$24*(1+($U$24)/100)^MAX(0,$C29-$AC$24),IF(DATE($C29,8,15)&gt;=$V$24,$Y$24*(1+($U$24)/100)^MAX(0,$C29-$AB$24),0)))))</f>
      </c>
      <c r="M29" s="43">
        <f>IF($S$24=0,0,IF(OR(DATE($C29,9,15)&lt;$S$24,AND($T$24&gt;0,DATE($C29,9,15)&gt;$T$24)),0,IF(DATE($C29,9,15)&gt;=$X$24,$AA$24*(1+($U$24)/100)^MAX(0,$C29-$AD$24),IF(DATE($C29,9,15)&gt;=$W$24,$Z$24*(1+($U$24)/100)^MAX(0,$C29-$AC$24),IF(DATE($C29,9,15)&gt;=$V$24,$Y$24*(1+($U$24)/100)^MAX(0,$C29-$AB$24),0)))))</f>
      </c>
      <c r="N29" s="43">
        <f>IF($S$24=0,0,IF(OR(DATE($C29,10,15)&lt;$S$24,AND($T$24&gt;0,DATE($C29,10,15)&gt;$T$24)),0,IF(DATE($C29,10,15)&gt;=$X$24,$AA$24*(1+($U$24)/100)^MAX(0,$C29-$AD$24),IF(DATE($C29,10,15)&gt;=$W$24,$Z$24*(1+($U$24)/100)^MAX(0,$C29-$AC$24),IF(DATE($C29,10,15)&gt;=$V$24,$Y$24*(1+($U$24)/100)^MAX(0,$C29-$AB$24),0)))))</f>
      </c>
      <c r="O29" s="43">
        <f>IF($S$24=0,0,IF(OR(DATE($C29,11,15)&lt;$S$24,AND($T$24&gt;0,DATE($C29,11,15)&gt;$T$24)),0,IF(DATE($C29,11,15)&gt;=$X$24,$AA$24*(1+($U$24)/100)^MAX(0,$C29-$AD$24),IF(DATE($C29,11,15)&gt;=$W$24,$Z$24*(1+($U$24)/100)^MAX(0,$C29-$AC$24),IF(DATE($C29,11,15)&gt;=$V$24,$Y$24*(1+($U$24)/100)^MAX(0,$C29-$AB$24),0)))))</f>
      </c>
      <c r="P29" s="43">
        <f>IF($S$24=0,0,IF(OR(DATE($C29,12,15)&lt;$S$24,AND($T$24&gt;0,DATE($C29,12,15)&gt;$T$24)),0,IF(DATE($C29,12,15)&gt;=$X$24,$AA$24*(1+($U$24)/100)^MAX(0,$C29-$AD$24),IF(DATE($C29,12,15)&gt;=$W$24,$Z$24*(1+($U$24)/100)^MAX(0,$C29-$AC$24),IF(DATE($C29,12,15)&gt;=$V$24,$Y$24*(1+($U$24)/100)^MAX(0,$C29-$AB$24),0)))))</f>
      </c>
      <c r="Q29" s="43">
        <f>SUM($E29:$P29)</f>
      </c>
    </row>
    <row r="30">
      <c r="A30"/>
      <c r="B30">
        <v>1</v>
      </c>
      <c r="C30" s="43">
        <f>Jahr+6</f>
      </c>
      <c r="D30" s="43">
        <f>INDEX(MvObj,1)</f>
      </c>
      <c r="E30" s="43">
        <f>IF($S$24=0,0,IF(OR(DATE($C30,1,15)&lt;$S$24,AND($T$24&gt;0,DATE($C30,1,15)&gt;$T$24)),0,IF(DATE($C30,1,15)&gt;=$X$24,$AA$24*(1+($U$24)/100)^MAX(0,$C30-$AD$24),IF(DATE($C30,1,15)&gt;=$W$24,$Z$24*(1+($U$24)/100)^MAX(0,$C30-$AC$24),IF(DATE($C30,1,15)&gt;=$V$24,$Y$24*(1+($U$24)/100)^MAX(0,$C30-$AB$24),0)))))</f>
      </c>
      <c r="F30" s="43">
        <f>IF($S$24=0,0,IF(OR(DATE($C30,2,15)&lt;$S$24,AND($T$24&gt;0,DATE($C30,2,15)&gt;$T$24)),0,IF(DATE($C30,2,15)&gt;=$X$24,$AA$24*(1+($U$24)/100)^MAX(0,$C30-$AD$24),IF(DATE($C30,2,15)&gt;=$W$24,$Z$24*(1+($U$24)/100)^MAX(0,$C30-$AC$24),IF(DATE($C30,2,15)&gt;=$V$24,$Y$24*(1+($U$24)/100)^MAX(0,$C30-$AB$24),0)))))</f>
      </c>
      <c r="G30" s="43">
        <f>IF($S$24=0,0,IF(OR(DATE($C30,3,15)&lt;$S$24,AND($T$24&gt;0,DATE($C30,3,15)&gt;$T$24)),0,IF(DATE($C30,3,15)&gt;=$X$24,$AA$24*(1+($U$24)/100)^MAX(0,$C30-$AD$24),IF(DATE($C30,3,15)&gt;=$W$24,$Z$24*(1+($U$24)/100)^MAX(0,$C30-$AC$24),IF(DATE($C30,3,15)&gt;=$V$24,$Y$24*(1+($U$24)/100)^MAX(0,$C30-$AB$24),0)))))</f>
      </c>
      <c r="H30" s="43">
        <f>IF($S$24=0,0,IF(OR(DATE($C30,4,15)&lt;$S$24,AND($T$24&gt;0,DATE($C30,4,15)&gt;$T$24)),0,IF(DATE($C30,4,15)&gt;=$X$24,$AA$24*(1+($U$24)/100)^MAX(0,$C30-$AD$24),IF(DATE($C30,4,15)&gt;=$W$24,$Z$24*(1+($U$24)/100)^MAX(0,$C30-$AC$24),IF(DATE($C30,4,15)&gt;=$V$24,$Y$24*(1+($U$24)/100)^MAX(0,$C30-$AB$24),0)))))</f>
      </c>
      <c r="I30" s="43">
        <f>IF($S$24=0,0,IF(OR(DATE($C30,5,15)&lt;$S$24,AND($T$24&gt;0,DATE($C30,5,15)&gt;$T$24)),0,IF(DATE($C30,5,15)&gt;=$X$24,$AA$24*(1+($U$24)/100)^MAX(0,$C30-$AD$24),IF(DATE($C30,5,15)&gt;=$W$24,$Z$24*(1+($U$24)/100)^MAX(0,$C30-$AC$24),IF(DATE($C30,5,15)&gt;=$V$24,$Y$24*(1+($U$24)/100)^MAX(0,$C30-$AB$24),0)))))</f>
      </c>
      <c r="J30" s="43">
        <f>IF($S$24=0,0,IF(OR(DATE($C30,6,15)&lt;$S$24,AND($T$24&gt;0,DATE($C30,6,15)&gt;$T$24)),0,IF(DATE($C30,6,15)&gt;=$X$24,$AA$24*(1+($U$24)/100)^MAX(0,$C30-$AD$24),IF(DATE($C30,6,15)&gt;=$W$24,$Z$24*(1+($U$24)/100)^MAX(0,$C30-$AC$24),IF(DATE($C30,6,15)&gt;=$V$24,$Y$24*(1+($U$24)/100)^MAX(0,$C30-$AB$24),0)))))</f>
      </c>
      <c r="K30" s="43">
        <f>IF($S$24=0,0,IF(OR(DATE($C30,7,15)&lt;$S$24,AND($T$24&gt;0,DATE($C30,7,15)&gt;$T$24)),0,IF(DATE($C30,7,15)&gt;=$X$24,$AA$24*(1+($U$24)/100)^MAX(0,$C30-$AD$24),IF(DATE($C30,7,15)&gt;=$W$24,$Z$24*(1+($U$24)/100)^MAX(0,$C30-$AC$24),IF(DATE($C30,7,15)&gt;=$V$24,$Y$24*(1+($U$24)/100)^MAX(0,$C30-$AB$24),0)))))</f>
      </c>
      <c r="L30" s="43">
        <f>IF($S$24=0,0,IF(OR(DATE($C30,8,15)&lt;$S$24,AND($T$24&gt;0,DATE($C30,8,15)&gt;$T$24)),0,IF(DATE($C30,8,15)&gt;=$X$24,$AA$24*(1+($U$24)/100)^MAX(0,$C30-$AD$24),IF(DATE($C30,8,15)&gt;=$W$24,$Z$24*(1+($U$24)/100)^MAX(0,$C30-$AC$24),IF(DATE($C30,8,15)&gt;=$V$24,$Y$24*(1+($U$24)/100)^MAX(0,$C30-$AB$24),0)))))</f>
      </c>
      <c r="M30" s="43">
        <f>IF($S$24=0,0,IF(OR(DATE($C30,9,15)&lt;$S$24,AND($T$24&gt;0,DATE($C30,9,15)&gt;$T$24)),0,IF(DATE($C30,9,15)&gt;=$X$24,$AA$24*(1+($U$24)/100)^MAX(0,$C30-$AD$24),IF(DATE($C30,9,15)&gt;=$W$24,$Z$24*(1+($U$24)/100)^MAX(0,$C30-$AC$24),IF(DATE($C30,9,15)&gt;=$V$24,$Y$24*(1+($U$24)/100)^MAX(0,$C30-$AB$24),0)))))</f>
      </c>
      <c r="N30" s="43">
        <f>IF($S$24=0,0,IF(OR(DATE($C30,10,15)&lt;$S$24,AND($T$24&gt;0,DATE($C30,10,15)&gt;$T$24)),0,IF(DATE($C30,10,15)&gt;=$X$24,$AA$24*(1+($U$24)/100)^MAX(0,$C30-$AD$24),IF(DATE($C30,10,15)&gt;=$W$24,$Z$24*(1+($U$24)/100)^MAX(0,$C30-$AC$24),IF(DATE($C30,10,15)&gt;=$V$24,$Y$24*(1+($U$24)/100)^MAX(0,$C30-$AB$24),0)))))</f>
      </c>
      <c r="O30" s="43">
        <f>IF($S$24=0,0,IF(OR(DATE($C30,11,15)&lt;$S$24,AND($T$24&gt;0,DATE($C30,11,15)&gt;$T$24)),0,IF(DATE($C30,11,15)&gt;=$X$24,$AA$24*(1+($U$24)/100)^MAX(0,$C30-$AD$24),IF(DATE($C30,11,15)&gt;=$W$24,$Z$24*(1+($U$24)/100)^MAX(0,$C30-$AC$24),IF(DATE($C30,11,15)&gt;=$V$24,$Y$24*(1+($U$24)/100)^MAX(0,$C30-$AB$24),0)))))</f>
      </c>
      <c r="P30" s="43">
        <f>IF($S$24=0,0,IF(OR(DATE($C30,12,15)&lt;$S$24,AND($T$24&gt;0,DATE($C30,12,15)&gt;$T$24)),0,IF(DATE($C30,12,15)&gt;=$X$24,$AA$24*(1+($U$24)/100)^MAX(0,$C30-$AD$24),IF(DATE($C30,12,15)&gt;=$W$24,$Z$24*(1+($U$24)/100)^MAX(0,$C30-$AC$24),IF(DATE($C30,12,15)&gt;=$V$24,$Y$24*(1+($U$24)/100)^MAX(0,$C30-$AB$24),0)))))</f>
      </c>
      <c r="Q30" s="43">
        <f>SUM($E30:$P30)</f>
      </c>
    </row>
    <row r="31">
      <c r="A31"/>
      <c r="B31">
        <v>1</v>
      </c>
      <c r="C31" s="43">
        <f>Jahr+7</f>
      </c>
      <c r="D31" s="43">
        <f>INDEX(MvObj,1)</f>
      </c>
      <c r="E31" s="43">
        <f>IF($S$24=0,0,IF(OR(DATE($C31,1,15)&lt;$S$24,AND($T$24&gt;0,DATE($C31,1,15)&gt;$T$24)),0,IF(DATE($C31,1,15)&gt;=$X$24,$AA$24*(1+($U$24)/100)^MAX(0,$C31-$AD$24),IF(DATE($C31,1,15)&gt;=$W$24,$Z$24*(1+($U$24)/100)^MAX(0,$C31-$AC$24),IF(DATE($C31,1,15)&gt;=$V$24,$Y$24*(1+($U$24)/100)^MAX(0,$C31-$AB$24),0)))))</f>
      </c>
      <c r="F31" s="43">
        <f>IF($S$24=0,0,IF(OR(DATE($C31,2,15)&lt;$S$24,AND($T$24&gt;0,DATE($C31,2,15)&gt;$T$24)),0,IF(DATE($C31,2,15)&gt;=$X$24,$AA$24*(1+($U$24)/100)^MAX(0,$C31-$AD$24),IF(DATE($C31,2,15)&gt;=$W$24,$Z$24*(1+($U$24)/100)^MAX(0,$C31-$AC$24),IF(DATE($C31,2,15)&gt;=$V$24,$Y$24*(1+($U$24)/100)^MAX(0,$C31-$AB$24),0)))))</f>
      </c>
      <c r="G31" s="43">
        <f>IF($S$24=0,0,IF(OR(DATE($C31,3,15)&lt;$S$24,AND($T$24&gt;0,DATE($C31,3,15)&gt;$T$24)),0,IF(DATE($C31,3,15)&gt;=$X$24,$AA$24*(1+($U$24)/100)^MAX(0,$C31-$AD$24),IF(DATE($C31,3,15)&gt;=$W$24,$Z$24*(1+($U$24)/100)^MAX(0,$C31-$AC$24),IF(DATE($C31,3,15)&gt;=$V$24,$Y$24*(1+($U$24)/100)^MAX(0,$C31-$AB$24),0)))))</f>
      </c>
      <c r="H31" s="43">
        <f>IF($S$24=0,0,IF(OR(DATE($C31,4,15)&lt;$S$24,AND($T$24&gt;0,DATE($C31,4,15)&gt;$T$24)),0,IF(DATE($C31,4,15)&gt;=$X$24,$AA$24*(1+($U$24)/100)^MAX(0,$C31-$AD$24),IF(DATE($C31,4,15)&gt;=$W$24,$Z$24*(1+($U$24)/100)^MAX(0,$C31-$AC$24),IF(DATE($C31,4,15)&gt;=$V$24,$Y$24*(1+($U$24)/100)^MAX(0,$C31-$AB$24),0)))))</f>
      </c>
      <c r="I31" s="43">
        <f>IF($S$24=0,0,IF(OR(DATE($C31,5,15)&lt;$S$24,AND($T$24&gt;0,DATE($C31,5,15)&gt;$T$24)),0,IF(DATE($C31,5,15)&gt;=$X$24,$AA$24*(1+($U$24)/100)^MAX(0,$C31-$AD$24),IF(DATE($C31,5,15)&gt;=$W$24,$Z$24*(1+($U$24)/100)^MAX(0,$C31-$AC$24),IF(DATE($C31,5,15)&gt;=$V$24,$Y$24*(1+($U$24)/100)^MAX(0,$C31-$AB$24),0)))))</f>
      </c>
      <c r="J31" s="43">
        <f>IF($S$24=0,0,IF(OR(DATE($C31,6,15)&lt;$S$24,AND($T$24&gt;0,DATE($C31,6,15)&gt;$T$24)),0,IF(DATE($C31,6,15)&gt;=$X$24,$AA$24*(1+($U$24)/100)^MAX(0,$C31-$AD$24),IF(DATE($C31,6,15)&gt;=$W$24,$Z$24*(1+($U$24)/100)^MAX(0,$C31-$AC$24),IF(DATE($C31,6,15)&gt;=$V$24,$Y$24*(1+($U$24)/100)^MAX(0,$C31-$AB$24),0)))))</f>
      </c>
      <c r="K31" s="43">
        <f>IF($S$24=0,0,IF(OR(DATE($C31,7,15)&lt;$S$24,AND($T$24&gt;0,DATE($C31,7,15)&gt;$T$24)),0,IF(DATE($C31,7,15)&gt;=$X$24,$AA$24*(1+($U$24)/100)^MAX(0,$C31-$AD$24),IF(DATE($C31,7,15)&gt;=$W$24,$Z$24*(1+($U$24)/100)^MAX(0,$C31-$AC$24),IF(DATE($C31,7,15)&gt;=$V$24,$Y$24*(1+($U$24)/100)^MAX(0,$C31-$AB$24),0)))))</f>
      </c>
      <c r="L31" s="43">
        <f>IF($S$24=0,0,IF(OR(DATE($C31,8,15)&lt;$S$24,AND($T$24&gt;0,DATE($C31,8,15)&gt;$T$24)),0,IF(DATE($C31,8,15)&gt;=$X$24,$AA$24*(1+($U$24)/100)^MAX(0,$C31-$AD$24),IF(DATE($C31,8,15)&gt;=$W$24,$Z$24*(1+($U$24)/100)^MAX(0,$C31-$AC$24),IF(DATE($C31,8,15)&gt;=$V$24,$Y$24*(1+($U$24)/100)^MAX(0,$C31-$AB$24),0)))))</f>
      </c>
      <c r="M31" s="43">
        <f>IF($S$24=0,0,IF(OR(DATE($C31,9,15)&lt;$S$24,AND($T$24&gt;0,DATE($C31,9,15)&gt;$T$24)),0,IF(DATE($C31,9,15)&gt;=$X$24,$AA$24*(1+($U$24)/100)^MAX(0,$C31-$AD$24),IF(DATE($C31,9,15)&gt;=$W$24,$Z$24*(1+($U$24)/100)^MAX(0,$C31-$AC$24),IF(DATE($C31,9,15)&gt;=$V$24,$Y$24*(1+($U$24)/100)^MAX(0,$C31-$AB$24),0)))))</f>
      </c>
      <c r="N31" s="43">
        <f>IF($S$24=0,0,IF(OR(DATE($C31,10,15)&lt;$S$24,AND($T$24&gt;0,DATE($C31,10,15)&gt;$T$24)),0,IF(DATE($C31,10,15)&gt;=$X$24,$AA$24*(1+($U$24)/100)^MAX(0,$C31-$AD$24),IF(DATE($C31,10,15)&gt;=$W$24,$Z$24*(1+($U$24)/100)^MAX(0,$C31-$AC$24),IF(DATE($C31,10,15)&gt;=$V$24,$Y$24*(1+($U$24)/100)^MAX(0,$C31-$AB$24),0)))))</f>
      </c>
      <c r="O31" s="43">
        <f>IF($S$24=0,0,IF(OR(DATE($C31,11,15)&lt;$S$24,AND($T$24&gt;0,DATE($C31,11,15)&gt;$T$24)),0,IF(DATE($C31,11,15)&gt;=$X$24,$AA$24*(1+($U$24)/100)^MAX(0,$C31-$AD$24),IF(DATE($C31,11,15)&gt;=$W$24,$Z$24*(1+($U$24)/100)^MAX(0,$C31-$AC$24),IF(DATE($C31,11,15)&gt;=$V$24,$Y$24*(1+($U$24)/100)^MAX(0,$C31-$AB$24),0)))))</f>
      </c>
      <c r="P31" s="43">
        <f>IF($S$24=0,0,IF(OR(DATE($C31,12,15)&lt;$S$24,AND($T$24&gt;0,DATE($C31,12,15)&gt;$T$24)),0,IF(DATE($C31,12,15)&gt;=$X$24,$AA$24*(1+($U$24)/100)^MAX(0,$C31-$AD$24),IF(DATE($C31,12,15)&gt;=$W$24,$Z$24*(1+($U$24)/100)^MAX(0,$C31-$AC$24),IF(DATE($C31,12,15)&gt;=$V$24,$Y$24*(1+($U$24)/100)^MAX(0,$C31-$AB$24),0)))))</f>
      </c>
      <c r="Q31" s="43">
        <f>SUM($E31:$P31)</f>
      </c>
    </row>
    <row r="32">
      <c r="A32"/>
      <c r="B32">
        <v>1</v>
      </c>
      <c r="C32" s="43">
        <f>Jahr+8</f>
      </c>
      <c r="D32" s="43">
        <f>INDEX(MvObj,1)</f>
      </c>
      <c r="E32" s="43">
        <f>IF($S$24=0,0,IF(OR(DATE($C32,1,15)&lt;$S$24,AND($T$24&gt;0,DATE($C32,1,15)&gt;$T$24)),0,IF(DATE($C32,1,15)&gt;=$X$24,$AA$24*(1+($U$24)/100)^MAX(0,$C32-$AD$24),IF(DATE($C32,1,15)&gt;=$W$24,$Z$24*(1+($U$24)/100)^MAX(0,$C32-$AC$24),IF(DATE($C32,1,15)&gt;=$V$24,$Y$24*(1+($U$24)/100)^MAX(0,$C32-$AB$24),0)))))</f>
      </c>
      <c r="F32" s="43">
        <f>IF($S$24=0,0,IF(OR(DATE($C32,2,15)&lt;$S$24,AND($T$24&gt;0,DATE($C32,2,15)&gt;$T$24)),0,IF(DATE($C32,2,15)&gt;=$X$24,$AA$24*(1+($U$24)/100)^MAX(0,$C32-$AD$24),IF(DATE($C32,2,15)&gt;=$W$24,$Z$24*(1+($U$24)/100)^MAX(0,$C32-$AC$24),IF(DATE($C32,2,15)&gt;=$V$24,$Y$24*(1+($U$24)/100)^MAX(0,$C32-$AB$24),0)))))</f>
      </c>
      <c r="G32" s="43">
        <f>IF($S$24=0,0,IF(OR(DATE($C32,3,15)&lt;$S$24,AND($T$24&gt;0,DATE($C32,3,15)&gt;$T$24)),0,IF(DATE($C32,3,15)&gt;=$X$24,$AA$24*(1+($U$24)/100)^MAX(0,$C32-$AD$24),IF(DATE($C32,3,15)&gt;=$W$24,$Z$24*(1+($U$24)/100)^MAX(0,$C32-$AC$24),IF(DATE($C32,3,15)&gt;=$V$24,$Y$24*(1+($U$24)/100)^MAX(0,$C32-$AB$24),0)))))</f>
      </c>
      <c r="H32" s="43">
        <f>IF($S$24=0,0,IF(OR(DATE($C32,4,15)&lt;$S$24,AND($T$24&gt;0,DATE($C32,4,15)&gt;$T$24)),0,IF(DATE($C32,4,15)&gt;=$X$24,$AA$24*(1+($U$24)/100)^MAX(0,$C32-$AD$24),IF(DATE($C32,4,15)&gt;=$W$24,$Z$24*(1+($U$24)/100)^MAX(0,$C32-$AC$24),IF(DATE($C32,4,15)&gt;=$V$24,$Y$24*(1+($U$24)/100)^MAX(0,$C32-$AB$24),0)))))</f>
      </c>
      <c r="I32" s="43">
        <f>IF($S$24=0,0,IF(OR(DATE($C32,5,15)&lt;$S$24,AND($T$24&gt;0,DATE($C32,5,15)&gt;$T$24)),0,IF(DATE($C32,5,15)&gt;=$X$24,$AA$24*(1+($U$24)/100)^MAX(0,$C32-$AD$24),IF(DATE($C32,5,15)&gt;=$W$24,$Z$24*(1+($U$24)/100)^MAX(0,$C32-$AC$24),IF(DATE($C32,5,15)&gt;=$V$24,$Y$24*(1+($U$24)/100)^MAX(0,$C32-$AB$24),0)))))</f>
      </c>
      <c r="J32" s="43">
        <f>IF($S$24=0,0,IF(OR(DATE($C32,6,15)&lt;$S$24,AND($T$24&gt;0,DATE($C32,6,15)&gt;$T$24)),0,IF(DATE($C32,6,15)&gt;=$X$24,$AA$24*(1+($U$24)/100)^MAX(0,$C32-$AD$24),IF(DATE($C32,6,15)&gt;=$W$24,$Z$24*(1+($U$24)/100)^MAX(0,$C32-$AC$24),IF(DATE($C32,6,15)&gt;=$V$24,$Y$24*(1+($U$24)/100)^MAX(0,$C32-$AB$24),0)))))</f>
      </c>
      <c r="K32" s="43">
        <f>IF($S$24=0,0,IF(OR(DATE($C32,7,15)&lt;$S$24,AND($T$24&gt;0,DATE($C32,7,15)&gt;$T$24)),0,IF(DATE($C32,7,15)&gt;=$X$24,$AA$24*(1+($U$24)/100)^MAX(0,$C32-$AD$24),IF(DATE($C32,7,15)&gt;=$W$24,$Z$24*(1+($U$24)/100)^MAX(0,$C32-$AC$24),IF(DATE($C32,7,15)&gt;=$V$24,$Y$24*(1+($U$24)/100)^MAX(0,$C32-$AB$24),0)))))</f>
      </c>
      <c r="L32" s="43">
        <f>IF($S$24=0,0,IF(OR(DATE($C32,8,15)&lt;$S$24,AND($T$24&gt;0,DATE($C32,8,15)&gt;$T$24)),0,IF(DATE($C32,8,15)&gt;=$X$24,$AA$24*(1+($U$24)/100)^MAX(0,$C32-$AD$24),IF(DATE($C32,8,15)&gt;=$W$24,$Z$24*(1+($U$24)/100)^MAX(0,$C32-$AC$24),IF(DATE($C32,8,15)&gt;=$V$24,$Y$24*(1+($U$24)/100)^MAX(0,$C32-$AB$24),0)))))</f>
      </c>
      <c r="M32" s="43">
        <f>IF($S$24=0,0,IF(OR(DATE($C32,9,15)&lt;$S$24,AND($T$24&gt;0,DATE($C32,9,15)&gt;$T$24)),0,IF(DATE($C32,9,15)&gt;=$X$24,$AA$24*(1+($U$24)/100)^MAX(0,$C32-$AD$24),IF(DATE($C32,9,15)&gt;=$W$24,$Z$24*(1+($U$24)/100)^MAX(0,$C32-$AC$24),IF(DATE($C32,9,15)&gt;=$V$24,$Y$24*(1+($U$24)/100)^MAX(0,$C32-$AB$24),0)))))</f>
      </c>
      <c r="N32" s="43">
        <f>IF($S$24=0,0,IF(OR(DATE($C32,10,15)&lt;$S$24,AND($T$24&gt;0,DATE($C32,10,15)&gt;$T$24)),0,IF(DATE($C32,10,15)&gt;=$X$24,$AA$24*(1+($U$24)/100)^MAX(0,$C32-$AD$24),IF(DATE($C32,10,15)&gt;=$W$24,$Z$24*(1+($U$24)/100)^MAX(0,$C32-$AC$24),IF(DATE($C32,10,15)&gt;=$V$24,$Y$24*(1+($U$24)/100)^MAX(0,$C32-$AB$24),0)))))</f>
      </c>
      <c r="O32" s="43">
        <f>IF($S$24=0,0,IF(OR(DATE($C32,11,15)&lt;$S$24,AND($T$24&gt;0,DATE($C32,11,15)&gt;$T$24)),0,IF(DATE($C32,11,15)&gt;=$X$24,$AA$24*(1+($U$24)/100)^MAX(0,$C32-$AD$24),IF(DATE($C32,11,15)&gt;=$W$24,$Z$24*(1+($U$24)/100)^MAX(0,$C32-$AC$24),IF(DATE($C32,11,15)&gt;=$V$24,$Y$24*(1+($U$24)/100)^MAX(0,$C32-$AB$24),0)))))</f>
      </c>
      <c r="P32" s="43">
        <f>IF($S$24=0,0,IF(OR(DATE($C32,12,15)&lt;$S$24,AND($T$24&gt;0,DATE($C32,12,15)&gt;$T$24)),0,IF(DATE($C32,12,15)&gt;=$X$24,$AA$24*(1+($U$24)/100)^MAX(0,$C32-$AD$24),IF(DATE($C32,12,15)&gt;=$W$24,$Z$24*(1+($U$24)/100)^MAX(0,$C32-$AC$24),IF(DATE($C32,12,15)&gt;=$V$24,$Y$24*(1+($U$24)/100)^MAX(0,$C32-$AB$24),0)))))</f>
      </c>
      <c r="Q32" s="43">
        <f>SUM($E32:$P32)</f>
      </c>
    </row>
    <row r="33">
      <c r="A33"/>
      <c r="B33">
        <v>1</v>
      </c>
      <c r="C33" s="43">
        <f>Jahr+9</f>
      </c>
      <c r="D33" s="43">
        <f>INDEX(MvObj,1)</f>
      </c>
      <c r="E33" s="43">
        <f>IF($S$24=0,0,IF(OR(DATE($C33,1,15)&lt;$S$24,AND($T$24&gt;0,DATE($C33,1,15)&gt;$T$24)),0,IF(DATE($C33,1,15)&gt;=$X$24,$AA$24*(1+($U$24)/100)^MAX(0,$C33-$AD$24),IF(DATE($C33,1,15)&gt;=$W$24,$Z$24*(1+($U$24)/100)^MAX(0,$C33-$AC$24),IF(DATE($C33,1,15)&gt;=$V$24,$Y$24*(1+($U$24)/100)^MAX(0,$C33-$AB$24),0)))))</f>
      </c>
      <c r="F33" s="43">
        <f>IF($S$24=0,0,IF(OR(DATE($C33,2,15)&lt;$S$24,AND($T$24&gt;0,DATE($C33,2,15)&gt;$T$24)),0,IF(DATE($C33,2,15)&gt;=$X$24,$AA$24*(1+($U$24)/100)^MAX(0,$C33-$AD$24),IF(DATE($C33,2,15)&gt;=$W$24,$Z$24*(1+($U$24)/100)^MAX(0,$C33-$AC$24),IF(DATE($C33,2,15)&gt;=$V$24,$Y$24*(1+($U$24)/100)^MAX(0,$C33-$AB$24),0)))))</f>
      </c>
      <c r="G33" s="43">
        <f>IF($S$24=0,0,IF(OR(DATE($C33,3,15)&lt;$S$24,AND($T$24&gt;0,DATE($C33,3,15)&gt;$T$24)),0,IF(DATE($C33,3,15)&gt;=$X$24,$AA$24*(1+($U$24)/100)^MAX(0,$C33-$AD$24),IF(DATE($C33,3,15)&gt;=$W$24,$Z$24*(1+($U$24)/100)^MAX(0,$C33-$AC$24),IF(DATE($C33,3,15)&gt;=$V$24,$Y$24*(1+($U$24)/100)^MAX(0,$C33-$AB$24),0)))))</f>
      </c>
      <c r="H33" s="43">
        <f>IF($S$24=0,0,IF(OR(DATE($C33,4,15)&lt;$S$24,AND($T$24&gt;0,DATE($C33,4,15)&gt;$T$24)),0,IF(DATE($C33,4,15)&gt;=$X$24,$AA$24*(1+($U$24)/100)^MAX(0,$C33-$AD$24),IF(DATE($C33,4,15)&gt;=$W$24,$Z$24*(1+($U$24)/100)^MAX(0,$C33-$AC$24),IF(DATE($C33,4,15)&gt;=$V$24,$Y$24*(1+($U$24)/100)^MAX(0,$C33-$AB$24),0)))))</f>
      </c>
      <c r="I33" s="43">
        <f>IF($S$24=0,0,IF(OR(DATE($C33,5,15)&lt;$S$24,AND($T$24&gt;0,DATE($C33,5,15)&gt;$T$24)),0,IF(DATE($C33,5,15)&gt;=$X$24,$AA$24*(1+($U$24)/100)^MAX(0,$C33-$AD$24),IF(DATE($C33,5,15)&gt;=$W$24,$Z$24*(1+($U$24)/100)^MAX(0,$C33-$AC$24),IF(DATE($C33,5,15)&gt;=$V$24,$Y$24*(1+($U$24)/100)^MAX(0,$C33-$AB$24),0)))))</f>
      </c>
      <c r="J33" s="43">
        <f>IF($S$24=0,0,IF(OR(DATE($C33,6,15)&lt;$S$24,AND($T$24&gt;0,DATE($C33,6,15)&gt;$T$24)),0,IF(DATE($C33,6,15)&gt;=$X$24,$AA$24*(1+($U$24)/100)^MAX(0,$C33-$AD$24),IF(DATE($C33,6,15)&gt;=$W$24,$Z$24*(1+($U$24)/100)^MAX(0,$C33-$AC$24),IF(DATE($C33,6,15)&gt;=$V$24,$Y$24*(1+($U$24)/100)^MAX(0,$C33-$AB$24),0)))))</f>
      </c>
      <c r="K33" s="43">
        <f>IF($S$24=0,0,IF(OR(DATE($C33,7,15)&lt;$S$24,AND($T$24&gt;0,DATE($C33,7,15)&gt;$T$24)),0,IF(DATE($C33,7,15)&gt;=$X$24,$AA$24*(1+($U$24)/100)^MAX(0,$C33-$AD$24),IF(DATE($C33,7,15)&gt;=$W$24,$Z$24*(1+($U$24)/100)^MAX(0,$C33-$AC$24),IF(DATE($C33,7,15)&gt;=$V$24,$Y$24*(1+($U$24)/100)^MAX(0,$C33-$AB$24),0)))))</f>
      </c>
      <c r="L33" s="43">
        <f>IF($S$24=0,0,IF(OR(DATE($C33,8,15)&lt;$S$24,AND($T$24&gt;0,DATE($C33,8,15)&gt;$T$24)),0,IF(DATE($C33,8,15)&gt;=$X$24,$AA$24*(1+($U$24)/100)^MAX(0,$C33-$AD$24),IF(DATE($C33,8,15)&gt;=$W$24,$Z$24*(1+($U$24)/100)^MAX(0,$C33-$AC$24),IF(DATE($C33,8,15)&gt;=$V$24,$Y$24*(1+($U$24)/100)^MAX(0,$C33-$AB$24),0)))))</f>
      </c>
      <c r="M33" s="43">
        <f>IF($S$24=0,0,IF(OR(DATE($C33,9,15)&lt;$S$24,AND($T$24&gt;0,DATE($C33,9,15)&gt;$T$24)),0,IF(DATE($C33,9,15)&gt;=$X$24,$AA$24*(1+($U$24)/100)^MAX(0,$C33-$AD$24),IF(DATE($C33,9,15)&gt;=$W$24,$Z$24*(1+($U$24)/100)^MAX(0,$C33-$AC$24),IF(DATE($C33,9,15)&gt;=$V$24,$Y$24*(1+($U$24)/100)^MAX(0,$C33-$AB$24),0)))))</f>
      </c>
      <c r="N33" s="43">
        <f>IF($S$24=0,0,IF(OR(DATE($C33,10,15)&lt;$S$24,AND($T$24&gt;0,DATE($C33,10,15)&gt;$T$24)),0,IF(DATE($C33,10,15)&gt;=$X$24,$AA$24*(1+($U$24)/100)^MAX(0,$C33-$AD$24),IF(DATE($C33,10,15)&gt;=$W$24,$Z$24*(1+($U$24)/100)^MAX(0,$C33-$AC$24),IF(DATE($C33,10,15)&gt;=$V$24,$Y$24*(1+($U$24)/100)^MAX(0,$C33-$AB$24),0)))))</f>
      </c>
      <c r="O33" s="43">
        <f>IF($S$24=0,0,IF(OR(DATE($C33,11,15)&lt;$S$24,AND($T$24&gt;0,DATE($C33,11,15)&gt;$T$24)),0,IF(DATE($C33,11,15)&gt;=$X$24,$AA$24*(1+($U$24)/100)^MAX(0,$C33-$AD$24),IF(DATE($C33,11,15)&gt;=$W$24,$Z$24*(1+($U$24)/100)^MAX(0,$C33-$AC$24),IF(DATE($C33,11,15)&gt;=$V$24,$Y$24*(1+($U$24)/100)^MAX(0,$C33-$AB$24),0)))))</f>
      </c>
      <c r="P33" s="43">
        <f>IF($S$24=0,0,IF(OR(DATE($C33,12,15)&lt;$S$24,AND($T$24&gt;0,DATE($C33,12,15)&gt;$T$24)),0,IF(DATE($C33,12,15)&gt;=$X$24,$AA$24*(1+($U$24)/100)^MAX(0,$C33-$AD$24),IF(DATE($C33,12,15)&gt;=$W$24,$Z$24*(1+($U$24)/100)^MAX(0,$C33-$AC$24),IF(DATE($C33,12,15)&gt;=$V$24,$Y$24*(1+($U$24)/100)^MAX(0,$C33-$AB$24),0)))))</f>
      </c>
      <c r="Q33" s="43">
        <f>SUM($E33:$P33)</f>
      </c>
    </row>
    <row r="34">
      <c r="A34"/>
      <c r="B34">
        <v>1</v>
      </c>
      <c r="C34" s="43">
        <f>Jahr+10</f>
      </c>
      <c r="D34" s="43">
        <f>INDEX(MvObj,1)</f>
      </c>
      <c r="E34" s="43">
        <f>IF($S$24=0,0,IF(OR(DATE($C34,1,15)&lt;$S$24,AND($T$24&gt;0,DATE($C34,1,15)&gt;$T$24)),0,IF(DATE($C34,1,15)&gt;=$X$24,$AA$24*(1+($U$24)/100)^MAX(0,$C34-$AD$24),IF(DATE($C34,1,15)&gt;=$W$24,$Z$24*(1+($U$24)/100)^MAX(0,$C34-$AC$24),IF(DATE($C34,1,15)&gt;=$V$24,$Y$24*(1+($U$24)/100)^MAX(0,$C34-$AB$24),0)))))</f>
      </c>
      <c r="F34" s="43">
        <f>IF($S$24=0,0,IF(OR(DATE($C34,2,15)&lt;$S$24,AND($T$24&gt;0,DATE($C34,2,15)&gt;$T$24)),0,IF(DATE($C34,2,15)&gt;=$X$24,$AA$24*(1+($U$24)/100)^MAX(0,$C34-$AD$24),IF(DATE($C34,2,15)&gt;=$W$24,$Z$24*(1+($U$24)/100)^MAX(0,$C34-$AC$24),IF(DATE($C34,2,15)&gt;=$V$24,$Y$24*(1+($U$24)/100)^MAX(0,$C34-$AB$24),0)))))</f>
      </c>
      <c r="G34" s="43">
        <f>IF($S$24=0,0,IF(OR(DATE($C34,3,15)&lt;$S$24,AND($T$24&gt;0,DATE($C34,3,15)&gt;$T$24)),0,IF(DATE($C34,3,15)&gt;=$X$24,$AA$24*(1+($U$24)/100)^MAX(0,$C34-$AD$24),IF(DATE($C34,3,15)&gt;=$W$24,$Z$24*(1+($U$24)/100)^MAX(0,$C34-$AC$24),IF(DATE($C34,3,15)&gt;=$V$24,$Y$24*(1+($U$24)/100)^MAX(0,$C34-$AB$24),0)))))</f>
      </c>
      <c r="H34" s="43">
        <f>IF($S$24=0,0,IF(OR(DATE($C34,4,15)&lt;$S$24,AND($T$24&gt;0,DATE($C34,4,15)&gt;$T$24)),0,IF(DATE($C34,4,15)&gt;=$X$24,$AA$24*(1+($U$24)/100)^MAX(0,$C34-$AD$24),IF(DATE($C34,4,15)&gt;=$W$24,$Z$24*(1+($U$24)/100)^MAX(0,$C34-$AC$24),IF(DATE($C34,4,15)&gt;=$V$24,$Y$24*(1+($U$24)/100)^MAX(0,$C34-$AB$24),0)))))</f>
      </c>
      <c r="I34" s="43">
        <f>IF($S$24=0,0,IF(OR(DATE($C34,5,15)&lt;$S$24,AND($T$24&gt;0,DATE($C34,5,15)&gt;$T$24)),0,IF(DATE($C34,5,15)&gt;=$X$24,$AA$24*(1+($U$24)/100)^MAX(0,$C34-$AD$24),IF(DATE($C34,5,15)&gt;=$W$24,$Z$24*(1+($U$24)/100)^MAX(0,$C34-$AC$24),IF(DATE($C34,5,15)&gt;=$V$24,$Y$24*(1+($U$24)/100)^MAX(0,$C34-$AB$24),0)))))</f>
      </c>
      <c r="J34" s="43">
        <f>IF($S$24=0,0,IF(OR(DATE($C34,6,15)&lt;$S$24,AND($T$24&gt;0,DATE($C34,6,15)&gt;$T$24)),0,IF(DATE($C34,6,15)&gt;=$X$24,$AA$24*(1+($U$24)/100)^MAX(0,$C34-$AD$24),IF(DATE($C34,6,15)&gt;=$W$24,$Z$24*(1+($U$24)/100)^MAX(0,$C34-$AC$24),IF(DATE($C34,6,15)&gt;=$V$24,$Y$24*(1+($U$24)/100)^MAX(0,$C34-$AB$24),0)))))</f>
      </c>
      <c r="K34" s="43">
        <f>IF($S$24=0,0,IF(OR(DATE($C34,7,15)&lt;$S$24,AND($T$24&gt;0,DATE($C34,7,15)&gt;$T$24)),0,IF(DATE($C34,7,15)&gt;=$X$24,$AA$24*(1+($U$24)/100)^MAX(0,$C34-$AD$24),IF(DATE($C34,7,15)&gt;=$W$24,$Z$24*(1+($U$24)/100)^MAX(0,$C34-$AC$24),IF(DATE($C34,7,15)&gt;=$V$24,$Y$24*(1+($U$24)/100)^MAX(0,$C34-$AB$24),0)))))</f>
      </c>
      <c r="L34" s="43">
        <f>IF($S$24=0,0,IF(OR(DATE($C34,8,15)&lt;$S$24,AND($T$24&gt;0,DATE($C34,8,15)&gt;$T$24)),0,IF(DATE($C34,8,15)&gt;=$X$24,$AA$24*(1+($U$24)/100)^MAX(0,$C34-$AD$24),IF(DATE($C34,8,15)&gt;=$W$24,$Z$24*(1+($U$24)/100)^MAX(0,$C34-$AC$24),IF(DATE($C34,8,15)&gt;=$V$24,$Y$24*(1+($U$24)/100)^MAX(0,$C34-$AB$24),0)))))</f>
      </c>
      <c r="M34" s="43">
        <f>IF($S$24=0,0,IF(OR(DATE($C34,9,15)&lt;$S$24,AND($T$24&gt;0,DATE($C34,9,15)&gt;$T$24)),0,IF(DATE($C34,9,15)&gt;=$X$24,$AA$24*(1+($U$24)/100)^MAX(0,$C34-$AD$24),IF(DATE($C34,9,15)&gt;=$W$24,$Z$24*(1+($U$24)/100)^MAX(0,$C34-$AC$24),IF(DATE($C34,9,15)&gt;=$V$24,$Y$24*(1+($U$24)/100)^MAX(0,$C34-$AB$24),0)))))</f>
      </c>
      <c r="N34" s="43">
        <f>IF($S$24=0,0,IF(OR(DATE($C34,10,15)&lt;$S$24,AND($T$24&gt;0,DATE($C34,10,15)&gt;$T$24)),0,IF(DATE($C34,10,15)&gt;=$X$24,$AA$24*(1+($U$24)/100)^MAX(0,$C34-$AD$24),IF(DATE($C34,10,15)&gt;=$W$24,$Z$24*(1+($U$24)/100)^MAX(0,$C34-$AC$24),IF(DATE($C34,10,15)&gt;=$V$24,$Y$24*(1+($U$24)/100)^MAX(0,$C34-$AB$24),0)))))</f>
      </c>
      <c r="O34" s="43">
        <f>IF($S$24=0,0,IF(OR(DATE($C34,11,15)&lt;$S$24,AND($T$24&gt;0,DATE($C34,11,15)&gt;$T$24)),0,IF(DATE($C34,11,15)&gt;=$X$24,$AA$24*(1+($U$24)/100)^MAX(0,$C34-$AD$24),IF(DATE($C34,11,15)&gt;=$W$24,$Z$24*(1+($U$24)/100)^MAX(0,$C34-$AC$24),IF(DATE($C34,11,15)&gt;=$V$24,$Y$24*(1+($U$24)/100)^MAX(0,$C34-$AB$24),0)))))</f>
      </c>
      <c r="P34" s="43">
        <f>IF($S$24=0,0,IF(OR(DATE($C34,12,15)&lt;$S$24,AND($T$24&gt;0,DATE($C34,12,15)&gt;$T$24)),0,IF(DATE($C34,12,15)&gt;=$X$24,$AA$24*(1+($U$24)/100)^MAX(0,$C34-$AD$24),IF(DATE($C34,12,15)&gt;=$W$24,$Z$24*(1+($U$24)/100)^MAX(0,$C34-$AC$24),IF(DATE($C34,12,15)&gt;=$V$24,$Y$24*(1+($U$24)/100)^MAX(0,$C34-$AB$24),0)))))</f>
      </c>
      <c r="Q34" s="43">
        <f>SUM($E34:$P34)</f>
      </c>
    </row>
    <row r="35">
      <c r="A35"/>
      <c r="B35">
        <v>1</v>
      </c>
      <c r="C35" s="43">
        <f>Jahr+11</f>
      </c>
      <c r="D35" s="43">
        <f>INDEX(MvObj,1)</f>
      </c>
      <c r="E35" s="43">
        <f>IF($S$24=0,0,IF(OR(DATE($C35,1,15)&lt;$S$24,AND($T$24&gt;0,DATE($C35,1,15)&gt;$T$24)),0,IF(DATE($C35,1,15)&gt;=$X$24,$AA$24*(1+($U$24)/100)^MAX(0,$C35-$AD$24),IF(DATE($C35,1,15)&gt;=$W$24,$Z$24*(1+($U$24)/100)^MAX(0,$C35-$AC$24),IF(DATE($C35,1,15)&gt;=$V$24,$Y$24*(1+($U$24)/100)^MAX(0,$C35-$AB$24),0)))))</f>
      </c>
      <c r="F35" s="43">
        <f>IF($S$24=0,0,IF(OR(DATE($C35,2,15)&lt;$S$24,AND($T$24&gt;0,DATE($C35,2,15)&gt;$T$24)),0,IF(DATE($C35,2,15)&gt;=$X$24,$AA$24*(1+($U$24)/100)^MAX(0,$C35-$AD$24),IF(DATE($C35,2,15)&gt;=$W$24,$Z$24*(1+($U$24)/100)^MAX(0,$C35-$AC$24),IF(DATE($C35,2,15)&gt;=$V$24,$Y$24*(1+($U$24)/100)^MAX(0,$C35-$AB$24),0)))))</f>
      </c>
      <c r="G35" s="43">
        <f>IF($S$24=0,0,IF(OR(DATE($C35,3,15)&lt;$S$24,AND($T$24&gt;0,DATE($C35,3,15)&gt;$T$24)),0,IF(DATE($C35,3,15)&gt;=$X$24,$AA$24*(1+($U$24)/100)^MAX(0,$C35-$AD$24),IF(DATE($C35,3,15)&gt;=$W$24,$Z$24*(1+($U$24)/100)^MAX(0,$C35-$AC$24),IF(DATE($C35,3,15)&gt;=$V$24,$Y$24*(1+($U$24)/100)^MAX(0,$C35-$AB$24),0)))))</f>
      </c>
      <c r="H35" s="43">
        <f>IF($S$24=0,0,IF(OR(DATE($C35,4,15)&lt;$S$24,AND($T$24&gt;0,DATE($C35,4,15)&gt;$T$24)),0,IF(DATE($C35,4,15)&gt;=$X$24,$AA$24*(1+($U$24)/100)^MAX(0,$C35-$AD$24),IF(DATE($C35,4,15)&gt;=$W$24,$Z$24*(1+($U$24)/100)^MAX(0,$C35-$AC$24),IF(DATE($C35,4,15)&gt;=$V$24,$Y$24*(1+($U$24)/100)^MAX(0,$C35-$AB$24),0)))))</f>
      </c>
      <c r="I35" s="43">
        <f>IF($S$24=0,0,IF(OR(DATE($C35,5,15)&lt;$S$24,AND($T$24&gt;0,DATE($C35,5,15)&gt;$T$24)),0,IF(DATE($C35,5,15)&gt;=$X$24,$AA$24*(1+($U$24)/100)^MAX(0,$C35-$AD$24),IF(DATE($C35,5,15)&gt;=$W$24,$Z$24*(1+($U$24)/100)^MAX(0,$C35-$AC$24),IF(DATE($C35,5,15)&gt;=$V$24,$Y$24*(1+($U$24)/100)^MAX(0,$C35-$AB$24),0)))))</f>
      </c>
      <c r="J35" s="43">
        <f>IF($S$24=0,0,IF(OR(DATE($C35,6,15)&lt;$S$24,AND($T$24&gt;0,DATE($C35,6,15)&gt;$T$24)),0,IF(DATE($C35,6,15)&gt;=$X$24,$AA$24*(1+($U$24)/100)^MAX(0,$C35-$AD$24),IF(DATE($C35,6,15)&gt;=$W$24,$Z$24*(1+($U$24)/100)^MAX(0,$C35-$AC$24),IF(DATE($C35,6,15)&gt;=$V$24,$Y$24*(1+($U$24)/100)^MAX(0,$C35-$AB$24),0)))))</f>
      </c>
      <c r="K35" s="43">
        <f>IF($S$24=0,0,IF(OR(DATE($C35,7,15)&lt;$S$24,AND($T$24&gt;0,DATE($C35,7,15)&gt;$T$24)),0,IF(DATE($C35,7,15)&gt;=$X$24,$AA$24*(1+($U$24)/100)^MAX(0,$C35-$AD$24),IF(DATE($C35,7,15)&gt;=$W$24,$Z$24*(1+($U$24)/100)^MAX(0,$C35-$AC$24),IF(DATE($C35,7,15)&gt;=$V$24,$Y$24*(1+($U$24)/100)^MAX(0,$C35-$AB$24),0)))))</f>
      </c>
      <c r="L35" s="43">
        <f>IF($S$24=0,0,IF(OR(DATE($C35,8,15)&lt;$S$24,AND($T$24&gt;0,DATE($C35,8,15)&gt;$T$24)),0,IF(DATE($C35,8,15)&gt;=$X$24,$AA$24*(1+($U$24)/100)^MAX(0,$C35-$AD$24),IF(DATE($C35,8,15)&gt;=$W$24,$Z$24*(1+($U$24)/100)^MAX(0,$C35-$AC$24),IF(DATE($C35,8,15)&gt;=$V$24,$Y$24*(1+($U$24)/100)^MAX(0,$C35-$AB$24),0)))))</f>
      </c>
      <c r="M35" s="43">
        <f>IF($S$24=0,0,IF(OR(DATE($C35,9,15)&lt;$S$24,AND($T$24&gt;0,DATE($C35,9,15)&gt;$T$24)),0,IF(DATE($C35,9,15)&gt;=$X$24,$AA$24*(1+($U$24)/100)^MAX(0,$C35-$AD$24),IF(DATE($C35,9,15)&gt;=$W$24,$Z$24*(1+($U$24)/100)^MAX(0,$C35-$AC$24),IF(DATE($C35,9,15)&gt;=$V$24,$Y$24*(1+($U$24)/100)^MAX(0,$C35-$AB$24),0)))))</f>
      </c>
      <c r="N35" s="43">
        <f>IF($S$24=0,0,IF(OR(DATE($C35,10,15)&lt;$S$24,AND($T$24&gt;0,DATE($C35,10,15)&gt;$T$24)),0,IF(DATE($C35,10,15)&gt;=$X$24,$AA$24*(1+($U$24)/100)^MAX(0,$C35-$AD$24),IF(DATE($C35,10,15)&gt;=$W$24,$Z$24*(1+($U$24)/100)^MAX(0,$C35-$AC$24),IF(DATE($C35,10,15)&gt;=$V$24,$Y$24*(1+($U$24)/100)^MAX(0,$C35-$AB$24),0)))))</f>
      </c>
      <c r="O35" s="43">
        <f>IF($S$24=0,0,IF(OR(DATE($C35,11,15)&lt;$S$24,AND($T$24&gt;0,DATE($C35,11,15)&gt;$T$24)),0,IF(DATE($C35,11,15)&gt;=$X$24,$AA$24*(1+($U$24)/100)^MAX(0,$C35-$AD$24),IF(DATE($C35,11,15)&gt;=$W$24,$Z$24*(1+($U$24)/100)^MAX(0,$C35-$AC$24),IF(DATE($C35,11,15)&gt;=$V$24,$Y$24*(1+($U$24)/100)^MAX(0,$C35-$AB$24),0)))))</f>
      </c>
      <c r="P35" s="43">
        <f>IF($S$24=0,0,IF(OR(DATE($C35,12,15)&lt;$S$24,AND($T$24&gt;0,DATE($C35,12,15)&gt;$T$24)),0,IF(DATE($C35,12,15)&gt;=$X$24,$AA$24*(1+($U$24)/100)^MAX(0,$C35-$AD$24),IF(DATE($C35,12,15)&gt;=$W$24,$Z$24*(1+($U$24)/100)^MAX(0,$C35-$AC$24),IF(DATE($C35,12,15)&gt;=$V$24,$Y$24*(1+($U$24)/100)^MAX(0,$C35-$AB$24),0)))))</f>
      </c>
      <c r="Q35" s="43">
        <f>SUM($E35:$P35)</f>
      </c>
    </row>
    <row r="36">
      <c r="A36"/>
      <c r="B36">
        <v>1</v>
      </c>
      <c r="C36" s="43">
        <f>Jahr+12</f>
      </c>
      <c r="D36" s="43">
        <f>INDEX(MvObj,1)</f>
      </c>
      <c r="E36" s="43">
        <f>IF($S$24=0,0,IF(OR(DATE($C36,1,15)&lt;$S$24,AND($T$24&gt;0,DATE($C36,1,15)&gt;$T$24)),0,IF(DATE($C36,1,15)&gt;=$X$24,$AA$24*(1+($U$24)/100)^MAX(0,$C36-$AD$24),IF(DATE($C36,1,15)&gt;=$W$24,$Z$24*(1+($U$24)/100)^MAX(0,$C36-$AC$24),IF(DATE($C36,1,15)&gt;=$V$24,$Y$24*(1+($U$24)/100)^MAX(0,$C36-$AB$24),0)))))</f>
      </c>
      <c r="F36" s="43">
        <f>IF($S$24=0,0,IF(OR(DATE($C36,2,15)&lt;$S$24,AND($T$24&gt;0,DATE($C36,2,15)&gt;$T$24)),0,IF(DATE($C36,2,15)&gt;=$X$24,$AA$24*(1+($U$24)/100)^MAX(0,$C36-$AD$24),IF(DATE($C36,2,15)&gt;=$W$24,$Z$24*(1+($U$24)/100)^MAX(0,$C36-$AC$24),IF(DATE($C36,2,15)&gt;=$V$24,$Y$24*(1+($U$24)/100)^MAX(0,$C36-$AB$24),0)))))</f>
      </c>
      <c r="G36" s="43">
        <f>IF($S$24=0,0,IF(OR(DATE($C36,3,15)&lt;$S$24,AND($T$24&gt;0,DATE($C36,3,15)&gt;$T$24)),0,IF(DATE($C36,3,15)&gt;=$X$24,$AA$24*(1+($U$24)/100)^MAX(0,$C36-$AD$24),IF(DATE($C36,3,15)&gt;=$W$24,$Z$24*(1+($U$24)/100)^MAX(0,$C36-$AC$24),IF(DATE($C36,3,15)&gt;=$V$24,$Y$24*(1+($U$24)/100)^MAX(0,$C36-$AB$24),0)))))</f>
      </c>
      <c r="H36" s="43">
        <f>IF($S$24=0,0,IF(OR(DATE($C36,4,15)&lt;$S$24,AND($T$24&gt;0,DATE($C36,4,15)&gt;$T$24)),0,IF(DATE($C36,4,15)&gt;=$X$24,$AA$24*(1+($U$24)/100)^MAX(0,$C36-$AD$24),IF(DATE($C36,4,15)&gt;=$W$24,$Z$24*(1+($U$24)/100)^MAX(0,$C36-$AC$24),IF(DATE($C36,4,15)&gt;=$V$24,$Y$24*(1+($U$24)/100)^MAX(0,$C36-$AB$24),0)))))</f>
      </c>
      <c r="I36" s="43">
        <f>IF($S$24=0,0,IF(OR(DATE($C36,5,15)&lt;$S$24,AND($T$24&gt;0,DATE($C36,5,15)&gt;$T$24)),0,IF(DATE($C36,5,15)&gt;=$X$24,$AA$24*(1+($U$24)/100)^MAX(0,$C36-$AD$24),IF(DATE($C36,5,15)&gt;=$W$24,$Z$24*(1+($U$24)/100)^MAX(0,$C36-$AC$24),IF(DATE($C36,5,15)&gt;=$V$24,$Y$24*(1+($U$24)/100)^MAX(0,$C36-$AB$24),0)))))</f>
      </c>
      <c r="J36" s="43">
        <f>IF($S$24=0,0,IF(OR(DATE($C36,6,15)&lt;$S$24,AND($T$24&gt;0,DATE($C36,6,15)&gt;$T$24)),0,IF(DATE($C36,6,15)&gt;=$X$24,$AA$24*(1+($U$24)/100)^MAX(0,$C36-$AD$24),IF(DATE($C36,6,15)&gt;=$W$24,$Z$24*(1+($U$24)/100)^MAX(0,$C36-$AC$24),IF(DATE($C36,6,15)&gt;=$V$24,$Y$24*(1+($U$24)/100)^MAX(0,$C36-$AB$24),0)))))</f>
      </c>
      <c r="K36" s="43">
        <f>IF($S$24=0,0,IF(OR(DATE($C36,7,15)&lt;$S$24,AND($T$24&gt;0,DATE($C36,7,15)&gt;$T$24)),0,IF(DATE($C36,7,15)&gt;=$X$24,$AA$24*(1+($U$24)/100)^MAX(0,$C36-$AD$24),IF(DATE($C36,7,15)&gt;=$W$24,$Z$24*(1+($U$24)/100)^MAX(0,$C36-$AC$24),IF(DATE($C36,7,15)&gt;=$V$24,$Y$24*(1+($U$24)/100)^MAX(0,$C36-$AB$24),0)))))</f>
      </c>
      <c r="L36" s="43">
        <f>IF($S$24=0,0,IF(OR(DATE($C36,8,15)&lt;$S$24,AND($T$24&gt;0,DATE($C36,8,15)&gt;$T$24)),0,IF(DATE($C36,8,15)&gt;=$X$24,$AA$24*(1+($U$24)/100)^MAX(0,$C36-$AD$24),IF(DATE($C36,8,15)&gt;=$W$24,$Z$24*(1+($U$24)/100)^MAX(0,$C36-$AC$24),IF(DATE($C36,8,15)&gt;=$V$24,$Y$24*(1+($U$24)/100)^MAX(0,$C36-$AB$24),0)))))</f>
      </c>
      <c r="M36" s="43">
        <f>IF($S$24=0,0,IF(OR(DATE($C36,9,15)&lt;$S$24,AND($T$24&gt;0,DATE($C36,9,15)&gt;$T$24)),0,IF(DATE($C36,9,15)&gt;=$X$24,$AA$24*(1+($U$24)/100)^MAX(0,$C36-$AD$24),IF(DATE($C36,9,15)&gt;=$W$24,$Z$24*(1+($U$24)/100)^MAX(0,$C36-$AC$24),IF(DATE($C36,9,15)&gt;=$V$24,$Y$24*(1+($U$24)/100)^MAX(0,$C36-$AB$24),0)))))</f>
      </c>
      <c r="N36" s="43">
        <f>IF($S$24=0,0,IF(OR(DATE($C36,10,15)&lt;$S$24,AND($T$24&gt;0,DATE($C36,10,15)&gt;$T$24)),0,IF(DATE($C36,10,15)&gt;=$X$24,$AA$24*(1+($U$24)/100)^MAX(0,$C36-$AD$24),IF(DATE($C36,10,15)&gt;=$W$24,$Z$24*(1+($U$24)/100)^MAX(0,$C36-$AC$24),IF(DATE($C36,10,15)&gt;=$V$24,$Y$24*(1+($U$24)/100)^MAX(0,$C36-$AB$24),0)))))</f>
      </c>
      <c r="O36" s="43">
        <f>IF($S$24=0,0,IF(OR(DATE($C36,11,15)&lt;$S$24,AND($T$24&gt;0,DATE($C36,11,15)&gt;$T$24)),0,IF(DATE($C36,11,15)&gt;=$X$24,$AA$24*(1+($U$24)/100)^MAX(0,$C36-$AD$24),IF(DATE($C36,11,15)&gt;=$W$24,$Z$24*(1+($U$24)/100)^MAX(0,$C36-$AC$24),IF(DATE($C36,11,15)&gt;=$V$24,$Y$24*(1+($U$24)/100)^MAX(0,$C36-$AB$24),0)))))</f>
      </c>
      <c r="P36" s="43">
        <f>IF($S$24=0,0,IF(OR(DATE($C36,12,15)&lt;$S$24,AND($T$24&gt;0,DATE($C36,12,15)&gt;$T$24)),0,IF(DATE($C36,12,15)&gt;=$X$24,$AA$24*(1+($U$24)/100)^MAX(0,$C36-$AD$24),IF(DATE($C36,12,15)&gt;=$W$24,$Z$24*(1+($U$24)/100)^MAX(0,$C36-$AC$24),IF(DATE($C36,12,15)&gt;=$V$24,$Y$24*(1+($U$24)/100)^MAX(0,$C36-$AB$24),0)))))</f>
      </c>
      <c r="Q36" s="43">
        <f>SUM($E36:$P36)</f>
      </c>
    </row>
    <row r="37">
      <c r="A37"/>
      <c r="B37">
        <v>1</v>
      </c>
      <c r="C37" s="43">
        <f>Jahr+13</f>
      </c>
      <c r="D37" s="43">
        <f>INDEX(MvObj,1)</f>
      </c>
      <c r="E37" s="43">
        <f>IF($S$24=0,0,IF(OR(DATE($C37,1,15)&lt;$S$24,AND($T$24&gt;0,DATE($C37,1,15)&gt;$T$24)),0,IF(DATE($C37,1,15)&gt;=$X$24,$AA$24*(1+($U$24)/100)^MAX(0,$C37-$AD$24),IF(DATE($C37,1,15)&gt;=$W$24,$Z$24*(1+($U$24)/100)^MAX(0,$C37-$AC$24),IF(DATE($C37,1,15)&gt;=$V$24,$Y$24*(1+($U$24)/100)^MAX(0,$C37-$AB$24),0)))))</f>
      </c>
      <c r="F37" s="43">
        <f>IF($S$24=0,0,IF(OR(DATE($C37,2,15)&lt;$S$24,AND($T$24&gt;0,DATE($C37,2,15)&gt;$T$24)),0,IF(DATE($C37,2,15)&gt;=$X$24,$AA$24*(1+($U$24)/100)^MAX(0,$C37-$AD$24),IF(DATE($C37,2,15)&gt;=$W$24,$Z$24*(1+($U$24)/100)^MAX(0,$C37-$AC$24),IF(DATE($C37,2,15)&gt;=$V$24,$Y$24*(1+($U$24)/100)^MAX(0,$C37-$AB$24),0)))))</f>
      </c>
      <c r="G37" s="43">
        <f>IF($S$24=0,0,IF(OR(DATE($C37,3,15)&lt;$S$24,AND($T$24&gt;0,DATE($C37,3,15)&gt;$T$24)),0,IF(DATE($C37,3,15)&gt;=$X$24,$AA$24*(1+($U$24)/100)^MAX(0,$C37-$AD$24),IF(DATE($C37,3,15)&gt;=$W$24,$Z$24*(1+($U$24)/100)^MAX(0,$C37-$AC$24),IF(DATE($C37,3,15)&gt;=$V$24,$Y$24*(1+($U$24)/100)^MAX(0,$C37-$AB$24),0)))))</f>
      </c>
      <c r="H37" s="43">
        <f>IF($S$24=0,0,IF(OR(DATE($C37,4,15)&lt;$S$24,AND($T$24&gt;0,DATE($C37,4,15)&gt;$T$24)),0,IF(DATE($C37,4,15)&gt;=$X$24,$AA$24*(1+($U$24)/100)^MAX(0,$C37-$AD$24),IF(DATE($C37,4,15)&gt;=$W$24,$Z$24*(1+($U$24)/100)^MAX(0,$C37-$AC$24),IF(DATE($C37,4,15)&gt;=$V$24,$Y$24*(1+($U$24)/100)^MAX(0,$C37-$AB$24),0)))))</f>
      </c>
      <c r="I37" s="43">
        <f>IF($S$24=0,0,IF(OR(DATE($C37,5,15)&lt;$S$24,AND($T$24&gt;0,DATE($C37,5,15)&gt;$T$24)),0,IF(DATE($C37,5,15)&gt;=$X$24,$AA$24*(1+($U$24)/100)^MAX(0,$C37-$AD$24),IF(DATE($C37,5,15)&gt;=$W$24,$Z$24*(1+($U$24)/100)^MAX(0,$C37-$AC$24),IF(DATE($C37,5,15)&gt;=$V$24,$Y$24*(1+($U$24)/100)^MAX(0,$C37-$AB$24),0)))))</f>
      </c>
      <c r="J37" s="43">
        <f>IF($S$24=0,0,IF(OR(DATE($C37,6,15)&lt;$S$24,AND($T$24&gt;0,DATE($C37,6,15)&gt;$T$24)),0,IF(DATE($C37,6,15)&gt;=$X$24,$AA$24*(1+($U$24)/100)^MAX(0,$C37-$AD$24),IF(DATE($C37,6,15)&gt;=$W$24,$Z$24*(1+($U$24)/100)^MAX(0,$C37-$AC$24),IF(DATE($C37,6,15)&gt;=$V$24,$Y$24*(1+($U$24)/100)^MAX(0,$C37-$AB$24),0)))))</f>
      </c>
      <c r="K37" s="43">
        <f>IF($S$24=0,0,IF(OR(DATE($C37,7,15)&lt;$S$24,AND($T$24&gt;0,DATE($C37,7,15)&gt;$T$24)),0,IF(DATE($C37,7,15)&gt;=$X$24,$AA$24*(1+($U$24)/100)^MAX(0,$C37-$AD$24),IF(DATE($C37,7,15)&gt;=$W$24,$Z$24*(1+($U$24)/100)^MAX(0,$C37-$AC$24),IF(DATE($C37,7,15)&gt;=$V$24,$Y$24*(1+($U$24)/100)^MAX(0,$C37-$AB$24),0)))))</f>
      </c>
      <c r="L37" s="43">
        <f>IF($S$24=0,0,IF(OR(DATE($C37,8,15)&lt;$S$24,AND($T$24&gt;0,DATE($C37,8,15)&gt;$T$24)),0,IF(DATE($C37,8,15)&gt;=$X$24,$AA$24*(1+($U$24)/100)^MAX(0,$C37-$AD$24),IF(DATE($C37,8,15)&gt;=$W$24,$Z$24*(1+($U$24)/100)^MAX(0,$C37-$AC$24),IF(DATE($C37,8,15)&gt;=$V$24,$Y$24*(1+($U$24)/100)^MAX(0,$C37-$AB$24),0)))))</f>
      </c>
      <c r="M37" s="43">
        <f>IF($S$24=0,0,IF(OR(DATE($C37,9,15)&lt;$S$24,AND($T$24&gt;0,DATE($C37,9,15)&gt;$T$24)),0,IF(DATE($C37,9,15)&gt;=$X$24,$AA$24*(1+($U$24)/100)^MAX(0,$C37-$AD$24),IF(DATE($C37,9,15)&gt;=$W$24,$Z$24*(1+($U$24)/100)^MAX(0,$C37-$AC$24),IF(DATE($C37,9,15)&gt;=$V$24,$Y$24*(1+($U$24)/100)^MAX(0,$C37-$AB$24),0)))))</f>
      </c>
      <c r="N37" s="43">
        <f>IF($S$24=0,0,IF(OR(DATE($C37,10,15)&lt;$S$24,AND($T$24&gt;0,DATE($C37,10,15)&gt;$T$24)),0,IF(DATE($C37,10,15)&gt;=$X$24,$AA$24*(1+($U$24)/100)^MAX(0,$C37-$AD$24),IF(DATE($C37,10,15)&gt;=$W$24,$Z$24*(1+($U$24)/100)^MAX(0,$C37-$AC$24),IF(DATE($C37,10,15)&gt;=$V$24,$Y$24*(1+($U$24)/100)^MAX(0,$C37-$AB$24),0)))))</f>
      </c>
      <c r="O37" s="43">
        <f>IF($S$24=0,0,IF(OR(DATE($C37,11,15)&lt;$S$24,AND($T$24&gt;0,DATE($C37,11,15)&gt;$T$24)),0,IF(DATE($C37,11,15)&gt;=$X$24,$AA$24*(1+($U$24)/100)^MAX(0,$C37-$AD$24),IF(DATE($C37,11,15)&gt;=$W$24,$Z$24*(1+($U$24)/100)^MAX(0,$C37-$AC$24),IF(DATE($C37,11,15)&gt;=$V$24,$Y$24*(1+($U$24)/100)^MAX(0,$C37-$AB$24),0)))))</f>
      </c>
      <c r="P37" s="43">
        <f>IF($S$24=0,0,IF(OR(DATE($C37,12,15)&lt;$S$24,AND($T$24&gt;0,DATE($C37,12,15)&gt;$T$24)),0,IF(DATE($C37,12,15)&gt;=$X$24,$AA$24*(1+($U$24)/100)^MAX(0,$C37-$AD$24),IF(DATE($C37,12,15)&gt;=$W$24,$Z$24*(1+($U$24)/100)^MAX(0,$C37-$AC$24),IF(DATE($C37,12,15)&gt;=$V$24,$Y$24*(1+($U$24)/100)^MAX(0,$C37-$AB$24),0)))))</f>
      </c>
      <c r="Q37" s="43">
        <f>SUM($E37:$P37)</f>
      </c>
    </row>
    <row r="38">
      <c r="A38"/>
      <c r="B38">
        <v>1</v>
      </c>
      <c r="C38" s="43">
        <f>Jahr+14</f>
      </c>
      <c r="D38" s="43">
        <f>INDEX(MvObj,1)</f>
      </c>
      <c r="E38" s="43">
        <f>IF($S$24=0,0,IF(OR(DATE($C38,1,15)&lt;$S$24,AND($T$24&gt;0,DATE($C38,1,15)&gt;$T$24)),0,IF(DATE($C38,1,15)&gt;=$X$24,$AA$24*(1+($U$24)/100)^MAX(0,$C38-$AD$24),IF(DATE($C38,1,15)&gt;=$W$24,$Z$24*(1+($U$24)/100)^MAX(0,$C38-$AC$24),IF(DATE($C38,1,15)&gt;=$V$24,$Y$24*(1+($U$24)/100)^MAX(0,$C38-$AB$24),0)))))</f>
      </c>
      <c r="F38" s="43">
        <f>IF($S$24=0,0,IF(OR(DATE($C38,2,15)&lt;$S$24,AND($T$24&gt;0,DATE($C38,2,15)&gt;$T$24)),0,IF(DATE($C38,2,15)&gt;=$X$24,$AA$24*(1+($U$24)/100)^MAX(0,$C38-$AD$24),IF(DATE($C38,2,15)&gt;=$W$24,$Z$24*(1+($U$24)/100)^MAX(0,$C38-$AC$24),IF(DATE($C38,2,15)&gt;=$V$24,$Y$24*(1+($U$24)/100)^MAX(0,$C38-$AB$24),0)))))</f>
      </c>
      <c r="G38" s="43">
        <f>IF($S$24=0,0,IF(OR(DATE($C38,3,15)&lt;$S$24,AND($T$24&gt;0,DATE($C38,3,15)&gt;$T$24)),0,IF(DATE($C38,3,15)&gt;=$X$24,$AA$24*(1+($U$24)/100)^MAX(0,$C38-$AD$24),IF(DATE($C38,3,15)&gt;=$W$24,$Z$24*(1+($U$24)/100)^MAX(0,$C38-$AC$24),IF(DATE($C38,3,15)&gt;=$V$24,$Y$24*(1+($U$24)/100)^MAX(0,$C38-$AB$24),0)))))</f>
      </c>
      <c r="H38" s="43">
        <f>IF($S$24=0,0,IF(OR(DATE($C38,4,15)&lt;$S$24,AND($T$24&gt;0,DATE($C38,4,15)&gt;$T$24)),0,IF(DATE($C38,4,15)&gt;=$X$24,$AA$24*(1+($U$24)/100)^MAX(0,$C38-$AD$24),IF(DATE($C38,4,15)&gt;=$W$24,$Z$24*(1+($U$24)/100)^MAX(0,$C38-$AC$24),IF(DATE($C38,4,15)&gt;=$V$24,$Y$24*(1+($U$24)/100)^MAX(0,$C38-$AB$24),0)))))</f>
      </c>
      <c r="I38" s="43">
        <f>IF($S$24=0,0,IF(OR(DATE($C38,5,15)&lt;$S$24,AND($T$24&gt;0,DATE($C38,5,15)&gt;$T$24)),0,IF(DATE($C38,5,15)&gt;=$X$24,$AA$24*(1+($U$24)/100)^MAX(0,$C38-$AD$24),IF(DATE($C38,5,15)&gt;=$W$24,$Z$24*(1+($U$24)/100)^MAX(0,$C38-$AC$24),IF(DATE($C38,5,15)&gt;=$V$24,$Y$24*(1+($U$24)/100)^MAX(0,$C38-$AB$24),0)))))</f>
      </c>
      <c r="J38" s="43">
        <f>IF($S$24=0,0,IF(OR(DATE($C38,6,15)&lt;$S$24,AND($T$24&gt;0,DATE($C38,6,15)&gt;$T$24)),0,IF(DATE($C38,6,15)&gt;=$X$24,$AA$24*(1+($U$24)/100)^MAX(0,$C38-$AD$24),IF(DATE($C38,6,15)&gt;=$W$24,$Z$24*(1+($U$24)/100)^MAX(0,$C38-$AC$24),IF(DATE($C38,6,15)&gt;=$V$24,$Y$24*(1+($U$24)/100)^MAX(0,$C38-$AB$24),0)))))</f>
      </c>
      <c r="K38" s="43">
        <f>IF($S$24=0,0,IF(OR(DATE($C38,7,15)&lt;$S$24,AND($T$24&gt;0,DATE($C38,7,15)&gt;$T$24)),0,IF(DATE($C38,7,15)&gt;=$X$24,$AA$24*(1+($U$24)/100)^MAX(0,$C38-$AD$24),IF(DATE($C38,7,15)&gt;=$W$24,$Z$24*(1+($U$24)/100)^MAX(0,$C38-$AC$24),IF(DATE($C38,7,15)&gt;=$V$24,$Y$24*(1+($U$24)/100)^MAX(0,$C38-$AB$24),0)))))</f>
      </c>
      <c r="L38" s="43">
        <f>IF($S$24=0,0,IF(OR(DATE($C38,8,15)&lt;$S$24,AND($T$24&gt;0,DATE($C38,8,15)&gt;$T$24)),0,IF(DATE($C38,8,15)&gt;=$X$24,$AA$24*(1+($U$24)/100)^MAX(0,$C38-$AD$24),IF(DATE($C38,8,15)&gt;=$W$24,$Z$24*(1+($U$24)/100)^MAX(0,$C38-$AC$24),IF(DATE($C38,8,15)&gt;=$V$24,$Y$24*(1+($U$24)/100)^MAX(0,$C38-$AB$24),0)))))</f>
      </c>
      <c r="M38" s="43">
        <f>IF($S$24=0,0,IF(OR(DATE($C38,9,15)&lt;$S$24,AND($T$24&gt;0,DATE($C38,9,15)&gt;$T$24)),0,IF(DATE($C38,9,15)&gt;=$X$24,$AA$24*(1+($U$24)/100)^MAX(0,$C38-$AD$24),IF(DATE($C38,9,15)&gt;=$W$24,$Z$24*(1+($U$24)/100)^MAX(0,$C38-$AC$24),IF(DATE($C38,9,15)&gt;=$V$24,$Y$24*(1+($U$24)/100)^MAX(0,$C38-$AB$24),0)))))</f>
      </c>
      <c r="N38" s="43">
        <f>IF($S$24=0,0,IF(OR(DATE($C38,10,15)&lt;$S$24,AND($T$24&gt;0,DATE($C38,10,15)&gt;$T$24)),0,IF(DATE($C38,10,15)&gt;=$X$24,$AA$24*(1+($U$24)/100)^MAX(0,$C38-$AD$24),IF(DATE($C38,10,15)&gt;=$W$24,$Z$24*(1+($U$24)/100)^MAX(0,$C38-$AC$24),IF(DATE($C38,10,15)&gt;=$V$24,$Y$24*(1+($U$24)/100)^MAX(0,$C38-$AB$24),0)))))</f>
      </c>
      <c r="O38" s="43">
        <f>IF($S$24=0,0,IF(OR(DATE($C38,11,15)&lt;$S$24,AND($T$24&gt;0,DATE($C38,11,15)&gt;$T$24)),0,IF(DATE($C38,11,15)&gt;=$X$24,$AA$24*(1+($U$24)/100)^MAX(0,$C38-$AD$24),IF(DATE($C38,11,15)&gt;=$W$24,$Z$24*(1+($U$24)/100)^MAX(0,$C38-$AC$24),IF(DATE($C38,11,15)&gt;=$V$24,$Y$24*(1+($U$24)/100)^MAX(0,$C38-$AB$24),0)))))</f>
      </c>
      <c r="P38" s="43">
        <f>IF($S$24=0,0,IF(OR(DATE($C38,12,15)&lt;$S$24,AND($T$24&gt;0,DATE($C38,12,15)&gt;$T$24)),0,IF(DATE($C38,12,15)&gt;=$X$24,$AA$24*(1+($U$24)/100)^MAX(0,$C38-$AD$24),IF(DATE($C38,12,15)&gt;=$W$24,$Z$24*(1+($U$24)/100)^MAX(0,$C38-$AC$24),IF(DATE($C38,12,15)&gt;=$V$24,$Y$24*(1+($U$24)/100)^MAX(0,$C38-$AB$24),0)))))</f>
      </c>
      <c r="Q38" s="43">
        <f>SUM($E38:$P38)</f>
      </c>
    </row>
    <row r="39">
      <c r="A39"/>
      <c r="B39">
        <v>1</v>
      </c>
      <c r="C39" s="43">
        <f>Jahr+15</f>
      </c>
      <c r="D39" s="43">
        <f>INDEX(MvObj,1)</f>
      </c>
      <c r="E39" s="43">
        <f>IF($S$24=0,0,IF(OR(DATE($C39,1,15)&lt;$S$24,AND($T$24&gt;0,DATE($C39,1,15)&gt;$T$24)),0,IF(DATE($C39,1,15)&gt;=$X$24,$AA$24*(1+($U$24)/100)^MAX(0,$C39-$AD$24),IF(DATE($C39,1,15)&gt;=$W$24,$Z$24*(1+($U$24)/100)^MAX(0,$C39-$AC$24),IF(DATE($C39,1,15)&gt;=$V$24,$Y$24*(1+($U$24)/100)^MAX(0,$C39-$AB$24),0)))))</f>
      </c>
      <c r="F39" s="43">
        <f>IF($S$24=0,0,IF(OR(DATE($C39,2,15)&lt;$S$24,AND($T$24&gt;0,DATE($C39,2,15)&gt;$T$24)),0,IF(DATE($C39,2,15)&gt;=$X$24,$AA$24*(1+($U$24)/100)^MAX(0,$C39-$AD$24),IF(DATE($C39,2,15)&gt;=$W$24,$Z$24*(1+($U$24)/100)^MAX(0,$C39-$AC$24),IF(DATE($C39,2,15)&gt;=$V$24,$Y$24*(1+($U$24)/100)^MAX(0,$C39-$AB$24),0)))))</f>
      </c>
      <c r="G39" s="43">
        <f>IF($S$24=0,0,IF(OR(DATE($C39,3,15)&lt;$S$24,AND($T$24&gt;0,DATE($C39,3,15)&gt;$T$24)),0,IF(DATE($C39,3,15)&gt;=$X$24,$AA$24*(1+($U$24)/100)^MAX(0,$C39-$AD$24),IF(DATE($C39,3,15)&gt;=$W$24,$Z$24*(1+($U$24)/100)^MAX(0,$C39-$AC$24),IF(DATE($C39,3,15)&gt;=$V$24,$Y$24*(1+($U$24)/100)^MAX(0,$C39-$AB$24),0)))))</f>
      </c>
      <c r="H39" s="43">
        <f>IF($S$24=0,0,IF(OR(DATE($C39,4,15)&lt;$S$24,AND($T$24&gt;0,DATE($C39,4,15)&gt;$T$24)),0,IF(DATE($C39,4,15)&gt;=$X$24,$AA$24*(1+($U$24)/100)^MAX(0,$C39-$AD$24),IF(DATE($C39,4,15)&gt;=$W$24,$Z$24*(1+($U$24)/100)^MAX(0,$C39-$AC$24),IF(DATE($C39,4,15)&gt;=$V$24,$Y$24*(1+($U$24)/100)^MAX(0,$C39-$AB$24),0)))))</f>
      </c>
      <c r="I39" s="43">
        <f>IF($S$24=0,0,IF(OR(DATE($C39,5,15)&lt;$S$24,AND($T$24&gt;0,DATE($C39,5,15)&gt;$T$24)),0,IF(DATE($C39,5,15)&gt;=$X$24,$AA$24*(1+($U$24)/100)^MAX(0,$C39-$AD$24),IF(DATE($C39,5,15)&gt;=$W$24,$Z$24*(1+($U$24)/100)^MAX(0,$C39-$AC$24),IF(DATE($C39,5,15)&gt;=$V$24,$Y$24*(1+($U$24)/100)^MAX(0,$C39-$AB$24),0)))))</f>
      </c>
      <c r="J39" s="43">
        <f>IF($S$24=0,0,IF(OR(DATE($C39,6,15)&lt;$S$24,AND($T$24&gt;0,DATE($C39,6,15)&gt;$T$24)),0,IF(DATE($C39,6,15)&gt;=$X$24,$AA$24*(1+($U$24)/100)^MAX(0,$C39-$AD$24),IF(DATE($C39,6,15)&gt;=$W$24,$Z$24*(1+($U$24)/100)^MAX(0,$C39-$AC$24),IF(DATE($C39,6,15)&gt;=$V$24,$Y$24*(1+($U$24)/100)^MAX(0,$C39-$AB$24),0)))))</f>
      </c>
      <c r="K39" s="43">
        <f>IF($S$24=0,0,IF(OR(DATE($C39,7,15)&lt;$S$24,AND($T$24&gt;0,DATE($C39,7,15)&gt;$T$24)),0,IF(DATE($C39,7,15)&gt;=$X$24,$AA$24*(1+($U$24)/100)^MAX(0,$C39-$AD$24),IF(DATE($C39,7,15)&gt;=$W$24,$Z$24*(1+($U$24)/100)^MAX(0,$C39-$AC$24),IF(DATE($C39,7,15)&gt;=$V$24,$Y$24*(1+($U$24)/100)^MAX(0,$C39-$AB$24),0)))))</f>
      </c>
      <c r="L39" s="43">
        <f>IF($S$24=0,0,IF(OR(DATE($C39,8,15)&lt;$S$24,AND($T$24&gt;0,DATE($C39,8,15)&gt;$T$24)),0,IF(DATE($C39,8,15)&gt;=$X$24,$AA$24*(1+($U$24)/100)^MAX(0,$C39-$AD$24),IF(DATE($C39,8,15)&gt;=$W$24,$Z$24*(1+($U$24)/100)^MAX(0,$C39-$AC$24),IF(DATE($C39,8,15)&gt;=$V$24,$Y$24*(1+($U$24)/100)^MAX(0,$C39-$AB$24),0)))))</f>
      </c>
      <c r="M39" s="43">
        <f>IF($S$24=0,0,IF(OR(DATE($C39,9,15)&lt;$S$24,AND($T$24&gt;0,DATE($C39,9,15)&gt;$T$24)),0,IF(DATE($C39,9,15)&gt;=$X$24,$AA$24*(1+($U$24)/100)^MAX(0,$C39-$AD$24),IF(DATE($C39,9,15)&gt;=$W$24,$Z$24*(1+($U$24)/100)^MAX(0,$C39-$AC$24),IF(DATE($C39,9,15)&gt;=$V$24,$Y$24*(1+($U$24)/100)^MAX(0,$C39-$AB$24),0)))))</f>
      </c>
      <c r="N39" s="43">
        <f>IF($S$24=0,0,IF(OR(DATE($C39,10,15)&lt;$S$24,AND($T$24&gt;0,DATE($C39,10,15)&gt;$T$24)),0,IF(DATE($C39,10,15)&gt;=$X$24,$AA$24*(1+($U$24)/100)^MAX(0,$C39-$AD$24),IF(DATE($C39,10,15)&gt;=$W$24,$Z$24*(1+($U$24)/100)^MAX(0,$C39-$AC$24),IF(DATE($C39,10,15)&gt;=$V$24,$Y$24*(1+($U$24)/100)^MAX(0,$C39-$AB$24),0)))))</f>
      </c>
      <c r="O39" s="43">
        <f>IF($S$24=0,0,IF(OR(DATE($C39,11,15)&lt;$S$24,AND($T$24&gt;0,DATE($C39,11,15)&gt;$T$24)),0,IF(DATE($C39,11,15)&gt;=$X$24,$AA$24*(1+($U$24)/100)^MAX(0,$C39-$AD$24),IF(DATE($C39,11,15)&gt;=$W$24,$Z$24*(1+($U$24)/100)^MAX(0,$C39-$AC$24),IF(DATE($C39,11,15)&gt;=$V$24,$Y$24*(1+($U$24)/100)^MAX(0,$C39-$AB$24),0)))))</f>
      </c>
      <c r="P39" s="43">
        <f>IF($S$24=0,0,IF(OR(DATE($C39,12,15)&lt;$S$24,AND($T$24&gt;0,DATE($C39,12,15)&gt;$T$24)),0,IF(DATE($C39,12,15)&gt;=$X$24,$AA$24*(1+($U$24)/100)^MAX(0,$C39-$AD$24),IF(DATE($C39,12,15)&gt;=$W$24,$Z$24*(1+($U$24)/100)^MAX(0,$C39-$AC$24),IF(DATE($C39,12,15)&gt;=$V$24,$Y$24*(1+($U$24)/100)^MAX(0,$C39-$AB$24),0)))))</f>
      </c>
      <c r="Q39" s="43">
        <f>SUM($E39:$P39)</f>
      </c>
    </row>
    <row r="40">
      <c r="A40"/>
      <c r="B40">
        <v>1</v>
      </c>
      <c r="C40" s="43">
        <f>Jahr+16</f>
      </c>
      <c r="D40" s="43">
        <f>INDEX(MvObj,1)</f>
      </c>
      <c r="E40" s="43">
        <f>IF($S$24=0,0,IF(OR(DATE($C40,1,15)&lt;$S$24,AND($T$24&gt;0,DATE($C40,1,15)&gt;$T$24)),0,IF(DATE($C40,1,15)&gt;=$X$24,$AA$24*(1+($U$24)/100)^MAX(0,$C40-$AD$24),IF(DATE($C40,1,15)&gt;=$W$24,$Z$24*(1+($U$24)/100)^MAX(0,$C40-$AC$24),IF(DATE($C40,1,15)&gt;=$V$24,$Y$24*(1+($U$24)/100)^MAX(0,$C40-$AB$24),0)))))</f>
      </c>
      <c r="F40" s="43">
        <f>IF($S$24=0,0,IF(OR(DATE($C40,2,15)&lt;$S$24,AND($T$24&gt;0,DATE($C40,2,15)&gt;$T$24)),0,IF(DATE($C40,2,15)&gt;=$X$24,$AA$24*(1+($U$24)/100)^MAX(0,$C40-$AD$24),IF(DATE($C40,2,15)&gt;=$W$24,$Z$24*(1+($U$24)/100)^MAX(0,$C40-$AC$24),IF(DATE($C40,2,15)&gt;=$V$24,$Y$24*(1+($U$24)/100)^MAX(0,$C40-$AB$24),0)))))</f>
      </c>
      <c r="G40" s="43">
        <f>IF($S$24=0,0,IF(OR(DATE($C40,3,15)&lt;$S$24,AND($T$24&gt;0,DATE($C40,3,15)&gt;$T$24)),0,IF(DATE($C40,3,15)&gt;=$X$24,$AA$24*(1+($U$24)/100)^MAX(0,$C40-$AD$24),IF(DATE($C40,3,15)&gt;=$W$24,$Z$24*(1+($U$24)/100)^MAX(0,$C40-$AC$24),IF(DATE($C40,3,15)&gt;=$V$24,$Y$24*(1+($U$24)/100)^MAX(0,$C40-$AB$24),0)))))</f>
      </c>
      <c r="H40" s="43">
        <f>IF($S$24=0,0,IF(OR(DATE($C40,4,15)&lt;$S$24,AND($T$24&gt;0,DATE($C40,4,15)&gt;$T$24)),0,IF(DATE($C40,4,15)&gt;=$X$24,$AA$24*(1+($U$24)/100)^MAX(0,$C40-$AD$24),IF(DATE($C40,4,15)&gt;=$W$24,$Z$24*(1+($U$24)/100)^MAX(0,$C40-$AC$24),IF(DATE($C40,4,15)&gt;=$V$24,$Y$24*(1+($U$24)/100)^MAX(0,$C40-$AB$24),0)))))</f>
      </c>
      <c r="I40" s="43">
        <f>IF($S$24=0,0,IF(OR(DATE($C40,5,15)&lt;$S$24,AND($T$24&gt;0,DATE($C40,5,15)&gt;$T$24)),0,IF(DATE($C40,5,15)&gt;=$X$24,$AA$24*(1+($U$24)/100)^MAX(0,$C40-$AD$24),IF(DATE($C40,5,15)&gt;=$W$24,$Z$24*(1+($U$24)/100)^MAX(0,$C40-$AC$24),IF(DATE($C40,5,15)&gt;=$V$24,$Y$24*(1+($U$24)/100)^MAX(0,$C40-$AB$24),0)))))</f>
      </c>
      <c r="J40" s="43">
        <f>IF($S$24=0,0,IF(OR(DATE($C40,6,15)&lt;$S$24,AND($T$24&gt;0,DATE($C40,6,15)&gt;$T$24)),0,IF(DATE($C40,6,15)&gt;=$X$24,$AA$24*(1+($U$24)/100)^MAX(0,$C40-$AD$24),IF(DATE($C40,6,15)&gt;=$W$24,$Z$24*(1+($U$24)/100)^MAX(0,$C40-$AC$24),IF(DATE($C40,6,15)&gt;=$V$24,$Y$24*(1+($U$24)/100)^MAX(0,$C40-$AB$24),0)))))</f>
      </c>
      <c r="K40" s="43">
        <f>IF($S$24=0,0,IF(OR(DATE($C40,7,15)&lt;$S$24,AND($T$24&gt;0,DATE($C40,7,15)&gt;$T$24)),0,IF(DATE($C40,7,15)&gt;=$X$24,$AA$24*(1+($U$24)/100)^MAX(0,$C40-$AD$24),IF(DATE($C40,7,15)&gt;=$W$24,$Z$24*(1+($U$24)/100)^MAX(0,$C40-$AC$24),IF(DATE($C40,7,15)&gt;=$V$24,$Y$24*(1+($U$24)/100)^MAX(0,$C40-$AB$24),0)))))</f>
      </c>
      <c r="L40" s="43">
        <f>IF($S$24=0,0,IF(OR(DATE($C40,8,15)&lt;$S$24,AND($T$24&gt;0,DATE($C40,8,15)&gt;$T$24)),0,IF(DATE($C40,8,15)&gt;=$X$24,$AA$24*(1+($U$24)/100)^MAX(0,$C40-$AD$24),IF(DATE($C40,8,15)&gt;=$W$24,$Z$24*(1+($U$24)/100)^MAX(0,$C40-$AC$24),IF(DATE($C40,8,15)&gt;=$V$24,$Y$24*(1+($U$24)/100)^MAX(0,$C40-$AB$24),0)))))</f>
      </c>
      <c r="M40" s="43">
        <f>IF($S$24=0,0,IF(OR(DATE($C40,9,15)&lt;$S$24,AND($T$24&gt;0,DATE($C40,9,15)&gt;$T$24)),0,IF(DATE($C40,9,15)&gt;=$X$24,$AA$24*(1+($U$24)/100)^MAX(0,$C40-$AD$24),IF(DATE($C40,9,15)&gt;=$W$24,$Z$24*(1+($U$24)/100)^MAX(0,$C40-$AC$24),IF(DATE($C40,9,15)&gt;=$V$24,$Y$24*(1+($U$24)/100)^MAX(0,$C40-$AB$24),0)))))</f>
      </c>
      <c r="N40" s="43">
        <f>IF($S$24=0,0,IF(OR(DATE($C40,10,15)&lt;$S$24,AND($T$24&gt;0,DATE($C40,10,15)&gt;$T$24)),0,IF(DATE($C40,10,15)&gt;=$X$24,$AA$24*(1+($U$24)/100)^MAX(0,$C40-$AD$24),IF(DATE($C40,10,15)&gt;=$W$24,$Z$24*(1+($U$24)/100)^MAX(0,$C40-$AC$24),IF(DATE($C40,10,15)&gt;=$V$24,$Y$24*(1+($U$24)/100)^MAX(0,$C40-$AB$24),0)))))</f>
      </c>
      <c r="O40" s="43">
        <f>IF($S$24=0,0,IF(OR(DATE($C40,11,15)&lt;$S$24,AND($T$24&gt;0,DATE($C40,11,15)&gt;$T$24)),0,IF(DATE($C40,11,15)&gt;=$X$24,$AA$24*(1+($U$24)/100)^MAX(0,$C40-$AD$24),IF(DATE($C40,11,15)&gt;=$W$24,$Z$24*(1+($U$24)/100)^MAX(0,$C40-$AC$24),IF(DATE($C40,11,15)&gt;=$V$24,$Y$24*(1+($U$24)/100)^MAX(0,$C40-$AB$24),0)))))</f>
      </c>
      <c r="P40" s="43">
        <f>IF($S$24=0,0,IF(OR(DATE($C40,12,15)&lt;$S$24,AND($T$24&gt;0,DATE($C40,12,15)&gt;$T$24)),0,IF(DATE($C40,12,15)&gt;=$X$24,$AA$24*(1+($U$24)/100)^MAX(0,$C40-$AD$24),IF(DATE($C40,12,15)&gt;=$W$24,$Z$24*(1+($U$24)/100)^MAX(0,$C40-$AC$24),IF(DATE($C40,12,15)&gt;=$V$24,$Y$24*(1+($U$24)/100)^MAX(0,$C40-$AB$24),0)))))</f>
      </c>
      <c r="Q40" s="43">
        <f>SUM($E40:$P40)</f>
      </c>
    </row>
    <row r="41">
      <c r="A41"/>
      <c r="B41">
        <v>1</v>
      </c>
      <c r="C41" s="43">
        <f>Jahr+17</f>
      </c>
      <c r="D41" s="43">
        <f>INDEX(MvObj,1)</f>
      </c>
      <c r="E41" s="43">
        <f>IF($S$24=0,0,IF(OR(DATE($C41,1,15)&lt;$S$24,AND($T$24&gt;0,DATE($C41,1,15)&gt;$T$24)),0,IF(DATE($C41,1,15)&gt;=$X$24,$AA$24*(1+($U$24)/100)^MAX(0,$C41-$AD$24),IF(DATE($C41,1,15)&gt;=$W$24,$Z$24*(1+($U$24)/100)^MAX(0,$C41-$AC$24),IF(DATE($C41,1,15)&gt;=$V$24,$Y$24*(1+($U$24)/100)^MAX(0,$C41-$AB$24),0)))))</f>
      </c>
      <c r="F41" s="43">
        <f>IF($S$24=0,0,IF(OR(DATE($C41,2,15)&lt;$S$24,AND($T$24&gt;0,DATE($C41,2,15)&gt;$T$24)),0,IF(DATE($C41,2,15)&gt;=$X$24,$AA$24*(1+($U$24)/100)^MAX(0,$C41-$AD$24),IF(DATE($C41,2,15)&gt;=$W$24,$Z$24*(1+($U$24)/100)^MAX(0,$C41-$AC$24),IF(DATE($C41,2,15)&gt;=$V$24,$Y$24*(1+($U$24)/100)^MAX(0,$C41-$AB$24),0)))))</f>
      </c>
      <c r="G41" s="43">
        <f>IF($S$24=0,0,IF(OR(DATE($C41,3,15)&lt;$S$24,AND($T$24&gt;0,DATE($C41,3,15)&gt;$T$24)),0,IF(DATE($C41,3,15)&gt;=$X$24,$AA$24*(1+($U$24)/100)^MAX(0,$C41-$AD$24),IF(DATE($C41,3,15)&gt;=$W$24,$Z$24*(1+($U$24)/100)^MAX(0,$C41-$AC$24),IF(DATE($C41,3,15)&gt;=$V$24,$Y$24*(1+($U$24)/100)^MAX(0,$C41-$AB$24),0)))))</f>
      </c>
      <c r="H41" s="43">
        <f>IF($S$24=0,0,IF(OR(DATE($C41,4,15)&lt;$S$24,AND($T$24&gt;0,DATE($C41,4,15)&gt;$T$24)),0,IF(DATE($C41,4,15)&gt;=$X$24,$AA$24*(1+($U$24)/100)^MAX(0,$C41-$AD$24),IF(DATE($C41,4,15)&gt;=$W$24,$Z$24*(1+($U$24)/100)^MAX(0,$C41-$AC$24),IF(DATE($C41,4,15)&gt;=$V$24,$Y$24*(1+($U$24)/100)^MAX(0,$C41-$AB$24),0)))))</f>
      </c>
      <c r="I41" s="43">
        <f>IF($S$24=0,0,IF(OR(DATE($C41,5,15)&lt;$S$24,AND($T$24&gt;0,DATE($C41,5,15)&gt;$T$24)),0,IF(DATE($C41,5,15)&gt;=$X$24,$AA$24*(1+($U$24)/100)^MAX(0,$C41-$AD$24),IF(DATE($C41,5,15)&gt;=$W$24,$Z$24*(1+($U$24)/100)^MAX(0,$C41-$AC$24),IF(DATE($C41,5,15)&gt;=$V$24,$Y$24*(1+($U$24)/100)^MAX(0,$C41-$AB$24),0)))))</f>
      </c>
      <c r="J41" s="43">
        <f>IF($S$24=0,0,IF(OR(DATE($C41,6,15)&lt;$S$24,AND($T$24&gt;0,DATE($C41,6,15)&gt;$T$24)),0,IF(DATE($C41,6,15)&gt;=$X$24,$AA$24*(1+($U$24)/100)^MAX(0,$C41-$AD$24),IF(DATE($C41,6,15)&gt;=$W$24,$Z$24*(1+($U$24)/100)^MAX(0,$C41-$AC$24),IF(DATE($C41,6,15)&gt;=$V$24,$Y$24*(1+($U$24)/100)^MAX(0,$C41-$AB$24),0)))))</f>
      </c>
      <c r="K41" s="43">
        <f>IF($S$24=0,0,IF(OR(DATE($C41,7,15)&lt;$S$24,AND($T$24&gt;0,DATE($C41,7,15)&gt;$T$24)),0,IF(DATE($C41,7,15)&gt;=$X$24,$AA$24*(1+($U$24)/100)^MAX(0,$C41-$AD$24),IF(DATE($C41,7,15)&gt;=$W$24,$Z$24*(1+($U$24)/100)^MAX(0,$C41-$AC$24),IF(DATE($C41,7,15)&gt;=$V$24,$Y$24*(1+($U$24)/100)^MAX(0,$C41-$AB$24),0)))))</f>
      </c>
      <c r="L41" s="43">
        <f>IF($S$24=0,0,IF(OR(DATE($C41,8,15)&lt;$S$24,AND($T$24&gt;0,DATE($C41,8,15)&gt;$T$24)),0,IF(DATE($C41,8,15)&gt;=$X$24,$AA$24*(1+($U$24)/100)^MAX(0,$C41-$AD$24),IF(DATE($C41,8,15)&gt;=$W$24,$Z$24*(1+($U$24)/100)^MAX(0,$C41-$AC$24),IF(DATE($C41,8,15)&gt;=$V$24,$Y$24*(1+($U$24)/100)^MAX(0,$C41-$AB$24),0)))))</f>
      </c>
      <c r="M41" s="43">
        <f>IF($S$24=0,0,IF(OR(DATE($C41,9,15)&lt;$S$24,AND($T$24&gt;0,DATE($C41,9,15)&gt;$T$24)),0,IF(DATE($C41,9,15)&gt;=$X$24,$AA$24*(1+($U$24)/100)^MAX(0,$C41-$AD$24),IF(DATE($C41,9,15)&gt;=$W$24,$Z$24*(1+($U$24)/100)^MAX(0,$C41-$AC$24),IF(DATE($C41,9,15)&gt;=$V$24,$Y$24*(1+($U$24)/100)^MAX(0,$C41-$AB$24),0)))))</f>
      </c>
      <c r="N41" s="43">
        <f>IF($S$24=0,0,IF(OR(DATE($C41,10,15)&lt;$S$24,AND($T$24&gt;0,DATE($C41,10,15)&gt;$T$24)),0,IF(DATE($C41,10,15)&gt;=$X$24,$AA$24*(1+($U$24)/100)^MAX(0,$C41-$AD$24),IF(DATE($C41,10,15)&gt;=$W$24,$Z$24*(1+($U$24)/100)^MAX(0,$C41-$AC$24),IF(DATE($C41,10,15)&gt;=$V$24,$Y$24*(1+($U$24)/100)^MAX(0,$C41-$AB$24),0)))))</f>
      </c>
      <c r="O41" s="43">
        <f>IF($S$24=0,0,IF(OR(DATE($C41,11,15)&lt;$S$24,AND($T$24&gt;0,DATE($C41,11,15)&gt;$T$24)),0,IF(DATE($C41,11,15)&gt;=$X$24,$AA$24*(1+($U$24)/100)^MAX(0,$C41-$AD$24),IF(DATE($C41,11,15)&gt;=$W$24,$Z$24*(1+($U$24)/100)^MAX(0,$C41-$AC$24),IF(DATE($C41,11,15)&gt;=$V$24,$Y$24*(1+($U$24)/100)^MAX(0,$C41-$AB$24),0)))))</f>
      </c>
      <c r="P41" s="43">
        <f>IF($S$24=0,0,IF(OR(DATE($C41,12,15)&lt;$S$24,AND($T$24&gt;0,DATE($C41,12,15)&gt;$T$24)),0,IF(DATE($C41,12,15)&gt;=$X$24,$AA$24*(1+($U$24)/100)^MAX(0,$C41-$AD$24),IF(DATE($C41,12,15)&gt;=$W$24,$Z$24*(1+($U$24)/100)^MAX(0,$C41-$AC$24),IF(DATE($C41,12,15)&gt;=$V$24,$Y$24*(1+($U$24)/100)^MAX(0,$C41-$AB$24),0)))))</f>
      </c>
      <c r="Q41" s="43">
        <f>SUM($E41:$P41)</f>
      </c>
    </row>
    <row r="42">
      <c r="A42"/>
      <c r="B42">
        <v>1</v>
      </c>
      <c r="C42" s="43">
        <f>Jahr+18</f>
      </c>
      <c r="D42" s="43">
        <f>INDEX(MvObj,1)</f>
      </c>
      <c r="E42" s="43">
        <f>IF($S$24=0,0,IF(OR(DATE($C42,1,15)&lt;$S$24,AND($T$24&gt;0,DATE($C42,1,15)&gt;$T$24)),0,IF(DATE($C42,1,15)&gt;=$X$24,$AA$24*(1+($U$24)/100)^MAX(0,$C42-$AD$24),IF(DATE($C42,1,15)&gt;=$W$24,$Z$24*(1+($U$24)/100)^MAX(0,$C42-$AC$24),IF(DATE($C42,1,15)&gt;=$V$24,$Y$24*(1+($U$24)/100)^MAX(0,$C42-$AB$24),0)))))</f>
      </c>
      <c r="F42" s="43">
        <f>IF($S$24=0,0,IF(OR(DATE($C42,2,15)&lt;$S$24,AND($T$24&gt;0,DATE($C42,2,15)&gt;$T$24)),0,IF(DATE($C42,2,15)&gt;=$X$24,$AA$24*(1+($U$24)/100)^MAX(0,$C42-$AD$24),IF(DATE($C42,2,15)&gt;=$W$24,$Z$24*(1+($U$24)/100)^MAX(0,$C42-$AC$24),IF(DATE($C42,2,15)&gt;=$V$24,$Y$24*(1+($U$24)/100)^MAX(0,$C42-$AB$24),0)))))</f>
      </c>
      <c r="G42" s="43">
        <f>IF($S$24=0,0,IF(OR(DATE($C42,3,15)&lt;$S$24,AND($T$24&gt;0,DATE($C42,3,15)&gt;$T$24)),0,IF(DATE($C42,3,15)&gt;=$X$24,$AA$24*(1+($U$24)/100)^MAX(0,$C42-$AD$24),IF(DATE($C42,3,15)&gt;=$W$24,$Z$24*(1+($U$24)/100)^MAX(0,$C42-$AC$24),IF(DATE($C42,3,15)&gt;=$V$24,$Y$24*(1+($U$24)/100)^MAX(0,$C42-$AB$24),0)))))</f>
      </c>
      <c r="H42" s="43">
        <f>IF($S$24=0,0,IF(OR(DATE($C42,4,15)&lt;$S$24,AND($T$24&gt;0,DATE($C42,4,15)&gt;$T$24)),0,IF(DATE($C42,4,15)&gt;=$X$24,$AA$24*(1+($U$24)/100)^MAX(0,$C42-$AD$24),IF(DATE($C42,4,15)&gt;=$W$24,$Z$24*(1+($U$24)/100)^MAX(0,$C42-$AC$24),IF(DATE($C42,4,15)&gt;=$V$24,$Y$24*(1+($U$24)/100)^MAX(0,$C42-$AB$24),0)))))</f>
      </c>
      <c r="I42" s="43">
        <f>IF($S$24=0,0,IF(OR(DATE($C42,5,15)&lt;$S$24,AND($T$24&gt;0,DATE($C42,5,15)&gt;$T$24)),0,IF(DATE($C42,5,15)&gt;=$X$24,$AA$24*(1+($U$24)/100)^MAX(0,$C42-$AD$24),IF(DATE($C42,5,15)&gt;=$W$24,$Z$24*(1+($U$24)/100)^MAX(0,$C42-$AC$24),IF(DATE($C42,5,15)&gt;=$V$24,$Y$24*(1+($U$24)/100)^MAX(0,$C42-$AB$24),0)))))</f>
      </c>
      <c r="J42" s="43">
        <f>IF($S$24=0,0,IF(OR(DATE($C42,6,15)&lt;$S$24,AND($T$24&gt;0,DATE($C42,6,15)&gt;$T$24)),0,IF(DATE($C42,6,15)&gt;=$X$24,$AA$24*(1+($U$24)/100)^MAX(0,$C42-$AD$24),IF(DATE($C42,6,15)&gt;=$W$24,$Z$24*(1+($U$24)/100)^MAX(0,$C42-$AC$24),IF(DATE($C42,6,15)&gt;=$V$24,$Y$24*(1+($U$24)/100)^MAX(0,$C42-$AB$24),0)))))</f>
      </c>
      <c r="K42" s="43">
        <f>IF($S$24=0,0,IF(OR(DATE($C42,7,15)&lt;$S$24,AND($T$24&gt;0,DATE($C42,7,15)&gt;$T$24)),0,IF(DATE($C42,7,15)&gt;=$X$24,$AA$24*(1+($U$24)/100)^MAX(0,$C42-$AD$24),IF(DATE($C42,7,15)&gt;=$W$24,$Z$24*(1+($U$24)/100)^MAX(0,$C42-$AC$24),IF(DATE($C42,7,15)&gt;=$V$24,$Y$24*(1+($U$24)/100)^MAX(0,$C42-$AB$24),0)))))</f>
      </c>
      <c r="L42" s="43">
        <f>IF($S$24=0,0,IF(OR(DATE($C42,8,15)&lt;$S$24,AND($T$24&gt;0,DATE($C42,8,15)&gt;$T$24)),0,IF(DATE($C42,8,15)&gt;=$X$24,$AA$24*(1+($U$24)/100)^MAX(0,$C42-$AD$24),IF(DATE($C42,8,15)&gt;=$W$24,$Z$24*(1+($U$24)/100)^MAX(0,$C42-$AC$24),IF(DATE($C42,8,15)&gt;=$V$24,$Y$24*(1+($U$24)/100)^MAX(0,$C42-$AB$24),0)))))</f>
      </c>
      <c r="M42" s="43">
        <f>IF($S$24=0,0,IF(OR(DATE($C42,9,15)&lt;$S$24,AND($T$24&gt;0,DATE($C42,9,15)&gt;$T$24)),0,IF(DATE($C42,9,15)&gt;=$X$24,$AA$24*(1+($U$24)/100)^MAX(0,$C42-$AD$24),IF(DATE($C42,9,15)&gt;=$W$24,$Z$24*(1+($U$24)/100)^MAX(0,$C42-$AC$24),IF(DATE($C42,9,15)&gt;=$V$24,$Y$24*(1+($U$24)/100)^MAX(0,$C42-$AB$24),0)))))</f>
      </c>
      <c r="N42" s="43">
        <f>IF($S$24=0,0,IF(OR(DATE($C42,10,15)&lt;$S$24,AND($T$24&gt;0,DATE($C42,10,15)&gt;$T$24)),0,IF(DATE($C42,10,15)&gt;=$X$24,$AA$24*(1+($U$24)/100)^MAX(0,$C42-$AD$24),IF(DATE($C42,10,15)&gt;=$W$24,$Z$24*(1+($U$24)/100)^MAX(0,$C42-$AC$24),IF(DATE($C42,10,15)&gt;=$V$24,$Y$24*(1+($U$24)/100)^MAX(0,$C42-$AB$24),0)))))</f>
      </c>
      <c r="O42" s="43">
        <f>IF($S$24=0,0,IF(OR(DATE($C42,11,15)&lt;$S$24,AND($T$24&gt;0,DATE($C42,11,15)&gt;$T$24)),0,IF(DATE($C42,11,15)&gt;=$X$24,$AA$24*(1+($U$24)/100)^MAX(0,$C42-$AD$24),IF(DATE($C42,11,15)&gt;=$W$24,$Z$24*(1+($U$24)/100)^MAX(0,$C42-$AC$24),IF(DATE($C42,11,15)&gt;=$V$24,$Y$24*(1+($U$24)/100)^MAX(0,$C42-$AB$24),0)))))</f>
      </c>
      <c r="P42" s="43">
        <f>IF($S$24=0,0,IF(OR(DATE($C42,12,15)&lt;$S$24,AND($T$24&gt;0,DATE($C42,12,15)&gt;$T$24)),0,IF(DATE($C42,12,15)&gt;=$X$24,$AA$24*(1+($U$24)/100)^MAX(0,$C42-$AD$24),IF(DATE($C42,12,15)&gt;=$W$24,$Z$24*(1+($U$24)/100)^MAX(0,$C42-$AC$24),IF(DATE($C42,12,15)&gt;=$V$24,$Y$24*(1+($U$24)/100)^MAX(0,$C42-$AB$24),0)))))</f>
      </c>
      <c r="Q42" s="43">
        <f>SUM($E42:$P42)</f>
      </c>
    </row>
    <row r="43">
      <c r="A43"/>
      <c r="B43">
        <v>1</v>
      </c>
      <c r="C43" s="43">
        <f>Jahr+19</f>
      </c>
      <c r="D43" s="43">
        <f>INDEX(MvObj,1)</f>
      </c>
      <c r="E43" s="43">
        <f>IF($S$24=0,0,IF(OR(DATE($C43,1,15)&lt;$S$24,AND($T$24&gt;0,DATE($C43,1,15)&gt;$T$24)),0,IF(DATE($C43,1,15)&gt;=$X$24,$AA$24*(1+($U$24)/100)^MAX(0,$C43-$AD$24),IF(DATE($C43,1,15)&gt;=$W$24,$Z$24*(1+($U$24)/100)^MAX(0,$C43-$AC$24),IF(DATE($C43,1,15)&gt;=$V$24,$Y$24*(1+($U$24)/100)^MAX(0,$C43-$AB$24),0)))))</f>
      </c>
      <c r="F43" s="43">
        <f>IF($S$24=0,0,IF(OR(DATE($C43,2,15)&lt;$S$24,AND($T$24&gt;0,DATE($C43,2,15)&gt;$T$24)),0,IF(DATE($C43,2,15)&gt;=$X$24,$AA$24*(1+($U$24)/100)^MAX(0,$C43-$AD$24),IF(DATE($C43,2,15)&gt;=$W$24,$Z$24*(1+($U$24)/100)^MAX(0,$C43-$AC$24),IF(DATE($C43,2,15)&gt;=$V$24,$Y$24*(1+($U$24)/100)^MAX(0,$C43-$AB$24),0)))))</f>
      </c>
      <c r="G43" s="43">
        <f>IF($S$24=0,0,IF(OR(DATE($C43,3,15)&lt;$S$24,AND($T$24&gt;0,DATE($C43,3,15)&gt;$T$24)),0,IF(DATE($C43,3,15)&gt;=$X$24,$AA$24*(1+($U$24)/100)^MAX(0,$C43-$AD$24),IF(DATE($C43,3,15)&gt;=$W$24,$Z$24*(1+($U$24)/100)^MAX(0,$C43-$AC$24),IF(DATE($C43,3,15)&gt;=$V$24,$Y$24*(1+($U$24)/100)^MAX(0,$C43-$AB$24),0)))))</f>
      </c>
      <c r="H43" s="43">
        <f>IF($S$24=0,0,IF(OR(DATE($C43,4,15)&lt;$S$24,AND($T$24&gt;0,DATE($C43,4,15)&gt;$T$24)),0,IF(DATE($C43,4,15)&gt;=$X$24,$AA$24*(1+($U$24)/100)^MAX(0,$C43-$AD$24),IF(DATE($C43,4,15)&gt;=$W$24,$Z$24*(1+($U$24)/100)^MAX(0,$C43-$AC$24),IF(DATE($C43,4,15)&gt;=$V$24,$Y$24*(1+($U$24)/100)^MAX(0,$C43-$AB$24),0)))))</f>
      </c>
      <c r="I43" s="43">
        <f>IF($S$24=0,0,IF(OR(DATE($C43,5,15)&lt;$S$24,AND($T$24&gt;0,DATE($C43,5,15)&gt;$T$24)),0,IF(DATE($C43,5,15)&gt;=$X$24,$AA$24*(1+($U$24)/100)^MAX(0,$C43-$AD$24),IF(DATE($C43,5,15)&gt;=$W$24,$Z$24*(1+($U$24)/100)^MAX(0,$C43-$AC$24),IF(DATE($C43,5,15)&gt;=$V$24,$Y$24*(1+($U$24)/100)^MAX(0,$C43-$AB$24),0)))))</f>
      </c>
      <c r="J43" s="43">
        <f>IF($S$24=0,0,IF(OR(DATE($C43,6,15)&lt;$S$24,AND($T$24&gt;0,DATE($C43,6,15)&gt;$T$24)),0,IF(DATE($C43,6,15)&gt;=$X$24,$AA$24*(1+($U$24)/100)^MAX(0,$C43-$AD$24),IF(DATE($C43,6,15)&gt;=$W$24,$Z$24*(1+($U$24)/100)^MAX(0,$C43-$AC$24),IF(DATE($C43,6,15)&gt;=$V$24,$Y$24*(1+($U$24)/100)^MAX(0,$C43-$AB$24),0)))))</f>
      </c>
      <c r="K43" s="43">
        <f>IF($S$24=0,0,IF(OR(DATE($C43,7,15)&lt;$S$24,AND($T$24&gt;0,DATE($C43,7,15)&gt;$T$24)),0,IF(DATE($C43,7,15)&gt;=$X$24,$AA$24*(1+($U$24)/100)^MAX(0,$C43-$AD$24),IF(DATE($C43,7,15)&gt;=$W$24,$Z$24*(1+($U$24)/100)^MAX(0,$C43-$AC$24),IF(DATE($C43,7,15)&gt;=$V$24,$Y$24*(1+($U$24)/100)^MAX(0,$C43-$AB$24),0)))))</f>
      </c>
      <c r="L43" s="43">
        <f>IF($S$24=0,0,IF(OR(DATE($C43,8,15)&lt;$S$24,AND($T$24&gt;0,DATE($C43,8,15)&gt;$T$24)),0,IF(DATE($C43,8,15)&gt;=$X$24,$AA$24*(1+($U$24)/100)^MAX(0,$C43-$AD$24),IF(DATE($C43,8,15)&gt;=$W$24,$Z$24*(1+($U$24)/100)^MAX(0,$C43-$AC$24),IF(DATE($C43,8,15)&gt;=$V$24,$Y$24*(1+($U$24)/100)^MAX(0,$C43-$AB$24),0)))))</f>
      </c>
      <c r="M43" s="43">
        <f>IF($S$24=0,0,IF(OR(DATE($C43,9,15)&lt;$S$24,AND($T$24&gt;0,DATE($C43,9,15)&gt;$T$24)),0,IF(DATE($C43,9,15)&gt;=$X$24,$AA$24*(1+($U$24)/100)^MAX(0,$C43-$AD$24),IF(DATE($C43,9,15)&gt;=$W$24,$Z$24*(1+($U$24)/100)^MAX(0,$C43-$AC$24),IF(DATE($C43,9,15)&gt;=$V$24,$Y$24*(1+($U$24)/100)^MAX(0,$C43-$AB$24),0)))))</f>
      </c>
      <c r="N43" s="43">
        <f>IF($S$24=0,0,IF(OR(DATE($C43,10,15)&lt;$S$24,AND($T$24&gt;0,DATE($C43,10,15)&gt;$T$24)),0,IF(DATE($C43,10,15)&gt;=$X$24,$AA$24*(1+($U$24)/100)^MAX(0,$C43-$AD$24),IF(DATE($C43,10,15)&gt;=$W$24,$Z$24*(1+($U$24)/100)^MAX(0,$C43-$AC$24),IF(DATE($C43,10,15)&gt;=$V$24,$Y$24*(1+($U$24)/100)^MAX(0,$C43-$AB$24),0)))))</f>
      </c>
      <c r="O43" s="43">
        <f>IF($S$24=0,0,IF(OR(DATE($C43,11,15)&lt;$S$24,AND($T$24&gt;0,DATE($C43,11,15)&gt;$T$24)),0,IF(DATE($C43,11,15)&gt;=$X$24,$AA$24*(1+($U$24)/100)^MAX(0,$C43-$AD$24),IF(DATE($C43,11,15)&gt;=$W$24,$Z$24*(1+($U$24)/100)^MAX(0,$C43-$AC$24),IF(DATE($C43,11,15)&gt;=$V$24,$Y$24*(1+($U$24)/100)^MAX(0,$C43-$AB$24),0)))))</f>
      </c>
      <c r="P43" s="43">
        <f>IF($S$24=0,0,IF(OR(DATE($C43,12,15)&lt;$S$24,AND($T$24&gt;0,DATE($C43,12,15)&gt;$T$24)),0,IF(DATE($C43,12,15)&gt;=$X$24,$AA$24*(1+($U$24)/100)^MAX(0,$C43-$AD$24),IF(DATE($C43,12,15)&gt;=$W$24,$Z$24*(1+($U$24)/100)^MAX(0,$C43-$AC$24),IF(DATE($C43,12,15)&gt;=$V$24,$Y$24*(1+($U$24)/100)^MAX(0,$C43-$AB$24),0)))))</f>
      </c>
      <c r="Q43" s="43">
        <f>SUM($E43:$P43)</f>
      </c>
    </row>
    <row r="44">
      <c r="A44"/>
      <c r="B44">
        <v>1</v>
      </c>
      <c r="C44" s="43">
        <f>Jahr+20</f>
      </c>
      <c r="D44" s="43">
        <f>INDEX(MvObj,1)</f>
      </c>
      <c r="E44" s="43">
        <f>IF($S$24=0,0,IF(OR(DATE($C44,1,15)&lt;$S$24,AND($T$24&gt;0,DATE($C44,1,15)&gt;$T$24)),0,IF(DATE($C44,1,15)&gt;=$X$24,$AA$24*(1+($U$24)/100)^MAX(0,$C44-$AD$24),IF(DATE($C44,1,15)&gt;=$W$24,$Z$24*(1+($U$24)/100)^MAX(0,$C44-$AC$24),IF(DATE($C44,1,15)&gt;=$V$24,$Y$24*(1+($U$24)/100)^MAX(0,$C44-$AB$24),0)))))</f>
      </c>
      <c r="F44" s="43">
        <f>IF($S$24=0,0,IF(OR(DATE($C44,2,15)&lt;$S$24,AND($T$24&gt;0,DATE($C44,2,15)&gt;$T$24)),0,IF(DATE($C44,2,15)&gt;=$X$24,$AA$24*(1+($U$24)/100)^MAX(0,$C44-$AD$24),IF(DATE($C44,2,15)&gt;=$W$24,$Z$24*(1+($U$24)/100)^MAX(0,$C44-$AC$24),IF(DATE($C44,2,15)&gt;=$V$24,$Y$24*(1+($U$24)/100)^MAX(0,$C44-$AB$24),0)))))</f>
      </c>
      <c r="G44" s="43">
        <f>IF($S$24=0,0,IF(OR(DATE($C44,3,15)&lt;$S$24,AND($T$24&gt;0,DATE($C44,3,15)&gt;$T$24)),0,IF(DATE($C44,3,15)&gt;=$X$24,$AA$24*(1+($U$24)/100)^MAX(0,$C44-$AD$24),IF(DATE($C44,3,15)&gt;=$W$24,$Z$24*(1+($U$24)/100)^MAX(0,$C44-$AC$24),IF(DATE($C44,3,15)&gt;=$V$24,$Y$24*(1+($U$24)/100)^MAX(0,$C44-$AB$24),0)))))</f>
      </c>
      <c r="H44" s="43">
        <f>IF($S$24=0,0,IF(OR(DATE($C44,4,15)&lt;$S$24,AND($T$24&gt;0,DATE($C44,4,15)&gt;$T$24)),0,IF(DATE($C44,4,15)&gt;=$X$24,$AA$24*(1+($U$24)/100)^MAX(0,$C44-$AD$24),IF(DATE($C44,4,15)&gt;=$W$24,$Z$24*(1+($U$24)/100)^MAX(0,$C44-$AC$24),IF(DATE($C44,4,15)&gt;=$V$24,$Y$24*(1+($U$24)/100)^MAX(0,$C44-$AB$24),0)))))</f>
      </c>
      <c r="I44" s="43">
        <f>IF($S$24=0,0,IF(OR(DATE($C44,5,15)&lt;$S$24,AND($T$24&gt;0,DATE($C44,5,15)&gt;$T$24)),0,IF(DATE($C44,5,15)&gt;=$X$24,$AA$24*(1+($U$24)/100)^MAX(0,$C44-$AD$24),IF(DATE($C44,5,15)&gt;=$W$24,$Z$24*(1+($U$24)/100)^MAX(0,$C44-$AC$24),IF(DATE($C44,5,15)&gt;=$V$24,$Y$24*(1+($U$24)/100)^MAX(0,$C44-$AB$24),0)))))</f>
      </c>
      <c r="J44" s="43">
        <f>IF($S$24=0,0,IF(OR(DATE($C44,6,15)&lt;$S$24,AND($T$24&gt;0,DATE($C44,6,15)&gt;$T$24)),0,IF(DATE($C44,6,15)&gt;=$X$24,$AA$24*(1+($U$24)/100)^MAX(0,$C44-$AD$24),IF(DATE($C44,6,15)&gt;=$W$24,$Z$24*(1+($U$24)/100)^MAX(0,$C44-$AC$24),IF(DATE($C44,6,15)&gt;=$V$24,$Y$24*(1+($U$24)/100)^MAX(0,$C44-$AB$24),0)))))</f>
      </c>
      <c r="K44" s="43">
        <f>IF($S$24=0,0,IF(OR(DATE($C44,7,15)&lt;$S$24,AND($T$24&gt;0,DATE($C44,7,15)&gt;$T$24)),0,IF(DATE($C44,7,15)&gt;=$X$24,$AA$24*(1+($U$24)/100)^MAX(0,$C44-$AD$24),IF(DATE($C44,7,15)&gt;=$W$24,$Z$24*(1+($U$24)/100)^MAX(0,$C44-$AC$24),IF(DATE($C44,7,15)&gt;=$V$24,$Y$24*(1+($U$24)/100)^MAX(0,$C44-$AB$24),0)))))</f>
      </c>
      <c r="L44" s="43">
        <f>IF($S$24=0,0,IF(OR(DATE($C44,8,15)&lt;$S$24,AND($T$24&gt;0,DATE($C44,8,15)&gt;$T$24)),0,IF(DATE($C44,8,15)&gt;=$X$24,$AA$24*(1+($U$24)/100)^MAX(0,$C44-$AD$24),IF(DATE($C44,8,15)&gt;=$W$24,$Z$24*(1+($U$24)/100)^MAX(0,$C44-$AC$24),IF(DATE($C44,8,15)&gt;=$V$24,$Y$24*(1+($U$24)/100)^MAX(0,$C44-$AB$24),0)))))</f>
      </c>
      <c r="M44" s="43">
        <f>IF($S$24=0,0,IF(OR(DATE($C44,9,15)&lt;$S$24,AND($T$24&gt;0,DATE($C44,9,15)&gt;$T$24)),0,IF(DATE($C44,9,15)&gt;=$X$24,$AA$24*(1+($U$24)/100)^MAX(0,$C44-$AD$24),IF(DATE($C44,9,15)&gt;=$W$24,$Z$24*(1+($U$24)/100)^MAX(0,$C44-$AC$24),IF(DATE($C44,9,15)&gt;=$V$24,$Y$24*(1+($U$24)/100)^MAX(0,$C44-$AB$24),0)))))</f>
      </c>
      <c r="N44" s="43">
        <f>IF($S$24=0,0,IF(OR(DATE($C44,10,15)&lt;$S$24,AND($T$24&gt;0,DATE($C44,10,15)&gt;$T$24)),0,IF(DATE($C44,10,15)&gt;=$X$24,$AA$24*(1+($U$24)/100)^MAX(0,$C44-$AD$24),IF(DATE($C44,10,15)&gt;=$W$24,$Z$24*(1+($U$24)/100)^MAX(0,$C44-$AC$24),IF(DATE($C44,10,15)&gt;=$V$24,$Y$24*(1+($U$24)/100)^MAX(0,$C44-$AB$24),0)))))</f>
      </c>
      <c r="O44" s="43">
        <f>IF($S$24=0,0,IF(OR(DATE($C44,11,15)&lt;$S$24,AND($T$24&gt;0,DATE($C44,11,15)&gt;$T$24)),0,IF(DATE($C44,11,15)&gt;=$X$24,$AA$24*(1+($U$24)/100)^MAX(0,$C44-$AD$24),IF(DATE($C44,11,15)&gt;=$W$24,$Z$24*(1+($U$24)/100)^MAX(0,$C44-$AC$24),IF(DATE($C44,11,15)&gt;=$V$24,$Y$24*(1+($U$24)/100)^MAX(0,$C44-$AB$24),0)))))</f>
      </c>
      <c r="P44" s="43">
        <f>IF($S$24=0,0,IF(OR(DATE($C44,12,15)&lt;$S$24,AND($T$24&gt;0,DATE($C44,12,15)&gt;$T$24)),0,IF(DATE($C44,12,15)&gt;=$X$24,$AA$24*(1+($U$24)/100)^MAX(0,$C44-$AD$24),IF(DATE($C44,12,15)&gt;=$W$24,$Z$24*(1+($U$24)/100)^MAX(0,$C44-$AC$24),IF(DATE($C44,12,15)&gt;=$V$24,$Y$24*(1+($U$24)/100)^MAX(0,$C44-$AB$24),0)))))</f>
      </c>
      <c r="Q44" s="43">
        <f>SUM($E44:$P44)</f>
      </c>
    </row>
    <row r="45">
      <c r="A45"/>
      <c r="B45">
        <v>1</v>
      </c>
      <c r="C45" s="43">
        <f>Jahr+21</f>
      </c>
      <c r="D45" s="43">
        <f>INDEX(MvObj,1)</f>
      </c>
      <c r="E45" s="43">
        <f>IF($S$24=0,0,IF(OR(DATE($C45,1,15)&lt;$S$24,AND($T$24&gt;0,DATE($C45,1,15)&gt;$T$24)),0,IF(DATE($C45,1,15)&gt;=$X$24,$AA$24*(1+($U$24)/100)^MAX(0,$C45-$AD$24),IF(DATE($C45,1,15)&gt;=$W$24,$Z$24*(1+($U$24)/100)^MAX(0,$C45-$AC$24),IF(DATE($C45,1,15)&gt;=$V$24,$Y$24*(1+($U$24)/100)^MAX(0,$C45-$AB$24),0)))))</f>
      </c>
      <c r="F45" s="43">
        <f>IF($S$24=0,0,IF(OR(DATE($C45,2,15)&lt;$S$24,AND($T$24&gt;0,DATE($C45,2,15)&gt;$T$24)),0,IF(DATE($C45,2,15)&gt;=$X$24,$AA$24*(1+($U$24)/100)^MAX(0,$C45-$AD$24),IF(DATE($C45,2,15)&gt;=$W$24,$Z$24*(1+($U$24)/100)^MAX(0,$C45-$AC$24),IF(DATE($C45,2,15)&gt;=$V$24,$Y$24*(1+($U$24)/100)^MAX(0,$C45-$AB$24),0)))))</f>
      </c>
      <c r="G45" s="43">
        <f>IF($S$24=0,0,IF(OR(DATE($C45,3,15)&lt;$S$24,AND($T$24&gt;0,DATE($C45,3,15)&gt;$T$24)),0,IF(DATE($C45,3,15)&gt;=$X$24,$AA$24*(1+($U$24)/100)^MAX(0,$C45-$AD$24),IF(DATE($C45,3,15)&gt;=$W$24,$Z$24*(1+($U$24)/100)^MAX(0,$C45-$AC$24),IF(DATE($C45,3,15)&gt;=$V$24,$Y$24*(1+($U$24)/100)^MAX(0,$C45-$AB$24),0)))))</f>
      </c>
      <c r="H45" s="43">
        <f>IF($S$24=0,0,IF(OR(DATE($C45,4,15)&lt;$S$24,AND($T$24&gt;0,DATE($C45,4,15)&gt;$T$24)),0,IF(DATE($C45,4,15)&gt;=$X$24,$AA$24*(1+($U$24)/100)^MAX(0,$C45-$AD$24),IF(DATE($C45,4,15)&gt;=$W$24,$Z$24*(1+($U$24)/100)^MAX(0,$C45-$AC$24),IF(DATE($C45,4,15)&gt;=$V$24,$Y$24*(1+($U$24)/100)^MAX(0,$C45-$AB$24),0)))))</f>
      </c>
      <c r="I45" s="43">
        <f>IF($S$24=0,0,IF(OR(DATE($C45,5,15)&lt;$S$24,AND($T$24&gt;0,DATE($C45,5,15)&gt;$T$24)),0,IF(DATE($C45,5,15)&gt;=$X$24,$AA$24*(1+($U$24)/100)^MAX(0,$C45-$AD$24),IF(DATE($C45,5,15)&gt;=$W$24,$Z$24*(1+($U$24)/100)^MAX(0,$C45-$AC$24),IF(DATE($C45,5,15)&gt;=$V$24,$Y$24*(1+($U$24)/100)^MAX(0,$C45-$AB$24),0)))))</f>
      </c>
      <c r="J45" s="43">
        <f>IF($S$24=0,0,IF(OR(DATE($C45,6,15)&lt;$S$24,AND($T$24&gt;0,DATE($C45,6,15)&gt;$T$24)),0,IF(DATE($C45,6,15)&gt;=$X$24,$AA$24*(1+($U$24)/100)^MAX(0,$C45-$AD$24),IF(DATE($C45,6,15)&gt;=$W$24,$Z$24*(1+($U$24)/100)^MAX(0,$C45-$AC$24),IF(DATE($C45,6,15)&gt;=$V$24,$Y$24*(1+($U$24)/100)^MAX(0,$C45-$AB$24),0)))))</f>
      </c>
      <c r="K45" s="43">
        <f>IF($S$24=0,0,IF(OR(DATE($C45,7,15)&lt;$S$24,AND($T$24&gt;0,DATE($C45,7,15)&gt;$T$24)),0,IF(DATE($C45,7,15)&gt;=$X$24,$AA$24*(1+($U$24)/100)^MAX(0,$C45-$AD$24),IF(DATE($C45,7,15)&gt;=$W$24,$Z$24*(1+($U$24)/100)^MAX(0,$C45-$AC$24),IF(DATE($C45,7,15)&gt;=$V$24,$Y$24*(1+($U$24)/100)^MAX(0,$C45-$AB$24),0)))))</f>
      </c>
      <c r="L45" s="43">
        <f>IF($S$24=0,0,IF(OR(DATE($C45,8,15)&lt;$S$24,AND($T$24&gt;0,DATE($C45,8,15)&gt;$T$24)),0,IF(DATE($C45,8,15)&gt;=$X$24,$AA$24*(1+($U$24)/100)^MAX(0,$C45-$AD$24),IF(DATE($C45,8,15)&gt;=$W$24,$Z$24*(1+($U$24)/100)^MAX(0,$C45-$AC$24),IF(DATE($C45,8,15)&gt;=$V$24,$Y$24*(1+($U$24)/100)^MAX(0,$C45-$AB$24),0)))))</f>
      </c>
      <c r="M45" s="43">
        <f>IF($S$24=0,0,IF(OR(DATE($C45,9,15)&lt;$S$24,AND($T$24&gt;0,DATE($C45,9,15)&gt;$T$24)),0,IF(DATE($C45,9,15)&gt;=$X$24,$AA$24*(1+($U$24)/100)^MAX(0,$C45-$AD$24),IF(DATE($C45,9,15)&gt;=$W$24,$Z$24*(1+($U$24)/100)^MAX(0,$C45-$AC$24),IF(DATE($C45,9,15)&gt;=$V$24,$Y$24*(1+($U$24)/100)^MAX(0,$C45-$AB$24),0)))))</f>
      </c>
      <c r="N45" s="43">
        <f>IF($S$24=0,0,IF(OR(DATE($C45,10,15)&lt;$S$24,AND($T$24&gt;0,DATE($C45,10,15)&gt;$T$24)),0,IF(DATE($C45,10,15)&gt;=$X$24,$AA$24*(1+($U$24)/100)^MAX(0,$C45-$AD$24),IF(DATE($C45,10,15)&gt;=$W$24,$Z$24*(1+($U$24)/100)^MAX(0,$C45-$AC$24),IF(DATE($C45,10,15)&gt;=$V$24,$Y$24*(1+($U$24)/100)^MAX(0,$C45-$AB$24),0)))))</f>
      </c>
      <c r="O45" s="43">
        <f>IF($S$24=0,0,IF(OR(DATE($C45,11,15)&lt;$S$24,AND($T$24&gt;0,DATE($C45,11,15)&gt;$T$24)),0,IF(DATE($C45,11,15)&gt;=$X$24,$AA$24*(1+($U$24)/100)^MAX(0,$C45-$AD$24),IF(DATE($C45,11,15)&gt;=$W$24,$Z$24*(1+($U$24)/100)^MAX(0,$C45-$AC$24),IF(DATE($C45,11,15)&gt;=$V$24,$Y$24*(1+($U$24)/100)^MAX(0,$C45-$AB$24),0)))))</f>
      </c>
      <c r="P45" s="43">
        <f>IF($S$24=0,0,IF(OR(DATE($C45,12,15)&lt;$S$24,AND($T$24&gt;0,DATE($C45,12,15)&gt;$T$24)),0,IF(DATE($C45,12,15)&gt;=$X$24,$AA$24*(1+($U$24)/100)^MAX(0,$C45-$AD$24),IF(DATE($C45,12,15)&gt;=$W$24,$Z$24*(1+($U$24)/100)^MAX(0,$C45-$AC$24),IF(DATE($C45,12,15)&gt;=$V$24,$Y$24*(1+($U$24)/100)^MAX(0,$C45-$AB$24),0)))))</f>
      </c>
      <c r="Q45" s="43">
        <f>SUM($E45:$P45)</f>
      </c>
    </row>
    <row r="46">
      <c r="A46"/>
      <c r="B46">
        <v>1</v>
      </c>
      <c r="C46" s="43">
        <f>Jahr+22</f>
      </c>
      <c r="D46" s="43">
        <f>INDEX(MvObj,1)</f>
      </c>
      <c r="E46" s="43">
        <f>IF($S$24=0,0,IF(OR(DATE($C46,1,15)&lt;$S$24,AND($T$24&gt;0,DATE($C46,1,15)&gt;$T$24)),0,IF(DATE($C46,1,15)&gt;=$X$24,$AA$24*(1+($U$24)/100)^MAX(0,$C46-$AD$24),IF(DATE($C46,1,15)&gt;=$W$24,$Z$24*(1+($U$24)/100)^MAX(0,$C46-$AC$24),IF(DATE($C46,1,15)&gt;=$V$24,$Y$24*(1+($U$24)/100)^MAX(0,$C46-$AB$24),0)))))</f>
      </c>
      <c r="F46" s="43">
        <f>IF($S$24=0,0,IF(OR(DATE($C46,2,15)&lt;$S$24,AND($T$24&gt;0,DATE($C46,2,15)&gt;$T$24)),0,IF(DATE($C46,2,15)&gt;=$X$24,$AA$24*(1+($U$24)/100)^MAX(0,$C46-$AD$24),IF(DATE($C46,2,15)&gt;=$W$24,$Z$24*(1+($U$24)/100)^MAX(0,$C46-$AC$24),IF(DATE($C46,2,15)&gt;=$V$24,$Y$24*(1+($U$24)/100)^MAX(0,$C46-$AB$24),0)))))</f>
      </c>
      <c r="G46" s="43">
        <f>IF($S$24=0,0,IF(OR(DATE($C46,3,15)&lt;$S$24,AND($T$24&gt;0,DATE($C46,3,15)&gt;$T$24)),0,IF(DATE($C46,3,15)&gt;=$X$24,$AA$24*(1+($U$24)/100)^MAX(0,$C46-$AD$24),IF(DATE($C46,3,15)&gt;=$W$24,$Z$24*(1+($U$24)/100)^MAX(0,$C46-$AC$24),IF(DATE($C46,3,15)&gt;=$V$24,$Y$24*(1+($U$24)/100)^MAX(0,$C46-$AB$24),0)))))</f>
      </c>
      <c r="H46" s="43">
        <f>IF($S$24=0,0,IF(OR(DATE($C46,4,15)&lt;$S$24,AND($T$24&gt;0,DATE($C46,4,15)&gt;$T$24)),0,IF(DATE($C46,4,15)&gt;=$X$24,$AA$24*(1+($U$24)/100)^MAX(0,$C46-$AD$24),IF(DATE($C46,4,15)&gt;=$W$24,$Z$24*(1+($U$24)/100)^MAX(0,$C46-$AC$24),IF(DATE($C46,4,15)&gt;=$V$24,$Y$24*(1+($U$24)/100)^MAX(0,$C46-$AB$24),0)))))</f>
      </c>
      <c r="I46" s="43">
        <f>IF($S$24=0,0,IF(OR(DATE($C46,5,15)&lt;$S$24,AND($T$24&gt;0,DATE($C46,5,15)&gt;$T$24)),0,IF(DATE($C46,5,15)&gt;=$X$24,$AA$24*(1+($U$24)/100)^MAX(0,$C46-$AD$24),IF(DATE($C46,5,15)&gt;=$W$24,$Z$24*(1+($U$24)/100)^MAX(0,$C46-$AC$24),IF(DATE($C46,5,15)&gt;=$V$24,$Y$24*(1+($U$24)/100)^MAX(0,$C46-$AB$24),0)))))</f>
      </c>
      <c r="J46" s="43">
        <f>IF($S$24=0,0,IF(OR(DATE($C46,6,15)&lt;$S$24,AND($T$24&gt;0,DATE($C46,6,15)&gt;$T$24)),0,IF(DATE($C46,6,15)&gt;=$X$24,$AA$24*(1+($U$24)/100)^MAX(0,$C46-$AD$24),IF(DATE($C46,6,15)&gt;=$W$24,$Z$24*(1+($U$24)/100)^MAX(0,$C46-$AC$24),IF(DATE($C46,6,15)&gt;=$V$24,$Y$24*(1+($U$24)/100)^MAX(0,$C46-$AB$24),0)))))</f>
      </c>
      <c r="K46" s="43">
        <f>IF($S$24=0,0,IF(OR(DATE($C46,7,15)&lt;$S$24,AND($T$24&gt;0,DATE($C46,7,15)&gt;$T$24)),0,IF(DATE($C46,7,15)&gt;=$X$24,$AA$24*(1+($U$24)/100)^MAX(0,$C46-$AD$24),IF(DATE($C46,7,15)&gt;=$W$24,$Z$24*(1+($U$24)/100)^MAX(0,$C46-$AC$24),IF(DATE($C46,7,15)&gt;=$V$24,$Y$24*(1+($U$24)/100)^MAX(0,$C46-$AB$24),0)))))</f>
      </c>
      <c r="L46" s="43">
        <f>IF($S$24=0,0,IF(OR(DATE($C46,8,15)&lt;$S$24,AND($T$24&gt;0,DATE($C46,8,15)&gt;$T$24)),0,IF(DATE($C46,8,15)&gt;=$X$24,$AA$24*(1+($U$24)/100)^MAX(0,$C46-$AD$24),IF(DATE($C46,8,15)&gt;=$W$24,$Z$24*(1+($U$24)/100)^MAX(0,$C46-$AC$24),IF(DATE($C46,8,15)&gt;=$V$24,$Y$24*(1+($U$24)/100)^MAX(0,$C46-$AB$24),0)))))</f>
      </c>
      <c r="M46" s="43">
        <f>IF($S$24=0,0,IF(OR(DATE($C46,9,15)&lt;$S$24,AND($T$24&gt;0,DATE($C46,9,15)&gt;$T$24)),0,IF(DATE($C46,9,15)&gt;=$X$24,$AA$24*(1+($U$24)/100)^MAX(0,$C46-$AD$24),IF(DATE($C46,9,15)&gt;=$W$24,$Z$24*(1+($U$24)/100)^MAX(0,$C46-$AC$24),IF(DATE($C46,9,15)&gt;=$V$24,$Y$24*(1+($U$24)/100)^MAX(0,$C46-$AB$24),0)))))</f>
      </c>
      <c r="N46" s="43">
        <f>IF($S$24=0,0,IF(OR(DATE($C46,10,15)&lt;$S$24,AND($T$24&gt;0,DATE($C46,10,15)&gt;$T$24)),0,IF(DATE($C46,10,15)&gt;=$X$24,$AA$24*(1+($U$24)/100)^MAX(0,$C46-$AD$24),IF(DATE($C46,10,15)&gt;=$W$24,$Z$24*(1+($U$24)/100)^MAX(0,$C46-$AC$24),IF(DATE($C46,10,15)&gt;=$V$24,$Y$24*(1+($U$24)/100)^MAX(0,$C46-$AB$24),0)))))</f>
      </c>
      <c r="O46" s="43">
        <f>IF($S$24=0,0,IF(OR(DATE($C46,11,15)&lt;$S$24,AND($T$24&gt;0,DATE($C46,11,15)&gt;$T$24)),0,IF(DATE($C46,11,15)&gt;=$X$24,$AA$24*(1+($U$24)/100)^MAX(0,$C46-$AD$24),IF(DATE($C46,11,15)&gt;=$W$24,$Z$24*(1+($U$24)/100)^MAX(0,$C46-$AC$24),IF(DATE($C46,11,15)&gt;=$V$24,$Y$24*(1+($U$24)/100)^MAX(0,$C46-$AB$24),0)))))</f>
      </c>
      <c r="P46" s="43">
        <f>IF($S$24=0,0,IF(OR(DATE($C46,12,15)&lt;$S$24,AND($T$24&gt;0,DATE($C46,12,15)&gt;$T$24)),0,IF(DATE($C46,12,15)&gt;=$X$24,$AA$24*(1+($U$24)/100)^MAX(0,$C46-$AD$24),IF(DATE($C46,12,15)&gt;=$W$24,$Z$24*(1+($U$24)/100)^MAX(0,$C46-$AC$24),IF(DATE($C46,12,15)&gt;=$V$24,$Y$24*(1+($U$24)/100)^MAX(0,$C46-$AB$24),0)))))</f>
      </c>
      <c r="Q46" s="43">
        <f>SUM($E46:$P46)</f>
      </c>
    </row>
    <row r="47">
      <c r="A47"/>
      <c r="B47">
        <v>1</v>
      </c>
      <c r="C47" s="43">
        <f>Jahr+23</f>
      </c>
      <c r="D47" s="43">
        <f>INDEX(MvObj,1)</f>
      </c>
      <c r="E47" s="43">
        <f>IF($S$24=0,0,IF(OR(DATE($C47,1,15)&lt;$S$24,AND($T$24&gt;0,DATE($C47,1,15)&gt;$T$24)),0,IF(DATE($C47,1,15)&gt;=$X$24,$AA$24*(1+($U$24)/100)^MAX(0,$C47-$AD$24),IF(DATE($C47,1,15)&gt;=$W$24,$Z$24*(1+($U$24)/100)^MAX(0,$C47-$AC$24),IF(DATE($C47,1,15)&gt;=$V$24,$Y$24*(1+($U$24)/100)^MAX(0,$C47-$AB$24),0)))))</f>
      </c>
      <c r="F47" s="43">
        <f>IF($S$24=0,0,IF(OR(DATE($C47,2,15)&lt;$S$24,AND($T$24&gt;0,DATE($C47,2,15)&gt;$T$24)),0,IF(DATE($C47,2,15)&gt;=$X$24,$AA$24*(1+($U$24)/100)^MAX(0,$C47-$AD$24),IF(DATE($C47,2,15)&gt;=$W$24,$Z$24*(1+($U$24)/100)^MAX(0,$C47-$AC$24),IF(DATE($C47,2,15)&gt;=$V$24,$Y$24*(1+($U$24)/100)^MAX(0,$C47-$AB$24),0)))))</f>
      </c>
      <c r="G47" s="43">
        <f>IF($S$24=0,0,IF(OR(DATE($C47,3,15)&lt;$S$24,AND($T$24&gt;0,DATE($C47,3,15)&gt;$T$24)),0,IF(DATE($C47,3,15)&gt;=$X$24,$AA$24*(1+($U$24)/100)^MAX(0,$C47-$AD$24),IF(DATE($C47,3,15)&gt;=$W$24,$Z$24*(1+($U$24)/100)^MAX(0,$C47-$AC$24),IF(DATE($C47,3,15)&gt;=$V$24,$Y$24*(1+($U$24)/100)^MAX(0,$C47-$AB$24),0)))))</f>
      </c>
      <c r="H47" s="43">
        <f>IF($S$24=0,0,IF(OR(DATE($C47,4,15)&lt;$S$24,AND($T$24&gt;0,DATE($C47,4,15)&gt;$T$24)),0,IF(DATE($C47,4,15)&gt;=$X$24,$AA$24*(1+($U$24)/100)^MAX(0,$C47-$AD$24),IF(DATE($C47,4,15)&gt;=$W$24,$Z$24*(1+($U$24)/100)^MAX(0,$C47-$AC$24),IF(DATE($C47,4,15)&gt;=$V$24,$Y$24*(1+($U$24)/100)^MAX(0,$C47-$AB$24),0)))))</f>
      </c>
      <c r="I47" s="43">
        <f>IF($S$24=0,0,IF(OR(DATE($C47,5,15)&lt;$S$24,AND($T$24&gt;0,DATE($C47,5,15)&gt;$T$24)),0,IF(DATE($C47,5,15)&gt;=$X$24,$AA$24*(1+($U$24)/100)^MAX(0,$C47-$AD$24),IF(DATE($C47,5,15)&gt;=$W$24,$Z$24*(1+($U$24)/100)^MAX(0,$C47-$AC$24),IF(DATE($C47,5,15)&gt;=$V$24,$Y$24*(1+($U$24)/100)^MAX(0,$C47-$AB$24),0)))))</f>
      </c>
      <c r="J47" s="43">
        <f>IF($S$24=0,0,IF(OR(DATE($C47,6,15)&lt;$S$24,AND($T$24&gt;0,DATE($C47,6,15)&gt;$T$24)),0,IF(DATE($C47,6,15)&gt;=$X$24,$AA$24*(1+($U$24)/100)^MAX(0,$C47-$AD$24),IF(DATE($C47,6,15)&gt;=$W$24,$Z$24*(1+($U$24)/100)^MAX(0,$C47-$AC$24),IF(DATE($C47,6,15)&gt;=$V$24,$Y$24*(1+($U$24)/100)^MAX(0,$C47-$AB$24),0)))))</f>
      </c>
      <c r="K47" s="43">
        <f>IF($S$24=0,0,IF(OR(DATE($C47,7,15)&lt;$S$24,AND($T$24&gt;0,DATE($C47,7,15)&gt;$T$24)),0,IF(DATE($C47,7,15)&gt;=$X$24,$AA$24*(1+($U$24)/100)^MAX(0,$C47-$AD$24),IF(DATE($C47,7,15)&gt;=$W$24,$Z$24*(1+($U$24)/100)^MAX(0,$C47-$AC$24),IF(DATE($C47,7,15)&gt;=$V$24,$Y$24*(1+($U$24)/100)^MAX(0,$C47-$AB$24),0)))))</f>
      </c>
      <c r="L47" s="43">
        <f>IF($S$24=0,0,IF(OR(DATE($C47,8,15)&lt;$S$24,AND($T$24&gt;0,DATE($C47,8,15)&gt;$T$24)),0,IF(DATE($C47,8,15)&gt;=$X$24,$AA$24*(1+($U$24)/100)^MAX(0,$C47-$AD$24),IF(DATE($C47,8,15)&gt;=$W$24,$Z$24*(1+($U$24)/100)^MAX(0,$C47-$AC$24),IF(DATE($C47,8,15)&gt;=$V$24,$Y$24*(1+($U$24)/100)^MAX(0,$C47-$AB$24),0)))))</f>
      </c>
      <c r="M47" s="43">
        <f>IF($S$24=0,0,IF(OR(DATE($C47,9,15)&lt;$S$24,AND($T$24&gt;0,DATE($C47,9,15)&gt;$T$24)),0,IF(DATE($C47,9,15)&gt;=$X$24,$AA$24*(1+($U$24)/100)^MAX(0,$C47-$AD$24),IF(DATE($C47,9,15)&gt;=$W$24,$Z$24*(1+($U$24)/100)^MAX(0,$C47-$AC$24),IF(DATE($C47,9,15)&gt;=$V$24,$Y$24*(1+($U$24)/100)^MAX(0,$C47-$AB$24),0)))))</f>
      </c>
      <c r="N47" s="43">
        <f>IF($S$24=0,0,IF(OR(DATE($C47,10,15)&lt;$S$24,AND($T$24&gt;0,DATE($C47,10,15)&gt;$T$24)),0,IF(DATE($C47,10,15)&gt;=$X$24,$AA$24*(1+($U$24)/100)^MAX(0,$C47-$AD$24),IF(DATE($C47,10,15)&gt;=$W$24,$Z$24*(1+($U$24)/100)^MAX(0,$C47-$AC$24),IF(DATE($C47,10,15)&gt;=$V$24,$Y$24*(1+($U$24)/100)^MAX(0,$C47-$AB$24),0)))))</f>
      </c>
      <c r="O47" s="43">
        <f>IF($S$24=0,0,IF(OR(DATE($C47,11,15)&lt;$S$24,AND($T$24&gt;0,DATE($C47,11,15)&gt;$T$24)),0,IF(DATE($C47,11,15)&gt;=$X$24,$AA$24*(1+($U$24)/100)^MAX(0,$C47-$AD$24),IF(DATE($C47,11,15)&gt;=$W$24,$Z$24*(1+($U$24)/100)^MAX(0,$C47-$AC$24),IF(DATE($C47,11,15)&gt;=$V$24,$Y$24*(1+($U$24)/100)^MAX(0,$C47-$AB$24),0)))))</f>
      </c>
      <c r="P47" s="43">
        <f>IF($S$24=0,0,IF(OR(DATE($C47,12,15)&lt;$S$24,AND($T$24&gt;0,DATE($C47,12,15)&gt;$T$24)),0,IF(DATE($C47,12,15)&gt;=$X$24,$AA$24*(1+($U$24)/100)^MAX(0,$C47-$AD$24),IF(DATE($C47,12,15)&gt;=$W$24,$Z$24*(1+($U$24)/100)^MAX(0,$C47-$AC$24),IF(DATE($C47,12,15)&gt;=$V$24,$Y$24*(1+($U$24)/100)^MAX(0,$C47-$AB$24),0)))))</f>
      </c>
      <c r="Q47" s="43">
        <f>SUM($E47:$P47)</f>
      </c>
    </row>
    <row r="48">
      <c r="A48"/>
      <c r="B48">
        <v>1</v>
      </c>
      <c r="C48" s="43">
        <f>Jahr+24</f>
      </c>
      <c r="D48" s="43">
        <f>INDEX(MvObj,1)</f>
      </c>
      <c r="E48" s="43">
        <f>IF($S$24=0,0,IF(OR(DATE($C48,1,15)&lt;$S$24,AND($T$24&gt;0,DATE($C48,1,15)&gt;$T$24)),0,IF(DATE($C48,1,15)&gt;=$X$24,$AA$24*(1+($U$24)/100)^MAX(0,$C48-$AD$24),IF(DATE($C48,1,15)&gt;=$W$24,$Z$24*(1+($U$24)/100)^MAX(0,$C48-$AC$24),IF(DATE($C48,1,15)&gt;=$V$24,$Y$24*(1+($U$24)/100)^MAX(0,$C48-$AB$24),0)))))</f>
      </c>
      <c r="F48" s="43">
        <f>IF($S$24=0,0,IF(OR(DATE($C48,2,15)&lt;$S$24,AND($T$24&gt;0,DATE($C48,2,15)&gt;$T$24)),0,IF(DATE($C48,2,15)&gt;=$X$24,$AA$24*(1+($U$24)/100)^MAX(0,$C48-$AD$24),IF(DATE($C48,2,15)&gt;=$W$24,$Z$24*(1+($U$24)/100)^MAX(0,$C48-$AC$24),IF(DATE($C48,2,15)&gt;=$V$24,$Y$24*(1+($U$24)/100)^MAX(0,$C48-$AB$24),0)))))</f>
      </c>
      <c r="G48" s="43">
        <f>IF($S$24=0,0,IF(OR(DATE($C48,3,15)&lt;$S$24,AND($T$24&gt;0,DATE($C48,3,15)&gt;$T$24)),0,IF(DATE($C48,3,15)&gt;=$X$24,$AA$24*(1+($U$24)/100)^MAX(0,$C48-$AD$24),IF(DATE($C48,3,15)&gt;=$W$24,$Z$24*(1+($U$24)/100)^MAX(0,$C48-$AC$24),IF(DATE($C48,3,15)&gt;=$V$24,$Y$24*(1+($U$24)/100)^MAX(0,$C48-$AB$24),0)))))</f>
      </c>
      <c r="H48" s="43">
        <f>IF($S$24=0,0,IF(OR(DATE($C48,4,15)&lt;$S$24,AND($T$24&gt;0,DATE($C48,4,15)&gt;$T$24)),0,IF(DATE($C48,4,15)&gt;=$X$24,$AA$24*(1+($U$24)/100)^MAX(0,$C48-$AD$24),IF(DATE($C48,4,15)&gt;=$W$24,$Z$24*(1+($U$24)/100)^MAX(0,$C48-$AC$24),IF(DATE($C48,4,15)&gt;=$V$24,$Y$24*(1+($U$24)/100)^MAX(0,$C48-$AB$24),0)))))</f>
      </c>
      <c r="I48" s="43">
        <f>IF($S$24=0,0,IF(OR(DATE($C48,5,15)&lt;$S$24,AND($T$24&gt;0,DATE($C48,5,15)&gt;$T$24)),0,IF(DATE($C48,5,15)&gt;=$X$24,$AA$24*(1+($U$24)/100)^MAX(0,$C48-$AD$24),IF(DATE($C48,5,15)&gt;=$W$24,$Z$24*(1+($U$24)/100)^MAX(0,$C48-$AC$24),IF(DATE($C48,5,15)&gt;=$V$24,$Y$24*(1+($U$24)/100)^MAX(0,$C48-$AB$24),0)))))</f>
      </c>
      <c r="J48" s="43">
        <f>IF($S$24=0,0,IF(OR(DATE($C48,6,15)&lt;$S$24,AND($T$24&gt;0,DATE($C48,6,15)&gt;$T$24)),0,IF(DATE($C48,6,15)&gt;=$X$24,$AA$24*(1+($U$24)/100)^MAX(0,$C48-$AD$24),IF(DATE($C48,6,15)&gt;=$W$24,$Z$24*(1+($U$24)/100)^MAX(0,$C48-$AC$24),IF(DATE($C48,6,15)&gt;=$V$24,$Y$24*(1+($U$24)/100)^MAX(0,$C48-$AB$24),0)))))</f>
      </c>
      <c r="K48" s="43">
        <f>IF($S$24=0,0,IF(OR(DATE($C48,7,15)&lt;$S$24,AND($T$24&gt;0,DATE($C48,7,15)&gt;$T$24)),0,IF(DATE($C48,7,15)&gt;=$X$24,$AA$24*(1+($U$24)/100)^MAX(0,$C48-$AD$24),IF(DATE($C48,7,15)&gt;=$W$24,$Z$24*(1+($U$24)/100)^MAX(0,$C48-$AC$24),IF(DATE($C48,7,15)&gt;=$V$24,$Y$24*(1+($U$24)/100)^MAX(0,$C48-$AB$24),0)))))</f>
      </c>
      <c r="L48" s="43">
        <f>IF($S$24=0,0,IF(OR(DATE($C48,8,15)&lt;$S$24,AND($T$24&gt;0,DATE($C48,8,15)&gt;$T$24)),0,IF(DATE($C48,8,15)&gt;=$X$24,$AA$24*(1+($U$24)/100)^MAX(0,$C48-$AD$24),IF(DATE($C48,8,15)&gt;=$W$24,$Z$24*(1+($U$24)/100)^MAX(0,$C48-$AC$24),IF(DATE($C48,8,15)&gt;=$V$24,$Y$24*(1+($U$24)/100)^MAX(0,$C48-$AB$24),0)))))</f>
      </c>
      <c r="M48" s="43">
        <f>IF($S$24=0,0,IF(OR(DATE($C48,9,15)&lt;$S$24,AND($T$24&gt;0,DATE($C48,9,15)&gt;$T$24)),0,IF(DATE($C48,9,15)&gt;=$X$24,$AA$24*(1+($U$24)/100)^MAX(0,$C48-$AD$24),IF(DATE($C48,9,15)&gt;=$W$24,$Z$24*(1+($U$24)/100)^MAX(0,$C48-$AC$24),IF(DATE($C48,9,15)&gt;=$V$24,$Y$24*(1+($U$24)/100)^MAX(0,$C48-$AB$24),0)))))</f>
      </c>
      <c r="N48" s="43">
        <f>IF($S$24=0,0,IF(OR(DATE($C48,10,15)&lt;$S$24,AND($T$24&gt;0,DATE($C48,10,15)&gt;$T$24)),0,IF(DATE($C48,10,15)&gt;=$X$24,$AA$24*(1+($U$24)/100)^MAX(0,$C48-$AD$24),IF(DATE($C48,10,15)&gt;=$W$24,$Z$24*(1+($U$24)/100)^MAX(0,$C48-$AC$24),IF(DATE($C48,10,15)&gt;=$V$24,$Y$24*(1+($U$24)/100)^MAX(0,$C48-$AB$24),0)))))</f>
      </c>
      <c r="O48" s="43">
        <f>IF($S$24=0,0,IF(OR(DATE($C48,11,15)&lt;$S$24,AND($T$24&gt;0,DATE($C48,11,15)&gt;$T$24)),0,IF(DATE($C48,11,15)&gt;=$X$24,$AA$24*(1+($U$24)/100)^MAX(0,$C48-$AD$24),IF(DATE($C48,11,15)&gt;=$W$24,$Z$24*(1+($U$24)/100)^MAX(0,$C48-$AC$24),IF(DATE($C48,11,15)&gt;=$V$24,$Y$24*(1+($U$24)/100)^MAX(0,$C48-$AB$24),0)))))</f>
      </c>
      <c r="P48" s="43">
        <f>IF($S$24=0,0,IF(OR(DATE($C48,12,15)&lt;$S$24,AND($T$24&gt;0,DATE($C48,12,15)&gt;$T$24)),0,IF(DATE($C48,12,15)&gt;=$X$24,$AA$24*(1+($U$24)/100)^MAX(0,$C48-$AD$24),IF(DATE($C48,12,15)&gt;=$W$24,$Z$24*(1+($U$24)/100)^MAX(0,$C48-$AC$24),IF(DATE($C48,12,15)&gt;=$V$24,$Y$24*(1+($U$24)/100)^MAX(0,$C48-$AB$24),0)))))</f>
      </c>
      <c r="Q48" s="43">
        <f>SUM($E48:$P48)</f>
      </c>
    </row>
    <row r="49">
      <c r="A49"/>
      <c r="B49">
        <v>1</v>
      </c>
      <c r="C49" s="43">
        <f>Jahr+25</f>
      </c>
      <c r="D49" s="43">
        <f>INDEX(MvObj,1)</f>
      </c>
      <c r="E49" s="43">
        <f>IF($S$24=0,0,IF(OR(DATE($C49,1,15)&lt;$S$24,AND($T$24&gt;0,DATE($C49,1,15)&gt;$T$24)),0,IF(DATE($C49,1,15)&gt;=$X$24,$AA$24*(1+($U$24)/100)^MAX(0,$C49-$AD$24),IF(DATE($C49,1,15)&gt;=$W$24,$Z$24*(1+($U$24)/100)^MAX(0,$C49-$AC$24),IF(DATE($C49,1,15)&gt;=$V$24,$Y$24*(1+($U$24)/100)^MAX(0,$C49-$AB$24),0)))))</f>
      </c>
      <c r="F49" s="43">
        <f>IF($S$24=0,0,IF(OR(DATE($C49,2,15)&lt;$S$24,AND($T$24&gt;0,DATE($C49,2,15)&gt;$T$24)),0,IF(DATE($C49,2,15)&gt;=$X$24,$AA$24*(1+($U$24)/100)^MAX(0,$C49-$AD$24),IF(DATE($C49,2,15)&gt;=$W$24,$Z$24*(1+($U$24)/100)^MAX(0,$C49-$AC$24),IF(DATE($C49,2,15)&gt;=$V$24,$Y$24*(1+($U$24)/100)^MAX(0,$C49-$AB$24),0)))))</f>
      </c>
      <c r="G49" s="43">
        <f>IF($S$24=0,0,IF(OR(DATE($C49,3,15)&lt;$S$24,AND($T$24&gt;0,DATE($C49,3,15)&gt;$T$24)),0,IF(DATE($C49,3,15)&gt;=$X$24,$AA$24*(1+($U$24)/100)^MAX(0,$C49-$AD$24),IF(DATE($C49,3,15)&gt;=$W$24,$Z$24*(1+($U$24)/100)^MAX(0,$C49-$AC$24),IF(DATE($C49,3,15)&gt;=$V$24,$Y$24*(1+($U$24)/100)^MAX(0,$C49-$AB$24),0)))))</f>
      </c>
      <c r="H49" s="43">
        <f>IF($S$24=0,0,IF(OR(DATE($C49,4,15)&lt;$S$24,AND($T$24&gt;0,DATE($C49,4,15)&gt;$T$24)),0,IF(DATE($C49,4,15)&gt;=$X$24,$AA$24*(1+($U$24)/100)^MAX(0,$C49-$AD$24),IF(DATE($C49,4,15)&gt;=$W$24,$Z$24*(1+($U$24)/100)^MAX(0,$C49-$AC$24),IF(DATE($C49,4,15)&gt;=$V$24,$Y$24*(1+($U$24)/100)^MAX(0,$C49-$AB$24),0)))))</f>
      </c>
      <c r="I49" s="43">
        <f>IF($S$24=0,0,IF(OR(DATE($C49,5,15)&lt;$S$24,AND($T$24&gt;0,DATE($C49,5,15)&gt;$T$24)),0,IF(DATE($C49,5,15)&gt;=$X$24,$AA$24*(1+($U$24)/100)^MAX(0,$C49-$AD$24),IF(DATE($C49,5,15)&gt;=$W$24,$Z$24*(1+($U$24)/100)^MAX(0,$C49-$AC$24),IF(DATE($C49,5,15)&gt;=$V$24,$Y$24*(1+($U$24)/100)^MAX(0,$C49-$AB$24),0)))))</f>
      </c>
      <c r="J49" s="43">
        <f>IF($S$24=0,0,IF(OR(DATE($C49,6,15)&lt;$S$24,AND($T$24&gt;0,DATE($C49,6,15)&gt;$T$24)),0,IF(DATE($C49,6,15)&gt;=$X$24,$AA$24*(1+($U$24)/100)^MAX(0,$C49-$AD$24),IF(DATE($C49,6,15)&gt;=$W$24,$Z$24*(1+($U$24)/100)^MAX(0,$C49-$AC$24),IF(DATE($C49,6,15)&gt;=$V$24,$Y$24*(1+($U$24)/100)^MAX(0,$C49-$AB$24),0)))))</f>
      </c>
      <c r="K49" s="43">
        <f>IF($S$24=0,0,IF(OR(DATE($C49,7,15)&lt;$S$24,AND($T$24&gt;0,DATE($C49,7,15)&gt;$T$24)),0,IF(DATE($C49,7,15)&gt;=$X$24,$AA$24*(1+($U$24)/100)^MAX(0,$C49-$AD$24),IF(DATE($C49,7,15)&gt;=$W$24,$Z$24*(1+($U$24)/100)^MAX(0,$C49-$AC$24),IF(DATE($C49,7,15)&gt;=$V$24,$Y$24*(1+($U$24)/100)^MAX(0,$C49-$AB$24),0)))))</f>
      </c>
      <c r="L49" s="43">
        <f>IF($S$24=0,0,IF(OR(DATE($C49,8,15)&lt;$S$24,AND($T$24&gt;0,DATE($C49,8,15)&gt;$T$24)),0,IF(DATE($C49,8,15)&gt;=$X$24,$AA$24*(1+($U$24)/100)^MAX(0,$C49-$AD$24),IF(DATE($C49,8,15)&gt;=$W$24,$Z$24*(1+($U$24)/100)^MAX(0,$C49-$AC$24),IF(DATE($C49,8,15)&gt;=$V$24,$Y$24*(1+($U$24)/100)^MAX(0,$C49-$AB$24),0)))))</f>
      </c>
      <c r="M49" s="43">
        <f>IF($S$24=0,0,IF(OR(DATE($C49,9,15)&lt;$S$24,AND($T$24&gt;0,DATE($C49,9,15)&gt;$T$24)),0,IF(DATE($C49,9,15)&gt;=$X$24,$AA$24*(1+($U$24)/100)^MAX(0,$C49-$AD$24),IF(DATE($C49,9,15)&gt;=$W$24,$Z$24*(1+($U$24)/100)^MAX(0,$C49-$AC$24),IF(DATE($C49,9,15)&gt;=$V$24,$Y$24*(1+($U$24)/100)^MAX(0,$C49-$AB$24),0)))))</f>
      </c>
      <c r="N49" s="43">
        <f>IF($S$24=0,0,IF(OR(DATE($C49,10,15)&lt;$S$24,AND($T$24&gt;0,DATE($C49,10,15)&gt;$T$24)),0,IF(DATE($C49,10,15)&gt;=$X$24,$AA$24*(1+($U$24)/100)^MAX(0,$C49-$AD$24),IF(DATE($C49,10,15)&gt;=$W$24,$Z$24*(1+($U$24)/100)^MAX(0,$C49-$AC$24),IF(DATE($C49,10,15)&gt;=$V$24,$Y$24*(1+($U$24)/100)^MAX(0,$C49-$AB$24),0)))))</f>
      </c>
      <c r="O49" s="43">
        <f>IF($S$24=0,0,IF(OR(DATE($C49,11,15)&lt;$S$24,AND($T$24&gt;0,DATE($C49,11,15)&gt;$T$24)),0,IF(DATE($C49,11,15)&gt;=$X$24,$AA$24*(1+($U$24)/100)^MAX(0,$C49-$AD$24),IF(DATE($C49,11,15)&gt;=$W$24,$Z$24*(1+($U$24)/100)^MAX(0,$C49-$AC$24),IF(DATE($C49,11,15)&gt;=$V$24,$Y$24*(1+($U$24)/100)^MAX(0,$C49-$AB$24),0)))))</f>
      </c>
      <c r="P49" s="43">
        <f>IF($S$24=0,0,IF(OR(DATE($C49,12,15)&lt;$S$24,AND($T$24&gt;0,DATE($C49,12,15)&gt;$T$24)),0,IF(DATE($C49,12,15)&gt;=$X$24,$AA$24*(1+($U$24)/100)^MAX(0,$C49-$AD$24),IF(DATE($C49,12,15)&gt;=$W$24,$Z$24*(1+($U$24)/100)^MAX(0,$C49-$AC$24),IF(DATE($C49,12,15)&gt;=$V$24,$Y$24*(1+($U$24)/100)^MAX(0,$C49-$AB$24),0)))))</f>
      </c>
      <c r="Q49" s="43">
        <f>SUM($E49:$P49)</f>
      </c>
    </row>
    <row r="50">
      <c r="A50"/>
      <c r="B50">
        <v>1</v>
      </c>
      <c r="C50" s="43">
        <f>Jahr+26</f>
      </c>
      <c r="D50" s="43">
        <f>INDEX(MvObj,1)</f>
      </c>
      <c r="E50" s="43">
        <f>IF($S$24=0,0,IF(OR(DATE($C50,1,15)&lt;$S$24,AND($T$24&gt;0,DATE($C50,1,15)&gt;$T$24)),0,IF(DATE($C50,1,15)&gt;=$X$24,$AA$24*(1+($U$24)/100)^MAX(0,$C50-$AD$24),IF(DATE($C50,1,15)&gt;=$W$24,$Z$24*(1+($U$24)/100)^MAX(0,$C50-$AC$24),IF(DATE($C50,1,15)&gt;=$V$24,$Y$24*(1+($U$24)/100)^MAX(0,$C50-$AB$24),0)))))</f>
      </c>
      <c r="F50" s="43">
        <f>IF($S$24=0,0,IF(OR(DATE($C50,2,15)&lt;$S$24,AND($T$24&gt;0,DATE($C50,2,15)&gt;$T$24)),0,IF(DATE($C50,2,15)&gt;=$X$24,$AA$24*(1+($U$24)/100)^MAX(0,$C50-$AD$24),IF(DATE($C50,2,15)&gt;=$W$24,$Z$24*(1+($U$24)/100)^MAX(0,$C50-$AC$24),IF(DATE($C50,2,15)&gt;=$V$24,$Y$24*(1+($U$24)/100)^MAX(0,$C50-$AB$24),0)))))</f>
      </c>
      <c r="G50" s="43">
        <f>IF($S$24=0,0,IF(OR(DATE($C50,3,15)&lt;$S$24,AND($T$24&gt;0,DATE($C50,3,15)&gt;$T$24)),0,IF(DATE($C50,3,15)&gt;=$X$24,$AA$24*(1+($U$24)/100)^MAX(0,$C50-$AD$24),IF(DATE($C50,3,15)&gt;=$W$24,$Z$24*(1+($U$24)/100)^MAX(0,$C50-$AC$24),IF(DATE($C50,3,15)&gt;=$V$24,$Y$24*(1+($U$24)/100)^MAX(0,$C50-$AB$24),0)))))</f>
      </c>
      <c r="H50" s="43">
        <f>IF($S$24=0,0,IF(OR(DATE($C50,4,15)&lt;$S$24,AND($T$24&gt;0,DATE($C50,4,15)&gt;$T$24)),0,IF(DATE($C50,4,15)&gt;=$X$24,$AA$24*(1+($U$24)/100)^MAX(0,$C50-$AD$24),IF(DATE($C50,4,15)&gt;=$W$24,$Z$24*(1+($U$24)/100)^MAX(0,$C50-$AC$24),IF(DATE($C50,4,15)&gt;=$V$24,$Y$24*(1+($U$24)/100)^MAX(0,$C50-$AB$24),0)))))</f>
      </c>
      <c r="I50" s="43">
        <f>IF($S$24=0,0,IF(OR(DATE($C50,5,15)&lt;$S$24,AND($T$24&gt;0,DATE($C50,5,15)&gt;$T$24)),0,IF(DATE($C50,5,15)&gt;=$X$24,$AA$24*(1+($U$24)/100)^MAX(0,$C50-$AD$24),IF(DATE($C50,5,15)&gt;=$W$24,$Z$24*(1+($U$24)/100)^MAX(0,$C50-$AC$24),IF(DATE($C50,5,15)&gt;=$V$24,$Y$24*(1+($U$24)/100)^MAX(0,$C50-$AB$24),0)))))</f>
      </c>
      <c r="J50" s="43">
        <f>IF($S$24=0,0,IF(OR(DATE($C50,6,15)&lt;$S$24,AND($T$24&gt;0,DATE($C50,6,15)&gt;$T$24)),0,IF(DATE($C50,6,15)&gt;=$X$24,$AA$24*(1+($U$24)/100)^MAX(0,$C50-$AD$24),IF(DATE($C50,6,15)&gt;=$W$24,$Z$24*(1+($U$24)/100)^MAX(0,$C50-$AC$24),IF(DATE($C50,6,15)&gt;=$V$24,$Y$24*(1+($U$24)/100)^MAX(0,$C50-$AB$24),0)))))</f>
      </c>
      <c r="K50" s="43">
        <f>IF($S$24=0,0,IF(OR(DATE($C50,7,15)&lt;$S$24,AND($T$24&gt;0,DATE($C50,7,15)&gt;$T$24)),0,IF(DATE($C50,7,15)&gt;=$X$24,$AA$24*(1+($U$24)/100)^MAX(0,$C50-$AD$24),IF(DATE($C50,7,15)&gt;=$W$24,$Z$24*(1+($U$24)/100)^MAX(0,$C50-$AC$24),IF(DATE($C50,7,15)&gt;=$V$24,$Y$24*(1+($U$24)/100)^MAX(0,$C50-$AB$24),0)))))</f>
      </c>
      <c r="L50" s="43">
        <f>IF($S$24=0,0,IF(OR(DATE($C50,8,15)&lt;$S$24,AND($T$24&gt;0,DATE($C50,8,15)&gt;$T$24)),0,IF(DATE($C50,8,15)&gt;=$X$24,$AA$24*(1+($U$24)/100)^MAX(0,$C50-$AD$24),IF(DATE($C50,8,15)&gt;=$W$24,$Z$24*(1+($U$24)/100)^MAX(0,$C50-$AC$24),IF(DATE($C50,8,15)&gt;=$V$24,$Y$24*(1+($U$24)/100)^MAX(0,$C50-$AB$24),0)))))</f>
      </c>
      <c r="M50" s="43">
        <f>IF($S$24=0,0,IF(OR(DATE($C50,9,15)&lt;$S$24,AND($T$24&gt;0,DATE($C50,9,15)&gt;$T$24)),0,IF(DATE($C50,9,15)&gt;=$X$24,$AA$24*(1+($U$24)/100)^MAX(0,$C50-$AD$24),IF(DATE($C50,9,15)&gt;=$W$24,$Z$24*(1+($U$24)/100)^MAX(0,$C50-$AC$24),IF(DATE($C50,9,15)&gt;=$V$24,$Y$24*(1+($U$24)/100)^MAX(0,$C50-$AB$24),0)))))</f>
      </c>
      <c r="N50" s="43">
        <f>IF($S$24=0,0,IF(OR(DATE($C50,10,15)&lt;$S$24,AND($T$24&gt;0,DATE($C50,10,15)&gt;$T$24)),0,IF(DATE($C50,10,15)&gt;=$X$24,$AA$24*(1+($U$24)/100)^MAX(0,$C50-$AD$24),IF(DATE($C50,10,15)&gt;=$W$24,$Z$24*(1+($U$24)/100)^MAX(0,$C50-$AC$24),IF(DATE($C50,10,15)&gt;=$V$24,$Y$24*(1+($U$24)/100)^MAX(0,$C50-$AB$24),0)))))</f>
      </c>
      <c r="O50" s="43">
        <f>IF($S$24=0,0,IF(OR(DATE($C50,11,15)&lt;$S$24,AND($T$24&gt;0,DATE($C50,11,15)&gt;$T$24)),0,IF(DATE($C50,11,15)&gt;=$X$24,$AA$24*(1+($U$24)/100)^MAX(0,$C50-$AD$24),IF(DATE($C50,11,15)&gt;=$W$24,$Z$24*(1+($U$24)/100)^MAX(0,$C50-$AC$24),IF(DATE($C50,11,15)&gt;=$V$24,$Y$24*(1+($U$24)/100)^MAX(0,$C50-$AB$24),0)))))</f>
      </c>
      <c r="P50" s="43">
        <f>IF($S$24=0,0,IF(OR(DATE($C50,12,15)&lt;$S$24,AND($T$24&gt;0,DATE($C50,12,15)&gt;$T$24)),0,IF(DATE($C50,12,15)&gt;=$X$24,$AA$24*(1+($U$24)/100)^MAX(0,$C50-$AD$24),IF(DATE($C50,12,15)&gt;=$W$24,$Z$24*(1+($U$24)/100)^MAX(0,$C50-$AC$24),IF(DATE($C50,12,15)&gt;=$V$24,$Y$24*(1+($U$24)/100)^MAX(0,$C50-$AB$24),0)))))</f>
      </c>
      <c r="Q50" s="43">
        <f>SUM($E50:$P50)</f>
      </c>
    </row>
    <row r="51">
      <c r="A51"/>
      <c r="B51">
        <v>1</v>
      </c>
      <c r="C51" s="43">
        <f>Jahr+27</f>
      </c>
      <c r="D51" s="43">
        <f>INDEX(MvObj,1)</f>
      </c>
      <c r="E51" s="43">
        <f>IF($S$24=0,0,IF(OR(DATE($C51,1,15)&lt;$S$24,AND($T$24&gt;0,DATE($C51,1,15)&gt;$T$24)),0,IF(DATE($C51,1,15)&gt;=$X$24,$AA$24*(1+($U$24)/100)^MAX(0,$C51-$AD$24),IF(DATE($C51,1,15)&gt;=$W$24,$Z$24*(1+($U$24)/100)^MAX(0,$C51-$AC$24),IF(DATE($C51,1,15)&gt;=$V$24,$Y$24*(1+($U$24)/100)^MAX(0,$C51-$AB$24),0)))))</f>
      </c>
      <c r="F51" s="43">
        <f>IF($S$24=0,0,IF(OR(DATE($C51,2,15)&lt;$S$24,AND($T$24&gt;0,DATE($C51,2,15)&gt;$T$24)),0,IF(DATE($C51,2,15)&gt;=$X$24,$AA$24*(1+($U$24)/100)^MAX(0,$C51-$AD$24),IF(DATE($C51,2,15)&gt;=$W$24,$Z$24*(1+($U$24)/100)^MAX(0,$C51-$AC$24),IF(DATE($C51,2,15)&gt;=$V$24,$Y$24*(1+($U$24)/100)^MAX(0,$C51-$AB$24),0)))))</f>
      </c>
      <c r="G51" s="43">
        <f>IF($S$24=0,0,IF(OR(DATE($C51,3,15)&lt;$S$24,AND($T$24&gt;0,DATE($C51,3,15)&gt;$T$24)),0,IF(DATE($C51,3,15)&gt;=$X$24,$AA$24*(1+($U$24)/100)^MAX(0,$C51-$AD$24),IF(DATE($C51,3,15)&gt;=$W$24,$Z$24*(1+($U$24)/100)^MAX(0,$C51-$AC$24),IF(DATE($C51,3,15)&gt;=$V$24,$Y$24*(1+($U$24)/100)^MAX(0,$C51-$AB$24),0)))))</f>
      </c>
      <c r="H51" s="43">
        <f>IF($S$24=0,0,IF(OR(DATE($C51,4,15)&lt;$S$24,AND($T$24&gt;0,DATE($C51,4,15)&gt;$T$24)),0,IF(DATE($C51,4,15)&gt;=$X$24,$AA$24*(1+($U$24)/100)^MAX(0,$C51-$AD$24),IF(DATE($C51,4,15)&gt;=$W$24,$Z$24*(1+($U$24)/100)^MAX(0,$C51-$AC$24),IF(DATE($C51,4,15)&gt;=$V$24,$Y$24*(1+($U$24)/100)^MAX(0,$C51-$AB$24),0)))))</f>
      </c>
      <c r="I51" s="43">
        <f>IF($S$24=0,0,IF(OR(DATE($C51,5,15)&lt;$S$24,AND($T$24&gt;0,DATE($C51,5,15)&gt;$T$24)),0,IF(DATE($C51,5,15)&gt;=$X$24,$AA$24*(1+($U$24)/100)^MAX(0,$C51-$AD$24),IF(DATE($C51,5,15)&gt;=$W$24,$Z$24*(1+($U$24)/100)^MAX(0,$C51-$AC$24),IF(DATE($C51,5,15)&gt;=$V$24,$Y$24*(1+($U$24)/100)^MAX(0,$C51-$AB$24),0)))))</f>
      </c>
      <c r="J51" s="43">
        <f>IF($S$24=0,0,IF(OR(DATE($C51,6,15)&lt;$S$24,AND($T$24&gt;0,DATE($C51,6,15)&gt;$T$24)),0,IF(DATE($C51,6,15)&gt;=$X$24,$AA$24*(1+($U$24)/100)^MAX(0,$C51-$AD$24),IF(DATE($C51,6,15)&gt;=$W$24,$Z$24*(1+($U$24)/100)^MAX(0,$C51-$AC$24),IF(DATE($C51,6,15)&gt;=$V$24,$Y$24*(1+($U$24)/100)^MAX(0,$C51-$AB$24),0)))))</f>
      </c>
      <c r="K51" s="43">
        <f>IF($S$24=0,0,IF(OR(DATE($C51,7,15)&lt;$S$24,AND($T$24&gt;0,DATE($C51,7,15)&gt;$T$24)),0,IF(DATE($C51,7,15)&gt;=$X$24,$AA$24*(1+($U$24)/100)^MAX(0,$C51-$AD$24),IF(DATE($C51,7,15)&gt;=$W$24,$Z$24*(1+($U$24)/100)^MAX(0,$C51-$AC$24),IF(DATE($C51,7,15)&gt;=$V$24,$Y$24*(1+($U$24)/100)^MAX(0,$C51-$AB$24),0)))))</f>
      </c>
      <c r="L51" s="43">
        <f>IF($S$24=0,0,IF(OR(DATE($C51,8,15)&lt;$S$24,AND($T$24&gt;0,DATE($C51,8,15)&gt;$T$24)),0,IF(DATE($C51,8,15)&gt;=$X$24,$AA$24*(1+($U$24)/100)^MAX(0,$C51-$AD$24),IF(DATE($C51,8,15)&gt;=$W$24,$Z$24*(1+($U$24)/100)^MAX(0,$C51-$AC$24),IF(DATE($C51,8,15)&gt;=$V$24,$Y$24*(1+($U$24)/100)^MAX(0,$C51-$AB$24),0)))))</f>
      </c>
      <c r="M51" s="43">
        <f>IF($S$24=0,0,IF(OR(DATE($C51,9,15)&lt;$S$24,AND($T$24&gt;0,DATE($C51,9,15)&gt;$T$24)),0,IF(DATE($C51,9,15)&gt;=$X$24,$AA$24*(1+($U$24)/100)^MAX(0,$C51-$AD$24),IF(DATE($C51,9,15)&gt;=$W$24,$Z$24*(1+($U$24)/100)^MAX(0,$C51-$AC$24),IF(DATE($C51,9,15)&gt;=$V$24,$Y$24*(1+($U$24)/100)^MAX(0,$C51-$AB$24),0)))))</f>
      </c>
      <c r="N51" s="43">
        <f>IF($S$24=0,0,IF(OR(DATE($C51,10,15)&lt;$S$24,AND($T$24&gt;0,DATE($C51,10,15)&gt;$T$24)),0,IF(DATE($C51,10,15)&gt;=$X$24,$AA$24*(1+($U$24)/100)^MAX(0,$C51-$AD$24),IF(DATE($C51,10,15)&gt;=$W$24,$Z$24*(1+($U$24)/100)^MAX(0,$C51-$AC$24),IF(DATE($C51,10,15)&gt;=$V$24,$Y$24*(1+($U$24)/100)^MAX(0,$C51-$AB$24),0)))))</f>
      </c>
      <c r="O51" s="43">
        <f>IF($S$24=0,0,IF(OR(DATE($C51,11,15)&lt;$S$24,AND($T$24&gt;0,DATE($C51,11,15)&gt;$T$24)),0,IF(DATE($C51,11,15)&gt;=$X$24,$AA$24*(1+($U$24)/100)^MAX(0,$C51-$AD$24),IF(DATE($C51,11,15)&gt;=$W$24,$Z$24*(1+($U$24)/100)^MAX(0,$C51-$AC$24),IF(DATE($C51,11,15)&gt;=$V$24,$Y$24*(1+($U$24)/100)^MAX(0,$C51-$AB$24),0)))))</f>
      </c>
      <c r="P51" s="43">
        <f>IF($S$24=0,0,IF(OR(DATE($C51,12,15)&lt;$S$24,AND($T$24&gt;0,DATE($C51,12,15)&gt;$T$24)),0,IF(DATE($C51,12,15)&gt;=$X$24,$AA$24*(1+($U$24)/100)^MAX(0,$C51-$AD$24),IF(DATE($C51,12,15)&gt;=$W$24,$Z$24*(1+($U$24)/100)^MAX(0,$C51-$AC$24),IF(DATE($C51,12,15)&gt;=$V$24,$Y$24*(1+($U$24)/100)^MAX(0,$C51-$AB$24),0)))))</f>
      </c>
      <c r="Q51" s="43">
        <f>SUM($E51:$P51)</f>
      </c>
    </row>
    <row r="52">
      <c r="A52"/>
      <c r="B52">
        <v>1</v>
      </c>
      <c r="C52" s="43">
        <f>Jahr+28</f>
      </c>
      <c r="D52" s="43">
        <f>INDEX(MvObj,1)</f>
      </c>
      <c r="E52" s="43">
        <f>IF($S$24=0,0,IF(OR(DATE($C52,1,15)&lt;$S$24,AND($T$24&gt;0,DATE($C52,1,15)&gt;$T$24)),0,IF(DATE($C52,1,15)&gt;=$X$24,$AA$24*(1+($U$24)/100)^MAX(0,$C52-$AD$24),IF(DATE($C52,1,15)&gt;=$W$24,$Z$24*(1+($U$24)/100)^MAX(0,$C52-$AC$24),IF(DATE($C52,1,15)&gt;=$V$24,$Y$24*(1+($U$24)/100)^MAX(0,$C52-$AB$24),0)))))</f>
      </c>
      <c r="F52" s="43">
        <f>IF($S$24=0,0,IF(OR(DATE($C52,2,15)&lt;$S$24,AND($T$24&gt;0,DATE($C52,2,15)&gt;$T$24)),0,IF(DATE($C52,2,15)&gt;=$X$24,$AA$24*(1+($U$24)/100)^MAX(0,$C52-$AD$24),IF(DATE($C52,2,15)&gt;=$W$24,$Z$24*(1+($U$24)/100)^MAX(0,$C52-$AC$24),IF(DATE($C52,2,15)&gt;=$V$24,$Y$24*(1+($U$24)/100)^MAX(0,$C52-$AB$24),0)))))</f>
      </c>
      <c r="G52" s="43">
        <f>IF($S$24=0,0,IF(OR(DATE($C52,3,15)&lt;$S$24,AND($T$24&gt;0,DATE($C52,3,15)&gt;$T$24)),0,IF(DATE($C52,3,15)&gt;=$X$24,$AA$24*(1+($U$24)/100)^MAX(0,$C52-$AD$24),IF(DATE($C52,3,15)&gt;=$W$24,$Z$24*(1+($U$24)/100)^MAX(0,$C52-$AC$24),IF(DATE($C52,3,15)&gt;=$V$24,$Y$24*(1+($U$24)/100)^MAX(0,$C52-$AB$24),0)))))</f>
      </c>
      <c r="H52" s="43">
        <f>IF($S$24=0,0,IF(OR(DATE($C52,4,15)&lt;$S$24,AND($T$24&gt;0,DATE($C52,4,15)&gt;$T$24)),0,IF(DATE($C52,4,15)&gt;=$X$24,$AA$24*(1+($U$24)/100)^MAX(0,$C52-$AD$24),IF(DATE($C52,4,15)&gt;=$W$24,$Z$24*(1+($U$24)/100)^MAX(0,$C52-$AC$24),IF(DATE($C52,4,15)&gt;=$V$24,$Y$24*(1+($U$24)/100)^MAX(0,$C52-$AB$24),0)))))</f>
      </c>
      <c r="I52" s="43">
        <f>IF($S$24=0,0,IF(OR(DATE($C52,5,15)&lt;$S$24,AND($T$24&gt;0,DATE($C52,5,15)&gt;$T$24)),0,IF(DATE($C52,5,15)&gt;=$X$24,$AA$24*(1+($U$24)/100)^MAX(0,$C52-$AD$24),IF(DATE($C52,5,15)&gt;=$W$24,$Z$24*(1+($U$24)/100)^MAX(0,$C52-$AC$24),IF(DATE($C52,5,15)&gt;=$V$24,$Y$24*(1+($U$24)/100)^MAX(0,$C52-$AB$24),0)))))</f>
      </c>
      <c r="J52" s="43">
        <f>IF($S$24=0,0,IF(OR(DATE($C52,6,15)&lt;$S$24,AND($T$24&gt;0,DATE($C52,6,15)&gt;$T$24)),0,IF(DATE($C52,6,15)&gt;=$X$24,$AA$24*(1+($U$24)/100)^MAX(0,$C52-$AD$24),IF(DATE($C52,6,15)&gt;=$W$24,$Z$24*(1+($U$24)/100)^MAX(0,$C52-$AC$24),IF(DATE($C52,6,15)&gt;=$V$24,$Y$24*(1+($U$24)/100)^MAX(0,$C52-$AB$24),0)))))</f>
      </c>
      <c r="K52" s="43">
        <f>IF($S$24=0,0,IF(OR(DATE($C52,7,15)&lt;$S$24,AND($T$24&gt;0,DATE($C52,7,15)&gt;$T$24)),0,IF(DATE($C52,7,15)&gt;=$X$24,$AA$24*(1+($U$24)/100)^MAX(0,$C52-$AD$24),IF(DATE($C52,7,15)&gt;=$W$24,$Z$24*(1+($U$24)/100)^MAX(0,$C52-$AC$24),IF(DATE($C52,7,15)&gt;=$V$24,$Y$24*(1+($U$24)/100)^MAX(0,$C52-$AB$24),0)))))</f>
      </c>
      <c r="L52" s="43">
        <f>IF($S$24=0,0,IF(OR(DATE($C52,8,15)&lt;$S$24,AND($T$24&gt;0,DATE($C52,8,15)&gt;$T$24)),0,IF(DATE($C52,8,15)&gt;=$X$24,$AA$24*(1+($U$24)/100)^MAX(0,$C52-$AD$24),IF(DATE($C52,8,15)&gt;=$W$24,$Z$24*(1+($U$24)/100)^MAX(0,$C52-$AC$24),IF(DATE($C52,8,15)&gt;=$V$24,$Y$24*(1+($U$24)/100)^MAX(0,$C52-$AB$24),0)))))</f>
      </c>
      <c r="M52" s="43">
        <f>IF($S$24=0,0,IF(OR(DATE($C52,9,15)&lt;$S$24,AND($T$24&gt;0,DATE($C52,9,15)&gt;$T$24)),0,IF(DATE($C52,9,15)&gt;=$X$24,$AA$24*(1+($U$24)/100)^MAX(0,$C52-$AD$24),IF(DATE($C52,9,15)&gt;=$W$24,$Z$24*(1+($U$24)/100)^MAX(0,$C52-$AC$24),IF(DATE($C52,9,15)&gt;=$V$24,$Y$24*(1+($U$24)/100)^MAX(0,$C52-$AB$24),0)))))</f>
      </c>
      <c r="N52" s="43">
        <f>IF($S$24=0,0,IF(OR(DATE($C52,10,15)&lt;$S$24,AND($T$24&gt;0,DATE($C52,10,15)&gt;$T$24)),0,IF(DATE($C52,10,15)&gt;=$X$24,$AA$24*(1+($U$24)/100)^MAX(0,$C52-$AD$24),IF(DATE($C52,10,15)&gt;=$W$24,$Z$24*(1+($U$24)/100)^MAX(0,$C52-$AC$24),IF(DATE($C52,10,15)&gt;=$V$24,$Y$24*(1+($U$24)/100)^MAX(0,$C52-$AB$24),0)))))</f>
      </c>
      <c r="O52" s="43">
        <f>IF($S$24=0,0,IF(OR(DATE($C52,11,15)&lt;$S$24,AND($T$24&gt;0,DATE($C52,11,15)&gt;$T$24)),0,IF(DATE($C52,11,15)&gt;=$X$24,$AA$24*(1+($U$24)/100)^MAX(0,$C52-$AD$24),IF(DATE($C52,11,15)&gt;=$W$24,$Z$24*(1+($U$24)/100)^MAX(0,$C52-$AC$24),IF(DATE($C52,11,15)&gt;=$V$24,$Y$24*(1+($U$24)/100)^MAX(0,$C52-$AB$24),0)))))</f>
      </c>
      <c r="P52" s="43">
        <f>IF($S$24=0,0,IF(OR(DATE($C52,12,15)&lt;$S$24,AND($T$24&gt;0,DATE($C52,12,15)&gt;$T$24)),0,IF(DATE($C52,12,15)&gt;=$X$24,$AA$24*(1+($U$24)/100)^MAX(0,$C52-$AD$24),IF(DATE($C52,12,15)&gt;=$W$24,$Z$24*(1+($U$24)/100)^MAX(0,$C52-$AC$24),IF(DATE($C52,12,15)&gt;=$V$24,$Y$24*(1+($U$24)/100)^MAX(0,$C52-$AB$24),0)))))</f>
      </c>
      <c r="Q52" s="43">
        <f>SUM($E52:$P52)</f>
      </c>
    </row>
    <row r="53">
      <c r="A53"/>
      <c r="B53">
        <v>1</v>
      </c>
      <c r="C53" s="43">
        <f>Jahr+29</f>
      </c>
      <c r="D53" s="43">
        <f>INDEX(MvObj,1)</f>
      </c>
      <c r="E53" s="43">
        <f>IF($S$24=0,0,IF(OR(DATE($C53,1,15)&lt;$S$24,AND($T$24&gt;0,DATE($C53,1,15)&gt;$T$24)),0,IF(DATE($C53,1,15)&gt;=$X$24,$AA$24*(1+($U$24)/100)^MAX(0,$C53-$AD$24),IF(DATE($C53,1,15)&gt;=$W$24,$Z$24*(1+($U$24)/100)^MAX(0,$C53-$AC$24),IF(DATE($C53,1,15)&gt;=$V$24,$Y$24*(1+($U$24)/100)^MAX(0,$C53-$AB$24),0)))))</f>
      </c>
      <c r="F53" s="43">
        <f>IF($S$24=0,0,IF(OR(DATE($C53,2,15)&lt;$S$24,AND($T$24&gt;0,DATE($C53,2,15)&gt;$T$24)),0,IF(DATE($C53,2,15)&gt;=$X$24,$AA$24*(1+($U$24)/100)^MAX(0,$C53-$AD$24),IF(DATE($C53,2,15)&gt;=$W$24,$Z$24*(1+($U$24)/100)^MAX(0,$C53-$AC$24),IF(DATE($C53,2,15)&gt;=$V$24,$Y$24*(1+($U$24)/100)^MAX(0,$C53-$AB$24),0)))))</f>
      </c>
      <c r="G53" s="43">
        <f>IF($S$24=0,0,IF(OR(DATE($C53,3,15)&lt;$S$24,AND($T$24&gt;0,DATE($C53,3,15)&gt;$T$24)),0,IF(DATE($C53,3,15)&gt;=$X$24,$AA$24*(1+($U$24)/100)^MAX(0,$C53-$AD$24),IF(DATE($C53,3,15)&gt;=$W$24,$Z$24*(1+($U$24)/100)^MAX(0,$C53-$AC$24),IF(DATE($C53,3,15)&gt;=$V$24,$Y$24*(1+($U$24)/100)^MAX(0,$C53-$AB$24),0)))))</f>
      </c>
      <c r="H53" s="43">
        <f>IF($S$24=0,0,IF(OR(DATE($C53,4,15)&lt;$S$24,AND($T$24&gt;0,DATE($C53,4,15)&gt;$T$24)),0,IF(DATE($C53,4,15)&gt;=$X$24,$AA$24*(1+($U$24)/100)^MAX(0,$C53-$AD$24),IF(DATE($C53,4,15)&gt;=$W$24,$Z$24*(1+($U$24)/100)^MAX(0,$C53-$AC$24),IF(DATE($C53,4,15)&gt;=$V$24,$Y$24*(1+($U$24)/100)^MAX(0,$C53-$AB$24),0)))))</f>
      </c>
      <c r="I53" s="43">
        <f>IF($S$24=0,0,IF(OR(DATE($C53,5,15)&lt;$S$24,AND($T$24&gt;0,DATE($C53,5,15)&gt;$T$24)),0,IF(DATE($C53,5,15)&gt;=$X$24,$AA$24*(1+($U$24)/100)^MAX(0,$C53-$AD$24),IF(DATE($C53,5,15)&gt;=$W$24,$Z$24*(1+($U$24)/100)^MAX(0,$C53-$AC$24),IF(DATE($C53,5,15)&gt;=$V$24,$Y$24*(1+($U$24)/100)^MAX(0,$C53-$AB$24),0)))))</f>
      </c>
      <c r="J53" s="43">
        <f>IF($S$24=0,0,IF(OR(DATE($C53,6,15)&lt;$S$24,AND($T$24&gt;0,DATE($C53,6,15)&gt;$T$24)),0,IF(DATE($C53,6,15)&gt;=$X$24,$AA$24*(1+($U$24)/100)^MAX(0,$C53-$AD$24),IF(DATE($C53,6,15)&gt;=$W$24,$Z$24*(1+($U$24)/100)^MAX(0,$C53-$AC$24),IF(DATE($C53,6,15)&gt;=$V$24,$Y$24*(1+($U$24)/100)^MAX(0,$C53-$AB$24),0)))))</f>
      </c>
      <c r="K53" s="43">
        <f>IF($S$24=0,0,IF(OR(DATE($C53,7,15)&lt;$S$24,AND($T$24&gt;0,DATE($C53,7,15)&gt;$T$24)),0,IF(DATE($C53,7,15)&gt;=$X$24,$AA$24*(1+($U$24)/100)^MAX(0,$C53-$AD$24),IF(DATE($C53,7,15)&gt;=$W$24,$Z$24*(1+($U$24)/100)^MAX(0,$C53-$AC$24),IF(DATE($C53,7,15)&gt;=$V$24,$Y$24*(1+($U$24)/100)^MAX(0,$C53-$AB$24),0)))))</f>
      </c>
      <c r="L53" s="43">
        <f>IF($S$24=0,0,IF(OR(DATE($C53,8,15)&lt;$S$24,AND($T$24&gt;0,DATE($C53,8,15)&gt;$T$24)),0,IF(DATE($C53,8,15)&gt;=$X$24,$AA$24*(1+($U$24)/100)^MAX(0,$C53-$AD$24),IF(DATE($C53,8,15)&gt;=$W$24,$Z$24*(1+($U$24)/100)^MAX(0,$C53-$AC$24),IF(DATE($C53,8,15)&gt;=$V$24,$Y$24*(1+($U$24)/100)^MAX(0,$C53-$AB$24),0)))))</f>
      </c>
      <c r="M53" s="43">
        <f>IF($S$24=0,0,IF(OR(DATE($C53,9,15)&lt;$S$24,AND($T$24&gt;0,DATE($C53,9,15)&gt;$T$24)),0,IF(DATE($C53,9,15)&gt;=$X$24,$AA$24*(1+($U$24)/100)^MAX(0,$C53-$AD$24),IF(DATE($C53,9,15)&gt;=$W$24,$Z$24*(1+($U$24)/100)^MAX(0,$C53-$AC$24),IF(DATE($C53,9,15)&gt;=$V$24,$Y$24*(1+($U$24)/100)^MAX(0,$C53-$AB$24),0)))))</f>
      </c>
      <c r="N53" s="43">
        <f>IF($S$24=0,0,IF(OR(DATE($C53,10,15)&lt;$S$24,AND($T$24&gt;0,DATE($C53,10,15)&gt;$T$24)),0,IF(DATE($C53,10,15)&gt;=$X$24,$AA$24*(1+($U$24)/100)^MAX(0,$C53-$AD$24),IF(DATE($C53,10,15)&gt;=$W$24,$Z$24*(1+($U$24)/100)^MAX(0,$C53-$AC$24),IF(DATE($C53,10,15)&gt;=$V$24,$Y$24*(1+($U$24)/100)^MAX(0,$C53-$AB$24),0)))))</f>
      </c>
      <c r="O53" s="43">
        <f>IF($S$24=0,0,IF(OR(DATE($C53,11,15)&lt;$S$24,AND($T$24&gt;0,DATE($C53,11,15)&gt;$T$24)),0,IF(DATE($C53,11,15)&gt;=$X$24,$AA$24*(1+($U$24)/100)^MAX(0,$C53-$AD$24),IF(DATE($C53,11,15)&gt;=$W$24,$Z$24*(1+($U$24)/100)^MAX(0,$C53-$AC$24),IF(DATE($C53,11,15)&gt;=$V$24,$Y$24*(1+($U$24)/100)^MAX(0,$C53-$AB$24),0)))))</f>
      </c>
      <c r="P53" s="43">
        <f>IF($S$24=0,0,IF(OR(DATE($C53,12,15)&lt;$S$24,AND($T$24&gt;0,DATE($C53,12,15)&gt;$T$24)),0,IF(DATE($C53,12,15)&gt;=$X$24,$AA$24*(1+($U$24)/100)^MAX(0,$C53-$AD$24),IF(DATE($C53,12,15)&gt;=$W$24,$Z$24*(1+($U$24)/100)^MAX(0,$C53-$AC$24),IF(DATE($C53,12,15)&gt;=$V$24,$Y$24*(1+($U$24)/100)^MAX(0,$C53-$AB$24),0)))))</f>
      </c>
      <c r="Q53" s="43">
        <f>SUM($E53:$P53)</f>
      </c>
    </row>
    <row r="54">
      <c r="A54"/>
      <c r="B54">
        <v>1</v>
      </c>
      <c r="C54" s="43">
        <f>Jahr+30</f>
      </c>
      <c r="D54" s="43">
        <f>INDEX(MvObj,1)</f>
      </c>
      <c r="E54" s="43">
        <f>IF($S$24=0,0,IF(OR(DATE($C54,1,15)&lt;$S$24,AND($T$24&gt;0,DATE($C54,1,15)&gt;$T$24)),0,IF(DATE($C54,1,15)&gt;=$X$24,$AA$24*(1+($U$24)/100)^MAX(0,$C54-$AD$24),IF(DATE($C54,1,15)&gt;=$W$24,$Z$24*(1+($U$24)/100)^MAX(0,$C54-$AC$24),IF(DATE($C54,1,15)&gt;=$V$24,$Y$24*(1+($U$24)/100)^MAX(0,$C54-$AB$24),0)))))</f>
      </c>
      <c r="F54" s="43">
        <f>IF($S$24=0,0,IF(OR(DATE($C54,2,15)&lt;$S$24,AND($T$24&gt;0,DATE($C54,2,15)&gt;$T$24)),0,IF(DATE($C54,2,15)&gt;=$X$24,$AA$24*(1+($U$24)/100)^MAX(0,$C54-$AD$24),IF(DATE($C54,2,15)&gt;=$W$24,$Z$24*(1+($U$24)/100)^MAX(0,$C54-$AC$24),IF(DATE($C54,2,15)&gt;=$V$24,$Y$24*(1+($U$24)/100)^MAX(0,$C54-$AB$24),0)))))</f>
      </c>
      <c r="G54" s="43">
        <f>IF($S$24=0,0,IF(OR(DATE($C54,3,15)&lt;$S$24,AND($T$24&gt;0,DATE($C54,3,15)&gt;$T$24)),0,IF(DATE($C54,3,15)&gt;=$X$24,$AA$24*(1+($U$24)/100)^MAX(0,$C54-$AD$24),IF(DATE($C54,3,15)&gt;=$W$24,$Z$24*(1+($U$24)/100)^MAX(0,$C54-$AC$24),IF(DATE($C54,3,15)&gt;=$V$24,$Y$24*(1+($U$24)/100)^MAX(0,$C54-$AB$24),0)))))</f>
      </c>
      <c r="H54" s="43">
        <f>IF($S$24=0,0,IF(OR(DATE($C54,4,15)&lt;$S$24,AND($T$24&gt;0,DATE($C54,4,15)&gt;$T$24)),0,IF(DATE($C54,4,15)&gt;=$X$24,$AA$24*(1+($U$24)/100)^MAX(0,$C54-$AD$24),IF(DATE($C54,4,15)&gt;=$W$24,$Z$24*(1+($U$24)/100)^MAX(0,$C54-$AC$24),IF(DATE($C54,4,15)&gt;=$V$24,$Y$24*(1+($U$24)/100)^MAX(0,$C54-$AB$24),0)))))</f>
      </c>
      <c r="I54" s="43">
        <f>IF($S$24=0,0,IF(OR(DATE($C54,5,15)&lt;$S$24,AND($T$24&gt;0,DATE($C54,5,15)&gt;$T$24)),0,IF(DATE($C54,5,15)&gt;=$X$24,$AA$24*(1+($U$24)/100)^MAX(0,$C54-$AD$24),IF(DATE($C54,5,15)&gt;=$W$24,$Z$24*(1+($U$24)/100)^MAX(0,$C54-$AC$24),IF(DATE($C54,5,15)&gt;=$V$24,$Y$24*(1+($U$24)/100)^MAX(0,$C54-$AB$24),0)))))</f>
      </c>
      <c r="J54" s="43">
        <f>IF($S$24=0,0,IF(OR(DATE($C54,6,15)&lt;$S$24,AND($T$24&gt;0,DATE($C54,6,15)&gt;$T$24)),0,IF(DATE($C54,6,15)&gt;=$X$24,$AA$24*(1+($U$24)/100)^MAX(0,$C54-$AD$24),IF(DATE($C54,6,15)&gt;=$W$24,$Z$24*(1+($U$24)/100)^MAX(0,$C54-$AC$24),IF(DATE($C54,6,15)&gt;=$V$24,$Y$24*(1+($U$24)/100)^MAX(0,$C54-$AB$24),0)))))</f>
      </c>
      <c r="K54" s="43">
        <f>IF($S$24=0,0,IF(OR(DATE($C54,7,15)&lt;$S$24,AND($T$24&gt;0,DATE($C54,7,15)&gt;$T$24)),0,IF(DATE($C54,7,15)&gt;=$X$24,$AA$24*(1+($U$24)/100)^MAX(0,$C54-$AD$24),IF(DATE($C54,7,15)&gt;=$W$24,$Z$24*(1+($U$24)/100)^MAX(0,$C54-$AC$24),IF(DATE($C54,7,15)&gt;=$V$24,$Y$24*(1+($U$24)/100)^MAX(0,$C54-$AB$24),0)))))</f>
      </c>
      <c r="L54" s="43">
        <f>IF($S$24=0,0,IF(OR(DATE($C54,8,15)&lt;$S$24,AND($T$24&gt;0,DATE($C54,8,15)&gt;$T$24)),0,IF(DATE($C54,8,15)&gt;=$X$24,$AA$24*(1+($U$24)/100)^MAX(0,$C54-$AD$24),IF(DATE($C54,8,15)&gt;=$W$24,$Z$24*(1+($U$24)/100)^MAX(0,$C54-$AC$24),IF(DATE($C54,8,15)&gt;=$V$24,$Y$24*(1+($U$24)/100)^MAX(0,$C54-$AB$24),0)))))</f>
      </c>
      <c r="M54" s="43">
        <f>IF($S$24=0,0,IF(OR(DATE($C54,9,15)&lt;$S$24,AND($T$24&gt;0,DATE($C54,9,15)&gt;$T$24)),0,IF(DATE($C54,9,15)&gt;=$X$24,$AA$24*(1+($U$24)/100)^MAX(0,$C54-$AD$24),IF(DATE($C54,9,15)&gt;=$W$24,$Z$24*(1+($U$24)/100)^MAX(0,$C54-$AC$24),IF(DATE($C54,9,15)&gt;=$V$24,$Y$24*(1+($U$24)/100)^MAX(0,$C54-$AB$24),0)))))</f>
      </c>
      <c r="N54" s="43">
        <f>IF($S$24=0,0,IF(OR(DATE($C54,10,15)&lt;$S$24,AND($T$24&gt;0,DATE($C54,10,15)&gt;$T$24)),0,IF(DATE($C54,10,15)&gt;=$X$24,$AA$24*(1+($U$24)/100)^MAX(0,$C54-$AD$24),IF(DATE($C54,10,15)&gt;=$W$24,$Z$24*(1+($U$24)/100)^MAX(0,$C54-$AC$24),IF(DATE($C54,10,15)&gt;=$V$24,$Y$24*(1+($U$24)/100)^MAX(0,$C54-$AB$24),0)))))</f>
      </c>
      <c r="O54" s="43">
        <f>IF($S$24=0,0,IF(OR(DATE($C54,11,15)&lt;$S$24,AND($T$24&gt;0,DATE($C54,11,15)&gt;$T$24)),0,IF(DATE($C54,11,15)&gt;=$X$24,$AA$24*(1+($U$24)/100)^MAX(0,$C54-$AD$24),IF(DATE($C54,11,15)&gt;=$W$24,$Z$24*(1+($U$24)/100)^MAX(0,$C54-$AC$24),IF(DATE($C54,11,15)&gt;=$V$24,$Y$24*(1+($U$24)/100)^MAX(0,$C54-$AB$24),0)))))</f>
      </c>
      <c r="P54" s="43">
        <f>IF($S$24=0,0,IF(OR(DATE($C54,12,15)&lt;$S$24,AND($T$24&gt;0,DATE($C54,12,15)&gt;$T$24)),0,IF(DATE($C54,12,15)&gt;=$X$24,$AA$24*(1+($U$24)/100)^MAX(0,$C54-$AD$24),IF(DATE($C54,12,15)&gt;=$W$24,$Z$24*(1+($U$24)/100)^MAX(0,$C54-$AC$24),IF(DATE($C54,12,15)&gt;=$V$24,$Y$24*(1+($U$24)/100)^MAX(0,$C54-$AB$24),0)))))</f>
      </c>
      <c r="Q54" s="43">
        <f>SUM($E54:$P54)</f>
      </c>
    </row>
    <row r="55">
      <c r="A55"/>
      <c r="B55">
        <v>2</v>
      </c>
      <c r="C55" s="43">
        <f>Jahr+0</f>
      </c>
      <c r="D55" s="43">
        <f>INDEX(MvObj,2)</f>
      </c>
      <c r="E55" s="43">
        <f>IF($S$55=0,0,IF(OR(DATE($C55,1,15)&lt;$S$55,AND($T$55&gt;0,DATE($C55,1,15)&gt;$T$55)),0,IF(DATE($C55,1,15)&gt;=$X$55,$AA$55*(1+($U$55)/100)^MAX(0,$C55-$AD$55),IF(DATE($C55,1,15)&gt;=$W$55,$Z$55*(1+($U$55)/100)^MAX(0,$C55-$AC$55),IF(DATE($C55,1,15)&gt;=$V$55,$Y$55*(1+($U$55)/100)^MAX(0,$C55-$AB$55),0)))))</f>
      </c>
      <c r="F55" s="43">
        <f>IF($S$55=0,0,IF(OR(DATE($C55,2,15)&lt;$S$55,AND($T$55&gt;0,DATE($C55,2,15)&gt;$T$55)),0,IF(DATE($C55,2,15)&gt;=$X$55,$AA$55*(1+($U$55)/100)^MAX(0,$C55-$AD$55),IF(DATE($C55,2,15)&gt;=$W$55,$Z$55*(1+($U$55)/100)^MAX(0,$C55-$AC$55),IF(DATE($C55,2,15)&gt;=$V$55,$Y$55*(1+($U$55)/100)^MAX(0,$C55-$AB$55),0)))))</f>
      </c>
      <c r="G55" s="43">
        <f>IF($S$55=0,0,IF(OR(DATE($C55,3,15)&lt;$S$55,AND($T$55&gt;0,DATE($C55,3,15)&gt;$T$55)),0,IF(DATE($C55,3,15)&gt;=$X$55,$AA$55*(1+($U$55)/100)^MAX(0,$C55-$AD$55),IF(DATE($C55,3,15)&gt;=$W$55,$Z$55*(1+($U$55)/100)^MAX(0,$C55-$AC$55),IF(DATE($C55,3,15)&gt;=$V$55,$Y$55*(1+($U$55)/100)^MAX(0,$C55-$AB$55),0)))))</f>
      </c>
      <c r="H55" s="43">
        <f>IF($S$55=0,0,IF(OR(DATE($C55,4,15)&lt;$S$55,AND($T$55&gt;0,DATE($C55,4,15)&gt;$T$55)),0,IF(DATE($C55,4,15)&gt;=$X$55,$AA$55*(1+($U$55)/100)^MAX(0,$C55-$AD$55),IF(DATE($C55,4,15)&gt;=$W$55,$Z$55*(1+($U$55)/100)^MAX(0,$C55-$AC$55),IF(DATE($C55,4,15)&gt;=$V$55,$Y$55*(1+($U$55)/100)^MAX(0,$C55-$AB$55),0)))))</f>
      </c>
      <c r="I55" s="43">
        <f>IF($S$55=0,0,IF(OR(DATE($C55,5,15)&lt;$S$55,AND($T$55&gt;0,DATE($C55,5,15)&gt;$T$55)),0,IF(DATE($C55,5,15)&gt;=$X$55,$AA$55*(1+($U$55)/100)^MAX(0,$C55-$AD$55),IF(DATE($C55,5,15)&gt;=$W$55,$Z$55*(1+($U$55)/100)^MAX(0,$C55-$AC$55),IF(DATE($C55,5,15)&gt;=$V$55,$Y$55*(1+($U$55)/100)^MAX(0,$C55-$AB$55),0)))))</f>
      </c>
      <c r="J55" s="43">
        <f>IF($S$55=0,0,IF(OR(DATE($C55,6,15)&lt;$S$55,AND($T$55&gt;0,DATE($C55,6,15)&gt;$T$55)),0,IF(DATE($C55,6,15)&gt;=$X$55,$AA$55*(1+($U$55)/100)^MAX(0,$C55-$AD$55),IF(DATE($C55,6,15)&gt;=$W$55,$Z$55*(1+($U$55)/100)^MAX(0,$C55-$AC$55),IF(DATE($C55,6,15)&gt;=$V$55,$Y$55*(1+($U$55)/100)^MAX(0,$C55-$AB$55),0)))))</f>
      </c>
      <c r="K55" s="43">
        <f>IF($S$55=0,0,IF(OR(DATE($C55,7,15)&lt;$S$55,AND($T$55&gt;0,DATE($C55,7,15)&gt;$T$55)),0,IF(DATE($C55,7,15)&gt;=$X$55,$AA$55*(1+($U$55)/100)^MAX(0,$C55-$AD$55),IF(DATE($C55,7,15)&gt;=$W$55,$Z$55*(1+($U$55)/100)^MAX(0,$C55-$AC$55),IF(DATE($C55,7,15)&gt;=$V$55,$Y$55*(1+($U$55)/100)^MAX(0,$C55-$AB$55),0)))))</f>
      </c>
      <c r="L55" s="43">
        <f>IF($S$55=0,0,IF(OR(DATE($C55,8,15)&lt;$S$55,AND($T$55&gt;0,DATE($C55,8,15)&gt;$T$55)),0,IF(DATE($C55,8,15)&gt;=$X$55,$AA$55*(1+($U$55)/100)^MAX(0,$C55-$AD$55),IF(DATE($C55,8,15)&gt;=$W$55,$Z$55*(1+($U$55)/100)^MAX(0,$C55-$AC$55),IF(DATE($C55,8,15)&gt;=$V$55,$Y$55*(1+($U$55)/100)^MAX(0,$C55-$AB$55),0)))))</f>
      </c>
      <c r="M55" s="43">
        <f>IF($S$55=0,0,IF(OR(DATE($C55,9,15)&lt;$S$55,AND($T$55&gt;0,DATE($C55,9,15)&gt;$T$55)),0,IF(DATE($C55,9,15)&gt;=$X$55,$AA$55*(1+($U$55)/100)^MAX(0,$C55-$AD$55),IF(DATE($C55,9,15)&gt;=$W$55,$Z$55*(1+($U$55)/100)^MAX(0,$C55-$AC$55),IF(DATE($C55,9,15)&gt;=$V$55,$Y$55*(1+($U$55)/100)^MAX(0,$C55-$AB$55),0)))))</f>
      </c>
      <c r="N55" s="43">
        <f>IF($S$55=0,0,IF(OR(DATE($C55,10,15)&lt;$S$55,AND($T$55&gt;0,DATE($C55,10,15)&gt;$T$55)),0,IF(DATE($C55,10,15)&gt;=$X$55,$AA$55*(1+($U$55)/100)^MAX(0,$C55-$AD$55),IF(DATE($C55,10,15)&gt;=$W$55,$Z$55*(1+($U$55)/100)^MAX(0,$C55-$AC$55),IF(DATE($C55,10,15)&gt;=$V$55,$Y$55*(1+($U$55)/100)^MAX(0,$C55-$AB$55),0)))))</f>
      </c>
      <c r="O55" s="43">
        <f>IF($S$55=0,0,IF(OR(DATE($C55,11,15)&lt;$S$55,AND($T$55&gt;0,DATE($C55,11,15)&gt;$T$55)),0,IF(DATE($C55,11,15)&gt;=$X$55,$AA$55*(1+($U$55)/100)^MAX(0,$C55-$AD$55),IF(DATE($C55,11,15)&gt;=$W$55,$Z$55*(1+($U$55)/100)^MAX(0,$C55-$AC$55),IF(DATE($C55,11,15)&gt;=$V$55,$Y$55*(1+($U$55)/100)^MAX(0,$C55-$AB$55),0)))))</f>
      </c>
      <c r="P55" s="43">
        <f>IF($S$55=0,0,IF(OR(DATE($C55,12,15)&lt;$S$55,AND($T$55&gt;0,DATE($C55,12,15)&gt;$T$55)),0,IF(DATE($C55,12,15)&gt;=$X$55,$AA$55*(1+($U$55)/100)^MAX(0,$C55-$AD$55),IF(DATE($C55,12,15)&gt;=$W$55,$Z$55*(1+($U$55)/100)^MAX(0,$C55-$AC$55),IF(DATE($C55,12,15)&gt;=$V$55,$Y$55*(1+($U$55)/100)^MAX(0,$C55-$AB$55),0)))))</f>
      </c>
      <c r="Q55" s="43">
        <f>SUM($E55:$P55)</f>
      </c>
      <c r="R55"/>
      <c r="S55" s="43">
        <f>IF(INDEX(MvBeginn,2)="",0,INDEX(MvBeginn,2))</f>
      </c>
      <c r="T55" s="43">
        <f>INDEX(MvEnde,2)</f>
      </c>
      <c r="U55" s="43">
        <f>INDEX(MvSatz,2)</f>
      </c>
      <c r="V55" s="43">
        <f>INDEX(MvKey1,2)</f>
      </c>
      <c r="W55" s="43">
        <f>INDEX(MvKey2,2)</f>
      </c>
      <c r="X55" s="43">
        <f>INDEX(MvKey3,2)</f>
      </c>
      <c r="Y55" s="43">
        <f>INDEX(MvKalt1,2)</f>
      </c>
      <c r="Z55" s="43">
        <f>INDEX(MvKalt2,2)</f>
      </c>
      <c r="AA55" s="43">
        <f>INDEX(MvKalt3,2)</f>
      </c>
      <c r="AB55" s="43">
        <f>MAX(YEAR(INDEX(MvAb1,2)),Jahr)</f>
      </c>
      <c r="AC55" s="43">
        <f>MAX(YEAR(INDEX(MvAb2,2)),Jahr)</f>
      </c>
      <c r="AD55" s="43">
        <f>MAX(YEAR(INDEX(MvAb3,2)),Jahr)</f>
      </c>
    </row>
    <row r="56">
      <c r="A56"/>
      <c r="B56">
        <v>2</v>
      </c>
      <c r="C56" s="43">
        <f>Jahr+1</f>
      </c>
      <c r="D56" s="43">
        <f>INDEX(MvObj,2)</f>
      </c>
      <c r="E56" s="43">
        <f>IF($S$55=0,0,IF(OR(DATE($C56,1,15)&lt;$S$55,AND($T$55&gt;0,DATE($C56,1,15)&gt;$T$55)),0,IF(DATE($C56,1,15)&gt;=$X$55,$AA$55*(1+($U$55)/100)^MAX(0,$C56-$AD$55),IF(DATE($C56,1,15)&gt;=$W$55,$Z$55*(1+($U$55)/100)^MAX(0,$C56-$AC$55),IF(DATE($C56,1,15)&gt;=$V$55,$Y$55*(1+($U$55)/100)^MAX(0,$C56-$AB$55),0)))))</f>
      </c>
      <c r="F56" s="43">
        <f>IF($S$55=0,0,IF(OR(DATE($C56,2,15)&lt;$S$55,AND($T$55&gt;0,DATE($C56,2,15)&gt;$T$55)),0,IF(DATE($C56,2,15)&gt;=$X$55,$AA$55*(1+($U$55)/100)^MAX(0,$C56-$AD$55),IF(DATE($C56,2,15)&gt;=$W$55,$Z$55*(1+($U$55)/100)^MAX(0,$C56-$AC$55),IF(DATE($C56,2,15)&gt;=$V$55,$Y$55*(1+($U$55)/100)^MAX(0,$C56-$AB$55),0)))))</f>
      </c>
      <c r="G56" s="43">
        <f>IF($S$55=0,0,IF(OR(DATE($C56,3,15)&lt;$S$55,AND($T$55&gt;0,DATE($C56,3,15)&gt;$T$55)),0,IF(DATE($C56,3,15)&gt;=$X$55,$AA$55*(1+($U$55)/100)^MAX(0,$C56-$AD$55),IF(DATE($C56,3,15)&gt;=$W$55,$Z$55*(1+($U$55)/100)^MAX(0,$C56-$AC$55),IF(DATE($C56,3,15)&gt;=$V$55,$Y$55*(1+($U$55)/100)^MAX(0,$C56-$AB$55),0)))))</f>
      </c>
      <c r="H56" s="43">
        <f>IF($S$55=0,0,IF(OR(DATE($C56,4,15)&lt;$S$55,AND($T$55&gt;0,DATE($C56,4,15)&gt;$T$55)),0,IF(DATE($C56,4,15)&gt;=$X$55,$AA$55*(1+($U$55)/100)^MAX(0,$C56-$AD$55),IF(DATE($C56,4,15)&gt;=$W$55,$Z$55*(1+($U$55)/100)^MAX(0,$C56-$AC$55),IF(DATE($C56,4,15)&gt;=$V$55,$Y$55*(1+($U$55)/100)^MAX(0,$C56-$AB$55),0)))))</f>
      </c>
      <c r="I56" s="43">
        <f>IF($S$55=0,0,IF(OR(DATE($C56,5,15)&lt;$S$55,AND($T$55&gt;0,DATE($C56,5,15)&gt;$T$55)),0,IF(DATE($C56,5,15)&gt;=$X$55,$AA$55*(1+($U$55)/100)^MAX(0,$C56-$AD$55),IF(DATE($C56,5,15)&gt;=$W$55,$Z$55*(1+($U$55)/100)^MAX(0,$C56-$AC$55),IF(DATE($C56,5,15)&gt;=$V$55,$Y$55*(1+($U$55)/100)^MAX(0,$C56-$AB$55),0)))))</f>
      </c>
      <c r="J56" s="43">
        <f>IF($S$55=0,0,IF(OR(DATE($C56,6,15)&lt;$S$55,AND($T$55&gt;0,DATE($C56,6,15)&gt;$T$55)),0,IF(DATE($C56,6,15)&gt;=$X$55,$AA$55*(1+($U$55)/100)^MAX(0,$C56-$AD$55),IF(DATE($C56,6,15)&gt;=$W$55,$Z$55*(1+($U$55)/100)^MAX(0,$C56-$AC$55),IF(DATE($C56,6,15)&gt;=$V$55,$Y$55*(1+($U$55)/100)^MAX(0,$C56-$AB$55),0)))))</f>
      </c>
      <c r="K56" s="43">
        <f>IF($S$55=0,0,IF(OR(DATE($C56,7,15)&lt;$S$55,AND($T$55&gt;0,DATE($C56,7,15)&gt;$T$55)),0,IF(DATE($C56,7,15)&gt;=$X$55,$AA$55*(1+($U$55)/100)^MAX(0,$C56-$AD$55),IF(DATE($C56,7,15)&gt;=$W$55,$Z$55*(1+($U$55)/100)^MAX(0,$C56-$AC$55),IF(DATE($C56,7,15)&gt;=$V$55,$Y$55*(1+($U$55)/100)^MAX(0,$C56-$AB$55),0)))))</f>
      </c>
      <c r="L56" s="43">
        <f>IF($S$55=0,0,IF(OR(DATE($C56,8,15)&lt;$S$55,AND($T$55&gt;0,DATE($C56,8,15)&gt;$T$55)),0,IF(DATE($C56,8,15)&gt;=$X$55,$AA$55*(1+($U$55)/100)^MAX(0,$C56-$AD$55),IF(DATE($C56,8,15)&gt;=$W$55,$Z$55*(1+($U$55)/100)^MAX(0,$C56-$AC$55),IF(DATE($C56,8,15)&gt;=$V$55,$Y$55*(1+($U$55)/100)^MAX(0,$C56-$AB$55),0)))))</f>
      </c>
      <c r="M56" s="43">
        <f>IF($S$55=0,0,IF(OR(DATE($C56,9,15)&lt;$S$55,AND($T$55&gt;0,DATE($C56,9,15)&gt;$T$55)),0,IF(DATE($C56,9,15)&gt;=$X$55,$AA$55*(1+($U$55)/100)^MAX(0,$C56-$AD$55),IF(DATE($C56,9,15)&gt;=$W$55,$Z$55*(1+($U$55)/100)^MAX(0,$C56-$AC$55),IF(DATE($C56,9,15)&gt;=$V$55,$Y$55*(1+($U$55)/100)^MAX(0,$C56-$AB$55),0)))))</f>
      </c>
      <c r="N56" s="43">
        <f>IF($S$55=0,0,IF(OR(DATE($C56,10,15)&lt;$S$55,AND($T$55&gt;0,DATE($C56,10,15)&gt;$T$55)),0,IF(DATE($C56,10,15)&gt;=$X$55,$AA$55*(1+($U$55)/100)^MAX(0,$C56-$AD$55),IF(DATE($C56,10,15)&gt;=$W$55,$Z$55*(1+($U$55)/100)^MAX(0,$C56-$AC$55),IF(DATE($C56,10,15)&gt;=$V$55,$Y$55*(1+($U$55)/100)^MAX(0,$C56-$AB$55),0)))))</f>
      </c>
      <c r="O56" s="43">
        <f>IF($S$55=0,0,IF(OR(DATE($C56,11,15)&lt;$S$55,AND($T$55&gt;0,DATE($C56,11,15)&gt;$T$55)),0,IF(DATE($C56,11,15)&gt;=$X$55,$AA$55*(1+($U$55)/100)^MAX(0,$C56-$AD$55),IF(DATE($C56,11,15)&gt;=$W$55,$Z$55*(1+($U$55)/100)^MAX(0,$C56-$AC$55),IF(DATE($C56,11,15)&gt;=$V$55,$Y$55*(1+($U$55)/100)^MAX(0,$C56-$AB$55),0)))))</f>
      </c>
      <c r="P56" s="43">
        <f>IF($S$55=0,0,IF(OR(DATE($C56,12,15)&lt;$S$55,AND($T$55&gt;0,DATE($C56,12,15)&gt;$T$55)),0,IF(DATE($C56,12,15)&gt;=$X$55,$AA$55*(1+($U$55)/100)^MAX(0,$C56-$AD$55),IF(DATE($C56,12,15)&gt;=$W$55,$Z$55*(1+($U$55)/100)^MAX(0,$C56-$AC$55),IF(DATE($C56,12,15)&gt;=$V$55,$Y$55*(1+($U$55)/100)^MAX(0,$C56-$AB$55),0)))))</f>
      </c>
      <c r="Q56" s="43">
        <f>SUM($E56:$P56)</f>
      </c>
    </row>
    <row r="57">
      <c r="A57"/>
      <c r="B57">
        <v>2</v>
      </c>
      <c r="C57" s="43">
        <f>Jahr+2</f>
      </c>
      <c r="D57" s="43">
        <f>INDEX(MvObj,2)</f>
      </c>
      <c r="E57" s="43">
        <f>IF($S$55=0,0,IF(OR(DATE($C57,1,15)&lt;$S$55,AND($T$55&gt;0,DATE($C57,1,15)&gt;$T$55)),0,IF(DATE($C57,1,15)&gt;=$X$55,$AA$55*(1+($U$55)/100)^MAX(0,$C57-$AD$55),IF(DATE($C57,1,15)&gt;=$W$55,$Z$55*(1+($U$55)/100)^MAX(0,$C57-$AC$55),IF(DATE($C57,1,15)&gt;=$V$55,$Y$55*(1+($U$55)/100)^MAX(0,$C57-$AB$55),0)))))</f>
      </c>
      <c r="F57" s="43">
        <f>IF($S$55=0,0,IF(OR(DATE($C57,2,15)&lt;$S$55,AND($T$55&gt;0,DATE($C57,2,15)&gt;$T$55)),0,IF(DATE($C57,2,15)&gt;=$X$55,$AA$55*(1+($U$55)/100)^MAX(0,$C57-$AD$55),IF(DATE($C57,2,15)&gt;=$W$55,$Z$55*(1+($U$55)/100)^MAX(0,$C57-$AC$55),IF(DATE($C57,2,15)&gt;=$V$55,$Y$55*(1+($U$55)/100)^MAX(0,$C57-$AB$55),0)))))</f>
      </c>
      <c r="G57" s="43">
        <f>IF($S$55=0,0,IF(OR(DATE($C57,3,15)&lt;$S$55,AND($T$55&gt;0,DATE($C57,3,15)&gt;$T$55)),0,IF(DATE($C57,3,15)&gt;=$X$55,$AA$55*(1+($U$55)/100)^MAX(0,$C57-$AD$55),IF(DATE($C57,3,15)&gt;=$W$55,$Z$55*(1+($U$55)/100)^MAX(0,$C57-$AC$55),IF(DATE($C57,3,15)&gt;=$V$55,$Y$55*(1+($U$55)/100)^MAX(0,$C57-$AB$55),0)))))</f>
      </c>
      <c r="H57" s="43">
        <f>IF($S$55=0,0,IF(OR(DATE($C57,4,15)&lt;$S$55,AND($T$55&gt;0,DATE($C57,4,15)&gt;$T$55)),0,IF(DATE($C57,4,15)&gt;=$X$55,$AA$55*(1+($U$55)/100)^MAX(0,$C57-$AD$55),IF(DATE($C57,4,15)&gt;=$W$55,$Z$55*(1+($U$55)/100)^MAX(0,$C57-$AC$55),IF(DATE($C57,4,15)&gt;=$V$55,$Y$55*(1+($U$55)/100)^MAX(0,$C57-$AB$55),0)))))</f>
      </c>
      <c r="I57" s="43">
        <f>IF($S$55=0,0,IF(OR(DATE($C57,5,15)&lt;$S$55,AND($T$55&gt;0,DATE($C57,5,15)&gt;$T$55)),0,IF(DATE($C57,5,15)&gt;=$X$55,$AA$55*(1+($U$55)/100)^MAX(0,$C57-$AD$55),IF(DATE($C57,5,15)&gt;=$W$55,$Z$55*(1+($U$55)/100)^MAX(0,$C57-$AC$55),IF(DATE($C57,5,15)&gt;=$V$55,$Y$55*(1+($U$55)/100)^MAX(0,$C57-$AB$55),0)))))</f>
      </c>
      <c r="J57" s="43">
        <f>IF($S$55=0,0,IF(OR(DATE($C57,6,15)&lt;$S$55,AND($T$55&gt;0,DATE($C57,6,15)&gt;$T$55)),0,IF(DATE($C57,6,15)&gt;=$X$55,$AA$55*(1+($U$55)/100)^MAX(0,$C57-$AD$55),IF(DATE($C57,6,15)&gt;=$W$55,$Z$55*(1+($U$55)/100)^MAX(0,$C57-$AC$55),IF(DATE($C57,6,15)&gt;=$V$55,$Y$55*(1+($U$55)/100)^MAX(0,$C57-$AB$55),0)))))</f>
      </c>
      <c r="K57" s="43">
        <f>IF($S$55=0,0,IF(OR(DATE($C57,7,15)&lt;$S$55,AND($T$55&gt;0,DATE($C57,7,15)&gt;$T$55)),0,IF(DATE($C57,7,15)&gt;=$X$55,$AA$55*(1+($U$55)/100)^MAX(0,$C57-$AD$55),IF(DATE($C57,7,15)&gt;=$W$55,$Z$55*(1+($U$55)/100)^MAX(0,$C57-$AC$55),IF(DATE($C57,7,15)&gt;=$V$55,$Y$55*(1+($U$55)/100)^MAX(0,$C57-$AB$55),0)))))</f>
      </c>
      <c r="L57" s="43">
        <f>IF($S$55=0,0,IF(OR(DATE($C57,8,15)&lt;$S$55,AND($T$55&gt;0,DATE($C57,8,15)&gt;$T$55)),0,IF(DATE($C57,8,15)&gt;=$X$55,$AA$55*(1+($U$55)/100)^MAX(0,$C57-$AD$55),IF(DATE($C57,8,15)&gt;=$W$55,$Z$55*(1+($U$55)/100)^MAX(0,$C57-$AC$55),IF(DATE($C57,8,15)&gt;=$V$55,$Y$55*(1+($U$55)/100)^MAX(0,$C57-$AB$55),0)))))</f>
      </c>
      <c r="M57" s="43">
        <f>IF($S$55=0,0,IF(OR(DATE($C57,9,15)&lt;$S$55,AND($T$55&gt;0,DATE($C57,9,15)&gt;$T$55)),0,IF(DATE($C57,9,15)&gt;=$X$55,$AA$55*(1+($U$55)/100)^MAX(0,$C57-$AD$55),IF(DATE($C57,9,15)&gt;=$W$55,$Z$55*(1+($U$55)/100)^MAX(0,$C57-$AC$55),IF(DATE($C57,9,15)&gt;=$V$55,$Y$55*(1+($U$55)/100)^MAX(0,$C57-$AB$55),0)))))</f>
      </c>
      <c r="N57" s="43">
        <f>IF($S$55=0,0,IF(OR(DATE($C57,10,15)&lt;$S$55,AND($T$55&gt;0,DATE($C57,10,15)&gt;$T$55)),0,IF(DATE($C57,10,15)&gt;=$X$55,$AA$55*(1+($U$55)/100)^MAX(0,$C57-$AD$55),IF(DATE($C57,10,15)&gt;=$W$55,$Z$55*(1+($U$55)/100)^MAX(0,$C57-$AC$55),IF(DATE($C57,10,15)&gt;=$V$55,$Y$55*(1+($U$55)/100)^MAX(0,$C57-$AB$55),0)))))</f>
      </c>
      <c r="O57" s="43">
        <f>IF($S$55=0,0,IF(OR(DATE($C57,11,15)&lt;$S$55,AND($T$55&gt;0,DATE($C57,11,15)&gt;$T$55)),0,IF(DATE($C57,11,15)&gt;=$X$55,$AA$55*(1+($U$55)/100)^MAX(0,$C57-$AD$55),IF(DATE($C57,11,15)&gt;=$W$55,$Z$55*(1+($U$55)/100)^MAX(0,$C57-$AC$55),IF(DATE($C57,11,15)&gt;=$V$55,$Y$55*(1+($U$55)/100)^MAX(0,$C57-$AB$55),0)))))</f>
      </c>
      <c r="P57" s="43">
        <f>IF($S$55=0,0,IF(OR(DATE($C57,12,15)&lt;$S$55,AND($T$55&gt;0,DATE($C57,12,15)&gt;$T$55)),0,IF(DATE($C57,12,15)&gt;=$X$55,$AA$55*(1+($U$55)/100)^MAX(0,$C57-$AD$55),IF(DATE($C57,12,15)&gt;=$W$55,$Z$55*(1+($U$55)/100)^MAX(0,$C57-$AC$55),IF(DATE($C57,12,15)&gt;=$V$55,$Y$55*(1+($U$55)/100)^MAX(0,$C57-$AB$55),0)))))</f>
      </c>
      <c r="Q57" s="43">
        <f>SUM($E57:$P57)</f>
      </c>
    </row>
    <row r="58">
      <c r="A58"/>
      <c r="B58">
        <v>2</v>
      </c>
      <c r="C58" s="43">
        <f>Jahr+3</f>
      </c>
      <c r="D58" s="43">
        <f>INDEX(MvObj,2)</f>
      </c>
      <c r="E58" s="43">
        <f>IF($S$55=0,0,IF(OR(DATE($C58,1,15)&lt;$S$55,AND($T$55&gt;0,DATE($C58,1,15)&gt;$T$55)),0,IF(DATE($C58,1,15)&gt;=$X$55,$AA$55*(1+($U$55)/100)^MAX(0,$C58-$AD$55),IF(DATE($C58,1,15)&gt;=$W$55,$Z$55*(1+($U$55)/100)^MAX(0,$C58-$AC$55),IF(DATE($C58,1,15)&gt;=$V$55,$Y$55*(1+($U$55)/100)^MAX(0,$C58-$AB$55),0)))))</f>
      </c>
      <c r="F58" s="43">
        <f>IF($S$55=0,0,IF(OR(DATE($C58,2,15)&lt;$S$55,AND($T$55&gt;0,DATE($C58,2,15)&gt;$T$55)),0,IF(DATE($C58,2,15)&gt;=$X$55,$AA$55*(1+($U$55)/100)^MAX(0,$C58-$AD$55),IF(DATE($C58,2,15)&gt;=$W$55,$Z$55*(1+($U$55)/100)^MAX(0,$C58-$AC$55),IF(DATE($C58,2,15)&gt;=$V$55,$Y$55*(1+($U$55)/100)^MAX(0,$C58-$AB$55),0)))))</f>
      </c>
      <c r="G58" s="43">
        <f>IF($S$55=0,0,IF(OR(DATE($C58,3,15)&lt;$S$55,AND($T$55&gt;0,DATE($C58,3,15)&gt;$T$55)),0,IF(DATE($C58,3,15)&gt;=$X$55,$AA$55*(1+($U$55)/100)^MAX(0,$C58-$AD$55),IF(DATE($C58,3,15)&gt;=$W$55,$Z$55*(1+($U$55)/100)^MAX(0,$C58-$AC$55),IF(DATE($C58,3,15)&gt;=$V$55,$Y$55*(1+($U$55)/100)^MAX(0,$C58-$AB$55),0)))))</f>
      </c>
      <c r="H58" s="43">
        <f>IF($S$55=0,0,IF(OR(DATE($C58,4,15)&lt;$S$55,AND($T$55&gt;0,DATE($C58,4,15)&gt;$T$55)),0,IF(DATE($C58,4,15)&gt;=$X$55,$AA$55*(1+($U$55)/100)^MAX(0,$C58-$AD$55),IF(DATE($C58,4,15)&gt;=$W$55,$Z$55*(1+($U$55)/100)^MAX(0,$C58-$AC$55),IF(DATE($C58,4,15)&gt;=$V$55,$Y$55*(1+($U$55)/100)^MAX(0,$C58-$AB$55),0)))))</f>
      </c>
      <c r="I58" s="43">
        <f>IF($S$55=0,0,IF(OR(DATE($C58,5,15)&lt;$S$55,AND($T$55&gt;0,DATE($C58,5,15)&gt;$T$55)),0,IF(DATE($C58,5,15)&gt;=$X$55,$AA$55*(1+($U$55)/100)^MAX(0,$C58-$AD$55),IF(DATE($C58,5,15)&gt;=$W$55,$Z$55*(1+($U$55)/100)^MAX(0,$C58-$AC$55),IF(DATE($C58,5,15)&gt;=$V$55,$Y$55*(1+($U$55)/100)^MAX(0,$C58-$AB$55),0)))))</f>
      </c>
      <c r="J58" s="43">
        <f>IF($S$55=0,0,IF(OR(DATE($C58,6,15)&lt;$S$55,AND($T$55&gt;0,DATE($C58,6,15)&gt;$T$55)),0,IF(DATE($C58,6,15)&gt;=$X$55,$AA$55*(1+($U$55)/100)^MAX(0,$C58-$AD$55),IF(DATE($C58,6,15)&gt;=$W$55,$Z$55*(1+($U$55)/100)^MAX(0,$C58-$AC$55),IF(DATE($C58,6,15)&gt;=$V$55,$Y$55*(1+($U$55)/100)^MAX(0,$C58-$AB$55),0)))))</f>
      </c>
      <c r="K58" s="43">
        <f>IF($S$55=0,0,IF(OR(DATE($C58,7,15)&lt;$S$55,AND($T$55&gt;0,DATE($C58,7,15)&gt;$T$55)),0,IF(DATE($C58,7,15)&gt;=$X$55,$AA$55*(1+($U$55)/100)^MAX(0,$C58-$AD$55),IF(DATE($C58,7,15)&gt;=$W$55,$Z$55*(1+($U$55)/100)^MAX(0,$C58-$AC$55),IF(DATE($C58,7,15)&gt;=$V$55,$Y$55*(1+($U$55)/100)^MAX(0,$C58-$AB$55),0)))))</f>
      </c>
      <c r="L58" s="43">
        <f>IF($S$55=0,0,IF(OR(DATE($C58,8,15)&lt;$S$55,AND($T$55&gt;0,DATE($C58,8,15)&gt;$T$55)),0,IF(DATE($C58,8,15)&gt;=$X$55,$AA$55*(1+($U$55)/100)^MAX(0,$C58-$AD$55),IF(DATE($C58,8,15)&gt;=$W$55,$Z$55*(1+($U$55)/100)^MAX(0,$C58-$AC$55),IF(DATE($C58,8,15)&gt;=$V$55,$Y$55*(1+($U$55)/100)^MAX(0,$C58-$AB$55),0)))))</f>
      </c>
      <c r="M58" s="43">
        <f>IF($S$55=0,0,IF(OR(DATE($C58,9,15)&lt;$S$55,AND($T$55&gt;0,DATE($C58,9,15)&gt;$T$55)),0,IF(DATE($C58,9,15)&gt;=$X$55,$AA$55*(1+($U$55)/100)^MAX(0,$C58-$AD$55),IF(DATE($C58,9,15)&gt;=$W$55,$Z$55*(1+($U$55)/100)^MAX(0,$C58-$AC$55),IF(DATE($C58,9,15)&gt;=$V$55,$Y$55*(1+($U$55)/100)^MAX(0,$C58-$AB$55),0)))))</f>
      </c>
      <c r="N58" s="43">
        <f>IF($S$55=0,0,IF(OR(DATE($C58,10,15)&lt;$S$55,AND($T$55&gt;0,DATE($C58,10,15)&gt;$T$55)),0,IF(DATE($C58,10,15)&gt;=$X$55,$AA$55*(1+($U$55)/100)^MAX(0,$C58-$AD$55),IF(DATE($C58,10,15)&gt;=$W$55,$Z$55*(1+($U$55)/100)^MAX(0,$C58-$AC$55),IF(DATE($C58,10,15)&gt;=$V$55,$Y$55*(1+($U$55)/100)^MAX(0,$C58-$AB$55),0)))))</f>
      </c>
      <c r="O58" s="43">
        <f>IF($S$55=0,0,IF(OR(DATE($C58,11,15)&lt;$S$55,AND($T$55&gt;0,DATE($C58,11,15)&gt;$T$55)),0,IF(DATE($C58,11,15)&gt;=$X$55,$AA$55*(1+($U$55)/100)^MAX(0,$C58-$AD$55),IF(DATE($C58,11,15)&gt;=$W$55,$Z$55*(1+($U$55)/100)^MAX(0,$C58-$AC$55),IF(DATE($C58,11,15)&gt;=$V$55,$Y$55*(1+($U$55)/100)^MAX(0,$C58-$AB$55),0)))))</f>
      </c>
      <c r="P58" s="43">
        <f>IF($S$55=0,0,IF(OR(DATE($C58,12,15)&lt;$S$55,AND($T$55&gt;0,DATE($C58,12,15)&gt;$T$55)),0,IF(DATE($C58,12,15)&gt;=$X$55,$AA$55*(1+($U$55)/100)^MAX(0,$C58-$AD$55),IF(DATE($C58,12,15)&gt;=$W$55,$Z$55*(1+($U$55)/100)^MAX(0,$C58-$AC$55),IF(DATE($C58,12,15)&gt;=$V$55,$Y$55*(1+($U$55)/100)^MAX(0,$C58-$AB$55),0)))))</f>
      </c>
      <c r="Q58" s="43">
        <f>SUM($E58:$P58)</f>
      </c>
    </row>
    <row r="59">
      <c r="A59"/>
      <c r="B59">
        <v>2</v>
      </c>
      <c r="C59" s="43">
        <f>Jahr+4</f>
      </c>
      <c r="D59" s="43">
        <f>INDEX(MvObj,2)</f>
      </c>
      <c r="E59" s="43">
        <f>IF($S$55=0,0,IF(OR(DATE($C59,1,15)&lt;$S$55,AND($T$55&gt;0,DATE($C59,1,15)&gt;$T$55)),0,IF(DATE($C59,1,15)&gt;=$X$55,$AA$55*(1+($U$55)/100)^MAX(0,$C59-$AD$55),IF(DATE($C59,1,15)&gt;=$W$55,$Z$55*(1+($U$55)/100)^MAX(0,$C59-$AC$55),IF(DATE($C59,1,15)&gt;=$V$55,$Y$55*(1+($U$55)/100)^MAX(0,$C59-$AB$55),0)))))</f>
      </c>
      <c r="F59" s="43">
        <f>IF($S$55=0,0,IF(OR(DATE($C59,2,15)&lt;$S$55,AND($T$55&gt;0,DATE($C59,2,15)&gt;$T$55)),0,IF(DATE($C59,2,15)&gt;=$X$55,$AA$55*(1+($U$55)/100)^MAX(0,$C59-$AD$55),IF(DATE($C59,2,15)&gt;=$W$55,$Z$55*(1+($U$55)/100)^MAX(0,$C59-$AC$55),IF(DATE($C59,2,15)&gt;=$V$55,$Y$55*(1+($U$55)/100)^MAX(0,$C59-$AB$55),0)))))</f>
      </c>
      <c r="G59" s="43">
        <f>IF($S$55=0,0,IF(OR(DATE($C59,3,15)&lt;$S$55,AND($T$55&gt;0,DATE($C59,3,15)&gt;$T$55)),0,IF(DATE($C59,3,15)&gt;=$X$55,$AA$55*(1+($U$55)/100)^MAX(0,$C59-$AD$55),IF(DATE($C59,3,15)&gt;=$W$55,$Z$55*(1+($U$55)/100)^MAX(0,$C59-$AC$55),IF(DATE($C59,3,15)&gt;=$V$55,$Y$55*(1+($U$55)/100)^MAX(0,$C59-$AB$55),0)))))</f>
      </c>
      <c r="H59" s="43">
        <f>IF($S$55=0,0,IF(OR(DATE($C59,4,15)&lt;$S$55,AND($T$55&gt;0,DATE($C59,4,15)&gt;$T$55)),0,IF(DATE($C59,4,15)&gt;=$X$55,$AA$55*(1+($U$55)/100)^MAX(0,$C59-$AD$55),IF(DATE($C59,4,15)&gt;=$W$55,$Z$55*(1+($U$55)/100)^MAX(0,$C59-$AC$55),IF(DATE($C59,4,15)&gt;=$V$55,$Y$55*(1+($U$55)/100)^MAX(0,$C59-$AB$55),0)))))</f>
      </c>
      <c r="I59" s="43">
        <f>IF($S$55=0,0,IF(OR(DATE($C59,5,15)&lt;$S$55,AND($T$55&gt;0,DATE($C59,5,15)&gt;$T$55)),0,IF(DATE($C59,5,15)&gt;=$X$55,$AA$55*(1+($U$55)/100)^MAX(0,$C59-$AD$55),IF(DATE($C59,5,15)&gt;=$W$55,$Z$55*(1+($U$55)/100)^MAX(0,$C59-$AC$55),IF(DATE($C59,5,15)&gt;=$V$55,$Y$55*(1+($U$55)/100)^MAX(0,$C59-$AB$55),0)))))</f>
      </c>
      <c r="J59" s="43">
        <f>IF($S$55=0,0,IF(OR(DATE($C59,6,15)&lt;$S$55,AND($T$55&gt;0,DATE($C59,6,15)&gt;$T$55)),0,IF(DATE($C59,6,15)&gt;=$X$55,$AA$55*(1+($U$55)/100)^MAX(0,$C59-$AD$55),IF(DATE($C59,6,15)&gt;=$W$55,$Z$55*(1+($U$55)/100)^MAX(0,$C59-$AC$55),IF(DATE($C59,6,15)&gt;=$V$55,$Y$55*(1+($U$55)/100)^MAX(0,$C59-$AB$55),0)))))</f>
      </c>
      <c r="K59" s="43">
        <f>IF($S$55=0,0,IF(OR(DATE($C59,7,15)&lt;$S$55,AND($T$55&gt;0,DATE($C59,7,15)&gt;$T$55)),0,IF(DATE($C59,7,15)&gt;=$X$55,$AA$55*(1+($U$55)/100)^MAX(0,$C59-$AD$55),IF(DATE($C59,7,15)&gt;=$W$55,$Z$55*(1+($U$55)/100)^MAX(0,$C59-$AC$55),IF(DATE($C59,7,15)&gt;=$V$55,$Y$55*(1+($U$55)/100)^MAX(0,$C59-$AB$55),0)))))</f>
      </c>
      <c r="L59" s="43">
        <f>IF($S$55=0,0,IF(OR(DATE($C59,8,15)&lt;$S$55,AND($T$55&gt;0,DATE($C59,8,15)&gt;$T$55)),0,IF(DATE($C59,8,15)&gt;=$X$55,$AA$55*(1+($U$55)/100)^MAX(0,$C59-$AD$55),IF(DATE($C59,8,15)&gt;=$W$55,$Z$55*(1+($U$55)/100)^MAX(0,$C59-$AC$55),IF(DATE($C59,8,15)&gt;=$V$55,$Y$55*(1+($U$55)/100)^MAX(0,$C59-$AB$55),0)))))</f>
      </c>
      <c r="M59" s="43">
        <f>IF($S$55=0,0,IF(OR(DATE($C59,9,15)&lt;$S$55,AND($T$55&gt;0,DATE($C59,9,15)&gt;$T$55)),0,IF(DATE($C59,9,15)&gt;=$X$55,$AA$55*(1+($U$55)/100)^MAX(0,$C59-$AD$55),IF(DATE($C59,9,15)&gt;=$W$55,$Z$55*(1+($U$55)/100)^MAX(0,$C59-$AC$55),IF(DATE($C59,9,15)&gt;=$V$55,$Y$55*(1+($U$55)/100)^MAX(0,$C59-$AB$55),0)))))</f>
      </c>
      <c r="N59" s="43">
        <f>IF($S$55=0,0,IF(OR(DATE($C59,10,15)&lt;$S$55,AND($T$55&gt;0,DATE($C59,10,15)&gt;$T$55)),0,IF(DATE($C59,10,15)&gt;=$X$55,$AA$55*(1+($U$55)/100)^MAX(0,$C59-$AD$55),IF(DATE($C59,10,15)&gt;=$W$55,$Z$55*(1+($U$55)/100)^MAX(0,$C59-$AC$55),IF(DATE($C59,10,15)&gt;=$V$55,$Y$55*(1+($U$55)/100)^MAX(0,$C59-$AB$55),0)))))</f>
      </c>
      <c r="O59" s="43">
        <f>IF($S$55=0,0,IF(OR(DATE($C59,11,15)&lt;$S$55,AND($T$55&gt;0,DATE($C59,11,15)&gt;$T$55)),0,IF(DATE($C59,11,15)&gt;=$X$55,$AA$55*(1+($U$55)/100)^MAX(0,$C59-$AD$55),IF(DATE($C59,11,15)&gt;=$W$55,$Z$55*(1+($U$55)/100)^MAX(0,$C59-$AC$55),IF(DATE($C59,11,15)&gt;=$V$55,$Y$55*(1+($U$55)/100)^MAX(0,$C59-$AB$55),0)))))</f>
      </c>
      <c r="P59" s="43">
        <f>IF($S$55=0,0,IF(OR(DATE($C59,12,15)&lt;$S$55,AND($T$55&gt;0,DATE($C59,12,15)&gt;$T$55)),0,IF(DATE($C59,12,15)&gt;=$X$55,$AA$55*(1+($U$55)/100)^MAX(0,$C59-$AD$55),IF(DATE($C59,12,15)&gt;=$W$55,$Z$55*(1+($U$55)/100)^MAX(0,$C59-$AC$55),IF(DATE($C59,12,15)&gt;=$V$55,$Y$55*(1+($U$55)/100)^MAX(0,$C59-$AB$55),0)))))</f>
      </c>
      <c r="Q59" s="43">
        <f>SUM($E59:$P59)</f>
      </c>
    </row>
    <row r="60">
      <c r="A60"/>
      <c r="B60">
        <v>2</v>
      </c>
      <c r="C60" s="43">
        <f>Jahr+5</f>
      </c>
      <c r="D60" s="43">
        <f>INDEX(MvObj,2)</f>
      </c>
      <c r="E60" s="43">
        <f>IF($S$55=0,0,IF(OR(DATE($C60,1,15)&lt;$S$55,AND($T$55&gt;0,DATE($C60,1,15)&gt;$T$55)),0,IF(DATE($C60,1,15)&gt;=$X$55,$AA$55*(1+($U$55)/100)^MAX(0,$C60-$AD$55),IF(DATE($C60,1,15)&gt;=$W$55,$Z$55*(1+($U$55)/100)^MAX(0,$C60-$AC$55),IF(DATE($C60,1,15)&gt;=$V$55,$Y$55*(1+($U$55)/100)^MAX(0,$C60-$AB$55),0)))))</f>
      </c>
      <c r="F60" s="43">
        <f>IF($S$55=0,0,IF(OR(DATE($C60,2,15)&lt;$S$55,AND($T$55&gt;0,DATE($C60,2,15)&gt;$T$55)),0,IF(DATE($C60,2,15)&gt;=$X$55,$AA$55*(1+($U$55)/100)^MAX(0,$C60-$AD$55),IF(DATE($C60,2,15)&gt;=$W$55,$Z$55*(1+($U$55)/100)^MAX(0,$C60-$AC$55),IF(DATE($C60,2,15)&gt;=$V$55,$Y$55*(1+($U$55)/100)^MAX(0,$C60-$AB$55),0)))))</f>
      </c>
      <c r="G60" s="43">
        <f>IF($S$55=0,0,IF(OR(DATE($C60,3,15)&lt;$S$55,AND($T$55&gt;0,DATE($C60,3,15)&gt;$T$55)),0,IF(DATE($C60,3,15)&gt;=$X$55,$AA$55*(1+($U$55)/100)^MAX(0,$C60-$AD$55),IF(DATE($C60,3,15)&gt;=$W$55,$Z$55*(1+($U$55)/100)^MAX(0,$C60-$AC$55),IF(DATE($C60,3,15)&gt;=$V$55,$Y$55*(1+($U$55)/100)^MAX(0,$C60-$AB$55),0)))))</f>
      </c>
      <c r="H60" s="43">
        <f>IF($S$55=0,0,IF(OR(DATE($C60,4,15)&lt;$S$55,AND($T$55&gt;0,DATE($C60,4,15)&gt;$T$55)),0,IF(DATE($C60,4,15)&gt;=$X$55,$AA$55*(1+($U$55)/100)^MAX(0,$C60-$AD$55),IF(DATE($C60,4,15)&gt;=$W$55,$Z$55*(1+($U$55)/100)^MAX(0,$C60-$AC$55),IF(DATE($C60,4,15)&gt;=$V$55,$Y$55*(1+($U$55)/100)^MAX(0,$C60-$AB$55),0)))))</f>
      </c>
      <c r="I60" s="43">
        <f>IF($S$55=0,0,IF(OR(DATE($C60,5,15)&lt;$S$55,AND($T$55&gt;0,DATE($C60,5,15)&gt;$T$55)),0,IF(DATE($C60,5,15)&gt;=$X$55,$AA$55*(1+($U$55)/100)^MAX(0,$C60-$AD$55),IF(DATE($C60,5,15)&gt;=$W$55,$Z$55*(1+($U$55)/100)^MAX(0,$C60-$AC$55),IF(DATE($C60,5,15)&gt;=$V$55,$Y$55*(1+($U$55)/100)^MAX(0,$C60-$AB$55),0)))))</f>
      </c>
      <c r="J60" s="43">
        <f>IF($S$55=0,0,IF(OR(DATE($C60,6,15)&lt;$S$55,AND($T$55&gt;0,DATE($C60,6,15)&gt;$T$55)),0,IF(DATE($C60,6,15)&gt;=$X$55,$AA$55*(1+($U$55)/100)^MAX(0,$C60-$AD$55),IF(DATE($C60,6,15)&gt;=$W$55,$Z$55*(1+($U$55)/100)^MAX(0,$C60-$AC$55),IF(DATE($C60,6,15)&gt;=$V$55,$Y$55*(1+($U$55)/100)^MAX(0,$C60-$AB$55),0)))))</f>
      </c>
      <c r="K60" s="43">
        <f>IF($S$55=0,0,IF(OR(DATE($C60,7,15)&lt;$S$55,AND($T$55&gt;0,DATE($C60,7,15)&gt;$T$55)),0,IF(DATE($C60,7,15)&gt;=$X$55,$AA$55*(1+($U$55)/100)^MAX(0,$C60-$AD$55),IF(DATE($C60,7,15)&gt;=$W$55,$Z$55*(1+($U$55)/100)^MAX(0,$C60-$AC$55),IF(DATE($C60,7,15)&gt;=$V$55,$Y$55*(1+($U$55)/100)^MAX(0,$C60-$AB$55),0)))))</f>
      </c>
      <c r="L60" s="43">
        <f>IF($S$55=0,0,IF(OR(DATE($C60,8,15)&lt;$S$55,AND($T$55&gt;0,DATE($C60,8,15)&gt;$T$55)),0,IF(DATE($C60,8,15)&gt;=$X$55,$AA$55*(1+($U$55)/100)^MAX(0,$C60-$AD$55),IF(DATE($C60,8,15)&gt;=$W$55,$Z$55*(1+($U$55)/100)^MAX(0,$C60-$AC$55),IF(DATE($C60,8,15)&gt;=$V$55,$Y$55*(1+($U$55)/100)^MAX(0,$C60-$AB$55),0)))))</f>
      </c>
      <c r="M60" s="43">
        <f>IF($S$55=0,0,IF(OR(DATE($C60,9,15)&lt;$S$55,AND($T$55&gt;0,DATE($C60,9,15)&gt;$T$55)),0,IF(DATE($C60,9,15)&gt;=$X$55,$AA$55*(1+($U$55)/100)^MAX(0,$C60-$AD$55),IF(DATE($C60,9,15)&gt;=$W$55,$Z$55*(1+($U$55)/100)^MAX(0,$C60-$AC$55),IF(DATE($C60,9,15)&gt;=$V$55,$Y$55*(1+($U$55)/100)^MAX(0,$C60-$AB$55),0)))))</f>
      </c>
      <c r="N60" s="43">
        <f>IF($S$55=0,0,IF(OR(DATE($C60,10,15)&lt;$S$55,AND($T$55&gt;0,DATE($C60,10,15)&gt;$T$55)),0,IF(DATE($C60,10,15)&gt;=$X$55,$AA$55*(1+($U$55)/100)^MAX(0,$C60-$AD$55),IF(DATE($C60,10,15)&gt;=$W$55,$Z$55*(1+($U$55)/100)^MAX(0,$C60-$AC$55),IF(DATE($C60,10,15)&gt;=$V$55,$Y$55*(1+($U$55)/100)^MAX(0,$C60-$AB$55),0)))))</f>
      </c>
      <c r="O60" s="43">
        <f>IF($S$55=0,0,IF(OR(DATE($C60,11,15)&lt;$S$55,AND($T$55&gt;0,DATE($C60,11,15)&gt;$T$55)),0,IF(DATE($C60,11,15)&gt;=$X$55,$AA$55*(1+($U$55)/100)^MAX(0,$C60-$AD$55),IF(DATE($C60,11,15)&gt;=$W$55,$Z$55*(1+($U$55)/100)^MAX(0,$C60-$AC$55),IF(DATE($C60,11,15)&gt;=$V$55,$Y$55*(1+($U$55)/100)^MAX(0,$C60-$AB$55),0)))))</f>
      </c>
      <c r="P60" s="43">
        <f>IF($S$55=0,0,IF(OR(DATE($C60,12,15)&lt;$S$55,AND($T$55&gt;0,DATE($C60,12,15)&gt;$T$55)),0,IF(DATE($C60,12,15)&gt;=$X$55,$AA$55*(1+($U$55)/100)^MAX(0,$C60-$AD$55),IF(DATE($C60,12,15)&gt;=$W$55,$Z$55*(1+($U$55)/100)^MAX(0,$C60-$AC$55),IF(DATE($C60,12,15)&gt;=$V$55,$Y$55*(1+($U$55)/100)^MAX(0,$C60-$AB$55),0)))))</f>
      </c>
      <c r="Q60" s="43">
        <f>SUM($E60:$P60)</f>
      </c>
    </row>
    <row r="61">
      <c r="A61"/>
      <c r="B61">
        <v>2</v>
      </c>
      <c r="C61" s="43">
        <f>Jahr+6</f>
      </c>
      <c r="D61" s="43">
        <f>INDEX(MvObj,2)</f>
      </c>
      <c r="E61" s="43">
        <f>IF($S$55=0,0,IF(OR(DATE($C61,1,15)&lt;$S$55,AND($T$55&gt;0,DATE($C61,1,15)&gt;$T$55)),0,IF(DATE($C61,1,15)&gt;=$X$55,$AA$55*(1+($U$55)/100)^MAX(0,$C61-$AD$55),IF(DATE($C61,1,15)&gt;=$W$55,$Z$55*(1+($U$55)/100)^MAX(0,$C61-$AC$55),IF(DATE($C61,1,15)&gt;=$V$55,$Y$55*(1+($U$55)/100)^MAX(0,$C61-$AB$55),0)))))</f>
      </c>
      <c r="F61" s="43">
        <f>IF($S$55=0,0,IF(OR(DATE($C61,2,15)&lt;$S$55,AND($T$55&gt;0,DATE($C61,2,15)&gt;$T$55)),0,IF(DATE($C61,2,15)&gt;=$X$55,$AA$55*(1+($U$55)/100)^MAX(0,$C61-$AD$55),IF(DATE($C61,2,15)&gt;=$W$55,$Z$55*(1+($U$55)/100)^MAX(0,$C61-$AC$55),IF(DATE($C61,2,15)&gt;=$V$55,$Y$55*(1+($U$55)/100)^MAX(0,$C61-$AB$55),0)))))</f>
      </c>
      <c r="G61" s="43">
        <f>IF($S$55=0,0,IF(OR(DATE($C61,3,15)&lt;$S$55,AND($T$55&gt;0,DATE($C61,3,15)&gt;$T$55)),0,IF(DATE($C61,3,15)&gt;=$X$55,$AA$55*(1+($U$55)/100)^MAX(0,$C61-$AD$55),IF(DATE($C61,3,15)&gt;=$W$55,$Z$55*(1+($U$55)/100)^MAX(0,$C61-$AC$55),IF(DATE($C61,3,15)&gt;=$V$55,$Y$55*(1+($U$55)/100)^MAX(0,$C61-$AB$55),0)))))</f>
      </c>
      <c r="H61" s="43">
        <f>IF($S$55=0,0,IF(OR(DATE($C61,4,15)&lt;$S$55,AND($T$55&gt;0,DATE($C61,4,15)&gt;$T$55)),0,IF(DATE($C61,4,15)&gt;=$X$55,$AA$55*(1+($U$55)/100)^MAX(0,$C61-$AD$55),IF(DATE($C61,4,15)&gt;=$W$55,$Z$55*(1+($U$55)/100)^MAX(0,$C61-$AC$55),IF(DATE($C61,4,15)&gt;=$V$55,$Y$55*(1+($U$55)/100)^MAX(0,$C61-$AB$55),0)))))</f>
      </c>
      <c r="I61" s="43">
        <f>IF($S$55=0,0,IF(OR(DATE($C61,5,15)&lt;$S$55,AND($T$55&gt;0,DATE($C61,5,15)&gt;$T$55)),0,IF(DATE($C61,5,15)&gt;=$X$55,$AA$55*(1+($U$55)/100)^MAX(0,$C61-$AD$55),IF(DATE($C61,5,15)&gt;=$W$55,$Z$55*(1+($U$55)/100)^MAX(0,$C61-$AC$55),IF(DATE($C61,5,15)&gt;=$V$55,$Y$55*(1+($U$55)/100)^MAX(0,$C61-$AB$55),0)))))</f>
      </c>
      <c r="J61" s="43">
        <f>IF($S$55=0,0,IF(OR(DATE($C61,6,15)&lt;$S$55,AND($T$55&gt;0,DATE($C61,6,15)&gt;$T$55)),0,IF(DATE($C61,6,15)&gt;=$X$55,$AA$55*(1+($U$55)/100)^MAX(0,$C61-$AD$55),IF(DATE($C61,6,15)&gt;=$W$55,$Z$55*(1+($U$55)/100)^MAX(0,$C61-$AC$55),IF(DATE($C61,6,15)&gt;=$V$55,$Y$55*(1+($U$55)/100)^MAX(0,$C61-$AB$55),0)))))</f>
      </c>
      <c r="K61" s="43">
        <f>IF($S$55=0,0,IF(OR(DATE($C61,7,15)&lt;$S$55,AND($T$55&gt;0,DATE($C61,7,15)&gt;$T$55)),0,IF(DATE($C61,7,15)&gt;=$X$55,$AA$55*(1+($U$55)/100)^MAX(0,$C61-$AD$55),IF(DATE($C61,7,15)&gt;=$W$55,$Z$55*(1+($U$55)/100)^MAX(0,$C61-$AC$55),IF(DATE($C61,7,15)&gt;=$V$55,$Y$55*(1+($U$55)/100)^MAX(0,$C61-$AB$55),0)))))</f>
      </c>
      <c r="L61" s="43">
        <f>IF($S$55=0,0,IF(OR(DATE($C61,8,15)&lt;$S$55,AND($T$55&gt;0,DATE($C61,8,15)&gt;$T$55)),0,IF(DATE($C61,8,15)&gt;=$X$55,$AA$55*(1+($U$55)/100)^MAX(0,$C61-$AD$55),IF(DATE($C61,8,15)&gt;=$W$55,$Z$55*(1+($U$55)/100)^MAX(0,$C61-$AC$55),IF(DATE($C61,8,15)&gt;=$V$55,$Y$55*(1+($U$55)/100)^MAX(0,$C61-$AB$55),0)))))</f>
      </c>
      <c r="M61" s="43">
        <f>IF($S$55=0,0,IF(OR(DATE($C61,9,15)&lt;$S$55,AND($T$55&gt;0,DATE($C61,9,15)&gt;$T$55)),0,IF(DATE($C61,9,15)&gt;=$X$55,$AA$55*(1+($U$55)/100)^MAX(0,$C61-$AD$55),IF(DATE($C61,9,15)&gt;=$W$55,$Z$55*(1+($U$55)/100)^MAX(0,$C61-$AC$55),IF(DATE($C61,9,15)&gt;=$V$55,$Y$55*(1+($U$55)/100)^MAX(0,$C61-$AB$55),0)))))</f>
      </c>
      <c r="N61" s="43">
        <f>IF($S$55=0,0,IF(OR(DATE($C61,10,15)&lt;$S$55,AND($T$55&gt;0,DATE($C61,10,15)&gt;$T$55)),0,IF(DATE($C61,10,15)&gt;=$X$55,$AA$55*(1+($U$55)/100)^MAX(0,$C61-$AD$55),IF(DATE($C61,10,15)&gt;=$W$55,$Z$55*(1+($U$55)/100)^MAX(0,$C61-$AC$55),IF(DATE($C61,10,15)&gt;=$V$55,$Y$55*(1+($U$55)/100)^MAX(0,$C61-$AB$55),0)))))</f>
      </c>
      <c r="O61" s="43">
        <f>IF($S$55=0,0,IF(OR(DATE($C61,11,15)&lt;$S$55,AND($T$55&gt;0,DATE($C61,11,15)&gt;$T$55)),0,IF(DATE($C61,11,15)&gt;=$X$55,$AA$55*(1+($U$55)/100)^MAX(0,$C61-$AD$55),IF(DATE($C61,11,15)&gt;=$W$55,$Z$55*(1+($U$55)/100)^MAX(0,$C61-$AC$55),IF(DATE($C61,11,15)&gt;=$V$55,$Y$55*(1+($U$55)/100)^MAX(0,$C61-$AB$55),0)))))</f>
      </c>
      <c r="P61" s="43">
        <f>IF($S$55=0,0,IF(OR(DATE($C61,12,15)&lt;$S$55,AND($T$55&gt;0,DATE($C61,12,15)&gt;$T$55)),0,IF(DATE($C61,12,15)&gt;=$X$55,$AA$55*(1+($U$55)/100)^MAX(0,$C61-$AD$55),IF(DATE($C61,12,15)&gt;=$W$55,$Z$55*(1+($U$55)/100)^MAX(0,$C61-$AC$55),IF(DATE($C61,12,15)&gt;=$V$55,$Y$55*(1+($U$55)/100)^MAX(0,$C61-$AB$55),0)))))</f>
      </c>
      <c r="Q61" s="43">
        <f>SUM($E61:$P61)</f>
      </c>
    </row>
    <row r="62">
      <c r="A62"/>
      <c r="B62">
        <v>2</v>
      </c>
      <c r="C62" s="43">
        <f>Jahr+7</f>
      </c>
      <c r="D62" s="43">
        <f>INDEX(MvObj,2)</f>
      </c>
      <c r="E62" s="43">
        <f>IF($S$55=0,0,IF(OR(DATE($C62,1,15)&lt;$S$55,AND($T$55&gt;0,DATE($C62,1,15)&gt;$T$55)),0,IF(DATE($C62,1,15)&gt;=$X$55,$AA$55*(1+($U$55)/100)^MAX(0,$C62-$AD$55),IF(DATE($C62,1,15)&gt;=$W$55,$Z$55*(1+($U$55)/100)^MAX(0,$C62-$AC$55),IF(DATE($C62,1,15)&gt;=$V$55,$Y$55*(1+($U$55)/100)^MAX(0,$C62-$AB$55),0)))))</f>
      </c>
      <c r="F62" s="43">
        <f>IF($S$55=0,0,IF(OR(DATE($C62,2,15)&lt;$S$55,AND($T$55&gt;0,DATE($C62,2,15)&gt;$T$55)),0,IF(DATE($C62,2,15)&gt;=$X$55,$AA$55*(1+($U$55)/100)^MAX(0,$C62-$AD$55),IF(DATE($C62,2,15)&gt;=$W$55,$Z$55*(1+($U$55)/100)^MAX(0,$C62-$AC$55),IF(DATE($C62,2,15)&gt;=$V$55,$Y$55*(1+($U$55)/100)^MAX(0,$C62-$AB$55),0)))))</f>
      </c>
      <c r="G62" s="43">
        <f>IF($S$55=0,0,IF(OR(DATE($C62,3,15)&lt;$S$55,AND($T$55&gt;0,DATE($C62,3,15)&gt;$T$55)),0,IF(DATE($C62,3,15)&gt;=$X$55,$AA$55*(1+($U$55)/100)^MAX(0,$C62-$AD$55),IF(DATE($C62,3,15)&gt;=$W$55,$Z$55*(1+($U$55)/100)^MAX(0,$C62-$AC$55),IF(DATE($C62,3,15)&gt;=$V$55,$Y$55*(1+($U$55)/100)^MAX(0,$C62-$AB$55),0)))))</f>
      </c>
      <c r="H62" s="43">
        <f>IF($S$55=0,0,IF(OR(DATE($C62,4,15)&lt;$S$55,AND($T$55&gt;0,DATE($C62,4,15)&gt;$T$55)),0,IF(DATE($C62,4,15)&gt;=$X$55,$AA$55*(1+($U$55)/100)^MAX(0,$C62-$AD$55),IF(DATE($C62,4,15)&gt;=$W$55,$Z$55*(1+($U$55)/100)^MAX(0,$C62-$AC$55),IF(DATE($C62,4,15)&gt;=$V$55,$Y$55*(1+($U$55)/100)^MAX(0,$C62-$AB$55),0)))))</f>
      </c>
      <c r="I62" s="43">
        <f>IF($S$55=0,0,IF(OR(DATE($C62,5,15)&lt;$S$55,AND($T$55&gt;0,DATE($C62,5,15)&gt;$T$55)),0,IF(DATE($C62,5,15)&gt;=$X$55,$AA$55*(1+($U$55)/100)^MAX(0,$C62-$AD$55),IF(DATE($C62,5,15)&gt;=$W$55,$Z$55*(1+($U$55)/100)^MAX(0,$C62-$AC$55),IF(DATE($C62,5,15)&gt;=$V$55,$Y$55*(1+($U$55)/100)^MAX(0,$C62-$AB$55),0)))))</f>
      </c>
      <c r="J62" s="43">
        <f>IF($S$55=0,0,IF(OR(DATE($C62,6,15)&lt;$S$55,AND($T$55&gt;0,DATE($C62,6,15)&gt;$T$55)),0,IF(DATE($C62,6,15)&gt;=$X$55,$AA$55*(1+($U$55)/100)^MAX(0,$C62-$AD$55),IF(DATE($C62,6,15)&gt;=$W$55,$Z$55*(1+($U$55)/100)^MAX(0,$C62-$AC$55),IF(DATE($C62,6,15)&gt;=$V$55,$Y$55*(1+($U$55)/100)^MAX(0,$C62-$AB$55),0)))))</f>
      </c>
      <c r="K62" s="43">
        <f>IF($S$55=0,0,IF(OR(DATE($C62,7,15)&lt;$S$55,AND($T$55&gt;0,DATE($C62,7,15)&gt;$T$55)),0,IF(DATE($C62,7,15)&gt;=$X$55,$AA$55*(1+($U$55)/100)^MAX(0,$C62-$AD$55),IF(DATE($C62,7,15)&gt;=$W$55,$Z$55*(1+($U$55)/100)^MAX(0,$C62-$AC$55),IF(DATE($C62,7,15)&gt;=$V$55,$Y$55*(1+($U$55)/100)^MAX(0,$C62-$AB$55),0)))))</f>
      </c>
      <c r="L62" s="43">
        <f>IF($S$55=0,0,IF(OR(DATE($C62,8,15)&lt;$S$55,AND($T$55&gt;0,DATE($C62,8,15)&gt;$T$55)),0,IF(DATE($C62,8,15)&gt;=$X$55,$AA$55*(1+($U$55)/100)^MAX(0,$C62-$AD$55),IF(DATE($C62,8,15)&gt;=$W$55,$Z$55*(1+($U$55)/100)^MAX(0,$C62-$AC$55),IF(DATE($C62,8,15)&gt;=$V$55,$Y$55*(1+($U$55)/100)^MAX(0,$C62-$AB$55),0)))))</f>
      </c>
      <c r="M62" s="43">
        <f>IF($S$55=0,0,IF(OR(DATE($C62,9,15)&lt;$S$55,AND($T$55&gt;0,DATE($C62,9,15)&gt;$T$55)),0,IF(DATE($C62,9,15)&gt;=$X$55,$AA$55*(1+($U$55)/100)^MAX(0,$C62-$AD$55),IF(DATE($C62,9,15)&gt;=$W$55,$Z$55*(1+($U$55)/100)^MAX(0,$C62-$AC$55),IF(DATE($C62,9,15)&gt;=$V$55,$Y$55*(1+($U$55)/100)^MAX(0,$C62-$AB$55),0)))))</f>
      </c>
      <c r="N62" s="43">
        <f>IF($S$55=0,0,IF(OR(DATE($C62,10,15)&lt;$S$55,AND($T$55&gt;0,DATE($C62,10,15)&gt;$T$55)),0,IF(DATE($C62,10,15)&gt;=$X$55,$AA$55*(1+($U$55)/100)^MAX(0,$C62-$AD$55),IF(DATE($C62,10,15)&gt;=$W$55,$Z$55*(1+($U$55)/100)^MAX(0,$C62-$AC$55),IF(DATE($C62,10,15)&gt;=$V$55,$Y$55*(1+($U$55)/100)^MAX(0,$C62-$AB$55),0)))))</f>
      </c>
      <c r="O62" s="43">
        <f>IF($S$55=0,0,IF(OR(DATE($C62,11,15)&lt;$S$55,AND($T$55&gt;0,DATE($C62,11,15)&gt;$T$55)),0,IF(DATE($C62,11,15)&gt;=$X$55,$AA$55*(1+($U$55)/100)^MAX(0,$C62-$AD$55),IF(DATE($C62,11,15)&gt;=$W$55,$Z$55*(1+($U$55)/100)^MAX(0,$C62-$AC$55),IF(DATE($C62,11,15)&gt;=$V$55,$Y$55*(1+($U$55)/100)^MAX(0,$C62-$AB$55),0)))))</f>
      </c>
      <c r="P62" s="43">
        <f>IF($S$55=0,0,IF(OR(DATE($C62,12,15)&lt;$S$55,AND($T$55&gt;0,DATE($C62,12,15)&gt;$T$55)),0,IF(DATE($C62,12,15)&gt;=$X$55,$AA$55*(1+($U$55)/100)^MAX(0,$C62-$AD$55),IF(DATE($C62,12,15)&gt;=$W$55,$Z$55*(1+($U$55)/100)^MAX(0,$C62-$AC$55),IF(DATE($C62,12,15)&gt;=$V$55,$Y$55*(1+($U$55)/100)^MAX(0,$C62-$AB$55),0)))))</f>
      </c>
      <c r="Q62" s="43">
        <f>SUM($E62:$P62)</f>
      </c>
    </row>
    <row r="63">
      <c r="A63"/>
      <c r="B63">
        <v>2</v>
      </c>
      <c r="C63" s="43">
        <f>Jahr+8</f>
      </c>
      <c r="D63" s="43">
        <f>INDEX(MvObj,2)</f>
      </c>
      <c r="E63" s="43">
        <f>IF($S$55=0,0,IF(OR(DATE($C63,1,15)&lt;$S$55,AND($T$55&gt;0,DATE($C63,1,15)&gt;$T$55)),0,IF(DATE($C63,1,15)&gt;=$X$55,$AA$55*(1+($U$55)/100)^MAX(0,$C63-$AD$55),IF(DATE($C63,1,15)&gt;=$W$55,$Z$55*(1+($U$55)/100)^MAX(0,$C63-$AC$55),IF(DATE($C63,1,15)&gt;=$V$55,$Y$55*(1+($U$55)/100)^MAX(0,$C63-$AB$55),0)))))</f>
      </c>
      <c r="F63" s="43">
        <f>IF($S$55=0,0,IF(OR(DATE($C63,2,15)&lt;$S$55,AND($T$55&gt;0,DATE($C63,2,15)&gt;$T$55)),0,IF(DATE($C63,2,15)&gt;=$X$55,$AA$55*(1+($U$55)/100)^MAX(0,$C63-$AD$55),IF(DATE($C63,2,15)&gt;=$W$55,$Z$55*(1+($U$55)/100)^MAX(0,$C63-$AC$55),IF(DATE($C63,2,15)&gt;=$V$55,$Y$55*(1+($U$55)/100)^MAX(0,$C63-$AB$55),0)))))</f>
      </c>
      <c r="G63" s="43">
        <f>IF($S$55=0,0,IF(OR(DATE($C63,3,15)&lt;$S$55,AND($T$55&gt;0,DATE($C63,3,15)&gt;$T$55)),0,IF(DATE($C63,3,15)&gt;=$X$55,$AA$55*(1+($U$55)/100)^MAX(0,$C63-$AD$55),IF(DATE($C63,3,15)&gt;=$W$55,$Z$55*(1+($U$55)/100)^MAX(0,$C63-$AC$55),IF(DATE($C63,3,15)&gt;=$V$55,$Y$55*(1+($U$55)/100)^MAX(0,$C63-$AB$55),0)))))</f>
      </c>
      <c r="H63" s="43">
        <f>IF($S$55=0,0,IF(OR(DATE($C63,4,15)&lt;$S$55,AND($T$55&gt;0,DATE($C63,4,15)&gt;$T$55)),0,IF(DATE($C63,4,15)&gt;=$X$55,$AA$55*(1+($U$55)/100)^MAX(0,$C63-$AD$55),IF(DATE($C63,4,15)&gt;=$W$55,$Z$55*(1+($U$55)/100)^MAX(0,$C63-$AC$55),IF(DATE($C63,4,15)&gt;=$V$55,$Y$55*(1+($U$55)/100)^MAX(0,$C63-$AB$55),0)))))</f>
      </c>
      <c r="I63" s="43">
        <f>IF($S$55=0,0,IF(OR(DATE($C63,5,15)&lt;$S$55,AND($T$55&gt;0,DATE($C63,5,15)&gt;$T$55)),0,IF(DATE($C63,5,15)&gt;=$X$55,$AA$55*(1+($U$55)/100)^MAX(0,$C63-$AD$55),IF(DATE($C63,5,15)&gt;=$W$55,$Z$55*(1+($U$55)/100)^MAX(0,$C63-$AC$55),IF(DATE($C63,5,15)&gt;=$V$55,$Y$55*(1+($U$55)/100)^MAX(0,$C63-$AB$55),0)))))</f>
      </c>
      <c r="J63" s="43">
        <f>IF($S$55=0,0,IF(OR(DATE($C63,6,15)&lt;$S$55,AND($T$55&gt;0,DATE($C63,6,15)&gt;$T$55)),0,IF(DATE($C63,6,15)&gt;=$X$55,$AA$55*(1+($U$55)/100)^MAX(0,$C63-$AD$55),IF(DATE($C63,6,15)&gt;=$W$55,$Z$55*(1+($U$55)/100)^MAX(0,$C63-$AC$55),IF(DATE($C63,6,15)&gt;=$V$55,$Y$55*(1+($U$55)/100)^MAX(0,$C63-$AB$55),0)))))</f>
      </c>
      <c r="K63" s="43">
        <f>IF($S$55=0,0,IF(OR(DATE($C63,7,15)&lt;$S$55,AND($T$55&gt;0,DATE($C63,7,15)&gt;$T$55)),0,IF(DATE($C63,7,15)&gt;=$X$55,$AA$55*(1+($U$55)/100)^MAX(0,$C63-$AD$55),IF(DATE($C63,7,15)&gt;=$W$55,$Z$55*(1+($U$55)/100)^MAX(0,$C63-$AC$55),IF(DATE($C63,7,15)&gt;=$V$55,$Y$55*(1+($U$55)/100)^MAX(0,$C63-$AB$55),0)))))</f>
      </c>
      <c r="L63" s="43">
        <f>IF($S$55=0,0,IF(OR(DATE($C63,8,15)&lt;$S$55,AND($T$55&gt;0,DATE($C63,8,15)&gt;$T$55)),0,IF(DATE($C63,8,15)&gt;=$X$55,$AA$55*(1+($U$55)/100)^MAX(0,$C63-$AD$55),IF(DATE($C63,8,15)&gt;=$W$55,$Z$55*(1+($U$55)/100)^MAX(0,$C63-$AC$55),IF(DATE($C63,8,15)&gt;=$V$55,$Y$55*(1+($U$55)/100)^MAX(0,$C63-$AB$55),0)))))</f>
      </c>
      <c r="M63" s="43">
        <f>IF($S$55=0,0,IF(OR(DATE($C63,9,15)&lt;$S$55,AND($T$55&gt;0,DATE($C63,9,15)&gt;$T$55)),0,IF(DATE($C63,9,15)&gt;=$X$55,$AA$55*(1+($U$55)/100)^MAX(0,$C63-$AD$55),IF(DATE($C63,9,15)&gt;=$W$55,$Z$55*(1+($U$55)/100)^MAX(0,$C63-$AC$55),IF(DATE($C63,9,15)&gt;=$V$55,$Y$55*(1+($U$55)/100)^MAX(0,$C63-$AB$55),0)))))</f>
      </c>
      <c r="N63" s="43">
        <f>IF($S$55=0,0,IF(OR(DATE($C63,10,15)&lt;$S$55,AND($T$55&gt;0,DATE($C63,10,15)&gt;$T$55)),0,IF(DATE($C63,10,15)&gt;=$X$55,$AA$55*(1+($U$55)/100)^MAX(0,$C63-$AD$55),IF(DATE($C63,10,15)&gt;=$W$55,$Z$55*(1+($U$55)/100)^MAX(0,$C63-$AC$55),IF(DATE($C63,10,15)&gt;=$V$55,$Y$55*(1+($U$55)/100)^MAX(0,$C63-$AB$55),0)))))</f>
      </c>
      <c r="O63" s="43">
        <f>IF($S$55=0,0,IF(OR(DATE($C63,11,15)&lt;$S$55,AND($T$55&gt;0,DATE($C63,11,15)&gt;$T$55)),0,IF(DATE($C63,11,15)&gt;=$X$55,$AA$55*(1+($U$55)/100)^MAX(0,$C63-$AD$55),IF(DATE($C63,11,15)&gt;=$W$55,$Z$55*(1+($U$55)/100)^MAX(0,$C63-$AC$55),IF(DATE($C63,11,15)&gt;=$V$55,$Y$55*(1+($U$55)/100)^MAX(0,$C63-$AB$55),0)))))</f>
      </c>
      <c r="P63" s="43">
        <f>IF($S$55=0,0,IF(OR(DATE($C63,12,15)&lt;$S$55,AND($T$55&gt;0,DATE($C63,12,15)&gt;$T$55)),0,IF(DATE($C63,12,15)&gt;=$X$55,$AA$55*(1+($U$55)/100)^MAX(0,$C63-$AD$55),IF(DATE($C63,12,15)&gt;=$W$55,$Z$55*(1+($U$55)/100)^MAX(0,$C63-$AC$55),IF(DATE($C63,12,15)&gt;=$V$55,$Y$55*(1+($U$55)/100)^MAX(0,$C63-$AB$55),0)))))</f>
      </c>
      <c r="Q63" s="43">
        <f>SUM($E63:$P63)</f>
      </c>
    </row>
    <row r="64">
      <c r="A64"/>
      <c r="B64">
        <v>2</v>
      </c>
      <c r="C64" s="43">
        <f>Jahr+9</f>
      </c>
      <c r="D64" s="43">
        <f>INDEX(MvObj,2)</f>
      </c>
      <c r="E64" s="43">
        <f>IF($S$55=0,0,IF(OR(DATE($C64,1,15)&lt;$S$55,AND($T$55&gt;0,DATE($C64,1,15)&gt;$T$55)),0,IF(DATE($C64,1,15)&gt;=$X$55,$AA$55*(1+($U$55)/100)^MAX(0,$C64-$AD$55),IF(DATE($C64,1,15)&gt;=$W$55,$Z$55*(1+($U$55)/100)^MAX(0,$C64-$AC$55),IF(DATE($C64,1,15)&gt;=$V$55,$Y$55*(1+($U$55)/100)^MAX(0,$C64-$AB$55),0)))))</f>
      </c>
      <c r="F64" s="43">
        <f>IF($S$55=0,0,IF(OR(DATE($C64,2,15)&lt;$S$55,AND($T$55&gt;0,DATE($C64,2,15)&gt;$T$55)),0,IF(DATE($C64,2,15)&gt;=$X$55,$AA$55*(1+($U$55)/100)^MAX(0,$C64-$AD$55),IF(DATE($C64,2,15)&gt;=$W$55,$Z$55*(1+($U$55)/100)^MAX(0,$C64-$AC$55),IF(DATE($C64,2,15)&gt;=$V$55,$Y$55*(1+($U$55)/100)^MAX(0,$C64-$AB$55),0)))))</f>
      </c>
      <c r="G64" s="43">
        <f>IF($S$55=0,0,IF(OR(DATE($C64,3,15)&lt;$S$55,AND($T$55&gt;0,DATE($C64,3,15)&gt;$T$55)),0,IF(DATE($C64,3,15)&gt;=$X$55,$AA$55*(1+($U$55)/100)^MAX(0,$C64-$AD$55),IF(DATE($C64,3,15)&gt;=$W$55,$Z$55*(1+($U$55)/100)^MAX(0,$C64-$AC$55),IF(DATE($C64,3,15)&gt;=$V$55,$Y$55*(1+($U$55)/100)^MAX(0,$C64-$AB$55),0)))))</f>
      </c>
      <c r="H64" s="43">
        <f>IF($S$55=0,0,IF(OR(DATE($C64,4,15)&lt;$S$55,AND($T$55&gt;0,DATE($C64,4,15)&gt;$T$55)),0,IF(DATE($C64,4,15)&gt;=$X$55,$AA$55*(1+($U$55)/100)^MAX(0,$C64-$AD$55),IF(DATE($C64,4,15)&gt;=$W$55,$Z$55*(1+($U$55)/100)^MAX(0,$C64-$AC$55),IF(DATE($C64,4,15)&gt;=$V$55,$Y$55*(1+($U$55)/100)^MAX(0,$C64-$AB$55),0)))))</f>
      </c>
      <c r="I64" s="43">
        <f>IF($S$55=0,0,IF(OR(DATE($C64,5,15)&lt;$S$55,AND($T$55&gt;0,DATE($C64,5,15)&gt;$T$55)),0,IF(DATE($C64,5,15)&gt;=$X$55,$AA$55*(1+($U$55)/100)^MAX(0,$C64-$AD$55),IF(DATE($C64,5,15)&gt;=$W$55,$Z$55*(1+($U$55)/100)^MAX(0,$C64-$AC$55),IF(DATE($C64,5,15)&gt;=$V$55,$Y$55*(1+($U$55)/100)^MAX(0,$C64-$AB$55),0)))))</f>
      </c>
      <c r="J64" s="43">
        <f>IF($S$55=0,0,IF(OR(DATE($C64,6,15)&lt;$S$55,AND($T$55&gt;0,DATE($C64,6,15)&gt;$T$55)),0,IF(DATE($C64,6,15)&gt;=$X$55,$AA$55*(1+($U$55)/100)^MAX(0,$C64-$AD$55),IF(DATE($C64,6,15)&gt;=$W$55,$Z$55*(1+($U$55)/100)^MAX(0,$C64-$AC$55),IF(DATE($C64,6,15)&gt;=$V$55,$Y$55*(1+($U$55)/100)^MAX(0,$C64-$AB$55),0)))))</f>
      </c>
      <c r="K64" s="43">
        <f>IF($S$55=0,0,IF(OR(DATE($C64,7,15)&lt;$S$55,AND($T$55&gt;0,DATE($C64,7,15)&gt;$T$55)),0,IF(DATE($C64,7,15)&gt;=$X$55,$AA$55*(1+($U$55)/100)^MAX(0,$C64-$AD$55),IF(DATE($C64,7,15)&gt;=$W$55,$Z$55*(1+($U$55)/100)^MAX(0,$C64-$AC$55),IF(DATE($C64,7,15)&gt;=$V$55,$Y$55*(1+($U$55)/100)^MAX(0,$C64-$AB$55),0)))))</f>
      </c>
      <c r="L64" s="43">
        <f>IF($S$55=0,0,IF(OR(DATE($C64,8,15)&lt;$S$55,AND($T$55&gt;0,DATE($C64,8,15)&gt;$T$55)),0,IF(DATE($C64,8,15)&gt;=$X$55,$AA$55*(1+($U$55)/100)^MAX(0,$C64-$AD$55),IF(DATE($C64,8,15)&gt;=$W$55,$Z$55*(1+($U$55)/100)^MAX(0,$C64-$AC$55),IF(DATE($C64,8,15)&gt;=$V$55,$Y$55*(1+($U$55)/100)^MAX(0,$C64-$AB$55),0)))))</f>
      </c>
      <c r="M64" s="43">
        <f>IF($S$55=0,0,IF(OR(DATE($C64,9,15)&lt;$S$55,AND($T$55&gt;0,DATE($C64,9,15)&gt;$T$55)),0,IF(DATE($C64,9,15)&gt;=$X$55,$AA$55*(1+($U$55)/100)^MAX(0,$C64-$AD$55),IF(DATE($C64,9,15)&gt;=$W$55,$Z$55*(1+($U$55)/100)^MAX(0,$C64-$AC$55),IF(DATE($C64,9,15)&gt;=$V$55,$Y$55*(1+($U$55)/100)^MAX(0,$C64-$AB$55),0)))))</f>
      </c>
      <c r="N64" s="43">
        <f>IF($S$55=0,0,IF(OR(DATE($C64,10,15)&lt;$S$55,AND($T$55&gt;0,DATE($C64,10,15)&gt;$T$55)),0,IF(DATE($C64,10,15)&gt;=$X$55,$AA$55*(1+($U$55)/100)^MAX(0,$C64-$AD$55),IF(DATE($C64,10,15)&gt;=$W$55,$Z$55*(1+($U$55)/100)^MAX(0,$C64-$AC$55),IF(DATE($C64,10,15)&gt;=$V$55,$Y$55*(1+($U$55)/100)^MAX(0,$C64-$AB$55),0)))))</f>
      </c>
      <c r="O64" s="43">
        <f>IF($S$55=0,0,IF(OR(DATE($C64,11,15)&lt;$S$55,AND($T$55&gt;0,DATE($C64,11,15)&gt;$T$55)),0,IF(DATE($C64,11,15)&gt;=$X$55,$AA$55*(1+($U$55)/100)^MAX(0,$C64-$AD$55),IF(DATE($C64,11,15)&gt;=$W$55,$Z$55*(1+($U$55)/100)^MAX(0,$C64-$AC$55),IF(DATE($C64,11,15)&gt;=$V$55,$Y$55*(1+($U$55)/100)^MAX(0,$C64-$AB$55),0)))))</f>
      </c>
      <c r="P64" s="43">
        <f>IF($S$55=0,0,IF(OR(DATE($C64,12,15)&lt;$S$55,AND($T$55&gt;0,DATE($C64,12,15)&gt;$T$55)),0,IF(DATE($C64,12,15)&gt;=$X$55,$AA$55*(1+($U$55)/100)^MAX(0,$C64-$AD$55),IF(DATE($C64,12,15)&gt;=$W$55,$Z$55*(1+($U$55)/100)^MAX(0,$C64-$AC$55),IF(DATE($C64,12,15)&gt;=$V$55,$Y$55*(1+($U$55)/100)^MAX(0,$C64-$AB$55),0)))))</f>
      </c>
      <c r="Q64" s="43">
        <f>SUM($E64:$P64)</f>
      </c>
    </row>
    <row r="65">
      <c r="A65"/>
      <c r="B65">
        <v>2</v>
      </c>
      <c r="C65" s="43">
        <f>Jahr+10</f>
      </c>
      <c r="D65" s="43">
        <f>INDEX(MvObj,2)</f>
      </c>
      <c r="E65" s="43">
        <f>IF($S$55=0,0,IF(OR(DATE($C65,1,15)&lt;$S$55,AND($T$55&gt;0,DATE($C65,1,15)&gt;$T$55)),0,IF(DATE($C65,1,15)&gt;=$X$55,$AA$55*(1+($U$55)/100)^MAX(0,$C65-$AD$55),IF(DATE($C65,1,15)&gt;=$W$55,$Z$55*(1+($U$55)/100)^MAX(0,$C65-$AC$55),IF(DATE($C65,1,15)&gt;=$V$55,$Y$55*(1+($U$55)/100)^MAX(0,$C65-$AB$55),0)))))</f>
      </c>
      <c r="F65" s="43">
        <f>IF($S$55=0,0,IF(OR(DATE($C65,2,15)&lt;$S$55,AND($T$55&gt;0,DATE($C65,2,15)&gt;$T$55)),0,IF(DATE($C65,2,15)&gt;=$X$55,$AA$55*(1+($U$55)/100)^MAX(0,$C65-$AD$55),IF(DATE($C65,2,15)&gt;=$W$55,$Z$55*(1+($U$55)/100)^MAX(0,$C65-$AC$55),IF(DATE($C65,2,15)&gt;=$V$55,$Y$55*(1+($U$55)/100)^MAX(0,$C65-$AB$55),0)))))</f>
      </c>
      <c r="G65" s="43">
        <f>IF($S$55=0,0,IF(OR(DATE($C65,3,15)&lt;$S$55,AND($T$55&gt;0,DATE($C65,3,15)&gt;$T$55)),0,IF(DATE($C65,3,15)&gt;=$X$55,$AA$55*(1+($U$55)/100)^MAX(0,$C65-$AD$55),IF(DATE($C65,3,15)&gt;=$W$55,$Z$55*(1+($U$55)/100)^MAX(0,$C65-$AC$55),IF(DATE($C65,3,15)&gt;=$V$55,$Y$55*(1+($U$55)/100)^MAX(0,$C65-$AB$55),0)))))</f>
      </c>
      <c r="H65" s="43">
        <f>IF($S$55=0,0,IF(OR(DATE($C65,4,15)&lt;$S$55,AND($T$55&gt;0,DATE($C65,4,15)&gt;$T$55)),0,IF(DATE($C65,4,15)&gt;=$X$55,$AA$55*(1+($U$55)/100)^MAX(0,$C65-$AD$55),IF(DATE($C65,4,15)&gt;=$W$55,$Z$55*(1+($U$55)/100)^MAX(0,$C65-$AC$55),IF(DATE($C65,4,15)&gt;=$V$55,$Y$55*(1+($U$55)/100)^MAX(0,$C65-$AB$55),0)))))</f>
      </c>
      <c r="I65" s="43">
        <f>IF($S$55=0,0,IF(OR(DATE($C65,5,15)&lt;$S$55,AND($T$55&gt;0,DATE($C65,5,15)&gt;$T$55)),0,IF(DATE($C65,5,15)&gt;=$X$55,$AA$55*(1+($U$55)/100)^MAX(0,$C65-$AD$55),IF(DATE($C65,5,15)&gt;=$W$55,$Z$55*(1+($U$55)/100)^MAX(0,$C65-$AC$55),IF(DATE($C65,5,15)&gt;=$V$55,$Y$55*(1+($U$55)/100)^MAX(0,$C65-$AB$55),0)))))</f>
      </c>
      <c r="J65" s="43">
        <f>IF($S$55=0,0,IF(OR(DATE($C65,6,15)&lt;$S$55,AND($T$55&gt;0,DATE($C65,6,15)&gt;$T$55)),0,IF(DATE($C65,6,15)&gt;=$X$55,$AA$55*(1+($U$55)/100)^MAX(0,$C65-$AD$55),IF(DATE($C65,6,15)&gt;=$W$55,$Z$55*(1+($U$55)/100)^MAX(0,$C65-$AC$55),IF(DATE($C65,6,15)&gt;=$V$55,$Y$55*(1+($U$55)/100)^MAX(0,$C65-$AB$55),0)))))</f>
      </c>
      <c r="K65" s="43">
        <f>IF($S$55=0,0,IF(OR(DATE($C65,7,15)&lt;$S$55,AND($T$55&gt;0,DATE($C65,7,15)&gt;$T$55)),0,IF(DATE($C65,7,15)&gt;=$X$55,$AA$55*(1+($U$55)/100)^MAX(0,$C65-$AD$55),IF(DATE($C65,7,15)&gt;=$W$55,$Z$55*(1+($U$55)/100)^MAX(0,$C65-$AC$55),IF(DATE($C65,7,15)&gt;=$V$55,$Y$55*(1+($U$55)/100)^MAX(0,$C65-$AB$55),0)))))</f>
      </c>
      <c r="L65" s="43">
        <f>IF($S$55=0,0,IF(OR(DATE($C65,8,15)&lt;$S$55,AND($T$55&gt;0,DATE($C65,8,15)&gt;$T$55)),0,IF(DATE($C65,8,15)&gt;=$X$55,$AA$55*(1+($U$55)/100)^MAX(0,$C65-$AD$55),IF(DATE($C65,8,15)&gt;=$W$55,$Z$55*(1+($U$55)/100)^MAX(0,$C65-$AC$55),IF(DATE($C65,8,15)&gt;=$V$55,$Y$55*(1+($U$55)/100)^MAX(0,$C65-$AB$55),0)))))</f>
      </c>
      <c r="M65" s="43">
        <f>IF($S$55=0,0,IF(OR(DATE($C65,9,15)&lt;$S$55,AND($T$55&gt;0,DATE($C65,9,15)&gt;$T$55)),0,IF(DATE($C65,9,15)&gt;=$X$55,$AA$55*(1+($U$55)/100)^MAX(0,$C65-$AD$55),IF(DATE($C65,9,15)&gt;=$W$55,$Z$55*(1+($U$55)/100)^MAX(0,$C65-$AC$55),IF(DATE($C65,9,15)&gt;=$V$55,$Y$55*(1+($U$55)/100)^MAX(0,$C65-$AB$55),0)))))</f>
      </c>
      <c r="N65" s="43">
        <f>IF($S$55=0,0,IF(OR(DATE($C65,10,15)&lt;$S$55,AND($T$55&gt;0,DATE($C65,10,15)&gt;$T$55)),0,IF(DATE($C65,10,15)&gt;=$X$55,$AA$55*(1+($U$55)/100)^MAX(0,$C65-$AD$55),IF(DATE($C65,10,15)&gt;=$W$55,$Z$55*(1+($U$55)/100)^MAX(0,$C65-$AC$55),IF(DATE($C65,10,15)&gt;=$V$55,$Y$55*(1+($U$55)/100)^MAX(0,$C65-$AB$55),0)))))</f>
      </c>
      <c r="O65" s="43">
        <f>IF($S$55=0,0,IF(OR(DATE($C65,11,15)&lt;$S$55,AND($T$55&gt;0,DATE($C65,11,15)&gt;$T$55)),0,IF(DATE($C65,11,15)&gt;=$X$55,$AA$55*(1+($U$55)/100)^MAX(0,$C65-$AD$55),IF(DATE($C65,11,15)&gt;=$W$55,$Z$55*(1+($U$55)/100)^MAX(0,$C65-$AC$55),IF(DATE($C65,11,15)&gt;=$V$55,$Y$55*(1+($U$55)/100)^MAX(0,$C65-$AB$55),0)))))</f>
      </c>
      <c r="P65" s="43">
        <f>IF($S$55=0,0,IF(OR(DATE($C65,12,15)&lt;$S$55,AND($T$55&gt;0,DATE($C65,12,15)&gt;$T$55)),0,IF(DATE($C65,12,15)&gt;=$X$55,$AA$55*(1+($U$55)/100)^MAX(0,$C65-$AD$55),IF(DATE($C65,12,15)&gt;=$W$55,$Z$55*(1+($U$55)/100)^MAX(0,$C65-$AC$55),IF(DATE($C65,12,15)&gt;=$V$55,$Y$55*(1+($U$55)/100)^MAX(0,$C65-$AB$55),0)))))</f>
      </c>
      <c r="Q65" s="43">
        <f>SUM($E65:$P65)</f>
      </c>
    </row>
    <row r="66">
      <c r="A66"/>
      <c r="B66">
        <v>2</v>
      </c>
      <c r="C66" s="43">
        <f>Jahr+11</f>
      </c>
      <c r="D66" s="43">
        <f>INDEX(MvObj,2)</f>
      </c>
      <c r="E66" s="43">
        <f>IF($S$55=0,0,IF(OR(DATE($C66,1,15)&lt;$S$55,AND($T$55&gt;0,DATE($C66,1,15)&gt;$T$55)),0,IF(DATE($C66,1,15)&gt;=$X$55,$AA$55*(1+($U$55)/100)^MAX(0,$C66-$AD$55),IF(DATE($C66,1,15)&gt;=$W$55,$Z$55*(1+($U$55)/100)^MAX(0,$C66-$AC$55),IF(DATE($C66,1,15)&gt;=$V$55,$Y$55*(1+($U$55)/100)^MAX(0,$C66-$AB$55),0)))))</f>
      </c>
      <c r="F66" s="43">
        <f>IF($S$55=0,0,IF(OR(DATE($C66,2,15)&lt;$S$55,AND($T$55&gt;0,DATE($C66,2,15)&gt;$T$55)),0,IF(DATE($C66,2,15)&gt;=$X$55,$AA$55*(1+($U$55)/100)^MAX(0,$C66-$AD$55),IF(DATE($C66,2,15)&gt;=$W$55,$Z$55*(1+($U$55)/100)^MAX(0,$C66-$AC$55),IF(DATE($C66,2,15)&gt;=$V$55,$Y$55*(1+($U$55)/100)^MAX(0,$C66-$AB$55),0)))))</f>
      </c>
      <c r="G66" s="43">
        <f>IF($S$55=0,0,IF(OR(DATE($C66,3,15)&lt;$S$55,AND($T$55&gt;0,DATE($C66,3,15)&gt;$T$55)),0,IF(DATE($C66,3,15)&gt;=$X$55,$AA$55*(1+($U$55)/100)^MAX(0,$C66-$AD$55),IF(DATE($C66,3,15)&gt;=$W$55,$Z$55*(1+($U$55)/100)^MAX(0,$C66-$AC$55),IF(DATE($C66,3,15)&gt;=$V$55,$Y$55*(1+($U$55)/100)^MAX(0,$C66-$AB$55),0)))))</f>
      </c>
      <c r="H66" s="43">
        <f>IF($S$55=0,0,IF(OR(DATE($C66,4,15)&lt;$S$55,AND($T$55&gt;0,DATE($C66,4,15)&gt;$T$55)),0,IF(DATE($C66,4,15)&gt;=$X$55,$AA$55*(1+($U$55)/100)^MAX(0,$C66-$AD$55),IF(DATE($C66,4,15)&gt;=$W$55,$Z$55*(1+($U$55)/100)^MAX(0,$C66-$AC$55),IF(DATE($C66,4,15)&gt;=$V$55,$Y$55*(1+($U$55)/100)^MAX(0,$C66-$AB$55),0)))))</f>
      </c>
      <c r="I66" s="43">
        <f>IF($S$55=0,0,IF(OR(DATE($C66,5,15)&lt;$S$55,AND($T$55&gt;0,DATE($C66,5,15)&gt;$T$55)),0,IF(DATE($C66,5,15)&gt;=$X$55,$AA$55*(1+($U$55)/100)^MAX(0,$C66-$AD$55),IF(DATE($C66,5,15)&gt;=$W$55,$Z$55*(1+($U$55)/100)^MAX(0,$C66-$AC$55),IF(DATE($C66,5,15)&gt;=$V$55,$Y$55*(1+($U$55)/100)^MAX(0,$C66-$AB$55),0)))))</f>
      </c>
      <c r="J66" s="43">
        <f>IF($S$55=0,0,IF(OR(DATE($C66,6,15)&lt;$S$55,AND($T$55&gt;0,DATE($C66,6,15)&gt;$T$55)),0,IF(DATE($C66,6,15)&gt;=$X$55,$AA$55*(1+($U$55)/100)^MAX(0,$C66-$AD$55),IF(DATE($C66,6,15)&gt;=$W$55,$Z$55*(1+($U$55)/100)^MAX(0,$C66-$AC$55),IF(DATE($C66,6,15)&gt;=$V$55,$Y$55*(1+($U$55)/100)^MAX(0,$C66-$AB$55),0)))))</f>
      </c>
      <c r="K66" s="43">
        <f>IF($S$55=0,0,IF(OR(DATE($C66,7,15)&lt;$S$55,AND($T$55&gt;0,DATE($C66,7,15)&gt;$T$55)),0,IF(DATE($C66,7,15)&gt;=$X$55,$AA$55*(1+($U$55)/100)^MAX(0,$C66-$AD$55),IF(DATE($C66,7,15)&gt;=$W$55,$Z$55*(1+($U$55)/100)^MAX(0,$C66-$AC$55),IF(DATE($C66,7,15)&gt;=$V$55,$Y$55*(1+($U$55)/100)^MAX(0,$C66-$AB$55),0)))))</f>
      </c>
      <c r="L66" s="43">
        <f>IF($S$55=0,0,IF(OR(DATE($C66,8,15)&lt;$S$55,AND($T$55&gt;0,DATE($C66,8,15)&gt;$T$55)),0,IF(DATE($C66,8,15)&gt;=$X$55,$AA$55*(1+($U$55)/100)^MAX(0,$C66-$AD$55),IF(DATE($C66,8,15)&gt;=$W$55,$Z$55*(1+($U$55)/100)^MAX(0,$C66-$AC$55),IF(DATE($C66,8,15)&gt;=$V$55,$Y$55*(1+($U$55)/100)^MAX(0,$C66-$AB$55),0)))))</f>
      </c>
      <c r="M66" s="43">
        <f>IF($S$55=0,0,IF(OR(DATE($C66,9,15)&lt;$S$55,AND($T$55&gt;0,DATE($C66,9,15)&gt;$T$55)),0,IF(DATE($C66,9,15)&gt;=$X$55,$AA$55*(1+($U$55)/100)^MAX(0,$C66-$AD$55),IF(DATE($C66,9,15)&gt;=$W$55,$Z$55*(1+($U$55)/100)^MAX(0,$C66-$AC$55),IF(DATE($C66,9,15)&gt;=$V$55,$Y$55*(1+($U$55)/100)^MAX(0,$C66-$AB$55),0)))))</f>
      </c>
      <c r="N66" s="43">
        <f>IF($S$55=0,0,IF(OR(DATE($C66,10,15)&lt;$S$55,AND($T$55&gt;0,DATE($C66,10,15)&gt;$T$55)),0,IF(DATE($C66,10,15)&gt;=$X$55,$AA$55*(1+($U$55)/100)^MAX(0,$C66-$AD$55),IF(DATE($C66,10,15)&gt;=$W$55,$Z$55*(1+($U$55)/100)^MAX(0,$C66-$AC$55),IF(DATE($C66,10,15)&gt;=$V$55,$Y$55*(1+($U$55)/100)^MAX(0,$C66-$AB$55),0)))))</f>
      </c>
      <c r="O66" s="43">
        <f>IF($S$55=0,0,IF(OR(DATE($C66,11,15)&lt;$S$55,AND($T$55&gt;0,DATE($C66,11,15)&gt;$T$55)),0,IF(DATE($C66,11,15)&gt;=$X$55,$AA$55*(1+($U$55)/100)^MAX(0,$C66-$AD$55),IF(DATE($C66,11,15)&gt;=$W$55,$Z$55*(1+($U$55)/100)^MAX(0,$C66-$AC$55),IF(DATE($C66,11,15)&gt;=$V$55,$Y$55*(1+($U$55)/100)^MAX(0,$C66-$AB$55),0)))))</f>
      </c>
      <c r="P66" s="43">
        <f>IF($S$55=0,0,IF(OR(DATE($C66,12,15)&lt;$S$55,AND($T$55&gt;0,DATE($C66,12,15)&gt;$T$55)),0,IF(DATE($C66,12,15)&gt;=$X$55,$AA$55*(1+($U$55)/100)^MAX(0,$C66-$AD$55),IF(DATE($C66,12,15)&gt;=$W$55,$Z$55*(1+($U$55)/100)^MAX(0,$C66-$AC$55),IF(DATE($C66,12,15)&gt;=$V$55,$Y$55*(1+($U$55)/100)^MAX(0,$C66-$AB$55),0)))))</f>
      </c>
      <c r="Q66" s="43">
        <f>SUM($E66:$P66)</f>
      </c>
    </row>
    <row r="67">
      <c r="A67"/>
      <c r="B67">
        <v>2</v>
      </c>
      <c r="C67" s="43">
        <f>Jahr+12</f>
      </c>
      <c r="D67" s="43">
        <f>INDEX(MvObj,2)</f>
      </c>
      <c r="E67" s="43">
        <f>IF($S$55=0,0,IF(OR(DATE($C67,1,15)&lt;$S$55,AND($T$55&gt;0,DATE($C67,1,15)&gt;$T$55)),0,IF(DATE($C67,1,15)&gt;=$X$55,$AA$55*(1+($U$55)/100)^MAX(0,$C67-$AD$55),IF(DATE($C67,1,15)&gt;=$W$55,$Z$55*(1+($U$55)/100)^MAX(0,$C67-$AC$55),IF(DATE($C67,1,15)&gt;=$V$55,$Y$55*(1+($U$55)/100)^MAX(0,$C67-$AB$55),0)))))</f>
      </c>
      <c r="F67" s="43">
        <f>IF($S$55=0,0,IF(OR(DATE($C67,2,15)&lt;$S$55,AND($T$55&gt;0,DATE($C67,2,15)&gt;$T$55)),0,IF(DATE($C67,2,15)&gt;=$X$55,$AA$55*(1+($U$55)/100)^MAX(0,$C67-$AD$55),IF(DATE($C67,2,15)&gt;=$W$55,$Z$55*(1+($U$55)/100)^MAX(0,$C67-$AC$55),IF(DATE($C67,2,15)&gt;=$V$55,$Y$55*(1+($U$55)/100)^MAX(0,$C67-$AB$55),0)))))</f>
      </c>
      <c r="G67" s="43">
        <f>IF($S$55=0,0,IF(OR(DATE($C67,3,15)&lt;$S$55,AND($T$55&gt;0,DATE($C67,3,15)&gt;$T$55)),0,IF(DATE($C67,3,15)&gt;=$X$55,$AA$55*(1+($U$55)/100)^MAX(0,$C67-$AD$55),IF(DATE($C67,3,15)&gt;=$W$55,$Z$55*(1+($U$55)/100)^MAX(0,$C67-$AC$55),IF(DATE($C67,3,15)&gt;=$V$55,$Y$55*(1+($U$55)/100)^MAX(0,$C67-$AB$55),0)))))</f>
      </c>
      <c r="H67" s="43">
        <f>IF($S$55=0,0,IF(OR(DATE($C67,4,15)&lt;$S$55,AND($T$55&gt;0,DATE($C67,4,15)&gt;$T$55)),0,IF(DATE($C67,4,15)&gt;=$X$55,$AA$55*(1+($U$55)/100)^MAX(0,$C67-$AD$55),IF(DATE($C67,4,15)&gt;=$W$55,$Z$55*(1+($U$55)/100)^MAX(0,$C67-$AC$55),IF(DATE($C67,4,15)&gt;=$V$55,$Y$55*(1+($U$55)/100)^MAX(0,$C67-$AB$55),0)))))</f>
      </c>
      <c r="I67" s="43">
        <f>IF($S$55=0,0,IF(OR(DATE($C67,5,15)&lt;$S$55,AND($T$55&gt;0,DATE($C67,5,15)&gt;$T$55)),0,IF(DATE($C67,5,15)&gt;=$X$55,$AA$55*(1+($U$55)/100)^MAX(0,$C67-$AD$55),IF(DATE($C67,5,15)&gt;=$W$55,$Z$55*(1+($U$55)/100)^MAX(0,$C67-$AC$55),IF(DATE($C67,5,15)&gt;=$V$55,$Y$55*(1+($U$55)/100)^MAX(0,$C67-$AB$55),0)))))</f>
      </c>
      <c r="J67" s="43">
        <f>IF($S$55=0,0,IF(OR(DATE($C67,6,15)&lt;$S$55,AND($T$55&gt;0,DATE($C67,6,15)&gt;$T$55)),0,IF(DATE($C67,6,15)&gt;=$X$55,$AA$55*(1+($U$55)/100)^MAX(0,$C67-$AD$55),IF(DATE($C67,6,15)&gt;=$W$55,$Z$55*(1+($U$55)/100)^MAX(0,$C67-$AC$55),IF(DATE($C67,6,15)&gt;=$V$55,$Y$55*(1+($U$55)/100)^MAX(0,$C67-$AB$55),0)))))</f>
      </c>
      <c r="K67" s="43">
        <f>IF($S$55=0,0,IF(OR(DATE($C67,7,15)&lt;$S$55,AND($T$55&gt;0,DATE($C67,7,15)&gt;$T$55)),0,IF(DATE($C67,7,15)&gt;=$X$55,$AA$55*(1+($U$55)/100)^MAX(0,$C67-$AD$55),IF(DATE($C67,7,15)&gt;=$W$55,$Z$55*(1+($U$55)/100)^MAX(0,$C67-$AC$55),IF(DATE($C67,7,15)&gt;=$V$55,$Y$55*(1+($U$55)/100)^MAX(0,$C67-$AB$55),0)))))</f>
      </c>
      <c r="L67" s="43">
        <f>IF($S$55=0,0,IF(OR(DATE($C67,8,15)&lt;$S$55,AND($T$55&gt;0,DATE($C67,8,15)&gt;$T$55)),0,IF(DATE($C67,8,15)&gt;=$X$55,$AA$55*(1+($U$55)/100)^MAX(0,$C67-$AD$55),IF(DATE($C67,8,15)&gt;=$W$55,$Z$55*(1+($U$55)/100)^MAX(0,$C67-$AC$55),IF(DATE($C67,8,15)&gt;=$V$55,$Y$55*(1+($U$55)/100)^MAX(0,$C67-$AB$55),0)))))</f>
      </c>
      <c r="M67" s="43">
        <f>IF($S$55=0,0,IF(OR(DATE($C67,9,15)&lt;$S$55,AND($T$55&gt;0,DATE($C67,9,15)&gt;$T$55)),0,IF(DATE($C67,9,15)&gt;=$X$55,$AA$55*(1+($U$55)/100)^MAX(0,$C67-$AD$55),IF(DATE($C67,9,15)&gt;=$W$55,$Z$55*(1+($U$55)/100)^MAX(0,$C67-$AC$55),IF(DATE($C67,9,15)&gt;=$V$55,$Y$55*(1+($U$55)/100)^MAX(0,$C67-$AB$55),0)))))</f>
      </c>
      <c r="N67" s="43">
        <f>IF($S$55=0,0,IF(OR(DATE($C67,10,15)&lt;$S$55,AND($T$55&gt;0,DATE($C67,10,15)&gt;$T$55)),0,IF(DATE($C67,10,15)&gt;=$X$55,$AA$55*(1+($U$55)/100)^MAX(0,$C67-$AD$55),IF(DATE($C67,10,15)&gt;=$W$55,$Z$55*(1+($U$55)/100)^MAX(0,$C67-$AC$55),IF(DATE($C67,10,15)&gt;=$V$55,$Y$55*(1+($U$55)/100)^MAX(0,$C67-$AB$55),0)))))</f>
      </c>
      <c r="O67" s="43">
        <f>IF($S$55=0,0,IF(OR(DATE($C67,11,15)&lt;$S$55,AND($T$55&gt;0,DATE($C67,11,15)&gt;$T$55)),0,IF(DATE($C67,11,15)&gt;=$X$55,$AA$55*(1+($U$55)/100)^MAX(0,$C67-$AD$55),IF(DATE($C67,11,15)&gt;=$W$55,$Z$55*(1+($U$55)/100)^MAX(0,$C67-$AC$55),IF(DATE($C67,11,15)&gt;=$V$55,$Y$55*(1+($U$55)/100)^MAX(0,$C67-$AB$55),0)))))</f>
      </c>
      <c r="P67" s="43">
        <f>IF($S$55=0,0,IF(OR(DATE($C67,12,15)&lt;$S$55,AND($T$55&gt;0,DATE($C67,12,15)&gt;$T$55)),0,IF(DATE($C67,12,15)&gt;=$X$55,$AA$55*(1+($U$55)/100)^MAX(0,$C67-$AD$55),IF(DATE($C67,12,15)&gt;=$W$55,$Z$55*(1+($U$55)/100)^MAX(0,$C67-$AC$55),IF(DATE($C67,12,15)&gt;=$V$55,$Y$55*(1+($U$55)/100)^MAX(0,$C67-$AB$55),0)))))</f>
      </c>
      <c r="Q67" s="43">
        <f>SUM($E67:$P67)</f>
      </c>
    </row>
    <row r="68">
      <c r="A68"/>
      <c r="B68">
        <v>2</v>
      </c>
      <c r="C68" s="43">
        <f>Jahr+13</f>
      </c>
      <c r="D68" s="43">
        <f>INDEX(MvObj,2)</f>
      </c>
      <c r="E68" s="43">
        <f>IF($S$55=0,0,IF(OR(DATE($C68,1,15)&lt;$S$55,AND($T$55&gt;0,DATE($C68,1,15)&gt;$T$55)),0,IF(DATE($C68,1,15)&gt;=$X$55,$AA$55*(1+($U$55)/100)^MAX(0,$C68-$AD$55),IF(DATE($C68,1,15)&gt;=$W$55,$Z$55*(1+($U$55)/100)^MAX(0,$C68-$AC$55),IF(DATE($C68,1,15)&gt;=$V$55,$Y$55*(1+($U$55)/100)^MAX(0,$C68-$AB$55),0)))))</f>
      </c>
      <c r="F68" s="43">
        <f>IF($S$55=0,0,IF(OR(DATE($C68,2,15)&lt;$S$55,AND($T$55&gt;0,DATE($C68,2,15)&gt;$T$55)),0,IF(DATE($C68,2,15)&gt;=$X$55,$AA$55*(1+($U$55)/100)^MAX(0,$C68-$AD$55),IF(DATE($C68,2,15)&gt;=$W$55,$Z$55*(1+($U$55)/100)^MAX(0,$C68-$AC$55),IF(DATE($C68,2,15)&gt;=$V$55,$Y$55*(1+($U$55)/100)^MAX(0,$C68-$AB$55),0)))))</f>
      </c>
      <c r="G68" s="43">
        <f>IF($S$55=0,0,IF(OR(DATE($C68,3,15)&lt;$S$55,AND($T$55&gt;0,DATE($C68,3,15)&gt;$T$55)),0,IF(DATE($C68,3,15)&gt;=$X$55,$AA$55*(1+($U$55)/100)^MAX(0,$C68-$AD$55),IF(DATE($C68,3,15)&gt;=$W$55,$Z$55*(1+($U$55)/100)^MAX(0,$C68-$AC$55),IF(DATE($C68,3,15)&gt;=$V$55,$Y$55*(1+($U$55)/100)^MAX(0,$C68-$AB$55),0)))))</f>
      </c>
      <c r="H68" s="43">
        <f>IF($S$55=0,0,IF(OR(DATE($C68,4,15)&lt;$S$55,AND($T$55&gt;0,DATE($C68,4,15)&gt;$T$55)),0,IF(DATE($C68,4,15)&gt;=$X$55,$AA$55*(1+($U$55)/100)^MAX(0,$C68-$AD$55),IF(DATE($C68,4,15)&gt;=$W$55,$Z$55*(1+($U$55)/100)^MAX(0,$C68-$AC$55),IF(DATE($C68,4,15)&gt;=$V$55,$Y$55*(1+($U$55)/100)^MAX(0,$C68-$AB$55),0)))))</f>
      </c>
      <c r="I68" s="43">
        <f>IF($S$55=0,0,IF(OR(DATE($C68,5,15)&lt;$S$55,AND($T$55&gt;0,DATE($C68,5,15)&gt;$T$55)),0,IF(DATE($C68,5,15)&gt;=$X$55,$AA$55*(1+($U$55)/100)^MAX(0,$C68-$AD$55),IF(DATE($C68,5,15)&gt;=$W$55,$Z$55*(1+($U$55)/100)^MAX(0,$C68-$AC$55),IF(DATE($C68,5,15)&gt;=$V$55,$Y$55*(1+($U$55)/100)^MAX(0,$C68-$AB$55),0)))))</f>
      </c>
      <c r="J68" s="43">
        <f>IF($S$55=0,0,IF(OR(DATE($C68,6,15)&lt;$S$55,AND($T$55&gt;0,DATE($C68,6,15)&gt;$T$55)),0,IF(DATE($C68,6,15)&gt;=$X$55,$AA$55*(1+($U$55)/100)^MAX(0,$C68-$AD$55),IF(DATE($C68,6,15)&gt;=$W$55,$Z$55*(1+($U$55)/100)^MAX(0,$C68-$AC$55),IF(DATE($C68,6,15)&gt;=$V$55,$Y$55*(1+($U$55)/100)^MAX(0,$C68-$AB$55),0)))))</f>
      </c>
      <c r="K68" s="43">
        <f>IF($S$55=0,0,IF(OR(DATE($C68,7,15)&lt;$S$55,AND($T$55&gt;0,DATE($C68,7,15)&gt;$T$55)),0,IF(DATE($C68,7,15)&gt;=$X$55,$AA$55*(1+($U$55)/100)^MAX(0,$C68-$AD$55),IF(DATE($C68,7,15)&gt;=$W$55,$Z$55*(1+($U$55)/100)^MAX(0,$C68-$AC$55),IF(DATE($C68,7,15)&gt;=$V$55,$Y$55*(1+($U$55)/100)^MAX(0,$C68-$AB$55),0)))))</f>
      </c>
      <c r="L68" s="43">
        <f>IF($S$55=0,0,IF(OR(DATE($C68,8,15)&lt;$S$55,AND($T$55&gt;0,DATE($C68,8,15)&gt;$T$55)),0,IF(DATE($C68,8,15)&gt;=$X$55,$AA$55*(1+($U$55)/100)^MAX(0,$C68-$AD$55),IF(DATE($C68,8,15)&gt;=$W$55,$Z$55*(1+($U$55)/100)^MAX(0,$C68-$AC$55),IF(DATE($C68,8,15)&gt;=$V$55,$Y$55*(1+($U$55)/100)^MAX(0,$C68-$AB$55),0)))))</f>
      </c>
      <c r="M68" s="43">
        <f>IF($S$55=0,0,IF(OR(DATE($C68,9,15)&lt;$S$55,AND($T$55&gt;0,DATE($C68,9,15)&gt;$T$55)),0,IF(DATE($C68,9,15)&gt;=$X$55,$AA$55*(1+($U$55)/100)^MAX(0,$C68-$AD$55),IF(DATE($C68,9,15)&gt;=$W$55,$Z$55*(1+($U$55)/100)^MAX(0,$C68-$AC$55),IF(DATE($C68,9,15)&gt;=$V$55,$Y$55*(1+($U$55)/100)^MAX(0,$C68-$AB$55),0)))))</f>
      </c>
      <c r="N68" s="43">
        <f>IF($S$55=0,0,IF(OR(DATE($C68,10,15)&lt;$S$55,AND($T$55&gt;0,DATE($C68,10,15)&gt;$T$55)),0,IF(DATE($C68,10,15)&gt;=$X$55,$AA$55*(1+($U$55)/100)^MAX(0,$C68-$AD$55),IF(DATE($C68,10,15)&gt;=$W$55,$Z$55*(1+($U$55)/100)^MAX(0,$C68-$AC$55),IF(DATE($C68,10,15)&gt;=$V$55,$Y$55*(1+($U$55)/100)^MAX(0,$C68-$AB$55),0)))))</f>
      </c>
      <c r="O68" s="43">
        <f>IF($S$55=0,0,IF(OR(DATE($C68,11,15)&lt;$S$55,AND($T$55&gt;0,DATE($C68,11,15)&gt;$T$55)),0,IF(DATE($C68,11,15)&gt;=$X$55,$AA$55*(1+($U$55)/100)^MAX(0,$C68-$AD$55),IF(DATE($C68,11,15)&gt;=$W$55,$Z$55*(1+($U$55)/100)^MAX(0,$C68-$AC$55),IF(DATE($C68,11,15)&gt;=$V$55,$Y$55*(1+($U$55)/100)^MAX(0,$C68-$AB$55),0)))))</f>
      </c>
      <c r="P68" s="43">
        <f>IF($S$55=0,0,IF(OR(DATE($C68,12,15)&lt;$S$55,AND($T$55&gt;0,DATE($C68,12,15)&gt;$T$55)),0,IF(DATE($C68,12,15)&gt;=$X$55,$AA$55*(1+($U$55)/100)^MAX(0,$C68-$AD$55),IF(DATE($C68,12,15)&gt;=$W$55,$Z$55*(1+($U$55)/100)^MAX(0,$C68-$AC$55),IF(DATE($C68,12,15)&gt;=$V$55,$Y$55*(1+($U$55)/100)^MAX(0,$C68-$AB$55),0)))))</f>
      </c>
      <c r="Q68" s="43">
        <f>SUM($E68:$P68)</f>
      </c>
    </row>
    <row r="69">
      <c r="A69"/>
      <c r="B69">
        <v>2</v>
      </c>
      <c r="C69" s="43">
        <f>Jahr+14</f>
      </c>
      <c r="D69" s="43">
        <f>INDEX(MvObj,2)</f>
      </c>
      <c r="E69" s="43">
        <f>IF($S$55=0,0,IF(OR(DATE($C69,1,15)&lt;$S$55,AND($T$55&gt;0,DATE($C69,1,15)&gt;$T$55)),0,IF(DATE($C69,1,15)&gt;=$X$55,$AA$55*(1+($U$55)/100)^MAX(0,$C69-$AD$55),IF(DATE($C69,1,15)&gt;=$W$55,$Z$55*(1+($U$55)/100)^MAX(0,$C69-$AC$55),IF(DATE($C69,1,15)&gt;=$V$55,$Y$55*(1+($U$55)/100)^MAX(0,$C69-$AB$55),0)))))</f>
      </c>
      <c r="F69" s="43">
        <f>IF($S$55=0,0,IF(OR(DATE($C69,2,15)&lt;$S$55,AND($T$55&gt;0,DATE($C69,2,15)&gt;$T$55)),0,IF(DATE($C69,2,15)&gt;=$X$55,$AA$55*(1+($U$55)/100)^MAX(0,$C69-$AD$55),IF(DATE($C69,2,15)&gt;=$W$55,$Z$55*(1+($U$55)/100)^MAX(0,$C69-$AC$55),IF(DATE($C69,2,15)&gt;=$V$55,$Y$55*(1+($U$55)/100)^MAX(0,$C69-$AB$55),0)))))</f>
      </c>
      <c r="G69" s="43">
        <f>IF($S$55=0,0,IF(OR(DATE($C69,3,15)&lt;$S$55,AND($T$55&gt;0,DATE($C69,3,15)&gt;$T$55)),0,IF(DATE($C69,3,15)&gt;=$X$55,$AA$55*(1+($U$55)/100)^MAX(0,$C69-$AD$55),IF(DATE($C69,3,15)&gt;=$W$55,$Z$55*(1+($U$55)/100)^MAX(0,$C69-$AC$55),IF(DATE($C69,3,15)&gt;=$V$55,$Y$55*(1+($U$55)/100)^MAX(0,$C69-$AB$55),0)))))</f>
      </c>
      <c r="H69" s="43">
        <f>IF($S$55=0,0,IF(OR(DATE($C69,4,15)&lt;$S$55,AND($T$55&gt;0,DATE($C69,4,15)&gt;$T$55)),0,IF(DATE($C69,4,15)&gt;=$X$55,$AA$55*(1+($U$55)/100)^MAX(0,$C69-$AD$55),IF(DATE($C69,4,15)&gt;=$W$55,$Z$55*(1+($U$55)/100)^MAX(0,$C69-$AC$55),IF(DATE($C69,4,15)&gt;=$V$55,$Y$55*(1+($U$55)/100)^MAX(0,$C69-$AB$55),0)))))</f>
      </c>
      <c r="I69" s="43">
        <f>IF($S$55=0,0,IF(OR(DATE($C69,5,15)&lt;$S$55,AND($T$55&gt;0,DATE($C69,5,15)&gt;$T$55)),0,IF(DATE($C69,5,15)&gt;=$X$55,$AA$55*(1+($U$55)/100)^MAX(0,$C69-$AD$55),IF(DATE($C69,5,15)&gt;=$W$55,$Z$55*(1+($U$55)/100)^MAX(0,$C69-$AC$55),IF(DATE($C69,5,15)&gt;=$V$55,$Y$55*(1+($U$55)/100)^MAX(0,$C69-$AB$55),0)))))</f>
      </c>
      <c r="J69" s="43">
        <f>IF($S$55=0,0,IF(OR(DATE($C69,6,15)&lt;$S$55,AND($T$55&gt;0,DATE($C69,6,15)&gt;$T$55)),0,IF(DATE($C69,6,15)&gt;=$X$55,$AA$55*(1+($U$55)/100)^MAX(0,$C69-$AD$55),IF(DATE($C69,6,15)&gt;=$W$55,$Z$55*(1+($U$55)/100)^MAX(0,$C69-$AC$55),IF(DATE($C69,6,15)&gt;=$V$55,$Y$55*(1+($U$55)/100)^MAX(0,$C69-$AB$55),0)))))</f>
      </c>
      <c r="K69" s="43">
        <f>IF($S$55=0,0,IF(OR(DATE($C69,7,15)&lt;$S$55,AND($T$55&gt;0,DATE($C69,7,15)&gt;$T$55)),0,IF(DATE($C69,7,15)&gt;=$X$55,$AA$55*(1+($U$55)/100)^MAX(0,$C69-$AD$55),IF(DATE($C69,7,15)&gt;=$W$55,$Z$55*(1+($U$55)/100)^MAX(0,$C69-$AC$55),IF(DATE($C69,7,15)&gt;=$V$55,$Y$55*(1+($U$55)/100)^MAX(0,$C69-$AB$55),0)))))</f>
      </c>
      <c r="L69" s="43">
        <f>IF($S$55=0,0,IF(OR(DATE($C69,8,15)&lt;$S$55,AND($T$55&gt;0,DATE($C69,8,15)&gt;$T$55)),0,IF(DATE($C69,8,15)&gt;=$X$55,$AA$55*(1+($U$55)/100)^MAX(0,$C69-$AD$55),IF(DATE($C69,8,15)&gt;=$W$55,$Z$55*(1+($U$55)/100)^MAX(0,$C69-$AC$55),IF(DATE($C69,8,15)&gt;=$V$55,$Y$55*(1+($U$55)/100)^MAX(0,$C69-$AB$55),0)))))</f>
      </c>
      <c r="M69" s="43">
        <f>IF($S$55=0,0,IF(OR(DATE($C69,9,15)&lt;$S$55,AND($T$55&gt;0,DATE($C69,9,15)&gt;$T$55)),0,IF(DATE($C69,9,15)&gt;=$X$55,$AA$55*(1+($U$55)/100)^MAX(0,$C69-$AD$55),IF(DATE($C69,9,15)&gt;=$W$55,$Z$55*(1+($U$55)/100)^MAX(0,$C69-$AC$55),IF(DATE($C69,9,15)&gt;=$V$55,$Y$55*(1+($U$55)/100)^MAX(0,$C69-$AB$55),0)))))</f>
      </c>
      <c r="N69" s="43">
        <f>IF($S$55=0,0,IF(OR(DATE($C69,10,15)&lt;$S$55,AND($T$55&gt;0,DATE($C69,10,15)&gt;$T$55)),0,IF(DATE($C69,10,15)&gt;=$X$55,$AA$55*(1+($U$55)/100)^MAX(0,$C69-$AD$55),IF(DATE($C69,10,15)&gt;=$W$55,$Z$55*(1+($U$55)/100)^MAX(0,$C69-$AC$55),IF(DATE($C69,10,15)&gt;=$V$55,$Y$55*(1+($U$55)/100)^MAX(0,$C69-$AB$55),0)))))</f>
      </c>
      <c r="O69" s="43">
        <f>IF($S$55=0,0,IF(OR(DATE($C69,11,15)&lt;$S$55,AND($T$55&gt;0,DATE($C69,11,15)&gt;$T$55)),0,IF(DATE($C69,11,15)&gt;=$X$55,$AA$55*(1+($U$55)/100)^MAX(0,$C69-$AD$55),IF(DATE($C69,11,15)&gt;=$W$55,$Z$55*(1+($U$55)/100)^MAX(0,$C69-$AC$55),IF(DATE($C69,11,15)&gt;=$V$55,$Y$55*(1+($U$55)/100)^MAX(0,$C69-$AB$55),0)))))</f>
      </c>
      <c r="P69" s="43">
        <f>IF($S$55=0,0,IF(OR(DATE($C69,12,15)&lt;$S$55,AND($T$55&gt;0,DATE($C69,12,15)&gt;$T$55)),0,IF(DATE($C69,12,15)&gt;=$X$55,$AA$55*(1+($U$55)/100)^MAX(0,$C69-$AD$55),IF(DATE($C69,12,15)&gt;=$W$55,$Z$55*(1+($U$55)/100)^MAX(0,$C69-$AC$55),IF(DATE($C69,12,15)&gt;=$V$55,$Y$55*(1+($U$55)/100)^MAX(0,$C69-$AB$55),0)))))</f>
      </c>
      <c r="Q69" s="43">
        <f>SUM($E69:$P69)</f>
      </c>
    </row>
    <row r="70">
      <c r="A70"/>
      <c r="B70">
        <v>2</v>
      </c>
      <c r="C70" s="43">
        <f>Jahr+15</f>
      </c>
      <c r="D70" s="43">
        <f>INDEX(MvObj,2)</f>
      </c>
      <c r="E70" s="43">
        <f>IF($S$55=0,0,IF(OR(DATE($C70,1,15)&lt;$S$55,AND($T$55&gt;0,DATE($C70,1,15)&gt;$T$55)),0,IF(DATE($C70,1,15)&gt;=$X$55,$AA$55*(1+($U$55)/100)^MAX(0,$C70-$AD$55),IF(DATE($C70,1,15)&gt;=$W$55,$Z$55*(1+($U$55)/100)^MAX(0,$C70-$AC$55),IF(DATE($C70,1,15)&gt;=$V$55,$Y$55*(1+($U$55)/100)^MAX(0,$C70-$AB$55),0)))))</f>
      </c>
      <c r="F70" s="43">
        <f>IF($S$55=0,0,IF(OR(DATE($C70,2,15)&lt;$S$55,AND($T$55&gt;0,DATE($C70,2,15)&gt;$T$55)),0,IF(DATE($C70,2,15)&gt;=$X$55,$AA$55*(1+($U$55)/100)^MAX(0,$C70-$AD$55),IF(DATE($C70,2,15)&gt;=$W$55,$Z$55*(1+($U$55)/100)^MAX(0,$C70-$AC$55),IF(DATE($C70,2,15)&gt;=$V$55,$Y$55*(1+($U$55)/100)^MAX(0,$C70-$AB$55),0)))))</f>
      </c>
      <c r="G70" s="43">
        <f>IF($S$55=0,0,IF(OR(DATE($C70,3,15)&lt;$S$55,AND($T$55&gt;0,DATE($C70,3,15)&gt;$T$55)),0,IF(DATE($C70,3,15)&gt;=$X$55,$AA$55*(1+($U$55)/100)^MAX(0,$C70-$AD$55),IF(DATE($C70,3,15)&gt;=$W$55,$Z$55*(1+($U$55)/100)^MAX(0,$C70-$AC$55),IF(DATE($C70,3,15)&gt;=$V$55,$Y$55*(1+($U$55)/100)^MAX(0,$C70-$AB$55),0)))))</f>
      </c>
      <c r="H70" s="43">
        <f>IF($S$55=0,0,IF(OR(DATE($C70,4,15)&lt;$S$55,AND($T$55&gt;0,DATE($C70,4,15)&gt;$T$55)),0,IF(DATE($C70,4,15)&gt;=$X$55,$AA$55*(1+($U$55)/100)^MAX(0,$C70-$AD$55),IF(DATE($C70,4,15)&gt;=$W$55,$Z$55*(1+($U$55)/100)^MAX(0,$C70-$AC$55),IF(DATE($C70,4,15)&gt;=$V$55,$Y$55*(1+($U$55)/100)^MAX(0,$C70-$AB$55),0)))))</f>
      </c>
      <c r="I70" s="43">
        <f>IF($S$55=0,0,IF(OR(DATE($C70,5,15)&lt;$S$55,AND($T$55&gt;0,DATE($C70,5,15)&gt;$T$55)),0,IF(DATE($C70,5,15)&gt;=$X$55,$AA$55*(1+($U$55)/100)^MAX(0,$C70-$AD$55),IF(DATE($C70,5,15)&gt;=$W$55,$Z$55*(1+($U$55)/100)^MAX(0,$C70-$AC$55),IF(DATE($C70,5,15)&gt;=$V$55,$Y$55*(1+($U$55)/100)^MAX(0,$C70-$AB$55),0)))))</f>
      </c>
      <c r="J70" s="43">
        <f>IF($S$55=0,0,IF(OR(DATE($C70,6,15)&lt;$S$55,AND($T$55&gt;0,DATE($C70,6,15)&gt;$T$55)),0,IF(DATE($C70,6,15)&gt;=$X$55,$AA$55*(1+($U$55)/100)^MAX(0,$C70-$AD$55),IF(DATE($C70,6,15)&gt;=$W$55,$Z$55*(1+($U$55)/100)^MAX(0,$C70-$AC$55),IF(DATE($C70,6,15)&gt;=$V$55,$Y$55*(1+($U$55)/100)^MAX(0,$C70-$AB$55),0)))))</f>
      </c>
      <c r="K70" s="43">
        <f>IF($S$55=0,0,IF(OR(DATE($C70,7,15)&lt;$S$55,AND($T$55&gt;0,DATE($C70,7,15)&gt;$T$55)),0,IF(DATE($C70,7,15)&gt;=$X$55,$AA$55*(1+($U$55)/100)^MAX(0,$C70-$AD$55),IF(DATE($C70,7,15)&gt;=$W$55,$Z$55*(1+($U$55)/100)^MAX(0,$C70-$AC$55),IF(DATE($C70,7,15)&gt;=$V$55,$Y$55*(1+($U$55)/100)^MAX(0,$C70-$AB$55),0)))))</f>
      </c>
      <c r="L70" s="43">
        <f>IF($S$55=0,0,IF(OR(DATE($C70,8,15)&lt;$S$55,AND($T$55&gt;0,DATE($C70,8,15)&gt;$T$55)),0,IF(DATE($C70,8,15)&gt;=$X$55,$AA$55*(1+($U$55)/100)^MAX(0,$C70-$AD$55),IF(DATE($C70,8,15)&gt;=$W$55,$Z$55*(1+($U$55)/100)^MAX(0,$C70-$AC$55),IF(DATE($C70,8,15)&gt;=$V$55,$Y$55*(1+($U$55)/100)^MAX(0,$C70-$AB$55),0)))))</f>
      </c>
      <c r="M70" s="43">
        <f>IF($S$55=0,0,IF(OR(DATE($C70,9,15)&lt;$S$55,AND($T$55&gt;0,DATE($C70,9,15)&gt;$T$55)),0,IF(DATE($C70,9,15)&gt;=$X$55,$AA$55*(1+($U$55)/100)^MAX(0,$C70-$AD$55),IF(DATE($C70,9,15)&gt;=$W$55,$Z$55*(1+($U$55)/100)^MAX(0,$C70-$AC$55),IF(DATE($C70,9,15)&gt;=$V$55,$Y$55*(1+($U$55)/100)^MAX(0,$C70-$AB$55),0)))))</f>
      </c>
      <c r="N70" s="43">
        <f>IF($S$55=0,0,IF(OR(DATE($C70,10,15)&lt;$S$55,AND($T$55&gt;0,DATE($C70,10,15)&gt;$T$55)),0,IF(DATE($C70,10,15)&gt;=$X$55,$AA$55*(1+($U$55)/100)^MAX(0,$C70-$AD$55),IF(DATE($C70,10,15)&gt;=$W$55,$Z$55*(1+($U$55)/100)^MAX(0,$C70-$AC$55),IF(DATE($C70,10,15)&gt;=$V$55,$Y$55*(1+($U$55)/100)^MAX(0,$C70-$AB$55),0)))))</f>
      </c>
      <c r="O70" s="43">
        <f>IF($S$55=0,0,IF(OR(DATE($C70,11,15)&lt;$S$55,AND($T$55&gt;0,DATE($C70,11,15)&gt;$T$55)),0,IF(DATE($C70,11,15)&gt;=$X$55,$AA$55*(1+($U$55)/100)^MAX(0,$C70-$AD$55),IF(DATE($C70,11,15)&gt;=$W$55,$Z$55*(1+($U$55)/100)^MAX(0,$C70-$AC$55),IF(DATE($C70,11,15)&gt;=$V$55,$Y$55*(1+($U$55)/100)^MAX(0,$C70-$AB$55),0)))))</f>
      </c>
      <c r="P70" s="43">
        <f>IF($S$55=0,0,IF(OR(DATE($C70,12,15)&lt;$S$55,AND($T$55&gt;0,DATE($C70,12,15)&gt;$T$55)),0,IF(DATE($C70,12,15)&gt;=$X$55,$AA$55*(1+($U$55)/100)^MAX(0,$C70-$AD$55),IF(DATE($C70,12,15)&gt;=$W$55,$Z$55*(1+($U$55)/100)^MAX(0,$C70-$AC$55),IF(DATE($C70,12,15)&gt;=$V$55,$Y$55*(1+($U$55)/100)^MAX(0,$C70-$AB$55),0)))))</f>
      </c>
      <c r="Q70" s="43">
        <f>SUM($E70:$P70)</f>
      </c>
    </row>
    <row r="71">
      <c r="A71"/>
      <c r="B71">
        <v>2</v>
      </c>
      <c r="C71" s="43">
        <f>Jahr+16</f>
      </c>
      <c r="D71" s="43">
        <f>INDEX(MvObj,2)</f>
      </c>
      <c r="E71" s="43">
        <f>IF($S$55=0,0,IF(OR(DATE($C71,1,15)&lt;$S$55,AND($T$55&gt;0,DATE($C71,1,15)&gt;$T$55)),0,IF(DATE($C71,1,15)&gt;=$X$55,$AA$55*(1+($U$55)/100)^MAX(0,$C71-$AD$55),IF(DATE($C71,1,15)&gt;=$W$55,$Z$55*(1+($U$55)/100)^MAX(0,$C71-$AC$55),IF(DATE($C71,1,15)&gt;=$V$55,$Y$55*(1+($U$55)/100)^MAX(0,$C71-$AB$55),0)))))</f>
      </c>
      <c r="F71" s="43">
        <f>IF($S$55=0,0,IF(OR(DATE($C71,2,15)&lt;$S$55,AND($T$55&gt;0,DATE($C71,2,15)&gt;$T$55)),0,IF(DATE($C71,2,15)&gt;=$X$55,$AA$55*(1+($U$55)/100)^MAX(0,$C71-$AD$55),IF(DATE($C71,2,15)&gt;=$W$55,$Z$55*(1+($U$55)/100)^MAX(0,$C71-$AC$55),IF(DATE($C71,2,15)&gt;=$V$55,$Y$55*(1+($U$55)/100)^MAX(0,$C71-$AB$55),0)))))</f>
      </c>
      <c r="G71" s="43">
        <f>IF($S$55=0,0,IF(OR(DATE($C71,3,15)&lt;$S$55,AND($T$55&gt;0,DATE($C71,3,15)&gt;$T$55)),0,IF(DATE($C71,3,15)&gt;=$X$55,$AA$55*(1+($U$55)/100)^MAX(0,$C71-$AD$55),IF(DATE($C71,3,15)&gt;=$W$55,$Z$55*(1+($U$55)/100)^MAX(0,$C71-$AC$55),IF(DATE($C71,3,15)&gt;=$V$55,$Y$55*(1+($U$55)/100)^MAX(0,$C71-$AB$55),0)))))</f>
      </c>
      <c r="H71" s="43">
        <f>IF($S$55=0,0,IF(OR(DATE($C71,4,15)&lt;$S$55,AND($T$55&gt;0,DATE($C71,4,15)&gt;$T$55)),0,IF(DATE($C71,4,15)&gt;=$X$55,$AA$55*(1+($U$55)/100)^MAX(0,$C71-$AD$55),IF(DATE($C71,4,15)&gt;=$W$55,$Z$55*(1+($U$55)/100)^MAX(0,$C71-$AC$55),IF(DATE($C71,4,15)&gt;=$V$55,$Y$55*(1+($U$55)/100)^MAX(0,$C71-$AB$55),0)))))</f>
      </c>
      <c r="I71" s="43">
        <f>IF($S$55=0,0,IF(OR(DATE($C71,5,15)&lt;$S$55,AND($T$55&gt;0,DATE($C71,5,15)&gt;$T$55)),0,IF(DATE($C71,5,15)&gt;=$X$55,$AA$55*(1+($U$55)/100)^MAX(0,$C71-$AD$55),IF(DATE($C71,5,15)&gt;=$W$55,$Z$55*(1+($U$55)/100)^MAX(0,$C71-$AC$55),IF(DATE($C71,5,15)&gt;=$V$55,$Y$55*(1+($U$55)/100)^MAX(0,$C71-$AB$55),0)))))</f>
      </c>
      <c r="J71" s="43">
        <f>IF($S$55=0,0,IF(OR(DATE($C71,6,15)&lt;$S$55,AND($T$55&gt;0,DATE($C71,6,15)&gt;$T$55)),0,IF(DATE($C71,6,15)&gt;=$X$55,$AA$55*(1+($U$55)/100)^MAX(0,$C71-$AD$55),IF(DATE($C71,6,15)&gt;=$W$55,$Z$55*(1+($U$55)/100)^MAX(0,$C71-$AC$55),IF(DATE($C71,6,15)&gt;=$V$55,$Y$55*(1+($U$55)/100)^MAX(0,$C71-$AB$55),0)))))</f>
      </c>
      <c r="K71" s="43">
        <f>IF($S$55=0,0,IF(OR(DATE($C71,7,15)&lt;$S$55,AND($T$55&gt;0,DATE($C71,7,15)&gt;$T$55)),0,IF(DATE($C71,7,15)&gt;=$X$55,$AA$55*(1+($U$55)/100)^MAX(0,$C71-$AD$55),IF(DATE($C71,7,15)&gt;=$W$55,$Z$55*(1+($U$55)/100)^MAX(0,$C71-$AC$55),IF(DATE($C71,7,15)&gt;=$V$55,$Y$55*(1+($U$55)/100)^MAX(0,$C71-$AB$55),0)))))</f>
      </c>
      <c r="L71" s="43">
        <f>IF($S$55=0,0,IF(OR(DATE($C71,8,15)&lt;$S$55,AND($T$55&gt;0,DATE($C71,8,15)&gt;$T$55)),0,IF(DATE($C71,8,15)&gt;=$X$55,$AA$55*(1+($U$55)/100)^MAX(0,$C71-$AD$55),IF(DATE($C71,8,15)&gt;=$W$55,$Z$55*(1+($U$55)/100)^MAX(0,$C71-$AC$55),IF(DATE($C71,8,15)&gt;=$V$55,$Y$55*(1+($U$55)/100)^MAX(0,$C71-$AB$55),0)))))</f>
      </c>
      <c r="M71" s="43">
        <f>IF($S$55=0,0,IF(OR(DATE($C71,9,15)&lt;$S$55,AND($T$55&gt;0,DATE($C71,9,15)&gt;$T$55)),0,IF(DATE($C71,9,15)&gt;=$X$55,$AA$55*(1+($U$55)/100)^MAX(0,$C71-$AD$55),IF(DATE($C71,9,15)&gt;=$W$55,$Z$55*(1+($U$55)/100)^MAX(0,$C71-$AC$55),IF(DATE($C71,9,15)&gt;=$V$55,$Y$55*(1+($U$55)/100)^MAX(0,$C71-$AB$55),0)))))</f>
      </c>
      <c r="N71" s="43">
        <f>IF($S$55=0,0,IF(OR(DATE($C71,10,15)&lt;$S$55,AND($T$55&gt;0,DATE($C71,10,15)&gt;$T$55)),0,IF(DATE($C71,10,15)&gt;=$X$55,$AA$55*(1+($U$55)/100)^MAX(0,$C71-$AD$55),IF(DATE($C71,10,15)&gt;=$W$55,$Z$55*(1+($U$55)/100)^MAX(0,$C71-$AC$55),IF(DATE($C71,10,15)&gt;=$V$55,$Y$55*(1+($U$55)/100)^MAX(0,$C71-$AB$55),0)))))</f>
      </c>
      <c r="O71" s="43">
        <f>IF($S$55=0,0,IF(OR(DATE($C71,11,15)&lt;$S$55,AND($T$55&gt;0,DATE($C71,11,15)&gt;$T$55)),0,IF(DATE($C71,11,15)&gt;=$X$55,$AA$55*(1+($U$55)/100)^MAX(0,$C71-$AD$55),IF(DATE($C71,11,15)&gt;=$W$55,$Z$55*(1+($U$55)/100)^MAX(0,$C71-$AC$55),IF(DATE($C71,11,15)&gt;=$V$55,$Y$55*(1+($U$55)/100)^MAX(0,$C71-$AB$55),0)))))</f>
      </c>
      <c r="P71" s="43">
        <f>IF($S$55=0,0,IF(OR(DATE($C71,12,15)&lt;$S$55,AND($T$55&gt;0,DATE($C71,12,15)&gt;$T$55)),0,IF(DATE($C71,12,15)&gt;=$X$55,$AA$55*(1+($U$55)/100)^MAX(0,$C71-$AD$55),IF(DATE($C71,12,15)&gt;=$W$55,$Z$55*(1+($U$55)/100)^MAX(0,$C71-$AC$55),IF(DATE($C71,12,15)&gt;=$V$55,$Y$55*(1+($U$55)/100)^MAX(0,$C71-$AB$55),0)))))</f>
      </c>
      <c r="Q71" s="43">
        <f>SUM($E71:$P71)</f>
      </c>
    </row>
    <row r="72">
      <c r="A72"/>
      <c r="B72">
        <v>2</v>
      </c>
      <c r="C72" s="43">
        <f>Jahr+17</f>
      </c>
      <c r="D72" s="43">
        <f>INDEX(MvObj,2)</f>
      </c>
      <c r="E72" s="43">
        <f>IF($S$55=0,0,IF(OR(DATE($C72,1,15)&lt;$S$55,AND($T$55&gt;0,DATE($C72,1,15)&gt;$T$55)),0,IF(DATE($C72,1,15)&gt;=$X$55,$AA$55*(1+($U$55)/100)^MAX(0,$C72-$AD$55),IF(DATE($C72,1,15)&gt;=$W$55,$Z$55*(1+($U$55)/100)^MAX(0,$C72-$AC$55),IF(DATE($C72,1,15)&gt;=$V$55,$Y$55*(1+($U$55)/100)^MAX(0,$C72-$AB$55),0)))))</f>
      </c>
      <c r="F72" s="43">
        <f>IF($S$55=0,0,IF(OR(DATE($C72,2,15)&lt;$S$55,AND($T$55&gt;0,DATE($C72,2,15)&gt;$T$55)),0,IF(DATE($C72,2,15)&gt;=$X$55,$AA$55*(1+($U$55)/100)^MAX(0,$C72-$AD$55),IF(DATE($C72,2,15)&gt;=$W$55,$Z$55*(1+($U$55)/100)^MAX(0,$C72-$AC$55),IF(DATE($C72,2,15)&gt;=$V$55,$Y$55*(1+($U$55)/100)^MAX(0,$C72-$AB$55),0)))))</f>
      </c>
      <c r="G72" s="43">
        <f>IF($S$55=0,0,IF(OR(DATE($C72,3,15)&lt;$S$55,AND($T$55&gt;0,DATE($C72,3,15)&gt;$T$55)),0,IF(DATE($C72,3,15)&gt;=$X$55,$AA$55*(1+($U$55)/100)^MAX(0,$C72-$AD$55),IF(DATE($C72,3,15)&gt;=$W$55,$Z$55*(1+($U$55)/100)^MAX(0,$C72-$AC$55),IF(DATE($C72,3,15)&gt;=$V$55,$Y$55*(1+($U$55)/100)^MAX(0,$C72-$AB$55),0)))))</f>
      </c>
      <c r="H72" s="43">
        <f>IF($S$55=0,0,IF(OR(DATE($C72,4,15)&lt;$S$55,AND($T$55&gt;0,DATE($C72,4,15)&gt;$T$55)),0,IF(DATE($C72,4,15)&gt;=$X$55,$AA$55*(1+($U$55)/100)^MAX(0,$C72-$AD$55),IF(DATE($C72,4,15)&gt;=$W$55,$Z$55*(1+($U$55)/100)^MAX(0,$C72-$AC$55),IF(DATE($C72,4,15)&gt;=$V$55,$Y$55*(1+($U$55)/100)^MAX(0,$C72-$AB$55),0)))))</f>
      </c>
      <c r="I72" s="43">
        <f>IF($S$55=0,0,IF(OR(DATE($C72,5,15)&lt;$S$55,AND($T$55&gt;0,DATE($C72,5,15)&gt;$T$55)),0,IF(DATE($C72,5,15)&gt;=$X$55,$AA$55*(1+($U$55)/100)^MAX(0,$C72-$AD$55),IF(DATE($C72,5,15)&gt;=$W$55,$Z$55*(1+($U$55)/100)^MAX(0,$C72-$AC$55),IF(DATE($C72,5,15)&gt;=$V$55,$Y$55*(1+($U$55)/100)^MAX(0,$C72-$AB$55),0)))))</f>
      </c>
      <c r="J72" s="43">
        <f>IF($S$55=0,0,IF(OR(DATE($C72,6,15)&lt;$S$55,AND($T$55&gt;0,DATE($C72,6,15)&gt;$T$55)),0,IF(DATE($C72,6,15)&gt;=$X$55,$AA$55*(1+($U$55)/100)^MAX(0,$C72-$AD$55),IF(DATE($C72,6,15)&gt;=$W$55,$Z$55*(1+($U$55)/100)^MAX(0,$C72-$AC$55),IF(DATE($C72,6,15)&gt;=$V$55,$Y$55*(1+($U$55)/100)^MAX(0,$C72-$AB$55),0)))))</f>
      </c>
      <c r="K72" s="43">
        <f>IF($S$55=0,0,IF(OR(DATE($C72,7,15)&lt;$S$55,AND($T$55&gt;0,DATE($C72,7,15)&gt;$T$55)),0,IF(DATE($C72,7,15)&gt;=$X$55,$AA$55*(1+($U$55)/100)^MAX(0,$C72-$AD$55),IF(DATE($C72,7,15)&gt;=$W$55,$Z$55*(1+($U$55)/100)^MAX(0,$C72-$AC$55),IF(DATE($C72,7,15)&gt;=$V$55,$Y$55*(1+($U$55)/100)^MAX(0,$C72-$AB$55),0)))))</f>
      </c>
      <c r="L72" s="43">
        <f>IF($S$55=0,0,IF(OR(DATE($C72,8,15)&lt;$S$55,AND($T$55&gt;0,DATE($C72,8,15)&gt;$T$55)),0,IF(DATE($C72,8,15)&gt;=$X$55,$AA$55*(1+($U$55)/100)^MAX(0,$C72-$AD$55),IF(DATE($C72,8,15)&gt;=$W$55,$Z$55*(1+($U$55)/100)^MAX(0,$C72-$AC$55),IF(DATE($C72,8,15)&gt;=$V$55,$Y$55*(1+($U$55)/100)^MAX(0,$C72-$AB$55),0)))))</f>
      </c>
      <c r="M72" s="43">
        <f>IF($S$55=0,0,IF(OR(DATE($C72,9,15)&lt;$S$55,AND($T$55&gt;0,DATE($C72,9,15)&gt;$T$55)),0,IF(DATE($C72,9,15)&gt;=$X$55,$AA$55*(1+($U$55)/100)^MAX(0,$C72-$AD$55),IF(DATE($C72,9,15)&gt;=$W$55,$Z$55*(1+($U$55)/100)^MAX(0,$C72-$AC$55),IF(DATE($C72,9,15)&gt;=$V$55,$Y$55*(1+($U$55)/100)^MAX(0,$C72-$AB$55),0)))))</f>
      </c>
      <c r="N72" s="43">
        <f>IF($S$55=0,0,IF(OR(DATE($C72,10,15)&lt;$S$55,AND($T$55&gt;0,DATE($C72,10,15)&gt;$T$55)),0,IF(DATE($C72,10,15)&gt;=$X$55,$AA$55*(1+($U$55)/100)^MAX(0,$C72-$AD$55),IF(DATE($C72,10,15)&gt;=$W$55,$Z$55*(1+($U$55)/100)^MAX(0,$C72-$AC$55),IF(DATE($C72,10,15)&gt;=$V$55,$Y$55*(1+($U$55)/100)^MAX(0,$C72-$AB$55),0)))))</f>
      </c>
      <c r="O72" s="43">
        <f>IF($S$55=0,0,IF(OR(DATE($C72,11,15)&lt;$S$55,AND($T$55&gt;0,DATE($C72,11,15)&gt;$T$55)),0,IF(DATE($C72,11,15)&gt;=$X$55,$AA$55*(1+($U$55)/100)^MAX(0,$C72-$AD$55),IF(DATE($C72,11,15)&gt;=$W$55,$Z$55*(1+($U$55)/100)^MAX(0,$C72-$AC$55),IF(DATE($C72,11,15)&gt;=$V$55,$Y$55*(1+($U$55)/100)^MAX(0,$C72-$AB$55),0)))))</f>
      </c>
      <c r="P72" s="43">
        <f>IF($S$55=0,0,IF(OR(DATE($C72,12,15)&lt;$S$55,AND($T$55&gt;0,DATE($C72,12,15)&gt;$T$55)),0,IF(DATE($C72,12,15)&gt;=$X$55,$AA$55*(1+($U$55)/100)^MAX(0,$C72-$AD$55),IF(DATE($C72,12,15)&gt;=$W$55,$Z$55*(1+($U$55)/100)^MAX(0,$C72-$AC$55),IF(DATE($C72,12,15)&gt;=$V$55,$Y$55*(1+($U$55)/100)^MAX(0,$C72-$AB$55),0)))))</f>
      </c>
      <c r="Q72" s="43">
        <f>SUM($E72:$P72)</f>
      </c>
    </row>
    <row r="73">
      <c r="A73"/>
      <c r="B73">
        <v>2</v>
      </c>
      <c r="C73" s="43">
        <f>Jahr+18</f>
      </c>
      <c r="D73" s="43">
        <f>INDEX(MvObj,2)</f>
      </c>
      <c r="E73" s="43">
        <f>IF($S$55=0,0,IF(OR(DATE($C73,1,15)&lt;$S$55,AND($T$55&gt;0,DATE($C73,1,15)&gt;$T$55)),0,IF(DATE($C73,1,15)&gt;=$X$55,$AA$55*(1+($U$55)/100)^MAX(0,$C73-$AD$55),IF(DATE($C73,1,15)&gt;=$W$55,$Z$55*(1+($U$55)/100)^MAX(0,$C73-$AC$55),IF(DATE($C73,1,15)&gt;=$V$55,$Y$55*(1+($U$55)/100)^MAX(0,$C73-$AB$55),0)))))</f>
      </c>
      <c r="F73" s="43">
        <f>IF($S$55=0,0,IF(OR(DATE($C73,2,15)&lt;$S$55,AND($T$55&gt;0,DATE($C73,2,15)&gt;$T$55)),0,IF(DATE($C73,2,15)&gt;=$X$55,$AA$55*(1+($U$55)/100)^MAX(0,$C73-$AD$55),IF(DATE($C73,2,15)&gt;=$W$55,$Z$55*(1+($U$55)/100)^MAX(0,$C73-$AC$55),IF(DATE($C73,2,15)&gt;=$V$55,$Y$55*(1+($U$55)/100)^MAX(0,$C73-$AB$55),0)))))</f>
      </c>
      <c r="G73" s="43">
        <f>IF($S$55=0,0,IF(OR(DATE($C73,3,15)&lt;$S$55,AND($T$55&gt;0,DATE($C73,3,15)&gt;$T$55)),0,IF(DATE($C73,3,15)&gt;=$X$55,$AA$55*(1+($U$55)/100)^MAX(0,$C73-$AD$55),IF(DATE($C73,3,15)&gt;=$W$55,$Z$55*(1+($U$55)/100)^MAX(0,$C73-$AC$55),IF(DATE($C73,3,15)&gt;=$V$55,$Y$55*(1+($U$55)/100)^MAX(0,$C73-$AB$55),0)))))</f>
      </c>
      <c r="H73" s="43">
        <f>IF($S$55=0,0,IF(OR(DATE($C73,4,15)&lt;$S$55,AND($T$55&gt;0,DATE($C73,4,15)&gt;$T$55)),0,IF(DATE($C73,4,15)&gt;=$X$55,$AA$55*(1+($U$55)/100)^MAX(0,$C73-$AD$55),IF(DATE($C73,4,15)&gt;=$W$55,$Z$55*(1+($U$55)/100)^MAX(0,$C73-$AC$55),IF(DATE($C73,4,15)&gt;=$V$55,$Y$55*(1+($U$55)/100)^MAX(0,$C73-$AB$55),0)))))</f>
      </c>
      <c r="I73" s="43">
        <f>IF($S$55=0,0,IF(OR(DATE($C73,5,15)&lt;$S$55,AND($T$55&gt;0,DATE($C73,5,15)&gt;$T$55)),0,IF(DATE($C73,5,15)&gt;=$X$55,$AA$55*(1+($U$55)/100)^MAX(0,$C73-$AD$55),IF(DATE($C73,5,15)&gt;=$W$55,$Z$55*(1+($U$55)/100)^MAX(0,$C73-$AC$55),IF(DATE($C73,5,15)&gt;=$V$55,$Y$55*(1+($U$55)/100)^MAX(0,$C73-$AB$55),0)))))</f>
      </c>
      <c r="J73" s="43">
        <f>IF($S$55=0,0,IF(OR(DATE($C73,6,15)&lt;$S$55,AND($T$55&gt;0,DATE($C73,6,15)&gt;$T$55)),0,IF(DATE($C73,6,15)&gt;=$X$55,$AA$55*(1+($U$55)/100)^MAX(0,$C73-$AD$55),IF(DATE($C73,6,15)&gt;=$W$55,$Z$55*(1+($U$55)/100)^MAX(0,$C73-$AC$55),IF(DATE($C73,6,15)&gt;=$V$55,$Y$55*(1+($U$55)/100)^MAX(0,$C73-$AB$55),0)))))</f>
      </c>
      <c r="K73" s="43">
        <f>IF($S$55=0,0,IF(OR(DATE($C73,7,15)&lt;$S$55,AND($T$55&gt;0,DATE($C73,7,15)&gt;$T$55)),0,IF(DATE($C73,7,15)&gt;=$X$55,$AA$55*(1+($U$55)/100)^MAX(0,$C73-$AD$55),IF(DATE($C73,7,15)&gt;=$W$55,$Z$55*(1+($U$55)/100)^MAX(0,$C73-$AC$55),IF(DATE($C73,7,15)&gt;=$V$55,$Y$55*(1+($U$55)/100)^MAX(0,$C73-$AB$55),0)))))</f>
      </c>
      <c r="L73" s="43">
        <f>IF($S$55=0,0,IF(OR(DATE($C73,8,15)&lt;$S$55,AND($T$55&gt;0,DATE($C73,8,15)&gt;$T$55)),0,IF(DATE($C73,8,15)&gt;=$X$55,$AA$55*(1+($U$55)/100)^MAX(0,$C73-$AD$55),IF(DATE($C73,8,15)&gt;=$W$55,$Z$55*(1+($U$55)/100)^MAX(0,$C73-$AC$55),IF(DATE($C73,8,15)&gt;=$V$55,$Y$55*(1+($U$55)/100)^MAX(0,$C73-$AB$55),0)))))</f>
      </c>
      <c r="M73" s="43">
        <f>IF($S$55=0,0,IF(OR(DATE($C73,9,15)&lt;$S$55,AND($T$55&gt;0,DATE($C73,9,15)&gt;$T$55)),0,IF(DATE($C73,9,15)&gt;=$X$55,$AA$55*(1+($U$55)/100)^MAX(0,$C73-$AD$55),IF(DATE($C73,9,15)&gt;=$W$55,$Z$55*(1+($U$55)/100)^MAX(0,$C73-$AC$55),IF(DATE($C73,9,15)&gt;=$V$55,$Y$55*(1+($U$55)/100)^MAX(0,$C73-$AB$55),0)))))</f>
      </c>
      <c r="N73" s="43">
        <f>IF($S$55=0,0,IF(OR(DATE($C73,10,15)&lt;$S$55,AND($T$55&gt;0,DATE($C73,10,15)&gt;$T$55)),0,IF(DATE($C73,10,15)&gt;=$X$55,$AA$55*(1+($U$55)/100)^MAX(0,$C73-$AD$55),IF(DATE($C73,10,15)&gt;=$W$55,$Z$55*(1+($U$55)/100)^MAX(0,$C73-$AC$55),IF(DATE($C73,10,15)&gt;=$V$55,$Y$55*(1+($U$55)/100)^MAX(0,$C73-$AB$55),0)))))</f>
      </c>
      <c r="O73" s="43">
        <f>IF($S$55=0,0,IF(OR(DATE($C73,11,15)&lt;$S$55,AND($T$55&gt;0,DATE($C73,11,15)&gt;$T$55)),0,IF(DATE($C73,11,15)&gt;=$X$55,$AA$55*(1+($U$55)/100)^MAX(0,$C73-$AD$55),IF(DATE($C73,11,15)&gt;=$W$55,$Z$55*(1+($U$55)/100)^MAX(0,$C73-$AC$55),IF(DATE($C73,11,15)&gt;=$V$55,$Y$55*(1+($U$55)/100)^MAX(0,$C73-$AB$55),0)))))</f>
      </c>
      <c r="P73" s="43">
        <f>IF($S$55=0,0,IF(OR(DATE($C73,12,15)&lt;$S$55,AND($T$55&gt;0,DATE($C73,12,15)&gt;$T$55)),0,IF(DATE($C73,12,15)&gt;=$X$55,$AA$55*(1+($U$55)/100)^MAX(0,$C73-$AD$55),IF(DATE($C73,12,15)&gt;=$W$55,$Z$55*(1+($U$55)/100)^MAX(0,$C73-$AC$55),IF(DATE($C73,12,15)&gt;=$V$55,$Y$55*(1+($U$55)/100)^MAX(0,$C73-$AB$55),0)))))</f>
      </c>
      <c r="Q73" s="43">
        <f>SUM($E73:$P73)</f>
      </c>
    </row>
    <row r="74">
      <c r="A74"/>
      <c r="B74">
        <v>2</v>
      </c>
      <c r="C74" s="43">
        <f>Jahr+19</f>
      </c>
      <c r="D74" s="43">
        <f>INDEX(MvObj,2)</f>
      </c>
      <c r="E74" s="43">
        <f>IF($S$55=0,0,IF(OR(DATE($C74,1,15)&lt;$S$55,AND($T$55&gt;0,DATE($C74,1,15)&gt;$T$55)),0,IF(DATE($C74,1,15)&gt;=$X$55,$AA$55*(1+($U$55)/100)^MAX(0,$C74-$AD$55),IF(DATE($C74,1,15)&gt;=$W$55,$Z$55*(1+($U$55)/100)^MAX(0,$C74-$AC$55),IF(DATE($C74,1,15)&gt;=$V$55,$Y$55*(1+($U$55)/100)^MAX(0,$C74-$AB$55),0)))))</f>
      </c>
      <c r="F74" s="43">
        <f>IF($S$55=0,0,IF(OR(DATE($C74,2,15)&lt;$S$55,AND($T$55&gt;0,DATE($C74,2,15)&gt;$T$55)),0,IF(DATE($C74,2,15)&gt;=$X$55,$AA$55*(1+($U$55)/100)^MAX(0,$C74-$AD$55),IF(DATE($C74,2,15)&gt;=$W$55,$Z$55*(1+($U$55)/100)^MAX(0,$C74-$AC$55),IF(DATE($C74,2,15)&gt;=$V$55,$Y$55*(1+($U$55)/100)^MAX(0,$C74-$AB$55),0)))))</f>
      </c>
      <c r="G74" s="43">
        <f>IF($S$55=0,0,IF(OR(DATE($C74,3,15)&lt;$S$55,AND($T$55&gt;0,DATE($C74,3,15)&gt;$T$55)),0,IF(DATE($C74,3,15)&gt;=$X$55,$AA$55*(1+($U$55)/100)^MAX(0,$C74-$AD$55),IF(DATE($C74,3,15)&gt;=$W$55,$Z$55*(1+($U$55)/100)^MAX(0,$C74-$AC$55),IF(DATE($C74,3,15)&gt;=$V$55,$Y$55*(1+($U$55)/100)^MAX(0,$C74-$AB$55),0)))))</f>
      </c>
      <c r="H74" s="43">
        <f>IF($S$55=0,0,IF(OR(DATE($C74,4,15)&lt;$S$55,AND($T$55&gt;0,DATE($C74,4,15)&gt;$T$55)),0,IF(DATE($C74,4,15)&gt;=$X$55,$AA$55*(1+($U$55)/100)^MAX(0,$C74-$AD$55),IF(DATE($C74,4,15)&gt;=$W$55,$Z$55*(1+($U$55)/100)^MAX(0,$C74-$AC$55),IF(DATE($C74,4,15)&gt;=$V$55,$Y$55*(1+($U$55)/100)^MAX(0,$C74-$AB$55),0)))))</f>
      </c>
      <c r="I74" s="43">
        <f>IF($S$55=0,0,IF(OR(DATE($C74,5,15)&lt;$S$55,AND($T$55&gt;0,DATE($C74,5,15)&gt;$T$55)),0,IF(DATE($C74,5,15)&gt;=$X$55,$AA$55*(1+($U$55)/100)^MAX(0,$C74-$AD$55),IF(DATE($C74,5,15)&gt;=$W$55,$Z$55*(1+($U$55)/100)^MAX(0,$C74-$AC$55),IF(DATE($C74,5,15)&gt;=$V$55,$Y$55*(1+($U$55)/100)^MAX(0,$C74-$AB$55),0)))))</f>
      </c>
      <c r="J74" s="43">
        <f>IF($S$55=0,0,IF(OR(DATE($C74,6,15)&lt;$S$55,AND($T$55&gt;0,DATE($C74,6,15)&gt;$T$55)),0,IF(DATE($C74,6,15)&gt;=$X$55,$AA$55*(1+($U$55)/100)^MAX(0,$C74-$AD$55),IF(DATE($C74,6,15)&gt;=$W$55,$Z$55*(1+($U$55)/100)^MAX(0,$C74-$AC$55),IF(DATE($C74,6,15)&gt;=$V$55,$Y$55*(1+($U$55)/100)^MAX(0,$C74-$AB$55),0)))))</f>
      </c>
      <c r="K74" s="43">
        <f>IF($S$55=0,0,IF(OR(DATE($C74,7,15)&lt;$S$55,AND($T$55&gt;0,DATE($C74,7,15)&gt;$T$55)),0,IF(DATE($C74,7,15)&gt;=$X$55,$AA$55*(1+($U$55)/100)^MAX(0,$C74-$AD$55),IF(DATE($C74,7,15)&gt;=$W$55,$Z$55*(1+($U$55)/100)^MAX(0,$C74-$AC$55),IF(DATE($C74,7,15)&gt;=$V$55,$Y$55*(1+($U$55)/100)^MAX(0,$C74-$AB$55),0)))))</f>
      </c>
      <c r="L74" s="43">
        <f>IF($S$55=0,0,IF(OR(DATE($C74,8,15)&lt;$S$55,AND($T$55&gt;0,DATE($C74,8,15)&gt;$T$55)),0,IF(DATE($C74,8,15)&gt;=$X$55,$AA$55*(1+($U$55)/100)^MAX(0,$C74-$AD$55),IF(DATE($C74,8,15)&gt;=$W$55,$Z$55*(1+($U$55)/100)^MAX(0,$C74-$AC$55),IF(DATE($C74,8,15)&gt;=$V$55,$Y$55*(1+($U$55)/100)^MAX(0,$C74-$AB$55),0)))))</f>
      </c>
      <c r="M74" s="43">
        <f>IF($S$55=0,0,IF(OR(DATE($C74,9,15)&lt;$S$55,AND($T$55&gt;0,DATE($C74,9,15)&gt;$T$55)),0,IF(DATE($C74,9,15)&gt;=$X$55,$AA$55*(1+($U$55)/100)^MAX(0,$C74-$AD$55),IF(DATE($C74,9,15)&gt;=$W$55,$Z$55*(1+($U$55)/100)^MAX(0,$C74-$AC$55),IF(DATE($C74,9,15)&gt;=$V$55,$Y$55*(1+($U$55)/100)^MAX(0,$C74-$AB$55),0)))))</f>
      </c>
      <c r="N74" s="43">
        <f>IF($S$55=0,0,IF(OR(DATE($C74,10,15)&lt;$S$55,AND($T$55&gt;0,DATE($C74,10,15)&gt;$T$55)),0,IF(DATE($C74,10,15)&gt;=$X$55,$AA$55*(1+($U$55)/100)^MAX(0,$C74-$AD$55),IF(DATE($C74,10,15)&gt;=$W$55,$Z$55*(1+($U$55)/100)^MAX(0,$C74-$AC$55),IF(DATE($C74,10,15)&gt;=$V$55,$Y$55*(1+($U$55)/100)^MAX(0,$C74-$AB$55),0)))))</f>
      </c>
      <c r="O74" s="43">
        <f>IF($S$55=0,0,IF(OR(DATE($C74,11,15)&lt;$S$55,AND($T$55&gt;0,DATE($C74,11,15)&gt;$T$55)),0,IF(DATE($C74,11,15)&gt;=$X$55,$AA$55*(1+($U$55)/100)^MAX(0,$C74-$AD$55),IF(DATE($C74,11,15)&gt;=$W$55,$Z$55*(1+($U$55)/100)^MAX(0,$C74-$AC$55),IF(DATE($C74,11,15)&gt;=$V$55,$Y$55*(1+($U$55)/100)^MAX(0,$C74-$AB$55),0)))))</f>
      </c>
      <c r="P74" s="43">
        <f>IF($S$55=0,0,IF(OR(DATE($C74,12,15)&lt;$S$55,AND($T$55&gt;0,DATE($C74,12,15)&gt;$T$55)),0,IF(DATE($C74,12,15)&gt;=$X$55,$AA$55*(1+($U$55)/100)^MAX(0,$C74-$AD$55),IF(DATE($C74,12,15)&gt;=$W$55,$Z$55*(1+($U$55)/100)^MAX(0,$C74-$AC$55),IF(DATE($C74,12,15)&gt;=$V$55,$Y$55*(1+($U$55)/100)^MAX(0,$C74-$AB$55),0)))))</f>
      </c>
      <c r="Q74" s="43">
        <f>SUM($E74:$P74)</f>
      </c>
    </row>
    <row r="75">
      <c r="A75"/>
      <c r="B75">
        <v>2</v>
      </c>
      <c r="C75" s="43">
        <f>Jahr+20</f>
      </c>
      <c r="D75" s="43">
        <f>INDEX(MvObj,2)</f>
      </c>
      <c r="E75" s="43">
        <f>IF($S$55=0,0,IF(OR(DATE($C75,1,15)&lt;$S$55,AND($T$55&gt;0,DATE($C75,1,15)&gt;$T$55)),0,IF(DATE($C75,1,15)&gt;=$X$55,$AA$55*(1+($U$55)/100)^MAX(0,$C75-$AD$55),IF(DATE($C75,1,15)&gt;=$W$55,$Z$55*(1+($U$55)/100)^MAX(0,$C75-$AC$55),IF(DATE($C75,1,15)&gt;=$V$55,$Y$55*(1+($U$55)/100)^MAX(0,$C75-$AB$55),0)))))</f>
      </c>
      <c r="F75" s="43">
        <f>IF($S$55=0,0,IF(OR(DATE($C75,2,15)&lt;$S$55,AND($T$55&gt;0,DATE($C75,2,15)&gt;$T$55)),0,IF(DATE($C75,2,15)&gt;=$X$55,$AA$55*(1+($U$55)/100)^MAX(0,$C75-$AD$55),IF(DATE($C75,2,15)&gt;=$W$55,$Z$55*(1+($U$55)/100)^MAX(0,$C75-$AC$55),IF(DATE($C75,2,15)&gt;=$V$55,$Y$55*(1+($U$55)/100)^MAX(0,$C75-$AB$55),0)))))</f>
      </c>
      <c r="G75" s="43">
        <f>IF($S$55=0,0,IF(OR(DATE($C75,3,15)&lt;$S$55,AND($T$55&gt;0,DATE($C75,3,15)&gt;$T$55)),0,IF(DATE($C75,3,15)&gt;=$X$55,$AA$55*(1+($U$55)/100)^MAX(0,$C75-$AD$55),IF(DATE($C75,3,15)&gt;=$W$55,$Z$55*(1+($U$55)/100)^MAX(0,$C75-$AC$55),IF(DATE($C75,3,15)&gt;=$V$55,$Y$55*(1+($U$55)/100)^MAX(0,$C75-$AB$55),0)))))</f>
      </c>
      <c r="H75" s="43">
        <f>IF($S$55=0,0,IF(OR(DATE($C75,4,15)&lt;$S$55,AND($T$55&gt;0,DATE($C75,4,15)&gt;$T$55)),0,IF(DATE($C75,4,15)&gt;=$X$55,$AA$55*(1+($U$55)/100)^MAX(0,$C75-$AD$55),IF(DATE($C75,4,15)&gt;=$W$55,$Z$55*(1+($U$55)/100)^MAX(0,$C75-$AC$55),IF(DATE($C75,4,15)&gt;=$V$55,$Y$55*(1+($U$55)/100)^MAX(0,$C75-$AB$55),0)))))</f>
      </c>
      <c r="I75" s="43">
        <f>IF($S$55=0,0,IF(OR(DATE($C75,5,15)&lt;$S$55,AND($T$55&gt;0,DATE($C75,5,15)&gt;$T$55)),0,IF(DATE($C75,5,15)&gt;=$X$55,$AA$55*(1+($U$55)/100)^MAX(0,$C75-$AD$55),IF(DATE($C75,5,15)&gt;=$W$55,$Z$55*(1+($U$55)/100)^MAX(0,$C75-$AC$55),IF(DATE($C75,5,15)&gt;=$V$55,$Y$55*(1+($U$55)/100)^MAX(0,$C75-$AB$55),0)))))</f>
      </c>
      <c r="J75" s="43">
        <f>IF($S$55=0,0,IF(OR(DATE($C75,6,15)&lt;$S$55,AND($T$55&gt;0,DATE($C75,6,15)&gt;$T$55)),0,IF(DATE($C75,6,15)&gt;=$X$55,$AA$55*(1+($U$55)/100)^MAX(0,$C75-$AD$55),IF(DATE($C75,6,15)&gt;=$W$55,$Z$55*(1+($U$55)/100)^MAX(0,$C75-$AC$55),IF(DATE($C75,6,15)&gt;=$V$55,$Y$55*(1+($U$55)/100)^MAX(0,$C75-$AB$55),0)))))</f>
      </c>
      <c r="K75" s="43">
        <f>IF($S$55=0,0,IF(OR(DATE($C75,7,15)&lt;$S$55,AND($T$55&gt;0,DATE($C75,7,15)&gt;$T$55)),0,IF(DATE($C75,7,15)&gt;=$X$55,$AA$55*(1+($U$55)/100)^MAX(0,$C75-$AD$55),IF(DATE($C75,7,15)&gt;=$W$55,$Z$55*(1+($U$55)/100)^MAX(0,$C75-$AC$55),IF(DATE($C75,7,15)&gt;=$V$55,$Y$55*(1+($U$55)/100)^MAX(0,$C75-$AB$55),0)))))</f>
      </c>
      <c r="L75" s="43">
        <f>IF($S$55=0,0,IF(OR(DATE($C75,8,15)&lt;$S$55,AND($T$55&gt;0,DATE($C75,8,15)&gt;$T$55)),0,IF(DATE($C75,8,15)&gt;=$X$55,$AA$55*(1+($U$55)/100)^MAX(0,$C75-$AD$55),IF(DATE($C75,8,15)&gt;=$W$55,$Z$55*(1+($U$55)/100)^MAX(0,$C75-$AC$55),IF(DATE($C75,8,15)&gt;=$V$55,$Y$55*(1+($U$55)/100)^MAX(0,$C75-$AB$55),0)))))</f>
      </c>
      <c r="M75" s="43">
        <f>IF($S$55=0,0,IF(OR(DATE($C75,9,15)&lt;$S$55,AND($T$55&gt;0,DATE($C75,9,15)&gt;$T$55)),0,IF(DATE($C75,9,15)&gt;=$X$55,$AA$55*(1+($U$55)/100)^MAX(0,$C75-$AD$55),IF(DATE($C75,9,15)&gt;=$W$55,$Z$55*(1+($U$55)/100)^MAX(0,$C75-$AC$55),IF(DATE($C75,9,15)&gt;=$V$55,$Y$55*(1+($U$55)/100)^MAX(0,$C75-$AB$55),0)))))</f>
      </c>
      <c r="N75" s="43">
        <f>IF($S$55=0,0,IF(OR(DATE($C75,10,15)&lt;$S$55,AND($T$55&gt;0,DATE($C75,10,15)&gt;$T$55)),0,IF(DATE($C75,10,15)&gt;=$X$55,$AA$55*(1+($U$55)/100)^MAX(0,$C75-$AD$55),IF(DATE($C75,10,15)&gt;=$W$55,$Z$55*(1+($U$55)/100)^MAX(0,$C75-$AC$55),IF(DATE($C75,10,15)&gt;=$V$55,$Y$55*(1+($U$55)/100)^MAX(0,$C75-$AB$55),0)))))</f>
      </c>
      <c r="O75" s="43">
        <f>IF($S$55=0,0,IF(OR(DATE($C75,11,15)&lt;$S$55,AND($T$55&gt;0,DATE($C75,11,15)&gt;$T$55)),0,IF(DATE($C75,11,15)&gt;=$X$55,$AA$55*(1+($U$55)/100)^MAX(0,$C75-$AD$55),IF(DATE($C75,11,15)&gt;=$W$55,$Z$55*(1+($U$55)/100)^MAX(0,$C75-$AC$55),IF(DATE($C75,11,15)&gt;=$V$55,$Y$55*(1+($U$55)/100)^MAX(0,$C75-$AB$55),0)))))</f>
      </c>
      <c r="P75" s="43">
        <f>IF($S$55=0,0,IF(OR(DATE($C75,12,15)&lt;$S$55,AND($T$55&gt;0,DATE($C75,12,15)&gt;$T$55)),0,IF(DATE($C75,12,15)&gt;=$X$55,$AA$55*(1+($U$55)/100)^MAX(0,$C75-$AD$55),IF(DATE($C75,12,15)&gt;=$W$55,$Z$55*(1+($U$55)/100)^MAX(0,$C75-$AC$55),IF(DATE($C75,12,15)&gt;=$V$55,$Y$55*(1+($U$55)/100)^MAX(0,$C75-$AB$55),0)))))</f>
      </c>
      <c r="Q75" s="43">
        <f>SUM($E75:$P75)</f>
      </c>
    </row>
    <row r="76">
      <c r="A76"/>
      <c r="B76">
        <v>2</v>
      </c>
      <c r="C76" s="43">
        <f>Jahr+21</f>
      </c>
      <c r="D76" s="43">
        <f>INDEX(MvObj,2)</f>
      </c>
      <c r="E76" s="43">
        <f>IF($S$55=0,0,IF(OR(DATE($C76,1,15)&lt;$S$55,AND($T$55&gt;0,DATE($C76,1,15)&gt;$T$55)),0,IF(DATE($C76,1,15)&gt;=$X$55,$AA$55*(1+($U$55)/100)^MAX(0,$C76-$AD$55),IF(DATE($C76,1,15)&gt;=$W$55,$Z$55*(1+($U$55)/100)^MAX(0,$C76-$AC$55),IF(DATE($C76,1,15)&gt;=$V$55,$Y$55*(1+($U$55)/100)^MAX(0,$C76-$AB$55),0)))))</f>
      </c>
      <c r="F76" s="43">
        <f>IF($S$55=0,0,IF(OR(DATE($C76,2,15)&lt;$S$55,AND($T$55&gt;0,DATE($C76,2,15)&gt;$T$55)),0,IF(DATE($C76,2,15)&gt;=$X$55,$AA$55*(1+($U$55)/100)^MAX(0,$C76-$AD$55),IF(DATE($C76,2,15)&gt;=$W$55,$Z$55*(1+($U$55)/100)^MAX(0,$C76-$AC$55),IF(DATE($C76,2,15)&gt;=$V$55,$Y$55*(1+($U$55)/100)^MAX(0,$C76-$AB$55),0)))))</f>
      </c>
      <c r="G76" s="43">
        <f>IF($S$55=0,0,IF(OR(DATE($C76,3,15)&lt;$S$55,AND($T$55&gt;0,DATE($C76,3,15)&gt;$T$55)),0,IF(DATE($C76,3,15)&gt;=$X$55,$AA$55*(1+($U$55)/100)^MAX(0,$C76-$AD$55),IF(DATE($C76,3,15)&gt;=$W$55,$Z$55*(1+($U$55)/100)^MAX(0,$C76-$AC$55),IF(DATE($C76,3,15)&gt;=$V$55,$Y$55*(1+($U$55)/100)^MAX(0,$C76-$AB$55),0)))))</f>
      </c>
      <c r="H76" s="43">
        <f>IF($S$55=0,0,IF(OR(DATE($C76,4,15)&lt;$S$55,AND($T$55&gt;0,DATE($C76,4,15)&gt;$T$55)),0,IF(DATE($C76,4,15)&gt;=$X$55,$AA$55*(1+($U$55)/100)^MAX(0,$C76-$AD$55),IF(DATE($C76,4,15)&gt;=$W$55,$Z$55*(1+($U$55)/100)^MAX(0,$C76-$AC$55),IF(DATE($C76,4,15)&gt;=$V$55,$Y$55*(1+($U$55)/100)^MAX(0,$C76-$AB$55),0)))))</f>
      </c>
      <c r="I76" s="43">
        <f>IF($S$55=0,0,IF(OR(DATE($C76,5,15)&lt;$S$55,AND($T$55&gt;0,DATE($C76,5,15)&gt;$T$55)),0,IF(DATE($C76,5,15)&gt;=$X$55,$AA$55*(1+($U$55)/100)^MAX(0,$C76-$AD$55),IF(DATE($C76,5,15)&gt;=$W$55,$Z$55*(1+($U$55)/100)^MAX(0,$C76-$AC$55),IF(DATE($C76,5,15)&gt;=$V$55,$Y$55*(1+($U$55)/100)^MAX(0,$C76-$AB$55),0)))))</f>
      </c>
      <c r="J76" s="43">
        <f>IF($S$55=0,0,IF(OR(DATE($C76,6,15)&lt;$S$55,AND($T$55&gt;0,DATE($C76,6,15)&gt;$T$55)),0,IF(DATE($C76,6,15)&gt;=$X$55,$AA$55*(1+($U$55)/100)^MAX(0,$C76-$AD$55),IF(DATE($C76,6,15)&gt;=$W$55,$Z$55*(1+($U$55)/100)^MAX(0,$C76-$AC$55),IF(DATE($C76,6,15)&gt;=$V$55,$Y$55*(1+($U$55)/100)^MAX(0,$C76-$AB$55),0)))))</f>
      </c>
      <c r="K76" s="43">
        <f>IF($S$55=0,0,IF(OR(DATE($C76,7,15)&lt;$S$55,AND($T$55&gt;0,DATE($C76,7,15)&gt;$T$55)),0,IF(DATE($C76,7,15)&gt;=$X$55,$AA$55*(1+($U$55)/100)^MAX(0,$C76-$AD$55),IF(DATE($C76,7,15)&gt;=$W$55,$Z$55*(1+($U$55)/100)^MAX(0,$C76-$AC$55),IF(DATE($C76,7,15)&gt;=$V$55,$Y$55*(1+($U$55)/100)^MAX(0,$C76-$AB$55),0)))))</f>
      </c>
      <c r="L76" s="43">
        <f>IF($S$55=0,0,IF(OR(DATE($C76,8,15)&lt;$S$55,AND($T$55&gt;0,DATE($C76,8,15)&gt;$T$55)),0,IF(DATE($C76,8,15)&gt;=$X$55,$AA$55*(1+($U$55)/100)^MAX(0,$C76-$AD$55),IF(DATE($C76,8,15)&gt;=$W$55,$Z$55*(1+($U$55)/100)^MAX(0,$C76-$AC$55),IF(DATE($C76,8,15)&gt;=$V$55,$Y$55*(1+($U$55)/100)^MAX(0,$C76-$AB$55),0)))))</f>
      </c>
      <c r="M76" s="43">
        <f>IF($S$55=0,0,IF(OR(DATE($C76,9,15)&lt;$S$55,AND($T$55&gt;0,DATE($C76,9,15)&gt;$T$55)),0,IF(DATE($C76,9,15)&gt;=$X$55,$AA$55*(1+($U$55)/100)^MAX(0,$C76-$AD$55),IF(DATE($C76,9,15)&gt;=$W$55,$Z$55*(1+($U$55)/100)^MAX(0,$C76-$AC$55),IF(DATE($C76,9,15)&gt;=$V$55,$Y$55*(1+($U$55)/100)^MAX(0,$C76-$AB$55),0)))))</f>
      </c>
      <c r="N76" s="43">
        <f>IF($S$55=0,0,IF(OR(DATE($C76,10,15)&lt;$S$55,AND($T$55&gt;0,DATE($C76,10,15)&gt;$T$55)),0,IF(DATE($C76,10,15)&gt;=$X$55,$AA$55*(1+($U$55)/100)^MAX(0,$C76-$AD$55),IF(DATE($C76,10,15)&gt;=$W$55,$Z$55*(1+($U$55)/100)^MAX(0,$C76-$AC$55),IF(DATE($C76,10,15)&gt;=$V$55,$Y$55*(1+($U$55)/100)^MAX(0,$C76-$AB$55),0)))))</f>
      </c>
      <c r="O76" s="43">
        <f>IF($S$55=0,0,IF(OR(DATE($C76,11,15)&lt;$S$55,AND($T$55&gt;0,DATE($C76,11,15)&gt;$T$55)),0,IF(DATE($C76,11,15)&gt;=$X$55,$AA$55*(1+($U$55)/100)^MAX(0,$C76-$AD$55),IF(DATE($C76,11,15)&gt;=$W$55,$Z$55*(1+($U$55)/100)^MAX(0,$C76-$AC$55),IF(DATE($C76,11,15)&gt;=$V$55,$Y$55*(1+($U$55)/100)^MAX(0,$C76-$AB$55),0)))))</f>
      </c>
      <c r="P76" s="43">
        <f>IF($S$55=0,0,IF(OR(DATE($C76,12,15)&lt;$S$55,AND($T$55&gt;0,DATE($C76,12,15)&gt;$T$55)),0,IF(DATE($C76,12,15)&gt;=$X$55,$AA$55*(1+($U$55)/100)^MAX(0,$C76-$AD$55),IF(DATE($C76,12,15)&gt;=$W$55,$Z$55*(1+($U$55)/100)^MAX(0,$C76-$AC$55),IF(DATE($C76,12,15)&gt;=$V$55,$Y$55*(1+($U$55)/100)^MAX(0,$C76-$AB$55),0)))))</f>
      </c>
      <c r="Q76" s="43">
        <f>SUM($E76:$P76)</f>
      </c>
    </row>
    <row r="77">
      <c r="A77"/>
      <c r="B77">
        <v>2</v>
      </c>
      <c r="C77" s="43">
        <f>Jahr+22</f>
      </c>
      <c r="D77" s="43">
        <f>INDEX(MvObj,2)</f>
      </c>
      <c r="E77" s="43">
        <f>IF($S$55=0,0,IF(OR(DATE($C77,1,15)&lt;$S$55,AND($T$55&gt;0,DATE($C77,1,15)&gt;$T$55)),0,IF(DATE($C77,1,15)&gt;=$X$55,$AA$55*(1+($U$55)/100)^MAX(0,$C77-$AD$55),IF(DATE($C77,1,15)&gt;=$W$55,$Z$55*(1+($U$55)/100)^MAX(0,$C77-$AC$55),IF(DATE($C77,1,15)&gt;=$V$55,$Y$55*(1+($U$55)/100)^MAX(0,$C77-$AB$55),0)))))</f>
      </c>
      <c r="F77" s="43">
        <f>IF($S$55=0,0,IF(OR(DATE($C77,2,15)&lt;$S$55,AND($T$55&gt;0,DATE($C77,2,15)&gt;$T$55)),0,IF(DATE($C77,2,15)&gt;=$X$55,$AA$55*(1+($U$55)/100)^MAX(0,$C77-$AD$55),IF(DATE($C77,2,15)&gt;=$W$55,$Z$55*(1+($U$55)/100)^MAX(0,$C77-$AC$55),IF(DATE($C77,2,15)&gt;=$V$55,$Y$55*(1+($U$55)/100)^MAX(0,$C77-$AB$55),0)))))</f>
      </c>
      <c r="G77" s="43">
        <f>IF($S$55=0,0,IF(OR(DATE($C77,3,15)&lt;$S$55,AND($T$55&gt;0,DATE($C77,3,15)&gt;$T$55)),0,IF(DATE($C77,3,15)&gt;=$X$55,$AA$55*(1+($U$55)/100)^MAX(0,$C77-$AD$55),IF(DATE($C77,3,15)&gt;=$W$55,$Z$55*(1+($U$55)/100)^MAX(0,$C77-$AC$55),IF(DATE($C77,3,15)&gt;=$V$55,$Y$55*(1+($U$55)/100)^MAX(0,$C77-$AB$55),0)))))</f>
      </c>
      <c r="H77" s="43">
        <f>IF($S$55=0,0,IF(OR(DATE($C77,4,15)&lt;$S$55,AND($T$55&gt;0,DATE($C77,4,15)&gt;$T$55)),0,IF(DATE($C77,4,15)&gt;=$X$55,$AA$55*(1+($U$55)/100)^MAX(0,$C77-$AD$55),IF(DATE($C77,4,15)&gt;=$W$55,$Z$55*(1+($U$55)/100)^MAX(0,$C77-$AC$55),IF(DATE($C77,4,15)&gt;=$V$55,$Y$55*(1+($U$55)/100)^MAX(0,$C77-$AB$55),0)))))</f>
      </c>
      <c r="I77" s="43">
        <f>IF($S$55=0,0,IF(OR(DATE($C77,5,15)&lt;$S$55,AND($T$55&gt;0,DATE($C77,5,15)&gt;$T$55)),0,IF(DATE($C77,5,15)&gt;=$X$55,$AA$55*(1+($U$55)/100)^MAX(0,$C77-$AD$55),IF(DATE($C77,5,15)&gt;=$W$55,$Z$55*(1+($U$55)/100)^MAX(0,$C77-$AC$55),IF(DATE($C77,5,15)&gt;=$V$55,$Y$55*(1+($U$55)/100)^MAX(0,$C77-$AB$55),0)))))</f>
      </c>
      <c r="J77" s="43">
        <f>IF($S$55=0,0,IF(OR(DATE($C77,6,15)&lt;$S$55,AND($T$55&gt;0,DATE($C77,6,15)&gt;$T$55)),0,IF(DATE($C77,6,15)&gt;=$X$55,$AA$55*(1+($U$55)/100)^MAX(0,$C77-$AD$55),IF(DATE($C77,6,15)&gt;=$W$55,$Z$55*(1+($U$55)/100)^MAX(0,$C77-$AC$55),IF(DATE($C77,6,15)&gt;=$V$55,$Y$55*(1+($U$55)/100)^MAX(0,$C77-$AB$55),0)))))</f>
      </c>
      <c r="K77" s="43">
        <f>IF($S$55=0,0,IF(OR(DATE($C77,7,15)&lt;$S$55,AND($T$55&gt;0,DATE($C77,7,15)&gt;$T$55)),0,IF(DATE($C77,7,15)&gt;=$X$55,$AA$55*(1+($U$55)/100)^MAX(0,$C77-$AD$55),IF(DATE($C77,7,15)&gt;=$W$55,$Z$55*(1+($U$55)/100)^MAX(0,$C77-$AC$55),IF(DATE($C77,7,15)&gt;=$V$55,$Y$55*(1+($U$55)/100)^MAX(0,$C77-$AB$55),0)))))</f>
      </c>
      <c r="L77" s="43">
        <f>IF($S$55=0,0,IF(OR(DATE($C77,8,15)&lt;$S$55,AND($T$55&gt;0,DATE($C77,8,15)&gt;$T$55)),0,IF(DATE($C77,8,15)&gt;=$X$55,$AA$55*(1+($U$55)/100)^MAX(0,$C77-$AD$55),IF(DATE($C77,8,15)&gt;=$W$55,$Z$55*(1+($U$55)/100)^MAX(0,$C77-$AC$55),IF(DATE($C77,8,15)&gt;=$V$55,$Y$55*(1+($U$55)/100)^MAX(0,$C77-$AB$55),0)))))</f>
      </c>
      <c r="M77" s="43">
        <f>IF($S$55=0,0,IF(OR(DATE($C77,9,15)&lt;$S$55,AND($T$55&gt;0,DATE($C77,9,15)&gt;$T$55)),0,IF(DATE($C77,9,15)&gt;=$X$55,$AA$55*(1+($U$55)/100)^MAX(0,$C77-$AD$55),IF(DATE($C77,9,15)&gt;=$W$55,$Z$55*(1+($U$55)/100)^MAX(0,$C77-$AC$55),IF(DATE($C77,9,15)&gt;=$V$55,$Y$55*(1+($U$55)/100)^MAX(0,$C77-$AB$55),0)))))</f>
      </c>
      <c r="N77" s="43">
        <f>IF($S$55=0,0,IF(OR(DATE($C77,10,15)&lt;$S$55,AND($T$55&gt;0,DATE($C77,10,15)&gt;$T$55)),0,IF(DATE($C77,10,15)&gt;=$X$55,$AA$55*(1+($U$55)/100)^MAX(0,$C77-$AD$55),IF(DATE($C77,10,15)&gt;=$W$55,$Z$55*(1+($U$55)/100)^MAX(0,$C77-$AC$55),IF(DATE($C77,10,15)&gt;=$V$55,$Y$55*(1+($U$55)/100)^MAX(0,$C77-$AB$55),0)))))</f>
      </c>
      <c r="O77" s="43">
        <f>IF($S$55=0,0,IF(OR(DATE($C77,11,15)&lt;$S$55,AND($T$55&gt;0,DATE($C77,11,15)&gt;$T$55)),0,IF(DATE($C77,11,15)&gt;=$X$55,$AA$55*(1+($U$55)/100)^MAX(0,$C77-$AD$55),IF(DATE($C77,11,15)&gt;=$W$55,$Z$55*(1+($U$55)/100)^MAX(0,$C77-$AC$55),IF(DATE($C77,11,15)&gt;=$V$55,$Y$55*(1+($U$55)/100)^MAX(0,$C77-$AB$55),0)))))</f>
      </c>
      <c r="P77" s="43">
        <f>IF($S$55=0,0,IF(OR(DATE($C77,12,15)&lt;$S$55,AND($T$55&gt;0,DATE($C77,12,15)&gt;$T$55)),0,IF(DATE($C77,12,15)&gt;=$X$55,$AA$55*(1+($U$55)/100)^MAX(0,$C77-$AD$55),IF(DATE($C77,12,15)&gt;=$W$55,$Z$55*(1+($U$55)/100)^MAX(0,$C77-$AC$55),IF(DATE($C77,12,15)&gt;=$V$55,$Y$55*(1+($U$55)/100)^MAX(0,$C77-$AB$55),0)))))</f>
      </c>
      <c r="Q77" s="43">
        <f>SUM($E77:$P77)</f>
      </c>
    </row>
    <row r="78">
      <c r="A78"/>
      <c r="B78">
        <v>2</v>
      </c>
      <c r="C78" s="43">
        <f>Jahr+23</f>
      </c>
      <c r="D78" s="43">
        <f>INDEX(MvObj,2)</f>
      </c>
      <c r="E78" s="43">
        <f>IF($S$55=0,0,IF(OR(DATE($C78,1,15)&lt;$S$55,AND($T$55&gt;0,DATE($C78,1,15)&gt;$T$55)),0,IF(DATE($C78,1,15)&gt;=$X$55,$AA$55*(1+($U$55)/100)^MAX(0,$C78-$AD$55),IF(DATE($C78,1,15)&gt;=$W$55,$Z$55*(1+($U$55)/100)^MAX(0,$C78-$AC$55),IF(DATE($C78,1,15)&gt;=$V$55,$Y$55*(1+($U$55)/100)^MAX(0,$C78-$AB$55),0)))))</f>
      </c>
      <c r="F78" s="43">
        <f>IF($S$55=0,0,IF(OR(DATE($C78,2,15)&lt;$S$55,AND($T$55&gt;0,DATE($C78,2,15)&gt;$T$55)),0,IF(DATE($C78,2,15)&gt;=$X$55,$AA$55*(1+($U$55)/100)^MAX(0,$C78-$AD$55),IF(DATE($C78,2,15)&gt;=$W$55,$Z$55*(1+($U$55)/100)^MAX(0,$C78-$AC$55),IF(DATE($C78,2,15)&gt;=$V$55,$Y$55*(1+($U$55)/100)^MAX(0,$C78-$AB$55),0)))))</f>
      </c>
      <c r="G78" s="43">
        <f>IF($S$55=0,0,IF(OR(DATE($C78,3,15)&lt;$S$55,AND($T$55&gt;0,DATE($C78,3,15)&gt;$T$55)),0,IF(DATE($C78,3,15)&gt;=$X$55,$AA$55*(1+($U$55)/100)^MAX(0,$C78-$AD$55),IF(DATE($C78,3,15)&gt;=$W$55,$Z$55*(1+($U$55)/100)^MAX(0,$C78-$AC$55),IF(DATE($C78,3,15)&gt;=$V$55,$Y$55*(1+($U$55)/100)^MAX(0,$C78-$AB$55),0)))))</f>
      </c>
      <c r="H78" s="43">
        <f>IF($S$55=0,0,IF(OR(DATE($C78,4,15)&lt;$S$55,AND($T$55&gt;0,DATE($C78,4,15)&gt;$T$55)),0,IF(DATE($C78,4,15)&gt;=$X$55,$AA$55*(1+($U$55)/100)^MAX(0,$C78-$AD$55),IF(DATE($C78,4,15)&gt;=$W$55,$Z$55*(1+($U$55)/100)^MAX(0,$C78-$AC$55),IF(DATE($C78,4,15)&gt;=$V$55,$Y$55*(1+($U$55)/100)^MAX(0,$C78-$AB$55),0)))))</f>
      </c>
      <c r="I78" s="43">
        <f>IF($S$55=0,0,IF(OR(DATE($C78,5,15)&lt;$S$55,AND($T$55&gt;0,DATE($C78,5,15)&gt;$T$55)),0,IF(DATE($C78,5,15)&gt;=$X$55,$AA$55*(1+($U$55)/100)^MAX(0,$C78-$AD$55),IF(DATE($C78,5,15)&gt;=$W$55,$Z$55*(1+($U$55)/100)^MAX(0,$C78-$AC$55),IF(DATE($C78,5,15)&gt;=$V$55,$Y$55*(1+($U$55)/100)^MAX(0,$C78-$AB$55),0)))))</f>
      </c>
      <c r="J78" s="43">
        <f>IF($S$55=0,0,IF(OR(DATE($C78,6,15)&lt;$S$55,AND($T$55&gt;0,DATE($C78,6,15)&gt;$T$55)),0,IF(DATE($C78,6,15)&gt;=$X$55,$AA$55*(1+($U$55)/100)^MAX(0,$C78-$AD$55),IF(DATE($C78,6,15)&gt;=$W$55,$Z$55*(1+($U$55)/100)^MAX(0,$C78-$AC$55),IF(DATE($C78,6,15)&gt;=$V$55,$Y$55*(1+($U$55)/100)^MAX(0,$C78-$AB$55),0)))))</f>
      </c>
      <c r="K78" s="43">
        <f>IF($S$55=0,0,IF(OR(DATE($C78,7,15)&lt;$S$55,AND($T$55&gt;0,DATE($C78,7,15)&gt;$T$55)),0,IF(DATE($C78,7,15)&gt;=$X$55,$AA$55*(1+($U$55)/100)^MAX(0,$C78-$AD$55),IF(DATE($C78,7,15)&gt;=$W$55,$Z$55*(1+($U$55)/100)^MAX(0,$C78-$AC$55),IF(DATE($C78,7,15)&gt;=$V$55,$Y$55*(1+($U$55)/100)^MAX(0,$C78-$AB$55),0)))))</f>
      </c>
      <c r="L78" s="43">
        <f>IF($S$55=0,0,IF(OR(DATE($C78,8,15)&lt;$S$55,AND($T$55&gt;0,DATE($C78,8,15)&gt;$T$55)),0,IF(DATE($C78,8,15)&gt;=$X$55,$AA$55*(1+($U$55)/100)^MAX(0,$C78-$AD$55),IF(DATE($C78,8,15)&gt;=$W$55,$Z$55*(1+($U$55)/100)^MAX(0,$C78-$AC$55),IF(DATE($C78,8,15)&gt;=$V$55,$Y$55*(1+($U$55)/100)^MAX(0,$C78-$AB$55),0)))))</f>
      </c>
      <c r="M78" s="43">
        <f>IF($S$55=0,0,IF(OR(DATE($C78,9,15)&lt;$S$55,AND($T$55&gt;0,DATE($C78,9,15)&gt;$T$55)),0,IF(DATE($C78,9,15)&gt;=$X$55,$AA$55*(1+($U$55)/100)^MAX(0,$C78-$AD$55),IF(DATE($C78,9,15)&gt;=$W$55,$Z$55*(1+($U$55)/100)^MAX(0,$C78-$AC$55),IF(DATE($C78,9,15)&gt;=$V$55,$Y$55*(1+($U$55)/100)^MAX(0,$C78-$AB$55),0)))))</f>
      </c>
      <c r="N78" s="43">
        <f>IF($S$55=0,0,IF(OR(DATE($C78,10,15)&lt;$S$55,AND($T$55&gt;0,DATE($C78,10,15)&gt;$T$55)),0,IF(DATE($C78,10,15)&gt;=$X$55,$AA$55*(1+($U$55)/100)^MAX(0,$C78-$AD$55),IF(DATE($C78,10,15)&gt;=$W$55,$Z$55*(1+($U$55)/100)^MAX(0,$C78-$AC$55),IF(DATE($C78,10,15)&gt;=$V$55,$Y$55*(1+($U$55)/100)^MAX(0,$C78-$AB$55),0)))))</f>
      </c>
      <c r="O78" s="43">
        <f>IF($S$55=0,0,IF(OR(DATE($C78,11,15)&lt;$S$55,AND($T$55&gt;0,DATE($C78,11,15)&gt;$T$55)),0,IF(DATE($C78,11,15)&gt;=$X$55,$AA$55*(1+($U$55)/100)^MAX(0,$C78-$AD$55),IF(DATE($C78,11,15)&gt;=$W$55,$Z$55*(1+($U$55)/100)^MAX(0,$C78-$AC$55),IF(DATE($C78,11,15)&gt;=$V$55,$Y$55*(1+($U$55)/100)^MAX(0,$C78-$AB$55),0)))))</f>
      </c>
      <c r="P78" s="43">
        <f>IF($S$55=0,0,IF(OR(DATE($C78,12,15)&lt;$S$55,AND($T$55&gt;0,DATE($C78,12,15)&gt;$T$55)),0,IF(DATE($C78,12,15)&gt;=$X$55,$AA$55*(1+($U$55)/100)^MAX(0,$C78-$AD$55),IF(DATE($C78,12,15)&gt;=$W$55,$Z$55*(1+($U$55)/100)^MAX(0,$C78-$AC$55),IF(DATE($C78,12,15)&gt;=$V$55,$Y$55*(1+($U$55)/100)^MAX(0,$C78-$AB$55),0)))))</f>
      </c>
      <c r="Q78" s="43">
        <f>SUM($E78:$P78)</f>
      </c>
    </row>
    <row r="79">
      <c r="A79"/>
      <c r="B79">
        <v>2</v>
      </c>
      <c r="C79" s="43">
        <f>Jahr+24</f>
      </c>
      <c r="D79" s="43">
        <f>INDEX(MvObj,2)</f>
      </c>
      <c r="E79" s="43">
        <f>IF($S$55=0,0,IF(OR(DATE($C79,1,15)&lt;$S$55,AND($T$55&gt;0,DATE($C79,1,15)&gt;$T$55)),0,IF(DATE($C79,1,15)&gt;=$X$55,$AA$55*(1+($U$55)/100)^MAX(0,$C79-$AD$55),IF(DATE($C79,1,15)&gt;=$W$55,$Z$55*(1+($U$55)/100)^MAX(0,$C79-$AC$55),IF(DATE($C79,1,15)&gt;=$V$55,$Y$55*(1+($U$55)/100)^MAX(0,$C79-$AB$55),0)))))</f>
      </c>
      <c r="F79" s="43">
        <f>IF($S$55=0,0,IF(OR(DATE($C79,2,15)&lt;$S$55,AND($T$55&gt;0,DATE($C79,2,15)&gt;$T$55)),0,IF(DATE($C79,2,15)&gt;=$X$55,$AA$55*(1+($U$55)/100)^MAX(0,$C79-$AD$55),IF(DATE($C79,2,15)&gt;=$W$55,$Z$55*(1+($U$55)/100)^MAX(0,$C79-$AC$55),IF(DATE($C79,2,15)&gt;=$V$55,$Y$55*(1+($U$55)/100)^MAX(0,$C79-$AB$55),0)))))</f>
      </c>
      <c r="G79" s="43">
        <f>IF($S$55=0,0,IF(OR(DATE($C79,3,15)&lt;$S$55,AND($T$55&gt;0,DATE($C79,3,15)&gt;$T$55)),0,IF(DATE($C79,3,15)&gt;=$X$55,$AA$55*(1+($U$55)/100)^MAX(0,$C79-$AD$55),IF(DATE($C79,3,15)&gt;=$W$55,$Z$55*(1+($U$55)/100)^MAX(0,$C79-$AC$55),IF(DATE($C79,3,15)&gt;=$V$55,$Y$55*(1+($U$55)/100)^MAX(0,$C79-$AB$55),0)))))</f>
      </c>
      <c r="H79" s="43">
        <f>IF($S$55=0,0,IF(OR(DATE($C79,4,15)&lt;$S$55,AND($T$55&gt;0,DATE($C79,4,15)&gt;$T$55)),0,IF(DATE($C79,4,15)&gt;=$X$55,$AA$55*(1+($U$55)/100)^MAX(0,$C79-$AD$55),IF(DATE($C79,4,15)&gt;=$W$55,$Z$55*(1+($U$55)/100)^MAX(0,$C79-$AC$55),IF(DATE($C79,4,15)&gt;=$V$55,$Y$55*(1+($U$55)/100)^MAX(0,$C79-$AB$55),0)))))</f>
      </c>
      <c r="I79" s="43">
        <f>IF($S$55=0,0,IF(OR(DATE($C79,5,15)&lt;$S$55,AND($T$55&gt;0,DATE($C79,5,15)&gt;$T$55)),0,IF(DATE($C79,5,15)&gt;=$X$55,$AA$55*(1+($U$55)/100)^MAX(0,$C79-$AD$55),IF(DATE($C79,5,15)&gt;=$W$55,$Z$55*(1+($U$55)/100)^MAX(0,$C79-$AC$55),IF(DATE($C79,5,15)&gt;=$V$55,$Y$55*(1+($U$55)/100)^MAX(0,$C79-$AB$55),0)))))</f>
      </c>
      <c r="J79" s="43">
        <f>IF($S$55=0,0,IF(OR(DATE($C79,6,15)&lt;$S$55,AND($T$55&gt;0,DATE($C79,6,15)&gt;$T$55)),0,IF(DATE($C79,6,15)&gt;=$X$55,$AA$55*(1+($U$55)/100)^MAX(0,$C79-$AD$55),IF(DATE($C79,6,15)&gt;=$W$55,$Z$55*(1+($U$55)/100)^MAX(0,$C79-$AC$55),IF(DATE($C79,6,15)&gt;=$V$55,$Y$55*(1+($U$55)/100)^MAX(0,$C79-$AB$55),0)))))</f>
      </c>
      <c r="K79" s="43">
        <f>IF($S$55=0,0,IF(OR(DATE($C79,7,15)&lt;$S$55,AND($T$55&gt;0,DATE($C79,7,15)&gt;$T$55)),0,IF(DATE($C79,7,15)&gt;=$X$55,$AA$55*(1+($U$55)/100)^MAX(0,$C79-$AD$55),IF(DATE($C79,7,15)&gt;=$W$55,$Z$55*(1+($U$55)/100)^MAX(0,$C79-$AC$55),IF(DATE($C79,7,15)&gt;=$V$55,$Y$55*(1+($U$55)/100)^MAX(0,$C79-$AB$55),0)))))</f>
      </c>
      <c r="L79" s="43">
        <f>IF($S$55=0,0,IF(OR(DATE($C79,8,15)&lt;$S$55,AND($T$55&gt;0,DATE($C79,8,15)&gt;$T$55)),0,IF(DATE($C79,8,15)&gt;=$X$55,$AA$55*(1+($U$55)/100)^MAX(0,$C79-$AD$55),IF(DATE($C79,8,15)&gt;=$W$55,$Z$55*(1+($U$55)/100)^MAX(0,$C79-$AC$55),IF(DATE($C79,8,15)&gt;=$V$55,$Y$55*(1+($U$55)/100)^MAX(0,$C79-$AB$55),0)))))</f>
      </c>
      <c r="M79" s="43">
        <f>IF($S$55=0,0,IF(OR(DATE($C79,9,15)&lt;$S$55,AND($T$55&gt;0,DATE($C79,9,15)&gt;$T$55)),0,IF(DATE($C79,9,15)&gt;=$X$55,$AA$55*(1+($U$55)/100)^MAX(0,$C79-$AD$55),IF(DATE($C79,9,15)&gt;=$W$55,$Z$55*(1+($U$55)/100)^MAX(0,$C79-$AC$55),IF(DATE($C79,9,15)&gt;=$V$55,$Y$55*(1+($U$55)/100)^MAX(0,$C79-$AB$55),0)))))</f>
      </c>
      <c r="N79" s="43">
        <f>IF($S$55=0,0,IF(OR(DATE($C79,10,15)&lt;$S$55,AND($T$55&gt;0,DATE($C79,10,15)&gt;$T$55)),0,IF(DATE($C79,10,15)&gt;=$X$55,$AA$55*(1+($U$55)/100)^MAX(0,$C79-$AD$55),IF(DATE($C79,10,15)&gt;=$W$55,$Z$55*(1+($U$55)/100)^MAX(0,$C79-$AC$55),IF(DATE($C79,10,15)&gt;=$V$55,$Y$55*(1+($U$55)/100)^MAX(0,$C79-$AB$55),0)))))</f>
      </c>
      <c r="O79" s="43">
        <f>IF($S$55=0,0,IF(OR(DATE($C79,11,15)&lt;$S$55,AND($T$55&gt;0,DATE($C79,11,15)&gt;$T$55)),0,IF(DATE($C79,11,15)&gt;=$X$55,$AA$55*(1+($U$55)/100)^MAX(0,$C79-$AD$55),IF(DATE($C79,11,15)&gt;=$W$55,$Z$55*(1+($U$55)/100)^MAX(0,$C79-$AC$55),IF(DATE($C79,11,15)&gt;=$V$55,$Y$55*(1+($U$55)/100)^MAX(0,$C79-$AB$55),0)))))</f>
      </c>
      <c r="P79" s="43">
        <f>IF($S$55=0,0,IF(OR(DATE($C79,12,15)&lt;$S$55,AND($T$55&gt;0,DATE($C79,12,15)&gt;$T$55)),0,IF(DATE($C79,12,15)&gt;=$X$55,$AA$55*(1+($U$55)/100)^MAX(0,$C79-$AD$55),IF(DATE($C79,12,15)&gt;=$W$55,$Z$55*(1+($U$55)/100)^MAX(0,$C79-$AC$55),IF(DATE($C79,12,15)&gt;=$V$55,$Y$55*(1+($U$55)/100)^MAX(0,$C79-$AB$55),0)))))</f>
      </c>
      <c r="Q79" s="43">
        <f>SUM($E79:$P79)</f>
      </c>
    </row>
    <row r="80">
      <c r="A80"/>
      <c r="B80">
        <v>2</v>
      </c>
      <c r="C80" s="43">
        <f>Jahr+25</f>
      </c>
      <c r="D80" s="43">
        <f>INDEX(MvObj,2)</f>
      </c>
      <c r="E80" s="43">
        <f>IF($S$55=0,0,IF(OR(DATE($C80,1,15)&lt;$S$55,AND($T$55&gt;0,DATE($C80,1,15)&gt;$T$55)),0,IF(DATE($C80,1,15)&gt;=$X$55,$AA$55*(1+($U$55)/100)^MAX(0,$C80-$AD$55),IF(DATE($C80,1,15)&gt;=$W$55,$Z$55*(1+($U$55)/100)^MAX(0,$C80-$AC$55),IF(DATE($C80,1,15)&gt;=$V$55,$Y$55*(1+($U$55)/100)^MAX(0,$C80-$AB$55),0)))))</f>
      </c>
      <c r="F80" s="43">
        <f>IF($S$55=0,0,IF(OR(DATE($C80,2,15)&lt;$S$55,AND($T$55&gt;0,DATE($C80,2,15)&gt;$T$55)),0,IF(DATE($C80,2,15)&gt;=$X$55,$AA$55*(1+($U$55)/100)^MAX(0,$C80-$AD$55),IF(DATE($C80,2,15)&gt;=$W$55,$Z$55*(1+($U$55)/100)^MAX(0,$C80-$AC$55),IF(DATE($C80,2,15)&gt;=$V$55,$Y$55*(1+($U$55)/100)^MAX(0,$C80-$AB$55),0)))))</f>
      </c>
      <c r="G80" s="43">
        <f>IF($S$55=0,0,IF(OR(DATE($C80,3,15)&lt;$S$55,AND($T$55&gt;0,DATE($C80,3,15)&gt;$T$55)),0,IF(DATE($C80,3,15)&gt;=$X$55,$AA$55*(1+($U$55)/100)^MAX(0,$C80-$AD$55),IF(DATE($C80,3,15)&gt;=$W$55,$Z$55*(1+($U$55)/100)^MAX(0,$C80-$AC$55),IF(DATE($C80,3,15)&gt;=$V$55,$Y$55*(1+($U$55)/100)^MAX(0,$C80-$AB$55),0)))))</f>
      </c>
      <c r="H80" s="43">
        <f>IF($S$55=0,0,IF(OR(DATE($C80,4,15)&lt;$S$55,AND($T$55&gt;0,DATE($C80,4,15)&gt;$T$55)),0,IF(DATE($C80,4,15)&gt;=$X$55,$AA$55*(1+($U$55)/100)^MAX(0,$C80-$AD$55),IF(DATE($C80,4,15)&gt;=$W$55,$Z$55*(1+($U$55)/100)^MAX(0,$C80-$AC$55),IF(DATE($C80,4,15)&gt;=$V$55,$Y$55*(1+($U$55)/100)^MAX(0,$C80-$AB$55),0)))))</f>
      </c>
      <c r="I80" s="43">
        <f>IF($S$55=0,0,IF(OR(DATE($C80,5,15)&lt;$S$55,AND($T$55&gt;0,DATE($C80,5,15)&gt;$T$55)),0,IF(DATE($C80,5,15)&gt;=$X$55,$AA$55*(1+($U$55)/100)^MAX(0,$C80-$AD$55),IF(DATE($C80,5,15)&gt;=$W$55,$Z$55*(1+($U$55)/100)^MAX(0,$C80-$AC$55),IF(DATE($C80,5,15)&gt;=$V$55,$Y$55*(1+($U$55)/100)^MAX(0,$C80-$AB$55),0)))))</f>
      </c>
      <c r="J80" s="43">
        <f>IF($S$55=0,0,IF(OR(DATE($C80,6,15)&lt;$S$55,AND($T$55&gt;0,DATE($C80,6,15)&gt;$T$55)),0,IF(DATE($C80,6,15)&gt;=$X$55,$AA$55*(1+($U$55)/100)^MAX(0,$C80-$AD$55),IF(DATE($C80,6,15)&gt;=$W$55,$Z$55*(1+($U$55)/100)^MAX(0,$C80-$AC$55),IF(DATE($C80,6,15)&gt;=$V$55,$Y$55*(1+($U$55)/100)^MAX(0,$C80-$AB$55),0)))))</f>
      </c>
      <c r="K80" s="43">
        <f>IF($S$55=0,0,IF(OR(DATE($C80,7,15)&lt;$S$55,AND($T$55&gt;0,DATE($C80,7,15)&gt;$T$55)),0,IF(DATE($C80,7,15)&gt;=$X$55,$AA$55*(1+($U$55)/100)^MAX(0,$C80-$AD$55),IF(DATE($C80,7,15)&gt;=$W$55,$Z$55*(1+($U$55)/100)^MAX(0,$C80-$AC$55),IF(DATE($C80,7,15)&gt;=$V$55,$Y$55*(1+($U$55)/100)^MAX(0,$C80-$AB$55),0)))))</f>
      </c>
      <c r="L80" s="43">
        <f>IF($S$55=0,0,IF(OR(DATE($C80,8,15)&lt;$S$55,AND($T$55&gt;0,DATE($C80,8,15)&gt;$T$55)),0,IF(DATE($C80,8,15)&gt;=$X$55,$AA$55*(1+($U$55)/100)^MAX(0,$C80-$AD$55),IF(DATE($C80,8,15)&gt;=$W$55,$Z$55*(1+($U$55)/100)^MAX(0,$C80-$AC$55),IF(DATE($C80,8,15)&gt;=$V$55,$Y$55*(1+($U$55)/100)^MAX(0,$C80-$AB$55),0)))))</f>
      </c>
      <c r="M80" s="43">
        <f>IF($S$55=0,0,IF(OR(DATE($C80,9,15)&lt;$S$55,AND($T$55&gt;0,DATE($C80,9,15)&gt;$T$55)),0,IF(DATE($C80,9,15)&gt;=$X$55,$AA$55*(1+($U$55)/100)^MAX(0,$C80-$AD$55),IF(DATE($C80,9,15)&gt;=$W$55,$Z$55*(1+($U$55)/100)^MAX(0,$C80-$AC$55),IF(DATE($C80,9,15)&gt;=$V$55,$Y$55*(1+($U$55)/100)^MAX(0,$C80-$AB$55),0)))))</f>
      </c>
      <c r="N80" s="43">
        <f>IF($S$55=0,0,IF(OR(DATE($C80,10,15)&lt;$S$55,AND($T$55&gt;0,DATE($C80,10,15)&gt;$T$55)),0,IF(DATE($C80,10,15)&gt;=$X$55,$AA$55*(1+($U$55)/100)^MAX(0,$C80-$AD$55),IF(DATE($C80,10,15)&gt;=$W$55,$Z$55*(1+($U$55)/100)^MAX(0,$C80-$AC$55),IF(DATE($C80,10,15)&gt;=$V$55,$Y$55*(1+($U$55)/100)^MAX(0,$C80-$AB$55),0)))))</f>
      </c>
      <c r="O80" s="43">
        <f>IF($S$55=0,0,IF(OR(DATE($C80,11,15)&lt;$S$55,AND($T$55&gt;0,DATE($C80,11,15)&gt;$T$55)),0,IF(DATE($C80,11,15)&gt;=$X$55,$AA$55*(1+($U$55)/100)^MAX(0,$C80-$AD$55),IF(DATE($C80,11,15)&gt;=$W$55,$Z$55*(1+($U$55)/100)^MAX(0,$C80-$AC$55),IF(DATE($C80,11,15)&gt;=$V$55,$Y$55*(1+($U$55)/100)^MAX(0,$C80-$AB$55),0)))))</f>
      </c>
      <c r="P80" s="43">
        <f>IF($S$55=0,0,IF(OR(DATE($C80,12,15)&lt;$S$55,AND($T$55&gt;0,DATE($C80,12,15)&gt;$T$55)),0,IF(DATE($C80,12,15)&gt;=$X$55,$AA$55*(1+($U$55)/100)^MAX(0,$C80-$AD$55),IF(DATE($C80,12,15)&gt;=$W$55,$Z$55*(1+($U$55)/100)^MAX(0,$C80-$AC$55),IF(DATE($C80,12,15)&gt;=$V$55,$Y$55*(1+($U$55)/100)^MAX(0,$C80-$AB$55),0)))))</f>
      </c>
      <c r="Q80" s="43">
        <f>SUM($E80:$P80)</f>
      </c>
    </row>
    <row r="81">
      <c r="A81"/>
      <c r="B81">
        <v>2</v>
      </c>
      <c r="C81" s="43">
        <f>Jahr+26</f>
      </c>
      <c r="D81" s="43">
        <f>INDEX(MvObj,2)</f>
      </c>
      <c r="E81" s="43">
        <f>IF($S$55=0,0,IF(OR(DATE($C81,1,15)&lt;$S$55,AND($T$55&gt;0,DATE($C81,1,15)&gt;$T$55)),0,IF(DATE($C81,1,15)&gt;=$X$55,$AA$55*(1+($U$55)/100)^MAX(0,$C81-$AD$55),IF(DATE($C81,1,15)&gt;=$W$55,$Z$55*(1+($U$55)/100)^MAX(0,$C81-$AC$55),IF(DATE($C81,1,15)&gt;=$V$55,$Y$55*(1+($U$55)/100)^MAX(0,$C81-$AB$55),0)))))</f>
      </c>
      <c r="F81" s="43">
        <f>IF($S$55=0,0,IF(OR(DATE($C81,2,15)&lt;$S$55,AND($T$55&gt;0,DATE($C81,2,15)&gt;$T$55)),0,IF(DATE($C81,2,15)&gt;=$X$55,$AA$55*(1+($U$55)/100)^MAX(0,$C81-$AD$55),IF(DATE($C81,2,15)&gt;=$W$55,$Z$55*(1+($U$55)/100)^MAX(0,$C81-$AC$55),IF(DATE($C81,2,15)&gt;=$V$55,$Y$55*(1+($U$55)/100)^MAX(0,$C81-$AB$55),0)))))</f>
      </c>
      <c r="G81" s="43">
        <f>IF($S$55=0,0,IF(OR(DATE($C81,3,15)&lt;$S$55,AND($T$55&gt;0,DATE($C81,3,15)&gt;$T$55)),0,IF(DATE($C81,3,15)&gt;=$X$55,$AA$55*(1+($U$55)/100)^MAX(0,$C81-$AD$55),IF(DATE($C81,3,15)&gt;=$W$55,$Z$55*(1+($U$55)/100)^MAX(0,$C81-$AC$55),IF(DATE($C81,3,15)&gt;=$V$55,$Y$55*(1+($U$55)/100)^MAX(0,$C81-$AB$55),0)))))</f>
      </c>
      <c r="H81" s="43">
        <f>IF($S$55=0,0,IF(OR(DATE($C81,4,15)&lt;$S$55,AND($T$55&gt;0,DATE($C81,4,15)&gt;$T$55)),0,IF(DATE($C81,4,15)&gt;=$X$55,$AA$55*(1+($U$55)/100)^MAX(0,$C81-$AD$55),IF(DATE($C81,4,15)&gt;=$W$55,$Z$55*(1+($U$55)/100)^MAX(0,$C81-$AC$55),IF(DATE($C81,4,15)&gt;=$V$55,$Y$55*(1+($U$55)/100)^MAX(0,$C81-$AB$55),0)))))</f>
      </c>
      <c r="I81" s="43">
        <f>IF($S$55=0,0,IF(OR(DATE($C81,5,15)&lt;$S$55,AND($T$55&gt;0,DATE($C81,5,15)&gt;$T$55)),0,IF(DATE($C81,5,15)&gt;=$X$55,$AA$55*(1+($U$55)/100)^MAX(0,$C81-$AD$55),IF(DATE($C81,5,15)&gt;=$W$55,$Z$55*(1+($U$55)/100)^MAX(0,$C81-$AC$55),IF(DATE($C81,5,15)&gt;=$V$55,$Y$55*(1+($U$55)/100)^MAX(0,$C81-$AB$55),0)))))</f>
      </c>
      <c r="J81" s="43">
        <f>IF($S$55=0,0,IF(OR(DATE($C81,6,15)&lt;$S$55,AND($T$55&gt;0,DATE($C81,6,15)&gt;$T$55)),0,IF(DATE($C81,6,15)&gt;=$X$55,$AA$55*(1+($U$55)/100)^MAX(0,$C81-$AD$55),IF(DATE($C81,6,15)&gt;=$W$55,$Z$55*(1+($U$55)/100)^MAX(0,$C81-$AC$55),IF(DATE($C81,6,15)&gt;=$V$55,$Y$55*(1+($U$55)/100)^MAX(0,$C81-$AB$55),0)))))</f>
      </c>
      <c r="K81" s="43">
        <f>IF($S$55=0,0,IF(OR(DATE($C81,7,15)&lt;$S$55,AND($T$55&gt;0,DATE($C81,7,15)&gt;$T$55)),0,IF(DATE($C81,7,15)&gt;=$X$55,$AA$55*(1+($U$55)/100)^MAX(0,$C81-$AD$55),IF(DATE($C81,7,15)&gt;=$W$55,$Z$55*(1+($U$55)/100)^MAX(0,$C81-$AC$55),IF(DATE($C81,7,15)&gt;=$V$55,$Y$55*(1+($U$55)/100)^MAX(0,$C81-$AB$55),0)))))</f>
      </c>
      <c r="L81" s="43">
        <f>IF($S$55=0,0,IF(OR(DATE($C81,8,15)&lt;$S$55,AND($T$55&gt;0,DATE($C81,8,15)&gt;$T$55)),0,IF(DATE($C81,8,15)&gt;=$X$55,$AA$55*(1+($U$55)/100)^MAX(0,$C81-$AD$55),IF(DATE($C81,8,15)&gt;=$W$55,$Z$55*(1+($U$55)/100)^MAX(0,$C81-$AC$55),IF(DATE($C81,8,15)&gt;=$V$55,$Y$55*(1+($U$55)/100)^MAX(0,$C81-$AB$55),0)))))</f>
      </c>
      <c r="M81" s="43">
        <f>IF($S$55=0,0,IF(OR(DATE($C81,9,15)&lt;$S$55,AND($T$55&gt;0,DATE($C81,9,15)&gt;$T$55)),0,IF(DATE($C81,9,15)&gt;=$X$55,$AA$55*(1+($U$55)/100)^MAX(0,$C81-$AD$55),IF(DATE($C81,9,15)&gt;=$W$55,$Z$55*(1+($U$55)/100)^MAX(0,$C81-$AC$55),IF(DATE($C81,9,15)&gt;=$V$55,$Y$55*(1+($U$55)/100)^MAX(0,$C81-$AB$55),0)))))</f>
      </c>
      <c r="N81" s="43">
        <f>IF($S$55=0,0,IF(OR(DATE($C81,10,15)&lt;$S$55,AND($T$55&gt;0,DATE($C81,10,15)&gt;$T$55)),0,IF(DATE($C81,10,15)&gt;=$X$55,$AA$55*(1+($U$55)/100)^MAX(0,$C81-$AD$55),IF(DATE($C81,10,15)&gt;=$W$55,$Z$55*(1+($U$55)/100)^MAX(0,$C81-$AC$55),IF(DATE($C81,10,15)&gt;=$V$55,$Y$55*(1+($U$55)/100)^MAX(0,$C81-$AB$55),0)))))</f>
      </c>
      <c r="O81" s="43">
        <f>IF($S$55=0,0,IF(OR(DATE($C81,11,15)&lt;$S$55,AND($T$55&gt;0,DATE($C81,11,15)&gt;$T$55)),0,IF(DATE($C81,11,15)&gt;=$X$55,$AA$55*(1+($U$55)/100)^MAX(0,$C81-$AD$55),IF(DATE($C81,11,15)&gt;=$W$55,$Z$55*(1+($U$55)/100)^MAX(0,$C81-$AC$55),IF(DATE($C81,11,15)&gt;=$V$55,$Y$55*(1+($U$55)/100)^MAX(0,$C81-$AB$55),0)))))</f>
      </c>
      <c r="P81" s="43">
        <f>IF($S$55=0,0,IF(OR(DATE($C81,12,15)&lt;$S$55,AND($T$55&gt;0,DATE($C81,12,15)&gt;$T$55)),0,IF(DATE($C81,12,15)&gt;=$X$55,$AA$55*(1+($U$55)/100)^MAX(0,$C81-$AD$55),IF(DATE($C81,12,15)&gt;=$W$55,$Z$55*(1+($U$55)/100)^MAX(0,$C81-$AC$55),IF(DATE($C81,12,15)&gt;=$V$55,$Y$55*(1+($U$55)/100)^MAX(0,$C81-$AB$55),0)))))</f>
      </c>
      <c r="Q81" s="43">
        <f>SUM($E81:$P81)</f>
      </c>
    </row>
    <row r="82">
      <c r="A82"/>
      <c r="B82">
        <v>2</v>
      </c>
      <c r="C82" s="43">
        <f>Jahr+27</f>
      </c>
      <c r="D82" s="43">
        <f>INDEX(MvObj,2)</f>
      </c>
      <c r="E82" s="43">
        <f>IF($S$55=0,0,IF(OR(DATE($C82,1,15)&lt;$S$55,AND($T$55&gt;0,DATE($C82,1,15)&gt;$T$55)),0,IF(DATE($C82,1,15)&gt;=$X$55,$AA$55*(1+($U$55)/100)^MAX(0,$C82-$AD$55),IF(DATE($C82,1,15)&gt;=$W$55,$Z$55*(1+($U$55)/100)^MAX(0,$C82-$AC$55),IF(DATE($C82,1,15)&gt;=$V$55,$Y$55*(1+($U$55)/100)^MAX(0,$C82-$AB$55),0)))))</f>
      </c>
      <c r="F82" s="43">
        <f>IF($S$55=0,0,IF(OR(DATE($C82,2,15)&lt;$S$55,AND($T$55&gt;0,DATE($C82,2,15)&gt;$T$55)),0,IF(DATE($C82,2,15)&gt;=$X$55,$AA$55*(1+($U$55)/100)^MAX(0,$C82-$AD$55),IF(DATE($C82,2,15)&gt;=$W$55,$Z$55*(1+($U$55)/100)^MAX(0,$C82-$AC$55),IF(DATE($C82,2,15)&gt;=$V$55,$Y$55*(1+($U$55)/100)^MAX(0,$C82-$AB$55),0)))))</f>
      </c>
      <c r="G82" s="43">
        <f>IF($S$55=0,0,IF(OR(DATE($C82,3,15)&lt;$S$55,AND($T$55&gt;0,DATE($C82,3,15)&gt;$T$55)),0,IF(DATE($C82,3,15)&gt;=$X$55,$AA$55*(1+($U$55)/100)^MAX(0,$C82-$AD$55),IF(DATE($C82,3,15)&gt;=$W$55,$Z$55*(1+($U$55)/100)^MAX(0,$C82-$AC$55),IF(DATE($C82,3,15)&gt;=$V$55,$Y$55*(1+($U$55)/100)^MAX(0,$C82-$AB$55),0)))))</f>
      </c>
      <c r="H82" s="43">
        <f>IF($S$55=0,0,IF(OR(DATE($C82,4,15)&lt;$S$55,AND($T$55&gt;0,DATE($C82,4,15)&gt;$T$55)),0,IF(DATE($C82,4,15)&gt;=$X$55,$AA$55*(1+($U$55)/100)^MAX(0,$C82-$AD$55),IF(DATE($C82,4,15)&gt;=$W$55,$Z$55*(1+($U$55)/100)^MAX(0,$C82-$AC$55),IF(DATE($C82,4,15)&gt;=$V$55,$Y$55*(1+($U$55)/100)^MAX(0,$C82-$AB$55),0)))))</f>
      </c>
      <c r="I82" s="43">
        <f>IF($S$55=0,0,IF(OR(DATE($C82,5,15)&lt;$S$55,AND($T$55&gt;0,DATE($C82,5,15)&gt;$T$55)),0,IF(DATE($C82,5,15)&gt;=$X$55,$AA$55*(1+($U$55)/100)^MAX(0,$C82-$AD$55),IF(DATE($C82,5,15)&gt;=$W$55,$Z$55*(1+($U$55)/100)^MAX(0,$C82-$AC$55),IF(DATE($C82,5,15)&gt;=$V$55,$Y$55*(1+($U$55)/100)^MAX(0,$C82-$AB$55),0)))))</f>
      </c>
      <c r="J82" s="43">
        <f>IF($S$55=0,0,IF(OR(DATE($C82,6,15)&lt;$S$55,AND($T$55&gt;0,DATE($C82,6,15)&gt;$T$55)),0,IF(DATE($C82,6,15)&gt;=$X$55,$AA$55*(1+($U$55)/100)^MAX(0,$C82-$AD$55),IF(DATE($C82,6,15)&gt;=$W$55,$Z$55*(1+($U$55)/100)^MAX(0,$C82-$AC$55),IF(DATE($C82,6,15)&gt;=$V$55,$Y$55*(1+($U$55)/100)^MAX(0,$C82-$AB$55),0)))))</f>
      </c>
      <c r="K82" s="43">
        <f>IF($S$55=0,0,IF(OR(DATE($C82,7,15)&lt;$S$55,AND($T$55&gt;0,DATE($C82,7,15)&gt;$T$55)),0,IF(DATE($C82,7,15)&gt;=$X$55,$AA$55*(1+($U$55)/100)^MAX(0,$C82-$AD$55),IF(DATE($C82,7,15)&gt;=$W$55,$Z$55*(1+($U$55)/100)^MAX(0,$C82-$AC$55),IF(DATE($C82,7,15)&gt;=$V$55,$Y$55*(1+($U$55)/100)^MAX(0,$C82-$AB$55),0)))))</f>
      </c>
      <c r="L82" s="43">
        <f>IF($S$55=0,0,IF(OR(DATE($C82,8,15)&lt;$S$55,AND($T$55&gt;0,DATE($C82,8,15)&gt;$T$55)),0,IF(DATE($C82,8,15)&gt;=$X$55,$AA$55*(1+($U$55)/100)^MAX(0,$C82-$AD$55),IF(DATE($C82,8,15)&gt;=$W$55,$Z$55*(1+($U$55)/100)^MAX(0,$C82-$AC$55),IF(DATE($C82,8,15)&gt;=$V$55,$Y$55*(1+($U$55)/100)^MAX(0,$C82-$AB$55),0)))))</f>
      </c>
      <c r="M82" s="43">
        <f>IF($S$55=0,0,IF(OR(DATE($C82,9,15)&lt;$S$55,AND($T$55&gt;0,DATE($C82,9,15)&gt;$T$55)),0,IF(DATE($C82,9,15)&gt;=$X$55,$AA$55*(1+($U$55)/100)^MAX(0,$C82-$AD$55),IF(DATE($C82,9,15)&gt;=$W$55,$Z$55*(1+($U$55)/100)^MAX(0,$C82-$AC$55),IF(DATE($C82,9,15)&gt;=$V$55,$Y$55*(1+($U$55)/100)^MAX(0,$C82-$AB$55),0)))))</f>
      </c>
      <c r="N82" s="43">
        <f>IF($S$55=0,0,IF(OR(DATE($C82,10,15)&lt;$S$55,AND($T$55&gt;0,DATE($C82,10,15)&gt;$T$55)),0,IF(DATE($C82,10,15)&gt;=$X$55,$AA$55*(1+($U$55)/100)^MAX(0,$C82-$AD$55),IF(DATE($C82,10,15)&gt;=$W$55,$Z$55*(1+($U$55)/100)^MAX(0,$C82-$AC$55),IF(DATE($C82,10,15)&gt;=$V$55,$Y$55*(1+($U$55)/100)^MAX(0,$C82-$AB$55),0)))))</f>
      </c>
      <c r="O82" s="43">
        <f>IF($S$55=0,0,IF(OR(DATE($C82,11,15)&lt;$S$55,AND($T$55&gt;0,DATE($C82,11,15)&gt;$T$55)),0,IF(DATE($C82,11,15)&gt;=$X$55,$AA$55*(1+($U$55)/100)^MAX(0,$C82-$AD$55),IF(DATE($C82,11,15)&gt;=$W$55,$Z$55*(1+($U$55)/100)^MAX(0,$C82-$AC$55),IF(DATE($C82,11,15)&gt;=$V$55,$Y$55*(1+($U$55)/100)^MAX(0,$C82-$AB$55),0)))))</f>
      </c>
      <c r="P82" s="43">
        <f>IF($S$55=0,0,IF(OR(DATE($C82,12,15)&lt;$S$55,AND($T$55&gt;0,DATE($C82,12,15)&gt;$T$55)),0,IF(DATE($C82,12,15)&gt;=$X$55,$AA$55*(1+($U$55)/100)^MAX(0,$C82-$AD$55),IF(DATE($C82,12,15)&gt;=$W$55,$Z$55*(1+($U$55)/100)^MAX(0,$C82-$AC$55),IF(DATE($C82,12,15)&gt;=$V$55,$Y$55*(1+($U$55)/100)^MAX(0,$C82-$AB$55),0)))))</f>
      </c>
      <c r="Q82" s="43">
        <f>SUM($E82:$P82)</f>
      </c>
    </row>
    <row r="83">
      <c r="A83"/>
      <c r="B83">
        <v>2</v>
      </c>
      <c r="C83" s="43">
        <f>Jahr+28</f>
      </c>
      <c r="D83" s="43">
        <f>INDEX(MvObj,2)</f>
      </c>
      <c r="E83" s="43">
        <f>IF($S$55=0,0,IF(OR(DATE($C83,1,15)&lt;$S$55,AND($T$55&gt;0,DATE($C83,1,15)&gt;$T$55)),0,IF(DATE($C83,1,15)&gt;=$X$55,$AA$55*(1+($U$55)/100)^MAX(0,$C83-$AD$55),IF(DATE($C83,1,15)&gt;=$W$55,$Z$55*(1+($U$55)/100)^MAX(0,$C83-$AC$55),IF(DATE($C83,1,15)&gt;=$V$55,$Y$55*(1+($U$55)/100)^MAX(0,$C83-$AB$55),0)))))</f>
      </c>
      <c r="F83" s="43">
        <f>IF($S$55=0,0,IF(OR(DATE($C83,2,15)&lt;$S$55,AND($T$55&gt;0,DATE($C83,2,15)&gt;$T$55)),0,IF(DATE($C83,2,15)&gt;=$X$55,$AA$55*(1+($U$55)/100)^MAX(0,$C83-$AD$55),IF(DATE($C83,2,15)&gt;=$W$55,$Z$55*(1+($U$55)/100)^MAX(0,$C83-$AC$55),IF(DATE($C83,2,15)&gt;=$V$55,$Y$55*(1+($U$55)/100)^MAX(0,$C83-$AB$55),0)))))</f>
      </c>
      <c r="G83" s="43">
        <f>IF($S$55=0,0,IF(OR(DATE($C83,3,15)&lt;$S$55,AND($T$55&gt;0,DATE($C83,3,15)&gt;$T$55)),0,IF(DATE($C83,3,15)&gt;=$X$55,$AA$55*(1+($U$55)/100)^MAX(0,$C83-$AD$55),IF(DATE($C83,3,15)&gt;=$W$55,$Z$55*(1+($U$55)/100)^MAX(0,$C83-$AC$55),IF(DATE($C83,3,15)&gt;=$V$55,$Y$55*(1+($U$55)/100)^MAX(0,$C83-$AB$55),0)))))</f>
      </c>
      <c r="H83" s="43">
        <f>IF($S$55=0,0,IF(OR(DATE($C83,4,15)&lt;$S$55,AND($T$55&gt;0,DATE($C83,4,15)&gt;$T$55)),0,IF(DATE($C83,4,15)&gt;=$X$55,$AA$55*(1+($U$55)/100)^MAX(0,$C83-$AD$55),IF(DATE($C83,4,15)&gt;=$W$55,$Z$55*(1+($U$55)/100)^MAX(0,$C83-$AC$55),IF(DATE($C83,4,15)&gt;=$V$55,$Y$55*(1+($U$55)/100)^MAX(0,$C83-$AB$55),0)))))</f>
      </c>
      <c r="I83" s="43">
        <f>IF($S$55=0,0,IF(OR(DATE($C83,5,15)&lt;$S$55,AND($T$55&gt;0,DATE($C83,5,15)&gt;$T$55)),0,IF(DATE($C83,5,15)&gt;=$X$55,$AA$55*(1+($U$55)/100)^MAX(0,$C83-$AD$55),IF(DATE($C83,5,15)&gt;=$W$55,$Z$55*(1+($U$55)/100)^MAX(0,$C83-$AC$55),IF(DATE($C83,5,15)&gt;=$V$55,$Y$55*(1+($U$55)/100)^MAX(0,$C83-$AB$55),0)))))</f>
      </c>
      <c r="J83" s="43">
        <f>IF($S$55=0,0,IF(OR(DATE($C83,6,15)&lt;$S$55,AND($T$55&gt;0,DATE($C83,6,15)&gt;$T$55)),0,IF(DATE($C83,6,15)&gt;=$X$55,$AA$55*(1+($U$55)/100)^MAX(0,$C83-$AD$55),IF(DATE($C83,6,15)&gt;=$W$55,$Z$55*(1+($U$55)/100)^MAX(0,$C83-$AC$55),IF(DATE($C83,6,15)&gt;=$V$55,$Y$55*(1+($U$55)/100)^MAX(0,$C83-$AB$55),0)))))</f>
      </c>
      <c r="K83" s="43">
        <f>IF($S$55=0,0,IF(OR(DATE($C83,7,15)&lt;$S$55,AND($T$55&gt;0,DATE($C83,7,15)&gt;$T$55)),0,IF(DATE($C83,7,15)&gt;=$X$55,$AA$55*(1+($U$55)/100)^MAX(0,$C83-$AD$55),IF(DATE($C83,7,15)&gt;=$W$55,$Z$55*(1+($U$55)/100)^MAX(0,$C83-$AC$55),IF(DATE($C83,7,15)&gt;=$V$55,$Y$55*(1+($U$55)/100)^MAX(0,$C83-$AB$55),0)))))</f>
      </c>
      <c r="L83" s="43">
        <f>IF($S$55=0,0,IF(OR(DATE($C83,8,15)&lt;$S$55,AND($T$55&gt;0,DATE($C83,8,15)&gt;$T$55)),0,IF(DATE($C83,8,15)&gt;=$X$55,$AA$55*(1+($U$55)/100)^MAX(0,$C83-$AD$55),IF(DATE($C83,8,15)&gt;=$W$55,$Z$55*(1+($U$55)/100)^MAX(0,$C83-$AC$55),IF(DATE($C83,8,15)&gt;=$V$55,$Y$55*(1+($U$55)/100)^MAX(0,$C83-$AB$55),0)))))</f>
      </c>
      <c r="M83" s="43">
        <f>IF($S$55=0,0,IF(OR(DATE($C83,9,15)&lt;$S$55,AND($T$55&gt;0,DATE($C83,9,15)&gt;$T$55)),0,IF(DATE($C83,9,15)&gt;=$X$55,$AA$55*(1+($U$55)/100)^MAX(0,$C83-$AD$55),IF(DATE($C83,9,15)&gt;=$W$55,$Z$55*(1+($U$55)/100)^MAX(0,$C83-$AC$55),IF(DATE($C83,9,15)&gt;=$V$55,$Y$55*(1+($U$55)/100)^MAX(0,$C83-$AB$55),0)))))</f>
      </c>
      <c r="N83" s="43">
        <f>IF($S$55=0,0,IF(OR(DATE($C83,10,15)&lt;$S$55,AND($T$55&gt;0,DATE($C83,10,15)&gt;$T$55)),0,IF(DATE($C83,10,15)&gt;=$X$55,$AA$55*(1+($U$55)/100)^MAX(0,$C83-$AD$55),IF(DATE($C83,10,15)&gt;=$W$55,$Z$55*(1+($U$55)/100)^MAX(0,$C83-$AC$55),IF(DATE($C83,10,15)&gt;=$V$55,$Y$55*(1+($U$55)/100)^MAX(0,$C83-$AB$55),0)))))</f>
      </c>
      <c r="O83" s="43">
        <f>IF($S$55=0,0,IF(OR(DATE($C83,11,15)&lt;$S$55,AND($T$55&gt;0,DATE($C83,11,15)&gt;$T$55)),0,IF(DATE($C83,11,15)&gt;=$X$55,$AA$55*(1+($U$55)/100)^MAX(0,$C83-$AD$55),IF(DATE($C83,11,15)&gt;=$W$55,$Z$55*(1+($U$55)/100)^MAX(0,$C83-$AC$55),IF(DATE($C83,11,15)&gt;=$V$55,$Y$55*(1+($U$55)/100)^MAX(0,$C83-$AB$55),0)))))</f>
      </c>
      <c r="P83" s="43">
        <f>IF($S$55=0,0,IF(OR(DATE($C83,12,15)&lt;$S$55,AND($T$55&gt;0,DATE($C83,12,15)&gt;$T$55)),0,IF(DATE($C83,12,15)&gt;=$X$55,$AA$55*(1+($U$55)/100)^MAX(0,$C83-$AD$55),IF(DATE($C83,12,15)&gt;=$W$55,$Z$55*(1+($U$55)/100)^MAX(0,$C83-$AC$55),IF(DATE($C83,12,15)&gt;=$V$55,$Y$55*(1+($U$55)/100)^MAX(0,$C83-$AB$55),0)))))</f>
      </c>
      <c r="Q83" s="43">
        <f>SUM($E83:$P83)</f>
      </c>
    </row>
    <row r="84">
      <c r="A84"/>
      <c r="B84">
        <v>2</v>
      </c>
      <c r="C84" s="43">
        <f>Jahr+29</f>
      </c>
      <c r="D84" s="43">
        <f>INDEX(MvObj,2)</f>
      </c>
      <c r="E84" s="43">
        <f>IF($S$55=0,0,IF(OR(DATE($C84,1,15)&lt;$S$55,AND($T$55&gt;0,DATE($C84,1,15)&gt;$T$55)),0,IF(DATE($C84,1,15)&gt;=$X$55,$AA$55*(1+($U$55)/100)^MAX(0,$C84-$AD$55),IF(DATE($C84,1,15)&gt;=$W$55,$Z$55*(1+($U$55)/100)^MAX(0,$C84-$AC$55),IF(DATE($C84,1,15)&gt;=$V$55,$Y$55*(1+($U$55)/100)^MAX(0,$C84-$AB$55),0)))))</f>
      </c>
      <c r="F84" s="43">
        <f>IF($S$55=0,0,IF(OR(DATE($C84,2,15)&lt;$S$55,AND($T$55&gt;0,DATE($C84,2,15)&gt;$T$55)),0,IF(DATE($C84,2,15)&gt;=$X$55,$AA$55*(1+($U$55)/100)^MAX(0,$C84-$AD$55),IF(DATE($C84,2,15)&gt;=$W$55,$Z$55*(1+($U$55)/100)^MAX(0,$C84-$AC$55),IF(DATE($C84,2,15)&gt;=$V$55,$Y$55*(1+($U$55)/100)^MAX(0,$C84-$AB$55),0)))))</f>
      </c>
      <c r="G84" s="43">
        <f>IF($S$55=0,0,IF(OR(DATE($C84,3,15)&lt;$S$55,AND($T$55&gt;0,DATE($C84,3,15)&gt;$T$55)),0,IF(DATE($C84,3,15)&gt;=$X$55,$AA$55*(1+($U$55)/100)^MAX(0,$C84-$AD$55),IF(DATE($C84,3,15)&gt;=$W$55,$Z$55*(1+($U$55)/100)^MAX(0,$C84-$AC$55),IF(DATE($C84,3,15)&gt;=$V$55,$Y$55*(1+($U$55)/100)^MAX(0,$C84-$AB$55),0)))))</f>
      </c>
      <c r="H84" s="43">
        <f>IF($S$55=0,0,IF(OR(DATE($C84,4,15)&lt;$S$55,AND($T$55&gt;0,DATE($C84,4,15)&gt;$T$55)),0,IF(DATE($C84,4,15)&gt;=$X$55,$AA$55*(1+($U$55)/100)^MAX(0,$C84-$AD$55),IF(DATE($C84,4,15)&gt;=$W$55,$Z$55*(1+($U$55)/100)^MAX(0,$C84-$AC$55),IF(DATE($C84,4,15)&gt;=$V$55,$Y$55*(1+($U$55)/100)^MAX(0,$C84-$AB$55),0)))))</f>
      </c>
      <c r="I84" s="43">
        <f>IF($S$55=0,0,IF(OR(DATE($C84,5,15)&lt;$S$55,AND($T$55&gt;0,DATE($C84,5,15)&gt;$T$55)),0,IF(DATE($C84,5,15)&gt;=$X$55,$AA$55*(1+($U$55)/100)^MAX(0,$C84-$AD$55),IF(DATE($C84,5,15)&gt;=$W$55,$Z$55*(1+($U$55)/100)^MAX(0,$C84-$AC$55),IF(DATE($C84,5,15)&gt;=$V$55,$Y$55*(1+($U$55)/100)^MAX(0,$C84-$AB$55),0)))))</f>
      </c>
      <c r="J84" s="43">
        <f>IF($S$55=0,0,IF(OR(DATE($C84,6,15)&lt;$S$55,AND($T$55&gt;0,DATE($C84,6,15)&gt;$T$55)),0,IF(DATE($C84,6,15)&gt;=$X$55,$AA$55*(1+($U$55)/100)^MAX(0,$C84-$AD$55),IF(DATE($C84,6,15)&gt;=$W$55,$Z$55*(1+($U$55)/100)^MAX(0,$C84-$AC$55),IF(DATE($C84,6,15)&gt;=$V$55,$Y$55*(1+($U$55)/100)^MAX(0,$C84-$AB$55),0)))))</f>
      </c>
      <c r="K84" s="43">
        <f>IF($S$55=0,0,IF(OR(DATE($C84,7,15)&lt;$S$55,AND($T$55&gt;0,DATE($C84,7,15)&gt;$T$55)),0,IF(DATE($C84,7,15)&gt;=$X$55,$AA$55*(1+($U$55)/100)^MAX(0,$C84-$AD$55),IF(DATE($C84,7,15)&gt;=$W$55,$Z$55*(1+($U$55)/100)^MAX(0,$C84-$AC$55),IF(DATE($C84,7,15)&gt;=$V$55,$Y$55*(1+($U$55)/100)^MAX(0,$C84-$AB$55),0)))))</f>
      </c>
      <c r="L84" s="43">
        <f>IF($S$55=0,0,IF(OR(DATE($C84,8,15)&lt;$S$55,AND($T$55&gt;0,DATE($C84,8,15)&gt;$T$55)),0,IF(DATE($C84,8,15)&gt;=$X$55,$AA$55*(1+($U$55)/100)^MAX(0,$C84-$AD$55),IF(DATE($C84,8,15)&gt;=$W$55,$Z$55*(1+($U$55)/100)^MAX(0,$C84-$AC$55),IF(DATE($C84,8,15)&gt;=$V$55,$Y$55*(1+($U$55)/100)^MAX(0,$C84-$AB$55),0)))))</f>
      </c>
      <c r="M84" s="43">
        <f>IF($S$55=0,0,IF(OR(DATE($C84,9,15)&lt;$S$55,AND($T$55&gt;0,DATE($C84,9,15)&gt;$T$55)),0,IF(DATE($C84,9,15)&gt;=$X$55,$AA$55*(1+($U$55)/100)^MAX(0,$C84-$AD$55),IF(DATE($C84,9,15)&gt;=$W$55,$Z$55*(1+($U$55)/100)^MAX(0,$C84-$AC$55),IF(DATE($C84,9,15)&gt;=$V$55,$Y$55*(1+($U$55)/100)^MAX(0,$C84-$AB$55),0)))))</f>
      </c>
      <c r="N84" s="43">
        <f>IF($S$55=0,0,IF(OR(DATE($C84,10,15)&lt;$S$55,AND($T$55&gt;0,DATE($C84,10,15)&gt;$T$55)),0,IF(DATE($C84,10,15)&gt;=$X$55,$AA$55*(1+($U$55)/100)^MAX(0,$C84-$AD$55),IF(DATE($C84,10,15)&gt;=$W$55,$Z$55*(1+($U$55)/100)^MAX(0,$C84-$AC$55),IF(DATE($C84,10,15)&gt;=$V$55,$Y$55*(1+($U$55)/100)^MAX(0,$C84-$AB$55),0)))))</f>
      </c>
      <c r="O84" s="43">
        <f>IF($S$55=0,0,IF(OR(DATE($C84,11,15)&lt;$S$55,AND($T$55&gt;0,DATE($C84,11,15)&gt;$T$55)),0,IF(DATE($C84,11,15)&gt;=$X$55,$AA$55*(1+($U$55)/100)^MAX(0,$C84-$AD$55),IF(DATE($C84,11,15)&gt;=$W$55,$Z$55*(1+($U$55)/100)^MAX(0,$C84-$AC$55),IF(DATE($C84,11,15)&gt;=$V$55,$Y$55*(1+($U$55)/100)^MAX(0,$C84-$AB$55),0)))))</f>
      </c>
      <c r="P84" s="43">
        <f>IF($S$55=0,0,IF(OR(DATE($C84,12,15)&lt;$S$55,AND($T$55&gt;0,DATE($C84,12,15)&gt;$T$55)),0,IF(DATE($C84,12,15)&gt;=$X$55,$AA$55*(1+($U$55)/100)^MAX(0,$C84-$AD$55),IF(DATE($C84,12,15)&gt;=$W$55,$Z$55*(1+($U$55)/100)^MAX(0,$C84-$AC$55),IF(DATE($C84,12,15)&gt;=$V$55,$Y$55*(1+($U$55)/100)^MAX(0,$C84-$AB$55),0)))))</f>
      </c>
      <c r="Q84" s="43">
        <f>SUM($E84:$P84)</f>
      </c>
    </row>
    <row r="85">
      <c r="A85"/>
      <c r="B85">
        <v>2</v>
      </c>
      <c r="C85" s="43">
        <f>Jahr+30</f>
      </c>
      <c r="D85" s="43">
        <f>INDEX(MvObj,2)</f>
      </c>
      <c r="E85" s="43">
        <f>IF($S$55=0,0,IF(OR(DATE($C85,1,15)&lt;$S$55,AND($T$55&gt;0,DATE($C85,1,15)&gt;$T$55)),0,IF(DATE($C85,1,15)&gt;=$X$55,$AA$55*(1+($U$55)/100)^MAX(0,$C85-$AD$55),IF(DATE($C85,1,15)&gt;=$W$55,$Z$55*(1+($U$55)/100)^MAX(0,$C85-$AC$55),IF(DATE($C85,1,15)&gt;=$V$55,$Y$55*(1+($U$55)/100)^MAX(0,$C85-$AB$55),0)))))</f>
      </c>
      <c r="F85" s="43">
        <f>IF($S$55=0,0,IF(OR(DATE($C85,2,15)&lt;$S$55,AND($T$55&gt;0,DATE($C85,2,15)&gt;$T$55)),0,IF(DATE($C85,2,15)&gt;=$X$55,$AA$55*(1+($U$55)/100)^MAX(0,$C85-$AD$55),IF(DATE($C85,2,15)&gt;=$W$55,$Z$55*(1+($U$55)/100)^MAX(0,$C85-$AC$55),IF(DATE($C85,2,15)&gt;=$V$55,$Y$55*(1+($U$55)/100)^MAX(0,$C85-$AB$55),0)))))</f>
      </c>
      <c r="G85" s="43">
        <f>IF($S$55=0,0,IF(OR(DATE($C85,3,15)&lt;$S$55,AND($T$55&gt;0,DATE($C85,3,15)&gt;$T$55)),0,IF(DATE($C85,3,15)&gt;=$X$55,$AA$55*(1+($U$55)/100)^MAX(0,$C85-$AD$55),IF(DATE($C85,3,15)&gt;=$W$55,$Z$55*(1+($U$55)/100)^MAX(0,$C85-$AC$55),IF(DATE($C85,3,15)&gt;=$V$55,$Y$55*(1+($U$55)/100)^MAX(0,$C85-$AB$55),0)))))</f>
      </c>
      <c r="H85" s="43">
        <f>IF($S$55=0,0,IF(OR(DATE($C85,4,15)&lt;$S$55,AND($T$55&gt;0,DATE($C85,4,15)&gt;$T$55)),0,IF(DATE($C85,4,15)&gt;=$X$55,$AA$55*(1+($U$55)/100)^MAX(0,$C85-$AD$55),IF(DATE($C85,4,15)&gt;=$W$55,$Z$55*(1+($U$55)/100)^MAX(0,$C85-$AC$55),IF(DATE($C85,4,15)&gt;=$V$55,$Y$55*(1+($U$55)/100)^MAX(0,$C85-$AB$55),0)))))</f>
      </c>
      <c r="I85" s="43">
        <f>IF($S$55=0,0,IF(OR(DATE($C85,5,15)&lt;$S$55,AND($T$55&gt;0,DATE($C85,5,15)&gt;$T$55)),0,IF(DATE($C85,5,15)&gt;=$X$55,$AA$55*(1+($U$55)/100)^MAX(0,$C85-$AD$55),IF(DATE($C85,5,15)&gt;=$W$55,$Z$55*(1+($U$55)/100)^MAX(0,$C85-$AC$55),IF(DATE($C85,5,15)&gt;=$V$55,$Y$55*(1+($U$55)/100)^MAX(0,$C85-$AB$55),0)))))</f>
      </c>
      <c r="J85" s="43">
        <f>IF($S$55=0,0,IF(OR(DATE($C85,6,15)&lt;$S$55,AND($T$55&gt;0,DATE($C85,6,15)&gt;$T$55)),0,IF(DATE($C85,6,15)&gt;=$X$55,$AA$55*(1+($U$55)/100)^MAX(0,$C85-$AD$55),IF(DATE($C85,6,15)&gt;=$W$55,$Z$55*(1+($U$55)/100)^MAX(0,$C85-$AC$55),IF(DATE($C85,6,15)&gt;=$V$55,$Y$55*(1+($U$55)/100)^MAX(0,$C85-$AB$55),0)))))</f>
      </c>
      <c r="K85" s="43">
        <f>IF($S$55=0,0,IF(OR(DATE($C85,7,15)&lt;$S$55,AND($T$55&gt;0,DATE($C85,7,15)&gt;$T$55)),0,IF(DATE($C85,7,15)&gt;=$X$55,$AA$55*(1+($U$55)/100)^MAX(0,$C85-$AD$55),IF(DATE($C85,7,15)&gt;=$W$55,$Z$55*(1+($U$55)/100)^MAX(0,$C85-$AC$55),IF(DATE($C85,7,15)&gt;=$V$55,$Y$55*(1+($U$55)/100)^MAX(0,$C85-$AB$55),0)))))</f>
      </c>
      <c r="L85" s="43">
        <f>IF($S$55=0,0,IF(OR(DATE($C85,8,15)&lt;$S$55,AND($T$55&gt;0,DATE($C85,8,15)&gt;$T$55)),0,IF(DATE($C85,8,15)&gt;=$X$55,$AA$55*(1+($U$55)/100)^MAX(0,$C85-$AD$55),IF(DATE($C85,8,15)&gt;=$W$55,$Z$55*(1+($U$55)/100)^MAX(0,$C85-$AC$55),IF(DATE($C85,8,15)&gt;=$V$55,$Y$55*(1+($U$55)/100)^MAX(0,$C85-$AB$55),0)))))</f>
      </c>
      <c r="M85" s="43">
        <f>IF($S$55=0,0,IF(OR(DATE($C85,9,15)&lt;$S$55,AND($T$55&gt;0,DATE($C85,9,15)&gt;$T$55)),0,IF(DATE($C85,9,15)&gt;=$X$55,$AA$55*(1+($U$55)/100)^MAX(0,$C85-$AD$55),IF(DATE($C85,9,15)&gt;=$W$55,$Z$55*(1+($U$55)/100)^MAX(0,$C85-$AC$55),IF(DATE($C85,9,15)&gt;=$V$55,$Y$55*(1+($U$55)/100)^MAX(0,$C85-$AB$55),0)))))</f>
      </c>
      <c r="N85" s="43">
        <f>IF($S$55=0,0,IF(OR(DATE($C85,10,15)&lt;$S$55,AND($T$55&gt;0,DATE($C85,10,15)&gt;$T$55)),0,IF(DATE($C85,10,15)&gt;=$X$55,$AA$55*(1+($U$55)/100)^MAX(0,$C85-$AD$55),IF(DATE($C85,10,15)&gt;=$W$55,$Z$55*(1+($U$55)/100)^MAX(0,$C85-$AC$55),IF(DATE($C85,10,15)&gt;=$V$55,$Y$55*(1+($U$55)/100)^MAX(0,$C85-$AB$55),0)))))</f>
      </c>
      <c r="O85" s="43">
        <f>IF($S$55=0,0,IF(OR(DATE($C85,11,15)&lt;$S$55,AND($T$55&gt;0,DATE($C85,11,15)&gt;$T$55)),0,IF(DATE($C85,11,15)&gt;=$X$55,$AA$55*(1+($U$55)/100)^MAX(0,$C85-$AD$55),IF(DATE($C85,11,15)&gt;=$W$55,$Z$55*(1+($U$55)/100)^MAX(0,$C85-$AC$55),IF(DATE($C85,11,15)&gt;=$V$55,$Y$55*(1+($U$55)/100)^MAX(0,$C85-$AB$55),0)))))</f>
      </c>
      <c r="P85" s="43">
        <f>IF($S$55=0,0,IF(OR(DATE($C85,12,15)&lt;$S$55,AND($T$55&gt;0,DATE($C85,12,15)&gt;$T$55)),0,IF(DATE($C85,12,15)&gt;=$X$55,$AA$55*(1+($U$55)/100)^MAX(0,$C85-$AD$55),IF(DATE($C85,12,15)&gt;=$W$55,$Z$55*(1+($U$55)/100)^MAX(0,$C85-$AC$55),IF(DATE($C85,12,15)&gt;=$V$55,$Y$55*(1+($U$55)/100)^MAX(0,$C85-$AB$55),0)))))</f>
      </c>
      <c r="Q85" s="43">
        <f>SUM($E85:$P85)</f>
      </c>
    </row>
    <row r="86">
      <c r="A86"/>
      <c r="B86">
        <v>3</v>
      </c>
      <c r="C86" s="43">
        <f>Jahr+0</f>
      </c>
      <c r="D86" s="43">
        <f>INDEX(MvObj,3)</f>
      </c>
      <c r="E86" s="43">
        <f>IF($S$86=0,0,IF(OR(DATE($C86,1,15)&lt;$S$86,AND($T$86&gt;0,DATE($C86,1,15)&gt;$T$86)),0,IF(DATE($C86,1,15)&gt;=$X$86,$AA$86*(1+($U$86)/100)^MAX(0,$C86-$AD$86),IF(DATE($C86,1,15)&gt;=$W$86,$Z$86*(1+($U$86)/100)^MAX(0,$C86-$AC$86),IF(DATE($C86,1,15)&gt;=$V$86,$Y$86*(1+($U$86)/100)^MAX(0,$C86-$AB$86),0)))))</f>
      </c>
      <c r="F86" s="43">
        <f>IF($S$86=0,0,IF(OR(DATE($C86,2,15)&lt;$S$86,AND($T$86&gt;0,DATE($C86,2,15)&gt;$T$86)),0,IF(DATE($C86,2,15)&gt;=$X$86,$AA$86*(1+($U$86)/100)^MAX(0,$C86-$AD$86),IF(DATE($C86,2,15)&gt;=$W$86,$Z$86*(1+($U$86)/100)^MAX(0,$C86-$AC$86),IF(DATE($C86,2,15)&gt;=$V$86,$Y$86*(1+($U$86)/100)^MAX(0,$C86-$AB$86),0)))))</f>
      </c>
      <c r="G86" s="43">
        <f>IF($S$86=0,0,IF(OR(DATE($C86,3,15)&lt;$S$86,AND($T$86&gt;0,DATE($C86,3,15)&gt;$T$86)),0,IF(DATE($C86,3,15)&gt;=$X$86,$AA$86*(1+($U$86)/100)^MAX(0,$C86-$AD$86),IF(DATE($C86,3,15)&gt;=$W$86,$Z$86*(1+($U$86)/100)^MAX(0,$C86-$AC$86),IF(DATE($C86,3,15)&gt;=$V$86,$Y$86*(1+($U$86)/100)^MAX(0,$C86-$AB$86),0)))))</f>
      </c>
      <c r="H86" s="43">
        <f>IF($S$86=0,0,IF(OR(DATE($C86,4,15)&lt;$S$86,AND($T$86&gt;0,DATE($C86,4,15)&gt;$T$86)),0,IF(DATE($C86,4,15)&gt;=$X$86,$AA$86*(1+($U$86)/100)^MAX(0,$C86-$AD$86),IF(DATE($C86,4,15)&gt;=$W$86,$Z$86*(1+($U$86)/100)^MAX(0,$C86-$AC$86),IF(DATE($C86,4,15)&gt;=$V$86,$Y$86*(1+($U$86)/100)^MAX(0,$C86-$AB$86),0)))))</f>
      </c>
      <c r="I86" s="43">
        <f>IF($S$86=0,0,IF(OR(DATE($C86,5,15)&lt;$S$86,AND($T$86&gt;0,DATE($C86,5,15)&gt;$T$86)),0,IF(DATE($C86,5,15)&gt;=$X$86,$AA$86*(1+($U$86)/100)^MAX(0,$C86-$AD$86),IF(DATE($C86,5,15)&gt;=$W$86,$Z$86*(1+($U$86)/100)^MAX(0,$C86-$AC$86),IF(DATE($C86,5,15)&gt;=$V$86,$Y$86*(1+($U$86)/100)^MAX(0,$C86-$AB$86),0)))))</f>
      </c>
      <c r="J86" s="43">
        <f>IF($S$86=0,0,IF(OR(DATE($C86,6,15)&lt;$S$86,AND($T$86&gt;0,DATE($C86,6,15)&gt;$T$86)),0,IF(DATE($C86,6,15)&gt;=$X$86,$AA$86*(1+($U$86)/100)^MAX(0,$C86-$AD$86),IF(DATE($C86,6,15)&gt;=$W$86,$Z$86*(1+($U$86)/100)^MAX(0,$C86-$AC$86),IF(DATE($C86,6,15)&gt;=$V$86,$Y$86*(1+($U$86)/100)^MAX(0,$C86-$AB$86),0)))))</f>
      </c>
      <c r="K86" s="43">
        <f>IF($S$86=0,0,IF(OR(DATE($C86,7,15)&lt;$S$86,AND($T$86&gt;0,DATE($C86,7,15)&gt;$T$86)),0,IF(DATE($C86,7,15)&gt;=$X$86,$AA$86*(1+($U$86)/100)^MAX(0,$C86-$AD$86),IF(DATE($C86,7,15)&gt;=$W$86,$Z$86*(1+($U$86)/100)^MAX(0,$C86-$AC$86),IF(DATE($C86,7,15)&gt;=$V$86,$Y$86*(1+($U$86)/100)^MAX(0,$C86-$AB$86),0)))))</f>
      </c>
      <c r="L86" s="43">
        <f>IF($S$86=0,0,IF(OR(DATE($C86,8,15)&lt;$S$86,AND($T$86&gt;0,DATE($C86,8,15)&gt;$T$86)),0,IF(DATE($C86,8,15)&gt;=$X$86,$AA$86*(1+($U$86)/100)^MAX(0,$C86-$AD$86),IF(DATE($C86,8,15)&gt;=$W$86,$Z$86*(1+($U$86)/100)^MAX(0,$C86-$AC$86),IF(DATE($C86,8,15)&gt;=$V$86,$Y$86*(1+($U$86)/100)^MAX(0,$C86-$AB$86),0)))))</f>
      </c>
      <c r="M86" s="43">
        <f>IF($S$86=0,0,IF(OR(DATE($C86,9,15)&lt;$S$86,AND($T$86&gt;0,DATE($C86,9,15)&gt;$T$86)),0,IF(DATE($C86,9,15)&gt;=$X$86,$AA$86*(1+($U$86)/100)^MAX(0,$C86-$AD$86),IF(DATE($C86,9,15)&gt;=$W$86,$Z$86*(1+($U$86)/100)^MAX(0,$C86-$AC$86),IF(DATE($C86,9,15)&gt;=$V$86,$Y$86*(1+($U$86)/100)^MAX(0,$C86-$AB$86),0)))))</f>
      </c>
      <c r="N86" s="43">
        <f>IF($S$86=0,0,IF(OR(DATE($C86,10,15)&lt;$S$86,AND($T$86&gt;0,DATE($C86,10,15)&gt;$T$86)),0,IF(DATE($C86,10,15)&gt;=$X$86,$AA$86*(1+($U$86)/100)^MAX(0,$C86-$AD$86),IF(DATE($C86,10,15)&gt;=$W$86,$Z$86*(1+($U$86)/100)^MAX(0,$C86-$AC$86),IF(DATE($C86,10,15)&gt;=$V$86,$Y$86*(1+($U$86)/100)^MAX(0,$C86-$AB$86),0)))))</f>
      </c>
      <c r="O86" s="43">
        <f>IF($S$86=0,0,IF(OR(DATE($C86,11,15)&lt;$S$86,AND($T$86&gt;0,DATE($C86,11,15)&gt;$T$86)),0,IF(DATE($C86,11,15)&gt;=$X$86,$AA$86*(1+($U$86)/100)^MAX(0,$C86-$AD$86),IF(DATE($C86,11,15)&gt;=$W$86,$Z$86*(1+($U$86)/100)^MAX(0,$C86-$AC$86),IF(DATE($C86,11,15)&gt;=$V$86,$Y$86*(1+($U$86)/100)^MAX(0,$C86-$AB$86),0)))))</f>
      </c>
      <c r="P86" s="43">
        <f>IF($S$86=0,0,IF(OR(DATE($C86,12,15)&lt;$S$86,AND($T$86&gt;0,DATE($C86,12,15)&gt;$T$86)),0,IF(DATE($C86,12,15)&gt;=$X$86,$AA$86*(1+($U$86)/100)^MAX(0,$C86-$AD$86),IF(DATE($C86,12,15)&gt;=$W$86,$Z$86*(1+($U$86)/100)^MAX(0,$C86-$AC$86),IF(DATE($C86,12,15)&gt;=$V$86,$Y$86*(1+($U$86)/100)^MAX(0,$C86-$AB$86),0)))))</f>
      </c>
      <c r="Q86" s="43">
        <f>SUM($E86:$P86)</f>
      </c>
      <c r="R86"/>
      <c r="S86" s="43">
        <f>IF(INDEX(MvBeginn,3)="",0,INDEX(MvBeginn,3))</f>
      </c>
      <c r="T86" s="43">
        <f>INDEX(MvEnde,3)</f>
      </c>
      <c r="U86" s="43">
        <f>INDEX(MvSatz,3)</f>
      </c>
      <c r="V86" s="43">
        <f>INDEX(MvKey1,3)</f>
      </c>
      <c r="W86" s="43">
        <f>INDEX(MvKey2,3)</f>
      </c>
      <c r="X86" s="43">
        <f>INDEX(MvKey3,3)</f>
      </c>
      <c r="Y86" s="43">
        <f>INDEX(MvKalt1,3)</f>
      </c>
      <c r="Z86" s="43">
        <f>INDEX(MvKalt2,3)</f>
      </c>
      <c r="AA86" s="43">
        <f>INDEX(MvKalt3,3)</f>
      </c>
      <c r="AB86" s="43">
        <f>MAX(YEAR(INDEX(MvAb1,3)),Jahr)</f>
      </c>
      <c r="AC86" s="43">
        <f>MAX(YEAR(INDEX(MvAb2,3)),Jahr)</f>
      </c>
      <c r="AD86" s="43">
        <f>MAX(YEAR(INDEX(MvAb3,3)),Jahr)</f>
      </c>
    </row>
    <row r="87">
      <c r="A87"/>
      <c r="B87">
        <v>3</v>
      </c>
      <c r="C87" s="43">
        <f>Jahr+1</f>
      </c>
      <c r="D87" s="43">
        <f>INDEX(MvObj,3)</f>
      </c>
      <c r="E87" s="43">
        <f>IF($S$86=0,0,IF(OR(DATE($C87,1,15)&lt;$S$86,AND($T$86&gt;0,DATE($C87,1,15)&gt;$T$86)),0,IF(DATE($C87,1,15)&gt;=$X$86,$AA$86*(1+($U$86)/100)^MAX(0,$C87-$AD$86),IF(DATE($C87,1,15)&gt;=$W$86,$Z$86*(1+($U$86)/100)^MAX(0,$C87-$AC$86),IF(DATE($C87,1,15)&gt;=$V$86,$Y$86*(1+($U$86)/100)^MAX(0,$C87-$AB$86),0)))))</f>
      </c>
      <c r="F87" s="43">
        <f>IF($S$86=0,0,IF(OR(DATE($C87,2,15)&lt;$S$86,AND($T$86&gt;0,DATE($C87,2,15)&gt;$T$86)),0,IF(DATE($C87,2,15)&gt;=$X$86,$AA$86*(1+($U$86)/100)^MAX(0,$C87-$AD$86),IF(DATE($C87,2,15)&gt;=$W$86,$Z$86*(1+($U$86)/100)^MAX(0,$C87-$AC$86),IF(DATE($C87,2,15)&gt;=$V$86,$Y$86*(1+($U$86)/100)^MAX(0,$C87-$AB$86),0)))))</f>
      </c>
      <c r="G87" s="43">
        <f>IF($S$86=0,0,IF(OR(DATE($C87,3,15)&lt;$S$86,AND($T$86&gt;0,DATE($C87,3,15)&gt;$T$86)),0,IF(DATE($C87,3,15)&gt;=$X$86,$AA$86*(1+($U$86)/100)^MAX(0,$C87-$AD$86),IF(DATE($C87,3,15)&gt;=$W$86,$Z$86*(1+($U$86)/100)^MAX(0,$C87-$AC$86),IF(DATE($C87,3,15)&gt;=$V$86,$Y$86*(1+($U$86)/100)^MAX(0,$C87-$AB$86),0)))))</f>
      </c>
      <c r="H87" s="43">
        <f>IF($S$86=0,0,IF(OR(DATE($C87,4,15)&lt;$S$86,AND($T$86&gt;0,DATE($C87,4,15)&gt;$T$86)),0,IF(DATE($C87,4,15)&gt;=$X$86,$AA$86*(1+($U$86)/100)^MAX(0,$C87-$AD$86),IF(DATE($C87,4,15)&gt;=$W$86,$Z$86*(1+($U$86)/100)^MAX(0,$C87-$AC$86),IF(DATE($C87,4,15)&gt;=$V$86,$Y$86*(1+($U$86)/100)^MAX(0,$C87-$AB$86),0)))))</f>
      </c>
      <c r="I87" s="43">
        <f>IF($S$86=0,0,IF(OR(DATE($C87,5,15)&lt;$S$86,AND($T$86&gt;0,DATE($C87,5,15)&gt;$T$86)),0,IF(DATE($C87,5,15)&gt;=$X$86,$AA$86*(1+($U$86)/100)^MAX(0,$C87-$AD$86),IF(DATE($C87,5,15)&gt;=$W$86,$Z$86*(1+($U$86)/100)^MAX(0,$C87-$AC$86),IF(DATE($C87,5,15)&gt;=$V$86,$Y$86*(1+($U$86)/100)^MAX(0,$C87-$AB$86),0)))))</f>
      </c>
      <c r="J87" s="43">
        <f>IF($S$86=0,0,IF(OR(DATE($C87,6,15)&lt;$S$86,AND($T$86&gt;0,DATE($C87,6,15)&gt;$T$86)),0,IF(DATE($C87,6,15)&gt;=$X$86,$AA$86*(1+($U$86)/100)^MAX(0,$C87-$AD$86),IF(DATE($C87,6,15)&gt;=$W$86,$Z$86*(1+($U$86)/100)^MAX(0,$C87-$AC$86),IF(DATE($C87,6,15)&gt;=$V$86,$Y$86*(1+($U$86)/100)^MAX(0,$C87-$AB$86),0)))))</f>
      </c>
      <c r="K87" s="43">
        <f>IF($S$86=0,0,IF(OR(DATE($C87,7,15)&lt;$S$86,AND($T$86&gt;0,DATE($C87,7,15)&gt;$T$86)),0,IF(DATE($C87,7,15)&gt;=$X$86,$AA$86*(1+($U$86)/100)^MAX(0,$C87-$AD$86),IF(DATE($C87,7,15)&gt;=$W$86,$Z$86*(1+($U$86)/100)^MAX(0,$C87-$AC$86),IF(DATE($C87,7,15)&gt;=$V$86,$Y$86*(1+($U$86)/100)^MAX(0,$C87-$AB$86),0)))))</f>
      </c>
      <c r="L87" s="43">
        <f>IF($S$86=0,0,IF(OR(DATE($C87,8,15)&lt;$S$86,AND($T$86&gt;0,DATE($C87,8,15)&gt;$T$86)),0,IF(DATE($C87,8,15)&gt;=$X$86,$AA$86*(1+($U$86)/100)^MAX(0,$C87-$AD$86),IF(DATE($C87,8,15)&gt;=$W$86,$Z$86*(1+($U$86)/100)^MAX(0,$C87-$AC$86),IF(DATE($C87,8,15)&gt;=$V$86,$Y$86*(1+($U$86)/100)^MAX(0,$C87-$AB$86),0)))))</f>
      </c>
      <c r="M87" s="43">
        <f>IF($S$86=0,0,IF(OR(DATE($C87,9,15)&lt;$S$86,AND($T$86&gt;0,DATE($C87,9,15)&gt;$T$86)),0,IF(DATE($C87,9,15)&gt;=$X$86,$AA$86*(1+($U$86)/100)^MAX(0,$C87-$AD$86),IF(DATE($C87,9,15)&gt;=$W$86,$Z$86*(1+($U$86)/100)^MAX(0,$C87-$AC$86),IF(DATE($C87,9,15)&gt;=$V$86,$Y$86*(1+($U$86)/100)^MAX(0,$C87-$AB$86),0)))))</f>
      </c>
      <c r="N87" s="43">
        <f>IF($S$86=0,0,IF(OR(DATE($C87,10,15)&lt;$S$86,AND($T$86&gt;0,DATE($C87,10,15)&gt;$T$86)),0,IF(DATE($C87,10,15)&gt;=$X$86,$AA$86*(1+($U$86)/100)^MAX(0,$C87-$AD$86),IF(DATE($C87,10,15)&gt;=$W$86,$Z$86*(1+($U$86)/100)^MAX(0,$C87-$AC$86),IF(DATE($C87,10,15)&gt;=$V$86,$Y$86*(1+($U$86)/100)^MAX(0,$C87-$AB$86),0)))))</f>
      </c>
      <c r="O87" s="43">
        <f>IF($S$86=0,0,IF(OR(DATE($C87,11,15)&lt;$S$86,AND($T$86&gt;0,DATE($C87,11,15)&gt;$T$86)),0,IF(DATE($C87,11,15)&gt;=$X$86,$AA$86*(1+($U$86)/100)^MAX(0,$C87-$AD$86),IF(DATE($C87,11,15)&gt;=$W$86,$Z$86*(1+($U$86)/100)^MAX(0,$C87-$AC$86),IF(DATE($C87,11,15)&gt;=$V$86,$Y$86*(1+($U$86)/100)^MAX(0,$C87-$AB$86),0)))))</f>
      </c>
      <c r="P87" s="43">
        <f>IF($S$86=0,0,IF(OR(DATE($C87,12,15)&lt;$S$86,AND($T$86&gt;0,DATE($C87,12,15)&gt;$T$86)),0,IF(DATE($C87,12,15)&gt;=$X$86,$AA$86*(1+($U$86)/100)^MAX(0,$C87-$AD$86),IF(DATE($C87,12,15)&gt;=$W$86,$Z$86*(1+($U$86)/100)^MAX(0,$C87-$AC$86),IF(DATE($C87,12,15)&gt;=$V$86,$Y$86*(1+($U$86)/100)^MAX(0,$C87-$AB$86),0)))))</f>
      </c>
      <c r="Q87" s="43">
        <f>SUM($E87:$P87)</f>
      </c>
    </row>
    <row r="88">
      <c r="A88"/>
      <c r="B88">
        <v>3</v>
      </c>
      <c r="C88" s="43">
        <f>Jahr+2</f>
      </c>
      <c r="D88" s="43">
        <f>INDEX(MvObj,3)</f>
      </c>
      <c r="E88" s="43">
        <f>IF($S$86=0,0,IF(OR(DATE($C88,1,15)&lt;$S$86,AND($T$86&gt;0,DATE($C88,1,15)&gt;$T$86)),0,IF(DATE($C88,1,15)&gt;=$X$86,$AA$86*(1+($U$86)/100)^MAX(0,$C88-$AD$86),IF(DATE($C88,1,15)&gt;=$W$86,$Z$86*(1+($U$86)/100)^MAX(0,$C88-$AC$86),IF(DATE($C88,1,15)&gt;=$V$86,$Y$86*(1+($U$86)/100)^MAX(0,$C88-$AB$86),0)))))</f>
      </c>
      <c r="F88" s="43">
        <f>IF($S$86=0,0,IF(OR(DATE($C88,2,15)&lt;$S$86,AND($T$86&gt;0,DATE($C88,2,15)&gt;$T$86)),0,IF(DATE($C88,2,15)&gt;=$X$86,$AA$86*(1+($U$86)/100)^MAX(0,$C88-$AD$86),IF(DATE($C88,2,15)&gt;=$W$86,$Z$86*(1+($U$86)/100)^MAX(0,$C88-$AC$86),IF(DATE($C88,2,15)&gt;=$V$86,$Y$86*(1+($U$86)/100)^MAX(0,$C88-$AB$86),0)))))</f>
      </c>
      <c r="G88" s="43">
        <f>IF($S$86=0,0,IF(OR(DATE($C88,3,15)&lt;$S$86,AND($T$86&gt;0,DATE($C88,3,15)&gt;$T$86)),0,IF(DATE($C88,3,15)&gt;=$X$86,$AA$86*(1+($U$86)/100)^MAX(0,$C88-$AD$86),IF(DATE($C88,3,15)&gt;=$W$86,$Z$86*(1+($U$86)/100)^MAX(0,$C88-$AC$86),IF(DATE($C88,3,15)&gt;=$V$86,$Y$86*(1+($U$86)/100)^MAX(0,$C88-$AB$86),0)))))</f>
      </c>
      <c r="H88" s="43">
        <f>IF($S$86=0,0,IF(OR(DATE($C88,4,15)&lt;$S$86,AND($T$86&gt;0,DATE($C88,4,15)&gt;$T$86)),0,IF(DATE($C88,4,15)&gt;=$X$86,$AA$86*(1+($U$86)/100)^MAX(0,$C88-$AD$86),IF(DATE($C88,4,15)&gt;=$W$86,$Z$86*(1+($U$86)/100)^MAX(0,$C88-$AC$86),IF(DATE($C88,4,15)&gt;=$V$86,$Y$86*(1+($U$86)/100)^MAX(0,$C88-$AB$86),0)))))</f>
      </c>
      <c r="I88" s="43">
        <f>IF($S$86=0,0,IF(OR(DATE($C88,5,15)&lt;$S$86,AND($T$86&gt;0,DATE($C88,5,15)&gt;$T$86)),0,IF(DATE($C88,5,15)&gt;=$X$86,$AA$86*(1+($U$86)/100)^MAX(0,$C88-$AD$86),IF(DATE($C88,5,15)&gt;=$W$86,$Z$86*(1+($U$86)/100)^MAX(0,$C88-$AC$86),IF(DATE($C88,5,15)&gt;=$V$86,$Y$86*(1+($U$86)/100)^MAX(0,$C88-$AB$86),0)))))</f>
      </c>
      <c r="J88" s="43">
        <f>IF($S$86=0,0,IF(OR(DATE($C88,6,15)&lt;$S$86,AND($T$86&gt;0,DATE($C88,6,15)&gt;$T$86)),0,IF(DATE($C88,6,15)&gt;=$X$86,$AA$86*(1+($U$86)/100)^MAX(0,$C88-$AD$86),IF(DATE($C88,6,15)&gt;=$W$86,$Z$86*(1+($U$86)/100)^MAX(0,$C88-$AC$86),IF(DATE($C88,6,15)&gt;=$V$86,$Y$86*(1+($U$86)/100)^MAX(0,$C88-$AB$86),0)))))</f>
      </c>
      <c r="K88" s="43">
        <f>IF($S$86=0,0,IF(OR(DATE($C88,7,15)&lt;$S$86,AND($T$86&gt;0,DATE($C88,7,15)&gt;$T$86)),0,IF(DATE($C88,7,15)&gt;=$X$86,$AA$86*(1+($U$86)/100)^MAX(0,$C88-$AD$86),IF(DATE($C88,7,15)&gt;=$W$86,$Z$86*(1+($U$86)/100)^MAX(0,$C88-$AC$86),IF(DATE($C88,7,15)&gt;=$V$86,$Y$86*(1+($U$86)/100)^MAX(0,$C88-$AB$86),0)))))</f>
      </c>
      <c r="L88" s="43">
        <f>IF($S$86=0,0,IF(OR(DATE($C88,8,15)&lt;$S$86,AND($T$86&gt;0,DATE($C88,8,15)&gt;$T$86)),0,IF(DATE($C88,8,15)&gt;=$X$86,$AA$86*(1+($U$86)/100)^MAX(0,$C88-$AD$86),IF(DATE($C88,8,15)&gt;=$W$86,$Z$86*(1+($U$86)/100)^MAX(0,$C88-$AC$86),IF(DATE($C88,8,15)&gt;=$V$86,$Y$86*(1+($U$86)/100)^MAX(0,$C88-$AB$86),0)))))</f>
      </c>
      <c r="M88" s="43">
        <f>IF($S$86=0,0,IF(OR(DATE($C88,9,15)&lt;$S$86,AND($T$86&gt;0,DATE($C88,9,15)&gt;$T$86)),0,IF(DATE($C88,9,15)&gt;=$X$86,$AA$86*(1+($U$86)/100)^MAX(0,$C88-$AD$86),IF(DATE($C88,9,15)&gt;=$W$86,$Z$86*(1+($U$86)/100)^MAX(0,$C88-$AC$86),IF(DATE($C88,9,15)&gt;=$V$86,$Y$86*(1+($U$86)/100)^MAX(0,$C88-$AB$86),0)))))</f>
      </c>
      <c r="N88" s="43">
        <f>IF($S$86=0,0,IF(OR(DATE($C88,10,15)&lt;$S$86,AND($T$86&gt;0,DATE($C88,10,15)&gt;$T$86)),0,IF(DATE($C88,10,15)&gt;=$X$86,$AA$86*(1+($U$86)/100)^MAX(0,$C88-$AD$86),IF(DATE($C88,10,15)&gt;=$W$86,$Z$86*(1+($U$86)/100)^MAX(0,$C88-$AC$86),IF(DATE($C88,10,15)&gt;=$V$86,$Y$86*(1+($U$86)/100)^MAX(0,$C88-$AB$86),0)))))</f>
      </c>
      <c r="O88" s="43">
        <f>IF($S$86=0,0,IF(OR(DATE($C88,11,15)&lt;$S$86,AND($T$86&gt;0,DATE($C88,11,15)&gt;$T$86)),0,IF(DATE($C88,11,15)&gt;=$X$86,$AA$86*(1+($U$86)/100)^MAX(0,$C88-$AD$86),IF(DATE($C88,11,15)&gt;=$W$86,$Z$86*(1+($U$86)/100)^MAX(0,$C88-$AC$86),IF(DATE($C88,11,15)&gt;=$V$86,$Y$86*(1+($U$86)/100)^MAX(0,$C88-$AB$86),0)))))</f>
      </c>
      <c r="P88" s="43">
        <f>IF($S$86=0,0,IF(OR(DATE($C88,12,15)&lt;$S$86,AND($T$86&gt;0,DATE($C88,12,15)&gt;$T$86)),0,IF(DATE($C88,12,15)&gt;=$X$86,$AA$86*(1+($U$86)/100)^MAX(0,$C88-$AD$86),IF(DATE($C88,12,15)&gt;=$W$86,$Z$86*(1+($U$86)/100)^MAX(0,$C88-$AC$86),IF(DATE($C88,12,15)&gt;=$V$86,$Y$86*(1+($U$86)/100)^MAX(0,$C88-$AB$86),0)))))</f>
      </c>
      <c r="Q88" s="43">
        <f>SUM($E88:$P88)</f>
      </c>
    </row>
    <row r="89">
      <c r="A89"/>
      <c r="B89">
        <v>3</v>
      </c>
      <c r="C89" s="43">
        <f>Jahr+3</f>
      </c>
      <c r="D89" s="43">
        <f>INDEX(MvObj,3)</f>
      </c>
      <c r="E89" s="43">
        <f>IF($S$86=0,0,IF(OR(DATE($C89,1,15)&lt;$S$86,AND($T$86&gt;0,DATE($C89,1,15)&gt;$T$86)),0,IF(DATE($C89,1,15)&gt;=$X$86,$AA$86*(1+($U$86)/100)^MAX(0,$C89-$AD$86),IF(DATE($C89,1,15)&gt;=$W$86,$Z$86*(1+($U$86)/100)^MAX(0,$C89-$AC$86),IF(DATE($C89,1,15)&gt;=$V$86,$Y$86*(1+($U$86)/100)^MAX(0,$C89-$AB$86),0)))))</f>
      </c>
      <c r="F89" s="43">
        <f>IF($S$86=0,0,IF(OR(DATE($C89,2,15)&lt;$S$86,AND($T$86&gt;0,DATE($C89,2,15)&gt;$T$86)),0,IF(DATE($C89,2,15)&gt;=$X$86,$AA$86*(1+($U$86)/100)^MAX(0,$C89-$AD$86),IF(DATE($C89,2,15)&gt;=$W$86,$Z$86*(1+($U$86)/100)^MAX(0,$C89-$AC$86),IF(DATE($C89,2,15)&gt;=$V$86,$Y$86*(1+($U$86)/100)^MAX(0,$C89-$AB$86),0)))))</f>
      </c>
      <c r="G89" s="43">
        <f>IF($S$86=0,0,IF(OR(DATE($C89,3,15)&lt;$S$86,AND($T$86&gt;0,DATE($C89,3,15)&gt;$T$86)),0,IF(DATE($C89,3,15)&gt;=$X$86,$AA$86*(1+($U$86)/100)^MAX(0,$C89-$AD$86),IF(DATE($C89,3,15)&gt;=$W$86,$Z$86*(1+($U$86)/100)^MAX(0,$C89-$AC$86),IF(DATE($C89,3,15)&gt;=$V$86,$Y$86*(1+($U$86)/100)^MAX(0,$C89-$AB$86),0)))))</f>
      </c>
      <c r="H89" s="43">
        <f>IF($S$86=0,0,IF(OR(DATE($C89,4,15)&lt;$S$86,AND($T$86&gt;0,DATE($C89,4,15)&gt;$T$86)),0,IF(DATE($C89,4,15)&gt;=$X$86,$AA$86*(1+($U$86)/100)^MAX(0,$C89-$AD$86),IF(DATE($C89,4,15)&gt;=$W$86,$Z$86*(1+($U$86)/100)^MAX(0,$C89-$AC$86),IF(DATE($C89,4,15)&gt;=$V$86,$Y$86*(1+($U$86)/100)^MAX(0,$C89-$AB$86),0)))))</f>
      </c>
      <c r="I89" s="43">
        <f>IF($S$86=0,0,IF(OR(DATE($C89,5,15)&lt;$S$86,AND($T$86&gt;0,DATE($C89,5,15)&gt;$T$86)),0,IF(DATE($C89,5,15)&gt;=$X$86,$AA$86*(1+($U$86)/100)^MAX(0,$C89-$AD$86),IF(DATE($C89,5,15)&gt;=$W$86,$Z$86*(1+($U$86)/100)^MAX(0,$C89-$AC$86),IF(DATE($C89,5,15)&gt;=$V$86,$Y$86*(1+($U$86)/100)^MAX(0,$C89-$AB$86),0)))))</f>
      </c>
      <c r="J89" s="43">
        <f>IF($S$86=0,0,IF(OR(DATE($C89,6,15)&lt;$S$86,AND($T$86&gt;0,DATE($C89,6,15)&gt;$T$86)),0,IF(DATE($C89,6,15)&gt;=$X$86,$AA$86*(1+($U$86)/100)^MAX(0,$C89-$AD$86),IF(DATE($C89,6,15)&gt;=$W$86,$Z$86*(1+($U$86)/100)^MAX(0,$C89-$AC$86),IF(DATE($C89,6,15)&gt;=$V$86,$Y$86*(1+($U$86)/100)^MAX(0,$C89-$AB$86),0)))))</f>
      </c>
      <c r="K89" s="43">
        <f>IF($S$86=0,0,IF(OR(DATE($C89,7,15)&lt;$S$86,AND($T$86&gt;0,DATE($C89,7,15)&gt;$T$86)),0,IF(DATE($C89,7,15)&gt;=$X$86,$AA$86*(1+($U$86)/100)^MAX(0,$C89-$AD$86),IF(DATE($C89,7,15)&gt;=$W$86,$Z$86*(1+($U$86)/100)^MAX(0,$C89-$AC$86),IF(DATE($C89,7,15)&gt;=$V$86,$Y$86*(1+($U$86)/100)^MAX(0,$C89-$AB$86),0)))))</f>
      </c>
      <c r="L89" s="43">
        <f>IF($S$86=0,0,IF(OR(DATE($C89,8,15)&lt;$S$86,AND($T$86&gt;0,DATE($C89,8,15)&gt;$T$86)),0,IF(DATE($C89,8,15)&gt;=$X$86,$AA$86*(1+($U$86)/100)^MAX(0,$C89-$AD$86),IF(DATE($C89,8,15)&gt;=$W$86,$Z$86*(1+($U$86)/100)^MAX(0,$C89-$AC$86),IF(DATE($C89,8,15)&gt;=$V$86,$Y$86*(1+($U$86)/100)^MAX(0,$C89-$AB$86),0)))))</f>
      </c>
      <c r="M89" s="43">
        <f>IF($S$86=0,0,IF(OR(DATE($C89,9,15)&lt;$S$86,AND($T$86&gt;0,DATE($C89,9,15)&gt;$T$86)),0,IF(DATE($C89,9,15)&gt;=$X$86,$AA$86*(1+($U$86)/100)^MAX(0,$C89-$AD$86),IF(DATE($C89,9,15)&gt;=$W$86,$Z$86*(1+($U$86)/100)^MAX(0,$C89-$AC$86),IF(DATE($C89,9,15)&gt;=$V$86,$Y$86*(1+($U$86)/100)^MAX(0,$C89-$AB$86),0)))))</f>
      </c>
      <c r="N89" s="43">
        <f>IF($S$86=0,0,IF(OR(DATE($C89,10,15)&lt;$S$86,AND($T$86&gt;0,DATE($C89,10,15)&gt;$T$86)),0,IF(DATE($C89,10,15)&gt;=$X$86,$AA$86*(1+($U$86)/100)^MAX(0,$C89-$AD$86),IF(DATE($C89,10,15)&gt;=$W$86,$Z$86*(1+($U$86)/100)^MAX(0,$C89-$AC$86),IF(DATE($C89,10,15)&gt;=$V$86,$Y$86*(1+($U$86)/100)^MAX(0,$C89-$AB$86),0)))))</f>
      </c>
      <c r="O89" s="43">
        <f>IF($S$86=0,0,IF(OR(DATE($C89,11,15)&lt;$S$86,AND($T$86&gt;0,DATE($C89,11,15)&gt;$T$86)),0,IF(DATE($C89,11,15)&gt;=$X$86,$AA$86*(1+($U$86)/100)^MAX(0,$C89-$AD$86),IF(DATE($C89,11,15)&gt;=$W$86,$Z$86*(1+($U$86)/100)^MAX(0,$C89-$AC$86),IF(DATE($C89,11,15)&gt;=$V$86,$Y$86*(1+($U$86)/100)^MAX(0,$C89-$AB$86),0)))))</f>
      </c>
      <c r="P89" s="43">
        <f>IF($S$86=0,0,IF(OR(DATE($C89,12,15)&lt;$S$86,AND($T$86&gt;0,DATE($C89,12,15)&gt;$T$86)),0,IF(DATE($C89,12,15)&gt;=$X$86,$AA$86*(1+($U$86)/100)^MAX(0,$C89-$AD$86),IF(DATE($C89,12,15)&gt;=$W$86,$Z$86*(1+($U$86)/100)^MAX(0,$C89-$AC$86),IF(DATE($C89,12,15)&gt;=$V$86,$Y$86*(1+($U$86)/100)^MAX(0,$C89-$AB$86),0)))))</f>
      </c>
      <c r="Q89" s="43">
        <f>SUM($E89:$P89)</f>
      </c>
    </row>
    <row r="90">
      <c r="A90"/>
      <c r="B90">
        <v>3</v>
      </c>
      <c r="C90" s="43">
        <f>Jahr+4</f>
      </c>
      <c r="D90" s="43">
        <f>INDEX(MvObj,3)</f>
      </c>
      <c r="E90" s="43">
        <f>IF($S$86=0,0,IF(OR(DATE($C90,1,15)&lt;$S$86,AND($T$86&gt;0,DATE($C90,1,15)&gt;$T$86)),0,IF(DATE($C90,1,15)&gt;=$X$86,$AA$86*(1+($U$86)/100)^MAX(0,$C90-$AD$86),IF(DATE($C90,1,15)&gt;=$W$86,$Z$86*(1+($U$86)/100)^MAX(0,$C90-$AC$86),IF(DATE($C90,1,15)&gt;=$V$86,$Y$86*(1+($U$86)/100)^MAX(0,$C90-$AB$86),0)))))</f>
      </c>
      <c r="F90" s="43">
        <f>IF($S$86=0,0,IF(OR(DATE($C90,2,15)&lt;$S$86,AND($T$86&gt;0,DATE($C90,2,15)&gt;$T$86)),0,IF(DATE($C90,2,15)&gt;=$X$86,$AA$86*(1+($U$86)/100)^MAX(0,$C90-$AD$86),IF(DATE($C90,2,15)&gt;=$W$86,$Z$86*(1+($U$86)/100)^MAX(0,$C90-$AC$86),IF(DATE($C90,2,15)&gt;=$V$86,$Y$86*(1+($U$86)/100)^MAX(0,$C90-$AB$86),0)))))</f>
      </c>
      <c r="G90" s="43">
        <f>IF($S$86=0,0,IF(OR(DATE($C90,3,15)&lt;$S$86,AND($T$86&gt;0,DATE($C90,3,15)&gt;$T$86)),0,IF(DATE($C90,3,15)&gt;=$X$86,$AA$86*(1+($U$86)/100)^MAX(0,$C90-$AD$86),IF(DATE($C90,3,15)&gt;=$W$86,$Z$86*(1+($U$86)/100)^MAX(0,$C90-$AC$86),IF(DATE($C90,3,15)&gt;=$V$86,$Y$86*(1+($U$86)/100)^MAX(0,$C90-$AB$86),0)))))</f>
      </c>
      <c r="H90" s="43">
        <f>IF($S$86=0,0,IF(OR(DATE($C90,4,15)&lt;$S$86,AND($T$86&gt;0,DATE($C90,4,15)&gt;$T$86)),0,IF(DATE($C90,4,15)&gt;=$X$86,$AA$86*(1+($U$86)/100)^MAX(0,$C90-$AD$86),IF(DATE($C90,4,15)&gt;=$W$86,$Z$86*(1+($U$86)/100)^MAX(0,$C90-$AC$86),IF(DATE($C90,4,15)&gt;=$V$86,$Y$86*(1+($U$86)/100)^MAX(0,$C90-$AB$86),0)))))</f>
      </c>
      <c r="I90" s="43">
        <f>IF($S$86=0,0,IF(OR(DATE($C90,5,15)&lt;$S$86,AND($T$86&gt;0,DATE($C90,5,15)&gt;$T$86)),0,IF(DATE($C90,5,15)&gt;=$X$86,$AA$86*(1+($U$86)/100)^MAX(0,$C90-$AD$86),IF(DATE($C90,5,15)&gt;=$W$86,$Z$86*(1+($U$86)/100)^MAX(0,$C90-$AC$86),IF(DATE($C90,5,15)&gt;=$V$86,$Y$86*(1+($U$86)/100)^MAX(0,$C90-$AB$86),0)))))</f>
      </c>
      <c r="J90" s="43">
        <f>IF($S$86=0,0,IF(OR(DATE($C90,6,15)&lt;$S$86,AND($T$86&gt;0,DATE($C90,6,15)&gt;$T$86)),0,IF(DATE($C90,6,15)&gt;=$X$86,$AA$86*(1+($U$86)/100)^MAX(0,$C90-$AD$86),IF(DATE($C90,6,15)&gt;=$W$86,$Z$86*(1+($U$86)/100)^MAX(0,$C90-$AC$86),IF(DATE($C90,6,15)&gt;=$V$86,$Y$86*(1+($U$86)/100)^MAX(0,$C90-$AB$86),0)))))</f>
      </c>
      <c r="K90" s="43">
        <f>IF($S$86=0,0,IF(OR(DATE($C90,7,15)&lt;$S$86,AND($T$86&gt;0,DATE($C90,7,15)&gt;$T$86)),0,IF(DATE($C90,7,15)&gt;=$X$86,$AA$86*(1+($U$86)/100)^MAX(0,$C90-$AD$86),IF(DATE($C90,7,15)&gt;=$W$86,$Z$86*(1+($U$86)/100)^MAX(0,$C90-$AC$86),IF(DATE($C90,7,15)&gt;=$V$86,$Y$86*(1+($U$86)/100)^MAX(0,$C90-$AB$86),0)))))</f>
      </c>
      <c r="L90" s="43">
        <f>IF($S$86=0,0,IF(OR(DATE($C90,8,15)&lt;$S$86,AND($T$86&gt;0,DATE($C90,8,15)&gt;$T$86)),0,IF(DATE($C90,8,15)&gt;=$X$86,$AA$86*(1+($U$86)/100)^MAX(0,$C90-$AD$86),IF(DATE($C90,8,15)&gt;=$W$86,$Z$86*(1+($U$86)/100)^MAX(0,$C90-$AC$86),IF(DATE($C90,8,15)&gt;=$V$86,$Y$86*(1+($U$86)/100)^MAX(0,$C90-$AB$86),0)))))</f>
      </c>
      <c r="M90" s="43">
        <f>IF($S$86=0,0,IF(OR(DATE($C90,9,15)&lt;$S$86,AND($T$86&gt;0,DATE($C90,9,15)&gt;$T$86)),0,IF(DATE($C90,9,15)&gt;=$X$86,$AA$86*(1+($U$86)/100)^MAX(0,$C90-$AD$86),IF(DATE($C90,9,15)&gt;=$W$86,$Z$86*(1+($U$86)/100)^MAX(0,$C90-$AC$86),IF(DATE($C90,9,15)&gt;=$V$86,$Y$86*(1+($U$86)/100)^MAX(0,$C90-$AB$86),0)))))</f>
      </c>
      <c r="N90" s="43">
        <f>IF($S$86=0,0,IF(OR(DATE($C90,10,15)&lt;$S$86,AND($T$86&gt;0,DATE($C90,10,15)&gt;$T$86)),0,IF(DATE($C90,10,15)&gt;=$X$86,$AA$86*(1+($U$86)/100)^MAX(0,$C90-$AD$86),IF(DATE($C90,10,15)&gt;=$W$86,$Z$86*(1+($U$86)/100)^MAX(0,$C90-$AC$86),IF(DATE($C90,10,15)&gt;=$V$86,$Y$86*(1+($U$86)/100)^MAX(0,$C90-$AB$86),0)))))</f>
      </c>
      <c r="O90" s="43">
        <f>IF($S$86=0,0,IF(OR(DATE($C90,11,15)&lt;$S$86,AND($T$86&gt;0,DATE($C90,11,15)&gt;$T$86)),0,IF(DATE($C90,11,15)&gt;=$X$86,$AA$86*(1+($U$86)/100)^MAX(0,$C90-$AD$86),IF(DATE($C90,11,15)&gt;=$W$86,$Z$86*(1+($U$86)/100)^MAX(0,$C90-$AC$86),IF(DATE($C90,11,15)&gt;=$V$86,$Y$86*(1+($U$86)/100)^MAX(0,$C90-$AB$86),0)))))</f>
      </c>
      <c r="P90" s="43">
        <f>IF($S$86=0,0,IF(OR(DATE($C90,12,15)&lt;$S$86,AND($T$86&gt;0,DATE($C90,12,15)&gt;$T$86)),0,IF(DATE($C90,12,15)&gt;=$X$86,$AA$86*(1+($U$86)/100)^MAX(0,$C90-$AD$86),IF(DATE($C90,12,15)&gt;=$W$86,$Z$86*(1+($U$86)/100)^MAX(0,$C90-$AC$86),IF(DATE($C90,12,15)&gt;=$V$86,$Y$86*(1+($U$86)/100)^MAX(0,$C90-$AB$86),0)))))</f>
      </c>
      <c r="Q90" s="43">
        <f>SUM($E90:$P90)</f>
      </c>
    </row>
    <row r="91">
      <c r="A91"/>
      <c r="B91">
        <v>3</v>
      </c>
      <c r="C91" s="43">
        <f>Jahr+5</f>
      </c>
      <c r="D91" s="43">
        <f>INDEX(MvObj,3)</f>
      </c>
      <c r="E91" s="43">
        <f>IF($S$86=0,0,IF(OR(DATE($C91,1,15)&lt;$S$86,AND($T$86&gt;0,DATE($C91,1,15)&gt;$T$86)),0,IF(DATE($C91,1,15)&gt;=$X$86,$AA$86*(1+($U$86)/100)^MAX(0,$C91-$AD$86),IF(DATE($C91,1,15)&gt;=$W$86,$Z$86*(1+($U$86)/100)^MAX(0,$C91-$AC$86),IF(DATE($C91,1,15)&gt;=$V$86,$Y$86*(1+($U$86)/100)^MAX(0,$C91-$AB$86),0)))))</f>
      </c>
      <c r="F91" s="43">
        <f>IF($S$86=0,0,IF(OR(DATE($C91,2,15)&lt;$S$86,AND($T$86&gt;0,DATE($C91,2,15)&gt;$T$86)),0,IF(DATE($C91,2,15)&gt;=$X$86,$AA$86*(1+($U$86)/100)^MAX(0,$C91-$AD$86),IF(DATE($C91,2,15)&gt;=$W$86,$Z$86*(1+($U$86)/100)^MAX(0,$C91-$AC$86),IF(DATE($C91,2,15)&gt;=$V$86,$Y$86*(1+($U$86)/100)^MAX(0,$C91-$AB$86),0)))))</f>
      </c>
      <c r="G91" s="43">
        <f>IF($S$86=0,0,IF(OR(DATE($C91,3,15)&lt;$S$86,AND($T$86&gt;0,DATE($C91,3,15)&gt;$T$86)),0,IF(DATE($C91,3,15)&gt;=$X$86,$AA$86*(1+($U$86)/100)^MAX(0,$C91-$AD$86),IF(DATE($C91,3,15)&gt;=$W$86,$Z$86*(1+($U$86)/100)^MAX(0,$C91-$AC$86),IF(DATE($C91,3,15)&gt;=$V$86,$Y$86*(1+($U$86)/100)^MAX(0,$C91-$AB$86),0)))))</f>
      </c>
      <c r="H91" s="43">
        <f>IF($S$86=0,0,IF(OR(DATE($C91,4,15)&lt;$S$86,AND($T$86&gt;0,DATE($C91,4,15)&gt;$T$86)),0,IF(DATE($C91,4,15)&gt;=$X$86,$AA$86*(1+($U$86)/100)^MAX(0,$C91-$AD$86),IF(DATE($C91,4,15)&gt;=$W$86,$Z$86*(1+($U$86)/100)^MAX(0,$C91-$AC$86),IF(DATE($C91,4,15)&gt;=$V$86,$Y$86*(1+($U$86)/100)^MAX(0,$C91-$AB$86),0)))))</f>
      </c>
      <c r="I91" s="43">
        <f>IF($S$86=0,0,IF(OR(DATE($C91,5,15)&lt;$S$86,AND($T$86&gt;0,DATE($C91,5,15)&gt;$T$86)),0,IF(DATE($C91,5,15)&gt;=$X$86,$AA$86*(1+($U$86)/100)^MAX(0,$C91-$AD$86),IF(DATE($C91,5,15)&gt;=$W$86,$Z$86*(1+($U$86)/100)^MAX(0,$C91-$AC$86),IF(DATE($C91,5,15)&gt;=$V$86,$Y$86*(1+($U$86)/100)^MAX(0,$C91-$AB$86),0)))))</f>
      </c>
      <c r="J91" s="43">
        <f>IF($S$86=0,0,IF(OR(DATE($C91,6,15)&lt;$S$86,AND($T$86&gt;0,DATE($C91,6,15)&gt;$T$86)),0,IF(DATE($C91,6,15)&gt;=$X$86,$AA$86*(1+($U$86)/100)^MAX(0,$C91-$AD$86),IF(DATE($C91,6,15)&gt;=$W$86,$Z$86*(1+($U$86)/100)^MAX(0,$C91-$AC$86),IF(DATE($C91,6,15)&gt;=$V$86,$Y$86*(1+($U$86)/100)^MAX(0,$C91-$AB$86),0)))))</f>
      </c>
      <c r="K91" s="43">
        <f>IF($S$86=0,0,IF(OR(DATE($C91,7,15)&lt;$S$86,AND($T$86&gt;0,DATE($C91,7,15)&gt;$T$86)),0,IF(DATE($C91,7,15)&gt;=$X$86,$AA$86*(1+($U$86)/100)^MAX(0,$C91-$AD$86),IF(DATE($C91,7,15)&gt;=$W$86,$Z$86*(1+($U$86)/100)^MAX(0,$C91-$AC$86),IF(DATE($C91,7,15)&gt;=$V$86,$Y$86*(1+($U$86)/100)^MAX(0,$C91-$AB$86),0)))))</f>
      </c>
      <c r="L91" s="43">
        <f>IF($S$86=0,0,IF(OR(DATE($C91,8,15)&lt;$S$86,AND($T$86&gt;0,DATE($C91,8,15)&gt;$T$86)),0,IF(DATE($C91,8,15)&gt;=$X$86,$AA$86*(1+($U$86)/100)^MAX(0,$C91-$AD$86),IF(DATE($C91,8,15)&gt;=$W$86,$Z$86*(1+($U$86)/100)^MAX(0,$C91-$AC$86),IF(DATE($C91,8,15)&gt;=$V$86,$Y$86*(1+($U$86)/100)^MAX(0,$C91-$AB$86),0)))))</f>
      </c>
      <c r="M91" s="43">
        <f>IF($S$86=0,0,IF(OR(DATE($C91,9,15)&lt;$S$86,AND($T$86&gt;0,DATE($C91,9,15)&gt;$T$86)),0,IF(DATE($C91,9,15)&gt;=$X$86,$AA$86*(1+($U$86)/100)^MAX(0,$C91-$AD$86),IF(DATE($C91,9,15)&gt;=$W$86,$Z$86*(1+($U$86)/100)^MAX(0,$C91-$AC$86),IF(DATE($C91,9,15)&gt;=$V$86,$Y$86*(1+($U$86)/100)^MAX(0,$C91-$AB$86),0)))))</f>
      </c>
      <c r="N91" s="43">
        <f>IF($S$86=0,0,IF(OR(DATE($C91,10,15)&lt;$S$86,AND($T$86&gt;0,DATE($C91,10,15)&gt;$T$86)),0,IF(DATE($C91,10,15)&gt;=$X$86,$AA$86*(1+($U$86)/100)^MAX(0,$C91-$AD$86),IF(DATE($C91,10,15)&gt;=$W$86,$Z$86*(1+($U$86)/100)^MAX(0,$C91-$AC$86),IF(DATE($C91,10,15)&gt;=$V$86,$Y$86*(1+($U$86)/100)^MAX(0,$C91-$AB$86),0)))))</f>
      </c>
      <c r="O91" s="43">
        <f>IF($S$86=0,0,IF(OR(DATE($C91,11,15)&lt;$S$86,AND($T$86&gt;0,DATE($C91,11,15)&gt;$T$86)),0,IF(DATE($C91,11,15)&gt;=$X$86,$AA$86*(1+($U$86)/100)^MAX(0,$C91-$AD$86),IF(DATE($C91,11,15)&gt;=$W$86,$Z$86*(1+($U$86)/100)^MAX(0,$C91-$AC$86),IF(DATE($C91,11,15)&gt;=$V$86,$Y$86*(1+($U$86)/100)^MAX(0,$C91-$AB$86),0)))))</f>
      </c>
      <c r="P91" s="43">
        <f>IF($S$86=0,0,IF(OR(DATE($C91,12,15)&lt;$S$86,AND($T$86&gt;0,DATE($C91,12,15)&gt;$T$86)),0,IF(DATE($C91,12,15)&gt;=$X$86,$AA$86*(1+($U$86)/100)^MAX(0,$C91-$AD$86),IF(DATE($C91,12,15)&gt;=$W$86,$Z$86*(1+($U$86)/100)^MAX(0,$C91-$AC$86),IF(DATE($C91,12,15)&gt;=$V$86,$Y$86*(1+($U$86)/100)^MAX(0,$C91-$AB$86),0)))))</f>
      </c>
      <c r="Q91" s="43">
        <f>SUM($E91:$P91)</f>
      </c>
    </row>
    <row r="92">
      <c r="A92"/>
      <c r="B92">
        <v>3</v>
      </c>
      <c r="C92" s="43">
        <f>Jahr+6</f>
      </c>
      <c r="D92" s="43">
        <f>INDEX(MvObj,3)</f>
      </c>
      <c r="E92" s="43">
        <f>IF($S$86=0,0,IF(OR(DATE($C92,1,15)&lt;$S$86,AND($T$86&gt;0,DATE($C92,1,15)&gt;$T$86)),0,IF(DATE($C92,1,15)&gt;=$X$86,$AA$86*(1+($U$86)/100)^MAX(0,$C92-$AD$86),IF(DATE($C92,1,15)&gt;=$W$86,$Z$86*(1+($U$86)/100)^MAX(0,$C92-$AC$86),IF(DATE($C92,1,15)&gt;=$V$86,$Y$86*(1+($U$86)/100)^MAX(0,$C92-$AB$86),0)))))</f>
      </c>
      <c r="F92" s="43">
        <f>IF($S$86=0,0,IF(OR(DATE($C92,2,15)&lt;$S$86,AND($T$86&gt;0,DATE($C92,2,15)&gt;$T$86)),0,IF(DATE($C92,2,15)&gt;=$X$86,$AA$86*(1+($U$86)/100)^MAX(0,$C92-$AD$86),IF(DATE($C92,2,15)&gt;=$W$86,$Z$86*(1+($U$86)/100)^MAX(0,$C92-$AC$86),IF(DATE($C92,2,15)&gt;=$V$86,$Y$86*(1+($U$86)/100)^MAX(0,$C92-$AB$86),0)))))</f>
      </c>
      <c r="G92" s="43">
        <f>IF($S$86=0,0,IF(OR(DATE($C92,3,15)&lt;$S$86,AND($T$86&gt;0,DATE($C92,3,15)&gt;$T$86)),0,IF(DATE($C92,3,15)&gt;=$X$86,$AA$86*(1+($U$86)/100)^MAX(0,$C92-$AD$86),IF(DATE($C92,3,15)&gt;=$W$86,$Z$86*(1+($U$86)/100)^MAX(0,$C92-$AC$86),IF(DATE($C92,3,15)&gt;=$V$86,$Y$86*(1+($U$86)/100)^MAX(0,$C92-$AB$86),0)))))</f>
      </c>
      <c r="H92" s="43">
        <f>IF($S$86=0,0,IF(OR(DATE($C92,4,15)&lt;$S$86,AND($T$86&gt;0,DATE($C92,4,15)&gt;$T$86)),0,IF(DATE($C92,4,15)&gt;=$X$86,$AA$86*(1+($U$86)/100)^MAX(0,$C92-$AD$86),IF(DATE($C92,4,15)&gt;=$W$86,$Z$86*(1+($U$86)/100)^MAX(0,$C92-$AC$86),IF(DATE($C92,4,15)&gt;=$V$86,$Y$86*(1+($U$86)/100)^MAX(0,$C92-$AB$86),0)))))</f>
      </c>
      <c r="I92" s="43">
        <f>IF($S$86=0,0,IF(OR(DATE($C92,5,15)&lt;$S$86,AND($T$86&gt;0,DATE($C92,5,15)&gt;$T$86)),0,IF(DATE($C92,5,15)&gt;=$X$86,$AA$86*(1+($U$86)/100)^MAX(0,$C92-$AD$86),IF(DATE($C92,5,15)&gt;=$W$86,$Z$86*(1+($U$86)/100)^MAX(0,$C92-$AC$86),IF(DATE($C92,5,15)&gt;=$V$86,$Y$86*(1+($U$86)/100)^MAX(0,$C92-$AB$86),0)))))</f>
      </c>
      <c r="J92" s="43">
        <f>IF($S$86=0,0,IF(OR(DATE($C92,6,15)&lt;$S$86,AND($T$86&gt;0,DATE($C92,6,15)&gt;$T$86)),0,IF(DATE($C92,6,15)&gt;=$X$86,$AA$86*(1+($U$86)/100)^MAX(0,$C92-$AD$86),IF(DATE($C92,6,15)&gt;=$W$86,$Z$86*(1+($U$86)/100)^MAX(0,$C92-$AC$86),IF(DATE($C92,6,15)&gt;=$V$86,$Y$86*(1+($U$86)/100)^MAX(0,$C92-$AB$86),0)))))</f>
      </c>
      <c r="K92" s="43">
        <f>IF($S$86=0,0,IF(OR(DATE($C92,7,15)&lt;$S$86,AND($T$86&gt;0,DATE($C92,7,15)&gt;$T$86)),0,IF(DATE($C92,7,15)&gt;=$X$86,$AA$86*(1+($U$86)/100)^MAX(0,$C92-$AD$86),IF(DATE($C92,7,15)&gt;=$W$86,$Z$86*(1+($U$86)/100)^MAX(0,$C92-$AC$86),IF(DATE($C92,7,15)&gt;=$V$86,$Y$86*(1+($U$86)/100)^MAX(0,$C92-$AB$86),0)))))</f>
      </c>
      <c r="L92" s="43">
        <f>IF($S$86=0,0,IF(OR(DATE($C92,8,15)&lt;$S$86,AND($T$86&gt;0,DATE($C92,8,15)&gt;$T$86)),0,IF(DATE($C92,8,15)&gt;=$X$86,$AA$86*(1+($U$86)/100)^MAX(0,$C92-$AD$86),IF(DATE($C92,8,15)&gt;=$W$86,$Z$86*(1+($U$86)/100)^MAX(0,$C92-$AC$86),IF(DATE($C92,8,15)&gt;=$V$86,$Y$86*(1+($U$86)/100)^MAX(0,$C92-$AB$86),0)))))</f>
      </c>
      <c r="M92" s="43">
        <f>IF($S$86=0,0,IF(OR(DATE($C92,9,15)&lt;$S$86,AND($T$86&gt;0,DATE($C92,9,15)&gt;$T$86)),0,IF(DATE($C92,9,15)&gt;=$X$86,$AA$86*(1+($U$86)/100)^MAX(0,$C92-$AD$86),IF(DATE($C92,9,15)&gt;=$W$86,$Z$86*(1+($U$86)/100)^MAX(0,$C92-$AC$86),IF(DATE($C92,9,15)&gt;=$V$86,$Y$86*(1+($U$86)/100)^MAX(0,$C92-$AB$86),0)))))</f>
      </c>
      <c r="N92" s="43">
        <f>IF($S$86=0,0,IF(OR(DATE($C92,10,15)&lt;$S$86,AND($T$86&gt;0,DATE($C92,10,15)&gt;$T$86)),0,IF(DATE($C92,10,15)&gt;=$X$86,$AA$86*(1+($U$86)/100)^MAX(0,$C92-$AD$86),IF(DATE($C92,10,15)&gt;=$W$86,$Z$86*(1+($U$86)/100)^MAX(0,$C92-$AC$86),IF(DATE($C92,10,15)&gt;=$V$86,$Y$86*(1+($U$86)/100)^MAX(0,$C92-$AB$86),0)))))</f>
      </c>
      <c r="O92" s="43">
        <f>IF($S$86=0,0,IF(OR(DATE($C92,11,15)&lt;$S$86,AND($T$86&gt;0,DATE($C92,11,15)&gt;$T$86)),0,IF(DATE($C92,11,15)&gt;=$X$86,$AA$86*(1+($U$86)/100)^MAX(0,$C92-$AD$86),IF(DATE($C92,11,15)&gt;=$W$86,$Z$86*(1+($U$86)/100)^MAX(0,$C92-$AC$86),IF(DATE($C92,11,15)&gt;=$V$86,$Y$86*(1+($U$86)/100)^MAX(0,$C92-$AB$86),0)))))</f>
      </c>
      <c r="P92" s="43">
        <f>IF($S$86=0,0,IF(OR(DATE($C92,12,15)&lt;$S$86,AND($T$86&gt;0,DATE($C92,12,15)&gt;$T$86)),0,IF(DATE($C92,12,15)&gt;=$X$86,$AA$86*(1+($U$86)/100)^MAX(0,$C92-$AD$86),IF(DATE($C92,12,15)&gt;=$W$86,$Z$86*(1+($U$86)/100)^MAX(0,$C92-$AC$86),IF(DATE($C92,12,15)&gt;=$V$86,$Y$86*(1+($U$86)/100)^MAX(0,$C92-$AB$86),0)))))</f>
      </c>
      <c r="Q92" s="43">
        <f>SUM($E92:$P92)</f>
      </c>
    </row>
    <row r="93">
      <c r="A93"/>
      <c r="B93">
        <v>3</v>
      </c>
      <c r="C93" s="43">
        <f>Jahr+7</f>
      </c>
      <c r="D93" s="43">
        <f>INDEX(MvObj,3)</f>
      </c>
      <c r="E93" s="43">
        <f>IF($S$86=0,0,IF(OR(DATE($C93,1,15)&lt;$S$86,AND($T$86&gt;0,DATE($C93,1,15)&gt;$T$86)),0,IF(DATE($C93,1,15)&gt;=$X$86,$AA$86*(1+($U$86)/100)^MAX(0,$C93-$AD$86),IF(DATE($C93,1,15)&gt;=$W$86,$Z$86*(1+($U$86)/100)^MAX(0,$C93-$AC$86),IF(DATE($C93,1,15)&gt;=$V$86,$Y$86*(1+($U$86)/100)^MAX(0,$C93-$AB$86),0)))))</f>
      </c>
      <c r="F93" s="43">
        <f>IF($S$86=0,0,IF(OR(DATE($C93,2,15)&lt;$S$86,AND($T$86&gt;0,DATE($C93,2,15)&gt;$T$86)),0,IF(DATE($C93,2,15)&gt;=$X$86,$AA$86*(1+($U$86)/100)^MAX(0,$C93-$AD$86),IF(DATE($C93,2,15)&gt;=$W$86,$Z$86*(1+($U$86)/100)^MAX(0,$C93-$AC$86),IF(DATE($C93,2,15)&gt;=$V$86,$Y$86*(1+($U$86)/100)^MAX(0,$C93-$AB$86),0)))))</f>
      </c>
      <c r="G93" s="43">
        <f>IF($S$86=0,0,IF(OR(DATE($C93,3,15)&lt;$S$86,AND($T$86&gt;0,DATE($C93,3,15)&gt;$T$86)),0,IF(DATE($C93,3,15)&gt;=$X$86,$AA$86*(1+($U$86)/100)^MAX(0,$C93-$AD$86),IF(DATE($C93,3,15)&gt;=$W$86,$Z$86*(1+($U$86)/100)^MAX(0,$C93-$AC$86),IF(DATE($C93,3,15)&gt;=$V$86,$Y$86*(1+($U$86)/100)^MAX(0,$C93-$AB$86),0)))))</f>
      </c>
      <c r="H93" s="43">
        <f>IF($S$86=0,0,IF(OR(DATE($C93,4,15)&lt;$S$86,AND($T$86&gt;0,DATE($C93,4,15)&gt;$T$86)),0,IF(DATE($C93,4,15)&gt;=$X$86,$AA$86*(1+($U$86)/100)^MAX(0,$C93-$AD$86),IF(DATE($C93,4,15)&gt;=$W$86,$Z$86*(1+($U$86)/100)^MAX(0,$C93-$AC$86),IF(DATE($C93,4,15)&gt;=$V$86,$Y$86*(1+($U$86)/100)^MAX(0,$C93-$AB$86),0)))))</f>
      </c>
      <c r="I93" s="43">
        <f>IF($S$86=0,0,IF(OR(DATE($C93,5,15)&lt;$S$86,AND($T$86&gt;0,DATE($C93,5,15)&gt;$T$86)),0,IF(DATE($C93,5,15)&gt;=$X$86,$AA$86*(1+($U$86)/100)^MAX(0,$C93-$AD$86),IF(DATE($C93,5,15)&gt;=$W$86,$Z$86*(1+($U$86)/100)^MAX(0,$C93-$AC$86),IF(DATE($C93,5,15)&gt;=$V$86,$Y$86*(1+($U$86)/100)^MAX(0,$C93-$AB$86),0)))))</f>
      </c>
      <c r="J93" s="43">
        <f>IF($S$86=0,0,IF(OR(DATE($C93,6,15)&lt;$S$86,AND($T$86&gt;0,DATE($C93,6,15)&gt;$T$86)),0,IF(DATE($C93,6,15)&gt;=$X$86,$AA$86*(1+($U$86)/100)^MAX(0,$C93-$AD$86),IF(DATE($C93,6,15)&gt;=$W$86,$Z$86*(1+($U$86)/100)^MAX(0,$C93-$AC$86),IF(DATE($C93,6,15)&gt;=$V$86,$Y$86*(1+($U$86)/100)^MAX(0,$C93-$AB$86),0)))))</f>
      </c>
      <c r="K93" s="43">
        <f>IF($S$86=0,0,IF(OR(DATE($C93,7,15)&lt;$S$86,AND($T$86&gt;0,DATE($C93,7,15)&gt;$T$86)),0,IF(DATE($C93,7,15)&gt;=$X$86,$AA$86*(1+($U$86)/100)^MAX(0,$C93-$AD$86),IF(DATE($C93,7,15)&gt;=$W$86,$Z$86*(1+($U$86)/100)^MAX(0,$C93-$AC$86),IF(DATE($C93,7,15)&gt;=$V$86,$Y$86*(1+($U$86)/100)^MAX(0,$C93-$AB$86),0)))))</f>
      </c>
      <c r="L93" s="43">
        <f>IF($S$86=0,0,IF(OR(DATE($C93,8,15)&lt;$S$86,AND($T$86&gt;0,DATE($C93,8,15)&gt;$T$86)),0,IF(DATE($C93,8,15)&gt;=$X$86,$AA$86*(1+($U$86)/100)^MAX(0,$C93-$AD$86),IF(DATE($C93,8,15)&gt;=$W$86,$Z$86*(1+($U$86)/100)^MAX(0,$C93-$AC$86),IF(DATE($C93,8,15)&gt;=$V$86,$Y$86*(1+($U$86)/100)^MAX(0,$C93-$AB$86),0)))))</f>
      </c>
      <c r="M93" s="43">
        <f>IF($S$86=0,0,IF(OR(DATE($C93,9,15)&lt;$S$86,AND($T$86&gt;0,DATE($C93,9,15)&gt;$T$86)),0,IF(DATE($C93,9,15)&gt;=$X$86,$AA$86*(1+($U$86)/100)^MAX(0,$C93-$AD$86),IF(DATE($C93,9,15)&gt;=$W$86,$Z$86*(1+($U$86)/100)^MAX(0,$C93-$AC$86),IF(DATE($C93,9,15)&gt;=$V$86,$Y$86*(1+($U$86)/100)^MAX(0,$C93-$AB$86),0)))))</f>
      </c>
      <c r="N93" s="43">
        <f>IF($S$86=0,0,IF(OR(DATE($C93,10,15)&lt;$S$86,AND($T$86&gt;0,DATE($C93,10,15)&gt;$T$86)),0,IF(DATE($C93,10,15)&gt;=$X$86,$AA$86*(1+($U$86)/100)^MAX(0,$C93-$AD$86),IF(DATE($C93,10,15)&gt;=$W$86,$Z$86*(1+($U$86)/100)^MAX(0,$C93-$AC$86),IF(DATE($C93,10,15)&gt;=$V$86,$Y$86*(1+($U$86)/100)^MAX(0,$C93-$AB$86),0)))))</f>
      </c>
      <c r="O93" s="43">
        <f>IF($S$86=0,0,IF(OR(DATE($C93,11,15)&lt;$S$86,AND($T$86&gt;0,DATE($C93,11,15)&gt;$T$86)),0,IF(DATE($C93,11,15)&gt;=$X$86,$AA$86*(1+($U$86)/100)^MAX(0,$C93-$AD$86),IF(DATE($C93,11,15)&gt;=$W$86,$Z$86*(1+($U$86)/100)^MAX(0,$C93-$AC$86),IF(DATE($C93,11,15)&gt;=$V$86,$Y$86*(1+($U$86)/100)^MAX(0,$C93-$AB$86),0)))))</f>
      </c>
      <c r="P93" s="43">
        <f>IF($S$86=0,0,IF(OR(DATE($C93,12,15)&lt;$S$86,AND($T$86&gt;0,DATE($C93,12,15)&gt;$T$86)),0,IF(DATE($C93,12,15)&gt;=$X$86,$AA$86*(1+($U$86)/100)^MAX(0,$C93-$AD$86),IF(DATE($C93,12,15)&gt;=$W$86,$Z$86*(1+($U$86)/100)^MAX(0,$C93-$AC$86),IF(DATE($C93,12,15)&gt;=$V$86,$Y$86*(1+($U$86)/100)^MAX(0,$C93-$AB$86),0)))))</f>
      </c>
      <c r="Q93" s="43">
        <f>SUM($E93:$P93)</f>
      </c>
    </row>
    <row r="94">
      <c r="A94"/>
      <c r="B94">
        <v>3</v>
      </c>
      <c r="C94" s="43">
        <f>Jahr+8</f>
      </c>
      <c r="D94" s="43">
        <f>INDEX(MvObj,3)</f>
      </c>
      <c r="E94" s="43">
        <f>IF($S$86=0,0,IF(OR(DATE($C94,1,15)&lt;$S$86,AND($T$86&gt;0,DATE($C94,1,15)&gt;$T$86)),0,IF(DATE($C94,1,15)&gt;=$X$86,$AA$86*(1+($U$86)/100)^MAX(0,$C94-$AD$86),IF(DATE($C94,1,15)&gt;=$W$86,$Z$86*(1+($U$86)/100)^MAX(0,$C94-$AC$86),IF(DATE($C94,1,15)&gt;=$V$86,$Y$86*(1+($U$86)/100)^MAX(0,$C94-$AB$86),0)))))</f>
      </c>
      <c r="F94" s="43">
        <f>IF($S$86=0,0,IF(OR(DATE($C94,2,15)&lt;$S$86,AND($T$86&gt;0,DATE($C94,2,15)&gt;$T$86)),0,IF(DATE($C94,2,15)&gt;=$X$86,$AA$86*(1+($U$86)/100)^MAX(0,$C94-$AD$86),IF(DATE($C94,2,15)&gt;=$W$86,$Z$86*(1+($U$86)/100)^MAX(0,$C94-$AC$86),IF(DATE($C94,2,15)&gt;=$V$86,$Y$86*(1+($U$86)/100)^MAX(0,$C94-$AB$86),0)))))</f>
      </c>
      <c r="G94" s="43">
        <f>IF($S$86=0,0,IF(OR(DATE($C94,3,15)&lt;$S$86,AND($T$86&gt;0,DATE($C94,3,15)&gt;$T$86)),0,IF(DATE($C94,3,15)&gt;=$X$86,$AA$86*(1+($U$86)/100)^MAX(0,$C94-$AD$86),IF(DATE($C94,3,15)&gt;=$W$86,$Z$86*(1+($U$86)/100)^MAX(0,$C94-$AC$86),IF(DATE($C94,3,15)&gt;=$V$86,$Y$86*(1+($U$86)/100)^MAX(0,$C94-$AB$86),0)))))</f>
      </c>
      <c r="H94" s="43">
        <f>IF($S$86=0,0,IF(OR(DATE($C94,4,15)&lt;$S$86,AND($T$86&gt;0,DATE($C94,4,15)&gt;$T$86)),0,IF(DATE($C94,4,15)&gt;=$X$86,$AA$86*(1+($U$86)/100)^MAX(0,$C94-$AD$86),IF(DATE($C94,4,15)&gt;=$W$86,$Z$86*(1+($U$86)/100)^MAX(0,$C94-$AC$86),IF(DATE($C94,4,15)&gt;=$V$86,$Y$86*(1+($U$86)/100)^MAX(0,$C94-$AB$86),0)))))</f>
      </c>
      <c r="I94" s="43">
        <f>IF($S$86=0,0,IF(OR(DATE($C94,5,15)&lt;$S$86,AND($T$86&gt;0,DATE($C94,5,15)&gt;$T$86)),0,IF(DATE($C94,5,15)&gt;=$X$86,$AA$86*(1+($U$86)/100)^MAX(0,$C94-$AD$86),IF(DATE($C94,5,15)&gt;=$W$86,$Z$86*(1+($U$86)/100)^MAX(0,$C94-$AC$86),IF(DATE($C94,5,15)&gt;=$V$86,$Y$86*(1+($U$86)/100)^MAX(0,$C94-$AB$86),0)))))</f>
      </c>
      <c r="J94" s="43">
        <f>IF($S$86=0,0,IF(OR(DATE($C94,6,15)&lt;$S$86,AND($T$86&gt;0,DATE($C94,6,15)&gt;$T$86)),0,IF(DATE($C94,6,15)&gt;=$X$86,$AA$86*(1+($U$86)/100)^MAX(0,$C94-$AD$86),IF(DATE($C94,6,15)&gt;=$W$86,$Z$86*(1+($U$86)/100)^MAX(0,$C94-$AC$86),IF(DATE($C94,6,15)&gt;=$V$86,$Y$86*(1+($U$86)/100)^MAX(0,$C94-$AB$86),0)))))</f>
      </c>
      <c r="K94" s="43">
        <f>IF($S$86=0,0,IF(OR(DATE($C94,7,15)&lt;$S$86,AND($T$86&gt;0,DATE($C94,7,15)&gt;$T$86)),0,IF(DATE($C94,7,15)&gt;=$X$86,$AA$86*(1+($U$86)/100)^MAX(0,$C94-$AD$86),IF(DATE($C94,7,15)&gt;=$W$86,$Z$86*(1+($U$86)/100)^MAX(0,$C94-$AC$86),IF(DATE($C94,7,15)&gt;=$V$86,$Y$86*(1+($U$86)/100)^MAX(0,$C94-$AB$86),0)))))</f>
      </c>
      <c r="L94" s="43">
        <f>IF($S$86=0,0,IF(OR(DATE($C94,8,15)&lt;$S$86,AND($T$86&gt;0,DATE($C94,8,15)&gt;$T$86)),0,IF(DATE($C94,8,15)&gt;=$X$86,$AA$86*(1+($U$86)/100)^MAX(0,$C94-$AD$86),IF(DATE($C94,8,15)&gt;=$W$86,$Z$86*(1+($U$86)/100)^MAX(0,$C94-$AC$86),IF(DATE($C94,8,15)&gt;=$V$86,$Y$86*(1+($U$86)/100)^MAX(0,$C94-$AB$86),0)))))</f>
      </c>
      <c r="M94" s="43">
        <f>IF($S$86=0,0,IF(OR(DATE($C94,9,15)&lt;$S$86,AND($T$86&gt;0,DATE($C94,9,15)&gt;$T$86)),0,IF(DATE($C94,9,15)&gt;=$X$86,$AA$86*(1+($U$86)/100)^MAX(0,$C94-$AD$86),IF(DATE($C94,9,15)&gt;=$W$86,$Z$86*(1+($U$86)/100)^MAX(0,$C94-$AC$86),IF(DATE($C94,9,15)&gt;=$V$86,$Y$86*(1+($U$86)/100)^MAX(0,$C94-$AB$86),0)))))</f>
      </c>
      <c r="N94" s="43">
        <f>IF($S$86=0,0,IF(OR(DATE($C94,10,15)&lt;$S$86,AND($T$86&gt;0,DATE($C94,10,15)&gt;$T$86)),0,IF(DATE($C94,10,15)&gt;=$X$86,$AA$86*(1+($U$86)/100)^MAX(0,$C94-$AD$86),IF(DATE($C94,10,15)&gt;=$W$86,$Z$86*(1+($U$86)/100)^MAX(0,$C94-$AC$86),IF(DATE($C94,10,15)&gt;=$V$86,$Y$86*(1+($U$86)/100)^MAX(0,$C94-$AB$86),0)))))</f>
      </c>
      <c r="O94" s="43">
        <f>IF($S$86=0,0,IF(OR(DATE($C94,11,15)&lt;$S$86,AND($T$86&gt;0,DATE($C94,11,15)&gt;$T$86)),0,IF(DATE($C94,11,15)&gt;=$X$86,$AA$86*(1+($U$86)/100)^MAX(0,$C94-$AD$86),IF(DATE($C94,11,15)&gt;=$W$86,$Z$86*(1+($U$86)/100)^MAX(0,$C94-$AC$86),IF(DATE($C94,11,15)&gt;=$V$86,$Y$86*(1+($U$86)/100)^MAX(0,$C94-$AB$86),0)))))</f>
      </c>
      <c r="P94" s="43">
        <f>IF($S$86=0,0,IF(OR(DATE($C94,12,15)&lt;$S$86,AND($T$86&gt;0,DATE($C94,12,15)&gt;$T$86)),0,IF(DATE($C94,12,15)&gt;=$X$86,$AA$86*(1+($U$86)/100)^MAX(0,$C94-$AD$86),IF(DATE($C94,12,15)&gt;=$W$86,$Z$86*(1+($U$86)/100)^MAX(0,$C94-$AC$86),IF(DATE($C94,12,15)&gt;=$V$86,$Y$86*(1+($U$86)/100)^MAX(0,$C94-$AB$86),0)))))</f>
      </c>
      <c r="Q94" s="43">
        <f>SUM($E94:$P94)</f>
      </c>
    </row>
    <row r="95">
      <c r="A95"/>
      <c r="B95">
        <v>3</v>
      </c>
      <c r="C95" s="43">
        <f>Jahr+9</f>
      </c>
      <c r="D95" s="43">
        <f>INDEX(MvObj,3)</f>
      </c>
      <c r="E95" s="43">
        <f>IF($S$86=0,0,IF(OR(DATE($C95,1,15)&lt;$S$86,AND($T$86&gt;0,DATE($C95,1,15)&gt;$T$86)),0,IF(DATE($C95,1,15)&gt;=$X$86,$AA$86*(1+($U$86)/100)^MAX(0,$C95-$AD$86),IF(DATE($C95,1,15)&gt;=$W$86,$Z$86*(1+($U$86)/100)^MAX(0,$C95-$AC$86),IF(DATE($C95,1,15)&gt;=$V$86,$Y$86*(1+($U$86)/100)^MAX(0,$C95-$AB$86),0)))))</f>
      </c>
      <c r="F95" s="43">
        <f>IF($S$86=0,0,IF(OR(DATE($C95,2,15)&lt;$S$86,AND($T$86&gt;0,DATE($C95,2,15)&gt;$T$86)),0,IF(DATE($C95,2,15)&gt;=$X$86,$AA$86*(1+($U$86)/100)^MAX(0,$C95-$AD$86),IF(DATE($C95,2,15)&gt;=$W$86,$Z$86*(1+($U$86)/100)^MAX(0,$C95-$AC$86),IF(DATE($C95,2,15)&gt;=$V$86,$Y$86*(1+($U$86)/100)^MAX(0,$C95-$AB$86),0)))))</f>
      </c>
      <c r="G95" s="43">
        <f>IF($S$86=0,0,IF(OR(DATE($C95,3,15)&lt;$S$86,AND($T$86&gt;0,DATE($C95,3,15)&gt;$T$86)),0,IF(DATE($C95,3,15)&gt;=$X$86,$AA$86*(1+($U$86)/100)^MAX(0,$C95-$AD$86),IF(DATE($C95,3,15)&gt;=$W$86,$Z$86*(1+($U$86)/100)^MAX(0,$C95-$AC$86),IF(DATE($C95,3,15)&gt;=$V$86,$Y$86*(1+($U$86)/100)^MAX(0,$C95-$AB$86),0)))))</f>
      </c>
      <c r="H95" s="43">
        <f>IF($S$86=0,0,IF(OR(DATE($C95,4,15)&lt;$S$86,AND($T$86&gt;0,DATE($C95,4,15)&gt;$T$86)),0,IF(DATE($C95,4,15)&gt;=$X$86,$AA$86*(1+($U$86)/100)^MAX(0,$C95-$AD$86),IF(DATE($C95,4,15)&gt;=$W$86,$Z$86*(1+($U$86)/100)^MAX(0,$C95-$AC$86),IF(DATE($C95,4,15)&gt;=$V$86,$Y$86*(1+($U$86)/100)^MAX(0,$C95-$AB$86),0)))))</f>
      </c>
      <c r="I95" s="43">
        <f>IF($S$86=0,0,IF(OR(DATE($C95,5,15)&lt;$S$86,AND($T$86&gt;0,DATE($C95,5,15)&gt;$T$86)),0,IF(DATE($C95,5,15)&gt;=$X$86,$AA$86*(1+($U$86)/100)^MAX(0,$C95-$AD$86),IF(DATE($C95,5,15)&gt;=$W$86,$Z$86*(1+($U$86)/100)^MAX(0,$C95-$AC$86),IF(DATE($C95,5,15)&gt;=$V$86,$Y$86*(1+($U$86)/100)^MAX(0,$C95-$AB$86),0)))))</f>
      </c>
      <c r="J95" s="43">
        <f>IF($S$86=0,0,IF(OR(DATE($C95,6,15)&lt;$S$86,AND($T$86&gt;0,DATE($C95,6,15)&gt;$T$86)),0,IF(DATE($C95,6,15)&gt;=$X$86,$AA$86*(1+($U$86)/100)^MAX(0,$C95-$AD$86),IF(DATE($C95,6,15)&gt;=$W$86,$Z$86*(1+($U$86)/100)^MAX(0,$C95-$AC$86),IF(DATE($C95,6,15)&gt;=$V$86,$Y$86*(1+($U$86)/100)^MAX(0,$C95-$AB$86),0)))))</f>
      </c>
      <c r="K95" s="43">
        <f>IF($S$86=0,0,IF(OR(DATE($C95,7,15)&lt;$S$86,AND($T$86&gt;0,DATE($C95,7,15)&gt;$T$86)),0,IF(DATE($C95,7,15)&gt;=$X$86,$AA$86*(1+($U$86)/100)^MAX(0,$C95-$AD$86),IF(DATE($C95,7,15)&gt;=$W$86,$Z$86*(1+($U$86)/100)^MAX(0,$C95-$AC$86),IF(DATE($C95,7,15)&gt;=$V$86,$Y$86*(1+($U$86)/100)^MAX(0,$C95-$AB$86),0)))))</f>
      </c>
      <c r="L95" s="43">
        <f>IF($S$86=0,0,IF(OR(DATE($C95,8,15)&lt;$S$86,AND($T$86&gt;0,DATE($C95,8,15)&gt;$T$86)),0,IF(DATE($C95,8,15)&gt;=$X$86,$AA$86*(1+($U$86)/100)^MAX(0,$C95-$AD$86),IF(DATE($C95,8,15)&gt;=$W$86,$Z$86*(1+($U$86)/100)^MAX(0,$C95-$AC$86),IF(DATE($C95,8,15)&gt;=$V$86,$Y$86*(1+($U$86)/100)^MAX(0,$C95-$AB$86),0)))))</f>
      </c>
      <c r="M95" s="43">
        <f>IF($S$86=0,0,IF(OR(DATE($C95,9,15)&lt;$S$86,AND($T$86&gt;0,DATE($C95,9,15)&gt;$T$86)),0,IF(DATE($C95,9,15)&gt;=$X$86,$AA$86*(1+($U$86)/100)^MAX(0,$C95-$AD$86),IF(DATE($C95,9,15)&gt;=$W$86,$Z$86*(1+($U$86)/100)^MAX(0,$C95-$AC$86),IF(DATE($C95,9,15)&gt;=$V$86,$Y$86*(1+($U$86)/100)^MAX(0,$C95-$AB$86),0)))))</f>
      </c>
      <c r="N95" s="43">
        <f>IF($S$86=0,0,IF(OR(DATE($C95,10,15)&lt;$S$86,AND($T$86&gt;0,DATE($C95,10,15)&gt;$T$86)),0,IF(DATE($C95,10,15)&gt;=$X$86,$AA$86*(1+($U$86)/100)^MAX(0,$C95-$AD$86),IF(DATE($C95,10,15)&gt;=$W$86,$Z$86*(1+($U$86)/100)^MAX(0,$C95-$AC$86),IF(DATE($C95,10,15)&gt;=$V$86,$Y$86*(1+($U$86)/100)^MAX(0,$C95-$AB$86),0)))))</f>
      </c>
      <c r="O95" s="43">
        <f>IF($S$86=0,0,IF(OR(DATE($C95,11,15)&lt;$S$86,AND($T$86&gt;0,DATE($C95,11,15)&gt;$T$86)),0,IF(DATE($C95,11,15)&gt;=$X$86,$AA$86*(1+($U$86)/100)^MAX(0,$C95-$AD$86),IF(DATE($C95,11,15)&gt;=$W$86,$Z$86*(1+($U$86)/100)^MAX(0,$C95-$AC$86),IF(DATE($C95,11,15)&gt;=$V$86,$Y$86*(1+($U$86)/100)^MAX(0,$C95-$AB$86),0)))))</f>
      </c>
      <c r="P95" s="43">
        <f>IF($S$86=0,0,IF(OR(DATE($C95,12,15)&lt;$S$86,AND($T$86&gt;0,DATE($C95,12,15)&gt;$T$86)),0,IF(DATE($C95,12,15)&gt;=$X$86,$AA$86*(1+($U$86)/100)^MAX(0,$C95-$AD$86),IF(DATE($C95,12,15)&gt;=$W$86,$Z$86*(1+($U$86)/100)^MAX(0,$C95-$AC$86),IF(DATE($C95,12,15)&gt;=$V$86,$Y$86*(1+($U$86)/100)^MAX(0,$C95-$AB$86),0)))))</f>
      </c>
      <c r="Q95" s="43">
        <f>SUM($E95:$P95)</f>
      </c>
    </row>
    <row r="96">
      <c r="A96"/>
      <c r="B96">
        <v>3</v>
      </c>
      <c r="C96" s="43">
        <f>Jahr+10</f>
      </c>
      <c r="D96" s="43">
        <f>INDEX(MvObj,3)</f>
      </c>
      <c r="E96" s="43">
        <f>IF($S$86=0,0,IF(OR(DATE($C96,1,15)&lt;$S$86,AND($T$86&gt;0,DATE($C96,1,15)&gt;$T$86)),0,IF(DATE($C96,1,15)&gt;=$X$86,$AA$86*(1+($U$86)/100)^MAX(0,$C96-$AD$86),IF(DATE($C96,1,15)&gt;=$W$86,$Z$86*(1+($U$86)/100)^MAX(0,$C96-$AC$86),IF(DATE($C96,1,15)&gt;=$V$86,$Y$86*(1+($U$86)/100)^MAX(0,$C96-$AB$86),0)))))</f>
      </c>
      <c r="F96" s="43">
        <f>IF($S$86=0,0,IF(OR(DATE($C96,2,15)&lt;$S$86,AND($T$86&gt;0,DATE($C96,2,15)&gt;$T$86)),0,IF(DATE($C96,2,15)&gt;=$X$86,$AA$86*(1+($U$86)/100)^MAX(0,$C96-$AD$86),IF(DATE($C96,2,15)&gt;=$W$86,$Z$86*(1+($U$86)/100)^MAX(0,$C96-$AC$86),IF(DATE($C96,2,15)&gt;=$V$86,$Y$86*(1+($U$86)/100)^MAX(0,$C96-$AB$86),0)))))</f>
      </c>
      <c r="G96" s="43">
        <f>IF($S$86=0,0,IF(OR(DATE($C96,3,15)&lt;$S$86,AND($T$86&gt;0,DATE($C96,3,15)&gt;$T$86)),0,IF(DATE($C96,3,15)&gt;=$X$86,$AA$86*(1+($U$86)/100)^MAX(0,$C96-$AD$86),IF(DATE($C96,3,15)&gt;=$W$86,$Z$86*(1+($U$86)/100)^MAX(0,$C96-$AC$86),IF(DATE($C96,3,15)&gt;=$V$86,$Y$86*(1+($U$86)/100)^MAX(0,$C96-$AB$86),0)))))</f>
      </c>
      <c r="H96" s="43">
        <f>IF($S$86=0,0,IF(OR(DATE($C96,4,15)&lt;$S$86,AND($T$86&gt;0,DATE($C96,4,15)&gt;$T$86)),0,IF(DATE($C96,4,15)&gt;=$X$86,$AA$86*(1+($U$86)/100)^MAX(0,$C96-$AD$86),IF(DATE($C96,4,15)&gt;=$W$86,$Z$86*(1+($U$86)/100)^MAX(0,$C96-$AC$86),IF(DATE($C96,4,15)&gt;=$V$86,$Y$86*(1+($U$86)/100)^MAX(0,$C96-$AB$86),0)))))</f>
      </c>
      <c r="I96" s="43">
        <f>IF($S$86=0,0,IF(OR(DATE($C96,5,15)&lt;$S$86,AND($T$86&gt;0,DATE($C96,5,15)&gt;$T$86)),0,IF(DATE($C96,5,15)&gt;=$X$86,$AA$86*(1+($U$86)/100)^MAX(0,$C96-$AD$86),IF(DATE($C96,5,15)&gt;=$W$86,$Z$86*(1+($U$86)/100)^MAX(0,$C96-$AC$86),IF(DATE($C96,5,15)&gt;=$V$86,$Y$86*(1+($U$86)/100)^MAX(0,$C96-$AB$86),0)))))</f>
      </c>
      <c r="J96" s="43">
        <f>IF($S$86=0,0,IF(OR(DATE($C96,6,15)&lt;$S$86,AND($T$86&gt;0,DATE($C96,6,15)&gt;$T$86)),0,IF(DATE($C96,6,15)&gt;=$X$86,$AA$86*(1+($U$86)/100)^MAX(0,$C96-$AD$86),IF(DATE($C96,6,15)&gt;=$W$86,$Z$86*(1+($U$86)/100)^MAX(0,$C96-$AC$86),IF(DATE($C96,6,15)&gt;=$V$86,$Y$86*(1+($U$86)/100)^MAX(0,$C96-$AB$86),0)))))</f>
      </c>
      <c r="K96" s="43">
        <f>IF($S$86=0,0,IF(OR(DATE($C96,7,15)&lt;$S$86,AND($T$86&gt;0,DATE($C96,7,15)&gt;$T$86)),0,IF(DATE($C96,7,15)&gt;=$X$86,$AA$86*(1+($U$86)/100)^MAX(0,$C96-$AD$86),IF(DATE($C96,7,15)&gt;=$W$86,$Z$86*(1+($U$86)/100)^MAX(0,$C96-$AC$86),IF(DATE($C96,7,15)&gt;=$V$86,$Y$86*(1+($U$86)/100)^MAX(0,$C96-$AB$86),0)))))</f>
      </c>
      <c r="L96" s="43">
        <f>IF($S$86=0,0,IF(OR(DATE($C96,8,15)&lt;$S$86,AND($T$86&gt;0,DATE($C96,8,15)&gt;$T$86)),0,IF(DATE($C96,8,15)&gt;=$X$86,$AA$86*(1+($U$86)/100)^MAX(0,$C96-$AD$86),IF(DATE($C96,8,15)&gt;=$W$86,$Z$86*(1+($U$86)/100)^MAX(0,$C96-$AC$86),IF(DATE($C96,8,15)&gt;=$V$86,$Y$86*(1+($U$86)/100)^MAX(0,$C96-$AB$86),0)))))</f>
      </c>
      <c r="M96" s="43">
        <f>IF($S$86=0,0,IF(OR(DATE($C96,9,15)&lt;$S$86,AND($T$86&gt;0,DATE($C96,9,15)&gt;$T$86)),0,IF(DATE($C96,9,15)&gt;=$X$86,$AA$86*(1+($U$86)/100)^MAX(0,$C96-$AD$86),IF(DATE($C96,9,15)&gt;=$W$86,$Z$86*(1+($U$86)/100)^MAX(0,$C96-$AC$86),IF(DATE($C96,9,15)&gt;=$V$86,$Y$86*(1+($U$86)/100)^MAX(0,$C96-$AB$86),0)))))</f>
      </c>
      <c r="N96" s="43">
        <f>IF($S$86=0,0,IF(OR(DATE($C96,10,15)&lt;$S$86,AND($T$86&gt;0,DATE($C96,10,15)&gt;$T$86)),0,IF(DATE($C96,10,15)&gt;=$X$86,$AA$86*(1+($U$86)/100)^MAX(0,$C96-$AD$86),IF(DATE($C96,10,15)&gt;=$W$86,$Z$86*(1+($U$86)/100)^MAX(0,$C96-$AC$86),IF(DATE($C96,10,15)&gt;=$V$86,$Y$86*(1+($U$86)/100)^MAX(0,$C96-$AB$86),0)))))</f>
      </c>
      <c r="O96" s="43">
        <f>IF($S$86=0,0,IF(OR(DATE($C96,11,15)&lt;$S$86,AND($T$86&gt;0,DATE($C96,11,15)&gt;$T$86)),0,IF(DATE($C96,11,15)&gt;=$X$86,$AA$86*(1+($U$86)/100)^MAX(0,$C96-$AD$86),IF(DATE($C96,11,15)&gt;=$W$86,$Z$86*(1+($U$86)/100)^MAX(0,$C96-$AC$86),IF(DATE($C96,11,15)&gt;=$V$86,$Y$86*(1+($U$86)/100)^MAX(0,$C96-$AB$86),0)))))</f>
      </c>
      <c r="P96" s="43">
        <f>IF($S$86=0,0,IF(OR(DATE($C96,12,15)&lt;$S$86,AND($T$86&gt;0,DATE($C96,12,15)&gt;$T$86)),0,IF(DATE($C96,12,15)&gt;=$X$86,$AA$86*(1+($U$86)/100)^MAX(0,$C96-$AD$86),IF(DATE($C96,12,15)&gt;=$W$86,$Z$86*(1+($U$86)/100)^MAX(0,$C96-$AC$86),IF(DATE($C96,12,15)&gt;=$V$86,$Y$86*(1+($U$86)/100)^MAX(0,$C96-$AB$86),0)))))</f>
      </c>
      <c r="Q96" s="43">
        <f>SUM($E96:$P96)</f>
      </c>
    </row>
    <row r="97">
      <c r="A97"/>
      <c r="B97">
        <v>3</v>
      </c>
      <c r="C97" s="43">
        <f>Jahr+11</f>
      </c>
      <c r="D97" s="43">
        <f>INDEX(MvObj,3)</f>
      </c>
      <c r="E97" s="43">
        <f>IF($S$86=0,0,IF(OR(DATE($C97,1,15)&lt;$S$86,AND($T$86&gt;0,DATE($C97,1,15)&gt;$T$86)),0,IF(DATE($C97,1,15)&gt;=$X$86,$AA$86*(1+($U$86)/100)^MAX(0,$C97-$AD$86),IF(DATE($C97,1,15)&gt;=$W$86,$Z$86*(1+($U$86)/100)^MAX(0,$C97-$AC$86),IF(DATE($C97,1,15)&gt;=$V$86,$Y$86*(1+($U$86)/100)^MAX(0,$C97-$AB$86),0)))))</f>
      </c>
      <c r="F97" s="43">
        <f>IF($S$86=0,0,IF(OR(DATE($C97,2,15)&lt;$S$86,AND($T$86&gt;0,DATE($C97,2,15)&gt;$T$86)),0,IF(DATE($C97,2,15)&gt;=$X$86,$AA$86*(1+($U$86)/100)^MAX(0,$C97-$AD$86),IF(DATE($C97,2,15)&gt;=$W$86,$Z$86*(1+($U$86)/100)^MAX(0,$C97-$AC$86),IF(DATE($C97,2,15)&gt;=$V$86,$Y$86*(1+($U$86)/100)^MAX(0,$C97-$AB$86),0)))))</f>
      </c>
      <c r="G97" s="43">
        <f>IF($S$86=0,0,IF(OR(DATE($C97,3,15)&lt;$S$86,AND($T$86&gt;0,DATE($C97,3,15)&gt;$T$86)),0,IF(DATE($C97,3,15)&gt;=$X$86,$AA$86*(1+($U$86)/100)^MAX(0,$C97-$AD$86),IF(DATE($C97,3,15)&gt;=$W$86,$Z$86*(1+($U$86)/100)^MAX(0,$C97-$AC$86),IF(DATE($C97,3,15)&gt;=$V$86,$Y$86*(1+($U$86)/100)^MAX(0,$C97-$AB$86),0)))))</f>
      </c>
      <c r="H97" s="43">
        <f>IF($S$86=0,0,IF(OR(DATE($C97,4,15)&lt;$S$86,AND($T$86&gt;0,DATE($C97,4,15)&gt;$T$86)),0,IF(DATE($C97,4,15)&gt;=$X$86,$AA$86*(1+($U$86)/100)^MAX(0,$C97-$AD$86),IF(DATE($C97,4,15)&gt;=$W$86,$Z$86*(1+($U$86)/100)^MAX(0,$C97-$AC$86),IF(DATE($C97,4,15)&gt;=$V$86,$Y$86*(1+($U$86)/100)^MAX(0,$C97-$AB$86),0)))))</f>
      </c>
      <c r="I97" s="43">
        <f>IF($S$86=0,0,IF(OR(DATE($C97,5,15)&lt;$S$86,AND($T$86&gt;0,DATE($C97,5,15)&gt;$T$86)),0,IF(DATE($C97,5,15)&gt;=$X$86,$AA$86*(1+($U$86)/100)^MAX(0,$C97-$AD$86),IF(DATE($C97,5,15)&gt;=$W$86,$Z$86*(1+($U$86)/100)^MAX(0,$C97-$AC$86),IF(DATE($C97,5,15)&gt;=$V$86,$Y$86*(1+($U$86)/100)^MAX(0,$C97-$AB$86),0)))))</f>
      </c>
      <c r="J97" s="43">
        <f>IF($S$86=0,0,IF(OR(DATE($C97,6,15)&lt;$S$86,AND($T$86&gt;0,DATE($C97,6,15)&gt;$T$86)),0,IF(DATE($C97,6,15)&gt;=$X$86,$AA$86*(1+($U$86)/100)^MAX(0,$C97-$AD$86),IF(DATE($C97,6,15)&gt;=$W$86,$Z$86*(1+($U$86)/100)^MAX(0,$C97-$AC$86),IF(DATE($C97,6,15)&gt;=$V$86,$Y$86*(1+($U$86)/100)^MAX(0,$C97-$AB$86),0)))))</f>
      </c>
      <c r="K97" s="43">
        <f>IF($S$86=0,0,IF(OR(DATE($C97,7,15)&lt;$S$86,AND($T$86&gt;0,DATE($C97,7,15)&gt;$T$86)),0,IF(DATE($C97,7,15)&gt;=$X$86,$AA$86*(1+($U$86)/100)^MAX(0,$C97-$AD$86),IF(DATE($C97,7,15)&gt;=$W$86,$Z$86*(1+($U$86)/100)^MAX(0,$C97-$AC$86),IF(DATE($C97,7,15)&gt;=$V$86,$Y$86*(1+($U$86)/100)^MAX(0,$C97-$AB$86),0)))))</f>
      </c>
      <c r="L97" s="43">
        <f>IF($S$86=0,0,IF(OR(DATE($C97,8,15)&lt;$S$86,AND($T$86&gt;0,DATE($C97,8,15)&gt;$T$86)),0,IF(DATE($C97,8,15)&gt;=$X$86,$AA$86*(1+($U$86)/100)^MAX(0,$C97-$AD$86),IF(DATE($C97,8,15)&gt;=$W$86,$Z$86*(1+($U$86)/100)^MAX(0,$C97-$AC$86),IF(DATE($C97,8,15)&gt;=$V$86,$Y$86*(1+($U$86)/100)^MAX(0,$C97-$AB$86),0)))))</f>
      </c>
      <c r="M97" s="43">
        <f>IF($S$86=0,0,IF(OR(DATE($C97,9,15)&lt;$S$86,AND($T$86&gt;0,DATE($C97,9,15)&gt;$T$86)),0,IF(DATE($C97,9,15)&gt;=$X$86,$AA$86*(1+($U$86)/100)^MAX(0,$C97-$AD$86),IF(DATE($C97,9,15)&gt;=$W$86,$Z$86*(1+($U$86)/100)^MAX(0,$C97-$AC$86),IF(DATE($C97,9,15)&gt;=$V$86,$Y$86*(1+($U$86)/100)^MAX(0,$C97-$AB$86),0)))))</f>
      </c>
      <c r="N97" s="43">
        <f>IF($S$86=0,0,IF(OR(DATE($C97,10,15)&lt;$S$86,AND($T$86&gt;0,DATE($C97,10,15)&gt;$T$86)),0,IF(DATE($C97,10,15)&gt;=$X$86,$AA$86*(1+($U$86)/100)^MAX(0,$C97-$AD$86),IF(DATE($C97,10,15)&gt;=$W$86,$Z$86*(1+($U$86)/100)^MAX(0,$C97-$AC$86),IF(DATE($C97,10,15)&gt;=$V$86,$Y$86*(1+($U$86)/100)^MAX(0,$C97-$AB$86),0)))))</f>
      </c>
      <c r="O97" s="43">
        <f>IF($S$86=0,0,IF(OR(DATE($C97,11,15)&lt;$S$86,AND($T$86&gt;0,DATE($C97,11,15)&gt;$T$86)),0,IF(DATE($C97,11,15)&gt;=$X$86,$AA$86*(1+($U$86)/100)^MAX(0,$C97-$AD$86),IF(DATE($C97,11,15)&gt;=$W$86,$Z$86*(1+($U$86)/100)^MAX(0,$C97-$AC$86),IF(DATE($C97,11,15)&gt;=$V$86,$Y$86*(1+($U$86)/100)^MAX(0,$C97-$AB$86),0)))))</f>
      </c>
      <c r="P97" s="43">
        <f>IF($S$86=0,0,IF(OR(DATE($C97,12,15)&lt;$S$86,AND($T$86&gt;0,DATE($C97,12,15)&gt;$T$86)),0,IF(DATE($C97,12,15)&gt;=$X$86,$AA$86*(1+($U$86)/100)^MAX(0,$C97-$AD$86),IF(DATE($C97,12,15)&gt;=$W$86,$Z$86*(1+($U$86)/100)^MAX(0,$C97-$AC$86),IF(DATE($C97,12,15)&gt;=$V$86,$Y$86*(1+($U$86)/100)^MAX(0,$C97-$AB$86),0)))))</f>
      </c>
      <c r="Q97" s="43">
        <f>SUM($E97:$P97)</f>
      </c>
    </row>
    <row r="98">
      <c r="A98"/>
      <c r="B98">
        <v>3</v>
      </c>
      <c r="C98" s="43">
        <f>Jahr+12</f>
      </c>
      <c r="D98" s="43">
        <f>INDEX(MvObj,3)</f>
      </c>
      <c r="E98" s="43">
        <f>IF($S$86=0,0,IF(OR(DATE($C98,1,15)&lt;$S$86,AND($T$86&gt;0,DATE($C98,1,15)&gt;$T$86)),0,IF(DATE($C98,1,15)&gt;=$X$86,$AA$86*(1+($U$86)/100)^MAX(0,$C98-$AD$86),IF(DATE($C98,1,15)&gt;=$W$86,$Z$86*(1+($U$86)/100)^MAX(0,$C98-$AC$86),IF(DATE($C98,1,15)&gt;=$V$86,$Y$86*(1+($U$86)/100)^MAX(0,$C98-$AB$86),0)))))</f>
      </c>
      <c r="F98" s="43">
        <f>IF($S$86=0,0,IF(OR(DATE($C98,2,15)&lt;$S$86,AND($T$86&gt;0,DATE($C98,2,15)&gt;$T$86)),0,IF(DATE($C98,2,15)&gt;=$X$86,$AA$86*(1+($U$86)/100)^MAX(0,$C98-$AD$86),IF(DATE($C98,2,15)&gt;=$W$86,$Z$86*(1+($U$86)/100)^MAX(0,$C98-$AC$86),IF(DATE($C98,2,15)&gt;=$V$86,$Y$86*(1+($U$86)/100)^MAX(0,$C98-$AB$86),0)))))</f>
      </c>
      <c r="G98" s="43">
        <f>IF($S$86=0,0,IF(OR(DATE($C98,3,15)&lt;$S$86,AND($T$86&gt;0,DATE($C98,3,15)&gt;$T$86)),0,IF(DATE($C98,3,15)&gt;=$X$86,$AA$86*(1+($U$86)/100)^MAX(0,$C98-$AD$86),IF(DATE($C98,3,15)&gt;=$W$86,$Z$86*(1+($U$86)/100)^MAX(0,$C98-$AC$86),IF(DATE($C98,3,15)&gt;=$V$86,$Y$86*(1+($U$86)/100)^MAX(0,$C98-$AB$86),0)))))</f>
      </c>
      <c r="H98" s="43">
        <f>IF($S$86=0,0,IF(OR(DATE($C98,4,15)&lt;$S$86,AND($T$86&gt;0,DATE($C98,4,15)&gt;$T$86)),0,IF(DATE($C98,4,15)&gt;=$X$86,$AA$86*(1+($U$86)/100)^MAX(0,$C98-$AD$86),IF(DATE($C98,4,15)&gt;=$W$86,$Z$86*(1+($U$86)/100)^MAX(0,$C98-$AC$86),IF(DATE($C98,4,15)&gt;=$V$86,$Y$86*(1+($U$86)/100)^MAX(0,$C98-$AB$86),0)))))</f>
      </c>
      <c r="I98" s="43">
        <f>IF($S$86=0,0,IF(OR(DATE($C98,5,15)&lt;$S$86,AND($T$86&gt;0,DATE($C98,5,15)&gt;$T$86)),0,IF(DATE($C98,5,15)&gt;=$X$86,$AA$86*(1+($U$86)/100)^MAX(0,$C98-$AD$86),IF(DATE($C98,5,15)&gt;=$W$86,$Z$86*(1+($U$86)/100)^MAX(0,$C98-$AC$86),IF(DATE($C98,5,15)&gt;=$V$86,$Y$86*(1+($U$86)/100)^MAX(0,$C98-$AB$86),0)))))</f>
      </c>
      <c r="J98" s="43">
        <f>IF($S$86=0,0,IF(OR(DATE($C98,6,15)&lt;$S$86,AND($T$86&gt;0,DATE($C98,6,15)&gt;$T$86)),0,IF(DATE($C98,6,15)&gt;=$X$86,$AA$86*(1+($U$86)/100)^MAX(0,$C98-$AD$86),IF(DATE($C98,6,15)&gt;=$W$86,$Z$86*(1+($U$86)/100)^MAX(0,$C98-$AC$86),IF(DATE($C98,6,15)&gt;=$V$86,$Y$86*(1+($U$86)/100)^MAX(0,$C98-$AB$86),0)))))</f>
      </c>
      <c r="K98" s="43">
        <f>IF($S$86=0,0,IF(OR(DATE($C98,7,15)&lt;$S$86,AND($T$86&gt;0,DATE($C98,7,15)&gt;$T$86)),0,IF(DATE($C98,7,15)&gt;=$X$86,$AA$86*(1+($U$86)/100)^MAX(0,$C98-$AD$86),IF(DATE($C98,7,15)&gt;=$W$86,$Z$86*(1+($U$86)/100)^MAX(0,$C98-$AC$86),IF(DATE($C98,7,15)&gt;=$V$86,$Y$86*(1+($U$86)/100)^MAX(0,$C98-$AB$86),0)))))</f>
      </c>
      <c r="L98" s="43">
        <f>IF($S$86=0,0,IF(OR(DATE($C98,8,15)&lt;$S$86,AND($T$86&gt;0,DATE($C98,8,15)&gt;$T$86)),0,IF(DATE($C98,8,15)&gt;=$X$86,$AA$86*(1+($U$86)/100)^MAX(0,$C98-$AD$86),IF(DATE($C98,8,15)&gt;=$W$86,$Z$86*(1+($U$86)/100)^MAX(0,$C98-$AC$86),IF(DATE($C98,8,15)&gt;=$V$86,$Y$86*(1+($U$86)/100)^MAX(0,$C98-$AB$86),0)))))</f>
      </c>
      <c r="M98" s="43">
        <f>IF($S$86=0,0,IF(OR(DATE($C98,9,15)&lt;$S$86,AND($T$86&gt;0,DATE($C98,9,15)&gt;$T$86)),0,IF(DATE($C98,9,15)&gt;=$X$86,$AA$86*(1+($U$86)/100)^MAX(0,$C98-$AD$86),IF(DATE($C98,9,15)&gt;=$W$86,$Z$86*(1+($U$86)/100)^MAX(0,$C98-$AC$86),IF(DATE($C98,9,15)&gt;=$V$86,$Y$86*(1+($U$86)/100)^MAX(0,$C98-$AB$86),0)))))</f>
      </c>
      <c r="N98" s="43">
        <f>IF($S$86=0,0,IF(OR(DATE($C98,10,15)&lt;$S$86,AND($T$86&gt;0,DATE($C98,10,15)&gt;$T$86)),0,IF(DATE($C98,10,15)&gt;=$X$86,$AA$86*(1+($U$86)/100)^MAX(0,$C98-$AD$86),IF(DATE($C98,10,15)&gt;=$W$86,$Z$86*(1+($U$86)/100)^MAX(0,$C98-$AC$86),IF(DATE($C98,10,15)&gt;=$V$86,$Y$86*(1+($U$86)/100)^MAX(0,$C98-$AB$86),0)))))</f>
      </c>
      <c r="O98" s="43">
        <f>IF($S$86=0,0,IF(OR(DATE($C98,11,15)&lt;$S$86,AND($T$86&gt;0,DATE($C98,11,15)&gt;$T$86)),0,IF(DATE($C98,11,15)&gt;=$X$86,$AA$86*(1+($U$86)/100)^MAX(0,$C98-$AD$86),IF(DATE($C98,11,15)&gt;=$W$86,$Z$86*(1+($U$86)/100)^MAX(0,$C98-$AC$86),IF(DATE($C98,11,15)&gt;=$V$86,$Y$86*(1+($U$86)/100)^MAX(0,$C98-$AB$86),0)))))</f>
      </c>
      <c r="P98" s="43">
        <f>IF($S$86=0,0,IF(OR(DATE($C98,12,15)&lt;$S$86,AND($T$86&gt;0,DATE($C98,12,15)&gt;$T$86)),0,IF(DATE($C98,12,15)&gt;=$X$86,$AA$86*(1+($U$86)/100)^MAX(0,$C98-$AD$86),IF(DATE($C98,12,15)&gt;=$W$86,$Z$86*(1+($U$86)/100)^MAX(0,$C98-$AC$86),IF(DATE($C98,12,15)&gt;=$V$86,$Y$86*(1+($U$86)/100)^MAX(0,$C98-$AB$86),0)))))</f>
      </c>
      <c r="Q98" s="43">
        <f>SUM($E98:$P98)</f>
      </c>
    </row>
    <row r="99">
      <c r="A99"/>
      <c r="B99">
        <v>3</v>
      </c>
      <c r="C99" s="43">
        <f>Jahr+13</f>
      </c>
      <c r="D99" s="43">
        <f>INDEX(MvObj,3)</f>
      </c>
      <c r="E99" s="43">
        <f>IF($S$86=0,0,IF(OR(DATE($C99,1,15)&lt;$S$86,AND($T$86&gt;0,DATE($C99,1,15)&gt;$T$86)),0,IF(DATE($C99,1,15)&gt;=$X$86,$AA$86*(1+($U$86)/100)^MAX(0,$C99-$AD$86),IF(DATE($C99,1,15)&gt;=$W$86,$Z$86*(1+($U$86)/100)^MAX(0,$C99-$AC$86),IF(DATE($C99,1,15)&gt;=$V$86,$Y$86*(1+($U$86)/100)^MAX(0,$C99-$AB$86),0)))))</f>
      </c>
      <c r="F99" s="43">
        <f>IF($S$86=0,0,IF(OR(DATE($C99,2,15)&lt;$S$86,AND($T$86&gt;0,DATE($C99,2,15)&gt;$T$86)),0,IF(DATE($C99,2,15)&gt;=$X$86,$AA$86*(1+($U$86)/100)^MAX(0,$C99-$AD$86),IF(DATE($C99,2,15)&gt;=$W$86,$Z$86*(1+($U$86)/100)^MAX(0,$C99-$AC$86),IF(DATE($C99,2,15)&gt;=$V$86,$Y$86*(1+($U$86)/100)^MAX(0,$C99-$AB$86),0)))))</f>
      </c>
      <c r="G99" s="43">
        <f>IF($S$86=0,0,IF(OR(DATE($C99,3,15)&lt;$S$86,AND($T$86&gt;0,DATE($C99,3,15)&gt;$T$86)),0,IF(DATE($C99,3,15)&gt;=$X$86,$AA$86*(1+($U$86)/100)^MAX(0,$C99-$AD$86),IF(DATE($C99,3,15)&gt;=$W$86,$Z$86*(1+($U$86)/100)^MAX(0,$C99-$AC$86),IF(DATE($C99,3,15)&gt;=$V$86,$Y$86*(1+($U$86)/100)^MAX(0,$C99-$AB$86),0)))))</f>
      </c>
      <c r="H99" s="43">
        <f>IF($S$86=0,0,IF(OR(DATE($C99,4,15)&lt;$S$86,AND($T$86&gt;0,DATE($C99,4,15)&gt;$T$86)),0,IF(DATE($C99,4,15)&gt;=$X$86,$AA$86*(1+($U$86)/100)^MAX(0,$C99-$AD$86),IF(DATE($C99,4,15)&gt;=$W$86,$Z$86*(1+($U$86)/100)^MAX(0,$C99-$AC$86),IF(DATE($C99,4,15)&gt;=$V$86,$Y$86*(1+($U$86)/100)^MAX(0,$C99-$AB$86),0)))))</f>
      </c>
      <c r="I99" s="43">
        <f>IF($S$86=0,0,IF(OR(DATE($C99,5,15)&lt;$S$86,AND($T$86&gt;0,DATE($C99,5,15)&gt;$T$86)),0,IF(DATE($C99,5,15)&gt;=$X$86,$AA$86*(1+($U$86)/100)^MAX(0,$C99-$AD$86),IF(DATE($C99,5,15)&gt;=$W$86,$Z$86*(1+($U$86)/100)^MAX(0,$C99-$AC$86),IF(DATE($C99,5,15)&gt;=$V$86,$Y$86*(1+($U$86)/100)^MAX(0,$C99-$AB$86),0)))))</f>
      </c>
      <c r="J99" s="43">
        <f>IF($S$86=0,0,IF(OR(DATE($C99,6,15)&lt;$S$86,AND($T$86&gt;0,DATE($C99,6,15)&gt;$T$86)),0,IF(DATE($C99,6,15)&gt;=$X$86,$AA$86*(1+($U$86)/100)^MAX(0,$C99-$AD$86),IF(DATE($C99,6,15)&gt;=$W$86,$Z$86*(1+($U$86)/100)^MAX(0,$C99-$AC$86),IF(DATE($C99,6,15)&gt;=$V$86,$Y$86*(1+($U$86)/100)^MAX(0,$C99-$AB$86),0)))))</f>
      </c>
      <c r="K99" s="43">
        <f>IF($S$86=0,0,IF(OR(DATE($C99,7,15)&lt;$S$86,AND($T$86&gt;0,DATE($C99,7,15)&gt;$T$86)),0,IF(DATE($C99,7,15)&gt;=$X$86,$AA$86*(1+($U$86)/100)^MAX(0,$C99-$AD$86),IF(DATE($C99,7,15)&gt;=$W$86,$Z$86*(1+($U$86)/100)^MAX(0,$C99-$AC$86),IF(DATE($C99,7,15)&gt;=$V$86,$Y$86*(1+($U$86)/100)^MAX(0,$C99-$AB$86),0)))))</f>
      </c>
      <c r="L99" s="43">
        <f>IF($S$86=0,0,IF(OR(DATE($C99,8,15)&lt;$S$86,AND($T$86&gt;0,DATE($C99,8,15)&gt;$T$86)),0,IF(DATE($C99,8,15)&gt;=$X$86,$AA$86*(1+($U$86)/100)^MAX(0,$C99-$AD$86),IF(DATE($C99,8,15)&gt;=$W$86,$Z$86*(1+($U$86)/100)^MAX(0,$C99-$AC$86),IF(DATE($C99,8,15)&gt;=$V$86,$Y$86*(1+($U$86)/100)^MAX(0,$C99-$AB$86),0)))))</f>
      </c>
      <c r="M99" s="43">
        <f>IF($S$86=0,0,IF(OR(DATE($C99,9,15)&lt;$S$86,AND($T$86&gt;0,DATE($C99,9,15)&gt;$T$86)),0,IF(DATE($C99,9,15)&gt;=$X$86,$AA$86*(1+($U$86)/100)^MAX(0,$C99-$AD$86),IF(DATE($C99,9,15)&gt;=$W$86,$Z$86*(1+($U$86)/100)^MAX(0,$C99-$AC$86),IF(DATE($C99,9,15)&gt;=$V$86,$Y$86*(1+($U$86)/100)^MAX(0,$C99-$AB$86),0)))))</f>
      </c>
      <c r="N99" s="43">
        <f>IF($S$86=0,0,IF(OR(DATE($C99,10,15)&lt;$S$86,AND($T$86&gt;0,DATE($C99,10,15)&gt;$T$86)),0,IF(DATE($C99,10,15)&gt;=$X$86,$AA$86*(1+($U$86)/100)^MAX(0,$C99-$AD$86),IF(DATE($C99,10,15)&gt;=$W$86,$Z$86*(1+($U$86)/100)^MAX(0,$C99-$AC$86),IF(DATE($C99,10,15)&gt;=$V$86,$Y$86*(1+($U$86)/100)^MAX(0,$C99-$AB$86),0)))))</f>
      </c>
      <c r="O99" s="43">
        <f>IF($S$86=0,0,IF(OR(DATE($C99,11,15)&lt;$S$86,AND($T$86&gt;0,DATE($C99,11,15)&gt;$T$86)),0,IF(DATE($C99,11,15)&gt;=$X$86,$AA$86*(1+($U$86)/100)^MAX(0,$C99-$AD$86),IF(DATE($C99,11,15)&gt;=$W$86,$Z$86*(1+($U$86)/100)^MAX(0,$C99-$AC$86),IF(DATE($C99,11,15)&gt;=$V$86,$Y$86*(1+($U$86)/100)^MAX(0,$C99-$AB$86),0)))))</f>
      </c>
      <c r="P99" s="43">
        <f>IF($S$86=0,0,IF(OR(DATE($C99,12,15)&lt;$S$86,AND($T$86&gt;0,DATE($C99,12,15)&gt;$T$86)),0,IF(DATE($C99,12,15)&gt;=$X$86,$AA$86*(1+($U$86)/100)^MAX(0,$C99-$AD$86),IF(DATE($C99,12,15)&gt;=$W$86,$Z$86*(1+($U$86)/100)^MAX(0,$C99-$AC$86),IF(DATE($C99,12,15)&gt;=$V$86,$Y$86*(1+($U$86)/100)^MAX(0,$C99-$AB$86),0)))))</f>
      </c>
      <c r="Q99" s="43">
        <f>SUM($E99:$P99)</f>
      </c>
    </row>
    <row r="100">
      <c r="A100"/>
      <c r="B100">
        <v>3</v>
      </c>
      <c r="C100" s="43">
        <f>Jahr+14</f>
      </c>
      <c r="D100" s="43">
        <f>INDEX(MvObj,3)</f>
      </c>
      <c r="E100" s="43">
        <f>IF($S$86=0,0,IF(OR(DATE($C100,1,15)&lt;$S$86,AND($T$86&gt;0,DATE($C100,1,15)&gt;$T$86)),0,IF(DATE($C100,1,15)&gt;=$X$86,$AA$86*(1+($U$86)/100)^MAX(0,$C100-$AD$86),IF(DATE($C100,1,15)&gt;=$W$86,$Z$86*(1+($U$86)/100)^MAX(0,$C100-$AC$86),IF(DATE($C100,1,15)&gt;=$V$86,$Y$86*(1+($U$86)/100)^MAX(0,$C100-$AB$86),0)))))</f>
      </c>
      <c r="F100" s="43">
        <f>IF($S$86=0,0,IF(OR(DATE($C100,2,15)&lt;$S$86,AND($T$86&gt;0,DATE($C100,2,15)&gt;$T$86)),0,IF(DATE($C100,2,15)&gt;=$X$86,$AA$86*(1+($U$86)/100)^MAX(0,$C100-$AD$86),IF(DATE($C100,2,15)&gt;=$W$86,$Z$86*(1+($U$86)/100)^MAX(0,$C100-$AC$86),IF(DATE($C100,2,15)&gt;=$V$86,$Y$86*(1+($U$86)/100)^MAX(0,$C100-$AB$86),0)))))</f>
      </c>
      <c r="G100" s="43">
        <f>IF($S$86=0,0,IF(OR(DATE($C100,3,15)&lt;$S$86,AND($T$86&gt;0,DATE($C100,3,15)&gt;$T$86)),0,IF(DATE($C100,3,15)&gt;=$X$86,$AA$86*(1+($U$86)/100)^MAX(0,$C100-$AD$86),IF(DATE($C100,3,15)&gt;=$W$86,$Z$86*(1+($U$86)/100)^MAX(0,$C100-$AC$86),IF(DATE($C100,3,15)&gt;=$V$86,$Y$86*(1+($U$86)/100)^MAX(0,$C100-$AB$86),0)))))</f>
      </c>
      <c r="H100" s="43">
        <f>IF($S$86=0,0,IF(OR(DATE($C100,4,15)&lt;$S$86,AND($T$86&gt;0,DATE($C100,4,15)&gt;$T$86)),0,IF(DATE($C100,4,15)&gt;=$X$86,$AA$86*(1+($U$86)/100)^MAX(0,$C100-$AD$86),IF(DATE($C100,4,15)&gt;=$W$86,$Z$86*(1+($U$86)/100)^MAX(0,$C100-$AC$86),IF(DATE($C100,4,15)&gt;=$V$86,$Y$86*(1+($U$86)/100)^MAX(0,$C100-$AB$86),0)))))</f>
      </c>
      <c r="I100" s="43">
        <f>IF($S$86=0,0,IF(OR(DATE($C100,5,15)&lt;$S$86,AND($T$86&gt;0,DATE($C100,5,15)&gt;$T$86)),0,IF(DATE($C100,5,15)&gt;=$X$86,$AA$86*(1+($U$86)/100)^MAX(0,$C100-$AD$86),IF(DATE($C100,5,15)&gt;=$W$86,$Z$86*(1+($U$86)/100)^MAX(0,$C100-$AC$86),IF(DATE($C100,5,15)&gt;=$V$86,$Y$86*(1+($U$86)/100)^MAX(0,$C100-$AB$86),0)))))</f>
      </c>
      <c r="J100" s="43">
        <f>IF($S$86=0,0,IF(OR(DATE($C100,6,15)&lt;$S$86,AND($T$86&gt;0,DATE($C100,6,15)&gt;$T$86)),0,IF(DATE($C100,6,15)&gt;=$X$86,$AA$86*(1+($U$86)/100)^MAX(0,$C100-$AD$86),IF(DATE($C100,6,15)&gt;=$W$86,$Z$86*(1+($U$86)/100)^MAX(0,$C100-$AC$86),IF(DATE($C100,6,15)&gt;=$V$86,$Y$86*(1+($U$86)/100)^MAX(0,$C100-$AB$86),0)))))</f>
      </c>
      <c r="K100" s="43">
        <f>IF($S$86=0,0,IF(OR(DATE($C100,7,15)&lt;$S$86,AND($T$86&gt;0,DATE($C100,7,15)&gt;$T$86)),0,IF(DATE($C100,7,15)&gt;=$X$86,$AA$86*(1+($U$86)/100)^MAX(0,$C100-$AD$86),IF(DATE($C100,7,15)&gt;=$W$86,$Z$86*(1+($U$86)/100)^MAX(0,$C100-$AC$86),IF(DATE($C100,7,15)&gt;=$V$86,$Y$86*(1+($U$86)/100)^MAX(0,$C100-$AB$86),0)))))</f>
      </c>
      <c r="L100" s="43">
        <f>IF($S$86=0,0,IF(OR(DATE($C100,8,15)&lt;$S$86,AND($T$86&gt;0,DATE($C100,8,15)&gt;$T$86)),0,IF(DATE($C100,8,15)&gt;=$X$86,$AA$86*(1+($U$86)/100)^MAX(0,$C100-$AD$86),IF(DATE($C100,8,15)&gt;=$W$86,$Z$86*(1+($U$86)/100)^MAX(0,$C100-$AC$86),IF(DATE($C100,8,15)&gt;=$V$86,$Y$86*(1+($U$86)/100)^MAX(0,$C100-$AB$86),0)))))</f>
      </c>
      <c r="M100" s="43">
        <f>IF($S$86=0,0,IF(OR(DATE($C100,9,15)&lt;$S$86,AND($T$86&gt;0,DATE($C100,9,15)&gt;$T$86)),0,IF(DATE($C100,9,15)&gt;=$X$86,$AA$86*(1+($U$86)/100)^MAX(0,$C100-$AD$86),IF(DATE($C100,9,15)&gt;=$W$86,$Z$86*(1+($U$86)/100)^MAX(0,$C100-$AC$86),IF(DATE($C100,9,15)&gt;=$V$86,$Y$86*(1+($U$86)/100)^MAX(0,$C100-$AB$86),0)))))</f>
      </c>
      <c r="N100" s="43">
        <f>IF($S$86=0,0,IF(OR(DATE($C100,10,15)&lt;$S$86,AND($T$86&gt;0,DATE($C100,10,15)&gt;$T$86)),0,IF(DATE($C100,10,15)&gt;=$X$86,$AA$86*(1+($U$86)/100)^MAX(0,$C100-$AD$86),IF(DATE($C100,10,15)&gt;=$W$86,$Z$86*(1+($U$86)/100)^MAX(0,$C100-$AC$86),IF(DATE($C100,10,15)&gt;=$V$86,$Y$86*(1+($U$86)/100)^MAX(0,$C100-$AB$86),0)))))</f>
      </c>
      <c r="O100" s="43">
        <f>IF($S$86=0,0,IF(OR(DATE($C100,11,15)&lt;$S$86,AND($T$86&gt;0,DATE($C100,11,15)&gt;$T$86)),0,IF(DATE($C100,11,15)&gt;=$X$86,$AA$86*(1+($U$86)/100)^MAX(0,$C100-$AD$86),IF(DATE($C100,11,15)&gt;=$W$86,$Z$86*(1+($U$86)/100)^MAX(0,$C100-$AC$86),IF(DATE($C100,11,15)&gt;=$V$86,$Y$86*(1+($U$86)/100)^MAX(0,$C100-$AB$86),0)))))</f>
      </c>
      <c r="P100" s="43">
        <f>IF($S$86=0,0,IF(OR(DATE($C100,12,15)&lt;$S$86,AND($T$86&gt;0,DATE($C100,12,15)&gt;$T$86)),0,IF(DATE($C100,12,15)&gt;=$X$86,$AA$86*(1+($U$86)/100)^MAX(0,$C100-$AD$86),IF(DATE($C100,12,15)&gt;=$W$86,$Z$86*(1+($U$86)/100)^MAX(0,$C100-$AC$86),IF(DATE($C100,12,15)&gt;=$V$86,$Y$86*(1+($U$86)/100)^MAX(0,$C100-$AB$86),0)))))</f>
      </c>
      <c r="Q100" s="43">
        <f>SUM($E100:$P100)</f>
      </c>
    </row>
    <row r="101">
      <c r="A101"/>
      <c r="B101">
        <v>3</v>
      </c>
      <c r="C101" s="43">
        <f>Jahr+15</f>
      </c>
      <c r="D101" s="43">
        <f>INDEX(MvObj,3)</f>
      </c>
      <c r="E101" s="43">
        <f>IF($S$86=0,0,IF(OR(DATE($C101,1,15)&lt;$S$86,AND($T$86&gt;0,DATE($C101,1,15)&gt;$T$86)),0,IF(DATE($C101,1,15)&gt;=$X$86,$AA$86*(1+($U$86)/100)^MAX(0,$C101-$AD$86),IF(DATE($C101,1,15)&gt;=$W$86,$Z$86*(1+($U$86)/100)^MAX(0,$C101-$AC$86),IF(DATE($C101,1,15)&gt;=$V$86,$Y$86*(1+($U$86)/100)^MAX(0,$C101-$AB$86),0)))))</f>
      </c>
      <c r="F101" s="43">
        <f>IF($S$86=0,0,IF(OR(DATE($C101,2,15)&lt;$S$86,AND($T$86&gt;0,DATE($C101,2,15)&gt;$T$86)),0,IF(DATE($C101,2,15)&gt;=$X$86,$AA$86*(1+($U$86)/100)^MAX(0,$C101-$AD$86),IF(DATE($C101,2,15)&gt;=$W$86,$Z$86*(1+($U$86)/100)^MAX(0,$C101-$AC$86),IF(DATE($C101,2,15)&gt;=$V$86,$Y$86*(1+($U$86)/100)^MAX(0,$C101-$AB$86),0)))))</f>
      </c>
      <c r="G101" s="43">
        <f>IF($S$86=0,0,IF(OR(DATE($C101,3,15)&lt;$S$86,AND($T$86&gt;0,DATE($C101,3,15)&gt;$T$86)),0,IF(DATE($C101,3,15)&gt;=$X$86,$AA$86*(1+($U$86)/100)^MAX(0,$C101-$AD$86),IF(DATE($C101,3,15)&gt;=$W$86,$Z$86*(1+($U$86)/100)^MAX(0,$C101-$AC$86),IF(DATE($C101,3,15)&gt;=$V$86,$Y$86*(1+($U$86)/100)^MAX(0,$C101-$AB$86),0)))))</f>
      </c>
      <c r="H101" s="43">
        <f>IF($S$86=0,0,IF(OR(DATE($C101,4,15)&lt;$S$86,AND($T$86&gt;0,DATE($C101,4,15)&gt;$T$86)),0,IF(DATE($C101,4,15)&gt;=$X$86,$AA$86*(1+($U$86)/100)^MAX(0,$C101-$AD$86),IF(DATE($C101,4,15)&gt;=$W$86,$Z$86*(1+($U$86)/100)^MAX(0,$C101-$AC$86),IF(DATE($C101,4,15)&gt;=$V$86,$Y$86*(1+($U$86)/100)^MAX(0,$C101-$AB$86),0)))))</f>
      </c>
      <c r="I101" s="43">
        <f>IF($S$86=0,0,IF(OR(DATE($C101,5,15)&lt;$S$86,AND($T$86&gt;0,DATE($C101,5,15)&gt;$T$86)),0,IF(DATE($C101,5,15)&gt;=$X$86,$AA$86*(1+($U$86)/100)^MAX(0,$C101-$AD$86),IF(DATE($C101,5,15)&gt;=$W$86,$Z$86*(1+($U$86)/100)^MAX(0,$C101-$AC$86),IF(DATE($C101,5,15)&gt;=$V$86,$Y$86*(1+($U$86)/100)^MAX(0,$C101-$AB$86),0)))))</f>
      </c>
      <c r="J101" s="43">
        <f>IF($S$86=0,0,IF(OR(DATE($C101,6,15)&lt;$S$86,AND($T$86&gt;0,DATE($C101,6,15)&gt;$T$86)),0,IF(DATE($C101,6,15)&gt;=$X$86,$AA$86*(1+($U$86)/100)^MAX(0,$C101-$AD$86),IF(DATE($C101,6,15)&gt;=$W$86,$Z$86*(1+($U$86)/100)^MAX(0,$C101-$AC$86),IF(DATE($C101,6,15)&gt;=$V$86,$Y$86*(1+($U$86)/100)^MAX(0,$C101-$AB$86),0)))))</f>
      </c>
      <c r="K101" s="43">
        <f>IF($S$86=0,0,IF(OR(DATE($C101,7,15)&lt;$S$86,AND($T$86&gt;0,DATE($C101,7,15)&gt;$T$86)),0,IF(DATE($C101,7,15)&gt;=$X$86,$AA$86*(1+($U$86)/100)^MAX(0,$C101-$AD$86),IF(DATE($C101,7,15)&gt;=$W$86,$Z$86*(1+($U$86)/100)^MAX(0,$C101-$AC$86),IF(DATE($C101,7,15)&gt;=$V$86,$Y$86*(1+($U$86)/100)^MAX(0,$C101-$AB$86),0)))))</f>
      </c>
      <c r="L101" s="43">
        <f>IF($S$86=0,0,IF(OR(DATE($C101,8,15)&lt;$S$86,AND($T$86&gt;0,DATE($C101,8,15)&gt;$T$86)),0,IF(DATE($C101,8,15)&gt;=$X$86,$AA$86*(1+($U$86)/100)^MAX(0,$C101-$AD$86),IF(DATE($C101,8,15)&gt;=$W$86,$Z$86*(1+($U$86)/100)^MAX(0,$C101-$AC$86),IF(DATE($C101,8,15)&gt;=$V$86,$Y$86*(1+($U$86)/100)^MAX(0,$C101-$AB$86),0)))))</f>
      </c>
      <c r="M101" s="43">
        <f>IF($S$86=0,0,IF(OR(DATE($C101,9,15)&lt;$S$86,AND($T$86&gt;0,DATE($C101,9,15)&gt;$T$86)),0,IF(DATE($C101,9,15)&gt;=$X$86,$AA$86*(1+($U$86)/100)^MAX(0,$C101-$AD$86),IF(DATE($C101,9,15)&gt;=$W$86,$Z$86*(1+($U$86)/100)^MAX(0,$C101-$AC$86),IF(DATE($C101,9,15)&gt;=$V$86,$Y$86*(1+($U$86)/100)^MAX(0,$C101-$AB$86),0)))))</f>
      </c>
      <c r="N101" s="43">
        <f>IF($S$86=0,0,IF(OR(DATE($C101,10,15)&lt;$S$86,AND($T$86&gt;0,DATE($C101,10,15)&gt;$T$86)),0,IF(DATE($C101,10,15)&gt;=$X$86,$AA$86*(1+($U$86)/100)^MAX(0,$C101-$AD$86),IF(DATE($C101,10,15)&gt;=$W$86,$Z$86*(1+($U$86)/100)^MAX(0,$C101-$AC$86),IF(DATE($C101,10,15)&gt;=$V$86,$Y$86*(1+($U$86)/100)^MAX(0,$C101-$AB$86),0)))))</f>
      </c>
      <c r="O101" s="43">
        <f>IF($S$86=0,0,IF(OR(DATE($C101,11,15)&lt;$S$86,AND($T$86&gt;0,DATE($C101,11,15)&gt;$T$86)),0,IF(DATE($C101,11,15)&gt;=$X$86,$AA$86*(1+($U$86)/100)^MAX(0,$C101-$AD$86),IF(DATE($C101,11,15)&gt;=$W$86,$Z$86*(1+($U$86)/100)^MAX(0,$C101-$AC$86),IF(DATE($C101,11,15)&gt;=$V$86,$Y$86*(1+($U$86)/100)^MAX(0,$C101-$AB$86),0)))))</f>
      </c>
      <c r="P101" s="43">
        <f>IF($S$86=0,0,IF(OR(DATE($C101,12,15)&lt;$S$86,AND($T$86&gt;0,DATE($C101,12,15)&gt;$T$86)),0,IF(DATE($C101,12,15)&gt;=$X$86,$AA$86*(1+($U$86)/100)^MAX(0,$C101-$AD$86),IF(DATE($C101,12,15)&gt;=$W$86,$Z$86*(1+($U$86)/100)^MAX(0,$C101-$AC$86),IF(DATE($C101,12,15)&gt;=$V$86,$Y$86*(1+($U$86)/100)^MAX(0,$C101-$AB$86),0)))))</f>
      </c>
      <c r="Q101" s="43">
        <f>SUM($E101:$P101)</f>
      </c>
    </row>
    <row r="102">
      <c r="A102"/>
      <c r="B102">
        <v>3</v>
      </c>
      <c r="C102" s="43">
        <f>Jahr+16</f>
      </c>
      <c r="D102" s="43">
        <f>INDEX(MvObj,3)</f>
      </c>
      <c r="E102" s="43">
        <f>IF($S$86=0,0,IF(OR(DATE($C102,1,15)&lt;$S$86,AND($T$86&gt;0,DATE($C102,1,15)&gt;$T$86)),0,IF(DATE($C102,1,15)&gt;=$X$86,$AA$86*(1+($U$86)/100)^MAX(0,$C102-$AD$86),IF(DATE($C102,1,15)&gt;=$W$86,$Z$86*(1+($U$86)/100)^MAX(0,$C102-$AC$86),IF(DATE($C102,1,15)&gt;=$V$86,$Y$86*(1+($U$86)/100)^MAX(0,$C102-$AB$86),0)))))</f>
      </c>
      <c r="F102" s="43">
        <f>IF($S$86=0,0,IF(OR(DATE($C102,2,15)&lt;$S$86,AND($T$86&gt;0,DATE($C102,2,15)&gt;$T$86)),0,IF(DATE($C102,2,15)&gt;=$X$86,$AA$86*(1+($U$86)/100)^MAX(0,$C102-$AD$86),IF(DATE($C102,2,15)&gt;=$W$86,$Z$86*(1+($U$86)/100)^MAX(0,$C102-$AC$86),IF(DATE($C102,2,15)&gt;=$V$86,$Y$86*(1+($U$86)/100)^MAX(0,$C102-$AB$86),0)))))</f>
      </c>
      <c r="G102" s="43">
        <f>IF($S$86=0,0,IF(OR(DATE($C102,3,15)&lt;$S$86,AND($T$86&gt;0,DATE($C102,3,15)&gt;$T$86)),0,IF(DATE($C102,3,15)&gt;=$X$86,$AA$86*(1+($U$86)/100)^MAX(0,$C102-$AD$86),IF(DATE($C102,3,15)&gt;=$W$86,$Z$86*(1+($U$86)/100)^MAX(0,$C102-$AC$86),IF(DATE($C102,3,15)&gt;=$V$86,$Y$86*(1+($U$86)/100)^MAX(0,$C102-$AB$86),0)))))</f>
      </c>
      <c r="H102" s="43">
        <f>IF($S$86=0,0,IF(OR(DATE($C102,4,15)&lt;$S$86,AND($T$86&gt;0,DATE($C102,4,15)&gt;$T$86)),0,IF(DATE($C102,4,15)&gt;=$X$86,$AA$86*(1+($U$86)/100)^MAX(0,$C102-$AD$86),IF(DATE($C102,4,15)&gt;=$W$86,$Z$86*(1+($U$86)/100)^MAX(0,$C102-$AC$86),IF(DATE($C102,4,15)&gt;=$V$86,$Y$86*(1+($U$86)/100)^MAX(0,$C102-$AB$86),0)))))</f>
      </c>
      <c r="I102" s="43">
        <f>IF($S$86=0,0,IF(OR(DATE($C102,5,15)&lt;$S$86,AND($T$86&gt;0,DATE($C102,5,15)&gt;$T$86)),0,IF(DATE($C102,5,15)&gt;=$X$86,$AA$86*(1+($U$86)/100)^MAX(0,$C102-$AD$86),IF(DATE($C102,5,15)&gt;=$W$86,$Z$86*(1+($U$86)/100)^MAX(0,$C102-$AC$86),IF(DATE($C102,5,15)&gt;=$V$86,$Y$86*(1+($U$86)/100)^MAX(0,$C102-$AB$86),0)))))</f>
      </c>
      <c r="J102" s="43">
        <f>IF($S$86=0,0,IF(OR(DATE($C102,6,15)&lt;$S$86,AND($T$86&gt;0,DATE($C102,6,15)&gt;$T$86)),0,IF(DATE($C102,6,15)&gt;=$X$86,$AA$86*(1+($U$86)/100)^MAX(0,$C102-$AD$86),IF(DATE($C102,6,15)&gt;=$W$86,$Z$86*(1+($U$86)/100)^MAX(0,$C102-$AC$86),IF(DATE($C102,6,15)&gt;=$V$86,$Y$86*(1+($U$86)/100)^MAX(0,$C102-$AB$86),0)))))</f>
      </c>
      <c r="K102" s="43">
        <f>IF($S$86=0,0,IF(OR(DATE($C102,7,15)&lt;$S$86,AND($T$86&gt;0,DATE($C102,7,15)&gt;$T$86)),0,IF(DATE($C102,7,15)&gt;=$X$86,$AA$86*(1+($U$86)/100)^MAX(0,$C102-$AD$86),IF(DATE($C102,7,15)&gt;=$W$86,$Z$86*(1+($U$86)/100)^MAX(0,$C102-$AC$86),IF(DATE($C102,7,15)&gt;=$V$86,$Y$86*(1+($U$86)/100)^MAX(0,$C102-$AB$86),0)))))</f>
      </c>
      <c r="L102" s="43">
        <f>IF($S$86=0,0,IF(OR(DATE($C102,8,15)&lt;$S$86,AND($T$86&gt;0,DATE($C102,8,15)&gt;$T$86)),0,IF(DATE($C102,8,15)&gt;=$X$86,$AA$86*(1+($U$86)/100)^MAX(0,$C102-$AD$86),IF(DATE($C102,8,15)&gt;=$W$86,$Z$86*(1+($U$86)/100)^MAX(0,$C102-$AC$86),IF(DATE($C102,8,15)&gt;=$V$86,$Y$86*(1+($U$86)/100)^MAX(0,$C102-$AB$86),0)))))</f>
      </c>
      <c r="M102" s="43">
        <f>IF($S$86=0,0,IF(OR(DATE($C102,9,15)&lt;$S$86,AND($T$86&gt;0,DATE($C102,9,15)&gt;$T$86)),0,IF(DATE($C102,9,15)&gt;=$X$86,$AA$86*(1+($U$86)/100)^MAX(0,$C102-$AD$86),IF(DATE($C102,9,15)&gt;=$W$86,$Z$86*(1+($U$86)/100)^MAX(0,$C102-$AC$86),IF(DATE($C102,9,15)&gt;=$V$86,$Y$86*(1+($U$86)/100)^MAX(0,$C102-$AB$86),0)))))</f>
      </c>
      <c r="N102" s="43">
        <f>IF($S$86=0,0,IF(OR(DATE($C102,10,15)&lt;$S$86,AND($T$86&gt;0,DATE($C102,10,15)&gt;$T$86)),0,IF(DATE($C102,10,15)&gt;=$X$86,$AA$86*(1+($U$86)/100)^MAX(0,$C102-$AD$86),IF(DATE($C102,10,15)&gt;=$W$86,$Z$86*(1+($U$86)/100)^MAX(0,$C102-$AC$86),IF(DATE($C102,10,15)&gt;=$V$86,$Y$86*(1+($U$86)/100)^MAX(0,$C102-$AB$86),0)))))</f>
      </c>
      <c r="O102" s="43">
        <f>IF($S$86=0,0,IF(OR(DATE($C102,11,15)&lt;$S$86,AND($T$86&gt;0,DATE($C102,11,15)&gt;$T$86)),0,IF(DATE($C102,11,15)&gt;=$X$86,$AA$86*(1+($U$86)/100)^MAX(0,$C102-$AD$86),IF(DATE($C102,11,15)&gt;=$W$86,$Z$86*(1+($U$86)/100)^MAX(0,$C102-$AC$86),IF(DATE($C102,11,15)&gt;=$V$86,$Y$86*(1+($U$86)/100)^MAX(0,$C102-$AB$86),0)))))</f>
      </c>
      <c r="P102" s="43">
        <f>IF($S$86=0,0,IF(OR(DATE($C102,12,15)&lt;$S$86,AND($T$86&gt;0,DATE($C102,12,15)&gt;$T$86)),0,IF(DATE($C102,12,15)&gt;=$X$86,$AA$86*(1+($U$86)/100)^MAX(0,$C102-$AD$86),IF(DATE($C102,12,15)&gt;=$W$86,$Z$86*(1+($U$86)/100)^MAX(0,$C102-$AC$86),IF(DATE($C102,12,15)&gt;=$V$86,$Y$86*(1+($U$86)/100)^MAX(0,$C102-$AB$86),0)))))</f>
      </c>
      <c r="Q102" s="43">
        <f>SUM($E102:$P102)</f>
      </c>
    </row>
    <row r="103">
      <c r="A103"/>
      <c r="B103">
        <v>3</v>
      </c>
      <c r="C103" s="43">
        <f>Jahr+17</f>
      </c>
      <c r="D103" s="43">
        <f>INDEX(MvObj,3)</f>
      </c>
      <c r="E103" s="43">
        <f>IF($S$86=0,0,IF(OR(DATE($C103,1,15)&lt;$S$86,AND($T$86&gt;0,DATE($C103,1,15)&gt;$T$86)),0,IF(DATE($C103,1,15)&gt;=$X$86,$AA$86*(1+($U$86)/100)^MAX(0,$C103-$AD$86),IF(DATE($C103,1,15)&gt;=$W$86,$Z$86*(1+($U$86)/100)^MAX(0,$C103-$AC$86),IF(DATE($C103,1,15)&gt;=$V$86,$Y$86*(1+($U$86)/100)^MAX(0,$C103-$AB$86),0)))))</f>
      </c>
      <c r="F103" s="43">
        <f>IF($S$86=0,0,IF(OR(DATE($C103,2,15)&lt;$S$86,AND($T$86&gt;0,DATE($C103,2,15)&gt;$T$86)),0,IF(DATE($C103,2,15)&gt;=$X$86,$AA$86*(1+($U$86)/100)^MAX(0,$C103-$AD$86),IF(DATE($C103,2,15)&gt;=$W$86,$Z$86*(1+($U$86)/100)^MAX(0,$C103-$AC$86),IF(DATE($C103,2,15)&gt;=$V$86,$Y$86*(1+($U$86)/100)^MAX(0,$C103-$AB$86),0)))))</f>
      </c>
      <c r="G103" s="43">
        <f>IF($S$86=0,0,IF(OR(DATE($C103,3,15)&lt;$S$86,AND($T$86&gt;0,DATE($C103,3,15)&gt;$T$86)),0,IF(DATE($C103,3,15)&gt;=$X$86,$AA$86*(1+($U$86)/100)^MAX(0,$C103-$AD$86),IF(DATE($C103,3,15)&gt;=$W$86,$Z$86*(1+($U$86)/100)^MAX(0,$C103-$AC$86),IF(DATE($C103,3,15)&gt;=$V$86,$Y$86*(1+($U$86)/100)^MAX(0,$C103-$AB$86),0)))))</f>
      </c>
      <c r="H103" s="43">
        <f>IF($S$86=0,0,IF(OR(DATE($C103,4,15)&lt;$S$86,AND($T$86&gt;0,DATE($C103,4,15)&gt;$T$86)),0,IF(DATE($C103,4,15)&gt;=$X$86,$AA$86*(1+($U$86)/100)^MAX(0,$C103-$AD$86),IF(DATE($C103,4,15)&gt;=$W$86,$Z$86*(1+($U$86)/100)^MAX(0,$C103-$AC$86),IF(DATE($C103,4,15)&gt;=$V$86,$Y$86*(1+($U$86)/100)^MAX(0,$C103-$AB$86),0)))))</f>
      </c>
      <c r="I103" s="43">
        <f>IF($S$86=0,0,IF(OR(DATE($C103,5,15)&lt;$S$86,AND($T$86&gt;0,DATE($C103,5,15)&gt;$T$86)),0,IF(DATE($C103,5,15)&gt;=$X$86,$AA$86*(1+($U$86)/100)^MAX(0,$C103-$AD$86),IF(DATE($C103,5,15)&gt;=$W$86,$Z$86*(1+($U$86)/100)^MAX(0,$C103-$AC$86),IF(DATE($C103,5,15)&gt;=$V$86,$Y$86*(1+($U$86)/100)^MAX(0,$C103-$AB$86),0)))))</f>
      </c>
      <c r="J103" s="43">
        <f>IF($S$86=0,0,IF(OR(DATE($C103,6,15)&lt;$S$86,AND($T$86&gt;0,DATE($C103,6,15)&gt;$T$86)),0,IF(DATE($C103,6,15)&gt;=$X$86,$AA$86*(1+($U$86)/100)^MAX(0,$C103-$AD$86),IF(DATE($C103,6,15)&gt;=$W$86,$Z$86*(1+($U$86)/100)^MAX(0,$C103-$AC$86),IF(DATE($C103,6,15)&gt;=$V$86,$Y$86*(1+($U$86)/100)^MAX(0,$C103-$AB$86),0)))))</f>
      </c>
      <c r="K103" s="43">
        <f>IF($S$86=0,0,IF(OR(DATE($C103,7,15)&lt;$S$86,AND($T$86&gt;0,DATE($C103,7,15)&gt;$T$86)),0,IF(DATE($C103,7,15)&gt;=$X$86,$AA$86*(1+($U$86)/100)^MAX(0,$C103-$AD$86),IF(DATE($C103,7,15)&gt;=$W$86,$Z$86*(1+($U$86)/100)^MAX(0,$C103-$AC$86),IF(DATE($C103,7,15)&gt;=$V$86,$Y$86*(1+($U$86)/100)^MAX(0,$C103-$AB$86),0)))))</f>
      </c>
      <c r="L103" s="43">
        <f>IF($S$86=0,0,IF(OR(DATE($C103,8,15)&lt;$S$86,AND($T$86&gt;0,DATE($C103,8,15)&gt;$T$86)),0,IF(DATE($C103,8,15)&gt;=$X$86,$AA$86*(1+($U$86)/100)^MAX(0,$C103-$AD$86),IF(DATE($C103,8,15)&gt;=$W$86,$Z$86*(1+($U$86)/100)^MAX(0,$C103-$AC$86),IF(DATE($C103,8,15)&gt;=$V$86,$Y$86*(1+($U$86)/100)^MAX(0,$C103-$AB$86),0)))))</f>
      </c>
      <c r="M103" s="43">
        <f>IF($S$86=0,0,IF(OR(DATE($C103,9,15)&lt;$S$86,AND($T$86&gt;0,DATE($C103,9,15)&gt;$T$86)),0,IF(DATE($C103,9,15)&gt;=$X$86,$AA$86*(1+($U$86)/100)^MAX(0,$C103-$AD$86),IF(DATE($C103,9,15)&gt;=$W$86,$Z$86*(1+($U$86)/100)^MAX(0,$C103-$AC$86),IF(DATE($C103,9,15)&gt;=$V$86,$Y$86*(1+($U$86)/100)^MAX(0,$C103-$AB$86),0)))))</f>
      </c>
      <c r="N103" s="43">
        <f>IF($S$86=0,0,IF(OR(DATE($C103,10,15)&lt;$S$86,AND($T$86&gt;0,DATE($C103,10,15)&gt;$T$86)),0,IF(DATE($C103,10,15)&gt;=$X$86,$AA$86*(1+($U$86)/100)^MAX(0,$C103-$AD$86),IF(DATE($C103,10,15)&gt;=$W$86,$Z$86*(1+($U$86)/100)^MAX(0,$C103-$AC$86),IF(DATE($C103,10,15)&gt;=$V$86,$Y$86*(1+($U$86)/100)^MAX(0,$C103-$AB$86),0)))))</f>
      </c>
      <c r="O103" s="43">
        <f>IF($S$86=0,0,IF(OR(DATE($C103,11,15)&lt;$S$86,AND($T$86&gt;0,DATE($C103,11,15)&gt;$T$86)),0,IF(DATE($C103,11,15)&gt;=$X$86,$AA$86*(1+($U$86)/100)^MAX(0,$C103-$AD$86),IF(DATE($C103,11,15)&gt;=$W$86,$Z$86*(1+($U$86)/100)^MAX(0,$C103-$AC$86),IF(DATE($C103,11,15)&gt;=$V$86,$Y$86*(1+($U$86)/100)^MAX(0,$C103-$AB$86),0)))))</f>
      </c>
      <c r="P103" s="43">
        <f>IF($S$86=0,0,IF(OR(DATE($C103,12,15)&lt;$S$86,AND($T$86&gt;0,DATE($C103,12,15)&gt;$T$86)),0,IF(DATE($C103,12,15)&gt;=$X$86,$AA$86*(1+($U$86)/100)^MAX(0,$C103-$AD$86),IF(DATE($C103,12,15)&gt;=$W$86,$Z$86*(1+($U$86)/100)^MAX(0,$C103-$AC$86),IF(DATE($C103,12,15)&gt;=$V$86,$Y$86*(1+($U$86)/100)^MAX(0,$C103-$AB$86),0)))))</f>
      </c>
      <c r="Q103" s="43">
        <f>SUM($E103:$P103)</f>
      </c>
    </row>
    <row r="104">
      <c r="A104"/>
      <c r="B104">
        <v>3</v>
      </c>
      <c r="C104" s="43">
        <f>Jahr+18</f>
      </c>
      <c r="D104" s="43">
        <f>INDEX(MvObj,3)</f>
      </c>
      <c r="E104" s="43">
        <f>IF($S$86=0,0,IF(OR(DATE($C104,1,15)&lt;$S$86,AND($T$86&gt;0,DATE($C104,1,15)&gt;$T$86)),0,IF(DATE($C104,1,15)&gt;=$X$86,$AA$86*(1+($U$86)/100)^MAX(0,$C104-$AD$86),IF(DATE($C104,1,15)&gt;=$W$86,$Z$86*(1+($U$86)/100)^MAX(0,$C104-$AC$86),IF(DATE($C104,1,15)&gt;=$V$86,$Y$86*(1+($U$86)/100)^MAX(0,$C104-$AB$86),0)))))</f>
      </c>
      <c r="F104" s="43">
        <f>IF($S$86=0,0,IF(OR(DATE($C104,2,15)&lt;$S$86,AND($T$86&gt;0,DATE($C104,2,15)&gt;$T$86)),0,IF(DATE($C104,2,15)&gt;=$X$86,$AA$86*(1+($U$86)/100)^MAX(0,$C104-$AD$86),IF(DATE($C104,2,15)&gt;=$W$86,$Z$86*(1+($U$86)/100)^MAX(0,$C104-$AC$86),IF(DATE($C104,2,15)&gt;=$V$86,$Y$86*(1+($U$86)/100)^MAX(0,$C104-$AB$86),0)))))</f>
      </c>
      <c r="G104" s="43">
        <f>IF($S$86=0,0,IF(OR(DATE($C104,3,15)&lt;$S$86,AND($T$86&gt;0,DATE($C104,3,15)&gt;$T$86)),0,IF(DATE($C104,3,15)&gt;=$X$86,$AA$86*(1+($U$86)/100)^MAX(0,$C104-$AD$86),IF(DATE($C104,3,15)&gt;=$W$86,$Z$86*(1+($U$86)/100)^MAX(0,$C104-$AC$86),IF(DATE($C104,3,15)&gt;=$V$86,$Y$86*(1+($U$86)/100)^MAX(0,$C104-$AB$86),0)))))</f>
      </c>
      <c r="H104" s="43">
        <f>IF($S$86=0,0,IF(OR(DATE($C104,4,15)&lt;$S$86,AND($T$86&gt;0,DATE($C104,4,15)&gt;$T$86)),0,IF(DATE($C104,4,15)&gt;=$X$86,$AA$86*(1+($U$86)/100)^MAX(0,$C104-$AD$86),IF(DATE($C104,4,15)&gt;=$W$86,$Z$86*(1+($U$86)/100)^MAX(0,$C104-$AC$86),IF(DATE($C104,4,15)&gt;=$V$86,$Y$86*(1+($U$86)/100)^MAX(0,$C104-$AB$86),0)))))</f>
      </c>
      <c r="I104" s="43">
        <f>IF($S$86=0,0,IF(OR(DATE($C104,5,15)&lt;$S$86,AND($T$86&gt;0,DATE($C104,5,15)&gt;$T$86)),0,IF(DATE($C104,5,15)&gt;=$X$86,$AA$86*(1+($U$86)/100)^MAX(0,$C104-$AD$86),IF(DATE($C104,5,15)&gt;=$W$86,$Z$86*(1+($U$86)/100)^MAX(0,$C104-$AC$86),IF(DATE($C104,5,15)&gt;=$V$86,$Y$86*(1+($U$86)/100)^MAX(0,$C104-$AB$86),0)))))</f>
      </c>
      <c r="J104" s="43">
        <f>IF($S$86=0,0,IF(OR(DATE($C104,6,15)&lt;$S$86,AND($T$86&gt;0,DATE($C104,6,15)&gt;$T$86)),0,IF(DATE($C104,6,15)&gt;=$X$86,$AA$86*(1+($U$86)/100)^MAX(0,$C104-$AD$86),IF(DATE($C104,6,15)&gt;=$W$86,$Z$86*(1+($U$86)/100)^MAX(0,$C104-$AC$86),IF(DATE($C104,6,15)&gt;=$V$86,$Y$86*(1+($U$86)/100)^MAX(0,$C104-$AB$86),0)))))</f>
      </c>
      <c r="K104" s="43">
        <f>IF($S$86=0,0,IF(OR(DATE($C104,7,15)&lt;$S$86,AND($T$86&gt;0,DATE($C104,7,15)&gt;$T$86)),0,IF(DATE($C104,7,15)&gt;=$X$86,$AA$86*(1+($U$86)/100)^MAX(0,$C104-$AD$86),IF(DATE($C104,7,15)&gt;=$W$86,$Z$86*(1+($U$86)/100)^MAX(0,$C104-$AC$86),IF(DATE($C104,7,15)&gt;=$V$86,$Y$86*(1+($U$86)/100)^MAX(0,$C104-$AB$86),0)))))</f>
      </c>
      <c r="L104" s="43">
        <f>IF($S$86=0,0,IF(OR(DATE($C104,8,15)&lt;$S$86,AND($T$86&gt;0,DATE($C104,8,15)&gt;$T$86)),0,IF(DATE($C104,8,15)&gt;=$X$86,$AA$86*(1+($U$86)/100)^MAX(0,$C104-$AD$86),IF(DATE($C104,8,15)&gt;=$W$86,$Z$86*(1+($U$86)/100)^MAX(0,$C104-$AC$86),IF(DATE($C104,8,15)&gt;=$V$86,$Y$86*(1+($U$86)/100)^MAX(0,$C104-$AB$86),0)))))</f>
      </c>
      <c r="M104" s="43">
        <f>IF($S$86=0,0,IF(OR(DATE($C104,9,15)&lt;$S$86,AND($T$86&gt;0,DATE($C104,9,15)&gt;$T$86)),0,IF(DATE($C104,9,15)&gt;=$X$86,$AA$86*(1+($U$86)/100)^MAX(0,$C104-$AD$86),IF(DATE($C104,9,15)&gt;=$W$86,$Z$86*(1+($U$86)/100)^MAX(0,$C104-$AC$86),IF(DATE($C104,9,15)&gt;=$V$86,$Y$86*(1+($U$86)/100)^MAX(0,$C104-$AB$86),0)))))</f>
      </c>
      <c r="N104" s="43">
        <f>IF($S$86=0,0,IF(OR(DATE($C104,10,15)&lt;$S$86,AND($T$86&gt;0,DATE($C104,10,15)&gt;$T$86)),0,IF(DATE($C104,10,15)&gt;=$X$86,$AA$86*(1+($U$86)/100)^MAX(0,$C104-$AD$86),IF(DATE($C104,10,15)&gt;=$W$86,$Z$86*(1+($U$86)/100)^MAX(0,$C104-$AC$86),IF(DATE($C104,10,15)&gt;=$V$86,$Y$86*(1+($U$86)/100)^MAX(0,$C104-$AB$86),0)))))</f>
      </c>
      <c r="O104" s="43">
        <f>IF($S$86=0,0,IF(OR(DATE($C104,11,15)&lt;$S$86,AND($T$86&gt;0,DATE($C104,11,15)&gt;$T$86)),0,IF(DATE($C104,11,15)&gt;=$X$86,$AA$86*(1+($U$86)/100)^MAX(0,$C104-$AD$86),IF(DATE($C104,11,15)&gt;=$W$86,$Z$86*(1+($U$86)/100)^MAX(0,$C104-$AC$86),IF(DATE($C104,11,15)&gt;=$V$86,$Y$86*(1+($U$86)/100)^MAX(0,$C104-$AB$86),0)))))</f>
      </c>
      <c r="P104" s="43">
        <f>IF($S$86=0,0,IF(OR(DATE($C104,12,15)&lt;$S$86,AND($T$86&gt;0,DATE($C104,12,15)&gt;$T$86)),0,IF(DATE($C104,12,15)&gt;=$X$86,$AA$86*(1+($U$86)/100)^MAX(0,$C104-$AD$86),IF(DATE($C104,12,15)&gt;=$W$86,$Z$86*(1+($U$86)/100)^MAX(0,$C104-$AC$86),IF(DATE($C104,12,15)&gt;=$V$86,$Y$86*(1+($U$86)/100)^MAX(0,$C104-$AB$86),0)))))</f>
      </c>
      <c r="Q104" s="43">
        <f>SUM($E104:$P104)</f>
      </c>
    </row>
    <row r="105">
      <c r="A105"/>
      <c r="B105">
        <v>3</v>
      </c>
      <c r="C105" s="43">
        <f>Jahr+19</f>
      </c>
      <c r="D105" s="43">
        <f>INDEX(MvObj,3)</f>
      </c>
      <c r="E105" s="43">
        <f>IF($S$86=0,0,IF(OR(DATE($C105,1,15)&lt;$S$86,AND($T$86&gt;0,DATE($C105,1,15)&gt;$T$86)),0,IF(DATE($C105,1,15)&gt;=$X$86,$AA$86*(1+($U$86)/100)^MAX(0,$C105-$AD$86),IF(DATE($C105,1,15)&gt;=$W$86,$Z$86*(1+($U$86)/100)^MAX(0,$C105-$AC$86),IF(DATE($C105,1,15)&gt;=$V$86,$Y$86*(1+($U$86)/100)^MAX(0,$C105-$AB$86),0)))))</f>
      </c>
      <c r="F105" s="43">
        <f>IF($S$86=0,0,IF(OR(DATE($C105,2,15)&lt;$S$86,AND($T$86&gt;0,DATE($C105,2,15)&gt;$T$86)),0,IF(DATE($C105,2,15)&gt;=$X$86,$AA$86*(1+($U$86)/100)^MAX(0,$C105-$AD$86),IF(DATE($C105,2,15)&gt;=$W$86,$Z$86*(1+($U$86)/100)^MAX(0,$C105-$AC$86),IF(DATE($C105,2,15)&gt;=$V$86,$Y$86*(1+($U$86)/100)^MAX(0,$C105-$AB$86),0)))))</f>
      </c>
      <c r="G105" s="43">
        <f>IF($S$86=0,0,IF(OR(DATE($C105,3,15)&lt;$S$86,AND($T$86&gt;0,DATE($C105,3,15)&gt;$T$86)),0,IF(DATE($C105,3,15)&gt;=$X$86,$AA$86*(1+($U$86)/100)^MAX(0,$C105-$AD$86),IF(DATE($C105,3,15)&gt;=$W$86,$Z$86*(1+($U$86)/100)^MAX(0,$C105-$AC$86),IF(DATE($C105,3,15)&gt;=$V$86,$Y$86*(1+($U$86)/100)^MAX(0,$C105-$AB$86),0)))))</f>
      </c>
      <c r="H105" s="43">
        <f>IF($S$86=0,0,IF(OR(DATE($C105,4,15)&lt;$S$86,AND($T$86&gt;0,DATE($C105,4,15)&gt;$T$86)),0,IF(DATE($C105,4,15)&gt;=$X$86,$AA$86*(1+($U$86)/100)^MAX(0,$C105-$AD$86),IF(DATE($C105,4,15)&gt;=$W$86,$Z$86*(1+($U$86)/100)^MAX(0,$C105-$AC$86),IF(DATE($C105,4,15)&gt;=$V$86,$Y$86*(1+($U$86)/100)^MAX(0,$C105-$AB$86),0)))))</f>
      </c>
      <c r="I105" s="43">
        <f>IF($S$86=0,0,IF(OR(DATE($C105,5,15)&lt;$S$86,AND($T$86&gt;0,DATE($C105,5,15)&gt;$T$86)),0,IF(DATE($C105,5,15)&gt;=$X$86,$AA$86*(1+($U$86)/100)^MAX(0,$C105-$AD$86),IF(DATE($C105,5,15)&gt;=$W$86,$Z$86*(1+($U$86)/100)^MAX(0,$C105-$AC$86),IF(DATE($C105,5,15)&gt;=$V$86,$Y$86*(1+($U$86)/100)^MAX(0,$C105-$AB$86),0)))))</f>
      </c>
      <c r="J105" s="43">
        <f>IF($S$86=0,0,IF(OR(DATE($C105,6,15)&lt;$S$86,AND($T$86&gt;0,DATE($C105,6,15)&gt;$T$86)),0,IF(DATE($C105,6,15)&gt;=$X$86,$AA$86*(1+($U$86)/100)^MAX(0,$C105-$AD$86),IF(DATE($C105,6,15)&gt;=$W$86,$Z$86*(1+($U$86)/100)^MAX(0,$C105-$AC$86),IF(DATE($C105,6,15)&gt;=$V$86,$Y$86*(1+($U$86)/100)^MAX(0,$C105-$AB$86),0)))))</f>
      </c>
      <c r="K105" s="43">
        <f>IF($S$86=0,0,IF(OR(DATE($C105,7,15)&lt;$S$86,AND($T$86&gt;0,DATE($C105,7,15)&gt;$T$86)),0,IF(DATE($C105,7,15)&gt;=$X$86,$AA$86*(1+($U$86)/100)^MAX(0,$C105-$AD$86),IF(DATE($C105,7,15)&gt;=$W$86,$Z$86*(1+($U$86)/100)^MAX(0,$C105-$AC$86),IF(DATE($C105,7,15)&gt;=$V$86,$Y$86*(1+($U$86)/100)^MAX(0,$C105-$AB$86),0)))))</f>
      </c>
      <c r="L105" s="43">
        <f>IF($S$86=0,0,IF(OR(DATE($C105,8,15)&lt;$S$86,AND($T$86&gt;0,DATE($C105,8,15)&gt;$T$86)),0,IF(DATE($C105,8,15)&gt;=$X$86,$AA$86*(1+($U$86)/100)^MAX(0,$C105-$AD$86),IF(DATE($C105,8,15)&gt;=$W$86,$Z$86*(1+($U$86)/100)^MAX(0,$C105-$AC$86),IF(DATE($C105,8,15)&gt;=$V$86,$Y$86*(1+($U$86)/100)^MAX(0,$C105-$AB$86),0)))))</f>
      </c>
      <c r="M105" s="43">
        <f>IF($S$86=0,0,IF(OR(DATE($C105,9,15)&lt;$S$86,AND($T$86&gt;0,DATE($C105,9,15)&gt;$T$86)),0,IF(DATE($C105,9,15)&gt;=$X$86,$AA$86*(1+($U$86)/100)^MAX(0,$C105-$AD$86),IF(DATE($C105,9,15)&gt;=$W$86,$Z$86*(1+($U$86)/100)^MAX(0,$C105-$AC$86),IF(DATE($C105,9,15)&gt;=$V$86,$Y$86*(1+($U$86)/100)^MAX(0,$C105-$AB$86),0)))))</f>
      </c>
      <c r="N105" s="43">
        <f>IF($S$86=0,0,IF(OR(DATE($C105,10,15)&lt;$S$86,AND($T$86&gt;0,DATE($C105,10,15)&gt;$T$86)),0,IF(DATE($C105,10,15)&gt;=$X$86,$AA$86*(1+($U$86)/100)^MAX(0,$C105-$AD$86),IF(DATE($C105,10,15)&gt;=$W$86,$Z$86*(1+($U$86)/100)^MAX(0,$C105-$AC$86),IF(DATE($C105,10,15)&gt;=$V$86,$Y$86*(1+($U$86)/100)^MAX(0,$C105-$AB$86),0)))))</f>
      </c>
      <c r="O105" s="43">
        <f>IF($S$86=0,0,IF(OR(DATE($C105,11,15)&lt;$S$86,AND($T$86&gt;0,DATE($C105,11,15)&gt;$T$86)),0,IF(DATE($C105,11,15)&gt;=$X$86,$AA$86*(1+($U$86)/100)^MAX(0,$C105-$AD$86),IF(DATE($C105,11,15)&gt;=$W$86,$Z$86*(1+($U$86)/100)^MAX(0,$C105-$AC$86),IF(DATE($C105,11,15)&gt;=$V$86,$Y$86*(1+($U$86)/100)^MAX(0,$C105-$AB$86),0)))))</f>
      </c>
      <c r="P105" s="43">
        <f>IF($S$86=0,0,IF(OR(DATE($C105,12,15)&lt;$S$86,AND($T$86&gt;0,DATE($C105,12,15)&gt;$T$86)),0,IF(DATE($C105,12,15)&gt;=$X$86,$AA$86*(1+($U$86)/100)^MAX(0,$C105-$AD$86),IF(DATE($C105,12,15)&gt;=$W$86,$Z$86*(1+($U$86)/100)^MAX(0,$C105-$AC$86),IF(DATE($C105,12,15)&gt;=$V$86,$Y$86*(1+($U$86)/100)^MAX(0,$C105-$AB$86),0)))))</f>
      </c>
      <c r="Q105" s="43">
        <f>SUM($E105:$P105)</f>
      </c>
    </row>
    <row r="106">
      <c r="A106"/>
      <c r="B106">
        <v>3</v>
      </c>
      <c r="C106" s="43">
        <f>Jahr+20</f>
      </c>
      <c r="D106" s="43">
        <f>INDEX(MvObj,3)</f>
      </c>
      <c r="E106" s="43">
        <f>IF($S$86=0,0,IF(OR(DATE($C106,1,15)&lt;$S$86,AND($T$86&gt;0,DATE($C106,1,15)&gt;$T$86)),0,IF(DATE($C106,1,15)&gt;=$X$86,$AA$86*(1+($U$86)/100)^MAX(0,$C106-$AD$86),IF(DATE($C106,1,15)&gt;=$W$86,$Z$86*(1+($U$86)/100)^MAX(0,$C106-$AC$86),IF(DATE($C106,1,15)&gt;=$V$86,$Y$86*(1+($U$86)/100)^MAX(0,$C106-$AB$86),0)))))</f>
      </c>
      <c r="F106" s="43">
        <f>IF($S$86=0,0,IF(OR(DATE($C106,2,15)&lt;$S$86,AND($T$86&gt;0,DATE($C106,2,15)&gt;$T$86)),0,IF(DATE($C106,2,15)&gt;=$X$86,$AA$86*(1+($U$86)/100)^MAX(0,$C106-$AD$86),IF(DATE($C106,2,15)&gt;=$W$86,$Z$86*(1+($U$86)/100)^MAX(0,$C106-$AC$86),IF(DATE($C106,2,15)&gt;=$V$86,$Y$86*(1+($U$86)/100)^MAX(0,$C106-$AB$86),0)))))</f>
      </c>
      <c r="G106" s="43">
        <f>IF($S$86=0,0,IF(OR(DATE($C106,3,15)&lt;$S$86,AND($T$86&gt;0,DATE($C106,3,15)&gt;$T$86)),0,IF(DATE($C106,3,15)&gt;=$X$86,$AA$86*(1+($U$86)/100)^MAX(0,$C106-$AD$86),IF(DATE($C106,3,15)&gt;=$W$86,$Z$86*(1+($U$86)/100)^MAX(0,$C106-$AC$86),IF(DATE($C106,3,15)&gt;=$V$86,$Y$86*(1+($U$86)/100)^MAX(0,$C106-$AB$86),0)))))</f>
      </c>
      <c r="H106" s="43">
        <f>IF($S$86=0,0,IF(OR(DATE($C106,4,15)&lt;$S$86,AND($T$86&gt;0,DATE($C106,4,15)&gt;$T$86)),0,IF(DATE($C106,4,15)&gt;=$X$86,$AA$86*(1+($U$86)/100)^MAX(0,$C106-$AD$86),IF(DATE($C106,4,15)&gt;=$W$86,$Z$86*(1+($U$86)/100)^MAX(0,$C106-$AC$86),IF(DATE($C106,4,15)&gt;=$V$86,$Y$86*(1+($U$86)/100)^MAX(0,$C106-$AB$86),0)))))</f>
      </c>
      <c r="I106" s="43">
        <f>IF($S$86=0,0,IF(OR(DATE($C106,5,15)&lt;$S$86,AND($T$86&gt;0,DATE($C106,5,15)&gt;$T$86)),0,IF(DATE($C106,5,15)&gt;=$X$86,$AA$86*(1+($U$86)/100)^MAX(0,$C106-$AD$86),IF(DATE($C106,5,15)&gt;=$W$86,$Z$86*(1+($U$86)/100)^MAX(0,$C106-$AC$86),IF(DATE($C106,5,15)&gt;=$V$86,$Y$86*(1+($U$86)/100)^MAX(0,$C106-$AB$86),0)))))</f>
      </c>
      <c r="J106" s="43">
        <f>IF($S$86=0,0,IF(OR(DATE($C106,6,15)&lt;$S$86,AND($T$86&gt;0,DATE($C106,6,15)&gt;$T$86)),0,IF(DATE($C106,6,15)&gt;=$X$86,$AA$86*(1+($U$86)/100)^MAX(0,$C106-$AD$86),IF(DATE($C106,6,15)&gt;=$W$86,$Z$86*(1+($U$86)/100)^MAX(0,$C106-$AC$86),IF(DATE($C106,6,15)&gt;=$V$86,$Y$86*(1+($U$86)/100)^MAX(0,$C106-$AB$86),0)))))</f>
      </c>
      <c r="K106" s="43">
        <f>IF($S$86=0,0,IF(OR(DATE($C106,7,15)&lt;$S$86,AND($T$86&gt;0,DATE($C106,7,15)&gt;$T$86)),0,IF(DATE($C106,7,15)&gt;=$X$86,$AA$86*(1+($U$86)/100)^MAX(0,$C106-$AD$86),IF(DATE($C106,7,15)&gt;=$W$86,$Z$86*(1+($U$86)/100)^MAX(0,$C106-$AC$86),IF(DATE($C106,7,15)&gt;=$V$86,$Y$86*(1+($U$86)/100)^MAX(0,$C106-$AB$86),0)))))</f>
      </c>
      <c r="L106" s="43">
        <f>IF($S$86=0,0,IF(OR(DATE($C106,8,15)&lt;$S$86,AND($T$86&gt;0,DATE($C106,8,15)&gt;$T$86)),0,IF(DATE($C106,8,15)&gt;=$X$86,$AA$86*(1+($U$86)/100)^MAX(0,$C106-$AD$86),IF(DATE($C106,8,15)&gt;=$W$86,$Z$86*(1+($U$86)/100)^MAX(0,$C106-$AC$86),IF(DATE($C106,8,15)&gt;=$V$86,$Y$86*(1+($U$86)/100)^MAX(0,$C106-$AB$86),0)))))</f>
      </c>
      <c r="M106" s="43">
        <f>IF($S$86=0,0,IF(OR(DATE($C106,9,15)&lt;$S$86,AND($T$86&gt;0,DATE($C106,9,15)&gt;$T$86)),0,IF(DATE($C106,9,15)&gt;=$X$86,$AA$86*(1+($U$86)/100)^MAX(0,$C106-$AD$86),IF(DATE($C106,9,15)&gt;=$W$86,$Z$86*(1+($U$86)/100)^MAX(0,$C106-$AC$86),IF(DATE($C106,9,15)&gt;=$V$86,$Y$86*(1+($U$86)/100)^MAX(0,$C106-$AB$86),0)))))</f>
      </c>
      <c r="N106" s="43">
        <f>IF($S$86=0,0,IF(OR(DATE($C106,10,15)&lt;$S$86,AND($T$86&gt;0,DATE($C106,10,15)&gt;$T$86)),0,IF(DATE($C106,10,15)&gt;=$X$86,$AA$86*(1+($U$86)/100)^MAX(0,$C106-$AD$86),IF(DATE($C106,10,15)&gt;=$W$86,$Z$86*(1+($U$86)/100)^MAX(0,$C106-$AC$86),IF(DATE($C106,10,15)&gt;=$V$86,$Y$86*(1+($U$86)/100)^MAX(0,$C106-$AB$86),0)))))</f>
      </c>
      <c r="O106" s="43">
        <f>IF($S$86=0,0,IF(OR(DATE($C106,11,15)&lt;$S$86,AND($T$86&gt;0,DATE($C106,11,15)&gt;$T$86)),0,IF(DATE($C106,11,15)&gt;=$X$86,$AA$86*(1+($U$86)/100)^MAX(0,$C106-$AD$86),IF(DATE($C106,11,15)&gt;=$W$86,$Z$86*(1+($U$86)/100)^MAX(0,$C106-$AC$86),IF(DATE($C106,11,15)&gt;=$V$86,$Y$86*(1+($U$86)/100)^MAX(0,$C106-$AB$86),0)))))</f>
      </c>
      <c r="P106" s="43">
        <f>IF($S$86=0,0,IF(OR(DATE($C106,12,15)&lt;$S$86,AND($T$86&gt;0,DATE($C106,12,15)&gt;$T$86)),0,IF(DATE($C106,12,15)&gt;=$X$86,$AA$86*(1+($U$86)/100)^MAX(0,$C106-$AD$86),IF(DATE($C106,12,15)&gt;=$W$86,$Z$86*(1+($U$86)/100)^MAX(0,$C106-$AC$86),IF(DATE($C106,12,15)&gt;=$V$86,$Y$86*(1+($U$86)/100)^MAX(0,$C106-$AB$86),0)))))</f>
      </c>
      <c r="Q106" s="43">
        <f>SUM($E106:$P106)</f>
      </c>
    </row>
    <row r="107">
      <c r="A107"/>
      <c r="B107">
        <v>3</v>
      </c>
      <c r="C107" s="43">
        <f>Jahr+21</f>
      </c>
      <c r="D107" s="43">
        <f>INDEX(MvObj,3)</f>
      </c>
      <c r="E107" s="43">
        <f>IF($S$86=0,0,IF(OR(DATE($C107,1,15)&lt;$S$86,AND($T$86&gt;0,DATE($C107,1,15)&gt;$T$86)),0,IF(DATE($C107,1,15)&gt;=$X$86,$AA$86*(1+($U$86)/100)^MAX(0,$C107-$AD$86),IF(DATE($C107,1,15)&gt;=$W$86,$Z$86*(1+($U$86)/100)^MAX(0,$C107-$AC$86),IF(DATE($C107,1,15)&gt;=$V$86,$Y$86*(1+($U$86)/100)^MAX(0,$C107-$AB$86),0)))))</f>
      </c>
      <c r="F107" s="43">
        <f>IF($S$86=0,0,IF(OR(DATE($C107,2,15)&lt;$S$86,AND($T$86&gt;0,DATE($C107,2,15)&gt;$T$86)),0,IF(DATE($C107,2,15)&gt;=$X$86,$AA$86*(1+($U$86)/100)^MAX(0,$C107-$AD$86),IF(DATE($C107,2,15)&gt;=$W$86,$Z$86*(1+($U$86)/100)^MAX(0,$C107-$AC$86),IF(DATE($C107,2,15)&gt;=$V$86,$Y$86*(1+($U$86)/100)^MAX(0,$C107-$AB$86),0)))))</f>
      </c>
      <c r="G107" s="43">
        <f>IF($S$86=0,0,IF(OR(DATE($C107,3,15)&lt;$S$86,AND($T$86&gt;0,DATE($C107,3,15)&gt;$T$86)),0,IF(DATE($C107,3,15)&gt;=$X$86,$AA$86*(1+($U$86)/100)^MAX(0,$C107-$AD$86),IF(DATE($C107,3,15)&gt;=$W$86,$Z$86*(1+($U$86)/100)^MAX(0,$C107-$AC$86),IF(DATE($C107,3,15)&gt;=$V$86,$Y$86*(1+($U$86)/100)^MAX(0,$C107-$AB$86),0)))))</f>
      </c>
      <c r="H107" s="43">
        <f>IF($S$86=0,0,IF(OR(DATE($C107,4,15)&lt;$S$86,AND($T$86&gt;0,DATE($C107,4,15)&gt;$T$86)),0,IF(DATE($C107,4,15)&gt;=$X$86,$AA$86*(1+($U$86)/100)^MAX(0,$C107-$AD$86),IF(DATE($C107,4,15)&gt;=$W$86,$Z$86*(1+($U$86)/100)^MAX(0,$C107-$AC$86),IF(DATE($C107,4,15)&gt;=$V$86,$Y$86*(1+($U$86)/100)^MAX(0,$C107-$AB$86),0)))))</f>
      </c>
      <c r="I107" s="43">
        <f>IF($S$86=0,0,IF(OR(DATE($C107,5,15)&lt;$S$86,AND($T$86&gt;0,DATE($C107,5,15)&gt;$T$86)),0,IF(DATE($C107,5,15)&gt;=$X$86,$AA$86*(1+($U$86)/100)^MAX(0,$C107-$AD$86),IF(DATE($C107,5,15)&gt;=$W$86,$Z$86*(1+($U$86)/100)^MAX(0,$C107-$AC$86),IF(DATE($C107,5,15)&gt;=$V$86,$Y$86*(1+($U$86)/100)^MAX(0,$C107-$AB$86),0)))))</f>
      </c>
      <c r="J107" s="43">
        <f>IF($S$86=0,0,IF(OR(DATE($C107,6,15)&lt;$S$86,AND($T$86&gt;0,DATE($C107,6,15)&gt;$T$86)),0,IF(DATE($C107,6,15)&gt;=$X$86,$AA$86*(1+($U$86)/100)^MAX(0,$C107-$AD$86),IF(DATE($C107,6,15)&gt;=$W$86,$Z$86*(1+($U$86)/100)^MAX(0,$C107-$AC$86),IF(DATE($C107,6,15)&gt;=$V$86,$Y$86*(1+($U$86)/100)^MAX(0,$C107-$AB$86),0)))))</f>
      </c>
      <c r="K107" s="43">
        <f>IF($S$86=0,0,IF(OR(DATE($C107,7,15)&lt;$S$86,AND($T$86&gt;0,DATE($C107,7,15)&gt;$T$86)),0,IF(DATE($C107,7,15)&gt;=$X$86,$AA$86*(1+($U$86)/100)^MAX(0,$C107-$AD$86),IF(DATE($C107,7,15)&gt;=$W$86,$Z$86*(1+($U$86)/100)^MAX(0,$C107-$AC$86),IF(DATE($C107,7,15)&gt;=$V$86,$Y$86*(1+($U$86)/100)^MAX(0,$C107-$AB$86),0)))))</f>
      </c>
      <c r="L107" s="43">
        <f>IF($S$86=0,0,IF(OR(DATE($C107,8,15)&lt;$S$86,AND($T$86&gt;0,DATE($C107,8,15)&gt;$T$86)),0,IF(DATE($C107,8,15)&gt;=$X$86,$AA$86*(1+($U$86)/100)^MAX(0,$C107-$AD$86),IF(DATE($C107,8,15)&gt;=$W$86,$Z$86*(1+($U$86)/100)^MAX(0,$C107-$AC$86),IF(DATE($C107,8,15)&gt;=$V$86,$Y$86*(1+($U$86)/100)^MAX(0,$C107-$AB$86),0)))))</f>
      </c>
      <c r="M107" s="43">
        <f>IF($S$86=0,0,IF(OR(DATE($C107,9,15)&lt;$S$86,AND($T$86&gt;0,DATE($C107,9,15)&gt;$T$86)),0,IF(DATE($C107,9,15)&gt;=$X$86,$AA$86*(1+($U$86)/100)^MAX(0,$C107-$AD$86),IF(DATE($C107,9,15)&gt;=$W$86,$Z$86*(1+($U$86)/100)^MAX(0,$C107-$AC$86),IF(DATE($C107,9,15)&gt;=$V$86,$Y$86*(1+($U$86)/100)^MAX(0,$C107-$AB$86),0)))))</f>
      </c>
      <c r="N107" s="43">
        <f>IF($S$86=0,0,IF(OR(DATE($C107,10,15)&lt;$S$86,AND($T$86&gt;0,DATE($C107,10,15)&gt;$T$86)),0,IF(DATE($C107,10,15)&gt;=$X$86,$AA$86*(1+($U$86)/100)^MAX(0,$C107-$AD$86),IF(DATE($C107,10,15)&gt;=$W$86,$Z$86*(1+($U$86)/100)^MAX(0,$C107-$AC$86),IF(DATE($C107,10,15)&gt;=$V$86,$Y$86*(1+($U$86)/100)^MAX(0,$C107-$AB$86),0)))))</f>
      </c>
      <c r="O107" s="43">
        <f>IF($S$86=0,0,IF(OR(DATE($C107,11,15)&lt;$S$86,AND($T$86&gt;0,DATE($C107,11,15)&gt;$T$86)),0,IF(DATE($C107,11,15)&gt;=$X$86,$AA$86*(1+($U$86)/100)^MAX(0,$C107-$AD$86),IF(DATE($C107,11,15)&gt;=$W$86,$Z$86*(1+($U$86)/100)^MAX(0,$C107-$AC$86),IF(DATE($C107,11,15)&gt;=$V$86,$Y$86*(1+($U$86)/100)^MAX(0,$C107-$AB$86),0)))))</f>
      </c>
      <c r="P107" s="43">
        <f>IF($S$86=0,0,IF(OR(DATE($C107,12,15)&lt;$S$86,AND($T$86&gt;0,DATE($C107,12,15)&gt;$T$86)),0,IF(DATE($C107,12,15)&gt;=$X$86,$AA$86*(1+($U$86)/100)^MAX(0,$C107-$AD$86),IF(DATE($C107,12,15)&gt;=$W$86,$Z$86*(1+($U$86)/100)^MAX(0,$C107-$AC$86),IF(DATE($C107,12,15)&gt;=$V$86,$Y$86*(1+($U$86)/100)^MAX(0,$C107-$AB$86),0)))))</f>
      </c>
      <c r="Q107" s="43">
        <f>SUM($E107:$P107)</f>
      </c>
    </row>
    <row r="108">
      <c r="A108"/>
      <c r="B108">
        <v>3</v>
      </c>
      <c r="C108" s="43">
        <f>Jahr+22</f>
      </c>
      <c r="D108" s="43">
        <f>INDEX(MvObj,3)</f>
      </c>
      <c r="E108" s="43">
        <f>IF($S$86=0,0,IF(OR(DATE($C108,1,15)&lt;$S$86,AND($T$86&gt;0,DATE($C108,1,15)&gt;$T$86)),0,IF(DATE($C108,1,15)&gt;=$X$86,$AA$86*(1+($U$86)/100)^MAX(0,$C108-$AD$86),IF(DATE($C108,1,15)&gt;=$W$86,$Z$86*(1+($U$86)/100)^MAX(0,$C108-$AC$86),IF(DATE($C108,1,15)&gt;=$V$86,$Y$86*(1+($U$86)/100)^MAX(0,$C108-$AB$86),0)))))</f>
      </c>
      <c r="F108" s="43">
        <f>IF($S$86=0,0,IF(OR(DATE($C108,2,15)&lt;$S$86,AND($T$86&gt;0,DATE($C108,2,15)&gt;$T$86)),0,IF(DATE($C108,2,15)&gt;=$X$86,$AA$86*(1+($U$86)/100)^MAX(0,$C108-$AD$86),IF(DATE($C108,2,15)&gt;=$W$86,$Z$86*(1+($U$86)/100)^MAX(0,$C108-$AC$86),IF(DATE($C108,2,15)&gt;=$V$86,$Y$86*(1+($U$86)/100)^MAX(0,$C108-$AB$86),0)))))</f>
      </c>
      <c r="G108" s="43">
        <f>IF($S$86=0,0,IF(OR(DATE($C108,3,15)&lt;$S$86,AND($T$86&gt;0,DATE($C108,3,15)&gt;$T$86)),0,IF(DATE($C108,3,15)&gt;=$X$86,$AA$86*(1+($U$86)/100)^MAX(0,$C108-$AD$86),IF(DATE($C108,3,15)&gt;=$W$86,$Z$86*(1+($U$86)/100)^MAX(0,$C108-$AC$86),IF(DATE($C108,3,15)&gt;=$V$86,$Y$86*(1+($U$86)/100)^MAX(0,$C108-$AB$86),0)))))</f>
      </c>
      <c r="H108" s="43">
        <f>IF($S$86=0,0,IF(OR(DATE($C108,4,15)&lt;$S$86,AND($T$86&gt;0,DATE($C108,4,15)&gt;$T$86)),0,IF(DATE($C108,4,15)&gt;=$X$86,$AA$86*(1+($U$86)/100)^MAX(0,$C108-$AD$86),IF(DATE($C108,4,15)&gt;=$W$86,$Z$86*(1+($U$86)/100)^MAX(0,$C108-$AC$86),IF(DATE($C108,4,15)&gt;=$V$86,$Y$86*(1+($U$86)/100)^MAX(0,$C108-$AB$86),0)))))</f>
      </c>
      <c r="I108" s="43">
        <f>IF($S$86=0,0,IF(OR(DATE($C108,5,15)&lt;$S$86,AND($T$86&gt;0,DATE($C108,5,15)&gt;$T$86)),0,IF(DATE($C108,5,15)&gt;=$X$86,$AA$86*(1+($U$86)/100)^MAX(0,$C108-$AD$86),IF(DATE($C108,5,15)&gt;=$W$86,$Z$86*(1+($U$86)/100)^MAX(0,$C108-$AC$86),IF(DATE($C108,5,15)&gt;=$V$86,$Y$86*(1+($U$86)/100)^MAX(0,$C108-$AB$86),0)))))</f>
      </c>
      <c r="J108" s="43">
        <f>IF($S$86=0,0,IF(OR(DATE($C108,6,15)&lt;$S$86,AND($T$86&gt;0,DATE($C108,6,15)&gt;$T$86)),0,IF(DATE($C108,6,15)&gt;=$X$86,$AA$86*(1+($U$86)/100)^MAX(0,$C108-$AD$86),IF(DATE($C108,6,15)&gt;=$W$86,$Z$86*(1+($U$86)/100)^MAX(0,$C108-$AC$86),IF(DATE($C108,6,15)&gt;=$V$86,$Y$86*(1+($U$86)/100)^MAX(0,$C108-$AB$86),0)))))</f>
      </c>
      <c r="K108" s="43">
        <f>IF($S$86=0,0,IF(OR(DATE($C108,7,15)&lt;$S$86,AND($T$86&gt;0,DATE($C108,7,15)&gt;$T$86)),0,IF(DATE($C108,7,15)&gt;=$X$86,$AA$86*(1+($U$86)/100)^MAX(0,$C108-$AD$86),IF(DATE($C108,7,15)&gt;=$W$86,$Z$86*(1+($U$86)/100)^MAX(0,$C108-$AC$86),IF(DATE($C108,7,15)&gt;=$V$86,$Y$86*(1+($U$86)/100)^MAX(0,$C108-$AB$86),0)))))</f>
      </c>
      <c r="L108" s="43">
        <f>IF($S$86=0,0,IF(OR(DATE($C108,8,15)&lt;$S$86,AND($T$86&gt;0,DATE($C108,8,15)&gt;$T$86)),0,IF(DATE($C108,8,15)&gt;=$X$86,$AA$86*(1+($U$86)/100)^MAX(0,$C108-$AD$86),IF(DATE($C108,8,15)&gt;=$W$86,$Z$86*(1+($U$86)/100)^MAX(0,$C108-$AC$86),IF(DATE($C108,8,15)&gt;=$V$86,$Y$86*(1+($U$86)/100)^MAX(0,$C108-$AB$86),0)))))</f>
      </c>
      <c r="M108" s="43">
        <f>IF($S$86=0,0,IF(OR(DATE($C108,9,15)&lt;$S$86,AND($T$86&gt;0,DATE($C108,9,15)&gt;$T$86)),0,IF(DATE($C108,9,15)&gt;=$X$86,$AA$86*(1+($U$86)/100)^MAX(0,$C108-$AD$86),IF(DATE($C108,9,15)&gt;=$W$86,$Z$86*(1+($U$86)/100)^MAX(0,$C108-$AC$86),IF(DATE($C108,9,15)&gt;=$V$86,$Y$86*(1+($U$86)/100)^MAX(0,$C108-$AB$86),0)))))</f>
      </c>
      <c r="N108" s="43">
        <f>IF($S$86=0,0,IF(OR(DATE($C108,10,15)&lt;$S$86,AND($T$86&gt;0,DATE($C108,10,15)&gt;$T$86)),0,IF(DATE($C108,10,15)&gt;=$X$86,$AA$86*(1+($U$86)/100)^MAX(0,$C108-$AD$86),IF(DATE($C108,10,15)&gt;=$W$86,$Z$86*(1+($U$86)/100)^MAX(0,$C108-$AC$86),IF(DATE($C108,10,15)&gt;=$V$86,$Y$86*(1+($U$86)/100)^MAX(0,$C108-$AB$86),0)))))</f>
      </c>
      <c r="O108" s="43">
        <f>IF($S$86=0,0,IF(OR(DATE($C108,11,15)&lt;$S$86,AND($T$86&gt;0,DATE($C108,11,15)&gt;$T$86)),0,IF(DATE($C108,11,15)&gt;=$X$86,$AA$86*(1+($U$86)/100)^MAX(0,$C108-$AD$86),IF(DATE($C108,11,15)&gt;=$W$86,$Z$86*(1+($U$86)/100)^MAX(0,$C108-$AC$86),IF(DATE($C108,11,15)&gt;=$V$86,$Y$86*(1+($U$86)/100)^MAX(0,$C108-$AB$86),0)))))</f>
      </c>
      <c r="P108" s="43">
        <f>IF($S$86=0,0,IF(OR(DATE($C108,12,15)&lt;$S$86,AND($T$86&gt;0,DATE($C108,12,15)&gt;$T$86)),0,IF(DATE($C108,12,15)&gt;=$X$86,$AA$86*(1+($U$86)/100)^MAX(0,$C108-$AD$86),IF(DATE($C108,12,15)&gt;=$W$86,$Z$86*(1+($U$86)/100)^MAX(0,$C108-$AC$86),IF(DATE($C108,12,15)&gt;=$V$86,$Y$86*(1+($U$86)/100)^MAX(0,$C108-$AB$86),0)))))</f>
      </c>
      <c r="Q108" s="43">
        <f>SUM($E108:$P108)</f>
      </c>
    </row>
    <row r="109">
      <c r="A109"/>
      <c r="B109">
        <v>3</v>
      </c>
      <c r="C109" s="43">
        <f>Jahr+23</f>
      </c>
      <c r="D109" s="43">
        <f>INDEX(MvObj,3)</f>
      </c>
      <c r="E109" s="43">
        <f>IF($S$86=0,0,IF(OR(DATE($C109,1,15)&lt;$S$86,AND($T$86&gt;0,DATE($C109,1,15)&gt;$T$86)),0,IF(DATE($C109,1,15)&gt;=$X$86,$AA$86*(1+($U$86)/100)^MAX(0,$C109-$AD$86),IF(DATE($C109,1,15)&gt;=$W$86,$Z$86*(1+($U$86)/100)^MAX(0,$C109-$AC$86),IF(DATE($C109,1,15)&gt;=$V$86,$Y$86*(1+($U$86)/100)^MAX(0,$C109-$AB$86),0)))))</f>
      </c>
      <c r="F109" s="43">
        <f>IF($S$86=0,0,IF(OR(DATE($C109,2,15)&lt;$S$86,AND($T$86&gt;0,DATE($C109,2,15)&gt;$T$86)),0,IF(DATE($C109,2,15)&gt;=$X$86,$AA$86*(1+($U$86)/100)^MAX(0,$C109-$AD$86),IF(DATE($C109,2,15)&gt;=$W$86,$Z$86*(1+($U$86)/100)^MAX(0,$C109-$AC$86),IF(DATE($C109,2,15)&gt;=$V$86,$Y$86*(1+($U$86)/100)^MAX(0,$C109-$AB$86),0)))))</f>
      </c>
      <c r="G109" s="43">
        <f>IF($S$86=0,0,IF(OR(DATE($C109,3,15)&lt;$S$86,AND($T$86&gt;0,DATE($C109,3,15)&gt;$T$86)),0,IF(DATE($C109,3,15)&gt;=$X$86,$AA$86*(1+($U$86)/100)^MAX(0,$C109-$AD$86),IF(DATE($C109,3,15)&gt;=$W$86,$Z$86*(1+($U$86)/100)^MAX(0,$C109-$AC$86),IF(DATE($C109,3,15)&gt;=$V$86,$Y$86*(1+($U$86)/100)^MAX(0,$C109-$AB$86),0)))))</f>
      </c>
      <c r="H109" s="43">
        <f>IF($S$86=0,0,IF(OR(DATE($C109,4,15)&lt;$S$86,AND($T$86&gt;0,DATE($C109,4,15)&gt;$T$86)),0,IF(DATE($C109,4,15)&gt;=$X$86,$AA$86*(1+($U$86)/100)^MAX(0,$C109-$AD$86),IF(DATE($C109,4,15)&gt;=$W$86,$Z$86*(1+($U$86)/100)^MAX(0,$C109-$AC$86),IF(DATE($C109,4,15)&gt;=$V$86,$Y$86*(1+($U$86)/100)^MAX(0,$C109-$AB$86),0)))))</f>
      </c>
      <c r="I109" s="43">
        <f>IF($S$86=0,0,IF(OR(DATE($C109,5,15)&lt;$S$86,AND($T$86&gt;0,DATE($C109,5,15)&gt;$T$86)),0,IF(DATE($C109,5,15)&gt;=$X$86,$AA$86*(1+($U$86)/100)^MAX(0,$C109-$AD$86),IF(DATE($C109,5,15)&gt;=$W$86,$Z$86*(1+($U$86)/100)^MAX(0,$C109-$AC$86),IF(DATE($C109,5,15)&gt;=$V$86,$Y$86*(1+($U$86)/100)^MAX(0,$C109-$AB$86),0)))))</f>
      </c>
      <c r="J109" s="43">
        <f>IF($S$86=0,0,IF(OR(DATE($C109,6,15)&lt;$S$86,AND($T$86&gt;0,DATE($C109,6,15)&gt;$T$86)),0,IF(DATE($C109,6,15)&gt;=$X$86,$AA$86*(1+($U$86)/100)^MAX(0,$C109-$AD$86),IF(DATE($C109,6,15)&gt;=$W$86,$Z$86*(1+($U$86)/100)^MAX(0,$C109-$AC$86),IF(DATE($C109,6,15)&gt;=$V$86,$Y$86*(1+($U$86)/100)^MAX(0,$C109-$AB$86),0)))))</f>
      </c>
      <c r="K109" s="43">
        <f>IF($S$86=0,0,IF(OR(DATE($C109,7,15)&lt;$S$86,AND($T$86&gt;0,DATE($C109,7,15)&gt;$T$86)),0,IF(DATE($C109,7,15)&gt;=$X$86,$AA$86*(1+($U$86)/100)^MAX(0,$C109-$AD$86),IF(DATE($C109,7,15)&gt;=$W$86,$Z$86*(1+($U$86)/100)^MAX(0,$C109-$AC$86),IF(DATE($C109,7,15)&gt;=$V$86,$Y$86*(1+($U$86)/100)^MAX(0,$C109-$AB$86),0)))))</f>
      </c>
      <c r="L109" s="43">
        <f>IF($S$86=0,0,IF(OR(DATE($C109,8,15)&lt;$S$86,AND($T$86&gt;0,DATE($C109,8,15)&gt;$T$86)),0,IF(DATE($C109,8,15)&gt;=$X$86,$AA$86*(1+($U$86)/100)^MAX(0,$C109-$AD$86),IF(DATE($C109,8,15)&gt;=$W$86,$Z$86*(1+($U$86)/100)^MAX(0,$C109-$AC$86),IF(DATE($C109,8,15)&gt;=$V$86,$Y$86*(1+($U$86)/100)^MAX(0,$C109-$AB$86),0)))))</f>
      </c>
      <c r="M109" s="43">
        <f>IF($S$86=0,0,IF(OR(DATE($C109,9,15)&lt;$S$86,AND($T$86&gt;0,DATE($C109,9,15)&gt;$T$86)),0,IF(DATE($C109,9,15)&gt;=$X$86,$AA$86*(1+($U$86)/100)^MAX(0,$C109-$AD$86),IF(DATE($C109,9,15)&gt;=$W$86,$Z$86*(1+($U$86)/100)^MAX(0,$C109-$AC$86),IF(DATE($C109,9,15)&gt;=$V$86,$Y$86*(1+($U$86)/100)^MAX(0,$C109-$AB$86),0)))))</f>
      </c>
      <c r="N109" s="43">
        <f>IF($S$86=0,0,IF(OR(DATE($C109,10,15)&lt;$S$86,AND($T$86&gt;0,DATE($C109,10,15)&gt;$T$86)),0,IF(DATE($C109,10,15)&gt;=$X$86,$AA$86*(1+($U$86)/100)^MAX(0,$C109-$AD$86),IF(DATE($C109,10,15)&gt;=$W$86,$Z$86*(1+($U$86)/100)^MAX(0,$C109-$AC$86),IF(DATE($C109,10,15)&gt;=$V$86,$Y$86*(1+($U$86)/100)^MAX(0,$C109-$AB$86),0)))))</f>
      </c>
      <c r="O109" s="43">
        <f>IF($S$86=0,0,IF(OR(DATE($C109,11,15)&lt;$S$86,AND($T$86&gt;0,DATE($C109,11,15)&gt;$T$86)),0,IF(DATE($C109,11,15)&gt;=$X$86,$AA$86*(1+($U$86)/100)^MAX(0,$C109-$AD$86),IF(DATE($C109,11,15)&gt;=$W$86,$Z$86*(1+($U$86)/100)^MAX(0,$C109-$AC$86),IF(DATE($C109,11,15)&gt;=$V$86,$Y$86*(1+($U$86)/100)^MAX(0,$C109-$AB$86),0)))))</f>
      </c>
      <c r="P109" s="43">
        <f>IF($S$86=0,0,IF(OR(DATE($C109,12,15)&lt;$S$86,AND($T$86&gt;0,DATE($C109,12,15)&gt;$T$86)),0,IF(DATE($C109,12,15)&gt;=$X$86,$AA$86*(1+($U$86)/100)^MAX(0,$C109-$AD$86),IF(DATE($C109,12,15)&gt;=$W$86,$Z$86*(1+($U$86)/100)^MAX(0,$C109-$AC$86),IF(DATE($C109,12,15)&gt;=$V$86,$Y$86*(1+($U$86)/100)^MAX(0,$C109-$AB$86),0)))))</f>
      </c>
      <c r="Q109" s="43">
        <f>SUM($E109:$P109)</f>
      </c>
    </row>
    <row r="110">
      <c r="A110"/>
      <c r="B110">
        <v>3</v>
      </c>
      <c r="C110" s="43">
        <f>Jahr+24</f>
      </c>
      <c r="D110" s="43">
        <f>INDEX(MvObj,3)</f>
      </c>
      <c r="E110" s="43">
        <f>IF($S$86=0,0,IF(OR(DATE($C110,1,15)&lt;$S$86,AND($T$86&gt;0,DATE($C110,1,15)&gt;$T$86)),0,IF(DATE($C110,1,15)&gt;=$X$86,$AA$86*(1+($U$86)/100)^MAX(0,$C110-$AD$86),IF(DATE($C110,1,15)&gt;=$W$86,$Z$86*(1+($U$86)/100)^MAX(0,$C110-$AC$86),IF(DATE($C110,1,15)&gt;=$V$86,$Y$86*(1+($U$86)/100)^MAX(0,$C110-$AB$86),0)))))</f>
      </c>
      <c r="F110" s="43">
        <f>IF($S$86=0,0,IF(OR(DATE($C110,2,15)&lt;$S$86,AND($T$86&gt;0,DATE($C110,2,15)&gt;$T$86)),0,IF(DATE($C110,2,15)&gt;=$X$86,$AA$86*(1+($U$86)/100)^MAX(0,$C110-$AD$86),IF(DATE($C110,2,15)&gt;=$W$86,$Z$86*(1+($U$86)/100)^MAX(0,$C110-$AC$86),IF(DATE($C110,2,15)&gt;=$V$86,$Y$86*(1+($U$86)/100)^MAX(0,$C110-$AB$86),0)))))</f>
      </c>
      <c r="G110" s="43">
        <f>IF($S$86=0,0,IF(OR(DATE($C110,3,15)&lt;$S$86,AND($T$86&gt;0,DATE($C110,3,15)&gt;$T$86)),0,IF(DATE($C110,3,15)&gt;=$X$86,$AA$86*(1+($U$86)/100)^MAX(0,$C110-$AD$86),IF(DATE($C110,3,15)&gt;=$W$86,$Z$86*(1+($U$86)/100)^MAX(0,$C110-$AC$86),IF(DATE($C110,3,15)&gt;=$V$86,$Y$86*(1+($U$86)/100)^MAX(0,$C110-$AB$86),0)))))</f>
      </c>
      <c r="H110" s="43">
        <f>IF($S$86=0,0,IF(OR(DATE($C110,4,15)&lt;$S$86,AND($T$86&gt;0,DATE($C110,4,15)&gt;$T$86)),0,IF(DATE($C110,4,15)&gt;=$X$86,$AA$86*(1+($U$86)/100)^MAX(0,$C110-$AD$86),IF(DATE($C110,4,15)&gt;=$W$86,$Z$86*(1+($U$86)/100)^MAX(0,$C110-$AC$86),IF(DATE($C110,4,15)&gt;=$V$86,$Y$86*(1+($U$86)/100)^MAX(0,$C110-$AB$86),0)))))</f>
      </c>
      <c r="I110" s="43">
        <f>IF($S$86=0,0,IF(OR(DATE($C110,5,15)&lt;$S$86,AND($T$86&gt;0,DATE($C110,5,15)&gt;$T$86)),0,IF(DATE($C110,5,15)&gt;=$X$86,$AA$86*(1+($U$86)/100)^MAX(0,$C110-$AD$86),IF(DATE($C110,5,15)&gt;=$W$86,$Z$86*(1+($U$86)/100)^MAX(0,$C110-$AC$86),IF(DATE($C110,5,15)&gt;=$V$86,$Y$86*(1+($U$86)/100)^MAX(0,$C110-$AB$86),0)))))</f>
      </c>
      <c r="J110" s="43">
        <f>IF($S$86=0,0,IF(OR(DATE($C110,6,15)&lt;$S$86,AND($T$86&gt;0,DATE($C110,6,15)&gt;$T$86)),0,IF(DATE($C110,6,15)&gt;=$X$86,$AA$86*(1+($U$86)/100)^MAX(0,$C110-$AD$86),IF(DATE($C110,6,15)&gt;=$W$86,$Z$86*(1+($U$86)/100)^MAX(0,$C110-$AC$86),IF(DATE($C110,6,15)&gt;=$V$86,$Y$86*(1+($U$86)/100)^MAX(0,$C110-$AB$86),0)))))</f>
      </c>
      <c r="K110" s="43">
        <f>IF($S$86=0,0,IF(OR(DATE($C110,7,15)&lt;$S$86,AND($T$86&gt;0,DATE($C110,7,15)&gt;$T$86)),0,IF(DATE($C110,7,15)&gt;=$X$86,$AA$86*(1+($U$86)/100)^MAX(0,$C110-$AD$86),IF(DATE($C110,7,15)&gt;=$W$86,$Z$86*(1+($U$86)/100)^MAX(0,$C110-$AC$86),IF(DATE($C110,7,15)&gt;=$V$86,$Y$86*(1+($U$86)/100)^MAX(0,$C110-$AB$86),0)))))</f>
      </c>
      <c r="L110" s="43">
        <f>IF($S$86=0,0,IF(OR(DATE($C110,8,15)&lt;$S$86,AND($T$86&gt;0,DATE($C110,8,15)&gt;$T$86)),0,IF(DATE($C110,8,15)&gt;=$X$86,$AA$86*(1+($U$86)/100)^MAX(0,$C110-$AD$86),IF(DATE($C110,8,15)&gt;=$W$86,$Z$86*(1+($U$86)/100)^MAX(0,$C110-$AC$86),IF(DATE($C110,8,15)&gt;=$V$86,$Y$86*(1+($U$86)/100)^MAX(0,$C110-$AB$86),0)))))</f>
      </c>
      <c r="M110" s="43">
        <f>IF($S$86=0,0,IF(OR(DATE($C110,9,15)&lt;$S$86,AND($T$86&gt;0,DATE($C110,9,15)&gt;$T$86)),0,IF(DATE($C110,9,15)&gt;=$X$86,$AA$86*(1+($U$86)/100)^MAX(0,$C110-$AD$86),IF(DATE($C110,9,15)&gt;=$W$86,$Z$86*(1+($U$86)/100)^MAX(0,$C110-$AC$86),IF(DATE($C110,9,15)&gt;=$V$86,$Y$86*(1+($U$86)/100)^MAX(0,$C110-$AB$86),0)))))</f>
      </c>
      <c r="N110" s="43">
        <f>IF($S$86=0,0,IF(OR(DATE($C110,10,15)&lt;$S$86,AND($T$86&gt;0,DATE($C110,10,15)&gt;$T$86)),0,IF(DATE($C110,10,15)&gt;=$X$86,$AA$86*(1+($U$86)/100)^MAX(0,$C110-$AD$86),IF(DATE($C110,10,15)&gt;=$W$86,$Z$86*(1+($U$86)/100)^MAX(0,$C110-$AC$86),IF(DATE($C110,10,15)&gt;=$V$86,$Y$86*(1+($U$86)/100)^MAX(0,$C110-$AB$86),0)))))</f>
      </c>
      <c r="O110" s="43">
        <f>IF($S$86=0,0,IF(OR(DATE($C110,11,15)&lt;$S$86,AND($T$86&gt;0,DATE($C110,11,15)&gt;$T$86)),0,IF(DATE($C110,11,15)&gt;=$X$86,$AA$86*(1+($U$86)/100)^MAX(0,$C110-$AD$86),IF(DATE($C110,11,15)&gt;=$W$86,$Z$86*(1+($U$86)/100)^MAX(0,$C110-$AC$86),IF(DATE($C110,11,15)&gt;=$V$86,$Y$86*(1+($U$86)/100)^MAX(0,$C110-$AB$86),0)))))</f>
      </c>
      <c r="P110" s="43">
        <f>IF($S$86=0,0,IF(OR(DATE($C110,12,15)&lt;$S$86,AND($T$86&gt;0,DATE($C110,12,15)&gt;$T$86)),0,IF(DATE($C110,12,15)&gt;=$X$86,$AA$86*(1+($U$86)/100)^MAX(0,$C110-$AD$86),IF(DATE($C110,12,15)&gt;=$W$86,$Z$86*(1+($U$86)/100)^MAX(0,$C110-$AC$86),IF(DATE($C110,12,15)&gt;=$V$86,$Y$86*(1+($U$86)/100)^MAX(0,$C110-$AB$86),0)))))</f>
      </c>
      <c r="Q110" s="43">
        <f>SUM($E110:$P110)</f>
      </c>
    </row>
    <row r="111">
      <c r="A111"/>
      <c r="B111">
        <v>3</v>
      </c>
      <c r="C111" s="43">
        <f>Jahr+25</f>
      </c>
      <c r="D111" s="43">
        <f>INDEX(MvObj,3)</f>
      </c>
      <c r="E111" s="43">
        <f>IF($S$86=0,0,IF(OR(DATE($C111,1,15)&lt;$S$86,AND($T$86&gt;0,DATE($C111,1,15)&gt;$T$86)),0,IF(DATE($C111,1,15)&gt;=$X$86,$AA$86*(1+($U$86)/100)^MAX(0,$C111-$AD$86),IF(DATE($C111,1,15)&gt;=$W$86,$Z$86*(1+($U$86)/100)^MAX(0,$C111-$AC$86),IF(DATE($C111,1,15)&gt;=$V$86,$Y$86*(1+($U$86)/100)^MAX(0,$C111-$AB$86),0)))))</f>
      </c>
      <c r="F111" s="43">
        <f>IF($S$86=0,0,IF(OR(DATE($C111,2,15)&lt;$S$86,AND($T$86&gt;0,DATE($C111,2,15)&gt;$T$86)),0,IF(DATE($C111,2,15)&gt;=$X$86,$AA$86*(1+($U$86)/100)^MAX(0,$C111-$AD$86),IF(DATE($C111,2,15)&gt;=$W$86,$Z$86*(1+($U$86)/100)^MAX(0,$C111-$AC$86),IF(DATE($C111,2,15)&gt;=$V$86,$Y$86*(1+($U$86)/100)^MAX(0,$C111-$AB$86),0)))))</f>
      </c>
      <c r="G111" s="43">
        <f>IF($S$86=0,0,IF(OR(DATE($C111,3,15)&lt;$S$86,AND($T$86&gt;0,DATE($C111,3,15)&gt;$T$86)),0,IF(DATE($C111,3,15)&gt;=$X$86,$AA$86*(1+($U$86)/100)^MAX(0,$C111-$AD$86),IF(DATE($C111,3,15)&gt;=$W$86,$Z$86*(1+($U$86)/100)^MAX(0,$C111-$AC$86),IF(DATE($C111,3,15)&gt;=$V$86,$Y$86*(1+($U$86)/100)^MAX(0,$C111-$AB$86),0)))))</f>
      </c>
      <c r="H111" s="43">
        <f>IF($S$86=0,0,IF(OR(DATE($C111,4,15)&lt;$S$86,AND($T$86&gt;0,DATE($C111,4,15)&gt;$T$86)),0,IF(DATE($C111,4,15)&gt;=$X$86,$AA$86*(1+($U$86)/100)^MAX(0,$C111-$AD$86),IF(DATE($C111,4,15)&gt;=$W$86,$Z$86*(1+($U$86)/100)^MAX(0,$C111-$AC$86),IF(DATE($C111,4,15)&gt;=$V$86,$Y$86*(1+($U$86)/100)^MAX(0,$C111-$AB$86),0)))))</f>
      </c>
      <c r="I111" s="43">
        <f>IF($S$86=0,0,IF(OR(DATE($C111,5,15)&lt;$S$86,AND($T$86&gt;0,DATE($C111,5,15)&gt;$T$86)),0,IF(DATE($C111,5,15)&gt;=$X$86,$AA$86*(1+($U$86)/100)^MAX(0,$C111-$AD$86),IF(DATE($C111,5,15)&gt;=$W$86,$Z$86*(1+($U$86)/100)^MAX(0,$C111-$AC$86),IF(DATE($C111,5,15)&gt;=$V$86,$Y$86*(1+($U$86)/100)^MAX(0,$C111-$AB$86),0)))))</f>
      </c>
      <c r="J111" s="43">
        <f>IF($S$86=0,0,IF(OR(DATE($C111,6,15)&lt;$S$86,AND($T$86&gt;0,DATE($C111,6,15)&gt;$T$86)),0,IF(DATE($C111,6,15)&gt;=$X$86,$AA$86*(1+($U$86)/100)^MAX(0,$C111-$AD$86),IF(DATE($C111,6,15)&gt;=$W$86,$Z$86*(1+($U$86)/100)^MAX(0,$C111-$AC$86),IF(DATE($C111,6,15)&gt;=$V$86,$Y$86*(1+($U$86)/100)^MAX(0,$C111-$AB$86),0)))))</f>
      </c>
      <c r="K111" s="43">
        <f>IF($S$86=0,0,IF(OR(DATE($C111,7,15)&lt;$S$86,AND($T$86&gt;0,DATE($C111,7,15)&gt;$T$86)),0,IF(DATE($C111,7,15)&gt;=$X$86,$AA$86*(1+($U$86)/100)^MAX(0,$C111-$AD$86),IF(DATE($C111,7,15)&gt;=$W$86,$Z$86*(1+($U$86)/100)^MAX(0,$C111-$AC$86),IF(DATE($C111,7,15)&gt;=$V$86,$Y$86*(1+($U$86)/100)^MAX(0,$C111-$AB$86),0)))))</f>
      </c>
      <c r="L111" s="43">
        <f>IF($S$86=0,0,IF(OR(DATE($C111,8,15)&lt;$S$86,AND($T$86&gt;0,DATE($C111,8,15)&gt;$T$86)),0,IF(DATE($C111,8,15)&gt;=$X$86,$AA$86*(1+($U$86)/100)^MAX(0,$C111-$AD$86),IF(DATE($C111,8,15)&gt;=$W$86,$Z$86*(1+($U$86)/100)^MAX(0,$C111-$AC$86),IF(DATE($C111,8,15)&gt;=$V$86,$Y$86*(1+($U$86)/100)^MAX(0,$C111-$AB$86),0)))))</f>
      </c>
      <c r="M111" s="43">
        <f>IF($S$86=0,0,IF(OR(DATE($C111,9,15)&lt;$S$86,AND($T$86&gt;0,DATE($C111,9,15)&gt;$T$86)),0,IF(DATE($C111,9,15)&gt;=$X$86,$AA$86*(1+($U$86)/100)^MAX(0,$C111-$AD$86),IF(DATE($C111,9,15)&gt;=$W$86,$Z$86*(1+($U$86)/100)^MAX(0,$C111-$AC$86),IF(DATE($C111,9,15)&gt;=$V$86,$Y$86*(1+($U$86)/100)^MAX(0,$C111-$AB$86),0)))))</f>
      </c>
      <c r="N111" s="43">
        <f>IF($S$86=0,0,IF(OR(DATE($C111,10,15)&lt;$S$86,AND($T$86&gt;0,DATE($C111,10,15)&gt;$T$86)),0,IF(DATE($C111,10,15)&gt;=$X$86,$AA$86*(1+($U$86)/100)^MAX(0,$C111-$AD$86),IF(DATE($C111,10,15)&gt;=$W$86,$Z$86*(1+($U$86)/100)^MAX(0,$C111-$AC$86),IF(DATE($C111,10,15)&gt;=$V$86,$Y$86*(1+($U$86)/100)^MAX(0,$C111-$AB$86),0)))))</f>
      </c>
      <c r="O111" s="43">
        <f>IF($S$86=0,0,IF(OR(DATE($C111,11,15)&lt;$S$86,AND($T$86&gt;0,DATE($C111,11,15)&gt;$T$86)),0,IF(DATE($C111,11,15)&gt;=$X$86,$AA$86*(1+($U$86)/100)^MAX(0,$C111-$AD$86),IF(DATE($C111,11,15)&gt;=$W$86,$Z$86*(1+($U$86)/100)^MAX(0,$C111-$AC$86),IF(DATE($C111,11,15)&gt;=$V$86,$Y$86*(1+($U$86)/100)^MAX(0,$C111-$AB$86),0)))))</f>
      </c>
      <c r="P111" s="43">
        <f>IF($S$86=0,0,IF(OR(DATE($C111,12,15)&lt;$S$86,AND($T$86&gt;0,DATE($C111,12,15)&gt;$T$86)),0,IF(DATE($C111,12,15)&gt;=$X$86,$AA$86*(1+($U$86)/100)^MAX(0,$C111-$AD$86),IF(DATE($C111,12,15)&gt;=$W$86,$Z$86*(1+($U$86)/100)^MAX(0,$C111-$AC$86),IF(DATE($C111,12,15)&gt;=$V$86,$Y$86*(1+($U$86)/100)^MAX(0,$C111-$AB$86),0)))))</f>
      </c>
      <c r="Q111" s="43">
        <f>SUM($E111:$P111)</f>
      </c>
    </row>
    <row r="112">
      <c r="A112"/>
      <c r="B112">
        <v>3</v>
      </c>
      <c r="C112" s="43">
        <f>Jahr+26</f>
      </c>
      <c r="D112" s="43">
        <f>INDEX(MvObj,3)</f>
      </c>
      <c r="E112" s="43">
        <f>IF($S$86=0,0,IF(OR(DATE($C112,1,15)&lt;$S$86,AND($T$86&gt;0,DATE($C112,1,15)&gt;$T$86)),0,IF(DATE($C112,1,15)&gt;=$X$86,$AA$86*(1+($U$86)/100)^MAX(0,$C112-$AD$86),IF(DATE($C112,1,15)&gt;=$W$86,$Z$86*(1+($U$86)/100)^MAX(0,$C112-$AC$86),IF(DATE($C112,1,15)&gt;=$V$86,$Y$86*(1+($U$86)/100)^MAX(0,$C112-$AB$86),0)))))</f>
      </c>
      <c r="F112" s="43">
        <f>IF($S$86=0,0,IF(OR(DATE($C112,2,15)&lt;$S$86,AND($T$86&gt;0,DATE($C112,2,15)&gt;$T$86)),0,IF(DATE($C112,2,15)&gt;=$X$86,$AA$86*(1+($U$86)/100)^MAX(0,$C112-$AD$86),IF(DATE($C112,2,15)&gt;=$W$86,$Z$86*(1+($U$86)/100)^MAX(0,$C112-$AC$86),IF(DATE($C112,2,15)&gt;=$V$86,$Y$86*(1+($U$86)/100)^MAX(0,$C112-$AB$86),0)))))</f>
      </c>
      <c r="G112" s="43">
        <f>IF($S$86=0,0,IF(OR(DATE($C112,3,15)&lt;$S$86,AND($T$86&gt;0,DATE($C112,3,15)&gt;$T$86)),0,IF(DATE($C112,3,15)&gt;=$X$86,$AA$86*(1+($U$86)/100)^MAX(0,$C112-$AD$86),IF(DATE($C112,3,15)&gt;=$W$86,$Z$86*(1+($U$86)/100)^MAX(0,$C112-$AC$86),IF(DATE($C112,3,15)&gt;=$V$86,$Y$86*(1+($U$86)/100)^MAX(0,$C112-$AB$86),0)))))</f>
      </c>
      <c r="H112" s="43">
        <f>IF($S$86=0,0,IF(OR(DATE($C112,4,15)&lt;$S$86,AND($T$86&gt;0,DATE($C112,4,15)&gt;$T$86)),0,IF(DATE($C112,4,15)&gt;=$X$86,$AA$86*(1+($U$86)/100)^MAX(0,$C112-$AD$86),IF(DATE($C112,4,15)&gt;=$W$86,$Z$86*(1+($U$86)/100)^MAX(0,$C112-$AC$86),IF(DATE($C112,4,15)&gt;=$V$86,$Y$86*(1+($U$86)/100)^MAX(0,$C112-$AB$86),0)))))</f>
      </c>
      <c r="I112" s="43">
        <f>IF($S$86=0,0,IF(OR(DATE($C112,5,15)&lt;$S$86,AND($T$86&gt;0,DATE($C112,5,15)&gt;$T$86)),0,IF(DATE($C112,5,15)&gt;=$X$86,$AA$86*(1+($U$86)/100)^MAX(0,$C112-$AD$86),IF(DATE($C112,5,15)&gt;=$W$86,$Z$86*(1+($U$86)/100)^MAX(0,$C112-$AC$86),IF(DATE($C112,5,15)&gt;=$V$86,$Y$86*(1+($U$86)/100)^MAX(0,$C112-$AB$86),0)))))</f>
      </c>
      <c r="J112" s="43">
        <f>IF($S$86=0,0,IF(OR(DATE($C112,6,15)&lt;$S$86,AND($T$86&gt;0,DATE($C112,6,15)&gt;$T$86)),0,IF(DATE($C112,6,15)&gt;=$X$86,$AA$86*(1+($U$86)/100)^MAX(0,$C112-$AD$86),IF(DATE($C112,6,15)&gt;=$W$86,$Z$86*(1+($U$86)/100)^MAX(0,$C112-$AC$86),IF(DATE($C112,6,15)&gt;=$V$86,$Y$86*(1+($U$86)/100)^MAX(0,$C112-$AB$86),0)))))</f>
      </c>
      <c r="K112" s="43">
        <f>IF($S$86=0,0,IF(OR(DATE($C112,7,15)&lt;$S$86,AND($T$86&gt;0,DATE($C112,7,15)&gt;$T$86)),0,IF(DATE($C112,7,15)&gt;=$X$86,$AA$86*(1+($U$86)/100)^MAX(0,$C112-$AD$86),IF(DATE($C112,7,15)&gt;=$W$86,$Z$86*(1+($U$86)/100)^MAX(0,$C112-$AC$86),IF(DATE($C112,7,15)&gt;=$V$86,$Y$86*(1+($U$86)/100)^MAX(0,$C112-$AB$86),0)))))</f>
      </c>
      <c r="L112" s="43">
        <f>IF($S$86=0,0,IF(OR(DATE($C112,8,15)&lt;$S$86,AND($T$86&gt;0,DATE($C112,8,15)&gt;$T$86)),0,IF(DATE($C112,8,15)&gt;=$X$86,$AA$86*(1+($U$86)/100)^MAX(0,$C112-$AD$86),IF(DATE($C112,8,15)&gt;=$W$86,$Z$86*(1+($U$86)/100)^MAX(0,$C112-$AC$86),IF(DATE($C112,8,15)&gt;=$V$86,$Y$86*(1+($U$86)/100)^MAX(0,$C112-$AB$86),0)))))</f>
      </c>
      <c r="M112" s="43">
        <f>IF($S$86=0,0,IF(OR(DATE($C112,9,15)&lt;$S$86,AND($T$86&gt;0,DATE($C112,9,15)&gt;$T$86)),0,IF(DATE($C112,9,15)&gt;=$X$86,$AA$86*(1+($U$86)/100)^MAX(0,$C112-$AD$86),IF(DATE($C112,9,15)&gt;=$W$86,$Z$86*(1+($U$86)/100)^MAX(0,$C112-$AC$86),IF(DATE($C112,9,15)&gt;=$V$86,$Y$86*(1+($U$86)/100)^MAX(0,$C112-$AB$86),0)))))</f>
      </c>
      <c r="N112" s="43">
        <f>IF($S$86=0,0,IF(OR(DATE($C112,10,15)&lt;$S$86,AND($T$86&gt;0,DATE($C112,10,15)&gt;$T$86)),0,IF(DATE($C112,10,15)&gt;=$X$86,$AA$86*(1+($U$86)/100)^MAX(0,$C112-$AD$86),IF(DATE($C112,10,15)&gt;=$W$86,$Z$86*(1+($U$86)/100)^MAX(0,$C112-$AC$86),IF(DATE($C112,10,15)&gt;=$V$86,$Y$86*(1+($U$86)/100)^MAX(0,$C112-$AB$86),0)))))</f>
      </c>
      <c r="O112" s="43">
        <f>IF($S$86=0,0,IF(OR(DATE($C112,11,15)&lt;$S$86,AND($T$86&gt;0,DATE($C112,11,15)&gt;$T$86)),0,IF(DATE($C112,11,15)&gt;=$X$86,$AA$86*(1+($U$86)/100)^MAX(0,$C112-$AD$86),IF(DATE($C112,11,15)&gt;=$W$86,$Z$86*(1+($U$86)/100)^MAX(0,$C112-$AC$86),IF(DATE($C112,11,15)&gt;=$V$86,$Y$86*(1+($U$86)/100)^MAX(0,$C112-$AB$86),0)))))</f>
      </c>
      <c r="P112" s="43">
        <f>IF($S$86=0,0,IF(OR(DATE($C112,12,15)&lt;$S$86,AND($T$86&gt;0,DATE($C112,12,15)&gt;$T$86)),0,IF(DATE($C112,12,15)&gt;=$X$86,$AA$86*(1+($U$86)/100)^MAX(0,$C112-$AD$86),IF(DATE($C112,12,15)&gt;=$W$86,$Z$86*(1+($U$86)/100)^MAX(0,$C112-$AC$86),IF(DATE($C112,12,15)&gt;=$V$86,$Y$86*(1+($U$86)/100)^MAX(0,$C112-$AB$86),0)))))</f>
      </c>
      <c r="Q112" s="43">
        <f>SUM($E112:$P112)</f>
      </c>
    </row>
    <row r="113">
      <c r="A113"/>
      <c r="B113">
        <v>3</v>
      </c>
      <c r="C113" s="43">
        <f>Jahr+27</f>
      </c>
      <c r="D113" s="43">
        <f>INDEX(MvObj,3)</f>
      </c>
      <c r="E113" s="43">
        <f>IF($S$86=0,0,IF(OR(DATE($C113,1,15)&lt;$S$86,AND($T$86&gt;0,DATE($C113,1,15)&gt;$T$86)),0,IF(DATE($C113,1,15)&gt;=$X$86,$AA$86*(1+($U$86)/100)^MAX(0,$C113-$AD$86),IF(DATE($C113,1,15)&gt;=$W$86,$Z$86*(1+($U$86)/100)^MAX(0,$C113-$AC$86),IF(DATE($C113,1,15)&gt;=$V$86,$Y$86*(1+($U$86)/100)^MAX(0,$C113-$AB$86),0)))))</f>
      </c>
      <c r="F113" s="43">
        <f>IF($S$86=0,0,IF(OR(DATE($C113,2,15)&lt;$S$86,AND($T$86&gt;0,DATE($C113,2,15)&gt;$T$86)),0,IF(DATE($C113,2,15)&gt;=$X$86,$AA$86*(1+($U$86)/100)^MAX(0,$C113-$AD$86),IF(DATE($C113,2,15)&gt;=$W$86,$Z$86*(1+($U$86)/100)^MAX(0,$C113-$AC$86),IF(DATE($C113,2,15)&gt;=$V$86,$Y$86*(1+($U$86)/100)^MAX(0,$C113-$AB$86),0)))))</f>
      </c>
      <c r="G113" s="43">
        <f>IF($S$86=0,0,IF(OR(DATE($C113,3,15)&lt;$S$86,AND($T$86&gt;0,DATE($C113,3,15)&gt;$T$86)),0,IF(DATE($C113,3,15)&gt;=$X$86,$AA$86*(1+($U$86)/100)^MAX(0,$C113-$AD$86),IF(DATE($C113,3,15)&gt;=$W$86,$Z$86*(1+($U$86)/100)^MAX(0,$C113-$AC$86),IF(DATE($C113,3,15)&gt;=$V$86,$Y$86*(1+($U$86)/100)^MAX(0,$C113-$AB$86),0)))))</f>
      </c>
      <c r="H113" s="43">
        <f>IF($S$86=0,0,IF(OR(DATE($C113,4,15)&lt;$S$86,AND($T$86&gt;0,DATE($C113,4,15)&gt;$T$86)),0,IF(DATE($C113,4,15)&gt;=$X$86,$AA$86*(1+($U$86)/100)^MAX(0,$C113-$AD$86),IF(DATE($C113,4,15)&gt;=$W$86,$Z$86*(1+($U$86)/100)^MAX(0,$C113-$AC$86),IF(DATE($C113,4,15)&gt;=$V$86,$Y$86*(1+($U$86)/100)^MAX(0,$C113-$AB$86),0)))))</f>
      </c>
      <c r="I113" s="43">
        <f>IF($S$86=0,0,IF(OR(DATE($C113,5,15)&lt;$S$86,AND($T$86&gt;0,DATE($C113,5,15)&gt;$T$86)),0,IF(DATE($C113,5,15)&gt;=$X$86,$AA$86*(1+($U$86)/100)^MAX(0,$C113-$AD$86),IF(DATE($C113,5,15)&gt;=$W$86,$Z$86*(1+($U$86)/100)^MAX(0,$C113-$AC$86),IF(DATE($C113,5,15)&gt;=$V$86,$Y$86*(1+($U$86)/100)^MAX(0,$C113-$AB$86),0)))))</f>
      </c>
      <c r="J113" s="43">
        <f>IF($S$86=0,0,IF(OR(DATE($C113,6,15)&lt;$S$86,AND($T$86&gt;0,DATE($C113,6,15)&gt;$T$86)),0,IF(DATE($C113,6,15)&gt;=$X$86,$AA$86*(1+($U$86)/100)^MAX(0,$C113-$AD$86),IF(DATE($C113,6,15)&gt;=$W$86,$Z$86*(1+($U$86)/100)^MAX(0,$C113-$AC$86),IF(DATE($C113,6,15)&gt;=$V$86,$Y$86*(1+($U$86)/100)^MAX(0,$C113-$AB$86),0)))))</f>
      </c>
      <c r="K113" s="43">
        <f>IF($S$86=0,0,IF(OR(DATE($C113,7,15)&lt;$S$86,AND($T$86&gt;0,DATE($C113,7,15)&gt;$T$86)),0,IF(DATE($C113,7,15)&gt;=$X$86,$AA$86*(1+($U$86)/100)^MAX(0,$C113-$AD$86),IF(DATE($C113,7,15)&gt;=$W$86,$Z$86*(1+($U$86)/100)^MAX(0,$C113-$AC$86),IF(DATE($C113,7,15)&gt;=$V$86,$Y$86*(1+($U$86)/100)^MAX(0,$C113-$AB$86),0)))))</f>
      </c>
      <c r="L113" s="43">
        <f>IF($S$86=0,0,IF(OR(DATE($C113,8,15)&lt;$S$86,AND($T$86&gt;0,DATE($C113,8,15)&gt;$T$86)),0,IF(DATE($C113,8,15)&gt;=$X$86,$AA$86*(1+($U$86)/100)^MAX(0,$C113-$AD$86),IF(DATE($C113,8,15)&gt;=$W$86,$Z$86*(1+($U$86)/100)^MAX(0,$C113-$AC$86),IF(DATE($C113,8,15)&gt;=$V$86,$Y$86*(1+($U$86)/100)^MAX(0,$C113-$AB$86),0)))))</f>
      </c>
      <c r="M113" s="43">
        <f>IF($S$86=0,0,IF(OR(DATE($C113,9,15)&lt;$S$86,AND($T$86&gt;0,DATE($C113,9,15)&gt;$T$86)),0,IF(DATE($C113,9,15)&gt;=$X$86,$AA$86*(1+($U$86)/100)^MAX(0,$C113-$AD$86),IF(DATE($C113,9,15)&gt;=$W$86,$Z$86*(1+($U$86)/100)^MAX(0,$C113-$AC$86),IF(DATE($C113,9,15)&gt;=$V$86,$Y$86*(1+($U$86)/100)^MAX(0,$C113-$AB$86),0)))))</f>
      </c>
      <c r="N113" s="43">
        <f>IF($S$86=0,0,IF(OR(DATE($C113,10,15)&lt;$S$86,AND($T$86&gt;0,DATE($C113,10,15)&gt;$T$86)),0,IF(DATE($C113,10,15)&gt;=$X$86,$AA$86*(1+($U$86)/100)^MAX(0,$C113-$AD$86),IF(DATE($C113,10,15)&gt;=$W$86,$Z$86*(1+($U$86)/100)^MAX(0,$C113-$AC$86),IF(DATE($C113,10,15)&gt;=$V$86,$Y$86*(1+($U$86)/100)^MAX(0,$C113-$AB$86),0)))))</f>
      </c>
      <c r="O113" s="43">
        <f>IF($S$86=0,0,IF(OR(DATE($C113,11,15)&lt;$S$86,AND($T$86&gt;0,DATE($C113,11,15)&gt;$T$86)),0,IF(DATE($C113,11,15)&gt;=$X$86,$AA$86*(1+($U$86)/100)^MAX(0,$C113-$AD$86),IF(DATE($C113,11,15)&gt;=$W$86,$Z$86*(1+($U$86)/100)^MAX(0,$C113-$AC$86),IF(DATE($C113,11,15)&gt;=$V$86,$Y$86*(1+($U$86)/100)^MAX(0,$C113-$AB$86),0)))))</f>
      </c>
      <c r="P113" s="43">
        <f>IF($S$86=0,0,IF(OR(DATE($C113,12,15)&lt;$S$86,AND($T$86&gt;0,DATE($C113,12,15)&gt;$T$86)),0,IF(DATE($C113,12,15)&gt;=$X$86,$AA$86*(1+($U$86)/100)^MAX(0,$C113-$AD$86),IF(DATE($C113,12,15)&gt;=$W$86,$Z$86*(1+($U$86)/100)^MAX(0,$C113-$AC$86),IF(DATE($C113,12,15)&gt;=$V$86,$Y$86*(1+($U$86)/100)^MAX(0,$C113-$AB$86),0)))))</f>
      </c>
      <c r="Q113" s="43">
        <f>SUM($E113:$P113)</f>
      </c>
    </row>
    <row r="114">
      <c r="A114"/>
      <c r="B114">
        <v>3</v>
      </c>
      <c r="C114" s="43">
        <f>Jahr+28</f>
      </c>
      <c r="D114" s="43">
        <f>INDEX(MvObj,3)</f>
      </c>
      <c r="E114" s="43">
        <f>IF($S$86=0,0,IF(OR(DATE($C114,1,15)&lt;$S$86,AND($T$86&gt;0,DATE($C114,1,15)&gt;$T$86)),0,IF(DATE($C114,1,15)&gt;=$X$86,$AA$86*(1+($U$86)/100)^MAX(0,$C114-$AD$86),IF(DATE($C114,1,15)&gt;=$W$86,$Z$86*(1+($U$86)/100)^MAX(0,$C114-$AC$86),IF(DATE($C114,1,15)&gt;=$V$86,$Y$86*(1+($U$86)/100)^MAX(0,$C114-$AB$86),0)))))</f>
      </c>
      <c r="F114" s="43">
        <f>IF($S$86=0,0,IF(OR(DATE($C114,2,15)&lt;$S$86,AND($T$86&gt;0,DATE($C114,2,15)&gt;$T$86)),0,IF(DATE($C114,2,15)&gt;=$X$86,$AA$86*(1+($U$86)/100)^MAX(0,$C114-$AD$86),IF(DATE($C114,2,15)&gt;=$W$86,$Z$86*(1+($U$86)/100)^MAX(0,$C114-$AC$86),IF(DATE($C114,2,15)&gt;=$V$86,$Y$86*(1+($U$86)/100)^MAX(0,$C114-$AB$86),0)))))</f>
      </c>
      <c r="G114" s="43">
        <f>IF($S$86=0,0,IF(OR(DATE($C114,3,15)&lt;$S$86,AND($T$86&gt;0,DATE($C114,3,15)&gt;$T$86)),0,IF(DATE($C114,3,15)&gt;=$X$86,$AA$86*(1+($U$86)/100)^MAX(0,$C114-$AD$86),IF(DATE($C114,3,15)&gt;=$W$86,$Z$86*(1+($U$86)/100)^MAX(0,$C114-$AC$86),IF(DATE($C114,3,15)&gt;=$V$86,$Y$86*(1+($U$86)/100)^MAX(0,$C114-$AB$86),0)))))</f>
      </c>
      <c r="H114" s="43">
        <f>IF($S$86=0,0,IF(OR(DATE($C114,4,15)&lt;$S$86,AND($T$86&gt;0,DATE($C114,4,15)&gt;$T$86)),0,IF(DATE($C114,4,15)&gt;=$X$86,$AA$86*(1+($U$86)/100)^MAX(0,$C114-$AD$86),IF(DATE($C114,4,15)&gt;=$W$86,$Z$86*(1+($U$86)/100)^MAX(0,$C114-$AC$86),IF(DATE($C114,4,15)&gt;=$V$86,$Y$86*(1+($U$86)/100)^MAX(0,$C114-$AB$86),0)))))</f>
      </c>
      <c r="I114" s="43">
        <f>IF($S$86=0,0,IF(OR(DATE($C114,5,15)&lt;$S$86,AND($T$86&gt;0,DATE($C114,5,15)&gt;$T$86)),0,IF(DATE($C114,5,15)&gt;=$X$86,$AA$86*(1+($U$86)/100)^MAX(0,$C114-$AD$86),IF(DATE($C114,5,15)&gt;=$W$86,$Z$86*(1+($U$86)/100)^MAX(0,$C114-$AC$86),IF(DATE($C114,5,15)&gt;=$V$86,$Y$86*(1+($U$86)/100)^MAX(0,$C114-$AB$86),0)))))</f>
      </c>
      <c r="J114" s="43">
        <f>IF($S$86=0,0,IF(OR(DATE($C114,6,15)&lt;$S$86,AND($T$86&gt;0,DATE($C114,6,15)&gt;$T$86)),0,IF(DATE($C114,6,15)&gt;=$X$86,$AA$86*(1+($U$86)/100)^MAX(0,$C114-$AD$86),IF(DATE($C114,6,15)&gt;=$W$86,$Z$86*(1+($U$86)/100)^MAX(0,$C114-$AC$86),IF(DATE($C114,6,15)&gt;=$V$86,$Y$86*(1+($U$86)/100)^MAX(0,$C114-$AB$86),0)))))</f>
      </c>
      <c r="K114" s="43">
        <f>IF($S$86=0,0,IF(OR(DATE($C114,7,15)&lt;$S$86,AND($T$86&gt;0,DATE($C114,7,15)&gt;$T$86)),0,IF(DATE($C114,7,15)&gt;=$X$86,$AA$86*(1+($U$86)/100)^MAX(0,$C114-$AD$86),IF(DATE($C114,7,15)&gt;=$W$86,$Z$86*(1+($U$86)/100)^MAX(0,$C114-$AC$86),IF(DATE($C114,7,15)&gt;=$V$86,$Y$86*(1+($U$86)/100)^MAX(0,$C114-$AB$86),0)))))</f>
      </c>
      <c r="L114" s="43">
        <f>IF($S$86=0,0,IF(OR(DATE($C114,8,15)&lt;$S$86,AND($T$86&gt;0,DATE($C114,8,15)&gt;$T$86)),0,IF(DATE($C114,8,15)&gt;=$X$86,$AA$86*(1+($U$86)/100)^MAX(0,$C114-$AD$86),IF(DATE($C114,8,15)&gt;=$W$86,$Z$86*(1+($U$86)/100)^MAX(0,$C114-$AC$86),IF(DATE($C114,8,15)&gt;=$V$86,$Y$86*(1+($U$86)/100)^MAX(0,$C114-$AB$86),0)))))</f>
      </c>
      <c r="M114" s="43">
        <f>IF($S$86=0,0,IF(OR(DATE($C114,9,15)&lt;$S$86,AND($T$86&gt;0,DATE($C114,9,15)&gt;$T$86)),0,IF(DATE($C114,9,15)&gt;=$X$86,$AA$86*(1+($U$86)/100)^MAX(0,$C114-$AD$86),IF(DATE($C114,9,15)&gt;=$W$86,$Z$86*(1+($U$86)/100)^MAX(0,$C114-$AC$86),IF(DATE($C114,9,15)&gt;=$V$86,$Y$86*(1+($U$86)/100)^MAX(0,$C114-$AB$86),0)))))</f>
      </c>
      <c r="N114" s="43">
        <f>IF($S$86=0,0,IF(OR(DATE($C114,10,15)&lt;$S$86,AND($T$86&gt;0,DATE($C114,10,15)&gt;$T$86)),0,IF(DATE($C114,10,15)&gt;=$X$86,$AA$86*(1+($U$86)/100)^MAX(0,$C114-$AD$86),IF(DATE($C114,10,15)&gt;=$W$86,$Z$86*(1+($U$86)/100)^MAX(0,$C114-$AC$86),IF(DATE($C114,10,15)&gt;=$V$86,$Y$86*(1+($U$86)/100)^MAX(0,$C114-$AB$86),0)))))</f>
      </c>
      <c r="O114" s="43">
        <f>IF($S$86=0,0,IF(OR(DATE($C114,11,15)&lt;$S$86,AND($T$86&gt;0,DATE($C114,11,15)&gt;$T$86)),0,IF(DATE($C114,11,15)&gt;=$X$86,$AA$86*(1+($U$86)/100)^MAX(0,$C114-$AD$86),IF(DATE($C114,11,15)&gt;=$W$86,$Z$86*(1+($U$86)/100)^MAX(0,$C114-$AC$86),IF(DATE($C114,11,15)&gt;=$V$86,$Y$86*(1+($U$86)/100)^MAX(0,$C114-$AB$86),0)))))</f>
      </c>
      <c r="P114" s="43">
        <f>IF($S$86=0,0,IF(OR(DATE($C114,12,15)&lt;$S$86,AND($T$86&gt;0,DATE($C114,12,15)&gt;$T$86)),0,IF(DATE($C114,12,15)&gt;=$X$86,$AA$86*(1+($U$86)/100)^MAX(0,$C114-$AD$86),IF(DATE($C114,12,15)&gt;=$W$86,$Z$86*(1+($U$86)/100)^MAX(0,$C114-$AC$86),IF(DATE($C114,12,15)&gt;=$V$86,$Y$86*(1+($U$86)/100)^MAX(0,$C114-$AB$86),0)))))</f>
      </c>
      <c r="Q114" s="43">
        <f>SUM($E114:$P114)</f>
      </c>
    </row>
    <row r="115">
      <c r="A115"/>
      <c r="B115">
        <v>3</v>
      </c>
      <c r="C115" s="43">
        <f>Jahr+29</f>
      </c>
      <c r="D115" s="43">
        <f>INDEX(MvObj,3)</f>
      </c>
      <c r="E115" s="43">
        <f>IF($S$86=0,0,IF(OR(DATE($C115,1,15)&lt;$S$86,AND($T$86&gt;0,DATE($C115,1,15)&gt;$T$86)),0,IF(DATE($C115,1,15)&gt;=$X$86,$AA$86*(1+($U$86)/100)^MAX(0,$C115-$AD$86),IF(DATE($C115,1,15)&gt;=$W$86,$Z$86*(1+($U$86)/100)^MAX(0,$C115-$AC$86),IF(DATE($C115,1,15)&gt;=$V$86,$Y$86*(1+($U$86)/100)^MAX(0,$C115-$AB$86),0)))))</f>
      </c>
      <c r="F115" s="43">
        <f>IF($S$86=0,0,IF(OR(DATE($C115,2,15)&lt;$S$86,AND($T$86&gt;0,DATE($C115,2,15)&gt;$T$86)),0,IF(DATE($C115,2,15)&gt;=$X$86,$AA$86*(1+($U$86)/100)^MAX(0,$C115-$AD$86),IF(DATE($C115,2,15)&gt;=$W$86,$Z$86*(1+($U$86)/100)^MAX(0,$C115-$AC$86),IF(DATE($C115,2,15)&gt;=$V$86,$Y$86*(1+($U$86)/100)^MAX(0,$C115-$AB$86),0)))))</f>
      </c>
      <c r="G115" s="43">
        <f>IF($S$86=0,0,IF(OR(DATE($C115,3,15)&lt;$S$86,AND($T$86&gt;0,DATE($C115,3,15)&gt;$T$86)),0,IF(DATE($C115,3,15)&gt;=$X$86,$AA$86*(1+($U$86)/100)^MAX(0,$C115-$AD$86),IF(DATE($C115,3,15)&gt;=$W$86,$Z$86*(1+($U$86)/100)^MAX(0,$C115-$AC$86),IF(DATE($C115,3,15)&gt;=$V$86,$Y$86*(1+($U$86)/100)^MAX(0,$C115-$AB$86),0)))))</f>
      </c>
      <c r="H115" s="43">
        <f>IF($S$86=0,0,IF(OR(DATE($C115,4,15)&lt;$S$86,AND($T$86&gt;0,DATE($C115,4,15)&gt;$T$86)),0,IF(DATE($C115,4,15)&gt;=$X$86,$AA$86*(1+($U$86)/100)^MAX(0,$C115-$AD$86),IF(DATE($C115,4,15)&gt;=$W$86,$Z$86*(1+($U$86)/100)^MAX(0,$C115-$AC$86),IF(DATE($C115,4,15)&gt;=$V$86,$Y$86*(1+($U$86)/100)^MAX(0,$C115-$AB$86),0)))))</f>
      </c>
      <c r="I115" s="43">
        <f>IF($S$86=0,0,IF(OR(DATE($C115,5,15)&lt;$S$86,AND($T$86&gt;0,DATE($C115,5,15)&gt;$T$86)),0,IF(DATE($C115,5,15)&gt;=$X$86,$AA$86*(1+($U$86)/100)^MAX(0,$C115-$AD$86),IF(DATE($C115,5,15)&gt;=$W$86,$Z$86*(1+($U$86)/100)^MAX(0,$C115-$AC$86),IF(DATE($C115,5,15)&gt;=$V$86,$Y$86*(1+($U$86)/100)^MAX(0,$C115-$AB$86),0)))))</f>
      </c>
      <c r="J115" s="43">
        <f>IF($S$86=0,0,IF(OR(DATE($C115,6,15)&lt;$S$86,AND($T$86&gt;0,DATE($C115,6,15)&gt;$T$86)),0,IF(DATE($C115,6,15)&gt;=$X$86,$AA$86*(1+($U$86)/100)^MAX(0,$C115-$AD$86),IF(DATE($C115,6,15)&gt;=$W$86,$Z$86*(1+($U$86)/100)^MAX(0,$C115-$AC$86),IF(DATE($C115,6,15)&gt;=$V$86,$Y$86*(1+($U$86)/100)^MAX(0,$C115-$AB$86),0)))))</f>
      </c>
      <c r="K115" s="43">
        <f>IF($S$86=0,0,IF(OR(DATE($C115,7,15)&lt;$S$86,AND($T$86&gt;0,DATE($C115,7,15)&gt;$T$86)),0,IF(DATE($C115,7,15)&gt;=$X$86,$AA$86*(1+($U$86)/100)^MAX(0,$C115-$AD$86),IF(DATE($C115,7,15)&gt;=$W$86,$Z$86*(1+($U$86)/100)^MAX(0,$C115-$AC$86),IF(DATE($C115,7,15)&gt;=$V$86,$Y$86*(1+($U$86)/100)^MAX(0,$C115-$AB$86),0)))))</f>
      </c>
      <c r="L115" s="43">
        <f>IF($S$86=0,0,IF(OR(DATE($C115,8,15)&lt;$S$86,AND($T$86&gt;0,DATE($C115,8,15)&gt;$T$86)),0,IF(DATE($C115,8,15)&gt;=$X$86,$AA$86*(1+($U$86)/100)^MAX(0,$C115-$AD$86),IF(DATE($C115,8,15)&gt;=$W$86,$Z$86*(1+($U$86)/100)^MAX(0,$C115-$AC$86),IF(DATE($C115,8,15)&gt;=$V$86,$Y$86*(1+($U$86)/100)^MAX(0,$C115-$AB$86),0)))))</f>
      </c>
      <c r="M115" s="43">
        <f>IF($S$86=0,0,IF(OR(DATE($C115,9,15)&lt;$S$86,AND($T$86&gt;0,DATE($C115,9,15)&gt;$T$86)),0,IF(DATE($C115,9,15)&gt;=$X$86,$AA$86*(1+($U$86)/100)^MAX(0,$C115-$AD$86),IF(DATE($C115,9,15)&gt;=$W$86,$Z$86*(1+($U$86)/100)^MAX(0,$C115-$AC$86),IF(DATE($C115,9,15)&gt;=$V$86,$Y$86*(1+($U$86)/100)^MAX(0,$C115-$AB$86),0)))))</f>
      </c>
      <c r="N115" s="43">
        <f>IF($S$86=0,0,IF(OR(DATE($C115,10,15)&lt;$S$86,AND($T$86&gt;0,DATE($C115,10,15)&gt;$T$86)),0,IF(DATE($C115,10,15)&gt;=$X$86,$AA$86*(1+($U$86)/100)^MAX(0,$C115-$AD$86),IF(DATE($C115,10,15)&gt;=$W$86,$Z$86*(1+($U$86)/100)^MAX(0,$C115-$AC$86),IF(DATE($C115,10,15)&gt;=$V$86,$Y$86*(1+($U$86)/100)^MAX(0,$C115-$AB$86),0)))))</f>
      </c>
      <c r="O115" s="43">
        <f>IF($S$86=0,0,IF(OR(DATE($C115,11,15)&lt;$S$86,AND($T$86&gt;0,DATE($C115,11,15)&gt;$T$86)),0,IF(DATE($C115,11,15)&gt;=$X$86,$AA$86*(1+($U$86)/100)^MAX(0,$C115-$AD$86),IF(DATE($C115,11,15)&gt;=$W$86,$Z$86*(1+($U$86)/100)^MAX(0,$C115-$AC$86),IF(DATE($C115,11,15)&gt;=$V$86,$Y$86*(1+($U$86)/100)^MAX(0,$C115-$AB$86),0)))))</f>
      </c>
      <c r="P115" s="43">
        <f>IF($S$86=0,0,IF(OR(DATE($C115,12,15)&lt;$S$86,AND($T$86&gt;0,DATE($C115,12,15)&gt;$T$86)),0,IF(DATE($C115,12,15)&gt;=$X$86,$AA$86*(1+($U$86)/100)^MAX(0,$C115-$AD$86),IF(DATE($C115,12,15)&gt;=$W$86,$Z$86*(1+($U$86)/100)^MAX(0,$C115-$AC$86),IF(DATE($C115,12,15)&gt;=$V$86,$Y$86*(1+($U$86)/100)^MAX(0,$C115-$AB$86),0)))))</f>
      </c>
      <c r="Q115" s="43">
        <f>SUM($E115:$P115)</f>
      </c>
    </row>
    <row r="116">
      <c r="A116"/>
      <c r="B116">
        <v>3</v>
      </c>
      <c r="C116" s="43">
        <f>Jahr+30</f>
      </c>
      <c r="D116" s="43">
        <f>INDEX(MvObj,3)</f>
      </c>
      <c r="E116" s="43">
        <f>IF($S$86=0,0,IF(OR(DATE($C116,1,15)&lt;$S$86,AND($T$86&gt;0,DATE($C116,1,15)&gt;$T$86)),0,IF(DATE($C116,1,15)&gt;=$X$86,$AA$86*(1+($U$86)/100)^MAX(0,$C116-$AD$86),IF(DATE($C116,1,15)&gt;=$W$86,$Z$86*(1+($U$86)/100)^MAX(0,$C116-$AC$86),IF(DATE($C116,1,15)&gt;=$V$86,$Y$86*(1+($U$86)/100)^MAX(0,$C116-$AB$86),0)))))</f>
      </c>
      <c r="F116" s="43">
        <f>IF($S$86=0,0,IF(OR(DATE($C116,2,15)&lt;$S$86,AND($T$86&gt;0,DATE($C116,2,15)&gt;$T$86)),0,IF(DATE($C116,2,15)&gt;=$X$86,$AA$86*(1+($U$86)/100)^MAX(0,$C116-$AD$86),IF(DATE($C116,2,15)&gt;=$W$86,$Z$86*(1+($U$86)/100)^MAX(0,$C116-$AC$86),IF(DATE($C116,2,15)&gt;=$V$86,$Y$86*(1+($U$86)/100)^MAX(0,$C116-$AB$86),0)))))</f>
      </c>
      <c r="G116" s="43">
        <f>IF($S$86=0,0,IF(OR(DATE($C116,3,15)&lt;$S$86,AND($T$86&gt;0,DATE($C116,3,15)&gt;$T$86)),0,IF(DATE($C116,3,15)&gt;=$X$86,$AA$86*(1+($U$86)/100)^MAX(0,$C116-$AD$86),IF(DATE($C116,3,15)&gt;=$W$86,$Z$86*(1+($U$86)/100)^MAX(0,$C116-$AC$86),IF(DATE($C116,3,15)&gt;=$V$86,$Y$86*(1+($U$86)/100)^MAX(0,$C116-$AB$86),0)))))</f>
      </c>
      <c r="H116" s="43">
        <f>IF($S$86=0,0,IF(OR(DATE($C116,4,15)&lt;$S$86,AND($T$86&gt;0,DATE($C116,4,15)&gt;$T$86)),0,IF(DATE($C116,4,15)&gt;=$X$86,$AA$86*(1+($U$86)/100)^MAX(0,$C116-$AD$86),IF(DATE($C116,4,15)&gt;=$W$86,$Z$86*(1+($U$86)/100)^MAX(0,$C116-$AC$86),IF(DATE($C116,4,15)&gt;=$V$86,$Y$86*(1+($U$86)/100)^MAX(0,$C116-$AB$86),0)))))</f>
      </c>
      <c r="I116" s="43">
        <f>IF($S$86=0,0,IF(OR(DATE($C116,5,15)&lt;$S$86,AND($T$86&gt;0,DATE($C116,5,15)&gt;$T$86)),0,IF(DATE($C116,5,15)&gt;=$X$86,$AA$86*(1+($U$86)/100)^MAX(0,$C116-$AD$86),IF(DATE($C116,5,15)&gt;=$W$86,$Z$86*(1+($U$86)/100)^MAX(0,$C116-$AC$86),IF(DATE($C116,5,15)&gt;=$V$86,$Y$86*(1+($U$86)/100)^MAX(0,$C116-$AB$86),0)))))</f>
      </c>
      <c r="J116" s="43">
        <f>IF($S$86=0,0,IF(OR(DATE($C116,6,15)&lt;$S$86,AND($T$86&gt;0,DATE($C116,6,15)&gt;$T$86)),0,IF(DATE($C116,6,15)&gt;=$X$86,$AA$86*(1+($U$86)/100)^MAX(0,$C116-$AD$86),IF(DATE($C116,6,15)&gt;=$W$86,$Z$86*(1+($U$86)/100)^MAX(0,$C116-$AC$86),IF(DATE($C116,6,15)&gt;=$V$86,$Y$86*(1+($U$86)/100)^MAX(0,$C116-$AB$86),0)))))</f>
      </c>
      <c r="K116" s="43">
        <f>IF($S$86=0,0,IF(OR(DATE($C116,7,15)&lt;$S$86,AND($T$86&gt;0,DATE($C116,7,15)&gt;$T$86)),0,IF(DATE($C116,7,15)&gt;=$X$86,$AA$86*(1+($U$86)/100)^MAX(0,$C116-$AD$86),IF(DATE($C116,7,15)&gt;=$W$86,$Z$86*(1+($U$86)/100)^MAX(0,$C116-$AC$86),IF(DATE($C116,7,15)&gt;=$V$86,$Y$86*(1+($U$86)/100)^MAX(0,$C116-$AB$86),0)))))</f>
      </c>
      <c r="L116" s="43">
        <f>IF($S$86=0,0,IF(OR(DATE($C116,8,15)&lt;$S$86,AND($T$86&gt;0,DATE($C116,8,15)&gt;$T$86)),0,IF(DATE($C116,8,15)&gt;=$X$86,$AA$86*(1+($U$86)/100)^MAX(0,$C116-$AD$86),IF(DATE($C116,8,15)&gt;=$W$86,$Z$86*(1+($U$86)/100)^MAX(0,$C116-$AC$86),IF(DATE($C116,8,15)&gt;=$V$86,$Y$86*(1+($U$86)/100)^MAX(0,$C116-$AB$86),0)))))</f>
      </c>
      <c r="M116" s="43">
        <f>IF($S$86=0,0,IF(OR(DATE($C116,9,15)&lt;$S$86,AND($T$86&gt;0,DATE($C116,9,15)&gt;$T$86)),0,IF(DATE($C116,9,15)&gt;=$X$86,$AA$86*(1+($U$86)/100)^MAX(0,$C116-$AD$86),IF(DATE($C116,9,15)&gt;=$W$86,$Z$86*(1+($U$86)/100)^MAX(0,$C116-$AC$86),IF(DATE($C116,9,15)&gt;=$V$86,$Y$86*(1+($U$86)/100)^MAX(0,$C116-$AB$86),0)))))</f>
      </c>
      <c r="N116" s="43">
        <f>IF($S$86=0,0,IF(OR(DATE($C116,10,15)&lt;$S$86,AND($T$86&gt;0,DATE($C116,10,15)&gt;$T$86)),0,IF(DATE($C116,10,15)&gt;=$X$86,$AA$86*(1+($U$86)/100)^MAX(0,$C116-$AD$86),IF(DATE($C116,10,15)&gt;=$W$86,$Z$86*(1+($U$86)/100)^MAX(0,$C116-$AC$86),IF(DATE($C116,10,15)&gt;=$V$86,$Y$86*(1+($U$86)/100)^MAX(0,$C116-$AB$86),0)))))</f>
      </c>
      <c r="O116" s="43">
        <f>IF($S$86=0,0,IF(OR(DATE($C116,11,15)&lt;$S$86,AND($T$86&gt;0,DATE($C116,11,15)&gt;$T$86)),0,IF(DATE($C116,11,15)&gt;=$X$86,$AA$86*(1+($U$86)/100)^MAX(0,$C116-$AD$86),IF(DATE($C116,11,15)&gt;=$W$86,$Z$86*(1+($U$86)/100)^MAX(0,$C116-$AC$86),IF(DATE($C116,11,15)&gt;=$V$86,$Y$86*(1+($U$86)/100)^MAX(0,$C116-$AB$86),0)))))</f>
      </c>
      <c r="P116" s="43">
        <f>IF($S$86=0,0,IF(OR(DATE($C116,12,15)&lt;$S$86,AND($T$86&gt;0,DATE($C116,12,15)&gt;$T$86)),0,IF(DATE($C116,12,15)&gt;=$X$86,$AA$86*(1+($U$86)/100)^MAX(0,$C116-$AD$86),IF(DATE($C116,12,15)&gt;=$W$86,$Z$86*(1+($U$86)/100)^MAX(0,$C116-$AC$86),IF(DATE($C116,12,15)&gt;=$V$86,$Y$86*(1+($U$86)/100)^MAX(0,$C116-$AB$86),0)))))</f>
      </c>
      <c r="Q116" s="43">
        <f>SUM($E116:$P116)</f>
      </c>
    </row>
    <row r="117">
      <c r="A117"/>
      <c r="B117">
        <v>4</v>
      </c>
      <c r="C117" s="43">
        <f>Jahr+0</f>
      </c>
      <c r="D117" s="43">
        <f>INDEX(MvObj,4)</f>
      </c>
      <c r="E117" s="43">
        <f>IF($S$117=0,0,IF(OR(DATE($C117,1,15)&lt;$S$117,AND($T$117&gt;0,DATE($C117,1,15)&gt;$T$117)),0,IF(DATE($C117,1,15)&gt;=$X$117,$AA$117*(1+($U$117)/100)^MAX(0,$C117-$AD$117),IF(DATE($C117,1,15)&gt;=$W$117,$Z$117*(1+($U$117)/100)^MAX(0,$C117-$AC$117),IF(DATE($C117,1,15)&gt;=$V$117,$Y$117*(1+($U$117)/100)^MAX(0,$C117-$AB$117),0)))))</f>
      </c>
      <c r="F117" s="43">
        <f>IF($S$117=0,0,IF(OR(DATE($C117,2,15)&lt;$S$117,AND($T$117&gt;0,DATE($C117,2,15)&gt;$T$117)),0,IF(DATE($C117,2,15)&gt;=$X$117,$AA$117*(1+($U$117)/100)^MAX(0,$C117-$AD$117),IF(DATE($C117,2,15)&gt;=$W$117,$Z$117*(1+($U$117)/100)^MAX(0,$C117-$AC$117),IF(DATE($C117,2,15)&gt;=$V$117,$Y$117*(1+($U$117)/100)^MAX(0,$C117-$AB$117),0)))))</f>
      </c>
      <c r="G117" s="43">
        <f>IF($S$117=0,0,IF(OR(DATE($C117,3,15)&lt;$S$117,AND($T$117&gt;0,DATE($C117,3,15)&gt;$T$117)),0,IF(DATE($C117,3,15)&gt;=$X$117,$AA$117*(1+($U$117)/100)^MAX(0,$C117-$AD$117),IF(DATE($C117,3,15)&gt;=$W$117,$Z$117*(1+($U$117)/100)^MAX(0,$C117-$AC$117),IF(DATE($C117,3,15)&gt;=$V$117,$Y$117*(1+($U$117)/100)^MAX(0,$C117-$AB$117),0)))))</f>
      </c>
      <c r="H117" s="43">
        <f>IF($S$117=0,0,IF(OR(DATE($C117,4,15)&lt;$S$117,AND($T$117&gt;0,DATE($C117,4,15)&gt;$T$117)),0,IF(DATE($C117,4,15)&gt;=$X$117,$AA$117*(1+($U$117)/100)^MAX(0,$C117-$AD$117),IF(DATE($C117,4,15)&gt;=$W$117,$Z$117*(1+($U$117)/100)^MAX(0,$C117-$AC$117),IF(DATE($C117,4,15)&gt;=$V$117,$Y$117*(1+($U$117)/100)^MAX(0,$C117-$AB$117),0)))))</f>
      </c>
      <c r="I117" s="43">
        <f>IF($S$117=0,0,IF(OR(DATE($C117,5,15)&lt;$S$117,AND($T$117&gt;0,DATE($C117,5,15)&gt;$T$117)),0,IF(DATE($C117,5,15)&gt;=$X$117,$AA$117*(1+($U$117)/100)^MAX(0,$C117-$AD$117),IF(DATE($C117,5,15)&gt;=$W$117,$Z$117*(1+($U$117)/100)^MAX(0,$C117-$AC$117),IF(DATE($C117,5,15)&gt;=$V$117,$Y$117*(1+($U$117)/100)^MAX(0,$C117-$AB$117),0)))))</f>
      </c>
      <c r="J117" s="43">
        <f>IF($S$117=0,0,IF(OR(DATE($C117,6,15)&lt;$S$117,AND($T$117&gt;0,DATE($C117,6,15)&gt;$T$117)),0,IF(DATE($C117,6,15)&gt;=$X$117,$AA$117*(1+($U$117)/100)^MAX(0,$C117-$AD$117),IF(DATE($C117,6,15)&gt;=$W$117,$Z$117*(1+($U$117)/100)^MAX(0,$C117-$AC$117),IF(DATE($C117,6,15)&gt;=$V$117,$Y$117*(1+($U$117)/100)^MAX(0,$C117-$AB$117),0)))))</f>
      </c>
      <c r="K117" s="43">
        <f>IF($S$117=0,0,IF(OR(DATE($C117,7,15)&lt;$S$117,AND($T$117&gt;0,DATE($C117,7,15)&gt;$T$117)),0,IF(DATE($C117,7,15)&gt;=$X$117,$AA$117*(1+($U$117)/100)^MAX(0,$C117-$AD$117),IF(DATE($C117,7,15)&gt;=$W$117,$Z$117*(1+($U$117)/100)^MAX(0,$C117-$AC$117),IF(DATE($C117,7,15)&gt;=$V$117,$Y$117*(1+($U$117)/100)^MAX(0,$C117-$AB$117),0)))))</f>
      </c>
      <c r="L117" s="43">
        <f>IF($S$117=0,0,IF(OR(DATE($C117,8,15)&lt;$S$117,AND($T$117&gt;0,DATE($C117,8,15)&gt;$T$117)),0,IF(DATE($C117,8,15)&gt;=$X$117,$AA$117*(1+($U$117)/100)^MAX(0,$C117-$AD$117),IF(DATE($C117,8,15)&gt;=$W$117,$Z$117*(1+($U$117)/100)^MAX(0,$C117-$AC$117),IF(DATE($C117,8,15)&gt;=$V$117,$Y$117*(1+($U$117)/100)^MAX(0,$C117-$AB$117),0)))))</f>
      </c>
      <c r="M117" s="43">
        <f>IF($S$117=0,0,IF(OR(DATE($C117,9,15)&lt;$S$117,AND($T$117&gt;0,DATE($C117,9,15)&gt;$T$117)),0,IF(DATE($C117,9,15)&gt;=$X$117,$AA$117*(1+($U$117)/100)^MAX(0,$C117-$AD$117),IF(DATE($C117,9,15)&gt;=$W$117,$Z$117*(1+($U$117)/100)^MAX(0,$C117-$AC$117),IF(DATE($C117,9,15)&gt;=$V$117,$Y$117*(1+($U$117)/100)^MAX(0,$C117-$AB$117),0)))))</f>
      </c>
      <c r="N117" s="43">
        <f>IF($S$117=0,0,IF(OR(DATE($C117,10,15)&lt;$S$117,AND($T$117&gt;0,DATE($C117,10,15)&gt;$T$117)),0,IF(DATE($C117,10,15)&gt;=$X$117,$AA$117*(1+($U$117)/100)^MAX(0,$C117-$AD$117),IF(DATE($C117,10,15)&gt;=$W$117,$Z$117*(1+($U$117)/100)^MAX(0,$C117-$AC$117),IF(DATE($C117,10,15)&gt;=$V$117,$Y$117*(1+($U$117)/100)^MAX(0,$C117-$AB$117),0)))))</f>
      </c>
      <c r="O117" s="43">
        <f>IF($S$117=0,0,IF(OR(DATE($C117,11,15)&lt;$S$117,AND($T$117&gt;0,DATE($C117,11,15)&gt;$T$117)),0,IF(DATE($C117,11,15)&gt;=$X$117,$AA$117*(1+($U$117)/100)^MAX(0,$C117-$AD$117),IF(DATE($C117,11,15)&gt;=$W$117,$Z$117*(1+($U$117)/100)^MAX(0,$C117-$AC$117),IF(DATE($C117,11,15)&gt;=$V$117,$Y$117*(1+($U$117)/100)^MAX(0,$C117-$AB$117),0)))))</f>
      </c>
      <c r="P117" s="43">
        <f>IF($S$117=0,0,IF(OR(DATE($C117,12,15)&lt;$S$117,AND($T$117&gt;0,DATE($C117,12,15)&gt;$T$117)),0,IF(DATE($C117,12,15)&gt;=$X$117,$AA$117*(1+($U$117)/100)^MAX(0,$C117-$AD$117),IF(DATE($C117,12,15)&gt;=$W$117,$Z$117*(1+($U$117)/100)^MAX(0,$C117-$AC$117),IF(DATE($C117,12,15)&gt;=$V$117,$Y$117*(1+($U$117)/100)^MAX(0,$C117-$AB$117),0)))))</f>
      </c>
      <c r="Q117" s="43">
        <f>SUM($E117:$P117)</f>
      </c>
      <c r="R117"/>
      <c r="S117" s="43">
        <f>IF(INDEX(MvBeginn,4)="",0,INDEX(MvBeginn,4))</f>
      </c>
      <c r="T117" s="43">
        <f>INDEX(MvEnde,4)</f>
      </c>
      <c r="U117" s="43">
        <f>INDEX(MvSatz,4)</f>
      </c>
      <c r="V117" s="43">
        <f>INDEX(MvKey1,4)</f>
      </c>
      <c r="W117" s="43">
        <f>INDEX(MvKey2,4)</f>
      </c>
      <c r="X117" s="43">
        <f>INDEX(MvKey3,4)</f>
      </c>
      <c r="Y117" s="43">
        <f>INDEX(MvKalt1,4)</f>
      </c>
      <c r="Z117" s="43">
        <f>INDEX(MvKalt2,4)</f>
      </c>
      <c r="AA117" s="43">
        <f>INDEX(MvKalt3,4)</f>
      </c>
      <c r="AB117" s="43">
        <f>MAX(YEAR(INDEX(MvAb1,4)),Jahr)</f>
      </c>
      <c r="AC117" s="43">
        <f>MAX(YEAR(INDEX(MvAb2,4)),Jahr)</f>
      </c>
      <c r="AD117" s="43">
        <f>MAX(YEAR(INDEX(MvAb3,4)),Jahr)</f>
      </c>
    </row>
    <row r="118">
      <c r="A118"/>
      <c r="B118">
        <v>4</v>
      </c>
      <c r="C118" s="43">
        <f>Jahr+1</f>
      </c>
      <c r="D118" s="43">
        <f>INDEX(MvObj,4)</f>
      </c>
      <c r="E118" s="43">
        <f>IF($S$117=0,0,IF(OR(DATE($C118,1,15)&lt;$S$117,AND($T$117&gt;0,DATE($C118,1,15)&gt;$T$117)),0,IF(DATE($C118,1,15)&gt;=$X$117,$AA$117*(1+($U$117)/100)^MAX(0,$C118-$AD$117),IF(DATE($C118,1,15)&gt;=$W$117,$Z$117*(1+($U$117)/100)^MAX(0,$C118-$AC$117),IF(DATE($C118,1,15)&gt;=$V$117,$Y$117*(1+($U$117)/100)^MAX(0,$C118-$AB$117),0)))))</f>
      </c>
      <c r="F118" s="43">
        <f>IF($S$117=0,0,IF(OR(DATE($C118,2,15)&lt;$S$117,AND($T$117&gt;0,DATE($C118,2,15)&gt;$T$117)),0,IF(DATE($C118,2,15)&gt;=$X$117,$AA$117*(1+($U$117)/100)^MAX(0,$C118-$AD$117),IF(DATE($C118,2,15)&gt;=$W$117,$Z$117*(1+($U$117)/100)^MAX(0,$C118-$AC$117),IF(DATE($C118,2,15)&gt;=$V$117,$Y$117*(1+($U$117)/100)^MAX(0,$C118-$AB$117),0)))))</f>
      </c>
      <c r="G118" s="43">
        <f>IF($S$117=0,0,IF(OR(DATE($C118,3,15)&lt;$S$117,AND($T$117&gt;0,DATE($C118,3,15)&gt;$T$117)),0,IF(DATE($C118,3,15)&gt;=$X$117,$AA$117*(1+($U$117)/100)^MAX(0,$C118-$AD$117),IF(DATE($C118,3,15)&gt;=$W$117,$Z$117*(1+($U$117)/100)^MAX(0,$C118-$AC$117),IF(DATE($C118,3,15)&gt;=$V$117,$Y$117*(1+($U$117)/100)^MAX(0,$C118-$AB$117),0)))))</f>
      </c>
      <c r="H118" s="43">
        <f>IF($S$117=0,0,IF(OR(DATE($C118,4,15)&lt;$S$117,AND($T$117&gt;0,DATE($C118,4,15)&gt;$T$117)),0,IF(DATE($C118,4,15)&gt;=$X$117,$AA$117*(1+($U$117)/100)^MAX(0,$C118-$AD$117),IF(DATE($C118,4,15)&gt;=$W$117,$Z$117*(1+($U$117)/100)^MAX(0,$C118-$AC$117),IF(DATE($C118,4,15)&gt;=$V$117,$Y$117*(1+($U$117)/100)^MAX(0,$C118-$AB$117),0)))))</f>
      </c>
      <c r="I118" s="43">
        <f>IF($S$117=0,0,IF(OR(DATE($C118,5,15)&lt;$S$117,AND($T$117&gt;0,DATE($C118,5,15)&gt;$T$117)),0,IF(DATE($C118,5,15)&gt;=$X$117,$AA$117*(1+($U$117)/100)^MAX(0,$C118-$AD$117),IF(DATE($C118,5,15)&gt;=$W$117,$Z$117*(1+($U$117)/100)^MAX(0,$C118-$AC$117),IF(DATE($C118,5,15)&gt;=$V$117,$Y$117*(1+($U$117)/100)^MAX(0,$C118-$AB$117),0)))))</f>
      </c>
      <c r="J118" s="43">
        <f>IF($S$117=0,0,IF(OR(DATE($C118,6,15)&lt;$S$117,AND($T$117&gt;0,DATE($C118,6,15)&gt;$T$117)),0,IF(DATE($C118,6,15)&gt;=$X$117,$AA$117*(1+($U$117)/100)^MAX(0,$C118-$AD$117),IF(DATE($C118,6,15)&gt;=$W$117,$Z$117*(1+($U$117)/100)^MAX(0,$C118-$AC$117),IF(DATE($C118,6,15)&gt;=$V$117,$Y$117*(1+($U$117)/100)^MAX(0,$C118-$AB$117),0)))))</f>
      </c>
      <c r="K118" s="43">
        <f>IF($S$117=0,0,IF(OR(DATE($C118,7,15)&lt;$S$117,AND($T$117&gt;0,DATE($C118,7,15)&gt;$T$117)),0,IF(DATE($C118,7,15)&gt;=$X$117,$AA$117*(1+($U$117)/100)^MAX(0,$C118-$AD$117),IF(DATE($C118,7,15)&gt;=$W$117,$Z$117*(1+($U$117)/100)^MAX(0,$C118-$AC$117),IF(DATE($C118,7,15)&gt;=$V$117,$Y$117*(1+($U$117)/100)^MAX(0,$C118-$AB$117),0)))))</f>
      </c>
      <c r="L118" s="43">
        <f>IF($S$117=0,0,IF(OR(DATE($C118,8,15)&lt;$S$117,AND($T$117&gt;0,DATE($C118,8,15)&gt;$T$117)),0,IF(DATE($C118,8,15)&gt;=$X$117,$AA$117*(1+($U$117)/100)^MAX(0,$C118-$AD$117),IF(DATE($C118,8,15)&gt;=$W$117,$Z$117*(1+($U$117)/100)^MAX(0,$C118-$AC$117),IF(DATE($C118,8,15)&gt;=$V$117,$Y$117*(1+($U$117)/100)^MAX(0,$C118-$AB$117),0)))))</f>
      </c>
      <c r="M118" s="43">
        <f>IF($S$117=0,0,IF(OR(DATE($C118,9,15)&lt;$S$117,AND($T$117&gt;0,DATE($C118,9,15)&gt;$T$117)),0,IF(DATE($C118,9,15)&gt;=$X$117,$AA$117*(1+($U$117)/100)^MAX(0,$C118-$AD$117),IF(DATE($C118,9,15)&gt;=$W$117,$Z$117*(1+($U$117)/100)^MAX(0,$C118-$AC$117),IF(DATE($C118,9,15)&gt;=$V$117,$Y$117*(1+($U$117)/100)^MAX(0,$C118-$AB$117),0)))))</f>
      </c>
      <c r="N118" s="43">
        <f>IF($S$117=0,0,IF(OR(DATE($C118,10,15)&lt;$S$117,AND($T$117&gt;0,DATE($C118,10,15)&gt;$T$117)),0,IF(DATE($C118,10,15)&gt;=$X$117,$AA$117*(1+($U$117)/100)^MAX(0,$C118-$AD$117),IF(DATE($C118,10,15)&gt;=$W$117,$Z$117*(1+($U$117)/100)^MAX(0,$C118-$AC$117),IF(DATE($C118,10,15)&gt;=$V$117,$Y$117*(1+($U$117)/100)^MAX(0,$C118-$AB$117),0)))))</f>
      </c>
      <c r="O118" s="43">
        <f>IF($S$117=0,0,IF(OR(DATE($C118,11,15)&lt;$S$117,AND($T$117&gt;0,DATE($C118,11,15)&gt;$T$117)),0,IF(DATE($C118,11,15)&gt;=$X$117,$AA$117*(1+($U$117)/100)^MAX(0,$C118-$AD$117),IF(DATE($C118,11,15)&gt;=$W$117,$Z$117*(1+($U$117)/100)^MAX(0,$C118-$AC$117),IF(DATE($C118,11,15)&gt;=$V$117,$Y$117*(1+($U$117)/100)^MAX(0,$C118-$AB$117),0)))))</f>
      </c>
      <c r="P118" s="43">
        <f>IF($S$117=0,0,IF(OR(DATE($C118,12,15)&lt;$S$117,AND($T$117&gt;0,DATE($C118,12,15)&gt;$T$117)),0,IF(DATE($C118,12,15)&gt;=$X$117,$AA$117*(1+($U$117)/100)^MAX(0,$C118-$AD$117),IF(DATE($C118,12,15)&gt;=$W$117,$Z$117*(1+($U$117)/100)^MAX(0,$C118-$AC$117),IF(DATE($C118,12,15)&gt;=$V$117,$Y$117*(1+($U$117)/100)^MAX(0,$C118-$AB$117),0)))))</f>
      </c>
      <c r="Q118" s="43">
        <f>SUM($E118:$P118)</f>
      </c>
    </row>
    <row r="119">
      <c r="A119"/>
      <c r="B119">
        <v>4</v>
      </c>
      <c r="C119" s="43">
        <f>Jahr+2</f>
      </c>
      <c r="D119" s="43">
        <f>INDEX(MvObj,4)</f>
      </c>
      <c r="E119" s="43">
        <f>IF($S$117=0,0,IF(OR(DATE($C119,1,15)&lt;$S$117,AND($T$117&gt;0,DATE($C119,1,15)&gt;$T$117)),0,IF(DATE($C119,1,15)&gt;=$X$117,$AA$117*(1+($U$117)/100)^MAX(0,$C119-$AD$117),IF(DATE($C119,1,15)&gt;=$W$117,$Z$117*(1+($U$117)/100)^MAX(0,$C119-$AC$117),IF(DATE($C119,1,15)&gt;=$V$117,$Y$117*(1+($U$117)/100)^MAX(0,$C119-$AB$117),0)))))</f>
      </c>
      <c r="F119" s="43">
        <f>IF($S$117=0,0,IF(OR(DATE($C119,2,15)&lt;$S$117,AND($T$117&gt;0,DATE($C119,2,15)&gt;$T$117)),0,IF(DATE($C119,2,15)&gt;=$X$117,$AA$117*(1+($U$117)/100)^MAX(0,$C119-$AD$117),IF(DATE($C119,2,15)&gt;=$W$117,$Z$117*(1+($U$117)/100)^MAX(0,$C119-$AC$117),IF(DATE($C119,2,15)&gt;=$V$117,$Y$117*(1+($U$117)/100)^MAX(0,$C119-$AB$117),0)))))</f>
      </c>
      <c r="G119" s="43">
        <f>IF($S$117=0,0,IF(OR(DATE($C119,3,15)&lt;$S$117,AND($T$117&gt;0,DATE($C119,3,15)&gt;$T$117)),0,IF(DATE($C119,3,15)&gt;=$X$117,$AA$117*(1+($U$117)/100)^MAX(0,$C119-$AD$117),IF(DATE($C119,3,15)&gt;=$W$117,$Z$117*(1+($U$117)/100)^MAX(0,$C119-$AC$117),IF(DATE($C119,3,15)&gt;=$V$117,$Y$117*(1+($U$117)/100)^MAX(0,$C119-$AB$117),0)))))</f>
      </c>
      <c r="H119" s="43">
        <f>IF($S$117=0,0,IF(OR(DATE($C119,4,15)&lt;$S$117,AND($T$117&gt;0,DATE($C119,4,15)&gt;$T$117)),0,IF(DATE($C119,4,15)&gt;=$X$117,$AA$117*(1+($U$117)/100)^MAX(0,$C119-$AD$117),IF(DATE($C119,4,15)&gt;=$W$117,$Z$117*(1+($U$117)/100)^MAX(0,$C119-$AC$117),IF(DATE($C119,4,15)&gt;=$V$117,$Y$117*(1+($U$117)/100)^MAX(0,$C119-$AB$117),0)))))</f>
      </c>
      <c r="I119" s="43">
        <f>IF($S$117=0,0,IF(OR(DATE($C119,5,15)&lt;$S$117,AND($T$117&gt;0,DATE($C119,5,15)&gt;$T$117)),0,IF(DATE($C119,5,15)&gt;=$X$117,$AA$117*(1+($U$117)/100)^MAX(0,$C119-$AD$117),IF(DATE($C119,5,15)&gt;=$W$117,$Z$117*(1+($U$117)/100)^MAX(0,$C119-$AC$117),IF(DATE($C119,5,15)&gt;=$V$117,$Y$117*(1+($U$117)/100)^MAX(0,$C119-$AB$117),0)))))</f>
      </c>
      <c r="J119" s="43">
        <f>IF($S$117=0,0,IF(OR(DATE($C119,6,15)&lt;$S$117,AND($T$117&gt;0,DATE($C119,6,15)&gt;$T$117)),0,IF(DATE($C119,6,15)&gt;=$X$117,$AA$117*(1+($U$117)/100)^MAX(0,$C119-$AD$117),IF(DATE($C119,6,15)&gt;=$W$117,$Z$117*(1+($U$117)/100)^MAX(0,$C119-$AC$117),IF(DATE($C119,6,15)&gt;=$V$117,$Y$117*(1+($U$117)/100)^MAX(0,$C119-$AB$117),0)))))</f>
      </c>
      <c r="K119" s="43">
        <f>IF($S$117=0,0,IF(OR(DATE($C119,7,15)&lt;$S$117,AND($T$117&gt;0,DATE($C119,7,15)&gt;$T$117)),0,IF(DATE($C119,7,15)&gt;=$X$117,$AA$117*(1+($U$117)/100)^MAX(0,$C119-$AD$117),IF(DATE($C119,7,15)&gt;=$W$117,$Z$117*(1+($U$117)/100)^MAX(0,$C119-$AC$117),IF(DATE($C119,7,15)&gt;=$V$117,$Y$117*(1+($U$117)/100)^MAX(0,$C119-$AB$117),0)))))</f>
      </c>
      <c r="L119" s="43">
        <f>IF($S$117=0,0,IF(OR(DATE($C119,8,15)&lt;$S$117,AND($T$117&gt;0,DATE($C119,8,15)&gt;$T$117)),0,IF(DATE($C119,8,15)&gt;=$X$117,$AA$117*(1+($U$117)/100)^MAX(0,$C119-$AD$117),IF(DATE($C119,8,15)&gt;=$W$117,$Z$117*(1+($U$117)/100)^MAX(0,$C119-$AC$117),IF(DATE($C119,8,15)&gt;=$V$117,$Y$117*(1+($U$117)/100)^MAX(0,$C119-$AB$117),0)))))</f>
      </c>
      <c r="M119" s="43">
        <f>IF($S$117=0,0,IF(OR(DATE($C119,9,15)&lt;$S$117,AND($T$117&gt;0,DATE($C119,9,15)&gt;$T$117)),0,IF(DATE($C119,9,15)&gt;=$X$117,$AA$117*(1+($U$117)/100)^MAX(0,$C119-$AD$117),IF(DATE($C119,9,15)&gt;=$W$117,$Z$117*(1+($U$117)/100)^MAX(0,$C119-$AC$117),IF(DATE($C119,9,15)&gt;=$V$117,$Y$117*(1+($U$117)/100)^MAX(0,$C119-$AB$117),0)))))</f>
      </c>
      <c r="N119" s="43">
        <f>IF($S$117=0,0,IF(OR(DATE($C119,10,15)&lt;$S$117,AND($T$117&gt;0,DATE($C119,10,15)&gt;$T$117)),0,IF(DATE($C119,10,15)&gt;=$X$117,$AA$117*(1+($U$117)/100)^MAX(0,$C119-$AD$117),IF(DATE($C119,10,15)&gt;=$W$117,$Z$117*(1+($U$117)/100)^MAX(0,$C119-$AC$117),IF(DATE($C119,10,15)&gt;=$V$117,$Y$117*(1+($U$117)/100)^MAX(0,$C119-$AB$117),0)))))</f>
      </c>
      <c r="O119" s="43">
        <f>IF($S$117=0,0,IF(OR(DATE($C119,11,15)&lt;$S$117,AND($T$117&gt;0,DATE($C119,11,15)&gt;$T$117)),0,IF(DATE($C119,11,15)&gt;=$X$117,$AA$117*(1+($U$117)/100)^MAX(0,$C119-$AD$117),IF(DATE($C119,11,15)&gt;=$W$117,$Z$117*(1+($U$117)/100)^MAX(0,$C119-$AC$117),IF(DATE($C119,11,15)&gt;=$V$117,$Y$117*(1+($U$117)/100)^MAX(0,$C119-$AB$117),0)))))</f>
      </c>
      <c r="P119" s="43">
        <f>IF($S$117=0,0,IF(OR(DATE($C119,12,15)&lt;$S$117,AND($T$117&gt;0,DATE($C119,12,15)&gt;$T$117)),0,IF(DATE($C119,12,15)&gt;=$X$117,$AA$117*(1+($U$117)/100)^MAX(0,$C119-$AD$117),IF(DATE($C119,12,15)&gt;=$W$117,$Z$117*(1+($U$117)/100)^MAX(0,$C119-$AC$117),IF(DATE($C119,12,15)&gt;=$V$117,$Y$117*(1+($U$117)/100)^MAX(0,$C119-$AB$117),0)))))</f>
      </c>
      <c r="Q119" s="43">
        <f>SUM($E119:$P119)</f>
      </c>
    </row>
    <row r="120">
      <c r="A120"/>
      <c r="B120">
        <v>4</v>
      </c>
      <c r="C120" s="43">
        <f>Jahr+3</f>
      </c>
      <c r="D120" s="43">
        <f>INDEX(MvObj,4)</f>
      </c>
      <c r="E120" s="43">
        <f>IF($S$117=0,0,IF(OR(DATE($C120,1,15)&lt;$S$117,AND($T$117&gt;0,DATE($C120,1,15)&gt;$T$117)),0,IF(DATE($C120,1,15)&gt;=$X$117,$AA$117*(1+($U$117)/100)^MAX(0,$C120-$AD$117),IF(DATE($C120,1,15)&gt;=$W$117,$Z$117*(1+($U$117)/100)^MAX(0,$C120-$AC$117),IF(DATE($C120,1,15)&gt;=$V$117,$Y$117*(1+($U$117)/100)^MAX(0,$C120-$AB$117),0)))))</f>
      </c>
      <c r="F120" s="43">
        <f>IF($S$117=0,0,IF(OR(DATE($C120,2,15)&lt;$S$117,AND($T$117&gt;0,DATE($C120,2,15)&gt;$T$117)),0,IF(DATE($C120,2,15)&gt;=$X$117,$AA$117*(1+($U$117)/100)^MAX(0,$C120-$AD$117),IF(DATE($C120,2,15)&gt;=$W$117,$Z$117*(1+($U$117)/100)^MAX(0,$C120-$AC$117),IF(DATE($C120,2,15)&gt;=$V$117,$Y$117*(1+($U$117)/100)^MAX(0,$C120-$AB$117),0)))))</f>
      </c>
      <c r="G120" s="43">
        <f>IF($S$117=0,0,IF(OR(DATE($C120,3,15)&lt;$S$117,AND($T$117&gt;0,DATE($C120,3,15)&gt;$T$117)),0,IF(DATE($C120,3,15)&gt;=$X$117,$AA$117*(1+($U$117)/100)^MAX(0,$C120-$AD$117),IF(DATE($C120,3,15)&gt;=$W$117,$Z$117*(1+($U$117)/100)^MAX(0,$C120-$AC$117),IF(DATE($C120,3,15)&gt;=$V$117,$Y$117*(1+($U$117)/100)^MAX(0,$C120-$AB$117),0)))))</f>
      </c>
      <c r="H120" s="43">
        <f>IF($S$117=0,0,IF(OR(DATE($C120,4,15)&lt;$S$117,AND($T$117&gt;0,DATE($C120,4,15)&gt;$T$117)),0,IF(DATE($C120,4,15)&gt;=$X$117,$AA$117*(1+($U$117)/100)^MAX(0,$C120-$AD$117),IF(DATE($C120,4,15)&gt;=$W$117,$Z$117*(1+($U$117)/100)^MAX(0,$C120-$AC$117),IF(DATE($C120,4,15)&gt;=$V$117,$Y$117*(1+($U$117)/100)^MAX(0,$C120-$AB$117),0)))))</f>
      </c>
      <c r="I120" s="43">
        <f>IF($S$117=0,0,IF(OR(DATE($C120,5,15)&lt;$S$117,AND($T$117&gt;0,DATE($C120,5,15)&gt;$T$117)),0,IF(DATE($C120,5,15)&gt;=$X$117,$AA$117*(1+($U$117)/100)^MAX(0,$C120-$AD$117),IF(DATE($C120,5,15)&gt;=$W$117,$Z$117*(1+($U$117)/100)^MAX(0,$C120-$AC$117),IF(DATE($C120,5,15)&gt;=$V$117,$Y$117*(1+($U$117)/100)^MAX(0,$C120-$AB$117),0)))))</f>
      </c>
      <c r="J120" s="43">
        <f>IF($S$117=0,0,IF(OR(DATE($C120,6,15)&lt;$S$117,AND($T$117&gt;0,DATE($C120,6,15)&gt;$T$117)),0,IF(DATE($C120,6,15)&gt;=$X$117,$AA$117*(1+($U$117)/100)^MAX(0,$C120-$AD$117),IF(DATE($C120,6,15)&gt;=$W$117,$Z$117*(1+($U$117)/100)^MAX(0,$C120-$AC$117),IF(DATE($C120,6,15)&gt;=$V$117,$Y$117*(1+($U$117)/100)^MAX(0,$C120-$AB$117),0)))))</f>
      </c>
      <c r="K120" s="43">
        <f>IF($S$117=0,0,IF(OR(DATE($C120,7,15)&lt;$S$117,AND($T$117&gt;0,DATE($C120,7,15)&gt;$T$117)),0,IF(DATE($C120,7,15)&gt;=$X$117,$AA$117*(1+($U$117)/100)^MAX(0,$C120-$AD$117),IF(DATE($C120,7,15)&gt;=$W$117,$Z$117*(1+($U$117)/100)^MAX(0,$C120-$AC$117),IF(DATE($C120,7,15)&gt;=$V$117,$Y$117*(1+($U$117)/100)^MAX(0,$C120-$AB$117),0)))))</f>
      </c>
      <c r="L120" s="43">
        <f>IF($S$117=0,0,IF(OR(DATE($C120,8,15)&lt;$S$117,AND($T$117&gt;0,DATE($C120,8,15)&gt;$T$117)),0,IF(DATE($C120,8,15)&gt;=$X$117,$AA$117*(1+($U$117)/100)^MAX(0,$C120-$AD$117),IF(DATE($C120,8,15)&gt;=$W$117,$Z$117*(1+($U$117)/100)^MAX(0,$C120-$AC$117),IF(DATE($C120,8,15)&gt;=$V$117,$Y$117*(1+($U$117)/100)^MAX(0,$C120-$AB$117),0)))))</f>
      </c>
      <c r="M120" s="43">
        <f>IF($S$117=0,0,IF(OR(DATE($C120,9,15)&lt;$S$117,AND($T$117&gt;0,DATE($C120,9,15)&gt;$T$117)),0,IF(DATE($C120,9,15)&gt;=$X$117,$AA$117*(1+($U$117)/100)^MAX(0,$C120-$AD$117),IF(DATE($C120,9,15)&gt;=$W$117,$Z$117*(1+($U$117)/100)^MAX(0,$C120-$AC$117),IF(DATE($C120,9,15)&gt;=$V$117,$Y$117*(1+($U$117)/100)^MAX(0,$C120-$AB$117),0)))))</f>
      </c>
      <c r="N120" s="43">
        <f>IF($S$117=0,0,IF(OR(DATE($C120,10,15)&lt;$S$117,AND($T$117&gt;0,DATE($C120,10,15)&gt;$T$117)),0,IF(DATE($C120,10,15)&gt;=$X$117,$AA$117*(1+($U$117)/100)^MAX(0,$C120-$AD$117),IF(DATE($C120,10,15)&gt;=$W$117,$Z$117*(1+($U$117)/100)^MAX(0,$C120-$AC$117),IF(DATE($C120,10,15)&gt;=$V$117,$Y$117*(1+($U$117)/100)^MAX(0,$C120-$AB$117),0)))))</f>
      </c>
      <c r="O120" s="43">
        <f>IF($S$117=0,0,IF(OR(DATE($C120,11,15)&lt;$S$117,AND($T$117&gt;0,DATE($C120,11,15)&gt;$T$117)),0,IF(DATE($C120,11,15)&gt;=$X$117,$AA$117*(1+($U$117)/100)^MAX(0,$C120-$AD$117),IF(DATE($C120,11,15)&gt;=$W$117,$Z$117*(1+($U$117)/100)^MAX(0,$C120-$AC$117),IF(DATE($C120,11,15)&gt;=$V$117,$Y$117*(1+($U$117)/100)^MAX(0,$C120-$AB$117),0)))))</f>
      </c>
      <c r="P120" s="43">
        <f>IF($S$117=0,0,IF(OR(DATE($C120,12,15)&lt;$S$117,AND($T$117&gt;0,DATE($C120,12,15)&gt;$T$117)),0,IF(DATE($C120,12,15)&gt;=$X$117,$AA$117*(1+($U$117)/100)^MAX(0,$C120-$AD$117),IF(DATE($C120,12,15)&gt;=$W$117,$Z$117*(1+($U$117)/100)^MAX(0,$C120-$AC$117),IF(DATE($C120,12,15)&gt;=$V$117,$Y$117*(1+($U$117)/100)^MAX(0,$C120-$AB$117),0)))))</f>
      </c>
      <c r="Q120" s="43">
        <f>SUM($E120:$P120)</f>
      </c>
    </row>
    <row r="121">
      <c r="A121"/>
      <c r="B121">
        <v>4</v>
      </c>
      <c r="C121" s="43">
        <f>Jahr+4</f>
      </c>
      <c r="D121" s="43">
        <f>INDEX(MvObj,4)</f>
      </c>
      <c r="E121" s="43">
        <f>IF($S$117=0,0,IF(OR(DATE($C121,1,15)&lt;$S$117,AND($T$117&gt;0,DATE($C121,1,15)&gt;$T$117)),0,IF(DATE($C121,1,15)&gt;=$X$117,$AA$117*(1+($U$117)/100)^MAX(0,$C121-$AD$117),IF(DATE($C121,1,15)&gt;=$W$117,$Z$117*(1+($U$117)/100)^MAX(0,$C121-$AC$117),IF(DATE($C121,1,15)&gt;=$V$117,$Y$117*(1+($U$117)/100)^MAX(0,$C121-$AB$117),0)))))</f>
      </c>
      <c r="F121" s="43">
        <f>IF($S$117=0,0,IF(OR(DATE($C121,2,15)&lt;$S$117,AND($T$117&gt;0,DATE($C121,2,15)&gt;$T$117)),0,IF(DATE($C121,2,15)&gt;=$X$117,$AA$117*(1+($U$117)/100)^MAX(0,$C121-$AD$117),IF(DATE($C121,2,15)&gt;=$W$117,$Z$117*(1+($U$117)/100)^MAX(0,$C121-$AC$117),IF(DATE($C121,2,15)&gt;=$V$117,$Y$117*(1+($U$117)/100)^MAX(0,$C121-$AB$117),0)))))</f>
      </c>
      <c r="G121" s="43">
        <f>IF($S$117=0,0,IF(OR(DATE($C121,3,15)&lt;$S$117,AND($T$117&gt;0,DATE($C121,3,15)&gt;$T$117)),0,IF(DATE($C121,3,15)&gt;=$X$117,$AA$117*(1+($U$117)/100)^MAX(0,$C121-$AD$117),IF(DATE($C121,3,15)&gt;=$W$117,$Z$117*(1+($U$117)/100)^MAX(0,$C121-$AC$117),IF(DATE($C121,3,15)&gt;=$V$117,$Y$117*(1+($U$117)/100)^MAX(0,$C121-$AB$117),0)))))</f>
      </c>
      <c r="H121" s="43">
        <f>IF($S$117=0,0,IF(OR(DATE($C121,4,15)&lt;$S$117,AND($T$117&gt;0,DATE($C121,4,15)&gt;$T$117)),0,IF(DATE($C121,4,15)&gt;=$X$117,$AA$117*(1+($U$117)/100)^MAX(0,$C121-$AD$117),IF(DATE($C121,4,15)&gt;=$W$117,$Z$117*(1+($U$117)/100)^MAX(0,$C121-$AC$117),IF(DATE($C121,4,15)&gt;=$V$117,$Y$117*(1+($U$117)/100)^MAX(0,$C121-$AB$117),0)))))</f>
      </c>
      <c r="I121" s="43">
        <f>IF($S$117=0,0,IF(OR(DATE($C121,5,15)&lt;$S$117,AND($T$117&gt;0,DATE($C121,5,15)&gt;$T$117)),0,IF(DATE($C121,5,15)&gt;=$X$117,$AA$117*(1+($U$117)/100)^MAX(0,$C121-$AD$117),IF(DATE($C121,5,15)&gt;=$W$117,$Z$117*(1+($U$117)/100)^MAX(0,$C121-$AC$117),IF(DATE($C121,5,15)&gt;=$V$117,$Y$117*(1+($U$117)/100)^MAX(0,$C121-$AB$117),0)))))</f>
      </c>
      <c r="J121" s="43">
        <f>IF($S$117=0,0,IF(OR(DATE($C121,6,15)&lt;$S$117,AND($T$117&gt;0,DATE($C121,6,15)&gt;$T$117)),0,IF(DATE($C121,6,15)&gt;=$X$117,$AA$117*(1+($U$117)/100)^MAX(0,$C121-$AD$117),IF(DATE($C121,6,15)&gt;=$W$117,$Z$117*(1+($U$117)/100)^MAX(0,$C121-$AC$117),IF(DATE($C121,6,15)&gt;=$V$117,$Y$117*(1+($U$117)/100)^MAX(0,$C121-$AB$117),0)))))</f>
      </c>
      <c r="K121" s="43">
        <f>IF($S$117=0,0,IF(OR(DATE($C121,7,15)&lt;$S$117,AND($T$117&gt;0,DATE($C121,7,15)&gt;$T$117)),0,IF(DATE($C121,7,15)&gt;=$X$117,$AA$117*(1+($U$117)/100)^MAX(0,$C121-$AD$117),IF(DATE($C121,7,15)&gt;=$W$117,$Z$117*(1+($U$117)/100)^MAX(0,$C121-$AC$117),IF(DATE($C121,7,15)&gt;=$V$117,$Y$117*(1+($U$117)/100)^MAX(0,$C121-$AB$117),0)))))</f>
      </c>
      <c r="L121" s="43">
        <f>IF($S$117=0,0,IF(OR(DATE($C121,8,15)&lt;$S$117,AND($T$117&gt;0,DATE($C121,8,15)&gt;$T$117)),0,IF(DATE($C121,8,15)&gt;=$X$117,$AA$117*(1+($U$117)/100)^MAX(0,$C121-$AD$117),IF(DATE($C121,8,15)&gt;=$W$117,$Z$117*(1+($U$117)/100)^MAX(0,$C121-$AC$117),IF(DATE($C121,8,15)&gt;=$V$117,$Y$117*(1+($U$117)/100)^MAX(0,$C121-$AB$117),0)))))</f>
      </c>
      <c r="M121" s="43">
        <f>IF($S$117=0,0,IF(OR(DATE($C121,9,15)&lt;$S$117,AND($T$117&gt;0,DATE($C121,9,15)&gt;$T$117)),0,IF(DATE($C121,9,15)&gt;=$X$117,$AA$117*(1+($U$117)/100)^MAX(0,$C121-$AD$117),IF(DATE($C121,9,15)&gt;=$W$117,$Z$117*(1+($U$117)/100)^MAX(0,$C121-$AC$117),IF(DATE($C121,9,15)&gt;=$V$117,$Y$117*(1+($U$117)/100)^MAX(0,$C121-$AB$117),0)))))</f>
      </c>
      <c r="N121" s="43">
        <f>IF($S$117=0,0,IF(OR(DATE($C121,10,15)&lt;$S$117,AND($T$117&gt;0,DATE($C121,10,15)&gt;$T$117)),0,IF(DATE($C121,10,15)&gt;=$X$117,$AA$117*(1+($U$117)/100)^MAX(0,$C121-$AD$117),IF(DATE($C121,10,15)&gt;=$W$117,$Z$117*(1+($U$117)/100)^MAX(0,$C121-$AC$117),IF(DATE($C121,10,15)&gt;=$V$117,$Y$117*(1+($U$117)/100)^MAX(0,$C121-$AB$117),0)))))</f>
      </c>
      <c r="O121" s="43">
        <f>IF($S$117=0,0,IF(OR(DATE($C121,11,15)&lt;$S$117,AND($T$117&gt;0,DATE($C121,11,15)&gt;$T$117)),0,IF(DATE($C121,11,15)&gt;=$X$117,$AA$117*(1+($U$117)/100)^MAX(0,$C121-$AD$117),IF(DATE($C121,11,15)&gt;=$W$117,$Z$117*(1+($U$117)/100)^MAX(0,$C121-$AC$117),IF(DATE($C121,11,15)&gt;=$V$117,$Y$117*(1+($U$117)/100)^MAX(0,$C121-$AB$117),0)))))</f>
      </c>
      <c r="P121" s="43">
        <f>IF($S$117=0,0,IF(OR(DATE($C121,12,15)&lt;$S$117,AND($T$117&gt;0,DATE($C121,12,15)&gt;$T$117)),0,IF(DATE($C121,12,15)&gt;=$X$117,$AA$117*(1+($U$117)/100)^MAX(0,$C121-$AD$117),IF(DATE($C121,12,15)&gt;=$W$117,$Z$117*(1+($U$117)/100)^MAX(0,$C121-$AC$117),IF(DATE($C121,12,15)&gt;=$V$117,$Y$117*(1+($U$117)/100)^MAX(0,$C121-$AB$117),0)))))</f>
      </c>
      <c r="Q121" s="43">
        <f>SUM($E121:$P121)</f>
      </c>
    </row>
    <row r="122">
      <c r="A122"/>
      <c r="B122">
        <v>4</v>
      </c>
      <c r="C122" s="43">
        <f>Jahr+5</f>
      </c>
      <c r="D122" s="43">
        <f>INDEX(MvObj,4)</f>
      </c>
      <c r="E122" s="43">
        <f>IF($S$117=0,0,IF(OR(DATE($C122,1,15)&lt;$S$117,AND($T$117&gt;0,DATE($C122,1,15)&gt;$T$117)),0,IF(DATE($C122,1,15)&gt;=$X$117,$AA$117*(1+($U$117)/100)^MAX(0,$C122-$AD$117),IF(DATE($C122,1,15)&gt;=$W$117,$Z$117*(1+($U$117)/100)^MAX(0,$C122-$AC$117),IF(DATE($C122,1,15)&gt;=$V$117,$Y$117*(1+($U$117)/100)^MAX(0,$C122-$AB$117),0)))))</f>
      </c>
      <c r="F122" s="43">
        <f>IF($S$117=0,0,IF(OR(DATE($C122,2,15)&lt;$S$117,AND($T$117&gt;0,DATE($C122,2,15)&gt;$T$117)),0,IF(DATE($C122,2,15)&gt;=$X$117,$AA$117*(1+($U$117)/100)^MAX(0,$C122-$AD$117),IF(DATE($C122,2,15)&gt;=$W$117,$Z$117*(1+($U$117)/100)^MAX(0,$C122-$AC$117),IF(DATE($C122,2,15)&gt;=$V$117,$Y$117*(1+($U$117)/100)^MAX(0,$C122-$AB$117),0)))))</f>
      </c>
      <c r="G122" s="43">
        <f>IF($S$117=0,0,IF(OR(DATE($C122,3,15)&lt;$S$117,AND($T$117&gt;0,DATE($C122,3,15)&gt;$T$117)),0,IF(DATE($C122,3,15)&gt;=$X$117,$AA$117*(1+($U$117)/100)^MAX(0,$C122-$AD$117),IF(DATE($C122,3,15)&gt;=$W$117,$Z$117*(1+($U$117)/100)^MAX(0,$C122-$AC$117),IF(DATE($C122,3,15)&gt;=$V$117,$Y$117*(1+($U$117)/100)^MAX(0,$C122-$AB$117),0)))))</f>
      </c>
      <c r="H122" s="43">
        <f>IF($S$117=0,0,IF(OR(DATE($C122,4,15)&lt;$S$117,AND($T$117&gt;0,DATE($C122,4,15)&gt;$T$117)),0,IF(DATE($C122,4,15)&gt;=$X$117,$AA$117*(1+($U$117)/100)^MAX(0,$C122-$AD$117),IF(DATE($C122,4,15)&gt;=$W$117,$Z$117*(1+($U$117)/100)^MAX(0,$C122-$AC$117),IF(DATE($C122,4,15)&gt;=$V$117,$Y$117*(1+($U$117)/100)^MAX(0,$C122-$AB$117),0)))))</f>
      </c>
      <c r="I122" s="43">
        <f>IF($S$117=0,0,IF(OR(DATE($C122,5,15)&lt;$S$117,AND($T$117&gt;0,DATE($C122,5,15)&gt;$T$117)),0,IF(DATE($C122,5,15)&gt;=$X$117,$AA$117*(1+($U$117)/100)^MAX(0,$C122-$AD$117),IF(DATE($C122,5,15)&gt;=$W$117,$Z$117*(1+($U$117)/100)^MAX(0,$C122-$AC$117),IF(DATE($C122,5,15)&gt;=$V$117,$Y$117*(1+($U$117)/100)^MAX(0,$C122-$AB$117),0)))))</f>
      </c>
      <c r="J122" s="43">
        <f>IF($S$117=0,0,IF(OR(DATE($C122,6,15)&lt;$S$117,AND($T$117&gt;0,DATE($C122,6,15)&gt;$T$117)),0,IF(DATE($C122,6,15)&gt;=$X$117,$AA$117*(1+($U$117)/100)^MAX(0,$C122-$AD$117),IF(DATE($C122,6,15)&gt;=$W$117,$Z$117*(1+($U$117)/100)^MAX(0,$C122-$AC$117),IF(DATE($C122,6,15)&gt;=$V$117,$Y$117*(1+($U$117)/100)^MAX(0,$C122-$AB$117),0)))))</f>
      </c>
      <c r="K122" s="43">
        <f>IF($S$117=0,0,IF(OR(DATE($C122,7,15)&lt;$S$117,AND($T$117&gt;0,DATE($C122,7,15)&gt;$T$117)),0,IF(DATE($C122,7,15)&gt;=$X$117,$AA$117*(1+($U$117)/100)^MAX(0,$C122-$AD$117),IF(DATE($C122,7,15)&gt;=$W$117,$Z$117*(1+($U$117)/100)^MAX(0,$C122-$AC$117),IF(DATE($C122,7,15)&gt;=$V$117,$Y$117*(1+($U$117)/100)^MAX(0,$C122-$AB$117),0)))))</f>
      </c>
      <c r="L122" s="43">
        <f>IF($S$117=0,0,IF(OR(DATE($C122,8,15)&lt;$S$117,AND($T$117&gt;0,DATE($C122,8,15)&gt;$T$117)),0,IF(DATE($C122,8,15)&gt;=$X$117,$AA$117*(1+($U$117)/100)^MAX(0,$C122-$AD$117),IF(DATE($C122,8,15)&gt;=$W$117,$Z$117*(1+($U$117)/100)^MAX(0,$C122-$AC$117),IF(DATE($C122,8,15)&gt;=$V$117,$Y$117*(1+($U$117)/100)^MAX(0,$C122-$AB$117),0)))))</f>
      </c>
      <c r="M122" s="43">
        <f>IF($S$117=0,0,IF(OR(DATE($C122,9,15)&lt;$S$117,AND($T$117&gt;0,DATE($C122,9,15)&gt;$T$117)),0,IF(DATE($C122,9,15)&gt;=$X$117,$AA$117*(1+($U$117)/100)^MAX(0,$C122-$AD$117),IF(DATE($C122,9,15)&gt;=$W$117,$Z$117*(1+($U$117)/100)^MAX(0,$C122-$AC$117),IF(DATE($C122,9,15)&gt;=$V$117,$Y$117*(1+($U$117)/100)^MAX(0,$C122-$AB$117),0)))))</f>
      </c>
      <c r="N122" s="43">
        <f>IF($S$117=0,0,IF(OR(DATE($C122,10,15)&lt;$S$117,AND($T$117&gt;0,DATE($C122,10,15)&gt;$T$117)),0,IF(DATE($C122,10,15)&gt;=$X$117,$AA$117*(1+($U$117)/100)^MAX(0,$C122-$AD$117),IF(DATE($C122,10,15)&gt;=$W$117,$Z$117*(1+($U$117)/100)^MAX(0,$C122-$AC$117),IF(DATE($C122,10,15)&gt;=$V$117,$Y$117*(1+($U$117)/100)^MAX(0,$C122-$AB$117),0)))))</f>
      </c>
      <c r="O122" s="43">
        <f>IF($S$117=0,0,IF(OR(DATE($C122,11,15)&lt;$S$117,AND($T$117&gt;0,DATE($C122,11,15)&gt;$T$117)),0,IF(DATE($C122,11,15)&gt;=$X$117,$AA$117*(1+($U$117)/100)^MAX(0,$C122-$AD$117),IF(DATE($C122,11,15)&gt;=$W$117,$Z$117*(1+($U$117)/100)^MAX(0,$C122-$AC$117),IF(DATE($C122,11,15)&gt;=$V$117,$Y$117*(1+($U$117)/100)^MAX(0,$C122-$AB$117),0)))))</f>
      </c>
      <c r="P122" s="43">
        <f>IF($S$117=0,0,IF(OR(DATE($C122,12,15)&lt;$S$117,AND($T$117&gt;0,DATE($C122,12,15)&gt;$T$117)),0,IF(DATE($C122,12,15)&gt;=$X$117,$AA$117*(1+($U$117)/100)^MAX(0,$C122-$AD$117),IF(DATE($C122,12,15)&gt;=$W$117,$Z$117*(1+($U$117)/100)^MAX(0,$C122-$AC$117),IF(DATE($C122,12,15)&gt;=$V$117,$Y$117*(1+($U$117)/100)^MAX(0,$C122-$AB$117),0)))))</f>
      </c>
      <c r="Q122" s="43">
        <f>SUM($E122:$P122)</f>
      </c>
    </row>
    <row r="123">
      <c r="A123"/>
      <c r="B123">
        <v>4</v>
      </c>
      <c r="C123" s="43">
        <f>Jahr+6</f>
      </c>
      <c r="D123" s="43">
        <f>INDEX(MvObj,4)</f>
      </c>
      <c r="E123" s="43">
        <f>IF($S$117=0,0,IF(OR(DATE($C123,1,15)&lt;$S$117,AND($T$117&gt;0,DATE($C123,1,15)&gt;$T$117)),0,IF(DATE($C123,1,15)&gt;=$X$117,$AA$117*(1+($U$117)/100)^MAX(0,$C123-$AD$117),IF(DATE($C123,1,15)&gt;=$W$117,$Z$117*(1+($U$117)/100)^MAX(0,$C123-$AC$117),IF(DATE($C123,1,15)&gt;=$V$117,$Y$117*(1+($U$117)/100)^MAX(0,$C123-$AB$117),0)))))</f>
      </c>
      <c r="F123" s="43">
        <f>IF($S$117=0,0,IF(OR(DATE($C123,2,15)&lt;$S$117,AND($T$117&gt;0,DATE($C123,2,15)&gt;$T$117)),0,IF(DATE($C123,2,15)&gt;=$X$117,$AA$117*(1+($U$117)/100)^MAX(0,$C123-$AD$117),IF(DATE($C123,2,15)&gt;=$W$117,$Z$117*(1+($U$117)/100)^MAX(0,$C123-$AC$117),IF(DATE($C123,2,15)&gt;=$V$117,$Y$117*(1+($U$117)/100)^MAX(0,$C123-$AB$117),0)))))</f>
      </c>
      <c r="G123" s="43">
        <f>IF($S$117=0,0,IF(OR(DATE($C123,3,15)&lt;$S$117,AND($T$117&gt;0,DATE($C123,3,15)&gt;$T$117)),0,IF(DATE($C123,3,15)&gt;=$X$117,$AA$117*(1+($U$117)/100)^MAX(0,$C123-$AD$117),IF(DATE($C123,3,15)&gt;=$W$117,$Z$117*(1+($U$117)/100)^MAX(0,$C123-$AC$117),IF(DATE($C123,3,15)&gt;=$V$117,$Y$117*(1+($U$117)/100)^MAX(0,$C123-$AB$117),0)))))</f>
      </c>
      <c r="H123" s="43">
        <f>IF($S$117=0,0,IF(OR(DATE($C123,4,15)&lt;$S$117,AND($T$117&gt;0,DATE($C123,4,15)&gt;$T$117)),0,IF(DATE($C123,4,15)&gt;=$X$117,$AA$117*(1+($U$117)/100)^MAX(0,$C123-$AD$117),IF(DATE($C123,4,15)&gt;=$W$117,$Z$117*(1+($U$117)/100)^MAX(0,$C123-$AC$117),IF(DATE($C123,4,15)&gt;=$V$117,$Y$117*(1+($U$117)/100)^MAX(0,$C123-$AB$117),0)))))</f>
      </c>
      <c r="I123" s="43">
        <f>IF($S$117=0,0,IF(OR(DATE($C123,5,15)&lt;$S$117,AND($T$117&gt;0,DATE($C123,5,15)&gt;$T$117)),0,IF(DATE($C123,5,15)&gt;=$X$117,$AA$117*(1+($U$117)/100)^MAX(0,$C123-$AD$117),IF(DATE($C123,5,15)&gt;=$W$117,$Z$117*(1+($U$117)/100)^MAX(0,$C123-$AC$117),IF(DATE($C123,5,15)&gt;=$V$117,$Y$117*(1+($U$117)/100)^MAX(0,$C123-$AB$117),0)))))</f>
      </c>
      <c r="J123" s="43">
        <f>IF($S$117=0,0,IF(OR(DATE($C123,6,15)&lt;$S$117,AND($T$117&gt;0,DATE($C123,6,15)&gt;$T$117)),0,IF(DATE($C123,6,15)&gt;=$X$117,$AA$117*(1+($U$117)/100)^MAX(0,$C123-$AD$117),IF(DATE($C123,6,15)&gt;=$W$117,$Z$117*(1+($U$117)/100)^MAX(0,$C123-$AC$117),IF(DATE($C123,6,15)&gt;=$V$117,$Y$117*(1+($U$117)/100)^MAX(0,$C123-$AB$117),0)))))</f>
      </c>
      <c r="K123" s="43">
        <f>IF($S$117=0,0,IF(OR(DATE($C123,7,15)&lt;$S$117,AND($T$117&gt;0,DATE($C123,7,15)&gt;$T$117)),0,IF(DATE($C123,7,15)&gt;=$X$117,$AA$117*(1+($U$117)/100)^MAX(0,$C123-$AD$117),IF(DATE($C123,7,15)&gt;=$W$117,$Z$117*(1+($U$117)/100)^MAX(0,$C123-$AC$117),IF(DATE($C123,7,15)&gt;=$V$117,$Y$117*(1+($U$117)/100)^MAX(0,$C123-$AB$117),0)))))</f>
      </c>
      <c r="L123" s="43">
        <f>IF($S$117=0,0,IF(OR(DATE($C123,8,15)&lt;$S$117,AND($T$117&gt;0,DATE($C123,8,15)&gt;$T$117)),0,IF(DATE($C123,8,15)&gt;=$X$117,$AA$117*(1+($U$117)/100)^MAX(0,$C123-$AD$117),IF(DATE($C123,8,15)&gt;=$W$117,$Z$117*(1+($U$117)/100)^MAX(0,$C123-$AC$117),IF(DATE($C123,8,15)&gt;=$V$117,$Y$117*(1+($U$117)/100)^MAX(0,$C123-$AB$117),0)))))</f>
      </c>
      <c r="M123" s="43">
        <f>IF($S$117=0,0,IF(OR(DATE($C123,9,15)&lt;$S$117,AND($T$117&gt;0,DATE($C123,9,15)&gt;$T$117)),0,IF(DATE($C123,9,15)&gt;=$X$117,$AA$117*(1+($U$117)/100)^MAX(0,$C123-$AD$117),IF(DATE($C123,9,15)&gt;=$W$117,$Z$117*(1+($U$117)/100)^MAX(0,$C123-$AC$117),IF(DATE($C123,9,15)&gt;=$V$117,$Y$117*(1+($U$117)/100)^MAX(0,$C123-$AB$117),0)))))</f>
      </c>
      <c r="N123" s="43">
        <f>IF($S$117=0,0,IF(OR(DATE($C123,10,15)&lt;$S$117,AND($T$117&gt;0,DATE($C123,10,15)&gt;$T$117)),0,IF(DATE($C123,10,15)&gt;=$X$117,$AA$117*(1+($U$117)/100)^MAX(0,$C123-$AD$117),IF(DATE($C123,10,15)&gt;=$W$117,$Z$117*(1+($U$117)/100)^MAX(0,$C123-$AC$117),IF(DATE($C123,10,15)&gt;=$V$117,$Y$117*(1+($U$117)/100)^MAX(0,$C123-$AB$117),0)))))</f>
      </c>
      <c r="O123" s="43">
        <f>IF($S$117=0,0,IF(OR(DATE($C123,11,15)&lt;$S$117,AND($T$117&gt;0,DATE($C123,11,15)&gt;$T$117)),0,IF(DATE($C123,11,15)&gt;=$X$117,$AA$117*(1+($U$117)/100)^MAX(0,$C123-$AD$117),IF(DATE($C123,11,15)&gt;=$W$117,$Z$117*(1+($U$117)/100)^MAX(0,$C123-$AC$117),IF(DATE($C123,11,15)&gt;=$V$117,$Y$117*(1+($U$117)/100)^MAX(0,$C123-$AB$117),0)))))</f>
      </c>
      <c r="P123" s="43">
        <f>IF($S$117=0,0,IF(OR(DATE($C123,12,15)&lt;$S$117,AND($T$117&gt;0,DATE($C123,12,15)&gt;$T$117)),0,IF(DATE($C123,12,15)&gt;=$X$117,$AA$117*(1+($U$117)/100)^MAX(0,$C123-$AD$117),IF(DATE($C123,12,15)&gt;=$W$117,$Z$117*(1+($U$117)/100)^MAX(0,$C123-$AC$117),IF(DATE($C123,12,15)&gt;=$V$117,$Y$117*(1+($U$117)/100)^MAX(0,$C123-$AB$117),0)))))</f>
      </c>
      <c r="Q123" s="43">
        <f>SUM($E123:$P123)</f>
      </c>
    </row>
    <row r="124">
      <c r="A124"/>
      <c r="B124">
        <v>4</v>
      </c>
      <c r="C124" s="43">
        <f>Jahr+7</f>
      </c>
      <c r="D124" s="43">
        <f>INDEX(MvObj,4)</f>
      </c>
      <c r="E124" s="43">
        <f>IF($S$117=0,0,IF(OR(DATE($C124,1,15)&lt;$S$117,AND($T$117&gt;0,DATE($C124,1,15)&gt;$T$117)),0,IF(DATE($C124,1,15)&gt;=$X$117,$AA$117*(1+($U$117)/100)^MAX(0,$C124-$AD$117),IF(DATE($C124,1,15)&gt;=$W$117,$Z$117*(1+($U$117)/100)^MAX(0,$C124-$AC$117),IF(DATE($C124,1,15)&gt;=$V$117,$Y$117*(1+($U$117)/100)^MAX(0,$C124-$AB$117),0)))))</f>
      </c>
      <c r="F124" s="43">
        <f>IF($S$117=0,0,IF(OR(DATE($C124,2,15)&lt;$S$117,AND($T$117&gt;0,DATE($C124,2,15)&gt;$T$117)),0,IF(DATE($C124,2,15)&gt;=$X$117,$AA$117*(1+($U$117)/100)^MAX(0,$C124-$AD$117),IF(DATE($C124,2,15)&gt;=$W$117,$Z$117*(1+($U$117)/100)^MAX(0,$C124-$AC$117),IF(DATE($C124,2,15)&gt;=$V$117,$Y$117*(1+($U$117)/100)^MAX(0,$C124-$AB$117),0)))))</f>
      </c>
      <c r="G124" s="43">
        <f>IF($S$117=0,0,IF(OR(DATE($C124,3,15)&lt;$S$117,AND($T$117&gt;0,DATE($C124,3,15)&gt;$T$117)),0,IF(DATE($C124,3,15)&gt;=$X$117,$AA$117*(1+($U$117)/100)^MAX(0,$C124-$AD$117),IF(DATE($C124,3,15)&gt;=$W$117,$Z$117*(1+($U$117)/100)^MAX(0,$C124-$AC$117),IF(DATE($C124,3,15)&gt;=$V$117,$Y$117*(1+($U$117)/100)^MAX(0,$C124-$AB$117),0)))))</f>
      </c>
      <c r="H124" s="43">
        <f>IF($S$117=0,0,IF(OR(DATE($C124,4,15)&lt;$S$117,AND($T$117&gt;0,DATE($C124,4,15)&gt;$T$117)),0,IF(DATE($C124,4,15)&gt;=$X$117,$AA$117*(1+($U$117)/100)^MAX(0,$C124-$AD$117),IF(DATE($C124,4,15)&gt;=$W$117,$Z$117*(1+($U$117)/100)^MAX(0,$C124-$AC$117),IF(DATE($C124,4,15)&gt;=$V$117,$Y$117*(1+($U$117)/100)^MAX(0,$C124-$AB$117),0)))))</f>
      </c>
      <c r="I124" s="43">
        <f>IF($S$117=0,0,IF(OR(DATE($C124,5,15)&lt;$S$117,AND($T$117&gt;0,DATE($C124,5,15)&gt;$T$117)),0,IF(DATE($C124,5,15)&gt;=$X$117,$AA$117*(1+($U$117)/100)^MAX(0,$C124-$AD$117),IF(DATE($C124,5,15)&gt;=$W$117,$Z$117*(1+($U$117)/100)^MAX(0,$C124-$AC$117),IF(DATE($C124,5,15)&gt;=$V$117,$Y$117*(1+($U$117)/100)^MAX(0,$C124-$AB$117),0)))))</f>
      </c>
      <c r="J124" s="43">
        <f>IF($S$117=0,0,IF(OR(DATE($C124,6,15)&lt;$S$117,AND($T$117&gt;0,DATE($C124,6,15)&gt;$T$117)),0,IF(DATE($C124,6,15)&gt;=$X$117,$AA$117*(1+($U$117)/100)^MAX(0,$C124-$AD$117),IF(DATE($C124,6,15)&gt;=$W$117,$Z$117*(1+($U$117)/100)^MAX(0,$C124-$AC$117),IF(DATE($C124,6,15)&gt;=$V$117,$Y$117*(1+($U$117)/100)^MAX(0,$C124-$AB$117),0)))))</f>
      </c>
      <c r="K124" s="43">
        <f>IF($S$117=0,0,IF(OR(DATE($C124,7,15)&lt;$S$117,AND($T$117&gt;0,DATE($C124,7,15)&gt;$T$117)),0,IF(DATE($C124,7,15)&gt;=$X$117,$AA$117*(1+($U$117)/100)^MAX(0,$C124-$AD$117),IF(DATE($C124,7,15)&gt;=$W$117,$Z$117*(1+($U$117)/100)^MAX(0,$C124-$AC$117),IF(DATE($C124,7,15)&gt;=$V$117,$Y$117*(1+($U$117)/100)^MAX(0,$C124-$AB$117),0)))))</f>
      </c>
      <c r="L124" s="43">
        <f>IF($S$117=0,0,IF(OR(DATE($C124,8,15)&lt;$S$117,AND($T$117&gt;0,DATE($C124,8,15)&gt;$T$117)),0,IF(DATE($C124,8,15)&gt;=$X$117,$AA$117*(1+($U$117)/100)^MAX(0,$C124-$AD$117),IF(DATE($C124,8,15)&gt;=$W$117,$Z$117*(1+($U$117)/100)^MAX(0,$C124-$AC$117),IF(DATE($C124,8,15)&gt;=$V$117,$Y$117*(1+($U$117)/100)^MAX(0,$C124-$AB$117),0)))))</f>
      </c>
      <c r="M124" s="43">
        <f>IF($S$117=0,0,IF(OR(DATE($C124,9,15)&lt;$S$117,AND($T$117&gt;0,DATE($C124,9,15)&gt;$T$117)),0,IF(DATE($C124,9,15)&gt;=$X$117,$AA$117*(1+($U$117)/100)^MAX(0,$C124-$AD$117),IF(DATE($C124,9,15)&gt;=$W$117,$Z$117*(1+($U$117)/100)^MAX(0,$C124-$AC$117),IF(DATE($C124,9,15)&gt;=$V$117,$Y$117*(1+($U$117)/100)^MAX(0,$C124-$AB$117),0)))))</f>
      </c>
      <c r="N124" s="43">
        <f>IF($S$117=0,0,IF(OR(DATE($C124,10,15)&lt;$S$117,AND($T$117&gt;0,DATE($C124,10,15)&gt;$T$117)),0,IF(DATE($C124,10,15)&gt;=$X$117,$AA$117*(1+($U$117)/100)^MAX(0,$C124-$AD$117),IF(DATE($C124,10,15)&gt;=$W$117,$Z$117*(1+($U$117)/100)^MAX(0,$C124-$AC$117),IF(DATE($C124,10,15)&gt;=$V$117,$Y$117*(1+($U$117)/100)^MAX(0,$C124-$AB$117),0)))))</f>
      </c>
      <c r="O124" s="43">
        <f>IF($S$117=0,0,IF(OR(DATE($C124,11,15)&lt;$S$117,AND($T$117&gt;0,DATE($C124,11,15)&gt;$T$117)),0,IF(DATE($C124,11,15)&gt;=$X$117,$AA$117*(1+($U$117)/100)^MAX(0,$C124-$AD$117),IF(DATE($C124,11,15)&gt;=$W$117,$Z$117*(1+($U$117)/100)^MAX(0,$C124-$AC$117),IF(DATE($C124,11,15)&gt;=$V$117,$Y$117*(1+($U$117)/100)^MAX(0,$C124-$AB$117),0)))))</f>
      </c>
      <c r="P124" s="43">
        <f>IF($S$117=0,0,IF(OR(DATE($C124,12,15)&lt;$S$117,AND($T$117&gt;0,DATE($C124,12,15)&gt;$T$117)),0,IF(DATE($C124,12,15)&gt;=$X$117,$AA$117*(1+($U$117)/100)^MAX(0,$C124-$AD$117),IF(DATE($C124,12,15)&gt;=$W$117,$Z$117*(1+($U$117)/100)^MAX(0,$C124-$AC$117),IF(DATE($C124,12,15)&gt;=$V$117,$Y$117*(1+($U$117)/100)^MAX(0,$C124-$AB$117),0)))))</f>
      </c>
      <c r="Q124" s="43">
        <f>SUM($E124:$P124)</f>
      </c>
    </row>
    <row r="125">
      <c r="A125"/>
      <c r="B125">
        <v>4</v>
      </c>
      <c r="C125" s="43">
        <f>Jahr+8</f>
      </c>
      <c r="D125" s="43">
        <f>INDEX(MvObj,4)</f>
      </c>
      <c r="E125" s="43">
        <f>IF($S$117=0,0,IF(OR(DATE($C125,1,15)&lt;$S$117,AND($T$117&gt;0,DATE($C125,1,15)&gt;$T$117)),0,IF(DATE($C125,1,15)&gt;=$X$117,$AA$117*(1+($U$117)/100)^MAX(0,$C125-$AD$117),IF(DATE($C125,1,15)&gt;=$W$117,$Z$117*(1+($U$117)/100)^MAX(0,$C125-$AC$117),IF(DATE($C125,1,15)&gt;=$V$117,$Y$117*(1+($U$117)/100)^MAX(0,$C125-$AB$117),0)))))</f>
      </c>
      <c r="F125" s="43">
        <f>IF($S$117=0,0,IF(OR(DATE($C125,2,15)&lt;$S$117,AND($T$117&gt;0,DATE($C125,2,15)&gt;$T$117)),0,IF(DATE($C125,2,15)&gt;=$X$117,$AA$117*(1+($U$117)/100)^MAX(0,$C125-$AD$117),IF(DATE($C125,2,15)&gt;=$W$117,$Z$117*(1+($U$117)/100)^MAX(0,$C125-$AC$117),IF(DATE($C125,2,15)&gt;=$V$117,$Y$117*(1+($U$117)/100)^MAX(0,$C125-$AB$117),0)))))</f>
      </c>
      <c r="G125" s="43">
        <f>IF($S$117=0,0,IF(OR(DATE($C125,3,15)&lt;$S$117,AND($T$117&gt;0,DATE($C125,3,15)&gt;$T$117)),0,IF(DATE($C125,3,15)&gt;=$X$117,$AA$117*(1+($U$117)/100)^MAX(0,$C125-$AD$117),IF(DATE($C125,3,15)&gt;=$W$117,$Z$117*(1+($U$117)/100)^MAX(0,$C125-$AC$117),IF(DATE($C125,3,15)&gt;=$V$117,$Y$117*(1+($U$117)/100)^MAX(0,$C125-$AB$117),0)))))</f>
      </c>
      <c r="H125" s="43">
        <f>IF($S$117=0,0,IF(OR(DATE($C125,4,15)&lt;$S$117,AND($T$117&gt;0,DATE($C125,4,15)&gt;$T$117)),0,IF(DATE($C125,4,15)&gt;=$X$117,$AA$117*(1+($U$117)/100)^MAX(0,$C125-$AD$117),IF(DATE($C125,4,15)&gt;=$W$117,$Z$117*(1+($U$117)/100)^MAX(0,$C125-$AC$117),IF(DATE($C125,4,15)&gt;=$V$117,$Y$117*(1+($U$117)/100)^MAX(0,$C125-$AB$117),0)))))</f>
      </c>
      <c r="I125" s="43">
        <f>IF($S$117=0,0,IF(OR(DATE($C125,5,15)&lt;$S$117,AND($T$117&gt;0,DATE($C125,5,15)&gt;$T$117)),0,IF(DATE($C125,5,15)&gt;=$X$117,$AA$117*(1+($U$117)/100)^MAX(0,$C125-$AD$117),IF(DATE($C125,5,15)&gt;=$W$117,$Z$117*(1+($U$117)/100)^MAX(0,$C125-$AC$117),IF(DATE($C125,5,15)&gt;=$V$117,$Y$117*(1+($U$117)/100)^MAX(0,$C125-$AB$117),0)))))</f>
      </c>
      <c r="J125" s="43">
        <f>IF($S$117=0,0,IF(OR(DATE($C125,6,15)&lt;$S$117,AND($T$117&gt;0,DATE($C125,6,15)&gt;$T$117)),0,IF(DATE($C125,6,15)&gt;=$X$117,$AA$117*(1+($U$117)/100)^MAX(0,$C125-$AD$117),IF(DATE($C125,6,15)&gt;=$W$117,$Z$117*(1+($U$117)/100)^MAX(0,$C125-$AC$117),IF(DATE($C125,6,15)&gt;=$V$117,$Y$117*(1+($U$117)/100)^MAX(0,$C125-$AB$117),0)))))</f>
      </c>
      <c r="K125" s="43">
        <f>IF($S$117=0,0,IF(OR(DATE($C125,7,15)&lt;$S$117,AND($T$117&gt;0,DATE($C125,7,15)&gt;$T$117)),0,IF(DATE($C125,7,15)&gt;=$X$117,$AA$117*(1+($U$117)/100)^MAX(0,$C125-$AD$117),IF(DATE($C125,7,15)&gt;=$W$117,$Z$117*(1+($U$117)/100)^MAX(0,$C125-$AC$117),IF(DATE($C125,7,15)&gt;=$V$117,$Y$117*(1+($U$117)/100)^MAX(0,$C125-$AB$117),0)))))</f>
      </c>
      <c r="L125" s="43">
        <f>IF($S$117=0,0,IF(OR(DATE($C125,8,15)&lt;$S$117,AND($T$117&gt;0,DATE($C125,8,15)&gt;$T$117)),0,IF(DATE($C125,8,15)&gt;=$X$117,$AA$117*(1+($U$117)/100)^MAX(0,$C125-$AD$117),IF(DATE($C125,8,15)&gt;=$W$117,$Z$117*(1+($U$117)/100)^MAX(0,$C125-$AC$117),IF(DATE($C125,8,15)&gt;=$V$117,$Y$117*(1+($U$117)/100)^MAX(0,$C125-$AB$117),0)))))</f>
      </c>
      <c r="M125" s="43">
        <f>IF($S$117=0,0,IF(OR(DATE($C125,9,15)&lt;$S$117,AND($T$117&gt;0,DATE($C125,9,15)&gt;$T$117)),0,IF(DATE($C125,9,15)&gt;=$X$117,$AA$117*(1+($U$117)/100)^MAX(0,$C125-$AD$117),IF(DATE($C125,9,15)&gt;=$W$117,$Z$117*(1+($U$117)/100)^MAX(0,$C125-$AC$117),IF(DATE($C125,9,15)&gt;=$V$117,$Y$117*(1+($U$117)/100)^MAX(0,$C125-$AB$117),0)))))</f>
      </c>
      <c r="N125" s="43">
        <f>IF($S$117=0,0,IF(OR(DATE($C125,10,15)&lt;$S$117,AND($T$117&gt;0,DATE($C125,10,15)&gt;$T$117)),0,IF(DATE($C125,10,15)&gt;=$X$117,$AA$117*(1+($U$117)/100)^MAX(0,$C125-$AD$117),IF(DATE($C125,10,15)&gt;=$W$117,$Z$117*(1+($U$117)/100)^MAX(0,$C125-$AC$117),IF(DATE($C125,10,15)&gt;=$V$117,$Y$117*(1+($U$117)/100)^MAX(0,$C125-$AB$117),0)))))</f>
      </c>
      <c r="O125" s="43">
        <f>IF($S$117=0,0,IF(OR(DATE($C125,11,15)&lt;$S$117,AND($T$117&gt;0,DATE($C125,11,15)&gt;$T$117)),0,IF(DATE($C125,11,15)&gt;=$X$117,$AA$117*(1+($U$117)/100)^MAX(0,$C125-$AD$117),IF(DATE($C125,11,15)&gt;=$W$117,$Z$117*(1+($U$117)/100)^MAX(0,$C125-$AC$117),IF(DATE($C125,11,15)&gt;=$V$117,$Y$117*(1+($U$117)/100)^MAX(0,$C125-$AB$117),0)))))</f>
      </c>
      <c r="P125" s="43">
        <f>IF($S$117=0,0,IF(OR(DATE($C125,12,15)&lt;$S$117,AND($T$117&gt;0,DATE($C125,12,15)&gt;$T$117)),0,IF(DATE($C125,12,15)&gt;=$X$117,$AA$117*(1+($U$117)/100)^MAX(0,$C125-$AD$117),IF(DATE($C125,12,15)&gt;=$W$117,$Z$117*(1+($U$117)/100)^MAX(0,$C125-$AC$117),IF(DATE($C125,12,15)&gt;=$V$117,$Y$117*(1+($U$117)/100)^MAX(0,$C125-$AB$117),0)))))</f>
      </c>
      <c r="Q125" s="43">
        <f>SUM($E125:$P125)</f>
      </c>
    </row>
    <row r="126">
      <c r="A126"/>
      <c r="B126">
        <v>4</v>
      </c>
      <c r="C126" s="43">
        <f>Jahr+9</f>
      </c>
      <c r="D126" s="43">
        <f>INDEX(MvObj,4)</f>
      </c>
      <c r="E126" s="43">
        <f>IF($S$117=0,0,IF(OR(DATE($C126,1,15)&lt;$S$117,AND($T$117&gt;0,DATE($C126,1,15)&gt;$T$117)),0,IF(DATE($C126,1,15)&gt;=$X$117,$AA$117*(1+($U$117)/100)^MAX(0,$C126-$AD$117),IF(DATE($C126,1,15)&gt;=$W$117,$Z$117*(1+($U$117)/100)^MAX(0,$C126-$AC$117),IF(DATE($C126,1,15)&gt;=$V$117,$Y$117*(1+($U$117)/100)^MAX(0,$C126-$AB$117),0)))))</f>
      </c>
      <c r="F126" s="43">
        <f>IF($S$117=0,0,IF(OR(DATE($C126,2,15)&lt;$S$117,AND($T$117&gt;0,DATE($C126,2,15)&gt;$T$117)),0,IF(DATE($C126,2,15)&gt;=$X$117,$AA$117*(1+($U$117)/100)^MAX(0,$C126-$AD$117),IF(DATE($C126,2,15)&gt;=$W$117,$Z$117*(1+($U$117)/100)^MAX(0,$C126-$AC$117),IF(DATE($C126,2,15)&gt;=$V$117,$Y$117*(1+($U$117)/100)^MAX(0,$C126-$AB$117),0)))))</f>
      </c>
      <c r="G126" s="43">
        <f>IF($S$117=0,0,IF(OR(DATE($C126,3,15)&lt;$S$117,AND($T$117&gt;0,DATE($C126,3,15)&gt;$T$117)),0,IF(DATE($C126,3,15)&gt;=$X$117,$AA$117*(1+($U$117)/100)^MAX(0,$C126-$AD$117),IF(DATE($C126,3,15)&gt;=$W$117,$Z$117*(1+($U$117)/100)^MAX(0,$C126-$AC$117),IF(DATE($C126,3,15)&gt;=$V$117,$Y$117*(1+($U$117)/100)^MAX(0,$C126-$AB$117),0)))))</f>
      </c>
      <c r="H126" s="43">
        <f>IF($S$117=0,0,IF(OR(DATE($C126,4,15)&lt;$S$117,AND($T$117&gt;0,DATE($C126,4,15)&gt;$T$117)),0,IF(DATE($C126,4,15)&gt;=$X$117,$AA$117*(1+($U$117)/100)^MAX(0,$C126-$AD$117),IF(DATE($C126,4,15)&gt;=$W$117,$Z$117*(1+($U$117)/100)^MAX(0,$C126-$AC$117),IF(DATE($C126,4,15)&gt;=$V$117,$Y$117*(1+($U$117)/100)^MAX(0,$C126-$AB$117),0)))))</f>
      </c>
      <c r="I126" s="43">
        <f>IF($S$117=0,0,IF(OR(DATE($C126,5,15)&lt;$S$117,AND($T$117&gt;0,DATE($C126,5,15)&gt;$T$117)),0,IF(DATE($C126,5,15)&gt;=$X$117,$AA$117*(1+($U$117)/100)^MAX(0,$C126-$AD$117),IF(DATE($C126,5,15)&gt;=$W$117,$Z$117*(1+($U$117)/100)^MAX(0,$C126-$AC$117),IF(DATE($C126,5,15)&gt;=$V$117,$Y$117*(1+($U$117)/100)^MAX(0,$C126-$AB$117),0)))))</f>
      </c>
      <c r="J126" s="43">
        <f>IF($S$117=0,0,IF(OR(DATE($C126,6,15)&lt;$S$117,AND($T$117&gt;0,DATE($C126,6,15)&gt;$T$117)),0,IF(DATE($C126,6,15)&gt;=$X$117,$AA$117*(1+($U$117)/100)^MAX(0,$C126-$AD$117),IF(DATE($C126,6,15)&gt;=$W$117,$Z$117*(1+($U$117)/100)^MAX(0,$C126-$AC$117),IF(DATE($C126,6,15)&gt;=$V$117,$Y$117*(1+($U$117)/100)^MAX(0,$C126-$AB$117),0)))))</f>
      </c>
      <c r="K126" s="43">
        <f>IF($S$117=0,0,IF(OR(DATE($C126,7,15)&lt;$S$117,AND($T$117&gt;0,DATE($C126,7,15)&gt;$T$117)),0,IF(DATE($C126,7,15)&gt;=$X$117,$AA$117*(1+($U$117)/100)^MAX(0,$C126-$AD$117),IF(DATE($C126,7,15)&gt;=$W$117,$Z$117*(1+($U$117)/100)^MAX(0,$C126-$AC$117),IF(DATE($C126,7,15)&gt;=$V$117,$Y$117*(1+($U$117)/100)^MAX(0,$C126-$AB$117),0)))))</f>
      </c>
      <c r="L126" s="43">
        <f>IF($S$117=0,0,IF(OR(DATE($C126,8,15)&lt;$S$117,AND($T$117&gt;0,DATE($C126,8,15)&gt;$T$117)),0,IF(DATE($C126,8,15)&gt;=$X$117,$AA$117*(1+($U$117)/100)^MAX(0,$C126-$AD$117),IF(DATE($C126,8,15)&gt;=$W$117,$Z$117*(1+($U$117)/100)^MAX(0,$C126-$AC$117),IF(DATE($C126,8,15)&gt;=$V$117,$Y$117*(1+($U$117)/100)^MAX(0,$C126-$AB$117),0)))))</f>
      </c>
      <c r="M126" s="43">
        <f>IF($S$117=0,0,IF(OR(DATE($C126,9,15)&lt;$S$117,AND($T$117&gt;0,DATE($C126,9,15)&gt;$T$117)),0,IF(DATE($C126,9,15)&gt;=$X$117,$AA$117*(1+($U$117)/100)^MAX(0,$C126-$AD$117),IF(DATE($C126,9,15)&gt;=$W$117,$Z$117*(1+($U$117)/100)^MAX(0,$C126-$AC$117),IF(DATE($C126,9,15)&gt;=$V$117,$Y$117*(1+($U$117)/100)^MAX(0,$C126-$AB$117),0)))))</f>
      </c>
      <c r="N126" s="43">
        <f>IF($S$117=0,0,IF(OR(DATE($C126,10,15)&lt;$S$117,AND($T$117&gt;0,DATE($C126,10,15)&gt;$T$117)),0,IF(DATE($C126,10,15)&gt;=$X$117,$AA$117*(1+($U$117)/100)^MAX(0,$C126-$AD$117),IF(DATE($C126,10,15)&gt;=$W$117,$Z$117*(1+($U$117)/100)^MAX(0,$C126-$AC$117),IF(DATE($C126,10,15)&gt;=$V$117,$Y$117*(1+($U$117)/100)^MAX(0,$C126-$AB$117),0)))))</f>
      </c>
      <c r="O126" s="43">
        <f>IF($S$117=0,0,IF(OR(DATE($C126,11,15)&lt;$S$117,AND($T$117&gt;0,DATE($C126,11,15)&gt;$T$117)),0,IF(DATE($C126,11,15)&gt;=$X$117,$AA$117*(1+($U$117)/100)^MAX(0,$C126-$AD$117),IF(DATE($C126,11,15)&gt;=$W$117,$Z$117*(1+($U$117)/100)^MAX(0,$C126-$AC$117),IF(DATE($C126,11,15)&gt;=$V$117,$Y$117*(1+($U$117)/100)^MAX(0,$C126-$AB$117),0)))))</f>
      </c>
      <c r="P126" s="43">
        <f>IF($S$117=0,0,IF(OR(DATE($C126,12,15)&lt;$S$117,AND($T$117&gt;0,DATE($C126,12,15)&gt;$T$117)),0,IF(DATE($C126,12,15)&gt;=$X$117,$AA$117*(1+($U$117)/100)^MAX(0,$C126-$AD$117),IF(DATE($C126,12,15)&gt;=$W$117,$Z$117*(1+($U$117)/100)^MAX(0,$C126-$AC$117),IF(DATE($C126,12,15)&gt;=$V$117,$Y$117*(1+($U$117)/100)^MAX(0,$C126-$AB$117),0)))))</f>
      </c>
      <c r="Q126" s="43">
        <f>SUM($E126:$P126)</f>
      </c>
    </row>
    <row r="127">
      <c r="A127"/>
      <c r="B127">
        <v>4</v>
      </c>
      <c r="C127" s="43">
        <f>Jahr+10</f>
      </c>
      <c r="D127" s="43">
        <f>INDEX(MvObj,4)</f>
      </c>
      <c r="E127" s="43">
        <f>IF($S$117=0,0,IF(OR(DATE($C127,1,15)&lt;$S$117,AND($T$117&gt;0,DATE($C127,1,15)&gt;$T$117)),0,IF(DATE($C127,1,15)&gt;=$X$117,$AA$117*(1+($U$117)/100)^MAX(0,$C127-$AD$117),IF(DATE($C127,1,15)&gt;=$W$117,$Z$117*(1+($U$117)/100)^MAX(0,$C127-$AC$117),IF(DATE($C127,1,15)&gt;=$V$117,$Y$117*(1+($U$117)/100)^MAX(0,$C127-$AB$117),0)))))</f>
      </c>
      <c r="F127" s="43">
        <f>IF($S$117=0,0,IF(OR(DATE($C127,2,15)&lt;$S$117,AND($T$117&gt;0,DATE($C127,2,15)&gt;$T$117)),0,IF(DATE($C127,2,15)&gt;=$X$117,$AA$117*(1+($U$117)/100)^MAX(0,$C127-$AD$117),IF(DATE($C127,2,15)&gt;=$W$117,$Z$117*(1+($U$117)/100)^MAX(0,$C127-$AC$117),IF(DATE($C127,2,15)&gt;=$V$117,$Y$117*(1+($U$117)/100)^MAX(0,$C127-$AB$117),0)))))</f>
      </c>
      <c r="G127" s="43">
        <f>IF($S$117=0,0,IF(OR(DATE($C127,3,15)&lt;$S$117,AND($T$117&gt;0,DATE($C127,3,15)&gt;$T$117)),0,IF(DATE($C127,3,15)&gt;=$X$117,$AA$117*(1+($U$117)/100)^MAX(0,$C127-$AD$117),IF(DATE($C127,3,15)&gt;=$W$117,$Z$117*(1+($U$117)/100)^MAX(0,$C127-$AC$117),IF(DATE($C127,3,15)&gt;=$V$117,$Y$117*(1+($U$117)/100)^MAX(0,$C127-$AB$117),0)))))</f>
      </c>
      <c r="H127" s="43">
        <f>IF($S$117=0,0,IF(OR(DATE($C127,4,15)&lt;$S$117,AND($T$117&gt;0,DATE($C127,4,15)&gt;$T$117)),0,IF(DATE($C127,4,15)&gt;=$X$117,$AA$117*(1+($U$117)/100)^MAX(0,$C127-$AD$117),IF(DATE($C127,4,15)&gt;=$W$117,$Z$117*(1+($U$117)/100)^MAX(0,$C127-$AC$117),IF(DATE($C127,4,15)&gt;=$V$117,$Y$117*(1+($U$117)/100)^MAX(0,$C127-$AB$117),0)))))</f>
      </c>
      <c r="I127" s="43">
        <f>IF($S$117=0,0,IF(OR(DATE($C127,5,15)&lt;$S$117,AND($T$117&gt;0,DATE($C127,5,15)&gt;$T$117)),0,IF(DATE($C127,5,15)&gt;=$X$117,$AA$117*(1+($U$117)/100)^MAX(0,$C127-$AD$117),IF(DATE($C127,5,15)&gt;=$W$117,$Z$117*(1+($U$117)/100)^MAX(0,$C127-$AC$117),IF(DATE($C127,5,15)&gt;=$V$117,$Y$117*(1+($U$117)/100)^MAX(0,$C127-$AB$117),0)))))</f>
      </c>
      <c r="J127" s="43">
        <f>IF($S$117=0,0,IF(OR(DATE($C127,6,15)&lt;$S$117,AND($T$117&gt;0,DATE($C127,6,15)&gt;$T$117)),0,IF(DATE($C127,6,15)&gt;=$X$117,$AA$117*(1+($U$117)/100)^MAX(0,$C127-$AD$117),IF(DATE($C127,6,15)&gt;=$W$117,$Z$117*(1+($U$117)/100)^MAX(0,$C127-$AC$117),IF(DATE($C127,6,15)&gt;=$V$117,$Y$117*(1+($U$117)/100)^MAX(0,$C127-$AB$117),0)))))</f>
      </c>
      <c r="K127" s="43">
        <f>IF($S$117=0,0,IF(OR(DATE($C127,7,15)&lt;$S$117,AND($T$117&gt;0,DATE($C127,7,15)&gt;$T$117)),0,IF(DATE($C127,7,15)&gt;=$X$117,$AA$117*(1+($U$117)/100)^MAX(0,$C127-$AD$117),IF(DATE($C127,7,15)&gt;=$W$117,$Z$117*(1+($U$117)/100)^MAX(0,$C127-$AC$117),IF(DATE($C127,7,15)&gt;=$V$117,$Y$117*(1+($U$117)/100)^MAX(0,$C127-$AB$117),0)))))</f>
      </c>
      <c r="L127" s="43">
        <f>IF($S$117=0,0,IF(OR(DATE($C127,8,15)&lt;$S$117,AND($T$117&gt;0,DATE($C127,8,15)&gt;$T$117)),0,IF(DATE($C127,8,15)&gt;=$X$117,$AA$117*(1+($U$117)/100)^MAX(0,$C127-$AD$117),IF(DATE($C127,8,15)&gt;=$W$117,$Z$117*(1+($U$117)/100)^MAX(0,$C127-$AC$117),IF(DATE($C127,8,15)&gt;=$V$117,$Y$117*(1+($U$117)/100)^MAX(0,$C127-$AB$117),0)))))</f>
      </c>
      <c r="M127" s="43">
        <f>IF($S$117=0,0,IF(OR(DATE($C127,9,15)&lt;$S$117,AND($T$117&gt;0,DATE($C127,9,15)&gt;$T$117)),0,IF(DATE($C127,9,15)&gt;=$X$117,$AA$117*(1+($U$117)/100)^MAX(0,$C127-$AD$117),IF(DATE($C127,9,15)&gt;=$W$117,$Z$117*(1+($U$117)/100)^MAX(0,$C127-$AC$117),IF(DATE($C127,9,15)&gt;=$V$117,$Y$117*(1+($U$117)/100)^MAX(0,$C127-$AB$117),0)))))</f>
      </c>
      <c r="N127" s="43">
        <f>IF($S$117=0,0,IF(OR(DATE($C127,10,15)&lt;$S$117,AND($T$117&gt;0,DATE($C127,10,15)&gt;$T$117)),0,IF(DATE($C127,10,15)&gt;=$X$117,$AA$117*(1+($U$117)/100)^MAX(0,$C127-$AD$117),IF(DATE($C127,10,15)&gt;=$W$117,$Z$117*(1+($U$117)/100)^MAX(0,$C127-$AC$117),IF(DATE($C127,10,15)&gt;=$V$117,$Y$117*(1+($U$117)/100)^MAX(0,$C127-$AB$117),0)))))</f>
      </c>
      <c r="O127" s="43">
        <f>IF($S$117=0,0,IF(OR(DATE($C127,11,15)&lt;$S$117,AND($T$117&gt;0,DATE($C127,11,15)&gt;$T$117)),0,IF(DATE($C127,11,15)&gt;=$X$117,$AA$117*(1+($U$117)/100)^MAX(0,$C127-$AD$117),IF(DATE($C127,11,15)&gt;=$W$117,$Z$117*(1+($U$117)/100)^MAX(0,$C127-$AC$117),IF(DATE($C127,11,15)&gt;=$V$117,$Y$117*(1+($U$117)/100)^MAX(0,$C127-$AB$117),0)))))</f>
      </c>
      <c r="P127" s="43">
        <f>IF($S$117=0,0,IF(OR(DATE($C127,12,15)&lt;$S$117,AND($T$117&gt;0,DATE($C127,12,15)&gt;$T$117)),0,IF(DATE($C127,12,15)&gt;=$X$117,$AA$117*(1+($U$117)/100)^MAX(0,$C127-$AD$117),IF(DATE($C127,12,15)&gt;=$W$117,$Z$117*(1+($U$117)/100)^MAX(0,$C127-$AC$117),IF(DATE($C127,12,15)&gt;=$V$117,$Y$117*(1+($U$117)/100)^MAX(0,$C127-$AB$117),0)))))</f>
      </c>
      <c r="Q127" s="43">
        <f>SUM($E127:$P127)</f>
      </c>
    </row>
    <row r="128">
      <c r="A128"/>
      <c r="B128">
        <v>4</v>
      </c>
      <c r="C128" s="43">
        <f>Jahr+11</f>
      </c>
      <c r="D128" s="43">
        <f>INDEX(MvObj,4)</f>
      </c>
      <c r="E128" s="43">
        <f>IF($S$117=0,0,IF(OR(DATE($C128,1,15)&lt;$S$117,AND($T$117&gt;0,DATE($C128,1,15)&gt;$T$117)),0,IF(DATE($C128,1,15)&gt;=$X$117,$AA$117*(1+($U$117)/100)^MAX(0,$C128-$AD$117),IF(DATE($C128,1,15)&gt;=$W$117,$Z$117*(1+($U$117)/100)^MAX(0,$C128-$AC$117),IF(DATE($C128,1,15)&gt;=$V$117,$Y$117*(1+($U$117)/100)^MAX(0,$C128-$AB$117),0)))))</f>
      </c>
      <c r="F128" s="43">
        <f>IF($S$117=0,0,IF(OR(DATE($C128,2,15)&lt;$S$117,AND($T$117&gt;0,DATE($C128,2,15)&gt;$T$117)),0,IF(DATE($C128,2,15)&gt;=$X$117,$AA$117*(1+($U$117)/100)^MAX(0,$C128-$AD$117),IF(DATE($C128,2,15)&gt;=$W$117,$Z$117*(1+($U$117)/100)^MAX(0,$C128-$AC$117),IF(DATE($C128,2,15)&gt;=$V$117,$Y$117*(1+($U$117)/100)^MAX(0,$C128-$AB$117),0)))))</f>
      </c>
      <c r="G128" s="43">
        <f>IF($S$117=0,0,IF(OR(DATE($C128,3,15)&lt;$S$117,AND($T$117&gt;0,DATE($C128,3,15)&gt;$T$117)),0,IF(DATE($C128,3,15)&gt;=$X$117,$AA$117*(1+($U$117)/100)^MAX(0,$C128-$AD$117),IF(DATE($C128,3,15)&gt;=$W$117,$Z$117*(1+($U$117)/100)^MAX(0,$C128-$AC$117),IF(DATE($C128,3,15)&gt;=$V$117,$Y$117*(1+($U$117)/100)^MAX(0,$C128-$AB$117),0)))))</f>
      </c>
      <c r="H128" s="43">
        <f>IF($S$117=0,0,IF(OR(DATE($C128,4,15)&lt;$S$117,AND($T$117&gt;0,DATE($C128,4,15)&gt;$T$117)),0,IF(DATE($C128,4,15)&gt;=$X$117,$AA$117*(1+($U$117)/100)^MAX(0,$C128-$AD$117),IF(DATE($C128,4,15)&gt;=$W$117,$Z$117*(1+($U$117)/100)^MAX(0,$C128-$AC$117),IF(DATE($C128,4,15)&gt;=$V$117,$Y$117*(1+($U$117)/100)^MAX(0,$C128-$AB$117),0)))))</f>
      </c>
      <c r="I128" s="43">
        <f>IF($S$117=0,0,IF(OR(DATE($C128,5,15)&lt;$S$117,AND($T$117&gt;0,DATE($C128,5,15)&gt;$T$117)),0,IF(DATE($C128,5,15)&gt;=$X$117,$AA$117*(1+($U$117)/100)^MAX(0,$C128-$AD$117),IF(DATE($C128,5,15)&gt;=$W$117,$Z$117*(1+($U$117)/100)^MAX(0,$C128-$AC$117),IF(DATE($C128,5,15)&gt;=$V$117,$Y$117*(1+($U$117)/100)^MAX(0,$C128-$AB$117),0)))))</f>
      </c>
      <c r="J128" s="43">
        <f>IF($S$117=0,0,IF(OR(DATE($C128,6,15)&lt;$S$117,AND($T$117&gt;0,DATE($C128,6,15)&gt;$T$117)),0,IF(DATE($C128,6,15)&gt;=$X$117,$AA$117*(1+($U$117)/100)^MAX(0,$C128-$AD$117),IF(DATE($C128,6,15)&gt;=$W$117,$Z$117*(1+($U$117)/100)^MAX(0,$C128-$AC$117),IF(DATE($C128,6,15)&gt;=$V$117,$Y$117*(1+($U$117)/100)^MAX(0,$C128-$AB$117),0)))))</f>
      </c>
      <c r="K128" s="43">
        <f>IF($S$117=0,0,IF(OR(DATE($C128,7,15)&lt;$S$117,AND($T$117&gt;0,DATE($C128,7,15)&gt;$T$117)),0,IF(DATE($C128,7,15)&gt;=$X$117,$AA$117*(1+($U$117)/100)^MAX(0,$C128-$AD$117),IF(DATE($C128,7,15)&gt;=$W$117,$Z$117*(1+($U$117)/100)^MAX(0,$C128-$AC$117),IF(DATE($C128,7,15)&gt;=$V$117,$Y$117*(1+($U$117)/100)^MAX(0,$C128-$AB$117),0)))))</f>
      </c>
      <c r="L128" s="43">
        <f>IF($S$117=0,0,IF(OR(DATE($C128,8,15)&lt;$S$117,AND($T$117&gt;0,DATE($C128,8,15)&gt;$T$117)),0,IF(DATE($C128,8,15)&gt;=$X$117,$AA$117*(1+($U$117)/100)^MAX(0,$C128-$AD$117),IF(DATE($C128,8,15)&gt;=$W$117,$Z$117*(1+($U$117)/100)^MAX(0,$C128-$AC$117),IF(DATE($C128,8,15)&gt;=$V$117,$Y$117*(1+($U$117)/100)^MAX(0,$C128-$AB$117),0)))))</f>
      </c>
      <c r="M128" s="43">
        <f>IF($S$117=0,0,IF(OR(DATE($C128,9,15)&lt;$S$117,AND($T$117&gt;0,DATE($C128,9,15)&gt;$T$117)),0,IF(DATE($C128,9,15)&gt;=$X$117,$AA$117*(1+($U$117)/100)^MAX(0,$C128-$AD$117),IF(DATE($C128,9,15)&gt;=$W$117,$Z$117*(1+($U$117)/100)^MAX(0,$C128-$AC$117),IF(DATE($C128,9,15)&gt;=$V$117,$Y$117*(1+($U$117)/100)^MAX(0,$C128-$AB$117),0)))))</f>
      </c>
      <c r="N128" s="43">
        <f>IF($S$117=0,0,IF(OR(DATE($C128,10,15)&lt;$S$117,AND($T$117&gt;0,DATE($C128,10,15)&gt;$T$117)),0,IF(DATE($C128,10,15)&gt;=$X$117,$AA$117*(1+($U$117)/100)^MAX(0,$C128-$AD$117),IF(DATE($C128,10,15)&gt;=$W$117,$Z$117*(1+($U$117)/100)^MAX(0,$C128-$AC$117),IF(DATE($C128,10,15)&gt;=$V$117,$Y$117*(1+($U$117)/100)^MAX(0,$C128-$AB$117),0)))))</f>
      </c>
      <c r="O128" s="43">
        <f>IF($S$117=0,0,IF(OR(DATE($C128,11,15)&lt;$S$117,AND($T$117&gt;0,DATE($C128,11,15)&gt;$T$117)),0,IF(DATE($C128,11,15)&gt;=$X$117,$AA$117*(1+($U$117)/100)^MAX(0,$C128-$AD$117),IF(DATE($C128,11,15)&gt;=$W$117,$Z$117*(1+($U$117)/100)^MAX(0,$C128-$AC$117),IF(DATE($C128,11,15)&gt;=$V$117,$Y$117*(1+($U$117)/100)^MAX(0,$C128-$AB$117),0)))))</f>
      </c>
      <c r="P128" s="43">
        <f>IF($S$117=0,0,IF(OR(DATE($C128,12,15)&lt;$S$117,AND($T$117&gt;0,DATE($C128,12,15)&gt;$T$117)),0,IF(DATE($C128,12,15)&gt;=$X$117,$AA$117*(1+($U$117)/100)^MAX(0,$C128-$AD$117),IF(DATE($C128,12,15)&gt;=$W$117,$Z$117*(1+($U$117)/100)^MAX(0,$C128-$AC$117),IF(DATE($C128,12,15)&gt;=$V$117,$Y$117*(1+($U$117)/100)^MAX(0,$C128-$AB$117),0)))))</f>
      </c>
      <c r="Q128" s="43">
        <f>SUM($E128:$P128)</f>
      </c>
    </row>
    <row r="129">
      <c r="A129"/>
      <c r="B129">
        <v>4</v>
      </c>
      <c r="C129" s="43">
        <f>Jahr+12</f>
      </c>
      <c r="D129" s="43">
        <f>INDEX(MvObj,4)</f>
      </c>
      <c r="E129" s="43">
        <f>IF($S$117=0,0,IF(OR(DATE($C129,1,15)&lt;$S$117,AND($T$117&gt;0,DATE($C129,1,15)&gt;$T$117)),0,IF(DATE($C129,1,15)&gt;=$X$117,$AA$117*(1+($U$117)/100)^MAX(0,$C129-$AD$117),IF(DATE($C129,1,15)&gt;=$W$117,$Z$117*(1+($U$117)/100)^MAX(0,$C129-$AC$117),IF(DATE($C129,1,15)&gt;=$V$117,$Y$117*(1+($U$117)/100)^MAX(0,$C129-$AB$117),0)))))</f>
      </c>
      <c r="F129" s="43">
        <f>IF($S$117=0,0,IF(OR(DATE($C129,2,15)&lt;$S$117,AND($T$117&gt;0,DATE($C129,2,15)&gt;$T$117)),0,IF(DATE($C129,2,15)&gt;=$X$117,$AA$117*(1+($U$117)/100)^MAX(0,$C129-$AD$117),IF(DATE($C129,2,15)&gt;=$W$117,$Z$117*(1+($U$117)/100)^MAX(0,$C129-$AC$117),IF(DATE($C129,2,15)&gt;=$V$117,$Y$117*(1+($U$117)/100)^MAX(0,$C129-$AB$117),0)))))</f>
      </c>
      <c r="G129" s="43">
        <f>IF($S$117=0,0,IF(OR(DATE($C129,3,15)&lt;$S$117,AND($T$117&gt;0,DATE($C129,3,15)&gt;$T$117)),0,IF(DATE($C129,3,15)&gt;=$X$117,$AA$117*(1+($U$117)/100)^MAX(0,$C129-$AD$117),IF(DATE($C129,3,15)&gt;=$W$117,$Z$117*(1+($U$117)/100)^MAX(0,$C129-$AC$117),IF(DATE($C129,3,15)&gt;=$V$117,$Y$117*(1+($U$117)/100)^MAX(0,$C129-$AB$117),0)))))</f>
      </c>
      <c r="H129" s="43">
        <f>IF($S$117=0,0,IF(OR(DATE($C129,4,15)&lt;$S$117,AND($T$117&gt;0,DATE($C129,4,15)&gt;$T$117)),0,IF(DATE($C129,4,15)&gt;=$X$117,$AA$117*(1+($U$117)/100)^MAX(0,$C129-$AD$117),IF(DATE($C129,4,15)&gt;=$W$117,$Z$117*(1+($U$117)/100)^MAX(0,$C129-$AC$117),IF(DATE($C129,4,15)&gt;=$V$117,$Y$117*(1+($U$117)/100)^MAX(0,$C129-$AB$117),0)))))</f>
      </c>
      <c r="I129" s="43">
        <f>IF($S$117=0,0,IF(OR(DATE($C129,5,15)&lt;$S$117,AND($T$117&gt;0,DATE($C129,5,15)&gt;$T$117)),0,IF(DATE($C129,5,15)&gt;=$X$117,$AA$117*(1+($U$117)/100)^MAX(0,$C129-$AD$117),IF(DATE($C129,5,15)&gt;=$W$117,$Z$117*(1+($U$117)/100)^MAX(0,$C129-$AC$117),IF(DATE($C129,5,15)&gt;=$V$117,$Y$117*(1+($U$117)/100)^MAX(0,$C129-$AB$117),0)))))</f>
      </c>
      <c r="J129" s="43">
        <f>IF($S$117=0,0,IF(OR(DATE($C129,6,15)&lt;$S$117,AND($T$117&gt;0,DATE($C129,6,15)&gt;$T$117)),0,IF(DATE($C129,6,15)&gt;=$X$117,$AA$117*(1+($U$117)/100)^MAX(0,$C129-$AD$117),IF(DATE($C129,6,15)&gt;=$W$117,$Z$117*(1+($U$117)/100)^MAX(0,$C129-$AC$117),IF(DATE($C129,6,15)&gt;=$V$117,$Y$117*(1+($U$117)/100)^MAX(0,$C129-$AB$117),0)))))</f>
      </c>
      <c r="K129" s="43">
        <f>IF($S$117=0,0,IF(OR(DATE($C129,7,15)&lt;$S$117,AND($T$117&gt;0,DATE($C129,7,15)&gt;$T$117)),0,IF(DATE($C129,7,15)&gt;=$X$117,$AA$117*(1+($U$117)/100)^MAX(0,$C129-$AD$117),IF(DATE($C129,7,15)&gt;=$W$117,$Z$117*(1+($U$117)/100)^MAX(0,$C129-$AC$117),IF(DATE($C129,7,15)&gt;=$V$117,$Y$117*(1+($U$117)/100)^MAX(0,$C129-$AB$117),0)))))</f>
      </c>
      <c r="L129" s="43">
        <f>IF($S$117=0,0,IF(OR(DATE($C129,8,15)&lt;$S$117,AND($T$117&gt;0,DATE($C129,8,15)&gt;$T$117)),0,IF(DATE($C129,8,15)&gt;=$X$117,$AA$117*(1+($U$117)/100)^MAX(0,$C129-$AD$117),IF(DATE($C129,8,15)&gt;=$W$117,$Z$117*(1+($U$117)/100)^MAX(0,$C129-$AC$117),IF(DATE($C129,8,15)&gt;=$V$117,$Y$117*(1+($U$117)/100)^MAX(0,$C129-$AB$117),0)))))</f>
      </c>
      <c r="M129" s="43">
        <f>IF($S$117=0,0,IF(OR(DATE($C129,9,15)&lt;$S$117,AND($T$117&gt;0,DATE($C129,9,15)&gt;$T$117)),0,IF(DATE($C129,9,15)&gt;=$X$117,$AA$117*(1+($U$117)/100)^MAX(0,$C129-$AD$117),IF(DATE($C129,9,15)&gt;=$W$117,$Z$117*(1+($U$117)/100)^MAX(0,$C129-$AC$117),IF(DATE($C129,9,15)&gt;=$V$117,$Y$117*(1+($U$117)/100)^MAX(0,$C129-$AB$117),0)))))</f>
      </c>
      <c r="N129" s="43">
        <f>IF($S$117=0,0,IF(OR(DATE($C129,10,15)&lt;$S$117,AND($T$117&gt;0,DATE($C129,10,15)&gt;$T$117)),0,IF(DATE($C129,10,15)&gt;=$X$117,$AA$117*(1+($U$117)/100)^MAX(0,$C129-$AD$117),IF(DATE($C129,10,15)&gt;=$W$117,$Z$117*(1+($U$117)/100)^MAX(0,$C129-$AC$117),IF(DATE($C129,10,15)&gt;=$V$117,$Y$117*(1+($U$117)/100)^MAX(0,$C129-$AB$117),0)))))</f>
      </c>
      <c r="O129" s="43">
        <f>IF($S$117=0,0,IF(OR(DATE($C129,11,15)&lt;$S$117,AND($T$117&gt;0,DATE($C129,11,15)&gt;$T$117)),0,IF(DATE($C129,11,15)&gt;=$X$117,$AA$117*(1+($U$117)/100)^MAX(0,$C129-$AD$117),IF(DATE($C129,11,15)&gt;=$W$117,$Z$117*(1+($U$117)/100)^MAX(0,$C129-$AC$117),IF(DATE($C129,11,15)&gt;=$V$117,$Y$117*(1+($U$117)/100)^MAX(0,$C129-$AB$117),0)))))</f>
      </c>
      <c r="P129" s="43">
        <f>IF($S$117=0,0,IF(OR(DATE($C129,12,15)&lt;$S$117,AND($T$117&gt;0,DATE($C129,12,15)&gt;$T$117)),0,IF(DATE($C129,12,15)&gt;=$X$117,$AA$117*(1+($U$117)/100)^MAX(0,$C129-$AD$117),IF(DATE($C129,12,15)&gt;=$W$117,$Z$117*(1+($U$117)/100)^MAX(0,$C129-$AC$117),IF(DATE($C129,12,15)&gt;=$V$117,$Y$117*(1+($U$117)/100)^MAX(0,$C129-$AB$117),0)))))</f>
      </c>
      <c r="Q129" s="43">
        <f>SUM($E129:$P129)</f>
      </c>
    </row>
    <row r="130">
      <c r="A130"/>
      <c r="B130">
        <v>4</v>
      </c>
      <c r="C130" s="43">
        <f>Jahr+13</f>
      </c>
      <c r="D130" s="43">
        <f>INDEX(MvObj,4)</f>
      </c>
      <c r="E130" s="43">
        <f>IF($S$117=0,0,IF(OR(DATE($C130,1,15)&lt;$S$117,AND($T$117&gt;0,DATE($C130,1,15)&gt;$T$117)),0,IF(DATE($C130,1,15)&gt;=$X$117,$AA$117*(1+($U$117)/100)^MAX(0,$C130-$AD$117),IF(DATE($C130,1,15)&gt;=$W$117,$Z$117*(1+($U$117)/100)^MAX(0,$C130-$AC$117),IF(DATE($C130,1,15)&gt;=$V$117,$Y$117*(1+($U$117)/100)^MAX(0,$C130-$AB$117),0)))))</f>
      </c>
      <c r="F130" s="43">
        <f>IF($S$117=0,0,IF(OR(DATE($C130,2,15)&lt;$S$117,AND($T$117&gt;0,DATE($C130,2,15)&gt;$T$117)),0,IF(DATE($C130,2,15)&gt;=$X$117,$AA$117*(1+($U$117)/100)^MAX(0,$C130-$AD$117),IF(DATE($C130,2,15)&gt;=$W$117,$Z$117*(1+($U$117)/100)^MAX(0,$C130-$AC$117),IF(DATE($C130,2,15)&gt;=$V$117,$Y$117*(1+($U$117)/100)^MAX(0,$C130-$AB$117),0)))))</f>
      </c>
      <c r="G130" s="43">
        <f>IF($S$117=0,0,IF(OR(DATE($C130,3,15)&lt;$S$117,AND($T$117&gt;0,DATE($C130,3,15)&gt;$T$117)),0,IF(DATE($C130,3,15)&gt;=$X$117,$AA$117*(1+($U$117)/100)^MAX(0,$C130-$AD$117),IF(DATE($C130,3,15)&gt;=$W$117,$Z$117*(1+($U$117)/100)^MAX(0,$C130-$AC$117),IF(DATE($C130,3,15)&gt;=$V$117,$Y$117*(1+($U$117)/100)^MAX(0,$C130-$AB$117),0)))))</f>
      </c>
      <c r="H130" s="43">
        <f>IF($S$117=0,0,IF(OR(DATE($C130,4,15)&lt;$S$117,AND($T$117&gt;0,DATE($C130,4,15)&gt;$T$117)),0,IF(DATE($C130,4,15)&gt;=$X$117,$AA$117*(1+($U$117)/100)^MAX(0,$C130-$AD$117),IF(DATE($C130,4,15)&gt;=$W$117,$Z$117*(1+($U$117)/100)^MAX(0,$C130-$AC$117),IF(DATE($C130,4,15)&gt;=$V$117,$Y$117*(1+($U$117)/100)^MAX(0,$C130-$AB$117),0)))))</f>
      </c>
      <c r="I130" s="43">
        <f>IF($S$117=0,0,IF(OR(DATE($C130,5,15)&lt;$S$117,AND($T$117&gt;0,DATE($C130,5,15)&gt;$T$117)),0,IF(DATE($C130,5,15)&gt;=$X$117,$AA$117*(1+($U$117)/100)^MAX(0,$C130-$AD$117),IF(DATE($C130,5,15)&gt;=$W$117,$Z$117*(1+($U$117)/100)^MAX(0,$C130-$AC$117),IF(DATE($C130,5,15)&gt;=$V$117,$Y$117*(1+($U$117)/100)^MAX(0,$C130-$AB$117),0)))))</f>
      </c>
      <c r="J130" s="43">
        <f>IF($S$117=0,0,IF(OR(DATE($C130,6,15)&lt;$S$117,AND($T$117&gt;0,DATE($C130,6,15)&gt;$T$117)),0,IF(DATE($C130,6,15)&gt;=$X$117,$AA$117*(1+($U$117)/100)^MAX(0,$C130-$AD$117),IF(DATE($C130,6,15)&gt;=$W$117,$Z$117*(1+($U$117)/100)^MAX(0,$C130-$AC$117),IF(DATE($C130,6,15)&gt;=$V$117,$Y$117*(1+($U$117)/100)^MAX(0,$C130-$AB$117),0)))))</f>
      </c>
      <c r="K130" s="43">
        <f>IF($S$117=0,0,IF(OR(DATE($C130,7,15)&lt;$S$117,AND($T$117&gt;0,DATE($C130,7,15)&gt;$T$117)),0,IF(DATE($C130,7,15)&gt;=$X$117,$AA$117*(1+($U$117)/100)^MAX(0,$C130-$AD$117),IF(DATE($C130,7,15)&gt;=$W$117,$Z$117*(1+($U$117)/100)^MAX(0,$C130-$AC$117),IF(DATE($C130,7,15)&gt;=$V$117,$Y$117*(1+($U$117)/100)^MAX(0,$C130-$AB$117),0)))))</f>
      </c>
      <c r="L130" s="43">
        <f>IF($S$117=0,0,IF(OR(DATE($C130,8,15)&lt;$S$117,AND($T$117&gt;0,DATE($C130,8,15)&gt;$T$117)),0,IF(DATE($C130,8,15)&gt;=$X$117,$AA$117*(1+($U$117)/100)^MAX(0,$C130-$AD$117),IF(DATE($C130,8,15)&gt;=$W$117,$Z$117*(1+($U$117)/100)^MAX(0,$C130-$AC$117),IF(DATE($C130,8,15)&gt;=$V$117,$Y$117*(1+($U$117)/100)^MAX(0,$C130-$AB$117),0)))))</f>
      </c>
      <c r="M130" s="43">
        <f>IF($S$117=0,0,IF(OR(DATE($C130,9,15)&lt;$S$117,AND($T$117&gt;0,DATE($C130,9,15)&gt;$T$117)),0,IF(DATE($C130,9,15)&gt;=$X$117,$AA$117*(1+($U$117)/100)^MAX(0,$C130-$AD$117),IF(DATE($C130,9,15)&gt;=$W$117,$Z$117*(1+($U$117)/100)^MAX(0,$C130-$AC$117),IF(DATE($C130,9,15)&gt;=$V$117,$Y$117*(1+($U$117)/100)^MAX(0,$C130-$AB$117),0)))))</f>
      </c>
      <c r="N130" s="43">
        <f>IF($S$117=0,0,IF(OR(DATE($C130,10,15)&lt;$S$117,AND($T$117&gt;0,DATE($C130,10,15)&gt;$T$117)),0,IF(DATE($C130,10,15)&gt;=$X$117,$AA$117*(1+($U$117)/100)^MAX(0,$C130-$AD$117),IF(DATE($C130,10,15)&gt;=$W$117,$Z$117*(1+($U$117)/100)^MAX(0,$C130-$AC$117),IF(DATE($C130,10,15)&gt;=$V$117,$Y$117*(1+($U$117)/100)^MAX(0,$C130-$AB$117),0)))))</f>
      </c>
      <c r="O130" s="43">
        <f>IF($S$117=0,0,IF(OR(DATE($C130,11,15)&lt;$S$117,AND($T$117&gt;0,DATE($C130,11,15)&gt;$T$117)),0,IF(DATE($C130,11,15)&gt;=$X$117,$AA$117*(1+($U$117)/100)^MAX(0,$C130-$AD$117),IF(DATE($C130,11,15)&gt;=$W$117,$Z$117*(1+($U$117)/100)^MAX(0,$C130-$AC$117),IF(DATE($C130,11,15)&gt;=$V$117,$Y$117*(1+($U$117)/100)^MAX(0,$C130-$AB$117),0)))))</f>
      </c>
      <c r="P130" s="43">
        <f>IF($S$117=0,0,IF(OR(DATE($C130,12,15)&lt;$S$117,AND($T$117&gt;0,DATE($C130,12,15)&gt;$T$117)),0,IF(DATE($C130,12,15)&gt;=$X$117,$AA$117*(1+($U$117)/100)^MAX(0,$C130-$AD$117),IF(DATE($C130,12,15)&gt;=$W$117,$Z$117*(1+($U$117)/100)^MAX(0,$C130-$AC$117),IF(DATE($C130,12,15)&gt;=$V$117,$Y$117*(1+($U$117)/100)^MAX(0,$C130-$AB$117),0)))))</f>
      </c>
      <c r="Q130" s="43">
        <f>SUM($E130:$P130)</f>
      </c>
    </row>
    <row r="131">
      <c r="A131"/>
      <c r="B131">
        <v>4</v>
      </c>
      <c r="C131" s="43">
        <f>Jahr+14</f>
      </c>
      <c r="D131" s="43">
        <f>INDEX(MvObj,4)</f>
      </c>
      <c r="E131" s="43">
        <f>IF($S$117=0,0,IF(OR(DATE($C131,1,15)&lt;$S$117,AND($T$117&gt;0,DATE($C131,1,15)&gt;$T$117)),0,IF(DATE($C131,1,15)&gt;=$X$117,$AA$117*(1+($U$117)/100)^MAX(0,$C131-$AD$117),IF(DATE($C131,1,15)&gt;=$W$117,$Z$117*(1+($U$117)/100)^MAX(0,$C131-$AC$117),IF(DATE($C131,1,15)&gt;=$V$117,$Y$117*(1+($U$117)/100)^MAX(0,$C131-$AB$117),0)))))</f>
      </c>
      <c r="F131" s="43">
        <f>IF($S$117=0,0,IF(OR(DATE($C131,2,15)&lt;$S$117,AND($T$117&gt;0,DATE($C131,2,15)&gt;$T$117)),0,IF(DATE($C131,2,15)&gt;=$X$117,$AA$117*(1+($U$117)/100)^MAX(0,$C131-$AD$117),IF(DATE($C131,2,15)&gt;=$W$117,$Z$117*(1+($U$117)/100)^MAX(0,$C131-$AC$117),IF(DATE($C131,2,15)&gt;=$V$117,$Y$117*(1+($U$117)/100)^MAX(0,$C131-$AB$117),0)))))</f>
      </c>
      <c r="G131" s="43">
        <f>IF($S$117=0,0,IF(OR(DATE($C131,3,15)&lt;$S$117,AND($T$117&gt;0,DATE($C131,3,15)&gt;$T$117)),0,IF(DATE($C131,3,15)&gt;=$X$117,$AA$117*(1+($U$117)/100)^MAX(0,$C131-$AD$117),IF(DATE($C131,3,15)&gt;=$W$117,$Z$117*(1+($U$117)/100)^MAX(0,$C131-$AC$117),IF(DATE($C131,3,15)&gt;=$V$117,$Y$117*(1+($U$117)/100)^MAX(0,$C131-$AB$117),0)))))</f>
      </c>
      <c r="H131" s="43">
        <f>IF($S$117=0,0,IF(OR(DATE($C131,4,15)&lt;$S$117,AND($T$117&gt;0,DATE($C131,4,15)&gt;$T$117)),0,IF(DATE($C131,4,15)&gt;=$X$117,$AA$117*(1+($U$117)/100)^MAX(0,$C131-$AD$117),IF(DATE($C131,4,15)&gt;=$W$117,$Z$117*(1+($U$117)/100)^MAX(0,$C131-$AC$117),IF(DATE($C131,4,15)&gt;=$V$117,$Y$117*(1+($U$117)/100)^MAX(0,$C131-$AB$117),0)))))</f>
      </c>
      <c r="I131" s="43">
        <f>IF($S$117=0,0,IF(OR(DATE($C131,5,15)&lt;$S$117,AND($T$117&gt;0,DATE($C131,5,15)&gt;$T$117)),0,IF(DATE($C131,5,15)&gt;=$X$117,$AA$117*(1+($U$117)/100)^MAX(0,$C131-$AD$117),IF(DATE($C131,5,15)&gt;=$W$117,$Z$117*(1+($U$117)/100)^MAX(0,$C131-$AC$117),IF(DATE($C131,5,15)&gt;=$V$117,$Y$117*(1+($U$117)/100)^MAX(0,$C131-$AB$117),0)))))</f>
      </c>
      <c r="J131" s="43">
        <f>IF($S$117=0,0,IF(OR(DATE($C131,6,15)&lt;$S$117,AND($T$117&gt;0,DATE($C131,6,15)&gt;$T$117)),0,IF(DATE($C131,6,15)&gt;=$X$117,$AA$117*(1+($U$117)/100)^MAX(0,$C131-$AD$117),IF(DATE($C131,6,15)&gt;=$W$117,$Z$117*(1+($U$117)/100)^MAX(0,$C131-$AC$117),IF(DATE($C131,6,15)&gt;=$V$117,$Y$117*(1+($U$117)/100)^MAX(0,$C131-$AB$117),0)))))</f>
      </c>
      <c r="K131" s="43">
        <f>IF($S$117=0,0,IF(OR(DATE($C131,7,15)&lt;$S$117,AND($T$117&gt;0,DATE($C131,7,15)&gt;$T$117)),0,IF(DATE($C131,7,15)&gt;=$X$117,$AA$117*(1+($U$117)/100)^MAX(0,$C131-$AD$117),IF(DATE($C131,7,15)&gt;=$W$117,$Z$117*(1+($U$117)/100)^MAX(0,$C131-$AC$117),IF(DATE($C131,7,15)&gt;=$V$117,$Y$117*(1+($U$117)/100)^MAX(0,$C131-$AB$117),0)))))</f>
      </c>
      <c r="L131" s="43">
        <f>IF($S$117=0,0,IF(OR(DATE($C131,8,15)&lt;$S$117,AND($T$117&gt;0,DATE($C131,8,15)&gt;$T$117)),0,IF(DATE($C131,8,15)&gt;=$X$117,$AA$117*(1+($U$117)/100)^MAX(0,$C131-$AD$117),IF(DATE($C131,8,15)&gt;=$W$117,$Z$117*(1+($U$117)/100)^MAX(0,$C131-$AC$117),IF(DATE($C131,8,15)&gt;=$V$117,$Y$117*(1+($U$117)/100)^MAX(0,$C131-$AB$117),0)))))</f>
      </c>
      <c r="M131" s="43">
        <f>IF($S$117=0,0,IF(OR(DATE($C131,9,15)&lt;$S$117,AND($T$117&gt;0,DATE($C131,9,15)&gt;$T$117)),0,IF(DATE($C131,9,15)&gt;=$X$117,$AA$117*(1+($U$117)/100)^MAX(0,$C131-$AD$117),IF(DATE($C131,9,15)&gt;=$W$117,$Z$117*(1+($U$117)/100)^MAX(0,$C131-$AC$117),IF(DATE($C131,9,15)&gt;=$V$117,$Y$117*(1+($U$117)/100)^MAX(0,$C131-$AB$117),0)))))</f>
      </c>
      <c r="N131" s="43">
        <f>IF($S$117=0,0,IF(OR(DATE($C131,10,15)&lt;$S$117,AND($T$117&gt;0,DATE($C131,10,15)&gt;$T$117)),0,IF(DATE($C131,10,15)&gt;=$X$117,$AA$117*(1+($U$117)/100)^MAX(0,$C131-$AD$117),IF(DATE($C131,10,15)&gt;=$W$117,$Z$117*(1+($U$117)/100)^MAX(0,$C131-$AC$117),IF(DATE($C131,10,15)&gt;=$V$117,$Y$117*(1+($U$117)/100)^MAX(0,$C131-$AB$117),0)))))</f>
      </c>
      <c r="O131" s="43">
        <f>IF($S$117=0,0,IF(OR(DATE($C131,11,15)&lt;$S$117,AND($T$117&gt;0,DATE($C131,11,15)&gt;$T$117)),0,IF(DATE($C131,11,15)&gt;=$X$117,$AA$117*(1+($U$117)/100)^MAX(0,$C131-$AD$117),IF(DATE($C131,11,15)&gt;=$W$117,$Z$117*(1+($U$117)/100)^MAX(0,$C131-$AC$117),IF(DATE($C131,11,15)&gt;=$V$117,$Y$117*(1+($U$117)/100)^MAX(0,$C131-$AB$117),0)))))</f>
      </c>
      <c r="P131" s="43">
        <f>IF($S$117=0,0,IF(OR(DATE($C131,12,15)&lt;$S$117,AND($T$117&gt;0,DATE($C131,12,15)&gt;$T$117)),0,IF(DATE($C131,12,15)&gt;=$X$117,$AA$117*(1+($U$117)/100)^MAX(0,$C131-$AD$117),IF(DATE($C131,12,15)&gt;=$W$117,$Z$117*(1+($U$117)/100)^MAX(0,$C131-$AC$117),IF(DATE($C131,12,15)&gt;=$V$117,$Y$117*(1+($U$117)/100)^MAX(0,$C131-$AB$117),0)))))</f>
      </c>
      <c r="Q131" s="43">
        <f>SUM($E131:$P131)</f>
      </c>
    </row>
    <row r="132">
      <c r="A132"/>
      <c r="B132">
        <v>4</v>
      </c>
      <c r="C132" s="43">
        <f>Jahr+15</f>
      </c>
      <c r="D132" s="43">
        <f>INDEX(MvObj,4)</f>
      </c>
      <c r="E132" s="43">
        <f>IF($S$117=0,0,IF(OR(DATE($C132,1,15)&lt;$S$117,AND($T$117&gt;0,DATE($C132,1,15)&gt;$T$117)),0,IF(DATE($C132,1,15)&gt;=$X$117,$AA$117*(1+($U$117)/100)^MAX(0,$C132-$AD$117),IF(DATE($C132,1,15)&gt;=$W$117,$Z$117*(1+($U$117)/100)^MAX(0,$C132-$AC$117),IF(DATE($C132,1,15)&gt;=$V$117,$Y$117*(1+($U$117)/100)^MAX(0,$C132-$AB$117),0)))))</f>
      </c>
      <c r="F132" s="43">
        <f>IF($S$117=0,0,IF(OR(DATE($C132,2,15)&lt;$S$117,AND($T$117&gt;0,DATE($C132,2,15)&gt;$T$117)),0,IF(DATE($C132,2,15)&gt;=$X$117,$AA$117*(1+($U$117)/100)^MAX(0,$C132-$AD$117),IF(DATE($C132,2,15)&gt;=$W$117,$Z$117*(1+($U$117)/100)^MAX(0,$C132-$AC$117),IF(DATE($C132,2,15)&gt;=$V$117,$Y$117*(1+($U$117)/100)^MAX(0,$C132-$AB$117),0)))))</f>
      </c>
      <c r="G132" s="43">
        <f>IF($S$117=0,0,IF(OR(DATE($C132,3,15)&lt;$S$117,AND($T$117&gt;0,DATE($C132,3,15)&gt;$T$117)),0,IF(DATE($C132,3,15)&gt;=$X$117,$AA$117*(1+($U$117)/100)^MAX(0,$C132-$AD$117),IF(DATE($C132,3,15)&gt;=$W$117,$Z$117*(1+($U$117)/100)^MAX(0,$C132-$AC$117),IF(DATE($C132,3,15)&gt;=$V$117,$Y$117*(1+($U$117)/100)^MAX(0,$C132-$AB$117),0)))))</f>
      </c>
      <c r="H132" s="43">
        <f>IF($S$117=0,0,IF(OR(DATE($C132,4,15)&lt;$S$117,AND($T$117&gt;0,DATE($C132,4,15)&gt;$T$117)),0,IF(DATE($C132,4,15)&gt;=$X$117,$AA$117*(1+($U$117)/100)^MAX(0,$C132-$AD$117),IF(DATE($C132,4,15)&gt;=$W$117,$Z$117*(1+($U$117)/100)^MAX(0,$C132-$AC$117),IF(DATE($C132,4,15)&gt;=$V$117,$Y$117*(1+($U$117)/100)^MAX(0,$C132-$AB$117),0)))))</f>
      </c>
      <c r="I132" s="43">
        <f>IF($S$117=0,0,IF(OR(DATE($C132,5,15)&lt;$S$117,AND($T$117&gt;0,DATE($C132,5,15)&gt;$T$117)),0,IF(DATE($C132,5,15)&gt;=$X$117,$AA$117*(1+($U$117)/100)^MAX(0,$C132-$AD$117),IF(DATE($C132,5,15)&gt;=$W$117,$Z$117*(1+($U$117)/100)^MAX(0,$C132-$AC$117),IF(DATE($C132,5,15)&gt;=$V$117,$Y$117*(1+($U$117)/100)^MAX(0,$C132-$AB$117),0)))))</f>
      </c>
      <c r="J132" s="43">
        <f>IF($S$117=0,0,IF(OR(DATE($C132,6,15)&lt;$S$117,AND($T$117&gt;0,DATE($C132,6,15)&gt;$T$117)),0,IF(DATE($C132,6,15)&gt;=$X$117,$AA$117*(1+($U$117)/100)^MAX(0,$C132-$AD$117),IF(DATE($C132,6,15)&gt;=$W$117,$Z$117*(1+($U$117)/100)^MAX(0,$C132-$AC$117),IF(DATE($C132,6,15)&gt;=$V$117,$Y$117*(1+($U$117)/100)^MAX(0,$C132-$AB$117),0)))))</f>
      </c>
      <c r="K132" s="43">
        <f>IF($S$117=0,0,IF(OR(DATE($C132,7,15)&lt;$S$117,AND($T$117&gt;0,DATE($C132,7,15)&gt;$T$117)),0,IF(DATE($C132,7,15)&gt;=$X$117,$AA$117*(1+($U$117)/100)^MAX(0,$C132-$AD$117),IF(DATE($C132,7,15)&gt;=$W$117,$Z$117*(1+($U$117)/100)^MAX(0,$C132-$AC$117),IF(DATE($C132,7,15)&gt;=$V$117,$Y$117*(1+($U$117)/100)^MAX(0,$C132-$AB$117),0)))))</f>
      </c>
      <c r="L132" s="43">
        <f>IF($S$117=0,0,IF(OR(DATE($C132,8,15)&lt;$S$117,AND($T$117&gt;0,DATE($C132,8,15)&gt;$T$117)),0,IF(DATE($C132,8,15)&gt;=$X$117,$AA$117*(1+($U$117)/100)^MAX(0,$C132-$AD$117),IF(DATE($C132,8,15)&gt;=$W$117,$Z$117*(1+($U$117)/100)^MAX(0,$C132-$AC$117),IF(DATE($C132,8,15)&gt;=$V$117,$Y$117*(1+($U$117)/100)^MAX(0,$C132-$AB$117),0)))))</f>
      </c>
      <c r="M132" s="43">
        <f>IF($S$117=0,0,IF(OR(DATE($C132,9,15)&lt;$S$117,AND($T$117&gt;0,DATE($C132,9,15)&gt;$T$117)),0,IF(DATE($C132,9,15)&gt;=$X$117,$AA$117*(1+($U$117)/100)^MAX(0,$C132-$AD$117),IF(DATE($C132,9,15)&gt;=$W$117,$Z$117*(1+($U$117)/100)^MAX(0,$C132-$AC$117),IF(DATE($C132,9,15)&gt;=$V$117,$Y$117*(1+($U$117)/100)^MAX(0,$C132-$AB$117),0)))))</f>
      </c>
      <c r="N132" s="43">
        <f>IF($S$117=0,0,IF(OR(DATE($C132,10,15)&lt;$S$117,AND($T$117&gt;0,DATE($C132,10,15)&gt;$T$117)),0,IF(DATE($C132,10,15)&gt;=$X$117,$AA$117*(1+($U$117)/100)^MAX(0,$C132-$AD$117),IF(DATE($C132,10,15)&gt;=$W$117,$Z$117*(1+($U$117)/100)^MAX(0,$C132-$AC$117),IF(DATE($C132,10,15)&gt;=$V$117,$Y$117*(1+($U$117)/100)^MAX(0,$C132-$AB$117),0)))))</f>
      </c>
      <c r="O132" s="43">
        <f>IF($S$117=0,0,IF(OR(DATE($C132,11,15)&lt;$S$117,AND($T$117&gt;0,DATE($C132,11,15)&gt;$T$117)),0,IF(DATE($C132,11,15)&gt;=$X$117,$AA$117*(1+($U$117)/100)^MAX(0,$C132-$AD$117),IF(DATE($C132,11,15)&gt;=$W$117,$Z$117*(1+($U$117)/100)^MAX(0,$C132-$AC$117),IF(DATE($C132,11,15)&gt;=$V$117,$Y$117*(1+($U$117)/100)^MAX(0,$C132-$AB$117),0)))))</f>
      </c>
      <c r="P132" s="43">
        <f>IF($S$117=0,0,IF(OR(DATE($C132,12,15)&lt;$S$117,AND($T$117&gt;0,DATE($C132,12,15)&gt;$T$117)),0,IF(DATE($C132,12,15)&gt;=$X$117,$AA$117*(1+($U$117)/100)^MAX(0,$C132-$AD$117),IF(DATE($C132,12,15)&gt;=$W$117,$Z$117*(1+($U$117)/100)^MAX(0,$C132-$AC$117),IF(DATE($C132,12,15)&gt;=$V$117,$Y$117*(1+($U$117)/100)^MAX(0,$C132-$AB$117),0)))))</f>
      </c>
      <c r="Q132" s="43">
        <f>SUM($E132:$P132)</f>
      </c>
    </row>
    <row r="133">
      <c r="A133"/>
      <c r="B133">
        <v>4</v>
      </c>
      <c r="C133" s="43">
        <f>Jahr+16</f>
      </c>
      <c r="D133" s="43">
        <f>INDEX(MvObj,4)</f>
      </c>
      <c r="E133" s="43">
        <f>IF($S$117=0,0,IF(OR(DATE($C133,1,15)&lt;$S$117,AND($T$117&gt;0,DATE($C133,1,15)&gt;$T$117)),0,IF(DATE($C133,1,15)&gt;=$X$117,$AA$117*(1+($U$117)/100)^MAX(0,$C133-$AD$117),IF(DATE($C133,1,15)&gt;=$W$117,$Z$117*(1+($U$117)/100)^MAX(0,$C133-$AC$117),IF(DATE($C133,1,15)&gt;=$V$117,$Y$117*(1+($U$117)/100)^MAX(0,$C133-$AB$117),0)))))</f>
      </c>
      <c r="F133" s="43">
        <f>IF($S$117=0,0,IF(OR(DATE($C133,2,15)&lt;$S$117,AND($T$117&gt;0,DATE($C133,2,15)&gt;$T$117)),0,IF(DATE($C133,2,15)&gt;=$X$117,$AA$117*(1+($U$117)/100)^MAX(0,$C133-$AD$117),IF(DATE($C133,2,15)&gt;=$W$117,$Z$117*(1+($U$117)/100)^MAX(0,$C133-$AC$117),IF(DATE($C133,2,15)&gt;=$V$117,$Y$117*(1+($U$117)/100)^MAX(0,$C133-$AB$117),0)))))</f>
      </c>
      <c r="G133" s="43">
        <f>IF($S$117=0,0,IF(OR(DATE($C133,3,15)&lt;$S$117,AND($T$117&gt;0,DATE($C133,3,15)&gt;$T$117)),0,IF(DATE($C133,3,15)&gt;=$X$117,$AA$117*(1+($U$117)/100)^MAX(0,$C133-$AD$117),IF(DATE($C133,3,15)&gt;=$W$117,$Z$117*(1+($U$117)/100)^MAX(0,$C133-$AC$117),IF(DATE($C133,3,15)&gt;=$V$117,$Y$117*(1+($U$117)/100)^MAX(0,$C133-$AB$117),0)))))</f>
      </c>
      <c r="H133" s="43">
        <f>IF($S$117=0,0,IF(OR(DATE($C133,4,15)&lt;$S$117,AND($T$117&gt;0,DATE($C133,4,15)&gt;$T$117)),0,IF(DATE($C133,4,15)&gt;=$X$117,$AA$117*(1+($U$117)/100)^MAX(0,$C133-$AD$117),IF(DATE($C133,4,15)&gt;=$W$117,$Z$117*(1+($U$117)/100)^MAX(0,$C133-$AC$117),IF(DATE($C133,4,15)&gt;=$V$117,$Y$117*(1+($U$117)/100)^MAX(0,$C133-$AB$117),0)))))</f>
      </c>
      <c r="I133" s="43">
        <f>IF($S$117=0,0,IF(OR(DATE($C133,5,15)&lt;$S$117,AND($T$117&gt;0,DATE($C133,5,15)&gt;$T$117)),0,IF(DATE($C133,5,15)&gt;=$X$117,$AA$117*(1+($U$117)/100)^MAX(0,$C133-$AD$117),IF(DATE($C133,5,15)&gt;=$W$117,$Z$117*(1+($U$117)/100)^MAX(0,$C133-$AC$117),IF(DATE($C133,5,15)&gt;=$V$117,$Y$117*(1+($U$117)/100)^MAX(0,$C133-$AB$117),0)))))</f>
      </c>
      <c r="J133" s="43">
        <f>IF($S$117=0,0,IF(OR(DATE($C133,6,15)&lt;$S$117,AND($T$117&gt;0,DATE($C133,6,15)&gt;$T$117)),0,IF(DATE($C133,6,15)&gt;=$X$117,$AA$117*(1+($U$117)/100)^MAX(0,$C133-$AD$117),IF(DATE($C133,6,15)&gt;=$W$117,$Z$117*(1+($U$117)/100)^MAX(0,$C133-$AC$117),IF(DATE($C133,6,15)&gt;=$V$117,$Y$117*(1+($U$117)/100)^MAX(0,$C133-$AB$117),0)))))</f>
      </c>
      <c r="K133" s="43">
        <f>IF($S$117=0,0,IF(OR(DATE($C133,7,15)&lt;$S$117,AND($T$117&gt;0,DATE($C133,7,15)&gt;$T$117)),0,IF(DATE($C133,7,15)&gt;=$X$117,$AA$117*(1+($U$117)/100)^MAX(0,$C133-$AD$117),IF(DATE($C133,7,15)&gt;=$W$117,$Z$117*(1+($U$117)/100)^MAX(0,$C133-$AC$117),IF(DATE($C133,7,15)&gt;=$V$117,$Y$117*(1+($U$117)/100)^MAX(0,$C133-$AB$117),0)))))</f>
      </c>
      <c r="L133" s="43">
        <f>IF($S$117=0,0,IF(OR(DATE($C133,8,15)&lt;$S$117,AND($T$117&gt;0,DATE($C133,8,15)&gt;$T$117)),0,IF(DATE($C133,8,15)&gt;=$X$117,$AA$117*(1+($U$117)/100)^MAX(0,$C133-$AD$117),IF(DATE($C133,8,15)&gt;=$W$117,$Z$117*(1+($U$117)/100)^MAX(0,$C133-$AC$117),IF(DATE($C133,8,15)&gt;=$V$117,$Y$117*(1+($U$117)/100)^MAX(0,$C133-$AB$117),0)))))</f>
      </c>
      <c r="M133" s="43">
        <f>IF($S$117=0,0,IF(OR(DATE($C133,9,15)&lt;$S$117,AND($T$117&gt;0,DATE($C133,9,15)&gt;$T$117)),0,IF(DATE($C133,9,15)&gt;=$X$117,$AA$117*(1+($U$117)/100)^MAX(0,$C133-$AD$117),IF(DATE($C133,9,15)&gt;=$W$117,$Z$117*(1+($U$117)/100)^MAX(0,$C133-$AC$117),IF(DATE($C133,9,15)&gt;=$V$117,$Y$117*(1+($U$117)/100)^MAX(0,$C133-$AB$117),0)))))</f>
      </c>
      <c r="N133" s="43">
        <f>IF($S$117=0,0,IF(OR(DATE($C133,10,15)&lt;$S$117,AND($T$117&gt;0,DATE($C133,10,15)&gt;$T$117)),0,IF(DATE($C133,10,15)&gt;=$X$117,$AA$117*(1+($U$117)/100)^MAX(0,$C133-$AD$117),IF(DATE($C133,10,15)&gt;=$W$117,$Z$117*(1+($U$117)/100)^MAX(0,$C133-$AC$117),IF(DATE($C133,10,15)&gt;=$V$117,$Y$117*(1+($U$117)/100)^MAX(0,$C133-$AB$117),0)))))</f>
      </c>
      <c r="O133" s="43">
        <f>IF($S$117=0,0,IF(OR(DATE($C133,11,15)&lt;$S$117,AND($T$117&gt;0,DATE($C133,11,15)&gt;$T$117)),0,IF(DATE($C133,11,15)&gt;=$X$117,$AA$117*(1+($U$117)/100)^MAX(0,$C133-$AD$117),IF(DATE($C133,11,15)&gt;=$W$117,$Z$117*(1+($U$117)/100)^MAX(0,$C133-$AC$117),IF(DATE($C133,11,15)&gt;=$V$117,$Y$117*(1+($U$117)/100)^MAX(0,$C133-$AB$117),0)))))</f>
      </c>
      <c r="P133" s="43">
        <f>IF($S$117=0,0,IF(OR(DATE($C133,12,15)&lt;$S$117,AND($T$117&gt;0,DATE($C133,12,15)&gt;$T$117)),0,IF(DATE($C133,12,15)&gt;=$X$117,$AA$117*(1+($U$117)/100)^MAX(0,$C133-$AD$117),IF(DATE($C133,12,15)&gt;=$W$117,$Z$117*(1+($U$117)/100)^MAX(0,$C133-$AC$117),IF(DATE($C133,12,15)&gt;=$V$117,$Y$117*(1+($U$117)/100)^MAX(0,$C133-$AB$117),0)))))</f>
      </c>
      <c r="Q133" s="43">
        <f>SUM($E133:$P133)</f>
      </c>
    </row>
    <row r="134">
      <c r="A134"/>
      <c r="B134">
        <v>4</v>
      </c>
      <c r="C134" s="43">
        <f>Jahr+17</f>
      </c>
      <c r="D134" s="43">
        <f>INDEX(MvObj,4)</f>
      </c>
      <c r="E134" s="43">
        <f>IF($S$117=0,0,IF(OR(DATE($C134,1,15)&lt;$S$117,AND($T$117&gt;0,DATE($C134,1,15)&gt;$T$117)),0,IF(DATE($C134,1,15)&gt;=$X$117,$AA$117*(1+($U$117)/100)^MAX(0,$C134-$AD$117),IF(DATE($C134,1,15)&gt;=$W$117,$Z$117*(1+($U$117)/100)^MAX(0,$C134-$AC$117),IF(DATE($C134,1,15)&gt;=$V$117,$Y$117*(1+($U$117)/100)^MAX(0,$C134-$AB$117),0)))))</f>
      </c>
      <c r="F134" s="43">
        <f>IF($S$117=0,0,IF(OR(DATE($C134,2,15)&lt;$S$117,AND($T$117&gt;0,DATE($C134,2,15)&gt;$T$117)),0,IF(DATE($C134,2,15)&gt;=$X$117,$AA$117*(1+($U$117)/100)^MAX(0,$C134-$AD$117),IF(DATE($C134,2,15)&gt;=$W$117,$Z$117*(1+($U$117)/100)^MAX(0,$C134-$AC$117),IF(DATE($C134,2,15)&gt;=$V$117,$Y$117*(1+($U$117)/100)^MAX(0,$C134-$AB$117),0)))))</f>
      </c>
      <c r="G134" s="43">
        <f>IF($S$117=0,0,IF(OR(DATE($C134,3,15)&lt;$S$117,AND($T$117&gt;0,DATE($C134,3,15)&gt;$T$117)),0,IF(DATE($C134,3,15)&gt;=$X$117,$AA$117*(1+($U$117)/100)^MAX(0,$C134-$AD$117),IF(DATE($C134,3,15)&gt;=$W$117,$Z$117*(1+($U$117)/100)^MAX(0,$C134-$AC$117),IF(DATE($C134,3,15)&gt;=$V$117,$Y$117*(1+($U$117)/100)^MAX(0,$C134-$AB$117),0)))))</f>
      </c>
      <c r="H134" s="43">
        <f>IF($S$117=0,0,IF(OR(DATE($C134,4,15)&lt;$S$117,AND($T$117&gt;0,DATE($C134,4,15)&gt;$T$117)),0,IF(DATE($C134,4,15)&gt;=$X$117,$AA$117*(1+($U$117)/100)^MAX(0,$C134-$AD$117),IF(DATE($C134,4,15)&gt;=$W$117,$Z$117*(1+($U$117)/100)^MAX(0,$C134-$AC$117),IF(DATE($C134,4,15)&gt;=$V$117,$Y$117*(1+($U$117)/100)^MAX(0,$C134-$AB$117),0)))))</f>
      </c>
      <c r="I134" s="43">
        <f>IF($S$117=0,0,IF(OR(DATE($C134,5,15)&lt;$S$117,AND($T$117&gt;0,DATE($C134,5,15)&gt;$T$117)),0,IF(DATE($C134,5,15)&gt;=$X$117,$AA$117*(1+($U$117)/100)^MAX(0,$C134-$AD$117),IF(DATE($C134,5,15)&gt;=$W$117,$Z$117*(1+($U$117)/100)^MAX(0,$C134-$AC$117),IF(DATE($C134,5,15)&gt;=$V$117,$Y$117*(1+($U$117)/100)^MAX(0,$C134-$AB$117),0)))))</f>
      </c>
      <c r="J134" s="43">
        <f>IF($S$117=0,0,IF(OR(DATE($C134,6,15)&lt;$S$117,AND($T$117&gt;0,DATE($C134,6,15)&gt;$T$117)),0,IF(DATE($C134,6,15)&gt;=$X$117,$AA$117*(1+($U$117)/100)^MAX(0,$C134-$AD$117),IF(DATE($C134,6,15)&gt;=$W$117,$Z$117*(1+($U$117)/100)^MAX(0,$C134-$AC$117),IF(DATE($C134,6,15)&gt;=$V$117,$Y$117*(1+($U$117)/100)^MAX(0,$C134-$AB$117),0)))))</f>
      </c>
      <c r="K134" s="43">
        <f>IF($S$117=0,0,IF(OR(DATE($C134,7,15)&lt;$S$117,AND($T$117&gt;0,DATE($C134,7,15)&gt;$T$117)),0,IF(DATE($C134,7,15)&gt;=$X$117,$AA$117*(1+($U$117)/100)^MAX(0,$C134-$AD$117),IF(DATE($C134,7,15)&gt;=$W$117,$Z$117*(1+($U$117)/100)^MAX(0,$C134-$AC$117),IF(DATE($C134,7,15)&gt;=$V$117,$Y$117*(1+($U$117)/100)^MAX(0,$C134-$AB$117),0)))))</f>
      </c>
      <c r="L134" s="43">
        <f>IF($S$117=0,0,IF(OR(DATE($C134,8,15)&lt;$S$117,AND($T$117&gt;0,DATE($C134,8,15)&gt;$T$117)),0,IF(DATE($C134,8,15)&gt;=$X$117,$AA$117*(1+($U$117)/100)^MAX(0,$C134-$AD$117),IF(DATE($C134,8,15)&gt;=$W$117,$Z$117*(1+($U$117)/100)^MAX(0,$C134-$AC$117),IF(DATE($C134,8,15)&gt;=$V$117,$Y$117*(1+($U$117)/100)^MAX(0,$C134-$AB$117),0)))))</f>
      </c>
      <c r="M134" s="43">
        <f>IF($S$117=0,0,IF(OR(DATE($C134,9,15)&lt;$S$117,AND($T$117&gt;0,DATE($C134,9,15)&gt;$T$117)),0,IF(DATE($C134,9,15)&gt;=$X$117,$AA$117*(1+($U$117)/100)^MAX(0,$C134-$AD$117),IF(DATE($C134,9,15)&gt;=$W$117,$Z$117*(1+($U$117)/100)^MAX(0,$C134-$AC$117),IF(DATE($C134,9,15)&gt;=$V$117,$Y$117*(1+($U$117)/100)^MAX(0,$C134-$AB$117),0)))))</f>
      </c>
      <c r="N134" s="43">
        <f>IF($S$117=0,0,IF(OR(DATE($C134,10,15)&lt;$S$117,AND($T$117&gt;0,DATE($C134,10,15)&gt;$T$117)),0,IF(DATE($C134,10,15)&gt;=$X$117,$AA$117*(1+($U$117)/100)^MAX(0,$C134-$AD$117),IF(DATE($C134,10,15)&gt;=$W$117,$Z$117*(1+($U$117)/100)^MAX(0,$C134-$AC$117),IF(DATE($C134,10,15)&gt;=$V$117,$Y$117*(1+($U$117)/100)^MAX(0,$C134-$AB$117),0)))))</f>
      </c>
      <c r="O134" s="43">
        <f>IF($S$117=0,0,IF(OR(DATE($C134,11,15)&lt;$S$117,AND($T$117&gt;0,DATE($C134,11,15)&gt;$T$117)),0,IF(DATE($C134,11,15)&gt;=$X$117,$AA$117*(1+($U$117)/100)^MAX(0,$C134-$AD$117),IF(DATE($C134,11,15)&gt;=$W$117,$Z$117*(1+($U$117)/100)^MAX(0,$C134-$AC$117),IF(DATE($C134,11,15)&gt;=$V$117,$Y$117*(1+($U$117)/100)^MAX(0,$C134-$AB$117),0)))))</f>
      </c>
      <c r="P134" s="43">
        <f>IF($S$117=0,0,IF(OR(DATE($C134,12,15)&lt;$S$117,AND($T$117&gt;0,DATE($C134,12,15)&gt;$T$117)),0,IF(DATE($C134,12,15)&gt;=$X$117,$AA$117*(1+($U$117)/100)^MAX(0,$C134-$AD$117),IF(DATE($C134,12,15)&gt;=$W$117,$Z$117*(1+($U$117)/100)^MAX(0,$C134-$AC$117),IF(DATE($C134,12,15)&gt;=$V$117,$Y$117*(1+($U$117)/100)^MAX(0,$C134-$AB$117),0)))))</f>
      </c>
      <c r="Q134" s="43">
        <f>SUM($E134:$P134)</f>
      </c>
    </row>
    <row r="135">
      <c r="A135"/>
      <c r="B135">
        <v>4</v>
      </c>
      <c r="C135" s="43">
        <f>Jahr+18</f>
      </c>
      <c r="D135" s="43">
        <f>INDEX(MvObj,4)</f>
      </c>
      <c r="E135" s="43">
        <f>IF($S$117=0,0,IF(OR(DATE($C135,1,15)&lt;$S$117,AND($T$117&gt;0,DATE($C135,1,15)&gt;$T$117)),0,IF(DATE($C135,1,15)&gt;=$X$117,$AA$117*(1+($U$117)/100)^MAX(0,$C135-$AD$117),IF(DATE($C135,1,15)&gt;=$W$117,$Z$117*(1+($U$117)/100)^MAX(0,$C135-$AC$117),IF(DATE($C135,1,15)&gt;=$V$117,$Y$117*(1+($U$117)/100)^MAX(0,$C135-$AB$117),0)))))</f>
      </c>
      <c r="F135" s="43">
        <f>IF($S$117=0,0,IF(OR(DATE($C135,2,15)&lt;$S$117,AND($T$117&gt;0,DATE($C135,2,15)&gt;$T$117)),0,IF(DATE($C135,2,15)&gt;=$X$117,$AA$117*(1+($U$117)/100)^MAX(0,$C135-$AD$117),IF(DATE($C135,2,15)&gt;=$W$117,$Z$117*(1+($U$117)/100)^MAX(0,$C135-$AC$117),IF(DATE($C135,2,15)&gt;=$V$117,$Y$117*(1+($U$117)/100)^MAX(0,$C135-$AB$117),0)))))</f>
      </c>
      <c r="G135" s="43">
        <f>IF($S$117=0,0,IF(OR(DATE($C135,3,15)&lt;$S$117,AND($T$117&gt;0,DATE($C135,3,15)&gt;$T$117)),0,IF(DATE($C135,3,15)&gt;=$X$117,$AA$117*(1+($U$117)/100)^MAX(0,$C135-$AD$117),IF(DATE($C135,3,15)&gt;=$W$117,$Z$117*(1+($U$117)/100)^MAX(0,$C135-$AC$117),IF(DATE($C135,3,15)&gt;=$V$117,$Y$117*(1+($U$117)/100)^MAX(0,$C135-$AB$117),0)))))</f>
      </c>
      <c r="H135" s="43">
        <f>IF($S$117=0,0,IF(OR(DATE($C135,4,15)&lt;$S$117,AND($T$117&gt;0,DATE($C135,4,15)&gt;$T$117)),0,IF(DATE($C135,4,15)&gt;=$X$117,$AA$117*(1+($U$117)/100)^MAX(0,$C135-$AD$117),IF(DATE($C135,4,15)&gt;=$W$117,$Z$117*(1+($U$117)/100)^MAX(0,$C135-$AC$117),IF(DATE($C135,4,15)&gt;=$V$117,$Y$117*(1+($U$117)/100)^MAX(0,$C135-$AB$117),0)))))</f>
      </c>
      <c r="I135" s="43">
        <f>IF($S$117=0,0,IF(OR(DATE($C135,5,15)&lt;$S$117,AND($T$117&gt;0,DATE($C135,5,15)&gt;$T$117)),0,IF(DATE($C135,5,15)&gt;=$X$117,$AA$117*(1+($U$117)/100)^MAX(0,$C135-$AD$117),IF(DATE($C135,5,15)&gt;=$W$117,$Z$117*(1+($U$117)/100)^MAX(0,$C135-$AC$117),IF(DATE($C135,5,15)&gt;=$V$117,$Y$117*(1+($U$117)/100)^MAX(0,$C135-$AB$117),0)))))</f>
      </c>
      <c r="J135" s="43">
        <f>IF($S$117=0,0,IF(OR(DATE($C135,6,15)&lt;$S$117,AND($T$117&gt;0,DATE($C135,6,15)&gt;$T$117)),0,IF(DATE($C135,6,15)&gt;=$X$117,$AA$117*(1+($U$117)/100)^MAX(0,$C135-$AD$117),IF(DATE($C135,6,15)&gt;=$W$117,$Z$117*(1+($U$117)/100)^MAX(0,$C135-$AC$117),IF(DATE($C135,6,15)&gt;=$V$117,$Y$117*(1+($U$117)/100)^MAX(0,$C135-$AB$117),0)))))</f>
      </c>
      <c r="K135" s="43">
        <f>IF($S$117=0,0,IF(OR(DATE($C135,7,15)&lt;$S$117,AND($T$117&gt;0,DATE($C135,7,15)&gt;$T$117)),0,IF(DATE($C135,7,15)&gt;=$X$117,$AA$117*(1+($U$117)/100)^MAX(0,$C135-$AD$117),IF(DATE($C135,7,15)&gt;=$W$117,$Z$117*(1+($U$117)/100)^MAX(0,$C135-$AC$117),IF(DATE($C135,7,15)&gt;=$V$117,$Y$117*(1+($U$117)/100)^MAX(0,$C135-$AB$117),0)))))</f>
      </c>
      <c r="L135" s="43">
        <f>IF($S$117=0,0,IF(OR(DATE($C135,8,15)&lt;$S$117,AND($T$117&gt;0,DATE($C135,8,15)&gt;$T$117)),0,IF(DATE($C135,8,15)&gt;=$X$117,$AA$117*(1+($U$117)/100)^MAX(0,$C135-$AD$117),IF(DATE($C135,8,15)&gt;=$W$117,$Z$117*(1+($U$117)/100)^MAX(0,$C135-$AC$117),IF(DATE($C135,8,15)&gt;=$V$117,$Y$117*(1+($U$117)/100)^MAX(0,$C135-$AB$117),0)))))</f>
      </c>
      <c r="M135" s="43">
        <f>IF($S$117=0,0,IF(OR(DATE($C135,9,15)&lt;$S$117,AND($T$117&gt;0,DATE($C135,9,15)&gt;$T$117)),0,IF(DATE($C135,9,15)&gt;=$X$117,$AA$117*(1+($U$117)/100)^MAX(0,$C135-$AD$117),IF(DATE($C135,9,15)&gt;=$W$117,$Z$117*(1+($U$117)/100)^MAX(0,$C135-$AC$117),IF(DATE($C135,9,15)&gt;=$V$117,$Y$117*(1+($U$117)/100)^MAX(0,$C135-$AB$117),0)))))</f>
      </c>
      <c r="N135" s="43">
        <f>IF($S$117=0,0,IF(OR(DATE($C135,10,15)&lt;$S$117,AND($T$117&gt;0,DATE($C135,10,15)&gt;$T$117)),0,IF(DATE($C135,10,15)&gt;=$X$117,$AA$117*(1+($U$117)/100)^MAX(0,$C135-$AD$117),IF(DATE($C135,10,15)&gt;=$W$117,$Z$117*(1+($U$117)/100)^MAX(0,$C135-$AC$117),IF(DATE($C135,10,15)&gt;=$V$117,$Y$117*(1+($U$117)/100)^MAX(0,$C135-$AB$117),0)))))</f>
      </c>
      <c r="O135" s="43">
        <f>IF($S$117=0,0,IF(OR(DATE($C135,11,15)&lt;$S$117,AND($T$117&gt;0,DATE($C135,11,15)&gt;$T$117)),0,IF(DATE($C135,11,15)&gt;=$X$117,$AA$117*(1+($U$117)/100)^MAX(0,$C135-$AD$117),IF(DATE($C135,11,15)&gt;=$W$117,$Z$117*(1+($U$117)/100)^MAX(0,$C135-$AC$117),IF(DATE($C135,11,15)&gt;=$V$117,$Y$117*(1+($U$117)/100)^MAX(0,$C135-$AB$117),0)))))</f>
      </c>
      <c r="P135" s="43">
        <f>IF($S$117=0,0,IF(OR(DATE($C135,12,15)&lt;$S$117,AND($T$117&gt;0,DATE($C135,12,15)&gt;$T$117)),0,IF(DATE($C135,12,15)&gt;=$X$117,$AA$117*(1+($U$117)/100)^MAX(0,$C135-$AD$117),IF(DATE($C135,12,15)&gt;=$W$117,$Z$117*(1+($U$117)/100)^MAX(0,$C135-$AC$117),IF(DATE($C135,12,15)&gt;=$V$117,$Y$117*(1+($U$117)/100)^MAX(0,$C135-$AB$117),0)))))</f>
      </c>
      <c r="Q135" s="43">
        <f>SUM($E135:$P135)</f>
      </c>
    </row>
    <row r="136">
      <c r="A136"/>
      <c r="B136">
        <v>4</v>
      </c>
      <c r="C136" s="43">
        <f>Jahr+19</f>
      </c>
      <c r="D136" s="43">
        <f>INDEX(MvObj,4)</f>
      </c>
      <c r="E136" s="43">
        <f>IF($S$117=0,0,IF(OR(DATE($C136,1,15)&lt;$S$117,AND($T$117&gt;0,DATE($C136,1,15)&gt;$T$117)),0,IF(DATE($C136,1,15)&gt;=$X$117,$AA$117*(1+($U$117)/100)^MAX(0,$C136-$AD$117),IF(DATE($C136,1,15)&gt;=$W$117,$Z$117*(1+($U$117)/100)^MAX(0,$C136-$AC$117),IF(DATE($C136,1,15)&gt;=$V$117,$Y$117*(1+($U$117)/100)^MAX(0,$C136-$AB$117),0)))))</f>
      </c>
      <c r="F136" s="43">
        <f>IF($S$117=0,0,IF(OR(DATE($C136,2,15)&lt;$S$117,AND($T$117&gt;0,DATE($C136,2,15)&gt;$T$117)),0,IF(DATE($C136,2,15)&gt;=$X$117,$AA$117*(1+($U$117)/100)^MAX(0,$C136-$AD$117),IF(DATE($C136,2,15)&gt;=$W$117,$Z$117*(1+($U$117)/100)^MAX(0,$C136-$AC$117),IF(DATE($C136,2,15)&gt;=$V$117,$Y$117*(1+($U$117)/100)^MAX(0,$C136-$AB$117),0)))))</f>
      </c>
      <c r="G136" s="43">
        <f>IF($S$117=0,0,IF(OR(DATE($C136,3,15)&lt;$S$117,AND($T$117&gt;0,DATE($C136,3,15)&gt;$T$117)),0,IF(DATE($C136,3,15)&gt;=$X$117,$AA$117*(1+($U$117)/100)^MAX(0,$C136-$AD$117),IF(DATE($C136,3,15)&gt;=$W$117,$Z$117*(1+($U$117)/100)^MAX(0,$C136-$AC$117),IF(DATE($C136,3,15)&gt;=$V$117,$Y$117*(1+($U$117)/100)^MAX(0,$C136-$AB$117),0)))))</f>
      </c>
      <c r="H136" s="43">
        <f>IF($S$117=0,0,IF(OR(DATE($C136,4,15)&lt;$S$117,AND($T$117&gt;0,DATE($C136,4,15)&gt;$T$117)),0,IF(DATE($C136,4,15)&gt;=$X$117,$AA$117*(1+($U$117)/100)^MAX(0,$C136-$AD$117),IF(DATE($C136,4,15)&gt;=$W$117,$Z$117*(1+($U$117)/100)^MAX(0,$C136-$AC$117),IF(DATE($C136,4,15)&gt;=$V$117,$Y$117*(1+($U$117)/100)^MAX(0,$C136-$AB$117),0)))))</f>
      </c>
      <c r="I136" s="43">
        <f>IF($S$117=0,0,IF(OR(DATE($C136,5,15)&lt;$S$117,AND($T$117&gt;0,DATE($C136,5,15)&gt;$T$117)),0,IF(DATE($C136,5,15)&gt;=$X$117,$AA$117*(1+($U$117)/100)^MAX(0,$C136-$AD$117),IF(DATE($C136,5,15)&gt;=$W$117,$Z$117*(1+($U$117)/100)^MAX(0,$C136-$AC$117),IF(DATE($C136,5,15)&gt;=$V$117,$Y$117*(1+($U$117)/100)^MAX(0,$C136-$AB$117),0)))))</f>
      </c>
      <c r="J136" s="43">
        <f>IF($S$117=0,0,IF(OR(DATE($C136,6,15)&lt;$S$117,AND($T$117&gt;0,DATE($C136,6,15)&gt;$T$117)),0,IF(DATE($C136,6,15)&gt;=$X$117,$AA$117*(1+($U$117)/100)^MAX(0,$C136-$AD$117),IF(DATE($C136,6,15)&gt;=$W$117,$Z$117*(1+($U$117)/100)^MAX(0,$C136-$AC$117),IF(DATE($C136,6,15)&gt;=$V$117,$Y$117*(1+($U$117)/100)^MAX(0,$C136-$AB$117),0)))))</f>
      </c>
      <c r="K136" s="43">
        <f>IF($S$117=0,0,IF(OR(DATE($C136,7,15)&lt;$S$117,AND($T$117&gt;0,DATE($C136,7,15)&gt;$T$117)),0,IF(DATE($C136,7,15)&gt;=$X$117,$AA$117*(1+($U$117)/100)^MAX(0,$C136-$AD$117),IF(DATE($C136,7,15)&gt;=$W$117,$Z$117*(1+($U$117)/100)^MAX(0,$C136-$AC$117),IF(DATE($C136,7,15)&gt;=$V$117,$Y$117*(1+($U$117)/100)^MAX(0,$C136-$AB$117),0)))))</f>
      </c>
      <c r="L136" s="43">
        <f>IF($S$117=0,0,IF(OR(DATE($C136,8,15)&lt;$S$117,AND($T$117&gt;0,DATE($C136,8,15)&gt;$T$117)),0,IF(DATE($C136,8,15)&gt;=$X$117,$AA$117*(1+($U$117)/100)^MAX(0,$C136-$AD$117),IF(DATE($C136,8,15)&gt;=$W$117,$Z$117*(1+($U$117)/100)^MAX(0,$C136-$AC$117),IF(DATE($C136,8,15)&gt;=$V$117,$Y$117*(1+($U$117)/100)^MAX(0,$C136-$AB$117),0)))))</f>
      </c>
      <c r="M136" s="43">
        <f>IF($S$117=0,0,IF(OR(DATE($C136,9,15)&lt;$S$117,AND($T$117&gt;0,DATE($C136,9,15)&gt;$T$117)),0,IF(DATE($C136,9,15)&gt;=$X$117,$AA$117*(1+($U$117)/100)^MAX(0,$C136-$AD$117),IF(DATE($C136,9,15)&gt;=$W$117,$Z$117*(1+($U$117)/100)^MAX(0,$C136-$AC$117),IF(DATE($C136,9,15)&gt;=$V$117,$Y$117*(1+($U$117)/100)^MAX(0,$C136-$AB$117),0)))))</f>
      </c>
      <c r="N136" s="43">
        <f>IF($S$117=0,0,IF(OR(DATE($C136,10,15)&lt;$S$117,AND($T$117&gt;0,DATE($C136,10,15)&gt;$T$117)),0,IF(DATE($C136,10,15)&gt;=$X$117,$AA$117*(1+($U$117)/100)^MAX(0,$C136-$AD$117),IF(DATE($C136,10,15)&gt;=$W$117,$Z$117*(1+($U$117)/100)^MAX(0,$C136-$AC$117),IF(DATE($C136,10,15)&gt;=$V$117,$Y$117*(1+($U$117)/100)^MAX(0,$C136-$AB$117),0)))))</f>
      </c>
      <c r="O136" s="43">
        <f>IF($S$117=0,0,IF(OR(DATE($C136,11,15)&lt;$S$117,AND($T$117&gt;0,DATE($C136,11,15)&gt;$T$117)),0,IF(DATE($C136,11,15)&gt;=$X$117,$AA$117*(1+($U$117)/100)^MAX(0,$C136-$AD$117),IF(DATE($C136,11,15)&gt;=$W$117,$Z$117*(1+($U$117)/100)^MAX(0,$C136-$AC$117),IF(DATE($C136,11,15)&gt;=$V$117,$Y$117*(1+($U$117)/100)^MAX(0,$C136-$AB$117),0)))))</f>
      </c>
      <c r="P136" s="43">
        <f>IF($S$117=0,0,IF(OR(DATE($C136,12,15)&lt;$S$117,AND($T$117&gt;0,DATE($C136,12,15)&gt;$T$117)),0,IF(DATE($C136,12,15)&gt;=$X$117,$AA$117*(1+($U$117)/100)^MAX(0,$C136-$AD$117),IF(DATE($C136,12,15)&gt;=$W$117,$Z$117*(1+($U$117)/100)^MAX(0,$C136-$AC$117),IF(DATE($C136,12,15)&gt;=$V$117,$Y$117*(1+($U$117)/100)^MAX(0,$C136-$AB$117),0)))))</f>
      </c>
      <c r="Q136" s="43">
        <f>SUM($E136:$P136)</f>
      </c>
    </row>
    <row r="137">
      <c r="A137"/>
      <c r="B137">
        <v>4</v>
      </c>
      <c r="C137" s="43">
        <f>Jahr+20</f>
      </c>
      <c r="D137" s="43">
        <f>INDEX(MvObj,4)</f>
      </c>
      <c r="E137" s="43">
        <f>IF($S$117=0,0,IF(OR(DATE($C137,1,15)&lt;$S$117,AND($T$117&gt;0,DATE($C137,1,15)&gt;$T$117)),0,IF(DATE($C137,1,15)&gt;=$X$117,$AA$117*(1+($U$117)/100)^MAX(0,$C137-$AD$117),IF(DATE($C137,1,15)&gt;=$W$117,$Z$117*(1+($U$117)/100)^MAX(0,$C137-$AC$117),IF(DATE($C137,1,15)&gt;=$V$117,$Y$117*(1+($U$117)/100)^MAX(0,$C137-$AB$117),0)))))</f>
      </c>
      <c r="F137" s="43">
        <f>IF($S$117=0,0,IF(OR(DATE($C137,2,15)&lt;$S$117,AND($T$117&gt;0,DATE($C137,2,15)&gt;$T$117)),0,IF(DATE($C137,2,15)&gt;=$X$117,$AA$117*(1+($U$117)/100)^MAX(0,$C137-$AD$117),IF(DATE($C137,2,15)&gt;=$W$117,$Z$117*(1+($U$117)/100)^MAX(0,$C137-$AC$117),IF(DATE($C137,2,15)&gt;=$V$117,$Y$117*(1+($U$117)/100)^MAX(0,$C137-$AB$117),0)))))</f>
      </c>
      <c r="G137" s="43">
        <f>IF($S$117=0,0,IF(OR(DATE($C137,3,15)&lt;$S$117,AND($T$117&gt;0,DATE($C137,3,15)&gt;$T$117)),0,IF(DATE($C137,3,15)&gt;=$X$117,$AA$117*(1+($U$117)/100)^MAX(0,$C137-$AD$117),IF(DATE($C137,3,15)&gt;=$W$117,$Z$117*(1+($U$117)/100)^MAX(0,$C137-$AC$117),IF(DATE($C137,3,15)&gt;=$V$117,$Y$117*(1+($U$117)/100)^MAX(0,$C137-$AB$117),0)))))</f>
      </c>
      <c r="H137" s="43">
        <f>IF($S$117=0,0,IF(OR(DATE($C137,4,15)&lt;$S$117,AND($T$117&gt;0,DATE($C137,4,15)&gt;$T$117)),0,IF(DATE($C137,4,15)&gt;=$X$117,$AA$117*(1+($U$117)/100)^MAX(0,$C137-$AD$117),IF(DATE($C137,4,15)&gt;=$W$117,$Z$117*(1+($U$117)/100)^MAX(0,$C137-$AC$117),IF(DATE($C137,4,15)&gt;=$V$117,$Y$117*(1+($U$117)/100)^MAX(0,$C137-$AB$117),0)))))</f>
      </c>
      <c r="I137" s="43">
        <f>IF($S$117=0,0,IF(OR(DATE($C137,5,15)&lt;$S$117,AND($T$117&gt;0,DATE($C137,5,15)&gt;$T$117)),0,IF(DATE($C137,5,15)&gt;=$X$117,$AA$117*(1+($U$117)/100)^MAX(0,$C137-$AD$117),IF(DATE($C137,5,15)&gt;=$W$117,$Z$117*(1+($U$117)/100)^MAX(0,$C137-$AC$117),IF(DATE($C137,5,15)&gt;=$V$117,$Y$117*(1+($U$117)/100)^MAX(0,$C137-$AB$117),0)))))</f>
      </c>
      <c r="J137" s="43">
        <f>IF($S$117=0,0,IF(OR(DATE($C137,6,15)&lt;$S$117,AND($T$117&gt;0,DATE($C137,6,15)&gt;$T$117)),0,IF(DATE($C137,6,15)&gt;=$X$117,$AA$117*(1+($U$117)/100)^MAX(0,$C137-$AD$117),IF(DATE($C137,6,15)&gt;=$W$117,$Z$117*(1+($U$117)/100)^MAX(0,$C137-$AC$117),IF(DATE($C137,6,15)&gt;=$V$117,$Y$117*(1+($U$117)/100)^MAX(0,$C137-$AB$117),0)))))</f>
      </c>
      <c r="K137" s="43">
        <f>IF($S$117=0,0,IF(OR(DATE($C137,7,15)&lt;$S$117,AND($T$117&gt;0,DATE($C137,7,15)&gt;$T$117)),0,IF(DATE($C137,7,15)&gt;=$X$117,$AA$117*(1+($U$117)/100)^MAX(0,$C137-$AD$117),IF(DATE($C137,7,15)&gt;=$W$117,$Z$117*(1+($U$117)/100)^MAX(0,$C137-$AC$117),IF(DATE($C137,7,15)&gt;=$V$117,$Y$117*(1+($U$117)/100)^MAX(0,$C137-$AB$117),0)))))</f>
      </c>
      <c r="L137" s="43">
        <f>IF($S$117=0,0,IF(OR(DATE($C137,8,15)&lt;$S$117,AND($T$117&gt;0,DATE($C137,8,15)&gt;$T$117)),0,IF(DATE($C137,8,15)&gt;=$X$117,$AA$117*(1+($U$117)/100)^MAX(0,$C137-$AD$117),IF(DATE($C137,8,15)&gt;=$W$117,$Z$117*(1+($U$117)/100)^MAX(0,$C137-$AC$117),IF(DATE($C137,8,15)&gt;=$V$117,$Y$117*(1+($U$117)/100)^MAX(0,$C137-$AB$117),0)))))</f>
      </c>
      <c r="M137" s="43">
        <f>IF($S$117=0,0,IF(OR(DATE($C137,9,15)&lt;$S$117,AND($T$117&gt;0,DATE($C137,9,15)&gt;$T$117)),0,IF(DATE($C137,9,15)&gt;=$X$117,$AA$117*(1+($U$117)/100)^MAX(0,$C137-$AD$117),IF(DATE($C137,9,15)&gt;=$W$117,$Z$117*(1+($U$117)/100)^MAX(0,$C137-$AC$117),IF(DATE($C137,9,15)&gt;=$V$117,$Y$117*(1+($U$117)/100)^MAX(0,$C137-$AB$117),0)))))</f>
      </c>
      <c r="N137" s="43">
        <f>IF($S$117=0,0,IF(OR(DATE($C137,10,15)&lt;$S$117,AND($T$117&gt;0,DATE($C137,10,15)&gt;$T$117)),0,IF(DATE($C137,10,15)&gt;=$X$117,$AA$117*(1+($U$117)/100)^MAX(0,$C137-$AD$117),IF(DATE($C137,10,15)&gt;=$W$117,$Z$117*(1+($U$117)/100)^MAX(0,$C137-$AC$117),IF(DATE($C137,10,15)&gt;=$V$117,$Y$117*(1+($U$117)/100)^MAX(0,$C137-$AB$117),0)))))</f>
      </c>
      <c r="O137" s="43">
        <f>IF($S$117=0,0,IF(OR(DATE($C137,11,15)&lt;$S$117,AND($T$117&gt;0,DATE($C137,11,15)&gt;$T$117)),0,IF(DATE($C137,11,15)&gt;=$X$117,$AA$117*(1+($U$117)/100)^MAX(0,$C137-$AD$117),IF(DATE($C137,11,15)&gt;=$W$117,$Z$117*(1+($U$117)/100)^MAX(0,$C137-$AC$117),IF(DATE($C137,11,15)&gt;=$V$117,$Y$117*(1+($U$117)/100)^MAX(0,$C137-$AB$117),0)))))</f>
      </c>
      <c r="P137" s="43">
        <f>IF($S$117=0,0,IF(OR(DATE($C137,12,15)&lt;$S$117,AND($T$117&gt;0,DATE($C137,12,15)&gt;$T$117)),0,IF(DATE($C137,12,15)&gt;=$X$117,$AA$117*(1+($U$117)/100)^MAX(0,$C137-$AD$117),IF(DATE($C137,12,15)&gt;=$W$117,$Z$117*(1+($U$117)/100)^MAX(0,$C137-$AC$117),IF(DATE($C137,12,15)&gt;=$V$117,$Y$117*(1+($U$117)/100)^MAX(0,$C137-$AB$117),0)))))</f>
      </c>
      <c r="Q137" s="43">
        <f>SUM($E137:$P137)</f>
      </c>
    </row>
    <row r="138">
      <c r="A138"/>
      <c r="B138">
        <v>4</v>
      </c>
      <c r="C138" s="43">
        <f>Jahr+21</f>
      </c>
      <c r="D138" s="43">
        <f>INDEX(MvObj,4)</f>
      </c>
      <c r="E138" s="43">
        <f>IF($S$117=0,0,IF(OR(DATE($C138,1,15)&lt;$S$117,AND($T$117&gt;0,DATE($C138,1,15)&gt;$T$117)),0,IF(DATE($C138,1,15)&gt;=$X$117,$AA$117*(1+($U$117)/100)^MAX(0,$C138-$AD$117),IF(DATE($C138,1,15)&gt;=$W$117,$Z$117*(1+($U$117)/100)^MAX(0,$C138-$AC$117),IF(DATE($C138,1,15)&gt;=$V$117,$Y$117*(1+($U$117)/100)^MAX(0,$C138-$AB$117),0)))))</f>
      </c>
      <c r="F138" s="43">
        <f>IF($S$117=0,0,IF(OR(DATE($C138,2,15)&lt;$S$117,AND($T$117&gt;0,DATE($C138,2,15)&gt;$T$117)),0,IF(DATE($C138,2,15)&gt;=$X$117,$AA$117*(1+($U$117)/100)^MAX(0,$C138-$AD$117),IF(DATE($C138,2,15)&gt;=$W$117,$Z$117*(1+($U$117)/100)^MAX(0,$C138-$AC$117),IF(DATE($C138,2,15)&gt;=$V$117,$Y$117*(1+($U$117)/100)^MAX(0,$C138-$AB$117),0)))))</f>
      </c>
      <c r="G138" s="43">
        <f>IF($S$117=0,0,IF(OR(DATE($C138,3,15)&lt;$S$117,AND($T$117&gt;0,DATE($C138,3,15)&gt;$T$117)),0,IF(DATE($C138,3,15)&gt;=$X$117,$AA$117*(1+($U$117)/100)^MAX(0,$C138-$AD$117),IF(DATE($C138,3,15)&gt;=$W$117,$Z$117*(1+($U$117)/100)^MAX(0,$C138-$AC$117),IF(DATE($C138,3,15)&gt;=$V$117,$Y$117*(1+($U$117)/100)^MAX(0,$C138-$AB$117),0)))))</f>
      </c>
      <c r="H138" s="43">
        <f>IF($S$117=0,0,IF(OR(DATE($C138,4,15)&lt;$S$117,AND($T$117&gt;0,DATE($C138,4,15)&gt;$T$117)),0,IF(DATE($C138,4,15)&gt;=$X$117,$AA$117*(1+($U$117)/100)^MAX(0,$C138-$AD$117),IF(DATE($C138,4,15)&gt;=$W$117,$Z$117*(1+($U$117)/100)^MAX(0,$C138-$AC$117),IF(DATE($C138,4,15)&gt;=$V$117,$Y$117*(1+($U$117)/100)^MAX(0,$C138-$AB$117),0)))))</f>
      </c>
      <c r="I138" s="43">
        <f>IF($S$117=0,0,IF(OR(DATE($C138,5,15)&lt;$S$117,AND($T$117&gt;0,DATE($C138,5,15)&gt;$T$117)),0,IF(DATE($C138,5,15)&gt;=$X$117,$AA$117*(1+($U$117)/100)^MAX(0,$C138-$AD$117),IF(DATE($C138,5,15)&gt;=$W$117,$Z$117*(1+($U$117)/100)^MAX(0,$C138-$AC$117),IF(DATE($C138,5,15)&gt;=$V$117,$Y$117*(1+($U$117)/100)^MAX(0,$C138-$AB$117),0)))))</f>
      </c>
      <c r="J138" s="43">
        <f>IF($S$117=0,0,IF(OR(DATE($C138,6,15)&lt;$S$117,AND($T$117&gt;0,DATE($C138,6,15)&gt;$T$117)),0,IF(DATE($C138,6,15)&gt;=$X$117,$AA$117*(1+($U$117)/100)^MAX(0,$C138-$AD$117),IF(DATE($C138,6,15)&gt;=$W$117,$Z$117*(1+($U$117)/100)^MAX(0,$C138-$AC$117),IF(DATE($C138,6,15)&gt;=$V$117,$Y$117*(1+($U$117)/100)^MAX(0,$C138-$AB$117),0)))))</f>
      </c>
      <c r="K138" s="43">
        <f>IF($S$117=0,0,IF(OR(DATE($C138,7,15)&lt;$S$117,AND($T$117&gt;0,DATE($C138,7,15)&gt;$T$117)),0,IF(DATE($C138,7,15)&gt;=$X$117,$AA$117*(1+($U$117)/100)^MAX(0,$C138-$AD$117),IF(DATE($C138,7,15)&gt;=$W$117,$Z$117*(1+($U$117)/100)^MAX(0,$C138-$AC$117),IF(DATE($C138,7,15)&gt;=$V$117,$Y$117*(1+($U$117)/100)^MAX(0,$C138-$AB$117),0)))))</f>
      </c>
      <c r="L138" s="43">
        <f>IF($S$117=0,0,IF(OR(DATE($C138,8,15)&lt;$S$117,AND($T$117&gt;0,DATE($C138,8,15)&gt;$T$117)),0,IF(DATE($C138,8,15)&gt;=$X$117,$AA$117*(1+($U$117)/100)^MAX(0,$C138-$AD$117),IF(DATE($C138,8,15)&gt;=$W$117,$Z$117*(1+($U$117)/100)^MAX(0,$C138-$AC$117),IF(DATE($C138,8,15)&gt;=$V$117,$Y$117*(1+($U$117)/100)^MAX(0,$C138-$AB$117),0)))))</f>
      </c>
      <c r="M138" s="43">
        <f>IF($S$117=0,0,IF(OR(DATE($C138,9,15)&lt;$S$117,AND($T$117&gt;0,DATE($C138,9,15)&gt;$T$117)),0,IF(DATE($C138,9,15)&gt;=$X$117,$AA$117*(1+($U$117)/100)^MAX(0,$C138-$AD$117),IF(DATE($C138,9,15)&gt;=$W$117,$Z$117*(1+($U$117)/100)^MAX(0,$C138-$AC$117),IF(DATE($C138,9,15)&gt;=$V$117,$Y$117*(1+($U$117)/100)^MAX(0,$C138-$AB$117),0)))))</f>
      </c>
      <c r="N138" s="43">
        <f>IF($S$117=0,0,IF(OR(DATE($C138,10,15)&lt;$S$117,AND($T$117&gt;0,DATE($C138,10,15)&gt;$T$117)),0,IF(DATE($C138,10,15)&gt;=$X$117,$AA$117*(1+($U$117)/100)^MAX(0,$C138-$AD$117),IF(DATE($C138,10,15)&gt;=$W$117,$Z$117*(1+($U$117)/100)^MAX(0,$C138-$AC$117),IF(DATE($C138,10,15)&gt;=$V$117,$Y$117*(1+($U$117)/100)^MAX(0,$C138-$AB$117),0)))))</f>
      </c>
      <c r="O138" s="43">
        <f>IF($S$117=0,0,IF(OR(DATE($C138,11,15)&lt;$S$117,AND($T$117&gt;0,DATE($C138,11,15)&gt;$T$117)),0,IF(DATE($C138,11,15)&gt;=$X$117,$AA$117*(1+($U$117)/100)^MAX(0,$C138-$AD$117),IF(DATE($C138,11,15)&gt;=$W$117,$Z$117*(1+($U$117)/100)^MAX(0,$C138-$AC$117),IF(DATE($C138,11,15)&gt;=$V$117,$Y$117*(1+($U$117)/100)^MAX(0,$C138-$AB$117),0)))))</f>
      </c>
      <c r="P138" s="43">
        <f>IF($S$117=0,0,IF(OR(DATE($C138,12,15)&lt;$S$117,AND($T$117&gt;0,DATE($C138,12,15)&gt;$T$117)),0,IF(DATE($C138,12,15)&gt;=$X$117,$AA$117*(1+($U$117)/100)^MAX(0,$C138-$AD$117),IF(DATE($C138,12,15)&gt;=$W$117,$Z$117*(1+($U$117)/100)^MAX(0,$C138-$AC$117),IF(DATE($C138,12,15)&gt;=$V$117,$Y$117*(1+($U$117)/100)^MAX(0,$C138-$AB$117),0)))))</f>
      </c>
      <c r="Q138" s="43">
        <f>SUM($E138:$P138)</f>
      </c>
    </row>
    <row r="139">
      <c r="A139"/>
      <c r="B139">
        <v>4</v>
      </c>
      <c r="C139" s="43">
        <f>Jahr+22</f>
      </c>
      <c r="D139" s="43">
        <f>INDEX(MvObj,4)</f>
      </c>
      <c r="E139" s="43">
        <f>IF($S$117=0,0,IF(OR(DATE($C139,1,15)&lt;$S$117,AND($T$117&gt;0,DATE($C139,1,15)&gt;$T$117)),0,IF(DATE($C139,1,15)&gt;=$X$117,$AA$117*(1+($U$117)/100)^MAX(0,$C139-$AD$117),IF(DATE($C139,1,15)&gt;=$W$117,$Z$117*(1+($U$117)/100)^MAX(0,$C139-$AC$117),IF(DATE($C139,1,15)&gt;=$V$117,$Y$117*(1+($U$117)/100)^MAX(0,$C139-$AB$117),0)))))</f>
      </c>
      <c r="F139" s="43">
        <f>IF($S$117=0,0,IF(OR(DATE($C139,2,15)&lt;$S$117,AND($T$117&gt;0,DATE($C139,2,15)&gt;$T$117)),0,IF(DATE($C139,2,15)&gt;=$X$117,$AA$117*(1+($U$117)/100)^MAX(0,$C139-$AD$117),IF(DATE($C139,2,15)&gt;=$W$117,$Z$117*(1+($U$117)/100)^MAX(0,$C139-$AC$117),IF(DATE($C139,2,15)&gt;=$V$117,$Y$117*(1+($U$117)/100)^MAX(0,$C139-$AB$117),0)))))</f>
      </c>
      <c r="G139" s="43">
        <f>IF($S$117=0,0,IF(OR(DATE($C139,3,15)&lt;$S$117,AND($T$117&gt;0,DATE($C139,3,15)&gt;$T$117)),0,IF(DATE($C139,3,15)&gt;=$X$117,$AA$117*(1+($U$117)/100)^MAX(0,$C139-$AD$117),IF(DATE($C139,3,15)&gt;=$W$117,$Z$117*(1+($U$117)/100)^MAX(0,$C139-$AC$117),IF(DATE($C139,3,15)&gt;=$V$117,$Y$117*(1+($U$117)/100)^MAX(0,$C139-$AB$117),0)))))</f>
      </c>
      <c r="H139" s="43">
        <f>IF($S$117=0,0,IF(OR(DATE($C139,4,15)&lt;$S$117,AND($T$117&gt;0,DATE($C139,4,15)&gt;$T$117)),0,IF(DATE($C139,4,15)&gt;=$X$117,$AA$117*(1+($U$117)/100)^MAX(0,$C139-$AD$117),IF(DATE($C139,4,15)&gt;=$W$117,$Z$117*(1+($U$117)/100)^MAX(0,$C139-$AC$117),IF(DATE($C139,4,15)&gt;=$V$117,$Y$117*(1+($U$117)/100)^MAX(0,$C139-$AB$117),0)))))</f>
      </c>
      <c r="I139" s="43">
        <f>IF($S$117=0,0,IF(OR(DATE($C139,5,15)&lt;$S$117,AND($T$117&gt;0,DATE($C139,5,15)&gt;$T$117)),0,IF(DATE($C139,5,15)&gt;=$X$117,$AA$117*(1+($U$117)/100)^MAX(0,$C139-$AD$117),IF(DATE($C139,5,15)&gt;=$W$117,$Z$117*(1+($U$117)/100)^MAX(0,$C139-$AC$117),IF(DATE($C139,5,15)&gt;=$V$117,$Y$117*(1+($U$117)/100)^MAX(0,$C139-$AB$117),0)))))</f>
      </c>
      <c r="J139" s="43">
        <f>IF($S$117=0,0,IF(OR(DATE($C139,6,15)&lt;$S$117,AND($T$117&gt;0,DATE($C139,6,15)&gt;$T$117)),0,IF(DATE($C139,6,15)&gt;=$X$117,$AA$117*(1+($U$117)/100)^MAX(0,$C139-$AD$117),IF(DATE($C139,6,15)&gt;=$W$117,$Z$117*(1+($U$117)/100)^MAX(0,$C139-$AC$117),IF(DATE($C139,6,15)&gt;=$V$117,$Y$117*(1+($U$117)/100)^MAX(0,$C139-$AB$117),0)))))</f>
      </c>
      <c r="K139" s="43">
        <f>IF($S$117=0,0,IF(OR(DATE($C139,7,15)&lt;$S$117,AND($T$117&gt;0,DATE($C139,7,15)&gt;$T$117)),0,IF(DATE($C139,7,15)&gt;=$X$117,$AA$117*(1+($U$117)/100)^MAX(0,$C139-$AD$117),IF(DATE($C139,7,15)&gt;=$W$117,$Z$117*(1+($U$117)/100)^MAX(0,$C139-$AC$117),IF(DATE($C139,7,15)&gt;=$V$117,$Y$117*(1+($U$117)/100)^MAX(0,$C139-$AB$117),0)))))</f>
      </c>
      <c r="L139" s="43">
        <f>IF($S$117=0,0,IF(OR(DATE($C139,8,15)&lt;$S$117,AND($T$117&gt;0,DATE($C139,8,15)&gt;$T$117)),0,IF(DATE($C139,8,15)&gt;=$X$117,$AA$117*(1+($U$117)/100)^MAX(0,$C139-$AD$117),IF(DATE($C139,8,15)&gt;=$W$117,$Z$117*(1+($U$117)/100)^MAX(0,$C139-$AC$117),IF(DATE($C139,8,15)&gt;=$V$117,$Y$117*(1+($U$117)/100)^MAX(0,$C139-$AB$117),0)))))</f>
      </c>
      <c r="M139" s="43">
        <f>IF($S$117=0,0,IF(OR(DATE($C139,9,15)&lt;$S$117,AND($T$117&gt;0,DATE($C139,9,15)&gt;$T$117)),0,IF(DATE($C139,9,15)&gt;=$X$117,$AA$117*(1+($U$117)/100)^MAX(0,$C139-$AD$117),IF(DATE($C139,9,15)&gt;=$W$117,$Z$117*(1+($U$117)/100)^MAX(0,$C139-$AC$117),IF(DATE($C139,9,15)&gt;=$V$117,$Y$117*(1+($U$117)/100)^MAX(0,$C139-$AB$117),0)))))</f>
      </c>
      <c r="N139" s="43">
        <f>IF($S$117=0,0,IF(OR(DATE($C139,10,15)&lt;$S$117,AND($T$117&gt;0,DATE($C139,10,15)&gt;$T$117)),0,IF(DATE($C139,10,15)&gt;=$X$117,$AA$117*(1+($U$117)/100)^MAX(0,$C139-$AD$117),IF(DATE($C139,10,15)&gt;=$W$117,$Z$117*(1+($U$117)/100)^MAX(0,$C139-$AC$117),IF(DATE($C139,10,15)&gt;=$V$117,$Y$117*(1+($U$117)/100)^MAX(0,$C139-$AB$117),0)))))</f>
      </c>
      <c r="O139" s="43">
        <f>IF($S$117=0,0,IF(OR(DATE($C139,11,15)&lt;$S$117,AND($T$117&gt;0,DATE($C139,11,15)&gt;$T$117)),0,IF(DATE($C139,11,15)&gt;=$X$117,$AA$117*(1+($U$117)/100)^MAX(0,$C139-$AD$117),IF(DATE($C139,11,15)&gt;=$W$117,$Z$117*(1+($U$117)/100)^MAX(0,$C139-$AC$117),IF(DATE($C139,11,15)&gt;=$V$117,$Y$117*(1+($U$117)/100)^MAX(0,$C139-$AB$117),0)))))</f>
      </c>
      <c r="P139" s="43">
        <f>IF($S$117=0,0,IF(OR(DATE($C139,12,15)&lt;$S$117,AND($T$117&gt;0,DATE($C139,12,15)&gt;$T$117)),0,IF(DATE($C139,12,15)&gt;=$X$117,$AA$117*(1+($U$117)/100)^MAX(0,$C139-$AD$117),IF(DATE($C139,12,15)&gt;=$W$117,$Z$117*(1+($U$117)/100)^MAX(0,$C139-$AC$117),IF(DATE($C139,12,15)&gt;=$V$117,$Y$117*(1+($U$117)/100)^MAX(0,$C139-$AB$117),0)))))</f>
      </c>
      <c r="Q139" s="43">
        <f>SUM($E139:$P139)</f>
      </c>
    </row>
    <row r="140">
      <c r="A140"/>
      <c r="B140">
        <v>4</v>
      </c>
      <c r="C140" s="43">
        <f>Jahr+23</f>
      </c>
      <c r="D140" s="43">
        <f>INDEX(MvObj,4)</f>
      </c>
      <c r="E140" s="43">
        <f>IF($S$117=0,0,IF(OR(DATE($C140,1,15)&lt;$S$117,AND($T$117&gt;0,DATE($C140,1,15)&gt;$T$117)),0,IF(DATE($C140,1,15)&gt;=$X$117,$AA$117*(1+($U$117)/100)^MAX(0,$C140-$AD$117),IF(DATE($C140,1,15)&gt;=$W$117,$Z$117*(1+($U$117)/100)^MAX(0,$C140-$AC$117),IF(DATE($C140,1,15)&gt;=$V$117,$Y$117*(1+($U$117)/100)^MAX(0,$C140-$AB$117),0)))))</f>
      </c>
      <c r="F140" s="43">
        <f>IF($S$117=0,0,IF(OR(DATE($C140,2,15)&lt;$S$117,AND($T$117&gt;0,DATE($C140,2,15)&gt;$T$117)),0,IF(DATE($C140,2,15)&gt;=$X$117,$AA$117*(1+($U$117)/100)^MAX(0,$C140-$AD$117),IF(DATE($C140,2,15)&gt;=$W$117,$Z$117*(1+($U$117)/100)^MAX(0,$C140-$AC$117),IF(DATE($C140,2,15)&gt;=$V$117,$Y$117*(1+($U$117)/100)^MAX(0,$C140-$AB$117),0)))))</f>
      </c>
      <c r="G140" s="43">
        <f>IF($S$117=0,0,IF(OR(DATE($C140,3,15)&lt;$S$117,AND($T$117&gt;0,DATE($C140,3,15)&gt;$T$117)),0,IF(DATE($C140,3,15)&gt;=$X$117,$AA$117*(1+($U$117)/100)^MAX(0,$C140-$AD$117),IF(DATE($C140,3,15)&gt;=$W$117,$Z$117*(1+($U$117)/100)^MAX(0,$C140-$AC$117),IF(DATE($C140,3,15)&gt;=$V$117,$Y$117*(1+($U$117)/100)^MAX(0,$C140-$AB$117),0)))))</f>
      </c>
      <c r="H140" s="43">
        <f>IF($S$117=0,0,IF(OR(DATE($C140,4,15)&lt;$S$117,AND($T$117&gt;0,DATE($C140,4,15)&gt;$T$117)),0,IF(DATE($C140,4,15)&gt;=$X$117,$AA$117*(1+($U$117)/100)^MAX(0,$C140-$AD$117),IF(DATE($C140,4,15)&gt;=$W$117,$Z$117*(1+($U$117)/100)^MAX(0,$C140-$AC$117),IF(DATE($C140,4,15)&gt;=$V$117,$Y$117*(1+($U$117)/100)^MAX(0,$C140-$AB$117),0)))))</f>
      </c>
      <c r="I140" s="43">
        <f>IF($S$117=0,0,IF(OR(DATE($C140,5,15)&lt;$S$117,AND($T$117&gt;0,DATE($C140,5,15)&gt;$T$117)),0,IF(DATE($C140,5,15)&gt;=$X$117,$AA$117*(1+($U$117)/100)^MAX(0,$C140-$AD$117),IF(DATE($C140,5,15)&gt;=$W$117,$Z$117*(1+($U$117)/100)^MAX(0,$C140-$AC$117),IF(DATE($C140,5,15)&gt;=$V$117,$Y$117*(1+($U$117)/100)^MAX(0,$C140-$AB$117),0)))))</f>
      </c>
      <c r="J140" s="43">
        <f>IF($S$117=0,0,IF(OR(DATE($C140,6,15)&lt;$S$117,AND($T$117&gt;0,DATE($C140,6,15)&gt;$T$117)),0,IF(DATE($C140,6,15)&gt;=$X$117,$AA$117*(1+($U$117)/100)^MAX(0,$C140-$AD$117),IF(DATE($C140,6,15)&gt;=$W$117,$Z$117*(1+($U$117)/100)^MAX(0,$C140-$AC$117),IF(DATE($C140,6,15)&gt;=$V$117,$Y$117*(1+($U$117)/100)^MAX(0,$C140-$AB$117),0)))))</f>
      </c>
      <c r="K140" s="43">
        <f>IF($S$117=0,0,IF(OR(DATE($C140,7,15)&lt;$S$117,AND($T$117&gt;0,DATE($C140,7,15)&gt;$T$117)),0,IF(DATE($C140,7,15)&gt;=$X$117,$AA$117*(1+($U$117)/100)^MAX(0,$C140-$AD$117),IF(DATE($C140,7,15)&gt;=$W$117,$Z$117*(1+($U$117)/100)^MAX(0,$C140-$AC$117),IF(DATE($C140,7,15)&gt;=$V$117,$Y$117*(1+($U$117)/100)^MAX(0,$C140-$AB$117),0)))))</f>
      </c>
      <c r="L140" s="43">
        <f>IF($S$117=0,0,IF(OR(DATE($C140,8,15)&lt;$S$117,AND($T$117&gt;0,DATE($C140,8,15)&gt;$T$117)),0,IF(DATE($C140,8,15)&gt;=$X$117,$AA$117*(1+($U$117)/100)^MAX(0,$C140-$AD$117),IF(DATE($C140,8,15)&gt;=$W$117,$Z$117*(1+($U$117)/100)^MAX(0,$C140-$AC$117),IF(DATE($C140,8,15)&gt;=$V$117,$Y$117*(1+($U$117)/100)^MAX(0,$C140-$AB$117),0)))))</f>
      </c>
      <c r="M140" s="43">
        <f>IF($S$117=0,0,IF(OR(DATE($C140,9,15)&lt;$S$117,AND($T$117&gt;0,DATE($C140,9,15)&gt;$T$117)),0,IF(DATE($C140,9,15)&gt;=$X$117,$AA$117*(1+($U$117)/100)^MAX(0,$C140-$AD$117),IF(DATE($C140,9,15)&gt;=$W$117,$Z$117*(1+($U$117)/100)^MAX(0,$C140-$AC$117),IF(DATE($C140,9,15)&gt;=$V$117,$Y$117*(1+($U$117)/100)^MAX(0,$C140-$AB$117),0)))))</f>
      </c>
      <c r="N140" s="43">
        <f>IF($S$117=0,0,IF(OR(DATE($C140,10,15)&lt;$S$117,AND($T$117&gt;0,DATE($C140,10,15)&gt;$T$117)),0,IF(DATE($C140,10,15)&gt;=$X$117,$AA$117*(1+($U$117)/100)^MAX(0,$C140-$AD$117),IF(DATE($C140,10,15)&gt;=$W$117,$Z$117*(1+($U$117)/100)^MAX(0,$C140-$AC$117),IF(DATE($C140,10,15)&gt;=$V$117,$Y$117*(1+($U$117)/100)^MAX(0,$C140-$AB$117),0)))))</f>
      </c>
      <c r="O140" s="43">
        <f>IF($S$117=0,0,IF(OR(DATE($C140,11,15)&lt;$S$117,AND($T$117&gt;0,DATE($C140,11,15)&gt;$T$117)),0,IF(DATE($C140,11,15)&gt;=$X$117,$AA$117*(1+($U$117)/100)^MAX(0,$C140-$AD$117),IF(DATE($C140,11,15)&gt;=$W$117,$Z$117*(1+($U$117)/100)^MAX(0,$C140-$AC$117),IF(DATE($C140,11,15)&gt;=$V$117,$Y$117*(1+($U$117)/100)^MAX(0,$C140-$AB$117),0)))))</f>
      </c>
      <c r="P140" s="43">
        <f>IF($S$117=0,0,IF(OR(DATE($C140,12,15)&lt;$S$117,AND($T$117&gt;0,DATE($C140,12,15)&gt;$T$117)),0,IF(DATE($C140,12,15)&gt;=$X$117,$AA$117*(1+($U$117)/100)^MAX(0,$C140-$AD$117),IF(DATE($C140,12,15)&gt;=$W$117,$Z$117*(1+($U$117)/100)^MAX(0,$C140-$AC$117),IF(DATE($C140,12,15)&gt;=$V$117,$Y$117*(1+($U$117)/100)^MAX(0,$C140-$AB$117),0)))))</f>
      </c>
      <c r="Q140" s="43">
        <f>SUM($E140:$P140)</f>
      </c>
    </row>
    <row r="141">
      <c r="A141"/>
      <c r="B141">
        <v>4</v>
      </c>
      <c r="C141" s="43">
        <f>Jahr+24</f>
      </c>
      <c r="D141" s="43">
        <f>INDEX(MvObj,4)</f>
      </c>
      <c r="E141" s="43">
        <f>IF($S$117=0,0,IF(OR(DATE($C141,1,15)&lt;$S$117,AND($T$117&gt;0,DATE($C141,1,15)&gt;$T$117)),0,IF(DATE($C141,1,15)&gt;=$X$117,$AA$117*(1+($U$117)/100)^MAX(0,$C141-$AD$117),IF(DATE($C141,1,15)&gt;=$W$117,$Z$117*(1+($U$117)/100)^MAX(0,$C141-$AC$117),IF(DATE($C141,1,15)&gt;=$V$117,$Y$117*(1+($U$117)/100)^MAX(0,$C141-$AB$117),0)))))</f>
      </c>
      <c r="F141" s="43">
        <f>IF($S$117=0,0,IF(OR(DATE($C141,2,15)&lt;$S$117,AND($T$117&gt;0,DATE($C141,2,15)&gt;$T$117)),0,IF(DATE($C141,2,15)&gt;=$X$117,$AA$117*(1+($U$117)/100)^MAX(0,$C141-$AD$117),IF(DATE($C141,2,15)&gt;=$W$117,$Z$117*(1+($U$117)/100)^MAX(0,$C141-$AC$117),IF(DATE($C141,2,15)&gt;=$V$117,$Y$117*(1+($U$117)/100)^MAX(0,$C141-$AB$117),0)))))</f>
      </c>
      <c r="G141" s="43">
        <f>IF($S$117=0,0,IF(OR(DATE($C141,3,15)&lt;$S$117,AND($T$117&gt;0,DATE($C141,3,15)&gt;$T$117)),0,IF(DATE($C141,3,15)&gt;=$X$117,$AA$117*(1+($U$117)/100)^MAX(0,$C141-$AD$117),IF(DATE($C141,3,15)&gt;=$W$117,$Z$117*(1+($U$117)/100)^MAX(0,$C141-$AC$117),IF(DATE($C141,3,15)&gt;=$V$117,$Y$117*(1+($U$117)/100)^MAX(0,$C141-$AB$117),0)))))</f>
      </c>
      <c r="H141" s="43">
        <f>IF($S$117=0,0,IF(OR(DATE($C141,4,15)&lt;$S$117,AND($T$117&gt;0,DATE($C141,4,15)&gt;$T$117)),0,IF(DATE($C141,4,15)&gt;=$X$117,$AA$117*(1+($U$117)/100)^MAX(0,$C141-$AD$117),IF(DATE($C141,4,15)&gt;=$W$117,$Z$117*(1+($U$117)/100)^MAX(0,$C141-$AC$117),IF(DATE($C141,4,15)&gt;=$V$117,$Y$117*(1+($U$117)/100)^MAX(0,$C141-$AB$117),0)))))</f>
      </c>
      <c r="I141" s="43">
        <f>IF($S$117=0,0,IF(OR(DATE($C141,5,15)&lt;$S$117,AND($T$117&gt;0,DATE($C141,5,15)&gt;$T$117)),0,IF(DATE($C141,5,15)&gt;=$X$117,$AA$117*(1+($U$117)/100)^MAX(0,$C141-$AD$117),IF(DATE($C141,5,15)&gt;=$W$117,$Z$117*(1+($U$117)/100)^MAX(0,$C141-$AC$117),IF(DATE($C141,5,15)&gt;=$V$117,$Y$117*(1+($U$117)/100)^MAX(0,$C141-$AB$117),0)))))</f>
      </c>
      <c r="J141" s="43">
        <f>IF($S$117=0,0,IF(OR(DATE($C141,6,15)&lt;$S$117,AND($T$117&gt;0,DATE($C141,6,15)&gt;$T$117)),0,IF(DATE($C141,6,15)&gt;=$X$117,$AA$117*(1+($U$117)/100)^MAX(0,$C141-$AD$117),IF(DATE($C141,6,15)&gt;=$W$117,$Z$117*(1+($U$117)/100)^MAX(0,$C141-$AC$117),IF(DATE($C141,6,15)&gt;=$V$117,$Y$117*(1+($U$117)/100)^MAX(0,$C141-$AB$117),0)))))</f>
      </c>
      <c r="K141" s="43">
        <f>IF($S$117=0,0,IF(OR(DATE($C141,7,15)&lt;$S$117,AND($T$117&gt;0,DATE($C141,7,15)&gt;$T$117)),0,IF(DATE($C141,7,15)&gt;=$X$117,$AA$117*(1+($U$117)/100)^MAX(0,$C141-$AD$117),IF(DATE($C141,7,15)&gt;=$W$117,$Z$117*(1+($U$117)/100)^MAX(0,$C141-$AC$117),IF(DATE($C141,7,15)&gt;=$V$117,$Y$117*(1+($U$117)/100)^MAX(0,$C141-$AB$117),0)))))</f>
      </c>
      <c r="L141" s="43">
        <f>IF($S$117=0,0,IF(OR(DATE($C141,8,15)&lt;$S$117,AND($T$117&gt;0,DATE($C141,8,15)&gt;$T$117)),0,IF(DATE($C141,8,15)&gt;=$X$117,$AA$117*(1+($U$117)/100)^MAX(0,$C141-$AD$117),IF(DATE($C141,8,15)&gt;=$W$117,$Z$117*(1+($U$117)/100)^MAX(0,$C141-$AC$117),IF(DATE($C141,8,15)&gt;=$V$117,$Y$117*(1+($U$117)/100)^MAX(0,$C141-$AB$117),0)))))</f>
      </c>
      <c r="M141" s="43">
        <f>IF($S$117=0,0,IF(OR(DATE($C141,9,15)&lt;$S$117,AND($T$117&gt;0,DATE($C141,9,15)&gt;$T$117)),0,IF(DATE($C141,9,15)&gt;=$X$117,$AA$117*(1+($U$117)/100)^MAX(0,$C141-$AD$117),IF(DATE($C141,9,15)&gt;=$W$117,$Z$117*(1+($U$117)/100)^MAX(0,$C141-$AC$117),IF(DATE($C141,9,15)&gt;=$V$117,$Y$117*(1+($U$117)/100)^MAX(0,$C141-$AB$117),0)))))</f>
      </c>
      <c r="N141" s="43">
        <f>IF($S$117=0,0,IF(OR(DATE($C141,10,15)&lt;$S$117,AND($T$117&gt;0,DATE($C141,10,15)&gt;$T$117)),0,IF(DATE($C141,10,15)&gt;=$X$117,$AA$117*(1+($U$117)/100)^MAX(0,$C141-$AD$117),IF(DATE($C141,10,15)&gt;=$W$117,$Z$117*(1+($U$117)/100)^MAX(0,$C141-$AC$117),IF(DATE($C141,10,15)&gt;=$V$117,$Y$117*(1+($U$117)/100)^MAX(0,$C141-$AB$117),0)))))</f>
      </c>
      <c r="O141" s="43">
        <f>IF($S$117=0,0,IF(OR(DATE($C141,11,15)&lt;$S$117,AND($T$117&gt;0,DATE($C141,11,15)&gt;$T$117)),0,IF(DATE($C141,11,15)&gt;=$X$117,$AA$117*(1+($U$117)/100)^MAX(0,$C141-$AD$117),IF(DATE($C141,11,15)&gt;=$W$117,$Z$117*(1+($U$117)/100)^MAX(0,$C141-$AC$117),IF(DATE($C141,11,15)&gt;=$V$117,$Y$117*(1+($U$117)/100)^MAX(0,$C141-$AB$117),0)))))</f>
      </c>
      <c r="P141" s="43">
        <f>IF($S$117=0,0,IF(OR(DATE($C141,12,15)&lt;$S$117,AND($T$117&gt;0,DATE($C141,12,15)&gt;$T$117)),0,IF(DATE($C141,12,15)&gt;=$X$117,$AA$117*(1+($U$117)/100)^MAX(0,$C141-$AD$117),IF(DATE($C141,12,15)&gt;=$W$117,$Z$117*(1+($U$117)/100)^MAX(0,$C141-$AC$117),IF(DATE($C141,12,15)&gt;=$V$117,$Y$117*(1+($U$117)/100)^MAX(0,$C141-$AB$117),0)))))</f>
      </c>
      <c r="Q141" s="43">
        <f>SUM($E141:$P141)</f>
      </c>
    </row>
    <row r="142">
      <c r="A142"/>
      <c r="B142">
        <v>4</v>
      </c>
      <c r="C142" s="43">
        <f>Jahr+25</f>
      </c>
      <c r="D142" s="43">
        <f>INDEX(MvObj,4)</f>
      </c>
      <c r="E142" s="43">
        <f>IF($S$117=0,0,IF(OR(DATE($C142,1,15)&lt;$S$117,AND($T$117&gt;0,DATE($C142,1,15)&gt;$T$117)),0,IF(DATE($C142,1,15)&gt;=$X$117,$AA$117*(1+($U$117)/100)^MAX(0,$C142-$AD$117),IF(DATE($C142,1,15)&gt;=$W$117,$Z$117*(1+($U$117)/100)^MAX(0,$C142-$AC$117),IF(DATE($C142,1,15)&gt;=$V$117,$Y$117*(1+($U$117)/100)^MAX(0,$C142-$AB$117),0)))))</f>
      </c>
      <c r="F142" s="43">
        <f>IF($S$117=0,0,IF(OR(DATE($C142,2,15)&lt;$S$117,AND($T$117&gt;0,DATE($C142,2,15)&gt;$T$117)),0,IF(DATE($C142,2,15)&gt;=$X$117,$AA$117*(1+($U$117)/100)^MAX(0,$C142-$AD$117),IF(DATE($C142,2,15)&gt;=$W$117,$Z$117*(1+($U$117)/100)^MAX(0,$C142-$AC$117),IF(DATE($C142,2,15)&gt;=$V$117,$Y$117*(1+($U$117)/100)^MAX(0,$C142-$AB$117),0)))))</f>
      </c>
      <c r="G142" s="43">
        <f>IF($S$117=0,0,IF(OR(DATE($C142,3,15)&lt;$S$117,AND($T$117&gt;0,DATE($C142,3,15)&gt;$T$117)),0,IF(DATE($C142,3,15)&gt;=$X$117,$AA$117*(1+($U$117)/100)^MAX(0,$C142-$AD$117),IF(DATE($C142,3,15)&gt;=$W$117,$Z$117*(1+($U$117)/100)^MAX(0,$C142-$AC$117),IF(DATE($C142,3,15)&gt;=$V$117,$Y$117*(1+($U$117)/100)^MAX(0,$C142-$AB$117),0)))))</f>
      </c>
      <c r="H142" s="43">
        <f>IF($S$117=0,0,IF(OR(DATE($C142,4,15)&lt;$S$117,AND($T$117&gt;0,DATE($C142,4,15)&gt;$T$117)),0,IF(DATE($C142,4,15)&gt;=$X$117,$AA$117*(1+($U$117)/100)^MAX(0,$C142-$AD$117),IF(DATE($C142,4,15)&gt;=$W$117,$Z$117*(1+($U$117)/100)^MAX(0,$C142-$AC$117),IF(DATE($C142,4,15)&gt;=$V$117,$Y$117*(1+($U$117)/100)^MAX(0,$C142-$AB$117),0)))))</f>
      </c>
      <c r="I142" s="43">
        <f>IF($S$117=0,0,IF(OR(DATE($C142,5,15)&lt;$S$117,AND($T$117&gt;0,DATE($C142,5,15)&gt;$T$117)),0,IF(DATE($C142,5,15)&gt;=$X$117,$AA$117*(1+($U$117)/100)^MAX(0,$C142-$AD$117),IF(DATE($C142,5,15)&gt;=$W$117,$Z$117*(1+($U$117)/100)^MAX(0,$C142-$AC$117),IF(DATE($C142,5,15)&gt;=$V$117,$Y$117*(1+($U$117)/100)^MAX(0,$C142-$AB$117),0)))))</f>
      </c>
      <c r="J142" s="43">
        <f>IF($S$117=0,0,IF(OR(DATE($C142,6,15)&lt;$S$117,AND($T$117&gt;0,DATE($C142,6,15)&gt;$T$117)),0,IF(DATE($C142,6,15)&gt;=$X$117,$AA$117*(1+($U$117)/100)^MAX(0,$C142-$AD$117),IF(DATE($C142,6,15)&gt;=$W$117,$Z$117*(1+($U$117)/100)^MAX(0,$C142-$AC$117),IF(DATE($C142,6,15)&gt;=$V$117,$Y$117*(1+($U$117)/100)^MAX(0,$C142-$AB$117),0)))))</f>
      </c>
      <c r="K142" s="43">
        <f>IF($S$117=0,0,IF(OR(DATE($C142,7,15)&lt;$S$117,AND($T$117&gt;0,DATE($C142,7,15)&gt;$T$117)),0,IF(DATE($C142,7,15)&gt;=$X$117,$AA$117*(1+($U$117)/100)^MAX(0,$C142-$AD$117),IF(DATE($C142,7,15)&gt;=$W$117,$Z$117*(1+($U$117)/100)^MAX(0,$C142-$AC$117),IF(DATE($C142,7,15)&gt;=$V$117,$Y$117*(1+($U$117)/100)^MAX(0,$C142-$AB$117),0)))))</f>
      </c>
      <c r="L142" s="43">
        <f>IF($S$117=0,0,IF(OR(DATE($C142,8,15)&lt;$S$117,AND($T$117&gt;0,DATE($C142,8,15)&gt;$T$117)),0,IF(DATE($C142,8,15)&gt;=$X$117,$AA$117*(1+($U$117)/100)^MAX(0,$C142-$AD$117),IF(DATE($C142,8,15)&gt;=$W$117,$Z$117*(1+($U$117)/100)^MAX(0,$C142-$AC$117),IF(DATE($C142,8,15)&gt;=$V$117,$Y$117*(1+($U$117)/100)^MAX(0,$C142-$AB$117),0)))))</f>
      </c>
      <c r="M142" s="43">
        <f>IF($S$117=0,0,IF(OR(DATE($C142,9,15)&lt;$S$117,AND($T$117&gt;0,DATE($C142,9,15)&gt;$T$117)),0,IF(DATE($C142,9,15)&gt;=$X$117,$AA$117*(1+($U$117)/100)^MAX(0,$C142-$AD$117),IF(DATE($C142,9,15)&gt;=$W$117,$Z$117*(1+($U$117)/100)^MAX(0,$C142-$AC$117),IF(DATE($C142,9,15)&gt;=$V$117,$Y$117*(1+($U$117)/100)^MAX(0,$C142-$AB$117),0)))))</f>
      </c>
      <c r="N142" s="43">
        <f>IF($S$117=0,0,IF(OR(DATE($C142,10,15)&lt;$S$117,AND($T$117&gt;0,DATE($C142,10,15)&gt;$T$117)),0,IF(DATE($C142,10,15)&gt;=$X$117,$AA$117*(1+($U$117)/100)^MAX(0,$C142-$AD$117),IF(DATE($C142,10,15)&gt;=$W$117,$Z$117*(1+($U$117)/100)^MAX(0,$C142-$AC$117),IF(DATE($C142,10,15)&gt;=$V$117,$Y$117*(1+($U$117)/100)^MAX(0,$C142-$AB$117),0)))))</f>
      </c>
      <c r="O142" s="43">
        <f>IF($S$117=0,0,IF(OR(DATE($C142,11,15)&lt;$S$117,AND($T$117&gt;0,DATE($C142,11,15)&gt;$T$117)),0,IF(DATE($C142,11,15)&gt;=$X$117,$AA$117*(1+($U$117)/100)^MAX(0,$C142-$AD$117),IF(DATE($C142,11,15)&gt;=$W$117,$Z$117*(1+($U$117)/100)^MAX(0,$C142-$AC$117),IF(DATE($C142,11,15)&gt;=$V$117,$Y$117*(1+($U$117)/100)^MAX(0,$C142-$AB$117),0)))))</f>
      </c>
      <c r="P142" s="43">
        <f>IF($S$117=0,0,IF(OR(DATE($C142,12,15)&lt;$S$117,AND($T$117&gt;0,DATE($C142,12,15)&gt;$T$117)),0,IF(DATE($C142,12,15)&gt;=$X$117,$AA$117*(1+($U$117)/100)^MAX(0,$C142-$AD$117),IF(DATE($C142,12,15)&gt;=$W$117,$Z$117*(1+($U$117)/100)^MAX(0,$C142-$AC$117),IF(DATE($C142,12,15)&gt;=$V$117,$Y$117*(1+($U$117)/100)^MAX(0,$C142-$AB$117),0)))))</f>
      </c>
      <c r="Q142" s="43">
        <f>SUM($E142:$P142)</f>
      </c>
    </row>
    <row r="143">
      <c r="A143"/>
      <c r="B143">
        <v>4</v>
      </c>
      <c r="C143" s="43">
        <f>Jahr+26</f>
      </c>
      <c r="D143" s="43">
        <f>INDEX(MvObj,4)</f>
      </c>
      <c r="E143" s="43">
        <f>IF($S$117=0,0,IF(OR(DATE($C143,1,15)&lt;$S$117,AND($T$117&gt;0,DATE($C143,1,15)&gt;$T$117)),0,IF(DATE($C143,1,15)&gt;=$X$117,$AA$117*(1+($U$117)/100)^MAX(0,$C143-$AD$117),IF(DATE($C143,1,15)&gt;=$W$117,$Z$117*(1+($U$117)/100)^MAX(0,$C143-$AC$117),IF(DATE($C143,1,15)&gt;=$V$117,$Y$117*(1+($U$117)/100)^MAX(0,$C143-$AB$117),0)))))</f>
      </c>
      <c r="F143" s="43">
        <f>IF($S$117=0,0,IF(OR(DATE($C143,2,15)&lt;$S$117,AND($T$117&gt;0,DATE($C143,2,15)&gt;$T$117)),0,IF(DATE($C143,2,15)&gt;=$X$117,$AA$117*(1+($U$117)/100)^MAX(0,$C143-$AD$117),IF(DATE($C143,2,15)&gt;=$W$117,$Z$117*(1+($U$117)/100)^MAX(0,$C143-$AC$117),IF(DATE($C143,2,15)&gt;=$V$117,$Y$117*(1+($U$117)/100)^MAX(0,$C143-$AB$117),0)))))</f>
      </c>
      <c r="G143" s="43">
        <f>IF($S$117=0,0,IF(OR(DATE($C143,3,15)&lt;$S$117,AND($T$117&gt;0,DATE($C143,3,15)&gt;$T$117)),0,IF(DATE($C143,3,15)&gt;=$X$117,$AA$117*(1+($U$117)/100)^MAX(0,$C143-$AD$117),IF(DATE($C143,3,15)&gt;=$W$117,$Z$117*(1+($U$117)/100)^MAX(0,$C143-$AC$117),IF(DATE($C143,3,15)&gt;=$V$117,$Y$117*(1+($U$117)/100)^MAX(0,$C143-$AB$117),0)))))</f>
      </c>
      <c r="H143" s="43">
        <f>IF($S$117=0,0,IF(OR(DATE($C143,4,15)&lt;$S$117,AND($T$117&gt;0,DATE($C143,4,15)&gt;$T$117)),0,IF(DATE($C143,4,15)&gt;=$X$117,$AA$117*(1+($U$117)/100)^MAX(0,$C143-$AD$117),IF(DATE($C143,4,15)&gt;=$W$117,$Z$117*(1+($U$117)/100)^MAX(0,$C143-$AC$117),IF(DATE($C143,4,15)&gt;=$V$117,$Y$117*(1+($U$117)/100)^MAX(0,$C143-$AB$117),0)))))</f>
      </c>
      <c r="I143" s="43">
        <f>IF($S$117=0,0,IF(OR(DATE($C143,5,15)&lt;$S$117,AND($T$117&gt;0,DATE($C143,5,15)&gt;$T$117)),0,IF(DATE($C143,5,15)&gt;=$X$117,$AA$117*(1+($U$117)/100)^MAX(0,$C143-$AD$117),IF(DATE($C143,5,15)&gt;=$W$117,$Z$117*(1+($U$117)/100)^MAX(0,$C143-$AC$117),IF(DATE($C143,5,15)&gt;=$V$117,$Y$117*(1+($U$117)/100)^MAX(0,$C143-$AB$117),0)))))</f>
      </c>
      <c r="J143" s="43">
        <f>IF($S$117=0,0,IF(OR(DATE($C143,6,15)&lt;$S$117,AND($T$117&gt;0,DATE($C143,6,15)&gt;$T$117)),0,IF(DATE($C143,6,15)&gt;=$X$117,$AA$117*(1+($U$117)/100)^MAX(0,$C143-$AD$117),IF(DATE($C143,6,15)&gt;=$W$117,$Z$117*(1+($U$117)/100)^MAX(0,$C143-$AC$117),IF(DATE($C143,6,15)&gt;=$V$117,$Y$117*(1+($U$117)/100)^MAX(0,$C143-$AB$117),0)))))</f>
      </c>
      <c r="K143" s="43">
        <f>IF($S$117=0,0,IF(OR(DATE($C143,7,15)&lt;$S$117,AND($T$117&gt;0,DATE($C143,7,15)&gt;$T$117)),0,IF(DATE($C143,7,15)&gt;=$X$117,$AA$117*(1+($U$117)/100)^MAX(0,$C143-$AD$117),IF(DATE($C143,7,15)&gt;=$W$117,$Z$117*(1+($U$117)/100)^MAX(0,$C143-$AC$117),IF(DATE($C143,7,15)&gt;=$V$117,$Y$117*(1+($U$117)/100)^MAX(0,$C143-$AB$117),0)))))</f>
      </c>
      <c r="L143" s="43">
        <f>IF($S$117=0,0,IF(OR(DATE($C143,8,15)&lt;$S$117,AND($T$117&gt;0,DATE($C143,8,15)&gt;$T$117)),0,IF(DATE($C143,8,15)&gt;=$X$117,$AA$117*(1+($U$117)/100)^MAX(0,$C143-$AD$117),IF(DATE($C143,8,15)&gt;=$W$117,$Z$117*(1+($U$117)/100)^MAX(0,$C143-$AC$117),IF(DATE($C143,8,15)&gt;=$V$117,$Y$117*(1+($U$117)/100)^MAX(0,$C143-$AB$117),0)))))</f>
      </c>
      <c r="M143" s="43">
        <f>IF($S$117=0,0,IF(OR(DATE($C143,9,15)&lt;$S$117,AND($T$117&gt;0,DATE($C143,9,15)&gt;$T$117)),0,IF(DATE($C143,9,15)&gt;=$X$117,$AA$117*(1+($U$117)/100)^MAX(0,$C143-$AD$117),IF(DATE($C143,9,15)&gt;=$W$117,$Z$117*(1+($U$117)/100)^MAX(0,$C143-$AC$117),IF(DATE($C143,9,15)&gt;=$V$117,$Y$117*(1+($U$117)/100)^MAX(0,$C143-$AB$117),0)))))</f>
      </c>
      <c r="N143" s="43">
        <f>IF($S$117=0,0,IF(OR(DATE($C143,10,15)&lt;$S$117,AND($T$117&gt;0,DATE($C143,10,15)&gt;$T$117)),0,IF(DATE($C143,10,15)&gt;=$X$117,$AA$117*(1+($U$117)/100)^MAX(0,$C143-$AD$117),IF(DATE($C143,10,15)&gt;=$W$117,$Z$117*(1+($U$117)/100)^MAX(0,$C143-$AC$117),IF(DATE($C143,10,15)&gt;=$V$117,$Y$117*(1+($U$117)/100)^MAX(0,$C143-$AB$117),0)))))</f>
      </c>
      <c r="O143" s="43">
        <f>IF($S$117=0,0,IF(OR(DATE($C143,11,15)&lt;$S$117,AND($T$117&gt;0,DATE($C143,11,15)&gt;$T$117)),0,IF(DATE($C143,11,15)&gt;=$X$117,$AA$117*(1+($U$117)/100)^MAX(0,$C143-$AD$117),IF(DATE($C143,11,15)&gt;=$W$117,$Z$117*(1+($U$117)/100)^MAX(0,$C143-$AC$117),IF(DATE($C143,11,15)&gt;=$V$117,$Y$117*(1+($U$117)/100)^MAX(0,$C143-$AB$117),0)))))</f>
      </c>
      <c r="P143" s="43">
        <f>IF($S$117=0,0,IF(OR(DATE($C143,12,15)&lt;$S$117,AND($T$117&gt;0,DATE($C143,12,15)&gt;$T$117)),0,IF(DATE($C143,12,15)&gt;=$X$117,$AA$117*(1+($U$117)/100)^MAX(0,$C143-$AD$117),IF(DATE($C143,12,15)&gt;=$W$117,$Z$117*(1+($U$117)/100)^MAX(0,$C143-$AC$117),IF(DATE($C143,12,15)&gt;=$V$117,$Y$117*(1+($U$117)/100)^MAX(0,$C143-$AB$117),0)))))</f>
      </c>
      <c r="Q143" s="43">
        <f>SUM($E143:$P143)</f>
      </c>
    </row>
    <row r="144">
      <c r="A144"/>
      <c r="B144">
        <v>4</v>
      </c>
      <c r="C144" s="43">
        <f>Jahr+27</f>
      </c>
      <c r="D144" s="43">
        <f>INDEX(MvObj,4)</f>
      </c>
      <c r="E144" s="43">
        <f>IF($S$117=0,0,IF(OR(DATE($C144,1,15)&lt;$S$117,AND($T$117&gt;0,DATE($C144,1,15)&gt;$T$117)),0,IF(DATE($C144,1,15)&gt;=$X$117,$AA$117*(1+($U$117)/100)^MAX(0,$C144-$AD$117),IF(DATE($C144,1,15)&gt;=$W$117,$Z$117*(1+($U$117)/100)^MAX(0,$C144-$AC$117),IF(DATE($C144,1,15)&gt;=$V$117,$Y$117*(1+($U$117)/100)^MAX(0,$C144-$AB$117),0)))))</f>
      </c>
      <c r="F144" s="43">
        <f>IF($S$117=0,0,IF(OR(DATE($C144,2,15)&lt;$S$117,AND($T$117&gt;0,DATE($C144,2,15)&gt;$T$117)),0,IF(DATE($C144,2,15)&gt;=$X$117,$AA$117*(1+($U$117)/100)^MAX(0,$C144-$AD$117),IF(DATE($C144,2,15)&gt;=$W$117,$Z$117*(1+($U$117)/100)^MAX(0,$C144-$AC$117),IF(DATE($C144,2,15)&gt;=$V$117,$Y$117*(1+($U$117)/100)^MAX(0,$C144-$AB$117),0)))))</f>
      </c>
      <c r="G144" s="43">
        <f>IF($S$117=0,0,IF(OR(DATE($C144,3,15)&lt;$S$117,AND($T$117&gt;0,DATE($C144,3,15)&gt;$T$117)),0,IF(DATE($C144,3,15)&gt;=$X$117,$AA$117*(1+($U$117)/100)^MAX(0,$C144-$AD$117),IF(DATE($C144,3,15)&gt;=$W$117,$Z$117*(1+($U$117)/100)^MAX(0,$C144-$AC$117),IF(DATE($C144,3,15)&gt;=$V$117,$Y$117*(1+($U$117)/100)^MAX(0,$C144-$AB$117),0)))))</f>
      </c>
      <c r="H144" s="43">
        <f>IF($S$117=0,0,IF(OR(DATE($C144,4,15)&lt;$S$117,AND($T$117&gt;0,DATE($C144,4,15)&gt;$T$117)),0,IF(DATE($C144,4,15)&gt;=$X$117,$AA$117*(1+($U$117)/100)^MAX(0,$C144-$AD$117),IF(DATE($C144,4,15)&gt;=$W$117,$Z$117*(1+($U$117)/100)^MAX(0,$C144-$AC$117),IF(DATE($C144,4,15)&gt;=$V$117,$Y$117*(1+($U$117)/100)^MAX(0,$C144-$AB$117),0)))))</f>
      </c>
      <c r="I144" s="43">
        <f>IF($S$117=0,0,IF(OR(DATE($C144,5,15)&lt;$S$117,AND($T$117&gt;0,DATE($C144,5,15)&gt;$T$117)),0,IF(DATE($C144,5,15)&gt;=$X$117,$AA$117*(1+($U$117)/100)^MAX(0,$C144-$AD$117),IF(DATE($C144,5,15)&gt;=$W$117,$Z$117*(1+($U$117)/100)^MAX(0,$C144-$AC$117),IF(DATE($C144,5,15)&gt;=$V$117,$Y$117*(1+($U$117)/100)^MAX(0,$C144-$AB$117),0)))))</f>
      </c>
      <c r="J144" s="43">
        <f>IF($S$117=0,0,IF(OR(DATE($C144,6,15)&lt;$S$117,AND($T$117&gt;0,DATE($C144,6,15)&gt;$T$117)),0,IF(DATE($C144,6,15)&gt;=$X$117,$AA$117*(1+($U$117)/100)^MAX(0,$C144-$AD$117),IF(DATE($C144,6,15)&gt;=$W$117,$Z$117*(1+($U$117)/100)^MAX(0,$C144-$AC$117),IF(DATE($C144,6,15)&gt;=$V$117,$Y$117*(1+($U$117)/100)^MAX(0,$C144-$AB$117),0)))))</f>
      </c>
      <c r="K144" s="43">
        <f>IF($S$117=0,0,IF(OR(DATE($C144,7,15)&lt;$S$117,AND($T$117&gt;0,DATE($C144,7,15)&gt;$T$117)),0,IF(DATE($C144,7,15)&gt;=$X$117,$AA$117*(1+($U$117)/100)^MAX(0,$C144-$AD$117),IF(DATE($C144,7,15)&gt;=$W$117,$Z$117*(1+($U$117)/100)^MAX(0,$C144-$AC$117),IF(DATE($C144,7,15)&gt;=$V$117,$Y$117*(1+($U$117)/100)^MAX(0,$C144-$AB$117),0)))))</f>
      </c>
      <c r="L144" s="43">
        <f>IF($S$117=0,0,IF(OR(DATE($C144,8,15)&lt;$S$117,AND($T$117&gt;0,DATE($C144,8,15)&gt;$T$117)),0,IF(DATE($C144,8,15)&gt;=$X$117,$AA$117*(1+($U$117)/100)^MAX(0,$C144-$AD$117),IF(DATE($C144,8,15)&gt;=$W$117,$Z$117*(1+($U$117)/100)^MAX(0,$C144-$AC$117),IF(DATE($C144,8,15)&gt;=$V$117,$Y$117*(1+($U$117)/100)^MAX(0,$C144-$AB$117),0)))))</f>
      </c>
      <c r="M144" s="43">
        <f>IF($S$117=0,0,IF(OR(DATE($C144,9,15)&lt;$S$117,AND($T$117&gt;0,DATE($C144,9,15)&gt;$T$117)),0,IF(DATE($C144,9,15)&gt;=$X$117,$AA$117*(1+($U$117)/100)^MAX(0,$C144-$AD$117),IF(DATE($C144,9,15)&gt;=$W$117,$Z$117*(1+($U$117)/100)^MAX(0,$C144-$AC$117),IF(DATE($C144,9,15)&gt;=$V$117,$Y$117*(1+($U$117)/100)^MAX(0,$C144-$AB$117),0)))))</f>
      </c>
      <c r="N144" s="43">
        <f>IF($S$117=0,0,IF(OR(DATE($C144,10,15)&lt;$S$117,AND($T$117&gt;0,DATE($C144,10,15)&gt;$T$117)),0,IF(DATE($C144,10,15)&gt;=$X$117,$AA$117*(1+($U$117)/100)^MAX(0,$C144-$AD$117),IF(DATE($C144,10,15)&gt;=$W$117,$Z$117*(1+($U$117)/100)^MAX(0,$C144-$AC$117),IF(DATE($C144,10,15)&gt;=$V$117,$Y$117*(1+($U$117)/100)^MAX(0,$C144-$AB$117),0)))))</f>
      </c>
      <c r="O144" s="43">
        <f>IF($S$117=0,0,IF(OR(DATE($C144,11,15)&lt;$S$117,AND($T$117&gt;0,DATE($C144,11,15)&gt;$T$117)),0,IF(DATE($C144,11,15)&gt;=$X$117,$AA$117*(1+($U$117)/100)^MAX(0,$C144-$AD$117),IF(DATE($C144,11,15)&gt;=$W$117,$Z$117*(1+($U$117)/100)^MAX(0,$C144-$AC$117),IF(DATE($C144,11,15)&gt;=$V$117,$Y$117*(1+($U$117)/100)^MAX(0,$C144-$AB$117),0)))))</f>
      </c>
      <c r="P144" s="43">
        <f>IF($S$117=0,0,IF(OR(DATE($C144,12,15)&lt;$S$117,AND($T$117&gt;0,DATE($C144,12,15)&gt;$T$117)),0,IF(DATE($C144,12,15)&gt;=$X$117,$AA$117*(1+($U$117)/100)^MAX(0,$C144-$AD$117),IF(DATE($C144,12,15)&gt;=$W$117,$Z$117*(1+($U$117)/100)^MAX(0,$C144-$AC$117),IF(DATE($C144,12,15)&gt;=$V$117,$Y$117*(1+($U$117)/100)^MAX(0,$C144-$AB$117),0)))))</f>
      </c>
      <c r="Q144" s="43">
        <f>SUM($E144:$P144)</f>
      </c>
    </row>
    <row r="145">
      <c r="A145"/>
      <c r="B145">
        <v>4</v>
      </c>
      <c r="C145" s="43">
        <f>Jahr+28</f>
      </c>
      <c r="D145" s="43">
        <f>INDEX(MvObj,4)</f>
      </c>
      <c r="E145" s="43">
        <f>IF($S$117=0,0,IF(OR(DATE($C145,1,15)&lt;$S$117,AND($T$117&gt;0,DATE($C145,1,15)&gt;$T$117)),0,IF(DATE($C145,1,15)&gt;=$X$117,$AA$117*(1+($U$117)/100)^MAX(0,$C145-$AD$117),IF(DATE($C145,1,15)&gt;=$W$117,$Z$117*(1+($U$117)/100)^MAX(0,$C145-$AC$117),IF(DATE($C145,1,15)&gt;=$V$117,$Y$117*(1+($U$117)/100)^MAX(0,$C145-$AB$117),0)))))</f>
      </c>
      <c r="F145" s="43">
        <f>IF($S$117=0,0,IF(OR(DATE($C145,2,15)&lt;$S$117,AND($T$117&gt;0,DATE($C145,2,15)&gt;$T$117)),0,IF(DATE($C145,2,15)&gt;=$X$117,$AA$117*(1+($U$117)/100)^MAX(0,$C145-$AD$117),IF(DATE($C145,2,15)&gt;=$W$117,$Z$117*(1+($U$117)/100)^MAX(0,$C145-$AC$117),IF(DATE($C145,2,15)&gt;=$V$117,$Y$117*(1+($U$117)/100)^MAX(0,$C145-$AB$117),0)))))</f>
      </c>
      <c r="G145" s="43">
        <f>IF($S$117=0,0,IF(OR(DATE($C145,3,15)&lt;$S$117,AND($T$117&gt;0,DATE($C145,3,15)&gt;$T$117)),0,IF(DATE($C145,3,15)&gt;=$X$117,$AA$117*(1+($U$117)/100)^MAX(0,$C145-$AD$117),IF(DATE($C145,3,15)&gt;=$W$117,$Z$117*(1+($U$117)/100)^MAX(0,$C145-$AC$117),IF(DATE($C145,3,15)&gt;=$V$117,$Y$117*(1+($U$117)/100)^MAX(0,$C145-$AB$117),0)))))</f>
      </c>
      <c r="H145" s="43">
        <f>IF($S$117=0,0,IF(OR(DATE($C145,4,15)&lt;$S$117,AND($T$117&gt;0,DATE($C145,4,15)&gt;$T$117)),0,IF(DATE($C145,4,15)&gt;=$X$117,$AA$117*(1+($U$117)/100)^MAX(0,$C145-$AD$117),IF(DATE($C145,4,15)&gt;=$W$117,$Z$117*(1+($U$117)/100)^MAX(0,$C145-$AC$117),IF(DATE($C145,4,15)&gt;=$V$117,$Y$117*(1+($U$117)/100)^MAX(0,$C145-$AB$117),0)))))</f>
      </c>
      <c r="I145" s="43">
        <f>IF($S$117=0,0,IF(OR(DATE($C145,5,15)&lt;$S$117,AND($T$117&gt;0,DATE($C145,5,15)&gt;$T$117)),0,IF(DATE($C145,5,15)&gt;=$X$117,$AA$117*(1+($U$117)/100)^MAX(0,$C145-$AD$117),IF(DATE($C145,5,15)&gt;=$W$117,$Z$117*(1+($U$117)/100)^MAX(0,$C145-$AC$117),IF(DATE($C145,5,15)&gt;=$V$117,$Y$117*(1+($U$117)/100)^MAX(0,$C145-$AB$117),0)))))</f>
      </c>
      <c r="J145" s="43">
        <f>IF($S$117=0,0,IF(OR(DATE($C145,6,15)&lt;$S$117,AND($T$117&gt;0,DATE($C145,6,15)&gt;$T$117)),0,IF(DATE($C145,6,15)&gt;=$X$117,$AA$117*(1+($U$117)/100)^MAX(0,$C145-$AD$117),IF(DATE($C145,6,15)&gt;=$W$117,$Z$117*(1+($U$117)/100)^MAX(0,$C145-$AC$117),IF(DATE($C145,6,15)&gt;=$V$117,$Y$117*(1+($U$117)/100)^MAX(0,$C145-$AB$117),0)))))</f>
      </c>
      <c r="K145" s="43">
        <f>IF($S$117=0,0,IF(OR(DATE($C145,7,15)&lt;$S$117,AND($T$117&gt;0,DATE($C145,7,15)&gt;$T$117)),0,IF(DATE($C145,7,15)&gt;=$X$117,$AA$117*(1+($U$117)/100)^MAX(0,$C145-$AD$117),IF(DATE($C145,7,15)&gt;=$W$117,$Z$117*(1+($U$117)/100)^MAX(0,$C145-$AC$117),IF(DATE($C145,7,15)&gt;=$V$117,$Y$117*(1+($U$117)/100)^MAX(0,$C145-$AB$117),0)))))</f>
      </c>
      <c r="L145" s="43">
        <f>IF($S$117=0,0,IF(OR(DATE($C145,8,15)&lt;$S$117,AND($T$117&gt;0,DATE($C145,8,15)&gt;$T$117)),0,IF(DATE($C145,8,15)&gt;=$X$117,$AA$117*(1+($U$117)/100)^MAX(0,$C145-$AD$117),IF(DATE($C145,8,15)&gt;=$W$117,$Z$117*(1+($U$117)/100)^MAX(0,$C145-$AC$117),IF(DATE($C145,8,15)&gt;=$V$117,$Y$117*(1+($U$117)/100)^MAX(0,$C145-$AB$117),0)))))</f>
      </c>
      <c r="M145" s="43">
        <f>IF($S$117=0,0,IF(OR(DATE($C145,9,15)&lt;$S$117,AND($T$117&gt;0,DATE($C145,9,15)&gt;$T$117)),0,IF(DATE($C145,9,15)&gt;=$X$117,$AA$117*(1+($U$117)/100)^MAX(0,$C145-$AD$117),IF(DATE($C145,9,15)&gt;=$W$117,$Z$117*(1+($U$117)/100)^MAX(0,$C145-$AC$117),IF(DATE($C145,9,15)&gt;=$V$117,$Y$117*(1+($U$117)/100)^MAX(0,$C145-$AB$117),0)))))</f>
      </c>
      <c r="N145" s="43">
        <f>IF($S$117=0,0,IF(OR(DATE($C145,10,15)&lt;$S$117,AND($T$117&gt;0,DATE($C145,10,15)&gt;$T$117)),0,IF(DATE($C145,10,15)&gt;=$X$117,$AA$117*(1+($U$117)/100)^MAX(0,$C145-$AD$117),IF(DATE($C145,10,15)&gt;=$W$117,$Z$117*(1+($U$117)/100)^MAX(0,$C145-$AC$117),IF(DATE($C145,10,15)&gt;=$V$117,$Y$117*(1+($U$117)/100)^MAX(0,$C145-$AB$117),0)))))</f>
      </c>
      <c r="O145" s="43">
        <f>IF($S$117=0,0,IF(OR(DATE($C145,11,15)&lt;$S$117,AND($T$117&gt;0,DATE($C145,11,15)&gt;$T$117)),0,IF(DATE($C145,11,15)&gt;=$X$117,$AA$117*(1+($U$117)/100)^MAX(0,$C145-$AD$117),IF(DATE($C145,11,15)&gt;=$W$117,$Z$117*(1+($U$117)/100)^MAX(0,$C145-$AC$117),IF(DATE($C145,11,15)&gt;=$V$117,$Y$117*(1+($U$117)/100)^MAX(0,$C145-$AB$117),0)))))</f>
      </c>
      <c r="P145" s="43">
        <f>IF($S$117=0,0,IF(OR(DATE($C145,12,15)&lt;$S$117,AND($T$117&gt;0,DATE($C145,12,15)&gt;$T$117)),0,IF(DATE($C145,12,15)&gt;=$X$117,$AA$117*(1+($U$117)/100)^MAX(0,$C145-$AD$117),IF(DATE($C145,12,15)&gt;=$W$117,$Z$117*(1+($U$117)/100)^MAX(0,$C145-$AC$117),IF(DATE($C145,12,15)&gt;=$V$117,$Y$117*(1+($U$117)/100)^MAX(0,$C145-$AB$117),0)))))</f>
      </c>
      <c r="Q145" s="43">
        <f>SUM($E145:$P145)</f>
      </c>
    </row>
    <row r="146">
      <c r="A146"/>
      <c r="B146">
        <v>4</v>
      </c>
      <c r="C146" s="43">
        <f>Jahr+29</f>
      </c>
      <c r="D146" s="43">
        <f>INDEX(MvObj,4)</f>
      </c>
      <c r="E146" s="43">
        <f>IF($S$117=0,0,IF(OR(DATE($C146,1,15)&lt;$S$117,AND($T$117&gt;0,DATE($C146,1,15)&gt;$T$117)),0,IF(DATE($C146,1,15)&gt;=$X$117,$AA$117*(1+($U$117)/100)^MAX(0,$C146-$AD$117),IF(DATE($C146,1,15)&gt;=$W$117,$Z$117*(1+($U$117)/100)^MAX(0,$C146-$AC$117),IF(DATE($C146,1,15)&gt;=$V$117,$Y$117*(1+($U$117)/100)^MAX(0,$C146-$AB$117),0)))))</f>
      </c>
      <c r="F146" s="43">
        <f>IF($S$117=0,0,IF(OR(DATE($C146,2,15)&lt;$S$117,AND($T$117&gt;0,DATE($C146,2,15)&gt;$T$117)),0,IF(DATE($C146,2,15)&gt;=$X$117,$AA$117*(1+($U$117)/100)^MAX(0,$C146-$AD$117),IF(DATE($C146,2,15)&gt;=$W$117,$Z$117*(1+($U$117)/100)^MAX(0,$C146-$AC$117),IF(DATE($C146,2,15)&gt;=$V$117,$Y$117*(1+($U$117)/100)^MAX(0,$C146-$AB$117),0)))))</f>
      </c>
      <c r="G146" s="43">
        <f>IF($S$117=0,0,IF(OR(DATE($C146,3,15)&lt;$S$117,AND($T$117&gt;0,DATE($C146,3,15)&gt;$T$117)),0,IF(DATE($C146,3,15)&gt;=$X$117,$AA$117*(1+($U$117)/100)^MAX(0,$C146-$AD$117),IF(DATE($C146,3,15)&gt;=$W$117,$Z$117*(1+($U$117)/100)^MAX(0,$C146-$AC$117),IF(DATE($C146,3,15)&gt;=$V$117,$Y$117*(1+($U$117)/100)^MAX(0,$C146-$AB$117),0)))))</f>
      </c>
      <c r="H146" s="43">
        <f>IF($S$117=0,0,IF(OR(DATE($C146,4,15)&lt;$S$117,AND($T$117&gt;0,DATE($C146,4,15)&gt;$T$117)),0,IF(DATE($C146,4,15)&gt;=$X$117,$AA$117*(1+($U$117)/100)^MAX(0,$C146-$AD$117),IF(DATE($C146,4,15)&gt;=$W$117,$Z$117*(1+($U$117)/100)^MAX(0,$C146-$AC$117),IF(DATE($C146,4,15)&gt;=$V$117,$Y$117*(1+($U$117)/100)^MAX(0,$C146-$AB$117),0)))))</f>
      </c>
      <c r="I146" s="43">
        <f>IF($S$117=0,0,IF(OR(DATE($C146,5,15)&lt;$S$117,AND($T$117&gt;0,DATE($C146,5,15)&gt;$T$117)),0,IF(DATE($C146,5,15)&gt;=$X$117,$AA$117*(1+($U$117)/100)^MAX(0,$C146-$AD$117),IF(DATE($C146,5,15)&gt;=$W$117,$Z$117*(1+($U$117)/100)^MAX(0,$C146-$AC$117),IF(DATE($C146,5,15)&gt;=$V$117,$Y$117*(1+($U$117)/100)^MAX(0,$C146-$AB$117),0)))))</f>
      </c>
      <c r="J146" s="43">
        <f>IF($S$117=0,0,IF(OR(DATE($C146,6,15)&lt;$S$117,AND($T$117&gt;0,DATE($C146,6,15)&gt;$T$117)),0,IF(DATE($C146,6,15)&gt;=$X$117,$AA$117*(1+($U$117)/100)^MAX(0,$C146-$AD$117),IF(DATE($C146,6,15)&gt;=$W$117,$Z$117*(1+($U$117)/100)^MAX(0,$C146-$AC$117),IF(DATE($C146,6,15)&gt;=$V$117,$Y$117*(1+($U$117)/100)^MAX(0,$C146-$AB$117),0)))))</f>
      </c>
      <c r="K146" s="43">
        <f>IF($S$117=0,0,IF(OR(DATE($C146,7,15)&lt;$S$117,AND($T$117&gt;0,DATE($C146,7,15)&gt;$T$117)),0,IF(DATE($C146,7,15)&gt;=$X$117,$AA$117*(1+($U$117)/100)^MAX(0,$C146-$AD$117),IF(DATE($C146,7,15)&gt;=$W$117,$Z$117*(1+($U$117)/100)^MAX(0,$C146-$AC$117),IF(DATE($C146,7,15)&gt;=$V$117,$Y$117*(1+($U$117)/100)^MAX(0,$C146-$AB$117),0)))))</f>
      </c>
      <c r="L146" s="43">
        <f>IF($S$117=0,0,IF(OR(DATE($C146,8,15)&lt;$S$117,AND($T$117&gt;0,DATE($C146,8,15)&gt;$T$117)),0,IF(DATE($C146,8,15)&gt;=$X$117,$AA$117*(1+($U$117)/100)^MAX(0,$C146-$AD$117),IF(DATE($C146,8,15)&gt;=$W$117,$Z$117*(1+($U$117)/100)^MAX(0,$C146-$AC$117),IF(DATE($C146,8,15)&gt;=$V$117,$Y$117*(1+($U$117)/100)^MAX(0,$C146-$AB$117),0)))))</f>
      </c>
      <c r="M146" s="43">
        <f>IF($S$117=0,0,IF(OR(DATE($C146,9,15)&lt;$S$117,AND($T$117&gt;0,DATE($C146,9,15)&gt;$T$117)),0,IF(DATE($C146,9,15)&gt;=$X$117,$AA$117*(1+($U$117)/100)^MAX(0,$C146-$AD$117),IF(DATE($C146,9,15)&gt;=$W$117,$Z$117*(1+($U$117)/100)^MAX(0,$C146-$AC$117),IF(DATE($C146,9,15)&gt;=$V$117,$Y$117*(1+($U$117)/100)^MAX(0,$C146-$AB$117),0)))))</f>
      </c>
      <c r="N146" s="43">
        <f>IF($S$117=0,0,IF(OR(DATE($C146,10,15)&lt;$S$117,AND($T$117&gt;0,DATE($C146,10,15)&gt;$T$117)),0,IF(DATE($C146,10,15)&gt;=$X$117,$AA$117*(1+($U$117)/100)^MAX(0,$C146-$AD$117),IF(DATE($C146,10,15)&gt;=$W$117,$Z$117*(1+($U$117)/100)^MAX(0,$C146-$AC$117),IF(DATE($C146,10,15)&gt;=$V$117,$Y$117*(1+($U$117)/100)^MAX(0,$C146-$AB$117),0)))))</f>
      </c>
      <c r="O146" s="43">
        <f>IF($S$117=0,0,IF(OR(DATE($C146,11,15)&lt;$S$117,AND($T$117&gt;0,DATE($C146,11,15)&gt;$T$117)),0,IF(DATE($C146,11,15)&gt;=$X$117,$AA$117*(1+($U$117)/100)^MAX(0,$C146-$AD$117),IF(DATE($C146,11,15)&gt;=$W$117,$Z$117*(1+($U$117)/100)^MAX(0,$C146-$AC$117),IF(DATE($C146,11,15)&gt;=$V$117,$Y$117*(1+($U$117)/100)^MAX(0,$C146-$AB$117),0)))))</f>
      </c>
      <c r="P146" s="43">
        <f>IF($S$117=0,0,IF(OR(DATE($C146,12,15)&lt;$S$117,AND($T$117&gt;0,DATE($C146,12,15)&gt;$T$117)),0,IF(DATE($C146,12,15)&gt;=$X$117,$AA$117*(1+($U$117)/100)^MAX(0,$C146-$AD$117),IF(DATE($C146,12,15)&gt;=$W$117,$Z$117*(1+($U$117)/100)^MAX(0,$C146-$AC$117),IF(DATE($C146,12,15)&gt;=$V$117,$Y$117*(1+($U$117)/100)^MAX(0,$C146-$AB$117),0)))))</f>
      </c>
      <c r="Q146" s="43">
        <f>SUM($E146:$P146)</f>
      </c>
    </row>
    <row r="147">
      <c r="A147"/>
      <c r="B147">
        <v>4</v>
      </c>
      <c r="C147" s="43">
        <f>Jahr+30</f>
      </c>
      <c r="D147" s="43">
        <f>INDEX(MvObj,4)</f>
      </c>
      <c r="E147" s="43">
        <f>IF($S$117=0,0,IF(OR(DATE($C147,1,15)&lt;$S$117,AND($T$117&gt;0,DATE($C147,1,15)&gt;$T$117)),0,IF(DATE($C147,1,15)&gt;=$X$117,$AA$117*(1+($U$117)/100)^MAX(0,$C147-$AD$117),IF(DATE($C147,1,15)&gt;=$W$117,$Z$117*(1+($U$117)/100)^MAX(0,$C147-$AC$117),IF(DATE($C147,1,15)&gt;=$V$117,$Y$117*(1+($U$117)/100)^MAX(0,$C147-$AB$117),0)))))</f>
      </c>
      <c r="F147" s="43">
        <f>IF($S$117=0,0,IF(OR(DATE($C147,2,15)&lt;$S$117,AND($T$117&gt;0,DATE($C147,2,15)&gt;$T$117)),0,IF(DATE($C147,2,15)&gt;=$X$117,$AA$117*(1+($U$117)/100)^MAX(0,$C147-$AD$117),IF(DATE($C147,2,15)&gt;=$W$117,$Z$117*(1+($U$117)/100)^MAX(0,$C147-$AC$117),IF(DATE($C147,2,15)&gt;=$V$117,$Y$117*(1+($U$117)/100)^MAX(0,$C147-$AB$117),0)))))</f>
      </c>
      <c r="G147" s="43">
        <f>IF($S$117=0,0,IF(OR(DATE($C147,3,15)&lt;$S$117,AND($T$117&gt;0,DATE($C147,3,15)&gt;$T$117)),0,IF(DATE($C147,3,15)&gt;=$X$117,$AA$117*(1+($U$117)/100)^MAX(0,$C147-$AD$117),IF(DATE($C147,3,15)&gt;=$W$117,$Z$117*(1+($U$117)/100)^MAX(0,$C147-$AC$117),IF(DATE($C147,3,15)&gt;=$V$117,$Y$117*(1+($U$117)/100)^MAX(0,$C147-$AB$117),0)))))</f>
      </c>
      <c r="H147" s="43">
        <f>IF($S$117=0,0,IF(OR(DATE($C147,4,15)&lt;$S$117,AND($T$117&gt;0,DATE($C147,4,15)&gt;$T$117)),0,IF(DATE($C147,4,15)&gt;=$X$117,$AA$117*(1+($U$117)/100)^MAX(0,$C147-$AD$117),IF(DATE($C147,4,15)&gt;=$W$117,$Z$117*(1+($U$117)/100)^MAX(0,$C147-$AC$117),IF(DATE($C147,4,15)&gt;=$V$117,$Y$117*(1+($U$117)/100)^MAX(0,$C147-$AB$117),0)))))</f>
      </c>
      <c r="I147" s="43">
        <f>IF($S$117=0,0,IF(OR(DATE($C147,5,15)&lt;$S$117,AND($T$117&gt;0,DATE($C147,5,15)&gt;$T$117)),0,IF(DATE($C147,5,15)&gt;=$X$117,$AA$117*(1+($U$117)/100)^MAX(0,$C147-$AD$117),IF(DATE($C147,5,15)&gt;=$W$117,$Z$117*(1+($U$117)/100)^MAX(0,$C147-$AC$117),IF(DATE($C147,5,15)&gt;=$V$117,$Y$117*(1+($U$117)/100)^MAX(0,$C147-$AB$117),0)))))</f>
      </c>
      <c r="J147" s="43">
        <f>IF($S$117=0,0,IF(OR(DATE($C147,6,15)&lt;$S$117,AND($T$117&gt;0,DATE($C147,6,15)&gt;$T$117)),0,IF(DATE($C147,6,15)&gt;=$X$117,$AA$117*(1+($U$117)/100)^MAX(0,$C147-$AD$117),IF(DATE($C147,6,15)&gt;=$W$117,$Z$117*(1+($U$117)/100)^MAX(0,$C147-$AC$117),IF(DATE($C147,6,15)&gt;=$V$117,$Y$117*(1+($U$117)/100)^MAX(0,$C147-$AB$117),0)))))</f>
      </c>
      <c r="K147" s="43">
        <f>IF($S$117=0,0,IF(OR(DATE($C147,7,15)&lt;$S$117,AND($T$117&gt;0,DATE($C147,7,15)&gt;$T$117)),0,IF(DATE($C147,7,15)&gt;=$X$117,$AA$117*(1+($U$117)/100)^MAX(0,$C147-$AD$117),IF(DATE($C147,7,15)&gt;=$W$117,$Z$117*(1+($U$117)/100)^MAX(0,$C147-$AC$117),IF(DATE($C147,7,15)&gt;=$V$117,$Y$117*(1+($U$117)/100)^MAX(0,$C147-$AB$117),0)))))</f>
      </c>
      <c r="L147" s="43">
        <f>IF($S$117=0,0,IF(OR(DATE($C147,8,15)&lt;$S$117,AND($T$117&gt;0,DATE($C147,8,15)&gt;$T$117)),0,IF(DATE($C147,8,15)&gt;=$X$117,$AA$117*(1+($U$117)/100)^MAX(0,$C147-$AD$117),IF(DATE($C147,8,15)&gt;=$W$117,$Z$117*(1+($U$117)/100)^MAX(0,$C147-$AC$117),IF(DATE($C147,8,15)&gt;=$V$117,$Y$117*(1+($U$117)/100)^MAX(0,$C147-$AB$117),0)))))</f>
      </c>
      <c r="M147" s="43">
        <f>IF($S$117=0,0,IF(OR(DATE($C147,9,15)&lt;$S$117,AND($T$117&gt;0,DATE($C147,9,15)&gt;$T$117)),0,IF(DATE($C147,9,15)&gt;=$X$117,$AA$117*(1+($U$117)/100)^MAX(0,$C147-$AD$117),IF(DATE($C147,9,15)&gt;=$W$117,$Z$117*(1+($U$117)/100)^MAX(0,$C147-$AC$117),IF(DATE($C147,9,15)&gt;=$V$117,$Y$117*(1+($U$117)/100)^MAX(0,$C147-$AB$117),0)))))</f>
      </c>
      <c r="N147" s="43">
        <f>IF($S$117=0,0,IF(OR(DATE($C147,10,15)&lt;$S$117,AND($T$117&gt;0,DATE($C147,10,15)&gt;$T$117)),0,IF(DATE($C147,10,15)&gt;=$X$117,$AA$117*(1+($U$117)/100)^MAX(0,$C147-$AD$117),IF(DATE($C147,10,15)&gt;=$W$117,$Z$117*(1+($U$117)/100)^MAX(0,$C147-$AC$117),IF(DATE($C147,10,15)&gt;=$V$117,$Y$117*(1+($U$117)/100)^MAX(0,$C147-$AB$117),0)))))</f>
      </c>
      <c r="O147" s="43">
        <f>IF($S$117=0,0,IF(OR(DATE($C147,11,15)&lt;$S$117,AND($T$117&gt;0,DATE($C147,11,15)&gt;$T$117)),0,IF(DATE($C147,11,15)&gt;=$X$117,$AA$117*(1+($U$117)/100)^MAX(0,$C147-$AD$117),IF(DATE($C147,11,15)&gt;=$W$117,$Z$117*(1+($U$117)/100)^MAX(0,$C147-$AC$117),IF(DATE($C147,11,15)&gt;=$V$117,$Y$117*(1+($U$117)/100)^MAX(0,$C147-$AB$117),0)))))</f>
      </c>
      <c r="P147" s="43">
        <f>IF($S$117=0,0,IF(OR(DATE($C147,12,15)&lt;$S$117,AND($T$117&gt;0,DATE($C147,12,15)&gt;$T$117)),0,IF(DATE($C147,12,15)&gt;=$X$117,$AA$117*(1+($U$117)/100)^MAX(0,$C147-$AD$117),IF(DATE($C147,12,15)&gt;=$W$117,$Z$117*(1+($U$117)/100)^MAX(0,$C147-$AC$117),IF(DATE($C147,12,15)&gt;=$V$117,$Y$117*(1+($U$117)/100)^MAX(0,$C147-$AB$117),0)))))</f>
      </c>
      <c r="Q147" s="43">
        <f>SUM($E147:$P147)</f>
      </c>
    </row>
    <row r="148">
      <c r="A148"/>
      <c r="B148">
        <v>5</v>
      </c>
      <c r="C148" s="43">
        <f>Jahr+0</f>
      </c>
      <c r="D148" s="43">
        <f>INDEX(MvObj,5)</f>
      </c>
      <c r="E148" s="43">
        <f>IF($S$148=0,0,IF(OR(DATE($C148,1,15)&lt;$S$148,AND($T$148&gt;0,DATE($C148,1,15)&gt;$T$148)),0,IF(DATE($C148,1,15)&gt;=$X$148,$AA$148*(1+($U$148)/100)^MAX(0,$C148-$AD$148),IF(DATE($C148,1,15)&gt;=$W$148,$Z$148*(1+($U$148)/100)^MAX(0,$C148-$AC$148),IF(DATE($C148,1,15)&gt;=$V$148,$Y$148*(1+($U$148)/100)^MAX(0,$C148-$AB$148),0)))))</f>
      </c>
      <c r="F148" s="43">
        <f>IF($S$148=0,0,IF(OR(DATE($C148,2,15)&lt;$S$148,AND($T$148&gt;0,DATE($C148,2,15)&gt;$T$148)),0,IF(DATE($C148,2,15)&gt;=$X$148,$AA$148*(1+($U$148)/100)^MAX(0,$C148-$AD$148),IF(DATE($C148,2,15)&gt;=$W$148,$Z$148*(1+($U$148)/100)^MAX(0,$C148-$AC$148),IF(DATE($C148,2,15)&gt;=$V$148,$Y$148*(1+($U$148)/100)^MAX(0,$C148-$AB$148),0)))))</f>
      </c>
      <c r="G148" s="43">
        <f>IF($S$148=0,0,IF(OR(DATE($C148,3,15)&lt;$S$148,AND($T$148&gt;0,DATE($C148,3,15)&gt;$T$148)),0,IF(DATE($C148,3,15)&gt;=$X$148,$AA$148*(1+($U$148)/100)^MAX(0,$C148-$AD$148),IF(DATE($C148,3,15)&gt;=$W$148,$Z$148*(1+($U$148)/100)^MAX(0,$C148-$AC$148),IF(DATE($C148,3,15)&gt;=$V$148,$Y$148*(1+($U$148)/100)^MAX(0,$C148-$AB$148),0)))))</f>
      </c>
      <c r="H148" s="43">
        <f>IF($S$148=0,0,IF(OR(DATE($C148,4,15)&lt;$S$148,AND($T$148&gt;0,DATE($C148,4,15)&gt;$T$148)),0,IF(DATE($C148,4,15)&gt;=$X$148,$AA$148*(1+($U$148)/100)^MAX(0,$C148-$AD$148),IF(DATE($C148,4,15)&gt;=$W$148,$Z$148*(1+($U$148)/100)^MAX(0,$C148-$AC$148),IF(DATE($C148,4,15)&gt;=$V$148,$Y$148*(1+($U$148)/100)^MAX(0,$C148-$AB$148),0)))))</f>
      </c>
      <c r="I148" s="43">
        <f>IF($S$148=0,0,IF(OR(DATE($C148,5,15)&lt;$S$148,AND($T$148&gt;0,DATE($C148,5,15)&gt;$T$148)),0,IF(DATE($C148,5,15)&gt;=$X$148,$AA$148*(1+($U$148)/100)^MAX(0,$C148-$AD$148),IF(DATE($C148,5,15)&gt;=$W$148,$Z$148*(1+($U$148)/100)^MAX(0,$C148-$AC$148),IF(DATE($C148,5,15)&gt;=$V$148,$Y$148*(1+($U$148)/100)^MAX(0,$C148-$AB$148),0)))))</f>
      </c>
      <c r="J148" s="43">
        <f>IF($S$148=0,0,IF(OR(DATE($C148,6,15)&lt;$S$148,AND($T$148&gt;0,DATE($C148,6,15)&gt;$T$148)),0,IF(DATE($C148,6,15)&gt;=$X$148,$AA$148*(1+($U$148)/100)^MAX(0,$C148-$AD$148),IF(DATE($C148,6,15)&gt;=$W$148,$Z$148*(1+($U$148)/100)^MAX(0,$C148-$AC$148),IF(DATE($C148,6,15)&gt;=$V$148,$Y$148*(1+($U$148)/100)^MAX(0,$C148-$AB$148),0)))))</f>
      </c>
      <c r="K148" s="43">
        <f>IF($S$148=0,0,IF(OR(DATE($C148,7,15)&lt;$S$148,AND($T$148&gt;0,DATE($C148,7,15)&gt;$T$148)),0,IF(DATE($C148,7,15)&gt;=$X$148,$AA$148*(1+($U$148)/100)^MAX(0,$C148-$AD$148),IF(DATE($C148,7,15)&gt;=$W$148,$Z$148*(1+($U$148)/100)^MAX(0,$C148-$AC$148),IF(DATE($C148,7,15)&gt;=$V$148,$Y$148*(1+($U$148)/100)^MAX(0,$C148-$AB$148),0)))))</f>
      </c>
      <c r="L148" s="43">
        <f>IF($S$148=0,0,IF(OR(DATE($C148,8,15)&lt;$S$148,AND($T$148&gt;0,DATE($C148,8,15)&gt;$T$148)),0,IF(DATE($C148,8,15)&gt;=$X$148,$AA$148*(1+($U$148)/100)^MAX(0,$C148-$AD$148),IF(DATE($C148,8,15)&gt;=$W$148,$Z$148*(1+($U$148)/100)^MAX(0,$C148-$AC$148),IF(DATE($C148,8,15)&gt;=$V$148,$Y$148*(1+($U$148)/100)^MAX(0,$C148-$AB$148),0)))))</f>
      </c>
      <c r="M148" s="43">
        <f>IF($S$148=0,0,IF(OR(DATE($C148,9,15)&lt;$S$148,AND($T$148&gt;0,DATE($C148,9,15)&gt;$T$148)),0,IF(DATE($C148,9,15)&gt;=$X$148,$AA$148*(1+($U$148)/100)^MAX(0,$C148-$AD$148),IF(DATE($C148,9,15)&gt;=$W$148,$Z$148*(1+($U$148)/100)^MAX(0,$C148-$AC$148),IF(DATE($C148,9,15)&gt;=$V$148,$Y$148*(1+($U$148)/100)^MAX(0,$C148-$AB$148),0)))))</f>
      </c>
      <c r="N148" s="43">
        <f>IF($S$148=0,0,IF(OR(DATE($C148,10,15)&lt;$S$148,AND($T$148&gt;0,DATE($C148,10,15)&gt;$T$148)),0,IF(DATE($C148,10,15)&gt;=$X$148,$AA$148*(1+($U$148)/100)^MAX(0,$C148-$AD$148),IF(DATE($C148,10,15)&gt;=$W$148,$Z$148*(1+($U$148)/100)^MAX(0,$C148-$AC$148),IF(DATE($C148,10,15)&gt;=$V$148,$Y$148*(1+($U$148)/100)^MAX(0,$C148-$AB$148),0)))))</f>
      </c>
      <c r="O148" s="43">
        <f>IF($S$148=0,0,IF(OR(DATE($C148,11,15)&lt;$S$148,AND($T$148&gt;0,DATE($C148,11,15)&gt;$T$148)),0,IF(DATE($C148,11,15)&gt;=$X$148,$AA$148*(1+($U$148)/100)^MAX(0,$C148-$AD$148),IF(DATE($C148,11,15)&gt;=$W$148,$Z$148*(1+($U$148)/100)^MAX(0,$C148-$AC$148),IF(DATE($C148,11,15)&gt;=$V$148,$Y$148*(1+($U$148)/100)^MAX(0,$C148-$AB$148),0)))))</f>
      </c>
      <c r="P148" s="43">
        <f>IF($S$148=0,0,IF(OR(DATE($C148,12,15)&lt;$S$148,AND($T$148&gt;0,DATE($C148,12,15)&gt;$T$148)),0,IF(DATE($C148,12,15)&gt;=$X$148,$AA$148*(1+($U$148)/100)^MAX(0,$C148-$AD$148),IF(DATE($C148,12,15)&gt;=$W$148,$Z$148*(1+($U$148)/100)^MAX(0,$C148-$AC$148),IF(DATE($C148,12,15)&gt;=$V$148,$Y$148*(1+($U$148)/100)^MAX(0,$C148-$AB$148),0)))))</f>
      </c>
      <c r="Q148" s="43">
        <f>SUM($E148:$P148)</f>
      </c>
      <c r="R148"/>
      <c r="S148" s="43">
        <f>IF(INDEX(MvBeginn,5)="",0,INDEX(MvBeginn,5))</f>
      </c>
      <c r="T148" s="43">
        <f>INDEX(MvEnde,5)</f>
      </c>
      <c r="U148" s="43">
        <f>INDEX(MvSatz,5)</f>
      </c>
      <c r="V148" s="43">
        <f>INDEX(MvKey1,5)</f>
      </c>
      <c r="W148" s="43">
        <f>INDEX(MvKey2,5)</f>
      </c>
      <c r="X148" s="43">
        <f>INDEX(MvKey3,5)</f>
      </c>
      <c r="Y148" s="43">
        <f>INDEX(MvKalt1,5)</f>
      </c>
      <c r="Z148" s="43">
        <f>INDEX(MvKalt2,5)</f>
      </c>
      <c r="AA148" s="43">
        <f>INDEX(MvKalt3,5)</f>
      </c>
      <c r="AB148" s="43">
        <f>MAX(YEAR(INDEX(MvAb1,5)),Jahr)</f>
      </c>
      <c r="AC148" s="43">
        <f>MAX(YEAR(INDEX(MvAb2,5)),Jahr)</f>
      </c>
      <c r="AD148" s="43">
        <f>MAX(YEAR(INDEX(MvAb3,5)),Jahr)</f>
      </c>
    </row>
    <row r="149">
      <c r="A149"/>
      <c r="B149">
        <v>5</v>
      </c>
      <c r="C149" s="43">
        <f>Jahr+1</f>
      </c>
      <c r="D149" s="43">
        <f>INDEX(MvObj,5)</f>
      </c>
      <c r="E149" s="43">
        <f>IF($S$148=0,0,IF(OR(DATE($C149,1,15)&lt;$S$148,AND($T$148&gt;0,DATE($C149,1,15)&gt;$T$148)),0,IF(DATE($C149,1,15)&gt;=$X$148,$AA$148*(1+($U$148)/100)^MAX(0,$C149-$AD$148),IF(DATE($C149,1,15)&gt;=$W$148,$Z$148*(1+($U$148)/100)^MAX(0,$C149-$AC$148),IF(DATE($C149,1,15)&gt;=$V$148,$Y$148*(1+($U$148)/100)^MAX(0,$C149-$AB$148),0)))))</f>
      </c>
      <c r="F149" s="43">
        <f>IF($S$148=0,0,IF(OR(DATE($C149,2,15)&lt;$S$148,AND($T$148&gt;0,DATE($C149,2,15)&gt;$T$148)),0,IF(DATE($C149,2,15)&gt;=$X$148,$AA$148*(1+($U$148)/100)^MAX(0,$C149-$AD$148),IF(DATE($C149,2,15)&gt;=$W$148,$Z$148*(1+($U$148)/100)^MAX(0,$C149-$AC$148),IF(DATE($C149,2,15)&gt;=$V$148,$Y$148*(1+($U$148)/100)^MAX(0,$C149-$AB$148),0)))))</f>
      </c>
      <c r="G149" s="43">
        <f>IF($S$148=0,0,IF(OR(DATE($C149,3,15)&lt;$S$148,AND($T$148&gt;0,DATE($C149,3,15)&gt;$T$148)),0,IF(DATE($C149,3,15)&gt;=$X$148,$AA$148*(1+($U$148)/100)^MAX(0,$C149-$AD$148),IF(DATE($C149,3,15)&gt;=$W$148,$Z$148*(1+($U$148)/100)^MAX(0,$C149-$AC$148),IF(DATE($C149,3,15)&gt;=$V$148,$Y$148*(1+($U$148)/100)^MAX(0,$C149-$AB$148),0)))))</f>
      </c>
      <c r="H149" s="43">
        <f>IF($S$148=0,0,IF(OR(DATE($C149,4,15)&lt;$S$148,AND($T$148&gt;0,DATE($C149,4,15)&gt;$T$148)),0,IF(DATE($C149,4,15)&gt;=$X$148,$AA$148*(1+($U$148)/100)^MAX(0,$C149-$AD$148),IF(DATE($C149,4,15)&gt;=$W$148,$Z$148*(1+($U$148)/100)^MAX(0,$C149-$AC$148),IF(DATE($C149,4,15)&gt;=$V$148,$Y$148*(1+($U$148)/100)^MAX(0,$C149-$AB$148),0)))))</f>
      </c>
      <c r="I149" s="43">
        <f>IF($S$148=0,0,IF(OR(DATE($C149,5,15)&lt;$S$148,AND($T$148&gt;0,DATE($C149,5,15)&gt;$T$148)),0,IF(DATE($C149,5,15)&gt;=$X$148,$AA$148*(1+($U$148)/100)^MAX(0,$C149-$AD$148),IF(DATE($C149,5,15)&gt;=$W$148,$Z$148*(1+($U$148)/100)^MAX(0,$C149-$AC$148),IF(DATE($C149,5,15)&gt;=$V$148,$Y$148*(1+($U$148)/100)^MAX(0,$C149-$AB$148),0)))))</f>
      </c>
      <c r="J149" s="43">
        <f>IF($S$148=0,0,IF(OR(DATE($C149,6,15)&lt;$S$148,AND($T$148&gt;0,DATE($C149,6,15)&gt;$T$148)),0,IF(DATE($C149,6,15)&gt;=$X$148,$AA$148*(1+($U$148)/100)^MAX(0,$C149-$AD$148),IF(DATE($C149,6,15)&gt;=$W$148,$Z$148*(1+($U$148)/100)^MAX(0,$C149-$AC$148),IF(DATE($C149,6,15)&gt;=$V$148,$Y$148*(1+($U$148)/100)^MAX(0,$C149-$AB$148),0)))))</f>
      </c>
      <c r="K149" s="43">
        <f>IF($S$148=0,0,IF(OR(DATE($C149,7,15)&lt;$S$148,AND($T$148&gt;0,DATE($C149,7,15)&gt;$T$148)),0,IF(DATE($C149,7,15)&gt;=$X$148,$AA$148*(1+($U$148)/100)^MAX(0,$C149-$AD$148),IF(DATE($C149,7,15)&gt;=$W$148,$Z$148*(1+($U$148)/100)^MAX(0,$C149-$AC$148),IF(DATE($C149,7,15)&gt;=$V$148,$Y$148*(1+($U$148)/100)^MAX(0,$C149-$AB$148),0)))))</f>
      </c>
      <c r="L149" s="43">
        <f>IF($S$148=0,0,IF(OR(DATE($C149,8,15)&lt;$S$148,AND($T$148&gt;0,DATE($C149,8,15)&gt;$T$148)),0,IF(DATE($C149,8,15)&gt;=$X$148,$AA$148*(1+($U$148)/100)^MAX(0,$C149-$AD$148),IF(DATE($C149,8,15)&gt;=$W$148,$Z$148*(1+($U$148)/100)^MAX(0,$C149-$AC$148),IF(DATE($C149,8,15)&gt;=$V$148,$Y$148*(1+($U$148)/100)^MAX(0,$C149-$AB$148),0)))))</f>
      </c>
      <c r="M149" s="43">
        <f>IF($S$148=0,0,IF(OR(DATE($C149,9,15)&lt;$S$148,AND($T$148&gt;0,DATE($C149,9,15)&gt;$T$148)),0,IF(DATE($C149,9,15)&gt;=$X$148,$AA$148*(1+($U$148)/100)^MAX(0,$C149-$AD$148),IF(DATE($C149,9,15)&gt;=$W$148,$Z$148*(1+($U$148)/100)^MAX(0,$C149-$AC$148),IF(DATE($C149,9,15)&gt;=$V$148,$Y$148*(1+($U$148)/100)^MAX(0,$C149-$AB$148),0)))))</f>
      </c>
      <c r="N149" s="43">
        <f>IF($S$148=0,0,IF(OR(DATE($C149,10,15)&lt;$S$148,AND($T$148&gt;0,DATE($C149,10,15)&gt;$T$148)),0,IF(DATE($C149,10,15)&gt;=$X$148,$AA$148*(1+($U$148)/100)^MAX(0,$C149-$AD$148),IF(DATE($C149,10,15)&gt;=$W$148,$Z$148*(1+($U$148)/100)^MAX(0,$C149-$AC$148),IF(DATE($C149,10,15)&gt;=$V$148,$Y$148*(1+($U$148)/100)^MAX(0,$C149-$AB$148),0)))))</f>
      </c>
      <c r="O149" s="43">
        <f>IF($S$148=0,0,IF(OR(DATE($C149,11,15)&lt;$S$148,AND($T$148&gt;0,DATE($C149,11,15)&gt;$T$148)),0,IF(DATE($C149,11,15)&gt;=$X$148,$AA$148*(1+($U$148)/100)^MAX(0,$C149-$AD$148),IF(DATE($C149,11,15)&gt;=$W$148,$Z$148*(1+($U$148)/100)^MAX(0,$C149-$AC$148),IF(DATE($C149,11,15)&gt;=$V$148,$Y$148*(1+($U$148)/100)^MAX(0,$C149-$AB$148),0)))))</f>
      </c>
      <c r="P149" s="43">
        <f>IF($S$148=0,0,IF(OR(DATE($C149,12,15)&lt;$S$148,AND($T$148&gt;0,DATE($C149,12,15)&gt;$T$148)),0,IF(DATE($C149,12,15)&gt;=$X$148,$AA$148*(1+($U$148)/100)^MAX(0,$C149-$AD$148),IF(DATE($C149,12,15)&gt;=$W$148,$Z$148*(1+($U$148)/100)^MAX(0,$C149-$AC$148),IF(DATE($C149,12,15)&gt;=$V$148,$Y$148*(1+($U$148)/100)^MAX(0,$C149-$AB$148),0)))))</f>
      </c>
      <c r="Q149" s="43">
        <f>SUM($E149:$P149)</f>
      </c>
    </row>
    <row r="150">
      <c r="A150"/>
      <c r="B150">
        <v>5</v>
      </c>
      <c r="C150" s="43">
        <f>Jahr+2</f>
      </c>
      <c r="D150" s="43">
        <f>INDEX(MvObj,5)</f>
      </c>
      <c r="E150" s="43">
        <f>IF($S$148=0,0,IF(OR(DATE($C150,1,15)&lt;$S$148,AND($T$148&gt;0,DATE($C150,1,15)&gt;$T$148)),0,IF(DATE($C150,1,15)&gt;=$X$148,$AA$148*(1+($U$148)/100)^MAX(0,$C150-$AD$148),IF(DATE($C150,1,15)&gt;=$W$148,$Z$148*(1+($U$148)/100)^MAX(0,$C150-$AC$148),IF(DATE($C150,1,15)&gt;=$V$148,$Y$148*(1+($U$148)/100)^MAX(0,$C150-$AB$148),0)))))</f>
      </c>
      <c r="F150" s="43">
        <f>IF($S$148=0,0,IF(OR(DATE($C150,2,15)&lt;$S$148,AND($T$148&gt;0,DATE($C150,2,15)&gt;$T$148)),0,IF(DATE($C150,2,15)&gt;=$X$148,$AA$148*(1+($U$148)/100)^MAX(0,$C150-$AD$148),IF(DATE($C150,2,15)&gt;=$W$148,$Z$148*(1+($U$148)/100)^MAX(0,$C150-$AC$148),IF(DATE($C150,2,15)&gt;=$V$148,$Y$148*(1+($U$148)/100)^MAX(0,$C150-$AB$148),0)))))</f>
      </c>
      <c r="G150" s="43">
        <f>IF($S$148=0,0,IF(OR(DATE($C150,3,15)&lt;$S$148,AND($T$148&gt;0,DATE($C150,3,15)&gt;$T$148)),0,IF(DATE($C150,3,15)&gt;=$X$148,$AA$148*(1+($U$148)/100)^MAX(0,$C150-$AD$148),IF(DATE($C150,3,15)&gt;=$W$148,$Z$148*(1+($U$148)/100)^MAX(0,$C150-$AC$148),IF(DATE($C150,3,15)&gt;=$V$148,$Y$148*(1+($U$148)/100)^MAX(0,$C150-$AB$148),0)))))</f>
      </c>
      <c r="H150" s="43">
        <f>IF($S$148=0,0,IF(OR(DATE($C150,4,15)&lt;$S$148,AND($T$148&gt;0,DATE($C150,4,15)&gt;$T$148)),0,IF(DATE($C150,4,15)&gt;=$X$148,$AA$148*(1+($U$148)/100)^MAX(0,$C150-$AD$148),IF(DATE($C150,4,15)&gt;=$W$148,$Z$148*(1+($U$148)/100)^MAX(0,$C150-$AC$148),IF(DATE($C150,4,15)&gt;=$V$148,$Y$148*(1+($U$148)/100)^MAX(0,$C150-$AB$148),0)))))</f>
      </c>
      <c r="I150" s="43">
        <f>IF($S$148=0,0,IF(OR(DATE($C150,5,15)&lt;$S$148,AND($T$148&gt;0,DATE($C150,5,15)&gt;$T$148)),0,IF(DATE($C150,5,15)&gt;=$X$148,$AA$148*(1+($U$148)/100)^MAX(0,$C150-$AD$148),IF(DATE($C150,5,15)&gt;=$W$148,$Z$148*(1+($U$148)/100)^MAX(0,$C150-$AC$148),IF(DATE($C150,5,15)&gt;=$V$148,$Y$148*(1+($U$148)/100)^MAX(0,$C150-$AB$148),0)))))</f>
      </c>
      <c r="J150" s="43">
        <f>IF($S$148=0,0,IF(OR(DATE($C150,6,15)&lt;$S$148,AND($T$148&gt;0,DATE($C150,6,15)&gt;$T$148)),0,IF(DATE($C150,6,15)&gt;=$X$148,$AA$148*(1+($U$148)/100)^MAX(0,$C150-$AD$148),IF(DATE($C150,6,15)&gt;=$W$148,$Z$148*(1+($U$148)/100)^MAX(0,$C150-$AC$148),IF(DATE($C150,6,15)&gt;=$V$148,$Y$148*(1+($U$148)/100)^MAX(0,$C150-$AB$148),0)))))</f>
      </c>
      <c r="K150" s="43">
        <f>IF($S$148=0,0,IF(OR(DATE($C150,7,15)&lt;$S$148,AND($T$148&gt;0,DATE($C150,7,15)&gt;$T$148)),0,IF(DATE($C150,7,15)&gt;=$X$148,$AA$148*(1+($U$148)/100)^MAX(0,$C150-$AD$148),IF(DATE($C150,7,15)&gt;=$W$148,$Z$148*(1+($U$148)/100)^MAX(0,$C150-$AC$148),IF(DATE($C150,7,15)&gt;=$V$148,$Y$148*(1+($U$148)/100)^MAX(0,$C150-$AB$148),0)))))</f>
      </c>
      <c r="L150" s="43">
        <f>IF($S$148=0,0,IF(OR(DATE($C150,8,15)&lt;$S$148,AND($T$148&gt;0,DATE($C150,8,15)&gt;$T$148)),0,IF(DATE($C150,8,15)&gt;=$X$148,$AA$148*(1+($U$148)/100)^MAX(0,$C150-$AD$148),IF(DATE($C150,8,15)&gt;=$W$148,$Z$148*(1+($U$148)/100)^MAX(0,$C150-$AC$148),IF(DATE($C150,8,15)&gt;=$V$148,$Y$148*(1+($U$148)/100)^MAX(0,$C150-$AB$148),0)))))</f>
      </c>
      <c r="M150" s="43">
        <f>IF($S$148=0,0,IF(OR(DATE($C150,9,15)&lt;$S$148,AND($T$148&gt;0,DATE($C150,9,15)&gt;$T$148)),0,IF(DATE($C150,9,15)&gt;=$X$148,$AA$148*(1+($U$148)/100)^MAX(0,$C150-$AD$148),IF(DATE($C150,9,15)&gt;=$W$148,$Z$148*(1+($U$148)/100)^MAX(0,$C150-$AC$148),IF(DATE($C150,9,15)&gt;=$V$148,$Y$148*(1+($U$148)/100)^MAX(0,$C150-$AB$148),0)))))</f>
      </c>
      <c r="N150" s="43">
        <f>IF($S$148=0,0,IF(OR(DATE($C150,10,15)&lt;$S$148,AND($T$148&gt;0,DATE($C150,10,15)&gt;$T$148)),0,IF(DATE($C150,10,15)&gt;=$X$148,$AA$148*(1+($U$148)/100)^MAX(0,$C150-$AD$148),IF(DATE($C150,10,15)&gt;=$W$148,$Z$148*(1+($U$148)/100)^MAX(0,$C150-$AC$148),IF(DATE($C150,10,15)&gt;=$V$148,$Y$148*(1+($U$148)/100)^MAX(0,$C150-$AB$148),0)))))</f>
      </c>
      <c r="O150" s="43">
        <f>IF($S$148=0,0,IF(OR(DATE($C150,11,15)&lt;$S$148,AND($T$148&gt;0,DATE($C150,11,15)&gt;$T$148)),0,IF(DATE($C150,11,15)&gt;=$X$148,$AA$148*(1+($U$148)/100)^MAX(0,$C150-$AD$148),IF(DATE($C150,11,15)&gt;=$W$148,$Z$148*(1+($U$148)/100)^MAX(0,$C150-$AC$148),IF(DATE($C150,11,15)&gt;=$V$148,$Y$148*(1+($U$148)/100)^MAX(0,$C150-$AB$148),0)))))</f>
      </c>
      <c r="P150" s="43">
        <f>IF($S$148=0,0,IF(OR(DATE($C150,12,15)&lt;$S$148,AND($T$148&gt;0,DATE($C150,12,15)&gt;$T$148)),0,IF(DATE($C150,12,15)&gt;=$X$148,$AA$148*(1+($U$148)/100)^MAX(0,$C150-$AD$148),IF(DATE($C150,12,15)&gt;=$W$148,$Z$148*(1+($U$148)/100)^MAX(0,$C150-$AC$148),IF(DATE($C150,12,15)&gt;=$V$148,$Y$148*(1+($U$148)/100)^MAX(0,$C150-$AB$148),0)))))</f>
      </c>
      <c r="Q150" s="43">
        <f>SUM($E150:$P150)</f>
      </c>
    </row>
    <row r="151">
      <c r="A151"/>
      <c r="B151">
        <v>5</v>
      </c>
      <c r="C151" s="43">
        <f>Jahr+3</f>
      </c>
      <c r="D151" s="43">
        <f>INDEX(MvObj,5)</f>
      </c>
      <c r="E151" s="43">
        <f>IF($S$148=0,0,IF(OR(DATE($C151,1,15)&lt;$S$148,AND($T$148&gt;0,DATE($C151,1,15)&gt;$T$148)),0,IF(DATE($C151,1,15)&gt;=$X$148,$AA$148*(1+($U$148)/100)^MAX(0,$C151-$AD$148),IF(DATE($C151,1,15)&gt;=$W$148,$Z$148*(1+($U$148)/100)^MAX(0,$C151-$AC$148),IF(DATE($C151,1,15)&gt;=$V$148,$Y$148*(1+($U$148)/100)^MAX(0,$C151-$AB$148),0)))))</f>
      </c>
      <c r="F151" s="43">
        <f>IF($S$148=0,0,IF(OR(DATE($C151,2,15)&lt;$S$148,AND($T$148&gt;0,DATE($C151,2,15)&gt;$T$148)),0,IF(DATE($C151,2,15)&gt;=$X$148,$AA$148*(1+($U$148)/100)^MAX(0,$C151-$AD$148),IF(DATE($C151,2,15)&gt;=$W$148,$Z$148*(1+($U$148)/100)^MAX(0,$C151-$AC$148),IF(DATE($C151,2,15)&gt;=$V$148,$Y$148*(1+($U$148)/100)^MAX(0,$C151-$AB$148),0)))))</f>
      </c>
      <c r="G151" s="43">
        <f>IF($S$148=0,0,IF(OR(DATE($C151,3,15)&lt;$S$148,AND($T$148&gt;0,DATE($C151,3,15)&gt;$T$148)),0,IF(DATE($C151,3,15)&gt;=$X$148,$AA$148*(1+($U$148)/100)^MAX(0,$C151-$AD$148),IF(DATE($C151,3,15)&gt;=$W$148,$Z$148*(1+($U$148)/100)^MAX(0,$C151-$AC$148),IF(DATE($C151,3,15)&gt;=$V$148,$Y$148*(1+($U$148)/100)^MAX(0,$C151-$AB$148),0)))))</f>
      </c>
      <c r="H151" s="43">
        <f>IF($S$148=0,0,IF(OR(DATE($C151,4,15)&lt;$S$148,AND($T$148&gt;0,DATE($C151,4,15)&gt;$T$148)),0,IF(DATE($C151,4,15)&gt;=$X$148,$AA$148*(1+($U$148)/100)^MAX(0,$C151-$AD$148),IF(DATE($C151,4,15)&gt;=$W$148,$Z$148*(1+($U$148)/100)^MAX(0,$C151-$AC$148),IF(DATE($C151,4,15)&gt;=$V$148,$Y$148*(1+($U$148)/100)^MAX(0,$C151-$AB$148),0)))))</f>
      </c>
      <c r="I151" s="43">
        <f>IF($S$148=0,0,IF(OR(DATE($C151,5,15)&lt;$S$148,AND($T$148&gt;0,DATE($C151,5,15)&gt;$T$148)),0,IF(DATE($C151,5,15)&gt;=$X$148,$AA$148*(1+($U$148)/100)^MAX(0,$C151-$AD$148),IF(DATE($C151,5,15)&gt;=$W$148,$Z$148*(1+($U$148)/100)^MAX(0,$C151-$AC$148),IF(DATE($C151,5,15)&gt;=$V$148,$Y$148*(1+($U$148)/100)^MAX(0,$C151-$AB$148),0)))))</f>
      </c>
      <c r="J151" s="43">
        <f>IF($S$148=0,0,IF(OR(DATE($C151,6,15)&lt;$S$148,AND($T$148&gt;0,DATE($C151,6,15)&gt;$T$148)),0,IF(DATE($C151,6,15)&gt;=$X$148,$AA$148*(1+($U$148)/100)^MAX(0,$C151-$AD$148),IF(DATE($C151,6,15)&gt;=$W$148,$Z$148*(1+($U$148)/100)^MAX(0,$C151-$AC$148),IF(DATE($C151,6,15)&gt;=$V$148,$Y$148*(1+($U$148)/100)^MAX(0,$C151-$AB$148),0)))))</f>
      </c>
      <c r="K151" s="43">
        <f>IF($S$148=0,0,IF(OR(DATE($C151,7,15)&lt;$S$148,AND($T$148&gt;0,DATE($C151,7,15)&gt;$T$148)),0,IF(DATE($C151,7,15)&gt;=$X$148,$AA$148*(1+($U$148)/100)^MAX(0,$C151-$AD$148),IF(DATE($C151,7,15)&gt;=$W$148,$Z$148*(1+($U$148)/100)^MAX(0,$C151-$AC$148),IF(DATE($C151,7,15)&gt;=$V$148,$Y$148*(1+($U$148)/100)^MAX(0,$C151-$AB$148),0)))))</f>
      </c>
      <c r="L151" s="43">
        <f>IF($S$148=0,0,IF(OR(DATE($C151,8,15)&lt;$S$148,AND($T$148&gt;0,DATE($C151,8,15)&gt;$T$148)),0,IF(DATE($C151,8,15)&gt;=$X$148,$AA$148*(1+($U$148)/100)^MAX(0,$C151-$AD$148),IF(DATE($C151,8,15)&gt;=$W$148,$Z$148*(1+($U$148)/100)^MAX(0,$C151-$AC$148),IF(DATE($C151,8,15)&gt;=$V$148,$Y$148*(1+($U$148)/100)^MAX(0,$C151-$AB$148),0)))))</f>
      </c>
      <c r="M151" s="43">
        <f>IF($S$148=0,0,IF(OR(DATE($C151,9,15)&lt;$S$148,AND($T$148&gt;0,DATE($C151,9,15)&gt;$T$148)),0,IF(DATE($C151,9,15)&gt;=$X$148,$AA$148*(1+($U$148)/100)^MAX(0,$C151-$AD$148),IF(DATE($C151,9,15)&gt;=$W$148,$Z$148*(1+($U$148)/100)^MAX(0,$C151-$AC$148),IF(DATE($C151,9,15)&gt;=$V$148,$Y$148*(1+($U$148)/100)^MAX(0,$C151-$AB$148),0)))))</f>
      </c>
      <c r="N151" s="43">
        <f>IF($S$148=0,0,IF(OR(DATE($C151,10,15)&lt;$S$148,AND($T$148&gt;0,DATE($C151,10,15)&gt;$T$148)),0,IF(DATE($C151,10,15)&gt;=$X$148,$AA$148*(1+($U$148)/100)^MAX(0,$C151-$AD$148),IF(DATE($C151,10,15)&gt;=$W$148,$Z$148*(1+($U$148)/100)^MAX(0,$C151-$AC$148),IF(DATE($C151,10,15)&gt;=$V$148,$Y$148*(1+($U$148)/100)^MAX(0,$C151-$AB$148),0)))))</f>
      </c>
      <c r="O151" s="43">
        <f>IF($S$148=0,0,IF(OR(DATE($C151,11,15)&lt;$S$148,AND($T$148&gt;0,DATE($C151,11,15)&gt;$T$148)),0,IF(DATE($C151,11,15)&gt;=$X$148,$AA$148*(1+($U$148)/100)^MAX(0,$C151-$AD$148),IF(DATE($C151,11,15)&gt;=$W$148,$Z$148*(1+($U$148)/100)^MAX(0,$C151-$AC$148),IF(DATE($C151,11,15)&gt;=$V$148,$Y$148*(1+($U$148)/100)^MAX(0,$C151-$AB$148),0)))))</f>
      </c>
      <c r="P151" s="43">
        <f>IF($S$148=0,0,IF(OR(DATE($C151,12,15)&lt;$S$148,AND($T$148&gt;0,DATE($C151,12,15)&gt;$T$148)),0,IF(DATE($C151,12,15)&gt;=$X$148,$AA$148*(1+($U$148)/100)^MAX(0,$C151-$AD$148),IF(DATE($C151,12,15)&gt;=$W$148,$Z$148*(1+($U$148)/100)^MAX(0,$C151-$AC$148),IF(DATE($C151,12,15)&gt;=$V$148,$Y$148*(1+($U$148)/100)^MAX(0,$C151-$AB$148),0)))))</f>
      </c>
      <c r="Q151" s="43">
        <f>SUM($E151:$P151)</f>
      </c>
    </row>
    <row r="152">
      <c r="A152"/>
      <c r="B152">
        <v>5</v>
      </c>
      <c r="C152" s="43">
        <f>Jahr+4</f>
      </c>
      <c r="D152" s="43">
        <f>INDEX(MvObj,5)</f>
      </c>
      <c r="E152" s="43">
        <f>IF($S$148=0,0,IF(OR(DATE($C152,1,15)&lt;$S$148,AND($T$148&gt;0,DATE($C152,1,15)&gt;$T$148)),0,IF(DATE($C152,1,15)&gt;=$X$148,$AA$148*(1+($U$148)/100)^MAX(0,$C152-$AD$148),IF(DATE($C152,1,15)&gt;=$W$148,$Z$148*(1+($U$148)/100)^MAX(0,$C152-$AC$148),IF(DATE($C152,1,15)&gt;=$V$148,$Y$148*(1+($U$148)/100)^MAX(0,$C152-$AB$148),0)))))</f>
      </c>
      <c r="F152" s="43">
        <f>IF($S$148=0,0,IF(OR(DATE($C152,2,15)&lt;$S$148,AND($T$148&gt;0,DATE($C152,2,15)&gt;$T$148)),0,IF(DATE($C152,2,15)&gt;=$X$148,$AA$148*(1+($U$148)/100)^MAX(0,$C152-$AD$148),IF(DATE($C152,2,15)&gt;=$W$148,$Z$148*(1+($U$148)/100)^MAX(0,$C152-$AC$148),IF(DATE($C152,2,15)&gt;=$V$148,$Y$148*(1+($U$148)/100)^MAX(0,$C152-$AB$148),0)))))</f>
      </c>
      <c r="G152" s="43">
        <f>IF($S$148=0,0,IF(OR(DATE($C152,3,15)&lt;$S$148,AND($T$148&gt;0,DATE($C152,3,15)&gt;$T$148)),0,IF(DATE($C152,3,15)&gt;=$X$148,$AA$148*(1+($U$148)/100)^MAX(0,$C152-$AD$148),IF(DATE($C152,3,15)&gt;=$W$148,$Z$148*(1+($U$148)/100)^MAX(0,$C152-$AC$148),IF(DATE($C152,3,15)&gt;=$V$148,$Y$148*(1+($U$148)/100)^MAX(0,$C152-$AB$148),0)))))</f>
      </c>
      <c r="H152" s="43">
        <f>IF($S$148=0,0,IF(OR(DATE($C152,4,15)&lt;$S$148,AND($T$148&gt;0,DATE($C152,4,15)&gt;$T$148)),0,IF(DATE($C152,4,15)&gt;=$X$148,$AA$148*(1+($U$148)/100)^MAX(0,$C152-$AD$148),IF(DATE($C152,4,15)&gt;=$W$148,$Z$148*(1+($U$148)/100)^MAX(0,$C152-$AC$148),IF(DATE($C152,4,15)&gt;=$V$148,$Y$148*(1+($U$148)/100)^MAX(0,$C152-$AB$148),0)))))</f>
      </c>
      <c r="I152" s="43">
        <f>IF($S$148=0,0,IF(OR(DATE($C152,5,15)&lt;$S$148,AND($T$148&gt;0,DATE($C152,5,15)&gt;$T$148)),0,IF(DATE($C152,5,15)&gt;=$X$148,$AA$148*(1+($U$148)/100)^MAX(0,$C152-$AD$148),IF(DATE($C152,5,15)&gt;=$W$148,$Z$148*(1+($U$148)/100)^MAX(0,$C152-$AC$148),IF(DATE($C152,5,15)&gt;=$V$148,$Y$148*(1+($U$148)/100)^MAX(0,$C152-$AB$148),0)))))</f>
      </c>
      <c r="J152" s="43">
        <f>IF($S$148=0,0,IF(OR(DATE($C152,6,15)&lt;$S$148,AND($T$148&gt;0,DATE($C152,6,15)&gt;$T$148)),0,IF(DATE($C152,6,15)&gt;=$X$148,$AA$148*(1+($U$148)/100)^MAX(0,$C152-$AD$148),IF(DATE($C152,6,15)&gt;=$W$148,$Z$148*(1+($U$148)/100)^MAX(0,$C152-$AC$148),IF(DATE($C152,6,15)&gt;=$V$148,$Y$148*(1+($U$148)/100)^MAX(0,$C152-$AB$148),0)))))</f>
      </c>
      <c r="K152" s="43">
        <f>IF($S$148=0,0,IF(OR(DATE($C152,7,15)&lt;$S$148,AND($T$148&gt;0,DATE($C152,7,15)&gt;$T$148)),0,IF(DATE($C152,7,15)&gt;=$X$148,$AA$148*(1+($U$148)/100)^MAX(0,$C152-$AD$148),IF(DATE($C152,7,15)&gt;=$W$148,$Z$148*(1+($U$148)/100)^MAX(0,$C152-$AC$148),IF(DATE($C152,7,15)&gt;=$V$148,$Y$148*(1+($U$148)/100)^MAX(0,$C152-$AB$148),0)))))</f>
      </c>
      <c r="L152" s="43">
        <f>IF($S$148=0,0,IF(OR(DATE($C152,8,15)&lt;$S$148,AND($T$148&gt;0,DATE($C152,8,15)&gt;$T$148)),0,IF(DATE($C152,8,15)&gt;=$X$148,$AA$148*(1+($U$148)/100)^MAX(0,$C152-$AD$148),IF(DATE($C152,8,15)&gt;=$W$148,$Z$148*(1+($U$148)/100)^MAX(0,$C152-$AC$148),IF(DATE($C152,8,15)&gt;=$V$148,$Y$148*(1+($U$148)/100)^MAX(0,$C152-$AB$148),0)))))</f>
      </c>
      <c r="M152" s="43">
        <f>IF($S$148=0,0,IF(OR(DATE($C152,9,15)&lt;$S$148,AND($T$148&gt;0,DATE($C152,9,15)&gt;$T$148)),0,IF(DATE($C152,9,15)&gt;=$X$148,$AA$148*(1+($U$148)/100)^MAX(0,$C152-$AD$148),IF(DATE($C152,9,15)&gt;=$W$148,$Z$148*(1+($U$148)/100)^MAX(0,$C152-$AC$148),IF(DATE($C152,9,15)&gt;=$V$148,$Y$148*(1+($U$148)/100)^MAX(0,$C152-$AB$148),0)))))</f>
      </c>
      <c r="N152" s="43">
        <f>IF($S$148=0,0,IF(OR(DATE($C152,10,15)&lt;$S$148,AND($T$148&gt;0,DATE($C152,10,15)&gt;$T$148)),0,IF(DATE($C152,10,15)&gt;=$X$148,$AA$148*(1+($U$148)/100)^MAX(0,$C152-$AD$148),IF(DATE($C152,10,15)&gt;=$W$148,$Z$148*(1+($U$148)/100)^MAX(0,$C152-$AC$148),IF(DATE($C152,10,15)&gt;=$V$148,$Y$148*(1+($U$148)/100)^MAX(0,$C152-$AB$148),0)))))</f>
      </c>
      <c r="O152" s="43">
        <f>IF($S$148=0,0,IF(OR(DATE($C152,11,15)&lt;$S$148,AND($T$148&gt;0,DATE($C152,11,15)&gt;$T$148)),0,IF(DATE($C152,11,15)&gt;=$X$148,$AA$148*(1+($U$148)/100)^MAX(0,$C152-$AD$148),IF(DATE($C152,11,15)&gt;=$W$148,$Z$148*(1+($U$148)/100)^MAX(0,$C152-$AC$148),IF(DATE($C152,11,15)&gt;=$V$148,$Y$148*(1+($U$148)/100)^MAX(0,$C152-$AB$148),0)))))</f>
      </c>
      <c r="P152" s="43">
        <f>IF($S$148=0,0,IF(OR(DATE($C152,12,15)&lt;$S$148,AND($T$148&gt;0,DATE($C152,12,15)&gt;$T$148)),0,IF(DATE($C152,12,15)&gt;=$X$148,$AA$148*(1+($U$148)/100)^MAX(0,$C152-$AD$148),IF(DATE($C152,12,15)&gt;=$W$148,$Z$148*(1+($U$148)/100)^MAX(0,$C152-$AC$148),IF(DATE($C152,12,15)&gt;=$V$148,$Y$148*(1+($U$148)/100)^MAX(0,$C152-$AB$148),0)))))</f>
      </c>
      <c r="Q152" s="43">
        <f>SUM($E152:$P152)</f>
      </c>
    </row>
    <row r="153">
      <c r="A153"/>
      <c r="B153">
        <v>5</v>
      </c>
      <c r="C153" s="43">
        <f>Jahr+5</f>
      </c>
      <c r="D153" s="43">
        <f>INDEX(MvObj,5)</f>
      </c>
      <c r="E153" s="43">
        <f>IF($S$148=0,0,IF(OR(DATE($C153,1,15)&lt;$S$148,AND($T$148&gt;0,DATE($C153,1,15)&gt;$T$148)),0,IF(DATE($C153,1,15)&gt;=$X$148,$AA$148*(1+($U$148)/100)^MAX(0,$C153-$AD$148),IF(DATE($C153,1,15)&gt;=$W$148,$Z$148*(1+($U$148)/100)^MAX(0,$C153-$AC$148),IF(DATE($C153,1,15)&gt;=$V$148,$Y$148*(1+($U$148)/100)^MAX(0,$C153-$AB$148),0)))))</f>
      </c>
      <c r="F153" s="43">
        <f>IF($S$148=0,0,IF(OR(DATE($C153,2,15)&lt;$S$148,AND($T$148&gt;0,DATE($C153,2,15)&gt;$T$148)),0,IF(DATE($C153,2,15)&gt;=$X$148,$AA$148*(1+($U$148)/100)^MAX(0,$C153-$AD$148),IF(DATE($C153,2,15)&gt;=$W$148,$Z$148*(1+($U$148)/100)^MAX(0,$C153-$AC$148),IF(DATE($C153,2,15)&gt;=$V$148,$Y$148*(1+($U$148)/100)^MAX(0,$C153-$AB$148),0)))))</f>
      </c>
      <c r="G153" s="43">
        <f>IF($S$148=0,0,IF(OR(DATE($C153,3,15)&lt;$S$148,AND($T$148&gt;0,DATE($C153,3,15)&gt;$T$148)),0,IF(DATE($C153,3,15)&gt;=$X$148,$AA$148*(1+($U$148)/100)^MAX(0,$C153-$AD$148),IF(DATE($C153,3,15)&gt;=$W$148,$Z$148*(1+($U$148)/100)^MAX(0,$C153-$AC$148),IF(DATE($C153,3,15)&gt;=$V$148,$Y$148*(1+($U$148)/100)^MAX(0,$C153-$AB$148),0)))))</f>
      </c>
      <c r="H153" s="43">
        <f>IF($S$148=0,0,IF(OR(DATE($C153,4,15)&lt;$S$148,AND($T$148&gt;0,DATE($C153,4,15)&gt;$T$148)),0,IF(DATE($C153,4,15)&gt;=$X$148,$AA$148*(1+($U$148)/100)^MAX(0,$C153-$AD$148),IF(DATE($C153,4,15)&gt;=$W$148,$Z$148*(1+($U$148)/100)^MAX(0,$C153-$AC$148),IF(DATE($C153,4,15)&gt;=$V$148,$Y$148*(1+($U$148)/100)^MAX(0,$C153-$AB$148),0)))))</f>
      </c>
      <c r="I153" s="43">
        <f>IF($S$148=0,0,IF(OR(DATE($C153,5,15)&lt;$S$148,AND($T$148&gt;0,DATE($C153,5,15)&gt;$T$148)),0,IF(DATE($C153,5,15)&gt;=$X$148,$AA$148*(1+($U$148)/100)^MAX(0,$C153-$AD$148),IF(DATE($C153,5,15)&gt;=$W$148,$Z$148*(1+($U$148)/100)^MAX(0,$C153-$AC$148),IF(DATE($C153,5,15)&gt;=$V$148,$Y$148*(1+($U$148)/100)^MAX(0,$C153-$AB$148),0)))))</f>
      </c>
      <c r="J153" s="43">
        <f>IF($S$148=0,0,IF(OR(DATE($C153,6,15)&lt;$S$148,AND($T$148&gt;0,DATE($C153,6,15)&gt;$T$148)),0,IF(DATE($C153,6,15)&gt;=$X$148,$AA$148*(1+($U$148)/100)^MAX(0,$C153-$AD$148),IF(DATE($C153,6,15)&gt;=$W$148,$Z$148*(1+($U$148)/100)^MAX(0,$C153-$AC$148),IF(DATE($C153,6,15)&gt;=$V$148,$Y$148*(1+($U$148)/100)^MAX(0,$C153-$AB$148),0)))))</f>
      </c>
      <c r="K153" s="43">
        <f>IF($S$148=0,0,IF(OR(DATE($C153,7,15)&lt;$S$148,AND($T$148&gt;0,DATE($C153,7,15)&gt;$T$148)),0,IF(DATE($C153,7,15)&gt;=$X$148,$AA$148*(1+($U$148)/100)^MAX(0,$C153-$AD$148),IF(DATE($C153,7,15)&gt;=$W$148,$Z$148*(1+($U$148)/100)^MAX(0,$C153-$AC$148),IF(DATE($C153,7,15)&gt;=$V$148,$Y$148*(1+($U$148)/100)^MAX(0,$C153-$AB$148),0)))))</f>
      </c>
      <c r="L153" s="43">
        <f>IF($S$148=0,0,IF(OR(DATE($C153,8,15)&lt;$S$148,AND($T$148&gt;0,DATE($C153,8,15)&gt;$T$148)),0,IF(DATE($C153,8,15)&gt;=$X$148,$AA$148*(1+($U$148)/100)^MAX(0,$C153-$AD$148),IF(DATE($C153,8,15)&gt;=$W$148,$Z$148*(1+($U$148)/100)^MAX(0,$C153-$AC$148),IF(DATE($C153,8,15)&gt;=$V$148,$Y$148*(1+($U$148)/100)^MAX(0,$C153-$AB$148),0)))))</f>
      </c>
      <c r="M153" s="43">
        <f>IF($S$148=0,0,IF(OR(DATE($C153,9,15)&lt;$S$148,AND($T$148&gt;0,DATE($C153,9,15)&gt;$T$148)),0,IF(DATE($C153,9,15)&gt;=$X$148,$AA$148*(1+($U$148)/100)^MAX(0,$C153-$AD$148),IF(DATE($C153,9,15)&gt;=$W$148,$Z$148*(1+($U$148)/100)^MAX(0,$C153-$AC$148),IF(DATE($C153,9,15)&gt;=$V$148,$Y$148*(1+($U$148)/100)^MAX(0,$C153-$AB$148),0)))))</f>
      </c>
      <c r="N153" s="43">
        <f>IF($S$148=0,0,IF(OR(DATE($C153,10,15)&lt;$S$148,AND($T$148&gt;0,DATE($C153,10,15)&gt;$T$148)),0,IF(DATE($C153,10,15)&gt;=$X$148,$AA$148*(1+($U$148)/100)^MAX(0,$C153-$AD$148),IF(DATE($C153,10,15)&gt;=$W$148,$Z$148*(1+($U$148)/100)^MAX(0,$C153-$AC$148),IF(DATE($C153,10,15)&gt;=$V$148,$Y$148*(1+($U$148)/100)^MAX(0,$C153-$AB$148),0)))))</f>
      </c>
      <c r="O153" s="43">
        <f>IF($S$148=0,0,IF(OR(DATE($C153,11,15)&lt;$S$148,AND($T$148&gt;0,DATE($C153,11,15)&gt;$T$148)),0,IF(DATE($C153,11,15)&gt;=$X$148,$AA$148*(1+($U$148)/100)^MAX(0,$C153-$AD$148),IF(DATE($C153,11,15)&gt;=$W$148,$Z$148*(1+($U$148)/100)^MAX(0,$C153-$AC$148),IF(DATE($C153,11,15)&gt;=$V$148,$Y$148*(1+($U$148)/100)^MAX(0,$C153-$AB$148),0)))))</f>
      </c>
      <c r="P153" s="43">
        <f>IF($S$148=0,0,IF(OR(DATE($C153,12,15)&lt;$S$148,AND($T$148&gt;0,DATE($C153,12,15)&gt;$T$148)),0,IF(DATE($C153,12,15)&gt;=$X$148,$AA$148*(1+($U$148)/100)^MAX(0,$C153-$AD$148),IF(DATE($C153,12,15)&gt;=$W$148,$Z$148*(1+($U$148)/100)^MAX(0,$C153-$AC$148),IF(DATE($C153,12,15)&gt;=$V$148,$Y$148*(1+($U$148)/100)^MAX(0,$C153-$AB$148),0)))))</f>
      </c>
      <c r="Q153" s="43">
        <f>SUM($E153:$P153)</f>
      </c>
    </row>
    <row r="154">
      <c r="A154"/>
      <c r="B154">
        <v>5</v>
      </c>
      <c r="C154" s="43">
        <f>Jahr+6</f>
      </c>
      <c r="D154" s="43">
        <f>INDEX(MvObj,5)</f>
      </c>
      <c r="E154" s="43">
        <f>IF($S$148=0,0,IF(OR(DATE($C154,1,15)&lt;$S$148,AND($T$148&gt;0,DATE($C154,1,15)&gt;$T$148)),0,IF(DATE($C154,1,15)&gt;=$X$148,$AA$148*(1+($U$148)/100)^MAX(0,$C154-$AD$148),IF(DATE($C154,1,15)&gt;=$W$148,$Z$148*(1+($U$148)/100)^MAX(0,$C154-$AC$148),IF(DATE($C154,1,15)&gt;=$V$148,$Y$148*(1+($U$148)/100)^MAX(0,$C154-$AB$148),0)))))</f>
      </c>
      <c r="F154" s="43">
        <f>IF($S$148=0,0,IF(OR(DATE($C154,2,15)&lt;$S$148,AND($T$148&gt;0,DATE($C154,2,15)&gt;$T$148)),0,IF(DATE($C154,2,15)&gt;=$X$148,$AA$148*(1+($U$148)/100)^MAX(0,$C154-$AD$148),IF(DATE($C154,2,15)&gt;=$W$148,$Z$148*(1+($U$148)/100)^MAX(0,$C154-$AC$148),IF(DATE($C154,2,15)&gt;=$V$148,$Y$148*(1+($U$148)/100)^MAX(0,$C154-$AB$148),0)))))</f>
      </c>
      <c r="G154" s="43">
        <f>IF($S$148=0,0,IF(OR(DATE($C154,3,15)&lt;$S$148,AND($T$148&gt;0,DATE($C154,3,15)&gt;$T$148)),0,IF(DATE($C154,3,15)&gt;=$X$148,$AA$148*(1+($U$148)/100)^MAX(0,$C154-$AD$148),IF(DATE($C154,3,15)&gt;=$W$148,$Z$148*(1+($U$148)/100)^MAX(0,$C154-$AC$148),IF(DATE($C154,3,15)&gt;=$V$148,$Y$148*(1+($U$148)/100)^MAX(0,$C154-$AB$148),0)))))</f>
      </c>
      <c r="H154" s="43">
        <f>IF($S$148=0,0,IF(OR(DATE($C154,4,15)&lt;$S$148,AND($T$148&gt;0,DATE($C154,4,15)&gt;$T$148)),0,IF(DATE($C154,4,15)&gt;=$X$148,$AA$148*(1+($U$148)/100)^MAX(0,$C154-$AD$148),IF(DATE($C154,4,15)&gt;=$W$148,$Z$148*(1+($U$148)/100)^MAX(0,$C154-$AC$148),IF(DATE($C154,4,15)&gt;=$V$148,$Y$148*(1+($U$148)/100)^MAX(0,$C154-$AB$148),0)))))</f>
      </c>
      <c r="I154" s="43">
        <f>IF($S$148=0,0,IF(OR(DATE($C154,5,15)&lt;$S$148,AND($T$148&gt;0,DATE($C154,5,15)&gt;$T$148)),0,IF(DATE($C154,5,15)&gt;=$X$148,$AA$148*(1+($U$148)/100)^MAX(0,$C154-$AD$148),IF(DATE($C154,5,15)&gt;=$W$148,$Z$148*(1+($U$148)/100)^MAX(0,$C154-$AC$148),IF(DATE($C154,5,15)&gt;=$V$148,$Y$148*(1+($U$148)/100)^MAX(0,$C154-$AB$148),0)))))</f>
      </c>
      <c r="J154" s="43">
        <f>IF($S$148=0,0,IF(OR(DATE($C154,6,15)&lt;$S$148,AND($T$148&gt;0,DATE($C154,6,15)&gt;$T$148)),0,IF(DATE($C154,6,15)&gt;=$X$148,$AA$148*(1+($U$148)/100)^MAX(0,$C154-$AD$148),IF(DATE($C154,6,15)&gt;=$W$148,$Z$148*(1+($U$148)/100)^MAX(0,$C154-$AC$148),IF(DATE($C154,6,15)&gt;=$V$148,$Y$148*(1+($U$148)/100)^MAX(0,$C154-$AB$148),0)))))</f>
      </c>
      <c r="K154" s="43">
        <f>IF($S$148=0,0,IF(OR(DATE($C154,7,15)&lt;$S$148,AND($T$148&gt;0,DATE($C154,7,15)&gt;$T$148)),0,IF(DATE($C154,7,15)&gt;=$X$148,$AA$148*(1+($U$148)/100)^MAX(0,$C154-$AD$148),IF(DATE($C154,7,15)&gt;=$W$148,$Z$148*(1+($U$148)/100)^MAX(0,$C154-$AC$148),IF(DATE($C154,7,15)&gt;=$V$148,$Y$148*(1+($U$148)/100)^MAX(0,$C154-$AB$148),0)))))</f>
      </c>
      <c r="L154" s="43">
        <f>IF($S$148=0,0,IF(OR(DATE($C154,8,15)&lt;$S$148,AND($T$148&gt;0,DATE($C154,8,15)&gt;$T$148)),0,IF(DATE($C154,8,15)&gt;=$X$148,$AA$148*(1+($U$148)/100)^MAX(0,$C154-$AD$148),IF(DATE($C154,8,15)&gt;=$W$148,$Z$148*(1+($U$148)/100)^MAX(0,$C154-$AC$148),IF(DATE($C154,8,15)&gt;=$V$148,$Y$148*(1+($U$148)/100)^MAX(0,$C154-$AB$148),0)))))</f>
      </c>
      <c r="M154" s="43">
        <f>IF($S$148=0,0,IF(OR(DATE($C154,9,15)&lt;$S$148,AND($T$148&gt;0,DATE($C154,9,15)&gt;$T$148)),0,IF(DATE($C154,9,15)&gt;=$X$148,$AA$148*(1+($U$148)/100)^MAX(0,$C154-$AD$148),IF(DATE($C154,9,15)&gt;=$W$148,$Z$148*(1+($U$148)/100)^MAX(0,$C154-$AC$148),IF(DATE($C154,9,15)&gt;=$V$148,$Y$148*(1+($U$148)/100)^MAX(0,$C154-$AB$148),0)))))</f>
      </c>
      <c r="N154" s="43">
        <f>IF($S$148=0,0,IF(OR(DATE($C154,10,15)&lt;$S$148,AND($T$148&gt;0,DATE($C154,10,15)&gt;$T$148)),0,IF(DATE($C154,10,15)&gt;=$X$148,$AA$148*(1+($U$148)/100)^MAX(0,$C154-$AD$148),IF(DATE($C154,10,15)&gt;=$W$148,$Z$148*(1+($U$148)/100)^MAX(0,$C154-$AC$148),IF(DATE($C154,10,15)&gt;=$V$148,$Y$148*(1+($U$148)/100)^MAX(0,$C154-$AB$148),0)))))</f>
      </c>
      <c r="O154" s="43">
        <f>IF($S$148=0,0,IF(OR(DATE($C154,11,15)&lt;$S$148,AND($T$148&gt;0,DATE($C154,11,15)&gt;$T$148)),0,IF(DATE($C154,11,15)&gt;=$X$148,$AA$148*(1+($U$148)/100)^MAX(0,$C154-$AD$148),IF(DATE($C154,11,15)&gt;=$W$148,$Z$148*(1+($U$148)/100)^MAX(0,$C154-$AC$148),IF(DATE($C154,11,15)&gt;=$V$148,$Y$148*(1+($U$148)/100)^MAX(0,$C154-$AB$148),0)))))</f>
      </c>
      <c r="P154" s="43">
        <f>IF($S$148=0,0,IF(OR(DATE($C154,12,15)&lt;$S$148,AND($T$148&gt;0,DATE($C154,12,15)&gt;$T$148)),0,IF(DATE($C154,12,15)&gt;=$X$148,$AA$148*(1+($U$148)/100)^MAX(0,$C154-$AD$148),IF(DATE($C154,12,15)&gt;=$W$148,$Z$148*(1+($U$148)/100)^MAX(0,$C154-$AC$148),IF(DATE($C154,12,15)&gt;=$V$148,$Y$148*(1+($U$148)/100)^MAX(0,$C154-$AB$148),0)))))</f>
      </c>
      <c r="Q154" s="43">
        <f>SUM($E154:$P154)</f>
      </c>
    </row>
    <row r="155">
      <c r="A155"/>
      <c r="B155">
        <v>5</v>
      </c>
      <c r="C155" s="43">
        <f>Jahr+7</f>
      </c>
      <c r="D155" s="43">
        <f>INDEX(MvObj,5)</f>
      </c>
      <c r="E155" s="43">
        <f>IF($S$148=0,0,IF(OR(DATE($C155,1,15)&lt;$S$148,AND($T$148&gt;0,DATE($C155,1,15)&gt;$T$148)),0,IF(DATE($C155,1,15)&gt;=$X$148,$AA$148*(1+($U$148)/100)^MAX(0,$C155-$AD$148),IF(DATE($C155,1,15)&gt;=$W$148,$Z$148*(1+($U$148)/100)^MAX(0,$C155-$AC$148),IF(DATE($C155,1,15)&gt;=$V$148,$Y$148*(1+($U$148)/100)^MAX(0,$C155-$AB$148),0)))))</f>
      </c>
      <c r="F155" s="43">
        <f>IF($S$148=0,0,IF(OR(DATE($C155,2,15)&lt;$S$148,AND($T$148&gt;0,DATE($C155,2,15)&gt;$T$148)),0,IF(DATE($C155,2,15)&gt;=$X$148,$AA$148*(1+($U$148)/100)^MAX(0,$C155-$AD$148),IF(DATE($C155,2,15)&gt;=$W$148,$Z$148*(1+($U$148)/100)^MAX(0,$C155-$AC$148),IF(DATE($C155,2,15)&gt;=$V$148,$Y$148*(1+($U$148)/100)^MAX(0,$C155-$AB$148),0)))))</f>
      </c>
      <c r="G155" s="43">
        <f>IF($S$148=0,0,IF(OR(DATE($C155,3,15)&lt;$S$148,AND($T$148&gt;0,DATE($C155,3,15)&gt;$T$148)),0,IF(DATE($C155,3,15)&gt;=$X$148,$AA$148*(1+($U$148)/100)^MAX(0,$C155-$AD$148),IF(DATE($C155,3,15)&gt;=$W$148,$Z$148*(1+($U$148)/100)^MAX(0,$C155-$AC$148),IF(DATE($C155,3,15)&gt;=$V$148,$Y$148*(1+($U$148)/100)^MAX(0,$C155-$AB$148),0)))))</f>
      </c>
      <c r="H155" s="43">
        <f>IF($S$148=0,0,IF(OR(DATE($C155,4,15)&lt;$S$148,AND($T$148&gt;0,DATE($C155,4,15)&gt;$T$148)),0,IF(DATE($C155,4,15)&gt;=$X$148,$AA$148*(1+($U$148)/100)^MAX(0,$C155-$AD$148),IF(DATE($C155,4,15)&gt;=$W$148,$Z$148*(1+($U$148)/100)^MAX(0,$C155-$AC$148),IF(DATE($C155,4,15)&gt;=$V$148,$Y$148*(1+($U$148)/100)^MAX(0,$C155-$AB$148),0)))))</f>
      </c>
      <c r="I155" s="43">
        <f>IF($S$148=0,0,IF(OR(DATE($C155,5,15)&lt;$S$148,AND($T$148&gt;0,DATE($C155,5,15)&gt;$T$148)),0,IF(DATE($C155,5,15)&gt;=$X$148,$AA$148*(1+($U$148)/100)^MAX(0,$C155-$AD$148),IF(DATE($C155,5,15)&gt;=$W$148,$Z$148*(1+($U$148)/100)^MAX(0,$C155-$AC$148),IF(DATE($C155,5,15)&gt;=$V$148,$Y$148*(1+($U$148)/100)^MAX(0,$C155-$AB$148),0)))))</f>
      </c>
      <c r="J155" s="43">
        <f>IF($S$148=0,0,IF(OR(DATE($C155,6,15)&lt;$S$148,AND($T$148&gt;0,DATE($C155,6,15)&gt;$T$148)),0,IF(DATE($C155,6,15)&gt;=$X$148,$AA$148*(1+($U$148)/100)^MAX(0,$C155-$AD$148),IF(DATE($C155,6,15)&gt;=$W$148,$Z$148*(1+($U$148)/100)^MAX(0,$C155-$AC$148),IF(DATE($C155,6,15)&gt;=$V$148,$Y$148*(1+($U$148)/100)^MAX(0,$C155-$AB$148),0)))))</f>
      </c>
      <c r="K155" s="43">
        <f>IF($S$148=0,0,IF(OR(DATE($C155,7,15)&lt;$S$148,AND($T$148&gt;0,DATE($C155,7,15)&gt;$T$148)),0,IF(DATE($C155,7,15)&gt;=$X$148,$AA$148*(1+($U$148)/100)^MAX(0,$C155-$AD$148),IF(DATE($C155,7,15)&gt;=$W$148,$Z$148*(1+($U$148)/100)^MAX(0,$C155-$AC$148),IF(DATE($C155,7,15)&gt;=$V$148,$Y$148*(1+($U$148)/100)^MAX(0,$C155-$AB$148),0)))))</f>
      </c>
      <c r="L155" s="43">
        <f>IF($S$148=0,0,IF(OR(DATE($C155,8,15)&lt;$S$148,AND($T$148&gt;0,DATE($C155,8,15)&gt;$T$148)),0,IF(DATE($C155,8,15)&gt;=$X$148,$AA$148*(1+($U$148)/100)^MAX(0,$C155-$AD$148),IF(DATE($C155,8,15)&gt;=$W$148,$Z$148*(1+($U$148)/100)^MAX(0,$C155-$AC$148),IF(DATE($C155,8,15)&gt;=$V$148,$Y$148*(1+($U$148)/100)^MAX(0,$C155-$AB$148),0)))))</f>
      </c>
      <c r="M155" s="43">
        <f>IF($S$148=0,0,IF(OR(DATE($C155,9,15)&lt;$S$148,AND($T$148&gt;0,DATE($C155,9,15)&gt;$T$148)),0,IF(DATE($C155,9,15)&gt;=$X$148,$AA$148*(1+($U$148)/100)^MAX(0,$C155-$AD$148),IF(DATE($C155,9,15)&gt;=$W$148,$Z$148*(1+($U$148)/100)^MAX(0,$C155-$AC$148),IF(DATE($C155,9,15)&gt;=$V$148,$Y$148*(1+($U$148)/100)^MAX(0,$C155-$AB$148),0)))))</f>
      </c>
      <c r="N155" s="43">
        <f>IF($S$148=0,0,IF(OR(DATE($C155,10,15)&lt;$S$148,AND($T$148&gt;0,DATE($C155,10,15)&gt;$T$148)),0,IF(DATE($C155,10,15)&gt;=$X$148,$AA$148*(1+($U$148)/100)^MAX(0,$C155-$AD$148),IF(DATE($C155,10,15)&gt;=$W$148,$Z$148*(1+($U$148)/100)^MAX(0,$C155-$AC$148),IF(DATE($C155,10,15)&gt;=$V$148,$Y$148*(1+($U$148)/100)^MAX(0,$C155-$AB$148),0)))))</f>
      </c>
      <c r="O155" s="43">
        <f>IF($S$148=0,0,IF(OR(DATE($C155,11,15)&lt;$S$148,AND($T$148&gt;0,DATE($C155,11,15)&gt;$T$148)),0,IF(DATE($C155,11,15)&gt;=$X$148,$AA$148*(1+($U$148)/100)^MAX(0,$C155-$AD$148),IF(DATE($C155,11,15)&gt;=$W$148,$Z$148*(1+($U$148)/100)^MAX(0,$C155-$AC$148),IF(DATE($C155,11,15)&gt;=$V$148,$Y$148*(1+($U$148)/100)^MAX(0,$C155-$AB$148),0)))))</f>
      </c>
      <c r="P155" s="43">
        <f>IF($S$148=0,0,IF(OR(DATE($C155,12,15)&lt;$S$148,AND($T$148&gt;0,DATE($C155,12,15)&gt;$T$148)),0,IF(DATE($C155,12,15)&gt;=$X$148,$AA$148*(1+($U$148)/100)^MAX(0,$C155-$AD$148),IF(DATE($C155,12,15)&gt;=$W$148,$Z$148*(1+($U$148)/100)^MAX(0,$C155-$AC$148),IF(DATE($C155,12,15)&gt;=$V$148,$Y$148*(1+($U$148)/100)^MAX(0,$C155-$AB$148),0)))))</f>
      </c>
      <c r="Q155" s="43">
        <f>SUM($E155:$P155)</f>
      </c>
    </row>
    <row r="156">
      <c r="A156"/>
      <c r="B156">
        <v>5</v>
      </c>
      <c r="C156" s="43">
        <f>Jahr+8</f>
      </c>
      <c r="D156" s="43">
        <f>INDEX(MvObj,5)</f>
      </c>
      <c r="E156" s="43">
        <f>IF($S$148=0,0,IF(OR(DATE($C156,1,15)&lt;$S$148,AND($T$148&gt;0,DATE($C156,1,15)&gt;$T$148)),0,IF(DATE($C156,1,15)&gt;=$X$148,$AA$148*(1+($U$148)/100)^MAX(0,$C156-$AD$148),IF(DATE($C156,1,15)&gt;=$W$148,$Z$148*(1+($U$148)/100)^MAX(0,$C156-$AC$148),IF(DATE($C156,1,15)&gt;=$V$148,$Y$148*(1+($U$148)/100)^MAX(0,$C156-$AB$148),0)))))</f>
      </c>
      <c r="F156" s="43">
        <f>IF($S$148=0,0,IF(OR(DATE($C156,2,15)&lt;$S$148,AND($T$148&gt;0,DATE($C156,2,15)&gt;$T$148)),0,IF(DATE($C156,2,15)&gt;=$X$148,$AA$148*(1+($U$148)/100)^MAX(0,$C156-$AD$148),IF(DATE($C156,2,15)&gt;=$W$148,$Z$148*(1+($U$148)/100)^MAX(0,$C156-$AC$148),IF(DATE($C156,2,15)&gt;=$V$148,$Y$148*(1+($U$148)/100)^MAX(0,$C156-$AB$148),0)))))</f>
      </c>
      <c r="G156" s="43">
        <f>IF($S$148=0,0,IF(OR(DATE($C156,3,15)&lt;$S$148,AND($T$148&gt;0,DATE($C156,3,15)&gt;$T$148)),0,IF(DATE($C156,3,15)&gt;=$X$148,$AA$148*(1+($U$148)/100)^MAX(0,$C156-$AD$148),IF(DATE($C156,3,15)&gt;=$W$148,$Z$148*(1+($U$148)/100)^MAX(0,$C156-$AC$148),IF(DATE($C156,3,15)&gt;=$V$148,$Y$148*(1+($U$148)/100)^MAX(0,$C156-$AB$148),0)))))</f>
      </c>
      <c r="H156" s="43">
        <f>IF($S$148=0,0,IF(OR(DATE($C156,4,15)&lt;$S$148,AND($T$148&gt;0,DATE($C156,4,15)&gt;$T$148)),0,IF(DATE($C156,4,15)&gt;=$X$148,$AA$148*(1+($U$148)/100)^MAX(0,$C156-$AD$148),IF(DATE($C156,4,15)&gt;=$W$148,$Z$148*(1+($U$148)/100)^MAX(0,$C156-$AC$148),IF(DATE($C156,4,15)&gt;=$V$148,$Y$148*(1+($U$148)/100)^MAX(0,$C156-$AB$148),0)))))</f>
      </c>
      <c r="I156" s="43">
        <f>IF($S$148=0,0,IF(OR(DATE($C156,5,15)&lt;$S$148,AND($T$148&gt;0,DATE($C156,5,15)&gt;$T$148)),0,IF(DATE($C156,5,15)&gt;=$X$148,$AA$148*(1+($U$148)/100)^MAX(0,$C156-$AD$148),IF(DATE($C156,5,15)&gt;=$W$148,$Z$148*(1+($U$148)/100)^MAX(0,$C156-$AC$148),IF(DATE($C156,5,15)&gt;=$V$148,$Y$148*(1+($U$148)/100)^MAX(0,$C156-$AB$148),0)))))</f>
      </c>
      <c r="J156" s="43">
        <f>IF($S$148=0,0,IF(OR(DATE($C156,6,15)&lt;$S$148,AND($T$148&gt;0,DATE($C156,6,15)&gt;$T$148)),0,IF(DATE($C156,6,15)&gt;=$X$148,$AA$148*(1+($U$148)/100)^MAX(0,$C156-$AD$148),IF(DATE($C156,6,15)&gt;=$W$148,$Z$148*(1+($U$148)/100)^MAX(0,$C156-$AC$148),IF(DATE($C156,6,15)&gt;=$V$148,$Y$148*(1+($U$148)/100)^MAX(0,$C156-$AB$148),0)))))</f>
      </c>
      <c r="K156" s="43">
        <f>IF($S$148=0,0,IF(OR(DATE($C156,7,15)&lt;$S$148,AND($T$148&gt;0,DATE($C156,7,15)&gt;$T$148)),0,IF(DATE($C156,7,15)&gt;=$X$148,$AA$148*(1+($U$148)/100)^MAX(0,$C156-$AD$148),IF(DATE($C156,7,15)&gt;=$W$148,$Z$148*(1+($U$148)/100)^MAX(0,$C156-$AC$148),IF(DATE($C156,7,15)&gt;=$V$148,$Y$148*(1+($U$148)/100)^MAX(0,$C156-$AB$148),0)))))</f>
      </c>
      <c r="L156" s="43">
        <f>IF($S$148=0,0,IF(OR(DATE($C156,8,15)&lt;$S$148,AND($T$148&gt;0,DATE($C156,8,15)&gt;$T$148)),0,IF(DATE($C156,8,15)&gt;=$X$148,$AA$148*(1+($U$148)/100)^MAX(0,$C156-$AD$148),IF(DATE($C156,8,15)&gt;=$W$148,$Z$148*(1+($U$148)/100)^MAX(0,$C156-$AC$148),IF(DATE($C156,8,15)&gt;=$V$148,$Y$148*(1+($U$148)/100)^MAX(0,$C156-$AB$148),0)))))</f>
      </c>
      <c r="M156" s="43">
        <f>IF($S$148=0,0,IF(OR(DATE($C156,9,15)&lt;$S$148,AND($T$148&gt;0,DATE($C156,9,15)&gt;$T$148)),0,IF(DATE($C156,9,15)&gt;=$X$148,$AA$148*(1+($U$148)/100)^MAX(0,$C156-$AD$148),IF(DATE($C156,9,15)&gt;=$W$148,$Z$148*(1+($U$148)/100)^MAX(0,$C156-$AC$148),IF(DATE($C156,9,15)&gt;=$V$148,$Y$148*(1+($U$148)/100)^MAX(0,$C156-$AB$148),0)))))</f>
      </c>
      <c r="N156" s="43">
        <f>IF($S$148=0,0,IF(OR(DATE($C156,10,15)&lt;$S$148,AND($T$148&gt;0,DATE($C156,10,15)&gt;$T$148)),0,IF(DATE($C156,10,15)&gt;=$X$148,$AA$148*(1+($U$148)/100)^MAX(0,$C156-$AD$148),IF(DATE($C156,10,15)&gt;=$W$148,$Z$148*(1+($U$148)/100)^MAX(0,$C156-$AC$148),IF(DATE($C156,10,15)&gt;=$V$148,$Y$148*(1+($U$148)/100)^MAX(0,$C156-$AB$148),0)))))</f>
      </c>
      <c r="O156" s="43">
        <f>IF($S$148=0,0,IF(OR(DATE($C156,11,15)&lt;$S$148,AND($T$148&gt;0,DATE($C156,11,15)&gt;$T$148)),0,IF(DATE($C156,11,15)&gt;=$X$148,$AA$148*(1+($U$148)/100)^MAX(0,$C156-$AD$148),IF(DATE($C156,11,15)&gt;=$W$148,$Z$148*(1+($U$148)/100)^MAX(0,$C156-$AC$148),IF(DATE($C156,11,15)&gt;=$V$148,$Y$148*(1+($U$148)/100)^MAX(0,$C156-$AB$148),0)))))</f>
      </c>
      <c r="P156" s="43">
        <f>IF($S$148=0,0,IF(OR(DATE($C156,12,15)&lt;$S$148,AND($T$148&gt;0,DATE($C156,12,15)&gt;$T$148)),0,IF(DATE($C156,12,15)&gt;=$X$148,$AA$148*(1+($U$148)/100)^MAX(0,$C156-$AD$148),IF(DATE($C156,12,15)&gt;=$W$148,$Z$148*(1+($U$148)/100)^MAX(0,$C156-$AC$148),IF(DATE($C156,12,15)&gt;=$V$148,$Y$148*(1+($U$148)/100)^MAX(0,$C156-$AB$148),0)))))</f>
      </c>
      <c r="Q156" s="43">
        <f>SUM($E156:$P156)</f>
      </c>
    </row>
    <row r="157">
      <c r="A157"/>
      <c r="B157">
        <v>5</v>
      </c>
      <c r="C157" s="43">
        <f>Jahr+9</f>
      </c>
      <c r="D157" s="43">
        <f>INDEX(MvObj,5)</f>
      </c>
      <c r="E157" s="43">
        <f>IF($S$148=0,0,IF(OR(DATE($C157,1,15)&lt;$S$148,AND($T$148&gt;0,DATE($C157,1,15)&gt;$T$148)),0,IF(DATE($C157,1,15)&gt;=$X$148,$AA$148*(1+($U$148)/100)^MAX(0,$C157-$AD$148),IF(DATE($C157,1,15)&gt;=$W$148,$Z$148*(1+($U$148)/100)^MAX(0,$C157-$AC$148),IF(DATE($C157,1,15)&gt;=$V$148,$Y$148*(1+($U$148)/100)^MAX(0,$C157-$AB$148),0)))))</f>
      </c>
      <c r="F157" s="43">
        <f>IF($S$148=0,0,IF(OR(DATE($C157,2,15)&lt;$S$148,AND($T$148&gt;0,DATE($C157,2,15)&gt;$T$148)),0,IF(DATE($C157,2,15)&gt;=$X$148,$AA$148*(1+($U$148)/100)^MAX(0,$C157-$AD$148),IF(DATE($C157,2,15)&gt;=$W$148,$Z$148*(1+($U$148)/100)^MAX(0,$C157-$AC$148),IF(DATE($C157,2,15)&gt;=$V$148,$Y$148*(1+($U$148)/100)^MAX(0,$C157-$AB$148),0)))))</f>
      </c>
      <c r="G157" s="43">
        <f>IF($S$148=0,0,IF(OR(DATE($C157,3,15)&lt;$S$148,AND($T$148&gt;0,DATE($C157,3,15)&gt;$T$148)),0,IF(DATE($C157,3,15)&gt;=$X$148,$AA$148*(1+($U$148)/100)^MAX(0,$C157-$AD$148),IF(DATE($C157,3,15)&gt;=$W$148,$Z$148*(1+($U$148)/100)^MAX(0,$C157-$AC$148),IF(DATE($C157,3,15)&gt;=$V$148,$Y$148*(1+($U$148)/100)^MAX(0,$C157-$AB$148),0)))))</f>
      </c>
      <c r="H157" s="43">
        <f>IF($S$148=0,0,IF(OR(DATE($C157,4,15)&lt;$S$148,AND($T$148&gt;0,DATE($C157,4,15)&gt;$T$148)),0,IF(DATE($C157,4,15)&gt;=$X$148,$AA$148*(1+($U$148)/100)^MAX(0,$C157-$AD$148),IF(DATE($C157,4,15)&gt;=$W$148,$Z$148*(1+($U$148)/100)^MAX(0,$C157-$AC$148),IF(DATE($C157,4,15)&gt;=$V$148,$Y$148*(1+($U$148)/100)^MAX(0,$C157-$AB$148),0)))))</f>
      </c>
      <c r="I157" s="43">
        <f>IF($S$148=0,0,IF(OR(DATE($C157,5,15)&lt;$S$148,AND($T$148&gt;0,DATE($C157,5,15)&gt;$T$148)),0,IF(DATE($C157,5,15)&gt;=$X$148,$AA$148*(1+($U$148)/100)^MAX(0,$C157-$AD$148),IF(DATE($C157,5,15)&gt;=$W$148,$Z$148*(1+($U$148)/100)^MAX(0,$C157-$AC$148),IF(DATE($C157,5,15)&gt;=$V$148,$Y$148*(1+($U$148)/100)^MAX(0,$C157-$AB$148),0)))))</f>
      </c>
      <c r="J157" s="43">
        <f>IF($S$148=0,0,IF(OR(DATE($C157,6,15)&lt;$S$148,AND($T$148&gt;0,DATE($C157,6,15)&gt;$T$148)),0,IF(DATE($C157,6,15)&gt;=$X$148,$AA$148*(1+($U$148)/100)^MAX(0,$C157-$AD$148),IF(DATE($C157,6,15)&gt;=$W$148,$Z$148*(1+($U$148)/100)^MAX(0,$C157-$AC$148),IF(DATE($C157,6,15)&gt;=$V$148,$Y$148*(1+($U$148)/100)^MAX(0,$C157-$AB$148),0)))))</f>
      </c>
      <c r="K157" s="43">
        <f>IF($S$148=0,0,IF(OR(DATE($C157,7,15)&lt;$S$148,AND($T$148&gt;0,DATE($C157,7,15)&gt;$T$148)),0,IF(DATE($C157,7,15)&gt;=$X$148,$AA$148*(1+($U$148)/100)^MAX(0,$C157-$AD$148),IF(DATE($C157,7,15)&gt;=$W$148,$Z$148*(1+($U$148)/100)^MAX(0,$C157-$AC$148),IF(DATE($C157,7,15)&gt;=$V$148,$Y$148*(1+($U$148)/100)^MAX(0,$C157-$AB$148),0)))))</f>
      </c>
      <c r="L157" s="43">
        <f>IF($S$148=0,0,IF(OR(DATE($C157,8,15)&lt;$S$148,AND($T$148&gt;0,DATE($C157,8,15)&gt;$T$148)),0,IF(DATE($C157,8,15)&gt;=$X$148,$AA$148*(1+($U$148)/100)^MAX(0,$C157-$AD$148),IF(DATE($C157,8,15)&gt;=$W$148,$Z$148*(1+($U$148)/100)^MAX(0,$C157-$AC$148),IF(DATE($C157,8,15)&gt;=$V$148,$Y$148*(1+($U$148)/100)^MAX(0,$C157-$AB$148),0)))))</f>
      </c>
      <c r="M157" s="43">
        <f>IF($S$148=0,0,IF(OR(DATE($C157,9,15)&lt;$S$148,AND($T$148&gt;0,DATE($C157,9,15)&gt;$T$148)),0,IF(DATE($C157,9,15)&gt;=$X$148,$AA$148*(1+($U$148)/100)^MAX(0,$C157-$AD$148),IF(DATE($C157,9,15)&gt;=$W$148,$Z$148*(1+($U$148)/100)^MAX(0,$C157-$AC$148),IF(DATE($C157,9,15)&gt;=$V$148,$Y$148*(1+($U$148)/100)^MAX(0,$C157-$AB$148),0)))))</f>
      </c>
      <c r="N157" s="43">
        <f>IF($S$148=0,0,IF(OR(DATE($C157,10,15)&lt;$S$148,AND($T$148&gt;0,DATE($C157,10,15)&gt;$T$148)),0,IF(DATE($C157,10,15)&gt;=$X$148,$AA$148*(1+($U$148)/100)^MAX(0,$C157-$AD$148),IF(DATE($C157,10,15)&gt;=$W$148,$Z$148*(1+($U$148)/100)^MAX(0,$C157-$AC$148),IF(DATE($C157,10,15)&gt;=$V$148,$Y$148*(1+($U$148)/100)^MAX(0,$C157-$AB$148),0)))))</f>
      </c>
      <c r="O157" s="43">
        <f>IF($S$148=0,0,IF(OR(DATE($C157,11,15)&lt;$S$148,AND($T$148&gt;0,DATE($C157,11,15)&gt;$T$148)),0,IF(DATE($C157,11,15)&gt;=$X$148,$AA$148*(1+($U$148)/100)^MAX(0,$C157-$AD$148),IF(DATE($C157,11,15)&gt;=$W$148,$Z$148*(1+($U$148)/100)^MAX(0,$C157-$AC$148),IF(DATE($C157,11,15)&gt;=$V$148,$Y$148*(1+($U$148)/100)^MAX(0,$C157-$AB$148),0)))))</f>
      </c>
      <c r="P157" s="43">
        <f>IF($S$148=0,0,IF(OR(DATE($C157,12,15)&lt;$S$148,AND($T$148&gt;0,DATE($C157,12,15)&gt;$T$148)),0,IF(DATE($C157,12,15)&gt;=$X$148,$AA$148*(1+($U$148)/100)^MAX(0,$C157-$AD$148),IF(DATE($C157,12,15)&gt;=$W$148,$Z$148*(1+($U$148)/100)^MAX(0,$C157-$AC$148),IF(DATE($C157,12,15)&gt;=$V$148,$Y$148*(1+($U$148)/100)^MAX(0,$C157-$AB$148),0)))))</f>
      </c>
      <c r="Q157" s="43">
        <f>SUM($E157:$P157)</f>
      </c>
    </row>
    <row r="158">
      <c r="A158"/>
      <c r="B158">
        <v>5</v>
      </c>
      <c r="C158" s="43">
        <f>Jahr+10</f>
      </c>
      <c r="D158" s="43">
        <f>INDEX(MvObj,5)</f>
      </c>
      <c r="E158" s="43">
        <f>IF($S$148=0,0,IF(OR(DATE($C158,1,15)&lt;$S$148,AND($T$148&gt;0,DATE($C158,1,15)&gt;$T$148)),0,IF(DATE($C158,1,15)&gt;=$X$148,$AA$148*(1+($U$148)/100)^MAX(0,$C158-$AD$148),IF(DATE($C158,1,15)&gt;=$W$148,$Z$148*(1+($U$148)/100)^MAX(0,$C158-$AC$148),IF(DATE($C158,1,15)&gt;=$V$148,$Y$148*(1+($U$148)/100)^MAX(0,$C158-$AB$148),0)))))</f>
      </c>
      <c r="F158" s="43">
        <f>IF($S$148=0,0,IF(OR(DATE($C158,2,15)&lt;$S$148,AND($T$148&gt;0,DATE($C158,2,15)&gt;$T$148)),0,IF(DATE($C158,2,15)&gt;=$X$148,$AA$148*(1+($U$148)/100)^MAX(0,$C158-$AD$148),IF(DATE($C158,2,15)&gt;=$W$148,$Z$148*(1+($U$148)/100)^MAX(0,$C158-$AC$148),IF(DATE($C158,2,15)&gt;=$V$148,$Y$148*(1+($U$148)/100)^MAX(0,$C158-$AB$148),0)))))</f>
      </c>
      <c r="G158" s="43">
        <f>IF($S$148=0,0,IF(OR(DATE($C158,3,15)&lt;$S$148,AND($T$148&gt;0,DATE($C158,3,15)&gt;$T$148)),0,IF(DATE($C158,3,15)&gt;=$X$148,$AA$148*(1+($U$148)/100)^MAX(0,$C158-$AD$148),IF(DATE($C158,3,15)&gt;=$W$148,$Z$148*(1+($U$148)/100)^MAX(0,$C158-$AC$148),IF(DATE($C158,3,15)&gt;=$V$148,$Y$148*(1+($U$148)/100)^MAX(0,$C158-$AB$148),0)))))</f>
      </c>
      <c r="H158" s="43">
        <f>IF($S$148=0,0,IF(OR(DATE($C158,4,15)&lt;$S$148,AND($T$148&gt;0,DATE($C158,4,15)&gt;$T$148)),0,IF(DATE($C158,4,15)&gt;=$X$148,$AA$148*(1+($U$148)/100)^MAX(0,$C158-$AD$148),IF(DATE($C158,4,15)&gt;=$W$148,$Z$148*(1+($U$148)/100)^MAX(0,$C158-$AC$148),IF(DATE($C158,4,15)&gt;=$V$148,$Y$148*(1+($U$148)/100)^MAX(0,$C158-$AB$148),0)))))</f>
      </c>
      <c r="I158" s="43">
        <f>IF($S$148=0,0,IF(OR(DATE($C158,5,15)&lt;$S$148,AND($T$148&gt;0,DATE($C158,5,15)&gt;$T$148)),0,IF(DATE($C158,5,15)&gt;=$X$148,$AA$148*(1+($U$148)/100)^MAX(0,$C158-$AD$148),IF(DATE($C158,5,15)&gt;=$W$148,$Z$148*(1+($U$148)/100)^MAX(0,$C158-$AC$148),IF(DATE($C158,5,15)&gt;=$V$148,$Y$148*(1+($U$148)/100)^MAX(0,$C158-$AB$148),0)))))</f>
      </c>
      <c r="J158" s="43">
        <f>IF($S$148=0,0,IF(OR(DATE($C158,6,15)&lt;$S$148,AND($T$148&gt;0,DATE($C158,6,15)&gt;$T$148)),0,IF(DATE($C158,6,15)&gt;=$X$148,$AA$148*(1+($U$148)/100)^MAX(0,$C158-$AD$148),IF(DATE($C158,6,15)&gt;=$W$148,$Z$148*(1+($U$148)/100)^MAX(0,$C158-$AC$148),IF(DATE($C158,6,15)&gt;=$V$148,$Y$148*(1+($U$148)/100)^MAX(0,$C158-$AB$148),0)))))</f>
      </c>
      <c r="K158" s="43">
        <f>IF($S$148=0,0,IF(OR(DATE($C158,7,15)&lt;$S$148,AND($T$148&gt;0,DATE($C158,7,15)&gt;$T$148)),0,IF(DATE($C158,7,15)&gt;=$X$148,$AA$148*(1+($U$148)/100)^MAX(0,$C158-$AD$148),IF(DATE($C158,7,15)&gt;=$W$148,$Z$148*(1+($U$148)/100)^MAX(0,$C158-$AC$148),IF(DATE($C158,7,15)&gt;=$V$148,$Y$148*(1+($U$148)/100)^MAX(0,$C158-$AB$148),0)))))</f>
      </c>
      <c r="L158" s="43">
        <f>IF($S$148=0,0,IF(OR(DATE($C158,8,15)&lt;$S$148,AND($T$148&gt;0,DATE($C158,8,15)&gt;$T$148)),0,IF(DATE($C158,8,15)&gt;=$X$148,$AA$148*(1+($U$148)/100)^MAX(0,$C158-$AD$148),IF(DATE($C158,8,15)&gt;=$W$148,$Z$148*(1+($U$148)/100)^MAX(0,$C158-$AC$148),IF(DATE($C158,8,15)&gt;=$V$148,$Y$148*(1+($U$148)/100)^MAX(0,$C158-$AB$148),0)))))</f>
      </c>
      <c r="M158" s="43">
        <f>IF($S$148=0,0,IF(OR(DATE($C158,9,15)&lt;$S$148,AND($T$148&gt;0,DATE($C158,9,15)&gt;$T$148)),0,IF(DATE($C158,9,15)&gt;=$X$148,$AA$148*(1+($U$148)/100)^MAX(0,$C158-$AD$148),IF(DATE($C158,9,15)&gt;=$W$148,$Z$148*(1+($U$148)/100)^MAX(0,$C158-$AC$148),IF(DATE($C158,9,15)&gt;=$V$148,$Y$148*(1+($U$148)/100)^MAX(0,$C158-$AB$148),0)))))</f>
      </c>
      <c r="N158" s="43">
        <f>IF($S$148=0,0,IF(OR(DATE($C158,10,15)&lt;$S$148,AND($T$148&gt;0,DATE($C158,10,15)&gt;$T$148)),0,IF(DATE($C158,10,15)&gt;=$X$148,$AA$148*(1+($U$148)/100)^MAX(0,$C158-$AD$148),IF(DATE($C158,10,15)&gt;=$W$148,$Z$148*(1+($U$148)/100)^MAX(0,$C158-$AC$148),IF(DATE($C158,10,15)&gt;=$V$148,$Y$148*(1+($U$148)/100)^MAX(0,$C158-$AB$148),0)))))</f>
      </c>
      <c r="O158" s="43">
        <f>IF($S$148=0,0,IF(OR(DATE($C158,11,15)&lt;$S$148,AND($T$148&gt;0,DATE($C158,11,15)&gt;$T$148)),0,IF(DATE($C158,11,15)&gt;=$X$148,$AA$148*(1+($U$148)/100)^MAX(0,$C158-$AD$148),IF(DATE($C158,11,15)&gt;=$W$148,$Z$148*(1+($U$148)/100)^MAX(0,$C158-$AC$148),IF(DATE($C158,11,15)&gt;=$V$148,$Y$148*(1+($U$148)/100)^MAX(0,$C158-$AB$148),0)))))</f>
      </c>
      <c r="P158" s="43">
        <f>IF($S$148=0,0,IF(OR(DATE($C158,12,15)&lt;$S$148,AND($T$148&gt;0,DATE($C158,12,15)&gt;$T$148)),0,IF(DATE($C158,12,15)&gt;=$X$148,$AA$148*(1+($U$148)/100)^MAX(0,$C158-$AD$148),IF(DATE($C158,12,15)&gt;=$W$148,$Z$148*(1+($U$148)/100)^MAX(0,$C158-$AC$148),IF(DATE($C158,12,15)&gt;=$V$148,$Y$148*(1+($U$148)/100)^MAX(0,$C158-$AB$148),0)))))</f>
      </c>
      <c r="Q158" s="43">
        <f>SUM($E158:$P158)</f>
      </c>
    </row>
    <row r="159">
      <c r="A159"/>
      <c r="B159">
        <v>5</v>
      </c>
      <c r="C159" s="43">
        <f>Jahr+11</f>
      </c>
      <c r="D159" s="43">
        <f>INDEX(MvObj,5)</f>
      </c>
      <c r="E159" s="43">
        <f>IF($S$148=0,0,IF(OR(DATE($C159,1,15)&lt;$S$148,AND($T$148&gt;0,DATE($C159,1,15)&gt;$T$148)),0,IF(DATE($C159,1,15)&gt;=$X$148,$AA$148*(1+($U$148)/100)^MAX(0,$C159-$AD$148),IF(DATE($C159,1,15)&gt;=$W$148,$Z$148*(1+($U$148)/100)^MAX(0,$C159-$AC$148),IF(DATE($C159,1,15)&gt;=$V$148,$Y$148*(1+($U$148)/100)^MAX(0,$C159-$AB$148),0)))))</f>
      </c>
      <c r="F159" s="43">
        <f>IF($S$148=0,0,IF(OR(DATE($C159,2,15)&lt;$S$148,AND($T$148&gt;0,DATE($C159,2,15)&gt;$T$148)),0,IF(DATE($C159,2,15)&gt;=$X$148,$AA$148*(1+($U$148)/100)^MAX(0,$C159-$AD$148),IF(DATE($C159,2,15)&gt;=$W$148,$Z$148*(1+($U$148)/100)^MAX(0,$C159-$AC$148),IF(DATE($C159,2,15)&gt;=$V$148,$Y$148*(1+($U$148)/100)^MAX(0,$C159-$AB$148),0)))))</f>
      </c>
      <c r="G159" s="43">
        <f>IF($S$148=0,0,IF(OR(DATE($C159,3,15)&lt;$S$148,AND($T$148&gt;0,DATE($C159,3,15)&gt;$T$148)),0,IF(DATE($C159,3,15)&gt;=$X$148,$AA$148*(1+($U$148)/100)^MAX(0,$C159-$AD$148),IF(DATE($C159,3,15)&gt;=$W$148,$Z$148*(1+($U$148)/100)^MAX(0,$C159-$AC$148),IF(DATE($C159,3,15)&gt;=$V$148,$Y$148*(1+($U$148)/100)^MAX(0,$C159-$AB$148),0)))))</f>
      </c>
      <c r="H159" s="43">
        <f>IF($S$148=0,0,IF(OR(DATE($C159,4,15)&lt;$S$148,AND($T$148&gt;0,DATE($C159,4,15)&gt;$T$148)),0,IF(DATE($C159,4,15)&gt;=$X$148,$AA$148*(1+($U$148)/100)^MAX(0,$C159-$AD$148),IF(DATE($C159,4,15)&gt;=$W$148,$Z$148*(1+($U$148)/100)^MAX(0,$C159-$AC$148),IF(DATE($C159,4,15)&gt;=$V$148,$Y$148*(1+($U$148)/100)^MAX(0,$C159-$AB$148),0)))))</f>
      </c>
      <c r="I159" s="43">
        <f>IF($S$148=0,0,IF(OR(DATE($C159,5,15)&lt;$S$148,AND($T$148&gt;0,DATE($C159,5,15)&gt;$T$148)),0,IF(DATE($C159,5,15)&gt;=$X$148,$AA$148*(1+($U$148)/100)^MAX(0,$C159-$AD$148),IF(DATE($C159,5,15)&gt;=$W$148,$Z$148*(1+($U$148)/100)^MAX(0,$C159-$AC$148),IF(DATE($C159,5,15)&gt;=$V$148,$Y$148*(1+($U$148)/100)^MAX(0,$C159-$AB$148),0)))))</f>
      </c>
      <c r="J159" s="43">
        <f>IF($S$148=0,0,IF(OR(DATE($C159,6,15)&lt;$S$148,AND($T$148&gt;0,DATE($C159,6,15)&gt;$T$148)),0,IF(DATE($C159,6,15)&gt;=$X$148,$AA$148*(1+($U$148)/100)^MAX(0,$C159-$AD$148),IF(DATE($C159,6,15)&gt;=$W$148,$Z$148*(1+($U$148)/100)^MAX(0,$C159-$AC$148),IF(DATE($C159,6,15)&gt;=$V$148,$Y$148*(1+($U$148)/100)^MAX(0,$C159-$AB$148),0)))))</f>
      </c>
      <c r="K159" s="43">
        <f>IF($S$148=0,0,IF(OR(DATE($C159,7,15)&lt;$S$148,AND($T$148&gt;0,DATE($C159,7,15)&gt;$T$148)),0,IF(DATE($C159,7,15)&gt;=$X$148,$AA$148*(1+($U$148)/100)^MAX(0,$C159-$AD$148),IF(DATE($C159,7,15)&gt;=$W$148,$Z$148*(1+($U$148)/100)^MAX(0,$C159-$AC$148),IF(DATE($C159,7,15)&gt;=$V$148,$Y$148*(1+($U$148)/100)^MAX(0,$C159-$AB$148),0)))))</f>
      </c>
      <c r="L159" s="43">
        <f>IF($S$148=0,0,IF(OR(DATE($C159,8,15)&lt;$S$148,AND($T$148&gt;0,DATE($C159,8,15)&gt;$T$148)),0,IF(DATE($C159,8,15)&gt;=$X$148,$AA$148*(1+($U$148)/100)^MAX(0,$C159-$AD$148),IF(DATE($C159,8,15)&gt;=$W$148,$Z$148*(1+($U$148)/100)^MAX(0,$C159-$AC$148),IF(DATE($C159,8,15)&gt;=$V$148,$Y$148*(1+($U$148)/100)^MAX(0,$C159-$AB$148),0)))))</f>
      </c>
      <c r="M159" s="43">
        <f>IF($S$148=0,0,IF(OR(DATE($C159,9,15)&lt;$S$148,AND($T$148&gt;0,DATE($C159,9,15)&gt;$T$148)),0,IF(DATE($C159,9,15)&gt;=$X$148,$AA$148*(1+($U$148)/100)^MAX(0,$C159-$AD$148),IF(DATE($C159,9,15)&gt;=$W$148,$Z$148*(1+($U$148)/100)^MAX(0,$C159-$AC$148),IF(DATE($C159,9,15)&gt;=$V$148,$Y$148*(1+($U$148)/100)^MAX(0,$C159-$AB$148),0)))))</f>
      </c>
      <c r="N159" s="43">
        <f>IF($S$148=0,0,IF(OR(DATE($C159,10,15)&lt;$S$148,AND($T$148&gt;0,DATE($C159,10,15)&gt;$T$148)),0,IF(DATE($C159,10,15)&gt;=$X$148,$AA$148*(1+($U$148)/100)^MAX(0,$C159-$AD$148),IF(DATE($C159,10,15)&gt;=$W$148,$Z$148*(1+($U$148)/100)^MAX(0,$C159-$AC$148),IF(DATE($C159,10,15)&gt;=$V$148,$Y$148*(1+($U$148)/100)^MAX(0,$C159-$AB$148),0)))))</f>
      </c>
      <c r="O159" s="43">
        <f>IF($S$148=0,0,IF(OR(DATE($C159,11,15)&lt;$S$148,AND($T$148&gt;0,DATE($C159,11,15)&gt;$T$148)),0,IF(DATE($C159,11,15)&gt;=$X$148,$AA$148*(1+($U$148)/100)^MAX(0,$C159-$AD$148),IF(DATE($C159,11,15)&gt;=$W$148,$Z$148*(1+($U$148)/100)^MAX(0,$C159-$AC$148),IF(DATE($C159,11,15)&gt;=$V$148,$Y$148*(1+($U$148)/100)^MAX(0,$C159-$AB$148),0)))))</f>
      </c>
      <c r="P159" s="43">
        <f>IF($S$148=0,0,IF(OR(DATE($C159,12,15)&lt;$S$148,AND($T$148&gt;0,DATE($C159,12,15)&gt;$T$148)),0,IF(DATE($C159,12,15)&gt;=$X$148,$AA$148*(1+($U$148)/100)^MAX(0,$C159-$AD$148),IF(DATE($C159,12,15)&gt;=$W$148,$Z$148*(1+($U$148)/100)^MAX(0,$C159-$AC$148),IF(DATE($C159,12,15)&gt;=$V$148,$Y$148*(1+($U$148)/100)^MAX(0,$C159-$AB$148),0)))))</f>
      </c>
      <c r="Q159" s="43">
        <f>SUM($E159:$P159)</f>
      </c>
    </row>
    <row r="160">
      <c r="A160"/>
      <c r="B160">
        <v>5</v>
      </c>
      <c r="C160" s="43">
        <f>Jahr+12</f>
      </c>
      <c r="D160" s="43">
        <f>INDEX(MvObj,5)</f>
      </c>
      <c r="E160" s="43">
        <f>IF($S$148=0,0,IF(OR(DATE($C160,1,15)&lt;$S$148,AND($T$148&gt;0,DATE($C160,1,15)&gt;$T$148)),0,IF(DATE($C160,1,15)&gt;=$X$148,$AA$148*(1+($U$148)/100)^MAX(0,$C160-$AD$148),IF(DATE($C160,1,15)&gt;=$W$148,$Z$148*(1+($U$148)/100)^MAX(0,$C160-$AC$148),IF(DATE($C160,1,15)&gt;=$V$148,$Y$148*(1+($U$148)/100)^MAX(0,$C160-$AB$148),0)))))</f>
      </c>
      <c r="F160" s="43">
        <f>IF($S$148=0,0,IF(OR(DATE($C160,2,15)&lt;$S$148,AND($T$148&gt;0,DATE($C160,2,15)&gt;$T$148)),0,IF(DATE($C160,2,15)&gt;=$X$148,$AA$148*(1+($U$148)/100)^MAX(0,$C160-$AD$148),IF(DATE($C160,2,15)&gt;=$W$148,$Z$148*(1+($U$148)/100)^MAX(0,$C160-$AC$148),IF(DATE($C160,2,15)&gt;=$V$148,$Y$148*(1+($U$148)/100)^MAX(0,$C160-$AB$148),0)))))</f>
      </c>
      <c r="G160" s="43">
        <f>IF($S$148=0,0,IF(OR(DATE($C160,3,15)&lt;$S$148,AND($T$148&gt;0,DATE($C160,3,15)&gt;$T$148)),0,IF(DATE($C160,3,15)&gt;=$X$148,$AA$148*(1+($U$148)/100)^MAX(0,$C160-$AD$148),IF(DATE($C160,3,15)&gt;=$W$148,$Z$148*(1+($U$148)/100)^MAX(0,$C160-$AC$148),IF(DATE($C160,3,15)&gt;=$V$148,$Y$148*(1+($U$148)/100)^MAX(0,$C160-$AB$148),0)))))</f>
      </c>
      <c r="H160" s="43">
        <f>IF($S$148=0,0,IF(OR(DATE($C160,4,15)&lt;$S$148,AND($T$148&gt;0,DATE($C160,4,15)&gt;$T$148)),0,IF(DATE($C160,4,15)&gt;=$X$148,$AA$148*(1+($U$148)/100)^MAX(0,$C160-$AD$148),IF(DATE($C160,4,15)&gt;=$W$148,$Z$148*(1+($U$148)/100)^MAX(0,$C160-$AC$148),IF(DATE($C160,4,15)&gt;=$V$148,$Y$148*(1+($U$148)/100)^MAX(0,$C160-$AB$148),0)))))</f>
      </c>
      <c r="I160" s="43">
        <f>IF($S$148=0,0,IF(OR(DATE($C160,5,15)&lt;$S$148,AND($T$148&gt;0,DATE($C160,5,15)&gt;$T$148)),0,IF(DATE($C160,5,15)&gt;=$X$148,$AA$148*(1+($U$148)/100)^MAX(0,$C160-$AD$148),IF(DATE($C160,5,15)&gt;=$W$148,$Z$148*(1+($U$148)/100)^MAX(0,$C160-$AC$148),IF(DATE($C160,5,15)&gt;=$V$148,$Y$148*(1+($U$148)/100)^MAX(0,$C160-$AB$148),0)))))</f>
      </c>
      <c r="J160" s="43">
        <f>IF($S$148=0,0,IF(OR(DATE($C160,6,15)&lt;$S$148,AND($T$148&gt;0,DATE($C160,6,15)&gt;$T$148)),0,IF(DATE($C160,6,15)&gt;=$X$148,$AA$148*(1+($U$148)/100)^MAX(0,$C160-$AD$148),IF(DATE($C160,6,15)&gt;=$W$148,$Z$148*(1+($U$148)/100)^MAX(0,$C160-$AC$148),IF(DATE($C160,6,15)&gt;=$V$148,$Y$148*(1+($U$148)/100)^MAX(0,$C160-$AB$148),0)))))</f>
      </c>
      <c r="K160" s="43">
        <f>IF($S$148=0,0,IF(OR(DATE($C160,7,15)&lt;$S$148,AND($T$148&gt;0,DATE($C160,7,15)&gt;$T$148)),0,IF(DATE($C160,7,15)&gt;=$X$148,$AA$148*(1+($U$148)/100)^MAX(0,$C160-$AD$148),IF(DATE($C160,7,15)&gt;=$W$148,$Z$148*(1+($U$148)/100)^MAX(0,$C160-$AC$148),IF(DATE($C160,7,15)&gt;=$V$148,$Y$148*(1+($U$148)/100)^MAX(0,$C160-$AB$148),0)))))</f>
      </c>
      <c r="L160" s="43">
        <f>IF($S$148=0,0,IF(OR(DATE($C160,8,15)&lt;$S$148,AND($T$148&gt;0,DATE($C160,8,15)&gt;$T$148)),0,IF(DATE($C160,8,15)&gt;=$X$148,$AA$148*(1+($U$148)/100)^MAX(0,$C160-$AD$148),IF(DATE($C160,8,15)&gt;=$W$148,$Z$148*(1+($U$148)/100)^MAX(0,$C160-$AC$148),IF(DATE($C160,8,15)&gt;=$V$148,$Y$148*(1+($U$148)/100)^MAX(0,$C160-$AB$148),0)))))</f>
      </c>
      <c r="M160" s="43">
        <f>IF($S$148=0,0,IF(OR(DATE($C160,9,15)&lt;$S$148,AND($T$148&gt;0,DATE($C160,9,15)&gt;$T$148)),0,IF(DATE($C160,9,15)&gt;=$X$148,$AA$148*(1+($U$148)/100)^MAX(0,$C160-$AD$148),IF(DATE($C160,9,15)&gt;=$W$148,$Z$148*(1+($U$148)/100)^MAX(0,$C160-$AC$148),IF(DATE($C160,9,15)&gt;=$V$148,$Y$148*(1+($U$148)/100)^MAX(0,$C160-$AB$148),0)))))</f>
      </c>
      <c r="N160" s="43">
        <f>IF($S$148=0,0,IF(OR(DATE($C160,10,15)&lt;$S$148,AND($T$148&gt;0,DATE($C160,10,15)&gt;$T$148)),0,IF(DATE($C160,10,15)&gt;=$X$148,$AA$148*(1+($U$148)/100)^MAX(0,$C160-$AD$148),IF(DATE($C160,10,15)&gt;=$W$148,$Z$148*(1+($U$148)/100)^MAX(0,$C160-$AC$148),IF(DATE($C160,10,15)&gt;=$V$148,$Y$148*(1+($U$148)/100)^MAX(0,$C160-$AB$148),0)))))</f>
      </c>
      <c r="O160" s="43">
        <f>IF($S$148=0,0,IF(OR(DATE($C160,11,15)&lt;$S$148,AND($T$148&gt;0,DATE($C160,11,15)&gt;$T$148)),0,IF(DATE($C160,11,15)&gt;=$X$148,$AA$148*(1+($U$148)/100)^MAX(0,$C160-$AD$148),IF(DATE($C160,11,15)&gt;=$W$148,$Z$148*(1+($U$148)/100)^MAX(0,$C160-$AC$148),IF(DATE($C160,11,15)&gt;=$V$148,$Y$148*(1+($U$148)/100)^MAX(0,$C160-$AB$148),0)))))</f>
      </c>
      <c r="P160" s="43">
        <f>IF($S$148=0,0,IF(OR(DATE($C160,12,15)&lt;$S$148,AND($T$148&gt;0,DATE($C160,12,15)&gt;$T$148)),0,IF(DATE($C160,12,15)&gt;=$X$148,$AA$148*(1+($U$148)/100)^MAX(0,$C160-$AD$148),IF(DATE($C160,12,15)&gt;=$W$148,$Z$148*(1+($U$148)/100)^MAX(0,$C160-$AC$148),IF(DATE($C160,12,15)&gt;=$V$148,$Y$148*(1+($U$148)/100)^MAX(0,$C160-$AB$148),0)))))</f>
      </c>
      <c r="Q160" s="43">
        <f>SUM($E160:$P160)</f>
      </c>
    </row>
    <row r="161">
      <c r="A161"/>
      <c r="B161">
        <v>5</v>
      </c>
      <c r="C161" s="43">
        <f>Jahr+13</f>
      </c>
      <c r="D161" s="43">
        <f>INDEX(MvObj,5)</f>
      </c>
      <c r="E161" s="43">
        <f>IF($S$148=0,0,IF(OR(DATE($C161,1,15)&lt;$S$148,AND($T$148&gt;0,DATE($C161,1,15)&gt;$T$148)),0,IF(DATE($C161,1,15)&gt;=$X$148,$AA$148*(1+($U$148)/100)^MAX(0,$C161-$AD$148),IF(DATE($C161,1,15)&gt;=$W$148,$Z$148*(1+($U$148)/100)^MAX(0,$C161-$AC$148),IF(DATE($C161,1,15)&gt;=$V$148,$Y$148*(1+($U$148)/100)^MAX(0,$C161-$AB$148),0)))))</f>
      </c>
      <c r="F161" s="43">
        <f>IF($S$148=0,0,IF(OR(DATE($C161,2,15)&lt;$S$148,AND($T$148&gt;0,DATE($C161,2,15)&gt;$T$148)),0,IF(DATE($C161,2,15)&gt;=$X$148,$AA$148*(1+($U$148)/100)^MAX(0,$C161-$AD$148),IF(DATE($C161,2,15)&gt;=$W$148,$Z$148*(1+($U$148)/100)^MAX(0,$C161-$AC$148),IF(DATE($C161,2,15)&gt;=$V$148,$Y$148*(1+($U$148)/100)^MAX(0,$C161-$AB$148),0)))))</f>
      </c>
      <c r="G161" s="43">
        <f>IF($S$148=0,0,IF(OR(DATE($C161,3,15)&lt;$S$148,AND($T$148&gt;0,DATE($C161,3,15)&gt;$T$148)),0,IF(DATE($C161,3,15)&gt;=$X$148,$AA$148*(1+($U$148)/100)^MAX(0,$C161-$AD$148),IF(DATE($C161,3,15)&gt;=$W$148,$Z$148*(1+($U$148)/100)^MAX(0,$C161-$AC$148),IF(DATE($C161,3,15)&gt;=$V$148,$Y$148*(1+($U$148)/100)^MAX(0,$C161-$AB$148),0)))))</f>
      </c>
      <c r="H161" s="43">
        <f>IF($S$148=0,0,IF(OR(DATE($C161,4,15)&lt;$S$148,AND($T$148&gt;0,DATE($C161,4,15)&gt;$T$148)),0,IF(DATE($C161,4,15)&gt;=$X$148,$AA$148*(1+($U$148)/100)^MAX(0,$C161-$AD$148),IF(DATE($C161,4,15)&gt;=$W$148,$Z$148*(1+($U$148)/100)^MAX(0,$C161-$AC$148),IF(DATE($C161,4,15)&gt;=$V$148,$Y$148*(1+($U$148)/100)^MAX(0,$C161-$AB$148),0)))))</f>
      </c>
      <c r="I161" s="43">
        <f>IF($S$148=0,0,IF(OR(DATE($C161,5,15)&lt;$S$148,AND($T$148&gt;0,DATE($C161,5,15)&gt;$T$148)),0,IF(DATE($C161,5,15)&gt;=$X$148,$AA$148*(1+($U$148)/100)^MAX(0,$C161-$AD$148),IF(DATE($C161,5,15)&gt;=$W$148,$Z$148*(1+($U$148)/100)^MAX(0,$C161-$AC$148),IF(DATE($C161,5,15)&gt;=$V$148,$Y$148*(1+($U$148)/100)^MAX(0,$C161-$AB$148),0)))))</f>
      </c>
      <c r="J161" s="43">
        <f>IF($S$148=0,0,IF(OR(DATE($C161,6,15)&lt;$S$148,AND($T$148&gt;0,DATE($C161,6,15)&gt;$T$148)),0,IF(DATE($C161,6,15)&gt;=$X$148,$AA$148*(1+($U$148)/100)^MAX(0,$C161-$AD$148),IF(DATE($C161,6,15)&gt;=$W$148,$Z$148*(1+($U$148)/100)^MAX(0,$C161-$AC$148),IF(DATE($C161,6,15)&gt;=$V$148,$Y$148*(1+($U$148)/100)^MAX(0,$C161-$AB$148),0)))))</f>
      </c>
      <c r="K161" s="43">
        <f>IF($S$148=0,0,IF(OR(DATE($C161,7,15)&lt;$S$148,AND($T$148&gt;0,DATE($C161,7,15)&gt;$T$148)),0,IF(DATE($C161,7,15)&gt;=$X$148,$AA$148*(1+($U$148)/100)^MAX(0,$C161-$AD$148),IF(DATE($C161,7,15)&gt;=$W$148,$Z$148*(1+($U$148)/100)^MAX(0,$C161-$AC$148),IF(DATE($C161,7,15)&gt;=$V$148,$Y$148*(1+($U$148)/100)^MAX(0,$C161-$AB$148),0)))))</f>
      </c>
      <c r="L161" s="43">
        <f>IF($S$148=0,0,IF(OR(DATE($C161,8,15)&lt;$S$148,AND($T$148&gt;0,DATE($C161,8,15)&gt;$T$148)),0,IF(DATE($C161,8,15)&gt;=$X$148,$AA$148*(1+($U$148)/100)^MAX(0,$C161-$AD$148),IF(DATE($C161,8,15)&gt;=$W$148,$Z$148*(1+($U$148)/100)^MAX(0,$C161-$AC$148),IF(DATE($C161,8,15)&gt;=$V$148,$Y$148*(1+($U$148)/100)^MAX(0,$C161-$AB$148),0)))))</f>
      </c>
      <c r="M161" s="43">
        <f>IF($S$148=0,0,IF(OR(DATE($C161,9,15)&lt;$S$148,AND($T$148&gt;0,DATE($C161,9,15)&gt;$T$148)),0,IF(DATE($C161,9,15)&gt;=$X$148,$AA$148*(1+($U$148)/100)^MAX(0,$C161-$AD$148),IF(DATE($C161,9,15)&gt;=$W$148,$Z$148*(1+($U$148)/100)^MAX(0,$C161-$AC$148),IF(DATE($C161,9,15)&gt;=$V$148,$Y$148*(1+($U$148)/100)^MAX(0,$C161-$AB$148),0)))))</f>
      </c>
      <c r="N161" s="43">
        <f>IF($S$148=0,0,IF(OR(DATE($C161,10,15)&lt;$S$148,AND($T$148&gt;0,DATE($C161,10,15)&gt;$T$148)),0,IF(DATE($C161,10,15)&gt;=$X$148,$AA$148*(1+($U$148)/100)^MAX(0,$C161-$AD$148),IF(DATE($C161,10,15)&gt;=$W$148,$Z$148*(1+($U$148)/100)^MAX(0,$C161-$AC$148),IF(DATE($C161,10,15)&gt;=$V$148,$Y$148*(1+($U$148)/100)^MAX(0,$C161-$AB$148),0)))))</f>
      </c>
      <c r="O161" s="43">
        <f>IF($S$148=0,0,IF(OR(DATE($C161,11,15)&lt;$S$148,AND($T$148&gt;0,DATE($C161,11,15)&gt;$T$148)),0,IF(DATE($C161,11,15)&gt;=$X$148,$AA$148*(1+($U$148)/100)^MAX(0,$C161-$AD$148),IF(DATE($C161,11,15)&gt;=$W$148,$Z$148*(1+($U$148)/100)^MAX(0,$C161-$AC$148),IF(DATE($C161,11,15)&gt;=$V$148,$Y$148*(1+($U$148)/100)^MAX(0,$C161-$AB$148),0)))))</f>
      </c>
      <c r="P161" s="43">
        <f>IF($S$148=0,0,IF(OR(DATE($C161,12,15)&lt;$S$148,AND($T$148&gt;0,DATE($C161,12,15)&gt;$T$148)),0,IF(DATE($C161,12,15)&gt;=$X$148,$AA$148*(1+($U$148)/100)^MAX(0,$C161-$AD$148),IF(DATE($C161,12,15)&gt;=$W$148,$Z$148*(1+($U$148)/100)^MAX(0,$C161-$AC$148),IF(DATE($C161,12,15)&gt;=$V$148,$Y$148*(1+($U$148)/100)^MAX(0,$C161-$AB$148),0)))))</f>
      </c>
      <c r="Q161" s="43">
        <f>SUM($E161:$P161)</f>
      </c>
    </row>
    <row r="162">
      <c r="A162"/>
      <c r="B162">
        <v>5</v>
      </c>
      <c r="C162" s="43">
        <f>Jahr+14</f>
      </c>
      <c r="D162" s="43">
        <f>INDEX(MvObj,5)</f>
      </c>
      <c r="E162" s="43">
        <f>IF($S$148=0,0,IF(OR(DATE($C162,1,15)&lt;$S$148,AND($T$148&gt;0,DATE($C162,1,15)&gt;$T$148)),0,IF(DATE($C162,1,15)&gt;=$X$148,$AA$148*(1+($U$148)/100)^MAX(0,$C162-$AD$148),IF(DATE($C162,1,15)&gt;=$W$148,$Z$148*(1+($U$148)/100)^MAX(0,$C162-$AC$148),IF(DATE($C162,1,15)&gt;=$V$148,$Y$148*(1+($U$148)/100)^MAX(0,$C162-$AB$148),0)))))</f>
      </c>
      <c r="F162" s="43">
        <f>IF($S$148=0,0,IF(OR(DATE($C162,2,15)&lt;$S$148,AND($T$148&gt;0,DATE($C162,2,15)&gt;$T$148)),0,IF(DATE($C162,2,15)&gt;=$X$148,$AA$148*(1+($U$148)/100)^MAX(0,$C162-$AD$148),IF(DATE($C162,2,15)&gt;=$W$148,$Z$148*(1+($U$148)/100)^MAX(0,$C162-$AC$148),IF(DATE($C162,2,15)&gt;=$V$148,$Y$148*(1+($U$148)/100)^MAX(0,$C162-$AB$148),0)))))</f>
      </c>
      <c r="G162" s="43">
        <f>IF($S$148=0,0,IF(OR(DATE($C162,3,15)&lt;$S$148,AND($T$148&gt;0,DATE($C162,3,15)&gt;$T$148)),0,IF(DATE($C162,3,15)&gt;=$X$148,$AA$148*(1+($U$148)/100)^MAX(0,$C162-$AD$148),IF(DATE($C162,3,15)&gt;=$W$148,$Z$148*(1+($U$148)/100)^MAX(0,$C162-$AC$148),IF(DATE($C162,3,15)&gt;=$V$148,$Y$148*(1+($U$148)/100)^MAX(0,$C162-$AB$148),0)))))</f>
      </c>
      <c r="H162" s="43">
        <f>IF($S$148=0,0,IF(OR(DATE($C162,4,15)&lt;$S$148,AND($T$148&gt;0,DATE($C162,4,15)&gt;$T$148)),0,IF(DATE($C162,4,15)&gt;=$X$148,$AA$148*(1+($U$148)/100)^MAX(0,$C162-$AD$148),IF(DATE($C162,4,15)&gt;=$W$148,$Z$148*(1+($U$148)/100)^MAX(0,$C162-$AC$148),IF(DATE($C162,4,15)&gt;=$V$148,$Y$148*(1+($U$148)/100)^MAX(0,$C162-$AB$148),0)))))</f>
      </c>
      <c r="I162" s="43">
        <f>IF($S$148=0,0,IF(OR(DATE($C162,5,15)&lt;$S$148,AND($T$148&gt;0,DATE($C162,5,15)&gt;$T$148)),0,IF(DATE($C162,5,15)&gt;=$X$148,$AA$148*(1+($U$148)/100)^MAX(0,$C162-$AD$148),IF(DATE($C162,5,15)&gt;=$W$148,$Z$148*(1+($U$148)/100)^MAX(0,$C162-$AC$148),IF(DATE($C162,5,15)&gt;=$V$148,$Y$148*(1+($U$148)/100)^MAX(0,$C162-$AB$148),0)))))</f>
      </c>
      <c r="J162" s="43">
        <f>IF($S$148=0,0,IF(OR(DATE($C162,6,15)&lt;$S$148,AND($T$148&gt;0,DATE($C162,6,15)&gt;$T$148)),0,IF(DATE($C162,6,15)&gt;=$X$148,$AA$148*(1+($U$148)/100)^MAX(0,$C162-$AD$148),IF(DATE($C162,6,15)&gt;=$W$148,$Z$148*(1+($U$148)/100)^MAX(0,$C162-$AC$148),IF(DATE($C162,6,15)&gt;=$V$148,$Y$148*(1+($U$148)/100)^MAX(0,$C162-$AB$148),0)))))</f>
      </c>
      <c r="K162" s="43">
        <f>IF($S$148=0,0,IF(OR(DATE($C162,7,15)&lt;$S$148,AND($T$148&gt;0,DATE($C162,7,15)&gt;$T$148)),0,IF(DATE($C162,7,15)&gt;=$X$148,$AA$148*(1+($U$148)/100)^MAX(0,$C162-$AD$148),IF(DATE($C162,7,15)&gt;=$W$148,$Z$148*(1+($U$148)/100)^MAX(0,$C162-$AC$148),IF(DATE($C162,7,15)&gt;=$V$148,$Y$148*(1+($U$148)/100)^MAX(0,$C162-$AB$148),0)))))</f>
      </c>
      <c r="L162" s="43">
        <f>IF($S$148=0,0,IF(OR(DATE($C162,8,15)&lt;$S$148,AND($T$148&gt;0,DATE($C162,8,15)&gt;$T$148)),0,IF(DATE($C162,8,15)&gt;=$X$148,$AA$148*(1+($U$148)/100)^MAX(0,$C162-$AD$148),IF(DATE($C162,8,15)&gt;=$W$148,$Z$148*(1+($U$148)/100)^MAX(0,$C162-$AC$148),IF(DATE($C162,8,15)&gt;=$V$148,$Y$148*(1+($U$148)/100)^MAX(0,$C162-$AB$148),0)))))</f>
      </c>
      <c r="M162" s="43">
        <f>IF($S$148=0,0,IF(OR(DATE($C162,9,15)&lt;$S$148,AND($T$148&gt;0,DATE($C162,9,15)&gt;$T$148)),0,IF(DATE($C162,9,15)&gt;=$X$148,$AA$148*(1+($U$148)/100)^MAX(0,$C162-$AD$148),IF(DATE($C162,9,15)&gt;=$W$148,$Z$148*(1+($U$148)/100)^MAX(0,$C162-$AC$148),IF(DATE($C162,9,15)&gt;=$V$148,$Y$148*(1+($U$148)/100)^MAX(0,$C162-$AB$148),0)))))</f>
      </c>
      <c r="N162" s="43">
        <f>IF($S$148=0,0,IF(OR(DATE($C162,10,15)&lt;$S$148,AND($T$148&gt;0,DATE($C162,10,15)&gt;$T$148)),0,IF(DATE($C162,10,15)&gt;=$X$148,$AA$148*(1+($U$148)/100)^MAX(0,$C162-$AD$148),IF(DATE($C162,10,15)&gt;=$W$148,$Z$148*(1+($U$148)/100)^MAX(0,$C162-$AC$148),IF(DATE($C162,10,15)&gt;=$V$148,$Y$148*(1+($U$148)/100)^MAX(0,$C162-$AB$148),0)))))</f>
      </c>
      <c r="O162" s="43">
        <f>IF($S$148=0,0,IF(OR(DATE($C162,11,15)&lt;$S$148,AND($T$148&gt;0,DATE($C162,11,15)&gt;$T$148)),0,IF(DATE($C162,11,15)&gt;=$X$148,$AA$148*(1+($U$148)/100)^MAX(0,$C162-$AD$148),IF(DATE($C162,11,15)&gt;=$W$148,$Z$148*(1+($U$148)/100)^MAX(0,$C162-$AC$148),IF(DATE($C162,11,15)&gt;=$V$148,$Y$148*(1+($U$148)/100)^MAX(0,$C162-$AB$148),0)))))</f>
      </c>
      <c r="P162" s="43">
        <f>IF($S$148=0,0,IF(OR(DATE($C162,12,15)&lt;$S$148,AND($T$148&gt;0,DATE($C162,12,15)&gt;$T$148)),0,IF(DATE($C162,12,15)&gt;=$X$148,$AA$148*(1+($U$148)/100)^MAX(0,$C162-$AD$148),IF(DATE($C162,12,15)&gt;=$W$148,$Z$148*(1+($U$148)/100)^MAX(0,$C162-$AC$148),IF(DATE($C162,12,15)&gt;=$V$148,$Y$148*(1+($U$148)/100)^MAX(0,$C162-$AB$148),0)))))</f>
      </c>
      <c r="Q162" s="43">
        <f>SUM($E162:$P162)</f>
      </c>
    </row>
    <row r="163">
      <c r="A163"/>
      <c r="B163">
        <v>5</v>
      </c>
      <c r="C163" s="43">
        <f>Jahr+15</f>
      </c>
      <c r="D163" s="43">
        <f>INDEX(MvObj,5)</f>
      </c>
      <c r="E163" s="43">
        <f>IF($S$148=0,0,IF(OR(DATE($C163,1,15)&lt;$S$148,AND($T$148&gt;0,DATE($C163,1,15)&gt;$T$148)),0,IF(DATE($C163,1,15)&gt;=$X$148,$AA$148*(1+($U$148)/100)^MAX(0,$C163-$AD$148),IF(DATE($C163,1,15)&gt;=$W$148,$Z$148*(1+($U$148)/100)^MAX(0,$C163-$AC$148),IF(DATE($C163,1,15)&gt;=$V$148,$Y$148*(1+($U$148)/100)^MAX(0,$C163-$AB$148),0)))))</f>
      </c>
      <c r="F163" s="43">
        <f>IF($S$148=0,0,IF(OR(DATE($C163,2,15)&lt;$S$148,AND($T$148&gt;0,DATE($C163,2,15)&gt;$T$148)),0,IF(DATE($C163,2,15)&gt;=$X$148,$AA$148*(1+($U$148)/100)^MAX(0,$C163-$AD$148),IF(DATE($C163,2,15)&gt;=$W$148,$Z$148*(1+($U$148)/100)^MAX(0,$C163-$AC$148),IF(DATE($C163,2,15)&gt;=$V$148,$Y$148*(1+($U$148)/100)^MAX(0,$C163-$AB$148),0)))))</f>
      </c>
      <c r="G163" s="43">
        <f>IF($S$148=0,0,IF(OR(DATE($C163,3,15)&lt;$S$148,AND($T$148&gt;0,DATE($C163,3,15)&gt;$T$148)),0,IF(DATE($C163,3,15)&gt;=$X$148,$AA$148*(1+($U$148)/100)^MAX(0,$C163-$AD$148),IF(DATE($C163,3,15)&gt;=$W$148,$Z$148*(1+($U$148)/100)^MAX(0,$C163-$AC$148),IF(DATE($C163,3,15)&gt;=$V$148,$Y$148*(1+($U$148)/100)^MAX(0,$C163-$AB$148),0)))))</f>
      </c>
      <c r="H163" s="43">
        <f>IF($S$148=0,0,IF(OR(DATE($C163,4,15)&lt;$S$148,AND($T$148&gt;0,DATE($C163,4,15)&gt;$T$148)),0,IF(DATE($C163,4,15)&gt;=$X$148,$AA$148*(1+($U$148)/100)^MAX(0,$C163-$AD$148),IF(DATE($C163,4,15)&gt;=$W$148,$Z$148*(1+($U$148)/100)^MAX(0,$C163-$AC$148),IF(DATE($C163,4,15)&gt;=$V$148,$Y$148*(1+($U$148)/100)^MAX(0,$C163-$AB$148),0)))))</f>
      </c>
      <c r="I163" s="43">
        <f>IF($S$148=0,0,IF(OR(DATE($C163,5,15)&lt;$S$148,AND($T$148&gt;0,DATE($C163,5,15)&gt;$T$148)),0,IF(DATE($C163,5,15)&gt;=$X$148,$AA$148*(1+($U$148)/100)^MAX(0,$C163-$AD$148),IF(DATE($C163,5,15)&gt;=$W$148,$Z$148*(1+($U$148)/100)^MAX(0,$C163-$AC$148),IF(DATE($C163,5,15)&gt;=$V$148,$Y$148*(1+($U$148)/100)^MAX(0,$C163-$AB$148),0)))))</f>
      </c>
      <c r="J163" s="43">
        <f>IF($S$148=0,0,IF(OR(DATE($C163,6,15)&lt;$S$148,AND($T$148&gt;0,DATE($C163,6,15)&gt;$T$148)),0,IF(DATE($C163,6,15)&gt;=$X$148,$AA$148*(1+($U$148)/100)^MAX(0,$C163-$AD$148),IF(DATE($C163,6,15)&gt;=$W$148,$Z$148*(1+($U$148)/100)^MAX(0,$C163-$AC$148),IF(DATE($C163,6,15)&gt;=$V$148,$Y$148*(1+($U$148)/100)^MAX(0,$C163-$AB$148),0)))))</f>
      </c>
      <c r="K163" s="43">
        <f>IF($S$148=0,0,IF(OR(DATE($C163,7,15)&lt;$S$148,AND($T$148&gt;0,DATE($C163,7,15)&gt;$T$148)),0,IF(DATE($C163,7,15)&gt;=$X$148,$AA$148*(1+($U$148)/100)^MAX(0,$C163-$AD$148),IF(DATE($C163,7,15)&gt;=$W$148,$Z$148*(1+($U$148)/100)^MAX(0,$C163-$AC$148),IF(DATE($C163,7,15)&gt;=$V$148,$Y$148*(1+($U$148)/100)^MAX(0,$C163-$AB$148),0)))))</f>
      </c>
      <c r="L163" s="43">
        <f>IF($S$148=0,0,IF(OR(DATE($C163,8,15)&lt;$S$148,AND($T$148&gt;0,DATE($C163,8,15)&gt;$T$148)),0,IF(DATE($C163,8,15)&gt;=$X$148,$AA$148*(1+($U$148)/100)^MAX(0,$C163-$AD$148),IF(DATE($C163,8,15)&gt;=$W$148,$Z$148*(1+($U$148)/100)^MAX(0,$C163-$AC$148),IF(DATE($C163,8,15)&gt;=$V$148,$Y$148*(1+($U$148)/100)^MAX(0,$C163-$AB$148),0)))))</f>
      </c>
      <c r="M163" s="43">
        <f>IF($S$148=0,0,IF(OR(DATE($C163,9,15)&lt;$S$148,AND($T$148&gt;0,DATE($C163,9,15)&gt;$T$148)),0,IF(DATE($C163,9,15)&gt;=$X$148,$AA$148*(1+($U$148)/100)^MAX(0,$C163-$AD$148),IF(DATE($C163,9,15)&gt;=$W$148,$Z$148*(1+($U$148)/100)^MAX(0,$C163-$AC$148),IF(DATE($C163,9,15)&gt;=$V$148,$Y$148*(1+($U$148)/100)^MAX(0,$C163-$AB$148),0)))))</f>
      </c>
      <c r="N163" s="43">
        <f>IF($S$148=0,0,IF(OR(DATE($C163,10,15)&lt;$S$148,AND($T$148&gt;0,DATE($C163,10,15)&gt;$T$148)),0,IF(DATE($C163,10,15)&gt;=$X$148,$AA$148*(1+($U$148)/100)^MAX(0,$C163-$AD$148),IF(DATE($C163,10,15)&gt;=$W$148,$Z$148*(1+($U$148)/100)^MAX(0,$C163-$AC$148),IF(DATE($C163,10,15)&gt;=$V$148,$Y$148*(1+($U$148)/100)^MAX(0,$C163-$AB$148),0)))))</f>
      </c>
      <c r="O163" s="43">
        <f>IF($S$148=0,0,IF(OR(DATE($C163,11,15)&lt;$S$148,AND($T$148&gt;0,DATE($C163,11,15)&gt;$T$148)),0,IF(DATE($C163,11,15)&gt;=$X$148,$AA$148*(1+($U$148)/100)^MAX(0,$C163-$AD$148),IF(DATE($C163,11,15)&gt;=$W$148,$Z$148*(1+($U$148)/100)^MAX(0,$C163-$AC$148),IF(DATE($C163,11,15)&gt;=$V$148,$Y$148*(1+($U$148)/100)^MAX(0,$C163-$AB$148),0)))))</f>
      </c>
      <c r="P163" s="43">
        <f>IF($S$148=0,0,IF(OR(DATE($C163,12,15)&lt;$S$148,AND($T$148&gt;0,DATE($C163,12,15)&gt;$T$148)),0,IF(DATE($C163,12,15)&gt;=$X$148,$AA$148*(1+($U$148)/100)^MAX(0,$C163-$AD$148),IF(DATE($C163,12,15)&gt;=$W$148,$Z$148*(1+($U$148)/100)^MAX(0,$C163-$AC$148),IF(DATE($C163,12,15)&gt;=$V$148,$Y$148*(1+($U$148)/100)^MAX(0,$C163-$AB$148),0)))))</f>
      </c>
      <c r="Q163" s="43">
        <f>SUM($E163:$P163)</f>
      </c>
    </row>
    <row r="164">
      <c r="A164"/>
      <c r="B164">
        <v>5</v>
      </c>
      <c r="C164" s="43">
        <f>Jahr+16</f>
      </c>
      <c r="D164" s="43">
        <f>INDEX(MvObj,5)</f>
      </c>
      <c r="E164" s="43">
        <f>IF($S$148=0,0,IF(OR(DATE($C164,1,15)&lt;$S$148,AND($T$148&gt;0,DATE($C164,1,15)&gt;$T$148)),0,IF(DATE($C164,1,15)&gt;=$X$148,$AA$148*(1+($U$148)/100)^MAX(0,$C164-$AD$148),IF(DATE($C164,1,15)&gt;=$W$148,$Z$148*(1+($U$148)/100)^MAX(0,$C164-$AC$148),IF(DATE($C164,1,15)&gt;=$V$148,$Y$148*(1+($U$148)/100)^MAX(0,$C164-$AB$148),0)))))</f>
      </c>
      <c r="F164" s="43">
        <f>IF($S$148=0,0,IF(OR(DATE($C164,2,15)&lt;$S$148,AND($T$148&gt;0,DATE($C164,2,15)&gt;$T$148)),0,IF(DATE($C164,2,15)&gt;=$X$148,$AA$148*(1+($U$148)/100)^MAX(0,$C164-$AD$148),IF(DATE($C164,2,15)&gt;=$W$148,$Z$148*(1+($U$148)/100)^MAX(0,$C164-$AC$148),IF(DATE($C164,2,15)&gt;=$V$148,$Y$148*(1+($U$148)/100)^MAX(0,$C164-$AB$148),0)))))</f>
      </c>
      <c r="G164" s="43">
        <f>IF($S$148=0,0,IF(OR(DATE($C164,3,15)&lt;$S$148,AND($T$148&gt;0,DATE($C164,3,15)&gt;$T$148)),0,IF(DATE($C164,3,15)&gt;=$X$148,$AA$148*(1+($U$148)/100)^MAX(0,$C164-$AD$148),IF(DATE($C164,3,15)&gt;=$W$148,$Z$148*(1+($U$148)/100)^MAX(0,$C164-$AC$148),IF(DATE($C164,3,15)&gt;=$V$148,$Y$148*(1+($U$148)/100)^MAX(0,$C164-$AB$148),0)))))</f>
      </c>
      <c r="H164" s="43">
        <f>IF($S$148=0,0,IF(OR(DATE($C164,4,15)&lt;$S$148,AND($T$148&gt;0,DATE($C164,4,15)&gt;$T$148)),0,IF(DATE($C164,4,15)&gt;=$X$148,$AA$148*(1+($U$148)/100)^MAX(0,$C164-$AD$148),IF(DATE($C164,4,15)&gt;=$W$148,$Z$148*(1+($U$148)/100)^MAX(0,$C164-$AC$148),IF(DATE($C164,4,15)&gt;=$V$148,$Y$148*(1+($U$148)/100)^MAX(0,$C164-$AB$148),0)))))</f>
      </c>
      <c r="I164" s="43">
        <f>IF($S$148=0,0,IF(OR(DATE($C164,5,15)&lt;$S$148,AND($T$148&gt;0,DATE($C164,5,15)&gt;$T$148)),0,IF(DATE($C164,5,15)&gt;=$X$148,$AA$148*(1+($U$148)/100)^MAX(0,$C164-$AD$148),IF(DATE($C164,5,15)&gt;=$W$148,$Z$148*(1+($U$148)/100)^MAX(0,$C164-$AC$148),IF(DATE($C164,5,15)&gt;=$V$148,$Y$148*(1+($U$148)/100)^MAX(0,$C164-$AB$148),0)))))</f>
      </c>
      <c r="J164" s="43">
        <f>IF($S$148=0,0,IF(OR(DATE($C164,6,15)&lt;$S$148,AND($T$148&gt;0,DATE($C164,6,15)&gt;$T$148)),0,IF(DATE($C164,6,15)&gt;=$X$148,$AA$148*(1+($U$148)/100)^MAX(0,$C164-$AD$148),IF(DATE($C164,6,15)&gt;=$W$148,$Z$148*(1+($U$148)/100)^MAX(0,$C164-$AC$148),IF(DATE($C164,6,15)&gt;=$V$148,$Y$148*(1+($U$148)/100)^MAX(0,$C164-$AB$148),0)))))</f>
      </c>
      <c r="K164" s="43">
        <f>IF($S$148=0,0,IF(OR(DATE($C164,7,15)&lt;$S$148,AND($T$148&gt;0,DATE($C164,7,15)&gt;$T$148)),0,IF(DATE($C164,7,15)&gt;=$X$148,$AA$148*(1+($U$148)/100)^MAX(0,$C164-$AD$148),IF(DATE($C164,7,15)&gt;=$W$148,$Z$148*(1+($U$148)/100)^MAX(0,$C164-$AC$148),IF(DATE($C164,7,15)&gt;=$V$148,$Y$148*(1+($U$148)/100)^MAX(0,$C164-$AB$148),0)))))</f>
      </c>
      <c r="L164" s="43">
        <f>IF($S$148=0,0,IF(OR(DATE($C164,8,15)&lt;$S$148,AND($T$148&gt;0,DATE($C164,8,15)&gt;$T$148)),0,IF(DATE($C164,8,15)&gt;=$X$148,$AA$148*(1+($U$148)/100)^MAX(0,$C164-$AD$148),IF(DATE($C164,8,15)&gt;=$W$148,$Z$148*(1+($U$148)/100)^MAX(0,$C164-$AC$148),IF(DATE($C164,8,15)&gt;=$V$148,$Y$148*(1+($U$148)/100)^MAX(0,$C164-$AB$148),0)))))</f>
      </c>
      <c r="M164" s="43">
        <f>IF($S$148=0,0,IF(OR(DATE($C164,9,15)&lt;$S$148,AND($T$148&gt;0,DATE($C164,9,15)&gt;$T$148)),0,IF(DATE($C164,9,15)&gt;=$X$148,$AA$148*(1+($U$148)/100)^MAX(0,$C164-$AD$148),IF(DATE($C164,9,15)&gt;=$W$148,$Z$148*(1+($U$148)/100)^MAX(0,$C164-$AC$148),IF(DATE($C164,9,15)&gt;=$V$148,$Y$148*(1+($U$148)/100)^MAX(0,$C164-$AB$148),0)))))</f>
      </c>
      <c r="N164" s="43">
        <f>IF($S$148=0,0,IF(OR(DATE($C164,10,15)&lt;$S$148,AND($T$148&gt;0,DATE($C164,10,15)&gt;$T$148)),0,IF(DATE($C164,10,15)&gt;=$X$148,$AA$148*(1+($U$148)/100)^MAX(0,$C164-$AD$148),IF(DATE($C164,10,15)&gt;=$W$148,$Z$148*(1+($U$148)/100)^MAX(0,$C164-$AC$148),IF(DATE($C164,10,15)&gt;=$V$148,$Y$148*(1+($U$148)/100)^MAX(0,$C164-$AB$148),0)))))</f>
      </c>
      <c r="O164" s="43">
        <f>IF($S$148=0,0,IF(OR(DATE($C164,11,15)&lt;$S$148,AND($T$148&gt;0,DATE($C164,11,15)&gt;$T$148)),0,IF(DATE($C164,11,15)&gt;=$X$148,$AA$148*(1+($U$148)/100)^MAX(0,$C164-$AD$148),IF(DATE($C164,11,15)&gt;=$W$148,$Z$148*(1+($U$148)/100)^MAX(0,$C164-$AC$148),IF(DATE($C164,11,15)&gt;=$V$148,$Y$148*(1+($U$148)/100)^MAX(0,$C164-$AB$148),0)))))</f>
      </c>
      <c r="P164" s="43">
        <f>IF($S$148=0,0,IF(OR(DATE($C164,12,15)&lt;$S$148,AND($T$148&gt;0,DATE($C164,12,15)&gt;$T$148)),0,IF(DATE($C164,12,15)&gt;=$X$148,$AA$148*(1+($U$148)/100)^MAX(0,$C164-$AD$148),IF(DATE($C164,12,15)&gt;=$W$148,$Z$148*(1+($U$148)/100)^MAX(0,$C164-$AC$148),IF(DATE($C164,12,15)&gt;=$V$148,$Y$148*(1+($U$148)/100)^MAX(0,$C164-$AB$148),0)))))</f>
      </c>
      <c r="Q164" s="43">
        <f>SUM($E164:$P164)</f>
      </c>
    </row>
    <row r="165">
      <c r="A165"/>
      <c r="B165">
        <v>5</v>
      </c>
      <c r="C165" s="43">
        <f>Jahr+17</f>
      </c>
      <c r="D165" s="43">
        <f>INDEX(MvObj,5)</f>
      </c>
      <c r="E165" s="43">
        <f>IF($S$148=0,0,IF(OR(DATE($C165,1,15)&lt;$S$148,AND($T$148&gt;0,DATE($C165,1,15)&gt;$T$148)),0,IF(DATE($C165,1,15)&gt;=$X$148,$AA$148*(1+($U$148)/100)^MAX(0,$C165-$AD$148),IF(DATE($C165,1,15)&gt;=$W$148,$Z$148*(1+($U$148)/100)^MAX(0,$C165-$AC$148),IF(DATE($C165,1,15)&gt;=$V$148,$Y$148*(1+($U$148)/100)^MAX(0,$C165-$AB$148),0)))))</f>
      </c>
      <c r="F165" s="43">
        <f>IF($S$148=0,0,IF(OR(DATE($C165,2,15)&lt;$S$148,AND($T$148&gt;0,DATE($C165,2,15)&gt;$T$148)),0,IF(DATE($C165,2,15)&gt;=$X$148,$AA$148*(1+($U$148)/100)^MAX(0,$C165-$AD$148),IF(DATE($C165,2,15)&gt;=$W$148,$Z$148*(1+($U$148)/100)^MAX(0,$C165-$AC$148),IF(DATE($C165,2,15)&gt;=$V$148,$Y$148*(1+($U$148)/100)^MAX(0,$C165-$AB$148),0)))))</f>
      </c>
      <c r="G165" s="43">
        <f>IF($S$148=0,0,IF(OR(DATE($C165,3,15)&lt;$S$148,AND($T$148&gt;0,DATE($C165,3,15)&gt;$T$148)),0,IF(DATE($C165,3,15)&gt;=$X$148,$AA$148*(1+($U$148)/100)^MAX(0,$C165-$AD$148),IF(DATE($C165,3,15)&gt;=$W$148,$Z$148*(1+($U$148)/100)^MAX(0,$C165-$AC$148),IF(DATE($C165,3,15)&gt;=$V$148,$Y$148*(1+($U$148)/100)^MAX(0,$C165-$AB$148),0)))))</f>
      </c>
      <c r="H165" s="43">
        <f>IF($S$148=0,0,IF(OR(DATE($C165,4,15)&lt;$S$148,AND($T$148&gt;0,DATE($C165,4,15)&gt;$T$148)),0,IF(DATE($C165,4,15)&gt;=$X$148,$AA$148*(1+($U$148)/100)^MAX(0,$C165-$AD$148),IF(DATE($C165,4,15)&gt;=$W$148,$Z$148*(1+($U$148)/100)^MAX(0,$C165-$AC$148),IF(DATE($C165,4,15)&gt;=$V$148,$Y$148*(1+($U$148)/100)^MAX(0,$C165-$AB$148),0)))))</f>
      </c>
      <c r="I165" s="43">
        <f>IF($S$148=0,0,IF(OR(DATE($C165,5,15)&lt;$S$148,AND($T$148&gt;0,DATE($C165,5,15)&gt;$T$148)),0,IF(DATE($C165,5,15)&gt;=$X$148,$AA$148*(1+($U$148)/100)^MAX(0,$C165-$AD$148),IF(DATE($C165,5,15)&gt;=$W$148,$Z$148*(1+($U$148)/100)^MAX(0,$C165-$AC$148),IF(DATE($C165,5,15)&gt;=$V$148,$Y$148*(1+($U$148)/100)^MAX(0,$C165-$AB$148),0)))))</f>
      </c>
      <c r="J165" s="43">
        <f>IF($S$148=0,0,IF(OR(DATE($C165,6,15)&lt;$S$148,AND($T$148&gt;0,DATE($C165,6,15)&gt;$T$148)),0,IF(DATE($C165,6,15)&gt;=$X$148,$AA$148*(1+($U$148)/100)^MAX(0,$C165-$AD$148),IF(DATE($C165,6,15)&gt;=$W$148,$Z$148*(1+($U$148)/100)^MAX(0,$C165-$AC$148),IF(DATE($C165,6,15)&gt;=$V$148,$Y$148*(1+($U$148)/100)^MAX(0,$C165-$AB$148),0)))))</f>
      </c>
      <c r="K165" s="43">
        <f>IF($S$148=0,0,IF(OR(DATE($C165,7,15)&lt;$S$148,AND($T$148&gt;0,DATE($C165,7,15)&gt;$T$148)),0,IF(DATE($C165,7,15)&gt;=$X$148,$AA$148*(1+($U$148)/100)^MAX(0,$C165-$AD$148),IF(DATE($C165,7,15)&gt;=$W$148,$Z$148*(1+($U$148)/100)^MAX(0,$C165-$AC$148),IF(DATE($C165,7,15)&gt;=$V$148,$Y$148*(1+($U$148)/100)^MAX(0,$C165-$AB$148),0)))))</f>
      </c>
      <c r="L165" s="43">
        <f>IF($S$148=0,0,IF(OR(DATE($C165,8,15)&lt;$S$148,AND($T$148&gt;0,DATE($C165,8,15)&gt;$T$148)),0,IF(DATE($C165,8,15)&gt;=$X$148,$AA$148*(1+($U$148)/100)^MAX(0,$C165-$AD$148),IF(DATE($C165,8,15)&gt;=$W$148,$Z$148*(1+($U$148)/100)^MAX(0,$C165-$AC$148),IF(DATE($C165,8,15)&gt;=$V$148,$Y$148*(1+($U$148)/100)^MAX(0,$C165-$AB$148),0)))))</f>
      </c>
      <c r="M165" s="43">
        <f>IF($S$148=0,0,IF(OR(DATE($C165,9,15)&lt;$S$148,AND($T$148&gt;0,DATE($C165,9,15)&gt;$T$148)),0,IF(DATE($C165,9,15)&gt;=$X$148,$AA$148*(1+($U$148)/100)^MAX(0,$C165-$AD$148),IF(DATE($C165,9,15)&gt;=$W$148,$Z$148*(1+($U$148)/100)^MAX(0,$C165-$AC$148),IF(DATE($C165,9,15)&gt;=$V$148,$Y$148*(1+($U$148)/100)^MAX(0,$C165-$AB$148),0)))))</f>
      </c>
      <c r="N165" s="43">
        <f>IF($S$148=0,0,IF(OR(DATE($C165,10,15)&lt;$S$148,AND($T$148&gt;0,DATE($C165,10,15)&gt;$T$148)),0,IF(DATE($C165,10,15)&gt;=$X$148,$AA$148*(1+($U$148)/100)^MAX(0,$C165-$AD$148),IF(DATE($C165,10,15)&gt;=$W$148,$Z$148*(1+($U$148)/100)^MAX(0,$C165-$AC$148),IF(DATE($C165,10,15)&gt;=$V$148,$Y$148*(1+($U$148)/100)^MAX(0,$C165-$AB$148),0)))))</f>
      </c>
      <c r="O165" s="43">
        <f>IF($S$148=0,0,IF(OR(DATE($C165,11,15)&lt;$S$148,AND($T$148&gt;0,DATE($C165,11,15)&gt;$T$148)),0,IF(DATE($C165,11,15)&gt;=$X$148,$AA$148*(1+($U$148)/100)^MAX(0,$C165-$AD$148),IF(DATE($C165,11,15)&gt;=$W$148,$Z$148*(1+($U$148)/100)^MAX(0,$C165-$AC$148),IF(DATE($C165,11,15)&gt;=$V$148,$Y$148*(1+($U$148)/100)^MAX(0,$C165-$AB$148),0)))))</f>
      </c>
      <c r="P165" s="43">
        <f>IF($S$148=0,0,IF(OR(DATE($C165,12,15)&lt;$S$148,AND($T$148&gt;0,DATE($C165,12,15)&gt;$T$148)),0,IF(DATE($C165,12,15)&gt;=$X$148,$AA$148*(1+($U$148)/100)^MAX(0,$C165-$AD$148),IF(DATE($C165,12,15)&gt;=$W$148,$Z$148*(1+($U$148)/100)^MAX(0,$C165-$AC$148),IF(DATE($C165,12,15)&gt;=$V$148,$Y$148*(1+($U$148)/100)^MAX(0,$C165-$AB$148),0)))))</f>
      </c>
      <c r="Q165" s="43">
        <f>SUM($E165:$P165)</f>
      </c>
    </row>
    <row r="166">
      <c r="A166"/>
      <c r="B166">
        <v>5</v>
      </c>
      <c r="C166" s="43">
        <f>Jahr+18</f>
      </c>
      <c r="D166" s="43">
        <f>INDEX(MvObj,5)</f>
      </c>
      <c r="E166" s="43">
        <f>IF($S$148=0,0,IF(OR(DATE($C166,1,15)&lt;$S$148,AND($T$148&gt;0,DATE($C166,1,15)&gt;$T$148)),0,IF(DATE($C166,1,15)&gt;=$X$148,$AA$148*(1+($U$148)/100)^MAX(0,$C166-$AD$148),IF(DATE($C166,1,15)&gt;=$W$148,$Z$148*(1+($U$148)/100)^MAX(0,$C166-$AC$148),IF(DATE($C166,1,15)&gt;=$V$148,$Y$148*(1+($U$148)/100)^MAX(0,$C166-$AB$148),0)))))</f>
      </c>
      <c r="F166" s="43">
        <f>IF($S$148=0,0,IF(OR(DATE($C166,2,15)&lt;$S$148,AND($T$148&gt;0,DATE($C166,2,15)&gt;$T$148)),0,IF(DATE($C166,2,15)&gt;=$X$148,$AA$148*(1+($U$148)/100)^MAX(0,$C166-$AD$148),IF(DATE($C166,2,15)&gt;=$W$148,$Z$148*(1+($U$148)/100)^MAX(0,$C166-$AC$148),IF(DATE($C166,2,15)&gt;=$V$148,$Y$148*(1+($U$148)/100)^MAX(0,$C166-$AB$148),0)))))</f>
      </c>
      <c r="G166" s="43">
        <f>IF($S$148=0,0,IF(OR(DATE($C166,3,15)&lt;$S$148,AND($T$148&gt;0,DATE($C166,3,15)&gt;$T$148)),0,IF(DATE($C166,3,15)&gt;=$X$148,$AA$148*(1+($U$148)/100)^MAX(0,$C166-$AD$148),IF(DATE($C166,3,15)&gt;=$W$148,$Z$148*(1+($U$148)/100)^MAX(0,$C166-$AC$148),IF(DATE($C166,3,15)&gt;=$V$148,$Y$148*(1+($U$148)/100)^MAX(0,$C166-$AB$148),0)))))</f>
      </c>
      <c r="H166" s="43">
        <f>IF($S$148=0,0,IF(OR(DATE($C166,4,15)&lt;$S$148,AND($T$148&gt;0,DATE($C166,4,15)&gt;$T$148)),0,IF(DATE($C166,4,15)&gt;=$X$148,$AA$148*(1+($U$148)/100)^MAX(0,$C166-$AD$148),IF(DATE($C166,4,15)&gt;=$W$148,$Z$148*(1+($U$148)/100)^MAX(0,$C166-$AC$148),IF(DATE($C166,4,15)&gt;=$V$148,$Y$148*(1+($U$148)/100)^MAX(0,$C166-$AB$148),0)))))</f>
      </c>
      <c r="I166" s="43">
        <f>IF($S$148=0,0,IF(OR(DATE($C166,5,15)&lt;$S$148,AND($T$148&gt;0,DATE($C166,5,15)&gt;$T$148)),0,IF(DATE($C166,5,15)&gt;=$X$148,$AA$148*(1+($U$148)/100)^MAX(0,$C166-$AD$148),IF(DATE($C166,5,15)&gt;=$W$148,$Z$148*(1+($U$148)/100)^MAX(0,$C166-$AC$148),IF(DATE($C166,5,15)&gt;=$V$148,$Y$148*(1+($U$148)/100)^MAX(0,$C166-$AB$148),0)))))</f>
      </c>
      <c r="J166" s="43">
        <f>IF($S$148=0,0,IF(OR(DATE($C166,6,15)&lt;$S$148,AND($T$148&gt;0,DATE($C166,6,15)&gt;$T$148)),0,IF(DATE($C166,6,15)&gt;=$X$148,$AA$148*(1+($U$148)/100)^MAX(0,$C166-$AD$148),IF(DATE($C166,6,15)&gt;=$W$148,$Z$148*(1+($U$148)/100)^MAX(0,$C166-$AC$148),IF(DATE($C166,6,15)&gt;=$V$148,$Y$148*(1+($U$148)/100)^MAX(0,$C166-$AB$148),0)))))</f>
      </c>
      <c r="K166" s="43">
        <f>IF($S$148=0,0,IF(OR(DATE($C166,7,15)&lt;$S$148,AND($T$148&gt;0,DATE($C166,7,15)&gt;$T$148)),0,IF(DATE($C166,7,15)&gt;=$X$148,$AA$148*(1+($U$148)/100)^MAX(0,$C166-$AD$148),IF(DATE($C166,7,15)&gt;=$W$148,$Z$148*(1+($U$148)/100)^MAX(0,$C166-$AC$148),IF(DATE($C166,7,15)&gt;=$V$148,$Y$148*(1+($U$148)/100)^MAX(0,$C166-$AB$148),0)))))</f>
      </c>
      <c r="L166" s="43">
        <f>IF($S$148=0,0,IF(OR(DATE($C166,8,15)&lt;$S$148,AND($T$148&gt;0,DATE($C166,8,15)&gt;$T$148)),0,IF(DATE($C166,8,15)&gt;=$X$148,$AA$148*(1+($U$148)/100)^MAX(0,$C166-$AD$148),IF(DATE($C166,8,15)&gt;=$W$148,$Z$148*(1+($U$148)/100)^MAX(0,$C166-$AC$148),IF(DATE($C166,8,15)&gt;=$V$148,$Y$148*(1+($U$148)/100)^MAX(0,$C166-$AB$148),0)))))</f>
      </c>
      <c r="M166" s="43">
        <f>IF($S$148=0,0,IF(OR(DATE($C166,9,15)&lt;$S$148,AND($T$148&gt;0,DATE($C166,9,15)&gt;$T$148)),0,IF(DATE($C166,9,15)&gt;=$X$148,$AA$148*(1+($U$148)/100)^MAX(0,$C166-$AD$148),IF(DATE($C166,9,15)&gt;=$W$148,$Z$148*(1+($U$148)/100)^MAX(0,$C166-$AC$148),IF(DATE($C166,9,15)&gt;=$V$148,$Y$148*(1+($U$148)/100)^MAX(0,$C166-$AB$148),0)))))</f>
      </c>
      <c r="N166" s="43">
        <f>IF($S$148=0,0,IF(OR(DATE($C166,10,15)&lt;$S$148,AND($T$148&gt;0,DATE($C166,10,15)&gt;$T$148)),0,IF(DATE($C166,10,15)&gt;=$X$148,$AA$148*(1+($U$148)/100)^MAX(0,$C166-$AD$148),IF(DATE($C166,10,15)&gt;=$W$148,$Z$148*(1+($U$148)/100)^MAX(0,$C166-$AC$148),IF(DATE($C166,10,15)&gt;=$V$148,$Y$148*(1+($U$148)/100)^MAX(0,$C166-$AB$148),0)))))</f>
      </c>
      <c r="O166" s="43">
        <f>IF($S$148=0,0,IF(OR(DATE($C166,11,15)&lt;$S$148,AND($T$148&gt;0,DATE($C166,11,15)&gt;$T$148)),0,IF(DATE($C166,11,15)&gt;=$X$148,$AA$148*(1+($U$148)/100)^MAX(0,$C166-$AD$148),IF(DATE($C166,11,15)&gt;=$W$148,$Z$148*(1+($U$148)/100)^MAX(0,$C166-$AC$148),IF(DATE($C166,11,15)&gt;=$V$148,$Y$148*(1+($U$148)/100)^MAX(0,$C166-$AB$148),0)))))</f>
      </c>
      <c r="P166" s="43">
        <f>IF($S$148=0,0,IF(OR(DATE($C166,12,15)&lt;$S$148,AND($T$148&gt;0,DATE($C166,12,15)&gt;$T$148)),0,IF(DATE($C166,12,15)&gt;=$X$148,$AA$148*(1+($U$148)/100)^MAX(0,$C166-$AD$148),IF(DATE($C166,12,15)&gt;=$W$148,$Z$148*(1+($U$148)/100)^MAX(0,$C166-$AC$148),IF(DATE($C166,12,15)&gt;=$V$148,$Y$148*(1+($U$148)/100)^MAX(0,$C166-$AB$148),0)))))</f>
      </c>
      <c r="Q166" s="43">
        <f>SUM($E166:$P166)</f>
      </c>
    </row>
    <row r="167">
      <c r="A167"/>
      <c r="B167">
        <v>5</v>
      </c>
      <c r="C167" s="43">
        <f>Jahr+19</f>
      </c>
      <c r="D167" s="43">
        <f>INDEX(MvObj,5)</f>
      </c>
      <c r="E167" s="43">
        <f>IF($S$148=0,0,IF(OR(DATE($C167,1,15)&lt;$S$148,AND($T$148&gt;0,DATE($C167,1,15)&gt;$T$148)),0,IF(DATE($C167,1,15)&gt;=$X$148,$AA$148*(1+($U$148)/100)^MAX(0,$C167-$AD$148),IF(DATE($C167,1,15)&gt;=$W$148,$Z$148*(1+($U$148)/100)^MAX(0,$C167-$AC$148),IF(DATE($C167,1,15)&gt;=$V$148,$Y$148*(1+($U$148)/100)^MAX(0,$C167-$AB$148),0)))))</f>
      </c>
      <c r="F167" s="43">
        <f>IF($S$148=0,0,IF(OR(DATE($C167,2,15)&lt;$S$148,AND($T$148&gt;0,DATE($C167,2,15)&gt;$T$148)),0,IF(DATE($C167,2,15)&gt;=$X$148,$AA$148*(1+($U$148)/100)^MAX(0,$C167-$AD$148),IF(DATE($C167,2,15)&gt;=$W$148,$Z$148*(1+($U$148)/100)^MAX(0,$C167-$AC$148),IF(DATE($C167,2,15)&gt;=$V$148,$Y$148*(1+($U$148)/100)^MAX(0,$C167-$AB$148),0)))))</f>
      </c>
      <c r="G167" s="43">
        <f>IF($S$148=0,0,IF(OR(DATE($C167,3,15)&lt;$S$148,AND($T$148&gt;0,DATE($C167,3,15)&gt;$T$148)),0,IF(DATE($C167,3,15)&gt;=$X$148,$AA$148*(1+($U$148)/100)^MAX(0,$C167-$AD$148),IF(DATE($C167,3,15)&gt;=$W$148,$Z$148*(1+($U$148)/100)^MAX(0,$C167-$AC$148),IF(DATE($C167,3,15)&gt;=$V$148,$Y$148*(1+($U$148)/100)^MAX(0,$C167-$AB$148),0)))))</f>
      </c>
      <c r="H167" s="43">
        <f>IF($S$148=0,0,IF(OR(DATE($C167,4,15)&lt;$S$148,AND($T$148&gt;0,DATE($C167,4,15)&gt;$T$148)),0,IF(DATE($C167,4,15)&gt;=$X$148,$AA$148*(1+($U$148)/100)^MAX(0,$C167-$AD$148),IF(DATE($C167,4,15)&gt;=$W$148,$Z$148*(1+($U$148)/100)^MAX(0,$C167-$AC$148),IF(DATE($C167,4,15)&gt;=$V$148,$Y$148*(1+($U$148)/100)^MAX(0,$C167-$AB$148),0)))))</f>
      </c>
      <c r="I167" s="43">
        <f>IF($S$148=0,0,IF(OR(DATE($C167,5,15)&lt;$S$148,AND($T$148&gt;0,DATE($C167,5,15)&gt;$T$148)),0,IF(DATE($C167,5,15)&gt;=$X$148,$AA$148*(1+($U$148)/100)^MAX(0,$C167-$AD$148),IF(DATE($C167,5,15)&gt;=$W$148,$Z$148*(1+($U$148)/100)^MAX(0,$C167-$AC$148),IF(DATE($C167,5,15)&gt;=$V$148,$Y$148*(1+($U$148)/100)^MAX(0,$C167-$AB$148),0)))))</f>
      </c>
      <c r="J167" s="43">
        <f>IF($S$148=0,0,IF(OR(DATE($C167,6,15)&lt;$S$148,AND($T$148&gt;0,DATE($C167,6,15)&gt;$T$148)),0,IF(DATE($C167,6,15)&gt;=$X$148,$AA$148*(1+($U$148)/100)^MAX(0,$C167-$AD$148),IF(DATE($C167,6,15)&gt;=$W$148,$Z$148*(1+($U$148)/100)^MAX(0,$C167-$AC$148),IF(DATE($C167,6,15)&gt;=$V$148,$Y$148*(1+($U$148)/100)^MAX(0,$C167-$AB$148),0)))))</f>
      </c>
      <c r="K167" s="43">
        <f>IF($S$148=0,0,IF(OR(DATE($C167,7,15)&lt;$S$148,AND($T$148&gt;0,DATE($C167,7,15)&gt;$T$148)),0,IF(DATE($C167,7,15)&gt;=$X$148,$AA$148*(1+($U$148)/100)^MAX(0,$C167-$AD$148),IF(DATE($C167,7,15)&gt;=$W$148,$Z$148*(1+($U$148)/100)^MAX(0,$C167-$AC$148),IF(DATE($C167,7,15)&gt;=$V$148,$Y$148*(1+($U$148)/100)^MAX(0,$C167-$AB$148),0)))))</f>
      </c>
      <c r="L167" s="43">
        <f>IF($S$148=0,0,IF(OR(DATE($C167,8,15)&lt;$S$148,AND($T$148&gt;0,DATE($C167,8,15)&gt;$T$148)),0,IF(DATE($C167,8,15)&gt;=$X$148,$AA$148*(1+($U$148)/100)^MAX(0,$C167-$AD$148),IF(DATE($C167,8,15)&gt;=$W$148,$Z$148*(1+($U$148)/100)^MAX(0,$C167-$AC$148),IF(DATE($C167,8,15)&gt;=$V$148,$Y$148*(1+($U$148)/100)^MAX(0,$C167-$AB$148),0)))))</f>
      </c>
      <c r="M167" s="43">
        <f>IF($S$148=0,0,IF(OR(DATE($C167,9,15)&lt;$S$148,AND($T$148&gt;0,DATE($C167,9,15)&gt;$T$148)),0,IF(DATE($C167,9,15)&gt;=$X$148,$AA$148*(1+($U$148)/100)^MAX(0,$C167-$AD$148),IF(DATE($C167,9,15)&gt;=$W$148,$Z$148*(1+($U$148)/100)^MAX(0,$C167-$AC$148),IF(DATE($C167,9,15)&gt;=$V$148,$Y$148*(1+($U$148)/100)^MAX(0,$C167-$AB$148),0)))))</f>
      </c>
      <c r="N167" s="43">
        <f>IF($S$148=0,0,IF(OR(DATE($C167,10,15)&lt;$S$148,AND($T$148&gt;0,DATE($C167,10,15)&gt;$T$148)),0,IF(DATE($C167,10,15)&gt;=$X$148,$AA$148*(1+($U$148)/100)^MAX(0,$C167-$AD$148),IF(DATE($C167,10,15)&gt;=$W$148,$Z$148*(1+($U$148)/100)^MAX(0,$C167-$AC$148),IF(DATE($C167,10,15)&gt;=$V$148,$Y$148*(1+($U$148)/100)^MAX(0,$C167-$AB$148),0)))))</f>
      </c>
      <c r="O167" s="43">
        <f>IF($S$148=0,0,IF(OR(DATE($C167,11,15)&lt;$S$148,AND($T$148&gt;0,DATE($C167,11,15)&gt;$T$148)),0,IF(DATE($C167,11,15)&gt;=$X$148,$AA$148*(1+($U$148)/100)^MAX(0,$C167-$AD$148),IF(DATE($C167,11,15)&gt;=$W$148,$Z$148*(1+($U$148)/100)^MAX(0,$C167-$AC$148),IF(DATE($C167,11,15)&gt;=$V$148,$Y$148*(1+($U$148)/100)^MAX(0,$C167-$AB$148),0)))))</f>
      </c>
      <c r="P167" s="43">
        <f>IF($S$148=0,0,IF(OR(DATE($C167,12,15)&lt;$S$148,AND($T$148&gt;0,DATE($C167,12,15)&gt;$T$148)),0,IF(DATE($C167,12,15)&gt;=$X$148,$AA$148*(1+($U$148)/100)^MAX(0,$C167-$AD$148),IF(DATE($C167,12,15)&gt;=$W$148,$Z$148*(1+($U$148)/100)^MAX(0,$C167-$AC$148),IF(DATE($C167,12,15)&gt;=$V$148,$Y$148*(1+($U$148)/100)^MAX(0,$C167-$AB$148),0)))))</f>
      </c>
      <c r="Q167" s="43">
        <f>SUM($E167:$P167)</f>
      </c>
    </row>
    <row r="168">
      <c r="A168"/>
      <c r="B168">
        <v>5</v>
      </c>
      <c r="C168" s="43">
        <f>Jahr+20</f>
      </c>
      <c r="D168" s="43">
        <f>INDEX(MvObj,5)</f>
      </c>
      <c r="E168" s="43">
        <f>IF($S$148=0,0,IF(OR(DATE($C168,1,15)&lt;$S$148,AND($T$148&gt;0,DATE($C168,1,15)&gt;$T$148)),0,IF(DATE($C168,1,15)&gt;=$X$148,$AA$148*(1+($U$148)/100)^MAX(0,$C168-$AD$148),IF(DATE($C168,1,15)&gt;=$W$148,$Z$148*(1+($U$148)/100)^MAX(0,$C168-$AC$148),IF(DATE($C168,1,15)&gt;=$V$148,$Y$148*(1+($U$148)/100)^MAX(0,$C168-$AB$148),0)))))</f>
      </c>
      <c r="F168" s="43">
        <f>IF($S$148=0,0,IF(OR(DATE($C168,2,15)&lt;$S$148,AND($T$148&gt;0,DATE($C168,2,15)&gt;$T$148)),0,IF(DATE($C168,2,15)&gt;=$X$148,$AA$148*(1+($U$148)/100)^MAX(0,$C168-$AD$148),IF(DATE($C168,2,15)&gt;=$W$148,$Z$148*(1+($U$148)/100)^MAX(0,$C168-$AC$148),IF(DATE($C168,2,15)&gt;=$V$148,$Y$148*(1+($U$148)/100)^MAX(0,$C168-$AB$148),0)))))</f>
      </c>
      <c r="G168" s="43">
        <f>IF($S$148=0,0,IF(OR(DATE($C168,3,15)&lt;$S$148,AND($T$148&gt;0,DATE($C168,3,15)&gt;$T$148)),0,IF(DATE($C168,3,15)&gt;=$X$148,$AA$148*(1+($U$148)/100)^MAX(0,$C168-$AD$148),IF(DATE($C168,3,15)&gt;=$W$148,$Z$148*(1+($U$148)/100)^MAX(0,$C168-$AC$148),IF(DATE($C168,3,15)&gt;=$V$148,$Y$148*(1+($U$148)/100)^MAX(0,$C168-$AB$148),0)))))</f>
      </c>
      <c r="H168" s="43">
        <f>IF($S$148=0,0,IF(OR(DATE($C168,4,15)&lt;$S$148,AND($T$148&gt;0,DATE($C168,4,15)&gt;$T$148)),0,IF(DATE($C168,4,15)&gt;=$X$148,$AA$148*(1+($U$148)/100)^MAX(0,$C168-$AD$148),IF(DATE($C168,4,15)&gt;=$W$148,$Z$148*(1+($U$148)/100)^MAX(0,$C168-$AC$148),IF(DATE($C168,4,15)&gt;=$V$148,$Y$148*(1+($U$148)/100)^MAX(0,$C168-$AB$148),0)))))</f>
      </c>
      <c r="I168" s="43">
        <f>IF($S$148=0,0,IF(OR(DATE($C168,5,15)&lt;$S$148,AND($T$148&gt;0,DATE($C168,5,15)&gt;$T$148)),0,IF(DATE($C168,5,15)&gt;=$X$148,$AA$148*(1+($U$148)/100)^MAX(0,$C168-$AD$148),IF(DATE($C168,5,15)&gt;=$W$148,$Z$148*(1+($U$148)/100)^MAX(0,$C168-$AC$148),IF(DATE($C168,5,15)&gt;=$V$148,$Y$148*(1+($U$148)/100)^MAX(0,$C168-$AB$148),0)))))</f>
      </c>
      <c r="J168" s="43">
        <f>IF($S$148=0,0,IF(OR(DATE($C168,6,15)&lt;$S$148,AND($T$148&gt;0,DATE($C168,6,15)&gt;$T$148)),0,IF(DATE($C168,6,15)&gt;=$X$148,$AA$148*(1+($U$148)/100)^MAX(0,$C168-$AD$148),IF(DATE($C168,6,15)&gt;=$W$148,$Z$148*(1+($U$148)/100)^MAX(0,$C168-$AC$148),IF(DATE($C168,6,15)&gt;=$V$148,$Y$148*(1+($U$148)/100)^MAX(0,$C168-$AB$148),0)))))</f>
      </c>
      <c r="K168" s="43">
        <f>IF($S$148=0,0,IF(OR(DATE($C168,7,15)&lt;$S$148,AND($T$148&gt;0,DATE($C168,7,15)&gt;$T$148)),0,IF(DATE($C168,7,15)&gt;=$X$148,$AA$148*(1+($U$148)/100)^MAX(0,$C168-$AD$148),IF(DATE($C168,7,15)&gt;=$W$148,$Z$148*(1+($U$148)/100)^MAX(0,$C168-$AC$148),IF(DATE($C168,7,15)&gt;=$V$148,$Y$148*(1+($U$148)/100)^MAX(0,$C168-$AB$148),0)))))</f>
      </c>
      <c r="L168" s="43">
        <f>IF($S$148=0,0,IF(OR(DATE($C168,8,15)&lt;$S$148,AND($T$148&gt;0,DATE($C168,8,15)&gt;$T$148)),0,IF(DATE($C168,8,15)&gt;=$X$148,$AA$148*(1+($U$148)/100)^MAX(0,$C168-$AD$148),IF(DATE($C168,8,15)&gt;=$W$148,$Z$148*(1+($U$148)/100)^MAX(0,$C168-$AC$148),IF(DATE($C168,8,15)&gt;=$V$148,$Y$148*(1+($U$148)/100)^MAX(0,$C168-$AB$148),0)))))</f>
      </c>
      <c r="M168" s="43">
        <f>IF($S$148=0,0,IF(OR(DATE($C168,9,15)&lt;$S$148,AND($T$148&gt;0,DATE($C168,9,15)&gt;$T$148)),0,IF(DATE($C168,9,15)&gt;=$X$148,$AA$148*(1+($U$148)/100)^MAX(0,$C168-$AD$148),IF(DATE($C168,9,15)&gt;=$W$148,$Z$148*(1+($U$148)/100)^MAX(0,$C168-$AC$148),IF(DATE($C168,9,15)&gt;=$V$148,$Y$148*(1+($U$148)/100)^MAX(0,$C168-$AB$148),0)))))</f>
      </c>
      <c r="N168" s="43">
        <f>IF($S$148=0,0,IF(OR(DATE($C168,10,15)&lt;$S$148,AND($T$148&gt;0,DATE($C168,10,15)&gt;$T$148)),0,IF(DATE($C168,10,15)&gt;=$X$148,$AA$148*(1+($U$148)/100)^MAX(0,$C168-$AD$148),IF(DATE($C168,10,15)&gt;=$W$148,$Z$148*(1+($U$148)/100)^MAX(0,$C168-$AC$148),IF(DATE($C168,10,15)&gt;=$V$148,$Y$148*(1+($U$148)/100)^MAX(0,$C168-$AB$148),0)))))</f>
      </c>
      <c r="O168" s="43">
        <f>IF($S$148=0,0,IF(OR(DATE($C168,11,15)&lt;$S$148,AND($T$148&gt;0,DATE($C168,11,15)&gt;$T$148)),0,IF(DATE($C168,11,15)&gt;=$X$148,$AA$148*(1+($U$148)/100)^MAX(0,$C168-$AD$148),IF(DATE($C168,11,15)&gt;=$W$148,$Z$148*(1+($U$148)/100)^MAX(0,$C168-$AC$148),IF(DATE($C168,11,15)&gt;=$V$148,$Y$148*(1+($U$148)/100)^MAX(0,$C168-$AB$148),0)))))</f>
      </c>
      <c r="P168" s="43">
        <f>IF($S$148=0,0,IF(OR(DATE($C168,12,15)&lt;$S$148,AND($T$148&gt;0,DATE($C168,12,15)&gt;$T$148)),0,IF(DATE($C168,12,15)&gt;=$X$148,$AA$148*(1+($U$148)/100)^MAX(0,$C168-$AD$148),IF(DATE($C168,12,15)&gt;=$W$148,$Z$148*(1+($U$148)/100)^MAX(0,$C168-$AC$148),IF(DATE($C168,12,15)&gt;=$V$148,$Y$148*(1+($U$148)/100)^MAX(0,$C168-$AB$148),0)))))</f>
      </c>
      <c r="Q168" s="43">
        <f>SUM($E168:$P168)</f>
      </c>
    </row>
    <row r="169">
      <c r="A169"/>
      <c r="B169">
        <v>5</v>
      </c>
      <c r="C169" s="43">
        <f>Jahr+21</f>
      </c>
      <c r="D169" s="43">
        <f>INDEX(MvObj,5)</f>
      </c>
      <c r="E169" s="43">
        <f>IF($S$148=0,0,IF(OR(DATE($C169,1,15)&lt;$S$148,AND($T$148&gt;0,DATE($C169,1,15)&gt;$T$148)),0,IF(DATE($C169,1,15)&gt;=$X$148,$AA$148*(1+($U$148)/100)^MAX(0,$C169-$AD$148),IF(DATE($C169,1,15)&gt;=$W$148,$Z$148*(1+($U$148)/100)^MAX(0,$C169-$AC$148),IF(DATE($C169,1,15)&gt;=$V$148,$Y$148*(1+($U$148)/100)^MAX(0,$C169-$AB$148),0)))))</f>
      </c>
      <c r="F169" s="43">
        <f>IF($S$148=0,0,IF(OR(DATE($C169,2,15)&lt;$S$148,AND($T$148&gt;0,DATE($C169,2,15)&gt;$T$148)),0,IF(DATE($C169,2,15)&gt;=$X$148,$AA$148*(1+($U$148)/100)^MAX(0,$C169-$AD$148),IF(DATE($C169,2,15)&gt;=$W$148,$Z$148*(1+($U$148)/100)^MAX(0,$C169-$AC$148),IF(DATE($C169,2,15)&gt;=$V$148,$Y$148*(1+($U$148)/100)^MAX(0,$C169-$AB$148),0)))))</f>
      </c>
      <c r="G169" s="43">
        <f>IF($S$148=0,0,IF(OR(DATE($C169,3,15)&lt;$S$148,AND($T$148&gt;0,DATE($C169,3,15)&gt;$T$148)),0,IF(DATE($C169,3,15)&gt;=$X$148,$AA$148*(1+($U$148)/100)^MAX(0,$C169-$AD$148),IF(DATE($C169,3,15)&gt;=$W$148,$Z$148*(1+($U$148)/100)^MAX(0,$C169-$AC$148),IF(DATE($C169,3,15)&gt;=$V$148,$Y$148*(1+($U$148)/100)^MAX(0,$C169-$AB$148),0)))))</f>
      </c>
      <c r="H169" s="43">
        <f>IF($S$148=0,0,IF(OR(DATE($C169,4,15)&lt;$S$148,AND($T$148&gt;0,DATE($C169,4,15)&gt;$T$148)),0,IF(DATE($C169,4,15)&gt;=$X$148,$AA$148*(1+($U$148)/100)^MAX(0,$C169-$AD$148),IF(DATE($C169,4,15)&gt;=$W$148,$Z$148*(1+($U$148)/100)^MAX(0,$C169-$AC$148),IF(DATE($C169,4,15)&gt;=$V$148,$Y$148*(1+($U$148)/100)^MAX(0,$C169-$AB$148),0)))))</f>
      </c>
      <c r="I169" s="43">
        <f>IF($S$148=0,0,IF(OR(DATE($C169,5,15)&lt;$S$148,AND($T$148&gt;0,DATE($C169,5,15)&gt;$T$148)),0,IF(DATE($C169,5,15)&gt;=$X$148,$AA$148*(1+($U$148)/100)^MAX(0,$C169-$AD$148),IF(DATE($C169,5,15)&gt;=$W$148,$Z$148*(1+($U$148)/100)^MAX(0,$C169-$AC$148),IF(DATE($C169,5,15)&gt;=$V$148,$Y$148*(1+($U$148)/100)^MAX(0,$C169-$AB$148),0)))))</f>
      </c>
      <c r="J169" s="43">
        <f>IF($S$148=0,0,IF(OR(DATE($C169,6,15)&lt;$S$148,AND($T$148&gt;0,DATE($C169,6,15)&gt;$T$148)),0,IF(DATE($C169,6,15)&gt;=$X$148,$AA$148*(1+($U$148)/100)^MAX(0,$C169-$AD$148),IF(DATE($C169,6,15)&gt;=$W$148,$Z$148*(1+($U$148)/100)^MAX(0,$C169-$AC$148),IF(DATE($C169,6,15)&gt;=$V$148,$Y$148*(1+($U$148)/100)^MAX(0,$C169-$AB$148),0)))))</f>
      </c>
      <c r="K169" s="43">
        <f>IF($S$148=0,0,IF(OR(DATE($C169,7,15)&lt;$S$148,AND($T$148&gt;0,DATE($C169,7,15)&gt;$T$148)),0,IF(DATE($C169,7,15)&gt;=$X$148,$AA$148*(1+($U$148)/100)^MAX(0,$C169-$AD$148),IF(DATE($C169,7,15)&gt;=$W$148,$Z$148*(1+($U$148)/100)^MAX(0,$C169-$AC$148),IF(DATE($C169,7,15)&gt;=$V$148,$Y$148*(1+($U$148)/100)^MAX(0,$C169-$AB$148),0)))))</f>
      </c>
      <c r="L169" s="43">
        <f>IF($S$148=0,0,IF(OR(DATE($C169,8,15)&lt;$S$148,AND($T$148&gt;0,DATE($C169,8,15)&gt;$T$148)),0,IF(DATE($C169,8,15)&gt;=$X$148,$AA$148*(1+($U$148)/100)^MAX(0,$C169-$AD$148),IF(DATE($C169,8,15)&gt;=$W$148,$Z$148*(1+($U$148)/100)^MAX(0,$C169-$AC$148),IF(DATE($C169,8,15)&gt;=$V$148,$Y$148*(1+($U$148)/100)^MAX(0,$C169-$AB$148),0)))))</f>
      </c>
      <c r="M169" s="43">
        <f>IF($S$148=0,0,IF(OR(DATE($C169,9,15)&lt;$S$148,AND($T$148&gt;0,DATE($C169,9,15)&gt;$T$148)),0,IF(DATE($C169,9,15)&gt;=$X$148,$AA$148*(1+($U$148)/100)^MAX(0,$C169-$AD$148),IF(DATE($C169,9,15)&gt;=$W$148,$Z$148*(1+($U$148)/100)^MAX(0,$C169-$AC$148),IF(DATE($C169,9,15)&gt;=$V$148,$Y$148*(1+($U$148)/100)^MAX(0,$C169-$AB$148),0)))))</f>
      </c>
      <c r="N169" s="43">
        <f>IF($S$148=0,0,IF(OR(DATE($C169,10,15)&lt;$S$148,AND($T$148&gt;0,DATE($C169,10,15)&gt;$T$148)),0,IF(DATE($C169,10,15)&gt;=$X$148,$AA$148*(1+($U$148)/100)^MAX(0,$C169-$AD$148),IF(DATE($C169,10,15)&gt;=$W$148,$Z$148*(1+($U$148)/100)^MAX(0,$C169-$AC$148),IF(DATE($C169,10,15)&gt;=$V$148,$Y$148*(1+($U$148)/100)^MAX(0,$C169-$AB$148),0)))))</f>
      </c>
      <c r="O169" s="43">
        <f>IF($S$148=0,0,IF(OR(DATE($C169,11,15)&lt;$S$148,AND($T$148&gt;0,DATE($C169,11,15)&gt;$T$148)),0,IF(DATE($C169,11,15)&gt;=$X$148,$AA$148*(1+($U$148)/100)^MAX(0,$C169-$AD$148),IF(DATE($C169,11,15)&gt;=$W$148,$Z$148*(1+($U$148)/100)^MAX(0,$C169-$AC$148),IF(DATE($C169,11,15)&gt;=$V$148,$Y$148*(1+($U$148)/100)^MAX(0,$C169-$AB$148),0)))))</f>
      </c>
      <c r="P169" s="43">
        <f>IF($S$148=0,0,IF(OR(DATE($C169,12,15)&lt;$S$148,AND($T$148&gt;0,DATE($C169,12,15)&gt;$T$148)),0,IF(DATE($C169,12,15)&gt;=$X$148,$AA$148*(1+($U$148)/100)^MAX(0,$C169-$AD$148),IF(DATE($C169,12,15)&gt;=$W$148,$Z$148*(1+($U$148)/100)^MAX(0,$C169-$AC$148),IF(DATE($C169,12,15)&gt;=$V$148,$Y$148*(1+($U$148)/100)^MAX(0,$C169-$AB$148),0)))))</f>
      </c>
      <c r="Q169" s="43">
        <f>SUM($E169:$P169)</f>
      </c>
    </row>
    <row r="170">
      <c r="A170"/>
      <c r="B170">
        <v>5</v>
      </c>
      <c r="C170" s="43">
        <f>Jahr+22</f>
      </c>
      <c r="D170" s="43">
        <f>INDEX(MvObj,5)</f>
      </c>
      <c r="E170" s="43">
        <f>IF($S$148=0,0,IF(OR(DATE($C170,1,15)&lt;$S$148,AND($T$148&gt;0,DATE($C170,1,15)&gt;$T$148)),0,IF(DATE($C170,1,15)&gt;=$X$148,$AA$148*(1+($U$148)/100)^MAX(0,$C170-$AD$148),IF(DATE($C170,1,15)&gt;=$W$148,$Z$148*(1+($U$148)/100)^MAX(0,$C170-$AC$148),IF(DATE($C170,1,15)&gt;=$V$148,$Y$148*(1+($U$148)/100)^MAX(0,$C170-$AB$148),0)))))</f>
      </c>
      <c r="F170" s="43">
        <f>IF($S$148=0,0,IF(OR(DATE($C170,2,15)&lt;$S$148,AND($T$148&gt;0,DATE($C170,2,15)&gt;$T$148)),0,IF(DATE($C170,2,15)&gt;=$X$148,$AA$148*(1+($U$148)/100)^MAX(0,$C170-$AD$148),IF(DATE($C170,2,15)&gt;=$W$148,$Z$148*(1+($U$148)/100)^MAX(0,$C170-$AC$148),IF(DATE($C170,2,15)&gt;=$V$148,$Y$148*(1+($U$148)/100)^MAX(0,$C170-$AB$148),0)))))</f>
      </c>
      <c r="G170" s="43">
        <f>IF($S$148=0,0,IF(OR(DATE($C170,3,15)&lt;$S$148,AND($T$148&gt;0,DATE($C170,3,15)&gt;$T$148)),0,IF(DATE($C170,3,15)&gt;=$X$148,$AA$148*(1+($U$148)/100)^MAX(0,$C170-$AD$148),IF(DATE($C170,3,15)&gt;=$W$148,$Z$148*(1+($U$148)/100)^MAX(0,$C170-$AC$148),IF(DATE($C170,3,15)&gt;=$V$148,$Y$148*(1+($U$148)/100)^MAX(0,$C170-$AB$148),0)))))</f>
      </c>
      <c r="H170" s="43">
        <f>IF($S$148=0,0,IF(OR(DATE($C170,4,15)&lt;$S$148,AND($T$148&gt;0,DATE($C170,4,15)&gt;$T$148)),0,IF(DATE($C170,4,15)&gt;=$X$148,$AA$148*(1+($U$148)/100)^MAX(0,$C170-$AD$148),IF(DATE($C170,4,15)&gt;=$W$148,$Z$148*(1+($U$148)/100)^MAX(0,$C170-$AC$148),IF(DATE($C170,4,15)&gt;=$V$148,$Y$148*(1+($U$148)/100)^MAX(0,$C170-$AB$148),0)))))</f>
      </c>
      <c r="I170" s="43">
        <f>IF($S$148=0,0,IF(OR(DATE($C170,5,15)&lt;$S$148,AND($T$148&gt;0,DATE($C170,5,15)&gt;$T$148)),0,IF(DATE($C170,5,15)&gt;=$X$148,$AA$148*(1+($U$148)/100)^MAX(0,$C170-$AD$148),IF(DATE($C170,5,15)&gt;=$W$148,$Z$148*(1+($U$148)/100)^MAX(0,$C170-$AC$148),IF(DATE($C170,5,15)&gt;=$V$148,$Y$148*(1+($U$148)/100)^MAX(0,$C170-$AB$148),0)))))</f>
      </c>
      <c r="J170" s="43">
        <f>IF($S$148=0,0,IF(OR(DATE($C170,6,15)&lt;$S$148,AND($T$148&gt;0,DATE($C170,6,15)&gt;$T$148)),0,IF(DATE($C170,6,15)&gt;=$X$148,$AA$148*(1+($U$148)/100)^MAX(0,$C170-$AD$148),IF(DATE($C170,6,15)&gt;=$W$148,$Z$148*(1+($U$148)/100)^MAX(0,$C170-$AC$148),IF(DATE($C170,6,15)&gt;=$V$148,$Y$148*(1+($U$148)/100)^MAX(0,$C170-$AB$148),0)))))</f>
      </c>
      <c r="K170" s="43">
        <f>IF($S$148=0,0,IF(OR(DATE($C170,7,15)&lt;$S$148,AND($T$148&gt;0,DATE($C170,7,15)&gt;$T$148)),0,IF(DATE($C170,7,15)&gt;=$X$148,$AA$148*(1+($U$148)/100)^MAX(0,$C170-$AD$148),IF(DATE($C170,7,15)&gt;=$W$148,$Z$148*(1+($U$148)/100)^MAX(0,$C170-$AC$148),IF(DATE($C170,7,15)&gt;=$V$148,$Y$148*(1+($U$148)/100)^MAX(0,$C170-$AB$148),0)))))</f>
      </c>
      <c r="L170" s="43">
        <f>IF($S$148=0,0,IF(OR(DATE($C170,8,15)&lt;$S$148,AND($T$148&gt;0,DATE($C170,8,15)&gt;$T$148)),0,IF(DATE($C170,8,15)&gt;=$X$148,$AA$148*(1+($U$148)/100)^MAX(0,$C170-$AD$148),IF(DATE($C170,8,15)&gt;=$W$148,$Z$148*(1+($U$148)/100)^MAX(0,$C170-$AC$148),IF(DATE($C170,8,15)&gt;=$V$148,$Y$148*(1+($U$148)/100)^MAX(0,$C170-$AB$148),0)))))</f>
      </c>
      <c r="M170" s="43">
        <f>IF($S$148=0,0,IF(OR(DATE($C170,9,15)&lt;$S$148,AND($T$148&gt;0,DATE($C170,9,15)&gt;$T$148)),0,IF(DATE($C170,9,15)&gt;=$X$148,$AA$148*(1+($U$148)/100)^MAX(0,$C170-$AD$148),IF(DATE($C170,9,15)&gt;=$W$148,$Z$148*(1+($U$148)/100)^MAX(0,$C170-$AC$148),IF(DATE($C170,9,15)&gt;=$V$148,$Y$148*(1+($U$148)/100)^MAX(0,$C170-$AB$148),0)))))</f>
      </c>
      <c r="N170" s="43">
        <f>IF($S$148=0,0,IF(OR(DATE($C170,10,15)&lt;$S$148,AND($T$148&gt;0,DATE($C170,10,15)&gt;$T$148)),0,IF(DATE($C170,10,15)&gt;=$X$148,$AA$148*(1+($U$148)/100)^MAX(0,$C170-$AD$148),IF(DATE($C170,10,15)&gt;=$W$148,$Z$148*(1+($U$148)/100)^MAX(0,$C170-$AC$148),IF(DATE($C170,10,15)&gt;=$V$148,$Y$148*(1+($U$148)/100)^MAX(0,$C170-$AB$148),0)))))</f>
      </c>
      <c r="O170" s="43">
        <f>IF($S$148=0,0,IF(OR(DATE($C170,11,15)&lt;$S$148,AND($T$148&gt;0,DATE($C170,11,15)&gt;$T$148)),0,IF(DATE($C170,11,15)&gt;=$X$148,$AA$148*(1+($U$148)/100)^MAX(0,$C170-$AD$148),IF(DATE($C170,11,15)&gt;=$W$148,$Z$148*(1+($U$148)/100)^MAX(0,$C170-$AC$148),IF(DATE($C170,11,15)&gt;=$V$148,$Y$148*(1+($U$148)/100)^MAX(0,$C170-$AB$148),0)))))</f>
      </c>
      <c r="P170" s="43">
        <f>IF($S$148=0,0,IF(OR(DATE($C170,12,15)&lt;$S$148,AND($T$148&gt;0,DATE($C170,12,15)&gt;$T$148)),0,IF(DATE($C170,12,15)&gt;=$X$148,$AA$148*(1+($U$148)/100)^MAX(0,$C170-$AD$148),IF(DATE($C170,12,15)&gt;=$W$148,$Z$148*(1+($U$148)/100)^MAX(0,$C170-$AC$148),IF(DATE($C170,12,15)&gt;=$V$148,$Y$148*(1+($U$148)/100)^MAX(0,$C170-$AB$148),0)))))</f>
      </c>
      <c r="Q170" s="43">
        <f>SUM($E170:$P170)</f>
      </c>
    </row>
    <row r="171">
      <c r="A171"/>
      <c r="B171">
        <v>5</v>
      </c>
      <c r="C171" s="43">
        <f>Jahr+23</f>
      </c>
      <c r="D171" s="43">
        <f>INDEX(MvObj,5)</f>
      </c>
      <c r="E171" s="43">
        <f>IF($S$148=0,0,IF(OR(DATE($C171,1,15)&lt;$S$148,AND($T$148&gt;0,DATE($C171,1,15)&gt;$T$148)),0,IF(DATE($C171,1,15)&gt;=$X$148,$AA$148*(1+($U$148)/100)^MAX(0,$C171-$AD$148),IF(DATE($C171,1,15)&gt;=$W$148,$Z$148*(1+($U$148)/100)^MAX(0,$C171-$AC$148),IF(DATE($C171,1,15)&gt;=$V$148,$Y$148*(1+($U$148)/100)^MAX(0,$C171-$AB$148),0)))))</f>
      </c>
      <c r="F171" s="43">
        <f>IF($S$148=0,0,IF(OR(DATE($C171,2,15)&lt;$S$148,AND($T$148&gt;0,DATE($C171,2,15)&gt;$T$148)),0,IF(DATE($C171,2,15)&gt;=$X$148,$AA$148*(1+($U$148)/100)^MAX(0,$C171-$AD$148),IF(DATE($C171,2,15)&gt;=$W$148,$Z$148*(1+($U$148)/100)^MAX(0,$C171-$AC$148),IF(DATE($C171,2,15)&gt;=$V$148,$Y$148*(1+($U$148)/100)^MAX(0,$C171-$AB$148),0)))))</f>
      </c>
      <c r="G171" s="43">
        <f>IF($S$148=0,0,IF(OR(DATE($C171,3,15)&lt;$S$148,AND($T$148&gt;0,DATE($C171,3,15)&gt;$T$148)),0,IF(DATE($C171,3,15)&gt;=$X$148,$AA$148*(1+($U$148)/100)^MAX(0,$C171-$AD$148),IF(DATE($C171,3,15)&gt;=$W$148,$Z$148*(1+($U$148)/100)^MAX(0,$C171-$AC$148),IF(DATE($C171,3,15)&gt;=$V$148,$Y$148*(1+($U$148)/100)^MAX(0,$C171-$AB$148),0)))))</f>
      </c>
      <c r="H171" s="43">
        <f>IF($S$148=0,0,IF(OR(DATE($C171,4,15)&lt;$S$148,AND($T$148&gt;0,DATE($C171,4,15)&gt;$T$148)),0,IF(DATE($C171,4,15)&gt;=$X$148,$AA$148*(1+($U$148)/100)^MAX(0,$C171-$AD$148),IF(DATE($C171,4,15)&gt;=$W$148,$Z$148*(1+($U$148)/100)^MAX(0,$C171-$AC$148),IF(DATE($C171,4,15)&gt;=$V$148,$Y$148*(1+($U$148)/100)^MAX(0,$C171-$AB$148),0)))))</f>
      </c>
      <c r="I171" s="43">
        <f>IF($S$148=0,0,IF(OR(DATE($C171,5,15)&lt;$S$148,AND($T$148&gt;0,DATE($C171,5,15)&gt;$T$148)),0,IF(DATE($C171,5,15)&gt;=$X$148,$AA$148*(1+($U$148)/100)^MAX(0,$C171-$AD$148),IF(DATE($C171,5,15)&gt;=$W$148,$Z$148*(1+($U$148)/100)^MAX(0,$C171-$AC$148),IF(DATE($C171,5,15)&gt;=$V$148,$Y$148*(1+($U$148)/100)^MAX(0,$C171-$AB$148),0)))))</f>
      </c>
      <c r="J171" s="43">
        <f>IF($S$148=0,0,IF(OR(DATE($C171,6,15)&lt;$S$148,AND($T$148&gt;0,DATE($C171,6,15)&gt;$T$148)),0,IF(DATE($C171,6,15)&gt;=$X$148,$AA$148*(1+($U$148)/100)^MAX(0,$C171-$AD$148),IF(DATE($C171,6,15)&gt;=$W$148,$Z$148*(1+($U$148)/100)^MAX(0,$C171-$AC$148),IF(DATE($C171,6,15)&gt;=$V$148,$Y$148*(1+($U$148)/100)^MAX(0,$C171-$AB$148),0)))))</f>
      </c>
      <c r="K171" s="43">
        <f>IF($S$148=0,0,IF(OR(DATE($C171,7,15)&lt;$S$148,AND($T$148&gt;0,DATE($C171,7,15)&gt;$T$148)),0,IF(DATE($C171,7,15)&gt;=$X$148,$AA$148*(1+($U$148)/100)^MAX(0,$C171-$AD$148),IF(DATE($C171,7,15)&gt;=$W$148,$Z$148*(1+($U$148)/100)^MAX(0,$C171-$AC$148),IF(DATE($C171,7,15)&gt;=$V$148,$Y$148*(1+($U$148)/100)^MAX(0,$C171-$AB$148),0)))))</f>
      </c>
      <c r="L171" s="43">
        <f>IF($S$148=0,0,IF(OR(DATE($C171,8,15)&lt;$S$148,AND($T$148&gt;0,DATE($C171,8,15)&gt;$T$148)),0,IF(DATE($C171,8,15)&gt;=$X$148,$AA$148*(1+($U$148)/100)^MAX(0,$C171-$AD$148),IF(DATE($C171,8,15)&gt;=$W$148,$Z$148*(1+($U$148)/100)^MAX(0,$C171-$AC$148),IF(DATE($C171,8,15)&gt;=$V$148,$Y$148*(1+($U$148)/100)^MAX(0,$C171-$AB$148),0)))))</f>
      </c>
      <c r="M171" s="43">
        <f>IF($S$148=0,0,IF(OR(DATE($C171,9,15)&lt;$S$148,AND($T$148&gt;0,DATE($C171,9,15)&gt;$T$148)),0,IF(DATE($C171,9,15)&gt;=$X$148,$AA$148*(1+($U$148)/100)^MAX(0,$C171-$AD$148),IF(DATE($C171,9,15)&gt;=$W$148,$Z$148*(1+($U$148)/100)^MAX(0,$C171-$AC$148),IF(DATE($C171,9,15)&gt;=$V$148,$Y$148*(1+($U$148)/100)^MAX(0,$C171-$AB$148),0)))))</f>
      </c>
      <c r="N171" s="43">
        <f>IF($S$148=0,0,IF(OR(DATE($C171,10,15)&lt;$S$148,AND($T$148&gt;0,DATE($C171,10,15)&gt;$T$148)),0,IF(DATE($C171,10,15)&gt;=$X$148,$AA$148*(1+($U$148)/100)^MAX(0,$C171-$AD$148),IF(DATE($C171,10,15)&gt;=$W$148,$Z$148*(1+($U$148)/100)^MAX(0,$C171-$AC$148),IF(DATE($C171,10,15)&gt;=$V$148,$Y$148*(1+($U$148)/100)^MAX(0,$C171-$AB$148),0)))))</f>
      </c>
      <c r="O171" s="43">
        <f>IF($S$148=0,0,IF(OR(DATE($C171,11,15)&lt;$S$148,AND($T$148&gt;0,DATE($C171,11,15)&gt;$T$148)),0,IF(DATE($C171,11,15)&gt;=$X$148,$AA$148*(1+($U$148)/100)^MAX(0,$C171-$AD$148),IF(DATE($C171,11,15)&gt;=$W$148,$Z$148*(1+($U$148)/100)^MAX(0,$C171-$AC$148),IF(DATE($C171,11,15)&gt;=$V$148,$Y$148*(1+($U$148)/100)^MAX(0,$C171-$AB$148),0)))))</f>
      </c>
      <c r="P171" s="43">
        <f>IF($S$148=0,0,IF(OR(DATE($C171,12,15)&lt;$S$148,AND($T$148&gt;0,DATE($C171,12,15)&gt;$T$148)),0,IF(DATE($C171,12,15)&gt;=$X$148,$AA$148*(1+($U$148)/100)^MAX(0,$C171-$AD$148),IF(DATE($C171,12,15)&gt;=$W$148,$Z$148*(1+($U$148)/100)^MAX(0,$C171-$AC$148),IF(DATE($C171,12,15)&gt;=$V$148,$Y$148*(1+($U$148)/100)^MAX(0,$C171-$AB$148),0)))))</f>
      </c>
      <c r="Q171" s="43">
        <f>SUM($E171:$P171)</f>
      </c>
    </row>
    <row r="172">
      <c r="A172"/>
      <c r="B172">
        <v>5</v>
      </c>
      <c r="C172" s="43">
        <f>Jahr+24</f>
      </c>
      <c r="D172" s="43">
        <f>INDEX(MvObj,5)</f>
      </c>
      <c r="E172" s="43">
        <f>IF($S$148=0,0,IF(OR(DATE($C172,1,15)&lt;$S$148,AND($T$148&gt;0,DATE($C172,1,15)&gt;$T$148)),0,IF(DATE($C172,1,15)&gt;=$X$148,$AA$148*(1+($U$148)/100)^MAX(0,$C172-$AD$148),IF(DATE($C172,1,15)&gt;=$W$148,$Z$148*(1+($U$148)/100)^MAX(0,$C172-$AC$148),IF(DATE($C172,1,15)&gt;=$V$148,$Y$148*(1+($U$148)/100)^MAX(0,$C172-$AB$148),0)))))</f>
      </c>
      <c r="F172" s="43">
        <f>IF($S$148=0,0,IF(OR(DATE($C172,2,15)&lt;$S$148,AND($T$148&gt;0,DATE($C172,2,15)&gt;$T$148)),0,IF(DATE($C172,2,15)&gt;=$X$148,$AA$148*(1+($U$148)/100)^MAX(0,$C172-$AD$148),IF(DATE($C172,2,15)&gt;=$W$148,$Z$148*(1+($U$148)/100)^MAX(0,$C172-$AC$148),IF(DATE($C172,2,15)&gt;=$V$148,$Y$148*(1+($U$148)/100)^MAX(0,$C172-$AB$148),0)))))</f>
      </c>
      <c r="G172" s="43">
        <f>IF($S$148=0,0,IF(OR(DATE($C172,3,15)&lt;$S$148,AND($T$148&gt;0,DATE($C172,3,15)&gt;$T$148)),0,IF(DATE($C172,3,15)&gt;=$X$148,$AA$148*(1+($U$148)/100)^MAX(0,$C172-$AD$148),IF(DATE($C172,3,15)&gt;=$W$148,$Z$148*(1+($U$148)/100)^MAX(0,$C172-$AC$148),IF(DATE($C172,3,15)&gt;=$V$148,$Y$148*(1+($U$148)/100)^MAX(0,$C172-$AB$148),0)))))</f>
      </c>
      <c r="H172" s="43">
        <f>IF($S$148=0,0,IF(OR(DATE($C172,4,15)&lt;$S$148,AND($T$148&gt;0,DATE($C172,4,15)&gt;$T$148)),0,IF(DATE($C172,4,15)&gt;=$X$148,$AA$148*(1+($U$148)/100)^MAX(0,$C172-$AD$148),IF(DATE($C172,4,15)&gt;=$W$148,$Z$148*(1+($U$148)/100)^MAX(0,$C172-$AC$148),IF(DATE($C172,4,15)&gt;=$V$148,$Y$148*(1+($U$148)/100)^MAX(0,$C172-$AB$148),0)))))</f>
      </c>
      <c r="I172" s="43">
        <f>IF($S$148=0,0,IF(OR(DATE($C172,5,15)&lt;$S$148,AND($T$148&gt;0,DATE($C172,5,15)&gt;$T$148)),0,IF(DATE($C172,5,15)&gt;=$X$148,$AA$148*(1+($U$148)/100)^MAX(0,$C172-$AD$148),IF(DATE($C172,5,15)&gt;=$W$148,$Z$148*(1+($U$148)/100)^MAX(0,$C172-$AC$148),IF(DATE($C172,5,15)&gt;=$V$148,$Y$148*(1+($U$148)/100)^MAX(0,$C172-$AB$148),0)))))</f>
      </c>
      <c r="J172" s="43">
        <f>IF($S$148=0,0,IF(OR(DATE($C172,6,15)&lt;$S$148,AND($T$148&gt;0,DATE($C172,6,15)&gt;$T$148)),0,IF(DATE($C172,6,15)&gt;=$X$148,$AA$148*(1+($U$148)/100)^MAX(0,$C172-$AD$148),IF(DATE($C172,6,15)&gt;=$W$148,$Z$148*(1+($U$148)/100)^MAX(0,$C172-$AC$148),IF(DATE($C172,6,15)&gt;=$V$148,$Y$148*(1+($U$148)/100)^MAX(0,$C172-$AB$148),0)))))</f>
      </c>
      <c r="K172" s="43">
        <f>IF($S$148=0,0,IF(OR(DATE($C172,7,15)&lt;$S$148,AND($T$148&gt;0,DATE($C172,7,15)&gt;$T$148)),0,IF(DATE($C172,7,15)&gt;=$X$148,$AA$148*(1+($U$148)/100)^MAX(0,$C172-$AD$148),IF(DATE($C172,7,15)&gt;=$W$148,$Z$148*(1+($U$148)/100)^MAX(0,$C172-$AC$148),IF(DATE($C172,7,15)&gt;=$V$148,$Y$148*(1+($U$148)/100)^MAX(0,$C172-$AB$148),0)))))</f>
      </c>
      <c r="L172" s="43">
        <f>IF($S$148=0,0,IF(OR(DATE($C172,8,15)&lt;$S$148,AND($T$148&gt;0,DATE($C172,8,15)&gt;$T$148)),0,IF(DATE($C172,8,15)&gt;=$X$148,$AA$148*(1+($U$148)/100)^MAX(0,$C172-$AD$148),IF(DATE($C172,8,15)&gt;=$W$148,$Z$148*(1+($U$148)/100)^MAX(0,$C172-$AC$148),IF(DATE($C172,8,15)&gt;=$V$148,$Y$148*(1+($U$148)/100)^MAX(0,$C172-$AB$148),0)))))</f>
      </c>
      <c r="M172" s="43">
        <f>IF($S$148=0,0,IF(OR(DATE($C172,9,15)&lt;$S$148,AND($T$148&gt;0,DATE($C172,9,15)&gt;$T$148)),0,IF(DATE($C172,9,15)&gt;=$X$148,$AA$148*(1+($U$148)/100)^MAX(0,$C172-$AD$148),IF(DATE($C172,9,15)&gt;=$W$148,$Z$148*(1+($U$148)/100)^MAX(0,$C172-$AC$148),IF(DATE($C172,9,15)&gt;=$V$148,$Y$148*(1+($U$148)/100)^MAX(0,$C172-$AB$148),0)))))</f>
      </c>
      <c r="N172" s="43">
        <f>IF($S$148=0,0,IF(OR(DATE($C172,10,15)&lt;$S$148,AND($T$148&gt;0,DATE($C172,10,15)&gt;$T$148)),0,IF(DATE($C172,10,15)&gt;=$X$148,$AA$148*(1+($U$148)/100)^MAX(0,$C172-$AD$148),IF(DATE($C172,10,15)&gt;=$W$148,$Z$148*(1+($U$148)/100)^MAX(0,$C172-$AC$148),IF(DATE($C172,10,15)&gt;=$V$148,$Y$148*(1+($U$148)/100)^MAX(0,$C172-$AB$148),0)))))</f>
      </c>
      <c r="O172" s="43">
        <f>IF($S$148=0,0,IF(OR(DATE($C172,11,15)&lt;$S$148,AND($T$148&gt;0,DATE($C172,11,15)&gt;$T$148)),0,IF(DATE($C172,11,15)&gt;=$X$148,$AA$148*(1+($U$148)/100)^MAX(0,$C172-$AD$148),IF(DATE($C172,11,15)&gt;=$W$148,$Z$148*(1+($U$148)/100)^MAX(0,$C172-$AC$148),IF(DATE($C172,11,15)&gt;=$V$148,$Y$148*(1+($U$148)/100)^MAX(0,$C172-$AB$148),0)))))</f>
      </c>
      <c r="P172" s="43">
        <f>IF($S$148=0,0,IF(OR(DATE($C172,12,15)&lt;$S$148,AND($T$148&gt;0,DATE($C172,12,15)&gt;$T$148)),0,IF(DATE($C172,12,15)&gt;=$X$148,$AA$148*(1+($U$148)/100)^MAX(0,$C172-$AD$148),IF(DATE($C172,12,15)&gt;=$W$148,$Z$148*(1+($U$148)/100)^MAX(0,$C172-$AC$148),IF(DATE($C172,12,15)&gt;=$V$148,$Y$148*(1+($U$148)/100)^MAX(0,$C172-$AB$148),0)))))</f>
      </c>
      <c r="Q172" s="43">
        <f>SUM($E172:$P172)</f>
      </c>
    </row>
    <row r="173">
      <c r="A173"/>
      <c r="B173">
        <v>5</v>
      </c>
      <c r="C173" s="43">
        <f>Jahr+25</f>
      </c>
      <c r="D173" s="43">
        <f>INDEX(MvObj,5)</f>
      </c>
      <c r="E173" s="43">
        <f>IF($S$148=0,0,IF(OR(DATE($C173,1,15)&lt;$S$148,AND($T$148&gt;0,DATE($C173,1,15)&gt;$T$148)),0,IF(DATE($C173,1,15)&gt;=$X$148,$AA$148*(1+($U$148)/100)^MAX(0,$C173-$AD$148),IF(DATE($C173,1,15)&gt;=$W$148,$Z$148*(1+($U$148)/100)^MAX(0,$C173-$AC$148),IF(DATE($C173,1,15)&gt;=$V$148,$Y$148*(1+($U$148)/100)^MAX(0,$C173-$AB$148),0)))))</f>
      </c>
      <c r="F173" s="43">
        <f>IF($S$148=0,0,IF(OR(DATE($C173,2,15)&lt;$S$148,AND($T$148&gt;0,DATE($C173,2,15)&gt;$T$148)),0,IF(DATE($C173,2,15)&gt;=$X$148,$AA$148*(1+($U$148)/100)^MAX(0,$C173-$AD$148),IF(DATE($C173,2,15)&gt;=$W$148,$Z$148*(1+($U$148)/100)^MAX(0,$C173-$AC$148),IF(DATE($C173,2,15)&gt;=$V$148,$Y$148*(1+($U$148)/100)^MAX(0,$C173-$AB$148),0)))))</f>
      </c>
      <c r="G173" s="43">
        <f>IF($S$148=0,0,IF(OR(DATE($C173,3,15)&lt;$S$148,AND($T$148&gt;0,DATE($C173,3,15)&gt;$T$148)),0,IF(DATE($C173,3,15)&gt;=$X$148,$AA$148*(1+($U$148)/100)^MAX(0,$C173-$AD$148),IF(DATE($C173,3,15)&gt;=$W$148,$Z$148*(1+($U$148)/100)^MAX(0,$C173-$AC$148),IF(DATE($C173,3,15)&gt;=$V$148,$Y$148*(1+($U$148)/100)^MAX(0,$C173-$AB$148),0)))))</f>
      </c>
      <c r="H173" s="43">
        <f>IF($S$148=0,0,IF(OR(DATE($C173,4,15)&lt;$S$148,AND($T$148&gt;0,DATE($C173,4,15)&gt;$T$148)),0,IF(DATE($C173,4,15)&gt;=$X$148,$AA$148*(1+($U$148)/100)^MAX(0,$C173-$AD$148),IF(DATE($C173,4,15)&gt;=$W$148,$Z$148*(1+($U$148)/100)^MAX(0,$C173-$AC$148),IF(DATE($C173,4,15)&gt;=$V$148,$Y$148*(1+($U$148)/100)^MAX(0,$C173-$AB$148),0)))))</f>
      </c>
      <c r="I173" s="43">
        <f>IF($S$148=0,0,IF(OR(DATE($C173,5,15)&lt;$S$148,AND($T$148&gt;0,DATE($C173,5,15)&gt;$T$148)),0,IF(DATE($C173,5,15)&gt;=$X$148,$AA$148*(1+($U$148)/100)^MAX(0,$C173-$AD$148),IF(DATE($C173,5,15)&gt;=$W$148,$Z$148*(1+($U$148)/100)^MAX(0,$C173-$AC$148),IF(DATE($C173,5,15)&gt;=$V$148,$Y$148*(1+($U$148)/100)^MAX(0,$C173-$AB$148),0)))))</f>
      </c>
      <c r="J173" s="43">
        <f>IF($S$148=0,0,IF(OR(DATE($C173,6,15)&lt;$S$148,AND($T$148&gt;0,DATE($C173,6,15)&gt;$T$148)),0,IF(DATE($C173,6,15)&gt;=$X$148,$AA$148*(1+($U$148)/100)^MAX(0,$C173-$AD$148),IF(DATE($C173,6,15)&gt;=$W$148,$Z$148*(1+($U$148)/100)^MAX(0,$C173-$AC$148),IF(DATE($C173,6,15)&gt;=$V$148,$Y$148*(1+($U$148)/100)^MAX(0,$C173-$AB$148),0)))))</f>
      </c>
      <c r="K173" s="43">
        <f>IF($S$148=0,0,IF(OR(DATE($C173,7,15)&lt;$S$148,AND($T$148&gt;0,DATE($C173,7,15)&gt;$T$148)),0,IF(DATE($C173,7,15)&gt;=$X$148,$AA$148*(1+($U$148)/100)^MAX(0,$C173-$AD$148),IF(DATE($C173,7,15)&gt;=$W$148,$Z$148*(1+($U$148)/100)^MAX(0,$C173-$AC$148),IF(DATE($C173,7,15)&gt;=$V$148,$Y$148*(1+($U$148)/100)^MAX(0,$C173-$AB$148),0)))))</f>
      </c>
      <c r="L173" s="43">
        <f>IF($S$148=0,0,IF(OR(DATE($C173,8,15)&lt;$S$148,AND($T$148&gt;0,DATE($C173,8,15)&gt;$T$148)),0,IF(DATE($C173,8,15)&gt;=$X$148,$AA$148*(1+($U$148)/100)^MAX(0,$C173-$AD$148),IF(DATE($C173,8,15)&gt;=$W$148,$Z$148*(1+($U$148)/100)^MAX(0,$C173-$AC$148),IF(DATE($C173,8,15)&gt;=$V$148,$Y$148*(1+($U$148)/100)^MAX(0,$C173-$AB$148),0)))))</f>
      </c>
      <c r="M173" s="43">
        <f>IF($S$148=0,0,IF(OR(DATE($C173,9,15)&lt;$S$148,AND($T$148&gt;0,DATE($C173,9,15)&gt;$T$148)),0,IF(DATE($C173,9,15)&gt;=$X$148,$AA$148*(1+($U$148)/100)^MAX(0,$C173-$AD$148),IF(DATE($C173,9,15)&gt;=$W$148,$Z$148*(1+($U$148)/100)^MAX(0,$C173-$AC$148),IF(DATE($C173,9,15)&gt;=$V$148,$Y$148*(1+($U$148)/100)^MAX(0,$C173-$AB$148),0)))))</f>
      </c>
      <c r="N173" s="43">
        <f>IF($S$148=0,0,IF(OR(DATE($C173,10,15)&lt;$S$148,AND($T$148&gt;0,DATE($C173,10,15)&gt;$T$148)),0,IF(DATE($C173,10,15)&gt;=$X$148,$AA$148*(1+($U$148)/100)^MAX(0,$C173-$AD$148),IF(DATE($C173,10,15)&gt;=$W$148,$Z$148*(1+($U$148)/100)^MAX(0,$C173-$AC$148),IF(DATE($C173,10,15)&gt;=$V$148,$Y$148*(1+($U$148)/100)^MAX(0,$C173-$AB$148),0)))))</f>
      </c>
      <c r="O173" s="43">
        <f>IF($S$148=0,0,IF(OR(DATE($C173,11,15)&lt;$S$148,AND($T$148&gt;0,DATE($C173,11,15)&gt;$T$148)),0,IF(DATE($C173,11,15)&gt;=$X$148,$AA$148*(1+($U$148)/100)^MAX(0,$C173-$AD$148),IF(DATE($C173,11,15)&gt;=$W$148,$Z$148*(1+($U$148)/100)^MAX(0,$C173-$AC$148),IF(DATE($C173,11,15)&gt;=$V$148,$Y$148*(1+($U$148)/100)^MAX(0,$C173-$AB$148),0)))))</f>
      </c>
      <c r="P173" s="43">
        <f>IF($S$148=0,0,IF(OR(DATE($C173,12,15)&lt;$S$148,AND($T$148&gt;0,DATE($C173,12,15)&gt;$T$148)),0,IF(DATE($C173,12,15)&gt;=$X$148,$AA$148*(1+($U$148)/100)^MAX(0,$C173-$AD$148),IF(DATE($C173,12,15)&gt;=$W$148,$Z$148*(1+($U$148)/100)^MAX(0,$C173-$AC$148),IF(DATE($C173,12,15)&gt;=$V$148,$Y$148*(1+($U$148)/100)^MAX(0,$C173-$AB$148),0)))))</f>
      </c>
      <c r="Q173" s="43">
        <f>SUM($E173:$P173)</f>
      </c>
    </row>
    <row r="174">
      <c r="A174"/>
      <c r="B174">
        <v>5</v>
      </c>
      <c r="C174" s="43">
        <f>Jahr+26</f>
      </c>
      <c r="D174" s="43">
        <f>INDEX(MvObj,5)</f>
      </c>
      <c r="E174" s="43">
        <f>IF($S$148=0,0,IF(OR(DATE($C174,1,15)&lt;$S$148,AND($T$148&gt;0,DATE($C174,1,15)&gt;$T$148)),0,IF(DATE($C174,1,15)&gt;=$X$148,$AA$148*(1+($U$148)/100)^MAX(0,$C174-$AD$148),IF(DATE($C174,1,15)&gt;=$W$148,$Z$148*(1+($U$148)/100)^MAX(0,$C174-$AC$148),IF(DATE($C174,1,15)&gt;=$V$148,$Y$148*(1+($U$148)/100)^MAX(0,$C174-$AB$148),0)))))</f>
      </c>
      <c r="F174" s="43">
        <f>IF($S$148=0,0,IF(OR(DATE($C174,2,15)&lt;$S$148,AND($T$148&gt;0,DATE($C174,2,15)&gt;$T$148)),0,IF(DATE($C174,2,15)&gt;=$X$148,$AA$148*(1+($U$148)/100)^MAX(0,$C174-$AD$148),IF(DATE($C174,2,15)&gt;=$W$148,$Z$148*(1+($U$148)/100)^MAX(0,$C174-$AC$148),IF(DATE($C174,2,15)&gt;=$V$148,$Y$148*(1+($U$148)/100)^MAX(0,$C174-$AB$148),0)))))</f>
      </c>
      <c r="G174" s="43">
        <f>IF($S$148=0,0,IF(OR(DATE($C174,3,15)&lt;$S$148,AND($T$148&gt;0,DATE($C174,3,15)&gt;$T$148)),0,IF(DATE($C174,3,15)&gt;=$X$148,$AA$148*(1+($U$148)/100)^MAX(0,$C174-$AD$148),IF(DATE($C174,3,15)&gt;=$W$148,$Z$148*(1+($U$148)/100)^MAX(0,$C174-$AC$148),IF(DATE($C174,3,15)&gt;=$V$148,$Y$148*(1+($U$148)/100)^MAX(0,$C174-$AB$148),0)))))</f>
      </c>
      <c r="H174" s="43">
        <f>IF($S$148=0,0,IF(OR(DATE($C174,4,15)&lt;$S$148,AND($T$148&gt;0,DATE($C174,4,15)&gt;$T$148)),0,IF(DATE($C174,4,15)&gt;=$X$148,$AA$148*(1+($U$148)/100)^MAX(0,$C174-$AD$148),IF(DATE($C174,4,15)&gt;=$W$148,$Z$148*(1+($U$148)/100)^MAX(0,$C174-$AC$148),IF(DATE($C174,4,15)&gt;=$V$148,$Y$148*(1+($U$148)/100)^MAX(0,$C174-$AB$148),0)))))</f>
      </c>
      <c r="I174" s="43">
        <f>IF($S$148=0,0,IF(OR(DATE($C174,5,15)&lt;$S$148,AND($T$148&gt;0,DATE($C174,5,15)&gt;$T$148)),0,IF(DATE($C174,5,15)&gt;=$X$148,$AA$148*(1+($U$148)/100)^MAX(0,$C174-$AD$148),IF(DATE($C174,5,15)&gt;=$W$148,$Z$148*(1+($U$148)/100)^MAX(0,$C174-$AC$148),IF(DATE($C174,5,15)&gt;=$V$148,$Y$148*(1+($U$148)/100)^MAX(0,$C174-$AB$148),0)))))</f>
      </c>
      <c r="J174" s="43">
        <f>IF($S$148=0,0,IF(OR(DATE($C174,6,15)&lt;$S$148,AND($T$148&gt;0,DATE($C174,6,15)&gt;$T$148)),0,IF(DATE($C174,6,15)&gt;=$X$148,$AA$148*(1+($U$148)/100)^MAX(0,$C174-$AD$148),IF(DATE($C174,6,15)&gt;=$W$148,$Z$148*(1+($U$148)/100)^MAX(0,$C174-$AC$148),IF(DATE($C174,6,15)&gt;=$V$148,$Y$148*(1+($U$148)/100)^MAX(0,$C174-$AB$148),0)))))</f>
      </c>
      <c r="K174" s="43">
        <f>IF($S$148=0,0,IF(OR(DATE($C174,7,15)&lt;$S$148,AND($T$148&gt;0,DATE($C174,7,15)&gt;$T$148)),0,IF(DATE($C174,7,15)&gt;=$X$148,$AA$148*(1+($U$148)/100)^MAX(0,$C174-$AD$148),IF(DATE($C174,7,15)&gt;=$W$148,$Z$148*(1+($U$148)/100)^MAX(0,$C174-$AC$148),IF(DATE($C174,7,15)&gt;=$V$148,$Y$148*(1+($U$148)/100)^MAX(0,$C174-$AB$148),0)))))</f>
      </c>
      <c r="L174" s="43">
        <f>IF($S$148=0,0,IF(OR(DATE($C174,8,15)&lt;$S$148,AND($T$148&gt;0,DATE($C174,8,15)&gt;$T$148)),0,IF(DATE($C174,8,15)&gt;=$X$148,$AA$148*(1+($U$148)/100)^MAX(0,$C174-$AD$148),IF(DATE($C174,8,15)&gt;=$W$148,$Z$148*(1+($U$148)/100)^MAX(0,$C174-$AC$148),IF(DATE($C174,8,15)&gt;=$V$148,$Y$148*(1+($U$148)/100)^MAX(0,$C174-$AB$148),0)))))</f>
      </c>
      <c r="M174" s="43">
        <f>IF($S$148=0,0,IF(OR(DATE($C174,9,15)&lt;$S$148,AND($T$148&gt;0,DATE($C174,9,15)&gt;$T$148)),0,IF(DATE($C174,9,15)&gt;=$X$148,$AA$148*(1+($U$148)/100)^MAX(0,$C174-$AD$148),IF(DATE($C174,9,15)&gt;=$W$148,$Z$148*(1+($U$148)/100)^MAX(0,$C174-$AC$148),IF(DATE($C174,9,15)&gt;=$V$148,$Y$148*(1+($U$148)/100)^MAX(0,$C174-$AB$148),0)))))</f>
      </c>
      <c r="N174" s="43">
        <f>IF($S$148=0,0,IF(OR(DATE($C174,10,15)&lt;$S$148,AND($T$148&gt;0,DATE($C174,10,15)&gt;$T$148)),0,IF(DATE($C174,10,15)&gt;=$X$148,$AA$148*(1+($U$148)/100)^MAX(0,$C174-$AD$148),IF(DATE($C174,10,15)&gt;=$W$148,$Z$148*(1+($U$148)/100)^MAX(0,$C174-$AC$148),IF(DATE($C174,10,15)&gt;=$V$148,$Y$148*(1+($U$148)/100)^MAX(0,$C174-$AB$148),0)))))</f>
      </c>
      <c r="O174" s="43">
        <f>IF($S$148=0,0,IF(OR(DATE($C174,11,15)&lt;$S$148,AND($T$148&gt;0,DATE($C174,11,15)&gt;$T$148)),0,IF(DATE($C174,11,15)&gt;=$X$148,$AA$148*(1+($U$148)/100)^MAX(0,$C174-$AD$148),IF(DATE($C174,11,15)&gt;=$W$148,$Z$148*(1+($U$148)/100)^MAX(0,$C174-$AC$148),IF(DATE($C174,11,15)&gt;=$V$148,$Y$148*(1+($U$148)/100)^MAX(0,$C174-$AB$148),0)))))</f>
      </c>
      <c r="P174" s="43">
        <f>IF($S$148=0,0,IF(OR(DATE($C174,12,15)&lt;$S$148,AND($T$148&gt;0,DATE($C174,12,15)&gt;$T$148)),0,IF(DATE($C174,12,15)&gt;=$X$148,$AA$148*(1+($U$148)/100)^MAX(0,$C174-$AD$148),IF(DATE($C174,12,15)&gt;=$W$148,$Z$148*(1+($U$148)/100)^MAX(0,$C174-$AC$148),IF(DATE($C174,12,15)&gt;=$V$148,$Y$148*(1+($U$148)/100)^MAX(0,$C174-$AB$148),0)))))</f>
      </c>
      <c r="Q174" s="43">
        <f>SUM($E174:$P174)</f>
      </c>
    </row>
    <row r="175">
      <c r="A175"/>
      <c r="B175">
        <v>5</v>
      </c>
      <c r="C175" s="43">
        <f>Jahr+27</f>
      </c>
      <c r="D175" s="43">
        <f>INDEX(MvObj,5)</f>
      </c>
      <c r="E175" s="43">
        <f>IF($S$148=0,0,IF(OR(DATE($C175,1,15)&lt;$S$148,AND($T$148&gt;0,DATE($C175,1,15)&gt;$T$148)),0,IF(DATE($C175,1,15)&gt;=$X$148,$AA$148*(1+($U$148)/100)^MAX(0,$C175-$AD$148),IF(DATE($C175,1,15)&gt;=$W$148,$Z$148*(1+($U$148)/100)^MAX(0,$C175-$AC$148),IF(DATE($C175,1,15)&gt;=$V$148,$Y$148*(1+($U$148)/100)^MAX(0,$C175-$AB$148),0)))))</f>
      </c>
      <c r="F175" s="43">
        <f>IF($S$148=0,0,IF(OR(DATE($C175,2,15)&lt;$S$148,AND($T$148&gt;0,DATE($C175,2,15)&gt;$T$148)),0,IF(DATE($C175,2,15)&gt;=$X$148,$AA$148*(1+($U$148)/100)^MAX(0,$C175-$AD$148),IF(DATE($C175,2,15)&gt;=$W$148,$Z$148*(1+($U$148)/100)^MAX(0,$C175-$AC$148),IF(DATE($C175,2,15)&gt;=$V$148,$Y$148*(1+($U$148)/100)^MAX(0,$C175-$AB$148),0)))))</f>
      </c>
      <c r="G175" s="43">
        <f>IF($S$148=0,0,IF(OR(DATE($C175,3,15)&lt;$S$148,AND($T$148&gt;0,DATE($C175,3,15)&gt;$T$148)),0,IF(DATE($C175,3,15)&gt;=$X$148,$AA$148*(1+($U$148)/100)^MAX(0,$C175-$AD$148),IF(DATE($C175,3,15)&gt;=$W$148,$Z$148*(1+($U$148)/100)^MAX(0,$C175-$AC$148),IF(DATE($C175,3,15)&gt;=$V$148,$Y$148*(1+($U$148)/100)^MAX(0,$C175-$AB$148),0)))))</f>
      </c>
      <c r="H175" s="43">
        <f>IF($S$148=0,0,IF(OR(DATE($C175,4,15)&lt;$S$148,AND($T$148&gt;0,DATE($C175,4,15)&gt;$T$148)),0,IF(DATE($C175,4,15)&gt;=$X$148,$AA$148*(1+($U$148)/100)^MAX(0,$C175-$AD$148),IF(DATE($C175,4,15)&gt;=$W$148,$Z$148*(1+($U$148)/100)^MAX(0,$C175-$AC$148),IF(DATE($C175,4,15)&gt;=$V$148,$Y$148*(1+($U$148)/100)^MAX(0,$C175-$AB$148),0)))))</f>
      </c>
      <c r="I175" s="43">
        <f>IF($S$148=0,0,IF(OR(DATE($C175,5,15)&lt;$S$148,AND($T$148&gt;0,DATE($C175,5,15)&gt;$T$148)),0,IF(DATE($C175,5,15)&gt;=$X$148,$AA$148*(1+($U$148)/100)^MAX(0,$C175-$AD$148),IF(DATE($C175,5,15)&gt;=$W$148,$Z$148*(1+($U$148)/100)^MAX(0,$C175-$AC$148),IF(DATE($C175,5,15)&gt;=$V$148,$Y$148*(1+($U$148)/100)^MAX(0,$C175-$AB$148),0)))))</f>
      </c>
      <c r="J175" s="43">
        <f>IF($S$148=0,0,IF(OR(DATE($C175,6,15)&lt;$S$148,AND($T$148&gt;0,DATE($C175,6,15)&gt;$T$148)),0,IF(DATE($C175,6,15)&gt;=$X$148,$AA$148*(1+($U$148)/100)^MAX(0,$C175-$AD$148),IF(DATE($C175,6,15)&gt;=$W$148,$Z$148*(1+($U$148)/100)^MAX(0,$C175-$AC$148),IF(DATE($C175,6,15)&gt;=$V$148,$Y$148*(1+($U$148)/100)^MAX(0,$C175-$AB$148),0)))))</f>
      </c>
      <c r="K175" s="43">
        <f>IF($S$148=0,0,IF(OR(DATE($C175,7,15)&lt;$S$148,AND($T$148&gt;0,DATE($C175,7,15)&gt;$T$148)),0,IF(DATE($C175,7,15)&gt;=$X$148,$AA$148*(1+($U$148)/100)^MAX(0,$C175-$AD$148),IF(DATE($C175,7,15)&gt;=$W$148,$Z$148*(1+($U$148)/100)^MAX(0,$C175-$AC$148),IF(DATE($C175,7,15)&gt;=$V$148,$Y$148*(1+($U$148)/100)^MAX(0,$C175-$AB$148),0)))))</f>
      </c>
      <c r="L175" s="43">
        <f>IF($S$148=0,0,IF(OR(DATE($C175,8,15)&lt;$S$148,AND($T$148&gt;0,DATE($C175,8,15)&gt;$T$148)),0,IF(DATE($C175,8,15)&gt;=$X$148,$AA$148*(1+($U$148)/100)^MAX(0,$C175-$AD$148),IF(DATE($C175,8,15)&gt;=$W$148,$Z$148*(1+($U$148)/100)^MAX(0,$C175-$AC$148),IF(DATE($C175,8,15)&gt;=$V$148,$Y$148*(1+($U$148)/100)^MAX(0,$C175-$AB$148),0)))))</f>
      </c>
      <c r="M175" s="43">
        <f>IF($S$148=0,0,IF(OR(DATE($C175,9,15)&lt;$S$148,AND($T$148&gt;0,DATE($C175,9,15)&gt;$T$148)),0,IF(DATE($C175,9,15)&gt;=$X$148,$AA$148*(1+($U$148)/100)^MAX(0,$C175-$AD$148),IF(DATE($C175,9,15)&gt;=$W$148,$Z$148*(1+($U$148)/100)^MAX(0,$C175-$AC$148),IF(DATE($C175,9,15)&gt;=$V$148,$Y$148*(1+($U$148)/100)^MAX(0,$C175-$AB$148),0)))))</f>
      </c>
      <c r="N175" s="43">
        <f>IF($S$148=0,0,IF(OR(DATE($C175,10,15)&lt;$S$148,AND($T$148&gt;0,DATE($C175,10,15)&gt;$T$148)),0,IF(DATE($C175,10,15)&gt;=$X$148,$AA$148*(1+($U$148)/100)^MAX(0,$C175-$AD$148),IF(DATE($C175,10,15)&gt;=$W$148,$Z$148*(1+($U$148)/100)^MAX(0,$C175-$AC$148),IF(DATE($C175,10,15)&gt;=$V$148,$Y$148*(1+($U$148)/100)^MAX(0,$C175-$AB$148),0)))))</f>
      </c>
      <c r="O175" s="43">
        <f>IF($S$148=0,0,IF(OR(DATE($C175,11,15)&lt;$S$148,AND($T$148&gt;0,DATE($C175,11,15)&gt;$T$148)),0,IF(DATE($C175,11,15)&gt;=$X$148,$AA$148*(1+($U$148)/100)^MAX(0,$C175-$AD$148),IF(DATE($C175,11,15)&gt;=$W$148,$Z$148*(1+($U$148)/100)^MAX(0,$C175-$AC$148),IF(DATE($C175,11,15)&gt;=$V$148,$Y$148*(1+($U$148)/100)^MAX(0,$C175-$AB$148),0)))))</f>
      </c>
      <c r="P175" s="43">
        <f>IF($S$148=0,0,IF(OR(DATE($C175,12,15)&lt;$S$148,AND($T$148&gt;0,DATE($C175,12,15)&gt;$T$148)),0,IF(DATE($C175,12,15)&gt;=$X$148,$AA$148*(1+($U$148)/100)^MAX(0,$C175-$AD$148),IF(DATE($C175,12,15)&gt;=$W$148,$Z$148*(1+($U$148)/100)^MAX(0,$C175-$AC$148),IF(DATE($C175,12,15)&gt;=$V$148,$Y$148*(1+($U$148)/100)^MAX(0,$C175-$AB$148),0)))))</f>
      </c>
      <c r="Q175" s="43">
        <f>SUM($E175:$P175)</f>
      </c>
    </row>
    <row r="176">
      <c r="A176"/>
      <c r="B176">
        <v>5</v>
      </c>
      <c r="C176" s="43">
        <f>Jahr+28</f>
      </c>
      <c r="D176" s="43">
        <f>INDEX(MvObj,5)</f>
      </c>
      <c r="E176" s="43">
        <f>IF($S$148=0,0,IF(OR(DATE($C176,1,15)&lt;$S$148,AND($T$148&gt;0,DATE($C176,1,15)&gt;$T$148)),0,IF(DATE($C176,1,15)&gt;=$X$148,$AA$148*(1+($U$148)/100)^MAX(0,$C176-$AD$148),IF(DATE($C176,1,15)&gt;=$W$148,$Z$148*(1+($U$148)/100)^MAX(0,$C176-$AC$148),IF(DATE($C176,1,15)&gt;=$V$148,$Y$148*(1+($U$148)/100)^MAX(0,$C176-$AB$148),0)))))</f>
      </c>
      <c r="F176" s="43">
        <f>IF($S$148=0,0,IF(OR(DATE($C176,2,15)&lt;$S$148,AND($T$148&gt;0,DATE($C176,2,15)&gt;$T$148)),0,IF(DATE($C176,2,15)&gt;=$X$148,$AA$148*(1+($U$148)/100)^MAX(0,$C176-$AD$148),IF(DATE($C176,2,15)&gt;=$W$148,$Z$148*(1+($U$148)/100)^MAX(0,$C176-$AC$148),IF(DATE($C176,2,15)&gt;=$V$148,$Y$148*(1+($U$148)/100)^MAX(0,$C176-$AB$148),0)))))</f>
      </c>
      <c r="G176" s="43">
        <f>IF($S$148=0,0,IF(OR(DATE($C176,3,15)&lt;$S$148,AND($T$148&gt;0,DATE($C176,3,15)&gt;$T$148)),0,IF(DATE($C176,3,15)&gt;=$X$148,$AA$148*(1+($U$148)/100)^MAX(0,$C176-$AD$148),IF(DATE($C176,3,15)&gt;=$W$148,$Z$148*(1+($U$148)/100)^MAX(0,$C176-$AC$148),IF(DATE($C176,3,15)&gt;=$V$148,$Y$148*(1+($U$148)/100)^MAX(0,$C176-$AB$148),0)))))</f>
      </c>
      <c r="H176" s="43">
        <f>IF($S$148=0,0,IF(OR(DATE($C176,4,15)&lt;$S$148,AND($T$148&gt;0,DATE($C176,4,15)&gt;$T$148)),0,IF(DATE($C176,4,15)&gt;=$X$148,$AA$148*(1+($U$148)/100)^MAX(0,$C176-$AD$148),IF(DATE($C176,4,15)&gt;=$W$148,$Z$148*(1+($U$148)/100)^MAX(0,$C176-$AC$148),IF(DATE($C176,4,15)&gt;=$V$148,$Y$148*(1+($U$148)/100)^MAX(0,$C176-$AB$148),0)))))</f>
      </c>
      <c r="I176" s="43">
        <f>IF($S$148=0,0,IF(OR(DATE($C176,5,15)&lt;$S$148,AND($T$148&gt;0,DATE($C176,5,15)&gt;$T$148)),0,IF(DATE($C176,5,15)&gt;=$X$148,$AA$148*(1+($U$148)/100)^MAX(0,$C176-$AD$148),IF(DATE($C176,5,15)&gt;=$W$148,$Z$148*(1+($U$148)/100)^MAX(0,$C176-$AC$148),IF(DATE($C176,5,15)&gt;=$V$148,$Y$148*(1+($U$148)/100)^MAX(0,$C176-$AB$148),0)))))</f>
      </c>
      <c r="J176" s="43">
        <f>IF($S$148=0,0,IF(OR(DATE($C176,6,15)&lt;$S$148,AND($T$148&gt;0,DATE($C176,6,15)&gt;$T$148)),0,IF(DATE($C176,6,15)&gt;=$X$148,$AA$148*(1+($U$148)/100)^MAX(0,$C176-$AD$148),IF(DATE($C176,6,15)&gt;=$W$148,$Z$148*(1+($U$148)/100)^MAX(0,$C176-$AC$148),IF(DATE($C176,6,15)&gt;=$V$148,$Y$148*(1+($U$148)/100)^MAX(0,$C176-$AB$148),0)))))</f>
      </c>
      <c r="K176" s="43">
        <f>IF($S$148=0,0,IF(OR(DATE($C176,7,15)&lt;$S$148,AND($T$148&gt;0,DATE($C176,7,15)&gt;$T$148)),0,IF(DATE($C176,7,15)&gt;=$X$148,$AA$148*(1+($U$148)/100)^MAX(0,$C176-$AD$148),IF(DATE($C176,7,15)&gt;=$W$148,$Z$148*(1+($U$148)/100)^MAX(0,$C176-$AC$148),IF(DATE($C176,7,15)&gt;=$V$148,$Y$148*(1+($U$148)/100)^MAX(0,$C176-$AB$148),0)))))</f>
      </c>
      <c r="L176" s="43">
        <f>IF($S$148=0,0,IF(OR(DATE($C176,8,15)&lt;$S$148,AND($T$148&gt;0,DATE($C176,8,15)&gt;$T$148)),0,IF(DATE($C176,8,15)&gt;=$X$148,$AA$148*(1+($U$148)/100)^MAX(0,$C176-$AD$148),IF(DATE($C176,8,15)&gt;=$W$148,$Z$148*(1+($U$148)/100)^MAX(0,$C176-$AC$148),IF(DATE($C176,8,15)&gt;=$V$148,$Y$148*(1+($U$148)/100)^MAX(0,$C176-$AB$148),0)))))</f>
      </c>
      <c r="M176" s="43">
        <f>IF($S$148=0,0,IF(OR(DATE($C176,9,15)&lt;$S$148,AND($T$148&gt;0,DATE($C176,9,15)&gt;$T$148)),0,IF(DATE($C176,9,15)&gt;=$X$148,$AA$148*(1+($U$148)/100)^MAX(0,$C176-$AD$148),IF(DATE($C176,9,15)&gt;=$W$148,$Z$148*(1+($U$148)/100)^MAX(0,$C176-$AC$148),IF(DATE($C176,9,15)&gt;=$V$148,$Y$148*(1+($U$148)/100)^MAX(0,$C176-$AB$148),0)))))</f>
      </c>
      <c r="N176" s="43">
        <f>IF($S$148=0,0,IF(OR(DATE($C176,10,15)&lt;$S$148,AND($T$148&gt;0,DATE($C176,10,15)&gt;$T$148)),0,IF(DATE($C176,10,15)&gt;=$X$148,$AA$148*(1+($U$148)/100)^MAX(0,$C176-$AD$148),IF(DATE($C176,10,15)&gt;=$W$148,$Z$148*(1+($U$148)/100)^MAX(0,$C176-$AC$148),IF(DATE($C176,10,15)&gt;=$V$148,$Y$148*(1+($U$148)/100)^MAX(0,$C176-$AB$148),0)))))</f>
      </c>
      <c r="O176" s="43">
        <f>IF($S$148=0,0,IF(OR(DATE($C176,11,15)&lt;$S$148,AND($T$148&gt;0,DATE($C176,11,15)&gt;$T$148)),0,IF(DATE($C176,11,15)&gt;=$X$148,$AA$148*(1+($U$148)/100)^MAX(0,$C176-$AD$148),IF(DATE($C176,11,15)&gt;=$W$148,$Z$148*(1+($U$148)/100)^MAX(0,$C176-$AC$148),IF(DATE($C176,11,15)&gt;=$V$148,$Y$148*(1+($U$148)/100)^MAX(0,$C176-$AB$148),0)))))</f>
      </c>
      <c r="P176" s="43">
        <f>IF($S$148=0,0,IF(OR(DATE($C176,12,15)&lt;$S$148,AND($T$148&gt;0,DATE($C176,12,15)&gt;$T$148)),0,IF(DATE($C176,12,15)&gt;=$X$148,$AA$148*(1+($U$148)/100)^MAX(0,$C176-$AD$148),IF(DATE($C176,12,15)&gt;=$W$148,$Z$148*(1+($U$148)/100)^MAX(0,$C176-$AC$148),IF(DATE($C176,12,15)&gt;=$V$148,$Y$148*(1+($U$148)/100)^MAX(0,$C176-$AB$148),0)))))</f>
      </c>
      <c r="Q176" s="43">
        <f>SUM($E176:$P176)</f>
      </c>
    </row>
    <row r="177">
      <c r="A177"/>
      <c r="B177">
        <v>5</v>
      </c>
      <c r="C177" s="43">
        <f>Jahr+29</f>
      </c>
      <c r="D177" s="43">
        <f>INDEX(MvObj,5)</f>
      </c>
      <c r="E177" s="43">
        <f>IF($S$148=0,0,IF(OR(DATE($C177,1,15)&lt;$S$148,AND($T$148&gt;0,DATE($C177,1,15)&gt;$T$148)),0,IF(DATE($C177,1,15)&gt;=$X$148,$AA$148*(1+($U$148)/100)^MAX(0,$C177-$AD$148),IF(DATE($C177,1,15)&gt;=$W$148,$Z$148*(1+($U$148)/100)^MAX(0,$C177-$AC$148),IF(DATE($C177,1,15)&gt;=$V$148,$Y$148*(1+($U$148)/100)^MAX(0,$C177-$AB$148),0)))))</f>
      </c>
      <c r="F177" s="43">
        <f>IF($S$148=0,0,IF(OR(DATE($C177,2,15)&lt;$S$148,AND($T$148&gt;0,DATE($C177,2,15)&gt;$T$148)),0,IF(DATE($C177,2,15)&gt;=$X$148,$AA$148*(1+($U$148)/100)^MAX(0,$C177-$AD$148),IF(DATE($C177,2,15)&gt;=$W$148,$Z$148*(1+($U$148)/100)^MAX(0,$C177-$AC$148),IF(DATE($C177,2,15)&gt;=$V$148,$Y$148*(1+($U$148)/100)^MAX(0,$C177-$AB$148),0)))))</f>
      </c>
      <c r="G177" s="43">
        <f>IF($S$148=0,0,IF(OR(DATE($C177,3,15)&lt;$S$148,AND($T$148&gt;0,DATE($C177,3,15)&gt;$T$148)),0,IF(DATE($C177,3,15)&gt;=$X$148,$AA$148*(1+($U$148)/100)^MAX(0,$C177-$AD$148),IF(DATE($C177,3,15)&gt;=$W$148,$Z$148*(1+($U$148)/100)^MAX(0,$C177-$AC$148),IF(DATE($C177,3,15)&gt;=$V$148,$Y$148*(1+($U$148)/100)^MAX(0,$C177-$AB$148),0)))))</f>
      </c>
      <c r="H177" s="43">
        <f>IF($S$148=0,0,IF(OR(DATE($C177,4,15)&lt;$S$148,AND($T$148&gt;0,DATE($C177,4,15)&gt;$T$148)),0,IF(DATE($C177,4,15)&gt;=$X$148,$AA$148*(1+($U$148)/100)^MAX(0,$C177-$AD$148),IF(DATE($C177,4,15)&gt;=$W$148,$Z$148*(1+($U$148)/100)^MAX(0,$C177-$AC$148),IF(DATE($C177,4,15)&gt;=$V$148,$Y$148*(1+($U$148)/100)^MAX(0,$C177-$AB$148),0)))))</f>
      </c>
      <c r="I177" s="43">
        <f>IF($S$148=0,0,IF(OR(DATE($C177,5,15)&lt;$S$148,AND($T$148&gt;0,DATE($C177,5,15)&gt;$T$148)),0,IF(DATE($C177,5,15)&gt;=$X$148,$AA$148*(1+($U$148)/100)^MAX(0,$C177-$AD$148),IF(DATE($C177,5,15)&gt;=$W$148,$Z$148*(1+($U$148)/100)^MAX(0,$C177-$AC$148),IF(DATE($C177,5,15)&gt;=$V$148,$Y$148*(1+($U$148)/100)^MAX(0,$C177-$AB$148),0)))))</f>
      </c>
      <c r="J177" s="43">
        <f>IF($S$148=0,0,IF(OR(DATE($C177,6,15)&lt;$S$148,AND($T$148&gt;0,DATE($C177,6,15)&gt;$T$148)),0,IF(DATE($C177,6,15)&gt;=$X$148,$AA$148*(1+($U$148)/100)^MAX(0,$C177-$AD$148),IF(DATE($C177,6,15)&gt;=$W$148,$Z$148*(1+($U$148)/100)^MAX(0,$C177-$AC$148),IF(DATE($C177,6,15)&gt;=$V$148,$Y$148*(1+($U$148)/100)^MAX(0,$C177-$AB$148),0)))))</f>
      </c>
      <c r="K177" s="43">
        <f>IF($S$148=0,0,IF(OR(DATE($C177,7,15)&lt;$S$148,AND($T$148&gt;0,DATE($C177,7,15)&gt;$T$148)),0,IF(DATE($C177,7,15)&gt;=$X$148,$AA$148*(1+($U$148)/100)^MAX(0,$C177-$AD$148),IF(DATE($C177,7,15)&gt;=$W$148,$Z$148*(1+($U$148)/100)^MAX(0,$C177-$AC$148),IF(DATE($C177,7,15)&gt;=$V$148,$Y$148*(1+($U$148)/100)^MAX(0,$C177-$AB$148),0)))))</f>
      </c>
      <c r="L177" s="43">
        <f>IF($S$148=0,0,IF(OR(DATE($C177,8,15)&lt;$S$148,AND($T$148&gt;0,DATE($C177,8,15)&gt;$T$148)),0,IF(DATE($C177,8,15)&gt;=$X$148,$AA$148*(1+($U$148)/100)^MAX(0,$C177-$AD$148),IF(DATE($C177,8,15)&gt;=$W$148,$Z$148*(1+($U$148)/100)^MAX(0,$C177-$AC$148),IF(DATE($C177,8,15)&gt;=$V$148,$Y$148*(1+($U$148)/100)^MAX(0,$C177-$AB$148),0)))))</f>
      </c>
      <c r="M177" s="43">
        <f>IF($S$148=0,0,IF(OR(DATE($C177,9,15)&lt;$S$148,AND($T$148&gt;0,DATE($C177,9,15)&gt;$T$148)),0,IF(DATE($C177,9,15)&gt;=$X$148,$AA$148*(1+($U$148)/100)^MAX(0,$C177-$AD$148),IF(DATE($C177,9,15)&gt;=$W$148,$Z$148*(1+($U$148)/100)^MAX(0,$C177-$AC$148),IF(DATE($C177,9,15)&gt;=$V$148,$Y$148*(1+($U$148)/100)^MAX(0,$C177-$AB$148),0)))))</f>
      </c>
      <c r="N177" s="43">
        <f>IF($S$148=0,0,IF(OR(DATE($C177,10,15)&lt;$S$148,AND($T$148&gt;0,DATE($C177,10,15)&gt;$T$148)),0,IF(DATE($C177,10,15)&gt;=$X$148,$AA$148*(1+($U$148)/100)^MAX(0,$C177-$AD$148),IF(DATE($C177,10,15)&gt;=$W$148,$Z$148*(1+($U$148)/100)^MAX(0,$C177-$AC$148),IF(DATE($C177,10,15)&gt;=$V$148,$Y$148*(1+($U$148)/100)^MAX(0,$C177-$AB$148),0)))))</f>
      </c>
      <c r="O177" s="43">
        <f>IF($S$148=0,0,IF(OR(DATE($C177,11,15)&lt;$S$148,AND($T$148&gt;0,DATE($C177,11,15)&gt;$T$148)),0,IF(DATE($C177,11,15)&gt;=$X$148,$AA$148*(1+($U$148)/100)^MAX(0,$C177-$AD$148),IF(DATE($C177,11,15)&gt;=$W$148,$Z$148*(1+($U$148)/100)^MAX(0,$C177-$AC$148),IF(DATE($C177,11,15)&gt;=$V$148,$Y$148*(1+($U$148)/100)^MAX(0,$C177-$AB$148),0)))))</f>
      </c>
      <c r="P177" s="43">
        <f>IF($S$148=0,0,IF(OR(DATE($C177,12,15)&lt;$S$148,AND($T$148&gt;0,DATE($C177,12,15)&gt;$T$148)),0,IF(DATE($C177,12,15)&gt;=$X$148,$AA$148*(1+($U$148)/100)^MAX(0,$C177-$AD$148),IF(DATE($C177,12,15)&gt;=$W$148,$Z$148*(1+($U$148)/100)^MAX(0,$C177-$AC$148),IF(DATE($C177,12,15)&gt;=$V$148,$Y$148*(1+($U$148)/100)^MAX(0,$C177-$AB$148),0)))))</f>
      </c>
      <c r="Q177" s="43">
        <f>SUM($E177:$P177)</f>
      </c>
    </row>
    <row r="178">
      <c r="A178"/>
      <c r="B178">
        <v>5</v>
      </c>
      <c r="C178" s="43">
        <f>Jahr+30</f>
      </c>
      <c r="D178" s="43">
        <f>INDEX(MvObj,5)</f>
      </c>
      <c r="E178" s="43">
        <f>IF($S$148=0,0,IF(OR(DATE($C178,1,15)&lt;$S$148,AND($T$148&gt;0,DATE($C178,1,15)&gt;$T$148)),0,IF(DATE($C178,1,15)&gt;=$X$148,$AA$148*(1+($U$148)/100)^MAX(0,$C178-$AD$148),IF(DATE($C178,1,15)&gt;=$W$148,$Z$148*(1+($U$148)/100)^MAX(0,$C178-$AC$148),IF(DATE($C178,1,15)&gt;=$V$148,$Y$148*(1+($U$148)/100)^MAX(0,$C178-$AB$148),0)))))</f>
      </c>
      <c r="F178" s="43">
        <f>IF($S$148=0,0,IF(OR(DATE($C178,2,15)&lt;$S$148,AND($T$148&gt;0,DATE($C178,2,15)&gt;$T$148)),0,IF(DATE($C178,2,15)&gt;=$X$148,$AA$148*(1+($U$148)/100)^MAX(0,$C178-$AD$148),IF(DATE($C178,2,15)&gt;=$W$148,$Z$148*(1+($U$148)/100)^MAX(0,$C178-$AC$148),IF(DATE($C178,2,15)&gt;=$V$148,$Y$148*(1+($U$148)/100)^MAX(0,$C178-$AB$148),0)))))</f>
      </c>
      <c r="G178" s="43">
        <f>IF($S$148=0,0,IF(OR(DATE($C178,3,15)&lt;$S$148,AND($T$148&gt;0,DATE($C178,3,15)&gt;$T$148)),0,IF(DATE($C178,3,15)&gt;=$X$148,$AA$148*(1+($U$148)/100)^MAX(0,$C178-$AD$148),IF(DATE($C178,3,15)&gt;=$W$148,$Z$148*(1+($U$148)/100)^MAX(0,$C178-$AC$148),IF(DATE($C178,3,15)&gt;=$V$148,$Y$148*(1+($U$148)/100)^MAX(0,$C178-$AB$148),0)))))</f>
      </c>
      <c r="H178" s="43">
        <f>IF($S$148=0,0,IF(OR(DATE($C178,4,15)&lt;$S$148,AND($T$148&gt;0,DATE($C178,4,15)&gt;$T$148)),0,IF(DATE($C178,4,15)&gt;=$X$148,$AA$148*(1+($U$148)/100)^MAX(0,$C178-$AD$148),IF(DATE($C178,4,15)&gt;=$W$148,$Z$148*(1+($U$148)/100)^MAX(0,$C178-$AC$148),IF(DATE($C178,4,15)&gt;=$V$148,$Y$148*(1+($U$148)/100)^MAX(0,$C178-$AB$148),0)))))</f>
      </c>
      <c r="I178" s="43">
        <f>IF($S$148=0,0,IF(OR(DATE($C178,5,15)&lt;$S$148,AND($T$148&gt;0,DATE($C178,5,15)&gt;$T$148)),0,IF(DATE($C178,5,15)&gt;=$X$148,$AA$148*(1+($U$148)/100)^MAX(0,$C178-$AD$148),IF(DATE($C178,5,15)&gt;=$W$148,$Z$148*(1+($U$148)/100)^MAX(0,$C178-$AC$148),IF(DATE($C178,5,15)&gt;=$V$148,$Y$148*(1+($U$148)/100)^MAX(0,$C178-$AB$148),0)))))</f>
      </c>
      <c r="J178" s="43">
        <f>IF($S$148=0,0,IF(OR(DATE($C178,6,15)&lt;$S$148,AND($T$148&gt;0,DATE($C178,6,15)&gt;$T$148)),0,IF(DATE($C178,6,15)&gt;=$X$148,$AA$148*(1+($U$148)/100)^MAX(0,$C178-$AD$148),IF(DATE($C178,6,15)&gt;=$W$148,$Z$148*(1+($U$148)/100)^MAX(0,$C178-$AC$148),IF(DATE($C178,6,15)&gt;=$V$148,$Y$148*(1+($U$148)/100)^MAX(0,$C178-$AB$148),0)))))</f>
      </c>
      <c r="K178" s="43">
        <f>IF($S$148=0,0,IF(OR(DATE($C178,7,15)&lt;$S$148,AND($T$148&gt;0,DATE($C178,7,15)&gt;$T$148)),0,IF(DATE($C178,7,15)&gt;=$X$148,$AA$148*(1+($U$148)/100)^MAX(0,$C178-$AD$148),IF(DATE($C178,7,15)&gt;=$W$148,$Z$148*(1+($U$148)/100)^MAX(0,$C178-$AC$148),IF(DATE($C178,7,15)&gt;=$V$148,$Y$148*(1+($U$148)/100)^MAX(0,$C178-$AB$148),0)))))</f>
      </c>
      <c r="L178" s="43">
        <f>IF($S$148=0,0,IF(OR(DATE($C178,8,15)&lt;$S$148,AND($T$148&gt;0,DATE($C178,8,15)&gt;$T$148)),0,IF(DATE($C178,8,15)&gt;=$X$148,$AA$148*(1+($U$148)/100)^MAX(0,$C178-$AD$148),IF(DATE($C178,8,15)&gt;=$W$148,$Z$148*(1+($U$148)/100)^MAX(0,$C178-$AC$148),IF(DATE($C178,8,15)&gt;=$V$148,$Y$148*(1+($U$148)/100)^MAX(0,$C178-$AB$148),0)))))</f>
      </c>
      <c r="M178" s="43">
        <f>IF($S$148=0,0,IF(OR(DATE($C178,9,15)&lt;$S$148,AND($T$148&gt;0,DATE($C178,9,15)&gt;$T$148)),0,IF(DATE($C178,9,15)&gt;=$X$148,$AA$148*(1+($U$148)/100)^MAX(0,$C178-$AD$148),IF(DATE($C178,9,15)&gt;=$W$148,$Z$148*(1+($U$148)/100)^MAX(0,$C178-$AC$148),IF(DATE($C178,9,15)&gt;=$V$148,$Y$148*(1+($U$148)/100)^MAX(0,$C178-$AB$148),0)))))</f>
      </c>
      <c r="N178" s="43">
        <f>IF($S$148=0,0,IF(OR(DATE($C178,10,15)&lt;$S$148,AND($T$148&gt;0,DATE($C178,10,15)&gt;$T$148)),0,IF(DATE($C178,10,15)&gt;=$X$148,$AA$148*(1+($U$148)/100)^MAX(0,$C178-$AD$148),IF(DATE($C178,10,15)&gt;=$W$148,$Z$148*(1+($U$148)/100)^MAX(0,$C178-$AC$148),IF(DATE($C178,10,15)&gt;=$V$148,$Y$148*(1+($U$148)/100)^MAX(0,$C178-$AB$148),0)))))</f>
      </c>
      <c r="O178" s="43">
        <f>IF($S$148=0,0,IF(OR(DATE($C178,11,15)&lt;$S$148,AND($T$148&gt;0,DATE($C178,11,15)&gt;$T$148)),0,IF(DATE($C178,11,15)&gt;=$X$148,$AA$148*(1+($U$148)/100)^MAX(0,$C178-$AD$148),IF(DATE($C178,11,15)&gt;=$W$148,$Z$148*(1+($U$148)/100)^MAX(0,$C178-$AC$148),IF(DATE($C178,11,15)&gt;=$V$148,$Y$148*(1+($U$148)/100)^MAX(0,$C178-$AB$148),0)))))</f>
      </c>
      <c r="P178" s="43">
        <f>IF($S$148=0,0,IF(OR(DATE($C178,12,15)&lt;$S$148,AND($T$148&gt;0,DATE($C178,12,15)&gt;$T$148)),0,IF(DATE($C178,12,15)&gt;=$X$148,$AA$148*(1+($U$148)/100)^MAX(0,$C178-$AD$148),IF(DATE($C178,12,15)&gt;=$W$148,$Z$148*(1+($U$148)/100)^MAX(0,$C178-$AC$148),IF(DATE($C178,12,15)&gt;=$V$148,$Y$148*(1+($U$148)/100)^MAX(0,$C178-$AB$148),0)))))</f>
      </c>
      <c r="Q178" s="43">
        <f>SUM($E178:$P178)</f>
      </c>
    </row>
    <row r="179">
      <c r="A179"/>
      <c r="B179">
        <v>6</v>
      </c>
      <c r="C179" s="43">
        <f>Jahr+0</f>
      </c>
      <c r="D179" s="43">
        <f>INDEX(MvObj,6)</f>
      </c>
      <c r="E179" s="43">
        <f>IF($S$179=0,0,IF(OR(DATE($C179,1,15)&lt;$S$179,AND($T$179&gt;0,DATE($C179,1,15)&gt;$T$179)),0,IF(DATE($C179,1,15)&gt;=$X$179,$AA$179*(1+($U$179)/100)^MAX(0,$C179-$AD$179),IF(DATE($C179,1,15)&gt;=$W$179,$Z$179*(1+($U$179)/100)^MAX(0,$C179-$AC$179),IF(DATE($C179,1,15)&gt;=$V$179,$Y$179*(1+($U$179)/100)^MAX(0,$C179-$AB$179),0)))))</f>
      </c>
      <c r="F179" s="43">
        <f>IF($S$179=0,0,IF(OR(DATE($C179,2,15)&lt;$S$179,AND($T$179&gt;0,DATE($C179,2,15)&gt;$T$179)),0,IF(DATE($C179,2,15)&gt;=$X$179,$AA$179*(1+($U$179)/100)^MAX(0,$C179-$AD$179),IF(DATE($C179,2,15)&gt;=$W$179,$Z$179*(1+($U$179)/100)^MAX(0,$C179-$AC$179),IF(DATE($C179,2,15)&gt;=$V$179,$Y$179*(1+($U$179)/100)^MAX(0,$C179-$AB$179),0)))))</f>
      </c>
      <c r="G179" s="43">
        <f>IF($S$179=0,0,IF(OR(DATE($C179,3,15)&lt;$S$179,AND($T$179&gt;0,DATE($C179,3,15)&gt;$T$179)),0,IF(DATE($C179,3,15)&gt;=$X$179,$AA$179*(1+($U$179)/100)^MAX(0,$C179-$AD$179),IF(DATE($C179,3,15)&gt;=$W$179,$Z$179*(1+($U$179)/100)^MAX(0,$C179-$AC$179),IF(DATE($C179,3,15)&gt;=$V$179,$Y$179*(1+($U$179)/100)^MAX(0,$C179-$AB$179),0)))))</f>
      </c>
      <c r="H179" s="43">
        <f>IF($S$179=0,0,IF(OR(DATE($C179,4,15)&lt;$S$179,AND($T$179&gt;0,DATE($C179,4,15)&gt;$T$179)),0,IF(DATE($C179,4,15)&gt;=$X$179,$AA$179*(1+($U$179)/100)^MAX(0,$C179-$AD$179),IF(DATE($C179,4,15)&gt;=$W$179,$Z$179*(1+($U$179)/100)^MAX(0,$C179-$AC$179),IF(DATE($C179,4,15)&gt;=$V$179,$Y$179*(1+($U$179)/100)^MAX(0,$C179-$AB$179),0)))))</f>
      </c>
      <c r="I179" s="43">
        <f>IF($S$179=0,0,IF(OR(DATE($C179,5,15)&lt;$S$179,AND($T$179&gt;0,DATE($C179,5,15)&gt;$T$179)),0,IF(DATE($C179,5,15)&gt;=$X$179,$AA$179*(1+($U$179)/100)^MAX(0,$C179-$AD$179),IF(DATE($C179,5,15)&gt;=$W$179,$Z$179*(1+($U$179)/100)^MAX(0,$C179-$AC$179),IF(DATE($C179,5,15)&gt;=$V$179,$Y$179*(1+($U$179)/100)^MAX(0,$C179-$AB$179),0)))))</f>
      </c>
      <c r="J179" s="43">
        <f>IF($S$179=0,0,IF(OR(DATE($C179,6,15)&lt;$S$179,AND($T$179&gt;0,DATE($C179,6,15)&gt;$T$179)),0,IF(DATE($C179,6,15)&gt;=$X$179,$AA$179*(1+($U$179)/100)^MAX(0,$C179-$AD$179),IF(DATE($C179,6,15)&gt;=$W$179,$Z$179*(1+($U$179)/100)^MAX(0,$C179-$AC$179),IF(DATE($C179,6,15)&gt;=$V$179,$Y$179*(1+($U$179)/100)^MAX(0,$C179-$AB$179),0)))))</f>
      </c>
      <c r="K179" s="43">
        <f>IF($S$179=0,0,IF(OR(DATE($C179,7,15)&lt;$S$179,AND($T$179&gt;0,DATE($C179,7,15)&gt;$T$179)),0,IF(DATE($C179,7,15)&gt;=$X$179,$AA$179*(1+($U$179)/100)^MAX(0,$C179-$AD$179),IF(DATE($C179,7,15)&gt;=$W$179,$Z$179*(1+($U$179)/100)^MAX(0,$C179-$AC$179),IF(DATE($C179,7,15)&gt;=$V$179,$Y$179*(1+($U$179)/100)^MAX(0,$C179-$AB$179),0)))))</f>
      </c>
      <c r="L179" s="43">
        <f>IF($S$179=0,0,IF(OR(DATE($C179,8,15)&lt;$S$179,AND($T$179&gt;0,DATE($C179,8,15)&gt;$T$179)),0,IF(DATE($C179,8,15)&gt;=$X$179,$AA$179*(1+($U$179)/100)^MAX(0,$C179-$AD$179),IF(DATE($C179,8,15)&gt;=$W$179,$Z$179*(1+($U$179)/100)^MAX(0,$C179-$AC$179),IF(DATE($C179,8,15)&gt;=$V$179,$Y$179*(1+($U$179)/100)^MAX(0,$C179-$AB$179),0)))))</f>
      </c>
      <c r="M179" s="43">
        <f>IF($S$179=0,0,IF(OR(DATE($C179,9,15)&lt;$S$179,AND($T$179&gt;0,DATE($C179,9,15)&gt;$T$179)),0,IF(DATE($C179,9,15)&gt;=$X$179,$AA$179*(1+($U$179)/100)^MAX(0,$C179-$AD$179),IF(DATE($C179,9,15)&gt;=$W$179,$Z$179*(1+($U$179)/100)^MAX(0,$C179-$AC$179),IF(DATE($C179,9,15)&gt;=$V$179,$Y$179*(1+($U$179)/100)^MAX(0,$C179-$AB$179),0)))))</f>
      </c>
      <c r="N179" s="43">
        <f>IF($S$179=0,0,IF(OR(DATE($C179,10,15)&lt;$S$179,AND($T$179&gt;0,DATE($C179,10,15)&gt;$T$179)),0,IF(DATE($C179,10,15)&gt;=$X$179,$AA$179*(1+($U$179)/100)^MAX(0,$C179-$AD$179),IF(DATE($C179,10,15)&gt;=$W$179,$Z$179*(1+($U$179)/100)^MAX(0,$C179-$AC$179),IF(DATE($C179,10,15)&gt;=$V$179,$Y$179*(1+($U$179)/100)^MAX(0,$C179-$AB$179),0)))))</f>
      </c>
      <c r="O179" s="43">
        <f>IF($S$179=0,0,IF(OR(DATE($C179,11,15)&lt;$S$179,AND($T$179&gt;0,DATE($C179,11,15)&gt;$T$179)),0,IF(DATE($C179,11,15)&gt;=$X$179,$AA$179*(1+($U$179)/100)^MAX(0,$C179-$AD$179),IF(DATE($C179,11,15)&gt;=$W$179,$Z$179*(1+($U$179)/100)^MAX(0,$C179-$AC$179),IF(DATE($C179,11,15)&gt;=$V$179,$Y$179*(1+($U$179)/100)^MAX(0,$C179-$AB$179),0)))))</f>
      </c>
      <c r="P179" s="43">
        <f>IF($S$179=0,0,IF(OR(DATE($C179,12,15)&lt;$S$179,AND($T$179&gt;0,DATE($C179,12,15)&gt;$T$179)),0,IF(DATE($C179,12,15)&gt;=$X$179,$AA$179*(1+($U$179)/100)^MAX(0,$C179-$AD$179),IF(DATE($C179,12,15)&gt;=$W$179,$Z$179*(1+($U$179)/100)^MAX(0,$C179-$AC$179),IF(DATE($C179,12,15)&gt;=$V$179,$Y$179*(1+($U$179)/100)^MAX(0,$C179-$AB$179),0)))))</f>
      </c>
      <c r="Q179" s="43">
        <f>SUM($E179:$P179)</f>
      </c>
      <c r="R179"/>
      <c r="S179" s="43">
        <f>IF(INDEX(MvBeginn,6)="",0,INDEX(MvBeginn,6))</f>
      </c>
      <c r="T179" s="43">
        <f>INDEX(MvEnde,6)</f>
      </c>
      <c r="U179" s="43">
        <f>INDEX(MvSatz,6)</f>
      </c>
      <c r="V179" s="43">
        <f>INDEX(MvKey1,6)</f>
      </c>
      <c r="W179" s="43">
        <f>INDEX(MvKey2,6)</f>
      </c>
      <c r="X179" s="43">
        <f>INDEX(MvKey3,6)</f>
      </c>
      <c r="Y179" s="43">
        <f>INDEX(MvKalt1,6)</f>
      </c>
      <c r="Z179" s="43">
        <f>INDEX(MvKalt2,6)</f>
      </c>
      <c r="AA179" s="43">
        <f>INDEX(MvKalt3,6)</f>
      </c>
      <c r="AB179" s="43">
        <f>MAX(YEAR(INDEX(MvAb1,6)),Jahr)</f>
      </c>
      <c r="AC179" s="43">
        <f>MAX(YEAR(INDEX(MvAb2,6)),Jahr)</f>
      </c>
      <c r="AD179" s="43">
        <f>MAX(YEAR(INDEX(MvAb3,6)),Jahr)</f>
      </c>
    </row>
    <row r="180">
      <c r="A180"/>
      <c r="B180">
        <v>6</v>
      </c>
      <c r="C180" s="43">
        <f>Jahr+1</f>
      </c>
      <c r="D180" s="43">
        <f>INDEX(MvObj,6)</f>
      </c>
      <c r="E180" s="43">
        <f>IF($S$179=0,0,IF(OR(DATE($C180,1,15)&lt;$S$179,AND($T$179&gt;0,DATE($C180,1,15)&gt;$T$179)),0,IF(DATE($C180,1,15)&gt;=$X$179,$AA$179*(1+($U$179)/100)^MAX(0,$C180-$AD$179),IF(DATE($C180,1,15)&gt;=$W$179,$Z$179*(1+($U$179)/100)^MAX(0,$C180-$AC$179),IF(DATE($C180,1,15)&gt;=$V$179,$Y$179*(1+($U$179)/100)^MAX(0,$C180-$AB$179),0)))))</f>
      </c>
      <c r="F180" s="43">
        <f>IF($S$179=0,0,IF(OR(DATE($C180,2,15)&lt;$S$179,AND($T$179&gt;0,DATE($C180,2,15)&gt;$T$179)),0,IF(DATE($C180,2,15)&gt;=$X$179,$AA$179*(1+($U$179)/100)^MAX(0,$C180-$AD$179),IF(DATE($C180,2,15)&gt;=$W$179,$Z$179*(1+($U$179)/100)^MAX(0,$C180-$AC$179),IF(DATE($C180,2,15)&gt;=$V$179,$Y$179*(1+($U$179)/100)^MAX(0,$C180-$AB$179),0)))))</f>
      </c>
      <c r="G180" s="43">
        <f>IF($S$179=0,0,IF(OR(DATE($C180,3,15)&lt;$S$179,AND($T$179&gt;0,DATE($C180,3,15)&gt;$T$179)),0,IF(DATE($C180,3,15)&gt;=$X$179,$AA$179*(1+($U$179)/100)^MAX(0,$C180-$AD$179),IF(DATE($C180,3,15)&gt;=$W$179,$Z$179*(1+($U$179)/100)^MAX(0,$C180-$AC$179),IF(DATE($C180,3,15)&gt;=$V$179,$Y$179*(1+($U$179)/100)^MAX(0,$C180-$AB$179),0)))))</f>
      </c>
      <c r="H180" s="43">
        <f>IF($S$179=0,0,IF(OR(DATE($C180,4,15)&lt;$S$179,AND($T$179&gt;0,DATE($C180,4,15)&gt;$T$179)),0,IF(DATE($C180,4,15)&gt;=$X$179,$AA$179*(1+($U$179)/100)^MAX(0,$C180-$AD$179),IF(DATE($C180,4,15)&gt;=$W$179,$Z$179*(1+($U$179)/100)^MAX(0,$C180-$AC$179),IF(DATE($C180,4,15)&gt;=$V$179,$Y$179*(1+($U$179)/100)^MAX(0,$C180-$AB$179),0)))))</f>
      </c>
      <c r="I180" s="43">
        <f>IF($S$179=0,0,IF(OR(DATE($C180,5,15)&lt;$S$179,AND($T$179&gt;0,DATE($C180,5,15)&gt;$T$179)),0,IF(DATE($C180,5,15)&gt;=$X$179,$AA$179*(1+($U$179)/100)^MAX(0,$C180-$AD$179),IF(DATE($C180,5,15)&gt;=$W$179,$Z$179*(1+($U$179)/100)^MAX(0,$C180-$AC$179),IF(DATE($C180,5,15)&gt;=$V$179,$Y$179*(1+($U$179)/100)^MAX(0,$C180-$AB$179),0)))))</f>
      </c>
      <c r="J180" s="43">
        <f>IF($S$179=0,0,IF(OR(DATE($C180,6,15)&lt;$S$179,AND($T$179&gt;0,DATE($C180,6,15)&gt;$T$179)),0,IF(DATE($C180,6,15)&gt;=$X$179,$AA$179*(1+($U$179)/100)^MAX(0,$C180-$AD$179),IF(DATE($C180,6,15)&gt;=$W$179,$Z$179*(1+($U$179)/100)^MAX(0,$C180-$AC$179),IF(DATE($C180,6,15)&gt;=$V$179,$Y$179*(1+($U$179)/100)^MAX(0,$C180-$AB$179),0)))))</f>
      </c>
      <c r="K180" s="43">
        <f>IF($S$179=0,0,IF(OR(DATE($C180,7,15)&lt;$S$179,AND($T$179&gt;0,DATE($C180,7,15)&gt;$T$179)),0,IF(DATE($C180,7,15)&gt;=$X$179,$AA$179*(1+($U$179)/100)^MAX(0,$C180-$AD$179),IF(DATE($C180,7,15)&gt;=$W$179,$Z$179*(1+($U$179)/100)^MAX(0,$C180-$AC$179),IF(DATE($C180,7,15)&gt;=$V$179,$Y$179*(1+($U$179)/100)^MAX(0,$C180-$AB$179),0)))))</f>
      </c>
      <c r="L180" s="43">
        <f>IF($S$179=0,0,IF(OR(DATE($C180,8,15)&lt;$S$179,AND($T$179&gt;0,DATE($C180,8,15)&gt;$T$179)),0,IF(DATE($C180,8,15)&gt;=$X$179,$AA$179*(1+($U$179)/100)^MAX(0,$C180-$AD$179),IF(DATE($C180,8,15)&gt;=$W$179,$Z$179*(1+($U$179)/100)^MAX(0,$C180-$AC$179),IF(DATE($C180,8,15)&gt;=$V$179,$Y$179*(1+($U$179)/100)^MAX(0,$C180-$AB$179),0)))))</f>
      </c>
      <c r="M180" s="43">
        <f>IF($S$179=0,0,IF(OR(DATE($C180,9,15)&lt;$S$179,AND($T$179&gt;0,DATE($C180,9,15)&gt;$T$179)),0,IF(DATE($C180,9,15)&gt;=$X$179,$AA$179*(1+($U$179)/100)^MAX(0,$C180-$AD$179),IF(DATE($C180,9,15)&gt;=$W$179,$Z$179*(1+($U$179)/100)^MAX(0,$C180-$AC$179),IF(DATE($C180,9,15)&gt;=$V$179,$Y$179*(1+($U$179)/100)^MAX(0,$C180-$AB$179),0)))))</f>
      </c>
      <c r="N180" s="43">
        <f>IF($S$179=0,0,IF(OR(DATE($C180,10,15)&lt;$S$179,AND($T$179&gt;0,DATE($C180,10,15)&gt;$T$179)),0,IF(DATE($C180,10,15)&gt;=$X$179,$AA$179*(1+($U$179)/100)^MAX(0,$C180-$AD$179),IF(DATE($C180,10,15)&gt;=$W$179,$Z$179*(1+($U$179)/100)^MAX(0,$C180-$AC$179),IF(DATE($C180,10,15)&gt;=$V$179,$Y$179*(1+($U$179)/100)^MAX(0,$C180-$AB$179),0)))))</f>
      </c>
      <c r="O180" s="43">
        <f>IF($S$179=0,0,IF(OR(DATE($C180,11,15)&lt;$S$179,AND($T$179&gt;0,DATE($C180,11,15)&gt;$T$179)),0,IF(DATE($C180,11,15)&gt;=$X$179,$AA$179*(1+($U$179)/100)^MAX(0,$C180-$AD$179),IF(DATE($C180,11,15)&gt;=$W$179,$Z$179*(1+($U$179)/100)^MAX(0,$C180-$AC$179),IF(DATE($C180,11,15)&gt;=$V$179,$Y$179*(1+($U$179)/100)^MAX(0,$C180-$AB$179),0)))))</f>
      </c>
      <c r="P180" s="43">
        <f>IF($S$179=0,0,IF(OR(DATE($C180,12,15)&lt;$S$179,AND($T$179&gt;0,DATE($C180,12,15)&gt;$T$179)),0,IF(DATE($C180,12,15)&gt;=$X$179,$AA$179*(1+($U$179)/100)^MAX(0,$C180-$AD$179),IF(DATE($C180,12,15)&gt;=$W$179,$Z$179*(1+($U$179)/100)^MAX(0,$C180-$AC$179),IF(DATE($C180,12,15)&gt;=$V$179,$Y$179*(1+($U$179)/100)^MAX(0,$C180-$AB$179),0)))))</f>
      </c>
      <c r="Q180" s="43">
        <f>SUM($E180:$P180)</f>
      </c>
    </row>
    <row r="181">
      <c r="A181"/>
      <c r="B181">
        <v>6</v>
      </c>
      <c r="C181" s="43">
        <f>Jahr+2</f>
      </c>
      <c r="D181" s="43">
        <f>INDEX(MvObj,6)</f>
      </c>
      <c r="E181" s="43">
        <f>IF($S$179=0,0,IF(OR(DATE($C181,1,15)&lt;$S$179,AND($T$179&gt;0,DATE($C181,1,15)&gt;$T$179)),0,IF(DATE($C181,1,15)&gt;=$X$179,$AA$179*(1+($U$179)/100)^MAX(0,$C181-$AD$179),IF(DATE($C181,1,15)&gt;=$W$179,$Z$179*(1+($U$179)/100)^MAX(0,$C181-$AC$179),IF(DATE($C181,1,15)&gt;=$V$179,$Y$179*(1+($U$179)/100)^MAX(0,$C181-$AB$179),0)))))</f>
      </c>
      <c r="F181" s="43">
        <f>IF($S$179=0,0,IF(OR(DATE($C181,2,15)&lt;$S$179,AND($T$179&gt;0,DATE($C181,2,15)&gt;$T$179)),0,IF(DATE($C181,2,15)&gt;=$X$179,$AA$179*(1+($U$179)/100)^MAX(0,$C181-$AD$179),IF(DATE($C181,2,15)&gt;=$W$179,$Z$179*(1+($U$179)/100)^MAX(0,$C181-$AC$179),IF(DATE($C181,2,15)&gt;=$V$179,$Y$179*(1+($U$179)/100)^MAX(0,$C181-$AB$179),0)))))</f>
      </c>
      <c r="G181" s="43">
        <f>IF($S$179=0,0,IF(OR(DATE($C181,3,15)&lt;$S$179,AND($T$179&gt;0,DATE($C181,3,15)&gt;$T$179)),0,IF(DATE($C181,3,15)&gt;=$X$179,$AA$179*(1+($U$179)/100)^MAX(0,$C181-$AD$179),IF(DATE($C181,3,15)&gt;=$W$179,$Z$179*(1+($U$179)/100)^MAX(0,$C181-$AC$179),IF(DATE($C181,3,15)&gt;=$V$179,$Y$179*(1+($U$179)/100)^MAX(0,$C181-$AB$179),0)))))</f>
      </c>
      <c r="H181" s="43">
        <f>IF($S$179=0,0,IF(OR(DATE($C181,4,15)&lt;$S$179,AND($T$179&gt;0,DATE($C181,4,15)&gt;$T$179)),0,IF(DATE($C181,4,15)&gt;=$X$179,$AA$179*(1+($U$179)/100)^MAX(0,$C181-$AD$179),IF(DATE($C181,4,15)&gt;=$W$179,$Z$179*(1+($U$179)/100)^MAX(0,$C181-$AC$179),IF(DATE($C181,4,15)&gt;=$V$179,$Y$179*(1+($U$179)/100)^MAX(0,$C181-$AB$179),0)))))</f>
      </c>
      <c r="I181" s="43">
        <f>IF($S$179=0,0,IF(OR(DATE($C181,5,15)&lt;$S$179,AND($T$179&gt;0,DATE($C181,5,15)&gt;$T$179)),0,IF(DATE($C181,5,15)&gt;=$X$179,$AA$179*(1+($U$179)/100)^MAX(0,$C181-$AD$179),IF(DATE($C181,5,15)&gt;=$W$179,$Z$179*(1+($U$179)/100)^MAX(0,$C181-$AC$179),IF(DATE($C181,5,15)&gt;=$V$179,$Y$179*(1+($U$179)/100)^MAX(0,$C181-$AB$179),0)))))</f>
      </c>
      <c r="J181" s="43">
        <f>IF($S$179=0,0,IF(OR(DATE($C181,6,15)&lt;$S$179,AND($T$179&gt;0,DATE($C181,6,15)&gt;$T$179)),0,IF(DATE($C181,6,15)&gt;=$X$179,$AA$179*(1+($U$179)/100)^MAX(0,$C181-$AD$179),IF(DATE($C181,6,15)&gt;=$W$179,$Z$179*(1+($U$179)/100)^MAX(0,$C181-$AC$179),IF(DATE($C181,6,15)&gt;=$V$179,$Y$179*(1+($U$179)/100)^MAX(0,$C181-$AB$179),0)))))</f>
      </c>
      <c r="K181" s="43">
        <f>IF($S$179=0,0,IF(OR(DATE($C181,7,15)&lt;$S$179,AND($T$179&gt;0,DATE($C181,7,15)&gt;$T$179)),0,IF(DATE($C181,7,15)&gt;=$X$179,$AA$179*(1+($U$179)/100)^MAX(0,$C181-$AD$179),IF(DATE($C181,7,15)&gt;=$W$179,$Z$179*(1+($U$179)/100)^MAX(0,$C181-$AC$179),IF(DATE($C181,7,15)&gt;=$V$179,$Y$179*(1+($U$179)/100)^MAX(0,$C181-$AB$179),0)))))</f>
      </c>
      <c r="L181" s="43">
        <f>IF($S$179=0,0,IF(OR(DATE($C181,8,15)&lt;$S$179,AND($T$179&gt;0,DATE($C181,8,15)&gt;$T$179)),0,IF(DATE($C181,8,15)&gt;=$X$179,$AA$179*(1+($U$179)/100)^MAX(0,$C181-$AD$179),IF(DATE($C181,8,15)&gt;=$W$179,$Z$179*(1+($U$179)/100)^MAX(0,$C181-$AC$179),IF(DATE($C181,8,15)&gt;=$V$179,$Y$179*(1+($U$179)/100)^MAX(0,$C181-$AB$179),0)))))</f>
      </c>
      <c r="M181" s="43">
        <f>IF($S$179=0,0,IF(OR(DATE($C181,9,15)&lt;$S$179,AND($T$179&gt;0,DATE($C181,9,15)&gt;$T$179)),0,IF(DATE($C181,9,15)&gt;=$X$179,$AA$179*(1+($U$179)/100)^MAX(0,$C181-$AD$179),IF(DATE($C181,9,15)&gt;=$W$179,$Z$179*(1+($U$179)/100)^MAX(0,$C181-$AC$179),IF(DATE($C181,9,15)&gt;=$V$179,$Y$179*(1+($U$179)/100)^MAX(0,$C181-$AB$179),0)))))</f>
      </c>
      <c r="N181" s="43">
        <f>IF($S$179=0,0,IF(OR(DATE($C181,10,15)&lt;$S$179,AND($T$179&gt;0,DATE($C181,10,15)&gt;$T$179)),0,IF(DATE($C181,10,15)&gt;=$X$179,$AA$179*(1+($U$179)/100)^MAX(0,$C181-$AD$179),IF(DATE($C181,10,15)&gt;=$W$179,$Z$179*(1+($U$179)/100)^MAX(0,$C181-$AC$179),IF(DATE($C181,10,15)&gt;=$V$179,$Y$179*(1+($U$179)/100)^MAX(0,$C181-$AB$179),0)))))</f>
      </c>
      <c r="O181" s="43">
        <f>IF($S$179=0,0,IF(OR(DATE($C181,11,15)&lt;$S$179,AND($T$179&gt;0,DATE($C181,11,15)&gt;$T$179)),0,IF(DATE($C181,11,15)&gt;=$X$179,$AA$179*(1+($U$179)/100)^MAX(0,$C181-$AD$179),IF(DATE($C181,11,15)&gt;=$W$179,$Z$179*(1+($U$179)/100)^MAX(0,$C181-$AC$179),IF(DATE($C181,11,15)&gt;=$V$179,$Y$179*(1+($U$179)/100)^MAX(0,$C181-$AB$179),0)))))</f>
      </c>
      <c r="P181" s="43">
        <f>IF($S$179=0,0,IF(OR(DATE($C181,12,15)&lt;$S$179,AND($T$179&gt;0,DATE($C181,12,15)&gt;$T$179)),0,IF(DATE($C181,12,15)&gt;=$X$179,$AA$179*(1+($U$179)/100)^MAX(0,$C181-$AD$179),IF(DATE($C181,12,15)&gt;=$W$179,$Z$179*(1+($U$179)/100)^MAX(0,$C181-$AC$179),IF(DATE($C181,12,15)&gt;=$V$179,$Y$179*(1+($U$179)/100)^MAX(0,$C181-$AB$179),0)))))</f>
      </c>
      <c r="Q181" s="43">
        <f>SUM($E181:$P181)</f>
      </c>
    </row>
    <row r="182">
      <c r="A182"/>
      <c r="B182">
        <v>6</v>
      </c>
      <c r="C182" s="43">
        <f>Jahr+3</f>
      </c>
      <c r="D182" s="43">
        <f>INDEX(MvObj,6)</f>
      </c>
      <c r="E182" s="43">
        <f>IF($S$179=0,0,IF(OR(DATE($C182,1,15)&lt;$S$179,AND($T$179&gt;0,DATE($C182,1,15)&gt;$T$179)),0,IF(DATE($C182,1,15)&gt;=$X$179,$AA$179*(1+($U$179)/100)^MAX(0,$C182-$AD$179),IF(DATE($C182,1,15)&gt;=$W$179,$Z$179*(1+($U$179)/100)^MAX(0,$C182-$AC$179),IF(DATE($C182,1,15)&gt;=$V$179,$Y$179*(1+($U$179)/100)^MAX(0,$C182-$AB$179),0)))))</f>
      </c>
      <c r="F182" s="43">
        <f>IF($S$179=0,0,IF(OR(DATE($C182,2,15)&lt;$S$179,AND($T$179&gt;0,DATE($C182,2,15)&gt;$T$179)),0,IF(DATE($C182,2,15)&gt;=$X$179,$AA$179*(1+($U$179)/100)^MAX(0,$C182-$AD$179),IF(DATE($C182,2,15)&gt;=$W$179,$Z$179*(1+($U$179)/100)^MAX(0,$C182-$AC$179),IF(DATE($C182,2,15)&gt;=$V$179,$Y$179*(1+($U$179)/100)^MAX(0,$C182-$AB$179),0)))))</f>
      </c>
      <c r="G182" s="43">
        <f>IF($S$179=0,0,IF(OR(DATE($C182,3,15)&lt;$S$179,AND($T$179&gt;0,DATE($C182,3,15)&gt;$T$179)),0,IF(DATE($C182,3,15)&gt;=$X$179,$AA$179*(1+($U$179)/100)^MAX(0,$C182-$AD$179),IF(DATE($C182,3,15)&gt;=$W$179,$Z$179*(1+($U$179)/100)^MAX(0,$C182-$AC$179),IF(DATE($C182,3,15)&gt;=$V$179,$Y$179*(1+($U$179)/100)^MAX(0,$C182-$AB$179),0)))))</f>
      </c>
      <c r="H182" s="43">
        <f>IF($S$179=0,0,IF(OR(DATE($C182,4,15)&lt;$S$179,AND($T$179&gt;0,DATE($C182,4,15)&gt;$T$179)),0,IF(DATE($C182,4,15)&gt;=$X$179,$AA$179*(1+($U$179)/100)^MAX(0,$C182-$AD$179),IF(DATE($C182,4,15)&gt;=$W$179,$Z$179*(1+($U$179)/100)^MAX(0,$C182-$AC$179),IF(DATE($C182,4,15)&gt;=$V$179,$Y$179*(1+($U$179)/100)^MAX(0,$C182-$AB$179),0)))))</f>
      </c>
      <c r="I182" s="43">
        <f>IF($S$179=0,0,IF(OR(DATE($C182,5,15)&lt;$S$179,AND($T$179&gt;0,DATE($C182,5,15)&gt;$T$179)),0,IF(DATE($C182,5,15)&gt;=$X$179,$AA$179*(1+($U$179)/100)^MAX(0,$C182-$AD$179),IF(DATE($C182,5,15)&gt;=$W$179,$Z$179*(1+($U$179)/100)^MAX(0,$C182-$AC$179),IF(DATE($C182,5,15)&gt;=$V$179,$Y$179*(1+($U$179)/100)^MAX(0,$C182-$AB$179),0)))))</f>
      </c>
      <c r="J182" s="43">
        <f>IF($S$179=0,0,IF(OR(DATE($C182,6,15)&lt;$S$179,AND($T$179&gt;0,DATE($C182,6,15)&gt;$T$179)),0,IF(DATE($C182,6,15)&gt;=$X$179,$AA$179*(1+($U$179)/100)^MAX(0,$C182-$AD$179),IF(DATE($C182,6,15)&gt;=$W$179,$Z$179*(1+($U$179)/100)^MAX(0,$C182-$AC$179),IF(DATE($C182,6,15)&gt;=$V$179,$Y$179*(1+($U$179)/100)^MAX(0,$C182-$AB$179),0)))))</f>
      </c>
      <c r="K182" s="43">
        <f>IF($S$179=0,0,IF(OR(DATE($C182,7,15)&lt;$S$179,AND($T$179&gt;0,DATE($C182,7,15)&gt;$T$179)),0,IF(DATE($C182,7,15)&gt;=$X$179,$AA$179*(1+($U$179)/100)^MAX(0,$C182-$AD$179),IF(DATE($C182,7,15)&gt;=$W$179,$Z$179*(1+($U$179)/100)^MAX(0,$C182-$AC$179),IF(DATE($C182,7,15)&gt;=$V$179,$Y$179*(1+($U$179)/100)^MAX(0,$C182-$AB$179),0)))))</f>
      </c>
      <c r="L182" s="43">
        <f>IF($S$179=0,0,IF(OR(DATE($C182,8,15)&lt;$S$179,AND($T$179&gt;0,DATE($C182,8,15)&gt;$T$179)),0,IF(DATE($C182,8,15)&gt;=$X$179,$AA$179*(1+($U$179)/100)^MAX(0,$C182-$AD$179),IF(DATE($C182,8,15)&gt;=$W$179,$Z$179*(1+($U$179)/100)^MAX(0,$C182-$AC$179),IF(DATE($C182,8,15)&gt;=$V$179,$Y$179*(1+($U$179)/100)^MAX(0,$C182-$AB$179),0)))))</f>
      </c>
      <c r="M182" s="43">
        <f>IF($S$179=0,0,IF(OR(DATE($C182,9,15)&lt;$S$179,AND($T$179&gt;0,DATE($C182,9,15)&gt;$T$179)),0,IF(DATE($C182,9,15)&gt;=$X$179,$AA$179*(1+($U$179)/100)^MAX(0,$C182-$AD$179),IF(DATE($C182,9,15)&gt;=$W$179,$Z$179*(1+($U$179)/100)^MAX(0,$C182-$AC$179),IF(DATE($C182,9,15)&gt;=$V$179,$Y$179*(1+($U$179)/100)^MAX(0,$C182-$AB$179),0)))))</f>
      </c>
      <c r="N182" s="43">
        <f>IF($S$179=0,0,IF(OR(DATE($C182,10,15)&lt;$S$179,AND($T$179&gt;0,DATE($C182,10,15)&gt;$T$179)),0,IF(DATE($C182,10,15)&gt;=$X$179,$AA$179*(1+($U$179)/100)^MAX(0,$C182-$AD$179),IF(DATE($C182,10,15)&gt;=$W$179,$Z$179*(1+($U$179)/100)^MAX(0,$C182-$AC$179),IF(DATE($C182,10,15)&gt;=$V$179,$Y$179*(1+($U$179)/100)^MAX(0,$C182-$AB$179),0)))))</f>
      </c>
      <c r="O182" s="43">
        <f>IF($S$179=0,0,IF(OR(DATE($C182,11,15)&lt;$S$179,AND($T$179&gt;0,DATE($C182,11,15)&gt;$T$179)),0,IF(DATE($C182,11,15)&gt;=$X$179,$AA$179*(1+($U$179)/100)^MAX(0,$C182-$AD$179),IF(DATE($C182,11,15)&gt;=$W$179,$Z$179*(1+($U$179)/100)^MAX(0,$C182-$AC$179),IF(DATE($C182,11,15)&gt;=$V$179,$Y$179*(1+($U$179)/100)^MAX(0,$C182-$AB$179),0)))))</f>
      </c>
      <c r="P182" s="43">
        <f>IF($S$179=0,0,IF(OR(DATE($C182,12,15)&lt;$S$179,AND($T$179&gt;0,DATE($C182,12,15)&gt;$T$179)),0,IF(DATE($C182,12,15)&gt;=$X$179,$AA$179*(1+($U$179)/100)^MAX(0,$C182-$AD$179),IF(DATE($C182,12,15)&gt;=$W$179,$Z$179*(1+($U$179)/100)^MAX(0,$C182-$AC$179),IF(DATE($C182,12,15)&gt;=$V$179,$Y$179*(1+($U$179)/100)^MAX(0,$C182-$AB$179),0)))))</f>
      </c>
      <c r="Q182" s="43">
        <f>SUM($E182:$P182)</f>
      </c>
    </row>
    <row r="183">
      <c r="A183"/>
      <c r="B183">
        <v>6</v>
      </c>
      <c r="C183" s="43">
        <f>Jahr+4</f>
      </c>
      <c r="D183" s="43">
        <f>INDEX(MvObj,6)</f>
      </c>
      <c r="E183" s="43">
        <f>IF($S$179=0,0,IF(OR(DATE($C183,1,15)&lt;$S$179,AND($T$179&gt;0,DATE($C183,1,15)&gt;$T$179)),0,IF(DATE($C183,1,15)&gt;=$X$179,$AA$179*(1+($U$179)/100)^MAX(0,$C183-$AD$179),IF(DATE($C183,1,15)&gt;=$W$179,$Z$179*(1+($U$179)/100)^MAX(0,$C183-$AC$179),IF(DATE($C183,1,15)&gt;=$V$179,$Y$179*(1+($U$179)/100)^MAX(0,$C183-$AB$179),0)))))</f>
      </c>
      <c r="F183" s="43">
        <f>IF($S$179=0,0,IF(OR(DATE($C183,2,15)&lt;$S$179,AND($T$179&gt;0,DATE($C183,2,15)&gt;$T$179)),0,IF(DATE($C183,2,15)&gt;=$X$179,$AA$179*(1+($U$179)/100)^MAX(0,$C183-$AD$179),IF(DATE($C183,2,15)&gt;=$W$179,$Z$179*(1+($U$179)/100)^MAX(0,$C183-$AC$179),IF(DATE($C183,2,15)&gt;=$V$179,$Y$179*(1+($U$179)/100)^MAX(0,$C183-$AB$179),0)))))</f>
      </c>
      <c r="G183" s="43">
        <f>IF($S$179=0,0,IF(OR(DATE($C183,3,15)&lt;$S$179,AND($T$179&gt;0,DATE($C183,3,15)&gt;$T$179)),0,IF(DATE($C183,3,15)&gt;=$X$179,$AA$179*(1+($U$179)/100)^MAX(0,$C183-$AD$179),IF(DATE($C183,3,15)&gt;=$W$179,$Z$179*(1+($U$179)/100)^MAX(0,$C183-$AC$179),IF(DATE($C183,3,15)&gt;=$V$179,$Y$179*(1+($U$179)/100)^MAX(0,$C183-$AB$179),0)))))</f>
      </c>
      <c r="H183" s="43">
        <f>IF($S$179=0,0,IF(OR(DATE($C183,4,15)&lt;$S$179,AND($T$179&gt;0,DATE($C183,4,15)&gt;$T$179)),0,IF(DATE($C183,4,15)&gt;=$X$179,$AA$179*(1+($U$179)/100)^MAX(0,$C183-$AD$179),IF(DATE($C183,4,15)&gt;=$W$179,$Z$179*(1+($U$179)/100)^MAX(0,$C183-$AC$179),IF(DATE($C183,4,15)&gt;=$V$179,$Y$179*(1+($U$179)/100)^MAX(0,$C183-$AB$179),0)))))</f>
      </c>
      <c r="I183" s="43">
        <f>IF($S$179=0,0,IF(OR(DATE($C183,5,15)&lt;$S$179,AND($T$179&gt;0,DATE($C183,5,15)&gt;$T$179)),0,IF(DATE($C183,5,15)&gt;=$X$179,$AA$179*(1+($U$179)/100)^MAX(0,$C183-$AD$179),IF(DATE($C183,5,15)&gt;=$W$179,$Z$179*(1+($U$179)/100)^MAX(0,$C183-$AC$179),IF(DATE($C183,5,15)&gt;=$V$179,$Y$179*(1+($U$179)/100)^MAX(0,$C183-$AB$179),0)))))</f>
      </c>
      <c r="J183" s="43">
        <f>IF($S$179=0,0,IF(OR(DATE($C183,6,15)&lt;$S$179,AND($T$179&gt;0,DATE($C183,6,15)&gt;$T$179)),0,IF(DATE($C183,6,15)&gt;=$X$179,$AA$179*(1+($U$179)/100)^MAX(0,$C183-$AD$179),IF(DATE($C183,6,15)&gt;=$W$179,$Z$179*(1+($U$179)/100)^MAX(0,$C183-$AC$179),IF(DATE($C183,6,15)&gt;=$V$179,$Y$179*(1+($U$179)/100)^MAX(0,$C183-$AB$179),0)))))</f>
      </c>
      <c r="K183" s="43">
        <f>IF($S$179=0,0,IF(OR(DATE($C183,7,15)&lt;$S$179,AND($T$179&gt;0,DATE($C183,7,15)&gt;$T$179)),0,IF(DATE($C183,7,15)&gt;=$X$179,$AA$179*(1+($U$179)/100)^MAX(0,$C183-$AD$179),IF(DATE($C183,7,15)&gt;=$W$179,$Z$179*(1+($U$179)/100)^MAX(0,$C183-$AC$179),IF(DATE($C183,7,15)&gt;=$V$179,$Y$179*(1+($U$179)/100)^MAX(0,$C183-$AB$179),0)))))</f>
      </c>
      <c r="L183" s="43">
        <f>IF($S$179=0,0,IF(OR(DATE($C183,8,15)&lt;$S$179,AND($T$179&gt;0,DATE($C183,8,15)&gt;$T$179)),0,IF(DATE($C183,8,15)&gt;=$X$179,$AA$179*(1+($U$179)/100)^MAX(0,$C183-$AD$179),IF(DATE($C183,8,15)&gt;=$W$179,$Z$179*(1+($U$179)/100)^MAX(0,$C183-$AC$179),IF(DATE($C183,8,15)&gt;=$V$179,$Y$179*(1+($U$179)/100)^MAX(0,$C183-$AB$179),0)))))</f>
      </c>
      <c r="M183" s="43">
        <f>IF($S$179=0,0,IF(OR(DATE($C183,9,15)&lt;$S$179,AND($T$179&gt;0,DATE($C183,9,15)&gt;$T$179)),0,IF(DATE($C183,9,15)&gt;=$X$179,$AA$179*(1+($U$179)/100)^MAX(0,$C183-$AD$179),IF(DATE($C183,9,15)&gt;=$W$179,$Z$179*(1+($U$179)/100)^MAX(0,$C183-$AC$179),IF(DATE($C183,9,15)&gt;=$V$179,$Y$179*(1+($U$179)/100)^MAX(0,$C183-$AB$179),0)))))</f>
      </c>
      <c r="N183" s="43">
        <f>IF($S$179=0,0,IF(OR(DATE($C183,10,15)&lt;$S$179,AND($T$179&gt;0,DATE($C183,10,15)&gt;$T$179)),0,IF(DATE($C183,10,15)&gt;=$X$179,$AA$179*(1+($U$179)/100)^MAX(0,$C183-$AD$179),IF(DATE($C183,10,15)&gt;=$W$179,$Z$179*(1+($U$179)/100)^MAX(0,$C183-$AC$179),IF(DATE($C183,10,15)&gt;=$V$179,$Y$179*(1+($U$179)/100)^MAX(0,$C183-$AB$179),0)))))</f>
      </c>
      <c r="O183" s="43">
        <f>IF($S$179=0,0,IF(OR(DATE($C183,11,15)&lt;$S$179,AND($T$179&gt;0,DATE($C183,11,15)&gt;$T$179)),0,IF(DATE($C183,11,15)&gt;=$X$179,$AA$179*(1+($U$179)/100)^MAX(0,$C183-$AD$179),IF(DATE($C183,11,15)&gt;=$W$179,$Z$179*(1+($U$179)/100)^MAX(0,$C183-$AC$179),IF(DATE($C183,11,15)&gt;=$V$179,$Y$179*(1+($U$179)/100)^MAX(0,$C183-$AB$179),0)))))</f>
      </c>
      <c r="P183" s="43">
        <f>IF($S$179=0,0,IF(OR(DATE($C183,12,15)&lt;$S$179,AND($T$179&gt;0,DATE($C183,12,15)&gt;$T$179)),0,IF(DATE($C183,12,15)&gt;=$X$179,$AA$179*(1+($U$179)/100)^MAX(0,$C183-$AD$179),IF(DATE($C183,12,15)&gt;=$W$179,$Z$179*(1+($U$179)/100)^MAX(0,$C183-$AC$179),IF(DATE($C183,12,15)&gt;=$V$179,$Y$179*(1+($U$179)/100)^MAX(0,$C183-$AB$179),0)))))</f>
      </c>
      <c r="Q183" s="43">
        <f>SUM($E183:$P183)</f>
      </c>
    </row>
    <row r="184">
      <c r="A184"/>
      <c r="B184">
        <v>6</v>
      </c>
      <c r="C184" s="43">
        <f>Jahr+5</f>
      </c>
      <c r="D184" s="43">
        <f>INDEX(MvObj,6)</f>
      </c>
      <c r="E184" s="43">
        <f>IF($S$179=0,0,IF(OR(DATE($C184,1,15)&lt;$S$179,AND($T$179&gt;0,DATE($C184,1,15)&gt;$T$179)),0,IF(DATE($C184,1,15)&gt;=$X$179,$AA$179*(1+($U$179)/100)^MAX(0,$C184-$AD$179),IF(DATE($C184,1,15)&gt;=$W$179,$Z$179*(1+($U$179)/100)^MAX(0,$C184-$AC$179),IF(DATE($C184,1,15)&gt;=$V$179,$Y$179*(1+($U$179)/100)^MAX(0,$C184-$AB$179),0)))))</f>
      </c>
      <c r="F184" s="43">
        <f>IF($S$179=0,0,IF(OR(DATE($C184,2,15)&lt;$S$179,AND($T$179&gt;0,DATE($C184,2,15)&gt;$T$179)),0,IF(DATE($C184,2,15)&gt;=$X$179,$AA$179*(1+($U$179)/100)^MAX(0,$C184-$AD$179),IF(DATE($C184,2,15)&gt;=$W$179,$Z$179*(1+($U$179)/100)^MAX(0,$C184-$AC$179),IF(DATE($C184,2,15)&gt;=$V$179,$Y$179*(1+($U$179)/100)^MAX(0,$C184-$AB$179),0)))))</f>
      </c>
      <c r="G184" s="43">
        <f>IF($S$179=0,0,IF(OR(DATE($C184,3,15)&lt;$S$179,AND($T$179&gt;0,DATE($C184,3,15)&gt;$T$179)),0,IF(DATE($C184,3,15)&gt;=$X$179,$AA$179*(1+($U$179)/100)^MAX(0,$C184-$AD$179),IF(DATE($C184,3,15)&gt;=$W$179,$Z$179*(1+($U$179)/100)^MAX(0,$C184-$AC$179),IF(DATE($C184,3,15)&gt;=$V$179,$Y$179*(1+($U$179)/100)^MAX(0,$C184-$AB$179),0)))))</f>
      </c>
      <c r="H184" s="43">
        <f>IF($S$179=0,0,IF(OR(DATE($C184,4,15)&lt;$S$179,AND($T$179&gt;0,DATE($C184,4,15)&gt;$T$179)),0,IF(DATE($C184,4,15)&gt;=$X$179,$AA$179*(1+($U$179)/100)^MAX(0,$C184-$AD$179),IF(DATE($C184,4,15)&gt;=$W$179,$Z$179*(1+($U$179)/100)^MAX(0,$C184-$AC$179),IF(DATE($C184,4,15)&gt;=$V$179,$Y$179*(1+($U$179)/100)^MAX(0,$C184-$AB$179),0)))))</f>
      </c>
      <c r="I184" s="43">
        <f>IF($S$179=0,0,IF(OR(DATE($C184,5,15)&lt;$S$179,AND($T$179&gt;0,DATE($C184,5,15)&gt;$T$179)),0,IF(DATE($C184,5,15)&gt;=$X$179,$AA$179*(1+($U$179)/100)^MAX(0,$C184-$AD$179),IF(DATE($C184,5,15)&gt;=$W$179,$Z$179*(1+($U$179)/100)^MAX(0,$C184-$AC$179),IF(DATE($C184,5,15)&gt;=$V$179,$Y$179*(1+($U$179)/100)^MAX(0,$C184-$AB$179),0)))))</f>
      </c>
      <c r="J184" s="43">
        <f>IF($S$179=0,0,IF(OR(DATE($C184,6,15)&lt;$S$179,AND($T$179&gt;0,DATE($C184,6,15)&gt;$T$179)),0,IF(DATE($C184,6,15)&gt;=$X$179,$AA$179*(1+($U$179)/100)^MAX(0,$C184-$AD$179),IF(DATE($C184,6,15)&gt;=$W$179,$Z$179*(1+($U$179)/100)^MAX(0,$C184-$AC$179),IF(DATE($C184,6,15)&gt;=$V$179,$Y$179*(1+($U$179)/100)^MAX(0,$C184-$AB$179),0)))))</f>
      </c>
      <c r="K184" s="43">
        <f>IF($S$179=0,0,IF(OR(DATE($C184,7,15)&lt;$S$179,AND($T$179&gt;0,DATE($C184,7,15)&gt;$T$179)),0,IF(DATE($C184,7,15)&gt;=$X$179,$AA$179*(1+($U$179)/100)^MAX(0,$C184-$AD$179),IF(DATE($C184,7,15)&gt;=$W$179,$Z$179*(1+($U$179)/100)^MAX(0,$C184-$AC$179),IF(DATE($C184,7,15)&gt;=$V$179,$Y$179*(1+($U$179)/100)^MAX(0,$C184-$AB$179),0)))))</f>
      </c>
      <c r="L184" s="43">
        <f>IF($S$179=0,0,IF(OR(DATE($C184,8,15)&lt;$S$179,AND($T$179&gt;0,DATE($C184,8,15)&gt;$T$179)),0,IF(DATE($C184,8,15)&gt;=$X$179,$AA$179*(1+($U$179)/100)^MAX(0,$C184-$AD$179),IF(DATE($C184,8,15)&gt;=$W$179,$Z$179*(1+($U$179)/100)^MAX(0,$C184-$AC$179),IF(DATE($C184,8,15)&gt;=$V$179,$Y$179*(1+($U$179)/100)^MAX(0,$C184-$AB$179),0)))))</f>
      </c>
      <c r="M184" s="43">
        <f>IF($S$179=0,0,IF(OR(DATE($C184,9,15)&lt;$S$179,AND($T$179&gt;0,DATE($C184,9,15)&gt;$T$179)),0,IF(DATE($C184,9,15)&gt;=$X$179,$AA$179*(1+($U$179)/100)^MAX(0,$C184-$AD$179),IF(DATE($C184,9,15)&gt;=$W$179,$Z$179*(1+($U$179)/100)^MAX(0,$C184-$AC$179),IF(DATE($C184,9,15)&gt;=$V$179,$Y$179*(1+($U$179)/100)^MAX(0,$C184-$AB$179),0)))))</f>
      </c>
      <c r="N184" s="43">
        <f>IF($S$179=0,0,IF(OR(DATE($C184,10,15)&lt;$S$179,AND($T$179&gt;0,DATE($C184,10,15)&gt;$T$179)),0,IF(DATE($C184,10,15)&gt;=$X$179,$AA$179*(1+($U$179)/100)^MAX(0,$C184-$AD$179),IF(DATE($C184,10,15)&gt;=$W$179,$Z$179*(1+($U$179)/100)^MAX(0,$C184-$AC$179),IF(DATE($C184,10,15)&gt;=$V$179,$Y$179*(1+($U$179)/100)^MAX(0,$C184-$AB$179),0)))))</f>
      </c>
      <c r="O184" s="43">
        <f>IF($S$179=0,0,IF(OR(DATE($C184,11,15)&lt;$S$179,AND($T$179&gt;0,DATE($C184,11,15)&gt;$T$179)),0,IF(DATE($C184,11,15)&gt;=$X$179,$AA$179*(1+($U$179)/100)^MAX(0,$C184-$AD$179),IF(DATE($C184,11,15)&gt;=$W$179,$Z$179*(1+($U$179)/100)^MAX(0,$C184-$AC$179),IF(DATE($C184,11,15)&gt;=$V$179,$Y$179*(1+($U$179)/100)^MAX(0,$C184-$AB$179),0)))))</f>
      </c>
      <c r="P184" s="43">
        <f>IF($S$179=0,0,IF(OR(DATE($C184,12,15)&lt;$S$179,AND($T$179&gt;0,DATE($C184,12,15)&gt;$T$179)),0,IF(DATE($C184,12,15)&gt;=$X$179,$AA$179*(1+($U$179)/100)^MAX(0,$C184-$AD$179),IF(DATE($C184,12,15)&gt;=$W$179,$Z$179*(1+($U$179)/100)^MAX(0,$C184-$AC$179),IF(DATE($C184,12,15)&gt;=$V$179,$Y$179*(1+($U$179)/100)^MAX(0,$C184-$AB$179),0)))))</f>
      </c>
      <c r="Q184" s="43">
        <f>SUM($E184:$P184)</f>
      </c>
    </row>
    <row r="185">
      <c r="A185"/>
      <c r="B185">
        <v>6</v>
      </c>
      <c r="C185" s="43">
        <f>Jahr+6</f>
      </c>
      <c r="D185" s="43">
        <f>INDEX(MvObj,6)</f>
      </c>
      <c r="E185" s="43">
        <f>IF($S$179=0,0,IF(OR(DATE($C185,1,15)&lt;$S$179,AND($T$179&gt;0,DATE($C185,1,15)&gt;$T$179)),0,IF(DATE($C185,1,15)&gt;=$X$179,$AA$179*(1+($U$179)/100)^MAX(0,$C185-$AD$179),IF(DATE($C185,1,15)&gt;=$W$179,$Z$179*(1+($U$179)/100)^MAX(0,$C185-$AC$179),IF(DATE($C185,1,15)&gt;=$V$179,$Y$179*(1+($U$179)/100)^MAX(0,$C185-$AB$179),0)))))</f>
      </c>
      <c r="F185" s="43">
        <f>IF($S$179=0,0,IF(OR(DATE($C185,2,15)&lt;$S$179,AND($T$179&gt;0,DATE($C185,2,15)&gt;$T$179)),0,IF(DATE($C185,2,15)&gt;=$X$179,$AA$179*(1+($U$179)/100)^MAX(0,$C185-$AD$179),IF(DATE($C185,2,15)&gt;=$W$179,$Z$179*(1+($U$179)/100)^MAX(0,$C185-$AC$179),IF(DATE($C185,2,15)&gt;=$V$179,$Y$179*(1+($U$179)/100)^MAX(0,$C185-$AB$179),0)))))</f>
      </c>
      <c r="G185" s="43">
        <f>IF($S$179=0,0,IF(OR(DATE($C185,3,15)&lt;$S$179,AND($T$179&gt;0,DATE($C185,3,15)&gt;$T$179)),0,IF(DATE($C185,3,15)&gt;=$X$179,$AA$179*(1+($U$179)/100)^MAX(0,$C185-$AD$179),IF(DATE($C185,3,15)&gt;=$W$179,$Z$179*(1+($U$179)/100)^MAX(0,$C185-$AC$179),IF(DATE($C185,3,15)&gt;=$V$179,$Y$179*(1+($U$179)/100)^MAX(0,$C185-$AB$179),0)))))</f>
      </c>
      <c r="H185" s="43">
        <f>IF($S$179=0,0,IF(OR(DATE($C185,4,15)&lt;$S$179,AND($T$179&gt;0,DATE($C185,4,15)&gt;$T$179)),0,IF(DATE($C185,4,15)&gt;=$X$179,$AA$179*(1+($U$179)/100)^MAX(0,$C185-$AD$179),IF(DATE($C185,4,15)&gt;=$W$179,$Z$179*(1+($U$179)/100)^MAX(0,$C185-$AC$179),IF(DATE($C185,4,15)&gt;=$V$179,$Y$179*(1+($U$179)/100)^MAX(0,$C185-$AB$179),0)))))</f>
      </c>
      <c r="I185" s="43">
        <f>IF($S$179=0,0,IF(OR(DATE($C185,5,15)&lt;$S$179,AND($T$179&gt;0,DATE($C185,5,15)&gt;$T$179)),0,IF(DATE($C185,5,15)&gt;=$X$179,$AA$179*(1+($U$179)/100)^MAX(0,$C185-$AD$179),IF(DATE($C185,5,15)&gt;=$W$179,$Z$179*(1+($U$179)/100)^MAX(0,$C185-$AC$179),IF(DATE($C185,5,15)&gt;=$V$179,$Y$179*(1+($U$179)/100)^MAX(0,$C185-$AB$179),0)))))</f>
      </c>
      <c r="J185" s="43">
        <f>IF($S$179=0,0,IF(OR(DATE($C185,6,15)&lt;$S$179,AND($T$179&gt;0,DATE($C185,6,15)&gt;$T$179)),0,IF(DATE($C185,6,15)&gt;=$X$179,$AA$179*(1+($U$179)/100)^MAX(0,$C185-$AD$179),IF(DATE($C185,6,15)&gt;=$W$179,$Z$179*(1+($U$179)/100)^MAX(0,$C185-$AC$179),IF(DATE($C185,6,15)&gt;=$V$179,$Y$179*(1+($U$179)/100)^MAX(0,$C185-$AB$179),0)))))</f>
      </c>
      <c r="K185" s="43">
        <f>IF($S$179=0,0,IF(OR(DATE($C185,7,15)&lt;$S$179,AND($T$179&gt;0,DATE($C185,7,15)&gt;$T$179)),0,IF(DATE($C185,7,15)&gt;=$X$179,$AA$179*(1+($U$179)/100)^MAX(0,$C185-$AD$179),IF(DATE($C185,7,15)&gt;=$W$179,$Z$179*(1+($U$179)/100)^MAX(0,$C185-$AC$179),IF(DATE($C185,7,15)&gt;=$V$179,$Y$179*(1+($U$179)/100)^MAX(0,$C185-$AB$179),0)))))</f>
      </c>
      <c r="L185" s="43">
        <f>IF($S$179=0,0,IF(OR(DATE($C185,8,15)&lt;$S$179,AND($T$179&gt;0,DATE($C185,8,15)&gt;$T$179)),0,IF(DATE($C185,8,15)&gt;=$X$179,$AA$179*(1+($U$179)/100)^MAX(0,$C185-$AD$179),IF(DATE($C185,8,15)&gt;=$W$179,$Z$179*(1+($U$179)/100)^MAX(0,$C185-$AC$179),IF(DATE($C185,8,15)&gt;=$V$179,$Y$179*(1+($U$179)/100)^MAX(0,$C185-$AB$179),0)))))</f>
      </c>
      <c r="M185" s="43">
        <f>IF($S$179=0,0,IF(OR(DATE($C185,9,15)&lt;$S$179,AND($T$179&gt;0,DATE($C185,9,15)&gt;$T$179)),0,IF(DATE($C185,9,15)&gt;=$X$179,$AA$179*(1+($U$179)/100)^MAX(0,$C185-$AD$179),IF(DATE($C185,9,15)&gt;=$W$179,$Z$179*(1+($U$179)/100)^MAX(0,$C185-$AC$179),IF(DATE($C185,9,15)&gt;=$V$179,$Y$179*(1+($U$179)/100)^MAX(0,$C185-$AB$179),0)))))</f>
      </c>
      <c r="N185" s="43">
        <f>IF($S$179=0,0,IF(OR(DATE($C185,10,15)&lt;$S$179,AND($T$179&gt;0,DATE($C185,10,15)&gt;$T$179)),0,IF(DATE($C185,10,15)&gt;=$X$179,$AA$179*(1+($U$179)/100)^MAX(0,$C185-$AD$179),IF(DATE($C185,10,15)&gt;=$W$179,$Z$179*(1+($U$179)/100)^MAX(0,$C185-$AC$179),IF(DATE($C185,10,15)&gt;=$V$179,$Y$179*(1+($U$179)/100)^MAX(0,$C185-$AB$179),0)))))</f>
      </c>
      <c r="O185" s="43">
        <f>IF($S$179=0,0,IF(OR(DATE($C185,11,15)&lt;$S$179,AND($T$179&gt;0,DATE($C185,11,15)&gt;$T$179)),0,IF(DATE($C185,11,15)&gt;=$X$179,$AA$179*(1+($U$179)/100)^MAX(0,$C185-$AD$179),IF(DATE($C185,11,15)&gt;=$W$179,$Z$179*(1+($U$179)/100)^MAX(0,$C185-$AC$179),IF(DATE($C185,11,15)&gt;=$V$179,$Y$179*(1+($U$179)/100)^MAX(0,$C185-$AB$179),0)))))</f>
      </c>
      <c r="P185" s="43">
        <f>IF($S$179=0,0,IF(OR(DATE($C185,12,15)&lt;$S$179,AND($T$179&gt;0,DATE($C185,12,15)&gt;$T$179)),0,IF(DATE($C185,12,15)&gt;=$X$179,$AA$179*(1+($U$179)/100)^MAX(0,$C185-$AD$179),IF(DATE($C185,12,15)&gt;=$W$179,$Z$179*(1+($U$179)/100)^MAX(0,$C185-$AC$179),IF(DATE($C185,12,15)&gt;=$V$179,$Y$179*(1+($U$179)/100)^MAX(0,$C185-$AB$179),0)))))</f>
      </c>
      <c r="Q185" s="43">
        <f>SUM($E185:$P185)</f>
      </c>
    </row>
    <row r="186">
      <c r="A186"/>
      <c r="B186">
        <v>6</v>
      </c>
      <c r="C186" s="43">
        <f>Jahr+7</f>
      </c>
      <c r="D186" s="43">
        <f>INDEX(MvObj,6)</f>
      </c>
      <c r="E186" s="43">
        <f>IF($S$179=0,0,IF(OR(DATE($C186,1,15)&lt;$S$179,AND($T$179&gt;0,DATE($C186,1,15)&gt;$T$179)),0,IF(DATE($C186,1,15)&gt;=$X$179,$AA$179*(1+($U$179)/100)^MAX(0,$C186-$AD$179),IF(DATE($C186,1,15)&gt;=$W$179,$Z$179*(1+($U$179)/100)^MAX(0,$C186-$AC$179),IF(DATE($C186,1,15)&gt;=$V$179,$Y$179*(1+($U$179)/100)^MAX(0,$C186-$AB$179),0)))))</f>
      </c>
      <c r="F186" s="43">
        <f>IF($S$179=0,0,IF(OR(DATE($C186,2,15)&lt;$S$179,AND($T$179&gt;0,DATE($C186,2,15)&gt;$T$179)),0,IF(DATE($C186,2,15)&gt;=$X$179,$AA$179*(1+($U$179)/100)^MAX(0,$C186-$AD$179),IF(DATE($C186,2,15)&gt;=$W$179,$Z$179*(1+($U$179)/100)^MAX(0,$C186-$AC$179),IF(DATE($C186,2,15)&gt;=$V$179,$Y$179*(1+($U$179)/100)^MAX(0,$C186-$AB$179),0)))))</f>
      </c>
      <c r="G186" s="43">
        <f>IF($S$179=0,0,IF(OR(DATE($C186,3,15)&lt;$S$179,AND($T$179&gt;0,DATE($C186,3,15)&gt;$T$179)),0,IF(DATE($C186,3,15)&gt;=$X$179,$AA$179*(1+($U$179)/100)^MAX(0,$C186-$AD$179),IF(DATE($C186,3,15)&gt;=$W$179,$Z$179*(1+($U$179)/100)^MAX(0,$C186-$AC$179),IF(DATE($C186,3,15)&gt;=$V$179,$Y$179*(1+($U$179)/100)^MAX(0,$C186-$AB$179),0)))))</f>
      </c>
      <c r="H186" s="43">
        <f>IF($S$179=0,0,IF(OR(DATE($C186,4,15)&lt;$S$179,AND($T$179&gt;0,DATE($C186,4,15)&gt;$T$179)),0,IF(DATE($C186,4,15)&gt;=$X$179,$AA$179*(1+($U$179)/100)^MAX(0,$C186-$AD$179),IF(DATE($C186,4,15)&gt;=$W$179,$Z$179*(1+($U$179)/100)^MAX(0,$C186-$AC$179),IF(DATE($C186,4,15)&gt;=$V$179,$Y$179*(1+($U$179)/100)^MAX(0,$C186-$AB$179),0)))))</f>
      </c>
      <c r="I186" s="43">
        <f>IF($S$179=0,0,IF(OR(DATE($C186,5,15)&lt;$S$179,AND($T$179&gt;0,DATE($C186,5,15)&gt;$T$179)),0,IF(DATE($C186,5,15)&gt;=$X$179,$AA$179*(1+($U$179)/100)^MAX(0,$C186-$AD$179),IF(DATE($C186,5,15)&gt;=$W$179,$Z$179*(1+($U$179)/100)^MAX(0,$C186-$AC$179),IF(DATE($C186,5,15)&gt;=$V$179,$Y$179*(1+($U$179)/100)^MAX(0,$C186-$AB$179),0)))))</f>
      </c>
      <c r="J186" s="43">
        <f>IF($S$179=0,0,IF(OR(DATE($C186,6,15)&lt;$S$179,AND($T$179&gt;0,DATE($C186,6,15)&gt;$T$179)),0,IF(DATE($C186,6,15)&gt;=$X$179,$AA$179*(1+($U$179)/100)^MAX(0,$C186-$AD$179),IF(DATE($C186,6,15)&gt;=$W$179,$Z$179*(1+($U$179)/100)^MAX(0,$C186-$AC$179),IF(DATE($C186,6,15)&gt;=$V$179,$Y$179*(1+($U$179)/100)^MAX(0,$C186-$AB$179),0)))))</f>
      </c>
      <c r="K186" s="43">
        <f>IF($S$179=0,0,IF(OR(DATE($C186,7,15)&lt;$S$179,AND($T$179&gt;0,DATE($C186,7,15)&gt;$T$179)),0,IF(DATE($C186,7,15)&gt;=$X$179,$AA$179*(1+($U$179)/100)^MAX(0,$C186-$AD$179),IF(DATE($C186,7,15)&gt;=$W$179,$Z$179*(1+($U$179)/100)^MAX(0,$C186-$AC$179),IF(DATE($C186,7,15)&gt;=$V$179,$Y$179*(1+($U$179)/100)^MAX(0,$C186-$AB$179),0)))))</f>
      </c>
      <c r="L186" s="43">
        <f>IF($S$179=0,0,IF(OR(DATE($C186,8,15)&lt;$S$179,AND($T$179&gt;0,DATE($C186,8,15)&gt;$T$179)),0,IF(DATE($C186,8,15)&gt;=$X$179,$AA$179*(1+($U$179)/100)^MAX(0,$C186-$AD$179),IF(DATE($C186,8,15)&gt;=$W$179,$Z$179*(1+($U$179)/100)^MAX(0,$C186-$AC$179),IF(DATE($C186,8,15)&gt;=$V$179,$Y$179*(1+($U$179)/100)^MAX(0,$C186-$AB$179),0)))))</f>
      </c>
      <c r="M186" s="43">
        <f>IF($S$179=0,0,IF(OR(DATE($C186,9,15)&lt;$S$179,AND($T$179&gt;0,DATE($C186,9,15)&gt;$T$179)),0,IF(DATE($C186,9,15)&gt;=$X$179,$AA$179*(1+($U$179)/100)^MAX(0,$C186-$AD$179),IF(DATE($C186,9,15)&gt;=$W$179,$Z$179*(1+($U$179)/100)^MAX(0,$C186-$AC$179),IF(DATE($C186,9,15)&gt;=$V$179,$Y$179*(1+($U$179)/100)^MAX(0,$C186-$AB$179),0)))))</f>
      </c>
      <c r="N186" s="43">
        <f>IF($S$179=0,0,IF(OR(DATE($C186,10,15)&lt;$S$179,AND($T$179&gt;0,DATE($C186,10,15)&gt;$T$179)),0,IF(DATE($C186,10,15)&gt;=$X$179,$AA$179*(1+($U$179)/100)^MAX(0,$C186-$AD$179),IF(DATE($C186,10,15)&gt;=$W$179,$Z$179*(1+($U$179)/100)^MAX(0,$C186-$AC$179),IF(DATE($C186,10,15)&gt;=$V$179,$Y$179*(1+($U$179)/100)^MAX(0,$C186-$AB$179),0)))))</f>
      </c>
      <c r="O186" s="43">
        <f>IF($S$179=0,0,IF(OR(DATE($C186,11,15)&lt;$S$179,AND($T$179&gt;0,DATE($C186,11,15)&gt;$T$179)),0,IF(DATE($C186,11,15)&gt;=$X$179,$AA$179*(1+($U$179)/100)^MAX(0,$C186-$AD$179),IF(DATE($C186,11,15)&gt;=$W$179,$Z$179*(1+($U$179)/100)^MAX(0,$C186-$AC$179),IF(DATE($C186,11,15)&gt;=$V$179,$Y$179*(1+($U$179)/100)^MAX(0,$C186-$AB$179),0)))))</f>
      </c>
      <c r="P186" s="43">
        <f>IF($S$179=0,0,IF(OR(DATE($C186,12,15)&lt;$S$179,AND($T$179&gt;0,DATE($C186,12,15)&gt;$T$179)),0,IF(DATE($C186,12,15)&gt;=$X$179,$AA$179*(1+($U$179)/100)^MAX(0,$C186-$AD$179),IF(DATE($C186,12,15)&gt;=$W$179,$Z$179*(1+($U$179)/100)^MAX(0,$C186-$AC$179),IF(DATE($C186,12,15)&gt;=$V$179,$Y$179*(1+($U$179)/100)^MAX(0,$C186-$AB$179),0)))))</f>
      </c>
      <c r="Q186" s="43">
        <f>SUM($E186:$P186)</f>
      </c>
    </row>
    <row r="187">
      <c r="A187"/>
      <c r="B187">
        <v>6</v>
      </c>
      <c r="C187" s="43">
        <f>Jahr+8</f>
      </c>
      <c r="D187" s="43">
        <f>INDEX(MvObj,6)</f>
      </c>
      <c r="E187" s="43">
        <f>IF($S$179=0,0,IF(OR(DATE($C187,1,15)&lt;$S$179,AND($T$179&gt;0,DATE($C187,1,15)&gt;$T$179)),0,IF(DATE($C187,1,15)&gt;=$X$179,$AA$179*(1+($U$179)/100)^MAX(0,$C187-$AD$179),IF(DATE($C187,1,15)&gt;=$W$179,$Z$179*(1+($U$179)/100)^MAX(0,$C187-$AC$179),IF(DATE($C187,1,15)&gt;=$V$179,$Y$179*(1+($U$179)/100)^MAX(0,$C187-$AB$179),0)))))</f>
      </c>
      <c r="F187" s="43">
        <f>IF($S$179=0,0,IF(OR(DATE($C187,2,15)&lt;$S$179,AND($T$179&gt;0,DATE($C187,2,15)&gt;$T$179)),0,IF(DATE($C187,2,15)&gt;=$X$179,$AA$179*(1+($U$179)/100)^MAX(0,$C187-$AD$179),IF(DATE($C187,2,15)&gt;=$W$179,$Z$179*(1+($U$179)/100)^MAX(0,$C187-$AC$179),IF(DATE($C187,2,15)&gt;=$V$179,$Y$179*(1+($U$179)/100)^MAX(0,$C187-$AB$179),0)))))</f>
      </c>
      <c r="G187" s="43">
        <f>IF($S$179=0,0,IF(OR(DATE($C187,3,15)&lt;$S$179,AND($T$179&gt;0,DATE($C187,3,15)&gt;$T$179)),0,IF(DATE($C187,3,15)&gt;=$X$179,$AA$179*(1+($U$179)/100)^MAX(0,$C187-$AD$179),IF(DATE($C187,3,15)&gt;=$W$179,$Z$179*(1+($U$179)/100)^MAX(0,$C187-$AC$179),IF(DATE($C187,3,15)&gt;=$V$179,$Y$179*(1+($U$179)/100)^MAX(0,$C187-$AB$179),0)))))</f>
      </c>
      <c r="H187" s="43">
        <f>IF($S$179=0,0,IF(OR(DATE($C187,4,15)&lt;$S$179,AND($T$179&gt;0,DATE($C187,4,15)&gt;$T$179)),0,IF(DATE($C187,4,15)&gt;=$X$179,$AA$179*(1+($U$179)/100)^MAX(0,$C187-$AD$179),IF(DATE($C187,4,15)&gt;=$W$179,$Z$179*(1+($U$179)/100)^MAX(0,$C187-$AC$179),IF(DATE($C187,4,15)&gt;=$V$179,$Y$179*(1+($U$179)/100)^MAX(0,$C187-$AB$179),0)))))</f>
      </c>
      <c r="I187" s="43">
        <f>IF($S$179=0,0,IF(OR(DATE($C187,5,15)&lt;$S$179,AND($T$179&gt;0,DATE($C187,5,15)&gt;$T$179)),0,IF(DATE($C187,5,15)&gt;=$X$179,$AA$179*(1+($U$179)/100)^MAX(0,$C187-$AD$179),IF(DATE($C187,5,15)&gt;=$W$179,$Z$179*(1+($U$179)/100)^MAX(0,$C187-$AC$179),IF(DATE($C187,5,15)&gt;=$V$179,$Y$179*(1+($U$179)/100)^MAX(0,$C187-$AB$179),0)))))</f>
      </c>
      <c r="J187" s="43">
        <f>IF($S$179=0,0,IF(OR(DATE($C187,6,15)&lt;$S$179,AND($T$179&gt;0,DATE($C187,6,15)&gt;$T$179)),0,IF(DATE($C187,6,15)&gt;=$X$179,$AA$179*(1+($U$179)/100)^MAX(0,$C187-$AD$179),IF(DATE($C187,6,15)&gt;=$W$179,$Z$179*(1+($U$179)/100)^MAX(0,$C187-$AC$179),IF(DATE($C187,6,15)&gt;=$V$179,$Y$179*(1+($U$179)/100)^MAX(0,$C187-$AB$179),0)))))</f>
      </c>
      <c r="K187" s="43">
        <f>IF($S$179=0,0,IF(OR(DATE($C187,7,15)&lt;$S$179,AND($T$179&gt;0,DATE($C187,7,15)&gt;$T$179)),0,IF(DATE($C187,7,15)&gt;=$X$179,$AA$179*(1+($U$179)/100)^MAX(0,$C187-$AD$179),IF(DATE($C187,7,15)&gt;=$W$179,$Z$179*(1+($U$179)/100)^MAX(0,$C187-$AC$179),IF(DATE($C187,7,15)&gt;=$V$179,$Y$179*(1+($U$179)/100)^MAX(0,$C187-$AB$179),0)))))</f>
      </c>
      <c r="L187" s="43">
        <f>IF($S$179=0,0,IF(OR(DATE($C187,8,15)&lt;$S$179,AND($T$179&gt;0,DATE($C187,8,15)&gt;$T$179)),0,IF(DATE($C187,8,15)&gt;=$X$179,$AA$179*(1+($U$179)/100)^MAX(0,$C187-$AD$179),IF(DATE($C187,8,15)&gt;=$W$179,$Z$179*(1+($U$179)/100)^MAX(0,$C187-$AC$179),IF(DATE($C187,8,15)&gt;=$V$179,$Y$179*(1+($U$179)/100)^MAX(0,$C187-$AB$179),0)))))</f>
      </c>
      <c r="M187" s="43">
        <f>IF($S$179=0,0,IF(OR(DATE($C187,9,15)&lt;$S$179,AND($T$179&gt;0,DATE($C187,9,15)&gt;$T$179)),0,IF(DATE($C187,9,15)&gt;=$X$179,$AA$179*(1+($U$179)/100)^MAX(0,$C187-$AD$179),IF(DATE($C187,9,15)&gt;=$W$179,$Z$179*(1+($U$179)/100)^MAX(0,$C187-$AC$179),IF(DATE($C187,9,15)&gt;=$V$179,$Y$179*(1+($U$179)/100)^MAX(0,$C187-$AB$179),0)))))</f>
      </c>
      <c r="N187" s="43">
        <f>IF($S$179=0,0,IF(OR(DATE($C187,10,15)&lt;$S$179,AND($T$179&gt;0,DATE($C187,10,15)&gt;$T$179)),0,IF(DATE($C187,10,15)&gt;=$X$179,$AA$179*(1+($U$179)/100)^MAX(0,$C187-$AD$179),IF(DATE($C187,10,15)&gt;=$W$179,$Z$179*(1+($U$179)/100)^MAX(0,$C187-$AC$179),IF(DATE($C187,10,15)&gt;=$V$179,$Y$179*(1+($U$179)/100)^MAX(0,$C187-$AB$179),0)))))</f>
      </c>
      <c r="O187" s="43">
        <f>IF($S$179=0,0,IF(OR(DATE($C187,11,15)&lt;$S$179,AND($T$179&gt;0,DATE($C187,11,15)&gt;$T$179)),0,IF(DATE($C187,11,15)&gt;=$X$179,$AA$179*(1+($U$179)/100)^MAX(0,$C187-$AD$179),IF(DATE($C187,11,15)&gt;=$W$179,$Z$179*(1+($U$179)/100)^MAX(0,$C187-$AC$179),IF(DATE($C187,11,15)&gt;=$V$179,$Y$179*(1+($U$179)/100)^MAX(0,$C187-$AB$179),0)))))</f>
      </c>
      <c r="P187" s="43">
        <f>IF($S$179=0,0,IF(OR(DATE($C187,12,15)&lt;$S$179,AND($T$179&gt;0,DATE($C187,12,15)&gt;$T$179)),0,IF(DATE($C187,12,15)&gt;=$X$179,$AA$179*(1+($U$179)/100)^MAX(0,$C187-$AD$179),IF(DATE($C187,12,15)&gt;=$W$179,$Z$179*(1+($U$179)/100)^MAX(0,$C187-$AC$179),IF(DATE($C187,12,15)&gt;=$V$179,$Y$179*(1+($U$179)/100)^MAX(0,$C187-$AB$179),0)))))</f>
      </c>
      <c r="Q187" s="43">
        <f>SUM($E187:$P187)</f>
      </c>
    </row>
    <row r="188">
      <c r="A188"/>
      <c r="B188">
        <v>6</v>
      </c>
      <c r="C188" s="43">
        <f>Jahr+9</f>
      </c>
      <c r="D188" s="43">
        <f>INDEX(MvObj,6)</f>
      </c>
      <c r="E188" s="43">
        <f>IF($S$179=0,0,IF(OR(DATE($C188,1,15)&lt;$S$179,AND($T$179&gt;0,DATE($C188,1,15)&gt;$T$179)),0,IF(DATE($C188,1,15)&gt;=$X$179,$AA$179*(1+($U$179)/100)^MAX(0,$C188-$AD$179),IF(DATE($C188,1,15)&gt;=$W$179,$Z$179*(1+($U$179)/100)^MAX(0,$C188-$AC$179),IF(DATE($C188,1,15)&gt;=$V$179,$Y$179*(1+($U$179)/100)^MAX(0,$C188-$AB$179),0)))))</f>
      </c>
      <c r="F188" s="43">
        <f>IF($S$179=0,0,IF(OR(DATE($C188,2,15)&lt;$S$179,AND($T$179&gt;0,DATE($C188,2,15)&gt;$T$179)),0,IF(DATE($C188,2,15)&gt;=$X$179,$AA$179*(1+($U$179)/100)^MAX(0,$C188-$AD$179),IF(DATE($C188,2,15)&gt;=$W$179,$Z$179*(1+($U$179)/100)^MAX(0,$C188-$AC$179),IF(DATE($C188,2,15)&gt;=$V$179,$Y$179*(1+($U$179)/100)^MAX(0,$C188-$AB$179),0)))))</f>
      </c>
      <c r="G188" s="43">
        <f>IF($S$179=0,0,IF(OR(DATE($C188,3,15)&lt;$S$179,AND($T$179&gt;0,DATE($C188,3,15)&gt;$T$179)),0,IF(DATE($C188,3,15)&gt;=$X$179,$AA$179*(1+($U$179)/100)^MAX(0,$C188-$AD$179),IF(DATE($C188,3,15)&gt;=$W$179,$Z$179*(1+($U$179)/100)^MAX(0,$C188-$AC$179),IF(DATE($C188,3,15)&gt;=$V$179,$Y$179*(1+($U$179)/100)^MAX(0,$C188-$AB$179),0)))))</f>
      </c>
      <c r="H188" s="43">
        <f>IF($S$179=0,0,IF(OR(DATE($C188,4,15)&lt;$S$179,AND($T$179&gt;0,DATE($C188,4,15)&gt;$T$179)),0,IF(DATE($C188,4,15)&gt;=$X$179,$AA$179*(1+($U$179)/100)^MAX(0,$C188-$AD$179),IF(DATE($C188,4,15)&gt;=$W$179,$Z$179*(1+($U$179)/100)^MAX(0,$C188-$AC$179),IF(DATE($C188,4,15)&gt;=$V$179,$Y$179*(1+($U$179)/100)^MAX(0,$C188-$AB$179),0)))))</f>
      </c>
      <c r="I188" s="43">
        <f>IF($S$179=0,0,IF(OR(DATE($C188,5,15)&lt;$S$179,AND($T$179&gt;0,DATE($C188,5,15)&gt;$T$179)),0,IF(DATE($C188,5,15)&gt;=$X$179,$AA$179*(1+($U$179)/100)^MAX(0,$C188-$AD$179),IF(DATE($C188,5,15)&gt;=$W$179,$Z$179*(1+($U$179)/100)^MAX(0,$C188-$AC$179),IF(DATE($C188,5,15)&gt;=$V$179,$Y$179*(1+($U$179)/100)^MAX(0,$C188-$AB$179),0)))))</f>
      </c>
      <c r="J188" s="43">
        <f>IF($S$179=0,0,IF(OR(DATE($C188,6,15)&lt;$S$179,AND($T$179&gt;0,DATE($C188,6,15)&gt;$T$179)),0,IF(DATE($C188,6,15)&gt;=$X$179,$AA$179*(1+($U$179)/100)^MAX(0,$C188-$AD$179),IF(DATE($C188,6,15)&gt;=$W$179,$Z$179*(1+($U$179)/100)^MAX(0,$C188-$AC$179),IF(DATE($C188,6,15)&gt;=$V$179,$Y$179*(1+($U$179)/100)^MAX(0,$C188-$AB$179),0)))))</f>
      </c>
      <c r="K188" s="43">
        <f>IF($S$179=0,0,IF(OR(DATE($C188,7,15)&lt;$S$179,AND($T$179&gt;0,DATE($C188,7,15)&gt;$T$179)),0,IF(DATE($C188,7,15)&gt;=$X$179,$AA$179*(1+($U$179)/100)^MAX(0,$C188-$AD$179),IF(DATE($C188,7,15)&gt;=$W$179,$Z$179*(1+($U$179)/100)^MAX(0,$C188-$AC$179),IF(DATE($C188,7,15)&gt;=$V$179,$Y$179*(1+($U$179)/100)^MAX(0,$C188-$AB$179),0)))))</f>
      </c>
      <c r="L188" s="43">
        <f>IF($S$179=0,0,IF(OR(DATE($C188,8,15)&lt;$S$179,AND($T$179&gt;0,DATE($C188,8,15)&gt;$T$179)),0,IF(DATE($C188,8,15)&gt;=$X$179,$AA$179*(1+($U$179)/100)^MAX(0,$C188-$AD$179),IF(DATE($C188,8,15)&gt;=$W$179,$Z$179*(1+($U$179)/100)^MAX(0,$C188-$AC$179),IF(DATE($C188,8,15)&gt;=$V$179,$Y$179*(1+($U$179)/100)^MAX(0,$C188-$AB$179),0)))))</f>
      </c>
      <c r="M188" s="43">
        <f>IF($S$179=0,0,IF(OR(DATE($C188,9,15)&lt;$S$179,AND($T$179&gt;0,DATE($C188,9,15)&gt;$T$179)),0,IF(DATE($C188,9,15)&gt;=$X$179,$AA$179*(1+($U$179)/100)^MAX(0,$C188-$AD$179),IF(DATE($C188,9,15)&gt;=$W$179,$Z$179*(1+($U$179)/100)^MAX(0,$C188-$AC$179),IF(DATE($C188,9,15)&gt;=$V$179,$Y$179*(1+($U$179)/100)^MAX(0,$C188-$AB$179),0)))))</f>
      </c>
      <c r="N188" s="43">
        <f>IF($S$179=0,0,IF(OR(DATE($C188,10,15)&lt;$S$179,AND($T$179&gt;0,DATE($C188,10,15)&gt;$T$179)),0,IF(DATE($C188,10,15)&gt;=$X$179,$AA$179*(1+($U$179)/100)^MAX(0,$C188-$AD$179),IF(DATE($C188,10,15)&gt;=$W$179,$Z$179*(1+($U$179)/100)^MAX(0,$C188-$AC$179),IF(DATE($C188,10,15)&gt;=$V$179,$Y$179*(1+($U$179)/100)^MAX(0,$C188-$AB$179),0)))))</f>
      </c>
      <c r="O188" s="43">
        <f>IF($S$179=0,0,IF(OR(DATE($C188,11,15)&lt;$S$179,AND($T$179&gt;0,DATE($C188,11,15)&gt;$T$179)),0,IF(DATE($C188,11,15)&gt;=$X$179,$AA$179*(1+($U$179)/100)^MAX(0,$C188-$AD$179),IF(DATE($C188,11,15)&gt;=$W$179,$Z$179*(1+($U$179)/100)^MAX(0,$C188-$AC$179),IF(DATE($C188,11,15)&gt;=$V$179,$Y$179*(1+($U$179)/100)^MAX(0,$C188-$AB$179),0)))))</f>
      </c>
      <c r="P188" s="43">
        <f>IF($S$179=0,0,IF(OR(DATE($C188,12,15)&lt;$S$179,AND($T$179&gt;0,DATE($C188,12,15)&gt;$T$179)),0,IF(DATE($C188,12,15)&gt;=$X$179,$AA$179*(1+($U$179)/100)^MAX(0,$C188-$AD$179),IF(DATE($C188,12,15)&gt;=$W$179,$Z$179*(1+($U$179)/100)^MAX(0,$C188-$AC$179),IF(DATE($C188,12,15)&gt;=$V$179,$Y$179*(1+($U$179)/100)^MAX(0,$C188-$AB$179),0)))))</f>
      </c>
      <c r="Q188" s="43">
        <f>SUM($E188:$P188)</f>
      </c>
    </row>
    <row r="189">
      <c r="A189"/>
      <c r="B189">
        <v>6</v>
      </c>
      <c r="C189" s="43">
        <f>Jahr+10</f>
      </c>
      <c r="D189" s="43">
        <f>INDEX(MvObj,6)</f>
      </c>
      <c r="E189" s="43">
        <f>IF($S$179=0,0,IF(OR(DATE($C189,1,15)&lt;$S$179,AND($T$179&gt;0,DATE($C189,1,15)&gt;$T$179)),0,IF(DATE($C189,1,15)&gt;=$X$179,$AA$179*(1+($U$179)/100)^MAX(0,$C189-$AD$179),IF(DATE($C189,1,15)&gt;=$W$179,$Z$179*(1+($U$179)/100)^MAX(0,$C189-$AC$179),IF(DATE($C189,1,15)&gt;=$V$179,$Y$179*(1+($U$179)/100)^MAX(0,$C189-$AB$179),0)))))</f>
      </c>
      <c r="F189" s="43">
        <f>IF($S$179=0,0,IF(OR(DATE($C189,2,15)&lt;$S$179,AND($T$179&gt;0,DATE($C189,2,15)&gt;$T$179)),0,IF(DATE($C189,2,15)&gt;=$X$179,$AA$179*(1+($U$179)/100)^MAX(0,$C189-$AD$179),IF(DATE($C189,2,15)&gt;=$W$179,$Z$179*(1+($U$179)/100)^MAX(0,$C189-$AC$179),IF(DATE($C189,2,15)&gt;=$V$179,$Y$179*(1+($U$179)/100)^MAX(0,$C189-$AB$179),0)))))</f>
      </c>
      <c r="G189" s="43">
        <f>IF($S$179=0,0,IF(OR(DATE($C189,3,15)&lt;$S$179,AND($T$179&gt;0,DATE($C189,3,15)&gt;$T$179)),0,IF(DATE($C189,3,15)&gt;=$X$179,$AA$179*(1+($U$179)/100)^MAX(0,$C189-$AD$179),IF(DATE($C189,3,15)&gt;=$W$179,$Z$179*(1+($U$179)/100)^MAX(0,$C189-$AC$179),IF(DATE($C189,3,15)&gt;=$V$179,$Y$179*(1+($U$179)/100)^MAX(0,$C189-$AB$179),0)))))</f>
      </c>
      <c r="H189" s="43">
        <f>IF($S$179=0,0,IF(OR(DATE($C189,4,15)&lt;$S$179,AND($T$179&gt;0,DATE($C189,4,15)&gt;$T$179)),0,IF(DATE($C189,4,15)&gt;=$X$179,$AA$179*(1+($U$179)/100)^MAX(0,$C189-$AD$179),IF(DATE($C189,4,15)&gt;=$W$179,$Z$179*(1+($U$179)/100)^MAX(0,$C189-$AC$179),IF(DATE($C189,4,15)&gt;=$V$179,$Y$179*(1+($U$179)/100)^MAX(0,$C189-$AB$179),0)))))</f>
      </c>
      <c r="I189" s="43">
        <f>IF($S$179=0,0,IF(OR(DATE($C189,5,15)&lt;$S$179,AND($T$179&gt;0,DATE($C189,5,15)&gt;$T$179)),0,IF(DATE($C189,5,15)&gt;=$X$179,$AA$179*(1+($U$179)/100)^MAX(0,$C189-$AD$179),IF(DATE($C189,5,15)&gt;=$W$179,$Z$179*(1+($U$179)/100)^MAX(0,$C189-$AC$179),IF(DATE($C189,5,15)&gt;=$V$179,$Y$179*(1+($U$179)/100)^MAX(0,$C189-$AB$179),0)))))</f>
      </c>
      <c r="J189" s="43">
        <f>IF($S$179=0,0,IF(OR(DATE($C189,6,15)&lt;$S$179,AND($T$179&gt;0,DATE($C189,6,15)&gt;$T$179)),0,IF(DATE($C189,6,15)&gt;=$X$179,$AA$179*(1+($U$179)/100)^MAX(0,$C189-$AD$179),IF(DATE($C189,6,15)&gt;=$W$179,$Z$179*(1+($U$179)/100)^MAX(0,$C189-$AC$179),IF(DATE($C189,6,15)&gt;=$V$179,$Y$179*(1+($U$179)/100)^MAX(0,$C189-$AB$179),0)))))</f>
      </c>
      <c r="K189" s="43">
        <f>IF($S$179=0,0,IF(OR(DATE($C189,7,15)&lt;$S$179,AND($T$179&gt;0,DATE($C189,7,15)&gt;$T$179)),0,IF(DATE($C189,7,15)&gt;=$X$179,$AA$179*(1+($U$179)/100)^MAX(0,$C189-$AD$179),IF(DATE($C189,7,15)&gt;=$W$179,$Z$179*(1+($U$179)/100)^MAX(0,$C189-$AC$179),IF(DATE($C189,7,15)&gt;=$V$179,$Y$179*(1+($U$179)/100)^MAX(0,$C189-$AB$179),0)))))</f>
      </c>
      <c r="L189" s="43">
        <f>IF($S$179=0,0,IF(OR(DATE($C189,8,15)&lt;$S$179,AND($T$179&gt;0,DATE($C189,8,15)&gt;$T$179)),0,IF(DATE($C189,8,15)&gt;=$X$179,$AA$179*(1+($U$179)/100)^MAX(0,$C189-$AD$179),IF(DATE($C189,8,15)&gt;=$W$179,$Z$179*(1+($U$179)/100)^MAX(0,$C189-$AC$179),IF(DATE($C189,8,15)&gt;=$V$179,$Y$179*(1+($U$179)/100)^MAX(0,$C189-$AB$179),0)))))</f>
      </c>
      <c r="M189" s="43">
        <f>IF($S$179=0,0,IF(OR(DATE($C189,9,15)&lt;$S$179,AND($T$179&gt;0,DATE($C189,9,15)&gt;$T$179)),0,IF(DATE($C189,9,15)&gt;=$X$179,$AA$179*(1+($U$179)/100)^MAX(0,$C189-$AD$179),IF(DATE($C189,9,15)&gt;=$W$179,$Z$179*(1+($U$179)/100)^MAX(0,$C189-$AC$179),IF(DATE($C189,9,15)&gt;=$V$179,$Y$179*(1+($U$179)/100)^MAX(0,$C189-$AB$179),0)))))</f>
      </c>
      <c r="N189" s="43">
        <f>IF($S$179=0,0,IF(OR(DATE($C189,10,15)&lt;$S$179,AND($T$179&gt;0,DATE($C189,10,15)&gt;$T$179)),0,IF(DATE($C189,10,15)&gt;=$X$179,$AA$179*(1+($U$179)/100)^MAX(0,$C189-$AD$179),IF(DATE($C189,10,15)&gt;=$W$179,$Z$179*(1+($U$179)/100)^MAX(0,$C189-$AC$179),IF(DATE($C189,10,15)&gt;=$V$179,$Y$179*(1+($U$179)/100)^MAX(0,$C189-$AB$179),0)))))</f>
      </c>
      <c r="O189" s="43">
        <f>IF($S$179=0,0,IF(OR(DATE($C189,11,15)&lt;$S$179,AND($T$179&gt;0,DATE($C189,11,15)&gt;$T$179)),0,IF(DATE($C189,11,15)&gt;=$X$179,$AA$179*(1+($U$179)/100)^MAX(0,$C189-$AD$179),IF(DATE($C189,11,15)&gt;=$W$179,$Z$179*(1+($U$179)/100)^MAX(0,$C189-$AC$179),IF(DATE($C189,11,15)&gt;=$V$179,$Y$179*(1+($U$179)/100)^MAX(0,$C189-$AB$179),0)))))</f>
      </c>
      <c r="P189" s="43">
        <f>IF($S$179=0,0,IF(OR(DATE($C189,12,15)&lt;$S$179,AND($T$179&gt;0,DATE($C189,12,15)&gt;$T$179)),0,IF(DATE($C189,12,15)&gt;=$X$179,$AA$179*(1+($U$179)/100)^MAX(0,$C189-$AD$179),IF(DATE($C189,12,15)&gt;=$W$179,$Z$179*(1+($U$179)/100)^MAX(0,$C189-$AC$179),IF(DATE($C189,12,15)&gt;=$V$179,$Y$179*(1+($U$179)/100)^MAX(0,$C189-$AB$179),0)))))</f>
      </c>
      <c r="Q189" s="43">
        <f>SUM($E189:$P189)</f>
      </c>
    </row>
    <row r="190">
      <c r="A190"/>
      <c r="B190">
        <v>6</v>
      </c>
      <c r="C190" s="43">
        <f>Jahr+11</f>
      </c>
      <c r="D190" s="43">
        <f>INDEX(MvObj,6)</f>
      </c>
      <c r="E190" s="43">
        <f>IF($S$179=0,0,IF(OR(DATE($C190,1,15)&lt;$S$179,AND($T$179&gt;0,DATE($C190,1,15)&gt;$T$179)),0,IF(DATE($C190,1,15)&gt;=$X$179,$AA$179*(1+($U$179)/100)^MAX(0,$C190-$AD$179),IF(DATE($C190,1,15)&gt;=$W$179,$Z$179*(1+($U$179)/100)^MAX(0,$C190-$AC$179),IF(DATE($C190,1,15)&gt;=$V$179,$Y$179*(1+($U$179)/100)^MAX(0,$C190-$AB$179),0)))))</f>
      </c>
      <c r="F190" s="43">
        <f>IF($S$179=0,0,IF(OR(DATE($C190,2,15)&lt;$S$179,AND($T$179&gt;0,DATE($C190,2,15)&gt;$T$179)),0,IF(DATE($C190,2,15)&gt;=$X$179,$AA$179*(1+($U$179)/100)^MAX(0,$C190-$AD$179),IF(DATE($C190,2,15)&gt;=$W$179,$Z$179*(1+($U$179)/100)^MAX(0,$C190-$AC$179),IF(DATE($C190,2,15)&gt;=$V$179,$Y$179*(1+($U$179)/100)^MAX(0,$C190-$AB$179),0)))))</f>
      </c>
      <c r="G190" s="43">
        <f>IF($S$179=0,0,IF(OR(DATE($C190,3,15)&lt;$S$179,AND($T$179&gt;0,DATE($C190,3,15)&gt;$T$179)),0,IF(DATE($C190,3,15)&gt;=$X$179,$AA$179*(1+($U$179)/100)^MAX(0,$C190-$AD$179),IF(DATE($C190,3,15)&gt;=$W$179,$Z$179*(1+($U$179)/100)^MAX(0,$C190-$AC$179),IF(DATE($C190,3,15)&gt;=$V$179,$Y$179*(1+($U$179)/100)^MAX(0,$C190-$AB$179),0)))))</f>
      </c>
      <c r="H190" s="43">
        <f>IF($S$179=0,0,IF(OR(DATE($C190,4,15)&lt;$S$179,AND($T$179&gt;0,DATE($C190,4,15)&gt;$T$179)),0,IF(DATE($C190,4,15)&gt;=$X$179,$AA$179*(1+($U$179)/100)^MAX(0,$C190-$AD$179),IF(DATE($C190,4,15)&gt;=$W$179,$Z$179*(1+($U$179)/100)^MAX(0,$C190-$AC$179),IF(DATE($C190,4,15)&gt;=$V$179,$Y$179*(1+($U$179)/100)^MAX(0,$C190-$AB$179),0)))))</f>
      </c>
      <c r="I190" s="43">
        <f>IF($S$179=0,0,IF(OR(DATE($C190,5,15)&lt;$S$179,AND($T$179&gt;0,DATE($C190,5,15)&gt;$T$179)),0,IF(DATE($C190,5,15)&gt;=$X$179,$AA$179*(1+($U$179)/100)^MAX(0,$C190-$AD$179),IF(DATE($C190,5,15)&gt;=$W$179,$Z$179*(1+($U$179)/100)^MAX(0,$C190-$AC$179),IF(DATE($C190,5,15)&gt;=$V$179,$Y$179*(1+($U$179)/100)^MAX(0,$C190-$AB$179),0)))))</f>
      </c>
      <c r="J190" s="43">
        <f>IF($S$179=0,0,IF(OR(DATE($C190,6,15)&lt;$S$179,AND($T$179&gt;0,DATE($C190,6,15)&gt;$T$179)),0,IF(DATE($C190,6,15)&gt;=$X$179,$AA$179*(1+($U$179)/100)^MAX(0,$C190-$AD$179),IF(DATE($C190,6,15)&gt;=$W$179,$Z$179*(1+($U$179)/100)^MAX(0,$C190-$AC$179),IF(DATE($C190,6,15)&gt;=$V$179,$Y$179*(1+($U$179)/100)^MAX(0,$C190-$AB$179),0)))))</f>
      </c>
      <c r="K190" s="43">
        <f>IF($S$179=0,0,IF(OR(DATE($C190,7,15)&lt;$S$179,AND($T$179&gt;0,DATE($C190,7,15)&gt;$T$179)),0,IF(DATE($C190,7,15)&gt;=$X$179,$AA$179*(1+($U$179)/100)^MAX(0,$C190-$AD$179),IF(DATE($C190,7,15)&gt;=$W$179,$Z$179*(1+($U$179)/100)^MAX(0,$C190-$AC$179),IF(DATE($C190,7,15)&gt;=$V$179,$Y$179*(1+($U$179)/100)^MAX(0,$C190-$AB$179),0)))))</f>
      </c>
      <c r="L190" s="43">
        <f>IF($S$179=0,0,IF(OR(DATE($C190,8,15)&lt;$S$179,AND($T$179&gt;0,DATE($C190,8,15)&gt;$T$179)),0,IF(DATE($C190,8,15)&gt;=$X$179,$AA$179*(1+($U$179)/100)^MAX(0,$C190-$AD$179),IF(DATE($C190,8,15)&gt;=$W$179,$Z$179*(1+($U$179)/100)^MAX(0,$C190-$AC$179),IF(DATE($C190,8,15)&gt;=$V$179,$Y$179*(1+($U$179)/100)^MAX(0,$C190-$AB$179),0)))))</f>
      </c>
      <c r="M190" s="43">
        <f>IF($S$179=0,0,IF(OR(DATE($C190,9,15)&lt;$S$179,AND($T$179&gt;0,DATE($C190,9,15)&gt;$T$179)),0,IF(DATE($C190,9,15)&gt;=$X$179,$AA$179*(1+($U$179)/100)^MAX(0,$C190-$AD$179),IF(DATE($C190,9,15)&gt;=$W$179,$Z$179*(1+($U$179)/100)^MAX(0,$C190-$AC$179),IF(DATE($C190,9,15)&gt;=$V$179,$Y$179*(1+($U$179)/100)^MAX(0,$C190-$AB$179),0)))))</f>
      </c>
      <c r="N190" s="43">
        <f>IF($S$179=0,0,IF(OR(DATE($C190,10,15)&lt;$S$179,AND($T$179&gt;0,DATE($C190,10,15)&gt;$T$179)),0,IF(DATE($C190,10,15)&gt;=$X$179,$AA$179*(1+($U$179)/100)^MAX(0,$C190-$AD$179),IF(DATE($C190,10,15)&gt;=$W$179,$Z$179*(1+($U$179)/100)^MAX(0,$C190-$AC$179),IF(DATE($C190,10,15)&gt;=$V$179,$Y$179*(1+($U$179)/100)^MAX(0,$C190-$AB$179),0)))))</f>
      </c>
      <c r="O190" s="43">
        <f>IF($S$179=0,0,IF(OR(DATE($C190,11,15)&lt;$S$179,AND($T$179&gt;0,DATE($C190,11,15)&gt;$T$179)),0,IF(DATE($C190,11,15)&gt;=$X$179,$AA$179*(1+($U$179)/100)^MAX(0,$C190-$AD$179),IF(DATE($C190,11,15)&gt;=$W$179,$Z$179*(1+($U$179)/100)^MAX(0,$C190-$AC$179),IF(DATE($C190,11,15)&gt;=$V$179,$Y$179*(1+($U$179)/100)^MAX(0,$C190-$AB$179),0)))))</f>
      </c>
      <c r="P190" s="43">
        <f>IF($S$179=0,0,IF(OR(DATE($C190,12,15)&lt;$S$179,AND($T$179&gt;0,DATE($C190,12,15)&gt;$T$179)),0,IF(DATE($C190,12,15)&gt;=$X$179,$AA$179*(1+($U$179)/100)^MAX(0,$C190-$AD$179),IF(DATE($C190,12,15)&gt;=$W$179,$Z$179*(1+($U$179)/100)^MAX(0,$C190-$AC$179),IF(DATE($C190,12,15)&gt;=$V$179,$Y$179*(1+($U$179)/100)^MAX(0,$C190-$AB$179),0)))))</f>
      </c>
      <c r="Q190" s="43">
        <f>SUM($E190:$P190)</f>
      </c>
    </row>
    <row r="191">
      <c r="A191"/>
      <c r="B191">
        <v>6</v>
      </c>
      <c r="C191" s="43">
        <f>Jahr+12</f>
      </c>
      <c r="D191" s="43">
        <f>INDEX(MvObj,6)</f>
      </c>
      <c r="E191" s="43">
        <f>IF($S$179=0,0,IF(OR(DATE($C191,1,15)&lt;$S$179,AND($T$179&gt;0,DATE($C191,1,15)&gt;$T$179)),0,IF(DATE($C191,1,15)&gt;=$X$179,$AA$179*(1+($U$179)/100)^MAX(0,$C191-$AD$179),IF(DATE($C191,1,15)&gt;=$W$179,$Z$179*(1+($U$179)/100)^MAX(0,$C191-$AC$179),IF(DATE($C191,1,15)&gt;=$V$179,$Y$179*(1+($U$179)/100)^MAX(0,$C191-$AB$179),0)))))</f>
      </c>
      <c r="F191" s="43">
        <f>IF($S$179=0,0,IF(OR(DATE($C191,2,15)&lt;$S$179,AND($T$179&gt;0,DATE($C191,2,15)&gt;$T$179)),0,IF(DATE($C191,2,15)&gt;=$X$179,$AA$179*(1+($U$179)/100)^MAX(0,$C191-$AD$179),IF(DATE($C191,2,15)&gt;=$W$179,$Z$179*(1+($U$179)/100)^MAX(0,$C191-$AC$179),IF(DATE($C191,2,15)&gt;=$V$179,$Y$179*(1+($U$179)/100)^MAX(0,$C191-$AB$179),0)))))</f>
      </c>
      <c r="G191" s="43">
        <f>IF($S$179=0,0,IF(OR(DATE($C191,3,15)&lt;$S$179,AND($T$179&gt;0,DATE($C191,3,15)&gt;$T$179)),0,IF(DATE($C191,3,15)&gt;=$X$179,$AA$179*(1+($U$179)/100)^MAX(0,$C191-$AD$179),IF(DATE($C191,3,15)&gt;=$W$179,$Z$179*(1+($U$179)/100)^MAX(0,$C191-$AC$179),IF(DATE($C191,3,15)&gt;=$V$179,$Y$179*(1+($U$179)/100)^MAX(0,$C191-$AB$179),0)))))</f>
      </c>
      <c r="H191" s="43">
        <f>IF($S$179=0,0,IF(OR(DATE($C191,4,15)&lt;$S$179,AND($T$179&gt;0,DATE($C191,4,15)&gt;$T$179)),0,IF(DATE($C191,4,15)&gt;=$X$179,$AA$179*(1+($U$179)/100)^MAX(0,$C191-$AD$179),IF(DATE($C191,4,15)&gt;=$W$179,$Z$179*(1+($U$179)/100)^MAX(0,$C191-$AC$179),IF(DATE($C191,4,15)&gt;=$V$179,$Y$179*(1+($U$179)/100)^MAX(0,$C191-$AB$179),0)))))</f>
      </c>
      <c r="I191" s="43">
        <f>IF($S$179=0,0,IF(OR(DATE($C191,5,15)&lt;$S$179,AND($T$179&gt;0,DATE($C191,5,15)&gt;$T$179)),0,IF(DATE($C191,5,15)&gt;=$X$179,$AA$179*(1+($U$179)/100)^MAX(0,$C191-$AD$179),IF(DATE($C191,5,15)&gt;=$W$179,$Z$179*(1+($U$179)/100)^MAX(0,$C191-$AC$179),IF(DATE($C191,5,15)&gt;=$V$179,$Y$179*(1+($U$179)/100)^MAX(0,$C191-$AB$179),0)))))</f>
      </c>
      <c r="J191" s="43">
        <f>IF($S$179=0,0,IF(OR(DATE($C191,6,15)&lt;$S$179,AND($T$179&gt;0,DATE($C191,6,15)&gt;$T$179)),0,IF(DATE($C191,6,15)&gt;=$X$179,$AA$179*(1+($U$179)/100)^MAX(0,$C191-$AD$179),IF(DATE($C191,6,15)&gt;=$W$179,$Z$179*(1+($U$179)/100)^MAX(0,$C191-$AC$179),IF(DATE($C191,6,15)&gt;=$V$179,$Y$179*(1+($U$179)/100)^MAX(0,$C191-$AB$179),0)))))</f>
      </c>
      <c r="K191" s="43">
        <f>IF($S$179=0,0,IF(OR(DATE($C191,7,15)&lt;$S$179,AND($T$179&gt;0,DATE($C191,7,15)&gt;$T$179)),0,IF(DATE($C191,7,15)&gt;=$X$179,$AA$179*(1+($U$179)/100)^MAX(0,$C191-$AD$179),IF(DATE($C191,7,15)&gt;=$W$179,$Z$179*(1+($U$179)/100)^MAX(0,$C191-$AC$179),IF(DATE($C191,7,15)&gt;=$V$179,$Y$179*(1+($U$179)/100)^MAX(0,$C191-$AB$179),0)))))</f>
      </c>
      <c r="L191" s="43">
        <f>IF($S$179=0,0,IF(OR(DATE($C191,8,15)&lt;$S$179,AND($T$179&gt;0,DATE($C191,8,15)&gt;$T$179)),0,IF(DATE($C191,8,15)&gt;=$X$179,$AA$179*(1+($U$179)/100)^MAX(0,$C191-$AD$179),IF(DATE($C191,8,15)&gt;=$W$179,$Z$179*(1+($U$179)/100)^MAX(0,$C191-$AC$179),IF(DATE($C191,8,15)&gt;=$V$179,$Y$179*(1+($U$179)/100)^MAX(0,$C191-$AB$179),0)))))</f>
      </c>
      <c r="M191" s="43">
        <f>IF($S$179=0,0,IF(OR(DATE($C191,9,15)&lt;$S$179,AND($T$179&gt;0,DATE($C191,9,15)&gt;$T$179)),0,IF(DATE($C191,9,15)&gt;=$X$179,$AA$179*(1+($U$179)/100)^MAX(0,$C191-$AD$179),IF(DATE($C191,9,15)&gt;=$W$179,$Z$179*(1+($U$179)/100)^MAX(0,$C191-$AC$179),IF(DATE($C191,9,15)&gt;=$V$179,$Y$179*(1+($U$179)/100)^MAX(0,$C191-$AB$179),0)))))</f>
      </c>
      <c r="N191" s="43">
        <f>IF($S$179=0,0,IF(OR(DATE($C191,10,15)&lt;$S$179,AND($T$179&gt;0,DATE($C191,10,15)&gt;$T$179)),0,IF(DATE($C191,10,15)&gt;=$X$179,$AA$179*(1+($U$179)/100)^MAX(0,$C191-$AD$179),IF(DATE($C191,10,15)&gt;=$W$179,$Z$179*(1+($U$179)/100)^MAX(0,$C191-$AC$179),IF(DATE($C191,10,15)&gt;=$V$179,$Y$179*(1+($U$179)/100)^MAX(0,$C191-$AB$179),0)))))</f>
      </c>
      <c r="O191" s="43">
        <f>IF($S$179=0,0,IF(OR(DATE($C191,11,15)&lt;$S$179,AND($T$179&gt;0,DATE($C191,11,15)&gt;$T$179)),0,IF(DATE($C191,11,15)&gt;=$X$179,$AA$179*(1+($U$179)/100)^MAX(0,$C191-$AD$179),IF(DATE($C191,11,15)&gt;=$W$179,$Z$179*(1+($U$179)/100)^MAX(0,$C191-$AC$179),IF(DATE($C191,11,15)&gt;=$V$179,$Y$179*(1+($U$179)/100)^MAX(0,$C191-$AB$179),0)))))</f>
      </c>
      <c r="P191" s="43">
        <f>IF($S$179=0,0,IF(OR(DATE($C191,12,15)&lt;$S$179,AND($T$179&gt;0,DATE($C191,12,15)&gt;$T$179)),0,IF(DATE($C191,12,15)&gt;=$X$179,$AA$179*(1+($U$179)/100)^MAX(0,$C191-$AD$179),IF(DATE($C191,12,15)&gt;=$W$179,$Z$179*(1+($U$179)/100)^MAX(0,$C191-$AC$179),IF(DATE($C191,12,15)&gt;=$V$179,$Y$179*(1+($U$179)/100)^MAX(0,$C191-$AB$179),0)))))</f>
      </c>
      <c r="Q191" s="43">
        <f>SUM($E191:$P191)</f>
      </c>
    </row>
    <row r="192">
      <c r="A192"/>
      <c r="B192">
        <v>6</v>
      </c>
      <c r="C192" s="43">
        <f>Jahr+13</f>
      </c>
      <c r="D192" s="43">
        <f>INDEX(MvObj,6)</f>
      </c>
      <c r="E192" s="43">
        <f>IF($S$179=0,0,IF(OR(DATE($C192,1,15)&lt;$S$179,AND($T$179&gt;0,DATE($C192,1,15)&gt;$T$179)),0,IF(DATE($C192,1,15)&gt;=$X$179,$AA$179*(1+($U$179)/100)^MAX(0,$C192-$AD$179),IF(DATE($C192,1,15)&gt;=$W$179,$Z$179*(1+($U$179)/100)^MAX(0,$C192-$AC$179),IF(DATE($C192,1,15)&gt;=$V$179,$Y$179*(1+($U$179)/100)^MAX(0,$C192-$AB$179),0)))))</f>
      </c>
      <c r="F192" s="43">
        <f>IF($S$179=0,0,IF(OR(DATE($C192,2,15)&lt;$S$179,AND($T$179&gt;0,DATE($C192,2,15)&gt;$T$179)),0,IF(DATE($C192,2,15)&gt;=$X$179,$AA$179*(1+($U$179)/100)^MAX(0,$C192-$AD$179),IF(DATE($C192,2,15)&gt;=$W$179,$Z$179*(1+($U$179)/100)^MAX(0,$C192-$AC$179),IF(DATE($C192,2,15)&gt;=$V$179,$Y$179*(1+($U$179)/100)^MAX(0,$C192-$AB$179),0)))))</f>
      </c>
      <c r="G192" s="43">
        <f>IF($S$179=0,0,IF(OR(DATE($C192,3,15)&lt;$S$179,AND($T$179&gt;0,DATE($C192,3,15)&gt;$T$179)),0,IF(DATE($C192,3,15)&gt;=$X$179,$AA$179*(1+($U$179)/100)^MAX(0,$C192-$AD$179),IF(DATE($C192,3,15)&gt;=$W$179,$Z$179*(1+($U$179)/100)^MAX(0,$C192-$AC$179),IF(DATE($C192,3,15)&gt;=$V$179,$Y$179*(1+($U$179)/100)^MAX(0,$C192-$AB$179),0)))))</f>
      </c>
      <c r="H192" s="43">
        <f>IF($S$179=0,0,IF(OR(DATE($C192,4,15)&lt;$S$179,AND($T$179&gt;0,DATE($C192,4,15)&gt;$T$179)),0,IF(DATE($C192,4,15)&gt;=$X$179,$AA$179*(1+($U$179)/100)^MAX(0,$C192-$AD$179),IF(DATE($C192,4,15)&gt;=$W$179,$Z$179*(1+($U$179)/100)^MAX(0,$C192-$AC$179),IF(DATE($C192,4,15)&gt;=$V$179,$Y$179*(1+($U$179)/100)^MAX(0,$C192-$AB$179),0)))))</f>
      </c>
      <c r="I192" s="43">
        <f>IF($S$179=0,0,IF(OR(DATE($C192,5,15)&lt;$S$179,AND($T$179&gt;0,DATE($C192,5,15)&gt;$T$179)),0,IF(DATE($C192,5,15)&gt;=$X$179,$AA$179*(1+($U$179)/100)^MAX(0,$C192-$AD$179),IF(DATE($C192,5,15)&gt;=$W$179,$Z$179*(1+($U$179)/100)^MAX(0,$C192-$AC$179),IF(DATE($C192,5,15)&gt;=$V$179,$Y$179*(1+($U$179)/100)^MAX(0,$C192-$AB$179),0)))))</f>
      </c>
      <c r="J192" s="43">
        <f>IF($S$179=0,0,IF(OR(DATE($C192,6,15)&lt;$S$179,AND($T$179&gt;0,DATE($C192,6,15)&gt;$T$179)),0,IF(DATE($C192,6,15)&gt;=$X$179,$AA$179*(1+($U$179)/100)^MAX(0,$C192-$AD$179),IF(DATE($C192,6,15)&gt;=$W$179,$Z$179*(1+($U$179)/100)^MAX(0,$C192-$AC$179),IF(DATE($C192,6,15)&gt;=$V$179,$Y$179*(1+($U$179)/100)^MAX(0,$C192-$AB$179),0)))))</f>
      </c>
      <c r="K192" s="43">
        <f>IF($S$179=0,0,IF(OR(DATE($C192,7,15)&lt;$S$179,AND($T$179&gt;0,DATE($C192,7,15)&gt;$T$179)),0,IF(DATE($C192,7,15)&gt;=$X$179,$AA$179*(1+($U$179)/100)^MAX(0,$C192-$AD$179),IF(DATE($C192,7,15)&gt;=$W$179,$Z$179*(1+($U$179)/100)^MAX(0,$C192-$AC$179),IF(DATE($C192,7,15)&gt;=$V$179,$Y$179*(1+($U$179)/100)^MAX(0,$C192-$AB$179),0)))))</f>
      </c>
      <c r="L192" s="43">
        <f>IF($S$179=0,0,IF(OR(DATE($C192,8,15)&lt;$S$179,AND($T$179&gt;0,DATE($C192,8,15)&gt;$T$179)),0,IF(DATE($C192,8,15)&gt;=$X$179,$AA$179*(1+($U$179)/100)^MAX(0,$C192-$AD$179),IF(DATE($C192,8,15)&gt;=$W$179,$Z$179*(1+($U$179)/100)^MAX(0,$C192-$AC$179),IF(DATE($C192,8,15)&gt;=$V$179,$Y$179*(1+($U$179)/100)^MAX(0,$C192-$AB$179),0)))))</f>
      </c>
      <c r="M192" s="43">
        <f>IF($S$179=0,0,IF(OR(DATE($C192,9,15)&lt;$S$179,AND($T$179&gt;0,DATE($C192,9,15)&gt;$T$179)),0,IF(DATE($C192,9,15)&gt;=$X$179,$AA$179*(1+($U$179)/100)^MAX(0,$C192-$AD$179),IF(DATE($C192,9,15)&gt;=$W$179,$Z$179*(1+($U$179)/100)^MAX(0,$C192-$AC$179),IF(DATE($C192,9,15)&gt;=$V$179,$Y$179*(1+($U$179)/100)^MAX(0,$C192-$AB$179),0)))))</f>
      </c>
      <c r="N192" s="43">
        <f>IF($S$179=0,0,IF(OR(DATE($C192,10,15)&lt;$S$179,AND($T$179&gt;0,DATE($C192,10,15)&gt;$T$179)),0,IF(DATE($C192,10,15)&gt;=$X$179,$AA$179*(1+($U$179)/100)^MAX(0,$C192-$AD$179),IF(DATE($C192,10,15)&gt;=$W$179,$Z$179*(1+($U$179)/100)^MAX(0,$C192-$AC$179),IF(DATE($C192,10,15)&gt;=$V$179,$Y$179*(1+($U$179)/100)^MAX(0,$C192-$AB$179),0)))))</f>
      </c>
      <c r="O192" s="43">
        <f>IF($S$179=0,0,IF(OR(DATE($C192,11,15)&lt;$S$179,AND($T$179&gt;0,DATE($C192,11,15)&gt;$T$179)),0,IF(DATE($C192,11,15)&gt;=$X$179,$AA$179*(1+($U$179)/100)^MAX(0,$C192-$AD$179),IF(DATE($C192,11,15)&gt;=$W$179,$Z$179*(1+($U$179)/100)^MAX(0,$C192-$AC$179),IF(DATE($C192,11,15)&gt;=$V$179,$Y$179*(1+($U$179)/100)^MAX(0,$C192-$AB$179),0)))))</f>
      </c>
      <c r="P192" s="43">
        <f>IF($S$179=0,0,IF(OR(DATE($C192,12,15)&lt;$S$179,AND($T$179&gt;0,DATE($C192,12,15)&gt;$T$179)),0,IF(DATE($C192,12,15)&gt;=$X$179,$AA$179*(1+($U$179)/100)^MAX(0,$C192-$AD$179),IF(DATE($C192,12,15)&gt;=$W$179,$Z$179*(1+($U$179)/100)^MAX(0,$C192-$AC$179),IF(DATE($C192,12,15)&gt;=$V$179,$Y$179*(1+($U$179)/100)^MAX(0,$C192-$AB$179),0)))))</f>
      </c>
      <c r="Q192" s="43">
        <f>SUM($E192:$P192)</f>
      </c>
    </row>
    <row r="193">
      <c r="A193"/>
      <c r="B193">
        <v>6</v>
      </c>
      <c r="C193" s="43">
        <f>Jahr+14</f>
      </c>
      <c r="D193" s="43">
        <f>INDEX(MvObj,6)</f>
      </c>
      <c r="E193" s="43">
        <f>IF($S$179=0,0,IF(OR(DATE($C193,1,15)&lt;$S$179,AND($T$179&gt;0,DATE($C193,1,15)&gt;$T$179)),0,IF(DATE($C193,1,15)&gt;=$X$179,$AA$179*(1+($U$179)/100)^MAX(0,$C193-$AD$179),IF(DATE($C193,1,15)&gt;=$W$179,$Z$179*(1+($U$179)/100)^MAX(0,$C193-$AC$179),IF(DATE($C193,1,15)&gt;=$V$179,$Y$179*(1+($U$179)/100)^MAX(0,$C193-$AB$179),0)))))</f>
      </c>
      <c r="F193" s="43">
        <f>IF($S$179=0,0,IF(OR(DATE($C193,2,15)&lt;$S$179,AND($T$179&gt;0,DATE($C193,2,15)&gt;$T$179)),0,IF(DATE($C193,2,15)&gt;=$X$179,$AA$179*(1+($U$179)/100)^MAX(0,$C193-$AD$179),IF(DATE($C193,2,15)&gt;=$W$179,$Z$179*(1+($U$179)/100)^MAX(0,$C193-$AC$179),IF(DATE($C193,2,15)&gt;=$V$179,$Y$179*(1+($U$179)/100)^MAX(0,$C193-$AB$179),0)))))</f>
      </c>
      <c r="G193" s="43">
        <f>IF($S$179=0,0,IF(OR(DATE($C193,3,15)&lt;$S$179,AND($T$179&gt;0,DATE($C193,3,15)&gt;$T$179)),0,IF(DATE($C193,3,15)&gt;=$X$179,$AA$179*(1+($U$179)/100)^MAX(0,$C193-$AD$179),IF(DATE($C193,3,15)&gt;=$W$179,$Z$179*(1+($U$179)/100)^MAX(0,$C193-$AC$179),IF(DATE($C193,3,15)&gt;=$V$179,$Y$179*(1+($U$179)/100)^MAX(0,$C193-$AB$179),0)))))</f>
      </c>
      <c r="H193" s="43">
        <f>IF($S$179=0,0,IF(OR(DATE($C193,4,15)&lt;$S$179,AND($T$179&gt;0,DATE($C193,4,15)&gt;$T$179)),0,IF(DATE($C193,4,15)&gt;=$X$179,$AA$179*(1+($U$179)/100)^MAX(0,$C193-$AD$179),IF(DATE($C193,4,15)&gt;=$W$179,$Z$179*(1+($U$179)/100)^MAX(0,$C193-$AC$179),IF(DATE($C193,4,15)&gt;=$V$179,$Y$179*(1+($U$179)/100)^MAX(0,$C193-$AB$179),0)))))</f>
      </c>
      <c r="I193" s="43">
        <f>IF($S$179=0,0,IF(OR(DATE($C193,5,15)&lt;$S$179,AND($T$179&gt;0,DATE($C193,5,15)&gt;$T$179)),0,IF(DATE($C193,5,15)&gt;=$X$179,$AA$179*(1+($U$179)/100)^MAX(0,$C193-$AD$179),IF(DATE($C193,5,15)&gt;=$W$179,$Z$179*(1+($U$179)/100)^MAX(0,$C193-$AC$179),IF(DATE($C193,5,15)&gt;=$V$179,$Y$179*(1+($U$179)/100)^MAX(0,$C193-$AB$179),0)))))</f>
      </c>
      <c r="J193" s="43">
        <f>IF($S$179=0,0,IF(OR(DATE($C193,6,15)&lt;$S$179,AND($T$179&gt;0,DATE($C193,6,15)&gt;$T$179)),0,IF(DATE($C193,6,15)&gt;=$X$179,$AA$179*(1+($U$179)/100)^MAX(0,$C193-$AD$179),IF(DATE($C193,6,15)&gt;=$W$179,$Z$179*(1+($U$179)/100)^MAX(0,$C193-$AC$179),IF(DATE($C193,6,15)&gt;=$V$179,$Y$179*(1+($U$179)/100)^MAX(0,$C193-$AB$179),0)))))</f>
      </c>
      <c r="K193" s="43">
        <f>IF($S$179=0,0,IF(OR(DATE($C193,7,15)&lt;$S$179,AND($T$179&gt;0,DATE($C193,7,15)&gt;$T$179)),0,IF(DATE($C193,7,15)&gt;=$X$179,$AA$179*(1+($U$179)/100)^MAX(0,$C193-$AD$179),IF(DATE($C193,7,15)&gt;=$W$179,$Z$179*(1+($U$179)/100)^MAX(0,$C193-$AC$179),IF(DATE($C193,7,15)&gt;=$V$179,$Y$179*(1+($U$179)/100)^MAX(0,$C193-$AB$179),0)))))</f>
      </c>
      <c r="L193" s="43">
        <f>IF($S$179=0,0,IF(OR(DATE($C193,8,15)&lt;$S$179,AND($T$179&gt;0,DATE($C193,8,15)&gt;$T$179)),0,IF(DATE($C193,8,15)&gt;=$X$179,$AA$179*(1+($U$179)/100)^MAX(0,$C193-$AD$179),IF(DATE($C193,8,15)&gt;=$W$179,$Z$179*(1+($U$179)/100)^MAX(0,$C193-$AC$179),IF(DATE($C193,8,15)&gt;=$V$179,$Y$179*(1+($U$179)/100)^MAX(0,$C193-$AB$179),0)))))</f>
      </c>
      <c r="M193" s="43">
        <f>IF($S$179=0,0,IF(OR(DATE($C193,9,15)&lt;$S$179,AND($T$179&gt;0,DATE($C193,9,15)&gt;$T$179)),0,IF(DATE($C193,9,15)&gt;=$X$179,$AA$179*(1+($U$179)/100)^MAX(0,$C193-$AD$179),IF(DATE($C193,9,15)&gt;=$W$179,$Z$179*(1+($U$179)/100)^MAX(0,$C193-$AC$179),IF(DATE($C193,9,15)&gt;=$V$179,$Y$179*(1+($U$179)/100)^MAX(0,$C193-$AB$179),0)))))</f>
      </c>
      <c r="N193" s="43">
        <f>IF($S$179=0,0,IF(OR(DATE($C193,10,15)&lt;$S$179,AND($T$179&gt;0,DATE($C193,10,15)&gt;$T$179)),0,IF(DATE($C193,10,15)&gt;=$X$179,$AA$179*(1+($U$179)/100)^MAX(0,$C193-$AD$179),IF(DATE($C193,10,15)&gt;=$W$179,$Z$179*(1+($U$179)/100)^MAX(0,$C193-$AC$179),IF(DATE($C193,10,15)&gt;=$V$179,$Y$179*(1+($U$179)/100)^MAX(0,$C193-$AB$179),0)))))</f>
      </c>
      <c r="O193" s="43">
        <f>IF($S$179=0,0,IF(OR(DATE($C193,11,15)&lt;$S$179,AND($T$179&gt;0,DATE($C193,11,15)&gt;$T$179)),0,IF(DATE($C193,11,15)&gt;=$X$179,$AA$179*(1+($U$179)/100)^MAX(0,$C193-$AD$179),IF(DATE($C193,11,15)&gt;=$W$179,$Z$179*(1+($U$179)/100)^MAX(0,$C193-$AC$179),IF(DATE($C193,11,15)&gt;=$V$179,$Y$179*(1+($U$179)/100)^MAX(0,$C193-$AB$179),0)))))</f>
      </c>
      <c r="P193" s="43">
        <f>IF($S$179=0,0,IF(OR(DATE($C193,12,15)&lt;$S$179,AND($T$179&gt;0,DATE($C193,12,15)&gt;$T$179)),0,IF(DATE($C193,12,15)&gt;=$X$179,$AA$179*(1+($U$179)/100)^MAX(0,$C193-$AD$179),IF(DATE($C193,12,15)&gt;=$W$179,$Z$179*(1+($U$179)/100)^MAX(0,$C193-$AC$179),IF(DATE($C193,12,15)&gt;=$V$179,$Y$179*(1+($U$179)/100)^MAX(0,$C193-$AB$179),0)))))</f>
      </c>
      <c r="Q193" s="43">
        <f>SUM($E193:$P193)</f>
      </c>
    </row>
    <row r="194">
      <c r="A194"/>
      <c r="B194">
        <v>6</v>
      </c>
      <c r="C194" s="43">
        <f>Jahr+15</f>
      </c>
      <c r="D194" s="43">
        <f>INDEX(MvObj,6)</f>
      </c>
      <c r="E194" s="43">
        <f>IF($S$179=0,0,IF(OR(DATE($C194,1,15)&lt;$S$179,AND($T$179&gt;0,DATE($C194,1,15)&gt;$T$179)),0,IF(DATE($C194,1,15)&gt;=$X$179,$AA$179*(1+($U$179)/100)^MAX(0,$C194-$AD$179),IF(DATE($C194,1,15)&gt;=$W$179,$Z$179*(1+($U$179)/100)^MAX(0,$C194-$AC$179),IF(DATE($C194,1,15)&gt;=$V$179,$Y$179*(1+($U$179)/100)^MAX(0,$C194-$AB$179),0)))))</f>
      </c>
      <c r="F194" s="43">
        <f>IF($S$179=0,0,IF(OR(DATE($C194,2,15)&lt;$S$179,AND($T$179&gt;0,DATE($C194,2,15)&gt;$T$179)),0,IF(DATE($C194,2,15)&gt;=$X$179,$AA$179*(1+($U$179)/100)^MAX(0,$C194-$AD$179),IF(DATE($C194,2,15)&gt;=$W$179,$Z$179*(1+($U$179)/100)^MAX(0,$C194-$AC$179),IF(DATE($C194,2,15)&gt;=$V$179,$Y$179*(1+($U$179)/100)^MAX(0,$C194-$AB$179),0)))))</f>
      </c>
      <c r="G194" s="43">
        <f>IF($S$179=0,0,IF(OR(DATE($C194,3,15)&lt;$S$179,AND($T$179&gt;0,DATE($C194,3,15)&gt;$T$179)),0,IF(DATE($C194,3,15)&gt;=$X$179,$AA$179*(1+($U$179)/100)^MAX(0,$C194-$AD$179),IF(DATE($C194,3,15)&gt;=$W$179,$Z$179*(1+($U$179)/100)^MAX(0,$C194-$AC$179),IF(DATE($C194,3,15)&gt;=$V$179,$Y$179*(1+($U$179)/100)^MAX(0,$C194-$AB$179),0)))))</f>
      </c>
      <c r="H194" s="43">
        <f>IF($S$179=0,0,IF(OR(DATE($C194,4,15)&lt;$S$179,AND($T$179&gt;0,DATE($C194,4,15)&gt;$T$179)),0,IF(DATE($C194,4,15)&gt;=$X$179,$AA$179*(1+($U$179)/100)^MAX(0,$C194-$AD$179),IF(DATE($C194,4,15)&gt;=$W$179,$Z$179*(1+($U$179)/100)^MAX(0,$C194-$AC$179),IF(DATE($C194,4,15)&gt;=$V$179,$Y$179*(1+($U$179)/100)^MAX(0,$C194-$AB$179),0)))))</f>
      </c>
      <c r="I194" s="43">
        <f>IF($S$179=0,0,IF(OR(DATE($C194,5,15)&lt;$S$179,AND($T$179&gt;0,DATE($C194,5,15)&gt;$T$179)),0,IF(DATE($C194,5,15)&gt;=$X$179,$AA$179*(1+($U$179)/100)^MAX(0,$C194-$AD$179),IF(DATE($C194,5,15)&gt;=$W$179,$Z$179*(1+($U$179)/100)^MAX(0,$C194-$AC$179),IF(DATE($C194,5,15)&gt;=$V$179,$Y$179*(1+($U$179)/100)^MAX(0,$C194-$AB$179),0)))))</f>
      </c>
      <c r="J194" s="43">
        <f>IF($S$179=0,0,IF(OR(DATE($C194,6,15)&lt;$S$179,AND($T$179&gt;0,DATE($C194,6,15)&gt;$T$179)),0,IF(DATE($C194,6,15)&gt;=$X$179,$AA$179*(1+($U$179)/100)^MAX(0,$C194-$AD$179),IF(DATE($C194,6,15)&gt;=$W$179,$Z$179*(1+($U$179)/100)^MAX(0,$C194-$AC$179),IF(DATE($C194,6,15)&gt;=$V$179,$Y$179*(1+($U$179)/100)^MAX(0,$C194-$AB$179),0)))))</f>
      </c>
      <c r="K194" s="43">
        <f>IF($S$179=0,0,IF(OR(DATE($C194,7,15)&lt;$S$179,AND($T$179&gt;0,DATE($C194,7,15)&gt;$T$179)),0,IF(DATE($C194,7,15)&gt;=$X$179,$AA$179*(1+($U$179)/100)^MAX(0,$C194-$AD$179),IF(DATE($C194,7,15)&gt;=$W$179,$Z$179*(1+($U$179)/100)^MAX(0,$C194-$AC$179),IF(DATE($C194,7,15)&gt;=$V$179,$Y$179*(1+($U$179)/100)^MAX(0,$C194-$AB$179),0)))))</f>
      </c>
      <c r="L194" s="43">
        <f>IF($S$179=0,0,IF(OR(DATE($C194,8,15)&lt;$S$179,AND($T$179&gt;0,DATE($C194,8,15)&gt;$T$179)),0,IF(DATE($C194,8,15)&gt;=$X$179,$AA$179*(1+($U$179)/100)^MAX(0,$C194-$AD$179),IF(DATE($C194,8,15)&gt;=$W$179,$Z$179*(1+($U$179)/100)^MAX(0,$C194-$AC$179),IF(DATE($C194,8,15)&gt;=$V$179,$Y$179*(1+($U$179)/100)^MAX(0,$C194-$AB$179),0)))))</f>
      </c>
      <c r="M194" s="43">
        <f>IF($S$179=0,0,IF(OR(DATE($C194,9,15)&lt;$S$179,AND($T$179&gt;0,DATE($C194,9,15)&gt;$T$179)),0,IF(DATE($C194,9,15)&gt;=$X$179,$AA$179*(1+($U$179)/100)^MAX(0,$C194-$AD$179),IF(DATE($C194,9,15)&gt;=$W$179,$Z$179*(1+($U$179)/100)^MAX(0,$C194-$AC$179),IF(DATE($C194,9,15)&gt;=$V$179,$Y$179*(1+($U$179)/100)^MAX(0,$C194-$AB$179),0)))))</f>
      </c>
      <c r="N194" s="43">
        <f>IF($S$179=0,0,IF(OR(DATE($C194,10,15)&lt;$S$179,AND($T$179&gt;0,DATE($C194,10,15)&gt;$T$179)),0,IF(DATE($C194,10,15)&gt;=$X$179,$AA$179*(1+($U$179)/100)^MAX(0,$C194-$AD$179),IF(DATE($C194,10,15)&gt;=$W$179,$Z$179*(1+($U$179)/100)^MAX(0,$C194-$AC$179),IF(DATE($C194,10,15)&gt;=$V$179,$Y$179*(1+($U$179)/100)^MAX(0,$C194-$AB$179),0)))))</f>
      </c>
      <c r="O194" s="43">
        <f>IF($S$179=0,0,IF(OR(DATE($C194,11,15)&lt;$S$179,AND($T$179&gt;0,DATE($C194,11,15)&gt;$T$179)),0,IF(DATE($C194,11,15)&gt;=$X$179,$AA$179*(1+($U$179)/100)^MAX(0,$C194-$AD$179),IF(DATE($C194,11,15)&gt;=$W$179,$Z$179*(1+($U$179)/100)^MAX(0,$C194-$AC$179),IF(DATE($C194,11,15)&gt;=$V$179,$Y$179*(1+($U$179)/100)^MAX(0,$C194-$AB$179),0)))))</f>
      </c>
      <c r="P194" s="43">
        <f>IF($S$179=0,0,IF(OR(DATE($C194,12,15)&lt;$S$179,AND($T$179&gt;0,DATE($C194,12,15)&gt;$T$179)),0,IF(DATE($C194,12,15)&gt;=$X$179,$AA$179*(1+($U$179)/100)^MAX(0,$C194-$AD$179),IF(DATE($C194,12,15)&gt;=$W$179,$Z$179*(1+($U$179)/100)^MAX(0,$C194-$AC$179),IF(DATE($C194,12,15)&gt;=$V$179,$Y$179*(1+($U$179)/100)^MAX(0,$C194-$AB$179),0)))))</f>
      </c>
      <c r="Q194" s="43">
        <f>SUM($E194:$P194)</f>
      </c>
    </row>
    <row r="195">
      <c r="A195"/>
      <c r="B195">
        <v>6</v>
      </c>
      <c r="C195" s="43">
        <f>Jahr+16</f>
      </c>
      <c r="D195" s="43">
        <f>INDEX(MvObj,6)</f>
      </c>
      <c r="E195" s="43">
        <f>IF($S$179=0,0,IF(OR(DATE($C195,1,15)&lt;$S$179,AND($T$179&gt;0,DATE($C195,1,15)&gt;$T$179)),0,IF(DATE($C195,1,15)&gt;=$X$179,$AA$179*(1+($U$179)/100)^MAX(0,$C195-$AD$179),IF(DATE($C195,1,15)&gt;=$W$179,$Z$179*(1+($U$179)/100)^MAX(0,$C195-$AC$179),IF(DATE($C195,1,15)&gt;=$V$179,$Y$179*(1+($U$179)/100)^MAX(0,$C195-$AB$179),0)))))</f>
      </c>
      <c r="F195" s="43">
        <f>IF($S$179=0,0,IF(OR(DATE($C195,2,15)&lt;$S$179,AND($T$179&gt;0,DATE($C195,2,15)&gt;$T$179)),0,IF(DATE($C195,2,15)&gt;=$X$179,$AA$179*(1+($U$179)/100)^MAX(0,$C195-$AD$179),IF(DATE($C195,2,15)&gt;=$W$179,$Z$179*(1+($U$179)/100)^MAX(0,$C195-$AC$179),IF(DATE($C195,2,15)&gt;=$V$179,$Y$179*(1+($U$179)/100)^MAX(0,$C195-$AB$179),0)))))</f>
      </c>
      <c r="G195" s="43">
        <f>IF($S$179=0,0,IF(OR(DATE($C195,3,15)&lt;$S$179,AND($T$179&gt;0,DATE($C195,3,15)&gt;$T$179)),0,IF(DATE($C195,3,15)&gt;=$X$179,$AA$179*(1+($U$179)/100)^MAX(0,$C195-$AD$179),IF(DATE($C195,3,15)&gt;=$W$179,$Z$179*(1+($U$179)/100)^MAX(0,$C195-$AC$179),IF(DATE($C195,3,15)&gt;=$V$179,$Y$179*(1+($U$179)/100)^MAX(0,$C195-$AB$179),0)))))</f>
      </c>
      <c r="H195" s="43">
        <f>IF($S$179=0,0,IF(OR(DATE($C195,4,15)&lt;$S$179,AND($T$179&gt;0,DATE($C195,4,15)&gt;$T$179)),0,IF(DATE($C195,4,15)&gt;=$X$179,$AA$179*(1+($U$179)/100)^MAX(0,$C195-$AD$179),IF(DATE($C195,4,15)&gt;=$W$179,$Z$179*(1+($U$179)/100)^MAX(0,$C195-$AC$179),IF(DATE($C195,4,15)&gt;=$V$179,$Y$179*(1+($U$179)/100)^MAX(0,$C195-$AB$179),0)))))</f>
      </c>
      <c r="I195" s="43">
        <f>IF($S$179=0,0,IF(OR(DATE($C195,5,15)&lt;$S$179,AND($T$179&gt;0,DATE($C195,5,15)&gt;$T$179)),0,IF(DATE($C195,5,15)&gt;=$X$179,$AA$179*(1+($U$179)/100)^MAX(0,$C195-$AD$179),IF(DATE($C195,5,15)&gt;=$W$179,$Z$179*(1+($U$179)/100)^MAX(0,$C195-$AC$179),IF(DATE($C195,5,15)&gt;=$V$179,$Y$179*(1+($U$179)/100)^MAX(0,$C195-$AB$179),0)))))</f>
      </c>
      <c r="J195" s="43">
        <f>IF($S$179=0,0,IF(OR(DATE($C195,6,15)&lt;$S$179,AND($T$179&gt;0,DATE($C195,6,15)&gt;$T$179)),0,IF(DATE($C195,6,15)&gt;=$X$179,$AA$179*(1+($U$179)/100)^MAX(0,$C195-$AD$179),IF(DATE($C195,6,15)&gt;=$W$179,$Z$179*(1+($U$179)/100)^MAX(0,$C195-$AC$179),IF(DATE($C195,6,15)&gt;=$V$179,$Y$179*(1+($U$179)/100)^MAX(0,$C195-$AB$179),0)))))</f>
      </c>
      <c r="K195" s="43">
        <f>IF($S$179=0,0,IF(OR(DATE($C195,7,15)&lt;$S$179,AND($T$179&gt;0,DATE($C195,7,15)&gt;$T$179)),0,IF(DATE($C195,7,15)&gt;=$X$179,$AA$179*(1+($U$179)/100)^MAX(0,$C195-$AD$179),IF(DATE($C195,7,15)&gt;=$W$179,$Z$179*(1+($U$179)/100)^MAX(0,$C195-$AC$179),IF(DATE($C195,7,15)&gt;=$V$179,$Y$179*(1+($U$179)/100)^MAX(0,$C195-$AB$179),0)))))</f>
      </c>
      <c r="L195" s="43">
        <f>IF($S$179=0,0,IF(OR(DATE($C195,8,15)&lt;$S$179,AND($T$179&gt;0,DATE($C195,8,15)&gt;$T$179)),0,IF(DATE($C195,8,15)&gt;=$X$179,$AA$179*(1+($U$179)/100)^MAX(0,$C195-$AD$179),IF(DATE($C195,8,15)&gt;=$W$179,$Z$179*(1+($U$179)/100)^MAX(0,$C195-$AC$179),IF(DATE($C195,8,15)&gt;=$V$179,$Y$179*(1+($U$179)/100)^MAX(0,$C195-$AB$179),0)))))</f>
      </c>
      <c r="M195" s="43">
        <f>IF($S$179=0,0,IF(OR(DATE($C195,9,15)&lt;$S$179,AND($T$179&gt;0,DATE($C195,9,15)&gt;$T$179)),0,IF(DATE($C195,9,15)&gt;=$X$179,$AA$179*(1+($U$179)/100)^MAX(0,$C195-$AD$179),IF(DATE($C195,9,15)&gt;=$W$179,$Z$179*(1+($U$179)/100)^MAX(0,$C195-$AC$179),IF(DATE($C195,9,15)&gt;=$V$179,$Y$179*(1+($U$179)/100)^MAX(0,$C195-$AB$179),0)))))</f>
      </c>
      <c r="N195" s="43">
        <f>IF($S$179=0,0,IF(OR(DATE($C195,10,15)&lt;$S$179,AND($T$179&gt;0,DATE($C195,10,15)&gt;$T$179)),0,IF(DATE($C195,10,15)&gt;=$X$179,$AA$179*(1+($U$179)/100)^MAX(0,$C195-$AD$179),IF(DATE($C195,10,15)&gt;=$W$179,$Z$179*(1+($U$179)/100)^MAX(0,$C195-$AC$179),IF(DATE($C195,10,15)&gt;=$V$179,$Y$179*(1+($U$179)/100)^MAX(0,$C195-$AB$179),0)))))</f>
      </c>
      <c r="O195" s="43">
        <f>IF($S$179=0,0,IF(OR(DATE($C195,11,15)&lt;$S$179,AND($T$179&gt;0,DATE($C195,11,15)&gt;$T$179)),0,IF(DATE($C195,11,15)&gt;=$X$179,$AA$179*(1+($U$179)/100)^MAX(0,$C195-$AD$179),IF(DATE($C195,11,15)&gt;=$W$179,$Z$179*(1+($U$179)/100)^MAX(0,$C195-$AC$179),IF(DATE($C195,11,15)&gt;=$V$179,$Y$179*(1+($U$179)/100)^MAX(0,$C195-$AB$179),0)))))</f>
      </c>
      <c r="P195" s="43">
        <f>IF($S$179=0,0,IF(OR(DATE($C195,12,15)&lt;$S$179,AND($T$179&gt;0,DATE($C195,12,15)&gt;$T$179)),0,IF(DATE($C195,12,15)&gt;=$X$179,$AA$179*(1+($U$179)/100)^MAX(0,$C195-$AD$179),IF(DATE($C195,12,15)&gt;=$W$179,$Z$179*(1+($U$179)/100)^MAX(0,$C195-$AC$179),IF(DATE($C195,12,15)&gt;=$V$179,$Y$179*(1+($U$179)/100)^MAX(0,$C195-$AB$179),0)))))</f>
      </c>
      <c r="Q195" s="43">
        <f>SUM($E195:$P195)</f>
      </c>
    </row>
    <row r="196">
      <c r="A196"/>
      <c r="B196">
        <v>6</v>
      </c>
      <c r="C196" s="43">
        <f>Jahr+17</f>
      </c>
      <c r="D196" s="43">
        <f>INDEX(MvObj,6)</f>
      </c>
      <c r="E196" s="43">
        <f>IF($S$179=0,0,IF(OR(DATE($C196,1,15)&lt;$S$179,AND($T$179&gt;0,DATE($C196,1,15)&gt;$T$179)),0,IF(DATE($C196,1,15)&gt;=$X$179,$AA$179*(1+($U$179)/100)^MAX(0,$C196-$AD$179),IF(DATE($C196,1,15)&gt;=$W$179,$Z$179*(1+($U$179)/100)^MAX(0,$C196-$AC$179),IF(DATE($C196,1,15)&gt;=$V$179,$Y$179*(1+($U$179)/100)^MAX(0,$C196-$AB$179),0)))))</f>
      </c>
      <c r="F196" s="43">
        <f>IF($S$179=0,0,IF(OR(DATE($C196,2,15)&lt;$S$179,AND($T$179&gt;0,DATE($C196,2,15)&gt;$T$179)),0,IF(DATE($C196,2,15)&gt;=$X$179,$AA$179*(1+($U$179)/100)^MAX(0,$C196-$AD$179),IF(DATE($C196,2,15)&gt;=$W$179,$Z$179*(1+($U$179)/100)^MAX(0,$C196-$AC$179),IF(DATE($C196,2,15)&gt;=$V$179,$Y$179*(1+($U$179)/100)^MAX(0,$C196-$AB$179),0)))))</f>
      </c>
      <c r="G196" s="43">
        <f>IF($S$179=0,0,IF(OR(DATE($C196,3,15)&lt;$S$179,AND($T$179&gt;0,DATE($C196,3,15)&gt;$T$179)),0,IF(DATE($C196,3,15)&gt;=$X$179,$AA$179*(1+($U$179)/100)^MAX(0,$C196-$AD$179),IF(DATE($C196,3,15)&gt;=$W$179,$Z$179*(1+($U$179)/100)^MAX(0,$C196-$AC$179),IF(DATE($C196,3,15)&gt;=$V$179,$Y$179*(1+($U$179)/100)^MAX(0,$C196-$AB$179),0)))))</f>
      </c>
      <c r="H196" s="43">
        <f>IF($S$179=0,0,IF(OR(DATE($C196,4,15)&lt;$S$179,AND($T$179&gt;0,DATE($C196,4,15)&gt;$T$179)),0,IF(DATE($C196,4,15)&gt;=$X$179,$AA$179*(1+($U$179)/100)^MAX(0,$C196-$AD$179),IF(DATE($C196,4,15)&gt;=$W$179,$Z$179*(1+($U$179)/100)^MAX(0,$C196-$AC$179),IF(DATE($C196,4,15)&gt;=$V$179,$Y$179*(1+($U$179)/100)^MAX(0,$C196-$AB$179),0)))))</f>
      </c>
      <c r="I196" s="43">
        <f>IF($S$179=0,0,IF(OR(DATE($C196,5,15)&lt;$S$179,AND($T$179&gt;0,DATE($C196,5,15)&gt;$T$179)),0,IF(DATE($C196,5,15)&gt;=$X$179,$AA$179*(1+($U$179)/100)^MAX(0,$C196-$AD$179),IF(DATE($C196,5,15)&gt;=$W$179,$Z$179*(1+($U$179)/100)^MAX(0,$C196-$AC$179),IF(DATE($C196,5,15)&gt;=$V$179,$Y$179*(1+($U$179)/100)^MAX(0,$C196-$AB$179),0)))))</f>
      </c>
      <c r="J196" s="43">
        <f>IF($S$179=0,0,IF(OR(DATE($C196,6,15)&lt;$S$179,AND($T$179&gt;0,DATE($C196,6,15)&gt;$T$179)),0,IF(DATE($C196,6,15)&gt;=$X$179,$AA$179*(1+($U$179)/100)^MAX(0,$C196-$AD$179),IF(DATE($C196,6,15)&gt;=$W$179,$Z$179*(1+($U$179)/100)^MAX(0,$C196-$AC$179),IF(DATE($C196,6,15)&gt;=$V$179,$Y$179*(1+($U$179)/100)^MAX(0,$C196-$AB$179),0)))))</f>
      </c>
      <c r="K196" s="43">
        <f>IF($S$179=0,0,IF(OR(DATE($C196,7,15)&lt;$S$179,AND($T$179&gt;0,DATE($C196,7,15)&gt;$T$179)),0,IF(DATE($C196,7,15)&gt;=$X$179,$AA$179*(1+($U$179)/100)^MAX(0,$C196-$AD$179),IF(DATE($C196,7,15)&gt;=$W$179,$Z$179*(1+($U$179)/100)^MAX(0,$C196-$AC$179),IF(DATE($C196,7,15)&gt;=$V$179,$Y$179*(1+($U$179)/100)^MAX(0,$C196-$AB$179),0)))))</f>
      </c>
      <c r="L196" s="43">
        <f>IF($S$179=0,0,IF(OR(DATE($C196,8,15)&lt;$S$179,AND($T$179&gt;0,DATE($C196,8,15)&gt;$T$179)),0,IF(DATE($C196,8,15)&gt;=$X$179,$AA$179*(1+($U$179)/100)^MAX(0,$C196-$AD$179),IF(DATE($C196,8,15)&gt;=$W$179,$Z$179*(1+($U$179)/100)^MAX(0,$C196-$AC$179),IF(DATE($C196,8,15)&gt;=$V$179,$Y$179*(1+($U$179)/100)^MAX(0,$C196-$AB$179),0)))))</f>
      </c>
      <c r="M196" s="43">
        <f>IF($S$179=0,0,IF(OR(DATE($C196,9,15)&lt;$S$179,AND($T$179&gt;0,DATE($C196,9,15)&gt;$T$179)),0,IF(DATE($C196,9,15)&gt;=$X$179,$AA$179*(1+($U$179)/100)^MAX(0,$C196-$AD$179),IF(DATE($C196,9,15)&gt;=$W$179,$Z$179*(1+($U$179)/100)^MAX(0,$C196-$AC$179),IF(DATE($C196,9,15)&gt;=$V$179,$Y$179*(1+($U$179)/100)^MAX(0,$C196-$AB$179),0)))))</f>
      </c>
      <c r="N196" s="43">
        <f>IF($S$179=0,0,IF(OR(DATE($C196,10,15)&lt;$S$179,AND($T$179&gt;0,DATE($C196,10,15)&gt;$T$179)),0,IF(DATE($C196,10,15)&gt;=$X$179,$AA$179*(1+($U$179)/100)^MAX(0,$C196-$AD$179),IF(DATE($C196,10,15)&gt;=$W$179,$Z$179*(1+($U$179)/100)^MAX(0,$C196-$AC$179),IF(DATE($C196,10,15)&gt;=$V$179,$Y$179*(1+($U$179)/100)^MAX(0,$C196-$AB$179),0)))))</f>
      </c>
      <c r="O196" s="43">
        <f>IF($S$179=0,0,IF(OR(DATE($C196,11,15)&lt;$S$179,AND($T$179&gt;0,DATE($C196,11,15)&gt;$T$179)),0,IF(DATE($C196,11,15)&gt;=$X$179,$AA$179*(1+($U$179)/100)^MAX(0,$C196-$AD$179),IF(DATE($C196,11,15)&gt;=$W$179,$Z$179*(1+($U$179)/100)^MAX(0,$C196-$AC$179),IF(DATE($C196,11,15)&gt;=$V$179,$Y$179*(1+($U$179)/100)^MAX(0,$C196-$AB$179),0)))))</f>
      </c>
      <c r="P196" s="43">
        <f>IF($S$179=0,0,IF(OR(DATE($C196,12,15)&lt;$S$179,AND($T$179&gt;0,DATE($C196,12,15)&gt;$T$179)),0,IF(DATE($C196,12,15)&gt;=$X$179,$AA$179*(1+($U$179)/100)^MAX(0,$C196-$AD$179),IF(DATE($C196,12,15)&gt;=$W$179,$Z$179*(1+($U$179)/100)^MAX(0,$C196-$AC$179),IF(DATE($C196,12,15)&gt;=$V$179,$Y$179*(1+($U$179)/100)^MAX(0,$C196-$AB$179),0)))))</f>
      </c>
      <c r="Q196" s="43">
        <f>SUM($E196:$P196)</f>
      </c>
    </row>
    <row r="197">
      <c r="A197"/>
      <c r="B197">
        <v>6</v>
      </c>
      <c r="C197" s="43">
        <f>Jahr+18</f>
      </c>
      <c r="D197" s="43">
        <f>INDEX(MvObj,6)</f>
      </c>
      <c r="E197" s="43">
        <f>IF($S$179=0,0,IF(OR(DATE($C197,1,15)&lt;$S$179,AND($T$179&gt;0,DATE($C197,1,15)&gt;$T$179)),0,IF(DATE($C197,1,15)&gt;=$X$179,$AA$179*(1+($U$179)/100)^MAX(0,$C197-$AD$179),IF(DATE($C197,1,15)&gt;=$W$179,$Z$179*(1+($U$179)/100)^MAX(0,$C197-$AC$179),IF(DATE($C197,1,15)&gt;=$V$179,$Y$179*(1+($U$179)/100)^MAX(0,$C197-$AB$179),0)))))</f>
      </c>
      <c r="F197" s="43">
        <f>IF($S$179=0,0,IF(OR(DATE($C197,2,15)&lt;$S$179,AND($T$179&gt;0,DATE($C197,2,15)&gt;$T$179)),0,IF(DATE($C197,2,15)&gt;=$X$179,$AA$179*(1+($U$179)/100)^MAX(0,$C197-$AD$179),IF(DATE($C197,2,15)&gt;=$W$179,$Z$179*(1+($U$179)/100)^MAX(0,$C197-$AC$179),IF(DATE($C197,2,15)&gt;=$V$179,$Y$179*(1+($U$179)/100)^MAX(0,$C197-$AB$179),0)))))</f>
      </c>
      <c r="G197" s="43">
        <f>IF($S$179=0,0,IF(OR(DATE($C197,3,15)&lt;$S$179,AND($T$179&gt;0,DATE($C197,3,15)&gt;$T$179)),0,IF(DATE($C197,3,15)&gt;=$X$179,$AA$179*(1+($U$179)/100)^MAX(0,$C197-$AD$179),IF(DATE($C197,3,15)&gt;=$W$179,$Z$179*(1+($U$179)/100)^MAX(0,$C197-$AC$179),IF(DATE($C197,3,15)&gt;=$V$179,$Y$179*(1+($U$179)/100)^MAX(0,$C197-$AB$179),0)))))</f>
      </c>
      <c r="H197" s="43">
        <f>IF($S$179=0,0,IF(OR(DATE($C197,4,15)&lt;$S$179,AND($T$179&gt;0,DATE($C197,4,15)&gt;$T$179)),0,IF(DATE($C197,4,15)&gt;=$X$179,$AA$179*(1+($U$179)/100)^MAX(0,$C197-$AD$179),IF(DATE($C197,4,15)&gt;=$W$179,$Z$179*(1+($U$179)/100)^MAX(0,$C197-$AC$179),IF(DATE($C197,4,15)&gt;=$V$179,$Y$179*(1+($U$179)/100)^MAX(0,$C197-$AB$179),0)))))</f>
      </c>
      <c r="I197" s="43">
        <f>IF($S$179=0,0,IF(OR(DATE($C197,5,15)&lt;$S$179,AND($T$179&gt;0,DATE($C197,5,15)&gt;$T$179)),0,IF(DATE($C197,5,15)&gt;=$X$179,$AA$179*(1+($U$179)/100)^MAX(0,$C197-$AD$179),IF(DATE($C197,5,15)&gt;=$W$179,$Z$179*(1+($U$179)/100)^MAX(0,$C197-$AC$179),IF(DATE($C197,5,15)&gt;=$V$179,$Y$179*(1+($U$179)/100)^MAX(0,$C197-$AB$179),0)))))</f>
      </c>
      <c r="J197" s="43">
        <f>IF($S$179=0,0,IF(OR(DATE($C197,6,15)&lt;$S$179,AND($T$179&gt;0,DATE($C197,6,15)&gt;$T$179)),0,IF(DATE($C197,6,15)&gt;=$X$179,$AA$179*(1+($U$179)/100)^MAX(0,$C197-$AD$179),IF(DATE($C197,6,15)&gt;=$W$179,$Z$179*(1+($U$179)/100)^MAX(0,$C197-$AC$179),IF(DATE($C197,6,15)&gt;=$V$179,$Y$179*(1+($U$179)/100)^MAX(0,$C197-$AB$179),0)))))</f>
      </c>
      <c r="K197" s="43">
        <f>IF($S$179=0,0,IF(OR(DATE($C197,7,15)&lt;$S$179,AND($T$179&gt;0,DATE($C197,7,15)&gt;$T$179)),0,IF(DATE($C197,7,15)&gt;=$X$179,$AA$179*(1+($U$179)/100)^MAX(0,$C197-$AD$179),IF(DATE($C197,7,15)&gt;=$W$179,$Z$179*(1+($U$179)/100)^MAX(0,$C197-$AC$179),IF(DATE($C197,7,15)&gt;=$V$179,$Y$179*(1+($U$179)/100)^MAX(0,$C197-$AB$179),0)))))</f>
      </c>
      <c r="L197" s="43">
        <f>IF($S$179=0,0,IF(OR(DATE($C197,8,15)&lt;$S$179,AND($T$179&gt;0,DATE($C197,8,15)&gt;$T$179)),0,IF(DATE($C197,8,15)&gt;=$X$179,$AA$179*(1+($U$179)/100)^MAX(0,$C197-$AD$179),IF(DATE($C197,8,15)&gt;=$W$179,$Z$179*(1+($U$179)/100)^MAX(0,$C197-$AC$179),IF(DATE($C197,8,15)&gt;=$V$179,$Y$179*(1+($U$179)/100)^MAX(0,$C197-$AB$179),0)))))</f>
      </c>
      <c r="M197" s="43">
        <f>IF($S$179=0,0,IF(OR(DATE($C197,9,15)&lt;$S$179,AND($T$179&gt;0,DATE($C197,9,15)&gt;$T$179)),0,IF(DATE($C197,9,15)&gt;=$X$179,$AA$179*(1+($U$179)/100)^MAX(0,$C197-$AD$179),IF(DATE($C197,9,15)&gt;=$W$179,$Z$179*(1+($U$179)/100)^MAX(0,$C197-$AC$179),IF(DATE($C197,9,15)&gt;=$V$179,$Y$179*(1+($U$179)/100)^MAX(0,$C197-$AB$179),0)))))</f>
      </c>
      <c r="N197" s="43">
        <f>IF($S$179=0,0,IF(OR(DATE($C197,10,15)&lt;$S$179,AND($T$179&gt;0,DATE($C197,10,15)&gt;$T$179)),0,IF(DATE($C197,10,15)&gt;=$X$179,$AA$179*(1+($U$179)/100)^MAX(0,$C197-$AD$179),IF(DATE($C197,10,15)&gt;=$W$179,$Z$179*(1+($U$179)/100)^MAX(0,$C197-$AC$179),IF(DATE($C197,10,15)&gt;=$V$179,$Y$179*(1+($U$179)/100)^MAX(0,$C197-$AB$179),0)))))</f>
      </c>
      <c r="O197" s="43">
        <f>IF($S$179=0,0,IF(OR(DATE($C197,11,15)&lt;$S$179,AND($T$179&gt;0,DATE($C197,11,15)&gt;$T$179)),0,IF(DATE($C197,11,15)&gt;=$X$179,$AA$179*(1+($U$179)/100)^MAX(0,$C197-$AD$179),IF(DATE($C197,11,15)&gt;=$W$179,$Z$179*(1+($U$179)/100)^MAX(0,$C197-$AC$179),IF(DATE($C197,11,15)&gt;=$V$179,$Y$179*(1+($U$179)/100)^MAX(0,$C197-$AB$179),0)))))</f>
      </c>
      <c r="P197" s="43">
        <f>IF($S$179=0,0,IF(OR(DATE($C197,12,15)&lt;$S$179,AND($T$179&gt;0,DATE($C197,12,15)&gt;$T$179)),0,IF(DATE($C197,12,15)&gt;=$X$179,$AA$179*(1+($U$179)/100)^MAX(0,$C197-$AD$179),IF(DATE($C197,12,15)&gt;=$W$179,$Z$179*(1+($U$179)/100)^MAX(0,$C197-$AC$179),IF(DATE($C197,12,15)&gt;=$V$179,$Y$179*(1+($U$179)/100)^MAX(0,$C197-$AB$179),0)))))</f>
      </c>
      <c r="Q197" s="43">
        <f>SUM($E197:$P197)</f>
      </c>
    </row>
    <row r="198">
      <c r="A198"/>
      <c r="B198">
        <v>6</v>
      </c>
      <c r="C198" s="43">
        <f>Jahr+19</f>
      </c>
      <c r="D198" s="43">
        <f>INDEX(MvObj,6)</f>
      </c>
      <c r="E198" s="43">
        <f>IF($S$179=0,0,IF(OR(DATE($C198,1,15)&lt;$S$179,AND($T$179&gt;0,DATE($C198,1,15)&gt;$T$179)),0,IF(DATE($C198,1,15)&gt;=$X$179,$AA$179*(1+($U$179)/100)^MAX(0,$C198-$AD$179),IF(DATE($C198,1,15)&gt;=$W$179,$Z$179*(1+($U$179)/100)^MAX(0,$C198-$AC$179),IF(DATE($C198,1,15)&gt;=$V$179,$Y$179*(1+($U$179)/100)^MAX(0,$C198-$AB$179),0)))))</f>
      </c>
      <c r="F198" s="43">
        <f>IF($S$179=0,0,IF(OR(DATE($C198,2,15)&lt;$S$179,AND($T$179&gt;0,DATE($C198,2,15)&gt;$T$179)),0,IF(DATE($C198,2,15)&gt;=$X$179,$AA$179*(1+($U$179)/100)^MAX(0,$C198-$AD$179),IF(DATE($C198,2,15)&gt;=$W$179,$Z$179*(1+($U$179)/100)^MAX(0,$C198-$AC$179),IF(DATE($C198,2,15)&gt;=$V$179,$Y$179*(1+($U$179)/100)^MAX(0,$C198-$AB$179),0)))))</f>
      </c>
      <c r="G198" s="43">
        <f>IF($S$179=0,0,IF(OR(DATE($C198,3,15)&lt;$S$179,AND($T$179&gt;0,DATE($C198,3,15)&gt;$T$179)),0,IF(DATE($C198,3,15)&gt;=$X$179,$AA$179*(1+($U$179)/100)^MAX(0,$C198-$AD$179),IF(DATE($C198,3,15)&gt;=$W$179,$Z$179*(1+($U$179)/100)^MAX(0,$C198-$AC$179),IF(DATE($C198,3,15)&gt;=$V$179,$Y$179*(1+($U$179)/100)^MAX(0,$C198-$AB$179),0)))))</f>
      </c>
      <c r="H198" s="43">
        <f>IF($S$179=0,0,IF(OR(DATE($C198,4,15)&lt;$S$179,AND($T$179&gt;0,DATE($C198,4,15)&gt;$T$179)),0,IF(DATE($C198,4,15)&gt;=$X$179,$AA$179*(1+($U$179)/100)^MAX(0,$C198-$AD$179),IF(DATE($C198,4,15)&gt;=$W$179,$Z$179*(1+($U$179)/100)^MAX(0,$C198-$AC$179),IF(DATE($C198,4,15)&gt;=$V$179,$Y$179*(1+($U$179)/100)^MAX(0,$C198-$AB$179),0)))))</f>
      </c>
      <c r="I198" s="43">
        <f>IF($S$179=0,0,IF(OR(DATE($C198,5,15)&lt;$S$179,AND($T$179&gt;0,DATE($C198,5,15)&gt;$T$179)),0,IF(DATE($C198,5,15)&gt;=$X$179,$AA$179*(1+($U$179)/100)^MAX(0,$C198-$AD$179),IF(DATE($C198,5,15)&gt;=$W$179,$Z$179*(1+($U$179)/100)^MAX(0,$C198-$AC$179),IF(DATE($C198,5,15)&gt;=$V$179,$Y$179*(1+($U$179)/100)^MAX(0,$C198-$AB$179),0)))))</f>
      </c>
      <c r="J198" s="43">
        <f>IF($S$179=0,0,IF(OR(DATE($C198,6,15)&lt;$S$179,AND($T$179&gt;0,DATE($C198,6,15)&gt;$T$179)),0,IF(DATE($C198,6,15)&gt;=$X$179,$AA$179*(1+($U$179)/100)^MAX(0,$C198-$AD$179),IF(DATE($C198,6,15)&gt;=$W$179,$Z$179*(1+($U$179)/100)^MAX(0,$C198-$AC$179),IF(DATE($C198,6,15)&gt;=$V$179,$Y$179*(1+($U$179)/100)^MAX(0,$C198-$AB$179),0)))))</f>
      </c>
      <c r="K198" s="43">
        <f>IF($S$179=0,0,IF(OR(DATE($C198,7,15)&lt;$S$179,AND($T$179&gt;0,DATE($C198,7,15)&gt;$T$179)),0,IF(DATE($C198,7,15)&gt;=$X$179,$AA$179*(1+($U$179)/100)^MAX(0,$C198-$AD$179),IF(DATE($C198,7,15)&gt;=$W$179,$Z$179*(1+($U$179)/100)^MAX(0,$C198-$AC$179),IF(DATE($C198,7,15)&gt;=$V$179,$Y$179*(1+($U$179)/100)^MAX(0,$C198-$AB$179),0)))))</f>
      </c>
      <c r="L198" s="43">
        <f>IF($S$179=0,0,IF(OR(DATE($C198,8,15)&lt;$S$179,AND($T$179&gt;0,DATE($C198,8,15)&gt;$T$179)),0,IF(DATE($C198,8,15)&gt;=$X$179,$AA$179*(1+($U$179)/100)^MAX(0,$C198-$AD$179),IF(DATE($C198,8,15)&gt;=$W$179,$Z$179*(1+($U$179)/100)^MAX(0,$C198-$AC$179),IF(DATE($C198,8,15)&gt;=$V$179,$Y$179*(1+($U$179)/100)^MAX(0,$C198-$AB$179),0)))))</f>
      </c>
      <c r="M198" s="43">
        <f>IF($S$179=0,0,IF(OR(DATE($C198,9,15)&lt;$S$179,AND($T$179&gt;0,DATE($C198,9,15)&gt;$T$179)),0,IF(DATE($C198,9,15)&gt;=$X$179,$AA$179*(1+($U$179)/100)^MAX(0,$C198-$AD$179),IF(DATE($C198,9,15)&gt;=$W$179,$Z$179*(1+($U$179)/100)^MAX(0,$C198-$AC$179),IF(DATE($C198,9,15)&gt;=$V$179,$Y$179*(1+($U$179)/100)^MAX(0,$C198-$AB$179),0)))))</f>
      </c>
      <c r="N198" s="43">
        <f>IF($S$179=0,0,IF(OR(DATE($C198,10,15)&lt;$S$179,AND($T$179&gt;0,DATE($C198,10,15)&gt;$T$179)),0,IF(DATE($C198,10,15)&gt;=$X$179,$AA$179*(1+($U$179)/100)^MAX(0,$C198-$AD$179),IF(DATE($C198,10,15)&gt;=$W$179,$Z$179*(1+($U$179)/100)^MAX(0,$C198-$AC$179),IF(DATE($C198,10,15)&gt;=$V$179,$Y$179*(1+($U$179)/100)^MAX(0,$C198-$AB$179),0)))))</f>
      </c>
      <c r="O198" s="43">
        <f>IF($S$179=0,0,IF(OR(DATE($C198,11,15)&lt;$S$179,AND($T$179&gt;0,DATE($C198,11,15)&gt;$T$179)),0,IF(DATE($C198,11,15)&gt;=$X$179,$AA$179*(1+($U$179)/100)^MAX(0,$C198-$AD$179),IF(DATE($C198,11,15)&gt;=$W$179,$Z$179*(1+($U$179)/100)^MAX(0,$C198-$AC$179),IF(DATE($C198,11,15)&gt;=$V$179,$Y$179*(1+($U$179)/100)^MAX(0,$C198-$AB$179),0)))))</f>
      </c>
      <c r="P198" s="43">
        <f>IF($S$179=0,0,IF(OR(DATE($C198,12,15)&lt;$S$179,AND($T$179&gt;0,DATE($C198,12,15)&gt;$T$179)),0,IF(DATE($C198,12,15)&gt;=$X$179,$AA$179*(1+($U$179)/100)^MAX(0,$C198-$AD$179),IF(DATE($C198,12,15)&gt;=$W$179,$Z$179*(1+($U$179)/100)^MAX(0,$C198-$AC$179),IF(DATE($C198,12,15)&gt;=$V$179,$Y$179*(1+($U$179)/100)^MAX(0,$C198-$AB$179),0)))))</f>
      </c>
      <c r="Q198" s="43">
        <f>SUM($E198:$P198)</f>
      </c>
    </row>
    <row r="199">
      <c r="A199"/>
      <c r="B199">
        <v>6</v>
      </c>
      <c r="C199" s="43">
        <f>Jahr+20</f>
      </c>
      <c r="D199" s="43">
        <f>INDEX(MvObj,6)</f>
      </c>
      <c r="E199" s="43">
        <f>IF($S$179=0,0,IF(OR(DATE($C199,1,15)&lt;$S$179,AND($T$179&gt;0,DATE($C199,1,15)&gt;$T$179)),0,IF(DATE($C199,1,15)&gt;=$X$179,$AA$179*(1+($U$179)/100)^MAX(0,$C199-$AD$179),IF(DATE($C199,1,15)&gt;=$W$179,$Z$179*(1+($U$179)/100)^MAX(0,$C199-$AC$179),IF(DATE($C199,1,15)&gt;=$V$179,$Y$179*(1+($U$179)/100)^MAX(0,$C199-$AB$179),0)))))</f>
      </c>
      <c r="F199" s="43">
        <f>IF($S$179=0,0,IF(OR(DATE($C199,2,15)&lt;$S$179,AND($T$179&gt;0,DATE($C199,2,15)&gt;$T$179)),0,IF(DATE($C199,2,15)&gt;=$X$179,$AA$179*(1+($U$179)/100)^MAX(0,$C199-$AD$179),IF(DATE($C199,2,15)&gt;=$W$179,$Z$179*(1+($U$179)/100)^MAX(0,$C199-$AC$179),IF(DATE($C199,2,15)&gt;=$V$179,$Y$179*(1+($U$179)/100)^MAX(0,$C199-$AB$179),0)))))</f>
      </c>
      <c r="G199" s="43">
        <f>IF($S$179=0,0,IF(OR(DATE($C199,3,15)&lt;$S$179,AND($T$179&gt;0,DATE($C199,3,15)&gt;$T$179)),0,IF(DATE($C199,3,15)&gt;=$X$179,$AA$179*(1+($U$179)/100)^MAX(0,$C199-$AD$179),IF(DATE($C199,3,15)&gt;=$W$179,$Z$179*(1+($U$179)/100)^MAX(0,$C199-$AC$179),IF(DATE($C199,3,15)&gt;=$V$179,$Y$179*(1+($U$179)/100)^MAX(0,$C199-$AB$179),0)))))</f>
      </c>
      <c r="H199" s="43">
        <f>IF($S$179=0,0,IF(OR(DATE($C199,4,15)&lt;$S$179,AND($T$179&gt;0,DATE($C199,4,15)&gt;$T$179)),0,IF(DATE($C199,4,15)&gt;=$X$179,$AA$179*(1+($U$179)/100)^MAX(0,$C199-$AD$179),IF(DATE($C199,4,15)&gt;=$W$179,$Z$179*(1+($U$179)/100)^MAX(0,$C199-$AC$179),IF(DATE($C199,4,15)&gt;=$V$179,$Y$179*(1+($U$179)/100)^MAX(0,$C199-$AB$179),0)))))</f>
      </c>
      <c r="I199" s="43">
        <f>IF($S$179=0,0,IF(OR(DATE($C199,5,15)&lt;$S$179,AND($T$179&gt;0,DATE($C199,5,15)&gt;$T$179)),0,IF(DATE($C199,5,15)&gt;=$X$179,$AA$179*(1+($U$179)/100)^MAX(0,$C199-$AD$179),IF(DATE($C199,5,15)&gt;=$W$179,$Z$179*(1+($U$179)/100)^MAX(0,$C199-$AC$179),IF(DATE($C199,5,15)&gt;=$V$179,$Y$179*(1+($U$179)/100)^MAX(0,$C199-$AB$179),0)))))</f>
      </c>
      <c r="J199" s="43">
        <f>IF($S$179=0,0,IF(OR(DATE($C199,6,15)&lt;$S$179,AND($T$179&gt;0,DATE($C199,6,15)&gt;$T$179)),0,IF(DATE($C199,6,15)&gt;=$X$179,$AA$179*(1+($U$179)/100)^MAX(0,$C199-$AD$179),IF(DATE($C199,6,15)&gt;=$W$179,$Z$179*(1+($U$179)/100)^MAX(0,$C199-$AC$179),IF(DATE($C199,6,15)&gt;=$V$179,$Y$179*(1+($U$179)/100)^MAX(0,$C199-$AB$179),0)))))</f>
      </c>
      <c r="K199" s="43">
        <f>IF($S$179=0,0,IF(OR(DATE($C199,7,15)&lt;$S$179,AND($T$179&gt;0,DATE($C199,7,15)&gt;$T$179)),0,IF(DATE($C199,7,15)&gt;=$X$179,$AA$179*(1+($U$179)/100)^MAX(0,$C199-$AD$179),IF(DATE($C199,7,15)&gt;=$W$179,$Z$179*(1+($U$179)/100)^MAX(0,$C199-$AC$179),IF(DATE($C199,7,15)&gt;=$V$179,$Y$179*(1+($U$179)/100)^MAX(0,$C199-$AB$179),0)))))</f>
      </c>
      <c r="L199" s="43">
        <f>IF($S$179=0,0,IF(OR(DATE($C199,8,15)&lt;$S$179,AND($T$179&gt;0,DATE($C199,8,15)&gt;$T$179)),0,IF(DATE($C199,8,15)&gt;=$X$179,$AA$179*(1+($U$179)/100)^MAX(0,$C199-$AD$179),IF(DATE($C199,8,15)&gt;=$W$179,$Z$179*(1+($U$179)/100)^MAX(0,$C199-$AC$179),IF(DATE($C199,8,15)&gt;=$V$179,$Y$179*(1+($U$179)/100)^MAX(0,$C199-$AB$179),0)))))</f>
      </c>
      <c r="M199" s="43">
        <f>IF($S$179=0,0,IF(OR(DATE($C199,9,15)&lt;$S$179,AND($T$179&gt;0,DATE($C199,9,15)&gt;$T$179)),0,IF(DATE($C199,9,15)&gt;=$X$179,$AA$179*(1+($U$179)/100)^MAX(0,$C199-$AD$179),IF(DATE($C199,9,15)&gt;=$W$179,$Z$179*(1+($U$179)/100)^MAX(0,$C199-$AC$179),IF(DATE($C199,9,15)&gt;=$V$179,$Y$179*(1+($U$179)/100)^MAX(0,$C199-$AB$179),0)))))</f>
      </c>
      <c r="N199" s="43">
        <f>IF($S$179=0,0,IF(OR(DATE($C199,10,15)&lt;$S$179,AND($T$179&gt;0,DATE($C199,10,15)&gt;$T$179)),0,IF(DATE($C199,10,15)&gt;=$X$179,$AA$179*(1+($U$179)/100)^MAX(0,$C199-$AD$179),IF(DATE($C199,10,15)&gt;=$W$179,$Z$179*(1+($U$179)/100)^MAX(0,$C199-$AC$179),IF(DATE($C199,10,15)&gt;=$V$179,$Y$179*(1+($U$179)/100)^MAX(0,$C199-$AB$179),0)))))</f>
      </c>
      <c r="O199" s="43">
        <f>IF($S$179=0,0,IF(OR(DATE($C199,11,15)&lt;$S$179,AND($T$179&gt;0,DATE($C199,11,15)&gt;$T$179)),0,IF(DATE($C199,11,15)&gt;=$X$179,$AA$179*(1+($U$179)/100)^MAX(0,$C199-$AD$179),IF(DATE($C199,11,15)&gt;=$W$179,$Z$179*(1+($U$179)/100)^MAX(0,$C199-$AC$179),IF(DATE($C199,11,15)&gt;=$V$179,$Y$179*(1+($U$179)/100)^MAX(0,$C199-$AB$179),0)))))</f>
      </c>
      <c r="P199" s="43">
        <f>IF($S$179=0,0,IF(OR(DATE($C199,12,15)&lt;$S$179,AND($T$179&gt;0,DATE($C199,12,15)&gt;$T$179)),0,IF(DATE($C199,12,15)&gt;=$X$179,$AA$179*(1+($U$179)/100)^MAX(0,$C199-$AD$179),IF(DATE($C199,12,15)&gt;=$W$179,$Z$179*(1+($U$179)/100)^MAX(0,$C199-$AC$179),IF(DATE($C199,12,15)&gt;=$V$179,$Y$179*(1+($U$179)/100)^MAX(0,$C199-$AB$179),0)))))</f>
      </c>
      <c r="Q199" s="43">
        <f>SUM($E199:$P199)</f>
      </c>
    </row>
    <row r="200">
      <c r="A200"/>
      <c r="B200">
        <v>6</v>
      </c>
      <c r="C200" s="43">
        <f>Jahr+21</f>
      </c>
      <c r="D200" s="43">
        <f>INDEX(MvObj,6)</f>
      </c>
      <c r="E200" s="43">
        <f>IF($S$179=0,0,IF(OR(DATE($C200,1,15)&lt;$S$179,AND($T$179&gt;0,DATE($C200,1,15)&gt;$T$179)),0,IF(DATE($C200,1,15)&gt;=$X$179,$AA$179*(1+($U$179)/100)^MAX(0,$C200-$AD$179),IF(DATE($C200,1,15)&gt;=$W$179,$Z$179*(1+($U$179)/100)^MAX(0,$C200-$AC$179),IF(DATE($C200,1,15)&gt;=$V$179,$Y$179*(1+($U$179)/100)^MAX(0,$C200-$AB$179),0)))))</f>
      </c>
      <c r="F200" s="43">
        <f>IF($S$179=0,0,IF(OR(DATE($C200,2,15)&lt;$S$179,AND($T$179&gt;0,DATE($C200,2,15)&gt;$T$179)),0,IF(DATE($C200,2,15)&gt;=$X$179,$AA$179*(1+($U$179)/100)^MAX(0,$C200-$AD$179),IF(DATE($C200,2,15)&gt;=$W$179,$Z$179*(1+($U$179)/100)^MAX(0,$C200-$AC$179),IF(DATE($C200,2,15)&gt;=$V$179,$Y$179*(1+($U$179)/100)^MAX(0,$C200-$AB$179),0)))))</f>
      </c>
      <c r="G200" s="43">
        <f>IF($S$179=0,0,IF(OR(DATE($C200,3,15)&lt;$S$179,AND($T$179&gt;0,DATE($C200,3,15)&gt;$T$179)),0,IF(DATE($C200,3,15)&gt;=$X$179,$AA$179*(1+($U$179)/100)^MAX(0,$C200-$AD$179),IF(DATE($C200,3,15)&gt;=$W$179,$Z$179*(1+($U$179)/100)^MAX(0,$C200-$AC$179),IF(DATE($C200,3,15)&gt;=$V$179,$Y$179*(1+($U$179)/100)^MAX(0,$C200-$AB$179),0)))))</f>
      </c>
      <c r="H200" s="43">
        <f>IF($S$179=0,0,IF(OR(DATE($C200,4,15)&lt;$S$179,AND($T$179&gt;0,DATE($C200,4,15)&gt;$T$179)),0,IF(DATE($C200,4,15)&gt;=$X$179,$AA$179*(1+($U$179)/100)^MAX(0,$C200-$AD$179),IF(DATE($C200,4,15)&gt;=$W$179,$Z$179*(1+($U$179)/100)^MAX(0,$C200-$AC$179),IF(DATE($C200,4,15)&gt;=$V$179,$Y$179*(1+($U$179)/100)^MAX(0,$C200-$AB$179),0)))))</f>
      </c>
      <c r="I200" s="43">
        <f>IF($S$179=0,0,IF(OR(DATE($C200,5,15)&lt;$S$179,AND($T$179&gt;0,DATE($C200,5,15)&gt;$T$179)),0,IF(DATE($C200,5,15)&gt;=$X$179,$AA$179*(1+($U$179)/100)^MAX(0,$C200-$AD$179),IF(DATE($C200,5,15)&gt;=$W$179,$Z$179*(1+($U$179)/100)^MAX(0,$C200-$AC$179),IF(DATE($C200,5,15)&gt;=$V$179,$Y$179*(1+($U$179)/100)^MAX(0,$C200-$AB$179),0)))))</f>
      </c>
      <c r="J200" s="43">
        <f>IF($S$179=0,0,IF(OR(DATE($C200,6,15)&lt;$S$179,AND($T$179&gt;0,DATE($C200,6,15)&gt;$T$179)),0,IF(DATE($C200,6,15)&gt;=$X$179,$AA$179*(1+($U$179)/100)^MAX(0,$C200-$AD$179),IF(DATE($C200,6,15)&gt;=$W$179,$Z$179*(1+($U$179)/100)^MAX(0,$C200-$AC$179),IF(DATE($C200,6,15)&gt;=$V$179,$Y$179*(1+($U$179)/100)^MAX(0,$C200-$AB$179),0)))))</f>
      </c>
      <c r="K200" s="43">
        <f>IF($S$179=0,0,IF(OR(DATE($C200,7,15)&lt;$S$179,AND($T$179&gt;0,DATE($C200,7,15)&gt;$T$179)),0,IF(DATE($C200,7,15)&gt;=$X$179,$AA$179*(1+($U$179)/100)^MAX(0,$C200-$AD$179),IF(DATE($C200,7,15)&gt;=$W$179,$Z$179*(1+($U$179)/100)^MAX(0,$C200-$AC$179),IF(DATE($C200,7,15)&gt;=$V$179,$Y$179*(1+($U$179)/100)^MAX(0,$C200-$AB$179),0)))))</f>
      </c>
      <c r="L200" s="43">
        <f>IF($S$179=0,0,IF(OR(DATE($C200,8,15)&lt;$S$179,AND($T$179&gt;0,DATE($C200,8,15)&gt;$T$179)),0,IF(DATE($C200,8,15)&gt;=$X$179,$AA$179*(1+($U$179)/100)^MAX(0,$C200-$AD$179),IF(DATE($C200,8,15)&gt;=$W$179,$Z$179*(1+($U$179)/100)^MAX(0,$C200-$AC$179),IF(DATE($C200,8,15)&gt;=$V$179,$Y$179*(1+($U$179)/100)^MAX(0,$C200-$AB$179),0)))))</f>
      </c>
      <c r="M200" s="43">
        <f>IF($S$179=0,0,IF(OR(DATE($C200,9,15)&lt;$S$179,AND($T$179&gt;0,DATE($C200,9,15)&gt;$T$179)),0,IF(DATE($C200,9,15)&gt;=$X$179,$AA$179*(1+($U$179)/100)^MAX(0,$C200-$AD$179),IF(DATE($C200,9,15)&gt;=$W$179,$Z$179*(1+($U$179)/100)^MAX(0,$C200-$AC$179),IF(DATE($C200,9,15)&gt;=$V$179,$Y$179*(1+($U$179)/100)^MAX(0,$C200-$AB$179),0)))))</f>
      </c>
      <c r="N200" s="43">
        <f>IF($S$179=0,0,IF(OR(DATE($C200,10,15)&lt;$S$179,AND($T$179&gt;0,DATE($C200,10,15)&gt;$T$179)),0,IF(DATE($C200,10,15)&gt;=$X$179,$AA$179*(1+($U$179)/100)^MAX(0,$C200-$AD$179),IF(DATE($C200,10,15)&gt;=$W$179,$Z$179*(1+($U$179)/100)^MAX(0,$C200-$AC$179),IF(DATE($C200,10,15)&gt;=$V$179,$Y$179*(1+($U$179)/100)^MAX(0,$C200-$AB$179),0)))))</f>
      </c>
      <c r="O200" s="43">
        <f>IF($S$179=0,0,IF(OR(DATE($C200,11,15)&lt;$S$179,AND($T$179&gt;0,DATE($C200,11,15)&gt;$T$179)),0,IF(DATE($C200,11,15)&gt;=$X$179,$AA$179*(1+($U$179)/100)^MAX(0,$C200-$AD$179),IF(DATE($C200,11,15)&gt;=$W$179,$Z$179*(1+($U$179)/100)^MAX(0,$C200-$AC$179),IF(DATE($C200,11,15)&gt;=$V$179,$Y$179*(1+($U$179)/100)^MAX(0,$C200-$AB$179),0)))))</f>
      </c>
      <c r="P200" s="43">
        <f>IF($S$179=0,0,IF(OR(DATE($C200,12,15)&lt;$S$179,AND($T$179&gt;0,DATE($C200,12,15)&gt;$T$179)),0,IF(DATE($C200,12,15)&gt;=$X$179,$AA$179*(1+($U$179)/100)^MAX(0,$C200-$AD$179),IF(DATE($C200,12,15)&gt;=$W$179,$Z$179*(1+($U$179)/100)^MAX(0,$C200-$AC$179),IF(DATE($C200,12,15)&gt;=$V$179,$Y$179*(1+($U$179)/100)^MAX(0,$C200-$AB$179),0)))))</f>
      </c>
      <c r="Q200" s="43">
        <f>SUM($E200:$P200)</f>
      </c>
    </row>
    <row r="201">
      <c r="A201"/>
      <c r="B201">
        <v>6</v>
      </c>
      <c r="C201" s="43">
        <f>Jahr+22</f>
      </c>
      <c r="D201" s="43">
        <f>INDEX(MvObj,6)</f>
      </c>
      <c r="E201" s="43">
        <f>IF($S$179=0,0,IF(OR(DATE($C201,1,15)&lt;$S$179,AND($T$179&gt;0,DATE($C201,1,15)&gt;$T$179)),0,IF(DATE($C201,1,15)&gt;=$X$179,$AA$179*(1+($U$179)/100)^MAX(0,$C201-$AD$179),IF(DATE($C201,1,15)&gt;=$W$179,$Z$179*(1+($U$179)/100)^MAX(0,$C201-$AC$179),IF(DATE($C201,1,15)&gt;=$V$179,$Y$179*(1+($U$179)/100)^MAX(0,$C201-$AB$179),0)))))</f>
      </c>
      <c r="F201" s="43">
        <f>IF($S$179=0,0,IF(OR(DATE($C201,2,15)&lt;$S$179,AND($T$179&gt;0,DATE($C201,2,15)&gt;$T$179)),0,IF(DATE($C201,2,15)&gt;=$X$179,$AA$179*(1+($U$179)/100)^MAX(0,$C201-$AD$179),IF(DATE($C201,2,15)&gt;=$W$179,$Z$179*(1+($U$179)/100)^MAX(0,$C201-$AC$179),IF(DATE($C201,2,15)&gt;=$V$179,$Y$179*(1+($U$179)/100)^MAX(0,$C201-$AB$179),0)))))</f>
      </c>
      <c r="G201" s="43">
        <f>IF($S$179=0,0,IF(OR(DATE($C201,3,15)&lt;$S$179,AND($T$179&gt;0,DATE($C201,3,15)&gt;$T$179)),0,IF(DATE($C201,3,15)&gt;=$X$179,$AA$179*(1+($U$179)/100)^MAX(0,$C201-$AD$179),IF(DATE($C201,3,15)&gt;=$W$179,$Z$179*(1+($U$179)/100)^MAX(0,$C201-$AC$179),IF(DATE($C201,3,15)&gt;=$V$179,$Y$179*(1+($U$179)/100)^MAX(0,$C201-$AB$179),0)))))</f>
      </c>
      <c r="H201" s="43">
        <f>IF($S$179=0,0,IF(OR(DATE($C201,4,15)&lt;$S$179,AND($T$179&gt;0,DATE($C201,4,15)&gt;$T$179)),0,IF(DATE($C201,4,15)&gt;=$X$179,$AA$179*(1+($U$179)/100)^MAX(0,$C201-$AD$179),IF(DATE($C201,4,15)&gt;=$W$179,$Z$179*(1+($U$179)/100)^MAX(0,$C201-$AC$179),IF(DATE($C201,4,15)&gt;=$V$179,$Y$179*(1+($U$179)/100)^MAX(0,$C201-$AB$179),0)))))</f>
      </c>
      <c r="I201" s="43">
        <f>IF($S$179=0,0,IF(OR(DATE($C201,5,15)&lt;$S$179,AND($T$179&gt;0,DATE($C201,5,15)&gt;$T$179)),0,IF(DATE($C201,5,15)&gt;=$X$179,$AA$179*(1+($U$179)/100)^MAX(0,$C201-$AD$179),IF(DATE($C201,5,15)&gt;=$W$179,$Z$179*(1+($U$179)/100)^MAX(0,$C201-$AC$179),IF(DATE($C201,5,15)&gt;=$V$179,$Y$179*(1+($U$179)/100)^MAX(0,$C201-$AB$179),0)))))</f>
      </c>
      <c r="J201" s="43">
        <f>IF($S$179=0,0,IF(OR(DATE($C201,6,15)&lt;$S$179,AND($T$179&gt;0,DATE($C201,6,15)&gt;$T$179)),0,IF(DATE($C201,6,15)&gt;=$X$179,$AA$179*(1+($U$179)/100)^MAX(0,$C201-$AD$179),IF(DATE($C201,6,15)&gt;=$W$179,$Z$179*(1+($U$179)/100)^MAX(0,$C201-$AC$179),IF(DATE($C201,6,15)&gt;=$V$179,$Y$179*(1+($U$179)/100)^MAX(0,$C201-$AB$179),0)))))</f>
      </c>
      <c r="K201" s="43">
        <f>IF($S$179=0,0,IF(OR(DATE($C201,7,15)&lt;$S$179,AND($T$179&gt;0,DATE($C201,7,15)&gt;$T$179)),0,IF(DATE($C201,7,15)&gt;=$X$179,$AA$179*(1+($U$179)/100)^MAX(0,$C201-$AD$179),IF(DATE($C201,7,15)&gt;=$W$179,$Z$179*(1+($U$179)/100)^MAX(0,$C201-$AC$179),IF(DATE($C201,7,15)&gt;=$V$179,$Y$179*(1+($U$179)/100)^MAX(0,$C201-$AB$179),0)))))</f>
      </c>
      <c r="L201" s="43">
        <f>IF($S$179=0,0,IF(OR(DATE($C201,8,15)&lt;$S$179,AND($T$179&gt;0,DATE($C201,8,15)&gt;$T$179)),0,IF(DATE($C201,8,15)&gt;=$X$179,$AA$179*(1+($U$179)/100)^MAX(0,$C201-$AD$179),IF(DATE($C201,8,15)&gt;=$W$179,$Z$179*(1+($U$179)/100)^MAX(0,$C201-$AC$179),IF(DATE($C201,8,15)&gt;=$V$179,$Y$179*(1+($U$179)/100)^MAX(0,$C201-$AB$179),0)))))</f>
      </c>
      <c r="M201" s="43">
        <f>IF($S$179=0,0,IF(OR(DATE($C201,9,15)&lt;$S$179,AND($T$179&gt;0,DATE($C201,9,15)&gt;$T$179)),0,IF(DATE($C201,9,15)&gt;=$X$179,$AA$179*(1+($U$179)/100)^MAX(0,$C201-$AD$179),IF(DATE($C201,9,15)&gt;=$W$179,$Z$179*(1+($U$179)/100)^MAX(0,$C201-$AC$179),IF(DATE($C201,9,15)&gt;=$V$179,$Y$179*(1+($U$179)/100)^MAX(0,$C201-$AB$179),0)))))</f>
      </c>
      <c r="N201" s="43">
        <f>IF($S$179=0,0,IF(OR(DATE($C201,10,15)&lt;$S$179,AND($T$179&gt;0,DATE($C201,10,15)&gt;$T$179)),0,IF(DATE($C201,10,15)&gt;=$X$179,$AA$179*(1+($U$179)/100)^MAX(0,$C201-$AD$179),IF(DATE($C201,10,15)&gt;=$W$179,$Z$179*(1+($U$179)/100)^MAX(0,$C201-$AC$179),IF(DATE($C201,10,15)&gt;=$V$179,$Y$179*(1+($U$179)/100)^MAX(0,$C201-$AB$179),0)))))</f>
      </c>
      <c r="O201" s="43">
        <f>IF($S$179=0,0,IF(OR(DATE($C201,11,15)&lt;$S$179,AND($T$179&gt;0,DATE($C201,11,15)&gt;$T$179)),0,IF(DATE($C201,11,15)&gt;=$X$179,$AA$179*(1+($U$179)/100)^MAX(0,$C201-$AD$179),IF(DATE($C201,11,15)&gt;=$W$179,$Z$179*(1+($U$179)/100)^MAX(0,$C201-$AC$179),IF(DATE($C201,11,15)&gt;=$V$179,$Y$179*(1+($U$179)/100)^MAX(0,$C201-$AB$179),0)))))</f>
      </c>
      <c r="P201" s="43">
        <f>IF($S$179=0,0,IF(OR(DATE($C201,12,15)&lt;$S$179,AND($T$179&gt;0,DATE($C201,12,15)&gt;$T$179)),0,IF(DATE($C201,12,15)&gt;=$X$179,$AA$179*(1+($U$179)/100)^MAX(0,$C201-$AD$179),IF(DATE($C201,12,15)&gt;=$W$179,$Z$179*(1+($U$179)/100)^MAX(0,$C201-$AC$179),IF(DATE($C201,12,15)&gt;=$V$179,$Y$179*(1+($U$179)/100)^MAX(0,$C201-$AB$179),0)))))</f>
      </c>
      <c r="Q201" s="43">
        <f>SUM($E201:$P201)</f>
      </c>
    </row>
    <row r="202">
      <c r="A202"/>
      <c r="B202">
        <v>6</v>
      </c>
      <c r="C202" s="43">
        <f>Jahr+23</f>
      </c>
      <c r="D202" s="43">
        <f>INDEX(MvObj,6)</f>
      </c>
      <c r="E202" s="43">
        <f>IF($S$179=0,0,IF(OR(DATE($C202,1,15)&lt;$S$179,AND($T$179&gt;0,DATE($C202,1,15)&gt;$T$179)),0,IF(DATE($C202,1,15)&gt;=$X$179,$AA$179*(1+($U$179)/100)^MAX(0,$C202-$AD$179),IF(DATE($C202,1,15)&gt;=$W$179,$Z$179*(1+($U$179)/100)^MAX(0,$C202-$AC$179),IF(DATE($C202,1,15)&gt;=$V$179,$Y$179*(1+($U$179)/100)^MAX(0,$C202-$AB$179),0)))))</f>
      </c>
      <c r="F202" s="43">
        <f>IF($S$179=0,0,IF(OR(DATE($C202,2,15)&lt;$S$179,AND($T$179&gt;0,DATE($C202,2,15)&gt;$T$179)),0,IF(DATE($C202,2,15)&gt;=$X$179,$AA$179*(1+($U$179)/100)^MAX(0,$C202-$AD$179),IF(DATE($C202,2,15)&gt;=$W$179,$Z$179*(1+($U$179)/100)^MAX(0,$C202-$AC$179),IF(DATE($C202,2,15)&gt;=$V$179,$Y$179*(1+($U$179)/100)^MAX(0,$C202-$AB$179),0)))))</f>
      </c>
      <c r="G202" s="43">
        <f>IF($S$179=0,0,IF(OR(DATE($C202,3,15)&lt;$S$179,AND($T$179&gt;0,DATE($C202,3,15)&gt;$T$179)),0,IF(DATE($C202,3,15)&gt;=$X$179,$AA$179*(1+($U$179)/100)^MAX(0,$C202-$AD$179),IF(DATE($C202,3,15)&gt;=$W$179,$Z$179*(1+($U$179)/100)^MAX(0,$C202-$AC$179),IF(DATE($C202,3,15)&gt;=$V$179,$Y$179*(1+($U$179)/100)^MAX(0,$C202-$AB$179),0)))))</f>
      </c>
      <c r="H202" s="43">
        <f>IF($S$179=0,0,IF(OR(DATE($C202,4,15)&lt;$S$179,AND($T$179&gt;0,DATE($C202,4,15)&gt;$T$179)),0,IF(DATE($C202,4,15)&gt;=$X$179,$AA$179*(1+($U$179)/100)^MAX(0,$C202-$AD$179),IF(DATE($C202,4,15)&gt;=$W$179,$Z$179*(1+($U$179)/100)^MAX(0,$C202-$AC$179),IF(DATE($C202,4,15)&gt;=$V$179,$Y$179*(1+($U$179)/100)^MAX(0,$C202-$AB$179),0)))))</f>
      </c>
      <c r="I202" s="43">
        <f>IF($S$179=0,0,IF(OR(DATE($C202,5,15)&lt;$S$179,AND($T$179&gt;0,DATE($C202,5,15)&gt;$T$179)),0,IF(DATE($C202,5,15)&gt;=$X$179,$AA$179*(1+($U$179)/100)^MAX(0,$C202-$AD$179),IF(DATE($C202,5,15)&gt;=$W$179,$Z$179*(1+($U$179)/100)^MAX(0,$C202-$AC$179),IF(DATE($C202,5,15)&gt;=$V$179,$Y$179*(1+($U$179)/100)^MAX(0,$C202-$AB$179),0)))))</f>
      </c>
      <c r="J202" s="43">
        <f>IF($S$179=0,0,IF(OR(DATE($C202,6,15)&lt;$S$179,AND($T$179&gt;0,DATE($C202,6,15)&gt;$T$179)),0,IF(DATE($C202,6,15)&gt;=$X$179,$AA$179*(1+($U$179)/100)^MAX(0,$C202-$AD$179),IF(DATE($C202,6,15)&gt;=$W$179,$Z$179*(1+($U$179)/100)^MAX(0,$C202-$AC$179),IF(DATE($C202,6,15)&gt;=$V$179,$Y$179*(1+($U$179)/100)^MAX(0,$C202-$AB$179),0)))))</f>
      </c>
      <c r="K202" s="43">
        <f>IF($S$179=0,0,IF(OR(DATE($C202,7,15)&lt;$S$179,AND($T$179&gt;0,DATE($C202,7,15)&gt;$T$179)),0,IF(DATE($C202,7,15)&gt;=$X$179,$AA$179*(1+($U$179)/100)^MAX(0,$C202-$AD$179),IF(DATE($C202,7,15)&gt;=$W$179,$Z$179*(1+($U$179)/100)^MAX(0,$C202-$AC$179),IF(DATE($C202,7,15)&gt;=$V$179,$Y$179*(1+($U$179)/100)^MAX(0,$C202-$AB$179),0)))))</f>
      </c>
      <c r="L202" s="43">
        <f>IF($S$179=0,0,IF(OR(DATE($C202,8,15)&lt;$S$179,AND($T$179&gt;0,DATE($C202,8,15)&gt;$T$179)),0,IF(DATE($C202,8,15)&gt;=$X$179,$AA$179*(1+($U$179)/100)^MAX(0,$C202-$AD$179),IF(DATE($C202,8,15)&gt;=$W$179,$Z$179*(1+($U$179)/100)^MAX(0,$C202-$AC$179),IF(DATE($C202,8,15)&gt;=$V$179,$Y$179*(1+($U$179)/100)^MAX(0,$C202-$AB$179),0)))))</f>
      </c>
      <c r="M202" s="43">
        <f>IF($S$179=0,0,IF(OR(DATE($C202,9,15)&lt;$S$179,AND($T$179&gt;0,DATE($C202,9,15)&gt;$T$179)),0,IF(DATE($C202,9,15)&gt;=$X$179,$AA$179*(1+($U$179)/100)^MAX(0,$C202-$AD$179),IF(DATE($C202,9,15)&gt;=$W$179,$Z$179*(1+($U$179)/100)^MAX(0,$C202-$AC$179),IF(DATE($C202,9,15)&gt;=$V$179,$Y$179*(1+($U$179)/100)^MAX(0,$C202-$AB$179),0)))))</f>
      </c>
      <c r="N202" s="43">
        <f>IF($S$179=0,0,IF(OR(DATE($C202,10,15)&lt;$S$179,AND($T$179&gt;0,DATE($C202,10,15)&gt;$T$179)),0,IF(DATE($C202,10,15)&gt;=$X$179,$AA$179*(1+($U$179)/100)^MAX(0,$C202-$AD$179),IF(DATE($C202,10,15)&gt;=$W$179,$Z$179*(1+($U$179)/100)^MAX(0,$C202-$AC$179),IF(DATE($C202,10,15)&gt;=$V$179,$Y$179*(1+($U$179)/100)^MAX(0,$C202-$AB$179),0)))))</f>
      </c>
      <c r="O202" s="43">
        <f>IF($S$179=0,0,IF(OR(DATE($C202,11,15)&lt;$S$179,AND($T$179&gt;0,DATE($C202,11,15)&gt;$T$179)),0,IF(DATE($C202,11,15)&gt;=$X$179,$AA$179*(1+($U$179)/100)^MAX(0,$C202-$AD$179),IF(DATE($C202,11,15)&gt;=$W$179,$Z$179*(1+($U$179)/100)^MAX(0,$C202-$AC$179),IF(DATE($C202,11,15)&gt;=$V$179,$Y$179*(1+($U$179)/100)^MAX(0,$C202-$AB$179),0)))))</f>
      </c>
      <c r="P202" s="43">
        <f>IF($S$179=0,0,IF(OR(DATE($C202,12,15)&lt;$S$179,AND($T$179&gt;0,DATE($C202,12,15)&gt;$T$179)),0,IF(DATE($C202,12,15)&gt;=$X$179,$AA$179*(1+($U$179)/100)^MAX(0,$C202-$AD$179),IF(DATE($C202,12,15)&gt;=$W$179,$Z$179*(1+($U$179)/100)^MAX(0,$C202-$AC$179),IF(DATE($C202,12,15)&gt;=$V$179,$Y$179*(1+($U$179)/100)^MAX(0,$C202-$AB$179),0)))))</f>
      </c>
      <c r="Q202" s="43">
        <f>SUM($E202:$P202)</f>
      </c>
    </row>
    <row r="203">
      <c r="A203"/>
      <c r="B203">
        <v>6</v>
      </c>
      <c r="C203" s="43">
        <f>Jahr+24</f>
      </c>
      <c r="D203" s="43">
        <f>INDEX(MvObj,6)</f>
      </c>
      <c r="E203" s="43">
        <f>IF($S$179=0,0,IF(OR(DATE($C203,1,15)&lt;$S$179,AND($T$179&gt;0,DATE($C203,1,15)&gt;$T$179)),0,IF(DATE($C203,1,15)&gt;=$X$179,$AA$179*(1+($U$179)/100)^MAX(0,$C203-$AD$179),IF(DATE($C203,1,15)&gt;=$W$179,$Z$179*(1+($U$179)/100)^MAX(0,$C203-$AC$179),IF(DATE($C203,1,15)&gt;=$V$179,$Y$179*(1+($U$179)/100)^MAX(0,$C203-$AB$179),0)))))</f>
      </c>
      <c r="F203" s="43">
        <f>IF($S$179=0,0,IF(OR(DATE($C203,2,15)&lt;$S$179,AND($T$179&gt;0,DATE($C203,2,15)&gt;$T$179)),0,IF(DATE($C203,2,15)&gt;=$X$179,$AA$179*(1+($U$179)/100)^MAX(0,$C203-$AD$179),IF(DATE($C203,2,15)&gt;=$W$179,$Z$179*(1+($U$179)/100)^MAX(0,$C203-$AC$179),IF(DATE($C203,2,15)&gt;=$V$179,$Y$179*(1+($U$179)/100)^MAX(0,$C203-$AB$179),0)))))</f>
      </c>
      <c r="G203" s="43">
        <f>IF($S$179=0,0,IF(OR(DATE($C203,3,15)&lt;$S$179,AND($T$179&gt;0,DATE($C203,3,15)&gt;$T$179)),0,IF(DATE($C203,3,15)&gt;=$X$179,$AA$179*(1+($U$179)/100)^MAX(0,$C203-$AD$179),IF(DATE($C203,3,15)&gt;=$W$179,$Z$179*(1+($U$179)/100)^MAX(0,$C203-$AC$179),IF(DATE($C203,3,15)&gt;=$V$179,$Y$179*(1+($U$179)/100)^MAX(0,$C203-$AB$179),0)))))</f>
      </c>
      <c r="H203" s="43">
        <f>IF($S$179=0,0,IF(OR(DATE($C203,4,15)&lt;$S$179,AND($T$179&gt;0,DATE($C203,4,15)&gt;$T$179)),0,IF(DATE($C203,4,15)&gt;=$X$179,$AA$179*(1+($U$179)/100)^MAX(0,$C203-$AD$179),IF(DATE($C203,4,15)&gt;=$W$179,$Z$179*(1+($U$179)/100)^MAX(0,$C203-$AC$179),IF(DATE($C203,4,15)&gt;=$V$179,$Y$179*(1+($U$179)/100)^MAX(0,$C203-$AB$179),0)))))</f>
      </c>
      <c r="I203" s="43">
        <f>IF($S$179=0,0,IF(OR(DATE($C203,5,15)&lt;$S$179,AND($T$179&gt;0,DATE($C203,5,15)&gt;$T$179)),0,IF(DATE($C203,5,15)&gt;=$X$179,$AA$179*(1+($U$179)/100)^MAX(0,$C203-$AD$179),IF(DATE($C203,5,15)&gt;=$W$179,$Z$179*(1+($U$179)/100)^MAX(0,$C203-$AC$179),IF(DATE($C203,5,15)&gt;=$V$179,$Y$179*(1+($U$179)/100)^MAX(0,$C203-$AB$179),0)))))</f>
      </c>
      <c r="J203" s="43">
        <f>IF($S$179=0,0,IF(OR(DATE($C203,6,15)&lt;$S$179,AND($T$179&gt;0,DATE($C203,6,15)&gt;$T$179)),0,IF(DATE($C203,6,15)&gt;=$X$179,$AA$179*(1+($U$179)/100)^MAX(0,$C203-$AD$179),IF(DATE($C203,6,15)&gt;=$W$179,$Z$179*(1+($U$179)/100)^MAX(0,$C203-$AC$179),IF(DATE($C203,6,15)&gt;=$V$179,$Y$179*(1+($U$179)/100)^MAX(0,$C203-$AB$179),0)))))</f>
      </c>
      <c r="K203" s="43">
        <f>IF($S$179=0,0,IF(OR(DATE($C203,7,15)&lt;$S$179,AND($T$179&gt;0,DATE($C203,7,15)&gt;$T$179)),0,IF(DATE($C203,7,15)&gt;=$X$179,$AA$179*(1+($U$179)/100)^MAX(0,$C203-$AD$179),IF(DATE($C203,7,15)&gt;=$W$179,$Z$179*(1+($U$179)/100)^MAX(0,$C203-$AC$179),IF(DATE($C203,7,15)&gt;=$V$179,$Y$179*(1+($U$179)/100)^MAX(0,$C203-$AB$179),0)))))</f>
      </c>
      <c r="L203" s="43">
        <f>IF($S$179=0,0,IF(OR(DATE($C203,8,15)&lt;$S$179,AND($T$179&gt;0,DATE($C203,8,15)&gt;$T$179)),0,IF(DATE($C203,8,15)&gt;=$X$179,$AA$179*(1+($U$179)/100)^MAX(0,$C203-$AD$179),IF(DATE($C203,8,15)&gt;=$W$179,$Z$179*(1+($U$179)/100)^MAX(0,$C203-$AC$179),IF(DATE($C203,8,15)&gt;=$V$179,$Y$179*(1+($U$179)/100)^MAX(0,$C203-$AB$179),0)))))</f>
      </c>
      <c r="M203" s="43">
        <f>IF($S$179=0,0,IF(OR(DATE($C203,9,15)&lt;$S$179,AND($T$179&gt;0,DATE($C203,9,15)&gt;$T$179)),0,IF(DATE($C203,9,15)&gt;=$X$179,$AA$179*(1+($U$179)/100)^MAX(0,$C203-$AD$179),IF(DATE($C203,9,15)&gt;=$W$179,$Z$179*(1+($U$179)/100)^MAX(0,$C203-$AC$179),IF(DATE($C203,9,15)&gt;=$V$179,$Y$179*(1+($U$179)/100)^MAX(0,$C203-$AB$179),0)))))</f>
      </c>
      <c r="N203" s="43">
        <f>IF($S$179=0,0,IF(OR(DATE($C203,10,15)&lt;$S$179,AND($T$179&gt;0,DATE($C203,10,15)&gt;$T$179)),0,IF(DATE($C203,10,15)&gt;=$X$179,$AA$179*(1+($U$179)/100)^MAX(0,$C203-$AD$179),IF(DATE($C203,10,15)&gt;=$W$179,$Z$179*(1+($U$179)/100)^MAX(0,$C203-$AC$179),IF(DATE($C203,10,15)&gt;=$V$179,$Y$179*(1+($U$179)/100)^MAX(0,$C203-$AB$179),0)))))</f>
      </c>
      <c r="O203" s="43">
        <f>IF($S$179=0,0,IF(OR(DATE($C203,11,15)&lt;$S$179,AND($T$179&gt;0,DATE($C203,11,15)&gt;$T$179)),0,IF(DATE($C203,11,15)&gt;=$X$179,$AA$179*(1+($U$179)/100)^MAX(0,$C203-$AD$179),IF(DATE($C203,11,15)&gt;=$W$179,$Z$179*(1+($U$179)/100)^MAX(0,$C203-$AC$179),IF(DATE($C203,11,15)&gt;=$V$179,$Y$179*(1+($U$179)/100)^MAX(0,$C203-$AB$179),0)))))</f>
      </c>
      <c r="P203" s="43">
        <f>IF($S$179=0,0,IF(OR(DATE($C203,12,15)&lt;$S$179,AND($T$179&gt;0,DATE($C203,12,15)&gt;$T$179)),0,IF(DATE($C203,12,15)&gt;=$X$179,$AA$179*(1+($U$179)/100)^MAX(0,$C203-$AD$179),IF(DATE($C203,12,15)&gt;=$W$179,$Z$179*(1+($U$179)/100)^MAX(0,$C203-$AC$179),IF(DATE($C203,12,15)&gt;=$V$179,$Y$179*(1+($U$179)/100)^MAX(0,$C203-$AB$179),0)))))</f>
      </c>
      <c r="Q203" s="43">
        <f>SUM($E203:$P203)</f>
      </c>
    </row>
    <row r="204">
      <c r="A204"/>
      <c r="B204">
        <v>6</v>
      </c>
      <c r="C204" s="43">
        <f>Jahr+25</f>
      </c>
      <c r="D204" s="43">
        <f>INDEX(MvObj,6)</f>
      </c>
      <c r="E204" s="43">
        <f>IF($S$179=0,0,IF(OR(DATE($C204,1,15)&lt;$S$179,AND($T$179&gt;0,DATE($C204,1,15)&gt;$T$179)),0,IF(DATE($C204,1,15)&gt;=$X$179,$AA$179*(1+($U$179)/100)^MAX(0,$C204-$AD$179),IF(DATE($C204,1,15)&gt;=$W$179,$Z$179*(1+($U$179)/100)^MAX(0,$C204-$AC$179),IF(DATE($C204,1,15)&gt;=$V$179,$Y$179*(1+($U$179)/100)^MAX(0,$C204-$AB$179),0)))))</f>
      </c>
      <c r="F204" s="43">
        <f>IF($S$179=0,0,IF(OR(DATE($C204,2,15)&lt;$S$179,AND($T$179&gt;0,DATE($C204,2,15)&gt;$T$179)),0,IF(DATE($C204,2,15)&gt;=$X$179,$AA$179*(1+($U$179)/100)^MAX(0,$C204-$AD$179),IF(DATE($C204,2,15)&gt;=$W$179,$Z$179*(1+($U$179)/100)^MAX(0,$C204-$AC$179),IF(DATE($C204,2,15)&gt;=$V$179,$Y$179*(1+($U$179)/100)^MAX(0,$C204-$AB$179),0)))))</f>
      </c>
      <c r="G204" s="43">
        <f>IF($S$179=0,0,IF(OR(DATE($C204,3,15)&lt;$S$179,AND($T$179&gt;0,DATE($C204,3,15)&gt;$T$179)),0,IF(DATE($C204,3,15)&gt;=$X$179,$AA$179*(1+($U$179)/100)^MAX(0,$C204-$AD$179),IF(DATE($C204,3,15)&gt;=$W$179,$Z$179*(1+($U$179)/100)^MAX(0,$C204-$AC$179),IF(DATE($C204,3,15)&gt;=$V$179,$Y$179*(1+($U$179)/100)^MAX(0,$C204-$AB$179),0)))))</f>
      </c>
      <c r="H204" s="43">
        <f>IF($S$179=0,0,IF(OR(DATE($C204,4,15)&lt;$S$179,AND($T$179&gt;0,DATE($C204,4,15)&gt;$T$179)),0,IF(DATE($C204,4,15)&gt;=$X$179,$AA$179*(1+($U$179)/100)^MAX(0,$C204-$AD$179),IF(DATE($C204,4,15)&gt;=$W$179,$Z$179*(1+($U$179)/100)^MAX(0,$C204-$AC$179),IF(DATE($C204,4,15)&gt;=$V$179,$Y$179*(1+($U$179)/100)^MAX(0,$C204-$AB$179),0)))))</f>
      </c>
      <c r="I204" s="43">
        <f>IF($S$179=0,0,IF(OR(DATE($C204,5,15)&lt;$S$179,AND($T$179&gt;0,DATE($C204,5,15)&gt;$T$179)),0,IF(DATE($C204,5,15)&gt;=$X$179,$AA$179*(1+($U$179)/100)^MAX(0,$C204-$AD$179),IF(DATE($C204,5,15)&gt;=$W$179,$Z$179*(1+($U$179)/100)^MAX(0,$C204-$AC$179),IF(DATE($C204,5,15)&gt;=$V$179,$Y$179*(1+($U$179)/100)^MAX(0,$C204-$AB$179),0)))))</f>
      </c>
      <c r="J204" s="43">
        <f>IF($S$179=0,0,IF(OR(DATE($C204,6,15)&lt;$S$179,AND($T$179&gt;0,DATE($C204,6,15)&gt;$T$179)),0,IF(DATE($C204,6,15)&gt;=$X$179,$AA$179*(1+($U$179)/100)^MAX(0,$C204-$AD$179),IF(DATE($C204,6,15)&gt;=$W$179,$Z$179*(1+($U$179)/100)^MAX(0,$C204-$AC$179),IF(DATE($C204,6,15)&gt;=$V$179,$Y$179*(1+($U$179)/100)^MAX(0,$C204-$AB$179),0)))))</f>
      </c>
      <c r="K204" s="43">
        <f>IF($S$179=0,0,IF(OR(DATE($C204,7,15)&lt;$S$179,AND($T$179&gt;0,DATE($C204,7,15)&gt;$T$179)),0,IF(DATE($C204,7,15)&gt;=$X$179,$AA$179*(1+($U$179)/100)^MAX(0,$C204-$AD$179),IF(DATE($C204,7,15)&gt;=$W$179,$Z$179*(1+($U$179)/100)^MAX(0,$C204-$AC$179),IF(DATE($C204,7,15)&gt;=$V$179,$Y$179*(1+($U$179)/100)^MAX(0,$C204-$AB$179),0)))))</f>
      </c>
      <c r="L204" s="43">
        <f>IF($S$179=0,0,IF(OR(DATE($C204,8,15)&lt;$S$179,AND($T$179&gt;0,DATE($C204,8,15)&gt;$T$179)),0,IF(DATE($C204,8,15)&gt;=$X$179,$AA$179*(1+($U$179)/100)^MAX(0,$C204-$AD$179),IF(DATE($C204,8,15)&gt;=$W$179,$Z$179*(1+($U$179)/100)^MAX(0,$C204-$AC$179),IF(DATE($C204,8,15)&gt;=$V$179,$Y$179*(1+($U$179)/100)^MAX(0,$C204-$AB$179),0)))))</f>
      </c>
      <c r="M204" s="43">
        <f>IF($S$179=0,0,IF(OR(DATE($C204,9,15)&lt;$S$179,AND($T$179&gt;0,DATE($C204,9,15)&gt;$T$179)),0,IF(DATE($C204,9,15)&gt;=$X$179,$AA$179*(1+($U$179)/100)^MAX(0,$C204-$AD$179),IF(DATE($C204,9,15)&gt;=$W$179,$Z$179*(1+($U$179)/100)^MAX(0,$C204-$AC$179),IF(DATE($C204,9,15)&gt;=$V$179,$Y$179*(1+($U$179)/100)^MAX(0,$C204-$AB$179),0)))))</f>
      </c>
      <c r="N204" s="43">
        <f>IF($S$179=0,0,IF(OR(DATE($C204,10,15)&lt;$S$179,AND($T$179&gt;0,DATE($C204,10,15)&gt;$T$179)),0,IF(DATE($C204,10,15)&gt;=$X$179,$AA$179*(1+($U$179)/100)^MAX(0,$C204-$AD$179),IF(DATE($C204,10,15)&gt;=$W$179,$Z$179*(1+($U$179)/100)^MAX(0,$C204-$AC$179),IF(DATE($C204,10,15)&gt;=$V$179,$Y$179*(1+($U$179)/100)^MAX(0,$C204-$AB$179),0)))))</f>
      </c>
      <c r="O204" s="43">
        <f>IF($S$179=0,0,IF(OR(DATE($C204,11,15)&lt;$S$179,AND($T$179&gt;0,DATE($C204,11,15)&gt;$T$179)),0,IF(DATE($C204,11,15)&gt;=$X$179,$AA$179*(1+($U$179)/100)^MAX(0,$C204-$AD$179),IF(DATE($C204,11,15)&gt;=$W$179,$Z$179*(1+($U$179)/100)^MAX(0,$C204-$AC$179),IF(DATE($C204,11,15)&gt;=$V$179,$Y$179*(1+($U$179)/100)^MAX(0,$C204-$AB$179),0)))))</f>
      </c>
      <c r="P204" s="43">
        <f>IF($S$179=0,0,IF(OR(DATE($C204,12,15)&lt;$S$179,AND($T$179&gt;0,DATE($C204,12,15)&gt;$T$179)),0,IF(DATE($C204,12,15)&gt;=$X$179,$AA$179*(1+($U$179)/100)^MAX(0,$C204-$AD$179),IF(DATE($C204,12,15)&gt;=$W$179,$Z$179*(1+($U$179)/100)^MAX(0,$C204-$AC$179),IF(DATE($C204,12,15)&gt;=$V$179,$Y$179*(1+($U$179)/100)^MAX(0,$C204-$AB$179),0)))))</f>
      </c>
      <c r="Q204" s="43">
        <f>SUM($E204:$P204)</f>
      </c>
    </row>
    <row r="205">
      <c r="A205"/>
      <c r="B205">
        <v>6</v>
      </c>
      <c r="C205" s="43">
        <f>Jahr+26</f>
      </c>
      <c r="D205" s="43">
        <f>INDEX(MvObj,6)</f>
      </c>
      <c r="E205" s="43">
        <f>IF($S$179=0,0,IF(OR(DATE($C205,1,15)&lt;$S$179,AND($T$179&gt;0,DATE($C205,1,15)&gt;$T$179)),0,IF(DATE($C205,1,15)&gt;=$X$179,$AA$179*(1+($U$179)/100)^MAX(0,$C205-$AD$179),IF(DATE($C205,1,15)&gt;=$W$179,$Z$179*(1+($U$179)/100)^MAX(0,$C205-$AC$179),IF(DATE($C205,1,15)&gt;=$V$179,$Y$179*(1+($U$179)/100)^MAX(0,$C205-$AB$179),0)))))</f>
      </c>
      <c r="F205" s="43">
        <f>IF($S$179=0,0,IF(OR(DATE($C205,2,15)&lt;$S$179,AND($T$179&gt;0,DATE($C205,2,15)&gt;$T$179)),0,IF(DATE($C205,2,15)&gt;=$X$179,$AA$179*(1+($U$179)/100)^MAX(0,$C205-$AD$179),IF(DATE($C205,2,15)&gt;=$W$179,$Z$179*(1+($U$179)/100)^MAX(0,$C205-$AC$179),IF(DATE($C205,2,15)&gt;=$V$179,$Y$179*(1+($U$179)/100)^MAX(0,$C205-$AB$179),0)))))</f>
      </c>
      <c r="G205" s="43">
        <f>IF($S$179=0,0,IF(OR(DATE($C205,3,15)&lt;$S$179,AND($T$179&gt;0,DATE($C205,3,15)&gt;$T$179)),0,IF(DATE($C205,3,15)&gt;=$X$179,$AA$179*(1+($U$179)/100)^MAX(0,$C205-$AD$179),IF(DATE($C205,3,15)&gt;=$W$179,$Z$179*(1+($U$179)/100)^MAX(0,$C205-$AC$179),IF(DATE($C205,3,15)&gt;=$V$179,$Y$179*(1+($U$179)/100)^MAX(0,$C205-$AB$179),0)))))</f>
      </c>
      <c r="H205" s="43">
        <f>IF($S$179=0,0,IF(OR(DATE($C205,4,15)&lt;$S$179,AND($T$179&gt;0,DATE($C205,4,15)&gt;$T$179)),0,IF(DATE($C205,4,15)&gt;=$X$179,$AA$179*(1+($U$179)/100)^MAX(0,$C205-$AD$179),IF(DATE($C205,4,15)&gt;=$W$179,$Z$179*(1+($U$179)/100)^MAX(0,$C205-$AC$179),IF(DATE($C205,4,15)&gt;=$V$179,$Y$179*(1+($U$179)/100)^MAX(0,$C205-$AB$179),0)))))</f>
      </c>
      <c r="I205" s="43">
        <f>IF($S$179=0,0,IF(OR(DATE($C205,5,15)&lt;$S$179,AND($T$179&gt;0,DATE($C205,5,15)&gt;$T$179)),0,IF(DATE($C205,5,15)&gt;=$X$179,$AA$179*(1+($U$179)/100)^MAX(0,$C205-$AD$179),IF(DATE($C205,5,15)&gt;=$W$179,$Z$179*(1+($U$179)/100)^MAX(0,$C205-$AC$179),IF(DATE($C205,5,15)&gt;=$V$179,$Y$179*(1+($U$179)/100)^MAX(0,$C205-$AB$179),0)))))</f>
      </c>
      <c r="J205" s="43">
        <f>IF($S$179=0,0,IF(OR(DATE($C205,6,15)&lt;$S$179,AND($T$179&gt;0,DATE($C205,6,15)&gt;$T$179)),0,IF(DATE($C205,6,15)&gt;=$X$179,$AA$179*(1+($U$179)/100)^MAX(0,$C205-$AD$179),IF(DATE($C205,6,15)&gt;=$W$179,$Z$179*(1+($U$179)/100)^MAX(0,$C205-$AC$179),IF(DATE($C205,6,15)&gt;=$V$179,$Y$179*(1+($U$179)/100)^MAX(0,$C205-$AB$179),0)))))</f>
      </c>
      <c r="K205" s="43">
        <f>IF($S$179=0,0,IF(OR(DATE($C205,7,15)&lt;$S$179,AND($T$179&gt;0,DATE($C205,7,15)&gt;$T$179)),0,IF(DATE($C205,7,15)&gt;=$X$179,$AA$179*(1+($U$179)/100)^MAX(0,$C205-$AD$179),IF(DATE($C205,7,15)&gt;=$W$179,$Z$179*(1+($U$179)/100)^MAX(0,$C205-$AC$179),IF(DATE($C205,7,15)&gt;=$V$179,$Y$179*(1+($U$179)/100)^MAX(0,$C205-$AB$179),0)))))</f>
      </c>
      <c r="L205" s="43">
        <f>IF($S$179=0,0,IF(OR(DATE($C205,8,15)&lt;$S$179,AND($T$179&gt;0,DATE($C205,8,15)&gt;$T$179)),0,IF(DATE($C205,8,15)&gt;=$X$179,$AA$179*(1+($U$179)/100)^MAX(0,$C205-$AD$179),IF(DATE($C205,8,15)&gt;=$W$179,$Z$179*(1+($U$179)/100)^MAX(0,$C205-$AC$179),IF(DATE($C205,8,15)&gt;=$V$179,$Y$179*(1+($U$179)/100)^MAX(0,$C205-$AB$179),0)))))</f>
      </c>
      <c r="M205" s="43">
        <f>IF($S$179=0,0,IF(OR(DATE($C205,9,15)&lt;$S$179,AND($T$179&gt;0,DATE($C205,9,15)&gt;$T$179)),0,IF(DATE($C205,9,15)&gt;=$X$179,$AA$179*(1+($U$179)/100)^MAX(0,$C205-$AD$179),IF(DATE($C205,9,15)&gt;=$W$179,$Z$179*(1+($U$179)/100)^MAX(0,$C205-$AC$179),IF(DATE($C205,9,15)&gt;=$V$179,$Y$179*(1+($U$179)/100)^MAX(0,$C205-$AB$179),0)))))</f>
      </c>
      <c r="N205" s="43">
        <f>IF($S$179=0,0,IF(OR(DATE($C205,10,15)&lt;$S$179,AND($T$179&gt;0,DATE($C205,10,15)&gt;$T$179)),0,IF(DATE($C205,10,15)&gt;=$X$179,$AA$179*(1+($U$179)/100)^MAX(0,$C205-$AD$179),IF(DATE($C205,10,15)&gt;=$W$179,$Z$179*(1+($U$179)/100)^MAX(0,$C205-$AC$179),IF(DATE($C205,10,15)&gt;=$V$179,$Y$179*(1+($U$179)/100)^MAX(0,$C205-$AB$179),0)))))</f>
      </c>
      <c r="O205" s="43">
        <f>IF($S$179=0,0,IF(OR(DATE($C205,11,15)&lt;$S$179,AND($T$179&gt;0,DATE($C205,11,15)&gt;$T$179)),0,IF(DATE($C205,11,15)&gt;=$X$179,$AA$179*(1+($U$179)/100)^MAX(0,$C205-$AD$179),IF(DATE($C205,11,15)&gt;=$W$179,$Z$179*(1+($U$179)/100)^MAX(0,$C205-$AC$179),IF(DATE($C205,11,15)&gt;=$V$179,$Y$179*(1+($U$179)/100)^MAX(0,$C205-$AB$179),0)))))</f>
      </c>
      <c r="P205" s="43">
        <f>IF($S$179=0,0,IF(OR(DATE($C205,12,15)&lt;$S$179,AND($T$179&gt;0,DATE($C205,12,15)&gt;$T$179)),0,IF(DATE($C205,12,15)&gt;=$X$179,$AA$179*(1+($U$179)/100)^MAX(0,$C205-$AD$179),IF(DATE($C205,12,15)&gt;=$W$179,$Z$179*(1+($U$179)/100)^MAX(0,$C205-$AC$179),IF(DATE($C205,12,15)&gt;=$V$179,$Y$179*(1+($U$179)/100)^MAX(0,$C205-$AB$179),0)))))</f>
      </c>
      <c r="Q205" s="43">
        <f>SUM($E205:$P205)</f>
      </c>
    </row>
    <row r="206">
      <c r="A206"/>
      <c r="B206">
        <v>6</v>
      </c>
      <c r="C206" s="43">
        <f>Jahr+27</f>
      </c>
      <c r="D206" s="43">
        <f>INDEX(MvObj,6)</f>
      </c>
      <c r="E206" s="43">
        <f>IF($S$179=0,0,IF(OR(DATE($C206,1,15)&lt;$S$179,AND($T$179&gt;0,DATE($C206,1,15)&gt;$T$179)),0,IF(DATE($C206,1,15)&gt;=$X$179,$AA$179*(1+($U$179)/100)^MAX(0,$C206-$AD$179),IF(DATE($C206,1,15)&gt;=$W$179,$Z$179*(1+($U$179)/100)^MAX(0,$C206-$AC$179),IF(DATE($C206,1,15)&gt;=$V$179,$Y$179*(1+($U$179)/100)^MAX(0,$C206-$AB$179),0)))))</f>
      </c>
      <c r="F206" s="43">
        <f>IF($S$179=0,0,IF(OR(DATE($C206,2,15)&lt;$S$179,AND($T$179&gt;0,DATE($C206,2,15)&gt;$T$179)),0,IF(DATE($C206,2,15)&gt;=$X$179,$AA$179*(1+($U$179)/100)^MAX(0,$C206-$AD$179),IF(DATE($C206,2,15)&gt;=$W$179,$Z$179*(1+($U$179)/100)^MAX(0,$C206-$AC$179),IF(DATE($C206,2,15)&gt;=$V$179,$Y$179*(1+($U$179)/100)^MAX(0,$C206-$AB$179),0)))))</f>
      </c>
      <c r="G206" s="43">
        <f>IF($S$179=0,0,IF(OR(DATE($C206,3,15)&lt;$S$179,AND($T$179&gt;0,DATE($C206,3,15)&gt;$T$179)),0,IF(DATE($C206,3,15)&gt;=$X$179,$AA$179*(1+($U$179)/100)^MAX(0,$C206-$AD$179),IF(DATE($C206,3,15)&gt;=$W$179,$Z$179*(1+($U$179)/100)^MAX(0,$C206-$AC$179),IF(DATE($C206,3,15)&gt;=$V$179,$Y$179*(1+($U$179)/100)^MAX(0,$C206-$AB$179),0)))))</f>
      </c>
      <c r="H206" s="43">
        <f>IF($S$179=0,0,IF(OR(DATE($C206,4,15)&lt;$S$179,AND($T$179&gt;0,DATE($C206,4,15)&gt;$T$179)),0,IF(DATE($C206,4,15)&gt;=$X$179,$AA$179*(1+($U$179)/100)^MAX(0,$C206-$AD$179),IF(DATE($C206,4,15)&gt;=$W$179,$Z$179*(1+($U$179)/100)^MAX(0,$C206-$AC$179),IF(DATE($C206,4,15)&gt;=$V$179,$Y$179*(1+($U$179)/100)^MAX(0,$C206-$AB$179),0)))))</f>
      </c>
      <c r="I206" s="43">
        <f>IF($S$179=0,0,IF(OR(DATE($C206,5,15)&lt;$S$179,AND($T$179&gt;0,DATE($C206,5,15)&gt;$T$179)),0,IF(DATE($C206,5,15)&gt;=$X$179,$AA$179*(1+($U$179)/100)^MAX(0,$C206-$AD$179),IF(DATE($C206,5,15)&gt;=$W$179,$Z$179*(1+($U$179)/100)^MAX(0,$C206-$AC$179),IF(DATE($C206,5,15)&gt;=$V$179,$Y$179*(1+($U$179)/100)^MAX(0,$C206-$AB$179),0)))))</f>
      </c>
      <c r="J206" s="43">
        <f>IF($S$179=0,0,IF(OR(DATE($C206,6,15)&lt;$S$179,AND($T$179&gt;0,DATE($C206,6,15)&gt;$T$179)),0,IF(DATE($C206,6,15)&gt;=$X$179,$AA$179*(1+($U$179)/100)^MAX(0,$C206-$AD$179),IF(DATE($C206,6,15)&gt;=$W$179,$Z$179*(1+($U$179)/100)^MAX(0,$C206-$AC$179),IF(DATE($C206,6,15)&gt;=$V$179,$Y$179*(1+($U$179)/100)^MAX(0,$C206-$AB$179),0)))))</f>
      </c>
      <c r="K206" s="43">
        <f>IF($S$179=0,0,IF(OR(DATE($C206,7,15)&lt;$S$179,AND($T$179&gt;0,DATE($C206,7,15)&gt;$T$179)),0,IF(DATE($C206,7,15)&gt;=$X$179,$AA$179*(1+($U$179)/100)^MAX(0,$C206-$AD$179),IF(DATE($C206,7,15)&gt;=$W$179,$Z$179*(1+($U$179)/100)^MAX(0,$C206-$AC$179),IF(DATE($C206,7,15)&gt;=$V$179,$Y$179*(1+($U$179)/100)^MAX(0,$C206-$AB$179),0)))))</f>
      </c>
      <c r="L206" s="43">
        <f>IF($S$179=0,0,IF(OR(DATE($C206,8,15)&lt;$S$179,AND($T$179&gt;0,DATE($C206,8,15)&gt;$T$179)),0,IF(DATE($C206,8,15)&gt;=$X$179,$AA$179*(1+($U$179)/100)^MAX(0,$C206-$AD$179),IF(DATE($C206,8,15)&gt;=$W$179,$Z$179*(1+($U$179)/100)^MAX(0,$C206-$AC$179),IF(DATE($C206,8,15)&gt;=$V$179,$Y$179*(1+($U$179)/100)^MAX(0,$C206-$AB$179),0)))))</f>
      </c>
      <c r="M206" s="43">
        <f>IF($S$179=0,0,IF(OR(DATE($C206,9,15)&lt;$S$179,AND($T$179&gt;0,DATE($C206,9,15)&gt;$T$179)),0,IF(DATE($C206,9,15)&gt;=$X$179,$AA$179*(1+($U$179)/100)^MAX(0,$C206-$AD$179),IF(DATE($C206,9,15)&gt;=$W$179,$Z$179*(1+($U$179)/100)^MAX(0,$C206-$AC$179),IF(DATE($C206,9,15)&gt;=$V$179,$Y$179*(1+($U$179)/100)^MAX(0,$C206-$AB$179),0)))))</f>
      </c>
      <c r="N206" s="43">
        <f>IF($S$179=0,0,IF(OR(DATE($C206,10,15)&lt;$S$179,AND($T$179&gt;0,DATE($C206,10,15)&gt;$T$179)),0,IF(DATE($C206,10,15)&gt;=$X$179,$AA$179*(1+($U$179)/100)^MAX(0,$C206-$AD$179),IF(DATE($C206,10,15)&gt;=$W$179,$Z$179*(1+($U$179)/100)^MAX(0,$C206-$AC$179),IF(DATE($C206,10,15)&gt;=$V$179,$Y$179*(1+($U$179)/100)^MAX(0,$C206-$AB$179),0)))))</f>
      </c>
      <c r="O206" s="43">
        <f>IF($S$179=0,0,IF(OR(DATE($C206,11,15)&lt;$S$179,AND($T$179&gt;0,DATE($C206,11,15)&gt;$T$179)),0,IF(DATE($C206,11,15)&gt;=$X$179,$AA$179*(1+($U$179)/100)^MAX(0,$C206-$AD$179),IF(DATE($C206,11,15)&gt;=$W$179,$Z$179*(1+($U$179)/100)^MAX(0,$C206-$AC$179),IF(DATE($C206,11,15)&gt;=$V$179,$Y$179*(1+($U$179)/100)^MAX(0,$C206-$AB$179),0)))))</f>
      </c>
      <c r="P206" s="43">
        <f>IF($S$179=0,0,IF(OR(DATE($C206,12,15)&lt;$S$179,AND($T$179&gt;0,DATE($C206,12,15)&gt;$T$179)),0,IF(DATE($C206,12,15)&gt;=$X$179,$AA$179*(1+($U$179)/100)^MAX(0,$C206-$AD$179),IF(DATE($C206,12,15)&gt;=$W$179,$Z$179*(1+($U$179)/100)^MAX(0,$C206-$AC$179),IF(DATE($C206,12,15)&gt;=$V$179,$Y$179*(1+($U$179)/100)^MAX(0,$C206-$AB$179),0)))))</f>
      </c>
      <c r="Q206" s="43">
        <f>SUM($E206:$P206)</f>
      </c>
    </row>
    <row r="207">
      <c r="A207"/>
      <c r="B207">
        <v>6</v>
      </c>
      <c r="C207" s="43">
        <f>Jahr+28</f>
      </c>
      <c r="D207" s="43">
        <f>INDEX(MvObj,6)</f>
      </c>
      <c r="E207" s="43">
        <f>IF($S$179=0,0,IF(OR(DATE($C207,1,15)&lt;$S$179,AND($T$179&gt;0,DATE($C207,1,15)&gt;$T$179)),0,IF(DATE($C207,1,15)&gt;=$X$179,$AA$179*(1+($U$179)/100)^MAX(0,$C207-$AD$179),IF(DATE($C207,1,15)&gt;=$W$179,$Z$179*(1+($U$179)/100)^MAX(0,$C207-$AC$179),IF(DATE($C207,1,15)&gt;=$V$179,$Y$179*(1+($U$179)/100)^MAX(0,$C207-$AB$179),0)))))</f>
      </c>
      <c r="F207" s="43">
        <f>IF($S$179=0,0,IF(OR(DATE($C207,2,15)&lt;$S$179,AND($T$179&gt;0,DATE($C207,2,15)&gt;$T$179)),0,IF(DATE($C207,2,15)&gt;=$X$179,$AA$179*(1+($U$179)/100)^MAX(0,$C207-$AD$179),IF(DATE($C207,2,15)&gt;=$W$179,$Z$179*(1+($U$179)/100)^MAX(0,$C207-$AC$179),IF(DATE($C207,2,15)&gt;=$V$179,$Y$179*(1+($U$179)/100)^MAX(0,$C207-$AB$179),0)))))</f>
      </c>
      <c r="G207" s="43">
        <f>IF($S$179=0,0,IF(OR(DATE($C207,3,15)&lt;$S$179,AND($T$179&gt;0,DATE($C207,3,15)&gt;$T$179)),0,IF(DATE($C207,3,15)&gt;=$X$179,$AA$179*(1+($U$179)/100)^MAX(0,$C207-$AD$179),IF(DATE($C207,3,15)&gt;=$W$179,$Z$179*(1+($U$179)/100)^MAX(0,$C207-$AC$179),IF(DATE($C207,3,15)&gt;=$V$179,$Y$179*(1+($U$179)/100)^MAX(0,$C207-$AB$179),0)))))</f>
      </c>
      <c r="H207" s="43">
        <f>IF($S$179=0,0,IF(OR(DATE($C207,4,15)&lt;$S$179,AND($T$179&gt;0,DATE($C207,4,15)&gt;$T$179)),0,IF(DATE($C207,4,15)&gt;=$X$179,$AA$179*(1+($U$179)/100)^MAX(0,$C207-$AD$179),IF(DATE($C207,4,15)&gt;=$W$179,$Z$179*(1+($U$179)/100)^MAX(0,$C207-$AC$179),IF(DATE($C207,4,15)&gt;=$V$179,$Y$179*(1+($U$179)/100)^MAX(0,$C207-$AB$179),0)))))</f>
      </c>
      <c r="I207" s="43">
        <f>IF($S$179=0,0,IF(OR(DATE($C207,5,15)&lt;$S$179,AND($T$179&gt;0,DATE($C207,5,15)&gt;$T$179)),0,IF(DATE($C207,5,15)&gt;=$X$179,$AA$179*(1+($U$179)/100)^MAX(0,$C207-$AD$179),IF(DATE($C207,5,15)&gt;=$W$179,$Z$179*(1+($U$179)/100)^MAX(0,$C207-$AC$179),IF(DATE($C207,5,15)&gt;=$V$179,$Y$179*(1+($U$179)/100)^MAX(0,$C207-$AB$179),0)))))</f>
      </c>
      <c r="J207" s="43">
        <f>IF($S$179=0,0,IF(OR(DATE($C207,6,15)&lt;$S$179,AND($T$179&gt;0,DATE($C207,6,15)&gt;$T$179)),0,IF(DATE($C207,6,15)&gt;=$X$179,$AA$179*(1+($U$179)/100)^MAX(0,$C207-$AD$179),IF(DATE($C207,6,15)&gt;=$W$179,$Z$179*(1+($U$179)/100)^MAX(0,$C207-$AC$179),IF(DATE($C207,6,15)&gt;=$V$179,$Y$179*(1+($U$179)/100)^MAX(0,$C207-$AB$179),0)))))</f>
      </c>
      <c r="K207" s="43">
        <f>IF($S$179=0,0,IF(OR(DATE($C207,7,15)&lt;$S$179,AND($T$179&gt;0,DATE($C207,7,15)&gt;$T$179)),0,IF(DATE($C207,7,15)&gt;=$X$179,$AA$179*(1+($U$179)/100)^MAX(0,$C207-$AD$179),IF(DATE($C207,7,15)&gt;=$W$179,$Z$179*(1+($U$179)/100)^MAX(0,$C207-$AC$179),IF(DATE($C207,7,15)&gt;=$V$179,$Y$179*(1+($U$179)/100)^MAX(0,$C207-$AB$179),0)))))</f>
      </c>
      <c r="L207" s="43">
        <f>IF($S$179=0,0,IF(OR(DATE($C207,8,15)&lt;$S$179,AND($T$179&gt;0,DATE($C207,8,15)&gt;$T$179)),0,IF(DATE($C207,8,15)&gt;=$X$179,$AA$179*(1+($U$179)/100)^MAX(0,$C207-$AD$179),IF(DATE($C207,8,15)&gt;=$W$179,$Z$179*(1+($U$179)/100)^MAX(0,$C207-$AC$179),IF(DATE($C207,8,15)&gt;=$V$179,$Y$179*(1+($U$179)/100)^MAX(0,$C207-$AB$179),0)))))</f>
      </c>
      <c r="M207" s="43">
        <f>IF($S$179=0,0,IF(OR(DATE($C207,9,15)&lt;$S$179,AND($T$179&gt;0,DATE($C207,9,15)&gt;$T$179)),0,IF(DATE($C207,9,15)&gt;=$X$179,$AA$179*(1+($U$179)/100)^MAX(0,$C207-$AD$179),IF(DATE($C207,9,15)&gt;=$W$179,$Z$179*(1+($U$179)/100)^MAX(0,$C207-$AC$179),IF(DATE($C207,9,15)&gt;=$V$179,$Y$179*(1+($U$179)/100)^MAX(0,$C207-$AB$179),0)))))</f>
      </c>
      <c r="N207" s="43">
        <f>IF($S$179=0,0,IF(OR(DATE($C207,10,15)&lt;$S$179,AND($T$179&gt;0,DATE($C207,10,15)&gt;$T$179)),0,IF(DATE($C207,10,15)&gt;=$X$179,$AA$179*(1+($U$179)/100)^MAX(0,$C207-$AD$179),IF(DATE($C207,10,15)&gt;=$W$179,$Z$179*(1+($U$179)/100)^MAX(0,$C207-$AC$179),IF(DATE($C207,10,15)&gt;=$V$179,$Y$179*(1+($U$179)/100)^MAX(0,$C207-$AB$179),0)))))</f>
      </c>
      <c r="O207" s="43">
        <f>IF($S$179=0,0,IF(OR(DATE($C207,11,15)&lt;$S$179,AND($T$179&gt;0,DATE($C207,11,15)&gt;$T$179)),0,IF(DATE($C207,11,15)&gt;=$X$179,$AA$179*(1+($U$179)/100)^MAX(0,$C207-$AD$179),IF(DATE($C207,11,15)&gt;=$W$179,$Z$179*(1+($U$179)/100)^MAX(0,$C207-$AC$179),IF(DATE($C207,11,15)&gt;=$V$179,$Y$179*(1+($U$179)/100)^MAX(0,$C207-$AB$179),0)))))</f>
      </c>
      <c r="P207" s="43">
        <f>IF($S$179=0,0,IF(OR(DATE($C207,12,15)&lt;$S$179,AND($T$179&gt;0,DATE($C207,12,15)&gt;$T$179)),0,IF(DATE($C207,12,15)&gt;=$X$179,$AA$179*(1+($U$179)/100)^MAX(0,$C207-$AD$179),IF(DATE($C207,12,15)&gt;=$W$179,$Z$179*(1+($U$179)/100)^MAX(0,$C207-$AC$179),IF(DATE($C207,12,15)&gt;=$V$179,$Y$179*(1+($U$179)/100)^MAX(0,$C207-$AB$179),0)))))</f>
      </c>
      <c r="Q207" s="43">
        <f>SUM($E207:$P207)</f>
      </c>
    </row>
    <row r="208">
      <c r="A208"/>
      <c r="B208">
        <v>6</v>
      </c>
      <c r="C208" s="43">
        <f>Jahr+29</f>
      </c>
      <c r="D208" s="43">
        <f>INDEX(MvObj,6)</f>
      </c>
      <c r="E208" s="43">
        <f>IF($S$179=0,0,IF(OR(DATE($C208,1,15)&lt;$S$179,AND($T$179&gt;0,DATE($C208,1,15)&gt;$T$179)),0,IF(DATE($C208,1,15)&gt;=$X$179,$AA$179*(1+($U$179)/100)^MAX(0,$C208-$AD$179),IF(DATE($C208,1,15)&gt;=$W$179,$Z$179*(1+($U$179)/100)^MAX(0,$C208-$AC$179),IF(DATE($C208,1,15)&gt;=$V$179,$Y$179*(1+($U$179)/100)^MAX(0,$C208-$AB$179),0)))))</f>
      </c>
      <c r="F208" s="43">
        <f>IF($S$179=0,0,IF(OR(DATE($C208,2,15)&lt;$S$179,AND($T$179&gt;0,DATE($C208,2,15)&gt;$T$179)),0,IF(DATE($C208,2,15)&gt;=$X$179,$AA$179*(1+($U$179)/100)^MAX(0,$C208-$AD$179),IF(DATE($C208,2,15)&gt;=$W$179,$Z$179*(1+($U$179)/100)^MAX(0,$C208-$AC$179),IF(DATE($C208,2,15)&gt;=$V$179,$Y$179*(1+($U$179)/100)^MAX(0,$C208-$AB$179),0)))))</f>
      </c>
      <c r="G208" s="43">
        <f>IF($S$179=0,0,IF(OR(DATE($C208,3,15)&lt;$S$179,AND($T$179&gt;0,DATE($C208,3,15)&gt;$T$179)),0,IF(DATE($C208,3,15)&gt;=$X$179,$AA$179*(1+($U$179)/100)^MAX(0,$C208-$AD$179),IF(DATE($C208,3,15)&gt;=$W$179,$Z$179*(1+($U$179)/100)^MAX(0,$C208-$AC$179),IF(DATE($C208,3,15)&gt;=$V$179,$Y$179*(1+($U$179)/100)^MAX(0,$C208-$AB$179),0)))))</f>
      </c>
      <c r="H208" s="43">
        <f>IF($S$179=0,0,IF(OR(DATE($C208,4,15)&lt;$S$179,AND($T$179&gt;0,DATE($C208,4,15)&gt;$T$179)),0,IF(DATE($C208,4,15)&gt;=$X$179,$AA$179*(1+($U$179)/100)^MAX(0,$C208-$AD$179),IF(DATE($C208,4,15)&gt;=$W$179,$Z$179*(1+($U$179)/100)^MAX(0,$C208-$AC$179),IF(DATE($C208,4,15)&gt;=$V$179,$Y$179*(1+($U$179)/100)^MAX(0,$C208-$AB$179),0)))))</f>
      </c>
      <c r="I208" s="43">
        <f>IF($S$179=0,0,IF(OR(DATE($C208,5,15)&lt;$S$179,AND($T$179&gt;0,DATE($C208,5,15)&gt;$T$179)),0,IF(DATE($C208,5,15)&gt;=$X$179,$AA$179*(1+($U$179)/100)^MAX(0,$C208-$AD$179),IF(DATE($C208,5,15)&gt;=$W$179,$Z$179*(1+($U$179)/100)^MAX(0,$C208-$AC$179),IF(DATE($C208,5,15)&gt;=$V$179,$Y$179*(1+($U$179)/100)^MAX(0,$C208-$AB$179),0)))))</f>
      </c>
      <c r="J208" s="43">
        <f>IF($S$179=0,0,IF(OR(DATE($C208,6,15)&lt;$S$179,AND($T$179&gt;0,DATE($C208,6,15)&gt;$T$179)),0,IF(DATE($C208,6,15)&gt;=$X$179,$AA$179*(1+($U$179)/100)^MAX(0,$C208-$AD$179),IF(DATE($C208,6,15)&gt;=$W$179,$Z$179*(1+($U$179)/100)^MAX(0,$C208-$AC$179),IF(DATE($C208,6,15)&gt;=$V$179,$Y$179*(1+($U$179)/100)^MAX(0,$C208-$AB$179),0)))))</f>
      </c>
      <c r="K208" s="43">
        <f>IF($S$179=0,0,IF(OR(DATE($C208,7,15)&lt;$S$179,AND($T$179&gt;0,DATE($C208,7,15)&gt;$T$179)),0,IF(DATE($C208,7,15)&gt;=$X$179,$AA$179*(1+($U$179)/100)^MAX(0,$C208-$AD$179),IF(DATE($C208,7,15)&gt;=$W$179,$Z$179*(1+($U$179)/100)^MAX(0,$C208-$AC$179),IF(DATE($C208,7,15)&gt;=$V$179,$Y$179*(1+($U$179)/100)^MAX(0,$C208-$AB$179),0)))))</f>
      </c>
      <c r="L208" s="43">
        <f>IF($S$179=0,0,IF(OR(DATE($C208,8,15)&lt;$S$179,AND($T$179&gt;0,DATE($C208,8,15)&gt;$T$179)),0,IF(DATE($C208,8,15)&gt;=$X$179,$AA$179*(1+($U$179)/100)^MAX(0,$C208-$AD$179),IF(DATE($C208,8,15)&gt;=$W$179,$Z$179*(1+($U$179)/100)^MAX(0,$C208-$AC$179),IF(DATE($C208,8,15)&gt;=$V$179,$Y$179*(1+($U$179)/100)^MAX(0,$C208-$AB$179),0)))))</f>
      </c>
      <c r="M208" s="43">
        <f>IF($S$179=0,0,IF(OR(DATE($C208,9,15)&lt;$S$179,AND($T$179&gt;0,DATE($C208,9,15)&gt;$T$179)),0,IF(DATE($C208,9,15)&gt;=$X$179,$AA$179*(1+($U$179)/100)^MAX(0,$C208-$AD$179),IF(DATE($C208,9,15)&gt;=$W$179,$Z$179*(1+($U$179)/100)^MAX(0,$C208-$AC$179),IF(DATE($C208,9,15)&gt;=$V$179,$Y$179*(1+($U$179)/100)^MAX(0,$C208-$AB$179),0)))))</f>
      </c>
      <c r="N208" s="43">
        <f>IF($S$179=0,0,IF(OR(DATE($C208,10,15)&lt;$S$179,AND($T$179&gt;0,DATE($C208,10,15)&gt;$T$179)),0,IF(DATE($C208,10,15)&gt;=$X$179,$AA$179*(1+($U$179)/100)^MAX(0,$C208-$AD$179),IF(DATE($C208,10,15)&gt;=$W$179,$Z$179*(1+($U$179)/100)^MAX(0,$C208-$AC$179),IF(DATE($C208,10,15)&gt;=$V$179,$Y$179*(1+($U$179)/100)^MAX(0,$C208-$AB$179),0)))))</f>
      </c>
      <c r="O208" s="43">
        <f>IF($S$179=0,0,IF(OR(DATE($C208,11,15)&lt;$S$179,AND($T$179&gt;0,DATE($C208,11,15)&gt;$T$179)),0,IF(DATE($C208,11,15)&gt;=$X$179,$AA$179*(1+($U$179)/100)^MAX(0,$C208-$AD$179),IF(DATE($C208,11,15)&gt;=$W$179,$Z$179*(1+($U$179)/100)^MAX(0,$C208-$AC$179),IF(DATE($C208,11,15)&gt;=$V$179,$Y$179*(1+($U$179)/100)^MAX(0,$C208-$AB$179),0)))))</f>
      </c>
      <c r="P208" s="43">
        <f>IF($S$179=0,0,IF(OR(DATE($C208,12,15)&lt;$S$179,AND($T$179&gt;0,DATE($C208,12,15)&gt;$T$179)),0,IF(DATE($C208,12,15)&gt;=$X$179,$AA$179*(1+($U$179)/100)^MAX(0,$C208-$AD$179),IF(DATE($C208,12,15)&gt;=$W$179,$Z$179*(1+($U$179)/100)^MAX(0,$C208-$AC$179),IF(DATE($C208,12,15)&gt;=$V$179,$Y$179*(1+($U$179)/100)^MAX(0,$C208-$AB$179),0)))))</f>
      </c>
      <c r="Q208" s="43">
        <f>SUM($E208:$P208)</f>
      </c>
    </row>
    <row r="209">
      <c r="A209"/>
      <c r="B209">
        <v>6</v>
      </c>
      <c r="C209" s="43">
        <f>Jahr+30</f>
      </c>
      <c r="D209" s="43">
        <f>INDEX(MvObj,6)</f>
      </c>
      <c r="E209" s="43">
        <f>IF($S$179=0,0,IF(OR(DATE($C209,1,15)&lt;$S$179,AND($T$179&gt;0,DATE($C209,1,15)&gt;$T$179)),0,IF(DATE($C209,1,15)&gt;=$X$179,$AA$179*(1+($U$179)/100)^MAX(0,$C209-$AD$179),IF(DATE($C209,1,15)&gt;=$W$179,$Z$179*(1+($U$179)/100)^MAX(0,$C209-$AC$179),IF(DATE($C209,1,15)&gt;=$V$179,$Y$179*(1+($U$179)/100)^MAX(0,$C209-$AB$179),0)))))</f>
      </c>
      <c r="F209" s="43">
        <f>IF($S$179=0,0,IF(OR(DATE($C209,2,15)&lt;$S$179,AND($T$179&gt;0,DATE($C209,2,15)&gt;$T$179)),0,IF(DATE($C209,2,15)&gt;=$X$179,$AA$179*(1+($U$179)/100)^MAX(0,$C209-$AD$179),IF(DATE($C209,2,15)&gt;=$W$179,$Z$179*(1+($U$179)/100)^MAX(0,$C209-$AC$179),IF(DATE($C209,2,15)&gt;=$V$179,$Y$179*(1+($U$179)/100)^MAX(0,$C209-$AB$179),0)))))</f>
      </c>
      <c r="G209" s="43">
        <f>IF($S$179=0,0,IF(OR(DATE($C209,3,15)&lt;$S$179,AND($T$179&gt;0,DATE($C209,3,15)&gt;$T$179)),0,IF(DATE($C209,3,15)&gt;=$X$179,$AA$179*(1+($U$179)/100)^MAX(0,$C209-$AD$179),IF(DATE($C209,3,15)&gt;=$W$179,$Z$179*(1+($U$179)/100)^MAX(0,$C209-$AC$179),IF(DATE($C209,3,15)&gt;=$V$179,$Y$179*(1+($U$179)/100)^MAX(0,$C209-$AB$179),0)))))</f>
      </c>
      <c r="H209" s="43">
        <f>IF($S$179=0,0,IF(OR(DATE($C209,4,15)&lt;$S$179,AND($T$179&gt;0,DATE($C209,4,15)&gt;$T$179)),0,IF(DATE($C209,4,15)&gt;=$X$179,$AA$179*(1+($U$179)/100)^MAX(0,$C209-$AD$179),IF(DATE($C209,4,15)&gt;=$W$179,$Z$179*(1+($U$179)/100)^MAX(0,$C209-$AC$179),IF(DATE($C209,4,15)&gt;=$V$179,$Y$179*(1+($U$179)/100)^MAX(0,$C209-$AB$179),0)))))</f>
      </c>
      <c r="I209" s="43">
        <f>IF($S$179=0,0,IF(OR(DATE($C209,5,15)&lt;$S$179,AND($T$179&gt;0,DATE($C209,5,15)&gt;$T$179)),0,IF(DATE($C209,5,15)&gt;=$X$179,$AA$179*(1+($U$179)/100)^MAX(0,$C209-$AD$179),IF(DATE($C209,5,15)&gt;=$W$179,$Z$179*(1+($U$179)/100)^MAX(0,$C209-$AC$179),IF(DATE($C209,5,15)&gt;=$V$179,$Y$179*(1+($U$179)/100)^MAX(0,$C209-$AB$179),0)))))</f>
      </c>
      <c r="J209" s="43">
        <f>IF($S$179=0,0,IF(OR(DATE($C209,6,15)&lt;$S$179,AND($T$179&gt;0,DATE($C209,6,15)&gt;$T$179)),0,IF(DATE($C209,6,15)&gt;=$X$179,$AA$179*(1+($U$179)/100)^MAX(0,$C209-$AD$179),IF(DATE($C209,6,15)&gt;=$W$179,$Z$179*(1+($U$179)/100)^MAX(0,$C209-$AC$179),IF(DATE($C209,6,15)&gt;=$V$179,$Y$179*(1+($U$179)/100)^MAX(0,$C209-$AB$179),0)))))</f>
      </c>
      <c r="K209" s="43">
        <f>IF($S$179=0,0,IF(OR(DATE($C209,7,15)&lt;$S$179,AND($T$179&gt;0,DATE($C209,7,15)&gt;$T$179)),0,IF(DATE($C209,7,15)&gt;=$X$179,$AA$179*(1+($U$179)/100)^MAX(0,$C209-$AD$179),IF(DATE($C209,7,15)&gt;=$W$179,$Z$179*(1+($U$179)/100)^MAX(0,$C209-$AC$179),IF(DATE($C209,7,15)&gt;=$V$179,$Y$179*(1+($U$179)/100)^MAX(0,$C209-$AB$179),0)))))</f>
      </c>
      <c r="L209" s="43">
        <f>IF($S$179=0,0,IF(OR(DATE($C209,8,15)&lt;$S$179,AND($T$179&gt;0,DATE($C209,8,15)&gt;$T$179)),0,IF(DATE($C209,8,15)&gt;=$X$179,$AA$179*(1+($U$179)/100)^MAX(0,$C209-$AD$179),IF(DATE($C209,8,15)&gt;=$W$179,$Z$179*(1+($U$179)/100)^MAX(0,$C209-$AC$179),IF(DATE($C209,8,15)&gt;=$V$179,$Y$179*(1+($U$179)/100)^MAX(0,$C209-$AB$179),0)))))</f>
      </c>
      <c r="M209" s="43">
        <f>IF($S$179=0,0,IF(OR(DATE($C209,9,15)&lt;$S$179,AND($T$179&gt;0,DATE($C209,9,15)&gt;$T$179)),0,IF(DATE($C209,9,15)&gt;=$X$179,$AA$179*(1+($U$179)/100)^MAX(0,$C209-$AD$179),IF(DATE($C209,9,15)&gt;=$W$179,$Z$179*(1+($U$179)/100)^MAX(0,$C209-$AC$179),IF(DATE($C209,9,15)&gt;=$V$179,$Y$179*(1+($U$179)/100)^MAX(0,$C209-$AB$179),0)))))</f>
      </c>
      <c r="N209" s="43">
        <f>IF($S$179=0,0,IF(OR(DATE($C209,10,15)&lt;$S$179,AND($T$179&gt;0,DATE($C209,10,15)&gt;$T$179)),0,IF(DATE($C209,10,15)&gt;=$X$179,$AA$179*(1+($U$179)/100)^MAX(0,$C209-$AD$179),IF(DATE($C209,10,15)&gt;=$W$179,$Z$179*(1+($U$179)/100)^MAX(0,$C209-$AC$179),IF(DATE($C209,10,15)&gt;=$V$179,$Y$179*(1+($U$179)/100)^MAX(0,$C209-$AB$179),0)))))</f>
      </c>
      <c r="O209" s="43">
        <f>IF($S$179=0,0,IF(OR(DATE($C209,11,15)&lt;$S$179,AND($T$179&gt;0,DATE($C209,11,15)&gt;$T$179)),0,IF(DATE($C209,11,15)&gt;=$X$179,$AA$179*(1+($U$179)/100)^MAX(0,$C209-$AD$179),IF(DATE($C209,11,15)&gt;=$W$179,$Z$179*(1+($U$179)/100)^MAX(0,$C209-$AC$179),IF(DATE($C209,11,15)&gt;=$V$179,$Y$179*(1+($U$179)/100)^MAX(0,$C209-$AB$179),0)))))</f>
      </c>
      <c r="P209" s="43">
        <f>IF($S$179=0,0,IF(OR(DATE($C209,12,15)&lt;$S$179,AND($T$179&gt;0,DATE($C209,12,15)&gt;$T$179)),0,IF(DATE($C209,12,15)&gt;=$X$179,$AA$179*(1+($U$179)/100)^MAX(0,$C209-$AD$179),IF(DATE($C209,12,15)&gt;=$W$179,$Z$179*(1+($U$179)/100)^MAX(0,$C209-$AC$179),IF(DATE($C209,12,15)&gt;=$V$179,$Y$179*(1+($U$179)/100)^MAX(0,$C209-$AB$179),0)))))</f>
      </c>
      <c r="Q209" s="43">
        <f>SUM($E209:$P209)</f>
      </c>
    </row>
    <row r="210">
      <c r="A210"/>
      <c r="B210">
        <v>7</v>
      </c>
      <c r="C210" s="43">
        <f>Jahr+0</f>
      </c>
      <c r="D210" s="43">
        <f>INDEX(MvObj,7)</f>
      </c>
      <c r="E210" s="43">
        <f>IF($S$210=0,0,IF(OR(DATE($C210,1,15)&lt;$S$210,AND($T$210&gt;0,DATE($C210,1,15)&gt;$T$210)),0,IF(DATE($C210,1,15)&gt;=$X$210,$AA$210*(1+($U$210)/100)^MAX(0,$C210-$AD$210),IF(DATE($C210,1,15)&gt;=$W$210,$Z$210*(1+($U$210)/100)^MAX(0,$C210-$AC$210),IF(DATE($C210,1,15)&gt;=$V$210,$Y$210*(1+($U$210)/100)^MAX(0,$C210-$AB$210),0)))))</f>
      </c>
      <c r="F210" s="43">
        <f>IF($S$210=0,0,IF(OR(DATE($C210,2,15)&lt;$S$210,AND($T$210&gt;0,DATE($C210,2,15)&gt;$T$210)),0,IF(DATE($C210,2,15)&gt;=$X$210,$AA$210*(1+($U$210)/100)^MAX(0,$C210-$AD$210),IF(DATE($C210,2,15)&gt;=$W$210,$Z$210*(1+($U$210)/100)^MAX(0,$C210-$AC$210),IF(DATE($C210,2,15)&gt;=$V$210,$Y$210*(1+($U$210)/100)^MAX(0,$C210-$AB$210),0)))))</f>
      </c>
      <c r="G210" s="43">
        <f>IF($S$210=0,0,IF(OR(DATE($C210,3,15)&lt;$S$210,AND($T$210&gt;0,DATE($C210,3,15)&gt;$T$210)),0,IF(DATE($C210,3,15)&gt;=$X$210,$AA$210*(1+($U$210)/100)^MAX(0,$C210-$AD$210),IF(DATE($C210,3,15)&gt;=$W$210,$Z$210*(1+($U$210)/100)^MAX(0,$C210-$AC$210),IF(DATE($C210,3,15)&gt;=$V$210,$Y$210*(1+($U$210)/100)^MAX(0,$C210-$AB$210),0)))))</f>
      </c>
      <c r="H210" s="43">
        <f>IF($S$210=0,0,IF(OR(DATE($C210,4,15)&lt;$S$210,AND($T$210&gt;0,DATE($C210,4,15)&gt;$T$210)),0,IF(DATE($C210,4,15)&gt;=$X$210,$AA$210*(1+($U$210)/100)^MAX(0,$C210-$AD$210),IF(DATE($C210,4,15)&gt;=$W$210,$Z$210*(1+($U$210)/100)^MAX(0,$C210-$AC$210),IF(DATE($C210,4,15)&gt;=$V$210,$Y$210*(1+($U$210)/100)^MAX(0,$C210-$AB$210),0)))))</f>
      </c>
      <c r="I210" s="43">
        <f>IF($S$210=0,0,IF(OR(DATE($C210,5,15)&lt;$S$210,AND($T$210&gt;0,DATE($C210,5,15)&gt;$T$210)),0,IF(DATE($C210,5,15)&gt;=$X$210,$AA$210*(1+($U$210)/100)^MAX(0,$C210-$AD$210),IF(DATE($C210,5,15)&gt;=$W$210,$Z$210*(1+($U$210)/100)^MAX(0,$C210-$AC$210),IF(DATE($C210,5,15)&gt;=$V$210,$Y$210*(1+($U$210)/100)^MAX(0,$C210-$AB$210),0)))))</f>
      </c>
      <c r="J210" s="43">
        <f>IF($S$210=0,0,IF(OR(DATE($C210,6,15)&lt;$S$210,AND($T$210&gt;0,DATE($C210,6,15)&gt;$T$210)),0,IF(DATE($C210,6,15)&gt;=$X$210,$AA$210*(1+($U$210)/100)^MAX(0,$C210-$AD$210),IF(DATE($C210,6,15)&gt;=$W$210,$Z$210*(1+($U$210)/100)^MAX(0,$C210-$AC$210),IF(DATE($C210,6,15)&gt;=$V$210,$Y$210*(1+($U$210)/100)^MAX(0,$C210-$AB$210),0)))))</f>
      </c>
      <c r="K210" s="43">
        <f>IF($S$210=0,0,IF(OR(DATE($C210,7,15)&lt;$S$210,AND($T$210&gt;0,DATE($C210,7,15)&gt;$T$210)),0,IF(DATE($C210,7,15)&gt;=$X$210,$AA$210*(1+($U$210)/100)^MAX(0,$C210-$AD$210),IF(DATE($C210,7,15)&gt;=$W$210,$Z$210*(1+($U$210)/100)^MAX(0,$C210-$AC$210),IF(DATE($C210,7,15)&gt;=$V$210,$Y$210*(1+($U$210)/100)^MAX(0,$C210-$AB$210),0)))))</f>
      </c>
      <c r="L210" s="43">
        <f>IF($S$210=0,0,IF(OR(DATE($C210,8,15)&lt;$S$210,AND($T$210&gt;0,DATE($C210,8,15)&gt;$T$210)),0,IF(DATE($C210,8,15)&gt;=$X$210,$AA$210*(1+($U$210)/100)^MAX(0,$C210-$AD$210),IF(DATE($C210,8,15)&gt;=$W$210,$Z$210*(1+($U$210)/100)^MAX(0,$C210-$AC$210),IF(DATE($C210,8,15)&gt;=$V$210,$Y$210*(1+($U$210)/100)^MAX(0,$C210-$AB$210),0)))))</f>
      </c>
      <c r="M210" s="43">
        <f>IF($S$210=0,0,IF(OR(DATE($C210,9,15)&lt;$S$210,AND($T$210&gt;0,DATE($C210,9,15)&gt;$T$210)),0,IF(DATE($C210,9,15)&gt;=$X$210,$AA$210*(1+($U$210)/100)^MAX(0,$C210-$AD$210),IF(DATE($C210,9,15)&gt;=$W$210,$Z$210*(1+($U$210)/100)^MAX(0,$C210-$AC$210),IF(DATE($C210,9,15)&gt;=$V$210,$Y$210*(1+($U$210)/100)^MAX(0,$C210-$AB$210),0)))))</f>
      </c>
      <c r="N210" s="43">
        <f>IF($S$210=0,0,IF(OR(DATE($C210,10,15)&lt;$S$210,AND($T$210&gt;0,DATE($C210,10,15)&gt;$T$210)),0,IF(DATE($C210,10,15)&gt;=$X$210,$AA$210*(1+($U$210)/100)^MAX(0,$C210-$AD$210),IF(DATE($C210,10,15)&gt;=$W$210,$Z$210*(1+($U$210)/100)^MAX(0,$C210-$AC$210),IF(DATE($C210,10,15)&gt;=$V$210,$Y$210*(1+($U$210)/100)^MAX(0,$C210-$AB$210),0)))))</f>
      </c>
      <c r="O210" s="43">
        <f>IF($S$210=0,0,IF(OR(DATE($C210,11,15)&lt;$S$210,AND($T$210&gt;0,DATE($C210,11,15)&gt;$T$210)),0,IF(DATE($C210,11,15)&gt;=$X$210,$AA$210*(1+($U$210)/100)^MAX(0,$C210-$AD$210),IF(DATE($C210,11,15)&gt;=$W$210,$Z$210*(1+($U$210)/100)^MAX(0,$C210-$AC$210),IF(DATE($C210,11,15)&gt;=$V$210,$Y$210*(1+($U$210)/100)^MAX(0,$C210-$AB$210),0)))))</f>
      </c>
      <c r="P210" s="43">
        <f>IF($S$210=0,0,IF(OR(DATE($C210,12,15)&lt;$S$210,AND($T$210&gt;0,DATE($C210,12,15)&gt;$T$210)),0,IF(DATE($C210,12,15)&gt;=$X$210,$AA$210*(1+($U$210)/100)^MAX(0,$C210-$AD$210),IF(DATE($C210,12,15)&gt;=$W$210,$Z$210*(1+($U$210)/100)^MAX(0,$C210-$AC$210),IF(DATE($C210,12,15)&gt;=$V$210,$Y$210*(1+($U$210)/100)^MAX(0,$C210-$AB$210),0)))))</f>
      </c>
      <c r="Q210" s="43">
        <f>SUM($E210:$P210)</f>
      </c>
      <c r="R210"/>
      <c r="S210" s="43">
        <f>IF(INDEX(MvBeginn,7)="",0,INDEX(MvBeginn,7))</f>
      </c>
      <c r="T210" s="43">
        <f>INDEX(MvEnde,7)</f>
      </c>
      <c r="U210" s="43">
        <f>INDEX(MvSatz,7)</f>
      </c>
      <c r="V210" s="43">
        <f>INDEX(MvKey1,7)</f>
      </c>
      <c r="W210" s="43">
        <f>INDEX(MvKey2,7)</f>
      </c>
      <c r="X210" s="43">
        <f>INDEX(MvKey3,7)</f>
      </c>
      <c r="Y210" s="43">
        <f>INDEX(MvKalt1,7)</f>
      </c>
      <c r="Z210" s="43">
        <f>INDEX(MvKalt2,7)</f>
      </c>
      <c r="AA210" s="43">
        <f>INDEX(MvKalt3,7)</f>
      </c>
      <c r="AB210" s="43">
        <f>MAX(YEAR(INDEX(MvAb1,7)),Jahr)</f>
      </c>
      <c r="AC210" s="43">
        <f>MAX(YEAR(INDEX(MvAb2,7)),Jahr)</f>
      </c>
      <c r="AD210" s="43">
        <f>MAX(YEAR(INDEX(MvAb3,7)),Jahr)</f>
      </c>
    </row>
    <row r="211">
      <c r="A211"/>
      <c r="B211">
        <v>7</v>
      </c>
      <c r="C211" s="43">
        <f>Jahr+1</f>
      </c>
      <c r="D211" s="43">
        <f>INDEX(MvObj,7)</f>
      </c>
      <c r="E211" s="43">
        <f>IF($S$210=0,0,IF(OR(DATE($C211,1,15)&lt;$S$210,AND($T$210&gt;0,DATE($C211,1,15)&gt;$T$210)),0,IF(DATE($C211,1,15)&gt;=$X$210,$AA$210*(1+($U$210)/100)^MAX(0,$C211-$AD$210),IF(DATE($C211,1,15)&gt;=$W$210,$Z$210*(1+($U$210)/100)^MAX(0,$C211-$AC$210),IF(DATE($C211,1,15)&gt;=$V$210,$Y$210*(1+($U$210)/100)^MAX(0,$C211-$AB$210),0)))))</f>
      </c>
      <c r="F211" s="43">
        <f>IF($S$210=0,0,IF(OR(DATE($C211,2,15)&lt;$S$210,AND($T$210&gt;0,DATE($C211,2,15)&gt;$T$210)),0,IF(DATE($C211,2,15)&gt;=$X$210,$AA$210*(1+($U$210)/100)^MAX(0,$C211-$AD$210),IF(DATE($C211,2,15)&gt;=$W$210,$Z$210*(1+($U$210)/100)^MAX(0,$C211-$AC$210),IF(DATE($C211,2,15)&gt;=$V$210,$Y$210*(1+($U$210)/100)^MAX(0,$C211-$AB$210),0)))))</f>
      </c>
      <c r="G211" s="43">
        <f>IF($S$210=0,0,IF(OR(DATE($C211,3,15)&lt;$S$210,AND($T$210&gt;0,DATE($C211,3,15)&gt;$T$210)),0,IF(DATE($C211,3,15)&gt;=$X$210,$AA$210*(1+($U$210)/100)^MAX(0,$C211-$AD$210),IF(DATE($C211,3,15)&gt;=$W$210,$Z$210*(1+($U$210)/100)^MAX(0,$C211-$AC$210),IF(DATE($C211,3,15)&gt;=$V$210,$Y$210*(1+($U$210)/100)^MAX(0,$C211-$AB$210),0)))))</f>
      </c>
      <c r="H211" s="43">
        <f>IF($S$210=0,0,IF(OR(DATE($C211,4,15)&lt;$S$210,AND($T$210&gt;0,DATE($C211,4,15)&gt;$T$210)),0,IF(DATE($C211,4,15)&gt;=$X$210,$AA$210*(1+($U$210)/100)^MAX(0,$C211-$AD$210),IF(DATE($C211,4,15)&gt;=$W$210,$Z$210*(1+($U$210)/100)^MAX(0,$C211-$AC$210),IF(DATE($C211,4,15)&gt;=$V$210,$Y$210*(1+($U$210)/100)^MAX(0,$C211-$AB$210),0)))))</f>
      </c>
      <c r="I211" s="43">
        <f>IF($S$210=0,0,IF(OR(DATE($C211,5,15)&lt;$S$210,AND($T$210&gt;0,DATE($C211,5,15)&gt;$T$210)),0,IF(DATE($C211,5,15)&gt;=$X$210,$AA$210*(1+($U$210)/100)^MAX(0,$C211-$AD$210),IF(DATE($C211,5,15)&gt;=$W$210,$Z$210*(1+($U$210)/100)^MAX(0,$C211-$AC$210),IF(DATE($C211,5,15)&gt;=$V$210,$Y$210*(1+($U$210)/100)^MAX(0,$C211-$AB$210),0)))))</f>
      </c>
      <c r="J211" s="43">
        <f>IF($S$210=0,0,IF(OR(DATE($C211,6,15)&lt;$S$210,AND($T$210&gt;0,DATE($C211,6,15)&gt;$T$210)),0,IF(DATE($C211,6,15)&gt;=$X$210,$AA$210*(1+($U$210)/100)^MAX(0,$C211-$AD$210),IF(DATE($C211,6,15)&gt;=$W$210,$Z$210*(1+($U$210)/100)^MAX(0,$C211-$AC$210),IF(DATE($C211,6,15)&gt;=$V$210,$Y$210*(1+($U$210)/100)^MAX(0,$C211-$AB$210),0)))))</f>
      </c>
      <c r="K211" s="43">
        <f>IF($S$210=0,0,IF(OR(DATE($C211,7,15)&lt;$S$210,AND($T$210&gt;0,DATE($C211,7,15)&gt;$T$210)),0,IF(DATE($C211,7,15)&gt;=$X$210,$AA$210*(1+($U$210)/100)^MAX(0,$C211-$AD$210),IF(DATE($C211,7,15)&gt;=$W$210,$Z$210*(1+($U$210)/100)^MAX(0,$C211-$AC$210),IF(DATE($C211,7,15)&gt;=$V$210,$Y$210*(1+($U$210)/100)^MAX(0,$C211-$AB$210),0)))))</f>
      </c>
      <c r="L211" s="43">
        <f>IF($S$210=0,0,IF(OR(DATE($C211,8,15)&lt;$S$210,AND($T$210&gt;0,DATE($C211,8,15)&gt;$T$210)),0,IF(DATE($C211,8,15)&gt;=$X$210,$AA$210*(1+($U$210)/100)^MAX(0,$C211-$AD$210),IF(DATE($C211,8,15)&gt;=$W$210,$Z$210*(1+($U$210)/100)^MAX(0,$C211-$AC$210),IF(DATE($C211,8,15)&gt;=$V$210,$Y$210*(1+($U$210)/100)^MAX(0,$C211-$AB$210),0)))))</f>
      </c>
      <c r="M211" s="43">
        <f>IF($S$210=0,0,IF(OR(DATE($C211,9,15)&lt;$S$210,AND($T$210&gt;0,DATE($C211,9,15)&gt;$T$210)),0,IF(DATE($C211,9,15)&gt;=$X$210,$AA$210*(1+($U$210)/100)^MAX(0,$C211-$AD$210),IF(DATE($C211,9,15)&gt;=$W$210,$Z$210*(1+($U$210)/100)^MAX(0,$C211-$AC$210),IF(DATE($C211,9,15)&gt;=$V$210,$Y$210*(1+($U$210)/100)^MAX(0,$C211-$AB$210),0)))))</f>
      </c>
      <c r="N211" s="43">
        <f>IF($S$210=0,0,IF(OR(DATE($C211,10,15)&lt;$S$210,AND($T$210&gt;0,DATE($C211,10,15)&gt;$T$210)),0,IF(DATE($C211,10,15)&gt;=$X$210,$AA$210*(1+($U$210)/100)^MAX(0,$C211-$AD$210),IF(DATE($C211,10,15)&gt;=$W$210,$Z$210*(1+($U$210)/100)^MAX(0,$C211-$AC$210),IF(DATE($C211,10,15)&gt;=$V$210,$Y$210*(1+($U$210)/100)^MAX(0,$C211-$AB$210),0)))))</f>
      </c>
      <c r="O211" s="43">
        <f>IF($S$210=0,0,IF(OR(DATE($C211,11,15)&lt;$S$210,AND($T$210&gt;0,DATE($C211,11,15)&gt;$T$210)),0,IF(DATE($C211,11,15)&gt;=$X$210,$AA$210*(1+($U$210)/100)^MAX(0,$C211-$AD$210),IF(DATE($C211,11,15)&gt;=$W$210,$Z$210*(1+($U$210)/100)^MAX(0,$C211-$AC$210),IF(DATE($C211,11,15)&gt;=$V$210,$Y$210*(1+($U$210)/100)^MAX(0,$C211-$AB$210),0)))))</f>
      </c>
      <c r="P211" s="43">
        <f>IF($S$210=0,0,IF(OR(DATE($C211,12,15)&lt;$S$210,AND($T$210&gt;0,DATE($C211,12,15)&gt;$T$210)),0,IF(DATE($C211,12,15)&gt;=$X$210,$AA$210*(1+($U$210)/100)^MAX(0,$C211-$AD$210),IF(DATE($C211,12,15)&gt;=$W$210,$Z$210*(1+($U$210)/100)^MAX(0,$C211-$AC$210),IF(DATE($C211,12,15)&gt;=$V$210,$Y$210*(1+($U$210)/100)^MAX(0,$C211-$AB$210),0)))))</f>
      </c>
      <c r="Q211" s="43">
        <f>SUM($E211:$P211)</f>
      </c>
    </row>
    <row r="212">
      <c r="A212"/>
      <c r="B212">
        <v>7</v>
      </c>
      <c r="C212" s="43">
        <f>Jahr+2</f>
      </c>
      <c r="D212" s="43">
        <f>INDEX(MvObj,7)</f>
      </c>
      <c r="E212" s="43">
        <f>IF($S$210=0,0,IF(OR(DATE($C212,1,15)&lt;$S$210,AND($T$210&gt;0,DATE($C212,1,15)&gt;$T$210)),0,IF(DATE($C212,1,15)&gt;=$X$210,$AA$210*(1+($U$210)/100)^MAX(0,$C212-$AD$210),IF(DATE($C212,1,15)&gt;=$W$210,$Z$210*(1+($U$210)/100)^MAX(0,$C212-$AC$210),IF(DATE($C212,1,15)&gt;=$V$210,$Y$210*(1+($U$210)/100)^MAX(0,$C212-$AB$210),0)))))</f>
      </c>
      <c r="F212" s="43">
        <f>IF($S$210=0,0,IF(OR(DATE($C212,2,15)&lt;$S$210,AND($T$210&gt;0,DATE($C212,2,15)&gt;$T$210)),0,IF(DATE($C212,2,15)&gt;=$X$210,$AA$210*(1+($U$210)/100)^MAX(0,$C212-$AD$210),IF(DATE($C212,2,15)&gt;=$W$210,$Z$210*(1+($U$210)/100)^MAX(0,$C212-$AC$210),IF(DATE($C212,2,15)&gt;=$V$210,$Y$210*(1+($U$210)/100)^MAX(0,$C212-$AB$210),0)))))</f>
      </c>
      <c r="G212" s="43">
        <f>IF($S$210=0,0,IF(OR(DATE($C212,3,15)&lt;$S$210,AND($T$210&gt;0,DATE($C212,3,15)&gt;$T$210)),0,IF(DATE($C212,3,15)&gt;=$X$210,$AA$210*(1+($U$210)/100)^MAX(0,$C212-$AD$210),IF(DATE($C212,3,15)&gt;=$W$210,$Z$210*(1+($U$210)/100)^MAX(0,$C212-$AC$210),IF(DATE($C212,3,15)&gt;=$V$210,$Y$210*(1+($U$210)/100)^MAX(0,$C212-$AB$210),0)))))</f>
      </c>
      <c r="H212" s="43">
        <f>IF($S$210=0,0,IF(OR(DATE($C212,4,15)&lt;$S$210,AND($T$210&gt;0,DATE($C212,4,15)&gt;$T$210)),0,IF(DATE($C212,4,15)&gt;=$X$210,$AA$210*(1+($U$210)/100)^MAX(0,$C212-$AD$210),IF(DATE($C212,4,15)&gt;=$W$210,$Z$210*(1+($U$210)/100)^MAX(0,$C212-$AC$210),IF(DATE($C212,4,15)&gt;=$V$210,$Y$210*(1+($U$210)/100)^MAX(0,$C212-$AB$210),0)))))</f>
      </c>
      <c r="I212" s="43">
        <f>IF($S$210=0,0,IF(OR(DATE($C212,5,15)&lt;$S$210,AND($T$210&gt;0,DATE($C212,5,15)&gt;$T$210)),0,IF(DATE($C212,5,15)&gt;=$X$210,$AA$210*(1+($U$210)/100)^MAX(0,$C212-$AD$210),IF(DATE($C212,5,15)&gt;=$W$210,$Z$210*(1+($U$210)/100)^MAX(0,$C212-$AC$210),IF(DATE($C212,5,15)&gt;=$V$210,$Y$210*(1+($U$210)/100)^MAX(0,$C212-$AB$210),0)))))</f>
      </c>
      <c r="J212" s="43">
        <f>IF($S$210=0,0,IF(OR(DATE($C212,6,15)&lt;$S$210,AND($T$210&gt;0,DATE($C212,6,15)&gt;$T$210)),0,IF(DATE($C212,6,15)&gt;=$X$210,$AA$210*(1+($U$210)/100)^MAX(0,$C212-$AD$210),IF(DATE($C212,6,15)&gt;=$W$210,$Z$210*(1+($U$210)/100)^MAX(0,$C212-$AC$210),IF(DATE($C212,6,15)&gt;=$V$210,$Y$210*(1+($U$210)/100)^MAX(0,$C212-$AB$210),0)))))</f>
      </c>
      <c r="K212" s="43">
        <f>IF($S$210=0,0,IF(OR(DATE($C212,7,15)&lt;$S$210,AND($T$210&gt;0,DATE($C212,7,15)&gt;$T$210)),0,IF(DATE($C212,7,15)&gt;=$X$210,$AA$210*(1+($U$210)/100)^MAX(0,$C212-$AD$210),IF(DATE($C212,7,15)&gt;=$W$210,$Z$210*(1+($U$210)/100)^MAX(0,$C212-$AC$210),IF(DATE($C212,7,15)&gt;=$V$210,$Y$210*(1+($U$210)/100)^MAX(0,$C212-$AB$210),0)))))</f>
      </c>
      <c r="L212" s="43">
        <f>IF($S$210=0,0,IF(OR(DATE($C212,8,15)&lt;$S$210,AND($T$210&gt;0,DATE($C212,8,15)&gt;$T$210)),0,IF(DATE($C212,8,15)&gt;=$X$210,$AA$210*(1+($U$210)/100)^MAX(0,$C212-$AD$210),IF(DATE($C212,8,15)&gt;=$W$210,$Z$210*(1+($U$210)/100)^MAX(0,$C212-$AC$210),IF(DATE($C212,8,15)&gt;=$V$210,$Y$210*(1+($U$210)/100)^MAX(0,$C212-$AB$210),0)))))</f>
      </c>
      <c r="M212" s="43">
        <f>IF($S$210=0,0,IF(OR(DATE($C212,9,15)&lt;$S$210,AND($T$210&gt;0,DATE($C212,9,15)&gt;$T$210)),0,IF(DATE($C212,9,15)&gt;=$X$210,$AA$210*(1+($U$210)/100)^MAX(0,$C212-$AD$210),IF(DATE($C212,9,15)&gt;=$W$210,$Z$210*(1+($U$210)/100)^MAX(0,$C212-$AC$210),IF(DATE($C212,9,15)&gt;=$V$210,$Y$210*(1+($U$210)/100)^MAX(0,$C212-$AB$210),0)))))</f>
      </c>
      <c r="N212" s="43">
        <f>IF($S$210=0,0,IF(OR(DATE($C212,10,15)&lt;$S$210,AND($T$210&gt;0,DATE($C212,10,15)&gt;$T$210)),0,IF(DATE($C212,10,15)&gt;=$X$210,$AA$210*(1+($U$210)/100)^MAX(0,$C212-$AD$210),IF(DATE($C212,10,15)&gt;=$W$210,$Z$210*(1+($U$210)/100)^MAX(0,$C212-$AC$210),IF(DATE($C212,10,15)&gt;=$V$210,$Y$210*(1+($U$210)/100)^MAX(0,$C212-$AB$210),0)))))</f>
      </c>
      <c r="O212" s="43">
        <f>IF($S$210=0,0,IF(OR(DATE($C212,11,15)&lt;$S$210,AND($T$210&gt;0,DATE($C212,11,15)&gt;$T$210)),0,IF(DATE($C212,11,15)&gt;=$X$210,$AA$210*(1+($U$210)/100)^MAX(0,$C212-$AD$210),IF(DATE($C212,11,15)&gt;=$W$210,$Z$210*(1+($U$210)/100)^MAX(0,$C212-$AC$210),IF(DATE($C212,11,15)&gt;=$V$210,$Y$210*(1+($U$210)/100)^MAX(0,$C212-$AB$210),0)))))</f>
      </c>
      <c r="P212" s="43">
        <f>IF($S$210=0,0,IF(OR(DATE($C212,12,15)&lt;$S$210,AND($T$210&gt;0,DATE($C212,12,15)&gt;$T$210)),0,IF(DATE($C212,12,15)&gt;=$X$210,$AA$210*(1+($U$210)/100)^MAX(0,$C212-$AD$210),IF(DATE($C212,12,15)&gt;=$W$210,$Z$210*(1+($U$210)/100)^MAX(0,$C212-$AC$210),IF(DATE($C212,12,15)&gt;=$V$210,$Y$210*(1+($U$210)/100)^MAX(0,$C212-$AB$210),0)))))</f>
      </c>
      <c r="Q212" s="43">
        <f>SUM($E212:$P212)</f>
      </c>
    </row>
    <row r="213">
      <c r="A213"/>
      <c r="B213">
        <v>7</v>
      </c>
      <c r="C213" s="43">
        <f>Jahr+3</f>
      </c>
      <c r="D213" s="43">
        <f>INDEX(MvObj,7)</f>
      </c>
      <c r="E213" s="43">
        <f>IF($S$210=0,0,IF(OR(DATE($C213,1,15)&lt;$S$210,AND($T$210&gt;0,DATE($C213,1,15)&gt;$T$210)),0,IF(DATE($C213,1,15)&gt;=$X$210,$AA$210*(1+($U$210)/100)^MAX(0,$C213-$AD$210),IF(DATE($C213,1,15)&gt;=$W$210,$Z$210*(1+($U$210)/100)^MAX(0,$C213-$AC$210),IF(DATE($C213,1,15)&gt;=$V$210,$Y$210*(1+($U$210)/100)^MAX(0,$C213-$AB$210),0)))))</f>
      </c>
      <c r="F213" s="43">
        <f>IF($S$210=0,0,IF(OR(DATE($C213,2,15)&lt;$S$210,AND($T$210&gt;0,DATE($C213,2,15)&gt;$T$210)),0,IF(DATE($C213,2,15)&gt;=$X$210,$AA$210*(1+($U$210)/100)^MAX(0,$C213-$AD$210),IF(DATE($C213,2,15)&gt;=$W$210,$Z$210*(1+($U$210)/100)^MAX(0,$C213-$AC$210),IF(DATE($C213,2,15)&gt;=$V$210,$Y$210*(1+($U$210)/100)^MAX(0,$C213-$AB$210),0)))))</f>
      </c>
      <c r="G213" s="43">
        <f>IF($S$210=0,0,IF(OR(DATE($C213,3,15)&lt;$S$210,AND($T$210&gt;0,DATE($C213,3,15)&gt;$T$210)),0,IF(DATE($C213,3,15)&gt;=$X$210,$AA$210*(1+($U$210)/100)^MAX(0,$C213-$AD$210),IF(DATE($C213,3,15)&gt;=$W$210,$Z$210*(1+($U$210)/100)^MAX(0,$C213-$AC$210),IF(DATE($C213,3,15)&gt;=$V$210,$Y$210*(1+($U$210)/100)^MAX(0,$C213-$AB$210),0)))))</f>
      </c>
      <c r="H213" s="43">
        <f>IF($S$210=0,0,IF(OR(DATE($C213,4,15)&lt;$S$210,AND($T$210&gt;0,DATE($C213,4,15)&gt;$T$210)),0,IF(DATE($C213,4,15)&gt;=$X$210,$AA$210*(1+($U$210)/100)^MAX(0,$C213-$AD$210),IF(DATE($C213,4,15)&gt;=$W$210,$Z$210*(1+($U$210)/100)^MAX(0,$C213-$AC$210),IF(DATE($C213,4,15)&gt;=$V$210,$Y$210*(1+($U$210)/100)^MAX(0,$C213-$AB$210),0)))))</f>
      </c>
      <c r="I213" s="43">
        <f>IF($S$210=0,0,IF(OR(DATE($C213,5,15)&lt;$S$210,AND($T$210&gt;0,DATE($C213,5,15)&gt;$T$210)),0,IF(DATE($C213,5,15)&gt;=$X$210,$AA$210*(1+($U$210)/100)^MAX(0,$C213-$AD$210),IF(DATE($C213,5,15)&gt;=$W$210,$Z$210*(1+($U$210)/100)^MAX(0,$C213-$AC$210),IF(DATE($C213,5,15)&gt;=$V$210,$Y$210*(1+($U$210)/100)^MAX(0,$C213-$AB$210),0)))))</f>
      </c>
      <c r="J213" s="43">
        <f>IF($S$210=0,0,IF(OR(DATE($C213,6,15)&lt;$S$210,AND($T$210&gt;0,DATE($C213,6,15)&gt;$T$210)),0,IF(DATE($C213,6,15)&gt;=$X$210,$AA$210*(1+($U$210)/100)^MAX(0,$C213-$AD$210),IF(DATE($C213,6,15)&gt;=$W$210,$Z$210*(1+($U$210)/100)^MAX(0,$C213-$AC$210),IF(DATE($C213,6,15)&gt;=$V$210,$Y$210*(1+($U$210)/100)^MAX(0,$C213-$AB$210),0)))))</f>
      </c>
      <c r="K213" s="43">
        <f>IF($S$210=0,0,IF(OR(DATE($C213,7,15)&lt;$S$210,AND($T$210&gt;0,DATE($C213,7,15)&gt;$T$210)),0,IF(DATE($C213,7,15)&gt;=$X$210,$AA$210*(1+($U$210)/100)^MAX(0,$C213-$AD$210),IF(DATE($C213,7,15)&gt;=$W$210,$Z$210*(1+($U$210)/100)^MAX(0,$C213-$AC$210),IF(DATE($C213,7,15)&gt;=$V$210,$Y$210*(1+($U$210)/100)^MAX(0,$C213-$AB$210),0)))))</f>
      </c>
      <c r="L213" s="43">
        <f>IF($S$210=0,0,IF(OR(DATE($C213,8,15)&lt;$S$210,AND($T$210&gt;0,DATE($C213,8,15)&gt;$T$210)),0,IF(DATE($C213,8,15)&gt;=$X$210,$AA$210*(1+($U$210)/100)^MAX(0,$C213-$AD$210),IF(DATE($C213,8,15)&gt;=$W$210,$Z$210*(1+($U$210)/100)^MAX(0,$C213-$AC$210),IF(DATE($C213,8,15)&gt;=$V$210,$Y$210*(1+($U$210)/100)^MAX(0,$C213-$AB$210),0)))))</f>
      </c>
      <c r="M213" s="43">
        <f>IF($S$210=0,0,IF(OR(DATE($C213,9,15)&lt;$S$210,AND($T$210&gt;0,DATE($C213,9,15)&gt;$T$210)),0,IF(DATE($C213,9,15)&gt;=$X$210,$AA$210*(1+($U$210)/100)^MAX(0,$C213-$AD$210),IF(DATE($C213,9,15)&gt;=$W$210,$Z$210*(1+($U$210)/100)^MAX(0,$C213-$AC$210),IF(DATE($C213,9,15)&gt;=$V$210,$Y$210*(1+($U$210)/100)^MAX(0,$C213-$AB$210),0)))))</f>
      </c>
      <c r="N213" s="43">
        <f>IF($S$210=0,0,IF(OR(DATE($C213,10,15)&lt;$S$210,AND($T$210&gt;0,DATE($C213,10,15)&gt;$T$210)),0,IF(DATE($C213,10,15)&gt;=$X$210,$AA$210*(1+($U$210)/100)^MAX(0,$C213-$AD$210),IF(DATE($C213,10,15)&gt;=$W$210,$Z$210*(1+($U$210)/100)^MAX(0,$C213-$AC$210),IF(DATE($C213,10,15)&gt;=$V$210,$Y$210*(1+($U$210)/100)^MAX(0,$C213-$AB$210),0)))))</f>
      </c>
      <c r="O213" s="43">
        <f>IF($S$210=0,0,IF(OR(DATE($C213,11,15)&lt;$S$210,AND($T$210&gt;0,DATE($C213,11,15)&gt;$T$210)),0,IF(DATE($C213,11,15)&gt;=$X$210,$AA$210*(1+($U$210)/100)^MAX(0,$C213-$AD$210),IF(DATE($C213,11,15)&gt;=$W$210,$Z$210*(1+($U$210)/100)^MAX(0,$C213-$AC$210),IF(DATE($C213,11,15)&gt;=$V$210,$Y$210*(1+($U$210)/100)^MAX(0,$C213-$AB$210),0)))))</f>
      </c>
      <c r="P213" s="43">
        <f>IF($S$210=0,0,IF(OR(DATE($C213,12,15)&lt;$S$210,AND($T$210&gt;0,DATE($C213,12,15)&gt;$T$210)),0,IF(DATE($C213,12,15)&gt;=$X$210,$AA$210*(1+($U$210)/100)^MAX(0,$C213-$AD$210),IF(DATE($C213,12,15)&gt;=$W$210,$Z$210*(1+($U$210)/100)^MAX(0,$C213-$AC$210),IF(DATE($C213,12,15)&gt;=$V$210,$Y$210*(1+($U$210)/100)^MAX(0,$C213-$AB$210),0)))))</f>
      </c>
      <c r="Q213" s="43">
        <f>SUM($E213:$P213)</f>
      </c>
    </row>
    <row r="214">
      <c r="A214"/>
      <c r="B214">
        <v>7</v>
      </c>
      <c r="C214" s="43">
        <f>Jahr+4</f>
      </c>
      <c r="D214" s="43">
        <f>INDEX(MvObj,7)</f>
      </c>
      <c r="E214" s="43">
        <f>IF($S$210=0,0,IF(OR(DATE($C214,1,15)&lt;$S$210,AND($T$210&gt;0,DATE($C214,1,15)&gt;$T$210)),0,IF(DATE($C214,1,15)&gt;=$X$210,$AA$210*(1+($U$210)/100)^MAX(0,$C214-$AD$210),IF(DATE($C214,1,15)&gt;=$W$210,$Z$210*(1+($U$210)/100)^MAX(0,$C214-$AC$210),IF(DATE($C214,1,15)&gt;=$V$210,$Y$210*(1+($U$210)/100)^MAX(0,$C214-$AB$210),0)))))</f>
      </c>
      <c r="F214" s="43">
        <f>IF($S$210=0,0,IF(OR(DATE($C214,2,15)&lt;$S$210,AND($T$210&gt;0,DATE($C214,2,15)&gt;$T$210)),0,IF(DATE($C214,2,15)&gt;=$X$210,$AA$210*(1+($U$210)/100)^MAX(0,$C214-$AD$210),IF(DATE($C214,2,15)&gt;=$W$210,$Z$210*(1+($U$210)/100)^MAX(0,$C214-$AC$210),IF(DATE($C214,2,15)&gt;=$V$210,$Y$210*(1+($U$210)/100)^MAX(0,$C214-$AB$210),0)))))</f>
      </c>
      <c r="G214" s="43">
        <f>IF($S$210=0,0,IF(OR(DATE($C214,3,15)&lt;$S$210,AND($T$210&gt;0,DATE($C214,3,15)&gt;$T$210)),0,IF(DATE($C214,3,15)&gt;=$X$210,$AA$210*(1+($U$210)/100)^MAX(0,$C214-$AD$210),IF(DATE($C214,3,15)&gt;=$W$210,$Z$210*(1+($U$210)/100)^MAX(0,$C214-$AC$210),IF(DATE($C214,3,15)&gt;=$V$210,$Y$210*(1+($U$210)/100)^MAX(0,$C214-$AB$210),0)))))</f>
      </c>
      <c r="H214" s="43">
        <f>IF($S$210=0,0,IF(OR(DATE($C214,4,15)&lt;$S$210,AND($T$210&gt;0,DATE($C214,4,15)&gt;$T$210)),0,IF(DATE($C214,4,15)&gt;=$X$210,$AA$210*(1+($U$210)/100)^MAX(0,$C214-$AD$210),IF(DATE($C214,4,15)&gt;=$W$210,$Z$210*(1+($U$210)/100)^MAX(0,$C214-$AC$210),IF(DATE($C214,4,15)&gt;=$V$210,$Y$210*(1+($U$210)/100)^MAX(0,$C214-$AB$210),0)))))</f>
      </c>
      <c r="I214" s="43">
        <f>IF($S$210=0,0,IF(OR(DATE($C214,5,15)&lt;$S$210,AND($T$210&gt;0,DATE($C214,5,15)&gt;$T$210)),0,IF(DATE($C214,5,15)&gt;=$X$210,$AA$210*(1+($U$210)/100)^MAX(0,$C214-$AD$210),IF(DATE($C214,5,15)&gt;=$W$210,$Z$210*(1+($U$210)/100)^MAX(0,$C214-$AC$210),IF(DATE($C214,5,15)&gt;=$V$210,$Y$210*(1+($U$210)/100)^MAX(0,$C214-$AB$210),0)))))</f>
      </c>
      <c r="J214" s="43">
        <f>IF($S$210=0,0,IF(OR(DATE($C214,6,15)&lt;$S$210,AND($T$210&gt;0,DATE($C214,6,15)&gt;$T$210)),0,IF(DATE($C214,6,15)&gt;=$X$210,$AA$210*(1+($U$210)/100)^MAX(0,$C214-$AD$210),IF(DATE($C214,6,15)&gt;=$W$210,$Z$210*(1+($U$210)/100)^MAX(0,$C214-$AC$210),IF(DATE($C214,6,15)&gt;=$V$210,$Y$210*(1+($U$210)/100)^MAX(0,$C214-$AB$210),0)))))</f>
      </c>
      <c r="K214" s="43">
        <f>IF($S$210=0,0,IF(OR(DATE($C214,7,15)&lt;$S$210,AND($T$210&gt;0,DATE($C214,7,15)&gt;$T$210)),0,IF(DATE($C214,7,15)&gt;=$X$210,$AA$210*(1+($U$210)/100)^MAX(0,$C214-$AD$210),IF(DATE($C214,7,15)&gt;=$W$210,$Z$210*(1+($U$210)/100)^MAX(0,$C214-$AC$210),IF(DATE($C214,7,15)&gt;=$V$210,$Y$210*(1+($U$210)/100)^MAX(0,$C214-$AB$210),0)))))</f>
      </c>
      <c r="L214" s="43">
        <f>IF($S$210=0,0,IF(OR(DATE($C214,8,15)&lt;$S$210,AND($T$210&gt;0,DATE($C214,8,15)&gt;$T$210)),0,IF(DATE($C214,8,15)&gt;=$X$210,$AA$210*(1+($U$210)/100)^MAX(0,$C214-$AD$210),IF(DATE($C214,8,15)&gt;=$W$210,$Z$210*(1+($U$210)/100)^MAX(0,$C214-$AC$210),IF(DATE($C214,8,15)&gt;=$V$210,$Y$210*(1+($U$210)/100)^MAX(0,$C214-$AB$210),0)))))</f>
      </c>
      <c r="M214" s="43">
        <f>IF($S$210=0,0,IF(OR(DATE($C214,9,15)&lt;$S$210,AND($T$210&gt;0,DATE($C214,9,15)&gt;$T$210)),0,IF(DATE($C214,9,15)&gt;=$X$210,$AA$210*(1+($U$210)/100)^MAX(0,$C214-$AD$210),IF(DATE($C214,9,15)&gt;=$W$210,$Z$210*(1+($U$210)/100)^MAX(0,$C214-$AC$210),IF(DATE($C214,9,15)&gt;=$V$210,$Y$210*(1+($U$210)/100)^MAX(0,$C214-$AB$210),0)))))</f>
      </c>
      <c r="N214" s="43">
        <f>IF($S$210=0,0,IF(OR(DATE($C214,10,15)&lt;$S$210,AND($T$210&gt;0,DATE($C214,10,15)&gt;$T$210)),0,IF(DATE($C214,10,15)&gt;=$X$210,$AA$210*(1+($U$210)/100)^MAX(0,$C214-$AD$210),IF(DATE($C214,10,15)&gt;=$W$210,$Z$210*(1+($U$210)/100)^MAX(0,$C214-$AC$210),IF(DATE($C214,10,15)&gt;=$V$210,$Y$210*(1+($U$210)/100)^MAX(0,$C214-$AB$210),0)))))</f>
      </c>
      <c r="O214" s="43">
        <f>IF($S$210=0,0,IF(OR(DATE($C214,11,15)&lt;$S$210,AND($T$210&gt;0,DATE($C214,11,15)&gt;$T$210)),0,IF(DATE($C214,11,15)&gt;=$X$210,$AA$210*(1+($U$210)/100)^MAX(0,$C214-$AD$210),IF(DATE($C214,11,15)&gt;=$W$210,$Z$210*(1+($U$210)/100)^MAX(0,$C214-$AC$210),IF(DATE($C214,11,15)&gt;=$V$210,$Y$210*(1+($U$210)/100)^MAX(0,$C214-$AB$210),0)))))</f>
      </c>
      <c r="P214" s="43">
        <f>IF($S$210=0,0,IF(OR(DATE($C214,12,15)&lt;$S$210,AND($T$210&gt;0,DATE($C214,12,15)&gt;$T$210)),0,IF(DATE($C214,12,15)&gt;=$X$210,$AA$210*(1+($U$210)/100)^MAX(0,$C214-$AD$210),IF(DATE($C214,12,15)&gt;=$W$210,$Z$210*(1+($U$210)/100)^MAX(0,$C214-$AC$210),IF(DATE($C214,12,15)&gt;=$V$210,$Y$210*(1+($U$210)/100)^MAX(0,$C214-$AB$210),0)))))</f>
      </c>
      <c r="Q214" s="43">
        <f>SUM($E214:$P214)</f>
      </c>
    </row>
    <row r="215">
      <c r="A215"/>
      <c r="B215">
        <v>7</v>
      </c>
      <c r="C215" s="43">
        <f>Jahr+5</f>
      </c>
      <c r="D215" s="43">
        <f>INDEX(MvObj,7)</f>
      </c>
      <c r="E215" s="43">
        <f>IF($S$210=0,0,IF(OR(DATE($C215,1,15)&lt;$S$210,AND($T$210&gt;0,DATE($C215,1,15)&gt;$T$210)),0,IF(DATE($C215,1,15)&gt;=$X$210,$AA$210*(1+($U$210)/100)^MAX(0,$C215-$AD$210),IF(DATE($C215,1,15)&gt;=$W$210,$Z$210*(1+($U$210)/100)^MAX(0,$C215-$AC$210),IF(DATE($C215,1,15)&gt;=$V$210,$Y$210*(1+($U$210)/100)^MAX(0,$C215-$AB$210),0)))))</f>
      </c>
      <c r="F215" s="43">
        <f>IF($S$210=0,0,IF(OR(DATE($C215,2,15)&lt;$S$210,AND($T$210&gt;0,DATE($C215,2,15)&gt;$T$210)),0,IF(DATE($C215,2,15)&gt;=$X$210,$AA$210*(1+($U$210)/100)^MAX(0,$C215-$AD$210),IF(DATE($C215,2,15)&gt;=$W$210,$Z$210*(1+($U$210)/100)^MAX(0,$C215-$AC$210),IF(DATE($C215,2,15)&gt;=$V$210,$Y$210*(1+($U$210)/100)^MAX(0,$C215-$AB$210),0)))))</f>
      </c>
      <c r="G215" s="43">
        <f>IF($S$210=0,0,IF(OR(DATE($C215,3,15)&lt;$S$210,AND($T$210&gt;0,DATE($C215,3,15)&gt;$T$210)),0,IF(DATE($C215,3,15)&gt;=$X$210,$AA$210*(1+($U$210)/100)^MAX(0,$C215-$AD$210),IF(DATE($C215,3,15)&gt;=$W$210,$Z$210*(1+($U$210)/100)^MAX(0,$C215-$AC$210),IF(DATE($C215,3,15)&gt;=$V$210,$Y$210*(1+($U$210)/100)^MAX(0,$C215-$AB$210),0)))))</f>
      </c>
      <c r="H215" s="43">
        <f>IF($S$210=0,0,IF(OR(DATE($C215,4,15)&lt;$S$210,AND($T$210&gt;0,DATE($C215,4,15)&gt;$T$210)),0,IF(DATE($C215,4,15)&gt;=$X$210,$AA$210*(1+($U$210)/100)^MAX(0,$C215-$AD$210),IF(DATE($C215,4,15)&gt;=$W$210,$Z$210*(1+($U$210)/100)^MAX(0,$C215-$AC$210),IF(DATE($C215,4,15)&gt;=$V$210,$Y$210*(1+($U$210)/100)^MAX(0,$C215-$AB$210),0)))))</f>
      </c>
      <c r="I215" s="43">
        <f>IF($S$210=0,0,IF(OR(DATE($C215,5,15)&lt;$S$210,AND($T$210&gt;0,DATE($C215,5,15)&gt;$T$210)),0,IF(DATE($C215,5,15)&gt;=$X$210,$AA$210*(1+($U$210)/100)^MAX(0,$C215-$AD$210),IF(DATE($C215,5,15)&gt;=$W$210,$Z$210*(1+($U$210)/100)^MAX(0,$C215-$AC$210),IF(DATE($C215,5,15)&gt;=$V$210,$Y$210*(1+($U$210)/100)^MAX(0,$C215-$AB$210),0)))))</f>
      </c>
      <c r="J215" s="43">
        <f>IF($S$210=0,0,IF(OR(DATE($C215,6,15)&lt;$S$210,AND($T$210&gt;0,DATE($C215,6,15)&gt;$T$210)),0,IF(DATE($C215,6,15)&gt;=$X$210,$AA$210*(1+($U$210)/100)^MAX(0,$C215-$AD$210),IF(DATE($C215,6,15)&gt;=$W$210,$Z$210*(1+($U$210)/100)^MAX(0,$C215-$AC$210),IF(DATE($C215,6,15)&gt;=$V$210,$Y$210*(1+($U$210)/100)^MAX(0,$C215-$AB$210),0)))))</f>
      </c>
      <c r="K215" s="43">
        <f>IF($S$210=0,0,IF(OR(DATE($C215,7,15)&lt;$S$210,AND($T$210&gt;0,DATE($C215,7,15)&gt;$T$210)),0,IF(DATE($C215,7,15)&gt;=$X$210,$AA$210*(1+($U$210)/100)^MAX(0,$C215-$AD$210),IF(DATE($C215,7,15)&gt;=$W$210,$Z$210*(1+($U$210)/100)^MAX(0,$C215-$AC$210),IF(DATE($C215,7,15)&gt;=$V$210,$Y$210*(1+($U$210)/100)^MAX(0,$C215-$AB$210),0)))))</f>
      </c>
      <c r="L215" s="43">
        <f>IF($S$210=0,0,IF(OR(DATE($C215,8,15)&lt;$S$210,AND($T$210&gt;0,DATE($C215,8,15)&gt;$T$210)),0,IF(DATE($C215,8,15)&gt;=$X$210,$AA$210*(1+($U$210)/100)^MAX(0,$C215-$AD$210),IF(DATE($C215,8,15)&gt;=$W$210,$Z$210*(1+($U$210)/100)^MAX(0,$C215-$AC$210),IF(DATE($C215,8,15)&gt;=$V$210,$Y$210*(1+($U$210)/100)^MAX(0,$C215-$AB$210),0)))))</f>
      </c>
      <c r="M215" s="43">
        <f>IF($S$210=0,0,IF(OR(DATE($C215,9,15)&lt;$S$210,AND($T$210&gt;0,DATE($C215,9,15)&gt;$T$210)),0,IF(DATE($C215,9,15)&gt;=$X$210,$AA$210*(1+($U$210)/100)^MAX(0,$C215-$AD$210),IF(DATE($C215,9,15)&gt;=$W$210,$Z$210*(1+($U$210)/100)^MAX(0,$C215-$AC$210),IF(DATE($C215,9,15)&gt;=$V$210,$Y$210*(1+($U$210)/100)^MAX(0,$C215-$AB$210),0)))))</f>
      </c>
      <c r="N215" s="43">
        <f>IF($S$210=0,0,IF(OR(DATE($C215,10,15)&lt;$S$210,AND($T$210&gt;0,DATE($C215,10,15)&gt;$T$210)),0,IF(DATE($C215,10,15)&gt;=$X$210,$AA$210*(1+($U$210)/100)^MAX(0,$C215-$AD$210),IF(DATE($C215,10,15)&gt;=$W$210,$Z$210*(1+($U$210)/100)^MAX(0,$C215-$AC$210),IF(DATE($C215,10,15)&gt;=$V$210,$Y$210*(1+($U$210)/100)^MAX(0,$C215-$AB$210),0)))))</f>
      </c>
      <c r="O215" s="43">
        <f>IF($S$210=0,0,IF(OR(DATE($C215,11,15)&lt;$S$210,AND($T$210&gt;0,DATE($C215,11,15)&gt;$T$210)),0,IF(DATE($C215,11,15)&gt;=$X$210,$AA$210*(1+($U$210)/100)^MAX(0,$C215-$AD$210),IF(DATE($C215,11,15)&gt;=$W$210,$Z$210*(1+($U$210)/100)^MAX(0,$C215-$AC$210),IF(DATE($C215,11,15)&gt;=$V$210,$Y$210*(1+($U$210)/100)^MAX(0,$C215-$AB$210),0)))))</f>
      </c>
      <c r="P215" s="43">
        <f>IF($S$210=0,0,IF(OR(DATE($C215,12,15)&lt;$S$210,AND($T$210&gt;0,DATE($C215,12,15)&gt;$T$210)),0,IF(DATE($C215,12,15)&gt;=$X$210,$AA$210*(1+($U$210)/100)^MAX(0,$C215-$AD$210),IF(DATE($C215,12,15)&gt;=$W$210,$Z$210*(1+($U$210)/100)^MAX(0,$C215-$AC$210),IF(DATE($C215,12,15)&gt;=$V$210,$Y$210*(1+($U$210)/100)^MAX(0,$C215-$AB$210),0)))))</f>
      </c>
      <c r="Q215" s="43">
        <f>SUM($E215:$P215)</f>
      </c>
    </row>
    <row r="216">
      <c r="A216"/>
      <c r="B216">
        <v>7</v>
      </c>
      <c r="C216" s="43">
        <f>Jahr+6</f>
      </c>
      <c r="D216" s="43">
        <f>INDEX(MvObj,7)</f>
      </c>
      <c r="E216" s="43">
        <f>IF($S$210=0,0,IF(OR(DATE($C216,1,15)&lt;$S$210,AND($T$210&gt;0,DATE($C216,1,15)&gt;$T$210)),0,IF(DATE($C216,1,15)&gt;=$X$210,$AA$210*(1+($U$210)/100)^MAX(0,$C216-$AD$210),IF(DATE($C216,1,15)&gt;=$W$210,$Z$210*(1+($U$210)/100)^MAX(0,$C216-$AC$210),IF(DATE($C216,1,15)&gt;=$V$210,$Y$210*(1+($U$210)/100)^MAX(0,$C216-$AB$210),0)))))</f>
      </c>
      <c r="F216" s="43">
        <f>IF($S$210=0,0,IF(OR(DATE($C216,2,15)&lt;$S$210,AND($T$210&gt;0,DATE($C216,2,15)&gt;$T$210)),0,IF(DATE($C216,2,15)&gt;=$X$210,$AA$210*(1+($U$210)/100)^MAX(0,$C216-$AD$210),IF(DATE($C216,2,15)&gt;=$W$210,$Z$210*(1+($U$210)/100)^MAX(0,$C216-$AC$210),IF(DATE($C216,2,15)&gt;=$V$210,$Y$210*(1+($U$210)/100)^MAX(0,$C216-$AB$210),0)))))</f>
      </c>
      <c r="G216" s="43">
        <f>IF($S$210=0,0,IF(OR(DATE($C216,3,15)&lt;$S$210,AND($T$210&gt;0,DATE($C216,3,15)&gt;$T$210)),0,IF(DATE($C216,3,15)&gt;=$X$210,$AA$210*(1+($U$210)/100)^MAX(0,$C216-$AD$210),IF(DATE($C216,3,15)&gt;=$W$210,$Z$210*(1+($U$210)/100)^MAX(0,$C216-$AC$210),IF(DATE($C216,3,15)&gt;=$V$210,$Y$210*(1+($U$210)/100)^MAX(0,$C216-$AB$210),0)))))</f>
      </c>
      <c r="H216" s="43">
        <f>IF($S$210=0,0,IF(OR(DATE($C216,4,15)&lt;$S$210,AND($T$210&gt;0,DATE($C216,4,15)&gt;$T$210)),0,IF(DATE($C216,4,15)&gt;=$X$210,$AA$210*(1+($U$210)/100)^MAX(0,$C216-$AD$210),IF(DATE($C216,4,15)&gt;=$W$210,$Z$210*(1+($U$210)/100)^MAX(0,$C216-$AC$210),IF(DATE($C216,4,15)&gt;=$V$210,$Y$210*(1+($U$210)/100)^MAX(0,$C216-$AB$210),0)))))</f>
      </c>
      <c r="I216" s="43">
        <f>IF($S$210=0,0,IF(OR(DATE($C216,5,15)&lt;$S$210,AND($T$210&gt;0,DATE($C216,5,15)&gt;$T$210)),0,IF(DATE($C216,5,15)&gt;=$X$210,$AA$210*(1+($U$210)/100)^MAX(0,$C216-$AD$210),IF(DATE($C216,5,15)&gt;=$W$210,$Z$210*(1+($U$210)/100)^MAX(0,$C216-$AC$210),IF(DATE($C216,5,15)&gt;=$V$210,$Y$210*(1+($U$210)/100)^MAX(0,$C216-$AB$210),0)))))</f>
      </c>
      <c r="J216" s="43">
        <f>IF($S$210=0,0,IF(OR(DATE($C216,6,15)&lt;$S$210,AND($T$210&gt;0,DATE($C216,6,15)&gt;$T$210)),0,IF(DATE($C216,6,15)&gt;=$X$210,$AA$210*(1+($U$210)/100)^MAX(0,$C216-$AD$210),IF(DATE($C216,6,15)&gt;=$W$210,$Z$210*(1+($U$210)/100)^MAX(0,$C216-$AC$210),IF(DATE($C216,6,15)&gt;=$V$210,$Y$210*(1+($U$210)/100)^MAX(0,$C216-$AB$210),0)))))</f>
      </c>
      <c r="K216" s="43">
        <f>IF($S$210=0,0,IF(OR(DATE($C216,7,15)&lt;$S$210,AND($T$210&gt;0,DATE($C216,7,15)&gt;$T$210)),0,IF(DATE($C216,7,15)&gt;=$X$210,$AA$210*(1+($U$210)/100)^MAX(0,$C216-$AD$210),IF(DATE($C216,7,15)&gt;=$W$210,$Z$210*(1+($U$210)/100)^MAX(0,$C216-$AC$210),IF(DATE($C216,7,15)&gt;=$V$210,$Y$210*(1+($U$210)/100)^MAX(0,$C216-$AB$210),0)))))</f>
      </c>
      <c r="L216" s="43">
        <f>IF($S$210=0,0,IF(OR(DATE($C216,8,15)&lt;$S$210,AND($T$210&gt;0,DATE($C216,8,15)&gt;$T$210)),0,IF(DATE($C216,8,15)&gt;=$X$210,$AA$210*(1+($U$210)/100)^MAX(0,$C216-$AD$210),IF(DATE($C216,8,15)&gt;=$W$210,$Z$210*(1+($U$210)/100)^MAX(0,$C216-$AC$210),IF(DATE($C216,8,15)&gt;=$V$210,$Y$210*(1+($U$210)/100)^MAX(0,$C216-$AB$210),0)))))</f>
      </c>
      <c r="M216" s="43">
        <f>IF($S$210=0,0,IF(OR(DATE($C216,9,15)&lt;$S$210,AND($T$210&gt;0,DATE($C216,9,15)&gt;$T$210)),0,IF(DATE($C216,9,15)&gt;=$X$210,$AA$210*(1+($U$210)/100)^MAX(0,$C216-$AD$210),IF(DATE($C216,9,15)&gt;=$W$210,$Z$210*(1+($U$210)/100)^MAX(0,$C216-$AC$210),IF(DATE($C216,9,15)&gt;=$V$210,$Y$210*(1+($U$210)/100)^MAX(0,$C216-$AB$210),0)))))</f>
      </c>
      <c r="N216" s="43">
        <f>IF($S$210=0,0,IF(OR(DATE($C216,10,15)&lt;$S$210,AND($T$210&gt;0,DATE($C216,10,15)&gt;$T$210)),0,IF(DATE($C216,10,15)&gt;=$X$210,$AA$210*(1+($U$210)/100)^MAX(0,$C216-$AD$210),IF(DATE($C216,10,15)&gt;=$W$210,$Z$210*(1+($U$210)/100)^MAX(0,$C216-$AC$210),IF(DATE($C216,10,15)&gt;=$V$210,$Y$210*(1+($U$210)/100)^MAX(0,$C216-$AB$210),0)))))</f>
      </c>
      <c r="O216" s="43">
        <f>IF($S$210=0,0,IF(OR(DATE($C216,11,15)&lt;$S$210,AND($T$210&gt;0,DATE($C216,11,15)&gt;$T$210)),0,IF(DATE($C216,11,15)&gt;=$X$210,$AA$210*(1+($U$210)/100)^MAX(0,$C216-$AD$210),IF(DATE($C216,11,15)&gt;=$W$210,$Z$210*(1+($U$210)/100)^MAX(0,$C216-$AC$210),IF(DATE($C216,11,15)&gt;=$V$210,$Y$210*(1+($U$210)/100)^MAX(0,$C216-$AB$210),0)))))</f>
      </c>
      <c r="P216" s="43">
        <f>IF($S$210=0,0,IF(OR(DATE($C216,12,15)&lt;$S$210,AND($T$210&gt;0,DATE($C216,12,15)&gt;$T$210)),0,IF(DATE($C216,12,15)&gt;=$X$210,$AA$210*(1+($U$210)/100)^MAX(0,$C216-$AD$210),IF(DATE($C216,12,15)&gt;=$W$210,$Z$210*(1+($U$210)/100)^MAX(0,$C216-$AC$210),IF(DATE($C216,12,15)&gt;=$V$210,$Y$210*(1+($U$210)/100)^MAX(0,$C216-$AB$210),0)))))</f>
      </c>
      <c r="Q216" s="43">
        <f>SUM($E216:$P216)</f>
      </c>
    </row>
    <row r="217">
      <c r="A217"/>
      <c r="B217">
        <v>7</v>
      </c>
      <c r="C217" s="43">
        <f>Jahr+7</f>
      </c>
      <c r="D217" s="43">
        <f>INDEX(MvObj,7)</f>
      </c>
      <c r="E217" s="43">
        <f>IF($S$210=0,0,IF(OR(DATE($C217,1,15)&lt;$S$210,AND($T$210&gt;0,DATE($C217,1,15)&gt;$T$210)),0,IF(DATE($C217,1,15)&gt;=$X$210,$AA$210*(1+($U$210)/100)^MAX(0,$C217-$AD$210),IF(DATE($C217,1,15)&gt;=$W$210,$Z$210*(1+($U$210)/100)^MAX(0,$C217-$AC$210),IF(DATE($C217,1,15)&gt;=$V$210,$Y$210*(1+($U$210)/100)^MAX(0,$C217-$AB$210),0)))))</f>
      </c>
      <c r="F217" s="43">
        <f>IF($S$210=0,0,IF(OR(DATE($C217,2,15)&lt;$S$210,AND($T$210&gt;0,DATE($C217,2,15)&gt;$T$210)),0,IF(DATE($C217,2,15)&gt;=$X$210,$AA$210*(1+($U$210)/100)^MAX(0,$C217-$AD$210),IF(DATE($C217,2,15)&gt;=$W$210,$Z$210*(1+($U$210)/100)^MAX(0,$C217-$AC$210),IF(DATE($C217,2,15)&gt;=$V$210,$Y$210*(1+($U$210)/100)^MAX(0,$C217-$AB$210),0)))))</f>
      </c>
      <c r="G217" s="43">
        <f>IF($S$210=0,0,IF(OR(DATE($C217,3,15)&lt;$S$210,AND($T$210&gt;0,DATE($C217,3,15)&gt;$T$210)),0,IF(DATE($C217,3,15)&gt;=$X$210,$AA$210*(1+($U$210)/100)^MAX(0,$C217-$AD$210),IF(DATE($C217,3,15)&gt;=$W$210,$Z$210*(1+($U$210)/100)^MAX(0,$C217-$AC$210),IF(DATE($C217,3,15)&gt;=$V$210,$Y$210*(1+($U$210)/100)^MAX(0,$C217-$AB$210),0)))))</f>
      </c>
      <c r="H217" s="43">
        <f>IF($S$210=0,0,IF(OR(DATE($C217,4,15)&lt;$S$210,AND($T$210&gt;0,DATE($C217,4,15)&gt;$T$210)),0,IF(DATE($C217,4,15)&gt;=$X$210,$AA$210*(1+($U$210)/100)^MAX(0,$C217-$AD$210),IF(DATE($C217,4,15)&gt;=$W$210,$Z$210*(1+($U$210)/100)^MAX(0,$C217-$AC$210),IF(DATE($C217,4,15)&gt;=$V$210,$Y$210*(1+($U$210)/100)^MAX(0,$C217-$AB$210),0)))))</f>
      </c>
      <c r="I217" s="43">
        <f>IF($S$210=0,0,IF(OR(DATE($C217,5,15)&lt;$S$210,AND($T$210&gt;0,DATE($C217,5,15)&gt;$T$210)),0,IF(DATE($C217,5,15)&gt;=$X$210,$AA$210*(1+($U$210)/100)^MAX(0,$C217-$AD$210),IF(DATE($C217,5,15)&gt;=$W$210,$Z$210*(1+($U$210)/100)^MAX(0,$C217-$AC$210),IF(DATE($C217,5,15)&gt;=$V$210,$Y$210*(1+($U$210)/100)^MAX(0,$C217-$AB$210),0)))))</f>
      </c>
      <c r="J217" s="43">
        <f>IF($S$210=0,0,IF(OR(DATE($C217,6,15)&lt;$S$210,AND($T$210&gt;0,DATE($C217,6,15)&gt;$T$210)),0,IF(DATE($C217,6,15)&gt;=$X$210,$AA$210*(1+($U$210)/100)^MAX(0,$C217-$AD$210),IF(DATE($C217,6,15)&gt;=$W$210,$Z$210*(1+($U$210)/100)^MAX(0,$C217-$AC$210),IF(DATE($C217,6,15)&gt;=$V$210,$Y$210*(1+($U$210)/100)^MAX(0,$C217-$AB$210),0)))))</f>
      </c>
      <c r="K217" s="43">
        <f>IF($S$210=0,0,IF(OR(DATE($C217,7,15)&lt;$S$210,AND($T$210&gt;0,DATE($C217,7,15)&gt;$T$210)),0,IF(DATE($C217,7,15)&gt;=$X$210,$AA$210*(1+($U$210)/100)^MAX(0,$C217-$AD$210),IF(DATE($C217,7,15)&gt;=$W$210,$Z$210*(1+($U$210)/100)^MAX(0,$C217-$AC$210),IF(DATE($C217,7,15)&gt;=$V$210,$Y$210*(1+($U$210)/100)^MAX(0,$C217-$AB$210),0)))))</f>
      </c>
      <c r="L217" s="43">
        <f>IF($S$210=0,0,IF(OR(DATE($C217,8,15)&lt;$S$210,AND($T$210&gt;0,DATE($C217,8,15)&gt;$T$210)),0,IF(DATE($C217,8,15)&gt;=$X$210,$AA$210*(1+($U$210)/100)^MAX(0,$C217-$AD$210),IF(DATE($C217,8,15)&gt;=$W$210,$Z$210*(1+($U$210)/100)^MAX(0,$C217-$AC$210),IF(DATE($C217,8,15)&gt;=$V$210,$Y$210*(1+($U$210)/100)^MAX(0,$C217-$AB$210),0)))))</f>
      </c>
      <c r="M217" s="43">
        <f>IF($S$210=0,0,IF(OR(DATE($C217,9,15)&lt;$S$210,AND($T$210&gt;0,DATE($C217,9,15)&gt;$T$210)),0,IF(DATE($C217,9,15)&gt;=$X$210,$AA$210*(1+($U$210)/100)^MAX(0,$C217-$AD$210),IF(DATE($C217,9,15)&gt;=$W$210,$Z$210*(1+($U$210)/100)^MAX(0,$C217-$AC$210),IF(DATE($C217,9,15)&gt;=$V$210,$Y$210*(1+($U$210)/100)^MAX(0,$C217-$AB$210),0)))))</f>
      </c>
      <c r="N217" s="43">
        <f>IF($S$210=0,0,IF(OR(DATE($C217,10,15)&lt;$S$210,AND($T$210&gt;0,DATE($C217,10,15)&gt;$T$210)),0,IF(DATE($C217,10,15)&gt;=$X$210,$AA$210*(1+($U$210)/100)^MAX(0,$C217-$AD$210),IF(DATE($C217,10,15)&gt;=$W$210,$Z$210*(1+($U$210)/100)^MAX(0,$C217-$AC$210),IF(DATE($C217,10,15)&gt;=$V$210,$Y$210*(1+($U$210)/100)^MAX(0,$C217-$AB$210),0)))))</f>
      </c>
      <c r="O217" s="43">
        <f>IF($S$210=0,0,IF(OR(DATE($C217,11,15)&lt;$S$210,AND($T$210&gt;0,DATE($C217,11,15)&gt;$T$210)),0,IF(DATE($C217,11,15)&gt;=$X$210,$AA$210*(1+($U$210)/100)^MAX(0,$C217-$AD$210),IF(DATE($C217,11,15)&gt;=$W$210,$Z$210*(1+($U$210)/100)^MAX(0,$C217-$AC$210),IF(DATE($C217,11,15)&gt;=$V$210,$Y$210*(1+($U$210)/100)^MAX(0,$C217-$AB$210),0)))))</f>
      </c>
      <c r="P217" s="43">
        <f>IF($S$210=0,0,IF(OR(DATE($C217,12,15)&lt;$S$210,AND($T$210&gt;0,DATE($C217,12,15)&gt;$T$210)),0,IF(DATE($C217,12,15)&gt;=$X$210,$AA$210*(1+($U$210)/100)^MAX(0,$C217-$AD$210),IF(DATE($C217,12,15)&gt;=$W$210,$Z$210*(1+($U$210)/100)^MAX(0,$C217-$AC$210),IF(DATE($C217,12,15)&gt;=$V$210,$Y$210*(1+($U$210)/100)^MAX(0,$C217-$AB$210),0)))))</f>
      </c>
      <c r="Q217" s="43">
        <f>SUM($E217:$P217)</f>
      </c>
    </row>
    <row r="218">
      <c r="A218"/>
      <c r="B218">
        <v>7</v>
      </c>
      <c r="C218" s="43">
        <f>Jahr+8</f>
      </c>
      <c r="D218" s="43">
        <f>INDEX(MvObj,7)</f>
      </c>
      <c r="E218" s="43">
        <f>IF($S$210=0,0,IF(OR(DATE($C218,1,15)&lt;$S$210,AND($T$210&gt;0,DATE($C218,1,15)&gt;$T$210)),0,IF(DATE($C218,1,15)&gt;=$X$210,$AA$210*(1+($U$210)/100)^MAX(0,$C218-$AD$210),IF(DATE($C218,1,15)&gt;=$W$210,$Z$210*(1+($U$210)/100)^MAX(0,$C218-$AC$210),IF(DATE($C218,1,15)&gt;=$V$210,$Y$210*(1+($U$210)/100)^MAX(0,$C218-$AB$210),0)))))</f>
      </c>
      <c r="F218" s="43">
        <f>IF($S$210=0,0,IF(OR(DATE($C218,2,15)&lt;$S$210,AND($T$210&gt;0,DATE($C218,2,15)&gt;$T$210)),0,IF(DATE($C218,2,15)&gt;=$X$210,$AA$210*(1+($U$210)/100)^MAX(0,$C218-$AD$210),IF(DATE($C218,2,15)&gt;=$W$210,$Z$210*(1+($U$210)/100)^MAX(0,$C218-$AC$210),IF(DATE($C218,2,15)&gt;=$V$210,$Y$210*(1+($U$210)/100)^MAX(0,$C218-$AB$210),0)))))</f>
      </c>
      <c r="G218" s="43">
        <f>IF($S$210=0,0,IF(OR(DATE($C218,3,15)&lt;$S$210,AND($T$210&gt;0,DATE($C218,3,15)&gt;$T$210)),0,IF(DATE($C218,3,15)&gt;=$X$210,$AA$210*(1+($U$210)/100)^MAX(0,$C218-$AD$210),IF(DATE($C218,3,15)&gt;=$W$210,$Z$210*(1+($U$210)/100)^MAX(0,$C218-$AC$210),IF(DATE($C218,3,15)&gt;=$V$210,$Y$210*(1+($U$210)/100)^MAX(0,$C218-$AB$210),0)))))</f>
      </c>
      <c r="H218" s="43">
        <f>IF($S$210=0,0,IF(OR(DATE($C218,4,15)&lt;$S$210,AND($T$210&gt;0,DATE($C218,4,15)&gt;$T$210)),0,IF(DATE($C218,4,15)&gt;=$X$210,$AA$210*(1+($U$210)/100)^MAX(0,$C218-$AD$210),IF(DATE($C218,4,15)&gt;=$W$210,$Z$210*(1+($U$210)/100)^MAX(0,$C218-$AC$210),IF(DATE($C218,4,15)&gt;=$V$210,$Y$210*(1+($U$210)/100)^MAX(0,$C218-$AB$210),0)))))</f>
      </c>
      <c r="I218" s="43">
        <f>IF($S$210=0,0,IF(OR(DATE($C218,5,15)&lt;$S$210,AND($T$210&gt;0,DATE($C218,5,15)&gt;$T$210)),0,IF(DATE($C218,5,15)&gt;=$X$210,$AA$210*(1+($U$210)/100)^MAX(0,$C218-$AD$210),IF(DATE($C218,5,15)&gt;=$W$210,$Z$210*(1+($U$210)/100)^MAX(0,$C218-$AC$210),IF(DATE($C218,5,15)&gt;=$V$210,$Y$210*(1+($U$210)/100)^MAX(0,$C218-$AB$210),0)))))</f>
      </c>
      <c r="J218" s="43">
        <f>IF($S$210=0,0,IF(OR(DATE($C218,6,15)&lt;$S$210,AND($T$210&gt;0,DATE($C218,6,15)&gt;$T$210)),0,IF(DATE($C218,6,15)&gt;=$X$210,$AA$210*(1+($U$210)/100)^MAX(0,$C218-$AD$210),IF(DATE($C218,6,15)&gt;=$W$210,$Z$210*(1+($U$210)/100)^MAX(0,$C218-$AC$210),IF(DATE($C218,6,15)&gt;=$V$210,$Y$210*(1+($U$210)/100)^MAX(0,$C218-$AB$210),0)))))</f>
      </c>
      <c r="K218" s="43">
        <f>IF($S$210=0,0,IF(OR(DATE($C218,7,15)&lt;$S$210,AND($T$210&gt;0,DATE($C218,7,15)&gt;$T$210)),0,IF(DATE($C218,7,15)&gt;=$X$210,$AA$210*(1+($U$210)/100)^MAX(0,$C218-$AD$210),IF(DATE($C218,7,15)&gt;=$W$210,$Z$210*(1+($U$210)/100)^MAX(0,$C218-$AC$210),IF(DATE($C218,7,15)&gt;=$V$210,$Y$210*(1+($U$210)/100)^MAX(0,$C218-$AB$210),0)))))</f>
      </c>
      <c r="L218" s="43">
        <f>IF($S$210=0,0,IF(OR(DATE($C218,8,15)&lt;$S$210,AND($T$210&gt;0,DATE($C218,8,15)&gt;$T$210)),0,IF(DATE($C218,8,15)&gt;=$X$210,$AA$210*(1+($U$210)/100)^MAX(0,$C218-$AD$210),IF(DATE($C218,8,15)&gt;=$W$210,$Z$210*(1+($U$210)/100)^MAX(0,$C218-$AC$210),IF(DATE($C218,8,15)&gt;=$V$210,$Y$210*(1+($U$210)/100)^MAX(0,$C218-$AB$210),0)))))</f>
      </c>
      <c r="M218" s="43">
        <f>IF($S$210=0,0,IF(OR(DATE($C218,9,15)&lt;$S$210,AND($T$210&gt;0,DATE($C218,9,15)&gt;$T$210)),0,IF(DATE($C218,9,15)&gt;=$X$210,$AA$210*(1+($U$210)/100)^MAX(0,$C218-$AD$210),IF(DATE($C218,9,15)&gt;=$W$210,$Z$210*(1+($U$210)/100)^MAX(0,$C218-$AC$210),IF(DATE($C218,9,15)&gt;=$V$210,$Y$210*(1+($U$210)/100)^MAX(0,$C218-$AB$210),0)))))</f>
      </c>
      <c r="N218" s="43">
        <f>IF($S$210=0,0,IF(OR(DATE($C218,10,15)&lt;$S$210,AND($T$210&gt;0,DATE($C218,10,15)&gt;$T$210)),0,IF(DATE($C218,10,15)&gt;=$X$210,$AA$210*(1+($U$210)/100)^MAX(0,$C218-$AD$210),IF(DATE($C218,10,15)&gt;=$W$210,$Z$210*(1+($U$210)/100)^MAX(0,$C218-$AC$210),IF(DATE($C218,10,15)&gt;=$V$210,$Y$210*(1+($U$210)/100)^MAX(0,$C218-$AB$210),0)))))</f>
      </c>
      <c r="O218" s="43">
        <f>IF($S$210=0,0,IF(OR(DATE($C218,11,15)&lt;$S$210,AND($T$210&gt;0,DATE($C218,11,15)&gt;$T$210)),0,IF(DATE($C218,11,15)&gt;=$X$210,$AA$210*(1+($U$210)/100)^MAX(0,$C218-$AD$210),IF(DATE($C218,11,15)&gt;=$W$210,$Z$210*(1+($U$210)/100)^MAX(0,$C218-$AC$210),IF(DATE($C218,11,15)&gt;=$V$210,$Y$210*(1+($U$210)/100)^MAX(0,$C218-$AB$210),0)))))</f>
      </c>
      <c r="P218" s="43">
        <f>IF($S$210=0,0,IF(OR(DATE($C218,12,15)&lt;$S$210,AND($T$210&gt;0,DATE($C218,12,15)&gt;$T$210)),0,IF(DATE($C218,12,15)&gt;=$X$210,$AA$210*(1+($U$210)/100)^MAX(0,$C218-$AD$210),IF(DATE($C218,12,15)&gt;=$W$210,$Z$210*(1+($U$210)/100)^MAX(0,$C218-$AC$210),IF(DATE($C218,12,15)&gt;=$V$210,$Y$210*(1+($U$210)/100)^MAX(0,$C218-$AB$210),0)))))</f>
      </c>
      <c r="Q218" s="43">
        <f>SUM($E218:$P218)</f>
      </c>
    </row>
    <row r="219">
      <c r="A219"/>
      <c r="B219">
        <v>7</v>
      </c>
      <c r="C219" s="43">
        <f>Jahr+9</f>
      </c>
      <c r="D219" s="43">
        <f>INDEX(MvObj,7)</f>
      </c>
      <c r="E219" s="43">
        <f>IF($S$210=0,0,IF(OR(DATE($C219,1,15)&lt;$S$210,AND($T$210&gt;0,DATE($C219,1,15)&gt;$T$210)),0,IF(DATE($C219,1,15)&gt;=$X$210,$AA$210*(1+($U$210)/100)^MAX(0,$C219-$AD$210),IF(DATE($C219,1,15)&gt;=$W$210,$Z$210*(1+($U$210)/100)^MAX(0,$C219-$AC$210),IF(DATE($C219,1,15)&gt;=$V$210,$Y$210*(1+($U$210)/100)^MAX(0,$C219-$AB$210),0)))))</f>
      </c>
      <c r="F219" s="43">
        <f>IF($S$210=0,0,IF(OR(DATE($C219,2,15)&lt;$S$210,AND($T$210&gt;0,DATE($C219,2,15)&gt;$T$210)),0,IF(DATE($C219,2,15)&gt;=$X$210,$AA$210*(1+($U$210)/100)^MAX(0,$C219-$AD$210),IF(DATE($C219,2,15)&gt;=$W$210,$Z$210*(1+($U$210)/100)^MAX(0,$C219-$AC$210),IF(DATE($C219,2,15)&gt;=$V$210,$Y$210*(1+($U$210)/100)^MAX(0,$C219-$AB$210),0)))))</f>
      </c>
      <c r="G219" s="43">
        <f>IF($S$210=0,0,IF(OR(DATE($C219,3,15)&lt;$S$210,AND($T$210&gt;0,DATE($C219,3,15)&gt;$T$210)),0,IF(DATE($C219,3,15)&gt;=$X$210,$AA$210*(1+($U$210)/100)^MAX(0,$C219-$AD$210),IF(DATE($C219,3,15)&gt;=$W$210,$Z$210*(1+($U$210)/100)^MAX(0,$C219-$AC$210),IF(DATE($C219,3,15)&gt;=$V$210,$Y$210*(1+($U$210)/100)^MAX(0,$C219-$AB$210),0)))))</f>
      </c>
      <c r="H219" s="43">
        <f>IF($S$210=0,0,IF(OR(DATE($C219,4,15)&lt;$S$210,AND($T$210&gt;0,DATE($C219,4,15)&gt;$T$210)),0,IF(DATE($C219,4,15)&gt;=$X$210,$AA$210*(1+($U$210)/100)^MAX(0,$C219-$AD$210),IF(DATE($C219,4,15)&gt;=$W$210,$Z$210*(1+($U$210)/100)^MAX(0,$C219-$AC$210),IF(DATE($C219,4,15)&gt;=$V$210,$Y$210*(1+($U$210)/100)^MAX(0,$C219-$AB$210),0)))))</f>
      </c>
      <c r="I219" s="43">
        <f>IF($S$210=0,0,IF(OR(DATE($C219,5,15)&lt;$S$210,AND($T$210&gt;0,DATE($C219,5,15)&gt;$T$210)),0,IF(DATE($C219,5,15)&gt;=$X$210,$AA$210*(1+($U$210)/100)^MAX(0,$C219-$AD$210),IF(DATE($C219,5,15)&gt;=$W$210,$Z$210*(1+($U$210)/100)^MAX(0,$C219-$AC$210),IF(DATE($C219,5,15)&gt;=$V$210,$Y$210*(1+($U$210)/100)^MAX(0,$C219-$AB$210),0)))))</f>
      </c>
      <c r="J219" s="43">
        <f>IF($S$210=0,0,IF(OR(DATE($C219,6,15)&lt;$S$210,AND($T$210&gt;0,DATE($C219,6,15)&gt;$T$210)),0,IF(DATE($C219,6,15)&gt;=$X$210,$AA$210*(1+($U$210)/100)^MAX(0,$C219-$AD$210),IF(DATE($C219,6,15)&gt;=$W$210,$Z$210*(1+($U$210)/100)^MAX(0,$C219-$AC$210),IF(DATE($C219,6,15)&gt;=$V$210,$Y$210*(1+($U$210)/100)^MAX(0,$C219-$AB$210),0)))))</f>
      </c>
      <c r="K219" s="43">
        <f>IF($S$210=0,0,IF(OR(DATE($C219,7,15)&lt;$S$210,AND($T$210&gt;0,DATE($C219,7,15)&gt;$T$210)),0,IF(DATE($C219,7,15)&gt;=$X$210,$AA$210*(1+($U$210)/100)^MAX(0,$C219-$AD$210),IF(DATE($C219,7,15)&gt;=$W$210,$Z$210*(1+($U$210)/100)^MAX(0,$C219-$AC$210),IF(DATE($C219,7,15)&gt;=$V$210,$Y$210*(1+($U$210)/100)^MAX(0,$C219-$AB$210),0)))))</f>
      </c>
      <c r="L219" s="43">
        <f>IF($S$210=0,0,IF(OR(DATE($C219,8,15)&lt;$S$210,AND($T$210&gt;0,DATE($C219,8,15)&gt;$T$210)),0,IF(DATE($C219,8,15)&gt;=$X$210,$AA$210*(1+($U$210)/100)^MAX(0,$C219-$AD$210),IF(DATE($C219,8,15)&gt;=$W$210,$Z$210*(1+($U$210)/100)^MAX(0,$C219-$AC$210),IF(DATE($C219,8,15)&gt;=$V$210,$Y$210*(1+($U$210)/100)^MAX(0,$C219-$AB$210),0)))))</f>
      </c>
      <c r="M219" s="43">
        <f>IF($S$210=0,0,IF(OR(DATE($C219,9,15)&lt;$S$210,AND($T$210&gt;0,DATE($C219,9,15)&gt;$T$210)),0,IF(DATE($C219,9,15)&gt;=$X$210,$AA$210*(1+($U$210)/100)^MAX(0,$C219-$AD$210),IF(DATE($C219,9,15)&gt;=$W$210,$Z$210*(1+($U$210)/100)^MAX(0,$C219-$AC$210),IF(DATE($C219,9,15)&gt;=$V$210,$Y$210*(1+($U$210)/100)^MAX(0,$C219-$AB$210),0)))))</f>
      </c>
      <c r="N219" s="43">
        <f>IF($S$210=0,0,IF(OR(DATE($C219,10,15)&lt;$S$210,AND($T$210&gt;0,DATE($C219,10,15)&gt;$T$210)),0,IF(DATE($C219,10,15)&gt;=$X$210,$AA$210*(1+($U$210)/100)^MAX(0,$C219-$AD$210),IF(DATE($C219,10,15)&gt;=$W$210,$Z$210*(1+($U$210)/100)^MAX(0,$C219-$AC$210),IF(DATE($C219,10,15)&gt;=$V$210,$Y$210*(1+($U$210)/100)^MAX(0,$C219-$AB$210),0)))))</f>
      </c>
      <c r="O219" s="43">
        <f>IF($S$210=0,0,IF(OR(DATE($C219,11,15)&lt;$S$210,AND($T$210&gt;0,DATE($C219,11,15)&gt;$T$210)),0,IF(DATE($C219,11,15)&gt;=$X$210,$AA$210*(1+($U$210)/100)^MAX(0,$C219-$AD$210),IF(DATE($C219,11,15)&gt;=$W$210,$Z$210*(1+($U$210)/100)^MAX(0,$C219-$AC$210),IF(DATE($C219,11,15)&gt;=$V$210,$Y$210*(1+($U$210)/100)^MAX(0,$C219-$AB$210),0)))))</f>
      </c>
      <c r="P219" s="43">
        <f>IF($S$210=0,0,IF(OR(DATE($C219,12,15)&lt;$S$210,AND($T$210&gt;0,DATE($C219,12,15)&gt;$T$210)),0,IF(DATE($C219,12,15)&gt;=$X$210,$AA$210*(1+($U$210)/100)^MAX(0,$C219-$AD$210),IF(DATE($C219,12,15)&gt;=$W$210,$Z$210*(1+($U$210)/100)^MAX(0,$C219-$AC$210),IF(DATE($C219,12,15)&gt;=$V$210,$Y$210*(1+($U$210)/100)^MAX(0,$C219-$AB$210),0)))))</f>
      </c>
      <c r="Q219" s="43">
        <f>SUM($E219:$P219)</f>
      </c>
    </row>
    <row r="220">
      <c r="A220"/>
      <c r="B220">
        <v>7</v>
      </c>
      <c r="C220" s="43">
        <f>Jahr+10</f>
      </c>
      <c r="D220" s="43">
        <f>INDEX(MvObj,7)</f>
      </c>
      <c r="E220" s="43">
        <f>IF($S$210=0,0,IF(OR(DATE($C220,1,15)&lt;$S$210,AND($T$210&gt;0,DATE($C220,1,15)&gt;$T$210)),0,IF(DATE($C220,1,15)&gt;=$X$210,$AA$210*(1+($U$210)/100)^MAX(0,$C220-$AD$210),IF(DATE($C220,1,15)&gt;=$W$210,$Z$210*(1+($U$210)/100)^MAX(0,$C220-$AC$210),IF(DATE($C220,1,15)&gt;=$V$210,$Y$210*(1+($U$210)/100)^MAX(0,$C220-$AB$210),0)))))</f>
      </c>
      <c r="F220" s="43">
        <f>IF($S$210=0,0,IF(OR(DATE($C220,2,15)&lt;$S$210,AND($T$210&gt;0,DATE($C220,2,15)&gt;$T$210)),0,IF(DATE($C220,2,15)&gt;=$X$210,$AA$210*(1+($U$210)/100)^MAX(0,$C220-$AD$210),IF(DATE($C220,2,15)&gt;=$W$210,$Z$210*(1+($U$210)/100)^MAX(0,$C220-$AC$210),IF(DATE($C220,2,15)&gt;=$V$210,$Y$210*(1+($U$210)/100)^MAX(0,$C220-$AB$210),0)))))</f>
      </c>
      <c r="G220" s="43">
        <f>IF($S$210=0,0,IF(OR(DATE($C220,3,15)&lt;$S$210,AND($T$210&gt;0,DATE($C220,3,15)&gt;$T$210)),0,IF(DATE($C220,3,15)&gt;=$X$210,$AA$210*(1+($U$210)/100)^MAX(0,$C220-$AD$210),IF(DATE($C220,3,15)&gt;=$W$210,$Z$210*(1+($U$210)/100)^MAX(0,$C220-$AC$210),IF(DATE($C220,3,15)&gt;=$V$210,$Y$210*(1+($U$210)/100)^MAX(0,$C220-$AB$210),0)))))</f>
      </c>
      <c r="H220" s="43">
        <f>IF($S$210=0,0,IF(OR(DATE($C220,4,15)&lt;$S$210,AND($T$210&gt;0,DATE($C220,4,15)&gt;$T$210)),0,IF(DATE($C220,4,15)&gt;=$X$210,$AA$210*(1+($U$210)/100)^MAX(0,$C220-$AD$210),IF(DATE($C220,4,15)&gt;=$W$210,$Z$210*(1+($U$210)/100)^MAX(0,$C220-$AC$210),IF(DATE($C220,4,15)&gt;=$V$210,$Y$210*(1+($U$210)/100)^MAX(0,$C220-$AB$210),0)))))</f>
      </c>
      <c r="I220" s="43">
        <f>IF($S$210=0,0,IF(OR(DATE($C220,5,15)&lt;$S$210,AND($T$210&gt;0,DATE($C220,5,15)&gt;$T$210)),0,IF(DATE($C220,5,15)&gt;=$X$210,$AA$210*(1+($U$210)/100)^MAX(0,$C220-$AD$210),IF(DATE($C220,5,15)&gt;=$W$210,$Z$210*(1+($U$210)/100)^MAX(0,$C220-$AC$210),IF(DATE($C220,5,15)&gt;=$V$210,$Y$210*(1+($U$210)/100)^MAX(0,$C220-$AB$210),0)))))</f>
      </c>
      <c r="J220" s="43">
        <f>IF($S$210=0,0,IF(OR(DATE($C220,6,15)&lt;$S$210,AND($T$210&gt;0,DATE($C220,6,15)&gt;$T$210)),0,IF(DATE($C220,6,15)&gt;=$X$210,$AA$210*(1+($U$210)/100)^MAX(0,$C220-$AD$210),IF(DATE($C220,6,15)&gt;=$W$210,$Z$210*(1+($U$210)/100)^MAX(0,$C220-$AC$210),IF(DATE($C220,6,15)&gt;=$V$210,$Y$210*(1+($U$210)/100)^MAX(0,$C220-$AB$210),0)))))</f>
      </c>
      <c r="K220" s="43">
        <f>IF($S$210=0,0,IF(OR(DATE($C220,7,15)&lt;$S$210,AND($T$210&gt;0,DATE($C220,7,15)&gt;$T$210)),0,IF(DATE($C220,7,15)&gt;=$X$210,$AA$210*(1+($U$210)/100)^MAX(0,$C220-$AD$210),IF(DATE($C220,7,15)&gt;=$W$210,$Z$210*(1+($U$210)/100)^MAX(0,$C220-$AC$210),IF(DATE($C220,7,15)&gt;=$V$210,$Y$210*(1+($U$210)/100)^MAX(0,$C220-$AB$210),0)))))</f>
      </c>
      <c r="L220" s="43">
        <f>IF($S$210=0,0,IF(OR(DATE($C220,8,15)&lt;$S$210,AND($T$210&gt;0,DATE($C220,8,15)&gt;$T$210)),0,IF(DATE($C220,8,15)&gt;=$X$210,$AA$210*(1+($U$210)/100)^MAX(0,$C220-$AD$210),IF(DATE($C220,8,15)&gt;=$W$210,$Z$210*(1+($U$210)/100)^MAX(0,$C220-$AC$210),IF(DATE($C220,8,15)&gt;=$V$210,$Y$210*(1+($U$210)/100)^MAX(0,$C220-$AB$210),0)))))</f>
      </c>
      <c r="M220" s="43">
        <f>IF($S$210=0,0,IF(OR(DATE($C220,9,15)&lt;$S$210,AND($T$210&gt;0,DATE($C220,9,15)&gt;$T$210)),0,IF(DATE($C220,9,15)&gt;=$X$210,$AA$210*(1+($U$210)/100)^MAX(0,$C220-$AD$210),IF(DATE($C220,9,15)&gt;=$W$210,$Z$210*(1+($U$210)/100)^MAX(0,$C220-$AC$210),IF(DATE($C220,9,15)&gt;=$V$210,$Y$210*(1+($U$210)/100)^MAX(0,$C220-$AB$210),0)))))</f>
      </c>
      <c r="N220" s="43">
        <f>IF($S$210=0,0,IF(OR(DATE($C220,10,15)&lt;$S$210,AND($T$210&gt;0,DATE($C220,10,15)&gt;$T$210)),0,IF(DATE($C220,10,15)&gt;=$X$210,$AA$210*(1+($U$210)/100)^MAX(0,$C220-$AD$210),IF(DATE($C220,10,15)&gt;=$W$210,$Z$210*(1+($U$210)/100)^MAX(0,$C220-$AC$210),IF(DATE($C220,10,15)&gt;=$V$210,$Y$210*(1+($U$210)/100)^MAX(0,$C220-$AB$210),0)))))</f>
      </c>
      <c r="O220" s="43">
        <f>IF($S$210=0,0,IF(OR(DATE($C220,11,15)&lt;$S$210,AND($T$210&gt;0,DATE($C220,11,15)&gt;$T$210)),0,IF(DATE($C220,11,15)&gt;=$X$210,$AA$210*(1+($U$210)/100)^MAX(0,$C220-$AD$210),IF(DATE($C220,11,15)&gt;=$W$210,$Z$210*(1+($U$210)/100)^MAX(0,$C220-$AC$210),IF(DATE($C220,11,15)&gt;=$V$210,$Y$210*(1+($U$210)/100)^MAX(0,$C220-$AB$210),0)))))</f>
      </c>
      <c r="P220" s="43">
        <f>IF($S$210=0,0,IF(OR(DATE($C220,12,15)&lt;$S$210,AND($T$210&gt;0,DATE($C220,12,15)&gt;$T$210)),0,IF(DATE($C220,12,15)&gt;=$X$210,$AA$210*(1+($U$210)/100)^MAX(0,$C220-$AD$210),IF(DATE($C220,12,15)&gt;=$W$210,$Z$210*(1+($U$210)/100)^MAX(0,$C220-$AC$210),IF(DATE($C220,12,15)&gt;=$V$210,$Y$210*(1+($U$210)/100)^MAX(0,$C220-$AB$210),0)))))</f>
      </c>
      <c r="Q220" s="43">
        <f>SUM($E220:$P220)</f>
      </c>
    </row>
    <row r="221">
      <c r="A221"/>
      <c r="B221">
        <v>7</v>
      </c>
      <c r="C221" s="43">
        <f>Jahr+11</f>
      </c>
      <c r="D221" s="43">
        <f>INDEX(MvObj,7)</f>
      </c>
      <c r="E221" s="43">
        <f>IF($S$210=0,0,IF(OR(DATE($C221,1,15)&lt;$S$210,AND($T$210&gt;0,DATE($C221,1,15)&gt;$T$210)),0,IF(DATE($C221,1,15)&gt;=$X$210,$AA$210*(1+($U$210)/100)^MAX(0,$C221-$AD$210),IF(DATE($C221,1,15)&gt;=$W$210,$Z$210*(1+($U$210)/100)^MAX(0,$C221-$AC$210),IF(DATE($C221,1,15)&gt;=$V$210,$Y$210*(1+($U$210)/100)^MAX(0,$C221-$AB$210),0)))))</f>
      </c>
      <c r="F221" s="43">
        <f>IF($S$210=0,0,IF(OR(DATE($C221,2,15)&lt;$S$210,AND($T$210&gt;0,DATE($C221,2,15)&gt;$T$210)),0,IF(DATE($C221,2,15)&gt;=$X$210,$AA$210*(1+($U$210)/100)^MAX(0,$C221-$AD$210),IF(DATE($C221,2,15)&gt;=$W$210,$Z$210*(1+($U$210)/100)^MAX(0,$C221-$AC$210),IF(DATE($C221,2,15)&gt;=$V$210,$Y$210*(1+($U$210)/100)^MAX(0,$C221-$AB$210),0)))))</f>
      </c>
      <c r="G221" s="43">
        <f>IF($S$210=0,0,IF(OR(DATE($C221,3,15)&lt;$S$210,AND($T$210&gt;0,DATE($C221,3,15)&gt;$T$210)),0,IF(DATE($C221,3,15)&gt;=$X$210,$AA$210*(1+($U$210)/100)^MAX(0,$C221-$AD$210),IF(DATE($C221,3,15)&gt;=$W$210,$Z$210*(1+($U$210)/100)^MAX(0,$C221-$AC$210),IF(DATE($C221,3,15)&gt;=$V$210,$Y$210*(1+($U$210)/100)^MAX(0,$C221-$AB$210),0)))))</f>
      </c>
      <c r="H221" s="43">
        <f>IF($S$210=0,0,IF(OR(DATE($C221,4,15)&lt;$S$210,AND($T$210&gt;0,DATE($C221,4,15)&gt;$T$210)),0,IF(DATE($C221,4,15)&gt;=$X$210,$AA$210*(1+($U$210)/100)^MAX(0,$C221-$AD$210),IF(DATE($C221,4,15)&gt;=$W$210,$Z$210*(1+($U$210)/100)^MAX(0,$C221-$AC$210),IF(DATE($C221,4,15)&gt;=$V$210,$Y$210*(1+($U$210)/100)^MAX(0,$C221-$AB$210),0)))))</f>
      </c>
      <c r="I221" s="43">
        <f>IF($S$210=0,0,IF(OR(DATE($C221,5,15)&lt;$S$210,AND($T$210&gt;0,DATE($C221,5,15)&gt;$T$210)),0,IF(DATE($C221,5,15)&gt;=$X$210,$AA$210*(1+($U$210)/100)^MAX(0,$C221-$AD$210),IF(DATE($C221,5,15)&gt;=$W$210,$Z$210*(1+($U$210)/100)^MAX(0,$C221-$AC$210),IF(DATE($C221,5,15)&gt;=$V$210,$Y$210*(1+($U$210)/100)^MAX(0,$C221-$AB$210),0)))))</f>
      </c>
      <c r="J221" s="43">
        <f>IF($S$210=0,0,IF(OR(DATE($C221,6,15)&lt;$S$210,AND($T$210&gt;0,DATE($C221,6,15)&gt;$T$210)),0,IF(DATE($C221,6,15)&gt;=$X$210,$AA$210*(1+($U$210)/100)^MAX(0,$C221-$AD$210),IF(DATE($C221,6,15)&gt;=$W$210,$Z$210*(1+($U$210)/100)^MAX(0,$C221-$AC$210),IF(DATE($C221,6,15)&gt;=$V$210,$Y$210*(1+($U$210)/100)^MAX(0,$C221-$AB$210),0)))))</f>
      </c>
      <c r="K221" s="43">
        <f>IF($S$210=0,0,IF(OR(DATE($C221,7,15)&lt;$S$210,AND($T$210&gt;0,DATE($C221,7,15)&gt;$T$210)),0,IF(DATE($C221,7,15)&gt;=$X$210,$AA$210*(1+($U$210)/100)^MAX(0,$C221-$AD$210),IF(DATE($C221,7,15)&gt;=$W$210,$Z$210*(1+($U$210)/100)^MAX(0,$C221-$AC$210),IF(DATE($C221,7,15)&gt;=$V$210,$Y$210*(1+($U$210)/100)^MAX(0,$C221-$AB$210),0)))))</f>
      </c>
      <c r="L221" s="43">
        <f>IF($S$210=0,0,IF(OR(DATE($C221,8,15)&lt;$S$210,AND($T$210&gt;0,DATE($C221,8,15)&gt;$T$210)),0,IF(DATE($C221,8,15)&gt;=$X$210,$AA$210*(1+($U$210)/100)^MAX(0,$C221-$AD$210),IF(DATE($C221,8,15)&gt;=$W$210,$Z$210*(1+($U$210)/100)^MAX(0,$C221-$AC$210),IF(DATE($C221,8,15)&gt;=$V$210,$Y$210*(1+($U$210)/100)^MAX(0,$C221-$AB$210),0)))))</f>
      </c>
      <c r="M221" s="43">
        <f>IF($S$210=0,0,IF(OR(DATE($C221,9,15)&lt;$S$210,AND($T$210&gt;0,DATE($C221,9,15)&gt;$T$210)),0,IF(DATE($C221,9,15)&gt;=$X$210,$AA$210*(1+($U$210)/100)^MAX(0,$C221-$AD$210),IF(DATE($C221,9,15)&gt;=$W$210,$Z$210*(1+($U$210)/100)^MAX(0,$C221-$AC$210),IF(DATE($C221,9,15)&gt;=$V$210,$Y$210*(1+($U$210)/100)^MAX(0,$C221-$AB$210),0)))))</f>
      </c>
      <c r="N221" s="43">
        <f>IF($S$210=0,0,IF(OR(DATE($C221,10,15)&lt;$S$210,AND($T$210&gt;0,DATE($C221,10,15)&gt;$T$210)),0,IF(DATE($C221,10,15)&gt;=$X$210,$AA$210*(1+($U$210)/100)^MAX(0,$C221-$AD$210),IF(DATE($C221,10,15)&gt;=$W$210,$Z$210*(1+($U$210)/100)^MAX(0,$C221-$AC$210),IF(DATE($C221,10,15)&gt;=$V$210,$Y$210*(1+($U$210)/100)^MAX(0,$C221-$AB$210),0)))))</f>
      </c>
      <c r="O221" s="43">
        <f>IF($S$210=0,0,IF(OR(DATE($C221,11,15)&lt;$S$210,AND($T$210&gt;0,DATE($C221,11,15)&gt;$T$210)),0,IF(DATE($C221,11,15)&gt;=$X$210,$AA$210*(1+($U$210)/100)^MAX(0,$C221-$AD$210),IF(DATE($C221,11,15)&gt;=$W$210,$Z$210*(1+($U$210)/100)^MAX(0,$C221-$AC$210),IF(DATE($C221,11,15)&gt;=$V$210,$Y$210*(1+($U$210)/100)^MAX(0,$C221-$AB$210),0)))))</f>
      </c>
      <c r="P221" s="43">
        <f>IF($S$210=0,0,IF(OR(DATE($C221,12,15)&lt;$S$210,AND($T$210&gt;0,DATE($C221,12,15)&gt;$T$210)),0,IF(DATE($C221,12,15)&gt;=$X$210,$AA$210*(1+($U$210)/100)^MAX(0,$C221-$AD$210),IF(DATE($C221,12,15)&gt;=$W$210,$Z$210*(1+($U$210)/100)^MAX(0,$C221-$AC$210),IF(DATE($C221,12,15)&gt;=$V$210,$Y$210*(1+($U$210)/100)^MAX(0,$C221-$AB$210),0)))))</f>
      </c>
      <c r="Q221" s="43">
        <f>SUM($E221:$P221)</f>
      </c>
    </row>
    <row r="222">
      <c r="A222"/>
      <c r="B222">
        <v>7</v>
      </c>
      <c r="C222" s="43">
        <f>Jahr+12</f>
      </c>
      <c r="D222" s="43">
        <f>INDEX(MvObj,7)</f>
      </c>
      <c r="E222" s="43">
        <f>IF($S$210=0,0,IF(OR(DATE($C222,1,15)&lt;$S$210,AND($T$210&gt;0,DATE($C222,1,15)&gt;$T$210)),0,IF(DATE($C222,1,15)&gt;=$X$210,$AA$210*(1+($U$210)/100)^MAX(0,$C222-$AD$210),IF(DATE($C222,1,15)&gt;=$W$210,$Z$210*(1+($U$210)/100)^MAX(0,$C222-$AC$210),IF(DATE($C222,1,15)&gt;=$V$210,$Y$210*(1+($U$210)/100)^MAX(0,$C222-$AB$210),0)))))</f>
      </c>
      <c r="F222" s="43">
        <f>IF($S$210=0,0,IF(OR(DATE($C222,2,15)&lt;$S$210,AND($T$210&gt;0,DATE($C222,2,15)&gt;$T$210)),0,IF(DATE($C222,2,15)&gt;=$X$210,$AA$210*(1+($U$210)/100)^MAX(0,$C222-$AD$210),IF(DATE($C222,2,15)&gt;=$W$210,$Z$210*(1+($U$210)/100)^MAX(0,$C222-$AC$210),IF(DATE($C222,2,15)&gt;=$V$210,$Y$210*(1+($U$210)/100)^MAX(0,$C222-$AB$210),0)))))</f>
      </c>
      <c r="G222" s="43">
        <f>IF($S$210=0,0,IF(OR(DATE($C222,3,15)&lt;$S$210,AND($T$210&gt;0,DATE($C222,3,15)&gt;$T$210)),0,IF(DATE($C222,3,15)&gt;=$X$210,$AA$210*(1+($U$210)/100)^MAX(0,$C222-$AD$210),IF(DATE($C222,3,15)&gt;=$W$210,$Z$210*(1+($U$210)/100)^MAX(0,$C222-$AC$210),IF(DATE($C222,3,15)&gt;=$V$210,$Y$210*(1+($U$210)/100)^MAX(0,$C222-$AB$210),0)))))</f>
      </c>
      <c r="H222" s="43">
        <f>IF($S$210=0,0,IF(OR(DATE($C222,4,15)&lt;$S$210,AND($T$210&gt;0,DATE($C222,4,15)&gt;$T$210)),0,IF(DATE($C222,4,15)&gt;=$X$210,$AA$210*(1+($U$210)/100)^MAX(0,$C222-$AD$210),IF(DATE($C222,4,15)&gt;=$W$210,$Z$210*(1+($U$210)/100)^MAX(0,$C222-$AC$210),IF(DATE($C222,4,15)&gt;=$V$210,$Y$210*(1+($U$210)/100)^MAX(0,$C222-$AB$210),0)))))</f>
      </c>
      <c r="I222" s="43">
        <f>IF($S$210=0,0,IF(OR(DATE($C222,5,15)&lt;$S$210,AND($T$210&gt;0,DATE($C222,5,15)&gt;$T$210)),0,IF(DATE($C222,5,15)&gt;=$X$210,$AA$210*(1+($U$210)/100)^MAX(0,$C222-$AD$210),IF(DATE($C222,5,15)&gt;=$W$210,$Z$210*(1+($U$210)/100)^MAX(0,$C222-$AC$210),IF(DATE($C222,5,15)&gt;=$V$210,$Y$210*(1+($U$210)/100)^MAX(0,$C222-$AB$210),0)))))</f>
      </c>
      <c r="J222" s="43">
        <f>IF($S$210=0,0,IF(OR(DATE($C222,6,15)&lt;$S$210,AND($T$210&gt;0,DATE($C222,6,15)&gt;$T$210)),0,IF(DATE($C222,6,15)&gt;=$X$210,$AA$210*(1+($U$210)/100)^MAX(0,$C222-$AD$210),IF(DATE($C222,6,15)&gt;=$W$210,$Z$210*(1+($U$210)/100)^MAX(0,$C222-$AC$210),IF(DATE($C222,6,15)&gt;=$V$210,$Y$210*(1+($U$210)/100)^MAX(0,$C222-$AB$210),0)))))</f>
      </c>
      <c r="K222" s="43">
        <f>IF($S$210=0,0,IF(OR(DATE($C222,7,15)&lt;$S$210,AND($T$210&gt;0,DATE($C222,7,15)&gt;$T$210)),0,IF(DATE($C222,7,15)&gt;=$X$210,$AA$210*(1+($U$210)/100)^MAX(0,$C222-$AD$210),IF(DATE($C222,7,15)&gt;=$W$210,$Z$210*(1+($U$210)/100)^MAX(0,$C222-$AC$210),IF(DATE($C222,7,15)&gt;=$V$210,$Y$210*(1+($U$210)/100)^MAX(0,$C222-$AB$210),0)))))</f>
      </c>
      <c r="L222" s="43">
        <f>IF($S$210=0,0,IF(OR(DATE($C222,8,15)&lt;$S$210,AND($T$210&gt;0,DATE($C222,8,15)&gt;$T$210)),0,IF(DATE($C222,8,15)&gt;=$X$210,$AA$210*(1+($U$210)/100)^MAX(0,$C222-$AD$210),IF(DATE($C222,8,15)&gt;=$W$210,$Z$210*(1+($U$210)/100)^MAX(0,$C222-$AC$210),IF(DATE($C222,8,15)&gt;=$V$210,$Y$210*(1+($U$210)/100)^MAX(0,$C222-$AB$210),0)))))</f>
      </c>
      <c r="M222" s="43">
        <f>IF($S$210=0,0,IF(OR(DATE($C222,9,15)&lt;$S$210,AND($T$210&gt;0,DATE($C222,9,15)&gt;$T$210)),0,IF(DATE($C222,9,15)&gt;=$X$210,$AA$210*(1+($U$210)/100)^MAX(0,$C222-$AD$210),IF(DATE($C222,9,15)&gt;=$W$210,$Z$210*(1+($U$210)/100)^MAX(0,$C222-$AC$210),IF(DATE($C222,9,15)&gt;=$V$210,$Y$210*(1+($U$210)/100)^MAX(0,$C222-$AB$210),0)))))</f>
      </c>
      <c r="N222" s="43">
        <f>IF($S$210=0,0,IF(OR(DATE($C222,10,15)&lt;$S$210,AND($T$210&gt;0,DATE($C222,10,15)&gt;$T$210)),0,IF(DATE($C222,10,15)&gt;=$X$210,$AA$210*(1+($U$210)/100)^MAX(0,$C222-$AD$210),IF(DATE($C222,10,15)&gt;=$W$210,$Z$210*(1+($U$210)/100)^MAX(0,$C222-$AC$210),IF(DATE($C222,10,15)&gt;=$V$210,$Y$210*(1+($U$210)/100)^MAX(0,$C222-$AB$210),0)))))</f>
      </c>
      <c r="O222" s="43">
        <f>IF($S$210=0,0,IF(OR(DATE($C222,11,15)&lt;$S$210,AND($T$210&gt;0,DATE($C222,11,15)&gt;$T$210)),0,IF(DATE($C222,11,15)&gt;=$X$210,$AA$210*(1+($U$210)/100)^MAX(0,$C222-$AD$210),IF(DATE($C222,11,15)&gt;=$W$210,$Z$210*(1+($U$210)/100)^MAX(0,$C222-$AC$210),IF(DATE($C222,11,15)&gt;=$V$210,$Y$210*(1+($U$210)/100)^MAX(0,$C222-$AB$210),0)))))</f>
      </c>
      <c r="P222" s="43">
        <f>IF($S$210=0,0,IF(OR(DATE($C222,12,15)&lt;$S$210,AND($T$210&gt;0,DATE($C222,12,15)&gt;$T$210)),0,IF(DATE($C222,12,15)&gt;=$X$210,$AA$210*(1+($U$210)/100)^MAX(0,$C222-$AD$210),IF(DATE($C222,12,15)&gt;=$W$210,$Z$210*(1+($U$210)/100)^MAX(0,$C222-$AC$210),IF(DATE($C222,12,15)&gt;=$V$210,$Y$210*(1+($U$210)/100)^MAX(0,$C222-$AB$210),0)))))</f>
      </c>
      <c r="Q222" s="43">
        <f>SUM($E222:$P222)</f>
      </c>
    </row>
    <row r="223">
      <c r="A223"/>
      <c r="B223">
        <v>7</v>
      </c>
      <c r="C223" s="43">
        <f>Jahr+13</f>
      </c>
      <c r="D223" s="43">
        <f>INDEX(MvObj,7)</f>
      </c>
      <c r="E223" s="43">
        <f>IF($S$210=0,0,IF(OR(DATE($C223,1,15)&lt;$S$210,AND($T$210&gt;0,DATE($C223,1,15)&gt;$T$210)),0,IF(DATE($C223,1,15)&gt;=$X$210,$AA$210*(1+($U$210)/100)^MAX(0,$C223-$AD$210),IF(DATE($C223,1,15)&gt;=$W$210,$Z$210*(1+($U$210)/100)^MAX(0,$C223-$AC$210),IF(DATE($C223,1,15)&gt;=$V$210,$Y$210*(1+($U$210)/100)^MAX(0,$C223-$AB$210),0)))))</f>
      </c>
      <c r="F223" s="43">
        <f>IF($S$210=0,0,IF(OR(DATE($C223,2,15)&lt;$S$210,AND($T$210&gt;0,DATE($C223,2,15)&gt;$T$210)),0,IF(DATE($C223,2,15)&gt;=$X$210,$AA$210*(1+($U$210)/100)^MAX(0,$C223-$AD$210),IF(DATE($C223,2,15)&gt;=$W$210,$Z$210*(1+($U$210)/100)^MAX(0,$C223-$AC$210),IF(DATE($C223,2,15)&gt;=$V$210,$Y$210*(1+($U$210)/100)^MAX(0,$C223-$AB$210),0)))))</f>
      </c>
      <c r="G223" s="43">
        <f>IF($S$210=0,0,IF(OR(DATE($C223,3,15)&lt;$S$210,AND($T$210&gt;0,DATE($C223,3,15)&gt;$T$210)),0,IF(DATE($C223,3,15)&gt;=$X$210,$AA$210*(1+($U$210)/100)^MAX(0,$C223-$AD$210),IF(DATE($C223,3,15)&gt;=$W$210,$Z$210*(1+($U$210)/100)^MAX(0,$C223-$AC$210),IF(DATE($C223,3,15)&gt;=$V$210,$Y$210*(1+($U$210)/100)^MAX(0,$C223-$AB$210),0)))))</f>
      </c>
      <c r="H223" s="43">
        <f>IF($S$210=0,0,IF(OR(DATE($C223,4,15)&lt;$S$210,AND($T$210&gt;0,DATE($C223,4,15)&gt;$T$210)),0,IF(DATE($C223,4,15)&gt;=$X$210,$AA$210*(1+($U$210)/100)^MAX(0,$C223-$AD$210),IF(DATE($C223,4,15)&gt;=$W$210,$Z$210*(1+($U$210)/100)^MAX(0,$C223-$AC$210),IF(DATE($C223,4,15)&gt;=$V$210,$Y$210*(1+($U$210)/100)^MAX(0,$C223-$AB$210),0)))))</f>
      </c>
      <c r="I223" s="43">
        <f>IF($S$210=0,0,IF(OR(DATE($C223,5,15)&lt;$S$210,AND($T$210&gt;0,DATE($C223,5,15)&gt;$T$210)),0,IF(DATE($C223,5,15)&gt;=$X$210,$AA$210*(1+($U$210)/100)^MAX(0,$C223-$AD$210),IF(DATE($C223,5,15)&gt;=$W$210,$Z$210*(1+($U$210)/100)^MAX(0,$C223-$AC$210),IF(DATE($C223,5,15)&gt;=$V$210,$Y$210*(1+($U$210)/100)^MAX(0,$C223-$AB$210),0)))))</f>
      </c>
      <c r="J223" s="43">
        <f>IF($S$210=0,0,IF(OR(DATE($C223,6,15)&lt;$S$210,AND($T$210&gt;0,DATE($C223,6,15)&gt;$T$210)),0,IF(DATE($C223,6,15)&gt;=$X$210,$AA$210*(1+($U$210)/100)^MAX(0,$C223-$AD$210),IF(DATE($C223,6,15)&gt;=$W$210,$Z$210*(1+($U$210)/100)^MAX(0,$C223-$AC$210),IF(DATE($C223,6,15)&gt;=$V$210,$Y$210*(1+($U$210)/100)^MAX(0,$C223-$AB$210),0)))))</f>
      </c>
      <c r="K223" s="43">
        <f>IF($S$210=0,0,IF(OR(DATE($C223,7,15)&lt;$S$210,AND($T$210&gt;0,DATE($C223,7,15)&gt;$T$210)),0,IF(DATE($C223,7,15)&gt;=$X$210,$AA$210*(1+($U$210)/100)^MAX(0,$C223-$AD$210),IF(DATE($C223,7,15)&gt;=$W$210,$Z$210*(1+($U$210)/100)^MAX(0,$C223-$AC$210),IF(DATE($C223,7,15)&gt;=$V$210,$Y$210*(1+($U$210)/100)^MAX(0,$C223-$AB$210),0)))))</f>
      </c>
      <c r="L223" s="43">
        <f>IF($S$210=0,0,IF(OR(DATE($C223,8,15)&lt;$S$210,AND($T$210&gt;0,DATE($C223,8,15)&gt;$T$210)),0,IF(DATE($C223,8,15)&gt;=$X$210,$AA$210*(1+($U$210)/100)^MAX(0,$C223-$AD$210),IF(DATE($C223,8,15)&gt;=$W$210,$Z$210*(1+($U$210)/100)^MAX(0,$C223-$AC$210),IF(DATE($C223,8,15)&gt;=$V$210,$Y$210*(1+($U$210)/100)^MAX(0,$C223-$AB$210),0)))))</f>
      </c>
      <c r="M223" s="43">
        <f>IF($S$210=0,0,IF(OR(DATE($C223,9,15)&lt;$S$210,AND($T$210&gt;0,DATE($C223,9,15)&gt;$T$210)),0,IF(DATE($C223,9,15)&gt;=$X$210,$AA$210*(1+($U$210)/100)^MAX(0,$C223-$AD$210),IF(DATE($C223,9,15)&gt;=$W$210,$Z$210*(1+($U$210)/100)^MAX(0,$C223-$AC$210),IF(DATE($C223,9,15)&gt;=$V$210,$Y$210*(1+($U$210)/100)^MAX(0,$C223-$AB$210),0)))))</f>
      </c>
      <c r="N223" s="43">
        <f>IF($S$210=0,0,IF(OR(DATE($C223,10,15)&lt;$S$210,AND($T$210&gt;0,DATE($C223,10,15)&gt;$T$210)),0,IF(DATE($C223,10,15)&gt;=$X$210,$AA$210*(1+($U$210)/100)^MAX(0,$C223-$AD$210),IF(DATE($C223,10,15)&gt;=$W$210,$Z$210*(1+($U$210)/100)^MAX(0,$C223-$AC$210),IF(DATE($C223,10,15)&gt;=$V$210,$Y$210*(1+($U$210)/100)^MAX(0,$C223-$AB$210),0)))))</f>
      </c>
      <c r="O223" s="43">
        <f>IF($S$210=0,0,IF(OR(DATE($C223,11,15)&lt;$S$210,AND($T$210&gt;0,DATE($C223,11,15)&gt;$T$210)),0,IF(DATE($C223,11,15)&gt;=$X$210,$AA$210*(1+($U$210)/100)^MAX(0,$C223-$AD$210),IF(DATE($C223,11,15)&gt;=$W$210,$Z$210*(1+($U$210)/100)^MAX(0,$C223-$AC$210),IF(DATE($C223,11,15)&gt;=$V$210,$Y$210*(1+($U$210)/100)^MAX(0,$C223-$AB$210),0)))))</f>
      </c>
      <c r="P223" s="43">
        <f>IF($S$210=0,0,IF(OR(DATE($C223,12,15)&lt;$S$210,AND($T$210&gt;0,DATE($C223,12,15)&gt;$T$210)),0,IF(DATE($C223,12,15)&gt;=$X$210,$AA$210*(1+($U$210)/100)^MAX(0,$C223-$AD$210),IF(DATE($C223,12,15)&gt;=$W$210,$Z$210*(1+($U$210)/100)^MAX(0,$C223-$AC$210),IF(DATE($C223,12,15)&gt;=$V$210,$Y$210*(1+($U$210)/100)^MAX(0,$C223-$AB$210),0)))))</f>
      </c>
      <c r="Q223" s="43">
        <f>SUM($E223:$P223)</f>
      </c>
    </row>
    <row r="224">
      <c r="A224"/>
      <c r="B224">
        <v>7</v>
      </c>
      <c r="C224" s="43">
        <f>Jahr+14</f>
      </c>
      <c r="D224" s="43">
        <f>INDEX(MvObj,7)</f>
      </c>
      <c r="E224" s="43">
        <f>IF($S$210=0,0,IF(OR(DATE($C224,1,15)&lt;$S$210,AND($T$210&gt;0,DATE($C224,1,15)&gt;$T$210)),0,IF(DATE($C224,1,15)&gt;=$X$210,$AA$210*(1+($U$210)/100)^MAX(0,$C224-$AD$210),IF(DATE($C224,1,15)&gt;=$W$210,$Z$210*(1+($U$210)/100)^MAX(0,$C224-$AC$210),IF(DATE($C224,1,15)&gt;=$V$210,$Y$210*(1+($U$210)/100)^MAX(0,$C224-$AB$210),0)))))</f>
      </c>
      <c r="F224" s="43">
        <f>IF($S$210=0,0,IF(OR(DATE($C224,2,15)&lt;$S$210,AND($T$210&gt;0,DATE($C224,2,15)&gt;$T$210)),0,IF(DATE($C224,2,15)&gt;=$X$210,$AA$210*(1+($U$210)/100)^MAX(0,$C224-$AD$210),IF(DATE($C224,2,15)&gt;=$W$210,$Z$210*(1+($U$210)/100)^MAX(0,$C224-$AC$210),IF(DATE($C224,2,15)&gt;=$V$210,$Y$210*(1+($U$210)/100)^MAX(0,$C224-$AB$210),0)))))</f>
      </c>
      <c r="G224" s="43">
        <f>IF($S$210=0,0,IF(OR(DATE($C224,3,15)&lt;$S$210,AND($T$210&gt;0,DATE($C224,3,15)&gt;$T$210)),0,IF(DATE($C224,3,15)&gt;=$X$210,$AA$210*(1+($U$210)/100)^MAX(0,$C224-$AD$210),IF(DATE($C224,3,15)&gt;=$W$210,$Z$210*(1+($U$210)/100)^MAX(0,$C224-$AC$210),IF(DATE($C224,3,15)&gt;=$V$210,$Y$210*(1+($U$210)/100)^MAX(0,$C224-$AB$210),0)))))</f>
      </c>
      <c r="H224" s="43">
        <f>IF($S$210=0,0,IF(OR(DATE($C224,4,15)&lt;$S$210,AND($T$210&gt;0,DATE($C224,4,15)&gt;$T$210)),0,IF(DATE($C224,4,15)&gt;=$X$210,$AA$210*(1+($U$210)/100)^MAX(0,$C224-$AD$210),IF(DATE($C224,4,15)&gt;=$W$210,$Z$210*(1+($U$210)/100)^MAX(0,$C224-$AC$210),IF(DATE($C224,4,15)&gt;=$V$210,$Y$210*(1+($U$210)/100)^MAX(0,$C224-$AB$210),0)))))</f>
      </c>
      <c r="I224" s="43">
        <f>IF($S$210=0,0,IF(OR(DATE($C224,5,15)&lt;$S$210,AND($T$210&gt;0,DATE($C224,5,15)&gt;$T$210)),0,IF(DATE($C224,5,15)&gt;=$X$210,$AA$210*(1+($U$210)/100)^MAX(0,$C224-$AD$210),IF(DATE($C224,5,15)&gt;=$W$210,$Z$210*(1+($U$210)/100)^MAX(0,$C224-$AC$210),IF(DATE($C224,5,15)&gt;=$V$210,$Y$210*(1+($U$210)/100)^MAX(0,$C224-$AB$210),0)))))</f>
      </c>
      <c r="J224" s="43">
        <f>IF($S$210=0,0,IF(OR(DATE($C224,6,15)&lt;$S$210,AND($T$210&gt;0,DATE($C224,6,15)&gt;$T$210)),0,IF(DATE($C224,6,15)&gt;=$X$210,$AA$210*(1+($U$210)/100)^MAX(0,$C224-$AD$210),IF(DATE($C224,6,15)&gt;=$W$210,$Z$210*(1+($U$210)/100)^MAX(0,$C224-$AC$210),IF(DATE($C224,6,15)&gt;=$V$210,$Y$210*(1+($U$210)/100)^MAX(0,$C224-$AB$210),0)))))</f>
      </c>
      <c r="K224" s="43">
        <f>IF($S$210=0,0,IF(OR(DATE($C224,7,15)&lt;$S$210,AND($T$210&gt;0,DATE($C224,7,15)&gt;$T$210)),0,IF(DATE($C224,7,15)&gt;=$X$210,$AA$210*(1+($U$210)/100)^MAX(0,$C224-$AD$210),IF(DATE($C224,7,15)&gt;=$W$210,$Z$210*(1+($U$210)/100)^MAX(0,$C224-$AC$210),IF(DATE($C224,7,15)&gt;=$V$210,$Y$210*(1+($U$210)/100)^MAX(0,$C224-$AB$210),0)))))</f>
      </c>
      <c r="L224" s="43">
        <f>IF($S$210=0,0,IF(OR(DATE($C224,8,15)&lt;$S$210,AND($T$210&gt;0,DATE($C224,8,15)&gt;$T$210)),0,IF(DATE($C224,8,15)&gt;=$X$210,$AA$210*(1+($U$210)/100)^MAX(0,$C224-$AD$210),IF(DATE($C224,8,15)&gt;=$W$210,$Z$210*(1+($U$210)/100)^MAX(0,$C224-$AC$210),IF(DATE($C224,8,15)&gt;=$V$210,$Y$210*(1+($U$210)/100)^MAX(0,$C224-$AB$210),0)))))</f>
      </c>
      <c r="M224" s="43">
        <f>IF($S$210=0,0,IF(OR(DATE($C224,9,15)&lt;$S$210,AND($T$210&gt;0,DATE($C224,9,15)&gt;$T$210)),0,IF(DATE($C224,9,15)&gt;=$X$210,$AA$210*(1+($U$210)/100)^MAX(0,$C224-$AD$210),IF(DATE($C224,9,15)&gt;=$W$210,$Z$210*(1+($U$210)/100)^MAX(0,$C224-$AC$210),IF(DATE($C224,9,15)&gt;=$V$210,$Y$210*(1+($U$210)/100)^MAX(0,$C224-$AB$210),0)))))</f>
      </c>
      <c r="N224" s="43">
        <f>IF($S$210=0,0,IF(OR(DATE($C224,10,15)&lt;$S$210,AND($T$210&gt;0,DATE($C224,10,15)&gt;$T$210)),0,IF(DATE($C224,10,15)&gt;=$X$210,$AA$210*(1+($U$210)/100)^MAX(0,$C224-$AD$210),IF(DATE($C224,10,15)&gt;=$W$210,$Z$210*(1+($U$210)/100)^MAX(0,$C224-$AC$210),IF(DATE($C224,10,15)&gt;=$V$210,$Y$210*(1+($U$210)/100)^MAX(0,$C224-$AB$210),0)))))</f>
      </c>
      <c r="O224" s="43">
        <f>IF($S$210=0,0,IF(OR(DATE($C224,11,15)&lt;$S$210,AND($T$210&gt;0,DATE($C224,11,15)&gt;$T$210)),0,IF(DATE($C224,11,15)&gt;=$X$210,$AA$210*(1+($U$210)/100)^MAX(0,$C224-$AD$210),IF(DATE($C224,11,15)&gt;=$W$210,$Z$210*(1+($U$210)/100)^MAX(0,$C224-$AC$210),IF(DATE($C224,11,15)&gt;=$V$210,$Y$210*(1+($U$210)/100)^MAX(0,$C224-$AB$210),0)))))</f>
      </c>
      <c r="P224" s="43">
        <f>IF($S$210=0,0,IF(OR(DATE($C224,12,15)&lt;$S$210,AND($T$210&gt;0,DATE($C224,12,15)&gt;$T$210)),0,IF(DATE($C224,12,15)&gt;=$X$210,$AA$210*(1+($U$210)/100)^MAX(0,$C224-$AD$210),IF(DATE($C224,12,15)&gt;=$W$210,$Z$210*(1+($U$210)/100)^MAX(0,$C224-$AC$210),IF(DATE($C224,12,15)&gt;=$V$210,$Y$210*(1+($U$210)/100)^MAX(0,$C224-$AB$210),0)))))</f>
      </c>
      <c r="Q224" s="43">
        <f>SUM($E224:$P224)</f>
      </c>
    </row>
    <row r="225">
      <c r="A225"/>
      <c r="B225">
        <v>7</v>
      </c>
      <c r="C225" s="43">
        <f>Jahr+15</f>
      </c>
      <c r="D225" s="43">
        <f>INDEX(MvObj,7)</f>
      </c>
      <c r="E225" s="43">
        <f>IF($S$210=0,0,IF(OR(DATE($C225,1,15)&lt;$S$210,AND($T$210&gt;0,DATE($C225,1,15)&gt;$T$210)),0,IF(DATE($C225,1,15)&gt;=$X$210,$AA$210*(1+($U$210)/100)^MAX(0,$C225-$AD$210),IF(DATE($C225,1,15)&gt;=$W$210,$Z$210*(1+($U$210)/100)^MAX(0,$C225-$AC$210),IF(DATE($C225,1,15)&gt;=$V$210,$Y$210*(1+($U$210)/100)^MAX(0,$C225-$AB$210),0)))))</f>
      </c>
      <c r="F225" s="43">
        <f>IF($S$210=0,0,IF(OR(DATE($C225,2,15)&lt;$S$210,AND($T$210&gt;0,DATE($C225,2,15)&gt;$T$210)),0,IF(DATE($C225,2,15)&gt;=$X$210,$AA$210*(1+($U$210)/100)^MAX(0,$C225-$AD$210),IF(DATE($C225,2,15)&gt;=$W$210,$Z$210*(1+($U$210)/100)^MAX(0,$C225-$AC$210),IF(DATE($C225,2,15)&gt;=$V$210,$Y$210*(1+($U$210)/100)^MAX(0,$C225-$AB$210),0)))))</f>
      </c>
      <c r="G225" s="43">
        <f>IF($S$210=0,0,IF(OR(DATE($C225,3,15)&lt;$S$210,AND($T$210&gt;0,DATE($C225,3,15)&gt;$T$210)),0,IF(DATE($C225,3,15)&gt;=$X$210,$AA$210*(1+($U$210)/100)^MAX(0,$C225-$AD$210),IF(DATE($C225,3,15)&gt;=$W$210,$Z$210*(1+($U$210)/100)^MAX(0,$C225-$AC$210),IF(DATE($C225,3,15)&gt;=$V$210,$Y$210*(1+($U$210)/100)^MAX(0,$C225-$AB$210),0)))))</f>
      </c>
      <c r="H225" s="43">
        <f>IF($S$210=0,0,IF(OR(DATE($C225,4,15)&lt;$S$210,AND($T$210&gt;0,DATE($C225,4,15)&gt;$T$210)),0,IF(DATE($C225,4,15)&gt;=$X$210,$AA$210*(1+($U$210)/100)^MAX(0,$C225-$AD$210),IF(DATE($C225,4,15)&gt;=$W$210,$Z$210*(1+($U$210)/100)^MAX(0,$C225-$AC$210),IF(DATE($C225,4,15)&gt;=$V$210,$Y$210*(1+($U$210)/100)^MAX(0,$C225-$AB$210),0)))))</f>
      </c>
      <c r="I225" s="43">
        <f>IF($S$210=0,0,IF(OR(DATE($C225,5,15)&lt;$S$210,AND($T$210&gt;0,DATE($C225,5,15)&gt;$T$210)),0,IF(DATE($C225,5,15)&gt;=$X$210,$AA$210*(1+($U$210)/100)^MAX(0,$C225-$AD$210),IF(DATE($C225,5,15)&gt;=$W$210,$Z$210*(1+($U$210)/100)^MAX(0,$C225-$AC$210),IF(DATE($C225,5,15)&gt;=$V$210,$Y$210*(1+($U$210)/100)^MAX(0,$C225-$AB$210),0)))))</f>
      </c>
      <c r="J225" s="43">
        <f>IF($S$210=0,0,IF(OR(DATE($C225,6,15)&lt;$S$210,AND($T$210&gt;0,DATE($C225,6,15)&gt;$T$210)),0,IF(DATE($C225,6,15)&gt;=$X$210,$AA$210*(1+($U$210)/100)^MAX(0,$C225-$AD$210),IF(DATE($C225,6,15)&gt;=$W$210,$Z$210*(1+($U$210)/100)^MAX(0,$C225-$AC$210),IF(DATE($C225,6,15)&gt;=$V$210,$Y$210*(1+($U$210)/100)^MAX(0,$C225-$AB$210),0)))))</f>
      </c>
      <c r="K225" s="43">
        <f>IF($S$210=0,0,IF(OR(DATE($C225,7,15)&lt;$S$210,AND($T$210&gt;0,DATE($C225,7,15)&gt;$T$210)),0,IF(DATE($C225,7,15)&gt;=$X$210,$AA$210*(1+($U$210)/100)^MAX(0,$C225-$AD$210),IF(DATE($C225,7,15)&gt;=$W$210,$Z$210*(1+($U$210)/100)^MAX(0,$C225-$AC$210),IF(DATE($C225,7,15)&gt;=$V$210,$Y$210*(1+($U$210)/100)^MAX(0,$C225-$AB$210),0)))))</f>
      </c>
      <c r="L225" s="43">
        <f>IF($S$210=0,0,IF(OR(DATE($C225,8,15)&lt;$S$210,AND($T$210&gt;0,DATE($C225,8,15)&gt;$T$210)),0,IF(DATE($C225,8,15)&gt;=$X$210,$AA$210*(1+($U$210)/100)^MAX(0,$C225-$AD$210),IF(DATE($C225,8,15)&gt;=$W$210,$Z$210*(1+($U$210)/100)^MAX(0,$C225-$AC$210),IF(DATE($C225,8,15)&gt;=$V$210,$Y$210*(1+($U$210)/100)^MAX(0,$C225-$AB$210),0)))))</f>
      </c>
      <c r="M225" s="43">
        <f>IF($S$210=0,0,IF(OR(DATE($C225,9,15)&lt;$S$210,AND($T$210&gt;0,DATE($C225,9,15)&gt;$T$210)),0,IF(DATE($C225,9,15)&gt;=$X$210,$AA$210*(1+($U$210)/100)^MAX(0,$C225-$AD$210),IF(DATE($C225,9,15)&gt;=$W$210,$Z$210*(1+($U$210)/100)^MAX(0,$C225-$AC$210),IF(DATE($C225,9,15)&gt;=$V$210,$Y$210*(1+($U$210)/100)^MAX(0,$C225-$AB$210),0)))))</f>
      </c>
      <c r="N225" s="43">
        <f>IF($S$210=0,0,IF(OR(DATE($C225,10,15)&lt;$S$210,AND($T$210&gt;0,DATE($C225,10,15)&gt;$T$210)),0,IF(DATE($C225,10,15)&gt;=$X$210,$AA$210*(1+($U$210)/100)^MAX(0,$C225-$AD$210),IF(DATE($C225,10,15)&gt;=$W$210,$Z$210*(1+($U$210)/100)^MAX(0,$C225-$AC$210),IF(DATE($C225,10,15)&gt;=$V$210,$Y$210*(1+($U$210)/100)^MAX(0,$C225-$AB$210),0)))))</f>
      </c>
      <c r="O225" s="43">
        <f>IF($S$210=0,0,IF(OR(DATE($C225,11,15)&lt;$S$210,AND($T$210&gt;0,DATE($C225,11,15)&gt;$T$210)),0,IF(DATE($C225,11,15)&gt;=$X$210,$AA$210*(1+($U$210)/100)^MAX(0,$C225-$AD$210),IF(DATE($C225,11,15)&gt;=$W$210,$Z$210*(1+($U$210)/100)^MAX(0,$C225-$AC$210),IF(DATE($C225,11,15)&gt;=$V$210,$Y$210*(1+($U$210)/100)^MAX(0,$C225-$AB$210),0)))))</f>
      </c>
      <c r="P225" s="43">
        <f>IF($S$210=0,0,IF(OR(DATE($C225,12,15)&lt;$S$210,AND($T$210&gt;0,DATE($C225,12,15)&gt;$T$210)),0,IF(DATE($C225,12,15)&gt;=$X$210,$AA$210*(1+($U$210)/100)^MAX(0,$C225-$AD$210),IF(DATE($C225,12,15)&gt;=$W$210,$Z$210*(1+($U$210)/100)^MAX(0,$C225-$AC$210),IF(DATE($C225,12,15)&gt;=$V$210,$Y$210*(1+($U$210)/100)^MAX(0,$C225-$AB$210),0)))))</f>
      </c>
      <c r="Q225" s="43">
        <f>SUM($E225:$P225)</f>
      </c>
    </row>
    <row r="226">
      <c r="A226"/>
      <c r="B226">
        <v>7</v>
      </c>
      <c r="C226" s="43">
        <f>Jahr+16</f>
      </c>
      <c r="D226" s="43">
        <f>INDEX(MvObj,7)</f>
      </c>
      <c r="E226" s="43">
        <f>IF($S$210=0,0,IF(OR(DATE($C226,1,15)&lt;$S$210,AND($T$210&gt;0,DATE($C226,1,15)&gt;$T$210)),0,IF(DATE($C226,1,15)&gt;=$X$210,$AA$210*(1+($U$210)/100)^MAX(0,$C226-$AD$210),IF(DATE($C226,1,15)&gt;=$W$210,$Z$210*(1+($U$210)/100)^MAX(0,$C226-$AC$210),IF(DATE($C226,1,15)&gt;=$V$210,$Y$210*(1+($U$210)/100)^MAX(0,$C226-$AB$210),0)))))</f>
      </c>
      <c r="F226" s="43">
        <f>IF($S$210=0,0,IF(OR(DATE($C226,2,15)&lt;$S$210,AND($T$210&gt;0,DATE($C226,2,15)&gt;$T$210)),0,IF(DATE($C226,2,15)&gt;=$X$210,$AA$210*(1+($U$210)/100)^MAX(0,$C226-$AD$210),IF(DATE($C226,2,15)&gt;=$W$210,$Z$210*(1+($U$210)/100)^MAX(0,$C226-$AC$210),IF(DATE($C226,2,15)&gt;=$V$210,$Y$210*(1+($U$210)/100)^MAX(0,$C226-$AB$210),0)))))</f>
      </c>
      <c r="G226" s="43">
        <f>IF($S$210=0,0,IF(OR(DATE($C226,3,15)&lt;$S$210,AND($T$210&gt;0,DATE($C226,3,15)&gt;$T$210)),0,IF(DATE($C226,3,15)&gt;=$X$210,$AA$210*(1+($U$210)/100)^MAX(0,$C226-$AD$210),IF(DATE($C226,3,15)&gt;=$W$210,$Z$210*(1+($U$210)/100)^MAX(0,$C226-$AC$210),IF(DATE($C226,3,15)&gt;=$V$210,$Y$210*(1+($U$210)/100)^MAX(0,$C226-$AB$210),0)))))</f>
      </c>
      <c r="H226" s="43">
        <f>IF($S$210=0,0,IF(OR(DATE($C226,4,15)&lt;$S$210,AND($T$210&gt;0,DATE($C226,4,15)&gt;$T$210)),0,IF(DATE($C226,4,15)&gt;=$X$210,$AA$210*(1+($U$210)/100)^MAX(0,$C226-$AD$210),IF(DATE($C226,4,15)&gt;=$W$210,$Z$210*(1+($U$210)/100)^MAX(0,$C226-$AC$210),IF(DATE($C226,4,15)&gt;=$V$210,$Y$210*(1+($U$210)/100)^MAX(0,$C226-$AB$210),0)))))</f>
      </c>
      <c r="I226" s="43">
        <f>IF($S$210=0,0,IF(OR(DATE($C226,5,15)&lt;$S$210,AND($T$210&gt;0,DATE($C226,5,15)&gt;$T$210)),0,IF(DATE($C226,5,15)&gt;=$X$210,$AA$210*(1+($U$210)/100)^MAX(0,$C226-$AD$210),IF(DATE($C226,5,15)&gt;=$W$210,$Z$210*(1+($U$210)/100)^MAX(0,$C226-$AC$210),IF(DATE($C226,5,15)&gt;=$V$210,$Y$210*(1+($U$210)/100)^MAX(0,$C226-$AB$210),0)))))</f>
      </c>
      <c r="J226" s="43">
        <f>IF($S$210=0,0,IF(OR(DATE($C226,6,15)&lt;$S$210,AND($T$210&gt;0,DATE($C226,6,15)&gt;$T$210)),0,IF(DATE($C226,6,15)&gt;=$X$210,$AA$210*(1+($U$210)/100)^MAX(0,$C226-$AD$210),IF(DATE($C226,6,15)&gt;=$W$210,$Z$210*(1+($U$210)/100)^MAX(0,$C226-$AC$210),IF(DATE($C226,6,15)&gt;=$V$210,$Y$210*(1+($U$210)/100)^MAX(0,$C226-$AB$210),0)))))</f>
      </c>
      <c r="K226" s="43">
        <f>IF($S$210=0,0,IF(OR(DATE($C226,7,15)&lt;$S$210,AND($T$210&gt;0,DATE($C226,7,15)&gt;$T$210)),0,IF(DATE($C226,7,15)&gt;=$X$210,$AA$210*(1+($U$210)/100)^MAX(0,$C226-$AD$210),IF(DATE($C226,7,15)&gt;=$W$210,$Z$210*(1+($U$210)/100)^MAX(0,$C226-$AC$210),IF(DATE($C226,7,15)&gt;=$V$210,$Y$210*(1+($U$210)/100)^MAX(0,$C226-$AB$210),0)))))</f>
      </c>
      <c r="L226" s="43">
        <f>IF($S$210=0,0,IF(OR(DATE($C226,8,15)&lt;$S$210,AND($T$210&gt;0,DATE($C226,8,15)&gt;$T$210)),0,IF(DATE($C226,8,15)&gt;=$X$210,$AA$210*(1+($U$210)/100)^MAX(0,$C226-$AD$210),IF(DATE($C226,8,15)&gt;=$W$210,$Z$210*(1+($U$210)/100)^MAX(0,$C226-$AC$210),IF(DATE($C226,8,15)&gt;=$V$210,$Y$210*(1+($U$210)/100)^MAX(0,$C226-$AB$210),0)))))</f>
      </c>
      <c r="M226" s="43">
        <f>IF($S$210=0,0,IF(OR(DATE($C226,9,15)&lt;$S$210,AND($T$210&gt;0,DATE($C226,9,15)&gt;$T$210)),0,IF(DATE($C226,9,15)&gt;=$X$210,$AA$210*(1+($U$210)/100)^MAX(0,$C226-$AD$210),IF(DATE($C226,9,15)&gt;=$W$210,$Z$210*(1+($U$210)/100)^MAX(0,$C226-$AC$210),IF(DATE($C226,9,15)&gt;=$V$210,$Y$210*(1+($U$210)/100)^MAX(0,$C226-$AB$210),0)))))</f>
      </c>
      <c r="N226" s="43">
        <f>IF($S$210=0,0,IF(OR(DATE($C226,10,15)&lt;$S$210,AND($T$210&gt;0,DATE($C226,10,15)&gt;$T$210)),0,IF(DATE($C226,10,15)&gt;=$X$210,$AA$210*(1+($U$210)/100)^MAX(0,$C226-$AD$210),IF(DATE($C226,10,15)&gt;=$W$210,$Z$210*(1+($U$210)/100)^MAX(0,$C226-$AC$210),IF(DATE($C226,10,15)&gt;=$V$210,$Y$210*(1+($U$210)/100)^MAX(0,$C226-$AB$210),0)))))</f>
      </c>
      <c r="O226" s="43">
        <f>IF($S$210=0,0,IF(OR(DATE($C226,11,15)&lt;$S$210,AND($T$210&gt;0,DATE($C226,11,15)&gt;$T$210)),0,IF(DATE($C226,11,15)&gt;=$X$210,$AA$210*(1+($U$210)/100)^MAX(0,$C226-$AD$210),IF(DATE($C226,11,15)&gt;=$W$210,$Z$210*(1+($U$210)/100)^MAX(0,$C226-$AC$210),IF(DATE($C226,11,15)&gt;=$V$210,$Y$210*(1+($U$210)/100)^MAX(0,$C226-$AB$210),0)))))</f>
      </c>
      <c r="P226" s="43">
        <f>IF($S$210=0,0,IF(OR(DATE($C226,12,15)&lt;$S$210,AND($T$210&gt;0,DATE($C226,12,15)&gt;$T$210)),0,IF(DATE($C226,12,15)&gt;=$X$210,$AA$210*(1+($U$210)/100)^MAX(0,$C226-$AD$210),IF(DATE($C226,12,15)&gt;=$W$210,$Z$210*(1+($U$210)/100)^MAX(0,$C226-$AC$210),IF(DATE($C226,12,15)&gt;=$V$210,$Y$210*(1+($U$210)/100)^MAX(0,$C226-$AB$210),0)))))</f>
      </c>
      <c r="Q226" s="43">
        <f>SUM($E226:$P226)</f>
      </c>
    </row>
    <row r="227">
      <c r="A227"/>
      <c r="B227">
        <v>7</v>
      </c>
      <c r="C227" s="43">
        <f>Jahr+17</f>
      </c>
      <c r="D227" s="43">
        <f>INDEX(MvObj,7)</f>
      </c>
      <c r="E227" s="43">
        <f>IF($S$210=0,0,IF(OR(DATE($C227,1,15)&lt;$S$210,AND($T$210&gt;0,DATE($C227,1,15)&gt;$T$210)),0,IF(DATE($C227,1,15)&gt;=$X$210,$AA$210*(1+($U$210)/100)^MAX(0,$C227-$AD$210),IF(DATE($C227,1,15)&gt;=$W$210,$Z$210*(1+($U$210)/100)^MAX(0,$C227-$AC$210),IF(DATE($C227,1,15)&gt;=$V$210,$Y$210*(1+($U$210)/100)^MAX(0,$C227-$AB$210),0)))))</f>
      </c>
      <c r="F227" s="43">
        <f>IF($S$210=0,0,IF(OR(DATE($C227,2,15)&lt;$S$210,AND($T$210&gt;0,DATE($C227,2,15)&gt;$T$210)),0,IF(DATE($C227,2,15)&gt;=$X$210,$AA$210*(1+($U$210)/100)^MAX(0,$C227-$AD$210),IF(DATE($C227,2,15)&gt;=$W$210,$Z$210*(1+($U$210)/100)^MAX(0,$C227-$AC$210),IF(DATE($C227,2,15)&gt;=$V$210,$Y$210*(1+($U$210)/100)^MAX(0,$C227-$AB$210),0)))))</f>
      </c>
      <c r="G227" s="43">
        <f>IF($S$210=0,0,IF(OR(DATE($C227,3,15)&lt;$S$210,AND($T$210&gt;0,DATE($C227,3,15)&gt;$T$210)),0,IF(DATE($C227,3,15)&gt;=$X$210,$AA$210*(1+($U$210)/100)^MAX(0,$C227-$AD$210),IF(DATE($C227,3,15)&gt;=$W$210,$Z$210*(1+($U$210)/100)^MAX(0,$C227-$AC$210),IF(DATE($C227,3,15)&gt;=$V$210,$Y$210*(1+($U$210)/100)^MAX(0,$C227-$AB$210),0)))))</f>
      </c>
      <c r="H227" s="43">
        <f>IF($S$210=0,0,IF(OR(DATE($C227,4,15)&lt;$S$210,AND($T$210&gt;0,DATE($C227,4,15)&gt;$T$210)),0,IF(DATE($C227,4,15)&gt;=$X$210,$AA$210*(1+($U$210)/100)^MAX(0,$C227-$AD$210),IF(DATE($C227,4,15)&gt;=$W$210,$Z$210*(1+($U$210)/100)^MAX(0,$C227-$AC$210),IF(DATE($C227,4,15)&gt;=$V$210,$Y$210*(1+($U$210)/100)^MAX(0,$C227-$AB$210),0)))))</f>
      </c>
      <c r="I227" s="43">
        <f>IF($S$210=0,0,IF(OR(DATE($C227,5,15)&lt;$S$210,AND($T$210&gt;0,DATE($C227,5,15)&gt;$T$210)),0,IF(DATE($C227,5,15)&gt;=$X$210,$AA$210*(1+($U$210)/100)^MAX(0,$C227-$AD$210),IF(DATE($C227,5,15)&gt;=$W$210,$Z$210*(1+($U$210)/100)^MAX(0,$C227-$AC$210),IF(DATE($C227,5,15)&gt;=$V$210,$Y$210*(1+($U$210)/100)^MAX(0,$C227-$AB$210),0)))))</f>
      </c>
      <c r="J227" s="43">
        <f>IF($S$210=0,0,IF(OR(DATE($C227,6,15)&lt;$S$210,AND($T$210&gt;0,DATE($C227,6,15)&gt;$T$210)),0,IF(DATE($C227,6,15)&gt;=$X$210,$AA$210*(1+($U$210)/100)^MAX(0,$C227-$AD$210),IF(DATE($C227,6,15)&gt;=$W$210,$Z$210*(1+($U$210)/100)^MAX(0,$C227-$AC$210),IF(DATE($C227,6,15)&gt;=$V$210,$Y$210*(1+($U$210)/100)^MAX(0,$C227-$AB$210),0)))))</f>
      </c>
      <c r="K227" s="43">
        <f>IF($S$210=0,0,IF(OR(DATE($C227,7,15)&lt;$S$210,AND($T$210&gt;0,DATE($C227,7,15)&gt;$T$210)),0,IF(DATE($C227,7,15)&gt;=$X$210,$AA$210*(1+($U$210)/100)^MAX(0,$C227-$AD$210),IF(DATE($C227,7,15)&gt;=$W$210,$Z$210*(1+($U$210)/100)^MAX(0,$C227-$AC$210),IF(DATE($C227,7,15)&gt;=$V$210,$Y$210*(1+($U$210)/100)^MAX(0,$C227-$AB$210),0)))))</f>
      </c>
      <c r="L227" s="43">
        <f>IF($S$210=0,0,IF(OR(DATE($C227,8,15)&lt;$S$210,AND($T$210&gt;0,DATE($C227,8,15)&gt;$T$210)),0,IF(DATE($C227,8,15)&gt;=$X$210,$AA$210*(1+($U$210)/100)^MAX(0,$C227-$AD$210),IF(DATE($C227,8,15)&gt;=$W$210,$Z$210*(1+($U$210)/100)^MAX(0,$C227-$AC$210),IF(DATE($C227,8,15)&gt;=$V$210,$Y$210*(1+($U$210)/100)^MAX(0,$C227-$AB$210),0)))))</f>
      </c>
      <c r="M227" s="43">
        <f>IF($S$210=0,0,IF(OR(DATE($C227,9,15)&lt;$S$210,AND($T$210&gt;0,DATE($C227,9,15)&gt;$T$210)),0,IF(DATE($C227,9,15)&gt;=$X$210,$AA$210*(1+($U$210)/100)^MAX(0,$C227-$AD$210),IF(DATE($C227,9,15)&gt;=$W$210,$Z$210*(1+($U$210)/100)^MAX(0,$C227-$AC$210),IF(DATE($C227,9,15)&gt;=$V$210,$Y$210*(1+($U$210)/100)^MAX(0,$C227-$AB$210),0)))))</f>
      </c>
      <c r="N227" s="43">
        <f>IF($S$210=0,0,IF(OR(DATE($C227,10,15)&lt;$S$210,AND($T$210&gt;0,DATE($C227,10,15)&gt;$T$210)),0,IF(DATE($C227,10,15)&gt;=$X$210,$AA$210*(1+($U$210)/100)^MAX(0,$C227-$AD$210),IF(DATE($C227,10,15)&gt;=$W$210,$Z$210*(1+($U$210)/100)^MAX(0,$C227-$AC$210),IF(DATE($C227,10,15)&gt;=$V$210,$Y$210*(1+($U$210)/100)^MAX(0,$C227-$AB$210),0)))))</f>
      </c>
      <c r="O227" s="43">
        <f>IF($S$210=0,0,IF(OR(DATE($C227,11,15)&lt;$S$210,AND($T$210&gt;0,DATE($C227,11,15)&gt;$T$210)),0,IF(DATE($C227,11,15)&gt;=$X$210,$AA$210*(1+($U$210)/100)^MAX(0,$C227-$AD$210),IF(DATE($C227,11,15)&gt;=$W$210,$Z$210*(1+($U$210)/100)^MAX(0,$C227-$AC$210),IF(DATE($C227,11,15)&gt;=$V$210,$Y$210*(1+($U$210)/100)^MAX(0,$C227-$AB$210),0)))))</f>
      </c>
      <c r="P227" s="43">
        <f>IF($S$210=0,0,IF(OR(DATE($C227,12,15)&lt;$S$210,AND($T$210&gt;0,DATE($C227,12,15)&gt;$T$210)),0,IF(DATE($C227,12,15)&gt;=$X$210,$AA$210*(1+($U$210)/100)^MAX(0,$C227-$AD$210),IF(DATE($C227,12,15)&gt;=$W$210,$Z$210*(1+($U$210)/100)^MAX(0,$C227-$AC$210),IF(DATE($C227,12,15)&gt;=$V$210,$Y$210*(1+($U$210)/100)^MAX(0,$C227-$AB$210),0)))))</f>
      </c>
      <c r="Q227" s="43">
        <f>SUM($E227:$P227)</f>
      </c>
    </row>
    <row r="228">
      <c r="A228"/>
      <c r="B228">
        <v>7</v>
      </c>
      <c r="C228" s="43">
        <f>Jahr+18</f>
      </c>
      <c r="D228" s="43">
        <f>INDEX(MvObj,7)</f>
      </c>
      <c r="E228" s="43">
        <f>IF($S$210=0,0,IF(OR(DATE($C228,1,15)&lt;$S$210,AND($T$210&gt;0,DATE($C228,1,15)&gt;$T$210)),0,IF(DATE($C228,1,15)&gt;=$X$210,$AA$210*(1+($U$210)/100)^MAX(0,$C228-$AD$210),IF(DATE($C228,1,15)&gt;=$W$210,$Z$210*(1+($U$210)/100)^MAX(0,$C228-$AC$210),IF(DATE($C228,1,15)&gt;=$V$210,$Y$210*(1+($U$210)/100)^MAX(0,$C228-$AB$210),0)))))</f>
      </c>
      <c r="F228" s="43">
        <f>IF($S$210=0,0,IF(OR(DATE($C228,2,15)&lt;$S$210,AND($T$210&gt;0,DATE($C228,2,15)&gt;$T$210)),0,IF(DATE($C228,2,15)&gt;=$X$210,$AA$210*(1+($U$210)/100)^MAX(0,$C228-$AD$210),IF(DATE($C228,2,15)&gt;=$W$210,$Z$210*(1+($U$210)/100)^MAX(0,$C228-$AC$210),IF(DATE($C228,2,15)&gt;=$V$210,$Y$210*(1+($U$210)/100)^MAX(0,$C228-$AB$210),0)))))</f>
      </c>
      <c r="G228" s="43">
        <f>IF($S$210=0,0,IF(OR(DATE($C228,3,15)&lt;$S$210,AND($T$210&gt;0,DATE($C228,3,15)&gt;$T$210)),0,IF(DATE($C228,3,15)&gt;=$X$210,$AA$210*(1+($U$210)/100)^MAX(0,$C228-$AD$210),IF(DATE($C228,3,15)&gt;=$W$210,$Z$210*(1+($U$210)/100)^MAX(0,$C228-$AC$210),IF(DATE($C228,3,15)&gt;=$V$210,$Y$210*(1+($U$210)/100)^MAX(0,$C228-$AB$210),0)))))</f>
      </c>
      <c r="H228" s="43">
        <f>IF($S$210=0,0,IF(OR(DATE($C228,4,15)&lt;$S$210,AND($T$210&gt;0,DATE($C228,4,15)&gt;$T$210)),0,IF(DATE($C228,4,15)&gt;=$X$210,$AA$210*(1+($U$210)/100)^MAX(0,$C228-$AD$210),IF(DATE($C228,4,15)&gt;=$W$210,$Z$210*(1+($U$210)/100)^MAX(0,$C228-$AC$210),IF(DATE($C228,4,15)&gt;=$V$210,$Y$210*(1+($U$210)/100)^MAX(0,$C228-$AB$210),0)))))</f>
      </c>
      <c r="I228" s="43">
        <f>IF($S$210=0,0,IF(OR(DATE($C228,5,15)&lt;$S$210,AND($T$210&gt;0,DATE($C228,5,15)&gt;$T$210)),0,IF(DATE($C228,5,15)&gt;=$X$210,$AA$210*(1+($U$210)/100)^MAX(0,$C228-$AD$210),IF(DATE($C228,5,15)&gt;=$W$210,$Z$210*(1+($U$210)/100)^MAX(0,$C228-$AC$210),IF(DATE($C228,5,15)&gt;=$V$210,$Y$210*(1+($U$210)/100)^MAX(0,$C228-$AB$210),0)))))</f>
      </c>
      <c r="J228" s="43">
        <f>IF($S$210=0,0,IF(OR(DATE($C228,6,15)&lt;$S$210,AND($T$210&gt;0,DATE($C228,6,15)&gt;$T$210)),0,IF(DATE($C228,6,15)&gt;=$X$210,$AA$210*(1+($U$210)/100)^MAX(0,$C228-$AD$210),IF(DATE($C228,6,15)&gt;=$W$210,$Z$210*(1+($U$210)/100)^MAX(0,$C228-$AC$210),IF(DATE($C228,6,15)&gt;=$V$210,$Y$210*(1+($U$210)/100)^MAX(0,$C228-$AB$210),0)))))</f>
      </c>
      <c r="K228" s="43">
        <f>IF($S$210=0,0,IF(OR(DATE($C228,7,15)&lt;$S$210,AND($T$210&gt;0,DATE($C228,7,15)&gt;$T$210)),0,IF(DATE($C228,7,15)&gt;=$X$210,$AA$210*(1+($U$210)/100)^MAX(0,$C228-$AD$210),IF(DATE($C228,7,15)&gt;=$W$210,$Z$210*(1+($U$210)/100)^MAX(0,$C228-$AC$210),IF(DATE($C228,7,15)&gt;=$V$210,$Y$210*(1+($U$210)/100)^MAX(0,$C228-$AB$210),0)))))</f>
      </c>
      <c r="L228" s="43">
        <f>IF($S$210=0,0,IF(OR(DATE($C228,8,15)&lt;$S$210,AND($T$210&gt;0,DATE($C228,8,15)&gt;$T$210)),0,IF(DATE($C228,8,15)&gt;=$X$210,$AA$210*(1+($U$210)/100)^MAX(0,$C228-$AD$210),IF(DATE($C228,8,15)&gt;=$W$210,$Z$210*(1+($U$210)/100)^MAX(0,$C228-$AC$210),IF(DATE($C228,8,15)&gt;=$V$210,$Y$210*(1+($U$210)/100)^MAX(0,$C228-$AB$210),0)))))</f>
      </c>
      <c r="M228" s="43">
        <f>IF($S$210=0,0,IF(OR(DATE($C228,9,15)&lt;$S$210,AND($T$210&gt;0,DATE($C228,9,15)&gt;$T$210)),0,IF(DATE($C228,9,15)&gt;=$X$210,$AA$210*(1+($U$210)/100)^MAX(0,$C228-$AD$210),IF(DATE($C228,9,15)&gt;=$W$210,$Z$210*(1+($U$210)/100)^MAX(0,$C228-$AC$210),IF(DATE($C228,9,15)&gt;=$V$210,$Y$210*(1+($U$210)/100)^MAX(0,$C228-$AB$210),0)))))</f>
      </c>
      <c r="N228" s="43">
        <f>IF($S$210=0,0,IF(OR(DATE($C228,10,15)&lt;$S$210,AND($T$210&gt;0,DATE($C228,10,15)&gt;$T$210)),0,IF(DATE($C228,10,15)&gt;=$X$210,$AA$210*(1+($U$210)/100)^MAX(0,$C228-$AD$210),IF(DATE($C228,10,15)&gt;=$W$210,$Z$210*(1+($U$210)/100)^MAX(0,$C228-$AC$210),IF(DATE($C228,10,15)&gt;=$V$210,$Y$210*(1+($U$210)/100)^MAX(0,$C228-$AB$210),0)))))</f>
      </c>
      <c r="O228" s="43">
        <f>IF($S$210=0,0,IF(OR(DATE($C228,11,15)&lt;$S$210,AND($T$210&gt;0,DATE($C228,11,15)&gt;$T$210)),0,IF(DATE($C228,11,15)&gt;=$X$210,$AA$210*(1+($U$210)/100)^MAX(0,$C228-$AD$210),IF(DATE($C228,11,15)&gt;=$W$210,$Z$210*(1+($U$210)/100)^MAX(0,$C228-$AC$210),IF(DATE($C228,11,15)&gt;=$V$210,$Y$210*(1+($U$210)/100)^MAX(0,$C228-$AB$210),0)))))</f>
      </c>
      <c r="P228" s="43">
        <f>IF($S$210=0,0,IF(OR(DATE($C228,12,15)&lt;$S$210,AND($T$210&gt;0,DATE($C228,12,15)&gt;$T$210)),0,IF(DATE($C228,12,15)&gt;=$X$210,$AA$210*(1+($U$210)/100)^MAX(0,$C228-$AD$210),IF(DATE($C228,12,15)&gt;=$W$210,$Z$210*(1+($U$210)/100)^MAX(0,$C228-$AC$210),IF(DATE($C228,12,15)&gt;=$V$210,$Y$210*(1+($U$210)/100)^MAX(0,$C228-$AB$210),0)))))</f>
      </c>
      <c r="Q228" s="43">
        <f>SUM($E228:$P228)</f>
      </c>
    </row>
    <row r="229">
      <c r="A229"/>
      <c r="B229">
        <v>7</v>
      </c>
      <c r="C229" s="43">
        <f>Jahr+19</f>
      </c>
      <c r="D229" s="43">
        <f>INDEX(MvObj,7)</f>
      </c>
      <c r="E229" s="43">
        <f>IF($S$210=0,0,IF(OR(DATE($C229,1,15)&lt;$S$210,AND($T$210&gt;0,DATE($C229,1,15)&gt;$T$210)),0,IF(DATE($C229,1,15)&gt;=$X$210,$AA$210*(1+($U$210)/100)^MAX(0,$C229-$AD$210),IF(DATE($C229,1,15)&gt;=$W$210,$Z$210*(1+($U$210)/100)^MAX(0,$C229-$AC$210),IF(DATE($C229,1,15)&gt;=$V$210,$Y$210*(1+($U$210)/100)^MAX(0,$C229-$AB$210),0)))))</f>
      </c>
      <c r="F229" s="43">
        <f>IF($S$210=0,0,IF(OR(DATE($C229,2,15)&lt;$S$210,AND($T$210&gt;0,DATE($C229,2,15)&gt;$T$210)),0,IF(DATE($C229,2,15)&gt;=$X$210,$AA$210*(1+($U$210)/100)^MAX(0,$C229-$AD$210),IF(DATE($C229,2,15)&gt;=$W$210,$Z$210*(1+($U$210)/100)^MAX(0,$C229-$AC$210),IF(DATE($C229,2,15)&gt;=$V$210,$Y$210*(1+($U$210)/100)^MAX(0,$C229-$AB$210),0)))))</f>
      </c>
      <c r="G229" s="43">
        <f>IF($S$210=0,0,IF(OR(DATE($C229,3,15)&lt;$S$210,AND($T$210&gt;0,DATE($C229,3,15)&gt;$T$210)),0,IF(DATE($C229,3,15)&gt;=$X$210,$AA$210*(1+($U$210)/100)^MAX(0,$C229-$AD$210),IF(DATE($C229,3,15)&gt;=$W$210,$Z$210*(1+($U$210)/100)^MAX(0,$C229-$AC$210),IF(DATE($C229,3,15)&gt;=$V$210,$Y$210*(1+($U$210)/100)^MAX(0,$C229-$AB$210),0)))))</f>
      </c>
      <c r="H229" s="43">
        <f>IF($S$210=0,0,IF(OR(DATE($C229,4,15)&lt;$S$210,AND($T$210&gt;0,DATE($C229,4,15)&gt;$T$210)),0,IF(DATE($C229,4,15)&gt;=$X$210,$AA$210*(1+($U$210)/100)^MAX(0,$C229-$AD$210),IF(DATE($C229,4,15)&gt;=$W$210,$Z$210*(1+($U$210)/100)^MAX(0,$C229-$AC$210),IF(DATE($C229,4,15)&gt;=$V$210,$Y$210*(1+($U$210)/100)^MAX(0,$C229-$AB$210),0)))))</f>
      </c>
      <c r="I229" s="43">
        <f>IF($S$210=0,0,IF(OR(DATE($C229,5,15)&lt;$S$210,AND($T$210&gt;0,DATE($C229,5,15)&gt;$T$210)),0,IF(DATE($C229,5,15)&gt;=$X$210,$AA$210*(1+($U$210)/100)^MAX(0,$C229-$AD$210),IF(DATE($C229,5,15)&gt;=$W$210,$Z$210*(1+($U$210)/100)^MAX(0,$C229-$AC$210),IF(DATE($C229,5,15)&gt;=$V$210,$Y$210*(1+($U$210)/100)^MAX(0,$C229-$AB$210),0)))))</f>
      </c>
      <c r="J229" s="43">
        <f>IF($S$210=0,0,IF(OR(DATE($C229,6,15)&lt;$S$210,AND($T$210&gt;0,DATE($C229,6,15)&gt;$T$210)),0,IF(DATE($C229,6,15)&gt;=$X$210,$AA$210*(1+($U$210)/100)^MAX(0,$C229-$AD$210),IF(DATE($C229,6,15)&gt;=$W$210,$Z$210*(1+($U$210)/100)^MAX(0,$C229-$AC$210),IF(DATE($C229,6,15)&gt;=$V$210,$Y$210*(1+($U$210)/100)^MAX(0,$C229-$AB$210),0)))))</f>
      </c>
      <c r="K229" s="43">
        <f>IF($S$210=0,0,IF(OR(DATE($C229,7,15)&lt;$S$210,AND($T$210&gt;0,DATE($C229,7,15)&gt;$T$210)),0,IF(DATE($C229,7,15)&gt;=$X$210,$AA$210*(1+($U$210)/100)^MAX(0,$C229-$AD$210),IF(DATE($C229,7,15)&gt;=$W$210,$Z$210*(1+($U$210)/100)^MAX(0,$C229-$AC$210),IF(DATE($C229,7,15)&gt;=$V$210,$Y$210*(1+($U$210)/100)^MAX(0,$C229-$AB$210),0)))))</f>
      </c>
      <c r="L229" s="43">
        <f>IF($S$210=0,0,IF(OR(DATE($C229,8,15)&lt;$S$210,AND($T$210&gt;0,DATE($C229,8,15)&gt;$T$210)),0,IF(DATE($C229,8,15)&gt;=$X$210,$AA$210*(1+($U$210)/100)^MAX(0,$C229-$AD$210),IF(DATE($C229,8,15)&gt;=$W$210,$Z$210*(1+($U$210)/100)^MAX(0,$C229-$AC$210),IF(DATE($C229,8,15)&gt;=$V$210,$Y$210*(1+($U$210)/100)^MAX(0,$C229-$AB$210),0)))))</f>
      </c>
      <c r="M229" s="43">
        <f>IF($S$210=0,0,IF(OR(DATE($C229,9,15)&lt;$S$210,AND($T$210&gt;0,DATE($C229,9,15)&gt;$T$210)),0,IF(DATE($C229,9,15)&gt;=$X$210,$AA$210*(1+($U$210)/100)^MAX(0,$C229-$AD$210),IF(DATE($C229,9,15)&gt;=$W$210,$Z$210*(1+($U$210)/100)^MAX(0,$C229-$AC$210),IF(DATE($C229,9,15)&gt;=$V$210,$Y$210*(1+($U$210)/100)^MAX(0,$C229-$AB$210),0)))))</f>
      </c>
      <c r="N229" s="43">
        <f>IF($S$210=0,0,IF(OR(DATE($C229,10,15)&lt;$S$210,AND($T$210&gt;0,DATE($C229,10,15)&gt;$T$210)),0,IF(DATE($C229,10,15)&gt;=$X$210,$AA$210*(1+($U$210)/100)^MAX(0,$C229-$AD$210),IF(DATE($C229,10,15)&gt;=$W$210,$Z$210*(1+($U$210)/100)^MAX(0,$C229-$AC$210),IF(DATE($C229,10,15)&gt;=$V$210,$Y$210*(1+($U$210)/100)^MAX(0,$C229-$AB$210),0)))))</f>
      </c>
      <c r="O229" s="43">
        <f>IF($S$210=0,0,IF(OR(DATE($C229,11,15)&lt;$S$210,AND($T$210&gt;0,DATE($C229,11,15)&gt;$T$210)),0,IF(DATE($C229,11,15)&gt;=$X$210,$AA$210*(1+($U$210)/100)^MAX(0,$C229-$AD$210),IF(DATE($C229,11,15)&gt;=$W$210,$Z$210*(1+($U$210)/100)^MAX(0,$C229-$AC$210),IF(DATE($C229,11,15)&gt;=$V$210,$Y$210*(1+($U$210)/100)^MAX(0,$C229-$AB$210),0)))))</f>
      </c>
      <c r="P229" s="43">
        <f>IF($S$210=0,0,IF(OR(DATE($C229,12,15)&lt;$S$210,AND($T$210&gt;0,DATE($C229,12,15)&gt;$T$210)),0,IF(DATE($C229,12,15)&gt;=$X$210,$AA$210*(1+($U$210)/100)^MAX(0,$C229-$AD$210),IF(DATE($C229,12,15)&gt;=$W$210,$Z$210*(1+($U$210)/100)^MAX(0,$C229-$AC$210),IF(DATE($C229,12,15)&gt;=$V$210,$Y$210*(1+($U$210)/100)^MAX(0,$C229-$AB$210),0)))))</f>
      </c>
      <c r="Q229" s="43">
        <f>SUM($E229:$P229)</f>
      </c>
    </row>
    <row r="230">
      <c r="A230"/>
      <c r="B230">
        <v>7</v>
      </c>
      <c r="C230" s="43">
        <f>Jahr+20</f>
      </c>
      <c r="D230" s="43">
        <f>INDEX(MvObj,7)</f>
      </c>
      <c r="E230" s="43">
        <f>IF($S$210=0,0,IF(OR(DATE($C230,1,15)&lt;$S$210,AND($T$210&gt;0,DATE($C230,1,15)&gt;$T$210)),0,IF(DATE($C230,1,15)&gt;=$X$210,$AA$210*(1+($U$210)/100)^MAX(0,$C230-$AD$210),IF(DATE($C230,1,15)&gt;=$W$210,$Z$210*(1+($U$210)/100)^MAX(0,$C230-$AC$210),IF(DATE($C230,1,15)&gt;=$V$210,$Y$210*(1+($U$210)/100)^MAX(0,$C230-$AB$210),0)))))</f>
      </c>
      <c r="F230" s="43">
        <f>IF($S$210=0,0,IF(OR(DATE($C230,2,15)&lt;$S$210,AND($T$210&gt;0,DATE($C230,2,15)&gt;$T$210)),0,IF(DATE($C230,2,15)&gt;=$X$210,$AA$210*(1+($U$210)/100)^MAX(0,$C230-$AD$210),IF(DATE($C230,2,15)&gt;=$W$210,$Z$210*(1+($U$210)/100)^MAX(0,$C230-$AC$210),IF(DATE($C230,2,15)&gt;=$V$210,$Y$210*(1+($U$210)/100)^MAX(0,$C230-$AB$210),0)))))</f>
      </c>
      <c r="G230" s="43">
        <f>IF($S$210=0,0,IF(OR(DATE($C230,3,15)&lt;$S$210,AND($T$210&gt;0,DATE($C230,3,15)&gt;$T$210)),0,IF(DATE($C230,3,15)&gt;=$X$210,$AA$210*(1+($U$210)/100)^MAX(0,$C230-$AD$210),IF(DATE($C230,3,15)&gt;=$W$210,$Z$210*(1+($U$210)/100)^MAX(0,$C230-$AC$210),IF(DATE($C230,3,15)&gt;=$V$210,$Y$210*(1+($U$210)/100)^MAX(0,$C230-$AB$210),0)))))</f>
      </c>
      <c r="H230" s="43">
        <f>IF($S$210=0,0,IF(OR(DATE($C230,4,15)&lt;$S$210,AND($T$210&gt;0,DATE($C230,4,15)&gt;$T$210)),0,IF(DATE($C230,4,15)&gt;=$X$210,$AA$210*(1+($U$210)/100)^MAX(0,$C230-$AD$210),IF(DATE($C230,4,15)&gt;=$W$210,$Z$210*(1+($U$210)/100)^MAX(0,$C230-$AC$210),IF(DATE($C230,4,15)&gt;=$V$210,$Y$210*(1+($U$210)/100)^MAX(0,$C230-$AB$210),0)))))</f>
      </c>
      <c r="I230" s="43">
        <f>IF($S$210=0,0,IF(OR(DATE($C230,5,15)&lt;$S$210,AND($T$210&gt;0,DATE($C230,5,15)&gt;$T$210)),0,IF(DATE($C230,5,15)&gt;=$X$210,$AA$210*(1+($U$210)/100)^MAX(0,$C230-$AD$210),IF(DATE($C230,5,15)&gt;=$W$210,$Z$210*(1+($U$210)/100)^MAX(0,$C230-$AC$210),IF(DATE($C230,5,15)&gt;=$V$210,$Y$210*(1+($U$210)/100)^MAX(0,$C230-$AB$210),0)))))</f>
      </c>
      <c r="J230" s="43">
        <f>IF($S$210=0,0,IF(OR(DATE($C230,6,15)&lt;$S$210,AND($T$210&gt;0,DATE($C230,6,15)&gt;$T$210)),0,IF(DATE($C230,6,15)&gt;=$X$210,$AA$210*(1+($U$210)/100)^MAX(0,$C230-$AD$210),IF(DATE($C230,6,15)&gt;=$W$210,$Z$210*(1+($U$210)/100)^MAX(0,$C230-$AC$210),IF(DATE($C230,6,15)&gt;=$V$210,$Y$210*(1+($U$210)/100)^MAX(0,$C230-$AB$210),0)))))</f>
      </c>
      <c r="K230" s="43">
        <f>IF($S$210=0,0,IF(OR(DATE($C230,7,15)&lt;$S$210,AND($T$210&gt;0,DATE($C230,7,15)&gt;$T$210)),0,IF(DATE($C230,7,15)&gt;=$X$210,$AA$210*(1+($U$210)/100)^MAX(0,$C230-$AD$210),IF(DATE($C230,7,15)&gt;=$W$210,$Z$210*(1+($U$210)/100)^MAX(0,$C230-$AC$210),IF(DATE($C230,7,15)&gt;=$V$210,$Y$210*(1+($U$210)/100)^MAX(0,$C230-$AB$210),0)))))</f>
      </c>
      <c r="L230" s="43">
        <f>IF($S$210=0,0,IF(OR(DATE($C230,8,15)&lt;$S$210,AND($T$210&gt;0,DATE($C230,8,15)&gt;$T$210)),0,IF(DATE($C230,8,15)&gt;=$X$210,$AA$210*(1+($U$210)/100)^MAX(0,$C230-$AD$210),IF(DATE($C230,8,15)&gt;=$W$210,$Z$210*(1+($U$210)/100)^MAX(0,$C230-$AC$210),IF(DATE($C230,8,15)&gt;=$V$210,$Y$210*(1+($U$210)/100)^MAX(0,$C230-$AB$210),0)))))</f>
      </c>
      <c r="M230" s="43">
        <f>IF($S$210=0,0,IF(OR(DATE($C230,9,15)&lt;$S$210,AND($T$210&gt;0,DATE($C230,9,15)&gt;$T$210)),0,IF(DATE($C230,9,15)&gt;=$X$210,$AA$210*(1+($U$210)/100)^MAX(0,$C230-$AD$210),IF(DATE($C230,9,15)&gt;=$W$210,$Z$210*(1+($U$210)/100)^MAX(0,$C230-$AC$210),IF(DATE($C230,9,15)&gt;=$V$210,$Y$210*(1+($U$210)/100)^MAX(0,$C230-$AB$210),0)))))</f>
      </c>
      <c r="N230" s="43">
        <f>IF($S$210=0,0,IF(OR(DATE($C230,10,15)&lt;$S$210,AND($T$210&gt;0,DATE($C230,10,15)&gt;$T$210)),0,IF(DATE($C230,10,15)&gt;=$X$210,$AA$210*(1+($U$210)/100)^MAX(0,$C230-$AD$210),IF(DATE($C230,10,15)&gt;=$W$210,$Z$210*(1+($U$210)/100)^MAX(0,$C230-$AC$210),IF(DATE($C230,10,15)&gt;=$V$210,$Y$210*(1+($U$210)/100)^MAX(0,$C230-$AB$210),0)))))</f>
      </c>
      <c r="O230" s="43">
        <f>IF($S$210=0,0,IF(OR(DATE($C230,11,15)&lt;$S$210,AND($T$210&gt;0,DATE($C230,11,15)&gt;$T$210)),0,IF(DATE($C230,11,15)&gt;=$X$210,$AA$210*(1+($U$210)/100)^MAX(0,$C230-$AD$210),IF(DATE($C230,11,15)&gt;=$W$210,$Z$210*(1+($U$210)/100)^MAX(0,$C230-$AC$210),IF(DATE($C230,11,15)&gt;=$V$210,$Y$210*(1+($U$210)/100)^MAX(0,$C230-$AB$210),0)))))</f>
      </c>
      <c r="P230" s="43">
        <f>IF($S$210=0,0,IF(OR(DATE($C230,12,15)&lt;$S$210,AND($T$210&gt;0,DATE($C230,12,15)&gt;$T$210)),0,IF(DATE($C230,12,15)&gt;=$X$210,$AA$210*(1+($U$210)/100)^MAX(0,$C230-$AD$210),IF(DATE($C230,12,15)&gt;=$W$210,$Z$210*(1+($U$210)/100)^MAX(0,$C230-$AC$210),IF(DATE($C230,12,15)&gt;=$V$210,$Y$210*(1+($U$210)/100)^MAX(0,$C230-$AB$210),0)))))</f>
      </c>
      <c r="Q230" s="43">
        <f>SUM($E230:$P230)</f>
      </c>
    </row>
    <row r="231">
      <c r="A231"/>
      <c r="B231">
        <v>7</v>
      </c>
      <c r="C231" s="43">
        <f>Jahr+21</f>
      </c>
      <c r="D231" s="43">
        <f>INDEX(MvObj,7)</f>
      </c>
      <c r="E231" s="43">
        <f>IF($S$210=0,0,IF(OR(DATE($C231,1,15)&lt;$S$210,AND($T$210&gt;0,DATE($C231,1,15)&gt;$T$210)),0,IF(DATE($C231,1,15)&gt;=$X$210,$AA$210*(1+($U$210)/100)^MAX(0,$C231-$AD$210),IF(DATE($C231,1,15)&gt;=$W$210,$Z$210*(1+($U$210)/100)^MAX(0,$C231-$AC$210),IF(DATE($C231,1,15)&gt;=$V$210,$Y$210*(1+($U$210)/100)^MAX(0,$C231-$AB$210),0)))))</f>
      </c>
      <c r="F231" s="43">
        <f>IF($S$210=0,0,IF(OR(DATE($C231,2,15)&lt;$S$210,AND($T$210&gt;0,DATE($C231,2,15)&gt;$T$210)),0,IF(DATE($C231,2,15)&gt;=$X$210,$AA$210*(1+($U$210)/100)^MAX(0,$C231-$AD$210),IF(DATE($C231,2,15)&gt;=$W$210,$Z$210*(1+($U$210)/100)^MAX(0,$C231-$AC$210),IF(DATE($C231,2,15)&gt;=$V$210,$Y$210*(1+($U$210)/100)^MAX(0,$C231-$AB$210),0)))))</f>
      </c>
      <c r="G231" s="43">
        <f>IF($S$210=0,0,IF(OR(DATE($C231,3,15)&lt;$S$210,AND($T$210&gt;0,DATE($C231,3,15)&gt;$T$210)),0,IF(DATE($C231,3,15)&gt;=$X$210,$AA$210*(1+($U$210)/100)^MAX(0,$C231-$AD$210),IF(DATE($C231,3,15)&gt;=$W$210,$Z$210*(1+($U$210)/100)^MAX(0,$C231-$AC$210),IF(DATE($C231,3,15)&gt;=$V$210,$Y$210*(1+($U$210)/100)^MAX(0,$C231-$AB$210),0)))))</f>
      </c>
      <c r="H231" s="43">
        <f>IF($S$210=0,0,IF(OR(DATE($C231,4,15)&lt;$S$210,AND($T$210&gt;0,DATE($C231,4,15)&gt;$T$210)),0,IF(DATE($C231,4,15)&gt;=$X$210,$AA$210*(1+($U$210)/100)^MAX(0,$C231-$AD$210),IF(DATE($C231,4,15)&gt;=$W$210,$Z$210*(1+($U$210)/100)^MAX(0,$C231-$AC$210),IF(DATE($C231,4,15)&gt;=$V$210,$Y$210*(1+($U$210)/100)^MAX(0,$C231-$AB$210),0)))))</f>
      </c>
      <c r="I231" s="43">
        <f>IF($S$210=0,0,IF(OR(DATE($C231,5,15)&lt;$S$210,AND($T$210&gt;0,DATE($C231,5,15)&gt;$T$210)),0,IF(DATE($C231,5,15)&gt;=$X$210,$AA$210*(1+($U$210)/100)^MAX(0,$C231-$AD$210),IF(DATE($C231,5,15)&gt;=$W$210,$Z$210*(1+($U$210)/100)^MAX(0,$C231-$AC$210),IF(DATE($C231,5,15)&gt;=$V$210,$Y$210*(1+($U$210)/100)^MAX(0,$C231-$AB$210),0)))))</f>
      </c>
      <c r="J231" s="43">
        <f>IF($S$210=0,0,IF(OR(DATE($C231,6,15)&lt;$S$210,AND($T$210&gt;0,DATE($C231,6,15)&gt;$T$210)),0,IF(DATE($C231,6,15)&gt;=$X$210,$AA$210*(1+($U$210)/100)^MAX(0,$C231-$AD$210),IF(DATE($C231,6,15)&gt;=$W$210,$Z$210*(1+($U$210)/100)^MAX(0,$C231-$AC$210),IF(DATE($C231,6,15)&gt;=$V$210,$Y$210*(1+($U$210)/100)^MAX(0,$C231-$AB$210),0)))))</f>
      </c>
      <c r="K231" s="43">
        <f>IF($S$210=0,0,IF(OR(DATE($C231,7,15)&lt;$S$210,AND($T$210&gt;0,DATE($C231,7,15)&gt;$T$210)),0,IF(DATE($C231,7,15)&gt;=$X$210,$AA$210*(1+($U$210)/100)^MAX(0,$C231-$AD$210),IF(DATE($C231,7,15)&gt;=$W$210,$Z$210*(1+($U$210)/100)^MAX(0,$C231-$AC$210),IF(DATE($C231,7,15)&gt;=$V$210,$Y$210*(1+($U$210)/100)^MAX(0,$C231-$AB$210),0)))))</f>
      </c>
      <c r="L231" s="43">
        <f>IF($S$210=0,0,IF(OR(DATE($C231,8,15)&lt;$S$210,AND($T$210&gt;0,DATE($C231,8,15)&gt;$T$210)),0,IF(DATE($C231,8,15)&gt;=$X$210,$AA$210*(1+($U$210)/100)^MAX(0,$C231-$AD$210),IF(DATE($C231,8,15)&gt;=$W$210,$Z$210*(1+($U$210)/100)^MAX(0,$C231-$AC$210),IF(DATE($C231,8,15)&gt;=$V$210,$Y$210*(1+($U$210)/100)^MAX(0,$C231-$AB$210),0)))))</f>
      </c>
      <c r="M231" s="43">
        <f>IF($S$210=0,0,IF(OR(DATE($C231,9,15)&lt;$S$210,AND($T$210&gt;0,DATE($C231,9,15)&gt;$T$210)),0,IF(DATE($C231,9,15)&gt;=$X$210,$AA$210*(1+($U$210)/100)^MAX(0,$C231-$AD$210),IF(DATE($C231,9,15)&gt;=$W$210,$Z$210*(1+($U$210)/100)^MAX(0,$C231-$AC$210),IF(DATE($C231,9,15)&gt;=$V$210,$Y$210*(1+($U$210)/100)^MAX(0,$C231-$AB$210),0)))))</f>
      </c>
      <c r="N231" s="43">
        <f>IF($S$210=0,0,IF(OR(DATE($C231,10,15)&lt;$S$210,AND($T$210&gt;0,DATE($C231,10,15)&gt;$T$210)),0,IF(DATE($C231,10,15)&gt;=$X$210,$AA$210*(1+($U$210)/100)^MAX(0,$C231-$AD$210),IF(DATE($C231,10,15)&gt;=$W$210,$Z$210*(1+($U$210)/100)^MAX(0,$C231-$AC$210),IF(DATE($C231,10,15)&gt;=$V$210,$Y$210*(1+($U$210)/100)^MAX(0,$C231-$AB$210),0)))))</f>
      </c>
      <c r="O231" s="43">
        <f>IF($S$210=0,0,IF(OR(DATE($C231,11,15)&lt;$S$210,AND($T$210&gt;0,DATE($C231,11,15)&gt;$T$210)),0,IF(DATE($C231,11,15)&gt;=$X$210,$AA$210*(1+($U$210)/100)^MAX(0,$C231-$AD$210),IF(DATE($C231,11,15)&gt;=$W$210,$Z$210*(1+($U$210)/100)^MAX(0,$C231-$AC$210),IF(DATE($C231,11,15)&gt;=$V$210,$Y$210*(1+($U$210)/100)^MAX(0,$C231-$AB$210),0)))))</f>
      </c>
      <c r="P231" s="43">
        <f>IF($S$210=0,0,IF(OR(DATE($C231,12,15)&lt;$S$210,AND($T$210&gt;0,DATE($C231,12,15)&gt;$T$210)),0,IF(DATE($C231,12,15)&gt;=$X$210,$AA$210*(1+($U$210)/100)^MAX(0,$C231-$AD$210),IF(DATE($C231,12,15)&gt;=$W$210,$Z$210*(1+($U$210)/100)^MAX(0,$C231-$AC$210),IF(DATE($C231,12,15)&gt;=$V$210,$Y$210*(1+($U$210)/100)^MAX(0,$C231-$AB$210),0)))))</f>
      </c>
      <c r="Q231" s="43">
        <f>SUM($E231:$P231)</f>
      </c>
    </row>
    <row r="232">
      <c r="A232"/>
      <c r="B232">
        <v>7</v>
      </c>
      <c r="C232" s="43">
        <f>Jahr+22</f>
      </c>
      <c r="D232" s="43">
        <f>INDEX(MvObj,7)</f>
      </c>
      <c r="E232" s="43">
        <f>IF($S$210=0,0,IF(OR(DATE($C232,1,15)&lt;$S$210,AND($T$210&gt;0,DATE($C232,1,15)&gt;$T$210)),0,IF(DATE($C232,1,15)&gt;=$X$210,$AA$210*(1+($U$210)/100)^MAX(0,$C232-$AD$210),IF(DATE($C232,1,15)&gt;=$W$210,$Z$210*(1+($U$210)/100)^MAX(0,$C232-$AC$210),IF(DATE($C232,1,15)&gt;=$V$210,$Y$210*(1+($U$210)/100)^MAX(0,$C232-$AB$210),0)))))</f>
      </c>
      <c r="F232" s="43">
        <f>IF($S$210=0,0,IF(OR(DATE($C232,2,15)&lt;$S$210,AND($T$210&gt;0,DATE($C232,2,15)&gt;$T$210)),0,IF(DATE($C232,2,15)&gt;=$X$210,$AA$210*(1+($U$210)/100)^MAX(0,$C232-$AD$210),IF(DATE($C232,2,15)&gt;=$W$210,$Z$210*(1+($U$210)/100)^MAX(0,$C232-$AC$210),IF(DATE($C232,2,15)&gt;=$V$210,$Y$210*(1+($U$210)/100)^MAX(0,$C232-$AB$210),0)))))</f>
      </c>
      <c r="G232" s="43">
        <f>IF($S$210=0,0,IF(OR(DATE($C232,3,15)&lt;$S$210,AND($T$210&gt;0,DATE($C232,3,15)&gt;$T$210)),0,IF(DATE($C232,3,15)&gt;=$X$210,$AA$210*(1+($U$210)/100)^MAX(0,$C232-$AD$210),IF(DATE($C232,3,15)&gt;=$W$210,$Z$210*(1+($U$210)/100)^MAX(0,$C232-$AC$210),IF(DATE($C232,3,15)&gt;=$V$210,$Y$210*(1+($U$210)/100)^MAX(0,$C232-$AB$210),0)))))</f>
      </c>
      <c r="H232" s="43">
        <f>IF($S$210=0,0,IF(OR(DATE($C232,4,15)&lt;$S$210,AND($T$210&gt;0,DATE($C232,4,15)&gt;$T$210)),0,IF(DATE($C232,4,15)&gt;=$X$210,$AA$210*(1+($U$210)/100)^MAX(0,$C232-$AD$210),IF(DATE($C232,4,15)&gt;=$W$210,$Z$210*(1+($U$210)/100)^MAX(0,$C232-$AC$210),IF(DATE($C232,4,15)&gt;=$V$210,$Y$210*(1+($U$210)/100)^MAX(0,$C232-$AB$210),0)))))</f>
      </c>
      <c r="I232" s="43">
        <f>IF($S$210=0,0,IF(OR(DATE($C232,5,15)&lt;$S$210,AND($T$210&gt;0,DATE($C232,5,15)&gt;$T$210)),0,IF(DATE($C232,5,15)&gt;=$X$210,$AA$210*(1+($U$210)/100)^MAX(0,$C232-$AD$210),IF(DATE($C232,5,15)&gt;=$W$210,$Z$210*(1+($U$210)/100)^MAX(0,$C232-$AC$210),IF(DATE($C232,5,15)&gt;=$V$210,$Y$210*(1+($U$210)/100)^MAX(0,$C232-$AB$210),0)))))</f>
      </c>
      <c r="J232" s="43">
        <f>IF($S$210=0,0,IF(OR(DATE($C232,6,15)&lt;$S$210,AND($T$210&gt;0,DATE($C232,6,15)&gt;$T$210)),0,IF(DATE($C232,6,15)&gt;=$X$210,$AA$210*(1+($U$210)/100)^MAX(0,$C232-$AD$210),IF(DATE($C232,6,15)&gt;=$W$210,$Z$210*(1+($U$210)/100)^MAX(0,$C232-$AC$210),IF(DATE($C232,6,15)&gt;=$V$210,$Y$210*(1+($U$210)/100)^MAX(0,$C232-$AB$210),0)))))</f>
      </c>
      <c r="K232" s="43">
        <f>IF($S$210=0,0,IF(OR(DATE($C232,7,15)&lt;$S$210,AND($T$210&gt;0,DATE($C232,7,15)&gt;$T$210)),0,IF(DATE($C232,7,15)&gt;=$X$210,$AA$210*(1+($U$210)/100)^MAX(0,$C232-$AD$210),IF(DATE($C232,7,15)&gt;=$W$210,$Z$210*(1+($U$210)/100)^MAX(0,$C232-$AC$210),IF(DATE($C232,7,15)&gt;=$V$210,$Y$210*(1+($U$210)/100)^MAX(0,$C232-$AB$210),0)))))</f>
      </c>
      <c r="L232" s="43">
        <f>IF($S$210=0,0,IF(OR(DATE($C232,8,15)&lt;$S$210,AND($T$210&gt;0,DATE($C232,8,15)&gt;$T$210)),0,IF(DATE($C232,8,15)&gt;=$X$210,$AA$210*(1+($U$210)/100)^MAX(0,$C232-$AD$210),IF(DATE($C232,8,15)&gt;=$W$210,$Z$210*(1+($U$210)/100)^MAX(0,$C232-$AC$210),IF(DATE($C232,8,15)&gt;=$V$210,$Y$210*(1+($U$210)/100)^MAX(0,$C232-$AB$210),0)))))</f>
      </c>
      <c r="M232" s="43">
        <f>IF($S$210=0,0,IF(OR(DATE($C232,9,15)&lt;$S$210,AND($T$210&gt;0,DATE($C232,9,15)&gt;$T$210)),0,IF(DATE($C232,9,15)&gt;=$X$210,$AA$210*(1+($U$210)/100)^MAX(0,$C232-$AD$210),IF(DATE($C232,9,15)&gt;=$W$210,$Z$210*(1+($U$210)/100)^MAX(0,$C232-$AC$210),IF(DATE($C232,9,15)&gt;=$V$210,$Y$210*(1+($U$210)/100)^MAX(0,$C232-$AB$210),0)))))</f>
      </c>
      <c r="N232" s="43">
        <f>IF($S$210=0,0,IF(OR(DATE($C232,10,15)&lt;$S$210,AND($T$210&gt;0,DATE($C232,10,15)&gt;$T$210)),0,IF(DATE($C232,10,15)&gt;=$X$210,$AA$210*(1+($U$210)/100)^MAX(0,$C232-$AD$210),IF(DATE($C232,10,15)&gt;=$W$210,$Z$210*(1+($U$210)/100)^MAX(0,$C232-$AC$210),IF(DATE($C232,10,15)&gt;=$V$210,$Y$210*(1+($U$210)/100)^MAX(0,$C232-$AB$210),0)))))</f>
      </c>
      <c r="O232" s="43">
        <f>IF($S$210=0,0,IF(OR(DATE($C232,11,15)&lt;$S$210,AND($T$210&gt;0,DATE($C232,11,15)&gt;$T$210)),0,IF(DATE($C232,11,15)&gt;=$X$210,$AA$210*(1+($U$210)/100)^MAX(0,$C232-$AD$210),IF(DATE($C232,11,15)&gt;=$W$210,$Z$210*(1+($U$210)/100)^MAX(0,$C232-$AC$210),IF(DATE($C232,11,15)&gt;=$V$210,$Y$210*(1+($U$210)/100)^MAX(0,$C232-$AB$210),0)))))</f>
      </c>
      <c r="P232" s="43">
        <f>IF($S$210=0,0,IF(OR(DATE($C232,12,15)&lt;$S$210,AND($T$210&gt;0,DATE($C232,12,15)&gt;$T$210)),0,IF(DATE($C232,12,15)&gt;=$X$210,$AA$210*(1+($U$210)/100)^MAX(0,$C232-$AD$210),IF(DATE($C232,12,15)&gt;=$W$210,$Z$210*(1+($U$210)/100)^MAX(0,$C232-$AC$210),IF(DATE($C232,12,15)&gt;=$V$210,$Y$210*(1+($U$210)/100)^MAX(0,$C232-$AB$210),0)))))</f>
      </c>
      <c r="Q232" s="43">
        <f>SUM($E232:$P232)</f>
      </c>
    </row>
    <row r="233">
      <c r="A233"/>
      <c r="B233">
        <v>7</v>
      </c>
      <c r="C233" s="43">
        <f>Jahr+23</f>
      </c>
      <c r="D233" s="43">
        <f>INDEX(MvObj,7)</f>
      </c>
      <c r="E233" s="43">
        <f>IF($S$210=0,0,IF(OR(DATE($C233,1,15)&lt;$S$210,AND($T$210&gt;0,DATE($C233,1,15)&gt;$T$210)),0,IF(DATE($C233,1,15)&gt;=$X$210,$AA$210*(1+($U$210)/100)^MAX(0,$C233-$AD$210),IF(DATE($C233,1,15)&gt;=$W$210,$Z$210*(1+($U$210)/100)^MAX(0,$C233-$AC$210),IF(DATE($C233,1,15)&gt;=$V$210,$Y$210*(1+($U$210)/100)^MAX(0,$C233-$AB$210),0)))))</f>
      </c>
      <c r="F233" s="43">
        <f>IF($S$210=0,0,IF(OR(DATE($C233,2,15)&lt;$S$210,AND($T$210&gt;0,DATE($C233,2,15)&gt;$T$210)),0,IF(DATE($C233,2,15)&gt;=$X$210,$AA$210*(1+($U$210)/100)^MAX(0,$C233-$AD$210),IF(DATE($C233,2,15)&gt;=$W$210,$Z$210*(1+($U$210)/100)^MAX(0,$C233-$AC$210),IF(DATE($C233,2,15)&gt;=$V$210,$Y$210*(1+($U$210)/100)^MAX(0,$C233-$AB$210),0)))))</f>
      </c>
      <c r="G233" s="43">
        <f>IF($S$210=0,0,IF(OR(DATE($C233,3,15)&lt;$S$210,AND($T$210&gt;0,DATE($C233,3,15)&gt;$T$210)),0,IF(DATE($C233,3,15)&gt;=$X$210,$AA$210*(1+($U$210)/100)^MAX(0,$C233-$AD$210),IF(DATE($C233,3,15)&gt;=$W$210,$Z$210*(1+($U$210)/100)^MAX(0,$C233-$AC$210),IF(DATE($C233,3,15)&gt;=$V$210,$Y$210*(1+($U$210)/100)^MAX(0,$C233-$AB$210),0)))))</f>
      </c>
      <c r="H233" s="43">
        <f>IF($S$210=0,0,IF(OR(DATE($C233,4,15)&lt;$S$210,AND($T$210&gt;0,DATE($C233,4,15)&gt;$T$210)),0,IF(DATE($C233,4,15)&gt;=$X$210,$AA$210*(1+($U$210)/100)^MAX(0,$C233-$AD$210),IF(DATE($C233,4,15)&gt;=$W$210,$Z$210*(1+($U$210)/100)^MAX(0,$C233-$AC$210),IF(DATE($C233,4,15)&gt;=$V$210,$Y$210*(1+($U$210)/100)^MAX(0,$C233-$AB$210),0)))))</f>
      </c>
      <c r="I233" s="43">
        <f>IF($S$210=0,0,IF(OR(DATE($C233,5,15)&lt;$S$210,AND($T$210&gt;0,DATE($C233,5,15)&gt;$T$210)),0,IF(DATE($C233,5,15)&gt;=$X$210,$AA$210*(1+($U$210)/100)^MAX(0,$C233-$AD$210),IF(DATE($C233,5,15)&gt;=$W$210,$Z$210*(1+($U$210)/100)^MAX(0,$C233-$AC$210),IF(DATE($C233,5,15)&gt;=$V$210,$Y$210*(1+($U$210)/100)^MAX(0,$C233-$AB$210),0)))))</f>
      </c>
      <c r="J233" s="43">
        <f>IF($S$210=0,0,IF(OR(DATE($C233,6,15)&lt;$S$210,AND($T$210&gt;0,DATE($C233,6,15)&gt;$T$210)),0,IF(DATE($C233,6,15)&gt;=$X$210,$AA$210*(1+($U$210)/100)^MAX(0,$C233-$AD$210),IF(DATE($C233,6,15)&gt;=$W$210,$Z$210*(1+($U$210)/100)^MAX(0,$C233-$AC$210),IF(DATE($C233,6,15)&gt;=$V$210,$Y$210*(1+($U$210)/100)^MAX(0,$C233-$AB$210),0)))))</f>
      </c>
      <c r="K233" s="43">
        <f>IF($S$210=0,0,IF(OR(DATE($C233,7,15)&lt;$S$210,AND($T$210&gt;0,DATE($C233,7,15)&gt;$T$210)),0,IF(DATE($C233,7,15)&gt;=$X$210,$AA$210*(1+($U$210)/100)^MAX(0,$C233-$AD$210),IF(DATE($C233,7,15)&gt;=$W$210,$Z$210*(1+($U$210)/100)^MAX(0,$C233-$AC$210),IF(DATE($C233,7,15)&gt;=$V$210,$Y$210*(1+($U$210)/100)^MAX(0,$C233-$AB$210),0)))))</f>
      </c>
      <c r="L233" s="43">
        <f>IF($S$210=0,0,IF(OR(DATE($C233,8,15)&lt;$S$210,AND($T$210&gt;0,DATE($C233,8,15)&gt;$T$210)),0,IF(DATE($C233,8,15)&gt;=$X$210,$AA$210*(1+($U$210)/100)^MAX(0,$C233-$AD$210),IF(DATE($C233,8,15)&gt;=$W$210,$Z$210*(1+($U$210)/100)^MAX(0,$C233-$AC$210),IF(DATE($C233,8,15)&gt;=$V$210,$Y$210*(1+($U$210)/100)^MAX(0,$C233-$AB$210),0)))))</f>
      </c>
      <c r="M233" s="43">
        <f>IF($S$210=0,0,IF(OR(DATE($C233,9,15)&lt;$S$210,AND($T$210&gt;0,DATE($C233,9,15)&gt;$T$210)),0,IF(DATE($C233,9,15)&gt;=$X$210,$AA$210*(1+($U$210)/100)^MAX(0,$C233-$AD$210),IF(DATE($C233,9,15)&gt;=$W$210,$Z$210*(1+($U$210)/100)^MAX(0,$C233-$AC$210),IF(DATE($C233,9,15)&gt;=$V$210,$Y$210*(1+($U$210)/100)^MAX(0,$C233-$AB$210),0)))))</f>
      </c>
      <c r="N233" s="43">
        <f>IF($S$210=0,0,IF(OR(DATE($C233,10,15)&lt;$S$210,AND($T$210&gt;0,DATE($C233,10,15)&gt;$T$210)),0,IF(DATE($C233,10,15)&gt;=$X$210,$AA$210*(1+($U$210)/100)^MAX(0,$C233-$AD$210),IF(DATE($C233,10,15)&gt;=$W$210,$Z$210*(1+($U$210)/100)^MAX(0,$C233-$AC$210),IF(DATE($C233,10,15)&gt;=$V$210,$Y$210*(1+($U$210)/100)^MAX(0,$C233-$AB$210),0)))))</f>
      </c>
      <c r="O233" s="43">
        <f>IF($S$210=0,0,IF(OR(DATE($C233,11,15)&lt;$S$210,AND($T$210&gt;0,DATE($C233,11,15)&gt;$T$210)),0,IF(DATE($C233,11,15)&gt;=$X$210,$AA$210*(1+($U$210)/100)^MAX(0,$C233-$AD$210),IF(DATE($C233,11,15)&gt;=$W$210,$Z$210*(1+($U$210)/100)^MAX(0,$C233-$AC$210),IF(DATE($C233,11,15)&gt;=$V$210,$Y$210*(1+($U$210)/100)^MAX(0,$C233-$AB$210),0)))))</f>
      </c>
      <c r="P233" s="43">
        <f>IF($S$210=0,0,IF(OR(DATE($C233,12,15)&lt;$S$210,AND($T$210&gt;0,DATE($C233,12,15)&gt;$T$210)),0,IF(DATE($C233,12,15)&gt;=$X$210,$AA$210*(1+($U$210)/100)^MAX(0,$C233-$AD$210),IF(DATE($C233,12,15)&gt;=$W$210,$Z$210*(1+($U$210)/100)^MAX(0,$C233-$AC$210),IF(DATE($C233,12,15)&gt;=$V$210,$Y$210*(1+($U$210)/100)^MAX(0,$C233-$AB$210),0)))))</f>
      </c>
      <c r="Q233" s="43">
        <f>SUM($E233:$P233)</f>
      </c>
    </row>
    <row r="234">
      <c r="A234"/>
      <c r="B234">
        <v>7</v>
      </c>
      <c r="C234" s="43">
        <f>Jahr+24</f>
      </c>
      <c r="D234" s="43">
        <f>INDEX(MvObj,7)</f>
      </c>
      <c r="E234" s="43">
        <f>IF($S$210=0,0,IF(OR(DATE($C234,1,15)&lt;$S$210,AND($T$210&gt;0,DATE($C234,1,15)&gt;$T$210)),0,IF(DATE($C234,1,15)&gt;=$X$210,$AA$210*(1+($U$210)/100)^MAX(0,$C234-$AD$210),IF(DATE($C234,1,15)&gt;=$W$210,$Z$210*(1+($U$210)/100)^MAX(0,$C234-$AC$210),IF(DATE($C234,1,15)&gt;=$V$210,$Y$210*(1+($U$210)/100)^MAX(0,$C234-$AB$210),0)))))</f>
      </c>
      <c r="F234" s="43">
        <f>IF($S$210=0,0,IF(OR(DATE($C234,2,15)&lt;$S$210,AND($T$210&gt;0,DATE($C234,2,15)&gt;$T$210)),0,IF(DATE($C234,2,15)&gt;=$X$210,$AA$210*(1+($U$210)/100)^MAX(0,$C234-$AD$210),IF(DATE($C234,2,15)&gt;=$W$210,$Z$210*(1+($U$210)/100)^MAX(0,$C234-$AC$210),IF(DATE($C234,2,15)&gt;=$V$210,$Y$210*(1+($U$210)/100)^MAX(0,$C234-$AB$210),0)))))</f>
      </c>
      <c r="G234" s="43">
        <f>IF($S$210=0,0,IF(OR(DATE($C234,3,15)&lt;$S$210,AND($T$210&gt;0,DATE($C234,3,15)&gt;$T$210)),0,IF(DATE($C234,3,15)&gt;=$X$210,$AA$210*(1+($U$210)/100)^MAX(0,$C234-$AD$210),IF(DATE($C234,3,15)&gt;=$W$210,$Z$210*(1+($U$210)/100)^MAX(0,$C234-$AC$210),IF(DATE($C234,3,15)&gt;=$V$210,$Y$210*(1+($U$210)/100)^MAX(0,$C234-$AB$210),0)))))</f>
      </c>
      <c r="H234" s="43">
        <f>IF($S$210=0,0,IF(OR(DATE($C234,4,15)&lt;$S$210,AND($T$210&gt;0,DATE($C234,4,15)&gt;$T$210)),0,IF(DATE($C234,4,15)&gt;=$X$210,$AA$210*(1+($U$210)/100)^MAX(0,$C234-$AD$210),IF(DATE($C234,4,15)&gt;=$W$210,$Z$210*(1+($U$210)/100)^MAX(0,$C234-$AC$210),IF(DATE($C234,4,15)&gt;=$V$210,$Y$210*(1+($U$210)/100)^MAX(0,$C234-$AB$210),0)))))</f>
      </c>
      <c r="I234" s="43">
        <f>IF($S$210=0,0,IF(OR(DATE($C234,5,15)&lt;$S$210,AND($T$210&gt;0,DATE($C234,5,15)&gt;$T$210)),0,IF(DATE($C234,5,15)&gt;=$X$210,$AA$210*(1+($U$210)/100)^MAX(0,$C234-$AD$210),IF(DATE($C234,5,15)&gt;=$W$210,$Z$210*(1+($U$210)/100)^MAX(0,$C234-$AC$210),IF(DATE($C234,5,15)&gt;=$V$210,$Y$210*(1+($U$210)/100)^MAX(0,$C234-$AB$210),0)))))</f>
      </c>
      <c r="J234" s="43">
        <f>IF($S$210=0,0,IF(OR(DATE($C234,6,15)&lt;$S$210,AND($T$210&gt;0,DATE($C234,6,15)&gt;$T$210)),0,IF(DATE($C234,6,15)&gt;=$X$210,$AA$210*(1+($U$210)/100)^MAX(0,$C234-$AD$210),IF(DATE($C234,6,15)&gt;=$W$210,$Z$210*(1+($U$210)/100)^MAX(0,$C234-$AC$210),IF(DATE($C234,6,15)&gt;=$V$210,$Y$210*(1+($U$210)/100)^MAX(0,$C234-$AB$210),0)))))</f>
      </c>
      <c r="K234" s="43">
        <f>IF($S$210=0,0,IF(OR(DATE($C234,7,15)&lt;$S$210,AND($T$210&gt;0,DATE($C234,7,15)&gt;$T$210)),0,IF(DATE($C234,7,15)&gt;=$X$210,$AA$210*(1+($U$210)/100)^MAX(0,$C234-$AD$210),IF(DATE($C234,7,15)&gt;=$W$210,$Z$210*(1+($U$210)/100)^MAX(0,$C234-$AC$210),IF(DATE($C234,7,15)&gt;=$V$210,$Y$210*(1+($U$210)/100)^MAX(0,$C234-$AB$210),0)))))</f>
      </c>
      <c r="L234" s="43">
        <f>IF($S$210=0,0,IF(OR(DATE($C234,8,15)&lt;$S$210,AND($T$210&gt;0,DATE($C234,8,15)&gt;$T$210)),0,IF(DATE($C234,8,15)&gt;=$X$210,$AA$210*(1+($U$210)/100)^MAX(0,$C234-$AD$210),IF(DATE($C234,8,15)&gt;=$W$210,$Z$210*(1+($U$210)/100)^MAX(0,$C234-$AC$210),IF(DATE($C234,8,15)&gt;=$V$210,$Y$210*(1+($U$210)/100)^MAX(0,$C234-$AB$210),0)))))</f>
      </c>
      <c r="M234" s="43">
        <f>IF($S$210=0,0,IF(OR(DATE($C234,9,15)&lt;$S$210,AND($T$210&gt;0,DATE($C234,9,15)&gt;$T$210)),0,IF(DATE($C234,9,15)&gt;=$X$210,$AA$210*(1+($U$210)/100)^MAX(0,$C234-$AD$210),IF(DATE($C234,9,15)&gt;=$W$210,$Z$210*(1+($U$210)/100)^MAX(0,$C234-$AC$210),IF(DATE($C234,9,15)&gt;=$V$210,$Y$210*(1+($U$210)/100)^MAX(0,$C234-$AB$210),0)))))</f>
      </c>
      <c r="N234" s="43">
        <f>IF($S$210=0,0,IF(OR(DATE($C234,10,15)&lt;$S$210,AND($T$210&gt;0,DATE($C234,10,15)&gt;$T$210)),0,IF(DATE($C234,10,15)&gt;=$X$210,$AA$210*(1+($U$210)/100)^MAX(0,$C234-$AD$210),IF(DATE($C234,10,15)&gt;=$W$210,$Z$210*(1+($U$210)/100)^MAX(0,$C234-$AC$210),IF(DATE($C234,10,15)&gt;=$V$210,$Y$210*(1+($U$210)/100)^MAX(0,$C234-$AB$210),0)))))</f>
      </c>
      <c r="O234" s="43">
        <f>IF($S$210=0,0,IF(OR(DATE($C234,11,15)&lt;$S$210,AND($T$210&gt;0,DATE($C234,11,15)&gt;$T$210)),0,IF(DATE($C234,11,15)&gt;=$X$210,$AA$210*(1+($U$210)/100)^MAX(0,$C234-$AD$210),IF(DATE($C234,11,15)&gt;=$W$210,$Z$210*(1+($U$210)/100)^MAX(0,$C234-$AC$210),IF(DATE($C234,11,15)&gt;=$V$210,$Y$210*(1+($U$210)/100)^MAX(0,$C234-$AB$210),0)))))</f>
      </c>
      <c r="P234" s="43">
        <f>IF($S$210=0,0,IF(OR(DATE($C234,12,15)&lt;$S$210,AND($T$210&gt;0,DATE($C234,12,15)&gt;$T$210)),0,IF(DATE($C234,12,15)&gt;=$X$210,$AA$210*(1+($U$210)/100)^MAX(0,$C234-$AD$210),IF(DATE($C234,12,15)&gt;=$W$210,$Z$210*(1+($U$210)/100)^MAX(0,$C234-$AC$210),IF(DATE($C234,12,15)&gt;=$V$210,$Y$210*(1+($U$210)/100)^MAX(0,$C234-$AB$210),0)))))</f>
      </c>
      <c r="Q234" s="43">
        <f>SUM($E234:$P234)</f>
      </c>
    </row>
    <row r="235">
      <c r="A235"/>
      <c r="B235">
        <v>7</v>
      </c>
      <c r="C235" s="43">
        <f>Jahr+25</f>
      </c>
      <c r="D235" s="43">
        <f>INDEX(MvObj,7)</f>
      </c>
      <c r="E235" s="43">
        <f>IF($S$210=0,0,IF(OR(DATE($C235,1,15)&lt;$S$210,AND($T$210&gt;0,DATE($C235,1,15)&gt;$T$210)),0,IF(DATE($C235,1,15)&gt;=$X$210,$AA$210*(1+($U$210)/100)^MAX(0,$C235-$AD$210),IF(DATE($C235,1,15)&gt;=$W$210,$Z$210*(1+($U$210)/100)^MAX(0,$C235-$AC$210),IF(DATE($C235,1,15)&gt;=$V$210,$Y$210*(1+($U$210)/100)^MAX(0,$C235-$AB$210),0)))))</f>
      </c>
      <c r="F235" s="43">
        <f>IF($S$210=0,0,IF(OR(DATE($C235,2,15)&lt;$S$210,AND($T$210&gt;0,DATE($C235,2,15)&gt;$T$210)),0,IF(DATE($C235,2,15)&gt;=$X$210,$AA$210*(1+($U$210)/100)^MAX(0,$C235-$AD$210),IF(DATE($C235,2,15)&gt;=$W$210,$Z$210*(1+($U$210)/100)^MAX(0,$C235-$AC$210),IF(DATE($C235,2,15)&gt;=$V$210,$Y$210*(1+($U$210)/100)^MAX(0,$C235-$AB$210),0)))))</f>
      </c>
      <c r="G235" s="43">
        <f>IF($S$210=0,0,IF(OR(DATE($C235,3,15)&lt;$S$210,AND($T$210&gt;0,DATE($C235,3,15)&gt;$T$210)),0,IF(DATE($C235,3,15)&gt;=$X$210,$AA$210*(1+($U$210)/100)^MAX(0,$C235-$AD$210),IF(DATE($C235,3,15)&gt;=$W$210,$Z$210*(1+($U$210)/100)^MAX(0,$C235-$AC$210),IF(DATE($C235,3,15)&gt;=$V$210,$Y$210*(1+($U$210)/100)^MAX(0,$C235-$AB$210),0)))))</f>
      </c>
      <c r="H235" s="43">
        <f>IF($S$210=0,0,IF(OR(DATE($C235,4,15)&lt;$S$210,AND($T$210&gt;0,DATE($C235,4,15)&gt;$T$210)),0,IF(DATE($C235,4,15)&gt;=$X$210,$AA$210*(1+($U$210)/100)^MAX(0,$C235-$AD$210),IF(DATE($C235,4,15)&gt;=$W$210,$Z$210*(1+($U$210)/100)^MAX(0,$C235-$AC$210),IF(DATE($C235,4,15)&gt;=$V$210,$Y$210*(1+($U$210)/100)^MAX(0,$C235-$AB$210),0)))))</f>
      </c>
      <c r="I235" s="43">
        <f>IF($S$210=0,0,IF(OR(DATE($C235,5,15)&lt;$S$210,AND($T$210&gt;0,DATE($C235,5,15)&gt;$T$210)),0,IF(DATE($C235,5,15)&gt;=$X$210,$AA$210*(1+($U$210)/100)^MAX(0,$C235-$AD$210),IF(DATE($C235,5,15)&gt;=$W$210,$Z$210*(1+($U$210)/100)^MAX(0,$C235-$AC$210),IF(DATE($C235,5,15)&gt;=$V$210,$Y$210*(1+($U$210)/100)^MAX(0,$C235-$AB$210),0)))))</f>
      </c>
      <c r="J235" s="43">
        <f>IF($S$210=0,0,IF(OR(DATE($C235,6,15)&lt;$S$210,AND($T$210&gt;0,DATE($C235,6,15)&gt;$T$210)),0,IF(DATE($C235,6,15)&gt;=$X$210,$AA$210*(1+($U$210)/100)^MAX(0,$C235-$AD$210),IF(DATE($C235,6,15)&gt;=$W$210,$Z$210*(1+($U$210)/100)^MAX(0,$C235-$AC$210),IF(DATE($C235,6,15)&gt;=$V$210,$Y$210*(1+($U$210)/100)^MAX(0,$C235-$AB$210),0)))))</f>
      </c>
      <c r="K235" s="43">
        <f>IF($S$210=0,0,IF(OR(DATE($C235,7,15)&lt;$S$210,AND($T$210&gt;0,DATE($C235,7,15)&gt;$T$210)),0,IF(DATE($C235,7,15)&gt;=$X$210,$AA$210*(1+($U$210)/100)^MAX(0,$C235-$AD$210),IF(DATE($C235,7,15)&gt;=$W$210,$Z$210*(1+($U$210)/100)^MAX(0,$C235-$AC$210),IF(DATE($C235,7,15)&gt;=$V$210,$Y$210*(1+($U$210)/100)^MAX(0,$C235-$AB$210),0)))))</f>
      </c>
      <c r="L235" s="43">
        <f>IF($S$210=0,0,IF(OR(DATE($C235,8,15)&lt;$S$210,AND($T$210&gt;0,DATE($C235,8,15)&gt;$T$210)),0,IF(DATE($C235,8,15)&gt;=$X$210,$AA$210*(1+($U$210)/100)^MAX(0,$C235-$AD$210),IF(DATE($C235,8,15)&gt;=$W$210,$Z$210*(1+($U$210)/100)^MAX(0,$C235-$AC$210),IF(DATE($C235,8,15)&gt;=$V$210,$Y$210*(1+($U$210)/100)^MAX(0,$C235-$AB$210),0)))))</f>
      </c>
      <c r="M235" s="43">
        <f>IF($S$210=0,0,IF(OR(DATE($C235,9,15)&lt;$S$210,AND($T$210&gt;0,DATE($C235,9,15)&gt;$T$210)),0,IF(DATE($C235,9,15)&gt;=$X$210,$AA$210*(1+($U$210)/100)^MAX(0,$C235-$AD$210),IF(DATE($C235,9,15)&gt;=$W$210,$Z$210*(1+($U$210)/100)^MAX(0,$C235-$AC$210),IF(DATE($C235,9,15)&gt;=$V$210,$Y$210*(1+($U$210)/100)^MAX(0,$C235-$AB$210),0)))))</f>
      </c>
      <c r="N235" s="43">
        <f>IF($S$210=0,0,IF(OR(DATE($C235,10,15)&lt;$S$210,AND($T$210&gt;0,DATE($C235,10,15)&gt;$T$210)),0,IF(DATE($C235,10,15)&gt;=$X$210,$AA$210*(1+($U$210)/100)^MAX(0,$C235-$AD$210),IF(DATE($C235,10,15)&gt;=$W$210,$Z$210*(1+($U$210)/100)^MAX(0,$C235-$AC$210),IF(DATE($C235,10,15)&gt;=$V$210,$Y$210*(1+($U$210)/100)^MAX(0,$C235-$AB$210),0)))))</f>
      </c>
      <c r="O235" s="43">
        <f>IF($S$210=0,0,IF(OR(DATE($C235,11,15)&lt;$S$210,AND($T$210&gt;0,DATE($C235,11,15)&gt;$T$210)),0,IF(DATE($C235,11,15)&gt;=$X$210,$AA$210*(1+($U$210)/100)^MAX(0,$C235-$AD$210),IF(DATE($C235,11,15)&gt;=$W$210,$Z$210*(1+($U$210)/100)^MAX(0,$C235-$AC$210),IF(DATE($C235,11,15)&gt;=$V$210,$Y$210*(1+($U$210)/100)^MAX(0,$C235-$AB$210),0)))))</f>
      </c>
      <c r="P235" s="43">
        <f>IF($S$210=0,0,IF(OR(DATE($C235,12,15)&lt;$S$210,AND($T$210&gt;0,DATE($C235,12,15)&gt;$T$210)),0,IF(DATE($C235,12,15)&gt;=$X$210,$AA$210*(1+($U$210)/100)^MAX(0,$C235-$AD$210),IF(DATE($C235,12,15)&gt;=$W$210,$Z$210*(1+($U$210)/100)^MAX(0,$C235-$AC$210),IF(DATE($C235,12,15)&gt;=$V$210,$Y$210*(1+($U$210)/100)^MAX(0,$C235-$AB$210),0)))))</f>
      </c>
      <c r="Q235" s="43">
        <f>SUM($E235:$P235)</f>
      </c>
    </row>
    <row r="236">
      <c r="A236"/>
      <c r="B236">
        <v>7</v>
      </c>
      <c r="C236" s="43">
        <f>Jahr+26</f>
      </c>
      <c r="D236" s="43">
        <f>INDEX(MvObj,7)</f>
      </c>
      <c r="E236" s="43">
        <f>IF($S$210=0,0,IF(OR(DATE($C236,1,15)&lt;$S$210,AND($T$210&gt;0,DATE($C236,1,15)&gt;$T$210)),0,IF(DATE($C236,1,15)&gt;=$X$210,$AA$210*(1+($U$210)/100)^MAX(0,$C236-$AD$210),IF(DATE($C236,1,15)&gt;=$W$210,$Z$210*(1+($U$210)/100)^MAX(0,$C236-$AC$210),IF(DATE($C236,1,15)&gt;=$V$210,$Y$210*(1+($U$210)/100)^MAX(0,$C236-$AB$210),0)))))</f>
      </c>
      <c r="F236" s="43">
        <f>IF($S$210=0,0,IF(OR(DATE($C236,2,15)&lt;$S$210,AND($T$210&gt;0,DATE($C236,2,15)&gt;$T$210)),0,IF(DATE($C236,2,15)&gt;=$X$210,$AA$210*(1+($U$210)/100)^MAX(0,$C236-$AD$210),IF(DATE($C236,2,15)&gt;=$W$210,$Z$210*(1+($U$210)/100)^MAX(0,$C236-$AC$210),IF(DATE($C236,2,15)&gt;=$V$210,$Y$210*(1+($U$210)/100)^MAX(0,$C236-$AB$210),0)))))</f>
      </c>
      <c r="G236" s="43">
        <f>IF($S$210=0,0,IF(OR(DATE($C236,3,15)&lt;$S$210,AND($T$210&gt;0,DATE($C236,3,15)&gt;$T$210)),0,IF(DATE($C236,3,15)&gt;=$X$210,$AA$210*(1+($U$210)/100)^MAX(0,$C236-$AD$210),IF(DATE($C236,3,15)&gt;=$W$210,$Z$210*(1+($U$210)/100)^MAX(0,$C236-$AC$210),IF(DATE($C236,3,15)&gt;=$V$210,$Y$210*(1+($U$210)/100)^MAX(0,$C236-$AB$210),0)))))</f>
      </c>
      <c r="H236" s="43">
        <f>IF($S$210=0,0,IF(OR(DATE($C236,4,15)&lt;$S$210,AND($T$210&gt;0,DATE($C236,4,15)&gt;$T$210)),0,IF(DATE($C236,4,15)&gt;=$X$210,$AA$210*(1+($U$210)/100)^MAX(0,$C236-$AD$210),IF(DATE($C236,4,15)&gt;=$W$210,$Z$210*(1+($U$210)/100)^MAX(0,$C236-$AC$210),IF(DATE($C236,4,15)&gt;=$V$210,$Y$210*(1+($U$210)/100)^MAX(0,$C236-$AB$210),0)))))</f>
      </c>
      <c r="I236" s="43">
        <f>IF($S$210=0,0,IF(OR(DATE($C236,5,15)&lt;$S$210,AND($T$210&gt;0,DATE($C236,5,15)&gt;$T$210)),0,IF(DATE($C236,5,15)&gt;=$X$210,$AA$210*(1+($U$210)/100)^MAX(0,$C236-$AD$210),IF(DATE($C236,5,15)&gt;=$W$210,$Z$210*(1+($U$210)/100)^MAX(0,$C236-$AC$210),IF(DATE($C236,5,15)&gt;=$V$210,$Y$210*(1+($U$210)/100)^MAX(0,$C236-$AB$210),0)))))</f>
      </c>
      <c r="J236" s="43">
        <f>IF($S$210=0,0,IF(OR(DATE($C236,6,15)&lt;$S$210,AND($T$210&gt;0,DATE($C236,6,15)&gt;$T$210)),0,IF(DATE($C236,6,15)&gt;=$X$210,$AA$210*(1+($U$210)/100)^MAX(0,$C236-$AD$210),IF(DATE($C236,6,15)&gt;=$W$210,$Z$210*(1+($U$210)/100)^MAX(0,$C236-$AC$210),IF(DATE($C236,6,15)&gt;=$V$210,$Y$210*(1+($U$210)/100)^MAX(0,$C236-$AB$210),0)))))</f>
      </c>
      <c r="K236" s="43">
        <f>IF($S$210=0,0,IF(OR(DATE($C236,7,15)&lt;$S$210,AND($T$210&gt;0,DATE($C236,7,15)&gt;$T$210)),0,IF(DATE($C236,7,15)&gt;=$X$210,$AA$210*(1+($U$210)/100)^MAX(0,$C236-$AD$210),IF(DATE($C236,7,15)&gt;=$W$210,$Z$210*(1+($U$210)/100)^MAX(0,$C236-$AC$210),IF(DATE($C236,7,15)&gt;=$V$210,$Y$210*(1+($U$210)/100)^MAX(0,$C236-$AB$210),0)))))</f>
      </c>
      <c r="L236" s="43">
        <f>IF($S$210=0,0,IF(OR(DATE($C236,8,15)&lt;$S$210,AND($T$210&gt;0,DATE($C236,8,15)&gt;$T$210)),0,IF(DATE($C236,8,15)&gt;=$X$210,$AA$210*(1+($U$210)/100)^MAX(0,$C236-$AD$210),IF(DATE($C236,8,15)&gt;=$W$210,$Z$210*(1+($U$210)/100)^MAX(0,$C236-$AC$210),IF(DATE($C236,8,15)&gt;=$V$210,$Y$210*(1+($U$210)/100)^MAX(0,$C236-$AB$210),0)))))</f>
      </c>
      <c r="M236" s="43">
        <f>IF($S$210=0,0,IF(OR(DATE($C236,9,15)&lt;$S$210,AND($T$210&gt;0,DATE($C236,9,15)&gt;$T$210)),0,IF(DATE($C236,9,15)&gt;=$X$210,$AA$210*(1+($U$210)/100)^MAX(0,$C236-$AD$210),IF(DATE($C236,9,15)&gt;=$W$210,$Z$210*(1+($U$210)/100)^MAX(0,$C236-$AC$210),IF(DATE($C236,9,15)&gt;=$V$210,$Y$210*(1+($U$210)/100)^MAX(0,$C236-$AB$210),0)))))</f>
      </c>
      <c r="N236" s="43">
        <f>IF($S$210=0,0,IF(OR(DATE($C236,10,15)&lt;$S$210,AND($T$210&gt;0,DATE($C236,10,15)&gt;$T$210)),0,IF(DATE($C236,10,15)&gt;=$X$210,$AA$210*(1+($U$210)/100)^MAX(0,$C236-$AD$210),IF(DATE($C236,10,15)&gt;=$W$210,$Z$210*(1+($U$210)/100)^MAX(0,$C236-$AC$210),IF(DATE($C236,10,15)&gt;=$V$210,$Y$210*(1+($U$210)/100)^MAX(0,$C236-$AB$210),0)))))</f>
      </c>
      <c r="O236" s="43">
        <f>IF($S$210=0,0,IF(OR(DATE($C236,11,15)&lt;$S$210,AND($T$210&gt;0,DATE($C236,11,15)&gt;$T$210)),0,IF(DATE($C236,11,15)&gt;=$X$210,$AA$210*(1+($U$210)/100)^MAX(0,$C236-$AD$210),IF(DATE($C236,11,15)&gt;=$W$210,$Z$210*(1+($U$210)/100)^MAX(0,$C236-$AC$210),IF(DATE($C236,11,15)&gt;=$V$210,$Y$210*(1+($U$210)/100)^MAX(0,$C236-$AB$210),0)))))</f>
      </c>
      <c r="P236" s="43">
        <f>IF($S$210=0,0,IF(OR(DATE($C236,12,15)&lt;$S$210,AND($T$210&gt;0,DATE($C236,12,15)&gt;$T$210)),0,IF(DATE($C236,12,15)&gt;=$X$210,$AA$210*(1+($U$210)/100)^MAX(0,$C236-$AD$210),IF(DATE($C236,12,15)&gt;=$W$210,$Z$210*(1+($U$210)/100)^MAX(0,$C236-$AC$210),IF(DATE($C236,12,15)&gt;=$V$210,$Y$210*(1+($U$210)/100)^MAX(0,$C236-$AB$210),0)))))</f>
      </c>
      <c r="Q236" s="43">
        <f>SUM($E236:$P236)</f>
      </c>
    </row>
    <row r="237">
      <c r="A237"/>
      <c r="B237">
        <v>7</v>
      </c>
      <c r="C237" s="43">
        <f>Jahr+27</f>
      </c>
      <c r="D237" s="43">
        <f>INDEX(MvObj,7)</f>
      </c>
      <c r="E237" s="43">
        <f>IF($S$210=0,0,IF(OR(DATE($C237,1,15)&lt;$S$210,AND($T$210&gt;0,DATE($C237,1,15)&gt;$T$210)),0,IF(DATE($C237,1,15)&gt;=$X$210,$AA$210*(1+($U$210)/100)^MAX(0,$C237-$AD$210),IF(DATE($C237,1,15)&gt;=$W$210,$Z$210*(1+($U$210)/100)^MAX(0,$C237-$AC$210),IF(DATE($C237,1,15)&gt;=$V$210,$Y$210*(1+($U$210)/100)^MAX(0,$C237-$AB$210),0)))))</f>
      </c>
      <c r="F237" s="43">
        <f>IF($S$210=0,0,IF(OR(DATE($C237,2,15)&lt;$S$210,AND($T$210&gt;0,DATE($C237,2,15)&gt;$T$210)),0,IF(DATE($C237,2,15)&gt;=$X$210,$AA$210*(1+($U$210)/100)^MAX(0,$C237-$AD$210),IF(DATE($C237,2,15)&gt;=$W$210,$Z$210*(1+($U$210)/100)^MAX(0,$C237-$AC$210),IF(DATE($C237,2,15)&gt;=$V$210,$Y$210*(1+($U$210)/100)^MAX(0,$C237-$AB$210),0)))))</f>
      </c>
      <c r="G237" s="43">
        <f>IF($S$210=0,0,IF(OR(DATE($C237,3,15)&lt;$S$210,AND($T$210&gt;0,DATE($C237,3,15)&gt;$T$210)),0,IF(DATE($C237,3,15)&gt;=$X$210,$AA$210*(1+($U$210)/100)^MAX(0,$C237-$AD$210),IF(DATE($C237,3,15)&gt;=$W$210,$Z$210*(1+($U$210)/100)^MAX(0,$C237-$AC$210),IF(DATE($C237,3,15)&gt;=$V$210,$Y$210*(1+($U$210)/100)^MAX(0,$C237-$AB$210),0)))))</f>
      </c>
      <c r="H237" s="43">
        <f>IF($S$210=0,0,IF(OR(DATE($C237,4,15)&lt;$S$210,AND($T$210&gt;0,DATE($C237,4,15)&gt;$T$210)),0,IF(DATE($C237,4,15)&gt;=$X$210,$AA$210*(1+($U$210)/100)^MAX(0,$C237-$AD$210),IF(DATE($C237,4,15)&gt;=$W$210,$Z$210*(1+($U$210)/100)^MAX(0,$C237-$AC$210),IF(DATE($C237,4,15)&gt;=$V$210,$Y$210*(1+($U$210)/100)^MAX(0,$C237-$AB$210),0)))))</f>
      </c>
      <c r="I237" s="43">
        <f>IF($S$210=0,0,IF(OR(DATE($C237,5,15)&lt;$S$210,AND($T$210&gt;0,DATE($C237,5,15)&gt;$T$210)),0,IF(DATE($C237,5,15)&gt;=$X$210,$AA$210*(1+($U$210)/100)^MAX(0,$C237-$AD$210),IF(DATE($C237,5,15)&gt;=$W$210,$Z$210*(1+($U$210)/100)^MAX(0,$C237-$AC$210),IF(DATE($C237,5,15)&gt;=$V$210,$Y$210*(1+($U$210)/100)^MAX(0,$C237-$AB$210),0)))))</f>
      </c>
      <c r="J237" s="43">
        <f>IF($S$210=0,0,IF(OR(DATE($C237,6,15)&lt;$S$210,AND($T$210&gt;0,DATE($C237,6,15)&gt;$T$210)),0,IF(DATE($C237,6,15)&gt;=$X$210,$AA$210*(1+($U$210)/100)^MAX(0,$C237-$AD$210),IF(DATE($C237,6,15)&gt;=$W$210,$Z$210*(1+($U$210)/100)^MAX(0,$C237-$AC$210),IF(DATE($C237,6,15)&gt;=$V$210,$Y$210*(1+($U$210)/100)^MAX(0,$C237-$AB$210),0)))))</f>
      </c>
      <c r="K237" s="43">
        <f>IF($S$210=0,0,IF(OR(DATE($C237,7,15)&lt;$S$210,AND($T$210&gt;0,DATE($C237,7,15)&gt;$T$210)),0,IF(DATE($C237,7,15)&gt;=$X$210,$AA$210*(1+($U$210)/100)^MAX(0,$C237-$AD$210),IF(DATE($C237,7,15)&gt;=$W$210,$Z$210*(1+($U$210)/100)^MAX(0,$C237-$AC$210),IF(DATE($C237,7,15)&gt;=$V$210,$Y$210*(1+($U$210)/100)^MAX(0,$C237-$AB$210),0)))))</f>
      </c>
      <c r="L237" s="43">
        <f>IF($S$210=0,0,IF(OR(DATE($C237,8,15)&lt;$S$210,AND($T$210&gt;0,DATE($C237,8,15)&gt;$T$210)),0,IF(DATE($C237,8,15)&gt;=$X$210,$AA$210*(1+($U$210)/100)^MAX(0,$C237-$AD$210),IF(DATE($C237,8,15)&gt;=$W$210,$Z$210*(1+($U$210)/100)^MAX(0,$C237-$AC$210),IF(DATE($C237,8,15)&gt;=$V$210,$Y$210*(1+($U$210)/100)^MAX(0,$C237-$AB$210),0)))))</f>
      </c>
      <c r="M237" s="43">
        <f>IF($S$210=0,0,IF(OR(DATE($C237,9,15)&lt;$S$210,AND($T$210&gt;0,DATE($C237,9,15)&gt;$T$210)),0,IF(DATE($C237,9,15)&gt;=$X$210,$AA$210*(1+($U$210)/100)^MAX(0,$C237-$AD$210),IF(DATE($C237,9,15)&gt;=$W$210,$Z$210*(1+($U$210)/100)^MAX(0,$C237-$AC$210),IF(DATE($C237,9,15)&gt;=$V$210,$Y$210*(1+($U$210)/100)^MAX(0,$C237-$AB$210),0)))))</f>
      </c>
      <c r="N237" s="43">
        <f>IF($S$210=0,0,IF(OR(DATE($C237,10,15)&lt;$S$210,AND($T$210&gt;0,DATE($C237,10,15)&gt;$T$210)),0,IF(DATE($C237,10,15)&gt;=$X$210,$AA$210*(1+($U$210)/100)^MAX(0,$C237-$AD$210),IF(DATE($C237,10,15)&gt;=$W$210,$Z$210*(1+($U$210)/100)^MAX(0,$C237-$AC$210),IF(DATE($C237,10,15)&gt;=$V$210,$Y$210*(1+($U$210)/100)^MAX(0,$C237-$AB$210),0)))))</f>
      </c>
      <c r="O237" s="43">
        <f>IF($S$210=0,0,IF(OR(DATE($C237,11,15)&lt;$S$210,AND($T$210&gt;0,DATE($C237,11,15)&gt;$T$210)),0,IF(DATE($C237,11,15)&gt;=$X$210,$AA$210*(1+($U$210)/100)^MAX(0,$C237-$AD$210),IF(DATE($C237,11,15)&gt;=$W$210,$Z$210*(1+($U$210)/100)^MAX(0,$C237-$AC$210),IF(DATE($C237,11,15)&gt;=$V$210,$Y$210*(1+($U$210)/100)^MAX(0,$C237-$AB$210),0)))))</f>
      </c>
      <c r="P237" s="43">
        <f>IF($S$210=0,0,IF(OR(DATE($C237,12,15)&lt;$S$210,AND($T$210&gt;0,DATE($C237,12,15)&gt;$T$210)),0,IF(DATE($C237,12,15)&gt;=$X$210,$AA$210*(1+($U$210)/100)^MAX(0,$C237-$AD$210),IF(DATE($C237,12,15)&gt;=$W$210,$Z$210*(1+($U$210)/100)^MAX(0,$C237-$AC$210),IF(DATE($C237,12,15)&gt;=$V$210,$Y$210*(1+($U$210)/100)^MAX(0,$C237-$AB$210),0)))))</f>
      </c>
      <c r="Q237" s="43">
        <f>SUM($E237:$P237)</f>
      </c>
    </row>
    <row r="238">
      <c r="A238"/>
      <c r="B238">
        <v>7</v>
      </c>
      <c r="C238" s="43">
        <f>Jahr+28</f>
      </c>
      <c r="D238" s="43">
        <f>INDEX(MvObj,7)</f>
      </c>
      <c r="E238" s="43">
        <f>IF($S$210=0,0,IF(OR(DATE($C238,1,15)&lt;$S$210,AND($T$210&gt;0,DATE($C238,1,15)&gt;$T$210)),0,IF(DATE($C238,1,15)&gt;=$X$210,$AA$210*(1+($U$210)/100)^MAX(0,$C238-$AD$210),IF(DATE($C238,1,15)&gt;=$W$210,$Z$210*(1+($U$210)/100)^MAX(0,$C238-$AC$210),IF(DATE($C238,1,15)&gt;=$V$210,$Y$210*(1+($U$210)/100)^MAX(0,$C238-$AB$210),0)))))</f>
      </c>
      <c r="F238" s="43">
        <f>IF($S$210=0,0,IF(OR(DATE($C238,2,15)&lt;$S$210,AND($T$210&gt;0,DATE($C238,2,15)&gt;$T$210)),0,IF(DATE($C238,2,15)&gt;=$X$210,$AA$210*(1+($U$210)/100)^MAX(0,$C238-$AD$210),IF(DATE($C238,2,15)&gt;=$W$210,$Z$210*(1+($U$210)/100)^MAX(0,$C238-$AC$210),IF(DATE($C238,2,15)&gt;=$V$210,$Y$210*(1+($U$210)/100)^MAX(0,$C238-$AB$210),0)))))</f>
      </c>
      <c r="G238" s="43">
        <f>IF($S$210=0,0,IF(OR(DATE($C238,3,15)&lt;$S$210,AND($T$210&gt;0,DATE($C238,3,15)&gt;$T$210)),0,IF(DATE($C238,3,15)&gt;=$X$210,$AA$210*(1+($U$210)/100)^MAX(0,$C238-$AD$210),IF(DATE($C238,3,15)&gt;=$W$210,$Z$210*(1+($U$210)/100)^MAX(0,$C238-$AC$210),IF(DATE($C238,3,15)&gt;=$V$210,$Y$210*(1+($U$210)/100)^MAX(0,$C238-$AB$210),0)))))</f>
      </c>
      <c r="H238" s="43">
        <f>IF($S$210=0,0,IF(OR(DATE($C238,4,15)&lt;$S$210,AND($T$210&gt;0,DATE($C238,4,15)&gt;$T$210)),0,IF(DATE($C238,4,15)&gt;=$X$210,$AA$210*(1+($U$210)/100)^MAX(0,$C238-$AD$210),IF(DATE($C238,4,15)&gt;=$W$210,$Z$210*(1+($U$210)/100)^MAX(0,$C238-$AC$210),IF(DATE($C238,4,15)&gt;=$V$210,$Y$210*(1+($U$210)/100)^MAX(0,$C238-$AB$210),0)))))</f>
      </c>
      <c r="I238" s="43">
        <f>IF($S$210=0,0,IF(OR(DATE($C238,5,15)&lt;$S$210,AND($T$210&gt;0,DATE($C238,5,15)&gt;$T$210)),0,IF(DATE($C238,5,15)&gt;=$X$210,$AA$210*(1+($U$210)/100)^MAX(0,$C238-$AD$210),IF(DATE($C238,5,15)&gt;=$W$210,$Z$210*(1+($U$210)/100)^MAX(0,$C238-$AC$210),IF(DATE($C238,5,15)&gt;=$V$210,$Y$210*(1+($U$210)/100)^MAX(0,$C238-$AB$210),0)))))</f>
      </c>
      <c r="J238" s="43">
        <f>IF($S$210=0,0,IF(OR(DATE($C238,6,15)&lt;$S$210,AND($T$210&gt;0,DATE($C238,6,15)&gt;$T$210)),0,IF(DATE($C238,6,15)&gt;=$X$210,$AA$210*(1+($U$210)/100)^MAX(0,$C238-$AD$210),IF(DATE($C238,6,15)&gt;=$W$210,$Z$210*(1+($U$210)/100)^MAX(0,$C238-$AC$210),IF(DATE($C238,6,15)&gt;=$V$210,$Y$210*(1+($U$210)/100)^MAX(0,$C238-$AB$210),0)))))</f>
      </c>
      <c r="K238" s="43">
        <f>IF($S$210=0,0,IF(OR(DATE($C238,7,15)&lt;$S$210,AND($T$210&gt;0,DATE($C238,7,15)&gt;$T$210)),0,IF(DATE($C238,7,15)&gt;=$X$210,$AA$210*(1+($U$210)/100)^MAX(0,$C238-$AD$210),IF(DATE($C238,7,15)&gt;=$W$210,$Z$210*(1+($U$210)/100)^MAX(0,$C238-$AC$210),IF(DATE($C238,7,15)&gt;=$V$210,$Y$210*(1+($U$210)/100)^MAX(0,$C238-$AB$210),0)))))</f>
      </c>
      <c r="L238" s="43">
        <f>IF($S$210=0,0,IF(OR(DATE($C238,8,15)&lt;$S$210,AND($T$210&gt;0,DATE($C238,8,15)&gt;$T$210)),0,IF(DATE($C238,8,15)&gt;=$X$210,$AA$210*(1+($U$210)/100)^MAX(0,$C238-$AD$210),IF(DATE($C238,8,15)&gt;=$W$210,$Z$210*(1+($U$210)/100)^MAX(0,$C238-$AC$210),IF(DATE($C238,8,15)&gt;=$V$210,$Y$210*(1+($U$210)/100)^MAX(0,$C238-$AB$210),0)))))</f>
      </c>
      <c r="M238" s="43">
        <f>IF($S$210=0,0,IF(OR(DATE($C238,9,15)&lt;$S$210,AND($T$210&gt;0,DATE($C238,9,15)&gt;$T$210)),0,IF(DATE($C238,9,15)&gt;=$X$210,$AA$210*(1+($U$210)/100)^MAX(0,$C238-$AD$210),IF(DATE($C238,9,15)&gt;=$W$210,$Z$210*(1+($U$210)/100)^MAX(0,$C238-$AC$210),IF(DATE($C238,9,15)&gt;=$V$210,$Y$210*(1+($U$210)/100)^MAX(0,$C238-$AB$210),0)))))</f>
      </c>
      <c r="N238" s="43">
        <f>IF($S$210=0,0,IF(OR(DATE($C238,10,15)&lt;$S$210,AND($T$210&gt;0,DATE($C238,10,15)&gt;$T$210)),0,IF(DATE($C238,10,15)&gt;=$X$210,$AA$210*(1+($U$210)/100)^MAX(0,$C238-$AD$210),IF(DATE($C238,10,15)&gt;=$W$210,$Z$210*(1+($U$210)/100)^MAX(0,$C238-$AC$210),IF(DATE($C238,10,15)&gt;=$V$210,$Y$210*(1+($U$210)/100)^MAX(0,$C238-$AB$210),0)))))</f>
      </c>
      <c r="O238" s="43">
        <f>IF($S$210=0,0,IF(OR(DATE($C238,11,15)&lt;$S$210,AND($T$210&gt;0,DATE($C238,11,15)&gt;$T$210)),0,IF(DATE($C238,11,15)&gt;=$X$210,$AA$210*(1+($U$210)/100)^MAX(0,$C238-$AD$210),IF(DATE($C238,11,15)&gt;=$W$210,$Z$210*(1+($U$210)/100)^MAX(0,$C238-$AC$210),IF(DATE($C238,11,15)&gt;=$V$210,$Y$210*(1+($U$210)/100)^MAX(0,$C238-$AB$210),0)))))</f>
      </c>
      <c r="P238" s="43">
        <f>IF($S$210=0,0,IF(OR(DATE($C238,12,15)&lt;$S$210,AND($T$210&gt;0,DATE($C238,12,15)&gt;$T$210)),0,IF(DATE($C238,12,15)&gt;=$X$210,$AA$210*(1+($U$210)/100)^MAX(0,$C238-$AD$210),IF(DATE($C238,12,15)&gt;=$W$210,$Z$210*(1+($U$210)/100)^MAX(0,$C238-$AC$210),IF(DATE($C238,12,15)&gt;=$V$210,$Y$210*(1+($U$210)/100)^MAX(0,$C238-$AB$210),0)))))</f>
      </c>
      <c r="Q238" s="43">
        <f>SUM($E238:$P238)</f>
      </c>
    </row>
    <row r="239">
      <c r="A239"/>
      <c r="B239">
        <v>7</v>
      </c>
      <c r="C239" s="43">
        <f>Jahr+29</f>
      </c>
      <c r="D239" s="43">
        <f>INDEX(MvObj,7)</f>
      </c>
      <c r="E239" s="43">
        <f>IF($S$210=0,0,IF(OR(DATE($C239,1,15)&lt;$S$210,AND($T$210&gt;0,DATE($C239,1,15)&gt;$T$210)),0,IF(DATE($C239,1,15)&gt;=$X$210,$AA$210*(1+($U$210)/100)^MAX(0,$C239-$AD$210),IF(DATE($C239,1,15)&gt;=$W$210,$Z$210*(1+($U$210)/100)^MAX(0,$C239-$AC$210),IF(DATE($C239,1,15)&gt;=$V$210,$Y$210*(1+($U$210)/100)^MAX(0,$C239-$AB$210),0)))))</f>
      </c>
      <c r="F239" s="43">
        <f>IF($S$210=0,0,IF(OR(DATE($C239,2,15)&lt;$S$210,AND($T$210&gt;0,DATE($C239,2,15)&gt;$T$210)),0,IF(DATE($C239,2,15)&gt;=$X$210,$AA$210*(1+($U$210)/100)^MAX(0,$C239-$AD$210),IF(DATE($C239,2,15)&gt;=$W$210,$Z$210*(1+($U$210)/100)^MAX(0,$C239-$AC$210),IF(DATE($C239,2,15)&gt;=$V$210,$Y$210*(1+($U$210)/100)^MAX(0,$C239-$AB$210),0)))))</f>
      </c>
      <c r="G239" s="43">
        <f>IF($S$210=0,0,IF(OR(DATE($C239,3,15)&lt;$S$210,AND($T$210&gt;0,DATE($C239,3,15)&gt;$T$210)),0,IF(DATE($C239,3,15)&gt;=$X$210,$AA$210*(1+($U$210)/100)^MAX(0,$C239-$AD$210),IF(DATE($C239,3,15)&gt;=$W$210,$Z$210*(1+($U$210)/100)^MAX(0,$C239-$AC$210),IF(DATE($C239,3,15)&gt;=$V$210,$Y$210*(1+($U$210)/100)^MAX(0,$C239-$AB$210),0)))))</f>
      </c>
      <c r="H239" s="43">
        <f>IF($S$210=0,0,IF(OR(DATE($C239,4,15)&lt;$S$210,AND($T$210&gt;0,DATE($C239,4,15)&gt;$T$210)),0,IF(DATE($C239,4,15)&gt;=$X$210,$AA$210*(1+($U$210)/100)^MAX(0,$C239-$AD$210),IF(DATE($C239,4,15)&gt;=$W$210,$Z$210*(1+($U$210)/100)^MAX(0,$C239-$AC$210),IF(DATE($C239,4,15)&gt;=$V$210,$Y$210*(1+($U$210)/100)^MAX(0,$C239-$AB$210),0)))))</f>
      </c>
      <c r="I239" s="43">
        <f>IF($S$210=0,0,IF(OR(DATE($C239,5,15)&lt;$S$210,AND($T$210&gt;0,DATE($C239,5,15)&gt;$T$210)),0,IF(DATE($C239,5,15)&gt;=$X$210,$AA$210*(1+($U$210)/100)^MAX(0,$C239-$AD$210),IF(DATE($C239,5,15)&gt;=$W$210,$Z$210*(1+($U$210)/100)^MAX(0,$C239-$AC$210),IF(DATE($C239,5,15)&gt;=$V$210,$Y$210*(1+($U$210)/100)^MAX(0,$C239-$AB$210),0)))))</f>
      </c>
      <c r="J239" s="43">
        <f>IF($S$210=0,0,IF(OR(DATE($C239,6,15)&lt;$S$210,AND($T$210&gt;0,DATE($C239,6,15)&gt;$T$210)),0,IF(DATE($C239,6,15)&gt;=$X$210,$AA$210*(1+($U$210)/100)^MAX(0,$C239-$AD$210),IF(DATE($C239,6,15)&gt;=$W$210,$Z$210*(1+($U$210)/100)^MAX(0,$C239-$AC$210),IF(DATE($C239,6,15)&gt;=$V$210,$Y$210*(1+($U$210)/100)^MAX(0,$C239-$AB$210),0)))))</f>
      </c>
      <c r="K239" s="43">
        <f>IF($S$210=0,0,IF(OR(DATE($C239,7,15)&lt;$S$210,AND($T$210&gt;0,DATE($C239,7,15)&gt;$T$210)),0,IF(DATE($C239,7,15)&gt;=$X$210,$AA$210*(1+($U$210)/100)^MAX(0,$C239-$AD$210),IF(DATE($C239,7,15)&gt;=$W$210,$Z$210*(1+($U$210)/100)^MAX(0,$C239-$AC$210),IF(DATE($C239,7,15)&gt;=$V$210,$Y$210*(1+($U$210)/100)^MAX(0,$C239-$AB$210),0)))))</f>
      </c>
      <c r="L239" s="43">
        <f>IF($S$210=0,0,IF(OR(DATE($C239,8,15)&lt;$S$210,AND($T$210&gt;0,DATE($C239,8,15)&gt;$T$210)),0,IF(DATE($C239,8,15)&gt;=$X$210,$AA$210*(1+($U$210)/100)^MAX(0,$C239-$AD$210),IF(DATE($C239,8,15)&gt;=$W$210,$Z$210*(1+($U$210)/100)^MAX(0,$C239-$AC$210),IF(DATE($C239,8,15)&gt;=$V$210,$Y$210*(1+($U$210)/100)^MAX(0,$C239-$AB$210),0)))))</f>
      </c>
      <c r="M239" s="43">
        <f>IF($S$210=0,0,IF(OR(DATE($C239,9,15)&lt;$S$210,AND($T$210&gt;0,DATE($C239,9,15)&gt;$T$210)),0,IF(DATE($C239,9,15)&gt;=$X$210,$AA$210*(1+($U$210)/100)^MAX(0,$C239-$AD$210),IF(DATE($C239,9,15)&gt;=$W$210,$Z$210*(1+($U$210)/100)^MAX(0,$C239-$AC$210),IF(DATE($C239,9,15)&gt;=$V$210,$Y$210*(1+($U$210)/100)^MAX(0,$C239-$AB$210),0)))))</f>
      </c>
      <c r="N239" s="43">
        <f>IF($S$210=0,0,IF(OR(DATE($C239,10,15)&lt;$S$210,AND($T$210&gt;0,DATE($C239,10,15)&gt;$T$210)),0,IF(DATE($C239,10,15)&gt;=$X$210,$AA$210*(1+($U$210)/100)^MAX(0,$C239-$AD$210),IF(DATE($C239,10,15)&gt;=$W$210,$Z$210*(1+($U$210)/100)^MAX(0,$C239-$AC$210),IF(DATE($C239,10,15)&gt;=$V$210,$Y$210*(1+($U$210)/100)^MAX(0,$C239-$AB$210),0)))))</f>
      </c>
      <c r="O239" s="43">
        <f>IF($S$210=0,0,IF(OR(DATE($C239,11,15)&lt;$S$210,AND($T$210&gt;0,DATE($C239,11,15)&gt;$T$210)),0,IF(DATE($C239,11,15)&gt;=$X$210,$AA$210*(1+($U$210)/100)^MAX(0,$C239-$AD$210),IF(DATE($C239,11,15)&gt;=$W$210,$Z$210*(1+($U$210)/100)^MAX(0,$C239-$AC$210),IF(DATE($C239,11,15)&gt;=$V$210,$Y$210*(1+($U$210)/100)^MAX(0,$C239-$AB$210),0)))))</f>
      </c>
      <c r="P239" s="43">
        <f>IF($S$210=0,0,IF(OR(DATE($C239,12,15)&lt;$S$210,AND($T$210&gt;0,DATE($C239,12,15)&gt;$T$210)),0,IF(DATE($C239,12,15)&gt;=$X$210,$AA$210*(1+($U$210)/100)^MAX(0,$C239-$AD$210),IF(DATE($C239,12,15)&gt;=$W$210,$Z$210*(1+($U$210)/100)^MAX(0,$C239-$AC$210),IF(DATE($C239,12,15)&gt;=$V$210,$Y$210*(1+($U$210)/100)^MAX(0,$C239-$AB$210),0)))))</f>
      </c>
      <c r="Q239" s="43">
        <f>SUM($E239:$P239)</f>
      </c>
    </row>
    <row r="240">
      <c r="A240"/>
      <c r="B240">
        <v>7</v>
      </c>
      <c r="C240" s="43">
        <f>Jahr+30</f>
      </c>
      <c r="D240" s="43">
        <f>INDEX(MvObj,7)</f>
      </c>
      <c r="E240" s="43">
        <f>IF($S$210=0,0,IF(OR(DATE($C240,1,15)&lt;$S$210,AND($T$210&gt;0,DATE($C240,1,15)&gt;$T$210)),0,IF(DATE($C240,1,15)&gt;=$X$210,$AA$210*(1+($U$210)/100)^MAX(0,$C240-$AD$210),IF(DATE($C240,1,15)&gt;=$W$210,$Z$210*(1+($U$210)/100)^MAX(0,$C240-$AC$210),IF(DATE($C240,1,15)&gt;=$V$210,$Y$210*(1+($U$210)/100)^MAX(0,$C240-$AB$210),0)))))</f>
      </c>
      <c r="F240" s="43">
        <f>IF($S$210=0,0,IF(OR(DATE($C240,2,15)&lt;$S$210,AND($T$210&gt;0,DATE($C240,2,15)&gt;$T$210)),0,IF(DATE($C240,2,15)&gt;=$X$210,$AA$210*(1+($U$210)/100)^MAX(0,$C240-$AD$210),IF(DATE($C240,2,15)&gt;=$W$210,$Z$210*(1+($U$210)/100)^MAX(0,$C240-$AC$210),IF(DATE($C240,2,15)&gt;=$V$210,$Y$210*(1+($U$210)/100)^MAX(0,$C240-$AB$210),0)))))</f>
      </c>
      <c r="G240" s="43">
        <f>IF($S$210=0,0,IF(OR(DATE($C240,3,15)&lt;$S$210,AND($T$210&gt;0,DATE($C240,3,15)&gt;$T$210)),0,IF(DATE($C240,3,15)&gt;=$X$210,$AA$210*(1+($U$210)/100)^MAX(0,$C240-$AD$210),IF(DATE($C240,3,15)&gt;=$W$210,$Z$210*(1+($U$210)/100)^MAX(0,$C240-$AC$210),IF(DATE($C240,3,15)&gt;=$V$210,$Y$210*(1+($U$210)/100)^MAX(0,$C240-$AB$210),0)))))</f>
      </c>
      <c r="H240" s="43">
        <f>IF($S$210=0,0,IF(OR(DATE($C240,4,15)&lt;$S$210,AND($T$210&gt;0,DATE($C240,4,15)&gt;$T$210)),0,IF(DATE($C240,4,15)&gt;=$X$210,$AA$210*(1+($U$210)/100)^MAX(0,$C240-$AD$210),IF(DATE($C240,4,15)&gt;=$W$210,$Z$210*(1+($U$210)/100)^MAX(0,$C240-$AC$210),IF(DATE($C240,4,15)&gt;=$V$210,$Y$210*(1+($U$210)/100)^MAX(0,$C240-$AB$210),0)))))</f>
      </c>
      <c r="I240" s="43">
        <f>IF($S$210=0,0,IF(OR(DATE($C240,5,15)&lt;$S$210,AND($T$210&gt;0,DATE($C240,5,15)&gt;$T$210)),0,IF(DATE($C240,5,15)&gt;=$X$210,$AA$210*(1+($U$210)/100)^MAX(0,$C240-$AD$210),IF(DATE($C240,5,15)&gt;=$W$210,$Z$210*(1+($U$210)/100)^MAX(0,$C240-$AC$210),IF(DATE($C240,5,15)&gt;=$V$210,$Y$210*(1+($U$210)/100)^MAX(0,$C240-$AB$210),0)))))</f>
      </c>
      <c r="J240" s="43">
        <f>IF($S$210=0,0,IF(OR(DATE($C240,6,15)&lt;$S$210,AND($T$210&gt;0,DATE($C240,6,15)&gt;$T$210)),0,IF(DATE($C240,6,15)&gt;=$X$210,$AA$210*(1+($U$210)/100)^MAX(0,$C240-$AD$210),IF(DATE($C240,6,15)&gt;=$W$210,$Z$210*(1+($U$210)/100)^MAX(0,$C240-$AC$210),IF(DATE($C240,6,15)&gt;=$V$210,$Y$210*(1+($U$210)/100)^MAX(0,$C240-$AB$210),0)))))</f>
      </c>
      <c r="K240" s="43">
        <f>IF($S$210=0,0,IF(OR(DATE($C240,7,15)&lt;$S$210,AND($T$210&gt;0,DATE($C240,7,15)&gt;$T$210)),0,IF(DATE($C240,7,15)&gt;=$X$210,$AA$210*(1+($U$210)/100)^MAX(0,$C240-$AD$210),IF(DATE($C240,7,15)&gt;=$W$210,$Z$210*(1+($U$210)/100)^MAX(0,$C240-$AC$210),IF(DATE($C240,7,15)&gt;=$V$210,$Y$210*(1+($U$210)/100)^MAX(0,$C240-$AB$210),0)))))</f>
      </c>
      <c r="L240" s="43">
        <f>IF($S$210=0,0,IF(OR(DATE($C240,8,15)&lt;$S$210,AND($T$210&gt;0,DATE($C240,8,15)&gt;$T$210)),0,IF(DATE($C240,8,15)&gt;=$X$210,$AA$210*(1+($U$210)/100)^MAX(0,$C240-$AD$210),IF(DATE($C240,8,15)&gt;=$W$210,$Z$210*(1+($U$210)/100)^MAX(0,$C240-$AC$210),IF(DATE($C240,8,15)&gt;=$V$210,$Y$210*(1+($U$210)/100)^MAX(0,$C240-$AB$210),0)))))</f>
      </c>
      <c r="M240" s="43">
        <f>IF($S$210=0,0,IF(OR(DATE($C240,9,15)&lt;$S$210,AND($T$210&gt;0,DATE($C240,9,15)&gt;$T$210)),0,IF(DATE($C240,9,15)&gt;=$X$210,$AA$210*(1+($U$210)/100)^MAX(0,$C240-$AD$210),IF(DATE($C240,9,15)&gt;=$W$210,$Z$210*(1+($U$210)/100)^MAX(0,$C240-$AC$210),IF(DATE($C240,9,15)&gt;=$V$210,$Y$210*(1+($U$210)/100)^MAX(0,$C240-$AB$210),0)))))</f>
      </c>
      <c r="N240" s="43">
        <f>IF($S$210=0,0,IF(OR(DATE($C240,10,15)&lt;$S$210,AND($T$210&gt;0,DATE($C240,10,15)&gt;$T$210)),0,IF(DATE($C240,10,15)&gt;=$X$210,$AA$210*(1+($U$210)/100)^MAX(0,$C240-$AD$210),IF(DATE($C240,10,15)&gt;=$W$210,$Z$210*(1+($U$210)/100)^MAX(0,$C240-$AC$210),IF(DATE($C240,10,15)&gt;=$V$210,$Y$210*(1+($U$210)/100)^MAX(0,$C240-$AB$210),0)))))</f>
      </c>
      <c r="O240" s="43">
        <f>IF($S$210=0,0,IF(OR(DATE($C240,11,15)&lt;$S$210,AND($T$210&gt;0,DATE($C240,11,15)&gt;$T$210)),0,IF(DATE($C240,11,15)&gt;=$X$210,$AA$210*(1+($U$210)/100)^MAX(0,$C240-$AD$210),IF(DATE($C240,11,15)&gt;=$W$210,$Z$210*(1+($U$210)/100)^MAX(0,$C240-$AC$210),IF(DATE($C240,11,15)&gt;=$V$210,$Y$210*(1+($U$210)/100)^MAX(0,$C240-$AB$210),0)))))</f>
      </c>
      <c r="P240" s="43">
        <f>IF($S$210=0,0,IF(OR(DATE($C240,12,15)&lt;$S$210,AND($T$210&gt;0,DATE($C240,12,15)&gt;$T$210)),0,IF(DATE($C240,12,15)&gt;=$X$210,$AA$210*(1+($U$210)/100)^MAX(0,$C240-$AD$210),IF(DATE($C240,12,15)&gt;=$W$210,$Z$210*(1+($U$210)/100)^MAX(0,$C240-$AC$210),IF(DATE($C240,12,15)&gt;=$V$210,$Y$210*(1+($U$210)/100)^MAX(0,$C240-$AB$210),0)))))</f>
      </c>
      <c r="Q240" s="43">
        <f>SUM($E240:$P240)</f>
      </c>
    </row>
    <row r="241">
      <c r="A241"/>
      <c r="B241">
        <v>8</v>
      </c>
      <c r="C241" s="43">
        <f>Jahr+0</f>
      </c>
      <c r="D241" s="43">
        <f>INDEX(MvObj,8)</f>
      </c>
      <c r="E241" s="43">
        <f>IF($S$241=0,0,IF(OR(DATE($C241,1,15)&lt;$S$241,AND($T$241&gt;0,DATE($C241,1,15)&gt;$T$241)),0,IF(DATE($C241,1,15)&gt;=$X$241,$AA$241*(1+($U$241)/100)^MAX(0,$C241-$AD$241),IF(DATE($C241,1,15)&gt;=$W$241,$Z$241*(1+($U$241)/100)^MAX(0,$C241-$AC$241),IF(DATE($C241,1,15)&gt;=$V$241,$Y$241*(1+($U$241)/100)^MAX(0,$C241-$AB$241),0)))))</f>
      </c>
      <c r="F241" s="43">
        <f>IF($S$241=0,0,IF(OR(DATE($C241,2,15)&lt;$S$241,AND($T$241&gt;0,DATE($C241,2,15)&gt;$T$241)),0,IF(DATE($C241,2,15)&gt;=$X$241,$AA$241*(1+($U$241)/100)^MAX(0,$C241-$AD$241),IF(DATE($C241,2,15)&gt;=$W$241,$Z$241*(1+($U$241)/100)^MAX(0,$C241-$AC$241),IF(DATE($C241,2,15)&gt;=$V$241,$Y$241*(1+($U$241)/100)^MAX(0,$C241-$AB$241),0)))))</f>
      </c>
      <c r="G241" s="43">
        <f>IF($S$241=0,0,IF(OR(DATE($C241,3,15)&lt;$S$241,AND($T$241&gt;0,DATE($C241,3,15)&gt;$T$241)),0,IF(DATE($C241,3,15)&gt;=$X$241,$AA$241*(1+($U$241)/100)^MAX(0,$C241-$AD$241),IF(DATE($C241,3,15)&gt;=$W$241,$Z$241*(1+($U$241)/100)^MAX(0,$C241-$AC$241),IF(DATE($C241,3,15)&gt;=$V$241,$Y$241*(1+($U$241)/100)^MAX(0,$C241-$AB$241),0)))))</f>
      </c>
      <c r="H241" s="43">
        <f>IF($S$241=0,0,IF(OR(DATE($C241,4,15)&lt;$S$241,AND($T$241&gt;0,DATE($C241,4,15)&gt;$T$241)),0,IF(DATE($C241,4,15)&gt;=$X$241,$AA$241*(1+($U$241)/100)^MAX(0,$C241-$AD$241),IF(DATE($C241,4,15)&gt;=$W$241,$Z$241*(1+($U$241)/100)^MAX(0,$C241-$AC$241),IF(DATE($C241,4,15)&gt;=$V$241,$Y$241*(1+($U$241)/100)^MAX(0,$C241-$AB$241),0)))))</f>
      </c>
      <c r="I241" s="43">
        <f>IF($S$241=0,0,IF(OR(DATE($C241,5,15)&lt;$S$241,AND($T$241&gt;0,DATE($C241,5,15)&gt;$T$241)),0,IF(DATE($C241,5,15)&gt;=$X$241,$AA$241*(1+($U$241)/100)^MAX(0,$C241-$AD$241),IF(DATE($C241,5,15)&gt;=$W$241,$Z$241*(1+($U$241)/100)^MAX(0,$C241-$AC$241),IF(DATE($C241,5,15)&gt;=$V$241,$Y$241*(1+($U$241)/100)^MAX(0,$C241-$AB$241),0)))))</f>
      </c>
      <c r="J241" s="43">
        <f>IF($S$241=0,0,IF(OR(DATE($C241,6,15)&lt;$S$241,AND($T$241&gt;0,DATE($C241,6,15)&gt;$T$241)),0,IF(DATE($C241,6,15)&gt;=$X$241,$AA$241*(1+($U$241)/100)^MAX(0,$C241-$AD$241),IF(DATE($C241,6,15)&gt;=$W$241,$Z$241*(1+($U$241)/100)^MAX(0,$C241-$AC$241),IF(DATE($C241,6,15)&gt;=$V$241,$Y$241*(1+($U$241)/100)^MAX(0,$C241-$AB$241),0)))))</f>
      </c>
      <c r="K241" s="43">
        <f>IF($S$241=0,0,IF(OR(DATE($C241,7,15)&lt;$S$241,AND($T$241&gt;0,DATE($C241,7,15)&gt;$T$241)),0,IF(DATE($C241,7,15)&gt;=$X$241,$AA$241*(1+($U$241)/100)^MAX(0,$C241-$AD$241),IF(DATE($C241,7,15)&gt;=$W$241,$Z$241*(1+($U$241)/100)^MAX(0,$C241-$AC$241),IF(DATE($C241,7,15)&gt;=$V$241,$Y$241*(1+($U$241)/100)^MAX(0,$C241-$AB$241),0)))))</f>
      </c>
      <c r="L241" s="43">
        <f>IF($S$241=0,0,IF(OR(DATE($C241,8,15)&lt;$S$241,AND($T$241&gt;0,DATE($C241,8,15)&gt;$T$241)),0,IF(DATE($C241,8,15)&gt;=$X$241,$AA$241*(1+($U$241)/100)^MAX(0,$C241-$AD$241),IF(DATE($C241,8,15)&gt;=$W$241,$Z$241*(1+($U$241)/100)^MAX(0,$C241-$AC$241),IF(DATE($C241,8,15)&gt;=$V$241,$Y$241*(1+($U$241)/100)^MAX(0,$C241-$AB$241),0)))))</f>
      </c>
      <c r="M241" s="43">
        <f>IF($S$241=0,0,IF(OR(DATE($C241,9,15)&lt;$S$241,AND($T$241&gt;0,DATE($C241,9,15)&gt;$T$241)),0,IF(DATE($C241,9,15)&gt;=$X$241,$AA$241*(1+($U$241)/100)^MAX(0,$C241-$AD$241),IF(DATE($C241,9,15)&gt;=$W$241,$Z$241*(1+($U$241)/100)^MAX(0,$C241-$AC$241),IF(DATE($C241,9,15)&gt;=$V$241,$Y$241*(1+($U$241)/100)^MAX(0,$C241-$AB$241),0)))))</f>
      </c>
      <c r="N241" s="43">
        <f>IF($S$241=0,0,IF(OR(DATE($C241,10,15)&lt;$S$241,AND($T$241&gt;0,DATE($C241,10,15)&gt;$T$241)),0,IF(DATE($C241,10,15)&gt;=$X$241,$AA$241*(1+($U$241)/100)^MAX(0,$C241-$AD$241),IF(DATE($C241,10,15)&gt;=$W$241,$Z$241*(1+($U$241)/100)^MAX(0,$C241-$AC$241),IF(DATE($C241,10,15)&gt;=$V$241,$Y$241*(1+($U$241)/100)^MAX(0,$C241-$AB$241),0)))))</f>
      </c>
      <c r="O241" s="43">
        <f>IF($S$241=0,0,IF(OR(DATE($C241,11,15)&lt;$S$241,AND($T$241&gt;0,DATE($C241,11,15)&gt;$T$241)),0,IF(DATE($C241,11,15)&gt;=$X$241,$AA$241*(1+($U$241)/100)^MAX(0,$C241-$AD$241),IF(DATE($C241,11,15)&gt;=$W$241,$Z$241*(1+($U$241)/100)^MAX(0,$C241-$AC$241),IF(DATE($C241,11,15)&gt;=$V$241,$Y$241*(1+($U$241)/100)^MAX(0,$C241-$AB$241),0)))))</f>
      </c>
      <c r="P241" s="43">
        <f>IF($S$241=0,0,IF(OR(DATE($C241,12,15)&lt;$S$241,AND($T$241&gt;0,DATE($C241,12,15)&gt;$T$241)),0,IF(DATE($C241,12,15)&gt;=$X$241,$AA$241*(1+($U$241)/100)^MAX(0,$C241-$AD$241),IF(DATE($C241,12,15)&gt;=$W$241,$Z$241*(1+($U$241)/100)^MAX(0,$C241-$AC$241),IF(DATE($C241,12,15)&gt;=$V$241,$Y$241*(1+($U$241)/100)^MAX(0,$C241-$AB$241),0)))))</f>
      </c>
      <c r="Q241" s="43">
        <f>SUM($E241:$P241)</f>
      </c>
      <c r="R241"/>
      <c r="S241" s="43">
        <f>IF(INDEX(MvBeginn,8)="",0,INDEX(MvBeginn,8))</f>
      </c>
      <c r="T241" s="43">
        <f>INDEX(MvEnde,8)</f>
      </c>
      <c r="U241" s="43">
        <f>INDEX(MvSatz,8)</f>
      </c>
      <c r="V241" s="43">
        <f>INDEX(MvKey1,8)</f>
      </c>
      <c r="W241" s="43">
        <f>INDEX(MvKey2,8)</f>
      </c>
      <c r="X241" s="43">
        <f>INDEX(MvKey3,8)</f>
      </c>
      <c r="Y241" s="43">
        <f>INDEX(MvKalt1,8)</f>
      </c>
      <c r="Z241" s="43">
        <f>INDEX(MvKalt2,8)</f>
      </c>
      <c r="AA241" s="43">
        <f>INDEX(MvKalt3,8)</f>
      </c>
      <c r="AB241" s="43">
        <f>MAX(YEAR(INDEX(MvAb1,8)),Jahr)</f>
      </c>
      <c r="AC241" s="43">
        <f>MAX(YEAR(INDEX(MvAb2,8)),Jahr)</f>
      </c>
      <c r="AD241" s="43">
        <f>MAX(YEAR(INDEX(MvAb3,8)),Jahr)</f>
      </c>
    </row>
    <row r="242">
      <c r="A242"/>
      <c r="B242">
        <v>8</v>
      </c>
      <c r="C242" s="43">
        <f>Jahr+1</f>
      </c>
      <c r="D242" s="43">
        <f>INDEX(MvObj,8)</f>
      </c>
      <c r="E242" s="43">
        <f>IF($S$241=0,0,IF(OR(DATE($C242,1,15)&lt;$S$241,AND($T$241&gt;0,DATE($C242,1,15)&gt;$T$241)),0,IF(DATE($C242,1,15)&gt;=$X$241,$AA$241*(1+($U$241)/100)^MAX(0,$C242-$AD$241),IF(DATE($C242,1,15)&gt;=$W$241,$Z$241*(1+($U$241)/100)^MAX(0,$C242-$AC$241),IF(DATE($C242,1,15)&gt;=$V$241,$Y$241*(1+($U$241)/100)^MAX(0,$C242-$AB$241),0)))))</f>
      </c>
      <c r="F242" s="43">
        <f>IF($S$241=0,0,IF(OR(DATE($C242,2,15)&lt;$S$241,AND($T$241&gt;0,DATE($C242,2,15)&gt;$T$241)),0,IF(DATE($C242,2,15)&gt;=$X$241,$AA$241*(1+($U$241)/100)^MAX(0,$C242-$AD$241),IF(DATE($C242,2,15)&gt;=$W$241,$Z$241*(1+($U$241)/100)^MAX(0,$C242-$AC$241),IF(DATE($C242,2,15)&gt;=$V$241,$Y$241*(1+($U$241)/100)^MAX(0,$C242-$AB$241),0)))))</f>
      </c>
      <c r="G242" s="43">
        <f>IF($S$241=0,0,IF(OR(DATE($C242,3,15)&lt;$S$241,AND($T$241&gt;0,DATE($C242,3,15)&gt;$T$241)),0,IF(DATE($C242,3,15)&gt;=$X$241,$AA$241*(1+($U$241)/100)^MAX(0,$C242-$AD$241),IF(DATE($C242,3,15)&gt;=$W$241,$Z$241*(1+($U$241)/100)^MAX(0,$C242-$AC$241),IF(DATE($C242,3,15)&gt;=$V$241,$Y$241*(1+($U$241)/100)^MAX(0,$C242-$AB$241),0)))))</f>
      </c>
      <c r="H242" s="43">
        <f>IF($S$241=0,0,IF(OR(DATE($C242,4,15)&lt;$S$241,AND($T$241&gt;0,DATE($C242,4,15)&gt;$T$241)),0,IF(DATE($C242,4,15)&gt;=$X$241,$AA$241*(1+($U$241)/100)^MAX(0,$C242-$AD$241),IF(DATE($C242,4,15)&gt;=$W$241,$Z$241*(1+($U$241)/100)^MAX(0,$C242-$AC$241),IF(DATE($C242,4,15)&gt;=$V$241,$Y$241*(1+($U$241)/100)^MAX(0,$C242-$AB$241),0)))))</f>
      </c>
      <c r="I242" s="43">
        <f>IF($S$241=0,0,IF(OR(DATE($C242,5,15)&lt;$S$241,AND($T$241&gt;0,DATE($C242,5,15)&gt;$T$241)),0,IF(DATE($C242,5,15)&gt;=$X$241,$AA$241*(1+($U$241)/100)^MAX(0,$C242-$AD$241),IF(DATE($C242,5,15)&gt;=$W$241,$Z$241*(1+($U$241)/100)^MAX(0,$C242-$AC$241),IF(DATE($C242,5,15)&gt;=$V$241,$Y$241*(1+($U$241)/100)^MAX(0,$C242-$AB$241),0)))))</f>
      </c>
      <c r="J242" s="43">
        <f>IF($S$241=0,0,IF(OR(DATE($C242,6,15)&lt;$S$241,AND($T$241&gt;0,DATE($C242,6,15)&gt;$T$241)),0,IF(DATE($C242,6,15)&gt;=$X$241,$AA$241*(1+($U$241)/100)^MAX(0,$C242-$AD$241),IF(DATE($C242,6,15)&gt;=$W$241,$Z$241*(1+($U$241)/100)^MAX(0,$C242-$AC$241),IF(DATE($C242,6,15)&gt;=$V$241,$Y$241*(1+($U$241)/100)^MAX(0,$C242-$AB$241),0)))))</f>
      </c>
      <c r="K242" s="43">
        <f>IF($S$241=0,0,IF(OR(DATE($C242,7,15)&lt;$S$241,AND($T$241&gt;0,DATE($C242,7,15)&gt;$T$241)),0,IF(DATE($C242,7,15)&gt;=$X$241,$AA$241*(1+($U$241)/100)^MAX(0,$C242-$AD$241),IF(DATE($C242,7,15)&gt;=$W$241,$Z$241*(1+($U$241)/100)^MAX(0,$C242-$AC$241),IF(DATE($C242,7,15)&gt;=$V$241,$Y$241*(1+($U$241)/100)^MAX(0,$C242-$AB$241),0)))))</f>
      </c>
      <c r="L242" s="43">
        <f>IF($S$241=0,0,IF(OR(DATE($C242,8,15)&lt;$S$241,AND($T$241&gt;0,DATE($C242,8,15)&gt;$T$241)),0,IF(DATE($C242,8,15)&gt;=$X$241,$AA$241*(1+($U$241)/100)^MAX(0,$C242-$AD$241),IF(DATE($C242,8,15)&gt;=$W$241,$Z$241*(1+($U$241)/100)^MAX(0,$C242-$AC$241),IF(DATE($C242,8,15)&gt;=$V$241,$Y$241*(1+($U$241)/100)^MAX(0,$C242-$AB$241),0)))))</f>
      </c>
      <c r="M242" s="43">
        <f>IF($S$241=0,0,IF(OR(DATE($C242,9,15)&lt;$S$241,AND($T$241&gt;0,DATE($C242,9,15)&gt;$T$241)),0,IF(DATE($C242,9,15)&gt;=$X$241,$AA$241*(1+($U$241)/100)^MAX(0,$C242-$AD$241),IF(DATE($C242,9,15)&gt;=$W$241,$Z$241*(1+($U$241)/100)^MAX(0,$C242-$AC$241),IF(DATE($C242,9,15)&gt;=$V$241,$Y$241*(1+($U$241)/100)^MAX(0,$C242-$AB$241),0)))))</f>
      </c>
      <c r="N242" s="43">
        <f>IF($S$241=0,0,IF(OR(DATE($C242,10,15)&lt;$S$241,AND($T$241&gt;0,DATE($C242,10,15)&gt;$T$241)),0,IF(DATE($C242,10,15)&gt;=$X$241,$AA$241*(1+($U$241)/100)^MAX(0,$C242-$AD$241),IF(DATE($C242,10,15)&gt;=$W$241,$Z$241*(1+($U$241)/100)^MAX(0,$C242-$AC$241),IF(DATE($C242,10,15)&gt;=$V$241,$Y$241*(1+($U$241)/100)^MAX(0,$C242-$AB$241),0)))))</f>
      </c>
      <c r="O242" s="43">
        <f>IF($S$241=0,0,IF(OR(DATE($C242,11,15)&lt;$S$241,AND($T$241&gt;0,DATE($C242,11,15)&gt;$T$241)),0,IF(DATE($C242,11,15)&gt;=$X$241,$AA$241*(1+($U$241)/100)^MAX(0,$C242-$AD$241),IF(DATE($C242,11,15)&gt;=$W$241,$Z$241*(1+($U$241)/100)^MAX(0,$C242-$AC$241),IF(DATE($C242,11,15)&gt;=$V$241,$Y$241*(1+($U$241)/100)^MAX(0,$C242-$AB$241),0)))))</f>
      </c>
      <c r="P242" s="43">
        <f>IF($S$241=0,0,IF(OR(DATE($C242,12,15)&lt;$S$241,AND($T$241&gt;0,DATE($C242,12,15)&gt;$T$241)),0,IF(DATE($C242,12,15)&gt;=$X$241,$AA$241*(1+($U$241)/100)^MAX(0,$C242-$AD$241),IF(DATE($C242,12,15)&gt;=$W$241,$Z$241*(1+($U$241)/100)^MAX(0,$C242-$AC$241),IF(DATE($C242,12,15)&gt;=$V$241,$Y$241*(1+($U$241)/100)^MAX(0,$C242-$AB$241),0)))))</f>
      </c>
      <c r="Q242" s="43">
        <f>SUM($E242:$P242)</f>
      </c>
    </row>
    <row r="243">
      <c r="A243"/>
      <c r="B243">
        <v>8</v>
      </c>
      <c r="C243" s="43">
        <f>Jahr+2</f>
      </c>
      <c r="D243" s="43">
        <f>INDEX(MvObj,8)</f>
      </c>
      <c r="E243" s="43">
        <f>IF($S$241=0,0,IF(OR(DATE($C243,1,15)&lt;$S$241,AND($T$241&gt;0,DATE($C243,1,15)&gt;$T$241)),0,IF(DATE($C243,1,15)&gt;=$X$241,$AA$241*(1+($U$241)/100)^MAX(0,$C243-$AD$241),IF(DATE($C243,1,15)&gt;=$W$241,$Z$241*(1+($U$241)/100)^MAX(0,$C243-$AC$241),IF(DATE($C243,1,15)&gt;=$V$241,$Y$241*(1+($U$241)/100)^MAX(0,$C243-$AB$241),0)))))</f>
      </c>
      <c r="F243" s="43">
        <f>IF($S$241=0,0,IF(OR(DATE($C243,2,15)&lt;$S$241,AND($T$241&gt;0,DATE($C243,2,15)&gt;$T$241)),0,IF(DATE($C243,2,15)&gt;=$X$241,$AA$241*(1+($U$241)/100)^MAX(0,$C243-$AD$241),IF(DATE($C243,2,15)&gt;=$W$241,$Z$241*(1+($U$241)/100)^MAX(0,$C243-$AC$241),IF(DATE($C243,2,15)&gt;=$V$241,$Y$241*(1+($U$241)/100)^MAX(0,$C243-$AB$241),0)))))</f>
      </c>
      <c r="G243" s="43">
        <f>IF($S$241=0,0,IF(OR(DATE($C243,3,15)&lt;$S$241,AND($T$241&gt;0,DATE($C243,3,15)&gt;$T$241)),0,IF(DATE($C243,3,15)&gt;=$X$241,$AA$241*(1+($U$241)/100)^MAX(0,$C243-$AD$241),IF(DATE($C243,3,15)&gt;=$W$241,$Z$241*(1+($U$241)/100)^MAX(0,$C243-$AC$241),IF(DATE($C243,3,15)&gt;=$V$241,$Y$241*(1+($U$241)/100)^MAX(0,$C243-$AB$241),0)))))</f>
      </c>
      <c r="H243" s="43">
        <f>IF($S$241=0,0,IF(OR(DATE($C243,4,15)&lt;$S$241,AND($T$241&gt;0,DATE($C243,4,15)&gt;$T$241)),0,IF(DATE($C243,4,15)&gt;=$X$241,$AA$241*(1+($U$241)/100)^MAX(0,$C243-$AD$241),IF(DATE($C243,4,15)&gt;=$W$241,$Z$241*(1+($U$241)/100)^MAX(0,$C243-$AC$241),IF(DATE($C243,4,15)&gt;=$V$241,$Y$241*(1+($U$241)/100)^MAX(0,$C243-$AB$241),0)))))</f>
      </c>
      <c r="I243" s="43">
        <f>IF($S$241=0,0,IF(OR(DATE($C243,5,15)&lt;$S$241,AND($T$241&gt;0,DATE($C243,5,15)&gt;$T$241)),0,IF(DATE($C243,5,15)&gt;=$X$241,$AA$241*(1+($U$241)/100)^MAX(0,$C243-$AD$241),IF(DATE($C243,5,15)&gt;=$W$241,$Z$241*(1+($U$241)/100)^MAX(0,$C243-$AC$241),IF(DATE($C243,5,15)&gt;=$V$241,$Y$241*(1+($U$241)/100)^MAX(0,$C243-$AB$241),0)))))</f>
      </c>
      <c r="J243" s="43">
        <f>IF($S$241=0,0,IF(OR(DATE($C243,6,15)&lt;$S$241,AND($T$241&gt;0,DATE($C243,6,15)&gt;$T$241)),0,IF(DATE($C243,6,15)&gt;=$X$241,$AA$241*(1+($U$241)/100)^MAX(0,$C243-$AD$241),IF(DATE($C243,6,15)&gt;=$W$241,$Z$241*(1+($U$241)/100)^MAX(0,$C243-$AC$241),IF(DATE($C243,6,15)&gt;=$V$241,$Y$241*(1+($U$241)/100)^MAX(0,$C243-$AB$241),0)))))</f>
      </c>
      <c r="K243" s="43">
        <f>IF($S$241=0,0,IF(OR(DATE($C243,7,15)&lt;$S$241,AND($T$241&gt;0,DATE($C243,7,15)&gt;$T$241)),0,IF(DATE($C243,7,15)&gt;=$X$241,$AA$241*(1+($U$241)/100)^MAX(0,$C243-$AD$241),IF(DATE($C243,7,15)&gt;=$W$241,$Z$241*(1+($U$241)/100)^MAX(0,$C243-$AC$241),IF(DATE($C243,7,15)&gt;=$V$241,$Y$241*(1+($U$241)/100)^MAX(0,$C243-$AB$241),0)))))</f>
      </c>
      <c r="L243" s="43">
        <f>IF($S$241=0,0,IF(OR(DATE($C243,8,15)&lt;$S$241,AND($T$241&gt;0,DATE($C243,8,15)&gt;$T$241)),0,IF(DATE($C243,8,15)&gt;=$X$241,$AA$241*(1+($U$241)/100)^MAX(0,$C243-$AD$241),IF(DATE($C243,8,15)&gt;=$W$241,$Z$241*(1+($U$241)/100)^MAX(0,$C243-$AC$241),IF(DATE($C243,8,15)&gt;=$V$241,$Y$241*(1+($U$241)/100)^MAX(0,$C243-$AB$241),0)))))</f>
      </c>
      <c r="M243" s="43">
        <f>IF($S$241=0,0,IF(OR(DATE($C243,9,15)&lt;$S$241,AND($T$241&gt;0,DATE($C243,9,15)&gt;$T$241)),0,IF(DATE($C243,9,15)&gt;=$X$241,$AA$241*(1+($U$241)/100)^MAX(0,$C243-$AD$241),IF(DATE($C243,9,15)&gt;=$W$241,$Z$241*(1+($U$241)/100)^MAX(0,$C243-$AC$241),IF(DATE($C243,9,15)&gt;=$V$241,$Y$241*(1+($U$241)/100)^MAX(0,$C243-$AB$241),0)))))</f>
      </c>
      <c r="N243" s="43">
        <f>IF($S$241=0,0,IF(OR(DATE($C243,10,15)&lt;$S$241,AND($T$241&gt;0,DATE($C243,10,15)&gt;$T$241)),0,IF(DATE($C243,10,15)&gt;=$X$241,$AA$241*(1+($U$241)/100)^MAX(0,$C243-$AD$241),IF(DATE($C243,10,15)&gt;=$W$241,$Z$241*(1+($U$241)/100)^MAX(0,$C243-$AC$241),IF(DATE($C243,10,15)&gt;=$V$241,$Y$241*(1+($U$241)/100)^MAX(0,$C243-$AB$241),0)))))</f>
      </c>
      <c r="O243" s="43">
        <f>IF($S$241=0,0,IF(OR(DATE($C243,11,15)&lt;$S$241,AND($T$241&gt;0,DATE($C243,11,15)&gt;$T$241)),0,IF(DATE($C243,11,15)&gt;=$X$241,$AA$241*(1+($U$241)/100)^MAX(0,$C243-$AD$241),IF(DATE($C243,11,15)&gt;=$W$241,$Z$241*(1+($U$241)/100)^MAX(0,$C243-$AC$241),IF(DATE($C243,11,15)&gt;=$V$241,$Y$241*(1+($U$241)/100)^MAX(0,$C243-$AB$241),0)))))</f>
      </c>
      <c r="P243" s="43">
        <f>IF($S$241=0,0,IF(OR(DATE($C243,12,15)&lt;$S$241,AND($T$241&gt;0,DATE($C243,12,15)&gt;$T$241)),0,IF(DATE($C243,12,15)&gt;=$X$241,$AA$241*(1+($U$241)/100)^MAX(0,$C243-$AD$241),IF(DATE($C243,12,15)&gt;=$W$241,$Z$241*(1+($U$241)/100)^MAX(0,$C243-$AC$241),IF(DATE($C243,12,15)&gt;=$V$241,$Y$241*(1+($U$241)/100)^MAX(0,$C243-$AB$241),0)))))</f>
      </c>
      <c r="Q243" s="43">
        <f>SUM($E243:$P243)</f>
      </c>
    </row>
    <row r="244">
      <c r="A244"/>
      <c r="B244">
        <v>8</v>
      </c>
      <c r="C244" s="43">
        <f>Jahr+3</f>
      </c>
      <c r="D244" s="43">
        <f>INDEX(MvObj,8)</f>
      </c>
      <c r="E244" s="43">
        <f>IF($S$241=0,0,IF(OR(DATE($C244,1,15)&lt;$S$241,AND($T$241&gt;0,DATE($C244,1,15)&gt;$T$241)),0,IF(DATE($C244,1,15)&gt;=$X$241,$AA$241*(1+($U$241)/100)^MAX(0,$C244-$AD$241),IF(DATE($C244,1,15)&gt;=$W$241,$Z$241*(1+($U$241)/100)^MAX(0,$C244-$AC$241),IF(DATE($C244,1,15)&gt;=$V$241,$Y$241*(1+($U$241)/100)^MAX(0,$C244-$AB$241),0)))))</f>
      </c>
      <c r="F244" s="43">
        <f>IF($S$241=0,0,IF(OR(DATE($C244,2,15)&lt;$S$241,AND($T$241&gt;0,DATE($C244,2,15)&gt;$T$241)),0,IF(DATE($C244,2,15)&gt;=$X$241,$AA$241*(1+($U$241)/100)^MAX(0,$C244-$AD$241),IF(DATE($C244,2,15)&gt;=$W$241,$Z$241*(1+($U$241)/100)^MAX(0,$C244-$AC$241),IF(DATE($C244,2,15)&gt;=$V$241,$Y$241*(1+($U$241)/100)^MAX(0,$C244-$AB$241),0)))))</f>
      </c>
      <c r="G244" s="43">
        <f>IF($S$241=0,0,IF(OR(DATE($C244,3,15)&lt;$S$241,AND($T$241&gt;0,DATE($C244,3,15)&gt;$T$241)),0,IF(DATE($C244,3,15)&gt;=$X$241,$AA$241*(1+($U$241)/100)^MAX(0,$C244-$AD$241),IF(DATE($C244,3,15)&gt;=$W$241,$Z$241*(1+($U$241)/100)^MAX(0,$C244-$AC$241),IF(DATE($C244,3,15)&gt;=$V$241,$Y$241*(1+($U$241)/100)^MAX(0,$C244-$AB$241),0)))))</f>
      </c>
      <c r="H244" s="43">
        <f>IF($S$241=0,0,IF(OR(DATE($C244,4,15)&lt;$S$241,AND($T$241&gt;0,DATE($C244,4,15)&gt;$T$241)),0,IF(DATE($C244,4,15)&gt;=$X$241,$AA$241*(1+($U$241)/100)^MAX(0,$C244-$AD$241),IF(DATE($C244,4,15)&gt;=$W$241,$Z$241*(1+($U$241)/100)^MAX(0,$C244-$AC$241),IF(DATE($C244,4,15)&gt;=$V$241,$Y$241*(1+($U$241)/100)^MAX(0,$C244-$AB$241),0)))))</f>
      </c>
      <c r="I244" s="43">
        <f>IF($S$241=0,0,IF(OR(DATE($C244,5,15)&lt;$S$241,AND($T$241&gt;0,DATE($C244,5,15)&gt;$T$241)),0,IF(DATE($C244,5,15)&gt;=$X$241,$AA$241*(1+($U$241)/100)^MAX(0,$C244-$AD$241),IF(DATE($C244,5,15)&gt;=$W$241,$Z$241*(1+($U$241)/100)^MAX(0,$C244-$AC$241),IF(DATE($C244,5,15)&gt;=$V$241,$Y$241*(1+($U$241)/100)^MAX(0,$C244-$AB$241),0)))))</f>
      </c>
      <c r="J244" s="43">
        <f>IF($S$241=0,0,IF(OR(DATE($C244,6,15)&lt;$S$241,AND($T$241&gt;0,DATE($C244,6,15)&gt;$T$241)),0,IF(DATE($C244,6,15)&gt;=$X$241,$AA$241*(1+($U$241)/100)^MAX(0,$C244-$AD$241),IF(DATE($C244,6,15)&gt;=$W$241,$Z$241*(1+($U$241)/100)^MAX(0,$C244-$AC$241),IF(DATE($C244,6,15)&gt;=$V$241,$Y$241*(1+($U$241)/100)^MAX(0,$C244-$AB$241),0)))))</f>
      </c>
      <c r="K244" s="43">
        <f>IF($S$241=0,0,IF(OR(DATE($C244,7,15)&lt;$S$241,AND($T$241&gt;0,DATE($C244,7,15)&gt;$T$241)),0,IF(DATE($C244,7,15)&gt;=$X$241,$AA$241*(1+($U$241)/100)^MAX(0,$C244-$AD$241),IF(DATE($C244,7,15)&gt;=$W$241,$Z$241*(1+($U$241)/100)^MAX(0,$C244-$AC$241),IF(DATE($C244,7,15)&gt;=$V$241,$Y$241*(1+($U$241)/100)^MAX(0,$C244-$AB$241),0)))))</f>
      </c>
      <c r="L244" s="43">
        <f>IF($S$241=0,0,IF(OR(DATE($C244,8,15)&lt;$S$241,AND($T$241&gt;0,DATE($C244,8,15)&gt;$T$241)),0,IF(DATE($C244,8,15)&gt;=$X$241,$AA$241*(1+($U$241)/100)^MAX(0,$C244-$AD$241),IF(DATE($C244,8,15)&gt;=$W$241,$Z$241*(1+($U$241)/100)^MAX(0,$C244-$AC$241),IF(DATE($C244,8,15)&gt;=$V$241,$Y$241*(1+($U$241)/100)^MAX(0,$C244-$AB$241),0)))))</f>
      </c>
      <c r="M244" s="43">
        <f>IF($S$241=0,0,IF(OR(DATE($C244,9,15)&lt;$S$241,AND($T$241&gt;0,DATE($C244,9,15)&gt;$T$241)),0,IF(DATE($C244,9,15)&gt;=$X$241,$AA$241*(1+($U$241)/100)^MAX(0,$C244-$AD$241),IF(DATE($C244,9,15)&gt;=$W$241,$Z$241*(1+($U$241)/100)^MAX(0,$C244-$AC$241),IF(DATE($C244,9,15)&gt;=$V$241,$Y$241*(1+($U$241)/100)^MAX(0,$C244-$AB$241),0)))))</f>
      </c>
      <c r="N244" s="43">
        <f>IF($S$241=0,0,IF(OR(DATE($C244,10,15)&lt;$S$241,AND($T$241&gt;0,DATE($C244,10,15)&gt;$T$241)),0,IF(DATE($C244,10,15)&gt;=$X$241,$AA$241*(1+($U$241)/100)^MAX(0,$C244-$AD$241),IF(DATE($C244,10,15)&gt;=$W$241,$Z$241*(1+($U$241)/100)^MAX(0,$C244-$AC$241),IF(DATE($C244,10,15)&gt;=$V$241,$Y$241*(1+($U$241)/100)^MAX(0,$C244-$AB$241),0)))))</f>
      </c>
      <c r="O244" s="43">
        <f>IF($S$241=0,0,IF(OR(DATE($C244,11,15)&lt;$S$241,AND($T$241&gt;0,DATE($C244,11,15)&gt;$T$241)),0,IF(DATE($C244,11,15)&gt;=$X$241,$AA$241*(1+($U$241)/100)^MAX(0,$C244-$AD$241),IF(DATE($C244,11,15)&gt;=$W$241,$Z$241*(1+($U$241)/100)^MAX(0,$C244-$AC$241),IF(DATE($C244,11,15)&gt;=$V$241,$Y$241*(1+($U$241)/100)^MAX(0,$C244-$AB$241),0)))))</f>
      </c>
      <c r="P244" s="43">
        <f>IF($S$241=0,0,IF(OR(DATE($C244,12,15)&lt;$S$241,AND($T$241&gt;0,DATE($C244,12,15)&gt;$T$241)),0,IF(DATE($C244,12,15)&gt;=$X$241,$AA$241*(1+($U$241)/100)^MAX(0,$C244-$AD$241),IF(DATE($C244,12,15)&gt;=$W$241,$Z$241*(1+($U$241)/100)^MAX(0,$C244-$AC$241),IF(DATE($C244,12,15)&gt;=$V$241,$Y$241*(1+($U$241)/100)^MAX(0,$C244-$AB$241),0)))))</f>
      </c>
      <c r="Q244" s="43">
        <f>SUM($E244:$P244)</f>
      </c>
    </row>
    <row r="245">
      <c r="A245"/>
      <c r="B245">
        <v>8</v>
      </c>
      <c r="C245" s="43">
        <f>Jahr+4</f>
      </c>
      <c r="D245" s="43">
        <f>INDEX(MvObj,8)</f>
      </c>
      <c r="E245" s="43">
        <f>IF($S$241=0,0,IF(OR(DATE($C245,1,15)&lt;$S$241,AND($T$241&gt;0,DATE($C245,1,15)&gt;$T$241)),0,IF(DATE($C245,1,15)&gt;=$X$241,$AA$241*(1+($U$241)/100)^MAX(0,$C245-$AD$241),IF(DATE($C245,1,15)&gt;=$W$241,$Z$241*(1+($U$241)/100)^MAX(0,$C245-$AC$241),IF(DATE($C245,1,15)&gt;=$V$241,$Y$241*(1+($U$241)/100)^MAX(0,$C245-$AB$241),0)))))</f>
      </c>
      <c r="F245" s="43">
        <f>IF($S$241=0,0,IF(OR(DATE($C245,2,15)&lt;$S$241,AND($T$241&gt;0,DATE($C245,2,15)&gt;$T$241)),0,IF(DATE($C245,2,15)&gt;=$X$241,$AA$241*(1+($U$241)/100)^MAX(0,$C245-$AD$241),IF(DATE($C245,2,15)&gt;=$W$241,$Z$241*(1+($U$241)/100)^MAX(0,$C245-$AC$241),IF(DATE($C245,2,15)&gt;=$V$241,$Y$241*(1+($U$241)/100)^MAX(0,$C245-$AB$241),0)))))</f>
      </c>
      <c r="G245" s="43">
        <f>IF($S$241=0,0,IF(OR(DATE($C245,3,15)&lt;$S$241,AND($T$241&gt;0,DATE($C245,3,15)&gt;$T$241)),0,IF(DATE($C245,3,15)&gt;=$X$241,$AA$241*(1+($U$241)/100)^MAX(0,$C245-$AD$241),IF(DATE($C245,3,15)&gt;=$W$241,$Z$241*(1+($U$241)/100)^MAX(0,$C245-$AC$241),IF(DATE($C245,3,15)&gt;=$V$241,$Y$241*(1+($U$241)/100)^MAX(0,$C245-$AB$241),0)))))</f>
      </c>
      <c r="H245" s="43">
        <f>IF($S$241=0,0,IF(OR(DATE($C245,4,15)&lt;$S$241,AND($T$241&gt;0,DATE($C245,4,15)&gt;$T$241)),0,IF(DATE($C245,4,15)&gt;=$X$241,$AA$241*(1+($U$241)/100)^MAX(0,$C245-$AD$241),IF(DATE($C245,4,15)&gt;=$W$241,$Z$241*(1+($U$241)/100)^MAX(0,$C245-$AC$241),IF(DATE($C245,4,15)&gt;=$V$241,$Y$241*(1+($U$241)/100)^MAX(0,$C245-$AB$241),0)))))</f>
      </c>
      <c r="I245" s="43">
        <f>IF($S$241=0,0,IF(OR(DATE($C245,5,15)&lt;$S$241,AND($T$241&gt;0,DATE($C245,5,15)&gt;$T$241)),0,IF(DATE($C245,5,15)&gt;=$X$241,$AA$241*(1+($U$241)/100)^MAX(0,$C245-$AD$241),IF(DATE($C245,5,15)&gt;=$W$241,$Z$241*(1+($U$241)/100)^MAX(0,$C245-$AC$241),IF(DATE($C245,5,15)&gt;=$V$241,$Y$241*(1+($U$241)/100)^MAX(0,$C245-$AB$241),0)))))</f>
      </c>
      <c r="J245" s="43">
        <f>IF($S$241=0,0,IF(OR(DATE($C245,6,15)&lt;$S$241,AND($T$241&gt;0,DATE($C245,6,15)&gt;$T$241)),0,IF(DATE($C245,6,15)&gt;=$X$241,$AA$241*(1+($U$241)/100)^MAX(0,$C245-$AD$241),IF(DATE($C245,6,15)&gt;=$W$241,$Z$241*(1+($U$241)/100)^MAX(0,$C245-$AC$241),IF(DATE($C245,6,15)&gt;=$V$241,$Y$241*(1+($U$241)/100)^MAX(0,$C245-$AB$241),0)))))</f>
      </c>
      <c r="K245" s="43">
        <f>IF($S$241=0,0,IF(OR(DATE($C245,7,15)&lt;$S$241,AND($T$241&gt;0,DATE($C245,7,15)&gt;$T$241)),0,IF(DATE($C245,7,15)&gt;=$X$241,$AA$241*(1+($U$241)/100)^MAX(0,$C245-$AD$241),IF(DATE($C245,7,15)&gt;=$W$241,$Z$241*(1+($U$241)/100)^MAX(0,$C245-$AC$241),IF(DATE($C245,7,15)&gt;=$V$241,$Y$241*(1+($U$241)/100)^MAX(0,$C245-$AB$241),0)))))</f>
      </c>
      <c r="L245" s="43">
        <f>IF($S$241=0,0,IF(OR(DATE($C245,8,15)&lt;$S$241,AND($T$241&gt;0,DATE($C245,8,15)&gt;$T$241)),0,IF(DATE($C245,8,15)&gt;=$X$241,$AA$241*(1+($U$241)/100)^MAX(0,$C245-$AD$241),IF(DATE($C245,8,15)&gt;=$W$241,$Z$241*(1+($U$241)/100)^MAX(0,$C245-$AC$241),IF(DATE($C245,8,15)&gt;=$V$241,$Y$241*(1+($U$241)/100)^MAX(0,$C245-$AB$241),0)))))</f>
      </c>
      <c r="M245" s="43">
        <f>IF($S$241=0,0,IF(OR(DATE($C245,9,15)&lt;$S$241,AND($T$241&gt;0,DATE($C245,9,15)&gt;$T$241)),0,IF(DATE($C245,9,15)&gt;=$X$241,$AA$241*(1+($U$241)/100)^MAX(0,$C245-$AD$241),IF(DATE($C245,9,15)&gt;=$W$241,$Z$241*(1+($U$241)/100)^MAX(0,$C245-$AC$241),IF(DATE($C245,9,15)&gt;=$V$241,$Y$241*(1+($U$241)/100)^MAX(0,$C245-$AB$241),0)))))</f>
      </c>
      <c r="N245" s="43">
        <f>IF($S$241=0,0,IF(OR(DATE($C245,10,15)&lt;$S$241,AND($T$241&gt;0,DATE($C245,10,15)&gt;$T$241)),0,IF(DATE($C245,10,15)&gt;=$X$241,$AA$241*(1+($U$241)/100)^MAX(0,$C245-$AD$241),IF(DATE($C245,10,15)&gt;=$W$241,$Z$241*(1+($U$241)/100)^MAX(0,$C245-$AC$241),IF(DATE($C245,10,15)&gt;=$V$241,$Y$241*(1+($U$241)/100)^MAX(0,$C245-$AB$241),0)))))</f>
      </c>
      <c r="O245" s="43">
        <f>IF($S$241=0,0,IF(OR(DATE($C245,11,15)&lt;$S$241,AND($T$241&gt;0,DATE($C245,11,15)&gt;$T$241)),0,IF(DATE($C245,11,15)&gt;=$X$241,$AA$241*(1+($U$241)/100)^MAX(0,$C245-$AD$241),IF(DATE($C245,11,15)&gt;=$W$241,$Z$241*(1+($U$241)/100)^MAX(0,$C245-$AC$241),IF(DATE($C245,11,15)&gt;=$V$241,$Y$241*(1+($U$241)/100)^MAX(0,$C245-$AB$241),0)))))</f>
      </c>
      <c r="P245" s="43">
        <f>IF($S$241=0,0,IF(OR(DATE($C245,12,15)&lt;$S$241,AND($T$241&gt;0,DATE($C245,12,15)&gt;$T$241)),0,IF(DATE($C245,12,15)&gt;=$X$241,$AA$241*(1+($U$241)/100)^MAX(0,$C245-$AD$241),IF(DATE($C245,12,15)&gt;=$W$241,$Z$241*(1+($U$241)/100)^MAX(0,$C245-$AC$241),IF(DATE($C245,12,15)&gt;=$V$241,$Y$241*(1+($U$241)/100)^MAX(0,$C245-$AB$241),0)))))</f>
      </c>
      <c r="Q245" s="43">
        <f>SUM($E245:$P245)</f>
      </c>
    </row>
    <row r="246">
      <c r="A246"/>
      <c r="B246">
        <v>8</v>
      </c>
      <c r="C246" s="43">
        <f>Jahr+5</f>
      </c>
      <c r="D246" s="43">
        <f>INDEX(MvObj,8)</f>
      </c>
      <c r="E246" s="43">
        <f>IF($S$241=0,0,IF(OR(DATE($C246,1,15)&lt;$S$241,AND($T$241&gt;0,DATE($C246,1,15)&gt;$T$241)),0,IF(DATE($C246,1,15)&gt;=$X$241,$AA$241*(1+($U$241)/100)^MAX(0,$C246-$AD$241),IF(DATE($C246,1,15)&gt;=$W$241,$Z$241*(1+($U$241)/100)^MAX(0,$C246-$AC$241),IF(DATE($C246,1,15)&gt;=$V$241,$Y$241*(1+($U$241)/100)^MAX(0,$C246-$AB$241),0)))))</f>
      </c>
      <c r="F246" s="43">
        <f>IF($S$241=0,0,IF(OR(DATE($C246,2,15)&lt;$S$241,AND($T$241&gt;0,DATE($C246,2,15)&gt;$T$241)),0,IF(DATE($C246,2,15)&gt;=$X$241,$AA$241*(1+($U$241)/100)^MAX(0,$C246-$AD$241),IF(DATE($C246,2,15)&gt;=$W$241,$Z$241*(1+($U$241)/100)^MAX(0,$C246-$AC$241),IF(DATE($C246,2,15)&gt;=$V$241,$Y$241*(1+($U$241)/100)^MAX(0,$C246-$AB$241),0)))))</f>
      </c>
      <c r="G246" s="43">
        <f>IF($S$241=0,0,IF(OR(DATE($C246,3,15)&lt;$S$241,AND($T$241&gt;0,DATE($C246,3,15)&gt;$T$241)),0,IF(DATE($C246,3,15)&gt;=$X$241,$AA$241*(1+($U$241)/100)^MAX(0,$C246-$AD$241),IF(DATE($C246,3,15)&gt;=$W$241,$Z$241*(1+($U$241)/100)^MAX(0,$C246-$AC$241),IF(DATE($C246,3,15)&gt;=$V$241,$Y$241*(1+($U$241)/100)^MAX(0,$C246-$AB$241),0)))))</f>
      </c>
      <c r="H246" s="43">
        <f>IF($S$241=0,0,IF(OR(DATE($C246,4,15)&lt;$S$241,AND($T$241&gt;0,DATE($C246,4,15)&gt;$T$241)),0,IF(DATE($C246,4,15)&gt;=$X$241,$AA$241*(1+($U$241)/100)^MAX(0,$C246-$AD$241),IF(DATE($C246,4,15)&gt;=$W$241,$Z$241*(1+($U$241)/100)^MAX(0,$C246-$AC$241),IF(DATE($C246,4,15)&gt;=$V$241,$Y$241*(1+($U$241)/100)^MAX(0,$C246-$AB$241),0)))))</f>
      </c>
      <c r="I246" s="43">
        <f>IF($S$241=0,0,IF(OR(DATE($C246,5,15)&lt;$S$241,AND($T$241&gt;0,DATE($C246,5,15)&gt;$T$241)),0,IF(DATE($C246,5,15)&gt;=$X$241,$AA$241*(1+($U$241)/100)^MAX(0,$C246-$AD$241),IF(DATE($C246,5,15)&gt;=$W$241,$Z$241*(1+($U$241)/100)^MAX(0,$C246-$AC$241),IF(DATE($C246,5,15)&gt;=$V$241,$Y$241*(1+($U$241)/100)^MAX(0,$C246-$AB$241),0)))))</f>
      </c>
      <c r="J246" s="43">
        <f>IF($S$241=0,0,IF(OR(DATE($C246,6,15)&lt;$S$241,AND($T$241&gt;0,DATE($C246,6,15)&gt;$T$241)),0,IF(DATE($C246,6,15)&gt;=$X$241,$AA$241*(1+($U$241)/100)^MAX(0,$C246-$AD$241),IF(DATE($C246,6,15)&gt;=$W$241,$Z$241*(1+($U$241)/100)^MAX(0,$C246-$AC$241),IF(DATE($C246,6,15)&gt;=$V$241,$Y$241*(1+($U$241)/100)^MAX(0,$C246-$AB$241),0)))))</f>
      </c>
      <c r="K246" s="43">
        <f>IF($S$241=0,0,IF(OR(DATE($C246,7,15)&lt;$S$241,AND($T$241&gt;0,DATE($C246,7,15)&gt;$T$241)),0,IF(DATE($C246,7,15)&gt;=$X$241,$AA$241*(1+($U$241)/100)^MAX(0,$C246-$AD$241),IF(DATE($C246,7,15)&gt;=$W$241,$Z$241*(1+($U$241)/100)^MAX(0,$C246-$AC$241),IF(DATE($C246,7,15)&gt;=$V$241,$Y$241*(1+($U$241)/100)^MAX(0,$C246-$AB$241),0)))))</f>
      </c>
      <c r="L246" s="43">
        <f>IF($S$241=0,0,IF(OR(DATE($C246,8,15)&lt;$S$241,AND($T$241&gt;0,DATE($C246,8,15)&gt;$T$241)),0,IF(DATE($C246,8,15)&gt;=$X$241,$AA$241*(1+($U$241)/100)^MAX(0,$C246-$AD$241),IF(DATE($C246,8,15)&gt;=$W$241,$Z$241*(1+($U$241)/100)^MAX(0,$C246-$AC$241),IF(DATE($C246,8,15)&gt;=$V$241,$Y$241*(1+($U$241)/100)^MAX(0,$C246-$AB$241),0)))))</f>
      </c>
      <c r="M246" s="43">
        <f>IF($S$241=0,0,IF(OR(DATE($C246,9,15)&lt;$S$241,AND($T$241&gt;0,DATE($C246,9,15)&gt;$T$241)),0,IF(DATE($C246,9,15)&gt;=$X$241,$AA$241*(1+($U$241)/100)^MAX(0,$C246-$AD$241),IF(DATE($C246,9,15)&gt;=$W$241,$Z$241*(1+($U$241)/100)^MAX(0,$C246-$AC$241),IF(DATE($C246,9,15)&gt;=$V$241,$Y$241*(1+($U$241)/100)^MAX(0,$C246-$AB$241),0)))))</f>
      </c>
      <c r="N246" s="43">
        <f>IF($S$241=0,0,IF(OR(DATE($C246,10,15)&lt;$S$241,AND($T$241&gt;0,DATE($C246,10,15)&gt;$T$241)),0,IF(DATE($C246,10,15)&gt;=$X$241,$AA$241*(1+($U$241)/100)^MAX(0,$C246-$AD$241),IF(DATE($C246,10,15)&gt;=$W$241,$Z$241*(1+($U$241)/100)^MAX(0,$C246-$AC$241),IF(DATE($C246,10,15)&gt;=$V$241,$Y$241*(1+($U$241)/100)^MAX(0,$C246-$AB$241),0)))))</f>
      </c>
      <c r="O246" s="43">
        <f>IF($S$241=0,0,IF(OR(DATE($C246,11,15)&lt;$S$241,AND($T$241&gt;0,DATE($C246,11,15)&gt;$T$241)),0,IF(DATE($C246,11,15)&gt;=$X$241,$AA$241*(1+($U$241)/100)^MAX(0,$C246-$AD$241),IF(DATE($C246,11,15)&gt;=$W$241,$Z$241*(1+($U$241)/100)^MAX(0,$C246-$AC$241),IF(DATE($C246,11,15)&gt;=$V$241,$Y$241*(1+($U$241)/100)^MAX(0,$C246-$AB$241),0)))))</f>
      </c>
      <c r="P246" s="43">
        <f>IF($S$241=0,0,IF(OR(DATE($C246,12,15)&lt;$S$241,AND($T$241&gt;0,DATE($C246,12,15)&gt;$T$241)),0,IF(DATE($C246,12,15)&gt;=$X$241,$AA$241*(1+($U$241)/100)^MAX(0,$C246-$AD$241),IF(DATE($C246,12,15)&gt;=$W$241,$Z$241*(1+($U$241)/100)^MAX(0,$C246-$AC$241),IF(DATE($C246,12,15)&gt;=$V$241,$Y$241*(1+($U$241)/100)^MAX(0,$C246-$AB$241),0)))))</f>
      </c>
      <c r="Q246" s="43">
        <f>SUM($E246:$P246)</f>
      </c>
    </row>
    <row r="247">
      <c r="A247"/>
      <c r="B247">
        <v>8</v>
      </c>
      <c r="C247" s="43">
        <f>Jahr+6</f>
      </c>
      <c r="D247" s="43">
        <f>INDEX(MvObj,8)</f>
      </c>
      <c r="E247" s="43">
        <f>IF($S$241=0,0,IF(OR(DATE($C247,1,15)&lt;$S$241,AND($T$241&gt;0,DATE($C247,1,15)&gt;$T$241)),0,IF(DATE($C247,1,15)&gt;=$X$241,$AA$241*(1+($U$241)/100)^MAX(0,$C247-$AD$241),IF(DATE($C247,1,15)&gt;=$W$241,$Z$241*(1+($U$241)/100)^MAX(0,$C247-$AC$241),IF(DATE($C247,1,15)&gt;=$V$241,$Y$241*(1+($U$241)/100)^MAX(0,$C247-$AB$241),0)))))</f>
      </c>
      <c r="F247" s="43">
        <f>IF($S$241=0,0,IF(OR(DATE($C247,2,15)&lt;$S$241,AND($T$241&gt;0,DATE($C247,2,15)&gt;$T$241)),0,IF(DATE($C247,2,15)&gt;=$X$241,$AA$241*(1+($U$241)/100)^MAX(0,$C247-$AD$241),IF(DATE($C247,2,15)&gt;=$W$241,$Z$241*(1+($U$241)/100)^MAX(0,$C247-$AC$241),IF(DATE($C247,2,15)&gt;=$V$241,$Y$241*(1+($U$241)/100)^MAX(0,$C247-$AB$241),0)))))</f>
      </c>
      <c r="G247" s="43">
        <f>IF($S$241=0,0,IF(OR(DATE($C247,3,15)&lt;$S$241,AND($T$241&gt;0,DATE($C247,3,15)&gt;$T$241)),0,IF(DATE($C247,3,15)&gt;=$X$241,$AA$241*(1+($U$241)/100)^MAX(0,$C247-$AD$241),IF(DATE($C247,3,15)&gt;=$W$241,$Z$241*(1+($U$241)/100)^MAX(0,$C247-$AC$241),IF(DATE($C247,3,15)&gt;=$V$241,$Y$241*(1+($U$241)/100)^MAX(0,$C247-$AB$241),0)))))</f>
      </c>
      <c r="H247" s="43">
        <f>IF($S$241=0,0,IF(OR(DATE($C247,4,15)&lt;$S$241,AND($T$241&gt;0,DATE($C247,4,15)&gt;$T$241)),0,IF(DATE($C247,4,15)&gt;=$X$241,$AA$241*(1+($U$241)/100)^MAX(0,$C247-$AD$241),IF(DATE($C247,4,15)&gt;=$W$241,$Z$241*(1+($U$241)/100)^MAX(0,$C247-$AC$241),IF(DATE($C247,4,15)&gt;=$V$241,$Y$241*(1+($U$241)/100)^MAX(0,$C247-$AB$241),0)))))</f>
      </c>
      <c r="I247" s="43">
        <f>IF($S$241=0,0,IF(OR(DATE($C247,5,15)&lt;$S$241,AND($T$241&gt;0,DATE($C247,5,15)&gt;$T$241)),0,IF(DATE($C247,5,15)&gt;=$X$241,$AA$241*(1+($U$241)/100)^MAX(0,$C247-$AD$241),IF(DATE($C247,5,15)&gt;=$W$241,$Z$241*(1+($U$241)/100)^MAX(0,$C247-$AC$241),IF(DATE($C247,5,15)&gt;=$V$241,$Y$241*(1+($U$241)/100)^MAX(0,$C247-$AB$241),0)))))</f>
      </c>
      <c r="J247" s="43">
        <f>IF($S$241=0,0,IF(OR(DATE($C247,6,15)&lt;$S$241,AND($T$241&gt;0,DATE($C247,6,15)&gt;$T$241)),0,IF(DATE($C247,6,15)&gt;=$X$241,$AA$241*(1+($U$241)/100)^MAX(0,$C247-$AD$241),IF(DATE($C247,6,15)&gt;=$W$241,$Z$241*(1+($U$241)/100)^MAX(0,$C247-$AC$241),IF(DATE($C247,6,15)&gt;=$V$241,$Y$241*(1+($U$241)/100)^MAX(0,$C247-$AB$241),0)))))</f>
      </c>
      <c r="K247" s="43">
        <f>IF($S$241=0,0,IF(OR(DATE($C247,7,15)&lt;$S$241,AND($T$241&gt;0,DATE($C247,7,15)&gt;$T$241)),0,IF(DATE($C247,7,15)&gt;=$X$241,$AA$241*(1+($U$241)/100)^MAX(0,$C247-$AD$241),IF(DATE($C247,7,15)&gt;=$W$241,$Z$241*(1+($U$241)/100)^MAX(0,$C247-$AC$241),IF(DATE($C247,7,15)&gt;=$V$241,$Y$241*(1+($U$241)/100)^MAX(0,$C247-$AB$241),0)))))</f>
      </c>
      <c r="L247" s="43">
        <f>IF($S$241=0,0,IF(OR(DATE($C247,8,15)&lt;$S$241,AND($T$241&gt;0,DATE($C247,8,15)&gt;$T$241)),0,IF(DATE($C247,8,15)&gt;=$X$241,$AA$241*(1+($U$241)/100)^MAX(0,$C247-$AD$241),IF(DATE($C247,8,15)&gt;=$W$241,$Z$241*(1+($U$241)/100)^MAX(0,$C247-$AC$241),IF(DATE($C247,8,15)&gt;=$V$241,$Y$241*(1+($U$241)/100)^MAX(0,$C247-$AB$241),0)))))</f>
      </c>
      <c r="M247" s="43">
        <f>IF($S$241=0,0,IF(OR(DATE($C247,9,15)&lt;$S$241,AND($T$241&gt;0,DATE($C247,9,15)&gt;$T$241)),0,IF(DATE($C247,9,15)&gt;=$X$241,$AA$241*(1+($U$241)/100)^MAX(0,$C247-$AD$241),IF(DATE($C247,9,15)&gt;=$W$241,$Z$241*(1+($U$241)/100)^MAX(0,$C247-$AC$241),IF(DATE($C247,9,15)&gt;=$V$241,$Y$241*(1+($U$241)/100)^MAX(0,$C247-$AB$241),0)))))</f>
      </c>
      <c r="N247" s="43">
        <f>IF($S$241=0,0,IF(OR(DATE($C247,10,15)&lt;$S$241,AND($T$241&gt;0,DATE($C247,10,15)&gt;$T$241)),0,IF(DATE($C247,10,15)&gt;=$X$241,$AA$241*(1+($U$241)/100)^MAX(0,$C247-$AD$241),IF(DATE($C247,10,15)&gt;=$W$241,$Z$241*(1+($U$241)/100)^MAX(0,$C247-$AC$241),IF(DATE($C247,10,15)&gt;=$V$241,$Y$241*(1+($U$241)/100)^MAX(0,$C247-$AB$241),0)))))</f>
      </c>
      <c r="O247" s="43">
        <f>IF($S$241=0,0,IF(OR(DATE($C247,11,15)&lt;$S$241,AND($T$241&gt;0,DATE($C247,11,15)&gt;$T$241)),0,IF(DATE($C247,11,15)&gt;=$X$241,$AA$241*(1+($U$241)/100)^MAX(0,$C247-$AD$241),IF(DATE($C247,11,15)&gt;=$W$241,$Z$241*(1+($U$241)/100)^MAX(0,$C247-$AC$241),IF(DATE($C247,11,15)&gt;=$V$241,$Y$241*(1+($U$241)/100)^MAX(0,$C247-$AB$241),0)))))</f>
      </c>
      <c r="P247" s="43">
        <f>IF($S$241=0,0,IF(OR(DATE($C247,12,15)&lt;$S$241,AND($T$241&gt;0,DATE($C247,12,15)&gt;$T$241)),0,IF(DATE($C247,12,15)&gt;=$X$241,$AA$241*(1+($U$241)/100)^MAX(0,$C247-$AD$241),IF(DATE($C247,12,15)&gt;=$W$241,$Z$241*(1+($U$241)/100)^MAX(0,$C247-$AC$241),IF(DATE($C247,12,15)&gt;=$V$241,$Y$241*(1+($U$241)/100)^MAX(0,$C247-$AB$241),0)))))</f>
      </c>
      <c r="Q247" s="43">
        <f>SUM($E247:$P247)</f>
      </c>
    </row>
    <row r="248">
      <c r="A248"/>
      <c r="B248">
        <v>8</v>
      </c>
      <c r="C248" s="43">
        <f>Jahr+7</f>
      </c>
      <c r="D248" s="43">
        <f>INDEX(MvObj,8)</f>
      </c>
      <c r="E248" s="43">
        <f>IF($S$241=0,0,IF(OR(DATE($C248,1,15)&lt;$S$241,AND($T$241&gt;0,DATE($C248,1,15)&gt;$T$241)),0,IF(DATE($C248,1,15)&gt;=$X$241,$AA$241*(1+($U$241)/100)^MAX(0,$C248-$AD$241),IF(DATE($C248,1,15)&gt;=$W$241,$Z$241*(1+($U$241)/100)^MAX(0,$C248-$AC$241),IF(DATE($C248,1,15)&gt;=$V$241,$Y$241*(1+($U$241)/100)^MAX(0,$C248-$AB$241),0)))))</f>
      </c>
      <c r="F248" s="43">
        <f>IF($S$241=0,0,IF(OR(DATE($C248,2,15)&lt;$S$241,AND($T$241&gt;0,DATE($C248,2,15)&gt;$T$241)),0,IF(DATE($C248,2,15)&gt;=$X$241,$AA$241*(1+($U$241)/100)^MAX(0,$C248-$AD$241),IF(DATE($C248,2,15)&gt;=$W$241,$Z$241*(1+($U$241)/100)^MAX(0,$C248-$AC$241),IF(DATE($C248,2,15)&gt;=$V$241,$Y$241*(1+($U$241)/100)^MAX(0,$C248-$AB$241),0)))))</f>
      </c>
      <c r="G248" s="43">
        <f>IF($S$241=0,0,IF(OR(DATE($C248,3,15)&lt;$S$241,AND($T$241&gt;0,DATE($C248,3,15)&gt;$T$241)),0,IF(DATE($C248,3,15)&gt;=$X$241,$AA$241*(1+($U$241)/100)^MAX(0,$C248-$AD$241),IF(DATE($C248,3,15)&gt;=$W$241,$Z$241*(1+($U$241)/100)^MAX(0,$C248-$AC$241),IF(DATE($C248,3,15)&gt;=$V$241,$Y$241*(1+($U$241)/100)^MAX(0,$C248-$AB$241),0)))))</f>
      </c>
      <c r="H248" s="43">
        <f>IF($S$241=0,0,IF(OR(DATE($C248,4,15)&lt;$S$241,AND($T$241&gt;0,DATE($C248,4,15)&gt;$T$241)),0,IF(DATE($C248,4,15)&gt;=$X$241,$AA$241*(1+($U$241)/100)^MAX(0,$C248-$AD$241),IF(DATE($C248,4,15)&gt;=$W$241,$Z$241*(1+($U$241)/100)^MAX(0,$C248-$AC$241),IF(DATE($C248,4,15)&gt;=$V$241,$Y$241*(1+($U$241)/100)^MAX(0,$C248-$AB$241),0)))))</f>
      </c>
      <c r="I248" s="43">
        <f>IF($S$241=0,0,IF(OR(DATE($C248,5,15)&lt;$S$241,AND($T$241&gt;0,DATE($C248,5,15)&gt;$T$241)),0,IF(DATE($C248,5,15)&gt;=$X$241,$AA$241*(1+($U$241)/100)^MAX(0,$C248-$AD$241),IF(DATE($C248,5,15)&gt;=$W$241,$Z$241*(1+($U$241)/100)^MAX(0,$C248-$AC$241),IF(DATE($C248,5,15)&gt;=$V$241,$Y$241*(1+($U$241)/100)^MAX(0,$C248-$AB$241),0)))))</f>
      </c>
      <c r="J248" s="43">
        <f>IF($S$241=0,0,IF(OR(DATE($C248,6,15)&lt;$S$241,AND($T$241&gt;0,DATE($C248,6,15)&gt;$T$241)),0,IF(DATE($C248,6,15)&gt;=$X$241,$AA$241*(1+($U$241)/100)^MAX(0,$C248-$AD$241),IF(DATE($C248,6,15)&gt;=$W$241,$Z$241*(1+($U$241)/100)^MAX(0,$C248-$AC$241),IF(DATE($C248,6,15)&gt;=$V$241,$Y$241*(1+($U$241)/100)^MAX(0,$C248-$AB$241),0)))))</f>
      </c>
      <c r="K248" s="43">
        <f>IF($S$241=0,0,IF(OR(DATE($C248,7,15)&lt;$S$241,AND($T$241&gt;0,DATE($C248,7,15)&gt;$T$241)),0,IF(DATE($C248,7,15)&gt;=$X$241,$AA$241*(1+($U$241)/100)^MAX(0,$C248-$AD$241),IF(DATE($C248,7,15)&gt;=$W$241,$Z$241*(1+($U$241)/100)^MAX(0,$C248-$AC$241),IF(DATE($C248,7,15)&gt;=$V$241,$Y$241*(1+($U$241)/100)^MAX(0,$C248-$AB$241),0)))))</f>
      </c>
      <c r="L248" s="43">
        <f>IF($S$241=0,0,IF(OR(DATE($C248,8,15)&lt;$S$241,AND($T$241&gt;0,DATE($C248,8,15)&gt;$T$241)),0,IF(DATE($C248,8,15)&gt;=$X$241,$AA$241*(1+($U$241)/100)^MAX(0,$C248-$AD$241),IF(DATE($C248,8,15)&gt;=$W$241,$Z$241*(1+($U$241)/100)^MAX(0,$C248-$AC$241),IF(DATE($C248,8,15)&gt;=$V$241,$Y$241*(1+($U$241)/100)^MAX(0,$C248-$AB$241),0)))))</f>
      </c>
      <c r="M248" s="43">
        <f>IF($S$241=0,0,IF(OR(DATE($C248,9,15)&lt;$S$241,AND($T$241&gt;0,DATE($C248,9,15)&gt;$T$241)),0,IF(DATE($C248,9,15)&gt;=$X$241,$AA$241*(1+($U$241)/100)^MAX(0,$C248-$AD$241),IF(DATE($C248,9,15)&gt;=$W$241,$Z$241*(1+($U$241)/100)^MAX(0,$C248-$AC$241),IF(DATE($C248,9,15)&gt;=$V$241,$Y$241*(1+($U$241)/100)^MAX(0,$C248-$AB$241),0)))))</f>
      </c>
      <c r="N248" s="43">
        <f>IF($S$241=0,0,IF(OR(DATE($C248,10,15)&lt;$S$241,AND($T$241&gt;0,DATE($C248,10,15)&gt;$T$241)),0,IF(DATE($C248,10,15)&gt;=$X$241,$AA$241*(1+($U$241)/100)^MAX(0,$C248-$AD$241),IF(DATE($C248,10,15)&gt;=$W$241,$Z$241*(1+($U$241)/100)^MAX(0,$C248-$AC$241),IF(DATE($C248,10,15)&gt;=$V$241,$Y$241*(1+($U$241)/100)^MAX(0,$C248-$AB$241),0)))))</f>
      </c>
      <c r="O248" s="43">
        <f>IF($S$241=0,0,IF(OR(DATE($C248,11,15)&lt;$S$241,AND($T$241&gt;0,DATE($C248,11,15)&gt;$T$241)),0,IF(DATE($C248,11,15)&gt;=$X$241,$AA$241*(1+($U$241)/100)^MAX(0,$C248-$AD$241),IF(DATE($C248,11,15)&gt;=$W$241,$Z$241*(1+($U$241)/100)^MAX(0,$C248-$AC$241),IF(DATE($C248,11,15)&gt;=$V$241,$Y$241*(1+($U$241)/100)^MAX(0,$C248-$AB$241),0)))))</f>
      </c>
      <c r="P248" s="43">
        <f>IF($S$241=0,0,IF(OR(DATE($C248,12,15)&lt;$S$241,AND($T$241&gt;0,DATE($C248,12,15)&gt;$T$241)),0,IF(DATE($C248,12,15)&gt;=$X$241,$AA$241*(1+($U$241)/100)^MAX(0,$C248-$AD$241),IF(DATE($C248,12,15)&gt;=$W$241,$Z$241*(1+($U$241)/100)^MAX(0,$C248-$AC$241),IF(DATE($C248,12,15)&gt;=$V$241,$Y$241*(1+($U$241)/100)^MAX(0,$C248-$AB$241),0)))))</f>
      </c>
      <c r="Q248" s="43">
        <f>SUM($E248:$P248)</f>
      </c>
    </row>
    <row r="249">
      <c r="A249"/>
      <c r="B249">
        <v>8</v>
      </c>
      <c r="C249" s="43">
        <f>Jahr+8</f>
      </c>
      <c r="D249" s="43">
        <f>INDEX(MvObj,8)</f>
      </c>
      <c r="E249" s="43">
        <f>IF($S$241=0,0,IF(OR(DATE($C249,1,15)&lt;$S$241,AND($T$241&gt;0,DATE($C249,1,15)&gt;$T$241)),0,IF(DATE($C249,1,15)&gt;=$X$241,$AA$241*(1+($U$241)/100)^MAX(0,$C249-$AD$241),IF(DATE($C249,1,15)&gt;=$W$241,$Z$241*(1+($U$241)/100)^MAX(0,$C249-$AC$241),IF(DATE($C249,1,15)&gt;=$V$241,$Y$241*(1+($U$241)/100)^MAX(0,$C249-$AB$241),0)))))</f>
      </c>
      <c r="F249" s="43">
        <f>IF($S$241=0,0,IF(OR(DATE($C249,2,15)&lt;$S$241,AND($T$241&gt;0,DATE($C249,2,15)&gt;$T$241)),0,IF(DATE($C249,2,15)&gt;=$X$241,$AA$241*(1+($U$241)/100)^MAX(0,$C249-$AD$241),IF(DATE($C249,2,15)&gt;=$W$241,$Z$241*(1+($U$241)/100)^MAX(0,$C249-$AC$241),IF(DATE($C249,2,15)&gt;=$V$241,$Y$241*(1+($U$241)/100)^MAX(0,$C249-$AB$241),0)))))</f>
      </c>
      <c r="G249" s="43">
        <f>IF($S$241=0,0,IF(OR(DATE($C249,3,15)&lt;$S$241,AND($T$241&gt;0,DATE($C249,3,15)&gt;$T$241)),0,IF(DATE($C249,3,15)&gt;=$X$241,$AA$241*(1+($U$241)/100)^MAX(0,$C249-$AD$241),IF(DATE($C249,3,15)&gt;=$W$241,$Z$241*(1+($U$241)/100)^MAX(0,$C249-$AC$241),IF(DATE($C249,3,15)&gt;=$V$241,$Y$241*(1+($U$241)/100)^MAX(0,$C249-$AB$241),0)))))</f>
      </c>
      <c r="H249" s="43">
        <f>IF($S$241=0,0,IF(OR(DATE($C249,4,15)&lt;$S$241,AND($T$241&gt;0,DATE($C249,4,15)&gt;$T$241)),0,IF(DATE($C249,4,15)&gt;=$X$241,$AA$241*(1+($U$241)/100)^MAX(0,$C249-$AD$241),IF(DATE($C249,4,15)&gt;=$W$241,$Z$241*(1+($U$241)/100)^MAX(0,$C249-$AC$241),IF(DATE($C249,4,15)&gt;=$V$241,$Y$241*(1+($U$241)/100)^MAX(0,$C249-$AB$241),0)))))</f>
      </c>
      <c r="I249" s="43">
        <f>IF($S$241=0,0,IF(OR(DATE($C249,5,15)&lt;$S$241,AND($T$241&gt;0,DATE($C249,5,15)&gt;$T$241)),0,IF(DATE($C249,5,15)&gt;=$X$241,$AA$241*(1+($U$241)/100)^MAX(0,$C249-$AD$241),IF(DATE($C249,5,15)&gt;=$W$241,$Z$241*(1+($U$241)/100)^MAX(0,$C249-$AC$241),IF(DATE($C249,5,15)&gt;=$V$241,$Y$241*(1+($U$241)/100)^MAX(0,$C249-$AB$241),0)))))</f>
      </c>
      <c r="J249" s="43">
        <f>IF($S$241=0,0,IF(OR(DATE($C249,6,15)&lt;$S$241,AND($T$241&gt;0,DATE($C249,6,15)&gt;$T$241)),0,IF(DATE($C249,6,15)&gt;=$X$241,$AA$241*(1+($U$241)/100)^MAX(0,$C249-$AD$241),IF(DATE($C249,6,15)&gt;=$W$241,$Z$241*(1+($U$241)/100)^MAX(0,$C249-$AC$241),IF(DATE($C249,6,15)&gt;=$V$241,$Y$241*(1+($U$241)/100)^MAX(0,$C249-$AB$241),0)))))</f>
      </c>
      <c r="K249" s="43">
        <f>IF($S$241=0,0,IF(OR(DATE($C249,7,15)&lt;$S$241,AND($T$241&gt;0,DATE($C249,7,15)&gt;$T$241)),0,IF(DATE($C249,7,15)&gt;=$X$241,$AA$241*(1+($U$241)/100)^MAX(0,$C249-$AD$241),IF(DATE($C249,7,15)&gt;=$W$241,$Z$241*(1+($U$241)/100)^MAX(0,$C249-$AC$241),IF(DATE($C249,7,15)&gt;=$V$241,$Y$241*(1+($U$241)/100)^MAX(0,$C249-$AB$241),0)))))</f>
      </c>
      <c r="L249" s="43">
        <f>IF($S$241=0,0,IF(OR(DATE($C249,8,15)&lt;$S$241,AND($T$241&gt;0,DATE($C249,8,15)&gt;$T$241)),0,IF(DATE($C249,8,15)&gt;=$X$241,$AA$241*(1+($U$241)/100)^MAX(0,$C249-$AD$241),IF(DATE($C249,8,15)&gt;=$W$241,$Z$241*(1+($U$241)/100)^MAX(0,$C249-$AC$241),IF(DATE($C249,8,15)&gt;=$V$241,$Y$241*(1+($U$241)/100)^MAX(0,$C249-$AB$241),0)))))</f>
      </c>
      <c r="M249" s="43">
        <f>IF($S$241=0,0,IF(OR(DATE($C249,9,15)&lt;$S$241,AND($T$241&gt;0,DATE($C249,9,15)&gt;$T$241)),0,IF(DATE($C249,9,15)&gt;=$X$241,$AA$241*(1+($U$241)/100)^MAX(0,$C249-$AD$241),IF(DATE($C249,9,15)&gt;=$W$241,$Z$241*(1+($U$241)/100)^MAX(0,$C249-$AC$241),IF(DATE($C249,9,15)&gt;=$V$241,$Y$241*(1+($U$241)/100)^MAX(0,$C249-$AB$241),0)))))</f>
      </c>
      <c r="N249" s="43">
        <f>IF($S$241=0,0,IF(OR(DATE($C249,10,15)&lt;$S$241,AND($T$241&gt;0,DATE($C249,10,15)&gt;$T$241)),0,IF(DATE($C249,10,15)&gt;=$X$241,$AA$241*(1+($U$241)/100)^MAX(0,$C249-$AD$241),IF(DATE($C249,10,15)&gt;=$W$241,$Z$241*(1+($U$241)/100)^MAX(0,$C249-$AC$241),IF(DATE($C249,10,15)&gt;=$V$241,$Y$241*(1+($U$241)/100)^MAX(0,$C249-$AB$241),0)))))</f>
      </c>
      <c r="O249" s="43">
        <f>IF($S$241=0,0,IF(OR(DATE($C249,11,15)&lt;$S$241,AND($T$241&gt;0,DATE($C249,11,15)&gt;$T$241)),0,IF(DATE($C249,11,15)&gt;=$X$241,$AA$241*(1+($U$241)/100)^MAX(0,$C249-$AD$241),IF(DATE($C249,11,15)&gt;=$W$241,$Z$241*(1+($U$241)/100)^MAX(0,$C249-$AC$241),IF(DATE($C249,11,15)&gt;=$V$241,$Y$241*(1+($U$241)/100)^MAX(0,$C249-$AB$241),0)))))</f>
      </c>
      <c r="P249" s="43">
        <f>IF($S$241=0,0,IF(OR(DATE($C249,12,15)&lt;$S$241,AND($T$241&gt;0,DATE($C249,12,15)&gt;$T$241)),0,IF(DATE($C249,12,15)&gt;=$X$241,$AA$241*(1+($U$241)/100)^MAX(0,$C249-$AD$241),IF(DATE($C249,12,15)&gt;=$W$241,$Z$241*(1+($U$241)/100)^MAX(0,$C249-$AC$241),IF(DATE($C249,12,15)&gt;=$V$241,$Y$241*(1+($U$241)/100)^MAX(0,$C249-$AB$241),0)))))</f>
      </c>
      <c r="Q249" s="43">
        <f>SUM($E249:$P249)</f>
      </c>
    </row>
    <row r="250">
      <c r="A250"/>
      <c r="B250">
        <v>8</v>
      </c>
      <c r="C250" s="43">
        <f>Jahr+9</f>
      </c>
      <c r="D250" s="43">
        <f>INDEX(MvObj,8)</f>
      </c>
      <c r="E250" s="43">
        <f>IF($S$241=0,0,IF(OR(DATE($C250,1,15)&lt;$S$241,AND($T$241&gt;0,DATE($C250,1,15)&gt;$T$241)),0,IF(DATE($C250,1,15)&gt;=$X$241,$AA$241*(1+($U$241)/100)^MAX(0,$C250-$AD$241),IF(DATE($C250,1,15)&gt;=$W$241,$Z$241*(1+($U$241)/100)^MAX(0,$C250-$AC$241),IF(DATE($C250,1,15)&gt;=$V$241,$Y$241*(1+($U$241)/100)^MAX(0,$C250-$AB$241),0)))))</f>
      </c>
      <c r="F250" s="43">
        <f>IF($S$241=0,0,IF(OR(DATE($C250,2,15)&lt;$S$241,AND($T$241&gt;0,DATE($C250,2,15)&gt;$T$241)),0,IF(DATE($C250,2,15)&gt;=$X$241,$AA$241*(1+($U$241)/100)^MAX(0,$C250-$AD$241),IF(DATE($C250,2,15)&gt;=$W$241,$Z$241*(1+($U$241)/100)^MAX(0,$C250-$AC$241),IF(DATE($C250,2,15)&gt;=$V$241,$Y$241*(1+($U$241)/100)^MAX(0,$C250-$AB$241),0)))))</f>
      </c>
      <c r="G250" s="43">
        <f>IF($S$241=0,0,IF(OR(DATE($C250,3,15)&lt;$S$241,AND($T$241&gt;0,DATE($C250,3,15)&gt;$T$241)),0,IF(DATE($C250,3,15)&gt;=$X$241,$AA$241*(1+($U$241)/100)^MAX(0,$C250-$AD$241),IF(DATE($C250,3,15)&gt;=$W$241,$Z$241*(1+($U$241)/100)^MAX(0,$C250-$AC$241),IF(DATE($C250,3,15)&gt;=$V$241,$Y$241*(1+($U$241)/100)^MAX(0,$C250-$AB$241),0)))))</f>
      </c>
      <c r="H250" s="43">
        <f>IF($S$241=0,0,IF(OR(DATE($C250,4,15)&lt;$S$241,AND($T$241&gt;0,DATE($C250,4,15)&gt;$T$241)),0,IF(DATE($C250,4,15)&gt;=$X$241,$AA$241*(1+($U$241)/100)^MAX(0,$C250-$AD$241),IF(DATE($C250,4,15)&gt;=$W$241,$Z$241*(1+($U$241)/100)^MAX(0,$C250-$AC$241),IF(DATE($C250,4,15)&gt;=$V$241,$Y$241*(1+($U$241)/100)^MAX(0,$C250-$AB$241),0)))))</f>
      </c>
      <c r="I250" s="43">
        <f>IF($S$241=0,0,IF(OR(DATE($C250,5,15)&lt;$S$241,AND($T$241&gt;0,DATE($C250,5,15)&gt;$T$241)),0,IF(DATE($C250,5,15)&gt;=$X$241,$AA$241*(1+($U$241)/100)^MAX(0,$C250-$AD$241),IF(DATE($C250,5,15)&gt;=$W$241,$Z$241*(1+($U$241)/100)^MAX(0,$C250-$AC$241),IF(DATE($C250,5,15)&gt;=$V$241,$Y$241*(1+($U$241)/100)^MAX(0,$C250-$AB$241),0)))))</f>
      </c>
      <c r="J250" s="43">
        <f>IF($S$241=0,0,IF(OR(DATE($C250,6,15)&lt;$S$241,AND($T$241&gt;0,DATE($C250,6,15)&gt;$T$241)),0,IF(DATE($C250,6,15)&gt;=$X$241,$AA$241*(1+($U$241)/100)^MAX(0,$C250-$AD$241),IF(DATE($C250,6,15)&gt;=$W$241,$Z$241*(1+($U$241)/100)^MAX(0,$C250-$AC$241),IF(DATE($C250,6,15)&gt;=$V$241,$Y$241*(1+($U$241)/100)^MAX(0,$C250-$AB$241),0)))))</f>
      </c>
      <c r="K250" s="43">
        <f>IF($S$241=0,0,IF(OR(DATE($C250,7,15)&lt;$S$241,AND($T$241&gt;0,DATE($C250,7,15)&gt;$T$241)),0,IF(DATE($C250,7,15)&gt;=$X$241,$AA$241*(1+($U$241)/100)^MAX(0,$C250-$AD$241),IF(DATE($C250,7,15)&gt;=$W$241,$Z$241*(1+($U$241)/100)^MAX(0,$C250-$AC$241),IF(DATE($C250,7,15)&gt;=$V$241,$Y$241*(1+($U$241)/100)^MAX(0,$C250-$AB$241),0)))))</f>
      </c>
      <c r="L250" s="43">
        <f>IF($S$241=0,0,IF(OR(DATE($C250,8,15)&lt;$S$241,AND($T$241&gt;0,DATE($C250,8,15)&gt;$T$241)),0,IF(DATE($C250,8,15)&gt;=$X$241,$AA$241*(1+($U$241)/100)^MAX(0,$C250-$AD$241),IF(DATE($C250,8,15)&gt;=$W$241,$Z$241*(1+($U$241)/100)^MAX(0,$C250-$AC$241),IF(DATE($C250,8,15)&gt;=$V$241,$Y$241*(1+($U$241)/100)^MAX(0,$C250-$AB$241),0)))))</f>
      </c>
      <c r="M250" s="43">
        <f>IF($S$241=0,0,IF(OR(DATE($C250,9,15)&lt;$S$241,AND($T$241&gt;0,DATE($C250,9,15)&gt;$T$241)),0,IF(DATE($C250,9,15)&gt;=$X$241,$AA$241*(1+($U$241)/100)^MAX(0,$C250-$AD$241),IF(DATE($C250,9,15)&gt;=$W$241,$Z$241*(1+($U$241)/100)^MAX(0,$C250-$AC$241),IF(DATE($C250,9,15)&gt;=$V$241,$Y$241*(1+($U$241)/100)^MAX(0,$C250-$AB$241),0)))))</f>
      </c>
      <c r="N250" s="43">
        <f>IF($S$241=0,0,IF(OR(DATE($C250,10,15)&lt;$S$241,AND($T$241&gt;0,DATE($C250,10,15)&gt;$T$241)),0,IF(DATE($C250,10,15)&gt;=$X$241,$AA$241*(1+($U$241)/100)^MAX(0,$C250-$AD$241),IF(DATE($C250,10,15)&gt;=$W$241,$Z$241*(1+($U$241)/100)^MAX(0,$C250-$AC$241),IF(DATE($C250,10,15)&gt;=$V$241,$Y$241*(1+($U$241)/100)^MAX(0,$C250-$AB$241),0)))))</f>
      </c>
      <c r="O250" s="43">
        <f>IF($S$241=0,0,IF(OR(DATE($C250,11,15)&lt;$S$241,AND($T$241&gt;0,DATE($C250,11,15)&gt;$T$241)),0,IF(DATE($C250,11,15)&gt;=$X$241,$AA$241*(1+($U$241)/100)^MAX(0,$C250-$AD$241),IF(DATE($C250,11,15)&gt;=$W$241,$Z$241*(1+($U$241)/100)^MAX(0,$C250-$AC$241),IF(DATE($C250,11,15)&gt;=$V$241,$Y$241*(1+($U$241)/100)^MAX(0,$C250-$AB$241),0)))))</f>
      </c>
      <c r="P250" s="43">
        <f>IF($S$241=0,0,IF(OR(DATE($C250,12,15)&lt;$S$241,AND($T$241&gt;0,DATE($C250,12,15)&gt;$T$241)),0,IF(DATE($C250,12,15)&gt;=$X$241,$AA$241*(1+($U$241)/100)^MAX(0,$C250-$AD$241),IF(DATE($C250,12,15)&gt;=$W$241,$Z$241*(1+($U$241)/100)^MAX(0,$C250-$AC$241),IF(DATE($C250,12,15)&gt;=$V$241,$Y$241*(1+($U$241)/100)^MAX(0,$C250-$AB$241),0)))))</f>
      </c>
      <c r="Q250" s="43">
        <f>SUM($E250:$P250)</f>
      </c>
    </row>
    <row r="251">
      <c r="A251"/>
      <c r="B251">
        <v>8</v>
      </c>
      <c r="C251" s="43">
        <f>Jahr+10</f>
      </c>
      <c r="D251" s="43">
        <f>INDEX(MvObj,8)</f>
      </c>
      <c r="E251" s="43">
        <f>IF($S$241=0,0,IF(OR(DATE($C251,1,15)&lt;$S$241,AND($T$241&gt;0,DATE($C251,1,15)&gt;$T$241)),0,IF(DATE($C251,1,15)&gt;=$X$241,$AA$241*(1+($U$241)/100)^MAX(0,$C251-$AD$241),IF(DATE($C251,1,15)&gt;=$W$241,$Z$241*(1+($U$241)/100)^MAX(0,$C251-$AC$241),IF(DATE($C251,1,15)&gt;=$V$241,$Y$241*(1+($U$241)/100)^MAX(0,$C251-$AB$241),0)))))</f>
      </c>
      <c r="F251" s="43">
        <f>IF($S$241=0,0,IF(OR(DATE($C251,2,15)&lt;$S$241,AND($T$241&gt;0,DATE($C251,2,15)&gt;$T$241)),0,IF(DATE($C251,2,15)&gt;=$X$241,$AA$241*(1+($U$241)/100)^MAX(0,$C251-$AD$241),IF(DATE($C251,2,15)&gt;=$W$241,$Z$241*(1+($U$241)/100)^MAX(0,$C251-$AC$241),IF(DATE($C251,2,15)&gt;=$V$241,$Y$241*(1+($U$241)/100)^MAX(0,$C251-$AB$241),0)))))</f>
      </c>
      <c r="G251" s="43">
        <f>IF($S$241=0,0,IF(OR(DATE($C251,3,15)&lt;$S$241,AND($T$241&gt;0,DATE($C251,3,15)&gt;$T$241)),0,IF(DATE($C251,3,15)&gt;=$X$241,$AA$241*(1+($U$241)/100)^MAX(0,$C251-$AD$241),IF(DATE($C251,3,15)&gt;=$W$241,$Z$241*(1+($U$241)/100)^MAX(0,$C251-$AC$241),IF(DATE($C251,3,15)&gt;=$V$241,$Y$241*(1+($U$241)/100)^MAX(0,$C251-$AB$241),0)))))</f>
      </c>
      <c r="H251" s="43">
        <f>IF($S$241=0,0,IF(OR(DATE($C251,4,15)&lt;$S$241,AND($T$241&gt;0,DATE($C251,4,15)&gt;$T$241)),0,IF(DATE($C251,4,15)&gt;=$X$241,$AA$241*(1+($U$241)/100)^MAX(0,$C251-$AD$241),IF(DATE($C251,4,15)&gt;=$W$241,$Z$241*(1+($U$241)/100)^MAX(0,$C251-$AC$241),IF(DATE($C251,4,15)&gt;=$V$241,$Y$241*(1+($U$241)/100)^MAX(0,$C251-$AB$241),0)))))</f>
      </c>
      <c r="I251" s="43">
        <f>IF($S$241=0,0,IF(OR(DATE($C251,5,15)&lt;$S$241,AND($T$241&gt;0,DATE($C251,5,15)&gt;$T$241)),0,IF(DATE($C251,5,15)&gt;=$X$241,$AA$241*(1+($U$241)/100)^MAX(0,$C251-$AD$241),IF(DATE($C251,5,15)&gt;=$W$241,$Z$241*(1+($U$241)/100)^MAX(0,$C251-$AC$241),IF(DATE($C251,5,15)&gt;=$V$241,$Y$241*(1+($U$241)/100)^MAX(0,$C251-$AB$241),0)))))</f>
      </c>
      <c r="J251" s="43">
        <f>IF($S$241=0,0,IF(OR(DATE($C251,6,15)&lt;$S$241,AND($T$241&gt;0,DATE($C251,6,15)&gt;$T$241)),0,IF(DATE($C251,6,15)&gt;=$X$241,$AA$241*(1+($U$241)/100)^MAX(0,$C251-$AD$241),IF(DATE($C251,6,15)&gt;=$W$241,$Z$241*(1+($U$241)/100)^MAX(0,$C251-$AC$241),IF(DATE($C251,6,15)&gt;=$V$241,$Y$241*(1+($U$241)/100)^MAX(0,$C251-$AB$241),0)))))</f>
      </c>
      <c r="K251" s="43">
        <f>IF($S$241=0,0,IF(OR(DATE($C251,7,15)&lt;$S$241,AND($T$241&gt;0,DATE($C251,7,15)&gt;$T$241)),0,IF(DATE($C251,7,15)&gt;=$X$241,$AA$241*(1+($U$241)/100)^MAX(0,$C251-$AD$241),IF(DATE($C251,7,15)&gt;=$W$241,$Z$241*(1+($U$241)/100)^MAX(0,$C251-$AC$241),IF(DATE($C251,7,15)&gt;=$V$241,$Y$241*(1+($U$241)/100)^MAX(0,$C251-$AB$241),0)))))</f>
      </c>
      <c r="L251" s="43">
        <f>IF($S$241=0,0,IF(OR(DATE($C251,8,15)&lt;$S$241,AND($T$241&gt;0,DATE($C251,8,15)&gt;$T$241)),0,IF(DATE($C251,8,15)&gt;=$X$241,$AA$241*(1+($U$241)/100)^MAX(0,$C251-$AD$241),IF(DATE($C251,8,15)&gt;=$W$241,$Z$241*(1+($U$241)/100)^MAX(0,$C251-$AC$241),IF(DATE($C251,8,15)&gt;=$V$241,$Y$241*(1+($U$241)/100)^MAX(0,$C251-$AB$241),0)))))</f>
      </c>
      <c r="M251" s="43">
        <f>IF($S$241=0,0,IF(OR(DATE($C251,9,15)&lt;$S$241,AND($T$241&gt;0,DATE($C251,9,15)&gt;$T$241)),0,IF(DATE($C251,9,15)&gt;=$X$241,$AA$241*(1+($U$241)/100)^MAX(0,$C251-$AD$241),IF(DATE($C251,9,15)&gt;=$W$241,$Z$241*(1+($U$241)/100)^MAX(0,$C251-$AC$241),IF(DATE($C251,9,15)&gt;=$V$241,$Y$241*(1+($U$241)/100)^MAX(0,$C251-$AB$241),0)))))</f>
      </c>
      <c r="N251" s="43">
        <f>IF($S$241=0,0,IF(OR(DATE($C251,10,15)&lt;$S$241,AND($T$241&gt;0,DATE($C251,10,15)&gt;$T$241)),0,IF(DATE($C251,10,15)&gt;=$X$241,$AA$241*(1+($U$241)/100)^MAX(0,$C251-$AD$241),IF(DATE($C251,10,15)&gt;=$W$241,$Z$241*(1+($U$241)/100)^MAX(0,$C251-$AC$241),IF(DATE($C251,10,15)&gt;=$V$241,$Y$241*(1+($U$241)/100)^MAX(0,$C251-$AB$241),0)))))</f>
      </c>
      <c r="O251" s="43">
        <f>IF($S$241=0,0,IF(OR(DATE($C251,11,15)&lt;$S$241,AND($T$241&gt;0,DATE($C251,11,15)&gt;$T$241)),0,IF(DATE($C251,11,15)&gt;=$X$241,$AA$241*(1+($U$241)/100)^MAX(0,$C251-$AD$241),IF(DATE($C251,11,15)&gt;=$W$241,$Z$241*(1+($U$241)/100)^MAX(0,$C251-$AC$241),IF(DATE($C251,11,15)&gt;=$V$241,$Y$241*(1+($U$241)/100)^MAX(0,$C251-$AB$241),0)))))</f>
      </c>
      <c r="P251" s="43">
        <f>IF($S$241=0,0,IF(OR(DATE($C251,12,15)&lt;$S$241,AND($T$241&gt;0,DATE($C251,12,15)&gt;$T$241)),0,IF(DATE($C251,12,15)&gt;=$X$241,$AA$241*(1+($U$241)/100)^MAX(0,$C251-$AD$241),IF(DATE($C251,12,15)&gt;=$W$241,$Z$241*(1+($U$241)/100)^MAX(0,$C251-$AC$241),IF(DATE($C251,12,15)&gt;=$V$241,$Y$241*(1+($U$241)/100)^MAX(0,$C251-$AB$241),0)))))</f>
      </c>
      <c r="Q251" s="43">
        <f>SUM($E251:$P251)</f>
      </c>
    </row>
    <row r="252">
      <c r="A252"/>
      <c r="B252">
        <v>8</v>
      </c>
      <c r="C252" s="43">
        <f>Jahr+11</f>
      </c>
      <c r="D252" s="43">
        <f>INDEX(MvObj,8)</f>
      </c>
      <c r="E252" s="43">
        <f>IF($S$241=0,0,IF(OR(DATE($C252,1,15)&lt;$S$241,AND($T$241&gt;0,DATE($C252,1,15)&gt;$T$241)),0,IF(DATE($C252,1,15)&gt;=$X$241,$AA$241*(1+($U$241)/100)^MAX(0,$C252-$AD$241),IF(DATE($C252,1,15)&gt;=$W$241,$Z$241*(1+($U$241)/100)^MAX(0,$C252-$AC$241),IF(DATE($C252,1,15)&gt;=$V$241,$Y$241*(1+($U$241)/100)^MAX(0,$C252-$AB$241),0)))))</f>
      </c>
      <c r="F252" s="43">
        <f>IF($S$241=0,0,IF(OR(DATE($C252,2,15)&lt;$S$241,AND($T$241&gt;0,DATE($C252,2,15)&gt;$T$241)),0,IF(DATE($C252,2,15)&gt;=$X$241,$AA$241*(1+($U$241)/100)^MAX(0,$C252-$AD$241),IF(DATE($C252,2,15)&gt;=$W$241,$Z$241*(1+($U$241)/100)^MAX(0,$C252-$AC$241),IF(DATE($C252,2,15)&gt;=$V$241,$Y$241*(1+($U$241)/100)^MAX(0,$C252-$AB$241),0)))))</f>
      </c>
      <c r="G252" s="43">
        <f>IF($S$241=0,0,IF(OR(DATE($C252,3,15)&lt;$S$241,AND($T$241&gt;0,DATE($C252,3,15)&gt;$T$241)),0,IF(DATE($C252,3,15)&gt;=$X$241,$AA$241*(1+($U$241)/100)^MAX(0,$C252-$AD$241),IF(DATE($C252,3,15)&gt;=$W$241,$Z$241*(1+($U$241)/100)^MAX(0,$C252-$AC$241),IF(DATE($C252,3,15)&gt;=$V$241,$Y$241*(1+($U$241)/100)^MAX(0,$C252-$AB$241),0)))))</f>
      </c>
      <c r="H252" s="43">
        <f>IF($S$241=0,0,IF(OR(DATE($C252,4,15)&lt;$S$241,AND($T$241&gt;0,DATE($C252,4,15)&gt;$T$241)),0,IF(DATE($C252,4,15)&gt;=$X$241,$AA$241*(1+($U$241)/100)^MAX(0,$C252-$AD$241),IF(DATE($C252,4,15)&gt;=$W$241,$Z$241*(1+($U$241)/100)^MAX(0,$C252-$AC$241),IF(DATE($C252,4,15)&gt;=$V$241,$Y$241*(1+($U$241)/100)^MAX(0,$C252-$AB$241),0)))))</f>
      </c>
      <c r="I252" s="43">
        <f>IF($S$241=0,0,IF(OR(DATE($C252,5,15)&lt;$S$241,AND($T$241&gt;0,DATE($C252,5,15)&gt;$T$241)),0,IF(DATE($C252,5,15)&gt;=$X$241,$AA$241*(1+($U$241)/100)^MAX(0,$C252-$AD$241),IF(DATE($C252,5,15)&gt;=$W$241,$Z$241*(1+($U$241)/100)^MAX(0,$C252-$AC$241),IF(DATE($C252,5,15)&gt;=$V$241,$Y$241*(1+($U$241)/100)^MAX(0,$C252-$AB$241),0)))))</f>
      </c>
      <c r="J252" s="43">
        <f>IF($S$241=0,0,IF(OR(DATE($C252,6,15)&lt;$S$241,AND($T$241&gt;0,DATE($C252,6,15)&gt;$T$241)),0,IF(DATE($C252,6,15)&gt;=$X$241,$AA$241*(1+($U$241)/100)^MAX(0,$C252-$AD$241),IF(DATE($C252,6,15)&gt;=$W$241,$Z$241*(1+($U$241)/100)^MAX(0,$C252-$AC$241),IF(DATE($C252,6,15)&gt;=$V$241,$Y$241*(1+($U$241)/100)^MAX(0,$C252-$AB$241),0)))))</f>
      </c>
      <c r="K252" s="43">
        <f>IF($S$241=0,0,IF(OR(DATE($C252,7,15)&lt;$S$241,AND($T$241&gt;0,DATE($C252,7,15)&gt;$T$241)),0,IF(DATE($C252,7,15)&gt;=$X$241,$AA$241*(1+($U$241)/100)^MAX(0,$C252-$AD$241),IF(DATE($C252,7,15)&gt;=$W$241,$Z$241*(1+($U$241)/100)^MAX(0,$C252-$AC$241),IF(DATE($C252,7,15)&gt;=$V$241,$Y$241*(1+($U$241)/100)^MAX(0,$C252-$AB$241),0)))))</f>
      </c>
      <c r="L252" s="43">
        <f>IF($S$241=0,0,IF(OR(DATE($C252,8,15)&lt;$S$241,AND($T$241&gt;0,DATE($C252,8,15)&gt;$T$241)),0,IF(DATE($C252,8,15)&gt;=$X$241,$AA$241*(1+($U$241)/100)^MAX(0,$C252-$AD$241),IF(DATE($C252,8,15)&gt;=$W$241,$Z$241*(1+($U$241)/100)^MAX(0,$C252-$AC$241),IF(DATE($C252,8,15)&gt;=$V$241,$Y$241*(1+($U$241)/100)^MAX(0,$C252-$AB$241),0)))))</f>
      </c>
      <c r="M252" s="43">
        <f>IF($S$241=0,0,IF(OR(DATE($C252,9,15)&lt;$S$241,AND($T$241&gt;0,DATE($C252,9,15)&gt;$T$241)),0,IF(DATE($C252,9,15)&gt;=$X$241,$AA$241*(1+($U$241)/100)^MAX(0,$C252-$AD$241),IF(DATE($C252,9,15)&gt;=$W$241,$Z$241*(1+($U$241)/100)^MAX(0,$C252-$AC$241),IF(DATE($C252,9,15)&gt;=$V$241,$Y$241*(1+($U$241)/100)^MAX(0,$C252-$AB$241),0)))))</f>
      </c>
      <c r="N252" s="43">
        <f>IF($S$241=0,0,IF(OR(DATE($C252,10,15)&lt;$S$241,AND($T$241&gt;0,DATE($C252,10,15)&gt;$T$241)),0,IF(DATE($C252,10,15)&gt;=$X$241,$AA$241*(1+($U$241)/100)^MAX(0,$C252-$AD$241),IF(DATE($C252,10,15)&gt;=$W$241,$Z$241*(1+($U$241)/100)^MAX(0,$C252-$AC$241),IF(DATE($C252,10,15)&gt;=$V$241,$Y$241*(1+($U$241)/100)^MAX(0,$C252-$AB$241),0)))))</f>
      </c>
      <c r="O252" s="43">
        <f>IF($S$241=0,0,IF(OR(DATE($C252,11,15)&lt;$S$241,AND($T$241&gt;0,DATE($C252,11,15)&gt;$T$241)),0,IF(DATE($C252,11,15)&gt;=$X$241,$AA$241*(1+($U$241)/100)^MAX(0,$C252-$AD$241),IF(DATE($C252,11,15)&gt;=$W$241,$Z$241*(1+($U$241)/100)^MAX(0,$C252-$AC$241),IF(DATE($C252,11,15)&gt;=$V$241,$Y$241*(1+($U$241)/100)^MAX(0,$C252-$AB$241),0)))))</f>
      </c>
      <c r="P252" s="43">
        <f>IF($S$241=0,0,IF(OR(DATE($C252,12,15)&lt;$S$241,AND($T$241&gt;0,DATE($C252,12,15)&gt;$T$241)),0,IF(DATE($C252,12,15)&gt;=$X$241,$AA$241*(1+($U$241)/100)^MAX(0,$C252-$AD$241),IF(DATE($C252,12,15)&gt;=$W$241,$Z$241*(1+($U$241)/100)^MAX(0,$C252-$AC$241),IF(DATE($C252,12,15)&gt;=$V$241,$Y$241*(1+($U$241)/100)^MAX(0,$C252-$AB$241),0)))))</f>
      </c>
      <c r="Q252" s="43">
        <f>SUM($E252:$P252)</f>
      </c>
    </row>
    <row r="253">
      <c r="A253"/>
      <c r="B253">
        <v>8</v>
      </c>
      <c r="C253" s="43">
        <f>Jahr+12</f>
      </c>
      <c r="D253" s="43">
        <f>INDEX(MvObj,8)</f>
      </c>
      <c r="E253" s="43">
        <f>IF($S$241=0,0,IF(OR(DATE($C253,1,15)&lt;$S$241,AND($T$241&gt;0,DATE($C253,1,15)&gt;$T$241)),0,IF(DATE($C253,1,15)&gt;=$X$241,$AA$241*(1+($U$241)/100)^MAX(0,$C253-$AD$241),IF(DATE($C253,1,15)&gt;=$W$241,$Z$241*(1+($U$241)/100)^MAX(0,$C253-$AC$241),IF(DATE($C253,1,15)&gt;=$V$241,$Y$241*(1+($U$241)/100)^MAX(0,$C253-$AB$241),0)))))</f>
      </c>
      <c r="F253" s="43">
        <f>IF($S$241=0,0,IF(OR(DATE($C253,2,15)&lt;$S$241,AND($T$241&gt;0,DATE($C253,2,15)&gt;$T$241)),0,IF(DATE($C253,2,15)&gt;=$X$241,$AA$241*(1+($U$241)/100)^MAX(0,$C253-$AD$241),IF(DATE($C253,2,15)&gt;=$W$241,$Z$241*(1+($U$241)/100)^MAX(0,$C253-$AC$241),IF(DATE($C253,2,15)&gt;=$V$241,$Y$241*(1+($U$241)/100)^MAX(0,$C253-$AB$241),0)))))</f>
      </c>
      <c r="G253" s="43">
        <f>IF($S$241=0,0,IF(OR(DATE($C253,3,15)&lt;$S$241,AND($T$241&gt;0,DATE($C253,3,15)&gt;$T$241)),0,IF(DATE($C253,3,15)&gt;=$X$241,$AA$241*(1+($U$241)/100)^MAX(0,$C253-$AD$241),IF(DATE($C253,3,15)&gt;=$W$241,$Z$241*(1+($U$241)/100)^MAX(0,$C253-$AC$241),IF(DATE($C253,3,15)&gt;=$V$241,$Y$241*(1+($U$241)/100)^MAX(0,$C253-$AB$241),0)))))</f>
      </c>
      <c r="H253" s="43">
        <f>IF($S$241=0,0,IF(OR(DATE($C253,4,15)&lt;$S$241,AND($T$241&gt;0,DATE($C253,4,15)&gt;$T$241)),0,IF(DATE($C253,4,15)&gt;=$X$241,$AA$241*(1+($U$241)/100)^MAX(0,$C253-$AD$241),IF(DATE($C253,4,15)&gt;=$W$241,$Z$241*(1+($U$241)/100)^MAX(0,$C253-$AC$241),IF(DATE($C253,4,15)&gt;=$V$241,$Y$241*(1+($U$241)/100)^MAX(0,$C253-$AB$241),0)))))</f>
      </c>
      <c r="I253" s="43">
        <f>IF($S$241=0,0,IF(OR(DATE($C253,5,15)&lt;$S$241,AND($T$241&gt;0,DATE($C253,5,15)&gt;$T$241)),0,IF(DATE($C253,5,15)&gt;=$X$241,$AA$241*(1+($U$241)/100)^MAX(0,$C253-$AD$241),IF(DATE($C253,5,15)&gt;=$W$241,$Z$241*(1+($U$241)/100)^MAX(0,$C253-$AC$241),IF(DATE($C253,5,15)&gt;=$V$241,$Y$241*(1+($U$241)/100)^MAX(0,$C253-$AB$241),0)))))</f>
      </c>
      <c r="J253" s="43">
        <f>IF($S$241=0,0,IF(OR(DATE($C253,6,15)&lt;$S$241,AND($T$241&gt;0,DATE($C253,6,15)&gt;$T$241)),0,IF(DATE($C253,6,15)&gt;=$X$241,$AA$241*(1+($U$241)/100)^MAX(0,$C253-$AD$241),IF(DATE($C253,6,15)&gt;=$W$241,$Z$241*(1+($U$241)/100)^MAX(0,$C253-$AC$241),IF(DATE($C253,6,15)&gt;=$V$241,$Y$241*(1+($U$241)/100)^MAX(0,$C253-$AB$241),0)))))</f>
      </c>
      <c r="K253" s="43">
        <f>IF($S$241=0,0,IF(OR(DATE($C253,7,15)&lt;$S$241,AND($T$241&gt;0,DATE($C253,7,15)&gt;$T$241)),0,IF(DATE($C253,7,15)&gt;=$X$241,$AA$241*(1+($U$241)/100)^MAX(0,$C253-$AD$241),IF(DATE($C253,7,15)&gt;=$W$241,$Z$241*(1+($U$241)/100)^MAX(0,$C253-$AC$241),IF(DATE($C253,7,15)&gt;=$V$241,$Y$241*(1+($U$241)/100)^MAX(0,$C253-$AB$241),0)))))</f>
      </c>
      <c r="L253" s="43">
        <f>IF($S$241=0,0,IF(OR(DATE($C253,8,15)&lt;$S$241,AND($T$241&gt;0,DATE($C253,8,15)&gt;$T$241)),0,IF(DATE($C253,8,15)&gt;=$X$241,$AA$241*(1+($U$241)/100)^MAX(0,$C253-$AD$241),IF(DATE($C253,8,15)&gt;=$W$241,$Z$241*(1+($U$241)/100)^MAX(0,$C253-$AC$241),IF(DATE($C253,8,15)&gt;=$V$241,$Y$241*(1+($U$241)/100)^MAX(0,$C253-$AB$241),0)))))</f>
      </c>
      <c r="M253" s="43">
        <f>IF($S$241=0,0,IF(OR(DATE($C253,9,15)&lt;$S$241,AND($T$241&gt;0,DATE($C253,9,15)&gt;$T$241)),0,IF(DATE($C253,9,15)&gt;=$X$241,$AA$241*(1+($U$241)/100)^MAX(0,$C253-$AD$241),IF(DATE($C253,9,15)&gt;=$W$241,$Z$241*(1+($U$241)/100)^MAX(0,$C253-$AC$241),IF(DATE($C253,9,15)&gt;=$V$241,$Y$241*(1+($U$241)/100)^MAX(0,$C253-$AB$241),0)))))</f>
      </c>
      <c r="N253" s="43">
        <f>IF($S$241=0,0,IF(OR(DATE($C253,10,15)&lt;$S$241,AND($T$241&gt;0,DATE($C253,10,15)&gt;$T$241)),0,IF(DATE($C253,10,15)&gt;=$X$241,$AA$241*(1+($U$241)/100)^MAX(0,$C253-$AD$241),IF(DATE($C253,10,15)&gt;=$W$241,$Z$241*(1+($U$241)/100)^MAX(0,$C253-$AC$241),IF(DATE($C253,10,15)&gt;=$V$241,$Y$241*(1+($U$241)/100)^MAX(0,$C253-$AB$241),0)))))</f>
      </c>
      <c r="O253" s="43">
        <f>IF($S$241=0,0,IF(OR(DATE($C253,11,15)&lt;$S$241,AND($T$241&gt;0,DATE($C253,11,15)&gt;$T$241)),0,IF(DATE($C253,11,15)&gt;=$X$241,$AA$241*(1+($U$241)/100)^MAX(0,$C253-$AD$241),IF(DATE($C253,11,15)&gt;=$W$241,$Z$241*(1+($U$241)/100)^MAX(0,$C253-$AC$241),IF(DATE($C253,11,15)&gt;=$V$241,$Y$241*(1+($U$241)/100)^MAX(0,$C253-$AB$241),0)))))</f>
      </c>
      <c r="P253" s="43">
        <f>IF($S$241=0,0,IF(OR(DATE($C253,12,15)&lt;$S$241,AND($T$241&gt;0,DATE($C253,12,15)&gt;$T$241)),0,IF(DATE($C253,12,15)&gt;=$X$241,$AA$241*(1+($U$241)/100)^MAX(0,$C253-$AD$241),IF(DATE($C253,12,15)&gt;=$W$241,$Z$241*(1+($U$241)/100)^MAX(0,$C253-$AC$241),IF(DATE($C253,12,15)&gt;=$V$241,$Y$241*(1+($U$241)/100)^MAX(0,$C253-$AB$241),0)))))</f>
      </c>
      <c r="Q253" s="43">
        <f>SUM($E253:$P253)</f>
      </c>
    </row>
    <row r="254">
      <c r="A254"/>
      <c r="B254">
        <v>8</v>
      </c>
      <c r="C254" s="43">
        <f>Jahr+13</f>
      </c>
      <c r="D254" s="43">
        <f>INDEX(MvObj,8)</f>
      </c>
      <c r="E254" s="43">
        <f>IF($S$241=0,0,IF(OR(DATE($C254,1,15)&lt;$S$241,AND($T$241&gt;0,DATE($C254,1,15)&gt;$T$241)),0,IF(DATE($C254,1,15)&gt;=$X$241,$AA$241*(1+($U$241)/100)^MAX(0,$C254-$AD$241),IF(DATE($C254,1,15)&gt;=$W$241,$Z$241*(1+($U$241)/100)^MAX(0,$C254-$AC$241),IF(DATE($C254,1,15)&gt;=$V$241,$Y$241*(1+($U$241)/100)^MAX(0,$C254-$AB$241),0)))))</f>
      </c>
      <c r="F254" s="43">
        <f>IF($S$241=0,0,IF(OR(DATE($C254,2,15)&lt;$S$241,AND($T$241&gt;0,DATE($C254,2,15)&gt;$T$241)),0,IF(DATE($C254,2,15)&gt;=$X$241,$AA$241*(1+($U$241)/100)^MAX(0,$C254-$AD$241),IF(DATE($C254,2,15)&gt;=$W$241,$Z$241*(1+($U$241)/100)^MAX(0,$C254-$AC$241),IF(DATE($C254,2,15)&gt;=$V$241,$Y$241*(1+($U$241)/100)^MAX(0,$C254-$AB$241),0)))))</f>
      </c>
      <c r="G254" s="43">
        <f>IF($S$241=0,0,IF(OR(DATE($C254,3,15)&lt;$S$241,AND($T$241&gt;0,DATE($C254,3,15)&gt;$T$241)),0,IF(DATE($C254,3,15)&gt;=$X$241,$AA$241*(1+($U$241)/100)^MAX(0,$C254-$AD$241),IF(DATE($C254,3,15)&gt;=$W$241,$Z$241*(1+($U$241)/100)^MAX(0,$C254-$AC$241),IF(DATE($C254,3,15)&gt;=$V$241,$Y$241*(1+($U$241)/100)^MAX(0,$C254-$AB$241),0)))))</f>
      </c>
      <c r="H254" s="43">
        <f>IF($S$241=0,0,IF(OR(DATE($C254,4,15)&lt;$S$241,AND($T$241&gt;0,DATE($C254,4,15)&gt;$T$241)),0,IF(DATE($C254,4,15)&gt;=$X$241,$AA$241*(1+($U$241)/100)^MAX(0,$C254-$AD$241),IF(DATE($C254,4,15)&gt;=$W$241,$Z$241*(1+($U$241)/100)^MAX(0,$C254-$AC$241),IF(DATE($C254,4,15)&gt;=$V$241,$Y$241*(1+($U$241)/100)^MAX(0,$C254-$AB$241),0)))))</f>
      </c>
      <c r="I254" s="43">
        <f>IF($S$241=0,0,IF(OR(DATE($C254,5,15)&lt;$S$241,AND($T$241&gt;0,DATE($C254,5,15)&gt;$T$241)),0,IF(DATE($C254,5,15)&gt;=$X$241,$AA$241*(1+($U$241)/100)^MAX(0,$C254-$AD$241),IF(DATE($C254,5,15)&gt;=$W$241,$Z$241*(1+($U$241)/100)^MAX(0,$C254-$AC$241),IF(DATE($C254,5,15)&gt;=$V$241,$Y$241*(1+($U$241)/100)^MAX(0,$C254-$AB$241),0)))))</f>
      </c>
      <c r="J254" s="43">
        <f>IF($S$241=0,0,IF(OR(DATE($C254,6,15)&lt;$S$241,AND($T$241&gt;0,DATE($C254,6,15)&gt;$T$241)),0,IF(DATE($C254,6,15)&gt;=$X$241,$AA$241*(1+($U$241)/100)^MAX(0,$C254-$AD$241),IF(DATE($C254,6,15)&gt;=$W$241,$Z$241*(1+($U$241)/100)^MAX(0,$C254-$AC$241),IF(DATE($C254,6,15)&gt;=$V$241,$Y$241*(1+($U$241)/100)^MAX(0,$C254-$AB$241),0)))))</f>
      </c>
      <c r="K254" s="43">
        <f>IF($S$241=0,0,IF(OR(DATE($C254,7,15)&lt;$S$241,AND($T$241&gt;0,DATE($C254,7,15)&gt;$T$241)),0,IF(DATE($C254,7,15)&gt;=$X$241,$AA$241*(1+($U$241)/100)^MAX(0,$C254-$AD$241),IF(DATE($C254,7,15)&gt;=$W$241,$Z$241*(1+($U$241)/100)^MAX(0,$C254-$AC$241),IF(DATE($C254,7,15)&gt;=$V$241,$Y$241*(1+($U$241)/100)^MAX(0,$C254-$AB$241),0)))))</f>
      </c>
      <c r="L254" s="43">
        <f>IF($S$241=0,0,IF(OR(DATE($C254,8,15)&lt;$S$241,AND($T$241&gt;0,DATE($C254,8,15)&gt;$T$241)),0,IF(DATE($C254,8,15)&gt;=$X$241,$AA$241*(1+($U$241)/100)^MAX(0,$C254-$AD$241),IF(DATE($C254,8,15)&gt;=$W$241,$Z$241*(1+($U$241)/100)^MAX(0,$C254-$AC$241),IF(DATE($C254,8,15)&gt;=$V$241,$Y$241*(1+($U$241)/100)^MAX(0,$C254-$AB$241),0)))))</f>
      </c>
      <c r="M254" s="43">
        <f>IF($S$241=0,0,IF(OR(DATE($C254,9,15)&lt;$S$241,AND($T$241&gt;0,DATE($C254,9,15)&gt;$T$241)),0,IF(DATE($C254,9,15)&gt;=$X$241,$AA$241*(1+($U$241)/100)^MAX(0,$C254-$AD$241),IF(DATE($C254,9,15)&gt;=$W$241,$Z$241*(1+($U$241)/100)^MAX(0,$C254-$AC$241),IF(DATE($C254,9,15)&gt;=$V$241,$Y$241*(1+($U$241)/100)^MAX(0,$C254-$AB$241),0)))))</f>
      </c>
      <c r="N254" s="43">
        <f>IF($S$241=0,0,IF(OR(DATE($C254,10,15)&lt;$S$241,AND($T$241&gt;0,DATE($C254,10,15)&gt;$T$241)),0,IF(DATE($C254,10,15)&gt;=$X$241,$AA$241*(1+($U$241)/100)^MAX(0,$C254-$AD$241),IF(DATE($C254,10,15)&gt;=$W$241,$Z$241*(1+($U$241)/100)^MAX(0,$C254-$AC$241),IF(DATE($C254,10,15)&gt;=$V$241,$Y$241*(1+($U$241)/100)^MAX(0,$C254-$AB$241),0)))))</f>
      </c>
      <c r="O254" s="43">
        <f>IF($S$241=0,0,IF(OR(DATE($C254,11,15)&lt;$S$241,AND($T$241&gt;0,DATE($C254,11,15)&gt;$T$241)),0,IF(DATE($C254,11,15)&gt;=$X$241,$AA$241*(1+($U$241)/100)^MAX(0,$C254-$AD$241),IF(DATE($C254,11,15)&gt;=$W$241,$Z$241*(1+($U$241)/100)^MAX(0,$C254-$AC$241),IF(DATE($C254,11,15)&gt;=$V$241,$Y$241*(1+($U$241)/100)^MAX(0,$C254-$AB$241),0)))))</f>
      </c>
      <c r="P254" s="43">
        <f>IF($S$241=0,0,IF(OR(DATE($C254,12,15)&lt;$S$241,AND($T$241&gt;0,DATE($C254,12,15)&gt;$T$241)),0,IF(DATE($C254,12,15)&gt;=$X$241,$AA$241*(1+($U$241)/100)^MAX(0,$C254-$AD$241),IF(DATE($C254,12,15)&gt;=$W$241,$Z$241*(1+($U$241)/100)^MAX(0,$C254-$AC$241),IF(DATE($C254,12,15)&gt;=$V$241,$Y$241*(1+($U$241)/100)^MAX(0,$C254-$AB$241),0)))))</f>
      </c>
      <c r="Q254" s="43">
        <f>SUM($E254:$P254)</f>
      </c>
    </row>
    <row r="255">
      <c r="A255"/>
      <c r="B255">
        <v>8</v>
      </c>
      <c r="C255" s="43">
        <f>Jahr+14</f>
      </c>
      <c r="D255" s="43">
        <f>INDEX(MvObj,8)</f>
      </c>
      <c r="E255" s="43">
        <f>IF($S$241=0,0,IF(OR(DATE($C255,1,15)&lt;$S$241,AND($T$241&gt;0,DATE($C255,1,15)&gt;$T$241)),0,IF(DATE($C255,1,15)&gt;=$X$241,$AA$241*(1+($U$241)/100)^MAX(0,$C255-$AD$241),IF(DATE($C255,1,15)&gt;=$W$241,$Z$241*(1+($U$241)/100)^MAX(0,$C255-$AC$241),IF(DATE($C255,1,15)&gt;=$V$241,$Y$241*(1+($U$241)/100)^MAX(0,$C255-$AB$241),0)))))</f>
      </c>
      <c r="F255" s="43">
        <f>IF($S$241=0,0,IF(OR(DATE($C255,2,15)&lt;$S$241,AND($T$241&gt;0,DATE($C255,2,15)&gt;$T$241)),0,IF(DATE($C255,2,15)&gt;=$X$241,$AA$241*(1+($U$241)/100)^MAX(0,$C255-$AD$241),IF(DATE($C255,2,15)&gt;=$W$241,$Z$241*(1+($U$241)/100)^MAX(0,$C255-$AC$241),IF(DATE($C255,2,15)&gt;=$V$241,$Y$241*(1+($U$241)/100)^MAX(0,$C255-$AB$241),0)))))</f>
      </c>
      <c r="G255" s="43">
        <f>IF($S$241=0,0,IF(OR(DATE($C255,3,15)&lt;$S$241,AND($T$241&gt;0,DATE($C255,3,15)&gt;$T$241)),0,IF(DATE($C255,3,15)&gt;=$X$241,$AA$241*(1+($U$241)/100)^MAX(0,$C255-$AD$241),IF(DATE($C255,3,15)&gt;=$W$241,$Z$241*(1+($U$241)/100)^MAX(0,$C255-$AC$241),IF(DATE($C255,3,15)&gt;=$V$241,$Y$241*(1+($U$241)/100)^MAX(0,$C255-$AB$241),0)))))</f>
      </c>
      <c r="H255" s="43">
        <f>IF($S$241=0,0,IF(OR(DATE($C255,4,15)&lt;$S$241,AND($T$241&gt;0,DATE($C255,4,15)&gt;$T$241)),0,IF(DATE($C255,4,15)&gt;=$X$241,$AA$241*(1+($U$241)/100)^MAX(0,$C255-$AD$241),IF(DATE($C255,4,15)&gt;=$W$241,$Z$241*(1+($U$241)/100)^MAX(0,$C255-$AC$241),IF(DATE($C255,4,15)&gt;=$V$241,$Y$241*(1+($U$241)/100)^MAX(0,$C255-$AB$241),0)))))</f>
      </c>
      <c r="I255" s="43">
        <f>IF($S$241=0,0,IF(OR(DATE($C255,5,15)&lt;$S$241,AND($T$241&gt;0,DATE($C255,5,15)&gt;$T$241)),0,IF(DATE($C255,5,15)&gt;=$X$241,$AA$241*(1+($U$241)/100)^MAX(0,$C255-$AD$241),IF(DATE($C255,5,15)&gt;=$W$241,$Z$241*(1+($U$241)/100)^MAX(0,$C255-$AC$241),IF(DATE($C255,5,15)&gt;=$V$241,$Y$241*(1+($U$241)/100)^MAX(0,$C255-$AB$241),0)))))</f>
      </c>
      <c r="J255" s="43">
        <f>IF($S$241=0,0,IF(OR(DATE($C255,6,15)&lt;$S$241,AND($T$241&gt;0,DATE($C255,6,15)&gt;$T$241)),0,IF(DATE($C255,6,15)&gt;=$X$241,$AA$241*(1+($U$241)/100)^MAX(0,$C255-$AD$241),IF(DATE($C255,6,15)&gt;=$W$241,$Z$241*(1+($U$241)/100)^MAX(0,$C255-$AC$241),IF(DATE($C255,6,15)&gt;=$V$241,$Y$241*(1+($U$241)/100)^MAX(0,$C255-$AB$241),0)))))</f>
      </c>
      <c r="K255" s="43">
        <f>IF($S$241=0,0,IF(OR(DATE($C255,7,15)&lt;$S$241,AND($T$241&gt;0,DATE($C255,7,15)&gt;$T$241)),0,IF(DATE($C255,7,15)&gt;=$X$241,$AA$241*(1+($U$241)/100)^MAX(0,$C255-$AD$241),IF(DATE($C255,7,15)&gt;=$W$241,$Z$241*(1+($U$241)/100)^MAX(0,$C255-$AC$241),IF(DATE($C255,7,15)&gt;=$V$241,$Y$241*(1+($U$241)/100)^MAX(0,$C255-$AB$241),0)))))</f>
      </c>
      <c r="L255" s="43">
        <f>IF($S$241=0,0,IF(OR(DATE($C255,8,15)&lt;$S$241,AND($T$241&gt;0,DATE($C255,8,15)&gt;$T$241)),0,IF(DATE($C255,8,15)&gt;=$X$241,$AA$241*(1+($U$241)/100)^MAX(0,$C255-$AD$241),IF(DATE($C255,8,15)&gt;=$W$241,$Z$241*(1+($U$241)/100)^MAX(0,$C255-$AC$241),IF(DATE($C255,8,15)&gt;=$V$241,$Y$241*(1+($U$241)/100)^MAX(0,$C255-$AB$241),0)))))</f>
      </c>
      <c r="M255" s="43">
        <f>IF($S$241=0,0,IF(OR(DATE($C255,9,15)&lt;$S$241,AND($T$241&gt;0,DATE($C255,9,15)&gt;$T$241)),0,IF(DATE($C255,9,15)&gt;=$X$241,$AA$241*(1+($U$241)/100)^MAX(0,$C255-$AD$241),IF(DATE($C255,9,15)&gt;=$W$241,$Z$241*(1+($U$241)/100)^MAX(0,$C255-$AC$241),IF(DATE($C255,9,15)&gt;=$V$241,$Y$241*(1+($U$241)/100)^MAX(0,$C255-$AB$241),0)))))</f>
      </c>
      <c r="N255" s="43">
        <f>IF($S$241=0,0,IF(OR(DATE($C255,10,15)&lt;$S$241,AND($T$241&gt;0,DATE($C255,10,15)&gt;$T$241)),0,IF(DATE($C255,10,15)&gt;=$X$241,$AA$241*(1+($U$241)/100)^MAX(0,$C255-$AD$241),IF(DATE($C255,10,15)&gt;=$W$241,$Z$241*(1+($U$241)/100)^MAX(0,$C255-$AC$241),IF(DATE($C255,10,15)&gt;=$V$241,$Y$241*(1+($U$241)/100)^MAX(0,$C255-$AB$241),0)))))</f>
      </c>
      <c r="O255" s="43">
        <f>IF($S$241=0,0,IF(OR(DATE($C255,11,15)&lt;$S$241,AND($T$241&gt;0,DATE($C255,11,15)&gt;$T$241)),0,IF(DATE($C255,11,15)&gt;=$X$241,$AA$241*(1+($U$241)/100)^MAX(0,$C255-$AD$241),IF(DATE($C255,11,15)&gt;=$W$241,$Z$241*(1+($U$241)/100)^MAX(0,$C255-$AC$241),IF(DATE($C255,11,15)&gt;=$V$241,$Y$241*(1+($U$241)/100)^MAX(0,$C255-$AB$241),0)))))</f>
      </c>
      <c r="P255" s="43">
        <f>IF($S$241=0,0,IF(OR(DATE($C255,12,15)&lt;$S$241,AND($T$241&gt;0,DATE($C255,12,15)&gt;$T$241)),0,IF(DATE($C255,12,15)&gt;=$X$241,$AA$241*(1+($U$241)/100)^MAX(0,$C255-$AD$241),IF(DATE($C255,12,15)&gt;=$W$241,$Z$241*(1+($U$241)/100)^MAX(0,$C255-$AC$241),IF(DATE($C255,12,15)&gt;=$V$241,$Y$241*(1+($U$241)/100)^MAX(0,$C255-$AB$241),0)))))</f>
      </c>
      <c r="Q255" s="43">
        <f>SUM($E255:$P255)</f>
      </c>
    </row>
    <row r="256">
      <c r="A256"/>
      <c r="B256">
        <v>8</v>
      </c>
      <c r="C256" s="43">
        <f>Jahr+15</f>
      </c>
      <c r="D256" s="43">
        <f>INDEX(MvObj,8)</f>
      </c>
      <c r="E256" s="43">
        <f>IF($S$241=0,0,IF(OR(DATE($C256,1,15)&lt;$S$241,AND($T$241&gt;0,DATE($C256,1,15)&gt;$T$241)),0,IF(DATE($C256,1,15)&gt;=$X$241,$AA$241*(1+($U$241)/100)^MAX(0,$C256-$AD$241),IF(DATE($C256,1,15)&gt;=$W$241,$Z$241*(1+($U$241)/100)^MAX(0,$C256-$AC$241),IF(DATE($C256,1,15)&gt;=$V$241,$Y$241*(1+($U$241)/100)^MAX(0,$C256-$AB$241),0)))))</f>
      </c>
      <c r="F256" s="43">
        <f>IF($S$241=0,0,IF(OR(DATE($C256,2,15)&lt;$S$241,AND($T$241&gt;0,DATE($C256,2,15)&gt;$T$241)),0,IF(DATE($C256,2,15)&gt;=$X$241,$AA$241*(1+($U$241)/100)^MAX(0,$C256-$AD$241),IF(DATE($C256,2,15)&gt;=$W$241,$Z$241*(1+($U$241)/100)^MAX(0,$C256-$AC$241),IF(DATE($C256,2,15)&gt;=$V$241,$Y$241*(1+($U$241)/100)^MAX(0,$C256-$AB$241),0)))))</f>
      </c>
      <c r="G256" s="43">
        <f>IF($S$241=0,0,IF(OR(DATE($C256,3,15)&lt;$S$241,AND($T$241&gt;0,DATE($C256,3,15)&gt;$T$241)),0,IF(DATE($C256,3,15)&gt;=$X$241,$AA$241*(1+($U$241)/100)^MAX(0,$C256-$AD$241),IF(DATE($C256,3,15)&gt;=$W$241,$Z$241*(1+($U$241)/100)^MAX(0,$C256-$AC$241),IF(DATE($C256,3,15)&gt;=$V$241,$Y$241*(1+($U$241)/100)^MAX(0,$C256-$AB$241),0)))))</f>
      </c>
      <c r="H256" s="43">
        <f>IF($S$241=0,0,IF(OR(DATE($C256,4,15)&lt;$S$241,AND($T$241&gt;0,DATE($C256,4,15)&gt;$T$241)),0,IF(DATE($C256,4,15)&gt;=$X$241,$AA$241*(1+($U$241)/100)^MAX(0,$C256-$AD$241),IF(DATE($C256,4,15)&gt;=$W$241,$Z$241*(1+($U$241)/100)^MAX(0,$C256-$AC$241),IF(DATE($C256,4,15)&gt;=$V$241,$Y$241*(1+($U$241)/100)^MAX(0,$C256-$AB$241),0)))))</f>
      </c>
      <c r="I256" s="43">
        <f>IF($S$241=0,0,IF(OR(DATE($C256,5,15)&lt;$S$241,AND($T$241&gt;0,DATE($C256,5,15)&gt;$T$241)),0,IF(DATE($C256,5,15)&gt;=$X$241,$AA$241*(1+($U$241)/100)^MAX(0,$C256-$AD$241),IF(DATE($C256,5,15)&gt;=$W$241,$Z$241*(1+($U$241)/100)^MAX(0,$C256-$AC$241),IF(DATE($C256,5,15)&gt;=$V$241,$Y$241*(1+($U$241)/100)^MAX(0,$C256-$AB$241),0)))))</f>
      </c>
      <c r="J256" s="43">
        <f>IF($S$241=0,0,IF(OR(DATE($C256,6,15)&lt;$S$241,AND($T$241&gt;0,DATE($C256,6,15)&gt;$T$241)),0,IF(DATE($C256,6,15)&gt;=$X$241,$AA$241*(1+($U$241)/100)^MAX(0,$C256-$AD$241),IF(DATE($C256,6,15)&gt;=$W$241,$Z$241*(1+($U$241)/100)^MAX(0,$C256-$AC$241),IF(DATE($C256,6,15)&gt;=$V$241,$Y$241*(1+($U$241)/100)^MAX(0,$C256-$AB$241),0)))))</f>
      </c>
      <c r="K256" s="43">
        <f>IF($S$241=0,0,IF(OR(DATE($C256,7,15)&lt;$S$241,AND($T$241&gt;0,DATE($C256,7,15)&gt;$T$241)),0,IF(DATE($C256,7,15)&gt;=$X$241,$AA$241*(1+($U$241)/100)^MAX(0,$C256-$AD$241),IF(DATE($C256,7,15)&gt;=$W$241,$Z$241*(1+($U$241)/100)^MAX(0,$C256-$AC$241),IF(DATE($C256,7,15)&gt;=$V$241,$Y$241*(1+($U$241)/100)^MAX(0,$C256-$AB$241),0)))))</f>
      </c>
      <c r="L256" s="43">
        <f>IF($S$241=0,0,IF(OR(DATE($C256,8,15)&lt;$S$241,AND($T$241&gt;0,DATE($C256,8,15)&gt;$T$241)),0,IF(DATE($C256,8,15)&gt;=$X$241,$AA$241*(1+($U$241)/100)^MAX(0,$C256-$AD$241),IF(DATE($C256,8,15)&gt;=$W$241,$Z$241*(1+($U$241)/100)^MAX(0,$C256-$AC$241),IF(DATE($C256,8,15)&gt;=$V$241,$Y$241*(1+($U$241)/100)^MAX(0,$C256-$AB$241),0)))))</f>
      </c>
      <c r="M256" s="43">
        <f>IF($S$241=0,0,IF(OR(DATE($C256,9,15)&lt;$S$241,AND($T$241&gt;0,DATE($C256,9,15)&gt;$T$241)),0,IF(DATE($C256,9,15)&gt;=$X$241,$AA$241*(1+($U$241)/100)^MAX(0,$C256-$AD$241),IF(DATE($C256,9,15)&gt;=$W$241,$Z$241*(1+($U$241)/100)^MAX(0,$C256-$AC$241),IF(DATE($C256,9,15)&gt;=$V$241,$Y$241*(1+($U$241)/100)^MAX(0,$C256-$AB$241),0)))))</f>
      </c>
      <c r="N256" s="43">
        <f>IF($S$241=0,0,IF(OR(DATE($C256,10,15)&lt;$S$241,AND($T$241&gt;0,DATE($C256,10,15)&gt;$T$241)),0,IF(DATE($C256,10,15)&gt;=$X$241,$AA$241*(1+($U$241)/100)^MAX(0,$C256-$AD$241),IF(DATE($C256,10,15)&gt;=$W$241,$Z$241*(1+($U$241)/100)^MAX(0,$C256-$AC$241),IF(DATE($C256,10,15)&gt;=$V$241,$Y$241*(1+($U$241)/100)^MAX(0,$C256-$AB$241),0)))))</f>
      </c>
      <c r="O256" s="43">
        <f>IF($S$241=0,0,IF(OR(DATE($C256,11,15)&lt;$S$241,AND($T$241&gt;0,DATE($C256,11,15)&gt;$T$241)),0,IF(DATE($C256,11,15)&gt;=$X$241,$AA$241*(1+($U$241)/100)^MAX(0,$C256-$AD$241),IF(DATE($C256,11,15)&gt;=$W$241,$Z$241*(1+($U$241)/100)^MAX(0,$C256-$AC$241),IF(DATE($C256,11,15)&gt;=$V$241,$Y$241*(1+($U$241)/100)^MAX(0,$C256-$AB$241),0)))))</f>
      </c>
      <c r="P256" s="43">
        <f>IF($S$241=0,0,IF(OR(DATE($C256,12,15)&lt;$S$241,AND($T$241&gt;0,DATE($C256,12,15)&gt;$T$241)),0,IF(DATE($C256,12,15)&gt;=$X$241,$AA$241*(1+($U$241)/100)^MAX(0,$C256-$AD$241),IF(DATE($C256,12,15)&gt;=$W$241,$Z$241*(1+($U$241)/100)^MAX(0,$C256-$AC$241),IF(DATE($C256,12,15)&gt;=$V$241,$Y$241*(1+($U$241)/100)^MAX(0,$C256-$AB$241),0)))))</f>
      </c>
      <c r="Q256" s="43">
        <f>SUM($E256:$P256)</f>
      </c>
    </row>
    <row r="257">
      <c r="A257"/>
      <c r="B257">
        <v>8</v>
      </c>
      <c r="C257" s="43">
        <f>Jahr+16</f>
      </c>
      <c r="D257" s="43">
        <f>INDEX(MvObj,8)</f>
      </c>
      <c r="E257" s="43">
        <f>IF($S$241=0,0,IF(OR(DATE($C257,1,15)&lt;$S$241,AND($T$241&gt;0,DATE($C257,1,15)&gt;$T$241)),0,IF(DATE($C257,1,15)&gt;=$X$241,$AA$241*(1+($U$241)/100)^MAX(0,$C257-$AD$241),IF(DATE($C257,1,15)&gt;=$W$241,$Z$241*(1+($U$241)/100)^MAX(0,$C257-$AC$241),IF(DATE($C257,1,15)&gt;=$V$241,$Y$241*(1+($U$241)/100)^MAX(0,$C257-$AB$241),0)))))</f>
      </c>
      <c r="F257" s="43">
        <f>IF($S$241=0,0,IF(OR(DATE($C257,2,15)&lt;$S$241,AND($T$241&gt;0,DATE($C257,2,15)&gt;$T$241)),0,IF(DATE($C257,2,15)&gt;=$X$241,$AA$241*(1+($U$241)/100)^MAX(0,$C257-$AD$241),IF(DATE($C257,2,15)&gt;=$W$241,$Z$241*(1+($U$241)/100)^MAX(0,$C257-$AC$241),IF(DATE($C257,2,15)&gt;=$V$241,$Y$241*(1+($U$241)/100)^MAX(0,$C257-$AB$241),0)))))</f>
      </c>
      <c r="G257" s="43">
        <f>IF($S$241=0,0,IF(OR(DATE($C257,3,15)&lt;$S$241,AND($T$241&gt;0,DATE($C257,3,15)&gt;$T$241)),0,IF(DATE($C257,3,15)&gt;=$X$241,$AA$241*(1+($U$241)/100)^MAX(0,$C257-$AD$241),IF(DATE($C257,3,15)&gt;=$W$241,$Z$241*(1+($U$241)/100)^MAX(0,$C257-$AC$241),IF(DATE($C257,3,15)&gt;=$V$241,$Y$241*(1+($U$241)/100)^MAX(0,$C257-$AB$241),0)))))</f>
      </c>
      <c r="H257" s="43">
        <f>IF($S$241=0,0,IF(OR(DATE($C257,4,15)&lt;$S$241,AND($T$241&gt;0,DATE($C257,4,15)&gt;$T$241)),0,IF(DATE($C257,4,15)&gt;=$X$241,$AA$241*(1+($U$241)/100)^MAX(0,$C257-$AD$241),IF(DATE($C257,4,15)&gt;=$W$241,$Z$241*(1+($U$241)/100)^MAX(0,$C257-$AC$241),IF(DATE($C257,4,15)&gt;=$V$241,$Y$241*(1+($U$241)/100)^MAX(0,$C257-$AB$241),0)))))</f>
      </c>
      <c r="I257" s="43">
        <f>IF($S$241=0,0,IF(OR(DATE($C257,5,15)&lt;$S$241,AND($T$241&gt;0,DATE($C257,5,15)&gt;$T$241)),0,IF(DATE($C257,5,15)&gt;=$X$241,$AA$241*(1+($U$241)/100)^MAX(0,$C257-$AD$241),IF(DATE($C257,5,15)&gt;=$W$241,$Z$241*(1+($U$241)/100)^MAX(0,$C257-$AC$241),IF(DATE($C257,5,15)&gt;=$V$241,$Y$241*(1+($U$241)/100)^MAX(0,$C257-$AB$241),0)))))</f>
      </c>
      <c r="J257" s="43">
        <f>IF($S$241=0,0,IF(OR(DATE($C257,6,15)&lt;$S$241,AND($T$241&gt;0,DATE($C257,6,15)&gt;$T$241)),0,IF(DATE($C257,6,15)&gt;=$X$241,$AA$241*(1+($U$241)/100)^MAX(0,$C257-$AD$241),IF(DATE($C257,6,15)&gt;=$W$241,$Z$241*(1+($U$241)/100)^MAX(0,$C257-$AC$241),IF(DATE($C257,6,15)&gt;=$V$241,$Y$241*(1+($U$241)/100)^MAX(0,$C257-$AB$241),0)))))</f>
      </c>
      <c r="K257" s="43">
        <f>IF($S$241=0,0,IF(OR(DATE($C257,7,15)&lt;$S$241,AND($T$241&gt;0,DATE($C257,7,15)&gt;$T$241)),0,IF(DATE($C257,7,15)&gt;=$X$241,$AA$241*(1+($U$241)/100)^MAX(0,$C257-$AD$241),IF(DATE($C257,7,15)&gt;=$W$241,$Z$241*(1+($U$241)/100)^MAX(0,$C257-$AC$241),IF(DATE($C257,7,15)&gt;=$V$241,$Y$241*(1+($U$241)/100)^MAX(0,$C257-$AB$241),0)))))</f>
      </c>
      <c r="L257" s="43">
        <f>IF($S$241=0,0,IF(OR(DATE($C257,8,15)&lt;$S$241,AND($T$241&gt;0,DATE($C257,8,15)&gt;$T$241)),0,IF(DATE($C257,8,15)&gt;=$X$241,$AA$241*(1+($U$241)/100)^MAX(0,$C257-$AD$241),IF(DATE($C257,8,15)&gt;=$W$241,$Z$241*(1+($U$241)/100)^MAX(0,$C257-$AC$241),IF(DATE($C257,8,15)&gt;=$V$241,$Y$241*(1+($U$241)/100)^MAX(0,$C257-$AB$241),0)))))</f>
      </c>
      <c r="M257" s="43">
        <f>IF($S$241=0,0,IF(OR(DATE($C257,9,15)&lt;$S$241,AND($T$241&gt;0,DATE($C257,9,15)&gt;$T$241)),0,IF(DATE($C257,9,15)&gt;=$X$241,$AA$241*(1+($U$241)/100)^MAX(0,$C257-$AD$241),IF(DATE($C257,9,15)&gt;=$W$241,$Z$241*(1+($U$241)/100)^MAX(0,$C257-$AC$241),IF(DATE($C257,9,15)&gt;=$V$241,$Y$241*(1+($U$241)/100)^MAX(0,$C257-$AB$241),0)))))</f>
      </c>
      <c r="N257" s="43">
        <f>IF($S$241=0,0,IF(OR(DATE($C257,10,15)&lt;$S$241,AND($T$241&gt;0,DATE($C257,10,15)&gt;$T$241)),0,IF(DATE($C257,10,15)&gt;=$X$241,$AA$241*(1+($U$241)/100)^MAX(0,$C257-$AD$241),IF(DATE($C257,10,15)&gt;=$W$241,$Z$241*(1+($U$241)/100)^MAX(0,$C257-$AC$241),IF(DATE($C257,10,15)&gt;=$V$241,$Y$241*(1+($U$241)/100)^MAX(0,$C257-$AB$241),0)))))</f>
      </c>
      <c r="O257" s="43">
        <f>IF($S$241=0,0,IF(OR(DATE($C257,11,15)&lt;$S$241,AND($T$241&gt;0,DATE($C257,11,15)&gt;$T$241)),0,IF(DATE($C257,11,15)&gt;=$X$241,$AA$241*(1+($U$241)/100)^MAX(0,$C257-$AD$241),IF(DATE($C257,11,15)&gt;=$W$241,$Z$241*(1+($U$241)/100)^MAX(0,$C257-$AC$241),IF(DATE($C257,11,15)&gt;=$V$241,$Y$241*(1+($U$241)/100)^MAX(0,$C257-$AB$241),0)))))</f>
      </c>
      <c r="P257" s="43">
        <f>IF($S$241=0,0,IF(OR(DATE($C257,12,15)&lt;$S$241,AND($T$241&gt;0,DATE($C257,12,15)&gt;$T$241)),0,IF(DATE($C257,12,15)&gt;=$X$241,$AA$241*(1+($U$241)/100)^MAX(0,$C257-$AD$241),IF(DATE($C257,12,15)&gt;=$W$241,$Z$241*(1+($U$241)/100)^MAX(0,$C257-$AC$241),IF(DATE($C257,12,15)&gt;=$V$241,$Y$241*(1+($U$241)/100)^MAX(0,$C257-$AB$241),0)))))</f>
      </c>
      <c r="Q257" s="43">
        <f>SUM($E257:$P257)</f>
      </c>
    </row>
    <row r="258">
      <c r="A258"/>
      <c r="B258">
        <v>8</v>
      </c>
      <c r="C258" s="43">
        <f>Jahr+17</f>
      </c>
      <c r="D258" s="43">
        <f>INDEX(MvObj,8)</f>
      </c>
      <c r="E258" s="43">
        <f>IF($S$241=0,0,IF(OR(DATE($C258,1,15)&lt;$S$241,AND($T$241&gt;0,DATE($C258,1,15)&gt;$T$241)),0,IF(DATE($C258,1,15)&gt;=$X$241,$AA$241*(1+($U$241)/100)^MAX(0,$C258-$AD$241),IF(DATE($C258,1,15)&gt;=$W$241,$Z$241*(1+($U$241)/100)^MAX(0,$C258-$AC$241),IF(DATE($C258,1,15)&gt;=$V$241,$Y$241*(1+($U$241)/100)^MAX(0,$C258-$AB$241),0)))))</f>
      </c>
      <c r="F258" s="43">
        <f>IF($S$241=0,0,IF(OR(DATE($C258,2,15)&lt;$S$241,AND($T$241&gt;0,DATE($C258,2,15)&gt;$T$241)),0,IF(DATE($C258,2,15)&gt;=$X$241,$AA$241*(1+($U$241)/100)^MAX(0,$C258-$AD$241),IF(DATE($C258,2,15)&gt;=$W$241,$Z$241*(1+($U$241)/100)^MAX(0,$C258-$AC$241),IF(DATE($C258,2,15)&gt;=$V$241,$Y$241*(1+($U$241)/100)^MAX(0,$C258-$AB$241),0)))))</f>
      </c>
      <c r="G258" s="43">
        <f>IF($S$241=0,0,IF(OR(DATE($C258,3,15)&lt;$S$241,AND($T$241&gt;0,DATE($C258,3,15)&gt;$T$241)),0,IF(DATE($C258,3,15)&gt;=$X$241,$AA$241*(1+($U$241)/100)^MAX(0,$C258-$AD$241),IF(DATE($C258,3,15)&gt;=$W$241,$Z$241*(1+($U$241)/100)^MAX(0,$C258-$AC$241),IF(DATE($C258,3,15)&gt;=$V$241,$Y$241*(1+($U$241)/100)^MAX(0,$C258-$AB$241),0)))))</f>
      </c>
      <c r="H258" s="43">
        <f>IF($S$241=0,0,IF(OR(DATE($C258,4,15)&lt;$S$241,AND($T$241&gt;0,DATE($C258,4,15)&gt;$T$241)),0,IF(DATE($C258,4,15)&gt;=$X$241,$AA$241*(1+($U$241)/100)^MAX(0,$C258-$AD$241),IF(DATE($C258,4,15)&gt;=$W$241,$Z$241*(1+($U$241)/100)^MAX(0,$C258-$AC$241),IF(DATE($C258,4,15)&gt;=$V$241,$Y$241*(1+($U$241)/100)^MAX(0,$C258-$AB$241),0)))))</f>
      </c>
      <c r="I258" s="43">
        <f>IF($S$241=0,0,IF(OR(DATE($C258,5,15)&lt;$S$241,AND($T$241&gt;0,DATE($C258,5,15)&gt;$T$241)),0,IF(DATE($C258,5,15)&gt;=$X$241,$AA$241*(1+($U$241)/100)^MAX(0,$C258-$AD$241),IF(DATE($C258,5,15)&gt;=$W$241,$Z$241*(1+($U$241)/100)^MAX(0,$C258-$AC$241),IF(DATE($C258,5,15)&gt;=$V$241,$Y$241*(1+($U$241)/100)^MAX(0,$C258-$AB$241),0)))))</f>
      </c>
      <c r="J258" s="43">
        <f>IF($S$241=0,0,IF(OR(DATE($C258,6,15)&lt;$S$241,AND($T$241&gt;0,DATE($C258,6,15)&gt;$T$241)),0,IF(DATE($C258,6,15)&gt;=$X$241,$AA$241*(1+($U$241)/100)^MAX(0,$C258-$AD$241),IF(DATE($C258,6,15)&gt;=$W$241,$Z$241*(1+($U$241)/100)^MAX(0,$C258-$AC$241),IF(DATE($C258,6,15)&gt;=$V$241,$Y$241*(1+($U$241)/100)^MAX(0,$C258-$AB$241),0)))))</f>
      </c>
      <c r="K258" s="43">
        <f>IF($S$241=0,0,IF(OR(DATE($C258,7,15)&lt;$S$241,AND($T$241&gt;0,DATE($C258,7,15)&gt;$T$241)),0,IF(DATE($C258,7,15)&gt;=$X$241,$AA$241*(1+($U$241)/100)^MAX(0,$C258-$AD$241),IF(DATE($C258,7,15)&gt;=$W$241,$Z$241*(1+($U$241)/100)^MAX(0,$C258-$AC$241),IF(DATE($C258,7,15)&gt;=$V$241,$Y$241*(1+($U$241)/100)^MAX(0,$C258-$AB$241),0)))))</f>
      </c>
      <c r="L258" s="43">
        <f>IF($S$241=0,0,IF(OR(DATE($C258,8,15)&lt;$S$241,AND($T$241&gt;0,DATE($C258,8,15)&gt;$T$241)),0,IF(DATE($C258,8,15)&gt;=$X$241,$AA$241*(1+($U$241)/100)^MAX(0,$C258-$AD$241),IF(DATE($C258,8,15)&gt;=$W$241,$Z$241*(1+($U$241)/100)^MAX(0,$C258-$AC$241),IF(DATE($C258,8,15)&gt;=$V$241,$Y$241*(1+($U$241)/100)^MAX(0,$C258-$AB$241),0)))))</f>
      </c>
      <c r="M258" s="43">
        <f>IF($S$241=0,0,IF(OR(DATE($C258,9,15)&lt;$S$241,AND($T$241&gt;0,DATE($C258,9,15)&gt;$T$241)),0,IF(DATE($C258,9,15)&gt;=$X$241,$AA$241*(1+($U$241)/100)^MAX(0,$C258-$AD$241),IF(DATE($C258,9,15)&gt;=$W$241,$Z$241*(1+($U$241)/100)^MAX(0,$C258-$AC$241),IF(DATE($C258,9,15)&gt;=$V$241,$Y$241*(1+($U$241)/100)^MAX(0,$C258-$AB$241),0)))))</f>
      </c>
      <c r="N258" s="43">
        <f>IF($S$241=0,0,IF(OR(DATE($C258,10,15)&lt;$S$241,AND($T$241&gt;0,DATE($C258,10,15)&gt;$T$241)),0,IF(DATE($C258,10,15)&gt;=$X$241,$AA$241*(1+($U$241)/100)^MAX(0,$C258-$AD$241),IF(DATE($C258,10,15)&gt;=$W$241,$Z$241*(1+($U$241)/100)^MAX(0,$C258-$AC$241),IF(DATE($C258,10,15)&gt;=$V$241,$Y$241*(1+($U$241)/100)^MAX(0,$C258-$AB$241),0)))))</f>
      </c>
      <c r="O258" s="43">
        <f>IF($S$241=0,0,IF(OR(DATE($C258,11,15)&lt;$S$241,AND($T$241&gt;0,DATE($C258,11,15)&gt;$T$241)),0,IF(DATE($C258,11,15)&gt;=$X$241,$AA$241*(1+($U$241)/100)^MAX(0,$C258-$AD$241),IF(DATE($C258,11,15)&gt;=$W$241,$Z$241*(1+($U$241)/100)^MAX(0,$C258-$AC$241),IF(DATE($C258,11,15)&gt;=$V$241,$Y$241*(1+($U$241)/100)^MAX(0,$C258-$AB$241),0)))))</f>
      </c>
      <c r="P258" s="43">
        <f>IF($S$241=0,0,IF(OR(DATE($C258,12,15)&lt;$S$241,AND($T$241&gt;0,DATE($C258,12,15)&gt;$T$241)),0,IF(DATE($C258,12,15)&gt;=$X$241,$AA$241*(1+($U$241)/100)^MAX(0,$C258-$AD$241),IF(DATE($C258,12,15)&gt;=$W$241,$Z$241*(1+($U$241)/100)^MAX(0,$C258-$AC$241),IF(DATE($C258,12,15)&gt;=$V$241,$Y$241*(1+($U$241)/100)^MAX(0,$C258-$AB$241),0)))))</f>
      </c>
      <c r="Q258" s="43">
        <f>SUM($E258:$P258)</f>
      </c>
    </row>
    <row r="259">
      <c r="A259"/>
      <c r="B259">
        <v>8</v>
      </c>
      <c r="C259" s="43">
        <f>Jahr+18</f>
      </c>
      <c r="D259" s="43">
        <f>INDEX(MvObj,8)</f>
      </c>
      <c r="E259" s="43">
        <f>IF($S$241=0,0,IF(OR(DATE($C259,1,15)&lt;$S$241,AND($T$241&gt;0,DATE($C259,1,15)&gt;$T$241)),0,IF(DATE($C259,1,15)&gt;=$X$241,$AA$241*(1+($U$241)/100)^MAX(0,$C259-$AD$241),IF(DATE($C259,1,15)&gt;=$W$241,$Z$241*(1+($U$241)/100)^MAX(0,$C259-$AC$241),IF(DATE($C259,1,15)&gt;=$V$241,$Y$241*(1+($U$241)/100)^MAX(0,$C259-$AB$241),0)))))</f>
      </c>
      <c r="F259" s="43">
        <f>IF($S$241=0,0,IF(OR(DATE($C259,2,15)&lt;$S$241,AND($T$241&gt;0,DATE($C259,2,15)&gt;$T$241)),0,IF(DATE($C259,2,15)&gt;=$X$241,$AA$241*(1+($U$241)/100)^MAX(0,$C259-$AD$241),IF(DATE($C259,2,15)&gt;=$W$241,$Z$241*(1+($U$241)/100)^MAX(0,$C259-$AC$241),IF(DATE($C259,2,15)&gt;=$V$241,$Y$241*(1+($U$241)/100)^MAX(0,$C259-$AB$241),0)))))</f>
      </c>
      <c r="G259" s="43">
        <f>IF($S$241=0,0,IF(OR(DATE($C259,3,15)&lt;$S$241,AND($T$241&gt;0,DATE($C259,3,15)&gt;$T$241)),0,IF(DATE($C259,3,15)&gt;=$X$241,$AA$241*(1+($U$241)/100)^MAX(0,$C259-$AD$241),IF(DATE($C259,3,15)&gt;=$W$241,$Z$241*(1+($U$241)/100)^MAX(0,$C259-$AC$241),IF(DATE($C259,3,15)&gt;=$V$241,$Y$241*(1+($U$241)/100)^MAX(0,$C259-$AB$241),0)))))</f>
      </c>
      <c r="H259" s="43">
        <f>IF($S$241=0,0,IF(OR(DATE($C259,4,15)&lt;$S$241,AND($T$241&gt;0,DATE($C259,4,15)&gt;$T$241)),0,IF(DATE($C259,4,15)&gt;=$X$241,$AA$241*(1+($U$241)/100)^MAX(0,$C259-$AD$241),IF(DATE($C259,4,15)&gt;=$W$241,$Z$241*(1+($U$241)/100)^MAX(0,$C259-$AC$241),IF(DATE($C259,4,15)&gt;=$V$241,$Y$241*(1+($U$241)/100)^MAX(0,$C259-$AB$241),0)))))</f>
      </c>
      <c r="I259" s="43">
        <f>IF($S$241=0,0,IF(OR(DATE($C259,5,15)&lt;$S$241,AND($T$241&gt;0,DATE($C259,5,15)&gt;$T$241)),0,IF(DATE($C259,5,15)&gt;=$X$241,$AA$241*(1+($U$241)/100)^MAX(0,$C259-$AD$241),IF(DATE($C259,5,15)&gt;=$W$241,$Z$241*(1+($U$241)/100)^MAX(0,$C259-$AC$241),IF(DATE($C259,5,15)&gt;=$V$241,$Y$241*(1+($U$241)/100)^MAX(0,$C259-$AB$241),0)))))</f>
      </c>
      <c r="J259" s="43">
        <f>IF($S$241=0,0,IF(OR(DATE($C259,6,15)&lt;$S$241,AND($T$241&gt;0,DATE($C259,6,15)&gt;$T$241)),0,IF(DATE($C259,6,15)&gt;=$X$241,$AA$241*(1+($U$241)/100)^MAX(0,$C259-$AD$241),IF(DATE($C259,6,15)&gt;=$W$241,$Z$241*(1+($U$241)/100)^MAX(0,$C259-$AC$241),IF(DATE($C259,6,15)&gt;=$V$241,$Y$241*(1+($U$241)/100)^MAX(0,$C259-$AB$241),0)))))</f>
      </c>
      <c r="K259" s="43">
        <f>IF($S$241=0,0,IF(OR(DATE($C259,7,15)&lt;$S$241,AND($T$241&gt;0,DATE($C259,7,15)&gt;$T$241)),0,IF(DATE($C259,7,15)&gt;=$X$241,$AA$241*(1+($U$241)/100)^MAX(0,$C259-$AD$241),IF(DATE($C259,7,15)&gt;=$W$241,$Z$241*(1+($U$241)/100)^MAX(0,$C259-$AC$241),IF(DATE($C259,7,15)&gt;=$V$241,$Y$241*(1+($U$241)/100)^MAX(0,$C259-$AB$241),0)))))</f>
      </c>
      <c r="L259" s="43">
        <f>IF($S$241=0,0,IF(OR(DATE($C259,8,15)&lt;$S$241,AND($T$241&gt;0,DATE($C259,8,15)&gt;$T$241)),0,IF(DATE($C259,8,15)&gt;=$X$241,$AA$241*(1+($U$241)/100)^MAX(0,$C259-$AD$241),IF(DATE($C259,8,15)&gt;=$W$241,$Z$241*(1+($U$241)/100)^MAX(0,$C259-$AC$241),IF(DATE($C259,8,15)&gt;=$V$241,$Y$241*(1+($U$241)/100)^MAX(0,$C259-$AB$241),0)))))</f>
      </c>
      <c r="M259" s="43">
        <f>IF($S$241=0,0,IF(OR(DATE($C259,9,15)&lt;$S$241,AND($T$241&gt;0,DATE($C259,9,15)&gt;$T$241)),0,IF(DATE($C259,9,15)&gt;=$X$241,$AA$241*(1+($U$241)/100)^MAX(0,$C259-$AD$241),IF(DATE($C259,9,15)&gt;=$W$241,$Z$241*(1+($U$241)/100)^MAX(0,$C259-$AC$241),IF(DATE($C259,9,15)&gt;=$V$241,$Y$241*(1+($U$241)/100)^MAX(0,$C259-$AB$241),0)))))</f>
      </c>
      <c r="N259" s="43">
        <f>IF($S$241=0,0,IF(OR(DATE($C259,10,15)&lt;$S$241,AND($T$241&gt;0,DATE($C259,10,15)&gt;$T$241)),0,IF(DATE($C259,10,15)&gt;=$X$241,$AA$241*(1+($U$241)/100)^MAX(0,$C259-$AD$241),IF(DATE($C259,10,15)&gt;=$W$241,$Z$241*(1+($U$241)/100)^MAX(0,$C259-$AC$241),IF(DATE($C259,10,15)&gt;=$V$241,$Y$241*(1+($U$241)/100)^MAX(0,$C259-$AB$241),0)))))</f>
      </c>
      <c r="O259" s="43">
        <f>IF($S$241=0,0,IF(OR(DATE($C259,11,15)&lt;$S$241,AND($T$241&gt;0,DATE($C259,11,15)&gt;$T$241)),0,IF(DATE($C259,11,15)&gt;=$X$241,$AA$241*(1+($U$241)/100)^MAX(0,$C259-$AD$241),IF(DATE($C259,11,15)&gt;=$W$241,$Z$241*(1+($U$241)/100)^MAX(0,$C259-$AC$241),IF(DATE($C259,11,15)&gt;=$V$241,$Y$241*(1+($U$241)/100)^MAX(0,$C259-$AB$241),0)))))</f>
      </c>
      <c r="P259" s="43">
        <f>IF($S$241=0,0,IF(OR(DATE($C259,12,15)&lt;$S$241,AND($T$241&gt;0,DATE($C259,12,15)&gt;$T$241)),0,IF(DATE($C259,12,15)&gt;=$X$241,$AA$241*(1+($U$241)/100)^MAX(0,$C259-$AD$241),IF(DATE($C259,12,15)&gt;=$W$241,$Z$241*(1+($U$241)/100)^MAX(0,$C259-$AC$241),IF(DATE($C259,12,15)&gt;=$V$241,$Y$241*(1+($U$241)/100)^MAX(0,$C259-$AB$241),0)))))</f>
      </c>
      <c r="Q259" s="43">
        <f>SUM($E259:$P259)</f>
      </c>
    </row>
    <row r="260">
      <c r="A260"/>
      <c r="B260">
        <v>8</v>
      </c>
      <c r="C260" s="43">
        <f>Jahr+19</f>
      </c>
      <c r="D260" s="43">
        <f>INDEX(MvObj,8)</f>
      </c>
      <c r="E260" s="43">
        <f>IF($S$241=0,0,IF(OR(DATE($C260,1,15)&lt;$S$241,AND($T$241&gt;0,DATE($C260,1,15)&gt;$T$241)),0,IF(DATE($C260,1,15)&gt;=$X$241,$AA$241*(1+($U$241)/100)^MAX(0,$C260-$AD$241),IF(DATE($C260,1,15)&gt;=$W$241,$Z$241*(1+($U$241)/100)^MAX(0,$C260-$AC$241),IF(DATE($C260,1,15)&gt;=$V$241,$Y$241*(1+($U$241)/100)^MAX(0,$C260-$AB$241),0)))))</f>
      </c>
      <c r="F260" s="43">
        <f>IF($S$241=0,0,IF(OR(DATE($C260,2,15)&lt;$S$241,AND($T$241&gt;0,DATE($C260,2,15)&gt;$T$241)),0,IF(DATE($C260,2,15)&gt;=$X$241,$AA$241*(1+($U$241)/100)^MAX(0,$C260-$AD$241),IF(DATE($C260,2,15)&gt;=$W$241,$Z$241*(1+($U$241)/100)^MAX(0,$C260-$AC$241),IF(DATE($C260,2,15)&gt;=$V$241,$Y$241*(1+($U$241)/100)^MAX(0,$C260-$AB$241),0)))))</f>
      </c>
      <c r="G260" s="43">
        <f>IF($S$241=0,0,IF(OR(DATE($C260,3,15)&lt;$S$241,AND($T$241&gt;0,DATE($C260,3,15)&gt;$T$241)),0,IF(DATE($C260,3,15)&gt;=$X$241,$AA$241*(1+($U$241)/100)^MAX(0,$C260-$AD$241),IF(DATE($C260,3,15)&gt;=$W$241,$Z$241*(1+($U$241)/100)^MAX(0,$C260-$AC$241),IF(DATE($C260,3,15)&gt;=$V$241,$Y$241*(1+($U$241)/100)^MAX(0,$C260-$AB$241),0)))))</f>
      </c>
      <c r="H260" s="43">
        <f>IF($S$241=0,0,IF(OR(DATE($C260,4,15)&lt;$S$241,AND($T$241&gt;0,DATE($C260,4,15)&gt;$T$241)),0,IF(DATE($C260,4,15)&gt;=$X$241,$AA$241*(1+($U$241)/100)^MAX(0,$C260-$AD$241),IF(DATE($C260,4,15)&gt;=$W$241,$Z$241*(1+($U$241)/100)^MAX(0,$C260-$AC$241),IF(DATE($C260,4,15)&gt;=$V$241,$Y$241*(1+($U$241)/100)^MAX(0,$C260-$AB$241),0)))))</f>
      </c>
      <c r="I260" s="43">
        <f>IF($S$241=0,0,IF(OR(DATE($C260,5,15)&lt;$S$241,AND($T$241&gt;0,DATE($C260,5,15)&gt;$T$241)),0,IF(DATE($C260,5,15)&gt;=$X$241,$AA$241*(1+($U$241)/100)^MAX(0,$C260-$AD$241),IF(DATE($C260,5,15)&gt;=$W$241,$Z$241*(1+($U$241)/100)^MAX(0,$C260-$AC$241),IF(DATE($C260,5,15)&gt;=$V$241,$Y$241*(1+($U$241)/100)^MAX(0,$C260-$AB$241),0)))))</f>
      </c>
      <c r="J260" s="43">
        <f>IF($S$241=0,0,IF(OR(DATE($C260,6,15)&lt;$S$241,AND($T$241&gt;0,DATE($C260,6,15)&gt;$T$241)),0,IF(DATE($C260,6,15)&gt;=$X$241,$AA$241*(1+($U$241)/100)^MAX(0,$C260-$AD$241),IF(DATE($C260,6,15)&gt;=$W$241,$Z$241*(1+($U$241)/100)^MAX(0,$C260-$AC$241),IF(DATE($C260,6,15)&gt;=$V$241,$Y$241*(1+($U$241)/100)^MAX(0,$C260-$AB$241),0)))))</f>
      </c>
      <c r="K260" s="43">
        <f>IF($S$241=0,0,IF(OR(DATE($C260,7,15)&lt;$S$241,AND($T$241&gt;0,DATE($C260,7,15)&gt;$T$241)),0,IF(DATE($C260,7,15)&gt;=$X$241,$AA$241*(1+($U$241)/100)^MAX(0,$C260-$AD$241),IF(DATE($C260,7,15)&gt;=$W$241,$Z$241*(1+($U$241)/100)^MAX(0,$C260-$AC$241),IF(DATE($C260,7,15)&gt;=$V$241,$Y$241*(1+($U$241)/100)^MAX(0,$C260-$AB$241),0)))))</f>
      </c>
      <c r="L260" s="43">
        <f>IF($S$241=0,0,IF(OR(DATE($C260,8,15)&lt;$S$241,AND($T$241&gt;0,DATE($C260,8,15)&gt;$T$241)),0,IF(DATE($C260,8,15)&gt;=$X$241,$AA$241*(1+($U$241)/100)^MAX(0,$C260-$AD$241),IF(DATE($C260,8,15)&gt;=$W$241,$Z$241*(1+($U$241)/100)^MAX(0,$C260-$AC$241),IF(DATE($C260,8,15)&gt;=$V$241,$Y$241*(1+($U$241)/100)^MAX(0,$C260-$AB$241),0)))))</f>
      </c>
      <c r="M260" s="43">
        <f>IF($S$241=0,0,IF(OR(DATE($C260,9,15)&lt;$S$241,AND($T$241&gt;0,DATE($C260,9,15)&gt;$T$241)),0,IF(DATE($C260,9,15)&gt;=$X$241,$AA$241*(1+($U$241)/100)^MAX(0,$C260-$AD$241),IF(DATE($C260,9,15)&gt;=$W$241,$Z$241*(1+($U$241)/100)^MAX(0,$C260-$AC$241),IF(DATE($C260,9,15)&gt;=$V$241,$Y$241*(1+($U$241)/100)^MAX(0,$C260-$AB$241),0)))))</f>
      </c>
      <c r="N260" s="43">
        <f>IF($S$241=0,0,IF(OR(DATE($C260,10,15)&lt;$S$241,AND($T$241&gt;0,DATE($C260,10,15)&gt;$T$241)),0,IF(DATE($C260,10,15)&gt;=$X$241,$AA$241*(1+($U$241)/100)^MAX(0,$C260-$AD$241),IF(DATE($C260,10,15)&gt;=$W$241,$Z$241*(1+($U$241)/100)^MAX(0,$C260-$AC$241),IF(DATE($C260,10,15)&gt;=$V$241,$Y$241*(1+($U$241)/100)^MAX(0,$C260-$AB$241),0)))))</f>
      </c>
      <c r="O260" s="43">
        <f>IF($S$241=0,0,IF(OR(DATE($C260,11,15)&lt;$S$241,AND($T$241&gt;0,DATE($C260,11,15)&gt;$T$241)),0,IF(DATE($C260,11,15)&gt;=$X$241,$AA$241*(1+($U$241)/100)^MAX(0,$C260-$AD$241),IF(DATE($C260,11,15)&gt;=$W$241,$Z$241*(1+($U$241)/100)^MAX(0,$C260-$AC$241),IF(DATE($C260,11,15)&gt;=$V$241,$Y$241*(1+($U$241)/100)^MAX(0,$C260-$AB$241),0)))))</f>
      </c>
      <c r="P260" s="43">
        <f>IF($S$241=0,0,IF(OR(DATE($C260,12,15)&lt;$S$241,AND($T$241&gt;0,DATE($C260,12,15)&gt;$T$241)),0,IF(DATE($C260,12,15)&gt;=$X$241,$AA$241*(1+($U$241)/100)^MAX(0,$C260-$AD$241),IF(DATE($C260,12,15)&gt;=$W$241,$Z$241*(1+($U$241)/100)^MAX(0,$C260-$AC$241),IF(DATE($C260,12,15)&gt;=$V$241,$Y$241*(1+($U$241)/100)^MAX(0,$C260-$AB$241),0)))))</f>
      </c>
      <c r="Q260" s="43">
        <f>SUM($E260:$P260)</f>
      </c>
    </row>
    <row r="261">
      <c r="A261"/>
      <c r="B261">
        <v>8</v>
      </c>
      <c r="C261" s="43">
        <f>Jahr+20</f>
      </c>
      <c r="D261" s="43">
        <f>INDEX(MvObj,8)</f>
      </c>
      <c r="E261" s="43">
        <f>IF($S$241=0,0,IF(OR(DATE($C261,1,15)&lt;$S$241,AND($T$241&gt;0,DATE($C261,1,15)&gt;$T$241)),0,IF(DATE($C261,1,15)&gt;=$X$241,$AA$241*(1+($U$241)/100)^MAX(0,$C261-$AD$241),IF(DATE($C261,1,15)&gt;=$W$241,$Z$241*(1+($U$241)/100)^MAX(0,$C261-$AC$241),IF(DATE($C261,1,15)&gt;=$V$241,$Y$241*(1+($U$241)/100)^MAX(0,$C261-$AB$241),0)))))</f>
      </c>
      <c r="F261" s="43">
        <f>IF($S$241=0,0,IF(OR(DATE($C261,2,15)&lt;$S$241,AND($T$241&gt;0,DATE($C261,2,15)&gt;$T$241)),0,IF(DATE($C261,2,15)&gt;=$X$241,$AA$241*(1+($U$241)/100)^MAX(0,$C261-$AD$241),IF(DATE($C261,2,15)&gt;=$W$241,$Z$241*(1+($U$241)/100)^MAX(0,$C261-$AC$241),IF(DATE($C261,2,15)&gt;=$V$241,$Y$241*(1+($U$241)/100)^MAX(0,$C261-$AB$241),0)))))</f>
      </c>
      <c r="G261" s="43">
        <f>IF($S$241=0,0,IF(OR(DATE($C261,3,15)&lt;$S$241,AND($T$241&gt;0,DATE($C261,3,15)&gt;$T$241)),0,IF(DATE($C261,3,15)&gt;=$X$241,$AA$241*(1+($U$241)/100)^MAX(0,$C261-$AD$241),IF(DATE($C261,3,15)&gt;=$W$241,$Z$241*(1+($U$241)/100)^MAX(0,$C261-$AC$241),IF(DATE($C261,3,15)&gt;=$V$241,$Y$241*(1+($U$241)/100)^MAX(0,$C261-$AB$241),0)))))</f>
      </c>
      <c r="H261" s="43">
        <f>IF($S$241=0,0,IF(OR(DATE($C261,4,15)&lt;$S$241,AND($T$241&gt;0,DATE($C261,4,15)&gt;$T$241)),0,IF(DATE($C261,4,15)&gt;=$X$241,$AA$241*(1+($U$241)/100)^MAX(0,$C261-$AD$241),IF(DATE($C261,4,15)&gt;=$W$241,$Z$241*(1+($U$241)/100)^MAX(0,$C261-$AC$241),IF(DATE($C261,4,15)&gt;=$V$241,$Y$241*(1+($U$241)/100)^MAX(0,$C261-$AB$241),0)))))</f>
      </c>
      <c r="I261" s="43">
        <f>IF($S$241=0,0,IF(OR(DATE($C261,5,15)&lt;$S$241,AND($T$241&gt;0,DATE($C261,5,15)&gt;$T$241)),0,IF(DATE($C261,5,15)&gt;=$X$241,$AA$241*(1+($U$241)/100)^MAX(0,$C261-$AD$241),IF(DATE($C261,5,15)&gt;=$W$241,$Z$241*(1+($U$241)/100)^MAX(0,$C261-$AC$241),IF(DATE($C261,5,15)&gt;=$V$241,$Y$241*(1+($U$241)/100)^MAX(0,$C261-$AB$241),0)))))</f>
      </c>
      <c r="J261" s="43">
        <f>IF($S$241=0,0,IF(OR(DATE($C261,6,15)&lt;$S$241,AND($T$241&gt;0,DATE($C261,6,15)&gt;$T$241)),0,IF(DATE($C261,6,15)&gt;=$X$241,$AA$241*(1+($U$241)/100)^MAX(0,$C261-$AD$241),IF(DATE($C261,6,15)&gt;=$W$241,$Z$241*(1+($U$241)/100)^MAX(0,$C261-$AC$241),IF(DATE($C261,6,15)&gt;=$V$241,$Y$241*(1+($U$241)/100)^MAX(0,$C261-$AB$241),0)))))</f>
      </c>
      <c r="K261" s="43">
        <f>IF($S$241=0,0,IF(OR(DATE($C261,7,15)&lt;$S$241,AND($T$241&gt;0,DATE($C261,7,15)&gt;$T$241)),0,IF(DATE($C261,7,15)&gt;=$X$241,$AA$241*(1+($U$241)/100)^MAX(0,$C261-$AD$241),IF(DATE($C261,7,15)&gt;=$W$241,$Z$241*(1+($U$241)/100)^MAX(0,$C261-$AC$241),IF(DATE($C261,7,15)&gt;=$V$241,$Y$241*(1+($U$241)/100)^MAX(0,$C261-$AB$241),0)))))</f>
      </c>
      <c r="L261" s="43">
        <f>IF($S$241=0,0,IF(OR(DATE($C261,8,15)&lt;$S$241,AND($T$241&gt;0,DATE($C261,8,15)&gt;$T$241)),0,IF(DATE($C261,8,15)&gt;=$X$241,$AA$241*(1+($U$241)/100)^MAX(0,$C261-$AD$241),IF(DATE($C261,8,15)&gt;=$W$241,$Z$241*(1+($U$241)/100)^MAX(0,$C261-$AC$241),IF(DATE($C261,8,15)&gt;=$V$241,$Y$241*(1+($U$241)/100)^MAX(0,$C261-$AB$241),0)))))</f>
      </c>
      <c r="M261" s="43">
        <f>IF($S$241=0,0,IF(OR(DATE($C261,9,15)&lt;$S$241,AND($T$241&gt;0,DATE($C261,9,15)&gt;$T$241)),0,IF(DATE($C261,9,15)&gt;=$X$241,$AA$241*(1+($U$241)/100)^MAX(0,$C261-$AD$241),IF(DATE($C261,9,15)&gt;=$W$241,$Z$241*(1+($U$241)/100)^MAX(0,$C261-$AC$241),IF(DATE($C261,9,15)&gt;=$V$241,$Y$241*(1+($U$241)/100)^MAX(0,$C261-$AB$241),0)))))</f>
      </c>
      <c r="N261" s="43">
        <f>IF($S$241=0,0,IF(OR(DATE($C261,10,15)&lt;$S$241,AND($T$241&gt;0,DATE($C261,10,15)&gt;$T$241)),0,IF(DATE($C261,10,15)&gt;=$X$241,$AA$241*(1+($U$241)/100)^MAX(0,$C261-$AD$241),IF(DATE($C261,10,15)&gt;=$W$241,$Z$241*(1+($U$241)/100)^MAX(0,$C261-$AC$241),IF(DATE($C261,10,15)&gt;=$V$241,$Y$241*(1+($U$241)/100)^MAX(0,$C261-$AB$241),0)))))</f>
      </c>
      <c r="O261" s="43">
        <f>IF($S$241=0,0,IF(OR(DATE($C261,11,15)&lt;$S$241,AND($T$241&gt;0,DATE($C261,11,15)&gt;$T$241)),0,IF(DATE($C261,11,15)&gt;=$X$241,$AA$241*(1+($U$241)/100)^MAX(0,$C261-$AD$241),IF(DATE($C261,11,15)&gt;=$W$241,$Z$241*(1+($U$241)/100)^MAX(0,$C261-$AC$241),IF(DATE($C261,11,15)&gt;=$V$241,$Y$241*(1+($U$241)/100)^MAX(0,$C261-$AB$241),0)))))</f>
      </c>
      <c r="P261" s="43">
        <f>IF($S$241=0,0,IF(OR(DATE($C261,12,15)&lt;$S$241,AND($T$241&gt;0,DATE($C261,12,15)&gt;$T$241)),0,IF(DATE($C261,12,15)&gt;=$X$241,$AA$241*(1+($U$241)/100)^MAX(0,$C261-$AD$241),IF(DATE($C261,12,15)&gt;=$W$241,$Z$241*(1+($U$241)/100)^MAX(0,$C261-$AC$241),IF(DATE($C261,12,15)&gt;=$V$241,$Y$241*(1+($U$241)/100)^MAX(0,$C261-$AB$241),0)))))</f>
      </c>
      <c r="Q261" s="43">
        <f>SUM($E261:$P261)</f>
      </c>
    </row>
    <row r="262">
      <c r="A262"/>
      <c r="B262">
        <v>8</v>
      </c>
      <c r="C262" s="43">
        <f>Jahr+21</f>
      </c>
      <c r="D262" s="43">
        <f>INDEX(MvObj,8)</f>
      </c>
      <c r="E262" s="43">
        <f>IF($S$241=0,0,IF(OR(DATE($C262,1,15)&lt;$S$241,AND($T$241&gt;0,DATE($C262,1,15)&gt;$T$241)),0,IF(DATE($C262,1,15)&gt;=$X$241,$AA$241*(1+($U$241)/100)^MAX(0,$C262-$AD$241),IF(DATE($C262,1,15)&gt;=$W$241,$Z$241*(1+($U$241)/100)^MAX(0,$C262-$AC$241),IF(DATE($C262,1,15)&gt;=$V$241,$Y$241*(1+($U$241)/100)^MAX(0,$C262-$AB$241),0)))))</f>
      </c>
      <c r="F262" s="43">
        <f>IF($S$241=0,0,IF(OR(DATE($C262,2,15)&lt;$S$241,AND($T$241&gt;0,DATE($C262,2,15)&gt;$T$241)),0,IF(DATE($C262,2,15)&gt;=$X$241,$AA$241*(1+($U$241)/100)^MAX(0,$C262-$AD$241),IF(DATE($C262,2,15)&gt;=$W$241,$Z$241*(1+($U$241)/100)^MAX(0,$C262-$AC$241),IF(DATE($C262,2,15)&gt;=$V$241,$Y$241*(1+($U$241)/100)^MAX(0,$C262-$AB$241),0)))))</f>
      </c>
      <c r="G262" s="43">
        <f>IF($S$241=0,0,IF(OR(DATE($C262,3,15)&lt;$S$241,AND($T$241&gt;0,DATE($C262,3,15)&gt;$T$241)),0,IF(DATE($C262,3,15)&gt;=$X$241,$AA$241*(1+($U$241)/100)^MAX(0,$C262-$AD$241),IF(DATE($C262,3,15)&gt;=$W$241,$Z$241*(1+($U$241)/100)^MAX(0,$C262-$AC$241),IF(DATE($C262,3,15)&gt;=$V$241,$Y$241*(1+($U$241)/100)^MAX(0,$C262-$AB$241),0)))))</f>
      </c>
      <c r="H262" s="43">
        <f>IF($S$241=0,0,IF(OR(DATE($C262,4,15)&lt;$S$241,AND($T$241&gt;0,DATE($C262,4,15)&gt;$T$241)),0,IF(DATE($C262,4,15)&gt;=$X$241,$AA$241*(1+($U$241)/100)^MAX(0,$C262-$AD$241),IF(DATE($C262,4,15)&gt;=$W$241,$Z$241*(1+($U$241)/100)^MAX(0,$C262-$AC$241),IF(DATE($C262,4,15)&gt;=$V$241,$Y$241*(1+($U$241)/100)^MAX(0,$C262-$AB$241),0)))))</f>
      </c>
      <c r="I262" s="43">
        <f>IF($S$241=0,0,IF(OR(DATE($C262,5,15)&lt;$S$241,AND($T$241&gt;0,DATE($C262,5,15)&gt;$T$241)),0,IF(DATE($C262,5,15)&gt;=$X$241,$AA$241*(1+($U$241)/100)^MAX(0,$C262-$AD$241),IF(DATE($C262,5,15)&gt;=$W$241,$Z$241*(1+($U$241)/100)^MAX(0,$C262-$AC$241),IF(DATE($C262,5,15)&gt;=$V$241,$Y$241*(1+($U$241)/100)^MAX(0,$C262-$AB$241),0)))))</f>
      </c>
      <c r="J262" s="43">
        <f>IF($S$241=0,0,IF(OR(DATE($C262,6,15)&lt;$S$241,AND($T$241&gt;0,DATE($C262,6,15)&gt;$T$241)),0,IF(DATE($C262,6,15)&gt;=$X$241,$AA$241*(1+($U$241)/100)^MAX(0,$C262-$AD$241),IF(DATE($C262,6,15)&gt;=$W$241,$Z$241*(1+($U$241)/100)^MAX(0,$C262-$AC$241),IF(DATE($C262,6,15)&gt;=$V$241,$Y$241*(1+($U$241)/100)^MAX(0,$C262-$AB$241),0)))))</f>
      </c>
      <c r="K262" s="43">
        <f>IF($S$241=0,0,IF(OR(DATE($C262,7,15)&lt;$S$241,AND($T$241&gt;0,DATE($C262,7,15)&gt;$T$241)),0,IF(DATE($C262,7,15)&gt;=$X$241,$AA$241*(1+($U$241)/100)^MAX(0,$C262-$AD$241),IF(DATE($C262,7,15)&gt;=$W$241,$Z$241*(1+($U$241)/100)^MAX(0,$C262-$AC$241),IF(DATE($C262,7,15)&gt;=$V$241,$Y$241*(1+($U$241)/100)^MAX(0,$C262-$AB$241),0)))))</f>
      </c>
      <c r="L262" s="43">
        <f>IF($S$241=0,0,IF(OR(DATE($C262,8,15)&lt;$S$241,AND($T$241&gt;0,DATE($C262,8,15)&gt;$T$241)),0,IF(DATE($C262,8,15)&gt;=$X$241,$AA$241*(1+($U$241)/100)^MAX(0,$C262-$AD$241),IF(DATE($C262,8,15)&gt;=$W$241,$Z$241*(1+($U$241)/100)^MAX(0,$C262-$AC$241),IF(DATE($C262,8,15)&gt;=$V$241,$Y$241*(1+($U$241)/100)^MAX(0,$C262-$AB$241),0)))))</f>
      </c>
      <c r="M262" s="43">
        <f>IF($S$241=0,0,IF(OR(DATE($C262,9,15)&lt;$S$241,AND($T$241&gt;0,DATE($C262,9,15)&gt;$T$241)),0,IF(DATE($C262,9,15)&gt;=$X$241,$AA$241*(1+($U$241)/100)^MAX(0,$C262-$AD$241),IF(DATE($C262,9,15)&gt;=$W$241,$Z$241*(1+($U$241)/100)^MAX(0,$C262-$AC$241),IF(DATE($C262,9,15)&gt;=$V$241,$Y$241*(1+($U$241)/100)^MAX(0,$C262-$AB$241),0)))))</f>
      </c>
      <c r="N262" s="43">
        <f>IF($S$241=0,0,IF(OR(DATE($C262,10,15)&lt;$S$241,AND($T$241&gt;0,DATE($C262,10,15)&gt;$T$241)),0,IF(DATE($C262,10,15)&gt;=$X$241,$AA$241*(1+($U$241)/100)^MAX(0,$C262-$AD$241),IF(DATE($C262,10,15)&gt;=$W$241,$Z$241*(1+($U$241)/100)^MAX(0,$C262-$AC$241),IF(DATE($C262,10,15)&gt;=$V$241,$Y$241*(1+($U$241)/100)^MAX(0,$C262-$AB$241),0)))))</f>
      </c>
      <c r="O262" s="43">
        <f>IF($S$241=0,0,IF(OR(DATE($C262,11,15)&lt;$S$241,AND($T$241&gt;0,DATE($C262,11,15)&gt;$T$241)),0,IF(DATE($C262,11,15)&gt;=$X$241,$AA$241*(1+($U$241)/100)^MAX(0,$C262-$AD$241),IF(DATE($C262,11,15)&gt;=$W$241,$Z$241*(1+($U$241)/100)^MAX(0,$C262-$AC$241),IF(DATE($C262,11,15)&gt;=$V$241,$Y$241*(1+($U$241)/100)^MAX(0,$C262-$AB$241),0)))))</f>
      </c>
      <c r="P262" s="43">
        <f>IF($S$241=0,0,IF(OR(DATE($C262,12,15)&lt;$S$241,AND($T$241&gt;0,DATE($C262,12,15)&gt;$T$241)),0,IF(DATE($C262,12,15)&gt;=$X$241,$AA$241*(1+($U$241)/100)^MAX(0,$C262-$AD$241),IF(DATE($C262,12,15)&gt;=$W$241,$Z$241*(1+($U$241)/100)^MAX(0,$C262-$AC$241),IF(DATE($C262,12,15)&gt;=$V$241,$Y$241*(1+($U$241)/100)^MAX(0,$C262-$AB$241),0)))))</f>
      </c>
      <c r="Q262" s="43">
        <f>SUM($E262:$P262)</f>
      </c>
    </row>
    <row r="263">
      <c r="A263"/>
      <c r="B263">
        <v>8</v>
      </c>
      <c r="C263" s="43">
        <f>Jahr+22</f>
      </c>
      <c r="D263" s="43">
        <f>INDEX(MvObj,8)</f>
      </c>
      <c r="E263" s="43">
        <f>IF($S$241=0,0,IF(OR(DATE($C263,1,15)&lt;$S$241,AND($T$241&gt;0,DATE($C263,1,15)&gt;$T$241)),0,IF(DATE($C263,1,15)&gt;=$X$241,$AA$241*(1+($U$241)/100)^MAX(0,$C263-$AD$241),IF(DATE($C263,1,15)&gt;=$W$241,$Z$241*(1+($U$241)/100)^MAX(0,$C263-$AC$241),IF(DATE($C263,1,15)&gt;=$V$241,$Y$241*(1+($U$241)/100)^MAX(0,$C263-$AB$241),0)))))</f>
      </c>
      <c r="F263" s="43">
        <f>IF($S$241=0,0,IF(OR(DATE($C263,2,15)&lt;$S$241,AND($T$241&gt;0,DATE($C263,2,15)&gt;$T$241)),0,IF(DATE($C263,2,15)&gt;=$X$241,$AA$241*(1+($U$241)/100)^MAX(0,$C263-$AD$241),IF(DATE($C263,2,15)&gt;=$W$241,$Z$241*(1+($U$241)/100)^MAX(0,$C263-$AC$241),IF(DATE($C263,2,15)&gt;=$V$241,$Y$241*(1+($U$241)/100)^MAX(0,$C263-$AB$241),0)))))</f>
      </c>
      <c r="G263" s="43">
        <f>IF($S$241=0,0,IF(OR(DATE($C263,3,15)&lt;$S$241,AND($T$241&gt;0,DATE($C263,3,15)&gt;$T$241)),0,IF(DATE($C263,3,15)&gt;=$X$241,$AA$241*(1+($U$241)/100)^MAX(0,$C263-$AD$241),IF(DATE($C263,3,15)&gt;=$W$241,$Z$241*(1+($U$241)/100)^MAX(0,$C263-$AC$241),IF(DATE($C263,3,15)&gt;=$V$241,$Y$241*(1+($U$241)/100)^MAX(0,$C263-$AB$241),0)))))</f>
      </c>
      <c r="H263" s="43">
        <f>IF($S$241=0,0,IF(OR(DATE($C263,4,15)&lt;$S$241,AND($T$241&gt;0,DATE($C263,4,15)&gt;$T$241)),0,IF(DATE($C263,4,15)&gt;=$X$241,$AA$241*(1+($U$241)/100)^MAX(0,$C263-$AD$241),IF(DATE($C263,4,15)&gt;=$W$241,$Z$241*(1+($U$241)/100)^MAX(0,$C263-$AC$241),IF(DATE($C263,4,15)&gt;=$V$241,$Y$241*(1+($U$241)/100)^MAX(0,$C263-$AB$241),0)))))</f>
      </c>
      <c r="I263" s="43">
        <f>IF($S$241=0,0,IF(OR(DATE($C263,5,15)&lt;$S$241,AND($T$241&gt;0,DATE($C263,5,15)&gt;$T$241)),0,IF(DATE($C263,5,15)&gt;=$X$241,$AA$241*(1+($U$241)/100)^MAX(0,$C263-$AD$241),IF(DATE($C263,5,15)&gt;=$W$241,$Z$241*(1+($U$241)/100)^MAX(0,$C263-$AC$241),IF(DATE($C263,5,15)&gt;=$V$241,$Y$241*(1+($U$241)/100)^MAX(0,$C263-$AB$241),0)))))</f>
      </c>
      <c r="J263" s="43">
        <f>IF($S$241=0,0,IF(OR(DATE($C263,6,15)&lt;$S$241,AND($T$241&gt;0,DATE($C263,6,15)&gt;$T$241)),0,IF(DATE($C263,6,15)&gt;=$X$241,$AA$241*(1+($U$241)/100)^MAX(0,$C263-$AD$241),IF(DATE($C263,6,15)&gt;=$W$241,$Z$241*(1+($U$241)/100)^MAX(0,$C263-$AC$241),IF(DATE($C263,6,15)&gt;=$V$241,$Y$241*(1+($U$241)/100)^MAX(0,$C263-$AB$241),0)))))</f>
      </c>
      <c r="K263" s="43">
        <f>IF($S$241=0,0,IF(OR(DATE($C263,7,15)&lt;$S$241,AND($T$241&gt;0,DATE($C263,7,15)&gt;$T$241)),0,IF(DATE($C263,7,15)&gt;=$X$241,$AA$241*(1+($U$241)/100)^MAX(0,$C263-$AD$241),IF(DATE($C263,7,15)&gt;=$W$241,$Z$241*(1+($U$241)/100)^MAX(0,$C263-$AC$241),IF(DATE($C263,7,15)&gt;=$V$241,$Y$241*(1+($U$241)/100)^MAX(0,$C263-$AB$241),0)))))</f>
      </c>
      <c r="L263" s="43">
        <f>IF($S$241=0,0,IF(OR(DATE($C263,8,15)&lt;$S$241,AND($T$241&gt;0,DATE($C263,8,15)&gt;$T$241)),0,IF(DATE($C263,8,15)&gt;=$X$241,$AA$241*(1+($U$241)/100)^MAX(0,$C263-$AD$241),IF(DATE($C263,8,15)&gt;=$W$241,$Z$241*(1+($U$241)/100)^MAX(0,$C263-$AC$241),IF(DATE($C263,8,15)&gt;=$V$241,$Y$241*(1+($U$241)/100)^MAX(0,$C263-$AB$241),0)))))</f>
      </c>
      <c r="M263" s="43">
        <f>IF($S$241=0,0,IF(OR(DATE($C263,9,15)&lt;$S$241,AND($T$241&gt;0,DATE($C263,9,15)&gt;$T$241)),0,IF(DATE($C263,9,15)&gt;=$X$241,$AA$241*(1+($U$241)/100)^MAX(0,$C263-$AD$241),IF(DATE($C263,9,15)&gt;=$W$241,$Z$241*(1+($U$241)/100)^MAX(0,$C263-$AC$241),IF(DATE($C263,9,15)&gt;=$V$241,$Y$241*(1+($U$241)/100)^MAX(0,$C263-$AB$241),0)))))</f>
      </c>
      <c r="N263" s="43">
        <f>IF($S$241=0,0,IF(OR(DATE($C263,10,15)&lt;$S$241,AND($T$241&gt;0,DATE($C263,10,15)&gt;$T$241)),0,IF(DATE($C263,10,15)&gt;=$X$241,$AA$241*(1+($U$241)/100)^MAX(0,$C263-$AD$241),IF(DATE($C263,10,15)&gt;=$W$241,$Z$241*(1+($U$241)/100)^MAX(0,$C263-$AC$241),IF(DATE($C263,10,15)&gt;=$V$241,$Y$241*(1+($U$241)/100)^MAX(0,$C263-$AB$241),0)))))</f>
      </c>
      <c r="O263" s="43">
        <f>IF($S$241=0,0,IF(OR(DATE($C263,11,15)&lt;$S$241,AND($T$241&gt;0,DATE($C263,11,15)&gt;$T$241)),0,IF(DATE($C263,11,15)&gt;=$X$241,$AA$241*(1+($U$241)/100)^MAX(0,$C263-$AD$241),IF(DATE($C263,11,15)&gt;=$W$241,$Z$241*(1+($U$241)/100)^MAX(0,$C263-$AC$241),IF(DATE($C263,11,15)&gt;=$V$241,$Y$241*(1+($U$241)/100)^MAX(0,$C263-$AB$241),0)))))</f>
      </c>
      <c r="P263" s="43">
        <f>IF($S$241=0,0,IF(OR(DATE($C263,12,15)&lt;$S$241,AND($T$241&gt;0,DATE($C263,12,15)&gt;$T$241)),0,IF(DATE($C263,12,15)&gt;=$X$241,$AA$241*(1+($U$241)/100)^MAX(0,$C263-$AD$241),IF(DATE($C263,12,15)&gt;=$W$241,$Z$241*(1+($U$241)/100)^MAX(0,$C263-$AC$241),IF(DATE($C263,12,15)&gt;=$V$241,$Y$241*(1+($U$241)/100)^MAX(0,$C263-$AB$241),0)))))</f>
      </c>
      <c r="Q263" s="43">
        <f>SUM($E263:$P263)</f>
      </c>
    </row>
    <row r="264">
      <c r="A264"/>
      <c r="B264">
        <v>8</v>
      </c>
      <c r="C264" s="43">
        <f>Jahr+23</f>
      </c>
      <c r="D264" s="43">
        <f>INDEX(MvObj,8)</f>
      </c>
      <c r="E264" s="43">
        <f>IF($S$241=0,0,IF(OR(DATE($C264,1,15)&lt;$S$241,AND($T$241&gt;0,DATE($C264,1,15)&gt;$T$241)),0,IF(DATE($C264,1,15)&gt;=$X$241,$AA$241*(1+($U$241)/100)^MAX(0,$C264-$AD$241),IF(DATE($C264,1,15)&gt;=$W$241,$Z$241*(1+($U$241)/100)^MAX(0,$C264-$AC$241),IF(DATE($C264,1,15)&gt;=$V$241,$Y$241*(1+($U$241)/100)^MAX(0,$C264-$AB$241),0)))))</f>
      </c>
      <c r="F264" s="43">
        <f>IF($S$241=0,0,IF(OR(DATE($C264,2,15)&lt;$S$241,AND($T$241&gt;0,DATE($C264,2,15)&gt;$T$241)),0,IF(DATE($C264,2,15)&gt;=$X$241,$AA$241*(1+($U$241)/100)^MAX(0,$C264-$AD$241),IF(DATE($C264,2,15)&gt;=$W$241,$Z$241*(1+($U$241)/100)^MAX(0,$C264-$AC$241),IF(DATE($C264,2,15)&gt;=$V$241,$Y$241*(1+($U$241)/100)^MAX(0,$C264-$AB$241),0)))))</f>
      </c>
      <c r="G264" s="43">
        <f>IF($S$241=0,0,IF(OR(DATE($C264,3,15)&lt;$S$241,AND($T$241&gt;0,DATE($C264,3,15)&gt;$T$241)),0,IF(DATE($C264,3,15)&gt;=$X$241,$AA$241*(1+($U$241)/100)^MAX(0,$C264-$AD$241),IF(DATE($C264,3,15)&gt;=$W$241,$Z$241*(1+($U$241)/100)^MAX(0,$C264-$AC$241),IF(DATE($C264,3,15)&gt;=$V$241,$Y$241*(1+($U$241)/100)^MAX(0,$C264-$AB$241),0)))))</f>
      </c>
      <c r="H264" s="43">
        <f>IF($S$241=0,0,IF(OR(DATE($C264,4,15)&lt;$S$241,AND($T$241&gt;0,DATE($C264,4,15)&gt;$T$241)),0,IF(DATE($C264,4,15)&gt;=$X$241,$AA$241*(1+($U$241)/100)^MAX(0,$C264-$AD$241),IF(DATE($C264,4,15)&gt;=$W$241,$Z$241*(1+($U$241)/100)^MAX(0,$C264-$AC$241),IF(DATE($C264,4,15)&gt;=$V$241,$Y$241*(1+($U$241)/100)^MAX(0,$C264-$AB$241),0)))))</f>
      </c>
      <c r="I264" s="43">
        <f>IF($S$241=0,0,IF(OR(DATE($C264,5,15)&lt;$S$241,AND($T$241&gt;0,DATE($C264,5,15)&gt;$T$241)),0,IF(DATE($C264,5,15)&gt;=$X$241,$AA$241*(1+($U$241)/100)^MAX(0,$C264-$AD$241),IF(DATE($C264,5,15)&gt;=$W$241,$Z$241*(1+($U$241)/100)^MAX(0,$C264-$AC$241),IF(DATE($C264,5,15)&gt;=$V$241,$Y$241*(1+($U$241)/100)^MAX(0,$C264-$AB$241),0)))))</f>
      </c>
      <c r="J264" s="43">
        <f>IF($S$241=0,0,IF(OR(DATE($C264,6,15)&lt;$S$241,AND($T$241&gt;0,DATE($C264,6,15)&gt;$T$241)),0,IF(DATE($C264,6,15)&gt;=$X$241,$AA$241*(1+($U$241)/100)^MAX(0,$C264-$AD$241),IF(DATE($C264,6,15)&gt;=$W$241,$Z$241*(1+($U$241)/100)^MAX(0,$C264-$AC$241),IF(DATE($C264,6,15)&gt;=$V$241,$Y$241*(1+($U$241)/100)^MAX(0,$C264-$AB$241),0)))))</f>
      </c>
      <c r="K264" s="43">
        <f>IF($S$241=0,0,IF(OR(DATE($C264,7,15)&lt;$S$241,AND($T$241&gt;0,DATE($C264,7,15)&gt;$T$241)),0,IF(DATE($C264,7,15)&gt;=$X$241,$AA$241*(1+($U$241)/100)^MAX(0,$C264-$AD$241),IF(DATE($C264,7,15)&gt;=$W$241,$Z$241*(1+($U$241)/100)^MAX(0,$C264-$AC$241),IF(DATE($C264,7,15)&gt;=$V$241,$Y$241*(1+($U$241)/100)^MAX(0,$C264-$AB$241),0)))))</f>
      </c>
      <c r="L264" s="43">
        <f>IF($S$241=0,0,IF(OR(DATE($C264,8,15)&lt;$S$241,AND($T$241&gt;0,DATE($C264,8,15)&gt;$T$241)),0,IF(DATE($C264,8,15)&gt;=$X$241,$AA$241*(1+($U$241)/100)^MAX(0,$C264-$AD$241),IF(DATE($C264,8,15)&gt;=$W$241,$Z$241*(1+($U$241)/100)^MAX(0,$C264-$AC$241),IF(DATE($C264,8,15)&gt;=$V$241,$Y$241*(1+($U$241)/100)^MAX(0,$C264-$AB$241),0)))))</f>
      </c>
      <c r="M264" s="43">
        <f>IF($S$241=0,0,IF(OR(DATE($C264,9,15)&lt;$S$241,AND($T$241&gt;0,DATE($C264,9,15)&gt;$T$241)),0,IF(DATE($C264,9,15)&gt;=$X$241,$AA$241*(1+($U$241)/100)^MAX(0,$C264-$AD$241),IF(DATE($C264,9,15)&gt;=$W$241,$Z$241*(1+($U$241)/100)^MAX(0,$C264-$AC$241),IF(DATE($C264,9,15)&gt;=$V$241,$Y$241*(1+($U$241)/100)^MAX(0,$C264-$AB$241),0)))))</f>
      </c>
      <c r="N264" s="43">
        <f>IF($S$241=0,0,IF(OR(DATE($C264,10,15)&lt;$S$241,AND($T$241&gt;0,DATE($C264,10,15)&gt;$T$241)),0,IF(DATE($C264,10,15)&gt;=$X$241,$AA$241*(1+($U$241)/100)^MAX(0,$C264-$AD$241),IF(DATE($C264,10,15)&gt;=$W$241,$Z$241*(1+($U$241)/100)^MAX(0,$C264-$AC$241),IF(DATE($C264,10,15)&gt;=$V$241,$Y$241*(1+($U$241)/100)^MAX(0,$C264-$AB$241),0)))))</f>
      </c>
      <c r="O264" s="43">
        <f>IF($S$241=0,0,IF(OR(DATE($C264,11,15)&lt;$S$241,AND($T$241&gt;0,DATE($C264,11,15)&gt;$T$241)),0,IF(DATE($C264,11,15)&gt;=$X$241,$AA$241*(1+($U$241)/100)^MAX(0,$C264-$AD$241),IF(DATE($C264,11,15)&gt;=$W$241,$Z$241*(1+($U$241)/100)^MAX(0,$C264-$AC$241),IF(DATE($C264,11,15)&gt;=$V$241,$Y$241*(1+($U$241)/100)^MAX(0,$C264-$AB$241),0)))))</f>
      </c>
      <c r="P264" s="43">
        <f>IF($S$241=0,0,IF(OR(DATE($C264,12,15)&lt;$S$241,AND($T$241&gt;0,DATE($C264,12,15)&gt;$T$241)),0,IF(DATE($C264,12,15)&gt;=$X$241,$AA$241*(1+($U$241)/100)^MAX(0,$C264-$AD$241),IF(DATE($C264,12,15)&gt;=$W$241,$Z$241*(1+($U$241)/100)^MAX(0,$C264-$AC$241),IF(DATE($C264,12,15)&gt;=$V$241,$Y$241*(1+($U$241)/100)^MAX(0,$C264-$AB$241),0)))))</f>
      </c>
      <c r="Q264" s="43">
        <f>SUM($E264:$P264)</f>
      </c>
    </row>
    <row r="265">
      <c r="A265"/>
      <c r="B265">
        <v>8</v>
      </c>
      <c r="C265" s="43">
        <f>Jahr+24</f>
      </c>
      <c r="D265" s="43">
        <f>INDEX(MvObj,8)</f>
      </c>
      <c r="E265" s="43">
        <f>IF($S$241=0,0,IF(OR(DATE($C265,1,15)&lt;$S$241,AND($T$241&gt;0,DATE($C265,1,15)&gt;$T$241)),0,IF(DATE($C265,1,15)&gt;=$X$241,$AA$241*(1+($U$241)/100)^MAX(0,$C265-$AD$241),IF(DATE($C265,1,15)&gt;=$W$241,$Z$241*(1+($U$241)/100)^MAX(0,$C265-$AC$241),IF(DATE($C265,1,15)&gt;=$V$241,$Y$241*(1+($U$241)/100)^MAX(0,$C265-$AB$241),0)))))</f>
      </c>
      <c r="F265" s="43">
        <f>IF($S$241=0,0,IF(OR(DATE($C265,2,15)&lt;$S$241,AND($T$241&gt;0,DATE($C265,2,15)&gt;$T$241)),0,IF(DATE($C265,2,15)&gt;=$X$241,$AA$241*(1+($U$241)/100)^MAX(0,$C265-$AD$241),IF(DATE($C265,2,15)&gt;=$W$241,$Z$241*(1+($U$241)/100)^MAX(0,$C265-$AC$241),IF(DATE($C265,2,15)&gt;=$V$241,$Y$241*(1+($U$241)/100)^MAX(0,$C265-$AB$241),0)))))</f>
      </c>
      <c r="G265" s="43">
        <f>IF($S$241=0,0,IF(OR(DATE($C265,3,15)&lt;$S$241,AND($T$241&gt;0,DATE($C265,3,15)&gt;$T$241)),0,IF(DATE($C265,3,15)&gt;=$X$241,$AA$241*(1+($U$241)/100)^MAX(0,$C265-$AD$241),IF(DATE($C265,3,15)&gt;=$W$241,$Z$241*(1+($U$241)/100)^MAX(0,$C265-$AC$241),IF(DATE($C265,3,15)&gt;=$V$241,$Y$241*(1+($U$241)/100)^MAX(0,$C265-$AB$241),0)))))</f>
      </c>
      <c r="H265" s="43">
        <f>IF($S$241=0,0,IF(OR(DATE($C265,4,15)&lt;$S$241,AND($T$241&gt;0,DATE($C265,4,15)&gt;$T$241)),0,IF(DATE($C265,4,15)&gt;=$X$241,$AA$241*(1+($U$241)/100)^MAX(0,$C265-$AD$241),IF(DATE($C265,4,15)&gt;=$W$241,$Z$241*(1+($U$241)/100)^MAX(0,$C265-$AC$241),IF(DATE($C265,4,15)&gt;=$V$241,$Y$241*(1+($U$241)/100)^MAX(0,$C265-$AB$241),0)))))</f>
      </c>
      <c r="I265" s="43">
        <f>IF($S$241=0,0,IF(OR(DATE($C265,5,15)&lt;$S$241,AND($T$241&gt;0,DATE($C265,5,15)&gt;$T$241)),0,IF(DATE($C265,5,15)&gt;=$X$241,$AA$241*(1+($U$241)/100)^MAX(0,$C265-$AD$241),IF(DATE($C265,5,15)&gt;=$W$241,$Z$241*(1+($U$241)/100)^MAX(0,$C265-$AC$241),IF(DATE($C265,5,15)&gt;=$V$241,$Y$241*(1+($U$241)/100)^MAX(0,$C265-$AB$241),0)))))</f>
      </c>
      <c r="J265" s="43">
        <f>IF($S$241=0,0,IF(OR(DATE($C265,6,15)&lt;$S$241,AND($T$241&gt;0,DATE($C265,6,15)&gt;$T$241)),0,IF(DATE($C265,6,15)&gt;=$X$241,$AA$241*(1+($U$241)/100)^MAX(0,$C265-$AD$241),IF(DATE($C265,6,15)&gt;=$W$241,$Z$241*(1+($U$241)/100)^MAX(0,$C265-$AC$241),IF(DATE($C265,6,15)&gt;=$V$241,$Y$241*(1+($U$241)/100)^MAX(0,$C265-$AB$241),0)))))</f>
      </c>
      <c r="K265" s="43">
        <f>IF($S$241=0,0,IF(OR(DATE($C265,7,15)&lt;$S$241,AND($T$241&gt;0,DATE($C265,7,15)&gt;$T$241)),0,IF(DATE($C265,7,15)&gt;=$X$241,$AA$241*(1+($U$241)/100)^MAX(0,$C265-$AD$241),IF(DATE($C265,7,15)&gt;=$W$241,$Z$241*(1+($U$241)/100)^MAX(0,$C265-$AC$241),IF(DATE($C265,7,15)&gt;=$V$241,$Y$241*(1+($U$241)/100)^MAX(0,$C265-$AB$241),0)))))</f>
      </c>
      <c r="L265" s="43">
        <f>IF($S$241=0,0,IF(OR(DATE($C265,8,15)&lt;$S$241,AND($T$241&gt;0,DATE($C265,8,15)&gt;$T$241)),0,IF(DATE($C265,8,15)&gt;=$X$241,$AA$241*(1+($U$241)/100)^MAX(0,$C265-$AD$241),IF(DATE($C265,8,15)&gt;=$W$241,$Z$241*(1+($U$241)/100)^MAX(0,$C265-$AC$241),IF(DATE($C265,8,15)&gt;=$V$241,$Y$241*(1+($U$241)/100)^MAX(0,$C265-$AB$241),0)))))</f>
      </c>
      <c r="M265" s="43">
        <f>IF($S$241=0,0,IF(OR(DATE($C265,9,15)&lt;$S$241,AND($T$241&gt;0,DATE($C265,9,15)&gt;$T$241)),0,IF(DATE($C265,9,15)&gt;=$X$241,$AA$241*(1+($U$241)/100)^MAX(0,$C265-$AD$241),IF(DATE($C265,9,15)&gt;=$W$241,$Z$241*(1+($U$241)/100)^MAX(0,$C265-$AC$241),IF(DATE($C265,9,15)&gt;=$V$241,$Y$241*(1+($U$241)/100)^MAX(0,$C265-$AB$241),0)))))</f>
      </c>
      <c r="N265" s="43">
        <f>IF($S$241=0,0,IF(OR(DATE($C265,10,15)&lt;$S$241,AND($T$241&gt;0,DATE($C265,10,15)&gt;$T$241)),0,IF(DATE($C265,10,15)&gt;=$X$241,$AA$241*(1+($U$241)/100)^MAX(0,$C265-$AD$241),IF(DATE($C265,10,15)&gt;=$W$241,$Z$241*(1+($U$241)/100)^MAX(0,$C265-$AC$241),IF(DATE($C265,10,15)&gt;=$V$241,$Y$241*(1+($U$241)/100)^MAX(0,$C265-$AB$241),0)))))</f>
      </c>
      <c r="O265" s="43">
        <f>IF($S$241=0,0,IF(OR(DATE($C265,11,15)&lt;$S$241,AND($T$241&gt;0,DATE($C265,11,15)&gt;$T$241)),0,IF(DATE($C265,11,15)&gt;=$X$241,$AA$241*(1+($U$241)/100)^MAX(0,$C265-$AD$241),IF(DATE($C265,11,15)&gt;=$W$241,$Z$241*(1+($U$241)/100)^MAX(0,$C265-$AC$241),IF(DATE($C265,11,15)&gt;=$V$241,$Y$241*(1+($U$241)/100)^MAX(0,$C265-$AB$241),0)))))</f>
      </c>
      <c r="P265" s="43">
        <f>IF($S$241=0,0,IF(OR(DATE($C265,12,15)&lt;$S$241,AND($T$241&gt;0,DATE($C265,12,15)&gt;$T$241)),0,IF(DATE($C265,12,15)&gt;=$X$241,$AA$241*(1+($U$241)/100)^MAX(0,$C265-$AD$241),IF(DATE($C265,12,15)&gt;=$W$241,$Z$241*(1+($U$241)/100)^MAX(0,$C265-$AC$241),IF(DATE($C265,12,15)&gt;=$V$241,$Y$241*(1+($U$241)/100)^MAX(0,$C265-$AB$241),0)))))</f>
      </c>
      <c r="Q265" s="43">
        <f>SUM($E265:$P265)</f>
      </c>
    </row>
    <row r="266">
      <c r="A266"/>
      <c r="B266">
        <v>8</v>
      </c>
      <c r="C266" s="43">
        <f>Jahr+25</f>
      </c>
      <c r="D266" s="43">
        <f>INDEX(MvObj,8)</f>
      </c>
      <c r="E266" s="43">
        <f>IF($S$241=0,0,IF(OR(DATE($C266,1,15)&lt;$S$241,AND($T$241&gt;0,DATE($C266,1,15)&gt;$T$241)),0,IF(DATE($C266,1,15)&gt;=$X$241,$AA$241*(1+($U$241)/100)^MAX(0,$C266-$AD$241),IF(DATE($C266,1,15)&gt;=$W$241,$Z$241*(1+($U$241)/100)^MAX(0,$C266-$AC$241),IF(DATE($C266,1,15)&gt;=$V$241,$Y$241*(1+($U$241)/100)^MAX(0,$C266-$AB$241),0)))))</f>
      </c>
      <c r="F266" s="43">
        <f>IF($S$241=0,0,IF(OR(DATE($C266,2,15)&lt;$S$241,AND($T$241&gt;0,DATE($C266,2,15)&gt;$T$241)),0,IF(DATE($C266,2,15)&gt;=$X$241,$AA$241*(1+($U$241)/100)^MAX(0,$C266-$AD$241),IF(DATE($C266,2,15)&gt;=$W$241,$Z$241*(1+($U$241)/100)^MAX(0,$C266-$AC$241),IF(DATE($C266,2,15)&gt;=$V$241,$Y$241*(1+($U$241)/100)^MAX(0,$C266-$AB$241),0)))))</f>
      </c>
      <c r="G266" s="43">
        <f>IF($S$241=0,0,IF(OR(DATE($C266,3,15)&lt;$S$241,AND($T$241&gt;0,DATE($C266,3,15)&gt;$T$241)),0,IF(DATE($C266,3,15)&gt;=$X$241,$AA$241*(1+($U$241)/100)^MAX(0,$C266-$AD$241),IF(DATE($C266,3,15)&gt;=$W$241,$Z$241*(1+($U$241)/100)^MAX(0,$C266-$AC$241),IF(DATE($C266,3,15)&gt;=$V$241,$Y$241*(1+($U$241)/100)^MAX(0,$C266-$AB$241),0)))))</f>
      </c>
      <c r="H266" s="43">
        <f>IF($S$241=0,0,IF(OR(DATE($C266,4,15)&lt;$S$241,AND($T$241&gt;0,DATE($C266,4,15)&gt;$T$241)),0,IF(DATE($C266,4,15)&gt;=$X$241,$AA$241*(1+($U$241)/100)^MAX(0,$C266-$AD$241),IF(DATE($C266,4,15)&gt;=$W$241,$Z$241*(1+($U$241)/100)^MAX(0,$C266-$AC$241),IF(DATE($C266,4,15)&gt;=$V$241,$Y$241*(1+($U$241)/100)^MAX(0,$C266-$AB$241),0)))))</f>
      </c>
      <c r="I266" s="43">
        <f>IF($S$241=0,0,IF(OR(DATE($C266,5,15)&lt;$S$241,AND($T$241&gt;0,DATE($C266,5,15)&gt;$T$241)),0,IF(DATE($C266,5,15)&gt;=$X$241,$AA$241*(1+($U$241)/100)^MAX(0,$C266-$AD$241),IF(DATE($C266,5,15)&gt;=$W$241,$Z$241*(1+($U$241)/100)^MAX(0,$C266-$AC$241),IF(DATE($C266,5,15)&gt;=$V$241,$Y$241*(1+($U$241)/100)^MAX(0,$C266-$AB$241),0)))))</f>
      </c>
      <c r="J266" s="43">
        <f>IF($S$241=0,0,IF(OR(DATE($C266,6,15)&lt;$S$241,AND($T$241&gt;0,DATE($C266,6,15)&gt;$T$241)),0,IF(DATE($C266,6,15)&gt;=$X$241,$AA$241*(1+($U$241)/100)^MAX(0,$C266-$AD$241),IF(DATE($C266,6,15)&gt;=$W$241,$Z$241*(1+($U$241)/100)^MAX(0,$C266-$AC$241),IF(DATE($C266,6,15)&gt;=$V$241,$Y$241*(1+($U$241)/100)^MAX(0,$C266-$AB$241),0)))))</f>
      </c>
      <c r="K266" s="43">
        <f>IF($S$241=0,0,IF(OR(DATE($C266,7,15)&lt;$S$241,AND($T$241&gt;0,DATE($C266,7,15)&gt;$T$241)),0,IF(DATE($C266,7,15)&gt;=$X$241,$AA$241*(1+($U$241)/100)^MAX(0,$C266-$AD$241),IF(DATE($C266,7,15)&gt;=$W$241,$Z$241*(1+($U$241)/100)^MAX(0,$C266-$AC$241),IF(DATE($C266,7,15)&gt;=$V$241,$Y$241*(1+($U$241)/100)^MAX(0,$C266-$AB$241),0)))))</f>
      </c>
      <c r="L266" s="43">
        <f>IF($S$241=0,0,IF(OR(DATE($C266,8,15)&lt;$S$241,AND($T$241&gt;0,DATE($C266,8,15)&gt;$T$241)),0,IF(DATE($C266,8,15)&gt;=$X$241,$AA$241*(1+($U$241)/100)^MAX(0,$C266-$AD$241),IF(DATE($C266,8,15)&gt;=$W$241,$Z$241*(1+($U$241)/100)^MAX(0,$C266-$AC$241),IF(DATE($C266,8,15)&gt;=$V$241,$Y$241*(1+($U$241)/100)^MAX(0,$C266-$AB$241),0)))))</f>
      </c>
      <c r="M266" s="43">
        <f>IF($S$241=0,0,IF(OR(DATE($C266,9,15)&lt;$S$241,AND($T$241&gt;0,DATE($C266,9,15)&gt;$T$241)),0,IF(DATE($C266,9,15)&gt;=$X$241,$AA$241*(1+($U$241)/100)^MAX(0,$C266-$AD$241),IF(DATE($C266,9,15)&gt;=$W$241,$Z$241*(1+($U$241)/100)^MAX(0,$C266-$AC$241),IF(DATE($C266,9,15)&gt;=$V$241,$Y$241*(1+($U$241)/100)^MAX(0,$C266-$AB$241),0)))))</f>
      </c>
      <c r="N266" s="43">
        <f>IF($S$241=0,0,IF(OR(DATE($C266,10,15)&lt;$S$241,AND($T$241&gt;0,DATE($C266,10,15)&gt;$T$241)),0,IF(DATE($C266,10,15)&gt;=$X$241,$AA$241*(1+($U$241)/100)^MAX(0,$C266-$AD$241),IF(DATE($C266,10,15)&gt;=$W$241,$Z$241*(1+($U$241)/100)^MAX(0,$C266-$AC$241),IF(DATE($C266,10,15)&gt;=$V$241,$Y$241*(1+($U$241)/100)^MAX(0,$C266-$AB$241),0)))))</f>
      </c>
      <c r="O266" s="43">
        <f>IF($S$241=0,0,IF(OR(DATE($C266,11,15)&lt;$S$241,AND($T$241&gt;0,DATE($C266,11,15)&gt;$T$241)),0,IF(DATE($C266,11,15)&gt;=$X$241,$AA$241*(1+($U$241)/100)^MAX(0,$C266-$AD$241),IF(DATE($C266,11,15)&gt;=$W$241,$Z$241*(1+($U$241)/100)^MAX(0,$C266-$AC$241),IF(DATE($C266,11,15)&gt;=$V$241,$Y$241*(1+($U$241)/100)^MAX(0,$C266-$AB$241),0)))))</f>
      </c>
      <c r="P266" s="43">
        <f>IF($S$241=0,0,IF(OR(DATE($C266,12,15)&lt;$S$241,AND($T$241&gt;0,DATE($C266,12,15)&gt;$T$241)),0,IF(DATE($C266,12,15)&gt;=$X$241,$AA$241*(1+($U$241)/100)^MAX(0,$C266-$AD$241),IF(DATE($C266,12,15)&gt;=$W$241,$Z$241*(1+($U$241)/100)^MAX(0,$C266-$AC$241),IF(DATE($C266,12,15)&gt;=$V$241,$Y$241*(1+($U$241)/100)^MAX(0,$C266-$AB$241),0)))))</f>
      </c>
      <c r="Q266" s="43">
        <f>SUM($E266:$P266)</f>
      </c>
    </row>
    <row r="267">
      <c r="A267"/>
      <c r="B267">
        <v>8</v>
      </c>
      <c r="C267" s="43">
        <f>Jahr+26</f>
      </c>
      <c r="D267" s="43">
        <f>INDEX(MvObj,8)</f>
      </c>
      <c r="E267" s="43">
        <f>IF($S$241=0,0,IF(OR(DATE($C267,1,15)&lt;$S$241,AND($T$241&gt;0,DATE($C267,1,15)&gt;$T$241)),0,IF(DATE($C267,1,15)&gt;=$X$241,$AA$241*(1+($U$241)/100)^MAX(0,$C267-$AD$241),IF(DATE($C267,1,15)&gt;=$W$241,$Z$241*(1+($U$241)/100)^MAX(0,$C267-$AC$241),IF(DATE($C267,1,15)&gt;=$V$241,$Y$241*(1+($U$241)/100)^MAX(0,$C267-$AB$241),0)))))</f>
      </c>
      <c r="F267" s="43">
        <f>IF($S$241=0,0,IF(OR(DATE($C267,2,15)&lt;$S$241,AND($T$241&gt;0,DATE($C267,2,15)&gt;$T$241)),0,IF(DATE($C267,2,15)&gt;=$X$241,$AA$241*(1+($U$241)/100)^MAX(0,$C267-$AD$241),IF(DATE($C267,2,15)&gt;=$W$241,$Z$241*(1+($U$241)/100)^MAX(0,$C267-$AC$241),IF(DATE($C267,2,15)&gt;=$V$241,$Y$241*(1+($U$241)/100)^MAX(0,$C267-$AB$241),0)))))</f>
      </c>
      <c r="G267" s="43">
        <f>IF($S$241=0,0,IF(OR(DATE($C267,3,15)&lt;$S$241,AND($T$241&gt;0,DATE($C267,3,15)&gt;$T$241)),0,IF(DATE($C267,3,15)&gt;=$X$241,$AA$241*(1+($U$241)/100)^MAX(0,$C267-$AD$241),IF(DATE($C267,3,15)&gt;=$W$241,$Z$241*(1+($U$241)/100)^MAX(0,$C267-$AC$241),IF(DATE($C267,3,15)&gt;=$V$241,$Y$241*(1+($U$241)/100)^MAX(0,$C267-$AB$241),0)))))</f>
      </c>
      <c r="H267" s="43">
        <f>IF($S$241=0,0,IF(OR(DATE($C267,4,15)&lt;$S$241,AND($T$241&gt;0,DATE($C267,4,15)&gt;$T$241)),0,IF(DATE($C267,4,15)&gt;=$X$241,$AA$241*(1+($U$241)/100)^MAX(0,$C267-$AD$241),IF(DATE($C267,4,15)&gt;=$W$241,$Z$241*(1+($U$241)/100)^MAX(0,$C267-$AC$241),IF(DATE($C267,4,15)&gt;=$V$241,$Y$241*(1+($U$241)/100)^MAX(0,$C267-$AB$241),0)))))</f>
      </c>
      <c r="I267" s="43">
        <f>IF($S$241=0,0,IF(OR(DATE($C267,5,15)&lt;$S$241,AND($T$241&gt;0,DATE($C267,5,15)&gt;$T$241)),0,IF(DATE($C267,5,15)&gt;=$X$241,$AA$241*(1+($U$241)/100)^MAX(0,$C267-$AD$241),IF(DATE($C267,5,15)&gt;=$W$241,$Z$241*(1+($U$241)/100)^MAX(0,$C267-$AC$241),IF(DATE($C267,5,15)&gt;=$V$241,$Y$241*(1+($U$241)/100)^MAX(0,$C267-$AB$241),0)))))</f>
      </c>
      <c r="J267" s="43">
        <f>IF($S$241=0,0,IF(OR(DATE($C267,6,15)&lt;$S$241,AND($T$241&gt;0,DATE($C267,6,15)&gt;$T$241)),0,IF(DATE($C267,6,15)&gt;=$X$241,$AA$241*(1+($U$241)/100)^MAX(0,$C267-$AD$241),IF(DATE($C267,6,15)&gt;=$W$241,$Z$241*(1+($U$241)/100)^MAX(0,$C267-$AC$241),IF(DATE($C267,6,15)&gt;=$V$241,$Y$241*(1+($U$241)/100)^MAX(0,$C267-$AB$241),0)))))</f>
      </c>
      <c r="K267" s="43">
        <f>IF($S$241=0,0,IF(OR(DATE($C267,7,15)&lt;$S$241,AND($T$241&gt;0,DATE($C267,7,15)&gt;$T$241)),0,IF(DATE($C267,7,15)&gt;=$X$241,$AA$241*(1+($U$241)/100)^MAX(0,$C267-$AD$241),IF(DATE($C267,7,15)&gt;=$W$241,$Z$241*(1+($U$241)/100)^MAX(0,$C267-$AC$241),IF(DATE($C267,7,15)&gt;=$V$241,$Y$241*(1+($U$241)/100)^MAX(0,$C267-$AB$241),0)))))</f>
      </c>
      <c r="L267" s="43">
        <f>IF($S$241=0,0,IF(OR(DATE($C267,8,15)&lt;$S$241,AND($T$241&gt;0,DATE($C267,8,15)&gt;$T$241)),0,IF(DATE($C267,8,15)&gt;=$X$241,$AA$241*(1+($U$241)/100)^MAX(0,$C267-$AD$241),IF(DATE($C267,8,15)&gt;=$W$241,$Z$241*(1+($U$241)/100)^MAX(0,$C267-$AC$241),IF(DATE($C267,8,15)&gt;=$V$241,$Y$241*(1+($U$241)/100)^MAX(0,$C267-$AB$241),0)))))</f>
      </c>
      <c r="M267" s="43">
        <f>IF($S$241=0,0,IF(OR(DATE($C267,9,15)&lt;$S$241,AND($T$241&gt;0,DATE($C267,9,15)&gt;$T$241)),0,IF(DATE($C267,9,15)&gt;=$X$241,$AA$241*(1+($U$241)/100)^MAX(0,$C267-$AD$241),IF(DATE($C267,9,15)&gt;=$W$241,$Z$241*(1+($U$241)/100)^MAX(0,$C267-$AC$241),IF(DATE($C267,9,15)&gt;=$V$241,$Y$241*(1+($U$241)/100)^MAX(0,$C267-$AB$241),0)))))</f>
      </c>
      <c r="N267" s="43">
        <f>IF($S$241=0,0,IF(OR(DATE($C267,10,15)&lt;$S$241,AND($T$241&gt;0,DATE($C267,10,15)&gt;$T$241)),0,IF(DATE($C267,10,15)&gt;=$X$241,$AA$241*(1+($U$241)/100)^MAX(0,$C267-$AD$241),IF(DATE($C267,10,15)&gt;=$W$241,$Z$241*(1+($U$241)/100)^MAX(0,$C267-$AC$241),IF(DATE($C267,10,15)&gt;=$V$241,$Y$241*(1+($U$241)/100)^MAX(0,$C267-$AB$241),0)))))</f>
      </c>
      <c r="O267" s="43">
        <f>IF($S$241=0,0,IF(OR(DATE($C267,11,15)&lt;$S$241,AND($T$241&gt;0,DATE($C267,11,15)&gt;$T$241)),0,IF(DATE($C267,11,15)&gt;=$X$241,$AA$241*(1+($U$241)/100)^MAX(0,$C267-$AD$241),IF(DATE($C267,11,15)&gt;=$W$241,$Z$241*(1+($U$241)/100)^MAX(0,$C267-$AC$241),IF(DATE($C267,11,15)&gt;=$V$241,$Y$241*(1+($U$241)/100)^MAX(0,$C267-$AB$241),0)))))</f>
      </c>
      <c r="P267" s="43">
        <f>IF($S$241=0,0,IF(OR(DATE($C267,12,15)&lt;$S$241,AND($T$241&gt;0,DATE($C267,12,15)&gt;$T$241)),0,IF(DATE($C267,12,15)&gt;=$X$241,$AA$241*(1+($U$241)/100)^MAX(0,$C267-$AD$241),IF(DATE($C267,12,15)&gt;=$W$241,$Z$241*(1+($U$241)/100)^MAX(0,$C267-$AC$241),IF(DATE($C267,12,15)&gt;=$V$241,$Y$241*(1+($U$241)/100)^MAX(0,$C267-$AB$241),0)))))</f>
      </c>
      <c r="Q267" s="43">
        <f>SUM($E267:$P267)</f>
      </c>
    </row>
    <row r="268">
      <c r="A268"/>
      <c r="B268">
        <v>8</v>
      </c>
      <c r="C268" s="43">
        <f>Jahr+27</f>
      </c>
      <c r="D268" s="43">
        <f>INDEX(MvObj,8)</f>
      </c>
      <c r="E268" s="43">
        <f>IF($S$241=0,0,IF(OR(DATE($C268,1,15)&lt;$S$241,AND($T$241&gt;0,DATE($C268,1,15)&gt;$T$241)),0,IF(DATE($C268,1,15)&gt;=$X$241,$AA$241*(1+($U$241)/100)^MAX(0,$C268-$AD$241),IF(DATE($C268,1,15)&gt;=$W$241,$Z$241*(1+($U$241)/100)^MAX(0,$C268-$AC$241),IF(DATE($C268,1,15)&gt;=$V$241,$Y$241*(1+($U$241)/100)^MAX(0,$C268-$AB$241),0)))))</f>
      </c>
      <c r="F268" s="43">
        <f>IF($S$241=0,0,IF(OR(DATE($C268,2,15)&lt;$S$241,AND($T$241&gt;0,DATE($C268,2,15)&gt;$T$241)),0,IF(DATE($C268,2,15)&gt;=$X$241,$AA$241*(1+($U$241)/100)^MAX(0,$C268-$AD$241),IF(DATE($C268,2,15)&gt;=$W$241,$Z$241*(1+($U$241)/100)^MAX(0,$C268-$AC$241),IF(DATE($C268,2,15)&gt;=$V$241,$Y$241*(1+($U$241)/100)^MAX(0,$C268-$AB$241),0)))))</f>
      </c>
      <c r="G268" s="43">
        <f>IF($S$241=0,0,IF(OR(DATE($C268,3,15)&lt;$S$241,AND($T$241&gt;0,DATE($C268,3,15)&gt;$T$241)),0,IF(DATE($C268,3,15)&gt;=$X$241,$AA$241*(1+($U$241)/100)^MAX(0,$C268-$AD$241),IF(DATE($C268,3,15)&gt;=$W$241,$Z$241*(1+($U$241)/100)^MAX(0,$C268-$AC$241),IF(DATE($C268,3,15)&gt;=$V$241,$Y$241*(1+($U$241)/100)^MAX(0,$C268-$AB$241),0)))))</f>
      </c>
      <c r="H268" s="43">
        <f>IF($S$241=0,0,IF(OR(DATE($C268,4,15)&lt;$S$241,AND($T$241&gt;0,DATE($C268,4,15)&gt;$T$241)),0,IF(DATE($C268,4,15)&gt;=$X$241,$AA$241*(1+($U$241)/100)^MAX(0,$C268-$AD$241),IF(DATE($C268,4,15)&gt;=$W$241,$Z$241*(1+($U$241)/100)^MAX(0,$C268-$AC$241),IF(DATE($C268,4,15)&gt;=$V$241,$Y$241*(1+($U$241)/100)^MAX(0,$C268-$AB$241),0)))))</f>
      </c>
      <c r="I268" s="43">
        <f>IF($S$241=0,0,IF(OR(DATE($C268,5,15)&lt;$S$241,AND($T$241&gt;0,DATE($C268,5,15)&gt;$T$241)),0,IF(DATE($C268,5,15)&gt;=$X$241,$AA$241*(1+($U$241)/100)^MAX(0,$C268-$AD$241),IF(DATE($C268,5,15)&gt;=$W$241,$Z$241*(1+($U$241)/100)^MAX(0,$C268-$AC$241),IF(DATE($C268,5,15)&gt;=$V$241,$Y$241*(1+($U$241)/100)^MAX(0,$C268-$AB$241),0)))))</f>
      </c>
      <c r="J268" s="43">
        <f>IF($S$241=0,0,IF(OR(DATE($C268,6,15)&lt;$S$241,AND($T$241&gt;0,DATE($C268,6,15)&gt;$T$241)),0,IF(DATE($C268,6,15)&gt;=$X$241,$AA$241*(1+($U$241)/100)^MAX(0,$C268-$AD$241),IF(DATE($C268,6,15)&gt;=$W$241,$Z$241*(1+($U$241)/100)^MAX(0,$C268-$AC$241),IF(DATE($C268,6,15)&gt;=$V$241,$Y$241*(1+($U$241)/100)^MAX(0,$C268-$AB$241),0)))))</f>
      </c>
      <c r="K268" s="43">
        <f>IF($S$241=0,0,IF(OR(DATE($C268,7,15)&lt;$S$241,AND($T$241&gt;0,DATE($C268,7,15)&gt;$T$241)),0,IF(DATE($C268,7,15)&gt;=$X$241,$AA$241*(1+($U$241)/100)^MAX(0,$C268-$AD$241),IF(DATE($C268,7,15)&gt;=$W$241,$Z$241*(1+($U$241)/100)^MAX(0,$C268-$AC$241),IF(DATE($C268,7,15)&gt;=$V$241,$Y$241*(1+($U$241)/100)^MAX(0,$C268-$AB$241),0)))))</f>
      </c>
      <c r="L268" s="43">
        <f>IF($S$241=0,0,IF(OR(DATE($C268,8,15)&lt;$S$241,AND($T$241&gt;0,DATE($C268,8,15)&gt;$T$241)),0,IF(DATE($C268,8,15)&gt;=$X$241,$AA$241*(1+($U$241)/100)^MAX(0,$C268-$AD$241),IF(DATE($C268,8,15)&gt;=$W$241,$Z$241*(1+($U$241)/100)^MAX(0,$C268-$AC$241),IF(DATE($C268,8,15)&gt;=$V$241,$Y$241*(1+($U$241)/100)^MAX(0,$C268-$AB$241),0)))))</f>
      </c>
      <c r="M268" s="43">
        <f>IF($S$241=0,0,IF(OR(DATE($C268,9,15)&lt;$S$241,AND($T$241&gt;0,DATE($C268,9,15)&gt;$T$241)),0,IF(DATE($C268,9,15)&gt;=$X$241,$AA$241*(1+($U$241)/100)^MAX(0,$C268-$AD$241),IF(DATE($C268,9,15)&gt;=$W$241,$Z$241*(1+($U$241)/100)^MAX(0,$C268-$AC$241),IF(DATE($C268,9,15)&gt;=$V$241,$Y$241*(1+($U$241)/100)^MAX(0,$C268-$AB$241),0)))))</f>
      </c>
      <c r="N268" s="43">
        <f>IF($S$241=0,0,IF(OR(DATE($C268,10,15)&lt;$S$241,AND($T$241&gt;0,DATE($C268,10,15)&gt;$T$241)),0,IF(DATE($C268,10,15)&gt;=$X$241,$AA$241*(1+($U$241)/100)^MAX(0,$C268-$AD$241),IF(DATE($C268,10,15)&gt;=$W$241,$Z$241*(1+($U$241)/100)^MAX(0,$C268-$AC$241),IF(DATE($C268,10,15)&gt;=$V$241,$Y$241*(1+($U$241)/100)^MAX(0,$C268-$AB$241),0)))))</f>
      </c>
      <c r="O268" s="43">
        <f>IF($S$241=0,0,IF(OR(DATE($C268,11,15)&lt;$S$241,AND($T$241&gt;0,DATE($C268,11,15)&gt;$T$241)),0,IF(DATE($C268,11,15)&gt;=$X$241,$AA$241*(1+($U$241)/100)^MAX(0,$C268-$AD$241),IF(DATE($C268,11,15)&gt;=$W$241,$Z$241*(1+($U$241)/100)^MAX(0,$C268-$AC$241),IF(DATE($C268,11,15)&gt;=$V$241,$Y$241*(1+($U$241)/100)^MAX(0,$C268-$AB$241),0)))))</f>
      </c>
      <c r="P268" s="43">
        <f>IF($S$241=0,0,IF(OR(DATE($C268,12,15)&lt;$S$241,AND($T$241&gt;0,DATE($C268,12,15)&gt;$T$241)),0,IF(DATE($C268,12,15)&gt;=$X$241,$AA$241*(1+($U$241)/100)^MAX(0,$C268-$AD$241),IF(DATE($C268,12,15)&gt;=$W$241,$Z$241*(1+($U$241)/100)^MAX(0,$C268-$AC$241),IF(DATE($C268,12,15)&gt;=$V$241,$Y$241*(1+($U$241)/100)^MAX(0,$C268-$AB$241),0)))))</f>
      </c>
      <c r="Q268" s="43">
        <f>SUM($E268:$P268)</f>
      </c>
    </row>
    <row r="269">
      <c r="A269"/>
      <c r="B269">
        <v>8</v>
      </c>
      <c r="C269" s="43">
        <f>Jahr+28</f>
      </c>
      <c r="D269" s="43">
        <f>INDEX(MvObj,8)</f>
      </c>
      <c r="E269" s="43">
        <f>IF($S$241=0,0,IF(OR(DATE($C269,1,15)&lt;$S$241,AND($T$241&gt;0,DATE($C269,1,15)&gt;$T$241)),0,IF(DATE($C269,1,15)&gt;=$X$241,$AA$241*(1+($U$241)/100)^MAX(0,$C269-$AD$241),IF(DATE($C269,1,15)&gt;=$W$241,$Z$241*(1+($U$241)/100)^MAX(0,$C269-$AC$241),IF(DATE($C269,1,15)&gt;=$V$241,$Y$241*(1+($U$241)/100)^MAX(0,$C269-$AB$241),0)))))</f>
      </c>
      <c r="F269" s="43">
        <f>IF($S$241=0,0,IF(OR(DATE($C269,2,15)&lt;$S$241,AND($T$241&gt;0,DATE($C269,2,15)&gt;$T$241)),0,IF(DATE($C269,2,15)&gt;=$X$241,$AA$241*(1+($U$241)/100)^MAX(0,$C269-$AD$241),IF(DATE($C269,2,15)&gt;=$W$241,$Z$241*(1+($U$241)/100)^MAX(0,$C269-$AC$241),IF(DATE($C269,2,15)&gt;=$V$241,$Y$241*(1+($U$241)/100)^MAX(0,$C269-$AB$241),0)))))</f>
      </c>
      <c r="G269" s="43">
        <f>IF($S$241=0,0,IF(OR(DATE($C269,3,15)&lt;$S$241,AND($T$241&gt;0,DATE($C269,3,15)&gt;$T$241)),0,IF(DATE($C269,3,15)&gt;=$X$241,$AA$241*(1+($U$241)/100)^MAX(0,$C269-$AD$241),IF(DATE($C269,3,15)&gt;=$W$241,$Z$241*(1+($U$241)/100)^MAX(0,$C269-$AC$241),IF(DATE($C269,3,15)&gt;=$V$241,$Y$241*(1+($U$241)/100)^MAX(0,$C269-$AB$241),0)))))</f>
      </c>
      <c r="H269" s="43">
        <f>IF($S$241=0,0,IF(OR(DATE($C269,4,15)&lt;$S$241,AND($T$241&gt;0,DATE($C269,4,15)&gt;$T$241)),0,IF(DATE($C269,4,15)&gt;=$X$241,$AA$241*(1+($U$241)/100)^MAX(0,$C269-$AD$241),IF(DATE($C269,4,15)&gt;=$W$241,$Z$241*(1+($U$241)/100)^MAX(0,$C269-$AC$241),IF(DATE($C269,4,15)&gt;=$V$241,$Y$241*(1+($U$241)/100)^MAX(0,$C269-$AB$241),0)))))</f>
      </c>
      <c r="I269" s="43">
        <f>IF($S$241=0,0,IF(OR(DATE($C269,5,15)&lt;$S$241,AND($T$241&gt;0,DATE($C269,5,15)&gt;$T$241)),0,IF(DATE($C269,5,15)&gt;=$X$241,$AA$241*(1+($U$241)/100)^MAX(0,$C269-$AD$241),IF(DATE($C269,5,15)&gt;=$W$241,$Z$241*(1+($U$241)/100)^MAX(0,$C269-$AC$241),IF(DATE($C269,5,15)&gt;=$V$241,$Y$241*(1+($U$241)/100)^MAX(0,$C269-$AB$241),0)))))</f>
      </c>
      <c r="J269" s="43">
        <f>IF($S$241=0,0,IF(OR(DATE($C269,6,15)&lt;$S$241,AND($T$241&gt;0,DATE($C269,6,15)&gt;$T$241)),0,IF(DATE($C269,6,15)&gt;=$X$241,$AA$241*(1+($U$241)/100)^MAX(0,$C269-$AD$241),IF(DATE($C269,6,15)&gt;=$W$241,$Z$241*(1+($U$241)/100)^MAX(0,$C269-$AC$241),IF(DATE($C269,6,15)&gt;=$V$241,$Y$241*(1+($U$241)/100)^MAX(0,$C269-$AB$241),0)))))</f>
      </c>
      <c r="K269" s="43">
        <f>IF($S$241=0,0,IF(OR(DATE($C269,7,15)&lt;$S$241,AND($T$241&gt;0,DATE($C269,7,15)&gt;$T$241)),0,IF(DATE($C269,7,15)&gt;=$X$241,$AA$241*(1+($U$241)/100)^MAX(0,$C269-$AD$241),IF(DATE($C269,7,15)&gt;=$W$241,$Z$241*(1+($U$241)/100)^MAX(0,$C269-$AC$241),IF(DATE($C269,7,15)&gt;=$V$241,$Y$241*(1+($U$241)/100)^MAX(0,$C269-$AB$241),0)))))</f>
      </c>
      <c r="L269" s="43">
        <f>IF($S$241=0,0,IF(OR(DATE($C269,8,15)&lt;$S$241,AND($T$241&gt;0,DATE($C269,8,15)&gt;$T$241)),0,IF(DATE($C269,8,15)&gt;=$X$241,$AA$241*(1+($U$241)/100)^MAX(0,$C269-$AD$241),IF(DATE($C269,8,15)&gt;=$W$241,$Z$241*(1+($U$241)/100)^MAX(0,$C269-$AC$241),IF(DATE($C269,8,15)&gt;=$V$241,$Y$241*(1+($U$241)/100)^MAX(0,$C269-$AB$241),0)))))</f>
      </c>
      <c r="M269" s="43">
        <f>IF($S$241=0,0,IF(OR(DATE($C269,9,15)&lt;$S$241,AND($T$241&gt;0,DATE($C269,9,15)&gt;$T$241)),0,IF(DATE($C269,9,15)&gt;=$X$241,$AA$241*(1+($U$241)/100)^MAX(0,$C269-$AD$241),IF(DATE($C269,9,15)&gt;=$W$241,$Z$241*(1+($U$241)/100)^MAX(0,$C269-$AC$241),IF(DATE($C269,9,15)&gt;=$V$241,$Y$241*(1+($U$241)/100)^MAX(0,$C269-$AB$241),0)))))</f>
      </c>
      <c r="N269" s="43">
        <f>IF($S$241=0,0,IF(OR(DATE($C269,10,15)&lt;$S$241,AND($T$241&gt;0,DATE($C269,10,15)&gt;$T$241)),0,IF(DATE($C269,10,15)&gt;=$X$241,$AA$241*(1+($U$241)/100)^MAX(0,$C269-$AD$241),IF(DATE($C269,10,15)&gt;=$W$241,$Z$241*(1+($U$241)/100)^MAX(0,$C269-$AC$241),IF(DATE($C269,10,15)&gt;=$V$241,$Y$241*(1+($U$241)/100)^MAX(0,$C269-$AB$241),0)))))</f>
      </c>
      <c r="O269" s="43">
        <f>IF($S$241=0,0,IF(OR(DATE($C269,11,15)&lt;$S$241,AND($T$241&gt;0,DATE($C269,11,15)&gt;$T$241)),0,IF(DATE($C269,11,15)&gt;=$X$241,$AA$241*(1+($U$241)/100)^MAX(0,$C269-$AD$241),IF(DATE($C269,11,15)&gt;=$W$241,$Z$241*(1+($U$241)/100)^MAX(0,$C269-$AC$241),IF(DATE($C269,11,15)&gt;=$V$241,$Y$241*(1+($U$241)/100)^MAX(0,$C269-$AB$241),0)))))</f>
      </c>
      <c r="P269" s="43">
        <f>IF($S$241=0,0,IF(OR(DATE($C269,12,15)&lt;$S$241,AND($T$241&gt;0,DATE($C269,12,15)&gt;$T$241)),0,IF(DATE($C269,12,15)&gt;=$X$241,$AA$241*(1+($U$241)/100)^MAX(0,$C269-$AD$241),IF(DATE($C269,12,15)&gt;=$W$241,$Z$241*(1+($U$241)/100)^MAX(0,$C269-$AC$241),IF(DATE($C269,12,15)&gt;=$V$241,$Y$241*(1+($U$241)/100)^MAX(0,$C269-$AB$241),0)))))</f>
      </c>
      <c r="Q269" s="43">
        <f>SUM($E269:$P269)</f>
      </c>
    </row>
    <row r="270">
      <c r="A270"/>
      <c r="B270">
        <v>8</v>
      </c>
      <c r="C270" s="43">
        <f>Jahr+29</f>
      </c>
      <c r="D270" s="43">
        <f>INDEX(MvObj,8)</f>
      </c>
      <c r="E270" s="43">
        <f>IF($S$241=0,0,IF(OR(DATE($C270,1,15)&lt;$S$241,AND($T$241&gt;0,DATE($C270,1,15)&gt;$T$241)),0,IF(DATE($C270,1,15)&gt;=$X$241,$AA$241*(1+($U$241)/100)^MAX(0,$C270-$AD$241),IF(DATE($C270,1,15)&gt;=$W$241,$Z$241*(1+($U$241)/100)^MAX(0,$C270-$AC$241),IF(DATE($C270,1,15)&gt;=$V$241,$Y$241*(1+($U$241)/100)^MAX(0,$C270-$AB$241),0)))))</f>
      </c>
      <c r="F270" s="43">
        <f>IF($S$241=0,0,IF(OR(DATE($C270,2,15)&lt;$S$241,AND($T$241&gt;0,DATE($C270,2,15)&gt;$T$241)),0,IF(DATE($C270,2,15)&gt;=$X$241,$AA$241*(1+($U$241)/100)^MAX(0,$C270-$AD$241),IF(DATE($C270,2,15)&gt;=$W$241,$Z$241*(1+($U$241)/100)^MAX(0,$C270-$AC$241),IF(DATE($C270,2,15)&gt;=$V$241,$Y$241*(1+($U$241)/100)^MAX(0,$C270-$AB$241),0)))))</f>
      </c>
      <c r="G270" s="43">
        <f>IF($S$241=0,0,IF(OR(DATE($C270,3,15)&lt;$S$241,AND($T$241&gt;0,DATE($C270,3,15)&gt;$T$241)),0,IF(DATE($C270,3,15)&gt;=$X$241,$AA$241*(1+($U$241)/100)^MAX(0,$C270-$AD$241),IF(DATE($C270,3,15)&gt;=$W$241,$Z$241*(1+($U$241)/100)^MAX(0,$C270-$AC$241),IF(DATE($C270,3,15)&gt;=$V$241,$Y$241*(1+($U$241)/100)^MAX(0,$C270-$AB$241),0)))))</f>
      </c>
      <c r="H270" s="43">
        <f>IF($S$241=0,0,IF(OR(DATE($C270,4,15)&lt;$S$241,AND($T$241&gt;0,DATE($C270,4,15)&gt;$T$241)),0,IF(DATE($C270,4,15)&gt;=$X$241,$AA$241*(1+($U$241)/100)^MAX(0,$C270-$AD$241),IF(DATE($C270,4,15)&gt;=$W$241,$Z$241*(1+($U$241)/100)^MAX(0,$C270-$AC$241),IF(DATE($C270,4,15)&gt;=$V$241,$Y$241*(1+($U$241)/100)^MAX(0,$C270-$AB$241),0)))))</f>
      </c>
      <c r="I270" s="43">
        <f>IF($S$241=0,0,IF(OR(DATE($C270,5,15)&lt;$S$241,AND($T$241&gt;0,DATE($C270,5,15)&gt;$T$241)),0,IF(DATE($C270,5,15)&gt;=$X$241,$AA$241*(1+($U$241)/100)^MAX(0,$C270-$AD$241),IF(DATE($C270,5,15)&gt;=$W$241,$Z$241*(1+($U$241)/100)^MAX(0,$C270-$AC$241),IF(DATE($C270,5,15)&gt;=$V$241,$Y$241*(1+($U$241)/100)^MAX(0,$C270-$AB$241),0)))))</f>
      </c>
      <c r="J270" s="43">
        <f>IF($S$241=0,0,IF(OR(DATE($C270,6,15)&lt;$S$241,AND($T$241&gt;0,DATE($C270,6,15)&gt;$T$241)),0,IF(DATE($C270,6,15)&gt;=$X$241,$AA$241*(1+($U$241)/100)^MAX(0,$C270-$AD$241),IF(DATE($C270,6,15)&gt;=$W$241,$Z$241*(1+($U$241)/100)^MAX(0,$C270-$AC$241),IF(DATE($C270,6,15)&gt;=$V$241,$Y$241*(1+($U$241)/100)^MAX(0,$C270-$AB$241),0)))))</f>
      </c>
      <c r="K270" s="43">
        <f>IF($S$241=0,0,IF(OR(DATE($C270,7,15)&lt;$S$241,AND($T$241&gt;0,DATE($C270,7,15)&gt;$T$241)),0,IF(DATE($C270,7,15)&gt;=$X$241,$AA$241*(1+($U$241)/100)^MAX(0,$C270-$AD$241),IF(DATE($C270,7,15)&gt;=$W$241,$Z$241*(1+($U$241)/100)^MAX(0,$C270-$AC$241),IF(DATE($C270,7,15)&gt;=$V$241,$Y$241*(1+($U$241)/100)^MAX(0,$C270-$AB$241),0)))))</f>
      </c>
      <c r="L270" s="43">
        <f>IF($S$241=0,0,IF(OR(DATE($C270,8,15)&lt;$S$241,AND($T$241&gt;0,DATE($C270,8,15)&gt;$T$241)),0,IF(DATE($C270,8,15)&gt;=$X$241,$AA$241*(1+($U$241)/100)^MAX(0,$C270-$AD$241),IF(DATE($C270,8,15)&gt;=$W$241,$Z$241*(1+($U$241)/100)^MAX(0,$C270-$AC$241),IF(DATE($C270,8,15)&gt;=$V$241,$Y$241*(1+($U$241)/100)^MAX(0,$C270-$AB$241),0)))))</f>
      </c>
      <c r="M270" s="43">
        <f>IF($S$241=0,0,IF(OR(DATE($C270,9,15)&lt;$S$241,AND($T$241&gt;0,DATE($C270,9,15)&gt;$T$241)),0,IF(DATE($C270,9,15)&gt;=$X$241,$AA$241*(1+($U$241)/100)^MAX(0,$C270-$AD$241),IF(DATE($C270,9,15)&gt;=$W$241,$Z$241*(1+($U$241)/100)^MAX(0,$C270-$AC$241),IF(DATE($C270,9,15)&gt;=$V$241,$Y$241*(1+($U$241)/100)^MAX(0,$C270-$AB$241),0)))))</f>
      </c>
      <c r="N270" s="43">
        <f>IF($S$241=0,0,IF(OR(DATE($C270,10,15)&lt;$S$241,AND($T$241&gt;0,DATE($C270,10,15)&gt;$T$241)),0,IF(DATE($C270,10,15)&gt;=$X$241,$AA$241*(1+($U$241)/100)^MAX(0,$C270-$AD$241),IF(DATE($C270,10,15)&gt;=$W$241,$Z$241*(1+($U$241)/100)^MAX(0,$C270-$AC$241),IF(DATE($C270,10,15)&gt;=$V$241,$Y$241*(1+($U$241)/100)^MAX(0,$C270-$AB$241),0)))))</f>
      </c>
      <c r="O270" s="43">
        <f>IF($S$241=0,0,IF(OR(DATE($C270,11,15)&lt;$S$241,AND($T$241&gt;0,DATE($C270,11,15)&gt;$T$241)),0,IF(DATE($C270,11,15)&gt;=$X$241,$AA$241*(1+($U$241)/100)^MAX(0,$C270-$AD$241),IF(DATE($C270,11,15)&gt;=$W$241,$Z$241*(1+($U$241)/100)^MAX(0,$C270-$AC$241),IF(DATE($C270,11,15)&gt;=$V$241,$Y$241*(1+($U$241)/100)^MAX(0,$C270-$AB$241),0)))))</f>
      </c>
      <c r="P270" s="43">
        <f>IF($S$241=0,0,IF(OR(DATE($C270,12,15)&lt;$S$241,AND($T$241&gt;0,DATE($C270,12,15)&gt;$T$241)),0,IF(DATE($C270,12,15)&gt;=$X$241,$AA$241*(1+($U$241)/100)^MAX(0,$C270-$AD$241),IF(DATE($C270,12,15)&gt;=$W$241,$Z$241*(1+($U$241)/100)^MAX(0,$C270-$AC$241),IF(DATE($C270,12,15)&gt;=$V$241,$Y$241*(1+($U$241)/100)^MAX(0,$C270-$AB$241),0)))))</f>
      </c>
      <c r="Q270" s="43">
        <f>SUM($E270:$P270)</f>
      </c>
    </row>
    <row r="271">
      <c r="A271"/>
      <c r="B271">
        <v>8</v>
      </c>
      <c r="C271" s="43">
        <f>Jahr+30</f>
      </c>
      <c r="D271" s="43">
        <f>INDEX(MvObj,8)</f>
      </c>
      <c r="E271" s="43">
        <f>IF($S$241=0,0,IF(OR(DATE($C271,1,15)&lt;$S$241,AND($T$241&gt;0,DATE($C271,1,15)&gt;$T$241)),0,IF(DATE($C271,1,15)&gt;=$X$241,$AA$241*(1+($U$241)/100)^MAX(0,$C271-$AD$241),IF(DATE($C271,1,15)&gt;=$W$241,$Z$241*(1+($U$241)/100)^MAX(0,$C271-$AC$241),IF(DATE($C271,1,15)&gt;=$V$241,$Y$241*(1+($U$241)/100)^MAX(0,$C271-$AB$241),0)))))</f>
      </c>
      <c r="F271" s="43">
        <f>IF($S$241=0,0,IF(OR(DATE($C271,2,15)&lt;$S$241,AND($T$241&gt;0,DATE($C271,2,15)&gt;$T$241)),0,IF(DATE($C271,2,15)&gt;=$X$241,$AA$241*(1+($U$241)/100)^MAX(0,$C271-$AD$241),IF(DATE($C271,2,15)&gt;=$W$241,$Z$241*(1+($U$241)/100)^MAX(0,$C271-$AC$241),IF(DATE($C271,2,15)&gt;=$V$241,$Y$241*(1+($U$241)/100)^MAX(0,$C271-$AB$241),0)))))</f>
      </c>
      <c r="G271" s="43">
        <f>IF($S$241=0,0,IF(OR(DATE($C271,3,15)&lt;$S$241,AND($T$241&gt;0,DATE($C271,3,15)&gt;$T$241)),0,IF(DATE($C271,3,15)&gt;=$X$241,$AA$241*(1+($U$241)/100)^MAX(0,$C271-$AD$241),IF(DATE($C271,3,15)&gt;=$W$241,$Z$241*(1+($U$241)/100)^MAX(0,$C271-$AC$241),IF(DATE($C271,3,15)&gt;=$V$241,$Y$241*(1+($U$241)/100)^MAX(0,$C271-$AB$241),0)))))</f>
      </c>
      <c r="H271" s="43">
        <f>IF($S$241=0,0,IF(OR(DATE($C271,4,15)&lt;$S$241,AND($T$241&gt;0,DATE($C271,4,15)&gt;$T$241)),0,IF(DATE($C271,4,15)&gt;=$X$241,$AA$241*(1+($U$241)/100)^MAX(0,$C271-$AD$241),IF(DATE($C271,4,15)&gt;=$W$241,$Z$241*(1+($U$241)/100)^MAX(0,$C271-$AC$241),IF(DATE($C271,4,15)&gt;=$V$241,$Y$241*(1+($U$241)/100)^MAX(0,$C271-$AB$241),0)))))</f>
      </c>
      <c r="I271" s="43">
        <f>IF($S$241=0,0,IF(OR(DATE($C271,5,15)&lt;$S$241,AND($T$241&gt;0,DATE($C271,5,15)&gt;$T$241)),0,IF(DATE($C271,5,15)&gt;=$X$241,$AA$241*(1+($U$241)/100)^MAX(0,$C271-$AD$241),IF(DATE($C271,5,15)&gt;=$W$241,$Z$241*(1+($U$241)/100)^MAX(0,$C271-$AC$241),IF(DATE($C271,5,15)&gt;=$V$241,$Y$241*(1+($U$241)/100)^MAX(0,$C271-$AB$241),0)))))</f>
      </c>
      <c r="J271" s="43">
        <f>IF($S$241=0,0,IF(OR(DATE($C271,6,15)&lt;$S$241,AND($T$241&gt;0,DATE($C271,6,15)&gt;$T$241)),0,IF(DATE($C271,6,15)&gt;=$X$241,$AA$241*(1+($U$241)/100)^MAX(0,$C271-$AD$241),IF(DATE($C271,6,15)&gt;=$W$241,$Z$241*(1+($U$241)/100)^MAX(0,$C271-$AC$241),IF(DATE($C271,6,15)&gt;=$V$241,$Y$241*(1+($U$241)/100)^MAX(0,$C271-$AB$241),0)))))</f>
      </c>
      <c r="K271" s="43">
        <f>IF($S$241=0,0,IF(OR(DATE($C271,7,15)&lt;$S$241,AND($T$241&gt;0,DATE($C271,7,15)&gt;$T$241)),0,IF(DATE($C271,7,15)&gt;=$X$241,$AA$241*(1+($U$241)/100)^MAX(0,$C271-$AD$241),IF(DATE($C271,7,15)&gt;=$W$241,$Z$241*(1+($U$241)/100)^MAX(0,$C271-$AC$241),IF(DATE($C271,7,15)&gt;=$V$241,$Y$241*(1+($U$241)/100)^MAX(0,$C271-$AB$241),0)))))</f>
      </c>
      <c r="L271" s="43">
        <f>IF($S$241=0,0,IF(OR(DATE($C271,8,15)&lt;$S$241,AND($T$241&gt;0,DATE($C271,8,15)&gt;$T$241)),0,IF(DATE($C271,8,15)&gt;=$X$241,$AA$241*(1+($U$241)/100)^MAX(0,$C271-$AD$241),IF(DATE($C271,8,15)&gt;=$W$241,$Z$241*(1+($U$241)/100)^MAX(0,$C271-$AC$241),IF(DATE($C271,8,15)&gt;=$V$241,$Y$241*(1+($U$241)/100)^MAX(0,$C271-$AB$241),0)))))</f>
      </c>
      <c r="M271" s="43">
        <f>IF($S$241=0,0,IF(OR(DATE($C271,9,15)&lt;$S$241,AND($T$241&gt;0,DATE($C271,9,15)&gt;$T$241)),0,IF(DATE($C271,9,15)&gt;=$X$241,$AA$241*(1+($U$241)/100)^MAX(0,$C271-$AD$241),IF(DATE($C271,9,15)&gt;=$W$241,$Z$241*(1+($U$241)/100)^MAX(0,$C271-$AC$241),IF(DATE($C271,9,15)&gt;=$V$241,$Y$241*(1+($U$241)/100)^MAX(0,$C271-$AB$241),0)))))</f>
      </c>
      <c r="N271" s="43">
        <f>IF($S$241=0,0,IF(OR(DATE($C271,10,15)&lt;$S$241,AND($T$241&gt;0,DATE($C271,10,15)&gt;$T$241)),0,IF(DATE($C271,10,15)&gt;=$X$241,$AA$241*(1+($U$241)/100)^MAX(0,$C271-$AD$241),IF(DATE($C271,10,15)&gt;=$W$241,$Z$241*(1+($U$241)/100)^MAX(0,$C271-$AC$241),IF(DATE($C271,10,15)&gt;=$V$241,$Y$241*(1+($U$241)/100)^MAX(0,$C271-$AB$241),0)))))</f>
      </c>
      <c r="O271" s="43">
        <f>IF($S$241=0,0,IF(OR(DATE($C271,11,15)&lt;$S$241,AND($T$241&gt;0,DATE($C271,11,15)&gt;$T$241)),0,IF(DATE($C271,11,15)&gt;=$X$241,$AA$241*(1+($U$241)/100)^MAX(0,$C271-$AD$241),IF(DATE($C271,11,15)&gt;=$W$241,$Z$241*(1+($U$241)/100)^MAX(0,$C271-$AC$241),IF(DATE($C271,11,15)&gt;=$V$241,$Y$241*(1+($U$241)/100)^MAX(0,$C271-$AB$241),0)))))</f>
      </c>
      <c r="P271" s="43">
        <f>IF($S$241=0,0,IF(OR(DATE($C271,12,15)&lt;$S$241,AND($T$241&gt;0,DATE($C271,12,15)&gt;$T$241)),0,IF(DATE($C271,12,15)&gt;=$X$241,$AA$241*(1+($U$241)/100)^MAX(0,$C271-$AD$241),IF(DATE($C271,12,15)&gt;=$W$241,$Z$241*(1+($U$241)/100)^MAX(0,$C271-$AC$241),IF(DATE($C271,12,15)&gt;=$V$241,$Y$241*(1+($U$241)/100)^MAX(0,$C271-$AB$241),0)))))</f>
      </c>
      <c r="Q271" s="43">
        <f>SUM($E271:$P271)</f>
      </c>
    </row>
    <row r="272">
      <c r="A272"/>
      <c r="B272">
        <v>9</v>
      </c>
      <c r="C272" s="43">
        <f>Jahr+0</f>
      </c>
      <c r="D272" s="43">
        <f>INDEX(MvObj,9)</f>
      </c>
      <c r="E272" s="43">
        <f>IF($S$272=0,0,IF(OR(DATE($C272,1,15)&lt;$S$272,AND($T$272&gt;0,DATE($C272,1,15)&gt;$T$272)),0,IF(DATE($C272,1,15)&gt;=$X$272,$AA$272*(1+($U$272)/100)^MAX(0,$C272-$AD$272),IF(DATE($C272,1,15)&gt;=$W$272,$Z$272*(1+($U$272)/100)^MAX(0,$C272-$AC$272),IF(DATE($C272,1,15)&gt;=$V$272,$Y$272*(1+($U$272)/100)^MAX(0,$C272-$AB$272),0)))))</f>
      </c>
      <c r="F272" s="43">
        <f>IF($S$272=0,0,IF(OR(DATE($C272,2,15)&lt;$S$272,AND($T$272&gt;0,DATE($C272,2,15)&gt;$T$272)),0,IF(DATE($C272,2,15)&gt;=$X$272,$AA$272*(1+($U$272)/100)^MAX(0,$C272-$AD$272),IF(DATE($C272,2,15)&gt;=$W$272,$Z$272*(1+($U$272)/100)^MAX(0,$C272-$AC$272),IF(DATE($C272,2,15)&gt;=$V$272,$Y$272*(1+($U$272)/100)^MAX(0,$C272-$AB$272),0)))))</f>
      </c>
      <c r="G272" s="43">
        <f>IF($S$272=0,0,IF(OR(DATE($C272,3,15)&lt;$S$272,AND($T$272&gt;0,DATE($C272,3,15)&gt;$T$272)),0,IF(DATE($C272,3,15)&gt;=$X$272,$AA$272*(1+($U$272)/100)^MAX(0,$C272-$AD$272),IF(DATE($C272,3,15)&gt;=$W$272,$Z$272*(1+($U$272)/100)^MAX(0,$C272-$AC$272),IF(DATE($C272,3,15)&gt;=$V$272,$Y$272*(1+($U$272)/100)^MAX(0,$C272-$AB$272),0)))))</f>
      </c>
      <c r="H272" s="43">
        <f>IF($S$272=0,0,IF(OR(DATE($C272,4,15)&lt;$S$272,AND($T$272&gt;0,DATE($C272,4,15)&gt;$T$272)),0,IF(DATE($C272,4,15)&gt;=$X$272,$AA$272*(1+($U$272)/100)^MAX(0,$C272-$AD$272),IF(DATE($C272,4,15)&gt;=$W$272,$Z$272*(1+($U$272)/100)^MAX(0,$C272-$AC$272),IF(DATE($C272,4,15)&gt;=$V$272,$Y$272*(1+($U$272)/100)^MAX(0,$C272-$AB$272),0)))))</f>
      </c>
      <c r="I272" s="43">
        <f>IF($S$272=0,0,IF(OR(DATE($C272,5,15)&lt;$S$272,AND($T$272&gt;0,DATE($C272,5,15)&gt;$T$272)),0,IF(DATE($C272,5,15)&gt;=$X$272,$AA$272*(1+($U$272)/100)^MAX(0,$C272-$AD$272),IF(DATE($C272,5,15)&gt;=$W$272,$Z$272*(1+($U$272)/100)^MAX(0,$C272-$AC$272),IF(DATE($C272,5,15)&gt;=$V$272,$Y$272*(1+($U$272)/100)^MAX(0,$C272-$AB$272),0)))))</f>
      </c>
      <c r="J272" s="43">
        <f>IF($S$272=0,0,IF(OR(DATE($C272,6,15)&lt;$S$272,AND($T$272&gt;0,DATE($C272,6,15)&gt;$T$272)),0,IF(DATE($C272,6,15)&gt;=$X$272,$AA$272*(1+($U$272)/100)^MAX(0,$C272-$AD$272),IF(DATE($C272,6,15)&gt;=$W$272,$Z$272*(1+($U$272)/100)^MAX(0,$C272-$AC$272),IF(DATE($C272,6,15)&gt;=$V$272,$Y$272*(1+($U$272)/100)^MAX(0,$C272-$AB$272),0)))))</f>
      </c>
      <c r="K272" s="43">
        <f>IF($S$272=0,0,IF(OR(DATE($C272,7,15)&lt;$S$272,AND($T$272&gt;0,DATE($C272,7,15)&gt;$T$272)),0,IF(DATE($C272,7,15)&gt;=$X$272,$AA$272*(1+($U$272)/100)^MAX(0,$C272-$AD$272),IF(DATE($C272,7,15)&gt;=$W$272,$Z$272*(1+($U$272)/100)^MAX(0,$C272-$AC$272),IF(DATE($C272,7,15)&gt;=$V$272,$Y$272*(1+($U$272)/100)^MAX(0,$C272-$AB$272),0)))))</f>
      </c>
      <c r="L272" s="43">
        <f>IF($S$272=0,0,IF(OR(DATE($C272,8,15)&lt;$S$272,AND($T$272&gt;0,DATE($C272,8,15)&gt;$T$272)),0,IF(DATE($C272,8,15)&gt;=$X$272,$AA$272*(1+($U$272)/100)^MAX(0,$C272-$AD$272),IF(DATE($C272,8,15)&gt;=$W$272,$Z$272*(1+($U$272)/100)^MAX(0,$C272-$AC$272),IF(DATE($C272,8,15)&gt;=$V$272,$Y$272*(1+($U$272)/100)^MAX(0,$C272-$AB$272),0)))))</f>
      </c>
      <c r="M272" s="43">
        <f>IF($S$272=0,0,IF(OR(DATE($C272,9,15)&lt;$S$272,AND($T$272&gt;0,DATE($C272,9,15)&gt;$T$272)),0,IF(DATE($C272,9,15)&gt;=$X$272,$AA$272*(1+($U$272)/100)^MAX(0,$C272-$AD$272),IF(DATE($C272,9,15)&gt;=$W$272,$Z$272*(1+($U$272)/100)^MAX(0,$C272-$AC$272),IF(DATE($C272,9,15)&gt;=$V$272,$Y$272*(1+($U$272)/100)^MAX(0,$C272-$AB$272),0)))))</f>
      </c>
      <c r="N272" s="43">
        <f>IF($S$272=0,0,IF(OR(DATE($C272,10,15)&lt;$S$272,AND($T$272&gt;0,DATE($C272,10,15)&gt;$T$272)),0,IF(DATE($C272,10,15)&gt;=$X$272,$AA$272*(1+($U$272)/100)^MAX(0,$C272-$AD$272),IF(DATE($C272,10,15)&gt;=$W$272,$Z$272*(1+($U$272)/100)^MAX(0,$C272-$AC$272),IF(DATE($C272,10,15)&gt;=$V$272,$Y$272*(1+($U$272)/100)^MAX(0,$C272-$AB$272),0)))))</f>
      </c>
      <c r="O272" s="43">
        <f>IF($S$272=0,0,IF(OR(DATE($C272,11,15)&lt;$S$272,AND($T$272&gt;0,DATE($C272,11,15)&gt;$T$272)),0,IF(DATE($C272,11,15)&gt;=$X$272,$AA$272*(1+($U$272)/100)^MAX(0,$C272-$AD$272),IF(DATE($C272,11,15)&gt;=$W$272,$Z$272*(1+($U$272)/100)^MAX(0,$C272-$AC$272),IF(DATE($C272,11,15)&gt;=$V$272,$Y$272*(1+($U$272)/100)^MAX(0,$C272-$AB$272),0)))))</f>
      </c>
      <c r="P272" s="43">
        <f>IF($S$272=0,0,IF(OR(DATE($C272,12,15)&lt;$S$272,AND($T$272&gt;0,DATE($C272,12,15)&gt;$T$272)),0,IF(DATE($C272,12,15)&gt;=$X$272,$AA$272*(1+($U$272)/100)^MAX(0,$C272-$AD$272),IF(DATE($C272,12,15)&gt;=$W$272,$Z$272*(1+($U$272)/100)^MAX(0,$C272-$AC$272),IF(DATE($C272,12,15)&gt;=$V$272,$Y$272*(1+($U$272)/100)^MAX(0,$C272-$AB$272),0)))))</f>
      </c>
      <c r="Q272" s="43">
        <f>SUM($E272:$P272)</f>
      </c>
      <c r="R272"/>
      <c r="S272" s="43">
        <f>IF(INDEX(MvBeginn,9)="",0,INDEX(MvBeginn,9))</f>
      </c>
      <c r="T272" s="43">
        <f>INDEX(MvEnde,9)</f>
      </c>
      <c r="U272" s="43">
        <f>INDEX(MvSatz,9)</f>
      </c>
      <c r="V272" s="43">
        <f>INDEX(MvKey1,9)</f>
      </c>
      <c r="W272" s="43">
        <f>INDEX(MvKey2,9)</f>
      </c>
      <c r="X272" s="43">
        <f>INDEX(MvKey3,9)</f>
      </c>
      <c r="Y272" s="43">
        <f>INDEX(MvKalt1,9)</f>
      </c>
      <c r="Z272" s="43">
        <f>INDEX(MvKalt2,9)</f>
      </c>
      <c r="AA272" s="43">
        <f>INDEX(MvKalt3,9)</f>
      </c>
      <c r="AB272" s="43">
        <f>MAX(YEAR(INDEX(MvAb1,9)),Jahr)</f>
      </c>
      <c r="AC272" s="43">
        <f>MAX(YEAR(INDEX(MvAb2,9)),Jahr)</f>
      </c>
      <c r="AD272" s="43">
        <f>MAX(YEAR(INDEX(MvAb3,9)),Jahr)</f>
      </c>
    </row>
    <row r="273">
      <c r="A273"/>
      <c r="B273">
        <v>9</v>
      </c>
      <c r="C273" s="43">
        <f>Jahr+1</f>
      </c>
      <c r="D273" s="43">
        <f>INDEX(MvObj,9)</f>
      </c>
      <c r="E273" s="43">
        <f>IF($S$272=0,0,IF(OR(DATE($C273,1,15)&lt;$S$272,AND($T$272&gt;0,DATE($C273,1,15)&gt;$T$272)),0,IF(DATE($C273,1,15)&gt;=$X$272,$AA$272*(1+($U$272)/100)^MAX(0,$C273-$AD$272),IF(DATE($C273,1,15)&gt;=$W$272,$Z$272*(1+($U$272)/100)^MAX(0,$C273-$AC$272),IF(DATE($C273,1,15)&gt;=$V$272,$Y$272*(1+($U$272)/100)^MAX(0,$C273-$AB$272),0)))))</f>
      </c>
      <c r="F273" s="43">
        <f>IF($S$272=0,0,IF(OR(DATE($C273,2,15)&lt;$S$272,AND($T$272&gt;0,DATE($C273,2,15)&gt;$T$272)),0,IF(DATE($C273,2,15)&gt;=$X$272,$AA$272*(1+($U$272)/100)^MAX(0,$C273-$AD$272),IF(DATE($C273,2,15)&gt;=$W$272,$Z$272*(1+($U$272)/100)^MAX(0,$C273-$AC$272),IF(DATE($C273,2,15)&gt;=$V$272,$Y$272*(1+($U$272)/100)^MAX(0,$C273-$AB$272),0)))))</f>
      </c>
      <c r="G273" s="43">
        <f>IF($S$272=0,0,IF(OR(DATE($C273,3,15)&lt;$S$272,AND($T$272&gt;0,DATE($C273,3,15)&gt;$T$272)),0,IF(DATE($C273,3,15)&gt;=$X$272,$AA$272*(1+($U$272)/100)^MAX(0,$C273-$AD$272),IF(DATE($C273,3,15)&gt;=$W$272,$Z$272*(1+($U$272)/100)^MAX(0,$C273-$AC$272),IF(DATE($C273,3,15)&gt;=$V$272,$Y$272*(1+($U$272)/100)^MAX(0,$C273-$AB$272),0)))))</f>
      </c>
      <c r="H273" s="43">
        <f>IF($S$272=0,0,IF(OR(DATE($C273,4,15)&lt;$S$272,AND($T$272&gt;0,DATE($C273,4,15)&gt;$T$272)),0,IF(DATE($C273,4,15)&gt;=$X$272,$AA$272*(1+($U$272)/100)^MAX(0,$C273-$AD$272),IF(DATE($C273,4,15)&gt;=$W$272,$Z$272*(1+($U$272)/100)^MAX(0,$C273-$AC$272),IF(DATE($C273,4,15)&gt;=$V$272,$Y$272*(1+($U$272)/100)^MAX(0,$C273-$AB$272),0)))))</f>
      </c>
      <c r="I273" s="43">
        <f>IF($S$272=0,0,IF(OR(DATE($C273,5,15)&lt;$S$272,AND($T$272&gt;0,DATE($C273,5,15)&gt;$T$272)),0,IF(DATE($C273,5,15)&gt;=$X$272,$AA$272*(1+($U$272)/100)^MAX(0,$C273-$AD$272),IF(DATE($C273,5,15)&gt;=$W$272,$Z$272*(1+($U$272)/100)^MAX(0,$C273-$AC$272),IF(DATE($C273,5,15)&gt;=$V$272,$Y$272*(1+($U$272)/100)^MAX(0,$C273-$AB$272),0)))))</f>
      </c>
      <c r="J273" s="43">
        <f>IF($S$272=0,0,IF(OR(DATE($C273,6,15)&lt;$S$272,AND($T$272&gt;0,DATE($C273,6,15)&gt;$T$272)),0,IF(DATE($C273,6,15)&gt;=$X$272,$AA$272*(1+($U$272)/100)^MAX(0,$C273-$AD$272),IF(DATE($C273,6,15)&gt;=$W$272,$Z$272*(1+($U$272)/100)^MAX(0,$C273-$AC$272),IF(DATE($C273,6,15)&gt;=$V$272,$Y$272*(1+($U$272)/100)^MAX(0,$C273-$AB$272),0)))))</f>
      </c>
      <c r="K273" s="43">
        <f>IF($S$272=0,0,IF(OR(DATE($C273,7,15)&lt;$S$272,AND($T$272&gt;0,DATE($C273,7,15)&gt;$T$272)),0,IF(DATE($C273,7,15)&gt;=$X$272,$AA$272*(1+($U$272)/100)^MAX(0,$C273-$AD$272),IF(DATE($C273,7,15)&gt;=$W$272,$Z$272*(1+($U$272)/100)^MAX(0,$C273-$AC$272),IF(DATE($C273,7,15)&gt;=$V$272,$Y$272*(1+($U$272)/100)^MAX(0,$C273-$AB$272),0)))))</f>
      </c>
      <c r="L273" s="43">
        <f>IF($S$272=0,0,IF(OR(DATE($C273,8,15)&lt;$S$272,AND($T$272&gt;0,DATE($C273,8,15)&gt;$T$272)),0,IF(DATE($C273,8,15)&gt;=$X$272,$AA$272*(1+($U$272)/100)^MAX(0,$C273-$AD$272),IF(DATE($C273,8,15)&gt;=$W$272,$Z$272*(1+($U$272)/100)^MAX(0,$C273-$AC$272),IF(DATE($C273,8,15)&gt;=$V$272,$Y$272*(1+($U$272)/100)^MAX(0,$C273-$AB$272),0)))))</f>
      </c>
      <c r="M273" s="43">
        <f>IF($S$272=0,0,IF(OR(DATE($C273,9,15)&lt;$S$272,AND($T$272&gt;0,DATE($C273,9,15)&gt;$T$272)),0,IF(DATE($C273,9,15)&gt;=$X$272,$AA$272*(1+($U$272)/100)^MAX(0,$C273-$AD$272),IF(DATE($C273,9,15)&gt;=$W$272,$Z$272*(1+($U$272)/100)^MAX(0,$C273-$AC$272),IF(DATE($C273,9,15)&gt;=$V$272,$Y$272*(1+($U$272)/100)^MAX(0,$C273-$AB$272),0)))))</f>
      </c>
      <c r="N273" s="43">
        <f>IF($S$272=0,0,IF(OR(DATE($C273,10,15)&lt;$S$272,AND($T$272&gt;0,DATE($C273,10,15)&gt;$T$272)),0,IF(DATE($C273,10,15)&gt;=$X$272,$AA$272*(1+($U$272)/100)^MAX(0,$C273-$AD$272),IF(DATE($C273,10,15)&gt;=$W$272,$Z$272*(1+($U$272)/100)^MAX(0,$C273-$AC$272),IF(DATE($C273,10,15)&gt;=$V$272,$Y$272*(1+($U$272)/100)^MAX(0,$C273-$AB$272),0)))))</f>
      </c>
      <c r="O273" s="43">
        <f>IF($S$272=0,0,IF(OR(DATE($C273,11,15)&lt;$S$272,AND($T$272&gt;0,DATE($C273,11,15)&gt;$T$272)),0,IF(DATE($C273,11,15)&gt;=$X$272,$AA$272*(1+($U$272)/100)^MAX(0,$C273-$AD$272),IF(DATE($C273,11,15)&gt;=$W$272,$Z$272*(1+($U$272)/100)^MAX(0,$C273-$AC$272),IF(DATE($C273,11,15)&gt;=$V$272,$Y$272*(1+($U$272)/100)^MAX(0,$C273-$AB$272),0)))))</f>
      </c>
      <c r="P273" s="43">
        <f>IF($S$272=0,0,IF(OR(DATE($C273,12,15)&lt;$S$272,AND($T$272&gt;0,DATE($C273,12,15)&gt;$T$272)),0,IF(DATE($C273,12,15)&gt;=$X$272,$AA$272*(1+($U$272)/100)^MAX(0,$C273-$AD$272),IF(DATE($C273,12,15)&gt;=$W$272,$Z$272*(1+($U$272)/100)^MAX(0,$C273-$AC$272),IF(DATE($C273,12,15)&gt;=$V$272,$Y$272*(1+($U$272)/100)^MAX(0,$C273-$AB$272),0)))))</f>
      </c>
      <c r="Q273" s="43">
        <f>SUM($E273:$P273)</f>
      </c>
    </row>
    <row r="274">
      <c r="A274"/>
      <c r="B274">
        <v>9</v>
      </c>
      <c r="C274" s="43">
        <f>Jahr+2</f>
      </c>
      <c r="D274" s="43">
        <f>INDEX(MvObj,9)</f>
      </c>
      <c r="E274" s="43">
        <f>IF($S$272=0,0,IF(OR(DATE($C274,1,15)&lt;$S$272,AND($T$272&gt;0,DATE($C274,1,15)&gt;$T$272)),0,IF(DATE($C274,1,15)&gt;=$X$272,$AA$272*(1+($U$272)/100)^MAX(0,$C274-$AD$272),IF(DATE($C274,1,15)&gt;=$W$272,$Z$272*(1+($U$272)/100)^MAX(0,$C274-$AC$272),IF(DATE($C274,1,15)&gt;=$V$272,$Y$272*(1+($U$272)/100)^MAX(0,$C274-$AB$272),0)))))</f>
      </c>
      <c r="F274" s="43">
        <f>IF($S$272=0,0,IF(OR(DATE($C274,2,15)&lt;$S$272,AND($T$272&gt;0,DATE($C274,2,15)&gt;$T$272)),0,IF(DATE($C274,2,15)&gt;=$X$272,$AA$272*(1+($U$272)/100)^MAX(0,$C274-$AD$272),IF(DATE($C274,2,15)&gt;=$W$272,$Z$272*(1+($U$272)/100)^MAX(0,$C274-$AC$272),IF(DATE($C274,2,15)&gt;=$V$272,$Y$272*(1+($U$272)/100)^MAX(0,$C274-$AB$272),0)))))</f>
      </c>
      <c r="G274" s="43">
        <f>IF($S$272=0,0,IF(OR(DATE($C274,3,15)&lt;$S$272,AND($T$272&gt;0,DATE($C274,3,15)&gt;$T$272)),0,IF(DATE($C274,3,15)&gt;=$X$272,$AA$272*(1+($U$272)/100)^MAX(0,$C274-$AD$272),IF(DATE($C274,3,15)&gt;=$W$272,$Z$272*(1+($U$272)/100)^MAX(0,$C274-$AC$272),IF(DATE($C274,3,15)&gt;=$V$272,$Y$272*(1+($U$272)/100)^MAX(0,$C274-$AB$272),0)))))</f>
      </c>
      <c r="H274" s="43">
        <f>IF($S$272=0,0,IF(OR(DATE($C274,4,15)&lt;$S$272,AND($T$272&gt;0,DATE($C274,4,15)&gt;$T$272)),0,IF(DATE($C274,4,15)&gt;=$X$272,$AA$272*(1+($U$272)/100)^MAX(0,$C274-$AD$272),IF(DATE($C274,4,15)&gt;=$W$272,$Z$272*(1+($U$272)/100)^MAX(0,$C274-$AC$272),IF(DATE($C274,4,15)&gt;=$V$272,$Y$272*(1+($U$272)/100)^MAX(0,$C274-$AB$272),0)))))</f>
      </c>
      <c r="I274" s="43">
        <f>IF($S$272=0,0,IF(OR(DATE($C274,5,15)&lt;$S$272,AND($T$272&gt;0,DATE($C274,5,15)&gt;$T$272)),0,IF(DATE($C274,5,15)&gt;=$X$272,$AA$272*(1+($U$272)/100)^MAX(0,$C274-$AD$272),IF(DATE($C274,5,15)&gt;=$W$272,$Z$272*(1+($U$272)/100)^MAX(0,$C274-$AC$272),IF(DATE($C274,5,15)&gt;=$V$272,$Y$272*(1+($U$272)/100)^MAX(0,$C274-$AB$272),0)))))</f>
      </c>
      <c r="J274" s="43">
        <f>IF($S$272=0,0,IF(OR(DATE($C274,6,15)&lt;$S$272,AND($T$272&gt;0,DATE($C274,6,15)&gt;$T$272)),0,IF(DATE($C274,6,15)&gt;=$X$272,$AA$272*(1+($U$272)/100)^MAX(0,$C274-$AD$272),IF(DATE($C274,6,15)&gt;=$W$272,$Z$272*(1+($U$272)/100)^MAX(0,$C274-$AC$272),IF(DATE($C274,6,15)&gt;=$V$272,$Y$272*(1+($U$272)/100)^MAX(0,$C274-$AB$272),0)))))</f>
      </c>
      <c r="K274" s="43">
        <f>IF($S$272=0,0,IF(OR(DATE($C274,7,15)&lt;$S$272,AND($T$272&gt;0,DATE($C274,7,15)&gt;$T$272)),0,IF(DATE($C274,7,15)&gt;=$X$272,$AA$272*(1+($U$272)/100)^MAX(0,$C274-$AD$272),IF(DATE($C274,7,15)&gt;=$W$272,$Z$272*(1+($U$272)/100)^MAX(0,$C274-$AC$272),IF(DATE($C274,7,15)&gt;=$V$272,$Y$272*(1+($U$272)/100)^MAX(0,$C274-$AB$272),0)))))</f>
      </c>
      <c r="L274" s="43">
        <f>IF($S$272=0,0,IF(OR(DATE($C274,8,15)&lt;$S$272,AND($T$272&gt;0,DATE($C274,8,15)&gt;$T$272)),0,IF(DATE($C274,8,15)&gt;=$X$272,$AA$272*(1+($U$272)/100)^MAX(0,$C274-$AD$272),IF(DATE($C274,8,15)&gt;=$W$272,$Z$272*(1+($U$272)/100)^MAX(0,$C274-$AC$272),IF(DATE($C274,8,15)&gt;=$V$272,$Y$272*(1+($U$272)/100)^MAX(0,$C274-$AB$272),0)))))</f>
      </c>
      <c r="M274" s="43">
        <f>IF($S$272=0,0,IF(OR(DATE($C274,9,15)&lt;$S$272,AND($T$272&gt;0,DATE($C274,9,15)&gt;$T$272)),0,IF(DATE($C274,9,15)&gt;=$X$272,$AA$272*(1+($U$272)/100)^MAX(0,$C274-$AD$272),IF(DATE($C274,9,15)&gt;=$W$272,$Z$272*(1+($U$272)/100)^MAX(0,$C274-$AC$272),IF(DATE($C274,9,15)&gt;=$V$272,$Y$272*(1+($U$272)/100)^MAX(0,$C274-$AB$272),0)))))</f>
      </c>
      <c r="N274" s="43">
        <f>IF($S$272=0,0,IF(OR(DATE($C274,10,15)&lt;$S$272,AND($T$272&gt;0,DATE($C274,10,15)&gt;$T$272)),0,IF(DATE($C274,10,15)&gt;=$X$272,$AA$272*(1+($U$272)/100)^MAX(0,$C274-$AD$272),IF(DATE($C274,10,15)&gt;=$W$272,$Z$272*(1+($U$272)/100)^MAX(0,$C274-$AC$272),IF(DATE($C274,10,15)&gt;=$V$272,$Y$272*(1+($U$272)/100)^MAX(0,$C274-$AB$272),0)))))</f>
      </c>
      <c r="O274" s="43">
        <f>IF($S$272=0,0,IF(OR(DATE($C274,11,15)&lt;$S$272,AND($T$272&gt;0,DATE($C274,11,15)&gt;$T$272)),0,IF(DATE($C274,11,15)&gt;=$X$272,$AA$272*(1+($U$272)/100)^MAX(0,$C274-$AD$272),IF(DATE($C274,11,15)&gt;=$W$272,$Z$272*(1+($U$272)/100)^MAX(0,$C274-$AC$272),IF(DATE($C274,11,15)&gt;=$V$272,$Y$272*(1+($U$272)/100)^MAX(0,$C274-$AB$272),0)))))</f>
      </c>
      <c r="P274" s="43">
        <f>IF($S$272=0,0,IF(OR(DATE($C274,12,15)&lt;$S$272,AND($T$272&gt;0,DATE($C274,12,15)&gt;$T$272)),0,IF(DATE($C274,12,15)&gt;=$X$272,$AA$272*(1+($U$272)/100)^MAX(0,$C274-$AD$272),IF(DATE($C274,12,15)&gt;=$W$272,$Z$272*(1+($U$272)/100)^MAX(0,$C274-$AC$272),IF(DATE($C274,12,15)&gt;=$V$272,$Y$272*(1+($U$272)/100)^MAX(0,$C274-$AB$272),0)))))</f>
      </c>
      <c r="Q274" s="43">
        <f>SUM($E274:$P274)</f>
      </c>
    </row>
    <row r="275">
      <c r="A275"/>
      <c r="B275">
        <v>9</v>
      </c>
      <c r="C275" s="43">
        <f>Jahr+3</f>
      </c>
      <c r="D275" s="43">
        <f>INDEX(MvObj,9)</f>
      </c>
      <c r="E275" s="43">
        <f>IF($S$272=0,0,IF(OR(DATE($C275,1,15)&lt;$S$272,AND($T$272&gt;0,DATE($C275,1,15)&gt;$T$272)),0,IF(DATE($C275,1,15)&gt;=$X$272,$AA$272*(1+($U$272)/100)^MAX(0,$C275-$AD$272),IF(DATE($C275,1,15)&gt;=$W$272,$Z$272*(1+($U$272)/100)^MAX(0,$C275-$AC$272),IF(DATE($C275,1,15)&gt;=$V$272,$Y$272*(1+($U$272)/100)^MAX(0,$C275-$AB$272),0)))))</f>
      </c>
      <c r="F275" s="43">
        <f>IF($S$272=0,0,IF(OR(DATE($C275,2,15)&lt;$S$272,AND($T$272&gt;0,DATE($C275,2,15)&gt;$T$272)),0,IF(DATE($C275,2,15)&gt;=$X$272,$AA$272*(1+($U$272)/100)^MAX(0,$C275-$AD$272),IF(DATE($C275,2,15)&gt;=$W$272,$Z$272*(1+($U$272)/100)^MAX(0,$C275-$AC$272),IF(DATE($C275,2,15)&gt;=$V$272,$Y$272*(1+($U$272)/100)^MAX(0,$C275-$AB$272),0)))))</f>
      </c>
      <c r="G275" s="43">
        <f>IF($S$272=0,0,IF(OR(DATE($C275,3,15)&lt;$S$272,AND($T$272&gt;0,DATE($C275,3,15)&gt;$T$272)),0,IF(DATE($C275,3,15)&gt;=$X$272,$AA$272*(1+($U$272)/100)^MAX(0,$C275-$AD$272),IF(DATE($C275,3,15)&gt;=$W$272,$Z$272*(1+($U$272)/100)^MAX(0,$C275-$AC$272),IF(DATE($C275,3,15)&gt;=$V$272,$Y$272*(1+($U$272)/100)^MAX(0,$C275-$AB$272),0)))))</f>
      </c>
      <c r="H275" s="43">
        <f>IF($S$272=0,0,IF(OR(DATE($C275,4,15)&lt;$S$272,AND($T$272&gt;0,DATE($C275,4,15)&gt;$T$272)),0,IF(DATE($C275,4,15)&gt;=$X$272,$AA$272*(1+($U$272)/100)^MAX(0,$C275-$AD$272),IF(DATE($C275,4,15)&gt;=$W$272,$Z$272*(1+($U$272)/100)^MAX(0,$C275-$AC$272),IF(DATE($C275,4,15)&gt;=$V$272,$Y$272*(1+($U$272)/100)^MAX(0,$C275-$AB$272),0)))))</f>
      </c>
      <c r="I275" s="43">
        <f>IF($S$272=0,0,IF(OR(DATE($C275,5,15)&lt;$S$272,AND($T$272&gt;0,DATE($C275,5,15)&gt;$T$272)),0,IF(DATE($C275,5,15)&gt;=$X$272,$AA$272*(1+($U$272)/100)^MAX(0,$C275-$AD$272),IF(DATE($C275,5,15)&gt;=$W$272,$Z$272*(1+($U$272)/100)^MAX(0,$C275-$AC$272),IF(DATE($C275,5,15)&gt;=$V$272,$Y$272*(1+($U$272)/100)^MAX(0,$C275-$AB$272),0)))))</f>
      </c>
      <c r="J275" s="43">
        <f>IF($S$272=0,0,IF(OR(DATE($C275,6,15)&lt;$S$272,AND($T$272&gt;0,DATE($C275,6,15)&gt;$T$272)),0,IF(DATE($C275,6,15)&gt;=$X$272,$AA$272*(1+($U$272)/100)^MAX(0,$C275-$AD$272),IF(DATE($C275,6,15)&gt;=$W$272,$Z$272*(1+($U$272)/100)^MAX(0,$C275-$AC$272),IF(DATE($C275,6,15)&gt;=$V$272,$Y$272*(1+($U$272)/100)^MAX(0,$C275-$AB$272),0)))))</f>
      </c>
      <c r="K275" s="43">
        <f>IF($S$272=0,0,IF(OR(DATE($C275,7,15)&lt;$S$272,AND($T$272&gt;0,DATE($C275,7,15)&gt;$T$272)),0,IF(DATE($C275,7,15)&gt;=$X$272,$AA$272*(1+($U$272)/100)^MAX(0,$C275-$AD$272),IF(DATE($C275,7,15)&gt;=$W$272,$Z$272*(1+($U$272)/100)^MAX(0,$C275-$AC$272),IF(DATE($C275,7,15)&gt;=$V$272,$Y$272*(1+($U$272)/100)^MAX(0,$C275-$AB$272),0)))))</f>
      </c>
      <c r="L275" s="43">
        <f>IF($S$272=0,0,IF(OR(DATE($C275,8,15)&lt;$S$272,AND($T$272&gt;0,DATE($C275,8,15)&gt;$T$272)),0,IF(DATE($C275,8,15)&gt;=$X$272,$AA$272*(1+($U$272)/100)^MAX(0,$C275-$AD$272),IF(DATE($C275,8,15)&gt;=$W$272,$Z$272*(1+($U$272)/100)^MAX(0,$C275-$AC$272),IF(DATE($C275,8,15)&gt;=$V$272,$Y$272*(1+($U$272)/100)^MAX(0,$C275-$AB$272),0)))))</f>
      </c>
      <c r="M275" s="43">
        <f>IF($S$272=0,0,IF(OR(DATE($C275,9,15)&lt;$S$272,AND($T$272&gt;0,DATE($C275,9,15)&gt;$T$272)),0,IF(DATE($C275,9,15)&gt;=$X$272,$AA$272*(1+($U$272)/100)^MAX(0,$C275-$AD$272),IF(DATE($C275,9,15)&gt;=$W$272,$Z$272*(1+($U$272)/100)^MAX(0,$C275-$AC$272),IF(DATE($C275,9,15)&gt;=$V$272,$Y$272*(1+($U$272)/100)^MAX(0,$C275-$AB$272),0)))))</f>
      </c>
      <c r="N275" s="43">
        <f>IF($S$272=0,0,IF(OR(DATE($C275,10,15)&lt;$S$272,AND($T$272&gt;0,DATE($C275,10,15)&gt;$T$272)),0,IF(DATE($C275,10,15)&gt;=$X$272,$AA$272*(1+($U$272)/100)^MAX(0,$C275-$AD$272),IF(DATE($C275,10,15)&gt;=$W$272,$Z$272*(1+($U$272)/100)^MAX(0,$C275-$AC$272),IF(DATE($C275,10,15)&gt;=$V$272,$Y$272*(1+($U$272)/100)^MAX(0,$C275-$AB$272),0)))))</f>
      </c>
      <c r="O275" s="43">
        <f>IF($S$272=0,0,IF(OR(DATE($C275,11,15)&lt;$S$272,AND($T$272&gt;0,DATE($C275,11,15)&gt;$T$272)),0,IF(DATE($C275,11,15)&gt;=$X$272,$AA$272*(1+($U$272)/100)^MAX(0,$C275-$AD$272),IF(DATE($C275,11,15)&gt;=$W$272,$Z$272*(1+($U$272)/100)^MAX(0,$C275-$AC$272),IF(DATE($C275,11,15)&gt;=$V$272,$Y$272*(1+($U$272)/100)^MAX(0,$C275-$AB$272),0)))))</f>
      </c>
      <c r="P275" s="43">
        <f>IF($S$272=0,0,IF(OR(DATE($C275,12,15)&lt;$S$272,AND($T$272&gt;0,DATE($C275,12,15)&gt;$T$272)),0,IF(DATE($C275,12,15)&gt;=$X$272,$AA$272*(1+($U$272)/100)^MAX(0,$C275-$AD$272),IF(DATE($C275,12,15)&gt;=$W$272,$Z$272*(1+($U$272)/100)^MAX(0,$C275-$AC$272),IF(DATE($C275,12,15)&gt;=$V$272,$Y$272*(1+($U$272)/100)^MAX(0,$C275-$AB$272),0)))))</f>
      </c>
      <c r="Q275" s="43">
        <f>SUM($E275:$P275)</f>
      </c>
    </row>
    <row r="276">
      <c r="A276"/>
      <c r="B276">
        <v>9</v>
      </c>
      <c r="C276" s="43">
        <f>Jahr+4</f>
      </c>
      <c r="D276" s="43">
        <f>INDEX(MvObj,9)</f>
      </c>
      <c r="E276" s="43">
        <f>IF($S$272=0,0,IF(OR(DATE($C276,1,15)&lt;$S$272,AND($T$272&gt;0,DATE($C276,1,15)&gt;$T$272)),0,IF(DATE($C276,1,15)&gt;=$X$272,$AA$272*(1+($U$272)/100)^MAX(0,$C276-$AD$272),IF(DATE($C276,1,15)&gt;=$W$272,$Z$272*(1+($U$272)/100)^MAX(0,$C276-$AC$272),IF(DATE($C276,1,15)&gt;=$V$272,$Y$272*(1+($U$272)/100)^MAX(0,$C276-$AB$272),0)))))</f>
      </c>
      <c r="F276" s="43">
        <f>IF($S$272=0,0,IF(OR(DATE($C276,2,15)&lt;$S$272,AND($T$272&gt;0,DATE($C276,2,15)&gt;$T$272)),0,IF(DATE($C276,2,15)&gt;=$X$272,$AA$272*(1+($U$272)/100)^MAX(0,$C276-$AD$272),IF(DATE($C276,2,15)&gt;=$W$272,$Z$272*(1+($U$272)/100)^MAX(0,$C276-$AC$272),IF(DATE($C276,2,15)&gt;=$V$272,$Y$272*(1+($U$272)/100)^MAX(0,$C276-$AB$272),0)))))</f>
      </c>
      <c r="G276" s="43">
        <f>IF($S$272=0,0,IF(OR(DATE($C276,3,15)&lt;$S$272,AND($T$272&gt;0,DATE($C276,3,15)&gt;$T$272)),0,IF(DATE($C276,3,15)&gt;=$X$272,$AA$272*(1+($U$272)/100)^MAX(0,$C276-$AD$272),IF(DATE($C276,3,15)&gt;=$W$272,$Z$272*(1+($U$272)/100)^MAX(0,$C276-$AC$272),IF(DATE($C276,3,15)&gt;=$V$272,$Y$272*(1+($U$272)/100)^MAX(0,$C276-$AB$272),0)))))</f>
      </c>
      <c r="H276" s="43">
        <f>IF($S$272=0,0,IF(OR(DATE($C276,4,15)&lt;$S$272,AND($T$272&gt;0,DATE($C276,4,15)&gt;$T$272)),0,IF(DATE($C276,4,15)&gt;=$X$272,$AA$272*(1+($U$272)/100)^MAX(0,$C276-$AD$272),IF(DATE($C276,4,15)&gt;=$W$272,$Z$272*(1+($U$272)/100)^MAX(0,$C276-$AC$272),IF(DATE($C276,4,15)&gt;=$V$272,$Y$272*(1+($U$272)/100)^MAX(0,$C276-$AB$272),0)))))</f>
      </c>
      <c r="I276" s="43">
        <f>IF($S$272=0,0,IF(OR(DATE($C276,5,15)&lt;$S$272,AND($T$272&gt;0,DATE($C276,5,15)&gt;$T$272)),0,IF(DATE($C276,5,15)&gt;=$X$272,$AA$272*(1+($U$272)/100)^MAX(0,$C276-$AD$272),IF(DATE($C276,5,15)&gt;=$W$272,$Z$272*(1+($U$272)/100)^MAX(0,$C276-$AC$272),IF(DATE($C276,5,15)&gt;=$V$272,$Y$272*(1+($U$272)/100)^MAX(0,$C276-$AB$272),0)))))</f>
      </c>
      <c r="J276" s="43">
        <f>IF($S$272=0,0,IF(OR(DATE($C276,6,15)&lt;$S$272,AND($T$272&gt;0,DATE($C276,6,15)&gt;$T$272)),0,IF(DATE($C276,6,15)&gt;=$X$272,$AA$272*(1+($U$272)/100)^MAX(0,$C276-$AD$272),IF(DATE($C276,6,15)&gt;=$W$272,$Z$272*(1+($U$272)/100)^MAX(0,$C276-$AC$272),IF(DATE($C276,6,15)&gt;=$V$272,$Y$272*(1+($U$272)/100)^MAX(0,$C276-$AB$272),0)))))</f>
      </c>
      <c r="K276" s="43">
        <f>IF($S$272=0,0,IF(OR(DATE($C276,7,15)&lt;$S$272,AND($T$272&gt;0,DATE($C276,7,15)&gt;$T$272)),0,IF(DATE($C276,7,15)&gt;=$X$272,$AA$272*(1+($U$272)/100)^MAX(0,$C276-$AD$272),IF(DATE($C276,7,15)&gt;=$W$272,$Z$272*(1+($U$272)/100)^MAX(0,$C276-$AC$272),IF(DATE($C276,7,15)&gt;=$V$272,$Y$272*(1+($U$272)/100)^MAX(0,$C276-$AB$272),0)))))</f>
      </c>
      <c r="L276" s="43">
        <f>IF($S$272=0,0,IF(OR(DATE($C276,8,15)&lt;$S$272,AND($T$272&gt;0,DATE($C276,8,15)&gt;$T$272)),0,IF(DATE($C276,8,15)&gt;=$X$272,$AA$272*(1+($U$272)/100)^MAX(0,$C276-$AD$272),IF(DATE($C276,8,15)&gt;=$W$272,$Z$272*(1+($U$272)/100)^MAX(0,$C276-$AC$272),IF(DATE($C276,8,15)&gt;=$V$272,$Y$272*(1+($U$272)/100)^MAX(0,$C276-$AB$272),0)))))</f>
      </c>
      <c r="M276" s="43">
        <f>IF($S$272=0,0,IF(OR(DATE($C276,9,15)&lt;$S$272,AND($T$272&gt;0,DATE($C276,9,15)&gt;$T$272)),0,IF(DATE($C276,9,15)&gt;=$X$272,$AA$272*(1+($U$272)/100)^MAX(0,$C276-$AD$272),IF(DATE($C276,9,15)&gt;=$W$272,$Z$272*(1+($U$272)/100)^MAX(0,$C276-$AC$272),IF(DATE($C276,9,15)&gt;=$V$272,$Y$272*(1+($U$272)/100)^MAX(0,$C276-$AB$272),0)))))</f>
      </c>
      <c r="N276" s="43">
        <f>IF($S$272=0,0,IF(OR(DATE($C276,10,15)&lt;$S$272,AND($T$272&gt;0,DATE($C276,10,15)&gt;$T$272)),0,IF(DATE($C276,10,15)&gt;=$X$272,$AA$272*(1+($U$272)/100)^MAX(0,$C276-$AD$272),IF(DATE($C276,10,15)&gt;=$W$272,$Z$272*(1+($U$272)/100)^MAX(0,$C276-$AC$272),IF(DATE($C276,10,15)&gt;=$V$272,$Y$272*(1+($U$272)/100)^MAX(0,$C276-$AB$272),0)))))</f>
      </c>
      <c r="O276" s="43">
        <f>IF($S$272=0,0,IF(OR(DATE($C276,11,15)&lt;$S$272,AND($T$272&gt;0,DATE($C276,11,15)&gt;$T$272)),0,IF(DATE($C276,11,15)&gt;=$X$272,$AA$272*(1+($U$272)/100)^MAX(0,$C276-$AD$272),IF(DATE($C276,11,15)&gt;=$W$272,$Z$272*(1+($U$272)/100)^MAX(0,$C276-$AC$272),IF(DATE($C276,11,15)&gt;=$V$272,$Y$272*(1+($U$272)/100)^MAX(0,$C276-$AB$272),0)))))</f>
      </c>
      <c r="P276" s="43">
        <f>IF($S$272=0,0,IF(OR(DATE($C276,12,15)&lt;$S$272,AND($T$272&gt;0,DATE($C276,12,15)&gt;$T$272)),0,IF(DATE($C276,12,15)&gt;=$X$272,$AA$272*(1+($U$272)/100)^MAX(0,$C276-$AD$272),IF(DATE($C276,12,15)&gt;=$W$272,$Z$272*(1+($U$272)/100)^MAX(0,$C276-$AC$272),IF(DATE($C276,12,15)&gt;=$V$272,$Y$272*(1+($U$272)/100)^MAX(0,$C276-$AB$272),0)))))</f>
      </c>
      <c r="Q276" s="43">
        <f>SUM($E276:$P276)</f>
      </c>
    </row>
    <row r="277">
      <c r="A277"/>
      <c r="B277">
        <v>9</v>
      </c>
      <c r="C277" s="43">
        <f>Jahr+5</f>
      </c>
      <c r="D277" s="43">
        <f>INDEX(MvObj,9)</f>
      </c>
      <c r="E277" s="43">
        <f>IF($S$272=0,0,IF(OR(DATE($C277,1,15)&lt;$S$272,AND($T$272&gt;0,DATE($C277,1,15)&gt;$T$272)),0,IF(DATE($C277,1,15)&gt;=$X$272,$AA$272*(1+($U$272)/100)^MAX(0,$C277-$AD$272),IF(DATE($C277,1,15)&gt;=$W$272,$Z$272*(1+($U$272)/100)^MAX(0,$C277-$AC$272),IF(DATE($C277,1,15)&gt;=$V$272,$Y$272*(1+($U$272)/100)^MAX(0,$C277-$AB$272),0)))))</f>
      </c>
      <c r="F277" s="43">
        <f>IF($S$272=0,0,IF(OR(DATE($C277,2,15)&lt;$S$272,AND($T$272&gt;0,DATE($C277,2,15)&gt;$T$272)),0,IF(DATE($C277,2,15)&gt;=$X$272,$AA$272*(1+($U$272)/100)^MAX(0,$C277-$AD$272),IF(DATE($C277,2,15)&gt;=$W$272,$Z$272*(1+($U$272)/100)^MAX(0,$C277-$AC$272),IF(DATE($C277,2,15)&gt;=$V$272,$Y$272*(1+($U$272)/100)^MAX(0,$C277-$AB$272),0)))))</f>
      </c>
      <c r="G277" s="43">
        <f>IF($S$272=0,0,IF(OR(DATE($C277,3,15)&lt;$S$272,AND($T$272&gt;0,DATE($C277,3,15)&gt;$T$272)),0,IF(DATE($C277,3,15)&gt;=$X$272,$AA$272*(1+($U$272)/100)^MAX(0,$C277-$AD$272),IF(DATE($C277,3,15)&gt;=$W$272,$Z$272*(1+($U$272)/100)^MAX(0,$C277-$AC$272),IF(DATE($C277,3,15)&gt;=$V$272,$Y$272*(1+($U$272)/100)^MAX(0,$C277-$AB$272),0)))))</f>
      </c>
      <c r="H277" s="43">
        <f>IF($S$272=0,0,IF(OR(DATE($C277,4,15)&lt;$S$272,AND($T$272&gt;0,DATE($C277,4,15)&gt;$T$272)),0,IF(DATE($C277,4,15)&gt;=$X$272,$AA$272*(1+($U$272)/100)^MAX(0,$C277-$AD$272),IF(DATE($C277,4,15)&gt;=$W$272,$Z$272*(1+($U$272)/100)^MAX(0,$C277-$AC$272),IF(DATE($C277,4,15)&gt;=$V$272,$Y$272*(1+($U$272)/100)^MAX(0,$C277-$AB$272),0)))))</f>
      </c>
      <c r="I277" s="43">
        <f>IF($S$272=0,0,IF(OR(DATE($C277,5,15)&lt;$S$272,AND($T$272&gt;0,DATE($C277,5,15)&gt;$T$272)),0,IF(DATE($C277,5,15)&gt;=$X$272,$AA$272*(1+($U$272)/100)^MAX(0,$C277-$AD$272),IF(DATE($C277,5,15)&gt;=$W$272,$Z$272*(1+($U$272)/100)^MAX(0,$C277-$AC$272),IF(DATE($C277,5,15)&gt;=$V$272,$Y$272*(1+($U$272)/100)^MAX(0,$C277-$AB$272),0)))))</f>
      </c>
      <c r="J277" s="43">
        <f>IF($S$272=0,0,IF(OR(DATE($C277,6,15)&lt;$S$272,AND($T$272&gt;0,DATE($C277,6,15)&gt;$T$272)),0,IF(DATE($C277,6,15)&gt;=$X$272,$AA$272*(1+($U$272)/100)^MAX(0,$C277-$AD$272),IF(DATE($C277,6,15)&gt;=$W$272,$Z$272*(1+($U$272)/100)^MAX(0,$C277-$AC$272),IF(DATE($C277,6,15)&gt;=$V$272,$Y$272*(1+($U$272)/100)^MAX(0,$C277-$AB$272),0)))))</f>
      </c>
      <c r="K277" s="43">
        <f>IF($S$272=0,0,IF(OR(DATE($C277,7,15)&lt;$S$272,AND($T$272&gt;0,DATE($C277,7,15)&gt;$T$272)),0,IF(DATE($C277,7,15)&gt;=$X$272,$AA$272*(1+($U$272)/100)^MAX(0,$C277-$AD$272),IF(DATE($C277,7,15)&gt;=$W$272,$Z$272*(1+($U$272)/100)^MAX(0,$C277-$AC$272),IF(DATE($C277,7,15)&gt;=$V$272,$Y$272*(1+($U$272)/100)^MAX(0,$C277-$AB$272),0)))))</f>
      </c>
      <c r="L277" s="43">
        <f>IF($S$272=0,0,IF(OR(DATE($C277,8,15)&lt;$S$272,AND($T$272&gt;0,DATE($C277,8,15)&gt;$T$272)),0,IF(DATE($C277,8,15)&gt;=$X$272,$AA$272*(1+($U$272)/100)^MAX(0,$C277-$AD$272),IF(DATE($C277,8,15)&gt;=$W$272,$Z$272*(1+($U$272)/100)^MAX(0,$C277-$AC$272),IF(DATE($C277,8,15)&gt;=$V$272,$Y$272*(1+($U$272)/100)^MAX(0,$C277-$AB$272),0)))))</f>
      </c>
      <c r="M277" s="43">
        <f>IF($S$272=0,0,IF(OR(DATE($C277,9,15)&lt;$S$272,AND($T$272&gt;0,DATE($C277,9,15)&gt;$T$272)),0,IF(DATE($C277,9,15)&gt;=$X$272,$AA$272*(1+($U$272)/100)^MAX(0,$C277-$AD$272),IF(DATE($C277,9,15)&gt;=$W$272,$Z$272*(1+($U$272)/100)^MAX(0,$C277-$AC$272),IF(DATE($C277,9,15)&gt;=$V$272,$Y$272*(1+($U$272)/100)^MAX(0,$C277-$AB$272),0)))))</f>
      </c>
      <c r="N277" s="43">
        <f>IF($S$272=0,0,IF(OR(DATE($C277,10,15)&lt;$S$272,AND($T$272&gt;0,DATE($C277,10,15)&gt;$T$272)),0,IF(DATE($C277,10,15)&gt;=$X$272,$AA$272*(1+($U$272)/100)^MAX(0,$C277-$AD$272),IF(DATE($C277,10,15)&gt;=$W$272,$Z$272*(1+($U$272)/100)^MAX(0,$C277-$AC$272),IF(DATE($C277,10,15)&gt;=$V$272,$Y$272*(1+($U$272)/100)^MAX(0,$C277-$AB$272),0)))))</f>
      </c>
      <c r="O277" s="43">
        <f>IF($S$272=0,0,IF(OR(DATE($C277,11,15)&lt;$S$272,AND($T$272&gt;0,DATE($C277,11,15)&gt;$T$272)),0,IF(DATE($C277,11,15)&gt;=$X$272,$AA$272*(1+($U$272)/100)^MAX(0,$C277-$AD$272),IF(DATE($C277,11,15)&gt;=$W$272,$Z$272*(1+($U$272)/100)^MAX(0,$C277-$AC$272),IF(DATE($C277,11,15)&gt;=$V$272,$Y$272*(1+($U$272)/100)^MAX(0,$C277-$AB$272),0)))))</f>
      </c>
      <c r="P277" s="43">
        <f>IF($S$272=0,0,IF(OR(DATE($C277,12,15)&lt;$S$272,AND($T$272&gt;0,DATE($C277,12,15)&gt;$T$272)),0,IF(DATE($C277,12,15)&gt;=$X$272,$AA$272*(1+($U$272)/100)^MAX(0,$C277-$AD$272),IF(DATE($C277,12,15)&gt;=$W$272,$Z$272*(1+($U$272)/100)^MAX(0,$C277-$AC$272),IF(DATE($C277,12,15)&gt;=$V$272,$Y$272*(1+($U$272)/100)^MAX(0,$C277-$AB$272),0)))))</f>
      </c>
      <c r="Q277" s="43">
        <f>SUM($E277:$P277)</f>
      </c>
    </row>
    <row r="278">
      <c r="A278"/>
      <c r="B278">
        <v>9</v>
      </c>
      <c r="C278" s="43">
        <f>Jahr+6</f>
      </c>
      <c r="D278" s="43">
        <f>INDEX(MvObj,9)</f>
      </c>
      <c r="E278" s="43">
        <f>IF($S$272=0,0,IF(OR(DATE($C278,1,15)&lt;$S$272,AND($T$272&gt;0,DATE($C278,1,15)&gt;$T$272)),0,IF(DATE($C278,1,15)&gt;=$X$272,$AA$272*(1+($U$272)/100)^MAX(0,$C278-$AD$272),IF(DATE($C278,1,15)&gt;=$W$272,$Z$272*(1+($U$272)/100)^MAX(0,$C278-$AC$272),IF(DATE($C278,1,15)&gt;=$V$272,$Y$272*(1+($U$272)/100)^MAX(0,$C278-$AB$272),0)))))</f>
      </c>
      <c r="F278" s="43">
        <f>IF($S$272=0,0,IF(OR(DATE($C278,2,15)&lt;$S$272,AND($T$272&gt;0,DATE($C278,2,15)&gt;$T$272)),0,IF(DATE($C278,2,15)&gt;=$X$272,$AA$272*(1+($U$272)/100)^MAX(0,$C278-$AD$272),IF(DATE($C278,2,15)&gt;=$W$272,$Z$272*(1+($U$272)/100)^MAX(0,$C278-$AC$272),IF(DATE($C278,2,15)&gt;=$V$272,$Y$272*(1+($U$272)/100)^MAX(0,$C278-$AB$272),0)))))</f>
      </c>
      <c r="G278" s="43">
        <f>IF($S$272=0,0,IF(OR(DATE($C278,3,15)&lt;$S$272,AND($T$272&gt;0,DATE($C278,3,15)&gt;$T$272)),0,IF(DATE($C278,3,15)&gt;=$X$272,$AA$272*(1+($U$272)/100)^MAX(0,$C278-$AD$272),IF(DATE($C278,3,15)&gt;=$W$272,$Z$272*(1+($U$272)/100)^MAX(0,$C278-$AC$272),IF(DATE($C278,3,15)&gt;=$V$272,$Y$272*(1+($U$272)/100)^MAX(0,$C278-$AB$272),0)))))</f>
      </c>
      <c r="H278" s="43">
        <f>IF($S$272=0,0,IF(OR(DATE($C278,4,15)&lt;$S$272,AND($T$272&gt;0,DATE($C278,4,15)&gt;$T$272)),0,IF(DATE($C278,4,15)&gt;=$X$272,$AA$272*(1+($U$272)/100)^MAX(0,$C278-$AD$272),IF(DATE($C278,4,15)&gt;=$W$272,$Z$272*(1+($U$272)/100)^MAX(0,$C278-$AC$272),IF(DATE($C278,4,15)&gt;=$V$272,$Y$272*(1+($U$272)/100)^MAX(0,$C278-$AB$272),0)))))</f>
      </c>
      <c r="I278" s="43">
        <f>IF($S$272=0,0,IF(OR(DATE($C278,5,15)&lt;$S$272,AND($T$272&gt;0,DATE($C278,5,15)&gt;$T$272)),0,IF(DATE($C278,5,15)&gt;=$X$272,$AA$272*(1+($U$272)/100)^MAX(0,$C278-$AD$272),IF(DATE($C278,5,15)&gt;=$W$272,$Z$272*(1+($U$272)/100)^MAX(0,$C278-$AC$272),IF(DATE($C278,5,15)&gt;=$V$272,$Y$272*(1+($U$272)/100)^MAX(0,$C278-$AB$272),0)))))</f>
      </c>
      <c r="J278" s="43">
        <f>IF($S$272=0,0,IF(OR(DATE($C278,6,15)&lt;$S$272,AND($T$272&gt;0,DATE($C278,6,15)&gt;$T$272)),0,IF(DATE($C278,6,15)&gt;=$X$272,$AA$272*(1+($U$272)/100)^MAX(0,$C278-$AD$272),IF(DATE($C278,6,15)&gt;=$W$272,$Z$272*(1+($U$272)/100)^MAX(0,$C278-$AC$272),IF(DATE($C278,6,15)&gt;=$V$272,$Y$272*(1+($U$272)/100)^MAX(0,$C278-$AB$272),0)))))</f>
      </c>
      <c r="K278" s="43">
        <f>IF($S$272=0,0,IF(OR(DATE($C278,7,15)&lt;$S$272,AND($T$272&gt;0,DATE($C278,7,15)&gt;$T$272)),0,IF(DATE($C278,7,15)&gt;=$X$272,$AA$272*(1+($U$272)/100)^MAX(0,$C278-$AD$272),IF(DATE($C278,7,15)&gt;=$W$272,$Z$272*(1+($U$272)/100)^MAX(0,$C278-$AC$272),IF(DATE($C278,7,15)&gt;=$V$272,$Y$272*(1+($U$272)/100)^MAX(0,$C278-$AB$272),0)))))</f>
      </c>
      <c r="L278" s="43">
        <f>IF($S$272=0,0,IF(OR(DATE($C278,8,15)&lt;$S$272,AND($T$272&gt;0,DATE($C278,8,15)&gt;$T$272)),0,IF(DATE($C278,8,15)&gt;=$X$272,$AA$272*(1+($U$272)/100)^MAX(0,$C278-$AD$272),IF(DATE($C278,8,15)&gt;=$W$272,$Z$272*(1+($U$272)/100)^MAX(0,$C278-$AC$272),IF(DATE($C278,8,15)&gt;=$V$272,$Y$272*(1+($U$272)/100)^MAX(0,$C278-$AB$272),0)))))</f>
      </c>
      <c r="M278" s="43">
        <f>IF($S$272=0,0,IF(OR(DATE($C278,9,15)&lt;$S$272,AND($T$272&gt;0,DATE($C278,9,15)&gt;$T$272)),0,IF(DATE($C278,9,15)&gt;=$X$272,$AA$272*(1+($U$272)/100)^MAX(0,$C278-$AD$272),IF(DATE($C278,9,15)&gt;=$W$272,$Z$272*(1+($U$272)/100)^MAX(0,$C278-$AC$272),IF(DATE($C278,9,15)&gt;=$V$272,$Y$272*(1+($U$272)/100)^MAX(0,$C278-$AB$272),0)))))</f>
      </c>
      <c r="N278" s="43">
        <f>IF($S$272=0,0,IF(OR(DATE($C278,10,15)&lt;$S$272,AND($T$272&gt;0,DATE($C278,10,15)&gt;$T$272)),0,IF(DATE($C278,10,15)&gt;=$X$272,$AA$272*(1+($U$272)/100)^MAX(0,$C278-$AD$272),IF(DATE($C278,10,15)&gt;=$W$272,$Z$272*(1+($U$272)/100)^MAX(0,$C278-$AC$272),IF(DATE($C278,10,15)&gt;=$V$272,$Y$272*(1+($U$272)/100)^MAX(0,$C278-$AB$272),0)))))</f>
      </c>
      <c r="O278" s="43">
        <f>IF($S$272=0,0,IF(OR(DATE($C278,11,15)&lt;$S$272,AND($T$272&gt;0,DATE($C278,11,15)&gt;$T$272)),0,IF(DATE($C278,11,15)&gt;=$X$272,$AA$272*(1+($U$272)/100)^MAX(0,$C278-$AD$272),IF(DATE($C278,11,15)&gt;=$W$272,$Z$272*(1+($U$272)/100)^MAX(0,$C278-$AC$272),IF(DATE($C278,11,15)&gt;=$V$272,$Y$272*(1+($U$272)/100)^MAX(0,$C278-$AB$272),0)))))</f>
      </c>
      <c r="P278" s="43">
        <f>IF($S$272=0,0,IF(OR(DATE($C278,12,15)&lt;$S$272,AND($T$272&gt;0,DATE($C278,12,15)&gt;$T$272)),0,IF(DATE($C278,12,15)&gt;=$X$272,$AA$272*(1+($U$272)/100)^MAX(0,$C278-$AD$272),IF(DATE($C278,12,15)&gt;=$W$272,$Z$272*(1+($U$272)/100)^MAX(0,$C278-$AC$272),IF(DATE($C278,12,15)&gt;=$V$272,$Y$272*(1+($U$272)/100)^MAX(0,$C278-$AB$272),0)))))</f>
      </c>
      <c r="Q278" s="43">
        <f>SUM($E278:$P278)</f>
      </c>
    </row>
    <row r="279">
      <c r="A279"/>
      <c r="B279">
        <v>9</v>
      </c>
      <c r="C279" s="43">
        <f>Jahr+7</f>
      </c>
      <c r="D279" s="43">
        <f>INDEX(MvObj,9)</f>
      </c>
      <c r="E279" s="43">
        <f>IF($S$272=0,0,IF(OR(DATE($C279,1,15)&lt;$S$272,AND($T$272&gt;0,DATE($C279,1,15)&gt;$T$272)),0,IF(DATE($C279,1,15)&gt;=$X$272,$AA$272*(1+($U$272)/100)^MAX(0,$C279-$AD$272),IF(DATE($C279,1,15)&gt;=$W$272,$Z$272*(1+($U$272)/100)^MAX(0,$C279-$AC$272),IF(DATE($C279,1,15)&gt;=$V$272,$Y$272*(1+($U$272)/100)^MAX(0,$C279-$AB$272),0)))))</f>
      </c>
      <c r="F279" s="43">
        <f>IF($S$272=0,0,IF(OR(DATE($C279,2,15)&lt;$S$272,AND($T$272&gt;0,DATE($C279,2,15)&gt;$T$272)),0,IF(DATE($C279,2,15)&gt;=$X$272,$AA$272*(1+($U$272)/100)^MAX(0,$C279-$AD$272),IF(DATE($C279,2,15)&gt;=$W$272,$Z$272*(1+($U$272)/100)^MAX(0,$C279-$AC$272),IF(DATE($C279,2,15)&gt;=$V$272,$Y$272*(1+($U$272)/100)^MAX(0,$C279-$AB$272),0)))))</f>
      </c>
      <c r="G279" s="43">
        <f>IF($S$272=0,0,IF(OR(DATE($C279,3,15)&lt;$S$272,AND($T$272&gt;0,DATE($C279,3,15)&gt;$T$272)),0,IF(DATE($C279,3,15)&gt;=$X$272,$AA$272*(1+($U$272)/100)^MAX(0,$C279-$AD$272),IF(DATE($C279,3,15)&gt;=$W$272,$Z$272*(1+($U$272)/100)^MAX(0,$C279-$AC$272),IF(DATE($C279,3,15)&gt;=$V$272,$Y$272*(1+($U$272)/100)^MAX(0,$C279-$AB$272),0)))))</f>
      </c>
      <c r="H279" s="43">
        <f>IF($S$272=0,0,IF(OR(DATE($C279,4,15)&lt;$S$272,AND($T$272&gt;0,DATE($C279,4,15)&gt;$T$272)),0,IF(DATE($C279,4,15)&gt;=$X$272,$AA$272*(1+($U$272)/100)^MAX(0,$C279-$AD$272),IF(DATE($C279,4,15)&gt;=$W$272,$Z$272*(1+($U$272)/100)^MAX(0,$C279-$AC$272),IF(DATE($C279,4,15)&gt;=$V$272,$Y$272*(1+($U$272)/100)^MAX(0,$C279-$AB$272),0)))))</f>
      </c>
      <c r="I279" s="43">
        <f>IF($S$272=0,0,IF(OR(DATE($C279,5,15)&lt;$S$272,AND($T$272&gt;0,DATE($C279,5,15)&gt;$T$272)),0,IF(DATE($C279,5,15)&gt;=$X$272,$AA$272*(1+($U$272)/100)^MAX(0,$C279-$AD$272),IF(DATE($C279,5,15)&gt;=$W$272,$Z$272*(1+($U$272)/100)^MAX(0,$C279-$AC$272),IF(DATE($C279,5,15)&gt;=$V$272,$Y$272*(1+($U$272)/100)^MAX(0,$C279-$AB$272),0)))))</f>
      </c>
      <c r="J279" s="43">
        <f>IF($S$272=0,0,IF(OR(DATE($C279,6,15)&lt;$S$272,AND($T$272&gt;0,DATE($C279,6,15)&gt;$T$272)),0,IF(DATE($C279,6,15)&gt;=$X$272,$AA$272*(1+($U$272)/100)^MAX(0,$C279-$AD$272),IF(DATE($C279,6,15)&gt;=$W$272,$Z$272*(1+($U$272)/100)^MAX(0,$C279-$AC$272),IF(DATE($C279,6,15)&gt;=$V$272,$Y$272*(1+($U$272)/100)^MAX(0,$C279-$AB$272),0)))))</f>
      </c>
      <c r="K279" s="43">
        <f>IF($S$272=0,0,IF(OR(DATE($C279,7,15)&lt;$S$272,AND($T$272&gt;0,DATE($C279,7,15)&gt;$T$272)),0,IF(DATE($C279,7,15)&gt;=$X$272,$AA$272*(1+($U$272)/100)^MAX(0,$C279-$AD$272),IF(DATE($C279,7,15)&gt;=$W$272,$Z$272*(1+($U$272)/100)^MAX(0,$C279-$AC$272),IF(DATE($C279,7,15)&gt;=$V$272,$Y$272*(1+($U$272)/100)^MAX(0,$C279-$AB$272),0)))))</f>
      </c>
      <c r="L279" s="43">
        <f>IF($S$272=0,0,IF(OR(DATE($C279,8,15)&lt;$S$272,AND($T$272&gt;0,DATE($C279,8,15)&gt;$T$272)),0,IF(DATE($C279,8,15)&gt;=$X$272,$AA$272*(1+($U$272)/100)^MAX(0,$C279-$AD$272),IF(DATE($C279,8,15)&gt;=$W$272,$Z$272*(1+($U$272)/100)^MAX(0,$C279-$AC$272),IF(DATE($C279,8,15)&gt;=$V$272,$Y$272*(1+($U$272)/100)^MAX(0,$C279-$AB$272),0)))))</f>
      </c>
      <c r="M279" s="43">
        <f>IF($S$272=0,0,IF(OR(DATE($C279,9,15)&lt;$S$272,AND($T$272&gt;0,DATE($C279,9,15)&gt;$T$272)),0,IF(DATE($C279,9,15)&gt;=$X$272,$AA$272*(1+($U$272)/100)^MAX(0,$C279-$AD$272),IF(DATE($C279,9,15)&gt;=$W$272,$Z$272*(1+($U$272)/100)^MAX(0,$C279-$AC$272),IF(DATE($C279,9,15)&gt;=$V$272,$Y$272*(1+($U$272)/100)^MAX(0,$C279-$AB$272),0)))))</f>
      </c>
      <c r="N279" s="43">
        <f>IF($S$272=0,0,IF(OR(DATE($C279,10,15)&lt;$S$272,AND($T$272&gt;0,DATE($C279,10,15)&gt;$T$272)),0,IF(DATE($C279,10,15)&gt;=$X$272,$AA$272*(1+($U$272)/100)^MAX(0,$C279-$AD$272),IF(DATE($C279,10,15)&gt;=$W$272,$Z$272*(1+($U$272)/100)^MAX(0,$C279-$AC$272),IF(DATE($C279,10,15)&gt;=$V$272,$Y$272*(1+($U$272)/100)^MAX(0,$C279-$AB$272),0)))))</f>
      </c>
      <c r="O279" s="43">
        <f>IF($S$272=0,0,IF(OR(DATE($C279,11,15)&lt;$S$272,AND($T$272&gt;0,DATE($C279,11,15)&gt;$T$272)),0,IF(DATE($C279,11,15)&gt;=$X$272,$AA$272*(1+($U$272)/100)^MAX(0,$C279-$AD$272),IF(DATE($C279,11,15)&gt;=$W$272,$Z$272*(1+($U$272)/100)^MAX(0,$C279-$AC$272),IF(DATE($C279,11,15)&gt;=$V$272,$Y$272*(1+($U$272)/100)^MAX(0,$C279-$AB$272),0)))))</f>
      </c>
      <c r="P279" s="43">
        <f>IF($S$272=0,0,IF(OR(DATE($C279,12,15)&lt;$S$272,AND($T$272&gt;0,DATE($C279,12,15)&gt;$T$272)),0,IF(DATE($C279,12,15)&gt;=$X$272,$AA$272*(1+($U$272)/100)^MAX(0,$C279-$AD$272),IF(DATE($C279,12,15)&gt;=$W$272,$Z$272*(1+($U$272)/100)^MAX(0,$C279-$AC$272),IF(DATE($C279,12,15)&gt;=$V$272,$Y$272*(1+($U$272)/100)^MAX(0,$C279-$AB$272),0)))))</f>
      </c>
      <c r="Q279" s="43">
        <f>SUM($E279:$P279)</f>
      </c>
    </row>
    <row r="280">
      <c r="A280"/>
      <c r="B280">
        <v>9</v>
      </c>
      <c r="C280" s="43">
        <f>Jahr+8</f>
      </c>
      <c r="D280" s="43">
        <f>INDEX(MvObj,9)</f>
      </c>
      <c r="E280" s="43">
        <f>IF($S$272=0,0,IF(OR(DATE($C280,1,15)&lt;$S$272,AND($T$272&gt;0,DATE($C280,1,15)&gt;$T$272)),0,IF(DATE($C280,1,15)&gt;=$X$272,$AA$272*(1+($U$272)/100)^MAX(0,$C280-$AD$272),IF(DATE($C280,1,15)&gt;=$W$272,$Z$272*(1+($U$272)/100)^MAX(0,$C280-$AC$272),IF(DATE($C280,1,15)&gt;=$V$272,$Y$272*(1+($U$272)/100)^MAX(0,$C280-$AB$272),0)))))</f>
      </c>
      <c r="F280" s="43">
        <f>IF($S$272=0,0,IF(OR(DATE($C280,2,15)&lt;$S$272,AND($T$272&gt;0,DATE($C280,2,15)&gt;$T$272)),0,IF(DATE($C280,2,15)&gt;=$X$272,$AA$272*(1+($U$272)/100)^MAX(0,$C280-$AD$272),IF(DATE($C280,2,15)&gt;=$W$272,$Z$272*(1+($U$272)/100)^MAX(0,$C280-$AC$272),IF(DATE($C280,2,15)&gt;=$V$272,$Y$272*(1+($U$272)/100)^MAX(0,$C280-$AB$272),0)))))</f>
      </c>
      <c r="G280" s="43">
        <f>IF($S$272=0,0,IF(OR(DATE($C280,3,15)&lt;$S$272,AND($T$272&gt;0,DATE($C280,3,15)&gt;$T$272)),0,IF(DATE($C280,3,15)&gt;=$X$272,$AA$272*(1+($U$272)/100)^MAX(0,$C280-$AD$272),IF(DATE($C280,3,15)&gt;=$W$272,$Z$272*(1+($U$272)/100)^MAX(0,$C280-$AC$272),IF(DATE($C280,3,15)&gt;=$V$272,$Y$272*(1+($U$272)/100)^MAX(0,$C280-$AB$272),0)))))</f>
      </c>
      <c r="H280" s="43">
        <f>IF($S$272=0,0,IF(OR(DATE($C280,4,15)&lt;$S$272,AND($T$272&gt;0,DATE($C280,4,15)&gt;$T$272)),0,IF(DATE($C280,4,15)&gt;=$X$272,$AA$272*(1+($U$272)/100)^MAX(0,$C280-$AD$272),IF(DATE($C280,4,15)&gt;=$W$272,$Z$272*(1+($U$272)/100)^MAX(0,$C280-$AC$272),IF(DATE($C280,4,15)&gt;=$V$272,$Y$272*(1+($U$272)/100)^MAX(0,$C280-$AB$272),0)))))</f>
      </c>
      <c r="I280" s="43">
        <f>IF($S$272=0,0,IF(OR(DATE($C280,5,15)&lt;$S$272,AND($T$272&gt;0,DATE($C280,5,15)&gt;$T$272)),0,IF(DATE($C280,5,15)&gt;=$X$272,$AA$272*(1+($U$272)/100)^MAX(0,$C280-$AD$272),IF(DATE($C280,5,15)&gt;=$W$272,$Z$272*(1+($U$272)/100)^MAX(0,$C280-$AC$272),IF(DATE($C280,5,15)&gt;=$V$272,$Y$272*(1+($U$272)/100)^MAX(0,$C280-$AB$272),0)))))</f>
      </c>
      <c r="J280" s="43">
        <f>IF($S$272=0,0,IF(OR(DATE($C280,6,15)&lt;$S$272,AND($T$272&gt;0,DATE($C280,6,15)&gt;$T$272)),0,IF(DATE($C280,6,15)&gt;=$X$272,$AA$272*(1+($U$272)/100)^MAX(0,$C280-$AD$272),IF(DATE($C280,6,15)&gt;=$W$272,$Z$272*(1+($U$272)/100)^MAX(0,$C280-$AC$272),IF(DATE($C280,6,15)&gt;=$V$272,$Y$272*(1+($U$272)/100)^MAX(0,$C280-$AB$272),0)))))</f>
      </c>
      <c r="K280" s="43">
        <f>IF($S$272=0,0,IF(OR(DATE($C280,7,15)&lt;$S$272,AND($T$272&gt;0,DATE($C280,7,15)&gt;$T$272)),0,IF(DATE($C280,7,15)&gt;=$X$272,$AA$272*(1+($U$272)/100)^MAX(0,$C280-$AD$272),IF(DATE($C280,7,15)&gt;=$W$272,$Z$272*(1+($U$272)/100)^MAX(0,$C280-$AC$272),IF(DATE($C280,7,15)&gt;=$V$272,$Y$272*(1+($U$272)/100)^MAX(0,$C280-$AB$272),0)))))</f>
      </c>
      <c r="L280" s="43">
        <f>IF($S$272=0,0,IF(OR(DATE($C280,8,15)&lt;$S$272,AND($T$272&gt;0,DATE($C280,8,15)&gt;$T$272)),0,IF(DATE($C280,8,15)&gt;=$X$272,$AA$272*(1+($U$272)/100)^MAX(0,$C280-$AD$272),IF(DATE($C280,8,15)&gt;=$W$272,$Z$272*(1+($U$272)/100)^MAX(0,$C280-$AC$272),IF(DATE($C280,8,15)&gt;=$V$272,$Y$272*(1+($U$272)/100)^MAX(0,$C280-$AB$272),0)))))</f>
      </c>
      <c r="M280" s="43">
        <f>IF($S$272=0,0,IF(OR(DATE($C280,9,15)&lt;$S$272,AND($T$272&gt;0,DATE($C280,9,15)&gt;$T$272)),0,IF(DATE($C280,9,15)&gt;=$X$272,$AA$272*(1+($U$272)/100)^MAX(0,$C280-$AD$272),IF(DATE($C280,9,15)&gt;=$W$272,$Z$272*(1+($U$272)/100)^MAX(0,$C280-$AC$272),IF(DATE($C280,9,15)&gt;=$V$272,$Y$272*(1+($U$272)/100)^MAX(0,$C280-$AB$272),0)))))</f>
      </c>
      <c r="N280" s="43">
        <f>IF($S$272=0,0,IF(OR(DATE($C280,10,15)&lt;$S$272,AND($T$272&gt;0,DATE($C280,10,15)&gt;$T$272)),0,IF(DATE($C280,10,15)&gt;=$X$272,$AA$272*(1+($U$272)/100)^MAX(0,$C280-$AD$272),IF(DATE($C280,10,15)&gt;=$W$272,$Z$272*(1+($U$272)/100)^MAX(0,$C280-$AC$272),IF(DATE($C280,10,15)&gt;=$V$272,$Y$272*(1+($U$272)/100)^MAX(0,$C280-$AB$272),0)))))</f>
      </c>
      <c r="O280" s="43">
        <f>IF($S$272=0,0,IF(OR(DATE($C280,11,15)&lt;$S$272,AND($T$272&gt;0,DATE($C280,11,15)&gt;$T$272)),0,IF(DATE($C280,11,15)&gt;=$X$272,$AA$272*(1+($U$272)/100)^MAX(0,$C280-$AD$272),IF(DATE($C280,11,15)&gt;=$W$272,$Z$272*(1+($U$272)/100)^MAX(0,$C280-$AC$272),IF(DATE($C280,11,15)&gt;=$V$272,$Y$272*(1+($U$272)/100)^MAX(0,$C280-$AB$272),0)))))</f>
      </c>
      <c r="P280" s="43">
        <f>IF($S$272=0,0,IF(OR(DATE($C280,12,15)&lt;$S$272,AND($T$272&gt;0,DATE($C280,12,15)&gt;$T$272)),0,IF(DATE($C280,12,15)&gt;=$X$272,$AA$272*(1+($U$272)/100)^MAX(0,$C280-$AD$272),IF(DATE($C280,12,15)&gt;=$W$272,$Z$272*(1+($U$272)/100)^MAX(0,$C280-$AC$272),IF(DATE($C280,12,15)&gt;=$V$272,$Y$272*(1+($U$272)/100)^MAX(0,$C280-$AB$272),0)))))</f>
      </c>
      <c r="Q280" s="43">
        <f>SUM($E280:$P280)</f>
      </c>
    </row>
    <row r="281">
      <c r="A281"/>
      <c r="B281">
        <v>9</v>
      </c>
      <c r="C281" s="43">
        <f>Jahr+9</f>
      </c>
      <c r="D281" s="43">
        <f>INDEX(MvObj,9)</f>
      </c>
      <c r="E281" s="43">
        <f>IF($S$272=0,0,IF(OR(DATE($C281,1,15)&lt;$S$272,AND($T$272&gt;0,DATE($C281,1,15)&gt;$T$272)),0,IF(DATE($C281,1,15)&gt;=$X$272,$AA$272*(1+($U$272)/100)^MAX(0,$C281-$AD$272),IF(DATE($C281,1,15)&gt;=$W$272,$Z$272*(1+($U$272)/100)^MAX(0,$C281-$AC$272),IF(DATE($C281,1,15)&gt;=$V$272,$Y$272*(1+($U$272)/100)^MAX(0,$C281-$AB$272),0)))))</f>
      </c>
      <c r="F281" s="43">
        <f>IF($S$272=0,0,IF(OR(DATE($C281,2,15)&lt;$S$272,AND($T$272&gt;0,DATE($C281,2,15)&gt;$T$272)),0,IF(DATE($C281,2,15)&gt;=$X$272,$AA$272*(1+($U$272)/100)^MAX(0,$C281-$AD$272),IF(DATE($C281,2,15)&gt;=$W$272,$Z$272*(1+($U$272)/100)^MAX(0,$C281-$AC$272),IF(DATE($C281,2,15)&gt;=$V$272,$Y$272*(1+($U$272)/100)^MAX(0,$C281-$AB$272),0)))))</f>
      </c>
      <c r="G281" s="43">
        <f>IF($S$272=0,0,IF(OR(DATE($C281,3,15)&lt;$S$272,AND($T$272&gt;0,DATE($C281,3,15)&gt;$T$272)),0,IF(DATE($C281,3,15)&gt;=$X$272,$AA$272*(1+($U$272)/100)^MAX(0,$C281-$AD$272),IF(DATE($C281,3,15)&gt;=$W$272,$Z$272*(1+($U$272)/100)^MAX(0,$C281-$AC$272),IF(DATE($C281,3,15)&gt;=$V$272,$Y$272*(1+($U$272)/100)^MAX(0,$C281-$AB$272),0)))))</f>
      </c>
      <c r="H281" s="43">
        <f>IF($S$272=0,0,IF(OR(DATE($C281,4,15)&lt;$S$272,AND($T$272&gt;0,DATE($C281,4,15)&gt;$T$272)),0,IF(DATE($C281,4,15)&gt;=$X$272,$AA$272*(1+($U$272)/100)^MAX(0,$C281-$AD$272),IF(DATE($C281,4,15)&gt;=$W$272,$Z$272*(1+($U$272)/100)^MAX(0,$C281-$AC$272),IF(DATE($C281,4,15)&gt;=$V$272,$Y$272*(1+($U$272)/100)^MAX(0,$C281-$AB$272),0)))))</f>
      </c>
      <c r="I281" s="43">
        <f>IF($S$272=0,0,IF(OR(DATE($C281,5,15)&lt;$S$272,AND($T$272&gt;0,DATE($C281,5,15)&gt;$T$272)),0,IF(DATE($C281,5,15)&gt;=$X$272,$AA$272*(1+($U$272)/100)^MAX(0,$C281-$AD$272),IF(DATE($C281,5,15)&gt;=$W$272,$Z$272*(1+($U$272)/100)^MAX(0,$C281-$AC$272),IF(DATE($C281,5,15)&gt;=$V$272,$Y$272*(1+($U$272)/100)^MAX(0,$C281-$AB$272),0)))))</f>
      </c>
      <c r="J281" s="43">
        <f>IF($S$272=0,0,IF(OR(DATE($C281,6,15)&lt;$S$272,AND($T$272&gt;0,DATE($C281,6,15)&gt;$T$272)),0,IF(DATE($C281,6,15)&gt;=$X$272,$AA$272*(1+($U$272)/100)^MAX(0,$C281-$AD$272),IF(DATE($C281,6,15)&gt;=$W$272,$Z$272*(1+($U$272)/100)^MAX(0,$C281-$AC$272),IF(DATE($C281,6,15)&gt;=$V$272,$Y$272*(1+($U$272)/100)^MAX(0,$C281-$AB$272),0)))))</f>
      </c>
      <c r="K281" s="43">
        <f>IF($S$272=0,0,IF(OR(DATE($C281,7,15)&lt;$S$272,AND($T$272&gt;0,DATE($C281,7,15)&gt;$T$272)),0,IF(DATE($C281,7,15)&gt;=$X$272,$AA$272*(1+($U$272)/100)^MAX(0,$C281-$AD$272),IF(DATE($C281,7,15)&gt;=$W$272,$Z$272*(1+($U$272)/100)^MAX(0,$C281-$AC$272),IF(DATE($C281,7,15)&gt;=$V$272,$Y$272*(1+($U$272)/100)^MAX(0,$C281-$AB$272),0)))))</f>
      </c>
      <c r="L281" s="43">
        <f>IF($S$272=0,0,IF(OR(DATE($C281,8,15)&lt;$S$272,AND($T$272&gt;0,DATE($C281,8,15)&gt;$T$272)),0,IF(DATE($C281,8,15)&gt;=$X$272,$AA$272*(1+($U$272)/100)^MAX(0,$C281-$AD$272),IF(DATE($C281,8,15)&gt;=$W$272,$Z$272*(1+($U$272)/100)^MAX(0,$C281-$AC$272),IF(DATE($C281,8,15)&gt;=$V$272,$Y$272*(1+($U$272)/100)^MAX(0,$C281-$AB$272),0)))))</f>
      </c>
      <c r="M281" s="43">
        <f>IF($S$272=0,0,IF(OR(DATE($C281,9,15)&lt;$S$272,AND($T$272&gt;0,DATE($C281,9,15)&gt;$T$272)),0,IF(DATE($C281,9,15)&gt;=$X$272,$AA$272*(1+($U$272)/100)^MAX(0,$C281-$AD$272),IF(DATE($C281,9,15)&gt;=$W$272,$Z$272*(1+($U$272)/100)^MAX(0,$C281-$AC$272),IF(DATE($C281,9,15)&gt;=$V$272,$Y$272*(1+($U$272)/100)^MAX(0,$C281-$AB$272),0)))))</f>
      </c>
      <c r="N281" s="43">
        <f>IF($S$272=0,0,IF(OR(DATE($C281,10,15)&lt;$S$272,AND($T$272&gt;0,DATE($C281,10,15)&gt;$T$272)),0,IF(DATE($C281,10,15)&gt;=$X$272,$AA$272*(1+($U$272)/100)^MAX(0,$C281-$AD$272),IF(DATE($C281,10,15)&gt;=$W$272,$Z$272*(1+($U$272)/100)^MAX(0,$C281-$AC$272),IF(DATE($C281,10,15)&gt;=$V$272,$Y$272*(1+($U$272)/100)^MAX(0,$C281-$AB$272),0)))))</f>
      </c>
      <c r="O281" s="43">
        <f>IF($S$272=0,0,IF(OR(DATE($C281,11,15)&lt;$S$272,AND($T$272&gt;0,DATE($C281,11,15)&gt;$T$272)),0,IF(DATE($C281,11,15)&gt;=$X$272,$AA$272*(1+($U$272)/100)^MAX(0,$C281-$AD$272),IF(DATE($C281,11,15)&gt;=$W$272,$Z$272*(1+($U$272)/100)^MAX(0,$C281-$AC$272),IF(DATE($C281,11,15)&gt;=$V$272,$Y$272*(1+($U$272)/100)^MAX(0,$C281-$AB$272),0)))))</f>
      </c>
      <c r="P281" s="43">
        <f>IF($S$272=0,0,IF(OR(DATE($C281,12,15)&lt;$S$272,AND($T$272&gt;0,DATE($C281,12,15)&gt;$T$272)),0,IF(DATE($C281,12,15)&gt;=$X$272,$AA$272*(1+($U$272)/100)^MAX(0,$C281-$AD$272),IF(DATE($C281,12,15)&gt;=$W$272,$Z$272*(1+($U$272)/100)^MAX(0,$C281-$AC$272),IF(DATE($C281,12,15)&gt;=$V$272,$Y$272*(1+($U$272)/100)^MAX(0,$C281-$AB$272),0)))))</f>
      </c>
      <c r="Q281" s="43">
        <f>SUM($E281:$P281)</f>
      </c>
    </row>
    <row r="282">
      <c r="A282"/>
      <c r="B282">
        <v>9</v>
      </c>
      <c r="C282" s="43">
        <f>Jahr+10</f>
      </c>
      <c r="D282" s="43">
        <f>INDEX(MvObj,9)</f>
      </c>
      <c r="E282" s="43">
        <f>IF($S$272=0,0,IF(OR(DATE($C282,1,15)&lt;$S$272,AND($T$272&gt;0,DATE($C282,1,15)&gt;$T$272)),0,IF(DATE($C282,1,15)&gt;=$X$272,$AA$272*(1+($U$272)/100)^MAX(0,$C282-$AD$272),IF(DATE($C282,1,15)&gt;=$W$272,$Z$272*(1+($U$272)/100)^MAX(0,$C282-$AC$272),IF(DATE($C282,1,15)&gt;=$V$272,$Y$272*(1+($U$272)/100)^MAX(0,$C282-$AB$272),0)))))</f>
      </c>
      <c r="F282" s="43">
        <f>IF($S$272=0,0,IF(OR(DATE($C282,2,15)&lt;$S$272,AND($T$272&gt;0,DATE($C282,2,15)&gt;$T$272)),0,IF(DATE($C282,2,15)&gt;=$X$272,$AA$272*(1+($U$272)/100)^MAX(0,$C282-$AD$272),IF(DATE($C282,2,15)&gt;=$W$272,$Z$272*(1+($U$272)/100)^MAX(0,$C282-$AC$272),IF(DATE($C282,2,15)&gt;=$V$272,$Y$272*(1+($U$272)/100)^MAX(0,$C282-$AB$272),0)))))</f>
      </c>
      <c r="G282" s="43">
        <f>IF($S$272=0,0,IF(OR(DATE($C282,3,15)&lt;$S$272,AND($T$272&gt;0,DATE($C282,3,15)&gt;$T$272)),0,IF(DATE($C282,3,15)&gt;=$X$272,$AA$272*(1+($U$272)/100)^MAX(0,$C282-$AD$272),IF(DATE($C282,3,15)&gt;=$W$272,$Z$272*(1+($U$272)/100)^MAX(0,$C282-$AC$272),IF(DATE($C282,3,15)&gt;=$V$272,$Y$272*(1+($U$272)/100)^MAX(0,$C282-$AB$272),0)))))</f>
      </c>
      <c r="H282" s="43">
        <f>IF($S$272=0,0,IF(OR(DATE($C282,4,15)&lt;$S$272,AND($T$272&gt;0,DATE($C282,4,15)&gt;$T$272)),0,IF(DATE($C282,4,15)&gt;=$X$272,$AA$272*(1+($U$272)/100)^MAX(0,$C282-$AD$272),IF(DATE($C282,4,15)&gt;=$W$272,$Z$272*(1+($U$272)/100)^MAX(0,$C282-$AC$272),IF(DATE($C282,4,15)&gt;=$V$272,$Y$272*(1+($U$272)/100)^MAX(0,$C282-$AB$272),0)))))</f>
      </c>
      <c r="I282" s="43">
        <f>IF($S$272=0,0,IF(OR(DATE($C282,5,15)&lt;$S$272,AND($T$272&gt;0,DATE($C282,5,15)&gt;$T$272)),0,IF(DATE($C282,5,15)&gt;=$X$272,$AA$272*(1+($U$272)/100)^MAX(0,$C282-$AD$272),IF(DATE($C282,5,15)&gt;=$W$272,$Z$272*(1+($U$272)/100)^MAX(0,$C282-$AC$272),IF(DATE($C282,5,15)&gt;=$V$272,$Y$272*(1+($U$272)/100)^MAX(0,$C282-$AB$272),0)))))</f>
      </c>
      <c r="J282" s="43">
        <f>IF($S$272=0,0,IF(OR(DATE($C282,6,15)&lt;$S$272,AND($T$272&gt;0,DATE($C282,6,15)&gt;$T$272)),0,IF(DATE($C282,6,15)&gt;=$X$272,$AA$272*(1+($U$272)/100)^MAX(0,$C282-$AD$272),IF(DATE($C282,6,15)&gt;=$W$272,$Z$272*(1+($U$272)/100)^MAX(0,$C282-$AC$272),IF(DATE($C282,6,15)&gt;=$V$272,$Y$272*(1+($U$272)/100)^MAX(0,$C282-$AB$272),0)))))</f>
      </c>
      <c r="K282" s="43">
        <f>IF($S$272=0,0,IF(OR(DATE($C282,7,15)&lt;$S$272,AND($T$272&gt;0,DATE($C282,7,15)&gt;$T$272)),0,IF(DATE($C282,7,15)&gt;=$X$272,$AA$272*(1+($U$272)/100)^MAX(0,$C282-$AD$272),IF(DATE($C282,7,15)&gt;=$W$272,$Z$272*(1+($U$272)/100)^MAX(0,$C282-$AC$272),IF(DATE($C282,7,15)&gt;=$V$272,$Y$272*(1+($U$272)/100)^MAX(0,$C282-$AB$272),0)))))</f>
      </c>
      <c r="L282" s="43">
        <f>IF($S$272=0,0,IF(OR(DATE($C282,8,15)&lt;$S$272,AND($T$272&gt;0,DATE($C282,8,15)&gt;$T$272)),0,IF(DATE($C282,8,15)&gt;=$X$272,$AA$272*(1+($U$272)/100)^MAX(0,$C282-$AD$272),IF(DATE($C282,8,15)&gt;=$W$272,$Z$272*(1+($U$272)/100)^MAX(0,$C282-$AC$272),IF(DATE($C282,8,15)&gt;=$V$272,$Y$272*(1+($U$272)/100)^MAX(0,$C282-$AB$272),0)))))</f>
      </c>
      <c r="M282" s="43">
        <f>IF($S$272=0,0,IF(OR(DATE($C282,9,15)&lt;$S$272,AND($T$272&gt;0,DATE($C282,9,15)&gt;$T$272)),0,IF(DATE($C282,9,15)&gt;=$X$272,$AA$272*(1+($U$272)/100)^MAX(0,$C282-$AD$272),IF(DATE($C282,9,15)&gt;=$W$272,$Z$272*(1+($U$272)/100)^MAX(0,$C282-$AC$272),IF(DATE($C282,9,15)&gt;=$V$272,$Y$272*(1+($U$272)/100)^MAX(0,$C282-$AB$272),0)))))</f>
      </c>
      <c r="N282" s="43">
        <f>IF($S$272=0,0,IF(OR(DATE($C282,10,15)&lt;$S$272,AND($T$272&gt;0,DATE($C282,10,15)&gt;$T$272)),0,IF(DATE($C282,10,15)&gt;=$X$272,$AA$272*(1+($U$272)/100)^MAX(0,$C282-$AD$272),IF(DATE($C282,10,15)&gt;=$W$272,$Z$272*(1+($U$272)/100)^MAX(0,$C282-$AC$272),IF(DATE($C282,10,15)&gt;=$V$272,$Y$272*(1+($U$272)/100)^MAX(0,$C282-$AB$272),0)))))</f>
      </c>
      <c r="O282" s="43">
        <f>IF($S$272=0,0,IF(OR(DATE($C282,11,15)&lt;$S$272,AND($T$272&gt;0,DATE($C282,11,15)&gt;$T$272)),0,IF(DATE($C282,11,15)&gt;=$X$272,$AA$272*(1+($U$272)/100)^MAX(0,$C282-$AD$272),IF(DATE($C282,11,15)&gt;=$W$272,$Z$272*(1+($U$272)/100)^MAX(0,$C282-$AC$272),IF(DATE($C282,11,15)&gt;=$V$272,$Y$272*(1+($U$272)/100)^MAX(0,$C282-$AB$272),0)))))</f>
      </c>
      <c r="P282" s="43">
        <f>IF($S$272=0,0,IF(OR(DATE($C282,12,15)&lt;$S$272,AND($T$272&gt;0,DATE($C282,12,15)&gt;$T$272)),0,IF(DATE($C282,12,15)&gt;=$X$272,$AA$272*(1+($U$272)/100)^MAX(0,$C282-$AD$272),IF(DATE($C282,12,15)&gt;=$W$272,$Z$272*(1+($U$272)/100)^MAX(0,$C282-$AC$272),IF(DATE($C282,12,15)&gt;=$V$272,$Y$272*(1+($U$272)/100)^MAX(0,$C282-$AB$272),0)))))</f>
      </c>
      <c r="Q282" s="43">
        <f>SUM($E282:$P282)</f>
      </c>
    </row>
    <row r="283">
      <c r="A283"/>
      <c r="B283">
        <v>9</v>
      </c>
      <c r="C283" s="43">
        <f>Jahr+11</f>
      </c>
      <c r="D283" s="43">
        <f>INDEX(MvObj,9)</f>
      </c>
      <c r="E283" s="43">
        <f>IF($S$272=0,0,IF(OR(DATE($C283,1,15)&lt;$S$272,AND($T$272&gt;0,DATE($C283,1,15)&gt;$T$272)),0,IF(DATE($C283,1,15)&gt;=$X$272,$AA$272*(1+($U$272)/100)^MAX(0,$C283-$AD$272),IF(DATE($C283,1,15)&gt;=$W$272,$Z$272*(1+($U$272)/100)^MAX(0,$C283-$AC$272),IF(DATE($C283,1,15)&gt;=$V$272,$Y$272*(1+($U$272)/100)^MAX(0,$C283-$AB$272),0)))))</f>
      </c>
      <c r="F283" s="43">
        <f>IF($S$272=0,0,IF(OR(DATE($C283,2,15)&lt;$S$272,AND($T$272&gt;0,DATE($C283,2,15)&gt;$T$272)),0,IF(DATE($C283,2,15)&gt;=$X$272,$AA$272*(1+($U$272)/100)^MAX(0,$C283-$AD$272),IF(DATE($C283,2,15)&gt;=$W$272,$Z$272*(1+($U$272)/100)^MAX(0,$C283-$AC$272),IF(DATE($C283,2,15)&gt;=$V$272,$Y$272*(1+($U$272)/100)^MAX(0,$C283-$AB$272),0)))))</f>
      </c>
      <c r="G283" s="43">
        <f>IF($S$272=0,0,IF(OR(DATE($C283,3,15)&lt;$S$272,AND($T$272&gt;0,DATE($C283,3,15)&gt;$T$272)),0,IF(DATE($C283,3,15)&gt;=$X$272,$AA$272*(1+($U$272)/100)^MAX(0,$C283-$AD$272),IF(DATE($C283,3,15)&gt;=$W$272,$Z$272*(1+($U$272)/100)^MAX(0,$C283-$AC$272),IF(DATE($C283,3,15)&gt;=$V$272,$Y$272*(1+($U$272)/100)^MAX(0,$C283-$AB$272),0)))))</f>
      </c>
      <c r="H283" s="43">
        <f>IF($S$272=0,0,IF(OR(DATE($C283,4,15)&lt;$S$272,AND($T$272&gt;0,DATE($C283,4,15)&gt;$T$272)),0,IF(DATE($C283,4,15)&gt;=$X$272,$AA$272*(1+($U$272)/100)^MAX(0,$C283-$AD$272),IF(DATE($C283,4,15)&gt;=$W$272,$Z$272*(1+($U$272)/100)^MAX(0,$C283-$AC$272),IF(DATE($C283,4,15)&gt;=$V$272,$Y$272*(1+($U$272)/100)^MAX(0,$C283-$AB$272),0)))))</f>
      </c>
      <c r="I283" s="43">
        <f>IF($S$272=0,0,IF(OR(DATE($C283,5,15)&lt;$S$272,AND($T$272&gt;0,DATE($C283,5,15)&gt;$T$272)),0,IF(DATE($C283,5,15)&gt;=$X$272,$AA$272*(1+($U$272)/100)^MAX(0,$C283-$AD$272),IF(DATE($C283,5,15)&gt;=$W$272,$Z$272*(1+($U$272)/100)^MAX(0,$C283-$AC$272),IF(DATE($C283,5,15)&gt;=$V$272,$Y$272*(1+($U$272)/100)^MAX(0,$C283-$AB$272),0)))))</f>
      </c>
      <c r="J283" s="43">
        <f>IF($S$272=0,0,IF(OR(DATE($C283,6,15)&lt;$S$272,AND($T$272&gt;0,DATE($C283,6,15)&gt;$T$272)),0,IF(DATE($C283,6,15)&gt;=$X$272,$AA$272*(1+($U$272)/100)^MAX(0,$C283-$AD$272),IF(DATE($C283,6,15)&gt;=$W$272,$Z$272*(1+($U$272)/100)^MAX(0,$C283-$AC$272),IF(DATE($C283,6,15)&gt;=$V$272,$Y$272*(1+($U$272)/100)^MAX(0,$C283-$AB$272),0)))))</f>
      </c>
      <c r="K283" s="43">
        <f>IF($S$272=0,0,IF(OR(DATE($C283,7,15)&lt;$S$272,AND($T$272&gt;0,DATE($C283,7,15)&gt;$T$272)),0,IF(DATE($C283,7,15)&gt;=$X$272,$AA$272*(1+($U$272)/100)^MAX(0,$C283-$AD$272),IF(DATE($C283,7,15)&gt;=$W$272,$Z$272*(1+($U$272)/100)^MAX(0,$C283-$AC$272),IF(DATE($C283,7,15)&gt;=$V$272,$Y$272*(1+($U$272)/100)^MAX(0,$C283-$AB$272),0)))))</f>
      </c>
      <c r="L283" s="43">
        <f>IF($S$272=0,0,IF(OR(DATE($C283,8,15)&lt;$S$272,AND($T$272&gt;0,DATE($C283,8,15)&gt;$T$272)),0,IF(DATE($C283,8,15)&gt;=$X$272,$AA$272*(1+($U$272)/100)^MAX(0,$C283-$AD$272),IF(DATE($C283,8,15)&gt;=$W$272,$Z$272*(1+($U$272)/100)^MAX(0,$C283-$AC$272),IF(DATE($C283,8,15)&gt;=$V$272,$Y$272*(1+($U$272)/100)^MAX(0,$C283-$AB$272),0)))))</f>
      </c>
      <c r="M283" s="43">
        <f>IF($S$272=0,0,IF(OR(DATE($C283,9,15)&lt;$S$272,AND($T$272&gt;0,DATE($C283,9,15)&gt;$T$272)),0,IF(DATE($C283,9,15)&gt;=$X$272,$AA$272*(1+($U$272)/100)^MAX(0,$C283-$AD$272),IF(DATE($C283,9,15)&gt;=$W$272,$Z$272*(1+($U$272)/100)^MAX(0,$C283-$AC$272),IF(DATE($C283,9,15)&gt;=$V$272,$Y$272*(1+($U$272)/100)^MAX(0,$C283-$AB$272),0)))))</f>
      </c>
      <c r="N283" s="43">
        <f>IF($S$272=0,0,IF(OR(DATE($C283,10,15)&lt;$S$272,AND($T$272&gt;0,DATE($C283,10,15)&gt;$T$272)),0,IF(DATE($C283,10,15)&gt;=$X$272,$AA$272*(1+($U$272)/100)^MAX(0,$C283-$AD$272),IF(DATE($C283,10,15)&gt;=$W$272,$Z$272*(1+($U$272)/100)^MAX(0,$C283-$AC$272),IF(DATE($C283,10,15)&gt;=$V$272,$Y$272*(1+($U$272)/100)^MAX(0,$C283-$AB$272),0)))))</f>
      </c>
      <c r="O283" s="43">
        <f>IF($S$272=0,0,IF(OR(DATE($C283,11,15)&lt;$S$272,AND($T$272&gt;0,DATE($C283,11,15)&gt;$T$272)),0,IF(DATE($C283,11,15)&gt;=$X$272,$AA$272*(1+($U$272)/100)^MAX(0,$C283-$AD$272),IF(DATE($C283,11,15)&gt;=$W$272,$Z$272*(1+($U$272)/100)^MAX(0,$C283-$AC$272),IF(DATE($C283,11,15)&gt;=$V$272,$Y$272*(1+($U$272)/100)^MAX(0,$C283-$AB$272),0)))))</f>
      </c>
      <c r="P283" s="43">
        <f>IF($S$272=0,0,IF(OR(DATE($C283,12,15)&lt;$S$272,AND($T$272&gt;0,DATE($C283,12,15)&gt;$T$272)),0,IF(DATE($C283,12,15)&gt;=$X$272,$AA$272*(1+($U$272)/100)^MAX(0,$C283-$AD$272),IF(DATE($C283,12,15)&gt;=$W$272,$Z$272*(1+($U$272)/100)^MAX(0,$C283-$AC$272),IF(DATE($C283,12,15)&gt;=$V$272,$Y$272*(1+($U$272)/100)^MAX(0,$C283-$AB$272),0)))))</f>
      </c>
      <c r="Q283" s="43">
        <f>SUM($E283:$P283)</f>
      </c>
    </row>
    <row r="284">
      <c r="A284"/>
      <c r="B284">
        <v>9</v>
      </c>
      <c r="C284" s="43">
        <f>Jahr+12</f>
      </c>
      <c r="D284" s="43">
        <f>INDEX(MvObj,9)</f>
      </c>
      <c r="E284" s="43">
        <f>IF($S$272=0,0,IF(OR(DATE($C284,1,15)&lt;$S$272,AND($T$272&gt;0,DATE($C284,1,15)&gt;$T$272)),0,IF(DATE($C284,1,15)&gt;=$X$272,$AA$272*(1+($U$272)/100)^MAX(0,$C284-$AD$272),IF(DATE($C284,1,15)&gt;=$W$272,$Z$272*(1+($U$272)/100)^MAX(0,$C284-$AC$272),IF(DATE($C284,1,15)&gt;=$V$272,$Y$272*(1+($U$272)/100)^MAX(0,$C284-$AB$272),0)))))</f>
      </c>
      <c r="F284" s="43">
        <f>IF($S$272=0,0,IF(OR(DATE($C284,2,15)&lt;$S$272,AND($T$272&gt;0,DATE($C284,2,15)&gt;$T$272)),0,IF(DATE($C284,2,15)&gt;=$X$272,$AA$272*(1+($U$272)/100)^MAX(0,$C284-$AD$272),IF(DATE($C284,2,15)&gt;=$W$272,$Z$272*(1+($U$272)/100)^MAX(0,$C284-$AC$272),IF(DATE($C284,2,15)&gt;=$V$272,$Y$272*(1+($U$272)/100)^MAX(0,$C284-$AB$272),0)))))</f>
      </c>
      <c r="G284" s="43">
        <f>IF($S$272=0,0,IF(OR(DATE($C284,3,15)&lt;$S$272,AND($T$272&gt;0,DATE($C284,3,15)&gt;$T$272)),0,IF(DATE($C284,3,15)&gt;=$X$272,$AA$272*(1+($U$272)/100)^MAX(0,$C284-$AD$272),IF(DATE($C284,3,15)&gt;=$W$272,$Z$272*(1+($U$272)/100)^MAX(0,$C284-$AC$272),IF(DATE($C284,3,15)&gt;=$V$272,$Y$272*(1+($U$272)/100)^MAX(0,$C284-$AB$272),0)))))</f>
      </c>
      <c r="H284" s="43">
        <f>IF($S$272=0,0,IF(OR(DATE($C284,4,15)&lt;$S$272,AND($T$272&gt;0,DATE($C284,4,15)&gt;$T$272)),0,IF(DATE($C284,4,15)&gt;=$X$272,$AA$272*(1+($U$272)/100)^MAX(0,$C284-$AD$272),IF(DATE($C284,4,15)&gt;=$W$272,$Z$272*(1+($U$272)/100)^MAX(0,$C284-$AC$272),IF(DATE($C284,4,15)&gt;=$V$272,$Y$272*(1+($U$272)/100)^MAX(0,$C284-$AB$272),0)))))</f>
      </c>
      <c r="I284" s="43">
        <f>IF($S$272=0,0,IF(OR(DATE($C284,5,15)&lt;$S$272,AND($T$272&gt;0,DATE($C284,5,15)&gt;$T$272)),0,IF(DATE($C284,5,15)&gt;=$X$272,$AA$272*(1+($U$272)/100)^MAX(0,$C284-$AD$272),IF(DATE($C284,5,15)&gt;=$W$272,$Z$272*(1+($U$272)/100)^MAX(0,$C284-$AC$272),IF(DATE($C284,5,15)&gt;=$V$272,$Y$272*(1+($U$272)/100)^MAX(0,$C284-$AB$272),0)))))</f>
      </c>
      <c r="J284" s="43">
        <f>IF($S$272=0,0,IF(OR(DATE($C284,6,15)&lt;$S$272,AND($T$272&gt;0,DATE($C284,6,15)&gt;$T$272)),0,IF(DATE($C284,6,15)&gt;=$X$272,$AA$272*(1+($U$272)/100)^MAX(0,$C284-$AD$272),IF(DATE($C284,6,15)&gt;=$W$272,$Z$272*(1+($U$272)/100)^MAX(0,$C284-$AC$272),IF(DATE($C284,6,15)&gt;=$V$272,$Y$272*(1+($U$272)/100)^MAX(0,$C284-$AB$272),0)))))</f>
      </c>
      <c r="K284" s="43">
        <f>IF($S$272=0,0,IF(OR(DATE($C284,7,15)&lt;$S$272,AND($T$272&gt;0,DATE($C284,7,15)&gt;$T$272)),0,IF(DATE($C284,7,15)&gt;=$X$272,$AA$272*(1+($U$272)/100)^MAX(0,$C284-$AD$272),IF(DATE($C284,7,15)&gt;=$W$272,$Z$272*(1+($U$272)/100)^MAX(0,$C284-$AC$272),IF(DATE($C284,7,15)&gt;=$V$272,$Y$272*(1+($U$272)/100)^MAX(0,$C284-$AB$272),0)))))</f>
      </c>
      <c r="L284" s="43">
        <f>IF($S$272=0,0,IF(OR(DATE($C284,8,15)&lt;$S$272,AND($T$272&gt;0,DATE($C284,8,15)&gt;$T$272)),0,IF(DATE($C284,8,15)&gt;=$X$272,$AA$272*(1+($U$272)/100)^MAX(0,$C284-$AD$272),IF(DATE($C284,8,15)&gt;=$W$272,$Z$272*(1+($U$272)/100)^MAX(0,$C284-$AC$272),IF(DATE($C284,8,15)&gt;=$V$272,$Y$272*(1+($U$272)/100)^MAX(0,$C284-$AB$272),0)))))</f>
      </c>
      <c r="M284" s="43">
        <f>IF($S$272=0,0,IF(OR(DATE($C284,9,15)&lt;$S$272,AND($T$272&gt;0,DATE($C284,9,15)&gt;$T$272)),0,IF(DATE($C284,9,15)&gt;=$X$272,$AA$272*(1+($U$272)/100)^MAX(0,$C284-$AD$272),IF(DATE($C284,9,15)&gt;=$W$272,$Z$272*(1+($U$272)/100)^MAX(0,$C284-$AC$272),IF(DATE($C284,9,15)&gt;=$V$272,$Y$272*(1+($U$272)/100)^MAX(0,$C284-$AB$272),0)))))</f>
      </c>
      <c r="N284" s="43">
        <f>IF($S$272=0,0,IF(OR(DATE($C284,10,15)&lt;$S$272,AND($T$272&gt;0,DATE($C284,10,15)&gt;$T$272)),0,IF(DATE($C284,10,15)&gt;=$X$272,$AA$272*(1+($U$272)/100)^MAX(0,$C284-$AD$272),IF(DATE($C284,10,15)&gt;=$W$272,$Z$272*(1+($U$272)/100)^MAX(0,$C284-$AC$272),IF(DATE($C284,10,15)&gt;=$V$272,$Y$272*(1+($U$272)/100)^MAX(0,$C284-$AB$272),0)))))</f>
      </c>
      <c r="O284" s="43">
        <f>IF($S$272=0,0,IF(OR(DATE($C284,11,15)&lt;$S$272,AND($T$272&gt;0,DATE($C284,11,15)&gt;$T$272)),0,IF(DATE($C284,11,15)&gt;=$X$272,$AA$272*(1+($U$272)/100)^MAX(0,$C284-$AD$272),IF(DATE($C284,11,15)&gt;=$W$272,$Z$272*(1+($U$272)/100)^MAX(0,$C284-$AC$272),IF(DATE($C284,11,15)&gt;=$V$272,$Y$272*(1+($U$272)/100)^MAX(0,$C284-$AB$272),0)))))</f>
      </c>
      <c r="P284" s="43">
        <f>IF($S$272=0,0,IF(OR(DATE($C284,12,15)&lt;$S$272,AND($T$272&gt;0,DATE($C284,12,15)&gt;$T$272)),0,IF(DATE($C284,12,15)&gt;=$X$272,$AA$272*(1+($U$272)/100)^MAX(0,$C284-$AD$272),IF(DATE($C284,12,15)&gt;=$W$272,$Z$272*(1+($U$272)/100)^MAX(0,$C284-$AC$272),IF(DATE($C284,12,15)&gt;=$V$272,$Y$272*(1+($U$272)/100)^MAX(0,$C284-$AB$272),0)))))</f>
      </c>
      <c r="Q284" s="43">
        <f>SUM($E284:$P284)</f>
      </c>
    </row>
    <row r="285">
      <c r="A285"/>
      <c r="B285">
        <v>9</v>
      </c>
      <c r="C285" s="43">
        <f>Jahr+13</f>
      </c>
      <c r="D285" s="43">
        <f>INDEX(MvObj,9)</f>
      </c>
      <c r="E285" s="43">
        <f>IF($S$272=0,0,IF(OR(DATE($C285,1,15)&lt;$S$272,AND($T$272&gt;0,DATE($C285,1,15)&gt;$T$272)),0,IF(DATE($C285,1,15)&gt;=$X$272,$AA$272*(1+($U$272)/100)^MAX(0,$C285-$AD$272),IF(DATE($C285,1,15)&gt;=$W$272,$Z$272*(1+($U$272)/100)^MAX(0,$C285-$AC$272),IF(DATE($C285,1,15)&gt;=$V$272,$Y$272*(1+($U$272)/100)^MAX(0,$C285-$AB$272),0)))))</f>
      </c>
      <c r="F285" s="43">
        <f>IF($S$272=0,0,IF(OR(DATE($C285,2,15)&lt;$S$272,AND($T$272&gt;0,DATE($C285,2,15)&gt;$T$272)),0,IF(DATE($C285,2,15)&gt;=$X$272,$AA$272*(1+($U$272)/100)^MAX(0,$C285-$AD$272),IF(DATE($C285,2,15)&gt;=$W$272,$Z$272*(1+($U$272)/100)^MAX(0,$C285-$AC$272),IF(DATE($C285,2,15)&gt;=$V$272,$Y$272*(1+($U$272)/100)^MAX(0,$C285-$AB$272),0)))))</f>
      </c>
      <c r="G285" s="43">
        <f>IF($S$272=0,0,IF(OR(DATE($C285,3,15)&lt;$S$272,AND($T$272&gt;0,DATE($C285,3,15)&gt;$T$272)),0,IF(DATE($C285,3,15)&gt;=$X$272,$AA$272*(1+($U$272)/100)^MAX(0,$C285-$AD$272),IF(DATE($C285,3,15)&gt;=$W$272,$Z$272*(1+($U$272)/100)^MAX(0,$C285-$AC$272),IF(DATE($C285,3,15)&gt;=$V$272,$Y$272*(1+($U$272)/100)^MAX(0,$C285-$AB$272),0)))))</f>
      </c>
      <c r="H285" s="43">
        <f>IF($S$272=0,0,IF(OR(DATE($C285,4,15)&lt;$S$272,AND($T$272&gt;0,DATE($C285,4,15)&gt;$T$272)),0,IF(DATE($C285,4,15)&gt;=$X$272,$AA$272*(1+($U$272)/100)^MAX(0,$C285-$AD$272),IF(DATE($C285,4,15)&gt;=$W$272,$Z$272*(1+($U$272)/100)^MAX(0,$C285-$AC$272),IF(DATE($C285,4,15)&gt;=$V$272,$Y$272*(1+($U$272)/100)^MAX(0,$C285-$AB$272),0)))))</f>
      </c>
      <c r="I285" s="43">
        <f>IF($S$272=0,0,IF(OR(DATE($C285,5,15)&lt;$S$272,AND($T$272&gt;0,DATE($C285,5,15)&gt;$T$272)),0,IF(DATE($C285,5,15)&gt;=$X$272,$AA$272*(1+($U$272)/100)^MAX(0,$C285-$AD$272),IF(DATE($C285,5,15)&gt;=$W$272,$Z$272*(1+($U$272)/100)^MAX(0,$C285-$AC$272),IF(DATE($C285,5,15)&gt;=$V$272,$Y$272*(1+($U$272)/100)^MAX(0,$C285-$AB$272),0)))))</f>
      </c>
      <c r="J285" s="43">
        <f>IF($S$272=0,0,IF(OR(DATE($C285,6,15)&lt;$S$272,AND($T$272&gt;0,DATE($C285,6,15)&gt;$T$272)),0,IF(DATE($C285,6,15)&gt;=$X$272,$AA$272*(1+($U$272)/100)^MAX(0,$C285-$AD$272),IF(DATE($C285,6,15)&gt;=$W$272,$Z$272*(1+($U$272)/100)^MAX(0,$C285-$AC$272),IF(DATE($C285,6,15)&gt;=$V$272,$Y$272*(1+($U$272)/100)^MAX(0,$C285-$AB$272),0)))))</f>
      </c>
      <c r="K285" s="43">
        <f>IF($S$272=0,0,IF(OR(DATE($C285,7,15)&lt;$S$272,AND($T$272&gt;0,DATE($C285,7,15)&gt;$T$272)),0,IF(DATE($C285,7,15)&gt;=$X$272,$AA$272*(1+($U$272)/100)^MAX(0,$C285-$AD$272),IF(DATE($C285,7,15)&gt;=$W$272,$Z$272*(1+($U$272)/100)^MAX(0,$C285-$AC$272),IF(DATE($C285,7,15)&gt;=$V$272,$Y$272*(1+($U$272)/100)^MAX(0,$C285-$AB$272),0)))))</f>
      </c>
      <c r="L285" s="43">
        <f>IF($S$272=0,0,IF(OR(DATE($C285,8,15)&lt;$S$272,AND($T$272&gt;0,DATE($C285,8,15)&gt;$T$272)),0,IF(DATE($C285,8,15)&gt;=$X$272,$AA$272*(1+($U$272)/100)^MAX(0,$C285-$AD$272),IF(DATE($C285,8,15)&gt;=$W$272,$Z$272*(1+($U$272)/100)^MAX(0,$C285-$AC$272),IF(DATE($C285,8,15)&gt;=$V$272,$Y$272*(1+($U$272)/100)^MAX(0,$C285-$AB$272),0)))))</f>
      </c>
      <c r="M285" s="43">
        <f>IF($S$272=0,0,IF(OR(DATE($C285,9,15)&lt;$S$272,AND($T$272&gt;0,DATE($C285,9,15)&gt;$T$272)),0,IF(DATE($C285,9,15)&gt;=$X$272,$AA$272*(1+($U$272)/100)^MAX(0,$C285-$AD$272),IF(DATE($C285,9,15)&gt;=$W$272,$Z$272*(1+($U$272)/100)^MAX(0,$C285-$AC$272),IF(DATE($C285,9,15)&gt;=$V$272,$Y$272*(1+($U$272)/100)^MAX(0,$C285-$AB$272),0)))))</f>
      </c>
      <c r="N285" s="43">
        <f>IF($S$272=0,0,IF(OR(DATE($C285,10,15)&lt;$S$272,AND($T$272&gt;0,DATE($C285,10,15)&gt;$T$272)),0,IF(DATE($C285,10,15)&gt;=$X$272,$AA$272*(1+($U$272)/100)^MAX(0,$C285-$AD$272),IF(DATE($C285,10,15)&gt;=$W$272,$Z$272*(1+($U$272)/100)^MAX(0,$C285-$AC$272),IF(DATE($C285,10,15)&gt;=$V$272,$Y$272*(1+($U$272)/100)^MAX(0,$C285-$AB$272),0)))))</f>
      </c>
      <c r="O285" s="43">
        <f>IF($S$272=0,0,IF(OR(DATE($C285,11,15)&lt;$S$272,AND($T$272&gt;0,DATE($C285,11,15)&gt;$T$272)),0,IF(DATE($C285,11,15)&gt;=$X$272,$AA$272*(1+($U$272)/100)^MAX(0,$C285-$AD$272),IF(DATE($C285,11,15)&gt;=$W$272,$Z$272*(1+($U$272)/100)^MAX(0,$C285-$AC$272),IF(DATE($C285,11,15)&gt;=$V$272,$Y$272*(1+($U$272)/100)^MAX(0,$C285-$AB$272),0)))))</f>
      </c>
      <c r="P285" s="43">
        <f>IF($S$272=0,0,IF(OR(DATE($C285,12,15)&lt;$S$272,AND($T$272&gt;0,DATE($C285,12,15)&gt;$T$272)),0,IF(DATE($C285,12,15)&gt;=$X$272,$AA$272*(1+($U$272)/100)^MAX(0,$C285-$AD$272),IF(DATE($C285,12,15)&gt;=$W$272,$Z$272*(1+($U$272)/100)^MAX(0,$C285-$AC$272),IF(DATE($C285,12,15)&gt;=$V$272,$Y$272*(1+($U$272)/100)^MAX(0,$C285-$AB$272),0)))))</f>
      </c>
      <c r="Q285" s="43">
        <f>SUM($E285:$P285)</f>
      </c>
    </row>
    <row r="286">
      <c r="A286"/>
      <c r="B286">
        <v>9</v>
      </c>
      <c r="C286" s="43">
        <f>Jahr+14</f>
      </c>
      <c r="D286" s="43">
        <f>INDEX(MvObj,9)</f>
      </c>
      <c r="E286" s="43">
        <f>IF($S$272=0,0,IF(OR(DATE($C286,1,15)&lt;$S$272,AND($T$272&gt;0,DATE($C286,1,15)&gt;$T$272)),0,IF(DATE($C286,1,15)&gt;=$X$272,$AA$272*(1+($U$272)/100)^MAX(0,$C286-$AD$272),IF(DATE($C286,1,15)&gt;=$W$272,$Z$272*(1+($U$272)/100)^MAX(0,$C286-$AC$272),IF(DATE($C286,1,15)&gt;=$V$272,$Y$272*(1+($U$272)/100)^MAX(0,$C286-$AB$272),0)))))</f>
      </c>
      <c r="F286" s="43">
        <f>IF($S$272=0,0,IF(OR(DATE($C286,2,15)&lt;$S$272,AND($T$272&gt;0,DATE($C286,2,15)&gt;$T$272)),0,IF(DATE($C286,2,15)&gt;=$X$272,$AA$272*(1+($U$272)/100)^MAX(0,$C286-$AD$272),IF(DATE($C286,2,15)&gt;=$W$272,$Z$272*(1+($U$272)/100)^MAX(0,$C286-$AC$272),IF(DATE($C286,2,15)&gt;=$V$272,$Y$272*(1+($U$272)/100)^MAX(0,$C286-$AB$272),0)))))</f>
      </c>
      <c r="G286" s="43">
        <f>IF($S$272=0,0,IF(OR(DATE($C286,3,15)&lt;$S$272,AND($T$272&gt;0,DATE($C286,3,15)&gt;$T$272)),0,IF(DATE($C286,3,15)&gt;=$X$272,$AA$272*(1+($U$272)/100)^MAX(0,$C286-$AD$272),IF(DATE($C286,3,15)&gt;=$W$272,$Z$272*(1+($U$272)/100)^MAX(0,$C286-$AC$272),IF(DATE($C286,3,15)&gt;=$V$272,$Y$272*(1+($U$272)/100)^MAX(0,$C286-$AB$272),0)))))</f>
      </c>
      <c r="H286" s="43">
        <f>IF($S$272=0,0,IF(OR(DATE($C286,4,15)&lt;$S$272,AND($T$272&gt;0,DATE($C286,4,15)&gt;$T$272)),0,IF(DATE($C286,4,15)&gt;=$X$272,$AA$272*(1+($U$272)/100)^MAX(0,$C286-$AD$272),IF(DATE($C286,4,15)&gt;=$W$272,$Z$272*(1+($U$272)/100)^MAX(0,$C286-$AC$272),IF(DATE($C286,4,15)&gt;=$V$272,$Y$272*(1+($U$272)/100)^MAX(0,$C286-$AB$272),0)))))</f>
      </c>
      <c r="I286" s="43">
        <f>IF($S$272=0,0,IF(OR(DATE($C286,5,15)&lt;$S$272,AND($T$272&gt;0,DATE($C286,5,15)&gt;$T$272)),0,IF(DATE($C286,5,15)&gt;=$X$272,$AA$272*(1+($U$272)/100)^MAX(0,$C286-$AD$272),IF(DATE($C286,5,15)&gt;=$W$272,$Z$272*(1+($U$272)/100)^MAX(0,$C286-$AC$272),IF(DATE($C286,5,15)&gt;=$V$272,$Y$272*(1+($U$272)/100)^MAX(0,$C286-$AB$272),0)))))</f>
      </c>
      <c r="J286" s="43">
        <f>IF($S$272=0,0,IF(OR(DATE($C286,6,15)&lt;$S$272,AND($T$272&gt;0,DATE($C286,6,15)&gt;$T$272)),0,IF(DATE($C286,6,15)&gt;=$X$272,$AA$272*(1+($U$272)/100)^MAX(0,$C286-$AD$272),IF(DATE($C286,6,15)&gt;=$W$272,$Z$272*(1+($U$272)/100)^MAX(0,$C286-$AC$272),IF(DATE($C286,6,15)&gt;=$V$272,$Y$272*(1+($U$272)/100)^MAX(0,$C286-$AB$272),0)))))</f>
      </c>
      <c r="K286" s="43">
        <f>IF($S$272=0,0,IF(OR(DATE($C286,7,15)&lt;$S$272,AND($T$272&gt;0,DATE($C286,7,15)&gt;$T$272)),0,IF(DATE($C286,7,15)&gt;=$X$272,$AA$272*(1+($U$272)/100)^MAX(0,$C286-$AD$272),IF(DATE($C286,7,15)&gt;=$W$272,$Z$272*(1+($U$272)/100)^MAX(0,$C286-$AC$272),IF(DATE($C286,7,15)&gt;=$V$272,$Y$272*(1+($U$272)/100)^MAX(0,$C286-$AB$272),0)))))</f>
      </c>
      <c r="L286" s="43">
        <f>IF($S$272=0,0,IF(OR(DATE($C286,8,15)&lt;$S$272,AND($T$272&gt;0,DATE($C286,8,15)&gt;$T$272)),0,IF(DATE($C286,8,15)&gt;=$X$272,$AA$272*(1+($U$272)/100)^MAX(0,$C286-$AD$272),IF(DATE($C286,8,15)&gt;=$W$272,$Z$272*(1+($U$272)/100)^MAX(0,$C286-$AC$272),IF(DATE($C286,8,15)&gt;=$V$272,$Y$272*(1+($U$272)/100)^MAX(0,$C286-$AB$272),0)))))</f>
      </c>
      <c r="M286" s="43">
        <f>IF($S$272=0,0,IF(OR(DATE($C286,9,15)&lt;$S$272,AND($T$272&gt;0,DATE($C286,9,15)&gt;$T$272)),0,IF(DATE($C286,9,15)&gt;=$X$272,$AA$272*(1+($U$272)/100)^MAX(0,$C286-$AD$272),IF(DATE($C286,9,15)&gt;=$W$272,$Z$272*(1+($U$272)/100)^MAX(0,$C286-$AC$272),IF(DATE($C286,9,15)&gt;=$V$272,$Y$272*(1+($U$272)/100)^MAX(0,$C286-$AB$272),0)))))</f>
      </c>
      <c r="N286" s="43">
        <f>IF($S$272=0,0,IF(OR(DATE($C286,10,15)&lt;$S$272,AND($T$272&gt;0,DATE($C286,10,15)&gt;$T$272)),0,IF(DATE($C286,10,15)&gt;=$X$272,$AA$272*(1+($U$272)/100)^MAX(0,$C286-$AD$272),IF(DATE($C286,10,15)&gt;=$W$272,$Z$272*(1+($U$272)/100)^MAX(0,$C286-$AC$272),IF(DATE($C286,10,15)&gt;=$V$272,$Y$272*(1+($U$272)/100)^MAX(0,$C286-$AB$272),0)))))</f>
      </c>
      <c r="O286" s="43">
        <f>IF($S$272=0,0,IF(OR(DATE($C286,11,15)&lt;$S$272,AND($T$272&gt;0,DATE($C286,11,15)&gt;$T$272)),0,IF(DATE($C286,11,15)&gt;=$X$272,$AA$272*(1+($U$272)/100)^MAX(0,$C286-$AD$272),IF(DATE($C286,11,15)&gt;=$W$272,$Z$272*(1+($U$272)/100)^MAX(0,$C286-$AC$272),IF(DATE($C286,11,15)&gt;=$V$272,$Y$272*(1+($U$272)/100)^MAX(0,$C286-$AB$272),0)))))</f>
      </c>
      <c r="P286" s="43">
        <f>IF($S$272=0,0,IF(OR(DATE($C286,12,15)&lt;$S$272,AND($T$272&gt;0,DATE($C286,12,15)&gt;$T$272)),0,IF(DATE($C286,12,15)&gt;=$X$272,$AA$272*(1+($U$272)/100)^MAX(0,$C286-$AD$272),IF(DATE($C286,12,15)&gt;=$W$272,$Z$272*(1+($U$272)/100)^MAX(0,$C286-$AC$272),IF(DATE($C286,12,15)&gt;=$V$272,$Y$272*(1+($U$272)/100)^MAX(0,$C286-$AB$272),0)))))</f>
      </c>
      <c r="Q286" s="43">
        <f>SUM($E286:$P286)</f>
      </c>
    </row>
    <row r="287">
      <c r="A287"/>
      <c r="B287">
        <v>9</v>
      </c>
      <c r="C287" s="43">
        <f>Jahr+15</f>
      </c>
      <c r="D287" s="43">
        <f>INDEX(MvObj,9)</f>
      </c>
      <c r="E287" s="43">
        <f>IF($S$272=0,0,IF(OR(DATE($C287,1,15)&lt;$S$272,AND($T$272&gt;0,DATE($C287,1,15)&gt;$T$272)),0,IF(DATE($C287,1,15)&gt;=$X$272,$AA$272*(1+($U$272)/100)^MAX(0,$C287-$AD$272),IF(DATE($C287,1,15)&gt;=$W$272,$Z$272*(1+($U$272)/100)^MAX(0,$C287-$AC$272),IF(DATE($C287,1,15)&gt;=$V$272,$Y$272*(1+($U$272)/100)^MAX(0,$C287-$AB$272),0)))))</f>
      </c>
      <c r="F287" s="43">
        <f>IF($S$272=0,0,IF(OR(DATE($C287,2,15)&lt;$S$272,AND($T$272&gt;0,DATE($C287,2,15)&gt;$T$272)),0,IF(DATE($C287,2,15)&gt;=$X$272,$AA$272*(1+($U$272)/100)^MAX(0,$C287-$AD$272),IF(DATE($C287,2,15)&gt;=$W$272,$Z$272*(1+($U$272)/100)^MAX(0,$C287-$AC$272),IF(DATE($C287,2,15)&gt;=$V$272,$Y$272*(1+($U$272)/100)^MAX(0,$C287-$AB$272),0)))))</f>
      </c>
      <c r="G287" s="43">
        <f>IF($S$272=0,0,IF(OR(DATE($C287,3,15)&lt;$S$272,AND($T$272&gt;0,DATE($C287,3,15)&gt;$T$272)),0,IF(DATE($C287,3,15)&gt;=$X$272,$AA$272*(1+($U$272)/100)^MAX(0,$C287-$AD$272),IF(DATE($C287,3,15)&gt;=$W$272,$Z$272*(1+($U$272)/100)^MAX(0,$C287-$AC$272),IF(DATE($C287,3,15)&gt;=$V$272,$Y$272*(1+($U$272)/100)^MAX(0,$C287-$AB$272),0)))))</f>
      </c>
      <c r="H287" s="43">
        <f>IF($S$272=0,0,IF(OR(DATE($C287,4,15)&lt;$S$272,AND($T$272&gt;0,DATE($C287,4,15)&gt;$T$272)),0,IF(DATE($C287,4,15)&gt;=$X$272,$AA$272*(1+($U$272)/100)^MAX(0,$C287-$AD$272),IF(DATE($C287,4,15)&gt;=$W$272,$Z$272*(1+($U$272)/100)^MAX(0,$C287-$AC$272),IF(DATE($C287,4,15)&gt;=$V$272,$Y$272*(1+($U$272)/100)^MAX(0,$C287-$AB$272),0)))))</f>
      </c>
      <c r="I287" s="43">
        <f>IF($S$272=0,0,IF(OR(DATE($C287,5,15)&lt;$S$272,AND($T$272&gt;0,DATE($C287,5,15)&gt;$T$272)),0,IF(DATE($C287,5,15)&gt;=$X$272,$AA$272*(1+($U$272)/100)^MAX(0,$C287-$AD$272),IF(DATE($C287,5,15)&gt;=$W$272,$Z$272*(1+($U$272)/100)^MAX(0,$C287-$AC$272),IF(DATE($C287,5,15)&gt;=$V$272,$Y$272*(1+($U$272)/100)^MAX(0,$C287-$AB$272),0)))))</f>
      </c>
      <c r="J287" s="43">
        <f>IF($S$272=0,0,IF(OR(DATE($C287,6,15)&lt;$S$272,AND($T$272&gt;0,DATE($C287,6,15)&gt;$T$272)),0,IF(DATE($C287,6,15)&gt;=$X$272,$AA$272*(1+($U$272)/100)^MAX(0,$C287-$AD$272),IF(DATE($C287,6,15)&gt;=$W$272,$Z$272*(1+($U$272)/100)^MAX(0,$C287-$AC$272),IF(DATE($C287,6,15)&gt;=$V$272,$Y$272*(1+($U$272)/100)^MAX(0,$C287-$AB$272),0)))))</f>
      </c>
      <c r="K287" s="43">
        <f>IF($S$272=0,0,IF(OR(DATE($C287,7,15)&lt;$S$272,AND($T$272&gt;0,DATE($C287,7,15)&gt;$T$272)),0,IF(DATE($C287,7,15)&gt;=$X$272,$AA$272*(1+($U$272)/100)^MAX(0,$C287-$AD$272),IF(DATE($C287,7,15)&gt;=$W$272,$Z$272*(1+($U$272)/100)^MAX(0,$C287-$AC$272),IF(DATE($C287,7,15)&gt;=$V$272,$Y$272*(1+($U$272)/100)^MAX(0,$C287-$AB$272),0)))))</f>
      </c>
      <c r="L287" s="43">
        <f>IF($S$272=0,0,IF(OR(DATE($C287,8,15)&lt;$S$272,AND($T$272&gt;0,DATE($C287,8,15)&gt;$T$272)),0,IF(DATE($C287,8,15)&gt;=$X$272,$AA$272*(1+($U$272)/100)^MAX(0,$C287-$AD$272),IF(DATE($C287,8,15)&gt;=$W$272,$Z$272*(1+($U$272)/100)^MAX(0,$C287-$AC$272),IF(DATE($C287,8,15)&gt;=$V$272,$Y$272*(1+($U$272)/100)^MAX(0,$C287-$AB$272),0)))))</f>
      </c>
      <c r="M287" s="43">
        <f>IF($S$272=0,0,IF(OR(DATE($C287,9,15)&lt;$S$272,AND($T$272&gt;0,DATE($C287,9,15)&gt;$T$272)),0,IF(DATE($C287,9,15)&gt;=$X$272,$AA$272*(1+($U$272)/100)^MAX(0,$C287-$AD$272),IF(DATE($C287,9,15)&gt;=$W$272,$Z$272*(1+($U$272)/100)^MAX(0,$C287-$AC$272),IF(DATE($C287,9,15)&gt;=$V$272,$Y$272*(1+($U$272)/100)^MAX(0,$C287-$AB$272),0)))))</f>
      </c>
      <c r="N287" s="43">
        <f>IF($S$272=0,0,IF(OR(DATE($C287,10,15)&lt;$S$272,AND($T$272&gt;0,DATE($C287,10,15)&gt;$T$272)),0,IF(DATE($C287,10,15)&gt;=$X$272,$AA$272*(1+($U$272)/100)^MAX(0,$C287-$AD$272),IF(DATE($C287,10,15)&gt;=$W$272,$Z$272*(1+($U$272)/100)^MAX(0,$C287-$AC$272),IF(DATE($C287,10,15)&gt;=$V$272,$Y$272*(1+($U$272)/100)^MAX(0,$C287-$AB$272),0)))))</f>
      </c>
      <c r="O287" s="43">
        <f>IF($S$272=0,0,IF(OR(DATE($C287,11,15)&lt;$S$272,AND($T$272&gt;0,DATE($C287,11,15)&gt;$T$272)),0,IF(DATE($C287,11,15)&gt;=$X$272,$AA$272*(1+($U$272)/100)^MAX(0,$C287-$AD$272),IF(DATE($C287,11,15)&gt;=$W$272,$Z$272*(1+($U$272)/100)^MAX(0,$C287-$AC$272),IF(DATE($C287,11,15)&gt;=$V$272,$Y$272*(1+($U$272)/100)^MAX(0,$C287-$AB$272),0)))))</f>
      </c>
      <c r="P287" s="43">
        <f>IF($S$272=0,0,IF(OR(DATE($C287,12,15)&lt;$S$272,AND($T$272&gt;0,DATE($C287,12,15)&gt;$T$272)),0,IF(DATE($C287,12,15)&gt;=$X$272,$AA$272*(1+($U$272)/100)^MAX(0,$C287-$AD$272),IF(DATE($C287,12,15)&gt;=$W$272,$Z$272*(1+($U$272)/100)^MAX(0,$C287-$AC$272),IF(DATE($C287,12,15)&gt;=$V$272,$Y$272*(1+($U$272)/100)^MAX(0,$C287-$AB$272),0)))))</f>
      </c>
      <c r="Q287" s="43">
        <f>SUM($E287:$P287)</f>
      </c>
    </row>
    <row r="288">
      <c r="A288"/>
      <c r="B288">
        <v>9</v>
      </c>
      <c r="C288" s="43">
        <f>Jahr+16</f>
      </c>
      <c r="D288" s="43">
        <f>INDEX(MvObj,9)</f>
      </c>
      <c r="E288" s="43">
        <f>IF($S$272=0,0,IF(OR(DATE($C288,1,15)&lt;$S$272,AND($T$272&gt;0,DATE($C288,1,15)&gt;$T$272)),0,IF(DATE($C288,1,15)&gt;=$X$272,$AA$272*(1+($U$272)/100)^MAX(0,$C288-$AD$272),IF(DATE($C288,1,15)&gt;=$W$272,$Z$272*(1+($U$272)/100)^MAX(0,$C288-$AC$272),IF(DATE($C288,1,15)&gt;=$V$272,$Y$272*(1+($U$272)/100)^MAX(0,$C288-$AB$272),0)))))</f>
      </c>
      <c r="F288" s="43">
        <f>IF($S$272=0,0,IF(OR(DATE($C288,2,15)&lt;$S$272,AND($T$272&gt;0,DATE($C288,2,15)&gt;$T$272)),0,IF(DATE($C288,2,15)&gt;=$X$272,$AA$272*(1+($U$272)/100)^MAX(0,$C288-$AD$272),IF(DATE($C288,2,15)&gt;=$W$272,$Z$272*(1+($U$272)/100)^MAX(0,$C288-$AC$272),IF(DATE($C288,2,15)&gt;=$V$272,$Y$272*(1+($U$272)/100)^MAX(0,$C288-$AB$272),0)))))</f>
      </c>
      <c r="G288" s="43">
        <f>IF($S$272=0,0,IF(OR(DATE($C288,3,15)&lt;$S$272,AND($T$272&gt;0,DATE($C288,3,15)&gt;$T$272)),0,IF(DATE($C288,3,15)&gt;=$X$272,$AA$272*(1+($U$272)/100)^MAX(0,$C288-$AD$272),IF(DATE($C288,3,15)&gt;=$W$272,$Z$272*(1+($U$272)/100)^MAX(0,$C288-$AC$272),IF(DATE($C288,3,15)&gt;=$V$272,$Y$272*(1+($U$272)/100)^MAX(0,$C288-$AB$272),0)))))</f>
      </c>
      <c r="H288" s="43">
        <f>IF($S$272=0,0,IF(OR(DATE($C288,4,15)&lt;$S$272,AND($T$272&gt;0,DATE($C288,4,15)&gt;$T$272)),0,IF(DATE($C288,4,15)&gt;=$X$272,$AA$272*(1+($U$272)/100)^MAX(0,$C288-$AD$272),IF(DATE($C288,4,15)&gt;=$W$272,$Z$272*(1+($U$272)/100)^MAX(0,$C288-$AC$272),IF(DATE($C288,4,15)&gt;=$V$272,$Y$272*(1+($U$272)/100)^MAX(0,$C288-$AB$272),0)))))</f>
      </c>
      <c r="I288" s="43">
        <f>IF($S$272=0,0,IF(OR(DATE($C288,5,15)&lt;$S$272,AND($T$272&gt;0,DATE($C288,5,15)&gt;$T$272)),0,IF(DATE($C288,5,15)&gt;=$X$272,$AA$272*(1+($U$272)/100)^MAX(0,$C288-$AD$272),IF(DATE($C288,5,15)&gt;=$W$272,$Z$272*(1+($U$272)/100)^MAX(0,$C288-$AC$272),IF(DATE($C288,5,15)&gt;=$V$272,$Y$272*(1+($U$272)/100)^MAX(0,$C288-$AB$272),0)))))</f>
      </c>
      <c r="J288" s="43">
        <f>IF($S$272=0,0,IF(OR(DATE($C288,6,15)&lt;$S$272,AND($T$272&gt;0,DATE($C288,6,15)&gt;$T$272)),0,IF(DATE($C288,6,15)&gt;=$X$272,$AA$272*(1+($U$272)/100)^MAX(0,$C288-$AD$272),IF(DATE($C288,6,15)&gt;=$W$272,$Z$272*(1+($U$272)/100)^MAX(0,$C288-$AC$272),IF(DATE($C288,6,15)&gt;=$V$272,$Y$272*(1+($U$272)/100)^MAX(0,$C288-$AB$272),0)))))</f>
      </c>
      <c r="K288" s="43">
        <f>IF($S$272=0,0,IF(OR(DATE($C288,7,15)&lt;$S$272,AND($T$272&gt;0,DATE($C288,7,15)&gt;$T$272)),0,IF(DATE($C288,7,15)&gt;=$X$272,$AA$272*(1+($U$272)/100)^MAX(0,$C288-$AD$272),IF(DATE($C288,7,15)&gt;=$W$272,$Z$272*(1+($U$272)/100)^MAX(0,$C288-$AC$272),IF(DATE($C288,7,15)&gt;=$V$272,$Y$272*(1+($U$272)/100)^MAX(0,$C288-$AB$272),0)))))</f>
      </c>
      <c r="L288" s="43">
        <f>IF($S$272=0,0,IF(OR(DATE($C288,8,15)&lt;$S$272,AND($T$272&gt;0,DATE($C288,8,15)&gt;$T$272)),0,IF(DATE($C288,8,15)&gt;=$X$272,$AA$272*(1+($U$272)/100)^MAX(0,$C288-$AD$272),IF(DATE($C288,8,15)&gt;=$W$272,$Z$272*(1+($U$272)/100)^MAX(0,$C288-$AC$272),IF(DATE($C288,8,15)&gt;=$V$272,$Y$272*(1+($U$272)/100)^MAX(0,$C288-$AB$272),0)))))</f>
      </c>
      <c r="M288" s="43">
        <f>IF($S$272=0,0,IF(OR(DATE($C288,9,15)&lt;$S$272,AND($T$272&gt;0,DATE($C288,9,15)&gt;$T$272)),0,IF(DATE($C288,9,15)&gt;=$X$272,$AA$272*(1+($U$272)/100)^MAX(0,$C288-$AD$272),IF(DATE($C288,9,15)&gt;=$W$272,$Z$272*(1+($U$272)/100)^MAX(0,$C288-$AC$272),IF(DATE($C288,9,15)&gt;=$V$272,$Y$272*(1+($U$272)/100)^MAX(0,$C288-$AB$272),0)))))</f>
      </c>
      <c r="N288" s="43">
        <f>IF($S$272=0,0,IF(OR(DATE($C288,10,15)&lt;$S$272,AND($T$272&gt;0,DATE($C288,10,15)&gt;$T$272)),0,IF(DATE($C288,10,15)&gt;=$X$272,$AA$272*(1+($U$272)/100)^MAX(0,$C288-$AD$272),IF(DATE($C288,10,15)&gt;=$W$272,$Z$272*(1+($U$272)/100)^MAX(0,$C288-$AC$272),IF(DATE($C288,10,15)&gt;=$V$272,$Y$272*(1+($U$272)/100)^MAX(0,$C288-$AB$272),0)))))</f>
      </c>
      <c r="O288" s="43">
        <f>IF($S$272=0,0,IF(OR(DATE($C288,11,15)&lt;$S$272,AND($T$272&gt;0,DATE($C288,11,15)&gt;$T$272)),0,IF(DATE($C288,11,15)&gt;=$X$272,$AA$272*(1+($U$272)/100)^MAX(0,$C288-$AD$272),IF(DATE($C288,11,15)&gt;=$W$272,$Z$272*(1+($U$272)/100)^MAX(0,$C288-$AC$272),IF(DATE($C288,11,15)&gt;=$V$272,$Y$272*(1+($U$272)/100)^MAX(0,$C288-$AB$272),0)))))</f>
      </c>
      <c r="P288" s="43">
        <f>IF($S$272=0,0,IF(OR(DATE($C288,12,15)&lt;$S$272,AND($T$272&gt;0,DATE($C288,12,15)&gt;$T$272)),0,IF(DATE($C288,12,15)&gt;=$X$272,$AA$272*(1+($U$272)/100)^MAX(0,$C288-$AD$272),IF(DATE($C288,12,15)&gt;=$W$272,$Z$272*(1+($U$272)/100)^MAX(0,$C288-$AC$272),IF(DATE($C288,12,15)&gt;=$V$272,$Y$272*(1+($U$272)/100)^MAX(0,$C288-$AB$272),0)))))</f>
      </c>
      <c r="Q288" s="43">
        <f>SUM($E288:$P288)</f>
      </c>
    </row>
    <row r="289">
      <c r="A289"/>
      <c r="B289">
        <v>9</v>
      </c>
      <c r="C289" s="43">
        <f>Jahr+17</f>
      </c>
      <c r="D289" s="43">
        <f>INDEX(MvObj,9)</f>
      </c>
      <c r="E289" s="43">
        <f>IF($S$272=0,0,IF(OR(DATE($C289,1,15)&lt;$S$272,AND($T$272&gt;0,DATE($C289,1,15)&gt;$T$272)),0,IF(DATE($C289,1,15)&gt;=$X$272,$AA$272*(1+($U$272)/100)^MAX(0,$C289-$AD$272),IF(DATE($C289,1,15)&gt;=$W$272,$Z$272*(1+($U$272)/100)^MAX(0,$C289-$AC$272),IF(DATE($C289,1,15)&gt;=$V$272,$Y$272*(1+($U$272)/100)^MAX(0,$C289-$AB$272),0)))))</f>
      </c>
      <c r="F289" s="43">
        <f>IF($S$272=0,0,IF(OR(DATE($C289,2,15)&lt;$S$272,AND($T$272&gt;0,DATE($C289,2,15)&gt;$T$272)),0,IF(DATE($C289,2,15)&gt;=$X$272,$AA$272*(1+($U$272)/100)^MAX(0,$C289-$AD$272),IF(DATE($C289,2,15)&gt;=$W$272,$Z$272*(1+($U$272)/100)^MAX(0,$C289-$AC$272),IF(DATE($C289,2,15)&gt;=$V$272,$Y$272*(1+($U$272)/100)^MAX(0,$C289-$AB$272),0)))))</f>
      </c>
      <c r="G289" s="43">
        <f>IF($S$272=0,0,IF(OR(DATE($C289,3,15)&lt;$S$272,AND($T$272&gt;0,DATE($C289,3,15)&gt;$T$272)),0,IF(DATE($C289,3,15)&gt;=$X$272,$AA$272*(1+($U$272)/100)^MAX(0,$C289-$AD$272),IF(DATE($C289,3,15)&gt;=$W$272,$Z$272*(1+($U$272)/100)^MAX(0,$C289-$AC$272),IF(DATE($C289,3,15)&gt;=$V$272,$Y$272*(1+($U$272)/100)^MAX(0,$C289-$AB$272),0)))))</f>
      </c>
      <c r="H289" s="43">
        <f>IF($S$272=0,0,IF(OR(DATE($C289,4,15)&lt;$S$272,AND($T$272&gt;0,DATE($C289,4,15)&gt;$T$272)),0,IF(DATE($C289,4,15)&gt;=$X$272,$AA$272*(1+($U$272)/100)^MAX(0,$C289-$AD$272),IF(DATE($C289,4,15)&gt;=$W$272,$Z$272*(1+($U$272)/100)^MAX(0,$C289-$AC$272),IF(DATE($C289,4,15)&gt;=$V$272,$Y$272*(1+($U$272)/100)^MAX(0,$C289-$AB$272),0)))))</f>
      </c>
      <c r="I289" s="43">
        <f>IF($S$272=0,0,IF(OR(DATE($C289,5,15)&lt;$S$272,AND($T$272&gt;0,DATE($C289,5,15)&gt;$T$272)),0,IF(DATE($C289,5,15)&gt;=$X$272,$AA$272*(1+($U$272)/100)^MAX(0,$C289-$AD$272),IF(DATE($C289,5,15)&gt;=$W$272,$Z$272*(1+($U$272)/100)^MAX(0,$C289-$AC$272),IF(DATE($C289,5,15)&gt;=$V$272,$Y$272*(1+($U$272)/100)^MAX(0,$C289-$AB$272),0)))))</f>
      </c>
      <c r="J289" s="43">
        <f>IF($S$272=0,0,IF(OR(DATE($C289,6,15)&lt;$S$272,AND($T$272&gt;0,DATE($C289,6,15)&gt;$T$272)),0,IF(DATE($C289,6,15)&gt;=$X$272,$AA$272*(1+($U$272)/100)^MAX(0,$C289-$AD$272),IF(DATE($C289,6,15)&gt;=$W$272,$Z$272*(1+($U$272)/100)^MAX(0,$C289-$AC$272),IF(DATE($C289,6,15)&gt;=$V$272,$Y$272*(1+($U$272)/100)^MAX(0,$C289-$AB$272),0)))))</f>
      </c>
      <c r="K289" s="43">
        <f>IF($S$272=0,0,IF(OR(DATE($C289,7,15)&lt;$S$272,AND($T$272&gt;0,DATE($C289,7,15)&gt;$T$272)),0,IF(DATE($C289,7,15)&gt;=$X$272,$AA$272*(1+($U$272)/100)^MAX(0,$C289-$AD$272),IF(DATE($C289,7,15)&gt;=$W$272,$Z$272*(1+($U$272)/100)^MAX(0,$C289-$AC$272),IF(DATE($C289,7,15)&gt;=$V$272,$Y$272*(1+($U$272)/100)^MAX(0,$C289-$AB$272),0)))))</f>
      </c>
      <c r="L289" s="43">
        <f>IF($S$272=0,0,IF(OR(DATE($C289,8,15)&lt;$S$272,AND($T$272&gt;0,DATE($C289,8,15)&gt;$T$272)),0,IF(DATE($C289,8,15)&gt;=$X$272,$AA$272*(1+($U$272)/100)^MAX(0,$C289-$AD$272),IF(DATE($C289,8,15)&gt;=$W$272,$Z$272*(1+($U$272)/100)^MAX(0,$C289-$AC$272),IF(DATE($C289,8,15)&gt;=$V$272,$Y$272*(1+($U$272)/100)^MAX(0,$C289-$AB$272),0)))))</f>
      </c>
      <c r="M289" s="43">
        <f>IF($S$272=0,0,IF(OR(DATE($C289,9,15)&lt;$S$272,AND($T$272&gt;0,DATE($C289,9,15)&gt;$T$272)),0,IF(DATE($C289,9,15)&gt;=$X$272,$AA$272*(1+($U$272)/100)^MAX(0,$C289-$AD$272),IF(DATE($C289,9,15)&gt;=$W$272,$Z$272*(1+($U$272)/100)^MAX(0,$C289-$AC$272),IF(DATE($C289,9,15)&gt;=$V$272,$Y$272*(1+($U$272)/100)^MAX(0,$C289-$AB$272),0)))))</f>
      </c>
      <c r="N289" s="43">
        <f>IF($S$272=0,0,IF(OR(DATE($C289,10,15)&lt;$S$272,AND($T$272&gt;0,DATE($C289,10,15)&gt;$T$272)),0,IF(DATE($C289,10,15)&gt;=$X$272,$AA$272*(1+($U$272)/100)^MAX(0,$C289-$AD$272),IF(DATE($C289,10,15)&gt;=$W$272,$Z$272*(1+($U$272)/100)^MAX(0,$C289-$AC$272),IF(DATE($C289,10,15)&gt;=$V$272,$Y$272*(1+($U$272)/100)^MAX(0,$C289-$AB$272),0)))))</f>
      </c>
      <c r="O289" s="43">
        <f>IF($S$272=0,0,IF(OR(DATE($C289,11,15)&lt;$S$272,AND($T$272&gt;0,DATE($C289,11,15)&gt;$T$272)),0,IF(DATE($C289,11,15)&gt;=$X$272,$AA$272*(1+($U$272)/100)^MAX(0,$C289-$AD$272),IF(DATE($C289,11,15)&gt;=$W$272,$Z$272*(1+($U$272)/100)^MAX(0,$C289-$AC$272),IF(DATE($C289,11,15)&gt;=$V$272,$Y$272*(1+($U$272)/100)^MAX(0,$C289-$AB$272),0)))))</f>
      </c>
      <c r="P289" s="43">
        <f>IF($S$272=0,0,IF(OR(DATE($C289,12,15)&lt;$S$272,AND($T$272&gt;0,DATE($C289,12,15)&gt;$T$272)),0,IF(DATE($C289,12,15)&gt;=$X$272,$AA$272*(1+($U$272)/100)^MAX(0,$C289-$AD$272),IF(DATE($C289,12,15)&gt;=$W$272,$Z$272*(1+($U$272)/100)^MAX(0,$C289-$AC$272),IF(DATE($C289,12,15)&gt;=$V$272,$Y$272*(1+($U$272)/100)^MAX(0,$C289-$AB$272),0)))))</f>
      </c>
      <c r="Q289" s="43">
        <f>SUM($E289:$P289)</f>
      </c>
    </row>
    <row r="290">
      <c r="A290"/>
      <c r="B290">
        <v>9</v>
      </c>
      <c r="C290" s="43">
        <f>Jahr+18</f>
      </c>
      <c r="D290" s="43">
        <f>INDEX(MvObj,9)</f>
      </c>
      <c r="E290" s="43">
        <f>IF($S$272=0,0,IF(OR(DATE($C290,1,15)&lt;$S$272,AND($T$272&gt;0,DATE($C290,1,15)&gt;$T$272)),0,IF(DATE($C290,1,15)&gt;=$X$272,$AA$272*(1+($U$272)/100)^MAX(0,$C290-$AD$272),IF(DATE($C290,1,15)&gt;=$W$272,$Z$272*(1+($U$272)/100)^MAX(0,$C290-$AC$272),IF(DATE($C290,1,15)&gt;=$V$272,$Y$272*(1+($U$272)/100)^MAX(0,$C290-$AB$272),0)))))</f>
      </c>
      <c r="F290" s="43">
        <f>IF($S$272=0,0,IF(OR(DATE($C290,2,15)&lt;$S$272,AND($T$272&gt;0,DATE($C290,2,15)&gt;$T$272)),0,IF(DATE($C290,2,15)&gt;=$X$272,$AA$272*(1+($U$272)/100)^MAX(0,$C290-$AD$272),IF(DATE($C290,2,15)&gt;=$W$272,$Z$272*(1+($U$272)/100)^MAX(0,$C290-$AC$272),IF(DATE($C290,2,15)&gt;=$V$272,$Y$272*(1+($U$272)/100)^MAX(0,$C290-$AB$272),0)))))</f>
      </c>
      <c r="G290" s="43">
        <f>IF($S$272=0,0,IF(OR(DATE($C290,3,15)&lt;$S$272,AND($T$272&gt;0,DATE($C290,3,15)&gt;$T$272)),0,IF(DATE($C290,3,15)&gt;=$X$272,$AA$272*(1+($U$272)/100)^MAX(0,$C290-$AD$272),IF(DATE($C290,3,15)&gt;=$W$272,$Z$272*(1+($U$272)/100)^MAX(0,$C290-$AC$272),IF(DATE($C290,3,15)&gt;=$V$272,$Y$272*(1+($U$272)/100)^MAX(0,$C290-$AB$272),0)))))</f>
      </c>
      <c r="H290" s="43">
        <f>IF($S$272=0,0,IF(OR(DATE($C290,4,15)&lt;$S$272,AND($T$272&gt;0,DATE($C290,4,15)&gt;$T$272)),0,IF(DATE($C290,4,15)&gt;=$X$272,$AA$272*(1+($U$272)/100)^MAX(0,$C290-$AD$272),IF(DATE($C290,4,15)&gt;=$W$272,$Z$272*(1+($U$272)/100)^MAX(0,$C290-$AC$272),IF(DATE($C290,4,15)&gt;=$V$272,$Y$272*(1+($U$272)/100)^MAX(0,$C290-$AB$272),0)))))</f>
      </c>
      <c r="I290" s="43">
        <f>IF($S$272=0,0,IF(OR(DATE($C290,5,15)&lt;$S$272,AND($T$272&gt;0,DATE($C290,5,15)&gt;$T$272)),0,IF(DATE($C290,5,15)&gt;=$X$272,$AA$272*(1+($U$272)/100)^MAX(0,$C290-$AD$272),IF(DATE($C290,5,15)&gt;=$W$272,$Z$272*(1+($U$272)/100)^MAX(0,$C290-$AC$272),IF(DATE($C290,5,15)&gt;=$V$272,$Y$272*(1+($U$272)/100)^MAX(0,$C290-$AB$272),0)))))</f>
      </c>
      <c r="J290" s="43">
        <f>IF($S$272=0,0,IF(OR(DATE($C290,6,15)&lt;$S$272,AND($T$272&gt;0,DATE($C290,6,15)&gt;$T$272)),0,IF(DATE($C290,6,15)&gt;=$X$272,$AA$272*(1+($U$272)/100)^MAX(0,$C290-$AD$272),IF(DATE($C290,6,15)&gt;=$W$272,$Z$272*(1+($U$272)/100)^MAX(0,$C290-$AC$272),IF(DATE($C290,6,15)&gt;=$V$272,$Y$272*(1+($U$272)/100)^MAX(0,$C290-$AB$272),0)))))</f>
      </c>
      <c r="K290" s="43">
        <f>IF($S$272=0,0,IF(OR(DATE($C290,7,15)&lt;$S$272,AND($T$272&gt;0,DATE($C290,7,15)&gt;$T$272)),0,IF(DATE($C290,7,15)&gt;=$X$272,$AA$272*(1+($U$272)/100)^MAX(0,$C290-$AD$272),IF(DATE($C290,7,15)&gt;=$W$272,$Z$272*(1+($U$272)/100)^MAX(0,$C290-$AC$272),IF(DATE($C290,7,15)&gt;=$V$272,$Y$272*(1+($U$272)/100)^MAX(0,$C290-$AB$272),0)))))</f>
      </c>
      <c r="L290" s="43">
        <f>IF($S$272=0,0,IF(OR(DATE($C290,8,15)&lt;$S$272,AND($T$272&gt;0,DATE($C290,8,15)&gt;$T$272)),0,IF(DATE($C290,8,15)&gt;=$X$272,$AA$272*(1+($U$272)/100)^MAX(0,$C290-$AD$272),IF(DATE($C290,8,15)&gt;=$W$272,$Z$272*(1+($U$272)/100)^MAX(0,$C290-$AC$272),IF(DATE($C290,8,15)&gt;=$V$272,$Y$272*(1+($U$272)/100)^MAX(0,$C290-$AB$272),0)))))</f>
      </c>
      <c r="M290" s="43">
        <f>IF($S$272=0,0,IF(OR(DATE($C290,9,15)&lt;$S$272,AND($T$272&gt;0,DATE($C290,9,15)&gt;$T$272)),0,IF(DATE($C290,9,15)&gt;=$X$272,$AA$272*(1+($U$272)/100)^MAX(0,$C290-$AD$272),IF(DATE($C290,9,15)&gt;=$W$272,$Z$272*(1+($U$272)/100)^MAX(0,$C290-$AC$272),IF(DATE($C290,9,15)&gt;=$V$272,$Y$272*(1+($U$272)/100)^MAX(0,$C290-$AB$272),0)))))</f>
      </c>
      <c r="N290" s="43">
        <f>IF($S$272=0,0,IF(OR(DATE($C290,10,15)&lt;$S$272,AND($T$272&gt;0,DATE($C290,10,15)&gt;$T$272)),0,IF(DATE($C290,10,15)&gt;=$X$272,$AA$272*(1+($U$272)/100)^MAX(0,$C290-$AD$272),IF(DATE($C290,10,15)&gt;=$W$272,$Z$272*(1+($U$272)/100)^MAX(0,$C290-$AC$272),IF(DATE($C290,10,15)&gt;=$V$272,$Y$272*(1+($U$272)/100)^MAX(0,$C290-$AB$272),0)))))</f>
      </c>
      <c r="O290" s="43">
        <f>IF($S$272=0,0,IF(OR(DATE($C290,11,15)&lt;$S$272,AND($T$272&gt;0,DATE($C290,11,15)&gt;$T$272)),0,IF(DATE($C290,11,15)&gt;=$X$272,$AA$272*(1+($U$272)/100)^MAX(0,$C290-$AD$272),IF(DATE($C290,11,15)&gt;=$W$272,$Z$272*(1+($U$272)/100)^MAX(0,$C290-$AC$272),IF(DATE($C290,11,15)&gt;=$V$272,$Y$272*(1+($U$272)/100)^MAX(0,$C290-$AB$272),0)))))</f>
      </c>
      <c r="P290" s="43">
        <f>IF($S$272=0,0,IF(OR(DATE($C290,12,15)&lt;$S$272,AND($T$272&gt;0,DATE($C290,12,15)&gt;$T$272)),0,IF(DATE($C290,12,15)&gt;=$X$272,$AA$272*(1+($U$272)/100)^MAX(0,$C290-$AD$272),IF(DATE($C290,12,15)&gt;=$W$272,$Z$272*(1+($U$272)/100)^MAX(0,$C290-$AC$272),IF(DATE($C290,12,15)&gt;=$V$272,$Y$272*(1+($U$272)/100)^MAX(0,$C290-$AB$272),0)))))</f>
      </c>
      <c r="Q290" s="43">
        <f>SUM($E290:$P290)</f>
      </c>
    </row>
    <row r="291">
      <c r="A291"/>
      <c r="B291">
        <v>9</v>
      </c>
      <c r="C291" s="43">
        <f>Jahr+19</f>
      </c>
      <c r="D291" s="43">
        <f>INDEX(MvObj,9)</f>
      </c>
      <c r="E291" s="43">
        <f>IF($S$272=0,0,IF(OR(DATE($C291,1,15)&lt;$S$272,AND($T$272&gt;0,DATE($C291,1,15)&gt;$T$272)),0,IF(DATE($C291,1,15)&gt;=$X$272,$AA$272*(1+($U$272)/100)^MAX(0,$C291-$AD$272),IF(DATE($C291,1,15)&gt;=$W$272,$Z$272*(1+($U$272)/100)^MAX(0,$C291-$AC$272),IF(DATE($C291,1,15)&gt;=$V$272,$Y$272*(1+($U$272)/100)^MAX(0,$C291-$AB$272),0)))))</f>
      </c>
      <c r="F291" s="43">
        <f>IF($S$272=0,0,IF(OR(DATE($C291,2,15)&lt;$S$272,AND($T$272&gt;0,DATE($C291,2,15)&gt;$T$272)),0,IF(DATE($C291,2,15)&gt;=$X$272,$AA$272*(1+($U$272)/100)^MAX(0,$C291-$AD$272),IF(DATE($C291,2,15)&gt;=$W$272,$Z$272*(1+($U$272)/100)^MAX(0,$C291-$AC$272),IF(DATE($C291,2,15)&gt;=$V$272,$Y$272*(1+($U$272)/100)^MAX(0,$C291-$AB$272),0)))))</f>
      </c>
      <c r="G291" s="43">
        <f>IF($S$272=0,0,IF(OR(DATE($C291,3,15)&lt;$S$272,AND($T$272&gt;0,DATE($C291,3,15)&gt;$T$272)),0,IF(DATE($C291,3,15)&gt;=$X$272,$AA$272*(1+($U$272)/100)^MAX(0,$C291-$AD$272),IF(DATE($C291,3,15)&gt;=$W$272,$Z$272*(1+($U$272)/100)^MAX(0,$C291-$AC$272),IF(DATE($C291,3,15)&gt;=$V$272,$Y$272*(1+($U$272)/100)^MAX(0,$C291-$AB$272),0)))))</f>
      </c>
      <c r="H291" s="43">
        <f>IF($S$272=0,0,IF(OR(DATE($C291,4,15)&lt;$S$272,AND($T$272&gt;0,DATE($C291,4,15)&gt;$T$272)),0,IF(DATE($C291,4,15)&gt;=$X$272,$AA$272*(1+($U$272)/100)^MAX(0,$C291-$AD$272),IF(DATE($C291,4,15)&gt;=$W$272,$Z$272*(1+($U$272)/100)^MAX(0,$C291-$AC$272),IF(DATE($C291,4,15)&gt;=$V$272,$Y$272*(1+($U$272)/100)^MAX(0,$C291-$AB$272),0)))))</f>
      </c>
      <c r="I291" s="43">
        <f>IF($S$272=0,0,IF(OR(DATE($C291,5,15)&lt;$S$272,AND($T$272&gt;0,DATE($C291,5,15)&gt;$T$272)),0,IF(DATE($C291,5,15)&gt;=$X$272,$AA$272*(1+($U$272)/100)^MAX(0,$C291-$AD$272),IF(DATE($C291,5,15)&gt;=$W$272,$Z$272*(1+($U$272)/100)^MAX(0,$C291-$AC$272),IF(DATE($C291,5,15)&gt;=$V$272,$Y$272*(1+($U$272)/100)^MAX(0,$C291-$AB$272),0)))))</f>
      </c>
      <c r="J291" s="43">
        <f>IF($S$272=0,0,IF(OR(DATE($C291,6,15)&lt;$S$272,AND($T$272&gt;0,DATE($C291,6,15)&gt;$T$272)),0,IF(DATE($C291,6,15)&gt;=$X$272,$AA$272*(1+($U$272)/100)^MAX(0,$C291-$AD$272),IF(DATE($C291,6,15)&gt;=$W$272,$Z$272*(1+($U$272)/100)^MAX(0,$C291-$AC$272),IF(DATE($C291,6,15)&gt;=$V$272,$Y$272*(1+($U$272)/100)^MAX(0,$C291-$AB$272),0)))))</f>
      </c>
      <c r="K291" s="43">
        <f>IF($S$272=0,0,IF(OR(DATE($C291,7,15)&lt;$S$272,AND($T$272&gt;0,DATE($C291,7,15)&gt;$T$272)),0,IF(DATE($C291,7,15)&gt;=$X$272,$AA$272*(1+($U$272)/100)^MAX(0,$C291-$AD$272),IF(DATE($C291,7,15)&gt;=$W$272,$Z$272*(1+($U$272)/100)^MAX(0,$C291-$AC$272),IF(DATE($C291,7,15)&gt;=$V$272,$Y$272*(1+($U$272)/100)^MAX(0,$C291-$AB$272),0)))))</f>
      </c>
      <c r="L291" s="43">
        <f>IF($S$272=0,0,IF(OR(DATE($C291,8,15)&lt;$S$272,AND($T$272&gt;0,DATE($C291,8,15)&gt;$T$272)),0,IF(DATE($C291,8,15)&gt;=$X$272,$AA$272*(1+($U$272)/100)^MAX(0,$C291-$AD$272),IF(DATE($C291,8,15)&gt;=$W$272,$Z$272*(1+($U$272)/100)^MAX(0,$C291-$AC$272),IF(DATE($C291,8,15)&gt;=$V$272,$Y$272*(1+($U$272)/100)^MAX(0,$C291-$AB$272),0)))))</f>
      </c>
      <c r="M291" s="43">
        <f>IF($S$272=0,0,IF(OR(DATE($C291,9,15)&lt;$S$272,AND($T$272&gt;0,DATE($C291,9,15)&gt;$T$272)),0,IF(DATE($C291,9,15)&gt;=$X$272,$AA$272*(1+($U$272)/100)^MAX(0,$C291-$AD$272),IF(DATE($C291,9,15)&gt;=$W$272,$Z$272*(1+($U$272)/100)^MAX(0,$C291-$AC$272),IF(DATE($C291,9,15)&gt;=$V$272,$Y$272*(1+($U$272)/100)^MAX(0,$C291-$AB$272),0)))))</f>
      </c>
      <c r="N291" s="43">
        <f>IF($S$272=0,0,IF(OR(DATE($C291,10,15)&lt;$S$272,AND($T$272&gt;0,DATE($C291,10,15)&gt;$T$272)),0,IF(DATE($C291,10,15)&gt;=$X$272,$AA$272*(1+($U$272)/100)^MAX(0,$C291-$AD$272),IF(DATE($C291,10,15)&gt;=$W$272,$Z$272*(1+($U$272)/100)^MAX(0,$C291-$AC$272),IF(DATE($C291,10,15)&gt;=$V$272,$Y$272*(1+($U$272)/100)^MAX(0,$C291-$AB$272),0)))))</f>
      </c>
      <c r="O291" s="43">
        <f>IF($S$272=0,0,IF(OR(DATE($C291,11,15)&lt;$S$272,AND($T$272&gt;0,DATE($C291,11,15)&gt;$T$272)),0,IF(DATE($C291,11,15)&gt;=$X$272,$AA$272*(1+($U$272)/100)^MAX(0,$C291-$AD$272),IF(DATE($C291,11,15)&gt;=$W$272,$Z$272*(1+($U$272)/100)^MAX(0,$C291-$AC$272),IF(DATE($C291,11,15)&gt;=$V$272,$Y$272*(1+($U$272)/100)^MAX(0,$C291-$AB$272),0)))))</f>
      </c>
      <c r="P291" s="43">
        <f>IF($S$272=0,0,IF(OR(DATE($C291,12,15)&lt;$S$272,AND($T$272&gt;0,DATE($C291,12,15)&gt;$T$272)),0,IF(DATE($C291,12,15)&gt;=$X$272,$AA$272*(1+($U$272)/100)^MAX(0,$C291-$AD$272),IF(DATE($C291,12,15)&gt;=$W$272,$Z$272*(1+($U$272)/100)^MAX(0,$C291-$AC$272),IF(DATE($C291,12,15)&gt;=$V$272,$Y$272*(1+($U$272)/100)^MAX(0,$C291-$AB$272),0)))))</f>
      </c>
      <c r="Q291" s="43">
        <f>SUM($E291:$P291)</f>
      </c>
    </row>
    <row r="292">
      <c r="A292"/>
      <c r="B292">
        <v>9</v>
      </c>
      <c r="C292" s="43">
        <f>Jahr+20</f>
      </c>
      <c r="D292" s="43">
        <f>INDEX(MvObj,9)</f>
      </c>
      <c r="E292" s="43">
        <f>IF($S$272=0,0,IF(OR(DATE($C292,1,15)&lt;$S$272,AND($T$272&gt;0,DATE($C292,1,15)&gt;$T$272)),0,IF(DATE($C292,1,15)&gt;=$X$272,$AA$272*(1+($U$272)/100)^MAX(0,$C292-$AD$272),IF(DATE($C292,1,15)&gt;=$W$272,$Z$272*(1+($U$272)/100)^MAX(0,$C292-$AC$272),IF(DATE($C292,1,15)&gt;=$V$272,$Y$272*(1+($U$272)/100)^MAX(0,$C292-$AB$272),0)))))</f>
      </c>
      <c r="F292" s="43">
        <f>IF($S$272=0,0,IF(OR(DATE($C292,2,15)&lt;$S$272,AND($T$272&gt;0,DATE($C292,2,15)&gt;$T$272)),0,IF(DATE($C292,2,15)&gt;=$X$272,$AA$272*(1+($U$272)/100)^MAX(0,$C292-$AD$272),IF(DATE($C292,2,15)&gt;=$W$272,$Z$272*(1+($U$272)/100)^MAX(0,$C292-$AC$272),IF(DATE($C292,2,15)&gt;=$V$272,$Y$272*(1+($U$272)/100)^MAX(0,$C292-$AB$272),0)))))</f>
      </c>
      <c r="G292" s="43">
        <f>IF($S$272=0,0,IF(OR(DATE($C292,3,15)&lt;$S$272,AND($T$272&gt;0,DATE($C292,3,15)&gt;$T$272)),0,IF(DATE($C292,3,15)&gt;=$X$272,$AA$272*(1+($U$272)/100)^MAX(0,$C292-$AD$272),IF(DATE($C292,3,15)&gt;=$W$272,$Z$272*(1+($U$272)/100)^MAX(0,$C292-$AC$272),IF(DATE($C292,3,15)&gt;=$V$272,$Y$272*(1+($U$272)/100)^MAX(0,$C292-$AB$272),0)))))</f>
      </c>
      <c r="H292" s="43">
        <f>IF($S$272=0,0,IF(OR(DATE($C292,4,15)&lt;$S$272,AND($T$272&gt;0,DATE($C292,4,15)&gt;$T$272)),0,IF(DATE($C292,4,15)&gt;=$X$272,$AA$272*(1+($U$272)/100)^MAX(0,$C292-$AD$272),IF(DATE($C292,4,15)&gt;=$W$272,$Z$272*(1+($U$272)/100)^MAX(0,$C292-$AC$272),IF(DATE($C292,4,15)&gt;=$V$272,$Y$272*(1+($U$272)/100)^MAX(0,$C292-$AB$272),0)))))</f>
      </c>
      <c r="I292" s="43">
        <f>IF($S$272=0,0,IF(OR(DATE($C292,5,15)&lt;$S$272,AND($T$272&gt;0,DATE($C292,5,15)&gt;$T$272)),0,IF(DATE($C292,5,15)&gt;=$X$272,$AA$272*(1+($U$272)/100)^MAX(0,$C292-$AD$272),IF(DATE($C292,5,15)&gt;=$W$272,$Z$272*(1+($U$272)/100)^MAX(0,$C292-$AC$272),IF(DATE($C292,5,15)&gt;=$V$272,$Y$272*(1+($U$272)/100)^MAX(0,$C292-$AB$272),0)))))</f>
      </c>
      <c r="J292" s="43">
        <f>IF($S$272=0,0,IF(OR(DATE($C292,6,15)&lt;$S$272,AND($T$272&gt;0,DATE($C292,6,15)&gt;$T$272)),0,IF(DATE($C292,6,15)&gt;=$X$272,$AA$272*(1+($U$272)/100)^MAX(0,$C292-$AD$272),IF(DATE($C292,6,15)&gt;=$W$272,$Z$272*(1+($U$272)/100)^MAX(0,$C292-$AC$272),IF(DATE($C292,6,15)&gt;=$V$272,$Y$272*(1+($U$272)/100)^MAX(0,$C292-$AB$272),0)))))</f>
      </c>
      <c r="K292" s="43">
        <f>IF($S$272=0,0,IF(OR(DATE($C292,7,15)&lt;$S$272,AND($T$272&gt;0,DATE($C292,7,15)&gt;$T$272)),0,IF(DATE($C292,7,15)&gt;=$X$272,$AA$272*(1+($U$272)/100)^MAX(0,$C292-$AD$272),IF(DATE($C292,7,15)&gt;=$W$272,$Z$272*(1+($U$272)/100)^MAX(0,$C292-$AC$272),IF(DATE($C292,7,15)&gt;=$V$272,$Y$272*(1+($U$272)/100)^MAX(0,$C292-$AB$272),0)))))</f>
      </c>
      <c r="L292" s="43">
        <f>IF($S$272=0,0,IF(OR(DATE($C292,8,15)&lt;$S$272,AND($T$272&gt;0,DATE($C292,8,15)&gt;$T$272)),0,IF(DATE($C292,8,15)&gt;=$X$272,$AA$272*(1+($U$272)/100)^MAX(0,$C292-$AD$272),IF(DATE($C292,8,15)&gt;=$W$272,$Z$272*(1+($U$272)/100)^MAX(0,$C292-$AC$272),IF(DATE($C292,8,15)&gt;=$V$272,$Y$272*(1+($U$272)/100)^MAX(0,$C292-$AB$272),0)))))</f>
      </c>
      <c r="M292" s="43">
        <f>IF($S$272=0,0,IF(OR(DATE($C292,9,15)&lt;$S$272,AND($T$272&gt;0,DATE($C292,9,15)&gt;$T$272)),0,IF(DATE($C292,9,15)&gt;=$X$272,$AA$272*(1+($U$272)/100)^MAX(0,$C292-$AD$272),IF(DATE($C292,9,15)&gt;=$W$272,$Z$272*(1+($U$272)/100)^MAX(0,$C292-$AC$272),IF(DATE($C292,9,15)&gt;=$V$272,$Y$272*(1+($U$272)/100)^MAX(0,$C292-$AB$272),0)))))</f>
      </c>
      <c r="N292" s="43">
        <f>IF($S$272=0,0,IF(OR(DATE($C292,10,15)&lt;$S$272,AND($T$272&gt;0,DATE($C292,10,15)&gt;$T$272)),0,IF(DATE($C292,10,15)&gt;=$X$272,$AA$272*(1+($U$272)/100)^MAX(0,$C292-$AD$272),IF(DATE($C292,10,15)&gt;=$W$272,$Z$272*(1+($U$272)/100)^MAX(0,$C292-$AC$272),IF(DATE($C292,10,15)&gt;=$V$272,$Y$272*(1+($U$272)/100)^MAX(0,$C292-$AB$272),0)))))</f>
      </c>
      <c r="O292" s="43">
        <f>IF($S$272=0,0,IF(OR(DATE($C292,11,15)&lt;$S$272,AND($T$272&gt;0,DATE($C292,11,15)&gt;$T$272)),0,IF(DATE($C292,11,15)&gt;=$X$272,$AA$272*(1+($U$272)/100)^MAX(0,$C292-$AD$272),IF(DATE($C292,11,15)&gt;=$W$272,$Z$272*(1+($U$272)/100)^MAX(0,$C292-$AC$272),IF(DATE($C292,11,15)&gt;=$V$272,$Y$272*(1+($U$272)/100)^MAX(0,$C292-$AB$272),0)))))</f>
      </c>
      <c r="P292" s="43">
        <f>IF($S$272=0,0,IF(OR(DATE($C292,12,15)&lt;$S$272,AND($T$272&gt;0,DATE($C292,12,15)&gt;$T$272)),0,IF(DATE($C292,12,15)&gt;=$X$272,$AA$272*(1+($U$272)/100)^MAX(0,$C292-$AD$272),IF(DATE($C292,12,15)&gt;=$W$272,$Z$272*(1+($U$272)/100)^MAX(0,$C292-$AC$272),IF(DATE($C292,12,15)&gt;=$V$272,$Y$272*(1+($U$272)/100)^MAX(0,$C292-$AB$272),0)))))</f>
      </c>
      <c r="Q292" s="43">
        <f>SUM($E292:$P292)</f>
      </c>
    </row>
    <row r="293">
      <c r="A293"/>
      <c r="B293">
        <v>9</v>
      </c>
      <c r="C293" s="43">
        <f>Jahr+21</f>
      </c>
      <c r="D293" s="43">
        <f>INDEX(MvObj,9)</f>
      </c>
      <c r="E293" s="43">
        <f>IF($S$272=0,0,IF(OR(DATE($C293,1,15)&lt;$S$272,AND($T$272&gt;0,DATE($C293,1,15)&gt;$T$272)),0,IF(DATE($C293,1,15)&gt;=$X$272,$AA$272*(1+($U$272)/100)^MAX(0,$C293-$AD$272),IF(DATE($C293,1,15)&gt;=$W$272,$Z$272*(1+($U$272)/100)^MAX(0,$C293-$AC$272),IF(DATE($C293,1,15)&gt;=$V$272,$Y$272*(1+($U$272)/100)^MAX(0,$C293-$AB$272),0)))))</f>
      </c>
      <c r="F293" s="43">
        <f>IF($S$272=0,0,IF(OR(DATE($C293,2,15)&lt;$S$272,AND($T$272&gt;0,DATE($C293,2,15)&gt;$T$272)),0,IF(DATE($C293,2,15)&gt;=$X$272,$AA$272*(1+($U$272)/100)^MAX(0,$C293-$AD$272),IF(DATE($C293,2,15)&gt;=$W$272,$Z$272*(1+($U$272)/100)^MAX(0,$C293-$AC$272),IF(DATE($C293,2,15)&gt;=$V$272,$Y$272*(1+($U$272)/100)^MAX(0,$C293-$AB$272),0)))))</f>
      </c>
      <c r="G293" s="43">
        <f>IF($S$272=0,0,IF(OR(DATE($C293,3,15)&lt;$S$272,AND($T$272&gt;0,DATE($C293,3,15)&gt;$T$272)),0,IF(DATE($C293,3,15)&gt;=$X$272,$AA$272*(1+($U$272)/100)^MAX(0,$C293-$AD$272),IF(DATE($C293,3,15)&gt;=$W$272,$Z$272*(1+($U$272)/100)^MAX(0,$C293-$AC$272),IF(DATE($C293,3,15)&gt;=$V$272,$Y$272*(1+($U$272)/100)^MAX(0,$C293-$AB$272),0)))))</f>
      </c>
      <c r="H293" s="43">
        <f>IF($S$272=0,0,IF(OR(DATE($C293,4,15)&lt;$S$272,AND($T$272&gt;0,DATE($C293,4,15)&gt;$T$272)),0,IF(DATE($C293,4,15)&gt;=$X$272,$AA$272*(1+($U$272)/100)^MAX(0,$C293-$AD$272),IF(DATE($C293,4,15)&gt;=$W$272,$Z$272*(1+($U$272)/100)^MAX(0,$C293-$AC$272),IF(DATE($C293,4,15)&gt;=$V$272,$Y$272*(1+($U$272)/100)^MAX(0,$C293-$AB$272),0)))))</f>
      </c>
      <c r="I293" s="43">
        <f>IF($S$272=0,0,IF(OR(DATE($C293,5,15)&lt;$S$272,AND($T$272&gt;0,DATE($C293,5,15)&gt;$T$272)),0,IF(DATE($C293,5,15)&gt;=$X$272,$AA$272*(1+($U$272)/100)^MAX(0,$C293-$AD$272),IF(DATE($C293,5,15)&gt;=$W$272,$Z$272*(1+($U$272)/100)^MAX(0,$C293-$AC$272),IF(DATE($C293,5,15)&gt;=$V$272,$Y$272*(1+($U$272)/100)^MAX(0,$C293-$AB$272),0)))))</f>
      </c>
      <c r="J293" s="43">
        <f>IF($S$272=0,0,IF(OR(DATE($C293,6,15)&lt;$S$272,AND($T$272&gt;0,DATE($C293,6,15)&gt;$T$272)),0,IF(DATE($C293,6,15)&gt;=$X$272,$AA$272*(1+($U$272)/100)^MAX(0,$C293-$AD$272),IF(DATE($C293,6,15)&gt;=$W$272,$Z$272*(1+($U$272)/100)^MAX(0,$C293-$AC$272),IF(DATE($C293,6,15)&gt;=$V$272,$Y$272*(1+($U$272)/100)^MAX(0,$C293-$AB$272),0)))))</f>
      </c>
      <c r="K293" s="43">
        <f>IF($S$272=0,0,IF(OR(DATE($C293,7,15)&lt;$S$272,AND($T$272&gt;0,DATE($C293,7,15)&gt;$T$272)),0,IF(DATE($C293,7,15)&gt;=$X$272,$AA$272*(1+($U$272)/100)^MAX(0,$C293-$AD$272),IF(DATE($C293,7,15)&gt;=$W$272,$Z$272*(1+($U$272)/100)^MAX(0,$C293-$AC$272),IF(DATE($C293,7,15)&gt;=$V$272,$Y$272*(1+($U$272)/100)^MAX(0,$C293-$AB$272),0)))))</f>
      </c>
      <c r="L293" s="43">
        <f>IF($S$272=0,0,IF(OR(DATE($C293,8,15)&lt;$S$272,AND($T$272&gt;0,DATE($C293,8,15)&gt;$T$272)),0,IF(DATE($C293,8,15)&gt;=$X$272,$AA$272*(1+($U$272)/100)^MAX(0,$C293-$AD$272),IF(DATE($C293,8,15)&gt;=$W$272,$Z$272*(1+($U$272)/100)^MAX(0,$C293-$AC$272),IF(DATE($C293,8,15)&gt;=$V$272,$Y$272*(1+($U$272)/100)^MAX(0,$C293-$AB$272),0)))))</f>
      </c>
      <c r="M293" s="43">
        <f>IF($S$272=0,0,IF(OR(DATE($C293,9,15)&lt;$S$272,AND($T$272&gt;0,DATE($C293,9,15)&gt;$T$272)),0,IF(DATE($C293,9,15)&gt;=$X$272,$AA$272*(1+($U$272)/100)^MAX(0,$C293-$AD$272),IF(DATE($C293,9,15)&gt;=$W$272,$Z$272*(1+($U$272)/100)^MAX(0,$C293-$AC$272),IF(DATE($C293,9,15)&gt;=$V$272,$Y$272*(1+($U$272)/100)^MAX(0,$C293-$AB$272),0)))))</f>
      </c>
      <c r="N293" s="43">
        <f>IF($S$272=0,0,IF(OR(DATE($C293,10,15)&lt;$S$272,AND($T$272&gt;0,DATE($C293,10,15)&gt;$T$272)),0,IF(DATE($C293,10,15)&gt;=$X$272,$AA$272*(1+($U$272)/100)^MAX(0,$C293-$AD$272),IF(DATE($C293,10,15)&gt;=$W$272,$Z$272*(1+($U$272)/100)^MAX(0,$C293-$AC$272),IF(DATE($C293,10,15)&gt;=$V$272,$Y$272*(1+($U$272)/100)^MAX(0,$C293-$AB$272),0)))))</f>
      </c>
      <c r="O293" s="43">
        <f>IF($S$272=0,0,IF(OR(DATE($C293,11,15)&lt;$S$272,AND($T$272&gt;0,DATE($C293,11,15)&gt;$T$272)),0,IF(DATE($C293,11,15)&gt;=$X$272,$AA$272*(1+($U$272)/100)^MAX(0,$C293-$AD$272),IF(DATE($C293,11,15)&gt;=$W$272,$Z$272*(1+($U$272)/100)^MAX(0,$C293-$AC$272),IF(DATE($C293,11,15)&gt;=$V$272,$Y$272*(1+($U$272)/100)^MAX(0,$C293-$AB$272),0)))))</f>
      </c>
      <c r="P293" s="43">
        <f>IF($S$272=0,0,IF(OR(DATE($C293,12,15)&lt;$S$272,AND($T$272&gt;0,DATE($C293,12,15)&gt;$T$272)),0,IF(DATE($C293,12,15)&gt;=$X$272,$AA$272*(1+($U$272)/100)^MAX(0,$C293-$AD$272),IF(DATE($C293,12,15)&gt;=$W$272,$Z$272*(1+($U$272)/100)^MAX(0,$C293-$AC$272),IF(DATE($C293,12,15)&gt;=$V$272,$Y$272*(1+($U$272)/100)^MAX(0,$C293-$AB$272),0)))))</f>
      </c>
      <c r="Q293" s="43">
        <f>SUM($E293:$P293)</f>
      </c>
    </row>
    <row r="294">
      <c r="A294"/>
      <c r="B294">
        <v>9</v>
      </c>
      <c r="C294" s="43">
        <f>Jahr+22</f>
      </c>
      <c r="D294" s="43">
        <f>INDEX(MvObj,9)</f>
      </c>
      <c r="E294" s="43">
        <f>IF($S$272=0,0,IF(OR(DATE($C294,1,15)&lt;$S$272,AND($T$272&gt;0,DATE($C294,1,15)&gt;$T$272)),0,IF(DATE($C294,1,15)&gt;=$X$272,$AA$272*(1+($U$272)/100)^MAX(0,$C294-$AD$272),IF(DATE($C294,1,15)&gt;=$W$272,$Z$272*(1+($U$272)/100)^MAX(0,$C294-$AC$272),IF(DATE($C294,1,15)&gt;=$V$272,$Y$272*(1+($U$272)/100)^MAX(0,$C294-$AB$272),0)))))</f>
      </c>
      <c r="F294" s="43">
        <f>IF($S$272=0,0,IF(OR(DATE($C294,2,15)&lt;$S$272,AND($T$272&gt;0,DATE($C294,2,15)&gt;$T$272)),0,IF(DATE($C294,2,15)&gt;=$X$272,$AA$272*(1+($U$272)/100)^MAX(0,$C294-$AD$272),IF(DATE($C294,2,15)&gt;=$W$272,$Z$272*(1+($U$272)/100)^MAX(0,$C294-$AC$272),IF(DATE($C294,2,15)&gt;=$V$272,$Y$272*(1+($U$272)/100)^MAX(0,$C294-$AB$272),0)))))</f>
      </c>
      <c r="G294" s="43">
        <f>IF($S$272=0,0,IF(OR(DATE($C294,3,15)&lt;$S$272,AND($T$272&gt;0,DATE($C294,3,15)&gt;$T$272)),0,IF(DATE($C294,3,15)&gt;=$X$272,$AA$272*(1+($U$272)/100)^MAX(0,$C294-$AD$272),IF(DATE($C294,3,15)&gt;=$W$272,$Z$272*(1+($U$272)/100)^MAX(0,$C294-$AC$272),IF(DATE($C294,3,15)&gt;=$V$272,$Y$272*(1+($U$272)/100)^MAX(0,$C294-$AB$272),0)))))</f>
      </c>
      <c r="H294" s="43">
        <f>IF($S$272=0,0,IF(OR(DATE($C294,4,15)&lt;$S$272,AND($T$272&gt;0,DATE($C294,4,15)&gt;$T$272)),0,IF(DATE($C294,4,15)&gt;=$X$272,$AA$272*(1+($U$272)/100)^MAX(0,$C294-$AD$272),IF(DATE($C294,4,15)&gt;=$W$272,$Z$272*(1+($U$272)/100)^MAX(0,$C294-$AC$272),IF(DATE($C294,4,15)&gt;=$V$272,$Y$272*(1+($U$272)/100)^MAX(0,$C294-$AB$272),0)))))</f>
      </c>
      <c r="I294" s="43">
        <f>IF($S$272=0,0,IF(OR(DATE($C294,5,15)&lt;$S$272,AND($T$272&gt;0,DATE($C294,5,15)&gt;$T$272)),0,IF(DATE($C294,5,15)&gt;=$X$272,$AA$272*(1+($U$272)/100)^MAX(0,$C294-$AD$272),IF(DATE($C294,5,15)&gt;=$W$272,$Z$272*(1+($U$272)/100)^MAX(0,$C294-$AC$272),IF(DATE($C294,5,15)&gt;=$V$272,$Y$272*(1+($U$272)/100)^MAX(0,$C294-$AB$272),0)))))</f>
      </c>
      <c r="J294" s="43">
        <f>IF($S$272=0,0,IF(OR(DATE($C294,6,15)&lt;$S$272,AND($T$272&gt;0,DATE($C294,6,15)&gt;$T$272)),0,IF(DATE($C294,6,15)&gt;=$X$272,$AA$272*(1+($U$272)/100)^MAX(0,$C294-$AD$272),IF(DATE($C294,6,15)&gt;=$W$272,$Z$272*(1+($U$272)/100)^MAX(0,$C294-$AC$272),IF(DATE($C294,6,15)&gt;=$V$272,$Y$272*(1+($U$272)/100)^MAX(0,$C294-$AB$272),0)))))</f>
      </c>
      <c r="K294" s="43">
        <f>IF($S$272=0,0,IF(OR(DATE($C294,7,15)&lt;$S$272,AND($T$272&gt;0,DATE($C294,7,15)&gt;$T$272)),0,IF(DATE($C294,7,15)&gt;=$X$272,$AA$272*(1+($U$272)/100)^MAX(0,$C294-$AD$272),IF(DATE($C294,7,15)&gt;=$W$272,$Z$272*(1+($U$272)/100)^MAX(0,$C294-$AC$272),IF(DATE($C294,7,15)&gt;=$V$272,$Y$272*(1+($U$272)/100)^MAX(0,$C294-$AB$272),0)))))</f>
      </c>
      <c r="L294" s="43">
        <f>IF($S$272=0,0,IF(OR(DATE($C294,8,15)&lt;$S$272,AND($T$272&gt;0,DATE($C294,8,15)&gt;$T$272)),0,IF(DATE($C294,8,15)&gt;=$X$272,$AA$272*(1+($U$272)/100)^MAX(0,$C294-$AD$272),IF(DATE($C294,8,15)&gt;=$W$272,$Z$272*(1+($U$272)/100)^MAX(0,$C294-$AC$272),IF(DATE($C294,8,15)&gt;=$V$272,$Y$272*(1+($U$272)/100)^MAX(0,$C294-$AB$272),0)))))</f>
      </c>
      <c r="M294" s="43">
        <f>IF($S$272=0,0,IF(OR(DATE($C294,9,15)&lt;$S$272,AND($T$272&gt;0,DATE($C294,9,15)&gt;$T$272)),0,IF(DATE($C294,9,15)&gt;=$X$272,$AA$272*(1+($U$272)/100)^MAX(0,$C294-$AD$272),IF(DATE($C294,9,15)&gt;=$W$272,$Z$272*(1+($U$272)/100)^MAX(0,$C294-$AC$272),IF(DATE($C294,9,15)&gt;=$V$272,$Y$272*(1+($U$272)/100)^MAX(0,$C294-$AB$272),0)))))</f>
      </c>
      <c r="N294" s="43">
        <f>IF($S$272=0,0,IF(OR(DATE($C294,10,15)&lt;$S$272,AND($T$272&gt;0,DATE($C294,10,15)&gt;$T$272)),0,IF(DATE($C294,10,15)&gt;=$X$272,$AA$272*(1+($U$272)/100)^MAX(0,$C294-$AD$272),IF(DATE($C294,10,15)&gt;=$W$272,$Z$272*(1+($U$272)/100)^MAX(0,$C294-$AC$272),IF(DATE($C294,10,15)&gt;=$V$272,$Y$272*(1+($U$272)/100)^MAX(0,$C294-$AB$272),0)))))</f>
      </c>
      <c r="O294" s="43">
        <f>IF($S$272=0,0,IF(OR(DATE($C294,11,15)&lt;$S$272,AND($T$272&gt;0,DATE($C294,11,15)&gt;$T$272)),0,IF(DATE($C294,11,15)&gt;=$X$272,$AA$272*(1+($U$272)/100)^MAX(0,$C294-$AD$272),IF(DATE($C294,11,15)&gt;=$W$272,$Z$272*(1+($U$272)/100)^MAX(0,$C294-$AC$272),IF(DATE($C294,11,15)&gt;=$V$272,$Y$272*(1+($U$272)/100)^MAX(0,$C294-$AB$272),0)))))</f>
      </c>
      <c r="P294" s="43">
        <f>IF($S$272=0,0,IF(OR(DATE($C294,12,15)&lt;$S$272,AND($T$272&gt;0,DATE($C294,12,15)&gt;$T$272)),0,IF(DATE($C294,12,15)&gt;=$X$272,$AA$272*(1+($U$272)/100)^MAX(0,$C294-$AD$272),IF(DATE($C294,12,15)&gt;=$W$272,$Z$272*(1+($U$272)/100)^MAX(0,$C294-$AC$272),IF(DATE($C294,12,15)&gt;=$V$272,$Y$272*(1+($U$272)/100)^MAX(0,$C294-$AB$272),0)))))</f>
      </c>
      <c r="Q294" s="43">
        <f>SUM($E294:$P294)</f>
      </c>
    </row>
    <row r="295">
      <c r="A295"/>
      <c r="B295">
        <v>9</v>
      </c>
      <c r="C295" s="43">
        <f>Jahr+23</f>
      </c>
      <c r="D295" s="43">
        <f>INDEX(MvObj,9)</f>
      </c>
      <c r="E295" s="43">
        <f>IF($S$272=0,0,IF(OR(DATE($C295,1,15)&lt;$S$272,AND($T$272&gt;0,DATE($C295,1,15)&gt;$T$272)),0,IF(DATE($C295,1,15)&gt;=$X$272,$AA$272*(1+($U$272)/100)^MAX(0,$C295-$AD$272),IF(DATE($C295,1,15)&gt;=$W$272,$Z$272*(1+($U$272)/100)^MAX(0,$C295-$AC$272),IF(DATE($C295,1,15)&gt;=$V$272,$Y$272*(1+($U$272)/100)^MAX(0,$C295-$AB$272),0)))))</f>
      </c>
      <c r="F295" s="43">
        <f>IF($S$272=0,0,IF(OR(DATE($C295,2,15)&lt;$S$272,AND($T$272&gt;0,DATE($C295,2,15)&gt;$T$272)),0,IF(DATE($C295,2,15)&gt;=$X$272,$AA$272*(1+($U$272)/100)^MAX(0,$C295-$AD$272),IF(DATE($C295,2,15)&gt;=$W$272,$Z$272*(1+($U$272)/100)^MAX(0,$C295-$AC$272),IF(DATE($C295,2,15)&gt;=$V$272,$Y$272*(1+($U$272)/100)^MAX(0,$C295-$AB$272),0)))))</f>
      </c>
      <c r="G295" s="43">
        <f>IF($S$272=0,0,IF(OR(DATE($C295,3,15)&lt;$S$272,AND($T$272&gt;0,DATE($C295,3,15)&gt;$T$272)),0,IF(DATE($C295,3,15)&gt;=$X$272,$AA$272*(1+($U$272)/100)^MAX(0,$C295-$AD$272),IF(DATE($C295,3,15)&gt;=$W$272,$Z$272*(1+($U$272)/100)^MAX(0,$C295-$AC$272),IF(DATE($C295,3,15)&gt;=$V$272,$Y$272*(1+($U$272)/100)^MAX(0,$C295-$AB$272),0)))))</f>
      </c>
      <c r="H295" s="43">
        <f>IF($S$272=0,0,IF(OR(DATE($C295,4,15)&lt;$S$272,AND($T$272&gt;0,DATE($C295,4,15)&gt;$T$272)),0,IF(DATE($C295,4,15)&gt;=$X$272,$AA$272*(1+($U$272)/100)^MAX(0,$C295-$AD$272),IF(DATE($C295,4,15)&gt;=$W$272,$Z$272*(1+($U$272)/100)^MAX(0,$C295-$AC$272),IF(DATE($C295,4,15)&gt;=$V$272,$Y$272*(1+($U$272)/100)^MAX(0,$C295-$AB$272),0)))))</f>
      </c>
      <c r="I295" s="43">
        <f>IF($S$272=0,0,IF(OR(DATE($C295,5,15)&lt;$S$272,AND($T$272&gt;0,DATE($C295,5,15)&gt;$T$272)),0,IF(DATE($C295,5,15)&gt;=$X$272,$AA$272*(1+($U$272)/100)^MAX(0,$C295-$AD$272),IF(DATE($C295,5,15)&gt;=$W$272,$Z$272*(1+($U$272)/100)^MAX(0,$C295-$AC$272),IF(DATE($C295,5,15)&gt;=$V$272,$Y$272*(1+($U$272)/100)^MAX(0,$C295-$AB$272),0)))))</f>
      </c>
      <c r="J295" s="43">
        <f>IF($S$272=0,0,IF(OR(DATE($C295,6,15)&lt;$S$272,AND($T$272&gt;0,DATE($C295,6,15)&gt;$T$272)),0,IF(DATE($C295,6,15)&gt;=$X$272,$AA$272*(1+($U$272)/100)^MAX(0,$C295-$AD$272),IF(DATE($C295,6,15)&gt;=$W$272,$Z$272*(1+($U$272)/100)^MAX(0,$C295-$AC$272),IF(DATE($C295,6,15)&gt;=$V$272,$Y$272*(1+($U$272)/100)^MAX(0,$C295-$AB$272),0)))))</f>
      </c>
      <c r="K295" s="43">
        <f>IF($S$272=0,0,IF(OR(DATE($C295,7,15)&lt;$S$272,AND($T$272&gt;0,DATE($C295,7,15)&gt;$T$272)),0,IF(DATE($C295,7,15)&gt;=$X$272,$AA$272*(1+($U$272)/100)^MAX(0,$C295-$AD$272),IF(DATE($C295,7,15)&gt;=$W$272,$Z$272*(1+($U$272)/100)^MAX(0,$C295-$AC$272),IF(DATE($C295,7,15)&gt;=$V$272,$Y$272*(1+($U$272)/100)^MAX(0,$C295-$AB$272),0)))))</f>
      </c>
      <c r="L295" s="43">
        <f>IF($S$272=0,0,IF(OR(DATE($C295,8,15)&lt;$S$272,AND($T$272&gt;0,DATE($C295,8,15)&gt;$T$272)),0,IF(DATE($C295,8,15)&gt;=$X$272,$AA$272*(1+($U$272)/100)^MAX(0,$C295-$AD$272),IF(DATE($C295,8,15)&gt;=$W$272,$Z$272*(1+($U$272)/100)^MAX(0,$C295-$AC$272),IF(DATE($C295,8,15)&gt;=$V$272,$Y$272*(1+($U$272)/100)^MAX(0,$C295-$AB$272),0)))))</f>
      </c>
      <c r="M295" s="43">
        <f>IF($S$272=0,0,IF(OR(DATE($C295,9,15)&lt;$S$272,AND($T$272&gt;0,DATE($C295,9,15)&gt;$T$272)),0,IF(DATE($C295,9,15)&gt;=$X$272,$AA$272*(1+($U$272)/100)^MAX(0,$C295-$AD$272),IF(DATE($C295,9,15)&gt;=$W$272,$Z$272*(1+($U$272)/100)^MAX(0,$C295-$AC$272),IF(DATE($C295,9,15)&gt;=$V$272,$Y$272*(1+($U$272)/100)^MAX(0,$C295-$AB$272),0)))))</f>
      </c>
      <c r="N295" s="43">
        <f>IF($S$272=0,0,IF(OR(DATE($C295,10,15)&lt;$S$272,AND($T$272&gt;0,DATE($C295,10,15)&gt;$T$272)),0,IF(DATE($C295,10,15)&gt;=$X$272,$AA$272*(1+($U$272)/100)^MAX(0,$C295-$AD$272),IF(DATE($C295,10,15)&gt;=$W$272,$Z$272*(1+($U$272)/100)^MAX(0,$C295-$AC$272),IF(DATE($C295,10,15)&gt;=$V$272,$Y$272*(1+($U$272)/100)^MAX(0,$C295-$AB$272),0)))))</f>
      </c>
      <c r="O295" s="43">
        <f>IF($S$272=0,0,IF(OR(DATE($C295,11,15)&lt;$S$272,AND($T$272&gt;0,DATE($C295,11,15)&gt;$T$272)),0,IF(DATE($C295,11,15)&gt;=$X$272,$AA$272*(1+($U$272)/100)^MAX(0,$C295-$AD$272),IF(DATE($C295,11,15)&gt;=$W$272,$Z$272*(1+($U$272)/100)^MAX(0,$C295-$AC$272),IF(DATE($C295,11,15)&gt;=$V$272,$Y$272*(1+($U$272)/100)^MAX(0,$C295-$AB$272),0)))))</f>
      </c>
      <c r="P295" s="43">
        <f>IF($S$272=0,0,IF(OR(DATE($C295,12,15)&lt;$S$272,AND($T$272&gt;0,DATE($C295,12,15)&gt;$T$272)),0,IF(DATE($C295,12,15)&gt;=$X$272,$AA$272*(1+($U$272)/100)^MAX(0,$C295-$AD$272),IF(DATE($C295,12,15)&gt;=$W$272,$Z$272*(1+($U$272)/100)^MAX(0,$C295-$AC$272),IF(DATE($C295,12,15)&gt;=$V$272,$Y$272*(1+($U$272)/100)^MAX(0,$C295-$AB$272),0)))))</f>
      </c>
      <c r="Q295" s="43">
        <f>SUM($E295:$P295)</f>
      </c>
    </row>
    <row r="296">
      <c r="A296"/>
      <c r="B296">
        <v>9</v>
      </c>
      <c r="C296" s="43">
        <f>Jahr+24</f>
      </c>
      <c r="D296" s="43">
        <f>INDEX(MvObj,9)</f>
      </c>
      <c r="E296" s="43">
        <f>IF($S$272=0,0,IF(OR(DATE($C296,1,15)&lt;$S$272,AND($T$272&gt;0,DATE($C296,1,15)&gt;$T$272)),0,IF(DATE($C296,1,15)&gt;=$X$272,$AA$272*(1+($U$272)/100)^MAX(0,$C296-$AD$272),IF(DATE($C296,1,15)&gt;=$W$272,$Z$272*(1+($U$272)/100)^MAX(0,$C296-$AC$272),IF(DATE($C296,1,15)&gt;=$V$272,$Y$272*(1+($U$272)/100)^MAX(0,$C296-$AB$272),0)))))</f>
      </c>
      <c r="F296" s="43">
        <f>IF($S$272=0,0,IF(OR(DATE($C296,2,15)&lt;$S$272,AND($T$272&gt;0,DATE($C296,2,15)&gt;$T$272)),0,IF(DATE($C296,2,15)&gt;=$X$272,$AA$272*(1+($U$272)/100)^MAX(0,$C296-$AD$272),IF(DATE($C296,2,15)&gt;=$W$272,$Z$272*(1+($U$272)/100)^MAX(0,$C296-$AC$272),IF(DATE($C296,2,15)&gt;=$V$272,$Y$272*(1+($U$272)/100)^MAX(0,$C296-$AB$272),0)))))</f>
      </c>
      <c r="G296" s="43">
        <f>IF($S$272=0,0,IF(OR(DATE($C296,3,15)&lt;$S$272,AND($T$272&gt;0,DATE($C296,3,15)&gt;$T$272)),0,IF(DATE($C296,3,15)&gt;=$X$272,$AA$272*(1+($U$272)/100)^MAX(0,$C296-$AD$272),IF(DATE($C296,3,15)&gt;=$W$272,$Z$272*(1+($U$272)/100)^MAX(0,$C296-$AC$272),IF(DATE($C296,3,15)&gt;=$V$272,$Y$272*(1+($U$272)/100)^MAX(0,$C296-$AB$272),0)))))</f>
      </c>
      <c r="H296" s="43">
        <f>IF($S$272=0,0,IF(OR(DATE($C296,4,15)&lt;$S$272,AND($T$272&gt;0,DATE($C296,4,15)&gt;$T$272)),0,IF(DATE($C296,4,15)&gt;=$X$272,$AA$272*(1+($U$272)/100)^MAX(0,$C296-$AD$272),IF(DATE($C296,4,15)&gt;=$W$272,$Z$272*(1+($U$272)/100)^MAX(0,$C296-$AC$272),IF(DATE($C296,4,15)&gt;=$V$272,$Y$272*(1+($U$272)/100)^MAX(0,$C296-$AB$272),0)))))</f>
      </c>
      <c r="I296" s="43">
        <f>IF($S$272=0,0,IF(OR(DATE($C296,5,15)&lt;$S$272,AND($T$272&gt;0,DATE($C296,5,15)&gt;$T$272)),0,IF(DATE($C296,5,15)&gt;=$X$272,$AA$272*(1+($U$272)/100)^MAX(0,$C296-$AD$272),IF(DATE($C296,5,15)&gt;=$W$272,$Z$272*(1+($U$272)/100)^MAX(0,$C296-$AC$272),IF(DATE($C296,5,15)&gt;=$V$272,$Y$272*(1+($U$272)/100)^MAX(0,$C296-$AB$272),0)))))</f>
      </c>
      <c r="J296" s="43">
        <f>IF($S$272=0,0,IF(OR(DATE($C296,6,15)&lt;$S$272,AND($T$272&gt;0,DATE($C296,6,15)&gt;$T$272)),0,IF(DATE($C296,6,15)&gt;=$X$272,$AA$272*(1+($U$272)/100)^MAX(0,$C296-$AD$272),IF(DATE($C296,6,15)&gt;=$W$272,$Z$272*(1+($U$272)/100)^MAX(0,$C296-$AC$272),IF(DATE($C296,6,15)&gt;=$V$272,$Y$272*(1+($U$272)/100)^MAX(0,$C296-$AB$272),0)))))</f>
      </c>
      <c r="K296" s="43">
        <f>IF($S$272=0,0,IF(OR(DATE($C296,7,15)&lt;$S$272,AND($T$272&gt;0,DATE($C296,7,15)&gt;$T$272)),0,IF(DATE($C296,7,15)&gt;=$X$272,$AA$272*(1+($U$272)/100)^MAX(0,$C296-$AD$272),IF(DATE($C296,7,15)&gt;=$W$272,$Z$272*(1+($U$272)/100)^MAX(0,$C296-$AC$272),IF(DATE($C296,7,15)&gt;=$V$272,$Y$272*(1+($U$272)/100)^MAX(0,$C296-$AB$272),0)))))</f>
      </c>
      <c r="L296" s="43">
        <f>IF($S$272=0,0,IF(OR(DATE($C296,8,15)&lt;$S$272,AND($T$272&gt;0,DATE($C296,8,15)&gt;$T$272)),0,IF(DATE($C296,8,15)&gt;=$X$272,$AA$272*(1+($U$272)/100)^MAX(0,$C296-$AD$272),IF(DATE($C296,8,15)&gt;=$W$272,$Z$272*(1+($U$272)/100)^MAX(0,$C296-$AC$272),IF(DATE($C296,8,15)&gt;=$V$272,$Y$272*(1+($U$272)/100)^MAX(0,$C296-$AB$272),0)))))</f>
      </c>
      <c r="M296" s="43">
        <f>IF($S$272=0,0,IF(OR(DATE($C296,9,15)&lt;$S$272,AND($T$272&gt;0,DATE($C296,9,15)&gt;$T$272)),0,IF(DATE($C296,9,15)&gt;=$X$272,$AA$272*(1+($U$272)/100)^MAX(0,$C296-$AD$272),IF(DATE($C296,9,15)&gt;=$W$272,$Z$272*(1+($U$272)/100)^MAX(0,$C296-$AC$272),IF(DATE($C296,9,15)&gt;=$V$272,$Y$272*(1+($U$272)/100)^MAX(0,$C296-$AB$272),0)))))</f>
      </c>
      <c r="N296" s="43">
        <f>IF($S$272=0,0,IF(OR(DATE($C296,10,15)&lt;$S$272,AND($T$272&gt;0,DATE($C296,10,15)&gt;$T$272)),0,IF(DATE($C296,10,15)&gt;=$X$272,$AA$272*(1+($U$272)/100)^MAX(0,$C296-$AD$272),IF(DATE($C296,10,15)&gt;=$W$272,$Z$272*(1+($U$272)/100)^MAX(0,$C296-$AC$272),IF(DATE($C296,10,15)&gt;=$V$272,$Y$272*(1+($U$272)/100)^MAX(0,$C296-$AB$272),0)))))</f>
      </c>
      <c r="O296" s="43">
        <f>IF($S$272=0,0,IF(OR(DATE($C296,11,15)&lt;$S$272,AND($T$272&gt;0,DATE($C296,11,15)&gt;$T$272)),0,IF(DATE($C296,11,15)&gt;=$X$272,$AA$272*(1+($U$272)/100)^MAX(0,$C296-$AD$272),IF(DATE($C296,11,15)&gt;=$W$272,$Z$272*(1+($U$272)/100)^MAX(0,$C296-$AC$272),IF(DATE($C296,11,15)&gt;=$V$272,$Y$272*(1+($U$272)/100)^MAX(0,$C296-$AB$272),0)))))</f>
      </c>
      <c r="P296" s="43">
        <f>IF($S$272=0,0,IF(OR(DATE($C296,12,15)&lt;$S$272,AND($T$272&gt;0,DATE($C296,12,15)&gt;$T$272)),0,IF(DATE($C296,12,15)&gt;=$X$272,$AA$272*(1+($U$272)/100)^MAX(0,$C296-$AD$272),IF(DATE($C296,12,15)&gt;=$W$272,$Z$272*(1+($U$272)/100)^MAX(0,$C296-$AC$272),IF(DATE($C296,12,15)&gt;=$V$272,$Y$272*(1+($U$272)/100)^MAX(0,$C296-$AB$272),0)))))</f>
      </c>
      <c r="Q296" s="43">
        <f>SUM($E296:$P296)</f>
      </c>
    </row>
    <row r="297">
      <c r="A297"/>
      <c r="B297">
        <v>9</v>
      </c>
      <c r="C297" s="43">
        <f>Jahr+25</f>
      </c>
      <c r="D297" s="43">
        <f>INDEX(MvObj,9)</f>
      </c>
      <c r="E297" s="43">
        <f>IF($S$272=0,0,IF(OR(DATE($C297,1,15)&lt;$S$272,AND($T$272&gt;0,DATE($C297,1,15)&gt;$T$272)),0,IF(DATE($C297,1,15)&gt;=$X$272,$AA$272*(1+($U$272)/100)^MAX(0,$C297-$AD$272),IF(DATE($C297,1,15)&gt;=$W$272,$Z$272*(1+($U$272)/100)^MAX(0,$C297-$AC$272),IF(DATE($C297,1,15)&gt;=$V$272,$Y$272*(1+($U$272)/100)^MAX(0,$C297-$AB$272),0)))))</f>
      </c>
      <c r="F297" s="43">
        <f>IF($S$272=0,0,IF(OR(DATE($C297,2,15)&lt;$S$272,AND($T$272&gt;0,DATE($C297,2,15)&gt;$T$272)),0,IF(DATE($C297,2,15)&gt;=$X$272,$AA$272*(1+($U$272)/100)^MAX(0,$C297-$AD$272),IF(DATE($C297,2,15)&gt;=$W$272,$Z$272*(1+($U$272)/100)^MAX(0,$C297-$AC$272),IF(DATE($C297,2,15)&gt;=$V$272,$Y$272*(1+($U$272)/100)^MAX(0,$C297-$AB$272),0)))))</f>
      </c>
      <c r="G297" s="43">
        <f>IF($S$272=0,0,IF(OR(DATE($C297,3,15)&lt;$S$272,AND($T$272&gt;0,DATE($C297,3,15)&gt;$T$272)),0,IF(DATE($C297,3,15)&gt;=$X$272,$AA$272*(1+($U$272)/100)^MAX(0,$C297-$AD$272),IF(DATE($C297,3,15)&gt;=$W$272,$Z$272*(1+($U$272)/100)^MAX(0,$C297-$AC$272),IF(DATE($C297,3,15)&gt;=$V$272,$Y$272*(1+($U$272)/100)^MAX(0,$C297-$AB$272),0)))))</f>
      </c>
      <c r="H297" s="43">
        <f>IF($S$272=0,0,IF(OR(DATE($C297,4,15)&lt;$S$272,AND($T$272&gt;0,DATE($C297,4,15)&gt;$T$272)),0,IF(DATE($C297,4,15)&gt;=$X$272,$AA$272*(1+($U$272)/100)^MAX(0,$C297-$AD$272),IF(DATE($C297,4,15)&gt;=$W$272,$Z$272*(1+($U$272)/100)^MAX(0,$C297-$AC$272),IF(DATE($C297,4,15)&gt;=$V$272,$Y$272*(1+($U$272)/100)^MAX(0,$C297-$AB$272),0)))))</f>
      </c>
      <c r="I297" s="43">
        <f>IF($S$272=0,0,IF(OR(DATE($C297,5,15)&lt;$S$272,AND($T$272&gt;0,DATE($C297,5,15)&gt;$T$272)),0,IF(DATE($C297,5,15)&gt;=$X$272,$AA$272*(1+($U$272)/100)^MAX(0,$C297-$AD$272),IF(DATE($C297,5,15)&gt;=$W$272,$Z$272*(1+($U$272)/100)^MAX(0,$C297-$AC$272),IF(DATE($C297,5,15)&gt;=$V$272,$Y$272*(1+($U$272)/100)^MAX(0,$C297-$AB$272),0)))))</f>
      </c>
      <c r="J297" s="43">
        <f>IF($S$272=0,0,IF(OR(DATE($C297,6,15)&lt;$S$272,AND($T$272&gt;0,DATE($C297,6,15)&gt;$T$272)),0,IF(DATE($C297,6,15)&gt;=$X$272,$AA$272*(1+($U$272)/100)^MAX(0,$C297-$AD$272),IF(DATE($C297,6,15)&gt;=$W$272,$Z$272*(1+($U$272)/100)^MAX(0,$C297-$AC$272),IF(DATE($C297,6,15)&gt;=$V$272,$Y$272*(1+($U$272)/100)^MAX(0,$C297-$AB$272),0)))))</f>
      </c>
      <c r="K297" s="43">
        <f>IF($S$272=0,0,IF(OR(DATE($C297,7,15)&lt;$S$272,AND($T$272&gt;0,DATE($C297,7,15)&gt;$T$272)),0,IF(DATE($C297,7,15)&gt;=$X$272,$AA$272*(1+($U$272)/100)^MAX(0,$C297-$AD$272),IF(DATE($C297,7,15)&gt;=$W$272,$Z$272*(1+($U$272)/100)^MAX(0,$C297-$AC$272),IF(DATE($C297,7,15)&gt;=$V$272,$Y$272*(1+($U$272)/100)^MAX(0,$C297-$AB$272),0)))))</f>
      </c>
      <c r="L297" s="43">
        <f>IF($S$272=0,0,IF(OR(DATE($C297,8,15)&lt;$S$272,AND($T$272&gt;0,DATE($C297,8,15)&gt;$T$272)),0,IF(DATE($C297,8,15)&gt;=$X$272,$AA$272*(1+($U$272)/100)^MAX(0,$C297-$AD$272),IF(DATE($C297,8,15)&gt;=$W$272,$Z$272*(1+($U$272)/100)^MAX(0,$C297-$AC$272),IF(DATE($C297,8,15)&gt;=$V$272,$Y$272*(1+($U$272)/100)^MAX(0,$C297-$AB$272),0)))))</f>
      </c>
      <c r="M297" s="43">
        <f>IF($S$272=0,0,IF(OR(DATE($C297,9,15)&lt;$S$272,AND($T$272&gt;0,DATE($C297,9,15)&gt;$T$272)),0,IF(DATE($C297,9,15)&gt;=$X$272,$AA$272*(1+($U$272)/100)^MAX(0,$C297-$AD$272),IF(DATE($C297,9,15)&gt;=$W$272,$Z$272*(1+($U$272)/100)^MAX(0,$C297-$AC$272),IF(DATE($C297,9,15)&gt;=$V$272,$Y$272*(1+($U$272)/100)^MAX(0,$C297-$AB$272),0)))))</f>
      </c>
      <c r="N297" s="43">
        <f>IF($S$272=0,0,IF(OR(DATE($C297,10,15)&lt;$S$272,AND($T$272&gt;0,DATE($C297,10,15)&gt;$T$272)),0,IF(DATE($C297,10,15)&gt;=$X$272,$AA$272*(1+($U$272)/100)^MAX(0,$C297-$AD$272),IF(DATE($C297,10,15)&gt;=$W$272,$Z$272*(1+($U$272)/100)^MAX(0,$C297-$AC$272),IF(DATE($C297,10,15)&gt;=$V$272,$Y$272*(1+($U$272)/100)^MAX(0,$C297-$AB$272),0)))))</f>
      </c>
      <c r="O297" s="43">
        <f>IF($S$272=0,0,IF(OR(DATE($C297,11,15)&lt;$S$272,AND($T$272&gt;0,DATE($C297,11,15)&gt;$T$272)),0,IF(DATE($C297,11,15)&gt;=$X$272,$AA$272*(1+($U$272)/100)^MAX(0,$C297-$AD$272),IF(DATE($C297,11,15)&gt;=$W$272,$Z$272*(1+($U$272)/100)^MAX(0,$C297-$AC$272),IF(DATE($C297,11,15)&gt;=$V$272,$Y$272*(1+($U$272)/100)^MAX(0,$C297-$AB$272),0)))))</f>
      </c>
      <c r="P297" s="43">
        <f>IF($S$272=0,0,IF(OR(DATE($C297,12,15)&lt;$S$272,AND($T$272&gt;0,DATE($C297,12,15)&gt;$T$272)),0,IF(DATE($C297,12,15)&gt;=$X$272,$AA$272*(1+($U$272)/100)^MAX(0,$C297-$AD$272),IF(DATE($C297,12,15)&gt;=$W$272,$Z$272*(1+($U$272)/100)^MAX(0,$C297-$AC$272),IF(DATE($C297,12,15)&gt;=$V$272,$Y$272*(1+($U$272)/100)^MAX(0,$C297-$AB$272),0)))))</f>
      </c>
      <c r="Q297" s="43">
        <f>SUM($E297:$P297)</f>
      </c>
    </row>
    <row r="298">
      <c r="A298"/>
      <c r="B298">
        <v>9</v>
      </c>
      <c r="C298" s="43">
        <f>Jahr+26</f>
      </c>
      <c r="D298" s="43">
        <f>INDEX(MvObj,9)</f>
      </c>
      <c r="E298" s="43">
        <f>IF($S$272=0,0,IF(OR(DATE($C298,1,15)&lt;$S$272,AND($T$272&gt;0,DATE($C298,1,15)&gt;$T$272)),0,IF(DATE($C298,1,15)&gt;=$X$272,$AA$272*(1+($U$272)/100)^MAX(0,$C298-$AD$272),IF(DATE($C298,1,15)&gt;=$W$272,$Z$272*(1+($U$272)/100)^MAX(0,$C298-$AC$272),IF(DATE($C298,1,15)&gt;=$V$272,$Y$272*(1+($U$272)/100)^MAX(0,$C298-$AB$272),0)))))</f>
      </c>
      <c r="F298" s="43">
        <f>IF($S$272=0,0,IF(OR(DATE($C298,2,15)&lt;$S$272,AND($T$272&gt;0,DATE($C298,2,15)&gt;$T$272)),0,IF(DATE($C298,2,15)&gt;=$X$272,$AA$272*(1+($U$272)/100)^MAX(0,$C298-$AD$272),IF(DATE($C298,2,15)&gt;=$W$272,$Z$272*(1+($U$272)/100)^MAX(0,$C298-$AC$272),IF(DATE($C298,2,15)&gt;=$V$272,$Y$272*(1+($U$272)/100)^MAX(0,$C298-$AB$272),0)))))</f>
      </c>
      <c r="G298" s="43">
        <f>IF($S$272=0,0,IF(OR(DATE($C298,3,15)&lt;$S$272,AND($T$272&gt;0,DATE($C298,3,15)&gt;$T$272)),0,IF(DATE($C298,3,15)&gt;=$X$272,$AA$272*(1+($U$272)/100)^MAX(0,$C298-$AD$272),IF(DATE($C298,3,15)&gt;=$W$272,$Z$272*(1+($U$272)/100)^MAX(0,$C298-$AC$272),IF(DATE($C298,3,15)&gt;=$V$272,$Y$272*(1+($U$272)/100)^MAX(0,$C298-$AB$272),0)))))</f>
      </c>
      <c r="H298" s="43">
        <f>IF($S$272=0,0,IF(OR(DATE($C298,4,15)&lt;$S$272,AND($T$272&gt;0,DATE($C298,4,15)&gt;$T$272)),0,IF(DATE($C298,4,15)&gt;=$X$272,$AA$272*(1+($U$272)/100)^MAX(0,$C298-$AD$272),IF(DATE($C298,4,15)&gt;=$W$272,$Z$272*(1+($U$272)/100)^MAX(0,$C298-$AC$272),IF(DATE($C298,4,15)&gt;=$V$272,$Y$272*(1+($U$272)/100)^MAX(0,$C298-$AB$272),0)))))</f>
      </c>
      <c r="I298" s="43">
        <f>IF($S$272=0,0,IF(OR(DATE($C298,5,15)&lt;$S$272,AND($T$272&gt;0,DATE($C298,5,15)&gt;$T$272)),0,IF(DATE($C298,5,15)&gt;=$X$272,$AA$272*(1+($U$272)/100)^MAX(0,$C298-$AD$272),IF(DATE($C298,5,15)&gt;=$W$272,$Z$272*(1+($U$272)/100)^MAX(0,$C298-$AC$272),IF(DATE($C298,5,15)&gt;=$V$272,$Y$272*(1+($U$272)/100)^MAX(0,$C298-$AB$272),0)))))</f>
      </c>
      <c r="J298" s="43">
        <f>IF($S$272=0,0,IF(OR(DATE($C298,6,15)&lt;$S$272,AND($T$272&gt;0,DATE($C298,6,15)&gt;$T$272)),0,IF(DATE($C298,6,15)&gt;=$X$272,$AA$272*(1+($U$272)/100)^MAX(0,$C298-$AD$272),IF(DATE($C298,6,15)&gt;=$W$272,$Z$272*(1+($U$272)/100)^MAX(0,$C298-$AC$272),IF(DATE($C298,6,15)&gt;=$V$272,$Y$272*(1+($U$272)/100)^MAX(0,$C298-$AB$272),0)))))</f>
      </c>
      <c r="K298" s="43">
        <f>IF($S$272=0,0,IF(OR(DATE($C298,7,15)&lt;$S$272,AND($T$272&gt;0,DATE($C298,7,15)&gt;$T$272)),0,IF(DATE($C298,7,15)&gt;=$X$272,$AA$272*(1+($U$272)/100)^MAX(0,$C298-$AD$272),IF(DATE($C298,7,15)&gt;=$W$272,$Z$272*(1+($U$272)/100)^MAX(0,$C298-$AC$272),IF(DATE($C298,7,15)&gt;=$V$272,$Y$272*(1+($U$272)/100)^MAX(0,$C298-$AB$272),0)))))</f>
      </c>
      <c r="L298" s="43">
        <f>IF($S$272=0,0,IF(OR(DATE($C298,8,15)&lt;$S$272,AND($T$272&gt;0,DATE($C298,8,15)&gt;$T$272)),0,IF(DATE($C298,8,15)&gt;=$X$272,$AA$272*(1+($U$272)/100)^MAX(0,$C298-$AD$272),IF(DATE($C298,8,15)&gt;=$W$272,$Z$272*(1+($U$272)/100)^MAX(0,$C298-$AC$272),IF(DATE($C298,8,15)&gt;=$V$272,$Y$272*(1+($U$272)/100)^MAX(0,$C298-$AB$272),0)))))</f>
      </c>
      <c r="M298" s="43">
        <f>IF($S$272=0,0,IF(OR(DATE($C298,9,15)&lt;$S$272,AND($T$272&gt;0,DATE($C298,9,15)&gt;$T$272)),0,IF(DATE($C298,9,15)&gt;=$X$272,$AA$272*(1+($U$272)/100)^MAX(0,$C298-$AD$272),IF(DATE($C298,9,15)&gt;=$W$272,$Z$272*(1+($U$272)/100)^MAX(0,$C298-$AC$272),IF(DATE($C298,9,15)&gt;=$V$272,$Y$272*(1+($U$272)/100)^MAX(0,$C298-$AB$272),0)))))</f>
      </c>
      <c r="N298" s="43">
        <f>IF($S$272=0,0,IF(OR(DATE($C298,10,15)&lt;$S$272,AND($T$272&gt;0,DATE($C298,10,15)&gt;$T$272)),0,IF(DATE($C298,10,15)&gt;=$X$272,$AA$272*(1+($U$272)/100)^MAX(0,$C298-$AD$272),IF(DATE($C298,10,15)&gt;=$W$272,$Z$272*(1+($U$272)/100)^MAX(0,$C298-$AC$272),IF(DATE($C298,10,15)&gt;=$V$272,$Y$272*(1+($U$272)/100)^MAX(0,$C298-$AB$272),0)))))</f>
      </c>
      <c r="O298" s="43">
        <f>IF($S$272=0,0,IF(OR(DATE($C298,11,15)&lt;$S$272,AND($T$272&gt;0,DATE($C298,11,15)&gt;$T$272)),0,IF(DATE($C298,11,15)&gt;=$X$272,$AA$272*(1+($U$272)/100)^MAX(0,$C298-$AD$272),IF(DATE($C298,11,15)&gt;=$W$272,$Z$272*(1+($U$272)/100)^MAX(0,$C298-$AC$272),IF(DATE($C298,11,15)&gt;=$V$272,$Y$272*(1+($U$272)/100)^MAX(0,$C298-$AB$272),0)))))</f>
      </c>
      <c r="P298" s="43">
        <f>IF($S$272=0,0,IF(OR(DATE($C298,12,15)&lt;$S$272,AND($T$272&gt;0,DATE($C298,12,15)&gt;$T$272)),0,IF(DATE($C298,12,15)&gt;=$X$272,$AA$272*(1+($U$272)/100)^MAX(0,$C298-$AD$272),IF(DATE($C298,12,15)&gt;=$W$272,$Z$272*(1+($U$272)/100)^MAX(0,$C298-$AC$272),IF(DATE($C298,12,15)&gt;=$V$272,$Y$272*(1+($U$272)/100)^MAX(0,$C298-$AB$272),0)))))</f>
      </c>
      <c r="Q298" s="43">
        <f>SUM($E298:$P298)</f>
      </c>
    </row>
    <row r="299">
      <c r="A299"/>
      <c r="B299">
        <v>9</v>
      </c>
      <c r="C299" s="43">
        <f>Jahr+27</f>
      </c>
      <c r="D299" s="43">
        <f>INDEX(MvObj,9)</f>
      </c>
      <c r="E299" s="43">
        <f>IF($S$272=0,0,IF(OR(DATE($C299,1,15)&lt;$S$272,AND($T$272&gt;0,DATE($C299,1,15)&gt;$T$272)),0,IF(DATE($C299,1,15)&gt;=$X$272,$AA$272*(1+($U$272)/100)^MAX(0,$C299-$AD$272),IF(DATE($C299,1,15)&gt;=$W$272,$Z$272*(1+($U$272)/100)^MAX(0,$C299-$AC$272),IF(DATE($C299,1,15)&gt;=$V$272,$Y$272*(1+($U$272)/100)^MAX(0,$C299-$AB$272),0)))))</f>
      </c>
      <c r="F299" s="43">
        <f>IF($S$272=0,0,IF(OR(DATE($C299,2,15)&lt;$S$272,AND($T$272&gt;0,DATE($C299,2,15)&gt;$T$272)),0,IF(DATE($C299,2,15)&gt;=$X$272,$AA$272*(1+($U$272)/100)^MAX(0,$C299-$AD$272),IF(DATE($C299,2,15)&gt;=$W$272,$Z$272*(1+($U$272)/100)^MAX(0,$C299-$AC$272),IF(DATE($C299,2,15)&gt;=$V$272,$Y$272*(1+($U$272)/100)^MAX(0,$C299-$AB$272),0)))))</f>
      </c>
      <c r="G299" s="43">
        <f>IF($S$272=0,0,IF(OR(DATE($C299,3,15)&lt;$S$272,AND($T$272&gt;0,DATE($C299,3,15)&gt;$T$272)),0,IF(DATE($C299,3,15)&gt;=$X$272,$AA$272*(1+($U$272)/100)^MAX(0,$C299-$AD$272),IF(DATE($C299,3,15)&gt;=$W$272,$Z$272*(1+($U$272)/100)^MAX(0,$C299-$AC$272),IF(DATE($C299,3,15)&gt;=$V$272,$Y$272*(1+($U$272)/100)^MAX(0,$C299-$AB$272),0)))))</f>
      </c>
      <c r="H299" s="43">
        <f>IF($S$272=0,0,IF(OR(DATE($C299,4,15)&lt;$S$272,AND($T$272&gt;0,DATE($C299,4,15)&gt;$T$272)),0,IF(DATE($C299,4,15)&gt;=$X$272,$AA$272*(1+($U$272)/100)^MAX(0,$C299-$AD$272),IF(DATE($C299,4,15)&gt;=$W$272,$Z$272*(1+($U$272)/100)^MAX(0,$C299-$AC$272),IF(DATE($C299,4,15)&gt;=$V$272,$Y$272*(1+($U$272)/100)^MAX(0,$C299-$AB$272),0)))))</f>
      </c>
      <c r="I299" s="43">
        <f>IF($S$272=0,0,IF(OR(DATE($C299,5,15)&lt;$S$272,AND($T$272&gt;0,DATE($C299,5,15)&gt;$T$272)),0,IF(DATE($C299,5,15)&gt;=$X$272,$AA$272*(1+($U$272)/100)^MAX(0,$C299-$AD$272),IF(DATE($C299,5,15)&gt;=$W$272,$Z$272*(1+($U$272)/100)^MAX(0,$C299-$AC$272),IF(DATE($C299,5,15)&gt;=$V$272,$Y$272*(1+($U$272)/100)^MAX(0,$C299-$AB$272),0)))))</f>
      </c>
      <c r="J299" s="43">
        <f>IF($S$272=0,0,IF(OR(DATE($C299,6,15)&lt;$S$272,AND($T$272&gt;0,DATE($C299,6,15)&gt;$T$272)),0,IF(DATE($C299,6,15)&gt;=$X$272,$AA$272*(1+($U$272)/100)^MAX(0,$C299-$AD$272),IF(DATE($C299,6,15)&gt;=$W$272,$Z$272*(1+($U$272)/100)^MAX(0,$C299-$AC$272),IF(DATE($C299,6,15)&gt;=$V$272,$Y$272*(1+($U$272)/100)^MAX(0,$C299-$AB$272),0)))))</f>
      </c>
      <c r="K299" s="43">
        <f>IF($S$272=0,0,IF(OR(DATE($C299,7,15)&lt;$S$272,AND($T$272&gt;0,DATE($C299,7,15)&gt;$T$272)),0,IF(DATE($C299,7,15)&gt;=$X$272,$AA$272*(1+($U$272)/100)^MAX(0,$C299-$AD$272),IF(DATE($C299,7,15)&gt;=$W$272,$Z$272*(1+($U$272)/100)^MAX(0,$C299-$AC$272),IF(DATE($C299,7,15)&gt;=$V$272,$Y$272*(1+($U$272)/100)^MAX(0,$C299-$AB$272),0)))))</f>
      </c>
      <c r="L299" s="43">
        <f>IF($S$272=0,0,IF(OR(DATE($C299,8,15)&lt;$S$272,AND($T$272&gt;0,DATE($C299,8,15)&gt;$T$272)),0,IF(DATE($C299,8,15)&gt;=$X$272,$AA$272*(1+($U$272)/100)^MAX(0,$C299-$AD$272),IF(DATE($C299,8,15)&gt;=$W$272,$Z$272*(1+($U$272)/100)^MAX(0,$C299-$AC$272),IF(DATE($C299,8,15)&gt;=$V$272,$Y$272*(1+($U$272)/100)^MAX(0,$C299-$AB$272),0)))))</f>
      </c>
      <c r="M299" s="43">
        <f>IF($S$272=0,0,IF(OR(DATE($C299,9,15)&lt;$S$272,AND($T$272&gt;0,DATE($C299,9,15)&gt;$T$272)),0,IF(DATE($C299,9,15)&gt;=$X$272,$AA$272*(1+($U$272)/100)^MAX(0,$C299-$AD$272),IF(DATE($C299,9,15)&gt;=$W$272,$Z$272*(1+($U$272)/100)^MAX(0,$C299-$AC$272),IF(DATE($C299,9,15)&gt;=$V$272,$Y$272*(1+($U$272)/100)^MAX(0,$C299-$AB$272),0)))))</f>
      </c>
      <c r="N299" s="43">
        <f>IF($S$272=0,0,IF(OR(DATE($C299,10,15)&lt;$S$272,AND($T$272&gt;0,DATE($C299,10,15)&gt;$T$272)),0,IF(DATE($C299,10,15)&gt;=$X$272,$AA$272*(1+($U$272)/100)^MAX(0,$C299-$AD$272),IF(DATE($C299,10,15)&gt;=$W$272,$Z$272*(1+($U$272)/100)^MAX(0,$C299-$AC$272),IF(DATE($C299,10,15)&gt;=$V$272,$Y$272*(1+($U$272)/100)^MAX(0,$C299-$AB$272),0)))))</f>
      </c>
      <c r="O299" s="43">
        <f>IF($S$272=0,0,IF(OR(DATE($C299,11,15)&lt;$S$272,AND($T$272&gt;0,DATE($C299,11,15)&gt;$T$272)),0,IF(DATE($C299,11,15)&gt;=$X$272,$AA$272*(1+($U$272)/100)^MAX(0,$C299-$AD$272),IF(DATE($C299,11,15)&gt;=$W$272,$Z$272*(1+($U$272)/100)^MAX(0,$C299-$AC$272),IF(DATE($C299,11,15)&gt;=$V$272,$Y$272*(1+($U$272)/100)^MAX(0,$C299-$AB$272),0)))))</f>
      </c>
      <c r="P299" s="43">
        <f>IF($S$272=0,0,IF(OR(DATE($C299,12,15)&lt;$S$272,AND($T$272&gt;0,DATE($C299,12,15)&gt;$T$272)),0,IF(DATE($C299,12,15)&gt;=$X$272,$AA$272*(1+($U$272)/100)^MAX(0,$C299-$AD$272),IF(DATE($C299,12,15)&gt;=$W$272,$Z$272*(1+($U$272)/100)^MAX(0,$C299-$AC$272),IF(DATE($C299,12,15)&gt;=$V$272,$Y$272*(1+($U$272)/100)^MAX(0,$C299-$AB$272),0)))))</f>
      </c>
      <c r="Q299" s="43">
        <f>SUM($E299:$P299)</f>
      </c>
    </row>
    <row r="300">
      <c r="A300"/>
      <c r="B300">
        <v>9</v>
      </c>
      <c r="C300" s="43">
        <f>Jahr+28</f>
      </c>
      <c r="D300" s="43">
        <f>INDEX(MvObj,9)</f>
      </c>
      <c r="E300" s="43">
        <f>IF($S$272=0,0,IF(OR(DATE($C300,1,15)&lt;$S$272,AND($T$272&gt;0,DATE($C300,1,15)&gt;$T$272)),0,IF(DATE($C300,1,15)&gt;=$X$272,$AA$272*(1+($U$272)/100)^MAX(0,$C300-$AD$272),IF(DATE($C300,1,15)&gt;=$W$272,$Z$272*(1+($U$272)/100)^MAX(0,$C300-$AC$272),IF(DATE($C300,1,15)&gt;=$V$272,$Y$272*(1+($U$272)/100)^MAX(0,$C300-$AB$272),0)))))</f>
      </c>
      <c r="F300" s="43">
        <f>IF($S$272=0,0,IF(OR(DATE($C300,2,15)&lt;$S$272,AND($T$272&gt;0,DATE($C300,2,15)&gt;$T$272)),0,IF(DATE($C300,2,15)&gt;=$X$272,$AA$272*(1+($U$272)/100)^MAX(0,$C300-$AD$272),IF(DATE($C300,2,15)&gt;=$W$272,$Z$272*(1+($U$272)/100)^MAX(0,$C300-$AC$272),IF(DATE($C300,2,15)&gt;=$V$272,$Y$272*(1+($U$272)/100)^MAX(0,$C300-$AB$272),0)))))</f>
      </c>
      <c r="G300" s="43">
        <f>IF($S$272=0,0,IF(OR(DATE($C300,3,15)&lt;$S$272,AND($T$272&gt;0,DATE($C300,3,15)&gt;$T$272)),0,IF(DATE($C300,3,15)&gt;=$X$272,$AA$272*(1+($U$272)/100)^MAX(0,$C300-$AD$272),IF(DATE($C300,3,15)&gt;=$W$272,$Z$272*(1+($U$272)/100)^MAX(0,$C300-$AC$272),IF(DATE($C300,3,15)&gt;=$V$272,$Y$272*(1+($U$272)/100)^MAX(0,$C300-$AB$272),0)))))</f>
      </c>
      <c r="H300" s="43">
        <f>IF($S$272=0,0,IF(OR(DATE($C300,4,15)&lt;$S$272,AND($T$272&gt;0,DATE($C300,4,15)&gt;$T$272)),0,IF(DATE($C300,4,15)&gt;=$X$272,$AA$272*(1+($U$272)/100)^MAX(0,$C300-$AD$272),IF(DATE($C300,4,15)&gt;=$W$272,$Z$272*(1+($U$272)/100)^MAX(0,$C300-$AC$272),IF(DATE($C300,4,15)&gt;=$V$272,$Y$272*(1+($U$272)/100)^MAX(0,$C300-$AB$272),0)))))</f>
      </c>
      <c r="I300" s="43">
        <f>IF($S$272=0,0,IF(OR(DATE($C300,5,15)&lt;$S$272,AND($T$272&gt;0,DATE($C300,5,15)&gt;$T$272)),0,IF(DATE($C300,5,15)&gt;=$X$272,$AA$272*(1+($U$272)/100)^MAX(0,$C300-$AD$272),IF(DATE($C300,5,15)&gt;=$W$272,$Z$272*(1+($U$272)/100)^MAX(0,$C300-$AC$272),IF(DATE($C300,5,15)&gt;=$V$272,$Y$272*(1+($U$272)/100)^MAX(0,$C300-$AB$272),0)))))</f>
      </c>
      <c r="J300" s="43">
        <f>IF($S$272=0,0,IF(OR(DATE($C300,6,15)&lt;$S$272,AND($T$272&gt;0,DATE($C300,6,15)&gt;$T$272)),0,IF(DATE($C300,6,15)&gt;=$X$272,$AA$272*(1+($U$272)/100)^MAX(0,$C300-$AD$272),IF(DATE($C300,6,15)&gt;=$W$272,$Z$272*(1+($U$272)/100)^MAX(0,$C300-$AC$272),IF(DATE($C300,6,15)&gt;=$V$272,$Y$272*(1+($U$272)/100)^MAX(0,$C300-$AB$272),0)))))</f>
      </c>
      <c r="K300" s="43">
        <f>IF($S$272=0,0,IF(OR(DATE($C300,7,15)&lt;$S$272,AND($T$272&gt;0,DATE($C300,7,15)&gt;$T$272)),0,IF(DATE($C300,7,15)&gt;=$X$272,$AA$272*(1+($U$272)/100)^MAX(0,$C300-$AD$272),IF(DATE($C300,7,15)&gt;=$W$272,$Z$272*(1+($U$272)/100)^MAX(0,$C300-$AC$272),IF(DATE($C300,7,15)&gt;=$V$272,$Y$272*(1+($U$272)/100)^MAX(0,$C300-$AB$272),0)))))</f>
      </c>
      <c r="L300" s="43">
        <f>IF($S$272=0,0,IF(OR(DATE($C300,8,15)&lt;$S$272,AND($T$272&gt;0,DATE($C300,8,15)&gt;$T$272)),0,IF(DATE($C300,8,15)&gt;=$X$272,$AA$272*(1+($U$272)/100)^MAX(0,$C300-$AD$272),IF(DATE($C300,8,15)&gt;=$W$272,$Z$272*(1+($U$272)/100)^MAX(0,$C300-$AC$272),IF(DATE($C300,8,15)&gt;=$V$272,$Y$272*(1+($U$272)/100)^MAX(0,$C300-$AB$272),0)))))</f>
      </c>
      <c r="M300" s="43">
        <f>IF($S$272=0,0,IF(OR(DATE($C300,9,15)&lt;$S$272,AND($T$272&gt;0,DATE($C300,9,15)&gt;$T$272)),0,IF(DATE($C300,9,15)&gt;=$X$272,$AA$272*(1+($U$272)/100)^MAX(0,$C300-$AD$272),IF(DATE($C300,9,15)&gt;=$W$272,$Z$272*(1+($U$272)/100)^MAX(0,$C300-$AC$272),IF(DATE($C300,9,15)&gt;=$V$272,$Y$272*(1+($U$272)/100)^MAX(0,$C300-$AB$272),0)))))</f>
      </c>
      <c r="N300" s="43">
        <f>IF($S$272=0,0,IF(OR(DATE($C300,10,15)&lt;$S$272,AND($T$272&gt;0,DATE($C300,10,15)&gt;$T$272)),0,IF(DATE($C300,10,15)&gt;=$X$272,$AA$272*(1+($U$272)/100)^MAX(0,$C300-$AD$272),IF(DATE($C300,10,15)&gt;=$W$272,$Z$272*(1+($U$272)/100)^MAX(0,$C300-$AC$272),IF(DATE($C300,10,15)&gt;=$V$272,$Y$272*(1+($U$272)/100)^MAX(0,$C300-$AB$272),0)))))</f>
      </c>
      <c r="O300" s="43">
        <f>IF($S$272=0,0,IF(OR(DATE($C300,11,15)&lt;$S$272,AND($T$272&gt;0,DATE($C300,11,15)&gt;$T$272)),0,IF(DATE($C300,11,15)&gt;=$X$272,$AA$272*(1+($U$272)/100)^MAX(0,$C300-$AD$272),IF(DATE($C300,11,15)&gt;=$W$272,$Z$272*(1+($U$272)/100)^MAX(0,$C300-$AC$272),IF(DATE($C300,11,15)&gt;=$V$272,$Y$272*(1+($U$272)/100)^MAX(0,$C300-$AB$272),0)))))</f>
      </c>
      <c r="P300" s="43">
        <f>IF($S$272=0,0,IF(OR(DATE($C300,12,15)&lt;$S$272,AND($T$272&gt;0,DATE($C300,12,15)&gt;$T$272)),0,IF(DATE($C300,12,15)&gt;=$X$272,$AA$272*(1+($U$272)/100)^MAX(0,$C300-$AD$272),IF(DATE($C300,12,15)&gt;=$W$272,$Z$272*(1+($U$272)/100)^MAX(0,$C300-$AC$272),IF(DATE($C300,12,15)&gt;=$V$272,$Y$272*(1+($U$272)/100)^MAX(0,$C300-$AB$272),0)))))</f>
      </c>
      <c r="Q300" s="43">
        <f>SUM($E300:$P300)</f>
      </c>
    </row>
    <row r="301">
      <c r="A301"/>
      <c r="B301">
        <v>9</v>
      </c>
      <c r="C301" s="43">
        <f>Jahr+29</f>
      </c>
      <c r="D301" s="43">
        <f>INDEX(MvObj,9)</f>
      </c>
      <c r="E301" s="43">
        <f>IF($S$272=0,0,IF(OR(DATE($C301,1,15)&lt;$S$272,AND($T$272&gt;0,DATE($C301,1,15)&gt;$T$272)),0,IF(DATE($C301,1,15)&gt;=$X$272,$AA$272*(1+($U$272)/100)^MAX(0,$C301-$AD$272),IF(DATE($C301,1,15)&gt;=$W$272,$Z$272*(1+($U$272)/100)^MAX(0,$C301-$AC$272),IF(DATE($C301,1,15)&gt;=$V$272,$Y$272*(1+($U$272)/100)^MAX(0,$C301-$AB$272),0)))))</f>
      </c>
      <c r="F301" s="43">
        <f>IF($S$272=0,0,IF(OR(DATE($C301,2,15)&lt;$S$272,AND($T$272&gt;0,DATE($C301,2,15)&gt;$T$272)),0,IF(DATE($C301,2,15)&gt;=$X$272,$AA$272*(1+($U$272)/100)^MAX(0,$C301-$AD$272),IF(DATE($C301,2,15)&gt;=$W$272,$Z$272*(1+($U$272)/100)^MAX(0,$C301-$AC$272),IF(DATE($C301,2,15)&gt;=$V$272,$Y$272*(1+($U$272)/100)^MAX(0,$C301-$AB$272),0)))))</f>
      </c>
      <c r="G301" s="43">
        <f>IF($S$272=0,0,IF(OR(DATE($C301,3,15)&lt;$S$272,AND($T$272&gt;0,DATE($C301,3,15)&gt;$T$272)),0,IF(DATE($C301,3,15)&gt;=$X$272,$AA$272*(1+($U$272)/100)^MAX(0,$C301-$AD$272),IF(DATE($C301,3,15)&gt;=$W$272,$Z$272*(1+($U$272)/100)^MAX(0,$C301-$AC$272),IF(DATE($C301,3,15)&gt;=$V$272,$Y$272*(1+($U$272)/100)^MAX(0,$C301-$AB$272),0)))))</f>
      </c>
      <c r="H301" s="43">
        <f>IF($S$272=0,0,IF(OR(DATE($C301,4,15)&lt;$S$272,AND($T$272&gt;0,DATE($C301,4,15)&gt;$T$272)),0,IF(DATE($C301,4,15)&gt;=$X$272,$AA$272*(1+($U$272)/100)^MAX(0,$C301-$AD$272),IF(DATE($C301,4,15)&gt;=$W$272,$Z$272*(1+($U$272)/100)^MAX(0,$C301-$AC$272),IF(DATE($C301,4,15)&gt;=$V$272,$Y$272*(1+($U$272)/100)^MAX(0,$C301-$AB$272),0)))))</f>
      </c>
      <c r="I301" s="43">
        <f>IF($S$272=0,0,IF(OR(DATE($C301,5,15)&lt;$S$272,AND($T$272&gt;0,DATE($C301,5,15)&gt;$T$272)),0,IF(DATE($C301,5,15)&gt;=$X$272,$AA$272*(1+($U$272)/100)^MAX(0,$C301-$AD$272),IF(DATE($C301,5,15)&gt;=$W$272,$Z$272*(1+($U$272)/100)^MAX(0,$C301-$AC$272),IF(DATE($C301,5,15)&gt;=$V$272,$Y$272*(1+($U$272)/100)^MAX(0,$C301-$AB$272),0)))))</f>
      </c>
      <c r="J301" s="43">
        <f>IF($S$272=0,0,IF(OR(DATE($C301,6,15)&lt;$S$272,AND($T$272&gt;0,DATE($C301,6,15)&gt;$T$272)),0,IF(DATE($C301,6,15)&gt;=$X$272,$AA$272*(1+($U$272)/100)^MAX(0,$C301-$AD$272),IF(DATE($C301,6,15)&gt;=$W$272,$Z$272*(1+($U$272)/100)^MAX(0,$C301-$AC$272),IF(DATE($C301,6,15)&gt;=$V$272,$Y$272*(1+($U$272)/100)^MAX(0,$C301-$AB$272),0)))))</f>
      </c>
      <c r="K301" s="43">
        <f>IF($S$272=0,0,IF(OR(DATE($C301,7,15)&lt;$S$272,AND($T$272&gt;0,DATE($C301,7,15)&gt;$T$272)),0,IF(DATE($C301,7,15)&gt;=$X$272,$AA$272*(1+($U$272)/100)^MAX(0,$C301-$AD$272),IF(DATE($C301,7,15)&gt;=$W$272,$Z$272*(1+($U$272)/100)^MAX(0,$C301-$AC$272),IF(DATE($C301,7,15)&gt;=$V$272,$Y$272*(1+($U$272)/100)^MAX(0,$C301-$AB$272),0)))))</f>
      </c>
      <c r="L301" s="43">
        <f>IF($S$272=0,0,IF(OR(DATE($C301,8,15)&lt;$S$272,AND($T$272&gt;0,DATE($C301,8,15)&gt;$T$272)),0,IF(DATE($C301,8,15)&gt;=$X$272,$AA$272*(1+($U$272)/100)^MAX(0,$C301-$AD$272),IF(DATE($C301,8,15)&gt;=$W$272,$Z$272*(1+($U$272)/100)^MAX(0,$C301-$AC$272),IF(DATE($C301,8,15)&gt;=$V$272,$Y$272*(1+($U$272)/100)^MAX(0,$C301-$AB$272),0)))))</f>
      </c>
      <c r="M301" s="43">
        <f>IF($S$272=0,0,IF(OR(DATE($C301,9,15)&lt;$S$272,AND($T$272&gt;0,DATE($C301,9,15)&gt;$T$272)),0,IF(DATE($C301,9,15)&gt;=$X$272,$AA$272*(1+($U$272)/100)^MAX(0,$C301-$AD$272),IF(DATE($C301,9,15)&gt;=$W$272,$Z$272*(1+($U$272)/100)^MAX(0,$C301-$AC$272),IF(DATE($C301,9,15)&gt;=$V$272,$Y$272*(1+($U$272)/100)^MAX(0,$C301-$AB$272),0)))))</f>
      </c>
      <c r="N301" s="43">
        <f>IF($S$272=0,0,IF(OR(DATE($C301,10,15)&lt;$S$272,AND($T$272&gt;0,DATE($C301,10,15)&gt;$T$272)),0,IF(DATE($C301,10,15)&gt;=$X$272,$AA$272*(1+($U$272)/100)^MAX(0,$C301-$AD$272),IF(DATE($C301,10,15)&gt;=$W$272,$Z$272*(1+($U$272)/100)^MAX(0,$C301-$AC$272),IF(DATE($C301,10,15)&gt;=$V$272,$Y$272*(1+($U$272)/100)^MAX(0,$C301-$AB$272),0)))))</f>
      </c>
      <c r="O301" s="43">
        <f>IF($S$272=0,0,IF(OR(DATE($C301,11,15)&lt;$S$272,AND($T$272&gt;0,DATE($C301,11,15)&gt;$T$272)),0,IF(DATE($C301,11,15)&gt;=$X$272,$AA$272*(1+($U$272)/100)^MAX(0,$C301-$AD$272),IF(DATE($C301,11,15)&gt;=$W$272,$Z$272*(1+($U$272)/100)^MAX(0,$C301-$AC$272),IF(DATE($C301,11,15)&gt;=$V$272,$Y$272*(1+($U$272)/100)^MAX(0,$C301-$AB$272),0)))))</f>
      </c>
      <c r="P301" s="43">
        <f>IF($S$272=0,0,IF(OR(DATE($C301,12,15)&lt;$S$272,AND($T$272&gt;0,DATE($C301,12,15)&gt;$T$272)),0,IF(DATE($C301,12,15)&gt;=$X$272,$AA$272*(1+($U$272)/100)^MAX(0,$C301-$AD$272),IF(DATE($C301,12,15)&gt;=$W$272,$Z$272*(1+($U$272)/100)^MAX(0,$C301-$AC$272),IF(DATE($C301,12,15)&gt;=$V$272,$Y$272*(1+($U$272)/100)^MAX(0,$C301-$AB$272),0)))))</f>
      </c>
      <c r="Q301" s="43">
        <f>SUM($E301:$P301)</f>
      </c>
    </row>
    <row r="302">
      <c r="A302"/>
      <c r="B302">
        <v>9</v>
      </c>
      <c r="C302" s="43">
        <f>Jahr+30</f>
      </c>
      <c r="D302" s="43">
        <f>INDEX(MvObj,9)</f>
      </c>
      <c r="E302" s="43">
        <f>IF($S$272=0,0,IF(OR(DATE($C302,1,15)&lt;$S$272,AND($T$272&gt;0,DATE($C302,1,15)&gt;$T$272)),0,IF(DATE($C302,1,15)&gt;=$X$272,$AA$272*(1+($U$272)/100)^MAX(0,$C302-$AD$272),IF(DATE($C302,1,15)&gt;=$W$272,$Z$272*(1+($U$272)/100)^MAX(0,$C302-$AC$272),IF(DATE($C302,1,15)&gt;=$V$272,$Y$272*(1+($U$272)/100)^MAX(0,$C302-$AB$272),0)))))</f>
      </c>
      <c r="F302" s="43">
        <f>IF($S$272=0,0,IF(OR(DATE($C302,2,15)&lt;$S$272,AND($T$272&gt;0,DATE($C302,2,15)&gt;$T$272)),0,IF(DATE($C302,2,15)&gt;=$X$272,$AA$272*(1+($U$272)/100)^MAX(0,$C302-$AD$272),IF(DATE($C302,2,15)&gt;=$W$272,$Z$272*(1+($U$272)/100)^MAX(0,$C302-$AC$272),IF(DATE($C302,2,15)&gt;=$V$272,$Y$272*(1+($U$272)/100)^MAX(0,$C302-$AB$272),0)))))</f>
      </c>
      <c r="G302" s="43">
        <f>IF($S$272=0,0,IF(OR(DATE($C302,3,15)&lt;$S$272,AND($T$272&gt;0,DATE($C302,3,15)&gt;$T$272)),0,IF(DATE($C302,3,15)&gt;=$X$272,$AA$272*(1+($U$272)/100)^MAX(0,$C302-$AD$272),IF(DATE($C302,3,15)&gt;=$W$272,$Z$272*(1+($U$272)/100)^MAX(0,$C302-$AC$272),IF(DATE($C302,3,15)&gt;=$V$272,$Y$272*(1+($U$272)/100)^MAX(0,$C302-$AB$272),0)))))</f>
      </c>
      <c r="H302" s="43">
        <f>IF($S$272=0,0,IF(OR(DATE($C302,4,15)&lt;$S$272,AND($T$272&gt;0,DATE($C302,4,15)&gt;$T$272)),0,IF(DATE($C302,4,15)&gt;=$X$272,$AA$272*(1+($U$272)/100)^MAX(0,$C302-$AD$272),IF(DATE($C302,4,15)&gt;=$W$272,$Z$272*(1+($U$272)/100)^MAX(0,$C302-$AC$272),IF(DATE($C302,4,15)&gt;=$V$272,$Y$272*(1+($U$272)/100)^MAX(0,$C302-$AB$272),0)))))</f>
      </c>
      <c r="I302" s="43">
        <f>IF($S$272=0,0,IF(OR(DATE($C302,5,15)&lt;$S$272,AND($T$272&gt;0,DATE($C302,5,15)&gt;$T$272)),0,IF(DATE($C302,5,15)&gt;=$X$272,$AA$272*(1+($U$272)/100)^MAX(0,$C302-$AD$272),IF(DATE($C302,5,15)&gt;=$W$272,$Z$272*(1+($U$272)/100)^MAX(0,$C302-$AC$272),IF(DATE($C302,5,15)&gt;=$V$272,$Y$272*(1+($U$272)/100)^MAX(0,$C302-$AB$272),0)))))</f>
      </c>
      <c r="J302" s="43">
        <f>IF($S$272=0,0,IF(OR(DATE($C302,6,15)&lt;$S$272,AND($T$272&gt;0,DATE($C302,6,15)&gt;$T$272)),0,IF(DATE($C302,6,15)&gt;=$X$272,$AA$272*(1+($U$272)/100)^MAX(0,$C302-$AD$272),IF(DATE($C302,6,15)&gt;=$W$272,$Z$272*(1+($U$272)/100)^MAX(0,$C302-$AC$272),IF(DATE($C302,6,15)&gt;=$V$272,$Y$272*(1+($U$272)/100)^MAX(0,$C302-$AB$272),0)))))</f>
      </c>
      <c r="K302" s="43">
        <f>IF($S$272=0,0,IF(OR(DATE($C302,7,15)&lt;$S$272,AND($T$272&gt;0,DATE($C302,7,15)&gt;$T$272)),0,IF(DATE($C302,7,15)&gt;=$X$272,$AA$272*(1+($U$272)/100)^MAX(0,$C302-$AD$272),IF(DATE($C302,7,15)&gt;=$W$272,$Z$272*(1+($U$272)/100)^MAX(0,$C302-$AC$272),IF(DATE($C302,7,15)&gt;=$V$272,$Y$272*(1+($U$272)/100)^MAX(0,$C302-$AB$272),0)))))</f>
      </c>
      <c r="L302" s="43">
        <f>IF($S$272=0,0,IF(OR(DATE($C302,8,15)&lt;$S$272,AND($T$272&gt;0,DATE($C302,8,15)&gt;$T$272)),0,IF(DATE($C302,8,15)&gt;=$X$272,$AA$272*(1+($U$272)/100)^MAX(0,$C302-$AD$272),IF(DATE($C302,8,15)&gt;=$W$272,$Z$272*(1+($U$272)/100)^MAX(0,$C302-$AC$272),IF(DATE($C302,8,15)&gt;=$V$272,$Y$272*(1+($U$272)/100)^MAX(0,$C302-$AB$272),0)))))</f>
      </c>
      <c r="M302" s="43">
        <f>IF($S$272=0,0,IF(OR(DATE($C302,9,15)&lt;$S$272,AND($T$272&gt;0,DATE($C302,9,15)&gt;$T$272)),0,IF(DATE($C302,9,15)&gt;=$X$272,$AA$272*(1+($U$272)/100)^MAX(0,$C302-$AD$272),IF(DATE($C302,9,15)&gt;=$W$272,$Z$272*(1+($U$272)/100)^MAX(0,$C302-$AC$272),IF(DATE($C302,9,15)&gt;=$V$272,$Y$272*(1+($U$272)/100)^MAX(0,$C302-$AB$272),0)))))</f>
      </c>
      <c r="N302" s="43">
        <f>IF($S$272=0,0,IF(OR(DATE($C302,10,15)&lt;$S$272,AND($T$272&gt;0,DATE($C302,10,15)&gt;$T$272)),0,IF(DATE($C302,10,15)&gt;=$X$272,$AA$272*(1+($U$272)/100)^MAX(0,$C302-$AD$272),IF(DATE($C302,10,15)&gt;=$W$272,$Z$272*(1+($U$272)/100)^MAX(0,$C302-$AC$272),IF(DATE($C302,10,15)&gt;=$V$272,$Y$272*(1+($U$272)/100)^MAX(0,$C302-$AB$272),0)))))</f>
      </c>
      <c r="O302" s="43">
        <f>IF($S$272=0,0,IF(OR(DATE($C302,11,15)&lt;$S$272,AND($T$272&gt;0,DATE($C302,11,15)&gt;$T$272)),0,IF(DATE($C302,11,15)&gt;=$X$272,$AA$272*(1+($U$272)/100)^MAX(0,$C302-$AD$272),IF(DATE($C302,11,15)&gt;=$W$272,$Z$272*(1+($U$272)/100)^MAX(0,$C302-$AC$272),IF(DATE($C302,11,15)&gt;=$V$272,$Y$272*(1+($U$272)/100)^MAX(0,$C302-$AB$272),0)))))</f>
      </c>
      <c r="P302" s="43">
        <f>IF($S$272=0,0,IF(OR(DATE($C302,12,15)&lt;$S$272,AND($T$272&gt;0,DATE($C302,12,15)&gt;$T$272)),0,IF(DATE($C302,12,15)&gt;=$X$272,$AA$272*(1+($U$272)/100)^MAX(0,$C302-$AD$272),IF(DATE($C302,12,15)&gt;=$W$272,$Z$272*(1+($U$272)/100)^MAX(0,$C302-$AC$272),IF(DATE($C302,12,15)&gt;=$V$272,$Y$272*(1+($U$272)/100)^MAX(0,$C302-$AB$272),0)))))</f>
      </c>
      <c r="Q302" s="43">
        <f>SUM($E302:$P302)</f>
      </c>
    </row>
    <row r="303">
      <c r="A303"/>
      <c r="B303">
        <v>10</v>
      </c>
      <c r="C303" s="43">
        <f>Jahr+0</f>
      </c>
      <c r="D303" s="43">
        <f>INDEX(MvObj,10)</f>
      </c>
      <c r="E303" s="43">
        <f>IF($S$303=0,0,IF(OR(DATE($C303,1,15)&lt;$S$303,AND($T$303&gt;0,DATE($C303,1,15)&gt;$T$303)),0,IF(DATE($C303,1,15)&gt;=$X$303,$AA$303*(1+($U$303)/100)^MAX(0,$C303-$AD$303),IF(DATE($C303,1,15)&gt;=$W$303,$Z$303*(1+($U$303)/100)^MAX(0,$C303-$AC$303),IF(DATE($C303,1,15)&gt;=$V$303,$Y$303*(1+($U$303)/100)^MAX(0,$C303-$AB$303),0)))))</f>
      </c>
      <c r="F303" s="43">
        <f>IF($S$303=0,0,IF(OR(DATE($C303,2,15)&lt;$S$303,AND($T$303&gt;0,DATE($C303,2,15)&gt;$T$303)),0,IF(DATE($C303,2,15)&gt;=$X$303,$AA$303*(1+($U$303)/100)^MAX(0,$C303-$AD$303),IF(DATE($C303,2,15)&gt;=$W$303,$Z$303*(1+($U$303)/100)^MAX(0,$C303-$AC$303),IF(DATE($C303,2,15)&gt;=$V$303,$Y$303*(1+($U$303)/100)^MAX(0,$C303-$AB$303),0)))))</f>
      </c>
      <c r="G303" s="43">
        <f>IF($S$303=0,0,IF(OR(DATE($C303,3,15)&lt;$S$303,AND($T$303&gt;0,DATE($C303,3,15)&gt;$T$303)),0,IF(DATE($C303,3,15)&gt;=$X$303,$AA$303*(1+($U$303)/100)^MAX(0,$C303-$AD$303),IF(DATE($C303,3,15)&gt;=$W$303,$Z$303*(1+($U$303)/100)^MAX(0,$C303-$AC$303),IF(DATE($C303,3,15)&gt;=$V$303,$Y$303*(1+($U$303)/100)^MAX(0,$C303-$AB$303),0)))))</f>
      </c>
      <c r="H303" s="43">
        <f>IF($S$303=0,0,IF(OR(DATE($C303,4,15)&lt;$S$303,AND($T$303&gt;0,DATE($C303,4,15)&gt;$T$303)),0,IF(DATE($C303,4,15)&gt;=$X$303,$AA$303*(1+($U$303)/100)^MAX(0,$C303-$AD$303),IF(DATE($C303,4,15)&gt;=$W$303,$Z$303*(1+($U$303)/100)^MAX(0,$C303-$AC$303),IF(DATE($C303,4,15)&gt;=$V$303,$Y$303*(1+($U$303)/100)^MAX(0,$C303-$AB$303),0)))))</f>
      </c>
      <c r="I303" s="43">
        <f>IF($S$303=0,0,IF(OR(DATE($C303,5,15)&lt;$S$303,AND($T$303&gt;0,DATE($C303,5,15)&gt;$T$303)),0,IF(DATE($C303,5,15)&gt;=$X$303,$AA$303*(1+($U$303)/100)^MAX(0,$C303-$AD$303),IF(DATE($C303,5,15)&gt;=$W$303,$Z$303*(1+($U$303)/100)^MAX(0,$C303-$AC$303),IF(DATE($C303,5,15)&gt;=$V$303,$Y$303*(1+($U$303)/100)^MAX(0,$C303-$AB$303),0)))))</f>
      </c>
      <c r="J303" s="43">
        <f>IF($S$303=0,0,IF(OR(DATE($C303,6,15)&lt;$S$303,AND($T$303&gt;0,DATE($C303,6,15)&gt;$T$303)),0,IF(DATE($C303,6,15)&gt;=$X$303,$AA$303*(1+($U$303)/100)^MAX(0,$C303-$AD$303),IF(DATE($C303,6,15)&gt;=$W$303,$Z$303*(1+($U$303)/100)^MAX(0,$C303-$AC$303),IF(DATE($C303,6,15)&gt;=$V$303,$Y$303*(1+($U$303)/100)^MAX(0,$C303-$AB$303),0)))))</f>
      </c>
      <c r="K303" s="43">
        <f>IF($S$303=0,0,IF(OR(DATE($C303,7,15)&lt;$S$303,AND($T$303&gt;0,DATE($C303,7,15)&gt;$T$303)),0,IF(DATE($C303,7,15)&gt;=$X$303,$AA$303*(1+($U$303)/100)^MAX(0,$C303-$AD$303),IF(DATE($C303,7,15)&gt;=$W$303,$Z$303*(1+($U$303)/100)^MAX(0,$C303-$AC$303),IF(DATE($C303,7,15)&gt;=$V$303,$Y$303*(1+($U$303)/100)^MAX(0,$C303-$AB$303),0)))))</f>
      </c>
      <c r="L303" s="43">
        <f>IF($S$303=0,0,IF(OR(DATE($C303,8,15)&lt;$S$303,AND($T$303&gt;0,DATE($C303,8,15)&gt;$T$303)),0,IF(DATE($C303,8,15)&gt;=$X$303,$AA$303*(1+($U$303)/100)^MAX(0,$C303-$AD$303),IF(DATE($C303,8,15)&gt;=$W$303,$Z$303*(1+($U$303)/100)^MAX(0,$C303-$AC$303),IF(DATE($C303,8,15)&gt;=$V$303,$Y$303*(1+($U$303)/100)^MAX(0,$C303-$AB$303),0)))))</f>
      </c>
      <c r="M303" s="43">
        <f>IF($S$303=0,0,IF(OR(DATE($C303,9,15)&lt;$S$303,AND($T$303&gt;0,DATE($C303,9,15)&gt;$T$303)),0,IF(DATE($C303,9,15)&gt;=$X$303,$AA$303*(1+($U$303)/100)^MAX(0,$C303-$AD$303),IF(DATE($C303,9,15)&gt;=$W$303,$Z$303*(1+($U$303)/100)^MAX(0,$C303-$AC$303),IF(DATE($C303,9,15)&gt;=$V$303,$Y$303*(1+($U$303)/100)^MAX(0,$C303-$AB$303),0)))))</f>
      </c>
      <c r="N303" s="43">
        <f>IF($S$303=0,0,IF(OR(DATE($C303,10,15)&lt;$S$303,AND($T$303&gt;0,DATE($C303,10,15)&gt;$T$303)),0,IF(DATE($C303,10,15)&gt;=$X$303,$AA$303*(1+($U$303)/100)^MAX(0,$C303-$AD$303),IF(DATE($C303,10,15)&gt;=$W$303,$Z$303*(1+($U$303)/100)^MAX(0,$C303-$AC$303),IF(DATE($C303,10,15)&gt;=$V$303,$Y$303*(1+($U$303)/100)^MAX(0,$C303-$AB$303),0)))))</f>
      </c>
      <c r="O303" s="43">
        <f>IF($S$303=0,0,IF(OR(DATE($C303,11,15)&lt;$S$303,AND($T$303&gt;0,DATE($C303,11,15)&gt;$T$303)),0,IF(DATE($C303,11,15)&gt;=$X$303,$AA$303*(1+($U$303)/100)^MAX(0,$C303-$AD$303),IF(DATE($C303,11,15)&gt;=$W$303,$Z$303*(1+($U$303)/100)^MAX(0,$C303-$AC$303),IF(DATE($C303,11,15)&gt;=$V$303,$Y$303*(1+($U$303)/100)^MAX(0,$C303-$AB$303),0)))))</f>
      </c>
      <c r="P303" s="43">
        <f>IF($S$303=0,0,IF(OR(DATE($C303,12,15)&lt;$S$303,AND($T$303&gt;0,DATE($C303,12,15)&gt;$T$303)),0,IF(DATE($C303,12,15)&gt;=$X$303,$AA$303*(1+($U$303)/100)^MAX(0,$C303-$AD$303),IF(DATE($C303,12,15)&gt;=$W$303,$Z$303*(1+($U$303)/100)^MAX(0,$C303-$AC$303),IF(DATE($C303,12,15)&gt;=$V$303,$Y$303*(1+($U$303)/100)^MAX(0,$C303-$AB$303),0)))))</f>
      </c>
      <c r="Q303" s="43">
        <f>SUM($E303:$P303)</f>
      </c>
      <c r="R303"/>
      <c r="S303" s="43">
        <f>IF(INDEX(MvBeginn,10)="",0,INDEX(MvBeginn,10))</f>
      </c>
      <c r="T303" s="43">
        <f>INDEX(MvEnde,10)</f>
      </c>
      <c r="U303" s="43">
        <f>INDEX(MvSatz,10)</f>
      </c>
      <c r="V303" s="43">
        <f>INDEX(MvKey1,10)</f>
      </c>
      <c r="W303" s="43">
        <f>INDEX(MvKey2,10)</f>
      </c>
      <c r="X303" s="43">
        <f>INDEX(MvKey3,10)</f>
      </c>
      <c r="Y303" s="43">
        <f>INDEX(MvKalt1,10)</f>
      </c>
      <c r="Z303" s="43">
        <f>INDEX(MvKalt2,10)</f>
      </c>
      <c r="AA303" s="43">
        <f>INDEX(MvKalt3,10)</f>
      </c>
      <c r="AB303" s="43">
        <f>MAX(YEAR(INDEX(MvAb1,10)),Jahr)</f>
      </c>
      <c r="AC303" s="43">
        <f>MAX(YEAR(INDEX(MvAb2,10)),Jahr)</f>
      </c>
      <c r="AD303" s="43">
        <f>MAX(YEAR(INDEX(MvAb3,10)),Jahr)</f>
      </c>
    </row>
    <row r="304">
      <c r="A304"/>
      <c r="B304">
        <v>10</v>
      </c>
      <c r="C304" s="43">
        <f>Jahr+1</f>
      </c>
      <c r="D304" s="43">
        <f>INDEX(MvObj,10)</f>
      </c>
      <c r="E304" s="43">
        <f>IF($S$303=0,0,IF(OR(DATE($C304,1,15)&lt;$S$303,AND($T$303&gt;0,DATE($C304,1,15)&gt;$T$303)),0,IF(DATE($C304,1,15)&gt;=$X$303,$AA$303*(1+($U$303)/100)^MAX(0,$C304-$AD$303),IF(DATE($C304,1,15)&gt;=$W$303,$Z$303*(1+($U$303)/100)^MAX(0,$C304-$AC$303),IF(DATE($C304,1,15)&gt;=$V$303,$Y$303*(1+($U$303)/100)^MAX(0,$C304-$AB$303),0)))))</f>
      </c>
      <c r="F304" s="43">
        <f>IF($S$303=0,0,IF(OR(DATE($C304,2,15)&lt;$S$303,AND($T$303&gt;0,DATE($C304,2,15)&gt;$T$303)),0,IF(DATE($C304,2,15)&gt;=$X$303,$AA$303*(1+($U$303)/100)^MAX(0,$C304-$AD$303),IF(DATE($C304,2,15)&gt;=$W$303,$Z$303*(1+($U$303)/100)^MAX(0,$C304-$AC$303),IF(DATE($C304,2,15)&gt;=$V$303,$Y$303*(1+($U$303)/100)^MAX(0,$C304-$AB$303),0)))))</f>
      </c>
      <c r="G304" s="43">
        <f>IF($S$303=0,0,IF(OR(DATE($C304,3,15)&lt;$S$303,AND($T$303&gt;0,DATE($C304,3,15)&gt;$T$303)),0,IF(DATE($C304,3,15)&gt;=$X$303,$AA$303*(1+($U$303)/100)^MAX(0,$C304-$AD$303),IF(DATE($C304,3,15)&gt;=$W$303,$Z$303*(1+($U$303)/100)^MAX(0,$C304-$AC$303),IF(DATE($C304,3,15)&gt;=$V$303,$Y$303*(1+($U$303)/100)^MAX(0,$C304-$AB$303),0)))))</f>
      </c>
      <c r="H304" s="43">
        <f>IF($S$303=0,0,IF(OR(DATE($C304,4,15)&lt;$S$303,AND($T$303&gt;0,DATE($C304,4,15)&gt;$T$303)),0,IF(DATE($C304,4,15)&gt;=$X$303,$AA$303*(1+($U$303)/100)^MAX(0,$C304-$AD$303),IF(DATE($C304,4,15)&gt;=$W$303,$Z$303*(1+($U$303)/100)^MAX(0,$C304-$AC$303),IF(DATE($C304,4,15)&gt;=$V$303,$Y$303*(1+($U$303)/100)^MAX(0,$C304-$AB$303),0)))))</f>
      </c>
      <c r="I304" s="43">
        <f>IF($S$303=0,0,IF(OR(DATE($C304,5,15)&lt;$S$303,AND($T$303&gt;0,DATE($C304,5,15)&gt;$T$303)),0,IF(DATE($C304,5,15)&gt;=$X$303,$AA$303*(1+($U$303)/100)^MAX(0,$C304-$AD$303),IF(DATE($C304,5,15)&gt;=$W$303,$Z$303*(1+($U$303)/100)^MAX(0,$C304-$AC$303),IF(DATE($C304,5,15)&gt;=$V$303,$Y$303*(1+($U$303)/100)^MAX(0,$C304-$AB$303),0)))))</f>
      </c>
      <c r="J304" s="43">
        <f>IF($S$303=0,0,IF(OR(DATE($C304,6,15)&lt;$S$303,AND($T$303&gt;0,DATE($C304,6,15)&gt;$T$303)),0,IF(DATE($C304,6,15)&gt;=$X$303,$AA$303*(1+($U$303)/100)^MAX(0,$C304-$AD$303),IF(DATE($C304,6,15)&gt;=$W$303,$Z$303*(1+($U$303)/100)^MAX(0,$C304-$AC$303),IF(DATE($C304,6,15)&gt;=$V$303,$Y$303*(1+($U$303)/100)^MAX(0,$C304-$AB$303),0)))))</f>
      </c>
      <c r="K304" s="43">
        <f>IF($S$303=0,0,IF(OR(DATE($C304,7,15)&lt;$S$303,AND($T$303&gt;0,DATE($C304,7,15)&gt;$T$303)),0,IF(DATE($C304,7,15)&gt;=$X$303,$AA$303*(1+($U$303)/100)^MAX(0,$C304-$AD$303),IF(DATE($C304,7,15)&gt;=$W$303,$Z$303*(1+($U$303)/100)^MAX(0,$C304-$AC$303),IF(DATE($C304,7,15)&gt;=$V$303,$Y$303*(1+($U$303)/100)^MAX(0,$C304-$AB$303),0)))))</f>
      </c>
      <c r="L304" s="43">
        <f>IF($S$303=0,0,IF(OR(DATE($C304,8,15)&lt;$S$303,AND($T$303&gt;0,DATE($C304,8,15)&gt;$T$303)),0,IF(DATE($C304,8,15)&gt;=$X$303,$AA$303*(1+($U$303)/100)^MAX(0,$C304-$AD$303),IF(DATE($C304,8,15)&gt;=$W$303,$Z$303*(1+($U$303)/100)^MAX(0,$C304-$AC$303),IF(DATE($C304,8,15)&gt;=$V$303,$Y$303*(1+($U$303)/100)^MAX(0,$C304-$AB$303),0)))))</f>
      </c>
      <c r="M304" s="43">
        <f>IF($S$303=0,0,IF(OR(DATE($C304,9,15)&lt;$S$303,AND($T$303&gt;0,DATE($C304,9,15)&gt;$T$303)),0,IF(DATE($C304,9,15)&gt;=$X$303,$AA$303*(1+($U$303)/100)^MAX(0,$C304-$AD$303),IF(DATE($C304,9,15)&gt;=$W$303,$Z$303*(1+($U$303)/100)^MAX(0,$C304-$AC$303),IF(DATE($C304,9,15)&gt;=$V$303,$Y$303*(1+($U$303)/100)^MAX(0,$C304-$AB$303),0)))))</f>
      </c>
      <c r="N304" s="43">
        <f>IF($S$303=0,0,IF(OR(DATE($C304,10,15)&lt;$S$303,AND($T$303&gt;0,DATE($C304,10,15)&gt;$T$303)),0,IF(DATE($C304,10,15)&gt;=$X$303,$AA$303*(1+($U$303)/100)^MAX(0,$C304-$AD$303),IF(DATE($C304,10,15)&gt;=$W$303,$Z$303*(1+($U$303)/100)^MAX(0,$C304-$AC$303),IF(DATE($C304,10,15)&gt;=$V$303,$Y$303*(1+($U$303)/100)^MAX(0,$C304-$AB$303),0)))))</f>
      </c>
      <c r="O304" s="43">
        <f>IF($S$303=0,0,IF(OR(DATE($C304,11,15)&lt;$S$303,AND($T$303&gt;0,DATE($C304,11,15)&gt;$T$303)),0,IF(DATE($C304,11,15)&gt;=$X$303,$AA$303*(1+($U$303)/100)^MAX(0,$C304-$AD$303),IF(DATE($C304,11,15)&gt;=$W$303,$Z$303*(1+($U$303)/100)^MAX(0,$C304-$AC$303),IF(DATE($C304,11,15)&gt;=$V$303,$Y$303*(1+($U$303)/100)^MAX(0,$C304-$AB$303),0)))))</f>
      </c>
      <c r="P304" s="43">
        <f>IF($S$303=0,0,IF(OR(DATE($C304,12,15)&lt;$S$303,AND($T$303&gt;0,DATE($C304,12,15)&gt;$T$303)),0,IF(DATE($C304,12,15)&gt;=$X$303,$AA$303*(1+($U$303)/100)^MAX(0,$C304-$AD$303),IF(DATE($C304,12,15)&gt;=$W$303,$Z$303*(1+($U$303)/100)^MAX(0,$C304-$AC$303),IF(DATE($C304,12,15)&gt;=$V$303,$Y$303*(1+($U$303)/100)^MAX(0,$C304-$AB$303),0)))))</f>
      </c>
      <c r="Q304" s="43">
        <f>SUM($E304:$P304)</f>
      </c>
    </row>
    <row r="305">
      <c r="A305"/>
      <c r="B305">
        <v>10</v>
      </c>
      <c r="C305" s="43">
        <f>Jahr+2</f>
      </c>
      <c r="D305" s="43">
        <f>INDEX(MvObj,10)</f>
      </c>
      <c r="E305" s="43">
        <f>IF($S$303=0,0,IF(OR(DATE($C305,1,15)&lt;$S$303,AND($T$303&gt;0,DATE($C305,1,15)&gt;$T$303)),0,IF(DATE($C305,1,15)&gt;=$X$303,$AA$303*(1+($U$303)/100)^MAX(0,$C305-$AD$303),IF(DATE($C305,1,15)&gt;=$W$303,$Z$303*(1+($U$303)/100)^MAX(0,$C305-$AC$303),IF(DATE($C305,1,15)&gt;=$V$303,$Y$303*(1+($U$303)/100)^MAX(0,$C305-$AB$303),0)))))</f>
      </c>
      <c r="F305" s="43">
        <f>IF($S$303=0,0,IF(OR(DATE($C305,2,15)&lt;$S$303,AND($T$303&gt;0,DATE($C305,2,15)&gt;$T$303)),0,IF(DATE($C305,2,15)&gt;=$X$303,$AA$303*(1+($U$303)/100)^MAX(0,$C305-$AD$303),IF(DATE($C305,2,15)&gt;=$W$303,$Z$303*(1+($U$303)/100)^MAX(0,$C305-$AC$303),IF(DATE($C305,2,15)&gt;=$V$303,$Y$303*(1+($U$303)/100)^MAX(0,$C305-$AB$303),0)))))</f>
      </c>
      <c r="G305" s="43">
        <f>IF($S$303=0,0,IF(OR(DATE($C305,3,15)&lt;$S$303,AND($T$303&gt;0,DATE($C305,3,15)&gt;$T$303)),0,IF(DATE($C305,3,15)&gt;=$X$303,$AA$303*(1+($U$303)/100)^MAX(0,$C305-$AD$303),IF(DATE($C305,3,15)&gt;=$W$303,$Z$303*(1+($U$303)/100)^MAX(0,$C305-$AC$303),IF(DATE($C305,3,15)&gt;=$V$303,$Y$303*(1+($U$303)/100)^MAX(0,$C305-$AB$303),0)))))</f>
      </c>
      <c r="H305" s="43">
        <f>IF($S$303=0,0,IF(OR(DATE($C305,4,15)&lt;$S$303,AND($T$303&gt;0,DATE($C305,4,15)&gt;$T$303)),0,IF(DATE($C305,4,15)&gt;=$X$303,$AA$303*(1+($U$303)/100)^MAX(0,$C305-$AD$303),IF(DATE($C305,4,15)&gt;=$W$303,$Z$303*(1+($U$303)/100)^MAX(0,$C305-$AC$303),IF(DATE($C305,4,15)&gt;=$V$303,$Y$303*(1+($U$303)/100)^MAX(0,$C305-$AB$303),0)))))</f>
      </c>
      <c r="I305" s="43">
        <f>IF($S$303=0,0,IF(OR(DATE($C305,5,15)&lt;$S$303,AND($T$303&gt;0,DATE($C305,5,15)&gt;$T$303)),0,IF(DATE($C305,5,15)&gt;=$X$303,$AA$303*(1+($U$303)/100)^MAX(0,$C305-$AD$303),IF(DATE($C305,5,15)&gt;=$W$303,$Z$303*(1+($U$303)/100)^MAX(0,$C305-$AC$303),IF(DATE($C305,5,15)&gt;=$V$303,$Y$303*(1+($U$303)/100)^MAX(0,$C305-$AB$303),0)))))</f>
      </c>
      <c r="J305" s="43">
        <f>IF($S$303=0,0,IF(OR(DATE($C305,6,15)&lt;$S$303,AND($T$303&gt;0,DATE($C305,6,15)&gt;$T$303)),0,IF(DATE($C305,6,15)&gt;=$X$303,$AA$303*(1+($U$303)/100)^MAX(0,$C305-$AD$303),IF(DATE($C305,6,15)&gt;=$W$303,$Z$303*(1+($U$303)/100)^MAX(0,$C305-$AC$303),IF(DATE($C305,6,15)&gt;=$V$303,$Y$303*(1+($U$303)/100)^MAX(0,$C305-$AB$303),0)))))</f>
      </c>
      <c r="K305" s="43">
        <f>IF($S$303=0,0,IF(OR(DATE($C305,7,15)&lt;$S$303,AND($T$303&gt;0,DATE($C305,7,15)&gt;$T$303)),0,IF(DATE($C305,7,15)&gt;=$X$303,$AA$303*(1+($U$303)/100)^MAX(0,$C305-$AD$303),IF(DATE($C305,7,15)&gt;=$W$303,$Z$303*(1+($U$303)/100)^MAX(0,$C305-$AC$303),IF(DATE($C305,7,15)&gt;=$V$303,$Y$303*(1+($U$303)/100)^MAX(0,$C305-$AB$303),0)))))</f>
      </c>
      <c r="L305" s="43">
        <f>IF($S$303=0,0,IF(OR(DATE($C305,8,15)&lt;$S$303,AND($T$303&gt;0,DATE($C305,8,15)&gt;$T$303)),0,IF(DATE($C305,8,15)&gt;=$X$303,$AA$303*(1+($U$303)/100)^MAX(0,$C305-$AD$303),IF(DATE($C305,8,15)&gt;=$W$303,$Z$303*(1+($U$303)/100)^MAX(0,$C305-$AC$303),IF(DATE($C305,8,15)&gt;=$V$303,$Y$303*(1+($U$303)/100)^MAX(0,$C305-$AB$303),0)))))</f>
      </c>
      <c r="M305" s="43">
        <f>IF($S$303=0,0,IF(OR(DATE($C305,9,15)&lt;$S$303,AND($T$303&gt;0,DATE($C305,9,15)&gt;$T$303)),0,IF(DATE($C305,9,15)&gt;=$X$303,$AA$303*(1+($U$303)/100)^MAX(0,$C305-$AD$303),IF(DATE($C305,9,15)&gt;=$W$303,$Z$303*(1+($U$303)/100)^MAX(0,$C305-$AC$303),IF(DATE($C305,9,15)&gt;=$V$303,$Y$303*(1+($U$303)/100)^MAX(0,$C305-$AB$303),0)))))</f>
      </c>
      <c r="N305" s="43">
        <f>IF($S$303=0,0,IF(OR(DATE($C305,10,15)&lt;$S$303,AND($T$303&gt;0,DATE($C305,10,15)&gt;$T$303)),0,IF(DATE($C305,10,15)&gt;=$X$303,$AA$303*(1+($U$303)/100)^MAX(0,$C305-$AD$303),IF(DATE($C305,10,15)&gt;=$W$303,$Z$303*(1+($U$303)/100)^MAX(0,$C305-$AC$303),IF(DATE($C305,10,15)&gt;=$V$303,$Y$303*(1+($U$303)/100)^MAX(0,$C305-$AB$303),0)))))</f>
      </c>
      <c r="O305" s="43">
        <f>IF($S$303=0,0,IF(OR(DATE($C305,11,15)&lt;$S$303,AND($T$303&gt;0,DATE($C305,11,15)&gt;$T$303)),0,IF(DATE($C305,11,15)&gt;=$X$303,$AA$303*(1+($U$303)/100)^MAX(0,$C305-$AD$303),IF(DATE($C305,11,15)&gt;=$W$303,$Z$303*(1+($U$303)/100)^MAX(0,$C305-$AC$303),IF(DATE($C305,11,15)&gt;=$V$303,$Y$303*(1+($U$303)/100)^MAX(0,$C305-$AB$303),0)))))</f>
      </c>
      <c r="P305" s="43">
        <f>IF($S$303=0,0,IF(OR(DATE($C305,12,15)&lt;$S$303,AND($T$303&gt;0,DATE($C305,12,15)&gt;$T$303)),0,IF(DATE($C305,12,15)&gt;=$X$303,$AA$303*(1+($U$303)/100)^MAX(0,$C305-$AD$303),IF(DATE($C305,12,15)&gt;=$W$303,$Z$303*(1+($U$303)/100)^MAX(0,$C305-$AC$303),IF(DATE($C305,12,15)&gt;=$V$303,$Y$303*(1+($U$303)/100)^MAX(0,$C305-$AB$303),0)))))</f>
      </c>
      <c r="Q305" s="43">
        <f>SUM($E305:$P305)</f>
      </c>
    </row>
    <row r="306">
      <c r="A306"/>
      <c r="B306">
        <v>10</v>
      </c>
      <c r="C306" s="43">
        <f>Jahr+3</f>
      </c>
      <c r="D306" s="43">
        <f>INDEX(MvObj,10)</f>
      </c>
      <c r="E306" s="43">
        <f>IF($S$303=0,0,IF(OR(DATE($C306,1,15)&lt;$S$303,AND($T$303&gt;0,DATE($C306,1,15)&gt;$T$303)),0,IF(DATE($C306,1,15)&gt;=$X$303,$AA$303*(1+($U$303)/100)^MAX(0,$C306-$AD$303),IF(DATE($C306,1,15)&gt;=$W$303,$Z$303*(1+($U$303)/100)^MAX(0,$C306-$AC$303),IF(DATE($C306,1,15)&gt;=$V$303,$Y$303*(1+($U$303)/100)^MAX(0,$C306-$AB$303),0)))))</f>
      </c>
      <c r="F306" s="43">
        <f>IF($S$303=0,0,IF(OR(DATE($C306,2,15)&lt;$S$303,AND($T$303&gt;0,DATE($C306,2,15)&gt;$T$303)),0,IF(DATE($C306,2,15)&gt;=$X$303,$AA$303*(1+($U$303)/100)^MAX(0,$C306-$AD$303),IF(DATE($C306,2,15)&gt;=$W$303,$Z$303*(1+($U$303)/100)^MAX(0,$C306-$AC$303),IF(DATE($C306,2,15)&gt;=$V$303,$Y$303*(1+($U$303)/100)^MAX(0,$C306-$AB$303),0)))))</f>
      </c>
      <c r="G306" s="43">
        <f>IF($S$303=0,0,IF(OR(DATE($C306,3,15)&lt;$S$303,AND($T$303&gt;0,DATE($C306,3,15)&gt;$T$303)),0,IF(DATE($C306,3,15)&gt;=$X$303,$AA$303*(1+($U$303)/100)^MAX(0,$C306-$AD$303),IF(DATE($C306,3,15)&gt;=$W$303,$Z$303*(1+($U$303)/100)^MAX(0,$C306-$AC$303),IF(DATE($C306,3,15)&gt;=$V$303,$Y$303*(1+($U$303)/100)^MAX(0,$C306-$AB$303),0)))))</f>
      </c>
      <c r="H306" s="43">
        <f>IF($S$303=0,0,IF(OR(DATE($C306,4,15)&lt;$S$303,AND($T$303&gt;0,DATE($C306,4,15)&gt;$T$303)),0,IF(DATE($C306,4,15)&gt;=$X$303,$AA$303*(1+($U$303)/100)^MAX(0,$C306-$AD$303),IF(DATE($C306,4,15)&gt;=$W$303,$Z$303*(1+($U$303)/100)^MAX(0,$C306-$AC$303),IF(DATE($C306,4,15)&gt;=$V$303,$Y$303*(1+($U$303)/100)^MAX(0,$C306-$AB$303),0)))))</f>
      </c>
      <c r="I306" s="43">
        <f>IF($S$303=0,0,IF(OR(DATE($C306,5,15)&lt;$S$303,AND($T$303&gt;0,DATE($C306,5,15)&gt;$T$303)),0,IF(DATE($C306,5,15)&gt;=$X$303,$AA$303*(1+($U$303)/100)^MAX(0,$C306-$AD$303),IF(DATE($C306,5,15)&gt;=$W$303,$Z$303*(1+($U$303)/100)^MAX(0,$C306-$AC$303),IF(DATE($C306,5,15)&gt;=$V$303,$Y$303*(1+($U$303)/100)^MAX(0,$C306-$AB$303),0)))))</f>
      </c>
      <c r="J306" s="43">
        <f>IF($S$303=0,0,IF(OR(DATE($C306,6,15)&lt;$S$303,AND($T$303&gt;0,DATE($C306,6,15)&gt;$T$303)),0,IF(DATE($C306,6,15)&gt;=$X$303,$AA$303*(1+($U$303)/100)^MAX(0,$C306-$AD$303),IF(DATE($C306,6,15)&gt;=$W$303,$Z$303*(1+($U$303)/100)^MAX(0,$C306-$AC$303),IF(DATE($C306,6,15)&gt;=$V$303,$Y$303*(1+($U$303)/100)^MAX(0,$C306-$AB$303),0)))))</f>
      </c>
      <c r="K306" s="43">
        <f>IF($S$303=0,0,IF(OR(DATE($C306,7,15)&lt;$S$303,AND($T$303&gt;0,DATE($C306,7,15)&gt;$T$303)),0,IF(DATE($C306,7,15)&gt;=$X$303,$AA$303*(1+($U$303)/100)^MAX(0,$C306-$AD$303),IF(DATE($C306,7,15)&gt;=$W$303,$Z$303*(1+($U$303)/100)^MAX(0,$C306-$AC$303),IF(DATE($C306,7,15)&gt;=$V$303,$Y$303*(1+($U$303)/100)^MAX(0,$C306-$AB$303),0)))))</f>
      </c>
      <c r="L306" s="43">
        <f>IF($S$303=0,0,IF(OR(DATE($C306,8,15)&lt;$S$303,AND($T$303&gt;0,DATE($C306,8,15)&gt;$T$303)),0,IF(DATE($C306,8,15)&gt;=$X$303,$AA$303*(1+($U$303)/100)^MAX(0,$C306-$AD$303),IF(DATE($C306,8,15)&gt;=$W$303,$Z$303*(1+($U$303)/100)^MAX(0,$C306-$AC$303),IF(DATE($C306,8,15)&gt;=$V$303,$Y$303*(1+($U$303)/100)^MAX(0,$C306-$AB$303),0)))))</f>
      </c>
      <c r="M306" s="43">
        <f>IF($S$303=0,0,IF(OR(DATE($C306,9,15)&lt;$S$303,AND($T$303&gt;0,DATE($C306,9,15)&gt;$T$303)),0,IF(DATE($C306,9,15)&gt;=$X$303,$AA$303*(1+($U$303)/100)^MAX(0,$C306-$AD$303),IF(DATE($C306,9,15)&gt;=$W$303,$Z$303*(1+($U$303)/100)^MAX(0,$C306-$AC$303),IF(DATE($C306,9,15)&gt;=$V$303,$Y$303*(1+($U$303)/100)^MAX(0,$C306-$AB$303),0)))))</f>
      </c>
      <c r="N306" s="43">
        <f>IF($S$303=0,0,IF(OR(DATE($C306,10,15)&lt;$S$303,AND($T$303&gt;0,DATE($C306,10,15)&gt;$T$303)),0,IF(DATE($C306,10,15)&gt;=$X$303,$AA$303*(1+($U$303)/100)^MAX(0,$C306-$AD$303),IF(DATE($C306,10,15)&gt;=$W$303,$Z$303*(1+($U$303)/100)^MAX(0,$C306-$AC$303),IF(DATE($C306,10,15)&gt;=$V$303,$Y$303*(1+($U$303)/100)^MAX(0,$C306-$AB$303),0)))))</f>
      </c>
      <c r="O306" s="43">
        <f>IF($S$303=0,0,IF(OR(DATE($C306,11,15)&lt;$S$303,AND($T$303&gt;0,DATE($C306,11,15)&gt;$T$303)),0,IF(DATE($C306,11,15)&gt;=$X$303,$AA$303*(1+($U$303)/100)^MAX(0,$C306-$AD$303),IF(DATE($C306,11,15)&gt;=$W$303,$Z$303*(1+($U$303)/100)^MAX(0,$C306-$AC$303),IF(DATE($C306,11,15)&gt;=$V$303,$Y$303*(1+($U$303)/100)^MAX(0,$C306-$AB$303),0)))))</f>
      </c>
      <c r="P306" s="43">
        <f>IF($S$303=0,0,IF(OR(DATE($C306,12,15)&lt;$S$303,AND($T$303&gt;0,DATE($C306,12,15)&gt;$T$303)),0,IF(DATE($C306,12,15)&gt;=$X$303,$AA$303*(1+($U$303)/100)^MAX(0,$C306-$AD$303),IF(DATE($C306,12,15)&gt;=$W$303,$Z$303*(1+($U$303)/100)^MAX(0,$C306-$AC$303),IF(DATE($C306,12,15)&gt;=$V$303,$Y$303*(1+($U$303)/100)^MAX(0,$C306-$AB$303),0)))))</f>
      </c>
      <c r="Q306" s="43">
        <f>SUM($E306:$P306)</f>
      </c>
    </row>
    <row r="307">
      <c r="A307"/>
      <c r="B307">
        <v>10</v>
      </c>
      <c r="C307" s="43">
        <f>Jahr+4</f>
      </c>
      <c r="D307" s="43">
        <f>INDEX(MvObj,10)</f>
      </c>
      <c r="E307" s="43">
        <f>IF($S$303=0,0,IF(OR(DATE($C307,1,15)&lt;$S$303,AND($T$303&gt;0,DATE($C307,1,15)&gt;$T$303)),0,IF(DATE($C307,1,15)&gt;=$X$303,$AA$303*(1+($U$303)/100)^MAX(0,$C307-$AD$303),IF(DATE($C307,1,15)&gt;=$W$303,$Z$303*(1+($U$303)/100)^MAX(0,$C307-$AC$303),IF(DATE($C307,1,15)&gt;=$V$303,$Y$303*(1+($U$303)/100)^MAX(0,$C307-$AB$303),0)))))</f>
      </c>
      <c r="F307" s="43">
        <f>IF($S$303=0,0,IF(OR(DATE($C307,2,15)&lt;$S$303,AND($T$303&gt;0,DATE($C307,2,15)&gt;$T$303)),0,IF(DATE($C307,2,15)&gt;=$X$303,$AA$303*(1+($U$303)/100)^MAX(0,$C307-$AD$303),IF(DATE($C307,2,15)&gt;=$W$303,$Z$303*(1+($U$303)/100)^MAX(0,$C307-$AC$303),IF(DATE($C307,2,15)&gt;=$V$303,$Y$303*(1+($U$303)/100)^MAX(0,$C307-$AB$303),0)))))</f>
      </c>
      <c r="G307" s="43">
        <f>IF($S$303=0,0,IF(OR(DATE($C307,3,15)&lt;$S$303,AND($T$303&gt;0,DATE($C307,3,15)&gt;$T$303)),0,IF(DATE($C307,3,15)&gt;=$X$303,$AA$303*(1+($U$303)/100)^MAX(0,$C307-$AD$303),IF(DATE($C307,3,15)&gt;=$W$303,$Z$303*(1+($U$303)/100)^MAX(0,$C307-$AC$303),IF(DATE($C307,3,15)&gt;=$V$303,$Y$303*(1+($U$303)/100)^MAX(0,$C307-$AB$303),0)))))</f>
      </c>
      <c r="H307" s="43">
        <f>IF($S$303=0,0,IF(OR(DATE($C307,4,15)&lt;$S$303,AND($T$303&gt;0,DATE($C307,4,15)&gt;$T$303)),0,IF(DATE($C307,4,15)&gt;=$X$303,$AA$303*(1+($U$303)/100)^MAX(0,$C307-$AD$303),IF(DATE($C307,4,15)&gt;=$W$303,$Z$303*(1+($U$303)/100)^MAX(0,$C307-$AC$303),IF(DATE($C307,4,15)&gt;=$V$303,$Y$303*(1+($U$303)/100)^MAX(0,$C307-$AB$303),0)))))</f>
      </c>
      <c r="I307" s="43">
        <f>IF($S$303=0,0,IF(OR(DATE($C307,5,15)&lt;$S$303,AND($T$303&gt;0,DATE($C307,5,15)&gt;$T$303)),0,IF(DATE($C307,5,15)&gt;=$X$303,$AA$303*(1+($U$303)/100)^MAX(0,$C307-$AD$303),IF(DATE($C307,5,15)&gt;=$W$303,$Z$303*(1+($U$303)/100)^MAX(0,$C307-$AC$303),IF(DATE($C307,5,15)&gt;=$V$303,$Y$303*(1+($U$303)/100)^MAX(0,$C307-$AB$303),0)))))</f>
      </c>
      <c r="J307" s="43">
        <f>IF($S$303=0,0,IF(OR(DATE($C307,6,15)&lt;$S$303,AND($T$303&gt;0,DATE($C307,6,15)&gt;$T$303)),0,IF(DATE($C307,6,15)&gt;=$X$303,$AA$303*(1+($U$303)/100)^MAX(0,$C307-$AD$303),IF(DATE($C307,6,15)&gt;=$W$303,$Z$303*(1+($U$303)/100)^MAX(0,$C307-$AC$303),IF(DATE($C307,6,15)&gt;=$V$303,$Y$303*(1+($U$303)/100)^MAX(0,$C307-$AB$303),0)))))</f>
      </c>
      <c r="K307" s="43">
        <f>IF($S$303=0,0,IF(OR(DATE($C307,7,15)&lt;$S$303,AND($T$303&gt;0,DATE($C307,7,15)&gt;$T$303)),0,IF(DATE($C307,7,15)&gt;=$X$303,$AA$303*(1+($U$303)/100)^MAX(0,$C307-$AD$303),IF(DATE($C307,7,15)&gt;=$W$303,$Z$303*(1+($U$303)/100)^MAX(0,$C307-$AC$303),IF(DATE($C307,7,15)&gt;=$V$303,$Y$303*(1+($U$303)/100)^MAX(0,$C307-$AB$303),0)))))</f>
      </c>
      <c r="L307" s="43">
        <f>IF($S$303=0,0,IF(OR(DATE($C307,8,15)&lt;$S$303,AND($T$303&gt;0,DATE($C307,8,15)&gt;$T$303)),0,IF(DATE($C307,8,15)&gt;=$X$303,$AA$303*(1+($U$303)/100)^MAX(0,$C307-$AD$303),IF(DATE($C307,8,15)&gt;=$W$303,$Z$303*(1+($U$303)/100)^MAX(0,$C307-$AC$303),IF(DATE($C307,8,15)&gt;=$V$303,$Y$303*(1+($U$303)/100)^MAX(0,$C307-$AB$303),0)))))</f>
      </c>
      <c r="M307" s="43">
        <f>IF($S$303=0,0,IF(OR(DATE($C307,9,15)&lt;$S$303,AND($T$303&gt;0,DATE($C307,9,15)&gt;$T$303)),0,IF(DATE($C307,9,15)&gt;=$X$303,$AA$303*(1+($U$303)/100)^MAX(0,$C307-$AD$303),IF(DATE($C307,9,15)&gt;=$W$303,$Z$303*(1+($U$303)/100)^MAX(0,$C307-$AC$303),IF(DATE($C307,9,15)&gt;=$V$303,$Y$303*(1+($U$303)/100)^MAX(0,$C307-$AB$303),0)))))</f>
      </c>
      <c r="N307" s="43">
        <f>IF($S$303=0,0,IF(OR(DATE($C307,10,15)&lt;$S$303,AND($T$303&gt;0,DATE($C307,10,15)&gt;$T$303)),0,IF(DATE($C307,10,15)&gt;=$X$303,$AA$303*(1+($U$303)/100)^MAX(0,$C307-$AD$303),IF(DATE($C307,10,15)&gt;=$W$303,$Z$303*(1+($U$303)/100)^MAX(0,$C307-$AC$303),IF(DATE($C307,10,15)&gt;=$V$303,$Y$303*(1+($U$303)/100)^MAX(0,$C307-$AB$303),0)))))</f>
      </c>
      <c r="O307" s="43">
        <f>IF($S$303=0,0,IF(OR(DATE($C307,11,15)&lt;$S$303,AND($T$303&gt;0,DATE($C307,11,15)&gt;$T$303)),0,IF(DATE($C307,11,15)&gt;=$X$303,$AA$303*(1+($U$303)/100)^MAX(0,$C307-$AD$303),IF(DATE($C307,11,15)&gt;=$W$303,$Z$303*(1+($U$303)/100)^MAX(0,$C307-$AC$303),IF(DATE($C307,11,15)&gt;=$V$303,$Y$303*(1+($U$303)/100)^MAX(0,$C307-$AB$303),0)))))</f>
      </c>
      <c r="P307" s="43">
        <f>IF($S$303=0,0,IF(OR(DATE($C307,12,15)&lt;$S$303,AND($T$303&gt;0,DATE($C307,12,15)&gt;$T$303)),0,IF(DATE($C307,12,15)&gt;=$X$303,$AA$303*(1+($U$303)/100)^MAX(0,$C307-$AD$303),IF(DATE($C307,12,15)&gt;=$W$303,$Z$303*(1+($U$303)/100)^MAX(0,$C307-$AC$303),IF(DATE($C307,12,15)&gt;=$V$303,$Y$303*(1+($U$303)/100)^MAX(0,$C307-$AB$303),0)))))</f>
      </c>
      <c r="Q307" s="43">
        <f>SUM($E307:$P307)</f>
      </c>
    </row>
    <row r="308">
      <c r="A308"/>
      <c r="B308">
        <v>10</v>
      </c>
      <c r="C308" s="43">
        <f>Jahr+5</f>
      </c>
      <c r="D308" s="43">
        <f>INDEX(MvObj,10)</f>
      </c>
      <c r="E308" s="43">
        <f>IF($S$303=0,0,IF(OR(DATE($C308,1,15)&lt;$S$303,AND($T$303&gt;0,DATE($C308,1,15)&gt;$T$303)),0,IF(DATE($C308,1,15)&gt;=$X$303,$AA$303*(1+($U$303)/100)^MAX(0,$C308-$AD$303),IF(DATE($C308,1,15)&gt;=$W$303,$Z$303*(1+($U$303)/100)^MAX(0,$C308-$AC$303),IF(DATE($C308,1,15)&gt;=$V$303,$Y$303*(1+($U$303)/100)^MAX(0,$C308-$AB$303),0)))))</f>
      </c>
      <c r="F308" s="43">
        <f>IF($S$303=0,0,IF(OR(DATE($C308,2,15)&lt;$S$303,AND($T$303&gt;0,DATE($C308,2,15)&gt;$T$303)),0,IF(DATE($C308,2,15)&gt;=$X$303,$AA$303*(1+($U$303)/100)^MAX(0,$C308-$AD$303),IF(DATE($C308,2,15)&gt;=$W$303,$Z$303*(1+($U$303)/100)^MAX(0,$C308-$AC$303),IF(DATE($C308,2,15)&gt;=$V$303,$Y$303*(1+($U$303)/100)^MAX(0,$C308-$AB$303),0)))))</f>
      </c>
      <c r="G308" s="43">
        <f>IF($S$303=0,0,IF(OR(DATE($C308,3,15)&lt;$S$303,AND($T$303&gt;0,DATE($C308,3,15)&gt;$T$303)),0,IF(DATE($C308,3,15)&gt;=$X$303,$AA$303*(1+($U$303)/100)^MAX(0,$C308-$AD$303),IF(DATE($C308,3,15)&gt;=$W$303,$Z$303*(1+($U$303)/100)^MAX(0,$C308-$AC$303),IF(DATE($C308,3,15)&gt;=$V$303,$Y$303*(1+($U$303)/100)^MAX(0,$C308-$AB$303),0)))))</f>
      </c>
      <c r="H308" s="43">
        <f>IF($S$303=0,0,IF(OR(DATE($C308,4,15)&lt;$S$303,AND($T$303&gt;0,DATE($C308,4,15)&gt;$T$303)),0,IF(DATE($C308,4,15)&gt;=$X$303,$AA$303*(1+($U$303)/100)^MAX(0,$C308-$AD$303),IF(DATE($C308,4,15)&gt;=$W$303,$Z$303*(1+($U$303)/100)^MAX(0,$C308-$AC$303),IF(DATE($C308,4,15)&gt;=$V$303,$Y$303*(1+($U$303)/100)^MAX(0,$C308-$AB$303),0)))))</f>
      </c>
      <c r="I308" s="43">
        <f>IF($S$303=0,0,IF(OR(DATE($C308,5,15)&lt;$S$303,AND($T$303&gt;0,DATE($C308,5,15)&gt;$T$303)),0,IF(DATE($C308,5,15)&gt;=$X$303,$AA$303*(1+($U$303)/100)^MAX(0,$C308-$AD$303),IF(DATE($C308,5,15)&gt;=$W$303,$Z$303*(1+($U$303)/100)^MAX(0,$C308-$AC$303),IF(DATE($C308,5,15)&gt;=$V$303,$Y$303*(1+($U$303)/100)^MAX(0,$C308-$AB$303),0)))))</f>
      </c>
      <c r="J308" s="43">
        <f>IF($S$303=0,0,IF(OR(DATE($C308,6,15)&lt;$S$303,AND($T$303&gt;0,DATE($C308,6,15)&gt;$T$303)),0,IF(DATE($C308,6,15)&gt;=$X$303,$AA$303*(1+($U$303)/100)^MAX(0,$C308-$AD$303),IF(DATE($C308,6,15)&gt;=$W$303,$Z$303*(1+($U$303)/100)^MAX(0,$C308-$AC$303),IF(DATE($C308,6,15)&gt;=$V$303,$Y$303*(1+($U$303)/100)^MAX(0,$C308-$AB$303),0)))))</f>
      </c>
      <c r="K308" s="43">
        <f>IF($S$303=0,0,IF(OR(DATE($C308,7,15)&lt;$S$303,AND($T$303&gt;0,DATE($C308,7,15)&gt;$T$303)),0,IF(DATE($C308,7,15)&gt;=$X$303,$AA$303*(1+($U$303)/100)^MAX(0,$C308-$AD$303),IF(DATE($C308,7,15)&gt;=$W$303,$Z$303*(1+($U$303)/100)^MAX(0,$C308-$AC$303),IF(DATE($C308,7,15)&gt;=$V$303,$Y$303*(1+($U$303)/100)^MAX(0,$C308-$AB$303),0)))))</f>
      </c>
      <c r="L308" s="43">
        <f>IF($S$303=0,0,IF(OR(DATE($C308,8,15)&lt;$S$303,AND($T$303&gt;0,DATE($C308,8,15)&gt;$T$303)),0,IF(DATE($C308,8,15)&gt;=$X$303,$AA$303*(1+($U$303)/100)^MAX(0,$C308-$AD$303),IF(DATE($C308,8,15)&gt;=$W$303,$Z$303*(1+($U$303)/100)^MAX(0,$C308-$AC$303),IF(DATE($C308,8,15)&gt;=$V$303,$Y$303*(1+($U$303)/100)^MAX(0,$C308-$AB$303),0)))))</f>
      </c>
      <c r="M308" s="43">
        <f>IF($S$303=0,0,IF(OR(DATE($C308,9,15)&lt;$S$303,AND($T$303&gt;0,DATE($C308,9,15)&gt;$T$303)),0,IF(DATE($C308,9,15)&gt;=$X$303,$AA$303*(1+($U$303)/100)^MAX(0,$C308-$AD$303),IF(DATE($C308,9,15)&gt;=$W$303,$Z$303*(1+($U$303)/100)^MAX(0,$C308-$AC$303),IF(DATE($C308,9,15)&gt;=$V$303,$Y$303*(1+($U$303)/100)^MAX(0,$C308-$AB$303),0)))))</f>
      </c>
      <c r="N308" s="43">
        <f>IF($S$303=0,0,IF(OR(DATE($C308,10,15)&lt;$S$303,AND($T$303&gt;0,DATE($C308,10,15)&gt;$T$303)),0,IF(DATE($C308,10,15)&gt;=$X$303,$AA$303*(1+($U$303)/100)^MAX(0,$C308-$AD$303),IF(DATE($C308,10,15)&gt;=$W$303,$Z$303*(1+($U$303)/100)^MAX(0,$C308-$AC$303),IF(DATE($C308,10,15)&gt;=$V$303,$Y$303*(1+($U$303)/100)^MAX(0,$C308-$AB$303),0)))))</f>
      </c>
      <c r="O308" s="43">
        <f>IF($S$303=0,0,IF(OR(DATE($C308,11,15)&lt;$S$303,AND($T$303&gt;0,DATE($C308,11,15)&gt;$T$303)),0,IF(DATE($C308,11,15)&gt;=$X$303,$AA$303*(1+($U$303)/100)^MAX(0,$C308-$AD$303),IF(DATE($C308,11,15)&gt;=$W$303,$Z$303*(1+($U$303)/100)^MAX(0,$C308-$AC$303),IF(DATE($C308,11,15)&gt;=$V$303,$Y$303*(1+($U$303)/100)^MAX(0,$C308-$AB$303),0)))))</f>
      </c>
      <c r="P308" s="43">
        <f>IF($S$303=0,0,IF(OR(DATE($C308,12,15)&lt;$S$303,AND($T$303&gt;0,DATE($C308,12,15)&gt;$T$303)),0,IF(DATE($C308,12,15)&gt;=$X$303,$AA$303*(1+($U$303)/100)^MAX(0,$C308-$AD$303),IF(DATE($C308,12,15)&gt;=$W$303,$Z$303*(1+($U$303)/100)^MAX(0,$C308-$AC$303),IF(DATE($C308,12,15)&gt;=$V$303,$Y$303*(1+($U$303)/100)^MAX(0,$C308-$AB$303),0)))))</f>
      </c>
      <c r="Q308" s="43">
        <f>SUM($E308:$P308)</f>
      </c>
    </row>
    <row r="309">
      <c r="A309"/>
      <c r="B309">
        <v>10</v>
      </c>
      <c r="C309" s="43">
        <f>Jahr+6</f>
      </c>
      <c r="D309" s="43">
        <f>INDEX(MvObj,10)</f>
      </c>
      <c r="E309" s="43">
        <f>IF($S$303=0,0,IF(OR(DATE($C309,1,15)&lt;$S$303,AND($T$303&gt;0,DATE($C309,1,15)&gt;$T$303)),0,IF(DATE($C309,1,15)&gt;=$X$303,$AA$303*(1+($U$303)/100)^MAX(0,$C309-$AD$303),IF(DATE($C309,1,15)&gt;=$W$303,$Z$303*(1+($U$303)/100)^MAX(0,$C309-$AC$303),IF(DATE($C309,1,15)&gt;=$V$303,$Y$303*(1+($U$303)/100)^MAX(0,$C309-$AB$303),0)))))</f>
      </c>
      <c r="F309" s="43">
        <f>IF($S$303=0,0,IF(OR(DATE($C309,2,15)&lt;$S$303,AND($T$303&gt;0,DATE($C309,2,15)&gt;$T$303)),0,IF(DATE($C309,2,15)&gt;=$X$303,$AA$303*(1+($U$303)/100)^MAX(0,$C309-$AD$303),IF(DATE($C309,2,15)&gt;=$W$303,$Z$303*(1+($U$303)/100)^MAX(0,$C309-$AC$303),IF(DATE($C309,2,15)&gt;=$V$303,$Y$303*(1+($U$303)/100)^MAX(0,$C309-$AB$303),0)))))</f>
      </c>
      <c r="G309" s="43">
        <f>IF($S$303=0,0,IF(OR(DATE($C309,3,15)&lt;$S$303,AND($T$303&gt;0,DATE($C309,3,15)&gt;$T$303)),0,IF(DATE($C309,3,15)&gt;=$X$303,$AA$303*(1+($U$303)/100)^MAX(0,$C309-$AD$303),IF(DATE($C309,3,15)&gt;=$W$303,$Z$303*(1+($U$303)/100)^MAX(0,$C309-$AC$303),IF(DATE($C309,3,15)&gt;=$V$303,$Y$303*(1+($U$303)/100)^MAX(0,$C309-$AB$303),0)))))</f>
      </c>
      <c r="H309" s="43">
        <f>IF($S$303=0,0,IF(OR(DATE($C309,4,15)&lt;$S$303,AND($T$303&gt;0,DATE($C309,4,15)&gt;$T$303)),0,IF(DATE($C309,4,15)&gt;=$X$303,$AA$303*(1+($U$303)/100)^MAX(0,$C309-$AD$303),IF(DATE($C309,4,15)&gt;=$W$303,$Z$303*(1+($U$303)/100)^MAX(0,$C309-$AC$303),IF(DATE($C309,4,15)&gt;=$V$303,$Y$303*(1+($U$303)/100)^MAX(0,$C309-$AB$303),0)))))</f>
      </c>
      <c r="I309" s="43">
        <f>IF($S$303=0,0,IF(OR(DATE($C309,5,15)&lt;$S$303,AND($T$303&gt;0,DATE($C309,5,15)&gt;$T$303)),0,IF(DATE($C309,5,15)&gt;=$X$303,$AA$303*(1+($U$303)/100)^MAX(0,$C309-$AD$303),IF(DATE($C309,5,15)&gt;=$W$303,$Z$303*(1+($U$303)/100)^MAX(0,$C309-$AC$303),IF(DATE($C309,5,15)&gt;=$V$303,$Y$303*(1+($U$303)/100)^MAX(0,$C309-$AB$303),0)))))</f>
      </c>
      <c r="J309" s="43">
        <f>IF($S$303=0,0,IF(OR(DATE($C309,6,15)&lt;$S$303,AND($T$303&gt;0,DATE($C309,6,15)&gt;$T$303)),0,IF(DATE($C309,6,15)&gt;=$X$303,$AA$303*(1+($U$303)/100)^MAX(0,$C309-$AD$303),IF(DATE($C309,6,15)&gt;=$W$303,$Z$303*(1+($U$303)/100)^MAX(0,$C309-$AC$303),IF(DATE($C309,6,15)&gt;=$V$303,$Y$303*(1+($U$303)/100)^MAX(0,$C309-$AB$303),0)))))</f>
      </c>
      <c r="K309" s="43">
        <f>IF($S$303=0,0,IF(OR(DATE($C309,7,15)&lt;$S$303,AND($T$303&gt;0,DATE($C309,7,15)&gt;$T$303)),0,IF(DATE($C309,7,15)&gt;=$X$303,$AA$303*(1+($U$303)/100)^MAX(0,$C309-$AD$303),IF(DATE($C309,7,15)&gt;=$W$303,$Z$303*(1+($U$303)/100)^MAX(0,$C309-$AC$303),IF(DATE($C309,7,15)&gt;=$V$303,$Y$303*(1+($U$303)/100)^MAX(0,$C309-$AB$303),0)))))</f>
      </c>
      <c r="L309" s="43">
        <f>IF($S$303=0,0,IF(OR(DATE($C309,8,15)&lt;$S$303,AND($T$303&gt;0,DATE($C309,8,15)&gt;$T$303)),0,IF(DATE($C309,8,15)&gt;=$X$303,$AA$303*(1+($U$303)/100)^MAX(0,$C309-$AD$303),IF(DATE($C309,8,15)&gt;=$W$303,$Z$303*(1+($U$303)/100)^MAX(0,$C309-$AC$303),IF(DATE($C309,8,15)&gt;=$V$303,$Y$303*(1+($U$303)/100)^MAX(0,$C309-$AB$303),0)))))</f>
      </c>
      <c r="M309" s="43">
        <f>IF($S$303=0,0,IF(OR(DATE($C309,9,15)&lt;$S$303,AND($T$303&gt;0,DATE($C309,9,15)&gt;$T$303)),0,IF(DATE($C309,9,15)&gt;=$X$303,$AA$303*(1+($U$303)/100)^MAX(0,$C309-$AD$303),IF(DATE($C309,9,15)&gt;=$W$303,$Z$303*(1+($U$303)/100)^MAX(0,$C309-$AC$303),IF(DATE($C309,9,15)&gt;=$V$303,$Y$303*(1+($U$303)/100)^MAX(0,$C309-$AB$303),0)))))</f>
      </c>
      <c r="N309" s="43">
        <f>IF($S$303=0,0,IF(OR(DATE($C309,10,15)&lt;$S$303,AND($T$303&gt;0,DATE($C309,10,15)&gt;$T$303)),0,IF(DATE($C309,10,15)&gt;=$X$303,$AA$303*(1+($U$303)/100)^MAX(0,$C309-$AD$303),IF(DATE($C309,10,15)&gt;=$W$303,$Z$303*(1+($U$303)/100)^MAX(0,$C309-$AC$303),IF(DATE($C309,10,15)&gt;=$V$303,$Y$303*(1+($U$303)/100)^MAX(0,$C309-$AB$303),0)))))</f>
      </c>
      <c r="O309" s="43">
        <f>IF($S$303=0,0,IF(OR(DATE($C309,11,15)&lt;$S$303,AND($T$303&gt;0,DATE($C309,11,15)&gt;$T$303)),0,IF(DATE($C309,11,15)&gt;=$X$303,$AA$303*(1+($U$303)/100)^MAX(0,$C309-$AD$303),IF(DATE($C309,11,15)&gt;=$W$303,$Z$303*(1+($U$303)/100)^MAX(0,$C309-$AC$303),IF(DATE($C309,11,15)&gt;=$V$303,$Y$303*(1+($U$303)/100)^MAX(0,$C309-$AB$303),0)))))</f>
      </c>
      <c r="P309" s="43">
        <f>IF($S$303=0,0,IF(OR(DATE($C309,12,15)&lt;$S$303,AND($T$303&gt;0,DATE($C309,12,15)&gt;$T$303)),0,IF(DATE($C309,12,15)&gt;=$X$303,$AA$303*(1+($U$303)/100)^MAX(0,$C309-$AD$303),IF(DATE($C309,12,15)&gt;=$W$303,$Z$303*(1+($U$303)/100)^MAX(0,$C309-$AC$303),IF(DATE($C309,12,15)&gt;=$V$303,$Y$303*(1+($U$303)/100)^MAX(0,$C309-$AB$303),0)))))</f>
      </c>
      <c r="Q309" s="43">
        <f>SUM($E309:$P309)</f>
      </c>
    </row>
    <row r="310">
      <c r="A310"/>
      <c r="B310">
        <v>10</v>
      </c>
      <c r="C310" s="43">
        <f>Jahr+7</f>
      </c>
      <c r="D310" s="43">
        <f>INDEX(MvObj,10)</f>
      </c>
      <c r="E310" s="43">
        <f>IF($S$303=0,0,IF(OR(DATE($C310,1,15)&lt;$S$303,AND($T$303&gt;0,DATE($C310,1,15)&gt;$T$303)),0,IF(DATE($C310,1,15)&gt;=$X$303,$AA$303*(1+($U$303)/100)^MAX(0,$C310-$AD$303),IF(DATE($C310,1,15)&gt;=$W$303,$Z$303*(1+($U$303)/100)^MAX(0,$C310-$AC$303),IF(DATE($C310,1,15)&gt;=$V$303,$Y$303*(1+($U$303)/100)^MAX(0,$C310-$AB$303),0)))))</f>
      </c>
      <c r="F310" s="43">
        <f>IF($S$303=0,0,IF(OR(DATE($C310,2,15)&lt;$S$303,AND($T$303&gt;0,DATE($C310,2,15)&gt;$T$303)),0,IF(DATE($C310,2,15)&gt;=$X$303,$AA$303*(1+($U$303)/100)^MAX(0,$C310-$AD$303),IF(DATE($C310,2,15)&gt;=$W$303,$Z$303*(1+($U$303)/100)^MAX(0,$C310-$AC$303),IF(DATE($C310,2,15)&gt;=$V$303,$Y$303*(1+($U$303)/100)^MAX(0,$C310-$AB$303),0)))))</f>
      </c>
      <c r="G310" s="43">
        <f>IF($S$303=0,0,IF(OR(DATE($C310,3,15)&lt;$S$303,AND($T$303&gt;0,DATE($C310,3,15)&gt;$T$303)),0,IF(DATE($C310,3,15)&gt;=$X$303,$AA$303*(1+($U$303)/100)^MAX(0,$C310-$AD$303),IF(DATE($C310,3,15)&gt;=$W$303,$Z$303*(1+($U$303)/100)^MAX(0,$C310-$AC$303),IF(DATE($C310,3,15)&gt;=$V$303,$Y$303*(1+($U$303)/100)^MAX(0,$C310-$AB$303),0)))))</f>
      </c>
      <c r="H310" s="43">
        <f>IF($S$303=0,0,IF(OR(DATE($C310,4,15)&lt;$S$303,AND($T$303&gt;0,DATE($C310,4,15)&gt;$T$303)),0,IF(DATE($C310,4,15)&gt;=$X$303,$AA$303*(1+($U$303)/100)^MAX(0,$C310-$AD$303),IF(DATE($C310,4,15)&gt;=$W$303,$Z$303*(1+($U$303)/100)^MAX(0,$C310-$AC$303),IF(DATE($C310,4,15)&gt;=$V$303,$Y$303*(1+($U$303)/100)^MAX(0,$C310-$AB$303),0)))))</f>
      </c>
      <c r="I310" s="43">
        <f>IF($S$303=0,0,IF(OR(DATE($C310,5,15)&lt;$S$303,AND($T$303&gt;0,DATE($C310,5,15)&gt;$T$303)),0,IF(DATE($C310,5,15)&gt;=$X$303,$AA$303*(1+($U$303)/100)^MAX(0,$C310-$AD$303),IF(DATE($C310,5,15)&gt;=$W$303,$Z$303*(1+($U$303)/100)^MAX(0,$C310-$AC$303),IF(DATE($C310,5,15)&gt;=$V$303,$Y$303*(1+($U$303)/100)^MAX(0,$C310-$AB$303),0)))))</f>
      </c>
      <c r="J310" s="43">
        <f>IF($S$303=0,0,IF(OR(DATE($C310,6,15)&lt;$S$303,AND($T$303&gt;0,DATE($C310,6,15)&gt;$T$303)),0,IF(DATE($C310,6,15)&gt;=$X$303,$AA$303*(1+($U$303)/100)^MAX(0,$C310-$AD$303),IF(DATE($C310,6,15)&gt;=$W$303,$Z$303*(1+($U$303)/100)^MAX(0,$C310-$AC$303),IF(DATE($C310,6,15)&gt;=$V$303,$Y$303*(1+($U$303)/100)^MAX(0,$C310-$AB$303),0)))))</f>
      </c>
      <c r="K310" s="43">
        <f>IF($S$303=0,0,IF(OR(DATE($C310,7,15)&lt;$S$303,AND($T$303&gt;0,DATE($C310,7,15)&gt;$T$303)),0,IF(DATE($C310,7,15)&gt;=$X$303,$AA$303*(1+($U$303)/100)^MAX(0,$C310-$AD$303),IF(DATE($C310,7,15)&gt;=$W$303,$Z$303*(1+($U$303)/100)^MAX(0,$C310-$AC$303),IF(DATE($C310,7,15)&gt;=$V$303,$Y$303*(1+($U$303)/100)^MAX(0,$C310-$AB$303),0)))))</f>
      </c>
      <c r="L310" s="43">
        <f>IF($S$303=0,0,IF(OR(DATE($C310,8,15)&lt;$S$303,AND($T$303&gt;0,DATE($C310,8,15)&gt;$T$303)),0,IF(DATE($C310,8,15)&gt;=$X$303,$AA$303*(1+($U$303)/100)^MAX(0,$C310-$AD$303),IF(DATE($C310,8,15)&gt;=$W$303,$Z$303*(1+($U$303)/100)^MAX(0,$C310-$AC$303),IF(DATE($C310,8,15)&gt;=$V$303,$Y$303*(1+($U$303)/100)^MAX(0,$C310-$AB$303),0)))))</f>
      </c>
      <c r="M310" s="43">
        <f>IF($S$303=0,0,IF(OR(DATE($C310,9,15)&lt;$S$303,AND($T$303&gt;0,DATE($C310,9,15)&gt;$T$303)),0,IF(DATE($C310,9,15)&gt;=$X$303,$AA$303*(1+($U$303)/100)^MAX(0,$C310-$AD$303),IF(DATE($C310,9,15)&gt;=$W$303,$Z$303*(1+($U$303)/100)^MAX(0,$C310-$AC$303),IF(DATE($C310,9,15)&gt;=$V$303,$Y$303*(1+($U$303)/100)^MAX(0,$C310-$AB$303),0)))))</f>
      </c>
      <c r="N310" s="43">
        <f>IF($S$303=0,0,IF(OR(DATE($C310,10,15)&lt;$S$303,AND($T$303&gt;0,DATE($C310,10,15)&gt;$T$303)),0,IF(DATE($C310,10,15)&gt;=$X$303,$AA$303*(1+($U$303)/100)^MAX(0,$C310-$AD$303),IF(DATE($C310,10,15)&gt;=$W$303,$Z$303*(1+($U$303)/100)^MAX(0,$C310-$AC$303),IF(DATE($C310,10,15)&gt;=$V$303,$Y$303*(1+($U$303)/100)^MAX(0,$C310-$AB$303),0)))))</f>
      </c>
      <c r="O310" s="43">
        <f>IF($S$303=0,0,IF(OR(DATE($C310,11,15)&lt;$S$303,AND($T$303&gt;0,DATE($C310,11,15)&gt;$T$303)),0,IF(DATE($C310,11,15)&gt;=$X$303,$AA$303*(1+($U$303)/100)^MAX(0,$C310-$AD$303),IF(DATE($C310,11,15)&gt;=$W$303,$Z$303*(1+($U$303)/100)^MAX(0,$C310-$AC$303),IF(DATE($C310,11,15)&gt;=$V$303,$Y$303*(1+($U$303)/100)^MAX(0,$C310-$AB$303),0)))))</f>
      </c>
      <c r="P310" s="43">
        <f>IF($S$303=0,0,IF(OR(DATE($C310,12,15)&lt;$S$303,AND($T$303&gt;0,DATE($C310,12,15)&gt;$T$303)),0,IF(DATE($C310,12,15)&gt;=$X$303,$AA$303*(1+($U$303)/100)^MAX(0,$C310-$AD$303),IF(DATE($C310,12,15)&gt;=$W$303,$Z$303*(1+($U$303)/100)^MAX(0,$C310-$AC$303),IF(DATE($C310,12,15)&gt;=$V$303,$Y$303*(1+($U$303)/100)^MAX(0,$C310-$AB$303),0)))))</f>
      </c>
      <c r="Q310" s="43">
        <f>SUM($E310:$P310)</f>
      </c>
    </row>
    <row r="311">
      <c r="A311"/>
      <c r="B311">
        <v>10</v>
      </c>
      <c r="C311" s="43">
        <f>Jahr+8</f>
      </c>
      <c r="D311" s="43">
        <f>INDEX(MvObj,10)</f>
      </c>
      <c r="E311" s="43">
        <f>IF($S$303=0,0,IF(OR(DATE($C311,1,15)&lt;$S$303,AND($T$303&gt;0,DATE($C311,1,15)&gt;$T$303)),0,IF(DATE($C311,1,15)&gt;=$X$303,$AA$303*(1+($U$303)/100)^MAX(0,$C311-$AD$303),IF(DATE($C311,1,15)&gt;=$W$303,$Z$303*(1+($U$303)/100)^MAX(0,$C311-$AC$303),IF(DATE($C311,1,15)&gt;=$V$303,$Y$303*(1+($U$303)/100)^MAX(0,$C311-$AB$303),0)))))</f>
      </c>
      <c r="F311" s="43">
        <f>IF($S$303=0,0,IF(OR(DATE($C311,2,15)&lt;$S$303,AND($T$303&gt;0,DATE($C311,2,15)&gt;$T$303)),0,IF(DATE($C311,2,15)&gt;=$X$303,$AA$303*(1+($U$303)/100)^MAX(0,$C311-$AD$303),IF(DATE($C311,2,15)&gt;=$W$303,$Z$303*(1+($U$303)/100)^MAX(0,$C311-$AC$303),IF(DATE($C311,2,15)&gt;=$V$303,$Y$303*(1+($U$303)/100)^MAX(0,$C311-$AB$303),0)))))</f>
      </c>
      <c r="G311" s="43">
        <f>IF($S$303=0,0,IF(OR(DATE($C311,3,15)&lt;$S$303,AND($T$303&gt;0,DATE($C311,3,15)&gt;$T$303)),0,IF(DATE($C311,3,15)&gt;=$X$303,$AA$303*(1+($U$303)/100)^MAX(0,$C311-$AD$303),IF(DATE($C311,3,15)&gt;=$W$303,$Z$303*(1+($U$303)/100)^MAX(0,$C311-$AC$303),IF(DATE($C311,3,15)&gt;=$V$303,$Y$303*(1+($U$303)/100)^MAX(0,$C311-$AB$303),0)))))</f>
      </c>
      <c r="H311" s="43">
        <f>IF($S$303=0,0,IF(OR(DATE($C311,4,15)&lt;$S$303,AND($T$303&gt;0,DATE($C311,4,15)&gt;$T$303)),0,IF(DATE($C311,4,15)&gt;=$X$303,$AA$303*(1+($U$303)/100)^MAX(0,$C311-$AD$303),IF(DATE($C311,4,15)&gt;=$W$303,$Z$303*(1+($U$303)/100)^MAX(0,$C311-$AC$303),IF(DATE($C311,4,15)&gt;=$V$303,$Y$303*(1+($U$303)/100)^MAX(0,$C311-$AB$303),0)))))</f>
      </c>
      <c r="I311" s="43">
        <f>IF($S$303=0,0,IF(OR(DATE($C311,5,15)&lt;$S$303,AND($T$303&gt;0,DATE($C311,5,15)&gt;$T$303)),0,IF(DATE($C311,5,15)&gt;=$X$303,$AA$303*(1+($U$303)/100)^MAX(0,$C311-$AD$303),IF(DATE($C311,5,15)&gt;=$W$303,$Z$303*(1+($U$303)/100)^MAX(0,$C311-$AC$303),IF(DATE($C311,5,15)&gt;=$V$303,$Y$303*(1+($U$303)/100)^MAX(0,$C311-$AB$303),0)))))</f>
      </c>
      <c r="J311" s="43">
        <f>IF($S$303=0,0,IF(OR(DATE($C311,6,15)&lt;$S$303,AND($T$303&gt;0,DATE($C311,6,15)&gt;$T$303)),0,IF(DATE($C311,6,15)&gt;=$X$303,$AA$303*(1+($U$303)/100)^MAX(0,$C311-$AD$303),IF(DATE($C311,6,15)&gt;=$W$303,$Z$303*(1+($U$303)/100)^MAX(0,$C311-$AC$303),IF(DATE($C311,6,15)&gt;=$V$303,$Y$303*(1+($U$303)/100)^MAX(0,$C311-$AB$303),0)))))</f>
      </c>
      <c r="K311" s="43">
        <f>IF($S$303=0,0,IF(OR(DATE($C311,7,15)&lt;$S$303,AND($T$303&gt;0,DATE($C311,7,15)&gt;$T$303)),0,IF(DATE($C311,7,15)&gt;=$X$303,$AA$303*(1+($U$303)/100)^MAX(0,$C311-$AD$303),IF(DATE($C311,7,15)&gt;=$W$303,$Z$303*(1+($U$303)/100)^MAX(0,$C311-$AC$303),IF(DATE($C311,7,15)&gt;=$V$303,$Y$303*(1+($U$303)/100)^MAX(0,$C311-$AB$303),0)))))</f>
      </c>
      <c r="L311" s="43">
        <f>IF($S$303=0,0,IF(OR(DATE($C311,8,15)&lt;$S$303,AND($T$303&gt;0,DATE($C311,8,15)&gt;$T$303)),0,IF(DATE($C311,8,15)&gt;=$X$303,$AA$303*(1+($U$303)/100)^MAX(0,$C311-$AD$303),IF(DATE($C311,8,15)&gt;=$W$303,$Z$303*(1+($U$303)/100)^MAX(0,$C311-$AC$303),IF(DATE($C311,8,15)&gt;=$V$303,$Y$303*(1+($U$303)/100)^MAX(0,$C311-$AB$303),0)))))</f>
      </c>
      <c r="M311" s="43">
        <f>IF($S$303=0,0,IF(OR(DATE($C311,9,15)&lt;$S$303,AND($T$303&gt;0,DATE($C311,9,15)&gt;$T$303)),0,IF(DATE($C311,9,15)&gt;=$X$303,$AA$303*(1+($U$303)/100)^MAX(0,$C311-$AD$303),IF(DATE($C311,9,15)&gt;=$W$303,$Z$303*(1+($U$303)/100)^MAX(0,$C311-$AC$303),IF(DATE($C311,9,15)&gt;=$V$303,$Y$303*(1+($U$303)/100)^MAX(0,$C311-$AB$303),0)))))</f>
      </c>
      <c r="N311" s="43">
        <f>IF($S$303=0,0,IF(OR(DATE($C311,10,15)&lt;$S$303,AND($T$303&gt;0,DATE($C311,10,15)&gt;$T$303)),0,IF(DATE($C311,10,15)&gt;=$X$303,$AA$303*(1+($U$303)/100)^MAX(0,$C311-$AD$303),IF(DATE($C311,10,15)&gt;=$W$303,$Z$303*(1+($U$303)/100)^MAX(0,$C311-$AC$303),IF(DATE($C311,10,15)&gt;=$V$303,$Y$303*(1+($U$303)/100)^MAX(0,$C311-$AB$303),0)))))</f>
      </c>
      <c r="O311" s="43">
        <f>IF($S$303=0,0,IF(OR(DATE($C311,11,15)&lt;$S$303,AND($T$303&gt;0,DATE($C311,11,15)&gt;$T$303)),0,IF(DATE($C311,11,15)&gt;=$X$303,$AA$303*(1+($U$303)/100)^MAX(0,$C311-$AD$303),IF(DATE($C311,11,15)&gt;=$W$303,$Z$303*(1+($U$303)/100)^MAX(0,$C311-$AC$303),IF(DATE($C311,11,15)&gt;=$V$303,$Y$303*(1+($U$303)/100)^MAX(0,$C311-$AB$303),0)))))</f>
      </c>
      <c r="P311" s="43">
        <f>IF($S$303=0,0,IF(OR(DATE($C311,12,15)&lt;$S$303,AND($T$303&gt;0,DATE($C311,12,15)&gt;$T$303)),0,IF(DATE($C311,12,15)&gt;=$X$303,$AA$303*(1+($U$303)/100)^MAX(0,$C311-$AD$303),IF(DATE($C311,12,15)&gt;=$W$303,$Z$303*(1+($U$303)/100)^MAX(0,$C311-$AC$303),IF(DATE($C311,12,15)&gt;=$V$303,$Y$303*(1+($U$303)/100)^MAX(0,$C311-$AB$303),0)))))</f>
      </c>
      <c r="Q311" s="43">
        <f>SUM($E311:$P311)</f>
      </c>
    </row>
    <row r="312">
      <c r="A312"/>
      <c r="B312">
        <v>10</v>
      </c>
      <c r="C312" s="43">
        <f>Jahr+9</f>
      </c>
      <c r="D312" s="43">
        <f>INDEX(MvObj,10)</f>
      </c>
      <c r="E312" s="43">
        <f>IF($S$303=0,0,IF(OR(DATE($C312,1,15)&lt;$S$303,AND($T$303&gt;0,DATE($C312,1,15)&gt;$T$303)),0,IF(DATE($C312,1,15)&gt;=$X$303,$AA$303*(1+($U$303)/100)^MAX(0,$C312-$AD$303),IF(DATE($C312,1,15)&gt;=$W$303,$Z$303*(1+($U$303)/100)^MAX(0,$C312-$AC$303),IF(DATE($C312,1,15)&gt;=$V$303,$Y$303*(1+($U$303)/100)^MAX(0,$C312-$AB$303),0)))))</f>
      </c>
      <c r="F312" s="43">
        <f>IF($S$303=0,0,IF(OR(DATE($C312,2,15)&lt;$S$303,AND($T$303&gt;0,DATE($C312,2,15)&gt;$T$303)),0,IF(DATE($C312,2,15)&gt;=$X$303,$AA$303*(1+($U$303)/100)^MAX(0,$C312-$AD$303),IF(DATE($C312,2,15)&gt;=$W$303,$Z$303*(1+($U$303)/100)^MAX(0,$C312-$AC$303),IF(DATE($C312,2,15)&gt;=$V$303,$Y$303*(1+($U$303)/100)^MAX(0,$C312-$AB$303),0)))))</f>
      </c>
      <c r="G312" s="43">
        <f>IF($S$303=0,0,IF(OR(DATE($C312,3,15)&lt;$S$303,AND($T$303&gt;0,DATE($C312,3,15)&gt;$T$303)),0,IF(DATE($C312,3,15)&gt;=$X$303,$AA$303*(1+($U$303)/100)^MAX(0,$C312-$AD$303),IF(DATE($C312,3,15)&gt;=$W$303,$Z$303*(1+($U$303)/100)^MAX(0,$C312-$AC$303),IF(DATE($C312,3,15)&gt;=$V$303,$Y$303*(1+($U$303)/100)^MAX(0,$C312-$AB$303),0)))))</f>
      </c>
      <c r="H312" s="43">
        <f>IF($S$303=0,0,IF(OR(DATE($C312,4,15)&lt;$S$303,AND($T$303&gt;0,DATE($C312,4,15)&gt;$T$303)),0,IF(DATE($C312,4,15)&gt;=$X$303,$AA$303*(1+($U$303)/100)^MAX(0,$C312-$AD$303),IF(DATE($C312,4,15)&gt;=$W$303,$Z$303*(1+($U$303)/100)^MAX(0,$C312-$AC$303),IF(DATE($C312,4,15)&gt;=$V$303,$Y$303*(1+($U$303)/100)^MAX(0,$C312-$AB$303),0)))))</f>
      </c>
      <c r="I312" s="43">
        <f>IF($S$303=0,0,IF(OR(DATE($C312,5,15)&lt;$S$303,AND($T$303&gt;0,DATE($C312,5,15)&gt;$T$303)),0,IF(DATE($C312,5,15)&gt;=$X$303,$AA$303*(1+($U$303)/100)^MAX(0,$C312-$AD$303),IF(DATE($C312,5,15)&gt;=$W$303,$Z$303*(1+($U$303)/100)^MAX(0,$C312-$AC$303),IF(DATE($C312,5,15)&gt;=$V$303,$Y$303*(1+($U$303)/100)^MAX(0,$C312-$AB$303),0)))))</f>
      </c>
      <c r="J312" s="43">
        <f>IF($S$303=0,0,IF(OR(DATE($C312,6,15)&lt;$S$303,AND($T$303&gt;0,DATE($C312,6,15)&gt;$T$303)),0,IF(DATE($C312,6,15)&gt;=$X$303,$AA$303*(1+($U$303)/100)^MAX(0,$C312-$AD$303),IF(DATE($C312,6,15)&gt;=$W$303,$Z$303*(1+($U$303)/100)^MAX(0,$C312-$AC$303),IF(DATE($C312,6,15)&gt;=$V$303,$Y$303*(1+($U$303)/100)^MAX(0,$C312-$AB$303),0)))))</f>
      </c>
      <c r="K312" s="43">
        <f>IF($S$303=0,0,IF(OR(DATE($C312,7,15)&lt;$S$303,AND($T$303&gt;0,DATE($C312,7,15)&gt;$T$303)),0,IF(DATE($C312,7,15)&gt;=$X$303,$AA$303*(1+($U$303)/100)^MAX(0,$C312-$AD$303),IF(DATE($C312,7,15)&gt;=$W$303,$Z$303*(1+($U$303)/100)^MAX(0,$C312-$AC$303),IF(DATE($C312,7,15)&gt;=$V$303,$Y$303*(1+($U$303)/100)^MAX(0,$C312-$AB$303),0)))))</f>
      </c>
      <c r="L312" s="43">
        <f>IF($S$303=0,0,IF(OR(DATE($C312,8,15)&lt;$S$303,AND($T$303&gt;0,DATE($C312,8,15)&gt;$T$303)),0,IF(DATE($C312,8,15)&gt;=$X$303,$AA$303*(1+($U$303)/100)^MAX(0,$C312-$AD$303),IF(DATE($C312,8,15)&gt;=$W$303,$Z$303*(1+($U$303)/100)^MAX(0,$C312-$AC$303),IF(DATE($C312,8,15)&gt;=$V$303,$Y$303*(1+($U$303)/100)^MAX(0,$C312-$AB$303),0)))))</f>
      </c>
      <c r="M312" s="43">
        <f>IF($S$303=0,0,IF(OR(DATE($C312,9,15)&lt;$S$303,AND($T$303&gt;0,DATE($C312,9,15)&gt;$T$303)),0,IF(DATE($C312,9,15)&gt;=$X$303,$AA$303*(1+($U$303)/100)^MAX(0,$C312-$AD$303),IF(DATE($C312,9,15)&gt;=$W$303,$Z$303*(1+($U$303)/100)^MAX(0,$C312-$AC$303),IF(DATE($C312,9,15)&gt;=$V$303,$Y$303*(1+($U$303)/100)^MAX(0,$C312-$AB$303),0)))))</f>
      </c>
      <c r="N312" s="43">
        <f>IF($S$303=0,0,IF(OR(DATE($C312,10,15)&lt;$S$303,AND($T$303&gt;0,DATE($C312,10,15)&gt;$T$303)),0,IF(DATE($C312,10,15)&gt;=$X$303,$AA$303*(1+($U$303)/100)^MAX(0,$C312-$AD$303),IF(DATE($C312,10,15)&gt;=$W$303,$Z$303*(1+($U$303)/100)^MAX(0,$C312-$AC$303),IF(DATE($C312,10,15)&gt;=$V$303,$Y$303*(1+($U$303)/100)^MAX(0,$C312-$AB$303),0)))))</f>
      </c>
      <c r="O312" s="43">
        <f>IF($S$303=0,0,IF(OR(DATE($C312,11,15)&lt;$S$303,AND($T$303&gt;0,DATE($C312,11,15)&gt;$T$303)),0,IF(DATE($C312,11,15)&gt;=$X$303,$AA$303*(1+($U$303)/100)^MAX(0,$C312-$AD$303),IF(DATE($C312,11,15)&gt;=$W$303,$Z$303*(1+($U$303)/100)^MAX(0,$C312-$AC$303),IF(DATE($C312,11,15)&gt;=$V$303,$Y$303*(1+($U$303)/100)^MAX(0,$C312-$AB$303),0)))))</f>
      </c>
      <c r="P312" s="43">
        <f>IF($S$303=0,0,IF(OR(DATE($C312,12,15)&lt;$S$303,AND($T$303&gt;0,DATE($C312,12,15)&gt;$T$303)),0,IF(DATE($C312,12,15)&gt;=$X$303,$AA$303*(1+($U$303)/100)^MAX(0,$C312-$AD$303),IF(DATE($C312,12,15)&gt;=$W$303,$Z$303*(1+($U$303)/100)^MAX(0,$C312-$AC$303),IF(DATE($C312,12,15)&gt;=$V$303,$Y$303*(1+($U$303)/100)^MAX(0,$C312-$AB$303),0)))))</f>
      </c>
      <c r="Q312" s="43">
        <f>SUM($E312:$P312)</f>
      </c>
    </row>
    <row r="313">
      <c r="A313"/>
      <c r="B313">
        <v>10</v>
      </c>
      <c r="C313" s="43">
        <f>Jahr+10</f>
      </c>
      <c r="D313" s="43">
        <f>INDEX(MvObj,10)</f>
      </c>
      <c r="E313" s="43">
        <f>IF($S$303=0,0,IF(OR(DATE($C313,1,15)&lt;$S$303,AND($T$303&gt;0,DATE($C313,1,15)&gt;$T$303)),0,IF(DATE($C313,1,15)&gt;=$X$303,$AA$303*(1+($U$303)/100)^MAX(0,$C313-$AD$303),IF(DATE($C313,1,15)&gt;=$W$303,$Z$303*(1+($U$303)/100)^MAX(0,$C313-$AC$303),IF(DATE($C313,1,15)&gt;=$V$303,$Y$303*(1+($U$303)/100)^MAX(0,$C313-$AB$303),0)))))</f>
      </c>
      <c r="F313" s="43">
        <f>IF($S$303=0,0,IF(OR(DATE($C313,2,15)&lt;$S$303,AND($T$303&gt;0,DATE($C313,2,15)&gt;$T$303)),0,IF(DATE($C313,2,15)&gt;=$X$303,$AA$303*(1+($U$303)/100)^MAX(0,$C313-$AD$303),IF(DATE($C313,2,15)&gt;=$W$303,$Z$303*(1+($U$303)/100)^MAX(0,$C313-$AC$303),IF(DATE($C313,2,15)&gt;=$V$303,$Y$303*(1+($U$303)/100)^MAX(0,$C313-$AB$303),0)))))</f>
      </c>
      <c r="G313" s="43">
        <f>IF($S$303=0,0,IF(OR(DATE($C313,3,15)&lt;$S$303,AND($T$303&gt;0,DATE($C313,3,15)&gt;$T$303)),0,IF(DATE($C313,3,15)&gt;=$X$303,$AA$303*(1+($U$303)/100)^MAX(0,$C313-$AD$303),IF(DATE($C313,3,15)&gt;=$W$303,$Z$303*(1+($U$303)/100)^MAX(0,$C313-$AC$303),IF(DATE($C313,3,15)&gt;=$V$303,$Y$303*(1+($U$303)/100)^MAX(0,$C313-$AB$303),0)))))</f>
      </c>
      <c r="H313" s="43">
        <f>IF($S$303=0,0,IF(OR(DATE($C313,4,15)&lt;$S$303,AND($T$303&gt;0,DATE($C313,4,15)&gt;$T$303)),0,IF(DATE($C313,4,15)&gt;=$X$303,$AA$303*(1+($U$303)/100)^MAX(0,$C313-$AD$303),IF(DATE($C313,4,15)&gt;=$W$303,$Z$303*(1+($U$303)/100)^MAX(0,$C313-$AC$303),IF(DATE($C313,4,15)&gt;=$V$303,$Y$303*(1+($U$303)/100)^MAX(0,$C313-$AB$303),0)))))</f>
      </c>
      <c r="I313" s="43">
        <f>IF($S$303=0,0,IF(OR(DATE($C313,5,15)&lt;$S$303,AND($T$303&gt;0,DATE($C313,5,15)&gt;$T$303)),0,IF(DATE($C313,5,15)&gt;=$X$303,$AA$303*(1+($U$303)/100)^MAX(0,$C313-$AD$303),IF(DATE($C313,5,15)&gt;=$W$303,$Z$303*(1+($U$303)/100)^MAX(0,$C313-$AC$303),IF(DATE($C313,5,15)&gt;=$V$303,$Y$303*(1+($U$303)/100)^MAX(0,$C313-$AB$303),0)))))</f>
      </c>
      <c r="J313" s="43">
        <f>IF($S$303=0,0,IF(OR(DATE($C313,6,15)&lt;$S$303,AND($T$303&gt;0,DATE($C313,6,15)&gt;$T$303)),0,IF(DATE($C313,6,15)&gt;=$X$303,$AA$303*(1+($U$303)/100)^MAX(0,$C313-$AD$303),IF(DATE($C313,6,15)&gt;=$W$303,$Z$303*(1+($U$303)/100)^MAX(0,$C313-$AC$303),IF(DATE($C313,6,15)&gt;=$V$303,$Y$303*(1+($U$303)/100)^MAX(0,$C313-$AB$303),0)))))</f>
      </c>
      <c r="K313" s="43">
        <f>IF($S$303=0,0,IF(OR(DATE($C313,7,15)&lt;$S$303,AND($T$303&gt;0,DATE($C313,7,15)&gt;$T$303)),0,IF(DATE($C313,7,15)&gt;=$X$303,$AA$303*(1+($U$303)/100)^MAX(0,$C313-$AD$303),IF(DATE($C313,7,15)&gt;=$W$303,$Z$303*(1+($U$303)/100)^MAX(0,$C313-$AC$303),IF(DATE($C313,7,15)&gt;=$V$303,$Y$303*(1+($U$303)/100)^MAX(0,$C313-$AB$303),0)))))</f>
      </c>
      <c r="L313" s="43">
        <f>IF($S$303=0,0,IF(OR(DATE($C313,8,15)&lt;$S$303,AND($T$303&gt;0,DATE($C313,8,15)&gt;$T$303)),0,IF(DATE($C313,8,15)&gt;=$X$303,$AA$303*(1+($U$303)/100)^MAX(0,$C313-$AD$303),IF(DATE($C313,8,15)&gt;=$W$303,$Z$303*(1+($U$303)/100)^MAX(0,$C313-$AC$303),IF(DATE($C313,8,15)&gt;=$V$303,$Y$303*(1+($U$303)/100)^MAX(0,$C313-$AB$303),0)))))</f>
      </c>
      <c r="M313" s="43">
        <f>IF($S$303=0,0,IF(OR(DATE($C313,9,15)&lt;$S$303,AND($T$303&gt;0,DATE($C313,9,15)&gt;$T$303)),0,IF(DATE($C313,9,15)&gt;=$X$303,$AA$303*(1+($U$303)/100)^MAX(0,$C313-$AD$303),IF(DATE($C313,9,15)&gt;=$W$303,$Z$303*(1+($U$303)/100)^MAX(0,$C313-$AC$303),IF(DATE($C313,9,15)&gt;=$V$303,$Y$303*(1+($U$303)/100)^MAX(0,$C313-$AB$303),0)))))</f>
      </c>
      <c r="N313" s="43">
        <f>IF($S$303=0,0,IF(OR(DATE($C313,10,15)&lt;$S$303,AND($T$303&gt;0,DATE($C313,10,15)&gt;$T$303)),0,IF(DATE($C313,10,15)&gt;=$X$303,$AA$303*(1+($U$303)/100)^MAX(0,$C313-$AD$303),IF(DATE($C313,10,15)&gt;=$W$303,$Z$303*(1+($U$303)/100)^MAX(0,$C313-$AC$303),IF(DATE($C313,10,15)&gt;=$V$303,$Y$303*(1+($U$303)/100)^MAX(0,$C313-$AB$303),0)))))</f>
      </c>
      <c r="O313" s="43">
        <f>IF($S$303=0,0,IF(OR(DATE($C313,11,15)&lt;$S$303,AND($T$303&gt;0,DATE($C313,11,15)&gt;$T$303)),0,IF(DATE($C313,11,15)&gt;=$X$303,$AA$303*(1+($U$303)/100)^MAX(0,$C313-$AD$303),IF(DATE($C313,11,15)&gt;=$W$303,$Z$303*(1+($U$303)/100)^MAX(0,$C313-$AC$303),IF(DATE($C313,11,15)&gt;=$V$303,$Y$303*(1+($U$303)/100)^MAX(0,$C313-$AB$303),0)))))</f>
      </c>
      <c r="P313" s="43">
        <f>IF($S$303=0,0,IF(OR(DATE($C313,12,15)&lt;$S$303,AND($T$303&gt;0,DATE($C313,12,15)&gt;$T$303)),0,IF(DATE($C313,12,15)&gt;=$X$303,$AA$303*(1+($U$303)/100)^MAX(0,$C313-$AD$303),IF(DATE($C313,12,15)&gt;=$W$303,$Z$303*(1+($U$303)/100)^MAX(0,$C313-$AC$303),IF(DATE($C313,12,15)&gt;=$V$303,$Y$303*(1+($U$303)/100)^MAX(0,$C313-$AB$303),0)))))</f>
      </c>
      <c r="Q313" s="43">
        <f>SUM($E313:$P313)</f>
      </c>
    </row>
    <row r="314">
      <c r="A314"/>
      <c r="B314">
        <v>10</v>
      </c>
      <c r="C314" s="43">
        <f>Jahr+11</f>
      </c>
      <c r="D314" s="43">
        <f>INDEX(MvObj,10)</f>
      </c>
      <c r="E314" s="43">
        <f>IF($S$303=0,0,IF(OR(DATE($C314,1,15)&lt;$S$303,AND($T$303&gt;0,DATE($C314,1,15)&gt;$T$303)),0,IF(DATE($C314,1,15)&gt;=$X$303,$AA$303*(1+($U$303)/100)^MAX(0,$C314-$AD$303),IF(DATE($C314,1,15)&gt;=$W$303,$Z$303*(1+($U$303)/100)^MAX(0,$C314-$AC$303),IF(DATE($C314,1,15)&gt;=$V$303,$Y$303*(1+($U$303)/100)^MAX(0,$C314-$AB$303),0)))))</f>
      </c>
      <c r="F314" s="43">
        <f>IF($S$303=0,0,IF(OR(DATE($C314,2,15)&lt;$S$303,AND($T$303&gt;0,DATE($C314,2,15)&gt;$T$303)),0,IF(DATE($C314,2,15)&gt;=$X$303,$AA$303*(1+($U$303)/100)^MAX(0,$C314-$AD$303),IF(DATE($C314,2,15)&gt;=$W$303,$Z$303*(1+($U$303)/100)^MAX(0,$C314-$AC$303),IF(DATE($C314,2,15)&gt;=$V$303,$Y$303*(1+($U$303)/100)^MAX(0,$C314-$AB$303),0)))))</f>
      </c>
      <c r="G314" s="43">
        <f>IF($S$303=0,0,IF(OR(DATE($C314,3,15)&lt;$S$303,AND($T$303&gt;0,DATE($C314,3,15)&gt;$T$303)),0,IF(DATE($C314,3,15)&gt;=$X$303,$AA$303*(1+($U$303)/100)^MAX(0,$C314-$AD$303),IF(DATE($C314,3,15)&gt;=$W$303,$Z$303*(1+($U$303)/100)^MAX(0,$C314-$AC$303),IF(DATE($C314,3,15)&gt;=$V$303,$Y$303*(1+($U$303)/100)^MAX(0,$C314-$AB$303),0)))))</f>
      </c>
      <c r="H314" s="43">
        <f>IF($S$303=0,0,IF(OR(DATE($C314,4,15)&lt;$S$303,AND($T$303&gt;0,DATE($C314,4,15)&gt;$T$303)),0,IF(DATE($C314,4,15)&gt;=$X$303,$AA$303*(1+($U$303)/100)^MAX(0,$C314-$AD$303),IF(DATE($C314,4,15)&gt;=$W$303,$Z$303*(1+($U$303)/100)^MAX(0,$C314-$AC$303),IF(DATE($C314,4,15)&gt;=$V$303,$Y$303*(1+($U$303)/100)^MAX(0,$C314-$AB$303),0)))))</f>
      </c>
      <c r="I314" s="43">
        <f>IF($S$303=0,0,IF(OR(DATE($C314,5,15)&lt;$S$303,AND($T$303&gt;0,DATE($C314,5,15)&gt;$T$303)),0,IF(DATE($C314,5,15)&gt;=$X$303,$AA$303*(1+($U$303)/100)^MAX(0,$C314-$AD$303),IF(DATE($C314,5,15)&gt;=$W$303,$Z$303*(1+($U$303)/100)^MAX(0,$C314-$AC$303),IF(DATE($C314,5,15)&gt;=$V$303,$Y$303*(1+($U$303)/100)^MAX(0,$C314-$AB$303),0)))))</f>
      </c>
      <c r="J314" s="43">
        <f>IF($S$303=0,0,IF(OR(DATE($C314,6,15)&lt;$S$303,AND($T$303&gt;0,DATE($C314,6,15)&gt;$T$303)),0,IF(DATE($C314,6,15)&gt;=$X$303,$AA$303*(1+($U$303)/100)^MAX(0,$C314-$AD$303),IF(DATE($C314,6,15)&gt;=$W$303,$Z$303*(1+($U$303)/100)^MAX(0,$C314-$AC$303),IF(DATE($C314,6,15)&gt;=$V$303,$Y$303*(1+($U$303)/100)^MAX(0,$C314-$AB$303),0)))))</f>
      </c>
      <c r="K314" s="43">
        <f>IF($S$303=0,0,IF(OR(DATE($C314,7,15)&lt;$S$303,AND($T$303&gt;0,DATE($C314,7,15)&gt;$T$303)),0,IF(DATE($C314,7,15)&gt;=$X$303,$AA$303*(1+($U$303)/100)^MAX(0,$C314-$AD$303),IF(DATE($C314,7,15)&gt;=$W$303,$Z$303*(1+($U$303)/100)^MAX(0,$C314-$AC$303),IF(DATE($C314,7,15)&gt;=$V$303,$Y$303*(1+($U$303)/100)^MAX(0,$C314-$AB$303),0)))))</f>
      </c>
      <c r="L314" s="43">
        <f>IF($S$303=0,0,IF(OR(DATE($C314,8,15)&lt;$S$303,AND($T$303&gt;0,DATE($C314,8,15)&gt;$T$303)),0,IF(DATE($C314,8,15)&gt;=$X$303,$AA$303*(1+($U$303)/100)^MAX(0,$C314-$AD$303),IF(DATE($C314,8,15)&gt;=$W$303,$Z$303*(1+($U$303)/100)^MAX(0,$C314-$AC$303),IF(DATE($C314,8,15)&gt;=$V$303,$Y$303*(1+($U$303)/100)^MAX(0,$C314-$AB$303),0)))))</f>
      </c>
      <c r="M314" s="43">
        <f>IF($S$303=0,0,IF(OR(DATE($C314,9,15)&lt;$S$303,AND($T$303&gt;0,DATE($C314,9,15)&gt;$T$303)),0,IF(DATE($C314,9,15)&gt;=$X$303,$AA$303*(1+($U$303)/100)^MAX(0,$C314-$AD$303),IF(DATE($C314,9,15)&gt;=$W$303,$Z$303*(1+($U$303)/100)^MAX(0,$C314-$AC$303),IF(DATE($C314,9,15)&gt;=$V$303,$Y$303*(1+($U$303)/100)^MAX(0,$C314-$AB$303),0)))))</f>
      </c>
      <c r="N314" s="43">
        <f>IF($S$303=0,0,IF(OR(DATE($C314,10,15)&lt;$S$303,AND($T$303&gt;0,DATE($C314,10,15)&gt;$T$303)),0,IF(DATE($C314,10,15)&gt;=$X$303,$AA$303*(1+($U$303)/100)^MAX(0,$C314-$AD$303),IF(DATE($C314,10,15)&gt;=$W$303,$Z$303*(1+($U$303)/100)^MAX(0,$C314-$AC$303),IF(DATE($C314,10,15)&gt;=$V$303,$Y$303*(1+($U$303)/100)^MAX(0,$C314-$AB$303),0)))))</f>
      </c>
      <c r="O314" s="43">
        <f>IF($S$303=0,0,IF(OR(DATE($C314,11,15)&lt;$S$303,AND($T$303&gt;0,DATE($C314,11,15)&gt;$T$303)),0,IF(DATE($C314,11,15)&gt;=$X$303,$AA$303*(1+($U$303)/100)^MAX(0,$C314-$AD$303),IF(DATE($C314,11,15)&gt;=$W$303,$Z$303*(1+($U$303)/100)^MAX(0,$C314-$AC$303),IF(DATE($C314,11,15)&gt;=$V$303,$Y$303*(1+($U$303)/100)^MAX(0,$C314-$AB$303),0)))))</f>
      </c>
      <c r="P314" s="43">
        <f>IF($S$303=0,0,IF(OR(DATE($C314,12,15)&lt;$S$303,AND($T$303&gt;0,DATE($C314,12,15)&gt;$T$303)),0,IF(DATE($C314,12,15)&gt;=$X$303,$AA$303*(1+($U$303)/100)^MAX(0,$C314-$AD$303),IF(DATE($C314,12,15)&gt;=$W$303,$Z$303*(1+($U$303)/100)^MAX(0,$C314-$AC$303),IF(DATE($C314,12,15)&gt;=$V$303,$Y$303*(1+($U$303)/100)^MAX(0,$C314-$AB$303),0)))))</f>
      </c>
      <c r="Q314" s="43">
        <f>SUM($E314:$P314)</f>
      </c>
    </row>
    <row r="315">
      <c r="A315"/>
      <c r="B315">
        <v>10</v>
      </c>
      <c r="C315" s="43">
        <f>Jahr+12</f>
      </c>
      <c r="D315" s="43">
        <f>INDEX(MvObj,10)</f>
      </c>
      <c r="E315" s="43">
        <f>IF($S$303=0,0,IF(OR(DATE($C315,1,15)&lt;$S$303,AND($T$303&gt;0,DATE($C315,1,15)&gt;$T$303)),0,IF(DATE($C315,1,15)&gt;=$X$303,$AA$303*(1+($U$303)/100)^MAX(0,$C315-$AD$303),IF(DATE($C315,1,15)&gt;=$W$303,$Z$303*(1+($U$303)/100)^MAX(0,$C315-$AC$303),IF(DATE($C315,1,15)&gt;=$V$303,$Y$303*(1+($U$303)/100)^MAX(0,$C315-$AB$303),0)))))</f>
      </c>
      <c r="F315" s="43">
        <f>IF($S$303=0,0,IF(OR(DATE($C315,2,15)&lt;$S$303,AND($T$303&gt;0,DATE($C315,2,15)&gt;$T$303)),0,IF(DATE($C315,2,15)&gt;=$X$303,$AA$303*(1+($U$303)/100)^MAX(0,$C315-$AD$303),IF(DATE($C315,2,15)&gt;=$W$303,$Z$303*(1+($U$303)/100)^MAX(0,$C315-$AC$303),IF(DATE($C315,2,15)&gt;=$V$303,$Y$303*(1+($U$303)/100)^MAX(0,$C315-$AB$303),0)))))</f>
      </c>
      <c r="G315" s="43">
        <f>IF($S$303=0,0,IF(OR(DATE($C315,3,15)&lt;$S$303,AND($T$303&gt;0,DATE($C315,3,15)&gt;$T$303)),0,IF(DATE($C315,3,15)&gt;=$X$303,$AA$303*(1+($U$303)/100)^MAX(0,$C315-$AD$303),IF(DATE($C315,3,15)&gt;=$W$303,$Z$303*(1+($U$303)/100)^MAX(0,$C315-$AC$303),IF(DATE($C315,3,15)&gt;=$V$303,$Y$303*(1+($U$303)/100)^MAX(0,$C315-$AB$303),0)))))</f>
      </c>
      <c r="H315" s="43">
        <f>IF($S$303=0,0,IF(OR(DATE($C315,4,15)&lt;$S$303,AND($T$303&gt;0,DATE($C315,4,15)&gt;$T$303)),0,IF(DATE($C315,4,15)&gt;=$X$303,$AA$303*(1+($U$303)/100)^MAX(0,$C315-$AD$303),IF(DATE($C315,4,15)&gt;=$W$303,$Z$303*(1+($U$303)/100)^MAX(0,$C315-$AC$303),IF(DATE($C315,4,15)&gt;=$V$303,$Y$303*(1+($U$303)/100)^MAX(0,$C315-$AB$303),0)))))</f>
      </c>
      <c r="I315" s="43">
        <f>IF($S$303=0,0,IF(OR(DATE($C315,5,15)&lt;$S$303,AND($T$303&gt;0,DATE($C315,5,15)&gt;$T$303)),0,IF(DATE($C315,5,15)&gt;=$X$303,$AA$303*(1+($U$303)/100)^MAX(0,$C315-$AD$303),IF(DATE($C315,5,15)&gt;=$W$303,$Z$303*(1+($U$303)/100)^MAX(0,$C315-$AC$303),IF(DATE($C315,5,15)&gt;=$V$303,$Y$303*(1+($U$303)/100)^MAX(0,$C315-$AB$303),0)))))</f>
      </c>
      <c r="J315" s="43">
        <f>IF($S$303=0,0,IF(OR(DATE($C315,6,15)&lt;$S$303,AND($T$303&gt;0,DATE($C315,6,15)&gt;$T$303)),0,IF(DATE($C315,6,15)&gt;=$X$303,$AA$303*(1+($U$303)/100)^MAX(0,$C315-$AD$303),IF(DATE($C315,6,15)&gt;=$W$303,$Z$303*(1+($U$303)/100)^MAX(0,$C315-$AC$303),IF(DATE($C315,6,15)&gt;=$V$303,$Y$303*(1+($U$303)/100)^MAX(0,$C315-$AB$303),0)))))</f>
      </c>
      <c r="K315" s="43">
        <f>IF($S$303=0,0,IF(OR(DATE($C315,7,15)&lt;$S$303,AND($T$303&gt;0,DATE($C315,7,15)&gt;$T$303)),0,IF(DATE($C315,7,15)&gt;=$X$303,$AA$303*(1+($U$303)/100)^MAX(0,$C315-$AD$303),IF(DATE($C315,7,15)&gt;=$W$303,$Z$303*(1+($U$303)/100)^MAX(0,$C315-$AC$303),IF(DATE($C315,7,15)&gt;=$V$303,$Y$303*(1+($U$303)/100)^MAX(0,$C315-$AB$303),0)))))</f>
      </c>
      <c r="L315" s="43">
        <f>IF($S$303=0,0,IF(OR(DATE($C315,8,15)&lt;$S$303,AND($T$303&gt;0,DATE($C315,8,15)&gt;$T$303)),0,IF(DATE($C315,8,15)&gt;=$X$303,$AA$303*(1+($U$303)/100)^MAX(0,$C315-$AD$303),IF(DATE($C315,8,15)&gt;=$W$303,$Z$303*(1+($U$303)/100)^MAX(0,$C315-$AC$303),IF(DATE($C315,8,15)&gt;=$V$303,$Y$303*(1+($U$303)/100)^MAX(0,$C315-$AB$303),0)))))</f>
      </c>
      <c r="M315" s="43">
        <f>IF($S$303=0,0,IF(OR(DATE($C315,9,15)&lt;$S$303,AND($T$303&gt;0,DATE($C315,9,15)&gt;$T$303)),0,IF(DATE($C315,9,15)&gt;=$X$303,$AA$303*(1+($U$303)/100)^MAX(0,$C315-$AD$303),IF(DATE($C315,9,15)&gt;=$W$303,$Z$303*(1+($U$303)/100)^MAX(0,$C315-$AC$303),IF(DATE($C315,9,15)&gt;=$V$303,$Y$303*(1+($U$303)/100)^MAX(0,$C315-$AB$303),0)))))</f>
      </c>
      <c r="N315" s="43">
        <f>IF($S$303=0,0,IF(OR(DATE($C315,10,15)&lt;$S$303,AND($T$303&gt;0,DATE($C315,10,15)&gt;$T$303)),0,IF(DATE($C315,10,15)&gt;=$X$303,$AA$303*(1+($U$303)/100)^MAX(0,$C315-$AD$303),IF(DATE($C315,10,15)&gt;=$W$303,$Z$303*(1+($U$303)/100)^MAX(0,$C315-$AC$303),IF(DATE($C315,10,15)&gt;=$V$303,$Y$303*(1+($U$303)/100)^MAX(0,$C315-$AB$303),0)))))</f>
      </c>
      <c r="O315" s="43">
        <f>IF($S$303=0,0,IF(OR(DATE($C315,11,15)&lt;$S$303,AND($T$303&gt;0,DATE($C315,11,15)&gt;$T$303)),0,IF(DATE($C315,11,15)&gt;=$X$303,$AA$303*(1+($U$303)/100)^MAX(0,$C315-$AD$303),IF(DATE($C315,11,15)&gt;=$W$303,$Z$303*(1+($U$303)/100)^MAX(0,$C315-$AC$303),IF(DATE($C315,11,15)&gt;=$V$303,$Y$303*(1+($U$303)/100)^MAX(0,$C315-$AB$303),0)))))</f>
      </c>
      <c r="P315" s="43">
        <f>IF($S$303=0,0,IF(OR(DATE($C315,12,15)&lt;$S$303,AND($T$303&gt;0,DATE($C315,12,15)&gt;$T$303)),0,IF(DATE($C315,12,15)&gt;=$X$303,$AA$303*(1+($U$303)/100)^MAX(0,$C315-$AD$303),IF(DATE($C315,12,15)&gt;=$W$303,$Z$303*(1+($U$303)/100)^MAX(0,$C315-$AC$303),IF(DATE($C315,12,15)&gt;=$V$303,$Y$303*(1+($U$303)/100)^MAX(0,$C315-$AB$303),0)))))</f>
      </c>
      <c r="Q315" s="43">
        <f>SUM($E315:$P315)</f>
      </c>
    </row>
    <row r="316">
      <c r="A316"/>
      <c r="B316">
        <v>10</v>
      </c>
      <c r="C316" s="43">
        <f>Jahr+13</f>
      </c>
      <c r="D316" s="43">
        <f>INDEX(MvObj,10)</f>
      </c>
      <c r="E316" s="43">
        <f>IF($S$303=0,0,IF(OR(DATE($C316,1,15)&lt;$S$303,AND($T$303&gt;0,DATE($C316,1,15)&gt;$T$303)),0,IF(DATE($C316,1,15)&gt;=$X$303,$AA$303*(1+($U$303)/100)^MAX(0,$C316-$AD$303),IF(DATE($C316,1,15)&gt;=$W$303,$Z$303*(1+($U$303)/100)^MAX(0,$C316-$AC$303),IF(DATE($C316,1,15)&gt;=$V$303,$Y$303*(1+($U$303)/100)^MAX(0,$C316-$AB$303),0)))))</f>
      </c>
      <c r="F316" s="43">
        <f>IF($S$303=0,0,IF(OR(DATE($C316,2,15)&lt;$S$303,AND($T$303&gt;0,DATE($C316,2,15)&gt;$T$303)),0,IF(DATE($C316,2,15)&gt;=$X$303,$AA$303*(1+($U$303)/100)^MAX(0,$C316-$AD$303),IF(DATE($C316,2,15)&gt;=$W$303,$Z$303*(1+($U$303)/100)^MAX(0,$C316-$AC$303),IF(DATE($C316,2,15)&gt;=$V$303,$Y$303*(1+($U$303)/100)^MAX(0,$C316-$AB$303),0)))))</f>
      </c>
      <c r="G316" s="43">
        <f>IF($S$303=0,0,IF(OR(DATE($C316,3,15)&lt;$S$303,AND($T$303&gt;0,DATE($C316,3,15)&gt;$T$303)),0,IF(DATE($C316,3,15)&gt;=$X$303,$AA$303*(1+($U$303)/100)^MAX(0,$C316-$AD$303),IF(DATE($C316,3,15)&gt;=$W$303,$Z$303*(1+($U$303)/100)^MAX(0,$C316-$AC$303),IF(DATE($C316,3,15)&gt;=$V$303,$Y$303*(1+($U$303)/100)^MAX(0,$C316-$AB$303),0)))))</f>
      </c>
      <c r="H316" s="43">
        <f>IF($S$303=0,0,IF(OR(DATE($C316,4,15)&lt;$S$303,AND($T$303&gt;0,DATE($C316,4,15)&gt;$T$303)),0,IF(DATE($C316,4,15)&gt;=$X$303,$AA$303*(1+($U$303)/100)^MAX(0,$C316-$AD$303),IF(DATE($C316,4,15)&gt;=$W$303,$Z$303*(1+($U$303)/100)^MAX(0,$C316-$AC$303),IF(DATE($C316,4,15)&gt;=$V$303,$Y$303*(1+($U$303)/100)^MAX(0,$C316-$AB$303),0)))))</f>
      </c>
      <c r="I316" s="43">
        <f>IF($S$303=0,0,IF(OR(DATE($C316,5,15)&lt;$S$303,AND($T$303&gt;0,DATE($C316,5,15)&gt;$T$303)),0,IF(DATE($C316,5,15)&gt;=$X$303,$AA$303*(1+($U$303)/100)^MAX(0,$C316-$AD$303),IF(DATE($C316,5,15)&gt;=$W$303,$Z$303*(1+($U$303)/100)^MAX(0,$C316-$AC$303),IF(DATE($C316,5,15)&gt;=$V$303,$Y$303*(1+($U$303)/100)^MAX(0,$C316-$AB$303),0)))))</f>
      </c>
      <c r="J316" s="43">
        <f>IF($S$303=0,0,IF(OR(DATE($C316,6,15)&lt;$S$303,AND($T$303&gt;0,DATE($C316,6,15)&gt;$T$303)),0,IF(DATE($C316,6,15)&gt;=$X$303,$AA$303*(1+($U$303)/100)^MAX(0,$C316-$AD$303),IF(DATE($C316,6,15)&gt;=$W$303,$Z$303*(1+($U$303)/100)^MAX(0,$C316-$AC$303),IF(DATE($C316,6,15)&gt;=$V$303,$Y$303*(1+($U$303)/100)^MAX(0,$C316-$AB$303),0)))))</f>
      </c>
      <c r="K316" s="43">
        <f>IF($S$303=0,0,IF(OR(DATE($C316,7,15)&lt;$S$303,AND($T$303&gt;0,DATE($C316,7,15)&gt;$T$303)),0,IF(DATE($C316,7,15)&gt;=$X$303,$AA$303*(1+($U$303)/100)^MAX(0,$C316-$AD$303),IF(DATE($C316,7,15)&gt;=$W$303,$Z$303*(1+($U$303)/100)^MAX(0,$C316-$AC$303),IF(DATE($C316,7,15)&gt;=$V$303,$Y$303*(1+($U$303)/100)^MAX(0,$C316-$AB$303),0)))))</f>
      </c>
      <c r="L316" s="43">
        <f>IF($S$303=0,0,IF(OR(DATE($C316,8,15)&lt;$S$303,AND($T$303&gt;0,DATE($C316,8,15)&gt;$T$303)),0,IF(DATE($C316,8,15)&gt;=$X$303,$AA$303*(1+($U$303)/100)^MAX(0,$C316-$AD$303),IF(DATE($C316,8,15)&gt;=$W$303,$Z$303*(1+($U$303)/100)^MAX(0,$C316-$AC$303),IF(DATE($C316,8,15)&gt;=$V$303,$Y$303*(1+($U$303)/100)^MAX(0,$C316-$AB$303),0)))))</f>
      </c>
      <c r="M316" s="43">
        <f>IF($S$303=0,0,IF(OR(DATE($C316,9,15)&lt;$S$303,AND($T$303&gt;0,DATE($C316,9,15)&gt;$T$303)),0,IF(DATE($C316,9,15)&gt;=$X$303,$AA$303*(1+($U$303)/100)^MAX(0,$C316-$AD$303),IF(DATE($C316,9,15)&gt;=$W$303,$Z$303*(1+($U$303)/100)^MAX(0,$C316-$AC$303),IF(DATE($C316,9,15)&gt;=$V$303,$Y$303*(1+($U$303)/100)^MAX(0,$C316-$AB$303),0)))))</f>
      </c>
      <c r="N316" s="43">
        <f>IF($S$303=0,0,IF(OR(DATE($C316,10,15)&lt;$S$303,AND($T$303&gt;0,DATE($C316,10,15)&gt;$T$303)),0,IF(DATE($C316,10,15)&gt;=$X$303,$AA$303*(1+($U$303)/100)^MAX(0,$C316-$AD$303),IF(DATE($C316,10,15)&gt;=$W$303,$Z$303*(1+($U$303)/100)^MAX(0,$C316-$AC$303),IF(DATE($C316,10,15)&gt;=$V$303,$Y$303*(1+($U$303)/100)^MAX(0,$C316-$AB$303),0)))))</f>
      </c>
      <c r="O316" s="43">
        <f>IF($S$303=0,0,IF(OR(DATE($C316,11,15)&lt;$S$303,AND($T$303&gt;0,DATE($C316,11,15)&gt;$T$303)),0,IF(DATE($C316,11,15)&gt;=$X$303,$AA$303*(1+($U$303)/100)^MAX(0,$C316-$AD$303),IF(DATE($C316,11,15)&gt;=$W$303,$Z$303*(1+($U$303)/100)^MAX(0,$C316-$AC$303),IF(DATE($C316,11,15)&gt;=$V$303,$Y$303*(1+($U$303)/100)^MAX(0,$C316-$AB$303),0)))))</f>
      </c>
      <c r="P316" s="43">
        <f>IF($S$303=0,0,IF(OR(DATE($C316,12,15)&lt;$S$303,AND($T$303&gt;0,DATE($C316,12,15)&gt;$T$303)),0,IF(DATE($C316,12,15)&gt;=$X$303,$AA$303*(1+($U$303)/100)^MAX(0,$C316-$AD$303),IF(DATE($C316,12,15)&gt;=$W$303,$Z$303*(1+($U$303)/100)^MAX(0,$C316-$AC$303),IF(DATE($C316,12,15)&gt;=$V$303,$Y$303*(1+($U$303)/100)^MAX(0,$C316-$AB$303),0)))))</f>
      </c>
      <c r="Q316" s="43">
        <f>SUM($E316:$P316)</f>
      </c>
    </row>
    <row r="317">
      <c r="A317"/>
      <c r="B317">
        <v>10</v>
      </c>
      <c r="C317" s="43">
        <f>Jahr+14</f>
      </c>
      <c r="D317" s="43">
        <f>INDEX(MvObj,10)</f>
      </c>
      <c r="E317" s="43">
        <f>IF($S$303=0,0,IF(OR(DATE($C317,1,15)&lt;$S$303,AND($T$303&gt;0,DATE($C317,1,15)&gt;$T$303)),0,IF(DATE($C317,1,15)&gt;=$X$303,$AA$303*(1+($U$303)/100)^MAX(0,$C317-$AD$303),IF(DATE($C317,1,15)&gt;=$W$303,$Z$303*(1+($U$303)/100)^MAX(0,$C317-$AC$303),IF(DATE($C317,1,15)&gt;=$V$303,$Y$303*(1+($U$303)/100)^MAX(0,$C317-$AB$303),0)))))</f>
      </c>
      <c r="F317" s="43">
        <f>IF($S$303=0,0,IF(OR(DATE($C317,2,15)&lt;$S$303,AND($T$303&gt;0,DATE($C317,2,15)&gt;$T$303)),0,IF(DATE($C317,2,15)&gt;=$X$303,$AA$303*(1+($U$303)/100)^MAX(0,$C317-$AD$303),IF(DATE($C317,2,15)&gt;=$W$303,$Z$303*(1+($U$303)/100)^MAX(0,$C317-$AC$303),IF(DATE($C317,2,15)&gt;=$V$303,$Y$303*(1+($U$303)/100)^MAX(0,$C317-$AB$303),0)))))</f>
      </c>
      <c r="G317" s="43">
        <f>IF($S$303=0,0,IF(OR(DATE($C317,3,15)&lt;$S$303,AND($T$303&gt;0,DATE($C317,3,15)&gt;$T$303)),0,IF(DATE($C317,3,15)&gt;=$X$303,$AA$303*(1+($U$303)/100)^MAX(0,$C317-$AD$303),IF(DATE($C317,3,15)&gt;=$W$303,$Z$303*(1+($U$303)/100)^MAX(0,$C317-$AC$303),IF(DATE($C317,3,15)&gt;=$V$303,$Y$303*(1+($U$303)/100)^MAX(0,$C317-$AB$303),0)))))</f>
      </c>
      <c r="H317" s="43">
        <f>IF($S$303=0,0,IF(OR(DATE($C317,4,15)&lt;$S$303,AND($T$303&gt;0,DATE($C317,4,15)&gt;$T$303)),0,IF(DATE($C317,4,15)&gt;=$X$303,$AA$303*(1+($U$303)/100)^MAX(0,$C317-$AD$303),IF(DATE($C317,4,15)&gt;=$W$303,$Z$303*(1+($U$303)/100)^MAX(0,$C317-$AC$303),IF(DATE($C317,4,15)&gt;=$V$303,$Y$303*(1+($U$303)/100)^MAX(0,$C317-$AB$303),0)))))</f>
      </c>
      <c r="I317" s="43">
        <f>IF($S$303=0,0,IF(OR(DATE($C317,5,15)&lt;$S$303,AND($T$303&gt;0,DATE($C317,5,15)&gt;$T$303)),0,IF(DATE($C317,5,15)&gt;=$X$303,$AA$303*(1+($U$303)/100)^MAX(0,$C317-$AD$303),IF(DATE($C317,5,15)&gt;=$W$303,$Z$303*(1+($U$303)/100)^MAX(0,$C317-$AC$303),IF(DATE($C317,5,15)&gt;=$V$303,$Y$303*(1+($U$303)/100)^MAX(0,$C317-$AB$303),0)))))</f>
      </c>
      <c r="J317" s="43">
        <f>IF($S$303=0,0,IF(OR(DATE($C317,6,15)&lt;$S$303,AND($T$303&gt;0,DATE($C317,6,15)&gt;$T$303)),0,IF(DATE($C317,6,15)&gt;=$X$303,$AA$303*(1+($U$303)/100)^MAX(0,$C317-$AD$303),IF(DATE($C317,6,15)&gt;=$W$303,$Z$303*(1+($U$303)/100)^MAX(0,$C317-$AC$303),IF(DATE($C317,6,15)&gt;=$V$303,$Y$303*(1+($U$303)/100)^MAX(0,$C317-$AB$303),0)))))</f>
      </c>
      <c r="K317" s="43">
        <f>IF($S$303=0,0,IF(OR(DATE($C317,7,15)&lt;$S$303,AND($T$303&gt;0,DATE($C317,7,15)&gt;$T$303)),0,IF(DATE($C317,7,15)&gt;=$X$303,$AA$303*(1+($U$303)/100)^MAX(0,$C317-$AD$303),IF(DATE($C317,7,15)&gt;=$W$303,$Z$303*(1+($U$303)/100)^MAX(0,$C317-$AC$303),IF(DATE($C317,7,15)&gt;=$V$303,$Y$303*(1+($U$303)/100)^MAX(0,$C317-$AB$303),0)))))</f>
      </c>
      <c r="L317" s="43">
        <f>IF($S$303=0,0,IF(OR(DATE($C317,8,15)&lt;$S$303,AND($T$303&gt;0,DATE($C317,8,15)&gt;$T$303)),0,IF(DATE($C317,8,15)&gt;=$X$303,$AA$303*(1+($U$303)/100)^MAX(0,$C317-$AD$303),IF(DATE($C317,8,15)&gt;=$W$303,$Z$303*(1+($U$303)/100)^MAX(0,$C317-$AC$303),IF(DATE($C317,8,15)&gt;=$V$303,$Y$303*(1+($U$303)/100)^MAX(0,$C317-$AB$303),0)))))</f>
      </c>
      <c r="M317" s="43">
        <f>IF($S$303=0,0,IF(OR(DATE($C317,9,15)&lt;$S$303,AND($T$303&gt;0,DATE($C317,9,15)&gt;$T$303)),0,IF(DATE($C317,9,15)&gt;=$X$303,$AA$303*(1+($U$303)/100)^MAX(0,$C317-$AD$303),IF(DATE($C317,9,15)&gt;=$W$303,$Z$303*(1+($U$303)/100)^MAX(0,$C317-$AC$303),IF(DATE($C317,9,15)&gt;=$V$303,$Y$303*(1+($U$303)/100)^MAX(0,$C317-$AB$303),0)))))</f>
      </c>
      <c r="N317" s="43">
        <f>IF($S$303=0,0,IF(OR(DATE($C317,10,15)&lt;$S$303,AND($T$303&gt;0,DATE($C317,10,15)&gt;$T$303)),0,IF(DATE($C317,10,15)&gt;=$X$303,$AA$303*(1+($U$303)/100)^MAX(0,$C317-$AD$303),IF(DATE($C317,10,15)&gt;=$W$303,$Z$303*(1+($U$303)/100)^MAX(0,$C317-$AC$303),IF(DATE($C317,10,15)&gt;=$V$303,$Y$303*(1+($U$303)/100)^MAX(0,$C317-$AB$303),0)))))</f>
      </c>
      <c r="O317" s="43">
        <f>IF($S$303=0,0,IF(OR(DATE($C317,11,15)&lt;$S$303,AND($T$303&gt;0,DATE($C317,11,15)&gt;$T$303)),0,IF(DATE($C317,11,15)&gt;=$X$303,$AA$303*(1+($U$303)/100)^MAX(0,$C317-$AD$303),IF(DATE($C317,11,15)&gt;=$W$303,$Z$303*(1+($U$303)/100)^MAX(0,$C317-$AC$303),IF(DATE($C317,11,15)&gt;=$V$303,$Y$303*(1+($U$303)/100)^MAX(0,$C317-$AB$303),0)))))</f>
      </c>
      <c r="P317" s="43">
        <f>IF($S$303=0,0,IF(OR(DATE($C317,12,15)&lt;$S$303,AND($T$303&gt;0,DATE($C317,12,15)&gt;$T$303)),0,IF(DATE($C317,12,15)&gt;=$X$303,$AA$303*(1+($U$303)/100)^MAX(0,$C317-$AD$303),IF(DATE($C317,12,15)&gt;=$W$303,$Z$303*(1+($U$303)/100)^MAX(0,$C317-$AC$303),IF(DATE($C317,12,15)&gt;=$V$303,$Y$303*(1+($U$303)/100)^MAX(0,$C317-$AB$303),0)))))</f>
      </c>
      <c r="Q317" s="43">
        <f>SUM($E317:$P317)</f>
      </c>
    </row>
    <row r="318">
      <c r="A318"/>
      <c r="B318">
        <v>10</v>
      </c>
      <c r="C318" s="43">
        <f>Jahr+15</f>
      </c>
      <c r="D318" s="43">
        <f>INDEX(MvObj,10)</f>
      </c>
      <c r="E318" s="43">
        <f>IF($S$303=0,0,IF(OR(DATE($C318,1,15)&lt;$S$303,AND($T$303&gt;0,DATE($C318,1,15)&gt;$T$303)),0,IF(DATE($C318,1,15)&gt;=$X$303,$AA$303*(1+($U$303)/100)^MAX(0,$C318-$AD$303),IF(DATE($C318,1,15)&gt;=$W$303,$Z$303*(1+($U$303)/100)^MAX(0,$C318-$AC$303),IF(DATE($C318,1,15)&gt;=$V$303,$Y$303*(1+($U$303)/100)^MAX(0,$C318-$AB$303),0)))))</f>
      </c>
      <c r="F318" s="43">
        <f>IF($S$303=0,0,IF(OR(DATE($C318,2,15)&lt;$S$303,AND($T$303&gt;0,DATE($C318,2,15)&gt;$T$303)),0,IF(DATE($C318,2,15)&gt;=$X$303,$AA$303*(1+($U$303)/100)^MAX(0,$C318-$AD$303),IF(DATE($C318,2,15)&gt;=$W$303,$Z$303*(1+($U$303)/100)^MAX(0,$C318-$AC$303),IF(DATE($C318,2,15)&gt;=$V$303,$Y$303*(1+($U$303)/100)^MAX(0,$C318-$AB$303),0)))))</f>
      </c>
      <c r="G318" s="43">
        <f>IF($S$303=0,0,IF(OR(DATE($C318,3,15)&lt;$S$303,AND($T$303&gt;0,DATE($C318,3,15)&gt;$T$303)),0,IF(DATE($C318,3,15)&gt;=$X$303,$AA$303*(1+($U$303)/100)^MAX(0,$C318-$AD$303),IF(DATE($C318,3,15)&gt;=$W$303,$Z$303*(1+($U$303)/100)^MAX(0,$C318-$AC$303),IF(DATE($C318,3,15)&gt;=$V$303,$Y$303*(1+($U$303)/100)^MAX(0,$C318-$AB$303),0)))))</f>
      </c>
      <c r="H318" s="43">
        <f>IF($S$303=0,0,IF(OR(DATE($C318,4,15)&lt;$S$303,AND($T$303&gt;0,DATE($C318,4,15)&gt;$T$303)),0,IF(DATE($C318,4,15)&gt;=$X$303,$AA$303*(1+($U$303)/100)^MAX(0,$C318-$AD$303),IF(DATE($C318,4,15)&gt;=$W$303,$Z$303*(1+($U$303)/100)^MAX(0,$C318-$AC$303),IF(DATE($C318,4,15)&gt;=$V$303,$Y$303*(1+($U$303)/100)^MAX(0,$C318-$AB$303),0)))))</f>
      </c>
      <c r="I318" s="43">
        <f>IF($S$303=0,0,IF(OR(DATE($C318,5,15)&lt;$S$303,AND($T$303&gt;0,DATE($C318,5,15)&gt;$T$303)),0,IF(DATE($C318,5,15)&gt;=$X$303,$AA$303*(1+($U$303)/100)^MAX(0,$C318-$AD$303),IF(DATE($C318,5,15)&gt;=$W$303,$Z$303*(1+($U$303)/100)^MAX(0,$C318-$AC$303),IF(DATE($C318,5,15)&gt;=$V$303,$Y$303*(1+($U$303)/100)^MAX(0,$C318-$AB$303),0)))))</f>
      </c>
      <c r="J318" s="43">
        <f>IF($S$303=0,0,IF(OR(DATE($C318,6,15)&lt;$S$303,AND($T$303&gt;0,DATE($C318,6,15)&gt;$T$303)),0,IF(DATE($C318,6,15)&gt;=$X$303,$AA$303*(1+($U$303)/100)^MAX(0,$C318-$AD$303),IF(DATE($C318,6,15)&gt;=$W$303,$Z$303*(1+($U$303)/100)^MAX(0,$C318-$AC$303),IF(DATE($C318,6,15)&gt;=$V$303,$Y$303*(1+($U$303)/100)^MAX(0,$C318-$AB$303),0)))))</f>
      </c>
      <c r="K318" s="43">
        <f>IF($S$303=0,0,IF(OR(DATE($C318,7,15)&lt;$S$303,AND($T$303&gt;0,DATE($C318,7,15)&gt;$T$303)),0,IF(DATE($C318,7,15)&gt;=$X$303,$AA$303*(1+($U$303)/100)^MAX(0,$C318-$AD$303),IF(DATE($C318,7,15)&gt;=$W$303,$Z$303*(1+($U$303)/100)^MAX(0,$C318-$AC$303),IF(DATE($C318,7,15)&gt;=$V$303,$Y$303*(1+($U$303)/100)^MAX(0,$C318-$AB$303),0)))))</f>
      </c>
      <c r="L318" s="43">
        <f>IF($S$303=0,0,IF(OR(DATE($C318,8,15)&lt;$S$303,AND($T$303&gt;0,DATE($C318,8,15)&gt;$T$303)),0,IF(DATE($C318,8,15)&gt;=$X$303,$AA$303*(1+($U$303)/100)^MAX(0,$C318-$AD$303),IF(DATE($C318,8,15)&gt;=$W$303,$Z$303*(1+($U$303)/100)^MAX(0,$C318-$AC$303),IF(DATE($C318,8,15)&gt;=$V$303,$Y$303*(1+($U$303)/100)^MAX(0,$C318-$AB$303),0)))))</f>
      </c>
      <c r="M318" s="43">
        <f>IF($S$303=0,0,IF(OR(DATE($C318,9,15)&lt;$S$303,AND($T$303&gt;0,DATE($C318,9,15)&gt;$T$303)),0,IF(DATE($C318,9,15)&gt;=$X$303,$AA$303*(1+($U$303)/100)^MAX(0,$C318-$AD$303),IF(DATE($C318,9,15)&gt;=$W$303,$Z$303*(1+($U$303)/100)^MAX(0,$C318-$AC$303),IF(DATE($C318,9,15)&gt;=$V$303,$Y$303*(1+($U$303)/100)^MAX(0,$C318-$AB$303),0)))))</f>
      </c>
      <c r="N318" s="43">
        <f>IF($S$303=0,0,IF(OR(DATE($C318,10,15)&lt;$S$303,AND($T$303&gt;0,DATE($C318,10,15)&gt;$T$303)),0,IF(DATE($C318,10,15)&gt;=$X$303,$AA$303*(1+($U$303)/100)^MAX(0,$C318-$AD$303),IF(DATE($C318,10,15)&gt;=$W$303,$Z$303*(1+($U$303)/100)^MAX(0,$C318-$AC$303),IF(DATE($C318,10,15)&gt;=$V$303,$Y$303*(1+($U$303)/100)^MAX(0,$C318-$AB$303),0)))))</f>
      </c>
      <c r="O318" s="43">
        <f>IF($S$303=0,0,IF(OR(DATE($C318,11,15)&lt;$S$303,AND($T$303&gt;0,DATE($C318,11,15)&gt;$T$303)),0,IF(DATE($C318,11,15)&gt;=$X$303,$AA$303*(1+($U$303)/100)^MAX(0,$C318-$AD$303),IF(DATE($C318,11,15)&gt;=$W$303,$Z$303*(1+($U$303)/100)^MAX(0,$C318-$AC$303),IF(DATE($C318,11,15)&gt;=$V$303,$Y$303*(1+($U$303)/100)^MAX(0,$C318-$AB$303),0)))))</f>
      </c>
      <c r="P318" s="43">
        <f>IF($S$303=0,0,IF(OR(DATE($C318,12,15)&lt;$S$303,AND($T$303&gt;0,DATE($C318,12,15)&gt;$T$303)),0,IF(DATE($C318,12,15)&gt;=$X$303,$AA$303*(1+($U$303)/100)^MAX(0,$C318-$AD$303),IF(DATE($C318,12,15)&gt;=$W$303,$Z$303*(1+($U$303)/100)^MAX(0,$C318-$AC$303),IF(DATE($C318,12,15)&gt;=$V$303,$Y$303*(1+($U$303)/100)^MAX(0,$C318-$AB$303),0)))))</f>
      </c>
      <c r="Q318" s="43">
        <f>SUM($E318:$P318)</f>
      </c>
    </row>
    <row r="319">
      <c r="A319"/>
      <c r="B319">
        <v>10</v>
      </c>
      <c r="C319" s="43">
        <f>Jahr+16</f>
      </c>
      <c r="D319" s="43">
        <f>INDEX(MvObj,10)</f>
      </c>
      <c r="E319" s="43">
        <f>IF($S$303=0,0,IF(OR(DATE($C319,1,15)&lt;$S$303,AND($T$303&gt;0,DATE($C319,1,15)&gt;$T$303)),0,IF(DATE($C319,1,15)&gt;=$X$303,$AA$303*(1+($U$303)/100)^MAX(0,$C319-$AD$303),IF(DATE($C319,1,15)&gt;=$W$303,$Z$303*(1+($U$303)/100)^MAX(0,$C319-$AC$303),IF(DATE($C319,1,15)&gt;=$V$303,$Y$303*(1+($U$303)/100)^MAX(0,$C319-$AB$303),0)))))</f>
      </c>
      <c r="F319" s="43">
        <f>IF($S$303=0,0,IF(OR(DATE($C319,2,15)&lt;$S$303,AND($T$303&gt;0,DATE($C319,2,15)&gt;$T$303)),0,IF(DATE($C319,2,15)&gt;=$X$303,$AA$303*(1+($U$303)/100)^MAX(0,$C319-$AD$303),IF(DATE($C319,2,15)&gt;=$W$303,$Z$303*(1+($U$303)/100)^MAX(0,$C319-$AC$303),IF(DATE($C319,2,15)&gt;=$V$303,$Y$303*(1+($U$303)/100)^MAX(0,$C319-$AB$303),0)))))</f>
      </c>
      <c r="G319" s="43">
        <f>IF($S$303=0,0,IF(OR(DATE($C319,3,15)&lt;$S$303,AND($T$303&gt;0,DATE($C319,3,15)&gt;$T$303)),0,IF(DATE($C319,3,15)&gt;=$X$303,$AA$303*(1+($U$303)/100)^MAX(0,$C319-$AD$303),IF(DATE($C319,3,15)&gt;=$W$303,$Z$303*(1+($U$303)/100)^MAX(0,$C319-$AC$303),IF(DATE($C319,3,15)&gt;=$V$303,$Y$303*(1+($U$303)/100)^MAX(0,$C319-$AB$303),0)))))</f>
      </c>
      <c r="H319" s="43">
        <f>IF($S$303=0,0,IF(OR(DATE($C319,4,15)&lt;$S$303,AND($T$303&gt;0,DATE($C319,4,15)&gt;$T$303)),0,IF(DATE($C319,4,15)&gt;=$X$303,$AA$303*(1+($U$303)/100)^MAX(0,$C319-$AD$303),IF(DATE($C319,4,15)&gt;=$W$303,$Z$303*(1+($U$303)/100)^MAX(0,$C319-$AC$303),IF(DATE($C319,4,15)&gt;=$V$303,$Y$303*(1+($U$303)/100)^MAX(0,$C319-$AB$303),0)))))</f>
      </c>
      <c r="I319" s="43">
        <f>IF($S$303=0,0,IF(OR(DATE($C319,5,15)&lt;$S$303,AND($T$303&gt;0,DATE($C319,5,15)&gt;$T$303)),0,IF(DATE($C319,5,15)&gt;=$X$303,$AA$303*(1+($U$303)/100)^MAX(0,$C319-$AD$303),IF(DATE($C319,5,15)&gt;=$W$303,$Z$303*(1+($U$303)/100)^MAX(0,$C319-$AC$303),IF(DATE($C319,5,15)&gt;=$V$303,$Y$303*(1+($U$303)/100)^MAX(0,$C319-$AB$303),0)))))</f>
      </c>
      <c r="J319" s="43">
        <f>IF($S$303=0,0,IF(OR(DATE($C319,6,15)&lt;$S$303,AND($T$303&gt;0,DATE($C319,6,15)&gt;$T$303)),0,IF(DATE($C319,6,15)&gt;=$X$303,$AA$303*(1+($U$303)/100)^MAX(0,$C319-$AD$303),IF(DATE($C319,6,15)&gt;=$W$303,$Z$303*(1+($U$303)/100)^MAX(0,$C319-$AC$303),IF(DATE($C319,6,15)&gt;=$V$303,$Y$303*(1+($U$303)/100)^MAX(0,$C319-$AB$303),0)))))</f>
      </c>
      <c r="K319" s="43">
        <f>IF($S$303=0,0,IF(OR(DATE($C319,7,15)&lt;$S$303,AND($T$303&gt;0,DATE($C319,7,15)&gt;$T$303)),0,IF(DATE($C319,7,15)&gt;=$X$303,$AA$303*(1+($U$303)/100)^MAX(0,$C319-$AD$303),IF(DATE($C319,7,15)&gt;=$W$303,$Z$303*(1+($U$303)/100)^MAX(0,$C319-$AC$303),IF(DATE($C319,7,15)&gt;=$V$303,$Y$303*(1+($U$303)/100)^MAX(0,$C319-$AB$303),0)))))</f>
      </c>
      <c r="L319" s="43">
        <f>IF($S$303=0,0,IF(OR(DATE($C319,8,15)&lt;$S$303,AND($T$303&gt;0,DATE($C319,8,15)&gt;$T$303)),0,IF(DATE($C319,8,15)&gt;=$X$303,$AA$303*(1+($U$303)/100)^MAX(0,$C319-$AD$303),IF(DATE($C319,8,15)&gt;=$W$303,$Z$303*(1+($U$303)/100)^MAX(0,$C319-$AC$303),IF(DATE($C319,8,15)&gt;=$V$303,$Y$303*(1+($U$303)/100)^MAX(0,$C319-$AB$303),0)))))</f>
      </c>
      <c r="M319" s="43">
        <f>IF($S$303=0,0,IF(OR(DATE($C319,9,15)&lt;$S$303,AND($T$303&gt;0,DATE($C319,9,15)&gt;$T$303)),0,IF(DATE($C319,9,15)&gt;=$X$303,$AA$303*(1+($U$303)/100)^MAX(0,$C319-$AD$303),IF(DATE($C319,9,15)&gt;=$W$303,$Z$303*(1+($U$303)/100)^MAX(0,$C319-$AC$303),IF(DATE($C319,9,15)&gt;=$V$303,$Y$303*(1+($U$303)/100)^MAX(0,$C319-$AB$303),0)))))</f>
      </c>
      <c r="N319" s="43">
        <f>IF($S$303=0,0,IF(OR(DATE($C319,10,15)&lt;$S$303,AND($T$303&gt;0,DATE($C319,10,15)&gt;$T$303)),0,IF(DATE($C319,10,15)&gt;=$X$303,$AA$303*(1+($U$303)/100)^MAX(0,$C319-$AD$303),IF(DATE($C319,10,15)&gt;=$W$303,$Z$303*(1+($U$303)/100)^MAX(0,$C319-$AC$303),IF(DATE($C319,10,15)&gt;=$V$303,$Y$303*(1+($U$303)/100)^MAX(0,$C319-$AB$303),0)))))</f>
      </c>
      <c r="O319" s="43">
        <f>IF($S$303=0,0,IF(OR(DATE($C319,11,15)&lt;$S$303,AND($T$303&gt;0,DATE($C319,11,15)&gt;$T$303)),0,IF(DATE($C319,11,15)&gt;=$X$303,$AA$303*(1+($U$303)/100)^MAX(0,$C319-$AD$303),IF(DATE($C319,11,15)&gt;=$W$303,$Z$303*(1+($U$303)/100)^MAX(0,$C319-$AC$303),IF(DATE($C319,11,15)&gt;=$V$303,$Y$303*(1+($U$303)/100)^MAX(0,$C319-$AB$303),0)))))</f>
      </c>
      <c r="P319" s="43">
        <f>IF($S$303=0,0,IF(OR(DATE($C319,12,15)&lt;$S$303,AND($T$303&gt;0,DATE($C319,12,15)&gt;$T$303)),0,IF(DATE($C319,12,15)&gt;=$X$303,$AA$303*(1+($U$303)/100)^MAX(0,$C319-$AD$303),IF(DATE($C319,12,15)&gt;=$W$303,$Z$303*(1+($U$303)/100)^MAX(0,$C319-$AC$303),IF(DATE($C319,12,15)&gt;=$V$303,$Y$303*(1+($U$303)/100)^MAX(0,$C319-$AB$303),0)))))</f>
      </c>
      <c r="Q319" s="43">
        <f>SUM($E319:$P319)</f>
      </c>
    </row>
    <row r="320">
      <c r="A320"/>
      <c r="B320">
        <v>10</v>
      </c>
      <c r="C320" s="43">
        <f>Jahr+17</f>
      </c>
      <c r="D320" s="43">
        <f>INDEX(MvObj,10)</f>
      </c>
      <c r="E320" s="43">
        <f>IF($S$303=0,0,IF(OR(DATE($C320,1,15)&lt;$S$303,AND($T$303&gt;0,DATE($C320,1,15)&gt;$T$303)),0,IF(DATE($C320,1,15)&gt;=$X$303,$AA$303*(1+($U$303)/100)^MAX(0,$C320-$AD$303),IF(DATE($C320,1,15)&gt;=$W$303,$Z$303*(1+($U$303)/100)^MAX(0,$C320-$AC$303),IF(DATE($C320,1,15)&gt;=$V$303,$Y$303*(1+($U$303)/100)^MAX(0,$C320-$AB$303),0)))))</f>
      </c>
      <c r="F320" s="43">
        <f>IF($S$303=0,0,IF(OR(DATE($C320,2,15)&lt;$S$303,AND($T$303&gt;0,DATE($C320,2,15)&gt;$T$303)),0,IF(DATE($C320,2,15)&gt;=$X$303,$AA$303*(1+($U$303)/100)^MAX(0,$C320-$AD$303),IF(DATE($C320,2,15)&gt;=$W$303,$Z$303*(1+($U$303)/100)^MAX(0,$C320-$AC$303),IF(DATE($C320,2,15)&gt;=$V$303,$Y$303*(1+($U$303)/100)^MAX(0,$C320-$AB$303),0)))))</f>
      </c>
      <c r="G320" s="43">
        <f>IF($S$303=0,0,IF(OR(DATE($C320,3,15)&lt;$S$303,AND($T$303&gt;0,DATE($C320,3,15)&gt;$T$303)),0,IF(DATE($C320,3,15)&gt;=$X$303,$AA$303*(1+($U$303)/100)^MAX(0,$C320-$AD$303),IF(DATE($C320,3,15)&gt;=$W$303,$Z$303*(1+($U$303)/100)^MAX(0,$C320-$AC$303),IF(DATE($C320,3,15)&gt;=$V$303,$Y$303*(1+($U$303)/100)^MAX(0,$C320-$AB$303),0)))))</f>
      </c>
      <c r="H320" s="43">
        <f>IF($S$303=0,0,IF(OR(DATE($C320,4,15)&lt;$S$303,AND($T$303&gt;0,DATE($C320,4,15)&gt;$T$303)),0,IF(DATE($C320,4,15)&gt;=$X$303,$AA$303*(1+($U$303)/100)^MAX(0,$C320-$AD$303),IF(DATE($C320,4,15)&gt;=$W$303,$Z$303*(1+($U$303)/100)^MAX(0,$C320-$AC$303),IF(DATE($C320,4,15)&gt;=$V$303,$Y$303*(1+($U$303)/100)^MAX(0,$C320-$AB$303),0)))))</f>
      </c>
      <c r="I320" s="43">
        <f>IF($S$303=0,0,IF(OR(DATE($C320,5,15)&lt;$S$303,AND($T$303&gt;0,DATE($C320,5,15)&gt;$T$303)),0,IF(DATE($C320,5,15)&gt;=$X$303,$AA$303*(1+($U$303)/100)^MAX(0,$C320-$AD$303),IF(DATE($C320,5,15)&gt;=$W$303,$Z$303*(1+($U$303)/100)^MAX(0,$C320-$AC$303),IF(DATE($C320,5,15)&gt;=$V$303,$Y$303*(1+($U$303)/100)^MAX(0,$C320-$AB$303),0)))))</f>
      </c>
      <c r="J320" s="43">
        <f>IF($S$303=0,0,IF(OR(DATE($C320,6,15)&lt;$S$303,AND($T$303&gt;0,DATE($C320,6,15)&gt;$T$303)),0,IF(DATE($C320,6,15)&gt;=$X$303,$AA$303*(1+($U$303)/100)^MAX(0,$C320-$AD$303),IF(DATE($C320,6,15)&gt;=$W$303,$Z$303*(1+($U$303)/100)^MAX(0,$C320-$AC$303),IF(DATE($C320,6,15)&gt;=$V$303,$Y$303*(1+($U$303)/100)^MAX(0,$C320-$AB$303),0)))))</f>
      </c>
      <c r="K320" s="43">
        <f>IF($S$303=0,0,IF(OR(DATE($C320,7,15)&lt;$S$303,AND($T$303&gt;0,DATE($C320,7,15)&gt;$T$303)),0,IF(DATE($C320,7,15)&gt;=$X$303,$AA$303*(1+($U$303)/100)^MAX(0,$C320-$AD$303),IF(DATE($C320,7,15)&gt;=$W$303,$Z$303*(1+($U$303)/100)^MAX(0,$C320-$AC$303),IF(DATE($C320,7,15)&gt;=$V$303,$Y$303*(1+($U$303)/100)^MAX(0,$C320-$AB$303),0)))))</f>
      </c>
      <c r="L320" s="43">
        <f>IF($S$303=0,0,IF(OR(DATE($C320,8,15)&lt;$S$303,AND($T$303&gt;0,DATE($C320,8,15)&gt;$T$303)),0,IF(DATE($C320,8,15)&gt;=$X$303,$AA$303*(1+($U$303)/100)^MAX(0,$C320-$AD$303),IF(DATE($C320,8,15)&gt;=$W$303,$Z$303*(1+($U$303)/100)^MAX(0,$C320-$AC$303),IF(DATE($C320,8,15)&gt;=$V$303,$Y$303*(1+($U$303)/100)^MAX(0,$C320-$AB$303),0)))))</f>
      </c>
      <c r="M320" s="43">
        <f>IF($S$303=0,0,IF(OR(DATE($C320,9,15)&lt;$S$303,AND($T$303&gt;0,DATE($C320,9,15)&gt;$T$303)),0,IF(DATE($C320,9,15)&gt;=$X$303,$AA$303*(1+($U$303)/100)^MAX(0,$C320-$AD$303),IF(DATE($C320,9,15)&gt;=$W$303,$Z$303*(1+($U$303)/100)^MAX(0,$C320-$AC$303),IF(DATE($C320,9,15)&gt;=$V$303,$Y$303*(1+($U$303)/100)^MAX(0,$C320-$AB$303),0)))))</f>
      </c>
      <c r="N320" s="43">
        <f>IF($S$303=0,0,IF(OR(DATE($C320,10,15)&lt;$S$303,AND($T$303&gt;0,DATE($C320,10,15)&gt;$T$303)),0,IF(DATE($C320,10,15)&gt;=$X$303,$AA$303*(1+($U$303)/100)^MAX(0,$C320-$AD$303),IF(DATE($C320,10,15)&gt;=$W$303,$Z$303*(1+($U$303)/100)^MAX(0,$C320-$AC$303),IF(DATE($C320,10,15)&gt;=$V$303,$Y$303*(1+($U$303)/100)^MAX(0,$C320-$AB$303),0)))))</f>
      </c>
      <c r="O320" s="43">
        <f>IF($S$303=0,0,IF(OR(DATE($C320,11,15)&lt;$S$303,AND($T$303&gt;0,DATE($C320,11,15)&gt;$T$303)),0,IF(DATE($C320,11,15)&gt;=$X$303,$AA$303*(1+($U$303)/100)^MAX(0,$C320-$AD$303),IF(DATE($C320,11,15)&gt;=$W$303,$Z$303*(1+($U$303)/100)^MAX(0,$C320-$AC$303),IF(DATE($C320,11,15)&gt;=$V$303,$Y$303*(1+($U$303)/100)^MAX(0,$C320-$AB$303),0)))))</f>
      </c>
      <c r="P320" s="43">
        <f>IF($S$303=0,0,IF(OR(DATE($C320,12,15)&lt;$S$303,AND($T$303&gt;0,DATE($C320,12,15)&gt;$T$303)),0,IF(DATE($C320,12,15)&gt;=$X$303,$AA$303*(1+($U$303)/100)^MAX(0,$C320-$AD$303),IF(DATE($C320,12,15)&gt;=$W$303,$Z$303*(1+($U$303)/100)^MAX(0,$C320-$AC$303),IF(DATE($C320,12,15)&gt;=$V$303,$Y$303*(1+($U$303)/100)^MAX(0,$C320-$AB$303),0)))))</f>
      </c>
      <c r="Q320" s="43">
        <f>SUM($E320:$P320)</f>
      </c>
    </row>
    <row r="321">
      <c r="A321"/>
      <c r="B321">
        <v>10</v>
      </c>
      <c r="C321" s="43">
        <f>Jahr+18</f>
      </c>
      <c r="D321" s="43">
        <f>INDEX(MvObj,10)</f>
      </c>
      <c r="E321" s="43">
        <f>IF($S$303=0,0,IF(OR(DATE($C321,1,15)&lt;$S$303,AND($T$303&gt;0,DATE($C321,1,15)&gt;$T$303)),0,IF(DATE($C321,1,15)&gt;=$X$303,$AA$303*(1+($U$303)/100)^MAX(0,$C321-$AD$303),IF(DATE($C321,1,15)&gt;=$W$303,$Z$303*(1+($U$303)/100)^MAX(0,$C321-$AC$303),IF(DATE($C321,1,15)&gt;=$V$303,$Y$303*(1+($U$303)/100)^MAX(0,$C321-$AB$303),0)))))</f>
      </c>
      <c r="F321" s="43">
        <f>IF($S$303=0,0,IF(OR(DATE($C321,2,15)&lt;$S$303,AND($T$303&gt;0,DATE($C321,2,15)&gt;$T$303)),0,IF(DATE($C321,2,15)&gt;=$X$303,$AA$303*(1+($U$303)/100)^MAX(0,$C321-$AD$303),IF(DATE($C321,2,15)&gt;=$W$303,$Z$303*(1+($U$303)/100)^MAX(0,$C321-$AC$303),IF(DATE($C321,2,15)&gt;=$V$303,$Y$303*(1+($U$303)/100)^MAX(0,$C321-$AB$303),0)))))</f>
      </c>
      <c r="G321" s="43">
        <f>IF($S$303=0,0,IF(OR(DATE($C321,3,15)&lt;$S$303,AND($T$303&gt;0,DATE($C321,3,15)&gt;$T$303)),0,IF(DATE($C321,3,15)&gt;=$X$303,$AA$303*(1+($U$303)/100)^MAX(0,$C321-$AD$303),IF(DATE($C321,3,15)&gt;=$W$303,$Z$303*(1+($U$303)/100)^MAX(0,$C321-$AC$303),IF(DATE($C321,3,15)&gt;=$V$303,$Y$303*(1+($U$303)/100)^MAX(0,$C321-$AB$303),0)))))</f>
      </c>
      <c r="H321" s="43">
        <f>IF($S$303=0,0,IF(OR(DATE($C321,4,15)&lt;$S$303,AND($T$303&gt;0,DATE($C321,4,15)&gt;$T$303)),0,IF(DATE($C321,4,15)&gt;=$X$303,$AA$303*(1+($U$303)/100)^MAX(0,$C321-$AD$303),IF(DATE($C321,4,15)&gt;=$W$303,$Z$303*(1+($U$303)/100)^MAX(0,$C321-$AC$303),IF(DATE($C321,4,15)&gt;=$V$303,$Y$303*(1+($U$303)/100)^MAX(0,$C321-$AB$303),0)))))</f>
      </c>
      <c r="I321" s="43">
        <f>IF($S$303=0,0,IF(OR(DATE($C321,5,15)&lt;$S$303,AND($T$303&gt;0,DATE($C321,5,15)&gt;$T$303)),0,IF(DATE($C321,5,15)&gt;=$X$303,$AA$303*(1+($U$303)/100)^MAX(0,$C321-$AD$303),IF(DATE($C321,5,15)&gt;=$W$303,$Z$303*(1+($U$303)/100)^MAX(0,$C321-$AC$303),IF(DATE($C321,5,15)&gt;=$V$303,$Y$303*(1+($U$303)/100)^MAX(0,$C321-$AB$303),0)))))</f>
      </c>
      <c r="J321" s="43">
        <f>IF($S$303=0,0,IF(OR(DATE($C321,6,15)&lt;$S$303,AND($T$303&gt;0,DATE($C321,6,15)&gt;$T$303)),0,IF(DATE($C321,6,15)&gt;=$X$303,$AA$303*(1+($U$303)/100)^MAX(0,$C321-$AD$303),IF(DATE($C321,6,15)&gt;=$W$303,$Z$303*(1+($U$303)/100)^MAX(0,$C321-$AC$303),IF(DATE($C321,6,15)&gt;=$V$303,$Y$303*(1+($U$303)/100)^MAX(0,$C321-$AB$303),0)))))</f>
      </c>
      <c r="K321" s="43">
        <f>IF($S$303=0,0,IF(OR(DATE($C321,7,15)&lt;$S$303,AND($T$303&gt;0,DATE($C321,7,15)&gt;$T$303)),0,IF(DATE($C321,7,15)&gt;=$X$303,$AA$303*(1+($U$303)/100)^MAX(0,$C321-$AD$303),IF(DATE($C321,7,15)&gt;=$W$303,$Z$303*(1+($U$303)/100)^MAX(0,$C321-$AC$303),IF(DATE($C321,7,15)&gt;=$V$303,$Y$303*(1+($U$303)/100)^MAX(0,$C321-$AB$303),0)))))</f>
      </c>
      <c r="L321" s="43">
        <f>IF($S$303=0,0,IF(OR(DATE($C321,8,15)&lt;$S$303,AND($T$303&gt;0,DATE($C321,8,15)&gt;$T$303)),0,IF(DATE($C321,8,15)&gt;=$X$303,$AA$303*(1+($U$303)/100)^MAX(0,$C321-$AD$303),IF(DATE($C321,8,15)&gt;=$W$303,$Z$303*(1+($U$303)/100)^MAX(0,$C321-$AC$303),IF(DATE($C321,8,15)&gt;=$V$303,$Y$303*(1+($U$303)/100)^MAX(0,$C321-$AB$303),0)))))</f>
      </c>
      <c r="M321" s="43">
        <f>IF($S$303=0,0,IF(OR(DATE($C321,9,15)&lt;$S$303,AND($T$303&gt;0,DATE($C321,9,15)&gt;$T$303)),0,IF(DATE($C321,9,15)&gt;=$X$303,$AA$303*(1+($U$303)/100)^MAX(0,$C321-$AD$303),IF(DATE($C321,9,15)&gt;=$W$303,$Z$303*(1+($U$303)/100)^MAX(0,$C321-$AC$303),IF(DATE($C321,9,15)&gt;=$V$303,$Y$303*(1+($U$303)/100)^MAX(0,$C321-$AB$303),0)))))</f>
      </c>
      <c r="N321" s="43">
        <f>IF($S$303=0,0,IF(OR(DATE($C321,10,15)&lt;$S$303,AND($T$303&gt;0,DATE($C321,10,15)&gt;$T$303)),0,IF(DATE($C321,10,15)&gt;=$X$303,$AA$303*(1+($U$303)/100)^MAX(0,$C321-$AD$303),IF(DATE($C321,10,15)&gt;=$W$303,$Z$303*(1+($U$303)/100)^MAX(0,$C321-$AC$303),IF(DATE($C321,10,15)&gt;=$V$303,$Y$303*(1+($U$303)/100)^MAX(0,$C321-$AB$303),0)))))</f>
      </c>
      <c r="O321" s="43">
        <f>IF($S$303=0,0,IF(OR(DATE($C321,11,15)&lt;$S$303,AND($T$303&gt;0,DATE($C321,11,15)&gt;$T$303)),0,IF(DATE($C321,11,15)&gt;=$X$303,$AA$303*(1+($U$303)/100)^MAX(0,$C321-$AD$303),IF(DATE($C321,11,15)&gt;=$W$303,$Z$303*(1+($U$303)/100)^MAX(0,$C321-$AC$303),IF(DATE($C321,11,15)&gt;=$V$303,$Y$303*(1+($U$303)/100)^MAX(0,$C321-$AB$303),0)))))</f>
      </c>
      <c r="P321" s="43">
        <f>IF($S$303=0,0,IF(OR(DATE($C321,12,15)&lt;$S$303,AND($T$303&gt;0,DATE($C321,12,15)&gt;$T$303)),0,IF(DATE($C321,12,15)&gt;=$X$303,$AA$303*(1+($U$303)/100)^MAX(0,$C321-$AD$303),IF(DATE($C321,12,15)&gt;=$W$303,$Z$303*(1+($U$303)/100)^MAX(0,$C321-$AC$303),IF(DATE($C321,12,15)&gt;=$V$303,$Y$303*(1+($U$303)/100)^MAX(0,$C321-$AB$303),0)))))</f>
      </c>
      <c r="Q321" s="43">
        <f>SUM($E321:$P321)</f>
      </c>
    </row>
    <row r="322">
      <c r="A322"/>
      <c r="B322">
        <v>10</v>
      </c>
      <c r="C322" s="43">
        <f>Jahr+19</f>
      </c>
      <c r="D322" s="43">
        <f>INDEX(MvObj,10)</f>
      </c>
      <c r="E322" s="43">
        <f>IF($S$303=0,0,IF(OR(DATE($C322,1,15)&lt;$S$303,AND($T$303&gt;0,DATE($C322,1,15)&gt;$T$303)),0,IF(DATE($C322,1,15)&gt;=$X$303,$AA$303*(1+($U$303)/100)^MAX(0,$C322-$AD$303),IF(DATE($C322,1,15)&gt;=$W$303,$Z$303*(1+($U$303)/100)^MAX(0,$C322-$AC$303),IF(DATE($C322,1,15)&gt;=$V$303,$Y$303*(1+($U$303)/100)^MAX(0,$C322-$AB$303),0)))))</f>
      </c>
      <c r="F322" s="43">
        <f>IF($S$303=0,0,IF(OR(DATE($C322,2,15)&lt;$S$303,AND($T$303&gt;0,DATE($C322,2,15)&gt;$T$303)),0,IF(DATE($C322,2,15)&gt;=$X$303,$AA$303*(1+($U$303)/100)^MAX(0,$C322-$AD$303),IF(DATE($C322,2,15)&gt;=$W$303,$Z$303*(1+($U$303)/100)^MAX(0,$C322-$AC$303),IF(DATE($C322,2,15)&gt;=$V$303,$Y$303*(1+($U$303)/100)^MAX(0,$C322-$AB$303),0)))))</f>
      </c>
      <c r="G322" s="43">
        <f>IF($S$303=0,0,IF(OR(DATE($C322,3,15)&lt;$S$303,AND($T$303&gt;0,DATE($C322,3,15)&gt;$T$303)),0,IF(DATE($C322,3,15)&gt;=$X$303,$AA$303*(1+($U$303)/100)^MAX(0,$C322-$AD$303),IF(DATE($C322,3,15)&gt;=$W$303,$Z$303*(1+($U$303)/100)^MAX(0,$C322-$AC$303),IF(DATE($C322,3,15)&gt;=$V$303,$Y$303*(1+($U$303)/100)^MAX(0,$C322-$AB$303),0)))))</f>
      </c>
      <c r="H322" s="43">
        <f>IF($S$303=0,0,IF(OR(DATE($C322,4,15)&lt;$S$303,AND($T$303&gt;0,DATE($C322,4,15)&gt;$T$303)),0,IF(DATE($C322,4,15)&gt;=$X$303,$AA$303*(1+($U$303)/100)^MAX(0,$C322-$AD$303),IF(DATE($C322,4,15)&gt;=$W$303,$Z$303*(1+($U$303)/100)^MAX(0,$C322-$AC$303),IF(DATE($C322,4,15)&gt;=$V$303,$Y$303*(1+($U$303)/100)^MAX(0,$C322-$AB$303),0)))))</f>
      </c>
      <c r="I322" s="43">
        <f>IF($S$303=0,0,IF(OR(DATE($C322,5,15)&lt;$S$303,AND($T$303&gt;0,DATE($C322,5,15)&gt;$T$303)),0,IF(DATE($C322,5,15)&gt;=$X$303,$AA$303*(1+($U$303)/100)^MAX(0,$C322-$AD$303),IF(DATE($C322,5,15)&gt;=$W$303,$Z$303*(1+($U$303)/100)^MAX(0,$C322-$AC$303),IF(DATE($C322,5,15)&gt;=$V$303,$Y$303*(1+($U$303)/100)^MAX(0,$C322-$AB$303),0)))))</f>
      </c>
      <c r="J322" s="43">
        <f>IF($S$303=0,0,IF(OR(DATE($C322,6,15)&lt;$S$303,AND($T$303&gt;0,DATE($C322,6,15)&gt;$T$303)),0,IF(DATE($C322,6,15)&gt;=$X$303,$AA$303*(1+($U$303)/100)^MAX(0,$C322-$AD$303),IF(DATE($C322,6,15)&gt;=$W$303,$Z$303*(1+($U$303)/100)^MAX(0,$C322-$AC$303),IF(DATE($C322,6,15)&gt;=$V$303,$Y$303*(1+($U$303)/100)^MAX(0,$C322-$AB$303),0)))))</f>
      </c>
      <c r="K322" s="43">
        <f>IF($S$303=0,0,IF(OR(DATE($C322,7,15)&lt;$S$303,AND($T$303&gt;0,DATE($C322,7,15)&gt;$T$303)),0,IF(DATE($C322,7,15)&gt;=$X$303,$AA$303*(1+($U$303)/100)^MAX(0,$C322-$AD$303),IF(DATE($C322,7,15)&gt;=$W$303,$Z$303*(1+($U$303)/100)^MAX(0,$C322-$AC$303),IF(DATE($C322,7,15)&gt;=$V$303,$Y$303*(1+($U$303)/100)^MAX(0,$C322-$AB$303),0)))))</f>
      </c>
      <c r="L322" s="43">
        <f>IF($S$303=0,0,IF(OR(DATE($C322,8,15)&lt;$S$303,AND($T$303&gt;0,DATE($C322,8,15)&gt;$T$303)),0,IF(DATE($C322,8,15)&gt;=$X$303,$AA$303*(1+($U$303)/100)^MAX(0,$C322-$AD$303),IF(DATE($C322,8,15)&gt;=$W$303,$Z$303*(1+($U$303)/100)^MAX(0,$C322-$AC$303),IF(DATE($C322,8,15)&gt;=$V$303,$Y$303*(1+($U$303)/100)^MAX(0,$C322-$AB$303),0)))))</f>
      </c>
      <c r="M322" s="43">
        <f>IF($S$303=0,0,IF(OR(DATE($C322,9,15)&lt;$S$303,AND($T$303&gt;0,DATE($C322,9,15)&gt;$T$303)),0,IF(DATE($C322,9,15)&gt;=$X$303,$AA$303*(1+($U$303)/100)^MAX(0,$C322-$AD$303),IF(DATE($C322,9,15)&gt;=$W$303,$Z$303*(1+($U$303)/100)^MAX(0,$C322-$AC$303),IF(DATE($C322,9,15)&gt;=$V$303,$Y$303*(1+($U$303)/100)^MAX(0,$C322-$AB$303),0)))))</f>
      </c>
      <c r="N322" s="43">
        <f>IF($S$303=0,0,IF(OR(DATE($C322,10,15)&lt;$S$303,AND($T$303&gt;0,DATE($C322,10,15)&gt;$T$303)),0,IF(DATE($C322,10,15)&gt;=$X$303,$AA$303*(1+($U$303)/100)^MAX(0,$C322-$AD$303),IF(DATE($C322,10,15)&gt;=$W$303,$Z$303*(1+($U$303)/100)^MAX(0,$C322-$AC$303),IF(DATE($C322,10,15)&gt;=$V$303,$Y$303*(1+($U$303)/100)^MAX(0,$C322-$AB$303),0)))))</f>
      </c>
      <c r="O322" s="43">
        <f>IF($S$303=0,0,IF(OR(DATE($C322,11,15)&lt;$S$303,AND($T$303&gt;0,DATE($C322,11,15)&gt;$T$303)),0,IF(DATE($C322,11,15)&gt;=$X$303,$AA$303*(1+($U$303)/100)^MAX(0,$C322-$AD$303),IF(DATE($C322,11,15)&gt;=$W$303,$Z$303*(1+($U$303)/100)^MAX(0,$C322-$AC$303),IF(DATE($C322,11,15)&gt;=$V$303,$Y$303*(1+($U$303)/100)^MAX(0,$C322-$AB$303),0)))))</f>
      </c>
      <c r="P322" s="43">
        <f>IF($S$303=0,0,IF(OR(DATE($C322,12,15)&lt;$S$303,AND($T$303&gt;0,DATE($C322,12,15)&gt;$T$303)),0,IF(DATE($C322,12,15)&gt;=$X$303,$AA$303*(1+($U$303)/100)^MAX(0,$C322-$AD$303),IF(DATE($C322,12,15)&gt;=$W$303,$Z$303*(1+($U$303)/100)^MAX(0,$C322-$AC$303),IF(DATE($C322,12,15)&gt;=$V$303,$Y$303*(1+($U$303)/100)^MAX(0,$C322-$AB$303),0)))))</f>
      </c>
      <c r="Q322" s="43">
        <f>SUM($E322:$P322)</f>
      </c>
    </row>
    <row r="323">
      <c r="A323"/>
      <c r="B323">
        <v>10</v>
      </c>
      <c r="C323" s="43">
        <f>Jahr+20</f>
      </c>
      <c r="D323" s="43">
        <f>INDEX(MvObj,10)</f>
      </c>
      <c r="E323" s="43">
        <f>IF($S$303=0,0,IF(OR(DATE($C323,1,15)&lt;$S$303,AND($T$303&gt;0,DATE($C323,1,15)&gt;$T$303)),0,IF(DATE($C323,1,15)&gt;=$X$303,$AA$303*(1+($U$303)/100)^MAX(0,$C323-$AD$303),IF(DATE($C323,1,15)&gt;=$W$303,$Z$303*(1+($U$303)/100)^MAX(0,$C323-$AC$303),IF(DATE($C323,1,15)&gt;=$V$303,$Y$303*(1+($U$303)/100)^MAX(0,$C323-$AB$303),0)))))</f>
      </c>
      <c r="F323" s="43">
        <f>IF($S$303=0,0,IF(OR(DATE($C323,2,15)&lt;$S$303,AND($T$303&gt;0,DATE($C323,2,15)&gt;$T$303)),0,IF(DATE($C323,2,15)&gt;=$X$303,$AA$303*(1+($U$303)/100)^MAX(0,$C323-$AD$303),IF(DATE($C323,2,15)&gt;=$W$303,$Z$303*(1+($U$303)/100)^MAX(0,$C323-$AC$303),IF(DATE($C323,2,15)&gt;=$V$303,$Y$303*(1+($U$303)/100)^MAX(0,$C323-$AB$303),0)))))</f>
      </c>
      <c r="G323" s="43">
        <f>IF($S$303=0,0,IF(OR(DATE($C323,3,15)&lt;$S$303,AND($T$303&gt;0,DATE($C323,3,15)&gt;$T$303)),0,IF(DATE($C323,3,15)&gt;=$X$303,$AA$303*(1+($U$303)/100)^MAX(0,$C323-$AD$303),IF(DATE($C323,3,15)&gt;=$W$303,$Z$303*(1+($U$303)/100)^MAX(0,$C323-$AC$303),IF(DATE($C323,3,15)&gt;=$V$303,$Y$303*(1+($U$303)/100)^MAX(0,$C323-$AB$303),0)))))</f>
      </c>
      <c r="H323" s="43">
        <f>IF($S$303=0,0,IF(OR(DATE($C323,4,15)&lt;$S$303,AND($T$303&gt;0,DATE($C323,4,15)&gt;$T$303)),0,IF(DATE($C323,4,15)&gt;=$X$303,$AA$303*(1+($U$303)/100)^MAX(0,$C323-$AD$303),IF(DATE($C323,4,15)&gt;=$W$303,$Z$303*(1+($U$303)/100)^MAX(0,$C323-$AC$303),IF(DATE($C323,4,15)&gt;=$V$303,$Y$303*(1+($U$303)/100)^MAX(0,$C323-$AB$303),0)))))</f>
      </c>
      <c r="I323" s="43">
        <f>IF($S$303=0,0,IF(OR(DATE($C323,5,15)&lt;$S$303,AND($T$303&gt;0,DATE($C323,5,15)&gt;$T$303)),0,IF(DATE($C323,5,15)&gt;=$X$303,$AA$303*(1+($U$303)/100)^MAX(0,$C323-$AD$303),IF(DATE($C323,5,15)&gt;=$W$303,$Z$303*(1+($U$303)/100)^MAX(0,$C323-$AC$303),IF(DATE($C323,5,15)&gt;=$V$303,$Y$303*(1+($U$303)/100)^MAX(0,$C323-$AB$303),0)))))</f>
      </c>
      <c r="J323" s="43">
        <f>IF($S$303=0,0,IF(OR(DATE($C323,6,15)&lt;$S$303,AND($T$303&gt;0,DATE($C323,6,15)&gt;$T$303)),0,IF(DATE($C323,6,15)&gt;=$X$303,$AA$303*(1+($U$303)/100)^MAX(0,$C323-$AD$303),IF(DATE($C323,6,15)&gt;=$W$303,$Z$303*(1+($U$303)/100)^MAX(0,$C323-$AC$303),IF(DATE($C323,6,15)&gt;=$V$303,$Y$303*(1+($U$303)/100)^MAX(0,$C323-$AB$303),0)))))</f>
      </c>
      <c r="K323" s="43">
        <f>IF($S$303=0,0,IF(OR(DATE($C323,7,15)&lt;$S$303,AND($T$303&gt;0,DATE($C323,7,15)&gt;$T$303)),0,IF(DATE($C323,7,15)&gt;=$X$303,$AA$303*(1+($U$303)/100)^MAX(0,$C323-$AD$303),IF(DATE($C323,7,15)&gt;=$W$303,$Z$303*(1+($U$303)/100)^MAX(0,$C323-$AC$303),IF(DATE($C323,7,15)&gt;=$V$303,$Y$303*(1+($U$303)/100)^MAX(0,$C323-$AB$303),0)))))</f>
      </c>
      <c r="L323" s="43">
        <f>IF($S$303=0,0,IF(OR(DATE($C323,8,15)&lt;$S$303,AND($T$303&gt;0,DATE($C323,8,15)&gt;$T$303)),0,IF(DATE($C323,8,15)&gt;=$X$303,$AA$303*(1+($U$303)/100)^MAX(0,$C323-$AD$303),IF(DATE($C323,8,15)&gt;=$W$303,$Z$303*(1+($U$303)/100)^MAX(0,$C323-$AC$303),IF(DATE($C323,8,15)&gt;=$V$303,$Y$303*(1+($U$303)/100)^MAX(0,$C323-$AB$303),0)))))</f>
      </c>
      <c r="M323" s="43">
        <f>IF($S$303=0,0,IF(OR(DATE($C323,9,15)&lt;$S$303,AND($T$303&gt;0,DATE($C323,9,15)&gt;$T$303)),0,IF(DATE($C323,9,15)&gt;=$X$303,$AA$303*(1+($U$303)/100)^MAX(0,$C323-$AD$303),IF(DATE($C323,9,15)&gt;=$W$303,$Z$303*(1+($U$303)/100)^MAX(0,$C323-$AC$303),IF(DATE($C323,9,15)&gt;=$V$303,$Y$303*(1+($U$303)/100)^MAX(0,$C323-$AB$303),0)))))</f>
      </c>
      <c r="N323" s="43">
        <f>IF($S$303=0,0,IF(OR(DATE($C323,10,15)&lt;$S$303,AND($T$303&gt;0,DATE($C323,10,15)&gt;$T$303)),0,IF(DATE($C323,10,15)&gt;=$X$303,$AA$303*(1+($U$303)/100)^MAX(0,$C323-$AD$303),IF(DATE($C323,10,15)&gt;=$W$303,$Z$303*(1+($U$303)/100)^MAX(0,$C323-$AC$303),IF(DATE($C323,10,15)&gt;=$V$303,$Y$303*(1+($U$303)/100)^MAX(0,$C323-$AB$303),0)))))</f>
      </c>
      <c r="O323" s="43">
        <f>IF($S$303=0,0,IF(OR(DATE($C323,11,15)&lt;$S$303,AND($T$303&gt;0,DATE($C323,11,15)&gt;$T$303)),0,IF(DATE($C323,11,15)&gt;=$X$303,$AA$303*(1+($U$303)/100)^MAX(0,$C323-$AD$303),IF(DATE($C323,11,15)&gt;=$W$303,$Z$303*(1+($U$303)/100)^MAX(0,$C323-$AC$303),IF(DATE($C323,11,15)&gt;=$V$303,$Y$303*(1+($U$303)/100)^MAX(0,$C323-$AB$303),0)))))</f>
      </c>
      <c r="P323" s="43">
        <f>IF($S$303=0,0,IF(OR(DATE($C323,12,15)&lt;$S$303,AND($T$303&gt;0,DATE($C323,12,15)&gt;$T$303)),0,IF(DATE($C323,12,15)&gt;=$X$303,$AA$303*(1+($U$303)/100)^MAX(0,$C323-$AD$303),IF(DATE($C323,12,15)&gt;=$W$303,$Z$303*(1+($U$303)/100)^MAX(0,$C323-$AC$303),IF(DATE($C323,12,15)&gt;=$V$303,$Y$303*(1+($U$303)/100)^MAX(0,$C323-$AB$303),0)))))</f>
      </c>
      <c r="Q323" s="43">
        <f>SUM($E323:$P323)</f>
      </c>
    </row>
    <row r="324">
      <c r="A324"/>
      <c r="B324">
        <v>10</v>
      </c>
      <c r="C324" s="43">
        <f>Jahr+21</f>
      </c>
      <c r="D324" s="43">
        <f>INDEX(MvObj,10)</f>
      </c>
      <c r="E324" s="43">
        <f>IF($S$303=0,0,IF(OR(DATE($C324,1,15)&lt;$S$303,AND($T$303&gt;0,DATE($C324,1,15)&gt;$T$303)),0,IF(DATE($C324,1,15)&gt;=$X$303,$AA$303*(1+($U$303)/100)^MAX(0,$C324-$AD$303),IF(DATE($C324,1,15)&gt;=$W$303,$Z$303*(1+($U$303)/100)^MAX(0,$C324-$AC$303),IF(DATE($C324,1,15)&gt;=$V$303,$Y$303*(1+($U$303)/100)^MAX(0,$C324-$AB$303),0)))))</f>
      </c>
      <c r="F324" s="43">
        <f>IF($S$303=0,0,IF(OR(DATE($C324,2,15)&lt;$S$303,AND($T$303&gt;0,DATE($C324,2,15)&gt;$T$303)),0,IF(DATE($C324,2,15)&gt;=$X$303,$AA$303*(1+($U$303)/100)^MAX(0,$C324-$AD$303),IF(DATE($C324,2,15)&gt;=$W$303,$Z$303*(1+($U$303)/100)^MAX(0,$C324-$AC$303),IF(DATE($C324,2,15)&gt;=$V$303,$Y$303*(1+($U$303)/100)^MAX(0,$C324-$AB$303),0)))))</f>
      </c>
      <c r="G324" s="43">
        <f>IF($S$303=0,0,IF(OR(DATE($C324,3,15)&lt;$S$303,AND($T$303&gt;0,DATE($C324,3,15)&gt;$T$303)),0,IF(DATE($C324,3,15)&gt;=$X$303,$AA$303*(1+($U$303)/100)^MAX(0,$C324-$AD$303),IF(DATE($C324,3,15)&gt;=$W$303,$Z$303*(1+($U$303)/100)^MAX(0,$C324-$AC$303),IF(DATE($C324,3,15)&gt;=$V$303,$Y$303*(1+($U$303)/100)^MAX(0,$C324-$AB$303),0)))))</f>
      </c>
      <c r="H324" s="43">
        <f>IF($S$303=0,0,IF(OR(DATE($C324,4,15)&lt;$S$303,AND($T$303&gt;0,DATE($C324,4,15)&gt;$T$303)),0,IF(DATE($C324,4,15)&gt;=$X$303,$AA$303*(1+($U$303)/100)^MAX(0,$C324-$AD$303),IF(DATE($C324,4,15)&gt;=$W$303,$Z$303*(1+($U$303)/100)^MAX(0,$C324-$AC$303),IF(DATE($C324,4,15)&gt;=$V$303,$Y$303*(1+($U$303)/100)^MAX(0,$C324-$AB$303),0)))))</f>
      </c>
      <c r="I324" s="43">
        <f>IF($S$303=0,0,IF(OR(DATE($C324,5,15)&lt;$S$303,AND($T$303&gt;0,DATE($C324,5,15)&gt;$T$303)),0,IF(DATE($C324,5,15)&gt;=$X$303,$AA$303*(1+($U$303)/100)^MAX(0,$C324-$AD$303),IF(DATE($C324,5,15)&gt;=$W$303,$Z$303*(1+($U$303)/100)^MAX(0,$C324-$AC$303),IF(DATE($C324,5,15)&gt;=$V$303,$Y$303*(1+($U$303)/100)^MAX(0,$C324-$AB$303),0)))))</f>
      </c>
      <c r="J324" s="43">
        <f>IF($S$303=0,0,IF(OR(DATE($C324,6,15)&lt;$S$303,AND($T$303&gt;0,DATE($C324,6,15)&gt;$T$303)),0,IF(DATE($C324,6,15)&gt;=$X$303,$AA$303*(1+($U$303)/100)^MAX(0,$C324-$AD$303),IF(DATE($C324,6,15)&gt;=$W$303,$Z$303*(1+($U$303)/100)^MAX(0,$C324-$AC$303),IF(DATE($C324,6,15)&gt;=$V$303,$Y$303*(1+($U$303)/100)^MAX(0,$C324-$AB$303),0)))))</f>
      </c>
      <c r="K324" s="43">
        <f>IF($S$303=0,0,IF(OR(DATE($C324,7,15)&lt;$S$303,AND($T$303&gt;0,DATE($C324,7,15)&gt;$T$303)),0,IF(DATE($C324,7,15)&gt;=$X$303,$AA$303*(1+($U$303)/100)^MAX(0,$C324-$AD$303),IF(DATE($C324,7,15)&gt;=$W$303,$Z$303*(1+($U$303)/100)^MAX(0,$C324-$AC$303),IF(DATE($C324,7,15)&gt;=$V$303,$Y$303*(1+($U$303)/100)^MAX(0,$C324-$AB$303),0)))))</f>
      </c>
      <c r="L324" s="43">
        <f>IF($S$303=0,0,IF(OR(DATE($C324,8,15)&lt;$S$303,AND($T$303&gt;0,DATE($C324,8,15)&gt;$T$303)),0,IF(DATE($C324,8,15)&gt;=$X$303,$AA$303*(1+($U$303)/100)^MAX(0,$C324-$AD$303),IF(DATE($C324,8,15)&gt;=$W$303,$Z$303*(1+($U$303)/100)^MAX(0,$C324-$AC$303),IF(DATE($C324,8,15)&gt;=$V$303,$Y$303*(1+($U$303)/100)^MAX(0,$C324-$AB$303),0)))))</f>
      </c>
      <c r="M324" s="43">
        <f>IF($S$303=0,0,IF(OR(DATE($C324,9,15)&lt;$S$303,AND($T$303&gt;0,DATE($C324,9,15)&gt;$T$303)),0,IF(DATE($C324,9,15)&gt;=$X$303,$AA$303*(1+($U$303)/100)^MAX(0,$C324-$AD$303),IF(DATE($C324,9,15)&gt;=$W$303,$Z$303*(1+($U$303)/100)^MAX(0,$C324-$AC$303),IF(DATE($C324,9,15)&gt;=$V$303,$Y$303*(1+($U$303)/100)^MAX(0,$C324-$AB$303),0)))))</f>
      </c>
      <c r="N324" s="43">
        <f>IF($S$303=0,0,IF(OR(DATE($C324,10,15)&lt;$S$303,AND($T$303&gt;0,DATE($C324,10,15)&gt;$T$303)),0,IF(DATE($C324,10,15)&gt;=$X$303,$AA$303*(1+($U$303)/100)^MAX(0,$C324-$AD$303),IF(DATE($C324,10,15)&gt;=$W$303,$Z$303*(1+($U$303)/100)^MAX(0,$C324-$AC$303),IF(DATE($C324,10,15)&gt;=$V$303,$Y$303*(1+($U$303)/100)^MAX(0,$C324-$AB$303),0)))))</f>
      </c>
      <c r="O324" s="43">
        <f>IF($S$303=0,0,IF(OR(DATE($C324,11,15)&lt;$S$303,AND($T$303&gt;0,DATE($C324,11,15)&gt;$T$303)),0,IF(DATE($C324,11,15)&gt;=$X$303,$AA$303*(1+($U$303)/100)^MAX(0,$C324-$AD$303),IF(DATE($C324,11,15)&gt;=$W$303,$Z$303*(1+($U$303)/100)^MAX(0,$C324-$AC$303),IF(DATE($C324,11,15)&gt;=$V$303,$Y$303*(1+($U$303)/100)^MAX(0,$C324-$AB$303),0)))))</f>
      </c>
      <c r="P324" s="43">
        <f>IF($S$303=0,0,IF(OR(DATE($C324,12,15)&lt;$S$303,AND($T$303&gt;0,DATE($C324,12,15)&gt;$T$303)),0,IF(DATE($C324,12,15)&gt;=$X$303,$AA$303*(1+($U$303)/100)^MAX(0,$C324-$AD$303),IF(DATE($C324,12,15)&gt;=$W$303,$Z$303*(1+($U$303)/100)^MAX(0,$C324-$AC$303),IF(DATE($C324,12,15)&gt;=$V$303,$Y$303*(1+($U$303)/100)^MAX(0,$C324-$AB$303),0)))))</f>
      </c>
      <c r="Q324" s="43">
        <f>SUM($E324:$P324)</f>
      </c>
    </row>
    <row r="325">
      <c r="A325"/>
      <c r="B325">
        <v>10</v>
      </c>
      <c r="C325" s="43">
        <f>Jahr+22</f>
      </c>
      <c r="D325" s="43">
        <f>INDEX(MvObj,10)</f>
      </c>
      <c r="E325" s="43">
        <f>IF($S$303=0,0,IF(OR(DATE($C325,1,15)&lt;$S$303,AND($T$303&gt;0,DATE($C325,1,15)&gt;$T$303)),0,IF(DATE($C325,1,15)&gt;=$X$303,$AA$303*(1+($U$303)/100)^MAX(0,$C325-$AD$303),IF(DATE($C325,1,15)&gt;=$W$303,$Z$303*(1+($U$303)/100)^MAX(0,$C325-$AC$303),IF(DATE($C325,1,15)&gt;=$V$303,$Y$303*(1+($U$303)/100)^MAX(0,$C325-$AB$303),0)))))</f>
      </c>
      <c r="F325" s="43">
        <f>IF($S$303=0,0,IF(OR(DATE($C325,2,15)&lt;$S$303,AND($T$303&gt;0,DATE($C325,2,15)&gt;$T$303)),0,IF(DATE($C325,2,15)&gt;=$X$303,$AA$303*(1+($U$303)/100)^MAX(0,$C325-$AD$303),IF(DATE($C325,2,15)&gt;=$W$303,$Z$303*(1+($U$303)/100)^MAX(0,$C325-$AC$303),IF(DATE($C325,2,15)&gt;=$V$303,$Y$303*(1+($U$303)/100)^MAX(0,$C325-$AB$303),0)))))</f>
      </c>
      <c r="G325" s="43">
        <f>IF($S$303=0,0,IF(OR(DATE($C325,3,15)&lt;$S$303,AND($T$303&gt;0,DATE($C325,3,15)&gt;$T$303)),0,IF(DATE($C325,3,15)&gt;=$X$303,$AA$303*(1+($U$303)/100)^MAX(0,$C325-$AD$303),IF(DATE($C325,3,15)&gt;=$W$303,$Z$303*(1+($U$303)/100)^MAX(0,$C325-$AC$303),IF(DATE($C325,3,15)&gt;=$V$303,$Y$303*(1+($U$303)/100)^MAX(0,$C325-$AB$303),0)))))</f>
      </c>
      <c r="H325" s="43">
        <f>IF($S$303=0,0,IF(OR(DATE($C325,4,15)&lt;$S$303,AND($T$303&gt;0,DATE($C325,4,15)&gt;$T$303)),0,IF(DATE($C325,4,15)&gt;=$X$303,$AA$303*(1+($U$303)/100)^MAX(0,$C325-$AD$303),IF(DATE($C325,4,15)&gt;=$W$303,$Z$303*(1+($U$303)/100)^MAX(0,$C325-$AC$303),IF(DATE($C325,4,15)&gt;=$V$303,$Y$303*(1+($U$303)/100)^MAX(0,$C325-$AB$303),0)))))</f>
      </c>
      <c r="I325" s="43">
        <f>IF($S$303=0,0,IF(OR(DATE($C325,5,15)&lt;$S$303,AND($T$303&gt;0,DATE($C325,5,15)&gt;$T$303)),0,IF(DATE($C325,5,15)&gt;=$X$303,$AA$303*(1+($U$303)/100)^MAX(0,$C325-$AD$303),IF(DATE($C325,5,15)&gt;=$W$303,$Z$303*(1+($U$303)/100)^MAX(0,$C325-$AC$303),IF(DATE($C325,5,15)&gt;=$V$303,$Y$303*(1+($U$303)/100)^MAX(0,$C325-$AB$303),0)))))</f>
      </c>
      <c r="J325" s="43">
        <f>IF($S$303=0,0,IF(OR(DATE($C325,6,15)&lt;$S$303,AND($T$303&gt;0,DATE($C325,6,15)&gt;$T$303)),0,IF(DATE($C325,6,15)&gt;=$X$303,$AA$303*(1+($U$303)/100)^MAX(0,$C325-$AD$303),IF(DATE($C325,6,15)&gt;=$W$303,$Z$303*(1+($U$303)/100)^MAX(0,$C325-$AC$303),IF(DATE($C325,6,15)&gt;=$V$303,$Y$303*(1+($U$303)/100)^MAX(0,$C325-$AB$303),0)))))</f>
      </c>
      <c r="K325" s="43">
        <f>IF($S$303=0,0,IF(OR(DATE($C325,7,15)&lt;$S$303,AND($T$303&gt;0,DATE($C325,7,15)&gt;$T$303)),0,IF(DATE($C325,7,15)&gt;=$X$303,$AA$303*(1+($U$303)/100)^MAX(0,$C325-$AD$303),IF(DATE($C325,7,15)&gt;=$W$303,$Z$303*(1+($U$303)/100)^MAX(0,$C325-$AC$303),IF(DATE($C325,7,15)&gt;=$V$303,$Y$303*(1+($U$303)/100)^MAX(0,$C325-$AB$303),0)))))</f>
      </c>
      <c r="L325" s="43">
        <f>IF($S$303=0,0,IF(OR(DATE($C325,8,15)&lt;$S$303,AND($T$303&gt;0,DATE($C325,8,15)&gt;$T$303)),0,IF(DATE($C325,8,15)&gt;=$X$303,$AA$303*(1+($U$303)/100)^MAX(0,$C325-$AD$303),IF(DATE($C325,8,15)&gt;=$W$303,$Z$303*(1+($U$303)/100)^MAX(0,$C325-$AC$303),IF(DATE($C325,8,15)&gt;=$V$303,$Y$303*(1+($U$303)/100)^MAX(0,$C325-$AB$303),0)))))</f>
      </c>
      <c r="M325" s="43">
        <f>IF($S$303=0,0,IF(OR(DATE($C325,9,15)&lt;$S$303,AND($T$303&gt;0,DATE($C325,9,15)&gt;$T$303)),0,IF(DATE($C325,9,15)&gt;=$X$303,$AA$303*(1+($U$303)/100)^MAX(0,$C325-$AD$303),IF(DATE($C325,9,15)&gt;=$W$303,$Z$303*(1+($U$303)/100)^MAX(0,$C325-$AC$303),IF(DATE($C325,9,15)&gt;=$V$303,$Y$303*(1+($U$303)/100)^MAX(0,$C325-$AB$303),0)))))</f>
      </c>
      <c r="N325" s="43">
        <f>IF($S$303=0,0,IF(OR(DATE($C325,10,15)&lt;$S$303,AND($T$303&gt;0,DATE($C325,10,15)&gt;$T$303)),0,IF(DATE($C325,10,15)&gt;=$X$303,$AA$303*(1+($U$303)/100)^MAX(0,$C325-$AD$303),IF(DATE($C325,10,15)&gt;=$W$303,$Z$303*(1+($U$303)/100)^MAX(0,$C325-$AC$303),IF(DATE($C325,10,15)&gt;=$V$303,$Y$303*(1+($U$303)/100)^MAX(0,$C325-$AB$303),0)))))</f>
      </c>
      <c r="O325" s="43">
        <f>IF($S$303=0,0,IF(OR(DATE($C325,11,15)&lt;$S$303,AND($T$303&gt;0,DATE($C325,11,15)&gt;$T$303)),0,IF(DATE($C325,11,15)&gt;=$X$303,$AA$303*(1+($U$303)/100)^MAX(0,$C325-$AD$303),IF(DATE($C325,11,15)&gt;=$W$303,$Z$303*(1+($U$303)/100)^MAX(0,$C325-$AC$303),IF(DATE($C325,11,15)&gt;=$V$303,$Y$303*(1+($U$303)/100)^MAX(0,$C325-$AB$303),0)))))</f>
      </c>
      <c r="P325" s="43">
        <f>IF($S$303=0,0,IF(OR(DATE($C325,12,15)&lt;$S$303,AND($T$303&gt;0,DATE($C325,12,15)&gt;$T$303)),0,IF(DATE($C325,12,15)&gt;=$X$303,$AA$303*(1+($U$303)/100)^MAX(0,$C325-$AD$303),IF(DATE($C325,12,15)&gt;=$W$303,$Z$303*(1+($U$303)/100)^MAX(0,$C325-$AC$303),IF(DATE($C325,12,15)&gt;=$V$303,$Y$303*(1+($U$303)/100)^MAX(0,$C325-$AB$303),0)))))</f>
      </c>
      <c r="Q325" s="43">
        <f>SUM($E325:$P325)</f>
      </c>
    </row>
    <row r="326">
      <c r="A326"/>
      <c r="B326">
        <v>10</v>
      </c>
      <c r="C326" s="43">
        <f>Jahr+23</f>
      </c>
      <c r="D326" s="43">
        <f>INDEX(MvObj,10)</f>
      </c>
      <c r="E326" s="43">
        <f>IF($S$303=0,0,IF(OR(DATE($C326,1,15)&lt;$S$303,AND($T$303&gt;0,DATE($C326,1,15)&gt;$T$303)),0,IF(DATE($C326,1,15)&gt;=$X$303,$AA$303*(1+($U$303)/100)^MAX(0,$C326-$AD$303),IF(DATE($C326,1,15)&gt;=$W$303,$Z$303*(1+($U$303)/100)^MAX(0,$C326-$AC$303),IF(DATE($C326,1,15)&gt;=$V$303,$Y$303*(1+($U$303)/100)^MAX(0,$C326-$AB$303),0)))))</f>
      </c>
      <c r="F326" s="43">
        <f>IF($S$303=0,0,IF(OR(DATE($C326,2,15)&lt;$S$303,AND($T$303&gt;0,DATE($C326,2,15)&gt;$T$303)),0,IF(DATE($C326,2,15)&gt;=$X$303,$AA$303*(1+($U$303)/100)^MAX(0,$C326-$AD$303),IF(DATE($C326,2,15)&gt;=$W$303,$Z$303*(1+($U$303)/100)^MAX(0,$C326-$AC$303),IF(DATE($C326,2,15)&gt;=$V$303,$Y$303*(1+($U$303)/100)^MAX(0,$C326-$AB$303),0)))))</f>
      </c>
      <c r="G326" s="43">
        <f>IF($S$303=0,0,IF(OR(DATE($C326,3,15)&lt;$S$303,AND($T$303&gt;0,DATE($C326,3,15)&gt;$T$303)),0,IF(DATE($C326,3,15)&gt;=$X$303,$AA$303*(1+($U$303)/100)^MAX(0,$C326-$AD$303),IF(DATE($C326,3,15)&gt;=$W$303,$Z$303*(1+($U$303)/100)^MAX(0,$C326-$AC$303),IF(DATE($C326,3,15)&gt;=$V$303,$Y$303*(1+($U$303)/100)^MAX(0,$C326-$AB$303),0)))))</f>
      </c>
      <c r="H326" s="43">
        <f>IF($S$303=0,0,IF(OR(DATE($C326,4,15)&lt;$S$303,AND($T$303&gt;0,DATE($C326,4,15)&gt;$T$303)),0,IF(DATE($C326,4,15)&gt;=$X$303,$AA$303*(1+($U$303)/100)^MAX(0,$C326-$AD$303),IF(DATE($C326,4,15)&gt;=$W$303,$Z$303*(1+($U$303)/100)^MAX(0,$C326-$AC$303),IF(DATE($C326,4,15)&gt;=$V$303,$Y$303*(1+($U$303)/100)^MAX(0,$C326-$AB$303),0)))))</f>
      </c>
      <c r="I326" s="43">
        <f>IF($S$303=0,0,IF(OR(DATE($C326,5,15)&lt;$S$303,AND($T$303&gt;0,DATE($C326,5,15)&gt;$T$303)),0,IF(DATE($C326,5,15)&gt;=$X$303,$AA$303*(1+($U$303)/100)^MAX(0,$C326-$AD$303),IF(DATE($C326,5,15)&gt;=$W$303,$Z$303*(1+($U$303)/100)^MAX(0,$C326-$AC$303),IF(DATE($C326,5,15)&gt;=$V$303,$Y$303*(1+($U$303)/100)^MAX(0,$C326-$AB$303),0)))))</f>
      </c>
      <c r="J326" s="43">
        <f>IF($S$303=0,0,IF(OR(DATE($C326,6,15)&lt;$S$303,AND($T$303&gt;0,DATE($C326,6,15)&gt;$T$303)),0,IF(DATE($C326,6,15)&gt;=$X$303,$AA$303*(1+($U$303)/100)^MAX(0,$C326-$AD$303),IF(DATE($C326,6,15)&gt;=$W$303,$Z$303*(1+($U$303)/100)^MAX(0,$C326-$AC$303),IF(DATE($C326,6,15)&gt;=$V$303,$Y$303*(1+($U$303)/100)^MAX(0,$C326-$AB$303),0)))))</f>
      </c>
      <c r="K326" s="43">
        <f>IF($S$303=0,0,IF(OR(DATE($C326,7,15)&lt;$S$303,AND($T$303&gt;0,DATE($C326,7,15)&gt;$T$303)),0,IF(DATE($C326,7,15)&gt;=$X$303,$AA$303*(1+($U$303)/100)^MAX(0,$C326-$AD$303),IF(DATE($C326,7,15)&gt;=$W$303,$Z$303*(1+($U$303)/100)^MAX(0,$C326-$AC$303),IF(DATE($C326,7,15)&gt;=$V$303,$Y$303*(1+($U$303)/100)^MAX(0,$C326-$AB$303),0)))))</f>
      </c>
      <c r="L326" s="43">
        <f>IF($S$303=0,0,IF(OR(DATE($C326,8,15)&lt;$S$303,AND($T$303&gt;0,DATE($C326,8,15)&gt;$T$303)),0,IF(DATE($C326,8,15)&gt;=$X$303,$AA$303*(1+($U$303)/100)^MAX(0,$C326-$AD$303),IF(DATE($C326,8,15)&gt;=$W$303,$Z$303*(1+($U$303)/100)^MAX(0,$C326-$AC$303),IF(DATE($C326,8,15)&gt;=$V$303,$Y$303*(1+($U$303)/100)^MAX(0,$C326-$AB$303),0)))))</f>
      </c>
      <c r="M326" s="43">
        <f>IF($S$303=0,0,IF(OR(DATE($C326,9,15)&lt;$S$303,AND($T$303&gt;0,DATE($C326,9,15)&gt;$T$303)),0,IF(DATE($C326,9,15)&gt;=$X$303,$AA$303*(1+($U$303)/100)^MAX(0,$C326-$AD$303),IF(DATE($C326,9,15)&gt;=$W$303,$Z$303*(1+($U$303)/100)^MAX(0,$C326-$AC$303),IF(DATE($C326,9,15)&gt;=$V$303,$Y$303*(1+($U$303)/100)^MAX(0,$C326-$AB$303),0)))))</f>
      </c>
      <c r="N326" s="43">
        <f>IF($S$303=0,0,IF(OR(DATE($C326,10,15)&lt;$S$303,AND($T$303&gt;0,DATE($C326,10,15)&gt;$T$303)),0,IF(DATE($C326,10,15)&gt;=$X$303,$AA$303*(1+($U$303)/100)^MAX(0,$C326-$AD$303),IF(DATE($C326,10,15)&gt;=$W$303,$Z$303*(1+($U$303)/100)^MAX(0,$C326-$AC$303),IF(DATE($C326,10,15)&gt;=$V$303,$Y$303*(1+($U$303)/100)^MAX(0,$C326-$AB$303),0)))))</f>
      </c>
      <c r="O326" s="43">
        <f>IF($S$303=0,0,IF(OR(DATE($C326,11,15)&lt;$S$303,AND($T$303&gt;0,DATE($C326,11,15)&gt;$T$303)),0,IF(DATE($C326,11,15)&gt;=$X$303,$AA$303*(1+($U$303)/100)^MAX(0,$C326-$AD$303),IF(DATE($C326,11,15)&gt;=$W$303,$Z$303*(1+($U$303)/100)^MAX(0,$C326-$AC$303),IF(DATE($C326,11,15)&gt;=$V$303,$Y$303*(1+($U$303)/100)^MAX(0,$C326-$AB$303),0)))))</f>
      </c>
      <c r="P326" s="43">
        <f>IF($S$303=0,0,IF(OR(DATE($C326,12,15)&lt;$S$303,AND($T$303&gt;0,DATE($C326,12,15)&gt;$T$303)),0,IF(DATE($C326,12,15)&gt;=$X$303,$AA$303*(1+($U$303)/100)^MAX(0,$C326-$AD$303),IF(DATE($C326,12,15)&gt;=$W$303,$Z$303*(1+($U$303)/100)^MAX(0,$C326-$AC$303),IF(DATE($C326,12,15)&gt;=$V$303,$Y$303*(1+($U$303)/100)^MAX(0,$C326-$AB$303),0)))))</f>
      </c>
      <c r="Q326" s="43">
        <f>SUM($E326:$P326)</f>
      </c>
    </row>
    <row r="327">
      <c r="A327"/>
      <c r="B327">
        <v>10</v>
      </c>
      <c r="C327" s="43">
        <f>Jahr+24</f>
      </c>
      <c r="D327" s="43">
        <f>INDEX(MvObj,10)</f>
      </c>
      <c r="E327" s="43">
        <f>IF($S$303=0,0,IF(OR(DATE($C327,1,15)&lt;$S$303,AND($T$303&gt;0,DATE($C327,1,15)&gt;$T$303)),0,IF(DATE($C327,1,15)&gt;=$X$303,$AA$303*(1+($U$303)/100)^MAX(0,$C327-$AD$303),IF(DATE($C327,1,15)&gt;=$W$303,$Z$303*(1+($U$303)/100)^MAX(0,$C327-$AC$303),IF(DATE($C327,1,15)&gt;=$V$303,$Y$303*(1+($U$303)/100)^MAX(0,$C327-$AB$303),0)))))</f>
      </c>
      <c r="F327" s="43">
        <f>IF($S$303=0,0,IF(OR(DATE($C327,2,15)&lt;$S$303,AND($T$303&gt;0,DATE($C327,2,15)&gt;$T$303)),0,IF(DATE($C327,2,15)&gt;=$X$303,$AA$303*(1+($U$303)/100)^MAX(0,$C327-$AD$303),IF(DATE($C327,2,15)&gt;=$W$303,$Z$303*(1+($U$303)/100)^MAX(0,$C327-$AC$303),IF(DATE($C327,2,15)&gt;=$V$303,$Y$303*(1+($U$303)/100)^MAX(0,$C327-$AB$303),0)))))</f>
      </c>
      <c r="G327" s="43">
        <f>IF($S$303=0,0,IF(OR(DATE($C327,3,15)&lt;$S$303,AND($T$303&gt;0,DATE($C327,3,15)&gt;$T$303)),0,IF(DATE($C327,3,15)&gt;=$X$303,$AA$303*(1+($U$303)/100)^MAX(0,$C327-$AD$303),IF(DATE($C327,3,15)&gt;=$W$303,$Z$303*(1+($U$303)/100)^MAX(0,$C327-$AC$303),IF(DATE($C327,3,15)&gt;=$V$303,$Y$303*(1+($U$303)/100)^MAX(0,$C327-$AB$303),0)))))</f>
      </c>
      <c r="H327" s="43">
        <f>IF($S$303=0,0,IF(OR(DATE($C327,4,15)&lt;$S$303,AND($T$303&gt;0,DATE($C327,4,15)&gt;$T$303)),0,IF(DATE($C327,4,15)&gt;=$X$303,$AA$303*(1+($U$303)/100)^MAX(0,$C327-$AD$303),IF(DATE($C327,4,15)&gt;=$W$303,$Z$303*(1+($U$303)/100)^MAX(0,$C327-$AC$303),IF(DATE($C327,4,15)&gt;=$V$303,$Y$303*(1+($U$303)/100)^MAX(0,$C327-$AB$303),0)))))</f>
      </c>
      <c r="I327" s="43">
        <f>IF($S$303=0,0,IF(OR(DATE($C327,5,15)&lt;$S$303,AND($T$303&gt;0,DATE($C327,5,15)&gt;$T$303)),0,IF(DATE($C327,5,15)&gt;=$X$303,$AA$303*(1+($U$303)/100)^MAX(0,$C327-$AD$303),IF(DATE($C327,5,15)&gt;=$W$303,$Z$303*(1+($U$303)/100)^MAX(0,$C327-$AC$303),IF(DATE($C327,5,15)&gt;=$V$303,$Y$303*(1+($U$303)/100)^MAX(0,$C327-$AB$303),0)))))</f>
      </c>
      <c r="J327" s="43">
        <f>IF($S$303=0,0,IF(OR(DATE($C327,6,15)&lt;$S$303,AND($T$303&gt;0,DATE($C327,6,15)&gt;$T$303)),0,IF(DATE($C327,6,15)&gt;=$X$303,$AA$303*(1+($U$303)/100)^MAX(0,$C327-$AD$303),IF(DATE($C327,6,15)&gt;=$W$303,$Z$303*(1+($U$303)/100)^MAX(0,$C327-$AC$303),IF(DATE($C327,6,15)&gt;=$V$303,$Y$303*(1+($U$303)/100)^MAX(0,$C327-$AB$303),0)))))</f>
      </c>
      <c r="K327" s="43">
        <f>IF($S$303=0,0,IF(OR(DATE($C327,7,15)&lt;$S$303,AND($T$303&gt;0,DATE($C327,7,15)&gt;$T$303)),0,IF(DATE($C327,7,15)&gt;=$X$303,$AA$303*(1+($U$303)/100)^MAX(0,$C327-$AD$303),IF(DATE($C327,7,15)&gt;=$W$303,$Z$303*(1+($U$303)/100)^MAX(0,$C327-$AC$303),IF(DATE($C327,7,15)&gt;=$V$303,$Y$303*(1+($U$303)/100)^MAX(0,$C327-$AB$303),0)))))</f>
      </c>
      <c r="L327" s="43">
        <f>IF($S$303=0,0,IF(OR(DATE($C327,8,15)&lt;$S$303,AND($T$303&gt;0,DATE($C327,8,15)&gt;$T$303)),0,IF(DATE($C327,8,15)&gt;=$X$303,$AA$303*(1+($U$303)/100)^MAX(0,$C327-$AD$303),IF(DATE($C327,8,15)&gt;=$W$303,$Z$303*(1+($U$303)/100)^MAX(0,$C327-$AC$303),IF(DATE($C327,8,15)&gt;=$V$303,$Y$303*(1+($U$303)/100)^MAX(0,$C327-$AB$303),0)))))</f>
      </c>
      <c r="M327" s="43">
        <f>IF($S$303=0,0,IF(OR(DATE($C327,9,15)&lt;$S$303,AND($T$303&gt;0,DATE($C327,9,15)&gt;$T$303)),0,IF(DATE($C327,9,15)&gt;=$X$303,$AA$303*(1+($U$303)/100)^MAX(0,$C327-$AD$303),IF(DATE($C327,9,15)&gt;=$W$303,$Z$303*(1+($U$303)/100)^MAX(0,$C327-$AC$303),IF(DATE($C327,9,15)&gt;=$V$303,$Y$303*(1+($U$303)/100)^MAX(0,$C327-$AB$303),0)))))</f>
      </c>
      <c r="N327" s="43">
        <f>IF($S$303=0,0,IF(OR(DATE($C327,10,15)&lt;$S$303,AND($T$303&gt;0,DATE($C327,10,15)&gt;$T$303)),0,IF(DATE($C327,10,15)&gt;=$X$303,$AA$303*(1+($U$303)/100)^MAX(0,$C327-$AD$303),IF(DATE($C327,10,15)&gt;=$W$303,$Z$303*(1+($U$303)/100)^MAX(0,$C327-$AC$303),IF(DATE($C327,10,15)&gt;=$V$303,$Y$303*(1+($U$303)/100)^MAX(0,$C327-$AB$303),0)))))</f>
      </c>
      <c r="O327" s="43">
        <f>IF($S$303=0,0,IF(OR(DATE($C327,11,15)&lt;$S$303,AND($T$303&gt;0,DATE($C327,11,15)&gt;$T$303)),0,IF(DATE($C327,11,15)&gt;=$X$303,$AA$303*(1+($U$303)/100)^MAX(0,$C327-$AD$303),IF(DATE($C327,11,15)&gt;=$W$303,$Z$303*(1+($U$303)/100)^MAX(0,$C327-$AC$303),IF(DATE($C327,11,15)&gt;=$V$303,$Y$303*(1+($U$303)/100)^MAX(0,$C327-$AB$303),0)))))</f>
      </c>
      <c r="P327" s="43">
        <f>IF($S$303=0,0,IF(OR(DATE($C327,12,15)&lt;$S$303,AND($T$303&gt;0,DATE($C327,12,15)&gt;$T$303)),0,IF(DATE($C327,12,15)&gt;=$X$303,$AA$303*(1+($U$303)/100)^MAX(0,$C327-$AD$303),IF(DATE($C327,12,15)&gt;=$W$303,$Z$303*(1+($U$303)/100)^MAX(0,$C327-$AC$303),IF(DATE($C327,12,15)&gt;=$V$303,$Y$303*(1+($U$303)/100)^MAX(0,$C327-$AB$303),0)))))</f>
      </c>
      <c r="Q327" s="43">
        <f>SUM($E327:$P327)</f>
      </c>
    </row>
    <row r="328">
      <c r="A328"/>
      <c r="B328">
        <v>10</v>
      </c>
      <c r="C328" s="43">
        <f>Jahr+25</f>
      </c>
      <c r="D328" s="43">
        <f>INDEX(MvObj,10)</f>
      </c>
      <c r="E328" s="43">
        <f>IF($S$303=0,0,IF(OR(DATE($C328,1,15)&lt;$S$303,AND($T$303&gt;0,DATE($C328,1,15)&gt;$T$303)),0,IF(DATE($C328,1,15)&gt;=$X$303,$AA$303*(1+($U$303)/100)^MAX(0,$C328-$AD$303),IF(DATE($C328,1,15)&gt;=$W$303,$Z$303*(1+($U$303)/100)^MAX(0,$C328-$AC$303),IF(DATE($C328,1,15)&gt;=$V$303,$Y$303*(1+($U$303)/100)^MAX(0,$C328-$AB$303),0)))))</f>
      </c>
      <c r="F328" s="43">
        <f>IF($S$303=0,0,IF(OR(DATE($C328,2,15)&lt;$S$303,AND($T$303&gt;0,DATE($C328,2,15)&gt;$T$303)),0,IF(DATE($C328,2,15)&gt;=$X$303,$AA$303*(1+($U$303)/100)^MAX(0,$C328-$AD$303),IF(DATE($C328,2,15)&gt;=$W$303,$Z$303*(1+($U$303)/100)^MAX(0,$C328-$AC$303),IF(DATE($C328,2,15)&gt;=$V$303,$Y$303*(1+($U$303)/100)^MAX(0,$C328-$AB$303),0)))))</f>
      </c>
      <c r="G328" s="43">
        <f>IF($S$303=0,0,IF(OR(DATE($C328,3,15)&lt;$S$303,AND($T$303&gt;0,DATE($C328,3,15)&gt;$T$303)),0,IF(DATE($C328,3,15)&gt;=$X$303,$AA$303*(1+($U$303)/100)^MAX(0,$C328-$AD$303),IF(DATE($C328,3,15)&gt;=$W$303,$Z$303*(1+($U$303)/100)^MAX(0,$C328-$AC$303),IF(DATE($C328,3,15)&gt;=$V$303,$Y$303*(1+($U$303)/100)^MAX(0,$C328-$AB$303),0)))))</f>
      </c>
      <c r="H328" s="43">
        <f>IF($S$303=0,0,IF(OR(DATE($C328,4,15)&lt;$S$303,AND($T$303&gt;0,DATE($C328,4,15)&gt;$T$303)),0,IF(DATE($C328,4,15)&gt;=$X$303,$AA$303*(1+($U$303)/100)^MAX(0,$C328-$AD$303),IF(DATE($C328,4,15)&gt;=$W$303,$Z$303*(1+($U$303)/100)^MAX(0,$C328-$AC$303),IF(DATE($C328,4,15)&gt;=$V$303,$Y$303*(1+($U$303)/100)^MAX(0,$C328-$AB$303),0)))))</f>
      </c>
      <c r="I328" s="43">
        <f>IF($S$303=0,0,IF(OR(DATE($C328,5,15)&lt;$S$303,AND($T$303&gt;0,DATE($C328,5,15)&gt;$T$303)),0,IF(DATE($C328,5,15)&gt;=$X$303,$AA$303*(1+($U$303)/100)^MAX(0,$C328-$AD$303),IF(DATE($C328,5,15)&gt;=$W$303,$Z$303*(1+($U$303)/100)^MAX(0,$C328-$AC$303),IF(DATE($C328,5,15)&gt;=$V$303,$Y$303*(1+($U$303)/100)^MAX(0,$C328-$AB$303),0)))))</f>
      </c>
      <c r="J328" s="43">
        <f>IF($S$303=0,0,IF(OR(DATE($C328,6,15)&lt;$S$303,AND($T$303&gt;0,DATE($C328,6,15)&gt;$T$303)),0,IF(DATE($C328,6,15)&gt;=$X$303,$AA$303*(1+($U$303)/100)^MAX(0,$C328-$AD$303),IF(DATE($C328,6,15)&gt;=$W$303,$Z$303*(1+($U$303)/100)^MAX(0,$C328-$AC$303),IF(DATE($C328,6,15)&gt;=$V$303,$Y$303*(1+($U$303)/100)^MAX(0,$C328-$AB$303),0)))))</f>
      </c>
      <c r="K328" s="43">
        <f>IF($S$303=0,0,IF(OR(DATE($C328,7,15)&lt;$S$303,AND($T$303&gt;0,DATE($C328,7,15)&gt;$T$303)),0,IF(DATE($C328,7,15)&gt;=$X$303,$AA$303*(1+($U$303)/100)^MAX(0,$C328-$AD$303),IF(DATE($C328,7,15)&gt;=$W$303,$Z$303*(1+($U$303)/100)^MAX(0,$C328-$AC$303),IF(DATE($C328,7,15)&gt;=$V$303,$Y$303*(1+($U$303)/100)^MAX(0,$C328-$AB$303),0)))))</f>
      </c>
      <c r="L328" s="43">
        <f>IF($S$303=0,0,IF(OR(DATE($C328,8,15)&lt;$S$303,AND($T$303&gt;0,DATE($C328,8,15)&gt;$T$303)),0,IF(DATE($C328,8,15)&gt;=$X$303,$AA$303*(1+($U$303)/100)^MAX(0,$C328-$AD$303),IF(DATE($C328,8,15)&gt;=$W$303,$Z$303*(1+($U$303)/100)^MAX(0,$C328-$AC$303),IF(DATE($C328,8,15)&gt;=$V$303,$Y$303*(1+($U$303)/100)^MAX(0,$C328-$AB$303),0)))))</f>
      </c>
      <c r="M328" s="43">
        <f>IF($S$303=0,0,IF(OR(DATE($C328,9,15)&lt;$S$303,AND($T$303&gt;0,DATE($C328,9,15)&gt;$T$303)),0,IF(DATE($C328,9,15)&gt;=$X$303,$AA$303*(1+($U$303)/100)^MAX(0,$C328-$AD$303),IF(DATE($C328,9,15)&gt;=$W$303,$Z$303*(1+($U$303)/100)^MAX(0,$C328-$AC$303),IF(DATE($C328,9,15)&gt;=$V$303,$Y$303*(1+($U$303)/100)^MAX(0,$C328-$AB$303),0)))))</f>
      </c>
      <c r="N328" s="43">
        <f>IF($S$303=0,0,IF(OR(DATE($C328,10,15)&lt;$S$303,AND($T$303&gt;0,DATE($C328,10,15)&gt;$T$303)),0,IF(DATE($C328,10,15)&gt;=$X$303,$AA$303*(1+($U$303)/100)^MAX(0,$C328-$AD$303),IF(DATE($C328,10,15)&gt;=$W$303,$Z$303*(1+($U$303)/100)^MAX(0,$C328-$AC$303),IF(DATE($C328,10,15)&gt;=$V$303,$Y$303*(1+($U$303)/100)^MAX(0,$C328-$AB$303),0)))))</f>
      </c>
      <c r="O328" s="43">
        <f>IF($S$303=0,0,IF(OR(DATE($C328,11,15)&lt;$S$303,AND($T$303&gt;0,DATE($C328,11,15)&gt;$T$303)),0,IF(DATE($C328,11,15)&gt;=$X$303,$AA$303*(1+($U$303)/100)^MAX(0,$C328-$AD$303),IF(DATE($C328,11,15)&gt;=$W$303,$Z$303*(1+($U$303)/100)^MAX(0,$C328-$AC$303),IF(DATE($C328,11,15)&gt;=$V$303,$Y$303*(1+($U$303)/100)^MAX(0,$C328-$AB$303),0)))))</f>
      </c>
      <c r="P328" s="43">
        <f>IF($S$303=0,0,IF(OR(DATE($C328,12,15)&lt;$S$303,AND($T$303&gt;0,DATE($C328,12,15)&gt;$T$303)),0,IF(DATE($C328,12,15)&gt;=$X$303,$AA$303*(1+($U$303)/100)^MAX(0,$C328-$AD$303),IF(DATE($C328,12,15)&gt;=$W$303,$Z$303*(1+($U$303)/100)^MAX(0,$C328-$AC$303),IF(DATE($C328,12,15)&gt;=$V$303,$Y$303*(1+($U$303)/100)^MAX(0,$C328-$AB$303),0)))))</f>
      </c>
      <c r="Q328" s="43">
        <f>SUM($E328:$P328)</f>
      </c>
    </row>
    <row r="329">
      <c r="A329"/>
      <c r="B329">
        <v>10</v>
      </c>
      <c r="C329" s="43">
        <f>Jahr+26</f>
      </c>
      <c r="D329" s="43">
        <f>INDEX(MvObj,10)</f>
      </c>
      <c r="E329" s="43">
        <f>IF($S$303=0,0,IF(OR(DATE($C329,1,15)&lt;$S$303,AND($T$303&gt;0,DATE($C329,1,15)&gt;$T$303)),0,IF(DATE($C329,1,15)&gt;=$X$303,$AA$303*(1+($U$303)/100)^MAX(0,$C329-$AD$303),IF(DATE($C329,1,15)&gt;=$W$303,$Z$303*(1+($U$303)/100)^MAX(0,$C329-$AC$303),IF(DATE($C329,1,15)&gt;=$V$303,$Y$303*(1+($U$303)/100)^MAX(0,$C329-$AB$303),0)))))</f>
      </c>
      <c r="F329" s="43">
        <f>IF($S$303=0,0,IF(OR(DATE($C329,2,15)&lt;$S$303,AND($T$303&gt;0,DATE($C329,2,15)&gt;$T$303)),0,IF(DATE($C329,2,15)&gt;=$X$303,$AA$303*(1+($U$303)/100)^MAX(0,$C329-$AD$303),IF(DATE($C329,2,15)&gt;=$W$303,$Z$303*(1+($U$303)/100)^MAX(0,$C329-$AC$303),IF(DATE($C329,2,15)&gt;=$V$303,$Y$303*(1+($U$303)/100)^MAX(0,$C329-$AB$303),0)))))</f>
      </c>
      <c r="G329" s="43">
        <f>IF($S$303=0,0,IF(OR(DATE($C329,3,15)&lt;$S$303,AND($T$303&gt;0,DATE($C329,3,15)&gt;$T$303)),0,IF(DATE($C329,3,15)&gt;=$X$303,$AA$303*(1+($U$303)/100)^MAX(0,$C329-$AD$303),IF(DATE($C329,3,15)&gt;=$W$303,$Z$303*(1+($U$303)/100)^MAX(0,$C329-$AC$303),IF(DATE($C329,3,15)&gt;=$V$303,$Y$303*(1+($U$303)/100)^MAX(0,$C329-$AB$303),0)))))</f>
      </c>
      <c r="H329" s="43">
        <f>IF($S$303=0,0,IF(OR(DATE($C329,4,15)&lt;$S$303,AND($T$303&gt;0,DATE($C329,4,15)&gt;$T$303)),0,IF(DATE($C329,4,15)&gt;=$X$303,$AA$303*(1+($U$303)/100)^MAX(0,$C329-$AD$303),IF(DATE($C329,4,15)&gt;=$W$303,$Z$303*(1+($U$303)/100)^MAX(0,$C329-$AC$303),IF(DATE($C329,4,15)&gt;=$V$303,$Y$303*(1+($U$303)/100)^MAX(0,$C329-$AB$303),0)))))</f>
      </c>
      <c r="I329" s="43">
        <f>IF($S$303=0,0,IF(OR(DATE($C329,5,15)&lt;$S$303,AND($T$303&gt;0,DATE($C329,5,15)&gt;$T$303)),0,IF(DATE($C329,5,15)&gt;=$X$303,$AA$303*(1+($U$303)/100)^MAX(0,$C329-$AD$303),IF(DATE($C329,5,15)&gt;=$W$303,$Z$303*(1+($U$303)/100)^MAX(0,$C329-$AC$303),IF(DATE($C329,5,15)&gt;=$V$303,$Y$303*(1+($U$303)/100)^MAX(0,$C329-$AB$303),0)))))</f>
      </c>
      <c r="J329" s="43">
        <f>IF($S$303=0,0,IF(OR(DATE($C329,6,15)&lt;$S$303,AND($T$303&gt;0,DATE($C329,6,15)&gt;$T$303)),0,IF(DATE($C329,6,15)&gt;=$X$303,$AA$303*(1+($U$303)/100)^MAX(0,$C329-$AD$303),IF(DATE($C329,6,15)&gt;=$W$303,$Z$303*(1+($U$303)/100)^MAX(0,$C329-$AC$303),IF(DATE($C329,6,15)&gt;=$V$303,$Y$303*(1+($U$303)/100)^MAX(0,$C329-$AB$303),0)))))</f>
      </c>
      <c r="K329" s="43">
        <f>IF($S$303=0,0,IF(OR(DATE($C329,7,15)&lt;$S$303,AND($T$303&gt;0,DATE($C329,7,15)&gt;$T$303)),0,IF(DATE($C329,7,15)&gt;=$X$303,$AA$303*(1+($U$303)/100)^MAX(0,$C329-$AD$303),IF(DATE($C329,7,15)&gt;=$W$303,$Z$303*(1+($U$303)/100)^MAX(0,$C329-$AC$303),IF(DATE($C329,7,15)&gt;=$V$303,$Y$303*(1+($U$303)/100)^MAX(0,$C329-$AB$303),0)))))</f>
      </c>
      <c r="L329" s="43">
        <f>IF($S$303=0,0,IF(OR(DATE($C329,8,15)&lt;$S$303,AND($T$303&gt;0,DATE($C329,8,15)&gt;$T$303)),0,IF(DATE($C329,8,15)&gt;=$X$303,$AA$303*(1+($U$303)/100)^MAX(0,$C329-$AD$303),IF(DATE($C329,8,15)&gt;=$W$303,$Z$303*(1+($U$303)/100)^MAX(0,$C329-$AC$303),IF(DATE($C329,8,15)&gt;=$V$303,$Y$303*(1+($U$303)/100)^MAX(0,$C329-$AB$303),0)))))</f>
      </c>
      <c r="M329" s="43">
        <f>IF($S$303=0,0,IF(OR(DATE($C329,9,15)&lt;$S$303,AND($T$303&gt;0,DATE($C329,9,15)&gt;$T$303)),0,IF(DATE($C329,9,15)&gt;=$X$303,$AA$303*(1+($U$303)/100)^MAX(0,$C329-$AD$303),IF(DATE($C329,9,15)&gt;=$W$303,$Z$303*(1+($U$303)/100)^MAX(0,$C329-$AC$303),IF(DATE($C329,9,15)&gt;=$V$303,$Y$303*(1+($U$303)/100)^MAX(0,$C329-$AB$303),0)))))</f>
      </c>
      <c r="N329" s="43">
        <f>IF($S$303=0,0,IF(OR(DATE($C329,10,15)&lt;$S$303,AND($T$303&gt;0,DATE($C329,10,15)&gt;$T$303)),0,IF(DATE($C329,10,15)&gt;=$X$303,$AA$303*(1+($U$303)/100)^MAX(0,$C329-$AD$303),IF(DATE($C329,10,15)&gt;=$W$303,$Z$303*(1+($U$303)/100)^MAX(0,$C329-$AC$303),IF(DATE($C329,10,15)&gt;=$V$303,$Y$303*(1+($U$303)/100)^MAX(0,$C329-$AB$303),0)))))</f>
      </c>
      <c r="O329" s="43">
        <f>IF($S$303=0,0,IF(OR(DATE($C329,11,15)&lt;$S$303,AND($T$303&gt;0,DATE($C329,11,15)&gt;$T$303)),0,IF(DATE($C329,11,15)&gt;=$X$303,$AA$303*(1+($U$303)/100)^MAX(0,$C329-$AD$303),IF(DATE($C329,11,15)&gt;=$W$303,$Z$303*(1+($U$303)/100)^MAX(0,$C329-$AC$303),IF(DATE($C329,11,15)&gt;=$V$303,$Y$303*(1+($U$303)/100)^MAX(0,$C329-$AB$303),0)))))</f>
      </c>
      <c r="P329" s="43">
        <f>IF($S$303=0,0,IF(OR(DATE($C329,12,15)&lt;$S$303,AND($T$303&gt;0,DATE($C329,12,15)&gt;$T$303)),0,IF(DATE($C329,12,15)&gt;=$X$303,$AA$303*(1+($U$303)/100)^MAX(0,$C329-$AD$303),IF(DATE($C329,12,15)&gt;=$W$303,$Z$303*(1+($U$303)/100)^MAX(0,$C329-$AC$303),IF(DATE($C329,12,15)&gt;=$V$303,$Y$303*(1+($U$303)/100)^MAX(0,$C329-$AB$303),0)))))</f>
      </c>
      <c r="Q329" s="43">
        <f>SUM($E329:$P329)</f>
      </c>
    </row>
    <row r="330">
      <c r="A330"/>
      <c r="B330">
        <v>10</v>
      </c>
      <c r="C330" s="43">
        <f>Jahr+27</f>
      </c>
      <c r="D330" s="43">
        <f>INDEX(MvObj,10)</f>
      </c>
      <c r="E330" s="43">
        <f>IF($S$303=0,0,IF(OR(DATE($C330,1,15)&lt;$S$303,AND($T$303&gt;0,DATE($C330,1,15)&gt;$T$303)),0,IF(DATE($C330,1,15)&gt;=$X$303,$AA$303*(1+($U$303)/100)^MAX(0,$C330-$AD$303),IF(DATE($C330,1,15)&gt;=$W$303,$Z$303*(1+($U$303)/100)^MAX(0,$C330-$AC$303),IF(DATE($C330,1,15)&gt;=$V$303,$Y$303*(1+($U$303)/100)^MAX(0,$C330-$AB$303),0)))))</f>
      </c>
      <c r="F330" s="43">
        <f>IF($S$303=0,0,IF(OR(DATE($C330,2,15)&lt;$S$303,AND($T$303&gt;0,DATE($C330,2,15)&gt;$T$303)),0,IF(DATE($C330,2,15)&gt;=$X$303,$AA$303*(1+($U$303)/100)^MAX(0,$C330-$AD$303),IF(DATE($C330,2,15)&gt;=$W$303,$Z$303*(1+($U$303)/100)^MAX(0,$C330-$AC$303),IF(DATE($C330,2,15)&gt;=$V$303,$Y$303*(1+($U$303)/100)^MAX(0,$C330-$AB$303),0)))))</f>
      </c>
      <c r="G330" s="43">
        <f>IF($S$303=0,0,IF(OR(DATE($C330,3,15)&lt;$S$303,AND($T$303&gt;0,DATE($C330,3,15)&gt;$T$303)),0,IF(DATE($C330,3,15)&gt;=$X$303,$AA$303*(1+($U$303)/100)^MAX(0,$C330-$AD$303),IF(DATE($C330,3,15)&gt;=$W$303,$Z$303*(1+($U$303)/100)^MAX(0,$C330-$AC$303),IF(DATE($C330,3,15)&gt;=$V$303,$Y$303*(1+($U$303)/100)^MAX(0,$C330-$AB$303),0)))))</f>
      </c>
      <c r="H330" s="43">
        <f>IF($S$303=0,0,IF(OR(DATE($C330,4,15)&lt;$S$303,AND($T$303&gt;0,DATE($C330,4,15)&gt;$T$303)),0,IF(DATE($C330,4,15)&gt;=$X$303,$AA$303*(1+($U$303)/100)^MAX(0,$C330-$AD$303),IF(DATE($C330,4,15)&gt;=$W$303,$Z$303*(1+($U$303)/100)^MAX(0,$C330-$AC$303),IF(DATE($C330,4,15)&gt;=$V$303,$Y$303*(1+($U$303)/100)^MAX(0,$C330-$AB$303),0)))))</f>
      </c>
      <c r="I330" s="43">
        <f>IF($S$303=0,0,IF(OR(DATE($C330,5,15)&lt;$S$303,AND($T$303&gt;0,DATE($C330,5,15)&gt;$T$303)),0,IF(DATE($C330,5,15)&gt;=$X$303,$AA$303*(1+($U$303)/100)^MAX(0,$C330-$AD$303),IF(DATE($C330,5,15)&gt;=$W$303,$Z$303*(1+($U$303)/100)^MAX(0,$C330-$AC$303),IF(DATE($C330,5,15)&gt;=$V$303,$Y$303*(1+($U$303)/100)^MAX(0,$C330-$AB$303),0)))))</f>
      </c>
      <c r="J330" s="43">
        <f>IF($S$303=0,0,IF(OR(DATE($C330,6,15)&lt;$S$303,AND($T$303&gt;0,DATE($C330,6,15)&gt;$T$303)),0,IF(DATE($C330,6,15)&gt;=$X$303,$AA$303*(1+($U$303)/100)^MAX(0,$C330-$AD$303),IF(DATE($C330,6,15)&gt;=$W$303,$Z$303*(1+($U$303)/100)^MAX(0,$C330-$AC$303),IF(DATE($C330,6,15)&gt;=$V$303,$Y$303*(1+($U$303)/100)^MAX(0,$C330-$AB$303),0)))))</f>
      </c>
      <c r="K330" s="43">
        <f>IF($S$303=0,0,IF(OR(DATE($C330,7,15)&lt;$S$303,AND($T$303&gt;0,DATE($C330,7,15)&gt;$T$303)),0,IF(DATE($C330,7,15)&gt;=$X$303,$AA$303*(1+($U$303)/100)^MAX(0,$C330-$AD$303),IF(DATE($C330,7,15)&gt;=$W$303,$Z$303*(1+($U$303)/100)^MAX(0,$C330-$AC$303),IF(DATE($C330,7,15)&gt;=$V$303,$Y$303*(1+($U$303)/100)^MAX(0,$C330-$AB$303),0)))))</f>
      </c>
      <c r="L330" s="43">
        <f>IF($S$303=0,0,IF(OR(DATE($C330,8,15)&lt;$S$303,AND($T$303&gt;0,DATE($C330,8,15)&gt;$T$303)),0,IF(DATE($C330,8,15)&gt;=$X$303,$AA$303*(1+($U$303)/100)^MAX(0,$C330-$AD$303),IF(DATE($C330,8,15)&gt;=$W$303,$Z$303*(1+($U$303)/100)^MAX(0,$C330-$AC$303),IF(DATE($C330,8,15)&gt;=$V$303,$Y$303*(1+($U$303)/100)^MAX(0,$C330-$AB$303),0)))))</f>
      </c>
      <c r="M330" s="43">
        <f>IF($S$303=0,0,IF(OR(DATE($C330,9,15)&lt;$S$303,AND($T$303&gt;0,DATE($C330,9,15)&gt;$T$303)),0,IF(DATE($C330,9,15)&gt;=$X$303,$AA$303*(1+($U$303)/100)^MAX(0,$C330-$AD$303),IF(DATE($C330,9,15)&gt;=$W$303,$Z$303*(1+($U$303)/100)^MAX(0,$C330-$AC$303),IF(DATE($C330,9,15)&gt;=$V$303,$Y$303*(1+($U$303)/100)^MAX(0,$C330-$AB$303),0)))))</f>
      </c>
      <c r="N330" s="43">
        <f>IF($S$303=0,0,IF(OR(DATE($C330,10,15)&lt;$S$303,AND($T$303&gt;0,DATE($C330,10,15)&gt;$T$303)),0,IF(DATE($C330,10,15)&gt;=$X$303,$AA$303*(1+($U$303)/100)^MAX(0,$C330-$AD$303),IF(DATE($C330,10,15)&gt;=$W$303,$Z$303*(1+($U$303)/100)^MAX(0,$C330-$AC$303),IF(DATE($C330,10,15)&gt;=$V$303,$Y$303*(1+($U$303)/100)^MAX(0,$C330-$AB$303),0)))))</f>
      </c>
      <c r="O330" s="43">
        <f>IF($S$303=0,0,IF(OR(DATE($C330,11,15)&lt;$S$303,AND($T$303&gt;0,DATE($C330,11,15)&gt;$T$303)),0,IF(DATE($C330,11,15)&gt;=$X$303,$AA$303*(1+($U$303)/100)^MAX(0,$C330-$AD$303),IF(DATE($C330,11,15)&gt;=$W$303,$Z$303*(1+($U$303)/100)^MAX(0,$C330-$AC$303),IF(DATE($C330,11,15)&gt;=$V$303,$Y$303*(1+($U$303)/100)^MAX(0,$C330-$AB$303),0)))))</f>
      </c>
      <c r="P330" s="43">
        <f>IF($S$303=0,0,IF(OR(DATE($C330,12,15)&lt;$S$303,AND($T$303&gt;0,DATE($C330,12,15)&gt;$T$303)),0,IF(DATE($C330,12,15)&gt;=$X$303,$AA$303*(1+($U$303)/100)^MAX(0,$C330-$AD$303),IF(DATE($C330,12,15)&gt;=$W$303,$Z$303*(1+($U$303)/100)^MAX(0,$C330-$AC$303),IF(DATE($C330,12,15)&gt;=$V$303,$Y$303*(1+($U$303)/100)^MAX(0,$C330-$AB$303),0)))))</f>
      </c>
      <c r="Q330" s="43">
        <f>SUM($E330:$P330)</f>
      </c>
    </row>
    <row r="331">
      <c r="A331"/>
      <c r="B331">
        <v>10</v>
      </c>
      <c r="C331" s="43">
        <f>Jahr+28</f>
      </c>
      <c r="D331" s="43">
        <f>INDEX(MvObj,10)</f>
      </c>
      <c r="E331" s="43">
        <f>IF($S$303=0,0,IF(OR(DATE($C331,1,15)&lt;$S$303,AND($T$303&gt;0,DATE($C331,1,15)&gt;$T$303)),0,IF(DATE($C331,1,15)&gt;=$X$303,$AA$303*(1+($U$303)/100)^MAX(0,$C331-$AD$303),IF(DATE($C331,1,15)&gt;=$W$303,$Z$303*(1+($U$303)/100)^MAX(0,$C331-$AC$303),IF(DATE($C331,1,15)&gt;=$V$303,$Y$303*(1+($U$303)/100)^MAX(0,$C331-$AB$303),0)))))</f>
      </c>
      <c r="F331" s="43">
        <f>IF($S$303=0,0,IF(OR(DATE($C331,2,15)&lt;$S$303,AND($T$303&gt;0,DATE($C331,2,15)&gt;$T$303)),0,IF(DATE($C331,2,15)&gt;=$X$303,$AA$303*(1+($U$303)/100)^MAX(0,$C331-$AD$303),IF(DATE($C331,2,15)&gt;=$W$303,$Z$303*(1+($U$303)/100)^MAX(0,$C331-$AC$303),IF(DATE($C331,2,15)&gt;=$V$303,$Y$303*(1+($U$303)/100)^MAX(0,$C331-$AB$303),0)))))</f>
      </c>
      <c r="G331" s="43">
        <f>IF($S$303=0,0,IF(OR(DATE($C331,3,15)&lt;$S$303,AND($T$303&gt;0,DATE($C331,3,15)&gt;$T$303)),0,IF(DATE($C331,3,15)&gt;=$X$303,$AA$303*(1+($U$303)/100)^MAX(0,$C331-$AD$303),IF(DATE($C331,3,15)&gt;=$W$303,$Z$303*(1+($U$303)/100)^MAX(0,$C331-$AC$303),IF(DATE($C331,3,15)&gt;=$V$303,$Y$303*(1+($U$303)/100)^MAX(0,$C331-$AB$303),0)))))</f>
      </c>
      <c r="H331" s="43">
        <f>IF($S$303=0,0,IF(OR(DATE($C331,4,15)&lt;$S$303,AND($T$303&gt;0,DATE($C331,4,15)&gt;$T$303)),0,IF(DATE($C331,4,15)&gt;=$X$303,$AA$303*(1+($U$303)/100)^MAX(0,$C331-$AD$303),IF(DATE($C331,4,15)&gt;=$W$303,$Z$303*(1+($U$303)/100)^MAX(0,$C331-$AC$303),IF(DATE($C331,4,15)&gt;=$V$303,$Y$303*(1+($U$303)/100)^MAX(0,$C331-$AB$303),0)))))</f>
      </c>
      <c r="I331" s="43">
        <f>IF($S$303=0,0,IF(OR(DATE($C331,5,15)&lt;$S$303,AND($T$303&gt;0,DATE($C331,5,15)&gt;$T$303)),0,IF(DATE($C331,5,15)&gt;=$X$303,$AA$303*(1+($U$303)/100)^MAX(0,$C331-$AD$303),IF(DATE($C331,5,15)&gt;=$W$303,$Z$303*(1+($U$303)/100)^MAX(0,$C331-$AC$303),IF(DATE($C331,5,15)&gt;=$V$303,$Y$303*(1+($U$303)/100)^MAX(0,$C331-$AB$303),0)))))</f>
      </c>
      <c r="J331" s="43">
        <f>IF($S$303=0,0,IF(OR(DATE($C331,6,15)&lt;$S$303,AND($T$303&gt;0,DATE($C331,6,15)&gt;$T$303)),0,IF(DATE($C331,6,15)&gt;=$X$303,$AA$303*(1+($U$303)/100)^MAX(0,$C331-$AD$303),IF(DATE($C331,6,15)&gt;=$W$303,$Z$303*(1+($U$303)/100)^MAX(0,$C331-$AC$303),IF(DATE($C331,6,15)&gt;=$V$303,$Y$303*(1+($U$303)/100)^MAX(0,$C331-$AB$303),0)))))</f>
      </c>
      <c r="K331" s="43">
        <f>IF($S$303=0,0,IF(OR(DATE($C331,7,15)&lt;$S$303,AND($T$303&gt;0,DATE($C331,7,15)&gt;$T$303)),0,IF(DATE($C331,7,15)&gt;=$X$303,$AA$303*(1+($U$303)/100)^MAX(0,$C331-$AD$303),IF(DATE($C331,7,15)&gt;=$W$303,$Z$303*(1+($U$303)/100)^MAX(0,$C331-$AC$303),IF(DATE($C331,7,15)&gt;=$V$303,$Y$303*(1+($U$303)/100)^MAX(0,$C331-$AB$303),0)))))</f>
      </c>
      <c r="L331" s="43">
        <f>IF($S$303=0,0,IF(OR(DATE($C331,8,15)&lt;$S$303,AND($T$303&gt;0,DATE($C331,8,15)&gt;$T$303)),0,IF(DATE($C331,8,15)&gt;=$X$303,$AA$303*(1+($U$303)/100)^MAX(0,$C331-$AD$303),IF(DATE($C331,8,15)&gt;=$W$303,$Z$303*(1+($U$303)/100)^MAX(0,$C331-$AC$303),IF(DATE($C331,8,15)&gt;=$V$303,$Y$303*(1+($U$303)/100)^MAX(0,$C331-$AB$303),0)))))</f>
      </c>
      <c r="M331" s="43">
        <f>IF($S$303=0,0,IF(OR(DATE($C331,9,15)&lt;$S$303,AND($T$303&gt;0,DATE($C331,9,15)&gt;$T$303)),0,IF(DATE($C331,9,15)&gt;=$X$303,$AA$303*(1+($U$303)/100)^MAX(0,$C331-$AD$303),IF(DATE($C331,9,15)&gt;=$W$303,$Z$303*(1+($U$303)/100)^MAX(0,$C331-$AC$303),IF(DATE($C331,9,15)&gt;=$V$303,$Y$303*(1+($U$303)/100)^MAX(0,$C331-$AB$303),0)))))</f>
      </c>
      <c r="N331" s="43">
        <f>IF($S$303=0,0,IF(OR(DATE($C331,10,15)&lt;$S$303,AND($T$303&gt;0,DATE($C331,10,15)&gt;$T$303)),0,IF(DATE($C331,10,15)&gt;=$X$303,$AA$303*(1+($U$303)/100)^MAX(0,$C331-$AD$303),IF(DATE($C331,10,15)&gt;=$W$303,$Z$303*(1+($U$303)/100)^MAX(0,$C331-$AC$303),IF(DATE($C331,10,15)&gt;=$V$303,$Y$303*(1+($U$303)/100)^MAX(0,$C331-$AB$303),0)))))</f>
      </c>
      <c r="O331" s="43">
        <f>IF($S$303=0,0,IF(OR(DATE($C331,11,15)&lt;$S$303,AND($T$303&gt;0,DATE($C331,11,15)&gt;$T$303)),0,IF(DATE($C331,11,15)&gt;=$X$303,$AA$303*(1+($U$303)/100)^MAX(0,$C331-$AD$303),IF(DATE($C331,11,15)&gt;=$W$303,$Z$303*(1+($U$303)/100)^MAX(0,$C331-$AC$303),IF(DATE($C331,11,15)&gt;=$V$303,$Y$303*(1+($U$303)/100)^MAX(0,$C331-$AB$303),0)))))</f>
      </c>
      <c r="P331" s="43">
        <f>IF($S$303=0,0,IF(OR(DATE($C331,12,15)&lt;$S$303,AND($T$303&gt;0,DATE($C331,12,15)&gt;$T$303)),0,IF(DATE($C331,12,15)&gt;=$X$303,$AA$303*(1+($U$303)/100)^MAX(0,$C331-$AD$303),IF(DATE($C331,12,15)&gt;=$W$303,$Z$303*(1+($U$303)/100)^MAX(0,$C331-$AC$303),IF(DATE($C331,12,15)&gt;=$V$303,$Y$303*(1+($U$303)/100)^MAX(0,$C331-$AB$303),0)))))</f>
      </c>
      <c r="Q331" s="43">
        <f>SUM($E331:$P331)</f>
      </c>
    </row>
    <row r="332">
      <c r="A332"/>
      <c r="B332">
        <v>10</v>
      </c>
      <c r="C332" s="43">
        <f>Jahr+29</f>
      </c>
      <c r="D332" s="43">
        <f>INDEX(MvObj,10)</f>
      </c>
      <c r="E332" s="43">
        <f>IF($S$303=0,0,IF(OR(DATE($C332,1,15)&lt;$S$303,AND($T$303&gt;0,DATE($C332,1,15)&gt;$T$303)),0,IF(DATE($C332,1,15)&gt;=$X$303,$AA$303*(1+($U$303)/100)^MAX(0,$C332-$AD$303),IF(DATE($C332,1,15)&gt;=$W$303,$Z$303*(1+($U$303)/100)^MAX(0,$C332-$AC$303),IF(DATE($C332,1,15)&gt;=$V$303,$Y$303*(1+($U$303)/100)^MAX(0,$C332-$AB$303),0)))))</f>
      </c>
      <c r="F332" s="43">
        <f>IF($S$303=0,0,IF(OR(DATE($C332,2,15)&lt;$S$303,AND($T$303&gt;0,DATE($C332,2,15)&gt;$T$303)),0,IF(DATE($C332,2,15)&gt;=$X$303,$AA$303*(1+($U$303)/100)^MAX(0,$C332-$AD$303),IF(DATE($C332,2,15)&gt;=$W$303,$Z$303*(1+($U$303)/100)^MAX(0,$C332-$AC$303),IF(DATE($C332,2,15)&gt;=$V$303,$Y$303*(1+($U$303)/100)^MAX(0,$C332-$AB$303),0)))))</f>
      </c>
      <c r="G332" s="43">
        <f>IF($S$303=0,0,IF(OR(DATE($C332,3,15)&lt;$S$303,AND($T$303&gt;0,DATE($C332,3,15)&gt;$T$303)),0,IF(DATE($C332,3,15)&gt;=$X$303,$AA$303*(1+($U$303)/100)^MAX(0,$C332-$AD$303),IF(DATE($C332,3,15)&gt;=$W$303,$Z$303*(1+($U$303)/100)^MAX(0,$C332-$AC$303),IF(DATE($C332,3,15)&gt;=$V$303,$Y$303*(1+($U$303)/100)^MAX(0,$C332-$AB$303),0)))))</f>
      </c>
      <c r="H332" s="43">
        <f>IF($S$303=0,0,IF(OR(DATE($C332,4,15)&lt;$S$303,AND($T$303&gt;0,DATE($C332,4,15)&gt;$T$303)),0,IF(DATE($C332,4,15)&gt;=$X$303,$AA$303*(1+($U$303)/100)^MAX(0,$C332-$AD$303),IF(DATE($C332,4,15)&gt;=$W$303,$Z$303*(1+($U$303)/100)^MAX(0,$C332-$AC$303),IF(DATE($C332,4,15)&gt;=$V$303,$Y$303*(1+($U$303)/100)^MAX(0,$C332-$AB$303),0)))))</f>
      </c>
      <c r="I332" s="43">
        <f>IF($S$303=0,0,IF(OR(DATE($C332,5,15)&lt;$S$303,AND($T$303&gt;0,DATE($C332,5,15)&gt;$T$303)),0,IF(DATE($C332,5,15)&gt;=$X$303,$AA$303*(1+($U$303)/100)^MAX(0,$C332-$AD$303),IF(DATE($C332,5,15)&gt;=$W$303,$Z$303*(1+($U$303)/100)^MAX(0,$C332-$AC$303),IF(DATE($C332,5,15)&gt;=$V$303,$Y$303*(1+($U$303)/100)^MAX(0,$C332-$AB$303),0)))))</f>
      </c>
      <c r="J332" s="43">
        <f>IF($S$303=0,0,IF(OR(DATE($C332,6,15)&lt;$S$303,AND($T$303&gt;0,DATE($C332,6,15)&gt;$T$303)),0,IF(DATE($C332,6,15)&gt;=$X$303,$AA$303*(1+($U$303)/100)^MAX(0,$C332-$AD$303),IF(DATE($C332,6,15)&gt;=$W$303,$Z$303*(1+($U$303)/100)^MAX(0,$C332-$AC$303),IF(DATE($C332,6,15)&gt;=$V$303,$Y$303*(1+($U$303)/100)^MAX(0,$C332-$AB$303),0)))))</f>
      </c>
      <c r="K332" s="43">
        <f>IF($S$303=0,0,IF(OR(DATE($C332,7,15)&lt;$S$303,AND($T$303&gt;0,DATE($C332,7,15)&gt;$T$303)),0,IF(DATE($C332,7,15)&gt;=$X$303,$AA$303*(1+($U$303)/100)^MAX(0,$C332-$AD$303),IF(DATE($C332,7,15)&gt;=$W$303,$Z$303*(1+($U$303)/100)^MAX(0,$C332-$AC$303),IF(DATE($C332,7,15)&gt;=$V$303,$Y$303*(1+($U$303)/100)^MAX(0,$C332-$AB$303),0)))))</f>
      </c>
      <c r="L332" s="43">
        <f>IF($S$303=0,0,IF(OR(DATE($C332,8,15)&lt;$S$303,AND($T$303&gt;0,DATE($C332,8,15)&gt;$T$303)),0,IF(DATE($C332,8,15)&gt;=$X$303,$AA$303*(1+($U$303)/100)^MAX(0,$C332-$AD$303),IF(DATE($C332,8,15)&gt;=$W$303,$Z$303*(1+($U$303)/100)^MAX(0,$C332-$AC$303),IF(DATE($C332,8,15)&gt;=$V$303,$Y$303*(1+($U$303)/100)^MAX(0,$C332-$AB$303),0)))))</f>
      </c>
      <c r="M332" s="43">
        <f>IF($S$303=0,0,IF(OR(DATE($C332,9,15)&lt;$S$303,AND($T$303&gt;0,DATE($C332,9,15)&gt;$T$303)),0,IF(DATE($C332,9,15)&gt;=$X$303,$AA$303*(1+($U$303)/100)^MAX(0,$C332-$AD$303),IF(DATE($C332,9,15)&gt;=$W$303,$Z$303*(1+($U$303)/100)^MAX(0,$C332-$AC$303),IF(DATE($C332,9,15)&gt;=$V$303,$Y$303*(1+($U$303)/100)^MAX(0,$C332-$AB$303),0)))))</f>
      </c>
      <c r="N332" s="43">
        <f>IF($S$303=0,0,IF(OR(DATE($C332,10,15)&lt;$S$303,AND($T$303&gt;0,DATE($C332,10,15)&gt;$T$303)),0,IF(DATE($C332,10,15)&gt;=$X$303,$AA$303*(1+($U$303)/100)^MAX(0,$C332-$AD$303),IF(DATE($C332,10,15)&gt;=$W$303,$Z$303*(1+($U$303)/100)^MAX(0,$C332-$AC$303),IF(DATE($C332,10,15)&gt;=$V$303,$Y$303*(1+($U$303)/100)^MAX(0,$C332-$AB$303),0)))))</f>
      </c>
      <c r="O332" s="43">
        <f>IF($S$303=0,0,IF(OR(DATE($C332,11,15)&lt;$S$303,AND($T$303&gt;0,DATE($C332,11,15)&gt;$T$303)),0,IF(DATE($C332,11,15)&gt;=$X$303,$AA$303*(1+($U$303)/100)^MAX(0,$C332-$AD$303),IF(DATE($C332,11,15)&gt;=$W$303,$Z$303*(1+($U$303)/100)^MAX(0,$C332-$AC$303),IF(DATE($C332,11,15)&gt;=$V$303,$Y$303*(1+($U$303)/100)^MAX(0,$C332-$AB$303),0)))))</f>
      </c>
      <c r="P332" s="43">
        <f>IF($S$303=0,0,IF(OR(DATE($C332,12,15)&lt;$S$303,AND($T$303&gt;0,DATE($C332,12,15)&gt;$T$303)),0,IF(DATE($C332,12,15)&gt;=$X$303,$AA$303*(1+($U$303)/100)^MAX(0,$C332-$AD$303),IF(DATE($C332,12,15)&gt;=$W$303,$Z$303*(1+($U$303)/100)^MAX(0,$C332-$AC$303),IF(DATE($C332,12,15)&gt;=$V$303,$Y$303*(1+($U$303)/100)^MAX(0,$C332-$AB$303),0)))))</f>
      </c>
      <c r="Q332" s="43">
        <f>SUM($E332:$P332)</f>
      </c>
    </row>
    <row r="333">
      <c r="A333"/>
      <c r="B333">
        <v>10</v>
      </c>
      <c r="C333" s="43">
        <f>Jahr+30</f>
      </c>
      <c r="D333" s="43">
        <f>INDEX(MvObj,10)</f>
      </c>
      <c r="E333" s="43">
        <f>IF($S$303=0,0,IF(OR(DATE($C333,1,15)&lt;$S$303,AND($T$303&gt;0,DATE($C333,1,15)&gt;$T$303)),0,IF(DATE($C333,1,15)&gt;=$X$303,$AA$303*(1+($U$303)/100)^MAX(0,$C333-$AD$303),IF(DATE($C333,1,15)&gt;=$W$303,$Z$303*(1+($U$303)/100)^MAX(0,$C333-$AC$303),IF(DATE($C333,1,15)&gt;=$V$303,$Y$303*(1+($U$303)/100)^MAX(0,$C333-$AB$303),0)))))</f>
      </c>
      <c r="F333" s="43">
        <f>IF($S$303=0,0,IF(OR(DATE($C333,2,15)&lt;$S$303,AND($T$303&gt;0,DATE($C333,2,15)&gt;$T$303)),0,IF(DATE($C333,2,15)&gt;=$X$303,$AA$303*(1+($U$303)/100)^MAX(0,$C333-$AD$303),IF(DATE($C333,2,15)&gt;=$W$303,$Z$303*(1+($U$303)/100)^MAX(0,$C333-$AC$303),IF(DATE($C333,2,15)&gt;=$V$303,$Y$303*(1+($U$303)/100)^MAX(0,$C333-$AB$303),0)))))</f>
      </c>
      <c r="G333" s="43">
        <f>IF($S$303=0,0,IF(OR(DATE($C333,3,15)&lt;$S$303,AND($T$303&gt;0,DATE($C333,3,15)&gt;$T$303)),0,IF(DATE($C333,3,15)&gt;=$X$303,$AA$303*(1+($U$303)/100)^MAX(0,$C333-$AD$303),IF(DATE($C333,3,15)&gt;=$W$303,$Z$303*(1+($U$303)/100)^MAX(0,$C333-$AC$303),IF(DATE($C333,3,15)&gt;=$V$303,$Y$303*(1+($U$303)/100)^MAX(0,$C333-$AB$303),0)))))</f>
      </c>
      <c r="H333" s="43">
        <f>IF($S$303=0,0,IF(OR(DATE($C333,4,15)&lt;$S$303,AND($T$303&gt;0,DATE($C333,4,15)&gt;$T$303)),0,IF(DATE($C333,4,15)&gt;=$X$303,$AA$303*(1+($U$303)/100)^MAX(0,$C333-$AD$303),IF(DATE($C333,4,15)&gt;=$W$303,$Z$303*(1+($U$303)/100)^MAX(0,$C333-$AC$303),IF(DATE($C333,4,15)&gt;=$V$303,$Y$303*(1+($U$303)/100)^MAX(0,$C333-$AB$303),0)))))</f>
      </c>
      <c r="I333" s="43">
        <f>IF($S$303=0,0,IF(OR(DATE($C333,5,15)&lt;$S$303,AND($T$303&gt;0,DATE($C333,5,15)&gt;$T$303)),0,IF(DATE($C333,5,15)&gt;=$X$303,$AA$303*(1+($U$303)/100)^MAX(0,$C333-$AD$303),IF(DATE($C333,5,15)&gt;=$W$303,$Z$303*(1+($U$303)/100)^MAX(0,$C333-$AC$303),IF(DATE($C333,5,15)&gt;=$V$303,$Y$303*(1+($U$303)/100)^MAX(0,$C333-$AB$303),0)))))</f>
      </c>
      <c r="J333" s="43">
        <f>IF($S$303=0,0,IF(OR(DATE($C333,6,15)&lt;$S$303,AND($T$303&gt;0,DATE($C333,6,15)&gt;$T$303)),0,IF(DATE($C333,6,15)&gt;=$X$303,$AA$303*(1+($U$303)/100)^MAX(0,$C333-$AD$303),IF(DATE($C333,6,15)&gt;=$W$303,$Z$303*(1+($U$303)/100)^MAX(0,$C333-$AC$303),IF(DATE($C333,6,15)&gt;=$V$303,$Y$303*(1+($U$303)/100)^MAX(0,$C333-$AB$303),0)))))</f>
      </c>
      <c r="K333" s="43">
        <f>IF($S$303=0,0,IF(OR(DATE($C333,7,15)&lt;$S$303,AND($T$303&gt;0,DATE($C333,7,15)&gt;$T$303)),0,IF(DATE($C333,7,15)&gt;=$X$303,$AA$303*(1+($U$303)/100)^MAX(0,$C333-$AD$303),IF(DATE($C333,7,15)&gt;=$W$303,$Z$303*(1+($U$303)/100)^MAX(0,$C333-$AC$303),IF(DATE($C333,7,15)&gt;=$V$303,$Y$303*(1+($U$303)/100)^MAX(0,$C333-$AB$303),0)))))</f>
      </c>
      <c r="L333" s="43">
        <f>IF($S$303=0,0,IF(OR(DATE($C333,8,15)&lt;$S$303,AND($T$303&gt;0,DATE($C333,8,15)&gt;$T$303)),0,IF(DATE($C333,8,15)&gt;=$X$303,$AA$303*(1+($U$303)/100)^MAX(0,$C333-$AD$303),IF(DATE($C333,8,15)&gt;=$W$303,$Z$303*(1+($U$303)/100)^MAX(0,$C333-$AC$303),IF(DATE($C333,8,15)&gt;=$V$303,$Y$303*(1+($U$303)/100)^MAX(0,$C333-$AB$303),0)))))</f>
      </c>
      <c r="M333" s="43">
        <f>IF($S$303=0,0,IF(OR(DATE($C333,9,15)&lt;$S$303,AND($T$303&gt;0,DATE($C333,9,15)&gt;$T$303)),0,IF(DATE($C333,9,15)&gt;=$X$303,$AA$303*(1+($U$303)/100)^MAX(0,$C333-$AD$303),IF(DATE($C333,9,15)&gt;=$W$303,$Z$303*(1+($U$303)/100)^MAX(0,$C333-$AC$303),IF(DATE($C333,9,15)&gt;=$V$303,$Y$303*(1+($U$303)/100)^MAX(0,$C333-$AB$303),0)))))</f>
      </c>
      <c r="N333" s="43">
        <f>IF($S$303=0,0,IF(OR(DATE($C333,10,15)&lt;$S$303,AND($T$303&gt;0,DATE($C333,10,15)&gt;$T$303)),0,IF(DATE($C333,10,15)&gt;=$X$303,$AA$303*(1+($U$303)/100)^MAX(0,$C333-$AD$303),IF(DATE($C333,10,15)&gt;=$W$303,$Z$303*(1+($U$303)/100)^MAX(0,$C333-$AC$303),IF(DATE($C333,10,15)&gt;=$V$303,$Y$303*(1+($U$303)/100)^MAX(0,$C333-$AB$303),0)))))</f>
      </c>
      <c r="O333" s="43">
        <f>IF($S$303=0,0,IF(OR(DATE($C333,11,15)&lt;$S$303,AND($T$303&gt;0,DATE($C333,11,15)&gt;$T$303)),0,IF(DATE($C333,11,15)&gt;=$X$303,$AA$303*(1+($U$303)/100)^MAX(0,$C333-$AD$303),IF(DATE($C333,11,15)&gt;=$W$303,$Z$303*(1+($U$303)/100)^MAX(0,$C333-$AC$303),IF(DATE($C333,11,15)&gt;=$V$303,$Y$303*(1+($U$303)/100)^MAX(0,$C333-$AB$303),0)))))</f>
      </c>
      <c r="P333" s="43">
        <f>IF($S$303=0,0,IF(OR(DATE($C333,12,15)&lt;$S$303,AND($T$303&gt;0,DATE($C333,12,15)&gt;$T$303)),0,IF(DATE($C333,12,15)&gt;=$X$303,$AA$303*(1+($U$303)/100)^MAX(0,$C333-$AD$303),IF(DATE($C333,12,15)&gt;=$W$303,$Z$303*(1+($U$303)/100)^MAX(0,$C333-$AC$303),IF(DATE($C333,12,15)&gt;=$V$303,$Y$303*(1+($U$303)/100)^MAX(0,$C333-$AB$303),0)))))</f>
      </c>
      <c r="Q333" s="43">
        <f>SUM($E333:$P333)</f>
      </c>
    </row>
    <row r="334">
      <c r="A334"/>
      <c r="B334">
        <v>11</v>
      </c>
      <c r="C334" s="43">
        <f>Jahr+0</f>
      </c>
      <c r="D334" s="43">
        <f>INDEX(MvObj,11)</f>
      </c>
      <c r="E334" s="43">
        <f>IF($S$334=0,0,IF(OR(DATE($C334,1,15)&lt;$S$334,AND($T$334&gt;0,DATE($C334,1,15)&gt;$T$334)),0,IF(DATE($C334,1,15)&gt;=$X$334,$AA$334*(1+($U$334)/100)^MAX(0,$C334-$AD$334),IF(DATE($C334,1,15)&gt;=$W$334,$Z$334*(1+($U$334)/100)^MAX(0,$C334-$AC$334),IF(DATE($C334,1,15)&gt;=$V$334,$Y$334*(1+($U$334)/100)^MAX(0,$C334-$AB$334),0)))))</f>
      </c>
      <c r="F334" s="43">
        <f>IF($S$334=0,0,IF(OR(DATE($C334,2,15)&lt;$S$334,AND($T$334&gt;0,DATE($C334,2,15)&gt;$T$334)),0,IF(DATE($C334,2,15)&gt;=$X$334,$AA$334*(1+($U$334)/100)^MAX(0,$C334-$AD$334),IF(DATE($C334,2,15)&gt;=$W$334,$Z$334*(1+($U$334)/100)^MAX(0,$C334-$AC$334),IF(DATE($C334,2,15)&gt;=$V$334,$Y$334*(1+($U$334)/100)^MAX(0,$C334-$AB$334),0)))))</f>
      </c>
      <c r="G334" s="43">
        <f>IF($S$334=0,0,IF(OR(DATE($C334,3,15)&lt;$S$334,AND($T$334&gt;0,DATE($C334,3,15)&gt;$T$334)),0,IF(DATE($C334,3,15)&gt;=$X$334,$AA$334*(1+($U$334)/100)^MAX(0,$C334-$AD$334),IF(DATE($C334,3,15)&gt;=$W$334,$Z$334*(1+($U$334)/100)^MAX(0,$C334-$AC$334),IF(DATE($C334,3,15)&gt;=$V$334,$Y$334*(1+($U$334)/100)^MAX(0,$C334-$AB$334),0)))))</f>
      </c>
      <c r="H334" s="43">
        <f>IF($S$334=0,0,IF(OR(DATE($C334,4,15)&lt;$S$334,AND($T$334&gt;0,DATE($C334,4,15)&gt;$T$334)),0,IF(DATE($C334,4,15)&gt;=$X$334,$AA$334*(1+($U$334)/100)^MAX(0,$C334-$AD$334),IF(DATE($C334,4,15)&gt;=$W$334,$Z$334*(1+($U$334)/100)^MAX(0,$C334-$AC$334),IF(DATE($C334,4,15)&gt;=$V$334,$Y$334*(1+($U$334)/100)^MAX(0,$C334-$AB$334),0)))))</f>
      </c>
      <c r="I334" s="43">
        <f>IF($S$334=0,0,IF(OR(DATE($C334,5,15)&lt;$S$334,AND($T$334&gt;0,DATE($C334,5,15)&gt;$T$334)),0,IF(DATE($C334,5,15)&gt;=$X$334,$AA$334*(1+($U$334)/100)^MAX(0,$C334-$AD$334),IF(DATE($C334,5,15)&gt;=$W$334,$Z$334*(1+($U$334)/100)^MAX(0,$C334-$AC$334),IF(DATE($C334,5,15)&gt;=$V$334,$Y$334*(1+($U$334)/100)^MAX(0,$C334-$AB$334),0)))))</f>
      </c>
      <c r="J334" s="43">
        <f>IF($S$334=0,0,IF(OR(DATE($C334,6,15)&lt;$S$334,AND($T$334&gt;0,DATE($C334,6,15)&gt;$T$334)),0,IF(DATE($C334,6,15)&gt;=$X$334,$AA$334*(1+($U$334)/100)^MAX(0,$C334-$AD$334),IF(DATE($C334,6,15)&gt;=$W$334,$Z$334*(1+($U$334)/100)^MAX(0,$C334-$AC$334),IF(DATE($C334,6,15)&gt;=$V$334,$Y$334*(1+($U$334)/100)^MAX(0,$C334-$AB$334),0)))))</f>
      </c>
      <c r="K334" s="43">
        <f>IF($S$334=0,0,IF(OR(DATE($C334,7,15)&lt;$S$334,AND($T$334&gt;0,DATE($C334,7,15)&gt;$T$334)),0,IF(DATE($C334,7,15)&gt;=$X$334,$AA$334*(1+($U$334)/100)^MAX(0,$C334-$AD$334),IF(DATE($C334,7,15)&gt;=$W$334,$Z$334*(1+($U$334)/100)^MAX(0,$C334-$AC$334),IF(DATE($C334,7,15)&gt;=$V$334,$Y$334*(1+($U$334)/100)^MAX(0,$C334-$AB$334),0)))))</f>
      </c>
      <c r="L334" s="43">
        <f>IF($S$334=0,0,IF(OR(DATE($C334,8,15)&lt;$S$334,AND($T$334&gt;0,DATE($C334,8,15)&gt;$T$334)),0,IF(DATE($C334,8,15)&gt;=$X$334,$AA$334*(1+($U$334)/100)^MAX(0,$C334-$AD$334),IF(DATE($C334,8,15)&gt;=$W$334,$Z$334*(1+($U$334)/100)^MAX(0,$C334-$AC$334),IF(DATE($C334,8,15)&gt;=$V$334,$Y$334*(1+($U$334)/100)^MAX(0,$C334-$AB$334),0)))))</f>
      </c>
      <c r="M334" s="43">
        <f>IF($S$334=0,0,IF(OR(DATE($C334,9,15)&lt;$S$334,AND($T$334&gt;0,DATE($C334,9,15)&gt;$T$334)),0,IF(DATE($C334,9,15)&gt;=$X$334,$AA$334*(1+($U$334)/100)^MAX(0,$C334-$AD$334),IF(DATE($C334,9,15)&gt;=$W$334,$Z$334*(1+($U$334)/100)^MAX(0,$C334-$AC$334),IF(DATE($C334,9,15)&gt;=$V$334,$Y$334*(1+($U$334)/100)^MAX(0,$C334-$AB$334),0)))))</f>
      </c>
      <c r="N334" s="43">
        <f>IF($S$334=0,0,IF(OR(DATE($C334,10,15)&lt;$S$334,AND($T$334&gt;0,DATE($C334,10,15)&gt;$T$334)),0,IF(DATE($C334,10,15)&gt;=$X$334,$AA$334*(1+($U$334)/100)^MAX(0,$C334-$AD$334),IF(DATE($C334,10,15)&gt;=$W$334,$Z$334*(1+($U$334)/100)^MAX(0,$C334-$AC$334),IF(DATE($C334,10,15)&gt;=$V$334,$Y$334*(1+($U$334)/100)^MAX(0,$C334-$AB$334),0)))))</f>
      </c>
      <c r="O334" s="43">
        <f>IF($S$334=0,0,IF(OR(DATE($C334,11,15)&lt;$S$334,AND($T$334&gt;0,DATE($C334,11,15)&gt;$T$334)),0,IF(DATE($C334,11,15)&gt;=$X$334,$AA$334*(1+($U$334)/100)^MAX(0,$C334-$AD$334),IF(DATE($C334,11,15)&gt;=$W$334,$Z$334*(1+($U$334)/100)^MAX(0,$C334-$AC$334),IF(DATE($C334,11,15)&gt;=$V$334,$Y$334*(1+($U$334)/100)^MAX(0,$C334-$AB$334),0)))))</f>
      </c>
      <c r="P334" s="43">
        <f>IF($S$334=0,0,IF(OR(DATE($C334,12,15)&lt;$S$334,AND($T$334&gt;0,DATE($C334,12,15)&gt;$T$334)),0,IF(DATE($C334,12,15)&gt;=$X$334,$AA$334*(1+($U$334)/100)^MAX(0,$C334-$AD$334),IF(DATE($C334,12,15)&gt;=$W$334,$Z$334*(1+($U$334)/100)^MAX(0,$C334-$AC$334),IF(DATE($C334,12,15)&gt;=$V$334,$Y$334*(1+($U$334)/100)^MAX(0,$C334-$AB$334),0)))))</f>
      </c>
      <c r="Q334" s="43">
        <f>SUM($E334:$P334)</f>
      </c>
      <c r="R334"/>
      <c r="S334" s="43">
        <f>IF(INDEX(MvBeginn,11)="",0,INDEX(MvBeginn,11))</f>
      </c>
      <c r="T334" s="43">
        <f>INDEX(MvEnde,11)</f>
      </c>
      <c r="U334" s="43">
        <f>INDEX(MvSatz,11)</f>
      </c>
      <c r="V334" s="43">
        <f>INDEX(MvKey1,11)</f>
      </c>
      <c r="W334" s="43">
        <f>INDEX(MvKey2,11)</f>
      </c>
      <c r="X334" s="43">
        <f>INDEX(MvKey3,11)</f>
      </c>
      <c r="Y334" s="43">
        <f>INDEX(MvKalt1,11)</f>
      </c>
      <c r="Z334" s="43">
        <f>INDEX(MvKalt2,11)</f>
      </c>
      <c r="AA334" s="43">
        <f>INDEX(MvKalt3,11)</f>
      </c>
      <c r="AB334" s="43">
        <f>MAX(YEAR(INDEX(MvAb1,11)),Jahr)</f>
      </c>
      <c r="AC334" s="43">
        <f>MAX(YEAR(INDEX(MvAb2,11)),Jahr)</f>
      </c>
      <c r="AD334" s="43">
        <f>MAX(YEAR(INDEX(MvAb3,11)),Jahr)</f>
      </c>
    </row>
    <row r="335">
      <c r="A335"/>
      <c r="B335">
        <v>11</v>
      </c>
      <c r="C335" s="43">
        <f>Jahr+1</f>
      </c>
      <c r="D335" s="43">
        <f>INDEX(MvObj,11)</f>
      </c>
      <c r="E335" s="43">
        <f>IF($S$334=0,0,IF(OR(DATE($C335,1,15)&lt;$S$334,AND($T$334&gt;0,DATE($C335,1,15)&gt;$T$334)),0,IF(DATE($C335,1,15)&gt;=$X$334,$AA$334*(1+($U$334)/100)^MAX(0,$C335-$AD$334),IF(DATE($C335,1,15)&gt;=$W$334,$Z$334*(1+($U$334)/100)^MAX(0,$C335-$AC$334),IF(DATE($C335,1,15)&gt;=$V$334,$Y$334*(1+($U$334)/100)^MAX(0,$C335-$AB$334),0)))))</f>
      </c>
      <c r="F335" s="43">
        <f>IF($S$334=0,0,IF(OR(DATE($C335,2,15)&lt;$S$334,AND($T$334&gt;0,DATE($C335,2,15)&gt;$T$334)),0,IF(DATE($C335,2,15)&gt;=$X$334,$AA$334*(1+($U$334)/100)^MAX(0,$C335-$AD$334),IF(DATE($C335,2,15)&gt;=$W$334,$Z$334*(1+($U$334)/100)^MAX(0,$C335-$AC$334),IF(DATE($C335,2,15)&gt;=$V$334,$Y$334*(1+($U$334)/100)^MAX(0,$C335-$AB$334),0)))))</f>
      </c>
      <c r="G335" s="43">
        <f>IF($S$334=0,0,IF(OR(DATE($C335,3,15)&lt;$S$334,AND($T$334&gt;0,DATE($C335,3,15)&gt;$T$334)),0,IF(DATE($C335,3,15)&gt;=$X$334,$AA$334*(1+($U$334)/100)^MAX(0,$C335-$AD$334),IF(DATE($C335,3,15)&gt;=$W$334,$Z$334*(1+($U$334)/100)^MAX(0,$C335-$AC$334),IF(DATE($C335,3,15)&gt;=$V$334,$Y$334*(1+($U$334)/100)^MAX(0,$C335-$AB$334),0)))))</f>
      </c>
      <c r="H335" s="43">
        <f>IF($S$334=0,0,IF(OR(DATE($C335,4,15)&lt;$S$334,AND($T$334&gt;0,DATE($C335,4,15)&gt;$T$334)),0,IF(DATE($C335,4,15)&gt;=$X$334,$AA$334*(1+($U$334)/100)^MAX(0,$C335-$AD$334),IF(DATE($C335,4,15)&gt;=$W$334,$Z$334*(1+($U$334)/100)^MAX(0,$C335-$AC$334),IF(DATE($C335,4,15)&gt;=$V$334,$Y$334*(1+($U$334)/100)^MAX(0,$C335-$AB$334),0)))))</f>
      </c>
      <c r="I335" s="43">
        <f>IF($S$334=0,0,IF(OR(DATE($C335,5,15)&lt;$S$334,AND($T$334&gt;0,DATE($C335,5,15)&gt;$T$334)),0,IF(DATE($C335,5,15)&gt;=$X$334,$AA$334*(1+($U$334)/100)^MAX(0,$C335-$AD$334),IF(DATE($C335,5,15)&gt;=$W$334,$Z$334*(1+($U$334)/100)^MAX(0,$C335-$AC$334),IF(DATE($C335,5,15)&gt;=$V$334,$Y$334*(1+($U$334)/100)^MAX(0,$C335-$AB$334),0)))))</f>
      </c>
      <c r="J335" s="43">
        <f>IF($S$334=0,0,IF(OR(DATE($C335,6,15)&lt;$S$334,AND($T$334&gt;0,DATE($C335,6,15)&gt;$T$334)),0,IF(DATE($C335,6,15)&gt;=$X$334,$AA$334*(1+($U$334)/100)^MAX(0,$C335-$AD$334),IF(DATE($C335,6,15)&gt;=$W$334,$Z$334*(1+($U$334)/100)^MAX(0,$C335-$AC$334),IF(DATE($C335,6,15)&gt;=$V$334,$Y$334*(1+($U$334)/100)^MAX(0,$C335-$AB$334),0)))))</f>
      </c>
      <c r="K335" s="43">
        <f>IF($S$334=0,0,IF(OR(DATE($C335,7,15)&lt;$S$334,AND($T$334&gt;0,DATE($C335,7,15)&gt;$T$334)),0,IF(DATE($C335,7,15)&gt;=$X$334,$AA$334*(1+($U$334)/100)^MAX(0,$C335-$AD$334),IF(DATE($C335,7,15)&gt;=$W$334,$Z$334*(1+($U$334)/100)^MAX(0,$C335-$AC$334),IF(DATE($C335,7,15)&gt;=$V$334,$Y$334*(1+($U$334)/100)^MAX(0,$C335-$AB$334),0)))))</f>
      </c>
      <c r="L335" s="43">
        <f>IF($S$334=0,0,IF(OR(DATE($C335,8,15)&lt;$S$334,AND($T$334&gt;0,DATE($C335,8,15)&gt;$T$334)),0,IF(DATE($C335,8,15)&gt;=$X$334,$AA$334*(1+($U$334)/100)^MAX(0,$C335-$AD$334),IF(DATE($C335,8,15)&gt;=$W$334,$Z$334*(1+($U$334)/100)^MAX(0,$C335-$AC$334),IF(DATE($C335,8,15)&gt;=$V$334,$Y$334*(1+($U$334)/100)^MAX(0,$C335-$AB$334),0)))))</f>
      </c>
      <c r="M335" s="43">
        <f>IF($S$334=0,0,IF(OR(DATE($C335,9,15)&lt;$S$334,AND($T$334&gt;0,DATE($C335,9,15)&gt;$T$334)),0,IF(DATE($C335,9,15)&gt;=$X$334,$AA$334*(1+($U$334)/100)^MAX(0,$C335-$AD$334),IF(DATE($C335,9,15)&gt;=$W$334,$Z$334*(1+($U$334)/100)^MAX(0,$C335-$AC$334),IF(DATE($C335,9,15)&gt;=$V$334,$Y$334*(1+($U$334)/100)^MAX(0,$C335-$AB$334),0)))))</f>
      </c>
      <c r="N335" s="43">
        <f>IF($S$334=0,0,IF(OR(DATE($C335,10,15)&lt;$S$334,AND($T$334&gt;0,DATE($C335,10,15)&gt;$T$334)),0,IF(DATE($C335,10,15)&gt;=$X$334,$AA$334*(1+($U$334)/100)^MAX(0,$C335-$AD$334),IF(DATE($C335,10,15)&gt;=$W$334,$Z$334*(1+($U$334)/100)^MAX(0,$C335-$AC$334),IF(DATE($C335,10,15)&gt;=$V$334,$Y$334*(1+($U$334)/100)^MAX(0,$C335-$AB$334),0)))))</f>
      </c>
      <c r="O335" s="43">
        <f>IF($S$334=0,0,IF(OR(DATE($C335,11,15)&lt;$S$334,AND($T$334&gt;0,DATE($C335,11,15)&gt;$T$334)),0,IF(DATE($C335,11,15)&gt;=$X$334,$AA$334*(1+($U$334)/100)^MAX(0,$C335-$AD$334),IF(DATE($C335,11,15)&gt;=$W$334,$Z$334*(1+($U$334)/100)^MAX(0,$C335-$AC$334),IF(DATE($C335,11,15)&gt;=$V$334,$Y$334*(1+($U$334)/100)^MAX(0,$C335-$AB$334),0)))))</f>
      </c>
      <c r="P335" s="43">
        <f>IF($S$334=0,0,IF(OR(DATE($C335,12,15)&lt;$S$334,AND($T$334&gt;0,DATE($C335,12,15)&gt;$T$334)),0,IF(DATE($C335,12,15)&gt;=$X$334,$AA$334*(1+($U$334)/100)^MAX(0,$C335-$AD$334),IF(DATE($C335,12,15)&gt;=$W$334,$Z$334*(1+($U$334)/100)^MAX(0,$C335-$AC$334),IF(DATE($C335,12,15)&gt;=$V$334,$Y$334*(1+($U$334)/100)^MAX(0,$C335-$AB$334),0)))))</f>
      </c>
      <c r="Q335" s="43">
        <f>SUM($E335:$P335)</f>
      </c>
    </row>
    <row r="336">
      <c r="A336"/>
      <c r="B336">
        <v>11</v>
      </c>
      <c r="C336" s="43">
        <f>Jahr+2</f>
      </c>
      <c r="D336" s="43">
        <f>INDEX(MvObj,11)</f>
      </c>
      <c r="E336" s="43">
        <f>IF($S$334=0,0,IF(OR(DATE($C336,1,15)&lt;$S$334,AND($T$334&gt;0,DATE($C336,1,15)&gt;$T$334)),0,IF(DATE($C336,1,15)&gt;=$X$334,$AA$334*(1+($U$334)/100)^MAX(0,$C336-$AD$334),IF(DATE($C336,1,15)&gt;=$W$334,$Z$334*(1+($U$334)/100)^MAX(0,$C336-$AC$334),IF(DATE($C336,1,15)&gt;=$V$334,$Y$334*(1+($U$334)/100)^MAX(0,$C336-$AB$334),0)))))</f>
      </c>
      <c r="F336" s="43">
        <f>IF($S$334=0,0,IF(OR(DATE($C336,2,15)&lt;$S$334,AND($T$334&gt;0,DATE($C336,2,15)&gt;$T$334)),0,IF(DATE($C336,2,15)&gt;=$X$334,$AA$334*(1+($U$334)/100)^MAX(0,$C336-$AD$334),IF(DATE($C336,2,15)&gt;=$W$334,$Z$334*(1+($U$334)/100)^MAX(0,$C336-$AC$334),IF(DATE($C336,2,15)&gt;=$V$334,$Y$334*(1+($U$334)/100)^MAX(0,$C336-$AB$334),0)))))</f>
      </c>
      <c r="G336" s="43">
        <f>IF($S$334=0,0,IF(OR(DATE($C336,3,15)&lt;$S$334,AND($T$334&gt;0,DATE($C336,3,15)&gt;$T$334)),0,IF(DATE($C336,3,15)&gt;=$X$334,$AA$334*(1+($U$334)/100)^MAX(0,$C336-$AD$334),IF(DATE($C336,3,15)&gt;=$W$334,$Z$334*(1+($U$334)/100)^MAX(0,$C336-$AC$334),IF(DATE($C336,3,15)&gt;=$V$334,$Y$334*(1+($U$334)/100)^MAX(0,$C336-$AB$334),0)))))</f>
      </c>
      <c r="H336" s="43">
        <f>IF($S$334=0,0,IF(OR(DATE($C336,4,15)&lt;$S$334,AND($T$334&gt;0,DATE($C336,4,15)&gt;$T$334)),0,IF(DATE($C336,4,15)&gt;=$X$334,$AA$334*(1+($U$334)/100)^MAX(0,$C336-$AD$334),IF(DATE($C336,4,15)&gt;=$W$334,$Z$334*(1+($U$334)/100)^MAX(0,$C336-$AC$334),IF(DATE($C336,4,15)&gt;=$V$334,$Y$334*(1+($U$334)/100)^MAX(0,$C336-$AB$334),0)))))</f>
      </c>
      <c r="I336" s="43">
        <f>IF($S$334=0,0,IF(OR(DATE($C336,5,15)&lt;$S$334,AND($T$334&gt;0,DATE($C336,5,15)&gt;$T$334)),0,IF(DATE($C336,5,15)&gt;=$X$334,$AA$334*(1+($U$334)/100)^MAX(0,$C336-$AD$334),IF(DATE($C336,5,15)&gt;=$W$334,$Z$334*(1+($U$334)/100)^MAX(0,$C336-$AC$334),IF(DATE($C336,5,15)&gt;=$V$334,$Y$334*(1+($U$334)/100)^MAX(0,$C336-$AB$334),0)))))</f>
      </c>
      <c r="J336" s="43">
        <f>IF($S$334=0,0,IF(OR(DATE($C336,6,15)&lt;$S$334,AND($T$334&gt;0,DATE($C336,6,15)&gt;$T$334)),0,IF(DATE($C336,6,15)&gt;=$X$334,$AA$334*(1+($U$334)/100)^MAX(0,$C336-$AD$334),IF(DATE($C336,6,15)&gt;=$W$334,$Z$334*(1+($U$334)/100)^MAX(0,$C336-$AC$334),IF(DATE($C336,6,15)&gt;=$V$334,$Y$334*(1+($U$334)/100)^MAX(0,$C336-$AB$334),0)))))</f>
      </c>
      <c r="K336" s="43">
        <f>IF($S$334=0,0,IF(OR(DATE($C336,7,15)&lt;$S$334,AND($T$334&gt;0,DATE($C336,7,15)&gt;$T$334)),0,IF(DATE($C336,7,15)&gt;=$X$334,$AA$334*(1+($U$334)/100)^MAX(0,$C336-$AD$334),IF(DATE($C336,7,15)&gt;=$W$334,$Z$334*(1+($U$334)/100)^MAX(0,$C336-$AC$334),IF(DATE($C336,7,15)&gt;=$V$334,$Y$334*(1+($U$334)/100)^MAX(0,$C336-$AB$334),0)))))</f>
      </c>
      <c r="L336" s="43">
        <f>IF($S$334=0,0,IF(OR(DATE($C336,8,15)&lt;$S$334,AND($T$334&gt;0,DATE($C336,8,15)&gt;$T$334)),0,IF(DATE($C336,8,15)&gt;=$X$334,$AA$334*(1+($U$334)/100)^MAX(0,$C336-$AD$334),IF(DATE($C336,8,15)&gt;=$W$334,$Z$334*(1+($U$334)/100)^MAX(0,$C336-$AC$334),IF(DATE($C336,8,15)&gt;=$V$334,$Y$334*(1+($U$334)/100)^MAX(0,$C336-$AB$334),0)))))</f>
      </c>
      <c r="M336" s="43">
        <f>IF($S$334=0,0,IF(OR(DATE($C336,9,15)&lt;$S$334,AND($T$334&gt;0,DATE($C336,9,15)&gt;$T$334)),0,IF(DATE($C336,9,15)&gt;=$X$334,$AA$334*(1+($U$334)/100)^MAX(0,$C336-$AD$334),IF(DATE($C336,9,15)&gt;=$W$334,$Z$334*(1+($U$334)/100)^MAX(0,$C336-$AC$334),IF(DATE($C336,9,15)&gt;=$V$334,$Y$334*(1+($U$334)/100)^MAX(0,$C336-$AB$334),0)))))</f>
      </c>
      <c r="N336" s="43">
        <f>IF($S$334=0,0,IF(OR(DATE($C336,10,15)&lt;$S$334,AND($T$334&gt;0,DATE($C336,10,15)&gt;$T$334)),0,IF(DATE($C336,10,15)&gt;=$X$334,$AA$334*(1+($U$334)/100)^MAX(0,$C336-$AD$334),IF(DATE($C336,10,15)&gt;=$W$334,$Z$334*(1+($U$334)/100)^MAX(0,$C336-$AC$334),IF(DATE($C336,10,15)&gt;=$V$334,$Y$334*(1+($U$334)/100)^MAX(0,$C336-$AB$334),0)))))</f>
      </c>
      <c r="O336" s="43">
        <f>IF($S$334=0,0,IF(OR(DATE($C336,11,15)&lt;$S$334,AND($T$334&gt;0,DATE($C336,11,15)&gt;$T$334)),0,IF(DATE($C336,11,15)&gt;=$X$334,$AA$334*(1+($U$334)/100)^MAX(0,$C336-$AD$334),IF(DATE($C336,11,15)&gt;=$W$334,$Z$334*(1+($U$334)/100)^MAX(0,$C336-$AC$334),IF(DATE($C336,11,15)&gt;=$V$334,$Y$334*(1+($U$334)/100)^MAX(0,$C336-$AB$334),0)))))</f>
      </c>
      <c r="P336" s="43">
        <f>IF($S$334=0,0,IF(OR(DATE($C336,12,15)&lt;$S$334,AND($T$334&gt;0,DATE($C336,12,15)&gt;$T$334)),0,IF(DATE($C336,12,15)&gt;=$X$334,$AA$334*(1+($U$334)/100)^MAX(0,$C336-$AD$334),IF(DATE($C336,12,15)&gt;=$W$334,$Z$334*(1+($U$334)/100)^MAX(0,$C336-$AC$334),IF(DATE($C336,12,15)&gt;=$V$334,$Y$334*(1+($U$334)/100)^MAX(0,$C336-$AB$334),0)))))</f>
      </c>
      <c r="Q336" s="43">
        <f>SUM($E336:$P336)</f>
      </c>
    </row>
    <row r="337">
      <c r="A337"/>
      <c r="B337">
        <v>11</v>
      </c>
      <c r="C337" s="43">
        <f>Jahr+3</f>
      </c>
      <c r="D337" s="43">
        <f>INDEX(MvObj,11)</f>
      </c>
      <c r="E337" s="43">
        <f>IF($S$334=0,0,IF(OR(DATE($C337,1,15)&lt;$S$334,AND($T$334&gt;0,DATE($C337,1,15)&gt;$T$334)),0,IF(DATE($C337,1,15)&gt;=$X$334,$AA$334*(1+($U$334)/100)^MAX(0,$C337-$AD$334),IF(DATE($C337,1,15)&gt;=$W$334,$Z$334*(1+($U$334)/100)^MAX(0,$C337-$AC$334),IF(DATE($C337,1,15)&gt;=$V$334,$Y$334*(1+($U$334)/100)^MAX(0,$C337-$AB$334),0)))))</f>
      </c>
      <c r="F337" s="43">
        <f>IF($S$334=0,0,IF(OR(DATE($C337,2,15)&lt;$S$334,AND($T$334&gt;0,DATE($C337,2,15)&gt;$T$334)),0,IF(DATE($C337,2,15)&gt;=$X$334,$AA$334*(1+($U$334)/100)^MAX(0,$C337-$AD$334),IF(DATE($C337,2,15)&gt;=$W$334,$Z$334*(1+($U$334)/100)^MAX(0,$C337-$AC$334),IF(DATE($C337,2,15)&gt;=$V$334,$Y$334*(1+($U$334)/100)^MAX(0,$C337-$AB$334),0)))))</f>
      </c>
      <c r="G337" s="43">
        <f>IF($S$334=0,0,IF(OR(DATE($C337,3,15)&lt;$S$334,AND($T$334&gt;0,DATE($C337,3,15)&gt;$T$334)),0,IF(DATE($C337,3,15)&gt;=$X$334,$AA$334*(1+($U$334)/100)^MAX(0,$C337-$AD$334),IF(DATE($C337,3,15)&gt;=$W$334,$Z$334*(1+($U$334)/100)^MAX(0,$C337-$AC$334),IF(DATE($C337,3,15)&gt;=$V$334,$Y$334*(1+($U$334)/100)^MAX(0,$C337-$AB$334),0)))))</f>
      </c>
      <c r="H337" s="43">
        <f>IF($S$334=0,0,IF(OR(DATE($C337,4,15)&lt;$S$334,AND($T$334&gt;0,DATE($C337,4,15)&gt;$T$334)),0,IF(DATE($C337,4,15)&gt;=$X$334,$AA$334*(1+($U$334)/100)^MAX(0,$C337-$AD$334),IF(DATE($C337,4,15)&gt;=$W$334,$Z$334*(1+($U$334)/100)^MAX(0,$C337-$AC$334),IF(DATE($C337,4,15)&gt;=$V$334,$Y$334*(1+($U$334)/100)^MAX(0,$C337-$AB$334),0)))))</f>
      </c>
      <c r="I337" s="43">
        <f>IF($S$334=0,0,IF(OR(DATE($C337,5,15)&lt;$S$334,AND($T$334&gt;0,DATE($C337,5,15)&gt;$T$334)),0,IF(DATE($C337,5,15)&gt;=$X$334,$AA$334*(1+($U$334)/100)^MAX(0,$C337-$AD$334),IF(DATE($C337,5,15)&gt;=$W$334,$Z$334*(1+($U$334)/100)^MAX(0,$C337-$AC$334),IF(DATE($C337,5,15)&gt;=$V$334,$Y$334*(1+($U$334)/100)^MAX(0,$C337-$AB$334),0)))))</f>
      </c>
      <c r="J337" s="43">
        <f>IF($S$334=0,0,IF(OR(DATE($C337,6,15)&lt;$S$334,AND($T$334&gt;0,DATE($C337,6,15)&gt;$T$334)),0,IF(DATE($C337,6,15)&gt;=$X$334,$AA$334*(1+($U$334)/100)^MAX(0,$C337-$AD$334),IF(DATE($C337,6,15)&gt;=$W$334,$Z$334*(1+($U$334)/100)^MAX(0,$C337-$AC$334),IF(DATE($C337,6,15)&gt;=$V$334,$Y$334*(1+($U$334)/100)^MAX(0,$C337-$AB$334),0)))))</f>
      </c>
      <c r="K337" s="43">
        <f>IF($S$334=0,0,IF(OR(DATE($C337,7,15)&lt;$S$334,AND($T$334&gt;0,DATE($C337,7,15)&gt;$T$334)),0,IF(DATE($C337,7,15)&gt;=$X$334,$AA$334*(1+($U$334)/100)^MAX(0,$C337-$AD$334),IF(DATE($C337,7,15)&gt;=$W$334,$Z$334*(1+($U$334)/100)^MAX(0,$C337-$AC$334),IF(DATE($C337,7,15)&gt;=$V$334,$Y$334*(1+($U$334)/100)^MAX(0,$C337-$AB$334),0)))))</f>
      </c>
      <c r="L337" s="43">
        <f>IF($S$334=0,0,IF(OR(DATE($C337,8,15)&lt;$S$334,AND($T$334&gt;0,DATE($C337,8,15)&gt;$T$334)),0,IF(DATE($C337,8,15)&gt;=$X$334,$AA$334*(1+($U$334)/100)^MAX(0,$C337-$AD$334),IF(DATE($C337,8,15)&gt;=$W$334,$Z$334*(1+($U$334)/100)^MAX(0,$C337-$AC$334),IF(DATE($C337,8,15)&gt;=$V$334,$Y$334*(1+($U$334)/100)^MAX(0,$C337-$AB$334),0)))))</f>
      </c>
      <c r="M337" s="43">
        <f>IF($S$334=0,0,IF(OR(DATE($C337,9,15)&lt;$S$334,AND($T$334&gt;0,DATE($C337,9,15)&gt;$T$334)),0,IF(DATE($C337,9,15)&gt;=$X$334,$AA$334*(1+($U$334)/100)^MAX(0,$C337-$AD$334),IF(DATE($C337,9,15)&gt;=$W$334,$Z$334*(1+($U$334)/100)^MAX(0,$C337-$AC$334),IF(DATE($C337,9,15)&gt;=$V$334,$Y$334*(1+($U$334)/100)^MAX(0,$C337-$AB$334),0)))))</f>
      </c>
      <c r="N337" s="43">
        <f>IF($S$334=0,0,IF(OR(DATE($C337,10,15)&lt;$S$334,AND($T$334&gt;0,DATE($C337,10,15)&gt;$T$334)),0,IF(DATE($C337,10,15)&gt;=$X$334,$AA$334*(1+($U$334)/100)^MAX(0,$C337-$AD$334),IF(DATE($C337,10,15)&gt;=$W$334,$Z$334*(1+($U$334)/100)^MAX(0,$C337-$AC$334),IF(DATE($C337,10,15)&gt;=$V$334,$Y$334*(1+($U$334)/100)^MAX(0,$C337-$AB$334),0)))))</f>
      </c>
      <c r="O337" s="43">
        <f>IF($S$334=0,0,IF(OR(DATE($C337,11,15)&lt;$S$334,AND($T$334&gt;0,DATE($C337,11,15)&gt;$T$334)),0,IF(DATE($C337,11,15)&gt;=$X$334,$AA$334*(1+($U$334)/100)^MAX(0,$C337-$AD$334),IF(DATE($C337,11,15)&gt;=$W$334,$Z$334*(1+($U$334)/100)^MAX(0,$C337-$AC$334),IF(DATE($C337,11,15)&gt;=$V$334,$Y$334*(1+($U$334)/100)^MAX(0,$C337-$AB$334),0)))))</f>
      </c>
      <c r="P337" s="43">
        <f>IF($S$334=0,0,IF(OR(DATE($C337,12,15)&lt;$S$334,AND($T$334&gt;0,DATE($C337,12,15)&gt;$T$334)),0,IF(DATE($C337,12,15)&gt;=$X$334,$AA$334*(1+($U$334)/100)^MAX(0,$C337-$AD$334),IF(DATE($C337,12,15)&gt;=$W$334,$Z$334*(1+($U$334)/100)^MAX(0,$C337-$AC$334),IF(DATE($C337,12,15)&gt;=$V$334,$Y$334*(1+($U$334)/100)^MAX(0,$C337-$AB$334),0)))))</f>
      </c>
      <c r="Q337" s="43">
        <f>SUM($E337:$P337)</f>
      </c>
    </row>
    <row r="338">
      <c r="A338"/>
      <c r="B338">
        <v>11</v>
      </c>
      <c r="C338" s="43">
        <f>Jahr+4</f>
      </c>
      <c r="D338" s="43">
        <f>INDEX(MvObj,11)</f>
      </c>
      <c r="E338" s="43">
        <f>IF($S$334=0,0,IF(OR(DATE($C338,1,15)&lt;$S$334,AND($T$334&gt;0,DATE($C338,1,15)&gt;$T$334)),0,IF(DATE($C338,1,15)&gt;=$X$334,$AA$334*(1+($U$334)/100)^MAX(0,$C338-$AD$334),IF(DATE($C338,1,15)&gt;=$W$334,$Z$334*(1+($U$334)/100)^MAX(0,$C338-$AC$334),IF(DATE($C338,1,15)&gt;=$V$334,$Y$334*(1+($U$334)/100)^MAX(0,$C338-$AB$334),0)))))</f>
      </c>
      <c r="F338" s="43">
        <f>IF($S$334=0,0,IF(OR(DATE($C338,2,15)&lt;$S$334,AND($T$334&gt;0,DATE($C338,2,15)&gt;$T$334)),0,IF(DATE($C338,2,15)&gt;=$X$334,$AA$334*(1+($U$334)/100)^MAX(0,$C338-$AD$334),IF(DATE($C338,2,15)&gt;=$W$334,$Z$334*(1+($U$334)/100)^MAX(0,$C338-$AC$334),IF(DATE($C338,2,15)&gt;=$V$334,$Y$334*(1+($U$334)/100)^MAX(0,$C338-$AB$334),0)))))</f>
      </c>
      <c r="G338" s="43">
        <f>IF($S$334=0,0,IF(OR(DATE($C338,3,15)&lt;$S$334,AND($T$334&gt;0,DATE($C338,3,15)&gt;$T$334)),0,IF(DATE($C338,3,15)&gt;=$X$334,$AA$334*(1+($U$334)/100)^MAX(0,$C338-$AD$334),IF(DATE($C338,3,15)&gt;=$W$334,$Z$334*(1+($U$334)/100)^MAX(0,$C338-$AC$334),IF(DATE($C338,3,15)&gt;=$V$334,$Y$334*(1+($U$334)/100)^MAX(0,$C338-$AB$334),0)))))</f>
      </c>
      <c r="H338" s="43">
        <f>IF($S$334=0,0,IF(OR(DATE($C338,4,15)&lt;$S$334,AND($T$334&gt;0,DATE($C338,4,15)&gt;$T$334)),0,IF(DATE($C338,4,15)&gt;=$X$334,$AA$334*(1+($U$334)/100)^MAX(0,$C338-$AD$334),IF(DATE($C338,4,15)&gt;=$W$334,$Z$334*(1+($U$334)/100)^MAX(0,$C338-$AC$334),IF(DATE($C338,4,15)&gt;=$V$334,$Y$334*(1+($U$334)/100)^MAX(0,$C338-$AB$334),0)))))</f>
      </c>
      <c r="I338" s="43">
        <f>IF($S$334=0,0,IF(OR(DATE($C338,5,15)&lt;$S$334,AND($T$334&gt;0,DATE($C338,5,15)&gt;$T$334)),0,IF(DATE($C338,5,15)&gt;=$X$334,$AA$334*(1+($U$334)/100)^MAX(0,$C338-$AD$334),IF(DATE($C338,5,15)&gt;=$W$334,$Z$334*(1+($U$334)/100)^MAX(0,$C338-$AC$334),IF(DATE($C338,5,15)&gt;=$V$334,$Y$334*(1+($U$334)/100)^MAX(0,$C338-$AB$334),0)))))</f>
      </c>
      <c r="J338" s="43">
        <f>IF($S$334=0,0,IF(OR(DATE($C338,6,15)&lt;$S$334,AND($T$334&gt;0,DATE($C338,6,15)&gt;$T$334)),0,IF(DATE($C338,6,15)&gt;=$X$334,$AA$334*(1+($U$334)/100)^MAX(0,$C338-$AD$334),IF(DATE($C338,6,15)&gt;=$W$334,$Z$334*(1+($U$334)/100)^MAX(0,$C338-$AC$334),IF(DATE($C338,6,15)&gt;=$V$334,$Y$334*(1+($U$334)/100)^MAX(0,$C338-$AB$334),0)))))</f>
      </c>
      <c r="K338" s="43">
        <f>IF($S$334=0,0,IF(OR(DATE($C338,7,15)&lt;$S$334,AND($T$334&gt;0,DATE($C338,7,15)&gt;$T$334)),0,IF(DATE($C338,7,15)&gt;=$X$334,$AA$334*(1+($U$334)/100)^MAX(0,$C338-$AD$334),IF(DATE($C338,7,15)&gt;=$W$334,$Z$334*(1+($U$334)/100)^MAX(0,$C338-$AC$334),IF(DATE($C338,7,15)&gt;=$V$334,$Y$334*(1+($U$334)/100)^MAX(0,$C338-$AB$334),0)))))</f>
      </c>
      <c r="L338" s="43">
        <f>IF($S$334=0,0,IF(OR(DATE($C338,8,15)&lt;$S$334,AND($T$334&gt;0,DATE($C338,8,15)&gt;$T$334)),0,IF(DATE($C338,8,15)&gt;=$X$334,$AA$334*(1+($U$334)/100)^MAX(0,$C338-$AD$334),IF(DATE($C338,8,15)&gt;=$W$334,$Z$334*(1+($U$334)/100)^MAX(0,$C338-$AC$334),IF(DATE($C338,8,15)&gt;=$V$334,$Y$334*(1+($U$334)/100)^MAX(0,$C338-$AB$334),0)))))</f>
      </c>
      <c r="M338" s="43">
        <f>IF($S$334=0,0,IF(OR(DATE($C338,9,15)&lt;$S$334,AND($T$334&gt;0,DATE($C338,9,15)&gt;$T$334)),0,IF(DATE($C338,9,15)&gt;=$X$334,$AA$334*(1+($U$334)/100)^MAX(0,$C338-$AD$334),IF(DATE($C338,9,15)&gt;=$W$334,$Z$334*(1+($U$334)/100)^MAX(0,$C338-$AC$334),IF(DATE($C338,9,15)&gt;=$V$334,$Y$334*(1+($U$334)/100)^MAX(0,$C338-$AB$334),0)))))</f>
      </c>
      <c r="N338" s="43">
        <f>IF($S$334=0,0,IF(OR(DATE($C338,10,15)&lt;$S$334,AND($T$334&gt;0,DATE($C338,10,15)&gt;$T$334)),0,IF(DATE($C338,10,15)&gt;=$X$334,$AA$334*(1+($U$334)/100)^MAX(0,$C338-$AD$334),IF(DATE($C338,10,15)&gt;=$W$334,$Z$334*(1+($U$334)/100)^MAX(0,$C338-$AC$334),IF(DATE($C338,10,15)&gt;=$V$334,$Y$334*(1+($U$334)/100)^MAX(0,$C338-$AB$334),0)))))</f>
      </c>
      <c r="O338" s="43">
        <f>IF($S$334=0,0,IF(OR(DATE($C338,11,15)&lt;$S$334,AND($T$334&gt;0,DATE($C338,11,15)&gt;$T$334)),0,IF(DATE($C338,11,15)&gt;=$X$334,$AA$334*(1+($U$334)/100)^MAX(0,$C338-$AD$334),IF(DATE($C338,11,15)&gt;=$W$334,$Z$334*(1+($U$334)/100)^MAX(0,$C338-$AC$334),IF(DATE($C338,11,15)&gt;=$V$334,$Y$334*(1+($U$334)/100)^MAX(0,$C338-$AB$334),0)))))</f>
      </c>
      <c r="P338" s="43">
        <f>IF($S$334=0,0,IF(OR(DATE($C338,12,15)&lt;$S$334,AND($T$334&gt;0,DATE($C338,12,15)&gt;$T$334)),0,IF(DATE($C338,12,15)&gt;=$X$334,$AA$334*(1+($U$334)/100)^MAX(0,$C338-$AD$334),IF(DATE($C338,12,15)&gt;=$W$334,$Z$334*(1+($U$334)/100)^MAX(0,$C338-$AC$334),IF(DATE($C338,12,15)&gt;=$V$334,$Y$334*(1+($U$334)/100)^MAX(0,$C338-$AB$334),0)))))</f>
      </c>
      <c r="Q338" s="43">
        <f>SUM($E338:$P338)</f>
      </c>
    </row>
    <row r="339">
      <c r="A339"/>
      <c r="B339">
        <v>11</v>
      </c>
      <c r="C339" s="43">
        <f>Jahr+5</f>
      </c>
      <c r="D339" s="43">
        <f>INDEX(MvObj,11)</f>
      </c>
      <c r="E339" s="43">
        <f>IF($S$334=0,0,IF(OR(DATE($C339,1,15)&lt;$S$334,AND($T$334&gt;0,DATE($C339,1,15)&gt;$T$334)),0,IF(DATE($C339,1,15)&gt;=$X$334,$AA$334*(1+($U$334)/100)^MAX(0,$C339-$AD$334),IF(DATE($C339,1,15)&gt;=$W$334,$Z$334*(1+($U$334)/100)^MAX(0,$C339-$AC$334),IF(DATE($C339,1,15)&gt;=$V$334,$Y$334*(1+($U$334)/100)^MAX(0,$C339-$AB$334),0)))))</f>
      </c>
      <c r="F339" s="43">
        <f>IF($S$334=0,0,IF(OR(DATE($C339,2,15)&lt;$S$334,AND($T$334&gt;0,DATE($C339,2,15)&gt;$T$334)),0,IF(DATE($C339,2,15)&gt;=$X$334,$AA$334*(1+($U$334)/100)^MAX(0,$C339-$AD$334),IF(DATE($C339,2,15)&gt;=$W$334,$Z$334*(1+($U$334)/100)^MAX(0,$C339-$AC$334),IF(DATE($C339,2,15)&gt;=$V$334,$Y$334*(1+($U$334)/100)^MAX(0,$C339-$AB$334),0)))))</f>
      </c>
      <c r="G339" s="43">
        <f>IF($S$334=0,0,IF(OR(DATE($C339,3,15)&lt;$S$334,AND($T$334&gt;0,DATE($C339,3,15)&gt;$T$334)),0,IF(DATE($C339,3,15)&gt;=$X$334,$AA$334*(1+($U$334)/100)^MAX(0,$C339-$AD$334),IF(DATE($C339,3,15)&gt;=$W$334,$Z$334*(1+($U$334)/100)^MAX(0,$C339-$AC$334),IF(DATE($C339,3,15)&gt;=$V$334,$Y$334*(1+($U$334)/100)^MAX(0,$C339-$AB$334),0)))))</f>
      </c>
      <c r="H339" s="43">
        <f>IF($S$334=0,0,IF(OR(DATE($C339,4,15)&lt;$S$334,AND($T$334&gt;0,DATE($C339,4,15)&gt;$T$334)),0,IF(DATE($C339,4,15)&gt;=$X$334,$AA$334*(1+($U$334)/100)^MAX(0,$C339-$AD$334),IF(DATE($C339,4,15)&gt;=$W$334,$Z$334*(1+($U$334)/100)^MAX(0,$C339-$AC$334),IF(DATE($C339,4,15)&gt;=$V$334,$Y$334*(1+($U$334)/100)^MAX(0,$C339-$AB$334),0)))))</f>
      </c>
      <c r="I339" s="43">
        <f>IF($S$334=0,0,IF(OR(DATE($C339,5,15)&lt;$S$334,AND($T$334&gt;0,DATE($C339,5,15)&gt;$T$334)),0,IF(DATE($C339,5,15)&gt;=$X$334,$AA$334*(1+($U$334)/100)^MAX(0,$C339-$AD$334),IF(DATE($C339,5,15)&gt;=$W$334,$Z$334*(1+($U$334)/100)^MAX(0,$C339-$AC$334),IF(DATE($C339,5,15)&gt;=$V$334,$Y$334*(1+($U$334)/100)^MAX(0,$C339-$AB$334),0)))))</f>
      </c>
      <c r="J339" s="43">
        <f>IF($S$334=0,0,IF(OR(DATE($C339,6,15)&lt;$S$334,AND($T$334&gt;0,DATE($C339,6,15)&gt;$T$334)),0,IF(DATE($C339,6,15)&gt;=$X$334,$AA$334*(1+($U$334)/100)^MAX(0,$C339-$AD$334),IF(DATE($C339,6,15)&gt;=$W$334,$Z$334*(1+($U$334)/100)^MAX(0,$C339-$AC$334),IF(DATE($C339,6,15)&gt;=$V$334,$Y$334*(1+($U$334)/100)^MAX(0,$C339-$AB$334),0)))))</f>
      </c>
      <c r="K339" s="43">
        <f>IF($S$334=0,0,IF(OR(DATE($C339,7,15)&lt;$S$334,AND($T$334&gt;0,DATE($C339,7,15)&gt;$T$334)),0,IF(DATE($C339,7,15)&gt;=$X$334,$AA$334*(1+($U$334)/100)^MAX(0,$C339-$AD$334),IF(DATE($C339,7,15)&gt;=$W$334,$Z$334*(1+($U$334)/100)^MAX(0,$C339-$AC$334),IF(DATE($C339,7,15)&gt;=$V$334,$Y$334*(1+($U$334)/100)^MAX(0,$C339-$AB$334),0)))))</f>
      </c>
      <c r="L339" s="43">
        <f>IF($S$334=0,0,IF(OR(DATE($C339,8,15)&lt;$S$334,AND($T$334&gt;0,DATE($C339,8,15)&gt;$T$334)),0,IF(DATE($C339,8,15)&gt;=$X$334,$AA$334*(1+($U$334)/100)^MAX(0,$C339-$AD$334),IF(DATE($C339,8,15)&gt;=$W$334,$Z$334*(1+($U$334)/100)^MAX(0,$C339-$AC$334),IF(DATE($C339,8,15)&gt;=$V$334,$Y$334*(1+($U$334)/100)^MAX(0,$C339-$AB$334),0)))))</f>
      </c>
      <c r="M339" s="43">
        <f>IF($S$334=0,0,IF(OR(DATE($C339,9,15)&lt;$S$334,AND($T$334&gt;0,DATE($C339,9,15)&gt;$T$334)),0,IF(DATE($C339,9,15)&gt;=$X$334,$AA$334*(1+($U$334)/100)^MAX(0,$C339-$AD$334),IF(DATE($C339,9,15)&gt;=$W$334,$Z$334*(1+($U$334)/100)^MAX(0,$C339-$AC$334),IF(DATE($C339,9,15)&gt;=$V$334,$Y$334*(1+($U$334)/100)^MAX(0,$C339-$AB$334),0)))))</f>
      </c>
      <c r="N339" s="43">
        <f>IF($S$334=0,0,IF(OR(DATE($C339,10,15)&lt;$S$334,AND($T$334&gt;0,DATE($C339,10,15)&gt;$T$334)),0,IF(DATE($C339,10,15)&gt;=$X$334,$AA$334*(1+($U$334)/100)^MAX(0,$C339-$AD$334),IF(DATE($C339,10,15)&gt;=$W$334,$Z$334*(1+($U$334)/100)^MAX(0,$C339-$AC$334),IF(DATE($C339,10,15)&gt;=$V$334,$Y$334*(1+($U$334)/100)^MAX(0,$C339-$AB$334),0)))))</f>
      </c>
      <c r="O339" s="43">
        <f>IF($S$334=0,0,IF(OR(DATE($C339,11,15)&lt;$S$334,AND($T$334&gt;0,DATE($C339,11,15)&gt;$T$334)),0,IF(DATE($C339,11,15)&gt;=$X$334,$AA$334*(1+($U$334)/100)^MAX(0,$C339-$AD$334),IF(DATE($C339,11,15)&gt;=$W$334,$Z$334*(1+($U$334)/100)^MAX(0,$C339-$AC$334),IF(DATE($C339,11,15)&gt;=$V$334,$Y$334*(1+($U$334)/100)^MAX(0,$C339-$AB$334),0)))))</f>
      </c>
      <c r="P339" s="43">
        <f>IF($S$334=0,0,IF(OR(DATE($C339,12,15)&lt;$S$334,AND($T$334&gt;0,DATE($C339,12,15)&gt;$T$334)),0,IF(DATE($C339,12,15)&gt;=$X$334,$AA$334*(1+($U$334)/100)^MAX(0,$C339-$AD$334),IF(DATE($C339,12,15)&gt;=$W$334,$Z$334*(1+($U$334)/100)^MAX(0,$C339-$AC$334),IF(DATE($C339,12,15)&gt;=$V$334,$Y$334*(1+($U$334)/100)^MAX(0,$C339-$AB$334),0)))))</f>
      </c>
      <c r="Q339" s="43">
        <f>SUM($E339:$P339)</f>
      </c>
    </row>
    <row r="340">
      <c r="A340"/>
      <c r="B340">
        <v>11</v>
      </c>
      <c r="C340" s="43">
        <f>Jahr+6</f>
      </c>
      <c r="D340" s="43">
        <f>INDEX(MvObj,11)</f>
      </c>
      <c r="E340" s="43">
        <f>IF($S$334=0,0,IF(OR(DATE($C340,1,15)&lt;$S$334,AND($T$334&gt;0,DATE($C340,1,15)&gt;$T$334)),0,IF(DATE($C340,1,15)&gt;=$X$334,$AA$334*(1+($U$334)/100)^MAX(0,$C340-$AD$334),IF(DATE($C340,1,15)&gt;=$W$334,$Z$334*(1+($U$334)/100)^MAX(0,$C340-$AC$334),IF(DATE($C340,1,15)&gt;=$V$334,$Y$334*(1+($U$334)/100)^MAX(0,$C340-$AB$334),0)))))</f>
      </c>
      <c r="F340" s="43">
        <f>IF($S$334=0,0,IF(OR(DATE($C340,2,15)&lt;$S$334,AND($T$334&gt;0,DATE($C340,2,15)&gt;$T$334)),0,IF(DATE($C340,2,15)&gt;=$X$334,$AA$334*(1+($U$334)/100)^MAX(0,$C340-$AD$334),IF(DATE($C340,2,15)&gt;=$W$334,$Z$334*(1+($U$334)/100)^MAX(0,$C340-$AC$334),IF(DATE($C340,2,15)&gt;=$V$334,$Y$334*(1+($U$334)/100)^MAX(0,$C340-$AB$334),0)))))</f>
      </c>
      <c r="G340" s="43">
        <f>IF($S$334=0,0,IF(OR(DATE($C340,3,15)&lt;$S$334,AND($T$334&gt;0,DATE($C340,3,15)&gt;$T$334)),0,IF(DATE($C340,3,15)&gt;=$X$334,$AA$334*(1+($U$334)/100)^MAX(0,$C340-$AD$334),IF(DATE($C340,3,15)&gt;=$W$334,$Z$334*(1+($U$334)/100)^MAX(0,$C340-$AC$334),IF(DATE($C340,3,15)&gt;=$V$334,$Y$334*(1+($U$334)/100)^MAX(0,$C340-$AB$334),0)))))</f>
      </c>
      <c r="H340" s="43">
        <f>IF($S$334=0,0,IF(OR(DATE($C340,4,15)&lt;$S$334,AND($T$334&gt;0,DATE($C340,4,15)&gt;$T$334)),0,IF(DATE($C340,4,15)&gt;=$X$334,$AA$334*(1+($U$334)/100)^MAX(0,$C340-$AD$334),IF(DATE($C340,4,15)&gt;=$W$334,$Z$334*(1+($U$334)/100)^MAX(0,$C340-$AC$334),IF(DATE($C340,4,15)&gt;=$V$334,$Y$334*(1+($U$334)/100)^MAX(0,$C340-$AB$334),0)))))</f>
      </c>
      <c r="I340" s="43">
        <f>IF($S$334=0,0,IF(OR(DATE($C340,5,15)&lt;$S$334,AND($T$334&gt;0,DATE($C340,5,15)&gt;$T$334)),0,IF(DATE($C340,5,15)&gt;=$X$334,$AA$334*(1+($U$334)/100)^MAX(0,$C340-$AD$334),IF(DATE($C340,5,15)&gt;=$W$334,$Z$334*(1+($U$334)/100)^MAX(0,$C340-$AC$334),IF(DATE($C340,5,15)&gt;=$V$334,$Y$334*(1+($U$334)/100)^MAX(0,$C340-$AB$334),0)))))</f>
      </c>
      <c r="J340" s="43">
        <f>IF($S$334=0,0,IF(OR(DATE($C340,6,15)&lt;$S$334,AND($T$334&gt;0,DATE($C340,6,15)&gt;$T$334)),0,IF(DATE($C340,6,15)&gt;=$X$334,$AA$334*(1+($U$334)/100)^MAX(0,$C340-$AD$334),IF(DATE($C340,6,15)&gt;=$W$334,$Z$334*(1+($U$334)/100)^MAX(0,$C340-$AC$334),IF(DATE($C340,6,15)&gt;=$V$334,$Y$334*(1+($U$334)/100)^MAX(0,$C340-$AB$334),0)))))</f>
      </c>
      <c r="K340" s="43">
        <f>IF($S$334=0,0,IF(OR(DATE($C340,7,15)&lt;$S$334,AND($T$334&gt;0,DATE($C340,7,15)&gt;$T$334)),0,IF(DATE($C340,7,15)&gt;=$X$334,$AA$334*(1+($U$334)/100)^MAX(0,$C340-$AD$334),IF(DATE($C340,7,15)&gt;=$W$334,$Z$334*(1+($U$334)/100)^MAX(0,$C340-$AC$334),IF(DATE($C340,7,15)&gt;=$V$334,$Y$334*(1+($U$334)/100)^MAX(0,$C340-$AB$334),0)))))</f>
      </c>
      <c r="L340" s="43">
        <f>IF($S$334=0,0,IF(OR(DATE($C340,8,15)&lt;$S$334,AND($T$334&gt;0,DATE($C340,8,15)&gt;$T$334)),0,IF(DATE($C340,8,15)&gt;=$X$334,$AA$334*(1+($U$334)/100)^MAX(0,$C340-$AD$334),IF(DATE($C340,8,15)&gt;=$W$334,$Z$334*(1+($U$334)/100)^MAX(0,$C340-$AC$334),IF(DATE($C340,8,15)&gt;=$V$334,$Y$334*(1+($U$334)/100)^MAX(0,$C340-$AB$334),0)))))</f>
      </c>
      <c r="M340" s="43">
        <f>IF($S$334=0,0,IF(OR(DATE($C340,9,15)&lt;$S$334,AND($T$334&gt;0,DATE($C340,9,15)&gt;$T$334)),0,IF(DATE($C340,9,15)&gt;=$X$334,$AA$334*(1+($U$334)/100)^MAX(0,$C340-$AD$334),IF(DATE($C340,9,15)&gt;=$W$334,$Z$334*(1+($U$334)/100)^MAX(0,$C340-$AC$334),IF(DATE($C340,9,15)&gt;=$V$334,$Y$334*(1+($U$334)/100)^MAX(0,$C340-$AB$334),0)))))</f>
      </c>
      <c r="N340" s="43">
        <f>IF($S$334=0,0,IF(OR(DATE($C340,10,15)&lt;$S$334,AND($T$334&gt;0,DATE($C340,10,15)&gt;$T$334)),0,IF(DATE($C340,10,15)&gt;=$X$334,$AA$334*(1+($U$334)/100)^MAX(0,$C340-$AD$334),IF(DATE($C340,10,15)&gt;=$W$334,$Z$334*(1+($U$334)/100)^MAX(0,$C340-$AC$334),IF(DATE($C340,10,15)&gt;=$V$334,$Y$334*(1+($U$334)/100)^MAX(0,$C340-$AB$334),0)))))</f>
      </c>
      <c r="O340" s="43">
        <f>IF($S$334=0,0,IF(OR(DATE($C340,11,15)&lt;$S$334,AND($T$334&gt;0,DATE($C340,11,15)&gt;$T$334)),0,IF(DATE($C340,11,15)&gt;=$X$334,$AA$334*(1+($U$334)/100)^MAX(0,$C340-$AD$334),IF(DATE($C340,11,15)&gt;=$W$334,$Z$334*(1+($U$334)/100)^MAX(0,$C340-$AC$334),IF(DATE($C340,11,15)&gt;=$V$334,$Y$334*(1+($U$334)/100)^MAX(0,$C340-$AB$334),0)))))</f>
      </c>
      <c r="P340" s="43">
        <f>IF($S$334=0,0,IF(OR(DATE($C340,12,15)&lt;$S$334,AND($T$334&gt;0,DATE($C340,12,15)&gt;$T$334)),0,IF(DATE($C340,12,15)&gt;=$X$334,$AA$334*(1+($U$334)/100)^MAX(0,$C340-$AD$334),IF(DATE($C340,12,15)&gt;=$W$334,$Z$334*(1+($U$334)/100)^MAX(0,$C340-$AC$334),IF(DATE($C340,12,15)&gt;=$V$334,$Y$334*(1+($U$334)/100)^MAX(0,$C340-$AB$334),0)))))</f>
      </c>
      <c r="Q340" s="43">
        <f>SUM($E340:$P340)</f>
      </c>
    </row>
    <row r="341">
      <c r="A341"/>
      <c r="B341">
        <v>11</v>
      </c>
      <c r="C341" s="43">
        <f>Jahr+7</f>
      </c>
      <c r="D341" s="43">
        <f>INDEX(MvObj,11)</f>
      </c>
      <c r="E341" s="43">
        <f>IF($S$334=0,0,IF(OR(DATE($C341,1,15)&lt;$S$334,AND($T$334&gt;0,DATE($C341,1,15)&gt;$T$334)),0,IF(DATE($C341,1,15)&gt;=$X$334,$AA$334*(1+($U$334)/100)^MAX(0,$C341-$AD$334),IF(DATE($C341,1,15)&gt;=$W$334,$Z$334*(1+($U$334)/100)^MAX(0,$C341-$AC$334),IF(DATE($C341,1,15)&gt;=$V$334,$Y$334*(1+($U$334)/100)^MAX(0,$C341-$AB$334),0)))))</f>
      </c>
      <c r="F341" s="43">
        <f>IF($S$334=0,0,IF(OR(DATE($C341,2,15)&lt;$S$334,AND($T$334&gt;0,DATE($C341,2,15)&gt;$T$334)),0,IF(DATE($C341,2,15)&gt;=$X$334,$AA$334*(1+($U$334)/100)^MAX(0,$C341-$AD$334),IF(DATE($C341,2,15)&gt;=$W$334,$Z$334*(1+($U$334)/100)^MAX(0,$C341-$AC$334),IF(DATE($C341,2,15)&gt;=$V$334,$Y$334*(1+($U$334)/100)^MAX(0,$C341-$AB$334),0)))))</f>
      </c>
      <c r="G341" s="43">
        <f>IF($S$334=0,0,IF(OR(DATE($C341,3,15)&lt;$S$334,AND($T$334&gt;0,DATE($C341,3,15)&gt;$T$334)),0,IF(DATE($C341,3,15)&gt;=$X$334,$AA$334*(1+($U$334)/100)^MAX(0,$C341-$AD$334),IF(DATE($C341,3,15)&gt;=$W$334,$Z$334*(1+($U$334)/100)^MAX(0,$C341-$AC$334),IF(DATE($C341,3,15)&gt;=$V$334,$Y$334*(1+($U$334)/100)^MAX(0,$C341-$AB$334),0)))))</f>
      </c>
      <c r="H341" s="43">
        <f>IF($S$334=0,0,IF(OR(DATE($C341,4,15)&lt;$S$334,AND($T$334&gt;0,DATE($C341,4,15)&gt;$T$334)),0,IF(DATE($C341,4,15)&gt;=$X$334,$AA$334*(1+($U$334)/100)^MAX(0,$C341-$AD$334),IF(DATE($C341,4,15)&gt;=$W$334,$Z$334*(1+($U$334)/100)^MAX(0,$C341-$AC$334),IF(DATE($C341,4,15)&gt;=$V$334,$Y$334*(1+($U$334)/100)^MAX(0,$C341-$AB$334),0)))))</f>
      </c>
      <c r="I341" s="43">
        <f>IF($S$334=0,0,IF(OR(DATE($C341,5,15)&lt;$S$334,AND($T$334&gt;0,DATE($C341,5,15)&gt;$T$334)),0,IF(DATE($C341,5,15)&gt;=$X$334,$AA$334*(1+($U$334)/100)^MAX(0,$C341-$AD$334),IF(DATE($C341,5,15)&gt;=$W$334,$Z$334*(1+($U$334)/100)^MAX(0,$C341-$AC$334),IF(DATE($C341,5,15)&gt;=$V$334,$Y$334*(1+($U$334)/100)^MAX(0,$C341-$AB$334),0)))))</f>
      </c>
      <c r="J341" s="43">
        <f>IF($S$334=0,0,IF(OR(DATE($C341,6,15)&lt;$S$334,AND($T$334&gt;0,DATE($C341,6,15)&gt;$T$334)),0,IF(DATE($C341,6,15)&gt;=$X$334,$AA$334*(1+($U$334)/100)^MAX(0,$C341-$AD$334),IF(DATE($C341,6,15)&gt;=$W$334,$Z$334*(1+($U$334)/100)^MAX(0,$C341-$AC$334),IF(DATE($C341,6,15)&gt;=$V$334,$Y$334*(1+($U$334)/100)^MAX(0,$C341-$AB$334),0)))))</f>
      </c>
      <c r="K341" s="43">
        <f>IF($S$334=0,0,IF(OR(DATE($C341,7,15)&lt;$S$334,AND($T$334&gt;0,DATE($C341,7,15)&gt;$T$334)),0,IF(DATE($C341,7,15)&gt;=$X$334,$AA$334*(1+($U$334)/100)^MAX(0,$C341-$AD$334),IF(DATE($C341,7,15)&gt;=$W$334,$Z$334*(1+($U$334)/100)^MAX(0,$C341-$AC$334),IF(DATE($C341,7,15)&gt;=$V$334,$Y$334*(1+($U$334)/100)^MAX(0,$C341-$AB$334),0)))))</f>
      </c>
      <c r="L341" s="43">
        <f>IF($S$334=0,0,IF(OR(DATE($C341,8,15)&lt;$S$334,AND($T$334&gt;0,DATE($C341,8,15)&gt;$T$334)),0,IF(DATE($C341,8,15)&gt;=$X$334,$AA$334*(1+($U$334)/100)^MAX(0,$C341-$AD$334),IF(DATE($C341,8,15)&gt;=$W$334,$Z$334*(1+($U$334)/100)^MAX(0,$C341-$AC$334),IF(DATE($C341,8,15)&gt;=$V$334,$Y$334*(1+($U$334)/100)^MAX(0,$C341-$AB$334),0)))))</f>
      </c>
      <c r="M341" s="43">
        <f>IF($S$334=0,0,IF(OR(DATE($C341,9,15)&lt;$S$334,AND($T$334&gt;0,DATE($C341,9,15)&gt;$T$334)),0,IF(DATE($C341,9,15)&gt;=$X$334,$AA$334*(1+($U$334)/100)^MAX(0,$C341-$AD$334),IF(DATE($C341,9,15)&gt;=$W$334,$Z$334*(1+($U$334)/100)^MAX(0,$C341-$AC$334),IF(DATE($C341,9,15)&gt;=$V$334,$Y$334*(1+($U$334)/100)^MAX(0,$C341-$AB$334),0)))))</f>
      </c>
      <c r="N341" s="43">
        <f>IF($S$334=0,0,IF(OR(DATE($C341,10,15)&lt;$S$334,AND($T$334&gt;0,DATE($C341,10,15)&gt;$T$334)),0,IF(DATE($C341,10,15)&gt;=$X$334,$AA$334*(1+($U$334)/100)^MAX(0,$C341-$AD$334),IF(DATE($C341,10,15)&gt;=$W$334,$Z$334*(1+($U$334)/100)^MAX(0,$C341-$AC$334),IF(DATE($C341,10,15)&gt;=$V$334,$Y$334*(1+($U$334)/100)^MAX(0,$C341-$AB$334),0)))))</f>
      </c>
      <c r="O341" s="43">
        <f>IF($S$334=0,0,IF(OR(DATE($C341,11,15)&lt;$S$334,AND($T$334&gt;0,DATE($C341,11,15)&gt;$T$334)),0,IF(DATE($C341,11,15)&gt;=$X$334,$AA$334*(1+($U$334)/100)^MAX(0,$C341-$AD$334),IF(DATE($C341,11,15)&gt;=$W$334,$Z$334*(1+($U$334)/100)^MAX(0,$C341-$AC$334),IF(DATE($C341,11,15)&gt;=$V$334,$Y$334*(1+($U$334)/100)^MAX(0,$C341-$AB$334),0)))))</f>
      </c>
      <c r="P341" s="43">
        <f>IF($S$334=0,0,IF(OR(DATE($C341,12,15)&lt;$S$334,AND($T$334&gt;0,DATE($C341,12,15)&gt;$T$334)),0,IF(DATE($C341,12,15)&gt;=$X$334,$AA$334*(1+($U$334)/100)^MAX(0,$C341-$AD$334),IF(DATE($C341,12,15)&gt;=$W$334,$Z$334*(1+($U$334)/100)^MAX(0,$C341-$AC$334),IF(DATE($C341,12,15)&gt;=$V$334,$Y$334*(1+($U$334)/100)^MAX(0,$C341-$AB$334),0)))))</f>
      </c>
      <c r="Q341" s="43">
        <f>SUM($E341:$P341)</f>
      </c>
    </row>
    <row r="342">
      <c r="A342"/>
      <c r="B342">
        <v>11</v>
      </c>
      <c r="C342" s="43">
        <f>Jahr+8</f>
      </c>
      <c r="D342" s="43">
        <f>INDEX(MvObj,11)</f>
      </c>
      <c r="E342" s="43">
        <f>IF($S$334=0,0,IF(OR(DATE($C342,1,15)&lt;$S$334,AND($T$334&gt;0,DATE($C342,1,15)&gt;$T$334)),0,IF(DATE($C342,1,15)&gt;=$X$334,$AA$334*(1+($U$334)/100)^MAX(0,$C342-$AD$334),IF(DATE($C342,1,15)&gt;=$W$334,$Z$334*(1+($U$334)/100)^MAX(0,$C342-$AC$334),IF(DATE($C342,1,15)&gt;=$V$334,$Y$334*(1+($U$334)/100)^MAX(0,$C342-$AB$334),0)))))</f>
      </c>
      <c r="F342" s="43">
        <f>IF($S$334=0,0,IF(OR(DATE($C342,2,15)&lt;$S$334,AND($T$334&gt;0,DATE($C342,2,15)&gt;$T$334)),0,IF(DATE($C342,2,15)&gt;=$X$334,$AA$334*(1+($U$334)/100)^MAX(0,$C342-$AD$334),IF(DATE($C342,2,15)&gt;=$W$334,$Z$334*(1+($U$334)/100)^MAX(0,$C342-$AC$334),IF(DATE($C342,2,15)&gt;=$V$334,$Y$334*(1+($U$334)/100)^MAX(0,$C342-$AB$334),0)))))</f>
      </c>
      <c r="G342" s="43">
        <f>IF($S$334=0,0,IF(OR(DATE($C342,3,15)&lt;$S$334,AND($T$334&gt;0,DATE($C342,3,15)&gt;$T$334)),0,IF(DATE($C342,3,15)&gt;=$X$334,$AA$334*(1+($U$334)/100)^MAX(0,$C342-$AD$334),IF(DATE($C342,3,15)&gt;=$W$334,$Z$334*(1+($U$334)/100)^MAX(0,$C342-$AC$334),IF(DATE($C342,3,15)&gt;=$V$334,$Y$334*(1+($U$334)/100)^MAX(0,$C342-$AB$334),0)))))</f>
      </c>
      <c r="H342" s="43">
        <f>IF($S$334=0,0,IF(OR(DATE($C342,4,15)&lt;$S$334,AND($T$334&gt;0,DATE($C342,4,15)&gt;$T$334)),0,IF(DATE($C342,4,15)&gt;=$X$334,$AA$334*(1+($U$334)/100)^MAX(0,$C342-$AD$334),IF(DATE($C342,4,15)&gt;=$W$334,$Z$334*(1+($U$334)/100)^MAX(0,$C342-$AC$334),IF(DATE($C342,4,15)&gt;=$V$334,$Y$334*(1+($U$334)/100)^MAX(0,$C342-$AB$334),0)))))</f>
      </c>
      <c r="I342" s="43">
        <f>IF($S$334=0,0,IF(OR(DATE($C342,5,15)&lt;$S$334,AND($T$334&gt;0,DATE($C342,5,15)&gt;$T$334)),0,IF(DATE($C342,5,15)&gt;=$X$334,$AA$334*(1+($U$334)/100)^MAX(0,$C342-$AD$334),IF(DATE($C342,5,15)&gt;=$W$334,$Z$334*(1+($U$334)/100)^MAX(0,$C342-$AC$334),IF(DATE($C342,5,15)&gt;=$V$334,$Y$334*(1+($U$334)/100)^MAX(0,$C342-$AB$334),0)))))</f>
      </c>
      <c r="J342" s="43">
        <f>IF($S$334=0,0,IF(OR(DATE($C342,6,15)&lt;$S$334,AND($T$334&gt;0,DATE($C342,6,15)&gt;$T$334)),0,IF(DATE($C342,6,15)&gt;=$X$334,$AA$334*(1+($U$334)/100)^MAX(0,$C342-$AD$334),IF(DATE($C342,6,15)&gt;=$W$334,$Z$334*(1+($U$334)/100)^MAX(0,$C342-$AC$334),IF(DATE($C342,6,15)&gt;=$V$334,$Y$334*(1+($U$334)/100)^MAX(0,$C342-$AB$334),0)))))</f>
      </c>
      <c r="K342" s="43">
        <f>IF($S$334=0,0,IF(OR(DATE($C342,7,15)&lt;$S$334,AND($T$334&gt;0,DATE($C342,7,15)&gt;$T$334)),0,IF(DATE($C342,7,15)&gt;=$X$334,$AA$334*(1+($U$334)/100)^MAX(0,$C342-$AD$334),IF(DATE($C342,7,15)&gt;=$W$334,$Z$334*(1+($U$334)/100)^MAX(0,$C342-$AC$334),IF(DATE($C342,7,15)&gt;=$V$334,$Y$334*(1+($U$334)/100)^MAX(0,$C342-$AB$334),0)))))</f>
      </c>
      <c r="L342" s="43">
        <f>IF($S$334=0,0,IF(OR(DATE($C342,8,15)&lt;$S$334,AND($T$334&gt;0,DATE($C342,8,15)&gt;$T$334)),0,IF(DATE($C342,8,15)&gt;=$X$334,$AA$334*(1+($U$334)/100)^MAX(0,$C342-$AD$334),IF(DATE($C342,8,15)&gt;=$W$334,$Z$334*(1+($U$334)/100)^MAX(0,$C342-$AC$334),IF(DATE($C342,8,15)&gt;=$V$334,$Y$334*(1+($U$334)/100)^MAX(0,$C342-$AB$334),0)))))</f>
      </c>
      <c r="M342" s="43">
        <f>IF($S$334=0,0,IF(OR(DATE($C342,9,15)&lt;$S$334,AND($T$334&gt;0,DATE($C342,9,15)&gt;$T$334)),0,IF(DATE($C342,9,15)&gt;=$X$334,$AA$334*(1+($U$334)/100)^MAX(0,$C342-$AD$334),IF(DATE($C342,9,15)&gt;=$W$334,$Z$334*(1+($U$334)/100)^MAX(0,$C342-$AC$334),IF(DATE($C342,9,15)&gt;=$V$334,$Y$334*(1+($U$334)/100)^MAX(0,$C342-$AB$334),0)))))</f>
      </c>
      <c r="N342" s="43">
        <f>IF($S$334=0,0,IF(OR(DATE($C342,10,15)&lt;$S$334,AND($T$334&gt;0,DATE($C342,10,15)&gt;$T$334)),0,IF(DATE($C342,10,15)&gt;=$X$334,$AA$334*(1+($U$334)/100)^MAX(0,$C342-$AD$334),IF(DATE($C342,10,15)&gt;=$W$334,$Z$334*(1+($U$334)/100)^MAX(0,$C342-$AC$334),IF(DATE($C342,10,15)&gt;=$V$334,$Y$334*(1+($U$334)/100)^MAX(0,$C342-$AB$334),0)))))</f>
      </c>
      <c r="O342" s="43">
        <f>IF($S$334=0,0,IF(OR(DATE($C342,11,15)&lt;$S$334,AND($T$334&gt;0,DATE($C342,11,15)&gt;$T$334)),0,IF(DATE($C342,11,15)&gt;=$X$334,$AA$334*(1+($U$334)/100)^MAX(0,$C342-$AD$334),IF(DATE($C342,11,15)&gt;=$W$334,$Z$334*(1+($U$334)/100)^MAX(0,$C342-$AC$334),IF(DATE($C342,11,15)&gt;=$V$334,$Y$334*(1+($U$334)/100)^MAX(0,$C342-$AB$334),0)))))</f>
      </c>
      <c r="P342" s="43">
        <f>IF($S$334=0,0,IF(OR(DATE($C342,12,15)&lt;$S$334,AND($T$334&gt;0,DATE($C342,12,15)&gt;$T$334)),0,IF(DATE($C342,12,15)&gt;=$X$334,$AA$334*(1+($U$334)/100)^MAX(0,$C342-$AD$334),IF(DATE($C342,12,15)&gt;=$W$334,$Z$334*(1+($U$334)/100)^MAX(0,$C342-$AC$334),IF(DATE($C342,12,15)&gt;=$V$334,$Y$334*(1+($U$334)/100)^MAX(0,$C342-$AB$334),0)))))</f>
      </c>
      <c r="Q342" s="43">
        <f>SUM($E342:$P342)</f>
      </c>
    </row>
    <row r="343">
      <c r="A343"/>
      <c r="B343">
        <v>11</v>
      </c>
      <c r="C343" s="43">
        <f>Jahr+9</f>
      </c>
      <c r="D343" s="43">
        <f>INDEX(MvObj,11)</f>
      </c>
      <c r="E343" s="43">
        <f>IF($S$334=0,0,IF(OR(DATE($C343,1,15)&lt;$S$334,AND($T$334&gt;0,DATE($C343,1,15)&gt;$T$334)),0,IF(DATE($C343,1,15)&gt;=$X$334,$AA$334*(1+($U$334)/100)^MAX(0,$C343-$AD$334),IF(DATE($C343,1,15)&gt;=$W$334,$Z$334*(1+($U$334)/100)^MAX(0,$C343-$AC$334),IF(DATE($C343,1,15)&gt;=$V$334,$Y$334*(1+($U$334)/100)^MAX(0,$C343-$AB$334),0)))))</f>
      </c>
      <c r="F343" s="43">
        <f>IF($S$334=0,0,IF(OR(DATE($C343,2,15)&lt;$S$334,AND($T$334&gt;0,DATE($C343,2,15)&gt;$T$334)),0,IF(DATE($C343,2,15)&gt;=$X$334,$AA$334*(1+($U$334)/100)^MAX(0,$C343-$AD$334),IF(DATE($C343,2,15)&gt;=$W$334,$Z$334*(1+($U$334)/100)^MAX(0,$C343-$AC$334),IF(DATE($C343,2,15)&gt;=$V$334,$Y$334*(1+($U$334)/100)^MAX(0,$C343-$AB$334),0)))))</f>
      </c>
      <c r="G343" s="43">
        <f>IF($S$334=0,0,IF(OR(DATE($C343,3,15)&lt;$S$334,AND($T$334&gt;0,DATE($C343,3,15)&gt;$T$334)),0,IF(DATE($C343,3,15)&gt;=$X$334,$AA$334*(1+($U$334)/100)^MAX(0,$C343-$AD$334),IF(DATE($C343,3,15)&gt;=$W$334,$Z$334*(1+($U$334)/100)^MAX(0,$C343-$AC$334),IF(DATE($C343,3,15)&gt;=$V$334,$Y$334*(1+($U$334)/100)^MAX(0,$C343-$AB$334),0)))))</f>
      </c>
      <c r="H343" s="43">
        <f>IF($S$334=0,0,IF(OR(DATE($C343,4,15)&lt;$S$334,AND($T$334&gt;0,DATE($C343,4,15)&gt;$T$334)),0,IF(DATE($C343,4,15)&gt;=$X$334,$AA$334*(1+($U$334)/100)^MAX(0,$C343-$AD$334),IF(DATE($C343,4,15)&gt;=$W$334,$Z$334*(1+($U$334)/100)^MAX(0,$C343-$AC$334),IF(DATE($C343,4,15)&gt;=$V$334,$Y$334*(1+($U$334)/100)^MAX(0,$C343-$AB$334),0)))))</f>
      </c>
      <c r="I343" s="43">
        <f>IF($S$334=0,0,IF(OR(DATE($C343,5,15)&lt;$S$334,AND($T$334&gt;0,DATE($C343,5,15)&gt;$T$334)),0,IF(DATE($C343,5,15)&gt;=$X$334,$AA$334*(1+($U$334)/100)^MAX(0,$C343-$AD$334),IF(DATE($C343,5,15)&gt;=$W$334,$Z$334*(1+($U$334)/100)^MAX(0,$C343-$AC$334),IF(DATE($C343,5,15)&gt;=$V$334,$Y$334*(1+($U$334)/100)^MAX(0,$C343-$AB$334),0)))))</f>
      </c>
      <c r="J343" s="43">
        <f>IF($S$334=0,0,IF(OR(DATE($C343,6,15)&lt;$S$334,AND($T$334&gt;0,DATE($C343,6,15)&gt;$T$334)),0,IF(DATE($C343,6,15)&gt;=$X$334,$AA$334*(1+($U$334)/100)^MAX(0,$C343-$AD$334),IF(DATE($C343,6,15)&gt;=$W$334,$Z$334*(1+($U$334)/100)^MAX(0,$C343-$AC$334),IF(DATE($C343,6,15)&gt;=$V$334,$Y$334*(1+($U$334)/100)^MAX(0,$C343-$AB$334),0)))))</f>
      </c>
      <c r="K343" s="43">
        <f>IF($S$334=0,0,IF(OR(DATE($C343,7,15)&lt;$S$334,AND($T$334&gt;0,DATE($C343,7,15)&gt;$T$334)),0,IF(DATE($C343,7,15)&gt;=$X$334,$AA$334*(1+($U$334)/100)^MAX(0,$C343-$AD$334),IF(DATE($C343,7,15)&gt;=$W$334,$Z$334*(1+($U$334)/100)^MAX(0,$C343-$AC$334),IF(DATE($C343,7,15)&gt;=$V$334,$Y$334*(1+($U$334)/100)^MAX(0,$C343-$AB$334),0)))))</f>
      </c>
      <c r="L343" s="43">
        <f>IF($S$334=0,0,IF(OR(DATE($C343,8,15)&lt;$S$334,AND($T$334&gt;0,DATE($C343,8,15)&gt;$T$334)),0,IF(DATE($C343,8,15)&gt;=$X$334,$AA$334*(1+($U$334)/100)^MAX(0,$C343-$AD$334),IF(DATE($C343,8,15)&gt;=$W$334,$Z$334*(1+($U$334)/100)^MAX(0,$C343-$AC$334),IF(DATE($C343,8,15)&gt;=$V$334,$Y$334*(1+($U$334)/100)^MAX(0,$C343-$AB$334),0)))))</f>
      </c>
      <c r="M343" s="43">
        <f>IF($S$334=0,0,IF(OR(DATE($C343,9,15)&lt;$S$334,AND($T$334&gt;0,DATE($C343,9,15)&gt;$T$334)),0,IF(DATE($C343,9,15)&gt;=$X$334,$AA$334*(1+($U$334)/100)^MAX(0,$C343-$AD$334),IF(DATE($C343,9,15)&gt;=$W$334,$Z$334*(1+($U$334)/100)^MAX(0,$C343-$AC$334),IF(DATE($C343,9,15)&gt;=$V$334,$Y$334*(1+($U$334)/100)^MAX(0,$C343-$AB$334),0)))))</f>
      </c>
      <c r="N343" s="43">
        <f>IF($S$334=0,0,IF(OR(DATE($C343,10,15)&lt;$S$334,AND($T$334&gt;0,DATE($C343,10,15)&gt;$T$334)),0,IF(DATE($C343,10,15)&gt;=$X$334,$AA$334*(1+($U$334)/100)^MAX(0,$C343-$AD$334),IF(DATE($C343,10,15)&gt;=$W$334,$Z$334*(1+($U$334)/100)^MAX(0,$C343-$AC$334),IF(DATE($C343,10,15)&gt;=$V$334,$Y$334*(1+($U$334)/100)^MAX(0,$C343-$AB$334),0)))))</f>
      </c>
      <c r="O343" s="43">
        <f>IF($S$334=0,0,IF(OR(DATE($C343,11,15)&lt;$S$334,AND($T$334&gt;0,DATE($C343,11,15)&gt;$T$334)),0,IF(DATE($C343,11,15)&gt;=$X$334,$AA$334*(1+($U$334)/100)^MAX(0,$C343-$AD$334),IF(DATE($C343,11,15)&gt;=$W$334,$Z$334*(1+($U$334)/100)^MAX(0,$C343-$AC$334),IF(DATE($C343,11,15)&gt;=$V$334,$Y$334*(1+($U$334)/100)^MAX(0,$C343-$AB$334),0)))))</f>
      </c>
      <c r="P343" s="43">
        <f>IF($S$334=0,0,IF(OR(DATE($C343,12,15)&lt;$S$334,AND($T$334&gt;0,DATE($C343,12,15)&gt;$T$334)),0,IF(DATE($C343,12,15)&gt;=$X$334,$AA$334*(1+($U$334)/100)^MAX(0,$C343-$AD$334),IF(DATE($C343,12,15)&gt;=$W$334,$Z$334*(1+($U$334)/100)^MAX(0,$C343-$AC$334),IF(DATE($C343,12,15)&gt;=$V$334,$Y$334*(1+($U$334)/100)^MAX(0,$C343-$AB$334),0)))))</f>
      </c>
      <c r="Q343" s="43">
        <f>SUM($E343:$P343)</f>
      </c>
    </row>
    <row r="344">
      <c r="A344"/>
      <c r="B344">
        <v>11</v>
      </c>
      <c r="C344" s="43">
        <f>Jahr+10</f>
      </c>
      <c r="D344" s="43">
        <f>INDEX(MvObj,11)</f>
      </c>
      <c r="E344" s="43">
        <f>IF($S$334=0,0,IF(OR(DATE($C344,1,15)&lt;$S$334,AND($T$334&gt;0,DATE($C344,1,15)&gt;$T$334)),0,IF(DATE($C344,1,15)&gt;=$X$334,$AA$334*(1+($U$334)/100)^MAX(0,$C344-$AD$334),IF(DATE($C344,1,15)&gt;=$W$334,$Z$334*(1+($U$334)/100)^MAX(0,$C344-$AC$334),IF(DATE($C344,1,15)&gt;=$V$334,$Y$334*(1+($U$334)/100)^MAX(0,$C344-$AB$334),0)))))</f>
      </c>
      <c r="F344" s="43">
        <f>IF($S$334=0,0,IF(OR(DATE($C344,2,15)&lt;$S$334,AND($T$334&gt;0,DATE($C344,2,15)&gt;$T$334)),0,IF(DATE($C344,2,15)&gt;=$X$334,$AA$334*(1+($U$334)/100)^MAX(0,$C344-$AD$334),IF(DATE($C344,2,15)&gt;=$W$334,$Z$334*(1+($U$334)/100)^MAX(0,$C344-$AC$334),IF(DATE($C344,2,15)&gt;=$V$334,$Y$334*(1+($U$334)/100)^MAX(0,$C344-$AB$334),0)))))</f>
      </c>
      <c r="G344" s="43">
        <f>IF($S$334=0,0,IF(OR(DATE($C344,3,15)&lt;$S$334,AND($T$334&gt;0,DATE($C344,3,15)&gt;$T$334)),0,IF(DATE($C344,3,15)&gt;=$X$334,$AA$334*(1+($U$334)/100)^MAX(0,$C344-$AD$334),IF(DATE($C344,3,15)&gt;=$W$334,$Z$334*(1+($U$334)/100)^MAX(0,$C344-$AC$334),IF(DATE($C344,3,15)&gt;=$V$334,$Y$334*(1+($U$334)/100)^MAX(0,$C344-$AB$334),0)))))</f>
      </c>
      <c r="H344" s="43">
        <f>IF($S$334=0,0,IF(OR(DATE($C344,4,15)&lt;$S$334,AND($T$334&gt;0,DATE($C344,4,15)&gt;$T$334)),0,IF(DATE($C344,4,15)&gt;=$X$334,$AA$334*(1+($U$334)/100)^MAX(0,$C344-$AD$334),IF(DATE($C344,4,15)&gt;=$W$334,$Z$334*(1+($U$334)/100)^MAX(0,$C344-$AC$334),IF(DATE($C344,4,15)&gt;=$V$334,$Y$334*(1+($U$334)/100)^MAX(0,$C344-$AB$334),0)))))</f>
      </c>
      <c r="I344" s="43">
        <f>IF($S$334=0,0,IF(OR(DATE($C344,5,15)&lt;$S$334,AND($T$334&gt;0,DATE($C344,5,15)&gt;$T$334)),0,IF(DATE($C344,5,15)&gt;=$X$334,$AA$334*(1+($U$334)/100)^MAX(0,$C344-$AD$334),IF(DATE($C344,5,15)&gt;=$W$334,$Z$334*(1+($U$334)/100)^MAX(0,$C344-$AC$334),IF(DATE($C344,5,15)&gt;=$V$334,$Y$334*(1+($U$334)/100)^MAX(0,$C344-$AB$334),0)))))</f>
      </c>
      <c r="J344" s="43">
        <f>IF($S$334=0,0,IF(OR(DATE($C344,6,15)&lt;$S$334,AND($T$334&gt;0,DATE($C344,6,15)&gt;$T$334)),0,IF(DATE($C344,6,15)&gt;=$X$334,$AA$334*(1+($U$334)/100)^MAX(0,$C344-$AD$334),IF(DATE($C344,6,15)&gt;=$W$334,$Z$334*(1+($U$334)/100)^MAX(0,$C344-$AC$334),IF(DATE($C344,6,15)&gt;=$V$334,$Y$334*(1+($U$334)/100)^MAX(0,$C344-$AB$334),0)))))</f>
      </c>
      <c r="K344" s="43">
        <f>IF($S$334=0,0,IF(OR(DATE($C344,7,15)&lt;$S$334,AND($T$334&gt;0,DATE($C344,7,15)&gt;$T$334)),0,IF(DATE($C344,7,15)&gt;=$X$334,$AA$334*(1+($U$334)/100)^MAX(0,$C344-$AD$334),IF(DATE($C344,7,15)&gt;=$W$334,$Z$334*(1+($U$334)/100)^MAX(0,$C344-$AC$334),IF(DATE($C344,7,15)&gt;=$V$334,$Y$334*(1+($U$334)/100)^MAX(0,$C344-$AB$334),0)))))</f>
      </c>
      <c r="L344" s="43">
        <f>IF($S$334=0,0,IF(OR(DATE($C344,8,15)&lt;$S$334,AND($T$334&gt;0,DATE($C344,8,15)&gt;$T$334)),0,IF(DATE($C344,8,15)&gt;=$X$334,$AA$334*(1+($U$334)/100)^MAX(0,$C344-$AD$334),IF(DATE($C344,8,15)&gt;=$W$334,$Z$334*(1+($U$334)/100)^MAX(0,$C344-$AC$334),IF(DATE($C344,8,15)&gt;=$V$334,$Y$334*(1+($U$334)/100)^MAX(0,$C344-$AB$334),0)))))</f>
      </c>
      <c r="M344" s="43">
        <f>IF($S$334=0,0,IF(OR(DATE($C344,9,15)&lt;$S$334,AND($T$334&gt;0,DATE($C344,9,15)&gt;$T$334)),0,IF(DATE($C344,9,15)&gt;=$X$334,$AA$334*(1+($U$334)/100)^MAX(0,$C344-$AD$334),IF(DATE($C344,9,15)&gt;=$W$334,$Z$334*(1+($U$334)/100)^MAX(0,$C344-$AC$334),IF(DATE($C344,9,15)&gt;=$V$334,$Y$334*(1+($U$334)/100)^MAX(0,$C344-$AB$334),0)))))</f>
      </c>
      <c r="N344" s="43">
        <f>IF($S$334=0,0,IF(OR(DATE($C344,10,15)&lt;$S$334,AND($T$334&gt;0,DATE($C344,10,15)&gt;$T$334)),0,IF(DATE($C344,10,15)&gt;=$X$334,$AA$334*(1+($U$334)/100)^MAX(0,$C344-$AD$334),IF(DATE($C344,10,15)&gt;=$W$334,$Z$334*(1+($U$334)/100)^MAX(0,$C344-$AC$334),IF(DATE($C344,10,15)&gt;=$V$334,$Y$334*(1+($U$334)/100)^MAX(0,$C344-$AB$334),0)))))</f>
      </c>
      <c r="O344" s="43">
        <f>IF($S$334=0,0,IF(OR(DATE($C344,11,15)&lt;$S$334,AND($T$334&gt;0,DATE($C344,11,15)&gt;$T$334)),0,IF(DATE($C344,11,15)&gt;=$X$334,$AA$334*(1+($U$334)/100)^MAX(0,$C344-$AD$334),IF(DATE($C344,11,15)&gt;=$W$334,$Z$334*(1+($U$334)/100)^MAX(0,$C344-$AC$334),IF(DATE($C344,11,15)&gt;=$V$334,$Y$334*(1+($U$334)/100)^MAX(0,$C344-$AB$334),0)))))</f>
      </c>
      <c r="P344" s="43">
        <f>IF($S$334=0,0,IF(OR(DATE($C344,12,15)&lt;$S$334,AND($T$334&gt;0,DATE($C344,12,15)&gt;$T$334)),0,IF(DATE($C344,12,15)&gt;=$X$334,$AA$334*(1+($U$334)/100)^MAX(0,$C344-$AD$334),IF(DATE($C344,12,15)&gt;=$W$334,$Z$334*(1+($U$334)/100)^MAX(0,$C344-$AC$334),IF(DATE($C344,12,15)&gt;=$V$334,$Y$334*(1+($U$334)/100)^MAX(0,$C344-$AB$334),0)))))</f>
      </c>
      <c r="Q344" s="43">
        <f>SUM($E344:$P344)</f>
      </c>
    </row>
    <row r="345">
      <c r="A345"/>
      <c r="B345">
        <v>11</v>
      </c>
      <c r="C345" s="43">
        <f>Jahr+11</f>
      </c>
      <c r="D345" s="43">
        <f>INDEX(MvObj,11)</f>
      </c>
      <c r="E345" s="43">
        <f>IF($S$334=0,0,IF(OR(DATE($C345,1,15)&lt;$S$334,AND($T$334&gt;0,DATE($C345,1,15)&gt;$T$334)),0,IF(DATE($C345,1,15)&gt;=$X$334,$AA$334*(1+($U$334)/100)^MAX(0,$C345-$AD$334),IF(DATE($C345,1,15)&gt;=$W$334,$Z$334*(1+($U$334)/100)^MAX(0,$C345-$AC$334),IF(DATE($C345,1,15)&gt;=$V$334,$Y$334*(1+($U$334)/100)^MAX(0,$C345-$AB$334),0)))))</f>
      </c>
      <c r="F345" s="43">
        <f>IF($S$334=0,0,IF(OR(DATE($C345,2,15)&lt;$S$334,AND($T$334&gt;0,DATE($C345,2,15)&gt;$T$334)),0,IF(DATE($C345,2,15)&gt;=$X$334,$AA$334*(1+($U$334)/100)^MAX(0,$C345-$AD$334),IF(DATE($C345,2,15)&gt;=$W$334,$Z$334*(1+($U$334)/100)^MAX(0,$C345-$AC$334),IF(DATE($C345,2,15)&gt;=$V$334,$Y$334*(1+($U$334)/100)^MAX(0,$C345-$AB$334),0)))))</f>
      </c>
      <c r="G345" s="43">
        <f>IF($S$334=0,0,IF(OR(DATE($C345,3,15)&lt;$S$334,AND($T$334&gt;0,DATE($C345,3,15)&gt;$T$334)),0,IF(DATE($C345,3,15)&gt;=$X$334,$AA$334*(1+($U$334)/100)^MAX(0,$C345-$AD$334),IF(DATE($C345,3,15)&gt;=$W$334,$Z$334*(1+($U$334)/100)^MAX(0,$C345-$AC$334),IF(DATE($C345,3,15)&gt;=$V$334,$Y$334*(1+($U$334)/100)^MAX(0,$C345-$AB$334),0)))))</f>
      </c>
      <c r="H345" s="43">
        <f>IF($S$334=0,0,IF(OR(DATE($C345,4,15)&lt;$S$334,AND($T$334&gt;0,DATE($C345,4,15)&gt;$T$334)),0,IF(DATE($C345,4,15)&gt;=$X$334,$AA$334*(1+($U$334)/100)^MAX(0,$C345-$AD$334),IF(DATE($C345,4,15)&gt;=$W$334,$Z$334*(1+($U$334)/100)^MAX(0,$C345-$AC$334),IF(DATE($C345,4,15)&gt;=$V$334,$Y$334*(1+($U$334)/100)^MAX(0,$C345-$AB$334),0)))))</f>
      </c>
      <c r="I345" s="43">
        <f>IF($S$334=0,0,IF(OR(DATE($C345,5,15)&lt;$S$334,AND($T$334&gt;0,DATE($C345,5,15)&gt;$T$334)),0,IF(DATE($C345,5,15)&gt;=$X$334,$AA$334*(1+($U$334)/100)^MAX(0,$C345-$AD$334),IF(DATE($C345,5,15)&gt;=$W$334,$Z$334*(1+($U$334)/100)^MAX(0,$C345-$AC$334),IF(DATE($C345,5,15)&gt;=$V$334,$Y$334*(1+($U$334)/100)^MAX(0,$C345-$AB$334),0)))))</f>
      </c>
      <c r="J345" s="43">
        <f>IF($S$334=0,0,IF(OR(DATE($C345,6,15)&lt;$S$334,AND($T$334&gt;0,DATE($C345,6,15)&gt;$T$334)),0,IF(DATE($C345,6,15)&gt;=$X$334,$AA$334*(1+($U$334)/100)^MAX(0,$C345-$AD$334),IF(DATE($C345,6,15)&gt;=$W$334,$Z$334*(1+($U$334)/100)^MAX(0,$C345-$AC$334),IF(DATE($C345,6,15)&gt;=$V$334,$Y$334*(1+($U$334)/100)^MAX(0,$C345-$AB$334),0)))))</f>
      </c>
      <c r="K345" s="43">
        <f>IF($S$334=0,0,IF(OR(DATE($C345,7,15)&lt;$S$334,AND($T$334&gt;0,DATE($C345,7,15)&gt;$T$334)),0,IF(DATE($C345,7,15)&gt;=$X$334,$AA$334*(1+($U$334)/100)^MAX(0,$C345-$AD$334),IF(DATE($C345,7,15)&gt;=$W$334,$Z$334*(1+($U$334)/100)^MAX(0,$C345-$AC$334),IF(DATE($C345,7,15)&gt;=$V$334,$Y$334*(1+($U$334)/100)^MAX(0,$C345-$AB$334),0)))))</f>
      </c>
      <c r="L345" s="43">
        <f>IF($S$334=0,0,IF(OR(DATE($C345,8,15)&lt;$S$334,AND($T$334&gt;0,DATE($C345,8,15)&gt;$T$334)),0,IF(DATE($C345,8,15)&gt;=$X$334,$AA$334*(1+($U$334)/100)^MAX(0,$C345-$AD$334),IF(DATE($C345,8,15)&gt;=$W$334,$Z$334*(1+($U$334)/100)^MAX(0,$C345-$AC$334),IF(DATE($C345,8,15)&gt;=$V$334,$Y$334*(1+($U$334)/100)^MAX(0,$C345-$AB$334),0)))))</f>
      </c>
      <c r="M345" s="43">
        <f>IF($S$334=0,0,IF(OR(DATE($C345,9,15)&lt;$S$334,AND($T$334&gt;0,DATE($C345,9,15)&gt;$T$334)),0,IF(DATE($C345,9,15)&gt;=$X$334,$AA$334*(1+($U$334)/100)^MAX(0,$C345-$AD$334),IF(DATE($C345,9,15)&gt;=$W$334,$Z$334*(1+($U$334)/100)^MAX(0,$C345-$AC$334),IF(DATE($C345,9,15)&gt;=$V$334,$Y$334*(1+($U$334)/100)^MAX(0,$C345-$AB$334),0)))))</f>
      </c>
      <c r="N345" s="43">
        <f>IF($S$334=0,0,IF(OR(DATE($C345,10,15)&lt;$S$334,AND($T$334&gt;0,DATE($C345,10,15)&gt;$T$334)),0,IF(DATE($C345,10,15)&gt;=$X$334,$AA$334*(1+($U$334)/100)^MAX(0,$C345-$AD$334),IF(DATE($C345,10,15)&gt;=$W$334,$Z$334*(1+($U$334)/100)^MAX(0,$C345-$AC$334),IF(DATE($C345,10,15)&gt;=$V$334,$Y$334*(1+($U$334)/100)^MAX(0,$C345-$AB$334),0)))))</f>
      </c>
      <c r="O345" s="43">
        <f>IF($S$334=0,0,IF(OR(DATE($C345,11,15)&lt;$S$334,AND($T$334&gt;0,DATE($C345,11,15)&gt;$T$334)),0,IF(DATE($C345,11,15)&gt;=$X$334,$AA$334*(1+($U$334)/100)^MAX(0,$C345-$AD$334),IF(DATE($C345,11,15)&gt;=$W$334,$Z$334*(1+($U$334)/100)^MAX(0,$C345-$AC$334),IF(DATE($C345,11,15)&gt;=$V$334,$Y$334*(1+($U$334)/100)^MAX(0,$C345-$AB$334),0)))))</f>
      </c>
      <c r="P345" s="43">
        <f>IF($S$334=0,0,IF(OR(DATE($C345,12,15)&lt;$S$334,AND($T$334&gt;0,DATE($C345,12,15)&gt;$T$334)),0,IF(DATE($C345,12,15)&gt;=$X$334,$AA$334*(1+($U$334)/100)^MAX(0,$C345-$AD$334),IF(DATE($C345,12,15)&gt;=$W$334,$Z$334*(1+($U$334)/100)^MAX(0,$C345-$AC$334),IF(DATE($C345,12,15)&gt;=$V$334,$Y$334*(1+($U$334)/100)^MAX(0,$C345-$AB$334),0)))))</f>
      </c>
      <c r="Q345" s="43">
        <f>SUM($E345:$P345)</f>
      </c>
    </row>
    <row r="346">
      <c r="A346"/>
      <c r="B346">
        <v>11</v>
      </c>
      <c r="C346" s="43">
        <f>Jahr+12</f>
      </c>
      <c r="D346" s="43">
        <f>INDEX(MvObj,11)</f>
      </c>
      <c r="E346" s="43">
        <f>IF($S$334=0,0,IF(OR(DATE($C346,1,15)&lt;$S$334,AND($T$334&gt;0,DATE($C346,1,15)&gt;$T$334)),0,IF(DATE($C346,1,15)&gt;=$X$334,$AA$334*(1+($U$334)/100)^MAX(0,$C346-$AD$334),IF(DATE($C346,1,15)&gt;=$W$334,$Z$334*(1+($U$334)/100)^MAX(0,$C346-$AC$334),IF(DATE($C346,1,15)&gt;=$V$334,$Y$334*(1+($U$334)/100)^MAX(0,$C346-$AB$334),0)))))</f>
      </c>
      <c r="F346" s="43">
        <f>IF($S$334=0,0,IF(OR(DATE($C346,2,15)&lt;$S$334,AND($T$334&gt;0,DATE($C346,2,15)&gt;$T$334)),0,IF(DATE($C346,2,15)&gt;=$X$334,$AA$334*(1+($U$334)/100)^MAX(0,$C346-$AD$334),IF(DATE($C346,2,15)&gt;=$W$334,$Z$334*(1+($U$334)/100)^MAX(0,$C346-$AC$334),IF(DATE($C346,2,15)&gt;=$V$334,$Y$334*(1+($U$334)/100)^MAX(0,$C346-$AB$334),0)))))</f>
      </c>
      <c r="G346" s="43">
        <f>IF($S$334=0,0,IF(OR(DATE($C346,3,15)&lt;$S$334,AND($T$334&gt;0,DATE($C346,3,15)&gt;$T$334)),0,IF(DATE($C346,3,15)&gt;=$X$334,$AA$334*(1+($U$334)/100)^MAX(0,$C346-$AD$334),IF(DATE($C346,3,15)&gt;=$W$334,$Z$334*(1+($U$334)/100)^MAX(0,$C346-$AC$334),IF(DATE($C346,3,15)&gt;=$V$334,$Y$334*(1+($U$334)/100)^MAX(0,$C346-$AB$334),0)))))</f>
      </c>
      <c r="H346" s="43">
        <f>IF($S$334=0,0,IF(OR(DATE($C346,4,15)&lt;$S$334,AND($T$334&gt;0,DATE($C346,4,15)&gt;$T$334)),0,IF(DATE($C346,4,15)&gt;=$X$334,$AA$334*(1+($U$334)/100)^MAX(0,$C346-$AD$334),IF(DATE($C346,4,15)&gt;=$W$334,$Z$334*(1+($U$334)/100)^MAX(0,$C346-$AC$334),IF(DATE($C346,4,15)&gt;=$V$334,$Y$334*(1+($U$334)/100)^MAX(0,$C346-$AB$334),0)))))</f>
      </c>
      <c r="I346" s="43">
        <f>IF($S$334=0,0,IF(OR(DATE($C346,5,15)&lt;$S$334,AND($T$334&gt;0,DATE($C346,5,15)&gt;$T$334)),0,IF(DATE($C346,5,15)&gt;=$X$334,$AA$334*(1+($U$334)/100)^MAX(0,$C346-$AD$334),IF(DATE($C346,5,15)&gt;=$W$334,$Z$334*(1+($U$334)/100)^MAX(0,$C346-$AC$334),IF(DATE($C346,5,15)&gt;=$V$334,$Y$334*(1+($U$334)/100)^MAX(0,$C346-$AB$334),0)))))</f>
      </c>
      <c r="J346" s="43">
        <f>IF($S$334=0,0,IF(OR(DATE($C346,6,15)&lt;$S$334,AND($T$334&gt;0,DATE($C346,6,15)&gt;$T$334)),0,IF(DATE($C346,6,15)&gt;=$X$334,$AA$334*(1+($U$334)/100)^MAX(0,$C346-$AD$334),IF(DATE($C346,6,15)&gt;=$W$334,$Z$334*(1+($U$334)/100)^MAX(0,$C346-$AC$334),IF(DATE($C346,6,15)&gt;=$V$334,$Y$334*(1+($U$334)/100)^MAX(0,$C346-$AB$334),0)))))</f>
      </c>
      <c r="K346" s="43">
        <f>IF($S$334=0,0,IF(OR(DATE($C346,7,15)&lt;$S$334,AND($T$334&gt;0,DATE($C346,7,15)&gt;$T$334)),0,IF(DATE($C346,7,15)&gt;=$X$334,$AA$334*(1+($U$334)/100)^MAX(0,$C346-$AD$334),IF(DATE($C346,7,15)&gt;=$W$334,$Z$334*(1+($U$334)/100)^MAX(0,$C346-$AC$334),IF(DATE($C346,7,15)&gt;=$V$334,$Y$334*(1+($U$334)/100)^MAX(0,$C346-$AB$334),0)))))</f>
      </c>
      <c r="L346" s="43">
        <f>IF($S$334=0,0,IF(OR(DATE($C346,8,15)&lt;$S$334,AND($T$334&gt;0,DATE($C346,8,15)&gt;$T$334)),0,IF(DATE($C346,8,15)&gt;=$X$334,$AA$334*(1+($U$334)/100)^MAX(0,$C346-$AD$334),IF(DATE($C346,8,15)&gt;=$W$334,$Z$334*(1+($U$334)/100)^MAX(0,$C346-$AC$334),IF(DATE($C346,8,15)&gt;=$V$334,$Y$334*(1+($U$334)/100)^MAX(0,$C346-$AB$334),0)))))</f>
      </c>
      <c r="M346" s="43">
        <f>IF($S$334=0,0,IF(OR(DATE($C346,9,15)&lt;$S$334,AND($T$334&gt;0,DATE($C346,9,15)&gt;$T$334)),0,IF(DATE($C346,9,15)&gt;=$X$334,$AA$334*(1+($U$334)/100)^MAX(0,$C346-$AD$334),IF(DATE($C346,9,15)&gt;=$W$334,$Z$334*(1+($U$334)/100)^MAX(0,$C346-$AC$334),IF(DATE($C346,9,15)&gt;=$V$334,$Y$334*(1+($U$334)/100)^MAX(0,$C346-$AB$334),0)))))</f>
      </c>
      <c r="N346" s="43">
        <f>IF($S$334=0,0,IF(OR(DATE($C346,10,15)&lt;$S$334,AND($T$334&gt;0,DATE($C346,10,15)&gt;$T$334)),0,IF(DATE($C346,10,15)&gt;=$X$334,$AA$334*(1+($U$334)/100)^MAX(0,$C346-$AD$334),IF(DATE($C346,10,15)&gt;=$W$334,$Z$334*(1+($U$334)/100)^MAX(0,$C346-$AC$334),IF(DATE($C346,10,15)&gt;=$V$334,$Y$334*(1+($U$334)/100)^MAX(0,$C346-$AB$334),0)))))</f>
      </c>
      <c r="O346" s="43">
        <f>IF($S$334=0,0,IF(OR(DATE($C346,11,15)&lt;$S$334,AND($T$334&gt;0,DATE($C346,11,15)&gt;$T$334)),0,IF(DATE($C346,11,15)&gt;=$X$334,$AA$334*(1+($U$334)/100)^MAX(0,$C346-$AD$334),IF(DATE($C346,11,15)&gt;=$W$334,$Z$334*(1+($U$334)/100)^MAX(0,$C346-$AC$334),IF(DATE($C346,11,15)&gt;=$V$334,$Y$334*(1+($U$334)/100)^MAX(0,$C346-$AB$334),0)))))</f>
      </c>
      <c r="P346" s="43">
        <f>IF($S$334=0,0,IF(OR(DATE($C346,12,15)&lt;$S$334,AND($T$334&gt;0,DATE($C346,12,15)&gt;$T$334)),0,IF(DATE($C346,12,15)&gt;=$X$334,$AA$334*(1+($U$334)/100)^MAX(0,$C346-$AD$334),IF(DATE($C346,12,15)&gt;=$W$334,$Z$334*(1+($U$334)/100)^MAX(0,$C346-$AC$334),IF(DATE($C346,12,15)&gt;=$V$334,$Y$334*(1+($U$334)/100)^MAX(0,$C346-$AB$334),0)))))</f>
      </c>
      <c r="Q346" s="43">
        <f>SUM($E346:$P346)</f>
      </c>
    </row>
    <row r="347">
      <c r="A347"/>
      <c r="B347">
        <v>11</v>
      </c>
      <c r="C347" s="43">
        <f>Jahr+13</f>
      </c>
      <c r="D347" s="43">
        <f>INDEX(MvObj,11)</f>
      </c>
      <c r="E347" s="43">
        <f>IF($S$334=0,0,IF(OR(DATE($C347,1,15)&lt;$S$334,AND($T$334&gt;0,DATE($C347,1,15)&gt;$T$334)),0,IF(DATE($C347,1,15)&gt;=$X$334,$AA$334*(1+($U$334)/100)^MAX(0,$C347-$AD$334),IF(DATE($C347,1,15)&gt;=$W$334,$Z$334*(1+($U$334)/100)^MAX(0,$C347-$AC$334),IF(DATE($C347,1,15)&gt;=$V$334,$Y$334*(1+($U$334)/100)^MAX(0,$C347-$AB$334),0)))))</f>
      </c>
      <c r="F347" s="43">
        <f>IF($S$334=0,0,IF(OR(DATE($C347,2,15)&lt;$S$334,AND($T$334&gt;0,DATE($C347,2,15)&gt;$T$334)),0,IF(DATE($C347,2,15)&gt;=$X$334,$AA$334*(1+($U$334)/100)^MAX(0,$C347-$AD$334),IF(DATE($C347,2,15)&gt;=$W$334,$Z$334*(1+($U$334)/100)^MAX(0,$C347-$AC$334),IF(DATE($C347,2,15)&gt;=$V$334,$Y$334*(1+($U$334)/100)^MAX(0,$C347-$AB$334),0)))))</f>
      </c>
      <c r="G347" s="43">
        <f>IF($S$334=0,0,IF(OR(DATE($C347,3,15)&lt;$S$334,AND($T$334&gt;0,DATE($C347,3,15)&gt;$T$334)),0,IF(DATE($C347,3,15)&gt;=$X$334,$AA$334*(1+($U$334)/100)^MAX(0,$C347-$AD$334),IF(DATE($C347,3,15)&gt;=$W$334,$Z$334*(1+($U$334)/100)^MAX(0,$C347-$AC$334),IF(DATE($C347,3,15)&gt;=$V$334,$Y$334*(1+($U$334)/100)^MAX(0,$C347-$AB$334),0)))))</f>
      </c>
      <c r="H347" s="43">
        <f>IF($S$334=0,0,IF(OR(DATE($C347,4,15)&lt;$S$334,AND($T$334&gt;0,DATE($C347,4,15)&gt;$T$334)),0,IF(DATE($C347,4,15)&gt;=$X$334,$AA$334*(1+($U$334)/100)^MAX(0,$C347-$AD$334),IF(DATE($C347,4,15)&gt;=$W$334,$Z$334*(1+($U$334)/100)^MAX(0,$C347-$AC$334),IF(DATE($C347,4,15)&gt;=$V$334,$Y$334*(1+($U$334)/100)^MAX(0,$C347-$AB$334),0)))))</f>
      </c>
      <c r="I347" s="43">
        <f>IF($S$334=0,0,IF(OR(DATE($C347,5,15)&lt;$S$334,AND($T$334&gt;0,DATE($C347,5,15)&gt;$T$334)),0,IF(DATE($C347,5,15)&gt;=$X$334,$AA$334*(1+($U$334)/100)^MAX(0,$C347-$AD$334),IF(DATE($C347,5,15)&gt;=$W$334,$Z$334*(1+($U$334)/100)^MAX(0,$C347-$AC$334),IF(DATE($C347,5,15)&gt;=$V$334,$Y$334*(1+($U$334)/100)^MAX(0,$C347-$AB$334),0)))))</f>
      </c>
      <c r="J347" s="43">
        <f>IF($S$334=0,0,IF(OR(DATE($C347,6,15)&lt;$S$334,AND($T$334&gt;0,DATE($C347,6,15)&gt;$T$334)),0,IF(DATE($C347,6,15)&gt;=$X$334,$AA$334*(1+($U$334)/100)^MAX(0,$C347-$AD$334),IF(DATE($C347,6,15)&gt;=$W$334,$Z$334*(1+($U$334)/100)^MAX(0,$C347-$AC$334),IF(DATE($C347,6,15)&gt;=$V$334,$Y$334*(1+($U$334)/100)^MAX(0,$C347-$AB$334),0)))))</f>
      </c>
      <c r="K347" s="43">
        <f>IF($S$334=0,0,IF(OR(DATE($C347,7,15)&lt;$S$334,AND($T$334&gt;0,DATE($C347,7,15)&gt;$T$334)),0,IF(DATE($C347,7,15)&gt;=$X$334,$AA$334*(1+($U$334)/100)^MAX(0,$C347-$AD$334),IF(DATE($C347,7,15)&gt;=$W$334,$Z$334*(1+($U$334)/100)^MAX(0,$C347-$AC$334),IF(DATE($C347,7,15)&gt;=$V$334,$Y$334*(1+($U$334)/100)^MAX(0,$C347-$AB$334),0)))))</f>
      </c>
      <c r="L347" s="43">
        <f>IF($S$334=0,0,IF(OR(DATE($C347,8,15)&lt;$S$334,AND($T$334&gt;0,DATE($C347,8,15)&gt;$T$334)),0,IF(DATE($C347,8,15)&gt;=$X$334,$AA$334*(1+($U$334)/100)^MAX(0,$C347-$AD$334),IF(DATE($C347,8,15)&gt;=$W$334,$Z$334*(1+($U$334)/100)^MAX(0,$C347-$AC$334),IF(DATE($C347,8,15)&gt;=$V$334,$Y$334*(1+($U$334)/100)^MAX(0,$C347-$AB$334),0)))))</f>
      </c>
      <c r="M347" s="43">
        <f>IF($S$334=0,0,IF(OR(DATE($C347,9,15)&lt;$S$334,AND($T$334&gt;0,DATE($C347,9,15)&gt;$T$334)),0,IF(DATE($C347,9,15)&gt;=$X$334,$AA$334*(1+($U$334)/100)^MAX(0,$C347-$AD$334),IF(DATE($C347,9,15)&gt;=$W$334,$Z$334*(1+($U$334)/100)^MAX(0,$C347-$AC$334),IF(DATE($C347,9,15)&gt;=$V$334,$Y$334*(1+($U$334)/100)^MAX(0,$C347-$AB$334),0)))))</f>
      </c>
      <c r="N347" s="43">
        <f>IF($S$334=0,0,IF(OR(DATE($C347,10,15)&lt;$S$334,AND($T$334&gt;0,DATE($C347,10,15)&gt;$T$334)),0,IF(DATE($C347,10,15)&gt;=$X$334,$AA$334*(1+($U$334)/100)^MAX(0,$C347-$AD$334),IF(DATE($C347,10,15)&gt;=$W$334,$Z$334*(1+($U$334)/100)^MAX(0,$C347-$AC$334),IF(DATE($C347,10,15)&gt;=$V$334,$Y$334*(1+($U$334)/100)^MAX(0,$C347-$AB$334),0)))))</f>
      </c>
      <c r="O347" s="43">
        <f>IF($S$334=0,0,IF(OR(DATE($C347,11,15)&lt;$S$334,AND($T$334&gt;0,DATE($C347,11,15)&gt;$T$334)),0,IF(DATE($C347,11,15)&gt;=$X$334,$AA$334*(1+($U$334)/100)^MAX(0,$C347-$AD$334),IF(DATE($C347,11,15)&gt;=$W$334,$Z$334*(1+($U$334)/100)^MAX(0,$C347-$AC$334),IF(DATE($C347,11,15)&gt;=$V$334,$Y$334*(1+($U$334)/100)^MAX(0,$C347-$AB$334),0)))))</f>
      </c>
      <c r="P347" s="43">
        <f>IF($S$334=0,0,IF(OR(DATE($C347,12,15)&lt;$S$334,AND($T$334&gt;0,DATE($C347,12,15)&gt;$T$334)),0,IF(DATE($C347,12,15)&gt;=$X$334,$AA$334*(1+($U$334)/100)^MAX(0,$C347-$AD$334),IF(DATE($C347,12,15)&gt;=$W$334,$Z$334*(1+($U$334)/100)^MAX(0,$C347-$AC$334),IF(DATE($C347,12,15)&gt;=$V$334,$Y$334*(1+($U$334)/100)^MAX(0,$C347-$AB$334),0)))))</f>
      </c>
      <c r="Q347" s="43">
        <f>SUM($E347:$P347)</f>
      </c>
    </row>
    <row r="348">
      <c r="A348"/>
      <c r="B348">
        <v>11</v>
      </c>
      <c r="C348" s="43">
        <f>Jahr+14</f>
      </c>
      <c r="D348" s="43">
        <f>INDEX(MvObj,11)</f>
      </c>
      <c r="E348" s="43">
        <f>IF($S$334=0,0,IF(OR(DATE($C348,1,15)&lt;$S$334,AND($T$334&gt;0,DATE($C348,1,15)&gt;$T$334)),0,IF(DATE($C348,1,15)&gt;=$X$334,$AA$334*(1+($U$334)/100)^MAX(0,$C348-$AD$334),IF(DATE($C348,1,15)&gt;=$W$334,$Z$334*(1+($U$334)/100)^MAX(0,$C348-$AC$334),IF(DATE($C348,1,15)&gt;=$V$334,$Y$334*(1+($U$334)/100)^MAX(0,$C348-$AB$334),0)))))</f>
      </c>
      <c r="F348" s="43">
        <f>IF($S$334=0,0,IF(OR(DATE($C348,2,15)&lt;$S$334,AND($T$334&gt;0,DATE($C348,2,15)&gt;$T$334)),0,IF(DATE($C348,2,15)&gt;=$X$334,$AA$334*(1+($U$334)/100)^MAX(0,$C348-$AD$334),IF(DATE($C348,2,15)&gt;=$W$334,$Z$334*(1+($U$334)/100)^MAX(0,$C348-$AC$334),IF(DATE($C348,2,15)&gt;=$V$334,$Y$334*(1+($U$334)/100)^MAX(0,$C348-$AB$334),0)))))</f>
      </c>
      <c r="G348" s="43">
        <f>IF($S$334=0,0,IF(OR(DATE($C348,3,15)&lt;$S$334,AND($T$334&gt;0,DATE($C348,3,15)&gt;$T$334)),0,IF(DATE($C348,3,15)&gt;=$X$334,$AA$334*(1+($U$334)/100)^MAX(0,$C348-$AD$334),IF(DATE($C348,3,15)&gt;=$W$334,$Z$334*(1+($U$334)/100)^MAX(0,$C348-$AC$334),IF(DATE($C348,3,15)&gt;=$V$334,$Y$334*(1+($U$334)/100)^MAX(0,$C348-$AB$334),0)))))</f>
      </c>
      <c r="H348" s="43">
        <f>IF($S$334=0,0,IF(OR(DATE($C348,4,15)&lt;$S$334,AND($T$334&gt;0,DATE($C348,4,15)&gt;$T$334)),0,IF(DATE($C348,4,15)&gt;=$X$334,$AA$334*(1+($U$334)/100)^MAX(0,$C348-$AD$334),IF(DATE($C348,4,15)&gt;=$W$334,$Z$334*(1+($U$334)/100)^MAX(0,$C348-$AC$334),IF(DATE($C348,4,15)&gt;=$V$334,$Y$334*(1+($U$334)/100)^MAX(0,$C348-$AB$334),0)))))</f>
      </c>
      <c r="I348" s="43">
        <f>IF($S$334=0,0,IF(OR(DATE($C348,5,15)&lt;$S$334,AND($T$334&gt;0,DATE($C348,5,15)&gt;$T$334)),0,IF(DATE($C348,5,15)&gt;=$X$334,$AA$334*(1+($U$334)/100)^MAX(0,$C348-$AD$334),IF(DATE($C348,5,15)&gt;=$W$334,$Z$334*(1+($U$334)/100)^MAX(0,$C348-$AC$334),IF(DATE($C348,5,15)&gt;=$V$334,$Y$334*(1+($U$334)/100)^MAX(0,$C348-$AB$334),0)))))</f>
      </c>
      <c r="J348" s="43">
        <f>IF($S$334=0,0,IF(OR(DATE($C348,6,15)&lt;$S$334,AND($T$334&gt;0,DATE($C348,6,15)&gt;$T$334)),0,IF(DATE($C348,6,15)&gt;=$X$334,$AA$334*(1+($U$334)/100)^MAX(0,$C348-$AD$334),IF(DATE($C348,6,15)&gt;=$W$334,$Z$334*(1+($U$334)/100)^MAX(0,$C348-$AC$334),IF(DATE($C348,6,15)&gt;=$V$334,$Y$334*(1+($U$334)/100)^MAX(0,$C348-$AB$334),0)))))</f>
      </c>
      <c r="K348" s="43">
        <f>IF($S$334=0,0,IF(OR(DATE($C348,7,15)&lt;$S$334,AND($T$334&gt;0,DATE($C348,7,15)&gt;$T$334)),0,IF(DATE($C348,7,15)&gt;=$X$334,$AA$334*(1+($U$334)/100)^MAX(0,$C348-$AD$334),IF(DATE($C348,7,15)&gt;=$W$334,$Z$334*(1+($U$334)/100)^MAX(0,$C348-$AC$334),IF(DATE($C348,7,15)&gt;=$V$334,$Y$334*(1+($U$334)/100)^MAX(0,$C348-$AB$334),0)))))</f>
      </c>
      <c r="L348" s="43">
        <f>IF($S$334=0,0,IF(OR(DATE($C348,8,15)&lt;$S$334,AND($T$334&gt;0,DATE($C348,8,15)&gt;$T$334)),0,IF(DATE($C348,8,15)&gt;=$X$334,$AA$334*(1+($U$334)/100)^MAX(0,$C348-$AD$334),IF(DATE($C348,8,15)&gt;=$W$334,$Z$334*(1+($U$334)/100)^MAX(0,$C348-$AC$334),IF(DATE($C348,8,15)&gt;=$V$334,$Y$334*(1+($U$334)/100)^MAX(0,$C348-$AB$334),0)))))</f>
      </c>
      <c r="M348" s="43">
        <f>IF($S$334=0,0,IF(OR(DATE($C348,9,15)&lt;$S$334,AND($T$334&gt;0,DATE($C348,9,15)&gt;$T$334)),0,IF(DATE($C348,9,15)&gt;=$X$334,$AA$334*(1+($U$334)/100)^MAX(0,$C348-$AD$334),IF(DATE($C348,9,15)&gt;=$W$334,$Z$334*(1+($U$334)/100)^MAX(0,$C348-$AC$334),IF(DATE($C348,9,15)&gt;=$V$334,$Y$334*(1+($U$334)/100)^MAX(0,$C348-$AB$334),0)))))</f>
      </c>
      <c r="N348" s="43">
        <f>IF($S$334=0,0,IF(OR(DATE($C348,10,15)&lt;$S$334,AND($T$334&gt;0,DATE($C348,10,15)&gt;$T$334)),0,IF(DATE($C348,10,15)&gt;=$X$334,$AA$334*(1+($U$334)/100)^MAX(0,$C348-$AD$334),IF(DATE($C348,10,15)&gt;=$W$334,$Z$334*(1+($U$334)/100)^MAX(0,$C348-$AC$334),IF(DATE($C348,10,15)&gt;=$V$334,$Y$334*(1+($U$334)/100)^MAX(0,$C348-$AB$334),0)))))</f>
      </c>
      <c r="O348" s="43">
        <f>IF($S$334=0,0,IF(OR(DATE($C348,11,15)&lt;$S$334,AND($T$334&gt;0,DATE($C348,11,15)&gt;$T$334)),0,IF(DATE($C348,11,15)&gt;=$X$334,$AA$334*(1+($U$334)/100)^MAX(0,$C348-$AD$334),IF(DATE($C348,11,15)&gt;=$W$334,$Z$334*(1+($U$334)/100)^MAX(0,$C348-$AC$334),IF(DATE($C348,11,15)&gt;=$V$334,$Y$334*(1+($U$334)/100)^MAX(0,$C348-$AB$334),0)))))</f>
      </c>
      <c r="P348" s="43">
        <f>IF($S$334=0,0,IF(OR(DATE($C348,12,15)&lt;$S$334,AND($T$334&gt;0,DATE($C348,12,15)&gt;$T$334)),0,IF(DATE($C348,12,15)&gt;=$X$334,$AA$334*(1+($U$334)/100)^MAX(0,$C348-$AD$334),IF(DATE($C348,12,15)&gt;=$W$334,$Z$334*(1+($U$334)/100)^MAX(0,$C348-$AC$334),IF(DATE($C348,12,15)&gt;=$V$334,$Y$334*(1+($U$334)/100)^MAX(0,$C348-$AB$334),0)))))</f>
      </c>
      <c r="Q348" s="43">
        <f>SUM($E348:$P348)</f>
      </c>
    </row>
    <row r="349">
      <c r="A349"/>
      <c r="B349">
        <v>11</v>
      </c>
      <c r="C349" s="43">
        <f>Jahr+15</f>
      </c>
      <c r="D349" s="43">
        <f>INDEX(MvObj,11)</f>
      </c>
      <c r="E349" s="43">
        <f>IF($S$334=0,0,IF(OR(DATE($C349,1,15)&lt;$S$334,AND($T$334&gt;0,DATE($C349,1,15)&gt;$T$334)),0,IF(DATE($C349,1,15)&gt;=$X$334,$AA$334*(1+($U$334)/100)^MAX(0,$C349-$AD$334),IF(DATE($C349,1,15)&gt;=$W$334,$Z$334*(1+($U$334)/100)^MAX(0,$C349-$AC$334),IF(DATE($C349,1,15)&gt;=$V$334,$Y$334*(1+($U$334)/100)^MAX(0,$C349-$AB$334),0)))))</f>
      </c>
      <c r="F349" s="43">
        <f>IF($S$334=0,0,IF(OR(DATE($C349,2,15)&lt;$S$334,AND($T$334&gt;0,DATE($C349,2,15)&gt;$T$334)),0,IF(DATE($C349,2,15)&gt;=$X$334,$AA$334*(1+($U$334)/100)^MAX(0,$C349-$AD$334),IF(DATE($C349,2,15)&gt;=$W$334,$Z$334*(1+($U$334)/100)^MAX(0,$C349-$AC$334),IF(DATE($C349,2,15)&gt;=$V$334,$Y$334*(1+($U$334)/100)^MAX(0,$C349-$AB$334),0)))))</f>
      </c>
      <c r="G349" s="43">
        <f>IF($S$334=0,0,IF(OR(DATE($C349,3,15)&lt;$S$334,AND($T$334&gt;0,DATE($C349,3,15)&gt;$T$334)),0,IF(DATE($C349,3,15)&gt;=$X$334,$AA$334*(1+($U$334)/100)^MAX(0,$C349-$AD$334),IF(DATE($C349,3,15)&gt;=$W$334,$Z$334*(1+($U$334)/100)^MAX(0,$C349-$AC$334),IF(DATE($C349,3,15)&gt;=$V$334,$Y$334*(1+($U$334)/100)^MAX(0,$C349-$AB$334),0)))))</f>
      </c>
      <c r="H349" s="43">
        <f>IF($S$334=0,0,IF(OR(DATE($C349,4,15)&lt;$S$334,AND($T$334&gt;0,DATE($C349,4,15)&gt;$T$334)),0,IF(DATE($C349,4,15)&gt;=$X$334,$AA$334*(1+($U$334)/100)^MAX(0,$C349-$AD$334),IF(DATE($C349,4,15)&gt;=$W$334,$Z$334*(1+($U$334)/100)^MAX(0,$C349-$AC$334),IF(DATE($C349,4,15)&gt;=$V$334,$Y$334*(1+($U$334)/100)^MAX(0,$C349-$AB$334),0)))))</f>
      </c>
      <c r="I349" s="43">
        <f>IF($S$334=0,0,IF(OR(DATE($C349,5,15)&lt;$S$334,AND($T$334&gt;0,DATE($C349,5,15)&gt;$T$334)),0,IF(DATE($C349,5,15)&gt;=$X$334,$AA$334*(1+($U$334)/100)^MAX(0,$C349-$AD$334),IF(DATE($C349,5,15)&gt;=$W$334,$Z$334*(1+($U$334)/100)^MAX(0,$C349-$AC$334),IF(DATE($C349,5,15)&gt;=$V$334,$Y$334*(1+($U$334)/100)^MAX(0,$C349-$AB$334),0)))))</f>
      </c>
      <c r="J349" s="43">
        <f>IF($S$334=0,0,IF(OR(DATE($C349,6,15)&lt;$S$334,AND($T$334&gt;0,DATE($C349,6,15)&gt;$T$334)),0,IF(DATE($C349,6,15)&gt;=$X$334,$AA$334*(1+($U$334)/100)^MAX(0,$C349-$AD$334),IF(DATE($C349,6,15)&gt;=$W$334,$Z$334*(1+($U$334)/100)^MAX(0,$C349-$AC$334),IF(DATE($C349,6,15)&gt;=$V$334,$Y$334*(1+($U$334)/100)^MAX(0,$C349-$AB$334),0)))))</f>
      </c>
      <c r="K349" s="43">
        <f>IF($S$334=0,0,IF(OR(DATE($C349,7,15)&lt;$S$334,AND($T$334&gt;0,DATE($C349,7,15)&gt;$T$334)),0,IF(DATE($C349,7,15)&gt;=$X$334,$AA$334*(1+($U$334)/100)^MAX(0,$C349-$AD$334),IF(DATE($C349,7,15)&gt;=$W$334,$Z$334*(1+($U$334)/100)^MAX(0,$C349-$AC$334),IF(DATE($C349,7,15)&gt;=$V$334,$Y$334*(1+($U$334)/100)^MAX(0,$C349-$AB$334),0)))))</f>
      </c>
      <c r="L349" s="43">
        <f>IF($S$334=0,0,IF(OR(DATE($C349,8,15)&lt;$S$334,AND($T$334&gt;0,DATE($C349,8,15)&gt;$T$334)),0,IF(DATE($C349,8,15)&gt;=$X$334,$AA$334*(1+($U$334)/100)^MAX(0,$C349-$AD$334),IF(DATE($C349,8,15)&gt;=$W$334,$Z$334*(1+($U$334)/100)^MAX(0,$C349-$AC$334),IF(DATE($C349,8,15)&gt;=$V$334,$Y$334*(1+($U$334)/100)^MAX(0,$C349-$AB$334),0)))))</f>
      </c>
      <c r="M349" s="43">
        <f>IF($S$334=0,0,IF(OR(DATE($C349,9,15)&lt;$S$334,AND($T$334&gt;0,DATE($C349,9,15)&gt;$T$334)),0,IF(DATE($C349,9,15)&gt;=$X$334,$AA$334*(1+($U$334)/100)^MAX(0,$C349-$AD$334),IF(DATE($C349,9,15)&gt;=$W$334,$Z$334*(1+($U$334)/100)^MAX(0,$C349-$AC$334),IF(DATE($C349,9,15)&gt;=$V$334,$Y$334*(1+($U$334)/100)^MAX(0,$C349-$AB$334),0)))))</f>
      </c>
      <c r="N349" s="43">
        <f>IF($S$334=0,0,IF(OR(DATE($C349,10,15)&lt;$S$334,AND($T$334&gt;0,DATE($C349,10,15)&gt;$T$334)),0,IF(DATE($C349,10,15)&gt;=$X$334,$AA$334*(1+($U$334)/100)^MAX(0,$C349-$AD$334),IF(DATE($C349,10,15)&gt;=$W$334,$Z$334*(1+($U$334)/100)^MAX(0,$C349-$AC$334),IF(DATE($C349,10,15)&gt;=$V$334,$Y$334*(1+($U$334)/100)^MAX(0,$C349-$AB$334),0)))))</f>
      </c>
      <c r="O349" s="43">
        <f>IF($S$334=0,0,IF(OR(DATE($C349,11,15)&lt;$S$334,AND($T$334&gt;0,DATE($C349,11,15)&gt;$T$334)),0,IF(DATE($C349,11,15)&gt;=$X$334,$AA$334*(1+($U$334)/100)^MAX(0,$C349-$AD$334),IF(DATE($C349,11,15)&gt;=$W$334,$Z$334*(1+($U$334)/100)^MAX(0,$C349-$AC$334),IF(DATE($C349,11,15)&gt;=$V$334,$Y$334*(1+($U$334)/100)^MAX(0,$C349-$AB$334),0)))))</f>
      </c>
      <c r="P349" s="43">
        <f>IF($S$334=0,0,IF(OR(DATE($C349,12,15)&lt;$S$334,AND($T$334&gt;0,DATE($C349,12,15)&gt;$T$334)),0,IF(DATE($C349,12,15)&gt;=$X$334,$AA$334*(1+($U$334)/100)^MAX(0,$C349-$AD$334),IF(DATE($C349,12,15)&gt;=$W$334,$Z$334*(1+($U$334)/100)^MAX(0,$C349-$AC$334),IF(DATE($C349,12,15)&gt;=$V$334,$Y$334*(1+($U$334)/100)^MAX(0,$C349-$AB$334),0)))))</f>
      </c>
      <c r="Q349" s="43">
        <f>SUM($E349:$P349)</f>
      </c>
    </row>
    <row r="350">
      <c r="A350"/>
      <c r="B350">
        <v>11</v>
      </c>
      <c r="C350" s="43">
        <f>Jahr+16</f>
      </c>
      <c r="D350" s="43">
        <f>INDEX(MvObj,11)</f>
      </c>
      <c r="E350" s="43">
        <f>IF($S$334=0,0,IF(OR(DATE($C350,1,15)&lt;$S$334,AND($T$334&gt;0,DATE($C350,1,15)&gt;$T$334)),0,IF(DATE($C350,1,15)&gt;=$X$334,$AA$334*(1+($U$334)/100)^MAX(0,$C350-$AD$334),IF(DATE($C350,1,15)&gt;=$W$334,$Z$334*(1+($U$334)/100)^MAX(0,$C350-$AC$334),IF(DATE($C350,1,15)&gt;=$V$334,$Y$334*(1+($U$334)/100)^MAX(0,$C350-$AB$334),0)))))</f>
      </c>
      <c r="F350" s="43">
        <f>IF($S$334=0,0,IF(OR(DATE($C350,2,15)&lt;$S$334,AND($T$334&gt;0,DATE($C350,2,15)&gt;$T$334)),0,IF(DATE($C350,2,15)&gt;=$X$334,$AA$334*(1+($U$334)/100)^MAX(0,$C350-$AD$334),IF(DATE($C350,2,15)&gt;=$W$334,$Z$334*(1+($U$334)/100)^MAX(0,$C350-$AC$334),IF(DATE($C350,2,15)&gt;=$V$334,$Y$334*(1+($U$334)/100)^MAX(0,$C350-$AB$334),0)))))</f>
      </c>
      <c r="G350" s="43">
        <f>IF($S$334=0,0,IF(OR(DATE($C350,3,15)&lt;$S$334,AND($T$334&gt;0,DATE($C350,3,15)&gt;$T$334)),0,IF(DATE($C350,3,15)&gt;=$X$334,$AA$334*(1+($U$334)/100)^MAX(0,$C350-$AD$334),IF(DATE($C350,3,15)&gt;=$W$334,$Z$334*(1+($U$334)/100)^MAX(0,$C350-$AC$334),IF(DATE($C350,3,15)&gt;=$V$334,$Y$334*(1+($U$334)/100)^MAX(0,$C350-$AB$334),0)))))</f>
      </c>
      <c r="H350" s="43">
        <f>IF($S$334=0,0,IF(OR(DATE($C350,4,15)&lt;$S$334,AND($T$334&gt;0,DATE($C350,4,15)&gt;$T$334)),0,IF(DATE($C350,4,15)&gt;=$X$334,$AA$334*(1+($U$334)/100)^MAX(0,$C350-$AD$334),IF(DATE($C350,4,15)&gt;=$W$334,$Z$334*(1+($U$334)/100)^MAX(0,$C350-$AC$334),IF(DATE($C350,4,15)&gt;=$V$334,$Y$334*(1+($U$334)/100)^MAX(0,$C350-$AB$334),0)))))</f>
      </c>
      <c r="I350" s="43">
        <f>IF($S$334=0,0,IF(OR(DATE($C350,5,15)&lt;$S$334,AND($T$334&gt;0,DATE($C350,5,15)&gt;$T$334)),0,IF(DATE($C350,5,15)&gt;=$X$334,$AA$334*(1+($U$334)/100)^MAX(0,$C350-$AD$334),IF(DATE($C350,5,15)&gt;=$W$334,$Z$334*(1+($U$334)/100)^MAX(0,$C350-$AC$334),IF(DATE($C350,5,15)&gt;=$V$334,$Y$334*(1+($U$334)/100)^MAX(0,$C350-$AB$334),0)))))</f>
      </c>
      <c r="J350" s="43">
        <f>IF($S$334=0,0,IF(OR(DATE($C350,6,15)&lt;$S$334,AND($T$334&gt;0,DATE($C350,6,15)&gt;$T$334)),0,IF(DATE($C350,6,15)&gt;=$X$334,$AA$334*(1+($U$334)/100)^MAX(0,$C350-$AD$334),IF(DATE($C350,6,15)&gt;=$W$334,$Z$334*(1+($U$334)/100)^MAX(0,$C350-$AC$334),IF(DATE($C350,6,15)&gt;=$V$334,$Y$334*(1+($U$334)/100)^MAX(0,$C350-$AB$334),0)))))</f>
      </c>
      <c r="K350" s="43">
        <f>IF($S$334=0,0,IF(OR(DATE($C350,7,15)&lt;$S$334,AND($T$334&gt;0,DATE($C350,7,15)&gt;$T$334)),0,IF(DATE($C350,7,15)&gt;=$X$334,$AA$334*(1+($U$334)/100)^MAX(0,$C350-$AD$334),IF(DATE($C350,7,15)&gt;=$W$334,$Z$334*(1+($U$334)/100)^MAX(0,$C350-$AC$334),IF(DATE($C350,7,15)&gt;=$V$334,$Y$334*(1+($U$334)/100)^MAX(0,$C350-$AB$334),0)))))</f>
      </c>
      <c r="L350" s="43">
        <f>IF($S$334=0,0,IF(OR(DATE($C350,8,15)&lt;$S$334,AND($T$334&gt;0,DATE($C350,8,15)&gt;$T$334)),0,IF(DATE($C350,8,15)&gt;=$X$334,$AA$334*(1+($U$334)/100)^MAX(0,$C350-$AD$334),IF(DATE($C350,8,15)&gt;=$W$334,$Z$334*(1+($U$334)/100)^MAX(0,$C350-$AC$334),IF(DATE($C350,8,15)&gt;=$V$334,$Y$334*(1+($U$334)/100)^MAX(0,$C350-$AB$334),0)))))</f>
      </c>
      <c r="M350" s="43">
        <f>IF($S$334=0,0,IF(OR(DATE($C350,9,15)&lt;$S$334,AND($T$334&gt;0,DATE($C350,9,15)&gt;$T$334)),0,IF(DATE($C350,9,15)&gt;=$X$334,$AA$334*(1+($U$334)/100)^MAX(0,$C350-$AD$334),IF(DATE($C350,9,15)&gt;=$W$334,$Z$334*(1+($U$334)/100)^MAX(0,$C350-$AC$334),IF(DATE($C350,9,15)&gt;=$V$334,$Y$334*(1+($U$334)/100)^MAX(0,$C350-$AB$334),0)))))</f>
      </c>
      <c r="N350" s="43">
        <f>IF($S$334=0,0,IF(OR(DATE($C350,10,15)&lt;$S$334,AND($T$334&gt;0,DATE($C350,10,15)&gt;$T$334)),0,IF(DATE($C350,10,15)&gt;=$X$334,$AA$334*(1+($U$334)/100)^MAX(0,$C350-$AD$334),IF(DATE($C350,10,15)&gt;=$W$334,$Z$334*(1+($U$334)/100)^MAX(0,$C350-$AC$334),IF(DATE($C350,10,15)&gt;=$V$334,$Y$334*(1+($U$334)/100)^MAX(0,$C350-$AB$334),0)))))</f>
      </c>
      <c r="O350" s="43">
        <f>IF($S$334=0,0,IF(OR(DATE($C350,11,15)&lt;$S$334,AND($T$334&gt;0,DATE($C350,11,15)&gt;$T$334)),0,IF(DATE($C350,11,15)&gt;=$X$334,$AA$334*(1+($U$334)/100)^MAX(0,$C350-$AD$334),IF(DATE($C350,11,15)&gt;=$W$334,$Z$334*(1+($U$334)/100)^MAX(0,$C350-$AC$334),IF(DATE($C350,11,15)&gt;=$V$334,$Y$334*(1+($U$334)/100)^MAX(0,$C350-$AB$334),0)))))</f>
      </c>
      <c r="P350" s="43">
        <f>IF($S$334=0,0,IF(OR(DATE($C350,12,15)&lt;$S$334,AND($T$334&gt;0,DATE($C350,12,15)&gt;$T$334)),0,IF(DATE($C350,12,15)&gt;=$X$334,$AA$334*(1+($U$334)/100)^MAX(0,$C350-$AD$334),IF(DATE($C350,12,15)&gt;=$W$334,$Z$334*(1+($U$334)/100)^MAX(0,$C350-$AC$334),IF(DATE($C350,12,15)&gt;=$V$334,$Y$334*(1+($U$334)/100)^MAX(0,$C350-$AB$334),0)))))</f>
      </c>
      <c r="Q350" s="43">
        <f>SUM($E350:$P350)</f>
      </c>
    </row>
    <row r="351">
      <c r="A351"/>
      <c r="B351">
        <v>11</v>
      </c>
      <c r="C351" s="43">
        <f>Jahr+17</f>
      </c>
      <c r="D351" s="43">
        <f>INDEX(MvObj,11)</f>
      </c>
      <c r="E351" s="43">
        <f>IF($S$334=0,0,IF(OR(DATE($C351,1,15)&lt;$S$334,AND($T$334&gt;0,DATE($C351,1,15)&gt;$T$334)),0,IF(DATE($C351,1,15)&gt;=$X$334,$AA$334*(1+($U$334)/100)^MAX(0,$C351-$AD$334),IF(DATE($C351,1,15)&gt;=$W$334,$Z$334*(1+($U$334)/100)^MAX(0,$C351-$AC$334),IF(DATE($C351,1,15)&gt;=$V$334,$Y$334*(1+($U$334)/100)^MAX(0,$C351-$AB$334),0)))))</f>
      </c>
      <c r="F351" s="43">
        <f>IF($S$334=0,0,IF(OR(DATE($C351,2,15)&lt;$S$334,AND($T$334&gt;0,DATE($C351,2,15)&gt;$T$334)),0,IF(DATE($C351,2,15)&gt;=$X$334,$AA$334*(1+($U$334)/100)^MAX(0,$C351-$AD$334),IF(DATE($C351,2,15)&gt;=$W$334,$Z$334*(1+($U$334)/100)^MAX(0,$C351-$AC$334),IF(DATE($C351,2,15)&gt;=$V$334,$Y$334*(1+($U$334)/100)^MAX(0,$C351-$AB$334),0)))))</f>
      </c>
      <c r="G351" s="43">
        <f>IF($S$334=0,0,IF(OR(DATE($C351,3,15)&lt;$S$334,AND($T$334&gt;0,DATE($C351,3,15)&gt;$T$334)),0,IF(DATE($C351,3,15)&gt;=$X$334,$AA$334*(1+($U$334)/100)^MAX(0,$C351-$AD$334),IF(DATE($C351,3,15)&gt;=$W$334,$Z$334*(1+($U$334)/100)^MAX(0,$C351-$AC$334),IF(DATE($C351,3,15)&gt;=$V$334,$Y$334*(1+($U$334)/100)^MAX(0,$C351-$AB$334),0)))))</f>
      </c>
      <c r="H351" s="43">
        <f>IF($S$334=0,0,IF(OR(DATE($C351,4,15)&lt;$S$334,AND($T$334&gt;0,DATE($C351,4,15)&gt;$T$334)),0,IF(DATE($C351,4,15)&gt;=$X$334,$AA$334*(1+($U$334)/100)^MAX(0,$C351-$AD$334),IF(DATE($C351,4,15)&gt;=$W$334,$Z$334*(1+($U$334)/100)^MAX(0,$C351-$AC$334),IF(DATE($C351,4,15)&gt;=$V$334,$Y$334*(1+($U$334)/100)^MAX(0,$C351-$AB$334),0)))))</f>
      </c>
      <c r="I351" s="43">
        <f>IF($S$334=0,0,IF(OR(DATE($C351,5,15)&lt;$S$334,AND($T$334&gt;0,DATE($C351,5,15)&gt;$T$334)),0,IF(DATE($C351,5,15)&gt;=$X$334,$AA$334*(1+($U$334)/100)^MAX(0,$C351-$AD$334),IF(DATE($C351,5,15)&gt;=$W$334,$Z$334*(1+($U$334)/100)^MAX(0,$C351-$AC$334),IF(DATE($C351,5,15)&gt;=$V$334,$Y$334*(1+($U$334)/100)^MAX(0,$C351-$AB$334),0)))))</f>
      </c>
      <c r="J351" s="43">
        <f>IF($S$334=0,0,IF(OR(DATE($C351,6,15)&lt;$S$334,AND($T$334&gt;0,DATE($C351,6,15)&gt;$T$334)),0,IF(DATE($C351,6,15)&gt;=$X$334,$AA$334*(1+($U$334)/100)^MAX(0,$C351-$AD$334),IF(DATE($C351,6,15)&gt;=$W$334,$Z$334*(1+($U$334)/100)^MAX(0,$C351-$AC$334),IF(DATE($C351,6,15)&gt;=$V$334,$Y$334*(1+($U$334)/100)^MAX(0,$C351-$AB$334),0)))))</f>
      </c>
      <c r="K351" s="43">
        <f>IF($S$334=0,0,IF(OR(DATE($C351,7,15)&lt;$S$334,AND($T$334&gt;0,DATE($C351,7,15)&gt;$T$334)),0,IF(DATE($C351,7,15)&gt;=$X$334,$AA$334*(1+($U$334)/100)^MAX(0,$C351-$AD$334),IF(DATE($C351,7,15)&gt;=$W$334,$Z$334*(1+($U$334)/100)^MAX(0,$C351-$AC$334),IF(DATE($C351,7,15)&gt;=$V$334,$Y$334*(1+($U$334)/100)^MAX(0,$C351-$AB$334),0)))))</f>
      </c>
      <c r="L351" s="43">
        <f>IF($S$334=0,0,IF(OR(DATE($C351,8,15)&lt;$S$334,AND($T$334&gt;0,DATE($C351,8,15)&gt;$T$334)),0,IF(DATE($C351,8,15)&gt;=$X$334,$AA$334*(1+($U$334)/100)^MAX(0,$C351-$AD$334),IF(DATE($C351,8,15)&gt;=$W$334,$Z$334*(1+($U$334)/100)^MAX(0,$C351-$AC$334),IF(DATE($C351,8,15)&gt;=$V$334,$Y$334*(1+($U$334)/100)^MAX(0,$C351-$AB$334),0)))))</f>
      </c>
      <c r="M351" s="43">
        <f>IF($S$334=0,0,IF(OR(DATE($C351,9,15)&lt;$S$334,AND($T$334&gt;0,DATE($C351,9,15)&gt;$T$334)),0,IF(DATE($C351,9,15)&gt;=$X$334,$AA$334*(1+($U$334)/100)^MAX(0,$C351-$AD$334),IF(DATE($C351,9,15)&gt;=$W$334,$Z$334*(1+($U$334)/100)^MAX(0,$C351-$AC$334),IF(DATE($C351,9,15)&gt;=$V$334,$Y$334*(1+($U$334)/100)^MAX(0,$C351-$AB$334),0)))))</f>
      </c>
      <c r="N351" s="43">
        <f>IF($S$334=0,0,IF(OR(DATE($C351,10,15)&lt;$S$334,AND($T$334&gt;0,DATE($C351,10,15)&gt;$T$334)),0,IF(DATE($C351,10,15)&gt;=$X$334,$AA$334*(1+($U$334)/100)^MAX(0,$C351-$AD$334),IF(DATE($C351,10,15)&gt;=$W$334,$Z$334*(1+($U$334)/100)^MAX(0,$C351-$AC$334),IF(DATE($C351,10,15)&gt;=$V$334,$Y$334*(1+($U$334)/100)^MAX(0,$C351-$AB$334),0)))))</f>
      </c>
      <c r="O351" s="43">
        <f>IF($S$334=0,0,IF(OR(DATE($C351,11,15)&lt;$S$334,AND($T$334&gt;0,DATE($C351,11,15)&gt;$T$334)),0,IF(DATE($C351,11,15)&gt;=$X$334,$AA$334*(1+($U$334)/100)^MAX(0,$C351-$AD$334),IF(DATE($C351,11,15)&gt;=$W$334,$Z$334*(1+($U$334)/100)^MAX(0,$C351-$AC$334),IF(DATE($C351,11,15)&gt;=$V$334,$Y$334*(1+($U$334)/100)^MAX(0,$C351-$AB$334),0)))))</f>
      </c>
      <c r="P351" s="43">
        <f>IF($S$334=0,0,IF(OR(DATE($C351,12,15)&lt;$S$334,AND($T$334&gt;0,DATE($C351,12,15)&gt;$T$334)),0,IF(DATE($C351,12,15)&gt;=$X$334,$AA$334*(1+($U$334)/100)^MAX(0,$C351-$AD$334),IF(DATE($C351,12,15)&gt;=$W$334,$Z$334*(1+($U$334)/100)^MAX(0,$C351-$AC$334),IF(DATE($C351,12,15)&gt;=$V$334,$Y$334*(1+($U$334)/100)^MAX(0,$C351-$AB$334),0)))))</f>
      </c>
      <c r="Q351" s="43">
        <f>SUM($E351:$P351)</f>
      </c>
    </row>
    <row r="352">
      <c r="A352"/>
      <c r="B352">
        <v>11</v>
      </c>
      <c r="C352" s="43">
        <f>Jahr+18</f>
      </c>
      <c r="D352" s="43">
        <f>INDEX(MvObj,11)</f>
      </c>
      <c r="E352" s="43">
        <f>IF($S$334=0,0,IF(OR(DATE($C352,1,15)&lt;$S$334,AND($T$334&gt;0,DATE($C352,1,15)&gt;$T$334)),0,IF(DATE($C352,1,15)&gt;=$X$334,$AA$334*(1+($U$334)/100)^MAX(0,$C352-$AD$334),IF(DATE($C352,1,15)&gt;=$W$334,$Z$334*(1+($U$334)/100)^MAX(0,$C352-$AC$334),IF(DATE($C352,1,15)&gt;=$V$334,$Y$334*(1+($U$334)/100)^MAX(0,$C352-$AB$334),0)))))</f>
      </c>
      <c r="F352" s="43">
        <f>IF($S$334=0,0,IF(OR(DATE($C352,2,15)&lt;$S$334,AND($T$334&gt;0,DATE($C352,2,15)&gt;$T$334)),0,IF(DATE($C352,2,15)&gt;=$X$334,$AA$334*(1+($U$334)/100)^MAX(0,$C352-$AD$334),IF(DATE($C352,2,15)&gt;=$W$334,$Z$334*(1+($U$334)/100)^MAX(0,$C352-$AC$334),IF(DATE($C352,2,15)&gt;=$V$334,$Y$334*(1+($U$334)/100)^MAX(0,$C352-$AB$334),0)))))</f>
      </c>
      <c r="G352" s="43">
        <f>IF($S$334=0,0,IF(OR(DATE($C352,3,15)&lt;$S$334,AND($T$334&gt;0,DATE($C352,3,15)&gt;$T$334)),0,IF(DATE($C352,3,15)&gt;=$X$334,$AA$334*(1+($U$334)/100)^MAX(0,$C352-$AD$334),IF(DATE($C352,3,15)&gt;=$W$334,$Z$334*(1+($U$334)/100)^MAX(0,$C352-$AC$334),IF(DATE($C352,3,15)&gt;=$V$334,$Y$334*(1+($U$334)/100)^MAX(0,$C352-$AB$334),0)))))</f>
      </c>
      <c r="H352" s="43">
        <f>IF($S$334=0,0,IF(OR(DATE($C352,4,15)&lt;$S$334,AND($T$334&gt;0,DATE($C352,4,15)&gt;$T$334)),0,IF(DATE($C352,4,15)&gt;=$X$334,$AA$334*(1+($U$334)/100)^MAX(0,$C352-$AD$334),IF(DATE($C352,4,15)&gt;=$W$334,$Z$334*(1+($U$334)/100)^MAX(0,$C352-$AC$334),IF(DATE($C352,4,15)&gt;=$V$334,$Y$334*(1+($U$334)/100)^MAX(0,$C352-$AB$334),0)))))</f>
      </c>
      <c r="I352" s="43">
        <f>IF($S$334=0,0,IF(OR(DATE($C352,5,15)&lt;$S$334,AND($T$334&gt;0,DATE($C352,5,15)&gt;$T$334)),0,IF(DATE($C352,5,15)&gt;=$X$334,$AA$334*(1+($U$334)/100)^MAX(0,$C352-$AD$334),IF(DATE($C352,5,15)&gt;=$W$334,$Z$334*(1+($U$334)/100)^MAX(0,$C352-$AC$334),IF(DATE($C352,5,15)&gt;=$V$334,$Y$334*(1+($U$334)/100)^MAX(0,$C352-$AB$334),0)))))</f>
      </c>
      <c r="J352" s="43">
        <f>IF($S$334=0,0,IF(OR(DATE($C352,6,15)&lt;$S$334,AND($T$334&gt;0,DATE($C352,6,15)&gt;$T$334)),0,IF(DATE($C352,6,15)&gt;=$X$334,$AA$334*(1+($U$334)/100)^MAX(0,$C352-$AD$334),IF(DATE($C352,6,15)&gt;=$W$334,$Z$334*(1+($U$334)/100)^MAX(0,$C352-$AC$334),IF(DATE($C352,6,15)&gt;=$V$334,$Y$334*(1+($U$334)/100)^MAX(0,$C352-$AB$334),0)))))</f>
      </c>
      <c r="K352" s="43">
        <f>IF($S$334=0,0,IF(OR(DATE($C352,7,15)&lt;$S$334,AND($T$334&gt;0,DATE($C352,7,15)&gt;$T$334)),0,IF(DATE($C352,7,15)&gt;=$X$334,$AA$334*(1+($U$334)/100)^MAX(0,$C352-$AD$334),IF(DATE($C352,7,15)&gt;=$W$334,$Z$334*(1+($U$334)/100)^MAX(0,$C352-$AC$334),IF(DATE($C352,7,15)&gt;=$V$334,$Y$334*(1+($U$334)/100)^MAX(0,$C352-$AB$334),0)))))</f>
      </c>
      <c r="L352" s="43">
        <f>IF($S$334=0,0,IF(OR(DATE($C352,8,15)&lt;$S$334,AND($T$334&gt;0,DATE($C352,8,15)&gt;$T$334)),0,IF(DATE($C352,8,15)&gt;=$X$334,$AA$334*(1+($U$334)/100)^MAX(0,$C352-$AD$334),IF(DATE($C352,8,15)&gt;=$W$334,$Z$334*(1+($U$334)/100)^MAX(0,$C352-$AC$334),IF(DATE($C352,8,15)&gt;=$V$334,$Y$334*(1+($U$334)/100)^MAX(0,$C352-$AB$334),0)))))</f>
      </c>
      <c r="M352" s="43">
        <f>IF($S$334=0,0,IF(OR(DATE($C352,9,15)&lt;$S$334,AND($T$334&gt;0,DATE($C352,9,15)&gt;$T$334)),0,IF(DATE($C352,9,15)&gt;=$X$334,$AA$334*(1+($U$334)/100)^MAX(0,$C352-$AD$334),IF(DATE($C352,9,15)&gt;=$W$334,$Z$334*(1+($U$334)/100)^MAX(0,$C352-$AC$334),IF(DATE($C352,9,15)&gt;=$V$334,$Y$334*(1+($U$334)/100)^MAX(0,$C352-$AB$334),0)))))</f>
      </c>
      <c r="N352" s="43">
        <f>IF($S$334=0,0,IF(OR(DATE($C352,10,15)&lt;$S$334,AND($T$334&gt;0,DATE($C352,10,15)&gt;$T$334)),0,IF(DATE($C352,10,15)&gt;=$X$334,$AA$334*(1+($U$334)/100)^MAX(0,$C352-$AD$334),IF(DATE($C352,10,15)&gt;=$W$334,$Z$334*(1+($U$334)/100)^MAX(0,$C352-$AC$334),IF(DATE($C352,10,15)&gt;=$V$334,$Y$334*(1+($U$334)/100)^MAX(0,$C352-$AB$334),0)))))</f>
      </c>
      <c r="O352" s="43">
        <f>IF($S$334=0,0,IF(OR(DATE($C352,11,15)&lt;$S$334,AND($T$334&gt;0,DATE($C352,11,15)&gt;$T$334)),0,IF(DATE($C352,11,15)&gt;=$X$334,$AA$334*(1+($U$334)/100)^MAX(0,$C352-$AD$334),IF(DATE($C352,11,15)&gt;=$W$334,$Z$334*(1+($U$334)/100)^MAX(0,$C352-$AC$334),IF(DATE($C352,11,15)&gt;=$V$334,$Y$334*(1+($U$334)/100)^MAX(0,$C352-$AB$334),0)))))</f>
      </c>
      <c r="P352" s="43">
        <f>IF($S$334=0,0,IF(OR(DATE($C352,12,15)&lt;$S$334,AND($T$334&gt;0,DATE($C352,12,15)&gt;$T$334)),0,IF(DATE($C352,12,15)&gt;=$X$334,$AA$334*(1+($U$334)/100)^MAX(0,$C352-$AD$334),IF(DATE($C352,12,15)&gt;=$W$334,$Z$334*(1+($U$334)/100)^MAX(0,$C352-$AC$334),IF(DATE($C352,12,15)&gt;=$V$334,$Y$334*(1+($U$334)/100)^MAX(0,$C352-$AB$334),0)))))</f>
      </c>
      <c r="Q352" s="43">
        <f>SUM($E352:$P352)</f>
      </c>
    </row>
    <row r="353">
      <c r="A353"/>
      <c r="B353">
        <v>11</v>
      </c>
      <c r="C353" s="43">
        <f>Jahr+19</f>
      </c>
      <c r="D353" s="43">
        <f>INDEX(MvObj,11)</f>
      </c>
      <c r="E353" s="43">
        <f>IF($S$334=0,0,IF(OR(DATE($C353,1,15)&lt;$S$334,AND($T$334&gt;0,DATE($C353,1,15)&gt;$T$334)),0,IF(DATE($C353,1,15)&gt;=$X$334,$AA$334*(1+($U$334)/100)^MAX(0,$C353-$AD$334),IF(DATE($C353,1,15)&gt;=$W$334,$Z$334*(1+($U$334)/100)^MAX(0,$C353-$AC$334),IF(DATE($C353,1,15)&gt;=$V$334,$Y$334*(1+($U$334)/100)^MAX(0,$C353-$AB$334),0)))))</f>
      </c>
      <c r="F353" s="43">
        <f>IF($S$334=0,0,IF(OR(DATE($C353,2,15)&lt;$S$334,AND($T$334&gt;0,DATE($C353,2,15)&gt;$T$334)),0,IF(DATE($C353,2,15)&gt;=$X$334,$AA$334*(1+($U$334)/100)^MAX(0,$C353-$AD$334),IF(DATE($C353,2,15)&gt;=$W$334,$Z$334*(1+($U$334)/100)^MAX(0,$C353-$AC$334),IF(DATE($C353,2,15)&gt;=$V$334,$Y$334*(1+($U$334)/100)^MAX(0,$C353-$AB$334),0)))))</f>
      </c>
      <c r="G353" s="43">
        <f>IF($S$334=0,0,IF(OR(DATE($C353,3,15)&lt;$S$334,AND($T$334&gt;0,DATE($C353,3,15)&gt;$T$334)),0,IF(DATE($C353,3,15)&gt;=$X$334,$AA$334*(1+($U$334)/100)^MAX(0,$C353-$AD$334),IF(DATE($C353,3,15)&gt;=$W$334,$Z$334*(1+($U$334)/100)^MAX(0,$C353-$AC$334),IF(DATE($C353,3,15)&gt;=$V$334,$Y$334*(1+($U$334)/100)^MAX(0,$C353-$AB$334),0)))))</f>
      </c>
      <c r="H353" s="43">
        <f>IF($S$334=0,0,IF(OR(DATE($C353,4,15)&lt;$S$334,AND($T$334&gt;0,DATE($C353,4,15)&gt;$T$334)),0,IF(DATE($C353,4,15)&gt;=$X$334,$AA$334*(1+($U$334)/100)^MAX(0,$C353-$AD$334),IF(DATE($C353,4,15)&gt;=$W$334,$Z$334*(1+($U$334)/100)^MAX(0,$C353-$AC$334),IF(DATE($C353,4,15)&gt;=$V$334,$Y$334*(1+($U$334)/100)^MAX(0,$C353-$AB$334),0)))))</f>
      </c>
      <c r="I353" s="43">
        <f>IF($S$334=0,0,IF(OR(DATE($C353,5,15)&lt;$S$334,AND($T$334&gt;0,DATE($C353,5,15)&gt;$T$334)),0,IF(DATE($C353,5,15)&gt;=$X$334,$AA$334*(1+($U$334)/100)^MAX(0,$C353-$AD$334),IF(DATE($C353,5,15)&gt;=$W$334,$Z$334*(1+($U$334)/100)^MAX(0,$C353-$AC$334),IF(DATE($C353,5,15)&gt;=$V$334,$Y$334*(1+($U$334)/100)^MAX(0,$C353-$AB$334),0)))))</f>
      </c>
      <c r="J353" s="43">
        <f>IF($S$334=0,0,IF(OR(DATE($C353,6,15)&lt;$S$334,AND($T$334&gt;0,DATE($C353,6,15)&gt;$T$334)),0,IF(DATE($C353,6,15)&gt;=$X$334,$AA$334*(1+($U$334)/100)^MAX(0,$C353-$AD$334),IF(DATE($C353,6,15)&gt;=$W$334,$Z$334*(1+($U$334)/100)^MAX(0,$C353-$AC$334),IF(DATE($C353,6,15)&gt;=$V$334,$Y$334*(1+($U$334)/100)^MAX(0,$C353-$AB$334),0)))))</f>
      </c>
      <c r="K353" s="43">
        <f>IF($S$334=0,0,IF(OR(DATE($C353,7,15)&lt;$S$334,AND($T$334&gt;0,DATE($C353,7,15)&gt;$T$334)),0,IF(DATE($C353,7,15)&gt;=$X$334,$AA$334*(1+($U$334)/100)^MAX(0,$C353-$AD$334),IF(DATE($C353,7,15)&gt;=$W$334,$Z$334*(1+($U$334)/100)^MAX(0,$C353-$AC$334),IF(DATE($C353,7,15)&gt;=$V$334,$Y$334*(1+($U$334)/100)^MAX(0,$C353-$AB$334),0)))))</f>
      </c>
      <c r="L353" s="43">
        <f>IF($S$334=0,0,IF(OR(DATE($C353,8,15)&lt;$S$334,AND($T$334&gt;0,DATE($C353,8,15)&gt;$T$334)),0,IF(DATE($C353,8,15)&gt;=$X$334,$AA$334*(1+($U$334)/100)^MAX(0,$C353-$AD$334),IF(DATE($C353,8,15)&gt;=$W$334,$Z$334*(1+($U$334)/100)^MAX(0,$C353-$AC$334),IF(DATE($C353,8,15)&gt;=$V$334,$Y$334*(1+($U$334)/100)^MAX(0,$C353-$AB$334),0)))))</f>
      </c>
      <c r="M353" s="43">
        <f>IF($S$334=0,0,IF(OR(DATE($C353,9,15)&lt;$S$334,AND($T$334&gt;0,DATE($C353,9,15)&gt;$T$334)),0,IF(DATE($C353,9,15)&gt;=$X$334,$AA$334*(1+($U$334)/100)^MAX(0,$C353-$AD$334),IF(DATE($C353,9,15)&gt;=$W$334,$Z$334*(1+($U$334)/100)^MAX(0,$C353-$AC$334),IF(DATE($C353,9,15)&gt;=$V$334,$Y$334*(1+($U$334)/100)^MAX(0,$C353-$AB$334),0)))))</f>
      </c>
      <c r="N353" s="43">
        <f>IF($S$334=0,0,IF(OR(DATE($C353,10,15)&lt;$S$334,AND($T$334&gt;0,DATE($C353,10,15)&gt;$T$334)),0,IF(DATE($C353,10,15)&gt;=$X$334,$AA$334*(1+($U$334)/100)^MAX(0,$C353-$AD$334),IF(DATE($C353,10,15)&gt;=$W$334,$Z$334*(1+($U$334)/100)^MAX(0,$C353-$AC$334),IF(DATE($C353,10,15)&gt;=$V$334,$Y$334*(1+($U$334)/100)^MAX(0,$C353-$AB$334),0)))))</f>
      </c>
      <c r="O353" s="43">
        <f>IF($S$334=0,0,IF(OR(DATE($C353,11,15)&lt;$S$334,AND($T$334&gt;0,DATE($C353,11,15)&gt;$T$334)),0,IF(DATE($C353,11,15)&gt;=$X$334,$AA$334*(1+($U$334)/100)^MAX(0,$C353-$AD$334),IF(DATE($C353,11,15)&gt;=$W$334,$Z$334*(1+($U$334)/100)^MAX(0,$C353-$AC$334),IF(DATE($C353,11,15)&gt;=$V$334,$Y$334*(1+($U$334)/100)^MAX(0,$C353-$AB$334),0)))))</f>
      </c>
      <c r="P353" s="43">
        <f>IF($S$334=0,0,IF(OR(DATE($C353,12,15)&lt;$S$334,AND($T$334&gt;0,DATE($C353,12,15)&gt;$T$334)),0,IF(DATE($C353,12,15)&gt;=$X$334,$AA$334*(1+($U$334)/100)^MAX(0,$C353-$AD$334),IF(DATE($C353,12,15)&gt;=$W$334,$Z$334*(1+($U$334)/100)^MAX(0,$C353-$AC$334),IF(DATE($C353,12,15)&gt;=$V$334,$Y$334*(1+($U$334)/100)^MAX(0,$C353-$AB$334),0)))))</f>
      </c>
      <c r="Q353" s="43">
        <f>SUM($E353:$P353)</f>
      </c>
    </row>
    <row r="354">
      <c r="A354"/>
      <c r="B354">
        <v>11</v>
      </c>
      <c r="C354" s="43">
        <f>Jahr+20</f>
      </c>
      <c r="D354" s="43">
        <f>INDEX(MvObj,11)</f>
      </c>
      <c r="E354" s="43">
        <f>IF($S$334=0,0,IF(OR(DATE($C354,1,15)&lt;$S$334,AND($T$334&gt;0,DATE($C354,1,15)&gt;$T$334)),0,IF(DATE($C354,1,15)&gt;=$X$334,$AA$334*(1+($U$334)/100)^MAX(0,$C354-$AD$334),IF(DATE($C354,1,15)&gt;=$W$334,$Z$334*(1+($U$334)/100)^MAX(0,$C354-$AC$334),IF(DATE($C354,1,15)&gt;=$V$334,$Y$334*(1+($U$334)/100)^MAX(0,$C354-$AB$334),0)))))</f>
      </c>
      <c r="F354" s="43">
        <f>IF($S$334=0,0,IF(OR(DATE($C354,2,15)&lt;$S$334,AND($T$334&gt;0,DATE($C354,2,15)&gt;$T$334)),0,IF(DATE($C354,2,15)&gt;=$X$334,$AA$334*(1+($U$334)/100)^MAX(0,$C354-$AD$334),IF(DATE($C354,2,15)&gt;=$W$334,$Z$334*(1+($U$334)/100)^MAX(0,$C354-$AC$334),IF(DATE($C354,2,15)&gt;=$V$334,$Y$334*(1+($U$334)/100)^MAX(0,$C354-$AB$334),0)))))</f>
      </c>
      <c r="G354" s="43">
        <f>IF($S$334=0,0,IF(OR(DATE($C354,3,15)&lt;$S$334,AND($T$334&gt;0,DATE($C354,3,15)&gt;$T$334)),0,IF(DATE($C354,3,15)&gt;=$X$334,$AA$334*(1+($U$334)/100)^MAX(0,$C354-$AD$334),IF(DATE($C354,3,15)&gt;=$W$334,$Z$334*(1+($U$334)/100)^MAX(0,$C354-$AC$334),IF(DATE($C354,3,15)&gt;=$V$334,$Y$334*(1+($U$334)/100)^MAX(0,$C354-$AB$334),0)))))</f>
      </c>
      <c r="H354" s="43">
        <f>IF($S$334=0,0,IF(OR(DATE($C354,4,15)&lt;$S$334,AND($T$334&gt;0,DATE($C354,4,15)&gt;$T$334)),0,IF(DATE($C354,4,15)&gt;=$X$334,$AA$334*(1+($U$334)/100)^MAX(0,$C354-$AD$334),IF(DATE($C354,4,15)&gt;=$W$334,$Z$334*(1+($U$334)/100)^MAX(0,$C354-$AC$334),IF(DATE($C354,4,15)&gt;=$V$334,$Y$334*(1+($U$334)/100)^MAX(0,$C354-$AB$334),0)))))</f>
      </c>
      <c r="I354" s="43">
        <f>IF($S$334=0,0,IF(OR(DATE($C354,5,15)&lt;$S$334,AND($T$334&gt;0,DATE($C354,5,15)&gt;$T$334)),0,IF(DATE($C354,5,15)&gt;=$X$334,$AA$334*(1+($U$334)/100)^MAX(0,$C354-$AD$334),IF(DATE($C354,5,15)&gt;=$W$334,$Z$334*(1+($U$334)/100)^MAX(0,$C354-$AC$334),IF(DATE($C354,5,15)&gt;=$V$334,$Y$334*(1+($U$334)/100)^MAX(0,$C354-$AB$334),0)))))</f>
      </c>
      <c r="J354" s="43">
        <f>IF($S$334=0,0,IF(OR(DATE($C354,6,15)&lt;$S$334,AND($T$334&gt;0,DATE($C354,6,15)&gt;$T$334)),0,IF(DATE($C354,6,15)&gt;=$X$334,$AA$334*(1+($U$334)/100)^MAX(0,$C354-$AD$334),IF(DATE($C354,6,15)&gt;=$W$334,$Z$334*(1+($U$334)/100)^MAX(0,$C354-$AC$334),IF(DATE($C354,6,15)&gt;=$V$334,$Y$334*(1+($U$334)/100)^MAX(0,$C354-$AB$334),0)))))</f>
      </c>
      <c r="K354" s="43">
        <f>IF($S$334=0,0,IF(OR(DATE($C354,7,15)&lt;$S$334,AND($T$334&gt;0,DATE($C354,7,15)&gt;$T$334)),0,IF(DATE($C354,7,15)&gt;=$X$334,$AA$334*(1+($U$334)/100)^MAX(0,$C354-$AD$334),IF(DATE($C354,7,15)&gt;=$W$334,$Z$334*(1+($U$334)/100)^MAX(0,$C354-$AC$334),IF(DATE($C354,7,15)&gt;=$V$334,$Y$334*(1+($U$334)/100)^MAX(0,$C354-$AB$334),0)))))</f>
      </c>
      <c r="L354" s="43">
        <f>IF($S$334=0,0,IF(OR(DATE($C354,8,15)&lt;$S$334,AND($T$334&gt;0,DATE($C354,8,15)&gt;$T$334)),0,IF(DATE($C354,8,15)&gt;=$X$334,$AA$334*(1+($U$334)/100)^MAX(0,$C354-$AD$334),IF(DATE($C354,8,15)&gt;=$W$334,$Z$334*(1+($U$334)/100)^MAX(0,$C354-$AC$334),IF(DATE($C354,8,15)&gt;=$V$334,$Y$334*(1+($U$334)/100)^MAX(0,$C354-$AB$334),0)))))</f>
      </c>
      <c r="M354" s="43">
        <f>IF($S$334=0,0,IF(OR(DATE($C354,9,15)&lt;$S$334,AND($T$334&gt;0,DATE($C354,9,15)&gt;$T$334)),0,IF(DATE($C354,9,15)&gt;=$X$334,$AA$334*(1+($U$334)/100)^MAX(0,$C354-$AD$334),IF(DATE($C354,9,15)&gt;=$W$334,$Z$334*(1+($U$334)/100)^MAX(0,$C354-$AC$334),IF(DATE($C354,9,15)&gt;=$V$334,$Y$334*(1+($U$334)/100)^MAX(0,$C354-$AB$334),0)))))</f>
      </c>
      <c r="N354" s="43">
        <f>IF($S$334=0,0,IF(OR(DATE($C354,10,15)&lt;$S$334,AND($T$334&gt;0,DATE($C354,10,15)&gt;$T$334)),0,IF(DATE($C354,10,15)&gt;=$X$334,$AA$334*(1+($U$334)/100)^MAX(0,$C354-$AD$334),IF(DATE($C354,10,15)&gt;=$W$334,$Z$334*(1+($U$334)/100)^MAX(0,$C354-$AC$334),IF(DATE($C354,10,15)&gt;=$V$334,$Y$334*(1+($U$334)/100)^MAX(0,$C354-$AB$334),0)))))</f>
      </c>
      <c r="O354" s="43">
        <f>IF($S$334=0,0,IF(OR(DATE($C354,11,15)&lt;$S$334,AND($T$334&gt;0,DATE($C354,11,15)&gt;$T$334)),0,IF(DATE($C354,11,15)&gt;=$X$334,$AA$334*(1+($U$334)/100)^MAX(0,$C354-$AD$334),IF(DATE($C354,11,15)&gt;=$W$334,$Z$334*(1+($U$334)/100)^MAX(0,$C354-$AC$334),IF(DATE($C354,11,15)&gt;=$V$334,$Y$334*(1+($U$334)/100)^MAX(0,$C354-$AB$334),0)))))</f>
      </c>
      <c r="P354" s="43">
        <f>IF($S$334=0,0,IF(OR(DATE($C354,12,15)&lt;$S$334,AND($T$334&gt;0,DATE($C354,12,15)&gt;$T$334)),0,IF(DATE($C354,12,15)&gt;=$X$334,$AA$334*(1+($U$334)/100)^MAX(0,$C354-$AD$334),IF(DATE($C354,12,15)&gt;=$W$334,$Z$334*(1+($U$334)/100)^MAX(0,$C354-$AC$334),IF(DATE($C354,12,15)&gt;=$V$334,$Y$334*(1+($U$334)/100)^MAX(0,$C354-$AB$334),0)))))</f>
      </c>
      <c r="Q354" s="43">
        <f>SUM($E354:$P354)</f>
      </c>
    </row>
    <row r="355">
      <c r="A355"/>
      <c r="B355">
        <v>11</v>
      </c>
      <c r="C355" s="43">
        <f>Jahr+21</f>
      </c>
      <c r="D355" s="43">
        <f>INDEX(MvObj,11)</f>
      </c>
      <c r="E355" s="43">
        <f>IF($S$334=0,0,IF(OR(DATE($C355,1,15)&lt;$S$334,AND($T$334&gt;0,DATE($C355,1,15)&gt;$T$334)),0,IF(DATE($C355,1,15)&gt;=$X$334,$AA$334*(1+($U$334)/100)^MAX(0,$C355-$AD$334),IF(DATE($C355,1,15)&gt;=$W$334,$Z$334*(1+($U$334)/100)^MAX(0,$C355-$AC$334),IF(DATE($C355,1,15)&gt;=$V$334,$Y$334*(1+($U$334)/100)^MAX(0,$C355-$AB$334),0)))))</f>
      </c>
      <c r="F355" s="43">
        <f>IF($S$334=0,0,IF(OR(DATE($C355,2,15)&lt;$S$334,AND($T$334&gt;0,DATE($C355,2,15)&gt;$T$334)),0,IF(DATE($C355,2,15)&gt;=$X$334,$AA$334*(1+($U$334)/100)^MAX(0,$C355-$AD$334),IF(DATE($C355,2,15)&gt;=$W$334,$Z$334*(1+($U$334)/100)^MAX(0,$C355-$AC$334),IF(DATE($C355,2,15)&gt;=$V$334,$Y$334*(1+($U$334)/100)^MAX(0,$C355-$AB$334),0)))))</f>
      </c>
      <c r="G355" s="43">
        <f>IF($S$334=0,0,IF(OR(DATE($C355,3,15)&lt;$S$334,AND($T$334&gt;0,DATE($C355,3,15)&gt;$T$334)),0,IF(DATE($C355,3,15)&gt;=$X$334,$AA$334*(1+($U$334)/100)^MAX(0,$C355-$AD$334),IF(DATE($C355,3,15)&gt;=$W$334,$Z$334*(1+($U$334)/100)^MAX(0,$C355-$AC$334),IF(DATE($C355,3,15)&gt;=$V$334,$Y$334*(1+($U$334)/100)^MAX(0,$C355-$AB$334),0)))))</f>
      </c>
      <c r="H355" s="43">
        <f>IF($S$334=0,0,IF(OR(DATE($C355,4,15)&lt;$S$334,AND($T$334&gt;0,DATE($C355,4,15)&gt;$T$334)),0,IF(DATE($C355,4,15)&gt;=$X$334,$AA$334*(1+($U$334)/100)^MAX(0,$C355-$AD$334),IF(DATE($C355,4,15)&gt;=$W$334,$Z$334*(1+($U$334)/100)^MAX(0,$C355-$AC$334),IF(DATE($C355,4,15)&gt;=$V$334,$Y$334*(1+($U$334)/100)^MAX(0,$C355-$AB$334),0)))))</f>
      </c>
      <c r="I355" s="43">
        <f>IF($S$334=0,0,IF(OR(DATE($C355,5,15)&lt;$S$334,AND($T$334&gt;0,DATE($C355,5,15)&gt;$T$334)),0,IF(DATE($C355,5,15)&gt;=$X$334,$AA$334*(1+($U$334)/100)^MAX(0,$C355-$AD$334),IF(DATE($C355,5,15)&gt;=$W$334,$Z$334*(1+($U$334)/100)^MAX(0,$C355-$AC$334),IF(DATE($C355,5,15)&gt;=$V$334,$Y$334*(1+($U$334)/100)^MAX(0,$C355-$AB$334),0)))))</f>
      </c>
      <c r="J355" s="43">
        <f>IF($S$334=0,0,IF(OR(DATE($C355,6,15)&lt;$S$334,AND($T$334&gt;0,DATE($C355,6,15)&gt;$T$334)),0,IF(DATE($C355,6,15)&gt;=$X$334,$AA$334*(1+($U$334)/100)^MAX(0,$C355-$AD$334),IF(DATE($C355,6,15)&gt;=$W$334,$Z$334*(1+($U$334)/100)^MAX(0,$C355-$AC$334),IF(DATE($C355,6,15)&gt;=$V$334,$Y$334*(1+($U$334)/100)^MAX(0,$C355-$AB$334),0)))))</f>
      </c>
      <c r="K355" s="43">
        <f>IF($S$334=0,0,IF(OR(DATE($C355,7,15)&lt;$S$334,AND($T$334&gt;0,DATE($C355,7,15)&gt;$T$334)),0,IF(DATE($C355,7,15)&gt;=$X$334,$AA$334*(1+($U$334)/100)^MAX(0,$C355-$AD$334),IF(DATE($C355,7,15)&gt;=$W$334,$Z$334*(1+($U$334)/100)^MAX(0,$C355-$AC$334),IF(DATE($C355,7,15)&gt;=$V$334,$Y$334*(1+($U$334)/100)^MAX(0,$C355-$AB$334),0)))))</f>
      </c>
      <c r="L355" s="43">
        <f>IF($S$334=0,0,IF(OR(DATE($C355,8,15)&lt;$S$334,AND($T$334&gt;0,DATE($C355,8,15)&gt;$T$334)),0,IF(DATE($C355,8,15)&gt;=$X$334,$AA$334*(1+($U$334)/100)^MAX(0,$C355-$AD$334),IF(DATE($C355,8,15)&gt;=$W$334,$Z$334*(1+($U$334)/100)^MAX(0,$C355-$AC$334),IF(DATE($C355,8,15)&gt;=$V$334,$Y$334*(1+($U$334)/100)^MAX(0,$C355-$AB$334),0)))))</f>
      </c>
      <c r="M355" s="43">
        <f>IF($S$334=0,0,IF(OR(DATE($C355,9,15)&lt;$S$334,AND($T$334&gt;0,DATE($C355,9,15)&gt;$T$334)),0,IF(DATE($C355,9,15)&gt;=$X$334,$AA$334*(1+($U$334)/100)^MAX(0,$C355-$AD$334),IF(DATE($C355,9,15)&gt;=$W$334,$Z$334*(1+($U$334)/100)^MAX(0,$C355-$AC$334),IF(DATE($C355,9,15)&gt;=$V$334,$Y$334*(1+($U$334)/100)^MAX(0,$C355-$AB$334),0)))))</f>
      </c>
      <c r="N355" s="43">
        <f>IF($S$334=0,0,IF(OR(DATE($C355,10,15)&lt;$S$334,AND($T$334&gt;0,DATE($C355,10,15)&gt;$T$334)),0,IF(DATE($C355,10,15)&gt;=$X$334,$AA$334*(1+($U$334)/100)^MAX(0,$C355-$AD$334),IF(DATE($C355,10,15)&gt;=$W$334,$Z$334*(1+($U$334)/100)^MAX(0,$C355-$AC$334),IF(DATE($C355,10,15)&gt;=$V$334,$Y$334*(1+($U$334)/100)^MAX(0,$C355-$AB$334),0)))))</f>
      </c>
      <c r="O355" s="43">
        <f>IF($S$334=0,0,IF(OR(DATE($C355,11,15)&lt;$S$334,AND($T$334&gt;0,DATE($C355,11,15)&gt;$T$334)),0,IF(DATE($C355,11,15)&gt;=$X$334,$AA$334*(1+($U$334)/100)^MAX(0,$C355-$AD$334),IF(DATE($C355,11,15)&gt;=$W$334,$Z$334*(1+($U$334)/100)^MAX(0,$C355-$AC$334),IF(DATE($C355,11,15)&gt;=$V$334,$Y$334*(1+($U$334)/100)^MAX(0,$C355-$AB$334),0)))))</f>
      </c>
      <c r="P355" s="43">
        <f>IF($S$334=0,0,IF(OR(DATE($C355,12,15)&lt;$S$334,AND($T$334&gt;0,DATE($C355,12,15)&gt;$T$334)),0,IF(DATE($C355,12,15)&gt;=$X$334,$AA$334*(1+($U$334)/100)^MAX(0,$C355-$AD$334),IF(DATE($C355,12,15)&gt;=$W$334,$Z$334*(1+($U$334)/100)^MAX(0,$C355-$AC$334),IF(DATE($C355,12,15)&gt;=$V$334,$Y$334*(1+($U$334)/100)^MAX(0,$C355-$AB$334),0)))))</f>
      </c>
      <c r="Q355" s="43">
        <f>SUM($E355:$P355)</f>
      </c>
    </row>
    <row r="356">
      <c r="A356"/>
      <c r="B356">
        <v>11</v>
      </c>
      <c r="C356" s="43">
        <f>Jahr+22</f>
      </c>
      <c r="D356" s="43">
        <f>INDEX(MvObj,11)</f>
      </c>
      <c r="E356" s="43">
        <f>IF($S$334=0,0,IF(OR(DATE($C356,1,15)&lt;$S$334,AND($T$334&gt;0,DATE($C356,1,15)&gt;$T$334)),0,IF(DATE($C356,1,15)&gt;=$X$334,$AA$334*(1+($U$334)/100)^MAX(0,$C356-$AD$334),IF(DATE($C356,1,15)&gt;=$W$334,$Z$334*(1+($U$334)/100)^MAX(0,$C356-$AC$334),IF(DATE($C356,1,15)&gt;=$V$334,$Y$334*(1+($U$334)/100)^MAX(0,$C356-$AB$334),0)))))</f>
      </c>
      <c r="F356" s="43">
        <f>IF($S$334=0,0,IF(OR(DATE($C356,2,15)&lt;$S$334,AND($T$334&gt;0,DATE($C356,2,15)&gt;$T$334)),0,IF(DATE($C356,2,15)&gt;=$X$334,$AA$334*(1+($U$334)/100)^MAX(0,$C356-$AD$334),IF(DATE($C356,2,15)&gt;=$W$334,$Z$334*(1+($U$334)/100)^MAX(0,$C356-$AC$334),IF(DATE($C356,2,15)&gt;=$V$334,$Y$334*(1+($U$334)/100)^MAX(0,$C356-$AB$334),0)))))</f>
      </c>
      <c r="G356" s="43">
        <f>IF($S$334=0,0,IF(OR(DATE($C356,3,15)&lt;$S$334,AND($T$334&gt;0,DATE($C356,3,15)&gt;$T$334)),0,IF(DATE($C356,3,15)&gt;=$X$334,$AA$334*(1+($U$334)/100)^MAX(0,$C356-$AD$334),IF(DATE($C356,3,15)&gt;=$W$334,$Z$334*(1+($U$334)/100)^MAX(0,$C356-$AC$334),IF(DATE($C356,3,15)&gt;=$V$334,$Y$334*(1+($U$334)/100)^MAX(0,$C356-$AB$334),0)))))</f>
      </c>
      <c r="H356" s="43">
        <f>IF($S$334=0,0,IF(OR(DATE($C356,4,15)&lt;$S$334,AND($T$334&gt;0,DATE($C356,4,15)&gt;$T$334)),0,IF(DATE($C356,4,15)&gt;=$X$334,$AA$334*(1+($U$334)/100)^MAX(0,$C356-$AD$334),IF(DATE($C356,4,15)&gt;=$W$334,$Z$334*(1+($U$334)/100)^MAX(0,$C356-$AC$334),IF(DATE($C356,4,15)&gt;=$V$334,$Y$334*(1+($U$334)/100)^MAX(0,$C356-$AB$334),0)))))</f>
      </c>
      <c r="I356" s="43">
        <f>IF($S$334=0,0,IF(OR(DATE($C356,5,15)&lt;$S$334,AND($T$334&gt;0,DATE($C356,5,15)&gt;$T$334)),0,IF(DATE($C356,5,15)&gt;=$X$334,$AA$334*(1+($U$334)/100)^MAX(0,$C356-$AD$334),IF(DATE($C356,5,15)&gt;=$W$334,$Z$334*(1+($U$334)/100)^MAX(0,$C356-$AC$334),IF(DATE($C356,5,15)&gt;=$V$334,$Y$334*(1+($U$334)/100)^MAX(0,$C356-$AB$334),0)))))</f>
      </c>
      <c r="J356" s="43">
        <f>IF($S$334=0,0,IF(OR(DATE($C356,6,15)&lt;$S$334,AND($T$334&gt;0,DATE($C356,6,15)&gt;$T$334)),0,IF(DATE($C356,6,15)&gt;=$X$334,$AA$334*(1+($U$334)/100)^MAX(0,$C356-$AD$334),IF(DATE($C356,6,15)&gt;=$W$334,$Z$334*(1+($U$334)/100)^MAX(0,$C356-$AC$334),IF(DATE($C356,6,15)&gt;=$V$334,$Y$334*(1+($U$334)/100)^MAX(0,$C356-$AB$334),0)))))</f>
      </c>
      <c r="K356" s="43">
        <f>IF($S$334=0,0,IF(OR(DATE($C356,7,15)&lt;$S$334,AND($T$334&gt;0,DATE($C356,7,15)&gt;$T$334)),0,IF(DATE($C356,7,15)&gt;=$X$334,$AA$334*(1+($U$334)/100)^MAX(0,$C356-$AD$334),IF(DATE($C356,7,15)&gt;=$W$334,$Z$334*(1+($U$334)/100)^MAX(0,$C356-$AC$334),IF(DATE($C356,7,15)&gt;=$V$334,$Y$334*(1+($U$334)/100)^MAX(0,$C356-$AB$334),0)))))</f>
      </c>
      <c r="L356" s="43">
        <f>IF($S$334=0,0,IF(OR(DATE($C356,8,15)&lt;$S$334,AND($T$334&gt;0,DATE($C356,8,15)&gt;$T$334)),0,IF(DATE($C356,8,15)&gt;=$X$334,$AA$334*(1+($U$334)/100)^MAX(0,$C356-$AD$334),IF(DATE($C356,8,15)&gt;=$W$334,$Z$334*(1+($U$334)/100)^MAX(0,$C356-$AC$334),IF(DATE($C356,8,15)&gt;=$V$334,$Y$334*(1+($U$334)/100)^MAX(0,$C356-$AB$334),0)))))</f>
      </c>
      <c r="M356" s="43">
        <f>IF($S$334=0,0,IF(OR(DATE($C356,9,15)&lt;$S$334,AND($T$334&gt;0,DATE($C356,9,15)&gt;$T$334)),0,IF(DATE($C356,9,15)&gt;=$X$334,$AA$334*(1+($U$334)/100)^MAX(0,$C356-$AD$334),IF(DATE($C356,9,15)&gt;=$W$334,$Z$334*(1+($U$334)/100)^MAX(0,$C356-$AC$334),IF(DATE($C356,9,15)&gt;=$V$334,$Y$334*(1+($U$334)/100)^MAX(0,$C356-$AB$334),0)))))</f>
      </c>
      <c r="N356" s="43">
        <f>IF($S$334=0,0,IF(OR(DATE($C356,10,15)&lt;$S$334,AND($T$334&gt;0,DATE($C356,10,15)&gt;$T$334)),0,IF(DATE($C356,10,15)&gt;=$X$334,$AA$334*(1+($U$334)/100)^MAX(0,$C356-$AD$334),IF(DATE($C356,10,15)&gt;=$W$334,$Z$334*(1+($U$334)/100)^MAX(0,$C356-$AC$334),IF(DATE($C356,10,15)&gt;=$V$334,$Y$334*(1+($U$334)/100)^MAX(0,$C356-$AB$334),0)))))</f>
      </c>
      <c r="O356" s="43">
        <f>IF($S$334=0,0,IF(OR(DATE($C356,11,15)&lt;$S$334,AND($T$334&gt;0,DATE($C356,11,15)&gt;$T$334)),0,IF(DATE($C356,11,15)&gt;=$X$334,$AA$334*(1+($U$334)/100)^MAX(0,$C356-$AD$334),IF(DATE($C356,11,15)&gt;=$W$334,$Z$334*(1+($U$334)/100)^MAX(0,$C356-$AC$334),IF(DATE($C356,11,15)&gt;=$V$334,$Y$334*(1+($U$334)/100)^MAX(0,$C356-$AB$334),0)))))</f>
      </c>
      <c r="P356" s="43">
        <f>IF($S$334=0,0,IF(OR(DATE($C356,12,15)&lt;$S$334,AND($T$334&gt;0,DATE($C356,12,15)&gt;$T$334)),0,IF(DATE($C356,12,15)&gt;=$X$334,$AA$334*(1+($U$334)/100)^MAX(0,$C356-$AD$334),IF(DATE($C356,12,15)&gt;=$W$334,$Z$334*(1+($U$334)/100)^MAX(0,$C356-$AC$334),IF(DATE($C356,12,15)&gt;=$V$334,$Y$334*(1+($U$334)/100)^MAX(0,$C356-$AB$334),0)))))</f>
      </c>
      <c r="Q356" s="43">
        <f>SUM($E356:$P356)</f>
      </c>
    </row>
    <row r="357">
      <c r="A357"/>
      <c r="B357">
        <v>11</v>
      </c>
      <c r="C357" s="43">
        <f>Jahr+23</f>
      </c>
      <c r="D357" s="43">
        <f>INDEX(MvObj,11)</f>
      </c>
      <c r="E357" s="43">
        <f>IF($S$334=0,0,IF(OR(DATE($C357,1,15)&lt;$S$334,AND($T$334&gt;0,DATE($C357,1,15)&gt;$T$334)),0,IF(DATE($C357,1,15)&gt;=$X$334,$AA$334*(1+($U$334)/100)^MAX(0,$C357-$AD$334),IF(DATE($C357,1,15)&gt;=$W$334,$Z$334*(1+($U$334)/100)^MAX(0,$C357-$AC$334),IF(DATE($C357,1,15)&gt;=$V$334,$Y$334*(1+($U$334)/100)^MAX(0,$C357-$AB$334),0)))))</f>
      </c>
      <c r="F357" s="43">
        <f>IF($S$334=0,0,IF(OR(DATE($C357,2,15)&lt;$S$334,AND($T$334&gt;0,DATE($C357,2,15)&gt;$T$334)),0,IF(DATE($C357,2,15)&gt;=$X$334,$AA$334*(1+($U$334)/100)^MAX(0,$C357-$AD$334),IF(DATE($C357,2,15)&gt;=$W$334,$Z$334*(1+($U$334)/100)^MAX(0,$C357-$AC$334),IF(DATE($C357,2,15)&gt;=$V$334,$Y$334*(1+($U$334)/100)^MAX(0,$C357-$AB$334),0)))))</f>
      </c>
      <c r="G357" s="43">
        <f>IF($S$334=0,0,IF(OR(DATE($C357,3,15)&lt;$S$334,AND($T$334&gt;0,DATE($C357,3,15)&gt;$T$334)),0,IF(DATE($C357,3,15)&gt;=$X$334,$AA$334*(1+($U$334)/100)^MAX(0,$C357-$AD$334),IF(DATE($C357,3,15)&gt;=$W$334,$Z$334*(1+($U$334)/100)^MAX(0,$C357-$AC$334),IF(DATE($C357,3,15)&gt;=$V$334,$Y$334*(1+($U$334)/100)^MAX(0,$C357-$AB$334),0)))))</f>
      </c>
      <c r="H357" s="43">
        <f>IF($S$334=0,0,IF(OR(DATE($C357,4,15)&lt;$S$334,AND($T$334&gt;0,DATE($C357,4,15)&gt;$T$334)),0,IF(DATE($C357,4,15)&gt;=$X$334,$AA$334*(1+($U$334)/100)^MAX(0,$C357-$AD$334),IF(DATE($C357,4,15)&gt;=$W$334,$Z$334*(1+($U$334)/100)^MAX(0,$C357-$AC$334),IF(DATE($C357,4,15)&gt;=$V$334,$Y$334*(1+($U$334)/100)^MAX(0,$C357-$AB$334),0)))))</f>
      </c>
      <c r="I357" s="43">
        <f>IF($S$334=0,0,IF(OR(DATE($C357,5,15)&lt;$S$334,AND($T$334&gt;0,DATE($C357,5,15)&gt;$T$334)),0,IF(DATE($C357,5,15)&gt;=$X$334,$AA$334*(1+($U$334)/100)^MAX(0,$C357-$AD$334),IF(DATE($C357,5,15)&gt;=$W$334,$Z$334*(1+($U$334)/100)^MAX(0,$C357-$AC$334),IF(DATE($C357,5,15)&gt;=$V$334,$Y$334*(1+($U$334)/100)^MAX(0,$C357-$AB$334),0)))))</f>
      </c>
      <c r="J357" s="43">
        <f>IF($S$334=0,0,IF(OR(DATE($C357,6,15)&lt;$S$334,AND($T$334&gt;0,DATE($C357,6,15)&gt;$T$334)),0,IF(DATE($C357,6,15)&gt;=$X$334,$AA$334*(1+($U$334)/100)^MAX(0,$C357-$AD$334),IF(DATE($C357,6,15)&gt;=$W$334,$Z$334*(1+($U$334)/100)^MAX(0,$C357-$AC$334),IF(DATE($C357,6,15)&gt;=$V$334,$Y$334*(1+($U$334)/100)^MAX(0,$C357-$AB$334),0)))))</f>
      </c>
      <c r="K357" s="43">
        <f>IF($S$334=0,0,IF(OR(DATE($C357,7,15)&lt;$S$334,AND($T$334&gt;0,DATE($C357,7,15)&gt;$T$334)),0,IF(DATE($C357,7,15)&gt;=$X$334,$AA$334*(1+($U$334)/100)^MAX(0,$C357-$AD$334),IF(DATE($C357,7,15)&gt;=$W$334,$Z$334*(1+($U$334)/100)^MAX(0,$C357-$AC$334),IF(DATE($C357,7,15)&gt;=$V$334,$Y$334*(1+($U$334)/100)^MAX(0,$C357-$AB$334),0)))))</f>
      </c>
      <c r="L357" s="43">
        <f>IF($S$334=0,0,IF(OR(DATE($C357,8,15)&lt;$S$334,AND($T$334&gt;0,DATE($C357,8,15)&gt;$T$334)),0,IF(DATE($C357,8,15)&gt;=$X$334,$AA$334*(1+($U$334)/100)^MAX(0,$C357-$AD$334),IF(DATE($C357,8,15)&gt;=$W$334,$Z$334*(1+($U$334)/100)^MAX(0,$C357-$AC$334),IF(DATE($C357,8,15)&gt;=$V$334,$Y$334*(1+($U$334)/100)^MAX(0,$C357-$AB$334),0)))))</f>
      </c>
      <c r="M357" s="43">
        <f>IF($S$334=0,0,IF(OR(DATE($C357,9,15)&lt;$S$334,AND($T$334&gt;0,DATE($C357,9,15)&gt;$T$334)),0,IF(DATE($C357,9,15)&gt;=$X$334,$AA$334*(1+($U$334)/100)^MAX(0,$C357-$AD$334),IF(DATE($C357,9,15)&gt;=$W$334,$Z$334*(1+($U$334)/100)^MAX(0,$C357-$AC$334),IF(DATE($C357,9,15)&gt;=$V$334,$Y$334*(1+($U$334)/100)^MAX(0,$C357-$AB$334),0)))))</f>
      </c>
      <c r="N357" s="43">
        <f>IF($S$334=0,0,IF(OR(DATE($C357,10,15)&lt;$S$334,AND($T$334&gt;0,DATE($C357,10,15)&gt;$T$334)),0,IF(DATE($C357,10,15)&gt;=$X$334,$AA$334*(1+($U$334)/100)^MAX(0,$C357-$AD$334),IF(DATE($C357,10,15)&gt;=$W$334,$Z$334*(1+($U$334)/100)^MAX(0,$C357-$AC$334),IF(DATE($C357,10,15)&gt;=$V$334,$Y$334*(1+($U$334)/100)^MAX(0,$C357-$AB$334),0)))))</f>
      </c>
      <c r="O357" s="43">
        <f>IF($S$334=0,0,IF(OR(DATE($C357,11,15)&lt;$S$334,AND($T$334&gt;0,DATE($C357,11,15)&gt;$T$334)),0,IF(DATE($C357,11,15)&gt;=$X$334,$AA$334*(1+($U$334)/100)^MAX(0,$C357-$AD$334),IF(DATE($C357,11,15)&gt;=$W$334,$Z$334*(1+($U$334)/100)^MAX(0,$C357-$AC$334),IF(DATE($C357,11,15)&gt;=$V$334,$Y$334*(1+($U$334)/100)^MAX(0,$C357-$AB$334),0)))))</f>
      </c>
      <c r="P357" s="43">
        <f>IF($S$334=0,0,IF(OR(DATE($C357,12,15)&lt;$S$334,AND($T$334&gt;0,DATE($C357,12,15)&gt;$T$334)),0,IF(DATE($C357,12,15)&gt;=$X$334,$AA$334*(1+($U$334)/100)^MAX(0,$C357-$AD$334),IF(DATE($C357,12,15)&gt;=$W$334,$Z$334*(1+($U$334)/100)^MAX(0,$C357-$AC$334),IF(DATE($C357,12,15)&gt;=$V$334,$Y$334*(1+($U$334)/100)^MAX(0,$C357-$AB$334),0)))))</f>
      </c>
      <c r="Q357" s="43">
        <f>SUM($E357:$P357)</f>
      </c>
    </row>
    <row r="358">
      <c r="A358"/>
      <c r="B358">
        <v>11</v>
      </c>
      <c r="C358" s="43">
        <f>Jahr+24</f>
      </c>
      <c r="D358" s="43">
        <f>INDEX(MvObj,11)</f>
      </c>
      <c r="E358" s="43">
        <f>IF($S$334=0,0,IF(OR(DATE($C358,1,15)&lt;$S$334,AND($T$334&gt;0,DATE($C358,1,15)&gt;$T$334)),0,IF(DATE($C358,1,15)&gt;=$X$334,$AA$334*(1+($U$334)/100)^MAX(0,$C358-$AD$334),IF(DATE($C358,1,15)&gt;=$W$334,$Z$334*(1+($U$334)/100)^MAX(0,$C358-$AC$334),IF(DATE($C358,1,15)&gt;=$V$334,$Y$334*(1+($U$334)/100)^MAX(0,$C358-$AB$334),0)))))</f>
      </c>
      <c r="F358" s="43">
        <f>IF($S$334=0,0,IF(OR(DATE($C358,2,15)&lt;$S$334,AND($T$334&gt;0,DATE($C358,2,15)&gt;$T$334)),0,IF(DATE($C358,2,15)&gt;=$X$334,$AA$334*(1+($U$334)/100)^MAX(0,$C358-$AD$334),IF(DATE($C358,2,15)&gt;=$W$334,$Z$334*(1+($U$334)/100)^MAX(0,$C358-$AC$334),IF(DATE($C358,2,15)&gt;=$V$334,$Y$334*(1+($U$334)/100)^MAX(0,$C358-$AB$334),0)))))</f>
      </c>
      <c r="G358" s="43">
        <f>IF($S$334=0,0,IF(OR(DATE($C358,3,15)&lt;$S$334,AND($T$334&gt;0,DATE($C358,3,15)&gt;$T$334)),0,IF(DATE($C358,3,15)&gt;=$X$334,$AA$334*(1+($U$334)/100)^MAX(0,$C358-$AD$334),IF(DATE($C358,3,15)&gt;=$W$334,$Z$334*(1+($U$334)/100)^MAX(0,$C358-$AC$334),IF(DATE($C358,3,15)&gt;=$V$334,$Y$334*(1+($U$334)/100)^MAX(0,$C358-$AB$334),0)))))</f>
      </c>
      <c r="H358" s="43">
        <f>IF($S$334=0,0,IF(OR(DATE($C358,4,15)&lt;$S$334,AND($T$334&gt;0,DATE($C358,4,15)&gt;$T$334)),0,IF(DATE($C358,4,15)&gt;=$X$334,$AA$334*(1+($U$334)/100)^MAX(0,$C358-$AD$334),IF(DATE($C358,4,15)&gt;=$W$334,$Z$334*(1+($U$334)/100)^MAX(0,$C358-$AC$334),IF(DATE($C358,4,15)&gt;=$V$334,$Y$334*(1+($U$334)/100)^MAX(0,$C358-$AB$334),0)))))</f>
      </c>
      <c r="I358" s="43">
        <f>IF($S$334=0,0,IF(OR(DATE($C358,5,15)&lt;$S$334,AND($T$334&gt;0,DATE($C358,5,15)&gt;$T$334)),0,IF(DATE($C358,5,15)&gt;=$X$334,$AA$334*(1+($U$334)/100)^MAX(0,$C358-$AD$334),IF(DATE($C358,5,15)&gt;=$W$334,$Z$334*(1+($U$334)/100)^MAX(0,$C358-$AC$334),IF(DATE($C358,5,15)&gt;=$V$334,$Y$334*(1+($U$334)/100)^MAX(0,$C358-$AB$334),0)))))</f>
      </c>
      <c r="J358" s="43">
        <f>IF($S$334=0,0,IF(OR(DATE($C358,6,15)&lt;$S$334,AND($T$334&gt;0,DATE($C358,6,15)&gt;$T$334)),0,IF(DATE($C358,6,15)&gt;=$X$334,$AA$334*(1+($U$334)/100)^MAX(0,$C358-$AD$334),IF(DATE($C358,6,15)&gt;=$W$334,$Z$334*(1+($U$334)/100)^MAX(0,$C358-$AC$334),IF(DATE($C358,6,15)&gt;=$V$334,$Y$334*(1+($U$334)/100)^MAX(0,$C358-$AB$334),0)))))</f>
      </c>
      <c r="K358" s="43">
        <f>IF($S$334=0,0,IF(OR(DATE($C358,7,15)&lt;$S$334,AND($T$334&gt;0,DATE($C358,7,15)&gt;$T$334)),0,IF(DATE($C358,7,15)&gt;=$X$334,$AA$334*(1+($U$334)/100)^MAX(0,$C358-$AD$334),IF(DATE($C358,7,15)&gt;=$W$334,$Z$334*(1+($U$334)/100)^MAX(0,$C358-$AC$334),IF(DATE($C358,7,15)&gt;=$V$334,$Y$334*(1+($U$334)/100)^MAX(0,$C358-$AB$334),0)))))</f>
      </c>
      <c r="L358" s="43">
        <f>IF($S$334=0,0,IF(OR(DATE($C358,8,15)&lt;$S$334,AND($T$334&gt;0,DATE($C358,8,15)&gt;$T$334)),0,IF(DATE($C358,8,15)&gt;=$X$334,$AA$334*(1+($U$334)/100)^MAX(0,$C358-$AD$334),IF(DATE($C358,8,15)&gt;=$W$334,$Z$334*(1+($U$334)/100)^MAX(0,$C358-$AC$334),IF(DATE($C358,8,15)&gt;=$V$334,$Y$334*(1+($U$334)/100)^MAX(0,$C358-$AB$334),0)))))</f>
      </c>
      <c r="M358" s="43">
        <f>IF($S$334=0,0,IF(OR(DATE($C358,9,15)&lt;$S$334,AND($T$334&gt;0,DATE($C358,9,15)&gt;$T$334)),0,IF(DATE($C358,9,15)&gt;=$X$334,$AA$334*(1+($U$334)/100)^MAX(0,$C358-$AD$334),IF(DATE($C358,9,15)&gt;=$W$334,$Z$334*(1+($U$334)/100)^MAX(0,$C358-$AC$334),IF(DATE($C358,9,15)&gt;=$V$334,$Y$334*(1+($U$334)/100)^MAX(0,$C358-$AB$334),0)))))</f>
      </c>
      <c r="N358" s="43">
        <f>IF($S$334=0,0,IF(OR(DATE($C358,10,15)&lt;$S$334,AND($T$334&gt;0,DATE($C358,10,15)&gt;$T$334)),0,IF(DATE($C358,10,15)&gt;=$X$334,$AA$334*(1+($U$334)/100)^MAX(0,$C358-$AD$334),IF(DATE($C358,10,15)&gt;=$W$334,$Z$334*(1+($U$334)/100)^MAX(0,$C358-$AC$334),IF(DATE($C358,10,15)&gt;=$V$334,$Y$334*(1+($U$334)/100)^MAX(0,$C358-$AB$334),0)))))</f>
      </c>
      <c r="O358" s="43">
        <f>IF($S$334=0,0,IF(OR(DATE($C358,11,15)&lt;$S$334,AND($T$334&gt;0,DATE($C358,11,15)&gt;$T$334)),0,IF(DATE($C358,11,15)&gt;=$X$334,$AA$334*(1+($U$334)/100)^MAX(0,$C358-$AD$334),IF(DATE($C358,11,15)&gt;=$W$334,$Z$334*(1+($U$334)/100)^MAX(0,$C358-$AC$334),IF(DATE($C358,11,15)&gt;=$V$334,$Y$334*(1+($U$334)/100)^MAX(0,$C358-$AB$334),0)))))</f>
      </c>
      <c r="P358" s="43">
        <f>IF($S$334=0,0,IF(OR(DATE($C358,12,15)&lt;$S$334,AND($T$334&gt;0,DATE($C358,12,15)&gt;$T$334)),0,IF(DATE($C358,12,15)&gt;=$X$334,$AA$334*(1+($U$334)/100)^MAX(0,$C358-$AD$334),IF(DATE($C358,12,15)&gt;=$W$334,$Z$334*(1+($U$334)/100)^MAX(0,$C358-$AC$334),IF(DATE($C358,12,15)&gt;=$V$334,$Y$334*(1+($U$334)/100)^MAX(0,$C358-$AB$334),0)))))</f>
      </c>
      <c r="Q358" s="43">
        <f>SUM($E358:$P358)</f>
      </c>
    </row>
    <row r="359">
      <c r="A359"/>
      <c r="B359">
        <v>11</v>
      </c>
      <c r="C359" s="43">
        <f>Jahr+25</f>
      </c>
      <c r="D359" s="43">
        <f>INDEX(MvObj,11)</f>
      </c>
      <c r="E359" s="43">
        <f>IF($S$334=0,0,IF(OR(DATE($C359,1,15)&lt;$S$334,AND($T$334&gt;0,DATE($C359,1,15)&gt;$T$334)),0,IF(DATE($C359,1,15)&gt;=$X$334,$AA$334*(1+($U$334)/100)^MAX(0,$C359-$AD$334),IF(DATE($C359,1,15)&gt;=$W$334,$Z$334*(1+($U$334)/100)^MAX(0,$C359-$AC$334),IF(DATE($C359,1,15)&gt;=$V$334,$Y$334*(1+($U$334)/100)^MAX(0,$C359-$AB$334),0)))))</f>
      </c>
      <c r="F359" s="43">
        <f>IF($S$334=0,0,IF(OR(DATE($C359,2,15)&lt;$S$334,AND($T$334&gt;0,DATE($C359,2,15)&gt;$T$334)),0,IF(DATE($C359,2,15)&gt;=$X$334,$AA$334*(1+($U$334)/100)^MAX(0,$C359-$AD$334),IF(DATE($C359,2,15)&gt;=$W$334,$Z$334*(1+($U$334)/100)^MAX(0,$C359-$AC$334),IF(DATE($C359,2,15)&gt;=$V$334,$Y$334*(1+($U$334)/100)^MAX(0,$C359-$AB$334),0)))))</f>
      </c>
      <c r="G359" s="43">
        <f>IF($S$334=0,0,IF(OR(DATE($C359,3,15)&lt;$S$334,AND($T$334&gt;0,DATE($C359,3,15)&gt;$T$334)),0,IF(DATE($C359,3,15)&gt;=$X$334,$AA$334*(1+($U$334)/100)^MAX(0,$C359-$AD$334),IF(DATE($C359,3,15)&gt;=$W$334,$Z$334*(1+($U$334)/100)^MAX(0,$C359-$AC$334),IF(DATE($C359,3,15)&gt;=$V$334,$Y$334*(1+($U$334)/100)^MAX(0,$C359-$AB$334),0)))))</f>
      </c>
      <c r="H359" s="43">
        <f>IF($S$334=0,0,IF(OR(DATE($C359,4,15)&lt;$S$334,AND($T$334&gt;0,DATE($C359,4,15)&gt;$T$334)),0,IF(DATE($C359,4,15)&gt;=$X$334,$AA$334*(1+($U$334)/100)^MAX(0,$C359-$AD$334),IF(DATE($C359,4,15)&gt;=$W$334,$Z$334*(1+($U$334)/100)^MAX(0,$C359-$AC$334),IF(DATE($C359,4,15)&gt;=$V$334,$Y$334*(1+($U$334)/100)^MAX(0,$C359-$AB$334),0)))))</f>
      </c>
      <c r="I359" s="43">
        <f>IF($S$334=0,0,IF(OR(DATE($C359,5,15)&lt;$S$334,AND($T$334&gt;0,DATE($C359,5,15)&gt;$T$334)),0,IF(DATE($C359,5,15)&gt;=$X$334,$AA$334*(1+($U$334)/100)^MAX(0,$C359-$AD$334),IF(DATE($C359,5,15)&gt;=$W$334,$Z$334*(1+($U$334)/100)^MAX(0,$C359-$AC$334),IF(DATE($C359,5,15)&gt;=$V$334,$Y$334*(1+($U$334)/100)^MAX(0,$C359-$AB$334),0)))))</f>
      </c>
      <c r="J359" s="43">
        <f>IF($S$334=0,0,IF(OR(DATE($C359,6,15)&lt;$S$334,AND($T$334&gt;0,DATE($C359,6,15)&gt;$T$334)),0,IF(DATE($C359,6,15)&gt;=$X$334,$AA$334*(1+($U$334)/100)^MAX(0,$C359-$AD$334),IF(DATE($C359,6,15)&gt;=$W$334,$Z$334*(1+($U$334)/100)^MAX(0,$C359-$AC$334),IF(DATE($C359,6,15)&gt;=$V$334,$Y$334*(1+($U$334)/100)^MAX(0,$C359-$AB$334),0)))))</f>
      </c>
      <c r="K359" s="43">
        <f>IF($S$334=0,0,IF(OR(DATE($C359,7,15)&lt;$S$334,AND($T$334&gt;0,DATE($C359,7,15)&gt;$T$334)),0,IF(DATE($C359,7,15)&gt;=$X$334,$AA$334*(1+($U$334)/100)^MAX(0,$C359-$AD$334),IF(DATE($C359,7,15)&gt;=$W$334,$Z$334*(1+($U$334)/100)^MAX(0,$C359-$AC$334),IF(DATE($C359,7,15)&gt;=$V$334,$Y$334*(1+($U$334)/100)^MAX(0,$C359-$AB$334),0)))))</f>
      </c>
      <c r="L359" s="43">
        <f>IF($S$334=0,0,IF(OR(DATE($C359,8,15)&lt;$S$334,AND($T$334&gt;0,DATE($C359,8,15)&gt;$T$334)),0,IF(DATE($C359,8,15)&gt;=$X$334,$AA$334*(1+($U$334)/100)^MAX(0,$C359-$AD$334),IF(DATE($C359,8,15)&gt;=$W$334,$Z$334*(1+($U$334)/100)^MAX(0,$C359-$AC$334),IF(DATE($C359,8,15)&gt;=$V$334,$Y$334*(1+($U$334)/100)^MAX(0,$C359-$AB$334),0)))))</f>
      </c>
      <c r="M359" s="43">
        <f>IF($S$334=0,0,IF(OR(DATE($C359,9,15)&lt;$S$334,AND($T$334&gt;0,DATE($C359,9,15)&gt;$T$334)),0,IF(DATE($C359,9,15)&gt;=$X$334,$AA$334*(1+($U$334)/100)^MAX(0,$C359-$AD$334),IF(DATE($C359,9,15)&gt;=$W$334,$Z$334*(1+($U$334)/100)^MAX(0,$C359-$AC$334),IF(DATE($C359,9,15)&gt;=$V$334,$Y$334*(1+($U$334)/100)^MAX(0,$C359-$AB$334),0)))))</f>
      </c>
      <c r="N359" s="43">
        <f>IF($S$334=0,0,IF(OR(DATE($C359,10,15)&lt;$S$334,AND($T$334&gt;0,DATE($C359,10,15)&gt;$T$334)),0,IF(DATE($C359,10,15)&gt;=$X$334,$AA$334*(1+($U$334)/100)^MAX(0,$C359-$AD$334),IF(DATE($C359,10,15)&gt;=$W$334,$Z$334*(1+($U$334)/100)^MAX(0,$C359-$AC$334),IF(DATE($C359,10,15)&gt;=$V$334,$Y$334*(1+($U$334)/100)^MAX(0,$C359-$AB$334),0)))))</f>
      </c>
      <c r="O359" s="43">
        <f>IF($S$334=0,0,IF(OR(DATE($C359,11,15)&lt;$S$334,AND($T$334&gt;0,DATE($C359,11,15)&gt;$T$334)),0,IF(DATE($C359,11,15)&gt;=$X$334,$AA$334*(1+($U$334)/100)^MAX(0,$C359-$AD$334),IF(DATE($C359,11,15)&gt;=$W$334,$Z$334*(1+($U$334)/100)^MAX(0,$C359-$AC$334),IF(DATE($C359,11,15)&gt;=$V$334,$Y$334*(1+($U$334)/100)^MAX(0,$C359-$AB$334),0)))))</f>
      </c>
      <c r="P359" s="43">
        <f>IF($S$334=0,0,IF(OR(DATE($C359,12,15)&lt;$S$334,AND($T$334&gt;0,DATE($C359,12,15)&gt;$T$334)),0,IF(DATE($C359,12,15)&gt;=$X$334,$AA$334*(1+($U$334)/100)^MAX(0,$C359-$AD$334),IF(DATE($C359,12,15)&gt;=$W$334,$Z$334*(1+($U$334)/100)^MAX(0,$C359-$AC$334),IF(DATE($C359,12,15)&gt;=$V$334,$Y$334*(1+($U$334)/100)^MAX(0,$C359-$AB$334),0)))))</f>
      </c>
      <c r="Q359" s="43">
        <f>SUM($E359:$P359)</f>
      </c>
    </row>
    <row r="360">
      <c r="A360"/>
      <c r="B360">
        <v>11</v>
      </c>
      <c r="C360" s="43">
        <f>Jahr+26</f>
      </c>
      <c r="D360" s="43">
        <f>INDEX(MvObj,11)</f>
      </c>
      <c r="E360" s="43">
        <f>IF($S$334=0,0,IF(OR(DATE($C360,1,15)&lt;$S$334,AND($T$334&gt;0,DATE($C360,1,15)&gt;$T$334)),0,IF(DATE($C360,1,15)&gt;=$X$334,$AA$334*(1+($U$334)/100)^MAX(0,$C360-$AD$334),IF(DATE($C360,1,15)&gt;=$W$334,$Z$334*(1+($U$334)/100)^MAX(0,$C360-$AC$334),IF(DATE($C360,1,15)&gt;=$V$334,$Y$334*(1+($U$334)/100)^MAX(0,$C360-$AB$334),0)))))</f>
      </c>
      <c r="F360" s="43">
        <f>IF($S$334=0,0,IF(OR(DATE($C360,2,15)&lt;$S$334,AND($T$334&gt;0,DATE($C360,2,15)&gt;$T$334)),0,IF(DATE($C360,2,15)&gt;=$X$334,$AA$334*(1+($U$334)/100)^MAX(0,$C360-$AD$334),IF(DATE($C360,2,15)&gt;=$W$334,$Z$334*(1+($U$334)/100)^MAX(0,$C360-$AC$334),IF(DATE($C360,2,15)&gt;=$V$334,$Y$334*(1+($U$334)/100)^MAX(0,$C360-$AB$334),0)))))</f>
      </c>
      <c r="G360" s="43">
        <f>IF($S$334=0,0,IF(OR(DATE($C360,3,15)&lt;$S$334,AND($T$334&gt;0,DATE($C360,3,15)&gt;$T$334)),0,IF(DATE($C360,3,15)&gt;=$X$334,$AA$334*(1+($U$334)/100)^MAX(0,$C360-$AD$334),IF(DATE($C360,3,15)&gt;=$W$334,$Z$334*(1+($U$334)/100)^MAX(0,$C360-$AC$334),IF(DATE($C360,3,15)&gt;=$V$334,$Y$334*(1+($U$334)/100)^MAX(0,$C360-$AB$334),0)))))</f>
      </c>
      <c r="H360" s="43">
        <f>IF($S$334=0,0,IF(OR(DATE($C360,4,15)&lt;$S$334,AND($T$334&gt;0,DATE($C360,4,15)&gt;$T$334)),0,IF(DATE($C360,4,15)&gt;=$X$334,$AA$334*(1+($U$334)/100)^MAX(0,$C360-$AD$334),IF(DATE($C360,4,15)&gt;=$W$334,$Z$334*(1+($U$334)/100)^MAX(0,$C360-$AC$334),IF(DATE($C360,4,15)&gt;=$V$334,$Y$334*(1+($U$334)/100)^MAX(0,$C360-$AB$334),0)))))</f>
      </c>
      <c r="I360" s="43">
        <f>IF($S$334=0,0,IF(OR(DATE($C360,5,15)&lt;$S$334,AND($T$334&gt;0,DATE($C360,5,15)&gt;$T$334)),0,IF(DATE($C360,5,15)&gt;=$X$334,$AA$334*(1+($U$334)/100)^MAX(0,$C360-$AD$334),IF(DATE($C360,5,15)&gt;=$W$334,$Z$334*(1+($U$334)/100)^MAX(0,$C360-$AC$334),IF(DATE($C360,5,15)&gt;=$V$334,$Y$334*(1+($U$334)/100)^MAX(0,$C360-$AB$334),0)))))</f>
      </c>
      <c r="J360" s="43">
        <f>IF($S$334=0,0,IF(OR(DATE($C360,6,15)&lt;$S$334,AND($T$334&gt;0,DATE($C360,6,15)&gt;$T$334)),0,IF(DATE($C360,6,15)&gt;=$X$334,$AA$334*(1+($U$334)/100)^MAX(0,$C360-$AD$334),IF(DATE($C360,6,15)&gt;=$W$334,$Z$334*(1+($U$334)/100)^MAX(0,$C360-$AC$334),IF(DATE($C360,6,15)&gt;=$V$334,$Y$334*(1+($U$334)/100)^MAX(0,$C360-$AB$334),0)))))</f>
      </c>
      <c r="K360" s="43">
        <f>IF($S$334=0,0,IF(OR(DATE($C360,7,15)&lt;$S$334,AND($T$334&gt;0,DATE($C360,7,15)&gt;$T$334)),0,IF(DATE($C360,7,15)&gt;=$X$334,$AA$334*(1+($U$334)/100)^MAX(0,$C360-$AD$334),IF(DATE($C360,7,15)&gt;=$W$334,$Z$334*(1+($U$334)/100)^MAX(0,$C360-$AC$334),IF(DATE($C360,7,15)&gt;=$V$334,$Y$334*(1+($U$334)/100)^MAX(0,$C360-$AB$334),0)))))</f>
      </c>
      <c r="L360" s="43">
        <f>IF($S$334=0,0,IF(OR(DATE($C360,8,15)&lt;$S$334,AND($T$334&gt;0,DATE($C360,8,15)&gt;$T$334)),0,IF(DATE($C360,8,15)&gt;=$X$334,$AA$334*(1+($U$334)/100)^MAX(0,$C360-$AD$334),IF(DATE($C360,8,15)&gt;=$W$334,$Z$334*(1+($U$334)/100)^MAX(0,$C360-$AC$334),IF(DATE($C360,8,15)&gt;=$V$334,$Y$334*(1+($U$334)/100)^MAX(0,$C360-$AB$334),0)))))</f>
      </c>
      <c r="M360" s="43">
        <f>IF($S$334=0,0,IF(OR(DATE($C360,9,15)&lt;$S$334,AND($T$334&gt;0,DATE($C360,9,15)&gt;$T$334)),0,IF(DATE($C360,9,15)&gt;=$X$334,$AA$334*(1+($U$334)/100)^MAX(0,$C360-$AD$334),IF(DATE($C360,9,15)&gt;=$W$334,$Z$334*(1+($U$334)/100)^MAX(0,$C360-$AC$334),IF(DATE($C360,9,15)&gt;=$V$334,$Y$334*(1+($U$334)/100)^MAX(0,$C360-$AB$334),0)))))</f>
      </c>
      <c r="N360" s="43">
        <f>IF($S$334=0,0,IF(OR(DATE($C360,10,15)&lt;$S$334,AND($T$334&gt;0,DATE($C360,10,15)&gt;$T$334)),0,IF(DATE($C360,10,15)&gt;=$X$334,$AA$334*(1+($U$334)/100)^MAX(0,$C360-$AD$334),IF(DATE($C360,10,15)&gt;=$W$334,$Z$334*(1+($U$334)/100)^MAX(0,$C360-$AC$334),IF(DATE($C360,10,15)&gt;=$V$334,$Y$334*(1+($U$334)/100)^MAX(0,$C360-$AB$334),0)))))</f>
      </c>
      <c r="O360" s="43">
        <f>IF($S$334=0,0,IF(OR(DATE($C360,11,15)&lt;$S$334,AND($T$334&gt;0,DATE($C360,11,15)&gt;$T$334)),0,IF(DATE($C360,11,15)&gt;=$X$334,$AA$334*(1+($U$334)/100)^MAX(0,$C360-$AD$334),IF(DATE($C360,11,15)&gt;=$W$334,$Z$334*(1+($U$334)/100)^MAX(0,$C360-$AC$334),IF(DATE($C360,11,15)&gt;=$V$334,$Y$334*(1+($U$334)/100)^MAX(0,$C360-$AB$334),0)))))</f>
      </c>
      <c r="P360" s="43">
        <f>IF($S$334=0,0,IF(OR(DATE($C360,12,15)&lt;$S$334,AND($T$334&gt;0,DATE($C360,12,15)&gt;$T$334)),0,IF(DATE($C360,12,15)&gt;=$X$334,$AA$334*(1+($U$334)/100)^MAX(0,$C360-$AD$334),IF(DATE($C360,12,15)&gt;=$W$334,$Z$334*(1+($U$334)/100)^MAX(0,$C360-$AC$334),IF(DATE($C360,12,15)&gt;=$V$334,$Y$334*(1+($U$334)/100)^MAX(0,$C360-$AB$334),0)))))</f>
      </c>
      <c r="Q360" s="43">
        <f>SUM($E360:$P360)</f>
      </c>
    </row>
    <row r="361">
      <c r="A361"/>
      <c r="B361">
        <v>11</v>
      </c>
      <c r="C361" s="43">
        <f>Jahr+27</f>
      </c>
      <c r="D361" s="43">
        <f>INDEX(MvObj,11)</f>
      </c>
      <c r="E361" s="43">
        <f>IF($S$334=0,0,IF(OR(DATE($C361,1,15)&lt;$S$334,AND($T$334&gt;0,DATE($C361,1,15)&gt;$T$334)),0,IF(DATE($C361,1,15)&gt;=$X$334,$AA$334*(1+($U$334)/100)^MAX(0,$C361-$AD$334),IF(DATE($C361,1,15)&gt;=$W$334,$Z$334*(1+($U$334)/100)^MAX(0,$C361-$AC$334),IF(DATE($C361,1,15)&gt;=$V$334,$Y$334*(1+($U$334)/100)^MAX(0,$C361-$AB$334),0)))))</f>
      </c>
      <c r="F361" s="43">
        <f>IF($S$334=0,0,IF(OR(DATE($C361,2,15)&lt;$S$334,AND($T$334&gt;0,DATE($C361,2,15)&gt;$T$334)),0,IF(DATE($C361,2,15)&gt;=$X$334,$AA$334*(1+($U$334)/100)^MAX(0,$C361-$AD$334),IF(DATE($C361,2,15)&gt;=$W$334,$Z$334*(1+($U$334)/100)^MAX(0,$C361-$AC$334),IF(DATE($C361,2,15)&gt;=$V$334,$Y$334*(1+($U$334)/100)^MAX(0,$C361-$AB$334),0)))))</f>
      </c>
      <c r="G361" s="43">
        <f>IF($S$334=0,0,IF(OR(DATE($C361,3,15)&lt;$S$334,AND($T$334&gt;0,DATE($C361,3,15)&gt;$T$334)),0,IF(DATE($C361,3,15)&gt;=$X$334,$AA$334*(1+($U$334)/100)^MAX(0,$C361-$AD$334),IF(DATE($C361,3,15)&gt;=$W$334,$Z$334*(1+($U$334)/100)^MAX(0,$C361-$AC$334),IF(DATE($C361,3,15)&gt;=$V$334,$Y$334*(1+($U$334)/100)^MAX(0,$C361-$AB$334),0)))))</f>
      </c>
      <c r="H361" s="43">
        <f>IF($S$334=0,0,IF(OR(DATE($C361,4,15)&lt;$S$334,AND($T$334&gt;0,DATE($C361,4,15)&gt;$T$334)),0,IF(DATE($C361,4,15)&gt;=$X$334,$AA$334*(1+($U$334)/100)^MAX(0,$C361-$AD$334),IF(DATE($C361,4,15)&gt;=$W$334,$Z$334*(1+($U$334)/100)^MAX(0,$C361-$AC$334),IF(DATE($C361,4,15)&gt;=$V$334,$Y$334*(1+($U$334)/100)^MAX(0,$C361-$AB$334),0)))))</f>
      </c>
      <c r="I361" s="43">
        <f>IF($S$334=0,0,IF(OR(DATE($C361,5,15)&lt;$S$334,AND($T$334&gt;0,DATE($C361,5,15)&gt;$T$334)),0,IF(DATE($C361,5,15)&gt;=$X$334,$AA$334*(1+($U$334)/100)^MAX(0,$C361-$AD$334),IF(DATE($C361,5,15)&gt;=$W$334,$Z$334*(1+($U$334)/100)^MAX(0,$C361-$AC$334),IF(DATE($C361,5,15)&gt;=$V$334,$Y$334*(1+($U$334)/100)^MAX(0,$C361-$AB$334),0)))))</f>
      </c>
      <c r="J361" s="43">
        <f>IF($S$334=0,0,IF(OR(DATE($C361,6,15)&lt;$S$334,AND($T$334&gt;0,DATE($C361,6,15)&gt;$T$334)),0,IF(DATE($C361,6,15)&gt;=$X$334,$AA$334*(1+($U$334)/100)^MAX(0,$C361-$AD$334),IF(DATE($C361,6,15)&gt;=$W$334,$Z$334*(1+($U$334)/100)^MAX(0,$C361-$AC$334),IF(DATE($C361,6,15)&gt;=$V$334,$Y$334*(1+($U$334)/100)^MAX(0,$C361-$AB$334),0)))))</f>
      </c>
      <c r="K361" s="43">
        <f>IF($S$334=0,0,IF(OR(DATE($C361,7,15)&lt;$S$334,AND($T$334&gt;0,DATE($C361,7,15)&gt;$T$334)),0,IF(DATE($C361,7,15)&gt;=$X$334,$AA$334*(1+($U$334)/100)^MAX(0,$C361-$AD$334),IF(DATE($C361,7,15)&gt;=$W$334,$Z$334*(1+($U$334)/100)^MAX(0,$C361-$AC$334),IF(DATE($C361,7,15)&gt;=$V$334,$Y$334*(1+($U$334)/100)^MAX(0,$C361-$AB$334),0)))))</f>
      </c>
      <c r="L361" s="43">
        <f>IF($S$334=0,0,IF(OR(DATE($C361,8,15)&lt;$S$334,AND($T$334&gt;0,DATE($C361,8,15)&gt;$T$334)),0,IF(DATE($C361,8,15)&gt;=$X$334,$AA$334*(1+($U$334)/100)^MAX(0,$C361-$AD$334),IF(DATE($C361,8,15)&gt;=$W$334,$Z$334*(1+($U$334)/100)^MAX(0,$C361-$AC$334),IF(DATE($C361,8,15)&gt;=$V$334,$Y$334*(1+($U$334)/100)^MAX(0,$C361-$AB$334),0)))))</f>
      </c>
      <c r="M361" s="43">
        <f>IF($S$334=0,0,IF(OR(DATE($C361,9,15)&lt;$S$334,AND($T$334&gt;0,DATE($C361,9,15)&gt;$T$334)),0,IF(DATE($C361,9,15)&gt;=$X$334,$AA$334*(1+($U$334)/100)^MAX(0,$C361-$AD$334),IF(DATE($C361,9,15)&gt;=$W$334,$Z$334*(1+($U$334)/100)^MAX(0,$C361-$AC$334),IF(DATE($C361,9,15)&gt;=$V$334,$Y$334*(1+($U$334)/100)^MAX(0,$C361-$AB$334),0)))))</f>
      </c>
      <c r="N361" s="43">
        <f>IF($S$334=0,0,IF(OR(DATE($C361,10,15)&lt;$S$334,AND($T$334&gt;0,DATE($C361,10,15)&gt;$T$334)),0,IF(DATE($C361,10,15)&gt;=$X$334,$AA$334*(1+($U$334)/100)^MAX(0,$C361-$AD$334),IF(DATE($C361,10,15)&gt;=$W$334,$Z$334*(1+($U$334)/100)^MAX(0,$C361-$AC$334),IF(DATE($C361,10,15)&gt;=$V$334,$Y$334*(1+($U$334)/100)^MAX(0,$C361-$AB$334),0)))))</f>
      </c>
      <c r="O361" s="43">
        <f>IF($S$334=0,0,IF(OR(DATE($C361,11,15)&lt;$S$334,AND($T$334&gt;0,DATE($C361,11,15)&gt;$T$334)),0,IF(DATE($C361,11,15)&gt;=$X$334,$AA$334*(1+($U$334)/100)^MAX(0,$C361-$AD$334),IF(DATE($C361,11,15)&gt;=$W$334,$Z$334*(1+($U$334)/100)^MAX(0,$C361-$AC$334),IF(DATE($C361,11,15)&gt;=$V$334,$Y$334*(1+($U$334)/100)^MAX(0,$C361-$AB$334),0)))))</f>
      </c>
      <c r="P361" s="43">
        <f>IF($S$334=0,0,IF(OR(DATE($C361,12,15)&lt;$S$334,AND($T$334&gt;0,DATE($C361,12,15)&gt;$T$334)),0,IF(DATE($C361,12,15)&gt;=$X$334,$AA$334*(1+($U$334)/100)^MAX(0,$C361-$AD$334),IF(DATE($C361,12,15)&gt;=$W$334,$Z$334*(1+($U$334)/100)^MAX(0,$C361-$AC$334),IF(DATE($C361,12,15)&gt;=$V$334,$Y$334*(1+($U$334)/100)^MAX(0,$C361-$AB$334),0)))))</f>
      </c>
      <c r="Q361" s="43">
        <f>SUM($E361:$P361)</f>
      </c>
    </row>
    <row r="362">
      <c r="A362"/>
      <c r="B362">
        <v>11</v>
      </c>
      <c r="C362" s="43">
        <f>Jahr+28</f>
      </c>
      <c r="D362" s="43">
        <f>INDEX(MvObj,11)</f>
      </c>
      <c r="E362" s="43">
        <f>IF($S$334=0,0,IF(OR(DATE($C362,1,15)&lt;$S$334,AND($T$334&gt;0,DATE($C362,1,15)&gt;$T$334)),0,IF(DATE($C362,1,15)&gt;=$X$334,$AA$334*(1+($U$334)/100)^MAX(0,$C362-$AD$334),IF(DATE($C362,1,15)&gt;=$W$334,$Z$334*(1+($U$334)/100)^MAX(0,$C362-$AC$334),IF(DATE($C362,1,15)&gt;=$V$334,$Y$334*(1+($U$334)/100)^MAX(0,$C362-$AB$334),0)))))</f>
      </c>
      <c r="F362" s="43">
        <f>IF($S$334=0,0,IF(OR(DATE($C362,2,15)&lt;$S$334,AND($T$334&gt;0,DATE($C362,2,15)&gt;$T$334)),0,IF(DATE($C362,2,15)&gt;=$X$334,$AA$334*(1+($U$334)/100)^MAX(0,$C362-$AD$334),IF(DATE($C362,2,15)&gt;=$W$334,$Z$334*(1+($U$334)/100)^MAX(0,$C362-$AC$334),IF(DATE($C362,2,15)&gt;=$V$334,$Y$334*(1+($U$334)/100)^MAX(0,$C362-$AB$334),0)))))</f>
      </c>
      <c r="G362" s="43">
        <f>IF($S$334=0,0,IF(OR(DATE($C362,3,15)&lt;$S$334,AND($T$334&gt;0,DATE($C362,3,15)&gt;$T$334)),0,IF(DATE($C362,3,15)&gt;=$X$334,$AA$334*(1+($U$334)/100)^MAX(0,$C362-$AD$334),IF(DATE($C362,3,15)&gt;=$W$334,$Z$334*(1+($U$334)/100)^MAX(0,$C362-$AC$334),IF(DATE($C362,3,15)&gt;=$V$334,$Y$334*(1+($U$334)/100)^MAX(0,$C362-$AB$334),0)))))</f>
      </c>
      <c r="H362" s="43">
        <f>IF($S$334=0,0,IF(OR(DATE($C362,4,15)&lt;$S$334,AND($T$334&gt;0,DATE($C362,4,15)&gt;$T$334)),0,IF(DATE($C362,4,15)&gt;=$X$334,$AA$334*(1+($U$334)/100)^MAX(0,$C362-$AD$334),IF(DATE($C362,4,15)&gt;=$W$334,$Z$334*(1+($U$334)/100)^MAX(0,$C362-$AC$334),IF(DATE($C362,4,15)&gt;=$V$334,$Y$334*(1+($U$334)/100)^MAX(0,$C362-$AB$334),0)))))</f>
      </c>
      <c r="I362" s="43">
        <f>IF($S$334=0,0,IF(OR(DATE($C362,5,15)&lt;$S$334,AND($T$334&gt;0,DATE($C362,5,15)&gt;$T$334)),0,IF(DATE($C362,5,15)&gt;=$X$334,$AA$334*(1+($U$334)/100)^MAX(0,$C362-$AD$334),IF(DATE($C362,5,15)&gt;=$W$334,$Z$334*(1+($U$334)/100)^MAX(0,$C362-$AC$334),IF(DATE($C362,5,15)&gt;=$V$334,$Y$334*(1+($U$334)/100)^MAX(0,$C362-$AB$334),0)))))</f>
      </c>
      <c r="J362" s="43">
        <f>IF($S$334=0,0,IF(OR(DATE($C362,6,15)&lt;$S$334,AND($T$334&gt;0,DATE($C362,6,15)&gt;$T$334)),0,IF(DATE($C362,6,15)&gt;=$X$334,$AA$334*(1+($U$334)/100)^MAX(0,$C362-$AD$334),IF(DATE($C362,6,15)&gt;=$W$334,$Z$334*(1+($U$334)/100)^MAX(0,$C362-$AC$334),IF(DATE($C362,6,15)&gt;=$V$334,$Y$334*(1+($U$334)/100)^MAX(0,$C362-$AB$334),0)))))</f>
      </c>
      <c r="K362" s="43">
        <f>IF($S$334=0,0,IF(OR(DATE($C362,7,15)&lt;$S$334,AND($T$334&gt;0,DATE($C362,7,15)&gt;$T$334)),0,IF(DATE($C362,7,15)&gt;=$X$334,$AA$334*(1+($U$334)/100)^MAX(0,$C362-$AD$334),IF(DATE($C362,7,15)&gt;=$W$334,$Z$334*(1+($U$334)/100)^MAX(0,$C362-$AC$334),IF(DATE($C362,7,15)&gt;=$V$334,$Y$334*(1+($U$334)/100)^MAX(0,$C362-$AB$334),0)))))</f>
      </c>
      <c r="L362" s="43">
        <f>IF($S$334=0,0,IF(OR(DATE($C362,8,15)&lt;$S$334,AND($T$334&gt;0,DATE($C362,8,15)&gt;$T$334)),0,IF(DATE($C362,8,15)&gt;=$X$334,$AA$334*(1+($U$334)/100)^MAX(0,$C362-$AD$334),IF(DATE($C362,8,15)&gt;=$W$334,$Z$334*(1+($U$334)/100)^MAX(0,$C362-$AC$334),IF(DATE($C362,8,15)&gt;=$V$334,$Y$334*(1+($U$334)/100)^MAX(0,$C362-$AB$334),0)))))</f>
      </c>
      <c r="M362" s="43">
        <f>IF($S$334=0,0,IF(OR(DATE($C362,9,15)&lt;$S$334,AND($T$334&gt;0,DATE($C362,9,15)&gt;$T$334)),0,IF(DATE($C362,9,15)&gt;=$X$334,$AA$334*(1+($U$334)/100)^MAX(0,$C362-$AD$334),IF(DATE($C362,9,15)&gt;=$W$334,$Z$334*(1+($U$334)/100)^MAX(0,$C362-$AC$334),IF(DATE($C362,9,15)&gt;=$V$334,$Y$334*(1+($U$334)/100)^MAX(0,$C362-$AB$334),0)))))</f>
      </c>
      <c r="N362" s="43">
        <f>IF($S$334=0,0,IF(OR(DATE($C362,10,15)&lt;$S$334,AND($T$334&gt;0,DATE($C362,10,15)&gt;$T$334)),0,IF(DATE($C362,10,15)&gt;=$X$334,$AA$334*(1+($U$334)/100)^MAX(0,$C362-$AD$334),IF(DATE($C362,10,15)&gt;=$W$334,$Z$334*(1+($U$334)/100)^MAX(0,$C362-$AC$334),IF(DATE($C362,10,15)&gt;=$V$334,$Y$334*(1+($U$334)/100)^MAX(0,$C362-$AB$334),0)))))</f>
      </c>
      <c r="O362" s="43">
        <f>IF($S$334=0,0,IF(OR(DATE($C362,11,15)&lt;$S$334,AND($T$334&gt;0,DATE($C362,11,15)&gt;$T$334)),0,IF(DATE($C362,11,15)&gt;=$X$334,$AA$334*(1+($U$334)/100)^MAX(0,$C362-$AD$334),IF(DATE($C362,11,15)&gt;=$W$334,$Z$334*(1+($U$334)/100)^MAX(0,$C362-$AC$334),IF(DATE($C362,11,15)&gt;=$V$334,$Y$334*(1+($U$334)/100)^MAX(0,$C362-$AB$334),0)))))</f>
      </c>
      <c r="P362" s="43">
        <f>IF($S$334=0,0,IF(OR(DATE($C362,12,15)&lt;$S$334,AND($T$334&gt;0,DATE($C362,12,15)&gt;$T$334)),0,IF(DATE($C362,12,15)&gt;=$X$334,$AA$334*(1+($U$334)/100)^MAX(0,$C362-$AD$334),IF(DATE($C362,12,15)&gt;=$W$334,$Z$334*(1+($U$334)/100)^MAX(0,$C362-$AC$334),IF(DATE($C362,12,15)&gt;=$V$334,$Y$334*(1+($U$334)/100)^MAX(0,$C362-$AB$334),0)))))</f>
      </c>
      <c r="Q362" s="43">
        <f>SUM($E362:$P362)</f>
      </c>
    </row>
    <row r="363">
      <c r="A363"/>
      <c r="B363">
        <v>11</v>
      </c>
      <c r="C363" s="43">
        <f>Jahr+29</f>
      </c>
      <c r="D363" s="43">
        <f>INDEX(MvObj,11)</f>
      </c>
      <c r="E363" s="43">
        <f>IF($S$334=0,0,IF(OR(DATE($C363,1,15)&lt;$S$334,AND($T$334&gt;0,DATE($C363,1,15)&gt;$T$334)),0,IF(DATE($C363,1,15)&gt;=$X$334,$AA$334*(1+($U$334)/100)^MAX(0,$C363-$AD$334),IF(DATE($C363,1,15)&gt;=$W$334,$Z$334*(1+($U$334)/100)^MAX(0,$C363-$AC$334),IF(DATE($C363,1,15)&gt;=$V$334,$Y$334*(1+($U$334)/100)^MAX(0,$C363-$AB$334),0)))))</f>
      </c>
      <c r="F363" s="43">
        <f>IF($S$334=0,0,IF(OR(DATE($C363,2,15)&lt;$S$334,AND($T$334&gt;0,DATE($C363,2,15)&gt;$T$334)),0,IF(DATE($C363,2,15)&gt;=$X$334,$AA$334*(1+($U$334)/100)^MAX(0,$C363-$AD$334),IF(DATE($C363,2,15)&gt;=$W$334,$Z$334*(1+($U$334)/100)^MAX(0,$C363-$AC$334),IF(DATE($C363,2,15)&gt;=$V$334,$Y$334*(1+($U$334)/100)^MAX(0,$C363-$AB$334),0)))))</f>
      </c>
      <c r="G363" s="43">
        <f>IF($S$334=0,0,IF(OR(DATE($C363,3,15)&lt;$S$334,AND($T$334&gt;0,DATE($C363,3,15)&gt;$T$334)),0,IF(DATE($C363,3,15)&gt;=$X$334,$AA$334*(1+($U$334)/100)^MAX(0,$C363-$AD$334),IF(DATE($C363,3,15)&gt;=$W$334,$Z$334*(1+($U$334)/100)^MAX(0,$C363-$AC$334),IF(DATE($C363,3,15)&gt;=$V$334,$Y$334*(1+($U$334)/100)^MAX(0,$C363-$AB$334),0)))))</f>
      </c>
      <c r="H363" s="43">
        <f>IF($S$334=0,0,IF(OR(DATE($C363,4,15)&lt;$S$334,AND($T$334&gt;0,DATE($C363,4,15)&gt;$T$334)),0,IF(DATE($C363,4,15)&gt;=$X$334,$AA$334*(1+($U$334)/100)^MAX(0,$C363-$AD$334),IF(DATE($C363,4,15)&gt;=$W$334,$Z$334*(1+($U$334)/100)^MAX(0,$C363-$AC$334),IF(DATE($C363,4,15)&gt;=$V$334,$Y$334*(1+($U$334)/100)^MAX(0,$C363-$AB$334),0)))))</f>
      </c>
      <c r="I363" s="43">
        <f>IF($S$334=0,0,IF(OR(DATE($C363,5,15)&lt;$S$334,AND($T$334&gt;0,DATE($C363,5,15)&gt;$T$334)),0,IF(DATE($C363,5,15)&gt;=$X$334,$AA$334*(1+($U$334)/100)^MAX(0,$C363-$AD$334),IF(DATE($C363,5,15)&gt;=$W$334,$Z$334*(1+($U$334)/100)^MAX(0,$C363-$AC$334),IF(DATE($C363,5,15)&gt;=$V$334,$Y$334*(1+($U$334)/100)^MAX(0,$C363-$AB$334),0)))))</f>
      </c>
      <c r="J363" s="43">
        <f>IF($S$334=0,0,IF(OR(DATE($C363,6,15)&lt;$S$334,AND($T$334&gt;0,DATE($C363,6,15)&gt;$T$334)),0,IF(DATE($C363,6,15)&gt;=$X$334,$AA$334*(1+($U$334)/100)^MAX(0,$C363-$AD$334),IF(DATE($C363,6,15)&gt;=$W$334,$Z$334*(1+($U$334)/100)^MAX(0,$C363-$AC$334),IF(DATE($C363,6,15)&gt;=$V$334,$Y$334*(1+($U$334)/100)^MAX(0,$C363-$AB$334),0)))))</f>
      </c>
      <c r="K363" s="43">
        <f>IF($S$334=0,0,IF(OR(DATE($C363,7,15)&lt;$S$334,AND($T$334&gt;0,DATE($C363,7,15)&gt;$T$334)),0,IF(DATE($C363,7,15)&gt;=$X$334,$AA$334*(1+($U$334)/100)^MAX(0,$C363-$AD$334),IF(DATE($C363,7,15)&gt;=$W$334,$Z$334*(1+($U$334)/100)^MAX(0,$C363-$AC$334),IF(DATE($C363,7,15)&gt;=$V$334,$Y$334*(1+($U$334)/100)^MAX(0,$C363-$AB$334),0)))))</f>
      </c>
      <c r="L363" s="43">
        <f>IF($S$334=0,0,IF(OR(DATE($C363,8,15)&lt;$S$334,AND($T$334&gt;0,DATE($C363,8,15)&gt;$T$334)),0,IF(DATE($C363,8,15)&gt;=$X$334,$AA$334*(1+($U$334)/100)^MAX(0,$C363-$AD$334),IF(DATE($C363,8,15)&gt;=$W$334,$Z$334*(1+($U$334)/100)^MAX(0,$C363-$AC$334),IF(DATE($C363,8,15)&gt;=$V$334,$Y$334*(1+($U$334)/100)^MAX(0,$C363-$AB$334),0)))))</f>
      </c>
      <c r="M363" s="43">
        <f>IF($S$334=0,0,IF(OR(DATE($C363,9,15)&lt;$S$334,AND($T$334&gt;0,DATE($C363,9,15)&gt;$T$334)),0,IF(DATE($C363,9,15)&gt;=$X$334,$AA$334*(1+($U$334)/100)^MAX(0,$C363-$AD$334),IF(DATE($C363,9,15)&gt;=$W$334,$Z$334*(1+($U$334)/100)^MAX(0,$C363-$AC$334),IF(DATE($C363,9,15)&gt;=$V$334,$Y$334*(1+($U$334)/100)^MAX(0,$C363-$AB$334),0)))))</f>
      </c>
      <c r="N363" s="43">
        <f>IF($S$334=0,0,IF(OR(DATE($C363,10,15)&lt;$S$334,AND($T$334&gt;0,DATE($C363,10,15)&gt;$T$334)),0,IF(DATE($C363,10,15)&gt;=$X$334,$AA$334*(1+($U$334)/100)^MAX(0,$C363-$AD$334),IF(DATE($C363,10,15)&gt;=$W$334,$Z$334*(1+($U$334)/100)^MAX(0,$C363-$AC$334),IF(DATE($C363,10,15)&gt;=$V$334,$Y$334*(1+($U$334)/100)^MAX(0,$C363-$AB$334),0)))))</f>
      </c>
      <c r="O363" s="43">
        <f>IF($S$334=0,0,IF(OR(DATE($C363,11,15)&lt;$S$334,AND($T$334&gt;0,DATE($C363,11,15)&gt;$T$334)),0,IF(DATE($C363,11,15)&gt;=$X$334,$AA$334*(1+($U$334)/100)^MAX(0,$C363-$AD$334),IF(DATE($C363,11,15)&gt;=$W$334,$Z$334*(1+($U$334)/100)^MAX(0,$C363-$AC$334),IF(DATE($C363,11,15)&gt;=$V$334,$Y$334*(1+($U$334)/100)^MAX(0,$C363-$AB$334),0)))))</f>
      </c>
      <c r="P363" s="43">
        <f>IF($S$334=0,0,IF(OR(DATE($C363,12,15)&lt;$S$334,AND($T$334&gt;0,DATE($C363,12,15)&gt;$T$334)),0,IF(DATE($C363,12,15)&gt;=$X$334,$AA$334*(1+($U$334)/100)^MAX(0,$C363-$AD$334),IF(DATE($C363,12,15)&gt;=$W$334,$Z$334*(1+($U$334)/100)^MAX(0,$C363-$AC$334),IF(DATE($C363,12,15)&gt;=$V$334,$Y$334*(1+($U$334)/100)^MAX(0,$C363-$AB$334),0)))))</f>
      </c>
      <c r="Q363" s="43">
        <f>SUM($E363:$P363)</f>
      </c>
    </row>
    <row r="364">
      <c r="A364"/>
      <c r="B364">
        <v>11</v>
      </c>
      <c r="C364" s="43">
        <f>Jahr+30</f>
      </c>
      <c r="D364" s="43">
        <f>INDEX(MvObj,11)</f>
      </c>
      <c r="E364" s="43">
        <f>IF($S$334=0,0,IF(OR(DATE($C364,1,15)&lt;$S$334,AND($T$334&gt;0,DATE($C364,1,15)&gt;$T$334)),0,IF(DATE($C364,1,15)&gt;=$X$334,$AA$334*(1+($U$334)/100)^MAX(0,$C364-$AD$334),IF(DATE($C364,1,15)&gt;=$W$334,$Z$334*(1+($U$334)/100)^MAX(0,$C364-$AC$334),IF(DATE($C364,1,15)&gt;=$V$334,$Y$334*(1+($U$334)/100)^MAX(0,$C364-$AB$334),0)))))</f>
      </c>
      <c r="F364" s="43">
        <f>IF($S$334=0,0,IF(OR(DATE($C364,2,15)&lt;$S$334,AND($T$334&gt;0,DATE($C364,2,15)&gt;$T$334)),0,IF(DATE($C364,2,15)&gt;=$X$334,$AA$334*(1+($U$334)/100)^MAX(0,$C364-$AD$334),IF(DATE($C364,2,15)&gt;=$W$334,$Z$334*(1+($U$334)/100)^MAX(0,$C364-$AC$334),IF(DATE($C364,2,15)&gt;=$V$334,$Y$334*(1+($U$334)/100)^MAX(0,$C364-$AB$334),0)))))</f>
      </c>
      <c r="G364" s="43">
        <f>IF($S$334=0,0,IF(OR(DATE($C364,3,15)&lt;$S$334,AND($T$334&gt;0,DATE($C364,3,15)&gt;$T$334)),0,IF(DATE($C364,3,15)&gt;=$X$334,$AA$334*(1+($U$334)/100)^MAX(0,$C364-$AD$334),IF(DATE($C364,3,15)&gt;=$W$334,$Z$334*(1+($U$334)/100)^MAX(0,$C364-$AC$334),IF(DATE($C364,3,15)&gt;=$V$334,$Y$334*(1+($U$334)/100)^MAX(0,$C364-$AB$334),0)))))</f>
      </c>
      <c r="H364" s="43">
        <f>IF($S$334=0,0,IF(OR(DATE($C364,4,15)&lt;$S$334,AND($T$334&gt;0,DATE($C364,4,15)&gt;$T$334)),0,IF(DATE($C364,4,15)&gt;=$X$334,$AA$334*(1+($U$334)/100)^MAX(0,$C364-$AD$334),IF(DATE($C364,4,15)&gt;=$W$334,$Z$334*(1+($U$334)/100)^MAX(0,$C364-$AC$334),IF(DATE($C364,4,15)&gt;=$V$334,$Y$334*(1+($U$334)/100)^MAX(0,$C364-$AB$334),0)))))</f>
      </c>
      <c r="I364" s="43">
        <f>IF($S$334=0,0,IF(OR(DATE($C364,5,15)&lt;$S$334,AND($T$334&gt;0,DATE($C364,5,15)&gt;$T$334)),0,IF(DATE($C364,5,15)&gt;=$X$334,$AA$334*(1+($U$334)/100)^MAX(0,$C364-$AD$334),IF(DATE($C364,5,15)&gt;=$W$334,$Z$334*(1+($U$334)/100)^MAX(0,$C364-$AC$334),IF(DATE($C364,5,15)&gt;=$V$334,$Y$334*(1+($U$334)/100)^MAX(0,$C364-$AB$334),0)))))</f>
      </c>
      <c r="J364" s="43">
        <f>IF($S$334=0,0,IF(OR(DATE($C364,6,15)&lt;$S$334,AND($T$334&gt;0,DATE($C364,6,15)&gt;$T$334)),0,IF(DATE($C364,6,15)&gt;=$X$334,$AA$334*(1+($U$334)/100)^MAX(0,$C364-$AD$334),IF(DATE($C364,6,15)&gt;=$W$334,$Z$334*(1+($U$334)/100)^MAX(0,$C364-$AC$334),IF(DATE($C364,6,15)&gt;=$V$334,$Y$334*(1+($U$334)/100)^MAX(0,$C364-$AB$334),0)))))</f>
      </c>
      <c r="K364" s="43">
        <f>IF($S$334=0,0,IF(OR(DATE($C364,7,15)&lt;$S$334,AND($T$334&gt;0,DATE($C364,7,15)&gt;$T$334)),0,IF(DATE($C364,7,15)&gt;=$X$334,$AA$334*(1+($U$334)/100)^MAX(0,$C364-$AD$334),IF(DATE($C364,7,15)&gt;=$W$334,$Z$334*(1+($U$334)/100)^MAX(0,$C364-$AC$334),IF(DATE($C364,7,15)&gt;=$V$334,$Y$334*(1+($U$334)/100)^MAX(0,$C364-$AB$334),0)))))</f>
      </c>
      <c r="L364" s="43">
        <f>IF($S$334=0,0,IF(OR(DATE($C364,8,15)&lt;$S$334,AND($T$334&gt;0,DATE($C364,8,15)&gt;$T$334)),0,IF(DATE($C364,8,15)&gt;=$X$334,$AA$334*(1+($U$334)/100)^MAX(0,$C364-$AD$334),IF(DATE($C364,8,15)&gt;=$W$334,$Z$334*(1+($U$334)/100)^MAX(0,$C364-$AC$334),IF(DATE($C364,8,15)&gt;=$V$334,$Y$334*(1+($U$334)/100)^MAX(0,$C364-$AB$334),0)))))</f>
      </c>
      <c r="M364" s="43">
        <f>IF($S$334=0,0,IF(OR(DATE($C364,9,15)&lt;$S$334,AND($T$334&gt;0,DATE($C364,9,15)&gt;$T$334)),0,IF(DATE($C364,9,15)&gt;=$X$334,$AA$334*(1+($U$334)/100)^MAX(0,$C364-$AD$334),IF(DATE($C364,9,15)&gt;=$W$334,$Z$334*(1+($U$334)/100)^MAX(0,$C364-$AC$334),IF(DATE($C364,9,15)&gt;=$V$334,$Y$334*(1+($U$334)/100)^MAX(0,$C364-$AB$334),0)))))</f>
      </c>
      <c r="N364" s="43">
        <f>IF($S$334=0,0,IF(OR(DATE($C364,10,15)&lt;$S$334,AND($T$334&gt;0,DATE($C364,10,15)&gt;$T$334)),0,IF(DATE($C364,10,15)&gt;=$X$334,$AA$334*(1+($U$334)/100)^MAX(0,$C364-$AD$334),IF(DATE($C364,10,15)&gt;=$W$334,$Z$334*(1+($U$334)/100)^MAX(0,$C364-$AC$334),IF(DATE($C364,10,15)&gt;=$V$334,$Y$334*(1+($U$334)/100)^MAX(0,$C364-$AB$334),0)))))</f>
      </c>
      <c r="O364" s="43">
        <f>IF($S$334=0,0,IF(OR(DATE($C364,11,15)&lt;$S$334,AND($T$334&gt;0,DATE($C364,11,15)&gt;$T$334)),0,IF(DATE($C364,11,15)&gt;=$X$334,$AA$334*(1+($U$334)/100)^MAX(0,$C364-$AD$334),IF(DATE($C364,11,15)&gt;=$W$334,$Z$334*(1+($U$334)/100)^MAX(0,$C364-$AC$334),IF(DATE($C364,11,15)&gt;=$V$334,$Y$334*(1+($U$334)/100)^MAX(0,$C364-$AB$334),0)))))</f>
      </c>
      <c r="P364" s="43">
        <f>IF($S$334=0,0,IF(OR(DATE($C364,12,15)&lt;$S$334,AND($T$334&gt;0,DATE($C364,12,15)&gt;$T$334)),0,IF(DATE($C364,12,15)&gt;=$X$334,$AA$334*(1+($U$334)/100)^MAX(0,$C364-$AD$334),IF(DATE($C364,12,15)&gt;=$W$334,$Z$334*(1+($U$334)/100)^MAX(0,$C364-$AC$334),IF(DATE($C364,12,15)&gt;=$V$334,$Y$334*(1+($U$334)/100)^MAX(0,$C364-$AB$334),0)))))</f>
      </c>
      <c r="Q364" s="43">
        <f>SUM($E364:$P364)</f>
      </c>
    </row>
    <row r="365">
      <c r="A365"/>
      <c r="B365">
        <v>12</v>
      </c>
      <c r="C365" s="43">
        <f>Jahr+0</f>
      </c>
      <c r="D365" s="43">
        <f>INDEX(MvObj,12)</f>
      </c>
      <c r="E365" s="43">
        <f>IF($S$365=0,0,IF(OR(DATE($C365,1,15)&lt;$S$365,AND($T$365&gt;0,DATE($C365,1,15)&gt;$T$365)),0,IF(DATE($C365,1,15)&gt;=$X$365,$AA$365*(1+($U$365)/100)^MAX(0,$C365-$AD$365),IF(DATE($C365,1,15)&gt;=$W$365,$Z$365*(1+($U$365)/100)^MAX(0,$C365-$AC$365),IF(DATE($C365,1,15)&gt;=$V$365,$Y$365*(1+($U$365)/100)^MAX(0,$C365-$AB$365),0)))))</f>
      </c>
      <c r="F365" s="43">
        <f>IF($S$365=0,0,IF(OR(DATE($C365,2,15)&lt;$S$365,AND($T$365&gt;0,DATE($C365,2,15)&gt;$T$365)),0,IF(DATE($C365,2,15)&gt;=$X$365,$AA$365*(1+($U$365)/100)^MAX(0,$C365-$AD$365),IF(DATE($C365,2,15)&gt;=$W$365,$Z$365*(1+($U$365)/100)^MAX(0,$C365-$AC$365),IF(DATE($C365,2,15)&gt;=$V$365,$Y$365*(1+($U$365)/100)^MAX(0,$C365-$AB$365),0)))))</f>
      </c>
      <c r="G365" s="43">
        <f>IF($S$365=0,0,IF(OR(DATE($C365,3,15)&lt;$S$365,AND($T$365&gt;0,DATE($C365,3,15)&gt;$T$365)),0,IF(DATE($C365,3,15)&gt;=$X$365,$AA$365*(1+($U$365)/100)^MAX(0,$C365-$AD$365),IF(DATE($C365,3,15)&gt;=$W$365,$Z$365*(1+($U$365)/100)^MAX(0,$C365-$AC$365),IF(DATE($C365,3,15)&gt;=$V$365,$Y$365*(1+($U$365)/100)^MAX(0,$C365-$AB$365),0)))))</f>
      </c>
      <c r="H365" s="43">
        <f>IF($S$365=0,0,IF(OR(DATE($C365,4,15)&lt;$S$365,AND($T$365&gt;0,DATE($C365,4,15)&gt;$T$365)),0,IF(DATE($C365,4,15)&gt;=$X$365,$AA$365*(1+($U$365)/100)^MAX(0,$C365-$AD$365),IF(DATE($C365,4,15)&gt;=$W$365,$Z$365*(1+($U$365)/100)^MAX(0,$C365-$AC$365),IF(DATE($C365,4,15)&gt;=$V$365,$Y$365*(1+($U$365)/100)^MAX(0,$C365-$AB$365),0)))))</f>
      </c>
      <c r="I365" s="43">
        <f>IF($S$365=0,0,IF(OR(DATE($C365,5,15)&lt;$S$365,AND($T$365&gt;0,DATE($C365,5,15)&gt;$T$365)),0,IF(DATE($C365,5,15)&gt;=$X$365,$AA$365*(1+($U$365)/100)^MAX(0,$C365-$AD$365),IF(DATE($C365,5,15)&gt;=$W$365,$Z$365*(1+($U$365)/100)^MAX(0,$C365-$AC$365),IF(DATE($C365,5,15)&gt;=$V$365,$Y$365*(1+($U$365)/100)^MAX(0,$C365-$AB$365),0)))))</f>
      </c>
      <c r="J365" s="43">
        <f>IF($S$365=0,0,IF(OR(DATE($C365,6,15)&lt;$S$365,AND($T$365&gt;0,DATE($C365,6,15)&gt;$T$365)),0,IF(DATE($C365,6,15)&gt;=$X$365,$AA$365*(1+($U$365)/100)^MAX(0,$C365-$AD$365),IF(DATE($C365,6,15)&gt;=$W$365,$Z$365*(1+($U$365)/100)^MAX(0,$C365-$AC$365),IF(DATE($C365,6,15)&gt;=$V$365,$Y$365*(1+($U$365)/100)^MAX(0,$C365-$AB$365),0)))))</f>
      </c>
      <c r="K365" s="43">
        <f>IF($S$365=0,0,IF(OR(DATE($C365,7,15)&lt;$S$365,AND($T$365&gt;0,DATE($C365,7,15)&gt;$T$365)),0,IF(DATE($C365,7,15)&gt;=$X$365,$AA$365*(1+($U$365)/100)^MAX(0,$C365-$AD$365),IF(DATE($C365,7,15)&gt;=$W$365,$Z$365*(1+($U$365)/100)^MAX(0,$C365-$AC$365),IF(DATE($C365,7,15)&gt;=$V$365,$Y$365*(1+($U$365)/100)^MAX(0,$C365-$AB$365),0)))))</f>
      </c>
      <c r="L365" s="43">
        <f>IF($S$365=0,0,IF(OR(DATE($C365,8,15)&lt;$S$365,AND($T$365&gt;0,DATE($C365,8,15)&gt;$T$365)),0,IF(DATE($C365,8,15)&gt;=$X$365,$AA$365*(1+($U$365)/100)^MAX(0,$C365-$AD$365),IF(DATE($C365,8,15)&gt;=$W$365,$Z$365*(1+($U$365)/100)^MAX(0,$C365-$AC$365),IF(DATE($C365,8,15)&gt;=$V$365,$Y$365*(1+($U$365)/100)^MAX(0,$C365-$AB$365),0)))))</f>
      </c>
      <c r="M365" s="43">
        <f>IF($S$365=0,0,IF(OR(DATE($C365,9,15)&lt;$S$365,AND($T$365&gt;0,DATE($C365,9,15)&gt;$T$365)),0,IF(DATE($C365,9,15)&gt;=$X$365,$AA$365*(1+($U$365)/100)^MAX(0,$C365-$AD$365),IF(DATE($C365,9,15)&gt;=$W$365,$Z$365*(1+($U$365)/100)^MAX(0,$C365-$AC$365),IF(DATE($C365,9,15)&gt;=$V$365,$Y$365*(1+($U$365)/100)^MAX(0,$C365-$AB$365),0)))))</f>
      </c>
      <c r="N365" s="43">
        <f>IF($S$365=0,0,IF(OR(DATE($C365,10,15)&lt;$S$365,AND($T$365&gt;0,DATE($C365,10,15)&gt;$T$365)),0,IF(DATE($C365,10,15)&gt;=$X$365,$AA$365*(1+($U$365)/100)^MAX(0,$C365-$AD$365),IF(DATE($C365,10,15)&gt;=$W$365,$Z$365*(1+($U$365)/100)^MAX(0,$C365-$AC$365),IF(DATE($C365,10,15)&gt;=$V$365,$Y$365*(1+($U$365)/100)^MAX(0,$C365-$AB$365),0)))))</f>
      </c>
      <c r="O365" s="43">
        <f>IF($S$365=0,0,IF(OR(DATE($C365,11,15)&lt;$S$365,AND($T$365&gt;0,DATE($C365,11,15)&gt;$T$365)),0,IF(DATE($C365,11,15)&gt;=$X$365,$AA$365*(1+($U$365)/100)^MAX(0,$C365-$AD$365),IF(DATE($C365,11,15)&gt;=$W$365,$Z$365*(1+($U$365)/100)^MAX(0,$C365-$AC$365),IF(DATE($C365,11,15)&gt;=$V$365,$Y$365*(1+($U$365)/100)^MAX(0,$C365-$AB$365),0)))))</f>
      </c>
      <c r="P365" s="43">
        <f>IF($S$365=0,0,IF(OR(DATE($C365,12,15)&lt;$S$365,AND($T$365&gt;0,DATE($C365,12,15)&gt;$T$365)),0,IF(DATE($C365,12,15)&gt;=$X$365,$AA$365*(1+($U$365)/100)^MAX(0,$C365-$AD$365),IF(DATE($C365,12,15)&gt;=$W$365,$Z$365*(1+($U$365)/100)^MAX(0,$C365-$AC$365),IF(DATE($C365,12,15)&gt;=$V$365,$Y$365*(1+($U$365)/100)^MAX(0,$C365-$AB$365),0)))))</f>
      </c>
      <c r="Q365" s="43">
        <f>SUM($E365:$P365)</f>
      </c>
      <c r="R365"/>
      <c r="S365" s="43">
        <f>IF(INDEX(MvBeginn,12)="",0,INDEX(MvBeginn,12))</f>
      </c>
      <c r="T365" s="43">
        <f>INDEX(MvEnde,12)</f>
      </c>
      <c r="U365" s="43">
        <f>INDEX(MvSatz,12)</f>
      </c>
      <c r="V365" s="43">
        <f>INDEX(MvKey1,12)</f>
      </c>
      <c r="W365" s="43">
        <f>INDEX(MvKey2,12)</f>
      </c>
      <c r="X365" s="43">
        <f>INDEX(MvKey3,12)</f>
      </c>
      <c r="Y365" s="43">
        <f>INDEX(MvKalt1,12)</f>
      </c>
      <c r="Z365" s="43">
        <f>INDEX(MvKalt2,12)</f>
      </c>
      <c r="AA365" s="43">
        <f>INDEX(MvKalt3,12)</f>
      </c>
      <c r="AB365" s="43">
        <f>MAX(YEAR(INDEX(MvAb1,12)),Jahr)</f>
      </c>
      <c r="AC365" s="43">
        <f>MAX(YEAR(INDEX(MvAb2,12)),Jahr)</f>
      </c>
      <c r="AD365" s="43">
        <f>MAX(YEAR(INDEX(MvAb3,12)),Jahr)</f>
      </c>
    </row>
    <row r="366">
      <c r="A366"/>
      <c r="B366">
        <v>12</v>
      </c>
      <c r="C366" s="43">
        <f>Jahr+1</f>
      </c>
      <c r="D366" s="43">
        <f>INDEX(MvObj,12)</f>
      </c>
      <c r="E366" s="43">
        <f>IF($S$365=0,0,IF(OR(DATE($C366,1,15)&lt;$S$365,AND($T$365&gt;0,DATE($C366,1,15)&gt;$T$365)),0,IF(DATE($C366,1,15)&gt;=$X$365,$AA$365*(1+($U$365)/100)^MAX(0,$C366-$AD$365),IF(DATE($C366,1,15)&gt;=$W$365,$Z$365*(1+($U$365)/100)^MAX(0,$C366-$AC$365),IF(DATE($C366,1,15)&gt;=$V$365,$Y$365*(1+($U$365)/100)^MAX(0,$C366-$AB$365),0)))))</f>
      </c>
      <c r="F366" s="43">
        <f>IF($S$365=0,0,IF(OR(DATE($C366,2,15)&lt;$S$365,AND($T$365&gt;0,DATE($C366,2,15)&gt;$T$365)),0,IF(DATE($C366,2,15)&gt;=$X$365,$AA$365*(1+($U$365)/100)^MAX(0,$C366-$AD$365),IF(DATE($C366,2,15)&gt;=$W$365,$Z$365*(1+($U$365)/100)^MAX(0,$C366-$AC$365),IF(DATE($C366,2,15)&gt;=$V$365,$Y$365*(1+($U$365)/100)^MAX(0,$C366-$AB$365),0)))))</f>
      </c>
      <c r="G366" s="43">
        <f>IF($S$365=0,0,IF(OR(DATE($C366,3,15)&lt;$S$365,AND($T$365&gt;0,DATE($C366,3,15)&gt;$T$365)),0,IF(DATE($C366,3,15)&gt;=$X$365,$AA$365*(1+($U$365)/100)^MAX(0,$C366-$AD$365),IF(DATE($C366,3,15)&gt;=$W$365,$Z$365*(1+($U$365)/100)^MAX(0,$C366-$AC$365),IF(DATE($C366,3,15)&gt;=$V$365,$Y$365*(1+($U$365)/100)^MAX(0,$C366-$AB$365),0)))))</f>
      </c>
      <c r="H366" s="43">
        <f>IF($S$365=0,0,IF(OR(DATE($C366,4,15)&lt;$S$365,AND($T$365&gt;0,DATE($C366,4,15)&gt;$T$365)),0,IF(DATE($C366,4,15)&gt;=$X$365,$AA$365*(1+($U$365)/100)^MAX(0,$C366-$AD$365),IF(DATE($C366,4,15)&gt;=$W$365,$Z$365*(1+($U$365)/100)^MAX(0,$C366-$AC$365),IF(DATE($C366,4,15)&gt;=$V$365,$Y$365*(1+($U$365)/100)^MAX(0,$C366-$AB$365),0)))))</f>
      </c>
      <c r="I366" s="43">
        <f>IF($S$365=0,0,IF(OR(DATE($C366,5,15)&lt;$S$365,AND($T$365&gt;0,DATE($C366,5,15)&gt;$T$365)),0,IF(DATE($C366,5,15)&gt;=$X$365,$AA$365*(1+($U$365)/100)^MAX(0,$C366-$AD$365),IF(DATE($C366,5,15)&gt;=$W$365,$Z$365*(1+($U$365)/100)^MAX(0,$C366-$AC$365),IF(DATE($C366,5,15)&gt;=$V$365,$Y$365*(1+($U$365)/100)^MAX(0,$C366-$AB$365),0)))))</f>
      </c>
      <c r="J366" s="43">
        <f>IF($S$365=0,0,IF(OR(DATE($C366,6,15)&lt;$S$365,AND($T$365&gt;0,DATE($C366,6,15)&gt;$T$365)),0,IF(DATE($C366,6,15)&gt;=$X$365,$AA$365*(1+($U$365)/100)^MAX(0,$C366-$AD$365),IF(DATE($C366,6,15)&gt;=$W$365,$Z$365*(1+($U$365)/100)^MAX(0,$C366-$AC$365),IF(DATE($C366,6,15)&gt;=$V$365,$Y$365*(1+($U$365)/100)^MAX(0,$C366-$AB$365),0)))))</f>
      </c>
      <c r="K366" s="43">
        <f>IF($S$365=0,0,IF(OR(DATE($C366,7,15)&lt;$S$365,AND($T$365&gt;0,DATE($C366,7,15)&gt;$T$365)),0,IF(DATE($C366,7,15)&gt;=$X$365,$AA$365*(1+($U$365)/100)^MAX(0,$C366-$AD$365),IF(DATE($C366,7,15)&gt;=$W$365,$Z$365*(1+($U$365)/100)^MAX(0,$C366-$AC$365),IF(DATE($C366,7,15)&gt;=$V$365,$Y$365*(1+($U$365)/100)^MAX(0,$C366-$AB$365),0)))))</f>
      </c>
      <c r="L366" s="43">
        <f>IF($S$365=0,0,IF(OR(DATE($C366,8,15)&lt;$S$365,AND($T$365&gt;0,DATE($C366,8,15)&gt;$T$365)),0,IF(DATE($C366,8,15)&gt;=$X$365,$AA$365*(1+($U$365)/100)^MAX(0,$C366-$AD$365),IF(DATE($C366,8,15)&gt;=$W$365,$Z$365*(1+($U$365)/100)^MAX(0,$C366-$AC$365),IF(DATE($C366,8,15)&gt;=$V$365,$Y$365*(1+($U$365)/100)^MAX(0,$C366-$AB$365),0)))))</f>
      </c>
      <c r="M366" s="43">
        <f>IF($S$365=0,0,IF(OR(DATE($C366,9,15)&lt;$S$365,AND($T$365&gt;0,DATE($C366,9,15)&gt;$T$365)),0,IF(DATE($C366,9,15)&gt;=$X$365,$AA$365*(1+($U$365)/100)^MAX(0,$C366-$AD$365),IF(DATE($C366,9,15)&gt;=$W$365,$Z$365*(1+($U$365)/100)^MAX(0,$C366-$AC$365),IF(DATE($C366,9,15)&gt;=$V$365,$Y$365*(1+($U$365)/100)^MAX(0,$C366-$AB$365),0)))))</f>
      </c>
      <c r="N366" s="43">
        <f>IF($S$365=0,0,IF(OR(DATE($C366,10,15)&lt;$S$365,AND($T$365&gt;0,DATE($C366,10,15)&gt;$T$365)),0,IF(DATE($C366,10,15)&gt;=$X$365,$AA$365*(1+($U$365)/100)^MAX(0,$C366-$AD$365),IF(DATE($C366,10,15)&gt;=$W$365,$Z$365*(1+($U$365)/100)^MAX(0,$C366-$AC$365),IF(DATE($C366,10,15)&gt;=$V$365,$Y$365*(1+($U$365)/100)^MAX(0,$C366-$AB$365),0)))))</f>
      </c>
      <c r="O366" s="43">
        <f>IF($S$365=0,0,IF(OR(DATE($C366,11,15)&lt;$S$365,AND($T$365&gt;0,DATE($C366,11,15)&gt;$T$365)),0,IF(DATE($C366,11,15)&gt;=$X$365,$AA$365*(1+($U$365)/100)^MAX(0,$C366-$AD$365),IF(DATE($C366,11,15)&gt;=$W$365,$Z$365*(1+($U$365)/100)^MAX(0,$C366-$AC$365),IF(DATE($C366,11,15)&gt;=$V$365,$Y$365*(1+($U$365)/100)^MAX(0,$C366-$AB$365),0)))))</f>
      </c>
      <c r="P366" s="43">
        <f>IF($S$365=0,0,IF(OR(DATE($C366,12,15)&lt;$S$365,AND($T$365&gt;0,DATE($C366,12,15)&gt;$T$365)),0,IF(DATE($C366,12,15)&gt;=$X$365,$AA$365*(1+($U$365)/100)^MAX(0,$C366-$AD$365),IF(DATE($C366,12,15)&gt;=$W$365,$Z$365*(1+($U$365)/100)^MAX(0,$C366-$AC$365),IF(DATE($C366,12,15)&gt;=$V$365,$Y$365*(1+($U$365)/100)^MAX(0,$C366-$AB$365),0)))))</f>
      </c>
      <c r="Q366" s="43">
        <f>SUM($E366:$P366)</f>
      </c>
    </row>
    <row r="367">
      <c r="A367"/>
      <c r="B367">
        <v>12</v>
      </c>
      <c r="C367" s="43">
        <f>Jahr+2</f>
      </c>
      <c r="D367" s="43">
        <f>INDEX(MvObj,12)</f>
      </c>
      <c r="E367" s="43">
        <f>IF($S$365=0,0,IF(OR(DATE($C367,1,15)&lt;$S$365,AND($T$365&gt;0,DATE($C367,1,15)&gt;$T$365)),0,IF(DATE($C367,1,15)&gt;=$X$365,$AA$365*(1+($U$365)/100)^MAX(0,$C367-$AD$365),IF(DATE($C367,1,15)&gt;=$W$365,$Z$365*(1+($U$365)/100)^MAX(0,$C367-$AC$365),IF(DATE($C367,1,15)&gt;=$V$365,$Y$365*(1+($U$365)/100)^MAX(0,$C367-$AB$365),0)))))</f>
      </c>
      <c r="F367" s="43">
        <f>IF($S$365=0,0,IF(OR(DATE($C367,2,15)&lt;$S$365,AND($T$365&gt;0,DATE($C367,2,15)&gt;$T$365)),0,IF(DATE($C367,2,15)&gt;=$X$365,$AA$365*(1+($U$365)/100)^MAX(0,$C367-$AD$365),IF(DATE($C367,2,15)&gt;=$W$365,$Z$365*(1+($U$365)/100)^MAX(0,$C367-$AC$365),IF(DATE($C367,2,15)&gt;=$V$365,$Y$365*(1+($U$365)/100)^MAX(0,$C367-$AB$365),0)))))</f>
      </c>
      <c r="G367" s="43">
        <f>IF($S$365=0,0,IF(OR(DATE($C367,3,15)&lt;$S$365,AND($T$365&gt;0,DATE($C367,3,15)&gt;$T$365)),0,IF(DATE($C367,3,15)&gt;=$X$365,$AA$365*(1+($U$365)/100)^MAX(0,$C367-$AD$365),IF(DATE($C367,3,15)&gt;=$W$365,$Z$365*(1+($U$365)/100)^MAX(0,$C367-$AC$365),IF(DATE($C367,3,15)&gt;=$V$365,$Y$365*(1+($U$365)/100)^MAX(0,$C367-$AB$365),0)))))</f>
      </c>
      <c r="H367" s="43">
        <f>IF($S$365=0,0,IF(OR(DATE($C367,4,15)&lt;$S$365,AND($T$365&gt;0,DATE($C367,4,15)&gt;$T$365)),0,IF(DATE($C367,4,15)&gt;=$X$365,$AA$365*(1+($U$365)/100)^MAX(0,$C367-$AD$365),IF(DATE($C367,4,15)&gt;=$W$365,$Z$365*(1+($U$365)/100)^MAX(0,$C367-$AC$365),IF(DATE($C367,4,15)&gt;=$V$365,$Y$365*(1+($U$365)/100)^MAX(0,$C367-$AB$365),0)))))</f>
      </c>
      <c r="I367" s="43">
        <f>IF($S$365=0,0,IF(OR(DATE($C367,5,15)&lt;$S$365,AND($T$365&gt;0,DATE($C367,5,15)&gt;$T$365)),0,IF(DATE($C367,5,15)&gt;=$X$365,$AA$365*(1+($U$365)/100)^MAX(0,$C367-$AD$365),IF(DATE($C367,5,15)&gt;=$W$365,$Z$365*(1+($U$365)/100)^MAX(0,$C367-$AC$365),IF(DATE($C367,5,15)&gt;=$V$365,$Y$365*(1+($U$365)/100)^MAX(0,$C367-$AB$365),0)))))</f>
      </c>
      <c r="J367" s="43">
        <f>IF($S$365=0,0,IF(OR(DATE($C367,6,15)&lt;$S$365,AND($T$365&gt;0,DATE($C367,6,15)&gt;$T$365)),0,IF(DATE($C367,6,15)&gt;=$X$365,$AA$365*(1+($U$365)/100)^MAX(0,$C367-$AD$365),IF(DATE($C367,6,15)&gt;=$W$365,$Z$365*(1+($U$365)/100)^MAX(0,$C367-$AC$365),IF(DATE($C367,6,15)&gt;=$V$365,$Y$365*(1+($U$365)/100)^MAX(0,$C367-$AB$365),0)))))</f>
      </c>
      <c r="K367" s="43">
        <f>IF($S$365=0,0,IF(OR(DATE($C367,7,15)&lt;$S$365,AND($T$365&gt;0,DATE($C367,7,15)&gt;$T$365)),0,IF(DATE($C367,7,15)&gt;=$X$365,$AA$365*(1+($U$365)/100)^MAX(0,$C367-$AD$365),IF(DATE($C367,7,15)&gt;=$W$365,$Z$365*(1+($U$365)/100)^MAX(0,$C367-$AC$365),IF(DATE($C367,7,15)&gt;=$V$365,$Y$365*(1+($U$365)/100)^MAX(0,$C367-$AB$365),0)))))</f>
      </c>
      <c r="L367" s="43">
        <f>IF($S$365=0,0,IF(OR(DATE($C367,8,15)&lt;$S$365,AND($T$365&gt;0,DATE($C367,8,15)&gt;$T$365)),0,IF(DATE($C367,8,15)&gt;=$X$365,$AA$365*(1+($U$365)/100)^MAX(0,$C367-$AD$365),IF(DATE($C367,8,15)&gt;=$W$365,$Z$365*(1+($U$365)/100)^MAX(0,$C367-$AC$365),IF(DATE($C367,8,15)&gt;=$V$365,$Y$365*(1+($U$365)/100)^MAX(0,$C367-$AB$365),0)))))</f>
      </c>
      <c r="M367" s="43">
        <f>IF($S$365=0,0,IF(OR(DATE($C367,9,15)&lt;$S$365,AND($T$365&gt;0,DATE($C367,9,15)&gt;$T$365)),0,IF(DATE($C367,9,15)&gt;=$X$365,$AA$365*(1+($U$365)/100)^MAX(0,$C367-$AD$365),IF(DATE($C367,9,15)&gt;=$W$365,$Z$365*(1+($U$365)/100)^MAX(0,$C367-$AC$365),IF(DATE($C367,9,15)&gt;=$V$365,$Y$365*(1+($U$365)/100)^MAX(0,$C367-$AB$365),0)))))</f>
      </c>
      <c r="N367" s="43">
        <f>IF($S$365=0,0,IF(OR(DATE($C367,10,15)&lt;$S$365,AND($T$365&gt;0,DATE($C367,10,15)&gt;$T$365)),0,IF(DATE($C367,10,15)&gt;=$X$365,$AA$365*(1+($U$365)/100)^MAX(0,$C367-$AD$365),IF(DATE($C367,10,15)&gt;=$W$365,$Z$365*(1+($U$365)/100)^MAX(0,$C367-$AC$365),IF(DATE($C367,10,15)&gt;=$V$365,$Y$365*(1+($U$365)/100)^MAX(0,$C367-$AB$365),0)))))</f>
      </c>
      <c r="O367" s="43">
        <f>IF($S$365=0,0,IF(OR(DATE($C367,11,15)&lt;$S$365,AND($T$365&gt;0,DATE($C367,11,15)&gt;$T$365)),0,IF(DATE($C367,11,15)&gt;=$X$365,$AA$365*(1+($U$365)/100)^MAX(0,$C367-$AD$365),IF(DATE($C367,11,15)&gt;=$W$365,$Z$365*(1+($U$365)/100)^MAX(0,$C367-$AC$365),IF(DATE($C367,11,15)&gt;=$V$365,$Y$365*(1+($U$365)/100)^MAX(0,$C367-$AB$365),0)))))</f>
      </c>
      <c r="P367" s="43">
        <f>IF($S$365=0,0,IF(OR(DATE($C367,12,15)&lt;$S$365,AND($T$365&gt;0,DATE($C367,12,15)&gt;$T$365)),0,IF(DATE($C367,12,15)&gt;=$X$365,$AA$365*(1+($U$365)/100)^MAX(0,$C367-$AD$365),IF(DATE($C367,12,15)&gt;=$W$365,$Z$365*(1+($U$365)/100)^MAX(0,$C367-$AC$365),IF(DATE($C367,12,15)&gt;=$V$365,$Y$365*(1+($U$365)/100)^MAX(0,$C367-$AB$365),0)))))</f>
      </c>
      <c r="Q367" s="43">
        <f>SUM($E367:$P367)</f>
      </c>
    </row>
    <row r="368">
      <c r="A368"/>
      <c r="B368">
        <v>12</v>
      </c>
      <c r="C368" s="43">
        <f>Jahr+3</f>
      </c>
      <c r="D368" s="43">
        <f>INDEX(MvObj,12)</f>
      </c>
      <c r="E368" s="43">
        <f>IF($S$365=0,0,IF(OR(DATE($C368,1,15)&lt;$S$365,AND($T$365&gt;0,DATE($C368,1,15)&gt;$T$365)),0,IF(DATE($C368,1,15)&gt;=$X$365,$AA$365*(1+($U$365)/100)^MAX(0,$C368-$AD$365),IF(DATE($C368,1,15)&gt;=$W$365,$Z$365*(1+($U$365)/100)^MAX(0,$C368-$AC$365),IF(DATE($C368,1,15)&gt;=$V$365,$Y$365*(1+($U$365)/100)^MAX(0,$C368-$AB$365),0)))))</f>
      </c>
      <c r="F368" s="43">
        <f>IF($S$365=0,0,IF(OR(DATE($C368,2,15)&lt;$S$365,AND($T$365&gt;0,DATE($C368,2,15)&gt;$T$365)),0,IF(DATE($C368,2,15)&gt;=$X$365,$AA$365*(1+($U$365)/100)^MAX(0,$C368-$AD$365),IF(DATE($C368,2,15)&gt;=$W$365,$Z$365*(1+($U$365)/100)^MAX(0,$C368-$AC$365),IF(DATE($C368,2,15)&gt;=$V$365,$Y$365*(1+($U$365)/100)^MAX(0,$C368-$AB$365),0)))))</f>
      </c>
      <c r="G368" s="43">
        <f>IF($S$365=0,0,IF(OR(DATE($C368,3,15)&lt;$S$365,AND($T$365&gt;0,DATE($C368,3,15)&gt;$T$365)),0,IF(DATE($C368,3,15)&gt;=$X$365,$AA$365*(1+($U$365)/100)^MAX(0,$C368-$AD$365),IF(DATE($C368,3,15)&gt;=$W$365,$Z$365*(1+($U$365)/100)^MAX(0,$C368-$AC$365),IF(DATE($C368,3,15)&gt;=$V$365,$Y$365*(1+($U$365)/100)^MAX(0,$C368-$AB$365),0)))))</f>
      </c>
      <c r="H368" s="43">
        <f>IF($S$365=0,0,IF(OR(DATE($C368,4,15)&lt;$S$365,AND($T$365&gt;0,DATE($C368,4,15)&gt;$T$365)),0,IF(DATE($C368,4,15)&gt;=$X$365,$AA$365*(1+($U$365)/100)^MAX(0,$C368-$AD$365),IF(DATE($C368,4,15)&gt;=$W$365,$Z$365*(1+($U$365)/100)^MAX(0,$C368-$AC$365),IF(DATE($C368,4,15)&gt;=$V$365,$Y$365*(1+($U$365)/100)^MAX(0,$C368-$AB$365),0)))))</f>
      </c>
      <c r="I368" s="43">
        <f>IF($S$365=0,0,IF(OR(DATE($C368,5,15)&lt;$S$365,AND($T$365&gt;0,DATE($C368,5,15)&gt;$T$365)),0,IF(DATE($C368,5,15)&gt;=$X$365,$AA$365*(1+($U$365)/100)^MAX(0,$C368-$AD$365),IF(DATE($C368,5,15)&gt;=$W$365,$Z$365*(1+($U$365)/100)^MAX(0,$C368-$AC$365),IF(DATE($C368,5,15)&gt;=$V$365,$Y$365*(1+($U$365)/100)^MAX(0,$C368-$AB$365),0)))))</f>
      </c>
      <c r="J368" s="43">
        <f>IF($S$365=0,0,IF(OR(DATE($C368,6,15)&lt;$S$365,AND($T$365&gt;0,DATE($C368,6,15)&gt;$T$365)),0,IF(DATE($C368,6,15)&gt;=$X$365,$AA$365*(1+($U$365)/100)^MAX(0,$C368-$AD$365),IF(DATE($C368,6,15)&gt;=$W$365,$Z$365*(1+($U$365)/100)^MAX(0,$C368-$AC$365),IF(DATE($C368,6,15)&gt;=$V$365,$Y$365*(1+($U$365)/100)^MAX(0,$C368-$AB$365),0)))))</f>
      </c>
      <c r="K368" s="43">
        <f>IF($S$365=0,0,IF(OR(DATE($C368,7,15)&lt;$S$365,AND($T$365&gt;0,DATE($C368,7,15)&gt;$T$365)),0,IF(DATE($C368,7,15)&gt;=$X$365,$AA$365*(1+($U$365)/100)^MAX(0,$C368-$AD$365),IF(DATE($C368,7,15)&gt;=$W$365,$Z$365*(1+($U$365)/100)^MAX(0,$C368-$AC$365),IF(DATE($C368,7,15)&gt;=$V$365,$Y$365*(1+($U$365)/100)^MAX(0,$C368-$AB$365),0)))))</f>
      </c>
      <c r="L368" s="43">
        <f>IF($S$365=0,0,IF(OR(DATE($C368,8,15)&lt;$S$365,AND($T$365&gt;0,DATE($C368,8,15)&gt;$T$365)),0,IF(DATE($C368,8,15)&gt;=$X$365,$AA$365*(1+($U$365)/100)^MAX(0,$C368-$AD$365),IF(DATE($C368,8,15)&gt;=$W$365,$Z$365*(1+($U$365)/100)^MAX(0,$C368-$AC$365),IF(DATE($C368,8,15)&gt;=$V$365,$Y$365*(1+($U$365)/100)^MAX(0,$C368-$AB$365),0)))))</f>
      </c>
      <c r="M368" s="43">
        <f>IF($S$365=0,0,IF(OR(DATE($C368,9,15)&lt;$S$365,AND($T$365&gt;0,DATE($C368,9,15)&gt;$T$365)),0,IF(DATE($C368,9,15)&gt;=$X$365,$AA$365*(1+($U$365)/100)^MAX(0,$C368-$AD$365),IF(DATE($C368,9,15)&gt;=$W$365,$Z$365*(1+($U$365)/100)^MAX(0,$C368-$AC$365),IF(DATE($C368,9,15)&gt;=$V$365,$Y$365*(1+($U$365)/100)^MAX(0,$C368-$AB$365),0)))))</f>
      </c>
      <c r="N368" s="43">
        <f>IF($S$365=0,0,IF(OR(DATE($C368,10,15)&lt;$S$365,AND($T$365&gt;0,DATE($C368,10,15)&gt;$T$365)),0,IF(DATE($C368,10,15)&gt;=$X$365,$AA$365*(1+($U$365)/100)^MAX(0,$C368-$AD$365),IF(DATE($C368,10,15)&gt;=$W$365,$Z$365*(1+($U$365)/100)^MAX(0,$C368-$AC$365),IF(DATE($C368,10,15)&gt;=$V$365,$Y$365*(1+($U$365)/100)^MAX(0,$C368-$AB$365),0)))))</f>
      </c>
      <c r="O368" s="43">
        <f>IF($S$365=0,0,IF(OR(DATE($C368,11,15)&lt;$S$365,AND($T$365&gt;0,DATE($C368,11,15)&gt;$T$365)),0,IF(DATE($C368,11,15)&gt;=$X$365,$AA$365*(1+($U$365)/100)^MAX(0,$C368-$AD$365),IF(DATE($C368,11,15)&gt;=$W$365,$Z$365*(1+($U$365)/100)^MAX(0,$C368-$AC$365),IF(DATE($C368,11,15)&gt;=$V$365,$Y$365*(1+($U$365)/100)^MAX(0,$C368-$AB$365),0)))))</f>
      </c>
      <c r="P368" s="43">
        <f>IF($S$365=0,0,IF(OR(DATE($C368,12,15)&lt;$S$365,AND($T$365&gt;0,DATE($C368,12,15)&gt;$T$365)),0,IF(DATE($C368,12,15)&gt;=$X$365,$AA$365*(1+($U$365)/100)^MAX(0,$C368-$AD$365),IF(DATE($C368,12,15)&gt;=$W$365,$Z$365*(1+($U$365)/100)^MAX(0,$C368-$AC$365),IF(DATE($C368,12,15)&gt;=$V$365,$Y$365*(1+($U$365)/100)^MAX(0,$C368-$AB$365),0)))))</f>
      </c>
      <c r="Q368" s="43">
        <f>SUM($E368:$P368)</f>
      </c>
    </row>
    <row r="369">
      <c r="A369"/>
      <c r="B369">
        <v>12</v>
      </c>
      <c r="C369" s="43">
        <f>Jahr+4</f>
      </c>
      <c r="D369" s="43">
        <f>INDEX(MvObj,12)</f>
      </c>
      <c r="E369" s="43">
        <f>IF($S$365=0,0,IF(OR(DATE($C369,1,15)&lt;$S$365,AND($T$365&gt;0,DATE($C369,1,15)&gt;$T$365)),0,IF(DATE($C369,1,15)&gt;=$X$365,$AA$365*(1+($U$365)/100)^MAX(0,$C369-$AD$365),IF(DATE($C369,1,15)&gt;=$W$365,$Z$365*(1+($U$365)/100)^MAX(0,$C369-$AC$365),IF(DATE($C369,1,15)&gt;=$V$365,$Y$365*(1+($U$365)/100)^MAX(0,$C369-$AB$365),0)))))</f>
      </c>
      <c r="F369" s="43">
        <f>IF($S$365=0,0,IF(OR(DATE($C369,2,15)&lt;$S$365,AND($T$365&gt;0,DATE($C369,2,15)&gt;$T$365)),0,IF(DATE($C369,2,15)&gt;=$X$365,$AA$365*(1+($U$365)/100)^MAX(0,$C369-$AD$365),IF(DATE($C369,2,15)&gt;=$W$365,$Z$365*(1+($U$365)/100)^MAX(0,$C369-$AC$365),IF(DATE($C369,2,15)&gt;=$V$365,$Y$365*(1+($U$365)/100)^MAX(0,$C369-$AB$365),0)))))</f>
      </c>
      <c r="G369" s="43">
        <f>IF($S$365=0,0,IF(OR(DATE($C369,3,15)&lt;$S$365,AND($T$365&gt;0,DATE($C369,3,15)&gt;$T$365)),0,IF(DATE($C369,3,15)&gt;=$X$365,$AA$365*(1+($U$365)/100)^MAX(0,$C369-$AD$365),IF(DATE($C369,3,15)&gt;=$W$365,$Z$365*(1+($U$365)/100)^MAX(0,$C369-$AC$365),IF(DATE($C369,3,15)&gt;=$V$365,$Y$365*(1+($U$365)/100)^MAX(0,$C369-$AB$365),0)))))</f>
      </c>
      <c r="H369" s="43">
        <f>IF($S$365=0,0,IF(OR(DATE($C369,4,15)&lt;$S$365,AND($T$365&gt;0,DATE($C369,4,15)&gt;$T$365)),0,IF(DATE($C369,4,15)&gt;=$X$365,$AA$365*(1+($U$365)/100)^MAX(0,$C369-$AD$365),IF(DATE($C369,4,15)&gt;=$W$365,$Z$365*(1+($U$365)/100)^MAX(0,$C369-$AC$365),IF(DATE($C369,4,15)&gt;=$V$365,$Y$365*(1+($U$365)/100)^MAX(0,$C369-$AB$365),0)))))</f>
      </c>
      <c r="I369" s="43">
        <f>IF($S$365=0,0,IF(OR(DATE($C369,5,15)&lt;$S$365,AND($T$365&gt;0,DATE($C369,5,15)&gt;$T$365)),0,IF(DATE($C369,5,15)&gt;=$X$365,$AA$365*(1+($U$365)/100)^MAX(0,$C369-$AD$365),IF(DATE($C369,5,15)&gt;=$W$365,$Z$365*(1+($U$365)/100)^MAX(0,$C369-$AC$365),IF(DATE($C369,5,15)&gt;=$V$365,$Y$365*(1+($U$365)/100)^MAX(0,$C369-$AB$365),0)))))</f>
      </c>
      <c r="J369" s="43">
        <f>IF($S$365=0,0,IF(OR(DATE($C369,6,15)&lt;$S$365,AND($T$365&gt;0,DATE($C369,6,15)&gt;$T$365)),0,IF(DATE($C369,6,15)&gt;=$X$365,$AA$365*(1+($U$365)/100)^MAX(0,$C369-$AD$365),IF(DATE($C369,6,15)&gt;=$W$365,$Z$365*(1+($U$365)/100)^MAX(0,$C369-$AC$365),IF(DATE($C369,6,15)&gt;=$V$365,$Y$365*(1+($U$365)/100)^MAX(0,$C369-$AB$365),0)))))</f>
      </c>
      <c r="K369" s="43">
        <f>IF($S$365=0,0,IF(OR(DATE($C369,7,15)&lt;$S$365,AND($T$365&gt;0,DATE($C369,7,15)&gt;$T$365)),0,IF(DATE($C369,7,15)&gt;=$X$365,$AA$365*(1+($U$365)/100)^MAX(0,$C369-$AD$365),IF(DATE($C369,7,15)&gt;=$W$365,$Z$365*(1+($U$365)/100)^MAX(0,$C369-$AC$365),IF(DATE($C369,7,15)&gt;=$V$365,$Y$365*(1+($U$365)/100)^MAX(0,$C369-$AB$365),0)))))</f>
      </c>
      <c r="L369" s="43">
        <f>IF($S$365=0,0,IF(OR(DATE($C369,8,15)&lt;$S$365,AND($T$365&gt;0,DATE($C369,8,15)&gt;$T$365)),0,IF(DATE($C369,8,15)&gt;=$X$365,$AA$365*(1+($U$365)/100)^MAX(0,$C369-$AD$365),IF(DATE($C369,8,15)&gt;=$W$365,$Z$365*(1+($U$365)/100)^MAX(0,$C369-$AC$365),IF(DATE($C369,8,15)&gt;=$V$365,$Y$365*(1+($U$365)/100)^MAX(0,$C369-$AB$365),0)))))</f>
      </c>
      <c r="M369" s="43">
        <f>IF($S$365=0,0,IF(OR(DATE($C369,9,15)&lt;$S$365,AND($T$365&gt;0,DATE($C369,9,15)&gt;$T$365)),0,IF(DATE($C369,9,15)&gt;=$X$365,$AA$365*(1+($U$365)/100)^MAX(0,$C369-$AD$365),IF(DATE($C369,9,15)&gt;=$W$365,$Z$365*(1+($U$365)/100)^MAX(0,$C369-$AC$365),IF(DATE($C369,9,15)&gt;=$V$365,$Y$365*(1+($U$365)/100)^MAX(0,$C369-$AB$365),0)))))</f>
      </c>
      <c r="N369" s="43">
        <f>IF($S$365=0,0,IF(OR(DATE($C369,10,15)&lt;$S$365,AND($T$365&gt;0,DATE($C369,10,15)&gt;$T$365)),0,IF(DATE($C369,10,15)&gt;=$X$365,$AA$365*(1+($U$365)/100)^MAX(0,$C369-$AD$365),IF(DATE($C369,10,15)&gt;=$W$365,$Z$365*(1+($U$365)/100)^MAX(0,$C369-$AC$365),IF(DATE($C369,10,15)&gt;=$V$365,$Y$365*(1+($U$365)/100)^MAX(0,$C369-$AB$365),0)))))</f>
      </c>
      <c r="O369" s="43">
        <f>IF($S$365=0,0,IF(OR(DATE($C369,11,15)&lt;$S$365,AND($T$365&gt;0,DATE($C369,11,15)&gt;$T$365)),0,IF(DATE($C369,11,15)&gt;=$X$365,$AA$365*(1+($U$365)/100)^MAX(0,$C369-$AD$365),IF(DATE($C369,11,15)&gt;=$W$365,$Z$365*(1+($U$365)/100)^MAX(0,$C369-$AC$365),IF(DATE($C369,11,15)&gt;=$V$365,$Y$365*(1+($U$365)/100)^MAX(0,$C369-$AB$365),0)))))</f>
      </c>
      <c r="P369" s="43">
        <f>IF($S$365=0,0,IF(OR(DATE($C369,12,15)&lt;$S$365,AND($T$365&gt;0,DATE($C369,12,15)&gt;$T$365)),0,IF(DATE($C369,12,15)&gt;=$X$365,$AA$365*(1+($U$365)/100)^MAX(0,$C369-$AD$365),IF(DATE($C369,12,15)&gt;=$W$365,$Z$365*(1+($U$365)/100)^MAX(0,$C369-$AC$365),IF(DATE($C369,12,15)&gt;=$V$365,$Y$365*(1+($U$365)/100)^MAX(0,$C369-$AB$365),0)))))</f>
      </c>
      <c r="Q369" s="43">
        <f>SUM($E369:$P369)</f>
      </c>
    </row>
    <row r="370">
      <c r="A370"/>
      <c r="B370">
        <v>12</v>
      </c>
      <c r="C370" s="43">
        <f>Jahr+5</f>
      </c>
      <c r="D370" s="43">
        <f>INDEX(MvObj,12)</f>
      </c>
      <c r="E370" s="43">
        <f>IF($S$365=0,0,IF(OR(DATE($C370,1,15)&lt;$S$365,AND($T$365&gt;0,DATE($C370,1,15)&gt;$T$365)),0,IF(DATE($C370,1,15)&gt;=$X$365,$AA$365*(1+($U$365)/100)^MAX(0,$C370-$AD$365),IF(DATE($C370,1,15)&gt;=$W$365,$Z$365*(1+($U$365)/100)^MAX(0,$C370-$AC$365),IF(DATE($C370,1,15)&gt;=$V$365,$Y$365*(1+($U$365)/100)^MAX(0,$C370-$AB$365),0)))))</f>
      </c>
      <c r="F370" s="43">
        <f>IF($S$365=0,0,IF(OR(DATE($C370,2,15)&lt;$S$365,AND($T$365&gt;0,DATE($C370,2,15)&gt;$T$365)),0,IF(DATE($C370,2,15)&gt;=$X$365,$AA$365*(1+($U$365)/100)^MAX(0,$C370-$AD$365),IF(DATE($C370,2,15)&gt;=$W$365,$Z$365*(1+($U$365)/100)^MAX(0,$C370-$AC$365),IF(DATE($C370,2,15)&gt;=$V$365,$Y$365*(1+($U$365)/100)^MAX(0,$C370-$AB$365),0)))))</f>
      </c>
      <c r="G370" s="43">
        <f>IF($S$365=0,0,IF(OR(DATE($C370,3,15)&lt;$S$365,AND($T$365&gt;0,DATE($C370,3,15)&gt;$T$365)),0,IF(DATE($C370,3,15)&gt;=$X$365,$AA$365*(1+($U$365)/100)^MAX(0,$C370-$AD$365),IF(DATE($C370,3,15)&gt;=$W$365,$Z$365*(1+($U$365)/100)^MAX(0,$C370-$AC$365),IF(DATE($C370,3,15)&gt;=$V$365,$Y$365*(1+($U$365)/100)^MAX(0,$C370-$AB$365),0)))))</f>
      </c>
      <c r="H370" s="43">
        <f>IF($S$365=0,0,IF(OR(DATE($C370,4,15)&lt;$S$365,AND($T$365&gt;0,DATE($C370,4,15)&gt;$T$365)),0,IF(DATE($C370,4,15)&gt;=$X$365,$AA$365*(1+($U$365)/100)^MAX(0,$C370-$AD$365),IF(DATE($C370,4,15)&gt;=$W$365,$Z$365*(1+($U$365)/100)^MAX(0,$C370-$AC$365),IF(DATE($C370,4,15)&gt;=$V$365,$Y$365*(1+($U$365)/100)^MAX(0,$C370-$AB$365),0)))))</f>
      </c>
      <c r="I370" s="43">
        <f>IF($S$365=0,0,IF(OR(DATE($C370,5,15)&lt;$S$365,AND($T$365&gt;0,DATE($C370,5,15)&gt;$T$365)),0,IF(DATE($C370,5,15)&gt;=$X$365,$AA$365*(1+($U$365)/100)^MAX(0,$C370-$AD$365),IF(DATE($C370,5,15)&gt;=$W$365,$Z$365*(1+($U$365)/100)^MAX(0,$C370-$AC$365),IF(DATE($C370,5,15)&gt;=$V$365,$Y$365*(1+($U$365)/100)^MAX(0,$C370-$AB$365),0)))))</f>
      </c>
      <c r="J370" s="43">
        <f>IF($S$365=0,0,IF(OR(DATE($C370,6,15)&lt;$S$365,AND($T$365&gt;0,DATE($C370,6,15)&gt;$T$365)),0,IF(DATE($C370,6,15)&gt;=$X$365,$AA$365*(1+($U$365)/100)^MAX(0,$C370-$AD$365),IF(DATE($C370,6,15)&gt;=$W$365,$Z$365*(1+($U$365)/100)^MAX(0,$C370-$AC$365),IF(DATE($C370,6,15)&gt;=$V$365,$Y$365*(1+($U$365)/100)^MAX(0,$C370-$AB$365),0)))))</f>
      </c>
      <c r="K370" s="43">
        <f>IF($S$365=0,0,IF(OR(DATE($C370,7,15)&lt;$S$365,AND($T$365&gt;0,DATE($C370,7,15)&gt;$T$365)),0,IF(DATE($C370,7,15)&gt;=$X$365,$AA$365*(1+($U$365)/100)^MAX(0,$C370-$AD$365),IF(DATE($C370,7,15)&gt;=$W$365,$Z$365*(1+($U$365)/100)^MAX(0,$C370-$AC$365),IF(DATE($C370,7,15)&gt;=$V$365,$Y$365*(1+($U$365)/100)^MAX(0,$C370-$AB$365),0)))))</f>
      </c>
      <c r="L370" s="43">
        <f>IF($S$365=0,0,IF(OR(DATE($C370,8,15)&lt;$S$365,AND($T$365&gt;0,DATE($C370,8,15)&gt;$T$365)),0,IF(DATE($C370,8,15)&gt;=$X$365,$AA$365*(1+($U$365)/100)^MAX(0,$C370-$AD$365),IF(DATE($C370,8,15)&gt;=$W$365,$Z$365*(1+($U$365)/100)^MAX(0,$C370-$AC$365),IF(DATE($C370,8,15)&gt;=$V$365,$Y$365*(1+($U$365)/100)^MAX(0,$C370-$AB$365),0)))))</f>
      </c>
      <c r="M370" s="43">
        <f>IF($S$365=0,0,IF(OR(DATE($C370,9,15)&lt;$S$365,AND($T$365&gt;0,DATE($C370,9,15)&gt;$T$365)),0,IF(DATE($C370,9,15)&gt;=$X$365,$AA$365*(1+($U$365)/100)^MAX(0,$C370-$AD$365),IF(DATE($C370,9,15)&gt;=$W$365,$Z$365*(1+($U$365)/100)^MAX(0,$C370-$AC$365),IF(DATE($C370,9,15)&gt;=$V$365,$Y$365*(1+($U$365)/100)^MAX(0,$C370-$AB$365),0)))))</f>
      </c>
      <c r="N370" s="43">
        <f>IF($S$365=0,0,IF(OR(DATE($C370,10,15)&lt;$S$365,AND($T$365&gt;0,DATE($C370,10,15)&gt;$T$365)),0,IF(DATE($C370,10,15)&gt;=$X$365,$AA$365*(1+($U$365)/100)^MAX(0,$C370-$AD$365),IF(DATE($C370,10,15)&gt;=$W$365,$Z$365*(1+($U$365)/100)^MAX(0,$C370-$AC$365),IF(DATE($C370,10,15)&gt;=$V$365,$Y$365*(1+($U$365)/100)^MAX(0,$C370-$AB$365),0)))))</f>
      </c>
      <c r="O370" s="43">
        <f>IF($S$365=0,0,IF(OR(DATE($C370,11,15)&lt;$S$365,AND($T$365&gt;0,DATE($C370,11,15)&gt;$T$365)),0,IF(DATE($C370,11,15)&gt;=$X$365,$AA$365*(1+($U$365)/100)^MAX(0,$C370-$AD$365),IF(DATE($C370,11,15)&gt;=$W$365,$Z$365*(1+($U$365)/100)^MAX(0,$C370-$AC$365),IF(DATE($C370,11,15)&gt;=$V$365,$Y$365*(1+($U$365)/100)^MAX(0,$C370-$AB$365),0)))))</f>
      </c>
      <c r="P370" s="43">
        <f>IF($S$365=0,0,IF(OR(DATE($C370,12,15)&lt;$S$365,AND($T$365&gt;0,DATE($C370,12,15)&gt;$T$365)),0,IF(DATE($C370,12,15)&gt;=$X$365,$AA$365*(1+($U$365)/100)^MAX(0,$C370-$AD$365),IF(DATE($C370,12,15)&gt;=$W$365,$Z$365*(1+($U$365)/100)^MAX(0,$C370-$AC$365),IF(DATE($C370,12,15)&gt;=$V$365,$Y$365*(1+($U$365)/100)^MAX(0,$C370-$AB$365),0)))))</f>
      </c>
      <c r="Q370" s="43">
        <f>SUM($E370:$P370)</f>
      </c>
    </row>
    <row r="371">
      <c r="A371"/>
      <c r="B371">
        <v>12</v>
      </c>
      <c r="C371" s="43">
        <f>Jahr+6</f>
      </c>
      <c r="D371" s="43">
        <f>INDEX(MvObj,12)</f>
      </c>
      <c r="E371" s="43">
        <f>IF($S$365=0,0,IF(OR(DATE($C371,1,15)&lt;$S$365,AND($T$365&gt;0,DATE($C371,1,15)&gt;$T$365)),0,IF(DATE($C371,1,15)&gt;=$X$365,$AA$365*(1+($U$365)/100)^MAX(0,$C371-$AD$365),IF(DATE($C371,1,15)&gt;=$W$365,$Z$365*(1+($U$365)/100)^MAX(0,$C371-$AC$365),IF(DATE($C371,1,15)&gt;=$V$365,$Y$365*(1+($U$365)/100)^MAX(0,$C371-$AB$365),0)))))</f>
      </c>
      <c r="F371" s="43">
        <f>IF($S$365=0,0,IF(OR(DATE($C371,2,15)&lt;$S$365,AND($T$365&gt;0,DATE($C371,2,15)&gt;$T$365)),0,IF(DATE($C371,2,15)&gt;=$X$365,$AA$365*(1+($U$365)/100)^MAX(0,$C371-$AD$365),IF(DATE($C371,2,15)&gt;=$W$365,$Z$365*(1+($U$365)/100)^MAX(0,$C371-$AC$365),IF(DATE($C371,2,15)&gt;=$V$365,$Y$365*(1+($U$365)/100)^MAX(0,$C371-$AB$365),0)))))</f>
      </c>
      <c r="G371" s="43">
        <f>IF($S$365=0,0,IF(OR(DATE($C371,3,15)&lt;$S$365,AND($T$365&gt;0,DATE($C371,3,15)&gt;$T$365)),0,IF(DATE($C371,3,15)&gt;=$X$365,$AA$365*(1+($U$365)/100)^MAX(0,$C371-$AD$365),IF(DATE($C371,3,15)&gt;=$W$365,$Z$365*(1+($U$365)/100)^MAX(0,$C371-$AC$365),IF(DATE($C371,3,15)&gt;=$V$365,$Y$365*(1+($U$365)/100)^MAX(0,$C371-$AB$365),0)))))</f>
      </c>
      <c r="H371" s="43">
        <f>IF($S$365=0,0,IF(OR(DATE($C371,4,15)&lt;$S$365,AND($T$365&gt;0,DATE($C371,4,15)&gt;$T$365)),0,IF(DATE($C371,4,15)&gt;=$X$365,$AA$365*(1+($U$365)/100)^MAX(0,$C371-$AD$365),IF(DATE($C371,4,15)&gt;=$W$365,$Z$365*(1+($U$365)/100)^MAX(0,$C371-$AC$365),IF(DATE($C371,4,15)&gt;=$V$365,$Y$365*(1+($U$365)/100)^MAX(0,$C371-$AB$365),0)))))</f>
      </c>
      <c r="I371" s="43">
        <f>IF($S$365=0,0,IF(OR(DATE($C371,5,15)&lt;$S$365,AND($T$365&gt;0,DATE($C371,5,15)&gt;$T$365)),0,IF(DATE($C371,5,15)&gt;=$X$365,$AA$365*(1+($U$365)/100)^MAX(0,$C371-$AD$365),IF(DATE($C371,5,15)&gt;=$W$365,$Z$365*(1+($U$365)/100)^MAX(0,$C371-$AC$365),IF(DATE($C371,5,15)&gt;=$V$365,$Y$365*(1+($U$365)/100)^MAX(0,$C371-$AB$365),0)))))</f>
      </c>
      <c r="J371" s="43">
        <f>IF($S$365=0,0,IF(OR(DATE($C371,6,15)&lt;$S$365,AND($T$365&gt;0,DATE($C371,6,15)&gt;$T$365)),0,IF(DATE($C371,6,15)&gt;=$X$365,$AA$365*(1+($U$365)/100)^MAX(0,$C371-$AD$365),IF(DATE($C371,6,15)&gt;=$W$365,$Z$365*(1+($U$365)/100)^MAX(0,$C371-$AC$365),IF(DATE($C371,6,15)&gt;=$V$365,$Y$365*(1+($U$365)/100)^MAX(0,$C371-$AB$365),0)))))</f>
      </c>
      <c r="K371" s="43">
        <f>IF($S$365=0,0,IF(OR(DATE($C371,7,15)&lt;$S$365,AND($T$365&gt;0,DATE($C371,7,15)&gt;$T$365)),0,IF(DATE($C371,7,15)&gt;=$X$365,$AA$365*(1+($U$365)/100)^MAX(0,$C371-$AD$365),IF(DATE($C371,7,15)&gt;=$W$365,$Z$365*(1+($U$365)/100)^MAX(0,$C371-$AC$365),IF(DATE($C371,7,15)&gt;=$V$365,$Y$365*(1+($U$365)/100)^MAX(0,$C371-$AB$365),0)))))</f>
      </c>
      <c r="L371" s="43">
        <f>IF($S$365=0,0,IF(OR(DATE($C371,8,15)&lt;$S$365,AND($T$365&gt;0,DATE($C371,8,15)&gt;$T$365)),0,IF(DATE($C371,8,15)&gt;=$X$365,$AA$365*(1+($U$365)/100)^MAX(0,$C371-$AD$365),IF(DATE($C371,8,15)&gt;=$W$365,$Z$365*(1+($U$365)/100)^MAX(0,$C371-$AC$365),IF(DATE($C371,8,15)&gt;=$V$365,$Y$365*(1+($U$365)/100)^MAX(0,$C371-$AB$365),0)))))</f>
      </c>
      <c r="M371" s="43">
        <f>IF($S$365=0,0,IF(OR(DATE($C371,9,15)&lt;$S$365,AND($T$365&gt;0,DATE($C371,9,15)&gt;$T$365)),0,IF(DATE($C371,9,15)&gt;=$X$365,$AA$365*(1+($U$365)/100)^MAX(0,$C371-$AD$365),IF(DATE($C371,9,15)&gt;=$W$365,$Z$365*(1+($U$365)/100)^MAX(0,$C371-$AC$365),IF(DATE($C371,9,15)&gt;=$V$365,$Y$365*(1+($U$365)/100)^MAX(0,$C371-$AB$365),0)))))</f>
      </c>
      <c r="N371" s="43">
        <f>IF($S$365=0,0,IF(OR(DATE($C371,10,15)&lt;$S$365,AND($T$365&gt;0,DATE($C371,10,15)&gt;$T$365)),0,IF(DATE($C371,10,15)&gt;=$X$365,$AA$365*(1+($U$365)/100)^MAX(0,$C371-$AD$365),IF(DATE($C371,10,15)&gt;=$W$365,$Z$365*(1+($U$365)/100)^MAX(0,$C371-$AC$365),IF(DATE($C371,10,15)&gt;=$V$365,$Y$365*(1+($U$365)/100)^MAX(0,$C371-$AB$365),0)))))</f>
      </c>
      <c r="O371" s="43">
        <f>IF($S$365=0,0,IF(OR(DATE($C371,11,15)&lt;$S$365,AND($T$365&gt;0,DATE($C371,11,15)&gt;$T$365)),0,IF(DATE($C371,11,15)&gt;=$X$365,$AA$365*(1+($U$365)/100)^MAX(0,$C371-$AD$365),IF(DATE($C371,11,15)&gt;=$W$365,$Z$365*(1+($U$365)/100)^MAX(0,$C371-$AC$365),IF(DATE($C371,11,15)&gt;=$V$365,$Y$365*(1+($U$365)/100)^MAX(0,$C371-$AB$365),0)))))</f>
      </c>
      <c r="P371" s="43">
        <f>IF($S$365=0,0,IF(OR(DATE($C371,12,15)&lt;$S$365,AND($T$365&gt;0,DATE($C371,12,15)&gt;$T$365)),0,IF(DATE($C371,12,15)&gt;=$X$365,$AA$365*(1+($U$365)/100)^MAX(0,$C371-$AD$365),IF(DATE($C371,12,15)&gt;=$W$365,$Z$365*(1+($U$365)/100)^MAX(0,$C371-$AC$365),IF(DATE($C371,12,15)&gt;=$V$365,$Y$365*(1+($U$365)/100)^MAX(0,$C371-$AB$365),0)))))</f>
      </c>
      <c r="Q371" s="43">
        <f>SUM($E371:$P371)</f>
      </c>
    </row>
    <row r="372">
      <c r="A372"/>
      <c r="B372">
        <v>12</v>
      </c>
      <c r="C372" s="43">
        <f>Jahr+7</f>
      </c>
      <c r="D372" s="43">
        <f>INDEX(MvObj,12)</f>
      </c>
      <c r="E372" s="43">
        <f>IF($S$365=0,0,IF(OR(DATE($C372,1,15)&lt;$S$365,AND($T$365&gt;0,DATE($C372,1,15)&gt;$T$365)),0,IF(DATE($C372,1,15)&gt;=$X$365,$AA$365*(1+($U$365)/100)^MAX(0,$C372-$AD$365),IF(DATE($C372,1,15)&gt;=$W$365,$Z$365*(1+($U$365)/100)^MAX(0,$C372-$AC$365),IF(DATE($C372,1,15)&gt;=$V$365,$Y$365*(1+($U$365)/100)^MAX(0,$C372-$AB$365),0)))))</f>
      </c>
      <c r="F372" s="43">
        <f>IF($S$365=0,0,IF(OR(DATE($C372,2,15)&lt;$S$365,AND($T$365&gt;0,DATE($C372,2,15)&gt;$T$365)),0,IF(DATE($C372,2,15)&gt;=$X$365,$AA$365*(1+($U$365)/100)^MAX(0,$C372-$AD$365),IF(DATE($C372,2,15)&gt;=$W$365,$Z$365*(1+($U$365)/100)^MAX(0,$C372-$AC$365),IF(DATE($C372,2,15)&gt;=$V$365,$Y$365*(1+($U$365)/100)^MAX(0,$C372-$AB$365),0)))))</f>
      </c>
      <c r="G372" s="43">
        <f>IF($S$365=0,0,IF(OR(DATE($C372,3,15)&lt;$S$365,AND($T$365&gt;0,DATE($C372,3,15)&gt;$T$365)),0,IF(DATE($C372,3,15)&gt;=$X$365,$AA$365*(1+($U$365)/100)^MAX(0,$C372-$AD$365),IF(DATE($C372,3,15)&gt;=$W$365,$Z$365*(1+($U$365)/100)^MAX(0,$C372-$AC$365),IF(DATE($C372,3,15)&gt;=$V$365,$Y$365*(1+($U$365)/100)^MAX(0,$C372-$AB$365),0)))))</f>
      </c>
      <c r="H372" s="43">
        <f>IF($S$365=0,0,IF(OR(DATE($C372,4,15)&lt;$S$365,AND($T$365&gt;0,DATE($C372,4,15)&gt;$T$365)),0,IF(DATE($C372,4,15)&gt;=$X$365,$AA$365*(1+($U$365)/100)^MAX(0,$C372-$AD$365),IF(DATE($C372,4,15)&gt;=$W$365,$Z$365*(1+($U$365)/100)^MAX(0,$C372-$AC$365),IF(DATE($C372,4,15)&gt;=$V$365,$Y$365*(1+($U$365)/100)^MAX(0,$C372-$AB$365),0)))))</f>
      </c>
      <c r="I372" s="43">
        <f>IF($S$365=0,0,IF(OR(DATE($C372,5,15)&lt;$S$365,AND($T$365&gt;0,DATE($C372,5,15)&gt;$T$365)),0,IF(DATE($C372,5,15)&gt;=$X$365,$AA$365*(1+($U$365)/100)^MAX(0,$C372-$AD$365),IF(DATE($C372,5,15)&gt;=$W$365,$Z$365*(1+($U$365)/100)^MAX(0,$C372-$AC$365),IF(DATE($C372,5,15)&gt;=$V$365,$Y$365*(1+($U$365)/100)^MAX(0,$C372-$AB$365),0)))))</f>
      </c>
      <c r="J372" s="43">
        <f>IF($S$365=0,0,IF(OR(DATE($C372,6,15)&lt;$S$365,AND($T$365&gt;0,DATE($C372,6,15)&gt;$T$365)),0,IF(DATE($C372,6,15)&gt;=$X$365,$AA$365*(1+($U$365)/100)^MAX(0,$C372-$AD$365),IF(DATE($C372,6,15)&gt;=$W$365,$Z$365*(1+($U$365)/100)^MAX(0,$C372-$AC$365),IF(DATE($C372,6,15)&gt;=$V$365,$Y$365*(1+($U$365)/100)^MAX(0,$C372-$AB$365),0)))))</f>
      </c>
      <c r="K372" s="43">
        <f>IF($S$365=0,0,IF(OR(DATE($C372,7,15)&lt;$S$365,AND($T$365&gt;0,DATE($C372,7,15)&gt;$T$365)),0,IF(DATE($C372,7,15)&gt;=$X$365,$AA$365*(1+($U$365)/100)^MAX(0,$C372-$AD$365),IF(DATE($C372,7,15)&gt;=$W$365,$Z$365*(1+($U$365)/100)^MAX(0,$C372-$AC$365),IF(DATE($C372,7,15)&gt;=$V$365,$Y$365*(1+($U$365)/100)^MAX(0,$C372-$AB$365),0)))))</f>
      </c>
      <c r="L372" s="43">
        <f>IF($S$365=0,0,IF(OR(DATE($C372,8,15)&lt;$S$365,AND($T$365&gt;0,DATE($C372,8,15)&gt;$T$365)),0,IF(DATE($C372,8,15)&gt;=$X$365,$AA$365*(1+($U$365)/100)^MAX(0,$C372-$AD$365),IF(DATE($C372,8,15)&gt;=$W$365,$Z$365*(1+($U$365)/100)^MAX(0,$C372-$AC$365),IF(DATE($C372,8,15)&gt;=$V$365,$Y$365*(1+($U$365)/100)^MAX(0,$C372-$AB$365),0)))))</f>
      </c>
      <c r="M372" s="43">
        <f>IF($S$365=0,0,IF(OR(DATE($C372,9,15)&lt;$S$365,AND($T$365&gt;0,DATE($C372,9,15)&gt;$T$365)),0,IF(DATE($C372,9,15)&gt;=$X$365,$AA$365*(1+($U$365)/100)^MAX(0,$C372-$AD$365),IF(DATE($C372,9,15)&gt;=$W$365,$Z$365*(1+($U$365)/100)^MAX(0,$C372-$AC$365),IF(DATE($C372,9,15)&gt;=$V$365,$Y$365*(1+($U$365)/100)^MAX(0,$C372-$AB$365),0)))))</f>
      </c>
      <c r="N372" s="43">
        <f>IF($S$365=0,0,IF(OR(DATE($C372,10,15)&lt;$S$365,AND($T$365&gt;0,DATE($C372,10,15)&gt;$T$365)),0,IF(DATE($C372,10,15)&gt;=$X$365,$AA$365*(1+($U$365)/100)^MAX(0,$C372-$AD$365),IF(DATE($C372,10,15)&gt;=$W$365,$Z$365*(1+($U$365)/100)^MAX(0,$C372-$AC$365),IF(DATE($C372,10,15)&gt;=$V$365,$Y$365*(1+($U$365)/100)^MAX(0,$C372-$AB$365),0)))))</f>
      </c>
      <c r="O372" s="43">
        <f>IF($S$365=0,0,IF(OR(DATE($C372,11,15)&lt;$S$365,AND($T$365&gt;0,DATE($C372,11,15)&gt;$T$365)),0,IF(DATE($C372,11,15)&gt;=$X$365,$AA$365*(1+($U$365)/100)^MAX(0,$C372-$AD$365),IF(DATE($C372,11,15)&gt;=$W$365,$Z$365*(1+($U$365)/100)^MAX(0,$C372-$AC$365),IF(DATE($C372,11,15)&gt;=$V$365,$Y$365*(1+($U$365)/100)^MAX(0,$C372-$AB$365),0)))))</f>
      </c>
      <c r="P372" s="43">
        <f>IF($S$365=0,0,IF(OR(DATE($C372,12,15)&lt;$S$365,AND($T$365&gt;0,DATE($C372,12,15)&gt;$T$365)),0,IF(DATE($C372,12,15)&gt;=$X$365,$AA$365*(1+($U$365)/100)^MAX(0,$C372-$AD$365),IF(DATE($C372,12,15)&gt;=$W$365,$Z$365*(1+($U$365)/100)^MAX(0,$C372-$AC$365),IF(DATE($C372,12,15)&gt;=$V$365,$Y$365*(1+($U$365)/100)^MAX(0,$C372-$AB$365),0)))))</f>
      </c>
      <c r="Q372" s="43">
        <f>SUM($E372:$P372)</f>
      </c>
    </row>
    <row r="373">
      <c r="A373"/>
      <c r="B373">
        <v>12</v>
      </c>
      <c r="C373" s="43">
        <f>Jahr+8</f>
      </c>
      <c r="D373" s="43">
        <f>INDEX(MvObj,12)</f>
      </c>
      <c r="E373" s="43">
        <f>IF($S$365=0,0,IF(OR(DATE($C373,1,15)&lt;$S$365,AND($T$365&gt;0,DATE($C373,1,15)&gt;$T$365)),0,IF(DATE($C373,1,15)&gt;=$X$365,$AA$365*(1+($U$365)/100)^MAX(0,$C373-$AD$365),IF(DATE($C373,1,15)&gt;=$W$365,$Z$365*(1+($U$365)/100)^MAX(0,$C373-$AC$365),IF(DATE($C373,1,15)&gt;=$V$365,$Y$365*(1+($U$365)/100)^MAX(0,$C373-$AB$365),0)))))</f>
      </c>
      <c r="F373" s="43">
        <f>IF($S$365=0,0,IF(OR(DATE($C373,2,15)&lt;$S$365,AND($T$365&gt;0,DATE($C373,2,15)&gt;$T$365)),0,IF(DATE($C373,2,15)&gt;=$X$365,$AA$365*(1+($U$365)/100)^MAX(0,$C373-$AD$365),IF(DATE($C373,2,15)&gt;=$W$365,$Z$365*(1+($U$365)/100)^MAX(0,$C373-$AC$365),IF(DATE($C373,2,15)&gt;=$V$365,$Y$365*(1+($U$365)/100)^MAX(0,$C373-$AB$365),0)))))</f>
      </c>
      <c r="G373" s="43">
        <f>IF($S$365=0,0,IF(OR(DATE($C373,3,15)&lt;$S$365,AND($T$365&gt;0,DATE($C373,3,15)&gt;$T$365)),0,IF(DATE($C373,3,15)&gt;=$X$365,$AA$365*(1+($U$365)/100)^MAX(0,$C373-$AD$365),IF(DATE($C373,3,15)&gt;=$W$365,$Z$365*(1+($U$365)/100)^MAX(0,$C373-$AC$365),IF(DATE($C373,3,15)&gt;=$V$365,$Y$365*(1+($U$365)/100)^MAX(0,$C373-$AB$365),0)))))</f>
      </c>
      <c r="H373" s="43">
        <f>IF($S$365=0,0,IF(OR(DATE($C373,4,15)&lt;$S$365,AND($T$365&gt;0,DATE($C373,4,15)&gt;$T$365)),0,IF(DATE($C373,4,15)&gt;=$X$365,$AA$365*(1+($U$365)/100)^MAX(0,$C373-$AD$365),IF(DATE($C373,4,15)&gt;=$W$365,$Z$365*(1+($U$365)/100)^MAX(0,$C373-$AC$365),IF(DATE($C373,4,15)&gt;=$V$365,$Y$365*(1+($U$365)/100)^MAX(0,$C373-$AB$365),0)))))</f>
      </c>
      <c r="I373" s="43">
        <f>IF($S$365=0,0,IF(OR(DATE($C373,5,15)&lt;$S$365,AND($T$365&gt;0,DATE($C373,5,15)&gt;$T$365)),0,IF(DATE($C373,5,15)&gt;=$X$365,$AA$365*(1+($U$365)/100)^MAX(0,$C373-$AD$365),IF(DATE($C373,5,15)&gt;=$W$365,$Z$365*(1+($U$365)/100)^MAX(0,$C373-$AC$365),IF(DATE($C373,5,15)&gt;=$V$365,$Y$365*(1+($U$365)/100)^MAX(0,$C373-$AB$365),0)))))</f>
      </c>
      <c r="J373" s="43">
        <f>IF($S$365=0,0,IF(OR(DATE($C373,6,15)&lt;$S$365,AND($T$365&gt;0,DATE($C373,6,15)&gt;$T$365)),0,IF(DATE($C373,6,15)&gt;=$X$365,$AA$365*(1+($U$365)/100)^MAX(0,$C373-$AD$365),IF(DATE($C373,6,15)&gt;=$W$365,$Z$365*(1+($U$365)/100)^MAX(0,$C373-$AC$365),IF(DATE($C373,6,15)&gt;=$V$365,$Y$365*(1+($U$365)/100)^MAX(0,$C373-$AB$365),0)))))</f>
      </c>
      <c r="K373" s="43">
        <f>IF($S$365=0,0,IF(OR(DATE($C373,7,15)&lt;$S$365,AND($T$365&gt;0,DATE($C373,7,15)&gt;$T$365)),0,IF(DATE($C373,7,15)&gt;=$X$365,$AA$365*(1+($U$365)/100)^MAX(0,$C373-$AD$365),IF(DATE($C373,7,15)&gt;=$W$365,$Z$365*(1+($U$365)/100)^MAX(0,$C373-$AC$365),IF(DATE($C373,7,15)&gt;=$V$365,$Y$365*(1+($U$365)/100)^MAX(0,$C373-$AB$365),0)))))</f>
      </c>
      <c r="L373" s="43">
        <f>IF($S$365=0,0,IF(OR(DATE($C373,8,15)&lt;$S$365,AND($T$365&gt;0,DATE($C373,8,15)&gt;$T$365)),0,IF(DATE($C373,8,15)&gt;=$X$365,$AA$365*(1+($U$365)/100)^MAX(0,$C373-$AD$365),IF(DATE($C373,8,15)&gt;=$W$365,$Z$365*(1+($U$365)/100)^MAX(0,$C373-$AC$365),IF(DATE($C373,8,15)&gt;=$V$365,$Y$365*(1+($U$365)/100)^MAX(0,$C373-$AB$365),0)))))</f>
      </c>
      <c r="M373" s="43">
        <f>IF($S$365=0,0,IF(OR(DATE($C373,9,15)&lt;$S$365,AND($T$365&gt;0,DATE($C373,9,15)&gt;$T$365)),0,IF(DATE($C373,9,15)&gt;=$X$365,$AA$365*(1+($U$365)/100)^MAX(0,$C373-$AD$365),IF(DATE($C373,9,15)&gt;=$W$365,$Z$365*(1+($U$365)/100)^MAX(0,$C373-$AC$365),IF(DATE($C373,9,15)&gt;=$V$365,$Y$365*(1+($U$365)/100)^MAX(0,$C373-$AB$365),0)))))</f>
      </c>
      <c r="N373" s="43">
        <f>IF($S$365=0,0,IF(OR(DATE($C373,10,15)&lt;$S$365,AND($T$365&gt;0,DATE($C373,10,15)&gt;$T$365)),0,IF(DATE($C373,10,15)&gt;=$X$365,$AA$365*(1+($U$365)/100)^MAX(0,$C373-$AD$365),IF(DATE($C373,10,15)&gt;=$W$365,$Z$365*(1+($U$365)/100)^MAX(0,$C373-$AC$365),IF(DATE($C373,10,15)&gt;=$V$365,$Y$365*(1+($U$365)/100)^MAX(0,$C373-$AB$365),0)))))</f>
      </c>
      <c r="O373" s="43">
        <f>IF($S$365=0,0,IF(OR(DATE($C373,11,15)&lt;$S$365,AND($T$365&gt;0,DATE($C373,11,15)&gt;$T$365)),0,IF(DATE($C373,11,15)&gt;=$X$365,$AA$365*(1+($U$365)/100)^MAX(0,$C373-$AD$365),IF(DATE($C373,11,15)&gt;=$W$365,$Z$365*(1+($U$365)/100)^MAX(0,$C373-$AC$365),IF(DATE($C373,11,15)&gt;=$V$365,$Y$365*(1+($U$365)/100)^MAX(0,$C373-$AB$365),0)))))</f>
      </c>
      <c r="P373" s="43">
        <f>IF($S$365=0,0,IF(OR(DATE($C373,12,15)&lt;$S$365,AND($T$365&gt;0,DATE($C373,12,15)&gt;$T$365)),0,IF(DATE($C373,12,15)&gt;=$X$365,$AA$365*(1+($U$365)/100)^MAX(0,$C373-$AD$365),IF(DATE($C373,12,15)&gt;=$W$365,$Z$365*(1+($U$365)/100)^MAX(0,$C373-$AC$365),IF(DATE($C373,12,15)&gt;=$V$365,$Y$365*(1+($U$365)/100)^MAX(0,$C373-$AB$365),0)))))</f>
      </c>
      <c r="Q373" s="43">
        <f>SUM($E373:$P373)</f>
      </c>
    </row>
    <row r="374">
      <c r="A374"/>
      <c r="B374">
        <v>12</v>
      </c>
      <c r="C374" s="43">
        <f>Jahr+9</f>
      </c>
      <c r="D374" s="43">
        <f>INDEX(MvObj,12)</f>
      </c>
      <c r="E374" s="43">
        <f>IF($S$365=0,0,IF(OR(DATE($C374,1,15)&lt;$S$365,AND($T$365&gt;0,DATE($C374,1,15)&gt;$T$365)),0,IF(DATE($C374,1,15)&gt;=$X$365,$AA$365*(1+($U$365)/100)^MAX(0,$C374-$AD$365),IF(DATE($C374,1,15)&gt;=$W$365,$Z$365*(1+($U$365)/100)^MAX(0,$C374-$AC$365),IF(DATE($C374,1,15)&gt;=$V$365,$Y$365*(1+($U$365)/100)^MAX(0,$C374-$AB$365),0)))))</f>
      </c>
      <c r="F374" s="43">
        <f>IF($S$365=0,0,IF(OR(DATE($C374,2,15)&lt;$S$365,AND($T$365&gt;0,DATE($C374,2,15)&gt;$T$365)),0,IF(DATE($C374,2,15)&gt;=$X$365,$AA$365*(1+($U$365)/100)^MAX(0,$C374-$AD$365),IF(DATE($C374,2,15)&gt;=$W$365,$Z$365*(1+($U$365)/100)^MAX(0,$C374-$AC$365),IF(DATE($C374,2,15)&gt;=$V$365,$Y$365*(1+($U$365)/100)^MAX(0,$C374-$AB$365),0)))))</f>
      </c>
      <c r="G374" s="43">
        <f>IF($S$365=0,0,IF(OR(DATE($C374,3,15)&lt;$S$365,AND($T$365&gt;0,DATE($C374,3,15)&gt;$T$365)),0,IF(DATE($C374,3,15)&gt;=$X$365,$AA$365*(1+($U$365)/100)^MAX(0,$C374-$AD$365),IF(DATE($C374,3,15)&gt;=$W$365,$Z$365*(1+($U$365)/100)^MAX(0,$C374-$AC$365),IF(DATE($C374,3,15)&gt;=$V$365,$Y$365*(1+($U$365)/100)^MAX(0,$C374-$AB$365),0)))))</f>
      </c>
      <c r="H374" s="43">
        <f>IF($S$365=0,0,IF(OR(DATE($C374,4,15)&lt;$S$365,AND($T$365&gt;0,DATE($C374,4,15)&gt;$T$365)),0,IF(DATE($C374,4,15)&gt;=$X$365,$AA$365*(1+($U$365)/100)^MAX(0,$C374-$AD$365),IF(DATE($C374,4,15)&gt;=$W$365,$Z$365*(1+($U$365)/100)^MAX(0,$C374-$AC$365),IF(DATE($C374,4,15)&gt;=$V$365,$Y$365*(1+($U$365)/100)^MAX(0,$C374-$AB$365),0)))))</f>
      </c>
      <c r="I374" s="43">
        <f>IF($S$365=0,0,IF(OR(DATE($C374,5,15)&lt;$S$365,AND($T$365&gt;0,DATE($C374,5,15)&gt;$T$365)),0,IF(DATE($C374,5,15)&gt;=$X$365,$AA$365*(1+($U$365)/100)^MAX(0,$C374-$AD$365),IF(DATE($C374,5,15)&gt;=$W$365,$Z$365*(1+($U$365)/100)^MAX(0,$C374-$AC$365),IF(DATE($C374,5,15)&gt;=$V$365,$Y$365*(1+($U$365)/100)^MAX(0,$C374-$AB$365),0)))))</f>
      </c>
      <c r="J374" s="43">
        <f>IF($S$365=0,0,IF(OR(DATE($C374,6,15)&lt;$S$365,AND($T$365&gt;0,DATE($C374,6,15)&gt;$T$365)),0,IF(DATE($C374,6,15)&gt;=$X$365,$AA$365*(1+($U$365)/100)^MAX(0,$C374-$AD$365),IF(DATE($C374,6,15)&gt;=$W$365,$Z$365*(1+($U$365)/100)^MAX(0,$C374-$AC$365),IF(DATE($C374,6,15)&gt;=$V$365,$Y$365*(1+($U$365)/100)^MAX(0,$C374-$AB$365),0)))))</f>
      </c>
      <c r="K374" s="43">
        <f>IF($S$365=0,0,IF(OR(DATE($C374,7,15)&lt;$S$365,AND($T$365&gt;0,DATE($C374,7,15)&gt;$T$365)),0,IF(DATE($C374,7,15)&gt;=$X$365,$AA$365*(1+($U$365)/100)^MAX(0,$C374-$AD$365),IF(DATE($C374,7,15)&gt;=$W$365,$Z$365*(1+($U$365)/100)^MAX(0,$C374-$AC$365),IF(DATE($C374,7,15)&gt;=$V$365,$Y$365*(1+($U$365)/100)^MAX(0,$C374-$AB$365),0)))))</f>
      </c>
      <c r="L374" s="43">
        <f>IF($S$365=0,0,IF(OR(DATE($C374,8,15)&lt;$S$365,AND($T$365&gt;0,DATE($C374,8,15)&gt;$T$365)),0,IF(DATE($C374,8,15)&gt;=$X$365,$AA$365*(1+($U$365)/100)^MAX(0,$C374-$AD$365),IF(DATE($C374,8,15)&gt;=$W$365,$Z$365*(1+($U$365)/100)^MAX(0,$C374-$AC$365),IF(DATE($C374,8,15)&gt;=$V$365,$Y$365*(1+($U$365)/100)^MAX(0,$C374-$AB$365),0)))))</f>
      </c>
      <c r="M374" s="43">
        <f>IF($S$365=0,0,IF(OR(DATE($C374,9,15)&lt;$S$365,AND($T$365&gt;0,DATE($C374,9,15)&gt;$T$365)),0,IF(DATE($C374,9,15)&gt;=$X$365,$AA$365*(1+($U$365)/100)^MAX(0,$C374-$AD$365),IF(DATE($C374,9,15)&gt;=$W$365,$Z$365*(1+($U$365)/100)^MAX(0,$C374-$AC$365),IF(DATE($C374,9,15)&gt;=$V$365,$Y$365*(1+($U$365)/100)^MAX(0,$C374-$AB$365),0)))))</f>
      </c>
      <c r="N374" s="43">
        <f>IF($S$365=0,0,IF(OR(DATE($C374,10,15)&lt;$S$365,AND($T$365&gt;0,DATE($C374,10,15)&gt;$T$365)),0,IF(DATE($C374,10,15)&gt;=$X$365,$AA$365*(1+($U$365)/100)^MAX(0,$C374-$AD$365),IF(DATE($C374,10,15)&gt;=$W$365,$Z$365*(1+($U$365)/100)^MAX(0,$C374-$AC$365),IF(DATE($C374,10,15)&gt;=$V$365,$Y$365*(1+($U$365)/100)^MAX(0,$C374-$AB$365),0)))))</f>
      </c>
      <c r="O374" s="43">
        <f>IF($S$365=0,0,IF(OR(DATE($C374,11,15)&lt;$S$365,AND($T$365&gt;0,DATE($C374,11,15)&gt;$T$365)),0,IF(DATE($C374,11,15)&gt;=$X$365,$AA$365*(1+($U$365)/100)^MAX(0,$C374-$AD$365),IF(DATE($C374,11,15)&gt;=$W$365,$Z$365*(1+($U$365)/100)^MAX(0,$C374-$AC$365),IF(DATE($C374,11,15)&gt;=$V$365,$Y$365*(1+($U$365)/100)^MAX(0,$C374-$AB$365),0)))))</f>
      </c>
      <c r="P374" s="43">
        <f>IF($S$365=0,0,IF(OR(DATE($C374,12,15)&lt;$S$365,AND($T$365&gt;0,DATE($C374,12,15)&gt;$T$365)),0,IF(DATE($C374,12,15)&gt;=$X$365,$AA$365*(1+($U$365)/100)^MAX(0,$C374-$AD$365),IF(DATE($C374,12,15)&gt;=$W$365,$Z$365*(1+($U$365)/100)^MAX(0,$C374-$AC$365),IF(DATE($C374,12,15)&gt;=$V$365,$Y$365*(1+($U$365)/100)^MAX(0,$C374-$AB$365),0)))))</f>
      </c>
      <c r="Q374" s="43">
        <f>SUM($E374:$P374)</f>
      </c>
    </row>
    <row r="375">
      <c r="A375"/>
      <c r="B375">
        <v>12</v>
      </c>
      <c r="C375" s="43">
        <f>Jahr+10</f>
      </c>
      <c r="D375" s="43">
        <f>INDEX(MvObj,12)</f>
      </c>
      <c r="E375" s="43">
        <f>IF($S$365=0,0,IF(OR(DATE($C375,1,15)&lt;$S$365,AND($T$365&gt;0,DATE($C375,1,15)&gt;$T$365)),0,IF(DATE($C375,1,15)&gt;=$X$365,$AA$365*(1+($U$365)/100)^MAX(0,$C375-$AD$365),IF(DATE($C375,1,15)&gt;=$W$365,$Z$365*(1+($U$365)/100)^MAX(0,$C375-$AC$365),IF(DATE($C375,1,15)&gt;=$V$365,$Y$365*(1+($U$365)/100)^MAX(0,$C375-$AB$365),0)))))</f>
      </c>
      <c r="F375" s="43">
        <f>IF($S$365=0,0,IF(OR(DATE($C375,2,15)&lt;$S$365,AND($T$365&gt;0,DATE($C375,2,15)&gt;$T$365)),0,IF(DATE($C375,2,15)&gt;=$X$365,$AA$365*(1+($U$365)/100)^MAX(0,$C375-$AD$365),IF(DATE($C375,2,15)&gt;=$W$365,$Z$365*(1+($U$365)/100)^MAX(0,$C375-$AC$365),IF(DATE($C375,2,15)&gt;=$V$365,$Y$365*(1+($U$365)/100)^MAX(0,$C375-$AB$365),0)))))</f>
      </c>
      <c r="G375" s="43">
        <f>IF($S$365=0,0,IF(OR(DATE($C375,3,15)&lt;$S$365,AND($T$365&gt;0,DATE($C375,3,15)&gt;$T$365)),0,IF(DATE($C375,3,15)&gt;=$X$365,$AA$365*(1+($U$365)/100)^MAX(0,$C375-$AD$365),IF(DATE($C375,3,15)&gt;=$W$365,$Z$365*(1+($U$365)/100)^MAX(0,$C375-$AC$365),IF(DATE($C375,3,15)&gt;=$V$365,$Y$365*(1+($U$365)/100)^MAX(0,$C375-$AB$365),0)))))</f>
      </c>
      <c r="H375" s="43">
        <f>IF($S$365=0,0,IF(OR(DATE($C375,4,15)&lt;$S$365,AND($T$365&gt;0,DATE($C375,4,15)&gt;$T$365)),0,IF(DATE($C375,4,15)&gt;=$X$365,$AA$365*(1+($U$365)/100)^MAX(0,$C375-$AD$365),IF(DATE($C375,4,15)&gt;=$W$365,$Z$365*(1+($U$365)/100)^MAX(0,$C375-$AC$365),IF(DATE($C375,4,15)&gt;=$V$365,$Y$365*(1+($U$365)/100)^MAX(0,$C375-$AB$365),0)))))</f>
      </c>
      <c r="I375" s="43">
        <f>IF($S$365=0,0,IF(OR(DATE($C375,5,15)&lt;$S$365,AND($T$365&gt;0,DATE($C375,5,15)&gt;$T$365)),0,IF(DATE($C375,5,15)&gt;=$X$365,$AA$365*(1+($U$365)/100)^MAX(0,$C375-$AD$365),IF(DATE($C375,5,15)&gt;=$W$365,$Z$365*(1+($U$365)/100)^MAX(0,$C375-$AC$365),IF(DATE($C375,5,15)&gt;=$V$365,$Y$365*(1+($U$365)/100)^MAX(0,$C375-$AB$365),0)))))</f>
      </c>
      <c r="J375" s="43">
        <f>IF($S$365=0,0,IF(OR(DATE($C375,6,15)&lt;$S$365,AND($T$365&gt;0,DATE($C375,6,15)&gt;$T$365)),0,IF(DATE($C375,6,15)&gt;=$X$365,$AA$365*(1+($U$365)/100)^MAX(0,$C375-$AD$365),IF(DATE($C375,6,15)&gt;=$W$365,$Z$365*(1+($U$365)/100)^MAX(0,$C375-$AC$365),IF(DATE($C375,6,15)&gt;=$V$365,$Y$365*(1+($U$365)/100)^MAX(0,$C375-$AB$365),0)))))</f>
      </c>
      <c r="K375" s="43">
        <f>IF($S$365=0,0,IF(OR(DATE($C375,7,15)&lt;$S$365,AND($T$365&gt;0,DATE($C375,7,15)&gt;$T$365)),0,IF(DATE($C375,7,15)&gt;=$X$365,$AA$365*(1+($U$365)/100)^MAX(0,$C375-$AD$365),IF(DATE($C375,7,15)&gt;=$W$365,$Z$365*(1+($U$365)/100)^MAX(0,$C375-$AC$365),IF(DATE($C375,7,15)&gt;=$V$365,$Y$365*(1+($U$365)/100)^MAX(0,$C375-$AB$365),0)))))</f>
      </c>
      <c r="L375" s="43">
        <f>IF($S$365=0,0,IF(OR(DATE($C375,8,15)&lt;$S$365,AND($T$365&gt;0,DATE($C375,8,15)&gt;$T$365)),0,IF(DATE($C375,8,15)&gt;=$X$365,$AA$365*(1+($U$365)/100)^MAX(0,$C375-$AD$365),IF(DATE($C375,8,15)&gt;=$W$365,$Z$365*(1+($U$365)/100)^MAX(0,$C375-$AC$365),IF(DATE($C375,8,15)&gt;=$V$365,$Y$365*(1+($U$365)/100)^MAX(0,$C375-$AB$365),0)))))</f>
      </c>
      <c r="M375" s="43">
        <f>IF($S$365=0,0,IF(OR(DATE($C375,9,15)&lt;$S$365,AND($T$365&gt;0,DATE($C375,9,15)&gt;$T$365)),0,IF(DATE($C375,9,15)&gt;=$X$365,$AA$365*(1+($U$365)/100)^MAX(0,$C375-$AD$365),IF(DATE($C375,9,15)&gt;=$W$365,$Z$365*(1+($U$365)/100)^MAX(0,$C375-$AC$365),IF(DATE($C375,9,15)&gt;=$V$365,$Y$365*(1+($U$365)/100)^MAX(0,$C375-$AB$365),0)))))</f>
      </c>
      <c r="N375" s="43">
        <f>IF($S$365=0,0,IF(OR(DATE($C375,10,15)&lt;$S$365,AND($T$365&gt;0,DATE($C375,10,15)&gt;$T$365)),0,IF(DATE($C375,10,15)&gt;=$X$365,$AA$365*(1+($U$365)/100)^MAX(0,$C375-$AD$365),IF(DATE($C375,10,15)&gt;=$W$365,$Z$365*(1+($U$365)/100)^MAX(0,$C375-$AC$365),IF(DATE($C375,10,15)&gt;=$V$365,$Y$365*(1+($U$365)/100)^MAX(0,$C375-$AB$365),0)))))</f>
      </c>
      <c r="O375" s="43">
        <f>IF($S$365=0,0,IF(OR(DATE($C375,11,15)&lt;$S$365,AND($T$365&gt;0,DATE($C375,11,15)&gt;$T$365)),0,IF(DATE($C375,11,15)&gt;=$X$365,$AA$365*(1+($U$365)/100)^MAX(0,$C375-$AD$365),IF(DATE($C375,11,15)&gt;=$W$365,$Z$365*(1+($U$365)/100)^MAX(0,$C375-$AC$365),IF(DATE($C375,11,15)&gt;=$V$365,$Y$365*(1+($U$365)/100)^MAX(0,$C375-$AB$365),0)))))</f>
      </c>
      <c r="P375" s="43">
        <f>IF($S$365=0,0,IF(OR(DATE($C375,12,15)&lt;$S$365,AND($T$365&gt;0,DATE($C375,12,15)&gt;$T$365)),0,IF(DATE($C375,12,15)&gt;=$X$365,$AA$365*(1+($U$365)/100)^MAX(0,$C375-$AD$365),IF(DATE($C375,12,15)&gt;=$W$365,$Z$365*(1+($U$365)/100)^MAX(0,$C375-$AC$365),IF(DATE($C375,12,15)&gt;=$V$365,$Y$365*(1+($U$365)/100)^MAX(0,$C375-$AB$365),0)))))</f>
      </c>
      <c r="Q375" s="43">
        <f>SUM($E375:$P375)</f>
      </c>
    </row>
    <row r="376">
      <c r="A376"/>
      <c r="B376">
        <v>12</v>
      </c>
      <c r="C376" s="43">
        <f>Jahr+11</f>
      </c>
      <c r="D376" s="43">
        <f>INDEX(MvObj,12)</f>
      </c>
      <c r="E376" s="43">
        <f>IF($S$365=0,0,IF(OR(DATE($C376,1,15)&lt;$S$365,AND($T$365&gt;0,DATE($C376,1,15)&gt;$T$365)),0,IF(DATE($C376,1,15)&gt;=$X$365,$AA$365*(1+($U$365)/100)^MAX(0,$C376-$AD$365),IF(DATE($C376,1,15)&gt;=$W$365,$Z$365*(1+($U$365)/100)^MAX(0,$C376-$AC$365),IF(DATE($C376,1,15)&gt;=$V$365,$Y$365*(1+($U$365)/100)^MAX(0,$C376-$AB$365),0)))))</f>
      </c>
      <c r="F376" s="43">
        <f>IF($S$365=0,0,IF(OR(DATE($C376,2,15)&lt;$S$365,AND($T$365&gt;0,DATE($C376,2,15)&gt;$T$365)),0,IF(DATE($C376,2,15)&gt;=$X$365,$AA$365*(1+($U$365)/100)^MAX(0,$C376-$AD$365),IF(DATE($C376,2,15)&gt;=$W$365,$Z$365*(1+($U$365)/100)^MAX(0,$C376-$AC$365),IF(DATE($C376,2,15)&gt;=$V$365,$Y$365*(1+($U$365)/100)^MAX(0,$C376-$AB$365),0)))))</f>
      </c>
      <c r="G376" s="43">
        <f>IF($S$365=0,0,IF(OR(DATE($C376,3,15)&lt;$S$365,AND($T$365&gt;0,DATE($C376,3,15)&gt;$T$365)),0,IF(DATE($C376,3,15)&gt;=$X$365,$AA$365*(1+($U$365)/100)^MAX(0,$C376-$AD$365),IF(DATE($C376,3,15)&gt;=$W$365,$Z$365*(1+($U$365)/100)^MAX(0,$C376-$AC$365),IF(DATE($C376,3,15)&gt;=$V$365,$Y$365*(1+($U$365)/100)^MAX(0,$C376-$AB$365),0)))))</f>
      </c>
      <c r="H376" s="43">
        <f>IF($S$365=0,0,IF(OR(DATE($C376,4,15)&lt;$S$365,AND($T$365&gt;0,DATE($C376,4,15)&gt;$T$365)),0,IF(DATE($C376,4,15)&gt;=$X$365,$AA$365*(1+($U$365)/100)^MAX(0,$C376-$AD$365),IF(DATE($C376,4,15)&gt;=$W$365,$Z$365*(1+($U$365)/100)^MAX(0,$C376-$AC$365),IF(DATE($C376,4,15)&gt;=$V$365,$Y$365*(1+($U$365)/100)^MAX(0,$C376-$AB$365),0)))))</f>
      </c>
      <c r="I376" s="43">
        <f>IF($S$365=0,0,IF(OR(DATE($C376,5,15)&lt;$S$365,AND($T$365&gt;0,DATE($C376,5,15)&gt;$T$365)),0,IF(DATE($C376,5,15)&gt;=$X$365,$AA$365*(1+($U$365)/100)^MAX(0,$C376-$AD$365),IF(DATE($C376,5,15)&gt;=$W$365,$Z$365*(1+($U$365)/100)^MAX(0,$C376-$AC$365),IF(DATE($C376,5,15)&gt;=$V$365,$Y$365*(1+($U$365)/100)^MAX(0,$C376-$AB$365),0)))))</f>
      </c>
      <c r="J376" s="43">
        <f>IF($S$365=0,0,IF(OR(DATE($C376,6,15)&lt;$S$365,AND($T$365&gt;0,DATE($C376,6,15)&gt;$T$365)),0,IF(DATE($C376,6,15)&gt;=$X$365,$AA$365*(1+($U$365)/100)^MAX(0,$C376-$AD$365),IF(DATE($C376,6,15)&gt;=$W$365,$Z$365*(1+($U$365)/100)^MAX(0,$C376-$AC$365),IF(DATE($C376,6,15)&gt;=$V$365,$Y$365*(1+($U$365)/100)^MAX(0,$C376-$AB$365),0)))))</f>
      </c>
      <c r="K376" s="43">
        <f>IF($S$365=0,0,IF(OR(DATE($C376,7,15)&lt;$S$365,AND($T$365&gt;0,DATE($C376,7,15)&gt;$T$365)),0,IF(DATE($C376,7,15)&gt;=$X$365,$AA$365*(1+($U$365)/100)^MAX(0,$C376-$AD$365),IF(DATE($C376,7,15)&gt;=$W$365,$Z$365*(1+($U$365)/100)^MAX(0,$C376-$AC$365),IF(DATE($C376,7,15)&gt;=$V$365,$Y$365*(1+($U$365)/100)^MAX(0,$C376-$AB$365),0)))))</f>
      </c>
      <c r="L376" s="43">
        <f>IF($S$365=0,0,IF(OR(DATE($C376,8,15)&lt;$S$365,AND($T$365&gt;0,DATE($C376,8,15)&gt;$T$365)),0,IF(DATE($C376,8,15)&gt;=$X$365,$AA$365*(1+($U$365)/100)^MAX(0,$C376-$AD$365),IF(DATE($C376,8,15)&gt;=$W$365,$Z$365*(1+($U$365)/100)^MAX(0,$C376-$AC$365),IF(DATE($C376,8,15)&gt;=$V$365,$Y$365*(1+($U$365)/100)^MAX(0,$C376-$AB$365),0)))))</f>
      </c>
      <c r="M376" s="43">
        <f>IF($S$365=0,0,IF(OR(DATE($C376,9,15)&lt;$S$365,AND($T$365&gt;0,DATE($C376,9,15)&gt;$T$365)),0,IF(DATE($C376,9,15)&gt;=$X$365,$AA$365*(1+($U$365)/100)^MAX(0,$C376-$AD$365),IF(DATE($C376,9,15)&gt;=$W$365,$Z$365*(1+($U$365)/100)^MAX(0,$C376-$AC$365),IF(DATE($C376,9,15)&gt;=$V$365,$Y$365*(1+($U$365)/100)^MAX(0,$C376-$AB$365),0)))))</f>
      </c>
      <c r="N376" s="43">
        <f>IF($S$365=0,0,IF(OR(DATE($C376,10,15)&lt;$S$365,AND($T$365&gt;0,DATE($C376,10,15)&gt;$T$365)),0,IF(DATE($C376,10,15)&gt;=$X$365,$AA$365*(1+($U$365)/100)^MAX(0,$C376-$AD$365),IF(DATE($C376,10,15)&gt;=$W$365,$Z$365*(1+($U$365)/100)^MAX(0,$C376-$AC$365),IF(DATE($C376,10,15)&gt;=$V$365,$Y$365*(1+($U$365)/100)^MAX(0,$C376-$AB$365),0)))))</f>
      </c>
      <c r="O376" s="43">
        <f>IF($S$365=0,0,IF(OR(DATE($C376,11,15)&lt;$S$365,AND($T$365&gt;0,DATE($C376,11,15)&gt;$T$365)),0,IF(DATE($C376,11,15)&gt;=$X$365,$AA$365*(1+($U$365)/100)^MAX(0,$C376-$AD$365),IF(DATE($C376,11,15)&gt;=$W$365,$Z$365*(1+($U$365)/100)^MAX(0,$C376-$AC$365),IF(DATE($C376,11,15)&gt;=$V$365,$Y$365*(1+($U$365)/100)^MAX(0,$C376-$AB$365),0)))))</f>
      </c>
      <c r="P376" s="43">
        <f>IF($S$365=0,0,IF(OR(DATE($C376,12,15)&lt;$S$365,AND($T$365&gt;0,DATE($C376,12,15)&gt;$T$365)),0,IF(DATE($C376,12,15)&gt;=$X$365,$AA$365*(1+($U$365)/100)^MAX(0,$C376-$AD$365),IF(DATE($C376,12,15)&gt;=$W$365,$Z$365*(1+($U$365)/100)^MAX(0,$C376-$AC$365),IF(DATE($C376,12,15)&gt;=$V$365,$Y$365*(1+($U$365)/100)^MAX(0,$C376-$AB$365),0)))))</f>
      </c>
      <c r="Q376" s="43">
        <f>SUM($E376:$P376)</f>
      </c>
    </row>
    <row r="377">
      <c r="A377"/>
      <c r="B377">
        <v>12</v>
      </c>
      <c r="C377" s="43">
        <f>Jahr+12</f>
      </c>
      <c r="D377" s="43">
        <f>INDEX(MvObj,12)</f>
      </c>
      <c r="E377" s="43">
        <f>IF($S$365=0,0,IF(OR(DATE($C377,1,15)&lt;$S$365,AND($T$365&gt;0,DATE($C377,1,15)&gt;$T$365)),0,IF(DATE($C377,1,15)&gt;=$X$365,$AA$365*(1+($U$365)/100)^MAX(0,$C377-$AD$365),IF(DATE($C377,1,15)&gt;=$W$365,$Z$365*(1+($U$365)/100)^MAX(0,$C377-$AC$365),IF(DATE($C377,1,15)&gt;=$V$365,$Y$365*(1+($U$365)/100)^MAX(0,$C377-$AB$365),0)))))</f>
      </c>
      <c r="F377" s="43">
        <f>IF($S$365=0,0,IF(OR(DATE($C377,2,15)&lt;$S$365,AND($T$365&gt;0,DATE($C377,2,15)&gt;$T$365)),0,IF(DATE($C377,2,15)&gt;=$X$365,$AA$365*(1+($U$365)/100)^MAX(0,$C377-$AD$365),IF(DATE($C377,2,15)&gt;=$W$365,$Z$365*(1+($U$365)/100)^MAX(0,$C377-$AC$365),IF(DATE($C377,2,15)&gt;=$V$365,$Y$365*(1+($U$365)/100)^MAX(0,$C377-$AB$365),0)))))</f>
      </c>
      <c r="G377" s="43">
        <f>IF($S$365=0,0,IF(OR(DATE($C377,3,15)&lt;$S$365,AND($T$365&gt;0,DATE($C377,3,15)&gt;$T$365)),0,IF(DATE($C377,3,15)&gt;=$X$365,$AA$365*(1+($U$365)/100)^MAX(0,$C377-$AD$365),IF(DATE($C377,3,15)&gt;=$W$365,$Z$365*(1+($U$365)/100)^MAX(0,$C377-$AC$365),IF(DATE($C377,3,15)&gt;=$V$365,$Y$365*(1+($U$365)/100)^MAX(0,$C377-$AB$365),0)))))</f>
      </c>
      <c r="H377" s="43">
        <f>IF($S$365=0,0,IF(OR(DATE($C377,4,15)&lt;$S$365,AND($T$365&gt;0,DATE($C377,4,15)&gt;$T$365)),0,IF(DATE($C377,4,15)&gt;=$X$365,$AA$365*(1+($U$365)/100)^MAX(0,$C377-$AD$365),IF(DATE($C377,4,15)&gt;=$W$365,$Z$365*(1+($U$365)/100)^MAX(0,$C377-$AC$365),IF(DATE($C377,4,15)&gt;=$V$365,$Y$365*(1+($U$365)/100)^MAX(0,$C377-$AB$365),0)))))</f>
      </c>
      <c r="I377" s="43">
        <f>IF($S$365=0,0,IF(OR(DATE($C377,5,15)&lt;$S$365,AND($T$365&gt;0,DATE($C377,5,15)&gt;$T$365)),0,IF(DATE($C377,5,15)&gt;=$X$365,$AA$365*(1+($U$365)/100)^MAX(0,$C377-$AD$365),IF(DATE($C377,5,15)&gt;=$W$365,$Z$365*(1+($U$365)/100)^MAX(0,$C377-$AC$365),IF(DATE($C377,5,15)&gt;=$V$365,$Y$365*(1+($U$365)/100)^MAX(0,$C377-$AB$365),0)))))</f>
      </c>
      <c r="J377" s="43">
        <f>IF($S$365=0,0,IF(OR(DATE($C377,6,15)&lt;$S$365,AND($T$365&gt;0,DATE($C377,6,15)&gt;$T$365)),0,IF(DATE($C377,6,15)&gt;=$X$365,$AA$365*(1+($U$365)/100)^MAX(0,$C377-$AD$365),IF(DATE($C377,6,15)&gt;=$W$365,$Z$365*(1+($U$365)/100)^MAX(0,$C377-$AC$365),IF(DATE($C377,6,15)&gt;=$V$365,$Y$365*(1+($U$365)/100)^MAX(0,$C377-$AB$365),0)))))</f>
      </c>
      <c r="K377" s="43">
        <f>IF($S$365=0,0,IF(OR(DATE($C377,7,15)&lt;$S$365,AND($T$365&gt;0,DATE($C377,7,15)&gt;$T$365)),0,IF(DATE($C377,7,15)&gt;=$X$365,$AA$365*(1+($U$365)/100)^MAX(0,$C377-$AD$365),IF(DATE($C377,7,15)&gt;=$W$365,$Z$365*(1+($U$365)/100)^MAX(0,$C377-$AC$365),IF(DATE($C377,7,15)&gt;=$V$365,$Y$365*(1+($U$365)/100)^MAX(0,$C377-$AB$365),0)))))</f>
      </c>
      <c r="L377" s="43">
        <f>IF($S$365=0,0,IF(OR(DATE($C377,8,15)&lt;$S$365,AND($T$365&gt;0,DATE($C377,8,15)&gt;$T$365)),0,IF(DATE($C377,8,15)&gt;=$X$365,$AA$365*(1+($U$365)/100)^MAX(0,$C377-$AD$365),IF(DATE($C377,8,15)&gt;=$W$365,$Z$365*(1+($U$365)/100)^MAX(0,$C377-$AC$365),IF(DATE($C377,8,15)&gt;=$V$365,$Y$365*(1+($U$365)/100)^MAX(0,$C377-$AB$365),0)))))</f>
      </c>
      <c r="M377" s="43">
        <f>IF($S$365=0,0,IF(OR(DATE($C377,9,15)&lt;$S$365,AND($T$365&gt;0,DATE($C377,9,15)&gt;$T$365)),0,IF(DATE($C377,9,15)&gt;=$X$365,$AA$365*(1+($U$365)/100)^MAX(0,$C377-$AD$365),IF(DATE($C377,9,15)&gt;=$W$365,$Z$365*(1+($U$365)/100)^MAX(0,$C377-$AC$365),IF(DATE($C377,9,15)&gt;=$V$365,$Y$365*(1+($U$365)/100)^MAX(0,$C377-$AB$365),0)))))</f>
      </c>
      <c r="N377" s="43">
        <f>IF($S$365=0,0,IF(OR(DATE($C377,10,15)&lt;$S$365,AND($T$365&gt;0,DATE($C377,10,15)&gt;$T$365)),0,IF(DATE($C377,10,15)&gt;=$X$365,$AA$365*(1+($U$365)/100)^MAX(0,$C377-$AD$365),IF(DATE($C377,10,15)&gt;=$W$365,$Z$365*(1+($U$365)/100)^MAX(0,$C377-$AC$365),IF(DATE($C377,10,15)&gt;=$V$365,$Y$365*(1+($U$365)/100)^MAX(0,$C377-$AB$365),0)))))</f>
      </c>
      <c r="O377" s="43">
        <f>IF($S$365=0,0,IF(OR(DATE($C377,11,15)&lt;$S$365,AND($T$365&gt;0,DATE($C377,11,15)&gt;$T$365)),0,IF(DATE($C377,11,15)&gt;=$X$365,$AA$365*(1+($U$365)/100)^MAX(0,$C377-$AD$365),IF(DATE($C377,11,15)&gt;=$W$365,$Z$365*(1+($U$365)/100)^MAX(0,$C377-$AC$365),IF(DATE($C377,11,15)&gt;=$V$365,$Y$365*(1+($U$365)/100)^MAX(0,$C377-$AB$365),0)))))</f>
      </c>
      <c r="P377" s="43">
        <f>IF($S$365=0,0,IF(OR(DATE($C377,12,15)&lt;$S$365,AND($T$365&gt;0,DATE($C377,12,15)&gt;$T$365)),0,IF(DATE($C377,12,15)&gt;=$X$365,$AA$365*(1+($U$365)/100)^MAX(0,$C377-$AD$365),IF(DATE($C377,12,15)&gt;=$W$365,$Z$365*(1+($U$365)/100)^MAX(0,$C377-$AC$365),IF(DATE($C377,12,15)&gt;=$V$365,$Y$365*(1+($U$365)/100)^MAX(0,$C377-$AB$365),0)))))</f>
      </c>
      <c r="Q377" s="43">
        <f>SUM($E377:$P377)</f>
      </c>
    </row>
    <row r="378">
      <c r="A378"/>
      <c r="B378">
        <v>12</v>
      </c>
      <c r="C378" s="43">
        <f>Jahr+13</f>
      </c>
      <c r="D378" s="43">
        <f>INDEX(MvObj,12)</f>
      </c>
      <c r="E378" s="43">
        <f>IF($S$365=0,0,IF(OR(DATE($C378,1,15)&lt;$S$365,AND($T$365&gt;0,DATE($C378,1,15)&gt;$T$365)),0,IF(DATE($C378,1,15)&gt;=$X$365,$AA$365*(1+($U$365)/100)^MAX(0,$C378-$AD$365),IF(DATE($C378,1,15)&gt;=$W$365,$Z$365*(1+($U$365)/100)^MAX(0,$C378-$AC$365),IF(DATE($C378,1,15)&gt;=$V$365,$Y$365*(1+($U$365)/100)^MAX(0,$C378-$AB$365),0)))))</f>
      </c>
      <c r="F378" s="43">
        <f>IF($S$365=0,0,IF(OR(DATE($C378,2,15)&lt;$S$365,AND($T$365&gt;0,DATE($C378,2,15)&gt;$T$365)),0,IF(DATE($C378,2,15)&gt;=$X$365,$AA$365*(1+($U$365)/100)^MAX(0,$C378-$AD$365),IF(DATE($C378,2,15)&gt;=$W$365,$Z$365*(1+($U$365)/100)^MAX(0,$C378-$AC$365),IF(DATE($C378,2,15)&gt;=$V$365,$Y$365*(1+($U$365)/100)^MAX(0,$C378-$AB$365),0)))))</f>
      </c>
      <c r="G378" s="43">
        <f>IF($S$365=0,0,IF(OR(DATE($C378,3,15)&lt;$S$365,AND($T$365&gt;0,DATE($C378,3,15)&gt;$T$365)),0,IF(DATE($C378,3,15)&gt;=$X$365,$AA$365*(1+($U$365)/100)^MAX(0,$C378-$AD$365),IF(DATE($C378,3,15)&gt;=$W$365,$Z$365*(1+($U$365)/100)^MAX(0,$C378-$AC$365),IF(DATE($C378,3,15)&gt;=$V$365,$Y$365*(1+($U$365)/100)^MAX(0,$C378-$AB$365),0)))))</f>
      </c>
      <c r="H378" s="43">
        <f>IF($S$365=0,0,IF(OR(DATE($C378,4,15)&lt;$S$365,AND($T$365&gt;0,DATE($C378,4,15)&gt;$T$365)),0,IF(DATE($C378,4,15)&gt;=$X$365,$AA$365*(1+($U$365)/100)^MAX(0,$C378-$AD$365),IF(DATE($C378,4,15)&gt;=$W$365,$Z$365*(1+($U$365)/100)^MAX(0,$C378-$AC$365),IF(DATE($C378,4,15)&gt;=$V$365,$Y$365*(1+($U$365)/100)^MAX(0,$C378-$AB$365),0)))))</f>
      </c>
      <c r="I378" s="43">
        <f>IF($S$365=0,0,IF(OR(DATE($C378,5,15)&lt;$S$365,AND($T$365&gt;0,DATE($C378,5,15)&gt;$T$365)),0,IF(DATE($C378,5,15)&gt;=$X$365,$AA$365*(1+($U$365)/100)^MAX(0,$C378-$AD$365),IF(DATE($C378,5,15)&gt;=$W$365,$Z$365*(1+($U$365)/100)^MAX(0,$C378-$AC$365),IF(DATE($C378,5,15)&gt;=$V$365,$Y$365*(1+($U$365)/100)^MAX(0,$C378-$AB$365),0)))))</f>
      </c>
      <c r="J378" s="43">
        <f>IF($S$365=0,0,IF(OR(DATE($C378,6,15)&lt;$S$365,AND($T$365&gt;0,DATE($C378,6,15)&gt;$T$365)),0,IF(DATE($C378,6,15)&gt;=$X$365,$AA$365*(1+($U$365)/100)^MAX(0,$C378-$AD$365),IF(DATE($C378,6,15)&gt;=$W$365,$Z$365*(1+($U$365)/100)^MAX(0,$C378-$AC$365),IF(DATE($C378,6,15)&gt;=$V$365,$Y$365*(1+($U$365)/100)^MAX(0,$C378-$AB$365),0)))))</f>
      </c>
      <c r="K378" s="43">
        <f>IF($S$365=0,0,IF(OR(DATE($C378,7,15)&lt;$S$365,AND($T$365&gt;0,DATE($C378,7,15)&gt;$T$365)),0,IF(DATE($C378,7,15)&gt;=$X$365,$AA$365*(1+($U$365)/100)^MAX(0,$C378-$AD$365),IF(DATE($C378,7,15)&gt;=$W$365,$Z$365*(1+($U$365)/100)^MAX(0,$C378-$AC$365),IF(DATE($C378,7,15)&gt;=$V$365,$Y$365*(1+($U$365)/100)^MAX(0,$C378-$AB$365),0)))))</f>
      </c>
      <c r="L378" s="43">
        <f>IF($S$365=0,0,IF(OR(DATE($C378,8,15)&lt;$S$365,AND($T$365&gt;0,DATE($C378,8,15)&gt;$T$365)),0,IF(DATE($C378,8,15)&gt;=$X$365,$AA$365*(1+($U$365)/100)^MAX(0,$C378-$AD$365),IF(DATE($C378,8,15)&gt;=$W$365,$Z$365*(1+($U$365)/100)^MAX(0,$C378-$AC$365),IF(DATE($C378,8,15)&gt;=$V$365,$Y$365*(1+($U$365)/100)^MAX(0,$C378-$AB$365),0)))))</f>
      </c>
      <c r="M378" s="43">
        <f>IF($S$365=0,0,IF(OR(DATE($C378,9,15)&lt;$S$365,AND($T$365&gt;0,DATE($C378,9,15)&gt;$T$365)),0,IF(DATE($C378,9,15)&gt;=$X$365,$AA$365*(1+($U$365)/100)^MAX(0,$C378-$AD$365),IF(DATE($C378,9,15)&gt;=$W$365,$Z$365*(1+($U$365)/100)^MAX(0,$C378-$AC$365),IF(DATE($C378,9,15)&gt;=$V$365,$Y$365*(1+($U$365)/100)^MAX(0,$C378-$AB$365),0)))))</f>
      </c>
      <c r="N378" s="43">
        <f>IF($S$365=0,0,IF(OR(DATE($C378,10,15)&lt;$S$365,AND($T$365&gt;0,DATE($C378,10,15)&gt;$T$365)),0,IF(DATE($C378,10,15)&gt;=$X$365,$AA$365*(1+($U$365)/100)^MAX(0,$C378-$AD$365),IF(DATE($C378,10,15)&gt;=$W$365,$Z$365*(1+($U$365)/100)^MAX(0,$C378-$AC$365),IF(DATE($C378,10,15)&gt;=$V$365,$Y$365*(1+($U$365)/100)^MAX(0,$C378-$AB$365),0)))))</f>
      </c>
      <c r="O378" s="43">
        <f>IF($S$365=0,0,IF(OR(DATE($C378,11,15)&lt;$S$365,AND($T$365&gt;0,DATE($C378,11,15)&gt;$T$365)),0,IF(DATE($C378,11,15)&gt;=$X$365,$AA$365*(1+($U$365)/100)^MAX(0,$C378-$AD$365),IF(DATE($C378,11,15)&gt;=$W$365,$Z$365*(1+($U$365)/100)^MAX(0,$C378-$AC$365),IF(DATE($C378,11,15)&gt;=$V$365,$Y$365*(1+($U$365)/100)^MAX(0,$C378-$AB$365),0)))))</f>
      </c>
      <c r="P378" s="43">
        <f>IF($S$365=0,0,IF(OR(DATE($C378,12,15)&lt;$S$365,AND($T$365&gt;0,DATE($C378,12,15)&gt;$T$365)),0,IF(DATE($C378,12,15)&gt;=$X$365,$AA$365*(1+($U$365)/100)^MAX(0,$C378-$AD$365),IF(DATE($C378,12,15)&gt;=$W$365,$Z$365*(1+($U$365)/100)^MAX(0,$C378-$AC$365),IF(DATE($C378,12,15)&gt;=$V$365,$Y$365*(1+($U$365)/100)^MAX(0,$C378-$AB$365),0)))))</f>
      </c>
      <c r="Q378" s="43">
        <f>SUM($E378:$P378)</f>
      </c>
    </row>
    <row r="379">
      <c r="A379"/>
      <c r="B379">
        <v>12</v>
      </c>
      <c r="C379" s="43">
        <f>Jahr+14</f>
      </c>
      <c r="D379" s="43">
        <f>INDEX(MvObj,12)</f>
      </c>
      <c r="E379" s="43">
        <f>IF($S$365=0,0,IF(OR(DATE($C379,1,15)&lt;$S$365,AND($T$365&gt;0,DATE($C379,1,15)&gt;$T$365)),0,IF(DATE($C379,1,15)&gt;=$X$365,$AA$365*(1+($U$365)/100)^MAX(0,$C379-$AD$365),IF(DATE($C379,1,15)&gt;=$W$365,$Z$365*(1+($U$365)/100)^MAX(0,$C379-$AC$365),IF(DATE($C379,1,15)&gt;=$V$365,$Y$365*(1+($U$365)/100)^MAX(0,$C379-$AB$365),0)))))</f>
      </c>
      <c r="F379" s="43">
        <f>IF($S$365=0,0,IF(OR(DATE($C379,2,15)&lt;$S$365,AND($T$365&gt;0,DATE($C379,2,15)&gt;$T$365)),0,IF(DATE($C379,2,15)&gt;=$X$365,$AA$365*(1+($U$365)/100)^MAX(0,$C379-$AD$365),IF(DATE($C379,2,15)&gt;=$W$365,$Z$365*(1+($U$365)/100)^MAX(0,$C379-$AC$365),IF(DATE($C379,2,15)&gt;=$V$365,$Y$365*(1+($U$365)/100)^MAX(0,$C379-$AB$365),0)))))</f>
      </c>
      <c r="G379" s="43">
        <f>IF($S$365=0,0,IF(OR(DATE($C379,3,15)&lt;$S$365,AND($T$365&gt;0,DATE($C379,3,15)&gt;$T$365)),0,IF(DATE($C379,3,15)&gt;=$X$365,$AA$365*(1+($U$365)/100)^MAX(0,$C379-$AD$365),IF(DATE($C379,3,15)&gt;=$W$365,$Z$365*(1+($U$365)/100)^MAX(0,$C379-$AC$365),IF(DATE($C379,3,15)&gt;=$V$365,$Y$365*(1+($U$365)/100)^MAX(0,$C379-$AB$365),0)))))</f>
      </c>
      <c r="H379" s="43">
        <f>IF($S$365=0,0,IF(OR(DATE($C379,4,15)&lt;$S$365,AND($T$365&gt;0,DATE($C379,4,15)&gt;$T$365)),0,IF(DATE($C379,4,15)&gt;=$X$365,$AA$365*(1+($U$365)/100)^MAX(0,$C379-$AD$365),IF(DATE($C379,4,15)&gt;=$W$365,$Z$365*(1+($U$365)/100)^MAX(0,$C379-$AC$365),IF(DATE($C379,4,15)&gt;=$V$365,$Y$365*(1+($U$365)/100)^MAX(0,$C379-$AB$365),0)))))</f>
      </c>
      <c r="I379" s="43">
        <f>IF($S$365=0,0,IF(OR(DATE($C379,5,15)&lt;$S$365,AND($T$365&gt;0,DATE($C379,5,15)&gt;$T$365)),0,IF(DATE($C379,5,15)&gt;=$X$365,$AA$365*(1+($U$365)/100)^MAX(0,$C379-$AD$365),IF(DATE($C379,5,15)&gt;=$W$365,$Z$365*(1+($U$365)/100)^MAX(0,$C379-$AC$365),IF(DATE($C379,5,15)&gt;=$V$365,$Y$365*(1+($U$365)/100)^MAX(0,$C379-$AB$365),0)))))</f>
      </c>
      <c r="J379" s="43">
        <f>IF($S$365=0,0,IF(OR(DATE($C379,6,15)&lt;$S$365,AND($T$365&gt;0,DATE($C379,6,15)&gt;$T$365)),0,IF(DATE($C379,6,15)&gt;=$X$365,$AA$365*(1+($U$365)/100)^MAX(0,$C379-$AD$365),IF(DATE($C379,6,15)&gt;=$W$365,$Z$365*(1+($U$365)/100)^MAX(0,$C379-$AC$365),IF(DATE($C379,6,15)&gt;=$V$365,$Y$365*(1+($U$365)/100)^MAX(0,$C379-$AB$365),0)))))</f>
      </c>
      <c r="K379" s="43">
        <f>IF($S$365=0,0,IF(OR(DATE($C379,7,15)&lt;$S$365,AND($T$365&gt;0,DATE($C379,7,15)&gt;$T$365)),0,IF(DATE($C379,7,15)&gt;=$X$365,$AA$365*(1+($U$365)/100)^MAX(0,$C379-$AD$365),IF(DATE($C379,7,15)&gt;=$W$365,$Z$365*(1+($U$365)/100)^MAX(0,$C379-$AC$365),IF(DATE($C379,7,15)&gt;=$V$365,$Y$365*(1+($U$365)/100)^MAX(0,$C379-$AB$365),0)))))</f>
      </c>
      <c r="L379" s="43">
        <f>IF($S$365=0,0,IF(OR(DATE($C379,8,15)&lt;$S$365,AND($T$365&gt;0,DATE($C379,8,15)&gt;$T$365)),0,IF(DATE($C379,8,15)&gt;=$X$365,$AA$365*(1+($U$365)/100)^MAX(0,$C379-$AD$365),IF(DATE($C379,8,15)&gt;=$W$365,$Z$365*(1+($U$365)/100)^MAX(0,$C379-$AC$365),IF(DATE($C379,8,15)&gt;=$V$365,$Y$365*(1+($U$365)/100)^MAX(0,$C379-$AB$365),0)))))</f>
      </c>
      <c r="M379" s="43">
        <f>IF($S$365=0,0,IF(OR(DATE($C379,9,15)&lt;$S$365,AND($T$365&gt;0,DATE($C379,9,15)&gt;$T$365)),0,IF(DATE($C379,9,15)&gt;=$X$365,$AA$365*(1+($U$365)/100)^MAX(0,$C379-$AD$365),IF(DATE($C379,9,15)&gt;=$W$365,$Z$365*(1+($U$365)/100)^MAX(0,$C379-$AC$365),IF(DATE($C379,9,15)&gt;=$V$365,$Y$365*(1+($U$365)/100)^MAX(0,$C379-$AB$365),0)))))</f>
      </c>
      <c r="N379" s="43">
        <f>IF($S$365=0,0,IF(OR(DATE($C379,10,15)&lt;$S$365,AND($T$365&gt;0,DATE($C379,10,15)&gt;$T$365)),0,IF(DATE($C379,10,15)&gt;=$X$365,$AA$365*(1+($U$365)/100)^MAX(0,$C379-$AD$365),IF(DATE($C379,10,15)&gt;=$W$365,$Z$365*(1+($U$365)/100)^MAX(0,$C379-$AC$365),IF(DATE($C379,10,15)&gt;=$V$365,$Y$365*(1+($U$365)/100)^MAX(0,$C379-$AB$365),0)))))</f>
      </c>
      <c r="O379" s="43">
        <f>IF($S$365=0,0,IF(OR(DATE($C379,11,15)&lt;$S$365,AND($T$365&gt;0,DATE($C379,11,15)&gt;$T$365)),0,IF(DATE($C379,11,15)&gt;=$X$365,$AA$365*(1+($U$365)/100)^MAX(0,$C379-$AD$365),IF(DATE($C379,11,15)&gt;=$W$365,$Z$365*(1+($U$365)/100)^MAX(0,$C379-$AC$365),IF(DATE($C379,11,15)&gt;=$V$365,$Y$365*(1+($U$365)/100)^MAX(0,$C379-$AB$365),0)))))</f>
      </c>
      <c r="P379" s="43">
        <f>IF($S$365=0,0,IF(OR(DATE($C379,12,15)&lt;$S$365,AND($T$365&gt;0,DATE($C379,12,15)&gt;$T$365)),0,IF(DATE($C379,12,15)&gt;=$X$365,$AA$365*(1+($U$365)/100)^MAX(0,$C379-$AD$365),IF(DATE($C379,12,15)&gt;=$W$365,$Z$365*(1+($U$365)/100)^MAX(0,$C379-$AC$365),IF(DATE($C379,12,15)&gt;=$V$365,$Y$365*(1+($U$365)/100)^MAX(0,$C379-$AB$365),0)))))</f>
      </c>
      <c r="Q379" s="43">
        <f>SUM($E379:$P379)</f>
      </c>
    </row>
    <row r="380">
      <c r="A380"/>
      <c r="B380">
        <v>12</v>
      </c>
      <c r="C380" s="43">
        <f>Jahr+15</f>
      </c>
      <c r="D380" s="43">
        <f>INDEX(MvObj,12)</f>
      </c>
      <c r="E380" s="43">
        <f>IF($S$365=0,0,IF(OR(DATE($C380,1,15)&lt;$S$365,AND($T$365&gt;0,DATE($C380,1,15)&gt;$T$365)),0,IF(DATE($C380,1,15)&gt;=$X$365,$AA$365*(1+($U$365)/100)^MAX(0,$C380-$AD$365),IF(DATE($C380,1,15)&gt;=$W$365,$Z$365*(1+($U$365)/100)^MAX(0,$C380-$AC$365),IF(DATE($C380,1,15)&gt;=$V$365,$Y$365*(1+($U$365)/100)^MAX(0,$C380-$AB$365),0)))))</f>
      </c>
      <c r="F380" s="43">
        <f>IF($S$365=0,0,IF(OR(DATE($C380,2,15)&lt;$S$365,AND($T$365&gt;0,DATE($C380,2,15)&gt;$T$365)),0,IF(DATE($C380,2,15)&gt;=$X$365,$AA$365*(1+($U$365)/100)^MAX(0,$C380-$AD$365),IF(DATE($C380,2,15)&gt;=$W$365,$Z$365*(1+($U$365)/100)^MAX(0,$C380-$AC$365),IF(DATE($C380,2,15)&gt;=$V$365,$Y$365*(1+($U$365)/100)^MAX(0,$C380-$AB$365),0)))))</f>
      </c>
      <c r="G380" s="43">
        <f>IF($S$365=0,0,IF(OR(DATE($C380,3,15)&lt;$S$365,AND($T$365&gt;0,DATE($C380,3,15)&gt;$T$365)),0,IF(DATE($C380,3,15)&gt;=$X$365,$AA$365*(1+($U$365)/100)^MAX(0,$C380-$AD$365),IF(DATE($C380,3,15)&gt;=$W$365,$Z$365*(1+($U$365)/100)^MAX(0,$C380-$AC$365),IF(DATE($C380,3,15)&gt;=$V$365,$Y$365*(1+($U$365)/100)^MAX(0,$C380-$AB$365),0)))))</f>
      </c>
      <c r="H380" s="43">
        <f>IF($S$365=0,0,IF(OR(DATE($C380,4,15)&lt;$S$365,AND($T$365&gt;0,DATE($C380,4,15)&gt;$T$365)),0,IF(DATE($C380,4,15)&gt;=$X$365,$AA$365*(1+($U$365)/100)^MAX(0,$C380-$AD$365),IF(DATE($C380,4,15)&gt;=$W$365,$Z$365*(1+($U$365)/100)^MAX(0,$C380-$AC$365),IF(DATE($C380,4,15)&gt;=$V$365,$Y$365*(1+($U$365)/100)^MAX(0,$C380-$AB$365),0)))))</f>
      </c>
      <c r="I380" s="43">
        <f>IF($S$365=0,0,IF(OR(DATE($C380,5,15)&lt;$S$365,AND($T$365&gt;0,DATE($C380,5,15)&gt;$T$365)),0,IF(DATE($C380,5,15)&gt;=$X$365,$AA$365*(1+($U$365)/100)^MAX(0,$C380-$AD$365),IF(DATE($C380,5,15)&gt;=$W$365,$Z$365*(1+($U$365)/100)^MAX(0,$C380-$AC$365),IF(DATE($C380,5,15)&gt;=$V$365,$Y$365*(1+($U$365)/100)^MAX(0,$C380-$AB$365),0)))))</f>
      </c>
      <c r="J380" s="43">
        <f>IF($S$365=0,0,IF(OR(DATE($C380,6,15)&lt;$S$365,AND($T$365&gt;0,DATE($C380,6,15)&gt;$T$365)),0,IF(DATE($C380,6,15)&gt;=$X$365,$AA$365*(1+($U$365)/100)^MAX(0,$C380-$AD$365),IF(DATE($C380,6,15)&gt;=$W$365,$Z$365*(1+($U$365)/100)^MAX(0,$C380-$AC$365),IF(DATE($C380,6,15)&gt;=$V$365,$Y$365*(1+($U$365)/100)^MAX(0,$C380-$AB$365),0)))))</f>
      </c>
      <c r="K380" s="43">
        <f>IF($S$365=0,0,IF(OR(DATE($C380,7,15)&lt;$S$365,AND($T$365&gt;0,DATE($C380,7,15)&gt;$T$365)),0,IF(DATE($C380,7,15)&gt;=$X$365,$AA$365*(1+($U$365)/100)^MAX(0,$C380-$AD$365),IF(DATE($C380,7,15)&gt;=$W$365,$Z$365*(1+($U$365)/100)^MAX(0,$C380-$AC$365),IF(DATE($C380,7,15)&gt;=$V$365,$Y$365*(1+($U$365)/100)^MAX(0,$C380-$AB$365),0)))))</f>
      </c>
      <c r="L380" s="43">
        <f>IF($S$365=0,0,IF(OR(DATE($C380,8,15)&lt;$S$365,AND($T$365&gt;0,DATE($C380,8,15)&gt;$T$365)),0,IF(DATE($C380,8,15)&gt;=$X$365,$AA$365*(1+($U$365)/100)^MAX(0,$C380-$AD$365),IF(DATE($C380,8,15)&gt;=$W$365,$Z$365*(1+($U$365)/100)^MAX(0,$C380-$AC$365),IF(DATE($C380,8,15)&gt;=$V$365,$Y$365*(1+($U$365)/100)^MAX(0,$C380-$AB$365),0)))))</f>
      </c>
      <c r="M380" s="43">
        <f>IF($S$365=0,0,IF(OR(DATE($C380,9,15)&lt;$S$365,AND($T$365&gt;0,DATE($C380,9,15)&gt;$T$365)),0,IF(DATE($C380,9,15)&gt;=$X$365,$AA$365*(1+($U$365)/100)^MAX(0,$C380-$AD$365),IF(DATE($C380,9,15)&gt;=$W$365,$Z$365*(1+($U$365)/100)^MAX(0,$C380-$AC$365),IF(DATE($C380,9,15)&gt;=$V$365,$Y$365*(1+($U$365)/100)^MAX(0,$C380-$AB$365),0)))))</f>
      </c>
      <c r="N380" s="43">
        <f>IF($S$365=0,0,IF(OR(DATE($C380,10,15)&lt;$S$365,AND($T$365&gt;0,DATE($C380,10,15)&gt;$T$365)),0,IF(DATE($C380,10,15)&gt;=$X$365,$AA$365*(1+($U$365)/100)^MAX(0,$C380-$AD$365),IF(DATE($C380,10,15)&gt;=$W$365,$Z$365*(1+($U$365)/100)^MAX(0,$C380-$AC$365),IF(DATE($C380,10,15)&gt;=$V$365,$Y$365*(1+($U$365)/100)^MAX(0,$C380-$AB$365),0)))))</f>
      </c>
      <c r="O380" s="43">
        <f>IF($S$365=0,0,IF(OR(DATE($C380,11,15)&lt;$S$365,AND($T$365&gt;0,DATE($C380,11,15)&gt;$T$365)),0,IF(DATE($C380,11,15)&gt;=$X$365,$AA$365*(1+($U$365)/100)^MAX(0,$C380-$AD$365),IF(DATE($C380,11,15)&gt;=$W$365,$Z$365*(1+($U$365)/100)^MAX(0,$C380-$AC$365),IF(DATE($C380,11,15)&gt;=$V$365,$Y$365*(1+($U$365)/100)^MAX(0,$C380-$AB$365),0)))))</f>
      </c>
      <c r="P380" s="43">
        <f>IF($S$365=0,0,IF(OR(DATE($C380,12,15)&lt;$S$365,AND($T$365&gt;0,DATE($C380,12,15)&gt;$T$365)),0,IF(DATE($C380,12,15)&gt;=$X$365,$AA$365*(1+($U$365)/100)^MAX(0,$C380-$AD$365),IF(DATE($C380,12,15)&gt;=$W$365,$Z$365*(1+($U$365)/100)^MAX(0,$C380-$AC$365),IF(DATE($C380,12,15)&gt;=$V$365,$Y$365*(1+($U$365)/100)^MAX(0,$C380-$AB$365),0)))))</f>
      </c>
      <c r="Q380" s="43">
        <f>SUM($E380:$P380)</f>
      </c>
    </row>
    <row r="381">
      <c r="A381"/>
      <c r="B381">
        <v>12</v>
      </c>
      <c r="C381" s="43">
        <f>Jahr+16</f>
      </c>
      <c r="D381" s="43">
        <f>INDEX(MvObj,12)</f>
      </c>
      <c r="E381" s="43">
        <f>IF($S$365=0,0,IF(OR(DATE($C381,1,15)&lt;$S$365,AND($T$365&gt;0,DATE($C381,1,15)&gt;$T$365)),0,IF(DATE($C381,1,15)&gt;=$X$365,$AA$365*(1+($U$365)/100)^MAX(0,$C381-$AD$365),IF(DATE($C381,1,15)&gt;=$W$365,$Z$365*(1+($U$365)/100)^MAX(0,$C381-$AC$365),IF(DATE($C381,1,15)&gt;=$V$365,$Y$365*(1+($U$365)/100)^MAX(0,$C381-$AB$365),0)))))</f>
      </c>
      <c r="F381" s="43">
        <f>IF($S$365=0,0,IF(OR(DATE($C381,2,15)&lt;$S$365,AND($T$365&gt;0,DATE($C381,2,15)&gt;$T$365)),0,IF(DATE($C381,2,15)&gt;=$X$365,$AA$365*(1+($U$365)/100)^MAX(0,$C381-$AD$365),IF(DATE($C381,2,15)&gt;=$W$365,$Z$365*(1+($U$365)/100)^MAX(0,$C381-$AC$365),IF(DATE($C381,2,15)&gt;=$V$365,$Y$365*(1+($U$365)/100)^MAX(0,$C381-$AB$365),0)))))</f>
      </c>
      <c r="G381" s="43">
        <f>IF($S$365=0,0,IF(OR(DATE($C381,3,15)&lt;$S$365,AND($T$365&gt;0,DATE($C381,3,15)&gt;$T$365)),0,IF(DATE($C381,3,15)&gt;=$X$365,$AA$365*(1+($U$365)/100)^MAX(0,$C381-$AD$365),IF(DATE($C381,3,15)&gt;=$W$365,$Z$365*(1+($U$365)/100)^MAX(0,$C381-$AC$365),IF(DATE($C381,3,15)&gt;=$V$365,$Y$365*(1+($U$365)/100)^MAX(0,$C381-$AB$365),0)))))</f>
      </c>
      <c r="H381" s="43">
        <f>IF($S$365=0,0,IF(OR(DATE($C381,4,15)&lt;$S$365,AND($T$365&gt;0,DATE($C381,4,15)&gt;$T$365)),0,IF(DATE($C381,4,15)&gt;=$X$365,$AA$365*(1+($U$365)/100)^MAX(0,$C381-$AD$365),IF(DATE($C381,4,15)&gt;=$W$365,$Z$365*(1+($U$365)/100)^MAX(0,$C381-$AC$365),IF(DATE($C381,4,15)&gt;=$V$365,$Y$365*(1+($U$365)/100)^MAX(0,$C381-$AB$365),0)))))</f>
      </c>
      <c r="I381" s="43">
        <f>IF($S$365=0,0,IF(OR(DATE($C381,5,15)&lt;$S$365,AND($T$365&gt;0,DATE($C381,5,15)&gt;$T$365)),0,IF(DATE($C381,5,15)&gt;=$X$365,$AA$365*(1+($U$365)/100)^MAX(0,$C381-$AD$365),IF(DATE($C381,5,15)&gt;=$W$365,$Z$365*(1+($U$365)/100)^MAX(0,$C381-$AC$365),IF(DATE($C381,5,15)&gt;=$V$365,$Y$365*(1+($U$365)/100)^MAX(0,$C381-$AB$365),0)))))</f>
      </c>
      <c r="J381" s="43">
        <f>IF($S$365=0,0,IF(OR(DATE($C381,6,15)&lt;$S$365,AND($T$365&gt;0,DATE($C381,6,15)&gt;$T$365)),0,IF(DATE($C381,6,15)&gt;=$X$365,$AA$365*(1+($U$365)/100)^MAX(0,$C381-$AD$365),IF(DATE($C381,6,15)&gt;=$W$365,$Z$365*(1+($U$365)/100)^MAX(0,$C381-$AC$365),IF(DATE($C381,6,15)&gt;=$V$365,$Y$365*(1+($U$365)/100)^MAX(0,$C381-$AB$365),0)))))</f>
      </c>
      <c r="K381" s="43">
        <f>IF($S$365=0,0,IF(OR(DATE($C381,7,15)&lt;$S$365,AND($T$365&gt;0,DATE($C381,7,15)&gt;$T$365)),0,IF(DATE($C381,7,15)&gt;=$X$365,$AA$365*(1+($U$365)/100)^MAX(0,$C381-$AD$365),IF(DATE($C381,7,15)&gt;=$W$365,$Z$365*(1+($U$365)/100)^MAX(0,$C381-$AC$365),IF(DATE($C381,7,15)&gt;=$V$365,$Y$365*(1+($U$365)/100)^MAX(0,$C381-$AB$365),0)))))</f>
      </c>
      <c r="L381" s="43">
        <f>IF($S$365=0,0,IF(OR(DATE($C381,8,15)&lt;$S$365,AND($T$365&gt;0,DATE($C381,8,15)&gt;$T$365)),0,IF(DATE($C381,8,15)&gt;=$X$365,$AA$365*(1+($U$365)/100)^MAX(0,$C381-$AD$365),IF(DATE($C381,8,15)&gt;=$W$365,$Z$365*(1+($U$365)/100)^MAX(0,$C381-$AC$365),IF(DATE($C381,8,15)&gt;=$V$365,$Y$365*(1+($U$365)/100)^MAX(0,$C381-$AB$365),0)))))</f>
      </c>
      <c r="M381" s="43">
        <f>IF($S$365=0,0,IF(OR(DATE($C381,9,15)&lt;$S$365,AND($T$365&gt;0,DATE($C381,9,15)&gt;$T$365)),0,IF(DATE($C381,9,15)&gt;=$X$365,$AA$365*(1+($U$365)/100)^MAX(0,$C381-$AD$365),IF(DATE($C381,9,15)&gt;=$W$365,$Z$365*(1+($U$365)/100)^MAX(0,$C381-$AC$365),IF(DATE($C381,9,15)&gt;=$V$365,$Y$365*(1+($U$365)/100)^MAX(0,$C381-$AB$365),0)))))</f>
      </c>
      <c r="N381" s="43">
        <f>IF($S$365=0,0,IF(OR(DATE($C381,10,15)&lt;$S$365,AND($T$365&gt;0,DATE($C381,10,15)&gt;$T$365)),0,IF(DATE($C381,10,15)&gt;=$X$365,$AA$365*(1+($U$365)/100)^MAX(0,$C381-$AD$365),IF(DATE($C381,10,15)&gt;=$W$365,$Z$365*(1+($U$365)/100)^MAX(0,$C381-$AC$365),IF(DATE($C381,10,15)&gt;=$V$365,$Y$365*(1+($U$365)/100)^MAX(0,$C381-$AB$365),0)))))</f>
      </c>
      <c r="O381" s="43">
        <f>IF($S$365=0,0,IF(OR(DATE($C381,11,15)&lt;$S$365,AND($T$365&gt;0,DATE($C381,11,15)&gt;$T$365)),0,IF(DATE($C381,11,15)&gt;=$X$365,$AA$365*(1+($U$365)/100)^MAX(0,$C381-$AD$365),IF(DATE($C381,11,15)&gt;=$W$365,$Z$365*(1+($U$365)/100)^MAX(0,$C381-$AC$365),IF(DATE($C381,11,15)&gt;=$V$365,$Y$365*(1+($U$365)/100)^MAX(0,$C381-$AB$365),0)))))</f>
      </c>
      <c r="P381" s="43">
        <f>IF($S$365=0,0,IF(OR(DATE($C381,12,15)&lt;$S$365,AND($T$365&gt;0,DATE($C381,12,15)&gt;$T$365)),0,IF(DATE($C381,12,15)&gt;=$X$365,$AA$365*(1+($U$365)/100)^MAX(0,$C381-$AD$365),IF(DATE($C381,12,15)&gt;=$W$365,$Z$365*(1+($U$365)/100)^MAX(0,$C381-$AC$365),IF(DATE($C381,12,15)&gt;=$V$365,$Y$365*(1+($U$365)/100)^MAX(0,$C381-$AB$365),0)))))</f>
      </c>
      <c r="Q381" s="43">
        <f>SUM($E381:$P381)</f>
      </c>
    </row>
    <row r="382">
      <c r="A382"/>
      <c r="B382">
        <v>12</v>
      </c>
      <c r="C382" s="43">
        <f>Jahr+17</f>
      </c>
      <c r="D382" s="43">
        <f>INDEX(MvObj,12)</f>
      </c>
      <c r="E382" s="43">
        <f>IF($S$365=0,0,IF(OR(DATE($C382,1,15)&lt;$S$365,AND($T$365&gt;0,DATE($C382,1,15)&gt;$T$365)),0,IF(DATE($C382,1,15)&gt;=$X$365,$AA$365*(1+($U$365)/100)^MAX(0,$C382-$AD$365),IF(DATE($C382,1,15)&gt;=$W$365,$Z$365*(1+($U$365)/100)^MAX(0,$C382-$AC$365),IF(DATE($C382,1,15)&gt;=$V$365,$Y$365*(1+($U$365)/100)^MAX(0,$C382-$AB$365),0)))))</f>
      </c>
      <c r="F382" s="43">
        <f>IF($S$365=0,0,IF(OR(DATE($C382,2,15)&lt;$S$365,AND($T$365&gt;0,DATE($C382,2,15)&gt;$T$365)),0,IF(DATE($C382,2,15)&gt;=$X$365,$AA$365*(1+($U$365)/100)^MAX(0,$C382-$AD$365),IF(DATE($C382,2,15)&gt;=$W$365,$Z$365*(1+($U$365)/100)^MAX(0,$C382-$AC$365),IF(DATE($C382,2,15)&gt;=$V$365,$Y$365*(1+($U$365)/100)^MAX(0,$C382-$AB$365),0)))))</f>
      </c>
      <c r="G382" s="43">
        <f>IF($S$365=0,0,IF(OR(DATE($C382,3,15)&lt;$S$365,AND($T$365&gt;0,DATE($C382,3,15)&gt;$T$365)),0,IF(DATE($C382,3,15)&gt;=$X$365,$AA$365*(1+($U$365)/100)^MAX(0,$C382-$AD$365),IF(DATE($C382,3,15)&gt;=$W$365,$Z$365*(1+($U$365)/100)^MAX(0,$C382-$AC$365),IF(DATE($C382,3,15)&gt;=$V$365,$Y$365*(1+($U$365)/100)^MAX(0,$C382-$AB$365),0)))))</f>
      </c>
      <c r="H382" s="43">
        <f>IF($S$365=0,0,IF(OR(DATE($C382,4,15)&lt;$S$365,AND($T$365&gt;0,DATE($C382,4,15)&gt;$T$365)),0,IF(DATE($C382,4,15)&gt;=$X$365,$AA$365*(1+($U$365)/100)^MAX(0,$C382-$AD$365),IF(DATE($C382,4,15)&gt;=$W$365,$Z$365*(1+($U$365)/100)^MAX(0,$C382-$AC$365),IF(DATE($C382,4,15)&gt;=$V$365,$Y$365*(1+($U$365)/100)^MAX(0,$C382-$AB$365),0)))))</f>
      </c>
      <c r="I382" s="43">
        <f>IF($S$365=0,0,IF(OR(DATE($C382,5,15)&lt;$S$365,AND($T$365&gt;0,DATE($C382,5,15)&gt;$T$365)),0,IF(DATE($C382,5,15)&gt;=$X$365,$AA$365*(1+($U$365)/100)^MAX(0,$C382-$AD$365),IF(DATE($C382,5,15)&gt;=$W$365,$Z$365*(1+($U$365)/100)^MAX(0,$C382-$AC$365),IF(DATE($C382,5,15)&gt;=$V$365,$Y$365*(1+($U$365)/100)^MAX(0,$C382-$AB$365),0)))))</f>
      </c>
      <c r="J382" s="43">
        <f>IF($S$365=0,0,IF(OR(DATE($C382,6,15)&lt;$S$365,AND($T$365&gt;0,DATE($C382,6,15)&gt;$T$365)),0,IF(DATE($C382,6,15)&gt;=$X$365,$AA$365*(1+($U$365)/100)^MAX(0,$C382-$AD$365),IF(DATE($C382,6,15)&gt;=$W$365,$Z$365*(1+($U$365)/100)^MAX(0,$C382-$AC$365),IF(DATE($C382,6,15)&gt;=$V$365,$Y$365*(1+($U$365)/100)^MAX(0,$C382-$AB$365),0)))))</f>
      </c>
      <c r="K382" s="43">
        <f>IF($S$365=0,0,IF(OR(DATE($C382,7,15)&lt;$S$365,AND($T$365&gt;0,DATE($C382,7,15)&gt;$T$365)),0,IF(DATE($C382,7,15)&gt;=$X$365,$AA$365*(1+($U$365)/100)^MAX(0,$C382-$AD$365),IF(DATE($C382,7,15)&gt;=$W$365,$Z$365*(1+($U$365)/100)^MAX(0,$C382-$AC$365),IF(DATE($C382,7,15)&gt;=$V$365,$Y$365*(1+($U$365)/100)^MAX(0,$C382-$AB$365),0)))))</f>
      </c>
      <c r="L382" s="43">
        <f>IF($S$365=0,0,IF(OR(DATE($C382,8,15)&lt;$S$365,AND($T$365&gt;0,DATE($C382,8,15)&gt;$T$365)),0,IF(DATE($C382,8,15)&gt;=$X$365,$AA$365*(1+($U$365)/100)^MAX(0,$C382-$AD$365),IF(DATE($C382,8,15)&gt;=$W$365,$Z$365*(1+($U$365)/100)^MAX(0,$C382-$AC$365),IF(DATE($C382,8,15)&gt;=$V$365,$Y$365*(1+($U$365)/100)^MAX(0,$C382-$AB$365),0)))))</f>
      </c>
      <c r="M382" s="43">
        <f>IF($S$365=0,0,IF(OR(DATE($C382,9,15)&lt;$S$365,AND($T$365&gt;0,DATE($C382,9,15)&gt;$T$365)),0,IF(DATE($C382,9,15)&gt;=$X$365,$AA$365*(1+($U$365)/100)^MAX(0,$C382-$AD$365),IF(DATE($C382,9,15)&gt;=$W$365,$Z$365*(1+($U$365)/100)^MAX(0,$C382-$AC$365),IF(DATE($C382,9,15)&gt;=$V$365,$Y$365*(1+($U$365)/100)^MAX(0,$C382-$AB$365),0)))))</f>
      </c>
      <c r="N382" s="43">
        <f>IF($S$365=0,0,IF(OR(DATE($C382,10,15)&lt;$S$365,AND($T$365&gt;0,DATE($C382,10,15)&gt;$T$365)),0,IF(DATE($C382,10,15)&gt;=$X$365,$AA$365*(1+($U$365)/100)^MAX(0,$C382-$AD$365),IF(DATE($C382,10,15)&gt;=$W$365,$Z$365*(1+($U$365)/100)^MAX(0,$C382-$AC$365),IF(DATE($C382,10,15)&gt;=$V$365,$Y$365*(1+($U$365)/100)^MAX(0,$C382-$AB$365),0)))))</f>
      </c>
      <c r="O382" s="43">
        <f>IF($S$365=0,0,IF(OR(DATE($C382,11,15)&lt;$S$365,AND($T$365&gt;0,DATE($C382,11,15)&gt;$T$365)),0,IF(DATE($C382,11,15)&gt;=$X$365,$AA$365*(1+($U$365)/100)^MAX(0,$C382-$AD$365),IF(DATE($C382,11,15)&gt;=$W$365,$Z$365*(1+($U$365)/100)^MAX(0,$C382-$AC$365),IF(DATE($C382,11,15)&gt;=$V$365,$Y$365*(1+($U$365)/100)^MAX(0,$C382-$AB$365),0)))))</f>
      </c>
      <c r="P382" s="43">
        <f>IF($S$365=0,0,IF(OR(DATE($C382,12,15)&lt;$S$365,AND($T$365&gt;0,DATE($C382,12,15)&gt;$T$365)),0,IF(DATE($C382,12,15)&gt;=$X$365,$AA$365*(1+($U$365)/100)^MAX(0,$C382-$AD$365),IF(DATE($C382,12,15)&gt;=$W$365,$Z$365*(1+($U$365)/100)^MAX(0,$C382-$AC$365),IF(DATE($C382,12,15)&gt;=$V$365,$Y$365*(1+($U$365)/100)^MAX(0,$C382-$AB$365),0)))))</f>
      </c>
      <c r="Q382" s="43">
        <f>SUM($E382:$P382)</f>
      </c>
    </row>
    <row r="383">
      <c r="A383"/>
      <c r="B383">
        <v>12</v>
      </c>
      <c r="C383" s="43">
        <f>Jahr+18</f>
      </c>
      <c r="D383" s="43">
        <f>INDEX(MvObj,12)</f>
      </c>
      <c r="E383" s="43">
        <f>IF($S$365=0,0,IF(OR(DATE($C383,1,15)&lt;$S$365,AND($T$365&gt;0,DATE($C383,1,15)&gt;$T$365)),0,IF(DATE($C383,1,15)&gt;=$X$365,$AA$365*(1+($U$365)/100)^MAX(0,$C383-$AD$365),IF(DATE($C383,1,15)&gt;=$W$365,$Z$365*(1+($U$365)/100)^MAX(0,$C383-$AC$365),IF(DATE($C383,1,15)&gt;=$V$365,$Y$365*(1+($U$365)/100)^MAX(0,$C383-$AB$365),0)))))</f>
      </c>
      <c r="F383" s="43">
        <f>IF($S$365=0,0,IF(OR(DATE($C383,2,15)&lt;$S$365,AND($T$365&gt;0,DATE($C383,2,15)&gt;$T$365)),0,IF(DATE($C383,2,15)&gt;=$X$365,$AA$365*(1+($U$365)/100)^MAX(0,$C383-$AD$365),IF(DATE($C383,2,15)&gt;=$W$365,$Z$365*(1+($U$365)/100)^MAX(0,$C383-$AC$365),IF(DATE($C383,2,15)&gt;=$V$365,$Y$365*(1+($U$365)/100)^MAX(0,$C383-$AB$365),0)))))</f>
      </c>
      <c r="G383" s="43">
        <f>IF($S$365=0,0,IF(OR(DATE($C383,3,15)&lt;$S$365,AND($T$365&gt;0,DATE($C383,3,15)&gt;$T$365)),0,IF(DATE($C383,3,15)&gt;=$X$365,$AA$365*(1+($U$365)/100)^MAX(0,$C383-$AD$365),IF(DATE($C383,3,15)&gt;=$W$365,$Z$365*(1+($U$365)/100)^MAX(0,$C383-$AC$365),IF(DATE($C383,3,15)&gt;=$V$365,$Y$365*(1+($U$365)/100)^MAX(0,$C383-$AB$365),0)))))</f>
      </c>
      <c r="H383" s="43">
        <f>IF($S$365=0,0,IF(OR(DATE($C383,4,15)&lt;$S$365,AND($T$365&gt;0,DATE($C383,4,15)&gt;$T$365)),0,IF(DATE($C383,4,15)&gt;=$X$365,$AA$365*(1+($U$365)/100)^MAX(0,$C383-$AD$365),IF(DATE($C383,4,15)&gt;=$W$365,$Z$365*(1+($U$365)/100)^MAX(0,$C383-$AC$365),IF(DATE($C383,4,15)&gt;=$V$365,$Y$365*(1+($U$365)/100)^MAX(0,$C383-$AB$365),0)))))</f>
      </c>
      <c r="I383" s="43">
        <f>IF($S$365=0,0,IF(OR(DATE($C383,5,15)&lt;$S$365,AND($T$365&gt;0,DATE($C383,5,15)&gt;$T$365)),0,IF(DATE($C383,5,15)&gt;=$X$365,$AA$365*(1+($U$365)/100)^MAX(0,$C383-$AD$365),IF(DATE($C383,5,15)&gt;=$W$365,$Z$365*(1+($U$365)/100)^MAX(0,$C383-$AC$365),IF(DATE($C383,5,15)&gt;=$V$365,$Y$365*(1+($U$365)/100)^MAX(0,$C383-$AB$365),0)))))</f>
      </c>
      <c r="J383" s="43">
        <f>IF($S$365=0,0,IF(OR(DATE($C383,6,15)&lt;$S$365,AND($T$365&gt;0,DATE($C383,6,15)&gt;$T$365)),0,IF(DATE($C383,6,15)&gt;=$X$365,$AA$365*(1+($U$365)/100)^MAX(0,$C383-$AD$365),IF(DATE($C383,6,15)&gt;=$W$365,$Z$365*(1+($U$365)/100)^MAX(0,$C383-$AC$365),IF(DATE($C383,6,15)&gt;=$V$365,$Y$365*(1+($U$365)/100)^MAX(0,$C383-$AB$365),0)))))</f>
      </c>
      <c r="K383" s="43">
        <f>IF($S$365=0,0,IF(OR(DATE($C383,7,15)&lt;$S$365,AND($T$365&gt;0,DATE($C383,7,15)&gt;$T$365)),0,IF(DATE($C383,7,15)&gt;=$X$365,$AA$365*(1+($U$365)/100)^MAX(0,$C383-$AD$365),IF(DATE($C383,7,15)&gt;=$W$365,$Z$365*(1+($U$365)/100)^MAX(0,$C383-$AC$365),IF(DATE($C383,7,15)&gt;=$V$365,$Y$365*(1+($U$365)/100)^MAX(0,$C383-$AB$365),0)))))</f>
      </c>
      <c r="L383" s="43">
        <f>IF($S$365=0,0,IF(OR(DATE($C383,8,15)&lt;$S$365,AND($T$365&gt;0,DATE($C383,8,15)&gt;$T$365)),0,IF(DATE($C383,8,15)&gt;=$X$365,$AA$365*(1+($U$365)/100)^MAX(0,$C383-$AD$365),IF(DATE($C383,8,15)&gt;=$W$365,$Z$365*(1+($U$365)/100)^MAX(0,$C383-$AC$365),IF(DATE($C383,8,15)&gt;=$V$365,$Y$365*(1+($U$365)/100)^MAX(0,$C383-$AB$365),0)))))</f>
      </c>
      <c r="M383" s="43">
        <f>IF($S$365=0,0,IF(OR(DATE($C383,9,15)&lt;$S$365,AND($T$365&gt;0,DATE($C383,9,15)&gt;$T$365)),0,IF(DATE($C383,9,15)&gt;=$X$365,$AA$365*(1+($U$365)/100)^MAX(0,$C383-$AD$365),IF(DATE($C383,9,15)&gt;=$W$365,$Z$365*(1+($U$365)/100)^MAX(0,$C383-$AC$365),IF(DATE($C383,9,15)&gt;=$V$365,$Y$365*(1+($U$365)/100)^MAX(0,$C383-$AB$365),0)))))</f>
      </c>
      <c r="N383" s="43">
        <f>IF($S$365=0,0,IF(OR(DATE($C383,10,15)&lt;$S$365,AND($T$365&gt;0,DATE($C383,10,15)&gt;$T$365)),0,IF(DATE($C383,10,15)&gt;=$X$365,$AA$365*(1+($U$365)/100)^MAX(0,$C383-$AD$365),IF(DATE($C383,10,15)&gt;=$W$365,$Z$365*(1+($U$365)/100)^MAX(0,$C383-$AC$365),IF(DATE($C383,10,15)&gt;=$V$365,$Y$365*(1+($U$365)/100)^MAX(0,$C383-$AB$365),0)))))</f>
      </c>
      <c r="O383" s="43">
        <f>IF($S$365=0,0,IF(OR(DATE($C383,11,15)&lt;$S$365,AND($T$365&gt;0,DATE($C383,11,15)&gt;$T$365)),0,IF(DATE($C383,11,15)&gt;=$X$365,$AA$365*(1+($U$365)/100)^MAX(0,$C383-$AD$365),IF(DATE($C383,11,15)&gt;=$W$365,$Z$365*(1+($U$365)/100)^MAX(0,$C383-$AC$365),IF(DATE($C383,11,15)&gt;=$V$365,$Y$365*(1+($U$365)/100)^MAX(0,$C383-$AB$365),0)))))</f>
      </c>
      <c r="P383" s="43">
        <f>IF($S$365=0,0,IF(OR(DATE($C383,12,15)&lt;$S$365,AND($T$365&gt;0,DATE($C383,12,15)&gt;$T$365)),0,IF(DATE($C383,12,15)&gt;=$X$365,$AA$365*(1+($U$365)/100)^MAX(0,$C383-$AD$365),IF(DATE($C383,12,15)&gt;=$W$365,$Z$365*(1+($U$365)/100)^MAX(0,$C383-$AC$365),IF(DATE($C383,12,15)&gt;=$V$365,$Y$365*(1+($U$365)/100)^MAX(0,$C383-$AB$365),0)))))</f>
      </c>
      <c r="Q383" s="43">
        <f>SUM($E383:$P383)</f>
      </c>
    </row>
    <row r="384">
      <c r="A384"/>
      <c r="B384">
        <v>12</v>
      </c>
      <c r="C384" s="43">
        <f>Jahr+19</f>
      </c>
      <c r="D384" s="43">
        <f>INDEX(MvObj,12)</f>
      </c>
      <c r="E384" s="43">
        <f>IF($S$365=0,0,IF(OR(DATE($C384,1,15)&lt;$S$365,AND($T$365&gt;0,DATE($C384,1,15)&gt;$T$365)),0,IF(DATE($C384,1,15)&gt;=$X$365,$AA$365*(1+($U$365)/100)^MAX(0,$C384-$AD$365),IF(DATE($C384,1,15)&gt;=$W$365,$Z$365*(1+($U$365)/100)^MAX(0,$C384-$AC$365),IF(DATE($C384,1,15)&gt;=$V$365,$Y$365*(1+($U$365)/100)^MAX(0,$C384-$AB$365),0)))))</f>
      </c>
      <c r="F384" s="43">
        <f>IF($S$365=0,0,IF(OR(DATE($C384,2,15)&lt;$S$365,AND($T$365&gt;0,DATE($C384,2,15)&gt;$T$365)),0,IF(DATE($C384,2,15)&gt;=$X$365,$AA$365*(1+($U$365)/100)^MAX(0,$C384-$AD$365),IF(DATE($C384,2,15)&gt;=$W$365,$Z$365*(1+($U$365)/100)^MAX(0,$C384-$AC$365),IF(DATE($C384,2,15)&gt;=$V$365,$Y$365*(1+($U$365)/100)^MAX(0,$C384-$AB$365),0)))))</f>
      </c>
      <c r="G384" s="43">
        <f>IF($S$365=0,0,IF(OR(DATE($C384,3,15)&lt;$S$365,AND($T$365&gt;0,DATE($C384,3,15)&gt;$T$365)),0,IF(DATE($C384,3,15)&gt;=$X$365,$AA$365*(1+($U$365)/100)^MAX(0,$C384-$AD$365),IF(DATE($C384,3,15)&gt;=$W$365,$Z$365*(1+($U$365)/100)^MAX(0,$C384-$AC$365),IF(DATE($C384,3,15)&gt;=$V$365,$Y$365*(1+($U$365)/100)^MAX(0,$C384-$AB$365),0)))))</f>
      </c>
      <c r="H384" s="43">
        <f>IF($S$365=0,0,IF(OR(DATE($C384,4,15)&lt;$S$365,AND($T$365&gt;0,DATE($C384,4,15)&gt;$T$365)),0,IF(DATE($C384,4,15)&gt;=$X$365,$AA$365*(1+($U$365)/100)^MAX(0,$C384-$AD$365),IF(DATE($C384,4,15)&gt;=$W$365,$Z$365*(1+($U$365)/100)^MAX(0,$C384-$AC$365),IF(DATE($C384,4,15)&gt;=$V$365,$Y$365*(1+($U$365)/100)^MAX(0,$C384-$AB$365),0)))))</f>
      </c>
      <c r="I384" s="43">
        <f>IF($S$365=0,0,IF(OR(DATE($C384,5,15)&lt;$S$365,AND($T$365&gt;0,DATE($C384,5,15)&gt;$T$365)),0,IF(DATE($C384,5,15)&gt;=$X$365,$AA$365*(1+($U$365)/100)^MAX(0,$C384-$AD$365),IF(DATE($C384,5,15)&gt;=$W$365,$Z$365*(1+($U$365)/100)^MAX(0,$C384-$AC$365),IF(DATE($C384,5,15)&gt;=$V$365,$Y$365*(1+($U$365)/100)^MAX(0,$C384-$AB$365),0)))))</f>
      </c>
      <c r="J384" s="43">
        <f>IF($S$365=0,0,IF(OR(DATE($C384,6,15)&lt;$S$365,AND($T$365&gt;0,DATE($C384,6,15)&gt;$T$365)),0,IF(DATE($C384,6,15)&gt;=$X$365,$AA$365*(1+($U$365)/100)^MAX(0,$C384-$AD$365),IF(DATE($C384,6,15)&gt;=$W$365,$Z$365*(1+($U$365)/100)^MAX(0,$C384-$AC$365),IF(DATE($C384,6,15)&gt;=$V$365,$Y$365*(1+($U$365)/100)^MAX(0,$C384-$AB$365),0)))))</f>
      </c>
      <c r="K384" s="43">
        <f>IF($S$365=0,0,IF(OR(DATE($C384,7,15)&lt;$S$365,AND($T$365&gt;0,DATE($C384,7,15)&gt;$T$365)),0,IF(DATE($C384,7,15)&gt;=$X$365,$AA$365*(1+($U$365)/100)^MAX(0,$C384-$AD$365),IF(DATE($C384,7,15)&gt;=$W$365,$Z$365*(1+($U$365)/100)^MAX(0,$C384-$AC$365),IF(DATE($C384,7,15)&gt;=$V$365,$Y$365*(1+($U$365)/100)^MAX(0,$C384-$AB$365),0)))))</f>
      </c>
      <c r="L384" s="43">
        <f>IF($S$365=0,0,IF(OR(DATE($C384,8,15)&lt;$S$365,AND($T$365&gt;0,DATE($C384,8,15)&gt;$T$365)),0,IF(DATE($C384,8,15)&gt;=$X$365,$AA$365*(1+($U$365)/100)^MAX(0,$C384-$AD$365),IF(DATE($C384,8,15)&gt;=$W$365,$Z$365*(1+($U$365)/100)^MAX(0,$C384-$AC$365),IF(DATE($C384,8,15)&gt;=$V$365,$Y$365*(1+($U$365)/100)^MAX(0,$C384-$AB$365),0)))))</f>
      </c>
      <c r="M384" s="43">
        <f>IF($S$365=0,0,IF(OR(DATE($C384,9,15)&lt;$S$365,AND($T$365&gt;0,DATE($C384,9,15)&gt;$T$365)),0,IF(DATE($C384,9,15)&gt;=$X$365,$AA$365*(1+($U$365)/100)^MAX(0,$C384-$AD$365),IF(DATE($C384,9,15)&gt;=$W$365,$Z$365*(1+($U$365)/100)^MAX(0,$C384-$AC$365),IF(DATE($C384,9,15)&gt;=$V$365,$Y$365*(1+($U$365)/100)^MAX(0,$C384-$AB$365),0)))))</f>
      </c>
      <c r="N384" s="43">
        <f>IF($S$365=0,0,IF(OR(DATE($C384,10,15)&lt;$S$365,AND($T$365&gt;0,DATE($C384,10,15)&gt;$T$365)),0,IF(DATE($C384,10,15)&gt;=$X$365,$AA$365*(1+($U$365)/100)^MAX(0,$C384-$AD$365),IF(DATE($C384,10,15)&gt;=$W$365,$Z$365*(1+($U$365)/100)^MAX(0,$C384-$AC$365),IF(DATE($C384,10,15)&gt;=$V$365,$Y$365*(1+($U$365)/100)^MAX(0,$C384-$AB$365),0)))))</f>
      </c>
      <c r="O384" s="43">
        <f>IF($S$365=0,0,IF(OR(DATE($C384,11,15)&lt;$S$365,AND($T$365&gt;0,DATE($C384,11,15)&gt;$T$365)),0,IF(DATE($C384,11,15)&gt;=$X$365,$AA$365*(1+($U$365)/100)^MAX(0,$C384-$AD$365),IF(DATE($C384,11,15)&gt;=$W$365,$Z$365*(1+($U$365)/100)^MAX(0,$C384-$AC$365),IF(DATE($C384,11,15)&gt;=$V$365,$Y$365*(1+($U$365)/100)^MAX(0,$C384-$AB$365),0)))))</f>
      </c>
      <c r="P384" s="43">
        <f>IF($S$365=0,0,IF(OR(DATE($C384,12,15)&lt;$S$365,AND($T$365&gt;0,DATE($C384,12,15)&gt;$T$365)),0,IF(DATE($C384,12,15)&gt;=$X$365,$AA$365*(1+($U$365)/100)^MAX(0,$C384-$AD$365),IF(DATE($C384,12,15)&gt;=$W$365,$Z$365*(1+($U$365)/100)^MAX(0,$C384-$AC$365),IF(DATE($C384,12,15)&gt;=$V$365,$Y$365*(1+($U$365)/100)^MAX(0,$C384-$AB$365),0)))))</f>
      </c>
      <c r="Q384" s="43">
        <f>SUM($E384:$P384)</f>
      </c>
    </row>
    <row r="385">
      <c r="A385"/>
      <c r="B385">
        <v>12</v>
      </c>
      <c r="C385" s="43">
        <f>Jahr+20</f>
      </c>
      <c r="D385" s="43">
        <f>INDEX(MvObj,12)</f>
      </c>
      <c r="E385" s="43">
        <f>IF($S$365=0,0,IF(OR(DATE($C385,1,15)&lt;$S$365,AND($T$365&gt;0,DATE($C385,1,15)&gt;$T$365)),0,IF(DATE($C385,1,15)&gt;=$X$365,$AA$365*(1+($U$365)/100)^MAX(0,$C385-$AD$365),IF(DATE($C385,1,15)&gt;=$W$365,$Z$365*(1+($U$365)/100)^MAX(0,$C385-$AC$365),IF(DATE($C385,1,15)&gt;=$V$365,$Y$365*(1+($U$365)/100)^MAX(0,$C385-$AB$365),0)))))</f>
      </c>
      <c r="F385" s="43">
        <f>IF($S$365=0,0,IF(OR(DATE($C385,2,15)&lt;$S$365,AND($T$365&gt;0,DATE($C385,2,15)&gt;$T$365)),0,IF(DATE($C385,2,15)&gt;=$X$365,$AA$365*(1+($U$365)/100)^MAX(0,$C385-$AD$365),IF(DATE($C385,2,15)&gt;=$W$365,$Z$365*(1+($U$365)/100)^MAX(0,$C385-$AC$365),IF(DATE($C385,2,15)&gt;=$V$365,$Y$365*(1+($U$365)/100)^MAX(0,$C385-$AB$365),0)))))</f>
      </c>
      <c r="G385" s="43">
        <f>IF($S$365=0,0,IF(OR(DATE($C385,3,15)&lt;$S$365,AND($T$365&gt;0,DATE($C385,3,15)&gt;$T$365)),0,IF(DATE($C385,3,15)&gt;=$X$365,$AA$365*(1+($U$365)/100)^MAX(0,$C385-$AD$365),IF(DATE($C385,3,15)&gt;=$W$365,$Z$365*(1+($U$365)/100)^MAX(0,$C385-$AC$365),IF(DATE($C385,3,15)&gt;=$V$365,$Y$365*(1+($U$365)/100)^MAX(0,$C385-$AB$365),0)))))</f>
      </c>
      <c r="H385" s="43">
        <f>IF($S$365=0,0,IF(OR(DATE($C385,4,15)&lt;$S$365,AND($T$365&gt;0,DATE($C385,4,15)&gt;$T$365)),0,IF(DATE($C385,4,15)&gt;=$X$365,$AA$365*(1+($U$365)/100)^MAX(0,$C385-$AD$365),IF(DATE($C385,4,15)&gt;=$W$365,$Z$365*(1+($U$365)/100)^MAX(0,$C385-$AC$365),IF(DATE($C385,4,15)&gt;=$V$365,$Y$365*(1+($U$365)/100)^MAX(0,$C385-$AB$365),0)))))</f>
      </c>
      <c r="I385" s="43">
        <f>IF($S$365=0,0,IF(OR(DATE($C385,5,15)&lt;$S$365,AND($T$365&gt;0,DATE($C385,5,15)&gt;$T$365)),0,IF(DATE($C385,5,15)&gt;=$X$365,$AA$365*(1+($U$365)/100)^MAX(0,$C385-$AD$365),IF(DATE($C385,5,15)&gt;=$W$365,$Z$365*(1+($U$365)/100)^MAX(0,$C385-$AC$365),IF(DATE($C385,5,15)&gt;=$V$365,$Y$365*(1+($U$365)/100)^MAX(0,$C385-$AB$365),0)))))</f>
      </c>
      <c r="J385" s="43">
        <f>IF($S$365=0,0,IF(OR(DATE($C385,6,15)&lt;$S$365,AND($T$365&gt;0,DATE($C385,6,15)&gt;$T$365)),0,IF(DATE($C385,6,15)&gt;=$X$365,$AA$365*(1+($U$365)/100)^MAX(0,$C385-$AD$365),IF(DATE($C385,6,15)&gt;=$W$365,$Z$365*(1+($U$365)/100)^MAX(0,$C385-$AC$365),IF(DATE($C385,6,15)&gt;=$V$365,$Y$365*(1+($U$365)/100)^MAX(0,$C385-$AB$365),0)))))</f>
      </c>
      <c r="K385" s="43">
        <f>IF($S$365=0,0,IF(OR(DATE($C385,7,15)&lt;$S$365,AND($T$365&gt;0,DATE($C385,7,15)&gt;$T$365)),0,IF(DATE($C385,7,15)&gt;=$X$365,$AA$365*(1+($U$365)/100)^MAX(0,$C385-$AD$365),IF(DATE($C385,7,15)&gt;=$W$365,$Z$365*(1+($U$365)/100)^MAX(0,$C385-$AC$365),IF(DATE($C385,7,15)&gt;=$V$365,$Y$365*(1+($U$365)/100)^MAX(0,$C385-$AB$365),0)))))</f>
      </c>
      <c r="L385" s="43">
        <f>IF($S$365=0,0,IF(OR(DATE($C385,8,15)&lt;$S$365,AND($T$365&gt;0,DATE($C385,8,15)&gt;$T$365)),0,IF(DATE($C385,8,15)&gt;=$X$365,$AA$365*(1+($U$365)/100)^MAX(0,$C385-$AD$365),IF(DATE($C385,8,15)&gt;=$W$365,$Z$365*(1+($U$365)/100)^MAX(0,$C385-$AC$365),IF(DATE($C385,8,15)&gt;=$V$365,$Y$365*(1+($U$365)/100)^MAX(0,$C385-$AB$365),0)))))</f>
      </c>
      <c r="M385" s="43">
        <f>IF($S$365=0,0,IF(OR(DATE($C385,9,15)&lt;$S$365,AND($T$365&gt;0,DATE($C385,9,15)&gt;$T$365)),0,IF(DATE($C385,9,15)&gt;=$X$365,$AA$365*(1+($U$365)/100)^MAX(0,$C385-$AD$365),IF(DATE($C385,9,15)&gt;=$W$365,$Z$365*(1+($U$365)/100)^MAX(0,$C385-$AC$365),IF(DATE($C385,9,15)&gt;=$V$365,$Y$365*(1+($U$365)/100)^MAX(0,$C385-$AB$365),0)))))</f>
      </c>
      <c r="N385" s="43">
        <f>IF($S$365=0,0,IF(OR(DATE($C385,10,15)&lt;$S$365,AND($T$365&gt;0,DATE($C385,10,15)&gt;$T$365)),0,IF(DATE($C385,10,15)&gt;=$X$365,$AA$365*(1+($U$365)/100)^MAX(0,$C385-$AD$365),IF(DATE($C385,10,15)&gt;=$W$365,$Z$365*(1+($U$365)/100)^MAX(0,$C385-$AC$365),IF(DATE($C385,10,15)&gt;=$V$365,$Y$365*(1+($U$365)/100)^MAX(0,$C385-$AB$365),0)))))</f>
      </c>
      <c r="O385" s="43">
        <f>IF($S$365=0,0,IF(OR(DATE($C385,11,15)&lt;$S$365,AND($T$365&gt;0,DATE($C385,11,15)&gt;$T$365)),0,IF(DATE($C385,11,15)&gt;=$X$365,$AA$365*(1+($U$365)/100)^MAX(0,$C385-$AD$365),IF(DATE($C385,11,15)&gt;=$W$365,$Z$365*(1+($U$365)/100)^MAX(0,$C385-$AC$365),IF(DATE($C385,11,15)&gt;=$V$365,$Y$365*(1+($U$365)/100)^MAX(0,$C385-$AB$365),0)))))</f>
      </c>
      <c r="P385" s="43">
        <f>IF($S$365=0,0,IF(OR(DATE($C385,12,15)&lt;$S$365,AND($T$365&gt;0,DATE($C385,12,15)&gt;$T$365)),0,IF(DATE($C385,12,15)&gt;=$X$365,$AA$365*(1+($U$365)/100)^MAX(0,$C385-$AD$365),IF(DATE($C385,12,15)&gt;=$W$365,$Z$365*(1+($U$365)/100)^MAX(0,$C385-$AC$365),IF(DATE($C385,12,15)&gt;=$V$365,$Y$365*(1+($U$365)/100)^MAX(0,$C385-$AB$365),0)))))</f>
      </c>
      <c r="Q385" s="43">
        <f>SUM($E385:$P385)</f>
      </c>
    </row>
    <row r="386">
      <c r="A386"/>
      <c r="B386">
        <v>12</v>
      </c>
      <c r="C386" s="43">
        <f>Jahr+21</f>
      </c>
      <c r="D386" s="43">
        <f>INDEX(MvObj,12)</f>
      </c>
      <c r="E386" s="43">
        <f>IF($S$365=0,0,IF(OR(DATE($C386,1,15)&lt;$S$365,AND($T$365&gt;0,DATE($C386,1,15)&gt;$T$365)),0,IF(DATE($C386,1,15)&gt;=$X$365,$AA$365*(1+($U$365)/100)^MAX(0,$C386-$AD$365),IF(DATE($C386,1,15)&gt;=$W$365,$Z$365*(1+($U$365)/100)^MAX(0,$C386-$AC$365),IF(DATE($C386,1,15)&gt;=$V$365,$Y$365*(1+($U$365)/100)^MAX(0,$C386-$AB$365),0)))))</f>
      </c>
      <c r="F386" s="43">
        <f>IF($S$365=0,0,IF(OR(DATE($C386,2,15)&lt;$S$365,AND($T$365&gt;0,DATE($C386,2,15)&gt;$T$365)),0,IF(DATE($C386,2,15)&gt;=$X$365,$AA$365*(1+($U$365)/100)^MAX(0,$C386-$AD$365),IF(DATE($C386,2,15)&gt;=$W$365,$Z$365*(1+($U$365)/100)^MAX(0,$C386-$AC$365),IF(DATE($C386,2,15)&gt;=$V$365,$Y$365*(1+($U$365)/100)^MAX(0,$C386-$AB$365),0)))))</f>
      </c>
      <c r="G386" s="43">
        <f>IF($S$365=0,0,IF(OR(DATE($C386,3,15)&lt;$S$365,AND($T$365&gt;0,DATE($C386,3,15)&gt;$T$365)),0,IF(DATE($C386,3,15)&gt;=$X$365,$AA$365*(1+($U$365)/100)^MAX(0,$C386-$AD$365),IF(DATE($C386,3,15)&gt;=$W$365,$Z$365*(1+($U$365)/100)^MAX(0,$C386-$AC$365),IF(DATE($C386,3,15)&gt;=$V$365,$Y$365*(1+($U$365)/100)^MAX(0,$C386-$AB$365),0)))))</f>
      </c>
      <c r="H386" s="43">
        <f>IF($S$365=0,0,IF(OR(DATE($C386,4,15)&lt;$S$365,AND($T$365&gt;0,DATE($C386,4,15)&gt;$T$365)),0,IF(DATE($C386,4,15)&gt;=$X$365,$AA$365*(1+($U$365)/100)^MAX(0,$C386-$AD$365),IF(DATE($C386,4,15)&gt;=$W$365,$Z$365*(1+($U$365)/100)^MAX(0,$C386-$AC$365),IF(DATE($C386,4,15)&gt;=$V$365,$Y$365*(1+($U$365)/100)^MAX(0,$C386-$AB$365),0)))))</f>
      </c>
      <c r="I386" s="43">
        <f>IF($S$365=0,0,IF(OR(DATE($C386,5,15)&lt;$S$365,AND($T$365&gt;0,DATE($C386,5,15)&gt;$T$365)),0,IF(DATE($C386,5,15)&gt;=$X$365,$AA$365*(1+($U$365)/100)^MAX(0,$C386-$AD$365),IF(DATE($C386,5,15)&gt;=$W$365,$Z$365*(1+($U$365)/100)^MAX(0,$C386-$AC$365),IF(DATE($C386,5,15)&gt;=$V$365,$Y$365*(1+($U$365)/100)^MAX(0,$C386-$AB$365),0)))))</f>
      </c>
      <c r="J386" s="43">
        <f>IF($S$365=0,0,IF(OR(DATE($C386,6,15)&lt;$S$365,AND($T$365&gt;0,DATE($C386,6,15)&gt;$T$365)),0,IF(DATE($C386,6,15)&gt;=$X$365,$AA$365*(1+($U$365)/100)^MAX(0,$C386-$AD$365),IF(DATE($C386,6,15)&gt;=$W$365,$Z$365*(1+($U$365)/100)^MAX(0,$C386-$AC$365),IF(DATE($C386,6,15)&gt;=$V$365,$Y$365*(1+($U$365)/100)^MAX(0,$C386-$AB$365),0)))))</f>
      </c>
      <c r="K386" s="43">
        <f>IF($S$365=0,0,IF(OR(DATE($C386,7,15)&lt;$S$365,AND($T$365&gt;0,DATE($C386,7,15)&gt;$T$365)),0,IF(DATE($C386,7,15)&gt;=$X$365,$AA$365*(1+($U$365)/100)^MAX(0,$C386-$AD$365),IF(DATE($C386,7,15)&gt;=$W$365,$Z$365*(1+($U$365)/100)^MAX(0,$C386-$AC$365),IF(DATE($C386,7,15)&gt;=$V$365,$Y$365*(1+($U$365)/100)^MAX(0,$C386-$AB$365),0)))))</f>
      </c>
      <c r="L386" s="43">
        <f>IF($S$365=0,0,IF(OR(DATE($C386,8,15)&lt;$S$365,AND($T$365&gt;0,DATE($C386,8,15)&gt;$T$365)),0,IF(DATE($C386,8,15)&gt;=$X$365,$AA$365*(1+($U$365)/100)^MAX(0,$C386-$AD$365),IF(DATE($C386,8,15)&gt;=$W$365,$Z$365*(1+($U$365)/100)^MAX(0,$C386-$AC$365),IF(DATE($C386,8,15)&gt;=$V$365,$Y$365*(1+($U$365)/100)^MAX(0,$C386-$AB$365),0)))))</f>
      </c>
      <c r="M386" s="43">
        <f>IF($S$365=0,0,IF(OR(DATE($C386,9,15)&lt;$S$365,AND($T$365&gt;0,DATE($C386,9,15)&gt;$T$365)),0,IF(DATE($C386,9,15)&gt;=$X$365,$AA$365*(1+($U$365)/100)^MAX(0,$C386-$AD$365),IF(DATE($C386,9,15)&gt;=$W$365,$Z$365*(1+($U$365)/100)^MAX(0,$C386-$AC$365),IF(DATE($C386,9,15)&gt;=$V$365,$Y$365*(1+($U$365)/100)^MAX(0,$C386-$AB$365),0)))))</f>
      </c>
      <c r="N386" s="43">
        <f>IF($S$365=0,0,IF(OR(DATE($C386,10,15)&lt;$S$365,AND($T$365&gt;0,DATE($C386,10,15)&gt;$T$365)),0,IF(DATE($C386,10,15)&gt;=$X$365,$AA$365*(1+($U$365)/100)^MAX(0,$C386-$AD$365),IF(DATE($C386,10,15)&gt;=$W$365,$Z$365*(1+($U$365)/100)^MAX(0,$C386-$AC$365),IF(DATE($C386,10,15)&gt;=$V$365,$Y$365*(1+($U$365)/100)^MAX(0,$C386-$AB$365),0)))))</f>
      </c>
      <c r="O386" s="43">
        <f>IF($S$365=0,0,IF(OR(DATE($C386,11,15)&lt;$S$365,AND($T$365&gt;0,DATE($C386,11,15)&gt;$T$365)),0,IF(DATE($C386,11,15)&gt;=$X$365,$AA$365*(1+($U$365)/100)^MAX(0,$C386-$AD$365),IF(DATE($C386,11,15)&gt;=$W$365,$Z$365*(1+($U$365)/100)^MAX(0,$C386-$AC$365),IF(DATE($C386,11,15)&gt;=$V$365,$Y$365*(1+($U$365)/100)^MAX(0,$C386-$AB$365),0)))))</f>
      </c>
      <c r="P386" s="43">
        <f>IF($S$365=0,0,IF(OR(DATE($C386,12,15)&lt;$S$365,AND($T$365&gt;0,DATE($C386,12,15)&gt;$T$365)),0,IF(DATE($C386,12,15)&gt;=$X$365,$AA$365*(1+($U$365)/100)^MAX(0,$C386-$AD$365),IF(DATE($C386,12,15)&gt;=$W$365,$Z$365*(1+($U$365)/100)^MAX(0,$C386-$AC$365),IF(DATE($C386,12,15)&gt;=$V$365,$Y$365*(1+($U$365)/100)^MAX(0,$C386-$AB$365),0)))))</f>
      </c>
      <c r="Q386" s="43">
        <f>SUM($E386:$P386)</f>
      </c>
    </row>
    <row r="387">
      <c r="A387"/>
      <c r="B387">
        <v>12</v>
      </c>
      <c r="C387" s="43">
        <f>Jahr+22</f>
      </c>
      <c r="D387" s="43">
        <f>INDEX(MvObj,12)</f>
      </c>
      <c r="E387" s="43">
        <f>IF($S$365=0,0,IF(OR(DATE($C387,1,15)&lt;$S$365,AND($T$365&gt;0,DATE($C387,1,15)&gt;$T$365)),0,IF(DATE($C387,1,15)&gt;=$X$365,$AA$365*(1+($U$365)/100)^MAX(0,$C387-$AD$365),IF(DATE($C387,1,15)&gt;=$W$365,$Z$365*(1+($U$365)/100)^MAX(0,$C387-$AC$365),IF(DATE($C387,1,15)&gt;=$V$365,$Y$365*(1+($U$365)/100)^MAX(0,$C387-$AB$365),0)))))</f>
      </c>
      <c r="F387" s="43">
        <f>IF($S$365=0,0,IF(OR(DATE($C387,2,15)&lt;$S$365,AND($T$365&gt;0,DATE($C387,2,15)&gt;$T$365)),0,IF(DATE($C387,2,15)&gt;=$X$365,$AA$365*(1+($U$365)/100)^MAX(0,$C387-$AD$365),IF(DATE($C387,2,15)&gt;=$W$365,$Z$365*(1+($U$365)/100)^MAX(0,$C387-$AC$365),IF(DATE($C387,2,15)&gt;=$V$365,$Y$365*(1+($U$365)/100)^MAX(0,$C387-$AB$365),0)))))</f>
      </c>
      <c r="G387" s="43">
        <f>IF($S$365=0,0,IF(OR(DATE($C387,3,15)&lt;$S$365,AND($T$365&gt;0,DATE($C387,3,15)&gt;$T$365)),0,IF(DATE($C387,3,15)&gt;=$X$365,$AA$365*(1+($U$365)/100)^MAX(0,$C387-$AD$365),IF(DATE($C387,3,15)&gt;=$W$365,$Z$365*(1+($U$365)/100)^MAX(0,$C387-$AC$365),IF(DATE($C387,3,15)&gt;=$V$365,$Y$365*(1+($U$365)/100)^MAX(0,$C387-$AB$365),0)))))</f>
      </c>
      <c r="H387" s="43">
        <f>IF($S$365=0,0,IF(OR(DATE($C387,4,15)&lt;$S$365,AND($T$365&gt;0,DATE($C387,4,15)&gt;$T$365)),0,IF(DATE($C387,4,15)&gt;=$X$365,$AA$365*(1+($U$365)/100)^MAX(0,$C387-$AD$365),IF(DATE($C387,4,15)&gt;=$W$365,$Z$365*(1+($U$365)/100)^MAX(0,$C387-$AC$365),IF(DATE($C387,4,15)&gt;=$V$365,$Y$365*(1+($U$365)/100)^MAX(0,$C387-$AB$365),0)))))</f>
      </c>
      <c r="I387" s="43">
        <f>IF($S$365=0,0,IF(OR(DATE($C387,5,15)&lt;$S$365,AND($T$365&gt;0,DATE($C387,5,15)&gt;$T$365)),0,IF(DATE($C387,5,15)&gt;=$X$365,$AA$365*(1+($U$365)/100)^MAX(0,$C387-$AD$365),IF(DATE($C387,5,15)&gt;=$W$365,$Z$365*(1+($U$365)/100)^MAX(0,$C387-$AC$365),IF(DATE($C387,5,15)&gt;=$V$365,$Y$365*(1+($U$365)/100)^MAX(0,$C387-$AB$365),0)))))</f>
      </c>
      <c r="J387" s="43">
        <f>IF($S$365=0,0,IF(OR(DATE($C387,6,15)&lt;$S$365,AND($T$365&gt;0,DATE($C387,6,15)&gt;$T$365)),0,IF(DATE($C387,6,15)&gt;=$X$365,$AA$365*(1+($U$365)/100)^MAX(0,$C387-$AD$365),IF(DATE($C387,6,15)&gt;=$W$365,$Z$365*(1+($U$365)/100)^MAX(0,$C387-$AC$365),IF(DATE($C387,6,15)&gt;=$V$365,$Y$365*(1+($U$365)/100)^MAX(0,$C387-$AB$365),0)))))</f>
      </c>
      <c r="K387" s="43">
        <f>IF($S$365=0,0,IF(OR(DATE($C387,7,15)&lt;$S$365,AND($T$365&gt;0,DATE($C387,7,15)&gt;$T$365)),0,IF(DATE($C387,7,15)&gt;=$X$365,$AA$365*(1+($U$365)/100)^MAX(0,$C387-$AD$365),IF(DATE($C387,7,15)&gt;=$W$365,$Z$365*(1+($U$365)/100)^MAX(0,$C387-$AC$365),IF(DATE($C387,7,15)&gt;=$V$365,$Y$365*(1+($U$365)/100)^MAX(0,$C387-$AB$365),0)))))</f>
      </c>
      <c r="L387" s="43">
        <f>IF($S$365=0,0,IF(OR(DATE($C387,8,15)&lt;$S$365,AND($T$365&gt;0,DATE($C387,8,15)&gt;$T$365)),0,IF(DATE($C387,8,15)&gt;=$X$365,$AA$365*(1+($U$365)/100)^MAX(0,$C387-$AD$365),IF(DATE($C387,8,15)&gt;=$W$365,$Z$365*(1+($U$365)/100)^MAX(0,$C387-$AC$365),IF(DATE($C387,8,15)&gt;=$V$365,$Y$365*(1+($U$365)/100)^MAX(0,$C387-$AB$365),0)))))</f>
      </c>
      <c r="M387" s="43">
        <f>IF($S$365=0,0,IF(OR(DATE($C387,9,15)&lt;$S$365,AND($T$365&gt;0,DATE($C387,9,15)&gt;$T$365)),0,IF(DATE($C387,9,15)&gt;=$X$365,$AA$365*(1+($U$365)/100)^MAX(0,$C387-$AD$365),IF(DATE($C387,9,15)&gt;=$W$365,$Z$365*(1+($U$365)/100)^MAX(0,$C387-$AC$365),IF(DATE($C387,9,15)&gt;=$V$365,$Y$365*(1+($U$365)/100)^MAX(0,$C387-$AB$365),0)))))</f>
      </c>
      <c r="N387" s="43">
        <f>IF($S$365=0,0,IF(OR(DATE($C387,10,15)&lt;$S$365,AND($T$365&gt;0,DATE($C387,10,15)&gt;$T$365)),0,IF(DATE($C387,10,15)&gt;=$X$365,$AA$365*(1+($U$365)/100)^MAX(0,$C387-$AD$365),IF(DATE($C387,10,15)&gt;=$W$365,$Z$365*(1+($U$365)/100)^MAX(0,$C387-$AC$365),IF(DATE($C387,10,15)&gt;=$V$365,$Y$365*(1+($U$365)/100)^MAX(0,$C387-$AB$365),0)))))</f>
      </c>
      <c r="O387" s="43">
        <f>IF($S$365=0,0,IF(OR(DATE($C387,11,15)&lt;$S$365,AND($T$365&gt;0,DATE($C387,11,15)&gt;$T$365)),0,IF(DATE($C387,11,15)&gt;=$X$365,$AA$365*(1+($U$365)/100)^MAX(0,$C387-$AD$365),IF(DATE($C387,11,15)&gt;=$W$365,$Z$365*(1+($U$365)/100)^MAX(0,$C387-$AC$365),IF(DATE($C387,11,15)&gt;=$V$365,$Y$365*(1+($U$365)/100)^MAX(0,$C387-$AB$365),0)))))</f>
      </c>
      <c r="P387" s="43">
        <f>IF($S$365=0,0,IF(OR(DATE($C387,12,15)&lt;$S$365,AND($T$365&gt;0,DATE($C387,12,15)&gt;$T$365)),0,IF(DATE($C387,12,15)&gt;=$X$365,$AA$365*(1+($U$365)/100)^MAX(0,$C387-$AD$365),IF(DATE($C387,12,15)&gt;=$W$365,$Z$365*(1+($U$365)/100)^MAX(0,$C387-$AC$365),IF(DATE($C387,12,15)&gt;=$V$365,$Y$365*(1+($U$365)/100)^MAX(0,$C387-$AB$365),0)))))</f>
      </c>
      <c r="Q387" s="43">
        <f>SUM($E387:$P387)</f>
      </c>
    </row>
    <row r="388">
      <c r="A388"/>
      <c r="B388">
        <v>12</v>
      </c>
      <c r="C388" s="43">
        <f>Jahr+23</f>
      </c>
      <c r="D388" s="43">
        <f>INDEX(MvObj,12)</f>
      </c>
      <c r="E388" s="43">
        <f>IF($S$365=0,0,IF(OR(DATE($C388,1,15)&lt;$S$365,AND($T$365&gt;0,DATE($C388,1,15)&gt;$T$365)),0,IF(DATE($C388,1,15)&gt;=$X$365,$AA$365*(1+($U$365)/100)^MAX(0,$C388-$AD$365),IF(DATE($C388,1,15)&gt;=$W$365,$Z$365*(1+($U$365)/100)^MAX(0,$C388-$AC$365),IF(DATE($C388,1,15)&gt;=$V$365,$Y$365*(1+($U$365)/100)^MAX(0,$C388-$AB$365),0)))))</f>
      </c>
      <c r="F388" s="43">
        <f>IF($S$365=0,0,IF(OR(DATE($C388,2,15)&lt;$S$365,AND($T$365&gt;0,DATE($C388,2,15)&gt;$T$365)),0,IF(DATE($C388,2,15)&gt;=$X$365,$AA$365*(1+($U$365)/100)^MAX(0,$C388-$AD$365),IF(DATE($C388,2,15)&gt;=$W$365,$Z$365*(1+($U$365)/100)^MAX(0,$C388-$AC$365),IF(DATE($C388,2,15)&gt;=$V$365,$Y$365*(1+($U$365)/100)^MAX(0,$C388-$AB$365),0)))))</f>
      </c>
      <c r="G388" s="43">
        <f>IF($S$365=0,0,IF(OR(DATE($C388,3,15)&lt;$S$365,AND($T$365&gt;0,DATE($C388,3,15)&gt;$T$365)),0,IF(DATE($C388,3,15)&gt;=$X$365,$AA$365*(1+($U$365)/100)^MAX(0,$C388-$AD$365),IF(DATE($C388,3,15)&gt;=$W$365,$Z$365*(1+($U$365)/100)^MAX(0,$C388-$AC$365),IF(DATE($C388,3,15)&gt;=$V$365,$Y$365*(1+($U$365)/100)^MAX(0,$C388-$AB$365),0)))))</f>
      </c>
      <c r="H388" s="43">
        <f>IF($S$365=0,0,IF(OR(DATE($C388,4,15)&lt;$S$365,AND($T$365&gt;0,DATE($C388,4,15)&gt;$T$365)),0,IF(DATE($C388,4,15)&gt;=$X$365,$AA$365*(1+($U$365)/100)^MAX(0,$C388-$AD$365),IF(DATE($C388,4,15)&gt;=$W$365,$Z$365*(1+($U$365)/100)^MAX(0,$C388-$AC$365),IF(DATE($C388,4,15)&gt;=$V$365,$Y$365*(1+($U$365)/100)^MAX(0,$C388-$AB$365),0)))))</f>
      </c>
      <c r="I388" s="43">
        <f>IF($S$365=0,0,IF(OR(DATE($C388,5,15)&lt;$S$365,AND($T$365&gt;0,DATE($C388,5,15)&gt;$T$365)),0,IF(DATE($C388,5,15)&gt;=$X$365,$AA$365*(1+($U$365)/100)^MAX(0,$C388-$AD$365),IF(DATE($C388,5,15)&gt;=$W$365,$Z$365*(1+($U$365)/100)^MAX(0,$C388-$AC$365),IF(DATE($C388,5,15)&gt;=$V$365,$Y$365*(1+($U$365)/100)^MAX(0,$C388-$AB$365),0)))))</f>
      </c>
      <c r="J388" s="43">
        <f>IF($S$365=0,0,IF(OR(DATE($C388,6,15)&lt;$S$365,AND($T$365&gt;0,DATE($C388,6,15)&gt;$T$365)),0,IF(DATE($C388,6,15)&gt;=$X$365,$AA$365*(1+($U$365)/100)^MAX(0,$C388-$AD$365),IF(DATE($C388,6,15)&gt;=$W$365,$Z$365*(1+($U$365)/100)^MAX(0,$C388-$AC$365),IF(DATE($C388,6,15)&gt;=$V$365,$Y$365*(1+($U$365)/100)^MAX(0,$C388-$AB$365),0)))))</f>
      </c>
      <c r="K388" s="43">
        <f>IF($S$365=0,0,IF(OR(DATE($C388,7,15)&lt;$S$365,AND($T$365&gt;0,DATE($C388,7,15)&gt;$T$365)),0,IF(DATE($C388,7,15)&gt;=$X$365,$AA$365*(1+($U$365)/100)^MAX(0,$C388-$AD$365),IF(DATE($C388,7,15)&gt;=$W$365,$Z$365*(1+($U$365)/100)^MAX(0,$C388-$AC$365),IF(DATE($C388,7,15)&gt;=$V$365,$Y$365*(1+($U$365)/100)^MAX(0,$C388-$AB$365),0)))))</f>
      </c>
      <c r="L388" s="43">
        <f>IF($S$365=0,0,IF(OR(DATE($C388,8,15)&lt;$S$365,AND($T$365&gt;0,DATE($C388,8,15)&gt;$T$365)),0,IF(DATE($C388,8,15)&gt;=$X$365,$AA$365*(1+($U$365)/100)^MAX(0,$C388-$AD$365),IF(DATE($C388,8,15)&gt;=$W$365,$Z$365*(1+($U$365)/100)^MAX(0,$C388-$AC$365),IF(DATE($C388,8,15)&gt;=$V$365,$Y$365*(1+($U$365)/100)^MAX(0,$C388-$AB$365),0)))))</f>
      </c>
      <c r="M388" s="43">
        <f>IF($S$365=0,0,IF(OR(DATE($C388,9,15)&lt;$S$365,AND($T$365&gt;0,DATE($C388,9,15)&gt;$T$365)),0,IF(DATE($C388,9,15)&gt;=$X$365,$AA$365*(1+($U$365)/100)^MAX(0,$C388-$AD$365),IF(DATE($C388,9,15)&gt;=$W$365,$Z$365*(1+($U$365)/100)^MAX(0,$C388-$AC$365),IF(DATE($C388,9,15)&gt;=$V$365,$Y$365*(1+($U$365)/100)^MAX(0,$C388-$AB$365),0)))))</f>
      </c>
      <c r="N388" s="43">
        <f>IF($S$365=0,0,IF(OR(DATE($C388,10,15)&lt;$S$365,AND($T$365&gt;0,DATE($C388,10,15)&gt;$T$365)),0,IF(DATE($C388,10,15)&gt;=$X$365,$AA$365*(1+($U$365)/100)^MAX(0,$C388-$AD$365),IF(DATE($C388,10,15)&gt;=$W$365,$Z$365*(1+($U$365)/100)^MAX(0,$C388-$AC$365),IF(DATE($C388,10,15)&gt;=$V$365,$Y$365*(1+($U$365)/100)^MAX(0,$C388-$AB$365),0)))))</f>
      </c>
      <c r="O388" s="43">
        <f>IF($S$365=0,0,IF(OR(DATE($C388,11,15)&lt;$S$365,AND($T$365&gt;0,DATE($C388,11,15)&gt;$T$365)),0,IF(DATE($C388,11,15)&gt;=$X$365,$AA$365*(1+($U$365)/100)^MAX(0,$C388-$AD$365),IF(DATE($C388,11,15)&gt;=$W$365,$Z$365*(1+($U$365)/100)^MAX(0,$C388-$AC$365),IF(DATE($C388,11,15)&gt;=$V$365,$Y$365*(1+($U$365)/100)^MAX(0,$C388-$AB$365),0)))))</f>
      </c>
      <c r="P388" s="43">
        <f>IF($S$365=0,0,IF(OR(DATE($C388,12,15)&lt;$S$365,AND($T$365&gt;0,DATE($C388,12,15)&gt;$T$365)),0,IF(DATE($C388,12,15)&gt;=$X$365,$AA$365*(1+($U$365)/100)^MAX(0,$C388-$AD$365),IF(DATE($C388,12,15)&gt;=$W$365,$Z$365*(1+($U$365)/100)^MAX(0,$C388-$AC$365),IF(DATE($C388,12,15)&gt;=$V$365,$Y$365*(1+($U$365)/100)^MAX(0,$C388-$AB$365),0)))))</f>
      </c>
      <c r="Q388" s="43">
        <f>SUM($E388:$P388)</f>
      </c>
    </row>
    <row r="389">
      <c r="A389"/>
      <c r="B389">
        <v>12</v>
      </c>
      <c r="C389" s="43">
        <f>Jahr+24</f>
      </c>
      <c r="D389" s="43">
        <f>INDEX(MvObj,12)</f>
      </c>
      <c r="E389" s="43">
        <f>IF($S$365=0,0,IF(OR(DATE($C389,1,15)&lt;$S$365,AND($T$365&gt;0,DATE($C389,1,15)&gt;$T$365)),0,IF(DATE($C389,1,15)&gt;=$X$365,$AA$365*(1+($U$365)/100)^MAX(0,$C389-$AD$365),IF(DATE($C389,1,15)&gt;=$W$365,$Z$365*(1+($U$365)/100)^MAX(0,$C389-$AC$365),IF(DATE($C389,1,15)&gt;=$V$365,$Y$365*(1+($U$365)/100)^MAX(0,$C389-$AB$365),0)))))</f>
      </c>
      <c r="F389" s="43">
        <f>IF($S$365=0,0,IF(OR(DATE($C389,2,15)&lt;$S$365,AND($T$365&gt;0,DATE($C389,2,15)&gt;$T$365)),0,IF(DATE($C389,2,15)&gt;=$X$365,$AA$365*(1+($U$365)/100)^MAX(0,$C389-$AD$365),IF(DATE($C389,2,15)&gt;=$W$365,$Z$365*(1+($U$365)/100)^MAX(0,$C389-$AC$365),IF(DATE($C389,2,15)&gt;=$V$365,$Y$365*(1+($U$365)/100)^MAX(0,$C389-$AB$365),0)))))</f>
      </c>
      <c r="G389" s="43">
        <f>IF($S$365=0,0,IF(OR(DATE($C389,3,15)&lt;$S$365,AND($T$365&gt;0,DATE($C389,3,15)&gt;$T$365)),0,IF(DATE($C389,3,15)&gt;=$X$365,$AA$365*(1+($U$365)/100)^MAX(0,$C389-$AD$365),IF(DATE($C389,3,15)&gt;=$W$365,$Z$365*(1+($U$365)/100)^MAX(0,$C389-$AC$365),IF(DATE($C389,3,15)&gt;=$V$365,$Y$365*(1+($U$365)/100)^MAX(0,$C389-$AB$365),0)))))</f>
      </c>
      <c r="H389" s="43">
        <f>IF($S$365=0,0,IF(OR(DATE($C389,4,15)&lt;$S$365,AND($T$365&gt;0,DATE($C389,4,15)&gt;$T$365)),0,IF(DATE($C389,4,15)&gt;=$X$365,$AA$365*(1+($U$365)/100)^MAX(0,$C389-$AD$365),IF(DATE($C389,4,15)&gt;=$W$365,$Z$365*(1+($U$365)/100)^MAX(0,$C389-$AC$365),IF(DATE($C389,4,15)&gt;=$V$365,$Y$365*(1+($U$365)/100)^MAX(0,$C389-$AB$365),0)))))</f>
      </c>
      <c r="I389" s="43">
        <f>IF($S$365=0,0,IF(OR(DATE($C389,5,15)&lt;$S$365,AND($T$365&gt;0,DATE($C389,5,15)&gt;$T$365)),0,IF(DATE($C389,5,15)&gt;=$X$365,$AA$365*(1+($U$365)/100)^MAX(0,$C389-$AD$365),IF(DATE($C389,5,15)&gt;=$W$365,$Z$365*(1+($U$365)/100)^MAX(0,$C389-$AC$365),IF(DATE($C389,5,15)&gt;=$V$365,$Y$365*(1+($U$365)/100)^MAX(0,$C389-$AB$365),0)))))</f>
      </c>
      <c r="J389" s="43">
        <f>IF($S$365=0,0,IF(OR(DATE($C389,6,15)&lt;$S$365,AND($T$365&gt;0,DATE($C389,6,15)&gt;$T$365)),0,IF(DATE($C389,6,15)&gt;=$X$365,$AA$365*(1+($U$365)/100)^MAX(0,$C389-$AD$365),IF(DATE($C389,6,15)&gt;=$W$365,$Z$365*(1+($U$365)/100)^MAX(0,$C389-$AC$365),IF(DATE($C389,6,15)&gt;=$V$365,$Y$365*(1+($U$365)/100)^MAX(0,$C389-$AB$365),0)))))</f>
      </c>
      <c r="K389" s="43">
        <f>IF($S$365=0,0,IF(OR(DATE($C389,7,15)&lt;$S$365,AND($T$365&gt;0,DATE($C389,7,15)&gt;$T$365)),0,IF(DATE($C389,7,15)&gt;=$X$365,$AA$365*(1+($U$365)/100)^MAX(0,$C389-$AD$365),IF(DATE($C389,7,15)&gt;=$W$365,$Z$365*(1+($U$365)/100)^MAX(0,$C389-$AC$365),IF(DATE($C389,7,15)&gt;=$V$365,$Y$365*(1+($U$365)/100)^MAX(0,$C389-$AB$365),0)))))</f>
      </c>
      <c r="L389" s="43">
        <f>IF($S$365=0,0,IF(OR(DATE($C389,8,15)&lt;$S$365,AND($T$365&gt;0,DATE($C389,8,15)&gt;$T$365)),0,IF(DATE($C389,8,15)&gt;=$X$365,$AA$365*(1+($U$365)/100)^MAX(0,$C389-$AD$365),IF(DATE($C389,8,15)&gt;=$W$365,$Z$365*(1+($U$365)/100)^MAX(0,$C389-$AC$365),IF(DATE($C389,8,15)&gt;=$V$365,$Y$365*(1+($U$365)/100)^MAX(0,$C389-$AB$365),0)))))</f>
      </c>
      <c r="M389" s="43">
        <f>IF($S$365=0,0,IF(OR(DATE($C389,9,15)&lt;$S$365,AND($T$365&gt;0,DATE($C389,9,15)&gt;$T$365)),0,IF(DATE($C389,9,15)&gt;=$X$365,$AA$365*(1+($U$365)/100)^MAX(0,$C389-$AD$365),IF(DATE($C389,9,15)&gt;=$W$365,$Z$365*(1+($U$365)/100)^MAX(0,$C389-$AC$365),IF(DATE($C389,9,15)&gt;=$V$365,$Y$365*(1+($U$365)/100)^MAX(0,$C389-$AB$365),0)))))</f>
      </c>
      <c r="N389" s="43">
        <f>IF($S$365=0,0,IF(OR(DATE($C389,10,15)&lt;$S$365,AND($T$365&gt;0,DATE($C389,10,15)&gt;$T$365)),0,IF(DATE($C389,10,15)&gt;=$X$365,$AA$365*(1+($U$365)/100)^MAX(0,$C389-$AD$365),IF(DATE($C389,10,15)&gt;=$W$365,$Z$365*(1+($U$365)/100)^MAX(0,$C389-$AC$365),IF(DATE($C389,10,15)&gt;=$V$365,$Y$365*(1+($U$365)/100)^MAX(0,$C389-$AB$365),0)))))</f>
      </c>
      <c r="O389" s="43">
        <f>IF($S$365=0,0,IF(OR(DATE($C389,11,15)&lt;$S$365,AND($T$365&gt;0,DATE($C389,11,15)&gt;$T$365)),0,IF(DATE($C389,11,15)&gt;=$X$365,$AA$365*(1+($U$365)/100)^MAX(0,$C389-$AD$365),IF(DATE($C389,11,15)&gt;=$W$365,$Z$365*(1+($U$365)/100)^MAX(0,$C389-$AC$365),IF(DATE($C389,11,15)&gt;=$V$365,$Y$365*(1+($U$365)/100)^MAX(0,$C389-$AB$365),0)))))</f>
      </c>
      <c r="P389" s="43">
        <f>IF($S$365=0,0,IF(OR(DATE($C389,12,15)&lt;$S$365,AND($T$365&gt;0,DATE($C389,12,15)&gt;$T$365)),0,IF(DATE($C389,12,15)&gt;=$X$365,$AA$365*(1+($U$365)/100)^MAX(0,$C389-$AD$365),IF(DATE($C389,12,15)&gt;=$W$365,$Z$365*(1+($U$365)/100)^MAX(0,$C389-$AC$365),IF(DATE($C389,12,15)&gt;=$V$365,$Y$365*(1+($U$365)/100)^MAX(0,$C389-$AB$365),0)))))</f>
      </c>
      <c r="Q389" s="43">
        <f>SUM($E389:$P389)</f>
      </c>
    </row>
    <row r="390">
      <c r="A390"/>
      <c r="B390">
        <v>12</v>
      </c>
      <c r="C390" s="43">
        <f>Jahr+25</f>
      </c>
      <c r="D390" s="43">
        <f>INDEX(MvObj,12)</f>
      </c>
      <c r="E390" s="43">
        <f>IF($S$365=0,0,IF(OR(DATE($C390,1,15)&lt;$S$365,AND($T$365&gt;0,DATE($C390,1,15)&gt;$T$365)),0,IF(DATE($C390,1,15)&gt;=$X$365,$AA$365*(1+($U$365)/100)^MAX(0,$C390-$AD$365),IF(DATE($C390,1,15)&gt;=$W$365,$Z$365*(1+($U$365)/100)^MAX(0,$C390-$AC$365),IF(DATE($C390,1,15)&gt;=$V$365,$Y$365*(1+($U$365)/100)^MAX(0,$C390-$AB$365),0)))))</f>
      </c>
      <c r="F390" s="43">
        <f>IF($S$365=0,0,IF(OR(DATE($C390,2,15)&lt;$S$365,AND($T$365&gt;0,DATE($C390,2,15)&gt;$T$365)),0,IF(DATE($C390,2,15)&gt;=$X$365,$AA$365*(1+($U$365)/100)^MAX(0,$C390-$AD$365),IF(DATE($C390,2,15)&gt;=$W$365,$Z$365*(1+($U$365)/100)^MAX(0,$C390-$AC$365),IF(DATE($C390,2,15)&gt;=$V$365,$Y$365*(1+($U$365)/100)^MAX(0,$C390-$AB$365),0)))))</f>
      </c>
      <c r="G390" s="43">
        <f>IF($S$365=0,0,IF(OR(DATE($C390,3,15)&lt;$S$365,AND($T$365&gt;0,DATE($C390,3,15)&gt;$T$365)),0,IF(DATE($C390,3,15)&gt;=$X$365,$AA$365*(1+($U$365)/100)^MAX(0,$C390-$AD$365),IF(DATE($C390,3,15)&gt;=$W$365,$Z$365*(1+($U$365)/100)^MAX(0,$C390-$AC$365),IF(DATE($C390,3,15)&gt;=$V$365,$Y$365*(1+($U$365)/100)^MAX(0,$C390-$AB$365),0)))))</f>
      </c>
      <c r="H390" s="43">
        <f>IF($S$365=0,0,IF(OR(DATE($C390,4,15)&lt;$S$365,AND($T$365&gt;0,DATE($C390,4,15)&gt;$T$365)),0,IF(DATE($C390,4,15)&gt;=$X$365,$AA$365*(1+($U$365)/100)^MAX(0,$C390-$AD$365),IF(DATE($C390,4,15)&gt;=$W$365,$Z$365*(1+($U$365)/100)^MAX(0,$C390-$AC$365),IF(DATE($C390,4,15)&gt;=$V$365,$Y$365*(1+($U$365)/100)^MAX(0,$C390-$AB$365),0)))))</f>
      </c>
      <c r="I390" s="43">
        <f>IF($S$365=0,0,IF(OR(DATE($C390,5,15)&lt;$S$365,AND($T$365&gt;0,DATE($C390,5,15)&gt;$T$365)),0,IF(DATE($C390,5,15)&gt;=$X$365,$AA$365*(1+($U$365)/100)^MAX(0,$C390-$AD$365),IF(DATE($C390,5,15)&gt;=$W$365,$Z$365*(1+($U$365)/100)^MAX(0,$C390-$AC$365),IF(DATE($C390,5,15)&gt;=$V$365,$Y$365*(1+($U$365)/100)^MAX(0,$C390-$AB$365),0)))))</f>
      </c>
      <c r="J390" s="43">
        <f>IF($S$365=0,0,IF(OR(DATE($C390,6,15)&lt;$S$365,AND($T$365&gt;0,DATE($C390,6,15)&gt;$T$365)),0,IF(DATE($C390,6,15)&gt;=$X$365,$AA$365*(1+($U$365)/100)^MAX(0,$C390-$AD$365),IF(DATE($C390,6,15)&gt;=$W$365,$Z$365*(1+($U$365)/100)^MAX(0,$C390-$AC$365),IF(DATE($C390,6,15)&gt;=$V$365,$Y$365*(1+($U$365)/100)^MAX(0,$C390-$AB$365),0)))))</f>
      </c>
      <c r="K390" s="43">
        <f>IF($S$365=0,0,IF(OR(DATE($C390,7,15)&lt;$S$365,AND($T$365&gt;0,DATE($C390,7,15)&gt;$T$365)),0,IF(DATE($C390,7,15)&gt;=$X$365,$AA$365*(1+($U$365)/100)^MAX(0,$C390-$AD$365),IF(DATE($C390,7,15)&gt;=$W$365,$Z$365*(1+($U$365)/100)^MAX(0,$C390-$AC$365),IF(DATE($C390,7,15)&gt;=$V$365,$Y$365*(1+($U$365)/100)^MAX(0,$C390-$AB$365),0)))))</f>
      </c>
      <c r="L390" s="43">
        <f>IF($S$365=0,0,IF(OR(DATE($C390,8,15)&lt;$S$365,AND($T$365&gt;0,DATE($C390,8,15)&gt;$T$365)),0,IF(DATE($C390,8,15)&gt;=$X$365,$AA$365*(1+($U$365)/100)^MAX(0,$C390-$AD$365),IF(DATE($C390,8,15)&gt;=$W$365,$Z$365*(1+($U$365)/100)^MAX(0,$C390-$AC$365),IF(DATE($C390,8,15)&gt;=$V$365,$Y$365*(1+($U$365)/100)^MAX(0,$C390-$AB$365),0)))))</f>
      </c>
      <c r="M390" s="43">
        <f>IF($S$365=0,0,IF(OR(DATE($C390,9,15)&lt;$S$365,AND($T$365&gt;0,DATE($C390,9,15)&gt;$T$365)),0,IF(DATE($C390,9,15)&gt;=$X$365,$AA$365*(1+($U$365)/100)^MAX(0,$C390-$AD$365),IF(DATE($C390,9,15)&gt;=$W$365,$Z$365*(1+($U$365)/100)^MAX(0,$C390-$AC$365),IF(DATE($C390,9,15)&gt;=$V$365,$Y$365*(1+($U$365)/100)^MAX(0,$C390-$AB$365),0)))))</f>
      </c>
      <c r="N390" s="43">
        <f>IF($S$365=0,0,IF(OR(DATE($C390,10,15)&lt;$S$365,AND($T$365&gt;0,DATE($C390,10,15)&gt;$T$365)),0,IF(DATE($C390,10,15)&gt;=$X$365,$AA$365*(1+($U$365)/100)^MAX(0,$C390-$AD$365),IF(DATE($C390,10,15)&gt;=$W$365,$Z$365*(1+($U$365)/100)^MAX(0,$C390-$AC$365),IF(DATE($C390,10,15)&gt;=$V$365,$Y$365*(1+($U$365)/100)^MAX(0,$C390-$AB$365),0)))))</f>
      </c>
      <c r="O390" s="43">
        <f>IF($S$365=0,0,IF(OR(DATE($C390,11,15)&lt;$S$365,AND($T$365&gt;0,DATE($C390,11,15)&gt;$T$365)),0,IF(DATE($C390,11,15)&gt;=$X$365,$AA$365*(1+($U$365)/100)^MAX(0,$C390-$AD$365),IF(DATE($C390,11,15)&gt;=$W$365,$Z$365*(1+($U$365)/100)^MAX(0,$C390-$AC$365),IF(DATE($C390,11,15)&gt;=$V$365,$Y$365*(1+($U$365)/100)^MAX(0,$C390-$AB$365),0)))))</f>
      </c>
      <c r="P390" s="43">
        <f>IF($S$365=0,0,IF(OR(DATE($C390,12,15)&lt;$S$365,AND($T$365&gt;0,DATE($C390,12,15)&gt;$T$365)),0,IF(DATE($C390,12,15)&gt;=$X$365,$AA$365*(1+($U$365)/100)^MAX(0,$C390-$AD$365),IF(DATE($C390,12,15)&gt;=$W$365,$Z$365*(1+($U$365)/100)^MAX(0,$C390-$AC$365),IF(DATE($C390,12,15)&gt;=$V$365,$Y$365*(1+($U$365)/100)^MAX(0,$C390-$AB$365),0)))))</f>
      </c>
      <c r="Q390" s="43">
        <f>SUM($E390:$P390)</f>
      </c>
    </row>
    <row r="391">
      <c r="A391"/>
      <c r="B391">
        <v>12</v>
      </c>
      <c r="C391" s="43">
        <f>Jahr+26</f>
      </c>
      <c r="D391" s="43">
        <f>INDEX(MvObj,12)</f>
      </c>
      <c r="E391" s="43">
        <f>IF($S$365=0,0,IF(OR(DATE($C391,1,15)&lt;$S$365,AND($T$365&gt;0,DATE($C391,1,15)&gt;$T$365)),0,IF(DATE($C391,1,15)&gt;=$X$365,$AA$365*(1+($U$365)/100)^MAX(0,$C391-$AD$365),IF(DATE($C391,1,15)&gt;=$W$365,$Z$365*(1+($U$365)/100)^MAX(0,$C391-$AC$365),IF(DATE($C391,1,15)&gt;=$V$365,$Y$365*(1+($U$365)/100)^MAX(0,$C391-$AB$365),0)))))</f>
      </c>
      <c r="F391" s="43">
        <f>IF($S$365=0,0,IF(OR(DATE($C391,2,15)&lt;$S$365,AND($T$365&gt;0,DATE($C391,2,15)&gt;$T$365)),0,IF(DATE($C391,2,15)&gt;=$X$365,$AA$365*(1+($U$365)/100)^MAX(0,$C391-$AD$365),IF(DATE($C391,2,15)&gt;=$W$365,$Z$365*(1+($U$365)/100)^MAX(0,$C391-$AC$365),IF(DATE($C391,2,15)&gt;=$V$365,$Y$365*(1+($U$365)/100)^MAX(0,$C391-$AB$365),0)))))</f>
      </c>
      <c r="G391" s="43">
        <f>IF($S$365=0,0,IF(OR(DATE($C391,3,15)&lt;$S$365,AND($T$365&gt;0,DATE($C391,3,15)&gt;$T$365)),0,IF(DATE($C391,3,15)&gt;=$X$365,$AA$365*(1+($U$365)/100)^MAX(0,$C391-$AD$365),IF(DATE($C391,3,15)&gt;=$W$365,$Z$365*(1+($U$365)/100)^MAX(0,$C391-$AC$365),IF(DATE($C391,3,15)&gt;=$V$365,$Y$365*(1+($U$365)/100)^MAX(0,$C391-$AB$365),0)))))</f>
      </c>
      <c r="H391" s="43">
        <f>IF($S$365=0,0,IF(OR(DATE($C391,4,15)&lt;$S$365,AND($T$365&gt;0,DATE($C391,4,15)&gt;$T$365)),0,IF(DATE($C391,4,15)&gt;=$X$365,$AA$365*(1+($U$365)/100)^MAX(0,$C391-$AD$365),IF(DATE($C391,4,15)&gt;=$W$365,$Z$365*(1+($U$365)/100)^MAX(0,$C391-$AC$365),IF(DATE($C391,4,15)&gt;=$V$365,$Y$365*(1+($U$365)/100)^MAX(0,$C391-$AB$365),0)))))</f>
      </c>
      <c r="I391" s="43">
        <f>IF($S$365=0,0,IF(OR(DATE($C391,5,15)&lt;$S$365,AND($T$365&gt;0,DATE($C391,5,15)&gt;$T$365)),0,IF(DATE($C391,5,15)&gt;=$X$365,$AA$365*(1+($U$365)/100)^MAX(0,$C391-$AD$365),IF(DATE($C391,5,15)&gt;=$W$365,$Z$365*(1+($U$365)/100)^MAX(0,$C391-$AC$365),IF(DATE($C391,5,15)&gt;=$V$365,$Y$365*(1+($U$365)/100)^MAX(0,$C391-$AB$365),0)))))</f>
      </c>
      <c r="J391" s="43">
        <f>IF($S$365=0,0,IF(OR(DATE($C391,6,15)&lt;$S$365,AND($T$365&gt;0,DATE($C391,6,15)&gt;$T$365)),0,IF(DATE($C391,6,15)&gt;=$X$365,$AA$365*(1+($U$365)/100)^MAX(0,$C391-$AD$365),IF(DATE($C391,6,15)&gt;=$W$365,$Z$365*(1+($U$365)/100)^MAX(0,$C391-$AC$365),IF(DATE($C391,6,15)&gt;=$V$365,$Y$365*(1+($U$365)/100)^MAX(0,$C391-$AB$365),0)))))</f>
      </c>
      <c r="K391" s="43">
        <f>IF($S$365=0,0,IF(OR(DATE($C391,7,15)&lt;$S$365,AND($T$365&gt;0,DATE($C391,7,15)&gt;$T$365)),0,IF(DATE($C391,7,15)&gt;=$X$365,$AA$365*(1+($U$365)/100)^MAX(0,$C391-$AD$365),IF(DATE($C391,7,15)&gt;=$W$365,$Z$365*(1+($U$365)/100)^MAX(0,$C391-$AC$365),IF(DATE($C391,7,15)&gt;=$V$365,$Y$365*(1+($U$365)/100)^MAX(0,$C391-$AB$365),0)))))</f>
      </c>
      <c r="L391" s="43">
        <f>IF($S$365=0,0,IF(OR(DATE($C391,8,15)&lt;$S$365,AND($T$365&gt;0,DATE($C391,8,15)&gt;$T$365)),0,IF(DATE($C391,8,15)&gt;=$X$365,$AA$365*(1+($U$365)/100)^MAX(0,$C391-$AD$365),IF(DATE($C391,8,15)&gt;=$W$365,$Z$365*(1+($U$365)/100)^MAX(0,$C391-$AC$365),IF(DATE($C391,8,15)&gt;=$V$365,$Y$365*(1+($U$365)/100)^MAX(0,$C391-$AB$365),0)))))</f>
      </c>
      <c r="M391" s="43">
        <f>IF($S$365=0,0,IF(OR(DATE($C391,9,15)&lt;$S$365,AND($T$365&gt;0,DATE($C391,9,15)&gt;$T$365)),0,IF(DATE($C391,9,15)&gt;=$X$365,$AA$365*(1+($U$365)/100)^MAX(0,$C391-$AD$365),IF(DATE($C391,9,15)&gt;=$W$365,$Z$365*(1+($U$365)/100)^MAX(0,$C391-$AC$365),IF(DATE($C391,9,15)&gt;=$V$365,$Y$365*(1+($U$365)/100)^MAX(0,$C391-$AB$365),0)))))</f>
      </c>
      <c r="N391" s="43">
        <f>IF($S$365=0,0,IF(OR(DATE($C391,10,15)&lt;$S$365,AND($T$365&gt;0,DATE($C391,10,15)&gt;$T$365)),0,IF(DATE($C391,10,15)&gt;=$X$365,$AA$365*(1+($U$365)/100)^MAX(0,$C391-$AD$365),IF(DATE($C391,10,15)&gt;=$W$365,$Z$365*(1+($U$365)/100)^MAX(0,$C391-$AC$365),IF(DATE($C391,10,15)&gt;=$V$365,$Y$365*(1+($U$365)/100)^MAX(0,$C391-$AB$365),0)))))</f>
      </c>
      <c r="O391" s="43">
        <f>IF($S$365=0,0,IF(OR(DATE($C391,11,15)&lt;$S$365,AND($T$365&gt;0,DATE($C391,11,15)&gt;$T$365)),0,IF(DATE($C391,11,15)&gt;=$X$365,$AA$365*(1+($U$365)/100)^MAX(0,$C391-$AD$365),IF(DATE($C391,11,15)&gt;=$W$365,$Z$365*(1+($U$365)/100)^MAX(0,$C391-$AC$365),IF(DATE($C391,11,15)&gt;=$V$365,$Y$365*(1+($U$365)/100)^MAX(0,$C391-$AB$365),0)))))</f>
      </c>
      <c r="P391" s="43">
        <f>IF($S$365=0,0,IF(OR(DATE($C391,12,15)&lt;$S$365,AND($T$365&gt;0,DATE($C391,12,15)&gt;$T$365)),0,IF(DATE($C391,12,15)&gt;=$X$365,$AA$365*(1+($U$365)/100)^MAX(0,$C391-$AD$365),IF(DATE($C391,12,15)&gt;=$W$365,$Z$365*(1+($U$365)/100)^MAX(0,$C391-$AC$365),IF(DATE($C391,12,15)&gt;=$V$365,$Y$365*(1+($U$365)/100)^MAX(0,$C391-$AB$365),0)))))</f>
      </c>
      <c r="Q391" s="43">
        <f>SUM($E391:$P391)</f>
      </c>
    </row>
    <row r="392">
      <c r="A392"/>
      <c r="B392">
        <v>12</v>
      </c>
      <c r="C392" s="43">
        <f>Jahr+27</f>
      </c>
      <c r="D392" s="43">
        <f>INDEX(MvObj,12)</f>
      </c>
      <c r="E392" s="43">
        <f>IF($S$365=0,0,IF(OR(DATE($C392,1,15)&lt;$S$365,AND($T$365&gt;0,DATE($C392,1,15)&gt;$T$365)),0,IF(DATE($C392,1,15)&gt;=$X$365,$AA$365*(1+($U$365)/100)^MAX(0,$C392-$AD$365),IF(DATE($C392,1,15)&gt;=$W$365,$Z$365*(1+($U$365)/100)^MAX(0,$C392-$AC$365),IF(DATE($C392,1,15)&gt;=$V$365,$Y$365*(1+($U$365)/100)^MAX(0,$C392-$AB$365),0)))))</f>
      </c>
      <c r="F392" s="43">
        <f>IF($S$365=0,0,IF(OR(DATE($C392,2,15)&lt;$S$365,AND($T$365&gt;0,DATE($C392,2,15)&gt;$T$365)),0,IF(DATE($C392,2,15)&gt;=$X$365,$AA$365*(1+($U$365)/100)^MAX(0,$C392-$AD$365),IF(DATE($C392,2,15)&gt;=$W$365,$Z$365*(1+($U$365)/100)^MAX(0,$C392-$AC$365),IF(DATE($C392,2,15)&gt;=$V$365,$Y$365*(1+($U$365)/100)^MAX(0,$C392-$AB$365),0)))))</f>
      </c>
      <c r="G392" s="43">
        <f>IF($S$365=0,0,IF(OR(DATE($C392,3,15)&lt;$S$365,AND($T$365&gt;0,DATE($C392,3,15)&gt;$T$365)),0,IF(DATE($C392,3,15)&gt;=$X$365,$AA$365*(1+($U$365)/100)^MAX(0,$C392-$AD$365),IF(DATE($C392,3,15)&gt;=$W$365,$Z$365*(1+($U$365)/100)^MAX(0,$C392-$AC$365),IF(DATE($C392,3,15)&gt;=$V$365,$Y$365*(1+($U$365)/100)^MAX(0,$C392-$AB$365),0)))))</f>
      </c>
      <c r="H392" s="43">
        <f>IF($S$365=0,0,IF(OR(DATE($C392,4,15)&lt;$S$365,AND($T$365&gt;0,DATE($C392,4,15)&gt;$T$365)),0,IF(DATE($C392,4,15)&gt;=$X$365,$AA$365*(1+($U$365)/100)^MAX(0,$C392-$AD$365),IF(DATE($C392,4,15)&gt;=$W$365,$Z$365*(1+($U$365)/100)^MAX(0,$C392-$AC$365),IF(DATE($C392,4,15)&gt;=$V$365,$Y$365*(1+($U$365)/100)^MAX(0,$C392-$AB$365),0)))))</f>
      </c>
      <c r="I392" s="43">
        <f>IF($S$365=0,0,IF(OR(DATE($C392,5,15)&lt;$S$365,AND($T$365&gt;0,DATE($C392,5,15)&gt;$T$365)),0,IF(DATE($C392,5,15)&gt;=$X$365,$AA$365*(1+($U$365)/100)^MAX(0,$C392-$AD$365),IF(DATE($C392,5,15)&gt;=$W$365,$Z$365*(1+($U$365)/100)^MAX(0,$C392-$AC$365),IF(DATE($C392,5,15)&gt;=$V$365,$Y$365*(1+($U$365)/100)^MAX(0,$C392-$AB$365),0)))))</f>
      </c>
      <c r="J392" s="43">
        <f>IF($S$365=0,0,IF(OR(DATE($C392,6,15)&lt;$S$365,AND($T$365&gt;0,DATE($C392,6,15)&gt;$T$365)),0,IF(DATE($C392,6,15)&gt;=$X$365,$AA$365*(1+($U$365)/100)^MAX(0,$C392-$AD$365),IF(DATE($C392,6,15)&gt;=$W$365,$Z$365*(1+($U$365)/100)^MAX(0,$C392-$AC$365),IF(DATE($C392,6,15)&gt;=$V$365,$Y$365*(1+($U$365)/100)^MAX(0,$C392-$AB$365),0)))))</f>
      </c>
      <c r="K392" s="43">
        <f>IF($S$365=0,0,IF(OR(DATE($C392,7,15)&lt;$S$365,AND($T$365&gt;0,DATE($C392,7,15)&gt;$T$365)),0,IF(DATE($C392,7,15)&gt;=$X$365,$AA$365*(1+($U$365)/100)^MAX(0,$C392-$AD$365),IF(DATE($C392,7,15)&gt;=$W$365,$Z$365*(1+($U$365)/100)^MAX(0,$C392-$AC$365),IF(DATE($C392,7,15)&gt;=$V$365,$Y$365*(1+($U$365)/100)^MAX(0,$C392-$AB$365),0)))))</f>
      </c>
      <c r="L392" s="43">
        <f>IF($S$365=0,0,IF(OR(DATE($C392,8,15)&lt;$S$365,AND($T$365&gt;0,DATE($C392,8,15)&gt;$T$365)),0,IF(DATE($C392,8,15)&gt;=$X$365,$AA$365*(1+($U$365)/100)^MAX(0,$C392-$AD$365),IF(DATE($C392,8,15)&gt;=$W$365,$Z$365*(1+($U$365)/100)^MAX(0,$C392-$AC$365),IF(DATE($C392,8,15)&gt;=$V$365,$Y$365*(1+($U$365)/100)^MAX(0,$C392-$AB$365),0)))))</f>
      </c>
      <c r="M392" s="43">
        <f>IF($S$365=0,0,IF(OR(DATE($C392,9,15)&lt;$S$365,AND($T$365&gt;0,DATE($C392,9,15)&gt;$T$365)),0,IF(DATE($C392,9,15)&gt;=$X$365,$AA$365*(1+($U$365)/100)^MAX(0,$C392-$AD$365),IF(DATE($C392,9,15)&gt;=$W$365,$Z$365*(1+($U$365)/100)^MAX(0,$C392-$AC$365),IF(DATE($C392,9,15)&gt;=$V$365,$Y$365*(1+($U$365)/100)^MAX(0,$C392-$AB$365),0)))))</f>
      </c>
      <c r="N392" s="43">
        <f>IF($S$365=0,0,IF(OR(DATE($C392,10,15)&lt;$S$365,AND($T$365&gt;0,DATE($C392,10,15)&gt;$T$365)),0,IF(DATE($C392,10,15)&gt;=$X$365,$AA$365*(1+($U$365)/100)^MAX(0,$C392-$AD$365),IF(DATE($C392,10,15)&gt;=$W$365,$Z$365*(1+($U$365)/100)^MAX(0,$C392-$AC$365),IF(DATE($C392,10,15)&gt;=$V$365,$Y$365*(1+($U$365)/100)^MAX(0,$C392-$AB$365),0)))))</f>
      </c>
      <c r="O392" s="43">
        <f>IF($S$365=0,0,IF(OR(DATE($C392,11,15)&lt;$S$365,AND($T$365&gt;0,DATE($C392,11,15)&gt;$T$365)),0,IF(DATE($C392,11,15)&gt;=$X$365,$AA$365*(1+($U$365)/100)^MAX(0,$C392-$AD$365),IF(DATE($C392,11,15)&gt;=$W$365,$Z$365*(1+($U$365)/100)^MAX(0,$C392-$AC$365),IF(DATE($C392,11,15)&gt;=$V$365,$Y$365*(1+($U$365)/100)^MAX(0,$C392-$AB$365),0)))))</f>
      </c>
      <c r="P392" s="43">
        <f>IF($S$365=0,0,IF(OR(DATE($C392,12,15)&lt;$S$365,AND($T$365&gt;0,DATE($C392,12,15)&gt;$T$365)),0,IF(DATE($C392,12,15)&gt;=$X$365,$AA$365*(1+($U$365)/100)^MAX(0,$C392-$AD$365),IF(DATE($C392,12,15)&gt;=$W$365,$Z$365*(1+($U$365)/100)^MAX(0,$C392-$AC$365),IF(DATE($C392,12,15)&gt;=$V$365,$Y$365*(1+($U$365)/100)^MAX(0,$C392-$AB$365),0)))))</f>
      </c>
      <c r="Q392" s="43">
        <f>SUM($E392:$P392)</f>
      </c>
    </row>
    <row r="393">
      <c r="A393"/>
      <c r="B393">
        <v>12</v>
      </c>
      <c r="C393" s="43">
        <f>Jahr+28</f>
      </c>
      <c r="D393" s="43">
        <f>INDEX(MvObj,12)</f>
      </c>
      <c r="E393" s="43">
        <f>IF($S$365=0,0,IF(OR(DATE($C393,1,15)&lt;$S$365,AND($T$365&gt;0,DATE($C393,1,15)&gt;$T$365)),0,IF(DATE($C393,1,15)&gt;=$X$365,$AA$365*(1+($U$365)/100)^MAX(0,$C393-$AD$365),IF(DATE($C393,1,15)&gt;=$W$365,$Z$365*(1+($U$365)/100)^MAX(0,$C393-$AC$365),IF(DATE($C393,1,15)&gt;=$V$365,$Y$365*(1+($U$365)/100)^MAX(0,$C393-$AB$365),0)))))</f>
      </c>
      <c r="F393" s="43">
        <f>IF($S$365=0,0,IF(OR(DATE($C393,2,15)&lt;$S$365,AND($T$365&gt;0,DATE($C393,2,15)&gt;$T$365)),0,IF(DATE($C393,2,15)&gt;=$X$365,$AA$365*(1+($U$365)/100)^MAX(0,$C393-$AD$365),IF(DATE($C393,2,15)&gt;=$W$365,$Z$365*(1+($U$365)/100)^MAX(0,$C393-$AC$365),IF(DATE($C393,2,15)&gt;=$V$365,$Y$365*(1+($U$365)/100)^MAX(0,$C393-$AB$365),0)))))</f>
      </c>
      <c r="G393" s="43">
        <f>IF($S$365=0,0,IF(OR(DATE($C393,3,15)&lt;$S$365,AND($T$365&gt;0,DATE($C393,3,15)&gt;$T$365)),0,IF(DATE($C393,3,15)&gt;=$X$365,$AA$365*(1+($U$365)/100)^MAX(0,$C393-$AD$365),IF(DATE($C393,3,15)&gt;=$W$365,$Z$365*(1+($U$365)/100)^MAX(0,$C393-$AC$365),IF(DATE($C393,3,15)&gt;=$V$365,$Y$365*(1+($U$365)/100)^MAX(0,$C393-$AB$365),0)))))</f>
      </c>
      <c r="H393" s="43">
        <f>IF($S$365=0,0,IF(OR(DATE($C393,4,15)&lt;$S$365,AND($T$365&gt;0,DATE($C393,4,15)&gt;$T$365)),0,IF(DATE($C393,4,15)&gt;=$X$365,$AA$365*(1+($U$365)/100)^MAX(0,$C393-$AD$365),IF(DATE($C393,4,15)&gt;=$W$365,$Z$365*(1+($U$365)/100)^MAX(0,$C393-$AC$365),IF(DATE($C393,4,15)&gt;=$V$365,$Y$365*(1+($U$365)/100)^MAX(0,$C393-$AB$365),0)))))</f>
      </c>
      <c r="I393" s="43">
        <f>IF($S$365=0,0,IF(OR(DATE($C393,5,15)&lt;$S$365,AND($T$365&gt;0,DATE($C393,5,15)&gt;$T$365)),0,IF(DATE($C393,5,15)&gt;=$X$365,$AA$365*(1+($U$365)/100)^MAX(0,$C393-$AD$365),IF(DATE($C393,5,15)&gt;=$W$365,$Z$365*(1+($U$365)/100)^MAX(0,$C393-$AC$365),IF(DATE($C393,5,15)&gt;=$V$365,$Y$365*(1+($U$365)/100)^MAX(0,$C393-$AB$365),0)))))</f>
      </c>
      <c r="J393" s="43">
        <f>IF($S$365=0,0,IF(OR(DATE($C393,6,15)&lt;$S$365,AND($T$365&gt;0,DATE($C393,6,15)&gt;$T$365)),0,IF(DATE($C393,6,15)&gt;=$X$365,$AA$365*(1+($U$365)/100)^MAX(0,$C393-$AD$365),IF(DATE($C393,6,15)&gt;=$W$365,$Z$365*(1+($U$365)/100)^MAX(0,$C393-$AC$365),IF(DATE($C393,6,15)&gt;=$V$365,$Y$365*(1+($U$365)/100)^MAX(0,$C393-$AB$365),0)))))</f>
      </c>
      <c r="K393" s="43">
        <f>IF($S$365=0,0,IF(OR(DATE($C393,7,15)&lt;$S$365,AND($T$365&gt;0,DATE($C393,7,15)&gt;$T$365)),0,IF(DATE($C393,7,15)&gt;=$X$365,$AA$365*(1+($U$365)/100)^MAX(0,$C393-$AD$365),IF(DATE($C393,7,15)&gt;=$W$365,$Z$365*(1+($U$365)/100)^MAX(0,$C393-$AC$365),IF(DATE($C393,7,15)&gt;=$V$365,$Y$365*(1+($U$365)/100)^MAX(0,$C393-$AB$365),0)))))</f>
      </c>
      <c r="L393" s="43">
        <f>IF($S$365=0,0,IF(OR(DATE($C393,8,15)&lt;$S$365,AND($T$365&gt;0,DATE($C393,8,15)&gt;$T$365)),0,IF(DATE($C393,8,15)&gt;=$X$365,$AA$365*(1+($U$365)/100)^MAX(0,$C393-$AD$365),IF(DATE($C393,8,15)&gt;=$W$365,$Z$365*(1+($U$365)/100)^MAX(0,$C393-$AC$365),IF(DATE($C393,8,15)&gt;=$V$365,$Y$365*(1+($U$365)/100)^MAX(0,$C393-$AB$365),0)))))</f>
      </c>
      <c r="M393" s="43">
        <f>IF($S$365=0,0,IF(OR(DATE($C393,9,15)&lt;$S$365,AND($T$365&gt;0,DATE($C393,9,15)&gt;$T$365)),0,IF(DATE($C393,9,15)&gt;=$X$365,$AA$365*(1+($U$365)/100)^MAX(0,$C393-$AD$365),IF(DATE($C393,9,15)&gt;=$W$365,$Z$365*(1+($U$365)/100)^MAX(0,$C393-$AC$365),IF(DATE($C393,9,15)&gt;=$V$365,$Y$365*(1+($U$365)/100)^MAX(0,$C393-$AB$365),0)))))</f>
      </c>
      <c r="N393" s="43">
        <f>IF($S$365=0,0,IF(OR(DATE($C393,10,15)&lt;$S$365,AND($T$365&gt;0,DATE($C393,10,15)&gt;$T$365)),0,IF(DATE($C393,10,15)&gt;=$X$365,$AA$365*(1+($U$365)/100)^MAX(0,$C393-$AD$365),IF(DATE($C393,10,15)&gt;=$W$365,$Z$365*(1+($U$365)/100)^MAX(0,$C393-$AC$365),IF(DATE($C393,10,15)&gt;=$V$365,$Y$365*(1+($U$365)/100)^MAX(0,$C393-$AB$365),0)))))</f>
      </c>
      <c r="O393" s="43">
        <f>IF($S$365=0,0,IF(OR(DATE($C393,11,15)&lt;$S$365,AND($T$365&gt;0,DATE($C393,11,15)&gt;$T$365)),0,IF(DATE($C393,11,15)&gt;=$X$365,$AA$365*(1+($U$365)/100)^MAX(0,$C393-$AD$365),IF(DATE($C393,11,15)&gt;=$W$365,$Z$365*(1+($U$365)/100)^MAX(0,$C393-$AC$365),IF(DATE($C393,11,15)&gt;=$V$365,$Y$365*(1+($U$365)/100)^MAX(0,$C393-$AB$365),0)))))</f>
      </c>
      <c r="P393" s="43">
        <f>IF($S$365=0,0,IF(OR(DATE($C393,12,15)&lt;$S$365,AND($T$365&gt;0,DATE($C393,12,15)&gt;$T$365)),0,IF(DATE($C393,12,15)&gt;=$X$365,$AA$365*(1+($U$365)/100)^MAX(0,$C393-$AD$365),IF(DATE($C393,12,15)&gt;=$W$365,$Z$365*(1+($U$365)/100)^MAX(0,$C393-$AC$365),IF(DATE($C393,12,15)&gt;=$V$365,$Y$365*(1+($U$365)/100)^MAX(0,$C393-$AB$365),0)))))</f>
      </c>
      <c r="Q393" s="43">
        <f>SUM($E393:$P393)</f>
      </c>
    </row>
    <row r="394">
      <c r="A394"/>
      <c r="B394">
        <v>12</v>
      </c>
      <c r="C394" s="43">
        <f>Jahr+29</f>
      </c>
      <c r="D394" s="43">
        <f>INDEX(MvObj,12)</f>
      </c>
      <c r="E394" s="43">
        <f>IF($S$365=0,0,IF(OR(DATE($C394,1,15)&lt;$S$365,AND($T$365&gt;0,DATE($C394,1,15)&gt;$T$365)),0,IF(DATE($C394,1,15)&gt;=$X$365,$AA$365*(1+($U$365)/100)^MAX(0,$C394-$AD$365),IF(DATE($C394,1,15)&gt;=$W$365,$Z$365*(1+($U$365)/100)^MAX(0,$C394-$AC$365),IF(DATE($C394,1,15)&gt;=$V$365,$Y$365*(1+($U$365)/100)^MAX(0,$C394-$AB$365),0)))))</f>
      </c>
      <c r="F394" s="43">
        <f>IF($S$365=0,0,IF(OR(DATE($C394,2,15)&lt;$S$365,AND($T$365&gt;0,DATE($C394,2,15)&gt;$T$365)),0,IF(DATE($C394,2,15)&gt;=$X$365,$AA$365*(1+($U$365)/100)^MAX(0,$C394-$AD$365),IF(DATE($C394,2,15)&gt;=$W$365,$Z$365*(1+($U$365)/100)^MAX(0,$C394-$AC$365),IF(DATE($C394,2,15)&gt;=$V$365,$Y$365*(1+($U$365)/100)^MAX(0,$C394-$AB$365),0)))))</f>
      </c>
      <c r="G394" s="43">
        <f>IF($S$365=0,0,IF(OR(DATE($C394,3,15)&lt;$S$365,AND($T$365&gt;0,DATE($C394,3,15)&gt;$T$365)),0,IF(DATE($C394,3,15)&gt;=$X$365,$AA$365*(1+($U$365)/100)^MAX(0,$C394-$AD$365),IF(DATE($C394,3,15)&gt;=$W$365,$Z$365*(1+($U$365)/100)^MAX(0,$C394-$AC$365),IF(DATE($C394,3,15)&gt;=$V$365,$Y$365*(1+($U$365)/100)^MAX(0,$C394-$AB$365),0)))))</f>
      </c>
      <c r="H394" s="43">
        <f>IF($S$365=0,0,IF(OR(DATE($C394,4,15)&lt;$S$365,AND($T$365&gt;0,DATE($C394,4,15)&gt;$T$365)),0,IF(DATE($C394,4,15)&gt;=$X$365,$AA$365*(1+($U$365)/100)^MAX(0,$C394-$AD$365),IF(DATE($C394,4,15)&gt;=$W$365,$Z$365*(1+($U$365)/100)^MAX(0,$C394-$AC$365),IF(DATE($C394,4,15)&gt;=$V$365,$Y$365*(1+($U$365)/100)^MAX(0,$C394-$AB$365),0)))))</f>
      </c>
      <c r="I394" s="43">
        <f>IF($S$365=0,0,IF(OR(DATE($C394,5,15)&lt;$S$365,AND($T$365&gt;0,DATE($C394,5,15)&gt;$T$365)),0,IF(DATE($C394,5,15)&gt;=$X$365,$AA$365*(1+($U$365)/100)^MAX(0,$C394-$AD$365),IF(DATE($C394,5,15)&gt;=$W$365,$Z$365*(1+($U$365)/100)^MAX(0,$C394-$AC$365),IF(DATE($C394,5,15)&gt;=$V$365,$Y$365*(1+($U$365)/100)^MAX(0,$C394-$AB$365),0)))))</f>
      </c>
      <c r="J394" s="43">
        <f>IF($S$365=0,0,IF(OR(DATE($C394,6,15)&lt;$S$365,AND($T$365&gt;0,DATE($C394,6,15)&gt;$T$365)),0,IF(DATE($C394,6,15)&gt;=$X$365,$AA$365*(1+($U$365)/100)^MAX(0,$C394-$AD$365),IF(DATE($C394,6,15)&gt;=$W$365,$Z$365*(1+($U$365)/100)^MAX(0,$C394-$AC$365),IF(DATE($C394,6,15)&gt;=$V$365,$Y$365*(1+($U$365)/100)^MAX(0,$C394-$AB$365),0)))))</f>
      </c>
      <c r="K394" s="43">
        <f>IF($S$365=0,0,IF(OR(DATE($C394,7,15)&lt;$S$365,AND($T$365&gt;0,DATE($C394,7,15)&gt;$T$365)),0,IF(DATE($C394,7,15)&gt;=$X$365,$AA$365*(1+($U$365)/100)^MAX(0,$C394-$AD$365),IF(DATE($C394,7,15)&gt;=$W$365,$Z$365*(1+($U$365)/100)^MAX(0,$C394-$AC$365),IF(DATE($C394,7,15)&gt;=$V$365,$Y$365*(1+($U$365)/100)^MAX(0,$C394-$AB$365),0)))))</f>
      </c>
      <c r="L394" s="43">
        <f>IF($S$365=0,0,IF(OR(DATE($C394,8,15)&lt;$S$365,AND($T$365&gt;0,DATE($C394,8,15)&gt;$T$365)),0,IF(DATE($C394,8,15)&gt;=$X$365,$AA$365*(1+($U$365)/100)^MAX(0,$C394-$AD$365),IF(DATE($C394,8,15)&gt;=$W$365,$Z$365*(1+($U$365)/100)^MAX(0,$C394-$AC$365),IF(DATE($C394,8,15)&gt;=$V$365,$Y$365*(1+($U$365)/100)^MAX(0,$C394-$AB$365),0)))))</f>
      </c>
      <c r="M394" s="43">
        <f>IF($S$365=0,0,IF(OR(DATE($C394,9,15)&lt;$S$365,AND($T$365&gt;0,DATE($C394,9,15)&gt;$T$365)),0,IF(DATE($C394,9,15)&gt;=$X$365,$AA$365*(1+($U$365)/100)^MAX(0,$C394-$AD$365),IF(DATE($C394,9,15)&gt;=$W$365,$Z$365*(1+($U$365)/100)^MAX(0,$C394-$AC$365),IF(DATE($C394,9,15)&gt;=$V$365,$Y$365*(1+($U$365)/100)^MAX(0,$C394-$AB$365),0)))))</f>
      </c>
      <c r="N394" s="43">
        <f>IF($S$365=0,0,IF(OR(DATE($C394,10,15)&lt;$S$365,AND($T$365&gt;0,DATE($C394,10,15)&gt;$T$365)),0,IF(DATE($C394,10,15)&gt;=$X$365,$AA$365*(1+($U$365)/100)^MAX(0,$C394-$AD$365),IF(DATE($C394,10,15)&gt;=$W$365,$Z$365*(1+($U$365)/100)^MAX(0,$C394-$AC$365),IF(DATE($C394,10,15)&gt;=$V$365,$Y$365*(1+($U$365)/100)^MAX(0,$C394-$AB$365),0)))))</f>
      </c>
      <c r="O394" s="43">
        <f>IF($S$365=0,0,IF(OR(DATE($C394,11,15)&lt;$S$365,AND($T$365&gt;0,DATE($C394,11,15)&gt;$T$365)),0,IF(DATE($C394,11,15)&gt;=$X$365,$AA$365*(1+($U$365)/100)^MAX(0,$C394-$AD$365),IF(DATE($C394,11,15)&gt;=$W$365,$Z$365*(1+($U$365)/100)^MAX(0,$C394-$AC$365),IF(DATE($C394,11,15)&gt;=$V$365,$Y$365*(1+($U$365)/100)^MAX(0,$C394-$AB$365),0)))))</f>
      </c>
      <c r="P394" s="43">
        <f>IF($S$365=0,0,IF(OR(DATE($C394,12,15)&lt;$S$365,AND($T$365&gt;0,DATE($C394,12,15)&gt;$T$365)),0,IF(DATE($C394,12,15)&gt;=$X$365,$AA$365*(1+($U$365)/100)^MAX(0,$C394-$AD$365),IF(DATE($C394,12,15)&gt;=$W$365,$Z$365*(1+($U$365)/100)^MAX(0,$C394-$AC$365),IF(DATE($C394,12,15)&gt;=$V$365,$Y$365*(1+($U$365)/100)^MAX(0,$C394-$AB$365),0)))))</f>
      </c>
      <c r="Q394" s="43">
        <f>SUM($E394:$P394)</f>
      </c>
    </row>
    <row r="395">
      <c r="A395"/>
      <c r="B395">
        <v>12</v>
      </c>
      <c r="C395" s="43">
        <f>Jahr+30</f>
      </c>
      <c r="D395" s="43">
        <f>INDEX(MvObj,12)</f>
      </c>
      <c r="E395" s="43">
        <f>IF($S$365=0,0,IF(OR(DATE($C395,1,15)&lt;$S$365,AND($T$365&gt;0,DATE($C395,1,15)&gt;$T$365)),0,IF(DATE($C395,1,15)&gt;=$X$365,$AA$365*(1+($U$365)/100)^MAX(0,$C395-$AD$365),IF(DATE($C395,1,15)&gt;=$W$365,$Z$365*(1+($U$365)/100)^MAX(0,$C395-$AC$365),IF(DATE($C395,1,15)&gt;=$V$365,$Y$365*(1+($U$365)/100)^MAX(0,$C395-$AB$365),0)))))</f>
      </c>
      <c r="F395" s="43">
        <f>IF($S$365=0,0,IF(OR(DATE($C395,2,15)&lt;$S$365,AND($T$365&gt;0,DATE($C395,2,15)&gt;$T$365)),0,IF(DATE($C395,2,15)&gt;=$X$365,$AA$365*(1+($U$365)/100)^MAX(0,$C395-$AD$365),IF(DATE($C395,2,15)&gt;=$W$365,$Z$365*(1+($U$365)/100)^MAX(0,$C395-$AC$365),IF(DATE($C395,2,15)&gt;=$V$365,$Y$365*(1+($U$365)/100)^MAX(0,$C395-$AB$365),0)))))</f>
      </c>
      <c r="G395" s="43">
        <f>IF($S$365=0,0,IF(OR(DATE($C395,3,15)&lt;$S$365,AND($T$365&gt;0,DATE($C395,3,15)&gt;$T$365)),0,IF(DATE($C395,3,15)&gt;=$X$365,$AA$365*(1+($U$365)/100)^MAX(0,$C395-$AD$365),IF(DATE($C395,3,15)&gt;=$W$365,$Z$365*(1+($U$365)/100)^MAX(0,$C395-$AC$365),IF(DATE($C395,3,15)&gt;=$V$365,$Y$365*(1+($U$365)/100)^MAX(0,$C395-$AB$365),0)))))</f>
      </c>
      <c r="H395" s="43">
        <f>IF($S$365=0,0,IF(OR(DATE($C395,4,15)&lt;$S$365,AND($T$365&gt;0,DATE($C395,4,15)&gt;$T$365)),0,IF(DATE($C395,4,15)&gt;=$X$365,$AA$365*(1+($U$365)/100)^MAX(0,$C395-$AD$365),IF(DATE($C395,4,15)&gt;=$W$365,$Z$365*(1+($U$365)/100)^MAX(0,$C395-$AC$365),IF(DATE($C395,4,15)&gt;=$V$365,$Y$365*(1+($U$365)/100)^MAX(0,$C395-$AB$365),0)))))</f>
      </c>
      <c r="I395" s="43">
        <f>IF($S$365=0,0,IF(OR(DATE($C395,5,15)&lt;$S$365,AND($T$365&gt;0,DATE($C395,5,15)&gt;$T$365)),0,IF(DATE($C395,5,15)&gt;=$X$365,$AA$365*(1+($U$365)/100)^MAX(0,$C395-$AD$365),IF(DATE($C395,5,15)&gt;=$W$365,$Z$365*(1+($U$365)/100)^MAX(0,$C395-$AC$365),IF(DATE($C395,5,15)&gt;=$V$365,$Y$365*(1+($U$365)/100)^MAX(0,$C395-$AB$365),0)))))</f>
      </c>
      <c r="J395" s="43">
        <f>IF($S$365=0,0,IF(OR(DATE($C395,6,15)&lt;$S$365,AND($T$365&gt;0,DATE($C395,6,15)&gt;$T$365)),0,IF(DATE($C395,6,15)&gt;=$X$365,$AA$365*(1+($U$365)/100)^MAX(0,$C395-$AD$365),IF(DATE($C395,6,15)&gt;=$W$365,$Z$365*(1+($U$365)/100)^MAX(0,$C395-$AC$365),IF(DATE($C395,6,15)&gt;=$V$365,$Y$365*(1+($U$365)/100)^MAX(0,$C395-$AB$365),0)))))</f>
      </c>
      <c r="K395" s="43">
        <f>IF($S$365=0,0,IF(OR(DATE($C395,7,15)&lt;$S$365,AND($T$365&gt;0,DATE($C395,7,15)&gt;$T$365)),0,IF(DATE($C395,7,15)&gt;=$X$365,$AA$365*(1+($U$365)/100)^MAX(0,$C395-$AD$365),IF(DATE($C395,7,15)&gt;=$W$365,$Z$365*(1+($U$365)/100)^MAX(0,$C395-$AC$365),IF(DATE($C395,7,15)&gt;=$V$365,$Y$365*(1+($U$365)/100)^MAX(0,$C395-$AB$365),0)))))</f>
      </c>
      <c r="L395" s="43">
        <f>IF($S$365=0,0,IF(OR(DATE($C395,8,15)&lt;$S$365,AND($T$365&gt;0,DATE($C395,8,15)&gt;$T$365)),0,IF(DATE($C395,8,15)&gt;=$X$365,$AA$365*(1+($U$365)/100)^MAX(0,$C395-$AD$365),IF(DATE($C395,8,15)&gt;=$W$365,$Z$365*(1+($U$365)/100)^MAX(0,$C395-$AC$365),IF(DATE($C395,8,15)&gt;=$V$365,$Y$365*(1+($U$365)/100)^MAX(0,$C395-$AB$365),0)))))</f>
      </c>
      <c r="M395" s="43">
        <f>IF($S$365=0,0,IF(OR(DATE($C395,9,15)&lt;$S$365,AND($T$365&gt;0,DATE($C395,9,15)&gt;$T$365)),0,IF(DATE($C395,9,15)&gt;=$X$365,$AA$365*(1+($U$365)/100)^MAX(0,$C395-$AD$365),IF(DATE($C395,9,15)&gt;=$W$365,$Z$365*(1+($U$365)/100)^MAX(0,$C395-$AC$365),IF(DATE($C395,9,15)&gt;=$V$365,$Y$365*(1+($U$365)/100)^MAX(0,$C395-$AB$365),0)))))</f>
      </c>
      <c r="N395" s="43">
        <f>IF($S$365=0,0,IF(OR(DATE($C395,10,15)&lt;$S$365,AND($T$365&gt;0,DATE($C395,10,15)&gt;$T$365)),0,IF(DATE($C395,10,15)&gt;=$X$365,$AA$365*(1+($U$365)/100)^MAX(0,$C395-$AD$365),IF(DATE($C395,10,15)&gt;=$W$365,$Z$365*(1+($U$365)/100)^MAX(0,$C395-$AC$365),IF(DATE($C395,10,15)&gt;=$V$365,$Y$365*(1+($U$365)/100)^MAX(0,$C395-$AB$365),0)))))</f>
      </c>
      <c r="O395" s="43">
        <f>IF($S$365=0,0,IF(OR(DATE($C395,11,15)&lt;$S$365,AND($T$365&gt;0,DATE($C395,11,15)&gt;$T$365)),0,IF(DATE($C395,11,15)&gt;=$X$365,$AA$365*(1+($U$365)/100)^MAX(0,$C395-$AD$365),IF(DATE($C395,11,15)&gt;=$W$365,$Z$365*(1+($U$365)/100)^MAX(0,$C395-$AC$365),IF(DATE($C395,11,15)&gt;=$V$365,$Y$365*(1+($U$365)/100)^MAX(0,$C395-$AB$365),0)))))</f>
      </c>
      <c r="P395" s="43">
        <f>IF($S$365=0,0,IF(OR(DATE($C395,12,15)&lt;$S$365,AND($T$365&gt;0,DATE($C395,12,15)&gt;$T$365)),0,IF(DATE($C395,12,15)&gt;=$X$365,$AA$365*(1+($U$365)/100)^MAX(0,$C395-$AD$365),IF(DATE($C395,12,15)&gt;=$W$365,$Z$365*(1+($U$365)/100)^MAX(0,$C395-$AC$365),IF(DATE($C395,12,15)&gt;=$V$365,$Y$365*(1+($U$365)/100)^MAX(0,$C395-$AB$365),0)))))</f>
      </c>
      <c r="Q395" s="43">
        <f>SUM($E395:$P395)</f>
      </c>
    </row>
    <row r="396">
      <c r="A396"/>
      <c r="B396">
        <v>13</v>
      </c>
      <c r="C396" s="43">
        <f>Jahr+0</f>
      </c>
      <c r="D396" s="43">
        <f>INDEX(MvObj,13)</f>
      </c>
      <c r="E396" s="43">
        <f>IF($S$396=0,0,IF(OR(DATE($C396,1,15)&lt;$S$396,AND($T$396&gt;0,DATE($C396,1,15)&gt;$T$396)),0,IF(DATE($C396,1,15)&gt;=$X$396,$AA$396*(1+($U$396)/100)^MAX(0,$C396-$AD$396),IF(DATE($C396,1,15)&gt;=$W$396,$Z$396*(1+($U$396)/100)^MAX(0,$C396-$AC$396),IF(DATE($C396,1,15)&gt;=$V$396,$Y$396*(1+($U$396)/100)^MAX(0,$C396-$AB$396),0)))))</f>
      </c>
      <c r="F396" s="43">
        <f>IF($S$396=0,0,IF(OR(DATE($C396,2,15)&lt;$S$396,AND($T$396&gt;0,DATE($C396,2,15)&gt;$T$396)),0,IF(DATE($C396,2,15)&gt;=$X$396,$AA$396*(1+($U$396)/100)^MAX(0,$C396-$AD$396),IF(DATE($C396,2,15)&gt;=$W$396,$Z$396*(1+($U$396)/100)^MAX(0,$C396-$AC$396),IF(DATE($C396,2,15)&gt;=$V$396,$Y$396*(1+($U$396)/100)^MAX(0,$C396-$AB$396),0)))))</f>
      </c>
      <c r="G396" s="43">
        <f>IF($S$396=0,0,IF(OR(DATE($C396,3,15)&lt;$S$396,AND($T$396&gt;0,DATE($C396,3,15)&gt;$T$396)),0,IF(DATE($C396,3,15)&gt;=$X$396,$AA$396*(1+($U$396)/100)^MAX(0,$C396-$AD$396),IF(DATE($C396,3,15)&gt;=$W$396,$Z$396*(1+($U$396)/100)^MAX(0,$C396-$AC$396),IF(DATE($C396,3,15)&gt;=$V$396,$Y$396*(1+($U$396)/100)^MAX(0,$C396-$AB$396),0)))))</f>
      </c>
      <c r="H396" s="43">
        <f>IF($S$396=0,0,IF(OR(DATE($C396,4,15)&lt;$S$396,AND($T$396&gt;0,DATE($C396,4,15)&gt;$T$396)),0,IF(DATE($C396,4,15)&gt;=$X$396,$AA$396*(1+($U$396)/100)^MAX(0,$C396-$AD$396),IF(DATE($C396,4,15)&gt;=$W$396,$Z$396*(1+($U$396)/100)^MAX(0,$C396-$AC$396),IF(DATE($C396,4,15)&gt;=$V$396,$Y$396*(1+($U$396)/100)^MAX(0,$C396-$AB$396),0)))))</f>
      </c>
      <c r="I396" s="43">
        <f>IF($S$396=0,0,IF(OR(DATE($C396,5,15)&lt;$S$396,AND($T$396&gt;0,DATE($C396,5,15)&gt;$T$396)),0,IF(DATE($C396,5,15)&gt;=$X$396,$AA$396*(1+($U$396)/100)^MAX(0,$C396-$AD$396),IF(DATE($C396,5,15)&gt;=$W$396,$Z$396*(1+($U$396)/100)^MAX(0,$C396-$AC$396),IF(DATE($C396,5,15)&gt;=$V$396,$Y$396*(1+($U$396)/100)^MAX(0,$C396-$AB$396),0)))))</f>
      </c>
      <c r="J396" s="43">
        <f>IF($S$396=0,0,IF(OR(DATE($C396,6,15)&lt;$S$396,AND($T$396&gt;0,DATE($C396,6,15)&gt;$T$396)),0,IF(DATE($C396,6,15)&gt;=$X$396,$AA$396*(1+($U$396)/100)^MAX(0,$C396-$AD$396),IF(DATE($C396,6,15)&gt;=$W$396,$Z$396*(1+($U$396)/100)^MAX(0,$C396-$AC$396),IF(DATE($C396,6,15)&gt;=$V$396,$Y$396*(1+($U$396)/100)^MAX(0,$C396-$AB$396),0)))))</f>
      </c>
      <c r="K396" s="43">
        <f>IF($S$396=0,0,IF(OR(DATE($C396,7,15)&lt;$S$396,AND($T$396&gt;0,DATE($C396,7,15)&gt;$T$396)),0,IF(DATE($C396,7,15)&gt;=$X$396,$AA$396*(1+($U$396)/100)^MAX(0,$C396-$AD$396),IF(DATE($C396,7,15)&gt;=$W$396,$Z$396*(1+($U$396)/100)^MAX(0,$C396-$AC$396),IF(DATE($C396,7,15)&gt;=$V$396,$Y$396*(1+($U$396)/100)^MAX(0,$C396-$AB$396),0)))))</f>
      </c>
      <c r="L396" s="43">
        <f>IF($S$396=0,0,IF(OR(DATE($C396,8,15)&lt;$S$396,AND($T$396&gt;0,DATE($C396,8,15)&gt;$T$396)),0,IF(DATE($C396,8,15)&gt;=$X$396,$AA$396*(1+($U$396)/100)^MAX(0,$C396-$AD$396),IF(DATE($C396,8,15)&gt;=$W$396,$Z$396*(1+($U$396)/100)^MAX(0,$C396-$AC$396),IF(DATE($C396,8,15)&gt;=$V$396,$Y$396*(1+($U$396)/100)^MAX(0,$C396-$AB$396),0)))))</f>
      </c>
      <c r="M396" s="43">
        <f>IF($S$396=0,0,IF(OR(DATE($C396,9,15)&lt;$S$396,AND($T$396&gt;0,DATE($C396,9,15)&gt;$T$396)),0,IF(DATE($C396,9,15)&gt;=$X$396,$AA$396*(1+($U$396)/100)^MAX(0,$C396-$AD$396),IF(DATE($C396,9,15)&gt;=$W$396,$Z$396*(1+($U$396)/100)^MAX(0,$C396-$AC$396),IF(DATE($C396,9,15)&gt;=$V$396,$Y$396*(1+($U$396)/100)^MAX(0,$C396-$AB$396),0)))))</f>
      </c>
      <c r="N396" s="43">
        <f>IF($S$396=0,0,IF(OR(DATE($C396,10,15)&lt;$S$396,AND($T$396&gt;0,DATE($C396,10,15)&gt;$T$396)),0,IF(DATE($C396,10,15)&gt;=$X$396,$AA$396*(1+($U$396)/100)^MAX(0,$C396-$AD$396),IF(DATE($C396,10,15)&gt;=$W$396,$Z$396*(1+($U$396)/100)^MAX(0,$C396-$AC$396),IF(DATE($C396,10,15)&gt;=$V$396,$Y$396*(1+($U$396)/100)^MAX(0,$C396-$AB$396),0)))))</f>
      </c>
      <c r="O396" s="43">
        <f>IF($S$396=0,0,IF(OR(DATE($C396,11,15)&lt;$S$396,AND($T$396&gt;0,DATE($C396,11,15)&gt;$T$396)),0,IF(DATE($C396,11,15)&gt;=$X$396,$AA$396*(1+($U$396)/100)^MAX(0,$C396-$AD$396),IF(DATE($C396,11,15)&gt;=$W$396,$Z$396*(1+($U$396)/100)^MAX(0,$C396-$AC$396),IF(DATE($C396,11,15)&gt;=$V$396,$Y$396*(1+($U$396)/100)^MAX(0,$C396-$AB$396),0)))))</f>
      </c>
      <c r="P396" s="43">
        <f>IF($S$396=0,0,IF(OR(DATE($C396,12,15)&lt;$S$396,AND($T$396&gt;0,DATE($C396,12,15)&gt;$T$396)),0,IF(DATE($C396,12,15)&gt;=$X$396,$AA$396*(1+($U$396)/100)^MAX(0,$C396-$AD$396),IF(DATE($C396,12,15)&gt;=$W$396,$Z$396*(1+($U$396)/100)^MAX(0,$C396-$AC$396),IF(DATE($C396,12,15)&gt;=$V$396,$Y$396*(1+($U$396)/100)^MAX(0,$C396-$AB$396),0)))))</f>
      </c>
      <c r="Q396" s="43">
        <f>SUM($E396:$P396)</f>
      </c>
      <c r="R396"/>
      <c r="S396" s="43">
        <f>IF(INDEX(MvBeginn,13)="",0,INDEX(MvBeginn,13))</f>
      </c>
      <c r="T396" s="43">
        <f>INDEX(MvEnde,13)</f>
      </c>
      <c r="U396" s="43">
        <f>INDEX(MvSatz,13)</f>
      </c>
      <c r="V396" s="43">
        <f>INDEX(MvKey1,13)</f>
      </c>
      <c r="W396" s="43">
        <f>INDEX(MvKey2,13)</f>
      </c>
      <c r="X396" s="43">
        <f>INDEX(MvKey3,13)</f>
      </c>
      <c r="Y396" s="43">
        <f>INDEX(MvKalt1,13)</f>
      </c>
      <c r="Z396" s="43">
        <f>INDEX(MvKalt2,13)</f>
      </c>
      <c r="AA396" s="43">
        <f>INDEX(MvKalt3,13)</f>
      </c>
      <c r="AB396" s="43">
        <f>MAX(YEAR(INDEX(MvAb1,13)),Jahr)</f>
      </c>
      <c r="AC396" s="43">
        <f>MAX(YEAR(INDEX(MvAb2,13)),Jahr)</f>
      </c>
      <c r="AD396" s="43">
        <f>MAX(YEAR(INDEX(MvAb3,13)),Jahr)</f>
      </c>
    </row>
    <row r="397">
      <c r="A397"/>
      <c r="B397">
        <v>13</v>
      </c>
      <c r="C397" s="43">
        <f>Jahr+1</f>
      </c>
      <c r="D397" s="43">
        <f>INDEX(MvObj,13)</f>
      </c>
      <c r="E397" s="43">
        <f>IF($S$396=0,0,IF(OR(DATE($C397,1,15)&lt;$S$396,AND($T$396&gt;0,DATE($C397,1,15)&gt;$T$396)),0,IF(DATE($C397,1,15)&gt;=$X$396,$AA$396*(1+($U$396)/100)^MAX(0,$C397-$AD$396),IF(DATE($C397,1,15)&gt;=$W$396,$Z$396*(1+($U$396)/100)^MAX(0,$C397-$AC$396),IF(DATE($C397,1,15)&gt;=$V$396,$Y$396*(1+($U$396)/100)^MAX(0,$C397-$AB$396),0)))))</f>
      </c>
      <c r="F397" s="43">
        <f>IF($S$396=0,0,IF(OR(DATE($C397,2,15)&lt;$S$396,AND($T$396&gt;0,DATE($C397,2,15)&gt;$T$396)),0,IF(DATE($C397,2,15)&gt;=$X$396,$AA$396*(1+($U$396)/100)^MAX(0,$C397-$AD$396),IF(DATE($C397,2,15)&gt;=$W$396,$Z$396*(1+($U$396)/100)^MAX(0,$C397-$AC$396),IF(DATE($C397,2,15)&gt;=$V$396,$Y$396*(1+($U$396)/100)^MAX(0,$C397-$AB$396),0)))))</f>
      </c>
      <c r="G397" s="43">
        <f>IF($S$396=0,0,IF(OR(DATE($C397,3,15)&lt;$S$396,AND($T$396&gt;0,DATE($C397,3,15)&gt;$T$396)),0,IF(DATE($C397,3,15)&gt;=$X$396,$AA$396*(1+($U$396)/100)^MAX(0,$C397-$AD$396),IF(DATE($C397,3,15)&gt;=$W$396,$Z$396*(1+($U$396)/100)^MAX(0,$C397-$AC$396),IF(DATE($C397,3,15)&gt;=$V$396,$Y$396*(1+($U$396)/100)^MAX(0,$C397-$AB$396),0)))))</f>
      </c>
      <c r="H397" s="43">
        <f>IF($S$396=0,0,IF(OR(DATE($C397,4,15)&lt;$S$396,AND($T$396&gt;0,DATE($C397,4,15)&gt;$T$396)),0,IF(DATE($C397,4,15)&gt;=$X$396,$AA$396*(1+($U$396)/100)^MAX(0,$C397-$AD$396),IF(DATE($C397,4,15)&gt;=$W$396,$Z$396*(1+($U$396)/100)^MAX(0,$C397-$AC$396),IF(DATE($C397,4,15)&gt;=$V$396,$Y$396*(1+($U$396)/100)^MAX(0,$C397-$AB$396),0)))))</f>
      </c>
      <c r="I397" s="43">
        <f>IF($S$396=0,0,IF(OR(DATE($C397,5,15)&lt;$S$396,AND($T$396&gt;0,DATE($C397,5,15)&gt;$T$396)),0,IF(DATE($C397,5,15)&gt;=$X$396,$AA$396*(1+($U$396)/100)^MAX(0,$C397-$AD$396),IF(DATE($C397,5,15)&gt;=$W$396,$Z$396*(1+($U$396)/100)^MAX(0,$C397-$AC$396),IF(DATE($C397,5,15)&gt;=$V$396,$Y$396*(1+($U$396)/100)^MAX(0,$C397-$AB$396),0)))))</f>
      </c>
      <c r="J397" s="43">
        <f>IF($S$396=0,0,IF(OR(DATE($C397,6,15)&lt;$S$396,AND($T$396&gt;0,DATE($C397,6,15)&gt;$T$396)),0,IF(DATE($C397,6,15)&gt;=$X$396,$AA$396*(1+($U$396)/100)^MAX(0,$C397-$AD$396),IF(DATE($C397,6,15)&gt;=$W$396,$Z$396*(1+($U$396)/100)^MAX(0,$C397-$AC$396),IF(DATE($C397,6,15)&gt;=$V$396,$Y$396*(1+($U$396)/100)^MAX(0,$C397-$AB$396),0)))))</f>
      </c>
      <c r="K397" s="43">
        <f>IF($S$396=0,0,IF(OR(DATE($C397,7,15)&lt;$S$396,AND($T$396&gt;0,DATE($C397,7,15)&gt;$T$396)),0,IF(DATE($C397,7,15)&gt;=$X$396,$AA$396*(1+($U$396)/100)^MAX(0,$C397-$AD$396),IF(DATE($C397,7,15)&gt;=$W$396,$Z$396*(1+($U$396)/100)^MAX(0,$C397-$AC$396),IF(DATE($C397,7,15)&gt;=$V$396,$Y$396*(1+($U$396)/100)^MAX(0,$C397-$AB$396),0)))))</f>
      </c>
      <c r="L397" s="43">
        <f>IF($S$396=0,0,IF(OR(DATE($C397,8,15)&lt;$S$396,AND($T$396&gt;0,DATE($C397,8,15)&gt;$T$396)),0,IF(DATE($C397,8,15)&gt;=$X$396,$AA$396*(1+($U$396)/100)^MAX(0,$C397-$AD$396),IF(DATE($C397,8,15)&gt;=$W$396,$Z$396*(1+($U$396)/100)^MAX(0,$C397-$AC$396),IF(DATE($C397,8,15)&gt;=$V$396,$Y$396*(1+($U$396)/100)^MAX(0,$C397-$AB$396),0)))))</f>
      </c>
      <c r="M397" s="43">
        <f>IF($S$396=0,0,IF(OR(DATE($C397,9,15)&lt;$S$396,AND($T$396&gt;0,DATE($C397,9,15)&gt;$T$396)),0,IF(DATE($C397,9,15)&gt;=$X$396,$AA$396*(1+($U$396)/100)^MAX(0,$C397-$AD$396),IF(DATE($C397,9,15)&gt;=$W$396,$Z$396*(1+($U$396)/100)^MAX(0,$C397-$AC$396),IF(DATE($C397,9,15)&gt;=$V$396,$Y$396*(1+($U$396)/100)^MAX(0,$C397-$AB$396),0)))))</f>
      </c>
      <c r="N397" s="43">
        <f>IF($S$396=0,0,IF(OR(DATE($C397,10,15)&lt;$S$396,AND($T$396&gt;0,DATE($C397,10,15)&gt;$T$396)),0,IF(DATE($C397,10,15)&gt;=$X$396,$AA$396*(1+($U$396)/100)^MAX(0,$C397-$AD$396),IF(DATE($C397,10,15)&gt;=$W$396,$Z$396*(1+($U$396)/100)^MAX(0,$C397-$AC$396),IF(DATE($C397,10,15)&gt;=$V$396,$Y$396*(1+($U$396)/100)^MAX(0,$C397-$AB$396),0)))))</f>
      </c>
      <c r="O397" s="43">
        <f>IF($S$396=0,0,IF(OR(DATE($C397,11,15)&lt;$S$396,AND($T$396&gt;0,DATE($C397,11,15)&gt;$T$396)),0,IF(DATE($C397,11,15)&gt;=$X$396,$AA$396*(1+($U$396)/100)^MAX(0,$C397-$AD$396),IF(DATE($C397,11,15)&gt;=$W$396,$Z$396*(1+($U$396)/100)^MAX(0,$C397-$AC$396),IF(DATE($C397,11,15)&gt;=$V$396,$Y$396*(1+($U$396)/100)^MAX(0,$C397-$AB$396),0)))))</f>
      </c>
      <c r="P397" s="43">
        <f>IF($S$396=0,0,IF(OR(DATE($C397,12,15)&lt;$S$396,AND($T$396&gt;0,DATE($C397,12,15)&gt;$T$396)),0,IF(DATE($C397,12,15)&gt;=$X$396,$AA$396*(1+($U$396)/100)^MAX(0,$C397-$AD$396),IF(DATE($C397,12,15)&gt;=$W$396,$Z$396*(1+($U$396)/100)^MAX(0,$C397-$AC$396),IF(DATE($C397,12,15)&gt;=$V$396,$Y$396*(1+($U$396)/100)^MAX(0,$C397-$AB$396),0)))))</f>
      </c>
      <c r="Q397" s="43">
        <f>SUM($E397:$P397)</f>
      </c>
    </row>
    <row r="398">
      <c r="A398"/>
      <c r="B398">
        <v>13</v>
      </c>
      <c r="C398" s="43">
        <f>Jahr+2</f>
      </c>
      <c r="D398" s="43">
        <f>INDEX(MvObj,13)</f>
      </c>
      <c r="E398" s="43">
        <f>IF($S$396=0,0,IF(OR(DATE($C398,1,15)&lt;$S$396,AND($T$396&gt;0,DATE($C398,1,15)&gt;$T$396)),0,IF(DATE($C398,1,15)&gt;=$X$396,$AA$396*(1+($U$396)/100)^MAX(0,$C398-$AD$396),IF(DATE($C398,1,15)&gt;=$W$396,$Z$396*(1+($U$396)/100)^MAX(0,$C398-$AC$396),IF(DATE($C398,1,15)&gt;=$V$396,$Y$396*(1+($U$396)/100)^MAX(0,$C398-$AB$396),0)))))</f>
      </c>
      <c r="F398" s="43">
        <f>IF($S$396=0,0,IF(OR(DATE($C398,2,15)&lt;$S$396,AND($T$396&gt;0,DATE($C398,2,15)&gt;$T$396)),0,IF(DATE($C398,2,15)&gt;=$X$396,$AA$396*(1+($U$396)/100)^MAX(0,$C398-$AD$396),IF(DATE($C398,2,15)&gt;=$W$396,$Z$396*(1+($U$396)/100)^MAX(0,$C398-$AC$396),IF(DATE($C398,2,15)&gt;=$V$396,$Y$396*(1+($U$396)/100)^MAX(0,$C398-$AB$396),0)))))</f>
      </c>
      <c r="G398" s="43">
        <f>IF($S$396=0,0,IF(OR(DATE($C398,3,15)&lt;$S$396,AND($T$396&gt;0,DATE($C398,3,15)&gt;$T$396)),0,IF(DATE($C398,3,15)&gt;=$X$396,$AA$396*(1+($U$396)/100)^MAX(0,$C398-$AD$396),IF(DATE($C398,3,15)&gt;=$W$396,$Z$396*(1+($U$396)/100)^MAX(0,$C398-$AC$396),IF(DATE($C398,3,15)&gt;=$V$396,$Y$396*(1+($U$396)/100)^MAX(0,$C398-$AB$396),0)))))</f>
      </c>
      <c r="H398" s="43">
        <f>IF($S$396=0,0,IF(OR(DATE($C398,4,15)&lt;$S$396,AND($T$396&gt;0,DATE($C398,4,15)&gt;$T$396)),0,IF(DATE($C398,4,15)&gt;=$X$396,$AA$396*(1+($U$396)/100)^MAX(0,$C398-$AD$396),IF(DATE($C398,4,15)&gt;=$W$396,$Z$396*(1+($U$396)/100)^MAX(0,$C398-$AC$396),IF(DATE($C398,4,15)&gt;=$V$396,$Y$396*(1+($U$396)/100)^MAX(0,$C398-$AB$396),0)))))</f>
      </c>
      <c r="I398" s="43">
        <f>IF($S$396=0,0,IF(OR(DATE($C398,5,15)&lt;$S$396,AND($T$396&gt;0,DATE($C398,5,15)&gt;$T$396)),0,IF(DATE($C398,5,15)&gt;=$X$396,$AA$396*(1+($U$396)/100)^MAX(0,$C398-$AD$396),IF(DATE($C398,5,15)&gt;=$W$396,$Z$396*(1+($U$396)/100)^MAX(0,$C398-$AC$396),IF(DATE($C398,5,15)&gt;=$V$396,$Y$396*(1+($U$396)/100)^MAX(0,$C398-$AB$396),0)))))</f>
      </c>
      <c r="J398" s="43">
        <f>IF($S$396=0,0,IF(OR(DATE($C398,6,15)&lt;$S$396,AND($T$396&gt;0,DATE($C398,6,15)&gt;$T$396)),0,IF(DATE($C398,6,15)&gt;=$X$396,$AA$396*(1+($U$396)/100)^MAX(0,$C398-$AD$396),IF(DATE($C398,6,15)&gt;=$W$396,$Z$396*(1+($U$396)/100)^MAX(0,$C398-$AC$396),IF(DATE($C398,6,15)&gt;=$V$396,$Y$396*(1+($U$396)/100)^MAX(0,$C398-$AB$396),0)))))</f>
      </c>
      <c r="K398" s="43">
        <f>IF($S$396=0,0,IF(OR(DATE($C398,7,15)&lt;$S$396,AND($T$396&gt;0,DATE($C398,7,15)&gt;$T$396)),0,IF(DATE($C398,7,15)&gt;=$X$396,$AA$396*(1+($U$396)/100)^MAX(0,$C398-$AD$396),IF(DATE($C398,7,15)&gt;=$W$396,$Z$396*(1+($U$396)/100)^MAX(0,$C398-$AC$396),IF(DATE($C398,7,15)&gt;=$V$396,$Y$396*(1+($U$396)/100)^MAX(0,$C398-$AB$396),0)))))</f>
      </c>
      <c r="L398" s="43">
        <f>IF($S$396=0,0,IF(OR(DATE($C398,8,15)&lt;$S$396,AND($T$396&gt;0,DATE($C398,8,15)&gt;$T$396)),0,IF(DATE($C398,8,15)&gt;=$X$396,$AA$396*(1+($U$396)/100)^MAX(0,$C398-$AD$396),IF(DATE($C398,8,15)&gt;=$W$396,$Z$396*(1+($U$396)/100)^MAX(0,$C398-$AC$396),IF(DATE($C398,8,15)&gt;=$V$396,$Y$396*(1+($U$396)/100)^MAX(0,$C398-$AB$396),0)))))</f>
      </c>
      <c r="M398" s="43">
        <f>IF($S$396=0,0,IF(OR(DATE($C398,9,15)&lt;$S$396,AND($T$396&gt;0,DATE($C398,9,15)&gt;$T$396)),0,IF(DATE($C398,9,15)&gt;=$X$396,$AA$396*(1+($U$396)/100)^MAX(0,$C398-$AD$396),IF(DATE($C398,9,15)&gt;=$W$396,$Z$396*(1+($U$396)/100)^MAX(0,$C398-$AC$396),IF(DATE($C398,9,15)&gt;=$V$396,$Y$396*(1+($U$396)/100)^MAX(0,$C398-$AB$396),0)))))</f>
      </c>
      <c r="N398" s="43">
        <f>IF($S$396=0,0,IF(OR(DATE($C398,10,15)&lt;$S$396,AND($T$396&gt;0,DATE($C398,10,15)&gt;$T$396)),0,IF(DATE($C398,10,15)&gt;=$X$396,$AA$396*(1+($U$396)/100)^MAX(0,$C398-$AD$396),IF(DATE($C398,10,15)&gt;=$W$396,$Z$396*(1+($U$396)/100)^MAX(0,$C398-$AC$396),IF(DATE($C398,10,15)&gt;=$V$396,$Y$396*(1+($U$396)/100)^MAX(0,$C398-$AB$396),0)))))</f>
      </c>
      <c r="O398" s="43">
        <f>IF($S$396=0,0,IF(OR(DATE($C398,11,15)&lt;$S$396,AND($T$396&gt;0,DATE($C398,11,15)&gt;$T$396)),0,IF(DATE($C398,11,15)&gt;=$X$396,$AA$396*(1+($U$396)/100)^MAX(0,$C398-$AD$396),IF(DATE($C398,11,15)&gt;=$W$396,$Z$396*(1+($U$396)/100)^MAX(0,$C398-$AC$396),IF(DATE($C398,11,15)&gt;=$V$396,$Y$396*(1+($U$396)/100)^MAX(0,$C398-$AB$396),0)))))</f>
      </c>
      <c r="P398" s="43">
        <f>IF($S$396=0,0,IF(OR(DATE($C398,12,15)&lt;$S$396,AND($T$396&gt;0,DATE($C398,12,15)&gt;$T$396)),0,IF(DATE($C398,12,15)&gt;=$X$396,$AA$396*(1+($U$396)/100)^MAX(0,$C398-$AD$396),IF(DATE($C398,12,15)&gt;=$W$396,$Z$396*(1+($U$396)/100)^MAX(0,$C398-$AC$396),IF(DATE($C398,12,15)&gt;=$V$396,$Y$396*(1+($U$396)/100)^MAX(0,$C398-$AB$396),0)))))</f>
      </c>
      <c r="Q398" s="43">
        <f>SUM($E398:$P398)</f>
      </c>
    </row>
    <row r="399">
      <c r="A399"/>
      <c r="B399">
        <v>13</v>
      </c>
      <c r="C399" s="43">
        <f>Jahr+3</f>
      </c>
      <c r="D399" s="43">
        <f>INDEX(MvObj,13)</f>
      </c>
      <c r="E399" s="43">
        <f>IF($S$396=0,0,IF(OR(DATE($C399,1,15)&lt;$S$396,AND($T$396&gt;0,DATE($C399,1,15)&gt;$T$396)),0,IF(DATE($C399,1,15)&gt;=$X$396,$AA$396*(1+($U$396)/100)^MAX(0,$C399-$AD$396),IF(DATE($C399,1,15)&gt;=$W$396,$Z$396*(1+($U$396)/100)^MAX(0,$C399-$AC$396),IF(DATE($C399,1,15)&gt;=$V$396,$Y$396*(1+($U$396)/100)^MAX(0,$C399-$AB$396),0)))))</f>
      </c>
      <c r="F399" s="43">
        <f>IF($S$396=0,0,IF(OR(DATE($C399,2,15)&lt;$S$396,AND($T$396&gt;0,DATE($C399,2,15)&gt;$T$396)),0,IF(DATE($C399,2,15)&gt;=$X$396,$AA$396*(1+($U$396)/100)^MAX(0,$C399-$AD$396),IF(DATE($C399,2,15)&gt;=$W$396,$Z$396*(1+($U$396)/100)^MAX(0,$C399-$AC$396),IF(DATE($C399,2,15)&gt;=$V$396,$Y$396*(1+($U$396)/100)^MAX(0,$C399-$AB$396),0)))))</f>
      </c>
      <c r="G399" s="43">
        <f>IF($S$396=0,0,IF(OR(DATE($C399,3,15)&lt;$S$396,AND($T$396&gt;0,DATE($C399,3,15)&gt;$T$396)),0,IF(DATE($C399,3,15)&gt;=$X$396,$AA$396*(1+($U$396)/100)^MAX(0,$C399-$AD$396),IF(DATE($C399,3,15)&gt;=$W$396,$Z$396*(1+($U$396)/100)^MAX(0,$C399-$AC$396),IF(DATE($C399,3,15)&gt;=$V$396,$Y$396*(1+($U$396)/100)^MAX(0,$C399-$AB$396),0)))))</f>
      </c>
      <c r="H399" s="43">
        <f>IF($S$396=0,0,IF(OR(DATE($C399,4,15)&lt;$S$396,AND($T$396&gt;0,DATE($C399,4,15)&gt;$T$396)),0,IF(DATE($C399,4,15)&gt;=$X$396,$AA$396*(1+($U$396)/100)^MAX(0,$C399-$AD$396),IF(DATE($C399,4,15)&gt;=$W$396,$Z$396*(1+($U$396)/100)^MAX(0,$C399-$AC$396),IF(DATE($C399,4,15)&gt;=$V$396,$Y$396*(1+($U$396)/100)^MAX(0,$C399-$AB$396),0)))))</f>
      </c>
      <c r="I399" s="43">
        <f>IF($S$396=0,0,IF(OR(DATE($C399,5,15)&lt;$S$396,AND($T$396&gt;0,DATE($C399,5,15)&gt;$T$396)),0,IF(DATE($C399,5,15)&gt;=$X$396,$AA$396*(1+($U$396)/100)^MAX(0,$C399-$AD$396),IF(DATE($C399,5,15)&gt;=$W$396,$Z$396*(1+($U$396)/100)^MAX(0,$C399-$AC$396),IF(DATE($C399,5,15)&gt;=$V$396,$Y$396*(1+($U$396)/100)^MAX(0,$C399-$AB$396),0)))))</f>
      </c>
      <c r="J399" s="43">
        <f>IF($S$396=0,0,IF(OR(DATE($C399,6,15)&lt;$S$396,AND($T$396&gt;0,DATE($C399,6,15)&gt;$T$396)),0,IF(DATE($C399,6,15)&gt;=$X$396,$AA$396*(1+($U$396)/100)^MAX(0,$C399-$AD$396),IF(DATE($C399,6,15)&gt;=$W$396,$Z$396*(1+($U$396)/100)^MAX(0,$C399-$AC$396),IF(DATE($C399,6,15)&gt;=$V$396,$Y$396*(1+($U$396)/100)^MAX(0,$C399-$AB$396),0)))))</f>
      </c>
      <c r="K399" s="43">
        <f>IF($S$396=0,0,IF(OR(DATE($C399,7,15)&lt;$S$396,AND($T$396&gt;0,DATE($C399,7,15)&gt;$T$396)),0,IF(DATE($C399,7,15)&gt;=$X$396,$AA$396*(1+($U$396)/100)^MAX(0,$C399-$AD$396),IF(DATE($C399,7,15)&gt;=$W$396,$Z$396*(1+($U$396)/100)^MAX(0,$C399-$AC$396),IF(DATE($C399,7,15)&gt;=$V$396,$Y$396*(1+($U$396)/100)^MAX(0,$C399-$AB$396),0)))))</f>
      </c>
      <c r="L399" s="43">
        <f>IF($S$396=0,0,IF(OR(DATE($C399,8,15)&lt;$S$396,AND($T$396&gt;0,DATE($C399,8,15)&gt;$T$396)),0,IF(DATE($C399,8,15)&gt;=$X$396,$AA$396*(1+($U$396)/100)^MAX(0,$C399-$AD$396),IF(DATE($C399,8,15)&gt;=$W$396,$Z$396*(1+($U$396)/100)^MAX(0,$C399-$AC$396),IF(DATE($C399,8,15)&gt;=$V$396,$Y$396*(1+($U$396)/100)^MAX(0,$C399-$AB$396),0)))))</f>
      </c>
      <c r="M399" s="43">
        <f>IF($S$396=0,0,IF(OR(DATE($C399,9,15)&lt;$S$396,AND($T$396&gt;0,DATE($C399,9,15)&gt;$T$396)),0,IF(DATE($C399,9,15)&gt;=$X$396,$AA$396*(1+($U$396)/100)^MAX(0,$C399-$AD$396),IF(DATE($C399,9,15)&gt;=$W$396,$Z$396*(1+($U$396)/100)^MAX(0,$C399-$AC$396),IF(DATE($C399,9,15)&gt;=$V$396,$Y$396*(1+($U$396)/100)^MAX(0,$C399-$AB$396),0)))))</f>
      </c>
      <c r="N399" s="43">
        <f>IF($S$396=0,0,IF(OR(DATE($C399,10,15)&lt;$S$396,AND($T$396&gt;0,DATE($C399,10,15)&gt;$T$396)),0,IF(DATE($C399,10,15)&gt;=$X$396,$AA$396*(1+($U$396)/100)^MAX(0,$C399-$AD$396),IF(DATE($C399,10,15)&gt;=$W$396,$Z$396*(1+($U$396)/100)^MAX(0,$C399-$AC$396),IF(DATE($C399,10,15)&gt;=$V$396,$Y$396*(1+($U$396)/100)^MAX(0,$C399-$AB$396),0)))))</f>
      </c>
      <c r="O399" s="43">
        <f>IF($S$396=0,0,IF(OR(DATE($C399,11,15)&lt;$S$396,AND($T$396&gt;0,DATE($C399,11,15)&gt;$T$396)),0,IF(DATE($C399,11,15)&gt;=$X$396,$AA$396*(1+($U$396)/100)^MAX(0,$C399-$AD$396),IF(DATE($C399,11,15)&gt;=$W$396,$Z$396*(1+($U$396)/100)^MAX(0,$C399-$AC$396),IF(DATE($C399,11,15)&gt;=$V$396,$Y$396*(1+($U$396)/100)^MAX(0,$C399-$AB$396),0)))))</f>
      </c>
      <c r="P399" s="43">
        <f>IF($S$396=0,0,IF(OR(DATE($C399,12,15)&lt;$S$396,AND($T$396&gt;0,DATE($C399,12,15)&gt;$T$396)),0,IF(DATE($C399,12,15)&gt;=$X$396,$AA$396*(1+($U$396)/100)^MAX(0,$C399-$AD$396),IF(DATE($C399,12,15)&gt;=$W$396,$Z$396*(1+($U$396)/100)^MAX(0,$C399-$AC$396),IF(DATE($C399,12,15)&gt;=$V$396,$Y$396*(1+($U$396)/100)^MAX(0,$C399-$AB$396),0)))))</f>
      </c>
      <c r="Q399" s="43">
        <f>SUM($E399:$P399)</f>
      </c>
    </row>
    <row r="400">
      <c r="A400"/>
      <c r="B400">
        <v>13</v>
      </c>
      <c r="C400" s="43">
        <f>Jahr+4</f>
      </c>
      <c r="D400" s="43">
        <f>INDEX(MvObj,13)</f>
      </c>
      <c r="E400" s="43">
        <f>IF($S$396=0,0,IF(OR(DATE($C400,1,15)&lt;$S$396,AND($T$396&gt;0,DATE($C400,1,15)&gt;$T$396)),0,IF(DATE($C400,1,15)&gt;=$X$396,$AA$396*(1+($U$396)/100)^MAX(0,$C400-$AD$396),IF(DATE($C400,1,15)&gt;=$W$396,$Z$396*(1+($U$396)/100)^MAX(0,$C400-$AC$396),IF(DATE($C400,1,15)&gt;=$V$396,$Y$396*(1+($U$396)/100)^MAX(0,$C400-$AB$396),0)))))</f>
      </c>
      <c r="F400" s="43">
        <f>IF($S$396=0,0,IF(OR(DATE($C400,2,15)&lt;$S$396,AND($T$396&gt;0,DATE($C400,2,15)&gt;$T$396)),0,IF(DATE($C400,2,15)&gt;=$X$396,$AA$396*(1+($U$396)/100)^MAX(0,$C400-$AD$396),IF(DATE($C400,2,15)&gt;=$W$396,$Z$396*(1+($U$396)/100)^MAX(0,$C400-$AC$396),IF(DATE($C400,2,15)&gt;=$V$396,$Y$396*(1+($U$396)/100)^MAX(0,$C400-$AB$396),0)))))</f>
      </c>
      <c r="G400" s="43">
        <f>IF($S$396=0,0,IF(OR(DATE($C400,3,15)&lt;$S$396,AND($T$396&gt;0,DATE($C400,3,15)&gt;$T$396)),0,IF(DATE($C400,3,15)&gt;=$X$396,$AA$396*(1+($U$396)/100)^MAX(0,$C400-$AD$396),IF(DATE($C400,3,15)&gt;=$W$396,$Z$396*(1+($U$396)/100)^MAX(0,$C400-$AC$396),IF(DATE($C400,3,15)&gt;=$V$396,$Y$396*(1+($U$396)/100)^MAX(0,$C400-$AB$396),0)))))</f>
      </c>
      <c r="H400" s="43">
        <f>IF($S$396=0,0,IF(OR(DATE($C400,4,15)&lt;$S$396,AND($T$396&gt;0,DATE($C400,4,15)&gt;$T$396)),0,IF(DATE($C400,4,15)&gt;=$X$396,$AA$396*(1+($U$396)/100)^MAX(0,$C400-$AD$396),IF(DATE($C400,4,15)&gt;=$W$396,$Z$396*(1+($U$396)/100)^MAX(0,$C400-$AC$396),IF(DATE($C400,4,15)&gt;=$V$396,$Y$396*(1+($U$396)/100)^MAX(0,$C400-$AB$396),0)))))</f>
      </c>
      <c r="I400" s="43">
        <f>IF($S$396=0,0,IF(OR(DATE($C400,5,15)&lt;$S$396,AND($T$396&gt;0,DATE($C400,5,15)&gt;$T$396)),0,IF(DATE($C400,5,15)&gt;=$X$396,$AA$396*(1+($U$396)/100)^MAX(0,$C400-$AD$396),IF(DATE($C400,5,15)&gt;=$W$396,$Z$396*(1+($U$396)/100)^MAX(0,$C400-$AC$396),IF(DATE($C400,5,15)&gt;=$V$396,$Y$396*(1+($U$396)/100)^MAX(0,$C400-$AB$396),0)))))</f>
      </c>
      <c r="J400" s="43">
        <f>IF($S$396=0,0,IF(OR(DATE($C400,6,15)&lt;$S$396,AND($T$396&gt;0,DATE($C400,6,15)&gt;$T$396)),0,IF(DATE($C400,6,15)&gt;=$X$396,$AA$396*(1+($U$396)/100)^MAX(0,$C400-$AD$396),IF(DATE($C400,6,15)&gt;=$W$396,$Z$396*(1+($U$396)/100)^MAX(0,$C400-$AC$396),IF(DATE($C400,6,15)&gt;=$V$396,$Y$396*(1+($U$396)/100)^MAX(0,$C400-$AB$396),0)))))</f>
      </c>
      <c r="K400" s="43">
        <f>IF($S$396=0,0,IF(OR(DATE($C400,7,15)&lt;$S$396,AND($T$396&gt;0,DATE($C400,7,15)&gt;$T$396)),0,IF(DATE($C400,7,15)&gt;=$X$396,$AA$396*(1+($U$396)/100)^MAX(0,$C400-$AD$396),IF(DATE($C400,7,15)&gt;=$W$396,$Z$396*(1+($U$396)/100)^MAX(0,$C400-$AC$396),IF(DATE($C400,7,15)&gt;=$V$396,$Y$396*(1+($U$396)/100)^MAX(0,$C400-$AB$396),0)))))</f>
      </c>
      <c r="L400" s="43">
        <f>IF($S$396=0,0,IF(OR(DATE($C400,8,15)&lt;$S$396,AND($T$396&gt;0,DATE($C400,8,15)&gt;$T$396)),0,IF(DATE($C400,8,15)&gt;=$X$396,$AA$396*(1+($U$396)/100)^MAX(0,$C400-$AD$396),IF(DATE($C400,8,15)&gt;=$W$396,$Z$396*(1+($U$396)/100)^MAX(0,$C400-$AC$396),IF(DATE($C400,8,15)&gt;=$V$396,$Y$396*(1+($U$396)/100)^MAX(0,$C400-$AB$396),0)))))</f>
      </c>
      <c r="M400" s="43">
        <f>IF($S$396=0,0,IF(OR(DATE($C400,9,15)&lt;$S$396,AND($T$396&gt;0,DATE($C400,9,15)&gt;$T$396)),0,IF(DATE($C400,9,15)&gt;=$X$396,$AA$396*(1+($U$396)/100)^MAX(0,$C400-$AD$396),IF(DATE($C400,9,15)&gt;=$W$396,$Z$396*(1+($U$396)/100)^MAX(0,$C400-$AC$396),IF(DATE($C400,9,15)&gt;=$V$396,$Y$396*(1+($U$396)/100)^MAX(0,$C400-$AB$396),0)))))</f>
      </c>
      <c r="N400" s="43">
        <f>IF($S$396=0,0,IF(OR(DATE($C400,10,15)&lt;$S$396,AND($T$396&gt;0,DATE($C400,10,15)&gt;$T$396)),0,IF(DATE($C400,10,15)&gt;=$X$396,$AA$396*(1+($U$396)/100)^MAX(0,$C400-$AD$396),IF(DATE($C400,10,15)&gt;=$W$396,$Z$396*(1+($U$396)/100)^MAX(0,$C400-$AC$396),IF(DATE($C400,10,15)&gt;=$V$396,$Y$396*(1+($U$396)/100)^MAX(0,$C400-$AB$396),0)))))</f>
      </c>
      <c r="O400" s="43">
        <f>IF($S$396=0,0,IF(OR(DATE($C400,11,15)&lt;$S$396,AND($T$396&gt;0,DATE($C400,11,15)&gt;$T$396)),0,IF(DATE($C400,11,15)&gt;=$X$396,$AA$396*(1+($U$396)/100)^MAX(0,$C400-$AD$396),IF(DATE($C400,11,15)&gt;=$W$396,$Z$396*(1+($U$396)/100)^MAX(0,$C400-$AC$396),IF(DATE($C400,11,15)&gt;=$V$396,$Y$396*(1+($U$396)/100)^MAX(0,$C400-$AB$396),0)))))</f>
      </c>
      <c r="P400" s="43">
        <f>IF($S$396=0,0,IF(OR(DATE($C400,12,15)&lt;$S$396,AND($T$396&gt;0,DATE($C400,12,15)&gt;$T$396)),0,IF(DATE($C400,12,15)&gt;=$X$396,$AA$396*(1+($U$396)/100)^MAX(0,$C400-$AD$396),IF(DATE($C400,12,15)&gt;=$W$396,$Z$396*(1+($U$396)/100)^MAX(0,$C400-$AC$396),IF(DATE($C400,12,15)&gt;=$V$396,$Y$396*(1+($U$396)/100)^MAX(0,$C400-$AB$396),0)))))</f>
      </c>
      <c r="Q400" s="43">
        <f>SUM($E400:$P400)</f>
      </c>
    </row>
    <row r="401">
      <c r="A401"/>
      <c r="B401">
        <v>13</v>
      </c>
      <c r="C401" s="43">
        <f>Jahr+5</f>
      </c>
      <c r="D401" s="43">
        <f>INDEX(MvObj,13)</f>
      </c>
      <c r="E401" s="43">
        <f>IF($S$396=0,0,IF(OR(DATE($C401,1,15)&lt;$S$396,AND($T$396&gt;0,DATE($C401,1,15)&gt;$T$396)),0,IF(DATE($C401,1,15)&gt;=$X$396,$AA$396*(1+($U$396)/100)^MAX(0,$C401-$AD$396),IF(DATE($C401,1,15)&gt;=$W$396,$Z$396*(1+($U$396)/100)^MAX(0,$C401-$AC$396),IF(DATE($C401,1,15)&gt;=$V$396,$Y$396*(1+($U$396)/100)^MAX(0,$C401-$AB$396),0)))))</f>
      </c>
      <c r="F401" s="43">
        <f>IF($S$396=0,0,IF(OR(DATE($C401,2,15)&lt;$S$396,AND($T$396&gt;0,DATE($C401,2,15)&gt;$T$396)),0,IF(DATE($C401,2,15)&gt;=$X$396,$AA$396*(1+($U$396)/100)^MAX(0,$C401-$AD$396),IF(DATE($C401,2,15)&gt;=$W$396,$Z$396*(1+($U$396)/100)^MAX(0,$C401-$AC$396),IF(DATE($C401,2,15)&gt;=$V$396,$Y$396*(1+($U$396)/100)^MAX(0,$C401-$AB$396),0)))))</f>
      </c>
      <c r="G401" s="43">
        <f>IF($S$396=0,0,IF(OR(DATE($C401,3,15)&lt;$S$396,AND($T$396&gt;0,DATE($C401,3,15)&gt;$T$396)),0,IF(DATE($C401,3,15)&gt;=$X$396,$AA$396*(1+($U$396)/100)^MAX(0,$C401-$AD$396),IF(DATE($C401,3,15)&gt;=$W$396,$Z$396*(1+($U$396)/100)^MAX(0,$C401-$AC$396),IF(DATE($C401,3,15)&gt;=$V$396,$Y$396*(1+($U$396)/100)^MAX(0,$C401-$AB$396),0)))))</f>
      </c>
      <c r="H401" s="43">
        <f>IF($S$396=0,0,IF(OR(DATE($C401,4,15)&lt;$S$396,AND($T$396&gt;0,DATE($C401,4,15)&gt;$T$396)),0,IF(DATE($C401,4,15)&gt;=$X$396,$AA$396*(1+($U$396)/100)^MAX(0,$C401-$AD$396),IF(DATE($C401,4,15)&gt;=$W$396,$Z$396*(1+($U$396)/100)^MAX(0,$C401-$AC$396),IF(DATE($C401,4,15)&gt;=$V$396,$Y$396*(1+($U$396)/100)^MAX(0,$C401-$AB$396),0)))))</f>
      </c>
      <c r="I401" s="43">
        <f>IF($S$396=0,0,IF(OR(DATE($C401,5,15)&lt;$S$396,AND($T$396&gt;0,DATE($C401,5,15)&gt;$T$396)),0,IF(DATE($C401,5,15)&gt;=$X$396,$AA$396*(1+($U$396)/100)^MAX(0,$C401-$AD$396),IF(DATE($C401,5,15)&gt;=$W$396,$Z$396*(1+($U$396)/100)^MAX(0,$C401-$AC$396),IF(DATE($C401,5,15)&gt;=$V$396,$Y$396*(1+($U$396)/100)^MAX(0,$C401-$AB$396),0)))))</f>
      </c>
      <c r="J401" s="43">
        <f>IF($S$396=0,0,IF(OR(DATE($C401,6,15)&lt;$S$396,AND($T$396&gt;0,DATE($C401,6,15)&gt;$T$396)),0,IF(DATE($C401,6,15)&gt;=$X$396,$AA$396*(1+($U$396)/100)^MAX(0,$C401-$AD$396),IF(DATE($C401,6,15)&gt;=$W$396,$Z$396*(1+($U$396)/100)^MAX(0,$C401-$AC$396),IF(DATE($C401,6,15)&gt;=$V$396,$Y$396*(1+($U$396)/100)^MAX(0,$C401-$AB$396),0)))))</f>
      </c>
      <c r="K401" s="43">
        <f>IF($S$396=0,0,IF(OR(DATE($C401,7,15)&lt;$S$396,AND($T$396&gt;0,DATE($C401,7,15)&gt;$T$396)),0,IF(DATE($C401,7,15)&gt;=$X$396,$AA$396*(1+($U$396)/100)^MAX(0,$C401-$AD$396),IF(DATE($C401,7,15)&gt;=$W$396,$Z$396*(1+($U$396)/100)^MAX(0,$C401-$AC$396),IF(DATE($C401,7,15)&gt;=$V$396,$Y$396*(1+($U$396)/100)^MAX(0,$C401-$AB$396),0)))))</f>
      </c>
      <c r="L401" s="43">
        <f>IF($S$396=0,0,IF(OR(DATE($C401,8,15)&lt;$S$396,AND($T$396&gt;0,DATE($C401,8,15)&gt;$T$396)),0,IF(DATE($C401,8,15)&gt;=$X$396,$AA$396*(1+($U$396)/100)^MAX(0,$C401-$AD$396),IF(DATE($C401,8,15)&gt;=$W$396,$Z$396*(1+($U$396)/100)^MAX(0,$C401-$AC$396),IF(DATE($C401,8,15)&gt;=$V$396,$Y$396*(1+($U$396)/100)^MAX(0,$C401-$AB$396),0)))))</f>
      </c>
      <c r="M401" s="43">
        <f>IF($S$396=0,0,IF(OR(DATE($C401,9,15)&lt;$S$396,AND($T$396&gt;0,DATE($C401,9,15)&gt;$T$396)),0,IF(DATE($C401,9,15)&gt;=$X$396,$AA$396*(1+($U$396)/100)^MAX(0,$C401-$AD$396),IF(DATE($C401,9,15)&gt;=$W$396,$Z$396*(1+($U$396)/100)^MAX(0,$C401-$AC$396),IF(DATE($C401,9,15)&gt;=$V$396,$Y$396*(1+($U$396)/100)^MAX(0,$C401-$AB$396),0)))))</f>
      </c>
      <c r="N401" s="43">
        <f>IF($S$396=0,0,IF(OR(DATE($C401,10,15)&lt;$S$396,AND($T$396&gt;0,DATE($C401,10,15)&gt;$T$396)),0,IF(DATE($C401,10,15)&gt;=$X$396,$AA$396*(1+($U$396)/100)^MAX(0,$C401-$AD$396),IF(DATE($C401,10,15)&gt;=$W$396,$Z$396*(1+($U$396)/100)^MAX(0,$C401-$AC$396),IF(DATE($C401,10,15)&gt;=$V$396,$Y$396*(1+($U$396)/100)^MAX(0,$C401-$AB$396),0)))))</f>
      </c>
      <c r="O401" s="43">
        <f>IF($S$396=0,0,IF(OR(DATE($C401,11,15)&lt;$S$396,AND($T$396&gt;0,DATE($C401,11,15)&gt;$T$396)),0,IF(DATE($C401,11,15)&gt;=$X$396,$AA$396*(1+($U$396)/100)^MAX(0,$C401-$AD$396),IF(DATE($C401,11,15)&gt;=$W$396,$Z$396*(1+($U$396)/100)^MAX(0,$C401-$AC$396),IF(DATE($C401,11,15)&gt;=$V$396,$Y$396*(1+($U$396)/100)^MAX(0,$C401-$AB$396),0)))))</f>
      </c>
      <c r="P401" s="43">
        <f>IF($S$396=0,0,IF(OR(DATE($C401,12,15)&lt;$S$396,AND($T$396&gt;0,DATE($C401,12,15)&gt;$T$396)),0,IF(DATE($C401,12,15)&gt;=$X$396,$AA$396*(1+($U$396)/100)^MAX(0,$C401-$AD$396),IF(DATE($C401,12,15)&gt;=$W$396,$Z$396*(1+($U$396)/100)^MAX(0,$C401-$AC$396),IF(DATE($C401,12,15)&gt;=$V$396,$Y$396*(1+($U$396)/100)^MAX(0,$C401-$AB$396),0)))))</f>
      </c>
      <c r="Q401" s="43">
        <f>SUM($E401:$P401)</f>
      </c>
    </row>
    <row r="402">
      <c r="A402"/>
      <c r="B402">
        <v>13</v>
      </c>
      <c r="C402" s="43">
        <f>Jahr+6</f>
      </c>
      <c r="D402" s="43">
        <f>INDEX(MvObj,13)</f>
      </c>
      <c r="E402" s="43">
        <f>IF($S$396=0,0,IF(OR(DATE($C402,1,15)&lt;$S$396,AND($T$396&gt;0,DATE($C402,1,15)&gt;$T$396)),0,IF(DATE($C402,1,15)&gt;=$X$396,$AA$396*(1+($U$396)/100)^MAX(0,$C402-$AD$396),IF(DATE($C402,1,15)&gt;=$W$396,$Z$396*(1+($U$396)/100)^MAX(0,$C402-$AC$396),IF(DATE($C402,1,15)&gt;=$V$396,$Y$396*(1+($U$396)/100)^MAX(0,$C402-$AB$396),0)))))</f>
      </c>
      <c r="F402" s="43">
        <f>IF($S$396=0,0,IF(OR(DATE($C402,2,15)&lt;$S$396,AND($T$396&gt;0,DATE($C402,2,15)&gt;$T$396)),0,IF(DATE($C402,2,15)&gt;=$X$396,$AA$396*(1+($U$396)/100)^MAX(0,$C402-$AD$396),IF(DATE($C402,2,15)&gt;=$W$396,$Z$396*(1+($U$396)/100)^MAX(0,$C402-$AC$396),IF(DATE($C402,2,15)&gt;=$V$396,$Y$396*(1+($U$396)/100)^MAX(0,$C402-$AB$396),0)))))</f>
      </c>
      <c r="G402" s="43">
        <f>IF($S$396=0,0,IF(OR(DATE($C402,3,15)&lt;$S$396,AND($T$396&gt;0,DATE($C402,3,15)&gt;$T$396)),0,IF(DATE($C402,3,15)&gt;=$X$396,$AA$396*(1+($U$396)/100)^MAX(0,$C402-$AD$396),IF(DATE($C402,3,15)&gt;=$W$396,$Z$396*(1+($U$396)/100)^MAX(0,$C402-$AC$396),IF(DATE($C402,3,15)&gt;=$V$396,$Y$396*(1+($U$396)/100)^MAX(0,$C402-$AB$396),0)))))</f>
      </c>
      <c r="H402" s="43">
        <f>IF($S$396=0,0,IF(OR(DATE($C402,4,15)&lt;$S$396,AND($T$396&gt;0,DATE($C402,4,15)&gt;$T$396)),0,IF(DATE($C402,4,15)&gt;=$X$396,$AA$396*(1+($U$396)/100)^MAX(0,$C402-$AD$396),IF(DATE($C402,4,15)&gt;=$W$396,$Z$396*(1+($U$396)/100)^MAX(0,$C402-$AC$396),IF(DATE($C402,4,15)&gt;=$V$396,$Y$396*(1+($U$396)/100)^MAX(0,$C402-$AB$396),0)))))</f>
      </c>
      <c r="I402" s="43">
        <f>IF($S$396=0,0,IF(OR(DATE($C402,5,15)&lt;$S$396,AND($T$396&gt;0,DATE($C402,5,15)&gt;$T$396)),0,IF(DATE($C402,5,15)&gt;=$X$396,$AA$396*(1+($U$396)/100)^MAX(0,$C402-$AD$396),IF(DATE($C402,5,15)&gt;=$W$396,$Z$396*(1+($U$396)/100)^MAX(0,$C402-$AC$396),IF(DATE($C402,5,15)&gt;=$V$396,$Y$396*(1+($U$396)/100)^MAX(0,$C402-$AB$396),0)))))</f>
      </c>
      <c r="J402" s="43">
        <f>IF($S$396=0,0,IF(OR(DATE($C402,6,15)&lt;$S$396,AND($T$396&gt;0,DATE($C402,6,15)&gt;$T$396)),0,IF(DATE($C402,6,15)&gt;=$X$396,$AA$396*(1+($U$396)/100)^MAX(0,$C402-$AD$396),IF(DATE($C402,6,15)&gt;=$W$396,$Z$396*(1+($U$396)/100)^MAX(0,$C402-$AC$396),IF(DATE($C402,6,15)&gt;=$V$396,$Y$396*(1+($U$396)/100)^MAX(0,$C402-$AB$396),0)))))</f>
      </c>
      <c r="K402" s="43">
        <f>IF($S$396=0,0,IF(OR(DATE($C402,7,15)&lt;$S$396,AND($T$396&gt;0,DATE($C402,7,15)&gt;$T$396)),0,IF(DATE($C402,7,15)&gt;=$X$396,$AA$396*(1+($U$396)/100)^MAX(0,$C402-$AD$396),IF(DATE($C402,7,15)&gt;=$W$396,$Z$396*(1+($U$396)/100)^MAX(0,$C402-$AC$396),IF(DATE($C402,7,15)&gt;=$V$396,$Y$396*(1+($U$396)/100)^MAX(0,$C402-$AB$396),0)))))</f>
      </c>
      <c r="L402" s="43">
        <f>IF($S$396=0,0,IF(OR(DATE($C402,8,15)&lt;$S$396,AND($T$396&gt;0,DATE($C402,8,15)&gt;$T$396)),0,IF(DATE($C402,8,15)&gt;=$X$396,$AA$396*(1+($U$396)/100)^MAX(0,$C402-$AD$396),IF(DATE($C402,8,15)&gt;=$W$396,$Z$396*(1+($U$396)/100)^MAX(0,$C402-$AC$396),IF(DATE($C402,8,15)&gt;=$V$396,$Y$396*(1+($U$396)/100)^MAX(0,$C402-$AB$396),0)))))</f>
      </c>
      <c r="M402" s="43">
        <f>IF($S$396=0,0,IF(OR(DATE($C402,9,15)&lt;$S$396,AND($T$396&gt;0,DATE($C402,9,15)&gt;$T$396)),0,IF(DATE($C402,9,15)&gt;=$X$396,$AA$396*(1+($U$396)/100)^MAX(0,$C402-$AD$396),IF(DATE($C402,9,15)&gt;=$W$396,$Z$396*(1+($U$396)/100)^MAX(0,$C402-$AC$396),IF(DATE($C402,9,15)&gt;=$V$396,$Y$396*(1+($U$396)/100)^MAX(0,$C402-$AB$396),0)))))</f>
      </c>
      <c r="N402" s="43">
        <f>IF($S$396=0,0,IF(OR(DATE($C402,10,15)&lt;$S$396,AND($T$396&gt;0,DATE($C402,10,15)&gt;$T$396)),0,IF(DATE($C402,10,15)&gt;=$X$396,$AA$396*(1+($U$396)/100)^MAX(0,$C402-$AD$396),IF(DATE($C402,10,15)&gt;=$W$396,$Z$396*(1+($U$396)/100)^MAX(0,$C402-$AC$396),IF(DATE($C402,10,15)&gt;=$V$396,$Y$396*(1+($U$396)/100)^MAX(0,$C402-$AB$396),0)))))</f>
      </c>
      <c r="O402" s="43">
        <f>IF($S$396=0,0,IF(OR(DATE($C402,11,15)&lt;$S$396,AND($T$396&gt;0,DATE($C402,11,15)&gt;$T$396)),0,IF(DATE($C402,11,15)&gt;=$X$396,$AA$396*(1+($U$396)/100)^MAX(0,$C402-$AD$396),IF(DATE($C402,11,15)&gt;=$W$396,$Z$396*(1+($U$396)/100)^MAX(0,$C402-$AC$396),IF(DATE($C402,11,15)&gt;=$V$396,$Y$396*(1+($U$396)/100)^MAX(0,$C402-$AB$396),0)))))</f>
      </c>
      <c r="P402" s="43">
        <f>IF($S$396=0,0,IF(OR(DATE($C402,12,15)&lt;$S$396,AND($T$396&gt;0,DATE($C402,12,15)&gt;$T$396)),0,IF(DATE($C402,12,15)&gt;=$X$396,$AA$396*(1+($U$396)/100)^MAX(0,$C402-$AD$396),IF(DATE($C402,12,15)&gt;=$W$396,$Z$396*(1+($U$396)/100)^MAX(0,$C402-$AC$396),IF(DATE($C402,12,15)&gt;=$V$396,$Y$396*(1+($U$396)/100)^MAX(0,$C402-$AB$396),0)))))</f>
      </c>
      <c r="Q402" s="43">
        <f>SUM($E402:$P402)</f>
      </c>
    </row>
    <row r="403">
      <c r="A403"/>
      <c r="B403">
        <v>13</v>
      </c>
      <c r="C403" s="43">
        <f>Jahr+7</f>
      </c>
      <c r="D403" s="43">
        <f>INDEX(MvObj,13)</f>
      </c>
      <c r="E403" s="43">
        <f>IF($S$396=0,0,IF(OR(DATE($C403,1,15)&lt;$S$396,AND($T$396&gt;0,DATE($C403,1,15)&gt;$T$396)),0,IF(DATE($C403,1,15)&gt;=$X$396,$AA$396*(1+($U$396)/100)^MAX(0,$C403-$AD$396),IF(DATE($C403,1,15)&gt;=$W$396,$Z$396*(1+($U$396)/100)^MAX(0,$C403-$AC$396),IF(DATE($C403,1,15)&gt;=$V$396,$Y$396*(1+($U$396)/100)^MAX(0,$C403-$AB$396),0)))))</f>
      </c>
      <c r="F403" s="43">
        <f>IF($S$396=0,0,IF(OR(DATE($C403,2,15)&lt;$S$396,AND($T$396&gt;0,DATE($C403,2,15)&gt;$T$396)),0,IF(DATE($C403,2,15)&gt;=$X$396,$AA$396*(1+($U$396)/100)^MAX(0,$C403-$AD$396),IF(DATE($C403,2,15)&gt;=$W$396,$Z$396*(1+($U$396)/100)^MAX(0,$C403-$AC$396),IF(DATE($C403,2,15)&gt;=$V$396,$Y$396*(1+($U$396)/100)^MAX(0,$C403-$AB$396),0)))))</f>
      </c>
      <c r="G403" s="43">
        <f>IF($S$396=0,0,IF(OR(DATE($C403,3,15)&lt;$S$396,AND($T$396&gt;0,DATE($C403,3,15)&gt;$T$396)),0,IF(DATE($C403,3,15)&gt;=$X$396,$AA$396*(1+($U$396)/100)^MAX(0,$C403-$AD$396),IF(DATE($C403,3,15)&gt;=$W$396,$Z$396*(1+($U$396)/100)^MAX(0,$C403-$AC$396),IF(DATE($C403,3,15)&gt;=$V$396,$Y$396*(1+($U$396)/100)^MAX(0,$C403-$AB$396),0)))))</f>
      </c>
      <c r="H403" s="43">
        <f>IF($S$396=0,0,IF(OR(DATE($C403,4,15)&lt;$S$396,AND($T$396&gt;0,DATE($C403,4,15)&gt;$T$396)),0,IF(DATE($C403,4,15)&gt;=$X$396,$AA$396*(1+($U$396)/100)^MAX(0,$C403-$AD$396),IF(DATE($C403,4,15)&gt;=$W$396,$Z$396*(1+($U$396)/100)^MAX(0,$C403-$AC$396),IF(DATE($C403,4,15)&gt;=$V$396,$Y$396*(1+($U$396)/100)^MAX(0,$C403-$AB$396),0)))))</f>
      </c>
      <c r="I403" s="43">
        <f>IF($S$396=0,0,IF(OR(DATE($C403,5,15)&lt;$S$396,AND($T$396&gt;0,DATE($C403,5,15)&gt;$T$396)),0,IF(DATE($C403,5,15)&gt;=$X$396,$AA$396*(1+($U$396)/100)^MAX(0,$C403-$AD$396),IF(DATE($C403,5,15)&gt;=$W$396,$Z$396*(1+($U$396)/100)^MAX(0,$C403-$AC$396),IF(DATE($C403,5,15)&gt;=$V$396,$Y$396*(1+($U$396)/100)^MAX(0,$C403-$AB$396),0)))))</f>
      </c>
      <c r="J403" s="43">
        <f>IF($S$396=0,0,IF(OR(DATE($C403,6,15)&lt;$S$396,AND($T$396&gt;0,DATE($C403,6,15)&gt;$T$396)),0,IF(DATE($C403,6,15)&gt;=$X$396,$AA$396*(1+($U$396)/100)^MAX(0,$C403-$AD$396),IF(DATE($C403,6,15)&gt;=$W$396,$Z$396*(1+($U$396)/100)^MAX(0,$C403-$AC$396),IF(DATE($C403,6,15)&gt;=$V$396,$Y$396*(1+($U$396)/100)^MAX(0,$C403-$AB$396),0)))))</f>
      </c>
      <c r="K403" s="43">
        <f>IF($S$396=0,0,IF(OR(DATE($C403,7,15)&lt;$S$396,AND($T$396&gt;0,DATE($C403,7,15)&gt;$T$396)),0,IF(DATE($C403,7,15)&gt;=$X$396,$AA$396*(1+($U$396)/100)^MAX(0,$C403-$AD$396),IF(DATE($C403,7,15)&gt;=$W$396,$Z$396*(1+($U$396)/100)^MAX(0,$C403-$AC$396),IF(DATE($C403,7,15)&gt;=$V$396,$Y$396*(1+($U$396)/100)^MAX(0,$C403-$AB$396),0)))))</f>
      </c>
      <c r="L403" s="43">
        <f>IF($S$396=0,0,IF(OR(DATE($C403,8,15)&lt;$S$396,AND($T$396&gt;0,DATE($C403,8,15)&gt;$T$396)),0,IF(DATE($C403,8,15)&gt;=$X$396,$AA$396*(1+($U$396)/100)^MAX(0,$C403-$AD$396),IF(DATE($C403,8,15)&gt;=$W$396,$Z$396*(1+($U$396)/100)^MAX(0,$C403-$AC$396),IF(DATE($C403,8,15)&gt;=$V$396,$Y$396*(1+($U$396)/100)^MAX(0,$C403-$AB$396),0)))))</f>
      </c>
      <c r="M403" s="43">
        <f>IF($S$396=0,0,IF(OR(DATE($C403,9,15)&lt;$S$396,AND($T$396&gt;0,DATE($C403,9,15)&gt;$T$396)),0,IF(DATE($C403,9,15)&gt;=$X$396,$AA$396*(1+($U$396)/100)^MAX(0,$C403-$AD$396),IF(DATE($C403,9,15)&gt;=$W$396,$Z$396*(1+($U$396)/100)^MAX(0,$C403-$AC$396),IF(DATE($C403,9,15)&gt;=$V$396,$Y$396*(1+($U$396)/100)^MAX(0,$C403-$AB$396),0)))))</f>
      </c>
      <c r="N403" s="43">
        <f>IF($S$396=0,0,IF(OR(DATE($C403,10,15)&lt;$S$396,AND($T$396&gt;0,DATE($C403,10,15)&gt;$T$396)),0,IF(DATE($C403,10,15)&gt;=$X$396,$AA$396*(1+($U$396)/100)^MAX(0,$C403-$AD$396),IF(DATE($C403,10,15)&gt;=$W$396,$Z$396*(1+($U$396)/100)^MAX(0,$C403-$AC$396),IF(DATE($C403,10,15)&gt;=$V$396,$Y$396*(1+($U$396)/100)^MAX(0,$C403-$AB$396),0)))))</f>
      </c>
      <c r="O403" s="43">
        <f>IF($S$396=0,0,IF(OR(DATE($C403,11,15)&lt;$S$396,AND($T$396&gt;0,DATE($C403,11,15)&gt;$T$396)),0,IF(DATE($C403,11,15)&gt;=$X$396,$AA$396*(1+($U$396)/100)^MAX(0,$C403-$AD$396),IF(DATE($C403,11,15)&gt;=$W$396,$Z$396*(1+($U$396)/100)^MAX(0,$C403-$AC$396),IF(DATE($C403,11,15)&gt;=$V$396,$Y$396*(1+($U$396)/100)^MAX(0,$C403-$AB$396),0)))))</f>
      </c>
      <c r="P403" s="43">
        <f>IF($S$396=0,0,IF(OR(DATE($C403,12,15)&lt;$S$396,AND($T$396&gt;0,DATE($C403,12,15)&gt;$T$396)),0,IF(DATE($C403,12,15)&gt;=$X$396,$AA$396*(1+($U$396)/100)^MAX(0,$C403-$AD$396),IF(DATE($C403,12,15)&gt;=$W$396,$Z$396*(1+($U$396)/100)^MAX(0,$C403-$AC$396),IF(DATE($C403,12,15)&gt;=$V$396,$Y$396*(1+($U$396)/100)^MAX(0,$C403-$AB$396),0)))))</f>
      </c>
      <c r="Q403" s="43">
        <f>SUM($E403:$P403)</f>
      </c>
    </row>
    <row r="404">
      <c r="A404"/>
      <c r="B404">
        <v>13</v>
      </c>
      <c r="C404" s="43">
        <f>Jahr+8</f>
      </c>
      <c r="D404" s="43">
        <f>INDEX(MvObj,13)</f>
      </c>
      <c r="E404" s="43">
        <f>IF($S$396=0,0,IF(OR(DATE($C404,1,15)&lt;$S$396,AND($T$396&gt;0,DATE($C404,1,15)&gt;$T$396)),0,IF(DATE($C404,1,15)&gt;=$X$396,$AA$396*(1+($U$396)/100)^MAX(0,$C404-$AD$396),IF(DATE($C404,1,15)&gt;=$W$396,$Z$396*(1+($U$396)/100)^MAX(0,$C404-$AC$396),IF(DATE($C404,1,15)&gt;=$V$396,$Y$396*(1+($U$396)/100)^MAX(0,$C404-$AB$396),0)))))</f>
      </c>
      <c r="F404" s="43">
        <f>IF($S$396=0,0,IF(OR(DATE($C404,2,15)&lt;$S$396,AND($T$396&gt;0,DATE($C404,2,15)&gt;$T$396)),0,IF(DATE($C404,2,15)&gt;=$X$396,$AA$396*(1+($U$396)/100)^MAX(0,$C404-$AD$396),IF(DATE($C404,2,15)&gt;=$W$396,$Z$396*(1+($U$396)/100)^MAX(0,$C404-$AC$396),IF(DATE($C404,2,15)&gt;=$V$396,$Y$396*(1+($U$396)/100)^MAX(0,$C404-$AB$396),0)))))</f>
      </c>
      <c r="G404" s="43">
        <f>IF($S$396=0,0,IF(OR(DATE($C404,3,15)&lt;$S$396,AND($T$396&gt;0,DATE($C404,3,15)&gt;$T$396)),0,IF(DATE($C404,3,15)&gt;=$X$396,$AA$396*(1+($U$396)/100)^MAX(0,$C404-$AD$396),IF(DATE($C404,3,15)&gt;=$W$396,$Z$396*(1+($U$396)/100)^MAX(0,$C404-$AC$396),IF(DATE($C404,3,15)&gt;=$V$396,$Y$396*(1+($U$396)/100)^MAX(0,$C404-$AB$396),0)))))</f>
      </c>
      <c r="H404" s="43">
        <f>IF($S$396=0,0,IF(OR(DATE($C404,4,15)&lt;$S$396,AND($T$396&gt;0,DATE($C404,4,15)&gt;$T$396)),0,IF(DATE($C404,4,15)&gt;=$X$396,$AA$396*(1+($U$396)/100)^MAX(0,$C404-$AD$396),IF(DATE($C404,4,15)&gt;=$W$396,$Z$396*(1+($U$396)/100)^MAX(0,$C404-$AC$396),IF(DATE($C404,4,15)&gt;=$V$396,$Y$396*(1+($U$396)/100)^MAX(0,$C404-$AB$396),0)))))</f>
      </c>
      <c r="I404" s="43">
        <f>IF($S$396=0,0,IF(OR(DATE($C404,5,15)&lt;$S$396,AND($T$396&gt;0,DATE($C404,5,15)&gt;$T$396)),0,IF(DATE($C404,5,15)&gt;=$X$396,$AA$396*(1+($U$396)/100)^MAX(0,$C404-$AD$396),IF(DATE($C404,5,15)&gt;=$W$396,$Z$396*(1+($U$396)/100)^MAX(0,$C404-$AC$396),IF(DATE($C404,5,15)&gt;=$V$396,$Y$396*(1+($U$396)/100)^MAX(0,$C404-$AB$396),0)))))</f>
      </c>
      <c r="J404" s="43">
        <f>IF($S$396=0,0,IF(OR(DATE($C404,6,15)&lt;$S$396,AND($T$396&gt;0,DATE($C404,6,15)&gt;$T$396)),0,IF(DATE($C404,6,15)&gt;=$X$396,$AA$396*(1+($U$396)/100)^MAX(0,$C404-$AD$396),IF(DATE($C404,6,15)&gt;=$W$396,$Z$396*(1+($U$396)/100)^MAX(0,$C404-$AC$396),IF(DATE($C404,6,15)&gt;=$V$396,$Y$396*(1+($U$396)/100)^MAX(0,$C404-$AB$396),0)))))</f>
      </c>
      <c r="K404" s="43">
        <f>IF($S$396=0,0,IF(OR(DATE($C404,7,15)&lt;$S$396,AND($T$396&gt;0,DATE($C404,7,15)&gt;$T$396)),0,IF(DATE($C404,7,15)&gt;=$X$396,$AA$396*(1+($U$396)/100)^MAX(0,$C404-$AD$396),IF(DATE($C404,7,15)&gt;=$W$396,$Z$396*(1+($U$396)/100)^MAX(0,$C404-$AC$396),IF(DATE($C404,7,15)&gt;=$V$396,$Y$396*(1+($U$396)/100)^MAX(0,$C404-$AB$396),0)))))</f>
      </c>
      <c r="L404" s="43">
        <f>IF($S$396=0,0,IF(OR(DATE($C404,8,15)&lt;$S$396,AND($T$396&gt;0,DATE($C404,8,15)&gt;$T$396)),0,IF(DATE($C404,8,15)&gt;=$X$396,$AA$396*(1+($U$396)/100)^MAX(0,$C404-$AD$396),IF(DATE($C404,8,15)&gt;=$W$396,$Z$396*(1+($U$396)/100)^MAX(0,$C404-$AC$396),IF(DATE($C404,8,15)&gt;=$V$396,$Y$396*(1+($U$396)/100)^MAX(0,$C404-$AB$396),0)))))</f>
      </c>
      <c r="M404" s="43">
        <f>IF($S$396=0,0,IF(OR(DATE($C404,9,15)&lt;$S$396,AND($T$396&gt;0,DATE($C404,9,15)&gt;$T$396)),0,IF(DATE($C404,9,15)&gt;=$X$396,$AA$396*(1+($U$396)/100)^MAX(0,$C404-$AD$396),IF(DATE($C404,9,15)&gt;=$W$396,$Z$396*(1+($U$396)/100)^MAX(0,$C404-$AC$396),IF(DATE($C404,9,15)&gt;=$V$396,$Y$396*(1+($U$396)/100)^MAX(0,$C404-$AB$396),0)))))</f>
      </c>
      <c r="N404" s="43">
        <f>IF($S$396=0,0,IF(OR(DATE($C404,10,15)&lt;$S$396,AND($T$396&gt;0,DATE($C404,10,15)&gt;$T$396)),0,IF(DATE($C404,10,15)&gt;=$X$396,$AA$396*(1+($U$396)/100)^MAX(0,$C404-$AD$396),IF(DATE($C404,10,15)&gt;=$W$396,$Z$396*(1+($U$396)/100)^MAX(0,$C404-$AC$396),IF(DATE($C404,10,15)&gt;=$V$396,$Y$396*(1+($U$396)/100)^MAX(0,$C404-$AB$396),0)))))</f>
      </c>
      <c r="O404" s="43">
        <f>IF($S$396=0,0,IF(OR(DATE($C404,11,15)&lt;$S$396,AND($T$396&gt;0,DATE($C404,11,15)&gt;$T$396)),0,IF(DATE($C404,11,15)&gt;=$X$396,$AA$396*(1+($U$396)/100)^MAX(0,$C404-$AD$396),IF(DATE($C404,11,15)&gt;=$W$396,$Z$396*(1+($U$396)/100)^MAX(0,$C404-$AC$396),IF(DATE($C404,11,15)&gt;=$V$396,$Y$396*(1+($U$396)/100)^MAX(0,$C404-$AB$396),0)))))</f>
      </c>
      <c r="P404" s="43">
        <f>IF($S$396=0,0,IF(OR(DATE($C404,12,15)&lt;$S$396,AND($T$396&gt;0,DATE($C404,12,15)&gt;$T$396)),0,IF(DATE($C404,12,15)&gt;=$X$396,$AA$396*(1+($U$396)/100)^MAX(0,$C404-$AD$396),IF(DATE($C404,12,15)&gt;=$W$396,$Z$396*(1+($U$396)/100)^MAX(0,$C404-$AC$396),IF(DATE($C404,12,15)&gt;=$V$396,$Y$396*(1+($U$396)/100)^MAX(0,$C404-$AB$396),0)))))</f>
      </c>
      <c r="Q404" s="43">
        <f>SUM($E404:$P404)</f>
      </c>
    </row>
    <row r="405">
      <c r="A405"/>
      <c r="B405">
        <v>13</v>
      </c>
      <c r="C405" s="43">
        <f>Jahr+9</f>
      </c>
      <c r="D405" s="43">
        <f>INDEX(MvObj,13)</f>
      </c>
      <c r="E405" s="43">
        <f>IF($S$396=0,0,IF(OR(DATE($C405,1,15)&lt;$S$396,AND($T$396&gt;0,DATE($C405,1,15)&gt;$T$396)),0,IF(DATE($C405,1,15)&gt;=$X$396,$AA$396*(1+($U$396)/100)^MAX(0,$C405-$AD$396),IF(DATE($C405,1,15)&gt;=$W$396,$Z$396*(1+($U$396)/100)^MAX(0,$C405-$AC$396),IF(DATE($C405,1,15)&gt;=$V$396,$Y$396*(1+($U$396)/100)^MAX(0,$C405-$AB$396),0)))))</f>
      </c>
      <c r="F405" s="43">
        <f>IF($S$396=0,0,IF(OR(DATE($C405,2,15)&lt;$S$396,AND($T$396&gt;0,DATE($C405,2,15)&gt;$T$396)),0,IF(DATE($C405,2,15)&gt;=$X$396,$AA$396*(1+($U$396)/100)^MAX(0,$C405-$AD$396),IF(DATE($C405,2,15)&gt;=$W$396,$Z$396*(1+($U$396)/100)^MAX(0,$C405-$AC$396),IF(DATE($C405,2,15)&gt;=$V$396,$Y$396*(1+($U$396)/100)^MAX(0,$C405-$AB$396),0)))))</f>
      </c>
      <c r="G405" s="43">
        <f>IF($S$396=0,0,IF(OR(DATE($C405,3,15)&lt;$S$396,AND($T$396&gt;0,DATE($C405,3,15)&gt;$T$396)),0,IF(DATE($C405,3,15)&gt;=$X$396,$AA$396*(1+($U$396)/100)^MAX(0,$C405-$AD$396),IF(DATE($C405,3,15)&gt;=$W$396,$Z$396*(1+($U$396)/100)^MAX(0,$C405-$AC$396),IF(DATE($C405,3,15)&gt;=$V$396,$Y$396*(1+($U$396)/100)^MAX(0,$C405-$AB$396),0)))))</f>
      </c>
      <c r="H405" s="43">
        <f>IF($S$396=0,0,IF(OR(DATE($C405,4,15)&lt;$S$396,AND($T$396&gt;0,DATE($C405,4,15)&gt;$T$396)),0,IF(DATE($C405,4,15)&gt;=$X$396,$AA$396*(1+($U$396)/100)^MAX(0,$C405-$AD$396),IF(DATE($C405,4,15)&gt;=$W$396,$Z$396*(1+($U$396)/100)^MAX(0,$C405-$AC$396),IF(DATE($C405,4,15)&gt;=$V$396,$Y$396*(1+($U$396)/100)^MAX(0,$C405-$AB$396),0)))))</f>
      </c>
      <c r="I405" s="43">
        <f>IF($S$396=0,0,IF(OR(DATE($C405,5,15)&lt;$S$396,AND($T$396&gt;0,DATE($C405,5,15)&gt;$T$396)),0,IF(DATE($C405,5,15)&gt;=$X$396,$AA$396*(1+($U$396)/100)^MAX(0,$C405-$AD$396),IF(DATE($C405,5,15)&gt;=$W$396,$Z$396*(1+($U$396)/100)^MAX(0,$C405-$AC$396),IF(DATE($C405,5,15)&gt;=$V$396,$Y$396*(1+($U$396)/100)^MAX(0,$C405-$AB$396),0)))))</f>
      </c>
      <c r="J405" s="43">
        <f>IF($S$396=0,0,IF(OR(DATE($C405,6,15)&lt;$S$396,AND($T$396&gt;0,DATE($C405,6,15)&gt;$T$396)),0,IF(DATE($C405,6,15)&gt;=$X$396,$AA$396*(1+($U$396)/100)^MAX(0,$C405-$AD$396),IF(DATE($C405,6,15)&gt;=$W$396,$Z$396*(1+($U$396)/100)^MAX(0,$C405-$AC$396),IF(DATE($C405,6,15)&gt;=$V$396,$Y$396*(1+($U$396)/100)^MAX(0,$C405-$AB$396),0)))))</f>
      </c>
      <c r="K405" s="43">
        <f>IF($S$396=0,0,IF(OR(DATE($C405,7,15)&lt;$S$396,AND($T$396&gt;0,DATE($C405,7,15)&gt;$T$396)),0,IF(DATE($C405,7,15)&gt;=$X$396,$AA$396*(1+($U$396)/100)^MAX(0,$C405-$AD$396),IF(DATE($C405,7,15)&gt;=$W$396,$Z$396*(1+($U$396)/100)^MAX(0,$C405-$AC$396),IF(DATE($C405,7,15)&gt;=$V$396,$Y$396*(1+($U$396)/100)^MAX(0,$C405-$AB$396),0)))))</f>
      </c>
      <c r="L405" s="43">
        <f>IF($S$396=0,0,IF(OR(DATE($C405,8,15)&lt;$S$396,AND($T$396&gt;0,DATE($C405,8,15)&gt;$T$396)),0,IF(DATE($C405,8,15)&gt;=$X$396,$AA$396*(1+($U$396)/100)^MAX(0,$C405-$AD$396),IF(DATE($C405,8,15)&gt;=$W$396,$Z$396*(1+($U$396)/100)^MAX(0,$C405-$AC$396),IF(DATE($C405,8,15)&gt;=$V$396,$Y$396*(1+($U$396)/100)^MAX(0,$C405-$AB$396),0)))))</f>
      </c>
      <c r="M405" s="43">
        <f>IF($S$396=0,0,IF(OR(DATE($C405,9,15)&lt;$S$396,AND($T$396&gt;0,DATE($C405,9,15)&gt;$T$396)),0,IF(DATE($C405,9,15)&gt;=$X$396,$AA$396*(1+($U$396)/100)^MAX(0,$C405-$AD$396),IF(DATE($C405,9,15)&gt;=$W$396,$Z$396*(1+($U$396)/100)^MAX(0,$C405-$AC$396),IF(DATE($C405,9,15)&gt;=$V$396,$Y$396*(1+($U$396)/100)^MAX(0,$C405-$AB$396),0)))))</f>
      </c>
      <c r="N405" s="43">
        <f>IF($S$396=0,0,IF(OR(DATE($C405,10,15)&lt;$S$396,AND($T$396&gt;0,DATE($C405,10,15)&gt;$T$396)),0,IF(DATE($C405,10,15)&gt;=$X$396,$AA$396*(1+($U$396)/100)^MAX(0,$C405-$AD$396),IF(DATE($C405,10,15)&gt;=$W$396,$Z$396*(1+($U$396)/100)^MAX(0,$C405-$AC$396),IF(DATE($C405,10,15)&gt;=$V$396,$Y$396*(1+($U$396)/100)^MAX(0,$C405-$AB$396),0)))))</f>
      </c>
      <c r="O405" s="43">
        <f>IF($S$396=0,0,IF(OR(DATE($C405,11,15)&lt;$S$396,AND($T$396&gt;0,DATE($C405,11,15)&gt;$T$396)),0,IF(DATE($C405,11,15)&gt;=$X$396,$AA$396*(1+($U$396)/100)^MAX(0,$C405-$AD$396),IF(DATE($C405,11,15)&gt;=$W$396,$Z$396*(1+($U$396)/100)^MAX(0,$C405-$AC$396),IF(DATE($C405,11,15)&gt;=$V$396,$Y$396*(1+($U$396)/100)^MAX(0,$C405-$AB$396),0)))))</f>
      </c>
      <c r="P405" s="43">
        <f>IF($S$396=0,0,IF(OR(DATE($C405,12,15)&lt;$S$396,AND($T$396&gt;0,DATE($C405,12,15)&gt;$T$396)),0,IF(DATE($C405,12,15)&gt;=$X$396,$AA$396*(1+($U$396)/100)^MAX(0,$C405-$AD$396),IF(DATE($C405,12,15)&gt;=$W$396,$Z$396*(1+($U$396)/100)^MAX(0,$C405-$AC$396),IF(DATE($C405,12,15)&gt;=$V$396,$Y$396*(1+($U$396)/100)^MAX(0,$C405-$AB$396),0)))))</f>
      </c>
      <c r="Q405" s="43">
        <f>SUM($E405:$P405)</f>
      </c>
    </row>
    <row r="406">
      <c r="A406"/>
      <c r="B406">
        <v>13</v>
      </c>
      <c r="C406" s="43">
        <f>Jahr+10</f>
      </c>
      <c r="D406" s="43">
        <f>INDEX(MvObj,13)</f>
      </c>
      <c r="E406" s="43">
        <f>IF($S$396=0,0,IF(OR(DATE($C406,1,15)&lt;$S$396,AND($T$396&gt;0,DATE($C406,1,15)&gt;$T$396)),0,IF(DATE($C406,1,15)&gt;=$X$396,$AA$396*(1+($U$396)/100)^MAX(0,$C406-$AD$396),IF(DATE($C406,1,15)&gt;=$W$396,$Z$396*(1+($U$396)/100)^MAX(0,$C406-$AC$396),IF(DATE($C406,1,15)&gt;=$V$396,$Y$396*(1+($U$396)/100)^MAX(0,$C406-$AB$396),0)))))</f>
      </c>
      <c r="F406" s="43">
        <f>IF($S$396=0,0,IF(OR(DATE($C406,2,15)&lt;$S$396,AND($T$396&gt;0,DATE($C406,2,15)&gt;$T$396)),0,IF(DATE($C406,2,15)&gt;=$X$396,$AA$396*(1+($U$396)/100)^MAX(0,$C406-$AD$396),IF(DATE($C406,2,15)&gt;=$W$396,$Z$396*(1+($U$396)/100)^MAX(0,$C406-$AC$396),IF(DATE($C406,2,15)&gt;=$V$396,$Y$396*(1+($U$396)/100)^MAX(0,$C406-$AB$396),0)))))</f>
      </c>
      <c r="G406" s="43">
        <f>IF($S$396=0,0,IF(OR(DATE($C406,3,15)&lt;$S$396,AND($T$396&gt;0,DATE($C406,3,15)&gt;$T$396)),0,IF(DATE($C406,3,15)&gt;=$X$396,$AA$396*(1+($U$396)/100)^MAX(0,$C406-$AD$396),IF(DATE($C406,3,15)&gt;=$W$396,$Z$396*(1+($U$396)/100)^MAX(0,$C406-$AC$396),IF(DATE($C406,3,15)&gt;=$V$396,$Y$396*(1+($U$396)/100)^MAX(0,$C406-$AB$396),0)))))</f>
      </c>
      <c r="H406" s="43">
        <f>IF($S$396=0,0,IF(OR(DATE($C406,4,15)&lt;$S$396,AND($T$396&gt;0,DATE($C406,4,15)&gt;$T$396)),0,IF(DATE($C406,4,15)&gt;=$X$396,$AA$396*(1+($U$396)/100)^MAX(0,$C406-$AD$396),IF(DATE($C406,4,15)&gt;=$W$396,$Z$396*(1+($U$396)/100)^MAX(0,$C406-$AC$396),IF(DATE($C406,4,15)&gt;=$V$396,$Y$396*(1+($U$396)/100)^MAX(0,$C406-$AB$396),0)))))</f>
      </c>
      <c r="I406" s="43">
        <f>IF($S$396=0,0,IF(OR(DATE($C406,5,15)&lt;$S$396,AND($T$396&gt;0,DATE($C406,5,15)&gt;$T$396)),0,IF(DATE($C406,5,15)&gt;=$X$396,$AA$396*(1+($U$396)/100)^MAX(0,$C406-$AD$396),IF(DATE($C406,5,15)&gt;=$W$396,$Z$396*(1+($U$396)/100)^MAX(0,$C406-$AC$396),IF(DATE($C406,5,15)&gt;=$V$396,$Y$396*(1+($U$396)/100)^MAX(0,$C406-$AB$396),0)))))</f>
      </c>
      <c r="J406" s="43">
        <f>IF($S$396=0,0,IF(OR(DATE($C406,6,15)&lt;$S$396,AND($T$396&gt;0,DATE($C406,6,15)&gt;$T$396)),0,IF(DATE($C406,6,15)&gt;=$X$396,$AA$396*(1+($U$396)/100)^MAX(0,$C406-$AD$396),IF(DATE($C406,6,15)&gt;=$W$396,$Z$396*(1+($U$396)/100)^MAX(0,$C406-$AC$396),IF(DATE($C406,6,15)&gt;=$V$396,$Y$396*(1+($U$396)/100)^MAX(0,$C406-$AB$396),0)))))</f>
      </c>
      <c r="K406" s="43">
        <f>IF($S$396=0,0,IF(OR(DATE($C406,7,15)&lt;$S$396,AND($T$396&gt;0,DATE($C406,7,15)&gt;$T$396)),0,IF(DATE($C406,7,15)&gt;=$X$396,$AA$396*(1+($U$396)/100)^MAX(0,$C406-$AD$396),IF(DATE($C406,7,15)&gt;=$W$396,$Z$396*(1+($U$396)/100)^MAX(0,$C406-$AC$396),IF(DATE($C406,7,15)&gt;=$V$396,$Y$396*(1+($U$396)/100)^MAX(0,$C406-$AB$396),0)))))</f>
      </c>
      <c r="L406" s="43">
        <f>IF($S$396=0,0,IF(OR(DATE($C406,8,15)&lt;$S$396,AND($T$396&gt;0,DATE($C406,8,15)&gt;$T$396)),0,IF(DATE($C406,8,15)&gt;=$X$396,$AA$396*(1+($U$396)/100)^MAX(0,$C406-$AD$396),IF(DATE($C406,8,15)&gt;=$W$396,$Z$396*(1+($U$396)/100)^MAX(0,$C406-$AC$396),IF(DATE($C406,8,15)&gt;=$V$396,$Y$396*(1+($U$396)/100)^MAX(0,$C406-$AB$396),0)))))</f>
      </c>
      <c r="M406" s="43">
        <f>IF($S$396=0,0,IF(OR(DATE($C406,9,15)&lt;$S$396,AND($T$396&gt;0,DATE($C406,9,15)&gt;$T$396)),0,IF(DATE($C406,9,15)&gt;=$X$396,$AA$396*(1+($U$396)/100)^MAX(0,$C406-$AD$396),IF(DATE($C406,9,15)&gt;=$W$396,$Z$396*(1+($U$396)/100)^MAX(0,$C406-$AC$396),IF(DATE($C406,9,15)&gt;=$V$396,$Y$396*(1+($U$396)/100)^MAX(0,$C406-$AB$396),0)))))</f>
      </c>
      <c r="N406" s="43">
        <f>IF($S$396=0,0,IF(OR(DATE($C406,10,15)&lt;$S$396,AND($T$396&gt;0,DATE($C406,10,15)&gt;$T$396)),0,IF(DATE($C406,10,15)&gt;=$X$396,$AA$396*(1+($U$396)/100)^MAX(0,$C406-$AD$396),IF(DATE($C406,10,15)&gt;=$W$396,$Z$396*(1+($U$396)/100)^MAX(0,$C406-$AC$396),IF(DATE($C406,10,15)&gt;=$V$396,$Y$396*(1+($U$396)/100)^MAX(0,$C406-$AB$396),0)))))</f>
      </c>
      <c r="O406" s="43">
        <f>IF($S$396=0,0,IF(OR(DATE($C406,11,15)&lt;$S$396,AND($T$396&gt;0,DATE($C406,11,15)&gt;$T$396)),0,IF(DATE($C406,11,15)&gt;=$X$396,$AA$396*(1+($U$396)/100)^MAX(0,$C406-$AD$396),IF(DATE($C406,11,15)&gt;=$W$396,$Z$396*(1+($U$396)/100)^MAX(0,$C406-$AC$396),IF(DATE($C406,11,15)&gt;=$V$396,$Y$396*(1+($U$396)/100)^MAX(0,$C406-$AB$396),0)))))</f>
      </c>
      <c r="P406" s="43">
        <f>IF($S$396=0,0,IF(OR(DATE($C406,12,15)&lt;$S$396,AND($T$396&gt;0,DATE($C406,12,15)&gt;$T$396)),0,IF(DATE($C406,12,15)&gt;=$X$396,$AA$396*(1+($U$396)/100)^MAX(0,$C406-$AD$396),IF(DATE($C406,12,15)&gt;=$W$396,$Z$396*(1+($U$396)/100)^MAX(0,$C406-$AC$396),IF(DATE($C406,12,15)&gt;=$V$396,$Y$396*(1+($U$396)/100)^MAX(0,$C406-$AB$396),0)))))</f>
      </c>
      <c r="Q406" s="43">
        <f>SUM($E406:$P406)</f>
      </c>
    </row>
    <row r="407">
      <c r="A407"/>
      <c r="B407">
        <v>13</v>
      </c>
      <c r="C407" s="43">
        <f>Jahr+11</f>
      </c>
      <c r="D407" s="43">
        <f>INDEX(MvObj,13)</f>
      </c>
      <c r="E407" s="43">
        <f>IF($S$396=0,0,IF(OR(DATE($C407,1,15)&lt;$S$396,AND($T$396&gt;0,DATE($C407,1,15)&gt;$T$396)),0,IF(DATE($C407,1,15)&gt;=$X$396,$AA$396*(1+($U$396)/100)^MAX(0,$C407-$AD$396),IF(DATE($C407,1,15)&gt;=$W$396,$Z$396*(1+($U$396)/100)^MAX(0,$C407-$AC$396),IF(DATE($C407,1,15)&gt;=$V$396,$Y$396*(1+($U$396)/100)^MAX(0,$C407-$AB$396),0)))))</f>
      </c>
      <c r="F407" s="43">
        <f>IF($S$396=0,0,IF(OR(DATE($C407,2,15)&lt;$S$396,AND($T$396&gt;0,DATE($C407,2,15)&gt;$T$396)),0,IF(DATE($C407,2,15)&gt;=$X$396,$AA$396*(1+($U$396)/100)^MAX(0,$C407-$AD$396),IF(DATE($C407,2,15)&gt;=$W$396,$Z$396*(1+($U$396)/100)^MAX(0,$C407-$AC$396),IF(DATE($C407,2,15)&gt;=$V$396,$Y$396*(1+($U$396)/100)^MAX(0,$C407-$AB$396),0)))))</f>
      </c>
      <c r="G407" s="43">
        <f>IF($S$396=0,0,IF(OR(DATE($C407,3,15)&lt;$S$396,AND($T$396&gt;0,DATE($C407,3,15)&gt;$T$396)),0,IF(DATE($C407,3,15)&gt;=$X$396,$AA$396*(1+($U$396)/100)^MAX(0,$C407-$AD$396),IF(DATE($C407,3,15)&gt;=$W$396,$Z$396*(1+($U$396)/100)^MAX(0,$C407-$AC$396),IF(DATE($C407,3,15)&gt;=$V$396,$Y$396*(1+($U$396)/100)^MAX(0,$C407-$AB$396),0)))))</f>
      </c>
      <c r="H407" s="43">
        <f>IF($S$396=0,0,IF(OR(DATE($C407,4,15)&lt;$S$396,AND($T$396&gt;0,DATE($C407,4,15)&gt;$T$396)),0,IF(DATE($C407,4,15)&gt;=$X$396,$AA$396*(1+($U$396)/100)^MAX(0,$C407-$AD$396),IF(DATE($C407,4,15)&gt;=$W$396,$Z$396*(1+($U$396)/100)^MAX(0,$C407-$AC$396),IF(DATE($C407,4,15)&gt;=$V$396,$Y$396*(1+($U$396)/100)^MAX(0,$C407-$AB$396),0)))))</f>
      </c>
      <c r="I407" s="43">
        <f>IF($S$396=0,0,IF(OR(DATE($C407,5,15)&lt;$S$396,AND($T$396&gt;0,DATE($C407,5,15)&gt;$T$396)),0,IF(DATE($C407,5,15)&gt;=$X$396,$AA$396*(1+($U$396)/100)^MAX(0,$C407-$AD$396),IF(DATE($C407,5,15)&gt;=$W$396,$Z$396*(1+($U$396)/100)^MAX(0,$C407-$AC$396),IF(DATE($C407,5,15)&gt;=$V$396,$Y$396*(1+($U$396)/100)^MAX(0,$C407-$AB$396),0)))))</f>
      </c>
      <c r="J407" s="43">
        <f>IF($S$396=0,0,IF(OR(DATE($C407,6,15)&lt;$S$396,AND($T$396&gt;0,DATE($C407,6,15)&gt;$T$396)),0,IF(DATE($C407,6,15)&gt;=$X$396,$AA$396*(1+($U$396)/100)^MAX(0,$C407-$AD$396),IF(DATE($C407,6,15)&gt;=$W$396,$Z$396*(1+($U$396)/100)^MAX(0,$C407-$AC$396),IF(DATE($C407,6,15)&gt;=$V$396,$Y$396*(1+($U$396)/100)^MAX(0,$C407-$AB$396),0)))))</f>
      </c>
      <c r="K407" s="43">
        <f>IF($S$396=0,0,IF(OR(DATE($C407,7,15)&lt;$S$396,AND($T$396&gt;0,DATE($C407,7,15)&gt;$T$396)),0,IF(DATE($C407,7,15)&gt;=$X$396,$AA$396*(1+($U$396)/100)^MAX(0,$C407-$AD$396),IF(DATE($C407,7,15)&gt;=$W$396,$Z$396*(1+($U$396)/100)^MAX(0,$C407-$AC$396),IF(DATE($C407,7,15)&gt;=$V$396,$Y$396*(1+($U$396)/100)^MAX(0,$C407-$AB$396),0)))))</f>
      </c>
      <c r="L407" s="43">
        <f>IF($S$396=0,0,IF(OR(DATE($C407,8,15)&lt;$S$396,AND($T$396&gt;0,DATE($C407,8,15)&gt;$T$396)),0,IF(DATE($C407,8,15)&gt;=$X$396,$AA$396*(1+($U$396)/100)^MAX(0,$C407-$AD$396),IF(DATE($C407,8,15)&gt;=$W$396,$Z$396*(1+($U$396)/100)^MAX(0,$C407-$AC$396),IF(DATE($C407,8,15)&gt;=$V$396,$Y$396*(1+($U$396)/100)^MAX(0,$C407-$AB$396),0)))))</f>
      </c>
      <c r="M407" s="43">
        <f>IF($S$396=0,0,IF(OR(DATE($C407,9,15)&lt;$S$396,AND($T$396&gt;0,DATE($C407,9,15)&gt;$T$396)),0,IF(DATE($C407,9,15)&gt;=$X$396,$AA$396*(1+($U$396)/100)^MAX(0,$C407-$AD$396),IF(DATE($C407,9,15)&gt;=$W$396,$Z$396*(1+($U$396)/100)^MAX(0,$C407-$AC$396),IF(DATE($C407,9,15)&gt;=$V$396,$Y$396*(1+($U$396)/100)^MAX(0,$C407-$AB$396),0)))))</f>
      </c>
      <c r="N407" s="43">
        <f>IF($S$396=0,0,IF(OR(DATE($C407,10,15)&lt;$S$396,AND($T$396&gt;0,DATE($C407,10,15)&gt;$T$396)),0,IF(DATE($C407,10,15)&gt;=$X$396,$AA$396*(1+($U$396)/100)^MAX(0,$C407-$AD$396),IF(DATE($C407,10,15)&gt;=$W$396,$Z$396*(1+($U$396)/100)^MAX(0,$C407-$AC$396),IF(DATE($C407,10,15)&gt;=$V$396,$Y$396*(1+($U$396)/100)^MAX(0,$C407-$AB$396),0)))))</f>
      </c>
      <c r="O407" s="43">
        <f>IF($S$396=0,0,IF(OR(DATE($C407,11,15)&lt;$S$396,AND($T$396&gt;0,DATE($C407,11,15)&gt;$T$396)),0,IF(DATE($C407,11,15)&gt;=$X$396,$AA$396*(1+($U$396)/100)^MAX(0,$C407-$AD$396),IF(DATE($C407,11,15)&gt;=$W$396,$Z$396*(1+($U$396)/100)^MAX(0,$C407-$AC$396),IF(DATE($C407,11,15)&gt;=$V$396,$Y$396*(1+($U$396)/100)^MAX(0,$C407-$AB$396),0)))))</f>
      </c>
      <c r="P407" s="43">
        <f>IF($S$396=0,0,IF(OR(DATE($C407,12,15)&lt;$S$396,AND($T$396&gt;0,DATE($C407,12,15)&gt;$T$396)),0,IF(DATE($C407,12,15)&gt;=$X$396,$AA$396*(1+($U$396)/100)^MAX(0,$C407-$AD$396),IF(DATE($C407,12,15)&gt;=$W$396,$Z$396*(1+($U$396)/100)^MAX(0,$C407-$AC$396),IF(DATE($C407,12,15)&gt;=$V$396,$Y$396*(1+($U$396)/100)^MAX(0,$C407-$AB$396),0)))))</f>
      </c>
      <c r="Q407" s="43">
        <f>SUM($E407:$P407)</f>
      </c>
    </row>
    <row r="408">
      <c r="A408"/>
      <c r="B408">
        <v>13</v>
      </c>
      <c r="C408" s="43">
        <f>Jahr+12</f>
      </c>
      <c r="D408" s="43">
        <f>INDEX(MvObj,13)</f>
      </c>
      <c r="E408" s="43">
        <f>IF($S$396=0,0,IF(OR(DATE($C408,1,15)&lt;$S$396,AND($T$396&gt;0,DATE($C408,1,15)&gt;$T$396)),0,IF(DATE($C408,1,15)&gt;=$X$396,$AA$396*(1+($U$396)/100)^MAX(0,$C408-$AD$396),IF(DATE($C408,1,15)&gt;=$W$396,$Z$396*(1+($U$396)/100)^MAX(0,$C408-$AC$396),IF(DATE($C408,1,15)&gt;=$V$396,$Y$396*(1+($U$396)/100)^MAX(0,$C408-$AB$396),0)))))</f>
      </c>
      <c r="F408" s="43">
        <f>IF($S$396=0,0,IF(OR(DATE($C408,2,15)&lt;$S$396,AND($T$396&gt;0,DATE($C408,2,15)&gt;$T$396)),0,IF(DATE($C408,2,15)&gt;=$X$396,$AA$396*(1+($U$396)/100)^MAX(0,$C408-$AD$396),IF(DATE($C408,2,15)&gt;=$W$396,$Z$396*(1+($U$396)/100)^MAX(0,$C408-$AC$396),IF(DATE($C408,2,15)&gt;=$V$396,$Y$396*(1+($U$396)/100)^MAX(0,$C408-$AB$396),0)))))</f>
      </c>
      <c r="G408" s="43">
        <f>IF($S$396=0,0,IF(OR(DATE($C408,3,15)&lt;$S$396,AND($T$396&gt;0,DATE($C408,3,15)&gt;$T$396)),0,IF(DATE($C408,3,15)&gt;=$X$396,$AA$396*(1+($U$396)/100)^MAX(0,$C408-$AD$396),IF(DATE($C408,3,15)&gt;=$W$396,$Z$396*(1+($U$396)/100)^MAX(0,$C408-$AC$396),IF(DATE($C408,3,15)&gt;=$V$396,$Y$396*(1+($U$396)/100)^MAX(0,$C408-$AB$396),0)))))</f>
      </c>
      <c r="H408" s="43">
        <f>IF($S$396=0,0,IF(OR(DATE($C408,4,15)&lt;$S$396,AND($T$396&gt;0,DATE($C408,4,15)&gt;$T$396)),0,IF(DATE($C408,4,15)&gt;=$X$396,$AA$396*(1+($U$396)/100)^MAX(0,$C408-$AD$396),IF(DATE($C408,4,15)&gt;=$W$396,$Z$396*(1+($U$396)/100)^MAX(0,$C408-$AC$396),IF(DATE($C408,4,15)&gt;=$V$396,$Y$396*(1+($U$396)/100)^MAX(0,$C408-$AB$396),0)))))</f>
      </c>
      <c r="I408" s="43">
        <f>IF($S$396=0,0,IF(OR(DATE($C408,5,15)&lt;$S$396,AND($T$396&gt;0,DATE($C408,5,15)&gt;$T$396)),0,IF(DATE($C408,5,15)&gt;=$X$396,$AA$396*(1+($U$396)/100)^MAX(0,$C408-$AD$396),IF(DATE($C408,5,15)&gt;=$W$396,$Z$396*(1+($U$396)/100)^MAX(0,$C408-$AC$396),IF(DATE($C408,5,15)&gt;=$V$396,$Y$396*(1+($U$396)/100)^MAX(0,$C408-$AB$396),0)))))</f>
      </c>
      <c r="J408" s="43">
        <f>IF($S$396=0,0,IF(OR(DATE($C408,6,15)&lt;$S$396,AND($T$396&gt;0,DATE($C408,6,15)&gt;$T$396)),0,IF(DATE($C408,6,15)&gt;=$X$396,$AA$396*(1+($U$396)/100)^MAX(0,$C408-$AD$396),IF(DATE($C408,6,15)&gt;=$W$396,$Z$396*(1+($U$396)/100)^MAX(0,$C408-$AC$396),IF(DATE($C408,6,15)&gt;=$V$396,$Y$396*(1+($U$396)/100)^MAX(0,$C408-$AB$396),0)))))</f>
      </c>
      <c r="K408" s="43">
        <f>IF($S$396=0,0,IF(OR(DATE($C408,7,15)&lt;$S$396,AND($T$396&gt;0,DATE($C408,7,15)&gt;$T$396)),0,IF(DATE($C408,7,15)&gt;=$X$396,$AA$396*(1+($U$396)/100)^MAX(0,$C408-$AD$396),IF(DATE($C408,7,15)&gt;=$W$396,$Z$396*(1+($U$396)/100)^MAX(0,$C408-$AC$396),IF(DATE($C408,7,15)&gt;=$V$396,$Y$396*(1+($U$396)/100)^MAX(0,$C408-$AB$396),0)))))</f>
      </c>
      <c r="L408" s="43">
        <f>IF($S$396=0,0,IF(OR(DATE($C408,8,15)&lt;$S$396,AND($T$396&gt;0,DATE($C408,8,15)&gt;$T$396)),0,IF(DATE($C408,8,15)&gt;=$X$396,$AA$396*(1+($U$396)/100)^MAX(0,$C408-$AD$396),IF(DATE($C408,8,15)&gt;=$W$396,$Z$396*(1+($U$396)/100)^MAX(0,$C408-$AC$396),IF(DATE($C408,8,15)&gt;=$V$396,$Y$396*(1+($U$396)/100)^MAX(0,$C408-$AB$396),0)))))</f>
      </c>
      <c r="M408" s="43">
        <f>IF($S$396=0,0,IF(OR(DATE($C408,9,15)&lt;$S$396,AND($T$396&gt;0,DATE($C408,9,15)&gt;$T$396)),0,IF(DATE($C408,9,15)&gt;=$X$396,$AA$396*(1+($U$396)/100)^MAX(0,$C408-$AD$396),IF(DATE($C408,9,15)&gt;=$W$396,$Z$396*(1+($U$396)/100)^MAX(0,$C408-$AC$396),IF(DATE($C408,9,15)&gt;=$V$396,$Y$396*(1+($U$396)/100)^MAX(0,$C408-$AB$396),0)))))</f>
      </c>
      <c r="N408" s="43">
        <f>IF($S$396=0,0,IF(OR(DATE($C408,10,15)&lt;$S$396,AND($T$396&gt;0,DATE($C408,10,15)&gt;$T$396)),0,IF(DATE($C408,10,15)&gt;=$X$396,$AA$396*(1+($U$396)/100)^MAX(0,$C408-$AD$396),IF(DATE($C408,10,15)&gt;=$W$396,$Z$396*(1+($U$396)/100)^MAX(0,$C408-$AC$396),IF(DATE($C408,10,15)&gt;=$V$396,$Y$396*(1+($U$396)/100)^MAX(0,$C408-$AB$396),0)))))</f>
      </c>
      <c r="O408" s="43">
        <f>IF($S$396=0,0,IF(OR(DATE($C408,11,15)&lt;$S$396,AND($T$396&gt;0,DATE($C408,11,15)&gt;$T$396)),0,IF(DATE($C408,11,15)&gt;=$X$396,$AA$396*(1+($U$396)/100)^MAX(0,$C408-$AD$396),IF(DATE($C408,11,15)&gt;=$W$396,$Z$396*(1+($U$396)/100)^MAX(0,$C408-$AC$396),IF(DATE($C408,11,15)&gt;=$V$396,$Y$396*(1+($U$396)/100)^MAX(0,$C408-$AB$396),0)))))</f>
      </c>
      <c r="P408" s="43">
        <f>IF($S$396=0,0,IF(OR(DATE($C408,12,15)&lt;$S$396,AND($T$396&gt;0,DATE($C408,12,15)&gt;$T$396)),0,IF(DATE($C408,12,15)&gt;=$X$396,$AA$396*(1+($U$396)/100)^MAX(0,$C408-$AD$396),IF(DATE($C408,12,15)&gt;=$W$396,$Z$396*(1+($U$396)/100)^MAX(0,$C408-$AC$396),IF(DATE($C408,12,15)&gt;=$V$396,$Y$396*(1+($U$396)/100)^MAX(0,$C408-$AB$396),0)))))</f>
      </c>
      <c r="Q408" s="43">
        <f>SUM($E408:$P408)</f>
      </c>
    </row>
    <row r="409">
      <c r="A409"/>
      <c r="B409">
        <v>13</v>
      </c>
      <c r="C409" s="43">
        <f>Jahr+13</f>
      </c>
      <c r="D409" s="43">
        <f>INDEX(MvObj,13)</f>
      </c>
      <c r="E409" s="43">
        <f>IF($S$396=0,0,IF(OR(DATE($C409,1,15)&lt;$S$396,AND($T$396&gt;0,DATE($C409,1,15)&gt;$T$396)),0,IF(DATE($C409,1,15)&gt;=$X$396,$AA$396*(1+($U$396)/100)^MAX(0,$C409-$AD$396),IF(DATE($C409,1,15)&gt;=$W$396,$Z$396*(1+($U$396)/100)^MAX(0,$C409-$AC$396),IF(DATE($C409,1,15)&gt;=$V$396,$Y$396*(1+($U$396)/100)^MAX(0,$C409-$AB$396),0)))))</f>
      </c>
      <c r="F409" s="43">
        <f>IF($S$396=0,0,IF(OR(DATE($C409,2,15)&lt;$S$396,AND($T$396&gt;0,DATE($C409,2,15)&gt;$T$396)),0,IF(DATE($C409,2,15)&gt;=$X$396,$AA$396*(1+($U$396)/100)^MAX(0,$C409-$AD$396),IF(DATE($C409,2,15)&gt;=$W$396,$Z$396*(1+($U$396)/100)^MAX(0,$C409-$AC$396),IF(DATE($C409,2,15)&gt;=$V$396,$Y$396*(1+($U$396)/100)^MAX(0,$C409-$AB$396),0)))))</f>
      </c>
      <c r="G409" s="43">
        <f>IF($S$396=0,0,IF(OR(DATE($C409,3,15)&lt;$S$396,AND($T$396&gt;0,DATE($C409,3,15)&gt;$T$396)),0,IF(DATE($C409,3,15)&gt;=$X$396,$AA$396*(1+($U$396)/100)^MAX(0,$C409-$AD$396),IF(DATE($C409,3,15)&gt;=$W$396,$Z$396*(1+($U$396)/100)^MAX(0,$C409-$AC$396),IF(DATE($C409,3,15)&gt;=$V$396,$Y$396*(1+($U$396)/100)^MAX(0,$C409-$AB$396),0)))))</f>
      </c>
      <c r="H409" s="43">
        <f>IF($S$396=0,0,IF(OR(DATE($C409,4,15)&lt;$S$396,AND($T$396&gt;0,DATE($C409,4,15)&gt;$T$396)),0,IF(DATE($C409,4,15)&gt;=$X$396,$AA$396*(1+($U$396)/100)^MAX(0,$C409-$AD$396),IF(DATE($C409,4,15)&gt;=$W$396,$Z$396*(1+($U$396)/100)^MAX(0,$C409-$AC$396),IF(DATE($C409,4,15)&gt;=$V$396,$Y$396*(1+($U$396)/100)^MAX(0,$C409-$AB$396),0)))))</f>
      </c>
      <c r="I409" s="43">
        <f>IF($S$396=0,0,IF(OR(DATE($C409,5,15)&lt;$S$396,AND($T$396&gt;0,DATE($C409,5,15)&gt;$T$396)),0,IF(DATE($C409,5,15)&gt;=$X$396,$AA$396*(1+($U$396)/100)^MAX(0,$C409-$AD$396),IF(DATE($C409,5,15)&gt;=$W$396,$Z$396*(1+($U$396)/100)^MAX(0,$C409-$AC$396),IF(DATE($C409,5,15)&gt;=$V$396,$Y$396*(1+($U$396)/100)^MAX(0,$C409-$AB$396),0)))))</f>
      </c>
      <c r="J409" s="43">
        <f>IF($S$396=0,0,IF(OR(DATE($C409,6,15)&lt;$S$396,AND($T$396&gt;0,DATE($C409,6,15)&gt;$T$396)),0,IF(DATE($C409,6,15)&gt;=$X$396,$AA$396*(1+($U$396)/100)^MAX(0,$C409-$AD$396),IF(DATE($C409,6,15)&gt;=$W$396,$Z$396*(1+($U$396)/100)^MAX(0,$C409-$AC$396),IF(DATE($C409,6,15)&gt;=$V$396,$Y$396*(1+($U$396)/100)^MAX(0,$C409-$AB$396),0)))))</f>
      </c>
      <c r="K409" s="43">
        <f>IF($S$396=0,0,IF(OR(DATE($C409,7,15)&lt;$S$396,AND($T$396&gt;0,DATE($C409,7,15)&gt;$T$396)),0,IF(DATE($C409,7,15)&gt;=$X$396,$AA$396*(1+($U$396)/100)^MAX(0,$C409-$AD$396),IF(DATE($C409,7,15)&gt;=$W$396,$Z$396*(1+($U$396)/100)^MAX(0,$C409-$AC$396),IF(DATE($C409,7,15)&gt;=$V$396,$Y$396*(1+($U$396)/100)^MAX(0,$C409-$AB$396),0)))))</f>
      </c>
      <c r="L409" s="43">
        <f>IF($S$396=0,0,IF(OR(DATE($C409,8,15)&lt;$S$396,AND($T$396&gt;0,DATE($C409,8,15)&gt;$T$396)),0,IF(DATE($C409,8,15)&gt;=$X$396,$AA$396*(1+($U$396)/100)^MAX(0,$C409-$AD$396),IF(DATE($C409,8,15)&gt;=$W$396,$Z$396*(1+($U$396)/100)^MAX(0,$C409-$AC$396),IF(DATE($C409,8,15)&gt;=$V$396,$Y$396*(1+($U$396)/100)^MAX(0,$C409-$AB$396),0)))))</f>
      </c>
      <c r="M409" s="43">
        <f>IF($S$396=0,0,IF(OR(DATE($C409,9,15)&lt;$S$396,AND($T$396&gt;0,DATE($C409,9,15)&gt;$T$396)),0,IF(DATE($C409,9,15)&gt;=$X$396,$AA$396*(1+($U$396)/100)^MAX(0,$C409-$AD$396),IF(DATE($C409,9,15)&gt;=$W$396,$Z$396*(1+($U$396)/100)^MAX(0,$C409-$AC$396),IF(DATE($C409,9,15)&gt;=$V$396,$Y$396*(1+($U$396)/100)^MAX(0,$C409-$AB$396),0)))))</f>
      </c>
      <c r="N409" s="43">
        <f>IF($S$396=0,0,IF(OR(DATE($C409,10,15)&lt;$S$396,AND($T$396&gt;0,DATE($C409,10,15)&gt;$T$396)),0,IF(DATE($C409,10,15)&gt;=$X$396,$AA$396*(1+($U$396)/100)^MAX(0,$C409-$AD$396),IF(DATE($C409,10,15)&gt;=$W$396,$Z$396*(1+($U$396)/100)^MAX(0,$C409-$AC$396),IF(DATE($C409,10,15)&gt;=$V$396,$Y$396*(1+($U$396)/100)^MAX(0,$C409-$AB$396),0)))))</f>
      </c>
      <c r="O409" s="43">
        <f>IF($S$396=0,0,IF(OR(DATE($C409,11,15)&lt;$S$396,AND($T$396&gt;0,DATE($C409,11,15)&gt;$T$396)),0,IF(DATE($C409,11,15)&gt;=$X$396,$AA$396*(1+($U$396)/100)^MAX(0,$C409-$AD$396),IF(DATE($C409,11,15)&gt;=$W$396,$Z$396*(1+($U$396)/100)^MAX(0,$C409-$AC$396),IF(DATE($C409,11,15)&gt;=$V$396,$Y$396*(1+($U$396)/100)^MAX(0,$C409-$AB$396),0)))))</f>
      </c>
      <c r="P409" s="43">
        <f>IF($S$396=0,0,IF(OR(DATE($C409,12,15)&lt;$S$396,AND($T$396&gt;0,DATE($C409,12,15)&gt;$T$396)),0,IF(DATE($C409,12,15)&gt;=$X$396,$AA$396*(1+($U$396)/100)^MAX(0,$C409-$AD$396),IF(DATE($C409,12,15)&gt;=$W$396,$Z$396*(1+($U$396)/100)^MAX(0,$C409-$AC$396),IF(DATE($C409,12,15)&gt;=$V$396,$Y$396*(1+($U$396)/100)^MAX(0,$C409-$AB$396),0)))))</f>
      </c>
      <c r="Q409" s="43">
        <f>SUM($E409:$P409)</f>
      </c>
    </row>
    <row r="410">
      <c r="A410"/>
      <c r="B410">
        <v>13</v>
      </c>
      <c r="C410" s="43">
        <f>Jahr+14</f>
      </c>
      <c r="D410" s="43">
        <f>INDEX(MvObj,13)</f>
      </c>
      <c r="E410" s="43">
        <f>IF($S$396=0,0,IF(OR(DATE($C410,1,15)&lt;$S$396,AND($T$396&gt;0,DATE($C410,1,15)&gt;$T$396)),0,IF(DATE($C410,1,15)&gt;=$X$396,$AA$396*(1+($U$396)/100)^MAX(0,$C410-$AD$396),IF(DATE($C410,1,15)&gt;=$W$396,$Z$396*(1+($U$396)/100)^MAX(0,$C410-$AC$396),IF(DATE($C410,1,15)&gt;=$V$396,$Y$396*(1+($U$396)/100)^MAX(0,$C410-$AB$396),0)))))</f>
      </c>
      <c r="F410" s="43">
        <f>IF($S$396=0,0,IF(OR(DATE($C410,2,15)&lt;$S$396,AND($T$396&gt;0,DATE($C410,2,15)&gt;$T$396)),0,IF(DATE($C410,2,15)&gt;=$X$396,$AA$396*(1+($U$396)/100)^MAX(0,$C410-$AD$396),IF(DATE($C410,2,15)&gt;=$W$396,$Z$396*(1+($U$396)/100)^MAX(0,$C410-$AC$396),IF(DATE($C410,2,15)&gt;=$V$396,$Y$396*(1+($U$396)/100)^MAX(0,$C410-$AB$396),0)))))</f>
      </c>
      <c r="G410" s="43">
        <f>IF($S$396=0,0,IF(OR(DATE($C410,3,15)&lt;$S$396,AND($T$396&gt;0,DATE($C410,3,15)&gt;$T$396)),0,IF(DATE($C410,3,15)&gt;=$X$396,$AA$396*(1+($U$396)/100)^MAX(0,$C410-$AD$396),IF(DATE($C410,3,15)&gt;=$W$396,$Z$396*(1+($U$396)/100)^MAX(0,$C410-$AC$396),IF(DATE($C410,3,15)&gt;=$V$396,$Y$396*(1+($U$396)/100)^MAX(0,$C410-$AB$396),0)))))</f>
      </c>
      <c r="H410" s="43">
        <f>IF($S$396=0,0,IF(OR(DATE($C410,4,15)&lt;$S$396,AND($T$396&gt;0,DATE($C410,4,15)&gt;$T$396)),0,IF(DATE($C410,4,15)&gt;=$X$396,$AA$396*(1+($U$396)/100)^MAX(0,$C410-$AD$396),IF(DATE($C410,4,15)&gt;=$W$396,$Z$396*(1+($U$396)/100)^MAX(0,$C410-$AC$396),IF(DATE($C410,4,15)&gt;=$V$396,$Y$396*(1+($U$396)/100)^MAX(0,$C410-$AB$396),0)))))</f>
      </c>
      <c r="I410" s="43">
        <f>IF($S$396=0,0,IF(OR(DATE($C410,5,15)&lt;$S$396,AND($T$396&gt;0,DATE($C410,5,15)&gt;$T$396)),0,IF(DATE($C410,5,15)&gt;=$X$396,$AA$396*(1+($U$396)/100)^MAX(0,$C410-$AD$396),IF(DATE($C410,5,15)&gt;=$W$396,$Z$396*(1+($U$396)/100)^MAX(0,$C410-$AC$396),IF(DATE($C410,5,15)&gt;=$V$396,$Y$396*(1+($U$396)/100)^MAX(0,$C410-$AB$396),0)))))</f>
      </c>
      <c r="J410" s="43">
        <f>IF($S$396=0,0,IF(OR(DATE($C410,6,15)&lt;$S$396,AND($T$396&gt;0,DATE($C410,6,15)&gt;$T$396)),0,IF(DATE($C410,6,15)&gt;=$X$396,$AA$396*(1+($U$396)/100)^MAX(0,$C410-$AD$396),IF(DATE($C410,6,15)&gt;=$W$396,$Z$396*(1+($U$396)/100)^MAX(0,$C410-$AC$396),IF(DATE($C410,6,15)&gt;=$V$396,$Y$396*(1+($U$396)/100)^MAX(0,$C410-$AB$396),0)))))</f>
      </c>
      <c r="K410" s="43">
        <f>IF($S$396=0,0,IF(OR(DATE($C410,7,15)&lt;$S$396,AND($T$396&gt;0,DATE($C410,7,15)&gt;$T$396)),0,IF(DATE($C410,7,15)&gt;=$X$396,$AA$396*(1+($U$396)/100)^MAX(0,$C410-$AD$396),IF(DATE($C410,7,15)&gt;=$W$396,$Z$396*(1+($U$396)/100)^MAX(0,$C410-$AC$396),IF(DATE($C410,7,15)&gt;=$V$396,$Y$396*(1+($U$396)/100)^MAX(0,$C410-$AB$396),0)))))</f>
      </c>
      <c r="L410" s="43">
        <f>IF($S$396=0,0,IF(OR(DATE($C410,8,15)&lt;$S$396,AND($T$396&gt;0,DATE($C410,8,15)&gt;$T$396)),0,IF(DATE($C410,8,15)&gt;=$X$396,$AA$396*(1+($U$396)/100)^MAX(0,$C410-$AD$396),IF(DATE($C410,8,15)&gt;=$W$396,$Z$396*(1+($U$396)/100)^MAX(0,$C410-$AC$396),IF(DATE($C410,8,15)&gt;=$V$396,$Y$396*(1+($U$396)/100)^MAX(0,$C410-$AB$396),0)))))</f>
      </c>
      <c r="M410" s="43">
        <f>IF($S$396=0,0,IF(OR(DATE($C410,9,15)&lt;$S$396,AND($T$396&gt;0,DATE($C410,9,15)&gt;$T$396)),0,IF(DATE($C410,9,15)&gt;=$X$396,$AA$396*(1+($U$396)/100)^MAX(0,$C410-$AD$396),IF(DATE($C410,9,15)&gt;=$W$396,$Z$396*(1+($U$396)/100)^MAX(0,$C410-$AC$396),IF(DATE($C410,9,15)&gt;=$V$396,$Y$396*(1+($U$396)/100)^MAX(0,$C410-$AB$396),0)))))</f>
      </c>
      <c r="N410" s="43">
        <f>IF($S$396=0,0,IF(OR(DATE($C410,10,15)&lt;$S$396,AND($T$396&gt;0,DATE($C410,10,15)&gt;$T$396)),0,IF(DATE($C410,10,15)&gt;=$X$396,$AA$396*(1+($U$396)/100)^MAX(0,$C410-$AD$396),IF(DATE($C410,10,15)&gt;=$W$396,$Z$396*(1+($U$396)/100)^MAX(0,$C410-$AC$396),IF(DATE($C410,10,15)&gt;=$V$396,$Y$396*(1+($U$396)/100)^MAX(0,$C410-$AB$396),0)))))</f>
      </c>
      <c r="O410" s="43">
        <f>IF($S$396=0,0,IF(OR(DATE($C410,11,15)&lt;$S$396,AND($T$396&gt;0,DATE($C410,11,15)&gt;$T$396)),0,IF(DATE($C410,11,15)&gt;=$X$396,$AA$396*(1+($U$396)/100)^MAX(0,$C410-$AD$396),IF(DATE($C410,11,15)&gt;=$W$396,$Z$396*(1+($U$396)/100)^MAX(0,$C410-$AC$396),IF(DATE($C410,11,15)&gt;=$V$396,$Y$396*(1+($U$396)/100)^MAX(0,$C410-$AB$396),0)))))</f>
      </c>
      <c r="P410" s="43">
        <f>IF($S$396=0,0,IF(OR(DATE($C410,12,15)&lt;$S$396,AND($T$396&gt;0,DATE($C410,12,15)&gt;$T$396)),0,IF(DATE($C410,12,15)&gt;=$X$396,$AA$396*(1+($U$396)/100)^MAX(0,$C410-$AD$396),IF(DATE($C410,12,15)&gt;=$W$396,$Z$396*(1+($U$396)/100)^MAX(0,$C410-$AC$396),IF(DATE($C410,12,15)&gt;=$V$396,$Y$396*(1+($U$396)/100)^MAX(0,$C410-$AB$396),0)))))</f>
      </c>
      <c r="Q410" s="43">
        <f>SUM($E410:$P410)</f>
      </c>
    </row>
    <row r="411">
      <c r="A411"/>
      <c r="B411">
        <v>13</v>
      </c>
      <c r="C411" s="43">
        <f>Jahr+15</f>
      </c>
      <c r="D411" s="43">
        <f>INDEX(MvObj,13)</f>
      </c>
      <c r="E411" s="43">
        <f>IF($S$396=0,0,IF(OR(DATE($C411,1,15)&lt;$S$396,AND($T$396&gt;0,DATE($C411,1,15)&gt;$T$396)),0,IF(DATE($C411,1,15)&gt;=$X$396,$AA$396*(1+($U$396)/100)^MAX(0,$C411-$AD$396),IF(DATE($C411,1,15)&gt;=$W$396,$Z$396*(1+($U$396)/100)^MAX(0,$C411-$AC$396),IF(DATE($C411,1,15)&gt;=$V$396,$Y$396*(1+($U$396)/100)^MAX(0,$C411-$AB$396),0)))))</f>
      </c>
      <c r="F411" s="43">
        <f>IF($S$396=0,0,IF(OR(DATE($C411,2,15)&lt;$S$396,AND($T$396&gt;0,DATE($C411,2,15)&gt;$T$396)),0,IF(DATE($C411,2,15)&gt;=$X$396,$AA$396*(1+($U$396)/100)^MAX(0,$C411-$AD$396),IF(DATE($C411,2,15)&gt;=$W$396,$Z$396*(1+($U$396)/100)^MAX(0,$C411-$AC$396),IF(DATE($C411,2,15)&gt;=$V$396,$Y$396*(1+($U$396)/100)^MAX(0,$C411-$AB$396),0)))))</f>
      </c>
      <c r="G411" s="43">
        <f>IF($S$396=0,0,IF(OR(DATE($C411,3,15)&lt;$S$396,AND($T$396&gt;0,DATE($C411,3,15)&gt;$T$396)),0,IF(DATE($C411,3,15)&gt;=$X$396,$AA$396*(1+($U$396)/100)^MAX(0,$C411-$AD$396),IF(DATE($C411,3,15)&gt;=$W$396,$Z$396*(1+($U$396)/100)^MAX(0,$C411-$AC$396),IF(DATE($C411,3,15)&gt;=$V$396,$Y$396*(1+($U$396)/100)^MAX(0,$C411-$AB$396),0)))))</f>
      </c>
      <c r="H411" s="43">
        <f>IF($S$396=0,0,IF(OR(DATE($C411,4,15)&lt;$S$396,AND($T$396&gt;0,DATE($C411,4,15)&gt;$T$396)),0,IF(DATE($C411,4,15)&gt;=$X$396,$AA$396*(1+($U$396)/100)^MAX(0,$C411-$AD$396),IF(DATE($C411,4,15)&gt;=$W$396,$Z$396*(1+($U$396)/100)^MAX(0,$C411-$AC$396),IF(DATE($C411,4,15)&gt;=$V$396,$Y$396*(1+($U$396)/100)^MAX(0,$C411-$AB$396),0)))))</f>
      </c>
      <c r="I411" s="43">
        <f>IF($S$396=0,0,IF(OR(DATE($C411,5,15)&lt;$S$396,AND($T$396&gt;0,DATE($C411,5,15)&gt;$T$396)),0,IF(DATE($C411,5,15)&gt;=$X$396,$AA$396*(1+($U$396)/100)^MAX(0,$C411-$AD$396),IF(DATE($C411,5,15)&gt;=$W$396,$Z$396*(1+($U$396)/100)^MAX(0,$C411-$AC$396),IF(DATE($C411,5,15)&gt;=$V$396,$Y$396*(1+($U$396)/100)^MAX(0,$C411-$AB$396),0)))))</f>
      </c>
      <c r="J411" s="43">
        <f>IF($S$396=0,0,IF(OR(DATE($C411,6,15)&lt;$S$396,AND($T$396&gt;0,DATE($C411,6,15)&gt;$T$396)),0,IF(DATE($C411,6,15)&gt;=$X$396,$AA$396*(1+($U$396)/100)^MAX(0,$C411-$AD$396),IF(DATE($C411,6,15)&gt;=$W$396,$Z$396*(1+($U$396)/100)^MAX(0,$C411-$AC$396),IF(DATE($C411,6,15)&gt;=$V$396,$Y$396*(1+($U$396)/100)^MAX(0,$C411-$AB$396),0)))))</f>
      </c>
      <c r="K411" s="43">
        <f>IF($S$396=0,0,IF(OR(DATE($C411,7,15)&lt;$S$396,AND($T$396&gt;0,DATE($C411,7,15)&gt;$T$396)),0,IF(DATE($C411,7,15)&gt;=$X$396,$AA$396*(1+($U$396)/100)^MAX(0,$C411-$AD$396),IF(DATE($C411,7,15)&gt;=$W$396,$Z$396*(1+($U$396)/100)^MAX(0,$C411-$AC$396),IF(DATE($C411,7,15)&gt;=$V$396,$Y$396*(1+($U$396)/100)^MAX(0,$C411-$AB$396),0)))))</f>
      </c>
      <c r="L411" s="43">
        <f>IF($S$396=0,0,IF(OR(DATE($C411,8,15)&lt;$S$396,AND($T$396&gt;0,DATE($C411,8,15)&gt;$T$396)),0,IF(DATE($C411,8,15)&gt;=$X$396,$AA$396*(1+($U$396)/100)^MAX(0,$C411-$AD$396),IF(DATE($C411,8,15)&gt;=$W$396,$Z$396*(1+($U$396)/100)^MAX(0,$C411-$AC$396),IF(DATE($C411,8,15)&gt;=$V$396,$Y$396*(1+($U$396)/100)^MAX(0,$C411-$AB$396),0)))))</f>
      </c>
      <c r="M411" s="43">
        <f>IF($S$396=0,0,IF(OR(DATE($C411,9,15)&lt;$S$396,AND($T$396&gt;0,DATE($C411,9,15)&gt;$T$396)),0,IF(DATE($C411,9,15)&gt;=$X$396,$AA$396*(1+($U$396)/100)^MAX(0,$C411-$AD$396),IF(DATE($C411,9,15)&gt;=$W$396,$Z$396*(1+($U$396)/100)^MAX(0,$C411-$AC$396),IF(DATE($C411,9,15)&gt;=$V$396,$Y$396*(1+($U$396)/100)^MAX(0,$C411-$AB$396),0)))))</f>
      </c>
      <c r="N411" s="43">
        <f>IF($S$396=0,0,IF(OR(DATE($C411,10,15)&lt;$S$396,AND($T$396&gt;0,DATE($C411,10,15)&gt;$T$396)),0,IF(DATE($C411,10,15)&gt;=$X$396,$AA$396*(1+($U$396)/100)^MAX(0,$C411-$AD$396),IF(DATE($C411,10,15)&gt;=$W$396,$Z$396*(1+($U$396)/100)^MAX(0,$C411-$AC$396),IF(DATE($C411,10,15)&gt;=$V$396,$Y$396*(1+($U$396)/100)^MAX(0,$C411-$AB$396),0)))))</f>
      </c>
      <c r="O411" s="43">
        <f>IF($S$396=0,0,IF(OR(DATE($C411,11,15)&lt;$S$396,AND($T$396&gt;0,DATE($C411,11,15)&gt;$T$396)),0,IF(DATE($C411,11,15)&gt;=$X$396,$AA$396*(1+($U$396)/100)^MAX(0,$C411-$AD$396),IF(DATE($C411,11,15)&gt;=$W$396,$Z$396*(1+($U$396)/100)^MAX(0,$C411-$AC$396),IF(DATE($C411,11,15)&gt;=$V$396,$Y$396*(1+($U$396)/100)^MAX(0,$C411-$AB$396),0)))))</f>
      </c>
      <c r="P411" s="43">
        <f>IF($S$396=0,0,IF(OR(DATE($C411,12,15)&lt;$S$396,AND($T$396&gt;0,DATE($C411,12,15)&gt;$T$396)),0,IF(DATE($C411,12,15)&gt;=$X$396,$AA$396*(1+($U$396)/100)^MAX(0,$C411-$AD$396),IF(DATE($C411,12,15)&gt;=$W$396,$Z$396*(1+($U$396)/100)^MAX(0,$C411-$AC$396),IF(DATE($C411,12,15)&gt;=$V$396,$Y$396*(1+($U$396)/100)^MAX(0,$C411-$AB$396),0)))))</f>
      </c>
      <c r="Q411" s="43">
        <f>SUM($E411:$P411)</f>
      </c>
    </row>
    <row r="412">
      <c r="A412"/>
      <c r="B412">
        <v>13</v>
      </c>
      <c r="C412" s="43">
        <f>Jahr+16</f>
      </c>
      <c r="D412" s="43">
        <f>INDEX(MvObj,13)</f>
      </c>
      <c r="E412" s="43">
        <f>IF($S$396=0,0,IF(OR(DATE($C412,1,15)&lt;$S$396,AND($T$396&gt;0,DATE($C412,1,15)&gt;$T$396)),0,IF(DATE($C412,1,15)&gt;=$X$396,$AA$396*(1+($U$396)/100)^MAX(0,$C412-$AD$396),IF(DATE($C412,1,15)&gt;=$W$396,$Z$396*(1+($U$396)/100)^MAX(0,$C412-$AC$396),IF(DATE($C412,1,15)&gt;=$V$396,$Y$396*(1+($U$396)/100)^MAX(0,$C412-$AB$396),0)))))</f>
      </c>
      <c r="F412" s="43">
        <f>IF($S$396=0,0,IF(OR(DATE($C412,2,15)&lt;$S$396,AND($T$396&gt;0,DATE($C412,2,15)&gt;$T$396)),0,IF(DATE($C412,2,15)&gt;=$X$396,$AA$396*(1+($U$396)/100)^MAX(0,$C412-$AD$396),IF(DATE($C412,2,15)&gt;=$W$396,$Z$396*(1+($U$396)/100)^MAX(0,$C412-$AC$396),IF(DATE($C412,2,15)&gt;=$V$396,$Y$396*(1+($U$396)/100)^MAX(0,$C412-$AB$396),0)))))</f>
      </c>
      <c r="G412" s="43">
        <f>IF($S$396=0,0,IF(OR(DATE($C412,3,15)&lt;$S$396,AND($T$396&gt;0,DATE($C412,3,15)&gt;$T$396)),0,IF(DATE($C412,3,15)&gt;=$X$396,$AA$396*(1+($U$396)/100)^MAX(0,$C412-$AD$396),IF(DATE($C412,3,15)&gt;=$W$396,$Z$396*(1+($U$396)/100)^MAX(0,$C412-$AC$396),IF(DATE($C412,3,15)&gt;=$V$396,$Y$396*(1+($U$396)/100)^MAX(0,$C412-$AB$396),0)))))</f>
      </c>
      <c r="H412" s="43">
        <f>IF($S$396=0,0,IF(OR(DATE($C412,4,15)&lt;$S$396,AND($T$396&gt;0,DATE($C412,4,15)&gt;$T$396)),0,IF(DATE($C412,4,15)&gt;=$X$396,$AA$396*(1+($U$396)/100)^MAX(0,$C412-$AD$396),IF(DATE($C412,4,15)&gt;=$W$396,$Z$396*(1+($U$396)/100)^MAX(0,$C412-$AC$396),IF(DATE($C412,4,15)&gt;=$V$396,$Y$396*(1+($U$396)/100)^MAX(0,$C412-$AB$396),0)))))</f>
      </c>
      <c r="I412" s="43">
        <f>IF($S$396=0,0,IF(OR(DATE($C412,5,15)&lt;$S$396,AND($T$396&gt;0,DATE($C412,5,15)&gt;$T$396)),0,IF(DATE($C412,5,15)&gt;=$X$396,$AA$396*(1+($U$396)/100)^MAX(0,$C412-$AD$396),IF(DATE($C412,5,15)&gt;=$W$396,$Z$396*(1+($U$396)/100)^MAX(0,$C412-$AC$396),IF(DATE($C412,5,15)&gt;=$V$396,$Y$396*(1+($U$396)/100)^MAX(0,$C412-$AB$396),0)))))</f>
      </c>
      <c r="J412" s="43">
        <f>IF($S$396=0,0,IF(OR(DATE($C412,6,15)&lt;$S$396,AND($T$396&gt;0,DATE($C412,6,15)&gt;$T$396)),0,IF(DATE($C412,6,15)&gt;=$X$396,$AA$396*(1+($U$396)/100)^MAX(0,$C412-$AD$396),IF(DATE($C412,6,15)&gt;=$W$396,$Z$396*(1+($U$396)/100)^MAX(0,$C412-$AC$396),IF(DATE($C412,6,15)&gt;=$V$396,$Y$396*(1+($U$396)/100)^MAX(0,$C412-$AB$396),0)))))</f>
      </c>
      <c r="K412" s="43">
        <f>IF($S$396=0,0,IF(OR(DATE($C412,7,15)&lt;$S$396,AND($T$396&gt;0,DATE($C412,7,15)&gt;$T$396)),0,IF(DATE($C412,7,15)&gt;=$X$396,$AA$396*(1+($U$396)/100)^MAX(0,$C412-$AD$396),IF(DATE($C412,7,15)&gt;=$W$396,$Z$396*(1+($U$396)/100)^MAX(0,$C412-$AC$396),IF(DATE($C412,7,15)&gt;=$V$396,$Y$396*(1+($U$396)/100)^MAX(0,$C412-$AB$396),0)))))</f>
      </c>
      <c r="L412" s="43">
        <f>IF($S$396=0,0,IF(OR(DATE($C412,8,15)&lt;$S$396,AND($T$396&gt;0,DATE($C412,8,15)&gt;$T$396)),0,IF(DATE($C412,8,15)&gt;=$X$396,$AA$396*(1+($U$396)/100)^MAX(0,$C412-$AD$396),IF(DATE($C412,8,15)&gt;=$W$396,$Z$396*(1+($U$396)/100)^MAX(0,$C412-$AC$396),IF(DATE($C412,8,15)&gt;=$V$396,$Y$396*(1+($U$396)/100)^MAX(0,$C412-$AB$396),0)))))</f>
      </c>
      <c r="M412" s="43">
        <f>IF($S$396=0,0,IF(OR(DATE($C412,9,15)&lt;$S$396,AND($T$396&gt;0,DATE($C412,9,15)&gt;$T$396)),0,IF(DATE($C412,9,15)&gt;=$X$396,$AA$396*(1+($U$396)/100)^MAX(0,$C412-$AD$396),IF(DATE($C412,9,15)&gt;=$W$396,$Z$396*(1+($U$396)/100)^MAX(0,$C412-$AC$396),IF(DATE($C412,9,15)&gt;=$V$396,$Y$396*(1+($U$396)/100)^MAX(0,$C412-$AB$396),0)))))</f>
      </c>
      <c r="N412" s="43">
        <f>IF($S$396=0,0,IF(OR(DATE($C412,10,15)&lt;$S$396,AND($T$396&gt;0,DATE($C412,10,15)&gt;$T$396)),0,IF(DATE($C412,10,15)&gt;=$X$396,$AA$396*(1+($U$396)/100)^MAX(0,$C412-$AD$396),IF(DATE($C412,10,15)&gt;=$W$396,$Z$396*(1+($U$396)/100)^MAX(0,$C412-$AC$396),IF(DATE($C412,10,15)&gt;=$V$396,$Y$396*(1+($U$396)/100)^MAX(0,$C412-$AB$396),0)))))</f>
      </c>
      <c r="O412" s="43">
        <f>IF($S$396=0,0,IF(OR(DATE($C412,11,15)&lt;$S$396,AND($T$396&gt;0,DATE($C412,11,15)&gt;$T$396)),0,IF(DATE($C412,11,15)&gt;=$X$396,$AA$396*(1+($U$396)/100)^MAX(0,$C412-$AD$396),IF(DATE($C412,11,15)&gt;=$W$396,$Z$396*(1+($U$396)/100)^MAX(0,$C412-$AC$396),IF(DATE($C412,11,15)&gt;=$V$396,$Y$396*(1+($U$396)/100)^MAX(0,$C412-$AB$396),0)))))</f>
      </c>
      <c r="P412" s="43">
        <f>IF($S$396=0,0,IF(OR(DATE($C412,12,15)&lt;$S$396,AND($T$396&gt;0,DATE($C412,12,15)&gt;$T$396)),0,IF(DATE($C412,12,15)&gt;=$X$396,$AA$396*(1+($U$396)/100)^MAX(0,$C412-$AD$396),IF(DATE($C412,12,15)&gt;=$W$396,$Z$396*(1+($U$396)/100)^MAX(0,$C412-$AC$396),IF(DATE($C412,12,15)&gt;=$V$396,$Y$396*(1+($U$396)/100)^MAX(0,$C412-$AB$396),0)))))</f>
      </c>
      <c r="Q412" s="43">
        <f>SUM($E412:$P412)</f>
      </c>
    </row>
    <row r="413">
      <c r="A413"/>
      <c r="B413">
        <v>13</v>
      </c>
      <c r="C413" s="43">
        <f>Jahr+17</f>
      </c>
      <c r="D413" s="43">
        <f>INDEX(MvObj,13)</f>
      </c>
      <c r="E413" s="43">
        <f>IF($S$396=0,0,IF(OR(DATE($C413,1,15)&lt;$S$396,AND($T$396&gt;0,DATE($C413,1,15)&gt;$T$396)),0,IF(DATE($C413,1,15)&gt;=$X$396,$AA$396*(1+($U$396)/100)^MAX(0,$C413-$AD$396),IF(DATE($C413,1,15)&gt;=$W$396,$Z$396*(1+($U$396)/100)^MAX(0,$C413-$AC$396),IF(DATE($C413,1,15)&gt;=$V$396,$Y$396*(1+($U$396)/100)^MAX(0,$C413-$AB$396),0)))))</f>
      </c>
      <c r="F413" s="43">
        <f>IF($S$396=0,0,IF(OR(DATE($C413,2,15)&lt;$S$396,AND($T$396&gt;0,DATE($C413,2,15)&gt;$T$396)),0,IF(DATE($C413,2,15)&gt;=$X$396,$AA$396*(1+($U$396)/100)^MAX(0,$C413-$AD$396),IF(DATE($C413,2,15)&gt;=$W$396,$Z$396*(1+($U$396)/100)^MAX(0,$C413-$AC$396),IF(DATE($C413,2,15)&gt;=$V$396,$Y$396*(1+($U$396)/100)^MAX(0,$C413-$AB$396),0)))))</f>
      </c>
      <c r="G413" s="43">
        <f>IF($S$396=0,0,IF(OR(DATE($C413,3,15)&lt;$S$396,AND($T$396&gt;0,DATE($C413,3,15)&gt;$T$396)),0,IF(DATE($C413,3,15)&gt;=$X$396,$AA$396*(1+($U$396)/100)^MAX(0,$C413-$AD$396),IF(DATE($C413,3,15)&gt;=$W$396,$Z$396*(1+($U$396)/100)^MAX(0,$C413-$AC$396),IF(DATE($C413,3,15)&gt;=$V$396,$Y$396*(1+($U$396)/100)^MAX(0,$C413-$AB$396),0)))))</f>
      </c>
      <c r="H413" s="43">
        <f>IF($S$396=0,0,IF(OR(DATE($C413,4,15)&lt;$S$396,AND($T$396&gt;0,DATE($C413,4,15)&gt;$T$396)),0,IF(DATE($C413,4,15)&gt;=$X$396,$AA$396*(1+($U$396)/100)^MAX(0,$C413-$AD$396),IF(DATE($C413,4,15)&gt;=$W$396,$Z$396*(1+($U$396)/100)^MAX(0,$C413-$AC$396),IF(DATE($C413,4,15)&gt;=$V$396,$Y$396*(1+($U$396)/100)^MAX(0,$C413-$AB$396),0)))))</f>
      </c>
      <c r="I413" s="43">
        <f>IF($S$396=0,0,IF(OR(DATE($C413,5,15)&lt;$S$396,AND($T$396&gt;0,DATE($C413,5,15)&gt;$T$396)),0,IF(DATE($C413,5,15)&gt;=$X$396,$AA$396*(1+($U$396)/100)^MAX(0,$C413-$AD$396),IF(DATE($C413,5,15)&gt;=$W$396,$Z$396*(1+($U$396)/100)^MAX(0,$C413-$AC$396),IF(DATE($C413,5,15)&gt;=$V$396,$Y$396*(1+($U$396)/100)^MAX(0,$C413-$AB$396),0)))))</f>
      </c>
      <c r="J413" s="43">
        <f>IF($S$396=0,0,IF(OR(DATE($C413,6,15)&lt;$S$396,AND($T$396&gt;0,DATE($C413,6,15)&gt;$T$396)),0,IF(DATE($C413,6,15)&gt;=$X$396,$AA$396*(1+($U$396)/100)^MAX(0,$C413-$AD$396),IF(DATE($C413,6,15)&gt;=$W$396,$Z$396*(1+($U$396)/100)^MAX(0,$C413-$AC$396),IF(DATE($C413,6,15)&gt;=$V$396,$Y$396*(1+($U$396)/100)^MAX(0,$C413-$AB$396),0)))))</f>
      </c>
      <c r="K413" s="43">
        <f>IF($S$396=0,0,IF(OR(DATE($C413,7,15)&lt;$S$396,AND($T$396&gt;0,DATE($C413,7,15)&gt;$T$396)),0,IF(DATE($C413,7,15)&gt;=$X$396,$AA$396*(1+($U$396)/100)^MAX(0,$C413-$AD$396),IF(DATE($C413,7,15)&gt;=$W$396,$Z$396*(1+($U$396)/100)^MAX(0,$C413-$AC$396),IF(DATE($C413,7,15)&gt;=$V$396,$Y$396*(1+($U$396)/100)^MAX(0,$C413-$AB$396),0)))))</f>
      </c>
      <c r="L413" s="43">
        <f>IF($S$396=0,0,IF(OR(DATE($C413,8,15)&lt;$S$396,AND($T$396&gt;0,DATE($C413,8,15)&gt;$T$396)),0,IF(DATE($C413,8,15)&gt;=$X$396,$AA$396*(1+($U$396)/100)^MAX(0,$C413-$AD$396),IF(DATE($C413,8,15)&gt;=$W$396,$Z$396*(1+($U$396)/100)^MAX(0,$C413-$AC$396),IF(DATE($C413,8,15)&gt;=$V$396,$Y$396*(1+($U$396)/100)^MAX(0,$C413-$AB$396),0)))))</f>
      </c>
      <c r="M413" s="43">
        <f>IF($S$396=0,0,IF(OR(DATE($C413,9,15)&lt;$S$396,AND($T$396&gt;0,DATE($C413,9,15)&gt;$T$396)),0,IF(DATE($C413,9,15)&gt;=$X$396,$AA$396*(1+($U$396)/100)^MAX(0,$C413-$AD$396),IF(DATE($C413,9,15)&gt;=$W$396,$Z$396*(1+($U$396)/100)^MAX(0,$C413-$AC$396),IF(DATE($C413,9,15)&gt;=$V$396,$Y$396*(1+($U$396)/100)^MAX(0,$C413-$AB$396),0)))))</f>
      </c>
      <c r="N413" s="43">
        <f>IF($S$396=0,0,IF(OR(DATE($C413,10,15)&lt;$S$396,AND($T$396&gt;0,DATE($C413,10,15)&gt;$T$396)),0,IF(DATE($C413,10,15)&gt;=$X$396,$AA$396*(1+($U$396)/100)^MAX(0,$C413-$AD$396),IF(DATE($C413,10,15)&gt;=$W$396,$Z$396*(1+($U$396)/100)^MAX(0,$C413-$AC$396),IF(DATE($C413,10,15)&gt;=$V$396,$Y$396*(1+($U$396)/100)^MAX(0,$C413-$AB$396),0)))))</f>
      </c>
      <c r="O413" s="43">
        <f>IF($S$396=0,0,IF(OR(DATE($C413,11,15)&lt;$S$396,AND($T$396&gt;0,DATE($C413,11,15)&gt;$T$396)),0,IF(DATE($C413,11,15)&gt;=$X$396,$AA$396*(1+($U$396)/100)^MAX(0,$C413-$AD$396),IF(DATE($C413,11,15)&gt;=$W$396,$Z$396*(1+($U$396)/100)^MAX(0,$C413-$AC$396),IF(DATE($C413,11,15)&gt;=$V$396,$Y$396*(1+($U$396)/100)^MAX(0,$C413-$AB$396),0)))))</f>
      </c>
      <c r="P413" s="43">
        <f>IF($S$396=0,0,IF(OR(DATE($C413,12,15)&lt;$S$396,AND($T$396&gt;0,DATE($C413,12,15)&gt;$T$396)),0,IF(DATE($C413,12,15)&gt;=$X$396,$AA$396*(1+($U$396)/100)^MAX(0,$C413-$AD$396),IF(DATE($C413,12,15)&gt;=$W$396,$Z$396*(1+($U$396)/100)^MAX(0,$C413-$AC$396),IF(DATE($C413,12,15)&gt;=$V$396,$Y$396*(1+($U$396)/100)^MAX(0,$C413-$AB$396),0)))))</f>
      </c>
      <c r="Q413" s="43">
        <f>SUM($E413:$P413)</f>
      </c>
    </row>
    <row r="414">
      <c r="A414"/>
      <c r="B414">
        <v>13</v>
      </c>
      <c r="C414" s="43">
        <f>Jahr+18</f>
      </c>
      <c r="D414" s="43">
        <f>INDEX(MvObj,13)</f>
      </c>
      <c r="E414" s="43">
        <f>IF($S$396=0,0,IF(OR(DATE($C414,1,15)&lt;$S$396,AND($T$396&gt;0,DATE($C414,1,15)&gt;$T$396)),0,IF(DATE($C414,1,15)&gt;=$X$396,$AA$396*(1+($U$396)/100)^MAX(0,$C414-$AD$396),IF(DATE($C414,1,15)&gt;=$W$396,$Z$396*(1+($U$396)/100)^MAX(0,$C414-$AC$396),IF(DATE($C414,1,15)&gt;=$V$396,$Y$396*(1+($U$396)/100)^MAX(0,$C414-$AB$396),0)))))</f>
      </c>
      <c r="F414" s="43">
        <f>IF($S$396=0,0,IF(OR(DATE($C414,2,15)&lt;$S$396,AND($T$396&gt;0,DATE($C414,2,15)&gt;$T$396)),0,IF(DATE($C414,2,15)&gt;=$X$396,$AA$396*(1+($U$396)/100)^MAX(0,$C414-$AD$396),IF(DATE($C414,2,15)&gt;=$W$396,$Z$396*(1+($U$396)/100)^MAX(0,$C414-$AC$396),IF(DATE($C414,2,15)&gt;=$V$396,$Y$396*(1+($U$396)/100)^MAX(0,$C414-$AB$396),0)))))</f>
      </c>
      <c r="G414" s="43">
        <f>IF($S$396=0,0,IF(OR(DATE($C414,3,15)&lt;$S$396,AND($T$396&gt;0,DATE($C414,3,15)&gt;$T$396)),0,IF(DATE($C414,3,15)&gt;=$X$396,$AA$396*(1+($U$396)/100)^MAX(0,$C414-$AD$396),IF(DATE($C414,3,15)&gt;=$W$396,$Z$396*(1+($U$396)/100)^MAX(0,$C414-$AC$396),IF(DATE($C414,3,15)&gt;=$V$396,$Y$396*(1+($U$396)/100)^MAX(0,$C414-$AB$396),0)))))</f>
      </c>
      <c r="H414" s="43">
        <f>IF($S$396=0,0,IF(OR(DATE($C414,4,15)&lt;$S$396,AND($T$396&gt;0,DATE($C414,4,15)&gt;$T$396)),0,IF(DATE($C414,4,15)&gt;=$X$396,$AA$396*(1+($U$396)/100)^MAX(0,$C414-$AD$396),IF(DATE($C414,4,15)&gt;=$W$396,$Z$396*(1+($U$396)/100)^MAX(0,$C414-$AC$396),IF(DATE($C414,4,15)&gt;=$V$396,$Y$396*(1+($U$396)/100)^MAX(0,$C414-$AB$396),0)))))</f>
      </c>
      <c r="I414" s="43">
        <f>IF($S$396=0,0,IF(OR(DATE($C414,5,15)&lt;$S$396,AND($T$396&gt;0,DATE($C414,5,15)&gt;$T$396)),0,IF(DATE($C414,5,15)&gt;=$X$396,$AA$396*(1+($U$396)/100)^MAX(0,$C414-$AD$396),IF(DATE($C414,5,15)&gt;=$W$396,$Z$396*(1+($U$396)/100)^MAX(0,$C414-$AC$396),IF(DATE($C414,5,15)&gt;=$V$396,$Y$396*(1+($U$396)/100)^MAX(0,$C414-$AB$396),0)))))</f>
      </c>
      <c r="J414" s="43">
        <f>IF($S$396=0,0,IF(OR(DATE($C414,6,15)&lt;$S$396,AND($T$396&gt;0,DATE($C414,6,15)&gt;$T$396)),0,IF(DATE($C414,6,15)&gt;=$X$396,$AA$396*(1+($U$396)/100)^MAX(0,$C414-$AD$396),IF(DATE($C414,6,15)&gt;=$W$396,$Z$396*(1+($U$396)/100)^MAX(0,$C414-$AC$396),IF(DATE($C414,6,15)&gt;=$V$396,$Y$396*(1+($U$396)/100)^MAX(0,$C414-$AB$396),0)))))</f>
      </c>
      <c r="K414" s="43">
        <f>IF($S$396=0,0,IF(OR(DATE($C414,7,15)&lt;$S$396,AND($T$396&gt;0,DATE($C414,7,15)&gt;$T$396)),0,IF(DATE($C414,7,15)&gt;=$X$396,$AA$396*(1+($U$396)/100)^MAX(0,$C414-$AD$396),IF(DATE($C414,7,15)&gt;=$W$396,$Z$396*(1+($U$396)/100)^MAX(0,$C414-$AC$396),IF(DATE($C414,7,15)&gt;=$V$396,$Y$396*(1+($U$396)/100)^MAX(0,$C414-$AB$396),0)))))</f>
      </c>
      <c r="L414" s="43">
        <f>IF($S$396=0,0,IF(OR(DATE($C414,8,15)&lt;$S$396,AND($T$396&gt;0,DATE($C414,8,15)&gt;$T$396)),0,IF(DATE($C414,8,15)&gt;=$X$396,$AA$396*(1+($U$396)/100)^MAX(0,$C414-$AD$396),IF(DATE($C414,8,15)&gt;=$W$396,$Z$396*(1+($U$396)/100)^MAX(0,$C414-$AC$396),IF(DATE($C414,8,15)&gt;=$V$396,$Y$396*(1+($U$396)/100)^MAX(0,$C414-$AB$396),0)))))</f>
      </c>
      <c r="M414" s="43">
        <f>IF($S$396=0,0,IF(OR(DATE($C414,9,15)&lt;$S$396,AND($T$396&gt;0,DATE($C414,9,15)&gt;$T$396)),0,IF(DATE($C414,9,15)&gt;=$X$396,$AA$396*(1+($U$396)/100)^MAX(0,$C414-$AD$396),IF(DATE($C414,9,15)&gt;=$W$396,$Z$396*(1+($U$396)/100)^MAX(0,$C414-$AC$396),IF(DATE($C414,9,15)&gt;=$V$396,$Y$396*(1+($U$396)/100)^MAX(0,$C414-$AB$396),0)))))</f>
      </c>
      <c r="N414" s="43">
        <f>IF($S$396=0,0,IF(OR(DATE($C414,10,15)&lt;$S$396,AND($T$396&gt;0,DATE($C414,10,15)&gt;$T$396)),0,IF(DATE($C414,10,15)&gt;=$X$396,$AA$396*(1+($U$396)/100)^MAX(0,$C414-$AD$396),IF(DATE($C414,10,15)&gt;=$W$396,$Z$396*(1+($U$396)/100)^MAX(0,$C414-$AC$396),IF(DATE($C414,10,15)&gt;=$V$396,$Y$396*(1+($U$396)/100)^MAX(0,$C414-$AB$396),0)))))</f>
      </c>
      <c r="O414" s="43">
        <f>IF($S$396=0,0,IF(OR(DATE($C414,11,15)&lt;$S$396,AND($T$396&gt;0,DATE($C414,11,15)&gt;$T$396)),0,IF(DATE($C414,11,15)&gt;=$X$396,$AA$396*(1+($U$396)/100)^MAX(0,$C414-$AD$396),IF(DATE($C414,11,15)&gt;=$W$396,$Z$396*(1+($U$396)/100)^MAX(0,$C414-$AC$396),IF(DATE($C414,11,15)&gt;=$V$396,$Y$396*(1+($U$396)/100)^MAX(0,$C414-$AB$396),0)))))</f>
      </c>
      <c r="P414" s="43">
        <f>IF($S$396=0,0,IF(OR(DATE($C414,12,15)&lt;$S$396,AND($T$396&gt;0,DATE($C414,12,15)&gt;$T$396)),0,IF(DATE($C414,12,15)&gt;=$X$396,$AA$396*(1+($U$396)/100)^MAX(0,$C414-$AD$396),IF(DATE($C414,12,15)&gt;=$W$396,$Z$396*(1+($U$396)/100)^MAX(0,$C414-$AC$396),IF(DATE($C414,12,15)&gt;=$V$396,$Y$396*(1+($U$396)/100)^MAX(0,$C414-$AB$396),0)))))</f>
      </c>
      <c r="Q414" s="43">
        <f>SUM($E414:$P414)</f>
      </c>
    </row>
    <row r="415">
      <c r="A415"/>
      <c r="B415">
        <v>13</v>
      </c>
      <c r="C415" s="43">
        <f>Jahr+19</f>
      </c>
      <c r="D415" s="43">
        <f>INDEX(MvObj,13)</f>
      </c>
      <c r="E415" s="43">
        <f>IF($S$396=0,0,IF(OR(DATE($C415,1,15)&lt;$S$396,AND($T$396&gt;0,DATE($C415,1,15)&gt;$T$396)),0,IF(DATE($C415,1,15)&gt;=$X$396,$AA$396*(1+($U$396)/100)^MAX(0,$C415-$AD$396),IF(DATE($C415,1,15)&gt;=$W$396,$Z$396*(1+($U$396)/100)^MAX(0,$C415-$AC$396),IF(DATE($C415,1,15)&gt;=$V$396,$Y$396*(1+($U$396)/100)^MAX(0,$C415-$AB$396),0)))))</f>
      </c>
      <c r="F415" s="43">
        <f>IF($S$396=0,0,IF(OR(DATE($C415,2,15)&lt;$S$396,AND($T$396&gt;0,DATE($C415,2,15)&gt;$T$396)),0,IF(DATE($C415,2,15)&gt;=$X$396,$AA$396*(1+($U$396)/100)^MAX(0,$C415-$AD$396),IF(DATE($C415,2,15)&gt;=$W$396,$Z$396*(1+($U$396)/100)^MAX(0,$C415-$AC$396),IF(DATE($C415,2,15)&gt;=$V$396,$Y$396*(1+($U$396)/100)^MAX(0,$C415-$AB$396),0)))))</f>
      </c>
      <c r="G415" s="43">
        <f>IF($S$396=0,0,IF(OR(DATE($C415,3,15)&lt;$S$396,AND($T$396&gt;0,DATE($C415,3,15)&gt;$T$396)),0,IF(DATE($C415,3,15)&gt;=$X$396,$AA$396*(1+($U$396)/100)^MAX(0,$C415-$AD$396),IF(DATE($C415,3,15)&gt;=$W$396,$Z$396*(1+($U$396)/100)^MAX(0,$C415-$AC$396),IF(DATE($C415,3,15)&gt;=$V$396,$Y$396*(1+($U$396)/100)^MAX(0,$C415-$AB$396),0)))))</f>
      </c>
      <c r="H415" s="43">
        <f>IF($S$396=0,0,IF(OR(DATE($C415,4,15)&lt;$S$396,AND($T$396&gt;0,DATE($C415,4,15)&gt;$T$396)),0,IF(DATE($C415,4,15)&gt;=$X$396,$AA$396*(1+($U$396)/100)^MAX(0,$C415-$AD$396),IF(DATE($C415,4,15)&gt;=$W$396,$Z$396*(1+($U$396)/100)^MAX(0,$C415-$AC$396),IF(DATE($C415,4,15)&gt;=$V$396,$Y$396*(1+($U$396)/100)^MAX(0,$C415-$AB$396),0)))))</f>
      </c>
      <c r="I415" s="43">
        <f>IF($S$396=0,0,IF(OR(DATE($C415,5,15)&lt;$S$396,AND($T$396&gt;0,DATE($C415,5,15)&gt;$T$396)),0,IF(DATE($C415,5,15)&gt;=$X$396,$AA$396*(1+($U$396)/100)^MAX(0,$C415-$AD$396),IF(DATE($C415,5,15)&gt;=$W$396,$Z$396*(1+($U$396)/100)^MAX(0,$C415-$AC$396),IF(DATE($C415,5,15)&gt;=$V$396,$Y$396*(1+($U$396)/100)^MAX(0,$C415-$AB$396),0)))))</f>
      </c>
      <c r="J415" s="43">
        <f>IF($S$396=0,0,IF(OR(DATE($C415,6,15)&lt;$S$396,AND($T$396&gt;0,DATE($C415,6,15)&gt;$T$396)),0,IF(DATE($C415,6,15)&gt;=$X$396,$AA$396*(1+($U$396)/100)^MAX(0,$C415-$AD$396),IF(DATE($C415,6,15)&gt;=$W$396,$Z$396*(1+($U$396)/100)^MAX(0,$C415-$AC$396),IF(DATE($C415,6,15)&gt;=$V$396,$Y$396*(1+($U$396)/100)^MAX(0,$C415-$AB$396),0)))))</f>
      </c>
      <c r="K415" s="43">
        <f>IF($S$396=0,0,IF(OR(DATE($C415,7,15)&lt;$S$396,AND($T$396&gt;0,DATE($C415,7,15)&gt;$T$396)),0,IF(DATE($C415,7,15)&gt;=$X$396,$AA$396*(1+($U$396)/100)^MAX(0,$C415-$AD$396),IF(DATE($C415,7,15)&gt;=$W$396,$Z$396*(1+($U$396)/100)^MAX(0,$C415-$AC$396),IF(DATE($C415,7,15)&gt;=$V$396,$Y$396*(1+($U$396)/100)^MAX(0,$C415-$AB$396),0)))))</f>
      </c>
      <c r="L415" s="43">
        <f>IF($S$396=0,0,IF(OR(DATE($C415,8,15)&lt;$S$396,AND($T$396&gt;0,DATE($C415,8,15)&gt;$T$396)),0,IF(DATE($C415,8,15)&gt;=$X$396,$AA$396*(1+($U$396)/100)^MAX(0,$C415-$AD$396),IF(DATE($C415,8,15)&gt;=$W$396,$Z$396*(1+($U$396)/100)^MAX(0,$C415-$AC$396),IF(DATE($C415,8,15)&gt;=$V$396,$Y$396*(1+($U$396)/100)^MAX(0,$C415-$AB$396),0)))))</f>
      </c>
      <c r="M415" s="43">
        <f>IF($S$396=0,0,IF(OR(DATE($C415,9,15)&lt;$S$396,AND($T$396&gt;0,DATE($C415,9,15)&gt;$T$396)),0,IF(DATE($C415,9,15)&gt;=$X$396,$AA$396*(1+($U$396)/100)^MAX(0,$C415-$AD$396),IF(DATE($C415,9,15)&gt;=$W$396,$Z$396*(1+($U$396)/100)^MAX(0,$C415-$AC$396),IF(DATE($C415,9,15)&gt;=$V$396,$Y$396*(1+($U$396)/100)^MAX(0,$C415-$AB$396),0)))))</f>
      </c>
      <c r="N415" s="43">
        <f>IF($S$396=0,0,IF(OR(DATE($C415,10,15)&lt;$S$396,AND($T$396&gt;0,DATE($C415,10,15)&gt;$T$396)),0,IF(DATE($C415,10,15)&gt;=$X$396,$AA$396*(1+($U$396)/100)^MAX(0,$C415-$AD$396),IF(DATE($C415,10,15)&gt;=$W$396,$Z$396*(1+($U$396)/100)^MAX(0,$C415-$AC$396),IF(DATE($C415,10,15)&gt;=$V$396,$Y$396*(1+($U$396)/100)^MAX(0,$C415-$AB$396),0)))))</f>
      </c>
      <c r="O415" s="43">
        <f>IF($S$396=0,0,IF(OR(DATE($C415,11,15)&lt;$S$396,AND($T$396&gt;0,DATE($C415,11,15)&gt;$T$396)),0,IF(DATE($C415,11,15)&gt;=$X$396,$AA$396*(1+($U$396)/100)^MAX(0,$C415-$AD$396),IF(DATE($C415,11,15)&gt;=$W$396,$Z$396*(1+($U$396)/100)^MAX(0,$C415-$AC$396),IF(DATE($C415,11,15)&gt;=$V$396,$Y$396*(1+($U$396)/100)^MAX(0,$C415-$AB$396),0)))))</f>
      </c>
      <c r="P415" s="43">
        <f>IF($S$396=0,0,IF(OR(DATE($C415,12,15)&lt;$S$396,AND($T$396&gt;0,DATE($C415,12,15)&gt;$T$396)),0,IF(DATE($C415,12,15)&gt;=$X$396,$AA$396*(1+($U$396)/100)^MAX(0,$C415-$AD$396),IF(DATE($C415,12,15)&gt;=$W$396,$Z$396*(1+($U$396)/100)^MAX(0,$C415-$AC$396),IF(DATE($C415,12,15)&gt;=$V$396,$Y$396*(1+($U$396)/100)^MAX(0,$C415-$AB$396),0)))))</f>
      </c>
      <c r="Q415" s="43">
        <f>SUM($E415:$P415)</f>
      </c>
    </row>
    <row r="416">
      <c r="A416"/>
      <c r="B416">
        <v>13</v>
      </c>
      <c r="C416" s="43">
        <f>Jahr+20</f>
      </c>
      <c r="D416" s="43">
        <f>INDEX(MvObj,13)</f>
      </c>
      <c r="E416" s="43">
        <f>IF($S$396=0,0,IF(OR(DATE($C416,1,15)&lt;$S$396,AND($T$396&gt;0,DATE($C416,1,15)&gt;$T$396)),0,IF(DATE($C416,1,15)&gt;=$X$396,$AA$396*(1+($U$396)/100)^MAX(0,$C416-$AD$396),IF(DATE($C416,1,15)&gt;=$W$396,$Z$396*(1+($U$396)/100)^MAX(0,$C416-$AC$396),IF(DATE($C416,1,15)&gt;=$V$396,$Y$396*(1+($U$396)/100)^MAX(0,$C416-$AB$396),0)))))</f>
      </c>
      <c r="F416" s="43">
        <f>IF($S$396=0,0,IF(OR(DATE($C416,2,15)&lt;$S$396,AND($T$396&gt;0,DATE($C416,2,15)&gt;$T$396)),0,IF(DATE($C416,2,15)&gt;=$X$396,$AA$396*(1+($U$396)/100)^MAX(0,$C416-$AD$396),IF(DATE($C416,2,15)&gt;=$W$396,$Z$396*(1+($U$396)/100)^MAX(0,$C416-$AC$396),IF(DATE($C416,2,15)&gt;=$V$396,$Y$396*(1+($U$396)/100)^MAX(0,$C416-$AB$396),0)))))</f>
      </c>
      <c r="G416" s="43">
        <f>IF($S$396=0,0,IF(OR(DATE($C416,3,15)&lt;$S$396,AND($T$396&gt;0,DATE($C416,3,15)&gt;$T$396)),0,IF(DATE($C416,3,15)&gt;=$X$396,$AA$396*(1+($U$396)/100)^MAX(0,$C416-$AD$396),IF(DATE($C416,3,15)&gt;=$W$396,$Z$396*(1+($U$396)/100)^MAX(0,$C416-$AC$396),IF(DATE($C416,3,15)&gt;=$V$396,$Y$396*(1+($U$396)/100)^MAX(0,$C416-$AB$396),0)))))</f>
      </c>
      <c r="H416" s="43">
        <f>IF($S$396=0,0,IF(OR(DATE($C416,4,15)&lt;$S$396,AND($T$396&gt;0,DATE($C416,4,15)&gt;$T$396)),0,IF(DATE($C416,4,15)&gt;=$X$396,$AA$396*(1+($U$396)/100)^MAX(0,$C416-$AD$396),IF(DATE($C416,4,15)&gt;=$W$396,$Z$396*(1+($U$396)/100)^MAX(0,$C416-$AC$396),IF(DATE($C416,4,15)&gt;=$V$396,$Y$396*(1+($U$396)/100)^MAX(0,$C416-$AB$396),0)))))</f>
      </c>
      <c r="I416" s="43">
        <f>IF($S$396=0,0,IF(OR(DATE($C416,5,15)&lt;$S$396,AND($T$396&gt;0,DATE($C416,5,15)&gt;$T$396)),0,IF(DATE($C416,5,15)&gt;=$X$396,$AA$396*(1+($U$396)/100)^MAX(0,$C416-$AD$396),IF(DATE($C416,5,15)&gt;=$W$396,$Z$396*(1+($U$396)/100)^MAX(0,$C416-$AC$396),IF(DATE($C416,5,15)&gt;=$V$396,$Y$396*(1+($U$396)/100)^MAX(0,$C416-$AB$396),0)))))</f>
      </c>
      <c r="J416" s="43">
        <f>IF($S$396=0,0,IF(OR(DATE($C416,6,15)&lt;$S$396,AND($T$396&gt;0,DATE($C416,6,15)&gt;$T$396)),0,IF(DATE($C416,6,15)&gt;=$X$396,$AA$396*(1+($U$396)/100)^MAX(0,$C416-$AD$396),IF(DATE($C416,6,15)&gt;=$W$396,$Z$396*(1+($U$396)/100)^MAX(0,$C416-$AC$396),IF(DATE($C416,6,15)&gt;=$V$396,$Y$396*(1+($U$396)/100)^MAX(0,$C416-$AB$396),0)))))</f>
      </c>
      <c r="K416" s="43">
        <f>IF($S$396=0,0,IF(OR(DATE($C416,7,15)&lt;$S$396,AND($T$396&gt;0,DATE($C416,7,15)&gt;$T$396)),0,IF(DATE($C416,7,15)&gt;=$X$396,$AA$396*(1+($U$396)/100)^MAX(0,$C416-$AD$396),IF(DATE($C416,7,15)&gt;=$W$396,$Z$396*(1+($U$396)/100)^MAX(0,$C416-$AC$396),IF(DATE($C416,7,15)&gt;=$V$396,$Y$396*(1+($U$396)/100)^MAX(0,$C416-$AB$396),0)))))</f>
      </c>
      <c r="L416" s="43">
        <f>IF($S$396=0,0,IF(OR(DATE($C416,8,15)&lt;$S$396,AND($T$396&gt;0,DATE($C416,8,15)&gt;$T$396)),0,IF(DATE($C416,8,15)&gt;=$X$396,$AA$396*(1+($U$396)/100)^MAX(0,$C416-$AD$396),IF(DATE($C416,8,15)&gt;=$W$396,$Z$396*(1+($U$396)/100)^MAX(0,$C416-$AC$396),IF(DATE($C416,8,15)&gt;=$V$396,$Y$396*(1+($U$396)/100)^MAX(0,$C416-$AB$396),0)))))</f>
      </c>
      <c r="M416" s="43">
        <f>IF($S$396=0,0,IF(OR(DATE($C416,9,15)&lt;$S$396,AND($T$396&gt;0,DATE($C416,9,15)&gt;$T$396)),0,IF(DATE($C416,9,15)&gt;=$X$396,$AA$396*(1+($U$396)/100)^MAX(0,$C416-$AD$396),IF(DATE($C416,9,15)&gt;=$W$396,$Z$396*(1+($U$396)/100)^MAX(0,$C416-$AC$396),IF(DATE($C416,9,15)&gt;=$V$396,$Y$396*(1+($U$396)/100)^MAX(0,$C416-$AB$396),0)))))</f>
      </c>
      <c r="N416" s="43">
        <f>IF($S$396=0,0,IF(OR(DATE($C416,10,15)&lt;$S$396,AND($T$396&gt;0,DATE($C416,10,15)&gt;$T$396)),0,IF(DATE($C416,10,15)&gt;=$X$396,$AA$396*(1+($U$396)/100)^MAX(0,$C416-$AD$396),IF(DATE($C416,10,15)&gt;=$W$396,$Z$396*(1+($U$396)/100)^MAX(0,$C416-$AC$396),IF(DATE($C416,10,15)&gt;=$V$396,$Y$396*(1+($U$396)/100)^MAX(0,$C416-$AB$396),0)))))</f>
      </c>
      <c r="O416" s="43">
        <f>IF($S$396=0,0,IF(OR(DATE($C416,11,15)&lt;$S$396,AND($T$396&gt;0,DATE($C416,11,15)&gt;$T$396)),0,IF(DATE($C416,11,15)&gt;=$X$396,$AA$396*(1+($U$396)/100)^MAX(0,$C416-$AD$396),IF(DATE($C416,11,15)&gt;=$W$396,$Z$396*(1+($U$396)/100)^MAX(0,$C416-$AC$396),IF(DATE($C416,11,15)&gt;=$V$396,$Y$396*(1+($U$396)/100)^MAX(0,$C416-$AB$396),0)))))</f>
      </c>
      <c r="P416" s="43">
        <f>IF($S$396=0,0,IF(OR(DATE($C416,12,15)&lt;$S$396,AND($T$396&gt;0,DATE($C416,12,15)&gt;$T$396)),0,IF(DATE($C416,12,15)&gt;=$X$396,$AA$396*(1+($U$396)/100)^MAX(0,$C416-$AD$396),IF(DATE($C416,12,15)&gt;=$W$396,$Z$396*(1+($U$396)/100)^MAX(0,$C416-$AC$396),IF(DATE($C416,12,15)&gt;=$V$396,$Y$396*(1+($U$396)/100)^MAX(0,$C416-$AB$396),0)))))</f>
      </c>
      <c r="Q416" s="43">
        <f>SUM($E416:$P416)</f>
      </c>
    </row>
    <row r="417">
      <c r="A417"/>
      <c r="B417">
        <v>13</v>
      </c>
      <c r="C417" s="43">
        <f>Jahr+21</f>
      </c>
      <c r="D417" s="43">
        <f>INDEX(MvObj,13)</f>
      </c>
      <c r="E417" s="43">
        <f>IF($S$396=0,0,IF(OR(DATE($C417,1,15)&lt;$S$396,AND($T$396&gt;0,DATE($C417,1,15)&gt;$T$396)),0,IF(DATE($C417,1,15)&gt;=$X$396,$AA$396*(1+($U$396)/100)^MAX(0,$C417-$AD$396),IF(DATE($C417,1,15)&gt;=$W$396,$Z$396*(1+($U$396)/100)^MAX(0,$C417-$AC$396),IF(DATE($C417,1,15)&gt;=$V$396,$Y$396*(1+($U$396)/100)^MAX(0,$C417-$AB$396),0)))))</f>
      </c>
      <c r="F417" s="43">
        <f>IF($S$396=0,0,IF(OR(DATE($C417,2,15)&lt;$S$396,AND($T$396&gt;0,DATE($C417,2,15)&gt;$T$396)),0,IF(DATE($C417,2,15)&gt;=$X$396,$AA$396*(1+($U$396)/100)^MAX(0,$C417-$AD$396),IF(DATE($C417,2,15)&gt;=$W$396,$Z$396*(1+($U$396)/100)^MAX(0,$C417-$AC$396),IF(DATE($C417,2,15)&gt;=$V$396,$Y$396*(1+($U$396)/100)^MAX(0,$C417-$AB$396),0)))))</f>
      </c>
      <c r="G417" s="43">
        <f>IF($S$396=0,0,IF(OR(DATE($C417,3,15)&lt;$S$396,AND($T$396&gt;0,DATE($C417,3,15)&gt;$T$396)),0,IF(DATE($C417,3,15)&gt;=$X$396,$AA$396*(1+($U$396)/100)^MAX(0,$C417-$AD$396),IF(DATE($C417,3,15)&gt;=$W$396,$Z$396*(1+($U$396)/100)^MAX(0,$C417-$AC$396),IF(DATE($C417,3,15)&gt;=$V$396,$Y$396*(1+($U$396)/100)^MAX(0,$C417-$AB$396),0)))))</f>
      </c>
      <c r="H417" s="43">
        <f>IF($S$396=0,0,IF(OR(DATE($C417,4,15)&lt;$S$396,AND($T$396&gt;0,DATE($C417,4,15)&gt;$T$396)),0,IF(DATE($C417,4,15)&gt;=$X$396,$AA$396*(1+($U$396)/100)^MAX(0,$C417-$AD$396),IF(DATE($C417,4,15)&gt;=$W$396,$Z$396*(1+($U$396)/100)^MAX(0,$C417-$AC$396),IF(DATE($C417,4,15)&gt;=$V$396,$Y$396*(1+($U$396)/100)^MAX(0,$C417-$AB$396),0)))))</f>
      </c>
      <c r="I417" s="43">
        <f>IF($S$396=0,0,IF(OR(DATE($C417,5,15)&lt;$S$396,AND($T$396&gt;0,DATE($C417,5,15)&gt;$T$396)),0,IF(DATE($C417,5,15)&gt;=$X$396,$AA$396*(1+($U$396)/100)^MAX(0,$C417-$AD$396),IF(DATE($C417,5,15)&gt;=$W$396,$Z$396*(1+($U$396)/100)^MAX(0,$C417-$AC$396),IF(DATE($C417,5,15)&gt;=$V$396,$Y$396*(1+($U$396)/100)^MAX(0,$C417-$AB$396),0)))))</f>
      </c>
      <c r="J417" s="43">
        <f>IF($S$396=0,0,IF(OR(DATE($C417,6,15)&lt;$S$396,AND($T$396&gt;0,DATE($C417,6,15)&gt;$T$396)),0,IF(DATE($C417,6,15)&gt;=$X$396,$AA$396*(1+($U$396)/100)^MAX(0,$C417-$AD$396),IF(DATE($C417,6,15)&gt;=$W$396,$Z$396*(1+($U$396)/100)^MAX(0,$C417-$AC$396),IF(DATE($C417,6,15)&gt;=$V$396,$Y$396*(1+($U$396)/100)^MAX(0,$C417-$AB$396),0)))))</f>
      </c>
      <c r="K417" s="43">
        <f>IF($S$396=0,0,IF(OR(DATE($C417,7,15)&lt;$S$396,AND($T$396&gt;0,DATE($C417,7,15)&gt;$T$396)),0,IF(DATE($C417,7,15)&gt;=$X$396,$AA$396*(1+($U$396)/100)^MAX(0,$C417-$AD$396),IF(DATE($C417,7,15)&gt;=$W$396,$Z$396*(1+($U$396)/100)^MAX(0,$C417-$AC$396),IF(DATE($C417,7,15)&gt;=$V$396,$Y$396*(1+($U$396)/100)^MAX(0,$C417-$AB$396),0)))))</f>
      </c>
      <c r="L417" s="43">
        <f>IF($S$396=0,0,IF(OR(DATE($C417,8,15)&lt;$S$396,AND($T$396&gt;0,DATE($C417,8,15)&gt;$T$396)),0,IF(DATE($C417,8,15)&gt;=$X$396,$AA$396*(1+($U$396)/100)^MAX(0,$C417-$AD$396),IF(DATE($C417,8,15)&gt;=$W$396,$Z$396*(1+($U$396)/100)^MAX(0,$C417-$AC$396),IF(DATE($C417,8,15)&gt;=$V$396,$Y$396*(1+($U$396)/100)^MAX(0,$C417-$AB$396),0)))))</f>
      </c>
      <c r="M417" s="43">
        <f>IF($S$396=0,0,IF(OR(DATE($C417,9,15)&lt;$S$396,AND($T$396&gt;0,DATE($C417,9,15)&gt;$T$396)),0,IF(DATE($C417,9,15)&gt;=$X$396,$AA$396*(1+($U$396)/100)^MAX(0,$C417-$AD$396),IF(DATE($C417,9,15)&gt;=$W$396,$Z$396*(1+($U$396)/100)^MAX(0,$C417-$AC$396),IF(DATE($C417,9,15)&gt;=$V$396,$Y$396*(1+($U$396)/100)^MAX(0,$C417-$AB$396),0)))))</f>
      </c>
      <c r="N417" s="43">
        <f>IF($S$396=0,0,IF(OR(DATE($C417,10,15)&lt;$S$396,AND($T$396&gt;0,DATE($C417,10,15)&gt;$T$396)),0,IF(DATE($C417,10,15)&gt;=$X$396,$AA$396*(1+($U$396)/100)^MAX(0,$C417-$AD$396),IF(DATE($C417,10,15)&gt;=$W$396,$Z$396*(1+($U$396)/100)^MAX(0,$C417-$AC$396),IF(DATE($C417,10,15)&gt;=$V$396,$Y$396*(1+($U$396)/100)^MAX(0,$C417-$AB$396),0)))))</f>
      </c>
      <c r="O417" s="43">
        <f>IF($S$396=0,0,IF(OR(DATE($C417,11,15)&lt;$S$396,AND($T$396&gt;0,DATE($C417,11,15)&gt;$T$396)),0,IF(DATE($C417,11,15)&gt;=$X$396,$AA$396*(1+($U$396)/100)^MAX(0,$C417-$AD$396),IF(DATE($C417,11,15)&gt;=$W$396,$Z$396*(1+($U$396)/100)^MAX(0,$C417-$AC$396),IF(DATE($C417,11,15)&gt;=$V$396,$Y$396*(1+($U$396)/100)^MAX(0,$C417-$AB$396),0)))))</f>
      </c>
      <c r="P417" s="43">
        <f>IF($S$396=0,0,IF(OR(DATE($C417,12,15)&lt;$S$396,AND($T$396&gt;0,DATE($C417,12,15)&gt;$T$396)),0,IF(DATE($C417,12,15)&gt;=$X$396,$AA$396*(1+($U$396)/100)^MAX(0,$C417-$AD$396),IF(DATE($C417,12,15)&gt;=$W$396,$Z$396*(1+($U$396)/100)^MAX(0,$C417-$AC$396),IF(DATE($C417,12,15)&gt;=$V$396,$Y$396*(1+($U$396)/100)^MAX(0,$C417-$AB$396),0)))))</f>
      </c>
      <c r="Q417" s="43">
        <f>SUM($E417:$P417)</f>
      </c>
    </row>
    <row r="418">
      <c r="A418"/>
      <c r="B418">
        <v>13</v>
      </c>
      <c r="C418" s="43">
        <f>Jahr+22</f>
      </c>
      <c r="D418" s="43">
        <f>INDEX(MvObj,13)</f>
      </c>
      <c r="E418" s="43">
        <f>IF($S$396=0,0,IF(OR(DATE($C418,1,15)&lt;$S$396,AND($T$396&gt;0,DATE($C418,1,15)&gt;$T$396)),0,IF(DATE($C418,1,15)&gt;=$X$396,$AA$396*(1+($U$396)/100)^MAX(0,$C418-$AD$396),IF(DATE($C418,1,15)&gt;=$W$396,$Z$396*(1+($U$396)/100)^MAX(0,$C418-$AC$396),IF(DATE($C418,1,15)&gt;=$V$396,$Y$396*(1+($U$396)/100)^MAX(0,$C418-$AB$396),0)))))</f>
      </c>
      <c r="F418" s="43">
        <f>IF($S$396=0,0,IF(OR(DATE($C418,2,15)&lt;$S$396,AND($T$396&gt;0,DATE($C418,2,15)&gt;$T$396)),0,IF(DATE($C418,2,15)&gt;=$X$396,$AA$396*(1+($U$396)/100)^MAX(0,$C418-$AD$396),IF(DATE($C418,2,15)&gt;=$W$396,$Z$396*(1+($U$396)/100)^MAX(0,$C418-$AC$396),IF(DATE($C418,2,15)&gt;=$V$396,$Y$396*(1+($U$396)/100)^MAX(0,$C418-$AB$396),0)))))</f>
      </c>
      <c r="G418" s="43">
        <f>IF($S$396=0,0,IF(OR(DATE($C418,3,15)&lt;$S$396,AND($T$396&gt;0,DATE($C418,3,15)&gt;$T$396)),0,IF(DATE($C418,3,15)&gt;=$X$396,$AA$396*(1+($U$396)/100)^MAX(0,$C418-$AD$396),IF(DATE($C418,3,15)&gt;=$W$396,$Z$396*(1+($U$396)/100)^MAX(0,$C418-$AC$396),IF(DATE($C418,3,15)&gt;=$V$396,$Y$396*(1+($U$396)/100)^MAX(0,$C418-$AB$396),0)))))</f>
      </c>
      <c r="H418" s="43">
        <f>IF($S$396=0,0,IF(OR(DATE($C418,4,15)&lt;$S$396,AND($T$396&gt;0,DATE($C418,4,15)&gt;$T$396)),0,IF(DATE($C418,4,15)&gt;=$X$396,$AA$396*(1+($U$396)/100)^MAX(0,$C418-$AD$396),IF(DATE($C418,4,15)&gt;=$W$396,$Z$396*(1+($U$396)/100)^MAX(0,$C418-$AC$396),IF(DATE($C418,4,15)&gt;=$V$396,$Y$396*(1+($U$396)/100)^MAX(0,$C418-$AB$396),0)))))</f>
      </c>
      <c r="I418" s="43">
        <f>IF($S$396=0,0,IF(OR(DATE($C418,5,15)&lt;$S$396,AND($T$396&gt;0,DATE($C418,5,15)&gt;$T$396)),0,IF(DATE($C418,5,15)&gt;=$X$396,$AA$396*(1+($U$396)/100)^MAX(0,$C418-$AD$396),IF(DATE($C418,5,15)&gt;=$W$396,$Z$396*(1+($U$396)/100)^MAX(0,$C418-$AC$396),IF(DATE($C418,5,15)&gt;=$V$396,$Y$396*(1+($U$396)/100)^MAX(0,$C418-$AB$396),0)))))</f>
      </c>
      <c r="J418" s="43">
        <f>IF($S$396=0,0,IF(OR(DATE($C418,6,15)&lt;$S$396,AND($T$396&gt;0,DATE($C418,6,15)&gt;$T$396)),0,IF(DATE($C418,6,15)&gt;=$X$396,$AA$396*(1+($U$396)/100)^MAX(0,$C418-$AD$396),IF(DATE($C418,6,15)&gt;=$W$396,$Z$396*(1+($U$396)/100)^MAX(0,$C418-$AC$396),IF(DATE($C418,6,15)&gt;=$V$396,$Y$396*(1+($U$396)/100)^MAX(0,$C418-$AB$396),0)))))</f>
      </c>
      <c r="K418" s="43">
        <f>IF($S$396=0,0,IF(OR(DATE($C418,7,15)&lt;$S$396,AND($T$396&gt;0,DATE($C418,7,15)&gt;$T$396)),0,IF(DATE($C418,7,15)&gt;=$X$396,$AA$396*(1+($U$396)/100)^MAX(0,$C418-$AD$396),IF(DATE($C418,7,15)&gt;=$W$396,$Z$396*(1+($U$396)/100)^MAX(0,$C418-$AC$396),IF(DATE($C418,7,15)&gt;=$V$396,$Y$396*(1+($U$396)/100)^MAX(0,$C418-$AB$396),0)))))</f>
      </c>
      <c r="L418" s="43">
        <f>IF($S$396=0,0,IF(OR(DATE($C418,8,15)&lt;$S$396,AND($T$396&gt;0,DATE($C418,8,15)&gt;$T$396)),0,IF(DATE($C418,8,15)&gt;=$X$396,$AA$396*(1+($U$396)/100)^MAX(0,$C418-$AD$396),IF(DATE($C418,8,15)&gt;=$W$396,$Z$396*(1+($U$396)/100)^MAX(0,$C418-$AC$396),IF(DATE($C418,8,15)&gt;=$V$396,$Y$396*(1+($U$396)/100)^MAX(0,$C418-$AB$396),0)))))</f>
      </c>
      <c r="M418" s="43">
        <f>IF($S$396=0,0,IF(OR(DATE($C418,9,15)&lt;$S$396,AND($T$396&gt;0,DATE($C418,9,15)&gt;$T$396)),0,IF(DATE($C418,9,15)&gt;=$X$396,$AA$396*(1+($U$396)/100)^MAX(0,$C418-$AD$396),IF(DATE($C418,9,15)&gt;=$W$396,$Z$396*(1+($U$396)/100)^MAX(0,$C418-$AC$396),IF(DATE($C418,9,15)&gt;=$V$396,$Y$396*(1+($U$396)/100)^MAX(0,$C418-$AB$396),0)))))</f>
      </c>
      <c r="N418" s="43">
        <f>IF($S$396=0,0,IF(OR(DATE($C418,10,15)&lt;$S$396,AND($T$396&gt;0,DATE($C418,10,15)&gt;$T$396)),0,IF(DATE($C418,10,15)&gt;=$X$396,$AA$396*(1+($U$396)/100)^MAX(0,$C418-$AD$396),IF(DATE($C418,10,15)&gt;=$W$396,$Z$396*(1+($U$396)/100)^MAX(0,$C418-$AC$396),IF(DATE($C418,10,15)&gt;=$V$396,$Y$396*(1+($U$396)/100)^MAX(0,$C418-$AB$396),0)))))</f>
      </c>
      <c r="O418" s="43">
        <f>IF($S$396=0,0,IF(OR(DATE($C418,11,15)&lt;$S$396,AND($T$396&gt;0,DATE($C418,11,15)&gt;$T$396)),0,IF(DATE($C418,11,15)&gt;=$X$396,$AA$396*(1+($U$396)/100)^MAX(0,$C418-$AD$396),IF(DATE($C418,11,15)&gt;=$W$396,$Z$396*(1+($U$396)/100)^MAX(0,$C418-$AC$396),IF(DATE($C418,11,15)&gt;=$V$396,$Y$396*(1+($U$396)/100)^MAX(0,$C418-$AB$396),0)))))</f>
      </c>
      <c r="P418" s="43">
        <f>IF($S$396=0,0,IF(OR(DATE($C418,12,15)&lt;$S$396,AND($T$396&gt;0,DATE($C418,12,15)&gt;$T$396)),0,IF(DATE($C418,12,15)&gt;=$X$396,$AA$396*(1+($U$396)/100)^MAX(0,$C418-$AD$396),IF(DATE($C418,12,15)&gt;=$W$396,$Z$396*(1+($U$396)/100)^MAX(0,$C418-$AC$396),IF(DATE($C418,12,15)&gt;=$V$396,$Y$396*(1+($U$396)/100)^MAX(0,$C418-$AB$396),0)))))</f>
      </c>
      <c r="Q418" s="43">
        <f>SUM($E418:$P418)</f>
      </c>
    </row>
    <row r="419">
      <c r="A419"/>
      <c r="B419">
        <v>13</v>
      </c>
      <c r="C419" s="43">
        <f>Jahr+23</f>
      </c>
      <c r="D419" s="43">
        <f>INDEX(MvObj,13)</f>
      </c>
      <c r="E419" s="43">
        <f>IF($S$396=0,0,IF(OR(DATE($C419,1,15)&lt;$S$396,AND($T$396&gt;0,DATE($C419,1,15)&gt;$T$396)),0,IF(DATE($C419,1,15)&gt;=$X$396,$AA$396*(1+($U$396)/100)^MAX(0,$C419-$AD$396),IF(DATE($C419,1,15)&gt;=$W$396,$Z$396*(1+($U$396)/100)^MAX(0,$C419-$AC$396),IF(DATE($C419,1,15)&gt;=$V$396,$Y$396*(1+($U$396)/100)^MAX(0,$C419-$AB$396),0)))))</f>
      </c>
      <c r="F419" s="43">
        <f>IF($S$396=0,0,IF(OR(DATE($C419,2,15)&lt;$S$396,AND($T$396&gt;0,DATE($C419,2,15)&gt;$T$396)),0,IF(DATE($C419,2,15)&gt;=$X$396,$AA$396*(1+($U$396)/100)^MAX(0,$C419-$AD$396),IF(DATE($C419,2,15)&gt;=$W$396,$Z$396*(1+($U$396)/100)^MAX(0,$C419-$AC$396),IF(DATE($C419,2,15)&gt;=$V$396,$Y$396*(1+($U$396)/100)^MAX(0,$C419-$AB$396),0)))))</f>
      </c>
      <c r="G419" s="43">
        <f>IF($S$396=0,0,IF(OR(DATE($C419,3,15)&lt;$S$396,AND($T$396&gt;0,DATE($C419,3,15)&gt;$T$396)),0,IF(DATE($C419,3,15)&gt;=$X$396,$AA$396*(1+($U$396)/100)^MAX(0,$C419-$AD$396),IF(DATE($C419,3,15)&gt;=$W$396,$Z$396*(1+($U$396)/100)^MAX(0,$C419-$AC$396),IF(DATE($C419,3,15)&gt;=$V$396,$Y$396*(1+($U$396)/100)^MAX(0,$C419-$AB$396),0)))))</f>
      </c>
      <c r="H419" s="43">
        <f>IF($S$396=0,0,IF(OR(DATE($C419,4,15)&lt;$S$396,AND($T$396&gt;0,DATE($C419,4,15)&gt;$T$396)),0,IF(DATE($C419,4,15)&gt;=$X$396,$AA$396*(1+($U$396)/100)^MAX(0,$C419-$AD$396),IF(DATE($C419,4,15)&gt;=$W$396,$Z$396*(1+($U$396)/100)^MAX(0,$C419-$AC$396),IF(DATE($C419,4,15)&gt;=$V$396,$Y$396*(1+($U$396)/100)^MAX(0,$C419-$AB$396),0)))))</f>
      </c>
      <c r="I419" s="43">
        <f>IF($S$396=0,0,IF(OR(DATE($C419,5,15)&lt;$S$396,AND($T$396&gt;0,DATE($C419,5,15)&gt;$T$396)),0,IF(DATE($C419,5,15)&gt;=$X$396,$AA$396*(1+($U$396)/100)^MAX(0,$C419-$AD$396),IF(DATE($C419,5,15)&gt;=$W$396,$Z$396*(1+($U$396)/100)^MAX(0,$C419-$AC$396),IF(DATE($C419,5,15)&gt;=$V$396,$Y$396*(1+($U$396)/100)^MAX(0,$C419-$AB$396),0)))))</f>
      </c>
      <c r="J419" s="43">
        <f>IF($S$396=0,0,IF(OR(DATE($C419,6,15)&lt;$S$396,AND($T$396&gt;0,DATE($C419,6,15)&gt;$T$396)),0,IF(DATE($C419,6,15)&gt;=$X$396,$AA$396*(1+($U$396)/100)^MAX(0,$C419-$AD$396),IF(DATE($C419,6,15)&gt;=$W$396,$Z$396*(1+($U$396)/100)^MAX(0,$C419-$AC$396),IF(DATE($C419,6,15)&gt;=$V$396,$Y$396*(1+($U$396)/100)^MAX(0,$C419-$AB$396),0)))))</f>
      </c>
      <c r="K419" s="43">
        <f>IF($S$396=0,0,IF(OR(DATE($C419,7,15)&lt;$S$396,AND($T$396&gt;0,DATE($C419,7,15)&gt;$T$396)),0,IF(DATE($C419,7,15)&gt;=$X$396,$AA$396*(1+($U$396)/100)^MAX(0,$C419-$AD$396),IF(DATE($C419,7,15)&gt;=$W$396,$Z$396*(1+($U$396)/100)^MAX(0,$C419-$AC$396),IF(DATE($C419,7,15)&gt;=$V$396,$Y$396*(1+($U$396)/100)^MAX(0,$C419-$AB$396),0)))))</f>
      </c>
      <c r="L419" s="43">
        <f>IF($S$396=0,0,IF(OR(DATE($C419,8,15)&lt;$S$396,AND($T$396&gt;0,DATE($C419,8,15)&gt;$T$396)),0,IF(DATE($C419,8,15)&gt;=$X$396,$AA$396*(1+($U$396)/100)^MAX(0,$C419-$AD$396),IF(DATE($C419,8,15)&gt;=$W$396,$Z$396*(1+($U$396)/100)^MAX(0,$C419-$AC$396),IF(DATE($C419,8,15)&gt;=$V$396,$Y$396*(1+($U$396)/100)^MAX(0,$C419-$AB$396),0)))))</f>
      </c>
      <c r="M419" s="43">
        <f>IF($S$396=0,0,IF(OR(DATE($C419,9,15)&lt;$S$396,AND($T$396&gt;0,DATE($C419,9,15)&gt;$T$396)),0,IF(DATE($C419,9,15)&gt;=$X$396,$AA$396*(1+($U$396)/100)^MAX(0,$C419-$AD$396),IF(DATE($C419,9,15)&gt;=$W$396,$Z$396*(1+($U$396)/100)^MAX(0,$C419-$AC$396),IF(DATE($C419,9,15)&gt;=$V$396,$Y$396*(1+($U$396)/100)^MAX(0,$C419-$AB$396),0)))))</f>
      </c>
      <c r="N419" s="43">
        <f>IF($S$396=0,0,IF(OR(DATE($C419,10,15)&lt;$S$396,AND($T$396&gt;0,DATE($C419,10,15)&gt;$T$396)),0,IF(DATE($C419,10,15)&gt;=$X$396,$AA$396*(1+($U$396)/100)^MAX(0,$C419-$AD$396),IF(DATE($C419,10,15)&gt;=$W$396,$Z$396*(1+($U$396)/100)^MAX(0,$C419-$AC$396),IF(DATE($C419,10,15)&gt;=$V$396,$Y$396*(1+($U$396)/100)^MAX(0,$C419-$AB$396),0)))))</f>
      </c>
      <c r="O419" s="43">
        <f>IF($S$396=0,0,IF(OR(DATE($C419,11,15)&lt;$S$396,AND($T$396&gt;0,DATE($C419,11,15)&gt;$T$396)),0,IF(DATE($C419,11,15)&gt;=$X$396,$AA$396*(1+($U$396)/100)^MAX(0,$C419-$AD$396),IF(DATE($C419,11,15)&gt;=$W$396,$Z$396*(1+($U$396)/100)^MAX(0,$C419-$AC$396),IF(DATE($C419,11,15)&gt;=$V$396,$Y$396*(1+($U$396)/100)^MAX(0,$C419-$AB$396),0)))))</f>
      </c>
      <c r="P419" s="43">
        <f>IF($S$396=0,0,IF(OR(DATE($C419,12,15)&lt;$S$396,AND($T$396&gt;0,DATE($C419,12,15)&gt;$T$396)),0,IF(DATE($C419,12,15)&gt;=$X$396,$AA$396*(1+($U$396)/100)^MAX(0,$C419-$AD$396),IF(DATE($C419,12,15)&gt;=$W$396,$Z$396*(1+($U$396)/100)^MAX(0,$C419-$AC$396),IF(DATE($C419,12,15)&gt;=$V$396,$Y$396*(1+($U$396)/100)^MAX(0,$C419-$AB$396),0)))))</f>
      </c>
      <c r="Q419" s="43">
        <f>SUM($E419:$P419)</f>
      </c>
    </row>
    <row r="420">
      <c r="A420"/>
      <c r="B420">
        <v>13</v>
      </c>
      <c r="C420" s="43">
        <f>Jahr+24</f>
      </c>
      <c r="D420" s="43">
        <f>INDEX(MvObj,13)</f>
      </c>
      <c r="E420" s="43">
        <f>IF($S$396=0,0,IF(OR(DATE($C420,1,15)&lt;$S$396,AND($T$396&gt;0,DATE($C420,1,15)&gt;$T$396)),0,IF(DATE($C420,1,15)&gt;=$X$396,$AA$396*(1+($U$396)/100)^MAX(0,$C420-$AD$396),IF(DATE($C420,1,15)&gt;=$W$396,$Z$396*(1+($U$396)/100)^MAX(0,$C420-$AC$396),IF(DATE($C420,1,15)&gt;=$V$396,$Y$396*(1+($U$396)/100)^MAX(0,$C420-$AB$396),0)))))</f>
      </c>
      <c r="F420" s="43">
        <f>IF($S$396=0,0,IF(OR(DATE($C420,2,15)&lt;$S$396,AND($T$396&gt;0,DATE($C420,2,15)&gt;$T$396)),0,IF(DATE($C420,2,15)&gt;=$X$396,$AA$396*(1+($U$396)/100)^MAX(0,$C420-$AD$396),IF(DATE($C420,2,15)&gt;=$W$396,$Z$396*(1+($U$396)/100)^MAX(0,$C420-$AC$396),IF(DATE($C420,2,15)&gt;=$V$396,$Y$396*(1+($U$396)/100)^MAX(0,$C420-$AB$396),0)))))</f>
      </c>
      <c r="G420" s="43">
        <f>IF($S$396=0,0,IF(OR(DATE($C420,3,15)&lt;$S$396,AND($T$396&gt;0,DATE($C420,3,15)&gt;$T$396)),0,IF(DATE($C420,3,15)&gt;=$X$396,$AA$396*(1+($U$396)/100)^MAX(0,$C420-$AD$396),IF(DATE($C420,3,15)&gt;=$W$396,$Z$396*(1+($U$396)/100)^MAX(0,$C420-$AC$396),IF(DATE($C420,3,15)&gt;=$V$396,$Y$396*(1+($U$396)/100)^MAX(0,$C420-$AB$396),0)))))</f>
      </c>
      <c r="H420" s="43">
        <f>IF($S$396=0,0,IF(OR(DATE($C420,4,15)&lt;$S$396,AND($T$396&gt;0,DATE($C420,4,15)&gt;$T$396)),0,IF(DATE($C420,4,15)&gt;=$X$396,$AA$396*(1+($U$396)/100)^MAX(0,$C420-$AD$396),IF(DATE($C420,4,15)&gt;=$W$396,$Z$396*(1+($U$396)/100)^MAX(0,$C420-$AC$396),IF(DATE($C420,4,15)&gt;=$V$396,$Y$396*(1+($U$396)/100)^MAX(0,$C420-$AB$396),0)))))</f>
      </c>
      <c r="I420" s="43">
        <f>IF($S$396=0,0,IF(OR(DATE($C420,5,15)&lt;$S$396,AND($T$396&gt;0,DATE($C420,5,15)&gt;$T$396)),0,IF(DATE($C420,5,15)&gt;=$X$396,$AA$396*(1+($U$396)/100)^MAX(0,$C420-$AD$396),IF(DATE($C420,5,15)&gt;=$W$396,$Z$396*(1+($U$396)/100)^MAX(0,$C420-$AC$396),IF(DATE($C420,5,15)&gt;=$V$396,$Y$396*(1+($U$396)/100)^MAX(0,$C420-$AB$396),0)))))</f>
      </c>
      <c r="J420" s="43">
        <f>IF($S$396=0,0,IF(OR(DATE($C420,6,15)&lt;$S$396,AND($T$396&gt;0,DATE($C420,6,15)&gt;$T$396)),0,IF(DATE($C420,6,15)&gt;=$X$396,$AA$396*(1+($U$396)/100)^MAX(0,$C420-$AD$396),IF(DATE($C420,6,15)&gt;=$W$396,$Z$396*(1+($U$396)/100)^MAX(0,$C420-$AC$396),IF(DATE($C420,6,15)&gt;=$V$396,$Y$396*(1+($U$396)/100)^MAX(0,$C420-$AB$396),0)))))</f>
      </c>
      <c r="K420" s="43">
        <f>IF($S$396=0,0,IF(OR(DATE($C420,7,15)&lt;$S$396,AND($T$396&gt;0,DATE($C420,7,15)&gt;$T$396)),0,IF(DATE($C420,7,15)&gt;=$X$396,$AA$396*(1+($U$396)/100)^MAX(0,$C420-$AD$396),IF(DATE($C420,7,15)&gt;=$W$396,$Z$396*(1+($U$396)/100)^MAX(0,$C420-$AC$396),IF(DATE($C420,7,15)&gt;=$V$396,$Y$396*(1+($U$396)/100)^MAX(0,$C420-$AB$396),0)))))</f>
      </c>
      <c r="L420" s="43">
        <f>IF($S$396=0,0,IF(OR(DATE($C420,8,15)&lt;$S$396,AND($T$396&gt;0,DATE($C420,8,15)&gt;$T$396)),0,IF(DATE($C420,8,15)&gt;=$X$396,$AA$396*(1+($U$396)/100)^MAX(0,$C420-$AD$396),IF(DATE($C420,8,15)&gt;=$W$396,$Z$396*(1+($U$396)/100)^MAX(0,$C420-$AC$396),IF(DATE($C420,8,15)&gt;=$V$396,$Y$396*(1+($U$396)/100)^MAX(0,$C420-$AB$396),0)))))</f>
      </c>
      <c r="M420" s="43">
        <f>IF($S$396=0,0,IF(OR(DATE($C420,9,15)&lt;$S$396,AND($T$396&gt;0,DATE($C420,9,15)&gt;$T$396)),0,IF(DATE($C420,9,15)&gt;=$X$396,$AA$396*(1+($U$396)/100)^MAX(0,$C420-$AD$396),IF(DATE($C420,9,15)&gt;=$W$396,$Z$396*(1+($U$396)/100)^MAX(0,$C420-$AC$396),IF(DATE($C420,9,15)&gt;=$V$396,$Y$396*(1+($U$396)/100)^MAX(0,$C420-$AB$396),0)))))</f>
      </c>
      <c r="N420" s="43">
        <f>IF($S$396=0,0,IF(OR(DATE($C420,10,15)&lt;$S$396,AND($T$396&gt;0,DATE($C420,10,15)&gt;$T$396)),0,IF(DATE($C420,10,15)&gt;=$X$396,$AA$396*(1+($U$396)/100)^MAX(0,$C420-$AD$396),IF(DATE($C420,10,15)&gt;=$W$396,$Z$396*(1+($U$396)/100)^MAX(0,$C420-$AC$396),IF(DATE($C420,10,15)&gt;=$V$396,$Y$396*(1+($U$396)/100)^MAX(0,$C420-$AB$396),0)))))</f>
      </c>
      <c r="O420" s="43">
        <f>IF($S$396=0,0,IF(OR(DATE($C420,11,15)&lt;$S$396,AND($T$396&gt;0,DATE($C420,11,15)&gt;$T$396)),0,IF(DATE($C420,11,15)&gt;=$X$396,$AA$396*(1+($U$396)/100)^MAX(0,$C420-$AD$396),IF(DATE($C420,11,15)&gt;=$W$396,$Z$396*(1+($U$396)/100)^MAX(0,$C420-$AC$396),IF(DATE($C420,11,15)&gt;=$V$396,$Y$396*(1+($U$396)/100)^MAX(0,$C420-$AB$396),0)))))</f>
      </c>
      <c r="P420" s="43">
        <f>IF($S$396=0,0,IF(OR(DATE($C420,12,15)&lt;$S$396,AND($T$396&gt;0,DATE($C420,12,15)&gt;$T$396)),0,IF(DATE($C420,12,15)&gt;=$X$396,$AA$396*(1+($U$396)/100)^MAX(0,$C420-$AD$396),IF(DATE($C420,12,15)&gt;=$W$396,$Z$396*(1+($U$396)/100)^MAX(0,$C420-$AC$396),IF(DATE($C420,12,15)&gt;=$V$396,$Y$396*(1+($U$396)/100)^MAX(0,$C420-$AB$396),0)))))</f>
      </c>
      <c r="Q420" s="43">
        <f>SUM($E420:$P420)</f>
      </c>
    </row>
    <row r="421">
      <c r="A421"/>
      <c r="B421">
        <v>13</v>
      </c>
      <c r="C421" s="43">
        <f>Jahr+25</f>
      </c>
      <c r="D421" s="43">
        <f>INDEX(MvObj,13)</f>
      </c>
      <c r="E421" s="43">
        <f>IF($S$396=0,0,IF(OR(DATE($C421,1,15)&lt;$S$396,AND($T$396&gt;0,DATE($C421,1,15)&gt;$T$396)),0,IF(DATE($C421,1,15)&gt;=$X$396,$AA$396*(1+($U$396)/100)^MAX(0,$C421-$AD$396),IF(DATE($C421,1,15)&gt;=$W$396,$Z$396*(1+($U$396)/100)^MAX(0,$C421-$AC$396),IF(DATE($C421,1,15)&gt;=$V$396,$Y$396*(1+($U$396)/100)^MAX(0,$C421-$AB$396),0)))))</f>
      </c>
      <c r="F421" s="43">
        <f>IF($S$396=0,0,IF(OR(DATE($C421,2,15)&lt;$S$396,AND($T$396&gt;0,DATE($C421,2,15)&gt;$T$396)),0,IF(DATE($C421,2,15)&gt;=$X$396,$AA$396*(1+($U$396)/100)^MAX(0,$C421-$AD$396),IF(DATE($C421,2,15)&gt;=$W$396,$Z$396*(1+($U$396)/100)^MAX(0,$C421-$AC$396),IF(DATE($C421,2,15)&gt;=$V$396,$Y$396*(1+($U$396)/100)^MAX(0,$C421-$AB$396),0)))))</f>
      </c>
      <c r="G421" s="43">
        <f>IF($S$396=0,0,IF(OR(DATE($C421,3,15)&lt;$S$396,AND($T$396&gt;0,DATE($C421,3,15)&gt;$T$396)),0,IF(DATE($C421,3,15)&gt;=$X$396,$AA$396*(1+($U$396)/100)^MAX(0,$C421-$AD$396),IF(DATE($C421,3,15)&gt;=$W$396,$Z$396*(1+($U$396)/100)^MAX(0,$C421-$AC$396),IF(DATE($C421,3,15)&gt;=$V$396,$Y$396*(1+($U$396)/100)^MAX(0,$C421-$AB$396),0)))))</f>
      </c>
      <c r="H421" s="43">
        <f>IF($S$396=0,0,IF(OR(DATE($C421,4,15)&lt;$S$396,AND($T$396&gt;0,DATE($C421,4,15)&gt;$T$396)),0,IF(DATE($C421,4,15)&gt;=$X$396,$AA$396*(1+($U$396)/100)^MAX(0,$C421-$AD$396),IF(DATE($C421,4,15)&gt;=$W$396,$Z$396*(1+($U$396)/100)^MAX(0,$C421-$AC$396),IF(DATE($C421,4,15)&gt;=$V$396,$Y$396*(1+($U$396)/100)^MAX(0,$C421-$AB$396),0)))))</f>
      </c>
      <c r="I421" s="43">
        <f>IF($S$396=0,0,IF(OR(DATE($C421,5,15)&lt;$S$396,AND($T$396&gt;0,DATE($C421,5,15)&gt;$T$396)),0,IF(DATE($C421,5,15)&gt;=$X$396,$AA$396*(1+($U$396)/100)^MAX(0,$C421-$AD$396),IF(DATE($C421,5,15)&gt;=$W$396,$Z$396*(1+($U$396)/100)^MAX(0,$C421-$AC$396),IF(DATE($C421,5,15)&gt;=$V$396,$Y$396*(1+($U$396)/100)^MAX(0,$C421-$AB$396),0)))))</f>
      </c>
      <c r="J421" s="43">
        <f>IF($S$396=0,0,IF(OR(DATE($C421,6,15)&lt;$S$396,AND($T$396&gt;0,DATE($C421,6,15)&gt;$T$396)),0,IF(DATE($C421,6,15)&gt;=$X$396,$AA$396*(1+($U$396)/100)^MAX(0,$C421-$AD$396),IF(DATE($C421,6,15)&gt;=$W$396,$Z$396*(1+($U$396)/100)^MAX(0,$C421-$AC$396),IF(DATE($C421,6,15)&gt;=$V$396,$Y$396*(1+($U$396)/100)^MAX(0,$C421-$AB$396),0)))))</f>
      </c>
      <c r="K421" s="43">
        <f>IF($S$396=0,0,IF(OR(DATE($C421,7,15)&lt;$S$396,AND($T$396&gt;0,DATE($C421,7,15)&gt;$T$396)),0,IF(DATE($C421,7,15)&gt;=$X$396,$AA$396*(1+($U$396)/100)^MAX(0,$C421-$AD$396),IF(DATE($C421,7,15)&gt;=$W$396,$Z$396*(1+($U$396)/100)^MAX(0,$C421-$AC$396),IF(DATE($C421,7,15)&gt;=$V$396,$Y$396*(1+($U$396)/100)^MAX(0,$C421-$AB$396),0)))))</f>
      </c>
      <c r="L421" s="43">
        <f>IF($S$396=0,0,IF(OR(DATE($C421,8,15)&lt;$S$396,AND($T$396&gt;0,DATE($C421,8,15)&gt;$T$396)),0,IF(DATE($C421,8,15)&gt;=$X$396,$AA$396*(1+($U$396)/100)^MAX(0,$C421-$AD$396),IF(DATE($C421,8,15)&gt;=$W$396,$Z$396*(1+($U$396)/100)^MAX(0,$C421-$AC$396),IF(DATE($C421,8,15)&gt;=$V$396,$Y$396*(1+($U$396)/100)^MAX(0,$C421-$AB$396),0)))))</f>
      </c>
      <c r="M421" s="43">
        <f>IF($S$396=0,0,IF(OR(DATE($C421,9,15)&lt;$S$396,AND($T$396&gt;0,DATE($C421,9,15)&gt;$T$396)),0,IF(DATE($C421,9,15)&gt;=$X$396,$AA$396*(1+($U$396)/100)^MAX(0,$C421-$AD$396),IF(DATE($C421,9,15)&gt;=$W$396,$Z$396*(1+($U$396)/100)^MAX(0,$C421-$AC$396),IF(DATE($C421,9,15)&gt;=$V$396,$Y$396*(1+($U$396)/100)^MAX(0,$C421-$AB$396),0)))))</f>
      </c>
      <c r="N421" s="43">
        <f>IF($S$396=0,0,IF(OR(DATE($C421,10,15)&lt;$S$396,AND($T$396&gt;0,DATE($C421,10,15)&gt;$T$396)),0,IF(DATE($C421,10,15)&gt;=$X$396,$AA$396*(1+($U$396)/100)^MAX(0,$C421-$AD$396),IF(DATE($C421,10,15)&gt;=$W$396,$Z$396*(1+($U$396)/100)^MAX(0,$C421-$AC$396),IF(DATE($C421,10,15)&gt;=$V$396,$Y$396*(1+($U$396)/100)^MAX(0,$C421-$AB$396),0)))))</f>
      </c>
      <c r="O421" s="43">
        <f>IF($S$396=0,0,IF(OR(DATE($C421,11,15)&lt;$S$396,AND($T$396&gt;0,DATE($C421,11,15)&gt;$T$396)),0,IF(DATE($C421,11,15)&gt;=$X$396,$AA$396*(1+($U$396)/100)^MAX(0,$C421-$AD$396),IF(DATE($C421,11,15)&gt;=$W$396,$Z$396*(1+($U$396)/100)^MAX(0,$C421-$AC$396),IF(DATE($C421,11,15)&gt;=$V$396,$Y$396*(1+($U$396)/100)^MAX(0,$C421-$AB$396),0)))))</f>
      </c>
      <c r="P421" s="43">
        <f>IF($S$396=0,0,IF(OR(DATE($C421,12,15)&lt;$S$396,AND($T$396&gt;0,DATE($C421,12,15)&gt;$T$396)),0,IF(DATE($C421,12,15)&gt;=$X$396,$AA$396*(1+($U$396)/100)^MAX(0,$C421-$AD$396),IF(DATE($C421,12,15)&gt;=$W$396,$Z$396*(1+($U$396)/100)^MAX(0,$C421-$AC$396),IF(DATE($C421,12,15)&gt;=$V$396,$Y$396*(1+($U$396)/100)^MAX(0,$C421-$AB$396),0)))))</f>
      </c>
      <c r="Q421" s="43">
        <f>SUM($E421:$P421)</f>
      </c>
    </row>
    <row r="422">
      <c r="A422"/>
      <c r="B422">
        <v>13</v>
      </c>
      <c r="C422" s="43">
        <f>Jahr+26</f>
      </c>
      <c r="D422" s="43">
        <f>INDEX(MvObj,13)</f>
      </c>
      <c r="E422" s="43">
        <f>IF($S$396=0,0,IF(OR(DATE($C422,1,15)&lt;$S$396,AND($T$396&gt;0,DATE($C422,1,15)&gt;$T$396)),0,IF(DATE($C422,1,15)&gt;=$X$396,$AA$396*(1+($U$396)/100)^MAX(0,$C422-$AD$396),IF(DATE($C422,1,15)&gt;=$W$396,$Z$396*(1+($U$396)/100)^MAX(0,$C422-$AC$396),IF(DATE($C422,1,15)&gt;=$V$396,$Y$396*(1+($U$396)/100)^MAX(0,$C422-$AB$396),0)))))</f>
      </c>
      <c r="F422" s="43">
        <f>IF($S$396=0,0,IF(OR(DATE($C422,2,15)&lt;$S$396,AND($T$396&gt;0,DATE($C422,2,15)&gt;$T$396)),0,IF(DATE($C422,2,15)&gt;=$X$396,$AA$396*(1+($U$396)/100)^MAX(0,$C422-$AD$396),IF(DATE($C422,2,15)&gt;=$W$396,$Z$396*(1+($U$396)/100)^MAX(0,$C422-$AC$396),IF(DATE($C422,2,15)&gt;=$V$396,$Y$396*(1+($U$396)/100)^MAX(0,$C422-$AB$396),0)))))</f>
      </c>
      <c r="G422" s="43">
        <f>IF($S$396=0,0,IF(OR(DATE($C422,3,15)&lt;$S$396,AND($T$396&gt;0,DATE($C422,3,15)&gt;$T$396)),0,IF(DATE($C422,3,15)&gt;=$X$396,$AA$396*(1+($U$396)/100)^MAX(0,$C422-$AD$396),IF(DATE($C422,3,15)&gt;=$W$396,$Z$396*(1+($U$396)/100)^MAX(0,$C422-$AC$396),IF(DATE($C422,3,15)&gt;=$V$396,$Y$396*(1+($U$396)/100)^MAX(0,$C422-$AB$396),0)))))</f>
      </c>
      <c r="H422" s="43">
        <f>IF($S$396=0,0,IF(OR(DATE($C422,4,15)&lt;$S$396,AND($T$396&gt;0,DATE($C422,4,15)&gt;$T$396)),0,IF(DATE($C422,4,15)&gt;=$X$396,$AA$396*(1+($U$396)/100)^MAX(0,$C422-$AD$396),IF(DATE($C422,4,15)&gt;=$W$396,$Z$396*(1+($U$396)/100)^MAX(0,$C422-$AC$396),IF(DATE($C422,4,15)&gt;=$V$396,$Y$396*(1+($U$396)/100)^MAX(0,$C422-$AB$396),0)))))</f>
      </c>
      <c r="I422" s="43">
        <f>IF($S$396=0,0,IF(OR(DATE($C422,5,15)&lt;$S$396,AND($T$396&gt;0,DATE($C422,5,15)&gt;$T$396)),0,IF(DATE($C422,5,15)&gt;=$X$396,$AA$396*(1+($U$396)/100)^MAX(0,$C422-$AD$396),IF(DATE($C422,5,15)&gt;=$W$396,$Z$396*(1+($U$396)/100)^MAX(0,$C422-$AC$396),IF(DATE($C422,5,15)&gt;=$V$396,$Y$396*(1+($U$396)/100)^MAX(0,$C422-$AB$396),0)))))</f>
      </c>
      <c r="J422" s="43">
        <f>IF($S$396=0,0,IF(OR(DATE($C422,6,15)&lt;$S$396,AND($T$396&gt;0,DATE($C422,6,15)&gt;$T$396)),0,IF(DATE($C422,6,15)&gt;=$X$396,$AA$396*(1+($U$396)/100)^MAX(0,$C422-$AD$396),IF(DATE($C422,6,15)&gt;=$W$396,$Z$396*(1+($U$396)/100)^MAX(0,$C422-$AC$396),IF(DATE($C422,6,15)&gt;=$V$396,$Y$396*(1+($U$396)/100)^MAX(0,$C422-$AB$396),0)))))</f>
      </c>
      <c r="K422" s="43">
        <f>IF($S$396=0,0,IF(OR(DATE($C422,7,15)&lt;$S$396,AND($T$396&gt;0,DATE($C422,7,15)&gt;$T$396)),0,IF(DATE($C422,7,15)&gt;=$X$396,$AA$396*(1+($U$396)/100)^MAX(0,$C422-$AD$396),IF(DATE($C422,7,15)&gt;=$W$396,$Z$396*(1+($U$396)/100)^MAX(0,$C422-$AC$396),IF(DATE($C422,7,15)&gt;=$V$396,$Y$396*(1+($U$396)/100)^MAX(0,$C422-$AB$396),0)))))</f>
      </c>
      <c r="L422" s="43">
        <f>IF($S$396=0,0,IF(OR(DATE($C422,8,15)&lt;$S$396,AND($T$396&gt;0,DATE($C422,8,15)&gt;$T$396)),0,IF(DATE($C422,8,15)&gt;=$X$396,$AA$396*(1+($U$396)/100)^MAX(0,$C422-$AD$396),IF(DATE($C422,8,15)&gt;=$W$396,$Z$396*(1+($U$396)/100)^MAX(0,$C422-$AC$396),IF(DATE($C422,8,15)&gt;=$V$396,$Y$396*(1+($U$396)/100)^MAX(0,$C422-$AB$396),0)))))</f>
      </c>
      <c r="M422" s="43">
        <f>IF($S$396=0,0,IF(OR(DATE($C422,9,15)&lt;$S$396,AND($T$396&gt;0,DATE($C422,9,15)&gt;$T$396)),0,IF(DATE($C422,9,15)&gt;=$X$396,$AA$396*(1+($U$396)/100)^MAX(0,$C422-$AD$396),IF(DATE($C422,9,15)&gt;=$W$396,$Z$396*(1+($U$396)/100)^MAX(0,$C422-$AC$396),IF(DATE($C422,9,15)&gt;=$V$396,$Y$396*(1+($U$396)/100)^MAX(0,$C422-$AB$396),0)))))</f>
      </c>
      <c r="N422" s="43">
        <f>IF($S$396=0,0,IF(OR(DATE($C422,10,15)&lt;$S$396,AND($T$396&gt;0,DATE($C422,10,15)&gt;$T$396)),0,IF(DATE($C422,10,15)&gt;=$X$396,$AA$396*(1+($U$396)/100)^MAX(0,$C422-$AD$396),IF(DATE($C422,10,15)&gt;=$W$396,$Z$396*(1+($U$396)/100)^MAX(0,$C422-$AC$396),IF(DATE($C422,10,15)&gt;=$V$396,$Y$396*(1+($U$396)/100)^MAX(0,$C422-$AB$396),0)))))</f>
      </c>
      <c r="O422" s="43">
        <f>IF($S$396=0,0,IF(OR(DATE($C422,11,15)&lt;$S$396,AND($T$396&gt;0,DATE($C422,11,15)&gt;$T$396)),0,IF(DATE($C422,11,15)&gt;=$X$396,$AA$396*(1+($U$396)/100)^MAX(0,$C422-$AD$396),IF(DATE($C422,11,15)&gt;=$W$396,$Z$396*(1+($U$396)/100)^MAX(0,$C422-$AC$396),IF(DATE($C422,11,15)&gt;=$V$396,$Y$396*(1+($U$396)/100)^MAX(0,$C422-$AB$396),0)))))</f>
      </c>
      <c r="P422" s="43">
        <f>IF($S$396=0,0,IF(OR(DATE($C422,12,15)&lt;$S$396,AND($T$396&gt;0,DATE($C422,12,15)&gt;$T$396)),0,IF(DATE($C422,12,15)&gt;=$X$396,$AA$396*(1+($U$396)/100)^MAX(0,$C422-$AD$396),IF(DATE($C422,12,15)&gt;=$W$396,$Z$396*(1+($U$396)/100)^MAX(0,$C422-$AC$396),IF(DATE($C422,12,15)&gt;=$V$396,$Y$396*(1+($U$396)/100)^MAX(0,$C422-$AB$396),0)))))</f>
      </c>
      <c r="Q422" s="43">
        <f>SUM($E422:$P422)</f>
      </c>
    </row>
    <row r="423">
      <c r="A423"/>
      <c r="B423">
        <v>13</v>
      </c>
      <c r="C423" s="43">
        <f>Jahr+27</f>
      </c>
      <c r="D423" s="43">
        <f>INDEX(MvObj,13)</f>
      </c>
      <c r="E423" s="43">
        <f>IF($S$396=0,0,IF(OR(DATE($C423,1,15)&lt;$S$396,AND($T$396&gt;0,DATE($C423,1,15)&gt;$T$396)),0,IF(DATE($C423,1,15)&gt;=$X$396,$AA$396*(1+($U$396)/100)^MAX(0,$C423-$AD$396),IF(DATE($C423,1,15)&gt;=$W$396,$Z$396*(1+($U$396)/100)^MAX(0,$C423-$AC$396),IF(DATE($C423,1,15)&gt;=$V$396,$Y$396*(1+($U$396)/100)^MAX(0,$C423-$AB$396),0)))))</f>
      </c>
      <c r="F423" s="43">
        <f>IF($S$396=0,0,IF(OR(DATE($C423,2,15)&lt;$S$396,AND($T$396&gt;0,DATE($C423,2,15)&gt;$T$396)),0,IF(DATE($C423,2,15)&gt;=$X$396,$AA$396*(1+($U$396)/100)^MAX(0,$C423-$AD$396),IF(DATE($C423,2,15)&gt;=$W$396,$Z$396*(1+($U$396)/100)^MAX(0,$C423-$AC$396),IF(DATE($C423,2,15)&gt;=$V$396,$Y$396*(1+($U$396)/100)^MAX(0,$C423-$AB$396),0)))))</f>
      </c>
      <c r="G423" s="43">
        <f>IF($S$396=0,0,IF(OR(DATE($C423,3,15)&lt;$S$396,AND($T$396&gt;0,DATE($C423,3,15)&gt;$T$396)),0,IF(DATE($C423,3,15)&gt;=$X$396,$AA$396*(1+($U$396)/100)^MAX(0,$C423-$AD$396),IF(DATE($C423,3,15)&gt;=$W$396,$Z$396*(1+($U$396)/100)^MAX(0,$C423-$AC$396),IF(DATE($C423,3,15)&gt;=$V$396,$Y$396*(1+($U$396)/100)^MAX(0,$C423-$AB$396),0)))))</f>
      </c>
      <c r="H423" s="43">
        <f>IF($S$396=0,0,IF(OR(DATE($C423,4,15)&lt;$S$396,AND($T$396&gt;0,DATE($C423,4,15)&gt;$T$396)),0,IF(DATE($C423,4,15)&gt;=$X$396,$AA$396*(1+($U$396)/100)^MAX(0,$C423-$AD$396),IF(DATE($C423,4,15)&gt;=$W$396,$Z$396*(1+($U$396)/100)^MAX(0,$C423-$AC$396),IF(DATE($C423,4,15)&gt;=$V$396,$Y$396*(1+($U$396)/100)^MAX(0,$C423-$AB$396),0)))))</f>
      </c>
      <c r="I423" s="43">
        <f>IF($S$396=0,0,IF(OR(DATE($C423,5,15)&lt;$S$396,AND($T$396&gt;0,DATE($C423,5,15)&gt;$T$396)),0,IF(DATE($C423,5,15)&gt;=$X$396,$AA$396*(1+($U$396)/100)^MAX(0,$C423-$AD$396),IF(DATE($C423,5,15)&gt;=$W$396,$Z$396*(1+($U$396)/100)^MAX(0,$C423-$AC$396),IF(DATE($C423,5,15)&gt;=$V$396,$Y$396*(1+($U$396)/100)^MAX(0,$C423-$AB$396),0)))))</f>
      </c>
      <c r="J423" s="43">
        <f>IF($S$396=0,0,IF(OR(DATE($C423,6,15)&lt;$S$396,AND($T$396&gt;0,DATE($C423,6,15)&gt;$T$396)),0,IF(DATE($C423,6,15)&gt;=$X$396,$AA$396*(1+($U$396)/100)^MAX(0,$C423-$AD$396),IF(DATE($C423,6,15)&gt;=$W$396,$Z$396*(1+($U$396)/100)^MAX(0,$C423-$AC$396),IF(DATE($C423,6,15)&gt;=$V$396,$Y$396*(1+($U$396)/100)^MAX(0,$C423-$AB$396),0)))))</f>
      </c>
      <c r="K423" s="43">
        <f>IF($S$396=0,0,IF(OR(DATE($C423,7,15)&lt;$S$396,AND($T$396&gt;0,DATE($C423,7,15)&gt;$T$396)),0,IF(DATE($C423,7,15)&gt;=$X$396,$AA$396*(1+($U$396)/100)^MAX(0,$C423-$AD$396),IF(DATE($C423,7,15)&gt;=$W$396,$Z$396*(1+($U$396)/100)^MAX(0,$C423-$AC$396),IF(DATE($C423,7,15)&gt;=$V$396,$Y$396*(1+($U$396)/100)^MAX(0,$C423-$AB$396),0)))))</f>
      </c>
      <c r="L423" s="43">
        <f>IF($S$396=0,0,IF(OR(DATE($C423,8,15)&lt;$S$396,AND($T$396&gt;0,DATE($C423,8,15)&gt;$T$396)),0,IF(DATE($C423,8,15)&gt;=$X$396,$AA$396*(1+($U$396)/100)^MAX(0,$C423-$AD$396),IF(DATE($C423,8,15)&gt;=$W$396,$Z$396*(1+($U$396)/100)^MAX(0,$C423-$AC$396),IF(DATE($C423,8,15)&gt;=$V$396,$Y$396*(1+($U$396)/100)^MAX(0,$C423-$AB$396),0)))))</f>
      </c>
      <c r="M423" s="43">
        <f>IF($S$396=0,0,IF(OR(DATE($C423,9,15)&lt;$S$396,AND($T$396&gt;0,DATE($C423,9,15)&gt;$T$396)),0,IF(DATE($C423,9,15)&gt;=$X$396,$AA$396*(1+($U$396)/100)^MAX(0,$C423-$AD$396),IF(DATE($C423,9,15)&gt;=$W$396,$Z$396*(1+($U$396)/100)^MAX(0,$C423-$AC$396),IF(DATE($C423,9,15)&gt;=$V$396,$Y$396*(1+($U$396)/100)^MAX(0,$C423-$AB$396),0)))))</f>
      </c>
      <c r="N423" s="43">
        <f>IF($S$396=0,0,IF(OR(DATE($C423,10,15)&lt;$S$396,AND($T$396&gt;0,DATE($C423,10,15)&gt;$T$396)),0,IF(DATE($C423,10,15)&gt;=$X$396,$AA$396*(1+($U$396)/100)^MAX(0,$C423-$AD$396),IF(DATE($C423,10,15)&gt;=$W$396,$Z$396*(1+($U$396)/100)^MAX(0,$C423-$AC$396),IF(DATE($C423,10,15)&gt;=$V$396,$Y$396*(1+($U$396)/100)^MAX(0,$C423-$AB$396),0)))))</f>
      </c>
      <c r="O423" s="43">
        <f>IF($S$396=0,0,IF(OR(DATE($C423,11,15)&lt;$S$396,AND($T$396&gt;0,DATE($C423,11,15)&gt;$T$396)),0,IF(DATE($C423,11,15)&gt;=$X$396,$AA$396*(1+($U$396)/100)^MAX(0,$C423-$AD$396),IF(DATE($C423,11,15)&gt;=$W$396,$Z$396*(1+($U$396)/100)^MAX(0,$C423-$AC$396),IF(DATE($C423,11,15)&gt;=$V$396,$Y$396*(1+($U$396)/100)^MAX(0,$C423-$AB$396),0)))))</f>
      </c>
      <c r="P423" s="43">
        <f>IF($S$396=0,0,IF(OR(DATE($C423,12,15)&lt;$S$396,AND($T$396&gt;0,DATE($C423,12,15)&gt;$T$396)),0,IF(DATE($C423,12,15)&gt;=$X$396,$AA$396*(1+($U$396)/100)^MAX(0,$C423-$AD$396),IF(DATE($C423,12,15)&gt;=$W$396,$Z$396*(1+($U$396)/100)^MAX(0,$C423-$AC$396),IF(DATE($C423,12,15)&gt;=$V$396,$Y$396*(1+($U$396)/100)^MAX(0,$C423-$AB$396),0)))))</f>
      </c>
      <c r="Q423" s="43">
        <f>SUM($E423:$P423)</f>
      </c>
    </row>
    <row r="424">
      <c r="A424"/>
      <c r="B424">
        <v>13</v>
      </c>
      <c r="C424" s="43">
        <f>Jahr+28</f>
      </c>
      <c r="D424" s="43">
        <f>INDEX(MvObj,13)</f>
      </c>
      <c r="E424" s="43">
        <f>IF($S$396=0,0,IF(OR(DATE($C424,1,15)&lt;$S$396,AND($T$396&gt;0,DATE($C424,1,15)&gt;$T$396)),0,IF(DATE($C424,1,15)&gt;=$X$396,$AA$396*(1+($U$396)/100)^MAX(0,$C424-$AD$396),IF(DATE($C424,1,15)&gt;=$W$396,$Z$396*(1+($U$396)/100)^MAX(0,$C424-$AC$396),IF(DATE($C424,1,15)&gt;=$V$396,$Y$396*(1+($U$396)/100)^MAX(0,$C424-$AB$396),0)))))</f>
      </c>
      <c r="F424" s="43">
        <f>IF($S$396=0,0,IF(OR(DATE($C424,2,15)&lt;$S$396,AND($T$396&gt;0,DATE($C424,2,15)&gt;$T$396)),0,IF(DATE($C424,2,15)&gt;=$X$396,$AA$396*(1+($U$396)/100)^MAX(0,$C424-$AD$396),IF(DATE($C424,2,15)&gt;=$W$396,$Z$396*(1+($U$396)/100)^MAX(0,$C424-$AC$396),IF(DATE($C424,2,15)&gt;=$V$396,$Y$396*(1+($U$396)/100)^MAX(0,$C424-$AB$396),0)))))</f>
      </c>
      <c r="G424" s="43">
        <f>IF($S$396=0,0,IF(OR(DATE($C424,3,15)&lt;$S$396,AND($T$396&gt;0,DATE($C424,3,15)&gt;$T$396)),0,IF(DATE($C424,3,15)&gt;=$X$396,$AA$396*(1+($U$396)/100)^MAX(0,$C424-$AD$396),IF(DATE($C424,3,15)&gt;=$W$396,$Z$396*(1+($U$396)/100)^MAX(0,$C424-$AC$396),IF(DATE($C424,3,15)&gt;=$V$396,$Y$396*(1+($U$396)/100)^MAX(0,$C424-$AB$396),0)))))</f>
      </c>
      <c r="H424" s="43">
        <f>IF($S$396=0,0,IF(OR(DATE($C424,4,15)&lt;$S$396,AND($T$396&gt;0,DATE($C424,4,15)&gt;$T$396)),0,IF(DATE($C424,4,15)&gt;=$X$396,$AA$396*(1+($U$396)/100)^MAX(0,$C424-$AD$396),IF(DATE($C424,4,15)&gt;=$W$396,$Z$396*(1+($U$396)/100)^MAX(0,$C424-$AC$396),IF(DATE($C424,4,15)&gt;=$V$396,$Y$396*(1+($U$396)/100)^MAX(0,$C424-$AB$396),0)))))</f>
      </c>
      <c r="I424" s="43">
        <f>IF($S$396=0,0,IF(OR(DATE($C424,5,15)&lt;$S$396,AND($T$396&gt;0,DATE($C424,5,15)&gt;$T$396)),0,IF(DATE($C424,5,15)&gt;=$X$396,$AA$396*(1+($U$396)/100)^MAX(0,$C424-$AD$396),IF(DATE($C424,5,15)&gt;=$W$396,$Z$396*(1+($U$396)/100)^MAX(0,$C424-$AC$396),IF(DATE($C424,5,15)&gt;=$V$396,$Y$396*(1+($U$396)/100)^MAX(0,$C424-$AB$396),0)))))</f>
      </c>
      <c r="J424" s="43">
        <f>IF($S$396=0,0,IF(OR(DATE($C424,6,15)&lt;$S$396,AND($T$396&gt;0,DATE($C424,6,15)&gt;$T$396)),0,IF(DATE($C424,6,15)&gt;=$X$396,$AA$396*(1+($U$396)/100)^MAX(0,$C424-$AD$396),IF(DATE($C424,6,15)&gt;=$W$396,$Z$396*(1+($U$396)/100)^MAX(0,$C424-$AC$396),IF(DATE($C424,6,15)&gt;=$V$396,$Y$396*(1+($U$396)/100)^MAX(0,$C424-$AB$396),0)))))</f>
      </c>
      <c r="K424" s="43">
        <f>IF($S$396=0,0,IF(OR(DATE($C424,7,15)&lt;$S$396,AND($T$396&gt;0,DATE($C424,7,15)&gt;$T$396)),0,IF(DATE($C424,7,15)&gt;=$X$396,$AA$396*(1+($U$396)/100)^MAX(0,$C424-$AD$396),IF(DATE($C424,7,15)&gt;=$W$396,$Z$396*(1+($U$396)/100)^MAX(0,$C424-$AC$396),IF(DATE($C424,7,15)&gt;=$V$396,$Y$396*(1+($U$396)/100)^MAX(0,$C424-$AB$396),0)))))</f>
      </c>
      <c r="L424" s="43">
        <f>IF($S$396=0,0,IF(OR(DATE($C424,8,15)&lt;$S$396,AND($T$396&gt;0,DATE($C424,8,15)&gt;$T$396)),0,IF(DATE($C424,8,15)&gt;=$X$396,$AA$396*(1+($U$396)/100)^MAX(0,$C424-$AD$396),IF(DATE($C424,8,15)&gt;=$W$396,$Z$396*(1+($U$396)/100)^MAX(0,$C424-$AC$396),IF(DATE($C424,8,15)&gt;=$V$396,$Y$396*(1+($U$396)/100)^MAX(0,$C424-$AB$396),0)))))</f>
      </c>
      <c r="M424" s="43">
        <f>IF($S$396=0,0,IF(OR(DATE($C424,9,15)&lt;$S$396,AND($T$396&gt;0,DATE($C424,9,15)&gt;$T$396)),0,IF(DATE($C424,9,15)&gt;=$X$396,$AA$396*(1+($U$396)/100)^MAX(0,$C424-$AD$396),IF(DATE($C424,9,15)&gt;=$W$396,$Z$396*(1+($U$396)/100)^MAX(0,$C424-$AC$396),IF(DATE($C424,9,15)&gt;=$V$396,$Y$396*(1+($U$396)/100)^MAX(0,$C424-$AB$396),0)))))</f>
      </c>
      <c r="N424" s="43">
        <f>IF($S$396=0,0,IF(OR(DATE($C424,10,15)&lt;$S$396,AND($T$396&gt;0,DATE($C424,10,15)&gt;$T$396)),0,IF(DATE($C424,10,15)&gt;=$X$396,$AA$396*(1+($U$396)/100)^MAX(0,$C424-$AD$396),IF(DATE($C424,10,15)&gt;=$W$396,$Z$396*(1+($U$396)/100)^MAX(0,$C424-$AC$396),IF(DATE($C424,10,15)&gt;=$V$396,$Y$396*(1+($U$396)/100)^MAX(0,$C424-$AB$396),0)))))</f>
      </c>
      <c r="O424" s="43">
        <f>IF($S$396=0,0,IF(OR(DATE($C424,11,15)&lt;$S$396,AND($T$396&gt;0,DATE($C424,11,15)&gt;$T$396)),0,IF(DATE($C424,11,15)&gt;=$X$396,$AA$396*(1+($U$396)/100)^MAX(0,$C424-$AD$396),IF(DATE($C424,11,15)&gt;=$W$396,$Z$396*(1+($U$396)/100)^MAX(0,$C424-$AC$396),IF(DATE($C424,11,15)&gt;=$V$396,$Y$396*(1+($U$396)/100)^MAX(0,$C424-$AB$396),0)))))</f>
      </c>
      <c r="P424" s="43">
        <f>IF($S$396=0,0,IF(OR(DATE($C424,12,15)&lt;$S$396,AND($T$396&gt;0,DATE($C424,12,15)&gt;$T$396)),0,IF(DATE($C424,12,15)&gt;=$X$396,$AA$396*(1+($U$396)/100)^MAX(0,$C424-$AD$396),IF(DATE($C424,12,15)&gt;=$W$396,$Z$396*(1+($U$396)/100)^MAX(0,$C424-$AC$396),IF(DATE($C424,12,15)&gt;=$V$396,$Y$396*(1+($U$396)/100)^MAX(0,$C424-$AB$396),0)))))</f>
      </c>
      <c r="Q424" s="43">
        <f>SUM($E424:$P424)</f>
      </c>
    </row>
    <row r="425">
      <c r="A425"/>
      <c r="B425">
        <v>13</v>
      </c>
      <c r="C425" s="43">
        <f>Jahr+29</f>
      </c>
      <c r="D425" s="43">
        <f>INDEX(MvObj,13)</f>
      </c>
      <c r="E425" s="43">
        <f>IF($S$396=0,0,IF(OR(DATE($C425,1,15)&lt;$S$396,AND($T$396&gt;0,DATE($C425,1,15)&gt;$T$396)),0,IF(DATE($C425,1,15)&gt;=$X$396,$AA$396*(1+($U$396)/100)^MAX(0,$C425-$AD$396),IF(DATE($C425,1,15)&gt;=$W$396,$Z$396*(1+($U$396)/100)^MAX(0,$C425-$AC$396),IF(DATE($C425,1,15)&gt;=$V$396,$Y$396*(1+($U$396)/100)^MAX(0,$C425-$AB$396),0)))))</f>
      </c>
      <c r="F425" s="43">
        <f>IF($S$396=0,0,IF(OR(DATE($C425,2,15)&lt;$S$396,AND($T$396&gt;0,DATE($C425,2,15)&gt;$T$396)),0,IF(DATE($C425,2,15)&gt;=$X$396,$AA$396*(1+($U$396)/100)^MAX(0,$C425-$AD$396),IF(DATE($C425,2,15)&gt;=$W$396,$Z$396*(1+($U$396)/100)^MAX(0,$C425-$AC$396),IF(DATE($C425,2,15)&gt;=$V$396,$Y$396*(1+($U$396)/100)^MAX(0,$C425-$AB$396),0)))))</f>
      </c>
      <c r="G425" s="43">
        <f>IF($S$396=0,0,IF(OR(DATE($C425,3,15)&lt;$S$396,AND($T$396&gt;0,DATE($C425,3,15)&gt;$T$396)),0,IF(DATE($C425,3,15)&gt;=$X$396,$AA$396*(1+($U$396)/100)^MAX(0,$C425-$AD$396),IF(DATE($C425,3,15)&gt;=$W$396,$Z$396*(1+($U$396)/100)^MAX(0,$C425-$AC$396),IF(DATE($C425,3,15)&gt;=$V$396,$Y$396*(1+($U$396)/100)^MAX(0,$C425-$AB$396),0)))))</f>
      </c>
      <c r="H425" s="43">
        <f>IF($S$396=0,0,IF(OR(DATE($C425,4,15)&lt;$S$396,AND($T$396&gt;0,DATE($C425,4,15)&gt;$T$396)),0,IF(DATE($C425,4,15)&gt;=$X$396,$AA$396*(1+($U$396)/100)^MAX(0,$C425-$AD$396),IF(DATE($C425,4,15)&gt;=$W$396,$Z$396*(1+($U$396)/100)^MAX(0,$C425-$AC$396),IF(DATE($C425,4,15)&gt;=$V$396,$Y$396*(1+($U$396)/100)^MAX(0,$C425-$AB$396),0)))))</f>
      </c>
      <c r="I425" s="43">
        <f>IF($S$396=0,0,IF(OR(DATE($C425,5,15)&lt;$S$396,AND($T$396&gt;0,DATE($C425,5,15)&gt;$T$396)),0,IF(DATE($C425,5,15)&gt;=$X$396,$AA$396*(1+($U$396)/100)^MAX(0,$C425-$AD$396),IF(DATE($C425,5,15)&gt;=$W$396,$Z$396*(1+($U$396)/100)^MAX(0,$C425-$AC$396),IF(DATE($C425,5,15)&gt;=$V$396,$Y$396*(1+($U$396)/100)^MAX(0,$C425-$AB$396),0)))))</f>
      </c>
      <c r="J425" s="43">
        <f>IF($S$396=0,0,IF(OR(DATE($C425,6,15)&lt;$S$396,AND($T$396&gt;0,DATE($C425,6,15)&gt;$T$396)),0,IF(DATE($C425,6,15)&gt;=$X$396,$AA$396*(1+($U$396)/100)^MAX(0,$C425-$AD$396),IF(DATE($C425,6,15)&gt;=$W$396,$Z$396*(1+($U$396)/100)^MAX(0,$C425-$AC$396),IF(DATE($C425,6,15)&gt;=$V$396,$Y$396*(1+($U$396)/100)^MAX(0,$C425-$AB$396),0)))))</f>
      </c>
      <c r="K425" s="43">
        <f>IF($S$396=0,0,IF(OR(DATE($C425,7,15)&lt;$S$396,AND($T$396&gt;0,DATE($C425,7,15)&gt;$T$396)),0,IF(DATE($C425,7,15)&gt;=$X$396,$AA$396*(1+($U$396)/100)^MAX(0,$C425-$AD$396),IF(DATE($C425,7,15)&gt;=$W$396,$Z$396*(1+($U$396)/100)^MAX(0,$C425-$AC$396),IF(DATE($C425,7,15)&gt;=$V$396,$Y$396*(1+($U$396)/100)^MAX(0,$C425-$AB$396),0)))))</f>
      </c>
      <c r="L425" s="43">
        <f>IF($S$396=0,0,IF(OR(DATE($C425,8,15)&lt;$S$396,AND($T$396&gt;0,DATE($C425,8,15)&gt;$T$396)),0,IF(DATE($C425,8,15)&gt;=$X$396,$AA$396*(1+($U$396)/100)^MAX(0,$C425-$AD$396),IF(DATE($C425,8,15)&gt;=$W$396,$Z$396*(1+($U$396)/100)^MAX(0,$C425-$AC$396),IF(DATE($C425,8,15)&gt;=$V$396,$Y$396*(1+($U$396)/100)^MAX(0,$C425-$AB$396),0)))))</f>
      </c>
      <c r="M425" s="43">
        <f>IF($S$396=0,0,IF(OR(DATE($C425,9,15)&lt;$S$396,AND($T$396&gt;0,DATE($C425,9,15)&gt;$T$396)),0,IF(DATE($C425,9,15)&gt;=$X$396,$AA$396*(1+($U$396)/100)^MAX(0,$C425-$AD$396),IF(DATE($C425,9,15)&gt;=$W$396,$Z$396*(1+($U$396)/100)^MAX(0,$C425-$AC$396),IF(DATE($C425,9,15)&gt;=$V$396,$Y$396*(1+($U$396)/100)^MAX(0,$C425-$AB$396),0)))))</f>
      </c>
      <c r="N425" s="43">
        <f>IF($S$396=0,0,IF(OR(DATE($C425,10,15)&lt;$S$396,AND($T$396&gt;0,DATE($C425,10,15)&gt;$T$396)),0,IF(DATE($C425,10,15)&gt;=$X$396,$AA$396*(1+($U$396)/100)^MAX(0,$C425-$AD$396),IF(DATE($C425,10,15)&gt;=$W$396,$Z$396*(1+($U$396)/100)^MAX(0,$C425-$AC$396),IF(DATE($C425,10,15)&gt;=$V$396,$Y$396*(1+($U$396)/100)^MAX(0,$C425-$AB$396),0)))))</f>
      </c>
      <c r="O425" s="43">
        <f>IF($S$396=0,0,IF(OR(DATE($C425,11,15)&lt;$S$396,AND($T$396&gt;0,DATE($C425,11,15)&gt;$T$396)),0,IF(DATE($C425,11,15)&gt;=$X$396,$AA$396*(1+($U$396)/100)^MAX(0,$C425-$AD$396),IF(DATE($C425,11,15)&gt;=$W$396,$Z$396*(1+($U$396)/100)^MAX(0,$C425-$AC$396),IF(DATE($C425,11,15)&gt;=$V$396,$Y$396*(1+($U$396)/100)^MAX(0,$C425-$AB$396),0)))))</f>
      </c>
      <c r="P425" s="43">
        <f>IF($S$396=0,0,IF(OR(DATE($C425,12,15)&lt;$S$396,AND($T$396&gt;0,DATE($C425,12,15)&gt;$T$396)),0,IF(DATE($C425,12,15)&gt;=$X$396,$AA$396*(1+($U$396)/100)^MAX(0,$C425-$AD$396),IF(DATE($C425,12,15)&gt;=$W$396,$Z$396*(1+($U$396)/100)^MAX(0,$C425-$AC$396),IF(DATE($C425,12,15)&gt;=$V$396,$Y$396*(1+($U$396)/100)^MAX(0,$C425-$AB$396),0)))))</f>
      </c>
      <c r="Q425" s="43">
        <f>SUM($E425:$P425)</f>
      </c>
    </row>
    <row r="426">
      <c r="A426"/>
      <c r="B426">
        <v>13</v>
      </c>
      <c r="C426" s="43">
        <f>Jahr+30</f>
      </c>
      <c r="D426" s="43">
        <f>INDEX(MvObj,13)</f>
      </c>
      <c r="E426" s="43">
        <f>IF($S$396=0,0,IF(OR(DATE($C426,1,15)&lt;$S$396,AND($T$396&gt;0,DATE($C426,1,15)&gt;$T$396)),0,IF(DATE($C426,1,15)&gt;=$X$396,$AA$396*(1+($U$396)/100)^MAX(0,$C426-$AD$396),IF(DATE($C426,1,15)&gt;=$W$396,$Z$396*(1+($U$396)/100)^MAX(0,$C426-$AC$396),IF(DATE($C426,1,15)&gt;=$V$396,$Y$396*(1+($U$396)/100)^MAX(0,$C426-$AB$396),0)))))</f>
      </c>
      <c r="F426" s="43">
        <f>IF($S$396=0,0,IF(OR(DATE($C426,2,15)&lt;$S$396,AND($T$396&gt;0,DATE($C426,2,15)&gt;$T$396)),0,IF(DATE($C426,2,15)&gt;=$X$396,$AA$396*(1+($U$396)/100)^MAX(0,$C426-$AD$396),IF(DATE($C426,2,15)&gt;=$W$396,$Z$396*(1+($U$396)/100)^MAX(0,$C426-$AC$396),IF(DATE($C426,2,15)&gt;=$V$396,$Y$396*(1+($U$396)/100)^MAX(0,$C426-$AB$396),0)))))</f>
      </c>
      <c r="G426" s="43">
        <f>IF($S$396=0,0,IF(OR(DATE($C426,3,15)&lt;$S$396,AND($T$396&gt;0,DATE($C426,3,15)&gt;$T$396)),0,IF(DATE($C426,3,15)&gt;=$X$396,$AA$396*(1+($U$396)/100)^MAX(0,$C426-$AD$396),IF(DATE($C426,3,15)&gt;=$W$396,$Z$396*(1+($U$396)/100)^MAX(0,$C426-$AC$396),IF(DATE($C426,3,15)&gt;=$V$396,$Y$396*(1+($U$396)/100)^MAX(0,$C426-$AB$396),0)))))</f>
      </c>
      <c r="H426" s="43">
        <f>IF($S$396=0,0,IF(OR(DATE($C426,4,15)&lt;$S$396,AND($T$396&gt;0,DATE($C426,4,15)&gt;$T$396)),0,IF(DATE($C426,4,15)&gt;=$X$396,$AA$396*(1+($U$396)/100)^MAX(0,$C426-$AD$396),IF(DATE($C426,4,15)&gt;=$W$396,$Z$396*(1+($U$396)/100)^MAX(0,$C426-$AC$396),IF(DATE($C426,4,15)&gt;=$V$396,$Y$396*(1+($U$396)/100)^MAX(0,$C426-$AB$396),0)))))</f>
      </c>
      <c r="I426" s="43">
        <f>IF($S$396=0,0,IF(OR(DATE($C426,5,15)&lt;$S$396,AND($T$396&gt;0,DATE($C426,5,15)&gt;$T$396)),0,IF(DATE($C426,5,15)&gt;=$X$396,$AA$396*(1+($U$396)/100)^MAX(0,$C426-$AD$396),IF(DATE($C426,5,15)&gt;=$W$396,$Z$396*(1+($U$396)/100)^MAX(0,$C426-$AC$396),IF(DATE($C426,5,15)&gt;=$V$396,$Y$396*(1+($U$396)/100)^MAX(0,$C426-$AB$396),0)))))</f>
      </c>
      <c r="J426" s="43">
        <f>IF($S$396=0,0,IF(OR(DATE($C426,6,15)&lt;$S$396,AND($T$396&gt;0,DATE($C426,6,15)&gt;$T$396)),0,IF(DATE($C426,6,15)&gt;=$X$396,$AA$396*(1+($U$396)/100)^MAX(0,$C426-$AD$396),IF(DATE($C426,6,15)&gt;=$W$396,$Z$396*(1+($U$396)/100)^MAX(0,$C426-$AC$396),IF(DATE($C426,6,15)&gt;=$V$396,$Y$396*(1+($U$396)/100)^MAX(0,$C426-$AB$396),0)))))</f>
      </c>
      <c r="K426" s="43">
        <f>IF($S$396=0,0,IF(OR(DATE($C426,7,15)&lt;$S$396,AND($T$396&gt;0,DATE($C426,7,15)&gt;$T$396)),0,IF(DATE($C426,7,15)&gt;=$X$396,$AA$396*(1+($U$396)/100)^MAX(0,$C426-$AD$396),IF(DATE($C426,7,15)&gt;=$W$396,$Z$396*(1+($U$396)/100)^MAX(0,$C426-$AC$396),IF(DATE($C426,7,15)&gt;=$V$396,$Y$396*(1+($U$396)/100)^MAX(0,$C426-$AB$396),0)))))</f>
      </c>
      <c r="L426" s="43">
        <f>IF($S$396=0,0,IF(OR(DATE($C426,8,15)&lt;$S$396,AND($T$396&gt;0,DATE($C426,8,15)&gt;$T$396)),0,IF(DATE($C426,8,15)&gt;=$X$396,$AA$396*(1+($U$396)/100)^MAX(0,$C426-$AD$396),IF(DATE($C426,8,15)&gt;=$W$396,$Z$396*(1+($U$396)/100)^MAX(0,$C426-$AC$396),IF(DATE($C426,8,15)&gt;=$V$396,$Y$396*(1+($U$396)/100)^MAX(0,$C426-$AB$396),0)))))</f>
      </c>
      <c r="M426" s="43">
        <f>IF($S$396=0,0,IF(OR(DATE($C426,9,15)&lt;$S$396,AND($T$396&gt;0,DATE($C426,9,15)&gt;$T$396)),0,IF(DATE($C426,9,15)&gt;=$X$396,$AA$396*(1+($U$396)/100)^MAX(0,$C426-$AD$396),IF(DATE($C426,9,15)&gt;=$W$396,$Z$396*(1+($U$396)/100)^MAX(0,$C426-$AC$396),IF(DATE($C426,9,15)&gt;=$V$396,$Y$396*(1+($U$396)/100)^MAX(0,$C426-$AB$396),0)))))</f>
      </c>
      <c r="N426" s="43">
        <f>IF($S$396=0,0,IF(OR(DATE($C426,10,15)&lt;$S$396,AND($T$396&gt;0,DATE($C426,10,15)&gt;$T$396)),0,IF(DATE($C426,10,15)&gt;=$X$396,$AA$396*(1+($U$396)/100)^MAX(0,$C426-$AD$396),IF(DATE($C426,10,15)&gt;=$W$396,$Z$396*(1+($U$396)/100)^MAX(0,$C426-$AC$396),IF(DATE($C426,10,15)&gt;=$V$396,$Y$396*(1+($U$396)/100)^MAX(0,$C426-$AB$396),0)))))</f>
      </c>
      <c r="O426" s="43">
        <f>IF($S$396=0,0,IF(OR(DATE($C426,11,15)&lt;$S$396,AND($T$396&gt;0,DATE($C426,11,15)&gt;$T$396)),0,IF(DATE($C426,11,15)&gt;=$X$396,$AA$396*(1+($U$396)/100)^MAX(0,$C426-$AD$396),IF(DATE($C426,11,15)&gt;=$W$396,$Z$396*(1+($U$396)/100)^MAX(0,$C426-$AC$396),IF(DATE($C426,11,15)&gt;=$V$396,$Y$396*(1+($U$396)/100)^MAX(0,$C426-$AB$396),0)))))</f>
      </c>
      <c r="P426" s="43">
        <f>IF($S$396=0,0,IF(OR(DATE($C426,12,15)&lt;$S$396,AND($T$396&gt;0,DATE($C426,12,15)&gt;$T$396)),0,IF(DATE($C426,12,15)&gt;=$X$396,$AA$396*(1+($U$396)/100)^MAX(0,$C426-$AD$396),IF(DATE($C426,12,15)&gt;=$W$396,$Z$396*(1+($U$396)/100)^MAX(0,$C426-$AC$396),IF(DATE($C426,12,15)&gt;=$V$396,$Y$396*(1+($U$396)/100)^MAX(0,$C426-$AB$396),0)))))</f>
      </c>
      <c r="Q426" s="43">
        <f>SUM($E426:$P426)</f>
      </c>
    </row>
    <row r="427">
      <c r="A427"/>
      <c r="B427">
        <v>14</v>
      </c>
      <c r="C427" s="43">
        <f>Jahr+0</f>
      </c>
      <c r="D427" s="43">
        <f>INDEX(MvObj,14)</f>
      </c>
      <c r="E427" s="43">
        <f>IF($S$427=0,0,IF(OR(DATE($C427,1,15)&lt;$S$427,AND($T$427&gt;0,DATE($C427,1,15)&gt;$T$427)),0,IF(DATE($C427,1,15)&gt;=$X$427,$AA$427*(1+($U$427)/100)^MAX(0,$C427-$AD$427),IF(DATE($C427,1,15)&gt;=$W$427,$Z$427*(1+($U$427)/100)^MAX(0,$C427-$AC$427),IF(DATE($C427,1,15)&gt;=$V$427,$Y$427*(1+($U$427)/100)^MAX(0,$C427-$AB$427),0)))))</f>
      </c>
      <c r="F427" s="43">
        <f>IF($S$427=0,0,IF(OR(DATE($C427,2,15)&lt;$S$427,AND($T$427&gt;0,DATE($C427,2,15)&gt;$T$427)),0,IF(DATE($C427,2,15)&gt;=$X$427,$AA$427*(1+($U$427)/100)^MAX(0,$C427-$AD$427),IF(DATE($C427,2,15)&gt;=$W$427,$Z$427*(1+($U$427)/100)^MAX(0,$C427-$AC$427),IF(DATE($C427,2,15)&gt;=$V$427,$Y$427*(1+($U$427)/100)^MAX(0,$C427-$AB$427),0)))))</f>
      </c>
      <c r="G427" s="43">
        <f>IF($S$427=0,0,IF(OR(DATE($C427,3,15)&lt;$S$427,AND($T$427&gt;0,DATE($C427,3,15)&gt;$T$427)),0,IF(DATE($C427,3,15)&gt;=$X$427,$AA$427*(1+($U$427)/100)^MAX(0,$C427-$AD$427),IF(DATE($C427,3,15)&gt;=$W$427,$Z$427*(1+($U$427)/100)^MAX(0,$C427-$AC$427),IF(DATE($C427,3,15)&gt;=$V$427,$Y$427*(1+($U$427)/100)^MAX(0,$C427-$AB$427),0)))))</f>
      </c>
      <c r="H427" s="43">
        <f>IF($S$427=0,0,IF(OR(DATE($C427,4,15)&lt;$S$427,AND($T$427&gt;0,DATE($C427,4,15)&gt;$T$427)),0,IF(DATE($C427,4,15)&gt;=$X$427,$AA$427*(1+($U$427)/100)^MAX(0,$C427-$AD$427),IF(DATE($C427,4,15)&gt;=$W$427,$Z$427*(1+($U$427)/100)^MAX(0,$C427-$AC$427),IF(DATE($C427,4,15)&gt;=$V$427,$Y$427*(1+($U$427)/100)^MAX(0,$C427-$AB$427),0)))))</f>
      </c>
      <c r="I427" s="43">
        <f>IF($S$427=0,0,IF(OR(DATE($C427,5,15)&lt;$S$427,AND($T$427&gt;0,DATE($C427,5,15)&gt;$T$427)),0,IF(DATE($C427,5,15)&gt;=$X$427,$AA$427*(1+($U$427)/100)^MAX(0,$C427-$AD$427),IF(DATE($C427,5,15)&gt;=$W$427,$Z$427*(1+($U$427)/100)^MAX(0,$C427-$AC$427),IF(DATE($C427,5,15)&gt;=$V$427,$Y$427*(1+($U$427)/100)^MAX(0,$C427-$AB$427),0)))))</f>
      </c>
      <c r="J427" s="43">
        <f>IF($S$427=0,0,IF(OR(DATE($C427,6,15)&lt;$S$427,AND($T$427&gt;0,DATE($C427,6,15)&gt;$T$427)),0,IF(DATE($C427,6,15)&gt;=$X$427,$AA$427*(1+($U$427)/100)^MAX(0,$C427-$AD$427),IF(DATE($C427,6,15)&gt;=$W$427,$Z$427*(1+($U$427)/100)^MAX(0,$C427-$AC$427),IF(DATE($C427,6,15)&gt;=$V$427,$Y$427*(1+($U$427)/100)^MAX(0,$C427-$AB$427),0)))))</f>
      </c>
      <c r="K427" s="43">
        <f>IF($S$427=0,0,IF(OR(DATE($C427,7,15)&lt;$S$427,AND($T$427&gt;0,DATE($C427,7,15)&gt;$T$427)),0,IF(DATE($C427,7,15)&gt;=$X$427,$AA$427*(1+($U$427)/100)^MAX(0,$C427-$AD$427),IF(DATE($C427,7,15)&gt;=$W$427,$Z$427*(1+($U$427)/100)^MAX(0,$C427-$AC$427),IF(DATE($C427,7,15)&gt;=$V$427,$Y$427*(1+($U$427)/100)^MAX(0,$C427-$AB$427),0)))))</f>
      </c>
      <c r="L427" s="43">
        <f>IF($S$427=0,0,IF(OR(DATE($C427,8,15)&lt;$S$427,AND($T$427&gt;0,DATE($C427,8,15)&gt;$T$427)),0,IF(DATE($C427,8,15)&gt;=$X$427,$AA$427*(1+($U$427)/100)^MAX(0,$C427-$AD$427),IF(DATE($C427,8,15)&gt;=$W$427,$Z$427*(1+($U$427)/100)^MAX(0,$C427-$AC$427),IF(DATE($C427,8,15)&gt;=$V$427,$Y$427*(1+($U$427)/100)^MAX(0,$C427-$AB$427),0)))))</f>
      </c>
      <c r="M427" s="43">
        <f>IF($S$427=0,0,IF(OR(DATE($C427,9,15)&lt;$S$427,AND($T$427&gt;0,DATE($C427,9,15)&gt;$T$427)),0,IF(DATE($C427,9,15)&gt;=$X$427,$AA$427*(1+($U$427)/100)^MAX(0,$C427-$AD$427),IF(DATE($C427,9,15)&gt;=$W$427,$Z$427*(1+($U$427)/100)^MAX(0,$C427-$AC$427),IF(DATE($C427,9,15)&gt;=$V$427,$Y$427*(1+($U$427)/100)^MAX(0,$C427-$AB$427),0)))))</f>
      </c>
      <c r="N427" s="43">
        <f>IF($S$427=0,0,IF(OR(DATE($C427,10,15)&lt;$S$427,AND($T$427&gt;0,DATE($C427,10,15)&gt;$T$427)),0,IF(DATE($C427,10,15)&gt;=$X$427,$AA$427*(1+($U$427)/100)^MAX(0,$C427-$AD$427),IF(DATE($C427,10,15)&gt;=$W$427,$Z$427*(1+($U$427)/100)^MAX(0,$C427-$AC$427),IF(DATE($C427,10,15)&gt;=$V$427,$Y$427*(1+($U$427)/100)^MAX(0,$C427-$AB$427),0)))))</f>
      </c>
      <c r="O427" s="43">
        <f>IF($S$427=0,0,IF(OR(DATE($C427,11,15)&lt;$S$427,AND($T$427&gt;0,DATE($C427,11,15)&gt;$T$427)),0,IF(DATE($C427,11,15)&gt;=$X$427,$AA$427*(1+($U$427)/100)^MAX(0,$C427-$AD$427),IF(DATE($C427,11,15)&gt;=$W$427,$Z$427*(1+($U$427)/100)^MAX(0,$C427-$AC$427),IF(DATE($C427,11,15)&gt;=$V$427,$Y$427*(1+($U$427)/100)^MAX(0,$C427-$AB$427),0)))))</f>
      </c>
      <c r="P427" s="43">
        <f>IF($S$427=0,0,IF(OR(DATE($C427,12,15)&lt;$S$427,AND($T$427&gt;0,DATE($C427,12,15)&gt;$T$427)),0,IF(DATE($C427,12,15)&gt;=$X$427,$AA$427*(1+($U$427)/100)^MAX(0,$C427-$AD$427),IF(DATE($C427,12,15)&gt;=$W$427,$Z$427*(1+($U$427)/100)^MAX(0,$C427-$AC$427),IF(DATE($C427,12,15)&gt;=$V$427,$Y$427*(1+($U$427)/100)^MAX(0,$C427-$AB$427),0)))))</f>
      </c>
      <c r="Q427" s="43">
        <f>SUM($E427:$P427)</f>
      </c>
      <c r="R427"/>
      <c r="S427" s="43">
        <f>IF(INDEX(MvBeginn,14)="",0,INDEX(MvBeginn,14))</f>
      </c>
      <c r="T427" s="43">
        <f>INDEX(MvEnde,14)</f>
      </c>
      <c r="U427" s="43">
        <f>INDEX(MvSatz,14)</f>
      </c>
      <c r="V427" s="43">
        <f>INDEX(MvKey1,14)</f>
      </c>
      <c r="W427" s="43">
        <f>INDEX(MvKey2,14)</f>
      </c>
      <c r="X427" s="43">
        <f>INDEX(MvKey3,14)</f>
      </c>
      <c r="Y427" s="43">
        <f>INDEX(MvKalt1,14)</f>
      </c>
      <c r="Z427" s="43">
        <f>INDEX(MvKalt2,14)</f>
      </c>
      <c r="AA427" s="43">
        <f>INDEX(MvKalt3,14)</f>
      </c>
      <c r="AB427" s="43">
        <f>MAX(YEAR(INDEX(MvAb1,14)),Jahr)</f>
      </c>
      <c r="AC427" s="43">
        <f>MAX(YEAR(INDEX(MvAb2,14)),Jahr)</f>
      </c>
      <c r="AD427" s="43">
        <f>MAX(YEAR(INDEX(MvAb3,14)),Jahr)</f>
      </c>
    </row>
    <row r="428">
      <c r="A428"/>
      <c r="B428">
        <v>14</v>
      </c>
      <c r="C428" s="43">
        <f>Jahr+1</f>
      </c>
      <c r="D428" s="43">
        <f>INDEX(MvObj,14)</f>
      </c>
      <c r="E428" s="43">
        <f>IF($S$427=0,0,IF(OR(DATE($C428,1,15)&lt;$S$427,AND($T$427&gt;0,DATE($C428,1,15)&gt;$T$427)),0,IF(DATE($C428,1,15)&gt;=$X$427,$AA$427*(1+($U$427)/100)^MAX(0,$C428-$AD$427),IF(DATE($C428,1,15)&gt;=$W$427,$Z$427*(1+($U$427)/100)^MAX(0,$C428-$AC$427),IF(DATE($C428,1,15)&gt;=$V$427,$Y$427*(1+($U$427)/100)^MAX(0,$C428-$AB$427),0)))))</f>
      </c>
      <c r="F428" s="43">
        <f>IF($S$427=0,0,IF(OR(DATE($C428,2,15)&lt;$S$427,AND($T$427&gt;0,DATE($C428,2,15)&gt;$T$427)),0,IF(DATE($C428,2,15)&gt;=$X$427,$AA$427*(1+($U$427)/100)^MAX(0,$C428-$AD$427),IF(DATE($C428,2,15)&gt;=$W$427,$Z$427*(1+($U$427)/100)^MAX(0,$C428-$AC$427),IF(DATE($C428,2,15)&gt;=$V$427,$Y$427*(1+($U$427)/100)^MAX(0,$C428-$AB$427),0)))))</f>
      </c>
      <c r="G428" s="43">
        <f>IF($S$427=0,0,IF(OR(DATE($C428,3,15)&lt;$S$427,AND($T$427&gt;0,DATE($C428,3,15)&gt;$T$427)),0,IF(DATE($C428,3,15)&gt;=$X$427,$AA$427*(1+($U$427)/100)^MAX(0,$C428-$AD$427),IF(DATE($C428,3,15)&gt;=$W$427,$Z$427*(1+($U$427)/100)^MAX(0,$C428-$AC$427),IF(DATE($C428,3,15)&gt;=$V$427,$Y$427*(1+($U$427)/100)^MAX(0,$C428-$AB$427),0)))))</f>
      </c>
      <c r="H428" s="43">
        <f>IF($S$427=0,0,IF(OR(DATE($C428,4,15)&lt;$S$427,AND($T$427&gt;0,DATE($C428,4,15)&gt;$T$427)),0,IF(DATE($C428,4,15)&gt;=$X$427,$AA$427*(1+($U$427)/100)^MAX(0,$C428-$AD$427),IF(DATE($C428,4,15)&gt;=$W$427,$Z$427*(1+($U$427)/100)^MAX(0,$C428-$AC$427),IF(DATE($C428,4,15)&gt;=$V$427,$Y$427*(1+($U$427)/100)^MAX(0,$C428-$AB$427),0)))))</f>
      </c>
      <c r="I428" s="43">
        <f>IF($S$427=0,0,IF(OR(DATE($C428,5,15)&lt;$S$427,AND($T$427&gt;0,DATE($C428,5,15)&gt;$T$427)),0,IF(DATE($C428,5,15)&gt;=$X$427,$AA$427*(1+($U$427)/100)^MAX(0,$C428-$AD$427),IF(DATE($C428,5,15)&gt;=$W$427,$Z$427*(1+($U$427)/100)^MAX(0,$C428-$AC$427),IF(DATE($C428,5,15)&gt;=$V$427,$Y$427*(1+($U$427)/100)^MAX(0,$C428-$AB$427),0)))))</f>
      </c>
      <c r="J428" s="43">
        <f>IF($S$427=0,0,IF(OR(DATE($C428,6,15)&lt;$S$427,AND($T$427&gt;0,DATE($C428,6,15)&gt;$T$427)),0,IF(DATE($C428,6,15)&gt;=$X$427,$AA$427*(1+($U$427)/100)^MAX(0,$C428-$AD$427),IF(DATE($C428,6,15)&gt;=$W$427,$Z$427*(1+($U$427)/100)^MAX(0,$C428-$AC$427),IF(DATE($C428,6,15)&gt;=$V$427,$Y$427*(1+($U$427)/100)^MAX(0,$C428-$AB$427),0)))))</f>
      </c>
      <c r="K428" s="43">
        <f>IF($S$427=0,0,IF(OR(DATE($C428,7,15)&lt;$S$427,AND($T$427&gt;0,DATE($C428,7,15)&gt;$T$427)),0,IF(DATE($C428,7,15)&gt;=$X$427,$AA$427*(1+($U$427)/100)^MAX(0,$C428-$AD$427),IF(DATE($C428,7,15)&gt;=$W$427,$Z$427*(1+($U$427)/100)^MAX(0,$C428-$AC$427),IF(DATE($C428,7,15)&gt;=$V$427,$Y$427*(1+($U$427)/100)^MAX(0,$C428-$AB$427),0)))))</f>
      </c>
      <c r="L428" s="43">
        <f>IF($S$427=0,0,IF(OR(DATE($C428,8,15)&lt;$S$427,AND($T$427&gt;0,DATE($C428,8,15)&gt;$T$427)),0,IF(DATE($C428,8,15)&gt;=$X$427,$AA$427*(1+($U$427)/100)^MAX(0,$C428-$AD$427),IF(DATE($C428,8,15)&gt;=$W$427,$Z$427*(1+($U$427)/100)^MAX(0,$C428-$AC$427),IF(DATE($C428,8,15)&gt;=$V$427,$Y$427*(1+($U$427)/100)^MAX(0,$C428-$AB$427),0)))))</f>
      </c>
      <c r="M428" s="43">
        <f>IF($S$427=0,0,IF(OR(DATE($C428,9,15)&lt;$S$427,AND($T$427&gt;0,DATE($C428,9,15)&gt;$T$427)),0,IF(DATE($C428,9,15)&gt;=$X$427,$AA$427*(1+($U$427)/100)^MAX(0,$C428-$AD$427),IF(DATE($C428,9,15)&gt;=$W$427,$Z$427*(1+($U$427)/100)^MAX(0,$C428-$AC$427),IF(DATE($C428,9,15)&gt;=$V$427,$Y$427*(1+($U$427)/100)^MAX(0,$C428-$AB$427),0)))))</f>
      </c>
      <c r="N428" s="43">
        <f>IF($S$427=0,0,IF(OR(DATE($C428,10,15)&lt;$S$427,AND($T$427&gt;0,DATE($C428,10,15)&gt;$T$427)),0,IF(DATE($C428,10,15)&gt;=$X$427,$AA$427*(1+($U$427)/100)^MAX(0,$C428-$AD$427),IF(DATE($C428,10,15)&gt;=$W$427,$Z$427*(1+($U$427)/100)^MAX(0,$C428-$AC$427),IF(DATE($C428,10,15)&gt;=$V$427,$Y$427*(1+($U$427)/100)^MAX(0,$C428-$AB$427),0)))))</f>
      </c>
      <c r="O428" s="43">
        <f>IF($S$427=0,0,IF(OR(DATE($C428,11,15)&lt;$S$427,AND($T$427&gt;0,DATE($C428,11,15)&gt;$T$427)),0,IF(DATE($C428,11,15)&gt;=$X$427,$AA$427*(1+($U$427)/100)^MAX(0,$C428-$AD$427),IF(DATE($C428,11,15)&gt;=$W$427,$Z$427*(1+($U$427)/100)^MAX(0,$C428-$AC$427),IF(DATE($C428,11,15)&gt;=$V$427,$Y$427*(1+($U$427)/100)^MAX(0,$C428-$AB$427),0)))))</f>
      </c>
      <c r="P428" s="43">
        <f>IF($S$427=0,0,IF(OR(DATE($C428,12,15)&lt;$S$427,AND($T$427&gt;0,DATE($C428,12,15)&gt;$T$427)),0,IF(DATE($C428,12,15)&gt;=$X$427,$AA$427*(1+($U$427)/100)^MAX(0,$C428-$AD$427),IF(DATE($C428,12,15)&gt;=$W$427,$Z$427*(1+($U$427)/100)^MAX(0,$C428-$AC$427),IF(DATE($C428,12,15)&gt;=$V$427,$Y$427*(1+($U$427)/100)^MAX(0,$C428-$AB$427),0)))))</f>
      </c>
      <c r="Q428" s="43">
        <f>SUM($E428:$P428)</f>
      </c>
    </row>
    <row r="429">
      <c r="A429"/>
      <c r="B429">
        <v>14</v>
      </c>
      <c r="C429" s="43">
        <f>Jahr+2</f>
      </c>
      <c r="D429" s="43">
        <f>INDEX(MvObj,14)</f>
      </c>
      <c r="E429" s="43">
        <f>IF($S$427=0,0,IF(OR(DATE($C429,1,15)&lt;$S$427,AND($T$427&gt;0,DATE($C429,1,15)&gt;$T$427)),0,IF(DATE($C429,1,15)&gt;=$X$427,$AA$427*(1+($U$427)/100)^MAX(0,$C429-$AD$427),IF(DATE($C429,1,15)&gt;=$W$427,$Z$427*(1+($U$427)/100)^MAX(0,$C429-$AC$427),IF(DATE($C429,1,15)&gt;=$V$427,$Y$427*(1+($U$427)/100)^MAX(0,$C429-$AB$427),0)))))</f>
      </c>
      <c r="F429" s="43">
        <f>IF($S$427=0,0,IF(OR(DATE($C429,2,15)&lt;$S$427,AND($T$427&gt;0,DATE($C429,2,15)&gt;$T$427)),0,IF(DATE($C429,2,15)&gt;=$X$427,$AA$427*(1+($U$427)/100)^MAX(0,$C429-$AD$427),IF(DATE($C429,2,15)&gt;=$W$427,$Z$427*(1+($U$427)/100)^MAX(0,$C429-$AC$427),IF(DATE($C429,2,15)&gt;=$V$427,$Y$427*(1+($U$427)/100)^MAX(0,$C429-$AB$427),0)))))</f>
      </c>
      <c r="G429" s="43">
        <f>IF($S$427=0,0,IF(OR(DATE($C429,3,15)&lt;$S$427,AND($T$427&gt;0,DATE($C429,3,15)&gt;$T$427)),0,IF(DATE($C429,3,15)&gt;=$X$427,$AA$427*(1+($U$427)/100)^MAX(0,$C429-$AD$427),IF(DATE($C429,3,15)&gt;=$W$427,$Z$427*(1+($U$427)/100)^MAX(0,$C429-$AC$427),IF(DATE($C429,3,15)&gt;=$V$427,$Y$427*(1+($U$427)/100)^MAX(0,$C429-$AB$427),0)))))</f>
      </c>
      <c r="H429" s="43">
        <f>IF($S$427=0,0,IF(OR(DATE($C429,4,15)&lt;$S$427,AND($T$427&gt;0,DATE($C429,4,15)&gt;$T$427)),0,IF(DATE($C429,4,15)&gt;=$X$427,$AA$427*(1+($U$427)/100)^MAX(0,$C429-$AD$427),IF(DATE($C429,4,15)&gt;=$W$427,$Z$427*(1+($U$427)/100)^MAX(0,$C429-$AC$427),IF(DATE($C429,4,15)&gt;=$V$427,$Y$427*(1+($U$427)/100)^MAX(0,$C429-$AB$427),0)))))</f>
      </c>
      <c r="I429" s="43">
        <f>IF($S$427=0,0,IF(OR(DATE($C429,5,15)&lt;$S$427,AND($T$427&gt;0,DATE($C429,5,15)&gt;$T$427)),0,IF(DATE($C429,5,15)&gt;=$X$427,$AA$427*(1+($U$427)/100)^MAX(0,$C429-$AD$427),IF(DATE($C429,5,15)&gt;=$W$427,$Z$427*(1+($U$427)/100)^MAX(0,$C429-$AC$427),IF(DATE($C429,5,15)&gt;=$V$427,$Y$427*(1+($U$427)/100)^MAX(0,$C429-$AB$427),0)))))</f>
      </c>
      <c r="J429" s="43">
        <f>IF($S$427=0,0,IF(OR(DATE($C429,6,15)&lt;$S$427,AND($T$427&gt;0,DATE($C429,6,15)&gt;$T$427)),0,IF(DATE($C429,6,15)&gt;=$X$427,$AA$427*(1+($U$427)/100)^MAX(0,$C429-$AD$427),IF(DATE($C429,6,15)&gt;=$W$427,$Z$427*(1+($U$427)/100)^MAX(0,$C429-$AC$427),IF(DATE($C429,6,15)&gt;=$V$427,$Y$427*(1+($U$427)/100)^MAX(0,$C429-$AB$427),0)))))</f>
      </c>
      <c r="K429" s="43">
        <f>IF($S$427=0,0,IF(OR(DATE($C429,7,15)&lt;$S$427,AND($T$427&gt;0,DATE($C429,7,15)&gt;$T$427)),0,IF(DATE($C429,7,15)&gt;=$X$427,$AA$427*(1+($U$427)/100)^MAX(0,$C429-$AD$427),IF(DATE($C429,7,15)&gt;=$W$427,$Z$427*(1+($U$427)/100)^MAX(0,$C429-$AC$427),IF(DATE($C429,7,15)&gt;=$V$427,$Y$427*(1+($U$427)/100)^MAX(0,$C429-$AB$427),0)))))</f>
      </c>
      <c r="L429" s="43">
        <f>IF($S$427=0,0,IF(OR(DATE($C429,8,15)&lt;$S$427,AND($T$427&gt;0,DATE($C429,8,15)&gt;$T$427)),0,IF(DATE($C429,8,15)&gt;=$X$427,$AA$427*(1+($U$427)/100)^MAX(0,$C429-$AD$427),IF(DATE($C429,8,15)&gt;=$W$427,$Z$427*(1+($U$427)/100)^MAX(0,$C429-$AC$427),IF(DATE($C429,8,15)&gt;=$V$427,$Y$427*(1+($U$427)/100)^MAX(0,$C429-$AB$427),0)))))</f>
      </c>
      <c r="M429" s="43">
        <f>IF($S$427=0,0,IF(OR(DATE($C429,9,15)&lt;$S$427,AND($T$427&gt;0,DATE($C429,9,15)&gt;$T$427)),0,IF(DATE($C429,9,15)&gt;=$X$427,$AA$427*(1+($U$427)/100)^MAX(0,$C429-$AD$427),IF(DATE($C429,9,15)&gt;=$W$427,$Z$427*(1+($U$427)/100)^MAX(0,$C429-$AC$427),IF(DATE($C429,9,15)&gt;=$V$427,$Y$427*(1+($U$427)/100)^MAX(0,$C429-$AB$427),0)))))</f>
      </c>
      <c r="N429" s="43">
        <f>IF($S$427=0,0,IF(OR(DATE($C429,10,15)&lt;$S$427,AND($T$427&gt;0,DATE($C429,10,15)&gt;$T$427)),0,IF(DATE($C429,10,15)&gt;=$X$427,$AA$427*(1+($U$427)/100)^MAX(0,$C429-$AD$427),IF(DATE($C429,10,15)&gt;=$W$427,$Z$427*(1+($U$427)/100)^MAX(0,$C429-$AC$427),IF(DATE($C429,10,15)&gt;=$V$427,$Y$427*(1+($U$427)/100)^MAX(0,$C429-$AB$427),0)))))</f>
      </c>
      <c r="O429" s="43">
        <f>IF($S$427=0,0,IF(OR(DATE($C429,11,15)&lt;$S$427,AND($T$427&gt;0,DATE($C429,11,15)&gt;$T$427)),0,IF(DATE($C429,11,15)&gt;=$X$427,$AA$427*(1+($U$427)/100)^MAX(0,$C429-$AD$427),IF(DATE($C429,11,15)&gt;=$W$427,$Z$427*(1+($U$427)/100)^MAX(0,$C429-$AC$427),IF(DATE($C429,11,15)&gt;=$V$427,$Y$427*(1+($U$427)/100)^MAX(0,$C429-$AB$427),0)))))</f>
      </c>
      <c r="P429" s="43">
        <f>IF($S$427=0,0,IF(OR(DATE($C429,12,15)&lt;$S$427,AND($T$427&gt;0,DATE($C429,12,15)&gt;$T$427)),0,IF(DATE($C429,12,15)&gt;=$X$427,$AA$427*(1+($U$427)/100)^MAX(0,$C429-$AD$427),IF(DATE($C429,12,15)&gt;=$W$427,$Z$427*(1+($U$427)/100)^MAX(0,$C429-$AC$427),IF(DATE($C429,12,15)&gt;=$V$427,$Y$427*(1+($U$427)/100)^MAX(0,$C429-$AB$427),0)))))</f>
      </c>
      <c r="Q429" s="43">
        <f>SUM($E429:$P429)</f>
      </c>
    </row>
    <row r="430">
      <c r="A430"/>
      <c r="B430">
        <v>14</v>
      </c>
      <c r="C430" s="43">
        <f>Jahr+3</f>
      </c>
      <c r="D430" s="43">
        <f>INDEX(MvObj,14)</f>
      </c>
      <c r="E430" s="43">
        <f>IF($S$427=0,0,IF(OR(DATE($C430,1,15)&lt;$S$427,AND($T$427&gt;0,DATE($C430,1,15)&gt;$T$427)),0,IF(DATE($C430,1,15)&gt;=$X$427,$AA$427*(1+($U$427)/100)^MAX(0,$C430-$AD$427),IF(DATE($C430,1,15)&gt;=$W$427,$Z$427*(1+($U$427)/100)^MAX(0,$C430-$AC$427),IF(DATE($C430,1,15)&gt;=$V$427,$Y$427*(1+($U$427)/100)^MAX(0,$C430-$AB$427),0)))))</f>
      </c>
      <c r="F430" s="43">
        <f>IF($S$427=0,0,IF(OR(DATE($C430,2,15)&lt;$S$427,AND($T$427&gt;0,DATE($C430,2,15)&gt;$T$427)),0,IF(DATE($C430,2,15)&gt;=$X$427,$AA$427*(1+($U$427)/100)^MAX(0,$C430-$AD$427),IF(DATE($C430,2,15)&gt;=$W$427,$Z$427*(1+($U$427)/100)^MAX(0,$C430-$AC$427),IF(DATE($C430,2,15)&gt;=$V$427,$Y$427*(1+($U$427)/100)^MAX(0,$C430-$AB$427),0)))))</f>
      </c>
      <c r="G430" s="43">
        <f>IF($S$427=0,0,IF(OR(DATE($C430,3,15)&lt;$S$427,AND($T$427&gt;0,DATE($C430,3,15)&gt;$T$427)),0,IF(DATE($C430,3,15)&gt;=$X$427,$AA$427*(1+($U$427)/100)^MAX(0,$C430-$AD$427),IF(DATE($C430,3,15)&gt;=$W$427,$Z$427*(1+($U$427)/100)^MAX(0,$C430-$AC$427),IF(DATE($C430,3,15)&gt;=$V$427,$Y$427*(1+($U$427)/100)^MAX(0,$C430-$AB$427),0)))))</f>
      </c>
      <c r="H430" s="43">
        <f>IF($S$427=0,0,IF(OR(DATE($C430,4,15)&lt;$S$427,AND($T$427&gt;0,DATE($C430,4,15)&gt;$T$427)),0,IF(DATE($C430,4,15)&gt;=$X$427,$AA$427*(1+($U$427)/100)^MAX(0,$C430-$AD$427),IF(DATE($C430,4,15)&gt;=$W$427,$Z$427*(1+($U$427)/100)^MAX(0,$C430-$AC$427),IF(DATE($C430,4,15)&gt;=$V$427,$Y$427*(1+($U$427)/100)^MAX(0,$C430-$AB$427),0)))))</f>
      </c>
      <c r="I430" s="43">
        <f>IF($S$427=0,0,IF(OR(DATE($C430,5,15)&lt;$S$427,AND($T$427&gt;0,DATE($C430,5,15)&gt;$T$427)),0,IF(DATE($C430,5,15)&gt;=$X$427,$AA$427*(1+($U$427)/100)^MAX(0,$C430-$AD$427),IF(DATE($C430,5,15)&gt;=$W$427,$Z$427*(1+($U$427)/100)^MAX(0,$C430-$AC$427),IF(DATE($C430,5,15)&gt;=$V$427,$Y$427*(1+($U$427)/100)^MAX(0,$C430-$AB$427),0)))))</f>
      </c>
      <c r="J430" s="43">
        <f>IF($S$427=0,0,IF(OR(DATE($C430,6,15)&lt;$S$427,AND($T$427&gt;0,DATE($C430,6,15)&gt;$T$427)),0,IF(DATE($C430,6,15)&gt;=$X$427,$AA$427*(1+($U$427)/100)^MAX(0,$C430-$AD$427),IF(DATE($C430,6,15)&gt;=$W$427,$Z$427*(1+($U$427)/100)^MAX(0,$C430-$AC$427),IF(DATE($C430,6,15)&gt;=$V$427,$Y$427*(1+($U$427)/100)^MAX(0,$C430-$AB$427),0)))))</f>
      </c>
      <c r="K430" s="43">
        <f>IF($S$427=0,0,IF(OR(DATE($C430,7,15)&lt;$S$427,AND($T$427&gt;0,DATE($C430,7,15)&gt;$T$427)),0,IF(DATE($C430,7,15)&gt;=$X$427,$AA$427*(1+($U$427)/100)^MAX(0,$C430-$AD$427),IF(DATE($C430,7,15)&gt;=$W$427,$Z$427*(1+($U$427)/100)^MAX(0,$C430-$AC$427),IF(DATE($C430,7,15)&gt;=$V$427,$Y$427*(1+($U$427)/100)^MAX(0,$C430-$AB$427),0)))))</f>
      </c>
      <c r="L430" s="43">
        <f>IF($S$427=0,0,IF(OR(DATE($C430,8,15)&lt;$S$427,AND($T$427&gt;0,DATE($C430,8,15)&gt;$T$427)),0,IF(DATE($C430,8,15)&gt;=$X$427,$AA$427*(1+($U$427)/100)^MAX(0,$C430-$AD$427),IF(DATE($C430,8,15)&gt;=$W$427,$Z$427*(1+($U$427)/100)^MAX(0,$C430-$AC$427),IF(DATE($C430,8,15)&gt;=$V$427,$Y$427*(1+($U$427)/100)^MAX(0,$C430-$AB$427),0)))))</f>
      </c>
      <c r="M430" s="43">
        <f>IF($S$427=0,0,IF(OR(DATE($C430,9,15)&lt;$S$427,AND($T$427&gt;0,DATE($C430,9,15)&gt;$T$427)),0,IF(DATE($C430,9,15)&gt;=$X$427,$AA$427*(1+($U$427)/100)^MAX(0,$C430-$AD$427),IF(DATE($C430,9,15)&gt;=$W$427,$Z$427*(1+($U$427)/100)^MAX(0,$C430-$AC$427),IF(DATE($C430,9,15)&gt;=$V$427,$Y$427*(1+($U$427)/100)^MAX(0,$C430-$AB$427),0)))))</f>
      </c>
      <c r="N430" s="43">
        <f>IF($S$427=0,0,IF(OR(DATE($C430,10,15)&lt;$S$427,AND($T$427&gt;0,DATE($C430,10,15)&gt;$T$427)),0,IF(DATE($C430,10,15)&gt;=$X$427,$AA$427*(1+($U$427)/100)^MAX(0,$C430-$AD$427),IF(DATE($C430,10,15)&gt;=$W$427,$Z$427*(1+($U$427)/100)^MAX(0,$C430-$AC$427),IF(DATE($C430,10,15)&gt;=$V$427,$Y$427*(1+($U$427)/100)^MAX(0,$C430-$AB$427),0)))))</f>
      </c>
      <c r="O430" s="43">
        <f>IF($S$427=0,0,IF(OR(DATE($C430,11,15)&lt;$S$427,AND($T$427&gt;0,DATE($C430,11,15)&gt;$T$427)),0,IF(DATE($C430,11,15)&gt;=$X$427,$AA$427*(1+($U$427)/100)^MAX(0,$C430-$AD$427),IF(DATE($C430,11,15)&gt;=$W$427,$Z$427*(1+($U$427)/100)^MAX(0,$C430-$AC$427),IF(DATE($C430,11,15)&gt;=$V$427,$Y$427*(1+($U$427)/100)^MAX(0,$C430-$AB$427),0)))))</f>
      </c>
      <c r="P430" s="43">
        <f>IF($S$427=0,0,IF(OR(DATE($C430,12,15)&lt;$S$427,AND($T$427&gt;0,DATE($C430,12,15)&gt;$T$427)),0,IF(DATE($C430,12,15)&gt;=$X$427,$AA$427*(1+($U$427)/100)^MAX(0,$C430-$AD$427),IF(DATE($C430,12,15)&gt;=$W$427,$Z$427*(1+($U$427)/100)^MAX(0,$C430-$AC$427),IF(DATE($C430,12,15)&gt;=$V$427,$Y$427*(1+($U$427)/100)^MAX(0,$C430-$AB$427),0)))))</f>
      </c>
      <c r="Q430" s="43">
        <f>SUM($E430:$P430)</f>
      </c>
    </row>
    <row r="431">
      <c r="A431"/>
      <c r="B431">
        <v>14</v>
      </c>
      <c r="C431" s="43">
        <f>Jahr+4</f>
      </c>
      <c r="D431" s="43">
        <f>INDEX(MvObj,14)</f>
      </c>
      <c r="E431" s="43">
        <f>IF($S$427=0,0,IF(OR(DATE($C431,1,15)&lt;$S$427,AND($T$427&gt;0,DATE($C431,1,15)&gt;$T$427)),0,IF(DATE($C431,1,15)&gt;=$X$427,$AA$427*(1+($U$427)/100)^MAX(0,$C431-$AD$427),IF(DATE($C431,1,15)&gt;=$W$427,$Z$427*(1+($U$427)/100)^MAX(0,$C431-$AC$427),IF(DATE($C431,1,15)&gt;=$V$427,$Y$427*(1+($U$427)/100)^MAX(0,$C431-$AB$427),0)))))</f>
      </c>
      <c r="F431" s="43">
        <f>IF($S$427=0,0,IF(OR(DATE($C431,2,15)&lt;$S$427,AND($T$427&gt;0,DATE($C431,2,15)&gt;$T$427)),0,IF(DATE($C431,2,15)&gt;=$X$427,$AA$427*(1+($U$427)/100)^MAX(0,$C431-$AD$427),IF(DATE($C431,2,15)&gt;=$W$427,$Z$427*(1+($U$427)/100)^MAX(0,$C431-$AC$427),IF(DATE($C431,2,15)&gt;=$V$427,$Y$427*(1+($U$427)/100)^MAX(0,$C431-$AB$427),0)))))</f>
      </c>
      <c r="G431" s="43">
        <f>IF($S$427=0,0,IF(OR(DATE($C431,3,15)&lt;$S$427,AND($T$427&gt;0,DATE($C431,3,15)&gt;$T$427)),0,IF(DATE($C431,3,15)&gt;=$X$427,$AA$427*(1+($U$427)/100)^MAX(0,$C431-$AD$427),IF(DATE($C431,3,15)&gt;=$W$427,$Z$427*(1+($U$427)/100)^MAX(0,$C431-$AC$427),IF(DATE($C431,3,15)&gt;=$V$427,$Y$427*(1+($U$427)/100)^MAX(0,$C431-$AB$427),0)))))</f>
      </c>
      <c r="H431" s="43">
        <f>IF($S$427=0,0,IF(OR(DATE($C431,4,15)&lt;$S$427,AND($T$427&gt;0,DATE($C431,4,15)&gt;$T$427)),0,IF(DATE($C431,4,15)&gt;=$X$427,$AA$427*(1+($U$427)/100)^MAX(0,$C431-$AD$427),IF(DATE($C431,4,15)&gt;=$W$427,$Z$427*(1+($U$427)/100)^MAX(0,$C431-$AC$427),IF(DATE($C431,4,15)&gt;=$V$427,$Y$427*(1+($U$427)/100)^MAX(0,$C431-$AB$427),0)))))</f>
      </c>
      <c r="I431" s="43">
        <f>IF($S$427=0,0,IF(OR(DATE($C431,5,15)&lt;$S$427,AND($T$427&gt;0,DATE($C431,5,15)&gt;$T$427)),0,IF(DATE($C431,5,15)&gt;=$X$427,$AA$427*(1+($U$427)/100)^MAX(0,$C431-$AD$427),IF(DATE($C431,5,15)&gt;=$W$427,$Z$427*(1+($U$427)/100)^MAX(0,$C431-$AC$427),IF(DATE($C431,5,15)&gt;=$V$427,$Y$427*(1+($U$427)/100)^MAX(0,$C431-$AB$427),0)))))</f>
      </c>
      <c r="J431" s="43">
        <f>IF($S$427=0,0,IF(OR(DATE($C431,6,15)&lt;$S$427,AND($T$427&gt;0,DATE($C431,6,15)&gt;$T$427)),0,IF(DATE($C431,6,15)&gt;=$X$427,$AA$427*(1+($U$427)/100)^MAX(0,$C431-$AD$427),IF(DATE($C431,6,15)&gt;=$W$427,$Z$427*(1+($U$427)/100)^MAX(0,$C431-$AC$427),IF(DATE($C431,6,15)&gt;=$V$427,$Y$427*(1+($U$427)/100)^MAX(0,$C431-$AB$427),0)))))</f>
      </c>
      <c r="K431" s="43">
        <f>IF($S$427=0,0,IF(OR(DATE($C431,7,15)&lt;$S$427,AND($T$427&gt;0,DATE($C431,7,15)&gt;$T$427)),0,IF(DATE($C431,7,15)&gt;=$X$427,$AA$427*(1+($U$427)/100)^MAX(0,$C431-$AD$427),IF(DATE($C431,7,15)&gt;=$W$427,$Z$427*(1+($U$427)/100)^MAX(0,$C431-$AC$427),IF(DATE($C431,7,15)&gt;=$V$427,$Y$427*(1+($U$427)/100)^MAX(0,$C431-$AB$427),0)))))</f>
      </c>
      <c r="L431" s="43">
        <f>IF($S$427=0,0,IF(OR(DATE($C431,8,15)&lt;$S$427,AND($T$427&gt;0,DATE($C431,8,15)&gt;$T$427)),0,IF(DATE($C431,8,15)&gt;=$X$427,$AA$427*(1+($U$427)/100)^MAX(0,$C431-$AD$427),IF(DATE($C431,8,15)&gt;=$W$427,$Z$427*(1+($U$427)/100)^MAX(0,$C431-$AC$427),IF(DATE($C431,8,15)&gt;=$V$427,$Y$427*(1+($U$427)/100)^MAX(0,$C431-$AB$427),0)))))</f>
      </c>
      <c r="M431" s="43">
        <f>IF($S$427=0,0,IF(OR(DATE($C431,9,15)&lt;$S$427,AND($T$427&gt;0,DATE($C431,9,15)&gt;$T$427)),0,IF(DATE($C431,9,15)&gt;=$X$427,$AA$427*(1+($U$427)/100)^MAX(0,$C431-$AD$427),IF(DATE($C431,9,15)&gt;=$W$427,$Z$427*(1+($U$427)/100)^MAX(0,$C431-$AC$427),IF(DATE($C431,9,15)&gt;=$V$427,$Y$427*(1+($U$427)/100)^MAX(0,$C431-$AB$427),0)))))</f>
      </c>
      <c r="N431" s="43">
        <f>IF($S$427=0,0,IF(OR(DATE($C431,10,15)&lt;$S$427,AND($T$427&gt;0,DATE($C431,10,15)&gt;$T$427)),0,IF(DATE($C431,10,15)&gt;=$X$427,$AA$427*(1+($U$427)/100)^MAX(0,$C431-$AD$427),IF(DATE($C431,10,15)&gt;=$W$427,$Z$427*(1+($U$427)/100)^MAX(0,$C431-$AC$427),IF(DATE($C431,10,15)&gt;=$V$427,$Y$427*(1+($U$427)/100)^MAX(0,$C431-$AB$427),0)))))</f>
      </c>
      <c r="O431" s="43">
        <f>IF($S$427=0,0,IF(OR(DATE($C431,11,15)&lt;$S$427,AND($T$427&gt;0,DATE($C431,11,15)&gt;$T$427)),0,IF(DATE($C431,11,15)&gt;=$X$427,$AA$427*(1+($U$427)/100)^MAX(0,$C431-$AD$427),IF(DATE($C431,11,15)&gt;=$W$427,$Z$427*(1+($U$427)/100)^MAX(0,$C431-$AC$427),IF(DATE($C431,11,15)&gt;=$V$427,$Y$427*(1+($U$427)/100)^MAX(0,$C431-$AB$427),0)))))</f>
      </c>
      <c r="P431" s="43">
        <f>IF($S$427=0,0,IF(OR(DATE($C431,12,15)&lt;$S$427,AND($T$427&gt;0,DATE($C431,12,15)&gt;$T$427)),0,IF(DATE($C431,12,15)&gt;=$X$427,$AA$427*(1+($U$427)/100)^MAX(0,$C431-$AD$427),IF(DATE($C431,12,15)&gt;=$W$427,$Z$427*(1+($U$427)/100)^MAX(0,$C431-$AC$427),IF(DATE($C431,12,15)&gt;=$V$427,$Y$427*(1+($U$427)/100)^MAX(0,$C431-$AB$427),0)))))</f>
      </c>
      <c r="Q431" s="43">
        <f>SUM($E431:$P431)</f>
      </c>
    </row>
    <row r="432">
      <c r="A432"/>
      <c r="B432">
        <v>14</v>
      </c>
      <c r="C432" s="43">
        <f>Jahr+5</f>
      </c>
      <c r="D432" s="43">
        <f>INDEX(MvObj,14)</f>
      </c>
      <c r="E432" s="43">
        <f>IF($S$427=0,0,IF(OR(DATE($C432,1,15)&lt;$S$427,AND($T$427&gt;0,DATE($C432,1,15)&gt;$T$427)),0,IF(DATE($C432,1,15)&gt;=$X$427,$AA$427*(1+($U$427)/100)^MAX(0,$C432-$AD$427),IF(DATE($C432,1,15)&gt;=$W$427,$Z$427*(1+($U$427)/100)^MAX(0,$C432-$AC$427),IF(DATE($C432,1,15)&gt;=$V$427,$Y$427*(1+($U$427)/100)^MAX(0,$C432-$AB$427),0)))))</f>
      </c>
      <c r="F432" s="43">
        <f>IF($S$427=0,0,IF(OR(DATE($C432,2,15)&lt;$S$427,AND($T$427&gt;0,DATE($C432,2,15)&gt;$T$427)),0,IF(DATE($C432,2,15)&gt;=$X$427,$AA$427*(1+($U$427)/100)^MAX(0,$C432-$AD$427),IF(DATE($C432,2,15)&gt;=$W$427,$Z$427*(1+($U$427)/100)^MAX(0,$C432-$AC$427),IF(DATE($C432,2,15)&gt;=$V$427,$Y$427*(1+($U$427)/100)^MAX(0,$C432-$AB$427),0)))))</f>
      </c>
      <c r="G432" s="43">
        <f>IF($S$427=0,0,IF(OR(DATE($C432,3,15)&lt;$S$427,AND($T$427&gt;0,DATE($C432,3,15)&gt;$T$427)),0,IF(DATE($C432,3,15)&gt;=$X$427,$AA$427*(1+($U$427)/100)^MAX(0,$C432-$AD$427),IF(DATE($C432,3,15)&gt;=$W$427,$Z$427*(1+($U$427)/100)^MAX(0,$C432-$AC$427),IF(DATE($C432,3,15)&gt;=$V$427,$Y$427*(1+($U$427)/100)^MAX(0,$C432-$AB$427),0)))))</f>
      </c>
      <c r="H432" s="43">
        <f>IF($S$427=0,0,IF(OR(DATE($C432,4,15)&lt;$S$427,AND($T$427&gt;0,DATE($C432,4,15)&gt;$T$427)),0,IF(DATE($C432,4,15)&gt;=$X$427,$AA$427*(1+($U$427)/100)^MAX(0,$C432-$AD$427),IF(DATE($C432,4,15)&gt;=$W$427,$Z$427*(1+($U$427)/100)^MAX(0,$C432-$AC$427),IF(DATE($C432,4,15)&gt;=$V$427,$Y$427*(1+($U$427)/100)^MAX(0,$C432-$AB$427),0)))))</f>
      </c>
      <c r="I432" s="43">
        <f>IF($S$427=0,0,IF(OR(DATE($C432,5,15)&lt;$S$427,AND($T$427&gt;0,DATE($C432,5,15)&gt;$T$427)),0,IF(DATE($C432,5,15)&gt;=$X$427,$AA$427*(1+($U$427)/100)^MAX(0,$C432-$AD$427),IF(DATE($C432,5,15)&gt;=$W$427,$Z$427*(1+($U$427)/100)^MAX(0,$C432-$AC$427),IF(DATE($C432,5,15)&gt;=$V$427,$Y$427*(1+($U$427)/100)^MAX(0,$C432-$AB$427),0)))))</f>
      </c>
      <c r="J432" s="43">
        <f>IF($S$427=0,0,IF(OR(DATE($C432,6,15)&lt;$S$427,AND($T$427&gt;0,DATE($C432,6,15)&gt;$T$427)),0,IF(DATE($C432,6,15)&gt;=$X$427,$AA$427*(1+($U$427)/100)^MAX(0,$C432-$AD$427),IF(DATE($C432,6,15)&gt;=$W$427,$Z$427*(1+($U$427)/100)^MAX(0,$C432-$AC$427),IF(DATE($C432,6,15)&gt;=$V$427,$Y$427*(1+($U$427)/100)^MAX(0,$C432-$AB$427),0)))))</f>
      </c>
      <c r="K432" s="43">
        <f>IF($S$427=0,0,IF(OR(DATE($C432,7,15)&lt;$S$427,AND($T$427&gt;0,DATE($C432,7,15)&gt;$T$427)),0,IF(DATE($C432,7,15)&gt;=$X$427,$AA$427*(1+($U$427)/100)^MAX(0,$C432-$AD$427),IF(DATE($C432,7,15)&gt;=$W$427,$Z$427*(1+($U$427)/100)^MAX(0,$C432-$AC$427),IF(DATE($C432,7,15)&gt;=$V$427,$Y$427*(1+($U$427)/100)^MAX(0,$C432-$AB$427),0)))))</f>
      </c>
      <c r="L432" s="43">
        <f>IF($S$427=0,0,IF(OR(DATE($C432,8,15)&lt;$S$427,AND($T$427&gt;0,DATE($C432,8,15)&gt;$T$427)),0,IF(DATE($C432,8,15)&gt;=$X$427,$AA$427*(1+($U$427)/100)^MAX(0,$C432-$AD$427),IF(DATE($C432,8,15)&gt;=$W$427,$Z$427*(1+($U$427)/100)^MAX(0,$C432-$AC$427),IF(DATE($C432,8,15)&gt;=$V$427,$Y$427*(1+($U$427)/100)^MAX(0,$C432-$AB$427),0)))))</f>
      </c>
      <c r="M432" s="43">
        <f>IF($S$427=0,0,IF(OR(DATE($C432,9,15)&lt;$S$427,AND($T$427&gt;0,DATE($C432,9,15)&gt;$T$427)),0,IF(DATE($C432,9,15)&gt;=$X$427,$AA$427*(1+($U$427)/100)^MAX(0,$C432-$AD$427),IF(DATE($C432,9,15)&gt;=$W$427,$Z$427*(1+($U$427)/100)^MAX(0,$C432-$AC$427),IF(DATE($C432,9,15)&gt;=$V$427,$Y$427*(1+($U$427)/100)^MAX(0,$C432-$AB$427),0)))))</f>
      </c>
      <c r="N432" s="43">
        <f>IF($S$427=0,0,IF(OR(DATE($C432,10,15)&lt;$S$427,AND($T$427&gt;0,DATE($C432,10,15)&gt;$T$427)),0,IF(DATE($C432,10,15)&gt;=$X$427,$AA$427*(1+($U$427)/100)^MAX(0,$C432-$AD$427),IF(DATE($C432,10,15)&gt;=$W$427,$Z$427*(1+($U$427)/100)^MAX(0,$C432-$AC$427),IF(DATE($C432,10,15)&gt;=$V$427,$Y$427*(1+($U$427)/100)^MAX(0,$C432-$AB$427),0)))))</f>
      </c>
      <c r="O432" s="43">
        <f>IF($S$427=0,0,IF(OR(DATE($C432,11,15)&lt;$S$427,AND($T$427&gt;0,DATE($C432,11,15)&gt;$T$427)),0,IF(DATE($C432,11,15)&gt;=$X$427,$AA$427*(1+($U$427)/100)^MAX(0,$C432-$AD$427),IF(DATE($C432,11,15)&gt;=$W$427,$Z$427*(1+($U$427)/100)^MAX(0,$C432-$AC$427),IF(DATE($C432,11,15)&gt;=$V$427,$Y$427*(1+($U$427)/100)^MAX(0,$C432-$AB$427),0)))))</f>
      </c>
      <c r="P432" s="43">
        <f>IF($S$427=0,0,IF(OR(DATE($C432,12,15)&lt;$S$427,AND($T$427&gt;0,DATE($C432,12,15)&gt;$T$427)),0,IF(DATE($C432,12,15)&gt;=$X$427,$AA$427*(1+($U$427)/100)^MAX(0,$C432-$AD$427),IF(DATE($C432,12,15)&gt;=$W$427,$Z$427*(1+($U$427)/100)^MAX(0,$C432-$AC$427),IF(DATE($C432,12,15)&gt;=$V$427,$Y$427*(1+($U$427)/100)^MAX(0,$C432-$AB$427),0)))))</f>
      </c>
      <c r="Q432" s="43">
        <f>SUM($E432:$P432)</f>
      </c>
    </row>
    <row r="433">
      <c r="A433"/>
      <c r="B433">
        <v>14</v>
      </c>
      <c r="C433" s="43">
        <f>Jahr+6</f>
      </c>
      <c r="D433" s="43">
        <f>INDEX(MvObj,14)</f>
      </c>
      <c r="E433" s="43">
        <f>IF($S$427=0,0,IF(OR(DATE($C433,1,15)&lt;$S$427,AND($T$427&gt;0,DATE($C433,1,15)&gt;$T$427)),0,IF(DATE($C433,1,15)&gt;=$X$427,$AA$427*(1+($U$427)/100)^MAX(0,$C433-$AD$427),IF(DATE($C433,1,15)&gt;=$W$427,$Z$427*(1+($U$427)/100)^MAX(0,$C433-$AC$427),IF(DATE($C433,1,15)&gt;=$V$427,$Y$427*(1+($U$427)/100)^MAX(0,$C433-$AB$427),0)))))</f>
      </c>
      <c r="F433" s="43">
        <f>IF($S$427=0,0,IF(OR(DATE($C433,2,15)&lt;$S$427,AND($T$427&gt;0,DATE($C433,2,15)&gt;$T$427)),0,IF(DATE($C433,2,15)&gt;=$X$427,$AA$427*(1+($U$427)/100)^MAX(0,$C433-$AD$427),IF(DATE($C433,2,15)&gt;=$W$427,$Z$427*(1+($U$427)/100)^MAX(0,$C433-$AC$427),IF(DATE($C433,2,15)&gt;=$V$427,$Y$427*(1+($U$427)/100)^MAX(0,$C433-$AB$427),0)))))</f>
      </c>
      <c r="G433" s="43">
        <f>IF($S$427=0,0,IF(OR(DATE($C433,3,15)&lt;$S$427,AND($T$427&gt;0,DATE($C433,3,15)&gt;$T$427)),0,IF(DATE($C433,3,15)&gt;=$X$427,$AA$427*(1+($U$427)/100)^MAX(0,$C433-$AD$427),IF(DATE($C433,3,15)&gt;=$W$427,$Z$427*(1+($U$427)/100)^MAX(0,$C433-$AC$427),IF(DATE($C433,3,15)&gt;=$V$427,$Y$427*(1+($U$427)/100)^MAX(0,$C433-$AB$427),0)))))</f>
      </c>
      <c r="H433" s="43">
        <f>IF($S$427=0,0,IF(OR(DATE($C433,4,15)&lt;$S$427,AND($T$427&gt;0,DATE($C433,4,15)&gt;$T$427)),0,IF(DATE($C433,4,15)&gt;=$X$427,$AA$427*(1+($U$427)/100)^MAX(0,$C433-$AD$427),IF(DATE($C433,4,15)&gt;=$W$427,$Z$427*(1+($U$427)/100)^MAX(0,$C433-$AC$427),IF(DATE($C433,4,15)&gt;=$V$427,$Y$427*(1+($U$427)/100)^MAX(0,$C433-$AB$427),0)))))</f>
      </c>
      <c r="I433" s="43">
        <f>IF($S$427=0,0,IF(OR(DATE($C433,5,15)&lt;$S$427,AND($T$427&gt;0,DATE($C433,5,15)&gt;$T$427)),0,IF(DATE($C433,5,15)&gt;=$X$427,$AA$427*(1+($U$427)/100)^MAX(0,$C433-$AD$427),IF(DATE($C433,5,15)&gt;=$W$427,$Z$427*(1+($U$427)/100)^MAX(0,$C433-$AC$427),IF(DATE($C433,5,15)&gt;=$V$427,$Y$427*(1+($U$427)/100)^MAX(0,$C433-$AB$427),0)))))</f>
      </c>
      <c r="J433" s="43">
        <f>IF($S$427=0,0,IF(OR(DATE($C433,6,15)&lt;$S$427,AND($T$427&gt;0,DATE($C433,6,15)&gt;$T$427)),0,IF(DATE($C433,6,15)&gt;=$X$427,$AA$427*(1+($U$427)/100)^MAX(0,$C433-$AD$427),IF(DATE($C433,6,15)&gt;=$W$427,$Z$427*(1+($U$427)/100)^MAX(0,$C433-$AC$427),IF(DATE($C433,6,15)&gt;=$V$427,$Y$427*(1+($U$427)/100)^MAX(0,$C433-$AB$427),0)))))</f>
      </c>
      <c r="K433" s="43">
        <f>IF($S$427=0,0,IF(OR(DATE($C433,7,15)&lt;$S$427,AND($T$427&gt;0,DATE($C433,7,15)&gt;$T$427)),0,IF(DATE($C433,7,15)&gt;=$X$427,$AA$427*(1+($U$427)/100)^MAX(0,$C433-$AD$427),IF(DATE($C433,7,15)&gt;=$W$427,$Z$427*(1+($U$427)/100)^MAX(0,$C433-$AC$427),IF(DATE($C433,7,15)&gt;=$V$427,$Y$427*(1+($U$427)/100)^MAX(0,$C433-$AB$427),0)))))</f>
      </c>
      <c r="L433" s="43">
        <f>IF($S$427=0,0,IF(OR(DATE($C433,8,15)&lt;$S$427,AND($T$427&gt;0,DATE($C433,8,15)&gt;$T$427)),0,IF(DATE($C433,8,15)&gt;=$X$427,$AA$427*(1+($U$427)/100)^MAX(0,$C433-$AD$427),IF(DATE($C433,8,15)&gt;=$W$427,$Z$427*(1+($U$427)/100)^MAX(0,$C433-$AC$427),IF(DATE($C433,8,15)&gt;=$V$427,$Y$427*(1+($U$427)/100)^MAX(0,$C433-$AB$427),0)))))</f>
      </c>
      <c r="M433" s="43">
        <f>IF($S$427=0,0,IF(OR(DATE($C433,9,15)&lt;$S$427,AND($T$427&gt;0,DATE($C433,9,15)&gt;$T$427)),0,IF(DATE($C433,9,15)&gt;=$X$427,$AA$427*(1+($U$427)/100)^MAX(0,$C433-$AD$427),IF(DATE($C433,9,15)&gt;=$W$427,$Z$427*(1+($U$427)/100)^MAX(0,$C433-$AC$427),IF(DATE($C433,9,15)&gt;=$V$427,$Y$427*(1+($U$427)/100)^MAX(0,$C433-$AB$427),0)))))</f>
      </c>
      <c r="N433" s="43">
        <f>IF($S$427=0,0,IF(OR(DATE($C433,10,15)&lt;$S$427,AND($T$427&gt;0,DATE($C433,10,15)&gt;$T$427)),0,IF(DATE($C433,10,15)&gt;=$X$427,$AA$427*(1+($U$427)/100)^MAX(0,$C433-$AD$427),IF(DATE($C433,10,15)&gt;=$W$427,$Z$427*(1+($U$427)/100)^MAX(0,$C433-$AC$427),IF(DATE($C433,10,15)&gt;=$V$427,$Y$427*(1+($U$427)/100)^MAX(0,$C433-$AB$427),0)))))</f>
      </c>
      <c r="O433" s="43">
        <f>IF($S$427=0,0,IF(OR(DATE($C433,11,15)&lt;$S$427,AND($T$427&gt;0,DATE($C433,11,15)&gt;$T$427)),0,IF(DATE($C433,11,15)&gt;=$X$427,$AA$427*(1+($U$427)/100)^MAX(0,$C433-$AD$427),IF(DATE($C433,11,15)&gt;=$W$427,$Z$427*(1+($U$427)/100)^MAX(0,$C433-$AC$427),IF(DATE($C433,11,15)&gt;=$V$427,$Y$427*(1+($U$427)/100)^MAX(0,$C433-$AB$427),0)))))</f>
      </c>
      <c r="P433" s="43">
        <f>IF($S$427=0,0,IF(OR(DATE($C433,12,15)&lt;$S$427,AND($T$427&gt;0,DATE($C433,12,15)&gt;$T$427)),0,IF(DATE($C433,12,15)&gt;=$X$427,$AA$427*(1+($U$427)/100)^MAX(0,$C433-$AD$427),IF(DATE($C433,12,15)&gt;=$W$427,$Z$427*(1+($U$427)/100)^MAX(0,$C433-$AC$427),IF(DATE($C433,12,15)&gt;=$V$427,$Y$427*(1+($U$427)/100)^MAX(0,$C433-$AB$427),0)))))</f>
      </c>
      <c r="Q433" s="43">
        <f>SUM($E433:$P433)</f>
      </c>
    </row>
    <row r="434">
      <c r="A434"/>
      <c r="B434">
        <v>14</v>
      </c>
      <c r="C434" s="43">
        <f>Jahr+7</f>
      </c>
      <c r="D434" s="43">
        <f>INDEX(MvObj,14)</f>
      </c>
      <c r="E434" s="43">
        <f>IF($S$427=0,0,IF(OR(DATE($C434,1,15)&lt;$S$427,AND($T$427&gt;0,DATE($C434,1,15)&gt;$T$427)),0,IF(DATE($C434,1,15)&gt;=$X$427,$AA$427*(1+($U$427)/100)^MAX(0,$C434-$AD$427),IF(DATE($C434,1,15)&gt;=$W$427,$Z$427*(1+($U$427)/100)^MAX(0,$C434-$AC$427),IF(DATE($C434,1,15)&gt;=$V$427,$Y$427*(1+($U$427)/100)^MAX(0,$C434-$AB$427),0)))))</f>
      </c>
      <c r="F434" s="43">
        <f>IF($S$427=0,0,IF(OR(DATE($C434,2,15)&lt;$S$427,AND($T$427&gt;0,DATE($C434,2,15)&gt;$T$427)),0,IF(DATE($C434,2,15)&gt;=$X$427,$AA$427*(1+($U$427)/100)^MAX(0,$C434-$AD$427),IF(DATE($C434,2,15)&gt;=$W$427,$Z$427*(1+($U$427)/100)^MAX(0,$C434-$AC$427),IF(DATE($C434,2,15)&gt;=$V$427,$Y$427*(1+($U$427)/100)^MAX(0,$C434-$AB$427),0)))))</f>
      </c>
      <c r="G434" s="43">
        <f>IF($S$427=0,0,IF(OR(DATE($C434,3,15)&lt;$S$427,AND($T$427&gt;0,DATE($C434,3,15)&gt;$T$427)),0,IF(DATE($C434,3,15)&gt;=$X$427,$AA$427*(1+($U$427)/100)^MAX(0,$C434-$AD$427),IF(DATE($C434,3,15)&gt;=$W$427,$Z$427*(1+($U$427)/100)^MAX(0,$C434-$AC$427),IF(DATE($C434,3,15)&gt;=$V$427,$Y$427*(1+($U$427)/100)^MAX(0,$C434-$AB$427),0)))))</f>
      </c>
      <c r="H434" s="43">
        <f>IF($S$427=0,0,IF(OR(DATE($C434,4,15)&lt;$S$427,AND($T$427&gt;0,DATE($C434,4,15)&gt;$T$427)),0,IF(DATE($C434,4,15)&gt;=$X$427,$AA$427*(1+($U$427)/100)^MAX(0,$C434-$AD$427),IF(DATE($C434,4,15)&gt;=$W$427,$Z$427*(1+($U$427)/100)^MAX(0,$C434-$AC$427),IF(DATE($C434,4,15)&gt;=$V$427,$Y$427*(1+($U$427)/100)^MAX(0,$C434-$AB$427),0)))))</f>
      </c>
      <c r="I434" s="43">
        <f>IF($S$427=0,0,IF(OR(DATE($C434,5,15)&lt;$S$427,AND($T$427&gt;0,DATE($C434,5,15)&gt;$T$427)),0,IF(DATE($C434,5,15)&gt;=$X$427,$AA$427*(1+($U$427)/100)^MAX(0,$C434-$AD$427),IF(DATE($C434,5,15)&gt;=$W$427,$Z$427*(1+($U$427)/100)^MAX(0,$C434-$AC$427),IF(DATE($C434,5,15)&gt;=$V$427,$Y$427*(1+($U$427)/100)^MAX(0,$C434-$AB$427),0)))))</f>
      </c>
      <c r="J434" s="43">
        <f>IF($S$427=0,0,IF(OR(DATE($C434,6,15)&lt;$S$427,AND($T$427&gt;0,DATE($C434,6,15)&gt;$T$427)),0,IF(DATE($C434,6,15)&gt;=$X$427,$AA$427*(1+($U$427)/100)^MAX(0,$C434-$AD$427),IF(DATE($C434,6,15)&gt;=$W$427,$Z$427*(1+($U$427)/100)^MAX(0,$C434-$AC$427),IF(DATE($C434,6,15)&gt;=$V$427,$Y$427*(1+($U$427)/100)^MAX(0,$C434-$AB$427),0)))))</f>
      </c>
      <c r="K434" s="43">
        <f>IF($S$427=0,0,IF(OR(DATE($C434,7,15)&lt;$S$427,AND($T$427&gt;0,DATE($C434,7,15)&gt;$T$427)),0,IF(DATE($C434,7,15)&gt;=$X$427,$AA$427*(1+($U$427)/100)^MAX(0,$C434-$AD$427),IF(DATE($C434,7,15)&gt;=$W$427,$Z$427*(1+($U$427)/100)^MAX(0,$C434-$AC$427),IF(DATE($C434,7,15)&gt;=$V$427,$Y$427*(1+($U$427)/100)^MAX(0,$C434-$AB$427),0)))))</f>
      </c>
      <c r="L434" s="43">
        <f>IF($S$427=0,0,IF(OR(DATE($C434,8,15)&lt;$S$427,AND($T$427&gt;0,DATE($C434,8,15)&gt;$T$427)),0,IF(DATE($C434,8,15)&gt;=$X$427,$AA$427*(1+($U$427)/100)^MAX(0,$C434-$AD$427),IF(DATE($C434,8,15)&gt;=$W$427,$Z$427*(1+($U$427)/100)^MAX(0,$C434-$AC$427),IF(DATE($C434,8,15)&gt;=$V$427,$Y$427*(1+($U$427)/100)^MAX(0,$C434-$AB$427),0)))))</f>
      </c>
      <c r="M434" s="43">
        <f>IF($S$427=0,0,IF(OR(DATE($C434,9,15)&lt;$S$427,AND($T$427&gt;0,DATE($C434,9,15)&gt;$T$427)),0,IF(DATE($C434,9,15)&gt;=$X$427,$AA$427*(1+($U$427)/100)^MAX(0,$C434-$AD$427),IF(DATE($C434,9,15)&gt;=$W$427,$Z$427*(1+($U$427)/100)^MAX(0,$C434-$AC$427),IF(DATE($C434,9,15)&gt;=$V$427,$Y$427*(1+($U$427)/100)^MAX(0,$C434-$AB$427),0)))))</f>
      </c>
      <c r="N434" s="43">
        <f>IF($S$427=0,0,IF(OR(DATE($C434,10,15)&lt;$S$427,AND($T$427&gt;0,DATE($C434,10,15)&gt;$T$427)),0,IF(DATE($C434,10,15)&gt;=$X$427,$AA$427*(1+($U$427)/100)^MAX(0,$C434-$AD$427),IF(DATE($C434,10,15)&gt;=$W$427,$Z$427*(1+($U$427)/100)^MAX(0,$C434-$AC$427),IF(DATE($C434,10,15)&gt;=$V$427,$Y$427*(1+($U$427)/100)^MAX(0,$C434-$AB$427),0)))))</f>
      </c>
      <c r="O434" s="43">
        <f>IF($S$427=0,0,IF(OR(DATE($C434,11,15)&lt;$S$427,AND($T$427&gt;0,DATE($C434,11,15)&gt;$T$427)),0,IF(DATE($C434,11,15)&gt;=$X$427,$AA$427*(1+($U$427)/100)^MAX(0,$C434-$AD$427),IF(DATE($C434,11,15)&gt;=$W$427,$Z$427*(1+($U$427)/100)^MAX(0,$C434-$AC$427),IF(DATE($C434,11,15)&gt;=$V$427,$Y$427*(1+($U$427)/100)^MAX(0,$C434-$AB$427),0)))))</f>
      </c>
      <c r="P434" s="43">
        <f>IF($S$427=0,0,IF(OR(DATE($C434,12,15)&lt;$S$427,AND($T$427&gt;0,DATE($C434,12,15)&gt;$T$427)),0,IF(DATE($C434,12,15)&gt;=$X$427,$AA$427*(1+($U$427)/100)^MAX(0,$C434-$AD$427),IF(DATE($C434,12,15)&gt;=$W$427,$Z$427*(1+($U$427)/100)^MAX(0,$C434-$AC$427),IF(DATE($C434,12,15)&gt;=$V$427,$Y$427*(1+($U$427)/100)^MAX(0,$C434-$AB$427),0)))))</f>
      </c>
      <c r="Q434" s="43">
        <f>SUM($E434:$P434)</f>
      </c>
    </row>
    <row r="435">
      <c r="A435"/>
      <c r="B435">
        <v>14</v>
      </c>
      <c r="C435" s="43">
        <f>Jahr+8</f>
      </c>
      <c r="D435" s="43">
        <f>INDEX(MvObj,14)</f>
      </c>
      <c r="E435" s="43">
        <f>IF($S$427=0,0,IF(OR(DATE($C435,1,15)&lt;$S$427,AND($T$427&gt;0,DATE($C435,1,15)&gt;$T$427)),0,IF(DATE($C435,1,15)&gt;=$X$427,$AA$427*(1+($U$427)/100)^MAX(0,$C435-$AD$427),IF(DATE($C435,1,15)&gt;=$W$427,$Z$427*(1+($U$427)/100)^MAX(0,$C435-$AC$427),IF(DATE($C435,1,15)&gt;=$V$427,$Y$427*(1+($U$427)/100)^MAX(0,$C435-$AB$427),0)))))</f>
      </c>
      <c r="F435" s="43">
        <f>IF($S$427=0,0,IF(OR(DATE($C435,2,15)&lt;$S$427,AND($T$427&gt;0,DATE($C435,2,15)&gt;$T$427)),0,IF(DATE($C435,2,15)&gt;=$X$427,$AA$427*(1+($U$427)/100)^MAX(0,$C435-$AD$427),IF(DATE($C435,2,15)&gt;=$W$427,$Z$427*(1+($U$427)/100)^MAX(0,$C435-$AC$427),IF(DATE($C435,2,15)&gt;=$V$427,$Y$427*(1+($U$427)/100)^MAX(0,$C435-$AB$427),0)))))</f>
      </c>
      <c r="G435" s="43">
        <f>IF($S$427=0,0,IF(OR(DATE($C435,3,15)&lt;$S$427,AND($T$427&gt;0,DATE($C435,3,15)&gt;$T$427)),0,IF(DATE($C435,3,15)&gt;=$X$427,$AA$427*(1+($U$427)/100)^MAX(0,$C435-$AD$427),IF(DATE($C435,3,15)&gt;=$W$427,$Z$427*(1+($U$427)/100)^MAX(0,$C435-$AC$427),IF(DATE($C435,3,15)&gt;=$V$427,$Y$427*(1+($U$427)/100)^MAX(0,$C435-$AB$427),0)))))</f>
      </c>
      <c r="H435" s="43">
        <f>IF($S$427=0,0,IF(OR(DATE($C435,4,15)&lt;$S$427,AND($T$427&gt;0,DATE($C435,4,15)&gt;$T$427)),0,IF(DATE($C435,4,15)&gt;=$X$427,$AA$427*(1+($U$427)/100)^MAX(0,$C435-$AD$427),IF(DATE($C435,4,15)&gt;=$W$427,$Z$427*(1+($U$427)/100)^MAX(0,$C435-$AC$427),IF(DATE($C435,4,15)&gt;=$V$427,$Y$427*(1+($U$427)/100)^MAX(0,$C435-$AB$427),0)))))</f>
      </c>
      <c r="I435" s="43">
        <f>IF($S$427=0,0,IF(OR(DATE($C435,5,15)&lt;$S$427,AND($T$427&gt;0,DATE($C435,5,15)&gt;$T$427)),0,IF(DATE($C435,5,15)&gt;=$X$427,$AA$427*(1+($U$427)/100)^MAX(0,$C435-$AD$427),IF(DATE($C435,5,15)&gt;=$W$427,$Z$427*(1+($U$427)/100)^MAX(0,$C435-$AC$427),IF(DATE($C435,5,15)&gt;=$V$427,$Y$427*(1+($U$427)/100)^MAX(0,$C435-$AB$427),0)))))</f>
      </c>
      <c r="J435" s="43">
        <f>IF($S$427=0,0,IF(OR(DATE($C435,6,15)&lt;$S$427,AND($T$427&gt;0,DATE($C435,6,15)&gt;$T$427)),0,IF(DATE($C435,6,15)&gt;=$X$427,$AA$427*(1+($U$427)/100)^MAX(0,$C435-$AD$427),IF(DATE($C435,6,15)&gt;=$W$427,$Z$427*(1+($U$427)/100)^MAX(0,$C435-$AC$427),IF(DATE($C435,6,15)&gt;=$V$427,$Y$427*(1+($U$427)/100)^MAX(0,$C435-$AB$427),0)))))</f>
      </c>
      <c r="K435" s="43">
        <f>IF($S$427=0,0,IF(OR(DATE($C435,7,15)&lt;$S$427,AND($T$427&gt;0,DATE($C435,7,15)&gt;$T$427)),0,IF(DATE($C435,7,15)&gt;=$X$427,$AA$427*(1+($U$427)/100)^MAX(0,$C435-$AD$427),IF(DATE($C435,7,15)&gt;=$W$427,$Z$427*(1+($U$427)/100)^MAX(0,$C435-$AC$427),IF(DATE($C435,7,15)&gt;=$V$427,$Y$427*(1+($U$427)/100)^MAX(0,$C435-$AB$427),0)))))</f>
      </c>
      <c r="L435" s="43">
        <f>IF($S$427=0,0,IF(OR(DATE($C435,8,15)&lt;$S$427,AND($T$427&gt;0,DATE($C435,8,15)&gt;$T$427)),0,IF(DATE($C435,8,15)&gt;=$X$427,$AA$427*(1+($U$427)/100)^MAX(0,$C435-$AD$427),IF(DATE($C435,8,15)&gt;=$W$427,$Z$427*(1+($U$427)/100)^MAX(0,$C435-$AC$427),IF(DATE($C435,8,15)&gt;=$V$427,$Y$427*(1+($U$427)/100)^MAX(0,$C435-$AB$427),0)))))</f>
      </c>
      <c r="M435" s="43">
        <f>IF($S$427=0,0,IF(OR(DATE($C435,9,15)&lt;$S$427,AND($T$427&gt;0,DATE($C435,9,15)&gt;$T$427)),0,IF(DATE($C435,9,15)&gt;=$X$427,$AA$427*(1+($U$427)/100)^MAX(0,$C435-$AD$427),IF(DATE($C435,9,15)&gt;=$W$427,$Z$427*(1+($U$427)/100)^MAX(0,$C435-$AC$427),IF(DATE($C435,9,15)&gt;=$V$427,$Y$427*(1+($U$427)/100)^MAX(0,$C435-$AB$427),0)))))</f>
      </c>
      <c r="N435" s="43">
        <f>IF($S$427=0,0,IF(OR(DATE($C435,10,15)&lt;$S$427,AND($T$427&gt;0,DATE($C435,10,15)&gt;$T$427)),0,IF(DATE($C435,10,15)&gt;=$X$427,$AA$427*(1+($U$427)/100)^MAX(0,$C435-$AD$427),IF(DATE($C435,10,15)&gt;=$W$427,$Z$427*(1+($U$427)/100)^MAX(0,$C435-$AC$427),IF(DATE($C435,10,15)&gt;=$V$427,$Y$427*(1+($U$427)/100)^MAX(0,$C435-$AB$427),0)))))</f>
      </c>
      <c r="O435" s="43">
        <f>IF($S$427=0,0,IF(OR(DATE($C435,11,15)&lt;$S$427,AND($T$427&gt;0,DATE($C435,11,15)&gt;$T$427)),0,IF(DATE($C435,11,15)&gt;=$X$427,$AA$427*(1+($U$427)/100)^MAX(0,$C435-$AD$427),IF(DATE($C435,11,15)&gt;=$W$427,$Z$427*(1+($U$427)/100)^MAX(0,$C435-$AC$427),IF(DATE($C435,11,15)&gt;=$V$427,$Y$427*(1+($U$427)/100)^MAX(0,$C435-$AB$427),0)))))</f>
      </c>
      <c r="P435" s="43">
        <f>IF($S$427=0,0,IF(OR(DATE($C435,12,15)&lt;$S$427,AND($T$427&gt;0,DATE($C435,12,15)&gt;$T$427)),0,IF(DATE($C435,12,15)&gt;=$X$427,$AA$427*(1+($U$427)/100)^MAX(0,$C435-$AD$427),IF(DATE($C435,12,15)&gt;=$W$427,$Z$427*(1+($U$427)/100)^MAX(0,$C435-$AC$427),IF(DATE($C435,12,15)&gt;=$V$427,$Y$427*(1+($U$427)/100)^MAX(0,$C435-$AB$427),0)))))</f>
      </c>
      <c r="Q435" s="43">
        <f>SUM($E435:$P435)</f>
      </c>
    </row>
    <row r="436">
      <c r="A436"/>
      <c r="B436">
        <v>14</v>
      </c>
      <c r="C436" s="43">
        <f>Jahr+9</f>
      </c>
      <c r="D436" s="43">
        <f>INDEX(MvObj,14)</f>
      </c>
      <c r="E436" s="43">
        <f>IF($S$427=0,0,IF(OR(DATE($C436,1,15)&lt;$S$427,AND($T$427&gt;0,DATE($C436,1,15)&gt;$T$427)),0,IF(DATE($C436,1,15)&gt;=$X$427,$AA$427*(1+($U$427)/100)^MAX(0,$C436-$AD$427),IF(DATE($C436,1,15)&gt;=$W$427,$Z$427*(1+($U$427)/100)^MAX(0,$C436-$AC$427),IF(DATE($C436,1,15)&gt;=$V$427,$Y$427*(1+($U$427)/100)^MAX(0,$C436-$AB$427),0)))))</f>
      </c>
      <c r="F436" s="43">
        <f>IF($S$427=0,0,IF(OR(DATE($C436,2,15)&lt;$S$427,AND($T$427&gt;0,DATE($C436,2,15)&gt;$T$427)),0,IF(DATE($C436,2,15)&gt;=$X$427,$AA$427*(1+($U$427)/100)^MAX(0,$C436-$AD$427),IF(DATE($C436,2,15)&gt;=$W$427,$Z$427*(1+($U$427)/100)^MAX(0,$C436-$AC$427),IF(DATE($C436,2,15)&gt;=$V$427,$Y$427*(1+($U$427)/100)^MAX(0,$C436-$AB$427),0)))))</f>
      </c>
      <c r="G436" s="43">
        <f>IF($S$427=0,0,IF(OR(DATE($C436,3,15)&lt;$S$427,AND($T$427&gt;0,DATE($C436,3,15)&gt;$T$427)),0,IF(DATE($C436,3,15)&gt;=$X$427,$AA$427*(1+($U$427)/100)^MAX(0,$C436-$AD$427),IF(DATE($C436,3,15)&gt;=$W$427,$Z$427*(1+($U$427)/100)^MAX(0,$C436-$AC$427),IF(DATE($C436,3,15)&gt;=$V$427,$Y$427*(1+($U$427)/100)^MAX(0,$C436-$AB$427),0)))))</f>
      </c>
      <c r="H436" s="43">
        <f>IF($S$427=0,0,IF(OR(DATE($C436,4,15)&lt;$S$427,AND($T$427&gt;0,DATE($C436,4,15)&gt;$T$427)),0,IF(DATE($C436,4,15)&gt;=$X$427,$AA$427*(1+($U$427)/100)^MAX(0,$C436-$AD$427),IF(DATE($C436,4,15)&gt;=$W$427,$Z$427*(1+($U$427)/100)^MAX(0,$C436-$AC$427),IF(DATE($C436,4,15)&gt;=$V$427,$Y$427*(1+($U$427)/100)^MAX(0,$C436-$AB$427),0)))))</f>
      </c>
      <c r="I436" s="43">
        <f>IF($S$427=0,0,IF(OR(DATE($C436,5,15)&lt;$S$427,AND($T$427&gt;0,DATE($C436,5,15)&gt;$T$427)),0,IF(DATE($C436,5,15)&gt;=$X$427,$AA$427*(1+($U$427)/100)^MAX(0,$C436-$AD$427),IF(DATE($C436,5,15)&gt;=$W$427,$Z$427*(1+($U$427)/100)^MAX(0,$C436-$AC$427),IF(DATE($C436,5,15)&gt;=$V$427,$Y$427*(1+($U$427)/100)^MAX(0,$C436-$AB$427),0)))))</f>
      </c>
      <c r="J436" s="43">
        <f>IF($S$427=0,0,IF(OR(DATE($C436,6,15)&lt;$S$427,AND($T$427&gt;0,DATE($C436,6,15)&gt;$T$427)),0,IF(DATE($C436,6,15)&gt;=$X$427,$AA$427*(1+($U$427)/100)^MAX(0,$C436-$AD$427),IF(DATE($C436,6,15)&gt;=$W$427,$Z$427*(1+($U$427)/100)^MAX(0,$C436-$AC$427),IF(DATE($C436,6,15)&gt;=$V$427,$Y$427*(1+($U$427)/100)^MAX(0,$C436-$AB$427),0)))))</f>
      </c>
      <c r="K436" s="43">
        <f>IF($S$427=0,0,IF(OR(DATE($C436,7,15)&lt;$S$427,AND($T$427&gt;0,DATE($C436,7,15)&gt;$T$427)),0,IF(DATE($C436,7,15)&gt;=$X$427,$AA$427*(1+($U$427)/100)^MAX(0,$C436-$AD$427),IF(DATE($C436,7,15)&gt;=$W$427,$Z$427*(1+($U$427)/100)^MAX(0,$C436-$AC$427),IF(DATE($C436,7,15)&gt;=$V$427,$Y$427*(1+($U$427)/100)^MAX(0,$C436-$AB$427),0)))))</f>
      </c>
      <c r="L436" s="43">
        <f>IF($S$427=0,0,IF(OR(DATE($C436,8,15)&lt;$S$427,AND($T$427&gt;0,DATE($C436,8,15)&gt;$T$427)),0,IF(DATE($C436,8,15)&gt;=$X$427,$AA$427*(1+($U$427)/100)^MAX(0,$C436-$AD$427),IF(DATE($C436,8,15)&gt;=$W$427,$Z$427*(1+($U$427)/100)^MAX(0,$C436-$AC$427),IF(DATE($C436,8,15)&gt;=$V$427,$Y$427*(1+($U$427)/100)^MAX(0,$C436-$AB$427),0)))))</f>
      </c>
      <c r="M436" s="43">
        <f>IF($S$427=0,0,IF(OR(DATE($C436,9,15)&lt;$S$427,AND($T$427&gt;0,DATE($C436,9,15)&gt;$T$427)),0,IF(DATE($C436,9,15)&gt;=$X$427,$AA$427*(1+($U$427)/100)^MAX(0,$C436-$AD$427),IF(DATE($C436,9,15)&gt;=$W$427,$Z$427*(1+($U$427)/100)^MAX(0,$C436-$AC$427),IF(DATE($C436,9,15)&gt;=$V$427,$Y$427*(1+($U$427)/100)^MAX(0,$C436-$AB$427),0)))))</f>
      </c>
      <c r="N436" s="43">
        <f>IF($S$427=0,0,IF(OR(DATE($C436,10,15)&lt;$S$427,AND($T$427&gt;0,DATE($C436,10,15)&gt;$T$427)),0,IF(DATE($C436,10,15)&gt;=$X$427,$AA$427*(1+($U$427)/100)^MAX(0,$C436-$AD$427),IF(DATE($C436,10,15)&gt;=$W$427,$Z$427*(1+($U$427)/100)^MAX(0,$C436-$AC$427),IF(DATE($C436,10,15)&gt;=$V$427,$Y$427*(1+($U$427)/100)^MAX(0,$C436-$AB$427),0)))))</f>
      </c>
      <c r="O436" s="43">
        <f>IF($S$427=0,0,IF(OR(DATE($C436,11,15)&lt;$S$427,AND($T$427&gt;0,DATE($C436,11,15)&gt;$T$427)),0,IF(DATE($C436,11,15)&gt;=$X$427,$AA$427*(1+($U$427)/100)^MAX(0,$C436-$AD$427),IF(DATE($C436,11,15)&gt;=$W$427,$Z$427*(1+($U$427)/100)^MAX(0,$C436-$AC$427),IF(DATE($C436,11,15)&gt;=$V$427,$Y$427*(1+($U$427)/100)^MAX(0,$C436-$AB$427),0)))))</f>
      </c>
      <c r="P436" s="43">
        <f>IF($S$427=0,0,IF(OR(DATE($C436,12,15)&lt;$S$427,AND($T$427&gt;0,DATE($C436,12,15)&gt;$T$427)),0,IF(DATE($C436,12,15)&gt;=$X$427,$AA$427*(1+($U$427)/100)^MAX(0,$C436-$AD$427),IF(DATE($C436,12,15)&gt;=$W$427,$Z$427*(1+($U$427)/100)^MAX(0,$C436-$AC$427),IF(DATE($C436,12,15)&gt;=$V$427,$Y$427*(1+($U$427)/100)^MAX(0,$C436-$AB$427),0)))))</f>
      </c>
      <c r="Q436" s="43">
        <f>SUM($E436:$P436)</f>
      </c>
    </row>
    <row r="437">
      <c r="A437"/>
      <c r="B437">
        <v>14</v>
      </c>
      <c r="C437" s="43">
        <f>Jahr+10</f>
      </c>
      <c r="D437" s="43">
        <f>INDEX(MvObj,14)</f>
      </c>
      <c r="E437" s="43">
        <f>IF($S$427=0,0,IF(OR(DATE($C437,1,15)&lt;$S$427,AND($T$427&gt;0,DATE($C437,1,15)&gt;$T$427)),0,IF(DATE($C437,1,15)&gt;=$X$427,$AA$427*(1+($U$427)/100)^MAX(0,$C437-$AD$427),IF(DATE($C437,1,15)&gt;=$W$427,$Z$427*(1+($U$427)/100)^MAX(0,$C437-$AC$427),IF(DATE($C437,1,15)&gt;=$V$427,$Y$427*(1+($U$427)/100)^MAX(0,$C437-$AB$427),0)))))</f>
      </c>
      <c r="F437" s="43">
        <f>IF($S$427=0,0,IF(OR(DATE($C437,2,15)&lt;$S$427,AND($T$427&gt;0,DATE($C437,2,15)&gt;$T$427)),0,IF(DATE($C437,2,15)&gt;=$X$427,$AA$427*(1+($U$427)/100)^MAX(0,$C437-$AD$427),IF(DATE($C437,2,15)&gt;=$W$427,$Z$427*(1+($U$427)/100)^MAX(0,$C437-$AC$427),IF(DATE($C437,2,15)&gt;=$V$427,$Y$427*(1+($U$427)/100)^MAX(0,$C437-$AB$427),0)))))</f>
      </c>
      <c r="G437" s="43">
        <f>IF($S$427=0,0,IF(OR(DATE($C437,3,15)&lt;$S$427,AND($T$427&gt;0,DATE($C437,3,15)&gt;$T$427)),0,IF(DATE($C437,3,15)&gt;=$X$427,$AA$427*(1+($U$427)/100)^MAX(0,$C437-$AD$427),IF(DATE($C437,3,15)&gt;=$W$427,$Z$427*(1+($U$427)/100)^MAX(0,$C437-$AC$427),IF(DATE($C437,3,15)&gt;=$V$427,$Y$427*(1+($U$427)/100)^MAX(0,$C437-$AB$427),0)))))</f>
      </c>
      <c r="H437" s="43">
        <f>IF($S$427=0,0,IF(OR(DATE($C437,4,15)&lt;$S$427,AND($T$427&gt;0,DATE($C437,4,15)&gt;$T$427)),0,IF(DATE($C437,4,15)&gt;=$X$427,$AA$427*(1+($U$427)/100)^MAX(0,$C437-$AD$427),IF(DATE($C437,4,15)&gt;=$W$427,$Z$427*(1+($U$427)/100)^MAX(0,$C437-$AC$427),IF(DATE($C437,4,15)&gt;=$V$427,$Y$427*(1+($U$427)/100)^MAX(0,$C437-$AB$427),0)))))</f>
      </c>
      <c r="I437" s="43">
        <f>IF($S$427=0,0,IF(OR(DATE($C437,5,15)&lt;$S$427,AND($T$427&gt;0,DATE($C437,5,15)&gt;$T$427)),0,IF(DATE($C437,5,15)&gt;=$X$427,$AA$427*(1+($U$427)/100)^MAX(0,$C437-$AD$427),IF(DATE($C437,5,15)&gt;=$W$427,$Z$427*(1+($U$427)/100)^MAX(0,$C437-$AC$427),IF(DATE($C437,5,15)&gt;=$V$427,$Y$427*(1+($U$427)/100)^MAX(0,$C437-$AB$427),0)))))</f>
      </c>
      <c r="J437" s="43">
        <f>IF($S$427=0,0,IF(OR(DATE($C437,6,15)&lt;$S$427,AND($T$427&gt;0,DATE($C437,6,15)&gt;$T$427)),0,IF(DATE($C437,6,15)&gt;=$X$427,$AA$427*(1+($U$427)/100)^MAX(0,$C437-$AD$427),IF(DATE($C437,6,15)&gt;=$W$427,$Z$427*(1+($U$427)/100)^MAX(0,$C437-$AC$427),IF(DATE($C437,6,15)&gt;=$V$427,$Y$427*(1+($U$427)/100)^MAX(0,$C437-$AB$427),0)))))</f>
      </c>
      <c r="K437" s="43">
        <f>IF($S$427=0,0,IF(OR(DATE($C437,7,15)&lt;$S$427,AND($T$427&gt;0,DATE($C437,7,15)&gt;$T$427)),0,IF(DATE($C437,7,15)&gt;=$X$427,$AA$427*(1+($U$427)/100)^MAX(0,$C437-$AD$427),IF(DATE($C437,7,15)&gt;=$W$427,$Z$427*(1+($U$427)/100)^MAX(0,$C437-$AC$427),IF(DATE($C437,7,15)&gt;=$V$427,$Y$427*(1+($U$427)/100)^MAX(0,$C437-$AB$427),0)))))</f>
      </c>
      <c r="L437" s="43">
        <f>IF($S$427=0,0,IF(OR(DATE($C437,8,15)&lt;$S$427,AND($T$427&gt;0,DATE($C437,8,15)&gt;$T$427)),0,IF(DATE($C437,8,15)&gt;=$X$427,$AA$427*(1+($U$427)/100)^MAX(0,$C437-$AD$427),IF(DATE($C437,8,15)&gt;=$W$427,$Z$427*(1+($U$427)/100)^MAX(0,$C437-$AC$427),IF(DATE($C437,8,15)&gt;=$V$427,$Y$427*(1+($U$427)/100)^MAX(0,$C437-$AB$427),0)))))</f>
      </c>
      <c r="M437" s="43">
        <f>IF($S$427=0,0,IF(OR(DATE($C437,9,15)&lt;$S$427,AND($T$427&gt;0,DATE($C437,9,15)&gt;$T$427)),0,IF(DATE($C437,9,15)&gt;=$X$427,$AA$427*(1+($U$427)/100)^MAX(0,$C437-$AD$427),IF(DATE($C437,9,15)&gt;=$W$427,$Z$427*(1+($U$427)/100)^MAX(0,$C437-$AC$427),IF(DATE($C437,9,15)&gt;=$V$427,$Y$427*(1+($U$427)/100)^MAX(0,$C437-$AB$427),0)))))</f>
      </c>
      <c r="N437" s="43">
        <f>IF($S$427=0,0,IF(OR(DATE($C437,10,15)&lt;$S$427,AND($T$427&gt;0,DATE($C437,10,15)&gt;$T$427)),0,IF(DATE($C437,10,15)&gt;=$X$427,$AA$427*(1+($U$427)/100)^MAX(0,$C437-$AD$427),IF(DATE($C437,10,15)&gt;=$W$427,$Z$427*(1+($U$427)/100)^MAX(0,$C437-$AC$427),IF(DATE($C437,10,15)&gt;=$V$427,$Y$427*(1+($U$427)/100)^MAX(0,$C437-$AB$427),0)))))</f>
      </c>
      <c r="O437" s="43">
        <f>IF($S$427=0,0,IF(OR(DATE($C437,11,15)&lt;$S$427,AND($T$427&gt;0,DATE($C437,11,15)&gt;$T$427)),0,IF(DATE($C437,11,15)&gt;=$X$427,$AA$427*(1+($U$427)/100)^MAX(0,$C437-$AD$427),IF(DATE($C437,11,15)&gt;=$W$427,$Z$427*(1+($U$427)/100)^MAX(0,$C437-$AC$427),IF(DATE($C437,11,15)&gt;=$V$427,$Y$427*(1+($U$427)/100)^MAX(0,$C437-$AB$427),0)))))</f>
      </c>
      <c r="P437" s="43">
        <f>IF($S$427=0,0,IF(OR(DATE($C437,12,15)&lt;$S$427,AND($T$427&gt;0,DATE($C437,12,15)&gt;$T$427)),0,IF(DATE($C437,12,15)&gt;=$X$427,$AA$427*(1+($U$427)/100)^MAX(0,$C437-$AD$427),IF(DATE($C437,12,15)&gt;=$W$427,$Z$427*(1+($U$427)/100)^MAX(0,$C437-$AC$427),IF(DATE($C437,12,15)&gt;=$V$427,$Y$427*(1+($U$427)/100)^MAX(0,$C437-$AB$427),0)))))</f>
      </c>
      <c r="Q437" s="43">
        <f>SUM($E437:$P437)</f>
      </c>
    </row>
    <row r="438">
      <c r="A438"/>
      <c r="B438">
        <v>14</v>
      </c>
      <c r="C438" s="43">
        <f>Jahr+11</f>
      </c>
      <c r="D438" s="43">
        <f>INDEX(MvObj,14)</f>
      </c>
      <c r="E438" s="43">
        <f>IF($S$427=0,0,IF(OR(DATE($C438,1,15)&lt;$S$427,AND($T$427&gt;0,DATE($C438,1,15)&gt;$T$427)),0,IF(DATE($C438,1,15)&gt;=$X$427,$AA$427*(1+($U$427)/100)^MAX(0,$C438-$AD$427),IF(DATE($C438,1,15)&gt;=$W$427,$Z$427*(1+($U$427)/100)^MAX(0,$C438-$AC$427),IF(DATE($C438,1,15)&gt;=$V$427,$Y$427*(1+($U$427)/100)^MAX(0,$C438-$AB$427),0)))))</f>
      </c>
      <c r="F438" s="43">
        <f>IF($S$427=0,0,IF(OR(DATE($C438,2,15)&lt;$S$427,AND($T$427&gt;0,DATE($C438,2,15)&gt;$T$427)),0,IF(DATE($C438,2,15)&gt;=$X$427,$AA$427*(1+($U$427)/100)^MAX(0,$C438-$AD$427),IF(DATE($C438,2,15)&gt;=$W$427,$Z$427*(1+($U$427)/100)^MAX(0,$C438-$AC$427),IF(DATE($C438,2,15)&gt;=$V$427,$Y$427*(1+($U$427)/100)^MAX(0,$C438-$AB$427),0)))))</f>
      </c>
      <c r="G438" s="43">
        <f>IF($S$427=0,0,IF(OR(DATE($C438,3,15)&lt;$S$427,AND($T$427&gt;0,DATE($C438,3,15)&gt;$T$427)),0,IF(DATE($C438,3,15)&gt;=$X$427,$AA$427*(1+($U$427)/100)^MAX(0,$C438-$AD$427),IF(DATE($C438,3,15)&gt;=$W$427,$Z$427*(1+($U$427)/100)^MAX(0,$C438-$AC$427),IF(DATE($C438,3,15)&gt;=$V$427,$Y$427*(1+($U$427)/100)^MAX(0,$C438-$AB$427),0)))))</f>
      </c>
      <c r="H438" s="43">
        <f>IF($S$427=0,0,IF(OR(DATE($C438,4,15)&lt;$S$427,AND($T$427&gt;0,DATE($C438,4,15)&gt;$T$427)),0,IF(DATE($C438,4,15)&gt;=$X$427,$AA$427*(1+($U$427)/100)^MAX(0,$C438-$AD$427),IF(DATE($C438,4,15)&gt;=$W$427,$Z$427*(1+($U$427)/100)^MAX(0,$C438-$AC$427),IF(DATE($C438,4,15)&gt;=$V$427,$Y$427*(1+($U$427)/100)^MAX(0,$C438-$AB$427),0)))))</f>
      </c>
      <c r="I438" s="43">
        <f>IF($S$427=0,0,IF(OR(DATE($C438,5,15)&lt;$S$427,AND($T$427&gt;0,DATE($C438,5,15)&gt;$T$427)),0,IF(DATE($C438,5,15)&gt;=$X$427,$AA$427*(1+($U$427)/100)^MAX(0,$C438-$AD$427),IF(DATE($C438,5,15)&gt;=$W$427,$Z$427*(1+($U$427)/100)^MAX(0,$C438-$AC$427),IF(DATE($C438,5,15)&gt;=$V$427,$Y$427*(1+($U$427)/100)^MAX(0,$C438-$AB$427),0)))))</f>
      </c>
      <c r="J438" s="43">
        <f>IF($S$427=0,0,IF(OR(DATE($C438,6,15)&lt;$S$427,AND($T$427&gt;0,DATE($C438,6,15)&gt;$T$427)),0,IF(DATE($C438,6,15)&gt;=$X$427,$AA$427*(1+($U$427)/100)^MAX(0,$C438-$AD$427),IF(DATE($C438,6,15)&gt;=$W$427,$Z$427*(1+($U$427)/100)^MAX(0,$C438-$AC$427),IF(DATE($C438,6,15)&gt;=$V$427,$Y$427*(1+($U$427)/100)^MAX(0,$C438-$AB$427),0)))))</f>
      </c>
      <c r="K438" s="43">
        <f>IF($S$427=0,0,IF(OR(DATE($C438,7,15)&lt;$S$427,AND($T$427&gt;0,DATE($C438,7,15)&gt;$T$427)),0,IF(DATE($C438,7,15)&gt;=$X$427,$AA$427*(1+($U$427)/100)^MAX(0,$C438-$AD$427),IF(DATE($C438,7,15)&gt;=$W$427,$Z$427*(1+($U$427)/100)^MAX(0,$C438-$AC$427),IF(DATE($C438,7,15)&gt;=$V$427,$Y$427*(1+($U$427)/100)^MAX(0,$C438-$AB$427),0)))))</f>
      </c>
      <c r="L438" s="43">
        <f>IF($S$427=0,0,IF(OR(DATE($C438,8,15)&lt;$S$427,AND($T$427&gt;0,DATE($C438,8,15)&gt;$T$427)),0,IF(DATE($C438,8,15)&gt;=$X$427,$AA$427*(1+($U$427)/100)^MAX(0,$C438-$AD$427),IF(DATE($C438,8,15)&gt;=$W$427,$Z$427*(1+($U$427)/100)^MAX(0,$C438-$AC$427),IF(DATE($C438,8,15)&gt;=$V$427,$Y$427*(1+($U$427)/100)^MAX(0,$C438-$AB$427),0)))))</f>
      </c>
      <c r="M438" s="43">
        <f>IF($S$427=0,0,IF(OR(DATE($C438,9,15)&lt;$S$427,AND($T$427&gt;0,DATE($C438,9,15)&gt;$T$427)),0,IF(DATE($C438,9,15)&gt;=$X$427,$AA$427*(1+($U$427)/100)^MAX(0,$C438-$AD$427),IF(DATE($C438,9,15)&gt;=$W$427,$Z$427*(1+($U$427)/100)^MAX(0,$C438-$AC$427),IF(DATE($C438,9,15)&gt;=$V$427,$Y$427*(1+($U$427)/100)^MAX(0,$C438-$AB$427),0)))))</f>
      </c>
      <c r="N438" s="43">
        <f>IF($S$427=0,0,IF(OR(DATE($C438,10,15)&lt;$S$427,AND($T$427&gt;0,DATE($C438,10,15)&gt;$T$427)),0,IF(DATE($C438,10,15)&gt;=$X$427,$AA$427*(1+($U$427)/100)^MAX(0,$C438-$AD$427),IF(DATE($C438,10,15)&gt;=$W$427,$Z$427*(1+($U$427)/100)^MAX(0,$C438-$AC$427),IF(DATE($C438,10,15)&gt;=$V$427,$Y$427*(1+($U$427)/100)^MAX(0,$C438-$AB$427),0)))))</f>
      </c>
      <c r="O438" s="43">
        <f>IF($S$427=0,0,IF(OR(DATE($C438,11,15)&lt;$S$427,AND($T$427&gt;0,DATE($C438,11,15)&gt;$T$427)),0,IF(DATE($C438,11,15)&gt;=$X$427,$AA$427*(1+($U$427)/100)^MAX(0,$C438-$AD$427),IF(DATE($C438,11,15)&gt;=$W$427,$Z$427*(1+($U$427)/100)^MAX(0,$C438-$AC$427),IF(DATE($C438,11,15)&gt;=$V$427,$Y$427*(1+($U$427)/100)^MAX(0,$C438-$AB$427),0)))))</f>
      </c>
      <c r="P438" s="43">
        <f>IF($S$427=0,0,IF(OR(DATE($C438,12,15)&lt;$S$427,AND($T$427&gt;0,DATE($C438,12,15)&gt;$T$427)),0,IF(DATE($C438,12,15)&gt;=$X$427,$AA$427*(1+($U$427)/100)^MAX(0,$C438-$AD$427),IF(DATE($C438,12,15)&gt;=$W$427,$Z$427*(1+($U$427)/100)^MAX(0,$C438-$AC$427),IF(DATE($C438,12,15)&gt;=$V$427,$Y$427*(1+($U$427)/100)^MAX(0,$C438-$AB$427),0)))))</f>
      </c>
      <c r="Q438" s="43">
        <f>SUM($E438:$P438)</f>
      </c>
    </row>
    <row r="439">
      <c r="A439"/>
      <c r="B439">
        <v>14</v>
      </c>
      <c r="C439" s="43">
        <f>Jahr+12</f>
      </c>
      <c r="D439" s="43">
        <f>INDEX(MvObj,14)</f>
      </c>
      <c r="E439" s="43">
        <f>IF($S$427=0,0,IF(OR(DATE($C439,1,15)&lt;$S$427,AND($T$427&gt;0,DATE($C439,1,15)&gt;$T$427)),0,IF(DATE($C439,1,15)&gt;=$X$427,$AA$427*(1+($U$427)/100)^MAX(0,$C439-$AD$427),IF(DATE($C439,1,15)&gt;=$W$427,$Z$427*(1+($U$427)/100)^MAX(0,$C439-$AC$427),IF(DATE($C439,1,15)&gt;=$V$427,$Y$427*(1+($U$427)/100)^MAX(0,$C439-$AB$427),0)))))</f>
      </c>
      <c r="F439" s="43">
        <f>IF($S$427=0,0,IF(OR(DATE($C439,2,15)&lt;$S$427,AND($T$427&gt;0,DATE($C439,2,15)&gt;$T$427)),0,IF(DATE($C439,2,15)&gt;=$X$427,$AA$427*(1+($U$427)/100)^MAX(0,$C439-$AD$427),IF(DATE($C439,2,15)&gt;=$W$427,$Z$427*(1+($U$427)/100)^MAX(0,$C439-$AC$427),IF(DATE($C439,2,15)&gt;=$V$427,$Y$427*(1+($U$427)/100)^MAX(0,$C439-$AB$427),0)))))</f>
      </c>
      <c r="G439" s="43">
        <f>IF($S$427=0,0,IF(OR(DATE($C439,3,15)&lt;$S$427,AND($T$427&gt;0,DATE($C439,3,15)&gt;$T$427)),0,IF(DATE($C439,3,15)&gt;=$X$427,$AA$427*(1+($U$427)/100)^MAX(0,$C439-$AD$427),IF(DATE($C439,3,15)&gt;=$W$427,$Z$427*(1+($U$427)/100)^MAX(0,$C439-$AC$427),IF(DATE($C439,3,15)&gt;=$V$427,$Y$427*(1+($U$427)/100)^MAX(0,$C439-$AB$427),0)))))</f>
      </c>
      <c r="H439" s="43">
        <f>IF($S$427=0,0,IF(OR(DATE($C439,4,15)&lt;$S$427,AND($T$427&gt;0,DATE($C439,4,15)&gt;$T$427)),0,IF(DATE($C439,4,15)&gt;=$X$427,$AA$427*(1+($U$427)/100)^MAX(0,$C439-$AD$427),IF(DATE($C439,4,15)&gt;=$W$427,$Z$427*(1+($U$427)/100)^MAX(0,$C439-$AC$427),IF(DATE($C439,4,15)&gt;=$V$427,$Y$427*(1+($U$427)/100)^MAX(0,$C439-$AB$427),0)))))</f>
      </c>
      <c r="I439" s="43">
        <f>IF($S$427=0,0,IF(OR(DATE($C439,5,15)&lt;$S$427,AND($T$427&gt;0,DATE($C439,5,15)&gt;$T$427)),0,IF(DATE($C439,5,15)&gt;=$X$427,$AA$427*(1+($U$427)/100)^MAX(0,$C439-$AD$427),IF(DATE($C439,5,15)&gt;=$W$427,$Z$427*(1+($U$427)/100)^MAX(0,$C439-$AC$427),IF(DATE($C439,5,15)&gt;=$V$427,$Y$427*(1+($U$427)/100)^MAX(0,$C439-$AB$427),0)))))</f>
      </c>
      <c r="J439" s="43">
        <f>IF($S$427=0,0,IF(OR(DATE($C439,6,15)&lt;$S$427,AND($T$427&gt;0,DATE($C439,6,15)&gt;$T$427)),0,IF(DATE($C439,6,15)&gt;=$X$427,$AA$427*(1+($U$427)/100)^MAX(0,$C439-$AD$427),IF(DATE($C439,6,15)&gt;=$W$427,$Z$427*(1+($U$427)/100)^MAX(0,$C439-$AC$427),IF(DATE($C439,6,15)&gt;=$V$427,$Y$427*(1+($U$427)/100)^MAX(0,$C439-$AB$427),0)))))</f>
      </c>
      <c r="K439" s="43">
        <f>IF($S$427=0,0,IF(OR(DATE($C439,7,15)&lt;$S$427,AND($T$427&gt;0,DATE($C439,7,15)&gt;$T$427)),0,IF(DATE($C439,7,15)&gt;=$X$427,$AA$427*(1+($U$427)/100)^MAX(0,$C439-$AD$427),IF(DATE($C439,7,15)&gt;=$W$427,$Z$427*(1+($U$427)/100)^MAX(0,$C439-$AC$427),IF(DATE($C439,7,15)&gt;=$V$427,$Y$427*(1+($U$427)/100)^MAX(0,$C439-$AB$427),0)))))</f>
      </c>
      <c r="L439" s="43">
        <f>IF($S$427=0,0,IF(OR(DATE($C439,8,15)&lt;$S$427,AND($T$427&gt;0,DATE($C439,8,15)&gt;$T$427)),0,IF(DATE($C439,8,15)&gt;=$X$427,$AA$427*(1+($U$427)/100)^MAX(0,$C439-$AD$427),IF(DATE($C439,8,15)&gt;=$W$427,$Z$427*(1+($U$427)/100)^MAX(0,$C439-$AC$427),IF(DATE($C439,8,15)&gt;=$V$427,$Y$427*(1+($U$427)/100)^MAX(0,$C439-$AB$427),0)))))</f>
      </c>
      <c r="M439" s="43">
        <f>IF($S$427=0,0,IF(OR(DATE($C439,9,15)&lt;$S$427,AND($T$427&gt;0,DATE($C439,9,15)&gt;$T$427)),0,IF(DATE($C439,9,15)&gt;=$X$427,$AA$427*(1+($U$427)/100)^MAX(0,$C439-$AD$427),IF(DATE($C439,9,15)&gt;=$W$427,$Z$427*(1+($U$427)/100)^MAX(0,$C439-$AC$427),IF(DATE($C439,9,15)&gt;=$V$427,$Y$427*(1+($U$427)/100)^MAX(0,$C439-$AB$427),0)))))</f>
      </c>
      <c r="N439" s="43">
        <f>IF($S$427=0,0,IF(OR(DATE($C439,10,15)&lt;$S$427,AND($T$427&gt;0,DATE($C439,10,15)&gt;$T$427)),0,IF(DATE($C439,10,15)&gt;=$X$427,$AA$427*(1+($U$427)/100)^MAX(0,$C439-$AD$427),IF(DATE($C439,10,15)&gt;=$W$427,$Z$427*(1+($U$427)/100)^MAX(0,$C439-$AC$427),IF(DATE($C439,10,15)&gt;=$V$427,$Y$427*(1+($U$427)/100)^MAX(0,$C439-$AB$427),0)))))</f>
      </c>
      <c r="O439" s="43">
        <f>IF($S$427=0,0,IF(OR(DATE($C439,11,15)&lt;$S$427,AND($T$427&gt;0,DATE($C439,11,15)&gt;$T$427)),0,IF(DATE($C439,11,15)&gt;=$X$427,$AA$427*(1+($U$427)/100)^MAX(0,$C439-$AD$427),IF(DATE($C439,11,15)&gt;=$W$427,$Z$427*(1+($U$427)/100)^MAX(0,$C439-$AC$427),IF(DATE($C439,11,15)&gt;=$V$427,$Y$427*(1+($U$427)/100)^MAX(0,$C439-$AB$427),0)))))</f>
      </c>
      <c r="P439" s="43">
        <f>IF($S$427=0,0,IF(OR(DATE($C439,12,15)&lt;$S$427,AND($T$427&gt;0,DATE($C439,12,15)&gt;$T$427)),0,IF(DATE($C439,12,15)&gt;=$X$427,$AA$427*(1+($U$427)/100)^MAX(0,$C439-$AD$427),IF(DATE($C439,12,15)&gt;=$W$427,$Z$427*(1+($U$427)/100)^MAX(0,$C439-$AC$427),IF(DATE($C439,12,15)&gt;=$V$427,$Y$427*(1+($U$427)/100)^MAX(0,$C439-$AB$427),0)))))</f>
      </c>
      <c r="Q439" s="43">
        <f>SUM($E439:$P439)</f>
      </c>
    </row>
    <row r="440">
      <c r="A440"/>
      <c r="B440">
        <v>14</v>
      </c>
      <c r="C440" s="43">
        <f>Jahr+13</f>
      </c>
      <c r="D440" s="43">
        <f>INDEX(MvObj,14)</f>
      </c>
      <c r="E440" s="43">
        <f>IF($S$427=0,0,IF(OR(DATE($C440,1,15)&lt;$S$427,AND($T$427&gt;0,DATE($C440,1,15)&gt;$T$427)),0,IF(DATE($C440,1,15)&gt;=$X$427,$AA$427*(1+($U$427)/100)^MAX(0,$C440-$AD$427),IF(DATE($C440,1,15)&gt;=$W$427,$Z$427*(1+($U$427)/100)^MAX(0,$C440-$AC$427),IF(DATE($C440,1,15)&gt;=$V$427,$Y$427*(1+($U$427)/100)^MAX(0,$C440-$AB$427),0)))))</f>
      </c>
      <c r="F440" s="43">
        <f>IF($S$427=0,0,IF(OR(DATE($C440,2,15)&lt;$S$427,AND($T$427&gt;0,DATE($C440,2,15)&gt;$T$427)),0,IF(DATE($C440,2,15)&gt;=$X$427,$AA$427*(1+($U$427)/100)^MAX(0,$C440-$AD$427),IF(DATE($C440,2,15)&gt;=$W$427,$Z$427*(1+($U$427)/100)^MAX(0,$C440-$AC$427),IF(DATE($C440,2,15)&gt;=$V$427,$Y$427*(1+($U$427)/100)^MAX(0,$C440-$AB$427),0)))))</f>
      </c>
      <c r="G440" s="43">
        <f>IF($S$427=0,0,IF(OR(DATE($C440,3,15)&lt;$S$427,AND($T$427&gt;0,DATE($C440,3,15)&gt;$T$427)),0,IF(DATE($C440,3,15)&gt;=$X$427,$AA$427*(1+($U$427)/100)^MAX(0,$C440-$AD$427),IF(DATE($C440,3,15)&gt;=$W$427,$Z$427*(1+($U$427)/100)^MAX(0,$C440-$AC$427),IF(DATE($C440,3,15)&gt;=$V$427,$Y$427*(1+($U$427)/100)^MAX(0,$C440-$AB$427),0)))))</f>
      </c>
      <c r="H440" s="43">
        <f>IF($S$427=0,0,IF(OR(DATE($C440,4,15)&lt;$S$427,AND($T$427&gt;0,DATE($C440,4,15)&gt;$T$427)),0,IF(DATE($C440,4,15)&gt;=$X$427,$AA$427*(1+($U$427)/100)^MAX(0,$C440-$AD$427),IF(DATE($C440,4,15)&gt;=$W$427,$Z$427*(1+($U$427)/100)^MAX(0,$C440-$AC$427),IF(DATE($C440,4,15)&gt;=$V$427,$Y$427*(1+($U$427)/100)^MAX(0,$C440-$AB$427),0)))))</f>
      </c>
      <c r="I440" s="43">
        <f>IF($S$427=0,0,IF(OR(DATE($C440,5,15)&lt;$S$427,AND($T$427&gt;0,DATE($C440,5,15)&gt;$T$427)),0,IF(DATE($C440,5,15)&gt;=$X$427,$AA$427*(1+($U$427)/100)^MAX(0,$C440-$AD$427),IF(DATE($C440,5,15)&gt;=$W$427,$Z$427*(1+($U$427)/100)^MAX(0,$C440-$AC$427),IF(DATE($C440,5,15)&gt;=$V$427,$Y$427*(1+($U$427)/100)^MAX(0,$C440-$AB$427),0)))))</f>
      </c>
      <c r="J440" s="43">
        <f>IF($S$427=0,0,IF(OR(DATE($C440,6,15)&lt;$S$427,AND($T$427&gt;0,DATE($C440,6,15)&gt;$T$427)),0,IF(DATE($C440,6,15)&gt;=$X$427,$AA$427*(1+($U$427)/100)^MAX(0,$C440-$AD$427),IF(DATE($C440,6,15)&gt;=$W$427,$Z$427*(1+($U$427)/100)^MAX(0,$C440-$AC$427),IF(DATE($C440,6,15)&gt;=$V$427,$Y$427*(1+($U$427)/100)^MAX(0,$C440-$AB$427),0)))))</f>
      </c>
      <c r="K440" s="43">
        <f>IF($S$427=0,0,IF(OR(DATE($C440,7,15)&lt;$S$427,AND($T$427&gt;0,DATE($C440,7,15)&gt;$T$427)),0,IF(DATE($C440,7,15)&gt;=$X$427,$AA$427*(1+($U$427)/100)^MAX(0,$C440-$AD$427),IF(DATE($C440,7,15)&gt;=$W$427,$Z$427*(1+($U$427)/100)^MAX(0,$C440-$AC$427),IF(DATE($C440,7,15)&gt;=$V$427,$Y$427*(1+($U$427)/100)^MAX(0,$C440-$AB$427),0)))))</f>
      </c>
      <c r="L440" s="43">
        <f>IF($S$427=0,0,IF(OR(DATE($C440,8,15)&lt;$S$427,AND($T$427&gt;0,DATE($C440,8,15)&gt;$T$427)),0,IF(DATE($C440,8,15)&gt;=$X$427,$AA$427*(1+($U$427)/100)^MAX(0,$C440-$AD$427),IF(DATE($C440,8,15)&gt;=$W$427,$Z$427*(1+($U$427)/100)^MAX(0,$C440-$AC$427),IF(DATE($C440,8,15)&gt;=$V$427,$Y$427*(1+($U$427)/100)^MAX(0,$C440-$AB$427),0)))))</f>
      </c>
      <c r="M440" s="43">
        <f>IF($S$427=0,0,IF(OR(DATE($C440,9,15)&lt;$S$427,AND($T$427&gt;0,DATE($C440,9,15)&gt;$T$427)),0,IF(DATE($C440,9,15)&gt;=$X$427,$AA$427*(1+($U$427)/100)^MAX(0,$C440-$AD$427),IF(DATE($C440,9,15)&gt;=$W$427,$Z$427*(1+($U$427)/100)^MAX(0,$C440-$AC$427),IF(DATE($C440,9,15)&gt;=$V$427,$Y$427*(1+($U$427)/100)^MAX(0,$C440-$AB$427),0)))))</f>
      </c>
      <c r="N440" s="43">
        <f>IF($S$427=0,0,IF(OR(DATE($C440,10,15)&lt;$S$427,AND($T$427&gt;0,DATE($C440,10,15)&gt;$T$427)),0,IF(DATE($C440,10,15)&gt;=$X$427,$AA$427*(1+($U$427)/100)^MAX(0,$C440-$AD$427),IF(DATE($C440,10,15)&gt;=$W$427,$Z$427*(1+($U$427)/100)^MAX(0,$C440-$AC$427),IF(DATE($C440,10,15)&gt;=$V$427,$Y$427*(1+($U$427)/100)^MAX(0,$C440-$AB$427),0)))))</f>
      </c>
      <c r="O440" s="43">
        <f>IF($S$427=0,0,IF(OR(DATE($C440,11,15)&lt;$S$427,AND($T$427&gt;0,DATE($C440,11,15)&gt;$T$427)),0,IF(DATE($C440,11,15)&gt;=$X$427,$AA$427*(1+($U$427)/100)^MAX(0,$C440-$AD$427),IF(DATE($C440,11,15)&gt;=$W$427,$Z$427*(1+($U$427)/100)^MAX(0,$C440-$AC$427),IF(DATE($C440,11,15)&gt;=$V$427,$Y$427*(1+($U$427)/100)^MAX(0,$C440-$AB$427),0)))))</f>
      </c>
      <c r="P440" s="43">
        <f>IF($S$427=0,0,IF(OR(DATE($C440,12,15)&lt;$S$427,AND($T$427&gt;0,DATE($C440,12,15)&gt;$T$427)),0,IF(DATE($C440,12,15)&gt;=$X$427,$AA$427*(1+($U$427)/100)^MAX(0,$C440-$AD$427),IF(DATE($C440,12,15)&gt;=$W$427,$Z$427*(1+($U$427)/100)^MAX(0,$C440-$AC$427),IF(DATE($C440,12,15)&gt;=$V$427,$Y$427*(1+($U$427)/100)^MAX(0,$C440-$AB$427),0)))))</f>
      </c>
      <c r="Q440" s="43">
        <f>SUM($E440:$P440)</f>
      </c>
    </row>
    <row r="441">
      <c r="A441"/>
      <c r="B441">
        <v>14</v>
      </c>
      <c r="C441" s="43">
        <f>Jahr+14</f>
      </c>
      <c r="D441" s="43">
        <f>INDEX(MvObj,14)</f>
      </c>
      <c r="E441" s="43">
        <f>IF($S$427=0,0,IF(OR(DATE($C441,1,15)&lt;$S$427,AND($T$427&gt;0,DATE($C441,1,15)&gt;$T$427)),0,IF(DATE($C441,1,15)&gt;=$X$427,$AA$427*(1+($U$427)/100)^MAX(0,$C441-$AD$427),IF(DATE($C441,1,15)&gt;=$W$427,$Z$427*(1+($U$427)/100)^MAX(0,$C441-$AC$427),IF(DATE($C441,1,15)&gt;=$V$427,$Y$427*(1+($U$427)/100)^MAX(0,$C441-$AB$427),0)))))</f>
      </c>
      <c r="F441" s="43">
        <f>IF($S$427=0,0,IF(OR(DATE($C441,2,15)&lt;$S$427,AND($T$427&gt;0,DATE($C441,2,15)&gt;$T$427)),0,IF(DATE($C441,2,15)&gt;=$X$427,$AA$427*(1+($U$427)/100)^MAX(0,$C441-$AD$427),IF(DATE($C441,2,15)&gt;=$W$427,$Z$427*(1+($U$427)/100)^MAX(0,$C441-$AC$427),IF(DATE($C441,2,15)&gt;=$V$427,$Y$427*(1+($U$427)/100)^MAX(0,$C441-$AB$427),0)))))</f>
      </c>
      <c r="G441" s="43">
        <f>IF($S$427=0,0,IF(OR(DATE($C441,3,15)&lt;$S$427,AND($T$427&gt;0,DATE($C441,3,15)&gt;$T$427)),0,IF(DATE($C441,3,15)&gt;=$X$427,$AA$427*(1+($U$427)/100)^MAX(0,$C441-$AD$427),IF(DATE($C441,3,15)&gt;=$W$427,$Z$427*(1+($U$427)/100)^MAX(0,$C441-$AC$427),IF(DATE($C441,3,15)&gt;=$V$427,$Y$427*(1+($U$427)/100)^MAX(0,$C441-$AB$427),0)))))</f>
      </c>
      <c r="H441" s="43">
        <f>IF($S$427=0,0,IF(OR(DATE($C441,4,15)&lt;$S$427,AND($T$427&gt;0,DATE($C441,4,15)&gt;$T$427)),0,IF(DATE($C441,4,15)&gt;=$X$427,$AA$427*(1+($U$427)/100)^MAX(0,$C441-$AD$427),IF(DATE($C441,4,15)&gt;=$W$427,$Z$427*(1+($U$427)/100)^MAX(0,$C441-$AC$427),IF(DATE($C441,4,15)&gt;=$V$427,$Y$427*(1+($U$427)/100)^MAX(0,$C441-$AB$427),0)))))</f>
      </c>
      <c r="I441" s="43">
        <f>IF($S$427=0,0,IF(OR(DATE($C441,5,15)&lt;$S$427,AND($T$427&gt;0,DATE($C441,5,15)&gt;$T$427)),0,IF(DATE($C441,5,15)&gt;=$X$427,$AA$427*(1+($U$427)/100)^MAX(0,$C441-$AD$427),IF(DATE($C441,5,15)&gt;=$W$427,$Z$427*(1+($U$427)/100)^MAX(0,$C441-$AC$427),IF(DATE($C441,5,15)&gt;=$V$427,$Y$427*(1+($U$427)/100)^MAX(0,$C441-$AB$427),0)))))</f>
      </c>
      <c r="J441" s="43">
        <f>IF($S$427=0,0,IF(OR(DATE($C441,6,15)&lt;$S$427,AND($T$427&gt;0,DATE($C441,6,15)&gt;$T$427)),0,IF(DATE($C441,6,15)&gt;=$X$427,$AA$427*(1+($U$427)/100)^MAX(0,$C441-$AD$427),IF(DATE($C441,6,15)&gt;=$W$427,$Z$427*(1+($U$427)/100)^MAX(0,$C441-$AC$427),IF(DATE($C441,6,15)&gt;=$V$427,$Y$427*(1+($U$427)/100)^MAX(0,$C441-$AB$427),0)))))</f>
      </c>
      <c r="K441" s="43">
        <f>IF($S$427=0,0,IF(OR(DATE($C441,7,15)&lt;$S$427,AND($T$427&gt;0,DATE($C441,7,15)&gt;$T$427)),0,IF(DATE($C441,7,15)&gt;=$X$427,$AA$427*(1+($U$427)/100)^MAX(0,$C441-$AD$427),IF(DATE($C441,7,15)&gt;=$W$427,$Z$427*(1+($U$427)/100)^MAX(0,$C441-$AC$427),IF(DATE($C441,7,15)&gt;=$V$427,$Y$427*(1+($U$427)/100)^MAX(0,$C441-$AB$427),0)))))</f>
      </c>
      <c r="L441" s="43">
        <f>IF($S$427=0,0,IF(OR(DATE($C441,8,15)&lt;$S$427,AND($T$427&gt;0,DATE($C441,8,15)&gt;$T$427)),0,IF(DATE($C441,8,15)&gt;=$X$427,$AA$427*(1+($U$427)/100)^MAX(0,$C441-$AD$427),IF(DATE($C441,8,15)&gt;=$W$427,$Z$427*(1+($U$427)/100)^MAX(0,$C441-$AC$427),IF(DATE($C441,8,15)&gt;=$V$427,$Y$427*(1+($U$427)/100)^MAX(0,$C441-$AB$427),0)))))</f>
      </c>
      <c r="M441" s="43">
        <f>IF($S$427=0,0,IF(OR(DATE($C441,9,15)&lt;$S$427,AND($T$427&gt;0,DATE($C441,9,15)&gt;$T$427)),0,IF(DATE($C441,9,15)&gt;=$X$427,$AA$427*(1+($U$427)/100)^MAX(0,$C441-$AD$427),IF(DATE($C441,9,15)&gt;=$W$427,$Z$427*(1+($U$427)/100)^MAX(0,$C441-$AC$427),IF(DATE($C441,9,15)&gt;=$V$427,$Y$427*(1+($U$427)/100)^MAX(0,$C441-$AB$427),0)))))</f>
      </c>
      <c r="N441" s="43">
        <f>IF($S$427=0,0,IF(OR(DATE($C441,10,15)&lt;$S$427,AND($T$427&gt;0,DATE($C441,10,15)&gt;$T$427)),0,IF(DATE($C441,10,15)&gt;=$X$427,$AA$427*(1+($U$427)/100)^MAX(0,$C441-$AD$427),IF(DATE($C441,10,15)&gt;=$W$427,$Z$427*(1+($U$427)/100)^MAX(0,$C441-$AC$427),IF(DATE($C441,10,15)&gt;=$V$427,$Y$427*(1+($U$427)/100)^MAX(0,$C441-$AB$427),0)))))</f>
      </c>
      <c r="O441" s="43">
        <f>IF($S$427=0,0,IF(OR(DATE($C441,11,15)&lt;$S$427,AND($T$427&gt;0,DATE($C441,11,15)&gt;$T$427)),0,IF(DATE($C441,11,15)&gt;=$X$427,$AA$427*(1+($U$427)/100)^MAX(0,$C441-$AD$427),IF(DATE($C441,11,15)&gt;=$W$427,$Z$427*(1+($U$427)/100)^MAX(0,$C441-$AC$427),IF(DATE($C441,11,15)&gt;=$V$427,$Y$427*(1+($U$427)/100)^MAX(0,$C441-$AB$427),0)))))</f>
      </c>
      <c r="P441" s="43">
        <f>IF($S$427=0,0,IF(OR(DATE($C441,12,15)&lt;$S$427,AND($T$427&gt;0,DATE($C441,12,15)&gt;$T$427)),0,IF(DATE($C441,12,15)&gt;=$X$427,$AA$427*(1+($U$427)/100)^MAX(0,$C441-$AD$427),IF(DATE($C441,12,15)&gt;=$W$427,$Z$427*(1+($U$427)/100)^MAX(0,$C441-$AC$427),IF(DATE($C441,12,15)&gt;=$V$427,$Y$427*(1+($U$427)/100)^MAX(0,$C441-$AB$427),0)))))</f>
      </c>
      <c r="Q441" s="43">
        <f>SUM($E441:$P441)</f>
      </c>
    </row>
    <row r="442">
      <c r="A442"/>
      <c r="B442">
        <v>14</v>
      </c>
      <c r="C442" s="43">
        <f>Jahr+15</f>
      </c>
      <c r="D442" s="43">
        <f>INDEX(MvObj,14)</f>
      </c>
      <c r="E442" s="43">
        <f>IF($S$427=0,0,IF(OR(DATE($C442,1,15)&lt;$S$427,AND($T$427&gt;0,DATE($C442,1,15)&gt;$T$427)),0,IF(DATE($C442,1,15)&gt;=$X$427,$AA$427*(1+($U$427)/100)^MAX(0,$C442-$AD$427),IF(DATE($C442,1,15)&gt;=$W$427,$Z$427*(1+($U$427)/100)^MAX(0,$C442-$AC$427),IF(DATE($C442,1,15)&gt;=$V$427,$Y$427*(1+($U$427)/100)^MAX(0,$C442-$AB$427),0)))))</f>
      </c>
      <c r="F442" s="43">
        <f>IF($S$427=0,0,IF(OR(DATE($C442,2,15)&lt;$S$427,AND($T$427&gt;0,DATE($C442,2,15)&gt;$T$427)),0,IF(DATE($C442,2,15)&gt;=$X$427,$AA$427*(1+($U$427)/100)^MAX(0,$C442-$AD$427),IF(DATE($C442,2,15)&gt;=$W$427,$Z$427*(1+($U$427)/100)^MAX(0,$C442-$AC$427),IF(DATE($C442,2,15)&gt;=$V$427,$Y$427*(1+($U$427)/100)^MAX(0,$C442-$AB$427),0)))))</f>
      </c>
      <c r="G442" s="43">
        <f>IF($S$427=0,0,IF(OR(DATE($C442,3,15)&lt;$S$427,AND($T$427&gt;0,DATE($C442,3,15)&gt;$T$427)),0,IF(DATE($C442,3,15)&gt;=$X$427,$AA$427*(1+($U$427)/100)^MAX(0,$C442-$AD$427),IF(DATE($C442,3,15)&gt;=$W$427,$Z$427*(1+($U$427)/100)^MAX(0,$C442-$AC$427),IF(DATE($C442,3,15)&gt;=$V$427,$Y$427*(1+($U$427)/100)^MAX(0,$C442-$AB$427),0)))))</f>
      </c>
      <c r="H442" s="43">
        <f>IF($S$427=0,0,IF(OR(DATE($C442,4,15)&lt;$S$427,AND($T$427&gt;0,DATE($C442,4,15)&gt;$T$427)),0,IF(DATE($C442,4,15)&gt;=$X$427,$AA$427*(1+($U$427)/100)^MAX(0,$C442-$AD$427),IF(DATE($C442,4,15)&gt;=$W$427,$Z$427*(1+($U$427)/100)^MAX(0,$C442-$AC$427),IF(DATE($C442,4,15)&gt;=$V$427,$Y$427*(1+($U$427)/100)^MAX(0,$C442-$AB$427),0)))))</f>
      </c>
      <c r="I442" s="43">
        <f>IF($S$427=0,0,IF(OR(DATE($C442,5,15)&lt;$S$427,AND($T$427&gt;0,DATE($C442,5,15)&gt;$T$427)),0,IF(DATE($C442,5,15)&gt;=$X$427,$AA$427*(1+($U$427)/100)^MAX(0,$C442-$AD$427),IF(DATE($C442,5,15)&gt;=$W$427,$Z$427*(1+($U$427)/100)^MAX(0,$C442-$AC$427),IF(DATE($C442,5,15)&gt;=$V$427,$Y$427*(1+($U$427)/100)^MAX(0,$C442-$AB$427),0)))))</f>
      </c>
      <c r="J442" s="43">
        <f>IF($S$427=0,0,IF(OR(DATE($C442,6,15)&lt;$S$427,AND($T$427&gt;0,DATE($C442,6,15)&gt;$T$427)),0,IF(DATE($C442,6,15)&gt;=$X$427,$AA$427*(1+($U$427)/100)^MAX(0,$C442-$AD$427),IF(DATE($C442,6,15)&gt;=$W$427,$Z$427*(1+($U$427)/100)^MAX(0,$C442-$AC$427),IF(DATE($C442,6,15)&gt;=$V$427,$Y$427*(1+($U$427)/100)^MAX(0,$C442-$AB$427),0)))))</f>
      </c>
      <c r="K442" s="43">
        <f>IF($S$427=0,0,IF(OR(DATE($C442,7,15)&lt;$S$427,AND($T$427&gt;0,DATE($C442,7,15)&gt;$T$427)),0,IF(DATE($C442,7,15)&gt;=$X$427,$AA$427*(1+($U$427)/100)^MAX(0,$C442-$AD$427),IF(DATE($C442,7,15)&gt;=$W$427,$Z$427*(1+($U$427)/100)^MAX(0,$C442-$AC$427),IF(DATE($C442,7,15)&gt;=$V$427,$Y$427*(1+($U$427)/100)^MAX(0,$C442-$AB$427),0)))))</f>
      </c>
      <c r="L442" s="43">
        <f>IF($S$427=0,0,IF(OR(DATE($C442,8,15)&lt;$S$427,AND($T$427&gt;0,DATE($C442,8,15)&gt;$T$427)),0,IF(DATE($C442,8,15)&gt;=$X$427,$AA$427*(1+($U$427)/100)^MAX(0,$C442-$AD$427),IF(DATE($C442,8,15)&gt;=$W$427,$Z$427*(1+($U$427)/100)^MAX(0,$C442-$AC$427),IF(DATE($C442,8,15)&gt;=$V$427,$Y$427*(1+($U$427)/100)^MAX(0,$C442-$AB$427),0)))))</f>
      </c>
      <c r="M442" s="43">
        <f>IF($S$427=0,0,IF(OR(DATE($C442,9,15)&lt;$S$427,AND($T$427&gt;0,DATE($C442,9,15)&gt;$T$427)),0,IF(DATE($C442,9,15)&gt;=$X$427,$AA$427*(1+($U$427)/100)^MAX(0,$C442-$AD$427),IF(DATE($C442,9,15)&gt;=$W$427,$Z$427*(1+($U$427)/100)^MAX(0,$C442-$AC$427),IF(DATE($C442,9,15)&gt;=$V$427,$Y$427*(1+($U$427)/100)^MAX(0,$C442-$AB$427),0)))))</f>
      </c>
      <c r="N442" s="43">
        <f>IF($S$427=0,0,IF(OR(DATE($C442,10,15)&lt;$S$427,AND($T$427&gt;0,DATE($C442,10,15)&gt;$T$427)),0,IF(DATE($C442,10,15)&gt;=$X$427,$AA$427*(1+($U$427)/100)^MAX(0,$C442-$AD$427),IF(DATE($C442,10,15)&gt;=$W$427,$Z$427*(1+($U$427)/100)^MAX(0,$C442-$AC$427),IF(DATE($C442,10,15)&gt;=$V$427,$Y$427*(1+($U$427)/100)^MAX(0,$C442-$AB$427),0)))))</f>
      </c>
      <c r="O442" s="43">
        <f>IF($S$427=0,0,IF(OR(DATE($C442,11,15)&lt;$S$427,AND($T$427&gt;0,DATE($C442,11,15)&gt;$T$427)),0,IF(DATE($C442,11,15)&gt;=$X$427,$AA$427*(1+($U$427)/100)^MAX(0,$C442-$AD$427),IF(DATE($C442,11,15)&gt;=$W$427,$Z$427*(1+($U$427)/100)^MAX(0,$C442-$AC$427),IF(DATE($C442,11,15)&gt;=$V$427,$Y$427*(1+($U$427)/100)^MAX(0,$C442-$AB$427),0)))))</f>
      </c>
      <c r="P442" s="43">
        <f>IF($S$427=0,0,IF(OR(DATE($C442,12,15)&lt;$S$427,AND($T$427&gt;0,DATE($C442,12,15)&gt;$T$427)),0,IF(DATE($C442,12,15)&gt;=$X$427,$AA$427*(1+($U$427)/100)^MAX(0,$C442-$AD$427),IF(DATE($C442,12,15)&gt;=$W$427,$Z$427*(1+($U$427)/100)^MAX(0,$C442-$AC$427),IF(DATE($C442,12,15)&gt;=$V$427,$Y$427*(1+($U$427)/100)^MAX(0,$C442-$AB$427),0)))))</f>
      </c>
      <c r="Q442" s="43">
        <f>SUM($E442:$P442)</f>
      </c>
    </row>
    <row r="443">
      <c r="A443"/>
      <c r="B443">
        <v>14</v>
      </c>
      <c r="C443" s="43">
        <f>Jahr+16</f>
      </c>
      <c r="D443" s="43">
        <f>INDEX(MvObj,14)</f>
      </c>
      <c r="E443" s="43">
        <f>IF($S$427=0,0,IF(OR(DATE($C443,1,15)&lt;$S$427,AND($T$427&gt;0,DATE($C443,1,15)&gt;$T$427)),0,IF(DATE($C443,1,15)&gt;=$X$427,$AA$427*(1+($U$427)/100)^MAX(0,$C443-$AD$427),IF(DATE($C443,1,15)&gt;=$W$427,$Z$427*(1+($U$427)/100)^MAX(0,$C443-$AC$427),IF(DATE($C443,1,15)&gt;=$V$427,$Y$427*(1+($U$427)/100)^MAX(0,$C443-$AB$427),0)))))</f>
      </c>
      <c r="F443" s="43">
        <f>IF($S$427=0,0,IF(OR(DATE($C443,2,15)&lt;$S$427,AND($T$427&gt;0,DATE($C443,2,15)&gt;$T$427)),0,IF(DATE($C443,2,15)&gt;=$X$427,$AA$427*(1+($U$427)/100)^MAX(0,$C443-$AD$427),IF(DATE($C443,2,15)&gt;=$W$427,$Z$427*(1+($U$427)/100)^MAX(0,$C443-$AC$427),IF(DATE($C443,2,15)&gt;=$V$427,$Y$427*(1+($U$427)/100)^MAX(0,$C443-$AB$427),0)))))</f>
      </c>
      <c r="G443" s="43">
        <f>IF($S$427=0,0,IF(OR(DATE($C443,3,15)&lt;$S$427,AND($T$427&gt;0,DATE($C443,3,15)&gt;$T$427)),0,IF(DATE($C443,3,15)&gt;=$X$427,$AA$427*(1+($U$427)/100)^MAX(0,$C443-$AD$427),IF(DATE($C443,3,15)&gt;=$W$427,$Z$427*(1+($U$427)/100)^MAX(0,$C443-$AC$427),IF(DATE($C443,3,15)&gt;=$V$427,$Y$427*(1+($U$427)/100)^MAX(0,$C443-$AB$427),0)))))</f>
      </c>
      <c r="H443" s="43">
        <f>IF($S$427=0,0,IF(OR(DATE($C443,4,15)&lt;$S$427,AND($T$427&gt;0,DATE($C443,4,15)&gt;$T$427)),0,IF(DATE($C443,4,15)&gt;=$X$427,$AA$427*(1+($U$427)/100)^MAX(0,$C443-$AD$427),IF(DATE($C443,4,15)&gt;=$W$427,$Z$427*(1+($U$427)/100)^MAX(0,$C443-$AC$427),IF(DATE($C443,4,15)&gt;=$V$427,$Y$427*(1+($U$427)/100)^MAX(0,$C443-$AB$427),0)))))</f>
      </c>
      <c r="I443" s="43">
        <f>IF($S$427=0,0,IF(OR(DATE($C443,5,15)&lt;$S$427,AND($T$427&gt;0,DATE($C443,5,15)&gt;$T$427)),0,IF(DATE($C443,5,15)&gt;=$X$427,$AA$427*(1+($U$427)/100)^MAX(0,$C443-$AD$427),IF(DATE($C443,5,15)&gt;=$W$427,$Z$427*(1+($U$427)/100)^MAX(0,$C443-$AC$427),IF(DATE($C443,5,15)&gt;=$V$427,$Y$427*(1+($U$427)/100)^MAX(0,$C443-$AB$427),0)))))</f>
      </c>
      <c r="J443" s="43">
        <f>IF($S$427=0,0,IF(OR(DATE($C443,6,15)&lt;$S$427,AND($T$427&gt;0,DATE($C443,6,15)&gt;$T$427)),0,IF(DATE($C443,6,15)&gt;=$X$427,$AA$427*(1+($U$427)/100)^MAX(0,$C443-$AD$427),IF(DATE($C443,6,15)&gt;=$W$427,$Z$427*(1+($U$427)/100)^MAX(0,$C443-$AC$427),IF(DATE($C443,6,15)&gt;=$V$427,$Y$427*(1+($U$427)/100)^MAX(0,$C443-$AB$427),0)))))</f>
      </c>
      <c r="K443" s="43">
        <f>IF($S$427=0,0,IF(OR(DATE($C443,7,15)&lt;$S$427,AND($T$427&gt;0,DATE($C443,7,15)&gt;$T$427)),0,IF(DATE($C443,7,15)&gt;=$X$427,$AA$427*(1+($U$427)/100)^MAX(0,$C443-$AD$427),IF(DATE($C443,7,15)&gt;=$W$427,$Z$427*(1+($U$427)/100)^MAX(0,$C443-$AC$427),IF(DATE($C443,7,15)&gt;=$V$427,$Y$427*(1+($U$427)/100)^MAX(0,$C443-$AB$427),0)))))</f>
      </c>
      <c r="L443" s="43">
        <f>IF($S$427=0,0,IF(OR(DATE($C443,8,15)&lt;$S$427,AND($T$427&gt;0,DATE($C443,8,15)&gt;$T$427)),0,IF(DATE($C443,8,15)&gt;=$X$427,$AA$427*(1+($U$427)/100)^MAX(0,$C443-$AD$427),IF(DATE($C443,8,15)&gt;=$W$427,$Z$427*(1+($U$427)/100)^MAX(0,$C443-$AC$427),IF(DATE($C443,8,15)&gt;=$V$427,$Y$427*(1+($U$427)/100)^MAX(0,$C443-$AB$427),0)))))</f>
      </c>
      <c r="M443" s="43">
        <f>IF($S$427=0,0,IF(OR(DATE($C443,9,15)&lt;$S$427,AND($T$427&gt;0,DATE($C443,9,15)&gt;$T$427)),0,IF(DATE($C443,9,15)&gt;=$X$427,$AA$427*(1+($U$427)/100)^MAX(0,$C443-$AD$427),IF(DATE($C443,9,15)&gt;=$W$427,$Z$427*(1+($U$427)/100)^MAX(0,$C443-$AC$427),IF(DATE($C443,9,15)&gt;=$V$427,$Y$427*(1+($U$427)/100)^MAX(0,$C443-$AB$427),0)))))</f>
      </c>
      <c r="N443" s="43">
        <f>IF($S$427=0,0,IF(OR(DATE($C443,10,15)&lt;$S$427,AND($T$427&gt;0,DATE($C443,10,15)&gt;$T$427)),0,IF(DATE($C443,10,15)&gt;=$X$427,$AA$427*(1+($U$427)/100)^MAX(0,$C443-$AD$427),IF(DATE($C443,10,15)&gt;=$W$427,$Z$427*(1+($U$427)/100)^MAX(0,$C443-$AC$427),IF(DATE($C443,10,15)&gt;=$V$427,$Y$427*(1+($U$427)/100)^MAX(0,$C443-$AB$427),0)))))</f>
      </c>
      <c r="O443" s="43">
        <f>IF($S$427=0,0,IF(OR(DATE($C443,11,15)&lt;$S$427,AND($T$427&gt;0,DATE($C443,11,15)&gt;$T$427)),0,IF(DATE($C443,11,15)&gt;=$X$427,$AA$427*(1+($U$427)/100)^MAX(0,$C443-$AD$427),IF(DATE($C443,11,15)&gt;=$W$427,$Z$427*(1+($U$427)/100)^MAX(0,$C443-$AC$427),IF(DATE($C443,11,15)&gt;=$V$427,$Y$427*(1+($U$427)/100)^MAX(0,$C443-$AB$427),0)))))</f>
      </c>
      <c r="P443" s="43">
        <f>IF($S$427=0,0,IF(OR(DATE($C443,12,15)&lt;$S$427,AND($T$427&gt;0,DATE($C443,12,15)&gt;$T$427)),0,IF(DATE($C443,12,15)&gt;=$X$427,$AA$427*(1+($U$427)/100)^MAX(0,$C443-$AD$427),IF(DATE($C443,12,15)&gt;=$W$427,$Z$427*(1+($U$427)/100)^MAX(0,$C443-$AC$427),IF(DATE($C443,12,15)&gt;=$V$427,$Y$427*(1+($U$427)/100)^MAX(0,$C443-$AB$427),0)))))</f>
      </c>
      <c r="Q443" s="43">
        <f>SUM($E443:$P443)</f>
      </c>
    </row>
    <row r="444">
      <c r="A444"/>
      <c r="B444">
        <v>14</v>
      </c>
      <c r="C444" s="43">
        <f>Jahr+17</f>
      </c>
      <c r="D444" s="43">
        <f>INDEX(MvObj,14)</f>
      </c>
      <c r="E444" s="43">
        <f>IF($S$427=0,0,IF(OR(DATE($C444,1,15)&lt;$S$427,AND($T$427&gt;0,DATE($C444,1,15)&gt;$T$427)),0,IF(DATE($C444,1,15)&gt;=$X$427,$AA$427*(1+($U$427)/100)^MAX(0,$C444-$AD$427),IF(DATE($C444,1,15)&gt;=$W$427,$Z$427*(1+($U$427)/100)^MAX(0,$C444-$AC$427),IF(DATE($C444,1,15)&gt;=$V$427,$Y$427*(1+($U$427)/100)^MAX(0,$C444-$AB$427),0)))))</f>
      </c>
      <c r="F444" s="43">
        <f>IF($S$427=0,0,IF(OR(DATE($C444,2,15)&lt;$S$427,AND($T$427&gt;0,DATE($C444,2,15)&gt;$T$427)),0,IF(DATE($C444,2,15)&gt;=$X$427,$AA$427*(1+($U$427)/100)^MAX(0,$C444-$AD$427),IF(DATE($C444,2,15)&gt;=$W$427,$Z$427*(1+($U$427)/100)^MAX(0,$C444-$AC$427),IF(DATE($C444,2,15)&gt;=$V$427,$Y$427*(1+($U$427)/100)^MAX(0,$C444-$AB$427),0)))))</f>
      </c>
      <c r="G444" s="43">
        <f>IF($S$427=0,0,IF(OR(DATE($C444,3,15)&lt;$S$427,AND($T$427&gt;0,DATE($C444,3,15)&gt;$T$427)),0,IF(DATE($C444,3,15)&gt;=$X$427,$AA$427*(1+($U$427)/100)^MAX(0,$C444-$AD$427),IF(DATE($C444,3,15)&gt;=$W$427,$Z$427*(1+($U$427)/100)^MAX(0,$C444-$AC$427),IF(DATE($C444,3,15)&gt;=$V$427,$Y$427*(1+($U$427)/100)^MAX(0,$C444-$AB$427),0)))))</f>
      </c>
      <c r="H444" s="43">
        <f>IF($S$427=0,0,IF(OR(DATE($C444,4,15)&lt;$S$427,AND($T$427&gt;0,DATE($C444,4,15)&gt;$T$427)),0,IF(DATE($C444,4,15)&gt;=$X$427,$AA$427*(1+($U$427)/100)^MAX(0,$C444-$AD$427),IF(DATE($C444,4,15)&gt;=$W$427,$Z$427*(1+($U$427)/100)^MAX(0,$C444-$AC$427),IF(DATE($C444,4,15)&gt;=$V$427,$Y$427*(1+($U$427)/100)^MAX(0,$C444-$AB$427),0)))))</f>
      </c>
      <c r="I444" s="43">
        <f>IF($S$427=0,0,IF(OR(DATE($C444,5,15)&lt;$S$427,AND($T$427&gt;0,DATE($C444,5,15)&gt;$T$427)),0,IF(DATE($C444,5,15)&gt;=$X$427,$AA$427*(1+($U$427)/100)^MAX(0,$C444-$AD$427),IF(DATE($C444,5,15)&gt;=$W$427,$Z$427*(1+($U$427)/100)^MAX(0,$C444-$AC$427),IF(DATE($C444,5,15)&gt;=$V$427,$Y$427*(1+($U$427)/100)^MAX(0,$C444-$AB$427),0)))))</f>
      </c>
      <c r="J444" s="43">
        <f>IF($S$427=0,0,IF(OR(DATE($C444,6,15)&lt;$S$427,AND($T$427&gt;0,DATE($C444,6,15)&gt;$T$427)),0,IF(DATE($C444,6,15)&gt;=$X$427,$AA$427*(1+($U$427)/100)^MAX(0,$C444-$AD$427),IF(DATE($C444,6,15)&gt;=$W$427,$Z$427*(1+($U$427)/100)^MAX(0,$C444-$AC$427),IF(DATE($C444,6,15)&gt;=$V$427,$Y$427*(1+($U$427)/100)^MAX(0,$C444-$AB$427),0)))))</f>
      </c>
      <c r="K444" s="43">
        <f>IF($S$427=0,0,IF(OR(DATE($C444,7,15)&lt;$S$427,AND($T$427&gt;0,DATE($C444,7,15)&gt;$T$427)),0,IF(DATE($C444,7,15)&gt;=$X$427,$AA$427*(1+($U$427)/100)^MAX(0,$C444-$AD$427),IF(DATE($C444,7,15)&gt;=$W$427,$Z$427*(1+($U$427)/100)^MAX(0,$C444-$AC$427),IF(DATE($C444,7,15)&gt;=$V$427,$Y$427*(1+($U$427)/100)^MAX(0,$C444-$AB$427),0)))))</f>
      </c>
      <c r="L444" s="43">
        <f>IF($S$427=0,0,IF(OR(DATE($C444,8,15)&lt;$S$427,AND($T$427&gt;0,DATE($C444,8,15)&gt;$T$427)),0,IF(DATE($C444,8,15)&gt;=$X$427,$AA$427*(1+($U$427)/100)^MAX(0,$C444-$AD$427),IF(DATE($C444,8,15)&gt;=$W$427,$Z$427*(1+($U$427)/100)^MAX(0,$C444-$AC$427),IF(DATE($C444,8,15)&gt;=$V$427,$Y$427*(1+($U$427)/100)^MAX(0,$C444-$AB$427),0)))))</f>
      </c>
      <c r="M444" s="43">
        <f>IF($S$427=0,0,IF(OR(DATE($C444,9,15)&lt;$S$427,AND($T$427&gt;0,DATE($C444,9,15)&gt;$T$427)),0,IF(DATE($C444,9,15)&gt;=$X$427,$AA$427*(1+($U$427)/100)^MAX(0,$C444-$AD$427),IF(DATE($C444,9,15)&gt;=$W$427,$Z$427*(1+($U$427)/100)^MAX(0,$C444-$AC$427),IF(DATE($C444,9,15)&gt;=$V$427,$Y$427*(1+($U$427)/100)^MAX(0,$C444-$AB$427),0)))))</f>
      </c>
      <c r="N444" s="43">
        <f>IF($S$427=0,0,IF(OR(DATE($C444,10,15)&lt;$S$427,AND($T$427&gt;0,DATE($C444,10,15)&gt;$T$427)),0,IF(DATE($C444,10,15)&gt;=$X$427,$AA$427*(1+($U$427)/100)^MAX(0,$C444-$AD$427),IF(DATE($C444,10,15)&gt;=$W$427,$Z$427*(1+($U$427)/100)^MAX(0,$C444-$AC$427),IF(DATE($C444,10,15)&gt;=$V$427,$Y$427*(1+($U$427)/100)^MAX(0,$C444-$AB$427),0)))))</f>
      </c>
      <c r="O444" s="43">
        <f>IF($S$427=0,0,IF(OR(DATE($C444,11,15)&lt;$S$427,AND($T$427&gt;0,DATE($C444,11,15)&gt;$T$427)),0,IF(DATE($C444,11,15)&gt;=$X$427,$AA$427*(1+($U$427)/100)^MAX(0,$C444-$AD$427),IF(DATE($C444,11,15)&gt;=$W$427,$Z$427*(1+($U$427)/100)^MAX(0,$C444-$AC$427),IF(DATE($C444,11,15)&gt;=$V$427,$Y$427*(1+($U$427)/100)^MAX(0,$C444-$AB$427),0)))))</f>
      </c>
      <c r="P444" s="43">
        <f>IF($S$427=0,0,IF(OR(DATE($C444,12,15)&lt;$S$427,AND($T$427&gt;0,DATE($C444,12,15)&gt;$T$427)),0,IF(DATE($C444,12,15)&gt;=$X$427,$AA$427*(1+($U$427)/100)^MAX(0,$C444-$AD$427),IF(DATE($C444,12,15)&gt;=$W$427,$Z$427*(1+($U$427)/100)^MAX(0,$C444-$AC$427),IF(DATE($C444,12,15)&gt;=$V$427,$Y$427*(1+($U$427)/100)^MAX(0,$C444-$AB$427),0)))))</f>
      </c>
      <c r="Q444" s="43">
        <f>SUM($E444:$P444)</f>
      </c>
    </row>
    <row r="445">
      <c r="A445"/>
      <c r="B445">
        <v>14</v>
      </c>
      <c r="C445" s="43">
        <f>Jahr+18</f>
      </c>
      <c r="D445" s="43">
        <f>INDEX(MvObj,14)</f>
      </c>
      <c r="E445" s="43">
        <f>IF($S$427=0,0,IF(OR(DATE($C445,1,15)&lt;$S$427,AND($T$427&gt;0,DATE($C445,1,15)&gt;$T$427)),0,IF(DATE($C445,1,15)&gt;=$X$427,$AA$427*(1+($U$427)/100)^MAX(0,$C445-$AD$427),IF(DATE($C445,1,15)&gt;=$W$427,$Z$427*(1+($U$427)/100)^MAX(0,$C445-$AC$427),IF(DATE($C445,1,15)&gt;=$V$427,$Y$427*(1+($U$427)/100)^MAX(0,$C445-$AB$427),0)))))</f>
      </c>
      <c r="F445" s="43">
        <f>IF($S$427=0,0,IF(OR(DATE($C445,2,15)&lt;$S$427,AND($T$427&gt;0,DATE($C445,2,15)&gt;$T$427)),0,IF(DATE($C445,2,15)&gt;=$X$427,$AA$427*(1+($U$427)/100)^MAX(0,$C445-$AD$427),IF(DATE($C445,2,15)&gt;=$W$427,$Z$427*(1+($U$427)/100)^MAX(0,$C445-$AC$427),IF(DATE($C445,2,15)&gt;=$V$427,$Y$427*(1+($U$427)/100)^MAX(0,$C445-$AB$427),0)))))</f>
      </c>
      <c r="G445" s="43">
        <f>IF($S$427=0,0,IF(OR(DATE($C445,3,15)&lt;$S$427,AND($T$427&gt;0,DATE($C445,3,15)&gt;$T$427)),0,IF(DATE($C445,3,15)&gt;=$X$427,$AA$427*(1+($U$427)/100)^MAX(0,$C445-$AD$427),IF(DATE($C445,3,15)&gt;=$W$427,$Z$427*(1+($U$427)/100)^MAX(0,$C445-$AC$427),IF(DATE($C445,3,15)&gt;=$V$427,$Y$427*(1+($U$427)/100)^MAX(0,$C445-$AB$427),0)))))</f>
      </c>
      <c r="H445" s="43">
        <f>IF($S$427=0,0,IF(OR(DATE($C445,4,15)&lt;$S$427,AND($T$427&gt;0,DATE($C445,4,15)&gt;$T$427)),0,IF(DATE($C445,4,15)&gt;=$X$427,$AA$427*(1+($U$427)/100)^MAX(0,$C445-$AD$427),IF(DATE($C445,4,15)&gt;=$W$427,$Z$427*(1+($U$427)/100)^MAX(0,$C445-$AC$427),IF(DATE($C445,4,15)&gt;=$V$427,$Y$427*(1+($U$427)/100)^MAX(0,$C445-$AB$427),0)))))</f>
      </c>
      <c r="I445" s="43">
        <f>IF($S$427=0,0,IF(OR(DATE($C445,5,15)&lt;$S$427,AND($T$427&gt;0,DATE($C445,5,15)&gt;$T$427)),0,IF(DATE($C445,5,15)&gt;=$X$427,$AA$427*(1+($U$427)/100)^MAX(0,$C445-$AD$427),IF(DATE($C445,5,15)&gt;=$W$427,$Z$427*(1+($U$427)/100)^MAX(0,$C445-$AC$427),IF(DATE($C445,5,15)&gt;=$V$427,$Y$427*(1+($U$427)/100)^MAX(0,$C445-$AB$427),0)))))</f>
      </c>
      <c r="J445" s="43">
        <f>IF($S$427=0,0,IF(OR(DATE($C445,6,15)&lt;$S$427,AND($T$427&gt;0,DATE($C445,6,15)&gt;$T$427)),0,IF(DATE($C445,6,15)&gt;=$X$427,$AA$427*(1+($U$427)/100)^MAX(0,$C445-$AD$427),IF(DATE($C445,6,15)&gt;=$W$427,$Z$427*(1+($U$427)/100)^MAX(0,$C445-$AC$427),IF(DATE($C445,6,15)&gt;=$V$427,$Y$427*(1+($U$427)/100)^MAX(0,$C445-$AB$427),0)))))</f>
      </c>
      <c r="K445" s="43">
        <f>IF($S$427=0,0,IF(OR(DATE($C445,7,15)&lt;$S$427,AND($T$427&gt;0,DATE($C445,7,15)&gt;$T$427)),0,IF(DATE($C445,7,15)&gt;=$X$427,$AA$427*(1+($U$427)/100)^MAX(0,$C445-$AD$427),IF(DATE($C445,7,15)&gt;=$W$427,$Z$427*(1+($U$427)/100)^MAX(0,$C445-$AC$427),IF(DATE($C445,7,15)&gt;=$V$427,$Y$427*(1+($U$427)/100)^MAX(0,$C445-$AB$427),0)))))</f>
      </c>
      <c r="L445" s="43">
        <f>IF($S$427=0,0,IF(OR(DATE($C445,8,15)&lt;$S$427,AND($T$427&gt;0,DATE($C445,8,15)&gt;$T$427)),0,IF(DATE($C445,8,15)&gt;=$X$427,$AA$427*(1+($U$427)/100)^MAX(0,$C445-$AD$427),IF(DATE($C445,8,15)&gt;=$W$427,$Z$427*(1+($U$427)/100)^MAX(0,$C445-$AC$427),IF(DATE($C445,8,15)&gt;=$V$427,$Y$427*(1+($U$427)/100)^MAX(0,$C445-$AB$427),0)))))</f>
      </c>
      <c r="M445" s="43">
        <f>IF($S$427=0,0,IF(OR(DATE($C445,9,15)&lt;$S$427,AND($T$427&gt;0,DATE($C445,9,15)&gt;$T$427)),0,IF(DATE($C445,9,15)&gt;=$X$427,$AA$427*(1+($U$427)/100)^MAX(0,$C445-$AD$427),IF(DATE($C445,9,15)&gt;=$W$427,$Z$427*(1+($U$427)/100)^MAX(0,$C445-$AC$427),IF(DATE($C445,9,15)&gt;=$V$427,$Y$427*(1+($U$427)/100)^MAX(0,$C445-$AB$427),0)))))</f>
      </c>
      <c r="N445" s="43">
        <f>IF($S$427=0,0,IF(OR(DATE($C445,10,15)&lt;$S$427,AND($T$427&gt;0,DATE($C445,10,15)&gt;$T$427)),0,IF(DATE($C445,10,15)&gt;=$X$427,$AA$427*(1+($U$427)/100)^MAX(0,$C445-$AD$427),IF(DATE($C445,10,15)&gt;=$W$427,$Z$427*(1+($U$427)/100)^MAX(0,$C445-$AC$427),IF(DATE($C445,10,15)&gt;=$V$427,$Y$427*(1+($U$427)/100)^MAX(0,$C445-$AB$427),0)))))</f>
      </c>
      <c r="O445" s="43">
        <f>IF($S$427=0,0,IF(OR(DATE($C445,11,15)&lt;$S$427,AND($T$427&gt;0,DATE($C445,11,15)&gt;$T$427)),0,IF(DATE($C445,11,15)&gt;=$X$427,$AA$427*(1+($U$427)/100)^MAX(0,$C445-$AD$427),IF(DATE($C445,11,15)&gt;=$W$427,$Z$427*(1+($U$427)/100)^MAX(0,$C445-$AC$427),IF(DATE($C445,11,15)&gt;=$V$427,$Y$427*(1+($U$427)/100)^MAX(0,$C445-$AB$427),0)))))</f>
      </c>
      <c r="P445" s="43">
        <f>IF($S$427=0,0,IF(OR(DATE($C445,12,15)&lt;$S$427,AND($T$427&gt;0,DATE($C445,12,15)&gt;$T$427)),0,IF(DATE($C445,12,15)&gt;=$X$427,$AA$427*(1+($U$427)/100)^MAX(0,$C445-$AD$427),IF(DATE($C445,12,15)&gt;=$W$427,$Z$427*(1+($U$427)/100)^MAX(0,$C445-$AC$427),IF(DATE($C445,12,15)&gt;=$V$427,$Y$427*(1+($U$427)/100)^MAX(0,$C445-$AB$427),0)))))</f>
      </c>
      <c r="Q445" s="43">
        <f>SUM($E445:$P445)</f>
      </c>
    </row>
    <row r="446">
      <c r="A446"/>
      <c r="B446">
        <v>14</v>
      </c>
      <c r="C446" s="43">
        <f>Jahr+19</f>
      </c>
      <c r="D446" s="43">
        <f>INDEX(MvObj,14)</f>
      </c>
      <c r="E446" s="43">
        <f>IF($S$427=0,0,IF(OR(DATE($C446,1,15)&lt;$S$427,AND($T$427&gt;0,DATE($C446,1,15)&gt;$T$427)),0,IF(DATE($C446,1,15)&gt;=$X$427,$AA$427*(1+($U$427)/100)^MAX(0,$C446-$AD$427),IF(DATE($C446,1,15)&gt;=$W$427,$Z$427*(1+($U$427)/100)^MAX(0,$C446-$AC$427),IF(DATE($C446,1,15)&gt;=$V$427,$Y$427*(1+($U$427)/100)^MAX(0,$C446-$AB$427),0)))))</f>
      </c>
      <c r="F446" s="43">
        <f>IF($S$427=0,0,IF(OR(DATE($C446,2,15)&lt;$S$427,AND($T$427&gt;0,DATE($C446,2,15)&gt;$T$427)),0,IF(DATE($C446,2,15)&gt;=$X$427,$AA$427*(1+($U$427)/100)^MAX(0,$C446-$AD$427),IF(DATE($C446,2,15)&gt;=$W$427,$Z$427*(1+($U$427)/100)^MAX(0,$C446-$AC$427),IF(DATE($C446,2,15)&gt;=$V$427,$Y$427*(1+($U$427)/100)^MAX(0,$C446-$AB$427),0)))))</f>
      </c>
      <c r="G446" s="43">
        <f>IF($S$427=0,0,IF(OR(DATE($C446,3,15)&lt;$S$427,AND($T$427&gt;0,DATE($C446,3,15)&gt;$T$427)),0,IF(DATE($C446,3,15)&gt;=$X$427,$AA$427*(1+($U$427)/100)^MAX(0,$C446-$AD$427),IF(DATE($C446,3,15)&gt;=$W$427,$Z$427*(1+($U$427)/100)^MAX(0,$C446-$AC$427),IF(DATE($C446,3,15)&gt;=$V$427,$Y$427*(1+($U$427)/100)^MAX(0,$C446-$AB$427),0)))))</f>
      </c>
      <c r="H446" s="43">
        <f>IF($S$427=0,0,IF(OR(DATE($C446,4,15)&lt;$S$427,AND($T$427&gt;0,DATE($C446,4,15)&gt;$T$427)),0,IF(DATE($C446,4,15)&gt;=$X$427,$AA$427*(1+($U$427)/100)^MAX(0,$C446-$AD$427),IF(DATE($C446,4,15)&gt;=$W$427,$Z$427*(1+($U$427)/100)^MAX(0,$C446-$AC$427),IF(DATE($C446,4,15)&gt;=$V$427,$Y$427*(1+($U$427)/100)^MAX(0,$C446-$AB$427),0)))))</f>
      </c>
      <c r="I446" s="43">
        <f>IF($S$427=0,0,IF(OR(DATE($C446,5,15)&lt;$S$427,AND($T$427&gt;0,DATE($C446,5,15)&gt;$T$427)),0,IF(DATE($C446,5,15)&gt;=$X$427,$AA$427*(1+($U$427)/100)^MAX(0,$C446-$AD$427),IF(DATE($C446,5,15)&gt;=$W$427,$Z$427*(1+($U$427)/100)^MAX(0,$C446-$AC$427),IF(DATE($C446,5,15)&gt;=$V$427,$Y$427*(1+($U$427)/100)^MAX(0,$C446-$AB$427),0)))))</f>
      </c>
      <c r="J446" s="43">
        <f>IF($S$427=0,0,IF(OR(DATE($C446,6,15)&lt;$S$427,AND($T$427&gt;0,DATE($C446,6,15)&gt;$T$427)),0,IF(DATE($C446,6,15)&gt;=$X$427,$AA$427*(1+($U$427)/100)^MAX(0,$C446-$AD$427),IF(DATE($C446,6,15)&gt;=$W$427,$Z$427*(1+($U$427)/100)^MAX(0,$C446-$AC$427),IF(DATE($C446,6,15)&gt;=$V$427,$Y$427*(1+($U$427)/100)^MAX(0,$C446-$AB$427),0)))))</f>
      </c>
      <c r="K446" s="43">
        <f>IF($S$427=0,0,IF(OR(DATE($C446,7,15)&lt;$S$427,AND($T$427&gt;0,DATE($C446,7,15)&gt;$T$427)),0,IF(DATE($C446,7,15)&gt;=$X$427,$AA$427*(1+($U$427)/100)^MAX(0,$C446-$AD$427),IF(DATE($C446,7,15)&gt;=$W$427,$Z$427*(1+($U$427)/100)^MAX(0,$C446-$AC$427),IF(DATE($C446,7,15)&gt;=$V$427,$Y$427*(1+($U$427)/100)^MAX(0,$C446-$AB$427),0)))))</f>
      </c>
      <c r="L446" s="43">
        <f>IF($S$427=0,0,IF(OR(DATE($C446,8,15)&lt;$S$427,AND($T$427&gt;0,DATE($C446,8,15)&gt;$T$427)),0,IF(DATE($C446,8,15)&gt;=$X$427,$AA$427*(1+($U$427)/100)^MAX(0,$C446-$AD$427),IF(DATE($C446,8,15)&gt;=$W$427,$Z$427*(1+($U$427)/100)^MAX(0,$C446-$AC$427),IF(DATE($C446,8,15)&gt;=$V$427,$Y$427*(1+($U$427)/100)^MAX(0,$C446-$AB$427),0)))))</f>
      </c>
      <c r="M446" s="43">
        <f>IF($S$427=0,0,IF(OR(DATE($C446,9,15)&lt;$S$427,AND($T$427&gt;0,DATE($C446,9,15)&gt;$T$427)),0,IF(DATE($C446,9,15)&gt;=$X$427,$AA$427*(1+($U$427)/100)^MAX(0,$C446-$AD$427),IF(DATE($C446,9,15)&gt;=$W$427,$Z$427*(1+($U$427)/100)^MAX(0,$C446-$AC$427),IF(DATE($C446,9,15)&gt;=$V$427,$Y$427*(1+($U$427)/100)^MAX(0,$C446-$AB$427),0)))))</f>
      </c>
      <c r="N446" s="43">
        <f>IF($S$427=0,0,IF(OR(DATE($C446,10,15)&lt;$S$427,AND($T$427&gt;0,DATE($C446,10,15)&gt;$T$427)),0,IF(DATE($C446,10,15)&gt;=$X$427,$AA$427*(1+($U$427)/100)^MAX(0,$C446-$AD$427),IF(DATE($C446,10,15)&gt;=$W$427,$Z$427*(1+($U$427)/100)^MAX(0,$C446-$AC$427),IF(DATE($C446,10,15)&gt;=$V$427,$Y$427*(1+($U$427)/100)^MAX(0,$C446-$AB$427),0)))))</f>
      </c>
      <c r="O446" s="43">
        <f>IF($S$427=0,0,IF(OR(DATE($C446,11,15)&lt;$S$427,AND($T$427&gt;0,DATE($C446,11,15)&gt;$T$427)),0,IF(DATE($C446,11,15)&gt;=$X$427,$AA$427*(1+($U$427)/100)^MAX(0,$C446-$AD$427),IF(DATE($C446,11,15)&gt;=$W$427,$Z$427*(1+($U$427)/100)^MAX(0,$C446-$AC$427),IF(DATE($C446,11,15)&gt;=$V$427,$Y$427*(1+($U$427)/100)^MAX(0,$C446-$AB$427),0)))))</f>
      </c>
      <c r="P446" s="43">
        <f>IF($S$427=0,0,IF(OR(DATE($C446,12,15)&lt;$S$427,AND($T$427&gt;0,DATE($C446,12,15)&gt;$T$427)),0,IF(DATE($C446,12,15)&gt;=$X$427,$AA$427*(1+($U$427)/100)^MAX(0,$C446-$AD$427),IF(DATE($C446,12,15)&gt;=$W$427,$Z$427*(1+($U$427)/100)^MAX(0,$C446-$AC$427),IF(DATE($C446,12,15)&gt;=$V$427,$Y$427*(1+($U$427)/100)^MAX(0,$C446-$AB$427),0)))))</f>
      </c>
      <c r="Q446" s="43">
        <f>SUM($E446:$P446)</f>
      </c>
    </row>
    <row r="447">
      <c r="A447"/>
      <c r="B447">
        <v>14</v>
      </c>
      <c r="C447" s="43">
        <f>Jahr+20</f>
      </c>
      <c r="D447" s="43">
        <f>INDEX(MvObj,14)</f>
      </c>
      <c r="E447" s="43">
        <f>IF($S$427=0,0,IF(OR(DATE($C447,1,15)&lt;$S$427,AND($T$427&gt;0,DATE($C447,1,15)&gt;$T$427)),0,IF(DATE($C447,1,15)&gt;=$X$427,$AA$427*(1+($U$427)/100)^MAX(0,$C447-$AD$427),IF(DATE($C447,1,15)&gt;=$W$427,$Z$427*(1+($U$427)/100)^MAX(0,$C447-$AC$427),IF(DATE($C447,1,15)&gt;=$V$427,$Y$427*(1+($U$427)/100)^MAX(0,$C447-$AB$427),0)))))</f>
      </c>
      <c r="F447" s="43">
        <f>IF($S$427=0,0,IF(OR(DATE($C447,2,15)&lt;$S$427,AND($T$427&gt;0,DATE($C447,2,15)&gt;$T$427)),0,IF(DATE($C447,2,15)&gt;=$X$427,$AA$427*(1+($U$427)/100)^MAX(0,$C447-$AD$427),IF(DATE($C447,2,15)&gt;=$W$427,$Z$427*(1+($U$427)/100)^MAX(0,$C447-$AC$427),IF(DATE($C447,2,15)&gt;=$V$427,$Y$427*(1+($U$427)/100)^MAX(0,$C447-$AB$427),0)))))</f>
      </c>
      <c r="G447" s="43">
        <f>IF($S$427=0,0,IF(OR(DATE($C447,3,15)&lt;$S$427,AND($T$427&gt;0,DATE($C447,3,15)&gt;$T$427)),0,IF(DATE($C447,3,15)&gt;=$X$427,$AA$427*(1+($U$427)/100)^MAX(0,$C447-$AD$427),IF(DATE($C447,3,15)&gt;=$W$427,$Z$427*(1+($U$427)/100)^MAX(0,$C447-$AC$427),IF(DATE($C447,3,15)&gt;=$V$427,$Y$427*(1+($U$427)/100)^MAX(0,$C447-$AB$427),0)))))</f>
      </c>
      <c r="H447" s="43">
        <f>IF($S$427=0,0,IF(OR(DATE($C447,4,15)&lt;$S$427,AND($T$427&gt;0,DATE($C447,4,15)&gt;$T$427)),0,IF(DATE($C447,4,15)&gt;=$X$427,$AA$427*(1+($U$427)/100)^MAX(0,$C447-$AD$427),IF(DATE($C447,4,15)&gt;=$W$427,$Z$427*(1+($U$427)/100)^MAX(0,$C447-$AC$427),IF(DATE($C447,4,15)&gt;=$V$427,$Y$427*(1+($U$427)/100)^MAX(0,$C447-$AB$427),0)))))</f>
      </c>
      <c r="I447" s="43">
        <f>IF($S$427=0,0,IF(OR(DATE($C447,5,15)&lt;$S$427,AND($T$427&gt;0,DATE($C447,5,15)&gt;$T$427)),0,IF(DATE($C447,5,15)&gt;=$X$427,$AA$427*(1+($U$427)/100)^MAX(0,$C447-$AD$427),IF(DATE($C447,5,15)&gt;=$W$427,$Z$427*(1+($U$427)/100)^MAX(0,$C447-$AC$427),IF(DATE($C447,5,15)&gt;=$V$427,$Y$427*(1+($U$427)/100)^MAX(0,$C447-$AB$427),0)))))</f>
      </c>
      <c r="J447" s="43">
        <f>IF($S$427=0,0,IF(OR(DATE($C447,6,15)&lt;$S$427,AND($T$427&gt;0,DATE($C447,6,15)&gt;$T$427)),0,IF(DATE($C447,6,15)&gt;=$X$427,$AA$427*(1+($U$427)/100)^MAX(0,$C447-$AD$427),IF(DATE($C447,6,15)&gt;=$W$427,$Z$427*(1+($U$427)/100)^MAX(0,$C447-$AC$427),IF(DATE($C447,6,15)&gt;=$V$427,$Y$427*(1+($U$427)/100)^MAX(0,$C447-$AB$427),0)))))</f>
      </c>
      <c r="K447" s="43">
        <f>IF($S$427=0,0,IF(OR(DATE($C447,7,15)&lt;$S$427,AND($T$427&gt;0,DATE($C447,7,15)&gt;$T$427)),0,IF(DATE($C447,7,15)&gt;=$X$427,$AA$427*(1+($U$427)/100)^MAX(0,$C447-$AD$427),IF(DATE($C447,7,15)&gt;=$W$427,$Z$427*(1+($U$427)/100)^MAX(0,$C447-$AC$427),IF(DATE($C447,7,15)&gt;=$V$427,$Y$427*(1+($U$427)/100)^MAX(0,$C447-$AB$427),0)))))</f>
      </c>
      <c r="L447" s="43">
        <f>IF($S$427=0,0,IF(OR(DATE($C447,8,15)&lt;$S$427,AND($T$427&gt;0,DATE($C447,8,15)&gt;$T$427)),0,IF(DATE($C447,8,15)&gt;=$X$427,$AA$427*(1+($U$427)/100)^MAX(0,$C447-$AD$427),IF(DATE($C447,8,15)&gt;=$W$427,$Z$427*(1+($U$427)/100)^MAX(0,$C447-$AC$427),IF(DATE($C447,8,15)&gt;=$V$427,$Y$427*(1+($U$427)/100)^MAX(0,$C447-$AB$427),0)))))</f>
      </c>
      <c r="M447" s="43">
        <f>IF($S$427=0,0,IF(OR(DATE($C447,9,15)&lt;$S$427,AND($T$427&gt;0,DATE($C447,9,15)&gt;$T$427)),0,IF(DATE($C447,9,15)&gt;=$X$427,$AA$427*(1+($U$427)/100)^MAX(0,$C447-$AD$427),IF(DATE($C447,9,15)&gt;=$W$427,$Z$427*(1+($U$427)/100)^MAX(0,$C447-$AC$427),IF(DATE($C447,9,15)&gt;=$V$427,$Y$427*(1+($U$427)/100)^MAX(0,$C447-$AB$427),0)))))</f>
      </c>
      <c r="N447" s="43">
        <f>IF($S$427=0,0,IF(OR(DATE($C447,10,15)&lt;$S$427,AND($T$427&gt;0,DATE($C447,10,15)&gt;$T$427)),0,IF(DATE($C447,10,15)&gt;=$X$427,$AA$427*(1+($U$427)/100)^MAX(0,$C447-$AD$427),IF(DATE($C447,10,15)&gt;=$W$427,$Z$427*(1+($U$427)/100)^MAX(0,$C447-$AC$427),IF(DATE($C447,10,15)&gt;=$V$427,$Y$427*(1+($U$427)/100)^MAX(0,$C447-$AB$427),0)))))</f>
      </c>
      <c r="O447" s="43">
        <f>IF($S$427=0,0,IF(OR(DATE($C447,11,15)&lt;$S$427,AND($T$427&gt;0,DATE($C447,11,15)&gt;$T$427)),0,IF(DATE($C447,11,15)&gt;=$X$427,$AA$427*(1+($U$427)/100)^MAX(0,$C447-$AD$427),IF(DATE($C447,11,15)&gt;=$W$427,$Z$427*(1+($U$427)/100)^MAX(0,$C447-$AC$427),IF(DATE($C447,11,15)&gt;=$V$427,$Y$427*(1+($U$427)/100)^MAX(0,$C447-$AB$427),0)))))</f>
      </c>
      <c r="P447" s="43">
        <f>IF($S$427=0,0,IF(OR(DATE($C447,12,15)&lt;$S$427,AND($T$427&gt;0,DATE($C447,12,15)&gt;$T$427)),0,IF(DATE($C447,12,15)&gt;=$X$427,$AA$427*(1+($U$427)/100)^MAX(0,$C447-$AD$427),IF(DATE($C447,12,15)&gt;=$W$427,$Z$427*(1+($U$427)/100)^MAX(0,$C447-$AC$427),IF(DATE($C447,12,15)&gt;=$V$427,$Y$427*(1+($U$427)/100)^MAX(0,$C447-$AB$427),0)))))</f>
      </c>
      <c r="Q447" s="43">
        <f>SUM($E447:$P447)</f>
      </c>
    </row>
    <row r="448">
      <c r="A448"/>
      <c r="B448">
        <v>14</v>
      </c>
      <c r="C448" s="43">
        <f>Jahr+21</f>
      </c>
      <c r="D448" s="43">
        <f>INDEX(MvObj,14)</f>
      </c>
      <c r="E448" s="43">
        <f>IF($S$427=0,0,IF(OR(DATE($C448,1,15)&lt;$S$427,AND($T$427&gt;0,DATE($C448,1,15)&gt;$T$427)),0,IF(DATE($C448,1,15)&gt;=$X$427,$AA$427*(1+($U$427)/100)^MAX(0,$C448-$AD$427),IF(DATE($C448,1,15)&gt;=$W$427,$Z$427*(1+($U$427)/100)^MAX(0,$C448-$AC$427),IF(DATE($C448,1,15)&gt;=$V$427,$Y$427*(1+($U$427)/100)^MAX(0,$C448-$AB$427),0)))))</f>
      </c>
      <c r="F448" s="43">
        <f>IF($S$427=0,0,IF(OR(DATE($C448,2,15)&lt;$S$427,AND($T$427&gt;0,DATE($C448,2,15)&gt;$T$427)),0,IF(DATE($C448,2,15)&gt;=$X$427,$AA$427*(1+($U$427)/100)^MAX(0,$C448-$AD$427),IF(DATE($C448,2,15)&gt;=$W$427,$Z$427*(1+($U$427)/100)^MAX(0,$C448-$AC$427),IF(DATE($C448,2,15)&gt;=$V$427,$Y$427*(1+($U$427)/100)^MAX(0,$C448-$AB$427),0)))))</f>
      </c>
      <c r="G448" s="43">
        <f>IF($S$427=0,0,IF(OR(DATE($C448,3,15)&lt;$S$427,AND($T$427&gt;0,DATE($C448,3,15)&gt;$T$427)),0,IF(DATE($C448,3,15)&gt;=$X$427,$AA$427*(1+($U$427)/100)^MAX(0,$C448-$AD$427),IF(DATE($C448,3,15)&gt;=$W$427,$Z$427*(1+($U$427)/100)^MAX(0,$C448-$AC$427),IF(DATE($C448,3,15)&gt;=$V$427,$Y$427*(1+($U$427)/100)^MAX(0,$C448-$AB$427),0)))))</f>
      </c>
      <c r="H448" s="43">
        <f>IF($S$427=0,0,IF(OR(DATE($C448,4,15)&lt;$S$427,AND($T$427&gt;0,DATE($C448,4,15)&gt;$T$427)),0,IF(DATE($C448,4,15)&gt;=$X$427,$AA$427*(1+($U$427)/100)^MAX(0,$C448-$AD$427),IF(DATE($C448,4,15)&gt;=$W$427,$Z$427*(1+($U$427)/100)^MAX(0,$C448-$AC$427),IF(DATE($C448,4,15)&gt;=$V$427,$Y$427*(1+($U$427)/100)^MAX(0,$C448-$AB$427),0)))))</f>
      </c>
      <c r="I448" s="43">
        <f>IF($S$427=0,0,IF(OR(DATE($C448,5,15)&lt;$S$427,AND($T$427&gt;0,DATE($C448,5,15)&gt;$T$427)),0,IF(DATE($C448,5,15)&gt;=$X$427,$AA$427*(1+($U$427)/100)^MAX(0,$C448-$AD$427),IF(DATE($C448,5,15)&gt;=$W$427,$Z$427*(1+($U$427)/100)^MAX(0,$C448-$AC$427),IF(DATE($C448,5,15)&gt;=$V$427,$Y$427*(1+($U$427)/100)^MAX(0,$C448-$AB$427),0)))))</f>
      </c>
      <c r="J448" s="43">
        <f>IF($S$427=0,0,IF(OR(DATE($C448,6,15)&lt;$S$427,AND($T$427&gt;0,DATE($C448,6,15)&gt;$T$427)),0,IF(DATE($C448,6,15)&gt;=$X$427,$AA$427*(1+($U$427)/100)^MAX(0,$C448-$AD$427),IF(DATE($C448,6,15)&gt;=$W$427,$Z$427*(1+($U$427)/100)^MAX(0,$C448-$AC$427),IF(DATE($C448,6,15)&gt;=$V$427,$Y$427*(1+($U$427)/100)^MAX(0,$C448-$AB$427),0)))))</f>
      </c>
      <c r="K448" s="43">
        <f>IF($S$427=0,0,IF(OR(DATE($C448,7,15)&lt;$S$427,AND($T$427&gt;0,DATE($C448,7,15)&gt;$T$427)),0,IF(DATE($C448,7,15)&gt;=$X$427,$AA$427*(1+($U$427)/100)^MAX(0,$C448-$AD$427),IF(DATE($C448,7,15)&gt;=$W$427,$Z$427*(1+($U$427)/100)^MAX(0,$C448-$AC$427),IF(DATE($C448,7,15)&gt;=$V$427,$Y$427*(1+($U$427)/100)^MAX(0,$C448-$AB$427),0)))))</f>
      </c>
      <c r="L448" s="43">
        <f>IF($S$427=0,0,IF(OR(DATE($C448,8,15)&lt;$S$427,AND($T$427&gt;0,DATE($C448,8,15)&gt;$T$427)),0,IF(DATE($C448,8,15)&gt;=$X$427,$AA$427*(1+($U$427)/100)^MAX(0,$C448-$AD$427),IF(DATE($C448,8,15)&gt;=$W$427,$Z$427*(1+($U$427)/100)^MAX(0,$C448-$AC$427),IF(DATE($C448,8,15)&gt;=$V$427,$Y$427*(1+($U$427)/100)^MAX(0,$C448-$AB$427),0)))))</f>
      </c>
      <c r="M448" s="43">
        <f>IF($S$427=0,0,IF(OR(DATE($C448,9,15)&lt;$S$427,AND($T$427&gt;0,DATE($C448,9,15)&gt;$T$427)),0,IF(DATE($C448,9,15)&gt;=$X$427,$AA$427*(1+($U$427)/100)^MAX(0,$C448-$AD$427),IF(DATE($C448,9,15)&gt;=$W$427,$Z$427*(1+($U$427)/100)^MAX(0,$C448-$AC$427),IF(DATE($C448,9,15)&gt;=$V$427,$Y$427*(1+($U$427)/100)^MAX(0,$C448-$AB$427),0)))))</f>
      </c>
      <c r="N448" s="43">
        <f>IF($S$427=0,0,IF(OR(DATE($C448,10,15)&lt;$S$427,AND($T$427&gt;0,DATE($C448,10,15)&gt;$T$427)),0,IF(DATE($C448,10,15)&gt;=$X$427,$AA$427*(1+($U$427)/100)^MAX(0,$C448-$AD$427),IF(DATE($C448,10,15)&gt;=$W$427,$Z$427*(1+($U$427)/100)^MAX(0,$C448-$AC$427),IF(DATE($C448,10,15)&gt;=$V$427,$Y$427*(1+($U$427)/100)^MAX(0,$C448-$AB$427),0)))))</f>
      </c>
      <c r="O448" s="43">
        <f>IF($S$427=0,0,IF(OR(DATE($C448,11,15)&lt;$S$427,AND($T$427&gt;0,DATE($C448,11,15)&gt;$T$427)),0,IF(DATE($C448,11,15)&gt;=$X$427,$AA$427*(1+($U$427)/100)^MAX(0,$C448-$AD$427),IF(DATE($C448,11,15)&gt;=$W$427,$Z$427*(1+($U$427)/100)^MAX(0,$C448-$AC$427),IF(DATE($C448,11,15)&gt;=$V$427,$Y$427*(1+($U$427)/100)^MAX(0,$C448-$AB$427),0)))))</f>
      </c>
      <c r="P448" s="43">
        <f>IF($S$427=0,0,IF(OR(DATE($C448,12,15)&lt;$S$427,AND($T$427&gt;0,DATE($C448,12,15)&gt;$T$427)),0,IF(DATE($C448,12,15)&gt;=$X$427,$AA$427*(1+($U$427)/100)^MAX(0,$C448-$AD$427),IF(DATE($C448,12,15)&gt;=$W$427,$Z$427*(1+($U$427)/100)^MAX(0,$C448-$AC$427),IF(DATE($C448,12,15)&gt;=$V$427,$Y$427*(1+($U$427)/100)^MAX(0,$C448-$AB$427),0)))))</f>
      </c>
      <c r="Q448" s="43">
        <f>SUM($E448:$P448)</f>
      </c>
    </row>
    <row r="449">
      <c r="A449"/>
      <c r="B449">
        <v>14</v>
      </c>
      <c r="C449" s="43">
        <f>Jahr+22</f>
      </c>
      <c r="D449" s="43">
        <f>INDEX(MvObj,14)</f>
      </c>
      <c r="E449" s="43">
        <f>IF($S$427=0,0,IF(OR(DATE($C449,1,15)&lt;$S$427,AND($T$427&gt;0,DATE($C449,1,15)&gt;$T$427)),0,IF(DATE($C449,1,15)&gt;=$X$427,$AA$427*(1+($U$427)/100)^MAX(0,$C449-$AD$427),IF(DATE($C449,1,15)&gt;=$W$427,$Z$427*(1+($U$427)/100)^MAX(0,$C449-$AC$427),IF(DATE($C449,1,15)&gt;=$V$427,$Y$427*(1+($U$427)/100)^MAX(0,$C449-$AB$427),0)))))</f>
      </c>
      <c r="F449" s="43">
        <f>IF($S$427=0,0,IF(OR(DATE($C449,2,15)&lt;$S$427,AND($T$427&gt;0,DATE($C449,2,15)&gt;$T$427)),0,IF(DATE($C449,2,15)&gt;=$X$427,$AA$427*(1+($U$427)/100)^MAX(0,$C449-$AD$427),IF(DATE($C449,2,15)&gt;=$W$427,$Z$427*(1+($U$427)/100)^MAX(0,$C449-$AC$427),IF(DATE($C449,2,15)&gt;=$V$427,$Y$427*(1+($U$427)/100)^MAX(0,$C449-$AB$427),0)))))</f>
      </c>
      <c r="G449" s="43">
        <f>IF($S$427=0,0,IF(OR(DATE($C449,3,15)&lt;$S$427,AND($T$427&gt;0,DATE($C449,3,15)&gt;$T$427)),0,IF(DATE($C449,3,15)&gt;=$X$427,$AA$427*(1+($U$427)/100)^MAX(0,$C449-$AD$427),IF(DATE($C449,3,15)&gt;=$W$427,$Z$427*(1+($U$427)/100)^MAX(0,$C449-$AC$427),IF(DATE($C449,3,15)&gt;=$V$427,$Y$427*(1+($U$427)/100)^MAX(0,$C449-$AB$427),0)))))</f>
      </c>
      <c r="H449" s="43">
        <f>IF($S$427=0,0,IF(OR(DATE($C449,4,15)&lt;$S$427,AND($T$427&gt;0,DATE($C449,4,15)&gt;$T$427)),0,IF(DATE($C449,4,15)&gt;=$X$427,$AA$427*(1+($U$427)/100)^MAX(0,$C449-$AD$427),IF(DATE($C449,4,15)&gt;=$W$427,$Z$427*(1+($U$427)/100)^MAX(0,$C449-$AC$427),IF(DATE($C449,4,15)&gt;=$V$427,$Y$427*(1+($U$427)/100)^MAX(0,$C449-$AB$427),0)))))</f>
      </c>
      <c r="I449" s="43">
        <f>IF($S$427=0,0,IF(OR(DATE($C449,5,15)&lt;$S$427,AND($T$427&gt;0,DATE($C449,5,15)&gt;$T$427)),0,IF(DATE($C449,5,15)&gt;=$X$427,$AA$427*(1+($U$427)/100)^MAX(0,$C449-$AD$427),IF(DATE($C449,5,15)&gt;=$W$427,$Z$427*(1+($U$427)/100)^MAX(0,$C449-$AC$427),IF(DATE($C449,5,15)&gt;=$V$427,$Y$427*(1+($U$427)/100)^MAX(0,$C449-$AB$427),0)))))</f>
      </c>
      <c r="J449" s="43">
        <f>IF($S$427=0,0,IF(OR(DATE($C449,6,15)&lt;$S$427,AND($T$427&gt;0,DATE($C449,6,15)&gt;$T$427)),0,IF(DATE($C449,6,15)&gt;=$X$427,$AA$427*(1+($U$427)/100)^MAX(0,$C449-$AD$427),IF(DATE($C449,6,15)&gt;=$W$427,$Z$427*(1+($U$427)/100)^MAX(0,$C449-$AC$427),IF(DATE($C449,6,15)&gt;=$V$427,$Y$427*(1+($U$427)/100)^MAX(0,$C449-$AB$427),0)))))</f>
      </c>
      <c r="K449" s="43">
        <f>IF($S$427=0,0,IF(OR(DATE($C449,7,15)&lt;$S$427,AND($T$427&gt;0,DATE($C449,7,15)&gt;$T$427)),0,IF(DATE($C449,7,15)&gt;=$X$427,$AA$427*(1+($U$427)/100)^MAX(0,$C449-$AD$427),IF(DATE($C449,7,15)&gt;=$W$427,$Z$427*(1+($U$427)/100)^MAX(0,$C449-$AC$427),IF(DATE($C449,7,15)&gt;=$V$427,$Y$427*(1+($U$427)/100)^MAX(0,$C449-$AB$427),0)))))</f>
      </c>
      <c r="L449" s="43">
        <f>IF($S$427=0,0,IF(OR(DATE($C449,8,15)&lt;$S$427,AND($T$427&gt;0,DATE($C449,8,15)&gt;$T$427)),0,IF(DATE($C449,8,15)&gt;=$X$427,$AA$427*(1+($U$427)/100)^MAX(0,$C449-$AD$427),IF(DATE($C449,8,15)&gt;=$W$427,$Z$427*(1+($U$427)/100)^MAX(0,$C449-$AC$427),IF(DATE($C449,8,15)&gt;=$V$427,$Y$427*(1+($U$427)/100)^MAX(0,$C449-$AB$427),0)))))</f>
      </c>
      <c r="M449" s="43">
        <f>IF($S$427=0,0,IF(OR(DATE($C449,9,15)&lt;$S$427,AND($T$427&gt;0,DATE($C449,9,15)&gt;$T$427)),0,IF(DATE($C449,9,15)&gt;=$X$427,$AA$427*(1+($U$427)/100)^MAX(0,$C449-$AD$427),IF(DATE($C449,9,15)&gt;=$W$427,$Z$427*(1+($U$427)/100)^MAX(0,$C449-$AC$427),IF(DATE($C449,9,15)&gt;=$V$427,$Y$427*(1+($U$427)/100)^MAX(0,$C449-$AB$427),0)))))</f>
      </c>
      <c r="N449" s="43">
        <f>IF($S$427=0,0,IF(OR(DATE($C449,10,15)&lt;$S$427,AND($T$427&gt;0,DATE($C449,10,15)&gt;$T$427)),0,IF(DATE($C449,10,15)&gt;=$X$427,$AA$427*(1+($U$427)/100)^MAX(0,$C449-$AD$427),IF(DATE($C449,10,15)&gt;=$W$427,$Z$427*(1+($U$427)/100)^MAX(0,$C449-$AC$427),IF(DATE($C449,10,15)&gt;=$V$427,$Y$427*(1+($U$427)/100)^MAX(0,$C449-$AB$427),0)))))</f>
      </c>
      <c r="O449" s="43">
        <f>IF($S$427=0,0,IF(OR(DATE($C449,11,15)&lt;$S$427,AND($T$427&gt;0,DATE($C449,11,15)&gt;$T$427)),0,IF(DATE($C449,11,15)&gt;=$X$427,$AA$427*(1+($U$427)/100)^MAX(0,$C449-$AD$427),IF(DATE($C449,11,15)&gt;=$W$427,$Z$427*(1+($U$427)/100)^MAX(0,$C449-$AC$427),IF(DATE($C449,11,15)&gt;=$V$427,$Y$427*(1+($U$427)/100)^MAX(0,$C449-$AB$427),0)))))</f>
      </c>
      <c r="P449" s="43">
        <f>IF($S$427=0,0,IF(OR(DATE($C449,12,15)&lt;$S$427,AND($T$427&gt;0,DATE($C449,12,15)&gt;$T$427)),0,IF(DATE($C449,12,15)&gt;=$X$427,$AA$427*(1+($U$427)/100)^MAX(0,$C449-$AD$427),IF(DATE($C449,12,15)&gt;=$W$427,$Z$427*(1+($U$427)/100)^MAX(0,$C449-$AC$427),IF(DATE($C449,12,15)&gt;=$V$427,$Y$427*(1+($U$427)/100)^MAX(0,$C449-$AB$427),0)))))</f>
      </c>
      <c r="Q449" s="43">
        <f>SUM($E449:$P449)</f>
      </c>
    </row>
    <row r="450">
      <c r="A450"/>
      <c r="B450">
        <v>14</v>
      </c>
      <c r="C450" s="43">
        <f>Jahr+23</f>
      </c>
      <c r="D450" s="43">
        <f>INDEX(MvObj,14)</f>
      </c>
      <c r="E450" s="43">
        <f>IF($S$427=0,0,IF(OR(DATE($C450,1,15)&lt;$S$427,AND($T$427&gt;0,DATE($C450,1,15)&gt;$T$427)),0,IF(DATE($C450,1,15)&gt;=$X$427,$AA$427*(1+($U$427)/100)^MAX(0,$C450-$AD$427),IF(DATE($C450,1,15)&gt;=$W$427,$Z$427*(1+($U$427)/100)^MAX(0,$C450-$AC$427),IF(DATE($C450,1,15)&gt;=$V$427,$Y$427*(1+($U$427)/100)^MAX(0,$C450-$AB$427),0)))))</f>
      </c>
      <c r="F450" s="43">
        <f>IF($S$427=0,0,IF(OR(DATE($C450,2,15)&lt;$S$427,AND($T$427&gt;0,DATE($C450,2,15)&gt;$T$427)),0,IF(DATE($C450,2,15)&gt;=$X$427,$AA$427*(1+($U$427)/100)^MAX(0,$C450-$AD$427),IF(DATE($C450,2,15)&gt;=$W$427,$Z$427*(1+($U$427)/100)^MAX(0,$C450-$AC$427),IF(DATE($C450,2,15)&gt;=$V$427,$Y$427*(1+($U$427)/100)^MAX(0,$C450-$AB$427),0)))))</f>
      </c>
      <c r="G450" s="43">
        <f>IF($S$427=0,0,IF(OR(DATE($C450,3,15)&lt;$S$427,AND($T$427&gt;0,DATE($C450,3,15)&gt;$T$427)),0,IF(DATE($C450,3,15)&gt;=$X$427,$AA$427*(1+($U$427)/100)^MAX(0,$C450-$AD$427),IF(DATE($C450,3,15)&gt;=$W$427,$Z$427*(1+($U$427)/100)^MAX(0,$C450-$AC$427),IF(DATE($C450,3,15)&gt;=$V$427,$Y$427*(1+($U$427)/100)^MAX(0,$C450-$AB$427),0)))))</f>
      </c>
      <c r="H450" s="43">
        <f>IF($S$427=0,0,IF(OR(DATE($C450,4,15)&lt;$S$427,AND($T$427&gt;0,DATE($C450,4,15)&gt;$T$427)),0,IF(DATE($C450,4,15)&gt;=$X$427,$AA$427*(1+($U$427)/100)^MAX(0,$C450-$AD$427),IF(DATE($C450,4,15)&gt;=$W$427,$Z$427*(1+($U$427)/100)^MAX(0,$C450-$AC$427),IF(DATE($C450,4,15)&gt;=$V$427,$Y$427*(1+($U$427)/100)^MAX(0,$C450-$AB$427),0)))))</f>
      </c>
      <c r="I450" s="43">
        <f>IF($S$427=0,0,IF(OR(DATE($C450,5,15)&lt;$S$427,AND($T$427&gt;0,DATE($C450,5,15)&gt;$T$427)),0,IF(DATE($C450,5,15)&gt;=$X$427,$AA$427*(1+($U$427)/100)^MAX(0,$C450-$AD$427),IF(DATE($C450,5,15)&gt;=$W$427,$Z$427*(1+($U$427)/100)^MAX(0,$C450-$AC$427),IF(DATE($C450,5,15)&gt;=$V$427,$Y$427*(1+($U$427)/100)^MAX(0,$C450-$AB$427),0)))))</f>
      </c>
      <c r="J450" s="43">
        <f>IF($S$427=0,0,IF(OR(DATE($C450,6,15)&lt;$S$427,AND($T$427&gt;0,DATE($C450,6,15)&gt;$T$427)),0,IF(DATE($C450,6,15)&gt;=$X$427,$AA$427*(1+($U$427)/100)^MAX(0,$C450-$AD$427),IF(DATE($C450,6,15)&gt;=$W$427,$Z$427*(1+($U$427)/100)^MAX(0,$C450-$AC$427),IF(DATE($C450,6,15)&gt;=$V$427,$Y$427*(1+($U$427)/100)^MAX(0,$C450-$AB$427),0)))))</f>
      </c>
      <c r="K450" s="43">
        <f>IF($S$427=0,0,IF(OR(DATE($C450,7,15)&lt;$S$427,AND($T$427&gt;0,DATE($C450,7,15)&gt;$T$427)),0,IF(DATE($C450,7,15)&gt;=$X$427,$AA$427*(1+($U$427)/100)^MAX(0,$C450-$AD$427),IF(DATE($C450,7,15)&gt;=$W$427,$Z$427*(1+($U$427)/100)^MAX(0,$C450-$AC$427),IF(DATE($C450,7,15)&gt;=$V$427,$Y$427*(1+($U$427)/100)^MAX(0,$C450-$AB$427),0)))))</f>
      </c>
      <c r="L450" s="43">
        <f>IF($S$427=0,0,IF(OR(DATE($C450,8,15)&lt;$S$427,AND($T$427&gt;0,DATE($C450,8,15)&gt;$T$427)),0,IF(DATE($C450,8,15)&gt;=$X$427,$AA$427*(1+($U$427)/100)^MAX(0,$C450-$AD$427),IF(DATE($C450,8,15)&gt;=$W$427,$Z$427*(1+($U$427)/100)^MAX(0,$C450-$AC$427),IF(DATE($C450,8,15)&gt;=$V$427,$Y$427*(1+($U$427)/100)^MAX(0,$C450-$AB$427),0)))))</f>
      </c>
      <c r="M450" s="43">
        <f>IF($S$427=0,0,IF(OR(DATE($C450,9,15)&lt;$S$427,AND($T$427&gt;0,DATE($C450,9,15)&gt;$T$427)),0,IF(DATE($C450,9,15)&gt;=$X$427,$AA$427*(1+($U$427)/100)^MAX(0,$C450-$AD$427),IF(DATE($C450,9,15)&gt;=$W$427,$Z$427*(1+($U$427)/100)^MAX(0,$C450-$AC$427),IF(DATE($C450,9,15)&gt;=$V$427,$Y$427*(1+($U$427)/100)^MAX(0,$C450-$AB$427),0)))))</f>
      </c>
      <c r="N450" s="43">
        <f>IF($S$427=0,0,IF(OR(DATE($C450,10,15)&lt;$S$427,AND($T$427&gt;0,DATE($C450,10,15)&gt;$T$427)),0,IF(DATE($C450,10,15)&gt;=$X$427,$AA$427*(1+($U$427)/100)^MAX(0,$C450-$AD$427),IF(DATE($C450,10,15)&gt;=$W$427,$Z$427*(1+($U$427)/100)^MAX(0,$C450-$AC$427),IF(DATE($C450,10,15)&gt;=$V$427,$Y$427*(1+($U$427)/100)^MAX(0,$C450-$AB$427),0)))))</f>
      </c>
      <c r="O450" s="43">
        <f>IF($S$427=0,0,IF(OR(DATE($C450,11,15)&lt;$S$427,AND($T$427&gt;0,DATE($C450,11,15)&gt;$T$427)),0,IF(DATE($C450,11,15)&gt;=$X$427,$AA$427*(1+($U$427)/100)^MAX(0,$C450-$AD$427),IF(DATE($C450,11,15)&gt;=$W$427,$Z$427*(1+($U$427)/100)^MAX(0,$C450-$AC$427),IF(DATE($C450,11,15)&gt;=$V$427,$Y$427*(1+($U$427)/100)^MAX(0,$C450-$AB$427),0)))))</f>
      </c>
      <c r="P450" s="43">
        <f>IF($S$427=0,0,IF(OR(DATE($C450,12,15)&lt;$S$427,AND($T$427&gt;0,DATE($C450,12,15)&gt;$T$427)),0,IF(DATE($C450,12,15)&gt;=$X$427,$AA$427*(1+($U$427)/100)^MAX(0,$C450-$AD$427),IF(DATE($C450,12,15)&gt;=$W$427,$Z$427*(1+($U$427)/100)^MAX(0,$C450-$AC$427),IF(DATE($C450,12,15)&gt;=$V$427,$Y$427*(1+($U$427)/100)^MAX(0,$C450-$AB$427),0)))))</f>
      </c>
      <c r="Q450" s="43">
        <f>SUM($E450:$P450)</f>
      </c>
    </row>
    <row r="451">
      <c r="A451"/>
      <c r="B451">
        <v>14</v>
      </c>
      <c r="C451" s="43">
        <f>Jahr+24</f>
      </c>
      <c r="D451" s="43">
        <f>INDEX(MvObj,14)</f>
      </c>
      <c r="E451" s="43">
        <f>IF($S$427=0,0,IF(OR(DATE($C451,1,15)&lt;$S$427,AND($T$427&gt;0,DATE($C451,1,15)&gt;$T$427)),0,IF(DATE($C451,1,15)&gt;=$X$427,$AA$427*(1+($U$427)/100)^MAX(0,$C451-$AD$427),IF(DATE($C451,1,15)&gt;=$W$427,$Z$427*(1+($U$427)/100)^MAX(0,$C451-$AC$427),IF(DATE($C451,1,15)&gt;=$V$427,$Y$427*(1+($U$427)/100)^MAX(0,$C451-$AB$427),0)))))</f>
      </c>
      <c r="F451" s="43">
        <f>IF($S$427=0,0,IF(OR(DATE($C451,2,15)&lt;$S$427,AND($T$427&gt;0,DATE($C451,2,15)&gt;$T$427)),0,IF(DATE($C451,2,15)&gt;=$X$427,$AA$427*(1+($U$427)/100)^MAX(0,$C451-$AD$427),IF(DATE($C451,2,15)&gt;=$W$427,$Z$427*(1+($U$427)/100)^MAX(0,$C451-$AC$427),IF(DATE($C451,2,15)&gt;=$V$427,$Y$427*(1+($U$427)/100)^MAX(0,$C451-$AB$427),0)))))</f>
      </c>
      <c r="G451" s="43">
        <f>IF($S$427=0,0,IF(OR(DATE($C451,3,15)&lt;$S$427,AND($T$427&gt;0,DATE($C451,3,15)&gt;$T$427)),0,IF(DATE($C451,3,15)&gt;=$X$427,$AA$427*(1+($U$427)/100)^MAX(0,$C451-$AD$427),IF(DATE($C451,3,15)&gt;=$W$427,$Z$427*(1+($U$427)/100)^MAX(0,$C451-$AC$427),IF(DATE($C451,3,15)&gt;=$V$427,$Y$427*(1+($U$427)/100)^MAX(0,$C451-$AB$427),0)))))</f>
      </c>
      <c r="H451" s="43">
        <f>IF($S$427=0,0,IF(OR(DATE($C451,4,15)&lt;$S$427,AND($T$427&gt;0,DATE($C451,4,15)&gt;$T$427)),0,IF(DATE($C451,4,15)&gt;=$X$427,$AA$427*(1+($U$427)/100)^MAX(0,$C451-$AD$427),IF(DATE($C451,4,15)&gt;=$W$427,$Z$427*(1+($U$427)/100)^MAX(0,$C451-$AC$427),IF(DATE($C451,4,15)&gt;=$V$427,$Y$427*(1+($U$427)/100)^MAX(0,$C451-$AB$427),0)))))</f>
      </c>
      <c r="I451" s="43">
        <f>IF($S$427=0,0,IF(OR(DATE($C451,5,15)&lt;$S$427,AND($T$427&gt;0,DATE($C451,5,15)&gt;$T$427)),0,IF(DATE($C451,5,15)&gt;=$X$427,$AA$427*(1+($U$427)/100)^MAX(0,$C451-$AD$427),IF(DATE($C451,5,15)&gt;=$W$427,$Z$427*(1+($U$427)/100)^MAX(0,$C451-$AC$427),IF(DATE($C451,5,15)&gt;=$V$427,$Y$427*(1+($U$427)/100)^MAX(0,$C451-$AB$427),0)))))</f>
      </c>
      <c r="J451" s="43">
        <f>IF($S$427=0,0,IF(OR(DATE($C451,6,15)&lt;$S$427,AND($T$427&gt;0,DATE($C451,6,15)&gt;$T$427)),0,IF(DATE($C451,6,15)&gt;=$X$427,$AA$427*(1+($U$427)/100)^MAX(0,$C451-$AD$427),IF(DATE($C451,6,15)&gt;=$W$427,$Z$427*(1+($U$427)/100)^MAX(0,$C451-$AC$427),IF(DATE($C451,6,15)&gt;=$V$427,$Y$427*(1+($U$427)/100)^MAX(0,$C451-$AB$427),0)))))</f>
      </c>
      <c r="K451" s="43">
        <f>IF($S$427=0,0,IF(OR(DATE($C451,7,15)&lt;$S$427,AND($T$427&gt;0,DATE($C451,7,15)&gt;$T$427)),0,IF(DATE($C451,7,15)&gt;=$X$427,$AA$427*(1+($U$427)/100)^MAX(0,$C451-$AD$427),IF(DATE($C451,7,15)&gt;=$W$427,$Z$427*(1+($U$427)/100)^MAX(0,$C451-$AC$427),IF(DATE($C451,7,15)&gt;=$V$427,$Y$427*(1+($U$427)/100)^MAX(0,$C451-$AB$427),0)))))</f>
      </c>
      <c r="L451" s="43">
        <f>IF($S$427=0,0,IF(OR(DATE($C451,8,15)&lt;$S$427,AND($T$427&gt;0,DATE($C451,8,15)&gt;$T$427)),0,IF(DATE($C451,8,15)&gt;=$X$427,$AA$427*(1+($U$427)/100)^MAX(0,$C451-$AD$427),IF(DATE($C451,8,15)&gt;=$W$427,$Z$427*(1+($U$427)/100)^MAX(0,$C451-$AC$427),IF(DATE($C451,8,15)&gt;=$V$427,$Y$427*(1+($U$427)/100)^MAX(0,$C451-$AB$427),0)))))</f>
      </c>
      <c r="M451" s="43">
        <f>IF($S$427=0,0,IF(OR(DATE($C451,9,15)&lt;$S$427,AND($T$427&gt;0,DATE($C451,9,15)&gt;$T$427)),0,IF(DATE($C451,9,15)&gt;=$X$427,$AA$427*(1+($U$427)/100)^MAX(0,$C451-$AD$427),IF(DATE($C451,9,15)&gt;=$W$427,$Z$427*(1+($U$427)/100)^MAX(0,$C451-$AC$427),IF(DATE($C451,9,15)&gt;=$V$427,$Y$427*(1+($U$427)/100)^MAX(0,$C451-$AB$427),0)))))</f>
      </c>
      <c r="N451" s="43">
        <f>IF($S$427=0,0,IF(OR(DATE($C451,10,15)&lt;$S$427,AND($T$427&gt;0,DATE($C451,10,15)&gt;$T$427)),0,IF(DATE($C451,10,15)&gt;=$X$427,$AA$427*(1+($U$427)/100)^MAX(0,$C451-$AD$427),IF(DATE($C451,10,15)&gt;=$W$427,$Z$427*(1+($U$427)/100)^MAX(0,$C451-$AC$427),IF(DATE($C451,10,15)&gt;=$V$427,$Y$427*(1+($U$427)/100)^MAX(0,$C451-$AB$427),0)))))</f>
      </c>
      <c r="O451" s="43">
        <f>IF($S$427=0,0,IF(OR(DATE($C451,11,15)&lt;$S$427,AND($T$427&gt;0,DATE($C451,11,15)&gt;$T$427)),0,IF(DATE($C451,11,15)&gt;=$X$427,$AA$427*(1+($U$427)/100)^MAX(0,$C451-$AD$427),IF(DATE($C451,11,15)&gt;=$W$427,$Z$427*(1+($U$427)/100)^MAX(0,$C451-$AC$427),IF(DATE($C451,11,15)&gt;=$V$427,$Y$427*(1+($U$427)/100)^MAX(0,$C451-$AB$427),0)))))</f>
      </c>
      <c r="P451" s="43">
        <f>IF($S$427=0,0,IF(OR(DATE($C451,12,15)&lt;$S$427,AND($T$427&gt;0,DATE($C451,12,15)&gt;$T$427)),0,IF(DATE($C451,12,15)&gt;=$X$427,$AA$427*(1+($U$427)/100)^MAX(0,$C451-$AD$427),IF(DATE($C451,12,15)&gt;=$W$427,$Z$427*(1+($U$427)/100)^MAX(0,$C451-$AC$427),IF(DATE($C451,12,15)&gt;=$V$427,$Y$427*(1+($U$427)/100)^MAX(0,$C451-$AB$427),0)))))</f>
      </c>
      <c r="Q451" s="43">
        <f>SUM($E451:$P451)</f>
      </c>
    </row>
    <row r="452">
      <c r="A452"/>
      <c r="B452">
        <v>14</v>
      </c>
      <c r="C452" s="43">
        <f>Jahr+25</f>
      </c>
      <c r="D452" s="43">
        <f>INDEX(MvObj,14)</f>
      </c>
      <c r="E452" s="43">
        <f>IF($S$427=0,0,IF(OR(DATE($C452,1,15)&lt;$S$427,AND($T$427&gt;0,DATE($C452,1,15)&gt;$T$427)),0,IF(DATE($C452,1,15)&gt;=$X$427,$AA$427*(1+($U$427)/100)^MAX(0,$C452-$AD$427),IF(DATE($C452,1,15)&gt;=$W$427,$Z$427*(1+($U$427)/100)^MAX(0,$C452-$AC$427),IF(DATE($C452,1,15)&gt;=$V$427,$Y$427*(1+($U$427)/100)^MAX(0,$C452-$AB$427),0)))))</f>
      </c>
      <c r="F452" s="43">
        <f>IF($S$427=0,0,IF(OR(DATE($C452,2,15)&lt;$S$427,AND($T$427&gt;0,DATE($C452,2,15)&gt;$T$427)),0,IF(DATE($C452,2,15)&gt;=$X$427,$AA$427*(1+($U$427)/100)^MAX(0,$C452-$AD$427),IF(DATE($C452,2,15)&gt;=$W$427,$Z$427*(1+($U$427)/100)^MAX(0,$C452-$AC$427),IF(DATE($C452,2,15)&gt;=$V$427,$Y$427*(1+($U$427)/100)^MAX(0,$C452-$AB$427),0)))))</f>
      </c>
      <c r="G452" s="43">
        <f>IF($S$427=0,0,IF(OR(DATE($C452,3,15)&lt;$S$427,AND($T$427&gt;0,DATE($C452,3,15)&gt;$T$427)),0,IF(DATE($C452,3,15)&gt;=$X$427,$AA$427*(1+($U$427)/100)^MAX(0,$C452-$AD$427),IF(DATE($C452,3,15)&gt;=$W$427,$Z$427*(1+($U$427)/100)^MAX(0,$C452-$AC$427),IF(DATE($C452,3,15)&gt;=$V$427,$Y$427*(1+($U$427)/100)^MAX(0,$C452-$AB$427),0)))))</f>
      </c>
      <c r="H452" s="43">
        <f>IF($S$427=0,0,IF(OR(DATE($C452,4,15)&lt;$S$427,AND($T$427&gt;0,DATE($C452,4,15)&gt;$T$427)),0,IF(DATE($C452,4,15)&gt;=$X$427,$AA$427*(1+($U$427)/100)^MAX(0,$C452-$AD$427),IF(DATE($C452,4,15)&gt;=$W$427,$Z$427*(1+($U$427)/100)^MAX(0,$C452-$AC$427),IF(DATE($C452,4,15)&gt;=$V$427,$Y$427*(1+($U$427)/100)^MAX(0,$C452-$AB$427),0)))))</f>
      </c>
      <c r="I452" s="43">
        <f>IF($S$427=0,0,IF(OR(DATE($C452,5,15)&lt;$S$427,AND($T$427&gt;0,DATE($C452,5,15)&gt;$T$427)),0,IF(DATE($C452,5,15)&gt;=$X$427,$AA$427*(1+($U$427)/100)^MAX(0,$C452-$AD$427),IF(DATE($C452,5,15)&gt;=$W$427,$Z$427*(1+($U$427)/100)^MAX(0,$C452-$AC$427),IF(DATE($C452,5,15)&gt;=$V$427,$Y$427*(1+($U$427)/100)^MAX(0,$C452-$AB$427),0)))))</f>
      </c>
      <c r="J452" s="43">
        <f>IF($S$427=0,0,IF(OR(DATE($C452,6,15)&lt;$S$427,AND($T$427&gt;0,DATE($C452,6,15)&gt;$T$427)),0,IF(DATE($C452,6,15)&gt;=$X$427,$AA$427*(1+($U$427)/100)^MAX(0,$C452-$AD$427),IF(DATE($C452,6,15)&gt;=$W$427,$Z$427*(1+($U$427)/100)^MAX(0,$C452-$AC$427),IF(DATE($C452,6,15)&gt;=$V$427,$Y$427*(1+($U$427)/100)^MAX(0,$C452-$AB$427),0)))))</f>
      </c>
      <c r="K452" s="43">
        <f>IF($S$427=0,0,IF(OR(DATE($C452,7,15)&lt;$S$427,AND($T$427&gt;0,DATE($C452,7,15)&gt;$T$427)),0,IF(DATE($C452,7,15)&gt;=$X$427,$AA$427*(1+($U$427)/100)^MAX(0,$C452-$AD$427),IF(DATE($C452,7,15)&gt;=$W$427,$Z$427*(1+($U$427)/100)^MAX(0,$C452-$AC$427),IF(DATE($C452,7,15)&gt;=$V$427,$Y$427*(1+($U$427)/100)^MAX(0,$C452-$AB$427),0)))))</f>
      </c>
      <c r="L452" s="43">
        <f>IF($S$427=0,0,IF(OR(DATE($C452,8,15)&lt;$S$427,AND($T$427&gt;0,DATE($C452,8,15)&gt;$T$427)),0,IF(DATE($C452,8,15)&gt;=$X$427,$AA$427*(1+($U$427)/100)^MAX(0,$C452-$AD$427),IF(DATE($C452,8,15)&gt;=$W$427,$Z$427*(1+($U$427)/100)^MAX(0,$C452-$AC$427),IF(DATE($C452,8,15)&gt;=$V$427,$Y$427*(1+($U$427)/100)^MAX(0,$C452-$AB$427),0)))))</f>
      </c>
      <c r="M452" s="43">
        <f>IF($S$427=0,0,IF(OR(DATE($C452,9,15)&lt;$S$427,AND($T$427&gt;0,DATE($C452,9,15)&gt;$T$427)),0,IF(DATE($C452,9,15)&gt;=$X$427,$AA$427*(1+($U$427)/100)^MAX(0,$C452-$AD$427),IF(DATE($C452,9,15)&gt;=$W$427,$Z$427*(1+($U$427)/100)^MAX(0,$C452-$AC$427),IF(DATE($C452,9,15)&gt;=$V$427,$Y$427*(1+($U$427)/100)^MAX(0,$C452-$AB$427),0)))))</f>
      </c>
      <c r="N452" s="43">
        <f>IF($S$427=0,0,IF(OR(DATE($C452,10,15)&lt;$S$427,AND($T$427&gt;0,DATE($C452,10,15)&gt;$T$427)),0,IF(DATE($C452,10,15)&gt;=$X$427,$AA$427*(1+($U$427)/100)^MAX(0,$C452-$AD$427),IF(DATE($C452,10,15)&gt;=$W$427,$Z$427*(1+($U$427)/100)^MAX(0,$C452-$AC$427),IF(DATE($C452,10,15)&gt;=$V$427,$Y$427*(1+($U$427)/100)^MAX(0,$C452-$AB$427),0)))))</f>
      </c>
      <c r="O452" s="43">
        <f>IF($S$427=0,0,IF(OR(DATE($C452,11,15)&lt;$S$427,AND($T$427&gt;0,DATE($C452,11,15)&gt;$T$427)),0,IF(DATE($C452,11,15)&gt;=$X$427,$AA$427*(1+($U$427)/100)^MAX(0,$C452-$AD$427),IF(DATE($C452,11,15)&gt;=$W$427,$Z$427*(1+($U$427)/100)^MAX(0,$C452-$AC$427),IF(DATE($C452,11,15)&gt;=$V$427,$Y$427*(1+($U$427)/100)^MAX(0,$C452-$AB$427),0)))))</f>
      </c>
      <c r="P452" s="43">
        <f>IF($S$427=0,0,IF(OR(DATE($C452,12,15)&lt;$S$427,AND($T$427&gt;0,DATE($C452,12,15)&gt;$T$427)),0,IF(DATE($C452,12,15)&gt;=$X$427,$AA$427*(1+($U$427)/100)^MAX(0,$C452-$AD$427),IF(DATE($C452,12,15)&gt;=$W$427,$Z$427*(1+($U$427)/100)^MAX(0,$C452-$AC$427),IF(DATE($C452,12,15)&gt;=$V$427,$Y$427*(1+($U$427)/100)^MAX(0,$C452-$AB$427),0)))))</f>
      </c>
      <c r="Q452" s="43">
        <f>SUM($E452:$P452)</f>
      </c>
    </row>
    <row r="453">
      <c r="A453"/>
      <c r="B453">
        <v>14</v>
      </c>
      <c r="C453" s="43">
        <f>Jahr+26</f>
      </c>
      <c r="D453" s="43">
        <f>INDEX(MvObj,14)</f>
      </c>
      <c r="E453" s="43">
        <f>IF($S$427=0,0,IF(OR(DATE($C453,1,15)&lt;$S$427,AND($T$427&gt;0,DATE($C453,1,15)&gt;$T$427)),0,IF(DATE($C453,1,15)&gt;=$X$427,$AA$427*(1+($U$427)/100)^MAX(0,$C453-$AD$427),IF(DATE($C453,1,15)&gt;=$W$427,$Z$427*(1+($U$427)/100)^MAX(0,$C453-$AC$427),IF(DATE($C453,1,15)&gt;=$V$427,$Y$427*(1+($U$427)/100)^MAX(0,$C453-$AB$427),0)))))</f>
      </c>
      <c r="F453" s="43">
        <f>IF($S$427=0,0,IF(OR(DATE($C453,2,15)&lt;$S$427,AND($T$427&gt;0,DATE($C453,2,15)&gt;$T$427)),0,IF(DATE($C453,2,15)&gt;=$X$427,$AA$427*(1+($U$427)/100)^MAX(0,$C453-$AD$427),IF(DATE($C453,2,15)&gt;=$W$427,$Z$427*(1+($U$427)/100)^MAX(0,$C453-$AC$427),IF(DATE($C453,2,15)&gt;=$V$427,$Y$427*(1+($U$427)/100)^MAX(0,$C453-$AB$427),0)))))</f>
      </c>
      <c r="G453" s="43">
        <f>IF($S$427=0,0,IF(OR(DATE($C453,3,15)&lt;$S$427,AND($T$427&gt;0,DATE($C453,3,15)&gt;$T$427)),0,IF(DATE($C453,3,15)&gt;=$X$427,$AA$427*(1+($U$427)/100)^MAX(0,$C453-$AD$427),IF(DATE($C453,3,15)&gt;=$W$427,$Z$427*(1+($U$427)/100)^MAX(0,$C453-$AC$427),IF(DATE($C453,3,15)&gt;=$V$427,$Y$427*(1+($U$427)/100)^MAX(0,$C453-$AB$427),0)))))</f>
      </c>
      <c r="H453" s="43">
        <f>IF($S$427=0,0,IF(OR(DATE($C453,4,15)&lt;$S$427,AND($T$427&gt;0,DATE($C453,4,15)&gt;$T$427)),0,IF(DATE($C453,4,15)&gt;=$X$427,$AA$427*(1+($U$427)/100)^MAX(0,$C453-$AD$427),IF(DATE($C453,4,15)&gt;=$W$427,$Z$427*(1+($U$427)/100)^MAX(0,$C453-$AC$427),IF(DATE($C453,4,15)&gt;=$V$427,$Y$427*(1+($U$427)/100)^MAX(0,$C453-$AB$427),0)))))</f>
      </c>
      <c r="I453" s="43">
        <f>IF($S$427=0,0,IF(OR(DATE($C453,5,15)&lt;$S$427,AND($T$427&gt;0,DATE($C453,5,15)&gt;$T$427)),0,IF(DATE($C453,5,15)&gt;=$X$427,$AA$427*(1+($U$427)/100)^MAX(0,$C453-$AD$427),IF(DATE($C453,5,15)&gt;=$W$427,$Z$427*(1+($U$427)/100)^MAX(0,$C453-$AC$427),IF(DATE($C453,5,15)&gt;=$V$427,$Y$427*(1+($U$427)/100)^MAX(0,$C453-$AB$427),0)))))</f>
      </c>
      <c r="J453" s="43">
        <f>IF($S$427=0,0,IF(OR(DATE($C453,6,15)&lt;$S$427,AND($T$427&gt;0,DATE($C453,6,15)&gt;$T$427)),0,IF(DATE($C453,6,15)&gt;=$X$427,$AA$427*(1+($U$427)/100)^MAX(0,$C453-$AD$427),IF(DATE($C453,6,15)&gt;=$W$427,$Z$427*(1+($U$427)/100)^MAX(0,$C453-$AC$427),IF(DATE($C453,6,15)&gt;=$V$427,$Y$427*(1+($U$427)/100)^MAX(0,$C453-$AB$427),0)))))</f>
      </c>
      <c r="K453" s="43">
        <f>IF($S$427=0,0,IF(OR(DATE($C453,7,15)&lt;$S$427,AND($T$427&gt;0,DATE($C453,7,15)&gt;$T$427)),0,IF(DATE($C453,7,15)&gt;=$X$427,$AA$427*(1+($U$427)/100)^MAX(0,$C453-$AD$427),IF(DATE($C453,7,15)&gt;=$W$427,$Z$427*(1+($U$427)/100)^MAX(0,$C453-$AC$427),IF(DATE($C453,7,15)&gt;=$V$427,$Y$427*(1+($U$427)/100)^MAX(0,$C453-$AB$427),0)))))</f>
      </c>
      <c r="L453" s="43">
        <f>IF($S$427=0,0,IF(OR(DATE($C453,8,15)&lt;$S$427,AND($T$427&gt;0,DATE($C453,8,15)&gt;$T$427)),0,IF(DATE($C453,8,15)&gt;=$X$427,$AA$427*(1+($U$427)/100)^MAX(0,$C453-$AD$427),IF(DATE($C453,8,15)&gt;=$W$427,$Z$427*(1+($U$427)/100)^MAX(0,$C453-$AC$427),IF(DATE($C453,8,15)&gt;=$V$427,$Y$427*(1+($U$427)/100)^MAX(0,$C453-$AB$427),0)))))</f>
      </c>
      <c r="M453" s="43">
        <f>IF($S$427=0,0,IF(OR(DATE($C453,9,15)&lt;$S$427,AND($T$427&gt;0,DATE($C453,9,15)&gt;$T$427)),0,IF(DATE($C453,9,15)&gt;=$X$427,$AA$427*(1+($U$427)/100)^MAX(0,$C453-$AD$427),IF(DATE($C453,9,15)&gt;=$W$427,$Z$427*(1+($U$427)/100)^MAX(0,$C453-$AC$427),IF(DATE($C453,9,15)&gt;=$V$427,$Y$427*(1+($U$427)/100)^MAX(0,$C453-$AB$427),0)))))</f>
      </c>
      <c r="N453" s="43">
        <f>IF($S$427=0,0,IF(OR(DATE($C453,10,15)&lt;$S$427,AND($T$427&gt;0,DATE($C453,10,15)&gt;$T$427)),0,IF(DATE($C453,10,15)&gt;=$X$427,$AA$427*(1+($U$427)/100)^MAX(0,$C453-$AD$427),IF(DATE($C453,10,15)&gt;=$W$427,$Z$427*(1+($U$427)/100)^MAX(0,$C453-$AC$427),IF(DATE($C453,10,15)&gt;=$V$427,$Y$427*(1+($U$427)/100)^MAX(0,$C453-$AB$427),0)))))</f>
      </c>
      <c r="O453" s="43">
        <f>IF($S$427=0,0,IF(OR(DATE($C453,11,15)&lt;$S$427,AND($T$427&gt;0,DATE($C453,11,15)&gt;$T$427)),0,IF(DATE($C453,11,15)&gt;=$X$427,$AA$427*(1+($U$427)/100)^MAX(0,$C453-$AD$427),IF(DATE($C453,11,15)&gt;=$W$427,$Z$427*(1+($U$427)/100)^MAX(0,$C453-$AC$427),IF(DATE($C453,11,15)&gt;=$V$427,$Y$427*(1+($U$427)/100)^MAX(0,$C453-$AB$427),0)))))</f>
      </c>
      <c r="P453" s="43">
        <f>IF($S$427=0,0,IF(OR(DATE($C453,12,15)&lt;$S$427,AND($T$427&gt;0,DATE($C453,12,15)&gt;$T$427)),0,IF(DATE($C453,12,15)&gt;=$X$427,$AA$427*(1+($U$427)/100)^MAX(0,$C453-$AD$427),IF(DATE($C453,12,15)&gt;=$W$427,$Z$427*(1+($U$427)/100)^MAX(0,$C453-$AC$427),IF(DATE($C453,12,15)&gt;=$V$427,$Y$427*(1+($U$427)/100)^MAX(0,$C453-$AB$427),0)))))</f>
      </c>
      <c r="Q453" s="43">
        <f>SUM($E453:$P453)</f>
      </c>
    </row>
    <row r="454">
      <c r="A454"/>
      <c r="B454">
        <v>14</v>
      </c>
      <c r="C454" s="43">
        <f>Jahr+27</f>
      </c>
      <c r="D454" s="43">
        <f>INDEX(MvObj,14)</f>
      </c>
      <c r="E454" s="43">
        <f>IF($S$427=0,0,IF(OR(DATE($C454,1,15)&lt;$S$427,AND($T$427&gt;0,DATE($C454,1,15)&gt;$T$427)),0,IF(DATE($C454,1,15)&gt;=$X$427,$AA$427*(1+($U$427)/100)^MAX(0,$C454-$AD$427),IF(DATE($C454,1,15)&gt;=$W$427,$Z$427*(1+($U$427)/100)^MAX(0,$C454-$AC$427),IF(DATE($C454,1,15)&gt;=$V$427,$Y$427*(1+($U$427)/100)^MAX(0,$C454-$AB$427),0)))))</f>
      </c>
      <c r="F454" s="43">
        <f>IF($S$427=0,0,IF(OR(DATE($C454,2,15)&lt;$S$427,AND($T$427&gt;0,DATE($C454,2,15)&gt;$T$427)),0,IF(DATE($C454,2,15)&gt;=$X$427,$AA$427*(1+($U$427)/100)^MAX(0,$C454-$AD$427),IF(DATE($C454,2,15)&gt;=$W$427,$Z$427*(1+($U$427)/100)^MAX(0,$C454-$AC$427),IF(DATE($C454,2,15)&gt;=$V$427,$Y$427*(1+($U$427)/100)^MAX(0,$C454-$AB$427),0)))))</f>
      </c>
      <c r="G454" s="43">
        <f>IF($S$427=0,0,IF(OR(DATE($C454,3,15)&lt;$S$427,AND($T$427&gt;0,DATE($C454,3,15)&gt;$T$427)),0,IF(DATE($C454,3,15)&gt;=$X$427,$AA$427*(1+($U$427)/100)^MAX(0,$C454-$AD$427),IF(DATE($C454,3,15)&gt;=$W$427,$Z$427*(1+($U$427)/100)^MAX(0,$C454-$AC$427),IF(DATE($C454,3,15)&gt;=$V$427,$Y$427*(1+($U$427)/100)^MAX(0,$C454-$AB$427),0)))))</f>
      </c>
      <c r="H454" s="43">
        <f>IF($S$427=0,0,IF(OR(DATE($C454,4,15)&lt;$S$427,AND($T$427&gt;0,DATE($C454,4,15)&gt;$T$427)),0,IF(DATE($C454,4,15)&gt;=$X$427,$AA$427*(1+($U$427)/100)^MAX(0,$C454-$AD$427),IF(DATE($C454,4,15)&gt;=$W$427,$Z$427*(1+($U$427)/100)^MAX(0,$C454-$AC$427),IF(DATE($C454,4,15)&gt;=$V$427,$Y$427*(1+($U$427)/100)^MAX(0,$C454-$AB$427),0)))))</f>
      </c>
      <c r="I454" s="43">
        <f>IF($S$427=0,0,IF(OR(DATE($C454,5,15)&lt;$S$427,AND($T$427&gt;0,DATE($C454,5,15)&gt;$T$427)),0,IF(DATE($C454,5,15)&gt;=$X$427,$AA$427*(1+($U$427)/100)^MAX(0,$C454-$AD$427),IF(DATE($C454,5,15)&gt;=$W$427,$Z$427*(1+($U$427)/100)^MAX(0,$C454-$AC$427),IF(DATE($C454,5,15)&gt;=$V$427,$Y$427*(1+($U$427)/100)^MAX(0,$C454-$AB$427),0)))))</f>
      </c>
      <c r="J454" s="43">
        <f>IF($S$427=0,0,IF(OR(DATE($C454,6,15)&lt;$S$427,AND($T$427&gt;0,DATE($C454,6,15)&gt;$T$427)),0,IF(DATE($C454,6,15)&gt;=$X$427,$AA$427*(1+($U$427)/100)^MAX(0,$C454-$AD$427),IF(DATE($C454,6,15)&gt;=$W$427,$Z$427*(1+($U$427)/100)^MAX(0,$C454-$AC$427),IF(DATE($C454,6,15)&gt;=$V$427,$Y$427*(1+($U$427)/100)^MAX(0,$C454-$AB$427),0)))))</f>
      </c>
      <c r="K454" s="43">
        <f>IF($S$427=0,0,IF(OR(DATE($C454,7,15)&lt;$S$427,AND($T$427&gt;0,DATE($C454,7,15)&gt;$T$427)),0,IF(DATE($C454,7,15)&gt;=$X$427,$AA$427*(1+($U$427)/100)^MAX(0,$C454-$AD$427),IF(DATE($C454,7,15)&gt;=$W$427,$Z$427*(1+($U$427)/100)^MAX(0,$C454-$AC$427),IF(DATE($C454,7,15)&gt;=$V$427,$Y$427*(1+($U$427)/100)^MAX(0,$C454-$AB$427),0)))))</f>
      </c>
      <c r="L454" s="43">
        <f>IF($S$427=0,0,IF(OR(DATE($C454,8,15)&lt;$S$427,AND($T$427&gt;0,DATE($C454,8,15)&gt;$T$427)),0,IF(DATE($C454,8,15)&gt;=$X$427,$AA$427*(1+($U$427)/100)^MAX(0,$C454-$AD$427),IF(DATE($C454,8,15)&gt;=$W$427,$Z$427*(1+($U$427)/100)^MAX(0,$C454-$AC$427),IF(DATE($C454,8,15)&gt;=$V$427,$Y$427*(1+($U$427)/100)^MAX(0,$C454-$AB$427),0)))))</f>
      </c>
      <c r="M454" s="43">
        <f>IF($S$427=0,0,IF(OR(DATE($C454,9,15)&lt;$S$427,AND($T$427&gt;0,DATE($C454,9,15)&gt;$T$427)),0,IF(DATE($C454,9,15)&gt;=$X$427,$AA$427*(1+($U$427)/100)^MAX(0,$C454-$AD$427),IF(DATE($C454,9,15)&gt;=$W$427,$Z$427*(1+($U$427)/100)^MAX(0,$C454-$AC$427),IF(DATE($C454,9,15)&gt;=$V$427,$Y$427*(1+($U$427)/100)^MAX(0,$C454-$AB$427),0)))))</f>
      </c>
      <c r="N454" s="43">
        <f>IF($S$427=0,0,IF(OR(DATE($C454,10,15)&lt;$S$427,AND($T$427&gt;0,DATE($C454,10,15)&gt;$T$427)),0,IF(DATE($C454,10,15)&gt;=$X$427,$AA$427*(1+($U$427)/100)^MAX(0,$C454-$AD$427),IF(DATE($C454,10,15)&gt;=$W$427,$Z$427*(1+($U$427)/100)^MAX(0,$C454-$AC$427),IF(DATE($C454,10,15)&gt;=$V$427,$Y$427*(1+($U$427)/100)^MAX(0,$C454-$AB$427),0)))))</f>
      </c>
      <c r="O454" s="43">
        <f>IF($S$427=0,0,IF(OR(DATE($C454,11,15)&lt;$S$427,AND($T$427&gt;0,DATE($C454,11,15)&gt;$T$427)),0,IF(DATE($C454,11,15)&gt;=$X$427,$AA$427*(1+($U$427)/100)^MAX(0,$C454-$AD$427),IF(DATE($C454,11,15)&gt;=$W$427,$Z$427*(1+($U$427)/100)^MAX(0,$C454-$AC$427),IF(DATE($C454,11,15)&gt;=$V$427,$Y$427*(1+($U$427)/100)^MAX(0,$C454-$AB$427),0)))))</f>
      </c>
      <c r="P454" s="43">
        <f>IF($S$427=0,0,IF(OR(DATE($C454,12,15)&lt;$S$427,AND($T$427&gt;0,DATE($C454,12,15)&gt;$T$427)),0,IF(DATE($C454,12,15)&gt;=$X$427,$AA$427*(1+($U$427)/100)^MAX(0,$C454-$AD$427),IF(DATE($C454,12,15)&gt;=$W$427,$Z$427*(1+($U$427)/100)^MAX(0,$C454-$AC$427),IF(DATE($C454,12,15)&gt;=$V$427,$Y$427*(1+($U$427)/100)^MAX(0,$C454-$AB$427),0)))))</f>
      </c>
      <c r="Q454" s="43">
        <f>SUM($E454:$P454)</f>
      </c>
    </row>
    <row r="455">
      <c r="A455"/>
      <c r="B455">
        <v>14</v>
      </c>
      <c r="C455" s="43">
        <f>Jahr+28</f>
      </c>
      <c r="D455" s="43">
        <f>INDEX(MvObj,14)</f>
      </c>
      <c r="E455" s="43">
        <f>IF($S$427=0,0,IF(OR(DATE($C455,1,15)&lt;$S$427,AND($T$427&gt;0,DATE($C455,1,15)&gt;$T$427)),0,IF(DATE($C455,1,15)&gt;=$X$427,$AA$427*(1+($U$427)/100)^MAX(0,$C455-$AD$427),IF(DATE($C455,1,15)&gt;=$W$427,$Z$427*(1+($U$427)/100)^MAX(0,$C455-$AC$427),IF(DATE($C455,1,15)&gt;=$V$427,$Y$427*(1+($U$427)/100)^MAX(0,$C455-$AB$427),0)))))</f>
      </c>
      <c r="F455" s="43">
        <f>IF($S$427=0,0,IF(OR(DATE($C455,2,15)&lt;$S$427,AND($T$427&gt;0,DATE($C455,2,15)&gt;$T$427)),0,IF(DATE($C455,2,15)&gt;=$X$427,$AA$427*(1+($U$427)/100)^MAX(0,$C455-$AD$427),IF(DATE($C455,2,15)&gt;=$W$427,$Z$427*(1+($U$427)/100)^MAX(0,$C455-$AC$427),IF(DATE($C455,2,15)&gt;=$V$427,$Y$427*(1+($U$427)/100)^MAX(0,$C455-$AB$427),0)))))</f>
      </c>
      <c r="G455" s="43">
        <f>IF($S$427=0,0,IF(OR(DATE($C455,3,15)&lt;$S$427,AND($T$427&gt;0,DATE($C455,3,15)&gt;$T$427)),0,IF(DATE($C455,3,15)&gt;=$X$427,$AA$427*(1+($U$427)/100)^MAX(0,$C455-$AD$427),IF(DATE($C455,3,15)&gt;=$W$427,$Z$427*(1+($U$427)/100)^MAX(0,$C455-$AC$427),IF(DATE($C455,3,15)&gt;=$V$427,$Y$427*(1+($U$427)/100)^MAX(0,$C455-$AB$427),0)))))</f>
      </c>
      <c r="H455" s="43">
        <f>IF($S$427=0,0,IF(OR(DATE($C455,4,15)&lt;$S$427,AND($T$427&gt;0,DATE($C455,4,15)&gt;$T$427)),0,IF(DATE($C455,4,15)&gt;=$X$427,$AA$427*(1+($U$427)/100)^MAX(0,$C455-$AD$427),IF(DATE($C455,4,15)&gt;=$W$427,$Z$427*(1+($U$427)/100)^MAX(0,$C455-$AC$427),IF(DATE($C455,4,15)&gt;=$V$427,$Y$427*(1+($U$427)/100)^MAX(0,$C455-$AB$427),0)))))</f>
      </c>
      <c r="I455" s="43">
        <f>IF($S$427=0,0,IF(OR(DATE($C455,5,15)&lt;$S$427,AND($T$427&gt;0,DATE($C455,5,15)&gt;$T$427)),0,IF(DATE($C455,5,15)&gt;=$X$427,$AA$427*(1+($U$427)/100)^MAX(0,$C455-$AD$427),IF(DATE($C455,5,15)&gt;=$W$427,$Z$427*(1+($U$427)/100)^MAX(0,$C455-$AC$427),IF(DATE($C455,5,15)&gt;=$V$427,$Y$427*(1+($U$427)/100)^MAX(0,$C455-$AB$427),0)))))</f>
      </c>
      <c r="J455" s="43">
        <f>IF($S$427=0,0,IF(OR(DATE($C455,6,15)&lt;$S$427,AND($T$427&gt;0,DATE($C455,6,15)&gt;$T$427)),0,IF(DATE($C455,6,15)&gt;=$X$427,$AA$427*(1+($U$427)/100)^MAX(0,$C455-$AD$427),IF(DATE($C455,6,15)&gt;=$W$427,$Z$427*(1+($U$427)/100)^MAX(0,$C455-$AC$427),IF(DATE($C455,6,15)&gt;=$V$427,$Y$427*(1+($U$427)/100)^MAX(0,$C455-$AB$427),0)))))</f>
      </c>
      <c r="K455" s="43">
        <f>IF($S$427=0,0,IF(OR(DATE($C455,7,15)&lt;$S$427,AND($T$427&gt;0,DATE($C455,7,15)&gt;$T$427)),0,IF(DATE($C455,7,15)&gt;=$X$427,$AA$427*(1+($U$427)/100)^MAX(0,$C455-$AD$427),IF(DATE($C455,7,15)&gt;=$W$427,$Z$427*(1+($U$427)/100)^MAX(0,$C455-$AC$427),IF(DATE($C455,7,15)&gt;=$V$427,$Y$427*(1+($U$427)/100)^MAX(0,$C455-$AB$427),0)))))</f>
      </c>
      <c r="L455" s="43">
        <f>IF($S$427=0,0,IF(OR(DATE($C455,8,15)&lt;$S$427,AND($T$427&gt;0,DATE($C455,8,15)&gt;$T$427)),0,IF(DATE($C455,8,15)&gt;=$X$427,$AA$427*(1+($U$427)/100)^MAX(0,$C455-$AD$427),IF(DATE($C455,8,15)&gt;=$W$427,$Z$427*(1+($U$427)/100)^MAX(0,$C455-$AC$427),IF(DATE($C455,8,15)&gt;=$V$427,$Y$427*(1+($U$427)/100)^MAX(0,$C455-$AB$427),0)))))</f>
      </c>
      <c r="M455" s="43">
        <f>IF($S$427=0,0,IF(OR(DATE($C455,9,15)&lt;$S$427,AND($T$427&gt;0,DATE($C455,9,15)&gt;$T$427)),0,IF(DATE($C455,9,15)&gt;=$X$427,$AA$427*(1+($U$427)/100)^MAX(0,$C455-$AD$427),IF(DATE($C455,9,15)&gt;=$W$427,$Z$427*(1+($U$427)/100)^MAX(0,$C455-$AC$427),IF(DATE($C455,9,15)&gt;=$V$427,$Y$427*(1+($U$427)/100)^MAX(0,$C455-$AB$427),0)))))</f>
      </c>
      <c r="N455" s="43">
        <f>IF($S$427=0,0,IF(OR(DATE($C455,10,15)&lt;$S$427,AND($T$427&gt;0,DATE($C455,10,15)&gt;$T$427)),0,IF(DATE($C455,10,15)&gt;=$X$427,$AA$427*(1+($U$427)/100)^MAX(0,$C455-$AD$427),IF(DATE($C455,10,15)&gt;=$W$427,$Z$427*(1+($U$427)/100)^MAX(0,$C455-$AC$427),IF(DATE($C455,10,15)&gt;=$V$427,$Y$427*(1+($U$427)/100)^MAX(0,$C455-$AB$427),0)))))</f>
      </c>
      <c r="O455" s="43">
        <f>IF($S$427=0,0,IF(OR(DATE($C455,11,15)&lt;$S$427,AND($T$427&gt;0,DATE($C455,11,15)&gt;$T$427)),0,IF(DATE($C455,11,15)&gt;=$X$427,$AA$427*(1+($U$427)/100)^MAX(0,$C455-$AD$427),IF(DATE($C455,11,15)&gt;=$W$427,$Z$427*(1+($U$427)/100)^MAX(0,$C455-$AC$427),IF(DATE($C455,11,15)&gt;=$V$427,$Y$427*(1+($U$427)/100)^MAX(0,$C455-$AB$427),0)))))</f>
      </c>
      <c r="P455" s="43">
        <f>IF($S$427=0,0,IF(OR(DATE($C455,12,15)&lt;$S$427,AND($T$427&gt;0,DATE($C455,12,15)&gt;$T$427)),0,IF(DATE($C455,12,15)&gt;=$X$427,$AA$427*(1+($U$427)/100)^MAX(0,$C455-$AD$427),IF(DATE($C455,12,15)&gt;=$W$427,$Z$427*(1+($U$427)/100)^MAX(0,$C455-$AC$427),IF(DATE($C455,12,15)&gt;=$V$427,$Y$427*(1+($U$427)/100)^MAX(0,$C455-$AB$427),0)))))</f>
      </c>
      <c r="Q455" s="43">
        <f>SUM($E455:$P455)</f>
      </c>
    </row>
    <row r="456">
      <c r="A456"/>
      <c r="B456">
        <v>14</v>
      </c>
      <c r="C456" s="43">
        <f>Jahr+29</f>
      </c>
      <c r="D456" s="43">
        <f>INDEX(MvObj,14)</f>
      </c>
      <c r="E456" s="43">
        <f>IF($S$427=0,0,IF(OR(DATE($C456,1,15)&lt;$S$427,AND($T$427&gt;0,DATE($C456,1,15)&gt;$T$427)),0,IF(DATE($C456,1,15)&gt;=$X$427,$AA$427*(1+($U$427)/100)^MAX(0,$C456-$AD$427),IF(DATE($C456,1,15)&gt;=$W$427,$Z$427*(1+($U$427)/100)^MAX(0,$C456-$AC$427),IF(DATE($C456,1,15)&gt;=$V$427,$Y$427*(1+($U$427)/100)^MAX(0,$C456-$AB$427),0)))))</f>
      </c>
      <c r="F456" s="43">
        <f>IF($S$427=0,0,IF(OR(DATE($C456,2,15)&lt;$S$427,AND($T$427&gt;0,DATE($C456,2,15)&gt;$T$427)),0,IF(DATE($C456,2,15)&gt;=$X$427,$AA$427*(1+($U$427)/100)^MAX(0,$C456-$AD$427),IF(DATE($C456,2,15)&gt;=$W$427,$Z$427*(1+($U$427)/100)^MAX(0,$C456-$AC$427),IF(DATE($C456,2,15)&gt;=$V$427,$Y$427*(1+($U$427)/100)^MAX(0,$C456-$AB$427),0)))))</f>
      </c>
      <c r="G456" s="43">
        <f>IF($S$427=0,0,IF(OR(DATE($C456,3,15)&lt;$S$427,AND($T$427&gt;0,DATE($C456,3,15)&gt;$T$427)),0,IF(DATE($C456,3,15)&gt;=$X$427,$AA$427*(1+($U$427)/100)^MAX(0,$C456-$AD$427),IF(DATE($C456,3,15)&gt;=$W$427,$Z$427*(1+($U$427)/100)^MAX(0,$C456-$AC$427),IF(DATE($C456,3,15)&gt;=$V$427,$Y$427*(1+($U$427)/100)^MAX(0,$C456-$AB$427),0)))))</f>
      </c>
      <c r="H456" s="43">
        <f>IF($S$427=0,0,IF(OR(DATE($C456,4,15)&lt;$S$427,AND($T$427&gt;0,DATE($C456,4,15)&gt;$T$427)),0,IF(DATE($C456,4,15)&gt;=$X$427,$AA$427*(1+($U$427)/100)^MAX(0,$C456-$AD$427),IF(DATE($C456,4,15)&gt;=$W$427,$Z$427*(1+($U$427)/100)^MAX(0,$C456-$AC$427),IF(DATE($C456,4,15)&gt;=$V$427,$Y$427*(1+($U$427)/100)^MAX(0,$C456-$AB$427),0)))))</f>
      </c>
      <c r="I456" s="43">
        <f>IF($S$427=0,0,IF(OR(DATE($C456,5,15)&lt;$S$427,AND($T$427&gt;0,DATE($C456,5,15)&gt;$T$427)),0,IF(DATE($C456,5,15)&gt;=$X$427,$AA$427*(1+($U$427)/100)^MAX(0,$C456-$AD$427),IF(DATE($C456,5,15)&gt;=$W$427,$Z$427*(1+($U$427)/100)^MAX(0,$C456-$AC$427),IF(DATE($C456,5,15)&gt;=$V$427,$Y$427*(1+($U$427)/100)^MAX(0,$C456-$AB$427),0)))))</f>
      </c>
      <c r="J456" s="43">
        <f>IF($S$427=0,0,IF(OR(DATE($C456,6,15)&lt;$S$427,AND($T$427&gt;0,DATE($C456,6,15)&gt;$T$427)),0,IF(DATE($C456,6,15)&gt;=$X$427,$AA$427*(1+($U$427)/100)^MAX(0,$C456-$AD$427),IF(DATE($C456,6,15)&gt;=$W$427,$Z$427*(1+($U$427)/100)^MAX(0,$C456-$AC$427),IF(DATE($C456,6,15)&gt;=$V$427,$Y$427*(1+($U$427)/100)^MAX(0,$C456-$AB$427),0)))))</f>
      </c>
      <c r="K456" s="43">
        <f>IF($S$427=0,0,IF(OR(DATE($C456,7,15)&lt;$S$427,AND($T$427&gt;0,DATE($C456,7,15)&gt;$T$427)),0,IF(DATE($C456,7,15)&gt;=$X$427,$AA$427*(1+($U$427)/100)^MAX(0,$C456-$AD$427),IF(DATE($C456,7,15)&gt;=$W$427,$Z$427*(1+($U$427)/100)^MAX(0,$C456-$AC$427),IF(DATE($C456,7,15)&gt;=$V$427,$Y$427*(1+($U$427)/100)^MAX(0,$C456-$AB$427),0)))))</f>
      </c>
      <c r="L456" s="43">
        <f>IF($S$427=0,0,IF(OR(DATE($C456,8,15)&lt;$S$427,AND($T$427&gt;0,DATE($C456,8,15)&gt;$T$427)),0,IF(DATE($C456,8,15)&gt;=$X$427,$AA$427*(1+($U$427)/100)^MAX(0,$C456-$AD$427),IF(DATE($C456,8,15)&gt;=$W$427,$Z$427*(1+($U$427)/100)^MAX(0,$C456-$AC$427),IF(DATE($C456,8,15)&gt;=$V$427,$Y$427*(1+($U$427)/100)^MAX(0,$C456-$AB$427),0)))))</f>
      </c>
      <c r="M456" s="43">
        <f>IF($S$427=0,0,IF(OR(DATE($C456,9,15)&lt;$S$427,AND($T$427&gt;0,DATE($C456,9,15)&gt;$T$427)),0,IF(DATE($C456,9,15)&gt;=$X$427,$AA$427*(1+($U$427)/100)^MAX(0,$C456-$AD$427),IF(DATE($C456,9,15)&gt;=$W$427,$Z$427*(1+($U$427)/100)^MAX(0,$C456-$AC$427),IF(DATE($C456,9,15)&gt;=$V$427,$Y$427*(1+($U$427)/100)^MAX(0,$C456-$AB$427),0)))))</f>
      </c>
      <c r="N456" s="43">
        <f>IF($S$427=0,0,IF(OR(DATE($C456,10,15)&lt;$S$427,AND($T$427&gt;0,DATE($C456,10,15)&gt;$T$427)),0,IF(DATE($C456,10,15)&gt;=$X$427,$AA$427*(1+($U$427)/100)^MAX(0,$C456-$AD$427),IF(DATE($C456,10,15)&gt;=$W$427,$Z$427*(1+($U$427)/100)^MAX(0,$C456-$AC$427),IF(DATE($C456,10,15)&gt;=$V$427,$Y$427*(1+($U$427)/100)^MAX(0,$C456-$AB$427),0)))))</f>
      </c>
      <c r="O456" s="43">
        <f>IF($S$427=0,0,IF(OR(DATE($C456,11,15)&lt;$S$427,AND($T$427&gt;0,DATE($C456,11,15)&gt;$T$427)),0,IF(DATE($C456,11,15)&gt;=$X$427,$AA$427*(1+($U$427)/100)^MAX(0,$C456-$AD$427),IF(DATE($C456,11,15)&gt;=$W$427,$Z$427*(1+($U$427)/100)^MAX(0,$C456-$AC$427),IF(DATE($C456,11,15)&gt;=$V$427,$Y$427*(1+($U$427)/100)^MAX(0,$C456-$AB$427),0)))))</f>
      </c>
      <c r="P456" s="43">
        <f>IF($S$427=0,0,IF(OR(DATE($C456,12,15)&lt;$S$427,AND($T$427&gt;0,DATE($C456,12,15)&gt;$T$427)),0,IF(DATE($C456,12,15)&gt;=$X$427,$AA$427*(1+($U$427)/100)^MAX(0,$C456-$AD$427),IF(DATE($C456,12,15)&gt;=$W$427,$Z$427*(1+($U$427)/100)^MAX(0,$C456-$AC$427),IF(DATE($C456,12,15)&gt;=$V$427,$Y$427*(1+($U$427)/100)^MAX(0,$C456-$AB$427),0)))))</f>
      </c>
      <c r="Q456" s="43">
        <f>SUM($E456:$P456)</f>
      </c>
    </row>
    <row r="457">
      <c r="A457"/>
      <c r="B457">
        <v>14</v>
      </c>
      <c r="C457" s="43">
        <f>Jahr+30</f>
      </c>
      <c r="D457" s="43">
        <f>INDEX(MvObj,14)</f>
      </c>
      <c r="E457" s="43">
        <f>IF($S$427=0,0,IF(OR(DATE($C457,1,15)&lt;$S$427,AND($T$427&gt;0,DATE($C457,1,15)&gt;$T$427)),0,IF(DATE($C457,1,15)&gt;=$X$427,$AA$427*(1+($U$427)/100)^MAX(0,$C457-$AD$427),IF(DATE($C457,1,15)&gt;=$W$427,$Z$427*(1+($U$427)/100)^MAX(0,$C457-$AC$427),IF(DATE($C457,1,15)&gt;=$V$427,$Y$427*(1+($U$427)/100)^MAX(0,$C457-$AB$427),0)))))</f>
      </c>
      <c r="F457" s="43">
        <f>IF($S$427=0,0,IF(OR(DATE($C457,2,15)&lt;$S$427,AND($T$427&gt;0,DATE($C457,2,15)&gt;$T$427)),0,IF(DATE($C457,2,15)&gt;=$X$427,$AA$427*(1+($U$427)/100)^MAX(0,$C457-$AD$427),IF(DATE($C457,2,15)&gt;=$W$427,$Z$427*(1+($U$427)/100)^MAX(0,$C457-$AC$427),IF(DATE($C457,2,15)&gt;=$V$427,$Y$427*(1+($U$427)/100)^MAX(0,$C457-$AB$427),0)))))</f>
      </c>
      <c r="G457" s="43">
        <f>IF($S$427=0,0,IF(OR(DATE($C457,3,15)&lt;$S$427,AND($T$427&gt;0,DATE($C457,3,15)&gt;$T$427)),0,IF(DATE($C457,3,15)&gt;=$X$427,$AA$427*(1+($U$427)/100)^MAX(0,$C457-$AD$427),IF(DATE($C457,3,15)&gt;=$W$427,$Z$427*(1+($U$427)/100)^MAX(0,$C457-$AC$427),IF(DATE($C457,3,15)&gt;=$V$427,$Y$427*(1+($U$427)/100)^MAX(0,$C457-$AB$427),0)))))</f>
      </c>
      <c r="H457" s="43">
        <f>IF($S$427=0,0,IF(OR(DATE($C457,4,15)&lt;$S$427,AND($T$427&gt;0,DATE($C457,4,15)&gt;$T$427)),0,IF(DATE($C457,4,15)&gt;=$X$427,$AA$427*(1+($U$427)/100)^MAX(0,$C457-$AD$427),IF(DATE($C457,4,15)&gt;=$W$427,$Z$427*(1+($U$427)/100)^MAX(0,$C457-$AC$427),IF(DATE($C457,4,15)&gt;=$V$427,$Y$427*(1+($U$427)/100)^MAX(0,$C457-$AB$427),0)))))</f>
      </c>
      <c r="I457" s="43">
        <f>IF($S$427=0,0,IF(OR(DATE($C457,5,15)&lt;$S$427,AND($T$427&gt;0,DATE($C457,5,15)&gt;$T$427)),0,IF(DATE($C457,5,15)&gt;=$X$427,$AA$427*(1+($U$427)/100)^MAX(0,$C457-$AD$427),IF(DATE($C457,5,15)&gt;=$W$427,$Z$427*(1+($U$427)/100)^MAX(0,$C457-$AC$427),IF(DATE($C457,5,15)&gt;=$V$427,$Y$427*(1+($U$427)/100)^MAX(0,$C457-$AB$427),0)))))</f>
      </c>
      <c r="J457" s="43">
        <f>IF($S$427=0,0,IF(OR(DATE($C457,6,15)&lt;$S$427,AND($T$427&gt;0,DATE($C457,6,15)&gt;$T$427)),0,IF(DATE($C457,6,15)&gt;=$X$427,$AA$427*(1+($U$427)/100)^MAX(0,$C457-$AD$427),IF(DATE($C457,6,15)&gt;=$W$427,$Z$427*(1+($U$427)/100)^MAX(0,$C457-$AC$427),IF(DATE($C457,6,15)&gt;=$V$427,$Y$427*(1+($U$427)/100)^MAX(0,$C457-$AB$427),0)))))</f>
      </c>
      <c r="K457" s="43">
        <f>IF($S$427=0,0,IF(OR(DATE($C457,7,15)&lt;$S$427,AND($T$427&gt;0,DATE($C457,7,15)&gt;$T$427)),0,IF(DATE($C457,7,15)&gt;=$X$427,$AA$427*(1+($U$427)/100)^MAX(0,$C457-$AD$427),IF(DATE($C457,7,15)&gt;=$W$427,$Z$427*(1+($U$427)/100)^MAX(0,$C457-$AC$427),IF(DATE($C457,7,15)&gt;=$V$427,$Y$427*(1+($U$427)/100)^MAX(0,$C457-$AB$427),0)))))</f>
      </c>
      <c r="L457" s="43">
        <f>IF($S$427=0,0,IF(OR(DATE($C457,8,15)&lt;$S$427,AND($T$427&gt;0,DATE($C457,8,15)&gt;$T$427)),0,IF(DATE($C457,8,15)&gt;=$X$427,$AA$427*(1+($U$427)/100)^MAX(0,$C457-$AD$427),IF(DATE($C457,8,15)&gt;=$W$427,$Z$427*(1+($U$427)/100)^MAX(0,$C457-$AC$427),IF(DATE($C457,8,15)&gt;=$V$427,$Y$427*(1+($U$427)/100)^MAX(0,$C457-$AB$427),0)))))</f>
      </c>
      <c r="M457" s="43">
        <f>IF($S$427=0,0,IF(OR(DATE($C457,9,15)&lt;$S$427,AND($T$427&gt;0,DATE($C457,9,15)&gt;$T$427)),0,IF(DATE($C457,9,15)&gt;=$X$427,$AA$427*(1+($U$427)/100)^MAX(0,$C457-$AD$427),IF(DATE($C457,9,15)&gt;=$W$427,$Z$427*(1+($U$427)/100)^MAX(0,$C457-$AC$427),IF(DATE($C457,9,15)&gt;=$V$427,$Y$427*(1+($U$427)/100)^MAX(0,$C457-$AB$427),0)))))</f>
      </c>
      <c r="N457" s="43">
        <f>IF($S$427=0,0,IF(OR(DATE($C457,10,15)&lt;$S$427,AND($T$427&gt;0,DATE($C457,10,15)&gt;$T$427)),0,IF(DATE($C457,10,15)&gt;=$X$427,$AA$427*(1+($U$427)/100)^MAX(0,$C457-$AD$427),IF(DATE($C457,10,15)&gt;=$W$427,$Z$427*(1+($U$427)/100)^MAX(0,$C457-$AC$427),IF(DATE($C457,10,15)&gt;=$V$427,$Y$427*(1+($U$427)/100)^MAX(0,$C457-$AB$427),0)))))</f>
      </c>
      <c r="O457" s="43">
        <f>IF($S$427=0,0,IF(OR(DATE($C457,11,15)&lt;$S$427,AND($T$427&gt;0,DATE($C457,11,15)&gt;$T$427)),0,IF(DATE($C457,11,15)&gt;=$X$427,$AA$427*(1+($U$427)/100)^MAX(0,$C457-$AD$427),IF(DATE($C457,11,15)&gt;=$W$427,$Z$427*(1+($U$427)/100)^MAX(0,$C457-$AC$427),IF(DATE($C457,11,15)&gt;=$V$427,$Y$427*(1+($U$427)/100)^MAX(0,$C457-$AB$427),0)))))</f>
      </c>
      <c r="P457" s="43">
        <f>IF($S$427=0,0,IF(OR(DATE($C457,12,15)&lt;$S$427,AND($T$427&gt;0,DATE($C457,12,15)&gt;$T$427)),0,IF(DATE($C457,12,15)&gt;=$X$427,$AA$427*(1+($U$427)/100)^MAX(0,$C457-$AD$427),IF(DATE($C457,12,15)&gt;=$W$427,$Z$427*(1+($U$427)/100)^MAX(0,$C457-$AC$427),IF(DATE($C457,12,15)&gt;=$V$427,$Y$427*(1+($U$427)/100)^MAX(0,$C457-$AB$427),0)))))</f>
      </c>
      <c r="Q457" s="43">
        <f>SUM($E457:$P457)</f>
      </c>
    </row>
    <row r="458">
      <c r="A458"/>
      <c r="B458">
        <v>15</v>
      </c>
      <c r="C458" s="43">
        <f>Jahr+0</f>
      </c>
      <c r="D458" s="43">
        <f>INDEX(MvObj,15)</f>
      </c>
      <c r="E458" s="43">
        <f>IF($S$458=0,0,IF(OR(DATE($C458,1,15)&lt;$S$458,AND($T$458&gt;0,DATE($C458,1,15)&gt;$T$458)),0,IF(DATE($C458,1,15)&gt;=$X$458,$AA$458*(1+($U$458)/100)^MAX(0,$C458-$AD$458),IF(DATE($C458,1,15)&gt;=$W$458,$Z$458*(1+($U$458)/100)^MAX(0,$C458-$AC$458),IF(DATE($C458,1,15)&gt;=$V$458,$Y$458*(1+($U$458)/100)^MAX(0,$C458-$AB$458),0)))))</f>
      </c>
      <c r="F458" s="43">
        <f>IF($S$458=0,0,IF(OR(DATE($C458,2,15)&lt;$S$458,AND($T$458&gt;0,DATE($C458,2,15)&gt;$T$458)),0,IF(DATE($C458,2,15)&gt;=$X$458,$AA$458*(1+($U$458)/100)^MAX(0,$C458-$AD$458),IF(DATE($C458,2,15)&gt;=$W$458,$Z$458*(1+($U$458)/100)^MAX(0,$C458-$AC$458),IF(DATE($C458,2,15)&gt;=$V$458,$Y$458*(1+($U$458)/100)^MAX(0,$C458-$AB$458),0)))))</f>
      </c>
      <c r="G458" s="43">
        <f>IF($S$458=0,0,IF(OR(DATE($C458,3,15)&lt;$S$458,AND($T$458&gt;0,DATE($C458,3,15)&gt;$T$458)),0,IF(DATE($C458,3,15)&gt;=$X$458,$AA$458*(1+($U$458)/100)^MAX(0,$C458-$AD$458),IF(DATE($C458,3,15)&gt;=$W$458,$Z$458*(1+($U$458)/100)^MAX(0,$C458-$AC$458),IF(DATE($C458,3,15)&gt;=$V$458,$Y$458*(1+($U$458)/100)^MAX(0,$C458-$AB$458),0)))))</f>
      </c>
      <c r="H458" s="43">
        <f>IF($S$458=0,0,IF(OR(DATE($C458,4,15)&lt;$S$458,AND($T$458&gt;0,DATE($C458,4,15)&gt;$T$458)),0,IF(DATE($C458,4,15)&gt;=$X$458,$AA$458*(1+($U$458)/100)^MAX(0,$C458-$AD$458),IF(DATE($C458,4,15)&gt;=$W$458,$Z$458*(1+($U$458)/100)^MAX(0,$C458-$AC$458),IF(DATE($C458,4,15)&gt;=$V$458,$Y$458*(1+($U$458)/100)^MAX(0,$C458-$AB$458),0)))))</f>
      </c>
      <c r="I458" s="43">
        <f>IF($S$458=0,0,IF(OR(DATE($C458,5,15)&lt;$S$458,AND($T$458&gt;0,DATE($C458,5,15)&gt;$T$458)),0,IF(DATE($C458,5,15)&gt;=$X$458,$AA$458*(1+($U$458)/100)^MAX(0,$C458-$AD$458),IF(DATE($C458,5,15)&gt;=$W$458,$Z$458*(1+($U$458)/100)^MAX(0,$C458-$AC$458),IF(DATE($C458,5,15)&gt;=$V$458,$Y$458*(1+($U$458)/100)^MAX(0,$C458-$AB$458),0)))))</f>
      </c>
      <c r="J458" s="43">
        <f>IF($S$458=0,0,IF(OR(DATE($C458,6,15)&lt;$S$458,AND($T$458&gt;0,DATE($C458,6,15)&gt;$T$458)),0,IF(DATE($C458,6,15)&gt;=$X$458,$AA$458*(1+($U$458)/100)^MAX(0,$C458-$AD$458),IF(DATE($C458,6,15)&gt;=$W$458,$Z$458*(1+($U$458)/100)^MAX(0,$C458-$AC$458),IF(DATE($C458,6,15)&gt;=$V$458,$Y$458*(1+($U$458)/100)^MAX(0,$C458-$AB$458),0)))))</f>
      </c>
      <c r="K458" s="43">
        <f>IF($S$458=0,0,IF(OR(DATE($C458,7,15)&lt;$S$458,AND($T$458&gt;0,DATE($C458,7,15)&gt;$T$458)),0,IF(DATE($C458,7,15)&gt;=$X$458,$AA$458*(1+($U$458)/100)^MAX(0,$C458-$AD$458),IF(DATE($C458,7,15)&gt;=$W$458,$Z$458*(1+($U$458)/100)^MAX(0,$C458-$AC$458),IF(DATE($C458,7,15)&gt;=$V$458,$Y$458*(1+($U$458)/100)^MAX(0,$C458-$AB$458),0)))))</f>
      </c>
      <c r="L458" s="43">
        <f>IF($S$458=0,0,IF(OR(DATE($C458,8,15)&lt;$S$458,AND($T$458&gt;0,DATE($C458,8,15)&gt;$T$458)),0,IF(DATE($C458,8,15)&gt;=$X$458,$AA$458*(1+($U$458)/100)^MAX(0,$C458-$AD$458),IF(DATE($C458,8,15)&gt;=$W$458,$Z$458*(1+($U$458)/100)^MAX(0,$C458-$AC$458),IF(DATE($C458,8,15)&gt;=$V$458,$Y$458*(1+($U$458)/100)^MAX(0,$C458-$AB$458),0)))))</f>
      </c>
      <c r="M458" s="43">
        <f>IF($S$458=0,0,IF(OR(DATE($C458,9,15)&lt;$S$458,AND($T$458&gt;0,DATE($C458,9,15)&gt;$T$458)),0,IF(DATE($C458,9,15)&gt;=$X$458,$AA$458*(1+($U$458)/100)^MAX(0,$C458-$AD$458),IF(DATE($C458,9,15)&gt;=$W$458,$Z$458*(1+($U$458)/100)^MAX(0,$C458-$AC$458),IF(DATE($C458,9,15)&gt;=$V$458,$Y$458*(1+($U$458)/100)^MAX(0,$C458-$AB$458),0)))))</f>
      </c>
      <c r="N458" s="43">
        <f>IF($S$458=0,0,IF(OR(DATE($C458,10,15)&lt;$S$458,AND($T$458&gt;0,DATE($C458,10,15)&gt;$T$458)),0,IF(DATE($C458,10,15)&gt;=$X$458,$AA$458*(1+($U$458)/100)^MAX(0,$C458-$AD$458),IF(DATE($C458,10,15)&gt;=$W$458,$Z$458*(1+($U$458)/100)^MAX(0,$C458-$AC$458),IF(DATE($C458,10,15)&gt;=$V$458,$Y$458*(1+($U$458)/100)^MAX(0,$C458-$AB$458),0)))))</f>
      </c>
      <c r="O458" s="43">
        <f>IF($S$458=0,0,IF(OR(DATE($C458,11,15)&lt;$S$458,AND($T$458&gt;0,DATE($C458,11,15)&gt;$T$458)),0,IF(DATE($C458,11,15)&gt;=$X$458,$AA$458*(1+($U$458)/100)^MAX(0,$C458-$AD$458),IF(DATE($C458,11,15)&gt;=$W$458,$Z$458*(1+($U$458)/100)^MAX(0,$C458-$AC$458),IF(DATE($C458,11,15)&gt;=$V$458,$Y$458*(1+($U$458)/100)^MAX(0,$C458-$AB$458),0)))))</f>
      </c>
      <c r="P458" s="43">
        <f>IF($S$458=0,0,IF(OR(DATE($C458,12,15)&lt;$S$458,AND($T$458&gt;0,DATE($C458,12,15)&gt;$T$458)),0,IF(DATE($C458,12,15)&gt;=$X$458,$AA$458*(1+($U$458)/100)^MAX(0,$C458-$AD$458),IF(DATE($C458,12,15)&gt;=$W$458,$Z$458*(1+($U$458)/100)^MAX(0,$C458-$AC$458),IF(DATE($C458,12,15)&gt;=$V$458,$Y$458*(1+($U$458)/100)^MAX(0,$C458-$AB$458),0)))))</f>
      </c>
      <c r="Q458" s="43">
        <f>SUM($E458:$P458)</f>
      </c>
      <c r="R458"/>
      <c r="S458" s="43">
        <f>IF(INDEX(MvBeginn,15)="",0,INDEX(MvBeginn,15))</f>
      </c>
      <c r="T458" s="43">
        <f>INDEX(MvEnde,15)</f>
      </c>
      <c r="U458" s="43">
        <f>INDEX(MvSatz,15)</f>
      </c>
      <c r="V458" s="43">
        <f>INDEX(MvKey1,15)</f>
      </c>
      <c r="W458" s="43">
        <f>INDEX(MvKey2,15)</f>
      </c>
      <c r="X458" s="43">
        <f>INDEX(MvKey3,15)</f>
      </c>
      <c r="Y458" s="43">
        <f>INDEX(MvKalt1,15)</f>
      </c>
      <c r="Z458" s="43">
        <f>INDEX(MvKalt2,15)</f>
      </c>
      <c r="AA458" s="43">
        <f>INDEX(MvKalt3,15)</f>
      </c>
      <c r="AB458" s="43">
        <f>MAX(YEAR(INDEX(MvAb1,15)),Jahr)</f>
      </c>
      <c r="AC458" s="43">
        <f>MAX(YEAR(INDEX(MvAb2,15)),Jahr)</f>
      </c>
      <c r="AD458" s="43">
        <f>MAX(YEAR(INDEX(MvAb3,15)),Jahr)</f>
      </c>
    </row>
    <row r="459">
      <c r="A459"/>
      <c r="B459">
        <v>15</v>
      </c>
      <c r="C459" s="43">
        <f>Jahr+1</f>
      </c>
      <c r="D459" s="43">
        <f>INDEX(MvObj,15)</f>
      </c>
      <c r="E459" s="43">
        <f>IF($S$458=0,0,IF(OR(DATE($C459,1,15)&lt;$S$458,AND($T$458&gt;0,DATE($C459,1,15)&gt;$T$458)),0,IF(DATE($C459,1,15)&gt;=$X$458,$AA$458*(1+($U$458)/100)^MAX(0,$C459-$AD$458),IF(DATE($C459,1,15)&gt;=$W$458,$Z$458*(1+($U$458)/100)^MAX(0,$C459-$AC$458),IF(DATE($C459,1,15)&gt;=$V$458,$Y$458*(1+($U$458)/100)^MAX(0,$C459-$AB$458),0)))))</f>
      </c>
      <c r="F459" s="43">
        <f>IF($S$458=0,0,IF(OR(DATE($C459,2,15)&lt;$S$458,AND($T$458&gt;0,DATE($C459,2,15)&gt;$T$458)),0,IF(DATE($C459,2,15)&gt;=$X$458,$AA$458*(1+($U$458)/100)^MAX(0,$C459-$AD$458),IF(DATE($C459,2,15)&gt;=$W$458,$Z$458*(1+($U$458)/100)^MAX(0,$C459-$AC$458),IF(DATE($C459,2,15)&gt;=$V$458,$Y$458*(1+($U$458)/100)^MAX(0,$C459-$AB$458),0)))))</f>
      </c>
      <c r="G459" s="43">
        <f>IF($S$458=0,0,IF(OR(DATE($C459,3,15)&lt;$S$458,AND($T$458&gt;0,DATE($C459,3,15)&gt;$T$458)),0,IF(DATE($C459,3,15)&gt;=$X$458,$AA$458*(1+($U$458)/100)^MAX(0,$C459-$AD$458),IF(DATE($C459,3,15)&gt;=$W$458,$Z$458*(1+($U$458)/100)^MAX(0,$C459-$AC$458),IF(DATE($C459,3,15)&gt;=$V$458,$Y$458*(1+($U$458)/100)^MAX(0,$C459-$AB$458),0)))))</f>
      </c>
      <c r="H459" s="43">
        <f>IF($S$458=0,0,IF(OR(DATE($C459,4,15)&lt;$S$458,AND($T$458&gt;0,DATE($C459,4,15)&gt;$T$458)),0,IF(DATE($C459,4,15)&gt;=$X$458,$AA$458*(1+($U$458)/100)^MAX(0,$C459-$AD$458),IF(DATE($C459,4,15)&gt;=$W$458,$Z$458*(1+($U$458)/100)^MAX(0,$C459-$AC$458),IF(DATE($C459,4,15)&gt;=$V$458,$Y$458*(1+($U$458)/100)^MAX(0,$C459-$AB$458),0)))))</f>
      </c>
      <c r="I459" s="43">
        <f>IF($S$458=0,0,IF(OR(DATE($C459,5,15)&lt;$S$458,AND($T$458&gt;0,DATE($C459,5,15)&gt;$T$458)),0,IF(DATE($C459,5,15)&gt;=$X$458,$AA$458*(1+($U$458)/100)^MAX(0,$C459-$AD$458),IF(DATE($C459,5,15)&gt;=$W$458,$Z$458*(1+($U$458)/100)^MAX(0,$C459-$AC$458),IF(DATE($C459,5,15)&gt;=$V$458,$Y$458*(1+($U$458)/100)^MAX(0,$C459-$AB$458),0)))))</f>
      </c>
      <c r="J459" s="43">
        <f>IF($S$458=0,0,IF(OR(DATE($C459,6,15)&lt;$S$458,AND($T$458&gt;0,DATE($C459,6,15)&gt;$T$458)),0,IF(DATE($C459,6,15)&gt;=$X$458,$AA$458*(1+($U$458)/100)^MAX(0,$C459-$AD$458),IF(DATE($C459,6,15)&gt;=$W$458,$Z$458*(1+($U$458)/100)^MAX(0,$C459-$AC$458),IF(DATE($C459,6,15)&gt;=$V$458,$Y$458*(1+($U$458)/100)^MAX(0,$C459-$AB$458),0)))))</f>
      </c>
      <c r="K459" s="43">
        <f>IF($S$458=0,0,IF(OR(DATE($C459,7,15)&lt;$S$458,AND($T$458&gt;0,DATE($C459,7,15)&gt;$T$458)),0,IF(DATE($C459,7,15)&gt;=$X$458,$AA$458*(1+($U$458)/100)^MAX(0,$C459-$AD$458),IF(DATE($C459,7,15)&gt;=$W$458,$Z$458*(1+($U$458)/100)^MAX(0,$C459-$AC$458),IF(DATE($C459,7,15)&gt;=$V$458,$Y$458*(1+($U$458)/100)^MAX(0,$C459-$AB$458),0)))))</f>
      </c>
      <c r="L459" s="43">
        <f>IF($S$458=0,0,IF(OR(DATE($C459,8,15)&lt;$S$458,AND($T$458&gt;0,DATE($C459,8,15)&gt;$T$458)),0,IF(DATE($C459,8,15)&gt;=$X$458,$AA$458*(1+($U$458)/100)^MAX(0,$C459-$AD$458),IF(DATE($C459,8,15)&gt;=$W$458,$Z$458*(1+($U$458)/100)^MAX(0,$C459-$AC$458),IF(DATE($C459,8,15)&gt;=$V$458,$Y$458*(1+($U$458)/100)^MAX(0,$C459-$AB$458),0)))))</f>
      </c>
      <c r="M459" s="43">
        <f>IF($S$458=0,0,IF(OR(DATE($C459,9,15)&lt;$S$458,AND($T$458&gt;0,DATE($C459,9,15)&gt;$T$458)),0,IF(DATE($C459,9,15)&gt;=$X$458,$AA$458*(1+($U$458)/100)^MAX(0,$C459-$AD$458),IF(DATE($C459,9,15)&gt;=$W$458,$Z$458*(1+($U$458)/100)^MAX(0,$C459-$AC$458),IF(DATE($C459,9,15)&gt;=$V$458,$Y$458*(1+($U$458)/100)^MAX(0,$C459-$AB$458),0)))))</f>
      </c>
      <c r="N459" s="43">
        <f>IF($S$458=0,0,IF(OR(DATE($C459,10,15)&lt;$S$458,AND($T$458&gt;0,DATE($C459,10,15)&gt;$T$458)),0,IF(DATE($C459,10,15)&gt;=$X$458,$AA$458*(1+($U$458)/100)^MAX(0,$C459-$AD$458),IF(DATE($C459,10,15)&gt;=$W$458,$Z$458*(1+($U$458)/100)^MAX(0,$C459-$AC$458),IF(DATE($C459,10,15)&gt;=$V$458,$Y$458*(1+($U$458)/100)^MAX(0,$C459-$AB$458),0)))))</f>
      </c>
      <c r="O459" s="43">
        <f>IF($S$458=0,0,IF(OR(DATE($C459,11,15)&lt;$S$458,AND($T$458&gt;0,DATE($C459,11,15)&gt;$T$458)),0,IF(DATE($C459,11,15)&gt;=$X$458,$AA$458*(1+($U$458)/100)^MAX(0,$C459-$AD$458),IF(DATE($C459,11,15)&gt;=$W$458,$Z$458*(1+($U$458)/100)^MAX(0,$C459-$AC$458),IF(DATE($C459,11,15)&gt;=$V$458,$Y$458*(1+($U$458)/100)^MAX(0,$C459-$AB$458),0)))))</f>
      </c>
      <c r="P459" s="43">
        <f>IF($S$458=0,0,IF(OR(DATE($C459,12,15)&lt;$S$458,AND($T$458&gt;0,DATE($C459,12,15)&gt;$T$458)),0,IF(DATE($C459,12,15)&gt;=$X$458,$AA$458*(1+($U$458)/100)^MAX(0,$C459-$AD$458),IF(DATE($C459,12,15)&gt;=$W$458,$Z$458*(1+($U$458)/100)^MAX(0,$C459-$AC$458),IF(DATE($C459,12,15)&gt;=$V$458,$Y$458*(1+($U$458)/100)^MAX(0,$C459-$AB$458),0)))))</f>
      </c>
      <c r="Q459" s="43">
        <f>SUM($E459:$P459)</f>
      </c>
    </row>
    <row r="460">
      <c r="A460"/>
      <c r="B460">
        <v>15</v>
      </c>
      <c r="C460" s="43">
        <f>Jahr+2</f>
      </c>
      <c r="D460" s="43">
        <f>INDEX(MvObj,15)</f>
      </c>
      <c r="E460" s="43">
        <f>IF($S$458=0,0,IF(OR(DATE($C460,1,15)&lt;$S$458,AND($T$458&gt;0,DATE($C460,1,15)&gt;$T$458)),0,IF(DATE($C460,1,15)&gt;=$X$458,$AA$458*(1+($U$458)/100)^MAX(0,$C460-$AD$458),IF(DATE($C460,1,15)&gt;=$W$458,$Z$458*(1+($U$458)/100)^MAX(0,$C460-$AC$458),IF(DATE($C460,1,15)&gt;=$V$458,$Y$458*(1+($U$458)/100)^MAX(0,$C460-$AB$458),0)))))</f>
      </c>
      <c r="F460" s="43">
        <f>IF($S$458=0,0,IF(OR(DATE($C460,2,15)&lt;$S$458,AND($T$458&gt;0,DATE($C460,2,15)&gt;$T$458)),0,IF(DATE($C460,2,15)&gt;=$X$458,$AA$458*(1+($U$458)/100)^MAX(0,$C460-$AD$458),IF(DATE($C460,2,15)&gt;=$W$458,$Z$458*(1+($U$458)/100)^MAX(0,$C460-$AC$458),IF(DATE($C460,2,15)&gt;=$V$458,$Y$458*(1+($U$458)/100)^MAX(0,$C460-$AB$458),0)))))</f>
      </c>
      <c r="G460" s="43">
        <f>IF($S$458=0,0,IF(OR(DATE($C460,3,15)&lt;$S$458,AND($T$458&gt;0,DATE($C460,3,15)&gt;$T$458)),0,IF(DATE($C460,3,15)&gt;=$X$458,$AA$458*(1+($U$458)/100)^MAX(0,$C460-$AD$458),IF(DATE($C460,3,15)&gt;=$W$458,$Z$458*(1+($U$458)/100)^MAX(0,$C460-$AC$458),IF(DATE($C460,3,15)&gt;=$V$458,$Y$458*(1+($U$458)/100)^MAX(0,$C460-$AB$458),0)))))</f>
      </c>
      <c r="H460" s="43">
        <f>IF($S$458=0,0,IF(OR(DATE($C460,4,15)&lt;$S$458,AND($T$458&gt;0,DATE($C460,4,15)&gt;$T$458)),0,IF(DATE($C460,4,15)&gt;=$X$458,$AA$458*(1+($U$458)/100)^MAX(0,$C460-$AD$458),IF(DATE($C460,4,15)&gt;=$W$458,$Z$458*(1+($U$458)/100)^MAX(0,$C460-$AC$458),IF(DATE($C460,4,15)&gt;=$V$458,$Y$458*(1+($U$458)/100)^MAX(0,$C460-$AB$458),0)))))</f>
      </c>
      <c r="I460" s="43">
        <f>IF($S$458=0,0,IF(OR(DATE($C460,5,15)&lt;$S$458,AND($T$458&gt;0,DATE($C460,5,15)&gt;$T$458)),0,IF(DATE($C460,5,15)&gt;=$X$458,$AA$458*(1+($U$458)/100)^MAX(0,$C460-$AD$458),IF(DATE($C460,5,15)&gt;=$W$458,$Z$458*(1+($U$458)/100)^MAX(0,$C460-$AC$458),IF(DATE($C460,5,15)&gt;=$V$458,$Y$458*(1+($U$458)/100)^MAX(0,$C460-$AB$458),0)))))</f>
      </c>
      <c r="J460" s="43">
        <f>IF($S$458=0,0,IF(OR(DATE($C460,6,15)&lt;$S$458,AND($T$458&gt;0,DATE($C460,6,15)&gt;$T$458)),0,IF(DATE($C460,6,15)&gt;=$X$458,$AA$458*(1+($U$458)/100)^MAX(0,$C460-$AD$458),IF(DATE($C460,6,15)&gt;=$W$458,$Z$458*(1+($U$458)/100)^MAX(0,$C460-$AC$458),IF(DATE($C460,6,15)&gt;=$V$458,$Y$458*(1+($U$458)/100)^MAX(0,$C460-$AB$458),0)))))</f>
      </c>
      <c r="K460" s="43">
        <f>IF($S$458=0,0,IF(OR(DATE($C460,7,15)&lt;$S$458,AND($T$458&gt;0,DATE($C460,7,15)&gt;$T$458)),0,IF(DATE($C460,7,15)&gt;=$X$458,$AA$458*(1+($U$458)/100)^MAX(0,$C460-$AD$458),IF(DATE($C460,7,15)&gt;=$W$458,$Z$458*(1+($U$458)/100)^MAX(0,$C460-$AC$458),IF(DATE($C460,7,15)&gt;=$V$458,$Y$458*(1+($U$458)/100)^MAX(0,$C460-$AB$458),0)))))</f>
      </c>
      <c r="L460" s="43">
        <f>IF($S$458=0,0,IF(OR(DATE($C460,8,15)&lt;$S$458,AND($T$458&gt;0,DATE($C460,8,15)&gt;$T$458)),0,IF(DATE($C460,8,15)&gt;=$X$458,$AA$458*(1+($U$458)/100)^MAX(0,$C460-$AD$458),IF(DATE($C460,8,15)&gt;=$W$458,$Z$458*(1+($U$458)/100)^MAX(0,$C460-$AC$458),IF(DATE($C460,8,15)&gt;=$V$458,$Y$458*(1+($U$458)/100)^MAX(0,$C460-$AB$458),0)))))</f>
      </c>
      <c r="M460" s="43">
        <f>IF($S$458=0,0,IF(OR(DATE($C460,9,15)&lt;$S$458,AND($T$458&gt;0,DATE($C460,9,15)&gt;$T$458)),0,IF(DATE($C460,9,15)&gt;=$X$458,$AA$458*(1+($U$458)/100)^MAX(0,$C460-$AD$458),IF(DATE($C460,9,15)&gt;=$W$458,$Z$458*(1+($U$458)/100)^MAX(0,$C460-$AC$458),IF(DATE($C460,9,15)&gt;=$V$458,$Y$458*(1+($U$458)/100)^MAX(0,$C460-$AB$458),0)))))</f>
      </c>
      <c r="N460" s="43">
        <f>IF($S$458=0,0,IF(OR(DATE($C460,10,15)&lt;$S$458,AND($T$458&gt;0,DATE($C460,10,15)&gt;$T$458)),0,IF(DATE($C460,10,15)&gt;=$X$458,$AA$458*(1+($U$458)/100)^MAX(0,$C460-$AD$458),IF(DATE($C460,10,15)&gt;=$W$458,$Z$458*(1+($U$458)/100)^MAX(0,$C460-$AC$458),IF(DATE($C460,10,15)&gt;=$V$458,$Y$458*(1+($U$458)/100)^MAX(0,$C460-$AB$458),0)))))</f>
      </c>
      <c r="O460" s="43">
        <f>IF($S$458=0,0,IF(OR(DATE($C460,11,15)&lt;$S$458,AND($T$458&gt;0,DATE($C460,11,15)&gt;$T$458)),0,IF(DATE($C460,11,15)&gt;=$X$458,$AA$458*(1+($U$458)/100)^MAX(0,$C460-$AD$458),IF(DATE($C460,11,15)&gt;=$W$458,$Z$458*(1+($U$458)/100)^MAX(0,$C460-$AC$458),IF(DATE($C460,11,15)&gt;=$V$458,$Y$458*(1+($U$458)/100)^MAX(0,$C460-$AB$458),0)))))</f>
      </c>
      <c r="P460" s="43">
        <f>IF($S$458=0,0,IF(OR(DATE($C460,12,15)&lt;$S$458,AND($T$458&gt;0,DATE($C460,12,15)&gt;$T$458)),0,IF(DATE($C460,12,15)&gt;=$X$458,$AA$458*(1+($U$458)/100)^MAX(0,$C460-$AD$458),IF(DATE($C460,12,15)&gt;=$W$458,$Z$458*(1+($U$458)/100)^MAX(0,$C460-$AC$458),IF(DATE($C460,12,15)&gt;=$V$458,$Y$458*(1+($U$458)/100)^MAX(0,$C460-$AB$458),0)))))</f>
      </c>
      <c r="Q460" s="43">
        <f>SUM($E460:$P460)</f>
      </c>
    </row>
    <row r="461">
      <c r="A461"/>
      <c r="B461">
        <v>15</v>
      </c>
      <c r="C461" s="43">
        <f>Jahr+3</f>
      </c>
      <c r="D461" s="43">
        <f>INDEX(MvObj,15)</f>
      </c>
      <c r="E461" s="43">
        <f>IF($S$458=0,0,IF(OR(DATE($C461,1,15)&lt;$S$458,AND($T$458&gt;0,DATE($C461,1,15)&gt;$T$458)),0,IF(DATE($C461,1,15)&gt;=$X$458,$AA$458*(1+($U$458)/100)^MAX(0,$C461-$AD$458),IF(DATE($C461,1,15)&gt;=$W$458,$Z$458*(1+($U$458)/100)^MAX(0,$C461-$AC$458),IF(DATE($C461,1,15)&gt;=$V$458,$Y$458*(1+($U$458)/100)^MAX(0,$C461-$AB$458),0)))))</f>
      </c>
      <c r="F461" s="43">
        <f>IF($S$458=0,0,IF(OR(DATE($C461,2,15)&lt;$S$458,AND($T$458&gt;0,DATE($C461,2,15)&gt;$T$458)),0,IF(DATE($C461,2,15)&gt;=$X$458,$AA$458*(1+($U$458)/100)^MAX(0,$C461-$AD$458),IF(DATE($C461,2,15)&gt;=$W$458,$Z$458*(1+($U$458)/100)^MAX(0,$C461-$AC$458),IF(DATE($C461,2,15)&gt;=$V$458,$Y$458*(1+($U$458)/100)^MAX(0,$C461-$AB$458),0)))))</f>
      </c>
      <c r="G461" s="43">
        <f>IF($S$458=0,0,IF(OR(DATE($C461,3,15)&lt;$S$458,AND($T$458&gt;0,DATE($C461,3,15)&gt;$T$458)),0,IF(DATE($C461,3,15)&gt;=$X$458,$AA$458*(1+($U$458)/100)^MAX(0,$C461-$AD$458),IF(DATE($C461,3,15)&gt;=$W$458,$Z$458*(1+($U$458)/100)^MAX(0,$C461-$AC$458),IF(DATE($C461,3,15)&gt;=$V$458,$Y$458*(1+($U$458)/100)^MAX(0,$C461-$AB$458),0)))))</f>
      </c>
      <c r="H461" s="43">
        <f>IF($S$458=0,0,IF(OR(DATE($C461,4,15)&lt;$S$458,AND($T$458&gt;0,DATE($C461,4,15)&gt;$T$458)),0,IF(DATE($C461,4,15)&gt;=$X$458,$AA$458*(1+($U$458)/100)^MAX(0,$C461-$AD$458),IF(DATE($C461,4,15)&gt;=$W$458,$Z$458*(1+($U$458)/100)^MAX(0,$C461-$AC$458),IF(DATE($C461,4,15)&gt;=$V$458,$Y$458*(1+($U$458)/100)^MAX(0,$C461-$AB$458),0)))))</f>
      </c>
      <c r="I461" s="43">
        <f>IF($S$458=0,0,IF(OR(DATE($C461,5,15)&lt;$S$458,AND($T$458&gt;0,DATE($C461,5,15)&gt;$T$458)),0,IF(DATE($C461,5,15)&gt;=$X$458,$AA$458*(1+($U$458)/100)^MAX(0,$C461-$AD$458),IF(DATE($C461,5,15)&gt;=$W$458,$Z$458*(1+($U$458)/100)^MAX(0,$C461-$AC$458),IF(DATE($C461,5,15)&gt;=$V$458,$Y$458*(1+($U$458)/100)^MAX(0,$C461-$AB$458),0)))))</f>
      </c>
      <c r="J461" s="43">
        <f>IF($S$458=0,0,IF(OR(DATE($C461,6,15)&lt;$S$458,AND($T$458&gt;0,DATE($C461,6,15)&gt;$T$458)),0,IF(DATE($C461,6,15)&gt;=$X$458,$AA$458*(1+($U$458)/100)^MAX(0,$C461-$AD$458),IF(DATE($C461,6,15)&gt;=$W$458,$Z$458*(1+($U$458)/100)^MAX(0,$C461-$AC$458),IF(DATE($C461,6,15)&gt;=$V$458,$Y$458*(1+($U$458)/100)^MAX(0,$C461-$AB$458),0)))))</f>
      </c>
      <c r="K461" s="43">
        <f>IF($S$458=0,0,IF(OR(DATE($C461,7,15)&lt;$S$458,AND($T$458&gt;0,DATE($C461,7,15)&gt;$T$458)),0,IF(DATE($C461,7,15)&gt;=$X$458,$AA$458*(1+($U$458)/100)^MAX(0,$C461-$AD$458),IF(DATE($C461,7,15)&gt;=$W$458,$Z$458*(1+($U$458)/100)^MAX(0,$C461-$AC$458),IF(DATE($C461,7,15)&gt;=$V$458,$Y$458*(1+($U$458)/100)^MAX(0,$C461-$AB$458),0)))))</f>
      </c>
      <c r="L461" s="43">
        <f>IF($S$458=0,0,IF(OR(DATE($C461,8,15)&lt;$S$458,AND($T$458&gt;0,DATE($C461,8,15)&gt;$T$458)),0,IF(DATE($C461,8,15)&gt;=$X$458,$AA$458*(1+($U$458)/100)^MAX(0,$C461-$AD$458),IF(DATE($C461,8,15)&gt;=$W$458,$Z$458*(1+($U$458)/100)^MAX(0,$C461-$AC$458),IF(DATE($C461,8,15)&gt;=$V$458,$Y$458*(1+($U$458)/100)^MAX(0,$C461-$AB$458),0)))))</f>
      </c>
      <c r="M461" s="43">
        <f>IF($S$458=0,0,IF(OR(DATE($C461,9,15)&lt;$S$458,AND($T$458&gt;0,DATE($C461,9,15)&gt;$T$458)),0,IF(DATE($C461,9,15)&gt;=$X$458,$AA$458*(1+($U$458)/100)^MAX(0,$C461-$AD$458),IF(DATE($C461,9,15)&gt;=$W$458,$Z$458*(1+($U$458)/100)^MAX(0,$C461-$AC$458),IF(DATE($C461,9,15)&gt;=$V$458,$Y$458*(1+($U$458)/100)^MAX(0,$C461-$AB$458),0)))))</f>
      </c>
      <c r="N461" s="43">
        <f>IF($S$458=0,0,IF(OR(DATE($C461,10,15)&lt;$S$458,AND($T$458&gt;0,DATE($C461,10,15)&gt;$T$458)),0,IF(DATE($C461,10,15)&gt;=$X$458,$AA$458*(1+($U$458)/100)^MAX(0,$C461-$AD$458),IF(DATE($C461,10,15)&gt;=$W$458,$Z$458*(1+($U$458)/100)^MAX(0,$C461-$AC$458),IF(DATE($C461,10,15)&gt;=$V$458,$Y$458*(1+($U$458)/100)^MAX(0,$C461-$AB$458),0)))))</f>
      </c>
      <c r="O461" s="43">
        <f>IF($S$458=0,0,IF(OR(DATE($C461,11,15)&lt;$S$458,AND($T$458&gt;0,DATE($C461,11,15)&gt;$T$458)),0,IF(DATE($C461,11,15)&gt;=$X$458,$AA$458*(1+($U$458)/100)^MAX(0,$C461-$AD$458),IF(DATE($C461,11,15)&gt;=$W$458,$Z$458*(1+($U$458)/100)^MAX(0,$C461-$AC$458),IF(DATE($C461,11,15)&gt;=$V$458,$Y$458*(1+($U$458)/100)^MAX(0,$C461-$AB$458),0)))))</f>
      </c>
      <c r="P461" s="43">
        <f>IF($S$458=0,0,IF(OR(DATE($C461,12,15)&lt;$S$458,AND($T$458&gt;0,DATE($C461,12,15)&gt;$T$458)),0,IF(DATE($C461,12,15)&gt;=$X$458,$AA$458*(1+($U$458)/100)^MAX(0,$C461-$AD$458),IF(DATE($C461,12,15)&gt;=$W$458,$Z$458*(1+($U$458)/100)^MAX(0,$C461-$AC$458),IF(DATE($C461,12,15)&gt;=$V$458,$Y$458*(1+($U$458)/100)^MAX(0,$C461-$AB$458),0)))))</f>
      </c>
      <c r="Q461" s="43">
        <f>SUM($E461:$P461)</f>
      </c>
    </row>
    <row r="462">
      <c r="A462"/>
      <c r="B462">
        <v>15</v>
      </c>
      <c r="C462" s="43">
        <f>Jahr+4</f>
      </c>
      <c r="D462" s="43">
        <f>INDEX(MvObj,15)</f>
      </c>
      <c r="E462" s="43">
        <f>IF($S$458=0,0,IF(OR(DATE($C462,1,15)&lt;$S$458,AND($T$458&gt;0,DATE($C462,1,15)&gt;$T$458)),0,IF(DATE($C462,1,15)&gt;=$X$458,$AA$458*(1+($U$458)/100)^MAX(0,$C462-$AD$458),IF(DATE($C462,1,15)&gt;=$W$458,$Z$458*(1+($U$458)/100)^MAX(0,$C462-$AC$458),IF(DATE($C462,1,15)&gt;=$V$458,$Y$458*(1+($U$458)/100)^MAX(0,$C462-$AB$458),0)))))</f>
      </c>
      <c r="F462" s="43">
        <f>IF($S$458=0,0,IF(OR(DATE($C462,2,15)&lt;$S$458,AND($T$458&gt;0,DATE($C462,2,15)&gt;$T$458)),0,IF(DATE($C462,2,15)&gt;=$X$458,$AA$458*(1+($U$458)/100)^MAX(0,$C462-$AD$458),IF(DATE($C462,2,15)&gt;=$W$458,$Z$458*(1+($U$458)/100)^MAX(0,$C462-$AC$458),IF(DATE($C462,2,15)&gt;=$V$458,$Y$458*(1+($U$458)/100)^MAX(0,$C462-$AB$458),0)))))</f>
      </c>
      <c r="G462" s="43">
        <f>IF($S$458=0,0,IF(OR(DATE($C462,3,15)&lt;$S$458,AND($T$458&gt;0,DATE($C462,3,15)&gt;$T$458)),0,IF(DATE($C462,3,15)&gt;=$X$458,$AA$458*(1+($U$458)/100)^MAX(0,$C462-$AD$458),IF(DATE($C462,3,15)&gt;=$W$458,$Z$458*(1+($U$458)/100)^MAX(0,$C462-$AC$458),IF(DATE($C462,3,15)&gt;=$V$458,$Y$458*(1+($U$458)/100)^MAX(0,$C462-$AB$458),0)))))</f>
      </c>
      <c r="H462" s="43">
        <f>IF($S$458=0,0,IF(OR(DATE($C462,4,15)&lt;$S$458,AND($T$458&gt;0,DATE($C462,4,15)&gt;$T$458)),0,IF(DATE($C462,4,15)&gt;=$X$458,$AA$458*(1+($U$458)/100)^MAX(0,$C462-$AD$458),IF(DATE($C462,4,15)&gt;=$W$458,$Z$458*(1+($U$458)/100)^MAX(0,$C462-$AC$458),IF(DATE($C462,4,15)&gt;=$V$458,$Y$458*(1+($U$458)/100)^MAX(0,$C462-$AB$458),0)))))</f>
      </c>
      <c r="I462" s="43">
        <f>IF($S$458=0,0,IF(OR(DATE($C462,5,15)&lt;$S$458,AND($T$458&gt;0,DATE($C462,5,15)&gt;$T$458)),0,IF(DATE($C462,5,15)&gt;=$X$458,$AA$458*(1+($U$458)/100)^MAX(0,$C462-$AD$458),IF(DATE($C462,5,15)&gt;=$W$458,$Z$458*(1+($U$458)/100)^MAX(0,$C462-$AC$458),IF(DATE($C462,5,15)&gt;=$V$458,$Y$458*(1+($U$458)/100)^MAX(0,$C462-$AB$458),0)))))</f>
      </c>
      <c r="J462" s="43">
        <f>IF($S$458=0,0,IF(OR(DATE($C462,6,15)&lt;$S$458,AND($T$458&gt;0,DATE($C462,6,15)&gt;$T$458)),0,IF(DATE($C462,6,15)&gt;=$X$458,$AA$458*(1+($U$458)/100)^MAX(0,$C462-$AD$458),IF(DATE($C462,6,15)&gt;=$W$458,$Z$458*(1+($U$458)/100)^MAX(0,$C462-$AC$458),IF(DATE($C462,6,15)&gt;=$V$458,$Y$458*(1+($U$458)/100)^MAX(0,$C462-$AB$458),0)))))</f>
      </c>
      <c r="K462" s="43">
        <f>IF($S$458=0,0,IF(OR(DATE($C462,7,15)&lt;$S$458,AND($T$458&gt;0,DATE($C462,7,15)&gt;$T$458)),0,IF(DATE($C462,7,15)&gt;=$X$458,$AA$458*(1+($U$458)/100)^MAX(0,$C462-$AD$458),IF(DATE($C462,7,15)&gt;=$W$458,$Z$458*(1+($U$458)/100)^MAX(0,$C462-$AC$458),IF(DATE($C462,7,15)&gt;=$V$458,$Y$458*(1+($U$458)/100)^MAX(0,$C462-$AB$458),0)))))</f>
      </c>
      <c r="L462" s="43">
        <f>IF($S$458=0,0,IF(OR(DATE($C462,8,15)&lt;$S$458,AND($T$458&gt;0,DATE($C462,8,15)&gt;$T$458)),0,IF(DATE($C462,8,15)&gt;=$X$458,$AA$458*(1+($U$458)/100)^MAX(0,$C462-$AD$458),IF(DATE($C462,8,15)&gt;=$W$458,$Z$458*(1+($U$458)/100)^MAX(0,$C462-$AC$458),IF(DATE($C462,8,15)&gt;=$V$458,$Y$458*(1+($U$458)/100)^MAX(0,$C462-$AB$458),0)))))</f>
      </c>
      <c r="M462" s="43">
        <f>IF($S$458=0,0,IF(OR(DATE($C462,9,15)&lt;$S$458,AND($T$458&gt;0,DATE($C462,9,15)&gt;$T$458)),0,IF(DATE($C462,9,15)&gt;=$X$458,$AA$458*(1+($U$458)/100)^MAX(0,$C462-$AD$458),IF(DATE($C462,9,15)&gt;=$W$458,$Z$458*(1+($U$458)/100)^MAX(0,$C462-$AC$458),IF(DATE($C462,9,15)&gt;=$V$458,$Y$458*(1+($U$458)/100)^MAX(0,$C462-$AB$458),0)))))</f>
      </c>
      <c r="N462" s="43">
        <f>IF($S$458=0,0,IF(OR(DATE($C462,10,15)&lt;$S$458,AND($T$458&gt;0,DATE($C462,10,15)&gt;$T$458)),0,IF(DATE($C462,10,15)&gt;=$X$458,$AA$458*(1+($U$458)/100)^MAX(0,$C462-$AD$458),IF(DATE($C462,10,15)&gt;=$W$458,$Z$458*(1+($U$458)/100)^MAX(0,$C462-$AC$458),IF(DATE($C462,10,15)&gt;=$V$458,$Y$458*(1+($U$458)/100)^MAX(0,$C462-$AB$458),0)))))</f>
      </c>
      <c r="O462" s="43">
        <f>IF($S$458=0,0,IF(OR(DATE($C462,11,15)&lt;$S$458,AND($T$458&gt;0,DATE($C462,11,15)&gt;$T$458)),0,IF(DATE($C462,11,15)&gt;=$X$458,$AA$458*(1+($U$458)/100)^MAX(0,$C462-$AD$458),IF(DATE($C462,11,15)&gt;=$W$458,$Z$458*(1+($U$458)/100)^MAX(0,$C462-$AC$458),IF(DATE($C462,11,15)&gt;=$V$458,$Y$458*(1+($U$458)/100)^MAX(0,$C462-$AB$458),0)))))</f>
      </c>
      <c r="P462" s="43">
        <f>IF($S$458=0,0,IF(OR(DATE($C462,12,15)&lt;$S$458,AND($T$458&gt;0,DATE($C462,12,15)&gt;$T$458)),0,IF(DATE($C462,12,15)&gt;=$X$458,$AA$458*(1+($U$458)/100)^MAX(0,$C462-$AD$458),IF(DATE($C462,12,15)&gt;=$W$458,$Z$458*(1+($U$458)/100)^MAX(0,$C462-$AC$458),IF(DATE($C462,12,15)&gt;=$V$458,$Y$458*(1+($U$458)/100)^MAX(0,$C462-$AB$458),0)))))</f>
      </c>
      <c r="Q462" s="43">
        <f>SUM($E462:$P462)</f>
      </c>
    </row>
    <row r="463">
      <c r="A463"/>
      <c r="B463">
        <v>15</v>
      </c>
      <c r="C463" s="43">
        <f>Jahr+5</f>
      </c>
      <c r="D463" s="43">
        <f>INDEX(MvObj,15)</f>
      </c>
      <c r="E463" s="43">
        <f>IF($S$458=0,0,IF(OR(DATE($C463,1,15)&lt;$S$458,AND($T$458&gt;0,DATE($C463,1,15)&gt;$T$458)),0,IF(DATE($C463,1,15)&gt;=$X$458,$AA$458*(1+($U$458)/100)^MAX(0,$C463-$AD$458),IF(DATE($C463,1,15)&gt;=$W$458,$Z$458*(1+($U$458)/100)^MAX(0,$C463-$AC$458),IF(DATE($C463,1,15)&gt;=$V$458,$Y$458*(1+($U$458)/100)^MAX(0,$C463-$AB$458),0)))))</f>
      </c>
      <c r="F463" s="43">
        <f>IF($S$458=0,0,IF(OR(DATE($C463,2,15)&lt;$S$458,AND($T$458&gt;0,DATE($C463,2,15)&gt;$T$458)),0,IF(DATE($C463,2,15)&gt;=$X$458,$AA$458*(1+($U$458)/100)^MAX(0,$C463-$AD$458),IF(DATE($C463,2,15)&gt;=$W$458,$Z$458*(1+($U$458)/100)^MAX(0,$C463-$AC$458),IF(DATE($C463,2,15)&gt;=$V$458,$Y$458*(1+($U$458)/100)^MAX(0,$C463-$AB$458),0)))))</f>
      </c>
      <c r="G463" s="43">
        <f>IF($S$458=0,0,IF(OR(DATE($C463,3,15)&lt;$S$458,AND($T$458&gt;0,DATE($C463,3,15)&gt;$T$458)),0,IF(DATE($C463,3,15)&gt;=$X$458,$AA$458*(1+($U$458)/100)^MAX(0,$C463-$AD$458),IF(DATE($C463,3,15)&gt;=$W$458,$Z$458*(1+($U$458)/100)^MAX(0,$C463-$AC$458),IF(DATE($C463,3,15)&gt;=$V$458,$Y$458*(1+($U$458)/100)^MAX(0,$C463-$AB$458),0)))))</f>
      </c>
      <c r="H463" s="43">
        <f>IF($S$458=0,0,IF(OR(DATE($C463,4,15)&lt;$S$458,AND($T$458&gt;0,DATE($C463,4,15)&gt;$T$458)),0,IF(DATE($C463,4,15)&gt;=$X$458,$AA$458*(1+($U$458)/100)^MAX(0,$C463-$AD$458),IF(DATE($C463,4,15)&gt;=$W$458,$Z$458*(1+($U$458)/100)^MAX(0,$C463-$AC$458),IF(DATE($C463,4,15)&gt;=$V$458,$Y$458*(1+($U$458)/100)^MAX(0,$C463-$AB$458),0)))))</f>
      </c>
      <c r="I463" s="43">
        <f>IF($S$458=0,0,IF(OR(DATE($C463,5,15)&lt;$S$458,AND($T$458&gt;0,DATE($C463,5,15)&gt;$T$458)),0,IF(DATE($C463,5,15)&gt;=$X$458,$AA$458*(1+($U$458)/100)^MAX(0,$C463-$AD$458),IF(DATE($C463,5,15)&gt;=$W$458,$Z$458*(1+($U$458)/100)^MAX(0,$C463-$AC$458),IF(DATE($C463,5,15)&gt;=$V$458,$Y$458*(1+($U$458)/100)^MAX(0,$C463-$AB$458),0)))))</f>
      </c>
      <c r="J463" s="43">
        <f>IF($S$458=0,0,IF(OR(DATE($C463,6,15)&lt;$S$458,AND($T$458&gt;0,DATE($C463,6,15)&gt;$T$458)),0,IF(DATE($C463,6,15)&gt;=$X$458,$AA$458*(1+($U$458)/100)^MAX(0,$C463-$AD$458),IF(DATE($C463,6,15)&gt;=$W$458,$Z$458*(1+($U$458)/100)^MAX(0,$C463-$AC$458),IF(DATE($C463,6,15)&gt;=$V$458,$Y$458*(1+($U$458)/100)^MAX(0,$C463-$AB$458),0)))))</f>
      </c>
      <c r="K463" s="43">
        <f>IF($S$458=0,0,IF(OR(DATE($C463,7,15)&lt;$S$458,AND($T$458&gt;0,DATE($C463,7,15)&gt;$T$458)),0,IF(DATE($C463,7,15)&gt;=$X$458,$AA$458*(1+($U$458)/100)^MAX(0,$C463-$AD$458),IF(DATE($C463,7,15)&gt;=$W$458,$Z$458*(1+($U$458)/100)^MAX(0,$C463-$AC$458),IF(DATE($C463,7,15)&gt;=$V$458,$Y$458*(1+($U$458)/100)^MAX(0,$C463-$AB$458),0)))))</f>
      </c>
      <c r="L463" s="43">
        <f>IF($S$458=0,0,IF(OR(DATE($C463,8,15)&lt;$S$458,AND($T$458&gt;0,DATE($C463,8,15)&gt;$T$458)),0,IF(DATE($C463,8,15)&gt;=$X$458,$AA$458*(1+($U$458)/100)^MAX(0,$C463-$AD$458),IF(DATE($C463,8,15)&gt;=$W$458,$Z$458*(1+($U$458)/100)^MAX(0,$C463-$AC$458),IF(DATE($C463,8,15)&gt;=$V$458,$Y$458*(1+($U$458)/100)^MAX(0,$C463-$AB$458),0)))))</f>
      </c>
      <c r="M463" s="43">
        <f>IF($S$458=0,0,IF(OR(DATE($C463,9,15)&lt;$S$458,AND($T$458&gt;0,DATE($C463,9,15)&gt;$T$458)),0,IF(DATE($C463,9,15)&gt;=$X$458,$AA$458*(1+($U$458)/100)^MAX(0,$C463-$AD$458),IF(DATE($C463,9,15)&gt;=$W$458,$Z$458*(1+($U$458)/100)^MAX(0,$C463-$AC$458),IF(DATE($C463,9,15)&gt;=$V$458,$Y$458*(1+($U$458)/100)^MAX(0,$C463-$AB$458),0)))))</f>
      </c>
      <c r="N463" s="43">
        <f>IF($S$458=0,0,IF(OR(DATE($C463,10,15)&lt;$S$458,AND($T$458&gt;0,DATE($C463,10,15)&gt;$T$458)),0,IF(DATE($C463,10,15)&gt;=$X$458,$AA$458*(1+($U$458)/100)^MAX(0,$C463-$AD$458),IF(DATE($C463,10,15)&gt;=$W$458,$Z$458*(1+($U$458)/100)^MAX(0,$C463-$AC$458),IF(DATE($C463,10,15)&gt;=$V$458,$Y$458*(1+($U$458)/100)^MAX(0,$C463-$AB$458),0)))))</f>
      </c>
      <c r="O463" s="43">
        <f>IF($S$458=0,0,IF(OR(DATE($C463,11,15)&lt;$S$458,AND($T$458&gt;0,DATE($C463,11,15)&gt;$T$458)),0,IF(DATE($C463,11,15)&gt;=$X$458,$AA$458*(1+($U$458)/100)^MAX(0,$C463-$AD$458),IF(DATE($C463,11,15)&gt;=$W$458,$Z$458*(1+($U$458)/100)^MAX(0,$C463-$AC$458),IF(DATE($C463,11,15)&gt;=$V$458,$Y$458*(1+($U$458)/100)^MAX(0,$C463-$AB$458),0)))))</f>
      </c>
      <c r="P463" s="43">
        <f>IF($S$458=0,0,IF(OR(DATE($C463,12,15)&lt;$S$458,AND($T$458&gt;0,DATE($C463,12,15)&gt;$T$458)),0,IF(DATE($C463,12,15)&gt;=$X$458,$AA$458*(1+($U$458)/100)^MAX(0,$C463-$AD$458),IF(DATE($C463,12,15)&gt;=$W$458,$Z$458*(1+($U$458)/100)^MAX(0,$C463-$AC$458),IF(DATE($C463,12,15)&gt;=$V$458,$Y$458*(1+($U$458)/100)^MAX(0,$C463-$AB$458),0)))))</f>
      </c>
      <c r="Q463" s="43">
        <f>SUM($E463:$P463)</f>
      </c>
    </row>
    <row r="464">
      <c r="A464"/>
      <c r="B464">
        <v>15</v>
      </c>
      <c r="C464" s="43">
        <f>Jahr+6</f>
      </c>
      <c r="D464" s="43">
        <f>INDEX(MvObj,15)</f>
      </c>
      <c r="E464" s="43">
        <f>IF($S$458=0,0,IF(OR(DATE($C464,1,15)&lt;$S$458,AND($T$458&gt;0,DATE($C464,1,15)&gt;$T$458)),0,IF(DATE($C464,1,15)&gt;=$X$458,$AA$458*(1+($U$458)/100)^MAX(0,$C464-$AD$458),IF(DATE($C464,1,15)&gt;=$W$458,$Z$458*(1+($U$458)/100)^MAX(0,$C464-$AC$458),IF(DATE($C464,1,15)&gt;=$V$458,$Y$458*(1+($U$458)/100)^MAX(0,$C464-$AB$458),0)))))</f>
      </c>
      <c r="F464" s="43">
        <f>IF($S$458=0,0,IF(OR(DATE($C464,2,15)&lt;$S$458,AND($T$458&gt;0,DATE($C464,2,15)&gt;$T$458)),0,IF(DATE($C464,2,15)&gt;=$X$458,$AA$458*(1+($U$458)/100)^MAX(0,$C464-$AD$458),IF(DATE($C464,2,15)&gt;=$W$458,$Z$458*(1+($U$458)/100)^MAX(0,$C464-$AC$458),IF(DATE($C464,2,15)&gt;=$V$458,$Y$458*(1+($U$458)/100)^MAX(0,$C464-$AB$458),0)))))</f>
      </c>
      <c r="G464" s="43">
        <f>IF($S$458=0,0,IF(OR(DATE($C464,3,15)&lt;$S$458,AND($T$458&gt;0,DATE($C464,3,15)&gt;$T$458)),0,IF(DATE($C464,3,15)&gt;=$X$458,$AA$458*(1+($U$458)/100)^MAX(0,$C464-$AD$458),IF(DATE($C464,3,15)&gt;=$W$458,$Z$458*(1+($U$458)/100)^MAX(0,$C464-$AC$458),IF(DATE($C464,3,15)&gt;=$V$458,$Y$458*(1+($U$458)/100)^MAX(0,$C464-$AB$458),0)))))</f>
      </c>
      <c r="H464" s="43">
        <f>IF($S$458=0,0,IF(OR(DATE($C464,4,15)&lt;$S$458,AND($T$458&gt;0,DATE($C464,4,15)&gt;$T$458)),0,IF(DATE($C464,4,15)&gt;=$X$458,$AA$458*(1+($U$458)/100)^MAX(0,$C464-$AD$458),IF(DATE($C464,4,15)&gt;=$W$458,$Z$458*(1+($U$458)/100)^MAX(0,$C464-$AC$458),IF(DATE($C464,4,15)&gt;=$V$458,$Y$458*(1+($U$458)/100)^MAX(0,$C464-$AB$458),0)))))</f>
      </c>
      <c r="I464" s="43">
        <f>IF($S$458=0,0,IF(OR(DATE($C464,5,15)&lt;$S$458,AND($T$458&gt;0,DATE($C464,5,15)&gt;$T$458)),0,IF(DATE($C464,5,15)&gt;=$X$458,$AA$458*(1+($U$458)/100)^MAX(0,$C464-$AD$458),IF(DATE($C464,5,15)&gt;=$W$458,$Z$458*(1+($U$458)/100)^MAX(0,$C464-$AC$458),IF(DATE($C464,5,15)&gt;=$V$458,$Y$458*(1+($U$458)/100)^MAX(0,$C464-$AB$458),0)))))</f>
      </c>
      <c r="J464" s="43">
        <f>IF($S$458=0,0,IF(OR(DATE($C464,6,15)&lt;$S$458,AND($T$458&gt;0,DATE($C464,6,15)&gt;$T$458)),0,IF(DATE($C464,6,15)&gt;=$X$458,$AA$458*(1+($U$458)/100)^MAX(0,$C464-$AD$458),IF(DATE($C464,6,15)&gt;=$W$458,$Z$458*(1+($U$458)/100)^MAX(0,$C464-$AC$458),IF(DATE($C464,6,15)&gt;=$V$458,$Y$458*(1+($U$458)/100)^MAX(0,$C464-$AB$458),0)))))</f>
      </c>
      <c r="K464" s="43">
        <f>IF($S$458=0,0,IF(OR(DATE($C464,7,15)&lt;$S$458,AND($T$458&gt;0,DATE($C464,7,15)&gt;$T$458)),0,IF(DATE($C464,7,15)&gt;=$X$458,$AA$458*(1+($U$458)/100)^MAX(0,$C464-$AD$458),IF(DATE($C464,7,15)&gt;=$W$458,$Z$458*(1+($U$458)/100)^MAX(0,$C464-$AC$458),IF(DATE($C464,7,15)&gt;=$V$458,$Y$458*(1+($U$458)/100)^MAX(0,$C464-$AB$458),0)))))</f>
      </c>
      <c r="L464" s="43">
        <f>IF($S$458=0,0,IF(OR(DATE($C464,8,15)&lt;$S$458,AND($T$458&gt;0,DATE($C464,8,15)&gt;$T$458)),0,IF(DATE($C464,8,15)&gt;=$X$458,$AA$458*(1+($U$458)/100)^MAX(0,$C464-$AD$458),IF(DATE($C464,8,15)&gt;=$W$458,$Z$458*(1+($U$458)/100)^MAX(0,$C464-$AC$458),IF(DATE($C464,8,15)&gt;=$V$458,$Y$458*(1+($U$458)/100)^MAX(0,$C464-$AB$458),0)))))</f>
      </c>
      <c r="M464" s="43">
        <f>IF($S$458=0,0,IF(OR(DATE($C464,9,15)&lt;$S$458,AND($T$458&gt;0,DATE($C464,9,15)&gt;$T$458)),0,IF(DATE($C464,9,15)&gt;=$X$458,$AA$458*(1+($U$458)/100)^MAX(0,$C464-$AD$458),IF(DATE($C464,9,15)&gt;=$W$458,$Z$458*(1+($U$458)/100)^MAX(0,$C464-$AC$458),IF(DATE($C464,9,15)&gt;=$V$458,$Y$458*(1+($U$458)/100)^MAX(0,$C464-$AB$458),0)))))</f>
      </c>
      <c r="N464" s="43">
        <f>IF($S$458=0,0,IF(OR(DATE($C464,10,15)&lt;$S$458,AND($T$458&gt;0,DATE($C464,10,15)&gt;$T$458)),0,IF(DATE($C464,10,15)&gt;=$X$458,$AA$458*(1+($U$458)/100)^MAX(0,$C464-$AD$458),IF(DATE($C464,10,15)&gt;=$W$458,$Z$458*(1+($U$458)/100)^MAX(0,$C464-$AC$458),IF(DATE($C464,10,15)&gt;=$V$458,$Y$458*(1+($U$458)/100)^MAX(0,$C464-$AB$458),0)))))</f>
      </c>
      <c r="O464" s="43">
        <f>IF($S$458=0,0,IF(OR(DATE($C464,11,15)&lt;$S$458,AND($T$458&gt;0,DATE($C464,11,15)&gt;$T$458)),0,IF(DATE($C464,11,15)&gt;=$X$458,$AA$458*(1+($U$458)/100)^MAX(0,$C464-$AD$458),IF(DATE($C464,11,15)&gt;=$W$458,$Z$458*(1+($U$458)/100)^MAX(0,$C464-$AC$458),IF(DATE($C464,11,15)&gt;=$V$458,$Y$458*(1+($U$458)/100)^MAX(0,$C464-$AB$458),0)))))</f>
      </c>
      <c r="P464" s="43">
        <f>IF($S$458=0,0,IF(OR(DATE($C464,12,15)&lt;$S$458,AND($T$458&gt;0,DATE($C464,12,15)&gt;$T$458)),0,IF(DATE($C464,12,15)&gt;=$X$458,$AA$458*(1+($U$458)/100)^MAX(0,$C464-$AD$458),IF(DATE($C464,12,15)&gt;=$W$458,$Z$458*(1+($U$458)/100)^MAX(0,$C464-$AC$458),IF(DATE($C464,12,15)&gt;=$V$458,$Y$458*(1+($U$458)/100)^MAX(0,$C464-$AB$458),0)))))</f>
      </c>
      <c r="Q464" s="43">
        <f>SUM($E464:$P464)</f>
      </c>
    </row>
    <row r="465">
      <c r="A465"/>
      <c r="B465">
        <v>15</v>
      </c>
      <c r="C465" s="43">
        <f>Jahr+7</f>
      </c>
      <c r="D465" s="43">
        <f>INDEX(MvObj,15)</f>
      </c>
      <c r="E465" s="43">
        <f>IF($S$458=0,0,IF(OR(DATE($C465,1,15)&lt;$S$458,AND($T$458&gt;0,DATE($C465,1,15)&gt;$T$458)),0,IF(DATE($C465,1,15)&gt;=$X$458,$AA$458*(1+($U$458)/100)^MAX(0,$C465-$AD$458),IF(DATE($C465,1,15)&gt;=$W$458,$Z$458*(1+($U$458)/100)^MAX(0,$C465-$AC$458),IF(DATE($C465,1,15)&gt;=$V$458,$Y$458*(1+($U$458)/100)^MAX(0,$C465-$AB$458),0)))))</f>
      </c>
      <c r="F465" s="43">
        <f>IF($S$458=0,0,IF(OR(DATE($C465,2,15)&lt;$S$458,AND($T$458&gt;0,DATE($C465,2,15)&gt;$T$458)),0,IF(DATE($C465,2,15)&gt;=$X$458,$AA$458*(1+($U$458)/100)^MAX(0,$C465-$AD$458),IF(DATE($C465,2,15)&gt;=$W$458,$Z$458*(1+($U$458)/100)^MAX(0,$C465-$AC$458),IF(DATE($C465,2,15)&gt;=$V$458,$Y$458*(1+($U$458)/100)^MAX(0,$C465-$AB$458),0)))))</f>
      </c>
      <c r="G465" s="43">
        <f>IF($S$458=0,0,IF(OR(DATE($C465,3,15)&lt;$S$458,AND($T$458&gt;0,DATE($C465,3,15)&gt;$T$458)),0,IF(DATE($C465,3,15)&gt;=$X$458,$AA$458*(1+($U$458)/100)^MAX(0,$C465-$AD$458),IF(DATE($C465,3,15)&gt;=$W$458,$Z$458*(1+($U$458)/100)^MAX(0,$C465-$AC$458),IF(DATE($C465,3,15)&gt;=$V$458,$Y$458*(1+($U$458)/100)^MAX(0,$C465-$AB$458),0)))))</f>
      </c>
      <c r="H465" s="43">
        <f>IF($S$458=0,0,IF(OR(DATE($C465,4,15)&lt;$S$458,AND($T$458&gt;0,DATE($C465,4,15)&gt;$T$458)),0,IF(DATE($C465,4,15)&gt;=$X$458,$AA$458*(1+($U$458)/100)^MAX(0,$C465-$AD$458),IF(DATE($C465,4,15)&gt;=$W$458,$Z$458*(1+($U$458)/100)^MAX(0,$C465-$AC$458),IF(DATE($C465,4,15)&gt;=$V$458,$Y$458*(1+($U$458)/100)^MAX(0,$C465-$AB$458),0)))))</f>
      </c>
      <c r="I465" s="43">
        <f>IF($S$458=0,0,IF(OR(DATE($C465,5,15)&lt;$S$458,AND($T$458&gt;0,DATE($C465,5,15)&gt;$T$458)),0,IF(DATE($C465,5,15)&gt;=$X$458,$AA$458*(1+($U$458)/100)^MAX(0,$C465-$AD$458),IF(DATE($C465,5,15)&gt;=$W$458,$Z$458*(1+($U$458)/100)^MAX(0,$C465-$AC$458),IF(DATE($C465,5,15)&gt;=$V$458,$Y$458*(1+($U$458)/100)^MAX(0,$C465-$AB$458),0)))))</f>
      </c>
      <c r="J465" s="43">
        <f>IF($S$458=0,0,IF(OR(DATE($C465,6,15)&lt;$S$458,AND($T$458&gt;0,DATE($C465,6,15)&gt;$T$458)),0,IF(DATE($C465,6,15)&gt;=$X$458,$AA$458*(1+($U$458)/100)^MAX(0,$C465-$AD$458),IF(DATE($C465,6,15)&gt;=$W$458,$Z$458*(1+($U$458)/100)^MAX(0,$C465-$AC$458),IF(DATE($C465,6,15)&gt;=$V$458,$Y$458*(1+($U$458)/100)^MAX(0,$C465-$AB$458),0)))))</f>
      </c>
      <c r="K465" s="43">
        <f>IF($S$458=0,0,IF(OR(DATE($C465,7,15)&lt;$S$458,AND($T$458&gt;0,DATE($C465,7,15)&gt;$T$458)),0,IF(DATE($C465,7,15)&gt;=$X$458,$AA$458*(1+($U$458)/100)^MAX(0,$C465-$AD$458),IF(DATE($C465,7,15)&gt;=$W$458,$Z$458*(1+($U$458)/100)^MAX(0,$C465-$AC$458),IF(DATE($C465,7,15)&gt;=$V$458,$Y$458*(1+($U$458)/100)^MAX(0,$C465-$AB$458),0)))))</f>
      </c>
      <c r="L465" s="43">
        <f>IF($S$458=0,0,IF(OR(DATE($C465,8,15)&lt;$S$458,AND($T$458&gt;0,DATE($C465,8,15)&gt;$T$458)),0,IF(DATE($C465,8,15)&gt;=$X$458,$AA$458*(1+($U$458)/100)^MAX(0,$C465-$AD$458),IF(DATE($C465,8,15)&gt;=$W$458,$Z$458*(1+($U$458)/100)^MAX(0,$C465-$AC$458),IF(DATE($C465,8,15)&gt;=$V$458,$Y$458*(1+($U$458)/100)^MAX(0,$C465-$AB$458),0)))))</f>
      </c>
      <c r="M465" s="43">
        <f>IF($S$458=0,0,IF(OR(DATE($C465,9,15)&lt;$S$458,AND($T$458&gt;0,DATE($C465,9,15)&gt;$T$458)),0,IF(DATE($C465,9,15)&gt;=$X$458,$AA$458*(1+($U$458)/100)^MAX(0,$C465-$AD$458),IF(DATE($C465,9,15)&gt;=$W$458,$Z$458*(1+($U$458)/100)^MAX(0,$C465-$AC$458),IF(DATE($C465,9,15)&gt;=$V$458,$Y$458*(1+($U$458)/100)^MAX(0,$C465-$AB$458),0)))))</f>
      </c>
      <c r="N465" s="43">
        <f>IF($S$458=0,0,IF(OR(DATE($C465,10,15)&lt;$S$458,AND($T$458&gt;0,DATE($C465,10,15)&gt;$T$458)),0,IF(DATE($C465,10,15)&gt;=$X$458,$AA$458*(1+($U$458)/100)^MAX(0,$C465-$AD$458),IF(DATE($C465,10,15)&gt;=$W$458,$Z$458*(1+($U$458)/100)^MAX(0,$C465-$AC$458),IF(DATE($C465,10,15)&gt;=$V$458,$Y$458*(1+($U$458)/100)^MAX(0,$C465-$AB$458),0)))))</f>
      </c>
      <c r="O465" s="43">
        <f>IF($S$458=0,0,IF(OR(DATE($C465,11,15)&lt;$S$458,AND($T$458&gt;0,DATE($C465,11,15)&gt;$T$458)),0,IF(DATE($C465,11,15)&gt;=$X$458,$AA$458*(1+($U$458)/100)^MAX(0,$C465-$AD$458),IF(DATE($C465,11,15)&gt;=$W$458,$Z$458*(1+($U$458)/100)^MAX(0,$C465-$AC$458),IF(DATE($C465,11,15)&gt;=$V$458,$Y$458*(1+($U$458)/100)^MAX(0,$C465-$AB$458),0)))))</f>
      </c>
      <c r="P465" s="43">
        <f>IF($S$458=0,0,IF(OR(DATE($C465,12,15)&lt;$S$458,AND($T$458&gt;0,DATE($C465,12,15)&gt;$T$458)),0,IF(DATE($C465,12,15)&gt;=$X$458,$AA$458*(1+($U$458)/100)^MAX(0,$C465-$AD$458),IF(DATE($C465,12,15)&gt;=$W$458,$Z$458*(1+($U$458)/100)^MAX(0,$C465-$AC$458),IF(DATE($C465,12,15)&gt;=$V$458,$Y$458*(1+($U$458)/100)^MAX(0,$C465-$AB$458),0)))))</f>
      </c>
      <c r="Q465" s="43">
        <f>SUM($E465:$P465)</f>
      </c>
    </row>
    <row r="466">
      <c r="A466"/>
      <c r="B466">
        <v>15</v>
      </c>
      <c r="C466" s="43">
        <f>Jahr+8</f>
      </c>
      <c r="D466" s="43">
        <f>INDEX(MvObj,15)</f>
      </c>
      <c r="E466" s="43">
        <f>IF($S$458=0,0,IF(OR(DATE($C466,1,15)&lt;$S$458,AND($T$458&gt;0,DATE($C466,1,15)&gt;$T$458)),0,IF(DATE($C466,1,15)&gt;=$X$458,$AA$458*(1+($U$458)/100)^MAX(0,$C466-$AD$458),IF(DATE($C466,1,15)&gt;=$W$458,$Z$458*(1+($U$458)/100)^MAX(0,$C466-$AC$458),IF(DATE($C466,1,15)&gt;=$V$458,$Y$458*(1+($U$458)/100)^MAX(0,$C466-$AB$458),0)))))</f>
      </c>
      <c r="F466" s="43">
        <f>IF($S$458=0,0,IF(OR(DATE($C466,2,15)&lt;$S$458,AND($T$458&gt;0,DATE($C466,2,15)&gt;$T$458)),0,IF(DATE($C466,2,15)&gt;=$X$458,$AA$458*(1+($U$458)/100)^MAX(0,$C466-$AD$458),IF(DATE($C466,2,15)&gt;=$W$458,$Z$458*(1+($U$458)/100)^MAX(0,$C466-$AC$458),IF(DATE($C466,2,15)&gt;=$V$458,$Y$458*(1+($U$458)/100)^MAX(0,$C466-$AB$458),0)))))</f>
      </c>
      <c r="G466" s="43">
        <f>IF($S$458=0,0,IF(OR(DATE($C466,3,15)&lt;$S$458,AND($T$458&gt;0,DATE($C466,3,15)&gt;$T$458)),0,IF(DATE($C466,3,15)&gt;=$X$458,$AA$458*(1+($U$458)/100)^MAX(0,$C466-$AD$458),IF(DATE($C466,3,15)&gt;=$W$458,$Z$458*(1+($U$458)/100)^MAX(0,$C466-$AC$458),IF(DATE($C466,3,15)&gt;=$V$458,$Y$458*(1+($U$458)/100)^MAX(0,$C466-$AB$458),0)))))</f>
      </c>
      <c r="H466" s="43">
        <f>IF($S$458=0,0,IF(OR(DATE($C466,4,15)&lt;$S$458,AND($T$458&gt;0,DATE($C466,4,15)&gt;$T$458)),0,IF(DATE($C466,4,15)&gt;=$X$458,$AA$458*(1+($U$458)/100)^MAX(0,$C466-$AD$458),IF(DATE($C466,4,15)&gt;=$W$458,$Z$458*(1+($U$458)/100)^MAX(0,$C466-$AC$458),IF(DATE($C466,4,15)&gt;=$V$458,$Y$458*(1+($U$458)/100)^MAX(0,$C466-$AB$458),0)))))</f>
      </c>
      <c r="I466" s="43">
        <f>IF($S$458=0,0,IF(OR(DATE($C466,5,15)&lt;$S$458,AND($T$458&gt;0,DATE($C466,5,15)&gt;$T$458)),0,IF(DATE($C466,5,15)&gt;=$X$458,$AA$458*(1+($U$458)/100)^MAX(0,$C466-$AD$458),IF(DATE($C466,5,15)&gt;=$W$458,$Z$458*(1+($U$458)/100)^MAX(0,$C466-$AC$458),IF(DATE($C466,5,15)&gt;=$V$458,$Y$458*(1+($U$458)/100)^MAX(0,$C466-$AB$458),0)))))</f>
      </c>
      <c r="J466" s="43">
        <f>IF($S$458=0,0,IF(OR(DATE($C466,6,15)&lt;$S$458,AND($T$458&gt;0,DATE($C466,6,15)&gt;$T$458)),0,IF(DATE($C466,6,15)&gt;=$X$458,$AA$458*(1+($U$458)/100)^MAX(0,$C466-$AD$458),IF(DATE($C466,6,15)&gt;=$W$458,$Z$458*(1+($U$458)/100)^MAX(0,$C466-$AC$458),IF(DATE($C466,6,15)&gt;=$V$458,$Y$458*(1+($U$458)/100)^MAX(0,$C466-$AB$458),0)))))</f>
      </c>
      <c r="K466" s="43">
        <f>IF($S$458=0,0,IF(OR(DATE($C466,7,15)&lt;$S$458,AND($T$458&gt;0,DATE($C466,7,15)&gt;$T$458)),0,IF(DATE($C466,7,15)&gt;=$X$458,$AA$458*(1+($U$458)/100)^MAX(0,$C466-$AD$458),IF(DATE($C466,7,15)&gt;=$W$458,$Z$458*(1+($U$458)/100)^MAX(0,$C466-$AC$458),IF(DATE($C466,7,15)&gt;=$V$458,$Y$458*(1+($U$458)/100)^MAX(0,$C466-$AB$458),0)))))</f>
      </c>
      <c r="L466" s="43">
        <f>IF($S$458=0,0,IF(OR(DATE($C466,8,15)&lt;$S$458,AND($T$458&gt;0,DATE($C466,8,15)&gt;$T$458)),0,IF(DATE($C466,8,15)&gt;=$X$458,$AA$458*(1+($U$458)/100)^MAX(0,$C466-$AD$458),IF(DATE($C466,8,15)&gt;=$W$458,$Z$458*(1+($U$458)/100)^MAX(0,$C466-$AC$458),IF(DATE($C466,8,15)&gt;=$V$458,$Y$458*(1+($U$458)/100)^MAX(0,$C466-$AB$458),0)))))</f>
      </c>
      <c r="M466" s="43">
        <f>IF($S$458=0,0,IF(OR(DATE($C466,9,15)&lt;$S$458,AND($T$458&gt;0,DATE($C466,9,15)&gt;$T$458)),0,IF(DATE($C466,9,15)&gt;=$X$458,$AA$458*(1+($U$458)/100)^MAX(0,$C466-$AD$458),IF(DATE($C466,9,15)&gt;=$W$458,$Z$458*(1+($U$458)/100)^MAX(0,$C466-$AC$458),IF(DATE($C466,9,15)&gt;=$V$458,$Y$458*(1+($U$458)/100)^MAX(0,$C466-$AB$458),0)))))</f>
      </c>
      <c r="N466" s="43">
        <f>IF($S$458=0,0,IF(OR(DATE($C466,10,15)&lt;$S$458,AND($T$458&gt;0,DATE($C466,10,15)&gt;$T$458)),0,IF(DATE($C466,10,15)&gt;=$X$458,$AA$458*(1+($U$458)/100)^MAX(0,$C466-$AD$458),IF(DATE($C466,10,15)&gt;=$W$458,$Z$458*(1+($U$458)/100)^MAX(0,$C466-$AC$458),IF(DATE($C466,10,15)&gt;=$V$458,$Y$458*(1+($U$458)/100)^MAX(0,$C466-$AB$458),0)))))</f>
      </c>
      <c r="O466" s="43">
        <f>IF($S$458=0,0,IF(OR(DATE($C466,11,15)&lt;$S$458,AND($T$458&gt;0,DATE($C466,11,15)&gt;$T$458)),0,IF(DATE($C466,11,15)&gt;=$X$458,$AA$458*(1+($U$458)/100)^MAX(0,$C466-$AD$458),IF(DATE($C466,11,15)&gt;=$W$458,$Z$458*(1+($U$458)/100)^MAX(0,$C466-$AC$458),IF(DATE($C466,11,15)&gt;=$V$458,$Y$458*(1+($U$458)/100)^MAX(0,$C466-$AB$458),0)))))</f>
      </c>
      <c r="P466" s="43">
        <f>IF($S$458=0,0,IF(OR(DATE($C466,12,15)&lt;$S$458,AND($T$458&gt;0,DATE($C466,12,15)&gt;$T$458)),0,IF(DATE($C466,12,15)&gt;=$X$458,$AA$458*(1+($U$458)/100)^MAX(0,$C466-$AD$458),IF(DATE($C466,12,15)&gt;=$W$458,$Z$458*(1+($U$458)/100)^MAX(0,$C466-$AC$458),IF(DATE($C466,12,15)&gt;=$V$458,$Y$458*(1+($U$458)/100)^MAX(0,$C466-$AB$458),0)))))</f>
      </c>
      <c r="Q466" s="43">
        <f>SUM($E466:$P466)</f>
      </c>
    </row>
    <row r="467">
      <c r="A467"/>
      <c r="B467">
        <v>15</v>
      </c>
      <c r="C467" s="43">
        <f>Jahr+9</f>
      </c>
      <c r="D467" s="43">
        <f>INDEX(MvObj,15)</f>
      </c>
      <c r="E467" s="43">
        <f>IF($S$458=0,0,IF(OR(DATE($C467,1,15)&lt;$S$458,AND($T$458&gt;0,DATE($C467,1,15)&gt;$T$458)),0,IF(DATE($C467,1,15)&gt;=$X$458,$AA$458*(1+($U$458)/100)^MAX(0,$C467-$AD$458),IF(DATE($C467,1,15)&gt;=$W$458,$Z$458*(1+($U$458)/100)^MAX(0,$C467-$AC$458),IF(DATE($C467,1,15)&gt;=$V$458,$Y$458*(1+($U$458)/100)^MAX(0,$C467-$AB$458),0)))))</f>
      </c>
      <c r="F467" s="43">
        <f>IF($S$458=0,0,IF(OR(DATE($C467,2,15)&lt;$S$458,AND($T$458&gt;0,DATE($C467,2,15)&gt;$T$458)),0,IF(DATE($C467,2,15)&gt;=$X$458,$AA$458*(1+($U$458)/100)^MAX(0,$C467-$AD$458),IF(DATE($C467,2,15)&gt;=$W$458,$Z$458*(1+($U$458)/100)^MAX(0,$C467-$AC$458),IF(DATE($C467,2,15)&gt;=$V$458,$Y$458*(1+($U$458)/100)^MAX(0,$C467-$AB$458),0)))))</f>
      </c>
      <c r="G467" s="43">
        <f>IF($S$458=0,0,IF(OR(DATE($C467,3,15)&lt;$S$458,AND($T$458&gt;0,DATE($C467,3,15)&gt;$T$458)),0,IF(DATE($C467,3,15)&gt;=$X$458,$AA$458*(1+($U$458)/100)^MAX(0,$C467-$AD$458),IF(DATE($C467,3,15)&gt;=$W$458,$Z$458*(1+($U$458)/100)^MAX(0,$C467-$AC$458),IF(DATE($C467,3,15)&gt;=$V$458,$Y$458*(1+($U$458)/100)^MAX(0,$C467-$AB$458),0)))))</f>
      </c>
      <c r="H467" s="43">
        <f>IF($S$458=0,0,IF(OR(DATE($C467,4,15)&lt;$S$458,AND($T$458&gt;0,DATE($C467,4,15)&gt;$T$458)),0,IF(DATE($C467,4,15)&gt;=$X$458,$AA$458*(1+($U$458)/100)^MAX(0,$C467-$AD$458),IF(DATE($C467,4,15)&gt;=$W$458,$Z$458*(1+($U$458)/100)^MAX(0,$C467-$AC$458),IF(DATE($C467,4,15)&gt;=$V$458,$Y$458*(1+($U$458)/100)^MAX(0,$C467-$AB$458),0)))))</f>
      </c>
      <c r="I467" s="43">
        <f>IF($S$458=0,0,IF(OR(DATE($C467,5,15)&lt;$S$458,AND($T$458&gt;0,DATE($C467,5,15)&gt;$T$458)),0,IF(DATE($C467,5,15)&gt;=$X$458,$AA$458*(1+($U$458)/100)^MAX(0,$C467-$AD$458),IF(DATE($C467,5,15)&gt;=$W$458,$Z$458*(1+($U$458)/100)^MAX(0,$C467-$AC$458),IF(DATE($C467,5,15)&gt;=$V$458,$Y$458*(1+($U$458)/100)^MAX(0,$C467-$AB$458),0)))))</f>
      </c>
      <c r="J467" s="43">
        <f>IF($S$458=0,0,IF(OR(DATE($C467,6,15)&lt;$S$458,AND($T$458&gt;0,DATE($C467,6,15)&gt;$T$458)),0,IF(DATE($C467,6,15)&gt;=$X$458,$AA$458*(1+($U$458)/100)^MAX(0,$C467-$AD$458),IF(DATE($C467,6,15)&gt;=$W$458,$Z$458*(1+($U$458)/100)^MAX(0,$C467-$AC$458),IF(DATE($C467,6,15)&gt;=$V$458,$Y$458*(1+($U$458)/100)^MAX(0,$C467-$AB$458),0)))))</f>
      </c>
      <c r="K467" s="43">
        <f>IF($S$458=0,0,IF(OR(DATE($C467,7,15)&lt;$S$458,AND($T$458&gt;0,DATE($C467,7,15)&gt;$T$458)),0,IF(DATE($C467,7,15)&gt;=$X$458,$AA$458*(1+($U$458)/100)^MAX(0,$C467-$AD$458),IF(DATE($C467,7,15)&gt;=$W$458,$Z$458*(1+($U$458)/100)^MAX(0,$C467-$AC$458),IF(DATE($C467,7,15)&gt;=$V$458,$Y$458*(1+($U$458)/100)^MAX(0,$C467-$AB$458),0)))))</f>
      </c>
      <c r="L467" s="43">
        <f>IF($S$458=0,0,IF(OR(DATE($C467,8,15)&lt;$S$458,AND($T$458&gt;0,DATE($C467,8,15)&gt;$T$458)),0,IF(DATE($C467,8,15)&gt;=$X$458,$AA$458*(1+($U$458)/100)^MAX(0,$C467-$AD$458),IF(DATE($C467,8,15)&gt;=$W$458,$Z$458*(1+($U$458)/100)^MAX(0,$C467-$AC$458),IF(DATE($C467,8,15)&gt;=$V$458,$Y$458*(1+($U$458)/100)^MAX(0,$C467-$AB$458),0)))))</f>
      </c>
      <c r="M467" s="43">
        <f>IF($S$458=0,0,IF(OR(DATE($C467,9,15)&lt;$S$458,AND($T$458&gt;0,DATE($C467,9,15)&gt;$T$458)),0,IF(DATE($C467,9,15)&gt;=$X$458,$AA$458*(1+($U$458)/100)^MAX(0,$C467-$AD$458),IF(DATE($C467,9,15)&gt;=$W$458,$Z$458*(1+($U$458)/100)^MAX(0,$C467-$AC$458),IF(DATE($C467,9,15)&gt;=$V$458,$Y$458*(1+($U$458)/100)^MAX(0,$C467-$AB$458),0)))))</f>
      </c>
      <c r="N467" s="43">
        <f>IF($S$458=0,0,IF(OR(DATE($C467,10,15)&lt;$S$458,AND($T$458&gt;0,DATE($C467,10,15)&gt;$T$458)),0,IF(DATE($C467,10,15)&gt;=$X$458,$AA$458*(1+($U$458)/100)^MAX(0,$C467-$AD$458),IF(DATE($C467,10,15)&gt;=$W$458,$Z$458*(1+($U$458)/100)^MAX(0,$C467-$AC$458),IF(DATE($C467,10,15)&gt;=$V$458,$Y$458*(1+($U$458)/100)^MAX(0,$C467-$AB$458),0)))))</f>
      </c>
      <c r="O467" s="43">
        <f>IF($S$458=0,0,IF(OR(DATE($C467,11,15)&lt;$S$458,AND($T$458&gt;0,DATE($C467,11,15)&gt;$T$458)),0,IF(DATE($C467,11,15)&gt;=$X$458,$AA$458*(1+($U$458)/100)^MAX(0,$C467-$AD$458),IF(DATE($C467,11,15)&gt;=$W$458,$Z$458*(1+($U$458)/100)^MAX(0,$C467-$AC$458),IF(DATE($C467,11,15)&gt;=$V$458,$Y$458*(1+($U$458)/100)^MAX(0,$C467-$AB$458),0)))))</f>
      </c>
      <c r="P467" s="43">
        <f>IF($S$458=0,0,IF(OR(DATE($C467,12,15)&lt;$S$458,AND($T$458&gt;0,DATE($C467,12,15)&gt;$T$458)),0,IF(DATE($C467,12,15)&gt;=$X$458,$AA$458*(1+($U$458)/100)^MAX(0,$C467-$AD$458),IF(DATE($C467,12,15)&gt;=$W$458,$Z$458*(1+($U$458)/100)^MAX(0,$C467-$AC$458),IF(DATE($C467,12,15)&gt;=$V$458,$Y$458*(1+($U$458)/100)^MAX(0,$C467-$AB$458),0)))))</f>
      </c>
      <c r="Q467" s="43">
        <f>SUM($E467:$P467)</f>
      </c>
    </row>
    <row r="468">
      <c r="A468"/>
      <c r="B468">
        <v>15</v>
      </c>
      <c r="C468" s="43">
        <f>Jahr+10</f>
      </c>
      <c r="D468" s="43">
        <f>INDEX(MvObj,15)</f>
      </c>
      <c r="E468" s="43">
        <f>IF($S$458=0,0,IF(OR(DATE($C468,1,15)&lt;$S$458,AND($T$458&gt;0,DATE($C468,1,15)&gt;$T$458)),0,IF(DATE($C468,1,15)&gt;=$X$458,$AA$458*(1+($U$458)/100)^MAX(0,$C468-$AD$458),IF(DATE($C468,1,15)&gt;=$W$458,$Z$458*(1+($U$458)/100)^MAX(0,$C468-$AC$458),IF(DATE($C468,1,15)&gt;=$V$458,$Y$458*(1+($U$458)/100)^MAX(0,$C468-$AB$458),0)))))</f>
      </c>
      <c r="F468" s="43">
        <f>IF($S$458=0,0,IF(OR(DATE($C468,2,15)&lt;$S$458,AND($T$458&gt;0,DATE($C468,2,15)&gt;$T$458)),0,IF(DATE($C468,2,15)&gt;=$X$458,$AA$458*(1+($U$458)/100)^MAX(0,$C468-$AD$458),IF(DATE($C468,2,15)&gt;=$W$458,$Z$458*(1+($U$458)/100)^MAX(0,$C468-$AC$458),IF(DATE($C468,2,15)&gt;=$V$458,$Y$458*(1+($U$458)/100)^MAX(0,$C468-$AB$458),0)))))</f>
      </c>
      <c r="G468" s="43">
        <f>IF($S$458=0,0,IF(OR(DATE($C468,3,15)&lt;$S$458,AND($T$458&gt;0,DATE($C468,3,15)&gt;$T$458)),0,IF(DATE($C468,3,15)&gt;=$X$458,$AA$458*(1+($U$458)/100)^MAX(0,$C468-$AD$458),IF(DATE($C468,3,15)&gt;=$W$458,$Z$458*(1+($U$458)/100)^MAX(0,$C468-$AC$458),IF(DATE($C468,3,15)&gt;=$V$458,$Y$458*(1+($U$458)/100)^MAX(0,$C468-$AB$458),0)))))</f>
      </c>
      <c r="H468" s="43">
        <f>IF($S$458=0,0,IF(OR(DATE($C468,4,15)&lt;$S$458,AND($T$458&gt;0,DATE($C468,4,15)&gt;$T$458)),0,IF(DATE($C468,4,15)&gt;=$X$458,$AA$458*(1+($U$458)/100)^MAX(0,$C468-$AD$458),IF(DATE($C468,4,15)&gt;=$W$458,$Z$458*(1+($U$458)/100)^MAX(0,$C468-$AC$458),IF(DATE($C468,4,15)&gt;=$V$458,$Y$458*(1+($U$458)/100)^MAX(0,$C468-$AB$458),0)))))</f>
      </c>
      <c r="I468" s="43">
        <f>IF($S$458=0,0,IF(OR(DATE($C468,5,15)&lt;$S$458,AND($T$458&gt;0,DATE($C468,5,15)&gt;$T$458)),0,IF(DATE($C468,5,15)&gt;=$X$458,$AA$458*(1+($U$458)/100)^MAX(0,$C468-$AD$458),IF(DATE($C468,5,15)&gt;=$W$458,$Z$458*(1+($U$458)/100)^MAX(0,$C468-$AC$458),IF(DATE($C468,5,15)&gt;=$V$458,$Y$458*(1+($U$458)/100)^MAX(0,$C468-$AB$458),0)))))</f>
      </c>
      <c r="J468" s="43">
        <f>IF($S$458=0,0,IF(OR(DATE($C468,6,15)&lt;$S$458,AND($T$458&gt;0,DATE($C468,6,15)&gt;$T$458)),0,IF(DATE($C468,6,15)&gt;=$X$458,$AA$458*(1+($U$458)/100)^MAX(0,$C468-$AD$458),IF(DATE($C468,6,15)&gt;=$W$458,$Z$458*(1+($U$458)/100)^MAX(0,$C468-$AC$458),IF(DATE($C468,6,15)&gt;=$V$458,$Y$458*(1+($U$458)/100)^MAX(0,$C468-$AB$458),0)))))</f>
      </c>
      <c r="K468" s="43">
        <f>IF($S$458=0,0,IF(OR(DATE($C468,7,15)&lt;$S$458,AND($T$458&gt;0,DATE($C468,7,15)&gt;$T$458)),0,IF(DATE($C468,7,15)&gt;=$X$458,$AA$458*(1+($U$458)/100)^MAX(0,$C468-$AD$458),IF(DATE($C468,7,15)&gt;=$W$458,$Z$458*(1+($U$458)/100)^MAX(0,$C468-$AC$458),IF(DATE($C468,7,15)&gt;=$V$458,$Y$458*(1+($U$458)/100)^MAX(0,$C468-$AB$458),0)))))</f>
      </c>
      <c r="L468" s="43">
        <f>IF($S$458=0,0,IF(OR(DATE($C468,8,15)&lt;$S$458,AND($T$458&gt;0,DATE($C468,8,15)&gt;$T$458)),0,IF(DATE($C468,8,15)&gt;=$X$458,$AA$458*(1+($U$458)/100)^MAX(0,$C468-$AD$458),IF(DATE($C468,8,15)&gt;=$W$458,$Z$458*(1+($U$458)/100)^MAX(0,$C468-$AC$458),IF(DATE($C468,8,15)&gt;=$V$458,$Y$458*(1+($U$458)/100)^MAX(0,$C468-$AB$458),0)))))</f>
      </c>
      <c r="M468" s="43">
        <f>IF($S$458=0,0,IF(OR(DATE($C468,9,15)&lt;$S$458,AND($T$458&gt;0,DATE($C468,9,15)&gt;$T$458)),0,IF(DATE($C468,9,15)&gt;=$X$458,$AA$458*(1+($U$458)/100)^MAX(0,$C468-$AD$458),IF(DATE($C468,9,15)&gt;=$W$458,$Z$458*(1+($U$458)/100)^MAX(0,$C468-$AC$458),IF(DATE($C468,9,15)&gt;=$V$458,$Y$458*(1+($U$458)/100)^MAX(0,$C468-$AB$458),0)))))</f>
      </c>
      <c r="N468" s="43">
        <f>IF($S$458=0,0,IF(OR(DATE($C468,10,15)&lt;$S$458,AND($T$458&gt;0,DATE($C468,10,15)&gt;$T$458)),0,IF(DATE($C468,10,15)&gt;=$X$458,$AA$458*(1+($U$458)/100)^MAX(0,$C468-$AD$458),IF(DATE($C468,10,15)&gt;=$W$458,$Z$458*(1+($U$458)/100)^MAX(0,$C468-$AC$458),IF(DATE($C468,10,15)&gt;=$V$458,$Y$458*(1+($U$458)/100)^MAX(0,$C468-$AB$458),0)))))</f>
      </c>
      <c r="O468" s="43">
        <f>IF($S$458=0,0,IF(OR(DATE($C468,11,15)&lt;$S$458,AND($T$458&gt;0,DATE($C468,11,15)&gt;$T$458)),0,IF(DATE($C468,11,15)&gt;=$X$458,$AA$458*(1+($U$458)/100)^MAX(0,$C468-$AD$458),IF(DATE($C468,11,15)&gt;=$W$458,$Z$458*(1+($U$458)/100)^MAX(0,$C468-$AC$458),IF(DATE($C468,11,15)&gt;=$V$458,$Y$458*(1+($U$458)/100)^MAX(0,$C468-$AB$458),0)))))</f>
      </c>
      <c r="P468" s="43">
        <f>IF($S$458=0,0,IF(OR(DATE($C468,12,15)&lt;$S$458,AND($T$458&gt;0,DATE($C468,12,15)&gt;$T$458)),0,IF(DATE($C468,12,15)&gt;=$X$458,$AA$458*(1+($U$458)/100)^MAX(0,$C468-$AD$458),IF(DATE($C468,12,15)&gt;=$W$458,$Z$458*(1+($U$458)/100)^MAX(0,$C468-$AC$458),IF(DATE($C468,12,15)&gt;=$V$458,$Y$458*(1+($U$458)/100)^MAX(0,$C468-$AB$458),0)))))</f>
      </c>
      <c r="Q468" s="43">
        <f>SUM($E468:$P468)</f>
      </c>
    </row>
    <row r="469">
      <c r="A469"/>
      <c r="B469">
        <v>15</v>
      </c>
      <c r="C469" s="43">
        <f>Jahr+11</f>
      </c>
      <c r="D469" s="43">
        <f>INDEX(MvObj,15)</f>
      </c>
      <c r="E469" s="43">
        <f>IF($S$458=0,0,IF(OR(DATE($C469,1,15)&lt;$S$458,AND($T$458&gt;0,DATE($C469,1,15)&gt;$T$458)),0,IF(DATE($C469,1,15)&gt;=$X$458,$AA$458*(1+($U$458)/100)^MAX(0,$C469-$AD$458),IF(DATE($C469,1,15)&gt;=$W$458,$Z$458*(1+($U$458)/100)^MAX(0,$C469-$AC$458),IF(DATE($C469,1,15)&gt;=$V$458,$Y$458*(1+($U$458)/100)^MAX(0,$C469-$AB$458),0)))))</f>
      </c>
      <c r="F469" s="43">
        <f>IF($S$458=0,0,IF(OR(DATE($C469,2,15)&lt;$S$458,AND($T$458&gt;0,DATE($C469,2,15)&gt;$T$458)),0,IF(DATE($C469,2,15)&gt;=$X$458,$AA$458*(1+($U$458)/100)^MAX(0,$C469-$AD$458),IF(DATE($C469,2,15)&gt;=$W$458,$Z$458*(1+($U$458)/100)^MAX(0,$C469-$AC$458),IF(DATE($C469,2,15)&gt;=$V$458,$Y$458*(1+($U$458)/100)^MAX(0,$C469-$AB$458),0)))))</f>
      </c>
      <c r="G469" s="43">
        <f>IF($S$458=0,0,IF(OR(DATE($C469,3,15)&lt;$S$458,AND($T$458&gt;0,DATE($C469,3,15)&gt;$T$458)),0,IF(DATE($C469,3,15)&gt;=$X$458,$AA$458*(1+($U$458)/100)^MAX(0,$C469-$AD$458),IF(DATE($C469,3,15)&gt;=$W$458,$Z$458*(1+($U$458)/100)^MAX(0,$C469-$AC$458),IF(DATE($C469,3,15)&gt;=$V$458,$Y$458*(1+($U$458)/100)^MAX(0,$C469-$AB$458),0)))))</f>
      </c>
      <c r="H469" s="43">
        <f>IF($S$458=0,0,IF(OR(DATE($C469,4,15)&lt;$S$458,AND($T$458&gt;0,DATE($C469,4,15)&gt;$T$458)),0,IF(DATE($C469,4,15)&gt;=$X$458,$AA$458*(1+($U$458)/100)^MAX(0,$C469-$AD$458),IF(DATE($C469,4,15)&gt;=$W$458,$Z$458*(1+($U$458)/100)^MAX(0,$C469-$AC$458),IF(DATE($C469,4,15)&gt;=$V$458,$Y$458*(1+($U$458)/100)^MAX(0,$C469-$AB$458),0)))))</f>
      </c>
      <c r="I469" s="43">
        <f>IF($S$458=0,0,IF(OR(DATE($C469,5,15)&lt;$S$458,AND($T$458&gt;0,DATE($C469,5,15)&gt;$T$458)),0,IF(DATE($C469,5,15)&gt;=$X$458,$AA$458*(1+($U$458)/100)^MAX(0,$C469-$AD$458),IF(DATE($C469,5,15)&gt;=$W$458,$Z$458*(1+($U$458)/100)^MAX(0,$C469-$AC$458),IF(DATE($C469,5,15)&gt;=$V$458,$Y$458*(1+($U$458)/100)^MAX(0,$C469-$AB$458),0)))))</f>
      </c>
      <c r="J469" s="43">
        <f>IF($S$458=0,0,IF(OR(DATE($C469,6,15)&lt;$S$458,AND($T$458&gt;0,DATE($C469,6,15)&gt;$T$458)),0,IF(DATE($C469,6,15)&gt;=$X$458,$AA$458*(1+($U$458)/100)^MAX(0,$C469-$AD$458),IF(DATE($C469,6,15)&gt;=$W$458,$Z$458*(1+($U$458)/100)^MAX(0,$C469-$AC$458),IF(DATE($C469,6,15)&gt;=$V$458,$Y$458*(1+($U$458)/100)^MAX(0,$C469-$AB$458),0)))))</f>
      </c>
      <c r="K469" s="43">
        <f>IF($S$458=0,0,IF(OR(DATE($C469,7,15)&lt;$S$458,AND($T$458&gt;0,DATE($C469,7,15)&gt;$T$458)),0,IF(DATE($C469,7,15)&gt;=$X$458,$AA$458*(1+($U$458)/100)^MAX(0,$C469-$AD$458),IF(DATE($C469,7,15)&gt;=$W$458,$Z$458*(1+($U$458)/100)^MAX(0,$C469-$AC$458),IF(DATE($C469,7,15)&gt;=$V$458,$Y$458*(1+($U$458)/100)^MAX(0,$C469-$AB$458),0)))))</f>
      </c>
      <c r="L469" s="43">
        <f>IF($S$458=0,0,IF(OR(DATE($C469,8,15)&lt;$S$458,AND($T$458&gt;0,DATE($C469,8,15)&gt;$T$458)),0,IF(DATE($C469,8,15)&gt;=$X$458,$AA$458*(1+($U$458)/100)^MAX(0,$C469-$AD$458),IF(DATE($C469,8,15)&gt;=$W$458,$Z$458*(1+($U$458)/100)^MAX(0,$C469-$AC$458),IF(DATE($C469,8,15)&gt;=$V$458,$Y$458*(1+($U$458)/100)^MAX(0,$C469-$AB$458),0)))))</f>
      </c>
      <c r="M469" s="43">
        <f>IF($S$458=0,0,IF(OR(DATE($C469,9,15)&lt;$S$458,AND($T$458&gt;0,DATE($C469,9,15)&gt;$T$458)),0,IF(DATE($C469,9,15)&gt;=$X$458,$AA$458*(1+($U$458)/100)^MAX(0,$C469-$AD$458),IF(DATE($C469,9,15)&gt;=$W$458,$Z$458*(1+($U$458)/100)^MAX(0,$C469-$AC$458),IF(DATE($C469,9,15)&gt;=$V$458,$Y$458*(1+($U$458)/100)^MAX(0,$C469-$AB$458),0)))))</f>
      </c>
      <c r="N469" s="43">
        <f>IF($S$458=0,0,IF(OR(DATE($C469,10,15)&lt;$S$458,AND($T$458&gt;0,DATE($C469,10,15)&gt;$T$458)),0,IF(DATE($C469,10,15)&gt;=$X$458,$AA$458*(1+($U$458)/100)^MAX(0,$C469-$AD$458),IF(DATE($C469,10,15)&gt;=$W$458,$Z$458*(1+($U$458)/100)^MAX(0,$C469-$AC$458),IF(DATE($C469,10,15)&gt;=$V$458,$Y$458*(1+($U$458)/100)^MAX(0,$C469-$AB$458),0)))))</f>
      </c>
      <c r="O469" s="43">
        <f>IF($S$458=0,0,IF(OR(DATE($C469,11,15)&lt;$S$458,AND($T$458&gt;0,DATE($C469,11,15)&gt;$T$458)),0,IF(DATE($C469,11,15)&gt;=$X$458,$AA$458*(1+($U$458)/100)^MAX(0,$C469-$AD$458),IF(DATE($C469,11,15)&gt;=$W$458,$Z$458*(1+($U$458)/100)^MAX(0,$C469-$AC$458),IF(DATE($C469,11,15)&gt;=$V$458,$Y$458*(1+($U$458)/100)^MAX(0,$C469-$AB$458),0)))))</f>
      </c>
      <c r="P469" s="43">
        <f>IF($S$458=0,0,IF(OR(DATE($C469,12,15)&lt;$S$458,AND($T$458&gt;0,DATE($C469,12,15)&gt;$T$458)),0,IF(DATE($C469,12,15)&gt;=$X$458,$AA$458*(1+($U$458)/100)^MAX(0,$C469-$AD$458),IF(DATE($C469,12,15)&gt;=$W$458,$Z$458*(1+($U$458)/100)^MAX(0,$C469-$AC$458),IF(DATE($C469,12,15)&gt;=$V$458,$Y$458*(1+($U$458)/100)^MAX(0,$C469-$AB$458),0)))))</f>
      </c>
      <c r="Q469" s="43">
        <f>SUM($E469:$P469)</f>
      </c>
    </row>
    <row r="470">
      <c r="A470"/>
      <c r="B470">
        <v>15</v>
      </c>
      <c r="C470" s="43">
        <f>Jahr+12</f>
      </c>
      <c r="D470" s="43">
        <f>INDEX(MvObj,15)</f>
      </c>
      <c r="E470" s="43">
        <f>IF($S$458=0,0,IF(OR(DATE($C470,1,15)&lt;$S$458,AND($T$458&gt;0,DATE($C470,1,15)&gt;$T$458)),0,IF(DATE($C470,1,15)&gt;=$X$458,$AA$458*(1+($U$458)/100)^MAX(0,$C470-$AD$458),IF(DATE($C470,1,15)&gt;=$W$458,$Z$458*(1+($U$458)/100)^MAX(0,$C470-$AC$458),IF(DATE($C470,1,15)&gt;=$V$458,$Y$458*(1+($U$458)/100)^MAX(0,$C470-$AB$458),0)))))</f>
      </c>
      <c r="F470" s="43">
        <f>IF($S$458=0,0,IF(OR(DATE($C470,2,15)&lt;$S$458,AND($T$458&gt;0,DATE($C470,2,15)&gt;$T$458)),0,IF(DATE($C470,2,15)&gt;=$X$458,$AA$458*(1+($U$458)/100)^MAX(0,$C470-$AD$458),IF(DATE($C470,2,15)&gt;=$W$458,$Z$458*(1+($U$458)/100)^MAX(0,$C470-$AC$458),IF(DATE($C470,2,15)&gt;=$V$458,$Y$458*(1+($U$458)/100)^MAX(0,$C470-$AB$458),0)))))</f>
      </c>
      <c r="G470" s="43">
        <f>IF($S$458=0,0,IF(OR(DATE($C470,3,15)&lt;$S$458,AND($T$458&gt;0,DATE($C470,3,15)&gt;$T$458)),0,IF(DATE($C470,3,15)&gt;=$X$458,$AA$458*(1+($U$458)/100)^MAX(0,$C470-$AD$458),IF(DATE($C470,3,15)&gt;=$W$458,$Z$458*(1+($U$458)/100)^MAX(0,$C470-$AC$458),IF(DATE($C470,3,15)&gt;=$V$458,$Y$458*(1+($U$458)/100)^MAX(0,$C470-$AB$458),0)))))</f>
      </c>
      <c r="H470" s="43">
        <f>IF($S$458=0,0,IF(OR(DATE($C470,4,15)&lt;$S$458,AND($T$458&gt;0,DATE($C470,4,15)&gt;$T$458)),0,IF(DATE($C470,4,15)&gt;=$X$458,$AA$458*(1+($U$458)/100)^MAX(0,$C470-$AD$458),IF(DATE($C470,4,15)&gt;=$W$458,$Z$458*(1+($U$458)/100)^MAX(0,$C470-$AC$458),IF(DATE($C470,4,15)&gt;=$V$458,$Y$458*(1+($U$458)/100)^MAX(0,$C470-$AB$458),0)))))</f>
      </c>
      <c r="I470" s="43">
        <f>IF($S$458=0,0,IF(OR(DATE($C470,5,15)&lt;$S$458,AND($T$458&gt;0,DATE($C470,5,15)&gt;$T$458)),0,IF(DATE($C470,5,15)&gt;=$X$458,$AA$458*(1+($U$458)/100)^MAX(0,$C470-$AD$458),IF(DATE($C470,5,15)&gt;=$W$458,$Z$458*(1+($U$458)/100)^MAX(0,$C470-$AC$458),IF(DATE($C470,5,15)&gt;=$V$458,$Y$458*(1+($U$458)/100)^MAX(0,$C470-$AB$458),0)))))</f>
      </c>
      <c r="J470" s="43">
        <f>IF($S$458=0,0,IF(OR(DATE($C470,6,15)&lt;$S$458,AND($T$458&gt;0,DATE($C470,6,15)&gt;$T$458)),0,IF(DATE($C470,6,15)&gt;=$X$458,$AA$458*(1+($U$458)/100)^MAX(0,$C470-$AD$458),IF(DATE($C470,6,15)&gt;=$W$458,$Z$458*(1+($U$458)/100)^MAX(0,$C470-$AC$458),IF(DATE($C470,6,15)&gt;=$V$458,$Y$458*(1+($U$458)/100)^MAX(0,$C470-$AB$458),0)))))</f>
      </c>
      <c r="K470" s="43">
        <f>IF($S$458=0,0,IF(OR(DATE($C470,7,15)&lt;$S$458,AND($T$458&gt;0,DATE($C470,7,15)&gt;$T$458)),0,IF(DATE($C470,7,15)&gt;=$X$458,$AA$458*(1+($U$458)/100)^MAX(0,$C470-$AD$458),IF(DATE($C470,7,15)&gt;=$W$458,$Z$458*(1+($U$458)/100)^MAX(0,$C470-$AC$458),IF(DATE($C470,7,15)&gt;=$V$458,$Y$458*(1+($U$458)/100)^MAX(0,$C470-$AB$458),0)))))</f>
      </c>
      <c r="L470" s="43">
        <f>IF($S$458=0,0,IF(OR(DATE($C470,8,15)&lt;$S$458,AND($T$458&gt;0,DATE($C470,8,15)&gt;$T$458)),0,IF(DATE($C470,8,15)&gt;=$X$458,$AA$458*(1+($U$458)/100)^MAX(0,$C470-$AD$458),IF(DATE($C470,8,15)&gt;=$W$458,$Z$458*(1+($U$458)/100)^MAX(0,$C470-$AC$458),IF(DATE($C470,8,15)&gt;=$V$458,$Y$458*(1+($U$458)/100)^MAX(0,$C470-$AB$458),0)))))</f>
      </c>
      <c r="M470" s="43">
        <f>IF($S$458=0,0,IF(OR(DATE($C470,9,15)&lt;$S$458,AND($T$458&gt;0,DATE($C470,9,15)&gt;$T$458)),0,IF(DATE($C470,9,15)&gt;=$X$458,$AA$458*(1+($U$458)/100)^MAX(0,$C470-$AD$458),IF(DATE($C470,9,15)&gt;=$W$458,$Z$458*(1+($U$458)/100)^MAX(0,$C470-$AC$458),IF(DATE($C470,9,15)&gt;=$V$458,$Y$458*(1+($U$458)/100)^MAX(0,$C470-$AB$458),0)))))</f>
      </c>
      <c r="N470" s="43">
        <f>IF($S$458=0,0,IF(OR(DATE($C470,10,15)&lt;$S$458,AND($T$458&gt;0,DATE($C470,10,15)&gt;$T$458)),0,IF(DATE($C470,10,15)&gt;=$X$458,$AA$458*(1+($U$458)/100)^MAX(0,$C470-$AD$458),IF(DATE($C470,10,15)&gt;=$W$458,$Z$458*(1+($U$458)/100)^MAX(0,$C470-$AC$458),IF(DATE($C470,10,15)&gt;=$V$458,$Y$458*(1+($U$458)/100)^MAX(0,$C470-$AB$458),0)))))</f>
      </c>
      <c r="O470" s="43">
        <f>IF($S$458=0,0,IF(OR(DATE($C470,11,15)&lt;$S$458,AND($T$458&gt;0,DATE($C470,11,15)&gt;$T$458)),0,IF(DATE($C470,11,15)&gt;=$X$458,$AA$458*(1+($U$458)/100)^MAX(0,$C470-$AD$458),IF(DATE($C470,11,15)&gt;=$W$458,$Z$458*(1+($U$458)/100)^MAX(0,$C470-$AC$458),IF(DATE($C470,11,15)&gt;=$V$458,$Y$458*(1+($U$458)/100)^MAX(0,$C470-$AB$458),0)))))</f>
      </c>
      <c r="P470" s="43">
        <f>IF($S$458=0,0,IF(OR(DATE($C470,12,15)&lt;$S$458,AND($T$458&gt;0,DATE($C470,12,15)&gt;$T$458)),0,IF(DATE($C470,12,15)&gt;=$X$458,$AA$458*(1+($U$458)/100)^MAX(0,$C470-$AD$458),IF(DATE($C470,12,15)&gt;=$W$458,$Z$458*(1+($U$458)/100)^MAX(0,$C470-$AC$458),IF(DATE($C470,12,15)&gt;=$V$458,$Y$458*(1+($U$458)/100)^MAX(0,$C470-$AB$458),0)))))</f>
      </c>
      <c r="Q470" s="43">
        <f>SUM($E470:$P470)</f>
      </c>
    </row>
    <row r="471">
      <c r="A471"/>
      <c r="B471">
        <v>15</v>
      </c>
      <c r="C471" s="43">
        <f>Jahr+13</f>
      </c>
      <c r="D471" s="43">
        <f>INDEX(MvObj,15)</f>
      </c>
      <c r="E471" s="43">
        <f>IF($S$458=0,0,IF(OR(DATE($C471,1,15)&lt;$S$458,AND($T$458&gt;0,DATE($C471,1,15)&gt;$T$458)),0,IF(DATE($C471,1,15)&gt;=$X$458,$AA$458*(1+($U$458)/100)^MAX(0,$C471-$AD$458),IF(DATE($C471,1,15)&gt;=$W$458,$Z$458*(1+($U$458)/100)^MAX(0,$C471-$AC$458),IF(DATE($C471,1,15)&gt;=$V$458,$Y$458*(1+($U$458)/100)^MAX(0,$C471-$AB$458),0)))))</f>
      </c>
      <c r="F471" s="43">
        <f>IF($S$458=0,0,IF(OR(DATE($C471,2,15)&lt;$S$458,AND($T$458&gt;0,DATE($C471,2,15)&gt;$T$458)),0,IF(DATE($C471,2,15)&gt;=$X$458,$AA$458*(1+($U$458)/100)^MAX(0,$C471-$AD$458),IF(DATE($C471,2,15)&gt;=$W$458,$Z$458*(1+($U$458)/100)^MAX(0,$C471-$AC$458),IF(DATE($C471,2,15)&gt;=$V$458,$Y$458*(1+($U$458)/100)^MAX(0,$C471-$AB$458),0)))))</f>
      </c>
      <c r="G471" s="43">
        <f>IF($S$458=0,0,IF(OR(DATE($C471,3,15)&lt;$S$458,AND($T$458&gt;0,DATE($C471,3,15)&gt;$T$458)),0,IF(DATE($C471,3,15)&gt;=$X$458,$AA$458*(1+($U$458)/100)^MAX(0,$C471-$AD$458),IF(DATE($C471,3,15)&gt;=$W$458,$Z$458*(1+($U$458)/100)^MAX(0,$C471-$AC$458),IF(DATE($C471,3,15)&gt;=$V$458,$Y$458*(1+($U$458)/100)^MAX(0,$C471-$AB$458),0)))))</f>
      </c>
      <c r="H471" s="43">
        <f>IF($S$458=0,0,IF(OR(DATE($C471,4,15)&lt;$S$458,AND($T$458&gt;0,DATE($C471,4,15)&gt;$T$458)),0,IF(DATE($C471,4,15)&gt;=$X$458,$AA$458*(1+($U$458)/100)^MAX(0,$C471-$AD$458),IF(DATE($C471,4,15)&gt;=$W$458,$Z$458*(1+($U$458)/100)^MAX(0,$C471-$AC$458),IF(DATE($C471,4,15)&gt;=$V$458,$Y$458*(1+($U$458)/100)^MAX(0,$C471-$AB$458),0)))))</f>
      </c>
      <c r="I471" s="43">
        <f>IF($S$458=0,0,IF(OR(DATE($C471,5,15)&lt;$S$458,AND($T$458&gt;0,DATE($C471,5,15)&gt;$T$458)),0,IF(DATE($C471,5,15)&gt;=$X$458,$AA$458*(1+($U$458)/100)^MAX(0,$C471-$AD$458),IF(DATE($C471,5,15)&gt;=$W$458,$Z$458*(1+($U$458)/100)^MAX(0,$C471-$AC$458),IF(DATE($C471,5,15)&gt;=$V$458,$Y$458*(1+($U$458)/100)^MAX(0,$C471-$AB$458),0)))))</f>
      </c>
      <c r="J471" s="43">
        <f>IF($S$458=0,0,IF(OR(DATE($C471,6,15)&lt;$S$458,AND($T$458&gt;0,DATE($C471,6,15)&gt;$T$458)),0,IF(DATE($C471,6,15)&gt;=$X$458,$AA$458*(1+($U$458)/100)^MAX(0,$C471-$AD$458),IF(DATE($C471,6,15)&gt;=$W$458,$Z$458*(1+($U$458)/100)^MAX(0,$C471-$AC$458),IF(DATE($C471,6,15)&gt;=$V$458,$Y$458*(1+($U$458)/100)^MAX(0,$C471-$AB$458),0)))))</f>
      </c>
      <c r="K471" s="43">
        <f>IF($S$458=0,0,IF(OR(DATE($C471,7,15)&lt;$S$458,AND($T$458&gt;0,DATE($C471,7,15)&gt;$T$458)),0,IF(DATE($C471,7,15)&gt;=$X$458,$AA$458*(1+($U$458)/100)^MAX(0,$C471-$AD$458),IF(DATE($C471,7,15)&gt;=$W$458,$Z$458*(1+($U$458)/100)^MAX(0,$C471-$AC$458),IF(DATE($C471,7,15)&gt;=$V$458,$Y$458*(1+($U$458)/100)^MAX(0,$C471-$AB$458),0)))))</f>
      </c>
      <c r="L471" s="43">
        <f>IF($S$458=0,0,IF(OR(DATE($C471,8,15)&lt;$S$458,AND($T$458&gt;0,DATE($C471,8,15)&gt;$T$458)),0,IF(DATE($C471,8,15)&gt;=$X$458,$AA$458*(1+($U$458)/100)^MAX(0,$C471-$AD$458),IF(DATE($C471,8,15)&gt;=$W$458,$Z$458*(1+($U$458)/100)^MAX(0,$C471-$AC$458),IF(DATE($C471,8,15)&gt;=$V$458,$Y$458*(1+($U$458)/100)^MAX(0,$C471-$AB$458),0)))))</f>
      </c>
      <c r="M471" s="43">
        <f>IF($S$458=0,0,IF(OR(DATE($C471,9,15)&lt;$S$458,AND($T$458&gt;0,DATE($C471,9,15)&gt;$T$458)),0,IF(DATE($C471,9,15)&gt;=$X$458,$AA$458*(1+($U$458)/100)^MAX(0,$C471-$AD$458),IF(DATE($C471,9,15)&gt;=$W$458,$Z$458*(1+($U$458)/100)^MAX(0,$C471-$AC$458),IF(DATE($C471,9,15)&gt;=$V$458,$Y$458*(1+($U$458)/100)^MAX(0,$C471-$AB$458),0)))))</f>
      </c>
      <c r="N471" s="43">
        <f>IF($S$458=0,0,IF(OR(DATE($C471,10,15)&lt;$S$458,AND($T$458&gt;0,DATE($C471,10,15)&gt;$T$458)),0,IF(DATE($C471,10,15)&gt;=$X$458,$AA$458*(1+($U$458)/100)^MAX(0,$C471-$AD$458),IF(DATE($C471,10,15)&gt;=$W$458,$Z$458*(1+($U$458)/100)^MAX(0,$C471-$AC$458),IF(DATE($C471,10,15)&gt;=$V$458,$Y$458*(1+($U$458)/100)^MAX(0,$C471-$AB$458),0)))))</f>
      </c>
      <c r="O471" s="43">
        <f>IF($S$458=0,0,IF(OR(DATE($C471,11,15)&lt;$S$458,AND($T$458&gt;0,DATE($C471,11,15)&gt;$T$458)),0,IF(DATE($C471,11,15)&gt;=$X$458,$AA$458*(1+($U$458)/100)^MAX(0,$C471-$AD$458),IF(DATE($C471,11,15)&gt;=$W$458,$Z$458*(1+($U$458)/100)^MAX(0,$C471-$AC$458),IF(DATE($C471,11,15)&gt;=$V$458,$Y$458*(1+($U$458)/100)^MAX(0,$C471-$AB$458),0)))))</f>
      </c>
      <c r="P471" s="43">
        <f>IF($S$458=0,0,IF(OR(DATE($C471,12,15)&lt;$S$458,AND($T$458&gt;0,DATE($C471,12,15)&gt;$T$458)),0,IF(DATE($C471,12,15)&gt;=$X$458,$AA$458*(1+($U$458)/100)^MAX(0,$C471-$AD$458),IF(DATE($C471,12,15)&gt;=$W$458,$Z$458*(1+($U$458)/100)^MAX(0,$C471-$AC$458),IF(DATE($C471,12,15)&gt;=$V$458,$Y$458*(1+($U$458)/100)^MAX(0,$C471-$AB$458),0)))))</f>
      </c>
      <c r="Q471" s="43">
        <f>SUM($E471:$P471)</f>
      </c>
    </row>
    <row r="472">
      <c r="A472"/>
      <c r="B472">
        <v>15</v>
      </c>
      <c r="C472" s="43">
        <f>Jahr+14</f>
      </c>
      <c r="D472" s="43">
        <f>INDEX(MvObj,15)</f>
      </c>
      <c r="E472" s="43">
        <f>IF($S$458=0,0,IF(OR(DATE($C472,1,15)&lt;$S$458,AND($T$458&gt;0,DATE($C472,1,15)&gt;$T$458)),0,IF(DATE($C472,1,15)&gt;=$X$458,$AA$458*(1+($U$458)/100)^MAX(0,$C472-$AD$458),IF(DATE($C472,1,15)&gt;=$W$458,$Z$458*(1+($U$458)/100)^MAX(0,$C472-$AC$458),IF(DATE($C472,1,15)&gt;=$V$458,$Y$458*(1+($U$458)/100)^MAX(0,$C472-$AB$458),0)))))</f>
      </c>
      <c r="F472" s="43">
        <f>IF($S$458=0,0,IF(OR(DATE($C472,2,15)&lt;$S$458,AND($T$458&gt;0,DATE($C472,2,15)&gt;$T$458)),0,IF(DATE($C472,2,15)&gt;=$X$458,$AA$458*(1+($U$458)/100)^MAX(0,$C472-$AD$458),IF(DATE($C472,2,15)&gt;=$W$458,$Z$458*(1+($U$458)/100)^MAX(0,$C472-$AC$458),IF(DATE($C472,2,15)&gt;=$V$458,$Y$458*(1+($U$458)/100)^MAX(0,$C472-$AB$458),0)))))</f>
      </c>
      <c r="G472" s="43">
        <f>IF($S$458=0,0,IF(OR(DATE($C472,3,15)&lt;$S$458,AND($T$458&gt;0,DATE($C472,3,15)&gt;$T$458)),0,IF(DATE($C472,3,15)&gt;=$X$458,$AA$458*(1+($U$458)/100)^MAX(0,$C472-$AD$458),IF(DATE($C472,3,15)&gt;=$W$458,$Z$458*(1+($U$458)/100)^MAX(0,$C472-$AC$458),IF(DATE($C472,3,15)&gt;=$V$458,$Y$458*(1+($U$458)/100)^MAX(0,$C472-$AB$458),0)))))</f>
      </c>
      <c r="H472" s="43">
        <f>IF($S$458=0,0,IF(OR(DATE($C472,4,15)&lt;$S$458,AND($T$458&gt;0,DATE($C472,4,15)&gt;$T$458)),0,IF(DATE($C472,4,15)&gt;=$X$458,$AA$458*(1+($U$458)/100)^MAX(0,$C472-$AD$458),IF(DATE($C472,4,15)&gt;=$W$458,$Z$458*(1+($U$458)/100)^MAX(0,$C472-$AC$458),IF(DATE($C472,4,15)&gt;=$V$458,$Y$458*(1+($U$458)/100)^MAX(0,$C472-$AB$458),0)))))</f>
      </c>
      <c r="I472" s="43">
        <f>IF($S$458=0,0,IF(OR(DATE($C472,5,15)&lt;$S$458,AND($T$458&gt;0,DATE($C472,5,15)&gt;$T$458)),0,IF(DATE($C472,5,15)&gt;=$X$458,$AA$458*(1+($U$458)/100)^MAX(0,$C472-$AD$458),IF(DATE($C472,5,15)&gt;=$W$458,$Z$458*(1+($U$458)/100)^MAX(0,$C472-$AC$458),IF(DATE($C472,5,15)&gt;=$V$458,$Y$458*(1+($U$458)/100)^MAX(0,$C472-$AB$458),0)))))</f>
      </c>
      <c r="J472" s="43">
        <f>IF($S$458=0,0,IF(OR(DATE($C472,6,15)&lt;$S$458,AND($T$458&gt;0,DATE($C472,6,15)&gt;$T$458)),0,IF(DATE($C472,6,15)&gt;=$X$458,$AA$458*(1+($U$458)/100)^MAX(0,$C472-$AD$458),IF(DATE($C472,6,15)&gt;=$W$458,$Z$458*(1+($U$458)/100)^MAX(0,$C472-$AC$458),IF(DATE($C472,6,15)&gt;=$V$458,$Y$458*(1+($U$458)/100)^MAX(0,$C472-$AB$458),0)))))</f>
      </c>
      <c r="K472" s="43">
        <f>IF($S$458=0,0,IF(OR(DATE($C472,7,15)&lt;$S$458,AND($T$458&gt;0,DATE($C472,7,15)&gt;$T$458)),0,IF(DATE($C472,7,15)&gt;=$X$458,$AA$458*(1+($U$458)/100)^MAX(0,$C472-$AD$458),IF(DATE($C472,7,15)&gt;=$W$458,$Z$458*(1+($U$458)/100)^MAX(0,$C472-$AC$458),IF(DATE($C472,7,15)&gt;=$V$458,$Y$458*(1+($U$458)/100)^MAX(0,$C472-$AB$458),0)))))</f>
      </c>
      <c r="L472" s="43">
        <f>IF($S$458=0,0,IF(OR(DATE($C472,8,15)&lt;$S$458,AND($T$458&gt;0,DATE($C472,8,15)&gt;$T$458)),0,IF(DATE($C472,8,15)&gt;=$X$458,$AA$458*(1+($U$458)/100)^MAX(0,$C472-$AD$458),IF(DATE($C472,8,15)&gt;=$W$458,$Z$458*(1+($U$458)/100)^MAX(0,$C472-$AC$458),IF(DATE($C472,8,15)&gt;=$V$458,$Y$458*(1+($U$458)/100)^MAX(0,$C472-$AB$458),0)))))</f>
      </c>
      <c r="M472" s="43">
        <f>IF($S$458=0,0,IF(OR(DATE($C472,9,15)&lt;$S$458,AND($T$458&gt;0,DATE($C472,9,15)&gt;$T$458)),0,IF(DATE($C472,9,15)&gt;=$X$458,$AA$458*(1+($U$458)/100)^MAX(0,$C472-$AD$458),IF(DATE($C472,9,15)&gt;=$W$458,$Z$458*(1+($U$458)/100)^MAX(0,$C472-$AC$458),IF(DATE($C472,9,15)&gt;=$V$458,$Y$458*(1+($U$458)/100)^MAX(0,$C472-$AB$458),0)))))</f>
      </c>
      <c r="N472" s="43">
        <f>IF($S$458=0,0,IF(OR(DATE($C472,10,15)&lt;$S$458,AND($T$458&gt;0,DATE($C472,10,15)&gt;$T$458)),0,IF(DATE($C472,10,15)&gt;=$X$458,$AA$458*(1+($U$458)/100)^MAX(0,$C472-$AD$458),IF(DATE($C472,10,15)&gt;=$W$458,$Z$458*(1+($U$458)/100)^MAX(0,$C472-$AC$458),IF(DATE($C472,10,15)&gt;=$V$458,$Y$458*(1+($U$458)/100)^MAX(0,$C472-$AB$458),0)))))</f>
      </c>
      <c r="O472" s="43">
        <f>IF($S$458=0,0,IF(OR(DATE($C472,11,15)&lt;$S$458,AND($T$458&gt;0,DATE($C472,11,15)&gt;$T$458)),0,IF(DATE($C472,11,15)&gt;=$X$458,$AA$458*(1+($U$458)/100)^MAX(0,$C472-$AD$458),IF(DATE($C472,11,15)&gt;=$W$458,$Z$458*(1+($U$458)/100)^MAX(0,$C472-$AC$458),IF(DATE($C472,11,15)&gt;=$V$458,$Y$458*(1+($U$458)/100)^MAX(0,$C472-$AB$458),0)))))</f>
      </c>
      <c r="P472" s="43">
        <f>IF($S$458=0,0,IF(OR(DATE($C472,12,15)&lt;$S$458,AND($T$458&gt;0,DATE($C472,12,15)&gt;$T$458)),0,IF(DATE($C472,12,15)&gt;=$X$458,$AA$458*(1+($U$458)/100)^MAX(0,$C472-$AD$458),IF(DATE($C472,12,15)&gt;=$W$458,$Z$458*(1+($U$458)/100)^MAX(0,$C472-$AC$458),IF(DATE($C472,12,15)&gt;=$V$458,$Y$458*(1+($U$458)/100)^MAX(0,$C472-$AB$458),0)))))</f>
      </c>
      <c r="Q472" s="43">
        <f>SUM($E472:$P472)</f>
      </c>
    </row>
    <row r="473">
      <c r="A473"/>
      <c r="B473">
        <v>15</v>
      </c>
      <c r="C473" s="43">
        <f>Jahr+15</f>
      </c>
      <c r="D473" s="43">
        <f>INDEX(MvObj,15)</f>
      </c>
      <c r="E473" s="43">
        <f>IF($S$458=0,0,IF(OR(DATE($C473,1,15)&lt;$S$458,AND($T$458&gt;0,DATE($C473,1,15)&gt;$T$458)),0,IF(DATE($C473,1,15)&gt;=$X$458,$AA$458*(1+($U$458)/100)^MAX(0,$C473-$AD$458),IF(DATE($C473,1,15)&gt;=$W$458,$Z$458*(1+($U$458)/100)^MAX(0,$C473-$AC$458),IF(DATE($C473,1,15)&gt;=$V$458,$Y$458*(1+($U$458)/100)^MAX(0,$C473-$AB$458),0)))))</f>
      </c>
      <c r="F473" s="43">
        <f>IF($S$458=0,0,IF(OR(DATE($C473,2,15)&lt;$S$458,AND($T$458&gt;0,DATE($C473,2,15)&gt;$T$458)),0,IF(DATE($C473,2,15)&gt;=$X$458,$AA$458*(1+($U$458)/100)^MAX(0,$C473-$AD$458),IF(DATE($C473,2,15)&gt;=$W$458,$Z$458*(1+($U$458)/100)^MAX(0,$C473-$AC$458),IF(DATE($C473,2,15)&gt;=$V$458,$Y$458*(1+($U$458)/100)^MAX(0,$C473-$AB$458),0)))))</f>
      </c>
      <c r="G473" s="43">
        <f>IF($S$458=0,0,IF(OR(DATE($C473,3,15)&lt;$S$458,AND($T$458&gt;0,DATE($C473,3,15)&gt;$T$458)),0,IF(DATE($C473,3,15)&gt;=$X$458,$AA$458*(1+($U$458)/100)^MAX(0,$C473-$AD$458),IF(DATE($C473,3,15)&gt;=$W$458,$Z$458*(1+($U$458)/100)^MAX(0,$C473-$AC$458),IF(DATE($C473,3,15)&gt;=$V$458,$Y$458*(1+($U$458)/100)^MAX(0,$C473-$AB$458),0)))))</f>
      </c>
      <c r="H473" s="43">
        <f>IF($S$458=0,0,IF(OR(DATE($C473,4,15)&lt;$S$458,AND($T$458&gt;0,DATE($C473,4,15)&gt;$T$458)),0,IF(DATE($C473,4,15)&gt;=$X$458,$AA$458*(1+($U$458)/100)^MAX(0,$C473-$AD$458),IF(DATE($C473,4,15)&gt;=$W$458,$Z$458*(1+($U$458)/100)^MAX(0,$C473-$AC$458),IF(DATE($C473,4,15)&gt;=$V$458,$Y$458*(1+($U$458)/100)^MAX(0,$C473-$AB$458),0)))))</f>
      </c>
      <c r="I473" s="43">
        <f>IF($S$458=0,0,IF(OR(DATE($C473,5,15)&lt;$S$458,AND($T$458&gt;0,DATE($C473,5,15)&gt;$T$458)),0,IF(DATE($C473,5,15)&gt;=$X$458,$AA$458*(1+($U$458)/100)^MAX(0,$C473-$AD$458),IF(DATE($C473,5,15)&gt;=$W$458,$Z$458*(1+($U$458)/100)^MAX(0,$C473-$AC$458),IF(DATE($C473,5,15)&gt;=$V$458,$Y$458*(1+($U$458)/100)^MAX(0,$C473-$AB$458),0)))))</f>
      </c>
      <c r="J473" s="43">
        <f>IF($S$458=0,0,IF(OR(DATE($C473,6,15)&lt;$S$458,AND($T$458&gt;0,DATE($C473,6,15)&gt;$T$458)),0,IF(DATE($C473,6,15)&gt;=$X$458,$AA$458*(1+($U$458)/100)^MAX(0,$C473-$AD$458),IF(DATE($C473,6,15)&gt;=$W$458,$Z$458*(1+($U$458)/100)^MAX(0,$C473-$AC$458),IF(DATE($C473,6,15)&gt;=$V$458,$Y$458*(1+($U$458)/100)^MAX(0,$C473-$AB$458),0)))))</f>
      </c>
      <c r="K473" s="43">
        <f>IF($S$458=0,0,IF(OR(DATE($C473,7,15)&lt;$S$458,AND($T$458&gt;0,DATE($C473,7,15)&gt;$T$458)),0,IF(DATE($C473,7,15)&gt;=$X$458,$AA$458*(1+($U$458)/100)^MAX(0,$C473-$AD$458),IF(DATE($C473,7,15)&gt;=$W$458,$Z$458*(1+($U$458)/100)^MAX(0,$C473-$AC$458),IF(DATE($C473,7,15)&gt;=$V$458,$Y$458*(1+($U$458)/100)^MAX(0,$C473-$AB$458),0)))))</f>
      </c>
      <c r="L473" s="43">
        <f>IF($S$458=0,0,IF(OR(DATE($C473,8,15)&lt;$S$458,AND($T$458&gt;0,DATE($C473,8,15)&gt;$T$458)),0,IF(DATE($C473,8,15)&gt;=$X$458,$AA$458*(1+($U$458)/100)^MAX(0,$C473-$AD$458),IF(DATE($C473,8,15)&gt;=$W$458,$Z$458*(1+($U$458)/100)^MAX(0,$C473-$AC$458),IF(DATE($C473,8,15)&gt;=$V$458,$Y$458*(1+($U$458)/100)^MAX(0,$C473-$AB$458),0)))))</f>
      </c>
      <c r="M473" s="43">
        <f>IF($S$458=0,0,IF(OR(DATE($C473,9,15)&lt;$S$458,AND($T$458&gt;0,DATE($C473,9,15)&gt;$T$458)),0,IF(DATE($C473,9,15)&gt;=$X$458,$AA$458*(1+($U$458)/100)^MAX(0,$C473-$AD$458),IF(DATE($C473,9,15)&gt;=$W$458,$Z$458*(1+($U$458)/100)^MAX(0,$C473-$AC$458),IF(DATE($C473,9,15)&gt;=$V$458,$Y$458*(1+($U$458)/100)^MAX(0,$C473-$AB$458),0)))))</f>
      </c>
      <c r="N473" s="43">
        <f>IF($S$458=0,0,IF(OR(DATE($C473,10,15)&lt;$S$458,AND($T$458&gt;0,DATE($C473,10,15)&gt;$T$458)),0,IF(DATE($C473,10,15)&gt;=$X$458,$AA$458*(1+($U$458)/100)^MAX(0,$C473-$AD$458),IF(DATE($C473,10,15)&gt;=$W$458,$Z$458*(1+($U$458)/100)^MAX(0,$C473-$AC$458),IF(DATE($C473,10,15)&gt;=$V$458,$Y$458*(1+($U$458)/100)^MAX(0,$C473-$AB$458),0)))))</f>
      </c>
      <c r="O473" s="43">
        <f>IF($S$458=0,0,IF(OR(DATE($C473,11,15)&lt;$S$458,AND($T$458&gt;0,DATE($C473,11,15)&gt;$T$458)),0,IF(DATE($C473,11,15)&gt;=$X$458,$AA$458*(1+($U$458)/100)^MAX(0,$C473-$AD$458),IF(DATE($C473,11,15)&gt;=$W$458,$Z$458*(1+($U$458)/100)^MAX(0,$C473-$AC$458),IF(DATE($C473,11,15)&gt;=$V$458,$Y$458*(1+($U$458)/100)^MAX(0,$C473-$AB$458),0)))))</f>
      </c>
      <c r="P473" s="43">
        <f>IF($S$458=0,0,IF(OR(DATE($C473,12,15)&lt;$S$458,AND($T$458&gt;0,DATE($C473,12,15)&gt;$T$458)),0,IF(DATE($C473,12,15)&gt;=$X$458,$AA$458*(1+($U$458)/100)^MAX(0,$C473-$AD$458),IF(DATE($C473,12,15)&gt;=$W$458,$Z$458*(1+($U$458)/100)^MAX(0,$C473-$AC$458),IF(DATE($C473,12,15)&gt;=$V$458,$Y$458*(1+($U$458)/100)^MAX(0,$C473-$AB$458),0)))))</f>
      </c>
      <c r="Q473" s="43">
        <f>SUM($E473:$P473)</f>
      </c>
    </row>
    <row r="474">
      <c r="A474"/>
      <c r="B474">
        <v>15</v>
      </c>
      <c r="C474" s="43">
        <f>Jahr+16</f>
      </c>
      <c r="D474" s="43">
        <f>INDEX(MvObj,15)</f>
      </c>
      <c r="E474" s="43">
        <f>IF($S$458=0,0,IF(OR(DATE($C474,1,15)&lt;$S$458,AND($T$458&gt;0,DATE($C474,1,15)&gt;$T$458)),0,IF(DATE($C474,1,15)&gt;=$X$458,$AA$458*(1+($U$458)/100)^MAX(0,$C474-$AD$458),IF(DATE($C474,1,15)&gt;=$W$458,$Z$458*(1+($U$458)/100)^MAX(0,$C474-$AC$458),IF(DATE($C474,1,15)&gt;=$V$458,$Y$458*(1+($U$458)/100)^MAX(0,$C474-$AB$458),0)))))</f>
      </c>
      <c r="F474" s="43">
        <f>IF($S$458=0,0,IF(OR(DATE($C474,2,15)&lt;$S$458,AND($T$458&gt;0,DATE($C474,2,15)&gt;$T$458)),0,IF(DATE($C474,2,15)&gt;=$X$458,$AA$458*(1+($U$458)/100)^MAX(0,$C474-$AD$458),IF(DATE($C474,2,15)&gt;=$W$458,$Z$458*(1+($U$458)/100)^MAX(0,$C474-$AC$458),IF(DATE($C474,2,15)&gt;=$V$458,$Y$458*(1+($U$458)/100)^MAX(0,$C474-$AB$458),0)))))</f>
      </c>
      <c r="G474" s="43">
        <f>IF($S$458=0,0,IF(OR(DATE($C474,3,15)&lt;$S$458,AND($T$458&gt;0,DATE($C474,3,15)&gt;$T$458)),0,IF(DATE($C474,3,15)&gt;=$X$458,$AA$458*(1+($U$458)/100)^MAX(0,$C474-$AD$458),IF(DATE($C474,3,15)&gt;=$W$458,$Z$458*(1+($U$458)/100)^MAX(0,$C474-$AC$458),IF(DATE($C474,3,15)&gt;=$V$458,$Y$458*(1+($U$458)/100)^MAX(0,$C474-$AB$458),0)))))</f>
      </c>
      <c r="H474" s="43">
        <f>IF($S$458=0,0,IF(OR(DATE($C474,4,15)&lt;$S$458,AND($T$458&gt;0,DATE($C474,4,15)&gt;$T$458)),0,IF(DATE($C474,4,15)&gt;=$X$458,$AA$458*(1+($U$458)/100)^MAX(0,$C474-$AD$458),IF(DATE($C474,4,15)&gt;=$W$458,$Z$458*(1+($U$458)/100)^MAX(0,$C474-$AC$458),IF(DATE($C474,4,15)&gt;=$V$458,$Y$458*(1+($U$458)/100)^MAX(0,$C474-$AB$458),0)))))</f>
      </c>
      <c r="I474" s="43">
        <f>IF($S$458=0,0,IF(OR(DATE($C474,5,15)&lt;$S$458,AND($T$458&gt;0,DATE($C474,5,15)&gt;$T$458)),0,IF(DATE($C474,5,15)&gt;=$X$458,$AA$458*(1+($U$458)/100)^MAX(0,$C474-$AD$458),IF(DATE($C474,5,15)&gt;=$W$458,$Z$458*(1+($U$458)/100)^MAX(0,$C474-$AC$458),IF(DATE($C474,5,15)&gt;=$V$458,$Y$458*(1+($U$458)/100)^MAX(0,$C474-$AB$458),0)))))</f>
      </c>
      <c r="J474" s="43">
        <f>IF($S$458=0,0,IF(OR(DATE($C474,6,15)&lt;$S$458,AND($T$458&gt;0,DATE($C474,6,15)&gt;$T$458)),0,IF(DATE($C474,6,15)&gt;=$X$458,$AA$458*(1+($U$458)/100)^MAX(0,$C474-$AD$458),IF(DATE($C474,6,15)&gt;=$W$458,$Z$458*(1+($U$458)/100)^MAX(0,$C474-$AC$458),IF(DATE($C474,6,15)&gt;=$V$458,$Y$458*(1+($U$458)/100)^MAX(0,$C474-$AB$458),0)))))</f>
      </c>
      <c r="K474" s="43">
        <f>IF($S$458=0,0,IF(OR(DATE($C474,7,15)&lt;$S$458,AND($T$458&gt;0,DATE($C474,7,15)&gt;$T$458)),0,IF(DATE($C474,7,15)&gt;=$X$458,$AA$458*(1+($U$458)/100)^MAX(0,$C474-$AD$458),IF(DATE($C474,7,15)&gt;=$W$458,$Z$458*(1+($U$458)/100)^MAX(0,$C474-$AC$458),IF(DATE($C474,7,15)&gt;=$V$458,$Y$458*(1+($U$458)/100)^MAX(0,$C474-$AB$458),0)))))</f>
      </c>
      <c r="L474" s="43">
        <f>IF($S$458=0,0,IF(OR(DATE($C474,8,15)&lt;$S$458,AND($T$458&gt;0,DATE($C474,8,15)&gt;$T$458)),0,IF(DATE($C474,8,15)&gt;=$X$458,$AA$458*(1+($U$458)/100)^MAX(0,$C474-$AD$458),IF(DATE($C474,8,15)&gt;=$W$458,$Z$458*(1+($U$458)/100)^MAX(0,$C474-$AC$458),IF(DATE($C474,8,15)&gt;=$V$458,$Y$458*(1+($U$458)/100)^MAX(0,$C474-$AB$458),0)))))</f>
      </c>
      <c r="M474" s="43">
        <f>IF($S$458=0,0,IF(OR(DATE($C474,9,15)&lt;$S$458,AND($T$458&gt;0,DATE($C474,9,15)&gt;$T$458)),0,IF(DATE($C474,9,15)&gt;=$X$458,$AA$458*(1+($U$458)/100)^MAX(0,$C474-$AD$458),IF(DATE($C474,9,15)&gt;=$W$458,$Z$458*(1+($U$458)/100)^MAX(0,$C474-$AC$458),IF(DATE($C474,9,15)&gt;=$V$458,$Y$458*(1+($U$458)/100)^MAX(0,$C474-$AB$458),0)))))</f>
      </c>
      <c r="N474" s="43">
        <f>IF($S$458=0,0,IF(OR(DATE($C474,10,15)&lt;$S$458,AND($T$458&gt;0,DATE($C474,10,15)&gt;$T$458)),0,IF(DATE($C474,10,15)&gt;=$X$458,$AA$458*(1+($U$458)/100)^MAX(0,$C474-$AD$458),IF(DATE($C474,10,15)&gt;=$W$458,$Z$458*(1+($U$458)/100)^MAX(0,$C474-$AC$458),IF(DATE($C474,10,15)&gt;=$V$458,$Y$458*(1+($U$458)/100)^MAX(0,$C474-$AB$458),0)))))</f>
      </c>
      <c r="O474" s="43">
        <f>IF($S$458=0,0,IF(OR(DATE($C474,11,15)&lt;$S$458,AND($T$458&gt;0,DATE($C474,11,15)&gt;$T$458)),0,IF(DATE($C474,11,15)&gt;=$X$458,$AA$458*(1+($U$458)/100)^MAX(0,$C474-$AD$458),IF(DATE($C474,11,15)&gt;=$W$458,$Z$458*(1+($U$458)/100)^MAX(0,$C474-$AC$458),IF(DATE($C474,11,15)&gt;=$V$458,$Y$458*(1+($U$458)/100)^MAX(0,$C474-$AB$458),0)))))</f>
      </c>
      <c r="P474" s="43">
        <f>IF($S$458=0,0,IF(OR(DATE($C474,12,15)&lt;$S$458,AND($T$458&gt;0,DATE($C474,12,15)&gt;$T$458)),0,IF(DATE($C474,12,15)&gt;=$X$458,$AA$458*(1+($U$458)/100)^MAX(0,$C474-$AD$458),IF(DATE($C474,12,15)&gt;=$W$458,$Z$458*(1+($U$458)/100)^MAX(0,$C474-$AC$458),IF(DATE($C474,12,15)&gt;=$V$458,$Y$458*(1+($U$458)/100)^MAX(0,$C474-$AB$458),0)))))</f>
      </c>
      <c r="Q474" s="43">
        <f>SUM($E474:$P474)</f>
      </c>
    </row>
    <row r="475">
      <c r="A475"/>
      <c r="B475">
        <v>15</v>
      </c>
      <c r="C475" s="43">
        <f>Jahr+17</f>
      </c>
      <c r="D475" s="43">
        <f>INDEX(MvObj,15)</f>
      </c>
      <c r="E475" s="43">
        <f>IF($S$458=0,0,IF(OR(DATE($C475,1,15)&lt;$S$458,AND($T$458&gt;0,DATE($C475,1,15)&gt;$T$458)),0,IF(DATE($C475,1,15)&gt;=$X$458,$AA$458*(1+($U$458)/100)^MAX(0,$C475-$AD$458),IF(DATE($C475,1,15)&gt;=$W$458,$Z$458*(1+($U$458)/100)^MAX(0,$C475-$AC$458),IF(DATE($C475,1,15)&gt;=$V$458,$Y$458*(1+($U$458)/100)^MAX(0,$C475-$AB$458),0)))))</f>
      </c>
      <c r="F475" s="43">
        <f>IF($S$458=0,0,IF(OR(DATE($C475,2,15)&lt;$S$458,AND($T$458&gt;0,DATE($C475,2,15)&gt;$T$458)),0,IF(DATE($C475,2,15)&gt;=$X$458,$AA$458*(1+($U$458)/100)^MAX(0,$C475-$AD$458),IF(DATE($C475,2,15)&gt;=$W$458,$Z$458*(1+($U$458)/100)^MAX(0,$C475-$AC$458),IF(DATE($C475,2,15)&gt;=$V$458,$Y$458*(1+($U$458)/100)^MAX(0,$C475-$AB$458),0)))))</f>
      </c>
      <c r="G475" s="43">
        <f>IF($S$458=0,0,IF(OR(DATE($C475,3,15)&lt;$S$458,AND($T$458&gt;0,DATE($C475,3,15)&gt;$T$458)),0,IF(DATE($C475,3,15)&gt;=$X$458,$AA$458*(1+($U$458)/100)^MAX(0,$C475-$AD$458),IF(DATE($C475,3,15)&gt;=$W$458,$Z$458*(1+($U$458)/100)^MAX(0,$C475-$AC$458),IF(DATE($C475,3,15)&gt;=$V$458,$Y$458*(1+($U$458)/100)^MAX(0,$C475-$AB$458),0)))))</f>
      </c>
      <c r="H475" s="43">
        <f>IF($S$458=0,0,IF(OR(DATE($C475,4,15)&lt;$S$458,AND($T$458&gt;0,DATE($C475,4,15)&gt;$T$458)),0,IF(DATE($C475,4,15)&gt;=$X$458,$AA$458*(1+($U$458)/100)^MAX(0,$C475-$AD$458),IF(DATE($C475,4,15)&gt;=$W$458,$Z$458*(1+($U$458)/100)^MAX(0,$C475-$AC$458),IF(DATE($C475,4,15)&gt;=$V$458,$Y$458*(1+($U$458)/100)^MAX(0,$C475-$AB$458),0)))))</f>
      </c>
      <c r="I475" s="43">
        <f>IF($S$458=0,0,IF(OR(DATE($C475,5,15)&lt;$S$458,AND($T$458&gt;0,DATE($C475,5,15)&gt;$T$458)),0,IF(DATE($C475,5,15)&gt;=$X$458,$AA$458*(1+($U$458)/100)^MAX(0,$C475-$AD$458),IF(DATE($C475,5,15)&gt;=$W$458,$Z$458*(1+($U$458)/100)^MAX(0,$C475-$AC$458),IF(DATE($C475,5,15)&gt;=$V$458,$Y$458*(1+($U$458)/100)^MAX(0,$C475-$AB$458),0)))))</f>
      </c>
      <c r="J475" s="43">
        <f>IF($S$458=0,0,IF(OR(DATE($C475,6,15)&lt;$S$458,AND($T$458&gt;0,DATE($C475,6,15)&gt;$T$458)),0,IF(DATE($C475,6,15)&gt;=$X$458,$AA$458*(1+($U$458)/100)^MAX(0,$C475-$AD$458),IF(DATE($C475,6,15)&gt;=$W$458,$Z$458*(1+($U$458)/100)^MAX(0,$C475-$AC$458),IF(DATE($C475,6,15)&gt;=$V$458,$Y$458*(1+($U$458)/100)^MAX(0,$C475-$AB$458),0)))))</f>
      </c>
      <c r="K475" s="43">
        <f>IF($S$458=0,0,IF(OR(DATE($C475,7,15)&lt;$S$458,AND($T$458&gt;0,DATE($C475,7,15)&gt;$T$458)),0,IF(DATE($C475,7,15)&gt;=$X$458,$AA$458*(1+($U$458)/100)^MAX(0,$C475-$AD$458),IF(DATE($C475,7,15)&gt;=$W$458,$Z$458*(1+($U$458)/100)^MAX(0,$C475-$AC$458),IF(DATE($C475,7,15)&gt;=$V$458,$Y$458*(1+($U$458)/100)^MAX(0,$C475-$AB$458),0)))))</f>
      </c>
      <c r="L475" s="43">
        <f>IF($S$458=0,0,IF(OR(DATE($C475,8,15)&lt;$S$458,AND($T$458&gt;0,DATE($C475,8,15)&gt;$T$458)),0,IF(DATE($C475,8,15)&gt;=$X$458,$AA$458*(1+($U$458)/100)^MAX(0,$C475-$AD$458),IF(DATE($C475,8,15)&gt;=$W$458,$Z$458*(1+($U$458)/100)^MAX(0,$C475-$AC$458),IF(DATE($C475,8,15)&gt;=$V$458,$Y$458*(1+($U$458)/100)^MAX(0,$C475-$AB$458),0)))))</f>
      </c>
      <c r="M475" s="43">
        <f>IF($S$458=0,0,IF(OR(DATE($C475,9,15)&lt;$S$458,AND($T$458&gt;0,DATE($C475,9,15)&gt;$T$458)),0,IF(DATE($C475,9,15)&gt;=$X$458,$AA$458*(1+($U$458)/100)^MAX(0,$C475-$AD$458),IF(DATE($C475,9,15)&gt;=$W$458,$Z$458*(1+($U$458)/100)^MAX(0,$C475-$AC$458),IF(DATE($C475,9,15)&gt;=$V$458,$Y$458*(1+($U$458)/100)^MAX(0,$C475-$AB$458),0)))))</f>
      </c>
      <c r="N475" s="43">
        <f>IF($S$458=0,0,IF(OR(DATE($C475,10,15)&lt;$S$458,AND($T$458&gt;0,DATE($C475,10,15)&gt;$T$458)),0,IF(DATE($C475,10,15)&gt;=$X$458,$AA$458*(1+($U$458)/100)^MAX(0,$C475-$AD$458),IF(DATE($C475,10,15)&gt;=$W$458,$Z$458*(1+($U$458)/100)^MAX(0,$C475-$AC$458),IF(DATE($C475,10,15)&gt;=$V$458,$Y$458*(1+($U$458)/100)^MAX(0,$C475-$AB$458),0)))))</f>
      </c>
      <c r="O475" s="43">
        <f>IF($S$458=0,0,IF(OR(DATE($C475,11,15)&lt;$S$458,AND($T$458&gt;0,DATE($C475,11,15)&gt;$T$458)),0,IF(DATE($C475,11,15)&gt;=$X$458,$AA$458*(1+($U$458)/100)^MAX(0,$C475-$AD$458),IF(DATE($C475,11,15)&gt;=$W$458,$Z$458*(1+($U$458)/100)^MAX(0,$C475-$AC$458),IF(DATE($C475,11,15)&gt;=$V$458,$Y$458*(1+($U$458)/100)^MAX(0,$C475-$AB$458),0)))))</f>
      </c>
      <c r="P475" s="43">
        <f>IF($S$458=0,0,IF(OR(DATE($C475,12,15)&lt;$S$458,AND($T$458&gt;0,DATE($C475,12,15)&gt;$T$458)),0,IF(DATE($C475,12,15)&gt;=$X$458,$AA$458*(1+($U$458)/100)^MAX(0,$C475-$AD$458),IF(DATE($C475,12,15)&gt;=$W$458,$Z$458*(1+($U$458)/100)^MAX(0,$C475-$AC$458),IF(DATE($C475,12,15)&gt;=$V$458,$Y$458*(1+($U$458)/100)^MAX(0,$C475-$AB$458),0)))))</f>
      </c>
      <c r="Q475" s="43">
        <f>SUM($E475:$P475)</f>
      </c>
    </row>
    <row r="476">
      <c r="A476"/>
      <c r="B476">
        <v>15</v>
      </c>
      <c r="C476" s="43">
        <f>Jahr+18</f>
      </c>
      <c r="D476" s="43">
        <f>INDEX(MvObj,15)</f>
      </c>
      <c r="E476" s="43">
        <f>IF($S$458=0,0,IF(OR(DATE($C476,1,15)&lt;$S$458,AND($T$458&gt;0,DATE($C476,1,15)&gt;$T$458)),0,IF(DATE($C476,1,15)&gt;=$X$458,$AA$458*(1+($U$458)/100)^MAX(0,$C476-$AD$458),IF(DATE($C476,1,15)&gt;=$W$458,$Z$458*(1+($U$458)/100)^MAX(0,$C476-$AC$458),IF(DATE($C476,1,15)&gt;=$V$458,$Y$458*(1+($U$458)/100)^MAX(0,$C476-$AB$458),0)))))</f>
      </c>
      <c r="F476" s="43">
        <f>IF($S$458=0,0,IF(OR(DATE($C476,2,15)&lt;$S$458,AND($T$458&gt;0,DATE($C476,2,15)&gt;$T$458)),0,IF(DATE($C476,2,15)&gt;=$X$458,$AA$458*(1+($U$458)/100)^MAX(0,$C476-$AD$458),IF(DATE($C476,2,15)&gt;=$W$458,$Z$458*(1+($U$458)/100)^MAX(0,$C476-$AC$458),IF(DATE($C476,2,15)&gt;=$V$458,$Y$458*(1+($U$458)/100)^MAX(0,$C476-$AB$458),0)))))</f>
      </c>
      <c r="G476" s="43">
        <f>IF($S$458=0,0,IF(OR(DATE($C476,3,15)&lt;$S$458,AND($T$458&gt;0,DATE($C476,3,15)&gt;$T$458)),0,IF(DATE($C476,3,15)&gt;=$X$458,$AA$458*(1+($U$458)/100)^MAX(0,$C476-$AD$458),IF(DATE($C476,3,15)&gt;=$W$458,$Z$458*(1+($U$458)/100)^MAX(0,$C476-$AC$458),IF(DATE($C476,3,15)&gt;=$V$458,$Y$458*(1+($U$458)/100)^MAX(0,$C476-$AB$458),0)))))</f>
      </c>
      <c r="H476" s="43">
        <f>IF($S$458=0,0,IF(OR(DATE($C476,4,15)&lt;$S$458,AND($T$458&gt;0,DATE($C476,4,15)&gt;$T$458)),0,IF(DATE($C476,4,15)&gt;=$X$458,$AA$458*(1+($U$458)/100)^MAX(0,$C476-$AD$458),IF(DATE($C476,4,15)&gt;=$W$458,$Z$458*(1+($U$458)/100)^MAX(0,$C476-$AC$458),IF(DATE($C476,4,15)&gt;=$V$458,$Y$458*(1+($U$458)/100)^MAX(0,$C476-$AB$458),0)))))</f>
      </c>
      <c r="I476" s="43">
        <f>IF($S$458=0,0,IF(OR(DATE($C476,5,15)&lt;$S$458,AND($T$458&gt;0,DATE($C476,5,15)&gt;$T$458)),0,IF(DATE($C476,5,15)&gt;=$X$458,$AA$458*(1+($U$458)/100)^MAX(0,$C476-$AD$458),IF(DATE($C476,5,15)&gt;=$W$458,$Z$458*(1+($U$458)/100)^MAX(0,$C476-$AC$458),IF(DATE($C476,5,15)&gt;=$V$458,$Y$458*(1+($U$458)/100)^MAX(0,$C476-$AB$458),0)))))</f>
      </c>
      <c r="J476" s="43">
        <f>IF($S$458=0,0,IF(OR(DATE($C476,6,15)&lt;$S$458,AND($T$458&gt;0,DATE($C476,6,15)&gt;$T$458)),0,IF(DATE($C476,6,15)&gt;=$X$458,$AA$458*(1+($U$458)/100)^MAX(0,$C476-$AD$458),IF(DATE($C476,6,15)&gt;=$W$458,$Z$458*(1+($U$458)/100)^MAX(0,$C476-$AC$458),IF(DATE($C476,6,15)&gt;=$V$458,$Y$458*(1+($U$458)/100)^MAX(0,$C476-$AB$458),0)))))</f>
      </c>
      <c r="K476" s="43">
        <f>IF($S$458=0,0,IF(OR(DATE($C476,7,15)&lt;$S$458,AND($T$458&gt;0,DATE($C476,7,15)&gt;$T$458)),0,IF(DATE($C476,7,15)&gt;=$X$458,$AA$458*(1+($U$458)/100)^MAX(0,$C476-$AD$458),IF(DATE($C476,7,15)&gt;=$W$458,$Z$458*(1+($U$458)/100)^MAX(0,$C476-$AC$458),IF(DATE($C476,7,15)&gt;=$V$458,$Y$458*(1+($U$458)/100)^MAX(0,$C476-$AB$458),0)))))</f>
      </c>
      <c r="L476" s="43">
        <f>IF($S$458=0,0,IF(OR(DATE($C476,8,15)&lt;$S$458,AND($T$458&gt;0,DATE($C476,8,15)&gt;$T$458)),0,IF(DATE($C476,8,15)&gt;=$X$458,$AA$458*(1+($U$458)/100)^MAX(0,$C476-$AD$458),IF(DATE($C476,8,15)&gt;=$W$458,$Z$458*(1+($U$458)/100)^MAX(0,$C476-$AC$458),IF(DATE($C476,8,15)&gt;=$V$458,$Y$458*(1+($U$458)/100)^MAX(0,$C476-$AB$458),0)))))</f>
      </c>
      <c r="M476" s="43">
        <f>IF($S$458=0,0,IF(OR(DATE($C476,9,15)&lt;$S$458,AND($T$458&gt;0,DATE($C476,9,15)&gt;$T$458)),0,IF(DATE($C476,9,15)&gt;=$X$458,$AA$458*(1+($U$458)/100)^MAX(0,$C476-$AD$458),IF(DATE($C476,9,15)&gt;=$W$458,$Z$458*(1+($U$458)/100)^MAX(0,$C476-$AC$458),IF(DATE($C476,9,15)&gt;=$V$458,$Y$458*(1+($U$458)/100)^MAX(0,$C476-$AB$458),0)))))</f>
      </c>
      <c r="N476" s="43">
        <f>IF($S$458=0,0,IF(OR(DATE($C476,10,15)&lt;$S$458,AND($T$458&gt;0,DATE($C476,10,15)&gt;$T$458)),0,IF(DATE($C476,10,15)&gt;=$X$458,$AA$458*(1+($U$458)/100)^MAX(0,$C476-$AD$458),IF(DATE($C476,10,15)&gt;=$W$458,$Z$458*(1+($U$458)/100)^MAX(0,$C476-$AC$458),IF(DATE($C476,10,15)&gt;=$V$458,$Y$458*(1+($U$458)/100)^MAX(0,$C476-$AB$458),0)))))</f>
      </c>
      <c r="O476" s="43">
        <f>IF($S$458=0,0,IF(OR(DATE($C476,11,15)&lt;$S$458,AND($T$458&gt;0,DATE($C476,11,15)&gt;$T$458)),0,IF(DATE($C476,11,15)&gt;=$X$458,$AA$458*(1+($U$458)/100)^MAX(0,$C476-$AD$458),IF(DATE($C476,11,15)&gt;=$W$458,$Z$458*(1+($U$458)/100)^MAX(0,$C476-$AC$458),IF(DATE($C476,11,15)&gt;=$V$458,$Y$458*(1+($U$458)/100)^MAX(0,$C476-$AB$458),0)))))</f>
      </c>
      <c r="P476" s="43">
        <f>IF($S$458=0,0,IF(OR(DATE($C476,12,15)&lt;$S$458,AND($T$458&gt;0,DATE($C476,12,15)&gt;$T$458)),0,IF(DATE($C476,12,15)&gt;=$X$458,$AA$458*(1+($U$458)/100)^MAX(0,$C476-$AD$458),IF(DATE($C476,12,15)&gt;=$W$458,$Z$458*(1+($U$458)/100)^MAX(0,$C476-$AC$458),IF(DATE($C476,12,15)&gt;=$V$458,$Y$458*(1+($U$458)/100)^MAX(0,$C476-$AB$458),0)))))</f>
      </c>
      <c r="Q476" s="43">
        <f>SUM($E476:$P476)</f>
      </c>
    </row>
    <row r="477">
      <c r="A477"/>
      <c r="B477">
        <v>15</v>
      </c>
      <c r="C477" s="43">
        <f>Jahr+19</f>
      </c>
      <c r="D477" s="43">
        <f>INDEX(MvObj,15)</f>
      </c>
      <c r="E477" s="43">
        <f>IF($S$458=0,0,IF(OR(DATE($C477,1,15)&lt;$S$458,AND($T$458&gt;0,DATE($C477,1,15)&gt;$T$458)),0,IF(DATE($C477,1,15)&gt;=$X$458,$AA$458*(1+($U$458)/100)^MAX(0,$C477-$AD$458),IF(DATE($C477,1,15)&gt;=$W$458,$Z$458*(1+($U$458)/100)^MAX(0,$C477-$AC$458),IF(DATE($C477,1,15)&gt;=$V$458,$Y$458*(1+($U$458)/100)^MAX(0,$C477-$AB$458),0)))))</f>
      </c>
      <c r="F477" s="43">
        <f>IF($S$458=0,0,IF(OR(DATE($C477,2,15)&lt;$S$458,AND($T$458&gt;0,DATE($C477,2,15)&gt;$T$458)),0,IF(DATE($C477,2,15)&gt;=$X$458,$AA$458*(1+($U$458)/100)^MAX(0,$C477-$AD$458),IF(DATE($C477,2,15)&gt;=$W$458,$Z$458*(1+($U$458)/100)^MAX(0,$C477-$AC$458),IF(DATE($C477,2,15)&gt;=$V$458,$Y$458*(1+($U$458)/100)^MAX(0,$C477-$AB$458),0)))))</f>
      </c>
      <c r="G477" s="43">
        <f>IF($S$458=0,0,IF(OR(DATE($C477,3,15)&lt;$S$458,AND($T$458&gt;0,DATE($C477,3,15)&gt;$T$458)),0,IF(DATE($C477,3,15)&gt;=$X$458,$AA$458*(1+($U$458)/100)^MAX(0,$C477-$AD$458),IF(DATE($C477,3,15)&gt;=$W$458,$Z$458*(1+($U$458)/100)^MAX(0,$C477-$AC$458),IF(DATE($C477,3,15)&gt;=$V$458,$Y$458*(1+($U$458)/100)^MAX(0,$C477-$AB$458),0)))))</f>
      </c>
      <c r="H477" s="43">
        <f>IF($S$458=0,0,IF(OR(DATE($C477,4,15)&lt;$S$458,AND($T$458&gt;0,DATE($C477,4,15)&gt;$T$458)),0,IF(DATE($C477,4,15)&gt;=$X$458,$AA$458*(1+($U$458)/100)^MAX(0,$C477-$AD$458),IF(DATE($C477,4,15)&gt;=$W$458,$Z$458*(1+($U$458)/100)^MAX(0,$C477-$AC$458),IF(DATE($C477,4,15)&gt;=$V$458,$Y$458*(1+($U$458)/100)^MAX(0,$C477-$AB$458),0)))))</f>
      </c>
      <c r="I477" s="43">
        <f>IF($S$458=0,0,IF(OR(DATE($C477,5,15)&lt;$S$458,AND($T$458&gt;0,DATE($C477,5,15)&gt;$T$458)),0,IF(DATE($C477,5,15)&gt;=$X$458,$AA$458*(1+($U$458)/100)^MAX(0,$C477-$AD$458),IF(DATE($C477,5,15)&gt;=$W$458,$Z$458*(1+($U$458)/100)^MAX(0,$C477-$AC$458),IF(DATE($C477,5,15)&gt;=$V$458,$Y$458*(1+($U$458)/100)^MAX(0,$C477-$AB$458),0)))))</f>
      </c>
      <c r="J477" s="43">
        <f>IF($S$458=0,0,IF(OR(DATE($C477,6,15)&lt;$S$458,AND($T$458&gt;0,DATE($C477,6,15)&gt;$T$458)),0,IF(DATE($C477,6,15)&gt;=$X$458,$AA$458*(1+($U$458)/100)^MAX(0,$C477-$AD$458),IF(DATE($C477,6,15)&gt;=$W$458,$Z$458*(1+($U$458)/100)^MAX(0,$C477-$AC$458),IF(DATE($C477,6,15)&gt;=$V$458,$Y$458*(1+($U$458)/100)^MAX(0,$C477-$AB$458),0)))))</f>
      </c>
      <c r="K477" s="43">
        <f>IF($S$458=0,0,IF(OR(DATE($C477,7,15)&lt;$S$458,AND($T$458&gt;0,DATE($C477,7,15)&gt;$T$458)),0,IF(DATE($C477,7,15)&gt;=$X$458,$AA$458*(1+($U$458)/100)^MAX(0,$C477-$AD$458),IF(DATE($C477,7,15)&gt;=$W$458,$Z$458*(1+($U$458)/100)^MAX(0,$C477-$AC$458),IF(DATE($C477,7,15)&gt;=$V$458,$Y$458*(1+($U$458)/100)^MAX(0,$C477-$AB$458),0)))))</f>
      </c>
      <c r="L477" s="43">
        <f>IF($S$458=0,0,IF(OR(DATE($C477,8,15)&lt;$S$458,AND($T$458&gt;0,DATE($C477,8,15)&gt;$T$458)),0,IF(DATE($C477,8,15)&gt;=$X$458,$AA$458*(1+($U$458)/100)^MAX(0,$C477-$AD$458),IF(DATE($C477,8,15)&gt;=$W$458,$Z$458*(1+($U$458)/100)^MAX(0,$C477-$AC$458),IF(DATE($C477,8,15)&gt;=$V$458,$Y$458*(1+($U$458)/100)^MAX(0,$C477-$AB$458),0)))))</f>
      </c>
      <c r="M477" s="43">
        <f>IF($S$458=0,0,IF(OR(DATE($C477,9,15)&lt;$S$458,AND($T$458&gt;0,DATE($C477,9,15)&gt;$T$458)),0,IF(DATE($C477,9,15)&gt;=$X$458,$AA$458*(1+($U$458)/100)^MAX(0,$C477-$AD$458),IF(DATE($C477,9,15)&gt;=$W$458,$Z$458*(1+($U$458)/100)^MAX(0,$C477-$AC$458),IF(DATE($C477,9,15)&gt;=$V$458,$Y$458*(1+($U$458)/100)^MAX(0,$C477-$AB$458),0)))))</f>
      </c>
      <c r="N477" s="43">
        <f>IF($S$458=0,0,IF(OR(DATE($C477,10,15)&lt;$S$458,AND($T$458&gt;0,DATE($C477,10,15)&gt;$T$458)),0,IF(DATE($C477,10,15)&gt;=$X$458,$AA$458*(1+($U$458)/100)^MAX(0,$C477-$AD$458),IF(DATE($C477,10,15)&gt;=$W$458,$Z$458*(1+($U$458)/100)^MAX(0,$C477-$AC$458),IF(DATE($C477,10,15)&gt;=$V$458,$Y$458*(1+($U$458)/100)^MAX(0,$C477-$AB$458),0)))))</f>
      </c>
      <c r="O477" s="43">
        <f>IF($S$458=0,0,IF(OR(DATE($C477,11,15)&lt;$S$458,AND($T$458&gt;0,DATE($C477,11,15)&gt;$T$458)),0,IF(DATE($C477,11,15)&gt;=$X$458,$AA$458*(1+($U$458)/100)^MAX(0,$C477-$AD$458),IF(DATE($C477,11,15)&gt;=$W$458,$Z$458*(1+($U$458)/100)^MAX(0,$C477-$AC$458),IF(DATE($C477,11,15)&gt;=$V$458,$Y$458*(1+($U$458)/100)^MAX(0,$C477-$AB$458),0)))))</f>
      </c>
      <c r="P477" s="43">
        <f>IF($S$458=0,0,IF(OR(DATE($C477,12,15)&lt;$S$458,AND($T$458&gt;0,DATE($C477,12,15)&gt;$T$458)),0,IF(DATE($C477,12,15)&gt;=$X$458,$AA$458*(1+($U$458)/100)^MAX(0,$C477-$AD$458),IF(DATE($C477,12,15)&gt;=$W$458,$Z$458*(1+($U$458)/100)^MAX(0,$C477-$AC$458),IF(DATE($C477,12,15)&gt;=$V$458,$Y$458*(1+($U$458)/100)^MAX(0,$C477-$AB$458),0)))))</f>
      </c>
      <c r="Q477" s="43">
        <f>SUM($E477:$P477)</f>
      </c>
    </row>
    <row r="478">
      <c r="A478"/>
      <c r="B478">
        <v>15</v>
      </c>
      <c r="C478" s="43">
        <f>Jahr+20</f>
      </c>
      <c r="D478" s="43">
        <f>INDEX(MvObj,15)</f>
      </c>
      <c r="E478" s="43">
        <f>IF($S$458=0,0,IF(OR(DATE($C478,1,15)&lt;$S$458,AND($T$458&gt;0,DATE($C478,1,15)&gt;$T$458)),0,IF(DATE($C478,1,15)&gt;=$X$458,$AA$458*(1+($U$458)/100)^MAX(0,$C478-$AD$458),IF(DATE($C478,1,15)&gt;=$W$458,$Z$458*(1+($U$458)/100)^MAX(0,$C478-$AC$458),IF(DATE($C478,1,15)&gt;=$V$458,$Y$458*(1+($U$458)/100)^MAX(0,$C478-$AB$458),0)))))</f>
      </c>
      <c r="F478" s="43">
        <f>IF($S$458=0,0,IF(OR(DATE($C478,2,15)&lt;$S$458,AND($T$458&gt;0,DATE($C478,2,15)&gt;$T$458)),0,IF(DATE($C478,2,15)&gt;=$X$458,$AA$458*(1+($U$458)/100)^MAX(0,$C478-$AD$458),IF(DATE($C478,2,15)&gt;=$W$458,$Z$458*(1+($U$458)/100)^MAX(0,$C478-$AC$458),IF(DATE($C478,2,15)&gt;=$V$458,$Y$458*(1+($U$458)/100)^MAX(0,$C478-$AB$458),0)))))</f>
      </c>
      <c r="G478" s="43">
        <f>IF($S$458=0,0,IF(OR(DATE($C478,3,15)&lt;$S$458,AND($T$458&gt;0,DATE($C478,3,15)&gt;$T$458)),0,IF(DATE($C478,3,15)&gt;=$X$458,$AA$458*(1+($U$458)/100)^MAX(0,$C478-$AD$458),IF(DATE($C478,3,15)&gt;=$W$458,$Z$458*(1+($U$458)/100)^MAX(0,$C478-$AC$458),IF(DATE($C478,3,15)&gt;=$V$458,$Y$458*(1+($U$458)/100)^MAX(0,$C478-$AB$458),0)))))</f>
      </c>
      <c r="H478" s="43">
        <f>IF($S$458=0,0,IF(OR(DATE($C478,4,15)&lt;$S$458,AND($T$458&gt;0,DATE($C478,4,15)&gt;$T$458)),0,IF(DATE($C478,4,15)&gt;=$X$458,$AA$458*(1+($U$458)/100)^MAX(0,$C478-$AD$458),IF(DATE($C478,4,15)&gt;=$W$458,$Z$458*(1+($U$458)/100)^MAX(0,$C478-$AC$458),IF(DATE($C478,4,15)&gt;=$V$458,$Y$458*(1+($U$458)/100)^MAX(0,$C478-$AB$458),0)))))</f>
      </c>
      <c r="I478" s="43">
        <f>IF($S$458=0,0,IF(OR(DATE($C478,5,15)&lt;$S$458,AND($T$458&gt;0,DATE($C478,5,15)&gt;$T$458)),0,IF(DATE($C478,5,15)&gt;=$X$458,$AA$458*(1+($U$458)/100)^MAX(0,$C478-$AD$458),IF(DATE($C478,5,15)&gt;=$W$458,$Z$458*(1+($U$458)/100)^MAX(0,$C478-$AC$458),IF(DATE($C478,5,15)&gt;=$V$458,$Y$458*(1+($U$458)/100)^MAX(0,$C478-$AB$458),0)))))</f>
      </c>
      <c r="J478" s="43">
        <f>IF($S$458=0,0,IF(OR(DATE($C478,6,15)&lt;$S$458,AND($T$458&gt;0,DATE($C478,6,15)&gt;$T$458)),0,IF(DATE($C478,6,15)&gt;=$X$458,$AA$458*(1+($U$458)/100)^MAX(0,$C478-$AD$458),IF(DATE($C478,6,15)&gt;=$W$458,$Z$458*(1+($U$458)/100)^MAX(0,$C478-$AC$458),IF(DATE($C478,6,15)&gt;=$V$458,$Y$458*(1+($U$458)/100)^MAX(0,$C478-$AB$458),0)))))</f>
      </c>
      <c r="K478" s="43">
        <f>IF($S$458=0,0,IF(OR(DATE($C478,7,15)&lt;$S$458,AND($T$458&gt;0,DATE($C478,7,15)&gt;$T$458)),0,IF(DATE($C478,7,15)&gt;=$X$458,$AA$458*(1+($U$458)/100)^MAX(0,$C478-$AD$458),IF(DATE($C478,7,15)&gt;=$W$458,$Z$458*(1+($U$458)/100)^MAX(0,$C478-$AC$458),IF(DATE($C478,7,15)&gt;=$V$458,$Y$458*(1+($U$458)/100)^MAX(0,$C478-$AB$458),0)))))</f>
      </c>
      <c r="L478" s="43">
        <f>IF($S$458=0,0,IF(OR(DATE($C478,8,15)&lt;$S$458,AND($T$458&gt;0,DATE($C478,8,15)&gt;$T$458)),0,IF(DATE($C478,8,15)&gt;=$X$458,$AA$458*(1+($U$458)/100)^MAX(0,$C478-$AD$458),IF(DATE($C478,8,15)&gt;=$W$458,$Z$458*(1+($U$458)/100)^MAX(0,$C478-$AC$458),IF(DATE($C478,8,15)&gt;=$V$458,$Y$458*(1+($U$458)/100)^MAX(0,$C478-$AB$458),0)))))</f>
      </c>
      <c r="M478" s="43">
        <f>IF($S$458=0,0,IF(OR(DATE($C478,9,15)&lt;$S$458,AND($T$458&gt;0,DATE($C478,9,15)&gt;$T$458)),0,IF(DATE($C478,9,15)&gt;=$X$458,$AA$458*(1+($U$458)/100)^MAX(0,$C478-$AD$458),IF(DATE($C478,9,15)&gt;=$W$458,$Z$458*(1+($U$458)/100)^MAX(0,$C478-$AC$458),IF(DATE($C478,9,15)&gt;=$V$458,$Y$458*(1+($U$458)/100)^MAX(0,$C478-$AB$458),0)))))</f>
      </c>
      <c r="N478" s="43">
        <f>IF($S$458=0,0,IF(OR(DATE($C478,10,15)&lt;$S$458,AND($T$458&gt;0,DATE($C478,10,15)&gt;$T$458)),0,IF(DATE($C478,10,15)&gt;=$X$458,$AA$458*(1+($U$458)/100)^MAX(0,$C478-$AD$458),IF(DATE($C478,10,15)&gt;=$W$458,$Z$458*(1+($U$458)/100)^MAX(0,$C478-$AC$458),IF(DATE($C478,10,15)&gt;=$V$458,$Y$458*(1+($U$458)/100)^MAX(0,$C478-$AB$458),0)))))</f>
      </c>
      <c r="O478" s="43">
        <f>IF($S$458=0,0,IF(OR(DATE($C478,11,15)&lt;$S$458,AND($T$458&gt;0,DATE($C478,11,15)&gt;$T$458)),0,IF(DATE($C478,11,15)&gt;=$X$458,$AA$458*(1+($U$458)/100)^MAX(0,$C478-$AD$458),IF(DATE($C478,11,15)&gt;=$W$458,$Z$458*(1+($U$458)/100)^MAX(0,$C478-$AC$458),IF(DATE($C478,11,15)&gt;=$V$458,$Y$458*(1+($U$458)/100)^MAX(0,$C478-$AB$458),0)))))</f>
      </c>
      <c r="P478" s="43">
        <f>IF($S$458=0,0,IF(OR(DATE($C478,12,15)&lt;$S$458,AND($T$458&gt;0,DATE($C478,12,15)&gt;$T$458)),0,IF(DATE($C478,12,15)&gt;=$X$458,$AA$458*(1+($U$458)/100)^MAX(0,$C478-$AD$458),IF(DATE($C478,12,15)&gt;=$W$458,$Z$458*(1+($U$458)/100)^MAX(0,$C478-$AC$458),IF(DATE($C478,12,15)&gt;=$V$458,$Y$458*(1+($U$458)/100)^MAX(0,$C478-$AB$458),0)))))</f>
      </c>
      <c r="Q478" s="43">
        <f>SUM($E478:$P478)</f>
      </c>
    </row>
    <row r="479">
      <c r="A479"/>
      <c r="B479">
        <v>15</v>
      </c>
      <c r="C479" s="43">
        <f>Jahr+21</f>
      </c>
      <c r="D479" s="43">
        <f>INDEX(MvObj,15)</f>
      </c>
      <c r="E479" s="43">
        <f>IF($S$458=0,0,IF(OR(DATE($C479,1,15)&lt;$S$458,AND($T$458&gt;0,DATE($C479,1,15)&gt;$T$458)),0,IF(DATE($C479,1,15)&gt;=$X$458,$AA$458*(1+($U$458)/100)^MAX(0,$C479-$AD$458),IF(DATE($C479,1,15)&gt;=$W$458,$Z$458*(1+($U$458)/100)^MAX(0,$C479-$AC$458),IF(DATE($C479,1,15)&gt;=$V$458,$Y$458*(1+($U$458)/100)^MAX(0,$C479-$AB$458),0)))))</f>
      </c>
      <c r="F479" s="43">
        <f>IF($S$458=0,0,IF(OR(DATE($C479,2,15)&lt;$S$458,AND($T$458&gt;0,DATE($C479,2,15)&gt;$T$458)),0,IF(DATE($C479,2,15)&gt;=$X$458,$AA$458*(1+($U$458)/100)^MAX(0,$C479-$AD$458),IF(DATE($C479,2,15)&gt;=$W$458,$Z$458*(1+($U$458)/100)^MAX(0,$C479-$AC$458),IF(DATE($C479,2,15)&gt;=$V$458,$Y$458*(1+($U$458)/100)^MAX(0,$C479-$AB$458),0)))))</f>
      </c>
      <c r="G479" s="43">
        <f>IF($S$458=0,0,IF(OR(DATE($C479,3,15)&lt;$S$458,AND($T$458&gt;0,DATE($C479,3,15)&gt;$T$458)),0,IF(DATE($C479,3,15)&gt;=$X$458,$AA$458*(1+($U$458)/100)^MAX(0,$C479-$AD$458),IF(DATE($C479,3,15)&gt;=$W$458,$Z$458*(1+($U$458)/100)^MAX(0,$C479-$AC$458),IF(DATE($C479,3,15)&gt;=$V$458,$Y$458*(1+($U$458)/100)^MAX(0,$C479-$AB$458),0)))))</f>
      </c>
      <c r="H479" s="43">
        <f>IF($S$458=0,0,IF(OR(DATE($C479,4,15)&lt;$S$458,AND($T$458&gt;0,DATE($C479,4,15)&gt;$T$458)),0,IF(DATE($C479,4,15)&gt;=$X$458,$AA$458*(1+($U$458)/100)^MAX(0,$C479-$AD$458),IF(DATE($C479,4,15)&gt;=$W$458,$Z$458*(1+($U$458)/100)^MAX(0,$C479-$AC$458),IF(DATE($C479,4,15)&gt;=$V$458,$Y$458*(1+($U$458)/100)^MAX(0,$C479-$AB$458),0)))))</f>
      </c>
      <c r="I479" s="43">
        <f>IF($S$458=0,0,IF(OR(DATE($C479,5,15)&lt;$S$458,AND($T$458&gt;0,DATE($C479,5,15)&gt;$T$458)),0,IF(DATE($C479,5,15)&gt;=$X$458,$AA$458*(1+($U$458)/100)^MAX(0,$C479-$AD$458),IF(DATE($C479,5,15)&gt;=$W$458,$Z$458*(1+($U$458)/100)^MAX(0,$C479-$AC$458),IF(DATE($C479,5,15)&gt;=$V$458,$Y$458*(1+($U$458)/100)^MAX(0,$C479-$AB$458),0)))))</f>
      </c>
      <c r="J479" s="43">
        <f>IF($S$458=0,0,IF(OR(DATE($C479,6,15)&lt;$S$458,AND($T$458&gt;0,DATE($C479,6,15)&gt;$T$458)),0,IF(DATE($C479,6,15)&gt;=$X$458,$AA$458*(1+($U$458)/100)^MAX(0,$C479-$AD$458),IF(DATE($C479,6,15)&gt;=$W$458,$Z$458*(1+($U$458)/100)^MAX(0,$C479-$AC$458),IF(DATE($C479,6,15)&gt;=$V$458,$Y$458*(1+($U$458)/100)^MAX(0,$C479-$AB$458),0)))))</f>
      </c>
      <c r="K479" s="43">
        <f>IF($S$458=0,0,IF(OR(DATE($C479,7,15)&lt;$S$458,AND($T$458&gt;0,DATE($C479,7,15)&gt;$T$458)),0,IF(DATE($C479,7,15)&gt;=$X$458,$AA$458*(1+($U$458)/100)^MAX(0,$C479-$AD$458),IF(DATE($C479,7,15)&gt;=$W$458,$Z$458*(1+($U$458)/100)^MAX(0,$C479-$AC$458),IF(DATE($C479,7,15)&gt;=$V$458,$Y$458*(1+($U$458)/100)^MAX(0,$C479-$AB$458),0)))))</f>
      </c>
      <c r="L479" s="43">
        <f>IF($S$458=0,0,IF(OR(DATE($C479,8,15)&lt;$S$458,AND($T$458&gt;0,DATE($C479,8,15)&gt;$T$458)),0,IF(DATE($C479,8,15)&gt;=$X$458,$AA$458*(1+($U$458)/100)^MAX(0,$C479-$AD$458),IF(DATE($C479,8,15)&gt;=$W$458,$Z$458*(1+($U$458)/100)^MAX(0,$C479-$AC$458),IF(DATE($C479,8,15)&gt;=$V$458,$Y$458*(1+($U$458)/100)^MAX(0,$C479-$AB$458),0)))))</f>
      </c>
      <c r="M479" s="43">
        <f>IF($S$458=0,0,IF(OR(DATE($C479,9,15)&lt;$S$458,AND($T$458&gt;0,DATE($C479,9,15)&gt;$T$458)),0,IF(DATE($C479,9,15)&gt;=$X$458,$AA$458*(1+($U$458)/100)^MAX(0,$C479-$AD$458),IF(DATE($C479,9,15)&gt;=$W$458,$Z$458*(1+($U$458)/100)^MAX(0,$C479-$AC$458),IF(DATE($C479,9,15)&gt;=$V$458,$Y$458*(1+($U$458)/100)^MAX(0,$C479-$AB$458),0)))))</f>
      </c>
      <c r="N479" s="43">
        <f>IF($S$458=0,0,IF(OR(DATE($C479,10,15)&lt;$S$458,AND($T$458&gt;0,DATE($C479,10,15)&gt;$T$458)),0,IF(DATE($C479,10,15)&gt;=$X$458,$AA$458*(1+($U$458)/100)^MAX(0,$C479-$AD$458),IF(DATE($C479,10,15)&gt;=$W$458,$Z$458*(1+($U$458)/100)^MAX(0,$C479-$AC$458),IF(DATE($C479,10,15)&gt;=$V$458,$Y$458*(1+($U$458)/100)^MAX(0,$C479-$AB$458),0)))))</f>
      </c>
      <c r="O479" s="43">
        <f>IF($S$458=0,0,IF(OR(DATE($C479,11,15)&lt;$S$458,AND($T$458&gt;0,DATE($C479,11,15)&gt;$T$458)),0,IF(DATE($C479,11,15)&gt;=$X$458,$AA$458*(1+($U$458)/100)^MAX(0,$C479-$AD$458),IF(DATE($C479,11,15)&gt;=$W$458,$Z$458*(1+($U$458)/100)^MAX(0,$C479-$AC$458),IF(DATE($C479,11,15)&gt;=$V$458,$Y$458*(1+($U$458)/100)^MAX(0,$C479-$AB$458),0)))))</f>
      </c>
      <c r="P479" s="43">
        <f>IF($S$458=0,0,IF(OR(DATE($C479,12,15)&lt;$S$458,AND($T$458&gt;0,DATE($C479,12,15)&gt;$T$458)),0,IF(DATE($C479,12,15)&gt;=$X$458,$AA$458*(1+($U$458)/100)^MAX(0,$C479-$AD$458),IF(DATE($C479,12,15)&gt;=$W$458,$Z$458*(1+($U$458)/100)^MAX(0,$C479-$AC$458),IF(DATE($C479,12,15)&gt;=$V$458,$Y$458*(1+($U$458)/100)^MAX(0,$C479-$AB$458),0)))))</f>
      </c>
      <c r="Q479" s="43">
        <f>SUM($E479:$P479)</f>
      </c>
    </row>
    <row r="480">
      <c r="A480"/>
      <c r="B480">
        <v>15</v>
      </c>
      <c r="C480" s="43">
        <f>Jahr+22</f>
      </c>
      <c r="D480" s="43">
        <f>INDEX(MvObj,15)</f>
      </c>
      <c r="E480" s="43">
        <f>IF($S$458=0,0,IF(OR(DATE($C480,1,15)&lt;$S$458,AND($T$458&gt;0,DATE($C480,1,15)&gt;$T$458)),0,IF(DATE($C480,1,15)&gt;=$X$458,$AA$458*(1+($U$458)/100)^MAX(0,$C480-$AD$458),IF(DATE($C480,1,15)&gt;=$W$458,$Z$458*(1+($U$458)/100)^MAX(0,$C480-$AC$458),IF(DATE($C480,1,15)&gt;=$V$458,$Y$458*(1+($U$458)/100)^MAX(0,$C480-$AB$458),0)))))</f>
      </c>
      <c r="F480" s="43">
        <f>IF($S$458=0,0,IF(OR(DATE($C480,2,15)&lt;$S$458,AND($T$458&gt;0,DATE($C480,2,15)&gt;$T$458)),0,IF(DATE($C480,2,15)&gt;=$X$458,$AA$458*(1+($U$458)/100)^MAX(0,$C480-$AD$458),IF(DATE($C480,2,15)&gt;=$W$458,$Z$458*(1+($U$458)/100)^MAX(0,$C480-$AC$458),IF(DATE($C480,2,15)&gt;=$V$458,$Y$458*(1+($U$458)/100)^MAX(0,$C480-$AB$458),0)))))</f>
      </c>
      <c r="G480" s="43">
        <f>IF($S$458=0,0,IF(OR(DATE($C480,3,15)&lt;$S$458,AND($T$458&gt;0,DATE($C480,3,15)&gt;$T$458)),0,IF(DATE($C480,3,15)&gt;=$X$458,$AA$458*(1+($U$458)/100)^MAX(0,$C480-$AD$458),IF(DATE($C480,3,15)&gt;=$W$458,$Z$458*(1+($U$458)/100)^MAX(0,$C480-$AC$458),IF(DATE($C480,3,15)&gt;=$V$458,$Y$458*(1+($U$458)/100)^MAX(0,$C480-$AB$458),0)))))</f>
      </c>
      <c r="H480" s="43">
        <f>IF($S$458=0,0,IF(OR(DATE($C480,4,15)&lt;$S$458,AND($T$458&gt;0,DATE($C480,4,15)&gt;$T$458)),0,IF(DATE($C480,4,15)&gt;=$X$458,$AA$458*(1+($U$458)/100)^MAX(0,$C480-$AD$458),IF(DATE($C480,4,15)&gt;=$W$458,$Z$458*(1+($U$458)/100)^MAX(0,$C480-$AC$458),IF(DATE($C480,4,15)&gt;=$V$458,$Y$458*(1+($U$458)/100)^MAX(0,$C480-$AB$458),0)))))</f>
      </c>
      <c r="I480" s="43">
        <f>IF($S$458=0,0,IF(OR(DATE($C480,5,15)&lt;$S$458,AND($T$458&gt;0,DATE($C480,5,15)&gt;$T$458)),0,IF(DATE($C480,5,15)&gt;=$X$458,$AA$458*(1+($U$458)/100)^MAX(0,$C480-$AD$458),IF(DATE($C480,5,15)&gt;=$W$458,$Z$458*(1+($U$458)/100)^MAX(0,$C480-$AC$458),IF(DATE($C480,5,15)&gt;=$V$458,$Y$458*(1+($U$458)/100)^MAX(0,$C480-$AB$458),0)))))</f>
      </c>
      <c r="J480" s="43">
        <f>IF($S$458=0,0,IF(OR(DATE($C480,6,15)&lt;$S$458,AND($T$458&gt;0,DATE($C480,6,15)&gt;$T$458)),0,IF(DATE($C480,6,15)&gt;=$X$458,$AA$458*(1+($U$458)/100)^MAX(0,$C480-$AD$458),IF(DATE($C480,6,15)&gt;=$W$458,$Z$458*(1+($U$458)/100)^MAX(0,$C480-$AC$458),IF(DATE($C480,6,15)&gt;=$V$458,$Y$458*(1+($U$458)/100)^MAX(0,$C480-$AB$458),0)))))</f>
      </c>
      <c r="K480" s="43">
        <f>IF($S$458=0,0,IF(OR(DATE($C480,7,15)&lt;$S$458,AND($T$458&gt;0,DATE($C480,7,15)&gt;$T$458)),0,IF(DATE($C480,7,15)&gt;=$X$458,$AA$458*(1+($U$458)/100)^MAX(0,$C480-$AD$458),IF(DATE($C480,7,15)&gt;=$W$458,$Z$458*(1+($U$458)/100)^MAX(0,$C480-$AC$458),IF(DATE($C480,7,15)&gt;=$V$458,$Y$458*(1+($U$458)/100)^MAX(0,$C480-$AB$458),0)))))</f>
      </c>
      <c r="L480" s="43">
        <f>IF($S$458=0,0,IF(OR(DATE($C480,8,15)&lt;$S$458,AND($T$458&gt;0,DATE($C480,8,15)&gt;$T$458)),0,IF(DATE($C480,8,15)&gt;=$X$458,$AA$458*(1+($U$458)/100)^MAX(0,$C480-$AD$458),IF(DATE($C480,8,15)&gt;=$W$458,$Z$458*(1+($U$458)/100)^MAX(0,$C480-$AC$458),IF(DATE($C480,8,15)&gt;=$V$458,$Y$458*(1+($U$458)/100)^MAX(0,$C480-$AB$458),0)))))</f>
      </c>
      <c r="M480" s="43">
        <f>IF($S$458=0,0,IF(OR(DATE($C480,9,15)&lt;$S$458,AND($T$458&gt;0,DATE($C480,9,15)&gt;$T$458)),0,IF(DATE($C480,9,15)&gt;=$X$458,$AA$458*(1+($U$458)/100)^MAX(0,$C480-$AD$458),IF(DATE($C480,9,15)&gt;=$W$458,$Z$458*(1+($U$458)/100)^MAX(0,$C480-$AC$458),IF(DATE($C480,9,15)&gt;=$V$458,$Y$458*(1+($U$458)/100)^MAX(0,$C480-$AB$458),0)))))</f>
      </c>
      <c r="N480" s="43">
        <f>IF($S$458=0,0,IF(OR(DATE($C480,10,15)&lt;$S$458,AND($T$458&gt;0,DATE($C480,10,15)&gt;$T$458)),0,IF(DATE($C480,10,15)&gt;=$X$458,$AA$458*(1+($U$458)/100)^MAX(0,$C480-$AD$458),IF(DATE($C480,10,15)&gt;=$W$458,$Z$458*(1+($U$458)/100)^MAX(0,$C480-$AC$458),IF(DATE($C480,10,15)&gt;=$V$458,$Y$458*(1+($U$458)/100)^MAX(0,$C480-$AB$458),0)))))</f>
      </c>
      <c r="O480" s="43">
        <f>IF($S$458=0,0,IF(OR(DATE($C480,11,15)&lt;$S$458,AND($T$458&gt;0,DATE($C480,11,15)&gt;$T$458)),0,IF(DATE($C480,11,15)&gt;=$X$458,$AA$458*(1+($U$458)/100)^MAX(0,$C480-$AD$458),IF(DATE($C480,11,15)&gt;=$W$458,$Z$458*(1+($U$458)/100)^MAX(0,$C480-$AC$458),IF(DATE($C480,11,15)&gt;=$V$458,$Y$458*(1+($U$458)/100)^MAX(0,$C480-$AB$458),0)))))</f>
      </c>
      <c r="P480" s="43">
        <f>IF($S$458=0,0,IF(OR(DATE($C480,12,15)&lt;$S$458,AND($T$458&gt;0,DATE($C480,12,15)&gt;$T$458)),0,IF(DATE($C480,12,15)&gt;=$X$458,$AA$458*(1+($U$458)/100)^MAX(0,$C480-$AD$458),IF(DATE($C480,12,15)&gt;=$W$458,$Z$458*(1+($U$458)/100)^MAX(0,$C480-$AC$458),IF(DATE($C480,12,15)&gt;=$V$458,$Y$458*(1+($U$458)/100)^MAX(0,$C480-$AB$458),0)))))</f>
      </c>
      <c r="Q480" s="43">
        <f>SUM($E480:$P480)</f>
      </c>
    </row>
    <row r="481">
      <c r="A481"/>
      <c r="B481">
        <v>15</v>
      </c>
      <c r="C481" s="43">
        <f>Jahr+23</f>
      </c>
      <c r="D481" s="43">
        <f>INDEX(MvObj,15)</f>
      </c>
      <c r="E481" s="43">
        <f>IF($S$458=0,0,IF(OR(DATE($C481,1,15)&lt;$S$458,AND($T$458&gt;0,DATE($C481,1,15)&gt;$T$458)),0,IF(DATE($C481,1,15)&gt;=$X$458,$AA$458*(1+($U$458)/100)^MAX(0,$C481-$AD$458),IF(DATE($C481,1,15)&gt;=$W$458,$Z$458*(1+($U$458)/100)^MAX(0,$C481-$AC$458),IF(DATE($C481,1,15)&gt;=$V$458,$Y$458*(1+($U$458)/100)^MAX(0,$C481-$AB$458),0)))))</f>
      </c>
      <c r="F481" s="43">
        <f>IF($S$458=0,0,IF(OR(DATE($C481,2,15)&lt;$S$458,AND($T$458&gt;0,DATE($C481,2,15)&gt;$T$458)),0,IF(DATE($C481,2,15)&gt;=$X$458,$AA$458*(1+($U$458)/100)^MAX(0,$C481-$AD$458),IF(DATE($C481,2,15)&gt;=$W$458,$Z$458*(1+($U$458)/100)^MAX(0,$C481-$AC$458),IF(DATE($C481,2,15)&gt;=$V$458,$Y$458*(1+($U$458)/100)^MAX(0,$C481-$AB$458),0)))))</f>
      </c>
      <c r="G481" s="43">
        <f>IF($S$458=0,0,IF(OR(DATE($C481,3,15)&lt;$S$458,AND($T$458&gt;0,DATE($C481,3,15)&gt;$T$458)),0,IF(DATE($C481,3,15)&gt;=$X$458,$AA$458*(1+($U$458)/100)^MAX(0,$C481-$AD$458),IF(DATE($C481,3,15)&gt;=$W$458,$Z$458*(1+($U$458)/100)^MAX(0,$C481-$AC$458),IF(DATE($C481,3,15)&gt;=$V$458,$Y$458*(1+($U$458)/100)^MAX(0,$C481-$AB$458),0)))))</f>
      </c>
      <c r="H481" s="43">
        <f>IF($S$458=0,0,IF(OR(DATE($C481,4,15)&lt;$S$458,AND($T$458&gt;0,DATE($C481,4,15)&gt;$T$458)),0,IF(DATE($C481,4,15)&gt;=$X$458,$AA$458*(1+($U$458)/100)^MAX(0,$C481-$AD$458),IF(DATE($C481,4,15)&gt;=$W$458,$Z$458*(1+($U$458)/100)^MAX(0,$C481-$AC$458),IF(DATE($C481,4,15)&gt;=$V$458,$Y$458*(1+($U$458)/100)^MAX(0,$C481-$AB$458),0)))))</f>
      </c>
      <c r="I481" s="43">
        <f>IF($S$458=0,0,IF(OR(DATE($C481,5,15)&lt;$S$458,AND($T$458&gt;0,DATE($C481,5,15)&gt;$T$458)),0,IF(DATE($C481,5,15)&gt;=$X$458,$AA$458*(1+($U$458)/100)^MAX(0,$C481-$AD$458),IF(DATE($C481,5,15)&gt;=$W$458,$Z$458*(1+($U$458)/100)^MAX(0,$C481-$AC$458),IF(DATE($C481,5,15)&gt;=$V$458,$Y$458*(1+($U$458)/100)^MAX(0,$C481-$AB$458),0)))))</f>
      </c>
      <c r="J481" s="43">
        <f>IF($S$458=0,0,IF(OR(DATE($C481,6,15)&lt;$S$458,AND($T$458&gt;0,DATE($C481,6,15)&gt;$T$458)),0,IF(DATE($C481,6,15)&gt;=$X$458,$AA$458*(1+($U$458)/100)^MAX(0,$C481-$AD$458),IF(DATE($C481,6,15)&gt;=$W$458,$Z$458*(1+($U$458)/100)^MAX(0,$C481-$AC$458),IF(DATE($C481,6,15)&gt;=$V$458,$Y$458*(1+($U$458)/100)^MAX(0,$C481-$AB$458),0)))))</f>
      </c>
      <c r="K481" s="43">
        <f>IF($S$458=0,0,IF(OR(DATE($C481,7,15)&lt;$S$458,AND($T$458&gt;0,DATE($C481,7,15)&gt;$T$458)),0,IF(DATE($C481,7,15)&gt;=$X$458,$AA$458*(1+($U$458)/100)^MAX(0,$C481-$AD$458),IF(DATE($C481,7,15)&gt;=$W$458,$Z$458*(1+($U$458)/100)^MAX(0,$C481-$AC$458),IF(DATE($C481,7,15)&gt;=$V$458,$Y$458*(1+($U$458)/100)^MAX(0,$C481-$AB$458),0)))))</f>
      </c>
      <c r="L481" s="43">
        <f>IF($S$458=0,0,IF(OR(DATE($C481,8,15)&lt;$S$458,AND($T$458&gt;0,DATE($C481,8,15)&gt;$T$458)),0,IF(DATE($C481,8,15)&gt;=$X$458,$AA$458*(1+($U$458)/100)^MAX(0,$C481-$AD$458),IF(DATE($C481,8,15)&gt;=$W$458,$Z$458*(1+($U$458)/100)^MAX(0,$C481-$AC$458),IF(DATE($C481,8,15)&gt;=$V$458,$Y$458*(1+($U$458)/100)^MAX(0,$C481-$AB$458),0)))))</f>
      </c>
      <c r="M481" s="43">
        <f>IF($S$458=0,0,IF(OR(DATE($C481,9,15)&lt;$S$458,AND($T$458&gt;0,DATE($C481,9,15)&gt;$T$458)),0,IF(DATE($C481,9,15)&gt;=$X$458,$AA$458*(1+($U$458)/100)^MAX(0,$C481-$AD$458),IF(DATE($C481,9,15)&gt;=$W$458,$Z$458*(1+($U$458)/100)^MAX(0,$C481-$AC$458),IF(DATE($C481,9,15)&gt;=$V$458,$Y$458*(1+($U$458)/100)^MAX(0,$C481-$AB$458),0)))))</f>
      </c>
      <c r="N481" s="43">
        <f>IF($S$458=0,0,IF(OR(DATE($C481,10,15)&lt;$S$458,AND($T$458&gt;0,DATE($C481,10,15)&gt;$T$458)),0,IF(DATE($C481,10,15)&gt;=$X$458,$AA$458*(1+($U$458)/100)^MAX(0,$C481-$AD$458),IF(DATE($C481,10,15)&gt;=$W$458,$Z$458*(1+($U$458)/100)^MAX(0,$C481-$AC$458),IF(DATE($C481,10,15)&gt;=$V$458,$Y$458*(1+($U$458)/100)^MAX(0,$C481-$AB$458),0)))))</f>
      </c>
      <c r="O481" s="43">
        <f>IF($S$458=0,0,IF(OR(DATE($C481,11,15)&lt;$S$458,AND($T$458&gt;0,DATE($C481,11,15)&gt;$T$458)),0,IF(DATE($C481,11,15)&gt;=$X$458,$AA$458*(1+($U$458)/100)^MAX(0,$C481-$AD$458),IF(DATE($C481,11,15)&gt;=$W$458,$Z$458*(1+($U$458)/100)^MAX(0,$C481-$AC$458),IF(DATE($C481,11,15)&gt;=$V$458,$Y$458*(1+($U$458)/100)^MAX(0,$C481-$AB$458),0)))))</f>
      </c>
      <c r="P481" s="43">
        <f>IF($S$458=0,0,IF(OR(DATE($C481,12,15)&lt;$S$458,AND($T$458&gt;0,DATE($C481,12,15)&gt;$T$458)),0,IF(DATE($C481,12,15)&gt;=$X$458,$AA$458*(1+($U$458)/100)^MAX(0,$C481-$AD$458),IF(DATE($C481,12,15)&gt;=$W$458,$Z$458*(1+($U$458)/100)^MAX(0,$C481-$AC$458),IF(DATE($C481,12,15)&gt;=$V$458,$Y$458*(1+($U$458)/100)^MAX(0,$C481-$AB$458),0)))))</f>
      </c>
      <c r="Q481" s="43">
        <f>SUM($E481:$P481)</f>
      </c>
    </row>
    <row r="482">
      <c r="A482"/>
      <c r="B482">
        <v>15</v>
      </c>
      <c r="C482" s="43">
        <f>Jahr+24</f>
      </c>
      <c r="D482" s="43">
        <f>INDEX(MvObj,15)</f>
      </c>
      <c r="E482" s="43">
        <f>IF($S$458=0,0,IF(OR(DATE($C482,1,15)&lt;$S$458,AND($T$458&gt;0,DATE($C482,1,15)&gt;$T$458)),0,IF(DATE($C482,1,15)&gt;=$X$458,$AA$458*(1+($U$458)/100)^MAX(0,$C482-$AD$458),IF(DATE($C482,1,15)&gt;=$W$458,$Z$458*(1+($U$458)/100)^MAX(0,$C482-$AC$458),IF(DATE($C482,1,15)&gt;=$V$458,$Y$458*(1+($U$458)/100)^MAX(0,$C482-$AB$458),0)))))</f>
      </c>
      <c r="F482" s="43">
        <f>IF($S$458=0,0,IF(OR(DATE($C482,2,15)&lt;$S$458,AND($T$458&gt;0,DATE($C482,2,15)&gt;$T$458)),0,IF(DATE($C482,2,15)&gt;=$X$458,$AA$458*(1+($U$458)/100)^MAX(0,$C482-$AD$458),IF(DATE($C482,2,15)&gt;=$W$458,$Z$458*(1+($U$458)/100)^MAX(0,$C482-$AC$458),IF(DATE($C482,2,15)&gt;=$V$458,$Y$458*(1+($U$458)/100)^MAX(0,$C482-$AB$458),0)))))</f>
      </c>
      <c r="G482" s="43">
        <f>IF($S$458=0,0,IF(OR(DATE($C482,3,15)&lt;$S$458,AND($T$458&gt;0,DATE($C482,3,15)&gt;$T$458)),0,IF(DATE($C482,3,15)&gt;=$X$458,$AA$458*(1+($U$458)/100)^MAX(0,$C482-$AD$458),IF(DATE($C482,3,15)&gt;=$W$458,$Z$458*(1+($U$458)/100)^MAX(0,$C482-$AC$458),IF(DATE($C482,3,15)&gt;=$V$458,$Y$458*(1+($U$458)/100)^MAX(0,$C482-$AB$458),0)))))</f>
      </c>
      <c r="H482" s="43">
        <f>IF($S$458=0,0,IF(OR(DATE($C482,4,15)&lt;$S$458,AND($T$458&gt;0,DATE($C482,4,15)&gt;$T$458)),0,IF(DATE($C482,4,15)&gt;=$X$458,$AA$458*(1+($U$458)/100)^MAX(0,$C482-$AD$458),IF(DATE($C482,4,15)&gt;=$W$458,$Z$458*(1+($U$458)/100)^MAX(0,$C482-$AC$458),IF(DATE($C482,4,15)&gt;=$V$458,$Y$458*(1+($U$458)/100)^MAX(0,$C482-$AB$458),0)))))</f>
      </c>
      <c r="I482" s="43">
        <f>IF($S$458=0,0,IF(OR(DATE($C482,5,15)&lt;$S$458,AND($T$458&gt;0,DATE($C482,5,15)&gt;$T$458)),0,IF(DATE($C482,5,15)&gt;=$X$458,$AA$458*(1+($U$458)/100)^MAX(0,$C482-$AD$458),IF(DATE($C482,5,15)&gt;=$W$458,$Z$458*(1+($U$458)/100)^MAX(0,$C482-$AC$458),IF(DATE($C482,5,15)&gt;=$V$458,$Y$458*(1+($U$458)/100)^MAX(0,$C482-$AB$458),0)))))</f>
      </c>
      <c r="J482" s="43">
        <f>IF($S$458=0,0,IF(OR(DATE($C482,6,15)&lt;$S$458,AND($T$458&gt;0,DATE($C482,6,15)&gt;$T$458)),0,IF(DATE($C482,6,15)&gt;=$X$458,$AA$458*(1+($U$458)/100)^MAX(0,$C482-$AD$458),IF(DATE($C482,6,15)&gt;=$W$458,$Z$458*(1+($U$458)/100)^MAX(0,$C482-$AC$458),IF(DATE($C482,6,15)&gt;=$V$458,$Y$458*(1+($U$458)/100)^MAX(0,$C482-$AB$458),0)))))</f>
      </c>
      <c r="K482" s="43">
        <f>IF($S$458=0,0,IF(OR(DATE($C482,7,15)&lt;$S$458,AND($T$458&gt;0,DATE($C482,7,15)&gt;$T$458)),0,IF(DATE($C482,7,15)&gt;=$X$458,$AA$458*(1+($U$458)/100)^MAX(0,$C482-$AD$458),IF(DATE($C482,7,15)&gt;=$W$458,$Z$458*(1+($U$458)/100)^MAX(0,$C482-$AC$458),IF(DATE($C482,7,15)&gt;=$V$458,$Y$458*(1+($U$458)/100)^MAX(0,$C482-$AB$458),0)))))</f>
      </c>
      <c r="L482" s="43">
        <f>IF($S$458=0,0,IF(OR(DATE($C482,8,15)&lt;$S$458,AND($T$458&gt;0,DATE($C482,8,15)&gt;$T$458)),0,IF(DATE($C482,8,15)&gt;=$X$458,$AA$458*(1+($U$458)/100)^MAX(0,$C482-$AD$458),IF(DATE($C482,8,15)&gt;=$W$458,$Z$458*(1+($U$458)/100)^MAX(0,$C482-$AC$458),IF(DATE($C482,8,15)&gt;=$V$458,$Y$458*(1+($U$458)/100)^MAX(0,$C482-$AB$458),0)))))</f>
      </c>
      <c r="M482" s="43">
        <f>IF($S$458=0,0,IF(OR(DATE($C482,9,15)&lt;$S$458,AND($T$458&gt;0,DATE($C482,9,15)&gt;$T$458)),0,IF(DATE($C482,9,15)&gt;=$X$458,$AA$458*(1+($U$458)/100)^MAX(0,$C482-$AD$458),IF(DATE($C482,9,15)&gt;=$W$458,$Z$458*(1+($U$458)/100)^MAX(0,$C482-$AC$458),IF(DATE($C482,9,15)&gt;=$V$458,$Y$458*(1+($U$458)/100)^MAX(0,$C482-$AB$458),0)))))</f>
      </c>
      <c r="N482" s="43">
        <f>IF($S$458=0,0,IF(OR(DATE($C482,10,15)&lt;$S$458,AND($T$458&gt;0,DATE($C482,10,15)&gt;$T$458)),0,IF(DATE($C482,10,15)&gt;=$X$458,$AA$458*(1+($U$458)/100)^MAX(0,$C482-$AD$458),IF(DATE($C482,10,15)&gt;=$W$458,$Z$458*(1+($U$458)/100)^MAX(0,$C482-$AC$458),IF(DATE($C482,10,15)&gt;=$V$458,$Y$458*(1+($U$458)/100)^MAX(0,$C482-$AB$458),0)))))</f>
      </c>
      <c r="O482" s="43">
        <f>IF($S$458=0,0,IF(OR(DATE($C482,11,15)&lt;$S$458,AND($T$458&gt;0,DATE($C482,11,15)&gt;$T$458)),0,IF(DATE($C482,11,15)&gt;=$X$458,$AA$458*(1+($U$458)/100)^MAX(0,$C482-$AD$458),IF(DATE($C482,11,15)&gt;=$W$458,$Z$458*(1+($U$458)/100)^MAX(0,$C482-$AC$458),IF(DATE($C482,11,15)&gt;=$V$458,$Y$458*(1+($U$458)/100)^MAX(0,$C482-$AB$458),0)))))</f>
      </c>
      <c r="P482" s="43">
        <f>IF($S$458=0,0,IF(OR(DATE($C482,12,15)&lt;$S$458,AND($T$458&gt;0,DATE($C482,12,15)&gt;$T$458)),0,IF(DATE($C482,12,15)&gt;=$X$458,$AA$458*(1+($U$458)/100)^MAX(0,$C482-$AD$458),IF(DATE($C482,12,15)&gt;=$W$458,$Z$458*(1+($U$458)/100)^MAX(0,$C482-$AC$458),IF(DATE($C482,12,15)&gt;=$V$458,$Y$458*(1+($U$458)/100)^MAX(0,$C482-$AB$458),0)))))</f>
      </c>
      <c r="Q482" s="43">
        <f>SUM($E482:$P482)</f>
      </c>
    </row>
    <row r="483">
      <c r="A483"/>
      <c r="B483">
        <v>15</v>
      </c>
      <c r="C483" s="43">
        <f>Jahr+25</f>
      </c>
      <c r="D483" s="43">
        <f>INDEX(MvObj,15)</f>
      </c>
      <c r="E483" s="43">
        <f>IF($S$458=0,0,IF(OR(DATE($C483,1,15)&lt;$S$458,AND($T$458&gt;0,DATE($C483,1,15)&gt;$T$458)),0,IF(DATE($C483,1,15)&gt;=$X$458,$AA$458*(1+($U$458)/100)^MAX(0,$C483-$AD$458),IF(DATE($C483,1,15)&gt;=$W$458,$Z$458*(1+($U$458)/100)^MAX(0,$C483-$AC$458),IF(DATE($C483,1,15)&gt;=$V$458,$Y$458*(1+($U$458)/100)^MAX(0,$C483-$AB$458),0)))))</f>
      </c>
      <c r="F483" s="43">
        <f>IF($S$458=0,0,IF(OR(DATE($C483,2,15)&lt;$S$458,AND($T$458&gt;0,DATE($C483,2,15)&gt;$T$458)),0,IF(DATE($C483,2,15)&gt;=$X$458,$AA$458*(1+($U$458)/100)^MAX(0,$C483-$AD$458),IF(DATE($C483,2,15)&gt;=$W$458,$Z$458*(1+($U$458)/100)^MAX(0,$C483-$AC$458),IF(DATE($C483,2,15)&gt;=$V$458,$Y$458*(1+($U$458)/100)^MAX(0,$C483-$AB$458),0)))))</f>
      </c>
      <c r="G483" s="43">
        <f>IF($S$458=0,0,IF(OR(DATE($C483,3,15)&lt;$S$458,AND($T$458&gt;0,DATE($C483,3,15)&gt;$T$458)),0,IF(DATE($C483,3,15)&gt;=$X$458,$AA$458*(1+($U$458)/100)^MAX(0,$C483-$AD$458),IF(DATE($C483,3,15)&gt;=$W$458,$Z$458*(1+($U$458)/100)^MAX(0,$C483-$AC$458),IF(DATE($C483,3,15)&gt;=$V$458,$Y$458*(1+($U$458)/100)^MAX(0,$C483-$AB$458),0)))))</f>
      </c>
      <c r="H483" s="43">
        <f>IF($S$458=0,0,IF(OR(DATE($C483,4,15)&lt;$S$458,AND($T$458&gt;0,DATE($C483,4,15)&gt;$T$458)),0,IF(DATE($C483,4,15)&gt;=$X$458,$AA$458*(1+($U$458)/100)^MAX(0,$C483-$AD$458),IF(DATE($C483,4,15)&gt;=$W$458,$Z$458*(1+($U$458)/100)^MAX(0,$C483-$AC$458),IF(DATE($C483,4,15)&gt;=$V$458,$Y$458*(1+($U$458)/100)^MAX(0,$C483-$AB$458),0)))))</f>
      </c>
      <c r="I483" s="43">
        <f>IF($S$458=0,0,IF(OR(DATE($C483,5,15)&lt;$S$458,AND($T$458&gt;0,DATE($C483,5,15)&gt;$T$458)),0,IF(DATE($C483,5,15)&gt;=$X$458,$AA$458*(1+($U$458)/100)^MAX(0,$C483-$AD$458),IF(DATE($C483,5,15)&gt;=$W$458,$Z$458*(1+($U$458)/100)^MAX(0,$C483-$AC$458),IF(DATE($C483,5,15)&gt;=$V$458,$Y$458*(1+($U$458)/100)^MAX(0,$C483-$AB$458),0)))))</f>
      </c>
      <c r="J483" s="43">
        <f>IF($S$458=0,0,IF(OR(DATE($C483,6,15)&lt;$S$458,AND($T$458&gt;0,DATE($C483,6,15)&gt;$T$458)),0,IF(DATE($C483,6,15)&gt;=$X$458,$AA$458*(1+($U$458)/100)^MAX(0,$C483-$AD$458),IF(DATE($C483,6,15)&gt;=$W$458,$Z$458*(1+($U$458)/100)^MAX(0,$C483-$AC$458),IF(DATE($C483,6,15)&gt;=$V$458,$Y$458*(1+($U$458)/100)^MAX(0,$C483-$AB$458),0)))))</f>
      </c>
      <c r="K483" s="43">
        <f>IF($S$458=0,0,IF(OR(DATE($C483,7,15)&lt;$S$458,AND($T$458&gt;0,DATE($C483,7,15)&gt;$T$458)),0,IF(DATE($C483,7,15)&gt;=$X$458,$AA$458*(1+($U$458)/100)^MAX(0,$C483-$AD$458),IF(DATE($C483,7,15)&gt;=$W$458,$Z$458*(1+($U$458)/100)^MAX(0,$C483-$AC$458),IF(DATE($C483,7,15)&gt;=$V$458,$Y$458*(1+($U$458)/100)^MAX(0,$C483-$AB$458),0)))))</f>
      </c>
      <c r="L483" s="43">
        <f>IF($S$458=0,0,IF(OR(DATE($C483,8,15)&lt;$S$458,AND($T$458&gt;0,DATE($C483,8,15)&gt;$T$458)),0,IF(DATE($C483,8,15)&gt;=$X$458,$AA$458*(1+($U$458)/100)^MAX(0,$C483-$AD$458),IF(DATE($C483,8,15)&gt;=$W$458,$Z$458*(1+($U$458)/100)^MAX(0,$C483-$AC$458),IF(DATE($C483,8,15)&gt;=$V$458,$Y$458*(1+($U$458)/100)^MAX(0,$C483-$AB$458),0)))))</f>
      </c>
      <c r="M483" s="43">
        <f>IF($S$458=0,0,IF(OR(DATE($C483,9,15)&lt;$S$458,AND($T$458&gt;0,DATE($C483,9,15)&gt;$T$458)),0,IF(DATE($C483,9,15)&gt;=$X$458,$AA$458*(1+($U$458)/100)^MAX(0,$C483-$AD$458),IF(DATE($C483,9,15)&gt;=$W$458,$Z$458*(1+($U$458)/100)^MAX(0,$C483-$AC$458),IF(DATE($C483,9,15)&gt;=$V$458,$Y$458*(1+($U$458)/100)^MAX(0,$C483-$AB$458),0)))))</f>
      </c>
      <c r="N483" s="43">
        <f>IF($S$458=0,0,IF(OR(DATE($C483,10,15)&lt;$S$458,AND($T$458&gt;0,DATE($C483,10,15)&gt;$T$458)),0,IF(DATE($C483,10,15)&gt;=$X$458,$AA$458*(1+($U$458)/100)^MAX(0,$C483-$AD$458),IF(DATE($C483,10,15)&gt;=$W$458,$Z$458*(1+($U$458)/100)^MAX(0,$C483-$AC$458),IF(DATE($C483,10,15)&gt;=$V$458,$Y$458*(1+($U$458)/100)^MAX(0,$C483-$AB$458),0)))))</f>
      </c>
      <c r="O483" s="43">
        <f>IF($S$458=0,0,IF(OR(DATE($C483,11,15)&lt;$S$458,AND($T$458&gt;0,DATE($C483,11,15)&gt;$T$458)),0,IF(DATE($C483,11,15)&gt;=$X$458,$AA$458*(1+($U$458)/100)^MAX(0,$C483-$AD$458),IF(DATE($C483,11,15)&gt;=$W$458,$Z$458*(1+($U$458)/100)^MAX(0,$C483-$AC$458),IF(DATE($C483,11,15)&gt;=$V$458,$Y$458*(1+($U$458)/100)^MAX(0,$C483-$AB$458),0)))))</f>
      </c>
      <c r="P483" s="43">
        <f>IF($S$458=0,0,IF(OR(DATE($C483,12,15)&lt;$S$458,AND($T$458&gt;0,DATE($C483,12,15)&gt;$T$458)),0,IF(DATE($C483,12,15)&gt;=$X$458,$AA$458*(1+($U$458)/100)^MAX(0,$C483-$AD$458),IF(DATE($C483,12,15)&gt;=$W$458,$Z$458*(1+($U$458)/100)^MAX(0,$C483-$AC$458),IF(DATE($C483,12,15)&gt;=$V$458,$Y$458*(1+($U$458)/100)^MAX(0,$C483-$AB$458),0)))))</f>
      </c>
      <c r="Q483" s="43">
        <f>SUM($E483:$P483)</f>
      </c>
    </row>
    <row r="484">
      <c r="A484"/>
      <c r="B484">
        <v>15</v>
      </c>
      <c r="C484" s="43">
        <f>Jahr+26</f>
      </c>
      <c r="D484" s="43">
        <f>INDEX(MvObj,15)</f>
      </c>
      <c r="E484" s="43">
        <f>IF($S$458=0,0,IF(OR(DATE($C484,1,15)&lt;$S$458,AND($T$458&gt;0,DATE($C484,1,15)&gt;$T$458)),0,IF(DATE($C484,1,15)&gt;=$X$458,$AA$458*(1+($U$458)/100)^MAX(0,$C484-$AD$458),IF(DATE($C484,1,15)&gt;=$W$458,$Z$458*(1+($U$458)/100)^MAX(0,$C484-$AC$458),IF(DATE($C484,1,15)&gt;=$V$458,$Y$458*(1+($U$458)/100)^MAX(0,$C484-$AB$458),0)))))</f>
      </c>
      <c r="F484" s="43">
        <f>IF($S$458=0,0,IF(OR(DATE($C484,2,15)&lt;$S$458,AND($T$458&gt;0,DATE($C484,2,15)&gt;$T$458)),0,IF(DATE($C484,2,15)&gt;=$X$458,$AA$458*(1+($U$458)/100)^MAX(0,$C484-$AD$458),IF(DATE($C484,2,15)&gt;=$W$458,$Z$458*(1+($U$458)/100)^MAX(0,$C484-$AC$458),IF(DATE($C484,2,15)&gt;=$V$458,$Y$458*(1+($U$458)/100)^MAX(0,$C484-$AB$458),0)))))</f>
      </c>
      <c r="G484" s="43">
        <f>IF($S$458=0,0,IF(OR(DATE($C484,3,15)&lt;$S$458,AND($T$458&gt;0,DATE($C484,3,15)&gt;$T$458)),0,IF(DATE($C484,3,15)&gt;=$X$458,$AA$458*(1+($U$458)/100)^MAX(0,$C484-$AD$458),IF(DATE($C484,3,15)&gt;=$W$458,$Z$458*(1+($U$458)/100)^MAX(0,$C484-$AC$458),IF(DATE($C484,3,15)&gt;=$V$458,$Y$458*(1+($U$458)/100)^MAX(0,$C484-$AB$458),0)))))</f>
      </c>
      <c r="H484" s="43">
        <f>IF($S$458=0,0,IF(OR(DATE($C484,4,15)&lt;$S$458,AND($T$458&gt;0,DATE($C484,4,15)&gt;$T$458)),0,IF(DATE($C484,4,15)&gt;=$X$458,$AA$458*(1+($U$458)/100)^MAX(0,$C484-$AD$458),IF(DATE($C484,4,15)&gt;=$W$458,$Z$458*(1+($U$458)/100)^MAX(0,$C484-$AC$458),IF(DATE($C484,4,15)&gt;=$V$458,$Y$458*(1+($U$458)/100)^MAX(0,$C484-$AB$458),0)))))</f>
      </c>
      <c r="I484" s="43">
        <f>IF($S$458=0,0,IF(OR(DATE($C484,5,15)&lt;$S$458,AND($T$458&gt;0,DATE($C484,5,15)&gt;$T$458)),0,IF(DATE($C484,5,15)&gt;=$X$458,$AA$458*(1+($U$458)/100)^MAX(0,$C484-$AD$458),IF(DATE($C484,5,15)&gt;=$W$458,$Z$458*(1+($U$458)/100)^MAX(0,$C484-$AC$458),IF(DATE($C484,5,15)&gt;=$V$458,$Y$458*(1+($U$458)/100)^MAX(0,$C484-$AB$458),0)))))</f>
      </c>
      <c r="J484" s="43">
        <f>IF($S$458=0,0,IF(OR(DATE($C484,6,15)&lt;$S$458,AND($T$458&gt;0,DATE($C484,6,15)&gt;$T$458)),0,IF(DATE($C484,6,15)&gt;=$X$458,$AA$458*(1+($U$458)/100)^MAX(0,$C484-$AD$458),IF(DATE($C484,6,15)&gt;=$W$458,$Z$458*(1+($U$458)/100)^MAX(0,$C484-$AC$458),IF(DATE($C484,6,15)&gt;=$V$458,$Y$458*(1+($U$458)/100)^MAX(0,$C484-$AB$458),0)))))</f>
      </c>
      <c r="K484" s="43">
        <f>IF($S$458=0,0,IF(OR(DATE($C484,7,15)&lt;$S$458,AND($T$458&gt;0,DATE($C484,7,15)&gt;$T$458)),0,IF(DATE($C484,7,15)&gt;=$X$458,$AA$458*(1+($U$458)/100)^MAX(0,$C484-$AD$458),IF(DATE($C484,7,15)&gt;=$W$458,$Z$458*(1+($U$458)/100)^MAX(0,$C484-$AC$458),IF(DATE($C484,7,15)&gt;=$V$458,$Y$458*(1+($U$458)/100)^MAX(0,$C484-$AB$458),0)))))</f>
      </c>
      <c r="L484" s="43">
        <f>IF($S$458=0,0,IF(OR(DATE($C484,8,15)&lt;$S$458,AND($T$458&gt;0,DATE($C484,8,15)&gt;$T$458)),0,IF(DATE($C484,8,15)&gt;=$X$458,$AA$458*(1+($U$458)/100)^MAX(0,$C484-$AD$458),IF(DATE($C484,8,15)&gt;=$W$458,$Z$458*(1+($U$458)/100)^MAX(0,$C484-$AC$458),IF(DATE($C484,8,15)&gt;=$V$458,$Y$458*(1+($U$458)/100)^MAX(0,$C484-$AB$458),0)))))</f>
      </c>
      <c r="M484" s="43">
        <f>IF($S$458=0,0,IF(OR(DATE($C484,9,15)&lt;$S$458,AND($T$458&gt;0,DATE($C484,9,15)&gt;$T$458)),0,IF(DATE($C484,9,15)&gt;=$X$458,$AA$458*(1+($U$458)/100)^MAX(0,$C484-$AD$458),IF(DATE($C484,9,15)&gt;=$W$458,$Z$458*(1+($U$458)/100)^MAX(0,$C484-$AC$458),IF(DATE($C484,9,15)&gt;=$V$458,$Y$458*(1+($U$458)/100)^MAX(0,$C484-$AB$458),0)))))</f>
      </c>
      <c r="N484" s="43">
        <f>IF($S$458=0,0,IF(OR(DATE($C484,10,15)&lt;$S$458,AND($T$458&gt;0,DATE($C484,10,15)&gt;$T$458)),0,IF(DATE($C484,10,15)&gt;=$X$458,$AA$458*(1+($U$458)/100)^MAX(0,$C484-$AD$458),IF(DATE($C484,10,15)&gt;=$W$458,$Z$458*(1+($U$458)/100)^MAX(0,$C484-$AC$458),IF(DATE($C484,10,15)&gt;=$V$458,$Y$458*(1+($U$458)/100)^MAX(0,$C484-$AB$458),0)))))</f>
      </c>
      <c r="O484" s="43">
        <f>IF($S$458=0,0,IF(OR(DATE($C484,11,15)&lt;$S$458,AND($T$458&gt;0,DATE($C484,11,15)&gt;$T$458)),0,IF(DATE($C484,11,15)&gt;=$X$458,$AA$458*(1+($U$458)/100)^MAX(0,$C484-$AD$458),IF(DATE($C484,11,15)&gt;=$W$458,$Z$458*(1+($U$458)/100)^MAX(0,$C484-$AC$458),IF(DATE($C484,11,15)&gt;=$V$458,$Y$458*(1+($U$458)/100)^MAX(0,$C484-$AB$458),0)))))</f>
      </c>
      <c r="P484" s="43">
        <f>IF($S$458=0,0,IF(OR(DATE($C484,12,15)&lt;$S$458,AND($T$458&gt;0,DATE($C484,12,15)&gt;$T$458)),0,IF(DATE($C484,12,15)&gt;=$X$458,$AA$458*(1+($U$458)/100)^MAX(0,$C484-$AD$458),IF(DATE($C484,12,15)&gt;=$W$458,$Z$458*(1+($U$458)/100)^MAX(0,$C484-$AC$458),IF(DATE($C484,12,15)&gt;=$V$458,$Y$458*(1+($U$458)/100)^MAX(0,$C484-$AB$458),0)))))</f>
      </c>
      <c r="Q484" s="43">
        <f>SUM($E484:$P484)</f>
      </c>
    </row>
    <row r="485">
      <c r="A485"/>
      <c r="B485">
        <v>15</v>
      </c>
      <c r="C485" s="43">
        <f>Jahr+27</f>
      </c>
      <c r="D485" s="43">
        <f>INDEX(MvObj,15)</f>
      </c>
      <c r="E485" s="43">
        <f>IF($S$458=0,0,IF(OR(DATE($C485,1,15)&lt;$S$458,AND($T$458&gt;0,DATE($C485,1,15)&gt;$T$458)),0,IF(DATE($C485,1,15)&gt;=$X$458,$AA$458*(1+($U$458)/100)^MAX(0,$C485-$AD$458),IF(DATE($C485,1,15)&gt;=$W$458,$Z$458*(1+($U$458)/100)^MAX(0,$C485-$AC$458),IF(DATE($C485,1,15)&gt;=$V$458,$Y$458*(1+($U$458)/100)^MAX(0,$C485-$AB$458),0)))))</f>
      </c>
      <c r="F485" s="43">
        <f>IF($S$458=0,0,IF(OR(DATE($C485,2,15)&lt;$S$458,AND($T$458&gt;0,DATE($C485,2,15)&gt;$T$458)),0,IF(DATE($C485,2,15)&gt;=$X$458,$AA$458*(1+($U$458)/100)^MAX(0,$C485-$AD$458),IF(DATE($C485,2,15)&gt;=$W$458,$Z$458*(1+($U$458)/100)^MAX(0,$C485-$AC$458),IF(DATE($C485,2,15)&gt;=$V$458,$Y$458*(1+($U$458)/100)^MAX(0,$C485-$AB$458),0)))))</f>
      </c>
      <c r="G485" s="43">
        <f>IF($S$458=0,0,IF(OR(DATE($C485,3,15)&lt;$S$458,AND($T$458&gt;0,DATE($C485,3,15)&gt;$T$458)),0,IF(DATE($C485,3,15)&gt;=$X$458,$AA$458*(1+($U$458)/100)^MAX(0,$C485-$AD$458),IF(DATE($C485,3,15)&gt;=$W$458,$Z$458*(1+($U$458)/100)^MAX(0,$C485-$AC$458),IF(DATE($C485,3,15)&gt;=$V$458,$Y$458*(1+($U$458)/100)^MAX(0,$C485-$AB$458),0)))))</f>
      </c>
      <c r="H485" s="43">
        <f>IF($S$458=0,0,IF(OR(DATE($C485,4,15)&lt;$S$458,AND($T$458&gt;0,DATE($C485,4,15)&gt;$T$458)),0,IF(DATE($C485,4,15)&gt;=$X$458,$AA$458*(1+($U$458)/100)^MAX(0,$C485-$AD$458),IF(DATE($C485,4,15)&gt;=$W$458,$Z$458*(1+($U$458)/100)^MAX(0,$C485-$AC$458),IF(DATE($C485,4,15)&gt;=$V$458,$Y$458*(1+($U$458)/100)^MAX(0,$C485-$AB$458),0)))))</f>
      </c>
      <c r="I485" s="43">
        <f>IF($S$458=0,0,IF(OR(DATE($C485,5,15)&lt;$S$458,AND($T$458&gt;0,DATE($C485,5,15)&gt;$T$458)),0,IF(DATE($C485,5,15)&gt;=$X$458,$AA$458*(1+($U$458)/100)^MAX(0,$C485-$AD$458),IF(DATE($C485,5,15)&gt;=$W$458,$Z$458*(1+($U$458)/100)^MAX(0,$C485-$AC$458),IF(DATE($C485,5,15)&gt;=$V$458,$Y$458*(1+($U$458)/100)^MAX(0,$C485-$AB$458),0)))))</f>
      </c>
      <c r="J485" s="43">
        <f>IF($S$458=0,0,IF(OR(DATE($C485,6,15)&lt;$S$458,AND($T$458&gt;0,DATE($C485,6,15)&gt;$T$458)),0,IF(DATE($C485,6,15)&gt;=$X$458,$AA$458*(1+($U$458)/100)^MAX(0,$C485-$AD$458),IF(DATE($C485,6,15)&gt;=$W$458,$Z$458*(1+($U$458)/100)^MAX(0,$C485-$AC$458),IF(DATE($C485,6,15)&gt;=$V$458,$Y$458*(1+($U$458)/100)^MAX(0,$C485-$AB$458),0)))))</f>
      </c>
      <c r="K485" s="43">
        <f>IF($S$458=0,0,IF(OR(DATE($C485,7,15)&lt;$S$458,AND($T$458&gt;0,DATE($C485,7,15)&gt;$T$458)),0,IF(DATE($C485,7,15)&gt;=$X$458,$AA$458*(1+($U$458)/100)^MAX(0,$C485-$AD$458),IF(DATE($C485,7,15)&gt;=$W$458,$Z$458*(1+($U$458)/100)^MAX(0,$C485-$AC$458),IF(DATE($C485,7,15)&gt;=$V$458,$Y$458*(1+($U$458)/100)^MAX(0,$C485-$AB$458),0)))))</f>
      </c>
      <c r="L485" s="43">
        <f>IF($S$458=0,0,IF(OR(DATE($C485,8,15)&lt;$S$458,AND($T$458&gt;0,DATE($C485,8,15)&gt;$T$458)),0,IF(DATE($C485,8,15)&gt;=$X$458,$AA$458*(1+($U$458)/100)^MAX(0,$C485-$AD$458),IF(DATE($C485,8,15)&gt;=$W$458,$Z$458*(1+($U$458)/100)^MAX(0,$C485-$AC$458),IF(DATE($C485,8,15)&gt;=$V$458,$Y$458*(1+($U$458)/100)^MAX(0,$C485-$AB$458),0)))))</f>
      </c>
      <c r="M485" s="43">
        <f>IF($S$458=0,0,IF(OR(DATE($C485,9,15)&lt;$S$458,AND($T$458&gt;0,DATE($C485,9,15)&gt;$T$458)),0,IF(DATE($C485,9,15)&gt;=$X$458,$AA$458*(1+($U$458)/100)^MAX(0,$C485-$AD$458),IF(DATE($C485,9,15)&gt;=$W$458,$Z$458*(1+($U$458)/100)^MAX(0,$C485-$AC$458),IF(DATE($C485,9,15)&gt;=$V$458,$Y$458*(1+($U$458)/100)^MAX(0,$C485-$AB$458),0)))))</f>
      </c>
      <c r="N485" s="43">
        <f>IF($S$458=0,0,IF(OR(DATE($C485,10,15)&lt;$S$458,AND($T$458&gt;0,DATE($C485,10,15)&gt;$T$458)),0,IF(DATE($C485,10,15)&gt;=$X$458,$AA$458*(1+($U$458)/100)^MAX(0,$C485-$AD$458),IF(DATE($C485,10,15)&gt;=$W$458,$Z$458*(1+($U$458)/100)^MAX(0,$C485-$AC$458),IF(DATE($C485,10,15)&gt;=$V$458,$Y$458*(1+($U$458)/100)^MAX(0,$C485-$AB$458),0)))))</f>
      </c>
      <c r="O485" s="43">
        <f>IF($S$458=0,0,IF(OR(DATE($C485,11,15)&lt;$S$458,AND($T$458&gt;0,DATE($C485,11,15)&gt;$T$458)),0,IF(DATE($C485,11,15)&gt;=$X$458,$AA$458*(1+($U$458)/100)^MAX(0,$C485-$AD$458),IF(DATE($C485,11,15)&gt;=$W$458,$Z$458*(1+($U$458)/100)^MAX(0,$C485-$AC$458),IF(DATE($C485,11,15)&gt;=$V$458,$Y$458*(1+($U$458)/100)^MAX(0,$C485-$AB$458),0)))))</f>
      </c>
      <c r="P485" s="43">
        <f>IF($S$458=0,0,IF(OR(DATE($C485,12,15)&lt;$S$458,AND($T$458&gt;0,DATE($C485,12,15)&gt;$T$458)),0,IF(DATE($C485,12,15)&gt;=$X$458,$AA$458*(1+($U$458)/100)^MAX(0,$C485-$AD$458),IF(DATE($C485,12,15)&gt;=$W$458,$Z$458*(1+($U$458)/100)^MAX(0,$C485-$AC$458),IF(DATE($C485,12,15)&gt;=$V$458,$Y$458*(1+($U$458)/100)^MAX(0,$C485-$AB$458),0)))))</f>
      </c>
      <c r="Q485" s="43">
        <f>SUM($E485:$P485)</f>
      </c>
    </row>
    <row r="486">
      <c r="A486"/>
      <c r="B486">
        <v>15</v>
      </c>
      <c r="C486" s="43">
        <f>Jahr+28</f>
      </c>
      <c r="D486" s="43">
        <f>INDEX(MvObj,15)</f>
      </c>
      <c r="E486" s="43">
        <f>IF($S$458=0,0,IF(OR(DATE($C486,1,15)&lt;$S$458,AND($T$458&gt;0,DATE($C486,1,15)&gt;$T$458)),0,IF(DATE($C486,1,15)&gt;=$X$458,$AA$458*(1+($U$458)/100)^MAX(0,$C486-$AD$458),IF(DATE($C486,1,15)&gt;=$W$458,$Z$458*(1+($U$458)/100)^MAX(0,$C486-$AC$458),IF(DATE($C486,1,15)&gt;=$V$458,$Y$458*(1+($U$458)/100)^MAX(0,$C486-$AB$458),0)))))</f>
      </c>
      <c r="F486" s="43">
        <f>IF($S$458=0,0,IF(OR(DATE($C486,2,15)&lt;$S$458,AND($T$458&gt;0,DATE($C486,2,15)&gt;$T$458)),0,IF(DATE($C486,2,15)&gt;=$X$458,$AA$458*(1+($U$458)/100)^MAX(0,$C486-$AD$458),IF(DATE($C486,2,15)&gt;=$W$458,$Z$458*(1+($U$458)/100)^MAX(0,$C486-$AC$458),IF(DATE($C486,2,15)&gt;=$V$458,$Y$458*(1+($U$458)/100)^MAX(0,$C486-$AB$458),0)))))</f>
      </c>
      <c r="G486" s="43">
        <f>IF($S$458=0,0,IF(OR(DATE($C486,3,15)&lt;$S$458,AND($T$458&gt;0,DATE($C486,3,15)&gt;$T$458)),0,IF(DATE($C486,3,15)&gt;=$X$458,$AA$458*(1+($U$458)/100)^MAX(0,$C486-$AD$458),IF(DATE($C486,3,15)&gt;=$W$458,$Z$458*(1+($U$458)/100)^MAX(0,$C486-$AC$458),IF(DATE($C486,3,15)&gt;=$V$458,$Y$458*(1+($U$458)/100)^MAX(0,$C486-$AB$458),0)))))</f>
      </c>
      <c r="H486" s="43">
        <f>IF($S$458=0,0,IF(OR(DATE($C486,4,15)&lt;$S$458,AND($T$458&gt;0,DATE($C486,4,15)&gt;$T$458)),0,IF(DATE($C486,4,15)&gt;=$X$458,$AA$458*(1+($U$458)/100)^MAX(0,$C486-$AD$458),IF(DATE($C486,4,15)&gt;=$W$458,$Z$458*(1+($U$458)/100)^MAX(0,$C486-$AC$458),IF(DATE($C486,4,15)&gt;=$V$458,$Y$458*(1+($U$458)/100)^MAX(0,$C486-$AB$458),0)))))</f>
      </c>
      <c r="I486" s="43">
        <f>IF($S$458=0,0,IF(OR(DATE($C486,5,15)&lt;$S$458,AND($T$458&gt;0,DATE($C486,5,15)&gt;$T$458)),0,IF(DATE($C486,5,15)&gt;=$X$458,$AA$458*(1+($U$458)/100)^MAX(0,$C486-$AD$458),IF(DATE($C486,5,15)&gt;=$W$458,$Z$458*(1+($U$458)/100)^MAX(0,$C486-$AC$458),IF(DATE($C486,5,15)&gt;=$V$458,$Y$458*(1+($U$458)/100)^MAX(0,$C486-$AB$458),0)))))</f>
      </c>
      <c r="J486" s="43">
        <f>IF($S$458=0,0,IF(OR(DATE($C486,6,15)&lt;$S$458,AND($T$458&gt;0,DATE($C486,6,15)&gt;$T$458)),0,IF(DATE($C486,6,15)&gt;=$X$458,$AA$458*(1+($U$458)/100)^MAX(0,$C486-$AD$458),IF(DATE($C486,6,15)&gt;=$W$458,$Z$458*(1+($U$458)/100)^MAX(0,$C486-$AC$458),IF(DATE($C486,6,15)&gt;=$V$458,$Y$458*(1+($U$458)/100)^MAX(0,$C486-$AB$458),0)))))</f>
      </c>
      <c r="K486" s="43">
        <f>IF($S$458=0,0,IF(OR(DATE($C486,7,15)&lt;$S$458,AND($T$458&gt;0,DATE($C486,7,15)&gt;$T$458)),0,IF(DATE($C486,7,15)&gt;=$X$458,$AA$458*(1+($U$458)/100)^MAX(0,$C486-$AD$458),IF(DATE($C486,7,15)&gt;=$W$458,$Z$458*(1+($U$458)/100)^MAX(0,$C486-$AC$458),IF(DATE($C486,7,15)&gt;=$V$458,$Y$458*(1+($U$458)/100)^MAX(0,$C486-$AB$458),0)))))</f>
      </c>
      <c r="L486" s="43">
        <f>IF($S$458=0,0,IF(OR(DATE($C486,8,15)&lt;$S$458,AND($T$458&gt;0,DATE($C486,8,15)&gt;$T$458)),0,IF(DATE($C486,8,15)&gt;=$X$458,$AA$458*(1+($U$458)/100)^MAX(0,$C486-$AD$458),IF(DATE($C486,8,15)&gt;=$W$458,$Z$458*(1+($U$458)/100)^MAX(0,$C486-$AC$458),IF(DATE($C486,8,15)&gt;=$V$458,$Y$458*(1+($U$458)/100)^MAX(0,$C486-$AB$458),0)))))</f>
      </c>
      <c r="M486" s="43">
        <f>IF($S$458=0,0,IF(OR(DATE($C486,9,15)&lt;$S$458,AND($T$458&gt;0,DATE($C486,9,15)&gt;$T$458)),0,IF(DATE($C486,9,15)&gt;=$X$458,$AA$458*(1+($U$458)/100)^MAX(0,$C486-$AD$458),IF(DATE($C486,9,15)&gt;=$W$458,$Z$458*(1+($U$458)/100)^MAX(0,$C486-$AC$458),IF(DATE($C486,9,15)&gt;=$V$458,$Y$458*(1+($U$458)/100)^MAX(0,$C486-$AB$458),0)))))</f>
      </c>
      <c r="N486" s="43">
        <f>IF($S$458=0,0,IF(OR(DATE($C486,10,15)&lt;$S$458,AND($T$458&gt;0,DATE($C486,10,15)&gt;$T$458)),0,IF(DATE($C486,10,15)&gt;=$X$458,$AA$458*(1+($U$458)/100)^MAX(0,$C486-$AD$458),IF(DATE($C486,10,15)&gt;=$W$458,$Z$458*(1+($U$458)/100)^MAX(0,$C486-$AC$458),IF(DATE($C486,10,15)&gt;=$V$458,$Y$458*(1+($U$458)/100)^MAX(0,$C486-$AB$458),0)))))</f>
      </c>
      <c r="O486" s="43">
        <f>IF($S$458=0,0,IF(OR(DATE($C486,11,15)&lt;$S$458,AND($T$458&gt;0,DATE($C486,11,15)&gt;$T$458)),0,IF(DATE($C486,11,15)&gt;=$X$458,$AA$458*(1+($U$458)/100)^MAX(0,$C486-$AD$458),IF(DATE($C486,11,15)&gt;=$W$458,$Z$458*(1+($U$458)/100)^MAX(0,$C486-$AC$458),IF(DATE($C486,11,15)&gt;=$V$458,$Y$458*(1+($U$458)/100)^MAX(0,$C486-$AB$458),0)))))</f>
      </c>
      <c r="P486" s="43">
        <f>IF($S$458=0,0,IF(OR(DATE($C486,12,15)&lt;$S$458,AND($T$458&gt;0,DATE($C486,12,15)&gt;$T$458)),0,IF(DATE($C486,12,15)&gt;=$X$458,$AA$458*(1+($U$458)/100)^MAX(0,$C486-$AD$458),IF(DATE($C486,12,15)&gt;=$W$458,$Z$458*(1+($U$458)/100)^MAX(0,$C486-$AC$458),IF(DATE($C486,12,15)&gt;=$V$458,$Y$458*(1+($U$458)/100)^MAX(0,$C486-$AB$458),0)))))</f>
      </c>
      <c r="Q486" s="43">
        <f>SUM($E486:$P486)</f>
      </c>
    </row>
    <row r="487">
      <c r="A487"/>
      <c r="B487">
        <v>15</v>
      </c>
      <c r="C487" s="43">
        <f>Jahr+29</f>
      </c>
      <c r="D487" s="43">
        <f>INDEX(MvObj,15)</f>
      </c>
      <c r="E487" s="43">
        <f>IF($S$458=0,0,IF(OR(DATE($C487,1,15)&lt;$S$458,AND($T$458&gt;0,DATE($C487,1,15)&gt;$T$458)),0,IF(DATE($C487,1,15)&gt;=$X$458,$AA$458*(1+($U$458)/100)^MAX(0,$C487-$AD$458),IF(DATE($C487,1,15)&gt;=$W$458,$Z$458*(1+($U$458)/100)^MAX(0,$C487-$AC$458),IF(DATE($C487,1,15)&gt;=$V$458,$Y$458*(1+($U$458)/100)^MAX(0,$C487-$AB$458),0)))))</f>
      </c>
      <c r="F487" s="43">
        <f>IF($S$458=0,0,IF(OR(DATE($C487,2,15)&lt;$S$458,AND($T$458&gt;0,DATE($C487,2,15)&gt;$T$458)),0,IF(DATE($C487,2,15)&gt;=$X$458,$AA$458*(1+($U$458)/100)^MAX(0,$C487-$AD$458),IF(DATE($C487,2,15)&gt;=$W$458,$Z$458*(1+($U$458)/100)^MAX(0,$C487-$AC$458),IF(DATE($C487,2,15)&gt;=$V$458,$Y$458*(1+($U$458)/100)^MAX(0,$C487-$AB$458),0)))))</f>
      </c>
      <c r="G487" s="43">
        <f>IF($S$458=0,0,IF(OR(DATE($C487,3,15)&lt;$S$458,AND($T$458&gt;0,DATE($C487,3,15)&gt;$T$458)),0,IF(DATE($C487,3,15)&gt;=$X$458,$AA$458*(1+($U$458)/100)^MAX(0,$C487-$AD$458),IF(DATE($C487,3,15)&gt;=$W$458,$Z$458*(1+($U$458)/100)^MAX(0,$C487-$AC$458),IF(DATE($C487,3,15)&gt;=$V$458,$Y$458*(1+($U$458)/100)^MAX(0,$C487-$AB$458),0)))))</f>
      </c>
      <c r="H487" s="43">
        <f>IF($S$458=0,0,IF(OR(DATE($C487,4,15)&lt;$S$458,AND($T$458&gt;0,DATE($C487,4,15)&gt;$T$458)),0,IF(DATE($C487,4,15)&gt;=$X$458,$AA$458*(1+($U$458)/100)^MAX(0,$C487-$AD$458),IF(DATE($C487,4,15)&gt;=$W$458,$Z$458*(1+($U$458)/100)^MAX(0,$C487-$AC$458),IF(DATE($C487,4,15)&gt;=$V$458,$Y$458*(1+($U$458)/100)^MAX(0,$C487-$AB$458),0)))))</f>
      </c>
      <c r="I487" s="43">
        <f>IF($S$458=0,0,IF(OR(DATE($C487,5,15)&lt;$S$458,AND($T$458&gt;0,DATE($C487,5,15)&gt;$T$458)),0,IF(DATE($C487,5,15)&gt;=$X$458,$AA$458*(1+($U$458)/100)^MAX(0,$C487-$AD$458),IF(DATE($C487,5,15)&gt;=$W$458,$Z$458*(1+($U$458)/100)^MAX(0,$C487-$AC$458),IF(DATE($C487,5,15)&gt;=$V$458,$Y$458*(1+($U$458)/100)^MAX(0,$C487-$AB$458),0)))))</f>
      </c>
      <c r="J487" s="43">
        <f>IF($S$458=0,0,IF(OR(DATE($C487,6,15)&lt;$S$458,AND($T$458&gt;0,DATE($C487,6,15)&gt;$T$458)),0,IF(DATE($C487,6,15)&gt;=$X$458,$AA$458*(1+($U$458)/100)^MAX(0,$C487-$AD$458),IF(DATE($C487,6,15)&gt;=$W$458,$Z$458*(1+($U$458)/100)^MAX(0,$C487-$AC$458),IF(DATE($C487,6,15)&gt;=$V$458,$Y$458*(1+($U$458)/100)^MAX(0,$C487-$AB$458),0)))))</f>
      </c>
      <c r="K487" s="43">
        <f>IF($S$458=0,0,IF(OR(DATE($C487,7,15)&lt;$S$458,AND($T$458&gt;0,DATE($C487,7,15)&gt;$T$458)),0,IF(DATE($C487,7,15)&gt;=$X$458,$AA$458*(1+($U$458)/100)^MAX(0,$C487-$AD$458),IF(DATE($C487,7,15)&gt;=$W$458,$Z$458*(1+($U$458)/100)^MAX(0,$C487-$AC$458),IF(DATE($C487,7,15)&gt;=$V$458,$Y$458*(1+($U$458)/100)^MAX(0,$C487-$AB$458),0)))))</f>
      </c>
      <c r="L487" s="43">
        <f>IF($S$458=0,0,IF(OR(DATE($C487,8,15)&lt;$S$458,AND($T$458&gt;0,DATE($C487,8,15)&gt;$T$458)),0,IF(DATE($C487,8,15)&gt;=$X$458,$AA$458*(1+($U$458)/100)^MAX(0,$C487-$AD$458),IF(DATE($C487,8,15)&gt;=$W$458,$Z$458*(1+($U$458)/100)^MAX(0,$C487-$AC$458),IF(DATE($C487,8,15)&gt;=$V$458,$Y$458*(1+($U$458)/100)^MAX(0,$C487-$AB$458),0)))))</f>
      </c>
      <c r="M487" s="43">
        <f>IF($S$458=0,0,IF(OR(DATE($C487,9,15)&lt;$S$458,AND($T$458&gt;0,DATE($C487,9,15)&gt;$T$458)),0,IF(DATE($C487,9,15)&gt;=$X$458,$AA$458*(1+($U$458)/100)^MAX(0,$C487-$AD$458),IF(DATE($C487,9,15)&gt;=$W$458,$Z$458*(1+($U$458)/100)^MAX(0,$C487-$AC$458),IF(DATE($C487,9,15)&gt;=$V$458,$Y$458*(1+($U$458)/100)^MAX(0,$C487-$AB$458),0)))))</f>
      </c>
      <c r="N487" s="43">
        <f>IF($S$458=0,0,IF(OR(DATE($C487,10,15)&lt;$S$458,AND($T$458&gt;0,DATE($C487,10,15)&gt;$T$458)),0,IF(DATE($C487,10,15)&gt;=$X$458,$AA$458*(1+($U$458)/100)^MAX(0,$C487-$AD$458),IF(DATE($C487,10,15)&gt;=$W$458,$Z$458*(1+($U$458)/100)^MAX(0,$C487-$AC$458),IF(DATE($C487,10,15)&gt;=$V$458,$Y$458*(1+($U$458)/100)^MAX(0,$C487-$AB$458),0)))))</f>
      </c>
      <c r="O487" s="43">
        <f>IF($S$458=0,0,IF(OR(DATE($C487,11,15)&lt;$S$458,AND($T$458&gt;0,DATE($C487,11,15)&gt;$T$458)),0,IF(DATE($C487,11,15)&gt;=$X$458,$AA$458*(1+($U$458)/100)^MAX(0,$C487-$AD$458),IF(DATE($C487,11,15)&gt;=$W$458,$Z$458*(1+($U$458)/100)^MAX(0,$C487-$AC$458),IF(DATE($C487,11,15)&gt;=$V$458,$Y$458*(1+($U$458)/100)^MAX(0,$C487-$AB$458),0)))))</f>
      </c>
      <c r="P487" s="43">
        <f>IF($S$458=0,0,IF(OR(DATE($C487,12,15)&lt;$S$458,AND($T$458&gt;0,DATE($C487,12,15)&gt;$T$458)),0,IF(DATE($C487,12,15)&gt;=$X$458,$AA$458*(1+($U$458)/100)^MAX(0,$C487-$AD$458),IF(DATE($C487,12,15)&gt;=$W$458,$Z$458*(1+($U$458)/100)^MAX(0,$C487-$AC$458),IF(DATE($C487,12,15)&gt;=$V$458,$Y$458*(1+($U$458)/100)^MAX(0,$C487-$AB$458),0)))))</f>
      </c>
      <c r="Q487" s="43">
        <f>SUM($E487:$P487)</f>
      </c>
    </row>
    <row r="488">
      <c r="A488"/>
      <c r="B488">
        <v>15</v>
      </c>
      <c r="C488" s="43">
        <f>Jahr+30</f>
      </c>
      <c r="D488" s="43">
        <f>INDEX(MvObj,15)</f>
      </c>
      <c r="E488" s="43">
        <f>IF($S$458=0,0,IF(OR(DATE($C488,1,15)&lt;$S$458,AND($T$458&gt;0,DATE($C488,1,15)&gt;$T$458)),0,IF(DATE($C488,1,15)&gt;=$X$458,$AA$458*(1+($U$458)/100)^MAX(0,$C488-$AD$458),IF(DATE($C488,1,15)&gt;=$W$458,$Z$458*(1+($U$458)/100)^MAX(0,$C488-$AC$458),IF(DATE($C488,1,15)&gt;=$V$458,$Y$458*(1+($U$458)/100)^MAX(0,$C488-$AB$458),0)))))</f>
      </c>
      <c r="F488" s="43">
        <f>IF($S$458=0,0,IF(OR(DATE($C488,2,15)&lt;$S$458,AND($T$458&gt;0,DATE($C488,2,15)&gt;$T$458)),0,IF(DATE($C488,2,15)&gt;=$X$458,$AA$458*(1+($U$458)/100)^MAX(0,$C488-$AD$458),IF(DATE($C488,2,15)&gt;=$W$458,$Z$458*(1+($U$458)/100)^MAX(0,$C488-$AC$458),IF(DATE($C488,2,15)&gt;=$V$458,$Y$458*(1+($U$458)/100)^MAX(0,$C488-$AB$458),0)))))</f>
      </c>
      <c r="G488" s="43">
        <f>IF($S$458=0,0,IF(OR(DATE($C488,3,15)&lt;$S$458,AND($T$458&gt;0,DATE($C488,3,15)&gt;$T$458)),0,IF(DATE($C488,3,15)&gt;=$X$458,$AA$458*(1+($U$458)/100)^MAX(0,$C488-$AD$458),IF(DATE($C488,3,15)&gt;=$W$458,$Z$458*(1+($U$458)/100)^MAX(0,$C488-$AC$458),IF(DATE($C488,3,15)&gt;=$V$458,$Y$458*(1+($U$458)/100)^MAX(0,$C488-$AB$458),0)))))</f>
      </c>
      <c r="H488" s="43">
        <f>IF($S$458=0,0,IF(OR(DATE($C488,4,15)&lt;$S$458,AND($T$458&gt;0,DATE($C488,4,15)&gt;$T$458)),0,IF(DATE($C488,4,15)&gt;=$X$458,$AA$458*(1+($U$458)/100)^MAX(0,$C488-$AD$458),IF(DATE($C488,4,15)&gt;=$W$458,$Z$458*(1+($U$458)/100)^MAX(0,$C488-$AC$458),IF(DATE($C488,4,15)&gt;=$V$458,$Y$458*(1+($U$458)/100)^MAX(0,$C488-$AB$458),0)))))</f>
      </c>
      <c r="I488" s="43">
        <f>IF($S$458=0,0,IF(OR(DATE($C488,5,15)&lt;$S$458,AND($T$458&gt;0,DATE($C488,5,15)&gt;$T$458)),0,IF(DATE($C488,5,15)&gt;=$X$458,$AA$458*(1+($U$458)/100)^MAX(0,$C488-$AD$458),IF(DATE($C488,5,15)&gt;=$W$458,$Z$458*(1+($U$458)/100)^MAX(0,$C488-$AC$458),IF(DATE($C488,5,15)&gt;=$V$458,$Y$458*(1+($U$458)/100)^MAX(0,$C488-$AB$458),0)))))</f>
      </c>
      <c r="J488" s="43">
        <f>IF($S$458=0,0,IF(OR(DATE($C488,6,15)&lt;$S$458,AND($T$458&gt;0,DATE($C488,6,15)&gt;$T$458)),0,IF(DATE($C488,6,15)&gt;=$X$458,$AA$458*(1+($U$458)/100)^MAX(0,$C488-$AD$458),IF(DATE($C488,6,15)&gt;=$W$458,$Z$458*(1+($U$458)/100)^MAX(0,$C488-$AC$458),IF(DATE($C488,6,15)&gt;=$V$458,$Y$458*(1+($U$458)/100)^MAX(0,$C488-$AB$458),0)))))</f>
      </c>
      <c r="K488" s="43">
        <f>IF($S$458=0,0,IF(OR(DATE($C488,7,15)&lt;$S$458,AND($T$458&gt;0,DATE($C488,7,15)&gt;$T$458)),0,IF(DATE($C488,7,15)&gt;=$X$458,$AA$458*(1+($U$458)/100)^MAX(0,$C488-$AD$458),IF(DATE($C488,7,15)&gt;=$W$458,$Z$458*(1+($U$458)/100)^MAX(0,$C488-$AC$458),IF(DATE($C488,7,15)&gt;=$V$458,$Y$458*(1+($U$458)/100)^MAX(0,$C488-$AB$458),0)))))</f>
      </c>
      <c r="L488" s="43">
        <f>IF($S$458=0,0,IF(OR(DATE($C488,8,15)&lt;$S$458,AND($T$458&gt;0,DATE($C488,8,15)&gt;$T$458)),0,IF(DATE($C488,8,15)&gt;=$X$458,$AA$458*(1+($U$458)/100)^MAX(0,$C488-$AD$458),IF(DATE($C488,8,15)&gt;=$W$458,$Z$458*(1+($U$458)/100)^MAX(0,$C488-$AC$458),IF(DATE($C488,8,15)&gt;=$V$458,$Y$458*(1+($U$458)/100)^MAX(0,$C488-$AB$458),0)))))</f>
      </c>
      <c r="M488" s="43">
        <f>IF($S$458=0,0,IF(OR(DATE($C488,9,15)&lt;$S$458,AND($T$458&gt;0,DATE($C488,9,15)&gt;$T$458)),0,IF(DATE($C488,9,15)&gt;=$X$458,$AA$458*(1+($U$458)/100)^MAX(0,$C488-$AD$458),IF(DATE($C488,9,15)&gt;=$W$458,$Z$458*(1+($U$458)/100)^MAX(0,$C488-$AC$458),IF(DATE($C488,9,15)&gt;=$V$458,$Y$458*(1+($U$458)/100)^MAX(0,$C488-$AB$458),0)))))</f>
      </c>
      <c r="N488" s="43">
        <f>IF($S$458=0,0,IF(OR(DATE($C488,10,15)&lt;$S$458,AND($T$458&gt;0,DATE($C488,10,15)&gt;$T$458)),0,IF(DATE($C488,10,15)&gt;=$X$458,$AA$458*(1+($U$458)/100)^MAX(0,$C488-$AD$458),IF(DATE($C488,10,15)&gt;=$W$458,$Z$458*(1+($U$458)/100)^MAX(0,$C488-$AC$458),IF(DATE($C488,10,15)&gt;=$V$458,$Y$458*(1+($U$458)/100)^MAX(0,$C488-$AB$458),0)))))</f>
      </c>
      <c r="O488" s="43">
        <f>IF($S$458=0,0,IF(OR(DATE($C488,11,15)&lt;$S$458,AND($T$458&gt;0,DATE($C488,11,15)&gt;$T$458)),0,IF(DATE($C488,11,15)&gt;=$X$458,$AA$458*(1+($U$458)/100)^MAX(0,$C488-$AD$458),IF(DATE($C488,11,15)&gt;=$W$458,$Z$458*(1+($U$458)/100)^MAX(0,$C488-$AC$458),IF(DATE($C488,11,15)&gt;=$V$458,$Y$458*(1+($U$458)/100)^MAX(0,$C488-$AB$458),0)))))</f>
      </c>
      <c r="P488" s="43">
        <f>IF($S$458=0,0,IF(OR(DATE($C488,12,15)&lt;$S$458,AND($T$458&gt;0,DATE($C488,12,15)&gt;$T$458)),0,IF(DATE($C488,12,15)&gt;=$X$458,$AA$458*(1+($U$458)/100)^MAX(0,$C488-$AD$458),IF(DATE($C488,12,15)&gt;=$W$458,$Z$458*(1+($U$458)/100)^MAX(0,$C488-$AC$458),IF(DATE($C488,12,15)&gt;=$V$458,$Y$458*(1+($U$458)/100)^MAX(0,$C488-$AB$458),0)))))</f>
      </c>
      <c r="Q488" s="43">
        <f>SUM($E488:$P488)</f>
      </c>
    </row>
    <row r="489">
      <c r="A489"/>
      <c r="B489">
        <v>16</v>
      </c>
      <c r="C489" s="43">
        <f>Jahr+0</f>
      </c>
      <c r="D489" s="43">
        <f>INDEX(MvObj,16)</f>
      </c>
      <c r="E489" s="43">
        <f>IF($S$489=0,0,IF(OR(DATE($C489,1,15)&lt;$S$489,AND($T$489&gt;0,DATE($C489,1,15)&gt;$T$489)),0,IF(DATE($C489,1,15)&gt;=$X$489,$AA$489*(1+($U$489)/100)^MAX(0,$C489-$AD$489),IF(DATE($C489,1,15)&gt;=$W$489,$Z$489*(1+($U$489)/100)^MAX(0,$C489-$AC$489),IF(DATE($C489,1,15)&gt;=$V$489,$Y$489*(1+($U$489)/100)^MAX(0,$C489-$AB$489),0)))))</f>
      </c>
      <c r="F489" s="43">
        <f>IF($S$489=0,0,IF(OR(DATE($C489,2,15)&lt;$S$489,AND($T$489&gt;0,DATE($C489,2,15)&gt;$T$489)),0,IF(DATE($C489,2,15)&gt;=$X$489,$AA$489*(1+($U$489)/100)^MAX(0,$C489-$AD$489),IF(DATE($C489,2,15)&gt;=$W$489,$Z$489*(1+($U$489)/100)^MAX(0,$C489-$AC$489),IF(DATE($C489,2,15)&gt;=$V$489,$Y$489*(1+($U$489)/100)^MAX(0,$C489-$AB$489),0)))))</f>
      </c>
      <c r="G489" s="43">
        <f>IF($S$489=0,0,IF(OR(DATE($C489,3,15)&lt;$S$489,AND($T$489&gt;0,DATE($C489,3,15)&gt;$T$489)),0,IF(DATE($C489,3,15)&gt;=$X$489,$AA$489*(1+($U$489)/100)^MAX(0,$C489-$AD$489),IF(DATE($C489,3,15)&gt;=$W$489,$Z$489*(1+($U$489)/100)^MAX(0,$C489-$AC$489),IF(DATE($C489,3,15)&gt;=$V$489,$Y$489*(1+($U$489)/100)^MAX(0,$C489-$AB$489),0)))))</f>
      </c>
      <c r="H489" s="43">
        <f>IF($S$489=0,0,IF(OR(DATE($C489,4,15)&lt;$S$489,AND($T$489&gt;0,DATE($C489,4,15)&gt;$T$489)),0,IF(DATE($C489,4,15)&gt;=$X$489,$AA$489*(1+($U$489)/100)^MAX(0,$C489-$AD$489),IF(DATE($C489,4,15)&gt;=$W$489,$Z$489*(1+($U$489)/100)^MAX(0,$C489-$AC$489),IF(DATE($C489,4,15)&gt;=$V$489,$Y$489*(1+($U$489)/100)^MAX(0,$C489-$AB$489),0)))))</f>
      </c>
      <c r="I489" s="43">
        <f>IF($S$489=0,0,IF(OR(DATE($C489,5,15)&lt;$S$489,AND($T$489&gt;0,DATE($C489,5,15)&gt;$T$489)),0,IF(DATE($C489,5,15)&gt;=$X$489,$AA$489*(1+($U$489)/100)^MAX(0,$C489-$AD$489),IF(DATE($C489,5,15)&gt;=$W$489,$Z$489*(1+($U$489)/100)^MAX(0,$C489-$AC$489),IF(DATE($C489,5,15)&gt;=$V$489,$Y$489*(1+($U$489)/100)^MAX(0,$C489-$AB$489),0)))))</f>
      </c>
      <c r="J489" s="43">
        <f>IF($S$489=0,0,IF(OR(DATE($C489,6,15)&lt;$S$489,AND($T$489&gt;0,DATE($C489,6,15)&gt;$T$489)),0,IF(DATE($C489,6,15)&gt;=$X$489,$AA$489*(1+($U$489)/100)^MAX(0,$C489-$AD$489),IF(DATE($C489,6,15)&gt;=$W$489,$Z$489*(1+($U$489)/100)^MAX(0,$C489-$AC$489),IF(DATE($C489,6,15)&gt;=$V$489,$Y$489*(1+($U$489)/100)^MAX(0,$C489-$AB$489),0)))))</f>
      </c>
      <c r="K489" s="43">
        <f>IF($S$489=0,0,IF(OR(DATE($C489,7,15)&lt;$S$489,AND($T$489&gt;0,DATE($C489,7,15)&gt;$T$489)),0,IF(DATE($C489,7,15)&gt;=$X$489,$AA$489*(1+($U$489)/100)^MAX(0,$C489-$AD$489),IF(DATE($C489,7,15)&gt;=$W$489,$Z$489*(1+($U$489)/100)^MAX(0,$C489-$AC$489),IF(DATE($C489,7,15)&gt;=$V$489,$Y$489*(1+($U$489)/100)^MAX(0,$C489-$AB$489),0)))))</f>
      </c>
      <c r="L489" s="43">
        <f>IF($S$489=0,0,IF(OR(DATE($C489,8,15)&lt;$S$489,AND($T$489&gt;0,DATE($C489,8,15)&gt;$T$489)),0,IF(DATE($C489,8,15)&gt;=$X$489,$AA$489*(1+($U$489)/100)^MAX(0,$C489-$AD$489),IF(DATE($C489,8,15)&gt;=$W$489,$Z$489*(1+($U$489)/100)^MAX(0,$C489-$AC$489),IF(DATE($C489,8,15)&gt;=$V$489,$Y$489*(1+($U$489)/100)^MAX(0,$C489-$AB$489),0)))))</f>
      </c>
      <c r="M489" s="43">
        <f>IF($S$489=0,0,IF(OR(DATE($C489,9,15)&lt;$S$489,AND($T$489&gt;0,DATE($C489,9,15)&gt;$T$489)),0,IF(DATE($C489,9,15)&gt;=$X$489,$AA$489*(1+($U$489)/100)^MAX(0,$C489-$AD$489),IF(DATE($C489,9,15)&gt;=$W$489,$Z$489*(1+($U$489)/100)^MAX(0,$C489-$AC$489),IF(DATE($C489,9,15)&gt;=$V$489,$Y$489*(1+($U$489)/100)^MAX(0,$C489-$AB$489),0)))))</f>
      </c>
      <c r="N489" s="43">
        <f>IF($S$489=0,0,IF(OR(DATE($C489,10,15)&lt;$S$489,AND($T$489&gt;0,DATE($C489,10,15)&gt;$T$489)),0,IF(DATE($C489,10,15)&gt;=$X$489,$AA$489*(1+($U$489)/100)^MAX(0,$C489-$AD$489),IF(DATE($C489,10,15)&gt;=$W$489,$Z$489*(1+($U$489)/100)^MAX(0,$C489-$AC$489),IF(DATE($C489,10,15)&gt;=$V$489,$Y$489*(1+($U$489)/100)^MAX(0,$C489-$AB$489),0)))))</f>
      </c>
      <c r="O489" s="43">
        <f>IF($S$489=0,0,IF(OR(DATE($C489,11,15)&lt;$S$489,AND($T$489&gt;0,DATE($C489,11,15)&gt;$T$489)),0,IF(DATE($C489,11,15)&gt;=$X$489,$AA$489*(1+($U$489)/100)^MAX(0,$C489-$AD$489),IF(DATE($C489,11,15)&gt;=$W$489,$Z$489*(1+($U$489)/100)^MAX(0,$C489-$AC$489),IF(DATE($C489,11,15)&gt;=$V$489,$Y$489*(1+($U$489)/100)^MAX(0,$C489-$AB$489),0)))))</f>
      </c>
      <c r="P489" s="43">
        <f>IF($S$489=0,0,IF(OR(DATE($C489,12,15)&lt;$S$489,AND($T$489&gt;0,DATE($C489,12,15)&gt;$T$489)),0,IF(DATE($C489,12,15)&gt;=$X$489,$AA$489*(1+($U$489)/100)^MAX(0,$C489-$AD$489),IF(DATE($C489,12,15)&gt;=$W$489,$Z$489*(1+($U$489)/100)^MAX(0,$C489-$AC$489),IF(DATE($C489,12,15)&gt;=$V$489,$Y$489*(1+($U$489)/100)^MAX(0,$C489-$AB$489),0)))))</f>
      </c>
      <c r="Q489" s="43">
        <f>SUM($E489:$P489)</f>
      </c>
      <c r="R489"/>
      <c r="S489" s="43">
        <f>IF(INDEX(MvBeginn,16)="",0,INDEX(MvBeginn,16))</f>
      </c>
      <c r="T489" s="43">
        <f>INDEX(MvEnde,16)</f>
      </c>
      <c r="U489" s="43">
        <f>INDEX(MvSatz,16)</f>
      </c>
      <c r="V489" s="43">
        <f>INDEX(MvKey1,16)</f>
      </c>
      <c r="W489" s="43">
        <f>INDEX(MvKey2,16)</f>
      </c>
      <c r="X489" s="43">
        <f>INDEX(MvKey3,16)</f>
      </c>
      <c r="Y489" s="43">
        <f>INDEX(MvKalt1,16)</f>
      </c>
      <c r="Z489" s="43">
        <f>INDEX(MvKalt2,16)</f>
      </c>
      <c r="AA489" s="43">
        <f>INDEX(MvKalt3,16)</f>
      </c>
      <c r="AB489" s="43">
        <f>MAX(YEAR(INDEX(MvAb1,16)),Jahr)</f>
      </c>
      <c r="AC489" s="43">
        <f>MAX(YEAR(INDEX(MvAb2,16)),Jahr)</f>
      </c>
      <c r="AD489" s="43">
        <f>MAX(YEAR(INDEX(MvAb3,16)),Jahr)</f>
      </c>
    </row>
    <row r="490">
      <c r="A490"/>
      <c r="B490">
        <v>16</v>
      </c>
      <c r="C490" s="43">
        <f>Jahr+1</f>
      </c>
      <c r="D490" s="43">
        <f>INDEX(MvObj,16)</f>
      </c>
      <c r="E490" s="43">
        <f>IF($S$489=0,0,IF(OR(DATE($C490,1,15)&lt;$S$489,AND($T$489&gt;0,DATE($C490,1,15)&gt;$T$489)),0,IF(DATE($C490,1,15)&gt;=$X$489,$AA$489*(1+($U$489)/100)^MAX(0,$C490-$AD$489),IF(DATE($C490,1,15)&gt;=$W$489,$Z$489*(1+($U$489)/100)^MAX(0,$C490-$AC$489),IF(DATE($C490,1,15)&gt;=$V$489,$Y$489*(1+($U$489)/100)^MAX(0,$C490-$AB$489),0)))))</f>
      </c>
      <c r="F490" s="43">
        <f>IF($S$489=0,0,IF(OR(DATE($C490,2,15)&lt;$S$489,AND($T$489&gt;0,DATE($C490,2,15)&gt;$T$489)),0,IF(DATE($C490,2,15)&gt;=$X$489,$AA$489*(1+($U$489)/100)^MAX(0,$C490-$AD$489),IF(DATE($C490,2,15)&gt;=$W$489,$Z$489*(1+($U$489)/100)^MAX(0,$C490-$AC$489),IF(DATE($C490,2,15)&gt;=$V$489,$Y$489*(1+($U$489)/100)^MAX(0,$C490-$AB$489),0)))))</f>
      </c>
      <c r="G490" s="43">
        <f>IF($S$489=0,0,IF(OR(DATE($C490,3,15)&lt;$S$489,AND($T$489&gt;0,DATE($C490,3,15)&gt;$T$489)),0,IF(DATE($C490,3,15)&gt;=$X$489,$AA$489*(1+($U$489)/100)^MAX(0,$C490-$AD$489),IF(DATE($C490,3,15)&gt;=$W$489,$Z$489*(1+($U$489)/100)^MAX(0,$C490-$AC$489),IF(DATE($C490,3,15)&gt;=$V$489,$Y$489*(1+($U$489)/100)^MAX(0,$C490-$AB$489),0)))))</f>
      </c>
      <c r="H490" s="43">
        <f>IF($S$489=0,0,IF(OR(DATE($C490,4,15)&lt;$S$489,AND($T$489&gt;0,DATE($C490,4,15)&gt;$T$489)),0,IF(DATE($C490,4,15)&gt;=$X$489,$AA$489*(1+($U$489)/100)^MAX(0,$C490-$AD$489),IF(DATE($C490,4,15)&gt;=$W$489,$Z$489*(1+($U$489)/100)^MAX(0,$C490-$AC$489),IF(DATE($C490,4,15)&gt;=$V$489,$Y$489*(1+($U$489)/100)^MAX(0,$C490-$AB$489),0)))))</f>
      </c>
      <c r="I490" s="43">
        <f>IF($S$489=0,0,IF(OR(DATE($C490,5,15)&lt;$S$489,AND($T$489&gt;0,DATE($C490,5,15)&gt;$T$489)),0,IF(DATE($C490,5,15)&gt;=$X$489,$AA$489*(1+($U$489)/100)^MAX(0,$C490-$AD$489),IF(DATE($C490,5,15)&gt;=$W$489,$Z$489*(1+($U$489)/100)^MAX(0,$C490-$AC$489),IF(DATE($C490,5,15)&gt;=$V$489,$Y$489*(1+($U$489)/100)^MAX(0,$C490-$AB$489),0)))))</f>
      </c>
      <c r="J490" s="43">
        <f>IF($S$489=0,0,IF(OR(DATE($C490,6,15)&lt;$S$489,AND($T$489&gt;0,DATE($C490,6,15)&gt;$T$489)),0,IF(DATE($C490,6,15)&gt;=$X$489,$AA$489*(1+($U$489)/100)^MAX(0,$C490-$AD$489),IF(DATE($C490,6,15)&gt;=$W$489,$Z$489*(1+($U$489)/100)^MAX(0,$C490-$AC$489),IF(DATE($C490,6,15)&gt;=$V$489,$Y$489*(1+($U$489)/100)^MAX(0,$C490-$AB$489),0)))))</f>
      </c>
      <c r="K490" s="43">
        <f>IF($S$489=0,0,IF(OR(DATE($C490,7,15)&lt;$S$489,AND($T$489&gt;0,DATE($C490,7,15)&gt;$T$489)),0,IF(DATE($C490,7,15)&gt;=$X$489,$AA$489*(1+($U$489)/100)^MAX(0,$C490-$AD$489),IF(DATE($C490,7,15)&gt;=$W$489,$Z$489*(1+($U$489)/100)^MAX(0,$C490-$AC$489),IF(DATE($C490,7,15)&gt;=$V$489,$Y$489*(1+($U$489)/100)^MAX(0,$C490-$AB$489),0)))))</f>
      </c>
      <c r="L490" s="43">
        <f>IF($S$489=0,0,IF(OR(DATE($C490,8,15)&lt;$S$489,AND($T$489&gt;0,DATE($C490,8,15)&gt;$T$489)),0,IF(DATE($C490,8,15)&gt;=$X$489,$AA$489*(1+($U$489)/100)^MAX(0,$C490-$AD$489),IF(DATE($C490,8,15)&gt;=$W$489,$Z$489*(1+($U$489)/100)^MAX(0,$C490-$AC$489),IF(DATE($C490,8,15)&gt;=$V$489,$Y$489*(1+($U$489)/100)^MAX(0,$C490-$AB$489),0)))))</f>
      </c>
      <c r="M490" s="43">
        <f>IF($S$489=0,0,IF(OR(DATE($C490,9,15)&lt;$S$489,AND($T$489&gt;0,DATE($C490,9,15)&gt;$T$489)),0,IF(DATE($C490,9,15)&gt;=$X$489,$AA$489*(1+($U$489)/100)^MAX(0,$C490-$AD$489),IF(DATE($C490,9,15)&gt;=$W$489,$Z$489*(1+($U$489)/100)^MAX(0,$C490-$AC$489),IF(DATE($C490,9,15)&gt;=$V$489,$Y$489*(1+($U$489)/100)^MAX(0,$C490-$AB$489),0)))))</f>
      </c>
      <c r="N490" s="43">
        <f>IF($S$489=0,0,IF(OR(DATE($C490,10,15)&lt;$S$489,AND($T$489&gt;0,DATE($C490,10,15)&gt;$T$489)),0,IF(DATE($C490,10,15)&gt;=$X$489,$AA$489*(1+($U$489)/100)^MAX(0,$C490-$AD$489),IF(DATE($C490,10,15)&gt;=$W$489,$Z$489*(1+($U$489)/100)^MAX(0,$C490-$AC$489),IF(DATE($C490,10,15)&gt;=$V$489,$Y$489*(1+($U$489)/100)^MAX(0,$C490-$AB$489),0)))))</f>
      </c>
      <c r="O490" s="43">
        <f>IF($S$489=0,0,IF(OR(DATE($C490,11,15)&lt;$S$489,AND($T$489&gt;0,DATE($C490,11,15)&gt;$T$489)),0,IF(DATE($C490,11,15)&gt;=$X$489,$AA$489*(1+($U$489)/100)^MAX(0,$C490-$AD$489),IF(DATE($C490,11,15)&gt;=$W$489,$Z$489*(1+($U$489)/100)^MAX(0,$C490-$AC$489),IF(DATE($C490,11,15)&gt;=$V$489,$Y$489*(1+($U$489)/100)^MAX(0,$C490-$AB$489),0)))))</f>
      </c>
      <c r="P490" s="43">
        <f>IF($S$489=0,0,IF(OR(DATE($C490,12,15)&lt;$S$489,AND($T$489&gt;0,DATE($C490,12,15)&gt;$T$489)),0,IF(DATE($C490,12,15)&gt;=$X$489,$AA$489*(1+($U$489)/100)^MAX(0,$C490-$AD$489),IF(DATE($C490,12,15)&gt;=$W$489,$Z$489*(1+($U$489)/100)^MAX(0,$C490-$AC$489),IF(DATE($C490,12,15)&gt;=$V$489,$Y$489*(1+($U$489)/100)^MAX(0,$C490-$AB$489),0)))))</f>
      </c>
      <c r="Q490" s="43">
        <f>SUM($E490:$P490)</f>
      </c>
    </row>
    <row r="491">
      <c r="A491"/>
      <c r="B491">
        <v>16</v>
      </c>
      <c r="C491" s="43">
        <f>Jahr+2</f>
      </c>
      <c r="D491" s="43">
        <f>INDEX(MvObj,16)</f>
      </c>
      <c r="E491" s="43">
        <f>IF($S$489=0,0,IF(OR(DATE($C491,1,15)&lt;$S$489,AND($T$489&gt;0,DATE($C491,1,15)&gt;$T$489)),0,IF(DATE($C491,1,15)&gt;=$X$489,$AA$489*(1+($U$489)/100)^MAX(0,$C491-$AD$489),IF(DATE($C491,1,15)&gt;=$W$489,$Z$489*(1+($U$489)/100)^MAX(0,$C491-$AC$489),IF(DATE($C491,1,15)&gt;=$V$489,$Y$489*(1+($U$489)/100)^MAX(0,$C491-$AB$489),0)))))</f>
      </c>
      <c r="F491" s="43">
        <f>IF($S$489=0,0,IF(OR(DATE($C491,2,15)&lt;$S$489,AND($T$489&gt;0,DATE($C491,2,15)&gt;$T$489)),0,IF(DATE($C491,2,15)&gt;=$X$489,$AA$489*(1+($U$489)/100)^MAX(0,$C491-$AD$489),IF(DATE($C491,2,15)&gt;=$W$489,$Z$489*(1+($U$489)/100)^MAX(0,$C491-$AC$489),IF(DATE($C491,2,15)&gt;=$V$489,$Y$489*(1+($U$489)/100)^MAX(0,$C491-$AB$489),0)))))</f>
      </c>
      <c r="G491" s="43">
        <f>IF($S$489=0,0,IF(OR(DATE($C491,3,15)&lt;$S$489,AND($T$489&gt;0,DATE($C491,3,15)&gt;$T$489)),0,IF(DATE($C491,3,15)&gt;=$X$489,$AA$489*(1+($U$489)/100)^MAX(0,$C491-$AD$489),IF(DATE($C491,3,15)&gt;=$W$489,$Z$489*(1+($U$489)/100)^MAX(0,$C491-$AC$489),IF(DATE($C491,3,15)&gt;=$V$489,$Y$489*(1+($U$489)/100)^MAX(0,$C491-$AB$489),0)))))</f>
      </c>
      <c r="H491" s="43">
        <f>IF($S$489=0,0,IF(OR(DATE($C491,4,15)&lt;$S$489,AND($T$489&gt;0,DATE($C491,4,15)&gt;$T$489)),0,IF(DATE($C491,4,15)&gt;=$X$489,$AA$489*(1+($U$489)/100)^MAX(0,$C491-$AD$489),IF(DATE($C491,4,15)&gt;=$W$489,$Z$489*(1+($U$489)/100)^MAX(0,$C491-$AC$489),IF(DATE($C491,4,15)&gt;=$V$489,$Y$489*(1+($U$489)/100)^MAX(0,$C491-$AB$489),0)))))</f>
      </c>
      <c r="I491" s="43">
        <f>IF($S$489=0,0,IF(OR(DATE($C491,5,15)&lt;$S$489,AND($T$489&gt;0,DATE($C491,5,15)&gt;$T$489)),0,IF(DATE($C491,5,15)&gt;=$X$489,$AA$489*(1+($U$489)/100)^MAX(0,$C491-$AD$489),IF(DATE($C491,5,15)&gt;=$W$489,$Z$489*(1+($U$489)/100)^MAX(0,$C491-$AC$489),IF(DATE($C491,5,15)&gt;=$V$489,$Y$489*(1+($U$489)/100)^MAX(0,$C491-$AB$489),0)))))</f>
      </c>
      <c r="J491" s="43">
        <f>IF($S$489=0,0,IF(OR(DATE($C491,6,15)&lt;$S$489,AND($T$489&gt;0,DATE($C491,6,15)&gt;$T$489)),0,IF(DATE($C491,6,15)&gt;=$X$489,$AA$489*(1+($U$489)/100)^MAX(0,$C491-$AD$489),IF(DATE($C491,6,15)&gt;=$W$489,$Z$489*(1+($U$489)/100)^MAX(0,$C491-$AC$489),IF(DATE($C491,6,15)&gt;=$V$489,$Y$489*(1+($U$489)/100)^MAX(0,$C491-$AB$489),0)))))</f>
      </c>
      <c r="K491" s="43">
        <f>IF($S$489=0,0,IF(OR(DATE($C491,7,15)&lt;$S$489,AND($T$489&gt;0,DATE($C491,7,15)&gt;$T$489)),0,IF(DATE($C491,7,15)&gt;=$X$489,$AA$489*(1+($U$489)/100)^MAX(0,$C491-$AD$489),IF(DATE($C491,7,15)&gt;=$W$489,$Z$489*(1+($U$489)/100)^MAX(0,$C491-$AC$489),IF(DATE($C491,7,15)&gt;=$V$489,$Y$489*(1+($U$489)/100)^MAX(0,$C491-$AB$489),0)))))</f>
      </c>
      <c r="L491" s="43">
        <f>IF($S$489=0,0,IF(OR(DATE($C491,8,15)&lt;$S$489,AND($T$489&gt;0,DATE($C491,8,15)&gt;$T$489)),0,IF(DATE($C491,8,15)&gt;=$X$489,$AA$489*(1+($U$489)/100)^MAX(0,$C491-$AD$489),IF(DATE($C491,8,15)&gt;=$W$489,$Z$489*(1+($U$489)/100)^MAX(0,$C491-$AC$489),IF(DATE($C491,8,15)&gt;=$V$489,$Y$489*(1+($U$489)/100)^MAX(0,$C491-$AB$489),0)))))</f>
      </c>
      <c r="M491" s="43">
        <f>IF($S$489=0,0,IF(OR(DATE($C491,9,15)&lt;$S$489,AND($T$489&gt;0,DATE($C491,9,15)&gt;$T$489)),0,IF(DATE($C491,9,15)&gt;=$X$489,$AA$489*(1+($U$489)/100)^MAX(0,$C491-$AD$489),IF(DATE($C491,9,15)&gt;=$W$489,$Z$489*(1+($U$489)/100)^MAX(0,$C491-$AC$489),IF(DATE($C491,9,15)&gt;=$V$489,$Y$489*(1+($U$489)/100)^MAX(0,$C491-$AB$489),0)))))</f>
      </c>
      <c r="N491" s="43">
        <f>IF($S$489=0,0,IF(OR(DATE($C491,10,15)&lt;$S$489,AND($T$489&gt;0,DATE($C491,10,15)&gt;$T$489)),0,IF(DATE($C491,10,15)&gt;=$X$489,$AA$489*(1+($U$489)/100)^MAX(0,$C491-$AD$489),IF(DATE($C491,10,15)&gt;=$W$489,$Z$489*(1+($U$489)/100)^MAX(0,$C491-$AC$489),IF(DATE($C491,10,15)&gt;=$V$489,$Y$489*(1+($U$489)/100)^MAX(0,$C491-$AB$489),0)))))</f>
      </c>
      <c r="O491" s="43">
        <f>IF($S$489=0,0,IF(OR(DATE($C491,11,15)&lt;$S$489,AND($T$489&gt;0,DATE($C491,11,15)&gt;$T$489)),0,IF(DATE($C491,11,15)&gt;=$X$489,$AA$489*(1+($U$489)/100)^MAX(0,$C491-$AD$489),IF(DATE($C491,11,15)&gt;=$W$489,$Z$489*(1+($U$489)/100)^MAX(0,$C491-$AC$489),IF(DATE($C491,11,15)&gt;=$V$489,$Y$489*(1+($U$489)/100)^MAX(0,$C491-$AB$489),0)))))</f>
      </c>
      <c r="P491" s="43">
        <f>IF($S$489=0,0,IF(OR(DATE($C491,12,15)&lt;$S$489,AND($T$489&gt;0,DATE($C491,12,15)&gt;$T$489)),0,IF(DATE($C491,12,15)&gt;=$X$489,$AA$489*(1+($U$489)/100)^MAX(0,$C491-$AD$489),IF(DATE($C491,12,15)&gt;=$W$489,$Z$489*(1+($U$489)/100)^MAX(0,$C491-$AC$489),IF(DATE($C491,12,15)&gt;=$V$489,$Y$489*(1+($U$489)/100)^MAX(0,$C491-$AB$489),0)))))</f>
      </c>
      <c r="Q491" s="43">
        <f>SUM($E491:$P491)</f>
      </c>
    </row>
    <row r="492">
      <c r="A492"/>
      <c r="B492">
        <v>16</v>
      </c>
      <c r="C492" s="43">
        <f>Jahr+3</f>
      </c>
      <c r="D492" s="43">
        <f>INDEX(MvObj,16)</f>
      </c>
      <c r="E492" s="43">
        <f>IF($S$489=0,0,IF(OR(DATE($C492,1,15)&lt;$S$489,AND($T$489&gt;0,DATE($C492,1,15)&gt;$T$489)),0,IF(DATE($C492,1,15)&gt;=$X$489,$AA$489*(1+($U$489)/100)^MAX(0,$C492-$AD$489),IF(DATE($C492,1,15)&gt;=$W$489,$Z$489*(1+($U$489)/100)^MAX(0,$C492-$AC$489),IF(DATE($C492,1,15)&gt;=$V$489,$Y$489*(1+($U$489)/100)^MAX(0,$C492-$AB$489),0)))))</f>
      </c>
      <c r="F492" s="43">
        <f>IF($S$489=0,0,IF(OR(DATE($C492,2,15)&lt;$S$489,AND($T$489&gt;0,DATE($C492,2,15)&gt;$T$489)),0,IF(DATE($C492,2,15)&gt;=$X$489,$AA$489*(1+($U$489)/100)^MAX(0,$C492-$AD$489),IF(DATE($C492,2,15)&gt;=$W$489,$Z$489*(1+($U$489)/100)^MAX(0,$C492-$AC$489),IF(DATE($C492,2,15)&gt;=$V$489,$Y$489*(1+($U$489)/100)^MAX(0,$C492-$AB$489),0)))))</f>
      </c>
      <c r="G492" s="43">
        <f>IF($S$489=0,0,IF(OR(DATE($C492,3,15)&lt;$S$489,AND($T$489&gt;0,DATE($C492,3,15)&gt;$T$489)),0,IF(DATE($C492,3,15)&gt;=$X$489,$AA$489*(1+($U$489)/100)^MAX(0,$C492-$AD$489),IF(DATE($C492,3,15)&gt;=$W$489,$Z$489*(1+($U$489)/100)^MAX(0,$C492-$AC$489),IF(DATE($C492,3,15)&gt;=$V$489,$Y$489*(1+($U$489)/100)^MAX(0,$C492-$AB$489),0)))))</f>
      </c>
      <c r="H492" s="43">
        <f>IF($S$489=0,0,IF(OR(DATE($C492,4,15)&lt;$S$489,AND($T$489&gt;0,DATE($C492,4,15)&gt;$T$489)),0,IF(DATE($C492,4,15)&gt;=$X$489,$AA$489*(1+($U$489)/100)^MAX(0,$C492-$AD$489),IF(DATE($C492,4,15)&gt;=$W$489,$Z$489*(1+($U$489)/100)^MAX(0,$C492-$AC$489),IF(DATE($C492,4,15)&gt;=$V$489,$Y$489*(1+($U$489)/100)^MAX(0,$C492-$AB$489),0)))))</f>
      </c>
      <c r="I492" s="43">
        <f>IF($S$489=0,0,IF(OR(DATE($C492,5,15)&lt;$S$489,AND($T$489&gt;0,DATE($C492,5,15)&gt;$T$489)),0,IF(DATE($C492,5,15)&gt;=$X$489,$AA$489*(1+($U$489)/100)^MAX(0,$C492-$AD$489),IF(DATE($C492,5,15)&gt;=$W$489,$Z$489*(1+($U$489)/100)^MAX(0,$C492-$AC$489),IF(DATE($C492,5,15)&gt;=$V$489,$Y$489*(1+($U$489)/100)^MAX(0,$C492-$AB$489),0)))))</f>
      </c>
      <c r="J492" s="43">
        <f>IF($S$489=0,0,IF(OR(DATE($C492,6,15)&lt;$S$489,AND($T$489&gt;0,DATE($C492,6,15)&gt;$T$489)),0,IF(DATE($C492,6,15)&gt;=$X$489,$AA$489*(1+($U$489)/100)^MAX(0,$C492-$AD$489),IF(DATE($C492,6,15)&gt;=$W$489,$Z$489*(1+($U$489)/100)^MAX(0,$C492-$AC$489),IF(DATE($C492,6,15)&gt;=$V$489,$Y$489*(1+($U$489)/100)^MAX(0,$C492-$AB$489),0)))))</f>
      </c>
      <c r="K492" s="43">
        <f>IF($S$489=0,0,IF(OR(DATE($C492,7,15)&lt;$S$489,AND($T$489&gt;0,DATE($C492,7,15)&gt;$T$489)),0,IF(DATE($C492,7,15)&gt;=$X$489,$AA$489*(1+($U$489)/100)^MAX(0,$C492-$AD$489),IF(DATE($C492,7,15)&gt;=$W$489,$Z$489*(1+($U$489)/100)^MAX(0,$C492-$AC$489),IF(DATE($C492,7,15)&gt;=$V$489,$Y$489*(1+($U$489)/100)^MAX(0,$C492-$AB$489),0)))))</f>
      </c>
      <c r="L492" s="43">
        <f>IF($S$489=0,0,IF(OR(DATE($C492,8,15)&lt;$S$489,AND($T$489&gt;0,DATE($C492,8,15)&gt;$T$489)),0,IF(DATE($C492,8,15)&gt;=$X$489,$AA$489*(1+($U$489)/100)^MAX(0,$C492-$AD$489),IF(DATE($C492,8,15)&gt;=$W$489,$Z$489*(1+($U$489)/100)^MAX(0,$C492-$AC$489),IF(DATE($C492,8,15)&gt;=$V$489,$Y$489*(1+($U$489)/100)^MAX(0,$C492-$AB$489),0)))))</f>
      </c>
      <c r="M492" s="43">
        <f>IF($S$489=0,0,IF(OR(DATE($C492,9,15)&lt;$S$489,AND($T$489&gt;0,DATE($C492,9,15)&gt;$T$489)),0,IF(DATE($C492,9,15)&gt;=$X$489,$AA$489*(1+($U$489)/100)^MAX(0,$C492-$AD$489),IF(DATE($C492,9,15)&gt;=$W$489,$Z$489*(1+($U$489)/100)^MAX(0,$C492-$AC$489),IF(DATE($C492,9,15)&gt;=$V$489,$Y$489*(1+($U$489)/100)^MAX(0,$C492-$AB$489),0)))))</f>
      </c>
      <c r="N492" s="43">
        <f>IF($S$489=0,0,IF(OR(DATE($C492,10,15)&lt;$S$489,AND($T$489&gt;0,DATE($C492,10,15)&gt;$T$489)),0,IF(DATE($C492,10,15)&gt;=$X$489,$AA$489*(1+($U$489)/100)^MAX(0,$C492-$AD$489),IF(DATE($C492,10,15)&gt;=$W$489,$Z$489*(1+($U$489)/100)^MAX(0,$C492-$AC$489),IF(DATE($C492,10,15)&gt;=$V$489,$Y$489*(1+($U$489)/100)^MAX(0,$C492-$AB$489),0)))))</f>
      </c>
      <c r="O492" s="43">
        <f>IF($S$489=0,0,IF(OR(DATE($C492,11,15)&lt;$S$489,AND($T$489&gt;0,DATE($C492,11,15)&gt;$T$489)),0,IF(DATE($C492,11,15)&gt;=$X$489,$AA$489*(1+($U$489)/100)^MAX(0,$C492-$AD$489),IF(DATE($C492,11,15)&gt;=$W$489,$Z$489*(1+($U$489)/100)^MAX(0,$C492-$AC$489),IF(DATE($C492,11,15)&gt;=$V$489,$Y$489*(1+($U$489)/100)^MAX(0,$C492-$AB$489),0)))))</f>
      </c>
      <c r="P492" s="43">
        <f>IF($S$489=0,0,IF(OR(DATE($C492,12,15)&lt;$S$489,AND($T$489&gt;0,DATE($C492,12,15)&gt;$T$489)),0,IF(DATE($C492,12,15)&gt;=$X$489,$AA$489*(1+($U$489)/100)^MAX(0,$C492-$AD$489),IF(DATE($C492,12,15)&gt;=$W$489,$Z$489*(1+($U$489)/100)^MAX(0,$C492-$AC$489),IF(DATE($C492,12,15)&gt;=$V$489,$Y$489*(1+($U$489)/100)^MAX(0,$C492-$AB$489),0)))))</f>
      </c>
      <c r="Q492" s="43">
        <f>SUM($E492:$P492)</f>
      </c>
    </row>
    <row r="493">
      <c r="A493"/>
      <c r="B493">
        <v>16</v>
      </c>
      <c r="C493" s="43">
        <f>Jahr+4</f>
      </c>
      <c r="D493" s="43">
        <f>INDEX(MvObj,16)</f>
      </c>
      <c r="E493" s="43">
        <f>IF($S$489=0,0,IF(OR(DATE($C493,1,15)&lt;$S$489,AND($T$489&gt;0,DATE($C493,1,15)&gt;$T$489)),0,IF(DATE($C493,1,15)&gt;=$X$489,$AA$489*(1+($U$489)/100)^MAX(0,$C493-$AD$489),IF(DATE($C493,1,15)&gt;=$W$489,$Z$489*(1+($U$489)/100)^MAX(0,$C493-$AC$489),IF(DATE($C493,1,15)&gt;=$V$489,$Y$489*(1+($U$489)/100)^MAX(0,$C493-$AB$489),0)))))</f>
      </c>
      <c r="F493" s="43">
        <f>IF($S$489=0,0,IF(OR(DATE($C493,2,15)&lt;$S$489,AND($T$489&gt;0,DATE($C493,2,15)&gt;$T$489)),0,IF(DATE($C493,2,15)&gt;=$X$489,$AA$489*(1+($U$489)/100)^MAX(0,$C493-$AD$489),IF(DATE($C493,2,15)&gt;=$W$489,$Z$489*(1+($U$489)/100)^MAX(0,$C493-$AC$489),IF(DATE($C493,2,15)&gt;=$V$489,$Y$489*(1+($U$489)/100)^MAX(0,$C493-$AB$489),0)))))</f>
      </c>
      <c r="G493" s="43">
        <f>IF($S$489=0,0,IF(OR(DATE($C493,3,15)&lt;$S$489,AND($T$489&gt;0,DATE($C493,3,15)&gt;$T$489)),0,IF(DATE($C493,3,15)&gt;=$X$489,$AA$489*(1+($U$489)/100)^MAX(0,$C493-$AD$489),IF(DATE($C493,3,15)&gt;=$W$489,$Z$489*(1+($U$489)/100)^MAX(0,$C493-$AC$489),IF(DATE($C493,3,15)&gt;=$V$489,$Y$489*(1+($U$489)/100)^MAX(0,$C493-$AB$489),0)))))</f>
      </c>
      <c r="H493" s="43">
        <f>IF($S$489=0,0,IF(OR(DATE($C493,4,15)&lt;$S$489,AND($T$489&gt;0,DATE($C493,4,15)&gt;$T$489)),0,IF(DATE($C493,4,15)&gt;=$X$489,$AA$489*(1+($U$489)/100)^MAX(0,$C493-$AD$489),IF(DATE($C493,4,15)&gt;=$W$489,$Z$489*(1+($U$489)/100)^MAX(0,$C493-$AC$489),IF(DATE($C493,4,15)&gt;=$V$489,$Y$489*(1+($U$489)/100)^MAX(0,$C493-$AB$489),0)))))</f>
      </c>
      <c r="I493" s="43">
        <f>IF($S$489=0,0,IF(OR(DATE($C493,5,15)&lt;$S$489,AND($T$489&gt;0,DATE($C493,5,15)&gt;$T$489)),0,IF(DATE($C493,5,15)&gt;=$X$489,$AA$489*(1+($U$489)/100)^MAX(0,$C493-$AD$489),IF(DATE($C493,5,15)&gt;=$W$489,$Z$489*(1+($U$489)/100)^MAX(0,$C493-$AC$489),IF(DATE($C493,5,15)&gt;=$V$489,$Y$489*(1+($U$489)/100)^MAX(0,$C493-$AB$489),0)))))</f>
      </c>
      <c r="J493" s="43">
        <f>IF($S$489=0,0,IF(OR(DATE($C493,6,15)&lt;$S$489,AND($T$489&gt;0,DATE($C493,6,15)&gt;$T$489)),0,IF(DATE($C493,6,15)&gt;=$X$489,$AA$489*(1+($U$489)/100)^MAX(0,$C493-$AD$489),IF(DATE($C493,6,15)&gt;=$W$489,$Z$489*(1+($U$489)/100)^MAX(0,$C493-$AC$489),IF(DATE($C493,6,15)&gt;=$V$489,$Y$489*(1+($U$489)/100)^MAX(0,$C493-$AB$489),0)))))</f>
      </c>
      <c r="K493" s="43">
        <f>IF($S$489=0,0,IF(OR(DATE($C493,7,15)&lt;$S$489,AND($T$489&gt;0,DATE($C493,7,15)&gt;$T$489)),0,IF(DATE($C493,7,15)&gt;=$X$489,$AA$489*(1+($U$489)/100)^MAX(0,$C493-$AD$489),IF(DATE($C493,7,15)&gt;=$W$489,$Z$489*(1+($U$489)/100)^MAX(0,$C493-$AC$489),IF(DATE($C493,7,15)&gt;=$V$489,$Y$489*(1+($U$489)/100)^MAX(0,$C493-$AB$489),0)))))</f>
      </c>
      <c r="L493" s="43">
        <f>IF($S$489=0,0,IF(OR(DATE($C493,8,15)&lt;$S$489,AND($T$489&gt;0,DATE($C493,8,15)&gt;$T$489)),0,IF(DATE($C493,8,15)&gt;=$X$489,$AA$489*(1+($U$489)/100)^MAX(0,$C493-$AD$489),IF(DATE($C493,8,15)&gt;=$W$489,$Z$489*(1+($U$489)/100)^MAX(0,$C493-$AC$489),IF(DATE($C493,8,15)&gt;=$V$489,$Y$489*(1+($U$489)/100)^MAX(0,$C493-$AB$489),0)))))</f>
      </c>
      <c r="M493" s="43">
        <f>IF($S$489=0,0,IF(OR(DATE($C493,9,15)&lt;$S$489,AND($T$489&gt;0,DATE($C493,9,15)&gt;$T$489)),0,IF(DATE($C493,9,15)&gt;=$X$489,$AA$489*(1+($U$489)/100)^MAX(0,$C493-$AD$489),IF(DATE($C493,9,15)&gt;=$W$489,$Z$489*(1+($U$489)/100)^MAX(0,$C493-$AC$489),IF(DATE($C493,9,15)&gt;=$V$489,$Y$489*(1+($U$489)/100)^MAX(0,$C493-$AB$489),0)))))</f>
      </c>
      <c r="N493" s="43">
        <f>IF($S$489=0,0,IF(OR(DATE($C493,10,15)&lt;$S$489,AND($T$489&gt;0,DATE($C493,10,15)&gt;$T$489)),0,IF(DATE($C493,10,15)&gt;=$X$489,$AA$489*(1+($U$489)/100)^MAX(0,$C493-$AD$489),IF(DATE($C493,10,15)&gt;=$W$489,$Z$489*(1+($U$489)/100)^MAX(0,$C493-$AC$489),IF(DATE($C493,10,15)&gt;=$V$489,$Y$489*(1+($U$489)/100)^MAX(0,$C493-$AB$489),0)))))</f>
      </c>
      <c r="O493" s="43">
        <f>IF($S$489=0,0,IF(OR(DATE($C493,11,15)&lt;$S$489,AND($T$489&gt;0,DATE($C493,11,15)&gt;$T$489)),0,IF(DATE($C493,11,15)&gt;=$X$489,$AA$489*(1+($U$489)/100)^MAX(0,$C493-$AD$489),IF(DATE($C493,11,15)&gt;=$W$489,$Z$489*(1+($U$489)/100)^MAX(0,$C493-$AC$489),IF(DATE($C493,11,15)&gt;=$V$489,$Y$489*(1+($U$489)/100)^MAX(0,$C493-$AB$489),0)))))</f>
      </c>
      <c r="P493" s="43">
        <f>IF($S$489=0,0,IF(OR(DATE($C493,12,15)&lt;$S$489,AND($T$489&gt;0,DATE($C493,12,15)&gt;$T$489)),0,IF(DATE($C493,12,15)&gt;=$X$489,$AA$489*(1+($U$489)/100)^MAX(0,$C493-$AD$489),IF(DATE($C493,12,15)&gt;=$W$489,$Z$489*(1+($U$489)/100)^MAX(0,$C493-$AC$489),IF(DATE($C493,12,15)&gt;=$V$489,$Y$489*(1+($U$489)/100)^MAX(0,$C493-$AB$489),0)))))</f>
      </c>
      <c r="Q493" s="43">
        <f>SUM($E493:$P493)</f>
      </c>
    </row>
    <row r="494">
      <c r="A494"/>
      <c r="B494">
        <v>16</v>
      </c>
      <c r="C494" s="43">
        <f>Jahr+5</f>
      </c>
      <c r="D494" s="43">
        <f>INDEX(MvObj,16)</f>
      </c>
      <c r="E494" s="43">
        <f>IF($S$489=0,0,IF(OR(DATE($C494,1,15)&lt;$S$489,AND($T$489&gt;0,DATE($C494,1,15)&gt;$T$489)),0,IF(DATE($C494,1,15)&gt;=$X$489,$AA$489*(1+($U$489)/100)^MAX(0,$C494-$AD$489),IF(DATE($C494,1,15)&gt;=$W$489,$Z$489*(1+($U$489)/100)^MAX(0,$C494-$AC$489),IF(DATE($C494,1,15)&gt;=$V$489,$Y$489*(1+($U$489)/100)^MAX(0,$C494-$AB$489),0)))))</f>
      </c>
      <c r="F494" s="43">
        <f>IF($S$489=0,0,IF(OR(DATE($C494,2,15)&lt;$S$489,AND($T$489&gt;0,DATE($C494,2,15)&gt;$T$489)),0,IF(DATE($C494,2,15)&gt;=$X$489,$AA$489*(1+($U$489)/100)^MAX(0,$C494-$AD$489),IF(DATE($C494,2,15)&gt;=$W$489,$Z$489*(1+($U$489)/100)^MAX(0,$C494-$AC$489),IF(DATE($C494,2,15)&gt;=$V$489,$Y$489*(1+($U$489)/100)^MAX(0,$C494-$AB$489),0)))))</f>
      </c>
      <c r="G494" s="43">
        <f>IF($S$489=0,0,IF(OR(DATE($C494,3,15)&lt;$S$489,AND($T$489&gt;0,DATE($C494,3,15)&gt;$T$489)),0,IF(DATE($C494,3,15)&gt;=$X$489,$AA$489*(1+($U$489)/100)^MAX(0,$C494-$AD$489),IF(DATE($C494,3,15)&gt;=$W$489,$Z$489*(1+($U$489)/100)^MAX(0,$C494-$AC$489),IF(DATE($C494,3,15)&gt;=$V$489,$Y$489*(1+($U$489)/100)^MAX(0,$C494-$AB$489),0)))))</f>
      </c>
      <c r="H494" s="43">
        <f>IF($S$489=0,0,IF(OR(DATE($C494,4,15)&lt;$S$489,AND($T$489&gt;0,DATE($C494,4,15)&gt;$T$489)),0,IF(DATE($C494,4,15)&gt;=$X$489,$AA$489*(1+($U$489)/100)^MAX(0,$C494-$AD$489),IF(DATE($C494,4,15)&gt;=$W$489,$Z$489*(1+($U$489)/100)^MAX(0,$C494-$AC$489),IF(DATE($C494,4,15)&gt;=$V$489,$Y$489*(1+($U$489)/100)^MAX(0,$C494-$AB$489),0)))))</f>
      </c>
      <c r="I494" s="43">
        <f>IF($S$489=0,0,IF(OR(DATE($C494,5,15)&lt;$S$489,AND($T$489&gt;0,DATE($C494,5,15)&gt;$T$489)),0,IF(DATE($C494,5,15)&gt;=$X$489,$AA$489*(1+($U$489)/100)^MAX(0,$C494-$AD$489),IF(DATE($C494,5,15)&gt;=$W$489,$Z$489*(1+($U$489)/100)^MAX(0,$C494-$AC$489),IF(DATE($C494,5,15)&gt;=$V$489,$Y$489*(1+($U$489)/100)^MAX(0,$C494-$AB$489),0)))))</f>
      </c>
      <c r="J494" s="43">
        <f>IF($S$489=0,0,IF(OR(DATE($C494,6,15)&lt;$S$489,AND($T$489&gt;0,DATE($C494,6,15)&gt;$T$489)),0,IF(DATE($C494,6,15)&gt;=$X$489,$AA$489*(1+($U$489)/100)^MAX(0,$C494-$AD$489),IF(DATE($C494,6,15)&gt;=$W$489,$Z$489*(1+($U$489)/100)^MAX(0,$C494-$AC$489),IF(DATE($C494,6,15)&gt;=$V$489,$Y$489*(1+($U$489)/100)^MAX(0,$C494-$AB$489),0)))))</f>
      </c>
      <c r="K494" s="43">
        <f>IF($S$489=0,0,IF(OR(DATE($C494,7,15)&lt;$S$489,AND($T$489&gt;0,DATE($C494,7,15)&gt;$T$489)),0,IF(DATE($C494,7,15)&gt;=$X$489,$AA$489*(1+($U$489)/100)^MAX(0,$C494-$AD$489),IF(DATE($C494,7,15)&gt;=$W$489,$Z$489*(1+($U$489)/100)^MAX(0,$C494-$AC$489),IF(DATE($C494,7,15)&gt;=$V$489,$Y$489*(1+($U$489)/100)^MAX(0,$C494-$AB$489),0)))))</f>
      </c>
      <c r="L494" s="43">
        <f>IF($S$489=0,0,IF(OR(DATE($C494,8,15)&lt;$S$489,AND($T$489&gt;0,DATE($C494,8,15)&gt;$T$489)),0,IF(DATE($C494,8,15)&gt;=$X$489,$AA$489*(1+($U$489)/100)^MAX(0,$C494-$AD$489),IF(DATE($C494,8,15)&gt;=$W$489,$Z$489*(1+($U$489)/100)^MAX(0,$C494-$AC$489),IF(DATE($C494,8,15)&gt;=$V$489,$Y$489*(1+($U$489)/100)^MAX(0,$C494-$AB$489),0)))))</f>
      </c>
      <c r="M494" s="43">
        <f>IF($S$489=0,0,IF(OR(DATE($C494,9,15)&lt;$S$489,AND($T$489&gt;0,DATE($C494,9,15)&gt;$T$489)),0,IF(DATE($C494,9,15)&gt;=$X$489,$AA$489*(1+($U$489)/100)^MAX(0,$C494-$AD$489),IF(DATE($C494,9,15)&gt;=$W$489,$Z$489*(1+($U$489)/100)^MAX(0,$C494-$AC$489),IF(DATE($C494,9,15)&gt;=$V$489,$Y$489*(1+($U$489)/100)^MAX(0,$C494-$AB$489),0)))))</f>
      </c>
      <c r="N494" s="43">
        <f>IF($S$489=0,0,IF(OR(DATE($C494,10,15)&lt;$S$489,AND($T$489&gt;0,DATE($C494,10,15)&gt;$T$489)),0,IF(DATE($C494,10,15)&gt;=$X$489,$AA$489*(1+($U$489)/100)^MAX(0,$C494-$AD$489),IF(DATE($C494,10,15)&gt;=$W$489,$Z$489*(1+($U$489)/100)^MAX(0,$C494-$AC$489),IF(DATE($C494,10,15)&gt;=$V$489,$Y$489*(1+($U$489)/100)^MAX(0,$C494-$AB$489),0)))))</f>
      </c>
      <c r="O494" s="43">
        <f>IF($S$489=0,0,IF(OR(DATE($C494,11,15)&lt;$S$489,AND($T$489&gt;0,DATE($C494,11,15)&gt;$T$489)),0,IF(DATE($C494,11,15)&gt;=$X$489,$AA$489*(1+($U$489)/100)^MAX(0,$C494-$AD$489),IF(DATE($C494,11,15)&gt;=$W$489,$Z$489*(1+($U$489)/100)^MAX(0,$C494-$AC$489),IF(DATE($C494,11,15)&gt;=$V$489,$Y$489*(1+($U$489)/100)^MAX(0,$C494-$AB$489),0)))))</f>
      </c>
      <c r="P494" s="43">
        <f>IF($S$489=0,0,IF(OR(DATE($C494,12,15)&lt;$S$489,AND($T$489&gt;0,DATE($C494,12,15)&gt;$T$489)),0,IF(DATE($C494,12,15)&gt;=$X$489,$AA$489*(1+($U$489)/100)^MAX(0,$C494-$AD$489),IF(DATE($C494,12,15)&gt;=$W$489,$Z$489*(1+($U$489)/100)^MAX(0,$C494-$AC$489),IF(DATE($C494,12,15)&gt;=$V$489,$Y$489*(1+($U$489)/100)^MAX(0,$C494-$AB$489),0)))))</f>
      </c>
      <c r="Q494" s="43">
        <f>SUM($E494:$P494)</f>
      </c>
    </row>
    <row r="495">
      <c r="A495"/>
      <c r="B495">
        <v>16</v>
      </c>
      <c r="C495" s="43">
        <f>Jahr+6</f>
      </c>
      <c r="D495" s="43">
        <f>INDEX(MvObj,16)</f>
      </c>
      <c r="E495" s="43">
        <f>IF($S$489=0,0,IF(OR(DATE($C495,1,15)&lt;$S$489,AND($T$489&gt;0,DATE($C495,1,15)&gt;$T$489)),0,IF(DATE($C495,1,15)&gt;=$X$489,$AA$489*(1+($U$489)/100)^MAX(0,$C495-$AD$489),IF(DATE($C495,1,15)&gt;=$W$489,$Z$489*(1+($U$489)/100)^MAX(0,$C495-$AC$489),IF(DATE($C495,1,15)&gt;=$V$489,$Y$489*(1+($U$489)/100)^MAX(0,$C495-$AB$489),0)))))</f>
      </c>
      <c r="F495" s="43">
        <f>IF($S$489=0,0,IF(OR(DATE($C495,2,15)&lt;$S$489,AND($T$489&gt;0,DATE($C495,2,15)&gt;$T$489)),0,IF(DATE($C495,2,15)&gt;=$X$489,$AA$489*(1+($U$489)/100)^MAX(0,$C495-$AD$489),IF(DATE($C495,2,15)&gt;=$W$489,$Z$489*(1+($U$489)/100)^MAX(0,$C495-$AC$489),IF(DATE($C495,2,15)&gt;=$V$489,$Y$489*(1+($U$489)/100)^MAX(0,$C495-$AB$489),0)))))</f>
      </c>
      <c r="G495" s="43">
        <f>IF($S$489=0,0,IF(OR(DATE($C495,3,15)&lt;$S$489,AND($T$489&gt;0,DATE($C495,3,15)&gt;$T$489)),0,IF(DATE($C495,3,15)&gt;=$X$489,$AA$489*(1+($U$489)/100)^MAX(0,$C495-$AD$489),IF(DATE($C495,3,15)&gt;=$W$489,$Z$489*(1+($U$489)/100)^MAX(0,$C495-$AC$489),IF(DATE($C495,3,15)&gt;=$V$489,$Y$489*(1+($U$489)/100)^MAX(0,$C495-$AB$489),0)))))</f>
      </c>
      <c r="H495" s="43">
        <f>IF($S$489=0,0,IF(OR(DATE($C495,4,15)&lt;$S$489,AND($T$489&gt;0,DATE($C495,4,15)&gt;$T$489)),0,IF(DATE($C495,4,15)&gt;=$X$489,$AA$489*(1+($U$489)/100)^MAX(0,$C495-$AD$489),IF(DATE($C495,4,15)&gt;=$W$489,$Z$489*(1+($U$489)/100)^MAX(0,$C495-$AC$489),IF(DATE($C495,4,15)&gt;=$V$489,$Y$489*(1+($U$489)/100)^MAX(0,$C495-$AB$489),0)))))</f>
      </c>
      <c r="I495" s="43">
        <f>IF($S$489=0,0,IF(OR(DATE($C495,5,15)&lt;$S$489,AND($T$489&gt;0,DATE($C495,5,15)&gt;$T$489)),0,IF(DATE($C495,5,15)&gt;=$X$489,$AA$489*(1+($U$489)/100)^MAX(0,$C495-$AD$489),IF(DATE($C495,5,15)&gt;=$W$489,$Z$489*(1+($U$489)/100)^MAX(0,$C495-$AC$489),IF(DATE($C495,5,15)&gt;=$V$489,$Y$489*(1+($U$489)/100)^MAX(0,$C495-$AB$489),0)))))</f>
      </c>
      <c r="J495" s="43">
        <f>IF($S$489=0,0,IF(OR(DATE($C495,6,15)&lt;$S$489,AND($T$489&gt;0,DATE($C495,6,15)&gt;$T$489)),0,IF(DATE($C495,6,15)&gt;=$X$489,$AA$489*(1+($U$489)/100)^MAX(0,$C495-$AD$489),IF(DATE($C495,6,15)&gt;=$W$489,$Z$489*(1+($U$489)/100)^MAX(0,$C495-$AC$489),IF(DATE($C495,6,15)&gt;=$V$489,$Y$489*(1+($U$489)/100)^MAX(0,$C495-$AB$489),0)))))</f>
      </c>
      <c r="K495" s="43">
        <f>IF($S$489=0,0,IF(OR(DATE($C495,7,15)&lt;$S$489,AND($T$489&gt;0,DATE($C495,7,15)&gt;$T$489)),0,IF(DATE($C495,7,15)&gt;=$X$489,$AA$489*(1+($U$489)/100)^MAX(0,$C495-$AD$489),IF(DATE($C495,7,15)&gt;=$W$489,$Z$489*(1+($U$489)/100)^MAX(0,$C495-$AC$489),IF(DATE($C495,7,15)&gt;=$V$489,$Y$489*(1+($U$489)/100)^MAX(0,$C495-$AB$489),0)))))</f>
      </c>
      <c r="L495" s="43">
        <f>IF($S$489=0,0,IF(OR(DATE($C495,8,15)&lt;$S$489,AND($T$489&gt;0,DATE($C495,8,15)&gt;$T$489)),0,IF(DATE($C495,8,15)&gt;=$X$489,$AA$489*(1+($U$489)/100)^MAX(0,$C495-$AD$489),IF(DATE($C495,8,15)&gt;=$W$489,$Z$489*(1+($U$489)/100)^MAX(0,$C495-$AC$489),IF(DATE($C495,8,15)&gt;=$V$489,$Y$489*(1+($U$489)/100)^MAX(0,$C495-$AB$489),0)))))</f>
      </c>
      <c r="M495" s="43">
        <f>IF($S$489=0,0,IF(OR(DATE($C495,9,15)&lt;$S$489,AND($T$489&gt;0,DATE($C495,9,15)&gt;$T$489)),0,IF(DATE($C495,9,15)&gt;=$X$489,$AA$489*(1+($U$489)/100)^MAX(0,$C495-$AD$489),IF(DATE($C495,9,15)&gt;=$W$489,$Z$489*(1+($U$489)/100)^MAX(0,$C495-$AC$489),IF(DATE($C495,9,15)&gt;=$V$489,$Y$489*(1+($U$489)/100)^MAX(0,$C495-$AB$489),0)))))</f>
      </c>
      <c r="N495" s="43">
        <f>IF($S$489=0,0,IF(OR(DATE($C495,10,15)&lt;$S$489,AND($T$489&gt;0,DATE($C495,10,15)&gt;$T$489)),0,IF(DATE($C495,10,15)&gt;=$X$489,$AA$489*(1+($U$489)/100)^MAX(0,$C495-$AD$489),IF(DATE($C495,10,15)&gt;=$W$489,$Z$489*(1+($U$489)/100)^MAX(0,$C495-$AC$489),IF(DATE($C495,10,15)&gt;=$V$489,$Y$489*(1+($U$489)/100)^MAX(0,$C495-$AB$489),0)))))</f>
      </c>
      <c r="O495" s="43">
        <f>IF($S$489=0,0,IF(OR(DATE($C495,11,15)&lt;$S$489,AND($T$489&gt;0,DATE($C495,11,15)&gt;$T$489)),0,IF(DATE($C495,11,15)&gt;=$X$489,$AA$489*(1+($U$489)/100)^MAX(0,$C495-$AD$489),IF(DATE($C495,11,15)&gt;=$W$489,$Z$489*(1+($U$489)/100)^MAX(0,$C495-$AC$489),IF(DATE($C495,11,15)&gt;=$V$489,$Y$489*(1+($U$489)/100)^MAX(0,$C495-$AB$489),0)))))</f>
      </c>
      <c r="P495" s="43">
        <f>IF($S$489=0,0,IF(OR(DATE($C495,12,15)&lt;$S$489,AND($T$489&gt;0,DATE($C495,12,15)&gt;$T$489)),0,IF(DATE($C495,12,15)&gt;=$X$489,$AA$489*(1+($U$489)/100)^MAX(0,$C495-$AD$489),IF(DATE($C495,12,15)&gt;=$W$489,$Z$489*(1+($U$489)/100)^MAX(0,$C495-$AC$489),IF(DATE($C495,12,15)&gt;=$V$489,$Y$489*(1+($U$489)/100)^MAX(0,$C495-$AB$489),0)))))</f>
      </c>
      <c r="Q495" s="43">
        <f>SUM($E495:$P495)</f>
      </c>
    </row>
    <row r="496">
      <c r="A496"/>
      <c r="B496">
        <v>16</v>
      </c>
      <c r="C496" s="43">
        <f>Jahr+7</f>
      </c>
      <c r="D496" s="43">
        <f>INDEX(MvObj,16)</f>
      </c>
      <c r="E496" s="43">
        <f>IF($S$489=0,0,IF(OR(DATE($C496,1,15)&lt;$S$489,AND($T$489&gt;0,DATE($C496,1,15)&gt;$T$489)),0,IF(DATE($C496,1,15)&gt;=$X$489,$AA$489*(1+($U$489)/100)^MAX(0,$C496-$AD$489),IF(DATE($C496,1,15)&gt;=$W$489,$Z$489*(1+($U$489)/100)^MAX(0,$C496-$AC$489),IF(DATE($C496,1,15)&gt;=$V$489,$Y$489*(1+($U$489)/100)^MAX(0,$C496-$AB$489),0)))))</f>
      </c>
      <c r="F496" s="43">
        <f>IF($S$489=0,0,IF(OR(DATE($C496,2,15)&lt;$S$489,AND($T$489&gt;0,DATE($C496,2,15)&gt;$T$489)),0,IF(DATE($C496,2,15)&gt;=$X$489,$AA$489*(1+($U$489)/100)^MAX(0,$C496-$AD$489),IF(DATE($C496,2,15)&gt;=$W$489,$Z$489*(1+($U$489)/100)^MAX(0,$C496-$AC$489),IF(DATE($C496,2,15)&gt;=$V$489,$Y$489*(1+($U$489)/100)^MAX(0,$C496-$AB$489),0)))))</f>
      </c>
      <c r="G496" s="43">
        <f>IF($S$489=0,0,IF(OR(DATE($C496,3,15)&lt;$S$489,AND($T$489&gt;0,DATE($C496,3,15)&gt;$T$489)),0,IF(DATE($C496,3,15)&gt;=$X$489,$AA$489*(1+($U$489)/100)^MAX(0,$C496-$AD$489),IF(DATE($C496,3,15)&gt;=$W$489,$Z$489*(1+($U$489)/100)^MAX(0,$C496-$AC$489),IF(DATE($C496,3,15)&gt;=$V$489,$Y$489*(1+($U$489)/100)^MAX(0,$C496-$AB$489),0)))))</f>
      </c>
      <c r="H496" s="43">
        <f>IF($S$489=0,0,IF(OR(DATE($C496,4,15)&lt;$S$489,AND($T$489&gt;0,DATE($C496,4,15)&gt;$T$489)),0,IF(DATE($C496,4,15)&gt;=$X$489,$AA$489*(1+($U$489)/100)^MAX(0,$C496-$AD$489),IF(DATE($C496,4,15)&gt;=$W$489,$Z$489*(1+($U$489)/100)^MAX(0,$C496-$AC$489),IF(DATE($C496,4,15)&gt;=$V$489,$Y$489*(1+($U$489)/100)^MAX(0,$C496-$AB$489),0)))))</f>
      </c>
      <c r="I496" s="43">
        <f>IF($S$489=0,0,IF(OR(DATE($C496,5,15)&lt;$S$489,AND($T$489&gt;0,DATE($C496,5,15)&gt;$T$489)),0,IF(DATE($C496,5,15)&gt;=$X$489,$AA$489*(1+($U$489)/100)^MAX(0,$C496-$AD$489),IF(DATE($C496,5,15)&gt;=$W$489,$Z$489*(1+($U$489)/100)^MAX(0,$C496-$AC$489),IF(DATE($C496,5,15)&gt;=$V$489,$Y$489*(1+($U$489)/100)^MAX(0,$C496-$AB$489),0)))))</f>
      </c>
      <c r="J496" s="43">
        <f>IF($S$489=0,0,IF(OR(DATE($C496,6,15)&lt;$S$489,AND($T$489&gt;0,DATE($C496,6,15)&gt;$T$489)),0,IF(DATE($C496,6,15)&gt;=$X$489,$AA$489*(1+($U$489)/100)^MAX(0,$C496-$AD$489),IF(DATE($C496,6,15)&gt;=$W$489,$Z$489*(1+($U$489)/100)^MAX(0,$C496-$AC$489),IF(DATE($C496,6,15)&gt;=$V$489,$Y$489*(1+($U$489)/100)^MAX(0,$C496-$AB$489),0)))))</f>
      </c>
      <c r="K496" s="43">
        <f>IF($S$489=0,0,IF(OR(DATE($C496,7,15)&lt;$S$489,AND($T$489&gt;0,DATE($C496,7,15)&gt;$T$489)),0,IF(DATE($C496,7,15)&gt;=$X$489,$AA$489*(1+($U$489)/100)^MAX(0,$C496-$AD$489),IF(DATE($C496,7,15)&gt;=$W$489,$Z$489*(1+($U$489)/100)^MAX(0,$C496-$AC$489),IF(DATE($C496,7,15)&gt;=$V$489,$Y$489*(1+($U$489)/100)^MAX(0,$C496-$AB$489),0)))))</f>
      </c>
      <c r="L496" s="43">
        <f>IF($S$489=0,0,IF(OR(DATE($C496,8,15)&lt;$S$489,AND($T$489&gt;0,DATE($C496,8,15)&gt;$T$489)),0,IF(DATE($C496,8,15)&gt;=$X$489,$AA$489*(1+($U$489)/100)^MAX(0,$C496-$AD$489),IF(DATE($C496,8,15)&gt;=$W$489,$Z$489*(1+($U$489)/100)^MAX(0,$C496-$AC$489),IF(DATE($C496,8,15)&gt;=$V$489,$Y$489*(1+($U$489)/100)^MAX(0,$C496-$AB$489),0)))))</f>
      </c>
      <c r="M496" s="43">
        <f>IF($S$489=0,0,IF(OR(DATE($C496,9,15)&lt;$S$489,AND($T$489&gt;0,DATE($C496,9,15)&gt;$T$489)),0,IF(DATE($C496,9,15)&gt;=$X$489,$AA$489*(1+($U$489)/100)^MAX(0,$C496-$AD$489),IF(DATE($C496,9,15)&gt;=$W$489,$Z$489*(1+($U$489)/100)^MAX(0,$C496-$AC$489),IF(DATE($C496,9,15)&gt;=$V$489,$Y$489*(1+($U$489)/100)^MAX(0,$C496-$AB$489),0)))))</f>
      </c>
      <c r="N496" s="43">
        <f>IF($S$489=0,0,IF(OR(DATE($C496,10,15)&lt;$S$489,AND($T$489&gt;0,DATE($C496,10,15)&gt;$T$489)),0,IF(DATE($C496,10,15)&gt;=$X$489,$AA$489*(1+($U$489)/100)^MAX(0,$C496-$AD$489),IF(DATE($C496,10,15)&gt;=$W$489,$Z$489*(1+($U$489)/100)^MAX(0,$C496-$AC$489),IF(DATE($C496,10,15)&gt;=$V$489,$Y$489*(1+($U$489)/100)^MAX(0,$C496-$AB$489),0)))))</f>
      </c>
      <c r="O496" s="43">
        <f>IF($S$489=0,0,IF(OR(DATE($C496,11,15)&lt;$S$489,AND($T$489&gt;0,DATE($C496,11,15)&gt;$T$489)),0,IF(DATE($C496,11,15)&gt;=$X$489,$AA$489*(1+($U$489)/100)^MAX(0,$C496-$AD$489),IF(DATE($C496,11,15)&gt;=$W$489,$Z$489*(1+($U$489)/100)^MAX(0,$C496-$AC$489),IF(DATE($C496,11,15)&gt;=$V$489,$Y$489*(1+($U$489)/100)^MAX(0,$C496-$AB$489),0)))))</f>
      </c>
      <c r="P496" s="43">
        <f>IF($S$489=0,0,IF(OR(DATE($C496,12,15)&lt;$S$489,AND($T$489&gt;0,DATE($C496,12,15)&gt;$T$489)),0,IF(DATE($C496,12,15)&gt;=$X$489,$AA$489*(1+($U$489)/100)^MAX(0,$C496-$AD$489),IF(DATE($C496,12,15)&gt;=$W$489,$Z$489*(1+($U$489)/100)^MAX(0,$C496-$AC$489),IF(DATE($C496,12,15)&gt;=$V$489,$Y$489*(1+($U$489)/100)^MAX(0,$C496-$AB$489),0)))))</f>
      </c>
      <c r="Q496" s="43">
        <f>SUM($E496:$P496)</f>
      </c>
    </row>
    <row r="497">
      <c r="A497"/>
      <c r="B497">
        <v>16</v>
      </c>
      <c r="C497" s="43">
        <f>Jahr+8</f>
      </c>
      <c r="D497" s="43">
        <f>INDEX(MvObj,16)</f>
      </c>
      <c r="E497" s="43">
        <f>IF($S$489=0,0,IF(OR(DATE($C497,1,15)&lt;$S$489,AND($T$489&gt;0,DATE($C497,1,15)&gt;$T$489)),0,IF(DATE($C497,1,15)&gt;=$X$489,$AA$489*(1+($U$489)/100)^MAX(0,$C497-$AD$489),IF(DATE($C497,1,15)&gt;=$W$489,$Z$489*(1+($U$489)/100)^MAX(0,$C497-$AC$489),IF(DATE($C497,1,15)&gt;=$V$489,$Y$489*(1+($U$489)/100)^MAX(0,$C497-$AB$489),0)))))</f>
      </c>
      <c r="F497" s="43">
        <f>IF($S$489=0,0,IF(OR(DATE($C497,2,15)&lt;$S$489,AND($T$489&gt;0,DATE($C497,2,15)&gt;$T$489)),0,IF(DATE($C497,2,15)&gt;=$X$489,$AA$489*(1+($U$489)/100)^MAX(0,$C497-$AD$489),IF(DATE($C497,2,15)&gt;=$W$489,$Z$489*(1+($U$489)/100)^MAX(0,$C497-$AC$489),IF(DATE($C497,2,15)&gt;=$V$489,$Y$489*(1+($U$489)/100)^MAX(0,$C497-$AB$489),0)))))</f>
      </c>
      <c r="G497" s="43">
        <f>IF($S$489=0,0,IF(OR(DATE($C497,3,15)&lt;$S$489,AND($T$489&gt;0,DATE($C497,3,15)&gt;$T$489)),0,IF(DATE($C497,3,15)&gt;=$X$489,$AA$489*(1+($U$489)/100)^MAX(0,$C497-$AD$489),IF(DATE($C497,3,15)&gt;=$W$489,$Z$489*(1+($U$489)/100)^MAX(0,$C497-$AC$489),IF(DATE($C497,3,15)&gt;=$V$489,$Y$489*(1+($U$489)/100)^MAX(0,$C497-$AB$489),0)))))</f>
      </c>
      <c r="H497" s="43">
        <f>IF($S$489=0,0,IF(OR(DATE($C497,4,15)&lt;$S$489,AND($T$489&gt;0,DATE($C497,4,15)&gt;$T$489)),0,IF(DATE($C497,4,15)&gt;=$X$489,$AA$489*(1+($U$489)/100)^MAX(0,$C497-$AD$489),IF(DATE($C497,4,15)&gt;=$W$489,$Z$489*(1+($U$489)/100)^MAX(0,$C497-$AC$489),IF(DATE($C497,4,15)&gt;=$V$489,$Y$489*(1+($U$489)/100)^MAX(0,$C497-$AB$489),0)))))</f>
      </c>
      <c r="I497" s="43">
        <f>IF($S$489=0,0,IF(OR(DATE($C497,5,15)&lt;$S$489,AND($T$489&gt;0,DATE($C497,5,15)&gt;$T$489)),0,IF(DATE($C497,5,15)&gt;=$X$489,$AA$489*(1+($U$489)/100)^MAX(0,$C497-$AD$489),IF(DATE($C497,5,15)&gt;=$W$489,$Z$489*(1+($U$489)/100)^MAX(0,$C497-$AC$489),IF(DATE($C497,5,15)&gt;=$V$489,$Y$489*(1+($U$489)/100)^MAX(0,$C497-$AB$489),0)))))</f>
      </c>
      <c r="J497" s="43">
        <f>IF($S$489=0,0,IF(OR(DATE($C497,6,15)&lt;$S$489,AND($T$489&gt;0,DATE($C497,6,15)&gt;$T$489)),0,IF(DATE($C497,6,15)&gt;=$X$489,$AA$489*(1+($U$489)/100)^MAX(0,$C497-$AD$489),IF(DATE($C497,6,15)&gt;=$W$489,$Z$489*(1+($U$489)/100)^MAX(0,$C497-$AC$489),IF(DATE($C497,6,15)&gt;=$V$489,$Y$489*(1+($U$489)/100)^MAX(0,$C497-$AB$489),0)))))</f>
      </c>
      <c r="K497" s="43">
        <f>IF($S$489=0,0,IF(OR(DATE($C497,7,15)&lt;$S$489,AND($T$489&gt;0,DATE($C497,7,15)&gt;$T$489)),0,IF(DATE($C497,7,15)&gt;=$X$489,$AA$489*(1+($U$489)/100)^MAX(0,$C497-$AD$489),IF(DATE($C497,7,15)&gt;=$W$489,$Z$489*(1+($U$489)/100)^MAX(0,$C497-$AC$489),IF(DATE($C497,7,15)&gt;=$V$489,$Y$489*(1+($U$489)/100)^MAX(0,$C497-$AB$489),0)))))</f>
      </c>
      <c r="L497" s="43">
        <f>IF($S$489=0,0,IF(OR(DATE($C497,8,15)&lt;$S$489,AND($T$489&gt;0,DATE($C497,8,15)&gt;$T$489)),0,IF(DATE($C497,8,15)&gt;=$X$489,$AA$489*(1+($U$489)/100)^MAX(0,$C497-$AD$489),IF(DATE($C497,8,15)&gt;=$W$489,$Z$489*(1+($U$489)/100)^MAX(0,$C497-$AC$489),IF(DATE($C497,8,15)&gt;=$V$489,$Y$489*(1+($U$489)/100)^MAX(0,$C497-$AB$489),0)))))</f>
      </c>
      <c r="M497" s="43">
        <f>IF($S$489=0,0,IF(OR(DATE($C497,9,15)&lt;$S$489,AND($T$489&gt;0,DATE($C497,9,15)&gt;$T$489)),0,IF(DATE($C497,9,15)&gt;=$X$489,$AA$489*(1+($U$489)/100)^MAX(0,$C497-$AD$489),IF(DATE($C497,9,15)&gt;=$W$489,$Z$489*(1+($U$489)/100)^MAX(0,$C497-$AC$489),IF(DATE($C497,9,15)&gt;=$V$489,$Y$489*(1+($U$489)/100)^MAX(0,$C497-$AB$489),0)))))</f>
      </c>
      <c r="N497" s="43">
        <f>IF($S$489=0,0,IF(OR(DATE($C497,10,15)&lt;$S$489,AND($T$489&gt;0,DATE($C497,10,15)&gt;$T$489)),0,IF(DATE($C497,10,15)&gt;=$X$489,$AA$489*(1+($U$489)/100)^MAX(0,$C497-$AD$489),IF(DATE($C497,10,15)&gt;=$W$489,$Z$489*(1+($U$489)/100)^MAX(0,$C497-$AC$489),IF(DATE($C497,10,15)&gt;=$V$489,$Y$489*(1+($U$489)/100)^MAX(0,$C497-$AB$489),0)))))</f>
      </c>
      <c r="O497" s="43">
        <f>IF($S$489=0,0,IF(OR(DATE($C497,11,15)&lt;$S$489,AND($T$489&gt;0,DATE($C497,11,15)&gt;$T$489)),0,IF(DATE($C497,11,15)&gt;=$X$489,$AA$489*(1+($U$489)/100)^MAX(0,$C497-$AD$489),IF(DATE($C497,11,15)&gt;=$W$489,$Z$489*(1+($U$489)/100)^MAX(0,$C497-$AC$489),IF(DATE($C497,11,15)&gt;=$V$489,$Y$489*(1+($U$489)/100)^MAX(0,$C497-$AB$489),0)))))</f>
      </c>
      <c r="P497" s="43">
        <f>IF($S$489=0,0,IF(OR(DATE($C497,12,15)&lt;$S$489,AND($T$489&gt;0,DATE($C497,12,15)&gt;$T$489)),0,IF(DATE($C497,12,15)&gt;=$X$489,$AA$489*(1+($U$489)/100)^MAX(0,$C497-$AD$489),IF(DATE($C497,12,15)&gt;=$W$489,$Z$489*(1+($U$489)/100)^MAX(0,$C497-$AC$489),IF(DATE($C497,12,15)&gt;=$V$489,$Y$489*(1+($U$489)/100)^MAX(0,$C497-$AB$489),0)))))</f>
      </c>
      <c r="Q497" s="43">
        <f>SUM($E497:$P497)</f>
      </c>
    </row>
    <row r="498">
      <c r="A498"/>
      <c r="B498">
        <v>16</v>
      </c>
      <c r="C498" s="43">
        <f>Jahr+9</f>
      </c>
      <c r="D498" s="43">
        <f>INDEX(MvObj,16)</f>
      </c>
      <c r="E498" s="43">
        <f>IF($S$489=0,0,IF(OR(DATE($C498,1,15)&lt;$S$489,AND($T$489&gt;0,DATE($C498,1,15)&gt;$T$489)),0,IF(DATE($C498,1,15)&gt;=$X$489,$AA$489*(1+($U$489)/100)^MAX(0,$C498-$AD$489),IF(DATE($C498,1,15)&gt;=$W$489,$Z$489*(1+($U$489)/100)^MAX(0,$C498-$AC$489),IF(DATE($C498,1,15)&gt;=$V$489,$Y$489*(1+($U$489)/100)^MAX(0,$C498-$AB$489),0)))))</f>
      </c>
      <c r="F498" s="43">
        <f>IF($S$489=0,0,IF(OR(DATE($C498,2,15)&lt;$S$489,AND($T$489&gt;0,DATE($C498,2,15)&gt;$T$489)),0,IF(DATE($C498,2,15)&gt;=$X$489,$AA$489*(1+($U$489)/100)^MAX(0,$C498-$AD$489),IF(DATE($C498,2,15)&gt;=$W$489,$Z$489*(1+($U$489)/100)^MAX(0,$C498-$AC$489),IF(DATE($C498,2,15)&gt;=$V$489,$Y$489*(1+($U$489)/100)^MAX(0,$C498-$AB$489),0)))))</f>
      </c>
      <c r="G498" s="43">
        <f>IF($S$489=0,0,IF(OR(DATE($C498,3,15)&lt;$S$489,AND($T$489&gt;0,DATE($C498,3,15)&gt;$T$489)),0,IF(DATE($C498,3,15)&gt;=$X$489,$AA$489*(1+($U$489)/100)^MAX(0,$C498-$AD$489),IF(DATE($C498,3,15)&gt;=$W$489,$Z$489*(1+($U$489)/100)^MAX(0,$C498-$AC$489),IF(DATE($C498,3,15)&gt;=$V$489,$Y$489*(1+($U$489)/100)^MAX(0,$C498-$AB$489),0)))))</f>
      </c>
      <c r="H498" s="43">
        <f>IF($S$489=0,0,IF(OR(DATE($C498,4,15)&lt;$S$489,AND($T$489&gt;0,DATE($C498,4,15)&gt;$T$489)),0,IF(DATE($C498,4,15)&gt;=$X$489,$AA$489*(1+($U$489)/100)^MAX(0,$C498-$AD$489),IF(DATE($C498,4,15)&gt;=$W$489,$Z$489*(1+($U$489)/100)^MAX(0,$C498-$AC$489),IF(DATE($C498,4,15)&gt;=$V$489,$Y$489*(1+($U$489)/100)^MAX(0,$C498-$AB$489),0)))))</f>
      </c>
      <c r="I498" s="43">
        <f>IF($S$489=0,0,IF(OR(DATE($C498,5,15)&lt;$S$489,AND($T$489&gt;0,DATE($C498,5,15)&gt;$T$489)),0,IF(DATE($C498,5,15)&gt;=$X$489,$AA$489*(1+($U$489)/100)^MAX(0,$C498-$AD$489),IF(DATE($C498,5,15)&gt;=$W$489,$Z$489*(1+($U$489)/100)^MAX(0,$C498-$AC$489),IF(DATE($C498,5,15)&gt;=$V$489,$Y$489*(1+($U$489)/100)^MAX(0,$C498-$AB$489),0)))))</f>
      </c>
      <c r="J498" s="43">
        <f>IF($S$489=0,0,IF(OR(DATE($C498,6,15)&lt;$S$489,AND($T$489&gt;0,DATE($C498,6,15)&gt;$T$489)),0,IF(DATE($C498,6,15)&gt;=$X$489,$AA$489*(1+($U$489)/100)^MAX(0,$C498-$AD$489),IF(DATE($C498,6,15)&gt;=$W$489,$Z$489*(1+($U$489)/100)^MAX(0,$C498-$AC$489),IF(DATE($C498,6,15)&gt;=$V$489,$Y$489*(1+($U$489)/100)^MAX(0,$C498-$AB$489),0)))))</f>
      </c>
      <c r="K498" s="43">
        <f>IF($S$489=0,0,IF(OR(DATE($C498,7,15)&lt;$S$489,AND($T$489&gt;0,DATE($C498,7,15)&gt;$T$489)),0,IF(DATE($C498,7,15)&gt;=$X$489,$AA$489*(1+($U$489)/100)^MAX(0,$C498-$AD$489),IF(DATE($C498,7,15)&gt;=$W$489,$Z$489*(1+($U$489)/100)^MAX(0,$C498-$AC$489),IF(DATE($C498,7,15)&gt;=$V$489,$Y$489*(1+($U$489)/100)^MAX(0,$C498-$AB$489),0)))))</f>
      </c>
      <c r="L498" s="43">
        <f>IF($S$489=0,0,IF(OR(DATE($C498,8,15)&lt;$S$489,AND($T$489&gt;0,DATE($C498,8,15)&gt;$T$489)),0,IF(DATE($C498,8,15)&gt;=$X$489,$AA$489*(1+($U$489)/100)^MAX(0,$C498-$AD$489),IF(DATE($C498,8,15)&gt;=$W$489,$Z$489*(1+($U$489)/100)^MAX(0,$C498-$AC$489),IF(DATE($C498,8,15)&gt;=$V$489,$Y$489*(1+($U$489)/100)^MAX(0,$C498-$AB$489),0)))))</f>
      </c>
      <c r="M498" s="43">
        <f>IF($S$489=0,0,IF(OR(DATE($C498,9,15)&lt;$S$489,AND($T$489&gt;0,DATE($C498,9,15)&gt;$T$489)),0,IF(DATE($C498,9,15)&gt;=$X$489,$AA$489*(1+($U$489)/100)^MAX(0,$C498-$AD$489),IF(DATE($C498,9,15)&gt;=$W$489,$Z$489*(1+($U$489)/100)^MAX(0,$C498-$AC$489),IF(DATE($C498,9,15)&gt;=$V$489,$Y$489*(1+($U$489)/100)^MAX(0,$C498-$AB$489),0)))))</f>
      </c>
      <c r="N498" s="43">
        <f>IF($S$489=0,0,IF(OR(DATE($C498,10,15)&lt;$S$489,AND($T$489&gt;0,DATE($C498,10,15)&gt;$T$489)),0,IF(DATE($C498,10,15)&gt;=$X$489,$AA$489*(1+($U$489)/100)^MAX(0,$C498-$AD$489),IF(DATE($C498,10,15)&gt;=$W$489,$Z$489*(1+($U$489)/100)^MAX(0,$C498-$AC$489),IF(DATE($C498,10,15)&gt;=$V$489,$Y$489*(1+($U$489)/100)^MAX(0,$C498-$AB$489),0)))))</f>
      </c>
      <c r="O498" s="43">
        <f>IF($S$489=0,0,IF(OR(DATE($C498,11,15)&lt;$S$489,AND($T$489&gt;0,DATE($C498,11,15)&gt;$T$489)),0,IF(DATE($C498,11,15)&gt;=$X$489,$AA$489*(1+($U$489)/100)^MAX(0,$C498-$AD$489),IF(DATE($C498,11,15)&gt;=$W$489,$Z$489*(1+($U$489)/100)^MAX(0,$C498-$AC$489),IF(DATE($C498,11,15)&gt;=$V$489,$Y$489*(1+($U$489)/100)^MAX(0,$C498-$AB$489),0)))))</f>
      </c>
      <c r="P498" s="43">
        <f>IF($S$489=0,0,IF(OR(DATE($C498,12,15)&lt;$S$489,AND($T$489&gt;0,DATE($C498,12,15)&gt;$T$489)),0,IF(DATE($C498,12,15)&gt;=$X$489,$AA$489*(1+($U$489)/100)^MAX(0,$C498-$AD$489),IF(DATE($C498,12,15)&gt;=$W$489,$Z$489*(1+($U$489)/100)^MAX(0,$C498-$AC$489),IF(DATE($C498,12,15)&gt;=$V$489,$Y$489*(1+($U$489)/100)^MAX(0,$C498-$AB$489),0)))))</f>
      </c>
      <c r="Q498" s="43">
        <f>SUM($E498:$P498)</f>
      </c>
    </row>
    <row r="499">
      <c r="A499"/>
      <c r="B499">
        <v>16</v>
      </c>
      <c r="C499" s="43">
        <f>Jahr+10</f>
      </c>
      <c r="D499" s="43">
        <f>INDEX(MvObj,16)</f>
      </c>
      <c r="E499" s="43">
        <f>IF($S$489=0,0,IF(OR(DATE($C499,1,15)&lt;$S$489,AND($T$489&gt;0,DATE($C499,1,15)&gt;$T$489)),0,IF(DATE($C499,1,15)&gt;=$X$489,$AA$489*(1+($U$489)/100)^MAX(0,$C499-$AD$489),IF(DATE($C499,1,15)&gt;=$W$489,$Z$489*(1+($U$489)/100)^MAX(0,$C499-$AC$489),IF(DATE($C499,1,15)&gt;=$V$489,$Y$489*(1+($U$489)/100)^MAX(0,$C499-$AB$489),0)))))</f>
      </c>
      <c r="F499" s="43">
        <f>IF($S$489=0,0,IF(OR(DATE($C499,2,15)&lt;$S$489,AND($T$489&gt;0,DATE($C499,2,15)&gt;$T$489)),0,IF(DATE($C499,2,15)&gt;=$X$489,$AA$489*(1+($U$489)/100)^MAX(0,$C499-$AD$489),IF(DATE($C499,2,15)&gt;=$W$489,$Z$489*(1+($U$489)/100)^MAX(0,$C499-$AC$489),IF(DATE($C499,2,15)&gt;=$V$489,$Y$489*(1+($U$489)/100)^MAX(0,$C499-$AB$489),0)))))</f>
      </c>
      <c r="G499" s="43">
        <f>IF($S$489=0,0,IF(OR(DATE($C499,3,15)&lt;$S$489,AND($T$489&gt;0,DATE($C499,3,15)&gt;$T$489)),0,IF(DATE($C499,3,15)&gt;=$X$489,$AA$489*(1+($U$489)/100)^MAX(0,$C499-$AD$489),IF(DATE($C499,3,15)&gt;=$W$489,$Z$489*(1+($U$489)/100)^MAX(0,$C499-$AC$489),IF(DATE($C499,3,15)&gt;=$V$489,$Y$489*(1+($U$489)/100)^MAX(0,$C499-$AB$489),0)))))</f>
      </c>
      <c r="H499" s="43">
        <f>IF($S$489=0,0,IF(OR(DATE($C499,4,15)&lt;$S$489,AND($T$489&gt;0,DATE($C499,4,15)&gt;$T$489)),0,IF(DATE($C499,4,15)&gt;=$X$489,$AA$489*(1+($U$489)/100)^MAX(0,$C499-$AD$489),IF(DATE($C499,4,15)&gt;=$W$489,$Z$489*(1+($U$489)/100)^MAX(0,$C499-$AC$489),IF(DATE($C499,4,15)&gt;=$V$489,$Y$489*(1+($U$489)/100)^MAX(0,$C499-$AB$489),0)))))</f>
      </c>
      <c r="I499" s="43">
        <f>IF($S$489=0,0,IF(OR(DATE($C499,5,15)&lt;$S$489,AND($T$489&gt;0,DATE($C499,5,15)&gt;$T$489)),0,IF(DATE($C499,5,15)&gt;=$X$489,$AA$489*(1+($U$489)/100)^MAX(0,$C499-$AD$489),IF(DATE($C499,5,15)&gt;=$W$489,$Z$489*(1+($U$489)/100)^MAX(0,$C499-$AC$489),IF(DATE($C499,5,15)&gt;=$V$489,$Y$489*(1+($U$489)/100)^MAX(0,$C499-$AB$489),0)))))</f>
      </c>
      <c r="J499" s="43">
        <f>IF($S$489=0,0,IF(OR(DATE($C499,6,15)&lt;$S$489,AND($T$489&gt;0,DATE($C499,6,15)&gt;$T$489)),0,IF(DATE($C499,6,15)&gt;=$X$489,$AA$489*(1+($U$489)/100)^MAX(0,$C499-$AD$489),IF(DATE($C499,6,15)&gt;=$W$489,$Z$489*(1+($U$489)/100)^MAX(0,$C499-$AC$489),IF(DATE($C499,6,15)&gt;=$V$489,$Y$489*(1+($U$489)/100)^MAX(0,$C499-$AB$489),0)))))</f>
      </c>
      <c r="K499" s="43">
        <f>IF($S$489=0,0,IF(OR(DATE($C499,7,15)&lt;$S$489,AND($T$489&gt;0,DATE($C499,7,15)&gt;$T$489)),0,IF(DATE($C499,7,15)&gt;=$X$489,$AA$489*(1+($U$489)/100)^MAX(0,$C499-$AD$489),IF(DATE($C499,7,15)&gt;=$W$489,$Z$489*(1+($U$489)/100)^MAX(0,$C499-$AC$489),IF(DATE($C499,7,15)&gt;=$V$489,$Y$489*(1+($U$489)/100)^MAX(0,$C499-$AB$489),0)))))</f>
      </c>
      <c r="L499" s="43">
        <f>IF($S$489=0,0,IF(OR(DATE($C499,8,15)&lt;$S$489,AND($T$489&gt;0,DATE($C499,8,15)&gt;$T$489)),0,IF(DATE($C499,8,15)&gt;=$X$489,$AA$489*(1+($U$489)/100)^MAX(0,$C499-$AD$489),IF(DATE($C499,8,15)&gt;=$W$489,$Z$489*(1+($U$489)/100)^MAX(0,$C499-$AC$489),IF(DATE($C499,8,15)&gt;=$V$489,$Y$489*(1+($U$489)/100)^MAX(0,$C499-$AB$489),0)))))</f>
      </c>
      <c r="M499" s="43">
        <f>IF($S$489=0,0,IF(OR(DATE($C499,9,15)&lt;$S$489,AND($T$489&gt;0,DATE($C499,9,15)&gt;$T$489)),0,IF(DATE($C499,9,15)&gt;=$X$489,$AA$489*(1+($U$489)/100)^MAX(0,$C499-$AD$489),IF(DATE($C499,9,15)&gt;=$W$489,$Z$489*(1+($U$489)/100)^MAX(0,$C499-$AC$489),IF(DATE($C499,9,15)&gt;=$V$489,$Y$489*(1+($U$489)/100)^MAX(0,$C499-$AB$489),0)))))</f>
      </c>
      <c r="N499" s="43">
        <f>IF($S$489=0,0,IF(OR(DATE($C499,10,15)&lt;$S$489,AND($T$489&gt;0,DATE($C499,10,15)&gt;$T$489)),0,IF(DATE($C499,10,15)&gt;=$X$489,$AA$489*(1+($U$489)/100)^MAX(0,$C499-$AD$489),IF(DATE($C499,10,15)&gt;=$W$489,$Z$489*(1+($U$489)/100)^MAX(0,$C499-$AC$489),IF(DATE($C499,10,15)&gt;=$V$489,$Y$489*(1+($U$489)/100)^MAX(0,$C499-$AB$489),0)))))</f>
      </c>
      <c r="O499" s="43">
        <f>IF($S$489=0,0,IF(OR(DATE($C499,11,15)&lt;$S$489,AND($T$489&gt;0,DATE($C499,11,15)&gt;$T$489)),0,IF(DATE($C499,11,15)&gt;=$X$489,$AA$489*(1+($U$489)/100)^MAX(0,$C499-$AD$489),IF(DATE($C499,11,15)&gt;=$W$489,$Z$489*(1+($U$489)/100)^MAX(0,$C499-$AC$489),IF(DATE($C499,11,15)&gt;=$V$489,$Y$489*(1+($U$489)/100)^MAX(0,$C499-$AB$489),0)))))</f>
      </c>
      <c r="P499" s="43">
        <f>IF($S$489=0,0,IF(OR(DATE($C499,12,15)&lt;$S$489,AND($T$489&gt;0,DATE($C499,12,15)&gt;$T$489)),0,IF(DATE($C499,12,15)&gt;=$X$489,$AA$489*(1+($U$489)/100)^MAX(0,$C499-$AD$489),IF(DATE($C499,12,15)&gt;=$W$489,$Z$489*(1+($U$489)/100)^MAX(0,$C499-$AC$489),IF(DATE($C499,12,15)&gt;=$V$489,$Y$489*(1+($U$489)/100)^MAX(0,$C499-$AB$489),0)))))</f>
      </c>
      <c r="Q499" s="43">
        <f>SUM($E499:$P499)</f>
      </c>
    </row>
    <row r="500">
      <c r="A500"/>
      <c r="B500">
        <v>16</v>
      </c>
      <c r="C500" s="43">
        <f>Jahr+11</f>
      </c>
      <c r="D500" s="43">
        <f>INDEX(MvObj,16)</f>
      </c>
      <c r="E500" s="43">
        <f>IF($S$489=0,0,IF(OR(DATE($C500,1,15)&lt;$S$489,AND($T$489&gt;0,DATE($C500,1,15)&gt;$T$489)),0,IF(DATE($C500,1,15)&gt;=$X$489,$AA$489*(1+($U$489)/100)^MAX(0,$C500-$AD$489),IF(DATE($C500,1,15)&gt;=$W$489,$Z$489*(1+($U$489)/100)^MAX(0,$C500-$AC$489),IF(DATE($C500,1,15)&gt;=$V$489,$Y$489*(1+($U$489)/100)^MAX(0,$C500-$AB$489),0)))))</f>
      </c>
      <c r="F500" s="43">
        <f>IF($S$489=0,0,IF(OR(DATE($C500,2,15)&lt;$S$489,AND($T$489&gt;0,DATE($C500,2,15)&gt;$T$489)),0,IF(DATE($C500,2,15)&gt;=$X$489,$AA$489*(1+($U$489)/100)^MAX(0,$C500-$AD$489),IF(DATE($C500,2,15)&gt;=$W$489,$Z$489*(1+($U$489)/100)^MAX(0,$C500-$AC$489),IF(DATE($C500,2,15)&gt;=$V$489,$Y$489*(1+($U$489)/100)^MAX(0,$C500-$AB$489),0)))))</f>
      </c>
      <c r="G500" s="43">
        <f>IF($S$489=0,0,IF(OR(DATE($C500,3,15)&lt;$S$489,AND($T$489&gt;0,DATE($C500,3,15)&gt;$T$489)),0,IF(DATE($C500,3,15)&gt;=$X$489,$AA$489*(1+($U$489)/100)^MAX(0,$C500-$AD$489),IF(DATE($C500,3,15)&gt;=$W$489,$Z$489*(1+($U$489)/100)^MAX(0,$C500-$AC$489),IF(DATE($C500,3,15)&gt;=$V$489,$Y$489*(1+($U$489)/100)^MAX(0,$C500-$AB$489),0)))))</f>
      </c>
      <c r="H500" s="43">
        <f>IF($S$489=0,0,IF(OR(DATE($C500,4,15)&lt;$S$489,AND($T$489&gt;0,DATE($C500,4,15)&gt;$T$489)),0,IF(DATE($C500,4,15)&gt;=$X$489,$AA$489*(1+($U$489)/100)^MAX(0,$C500-$AD$489),IF(DATE($C500,4,15)&gt;=$W$489,$Z$489*(1+($U$489)/100)^MAX(0,$C500-$AC$489),IF(DATE($C500,4,15)&gt;=$V$489,$Y$489*(1+($U$489)/100)^MAX(0,$C500-$AB$489),0)))))</f>
      </c>
      <c r="I500" s="43">
        <f>IF($S$489=0,0,IF(OR(DATE($C500,5,15)&lt;$S$489,AND($T$489&gt;0,DATE($C500,5,15)&gt;$T$489)),0,IF(DATE($C500,5,15)&gt;=$X$489,$AA$489*(1+($U$489)/100)^MAX(0,$C500-$AD$489),IF(DATE($C500,5,15)&gt;=$W$489,$Z$489*(1+($U$489)/100)^MAX(0,$C500-$AC$489),IF(DATE($C500,5,15)&gt;=$V$489,$Y$489*(1+($U$489)/100)^MAX(0,$C500-$AB$489),0)))))</f>
      </c>
      <c r="J500" s="43">
        <f>IF($S$489=0,0,IF(OR(DATE($C500,6,15)&lt;$S$489,AND($T$489&gt;0,DATE($C500,6,15)&gt;$T$489)),0,IF(DATE($C500,6,15)&gt;=$X$489,$AA$489*(1+($U$489)/100)^MAX(0,$C500-$AD$489),IF(DATE($C500,6,15)&gt;=$W$489,$Z$489*(1+($U$489)/100)^MAX(0,$C500-$AC$489),IF(DATE($C500,6,15)&gt;=$V$489,$Y$489*(1+($U$489)/100)^MAX(0,$C500-$AB$489),0)))))</f>
      </c>
      <c r="K500" s="43">
        <f>IF($S$489=0,0,IF(OR(DATE($C500,7,15)&lt;$S$489,AND($T$489&gt;0,DATE($C500,7,15)&gt;$T$489)),0,IF(DATE($C500,7,15)&gt;=$X$489,$AA$489*(1+($U$489)/100)^MAX(0,$C500-$AD$489),IF(DATE($C500,7,15)&gt;=$W$489,$Z$489*(1+($U$489)/100)^MAX(0,$C500-$AC$489),IF(DATE($C500,7,15)&gt;=$V$489,$Y$489*(1+($U$489)/100)^MAX(0,$C500-$AB$489),0)))))</f>
      </c>
      <c r="L500" s="43">
        <f>IF($S$489=0,0,IF(OR(DATE($C500,8,15)&lt;$S$489,AND($T$489&gt;0,DATE($C500,8,15)&gt;$T$489)),0,IF(DATE($C500,8,15)&gt;=$X$489,$AA$489*(1+($U$489)/100)^MAX(0,$C500-$AD$489),IF(DATE($C500,8,15)&gt;=$W$489,$Z$489*(1+($U$489)/100)^MAX(0,$C500-$AC$489),IF(DATE($C500,8,15)&gt;=$V$489,$Y$489*(1+($U$489)/100)^MAX(0,$C500-$AB$489),0)))))</f>
      </c>
      <c r="M500" s="43">
        <f>IF($S$489=0,0,IF(OR(DATE($C500,9,15)&lt;$S$489,AND($T$489&gt;0,DATE($C500,9,15)&gt;$T$489)),0,IF(DATE($C500,9,15)&gt;=$X$489,$AA$489*(1+($U$489)/100)^MAX(0,$C500-$AD$489),IF(DATE($C500,9,15)&gt;=$W$489,$Z$489*(1+($U$489)/100)^MAX(0,$C500-$AC$489),IF(DATE($C500,9,15)&gt;=$V$489,$Y$489*(1+($U$489)/100)^MAX(0,$C500-$AB$489),0)))))</f>
      </c>
      <c r="N500" s="43">
        <f>IF($S$489=0,0,IF(OR(DATE($C500,10,15)&lt;$S$489,AND($T$489&gt;0,DATE($C500,10,15)&gt;$T$489)),0,IF(DATE($C500,10,15)&gt;=$X$489,$AA$489*(1+($U$489)/100)^MAX(0,$C500-$AD$489),IF(DATE($C500,10,15)&gt;=$W$489,$Z$489*(1+($U$489)/100)^MAX(0,$C500-$AC$489),IF(DATE($C500,10,15)&gt;=$V$489,$Y$489*(1+($U$489)/100)^MAX(0,$C500-$AB$489),0)))))</f>
      </c>
      <c r="O500" s="43">
        <f>IF($S$489=0,0,IF(OR(DATE($C500,11,15)&lt;$S$489,AND($T$489&gt;0,DATE($C500,11,15)&gt;$T$489)),0,IF(DATE($C500,11,15)&gt;=$X$489,$AA$489*(1+($U$489)/100)^MAX(0,$C500-$AD$489),IF(DATE($C500,11,15)&gt;=$W$489,$Z$489*(1+($U$489)/100)^MAX(0,$C500-$AC$489),IF(DATE($C500,11,15)&gt;=$V$489,$Y$489*(1+($U$489)/100)^MAX(0,$C500-$AB$489),0)))))</f>
      </c>
      <c r="P500" s="43">
        <f>IF($S$489=0,0,IF(OR(DATE($C500,12,15)&lt;$S$489,AND($T$489&gt;0,DATE($C500,12,15)&gt;$T$489)),0,IF(DATE($C500,12,15)&gt;=$X$489,$AA$489*(1+($U$489)/100)^MAX(0,$C500-$AD$489),IF(DATE($C500,12,15)&gt;=$W$489,$Z$489*(1+($U$489)/100)^MAX(0,$C500-$AC$489),IF(DATE($C500,12,15)&gt;=$V$489,$Y$489*(1+($U$489)/100)^MAX(0,$C500-$AB$489),0)))))</f>
      </c>
      <c r="Q500" s="43">
        <f>SUM($E500:$P500)</f>
      </c>
    </row>
    <row r="501">
      <c r="A501"/>
      <c r="B501">
        <v>16</v>
      </c>
      <c r="C501" s="43">
        <f>Jahr+12</f>
      </c>
      <c r="D501" s="43">
        <f>INDEX(MvObj,16)</f>
      </c>
      <c r="E501" s="43">
        <f>IF($S$489=0,0,IF(OR(DATE($C501,1,15)&lt;$S$489,AND($T$489&gt;0,DATE($C501,1,15)&gt;$T$489)),0,IF(DATE($C501,1,15)&gt;=$X$489,$AA$489*(1+($U$489)/100)^MAX(0,$C501-$AD$489),IF(DATE($C501,1,15)&gt;=$W$489,$Z$489*(1+($U$489)/100)^MAX(0,$C501-$AC$489),IF(DATE($C501,1,15)&gt;=$V$489,$Y$489*(1+($U$489)/100)^MAX(0,$C501-$AB$489),0)))))</f>
      </c>
      <c r="F501" s="43">
        <f>IF($S$489=0,0,IF(OR(DATE($C501,2,15)&lt;$S$489,AND($T$489&gt;0,DATE($C501,2,15)&gt;$T$489)),0,IF(DATE($C501,2,15)&gt;=$X$489,$AA$489*(1+($U$489)/100)^MAX(0,$C501-$AD$489),IF(DATE($C501,2,15)&gt;=$W$489,$Z$489*(1+($U$489)/100)^MAX(0,$C501-$AC$489),IF(DATE($C501,2,15)&gt;=$V$489,$Y$489*(1+($U$489)/100)^MAX(0,$C501-$AB$489),0)))))</f>
      </c>
      <c r="G501" s="43">
        <f>IF($S$489=0,0,IF(OR(DATE($C501,3,15)&lt;$S$489,AND($T$489&gt;0,DATE($C501,3,15)&gt;$T$489)),0,IF(DATE($C501,3,15)&gt;=$X$489,$AA$489*(1+($U$489)/100)^MAX(0,$C501-$AD$489),IF(DATE($C501,3,15)&gt;=$W$489,$Z$489*(1+($U$489)/100)^MAX(0,$C501-$AC$489),IF(DATE($C501,3,15)&gt;=$V$489,$Y$489*(1+($U$489)/100)^MAX(0,$C501-$AB$489),0)))))</f>
      </c>
      <c r="H501" s="43">
        <f>IF($S$489=0,0,IF(OR(DATE($C501,4,15)&lt;$S$489,AND($T$489&gt;0,DATE($C501,4,15)&gt;$T$489)),0,IF(DATE($C501,4,15)&gt;=$X$489,$AA$489*(1+($U$489)/100)^MAX(0,$C501-$AD$489),IF(DATE($C501,4,15)&gt;=$W$489,$Z$489*(1+($U$489)/100)^MAX(0,$C501-$AC$489),IF(DATE($C501,4,15)&gt;=$V$489,$Y$489*(1+($U$489)/100)^MAX(0,$C501-$AB$489),0)))))</f>
      </c>
      <c r="I501" s="43">
        <f>IF($S$489=0,0,IF(OR(DATE($C501,5,15)&lt;$S$489,AND($T$489&gt;0,DATE($C501,5,15)&gt;$T$489)),0,IF(DATE($C501,5,15)&gt;=$X$489,$AA$489*(1+($U$489)/100)^MAX(0,$C501-$AD$489),IF(DATE($C501,5,15)&gt;=$W$489,$Z$489*(1+($U$489)/100)^MAX(0,$C501-$AC$489),IF(DATE($C501,5,15)&gt;=$V$489,$Y$489*(1+($U$489)/100)^MAX(0,$C501-$AB$489),0)))))</f>
      </c>
      <c r="J501" s="43">
        <f>IF($S$489=0,0,IF(OR(DATE($C501,6,15)&lt;$S$489,AND($T$489&gt;0,DATE($C501,6,15)&gt;$T$489)),0,IF(DATE($C501,6,15)&gt;=$X$489,$AA$489*(1+($U$489)/100)^MAX(0,$C501-$AD$489),IF(DATE($C501,6,15)&gt;=$W$489,$Z$489*(1+($U$489)/100)^MAX(0,$C501-$AC$489),IF(DATE($C501,6,15)&gt;=$V$489,$Y$489*(1+($U$489)/100)^MAX(0,$C501-$AB$489),0)))))</f>
      </c>
      <c r="K501" s="43">
        <f>IF($S$489=0,0,IF(OR(DATE($C501,7,15)&lt;$S$489,AND($T$489&gt;0,DATE($C501,7,15)&gt;$T$489)),0,IF(DATE($C501,7,15)&gt;=$X$489,$AA$489*(1+($U$489)/100)^MAX(0,$C501-$AD$489),IF(DATE($C501,7,15)&gt;=$W$489,$Z$489*(1+($U$489)/100)^MAX(0,$C501-$AC$489),IF(DATE($C501,7,15)&gt;=$V$489,$Y$489*(1+($U$489)/100)^MAX(0,$C501-$AB$489),0)))))</f>
      </c>
      <c r="L501" s="43">
        <f>IF($S$489=0,0,IF(OR(DATE($C501,8,15)&lt;$S$489,AND($T$489&gt;0,DATE($C501,8,15)&gt;$T$489)),0,IF(DATE($C501,8,15)&gt;=$X$489,$AA$489*(1+($U$489)/100)^MAX(0,$C501-$AD$489),IF(DATE($C501,8,15)&gt;=$W$489,$Z$489*(1+($U$489)/100)^MAX(0,$C501-$AC$489),IF(DATE($C501,8,15)&gt;=$V$489,$Y$489*(1+($U$489)/100)^MAX(0,$C501-$AB$489),0)))))</f>
      </c>
      <c r="M501" s="43">
        <f>IF($S$489=0,0,IF(OR(DATE($C501,9,15)&lt;$S$489,AND($T$489&gt;0,DATE($C501,9,15)&gt;$T$489)),0,IF(DATE($C501,9,15)&gt;=$X$489,$AA$489*(1+($U$489)/100)^MAX(0,$C501-$AD$489),IF(DATE($C501,9,15)&gt;=$W$489,$Z$489*(1+($U$489)/100)^MAX(0,$C501-$AC$489),IF(DATE($C501,9,15)&gt;=$V$489,$Y$489*(1+($U$489)/100)^MAX(0,$C501-$AB$489),0)))))</f>
      </c>
      <c r="N501" s="43">
        <f>IF($S$489=0,0,IF(OR(DATE($C501,10,15)&lt;$S$489,AND($T$489&gt;0,DATE($C501,10,15)&gt;$T$489)),0,IF(DATE($C501,10,15)&gt;=$X$489,$AA$489*(1+($U$489)/100)^MAX(0,$C501-$AD$489),IF(DATE($C501,10,15)&gt;=$W$489,$Z$489*(1+($U$489)/100)^MAX(0,$C501-$AC$489),IF(DATE($C501,10,15)&gt;=$V$489,$Y$489*(1+($U$489)/100)^MAX(0,$C501-$AB$489),0)))))</f>
      </c>
      <c r="O501" s="43">
        <f>IF($S$489=0,0,IF(OR(DATE($C501,11,15)&lt;$S$489,AND($T$489&gt;0,DATE($C501,11,15)&gt;$T$489)),0,IF(DATE($C501,11,15)&gt;=$X$489,$AA$489*(1+($U$489)/100)^MAX(0,$C501-$AD$489),IF(DATE($C501,11,15)&gt;=$W$489,$Z$489*(1+($U$489)/100)^MAX(0,$C501-$AC$489),IF(DATE($C501,11,15)&gt;=$V$489,$Y$489*(1+($U$489)/100)^MAX(0,$C501-$AB$489),0)))))</f>
      </c>
      <c r="P501" s="43">
        <f>IF($S$489=0,0,IF(OR(DATE($C501,12,15)&lt;$S$489,AND($T$489&gt;0,DATE($C501,12,15)&gt;$T$489)),0,IF(DATE($C501,12,15)&gt;=$X$489,$AA$489*(1+($U$489)/100)^MAX(0,$C501-$AD$489),IF(DATE($C501,12,15)&gt;=$W$489,$Z$489*(1+($U$489)/100)^MAX(0,$C501-$AC$489),IF(DATE($C501,12,15)&gt;=$V$489,$Y$489*(1+($U$489)/100)^MAX(0,$C501-$AB$489),0)))))</f>
      </c>
      <c r="Q501" s="43">
        <f>SUM($E501:$P501)</f>
      </c>
    </row>
    <row r="502">
      <c r="A502"/>
      <c r="B502">
        <v>16</v>
      </c>
      <c r="C502" s="43">
        <f>Jahr+13</f>
      </c>
      <c r="D502" s="43">
        <f>INDEX(MvObj,16)</f>
      </c>
      <c r="E502" s="43">
        <f>IF($S$489=0,0,IF(OR(DATE($C502,1,15)&lt;$S$489,AND($T$489&gt;0,DATE($C502,1,15)&gt;$T$489)),0,IF(DATE($C502,1,15)&gt;=$X$489,$AA$489*(1+($U$489)/100)^MAX(0,$C502-$AD$489),IF(DATE($C502,1,15)&gt;=$W$489,$Z$489*(1+($U$489)/100)^MAX(0,$C502-$AC$489),IF(DATE($C502,1,15)&gt;=$V$489,$Y$489*(1+($U$489)/100)^MAX(0,$C502-$AB$489),0)))))</f>
      </c>
      <c r="F502" s="43">
        <f>IF($S$489=0,0,IF(OR(DATE($C502,2,15)&lt;$S$489,AND($T$489&gt;0,DATE($C502,2,15)&gt;$T$489)),0,IF(DATE($C502,2,15)&gt;=$X$489,$AA$489*(1+($U$489)/100)^MAX(0,$C502-$AD$489),IF(DATE($C502,2,15)&gt;=$W$489,$Z$489*(1+($U$489)/100)^MAX(0,$C502-$AC$489),IF(DATE($C502,2,15)&gt;=$V$489,$Y$489*(1+($U$489)/100)^MAX(0,$C502-$AB$489),0)))))</f>
      </c>
      <c r="G502" s="43">
        <f>IF($S$489=0,0,IF(OR(DATE($C502,3,15)&lt;$S$489,AND($T$489&gt;0,DATE($C502,3,15)&gt;$T$489)),0,IF(DATE($C502,3,15)&gt;=$X$489,$AA$489*(1+($U$489)/100)^MAX(0,$C502-$AD$489),IF(DATE($C502,3,15)&gt;=$W$489,$Z$489*(1+($U$489)/100)^MAX(0,$C502-$AC$489),IF(DATE($C502,3,15)&gt;=$V$489,$Y$489*(1+($U$489)/100)^MAX(0,$C502-$AB$489),0)))))</f>
      </c>
      <c r="H502" s="43">
        <f>IF($S$489=0,0,IF(OR(DATE($C502,4,15)&lt;$S$489,AND($T$489&gt;0,DATE($C502,4,15)&gt;$T$489)),0,IF(DATE($C502,4,15)&gt;=$X$489,$AA$489*(1+($U$489)/100)^MAX(0,$C502-$AD$489),IF(DATE($C502,4,15)&gt;=$W$489,$Z$489*(1+($U$489)/100)^MAX(0,$C502-$AC$489),IF(DATE($C502,4,15)&gt;=$V$489,$Y$489*(1+($U$489)/100)^MAX(0,$C502-$AB$489),0)))))</f>
      </c>
      <c r="I502" s="43">
        <f>IF($S$489=0,0,IF(OR(DATE($C502,5,15)&lt;$S$489,AND($T$489&gt;0,DATE($C502,5,15)&gt;$T$489)),0,IF(DATE($C502,5,15)&gt;=$X$489,$AA$489*(1+($U$489)/100)^MAX(0,$C502-$AD$489),IF(DATE($C502,5,15)&gt;=$W$489,$Z$489*(1+($U$489)/100)^MAX(0,$C502-$AC$489),IF(DATE($C502,5,15)&gt;=$V$489,$Y$489*(1+($U$489)/100)^MAX(0,$C502-$AB$489),0)))))</f>
      </c>
      <c r="J502" s="43">
        <f>IF($S$489=0,0,IF(OR(DATE($C502,6,15)&lt;$S$489,AND($T$489&gt;0,DATE($C502,6,15)&gt;$T$489)),0,IF(DATE($C502,6,15)&gt;=$X$489,$AA$489*(1+($U$489)/100)^MAX(0,$C502-$AD$489),IF(DATE($C502,6,15)&gt;=$W$489,$Z$489*(1+($U$489)/100)^MAX(0,$C502-$AC$489),IF(DATE($C502,6,15)&gt;=$V$489,$Y$489*(1+($U$489)/100)^MAX(0,$C502-$AB$489),0)))))</f>
      </c>
      <c r="K502" s="43">
        <f>IF($S$489=0,0,IF(OR(DATE($C502,7,15)&lt;$S$489,AND($T$489&gt;0,DATE($C502,7,15)&gt;$T$489)),0,IF(DATE($C502,7,15)&gt;=$X$489,$AA$489*(1+($U$489)/100)^MAX(0,$C502-$AD$489),IF(DATE($C502,7,15)&gt;=$W$489,$Z$489*(1+($U$489)/100)^MAX(0,$C502-$AC$489),IF(DATE($C502,7,15)&gt;=$V$489,$Y$489*(1+($U$489)/100)^MAX(0,$C502-$AB$489),0)))))</f>
      </c>
      <c r="L502" s="43">
        <f>IF($S$489=0,0,IF(OR(DATE($C502,8,15)&lt;$S$489,AND($T$489&gt;0,DATE($C502,8,15)&gt;$T$489)),0,IF(DATE($C502,8,15)&gt;=$X$489,$AA$489*(1+($U$489)/100)^MAX(0,$C502-$AD$489),IF(DATE($C502,8,15)&gt;=$W$489,$Z$489*(1+($U$489)/100)^MAX(0,$C502-$AC$489),IF(DATE($C502,8,15)&gt;=$V$489,$Y$489*(1+($U$489)/100)^MAX(0,$C502-$AB$489),0)))))</f>
      </c>
      <c r="M502" s="43">
        <f>IF($S$489=0,0,IF(OR(DATE($C502,9,15)&lt;$S$489,AND($T$489&gt;0,DATE($C502,9,15)&gt;$T$489)),0,IF(DATE($C502,9,15)&gt;=$X$489,$AA$489*(1+($U$489)/100)^MAX(0,$C502-$AD$489),IF(DATE($C502,9,15)&gt;=$W$489,$Z$489*(1+($U$489)/100)^MAX(0,$C502-$AC$489),IF(DATE($C502,9,15)&gt;=$V$489,$Y$489*(1+($U$489)/100)^MAX(0,$C502-$AB$489),0)))))</f>
      </c>
      <c r="N502" s="43">
        <f>IF($S$489=0,0,IF(OR(DATE($C502,10,15)&lt;$S$489,AND($T$489&gt;0,DATE($C502,10,15)&gt;$T$489)),0,IF(DATE($C502,10,15)&gt;=$X$489,$AA$489*(1+($U$489)/100)^MAX(0,$C502-$AD$489),IF(DATE($C502,10,15)&gt;=$W$489,$Z$489*(1+($U$489)/100)^MAX(0,$C502-$AC$489),IF(DATE($C502,10,15)&gt;=$V$489,$Y$489*(1+($U$489)/100)^MAX(0,$C502-$AB$489),0)))))</f>
      </c>
      <c r="O502" s="43">
        <f>IF($S$489=0,0,IF(OR(DATE($C502,11,15)&lt;$S$489,AND($T$489&gt;0,DATE($C502,11,15)&gt;$T$489)),0,IF(DATE($C502,11,15)&gt;=$X$489,$AA$489*(1+($U$489)/100)^MAX(0,$C502-$AD$489),IF(DATE($C502,11,15)&gt;=$W$489,$Z$489*(1+($U$489)/100)^MAX(0,$C502-$AC$489),IF(DATE($C502,11,15)&gt;=$V$489,$Y$489*(1+($U$489)/100)^MAX(0,$C502-$AB$489),0)))))</f>
      </c>
      <c r="P502" s="43">
        <f>IF($S$489=0,0,IF(OR(DATE($C502,12,15)&lt;$S$489,AND($T$489&gt;0,DATE($C502,12,15)&gt;$T$489)),0,IF(DATE($C502,12,15)&gt;=$X$489,$AA$489*(1+($U$489)/100)^MAX(0,$C502-$AD$489),IF(DATE($C502,12,15)&gt;=$W$489,$Z$489*(1+($U$489)/100)^MAX(0,$C502-$AC$489),IF(DATE($C502,12,15)&gt;=$V$489,$Y$489*(1+($U$489)/100)^MAX(0,$C502-$AB$489),0)))))</f>
      </c>
      <c r="Q502" s="43">
        <f>SUM($E502:$P502)</f>
      </c>
    </row>
    <row r="503">
      <c r="A503"/>
      <c r="B503">
        <v>16</v>
      </c>
      <c r="C503" s="43">
        <f>Jahr+14</f>
      </c>
      <c r="D503" s="43">
        <f>INDEX(MvObj,16)</f>
      </c>
      <c r="E503" s="43">
        <f>IF($S$489=0,0,IF(OR(DATE($C503,1,15)&lt;$S$489,AND($T$489&gt;0,DATE($C503,1,15)&gt;$T$489)),0,IF(DATE($C503,1,15)&gt;=$X$489,$AA$489*(1+($U$489)/100)^MAX(0,$C503-$AD$489),IF(DATE($C503,1,15)&gt;=$W$489,$Z$489*(1+($U$489)/100)^MAX(0,$C503-$AC$489),IF(DATE($C503,1,15)&gt;=$V$489,$Y$489*(1+($U$489)/100)^MAX(0,$C503-$AB$489),0)))))</f>
      </c>
      <c r="F503" s="43">
        <f>IF($S$489=0,0,IF(OR(DATE($C503,2,15)&lt;$S$489,AND($T$489&gt;0,DATE($C503,2,15)&gt;$T$489)),0,IF(DATE($C503,2,15)&gt;=$X$489,$AA$489*(1+($U$489)/100)^MAX(0,$C503-$AD$489),IF(DATE($C503,2,15)&gt;=$W$489,$Z$489*(1+($U$489)/100)^MAX(0,$C503-$AC$489),IF(DATE($C503,2,15)&gt;=$V$489,$Y$489*(1+($U$489)/100)^MAX(0,$C503-$AB$489),0)))))</f>
      </c>
      <c r="G503" s="43">
        <f>IF($S$489=0,0,IF(OR(DATE($C503,3,15)&lt;$S$489,AND($T$489&gt;0,DATE($C503,3,15)&gt;$T$489)),0,IF(DATE($C503,3,15)&gt;=$X$489,$AA$489*(1+($U$489)/100)^MAX(0,$C503-$AD$489),IF(DATE($C503,3,15)&gt;=$W$489,$Z$489*(1+($U$489)/100)^MAX(0,$C503-$AC$489),IF(DATE($C503,3,15)&gt;=$V$489,$Y$489*(1+($U$489)/100)^MAX(0,$C503-$AB$489),0)))))</f>
      </c>
      <c r="H503" s="43">
        <f>IF($S$489=0,0,IF(OR(DATE($C503,4,15)&lt;$S$489,AND($T$489&gt;0,DATE($C503,4,15)&gt;$T$489)),0,IF(DATE($C503,4,15)&gt;=$X$489,$AA$489*(1+($U$489)/100)^MAX(0,$C503-$AD$489),IF(DATE($C503,4,15)&gt;=$W$489,$Z$489*(1+($U$489)/100)^MAX(0,$C503-$AC$489),IF(DATE($C503,4,15)&gt;=$V$489,$Y$489*(1+($U$489)/100)^MAX(0,$C503-$AB$489),0)))))</f>
      </c>
      <c r="I503" s="43">
        <f>IF($S$489=0,0,IF(OR(DATE($C503,5,15)&lt;$S$489,AND($T$489&gt;0,DATE($C503,5,15)&gt;$T$489)),0,IF(DATE($C503,5,15)&gt;=$X$489,$AA$489*(1+($U$489)/100)^MAX(0,$C503-$AD$489),IF(DATE($C503,5,15)&gt;=$W$489,$Z$489*(1+($U$489)/100)^MAX(0,$C503-$AC$489),IF(DATE($C503,5,15)&gt;=$V$489,$Y$489*(1+($U$489)/100)^MAX(0,$C503-$AB$489),0)))))</f>
      </c>
      <c r="J503" s="43">
        <f>IF($S$489=0,0,IF(OR(DATE($C503,6,15)&lt;$S$489,AND($T$489&gt;0,DATE($C503,6,15)&gt;$T$489)),0,IF(DATE($C503,6,15)&gt;=$X$489,$AA$489*(1+($U$489)/100)^MAX(0,$C503-$AD$489),IF(DATE($C503,6,15)&gt;=$W$489,$Z$489*(1+($U$489)/100)^MAX(0,$C503-$AC$489),IF(DATE($C503,6,15)&gt;=$V$489,$Y$489*(1+($U$489)/100)^MAX(0,$C503-$AB$489),0)))))</f>
      </c>
      <c r="K503" s="43">
        <f>IF($S$489=0,0,IF(OR(DATE($C503,7,15)&lt;$S$489,AND($T$489&gt;0,DATE($C503,7,15)&gt;$T$489)),0,IF(DATE($C503,7,15)&gt;=$X$489,$AA$489*(1+($U$489)/100)^MAX(0,$C503-$AD$489),IF(DATE($C503,7,15)&gt;=$W$489,$Z$489*(1+($U$489)/100)^MAX(0,$C503-$AC$489),IF(DATE($C503,7,15)&gt;=$V$489,$Y$489*(1+($U$489)/100)^MAX(0,$C503-$AB$489),0)))))</f>
      </c>
      <c r="L503" s="43">
        <f>IF($S$489=0,0,IF(OR(DATE($C503,8,15)&lt;$S$489,AND($T$489&gt;0,DATE($C503,8,15)&gt;$T$489)),0,IF(DATE($C503,8,15)&gt;=$X$489,$AA$489*(1+($U$489)/100)^MAX(0,$C503-$AD$489),IF(DATE($C503,8,15)&gt;=$W$489,$Z$489*(1+($U$489)/100)^MAX(0,$C503-$AC$489),IF(DATE($C503,8,15)&gt;=$V$489,$Y$489*(1+($U$489)/100)^MAX(0,$C503-$AB$489),0)))))</f>
      </c>
      <c r="M503" s="43">
        <f>IF($S$489=0,0,IF(OR(DATE($C503,9,15)&lt;$S$489,AND($T$489&gt;0,DATE($C503,9,15)&gt;$T$489)),0,IF(DATE($C503,9,15)&gt;=$X$489,$AA$489*(1+($U$489)/100)^MAX(0,$C503-$AD$489),IF(DATE($C503,9,15)&gt;=$W$489,$Z$489*(1+($U$489)/100)^MAX(0,$C503-$AC$489),IF(DATE($C503,9,15)&gt;=$V$489,$Y$489*(1+($U$489)/100)^MAX(0,$C503-$AB$489),0)))))</f>
      </c>
      <c r="N503" s="43">
        <f>IF($S$489=0,0,IF(OR(DATE($C503,10,15)&lt;$S$489,AND($T$489&gt;0,DATE($C503,10,15)&gt;$T$489)),0,IF(DATE($C503,10,15)&gt;=$X$489,$AA$489*(1+($U$489)/100)^MAX(0,$C503-$AD$489),IF(DATE($C503,10,15)&gt;=$W$489,$Z$489*(1+($U$489)/100)^MAX(0,$C503-$AC$489),IF(DATE($C503,10,15)&gt;=$V$489,$Y$489*(1+($U$489)/100)^MAX(0,$C503-$AB$489),0)))))</f>
      </c>
      <c r="O503" s="43">
        <f>IF($S$489=0,0,IF(OR(DATE($C503,11,15)&lt;$S$489,AND($T$489&gt;0,DATE($C503,11,15)&gt;$T$489)),0,IF(DATE($C503,11,15)&gt;=$X$489,$AA$489*(1+($U$489)/100)^MAX(0,$C503-$AD$489),IF(DATE($C503,11,15)&gt;=$W$489,$Z$489*(1+($U$489)/100)^MAX(0,$C503-$AC$489),IF(DATE($C503,11,15)&gt;=$V$489,$Y$489*(1+($U$489)/100)^MAX(0,$C503-$AB$489),0)))))</f>
      </c>
      <c r="P503" s="43">
        <f>IF($S$489=0,0,IF(OR(DATE($C503,12,15)&lt;$S$489,AND($T$489&gt;0,DATE($C503,12,15)&gt;$T$489)),0,IF(DATE($C503,12,15)&gt;=$X$489,$AA$489*(1+($U$489)/100)^MAX(0,$C503-$AD$489),IF(DATE($C503,12,15)&gt;=$W$489,$Z$489*(1+($U$489)/100)^MAX(0,$C503-$AC$489),IF(DATE($C503,12,15)&gt;=$V$489,$Y$489*(1+($U$489)/100)^MAX(0,$C503-$AB$489),0)))))</f>
      </c>
      <c r="Q503" s="43">
        <f>SUM($E503:$P503)</f>
      </c>
    </row>
    <row r="504">
      <c r="A504"/>
      <c r="B504">
        <v>16</v>
      </c>
      <c r="C504" s="43">
        <f>Jahr+15</f>
      </c>
      <c r="D504" s="43">
        <f>INDEX(MvObj,16)</f>
      </c>
      <c r="E504" s="43">
        <f>IF($S$489=0,0,IF(OR(DATE($C504,1,15)&lt;$S$489,AND($T$489&gt;0,DATE($C504,1,15)&gt;$T$489)),0,IF(DATE($C504,1,15)&gt;=$X$489,$AA$489*(1+($U$489)/100)^MAX(0,$C504-$AD$489),IF(DATE($C504,1,15)&gt;=$W$489,$Z$489*(1+($U$489)/100)^MAX(0,$C504-$AC$489),IF(DATE($C504,1,15)&gt;=$V$489,$Y$489*(1+($U$489)/100)^MAX(0,$C504-$AB$489),0)))))</f>
      </c>
      <c r="F504" s="43">
        <f>IF($S$489=0,0,IF(OR(DATE($C504,2,15)&lt;$S$489,AND($T$489&gt;0,DATE($C504,2,15)&gt;$T$489)),0,IF(DATE($C504,2,15)&gt;=$X$489,$AA$489*(1+($U$489)/100)^MAX(0,$C504-$AD$489),IF(DATE($C504,2,15)&gt;=$W$489,$Z$489*(1+($U$489)/100)^MAX(0,$C504-$AC$489),IF(DATE($C504,2,15)&gt;=$V$489,$Y$489*(1+($U$489)/100)^MAX(0,$C504-$AB$489),0)))))</f>
      </c>
      <c r="G504" s="43">
        <f>IF($S$489=0,0,IF(OR(DATE($C504,3,15)&lt;$S$489,AND($T$489&gt;0,DATE($C504,3,15)&gt;$T$489)),0,IF(DATE($C504,3,15)&gt;=$X$489,$AA$489*(1+($U$489)/100)^MAX(0,$C504-$AD$489),IF(DATE($C504,3,15)&gt;=$W$489,$Z$489*(1+($U$489)/100)^MAX(0,$C504-$AC$489),IF(DATE($C504,3,15)&gt;=$V$489,$Y$489*(1+($U$489)/100)^MAX(0,$C504-$AB$489),0)))))</f>
      </c>
      <c r="H504" s="43">
        <f>IF($S$489=0,0,IF(OR(DATE($C504,4,15)&lt;$S$489,AND($T$489&gt;0,DATE($C504,4,15)&gt;$T$489)),0,IF(DATE($C504,4,15)&gt;=$X$489,$AA$489*(1+($U$489)/100)^MAX(0,$C504-$AD$489),IF(DATE($C504,4,15)&gt;=$W$489,$Z$489*(1+($U$489)/100)^MAX(0,$C504-$AC$489),IF(DATE($C504,4,15)&gt;=$V$489,$Y$489*(1+($U$489)/100)^MAX(0,$C504-$AB$489),0)))))</f>
      </c>
      <c r="I504" s="43">
        <f>IF($S$489=0,0,IF(OR(DATE($C504,5,15)&lt;$S$489,AND($T$489&gt;0,DATE($C504,5,15)&gt;$T$489)),0,IF(DATE($C504,5,15)&gt;=$X$489,$AA$489*(1+($U$489)/100)^MAX(0,$C504-$AD$489),IF(DATE($C504,5,15)&gt;=$W$489,$Z$489*(1+($U$489)/100)^MAX(0,$C504-$AC$489),IF(DATE($C504,5,15)&gt;=$V$489,$Y$489*(1+($U$489)/100)^MAX(0,$C504-$AB$489),0)))))</f>
      </c>
      <c r="J504" s="43">
        <f>IF($S$489=0,0,IF(OR(DATE($C504,6,15)&lt;$S$489,AND($T$489&gt;0,DATE($C504,6,15)&gt;$T$489)),0,IF(DATE($C504,6,15)&gt;=$X$489,$AA$489*(1+($U$489)/100)^MAX(0,$C504-$AD$489),IF(DATE($C504,6,15)&gt;=$W$489,$Z$489*(1+($U$489)/100)^MAX(0,$C504-$AC$489),IF(DATE($C504,6,15)&gt;=$V$489,$Y$489*(1+($U$489)/100)^MAX(0,$C504-$AB$489),0)))))</f>
      </c>
      <c r="K504" s="43">
        <f>IF($S$489=0,0,IF(OR(DATE($C504,7,15)&lt;$S$489,AND($T$489&gt;0,DATE($C504,7,15)&gt;$T$489)),0,IF(DATE($C504,7,15)&gt;=$X$489,$AA$489*(1+($U$489)/100)^MAX(0,$C504-$AD$489),IF(DATE($C504,7,15)&gt;=$W$489,$Z$489*(1+($U$489)/100)^MAX(0,$C504-$AC$489),IF(DATE($C504,7,15)&gt;=$V$489,$Y$489*(1+($U$489)/100)^MAX(0,$C504-$AB$489),0)))))</f>
      </c>
      <c r="L504" s="43">
        <f>IF($S$489=0,0,IF(OR(DATE($C504,8,15)&lt;$S$489,AND($T$489&gt;0,DATE($C504,8,15)&gt;$T$489)),0,IF(DATE($C504,8,15)&gt;=$X$489,$AA$489*(1+($U$489)/100)^MAX(0,$C504-$AD$489),IF(DATE($C504,8,15)&gt;=$W$489,$Z$489*(1+($U$489)/100)^MAX(0,$C504-$AC$489),IF(DATE($C504,8,15)&gt;=$V$489,$Y$489*(1+($U$489)/100)^MAX(0,$C504-$AB$489),0)))))</f>
      </c>
      <c r="M504" s="43">
        <f>IF($S$489=0,0,IF(OR(DATE($C504,9,15)&lt;$S$489,AND($T$489&gt;0,DATE($C504,9,15)&gt;$T$489)),0,IF(DATE($C504,9,15)&gt;=$X$489,$AA$489*(1+($U$489)/100)^MAX(0,$C504-$AD$489),IF(DATE($C504,9,15)&gt;=$W$489,$Z$489*(1+($U$489)/100)^MAX(0,$C504-$AC$489),IF(DATE($C504,9,15)&gt;=$V$489,$Y$489*(1+($U$489)/100)^MAX(0,$C504-$AB$489),0)))))</f>
      </c>
      <c r="N504" s="43">
        <f>IF($S$489=0,0,IF(OR(DATE($C504,10,15)&lt;$S$489,AND($T$489&gt;0,DATE($C504,10,15)&gt;$T$489)),0,IF(DATE($C504,10,15)&gt;=$X$489,$AA$489*(1+($U$489)/100)^MAX(0,$C504-$AD$489),IF(DATE($C504,10,15)&gt;=$W$489,$Z$489*(1+($U$489)/100)^MAX(0,$C504-$AC$489),IF(DATE($C504,10,15)&gt;=$V$489,$Y$489*(1+($U$489)/100)^MAX(0,$C504-$AB$489),0)))))</f>
      </c>
      <c r="O504" s="43">
        <f>IF($S$489=0,0,IF(OR(DATE($C504,11,15)&lt;$S$489,AND($T$489&gt;0,DATE($C504,11,15)&gt;$T$489)),0,IF(DATE($C504,11,15)&gt;=$X$489,$AA$489*(1+($U$489)/100)^MAX(0,$C504-$AD$489),IF(DATE($C504,11,15)&gt;=$W$489,$Z$489*(1+($U$489)/100)^MAX(0,$C504-$AC$489),IF(DATE($C504,11,15)&gt;=$V$489,$Y$489*(1+($U$489)/100)^MAX(0,$C504-$AB$489),0)))))</f>
      </c>
      <c r="P504" s="43">
        <f>IF($S$489=0,0,IF(OR(DATE($C504,12,15)&lt;$S$489,AND($T$489&gt;0,DATE($C504,12,15)&gt;$T$489)),0,IF(DATE($C504,12,15)&gt;=$X$489,$AA$489*(1+($U$489)/100)^MAX(0,$C504-$AD$489),IF(DATE($C504,12,15)&gt;=$W$489,$Z$489*(1+($U$489)/100)^MAX(0,$C504-$AC$489),IF(DATE($C504,12,15)&gt;=$V$489,$Y$489*(1+($U$489)/100)^MAX(0,$C504-$AB$489),0)))))</f>
      </c>
      <c r="Q504" s="43">
        <f>SUM($E504:$P504)</f>
      </c>
    </row>
    <row r="505">
      <c r="A505"/>
      <c r="B505">
        <v>16</v>
      </c>
      <c r="C505" s="43">
        <f>Jahr+16</f>
      </c>
      <c r="D505" s="43">
        <f>INDEX(MvObj,16)</f>
      </c>
      <c r="E505" s="43">
        <f>IF($S$489=0,0,IF(OR(DATE($C505,1,15)&lt;$S$489,AND($T$489&gt;0,DATE($C505,1,15)&gt;$T$489)),0,IF(DATE($C505,1,15)&gt;=$X$489,$AA$489*(1+($U$489)/100)^MAX(0,$C505-$AD$489),IF(DATE($C505,1,15)&gt;=$W$489,$Z$489*(1+($U$489)/100)^MAX(0,$C505-$AC$489),IF(DATE($C505,1,15)&gt;=$V$489,$Y$489*(1+($U$489)/100)^MAX(0,$C505-$AB$489),0)))))</f>
      </c>
      <c r="F505" s="43">
        <f>IF($S$489=0,0,IF(OR(DATE($C505,2,15)&lt;$S$489,AND($T$489&gt;0,DATE($C505,2,15)&gt;$T$489)),0,IF(DATE($C505,2,15)&gt;=$X$489,$AA$489*(1+($U$489)/100)^MAX(0,$C505-$AD$489),IF(DATE($C505,2,15)&gt;=$W$489,$Z$489*(1+($U$489)/100)^MAX(0,$C505-$AC$489),IF(DATE($C505,2,15)&gt;=$V$489,$Y$489*(1+($U$489)/100)^MAX(0,$C505-$AB$489),0)))))</f>
      </c>
      <c r="G505" s="43">
        <f>IF($S$489=0,0,IF(OR(DATE($C505,3,15)&lt;$S$489,AND($T$489&gt;0,DATE($C505,3,15)&gt;$T$489)),0,IF(DATE($C505,3,15)&gt;=$X$489,$AA$489*(1+($U$489)/100)^MAX(0,$C505-$AD$489),IF(DATE($C505,3,15)&gt;=$W$489,$Z$489*(1+($U$489)/100)^MAX(0,$C505-$AC$489),IF(DATE($C505,3,15)&gt;=$V$489,$Y$489*(1+($U$489)/100)^MAX(0,$C505-$AB$489),0)))))</f>
      </c>
      <c r="H505" s="43">
        <f>IF($S$489=0,0,IF(OR(DATE($C505,4,15)&lt;$S$489,AND($T$489&gt;0,DATE($C505,4,15)&gt;$T$489)),0,IF(DATE($C505,4,15)&gt;=$X$489,$AA$489*(1+($U$489)/100)^MAX(0,$C505-$AD$489),IF(DATE($C505,4,15)&gt;=$W$489,$Z$489*(1+($U$489)/100)^MAX(0,$C505-$AC$489),IF(DATE($C505,4,15)&gt;=$V$489,$Y$489*(1+($U$489)/100)^MAX(0,$C505-$AB$489),0)))))</f>
      </c>
      <c r="I505" s="43">
        <f>IF($S$489=0,0,IF(OR(DATE($C505,5,15)&lt;$S$489,AND($T$489&gt;0,DATE($C505,5,15)&gt;$T$489)),0,IF(DATE($C505,5,15)&gt;=$X$489,$AA$489*(1+($U$489)/100)^MAX(0,$C505-$AD$489),IF(DATE($C505,5,15)&gt;=$W$489,$Z$489*(1+($U$489)/100)^MAX(0,$C505-$AC$489),IF(DATE($C505,5,15)&gt;=$V$489,$Y$489*(1+($U$489)/100)^MAX(0,$C505-$AB$489),0)))))</f>
      </c>
      <c r="J505" s="43">
        <f>IF($S$489=0,0,IF(OR(DATE($C505,6,15)&lt;$S$489,AND($T$489&gt;0,DATE($C505,6,15)&gt;$T$489)),0,IF(DATE($C505,6,15)&gt;=$X$489,$AA$489*(1+($U$489)/100)^MAX(0,$C505-$AD$489),IF(DATE($C505,6,15)&gt;=$W$489,$Z$489*(1+($U$489)/100)^MAX(0,$C505-$AC$489),IF(DATE($C505,6,15)&gt;=$V$489,$Y$489*(1+($U$489)/100)^MAX(0,$C505-$AB$489),0)))))</f>
      </c>
      <c r="K505" s="43">
        <f>IF($S$489=0,0,IF(OR(DATE($C505,7,15)&lt;$S$489,AND($T$489&gt;0,DATE($C505,7,15)&gt;$T$489)),0,IF(DATE($C505,7,15)&gt;=$X$489,$AA$489*(1+($U$489)/100)^MAX(0,$C505-$AD$489),IF(DATE($C505,7,15)&gt;=$W$489,$Z$489*(1+($U$489)/100)^MAX(0,$C505-$AC$489),IF(DATE($C505,7,15)&gt;=$V$489,$Y$489*(1+($U$489)/100)^MAX(0,$C505-$AB$489),0)))))</f>
      </c>
      <c r="L505" s="43">
        <f>IF($S$489=0,0,IF(OR(DATE($C505,8,15)&lt;$S$489,AND($T$489&gt;0,DATE($C505,8,15)&gt;$T$489)),0,IF(DATE($C505,8,15)&gt;=$X$489,$AA$489*(1+($U$489)/100)^MAX(0,$C505-$AD$489),IF(DATE($C505,8,15)&gt;=$W$489,$Z$489*(1+($U$489)/100)^MAX(0,$C505-$AC$489),IF(DATE($C505,8,15)&gt;=$V$489,$Y$489*(1+($U$489)/100)^MAX(0,$C505-$AB$489),0)))))</f>
      </c>
      <c r="M505" s="43">
        <f>IF($S$489=0,0,IF(OR(DATE($C505,9,15)&lt;$S$489,AND($T$489&gt;0,DATE($C505,9,15)&gt;$T$489)),0,IF(DATE($C505,9,15)&gt;=$X$489,$AA$489*(1+($U$489)/100)^MAX(0,$C505-$AD$489),IF(DATE($C505,9,15)&gt;=$W$489,$Z$489*(1+($U$489)/100)^MAX(0,$C505-$AC$489),IF(DATE($C505,9,15)&gt;=$V$489,$Y$489*(1+($U$489)/100)^MAX(0,$C505-$AB$489),0)))))</f>
      </c>
      <c r="N505" s="43">
        <f>IF($S$489=0,0,IF(OR(DATE($C505,10,15)&lt;$S$489,AND($T$489&gt;0,DATE($C505,10,15)&gt;$T$489)),0,IF(DATE($C505,10,15)&gt;=$X$489,$AA$489*(1+($U$489)/100)^MAX(0,$C505-$AD$489),IF(DATE($C505,10,15)&gt;=$W$489,$Z$489*(1+($U$489)/100)^MAX(0,$C505-$AC$489),IF(DATE($C505,10,15)&gt;=$V$489,$Y$489*(1+($U$489)/100)^MAX(0,$C505-$AB$489),0)))))</f>
      </c>
      <c r="O505" s="43">
        <f>IF($S$489=0,0,IF(OR(DATE($C505,11,15)&lt;$S$489,AND($T$489&gt;0,DATE($C505,11,15)&gt;$T$489)),0,IF(DATE($C505,11,15)&gt;=$X$489,$AA$489*(1+($U$489)/100)^MAX(0,$C505-$AD$489),IF(DATE($C505,11,15)&gt;=$W$489,$Z$489*(1+($U$489)/100)^MAX(0,$C505-$AC$489),IF(DATE($C505,11,15)&gt;=$V$489,$Y$489*(1+($U$489)/100)^MAX(0,$C505-$AB$489),0)))))</f>
      </c>
      <c r="P505" s="43">
        <f>IF($S$489=0,0,IF(OR(DATE($C505,12,15)&lt;$S$489,AND($T$489&gt;0,DATE($C505,12,15)&gt;$T$489)),0,IF(DATE($C505,12,15)&gt;=$X$489,$AA$489*(1+($U$489)/100)^MAX(0,$C505-$AD$489),IF(DATE($C505,12,15)&gt;=$W$489,$Z$489*(1+($U$489)/100)^MAX(0,$C505-$AC$489),IF(DATE($C505,12,15)&gt;=$V$489,$Y$489*(1+($U$489)/100)^MAX(0,$C505-$AB$489),0)))))</f>
      </c>
      <c r="Q505" s="43">
        <f>SUM($E505:$P505)</f>
      </c>
    </row>
    <row r="506">
      <c r="A506"/>
      <c r="B506">
        <v>16</v>
      </c>
      <c r="C506" s="43">
        <f>Jahr+17</f>
      </c>
      <c r="D506" s="43">
        <f>INDEX(MvObj,16)</f>
      </c>
      <c r="E506" s="43">
        <f>IF($S$489=0,0,IF(OR(DATE($C506,1,15)&lt;$S$489,AND($T$489&gt;0,DATE($C506,1,15)&gt;$T$489)),0,IF(DATE($C506,1,15)&gt;=$X$489,$AA$489*(1+($U$489)/100)^MAX(0,$C506-$AD$489),IF(DATE($C506,1,15)&gt;=$W$489,$Z$489*(1+($U$489)/100)^MAX(0,$C506-$AC$489),IF(DATE($C506,1,15)&gt;=$V$489,$Y$489*(1+($U$489)/100)^MAX(0,$C506-$AB$489),0)))))</f>
      </c>
      <c r="F506" s="43">
        <f>IF($S$489=0,0,IF(OR(DATE($C506,2,15)&lt;$S$489,AND($T$489&gt;0,DATE($C506,2,15)&gt;$T$489)),0,IF(DATE($C506,2,15)&gt;=$X$489,$AA$489*(1+($U$489)/100)^MAX(0,$C506-$AD$489),IF(DATE($C506,2,15)&gt;=$W$489,$Z$489*(1+($U$489)/100)^MAX(0,$C506-$AC$489),IF(DATE($C506,2,15)&gt;=$V$489,$Y$489*(1+($U$489)/100)^MAX(0,$C506-$AB$489),0)))))</f>
      </c>
      <c r="G506" s="43">
        <f>IF($S$489=0,0,IF(OR(DATE($C506,3,15)&lt;$S$489,AND($T$489&gt;0,DATE($C506,3,15)&gt;$T$489)),0,IF(DATE($C506,3,15)&gt;=$X$489,$AA$489*(1+($U$489)/100)^MAX(0,$C506-$AD$489),IF(DATE($C506,3,15)&gt;=$W$489,$Z$489*(1+($U$489)/100)^MAX(0,$C506-$AC$489),IF(DATE($C506,3,15)&gt;=$V$489,$Y$489*(1+($U$489)/100)^MAX(0,$C506-$AB$489),0)))))</f>
      </c>
      <c r="H506" s="43">
        <f>IF($S$489=0,0,IF(OR(DATE($C506,4,15)&lt;$S$489,AND($T$489&gt;0,DATE($C506,4,15)&gt;$T$489)),0,IF(DATE($C506,4,15)&gt;=$X$489,$AA$489*(1+($U$489)/100)^MAX(0,$C506-$AD$489),IF(DATE($C506,4,15)&gt;=$W$489,$Z$489*(1+($U$489)/100)^MAX(0,$C506-$AC$489),IF(DATE($C506,4,15)&gt;=$V$489,$Y$489*(1+($U$489)/100)^MAX(0,$C506-$AB$489),0)))))</f>
      </c>
      <c r="I506" s="43">
        <f>IF($S$489=0,0,IF(OR(DATE($C506,5,15)&lt;$S$489,AND($T$489&gt;0,DATE($C506,5,15)&gt;$T$489)),0,IF(DATE($C506,5,15)&gt;=$X$489,$AA$489*(1+($U$489)/100)^MAX(0,$C506-$AD$489),IF(DATE($C506,5,15)&gt;=$W$489,$Z$489*(1+($U$489)/100)^MAX(0,$C506-$AC$489),IF(DATE($C506,5,15)&gt;=$V$489,$Y$489*(1+($U$489)/100)^MAX(0,$C506-$AB$489),0)))))</f>
      </c>
      <c r="J506" s="43">
        <f>IF($S$489=0,0,IF(OR(DATE($C506,6,15)&lt;$S$489,AND($T$489&gt;0,DATE($C506,6,15)&gt;$T$489)),0,IF(DATE($C506,6,15)&gt;=$X$489,$AA$489*(1+($U$489)/100)^MAX(0,$C506-$AD$489),IF(DATE($C506,6,15)&gt;=$W$489,$Z$489*(1+($U$489)/100)^MAX(0,$C506-$AC$489),IF(DATE($C506,6,15)&gt;=$V$489,$Y$489*(1+($U$489)/100)^MAX(0,$C506-$AB$489),0)))))</f>
      </c>
      <c r="K506" s="43">
        <f>IF($S$489=0,0,IF(OR(DATE($C506,7,15)&lt;$S$489,AND($T$489&gt;0,DATE($C506,7,15)&gt;$T$489)),0,IF(DATE($C506,7,15)&gt;=$X$489,$AA$489*(1+($U$489)/100)^MAX(0,$C506-$AD$489),IF(DATE($C506,7,15)&gt;=$W$489,$Z$489*(1+($U$489)/100)^MAX(0,$C506-$AC$489),IF(DATE($C506,7,15)&gt;=$V$489,$Y$489*(1+($U$489)/100)^MAX(0,$C506-$AB$489),0)))))</f>
      </c>
      <c r="L506" s="43">
        <f>IF($S$489=0,0,IF(OR(DATE($C506,8,15)&lt;$S$489,AND($T$489&gt;0,DATE($C506,8,15)&gt;$T$489)),0,IF(DATE($C506,8,15)&gt;=$X$489,$AA$489*(1+($U$489)/100)^MAX(0,$C506-$AD$489),IF(DATE($C506,8,15)&gt;=$W$489,$Z$489*(1+($U$489)/100)^MAX(0,$C506-$AC$489),IF(DATE($C506,8,15)&gt;=$V$489,$Y$489*(1+($U$489)/100)^MAX(0,$C506-$AB$489),0)))))</f>
      </c>
      <c r="M506" s="43">
        <f>IF($S$489=0,0,IF(OR(DATE($C506,9,15)&lt;$S$489,AND($T$489&gt;0,DATE($C506,9,15)&gt;$T$489)),0,IF(DATE($C506,9,15)&gt;=$X$489,$AA$489*(1+($U$489)/100)^MAX(0,$C506-$AD$489),IF(DATE($C506,9,15)&gt;=$W$489,$Z$489*(1+($U$489)/100)^MAX(0,$C506-$AC$489),IF(DATE($C506,9,15)&gt;=$V$489,$Y$489*(1+($U$489)/100)^MAX(0,$C506-$AB$489),0)))))</f>
      </c>
      <c r="N506" s="43">
        <f>IF($S$489=0,0,IF(OR(DATE($C506,10,15)&lt;$S$489,AND($T$489&gt;0,DATE($C506,10,15)&gt;$T$489)),0,IF(DATE($C506,10,15)&gt;=$X$489,$AA$489*(1+($U$489)/100)^MAX(0,$C506-$AD$489),IF(DATE($C506,10,15)&gt;=$W$489,$Z$489*(1+($U$489)/100)^MAX(0,$C506-$AC$489),IF(DATE($C506,10,15)&gt;=$V$489,$Y$489*(1+($U$489)/100)^MAX(0,$C506-$AB$489),0)))))</f>
      </c>
      <c r="O506" s="43">
        <f>IF($S$489=0,0,IF(OR(DATE($C506,11,15)&lt;$S$489,AND($T$489&gt;0,DATE($C506,11,15)&gt;$T$489)),0,IF(DATE($C506,11,15)&gt;=$X$489,$AA$489*(1+($U$489)/100)^MAX(0,$C506-$AD$489),IF(DATE($C506,11,15)&gt;=$W$489,$Z$489*(1+($U$489)/100)^MAX(0,$C506-$AC$489),IF(DATE($C506,11,15)&gt;=$V$489,$Y$489*(1+($U$489)/100)^MAX(0,$C506-$AB$489),0)))))</f>
      </c>
      <c r="P506" s="43">
        <f>IF($S$489=0,0,IF(OR(DATE($C506,12,15)&lt;$S$489,AND($T$489&gt;0,DATE($C506,12,15)&gt;$T$489)),0,IF(DATE($C506,12,15)&gt;=$X$489,$AA$489*(1+($U$489)/100)^MAX(0,$C506-$AD$489),IF(DATE($C506,12,15)&gt;=$W$489,$Z$489*(1+($U$489)/100)^MAX(0,$C506-$AC$489),IF(DATE($C506,12,15)&gt;=$V$489,$Y$489*(1+($U$489)/100)^MAX(0,$C506-$AB$489),0)))))</f>
      </c>
      <c r="Q506" s="43">
        <f>SUM($E506:$P506)</f>
      </c>
    </row>
    <row r="507">
      <c r="A507"/>
      <c r="B507">
        <v>16</v>
      </c>
      <c r="C507" s="43">
        <f>Jahr+18</f>
      </c>
      <c r="D507" s="43">
        <f>INDEX(MvObj,16)</f>
      </c>
      <c r="E507" s="43">
        <f>IF($S$489=0,0,IF(OR(DATE($C507,1,15)&lt;$S$489,AND($T$489&gt;0,DATE($C507,1,15)&gt;$T$489)),0,IF(DATE($C507,1,15)&gt;=$X$489,$AA$489*(1+($U$489)/100)^MAX(0,$C507-$AD$489),IF(DATE($C507,1,15)&gt;=$W$489,$Z$489*(1+($U$489)/100)^MAX(0,$C507-$AC$489),IF(DATE($C507,1,15)&gt;=$V$489,$Y$489*(1+($U$489)/100)^MAX(0,$C507-$AB$489),0)))))</f>
      </c>
      <c r="F507" s="43">
        <f>IF($S$489=0,0,IF(OR(DATE($C507,2,15)&lt;$S$489,AND($T$489&gt;0,DATE($C507,2,15)&gt;$T$489)),0,IF(DATE($C507,2,15)&gt;=$X$489,$AA$489*(1+($U$489)/100)^MAX(0,$C507-$AD$489),IF(DATE($C507,2,15)&gt;=$W$489,$Z$489*(1+($U$489)/100)^MAX(0,$C507-$AC$489),IF(DATE($C507,2,15)&gt;=$V$489,$Y$489*(1+($U$489)/100)^MAX(0,$C507-$AB$489),0)))))</f>
      </c>
      <c r="G507" s="43">
        <f>IF($S$489=0,0,IF(OR(DATE($C507,3,15)&lt;$S$489,AND($T$489&gt;0,DATE($C507,3,15)&gt;$T$489)),0,IF(DATE($C507,3,15)&gt;=$X$489,$AA$489*(1+($U$489)/100)^MAX(0,$C507-$AD$489),IF(DATE($C507,3,15)&gt;=$W$489,$Z$489*(1+($U$489)/100)^MAX(0,$C507-$AC$489),IF(DATE($C507,3,15)&gt;=$V$489,$Y$489*(1+($U$489)/100)^MAX(0,$C507-$AB$489),0)))))</f>
      </c>
      <c r="H507" s="43">
        <f>IF($S$489=0,0,IF(OR(DATE($C507,4,15)&lt;$S$489,AND($T$489&gt;0,DATE($C507,4,15)&gt;$T$489)),0,IF(DATE($C507,4,15)&gt;=$X$489,$AA$489*(1+($U$489)/100)^MAX(0,$C507-$AD$489),IF(DATE($C507,4,15)&gt;=$W$489,$Z$489*(1+($U$489)/100)^MAX(0,$C507-$AC$489),IF(DATE($C507,4,15)&gt;=$V$489,$Y$489*(1+($U$489)/100)^MAX(0,$C507-$AB$489),0)))))</f>
      </c>
      <c r="I507" s="43">
        <f>IF($S$489=0,0,IF(OR(DATE($C507,5,15)&lt;$S$489,AND($T$489&gt;0,DATE($C507,5,15)&gt;$T$489)),0,IF(DATE($C507,5,15)&gt;=$X$489,$AA$489*(1+($U$489)/100)^MAX(0,$C507-$AD$489),IF(DATE($C507,5,15)&gt;=$W$489,$Z$489*(1+($U$489)/100)^MAX(0,$C507-$AC$489),IF(DATE($C507,5,15)&gt;=$V$489,$Y$489*(1+($U$489)/100)^MAX(0,$C507-$AB$489),0)))))</f>
      </c>
      <c r="J507" s="43">
        <f>IF($S$489=0,0,IF(OR(DATE($C507,6,15)&lt;$S$489,AND($T$489&gt;0,DATE($C507,6,15)&gt;$T$489)),0,IF(DATE($C507,6,15)&gt;=$X$489,$AA$489*(1+($U$489)/100)^MAX(0,$C507-$AD$489),IF(DATE($C507,6,15)&gt;=$W$489,$Z$489*(1+($U$489)/100)^MAX(0,$C507-$AC$489),IF(DATE($C507,6,15)&gt;=$V$489,$Y$489*(1+($U$489)/100)^MAX(0,$C507-$AB$489),0)))))</f>
      </c>
      <c r="K507" s="43">
        <f>IF($S$489=0,0,IF(OR(DATE($C507,7,15)&lt;$S$489,AND($T$489&gt;0,DATE($C507,7,15)&gt;$T$489)),0,IF(DATE($C507,7,15)&gt;=$X$489,$AA$489*(1+($U$489)/100)^MAX(0,$C507-$AD$489),IF(DATE($C507,7,15)&gt;=$W$489,$Z$489*(1+($U$489)/100)^MAX(0,$C507-$AC$489),IF(DATE($C507,7,15)&gt;=$V$489,$Y$489*(1+($U$489)/100)^MAX(0,$C507-$AB$489),0)))))</f>
      </c>
      <c r="L507" s="43">
        <f>IF($S$489=0,0,IF(OR(DATE($C507,8,15)&lt;$S$489,AND($T$489&gt;0,DATE($C507,8,15)&gt;$T$489)),0,IF(DATE($C507,8,15)&gt;=$X$489,$AA$489*(1+($U$489)/100)^MAX(0,$C507-$AD$489),IF(DATE($C507,8,15)&gt;=$W$489,$Z$489*(1+($U$489)/100)^MAX(0,$C507-$AC$489),IF(DATE($C507,8,15)&gt;=$V$489,$Y$489*(1+($U$489)/100)^MAX(0,$C507-$AB$489),0)))))</f>
      </c>
      <c r="M507" s="43">
        <f>IF($S$489=0,0,IF(OR(DATE($C507,9,15)&lt;$S$489,AND($T$489&gt;0,DATE($C507,9,15)&gt;$T$489)),0,IF(DATE($C507,9,15)&gt;=$X$489,$AA$489*(1+($U$489)/100)^MAX(0,$C507-$AD$489),IF(DATE($C507,9,15)&gt;=$W$489,$Z$489*(1+($U$489)/100)^MAX(0,$C507-$AC$489),IF(DATE($C507,9,15)&gt;=$V$489,$Y$489*(1+($U$489)/100)^MAX(0,$C507-$AB$489),0)))))</f>
      </c>
      <c r="N507" s="43">
        <f>IF($S$489=0,0,IF(OR(DATE($C507,10,15)&lt;$S$489,AND($T$489&gt;0,DATE($C507,10,15)&gt;$T$489)),0,IF(DATE($C507,10,15)&gt;=$X$489,$AA$489*(1+($U$489)/100)^MAX(0,$C507-$AD$489),IF(DATE($C507,10,15)&gt;=$W$489,$Z$489*(1+($U$489)/100)^MAX(0,$C507-$AC$489),IF(DATE($C507,10,15)&gt;=$V$489,$Y$489*(1+($U$489)/100)^MAX(0,$C507-$AB$489),0)))))</f>
      </c>
      <c r="O507" s="43">
        <f>IF($S$489=0,0,IF(OR(DATE($C507,11,15)&lt;$S$489,AND($T$489&gt;0,DATE($C507,11,15)&gt;$T$489)),0,IF(DATE($C507,11,15)&gt;=$X$489,$AA$489*(1+($U$489)/100)^MAX(0,$C507-$AD$489),IF(DATE($C507,11,15)&gt;=$W$489,$Z$489*(1+($U$489)/100)^MAX(0,$C507-$AC$489),IF(DATE($C507,11,15)&gt;=$V$489,$Y$489*(1+($U$489)/100)^MAX(0,$C507-$AB$489),0)))))</f>
      </c>
      <c r="P507" s="43">
        <f>IF($S$489=0,0,IF(OR(DATE($C507,12,15)&lt;$S$489,AND($T$489&gt;0,DATE($C507,12,15)&gt;$T$489)),0,IF(DATE($C507,12,15)&gt;=$X$489,$AA$489*(1+($U$489)/100)^MAX(0,$C507-$AD$489),IF(DATE($C507,12,15)&gt;=$W$489,$Z$489*(1+($U$489)/100)^MAX(0,$C507-$AC$489),IF(DATE($C507,12,15)&gt;=$V$489,$Y$489*(1+($U$489)/100)^MAX(0,$C507-$AB$489),0)))))</f>
      </c>
      <c r="Q507" s="43">
        <f>SUM($E507:$P507)</f>
      </c>
    </row>
    <row r="508">
      <c r="A508"/>
      <c r="B508">
        <v>16</v>
      </c>
      <c r="C508" s="43">
        <f>Jahr+19</f>
      </c>
      <c r="D508" s="43">
        <f>INDEX(MvObj,16)</f>
      </c>
      <c r="E508" s="43">
        <f>IF($S$489=0,0,IF(OR(DATE($C508,1,15)&lt;$S$489,AND($T$489&gt;0,DATE($C508,1,15)&gt;$T$489)),0,IF(DATE($C508,1,15)&gt;=$X$489,$AA$489*(1+($U$489)/100)^MAX(0,$C508-$AD$489),IF(DATE($C508,1,15)&gt;=$W$489,$Z$489*(1+($U$489)/100)^MAX(0,$C508-$AC$489),IF(DATE($C508,1,15)&gt;=$V$489,$Y$489*(1+($U$489)/100)^MAX(0,$C508-$AB$489),0)))))</f>
      </c>
      <c r="F508" s="43">
        <f>IF($S$489=0,0,IF(OR(DATE($C508,2,15)&lt;$S$489,AND($T$489&gt;0,DATE($C508,2,15)&gt;$T$489)),0,IF(DATE($C508,2,15)&gt;=$X$489,$AA$489*(1+($U$489)/100)^MAX(0,$C508-$AD$489),IF(DATE($C508,2,15)&gt;=$W$489,$Z$489*(1+($U$489)/100)^MAX(0,$C508-$AC$489),IF(DATE($C508,2,15)&gt;=$V$489,$Y$489*(1+($U$489)/100)^MAX(0,$C508-$AB$489),0)))))</f>
      </c>
      <c r="G508" s="43">
        <f>IF($S$489=0,0,IF(OR(DATE($C508,3,15)&lt;$S$489,AND($T$489&gt;0,DATE($C508,3,15)&gt;$T$489)),0,IF(DATE($C508,3,15)&gt;=$X$489,$AA$489*(1+($U$489)/100)^MAX(0,$C508-$AD$489),IF(DATE($C508,3,15)&gt;=$W$489,$Z$489*(1+($U$489)/100)^MAX(0,$C508-$AC$489),IF(DATE($C508,3,15)&gt;=$V$489,$Y$489*(1+($U$489)/100)^MAX(0,$C508-$AB$489),0)))))</f>
      </c>
      <c r="H508" s="43">
        <f>IF($S$489=0,0,IF(OR(DATE($C508,4,15)&lt;$S$489,AND($T$489&gt;0,DATE($C508,4,15)&gt;$T$489)),0,IF(DATE($C508,4,15)&gt;=$X$489,$AA$489*(1+($U$489)/100)^MAX(0,$C508-$AD$489),IF(DATE($C508,4,15)&gt;=$W$489,$Z$489*(1+($U$489)/100)^MAX(0,$C508-$AC$489),IF(DATE($C508,4,15)&gt;=$V$489,$Y$489*(1+($U$489)/100)^MAX(0,$C508-$AB$489),0)))))</f>
      </c>
      <c r="I508" s="43">
        <f>IF($S$489=0,0,IF(OR(DATE($C508,5,15)&lt;$S$489,AND($T$489&gt;0,DATE($C508,5,15)&gt;$T$489)),0,IF(DATE($C508,5,15)&gt;=$X$489,$AA$489*(1+($U$489)/100)^MAX(0,$C508-$AD$489),IF(DATE($C508,5,15)&gt;=$W$489,$Z$489*(1+($U$489)/100)^MAX(0,$C508-$AC$489),IF(DATE($C508,5,15)&gt;=$V$489,$Y$489*(1+($U$489)/100)^MAX(0,$C508-$AB$489),0)))))</f>
      </c>
      <c r="J508" s="43">
        <f>IF($S$489=0,0,IF(OR(DATE($C508,6,15)&lt;$S$489,AND($T$489&gt;0,DATE($C508,6,15)&gt;$T$489)),0,IF(DATE($C508,6,15)&gt;=$X$489,$AA$489*(1+($U$489)/100)^MAX(0,$C508-$AD$489),IF(DATE($C508,6,15)&gt;=$W$489,$Z$489*(1+($U$489)/100)^MAX(0,$C508-$AC$489),IF(DATE($C508,6,15)&gt;=$V$489,$Y$489*(1+($U$489)/100)^MAX(0,$C508-$AB$489),0)))))</f>
      </c>
      <c r="K508" s="43">
        <f>IF($S$489=0,0,IF(OR(DATE($C508,7,15)&lt;$S$489,AND($T$489&gt;0,DATE($C508,7,15)&gt;$T$489)),0,IF(DATE($C508,7,15)&gt;=$X$489,$AA$489*(1+($U$489)/100)^MAX(0,$C508-$AD$489),IF(DATE($C508,7,15)&gt;=$W$489,$Z$489*(1+($U$489)/100)^MAX(0,$C508-$AC$489),IF(DATE($C508,7,15)&gt;=$V$489,$Y$489*(1+($U$489)/100)^MAX(0,$C508-$AB$489),0)))))</f>
      </c>
      <c r="L508" s="43">
        <f>IF($S$489=0,0,IF(OR(DATE($C508,8,15)&lt;$S$489,AND($T$489&gt;0,DATE($C508,8,15)&gt;$T$489)),0,IF(DATE($C508,8,15)&gt;=$X$489,$AA$489*(1+($U$489)/100)^MAX(0,$C508-$AD$489),IF(DATE($C508,8,15)&gt;=$W$489,$Z$489*(1+($U$489)/100)^MAX(0,$C508-$AC$489),IF(DATE($C508,8,15)&gt;=$V$489,$Y$489*(1+($U$489)/100)^MAX(0,$C508-$AB$489),0)))))</f>
      </c>
      <c r="M508" s="43">
        <f>IF($S$489=0,0,IF(OR(DATE($C508,9,15)&lt;$S$489,AND($T$489&gt;0,DATE($C508,9,15)&gt;$T$489)),0,IF(DATE($C508,9,15)&gt;=$X$489,$AA$489*(1+($U$489)/100)^MAX(0,$C508-$AD$489),IF(DATE($C508,9,15)&gt;=$W$489,$Z$489*(1+($U$489)/100)^MAX(0,$C508-$AC$489),IF(DATE($C508,9,15)&gt;=$V$489,$Y$489*(1+($U$489)/100)^MAX(0,$C508-$AB$489),0)))))</f>
      </c>
      <c r="N508" s="43">
        <f>IF($S$489=0,0,IF(OR(DATE($C508,10,15)&lt;$S$489,AND($T$489&gt;0,DATE($C508,10,15)&gt;$T$489)),0,IF(DATE($C508,10,15)&gt;=$X$489,$AA$489*(1+($U$489)/100)^MAX(0,$C508-$AD$489),IF(DATE($C508,10,15)&gt;=$W$489,$Z$489*(1+($U$489)/100)^MAX(0,$C508-$AC$489),IF(DATE($C508,10,15)&gt;=$V$489,$Y$489*(1+($U$489)/100)^MAX(0,$C508-$AB$489),0)))))</f>
      </c>
      <c r="O508" s="43">
        <f>IF($S$489=0,0,IF(OR(DATE($C508,11,15)&lt;$S$489,AND($T$489&gt;0,DATE($C508,11,15)&gt;$T$489)),0,IF(DATE($C508,11,15)&gt;=$X$489,$AA$489*(1+($U$489)/100)^MAX(0,$C508-$AD$489),IF(DATE($C508,11,15)&gt;=$W$489,$Z$489*(1+($U$489)/100)^MAX(0,$C508-$AC$489),IF(DATE($C508,11,15)&gt;=$V$489,$Y$489*(1+($U$489)/100)^MAX(0,$C508-$AB$489),0)))))</f>
      </c>
      <c r="P508" s="43">
        <f>IF($S$489=0,0,IF(OR(DATE($C508,12,15)&lt;$S$489,AND($T$489&gt;0,DATE($C508,12,15)&gt;$T$489)),0,IF(DATE($C508,12,15)&gt;=$X$489,$AA$489*(1+($U$489)/100)^MAX(0,$C508-$AD$489),IF(DATE($C508,12,15)&gt;=$W$489,$Z$489*(1+($U$489)/100)^MAX(0,$C508-$AC$489),IF(DATE($C508,12,15)&gt;=$V$489,$Y$489*(1+($U$489)/100)^MAX(0,$C508-$AB$489),0)))))</f>
      </c>
      <c r="Q508" s="43">
        <f>SUM($E508:$P508)</f>
      </c>
    </row>
    <row r="509">
      <c r="A509"/>
      <c r="B509">
        <v>16</v>
      </c>
      <c r="C509" s="43">
        <f>Jahr+20</f>
      </c>
      <c r="D509" s="43">
        <f>INDEX(MvObj,16)</f>
      </c>
      <c r="E509" s="43">
        <f>IF($S$489=0,0,IF(OR(DATE($C509,1,15)&lt;$S$489,AND($T$489&gt;0,DATE($C509,1,15)&gt;$T$489)),0,IF(DATE($C509,1,15)&gt;=$X$489,$AA$489*(1+($U$489)/100)^MAX(0,$C509-$AD$489),IF(DATE($C509,1,15)&gt;=$W$489,$Z$489*(1+($U$489)/100)^MAX(0,$C509-$AC$489),IF(DATE($C509,1,15)&gt;=$V$489,$Y$489*(1+($U$489)/100)^MAX(0,$C509-$AB$489),0)))))</f>
      </c>
      <c r="F509" s="43">
        <f>IF($S$489=0,0,IF(OR(DATE($C509,2,15)&lt;$S$489,AND($T$489&gt;0,DATE($C509,2,15)&gt;$T$489)),0,IF(DATE($C509,2,15)&gt;=$X$489,$AA$489*(1+($U$489)/100)^MAX(0,$C509-$AD$489),IF(DATE($C509,2,15)&gt;=$W$489,$Z$489*(1+($U$489)/100)^MAX(0,$C509-$AC$489),IF(DATE($C509,2,15)&gt;=$V$489,$Y$489*(1+($U$489)/100)^MAX(0,$C509-$AB$489),0)))))</f>
      </c>
      <c r="G509" s="43">
        <f>IF($S$489=0,0,IF(OR(DATE($C509,3,15)&lt;$S$489,AND($T$489&gt;0,DATE($C509,3,15)&gt;$T$489)),0,IF(DATE($C509,3,15)&gt;=$X$489,$AA$489*(1+($U$489)/100)^MAX(0,$C509-$AD$489),IF(DATE($C509,3,15)&gt;=$W$489,$Z$489*(1+($U$489)/100)^MAX(0,$C509-$AC$489),IF(DATE($C509,3,15)&gt;=$V$489,$Y$489*(1+($U$489)/100)^MAX(0,$C509-$AB$489),0)))))</f>
      </c>
      <c r="H509" s="43">
        <f>IF($S$489=0,0,IF(OR(DATE($C509,4,15)&lt;$S$489,AND($T$489&gt;0,DATE($C509,4,15)&gt;$T$489)),0,IF(DATE($C509,4,15)&gt;=$X$489,$AA$489*(1+($U$489)/100)^MAX(0,$C509-$AD$489),IF(DATE($C509,4,15)&gt;=$W$489,$Z$489*(1+($U$489)/100)^MAX(0,$C509-$AC$489),IF(DATE($C509,4,15)&gt;=$V$489,$Y$489*(1+($U$489)/100)^MAX(0,$C509-$AB$489),0)))))</f>
      </c>
      <c r="I509" s="43">
        <f>IF($S$489=0,0,IF(OR(DATE($C509,5,15)&lt;$S$489,AND($T$489&gt;0,DATE($C509,5,15)&gt;$T$489)),0,IF(DATE($C509,5,15)&gt;=$X$489,$AA$489*(1+($U$489)/100)^MAX(0,$C509-$AD$489),IF(DATE($C509,5,15)&gt;=$W$489,$Z$489*(1+($U$489)/100)^MAX(0,$C509-$AC$489),IF(DATE($C509,5,15)&gt;=$V$489,$Y$489*(1+($U$489)/100)^MAX(0,$C509-$AB$489),0)))))</f>
      </c>
      <c r="J509" s="43">
        <f>IF($S$489=0,0,IF(OR(DATE($C509,6,15)&lt;$S$489,AND($T$489&gt;0,DATE($C509,6,15)&gt;$T$489)),0,IF(DATE($C509,6,15)&gt;=$X$489,$AA$489*(1+($U$489)/100)^MAX(0,$C509-$AD$489),IF(DATE($C509,6,15)&gt;=$W$489,$Z$489*(1+($U$489)/100)^MAX(0,$C509-$AC$489),IF(DATE($C509,6,15)&gt;=$V$489,$Y$489*(1+($U$489)/100)^MAX(0,$C509-$AB$489),0)))))</f>
      </c>
      <c r="K509" s="43">
        <f>IF($S$489=0,0,IF(OR(DATE($C509,7,15)&lt;$S$489,AND($T$489&gt;0,DATE($C509,7,15)&gt;$T$489)),0,IF(DATE($C509,7,15)&gt;=$X$489,$AA$489*(1+($U$489)/100)^MAX(0,$C509-$AD$489),IF(DATE($C509,7,15)&gt;=$W$489,$Z$489*(1+($U$489)/100)^MAX(0,$C509-$AC$489),IF(DATE($C509,7,15)&gt;=$V$489,$Y$489*(1+($U$489)/100)^MAX(0,$C509-$AB$489),0)))))</f>
      </c>
      <c r="L509" s="43">
        <f>IF($S$489=0,0,IF(OR(DATE($C509,8,15)&lt;$S$489,AND($T$489&gt;0,DATE($C509,8,15)&gt;$T$489)),0,IF(DATE($C509,8,15)&gt;=$X$489,$AA$489*(1+($U$489)/100)^MAX(0,$C509-$AD$489),IF(DATE($C509,8,15)&gt;=$W$489,$Z$489*(1+($U$489)/100)^MAX(0,$C509-$AC$489),IF(DATE($C509,8,15)&gt;=$V$489,$Y$489*(1+($U$489)/100)^MAX(0,$C509-$AB$489),0)))))</f>
      </c>
      <c r="M509" s="43">
        <f>IF($S$489=0,0,IF(OR(DATE($C509,9,15)&lt;$S$489,AND($T$489&gt;0,DATE($C509,9,15)&gt;$T$489)),0,IF(DATE($C509,9,15)&gt;=$X$489,$AA$489*(1+($U$489)/100)^MAX(0,$C509-$AD$489),IF(DATE($C509,9,15)&gt;=$W$489,$Z$489*(1+($U$489)/100)^MAX(0,$C509-$AC$489),IF(DATE($C509,9,15)&gt;=$V$489,$Y$489*(1+($U$489)/100)^MAX(0,$C509-$AB$489),0)))))</f>
      </c>
      <c r="N509" s="43">
        <f>IF($S$489=0,0,IF(OR(DATE($C509,10,15)&lt;$S$489,AND($T$489&gt;0,DATE($C509,10,15)&gt;$T$489)),0,IF(DATE($C509,10,15)&gt;=$X$489,$AA$489*(1+($U$489)/100)^MAX(0,$C509-$AD$489),IF(DATE($C509,10,15)&gt;=$W$489,$Z$489*(1+($U$489)/100)^MAX(0,$C509-$AC$489),IF(DATE($C509,10,15)&gt;=$V$489,$Y$489*(1+($U$489)/100)^MAX(0,$C509-$AB$489),0)))))</f>
      </c>
      <c r="O509" s="43">
        <f>IF($S$489=0,0,IF(OR(DATE($C509,11,15)&lt;$S$489,AND($T$489&gt;0,DATE($C509,11,15)&gt;$T$489)),0,IF(DATE($C509,11,15)&gt;=$X$489,$AA$489*(1+($U$489)/100)^MAX(0,$C509-$AD$489),IF(DATE($C509,11,15)&gt;=$W$489,$Z$489*(1+($U$489)/100)^MAX(0,$C509-$AC$489),IF(DATE($C509,11,15)&gt;=$V$489,$Y$489*(1+($U$489)/100)^MAX(0,$C509-$AB$489),0)))))</f>
      </c>
      <c r="P509" s="43">
        <f>IF($S$489=0,0,IF(OR(DATE($C509,12,15)&lt;$S$489,AND($T$489&gt;0,DATE($C509,12,15)&gt;$T$489)),0,IF(DATE($C509,12,15)&gt;=$X$489,$AA$489*(1+($U$489)/100)^MAX(0,$C509-$AD$489),IF(DATE($C509,12,15)&gt;=$W$489,$Z$489*(1+($U$489)/100)^MAX(0,$C509-$AC$489),IF(DATE($C509,12,15)&gt;=$V$489,$Y$489*(1+($U$489)/100)^MAX(0,$C509-$AB$489),0)))))</f>
      </c>
      <c r="Q509" s="43">
        <f>SUM($E509:$P509)</f>
      </c>
    </row>
    <row r="510">
      <c r="A510"/>
      <c r="B510">
        <v>16</v>
      </c>
      <c r="C510" s="43">
        <f>Jahr+21</f>
      </c>
      <c r="D510" s="43">
        <f>INDEX(MvObj,16)</f>
      </c>
      <c r="E510" s="43">
        <f>IF($S$489=0,0,IF(OR(DATE($C510,1,15)&lt;$S$489,AND($T$489&gt;0,DATE($C510,1,15)&gt;$T$489)),0,IF(DATE($C510,1,15)&gt;=$X$489,$AA$489*(1+($U$489)/100)^MAX(0,$C510-$AD$489),IF(DATE($C510,1,15)&gt;=$W$489,$Z$489*(1+($U$489)/100)^MAX(0,$C510-$AC$489),IF(DATE($C510,1,15)&gt;=$V$489,$Y$489*(1+($U$489)/100)^MAX(0,$C510-$AB$489),0)))))</f>
      </c>
      <c r="F510" s="43">
        <f>IF($S$489=0,0,IF(OR(DATE($C510,2,15)&lt;$S$489,AND($T$489&gt;0,DATE($C510,2,15)&gt;$T$489)),0,IF(DATE($C510,2,15)&gt;=$X$489,$AA$489*(1+($U$489)/100)^MAX(0,$C510-$AD$489),IF(DATE($C510,2,15)&gt;=$W$489,$Z$489*(1+($U$489)/100)^MAX(0,$C510-$AC$489),IF(DATE($C510,2,15)&gt;=$V$489,$Y$489*(1+($U$489)/100)^MAX(0,$C510-$AB$489),0)))))</f>
      </c>
      <c r="G510" s="43">
        <f>IF($S$489=0,0,IF(OR(DATE($C510,3,15)&lt;$S$489,AND($T$489&gt;0,DATE($C510,3,15)&gt;$T$489)),0,IF(DATE($C510,3,15)&gt;=$X$489,$AA$489*(1+($U$489)/100)^MAX(0,$C510-$AD$489),IF(DATE($C510,3,15)&gt;=$W$489,$Z$489*(1+($U$489)/100)^MAX(0,$C510-$AC$489),IF(DATE($C510,3,15)&gt;=$V$489,$Y$489*(1+($U$489)/100)^MAX(0,$C510-$AB$489),0)))))</f>
      </c>
      <c r="H510" s="43">
        <f>IF($S$489=0,0,IF(OR(DATE($C510,4,15)&lt;$S$489,AND($T$489&gt;0,DATE($C510,4,15)&gt;$T$489)),0,IF(DATE($C510,4,15)&gt;=$X$489,$AA$489*(1+($U$489)/100)^MAX(0,$C510-$AD$489),IF(DATE($C510,4,15)&gt;=$W$489,$Z$489*(1+($U$489)/100)^MAX(0,$C510-$AC$489),IF(DATE($C510,4,15)&gt;=$V$489,$Y$489*(1+($U$489)/100)^MAX(0,$C510-$AB$489),0)))))</f>
      </c>
      <c r="I510" s="43">
        <f>IF($S$489=0,0,IF(OR(DATE($C510,5,15)&lt;$S$489,AND($T$489&gt;0,DATE($C510,5,15)&gt;$T$489)),0,IF(DATE($C510,5,15)&gt;=$X$489,$AA$489*(1+($U$489)/100)^MAX(0,$C510-$AD$489),IF(DATE($C510,5,15)&gt;=$W$489,$Z$489*(1+($U$489)/100)^MAX(0,$C510-$AC$489),IF(DATE($C510,5,15)&gt;=$V$489,$Y$489*(1+($U$489)/100)^MAX(0,$C510-$AB$489),0)))))</f>
      </c>
      <c r="J510" s="43">
        <f>IF($S$489=0,0,IF(OR(DATE($C510,6,15)&lt;$S$489,AND($T$489&gt;0,DATE($C510,6,15)&gt;$T$489)),0,IF(DATE($C510,6,15)&gt;=$X$489,$AA$489*(1+($U$489)/100)^MAX(0,$C510-$AD$489),IF(DATE($C510,6,15)&gt;=$W$489,$Z$489*(1+($U$489)/100)^MAX(0,$C510-$AC$489),IF(DATE($C510,6,15)&gt;=$V$489,$Y$489*(1+($U$489)/100)^MAX(0,$C510-$AB$489),0)))))</f>
      </c>
      <c r="K510" s="43">
        <f>IF($S$489=0,0,IF(OR(DATE($C510,7,15)&lt;$S$489,AND($T$489&gt;0,DATE($C510,7,15)&gt;$T$489)),0,IF(DATE($C510,7,15)&gt;=$X$489,$AA$489*(1+($U$489)/100)^MAX(0,$C510-$AD$489),IF(DATE($C510,7,15)&gt;=$W$489,$Z$489*(1+($U$489)/100)^MAX(0,$C510-$AC$489),IF(DATE($C510,7,15)&gt;=$V$489,$Y$489*(1+($U$489)/100)^MAX(0,$C510-$AB$489),0)))))</f>
      </c>
      <c r="L510" s="43">
        <f>IF($S$489=0,0,IF(OR(DATE($C510,8,15)&lt;$S$489,AND($T$489&gt;0,DATE($C510,8,15)&gt;$T$489)),0,IF(DATE($C510,8,15)&gt;=$X$489,$AA$489*(1+($U$489)/100)^MAX(0,$C510-$AD$489),IF(DATE($C510,8,15)&gt;=$W$489,$Z$489*(1+($U$489)/100)^MAX(0,$C510-$AC$489),IF(DATE($C510,8,15)&gt;=$V$489,$Y$489*(1+($U$489)/100)^MAX(0,$C510-$AB$489),0)))))</f>
      </c>
      <c r="M510" s="43">
        <f>IF($S$489=0,0,IF(OR(DATE($C510,9,15)&lt;$S$489,AND($T$489&gt;0,DATE($C510,9,15)&gt;$T$489)),0,IF(DATE($C510,9,15)&gt;=$X$489,$AA$489*(1+($U$489)/100)^MAX(0,$C510-$AD$489),IF(DATE($C510,9,15)&gt;=$W$489,$Z$489*(1+($U$489)/100)^MAX(0,$C510-$AC$489),IF(DATE($C510,9,15)&gt;=$V$489,$Y$489*(1+($U$489)/100)^MAX(0,$C510-$AB$489),0)))))</f>
      </c>
      <c r="N510" s="43">
        <f>IF($S$489=0,0,IF(OR(DATE($C510,10,15)&lt;$S$489,AND($T$489&gt;0,DATE($C510,10,15)&gt;$T$489)),0,IF(DATE($C510,10,15)&gt;=$X$489,$AA$489*(1+($U$489)/100)^MAX(0,$C510-$AD$489),IF(DATE($C510,10,15)&gt;=$W$489,$Z$489*(1+($U$489)/100)^MAX(0,$C510-$AC$489),IF(DATE($C510,10,15)&gt;=$V$489,$Y$489*(1+($U$489)/100)^MAX(0,$C510-$AB$489),0)))))</f>
      </c>
      <c r="O510" s="43">
        <f>IF($S$489=0,0,IF(OR(DATE($C510,11,15)&lt;$S$489,AND($T$489&gt;0,DATE($C510,11,15)&gt;$T$489)),0,IF(DATE($C510,11,15)&gt;=$X$489,$AA$489*(1+($U$489)/100)^MAX(0,$C510-$AD$489),IF(DATE($C510,11,15)&gt;=$W$489,$Z$489*(1+($U$489)/100)^MAX(0,$C510-$AC$489),IF(DATE($C510,11,15)&gt;=$V$489,$Y$489*(1+($U$489)/100)^MAX(0,$C510-$AB$489),0)))))</f>
      </c>
      <c r="P510" s="43">
        <f>IF($S$489=0,0,IF(OR(DATE($C510,12,15)&lt;$S$489,AND($T$489&gt;0,DATE($C510,12,15)&gt;$T$489)),0,IF(DATE($C510,12,15)&gt;=$X$489,$AA$489*(1+($U$489)/100)^MAX(0,$C510-$AD$489),IF(DATE($C510,12,15)&gt;=$W$489,$Z$489*(1+($U$489)/100)^MAX(0,$C510-$AC$489),IF(DATE($C510,12,15)&gt;=$V$489,$Y$489*(1+($U$489)/100)^MAX(0,$C510-$AB$489),0)))))</f>
      </c>
      <c r="Q510" s="43">
        <f>SUM($E510:$P510)</f>
      </c>
    </row>
    <row r="511">
      <c r="A511"/>
      <c r="B511">
        <v>16</v>
      </c>
      <c r="C511" s="43">
        <f>Jahr+22</f>
      </c>
      <c r="D511" s="43">
        <f>INDEX(MvObj,16)</f>
      </c>
      <c r="E511" s="43">
        <f>IF($S$489=0,0,IF(OR(DATE($C511,1,15)&lt;$S$489,AND($T$489&gt;0,DATE($C511,1,15)&gt;$T$489)),0,IF(DATE($C511,1,15)&gt;=$X$489,$AA$489*(1+($U$489)/100)^MAX(0,$C511-$AD$489),IF(DATE($C511,1,15)&gt;=$W$489,$Z$489*(1+($U$489)/100)^MAX(0,$C511-$AC$489),IF(DATE($C511,1,15)&gt;=$V$489,$Y$489*(1+($U$489)/100)^MAX(0,$C511-$AB$489),0)))))</f>
      </c>
      <c r="F511" s="43">
        <f>IF($S$489=0,0,IF(OR(DATE($C511,2,15)&lt;$S$489,AND($T$489&gt;0,DATE($C511,2,15)&gt;$T$489)),0,IF(DATE($C511,2,15)&gt;=$X$489,$AA$489*(1+($U$489)/100)^MAX(0,$C511-$AD$489),IF(DATE($C511,2,15)&gt;=$W$489,$Z$489*(1+($U$489)/100)^MAX(0,$C511-$AC$489),IF(DATE($C511,2,15)&gt;=$V$489,$Y$489*(1+($U$489)/100)^MAX(0,$C511-$AB$489),0)))))</f>
      </c>
      <c r="G511" s="43">
        <f>IF($S$489=0,0,IF(OR(DATE($C511,3,15)&lt;$S$489,AND($T$489&gt;0,DATE($C511,3,15)&gt;$T$489)),0,IF(DATE($C511,3,15)&gt;=$X$489,$AA$489*(1+($U$489)/100)^MAX(0,$C511-$AD$489),IF(DATE($C511,3,15)&gt;=$W$489,$Z$489*(1+($U$489)/100)^MAX(0,$C511-$AC$489),IF(DATE($C511,3,15)&gt;=$V$489,$Y$489*(1+($U$489)/100)^MAX(0,$C511-$AB$489),0)))))</f>
      </c>
      <c r="H511" s="43">
        <f>IF($S$489=0,0,IF(OR(DATE($C511,4,15)&lt;$S$489,AND($T$489&gt;0,DATE($C511,4,15)&gt;$T$489)),0,IF(DATE($C511,4,15)&gt;=$X$489,$AA$489*(1+($U$489)/100)^MAX(0,$C511-$AD$489),IF(DATE($C511,4,15)&gt;=$W$489,$Z$489*(1+($U$489)/100)^MAX(0,$C511-$AC$489),IF(DATE($C511,4,15)&gt;=$V$489,$Y$489*(1+($U$489)/100)^MAX(0,$C511-$AB$489),0)))))</f>
      </c>
      <c r="I511" s="43">
        <f>IF($S$489=0,0,IF(OR(DATE($C511,5,15)&lt;$S$489,AND($T$489&gt;0,DATE($C511,5,15)&gt;$T$489)),0,IF(DATE($C511,5,15)&gt;=$X$489,$AA$489*(1+($U$489)/100)^MAX(0,$C511-$AD$489),IF(DATE($C511,5,15)&gt;=$W$489,$Z$489*(1+($U$489)/100)^MAX(0,$C511-$AC$489),IF(DATE($C511,5,15)&gt;=$V$489,$Y$489*(1+($U$489)/100)^MAX(0,$C511-$AB$489),0)))))</f>
      </c>
      <c r="J511" s="43">
        <f>IF($S$489=0,0,IF(OR(DATE($C511,6,15)&lt;$S$489,AND($T$489&gt;0,DATE($C511,6,15)&gt;$T$489)),0,IF(DATE($C511,6,15)&gt;=$X$489,$AA$489*(1+($U$489)/100)^MAX(0,$C511-$AD$489),IF(DATE($C511,6,15)&gt;=$W$489,$Z$489*(1+($U$489)/100)^MAX(0,$C511-$AC$489),IF(DATE($C511,6,15)&gt;=$V$489,$Y$489*(1+($U$489)/100)^MAX(0,$C511-$AB$489),0)))))</f>
      </c>
      <c r="K511" s="43">
        <f>IF($S$489=0,0,IF(OR(DATE($C511,7,15)&lt;$S$489,AND($T$489&gt;0,DATE($C511,7,15)&gt;$T$489)),0,IF(DATE($C511,7,15)&gt;=$X$489,$AA$489*(1+($U$489)/100)^MAX(0,$C511-$AD$489),IF(DATE($C511,7,15)&gt;=$W$489,$Z$489*(1+($U$489)/100)^MAX(0,$C511-$AC$489),IF(DATE($C511,7,15)&gt;=$V$489,$Y$489*(1+($U$489)/100)^MAX(0,$C511-$AB$489),0)))))</f>
      </c>
      <c r="L511" s="43">
        <f>IF($S$489=0,0,IF(OR(DATE($C511,8,15)&lt;$S$489,AND($T$489&gt;0,DATE($C511,8,15)&gt;$T$489)),0,IF(DATE($C511,8,15)&gt;=$X$489,$AA$489*(1+($U$489)/100)^MAX(0,$C511-$AD$489),IF(DATE($C511,8,15)&gt;=$W$489,$Z$489*(1+($U$489)/100)^MAX(0,$C511-$AC$489),IF(DATE($C511,8,15)&gt;=$V$489,$Y$489*(1+($U$489)/100)^MAX(0,$C511-$AB$489),0)))))</f>
      </c>
      <c r="M511" s="43">
        <f>IF($S$489=0,0,IF(OR(DATE($C511,9,15)&lt;$S$489,AND($T$489&gt;0,DATE($C511,9,15)&gt;$T$489)),0,IF(DATE($C511,9,15)&gt;=$X$489,$AA$489*(1+($U$489)/100)^MAX(0,$C511-$AD$489),IF(DATE($C511,9,15)&gt;=$W$489,$Z$489*(1+($U$489)/100)^MAX(0,$C511-$AC$489),IF(DATE($C511,9,15)&gt;=$V$489,$Y$489*(1+($U$489)/100)^MAX(0,$C511-$AB$489),0)))))</f>
      </c>
      <c r="N511" s="43">
        <f>IF($S$489=0,0,IF(OR(DATE($C511,10,15)&lt;$S$489,AND($T$489&gt;0,DATE($C511,10,15)&gt;$T$489)),0,IF(DATE($C511,10,15)&gt;=$X$489,$AA$489*(1+($U$489)/100)^MAX(0,$C511-$AD$489),IF(DATE($C511,10,15)&gt;=$W$489,$Z$489*(1+($U$489)/100)^MAX(0,$C511-$AC$489),IF(DATE($C511,10,15)&gt;=$V$489,$Y$489*(1+($U$489)/100)^MAX(0,$C511-$AB$489),0)))))</f>
      </c>
      <c r="O511" s="43">
        <f>IF($S$489=0,0,IF(OR(DATE($C511,11,15)&lt;$S$489,AND($T$489&gt;0,DATE($C511,11,15)&gt;$T$489)),0,IF(DATE($C511,11,15)&gt;=$X$489,$AA$489*(1+($U$489)/100)^MAX(0,$C511-$AD$489),IF(DATE($C511,11,15)&gt;=$W$489,$Z$489*(1+($U$489)/100)^MAX(0,$C511-$AC$489),IF(DATE($C511,11,15)&gt;=$V$489,$Y$489*(1+($U$489)/100)^MAX(0,$C511-$AB$489),0)))))</f>
      </c>
      <c r="P511" s="43">
        <f>IF($S$489=0,0,IF(OR(DATE($C511,12,15)&lt;$S$489,AND($T$489&gt;0,DATE($C511,12,15)&gt;$T$489)),0,IF(DATE($C511,12,15)&gt;=$X$489,$AA$489*(1+($U$489)/100)^MAX(0,$C511-$AD$489),IF(DATE($C511,12,15)&gt;=$W$489,$Z$489*(1+($U$489)/100)^MAX(0,$C511-$AC$489),IF(DATE($C511,12,15)&gt;=$V$489,$Y$489*(1+($U$489)/100)^MAX(0,$C511-$AB$489),0)))))</f>
      </c>
      <c r="Q511" s="43">
        <f>SUM($E511:$P511)</f>
      </c>
    </row>
    <row r="512">
      <c r="A512"/>
      <c r="B512">
        <v>16</v>
      </c>
      <c r="C512" s="43">
        <f>Jahr+23</f>
      </c>
      <c r="D512" s="43">
        <f>INDEX(MvObj,16)</f>
      </c>
      <c r="E512" s="43">
        <f>IF($S$489=0,0,IF(OR(DATE($C512,1,15)&lt;$S$489,AND($T$489&gt;0,DATE($C512,1,15)&gt;$T$489)),0,IF(DATE($C512,1,15)&gt;=$X$489,$AA$489*(1+($U$489)/100)^MAX(0,$C512-$AD$489),IF(DATE($C512,1,15)&gt;=$W$489,$Z$489*(1+($U$489)/100)^MAX(0,$C512-$AC$489),IF(DATE($C512,1,15)&gt;=$V$489,$Y$489*(1+($U$489)/100)^MAX(0,$C512-$AB$489),0)))))</f>
      </c>
      <c r="F512" s="43">
        <f>IF($S$489=0,0,IF(OR(DATE($C512,2,15)&lt;$S$489,AND($T$489&gt;0,DATE($C512,2,15)&gt;$T$489)),0,IF(DATE($C512,2,15)&gt;=$X$489,$AA$489*(1+($U$489)/100)^MAX(0,$C512-$AD$489),IF(DATE($C512,2,15)&gt;=$W$489,$Z$489*(1+($U$489)/100)^MAX(0,$C512-$AC$489),IF(DATE($C512,2,15)&gt;=$V$489,$Y$489*(1+($U$489)/100)^MAX(0,$C512-$AB$489),0)))))</f>
      </c>
      <c r="G512" s="43">
        <f>IF($S$489=0,0,IF(OR(DATE($C512,3,15)&lt;$S$489,AND($T$489&gt;0,DATE($C512,3,15)&gt;$T$489)),0,IF(DATE($C512,3,15)&gt;=$X$489,$AA$489*(1+($U$489)/100)^MAX(0,$C512-$AD$489),IF(DATE($C512,3,15)&gt;=$W$489,$Z$489*(1+($U$489)/100)^MAX(0,$C512-$AC$489),IF(DATE($C512,3,15)&gt;=$V$489,$Y$489*(1+($U$489)/100)^MAX(0,$C512-$AB$489),0)))))</f>
      </c>
      <c r="H512" s="43">
        <f>IF($S$489=0,0,IF(OR(DATE($C512,4,15)&lt;$S$489,AND($T$489&gt;0,DATE($C512,4,15)&gt;$T$489)),0,IF(DATE($C512,4,15)&gt;=$X$489,$AA$489*(1+($U$489)/100)^MAX(0,$C512-$AD$489),IF(DATE($C512,4,15)&gt;=$W$489,$Z$489*(1+($U$489)/100)^MAX(0,$C512-$AC$489),IF(DATE($C512,4,15)&gt;=$V$489,$Y$489*(1+($U$489)/100)^MAX(0,$C512-$AB$489),0)))))</f>
      </c>
      <c r="I512" s="43">
        <f>IF($S$489=0,0,IF(OR(DATE($C512,5,15)&lt;$S$489,AND($T$489&gt;0,DATE($C512,5,15)&gt;$T$489)),0,IF(DATE($C512,5,15)&gt;=$X$489,$AA$489*(1+($U$489)/100)^MAX(0,$C512-$AD$489),IF(DATE($C512,5,15)&gt;=$W$489,$Z$489*(1+($U$489)/100)^MAX(0,$C512-$AC$489),IF(DATE($C512,5,15)&gt;=$V$489,$Y$489*(1+($U$489)/100)^MAX(0,$C512-$AB$489),0)))))</f>
      </c>
      <c r="J512" s="43">
        <f>IF($S$489=0,0,IF(OR(DATE($C512,6,15)&lt;$S$489,AND($T$489&gt;0,DATE($C512,6,15)&gt;$T$489)),0,IF(DATE($C512,6,15)&gt;=$X$489,$AA$489*(1+($U$489)/100)^MAX(0,$C512-$AD$489),IF(DATE($C512,6,15)&gt;=$W$489,$Z$489*(1+($U$489)/100)^MAX(0,$C512-$AC$489),IF(DATE($C512,6,15)&gt;=$V$489,$Y$489*(1+($U$489)/100)^MAX(0,$C512-$AB$489),0)))))</f>
      </c>
      <c r="K512" s="43">
        <f>IF($S$489=0,0,IF(OR(DATE($C512,7,15)&lt;$S$489,AND($T$489&gt;0,DATE($C512,7,15)&gt;$T$489)),0,IF(DATE($C512,7,15)&gt;=$X$489,$AA$489*(1+($U$489)/100)^MAX(0,$C512-$AD$489),IF(DATE($C512,7,15)&gt;=$W$489,$Z$489*(1+($U$489)/100)^MAX(0,$C512-$AC$489),IF(DATE($C512,7,15)&gt;=$V$489,$Y$489*(1+($U$489)/100)^MAX(0,$C512-$AB$489),0)))))</f>
      </c>
      <c r="L512" s="43">
        <f>IF($S$489=0,0,IF(OR(DATE($C512,8,15)&lt;$S$489,AND($T$489&gt;0,DATE($C512,8,15)&gt;$T$489)),0,IF(DATE($C512,8,15)&gt;=$X$489,$AA$489*(1+($U$489)/100)^MAX(0,$C512-$AD$489),IF(DATE($C512,8,15)&gt;=$W$489,$Z$489*(1+($U$489)/100)^MAX(0,$C512-$AC$489),IF(DATE($C512,8,15)&gt;=$V$489,$Y$489*(1+($U$489)/100)^MAX(0,$C512-$AB$489),0)))))</f>
      </c>
      <c r="M512" s="43">
        <f>IF($S$489=0,0,IF(OR(DATE($C512,9,15)&lt;$S$489,AND($T$489&gt;0,DATE($C512,9,15)&gt;$T$489)),0,IF(DATE($C512,9,15)&gt;=$X$489,$AA$489*(1+($U$489)/100)^MAX(0,$C512-$AD$489),IF(DATE($C512,9,15)&gt;=$W$489,$Z$489*(1+($U$489)/100)^MAX(0,$C512-$AC$489),IF(DATE($C512,9,15)&gt;=$V$489,$Y$489*(1+($U$489)/100)^MAX(0,$C512-$AB$489),0)))))</f>
      </c>
      <c r="N512" s="43">
        <f>IF($S$489=0,0,IF(OR(DATE($C512,10,15)&lt;$S$489,AND($T$489&gt;0,DATE($C512,10,15)&gt;$T$489)),0,IF(DATE($C512,10,15)&gt;=$X$489,$AA$489*(1+($U$489)/100)^MAX(0,$C512-$AD$489),IF(DATE($C512,10,15)&gt;=$W$489,$Z$489*(1+($U$489)/100)^MAX(0,$C512-$AC$489),IF(DATE($C512,10,15)&gt;=$V$489,$Y$489*(1+($U$489)/100)^MAX(0,$C512-$AB$489),0)))))</f>
      </c>
      <c r="O512" s="43">
        <f>IF($S$489=0,0,IF(OR(DATE($C512,11,15)&lt;$S$489,AND($T$489&gt;0,DATE($C512,11,15)&gt;$T$489)),0,IF(DATE($C512,11,15)&gt;=$X$489,$AA$489*(1+($U$489)/100)^MAX(0,$C512-$AD$489),IF(DATE($C512,11,15)&gt;=$W$489,$Z$489*(1+($U$489)/100)^MAX(0,$C512-$AC$489),IF(DATE($C512,11,15)&gt;=$V$489,$Y$489*(1+($U$489)/100)^MAX(0,$C512-$AB$489),0)))))</f>
      </c>
      <c r="P512" s="43">
        <f>IF($S$489=0,0,IF(OR(DATE($C512,12,15)&lt;$S$489,AND($T$489&gt;0,DATE($C512,12,15)&gt;$T$489)),0,IF(DATE($C512,12,15)&gt;=$X$489,$AA$489*(1+($U$489)/100)^MAX(0,$C512-$AD$489),IF(DATE($C512,12,15)&gt;=$W$489,$Z$489*(1+($U$489)/100)^MAX(0,$C512-$AC$489),IF(DATE($C512,12,15)&gt;=$V$489,$Y$489*(1+($U$489)/100)^MAX(0,$C512-$AB$489),0)))))</f>
      </c>
      <c r="Q512" s="43">
        <f>SUM($E512:$P512)</f>
      </c>
    </row>
    <row r="513">
      <c r="A513"/>
      <c r="B513">
        <v>16</v>
      </c>
      <c r="C513" s="43">
        <f>Jahr+24</f>
      </c>
      <c r="D513" s="43">
        <f>INDEX(MvObj,16)</f>
      </c>
      <c r="E513" s="43">
        <f>IF($S$489=0,0,IF(OR(DATE($C513,1,15)&lt;$S$489,AND($T$489&gt;0,DATE($C513,1,15)&gt;$T$489)),0,IF(DATE($C513,1,15)&gt;=$X$489,$AA$489*(1+($U$489)/100)^MAX(0,$C513-$AD$489),IF(DATE($C513,1,15)&gt;=$W$489,$Z$489*(1+($U$489)/100)^MAX(0,$C513-$AC$489),IF(DATE($C513,1,15)&gt;=$V$489,$Y$489*(1+($U$489)/100)^MAX(0,$C513-$AB$489),0)))))</f>
      </c>
      <c r="F513" s="43">
        <f>IF($S$489=0,0,IF(OR(DATE($C513,2,15)&lt;$S$489,AND($T$489&gt;0,DATE($C513,2,15)&gt;$T$489)),0,IF(DATE($C513,2,15)&gt;=$X$489,$AA$489*(1+($U$489)/100)^MAX(0,$C513-$AD$489),IF(DATE($C513,2,15)&gt;=$W$489,$Z$489*(1+($U$489)/100)^MAX(0,$C513-$AC$489),IF(DATE($C513,2,15)&gt;=$V$489,$Y$489*(1+($U$489)/100)^MAX(0,$C513-$AB$489),0)))))</f>
      </c>
      <c r="G513" s="43">
        <f>IF($S$489=0,0,IF(OR(DATE($C513,3,15)&lt;$S$489,AND($T$489&gt;0,DATE($C513,3,15)&gt;$T$489)),0,IF(DATE($C513,3,15)&gt;=$X$489,$AA$489*(1+($U$489)/100)^MAX(0,$C513-$AD$489),IF(DATE($C513,3,15)&gt;=$W$489,$Z$489*(1+($U$489)/100)^MAX(0,$C513-$AC$489),IF(DATE($C513,3,15)&gt;=$V$489,$Y$489*(1+($U$489)/100)^MAX(0,$C513-$AB$489),0)))))</f>
      </c>
      <c r="H513" s="43">
        <f>IF($S$489=0,0,IF(OR(DATE($C513,4,15)&lt;$S$489,AND($T$489&gt;0,DATE($C513,4,15)&gt;$T$489)),0,IF(DATE($C513,4,15)&gt;=$X$489,$AA$489*(1+($U$489)/100)^MAX(0,$C513-$AD$489),IF(DATE($C513,4,15)&gt;=$W$489,$Z$489*(1+($U$489)/100)^MAX(0,$C513-$AC$489),IF(DATE($C513,4,15)&gt;=$V$489,$Y$489*(1+($U$489)/100)^MAX(0,$C513-$AB$489),0)))))</f>
      </c>
      <c r="I513" s="43">
        <f>IF($S$489=0,0,IF(OR(DATE($C513,5,15)&lt;$S$489,AND($T$489&gt;0,DATE($C513,5,15)&gt;$T$489)),0,IF(DATE($C513,5,15)&gt;=$X$489,$AA$489*(1+($U$489)/100)^MAX(0,$C513-$AD$489),IF(DATE($C513,5,15)&gt;=$W$489,$Z$489*(1+($U$489)/100)^MAX(0,$C513-$AC$489),IF(DATE($C513,5,15)&gt;=$V$489,$Y$489*(1+($U$489)/100)^MAX(0,$C513-$AB$489),0)))))</f>
      </c>
      <c r="J513" s="43">
        <f>IF($S$489=0,0,IF(OR(DATE($C513,6,15)&lt;$S$489,AND($T$489&gt;0,DATE($C513,6,15)&gt;$T$489)),0,IF(DATE($C513,6,15)&gt;=$X$489,$AA$489*(1+($U$489)/100)^MAX(0,$C513-$AD$489),IF(DATE($C513,6,15)&gt;=$W$489,$Z$489*(1+($U$489)/100)^MAX(0,$C513-$AC$489),IF(DATE($C513,6,15)&gt;=$V$489,$Y$489*(1+($U$489)/100)^MAX(0,$C513-$AB$489),0)))))</f>
      </c>
      <c r="K513" s="43">
        <f>IF($S$489=0,0,IF(OR(DATE($C513,7,15)&lt;$S$489,AND($T$489&gt;0,DATE($C513,7,15)&gt;$T$489)),0,IF(DATE($C513,7,15)&gt;=$X$489,$AA$489*(1+($U$489)/100)^MAX(0,$C513-$AD$489),IF(DATE($C513,7,15)&gt;=$W$489,$Z$489*(1+($U$489)/100)^MAX(0,$C513-$AC$489),IF(DATE($C513,7,15)&gt;=$V$489,$Y$489*(1+($U$489)/100)^MAX(0,$C513-$AB$489),0)))))</f>
      </c>
      <c r="L513" s="43">
        <f>IF($S$489=0,0,IF(OR(DATE($C513,8,15)&lt;$S$489,AND($T$489&gt;0,DATE($C513,8,15)&gt;$T$489)),0,IF(DATE($C513,8,15)&gt;=$X$489,$AA$489*(1+($U$489)/100)^MAX(0,$C513-$AD$489),IF(DATE($C513,8,15)&gt;=$W$489,$Z$489*(1+($U$489)/100)^MAX(0,$C513-$AC$489),IF(DATE($C513,8,15)&gt;=$V$489,$Y$489*(1+($U$489)/100)^MAX(0,$C513-$AB$489),0)))))</f>
      </c>
      <c r="M513" s="43">
        <f>IF($S$489=0,0,IF(OR(DATE($C513,9,15)&lt;$S$489,AND($T$489&gt;0,DATE($C513,9,15)&gt;$T$489)),0,IF(DATE($C513,9,15)&gt;=$X$489,$AA$489*(1+($U$489)/100)^MAX(0,$C513-$AD$489),IF(DATE($C513,9,15)&gt;=$W$489,$Z$489*(1+($U$489)/100)^MAX(0,$C513-$AC$489),IF(DATE($C513,9,15)&gt;=$V$489,$Y$489*(1+($U$489)/100)^MAX(0,$C513-$AB$489),0)))))</f>
      </c>
      <c r="N513" s="43">
        <f>IF($S$489=0,0,IF(OR(DATE($C513,10,15)&lt;$S$489,AND($T$489&gt;0,DATE($C513,10,15)&gt;$T$489)),0,IF(DATE($C513,10,15)&gt;=$X$489,$AA$489*(1+($U$489)/100)^MAX(0,$C513-$AD$489),IF(DATE($C513,10,15)&gt;=$W$489,$Z$489*(1+($U$489)/100)^MAX(0,$C513-$AC$489),IF(DATE($C513,10,15)&gt;=$V$489,$Y$489*(1+($U$489)/100)^MAX(0,$C513-$AB$489),0)))))</f>
      </c>
      <c r="O513" s="43">
        <f>IF($S$489=0,0,IF(OR(DATE($C513,11,15)&lt;$S$489,AND($T$489&gt;0,DATE($C513,11,15)&gt;$T$489)),0,IF(DATE($C513,11,15)&gt;=$X$489,$AA$489*(1+($U$489)/100)^MAX(0,$C513-$AD$489),IF(DATE($C513,11,15)&gt;=$W$489,$Z$489*(1+($U$489)/100)^MAX(0,$C513-$AC$489),IF(DATE($C513,11,15)&gt;=$V$489,$Y$489*(1+($U$489)/100)^MAX(0,$C513-$AB$489),0)))))</f>
      </c>
      <c r="P513" s="43">
        <f>IF($S$489=0,0,IF(OR(DATE($C513,12,15)&lt;$S$489,AND($T$489&gt;0,DATE($C513,12,15)&gt;$T$489)),0,IF(DATE($C513,12,15)&gt;=$X$489,$AA$489*(1+($U$489)/100)^MAX(0,$C513-$AD$489),IF(DATE($C513,12,15)&gt;=$W$489,$Z$489*(1+($U$489)/100)^MAX(0,$C513-$AC$489),IF(DATE($C513,12,15)&gt;=$V$489,$Y$489*(1+($U$489)/100)^MAX(0,$C513-$AB$489),0)))))</f>
      </c>
      <c r="Q513" s="43">
        <f>SUM($E513:$P513)</f>
      </c>
    </row>
    <row r="514">
      <c r="A514"/>
      <c r="B514">
        <v>16</v>
      </c>
      <c r="C514" s="43">
        <f>Jahr+25</f>
      </c>
      <c r="D514" s="43">
        <f>INDEX(MvObj,16)</f>
      </c>
      <c r="E514" s="43">
        <f>IF($S$489=0,0,IF(OR(DATE($C514,1,15)&lt;$S$489,AND($T$489&gt;0,DATE($C514,1,15)&gt;$T$489)),0,IF(DATE($C514,1,15)&gt;=$X$489,$AA$489*(1+($U$489)/100)^MAX(0,$C514-$AD$489),IF(DATE($C514,1,15)&gt;=$W$489,$Z$489*(1+($U$489)/100)^MAX(0,$C514-$AC$489),IF(DATE($C514,1,15)&gt;=$V$489,$Y$489*(1+($U$489)/100)^MAX(0,$C514-$AB$489),0)))))</f>
      </c>
      <c r="F514" s="43">
        <f>IF($S$489=0,0,IF(OR(DATE($C514,2,15)&lt;$S$489,AND($T$489&gt;0,DATE($C514,2,15)&gt;$T$489)),0,IF(DATE($C514,2,15)&gt;=$X$489,$AA$489*(1+($U$489)/100)^MAX(0,$C514-$AD$489),IF(DATE($C514,2,15)&gt;=$W$489,$Z$489*(1+($U$489)/100)^MAX(0,$C514-$AC$489),IF(DATE($C514,2,15)&gt;=$V$489,$Y$489*(1+($U$489)/100)^MAX(0,$C514-$AB$489),0)))))</f>
      </c>
      <c r="G514" s="43">
        <f>IF($S$489=0,0,IF(OR(DATE($C514,3,15)&lt;$S$489,AND($T$489&gt;0,DATE($C514,3,15)&gt;$T$489)),0,IF(DATE($C514,3,15)&gt;=$X$489,$AA$489*(1+($U$489)/100)^MAX(0,$C514-$AD$489),IF(DATE($C514,3,15)&gt;=$W$489,$Z$489*(1+($U$489)/100)^MAX(0,$C514-$AC$489),IF(DATE($C514,3,15)&gt;=$V$489,$Y$489*(1+($U$489)/100)^MAX(0,$C514-$AB$489),0)))))</f>
      </c>
      <c r="H514" s="43">
        <f>IF($S$489=0,0,IF(OR(DATE($C514,4,15)&lt;$S$489,AND($T$489&gt;0,DATE($C514,4,15)&gt;$T$489)),0,IF(DATE($C514,4,15)&gt;=$X$489,$AA$489*(1+($U$489)/100)^MAX(0,$C514-$AD$489),IF(DATE($C514,4,15)&gt;=$W$489,$Z$489*(1+($U$489)/100)^MAX(0,$C514-$AC$489),IF(DATE($C514,4,15)&gt;=$V$489,$Y$489*(1+($U$489)/100)^MAX(0,$C514-$AB$489),0)))))</f>
      </c>
      <c r="I514" s="43">
        <f>IF($S$489=0,0,IF(OR(DATE($C514,5,15)&lt;$S$489,AND($T$489&gt;0,DATE($C514,5,15)&gt;$T$489)),0,IF(DATE($C514,5,15)&gt;=$X$489,$AA$489*(1+($U$489)/100)^MAX(0,$C514-$AD$489),IF(DATE($C514,5,15)&gt;=$W$489,$Z$489*(1+($U$489)/100)^MAX(0,$C514-$AC$489),IF(DATE($C514,5,15)&gt;=$V$489,$Y$489*(1+($U$489)/100)^MAX(0,$C514-$AB$489),0)))))</f>
      </c>
      <c r="J514" s="43">
        <f>IF($S$489=0,0,IF(OR(DATE($C514,6,15)&lt;$S$489,AND($T$489&gt;0,DATE($C514,6,15)&gt;$T$489)),0,IF(DATE($C514,6,15)&gt;=$X$489,$AA$489*(1+($U$489)/100)^MAX(0,$C514-$AD$489),IF(DATE($C514,6,15)&gt;=$W$489,$Z$489*(1+($U$489)/100)^MAX(0,$C514-$AC$489),IF(DATE($C514,6,15)&gt;=$V$489,$Y$489*(1+($U$489)/100)^MAX(0,$C514-$AB$489),0)))))</f>
      </c>
      <c r="K514" s="43">
        <f>IF($S$489=0,0,IF(OR(DATE($C514,7,15)&lt;$S$489,AND($T$489&gt;0,DATE($C514,7,15)&gt;$T$489)),0,IF(DATE($C514,7,15)&gt;=$X$489,$AA$489*(1+($U$489)/100)^MAX(0,$C514-$AD$489),IF(DATE($C514,7,15)&gt;=$W$489,$Z$489*(1+($U$489)/100)^MAX(0,$C514-$AC$489),IF(DATE($C514,7,15)&gt;=$V$489,$Y$489*(1+($U$489)/100)^MAX(0,$C514-$AB$489),0)))))</f>
      </c>
      <c r="L514" s="43">
        <f>IF($S$489=0,0,IF(OR(DATE($C514,8,15)&lt;$S$489,AND($T$489&gt;0,DATE($C514,8,15)&gt;$T$489)),0,IF(DATE($C514,8,15)&gt;=$X$489,$AA$489*(1+($U$489)/100)^MAX(0,$C514-$AD$489),IF(DATE($C514,8,15)&gt;=$W$489,$Z$489*(1+($U$489)/100)^MAX(0,$C514-$AC$489),IF(DATE($C514,8,15)&gt;=$V$489,$Y$489*(1+($U$489)/100)^MAX(0,$C514-$AB$489),0)))))</f>
      </c>
      <c r="M514" s="43">
        <f>IF($S$489=0,0,IF(OR(DATE($C514,9,15)&lt;$S$489,AND($T$489&gt;0,DATE($C514,9,15)&gt;$T$489)),0,IF(DATE($C514,9,15)&gt;=$X$489,$AA$489*(1+($U$489)/100)^MAX(0,$C514-$AD$489),IF(DATE($C514,9,15)&gt;=$W$489,$Z$489*(1+($U$489)/100)^MAX(0,$C514-$AC$489),IF(DATE($C514,9,15)&gt;=$V$489,$Y$489*(1+($U$489)/100)^MAX(0,$C514-$AB$489),0)))))</f>
      </c>
      <c r="N514" s="43">
        <f>IF($S$489=0,0,IF(OR(DATE($C514,10,15)&lt;$S$489,AND($T$489&gt;0,DATE($C514,10,15)&gt;$T$489)),0,IF(DATE($C514,10,15)&gt;=$X$489,$AA$489*(1+($U$489)/100)^MAX(0,$C514-$AD$489),IF(DATE($C514,10,15)&gt;=$W$489,$Z$489*(1+($U$489)/100)^MAX(0,$C514-$AC$489),IF(DATE($C514,10,15)&gt;=$V$489,$Y$489*(1+($U$489)/100)^MAX(0,$C514-$AB$489),0)))))</f>
      </c>
      <c r="O514" s="43">
        <f>IF($S$489=0,0,IF(OR(DATE($C514,11,15)&lt;$S$489,AND($T$489&gt;0,DATE($C514,11,15)&gt;$T$489)),0,IF(DATE($C514,11,15)&gt;=$X$489,$AA$489*(1+($U$489)/100)^MAX(0,$C514-$AD$489),IF(DATE($C514,11,15)&gt;=$W$489,$Z$489*(1+($U$489)/100)^MAX(0,$C514-$AC$489),IF(DATE($C514,11,15)&gt;=$V$489,$Y$489*(1+($U$489)/100)^MAX(0,$C514-$AB$489),0)))))</f>
      </c>
      <c r="P514" s="43">
        <f>IF($S$489=0,0,IF(OR(DATE($C514,12,15)&lt;$S$489,AND($T$489&gt;0,DATE($C514,12,15)&gt;$T$489)),0,IF(DATE($C514,12,15)&gt;=$X$489,$AA$489*(1+($U$489)/100)^MAX(0,$C514-$AD$489),IF(DATE($C514,12,15)&gt;=$W$489,$Z$489*(1+($U$489)/100)^MAX(0,$C514-$AC$489),IF(DATE($C514,12,15)&gt;=$V$489,$Y$489*(1+($U$489)/100)^MAX(0,$C514-$AB$489),0)))))</f>
      </c>
      <c r="Q514" s="43">
        <f>SUM($E514:$P514)</f>
      </c>
    </row>
    <row r="515">
      <c r="A515"/>
      <c r="B515">
        <v>16</v>
      </c>
      <c r="C515" s="43">
        <f>Jahr+26</f>
      </c>
      <c r="D515" s="43">
        <f>INDEX(MvObj,16)</f>
      </c>
      <c r="E515" s="43">
        <f>IF($S$489=0,0,IF(OR(DATE($C515,1,15)&lt;$S$489,AND($T$489&gt;0,DATE($C515,1,15)&gt;$T$489)),0,IF(DATE($C515,1,15)&gt;=$X$489,$AA$489*(1+($U$489)/100)^MAX(0,$C515-$AD$489),IF(DATE($C515,1,15)&gt;=$W$489,$Z$489*(1+($U$489)/100)^MAX(0,$C515-$AC$489),IF(DATE($C515,1,15)&gt;=$V$489,$Y$489*(1+($U$489)/100)^MAX(0,$C515-$AB$489),0)))))</f>
      </c>
      <c r="F515" s="43">
        <f>IF($S$489=0,0,IF(OR(DATE($C515,2,15)&lt;$S$489,AND($T$489&gt;0,DATE($C515,2,15)&gt;$T$489)),0,IF(DATE($C515,2,15)&gt;=$X$489,$AA$489*(1+($U$489)/100)^MAX(0,$C515-$AD$489),IF(DATE($C515,2,15)&gt;=$W$489,$Z$489*(1+($U$489)/100)^MAX(0,$C515-$AC$489),IF(DATE($C515,2,15)&gt;=$V$489,$Y$489*(1+($U$489)/100)^MAX(0,$C515-$AB$489),0)))))</f>
      </c>
      <c r="G515" s="43">
        <f>IF($S$489=0,0,IF(OR(DATE($C515,3,15)&lt;$S$489,AND($T$489&gt;0,DATE($C515,3,15)&gt;$T$489)),0,IF(DATE($C515,3,15)&gt;=$X$489,$AA$489*(1+($U$489)/100)^MAX(0,$C515-$AD$489),IF(DATE($C515,3,15)&gt;=$W$489,$Z$489*(1+($U$489)/100)^MAX(0,$C515-$AC$489),IF(DATE($C515,3,15)&gt;=$V$489,$Y$489*(1+($U$489)/100)^MAX(0,$C515-$AB$489),0)))))</f>
      </c>
      <c r="H515" s="43">
        <f>IF($S$489=0,0,IF(OR(DATE($C515,4,15)&lt;$S$489,AND($T$489&gt;0,DATE($C515,4,15)&gt;$T$489)),0,IF(DATE($C515,4,15)&gt;=$X$489,$AA$489*(1+($U$489)/100)^MAX(0,$C515-$AD$489),IF(DATE($C515,4,15)&gt;=$W$489,$Z$489*(1+($U$489)/100)^MAX(0,$C515-$AC$489),IF(DATE($C515,4,15)&gt;=$V$489,$Y$489*(1+($U$489)/100)^MAX(0,$C515-$AB$489),0)))))</f>
      </c>
      <c r="I515" s="43">
        <f>IF($S$489=0,0,IF(OR(DATE($C515,5,15)&lt;$S$489,AND($T$489&gt;0,DATE($C515,5,15)&gt;$T$489)),0,IF(DATE($C515,5,15)&gt;=$X$489,$AA$489*(1+($U$489)/100)^MAX(0,$C515-$AD$489),IF(DATE($C515,5,15)&gt;=$W$489,$Z$489*(1+($U$489)/100)^MAX(0,$C515-$AC$489),IF(DATE($C515,5,15)&gt;=$V$489,$Y$489*(1+($U$489)/100)^MAX(0,$C515-$AB$489),0)))))</f>
      </c>
      <c r="J515" s="43">
        <f>IF($S$489=0,0,IF(OR(DATE($C515,6,15)&lt;$S$489,AND($T$489&gt;0,DATE($C515,6,15)&gt;$T$489)),0,IF(DATE($C515,6,15)&gt;=$X$489,$AA$489*(1+($U$489)/100)^MAX(0,$C515-$AD$489),IF(DATE($C515,6,15)&gt;=$W$489,$Z$489*(1+($U$489)/100)^MAX(0,$C515-$AC$489),IF(DATE($C515,6,15)&gt;=$V$489,$Y$489*(1+($U$489)/100)^MAX(0,$C515-$AB$489),0)))))</f>
      </c>
      <c r="K515" s="43">
        <f>IF($S$489=0,0,IF(OR(DATE($C515,7,15)&lt;$S$489,AND($T$489&gt;0,DATE($C515,7,15)&gt;$T$489)),0,IF(DATE($C515,7,15)&gt;=$X$489,$AA$489*(1+($U$489)/100)^MAX(0,$C515-$AD$489),IF(DATE($C515,7,15)&gt;=$W$489,$Z$489*(1+($U$489)/100)^MAX(0,$C515-$AC$489),IF(DATE($C515,7,15)&gt;=$V$489,$Y$489*(1+($U$489)/100)^MAX(0,$C515-$AB$489),0)))))</f>
      </c>
      <c r="L515" s="43">
        <f>IF($S$489=0,0,IF(OR(DATE($C515,8,15)&lt;$S$489,AND($T$489&gt;0,DATE($C515,8,15)&gt;$T$489)),0,IF(DATE($C515,8,15)&gt;=$X$489,$AA$489*(1+($U$489)/100)^MAX(0,$C515-$AD$489),IF(DATE($C515,8,15)&gt;=$W$489,$Z$489*(1+($U$489)/100)^MAX(0,$C515-$AC$489),IF(DATE($C515,8,15)&gt;=$V$489,$Y$489*(1+($U$489)/100)^MAX(0,$C515-$AB$489),0)))))</f>
      </c>
      <c r="M515" s="43">
        <f>IF($S$489=0,0,IF(OR(DATE($C515,9,15)&lt;$S$489,AND($T$489&gt;0,DATE($C515,9,15)&gt;$T$489)),0,IF(DATE($C515,9,15)&gt;=$X$489,$AA$489*(1+($U$489)/100)^MAX(0,$C515-$AD$489),IF(DATE($C515,9,15)&gt;=$W$489,$Z$489*(1+($U$489)/100)^MAX(0,$C515-$AC$489),IF(DATE($C515,9,15)&gt;=$V$489,$Y$489*(1+($U$489)/100)^MAX(0,$C515-$AB$489),0)))))</f>
      </c>
      <c r="N515" s="43">
        <f>IF($S$489=0,0,IF(OR(DATE($C515,10,15)&lt;$S$489,AND($T$489&gt;0,DATE($C515,10,15)&gt;$T$489)),0,IF(DATE($C515,10,15)&gt;=$X$489,$AA$489*(1+($U$489)/100)^MAX(0,$C515-$AD$489),IF(DATE($C515,10,15)&gt;=$W$489,$Z$489*(1+($U$489)/100)^MAX(0,$C515-$AC$489),IF(DATE($C515,10,15)&gt;=$V$489,$Y$489*(1+($U$489)/100)^MAX(0,$C515-$AB$489),0)))))</f>
      </c>
      <c r="O515" s="43">
        <f>IF($S$489=0,0,IF(OR(DATE($C515,11,15)&lt;$S$489,AND($T$489&gt;0,DATE($C515,11,15)&gt;$T$489)),0,IF(DATE($C515,11,15)&gt;=$X$489,$AA$489*(1+($U$489)/100)^MAX(0,$C515-$AD$489),IF(DATE($C515,11,15)&gt;=$W$489,$Z$489*(1+($U$489)/100)^MAX(0,$C515-$AC$489),IF(DATE($C515,11,15)&gt;=$V$489,$Y$489*(1+($U$489)/100)^MAX(0,$C515-$AB$489),0)))))</f>
      </c>
      <c r="P515" s="43">
        <f>IF($S$489=0,0,IF(OR(DATE($C515,12,15)&lt;$S$489,AND($T$489&gt;0,DATE($C515,12,15)&gt;$T$489)),0,IF(DATE($C515,12,15)&gt;=$X$489,$AA$489*(1+($U$489)/100)^MAX(0,$C515-$AD$489),IF(DATE($C515,12,15)&gt;=$W$489,$Z$489*(1+($U$489)/100)^MAX(0,$C515-$AC$489),IF(DATE($C515,12,15)&gt;=$V$489,$Y$489*(1+($U$489)/100)^MAX(0,$C515-$AB$489),0)))))</f>
      </c>
      <c r="Q515" s="43">
        <f>SUM($E515:$P515)</f>
      </c>
    </row>
    <row r="516">
      <c r="A516"/>
      <c r="B516">
        <v>16</v>
      </c>
      <c r="C516" s="43">
        <f>Jahr+27</f>
      </c>
      <c r="D516" s="43">
        <f>INDEX(MvObj,16)</f>
      </c>
      <c r="E516" s="43">
        <f>IF($S$489=0,0,IF(OR(DATE($C516,1,15)&lt;$S$489,AND($T$489&gt;0,DATE($C516,1,15)&gt;$T$489)),0,IF(DATE($C516,1,15)&gt;=$X$489,$AA$489*(1+($U$489)/100)^MAX(0,$C516-$AD$489),IF(DATE($C516,1,15)&gt;=$W$489,$Z$489*(1+($U$489)/100)^MAX(0,$C516-$AC$489),IF(DATE($C516,1,15)&gt;=$V$489,$Y$489*(1+($U$489)/100)^MAX(0,$C516-$AB$489),0)))))</f>
      </c>
      <c r="F516" s="43">
        <f>IF($S$489=0,0,IF(OR(DATE($C516,2,15)&lt;$S$489,AND($T$489&gt;0,DATE($C516,2,15)&gt;$T$489)),0,IF(DATE($C516,2,15)&gt;=$X$489,$AA$489*(1+($U$489)/100)^MAX(0,$C516-$AD$489),IF(DATE($C516,2,15)&gt;=$W$489,$Z$489*(1+($U$489)/100)^MAX(0,$C516-$AC$489),IF(DATE($C516,2,15)&gt;=$V$489,$Y$489*(1+($U$489)/100)^MAX(0,$C516-$AB$489),0)))))</f>
      </c>
      <c r="G516" s="43">
        <f>IF($S$489=0,0,IF(OR(DATE($C516,3,15)&lt;$S$489,AND($T$489&gt;0,DATE($C516,3,15)&gt;$T$489)),0,IF(DATE($C516,3,15)&gt;=$X$489,$AA$489*(1+($U$489)/100)^MAX(0,$C516-$AD$489),IF(DATE($C516,3,15)&gt;=$W$489,$Z$489*(1+($U$489)/100)^MAX(0,$C516-$AC$489),IF(DATE($C516,3,15)&gt;=$V$489,$Y$489*(1+($U$489)/100)^MAX(0,$C516-$AB$489),0)))))</f>
      </c>
      <c r="H516" s="43">
        <f>IF($S$489=0,0,IF(OR(DATE($C516,4,15)&lt;$S$489,AND($T$489&gt;0,DATE($C516,4,15)&gt;$T$489)),0,IF(DATE($C516,4,15)&gt;=$X$489,$AA$489*(1+($U$489)/100)^MAX(0,$C516-$AD$489),IF(DATE($C516,4,15)&gt;=$W$489,$Z$489*(1+($U$489)/100)^MAX(0,$C516-$AC$489),IF(DATE($C516,4,15)&gt;=$V$489,$Y$489*(1+($U$489)/100)^MAX(0,$C516-$AB$489),0)))))</f>
      </c>
      <c r="I516" s="43">
        <f>IF($S$489=0,0,IF(OR(DATE($C516,5,15)&lt;$S$489,AND($T$489&gt;0,DATE($C516,5,15)&gt;$T$489)),0,IF(DATE($C516,5,15)&gt;=$X$489,$AA$489*(1+($U$489)/100)^MAX(0,$C516-$AD$489),IF(DATE($C516,5,15)&gt;=$W$489,$Z$489*(1+($U$489)/100)^MAX(0,$C516-$AC$489),IF(DATE($C516,5,15)&gt;=$V$489,$Y$489*(1+($U$489)/100)^MAX(0,$C516-$AB$489),0)))))</f>
      </c>
      <c r="J516" s="43">
        <f>IF($S$489=0,0,IF(OR(DATE($C516,6,15)&lt;$S$489,AND($T$489&gt;0,DATE($C516,6,15)&gt;$T$489)),0,IF(DATE($C516,6,15)&gt;=$X$489,$AA$489*(1+($U$489)/100)^MAX(0,$C516-$AD$489),IF(DATE($C516,6,15)&gt;=$W$489,$Z$489*(1+($U$489)/100)^MAX(0,$C516-$AC$489),IF(DATE($C516,6,15)&gt;=$V$489,$Y$489*(1+($U$489)/100)^MAX(0,$C516-$AB$489),0)))))</f>
      </c>
      <c r="K516" s="43">
        <f>IF($S$489=0,0,IF(OR(DATE($C516,7,15)&lt;$S$489,AND($T$489&gt;0,DATE($C516,7,15)&gt;$T$489)),0,IF(DATE($C516,7,15)&gt;=$X$489,$AA$489*(1+($U$489)/100)^MAX(0,$C516-$AD$489),IF(DATE($C516,7,15)&gt;=$W$489,$Z$489*(1+($U$489)/100)^MAX(0,$C516-$AC$489),IF(DATE($C516,7,15)&gt;=$V$489,$Y$489*(1+($U$489)/100)^MAX(0,$C516-$AB$489),0)))))</f>
      </c>
      <c r="L516" s="43">
        <f>IF($S$489=0,0,IF(OR(DATE($C516,8,15)&lt;$S$489,AND($T$489&gt;0,DATE($C516,8,15)&gt;$T$489)),0,IF(DATE($C516,8,15)&gt;=$X$489,$AA$489*(1+($U$489)/100)^MAX(0,$C516-$AD$489),IF(DATE($C516,8,15)&gt;=$W$489,$Z$489*(1+($U$489)/100)^MAX(0,$C516-$AC$489),IF(DATE($C516,8,15)&gt;=$V$489,$Y$489*(1+($U$489)/100)^MAX(0,$C516-$AB$489),0)))))</f>
      </c>
      <c r="M516" s="43">
        <f>IF($S$489=0,0,IF(OR(DATE($C516,9,15)&lt;$S$489,AND($T$489&gt;0,DATE($C516,9,15)&gt;$T$489)),0,IF(DATE($C516,9,15)&gt;=$X$489,$AA$489*(1+($U$489)/100)^MAX(0,$C516-$AD$489),IF(DATE($C516,9,15)&gt;=$W$489,$Z$489*(1+($U$489)/100)^MAX(0,$C516-$AC$489),IF(DATE($C516,9,15)&gt;=$V$489,$Y$489*(1+($U$489)/100)^MAX(0,$C516-$AB$489),0)))))</f>
      </c>
      <c r="N516" s="43">
        <f>IF($S$489=0,0,IF(OR(DATE($C516,10,15)&lt;$S$489,AND($T$489&gt;0,DATE($C516,10,15)&gt;$T$489)),0,IF(DATE($C516,10,15)&gt;=$X$489,$AA$489*(1+($U$489)/100)^MAX(0,$C516-$AD$489),IF(DATE($C516,10,15)&gt;=$W$489,$Z$489*(1+($U$489)/100)^MAX(0,$C516-$AC$489),IF(DATE($C516,10,15)&gt;=$V$489,$Y$489*(1+($U$489)/100)^MAX(0,$C516-$AB$489),0)))))</f>
      </c>
      <c r="O516" s="43">
        <f>IF($S$489=0,0,IF(OR(DATE($C516,11,15)&lt;$S$489,AND($T$489&gt;0,DATE($C516,11,15)&gt;$T$489)),0,IF(DATE($C516,11,15)&gt;=$X$489,$AA$489*(1+($U$489)/100)^MAX(0,$C516-$AD$489),IF(DATE($C516,11,15)&gt;=$W$489,$Z$489*(1+($U$489)/100)^MAX(0,$C516-$AC$489),IF(DATE($C516,11,15)&gt;=$V$489,$Y$489*(1+($U$489)/100)^MAX(0,$C516-$AB$489),0)))))</f>
      </c>
      <c r="P516" s="43">
        <f>IF($S$489=0,0,IF(OR(DATE($C516,12,15)&lt;$S$489,AND($T$489&gt;0,DATE($C516,12,15)&gt;$T$489)),0,IF(DATE($C516,12,15)&gt;=$X$489,$AA$489*(1+($U$489)/100)^MAX(0,$C516-$AD$489),IF(DATE($C516,12,15)&gt;=$W$489,$Z$489*(1+($U$489)/100)^MAX(0,$C516-$AC$489),IF(DATE($C516,12,15)&gt;=$V$489,$Y$489*(1+($U$489)/100)^MAX(0,$C516-$AB$489),0)))))</f>
      </c>
      <c r="Q516" s="43">
        <f>SUM($E516:$P516)</f>
      </c>
    </row>
    <row r="517">
      <c r="A517"/>
      <c r="B517">
        <v>16</v>
      </c>
      <c r="C517" s="43">
        <f>Jahr+28</f>
      </c>
      <c r="D517" s="43">
        <f>INDEX(MvObj,16)</f>
      </c>
      <c r="E517" s="43">
        <f>IF($S$489=0,0,IF(OR(DATE($C517,1,15)&lt;$S$489,AND($T$489&gt;0,DATE($C517,1,15)&gt;$T$489)),0,IF(DATE($C517,1,15)&gt;=$X$489,$AA$489*(1+($U$489)/100)^MAX(0,$C517-$AD$489),IF(DATE($C517,1,15)&gt;=$W$489,$Z$489*(1+($U$489)/100)^MAX(0,$C517-$AC$489),IF(DATE($C517,1,15)&gt;=$V$489,$Y$489*(1+($U$489)/100)^MAX(0,$C517-$AB$489),0)))))</f>
      </c>
      <c r="F517" s="43">
        <f>IF($S$489=0,0,IF(OR(DATE($C517,2,15)&lt;$S$489,AND($T$489&gt;0,DATE($C517,2,15)&gt;$T$489)),0,IF(DATE($C517,2,15)&gt;=$X$489,$AA$489*(1+($U$489)/100)^MAX(0,$C517-$AD$489),IF(DATE($C517,2,15)&gt;=$W$489,$Z$489*(1+($U$489)/100)^MAX(0,$C517-$AC$489),IF(DATE($C517,2,15)&gt;=$V$489,$Y$489*(1+($U$489)/100)^MAX(0,$C517-$AB$489),0)))))</f>
      </c>
      <c r="G517" s="43">
        <f>IF($S$489=0,0,IF(OR(DATE($C517,3,15)&lt;$S$489,AND($T$489&gt;0,DATE($C517,3,15)&gt;$T$489)),0,IF(DATE($C517,3,15)&gt;=$X$489,$AA$489*(1+($U$489)/100)^MAX(0,$C517-$AD$489),IF(DATE($C517,3,15)&gt;=$W$489,$Z$489*(1+($U$489)/100)^MAX(0,$C517-$AC$489),IF(DATE($C517,3,15)&gt;=$V$489,$Y$489*(1+($U$489)/100)^MAX(0,$C517-$AB$489),0)))))</f>
      </c>
      <c r="H517" s="43">
        <f>IF($S$489=0,0,IF(OR(DATE($C517,4,15)&lt;$S$489,AND($T$489&gt;0,DATE($C517,4,15)&gt;$T$489)),0,IF(DATE($C517,4,15)&gt;=$X$489,$AA$489*(1+($U$489)/100)^MAX(0,$C517-$AD$489),IF(DATE($C517,4,15)&gt;=$W$489,$Z$489*(1+($U$489)/100)^MAX(0,$C517-$AC$489),IF(DATE($C517,4,15)&gt;=$V$489,$Y$489*(1+($U$489)/100)^MAX(0,$C517-$AB$489),0)))))</f>
      </c>
      <c r="I517" s="43">
        <f>IF($S$489=0,0,IF(OR(DATE($C517,5,15)&lt;$S$489,AND($T$489&gt;0,DATE($C517,5,15)&gt;$T$489)),0,IF(DATE($C517,5,15)&gt;=$X$489,$AA$489*(1+($U$489)/100)^MAX(0,$C517-$AD$489),IF(DATE($C517,5,15)&gt;=$W$489,$Z$489*(1+($U$489)/100)^MAX(0,$C517-$AC$489),IF(DATE($C517,5,15)&gt;=$V$489,$Y$489*(1+($U$489)/100)^MAX(0,$C517-$AB$489),0)))))</f>
      </c>
      <c r="J517" s="43">
        <f>IF($S$489=0,0,IF(OR(DATE($C517,6,15)&lt;$S$489,AND($T$489&gt;0,DATE($C517,6,15)&gt;$T$489)),0,IF(DATE($C517,6,15)&gt;=$X$489,$AA$489*(1+($U$489)/100)^MAX(0,$C517-$AD$489),IF(DATE($C517,6,15)&gt;=$W$489,$Z$489*(1+($U$489)/100)^MAX(0,$C517-$AC$489),IF(DATE($C517,6,15)&gt;=$V$489,$Y$489*(1+($U$489)/100)^MAX(0,$C517-$AB$489),0)))))</f>
      </c>
      <c r="K517" s="43">
        <f>IF($S$489=0,0,IF(OR(DATE($C517,7,15)&lt;$S$489,AND($T$489&gt;0,DATE($C517,7,15)&gt;$T$489)),0,IF(DATE($C517,7,15)&gt;=$X$489,$AA$489*(1+($U$489)/100)^MAX(0,$C517-$AD$489),IF(DATE($C517,7,15)&gt;=$W$489,$Z$489*(1+($U$489)/100)^MAX(0,$C517-$AC$489),IF(DATE($C517,7,15)&gt;=$V$489,$Y$489*(1+($U$489)/100)^MAX(0,$C517-$AB$489),0)))))</f>
      </c>
      <c r="L517" s="43">
        <f>IF($S$489=0,0,IF(OR(DATE($C517,8,15)&lt;$S$489,AND($T$489&gt;0,DATE($C517,8,15)&gt;$T$489)),0,IF(DATE($C517,8,15)&gt;=$X$489,$AA$489*(1+($U$489)/100)^MAX(0,$C517-$AD$489),IF(DATE($C517,8,15)&gt;=$W$489,$Z$489*(1+($U$489)/100)^MAX(0,$C517-$AC$489),IF(DATE($C517,8,15)&gt;=$V$489,$Y$489*(1+($U$489)/100)^MAX(0,$C517-$AB$489),0)))))</f>
      </c>
      <c r="M517" s="43">
        <f>IF($S$489=0,0,IF(OR(DATE($C517,9,15)&lt;$S$489,AND($T$489&gt;0,DATE($C517,9,15)&gt;$T$489)),0,IF(DATE($C517,9,15)&gt;=$X$489,$AA$489*(1+($U$489)/100)^MAX(0,$C517-$AD$489),IF(DATE($C517,9,15)&gt;=$W$489,$Z$489*(1+($U$489)/100)^MAX(0,$C517-$AC$489),IF(DATE($C517,9,15)&gt;=$V$489,$Y$489*(1+($U$489)/100)^MAX(0,$C517-$AB$489),0)))))</f>
      </c>
      <c r="N517" s="43">
        <f>IF($S$489=0,0,IF(OR(DATE($C517,10,15)&lt;$S$489,AND($T$489&gt;0,DATE($C517,10,15)&gt;$T$489)),0,IF(DATE($C517,10,15)&gt;=$X$489,$AA$489*(1+($U$489)/100)^MAX(0,$C517-$AD$489),IF(DATE($C517,10,15)&gt;=$W$489,$Z$489*(1+($U$489)/100)^MAX(0,$C517-$AC$489),IF(DATE($C517,10,15)&gt;=$V$489,$Y$489*(1+($U$489)/100)^MAX(0,$C517-$AB$489),0)))))</f>
      </c>
      <c r="O517" s="43">
        <f>IF($S$489=0,0,IF(OR(DATE($C517,11,15)&lt;$S$489,AND($T$489&gt;0,DATE($C517,11,15)&gt;$T$489)),0,IF(DATE($C517,11,15)&gt;=$X$489,$AA$489*(1+($U$489)/100)^MAX(0,$C517-$AD$489),IF(DATE($C517,11,15)&gt;=$W$489,$Z$489*(1+($U$489)/100)^MAX(0,$C517-$AC$489),IF(DATE($C517,11,15)&gt;=$V$489,$Y$489*(1+($U$489)/100)^MAX(0,$C517-$AB$489),0)))))</f>
      </c>
      <c r="P517" s="43">
        <f>IF($S$489=0,0,IF(OR(DATE($C517,12,15)&lt;$S$489,AND($T$489&gt;0,DATE($C517,12,15)&gt;$T$489)),0,IF(DATE($C517,12,15)&gt;=$X$489,$AA$489*(1+($U$489)/100)^MAX(0,$C517-$AD$489),IF(DATE($C517,12,15)&gt;=$W$489,$Z$489*(1+($U$489)/100)^MAX(0,$C517-$AC$489),IF(DATE($C517,12,15)&gt;=$V$489,$Y$489*(1+($U$489)/100)^MAX(0,$C517-$AB$489),0)))))</f>
      </c>
      <c r="Q517" s="43">
        <f>SUM($E517:$P517)</f>
      </c>
    </row>
    <row r="518">
      <c r="A518"/>
      <c r="B518">
        <v>16</v>
      </c>
      <c r="C518" s="43">
        <f>Jahr+29</f>
      </c>
      <c r="D518" s="43">
        <f>INDEX(MvObj,16)</f>
      </c>
      <c r="E518" s="43">
        <f>IF($S$489=0,0,IF(OR(DATE($C518,1,15)&lt;$S$489,AND($T$489&gt;0,DATE($C518,1,15)&gt;$T$489)),0,IF(DATE($C518,1,15)&gt;=$X$489,$AA$489*(1+($U$489)/100)^MAX(0,$C518-$AD$489),IF(DATE($C518,1,15)&gt;=$W$489,$Z$489*(1+($U$489)/100)^MAX(0,$C518-$AC$489),IF(DATE($C518,1,15)&gt;=$V$489,$Y$489*(1+($U$489)/100)^MAX(0,$C518-$AB$489),0)))))</f>
      </c>
      <c r="F518" s="43">
        <f>IF($S$489=0,0,IF(OR(DATE($C518,2,15)&lt;$S$489,AND($T$489&gt;0,DATE($C518,2,15)&gt;$T$489)),0,IF(DATE($C518,2,15)&gt;=$X$489,$AA$489*(1+($U$489)/100)^MAX(0,$C518-$AD$489),IF(DATE($C518,2,15)&gt;=$W$489,$Z$489*(1+($U$489)/100)^MAX(0,$C518-$AC$489),IF(DATE($C518,2,15)&gt;=$V$489,$Y$489*(1+($U$489)/100)^MAX(0,$C518-$AB$489),0)))))</f>
      </c>
      <c r="G518" s="43">
        <f>IF($S$489=0,0,IF(OR(DATE($C518,3,15)&lt;$S$489,AND($T$489&gt;0,DATE($C518,3,15)&gt;$T$489)),0,IF(DATE($C518,3,15)&gt;=$X$489,$AA$489*(1+($U$489)/100)^MAX(0,$C518-$AD$489),IF(DATE($C518,3,15)&gt;=$W$489,$Z$489*(1+($U$489)/100)^MAX(0,$C518-$AC$489),IF(DATE($C518,3,15)&gt;=$V$489,$Y$489*(1+($U$489)/100)^MAX(0,$C518-$AB$489),0)))))</f>
      </c>
      <c r="H518" s="43">
        <f>IF($S$489=0,0,IF(OR(DATE($C518,4,15)&lt;$S$489,AND($T$489&gt;0,DATE($C518,4,15)&gt;$T$489)),0,IF(DATE($C518,4,15)&gt;=$X$489,$AA$489*(1+($U$489)/100)^MAX(0,$C518-$AD$489),IF(DATE($C518,4,15)&gt;=$W$489,$Z$489*(1+($U$489)/100)^MAX(0,$C518-$AC$489),IF(DATE($C518,4,15)&gt;=$V$489,$Y$489*(1+($U$489)/100)^MAX(0,$C518-$AB$489),0)))))</f>
      </c>
      <c r="I518" s="43">
        <f>IF($S$489=0,0,IF(OR(DATE($C518,5,15)&lt;$S$489,AND($T$489&gt;0,DATE($C518,5,15)&gt;$T$489)),0,IF(DATE($C518,5,15)&gt;=$X$489,$AA$489*(1+($U$489)/100)^MAX(0,$C518-$AD$489),IF(DATE($C518,5,15)&gt;=$W$489,$Z$489*(1+($U$489)/100)^MAX(0,$C518-$AC$489),IF(DATE($C518,5,15)&gt;=$V$489,$Y$489*(1+($U$489)/100)^MAX(0,$C518-$AB$489),0)))))</f>
      </c>
      <c r="J518" s="43">
        <f>IF($S$489=0,0,IF(OR(DATE($C518,6,15)&lt;$S$489,AND($T$489&gt;0,DATE($C518,6,15)&gt;$T$489)),0,IF(DATE($C518,6,15)&gt;=$X$489,$AA$489*(1+($U$489)/100)^MAX(0,$C518-$AD$489),IF(DATE($C518,6,15)&gt;=$W$489,$Z$489*(1+($U$489)/100)^MAX(0,$C518-$AC$489),IF(DATE($C518,6,15)&gt;=$V$489,$Y$489*(1+($U$489)/100)^MAX(0,$C518-$AB$489),0)))))</f>
      </c>
      <c r="K518" s="43">
        <f>IF($S$489=0,0,IF(OR(DATE($C518,7,15)&lt;$S$489,AND($T$489&gt;0,DATE($C518,7,15)&gt;$T$489)),0,IF(DATE($C518,7,15)&gt;=$X$489,$AA$489*(1+($U$489)/100)^MAX(0,$C518-$AD$489),IF(DATE($C518,7,15)&gt;=$W$489,$Z$489*(1+($U$489)/100)^MAX(0,$C518-$AC$489),IF(DATE($C518,7,15)&gt;=$V$489,$Y$489*(1+($U$489)/100)^MAX(0,$C518-$AB$489),0)))))</f>
      </c>
      <c r="L518" s="43">
        <f>IF($S$489=0,0,IF(OR(DATE($C518,8,15)&lt;$S$489,AND($T$489&gt;0,DATE($C518,8,15)&gt;$T$489)),0,IF(DATE($C518,8,15)&gt;=$X$489,$AA$489*(1+($U$489)/100)^MAX(0,$C518-$AD$489),IF(DATE($C518,8,15)&gt;=$W$489,$Z$489*(1+($U$489)/100)^MAX(0,$C518-$AC$489),IF(DATE($C518,8,15)&gt;=$V$489,$Y$489*(1+($U$489)/100)^MAX(0,$C518-$AB$489),0)))))</f>
      </c>
      <c r="M518" s="43">
        <f>IF($S$489=0,0,IF(OR(DATE($C518,9,15)&lt;$S$489,AND($T$489&gt;0,DATE($C518,9,15)&gt;$T$489)),0,IF(DATE($C518,9,15)&gt;=$X$489,$AA$489*(1+($U$489)/100)^MAX(0,$C518-$AD$489),IF(DATE($C518,9,15)&gt;=$W$489,$Z$489*(1+($U$489)/100)^MAX(0,$C518-$AC$489),IF(DATE($C518,9,15)&gt;=$V$489,$Y$489*(1+($U$489)/100)^MAX(0,$C518-$AB$489),0)))))</f>
      </c>
      <c r="N518" s="43">
        <f>IF($S$489=0,0,IF(OR(DATE($C518,10,15)&lt;$S$489,AND($T$489&gt;0,DATE($C518,10,15)&gt;$T$489)),0,IF(DATE($C518,10,15)&gt;=$X$489,$AA$489*(1+($U$489)/100)^MAX(0,$C518-$AD$489),IF(DATE($C518,10,15)&gt;=$W$489,$Z$489*(1+($U$489)/100)^MAX(0,$C518-$AC$489),IF(DATE($C518,10,15)&gt;=$V$489,$Y$489*(1+($U$489)/100)^MAX(0,$C518-$AB$489),0)))))</f>
      </c>
      <c r="O518" s="43">
        <f>IF($S$489=0,0,IF(OR(DATE($C518,11,15)&lt;$S$489,AND($T$489&gt;0,DATE($C518,11,15)&gt;$T$489)),0,IF(DATE($C518,11,15)&gt;=$X$489,$AA$489*(1+($U$489)/100)^MAX(0,$C518-$AD$489),IF(DATE($C518,11,15)&gt;=$W$489,$Z$489*(1+($U$489)/100)^MAX(0,$C518-$AC$489),IF(DATE($C518,11,15)&gt;=$V$489,$Y$489*(1+($U$489)/100)^MAX(0,$C518-$AB$489),0)))))</f>
      </c>
      <c r="P518" s="43">
        <f>IF($S$489=0,0,IF(OR(DATE($C518,12,15)&lt;$S$489,AND($T$489&gt;0,DATE($C518,12,15)&gt;$T$489)),0,IF(DATE($C518,12,15)&gt;=$X$489,$AA$489*(1+($U$489)/100)^MAX(0,$C518-$AD$489),IF(DATE($C518,12,15)&gt;=$W$489,$Z$489*(1+($U$489)/100)^MAX(0,$C518-$AC$489),IF(DATE($C518,12,15)&gt;=$V$489,$Y$489*(1+($U$489)/100)^MAX(0,$C518-$AB$489),0)))))</f>
      </c>
      <c r="Q518" s="43">
        <f>SUM($E518:$P518)</f>
      </c>
    </row>
    <row r="519">
      <c r="A519"/>
      <c r="B519">
        <v>16</v>
      </c>
      <c r="C519" s="43">
        <f>Jahr+30</f>
      </c>
      <c r="D519" s="43">
        <f>INDEX(MvObj,16)</f>
      </c>
      <c r="E519" s="43">
        <f>IF($S$489=0,0,IF(OR(DATE($C519,1,15)&lt;$S$489,AND($T$489&gt;0,DATE($C519,1,15)&gt;$T$489)),0,IF(DATE($C519,1,15)&gt;=$X$489,$AA$489*(1+($U$489)/100)^MAX(0,$C519-$AD$489),IF(DATE($C519,1,15)&gt;=$W$489,$Z$489*(1+($U$489)/100)^MAX(0,$C519-$AC$489),IF(DATE($C519,1,15)&gt;=$V$489,$Y$489*(1+($U$489)/100)^MAX(0,$C519-$AB$489),0)))))</f>
      </c>
      <c r="F519" s="43">
        <f>IF($S$489=0,0,IF(OR(DATE($C519,2,15)&lt;$S$489,AND($T$489&gt;0,DATE($C519,2,15)&gt;$T$489)),0,IF(DATE($C519,2,15)&gt;=$X$489,$AA$489*(1+($U$489)/100)^MAX(0,$C519-$AD$489),IF(DATE($C519,2,15)&gt;=$W$489,$Z$489*(1+($U$489)/100)^MAX(0,$C519-$AC$489),IF(DATE($C519,2,15)&gt;=$V$489,$Y$489*(1+($U$489)/100)^MAX(0,$C519-$AB$489),0)))))</f>
      </c>
      <c r="G519" s="43">
        <f>IF($S$489=0,0,IF(OR(DATE($C519,3,15)&lt;$S$489,AND($T$489&gt;0,DATE($C519,3,15)&gt;$T$489)),0,IF(DATE($C519,3,15)&gt;=$X$489,$AA$489*(1+($U$489)/100)^MAX(0,$C519-$AD$489),IF(DATE($C519,3,15)&gt;=$W$489,$Z$489*(1+($U$489)/100)^MAX(0,$C519-$AC$489),IF(DATE($C519,3,15)&gt;=$V$489,$Y$489*(1+($U$489)/100)^MAX(0,$C519-$AB$489),0)))))</f>
      </c>
      <c r="H519" s="43">
        <f>IF($S$489=0,0,IF(OR(DATE($C519,4,15)&lt;$S$489,AND($T$489&gt;0,DATE($C519,4,15)&gt;$T$489)),0,IF(DATE($C519,4,15)&gt;=$X$489,$AA$489*(1+($U$489)/100)^MAX(0,$C519-$AD$489),IF(DATE($C519,4,15)&gt;=$W$489,$Z$489*(1+($U$489)/100)^MAX(0,$C519-$AC$489),IF(DATE($C519,4,15)&gt;=$V$489,$Y$489*(1+($U$489)/100)^MAX(0,$C519-$AB$489),0)))))</f>
      </c>
      <c r="I519" s="43">
        <f>IF($S$489=0,0,IF(OR(DATE($C519,5,15)&lt;$S$489,AND($T$489&gt;0,DATE($C519,5,15)&gt;$T$489)),0,IF(DATE($C519,5,15)&gt;=$X$489,$AA$489*(1+($U$489)/100)^MAX(0,$C519-$AD$489),IF(DATE($C519,5,15)&gt;=$W$489,$Z$489*(1+($U$489)/100)^MAX(0,$C519-$AC$489),IF(DATE($C519,5,15)&gt;=$V$489,$Y$489*(1+($U$489)/100)^MAX(0,$C519-$AB$489),0)))))</f>
      </c>
      <c r="J519" s="43">
        <f>IF($S$489=0,0,IF(OR(DATE($C519,6,15)&lt;$S$489,AND($T$489&gt;0,DATE($C519,6,15)&gt;$T$489)),0,IF(DATE($C519,6,15)&gt;=$X$489,$AA$489*(1+($U$489)/100)^MAX(0,$C519-$AD$489),IF(DATE($C519,6,15)&gt;=$W$489,$Z$489*(1+($U$489)/100)^MAX(0,$C519-$AC$489),IF(DATE($C519,6,15)&gt;=$V$489,$Y$489*(1+($U$489)/100)^MAX(0,$C519-$AB$489),0)))))</f>
      </c>
      <c r="K519" s="43">
        <f>IF($S$489=0,0,IF(OR(DATE($C519,7,15)&lt;$S$489,AND($T$489&gt;0,DATE($C519,7,15)&gt;$T$489)),0,IF(DATE($C519,7,15)&gt;=$X$489,$AA$489*(1+($U$489)/100)^MAX(0,$C519-$AD$489),IF(DATE($C519,7,15)&gt;=$W$489,$Z$489*(1+($U$489)/100)^MAX(0,$C519-$AC$489),IF(DATE($C519,7,15)&gt;=$V$489,$Y$489*(1+($U$489)/100)^MAX(0,$C519-$AB$489),0)))))</f>
      </c>
      <c r="L519" s="43">
        <f>IF($S$489=0,0,IF(OR(DATE($C519,8,15)&lt;$S$489,AND($T$489&gt;0,DATE($C519,8,15)&gt;$T$489)),0,IF(DATE($C519,8,15)&gt;=$X$489,$AA$489*(1+($U$489)/100)^MAX(0,$C519-$AD$489),IF(DATE($C519,8,15)&gt;=$W$489,$Z$489*(1+($U$489)/100)^MAX(0,$C519-$AC$489),IF(DATE($C519,8,15)&gt;=$V$489,$Y$489*(1+($U$489)/100)^MAX(0,$C519-$AB$489),0)))))</f>
      </c>
      <c r="M519" s="43">
        <f>IF($S$489=0,0,IF(OR(DATE($C519,9,15)&lt;$S$489,AND($T$489&gt;0,DATE($C519,9,15)&gt;$T$489)),0,IF(DATE($C519,9,15)&gt;=$X$489,$AA$489*(1+($U$489)/100)^MAX(0,$C519-$AD$489),IF(DATE($C519,9,15)&gt;=$W$489,$Z$489*(1+($U$489)/100)^MAX(0,$C519-$AC$489),IF(DATE($C519,9,15)&gt;=$V$489,$Y$489*(1+($U$489)/100)^MAX(0,$C519-$AB$489),0)))))</f>
      </c>
      <c r="N519" s="43">
        <f>IF($S$489=0,0,IF(OR(DATE($C519,10,15)&lt;$S$489,AND($T$489&gt;0,DATE($C519,10,15)&gt;$T$489)),0,IF(DATE($C519,10,15)&gt;=$X$489,$AA$489*(1+($U$489)/100)^MAX(0,$C519-$AD$489),IF(DATE($C519,10,15)&gt;=$W$489,$Z$489*(1+($U$489)/100)^MAX(0,$C519-$AC$489),IF(DATE($C519,10,15)&gt;=$V$489,$Y$489*(1+($U$489)/100)^MAX(0,$C519-$AB$489),0)))))</f>
      </c>
      <c r="O519" s="43">
        <f>IF($S$489=0,0,IF(OR(DATE($C519,11,15)&lt;$S$489,AND($T$489&gt;0,DATE($C519,11,15)&gt;$T$489)),0,IF(DATE($C519,11,15)&gt;=$X$489,$AA$489*(1+($U$489)/100)^MAX(0,$C519-$AD$489),IF(DATE($C519,11,15)&gt;=$W$489,$Z$489*(1+($U$489)/100)^MAX(0,$C519-$AC$489),IF(DATE($C519,11,15)&gt;=$V$489,$Y$489*(1+($U$489)/100)^MAX(0,$C519-$AB$489),0)))))</f>
      </c>
      <c r="P519" s="43">
        <f>IF($S$489=0,0,IF(OR(DATE($C519,12,15)&lt;$S$489,AND($T$489&gt;0,DATE($C519,12,15)&gt;$T$489)),0,IF(DATE($C519,12,15)&gt;=$X$489,$AA$489*(1+($U$489)/100)^MAX(0,$C519-$AD$489),IF(DATE($C519,12,15)&gt;=$W$489,$Z$489*(1+($U$489)/100)^MAX(0,$C519-$AC$489),IF(DATE($C519,12,15)&gt;=$V$489,$Y$489*(1+($U$489)/100)^MAX(0,$C519-$AB$489),0)))))</f>
      </c>
      <c r="Q519" s="43">
        <f>SUM($E519:$P519)</f>
      </c>
    </row>
    <row r="520">
      <c r="A520"/>
      <c r="B520">
        <v>17</v>
      </c>
      <c r="C520" s="43">
        <f>Jahr+0</f>
      </c>
      <c r="D520" s="43">
        <f>INDEX(MvObj,17)</f>
      </c>
      <c r="E520" s="43">
        <f>IF($S$520=0,0,IF(OR(DATE($C520,1,15)&lt;$S$520,AND($T$520&gt;0,DATE($C520,1,15)&gt;$T$520)),0,IF(DATE($C520,1,15)&gt;=$X$520,$AA$520*(1+($U$520)/100)^MAX(0,$C520-$AD$520),IF(DATE($C520,1,15)&gt;=$W$520,$Z$520*(1+($U$520)/100)^MAX(0,$C520-$AC$520),IF(DATE($C520,1,15)&gt;=$V$520,$Y$520*(1+($U$520)/100)^MAX(0,$C520-$AB$520),0)))))</f>
      </c>
      <c r="F520" s="43">
        <f>IF($S$520=0,0,IF(OR(DATE($C520,2,15)&lt;$S$520,AND($T$520&gt;0,DATE($C520,2,15)&gt;$T$520)),0,IF(DATE($C520,2,15)&gt;=$X$520,$AA$520*(1+($U$520)/100)^MAX(0,$C520-$AD$520),IF(DATE($C520,2,15)&gt;=$W$520,$Z$520*(1+($U$520)/100)^MAX(0,$C520-$AC$520),IF(DATE($C520,2,15)&gt;=$V$520,$Y$520*(1+($U$520)/100)^MAX(0,$C520-$AB$520),0)))))</f>
      </c>
      <c r="G520" s="43">
        <f>IF($S$520=0,0,IF(OR(DATE($C520,3,15)&lt;$S$520,AND($T$520&gt;0,DATE($C520,3,15)&gt;$T$520)),0,IF(DATE($C520,3,15)&gt;=$X$520,$AA$520*(1+($U$520)/100)^MAX(0,$C520-$AD$520),IF(DATE($C520,3,15)&gt;=$W$520,$Z$520*(1+($U$520)/100)^MAX(0,$C520-$AC$520),IF(DATE($C520,3,15)&gt;=$V$520,$Y$520*(1+($U$520)/100)^MAX(0,$C520-$AB$520),0)))))</f>
      </c>
      <c r="H520" s="43">
        <f>IF($S$520=0,0,IF(OR(DATE($C520,4,15)&lt;$S$520,AND($T$520&gt;0,DATE($C520,4,15)&gt;$T$520)),0,IF(DATE($C520,4,15)&gt;=$X$520,$AA$520*(1+($U$520)/100)^MAX(0,$C520-$AD$520),IF(DATE($C520,4,15)&gt;=$W$520,$Z$520*(1+($U$520)/100)^MAX(0,$C520-$AC$520),IF(DATE($C520,4,15)&gt;=$V$520,$Y$520*(1+($U$520)/100)^MAX(0,$C520-$AB$520),0)))))</f>
      </c>
      <c r="I520" s="43">
        <f>IF($S$520=0,0,IF(OR(DATE($C520,5,15)&lt;$S$520,AND($T$520&gt;0,DATE($C520,5,15)&gt;$T$520)),0,IF(DATE($C520,5,15)&gt;=$X$520,$AA$520*(1+($U$520)/100)^MAX(0,$C520-$AD$520),IF(DATE($C520,5,15)&gt;=$W$520,$Z$520*(1+($U$520)/100)^MAX(0,$C520-$AC$520),IF(DATE($C520,5,15)&gt;=$V$520,$Y$520*(1+($U$520)/100)^MAX(0,$C520-$AB$520),0)))))</f>
      </c>
      <c r="J520" s="43">
        <f>IF($S$520=0,0,IF(OR(DATE($C520,6,15)&lt;$S$520,AND($T$520&gt;0,DATE($C520,6,15)&gt;$T$520)),0,IF(DATE($C520,6,15)&gt;=$X$520,$AA$520*(1+($U$520)/100)^MAX(0,$C520-$AD$520),IF(DATE($C520,6,15)&gt;=$W$520,$Z$520*(1+($U$520)/100)^MAX(0,$C520-$AC$520),IF(DATE($C520,6,15)&gt;=$V$520,$Y$520*(1+($U$520)/100)^MAX(0,$C520-$AB$520),0)))))</f>
      </c>
      <c r="K520" s="43">
        <f>IF($S$520=0,0,IF(OR(DATE($C520,7,15)&lt;$S$520,AND($T$520&gt;0,DATE($C520,7,15)&gt;$T$520)),0,IF(DATE($C520,7,15)&gt;=$X$520,$AA$520*(1+($U$520)/100)^MAX(0,$C520-$AD$520),IF(DATE($C520,7,15)&gt;=$W$520,$Z$520*(1+($U$520)/100)^MAX(0,$C520-$AC$520),IF(DATE($C520,7,15)&gt;=$V$520,$Y$520*(1+($U$520)/100)^MAX(0,$C520-$AB$520),0)))))</f>
      </c>
      <c r="L520" s="43">
        <f>IF($S$520=0,0,IF(OR(DATE($C520,8,15)&lt;$S$520,AND($T$520&gt;0,DATE($C520,8,15)&gt;$T$520)),0,IF(DATE($C520,8,15)&gt;=$X$520,$AA$520*(1+($U$520)/100)^MAX(0,$C520-$AD$520),IF(DATE($C520,8,15)&gt;=$W$520,$Z$520*(1+($U$520)/100)^MAX(0,$C520-$AC$520),IF(DATE($C520,8,15)&gt;=$V$520,$Y$520*(1+($U$520)/100)^MAX(0,$C520-$AB$520),0)))))</f>
      </c>
      <c r="M520" s="43">
        <f>IF($S$520=0,0,IF(OR(DATE($C520,9,15)&lt;$S$520,AND($T$520&gt;0,DATE($C520,9,15)&gt;$T$520)),0,IF(DATE($C520,9,15)&gt;=$X$520,$AA$520*(1+($U$520)/100)^MAX(0,$C520-$AD$520),IF(DATE($C520,9,15)&gt;=$W$520,$Z$520*(1+($U$520)/100)^MAX(0,$C520-$AC$520),IF(DATE($C520,9,15)&gt;=$V$520,$Y$520*(1+($U$520)/100)^MAX(0,$C520-$AB$520),0)))))</f>
      </c>
      <c r="N520" s="43">
        <f>IF($S$520=0,0,IF(OR(DATE($C520,10,15)&lt;$S$520,AND($T$520&gt;0,DATE($C520,10,15)&gt;$T$520)),0,IF(DATE($C520,10,15)&gt;=$X$520,$AA$520*(1+($U$520)/100)^MAX(0,$C520-$AD$520),IF(DATE($C520,10,15)&gt;=$W$520,$Z$520*(1+($U$520)/100)^MAX(0,$C520-$AC$520),IF(DATE($C520,10,15)&gt;=$V$520,$Y$520*(1+($U$520)/100)^MAX(0,$C520-$AB$520),0)))))</f>
      </c>
      <c r="O520" s="43">
        <f>IF($S$520=0,0,IF(OR(DATE($C520,11,15)&lt;$S$520,AND($T$520&gt;0,DATE($C520,11,15)&gt;$T$520)),0,IF(DATE($C520,11,15)&gt;=$X$520,$AA$520*(1+($U$520)/100)^MAX(0,$C520-$AD$520),IF(DATE($C520,11,15)&gt;=$W$520,$Z$520*(1+($U$520)/100)^MAX(0,$C520-$AC$520),IF(DATE($C520,11,15)&gt;=$V$520,$Y$520*(1+($U$520)/100)^MAX(0,$C520-$AB$520),0)))))</f>
      </c>
      <c r="P520" s="43">
        <f>IF($S$520=0,0,IF(OR(DATE($C520,12,15)&lt;$S$520,AND($T$520&gt;0,DATE($C520,12,15)&gt;$T$520)),0,IF(DATE($C520,12,15)&gt;=$X$520,$AA$520*(1+($U$520)/100)^MAX(0,$C520-$AD$520),IF(DATE($C520,12,15)&gt;=$W$520,$Z$520*(1+($U$520)/100)^MAX(0,$C520-$AC$520),IF(DATE($C520,12,15)&gt;=$V$520,$Y$520*(1+($U$520)/100)^MAX(0,$C520-$AB$520),0)))))</f>
      </c>
      <c r="Q520" s="43">
        <f>SUM($E520:$P520)</f>
      </c>
      <c r="R520"/>
      <c r="S520" s="43">
        <f>IF(INDEX(MvBeginn,17)="",0,INDEX(MvBeginn,17))</f>
      </c>
      <c r="T520" s="43">
        <f>INDEX(MvEnde,17)</f>
      </c>
      <c r="U520" s="43">
        <f>INDEX(MvSatz,17)</f>
      </c>
      <c r="V520" s="43">
        <f>INDEX(MvKey1,17)</f>
      </c>
      <c r="W520" s="43">
        <f>INDEX(MvKey2,17)</f>
      </c>
      <c r="X520" s="43">
        <f>INDEX(MvKey3,17)</f>
      </c>
      <c r="Y520" s="43">
        <f>INDEX(MvKalt1,17)</f>
      </c>
      <c r="Z520" s="43">
        <f>INDEX(MvKalt2,17)</f>
      </c>
      <c r="AA520" s="43">
        <f>INDEX(MvKalt3,17)</f>
      </c>
      <c r="AB520" s="43">
        <f>MAX(YEAR(INDEX(MvAb1,17)),Jahr)</f>
      </c>
      <c r="AC520" s="43">
        <f>MAX(YEAR(INDEX(MvAb2,17)),Jahr)</f>
      </c>
      <c r="AD520" s="43">
        <f>MAX(YEAR(INDEX(MvAb3,17)),Jahr)</f>
      </c>
    </row>
    <row r="521">
      <c r="A521"/>
      <c r="B521">
        <v>17</v>
      </c>
      <c r="C521" s="43">
        <f>Jahr+1</f>
      </c>
      <c r="D521" s="43">
        <f>INDEX(MvObj,17)</f>
      </c>
      <c r="E521" s="43">
        <f>IF($S$520=0,0,IF(OR(DATE($C521,1,15)&lt;$S$520,AND($T$520&gt;0,DATE($C521,1,15)&gt;$T$520)),0,IF(DATE($C521,1,15)&gt;=$X$520,$AA$520*(1+($U$520)/100)^MAX(0,$C521-$AD$520),IF(DATE($C521,1,15)&gt;=$W$520,$Z$520*(1+($U$520)/100)^MAX(0,$C521-$AC$520),IF(DATE($C521,1,15)&gt;=$V$520,$Y$520*(1+($U$520)/100)^MAX(0,$C521-$AB$520),0)))))</f>
      </c>
      <c r="F521" s="43">
        <f>IF($S$520=0,0,IF(OR(DATE($C521,2,15)&lt;$S$520,AND($T$520&gt;0,DATE($C521,2,15)&gt;$T$520)),0,IF(DATE($C521,2,15)&gt;=$X$520,$AA$520*(1+($U$520)/100)^MAX(0,$C521-$AD$520),IF(DATE($C521,2,15)&gt;=$W$520,$Z$520*(1+($U$520)/100)^MAX(0,$C521-$AC$520),IF(DATE($C521,2,15)&gt;=$V$520,$Y$520*(1+($U$520)/100)^MAX(0,$C521-$AB$520),0)))))</f>
      </c>
      <c r="G521" s="43">
        <f>IF($S$520=0,0,IF(OR(DATE($C521,3,15)&lt;$S$520,AND($T$520&gt;0,DATE($C521,3,15)&gt;$T$520)),0,IF(DATE($C521,3,15)&gt;=$X$520,$AA$520*(1+($U$520)/100)^MAX(0,$C521-$AD$520),IF(DATE($C521,3,15)&gt;=$W$520,$Z$520*(1+($U$520)/100)^MAX(0,$C521-$AC$520),IF(DATE($C521,3,15)&gt;=$V$520,$Y$520*(1+($U$520)/100)^MAX(0,$C521-$AB$520),0)))))</f>
      </c>
      <c r="H521" s="43">
        <f>IF($S$520=0,0,IF(OR(DATE($C521,4,15)&lt;$S$520,AND($T$520&gt;0,DATE($C521,4,15)&gt;$T$520)),0,IF(DATE($C521,4,15)&gt;=$X$520,$AA$520*(1+($U$520)/100)^MAX(0,$C521-$AD$520),IF(DATE($C521,4,15)&gt;=$W$520,$Z$520*(1+($U$520)/100)^MAX(0,$C521-$AC$520),IF(DATE($C521,4,15)&gt;=$V$520,$Y$520*(1+($U$520)/100)^MAX(0,$C521-$AB$520),0)))))</f>
      </c>
      <c r="I521" s="43">
        <f>IF($S$520=0,0,IF(OR(DATE($C521,5,15)&lt;$S$520,AND($T$520&gt;0,DATE($C521,5,15)&gt;$T$520)),0,IF(DATE($C521,5,15)&gt;=$X$520,$AA$520*(1+($U$520)/100)^MAX(0,$C521-$AD$520),IF(DATE($C521,5,15)&gt;=$W$520,$Z$520*(1+($U$520)/100)^MAX(0,$C521-$AC$520),IF(DATE($C521,5,15)&gt;=$V$520,$Y$520*(1+($U$520)/100)^MAX(0,$C521-$AB$520),0)))))</f>
      </c>
      <c r="J521" s="43">
        <f>IF($S$520=0,0,IF(OR(DATE($C521,6,15)&lt;$S$520,AND($T$520&gt;0,DATE($C521,6,15)&gt;$T$520)),0,IF(DATE($C521,6,15)&gt;=$X$520,$AA$520*(1+($U$520)/100)^MAX(0,$C521-$AD$520),IF(DATE($C521,6,15)&gt;=$W$520,$Z$520*(1+($U$520)/100)^MAX(0,$C521-$AC$520),IF(DATE($C521,6,15)&gt;=$V$520,$Y$520*(1+($U$520)/100)^MAX(0,$C521-$AB$520),0)))))</f>
      </c>
      <c r="K521" s="43">
        <f>IF($S$520=0,0,IF(OR(DATE($C521,7,15)&lt;$S$520,AND($T$520&gt;0,DATE($C521,7,15)&gt;$T$520)),0,IF(DATE($C521,7,15)&gt;=$X$520,$AA$520*(1+($U$520)/100)^MAX(0,$C521-$AD$520),IF(DATE($C521,7,15)&gt;=$W$520,$Z$520*(1+($U$520)/100)^MAX(0,$C521-$AC$520),IF(DATE($C521,7,15)&gt;=$V$520,$Y$520*(1+($U$520)/100)^MAX(0,$C521-$AB$520),0)))))</f>
      </c>
      <c r="L521" s="43">
        <f>IF($S$520=0,0,IF(OR(DATE($C521,8,15)&lt;$S$520,AND($T$520&gt;0,DATE($C521,8,15)&gt;$T$520)),0,IF(DATE($C521,8,15)&gt;=$X$520,$AA$520*(1+($U$520)/100)^MAX(0,$C521-$AD$520),IF(DATE($C521,8,15)&gt;=$W$520,$Z$520*(1+($U$520)/100)^MAX(0,$C521-$AC$520),IF(DATE($C521,8,15)&gt;=$V$520,$Y$520*(1+($U$520)/100)^MAX(0,$C521-$AB$520),0)))))</f>
      </c>
      <c r="M521" s="43">
        <f>IF($S$520=0,0,IF(OR(DATE($C521,9,15)&lt;$S$520,AND($T$520&gt;0,DATE($C521,9,15)&gt;$T$520)),0,IF(DATE($C521,9,15)&gt;=$X$520,$AA$520*(1+($U$520)/100)^MAX(0,$C521-$AD$520),IF(DATE($C521,9,15)&gt;=$W$520,$Z$520*(1+($U$520)/100)^MAX(0,$C521-$AC$520),IF(DATE($C521,9,15)&gt;=$V$520,$Y$520*(1+($U$520)/100)^MAX(0,$C521-$AB$520),0)))))</f>
      </c>
      <c r="N521" s="43">
        <f>IF($S$520=0,0,IF(OR(DATE($C521,10,15)&lt;$S$520,AND($T$520&gt;0,DATE($C521,10,15)&gt;$T$520)),0,IF(DATE($C521,10,15)&gt;=$X$520,$AA$520*(1+($U$520)/100)^MAX(0,$C521-$AD$520),IF(DATE($C521,10,15)&gt;=$W$520,$Z$520*(1+($U$520)/100)^MAX(0,$C521-$AC$520),IF(DATE($C521,10,15)&gt;=$V$520,$Y$520*(1+($U$520)/100)^MAX(0,$C521-$AB$520),0)))))</f>
      </c>
      <c r="O521" s="43">
        <f>IF($S$520=0,0,IF(OR(DATE($C521,11,15)&lt;$S$520,AND($T$520&gt;0,DATE($C521,11,15)&gt;$T$520)),0,IF(DATE($C521,11,15)&gt;=$X$520,$AA$520*(1+($U$520)/100)^MAX(0,$C521-$AD$520),IF(DATE($C521,11,15)&gt;=$W$520,$Z$520*(1+($U$520)/100)^MAX(0,$C521-$AC$520),IF(DATE($C521,11,15)&gt;=$V$520,$Y$520*(1+($U$520)/100)^MAX(0,$C521-$AB$520),0)))))</f>
      </c>
      <c r="P521" s="43">
        <f>IF($S$520=0,0,IF(OR(DATE($C521,12,15)&lt;$S$520,AND($T$520&gt;0,DATE($C521,12,15)&gt;$T$520)),0,IF(DATE($C521,12,15)&gt;=$X$520,$AA$520*(1+($U$520)/100)^MAX(0,$C521-$AD$520),IF(DATE($C521,12,15)&gt;=$W$520,$Z$520*(1+($U$520)/100)^MAX(0,$C521-$AC$520),IF(DATE($C521,12,15)&gt;=$V$520,$Y$520*(1+($U$520)/100)^MAX(0,$C521-$AB$520),0)))))</f>
      </c>
      <c r="Q521" s="43">
        <f>SUM($E521:$P521)</f>
      </c>
    </row>
    <row r="522">
      <c r="A522"/>
      <c r="B522">
        <v>17</v>
      </c>
      <c r="C522" s="43">
        <f>Jahr+2</f>
      </c>
      <c r="D522" s="43">
        <f>INDEX(MvObj,17)</f>
      </c>
      <c r="E522" s="43">
        <f>IF($S$520=0,0,IF(OR(DATE($C522,1,15)&lt;$S$520,AND($T$520&gt;0,DATE($C522,1,15)&gt;$T$520)),0,IF(DATE($C522,1,15)&gt;=$X$520,$AA$520*(1+($U$520)/100)^MAX(0,$C522-$AD$520),IF(DATE($C522,1,15)&gt;=$W$520,$Z$520*(1+($U$520)/100)^MAX(0,$C522-$AC$520),IF(DATE($C522,1,15)&gt;=$V$520,$Y$520*(1+($U$520)/100)^MAX(0,$C522-$AB$520),0)))))</f>
      </c>
      <c r="F522" s="43">
        <f>IF($S$520=0,0,IF(OR(DATE($C522,2,15)&lt;$S$520,AND($T$520&gt;0,DATE($C522,2,15)&gt;$T$520)),0,IF(DATE($C522,2,15)&gt;=$X$520,$AA$520*(1+($U$520)/100)^MAX(0,$C522-$AD$520),IF(DATE($C522,2,15)&gt;=$W$520,$Z$520*(1+($U$520)/100)^MAX(0,$C522-$AC$520),IF(DATE($C522,2,15)&gt;=$V$520,$Y$520*(1+($U$520)/100)^MAX(0,$C522-$AB$520),0)))))</f>
      </c>
      <c r="G522" s="43">
        <f>IF($S$520=0,0,IF(OR(DATE($C522,3,15)&lt;$S$520,AND($T$520&gt;0,DATE($C522,3,15)&gt;$T$520)),0,IF(DATE($C522,3,15)&gt;=$X$520,$AA$520*(1+($U$520)/100)^MAX(0,$C522-$AD$520),IF(DATE($C522,3,15)&gt;=$W$520,$Z$520*(1+($U$520)/100)^MAX(0,$C522-$AC$520),IF(DATE($C522,3,15)&gt;=$V$520,$Y$520*(1+($U$520)/100)^MAX(0,$C522-$AB$520),0)))))</f>
      </c>
      <c r="H522" s="43">
        <f>IF($S$520=0,0,IF(OR(DATE($C522,4,15)&lt;$S$520,AND($T$520&gt;0,DATE($C522,4,15)&gt;$T$520)),0,IF(DATE($C522,4,15)&gt;=$X$520,$AA$520*(1+($U$520)/100)^MAX(0,$C522-$AD$520),IF(DATE($C522,4,15)&gt;=$W$520,$Z$520*(1+($U$520)/100)^MAX(0,$C522-$AC$520),IF(DATE($C522,4,15)&gt;=$V$520,$Y$520*(1+($U$520)/100)^MAX(0,$C522-$AB$520),0)))))</f>
      </c>
      <c r="I522" s="43">
        <f>IF($S$520=0,0,IF(OR(DATE($C522,5,15)&lt;$S$520,AND($T$520&gt;0,DATE($C522,5,15)&gt;$T$520)),0,IF(DATE($C522,5,15)&gt;=$X$520,$AA$520*(1+($U$520)/100)^MAX(0,$C522-$AD$520),IF(DATE($C522,5,15)&gt;=$W$520,$Z$520*(1+($U$520)/100)^MAX(0,$C522-$AC$520),IF(DATE($C522,5,15)&gt;=$V$520,$Y$520*(1+($U$520)/100)^MAX(0,$C522-$AB$520),0)))))</f>
      </c>
      <c r="J522" s="43">
        <f>IF($S$520=0,0,IF(OR(DATE($C522,6,15)&lt;$S$520,AND($T$520&gt;0,DATE($C522,6,15)&gt;$T$520)),0,IF(DATE($C522,6,15)&gt;=$X$520,$AA$520*(1+($U$520)/100)^MAX(0,$C522-$AD$520),IF(DATE($C522,6,15)&gt;=$W$520,$Z$520*(1+($U$520)/100)^MAX(0,$C522-$AC$520),IF(DATE($C522,6,15)&gt;=$V$520,$Y$520*(1+($U$520)/100)^MAX(0,$C522-$AB$520),0)))))</f>
      </c>
      <c r="K522" s="43">
        <f>IF($S$520=0,0,IF(OR(DATE($C522,7,15)&lt;$S$520,AND($T$520&gt;0,DATE($C522,7,15)&gt;$T$520)),0,IF(DATE($C522,7,15)&gt;=$X$520,$AA$520*(1+($U$520)/100)^MAX(0,$C522-$AD$520),IF(DATE($C522,7,15)&gt;=$W$520,$Z$520*(1+($U$520)/100)^MAX(0,$C522-$AC$520),IF(DATE($C522,7,15)&gt;=$V$520,$Y$520*(1+($U$520)/100)^MAX(0,$C522-$AB$520),0)))))</f>
      </c>
      <c r="L522" s="43">
        <f>IF($S$520=0,0,IF(OR(DATE($C522,8,15)&lt;$S$520,AND($T$520&gt;0,DATE($C522,8,15)&gt;$T$520)),0,IF(DATE($C522,8,15)&gt;=$X$520,$AA$520*(1+($U$520)/100)^MAX(0,$C522-$AD$520),IF(DATE($C522,8,15)&gt;=$W$520,$Z$520*(1+($U$520)/100)^MAX(0,$C522-$AC$520),IF(DATE($C522,8,15)&gt;=$V$520,$Y$520*(1+($U$520)/100)^MAX(0,$C522-$AB$520),0)))))</f>
      </c>
      <c r="M522" s="43">
        <f>IF($S$520=0,0,IF(OR(DATE($C522,9,15)&lt;$S$520,AND($T$520&gt;0,DATE($C522,9,15)&gt;$T$520)),0,IF(DATE($C522,9,15)&gt;=$X$520,$AA$520*(1+($U$520)/100)^MAX(0,$C522-$AD$520),IF(DATE($C522,9,15)&gt;=$W$520,$Z$520*(1+($U$520)/100)^MAX(0,$C522-$AC$520),IF(DATE($C522,9,15)&gt;=$V$520,$Y$520*(1+($U$520)/100)^MAX(0,$C522-$AB$520),0)))))</f>
      </c>
      <c r="N522" s="43">
        <f>IF($S$520=0,0,IF(OR(DATE($C522,10,15)&lt;$S$520,AND($T$520&gt;0,DATE($C522,10,15)&gt;$T$520)),0,IF(DATE($C522,10,15)&gt;=$X$520,$AA$520*(1+($U$520)/100)^MAX(0,$C522-$AD$520),IF(DATE($C522,10,15)&gt;=$W$520,$Z$520*(1+($U$520)/100)^MAX(0,$C522-$AC$520),IF(DATE($C522,10,15)&gt;=$V$520,$Y$520*(1+($U$520)/100)^MAX(0,$C522-$AB$520),0)))))</f>
      </c>
      <c r="O522" s="43">
        <f>IF($S$520=0,0,IF(OR(DATE($C522,11,15)&lt;$S$520,AND($T$520&gt;0,DATE($C522,11,15)&gt;$T$520)),0,IF(DATE($C522,11,15)&gt;=$X$520,$AA$520*(1+($U$520)/100)^MAX(0,$C522-$AD$520),IF(DATE($C522,11,15)&gt;=$W$520,$Z$520*(1+($U$520)/100)^MAX(0,$C522-$AC$520),IF(DATE($C522,11,15)&gt;=$V$520,$Y$520*(1+($U$520)/100)^MAX(0,$C522-$AB$520),0)))))</f>
      </c>
      <c r="P522" s="43">
        <f>IF($S$520=0,0,IF(OR(DATE($C522,12,15)&lt;$S$520,AND($T$520&gt;0,DATE($C522,12,15)&gt;$T$520)),0,IF(DATE($C522,12,15)&gt;=$X$520,$AA$520*(1+($U$520)/100)^MAX(0,$C522-$AD$520),IF(DATE($C522,12,15)&gt;=$W$520,$Z$520*(1+($U$520)/100)^MAX(0,$C522-$AC$520),IF(DATE($C522,12,15)&gt;=$V$520,$Y$520*(1+($U$520)/100)^MAX(0,$C522-$AB$520),0)))))</f>
      </c>
      <c r="Q522" s="43">
        <f>SUM($E522:$P522)</f>
      </c>
    </row>
    <row r="523">
      <c r="A523"/>
      <c r="B523">
        <v>17</v>
      </c>
      <c r="C523" s="43">
        <f>Jahr+3</f>
      </c>
      <c r="D523" s="43">
        <f>INDEX(MvObj,17)</f>
      </c>
      <c r="E523" s="43">
        <f>IF($S$520=0,0,IF(OR(DATE($C523,1,15)&lt;$S$520,AND($T$520&gt;0,DATE($C523,1,15)&gt;$T$520)),0,IF(DATE($C523,1,15)&gt;=$X$520,$AA$520*(1+($U$520)/100)^MAX(0,$C523-$AD$520),IF(DATE($C523,1,15)&gt;=$W$520,$Z$520*(1+($U$520)/100)^MAX(0,$C523-$AC$520),IF(DATE($C523,1,15)&gt;=$V$520,$Y$520*(1+($U$520)/100)^MAX(0,$C523-$AB$520),0)))))</f>
      </c>
      <c r="F523" s="43">
        <f>IF($S$520=0,0,IF(OR(DATE($C523,2,15)&lt;$S$520,AND($T$520&gt;0,DATE($C523,2,15)&gt;$T$520)),0,IF(DATE($C523,2,15)&gt;=$X$520,$AA$520*(1+($U$520)/100)^MAX(0,$C523-$AD$520),IF(DATE($C523,2,15)&gt;=$W$520,$Z$520*(1+($U$520)/100)^MAX(0,$C523-$AC$520),IF(DATE($C523,2,15)&gt;=$V$520,$Y$520*(1+($U$520)/100)^MAX(0,$C523-$AB$520),0)))))</f>
      </c>
      <c r="G523" s="43">
        <f>IF($S$520=0,0,IF(OR(DATE($C523,3,15)&lt;$S$520,AND($T$520&gt;0,DATE($C523,3,15)&gt;$T$520)),0,IF(DATE($C523,3,15)&gt;=$X$520,$AA$520*(1+($U$520)/100)^MAX(0,$C523-$AD$520),IF(DATE($C523,3,15)&gt;=$W$520,$Z$520*(1+($U$520)/100)^MAX(0,$C523-$AC$520),IF(DATE($C523,3,15)&gt;=$V$520,$Y$520*(1+($U$520)/100)^MAX(0,$C523-$AB$520),0)))))</f>
      </c>
      <c r="H523" s="43">
        <f>IF($S$520=0,0,IF(OR(DATE($C523,4,15)&lt;$S$520,AND($T$520&gt;0,DATE($C523,4,15)&gt;$T$520)),0,IF(DATE($C523,4,15)&gt;=$X$520,$AA$520*(1+($U$520)/100)^MAX(0,$C523-$AD$520),IF(DATE($C523,4,15)&gt;=$W$520,$Z$520*(1+($U$520)/100)^MAX(0,$C523-$AC$520),IF(DATE($C523,4,15)&gt;=$V$520,$Y$520*(1+($U$520)/100)^MAX(0,$C523-$AB$520),0)))))</f>
      </c>
      <c r="I523" s="43">
        <f>IF($S$520=0,0,IF(OR(DATE($C523,5,15)&lt;$S$520,AND($T$520&gt;0,DATE($C523,5,15)&gt;$T$520)),0,IF(DATE($C523,5,15)&gt;=$X$520,$AA$520*(1+($U$520)/100)^MAX(0,$C523-$AD$520),IF(DATE($C523,5,15)&gt;=$W$520,$Z$520*(1+($U$520)/100)^MAX(0,$C523-$AC$520),IF(DATE($C523,5,15)&gt;=$V$520,$Y$520*(1+($U$520)/100)^MAX(0,$C523-$AB$520),0)))))</f>
      </c>
      <c r="J523" s="43">
        <f>IF($S$520=0,0,IF(OR(DATE($C523,6,15)&lt;$S$520,AND($T$520&gt;0,DATE($C523,6,15)&gt;$T$520)),0,IF(DATE($C523,6,15)&gt;=$X$520,$AA$520*(1+($U$520)/100)^MAX(0,$C523-$AD$520),IF(DATE($C523,6,15)&gt;=$W$520,$Z$520*(1+($U$520)/100)^MAX(0,$C523-$AC$520),IF(DATE($C523,6,15)&gt;=$V$520,$Y$520*(1+($U$520)/100)^MAX(0,$C523-$AB$520),0)))))</f>
      </c>
      <c r="K523" s="43">
        <f>IF($S$520=0,0,IF(OR(DATE($C523,7,15)&lt;$S$520,AND($T$520&gt;0,DATE($C523,7,15)&gt;$T$520)),0,IF(DATE($C523,7,15)&gt;=$X$520,$AA$520*(1+($U$520)/100)^MAX(0,$C523-$AD$520),IF(DATE($C523,7,15)&gt;=$W$520,$Z$520*(1+($U$520)/100)^MAX(0,$C523-$AC$520),IF(DATE($C523,7,15)&gt;=$V$520,$Y$520*(1+($U$520)/100)^MAX(0,$C523-$AB$520),0)))))</f>
      </c>
      <c r="L523" s="43">
        <f>IF($S$520=0,0,IF(OR(DATE($C523,8,15)&lt;$S$520,AND($T$520&gt;0,DATE($C523,8,15)&gt;$T$520)),0,IF(DATE($C523,8,15)&gt;=$X$520,$AA$520*(1+($U$520)/100)^MAX(0,$C523-$AD$520),IF(DATE($C523,8,15)&gt;=$W$520,$Z$520*(1+($U$520)/100)^MAX(0,$C523-$AC$520),IF(DATE($C523,8,15)&gt;=$V$520,$Y$520*(1+($U$520)/100)^MAX(0,$C523-$AB$520),0)))))</f>
      </c>
      <c r="M523" s="43">
        <f>IF($S$520=0,0,IF(OR(DATE($C523,9,15)&lt;$S$520,AND($T$520&gt;0,DATE($C523,9,15)&gt;$T$520)),0,IF(DATE($C523,9,15)&gt;=$X$520,$AA$520*(1+($U$520)/100)^MAX(0,$C523-$AD$520),IF(DATE($C523,9,15)&gt;=$W$520,$Z$520*(1+($U$520)/100)^MAX(0,$C523-$AC$520),IF(DATE($C523,9,15)&gt;=$V$520,$Y$520*(1+($U$520)/100)^MAX(0,$C523-$AB$520),0)))))</f>
      </c>
      <c r="N523" s="43">
        <f>IF($S$520=0,0,IF(OR(DATE($C523,10,15)&lt;$S$520,AND($T$520&gt;0,DATE($C523,10,15)&gt;$T$520)),0,IF(DATE($C523,10,15)&gt;=$X$520,$AA$520*(1+($U$520)/100)^MAX(0,$C523-$AD$520),IF(DATE($C523,10,15)&gt;=$W$520,$Z$520*(1+($U$520)/100)^MAX(0,$C523-$AC$520),IF(DATE($C523,10,15)&gt;=$V$520,$Y$520*(1+($U$520)/100)^MAX(0,$C523-$AB$520),0)))))</f>
      </c>
      <c r="O523" s="43">
        <f>IF($S$520=0,0,IF(OR(DATE($C523,11,15)&lt;$S$520,AND($T$520&gt;0,DATE($C523,11,15)&gt;$T$520)),0,IF(DATE($C523,11,15)&gt;=$X$520,$AA$520*(1+($U$520)/100)^MAX(0,$C523-$AD$520),IF(DATE($C523,11,15)&gt;=$W$520,$Z$520*(1+($U$520)/100)^MAX(0,$C523-$AC$520),IF(DATE($C523,11,15)&gt;=$V$520,$Y$520*(1+($U$520)/100)^MAX(0,$C523-$AB$520),0)))))</f>
      </c>
      <c r="P523" s="43">
        <f>IF($S$520=0,0,IF(OR(DATE($C523,12,15)&lt;$S$520,AND($T$520&gt;0,DATE($C523,12,15)&gt;$T$520)),0,IF(DATE($C523,12,15)&gt;=$X$520,$AA$520*(1+($U$520)/100)^MAX(0,$C523-$AD$520),IF(DATE($C523,12,15)&gt;=$W$520,$Z$520*(1+($U$520)/100)^MAX(0,$C523-$AC$520),IF(DATE($C523,12,15)&gt;=$V$520,$Y$520*(1+($U$520)/100)^MAX(0,$C523-$AB$520),0)))))</f>
      </c>
      <c r="Q523" s="43">
        <f>SUM($E523:$P523)</f>
      </c>
    </row>
    <row r="524">
      <c r="A524"/>
      <c r="B524">
        <v>17</v>
      </c>
      <c r="C524" s="43">
        <f>Jahr+4</f>
      </c>
      <c r="D524" s="43">
        <f>INDEX(MvObj,17)</f>
      </c>
      <c r="E524" s="43">
        <f>IF($S$520=0,0,IF(OR(DATE($C524,1,15)&lt;$S$520,AND($T$520&gt;0,DATE($C524,1,15)&gt;$T$520)),0,IF(DATE($C524,1,15)&gt;=$X$520,$AA$520*(1+($U$520)/100)^MAX(0,$C524-$AD$520),IF(DATE($C524,1,15)&gt;=$W$520,$Z$520*(1+($U$520)/100)^MAX(0,$C524-$AC$520),IF(DATE($C524,1,15)&gt;=$V$520,$Y$520*(1+($U$520)/100)^MAX(0,$C524-$AB$520),0)))))</f>
      </c>
      <c r="F524" s="43">
        <f>IF($S$520=0,0,IF(OR(DATE($C524,2,15)&lt;$S$520,AND($T$520&gt;0,DATE($C524,2,15)&gt;$T$520)),0,IF(DATE($C524,2,15)&gt;=$X$520,$AA$520*(1+($U$520)/100)^MAX(0,$C524-$AD$520),IF(DATE($C524,2,15)&gt;=$W$520,$Z$520*(1+($U$520)/100)^MAX(0,$C524-$AC$520),IF(DATE($C524,2,15)&gt;=$V$520,$Y$520*(1+($U$520)/100)^MAX(0,$C524-$AB$520),0)))))</f>
      </c>
      <c r="G524" s="43">
        <f>IF($S$520=0,0,IF(OR(DATE($C524,3,15)&lt;$S$520,AND($T$520&gt;0,DATE($C524,3,15)&gt;$T$520)),0,IF(DATE($C524,3,15)&gt;=$X$520,$AA$520*(1+($U$520)/100)^MAX(0,$C524-$AD$520),IF(DATE($C524,3,15)&gt;=$W$520,$Z$520*(1+($U$520)/100)^MAX(0,$C524-$AC$520),IF(DATE($C524,3,15)&gt;=$V$520,$Y$520*(1+($U$520)/100)^MAX(0,$C524-$AB$520),0)))))</f>
      </c>
      <c r="H524" s="43">
        <f>IF($S$520=0,0,IF(OR(DATE($C524,4,15)&lt;$S$520,AND($T$520&gt;0,DATE($C524,4,15)&gt;$T$520)),0,IF(DATE($C524,4,15)&gt;=$X$520,$AA$520*(1+($U$520)/100)^MAX(0,$C524-$AD$520),IF(DATE($C524,4,15)&gt;=$W$520,$Z$520*(1+($U$520)/100)^MAX(0,$C524-$AC$520),IF(DATE($C524,4,15)&gt;=$V$520,$Y$520*(1+($U$520)/100)^MAX(0,$C524-$AB$520),0)))))</f>
      </c>
      <c r="I524" s="43">
        <f>IF($S$520=0,0,IF(OR(DATE($C524,5,15)&lt;$S$520,AND($T$520&gt;0,DATE($C524,5,15)&gt;$T$520)),0,IF(DATE($C524,5,15)&gt;=$X$520,$AA$520*(1+($U$520)/100)^MAX(0,$C524-$AD$520),IF(DATE($C524,5,15)&gt;=$W$520,$Z$520*(1+($U$520)/100)^MAX(0,$C524-$AC$520),IF(DATE($C524,5,15)&gt;=$V$520,$Y$520*(1+($U$520)/100)^MAX(0,$C524-$AB$520),0)))))</f>
      </c>
      <c r="J524" s="43">
        <f>IF($S$520=0,0,IF(OR(DATE($C524,6,15)&lt;$S$520,AND($T$520&gt;0,DATE($C524,6,15)&gt;$T$520)),0,IF(DATE($C524,6,15)&gt;=$X$520,$AA$520*(1+($U$520)/100)^MAX(0,$C524-$AD$520),IF(DATE($C524,6,15)&gt;=$W$520,$Z$520*(1+($U$520)/100)^MAX(0,$C524-$AC$520),IF(DATE($C524,6,15)&gt;=$V$520,$Y$520*(1+($U$520)/100)^MAX(0,$C524-$AB$520),0)))))</f>
      </c>
      <c r="K524" s="43">
        <f>IF($S$520=0,0,IF(OR(DATE($C524,7,15)&lt;$S$520,AND($T$520&gt;0,DATE($C524,7,15)&gt;$T$520)),0,IF(DATE($C524,7,15)&gt;=$X$520,$AA$520*(1+($U$520)/100)^MAX(0,$C524-$AD$520),IF(DATE($C524,7,15)&gt;=$W$520,$Z$520*(1+($U$520)/100)^MAX(0,$C524-$AC$520),IF(DATE($C524,7,15)&gt;=$V$520,$Y$520*(1+($U$520)/100)^MAX(0,$C524-$AB$520),0)))))</f>
      </c>
      <c r="L524" s="43">
        <f>IF($S$520=0,0,IF(OR(DATE($C524,8,15)&lt;$S$520,AND($T$520&gt;0,DATE($C524,8,15)&gt;$T$520)),0,IF(DATE($C524,8,15)&gt;=$X$520,$AA$520*(1+($U$520)/100)^MAX(0,$C524-$AD$520),IF(DATE($C524,8,15)&gt;=$W$520,$Z$520*(1+($U$520)/100)^MAX(0,$C524-$AC$520),IF(DATE($C524,8,15)&gt;=$V$520,$Y$520*(1+($U$520)/100)^MAX(0,$C524-$AB$520),0)))))</f>
      </c>
      <c r="M524" s="43">
        <f>IF($S$520=0,0,IF(OR(DATE($C524,9,15)&lt;$S$520,AND($T$520&gt;0,DATE($C524,9,15)&gt;$T$520)),0,IF(DATE($C524,9,15)&gt;=$X$520,$AA$520*(1+($U$520)/100)^MAX(0,$C524-$AD$520),IF(DATE($C524,9,15)&gt;=$W$520,$Z$520*(1+($U$520)/100)^MAX(0,$C524-$AC$520),IF(DATE($C524,9,15)&gt;=$V$520,$Y$520*(1+($U$520)/100)^MAX(0,$C524-$AB$520),0)))))</f>
      </c>
      <c r="N524" s="43">
        <f>IF($S$520=0,0,IF(OR(DATE($C524,10,15)&lt;$S$520,AND($T$520&gt;0,DATE($C524,10,15)&gt;$T$520)),0,IF(DATE($C524,10,15)&gt;=$X$520,$AA$520*(1+($U$520)/100)^MAX(0,$C524-$AD$520),IF(DATE($C524,10,15)&gt;=$W$520,$Z$520*(1+($U$520)/100)^MAX(0,$C524-$AC$520),IF(DATE($C524,10,15)&gt;=$V$520,$Y$520*(1+($U$520)/100)^MAX(0,$C524-$AB$520),0)))))</f>
      </c>
      <c r="O524" s="43">
        <f>IF($S$520=0,0,IF(OR(DATE($C524,11,15)&lt;$S$520,AND($T$520&gt;0,DATE($C524,11,15)&gt;$T$520)),0,IF(DATE($C524,11,15)&gt;=$X$520,$AA$520*(1+($U$520)/100)^MAX(0,$C524-$AD$520),IF(DATE($C524,11,15)&gt;=$W$520,$Z$520*(1+($U$520)/100)^MAX(0,$C524-$AC$520),IF(DATE($C524,11,15)&gt;=$V$520,$Y$520*(1+($U$520)/100)^MAX(0,$C524-$AB$520),0)))))</f>
      </c>
      <c r="P524" s="43">
        <f>IF($S$520=0,0,IF(OR(DATE($C524,12,15)&lt;$S$520,AND($T$520&gt;0,DATE($C524,12,15)&gt;$T$520)),0,IF(DATE($C524,12,15)&gt;=$X$520,$AA$520*(1+($U$520)/100)^MAX(0,$C524-$AD$520),IF(DATE($C524,12,15)&gt;=$W$520,$Z$520*(1+($U$520)/100)^MAX(0,$C524-$AC$520),IF(DATE($C524,12,15)&gt;=$V$520,$Y$520*(1+($U$520)/100)^MAX(0,$C524-$AB$520),0)))))</f>
      </c>
      <c r="Q524" s="43">
        <f>SUM($E524:$P524)</f>
      </c>
    </row>
    <row r="525">
      <c r="A525"/>
      <c r="B525">
        <v>17</v>
      </c>
      <c r="C525" s="43">
        <f>Jahr+5</f>
      </c>
      <c r="D525" s="43">
        <f>INDEX(MvObj,17)</f>
      </c>
      <c r="E525" s="43">
        <f>IF($S$520=0,0,IF(OR(DATE($C525,1,15)&lt;$S$520,AND($T$520&gt;0,DATE($C525,1,15)&gt;$T$520)),0,IF(DATE($C525,1,15)&gt;=$X$520,$AA$520*(1+($U$520)/100)^MAX(0,$C525-$AD$520),IF(DATE($C525,1,15)&gt;=$W$520,$Z$520*(1+($U$520)/100)^MAX(0,$C525-$AC$520),IF(DATE($C525,1,15)&gt;=$V$520,$Y$520*(1+($U$520)/100)^MAX(0,$C525-$AB$520),0)))))</f>
      </c>
      <c r="F525" s="43">
        <f>IF($S$520=0,0,IF(OR(DATE($C525,2,15)&lt;$S$520,AND($T$520&gt;0,DATE($C525,2,15)&gt;$T$520)),0,IF(DATE($C525,2,15)&gt;=$X$520,$AA$520*(1+($U$520)/100)^MAX(0,$C525-$AD$520),IF(DATE($C525,2,15)&gt;=$W$520,$Z$520*(1+($U$520)/100)^MAX(0,$C525-$AC$520),IF(DATE($C525,2,15)&gt;=$V$520,$Y$520*(1+($U$520)/100)^MAX(0,$C525-$AB$520),0)))))</f>
      </c>
      <c r="G525" s="43">
        <f>IF($S$520=0,0,IF(OR(DATE($C525,3,15)&lt;$S$520,AND($T$520&gt;0,DATE($C525,3,15)&gt;$T$520)),0,IF(DATE($C525,3,15)&gt;=$X$520,$AA$520*(1+($U$520)/100)^MAX(0,$C525-$AD$520),IF(DATE($C525,3,15)&gt;=$W$520,$Z$520*(1+($U$520)/100)^MAX(0,$C525-$AC$520),IF(DATE($C525,3,15)&gt;=$V$520,$Y$520*(1+($U$520)/100)^MAX(0,$C525-$AB$520),0)))))</f>
      </c>
      <c r="H525" s="43">
        <f>IF($S$520=0,0,IF(OR(DATE($C525,4,15)&lt;$S$520,AND($T$520&gt;0,DATE($C525,4,15)&gt;$T$520)),0,IF(DATE($C525,4,15)&gt;=$X$520,$AA$520*(1+($U$520)/100)^MAX(0,$C525-$AD$520),IF(DATE($C525,4,15)&gt;=$W$520,$Z$520*(1+($U$520)/100)^MAX(0,$C525-$AC$520),IF(DATE($C525,4,15)&gt;=$V$520,$Y$520*(1+($U$520)/100)^MAX(0,$C525-$AB$520),0)))))</f>
      </c>
      <c r="I525" s="43">
        <f>IF($S$520=0,0,IF(OR(DATE($C525,5,15)&lt;$S$520,AND($T$520&gt;0,DATE($C525,5,15)&gt;$T$520)),0,IF(DATE($C525,5,15)&gt;=$X$520,$AA$520*(1+($U$520)/100)^MAX(0,$C525-$AD$520),IF(DATE($C525,5,15)&gt;=$W$520,$Z$520*(1+($U$520)/100)^MAX(0,$C525-$AC$520),IF(DATE($C525,5,15)&gt;=$V$520,$Y$520*(1+($U$520)/100)^MAX(0,$C525-$AB$520),0)))))</f>
      </c>
      <c r="J525" s="43">
        <f>IF($S$520=0,0,IF(OR(DATE($C525,6,15)&lt;$S$520,AND($T$520&gt;0,DATE($C525,6,15)&gt;$T$520)),0,IF(DATE($C525,6,15)&gt;=$X$520,$AA$520*(1+($U$520)/100)^MAX(0,$C525-$AD$520),IF(DATE($C525,6,15)&gt;=$W$520,$Z$520*(1+($U$520)/100)^MAX(0,$C525-$AC$520),IF(DATE($C525,6,15)&gt;=$V$520,$Y$520*(1+($U$520)/100)^MAX(0,$C525-$AB$520),0)))))</f>
      </c>
      <c r="K525" s="43">
        <f>IF($S$520=0,0,IF(OR(DATE($C525,7,15)&lt;$S$520,AND($T$520&gt;0,DATE($C525,7,15)&gt;$T$520)),0,IF(DATE($C525,7,15)&gt;=$X$520,$AA$520*(1+($U$520)/100)^MAX(0,$C525-$AD$520),IF(DATE($C525,7,15)&gt;=$W$520,$Z$520*(1+($U$520)/100)^MAX(0,$C525-$AC$520),IF(DATE($C525,7,15)&gt;=$V$520,$Y$520*(1+($U$520)/100)^MAX(0,$C525-$AB$520),0)))))</f>
      </c>
      <c r="L525" s="43">
        <f>IF($S$520=0,0,IF(OR(DATE($C525,8,15)&lt;$S$520,AND($T$520&gt;0,DATE($C525,8,15)&gt;$T$520)),0,IF(DATE($C525,8,15)&gt;=$X$520,$AA$520*(1+($U$520)/100)^MAX(0,$C525-$AD$520),IF(DATE($C525,8,15)&gt;=$W$520,$Z$520*(1+($U$520)/100)^MAX(0,$C525-$AC$520),IF(DATE($C525,8,15)&gt;=$V$520,$Y$520*(1+($U$520)/100)^MAX(0,$C525-$AB$520),0)))))</f>
      </c>
      <c r="M525" s="43">
        <f>IF($S$520=0,0,IF(OR(DATE($C525,9,15)&lt;$S$520,AND($T$520&gt;0,DATE($C525,9,15)&gt;$T$520)),0,IF(DATE($C525,9,15)&gt;=$X$520,$AA$520*(1+($U$520)/100)^MAX(0,$C525-$AD$520),IF(DATE($C525,9,15)&gt;=$W$520,$Z$520*(1+($U$520)/100)^MAX(0,$C525-$AC$520),IF(DATE($C525,9,15)&gt;=$V$520,$Y$520*(1+($U$520)/100)^MAX(0,$C525-$AB$520),0)))))</f>
      </c>
      <c r="N525" s="43">
        <f>IF($S$520=0,0,IF(OR(DATE($C525,10,15)&lt;$S$520,AND($T$520&gt;0,DATE($C525,10,15)&gt;$T$520)),0,IF(DATE($C525,10,15)&gt;=$X$520,$AA$520*(1+($U$520)/100)^MAX(0,$C525-$AD$520),IF(DATE($C525,10,15)&gt;=$W$520,$Z$520*(1+($U$520)/100)^MAX(0,$C525-$AC$520),IF(DATE($C525,10,15)&gt;=$V$520,$Y$520*(1+($U$520)/100)^MAX(0,$C525-$AB$520),0)))))</f>
      </c>
      <c r="O525" s="43">
        <f>IF($S$520=0,0,IF(OR(DATE($C525,11,15)&lt;$S$520,AND($T$520&gt;0,DATE($C525,11,15)&gt;$T$520)),0,IF(DATE($C525,11,15)&gt;=$X$520,$AA$520*(1+($U$520)/100)^MAX(0,$C525-$AD$520),IF(DATE($C525,11,15)&gt;=$W$520,$Z$520*(1+($U$520)/100)^MAX(0,$C525-$AC$520),IF(DATE($C525,11,15)&gt;=$V$520,$Y$520*(1+($U$520)/100)^MAX(0,$C525-$AB$520),0)))))</f>
      </c>
      <c r="P525" s="43">
        <f>IF($S$520=0,0,IF(OR(DATE($C525,12,15)&lt;$S$520,AND($T$520&gt;0,DATE($C525,12,15)&gt;$T$520)),0,IF(DATE($C525,12,15)&gt;=$X$520,$AA$520*(1+($U$520)/100)^MAX(0,$C525-$AD$520),IF(DATE($C525,12,15)&gt;=$W$520,$Z$520*(1+($U$520)/100)^MAX(0,$C525-$AC$520),IF(DATE($C525,12,15)&gt;=$V$520,$Y$520*(1+($U$520)/100)^MAX(0,$C525-$AB$520),0)))))</f>
      </c>
      <c r="Q525" s="43">
        <f>SUM($E525:$P525)</f>
      </c>
    </row>
    <row r="526">
      <c r="A526"/>
      <c r="B526">
        <v>17</v>
      </c>
      <c r="C526" s="43">
        <f>Jahr+6</f>
      </c>
      <c r="D526" s="43">
        <f>INDEX(MvObj,17)</f>
      </c>
      <c r="E526" s="43">
        <f>IF($S$520=0,0,IF(OR(DATE($C526,1,15)&lt;$S$520,AND($T$520&gt;0,DATE($C526,1,15)&gt;$T$520)),0,IF(DATE($C526,1,15)&gt;=$X$520,$AA$520*(1+($U$520)/100)^MAX(0,$C526-$AD$520),IF(DATE($C526,1,15)&gt;=$W$520,$Z$520*(1+($U$520)/100)^MAX(0,$C526-$AC$520),IF(DATE($C526,1,15)&gt;=$V$520,$Y$520*(1+($U$520)/100)^MAX(0,$C526-$AB$520),0)))))</f>
      </c>
      <c r="F526" s="43">
        <f>IF($S$520=0,0,IF(OR(DATE($C526,2,15)&lt;$S$520,AND($T$520&gt;0,DATE($C526,2,15)&gt;$T$520)),0,IF(DATE($C526,2,15)&gt;=$X$520,$AA$520*(1+($U$520)/100)^MAX(0,$C526-$AD$520),IF(DATE($C526,2,15)&gt;=$W$520,$Z$520*(1+($U$520)/100)^MAX(0,$C526-$AC$520),IF(DATE($C526,2,15)&gt;=$V$520,$Y$520*(1+($U$520)/100)^MAX(0,$C526-$AB$520),0)))))</f>
      </c>
      <c r="G526" s="43">
        <f>IF($S$520=0,0,IF(OR(DATE($C526,3,15)&lt;$S$520,AND($T$520&gt;0,DATE($C526,3,15)&gt;$T$520)),0,IF(DATE($C526,3,15)&gt;=$X$520,$AA$520*(1+($U$520)/100)^MAX(0,$C526-$AD$520),IF(DATE($C526,3,15)&gt;=$W$520,$Z$520*(1+($U$520)/100)^MAX(0,$C526-$AC$520),IF(DATE($C526,3,15)&gt;=$V$520,$Y$520*(1+($U$520)/100)^MAX(0,$C526-$AB$520),0)))))</f>
      </c>
      <c r="H526" s="43">
        <f>IF($S$520=0,0,IF(OR(DATE($C526,4,15)&lt;$S$520,AND($T$520&gt;0,DATE($C526,4,15)&gt;$T$520)),0,IF(DATE($C526,4,15)&gt;=$X$520,$AA$520*(1+($U$520)/100)^MAX(0,$C526-$AD$520),IF(DATE($C526,4,15)&gt;=$W$520,$Z$520*(1+($U$520)/100)^MAX(0,$C526-$AC$520),IF(DATE($C526,4,15)&gt;=$V$520,$Y$520*(1+($U$520)/100)^MAX(0,$C526-$AB$520),0)))))</f>
      </c>
      <c r="I526" s="43">
        <f>IF($S$520=0,0,IF(OR(DATE($C526,5,15)&lt;$S$520,AND($T$520&gt;0,DATE($C526,5,15)&gt;$T$520)),0,IF(DATE($C526,5,15)&gt;=$X$520,$AA$520*(1+($U$520)/100)^MAX(0,$C526-$AD$520),IF(DATE($C526,5,15)&gt;=$W$520,$Z$520*(1+($U$520)/100)^MAX(0,$C526-$AC$520),IF(DATE($C526,5,15)&gt;=$V$520,$Y$520*(1+($U$520)/100)^MAX(0,$C526-$AB$520),0)))))</f>
      </c>
      <c r="J526" s="43">
        <f>IF($S$520=0,0,IF(OR(DATE($C526,6,15)&lt;$S$520,AND($T$520&gt;0,DATE($C526,6,15)&gt;$T$520)),0,IF(DATE($C526,6,15)&gt;=$X$520,$AA$520*(1+($U$520)/100)^MAX(0,$C526-$AD$520),IF(DATE($C526,6,15)&gt;=$W$520,$Z$520*(1+($U$520)/100)^MAX(0,$C526-$AC$520),IF(DATE($C526,6,15)&gt;=$V$520,$Y$520*(1+($U$520)/100)^MAX(0,$C526-$AB$520),0)))))</f>
      </c>
      <c r="K526" s="43">
        <f>IF($S$520=0,0,IF(OR(DATE($C526,7,15)&lt;$S$520,AND($T$520&gt;0,DATE($C526,7,15)&gt;$T$520)),0,IF(DATE($C526,7,15)&gt;=$X$520,$AA$520*(1+($U$520)/100)^MAX(0,$C526-$AD$520),IF(DATE($C526,7,15)&gt;=$W$520,$Z$520*(1+($U$520)/100)^MAX(0,$C526-$AC$520),IF(DATE($C526,7,15)&gt;=$V$520,$Y$520*(1+($U$520)/100)^MAX(0,$C526-$AB$520),0)))))</f>
      </c>
      <c r="L526" s="43">
        <f>IF($S$520=0,0,IF(OR(DATE($C526,8,15)&lt;$S$520,AND($T$520&gt;0,DATE($C526,8,15)&gt;$T$520)),0,IF(DATE($C526,8,15)&gt;=$X$520,$AA$520*(1+($U$520)/100)^MAX(0,$C526-$AD$520),IF(DATE($C526,8,15)&gt;=$W$520,$Z$520*(1+($U$520)/100)^MAX(0,$C526-$AC$520),IF(DATE($C526,8,15)&gt;=$V$520,$Y$520*(1+($U$520)/100)^MAX(0,$C526-$AB$520),0)))))</f>
      </c>
      <c r="M526" s="43">
        <f>IF($S$520=0,0,IF(OR(DATE($C526,9,15)&lt;$S$520,AND($T$520&gt;0,DATE($C526,9,15)&gt;$T$520)),0,IF(DATE($C526,9,15)&gt;=$X$520,$AA$520*(1+($U$520)/100)^MAX(0,$C526-$AD$520),IF(DATE($C526,9,15)&gt;=$W$520,$Z$520*(1+($U$520)/100)^MAX(0,$C526-$AC$520),IF(DATE($C526,9,15)&gt;=$V$520,$Y$520*(1+($U$520)/100)^MAX(0,$C526-$AB$520),0)))))</f>
      </c>
      <c r="N526" s="43">
        <f>IF($S$520=0,0,IF(OR(DATE($C526,10,15)&lt;$S$520,AND($T$520&gt;0,DATE($C526,10,15)&gt;$T$520)),0,IF(DATE($C526,10,15)&gt;=$X$520,$AA$520*(1+($U$520)/100)^MAX(0,$C526-$AD$520),IF(DATE($C526,10,15)&gt;=$W$520,$Z$520*(1+($U$520)/100)^MAX(0,$C526-$AC$520),IF(DATE($C526,10,15)&gt;=$V$520,$Y$520*(1+($U$520)/100)^MAX(0,$C526-$AB$520),0)))))</f>
      </c>
      <c r="O526" s="43">
        <f>IF($S$520=0,0,IF(OR(DATE($C526,11,15)&lt;$S$520,AND($T$520&gt;0,DATE($C526,11,15)&gt;$T$520)),0,IF(DATE($C526,11,15)&gt;=$X$520,$AA$520*(1+($U$520)/100)^MAX(0,$C526-$AD$520),IF(DATE($C526,11,15)&gt;=$W$520,$Z$520*(1+($U$520)/100)^MAX(0,$C526-$AC$520),IF(DATE($C526,11,15)&gt;=$V$520,$Y$520*(1+($U$520)/100)^MAX(0,$C526-$AB$520),0)))))</f>
      </c>
      <c r="P526" s="43">
        <f>IF($S$520=0,0,IF(OR(DATE($C526,12,15)&lt;$S$520,AND($T$520&gt;0,DATE($C526,12,15)&gt;$T$520)),0,IF(DATE($C526,12,15)&gt;=$X$520,$AA$520*(1+($U$520)/100)^MAX(0,$C526-$AD$520),IF(DATE($C526,12,15)&gt;=$W$520,$Z$520*(1+($U$520)/100)^MAX(0,$C526-$AC$520),IF(DATE($C526,12,15)&gt;=$V$520,$Y$520*(1+($U$520)/100)^MAX(0,$C526-$AB$520),0)))))</f>
      </c>
      <c r="Q526" s="43">
        <f>SUM($E526:$P526)</f>
      </c>
    </row>
    <row r="527">
      <c r="A527"/>
      <c r="B527">
        <v>17</v>
      </c>
      <c r="C527" s="43">
        <f>Jahr+7</f>
      </c>
      <c r="D527" s="43">
        <f>INDEX(MvObj,17)</f>
      </c>
      <c r="E527" s="43">
        <f>IF($S$520=0,0,IF(OR(DATE($C527,1,15)&lt;$S$520,AND($T$520&gt;0,DATE($C527,1,15)&gt;$T$520)),0,IF(DATE($C527,1,15)&gt;=$X$520,$AA$520*(1+($U$520)/100)^MAX(0,$C527-$AD$520),IF(DATE($C527,1,15)&gt;=$W$520,$Z$520*(1+($U$520)/100)^MAX(0,$C527-$AC$520),IF(DATE($C527,1,15)&gt;=$V$520,$Y$520*(1+($U$520)/100)^MAX(0,$C527-$AB$520),0)))))</f>
      </c>
      <c r="F527" s="43">
        <f>IF($S$520=0,0,IF(OR(DATE($C527,2,15)&lt;$S$520,AND($T$520&gt;0,DATE($C527,2,15)&gt;$T$520)),0,IF(DATE($C527,2,15)&gt;=$X$520,$AA$520*(1+($U$520)/100)^MAX(0,$C527-$AD$520),IF(DATE($C527,2,15)&gt;=$W$520,$Z$520*(1+($U$520)/100)^MAX(0,$C527-$AC$520),IF(DATE($C527,2,15)&gt;=$V$520,$Y$520*(1+($U$520)/100)^MAX(0,$C527-$AB$520),0)))))</f>
      </c>
      <c r="G527" s="43">
        <f>IF($S$520=0,0,IF(OR(DATE($C527,3,15)&lt;$S$520,AND($T$520&gt;0,DATE($C527,3,15)&gt;$T$520)),0,IF(DATE($C527,3,15)&gt;=$X$520,$AA$520*(1+($U$520)/100)^MAX(0,$C527-$AD$520),IF(DATE($C527,3,15)&gt;=$W$520,$Z$520*(1+($U$520)/100)^MAX(0,$C527-$AC$520),IF(DATE($C527,3,15)&gt;=$V$520,$Y$520*(1+($U$520)/100)^MAX(0,$C527-$AB$520),0)))))</f>
      </c>
      <c r="H527" s="43">
        <f>IF($S$520=0,0,IF(OR(DATE($C527,4,15)&lt;$S$520,AND($T$520&gt;0,DATE($C527,4,15)&gt;$T$520)),0,IF(DATE($C527,4,15)&gt;=$X$520,$AA$520*(1+($U$520)/100)^MAX(0,$C527-$AD$520),IF(DATE($C527,4,15)&gt;=$W$520,$Z$520*(1+($U$520)/100)^MAX(0,$C527-$AC$520),IF(DATE($C527,4,15)&gt;=$V$520,$Y$520*(1+($U$520)/100)^MAX(0,$C527-$AB$520),0)))))</f>
      </c>
      <c r="I527" s="43">
        <f>IF($S$520=0,0,IF(OR(DATE($C527,5,15)&lt;$S$520,AND($T$520&gt;0,DATE($C527,5,15)&gt;$T$520)),0,IF(DATE($C527,5,15)&gt;=$X$520,$AA$520*(1+($U$520)/100)^MAX(0,$C527-$AD$520),IF(DATE($C527,5,15)&gt;=$W$520,$Z$520*(1+($U$520)/100)^MAX(0,$C527-$AC$520),IF(DATE($C527,5,15)&gt;=$V$520,$Y$520*(1+($U$520)/100)^MAX(0,$C527-$AB$520),0)))))</f>
      </c>
      <c r="J527" s="43">
        <f>IF($S$520=0,0,IF(OR(DATE($C527,6,15)&lt;$S$520,AND($T$520&gt;0,DATE($C527,6,15)&gt;$T$520)),0,IF(DATE($C527,6,15)&gt;=$X$520,$AA$520*(1+($U$520)/100)^MAX(0,$C527-$AD$520),IF(DATE($C527,6,15)&gt;=$W$520,$Z$520*(1+($U$520)/100)^MAX(0,$C527-$AC$520),IF(DATE($C527,6,15)&gt;=$V$520,$Y$520*(1+($U$520)/100)^MAX(0,$C527-$AB$520),0)))))</f>
      </c>
      <c r="K527" s="43">
        <f>IF($S$520=0,0,IF(OR(DATE($C527,7,15)&lt;$S$520,AND($T$520&gt;0,DATE($C527,7,15)&gt;$T$520)),0,IF(DATE($C527,7,15)&gt;=$X$520,$AA$520*(1+($U$520)/100)^MAX(0,$C527-$AD$520),IF(DATE($C527,7,15)&gt;=$W$520,$Z$520*(1+($U$520)/100)^MAX(0,$C527-$AC$520),IF(DATE($C527,7,15)&gt;=$V$520,$Y$520*(1+($U$520)/100)^MAX(0,$C527-$AB$520),0)))))</f>
      </c>
      <c r="L527" s="43">
        <f>IF($S$520=0,0,IF(OR(DATE($C527,8,15)&lt;$S$520,AND($T$520&gt;0,DATE($C527,8,15)&gt;$T$520)),0,IF(DATE($C527,8,15)&gt;=$X$520,$AA$520*(1+($U$520)/100)^MAX(0,$C527-$AD$520),IF(DATE($C527,8,15)&gt;=$W$520,$Z$520*(1+($U$520)/100)^MAX(0,$C527-$AC$520),IF(DATE($C527,8,15)&gt;=$V$520,$Y$520*(1+($U$520)/100)^MAX(0,$C527-$AB$520),0)))))</f>
      </c>
      <c r="M527" s="43">
        <f>IF($S$520=0,0,IF(OR(DATE($C527,9,15)&lt;$S$520,AND($T$520&gt;0,DATE($C527,9,15)&gt;$T$520)),0,IF(DATE($C527,9,15)&gt;=$X$520,$AA$520*(1+($U$520)/100)^MAX(0,$C527-$AD$520),IF(DATE($C527,9,15)&gt;=$W$520,$Z$520*(1+($U$520)/100)^MAX(0,$C527-$AC$520),IF(DATE($C527,9,15)&gt;=$V$520,$Y$520*(1+($U$520)/100)^MAX(0,$C527-$AB$520),0)))))</f>
      </c>
      <c r="N527" s="43">
        <f>IF($S$520=0,0,IF(OR(DATE($C527,10,15)&lt;$S$520,AND($T$520&gt;0,DATE($C527,10,15)&gt;$T$520)),0,IF(DATE($C527,10,15)&gt;=$X$520,$AA$520*(1+($U$520)/100)^MAX(0,$C527-$AD$520),IF(DATE($C527,10,15)&gt;=$W$520,$Z$520*(1+($U$520)/100)^MAX(0,$C527-$AC$520),IF(DATE($C527,10,15)&gt;=$V$520,$Y$520*(1+($U$520)/100)^MAX(0,$C527-$AB$520),0)))))</f>
      </c>
      <c r="O527" s="43">
        <f>IF($S$520=0,0,IF(OR(DATE($C527,11,15)&lt;$S$520,AND($T$520&gt;0,DATE($C527,11,15)&gt;$T$520)),0,IF(DATE($C527,11,15)&gt;=$X$520,$AA$520*(1+($U$520)/100)^MAX(0,$C527-$AD$520),IF(DATE($C527,11,15)&gt;=$W$520,$Z$520*(1+($U$520)/100)^MAX(0,$C527-$AC$520),IF(DATE($C527,11,15)&gt;=$V$520,$Y$520*(1+($U$520)/100)^MAX(0,$C527-$AB$520),0)))))</f>
      </c>
      <c r="P527" s="43">
        <f>IF($S$520=0,0,IF(OR(DATE($C527,12,15)&lt;$S$520,AND($T$520&gt;0,DATE($C527,12,15)&gt;$T$520)),0,IF(DATE($C527,12,15)&gt;=$X$520,$AA$520*(1+($U$520)/100)^MAX(0,$C527-$AD$520),IF(DATE($C527,12,15)&gt;=$W$520,$Z$520*(1+($U$520)/100)^MAX(0,$C527-$AC$520),IF(DATE($C527,12,15)&gt;=$V$520,$Y$520*(1+($U$520)/100)^MAX(0,$C527-$AB$520),0)))))</f>
      </c>
      <c r="Q527" s="43">
        <f>SUM($E527:$P527)</f>
      </c>
    </row>
    <row r="528">
      <c r="A528"/>
      <c r="B528">
        <v>17</v>
      </c>
      <c r="C528" s="43">
        <f>Jahr+8</f>
      </c>
      <c r="D528" s="43">
        <f>INDEX(MvObj,17)</f>
      </c>
      <c r="E528" s="43">
        <f>IF($S$520=0,0,IF(OR(DATE($C528,1,15)&lt;$S$520,AND($T$520&gt;0,DATE($C528,1,15)&gt;$T$520)),0,IF(DATE($C528,1,15)&gt;=$X$520,$AA$520*(1+($U$520)/100)^MAX(0,$C528-$AD$520),IF(DATE($C528,1,15)&gt;=$W$520,$Z$520*(1+($U$520)/100)^MAX(0,$C528-$AC$520),IF(DATE($C528,1,15)&gt;=$V$520,$Y$520*(1+($U$520)/100)^MAX(0,$C528-$AB$520),0)))))</f>
      </c>
      <c r="F528" s="43">
        <f>IF($S$520=0,0,IF(OR(DATE($C528,2,15)&lt;$S$520,AND($T$520&gt;0,DATE($C528,2,15)&gt;$T$520)),0,IF(DATE($C528,2,15)&gt;=$X$520,$AA$520*(1+($U$520)/100)^MAX(0,$C528-$AD$520),IF(DATE($C528,2,15)&gt;=$W$520,$Z$520*(1+($U$520)/100)^MAX(0,$C528-$AC$520),IF(DATE($C528,2,15)&gt;=$V$520,$Y$520*(1+($U$520)/100)^MAX(0,$C528-$AB$520),0)))))</f>
      </c>
      <c r="G528" s="43">
        <f>IF($S$520=0,0,IF(OR(DATE($C528,3,15)&lt;$S$520,AND($T$520&gt;0,DATE($C528,3,15)&gt;$T$520)),0,IF(DATE($C528,3,15)&gt;=$X$520,$AA$520*(1+($U$520)/100)^MAX(0,$C528-$AD$520),IF(DATE($C528,3,15)&gt;=$W$520,$Z$520*(1+($U$520)/100)^MAX(0,$C528-$AC$520),IF(DATE($C528,3,15)&gt;=$V$520,$Y$520*(1+($U$520)/100)^MAX(0,$C528-$AB$520),0)))))</f>
      </c>
      <c r="H528" s="43">
        <f>IF($S$520=0,0,IF(OR(DATE($C528,4,15)&lt;$S$520,AND($T$520&gt;0,DATE($C528,4,15)&gt;$T$520)),0,IF(DATE($C528,4,15)&gt;=$X$520,$AA$520*(1+($U$520)/100)^MAX(0,$C528-$AD$520),IF(DATE($C528,4,15)&gt;=$W$520,$Z$520*(1+($U$520)/100)^MAX(0,$C528-$AC$520),IF(DATE($C528,4,15)&gt;=$V$520,$Y$520*(1+($U$520)/100)^MAX(0,$C528-$AB$520),0)))))</f>
      </c>
      <c r="I528" s="43">
        <f>IF($S$520=0,0,IF(OR(DATE($C528,5,15)&lt;$S$520,AND($T$520&gt;0,DATE($C528,5,15)&gt;$T$520)),0,IF(DATE($C528,5,15)&gt;=$X$520,$AA$520*(1+($U$520)/100)^MAX(0,$C528-$AD$520),IF(DATE($C528,5,15)&gt;=$W$520,$Z$520*(1+($U$520)/100)^MAX(0,$C528-$AC$520),IF(DATE($C528,5,15)&gt;=$V$520,$Y$520*(1+($U$520)/100)^MAX(0,$C528-$AB$520),0)))))</f>
      </c>
      <c r="J528" s="43">
        <f>IF($S$520=0,0,IF(OR(DATE($C528,6,15)&lt;$S$520,AND($T$520&gt;0,DATE($C528,6,15)&gt;$T$520)),0,IF(DATE($C528,6,15)&gt;=$X$520,$AA$520*(1+($U$520)/100)^MAX(0,$C528-$AD$520),IF(DATE($C528,6,15)&gt;=$W$520,$Z$520*(1+($U$520)/100)^MAX(0,$C528-$AC$520),IF(DATE($C528,6,15)&gt;=$V$520,$Y$520*(1+($U$520)/100)^MAX(0,$C528-$AB$520),0)))))</f>
      </c>
      <c r="K528" s="43">
        <f>IF($S$520=0,0,IF(OR(DATE($C528,7,15)&lt;$S$520,AND($T$520&gt;0,DATE($C528,7,15)&gt;$T$520)),0,IF(DATE($C528,7,15)&gt;=$X$520,$AA$520*(1+($U$520)/100)^MAX(0,$C528-$AD$520),IF(DATE($C528,7,15)&gt;=$W$520,$Z$520*(1+($U$520)/100)^MAX(0,$C528-$AC$520),IF(DATE($C528,7,15)&gt;=$V$520,$Y$520*(1+($U$520)/100)^MAX(0,$C528-$AB$520),0)))))</f>
      </c>
      <c r="L528" s="43">
        <f>IF($S$520=0,0,IF(OR(DATE($C528,8,15)&lt;$S$520,AND($T$520&gt;0,DATE($C528,8,15)&gt;$T$520)),0,IF(DATE($C528,8,15)&gt;=$X$520,$AA$520*(1+($U$520)/100)^MAX(0,$C528-$AD$520),IF(DATE($C528,8,15)&gt;=$W$520,$Z$520*(1+($U$520)/100)^MAX(0,$C528-$AC$520),IF(DATE($C528,8,15)&gt;=$V$520,$Y$520*(1+($U$520)/100)^MAX(0,$C528-$AB$520),0)))))</f>
      </c>
      <c r="M528" s="43">
        <f>IF($S$520=0,0,IF(OR(DATE($C528,9,15)&lt;$S$520,AND($T$520&gt;0,DATE($C528,9,15)&gt;$T$520)),0,IF(DATE($C528,9,15)&gt;=$X$520,$AA$520*(1+($U$520)/100)^MAX(0,$C528-$AD$520),IF(DATE($C528,9,15)&gt;=$W$520,$Z$520*(1+($U$520)/100)^MAX(0,$C528-$AC$520),IF(DATE($C528,9,15)&gt;=$V$520,$Y$520*(1+($U$520)/100)^MAX(0,$C528-$AB$520),0)))))</f>
      </c>
      <c r="N528" s="43">
        <f>IF($S$520=0,0,IF(OR(DATE($C528,10,15)&lt;$S$520,AND($T$520&gt;0,DATE($C528,10,15)&gt;$T$520)),0,IF(DATE($C528,10,15)&gt;=$X$520,$AA$520*(1+($U$520)/100)^MAX(0,$C528-$AD$520),IF(DATE($C528,10,15)&gt;=$W$520,$Z$520*(1+($U$520)/100)^MAX(0,$C528-$AC$520),IF(DATE($C528,10,15)&gt;=$V$520,$Y$520*(1+($U$520)/100)^MAX(0,$C528-$AB$520),0)))))</f>
      </c>
      <c r="O528" s="43">
        <f>IF($S$520=0,0,IF(OR(DATE($C528,11,15)&lt;$S$520,AND($T$520&gt;0,DATE($C528,11,15)&gt;$T$520)),0,IF(DATE($C528,11,15)&gt;=$X$520,$AA$520*(1+($U$520)/100)^MAX(0,$C528-$AD$520),IF(DATE($C528,11,15)&gt;=$W$520,$Z$520*(1+($U$520)/100)^MAX(0,$C528-$AC$520),IF(DATE($C528,11,15)&gt;=$V$520,$Y$520*(1+($U$520)/100)^MAX(0,$C528-$AB$520),0)))))</f>
      </c>
      <c r="P528" s="43">
        <f>IF($S$520=0,0,IF(OR(DATE($C528,12,15)&lt;$S$520,AND($T$520&gt;0,DATE($C528,12,15)&gt;$T$520)),0,IF(DATE($C528,12,15)&gt;=$X$520,$AA$520*(1+($U$520)/100)^MAX(0,$C528-$AD$520),IF(DATE($C528,12,15)&gt;=$W$520,$Z$520*(1+($U$520)/100)^MAX(0,$C528-$AC$520),IF(DATE($C528,12,15)&gt;=$V$520,$Y$520*(1+($U$520)/100)^MAX(0,$C528-$AB$520),0)))))</f>
      </c>
      <c r="Q528" s="43">
        <f>SUM($E528:$P528)</f>
      </c>
    </row>
    <row r="529">
      <c r="A529"/>
      <c r="B529">
        <v>17</v>
      </c>
      <c r="C529" s="43">
        <f>Jahr+9</f>
      </c>
      <c r="D529" s="43">
        <f>INDEX(MvObj,17)</f>
      </c>
      <c r="E529" s="43">
        <f>IF($S$520=0,0,IF(OR(DATE($C529,1,15)&lt;$S$520,AND($T$520&gt;0,DATE($C529,1,15)&gt;$T$520)),0,IF(DATE($C529,1,15)&gt;=$X$520,$AA$520*(1+($U$520)/100)^MAX(0,$C529-$AD$520),IF(DATE($C529,1,15)&gt;=$W$520,$Z$520*(1+($U$520)/100)^MAX(0,$C529-$AC$520),IF(DATE($C529,1,15)&gt;=$V$520,$Y$520*(1+($U$520)/100)^MAX(0,$C529-$AB$520),0)))))</f>
      </c>
      <c r="F529" s="43">
        <f>IF($S$520=0,0,IF(OR(DATE($C529,2,15)&lt;$S$520,AND($T$520&gt;0,DATE($C529,2,15)&gt;$T$520)),0,IF(DATE($C529,2,15)&gt;=$X$520,$AA$520*(1+($U$520)/100)^MAX(0,$C529-$AD$520),IF(DATE($C529,2,15)&gt;=$W$520,$Z$520*(1+($U$520)/100)^MAX(0,$C529-$AC$520),IF(DATE($C529,2,15)&gt;=$V$520,$Y$520*(1+($U$520)/100)^MAX(0,$C529-$AB$520),0)))))</f>
      </c>
      <c r="G529" s="43">
        <f>IF($S$520=0,0,IF(OR(DATE($C529,3,15)&lt;$S$520,AND($T$520&gt;0,DATE($C529,3,15)&gt;$T$520)),0,IF(DATE($C529,3,15)&gt;=$X$520,$AA$520*(1+($U$520)/100)^MAX(0,$C529-$AD$520),IF(DATE($C529,3,15)&gt;=$W$520,$Z$520*(1+($U$520)/100)^MAX(0,$C529-$AC$520),IF(DATE($C529,3,15)&gt;=$V$520,$Y$520*(1+($U$520)/100)^MAX(0,$C529-$AB$520),0)))))</f>
      </c>
      <c r="H529" s="43">
        <f>IF($S$520=0,0,IF(OR(DATE($C529,4,15)&lt;$S$520,AND($T$520&gt;0,DATE($C529,4,15)&gt;$T$520)),0,IF(DATE($C529,4,15)&gt;=$X$520,$AA$520*(1+($U$520)/100)^MAX(0,$C529-$AD$520),IF(DATE($C529,4,15)&gt;=$W$520,$Z$520*(1+($U$520)/100)^MAX(0,$C529-$AC$520),IF(DATE($C529,4,15)&gt;=$V$520,$Y$520*(1+($U$520)/100)^MAX(0,$C529-$AB$520),0)))))</f>
      </c>
      <c r="I529" s="43">
        <f>IF($S$520=0,0,IF(OR(DATE($C529,5,15)&lt;$S$520,AND($T$520&gt;0,DATE($C529,5,15)&gt;$T$520)),0,IF(DATE($C529,5,15)&gt;=$X$520,$AA$520*(1+($U$520)/100)^MAX(0,$C529-$AD$520),IF(DATE($C529,5,15)&gt;=$W$520,$Z$520*(1+($U$520)/100)^MAX(0,$C529-$AC$520),IF(DATE($C529,5,15)&gt;=$V$520,$Y$520*(1+($U$520)/100)^MAX(0,$C529-$AB$520),0)))))</f>
      </c>
      <c r="J529" s="43">
        <f>IF($S$520=0,0,IF(OR(DATE($C529,6,15)&lt;$S$520,AND($T$520&gt;0,DATE($C529,6,15)&gt;$T$520)),0,IF(DATE($C529,6,15)&gt;=$X$520,$AA$520*(1+($U$520)/100)^MAX(0,$C529-$AD$520),IF(DATE($C529,6,15)&gt;=$W$520,$Z$520*(1+($U$520)/100)^MAX(0,$C529-$AC$520),IF(DATE($C529,6,15)&gt;=$V$520,$Y$520*(1+($U$520)/100)^MAX(0,$C529-$AB$520),0)))))</f>
      </c>
      <c r="K529" s="43">
        <f>IF($S$520=0,0,IF(OR(DATE($C529,7,15)&lt;$S$520,AND($T$520&gt;0,DATE($C529,7,15)&gt;$T$520)),0,IF(DATE($C529,7,15)&gt;=$X$520,$AA$520*(1+($U$520)/100)^MAX(0,$C529-$AD$520),IF(DATE($C529,7,15)&gt;=$W$520,$Z$520*(1+($U$520)/100)^MAX(0,$C529-$AC$520),IF(DATE($C529,7,15)&gt;=$V$520,$Y$520*(1+($U$520)/100)^MAX(0,$C529-$AB$520),0)))))</f>
      </c>
      <c r="L529" s="43">
        <f>IF($S$520=0,0,IF(OR(DATE($C529,8,15)&lt;$S$520,AND($T$520&gt;0,DATE($C529,8,15)&gt;$T$520)),0,IF(DATE($C529,8,15)&gt;=$X$520,$AA$520*(1+($U$520)/100)^MAX(0,$C529-$AD$520),IF(DATE($C529,8,15)&gt;=$W$520,$Z$520*(1+($U$520)/100)^MAX(0,$C529-$AC$520),IF(DATE($C529,8,15)&gt;=$V$520,$Y$520*(1+($U$520)/100)^MAX(0,$C529-$AB$520),0)))))</f>
      </c>
      <c r="M529" s="43">
        <f>IF($S$520=0,0,IF(OR(DATE($C529,9,15)&lt;$S$520,AND($T$520&gt;0,DATE($C529,9,15)&gt;$T$520)),0,IF(DATE($C529,9,15)&gt;=$X$520,$AA$520*(1+($U$520)/100)^MAX(0,$C529-$AD$520),IF(DATE($C529,9,15)&gt;=$W$520,$Z$520*(1+($U$520)/100)^MAX(0,$C529-$AC$520),IF(DATE($C529,9,15)&gt;=$V$520,$Y$520*(1+($U$520)/100)^MAX(0,$C529-$AB$520),0)))))</f>
      </c>
      <c r="N529" s="43">
        <f>IF($S$520=0,0,IF(OR(DATE($C529,10,15)&lt;$S$520,AND($T$520&gt;0,DATE($C529,10,15)&gt;$T$520)),0,IF(DATE($C529,10,15)&gt;=$X$520,$AA$520*(1+($U$520)/100)^MAX(0,$C529-$AD$520),IF(DATE($C529,10,15)&gt;=$W$520,$Z$520*(1+($U$520)/100)^MAX(0,$C529-$AC$520),IF(DATE($C529,10,15)&gt;=$V$520,$Y$520*(1+($U$520)/100)^MAX(0,$C529-$AB$520),0)))))</f>
      </c>
      <c r="O529" s="43">
        <f>IF($S$520=0,0,IF(OR(DATE($C529,11,15)&lt;$S$520,AND($T$520&gt;0,DATE($C529,11,15)&gt;$T$520)),0,IF(DATE($C529,11,15)&gt;=$X$520,$AA$520*(1+($U$520)/100)^MAX(0,$C529-$AD$520),IF(DATE($C529,11,15)&gt;=$W$520,$Z$520*(1+($U$520)/100)^MAX(0,$C529-$AC$520),IF(DATE($C529,11,15)&gt;=$V$520,$Y$520*(1+($U$520)/100)^MAX(0,$C529-$AB$520),0)))))</f>
      </c>
      <c r="P529" s="43">
        <f>IF($S$520=0,0,IF(OR(DATE($C529,12,15)&lt;$S$520,AND($T$520&gt;0,DATE($C529,12,15)&gt;$T$520)),0,IF(DATE($C529,12,15)&gt;=$X$520,$AA$520*(1+($U$520)/100)^MAX(0,$C529-$AD$520),IF(DATE($C529,12,15)&gt;=$W$520,$Z$520*(1+($U$520)/100)^MAX(0,$C529-$AC$520),IF(DATE($C529,12,15)&gt;=$V$520,$Y$520*(1+($U$520)/100)^MAX(0,$C529-$AB$520),0)))))</f>
      </c>
      <c r="Q529" s="43">
        <f>SUM($E529:$P529)</f>
      </c>
    </row>
    <row r="530">
      <c r="A530"/>
      <c r="B530">
        <v>17</v>
      </c>
      <c r="C530" s="43">
        <f>Jahr+10</f>
      </c>
      <c r="D530" s="43">
        <f>INDEX(MvObj,17)</f>
      </c>
      <c r="E530" s="43">
        <f>IF($S$520=0,0,IF(OR(DATE($C530,1,15)&lt;$S$520,AND($T$520&gt;0,DATE($C530,1,15)&gt;$T$520)),0,IF(DATE($C530,1,15)&gt;=$X$520,$AA$520*(1+($U$520)/100)^MAX(0,$C530-$AD$520),IF(DATE($C530,1,15)&gt;=$W$520,$Z$520*(1+($U$520)/100)^MAX(0,$C530-$AC$520),IF(DATE($C530,1,15)&gt;=$V$520,$Y$520*(1+($U$520)/100)^MAX(0,$C530-$AB$520),0)))))</f>
      </c>
      <c r="F530" s="43">
        <f>IF($S$520=0,0,IF(OR(DATE($C530,2,15)&lt;$S$520,AND($T$520&gt;0,DATE($C530,2,15)&gt;$T$520)),0,IF(DATE($C530,2,15)&gt;=$X$520,$AA$520*(1+($U$520)/100)^MAX(0,$C530-$AD$520),IF(DATE($C530,2,15)&gt;=$W$520,$Z$520*(1+($U$520)/100)^MAX(0,$C530-$AC$520),IF(DATE($C530,2,15)&gt;=$V$520,$Y$520*(1+($U$520)/100)^MAX(0,$C530-$AB$520),0)))))</f>
      </c>
      <c r="G530" s="43">
        <f>IF($S$520=0,0,IF(OR(DATE($C530,3,15)&lt;$S$520,AND($T$520&gt;0,DATE($C530,3,15)&gt;$T$520)),0,IF(DATE($C530,3,15)&gt;=$X$520,$AA$520*(1+($U$520)/100)^MAX(0,$C530-$AD$520),IF(DATE($C530,3,15)&gt;=$W$520,$Z$520*(1+($U$520)/100)^MAX(0,$C530-$AC$520),IF(DATE($C530,3,15)&gt;=$V$520,$Y$520*(1+($U$520)/100)^MAX(0,$C530-$AB$520),0)))))</f>
      </c>
      <c r="H530" s="43">
        <f>IF($S$520=0,0,IF(OR(DATE($C530,4,15)&lt;$S$520,AND($T$520&gt;0,DATE($C530,4,15)&gt;$T$520)),0,IF(DATE($C530,4,15)&gt;=$X$520,$AA$520*(1+($U$520)/100)^MAX(0,$C530-$AD$520),IF(DATE($C530,4,15)&gt;=$W$520,$Z$520*(1+($U$520)/100)^MAX(0,$C530-$AC$520),IF(DATE($C530,4,15)&gt;=$V$520,$Y$520*(1+($U$520)/100)^MAX(0,$C530-$AB$520),0)))))</f>
      </c>
      <c r="I530" s="43">
        <f>IF($S$520=0,0,IF(OR(DATE($C530,5,15)&lt;$S$520,AND($T$520&gt;0,DATE($C530,5,15)&gt;$T$520)),0,IF(DATE($C530,5,15)&gt;=$X$520,$AA$520*(1+($U$520)/100)^MAX(0,$C530-$AD$520),IF(DATE($C530,5,15)&gt;=$W$520,$Z$520*(1+($U$520)/100)^MAX(0,$C530-$AC$520),IF(DATE($C530,5,15)&gt;=$V$520,$Y$520*(1+($U$520)/100)^MAX(0,$C530-$AB$520),0)))))</f>
      </c>
      <c r="J530" s="43">
        <f>IF($S$520=0,0,IF(OR(DATE($C530,6,15)&lt;$S$520,AND($T$520&gt;0,DATE($C530,6,15)&gt;$T$520)),0,IF(DATE($C530,6,15)&gt;=$X$520,$AA$520*(1+($U$520)/100)^MAX(0,$C530-$AD$520),IF(DATE($C530,6,15)&gt;=$W$520,$Z$520*(1+($U$520)/100)^MAX(0,$C530-$AC$520),IF(DATE($C530,6,15)&gt;=$V$520,$Y$520*(1+($U$520)/100)^MAX(0,$C530-$AB$520),0)))))</f>
      </c>
      <c r="K530" s="43">
        <f>IF($S$520=0,0,IF(OR(DATE($C530,7,15)&lt;$S$520,AND($T$520&gt;0,DATE($C530,7,15)&gt;$T$520)),0,IF(DATE($C530,7,15)&gt;=$X$520,$AA$520*(1+($U$520)/100)^MAX(0,$C530-$AD$520),IF(DATE($C530,7,15)&gt;=$W$520,$Z$520*(1+($U$520)/100)^MAX(0,$C530-$AC$520),IF(DATE($C530,7,15)&gt;=$V$520,$Y$520*(1+($U$520)/100)^MAX(0,$C530-$AB$520),0)))))</f>
      </c>
      <c r="L530" s="43">
        <f>IF($S$520=0,0,IF(OR(DATE($C530,8,15)&lt;$S$520,AND($T$520&gt;0,DATE($C530,8,15)&gt;$T$520)),0,IF(DATE($C530,8,15)&gt;=$X$520,$AA$520*(1+($U$520)/100)^MAX(0,$C530-$AD$520),IF(DATE($C530,8,15)&gt;=$W$520,$Z$520*(1+($U$520)/100)^MAX(0,$C530-$AC$520),IF(DATE($C530,8,15)&gt;=$V$520,$Y$520*(1+($U$520)/100)^MAX(0,$C530-$AB$520),0)))))</f>
      </c>
      <c r="M530" s="43">
        <f>IF($S$520=0,0,IF(OR(DATE($C530,9,15)&lt;$S$520,AND($T$520&gt;0,DATE($C530,9,15)&gt;$T$520)),0,IF(DATE($C530,9,15)&gt;=$X$520,$AA$520*(1+($U$520)/100)^MAX(0,$C530-$AD$520),IF(DATE($C530,9,15)&gt;=$W$520,$Z$520*(1+($U$520)/100)^MAX(0,$C530-$AC$520),IF(DATE($C530,9,15)&gt;=$V$520,$Y$520*(1+($U$520)/100)^MAX(0,$C530-$AB$520),0)))))</f>
      </c>
      <c r="N530" s="43">
        <f>IF($S$520=0,0,IF(OR(DATE($C530,10,15)&lt;$S$520,AND($T$520&gt;0,DATE($C530,10,15)&gt;$T$520)),0,IF(DATE($C530,10,15)&gt;=$X$520,$AA$520*(1+($U$520)/100)^MAX(0,$C530-$AD$520),IF(DATE($C530,10,15)&gt;=$W$520,$Z$520*(1+($U$520)/100)^MAX(0,$C530-$AC$520),IF(DATE($C530,10,15)&gt;=$V$520,$Y$520*(1+($U$520)/100)^MAX(0,$C530-$AB$520),0)))))</f>
      </c>
      <c r="O530" s="43">
        <f>IF($S$520=0,0,IF(OR(DATE($C530,11,15)&lt;$S$520,AND($T$520&gt;0,DATE($C530,11,15)&gt;$T$520)),0,IF(DATE($C530,11,15)&gt;=$X$520,$AA$520*(1+($U$520)/100)^MAX(0,$C530-$AD$520),IF(DATE($C530,11,15)&gt;=$W$520,$Z$520*(1+($U$520)/100)^MAX(0,$C530-$AC$520),IF(DATE($C530,11,15)&gt;=$V$520,$Y$520*(1+($U$520)/100)^MAX(0,$C530-$AB$520),0)))))</f>
      </c>
      <c r="P530" s="43">
        <f>IF($S$520=0,0,IF(OR(DATE($C530,12,15)&lt;$S$520,AND($T$520&gt;0,DATE($C530,12,15)&gt;$T$520)),0,IF(DATE($C530,12,15)&gt;=$X$520,$AA$520*(1+($U$520)/100)^MAX(0,$C530-$AD$520),IF(DATE($C530,12,15)&gt;=$W$520,$Z$520*(1+($U$520)/100)^MAX(0,$C530-$AC$520),IF(DATE($C530,12,15)&gt;=$V$520,$Y$520*(1+($U$520)/100)^MAX(0,$C530-$AB$520),0)))))</f>
      </c>
      <c r="Q530" s="43">
        <f>SUM($E530:$P530)</f>
      </c>
    </row>
    <row r="531">
      <c r="A531"/>
      <c r="B531">
        <v>17</v>
      </c>
      <c r="C531" s="43">
        <f>Jahr+11</f>
      </c>
      <c r="D531" s="43">
        <f>INDEX(MvObj,17)</f>
      </c>
      <c r="E531" s="43">
        <f>IF($S$520=0,0,IF(OR(DATE($C531,1,15)&lt;$S$520,AND($T$520&gt;0,DATE($C531,1,15)&gt;$T$520)),0,IF(DATE($C531,1,15)&gt;=$X$520,$AA$520*(1+($U$520)/100)^MAX(0,$C531-$AD$520),IF(DATE($C531,1,15)&gt;=$W$520,$Z$520*(1+($U$520)/100)^MAX(0,$C531-$AC$520),IF(DATE($C531,1,15)&gt;=$V$520,$Y$520*(1+($U$520)/100)^MAX(0,$C531-$AB$520),0)))))</f>
      </c>
      <c r="F531" s="43">
        <f>IF($S$520=0,0,IF(OR(DATE($C531,2,15)&lt;$S$520,AND($T$520&gt;0,DATE($C531,2,15)&gt;$T$520)),0,IF(DATE($C531,2,15)&gt;=$X$520,$AA$520*(1+($U$520)/100)^MAX(0,$C531-$AD$520),IF(DATE($C531,2,15)&gt;=$W$520,$Z$520*(1+($U$520)/100)^MAX(0,$C531-$AC$520),IF(DATE($C531,2,15)&gt;=$V$520,$Y$520*(1+($U$520)/100)^MAX(0,$C531-$AB$520),0)))))</f>
      </c>
      <c r="G531" s="43">
        <f>IF($S$520=0,0,IF(OR(DATE($C531,3,15)&lt;$S$520,AND($T$520&gt;0,DATE($C531,3,15)&gt;$T$520)),0,IF(DATE($C531,3,15)&gt;=$X$520,$AA$520*(1+($U$520)/100)^MAX(0,$C531-$AD$520),IF(DATE($C531,3,15)&gt;=$W$520,$Z$520*(1+($U$520)/100)^MAX(0,$C531-$AC$520),IF(DATE($C531,3,15)&gt;=$V$520,$Y$520*(1+($U$520)/100)^MAX(0,$C531-$AB$520),0)))))</f>
      </c>
      <c r="H531" s="43">
        <f>IF($S$520=0,0,IF(OR(DATE($C531,4,15)&lt;$S$520,AND($T$520&gt;0,DATE($C531,4,15)&gt;$T$520)),0,IF(DATE($C531,4,15)&gt;=$X$520,$AA$520*(1+($U$520)/100)^MAX(0,$C531-$AD$520),IF(DATE($C531,4,15)&gt;=$W$520,$Z$520*(1+($U$520)/100)^MAX(0,$C531-$AC$520),IF(DATE($C531,4,15)&gt;=$V$520,$Y$520*(1+($U$520)/100)^MAX(0,$C531-$AB$520),0)))))</f>
      </c>
      <c r="I531" s="43">
        <f>IF($S$520=0,0,IF(OR(DATE($C531,5,15)&lt;$S$520,AND($T$520&gt;0,DATE($C531,5,15)&gt;$T$520)),0,IF(DATE($C531,5,15)&gt;=$X$520,$AA$520*(1+($U$520)/100)^MAX(0,$C531-$AD$520),IF(DATE($C531,5,15)&gt;=$W$520,$Z$520*(1+($U$520)/100)^MAX(0,$C531-$AC$520),IF(DATE($C531,5,15)&gt;=$V$520,$Y$520*(1+($U$520)/100)^MAX(0,$C531-$AB$520),0)))))</f>
      </c>
      <c r="J531" s="43">
        <f>IF($S$520=0,0,IF(OR(DATE($C531,6,15)&lt;$S$520,AND($T$520&gt;0,DATE($C531,6,15)&gt;$T$520)),0,IF(DATE($C531,6,15)&gt;=$X$520,$AA$520*(1+($U$520)/100)^MAX(0,$C531-$AD$520),IF(DATE($C531,6,15)&gt;=$W$520,$Z$520*(1+($U$520)/100)^MAX(0,$C531-$AC$520),IF(DATE($C531,6,15)&gt;=$V$520,$Y$520*(1+($U$520)/100)^MAX(0,$C531-$AB$520),0)))))</f>
      </c>
      <c r="K531" s="43">
        <f>IF($S$520=0,0,IF(OR(DATE($C531,7,15)&lt;$S$520,AND($T$520&gt;0,DATE($C531,7,15)&gt;$T$520)),0,IF(DATE($C531,7,15)&gt;=$X$520,$AA$520*(1+($U$520)/100)^MAX(0,$C531-$AD$520),IF(DATE($C531,7,15)&gt;=$W$520,$Z$520*(1+($U$520)/100)^MAX(0,$C531-$AC$520),IF(DATE($C531,7,15)&gt;=$V$520,$Y$520*(1+($U$520)/100)^MAX(0,$C531-$AB$520),0)))))</f>
      </c>
      <c r="L531" s="43">
        <f>IF($S$520=0,0,IF(OR(DATE($C531,8,15)&lt;$S$520,AND($T$520&gt;0,DATE($C531,8,15)&gt;$T$520)),0,IF(DATE($C531,8,15)&gt;=$X$520,$AA$520*(1+($U$520)/100)^MAX(0,$C531-$AD$520),IF(DATE($C531,8,15)&gt;=$W$520,$Z$520*(1+($U$520)/100)^MAX(0,$C531-$AC$520),IF(DATE($C531,8,15)&gt;=$V$520,$Y$520*(1+($U$520)/100)^MAX(0,$C531-$AB$520),0)))))</f>
      </c>
      <c r="M531" s="43">
        <f>IF($S$520=0,0,IF(OR(DATE($C531,9,15)&lt;$S$520,AND($T$520&gt;0,DATE($C531,9,15)&gt;$T$520)),0,IF(DATE($C531,9,15)&gt;=$X$520,$AA$520*(1+($U$520)/100)^MAX(0,$C531-$AD$520),IF(DATE($C531,9,15)&gt;=$W$520,$Z$520*(1+($U$520)/100)^MAX(0,$C531-$AC$520),IF(DATE($C531,9,15)&gt;=$V$520,$Y$520*(1+($U$520)/100)^MAX(0,$C531-$AB$520),0)))))</f>
      </c>
      <c r="N531" s="43">
        <f>IF($S$520=0,0,IF(OR(DATE($C531,10,15)&lt;$S$520,AND($T$520&gt;0,DATE($C531,10,15)&gt;$T$520)),0,IF(DATE($C531,10,15)&gt;=$X$520,$AA$520*(1+($U$520)/100)^MAX(0,$C531-$AD$520),IF(DATE($C531,10,15)&gt;=$W$520,$Z$520*(1+($U$520)/100)^MAX(0,$C531-$AC$520),IF(DATE($C531,10,15)&gt;=$V$520,$Y$520*(1+($U$520)/100)^MAX(0,$C531-$AB$520),0)))))</f>
      </c>
      <c r="O531" s="43">
        <f>IF($S$520=0,0,IF(OR(DATE($C531,11,15)&lt;$S$520,AND($T$520&gt;0,DATE($C531,11,15)&gt;$T$520)),0,IF(DATE($C531,11,15)&gt;=$X$520,$AA$520*(1+($U$520)/100)^MAX(0,$C531-$AD$520),IF(DATE($C531,11,15)&gt;=$W$520,$Z$520*(1+($U$520)/100)^MAX(0,$C531-$AC$520),IF(DATE($C531,11,15)&gt;=$V$520,$Y$520*(1+($U$520)/100)^MAX(0,$C531-$AB$520),0)))))</f>
      </c>
      <c r="P531" s="43">
        <f>IF($S$520=0,0,IF(OR(DATE($C531,12,15)&lt;$S$520,AND($T$520&gt;0,DATE($C531,12,15)&gt;$T$520)),0,IF(DATE($C531,12,15)&gt;=$X$520,$AA$520*(1+($U$520)/100)^MAX(0,$C531-$AD$520),IF(DATE($C531,12,15)&gt;=$W$520,$Z$520*(1+($U$520)/100)^MAX(0,$C531-$AC$520),IF(DATE($C531,12,15)&gt;=$V$520,$Y$520*(1+($U$520)/100)^MAX(0,$C531-$AB$520),0)))))</f>
      </c>
      <c r="Q531" s="43">
        <f>SUM($E531:$P531)</f>
      </c>
    </row>
    <row r="532">
      <c r="A532"/>
      <c r="B532">
        <v>17</v>
      </c>
      <c r="C532" s="43">
        <f>Jahr+12</f>
      </c>
      <c r="D532" s="43">
        <f>INDEX(MvObj,17)</f>
      </c>
      <c r="E532" s="43">
        <f>IF($S$520=0,0,IF(OR(DATE($C532,1,15)&lt;$S$520,AND($T$520&gt;0,DATE($C532,1,15)&gt;$T$520)),0,IF(DATE($C532,1,15)&gt;=$X$520,$AA$520*(1+($U$520)/100)^MAX(0,$C532-$AD$520),IF(DATE($C532,1,15)&gt;=$W$520,$Z$520*(1+($U$520)/100)^MAX(0,$C532-$AC$520),IF(DATE($C532,1,15)&gt;=$V$520,$Y$520*(1+($U$520)/100)^MAX(0,$C532-$AB$520),0)))))</f>
      </c>
      <c r="F532" s="43">
        <f>IF($S$520=0,0,IF(OR(DATE($C532,2,15)&lt;$S$520,AND($T$520&gt;0,DATE($C532,2,15)&gt;$T$520)),0,IF(DATE($C532,2,15)&gt;=$X$520,$AA$520*(1+($U$520)/100)^MAX(0,$C532-$AD$520),IF(DATE($C532,2,15)&gt;=$W$520,$Z$520*(1+($U$520)/100)^MAX(0,$C532-$AC$520),IF(DATE($C532,2,15)&gt;=$V$520,$Y$520*(1+($U$520)/100)^MAX(0,$C532-$AB$520),0)))))</f>
      </c>
      <c r="G532" s="43">
        <f>IF($S$520=0,0,IF(OR(DATE($C532,3,15)&lt;$S$520,AND($T$520&gt;0,DATE($C532,3,15)&gt;$T$520)),0,IF(DATE($C532,3,15)&gt;=$X$520,$AA$520*(1+($U$520)/100)^MAX(0,$C532-$AD$520),IF(DATE($C532,3,15)&gt;=$W$520,$Z$520*(1+($U$520)/100)^MAX(0,$C532-$AC$520),IF(DATE($C532,3,15)&gt;=$V$520,$Y$520*(1+($U$520)/100)^MAX(0,$C532-$AB$520),0)))))</f>
      </c>
      <c r="H532" s="43">
        <f>IF($S$520=0,0,IF(OR(DATE($C532,4,15)&lt;$S$520,AND($T$520&gt;0,DATE($C532,4,15)&gt;$T$520)),0,IF(DATE($C532,4,15)&gt;=$X$520,$AA$520*(1+($U$520)/100)^MAX(0,$C532-$AD$520),IF(DATE($C532,4,15)&gt;=$W$520,$Z$520*(1+($U$520)/100)^MAX(0,$C532-$AC$520),IF(DATE($C532,4,15)&gt;=$V$520,$Y$520*(1+($U$520)/100)^MAX(0,$C532-$AB$520),0)))))</f>
      </c>
      <c r="I532" s="43">
        <f>IF($S$520=0,0,IF(OR(DATE($C532,5,15)&lt;$S$520,AND($T$520&gt;0,DATE($C532,5,15)&gt;$T$520)),0,IF(DATE($C532,5,15)&gt;=$X$520,$AA$520*(1+($U$520)/100)^MAX(0,$C532-$AD$520),IF(DATE($C532,5,15)&gt;=$W$520,$Z$520*(1+($U$520)/100)^MAX(0,$C532-$AC$520),IF(DATE($C532,5,15)&gt;=$V$520,$Y$520*(1+($U$520)/100)^MAX(0,$C532-$AB$520),0)))))</f>
      </c>
      <c r="J532" s="43">
        <f>IF($S$520=0,0,IF(OR(DATE($C532,6,15)&lt;$S$520,AND($T$520&gt;0,DATE($C532,6,15)&gt;$T$520)),0,IF(DATE($C532,6,15)&gt;=$X$520,$AA$520*(1+($U$520)/100)^MAX(0,$C532-$AD$520),IF(DATE($C532,6,15)&gt;=$W$520,$Z$520*(1+($U$520)/100)^MAX(0,$C532-$AC$520),IF(DATE($C532,6,15)&gt;=$V$520,$Y$520*(1+($U$520)/100)^MAX(0,$C532-$AB$520),0)))))</f>
      </c>
      <c r="K532" s="43">
        <f>IF($S$520=0,0,IF(OR(DATE($C532,7,15)&lt;$S$520,AND($T$520&gt;0,DATE($C532,7,15)&gt;$T$520)),0,IF(DATE($C532,7,15)&gt;=$X$520,$AA$520*(1+($U$520)/100)^MAX(0,$C532-$AD$520),IF(DATE($C532,7,15)&gt;=$W$520,$Z$520*(1+($U$520)/100)^MAX(0,$C532-$AC$520),IF(DATE($C532,7,15)&gt;=$V$520,$Y$520*(1+($U$520)/100)^MAX(0,$C532-$AB$520),0)))))</f>
      </c>
      <c r="L532" s="43">
        <f>IF($S$520=0,0,IF(OR(DATE($C532,8,15)&lt;$S$520,AND($T$520&gt;0,DATE($C532,8,15)&gt;$T$520)),0,IF(DATE($C532,8,15)&gt;=$X$520,$AA$520*(1+($U$520)/100)^MAX(0,$C532-$AD$520),IF(DATE($C532,8,15)&gt;=$W$520,$Z$520*(1+($U$520)/100)^MAX(0,$C532-$AC$520),IF(DATE($C532,8,15)&gt;=$V$520,$Y$520*(1+($U$520)/100)^MAX(0,$C532-$AB$520),0)))))</f>
      </c>
      <c r="M532" s="43">
        <f>IF($S$520=0,0,IF(OR(DATE($C532,9,15)&lt;$S$520,AND($T$520&gt;0,DATE($C532,9,15)&gt;$T$520)),0,IF(DATE($C532,9,15)&gt;=$X$520,$AA$520*(1+($U$520)/100)^MAX(0,$C532-$AD$520),IF(DATE($C532,9,15)&gt;=$W$520,$Z$520*(1+($U$520)/100)^MAX(0,$C532-$AC$520),IF(DATE($C532,9,15)&gt;=$V$520,$Y$520*(1+($U$520)/100)^MAX(0,$C532-$AB$520),0)))))</f>
      </c>
      <c r="N532" s="43">
        <f>IF($S$520=0,0,IF(OR(DATE($C532,10,15)&lt;$S$520,AND($T$520&gt;0,DATE($C532,10,15)&gt;$T$520)),0,IF(DATE($C532,10,15)&gt;=$X$520,$AA$520*(1+($U$520)/100)^MAX(0,$C532-$AD$520),IF(DATE($C532,10,15)&gt;=$W$520,$Z$520*(1+($U$520)/100)^MAX(0,$C532-$AC$520),IF(DATE($C532,10,15)&gt;=$V$520,$Y$520*(1+($U$520)/100)^MAX(0,$C532-$AB$520),0)))))</f>
      </c>
      <c r="O532" s="43">
        <f>IF($S$520=0,0,IF(OR(DATE($C532,11,15)&lt;$S$520,AND($T$520&gt;0,DATE($C532,11,15)&gt;$T$520)),0,IF(DATE($C532,11,15)&gt;=$X$520,$AA$520*(1+($U$520)/100)^MAX(0,$C532-$AD$520),IF(DATE($C532,11,15)&gt;=$W$520,$Z$520*(1+($U$520)/100)^MAX(0,$C532-$AC$520),IF(DATE($C532,11,15)&gt;=$V$520,$Y$520*(1+($U$520)/100)^MAX(0,$C532-$AB$520),0)))))</f>
      </c>
      <c r="P532" s="43">
        <f>IF($S$520=0,0,IF(OR(DATE($C532,12,15)&lt;$S$520,AND($T$520&gt;0,DATE($C532,12,15)&gt;$T$520)),0,IF(DATE($C532,12,15)&gt;=$X$520,$AA$520*(1+($U$520)/100)^MAX(0,$C532-$AD$520),IF(DATE($C532,12,15)&gt;=$W$520,$Z$520*(1+($U$520)/100)^MAX(0,$C532-$AC$520),IF(DATE($C532,12,15)&gt;=$V$520,$Y$520*(1+($U$520)/100)^MAX(0,$C532-$AB$520),0)))))</f>
      </c>
      <c r="Q532" s="43">
        <f>SUM($E532:$P532)</f>
      </c>
    </row>
    <row r="533">
      <c r="A533"/>
      <c r="B533">
        <v>17</v>
      </c>
      <c r="C533" s="43">
        <f>Jahr+13</f>
      </c>
      <c r="D533" s="43">
        <f>INDEX(MvObj,17)</f>
      </c>
      <c r="E533" s="43">
        <f>IF($S$520=0,0,IF(OR(DATE($C533,1,15)&lt;$S$520,AND($T$520&gt;0,DATE($C533,1,15)&gt;$T$520)),0,IF(DATE($C533,1,15)&gt;=$X$520,$AA$520*(1+($U$520)/100)^MAX(0,$C533-$AD$520),IF(DATE($C533,1,15)&gt;=$W$520,$Z$520*(1+($U$520)/100)^MAX(0,$C533-$AC$520),IF(DATE($C533,1,15)&gt;=$V$520,$Y$520*(1+($U$520)/100)^MAX(0,$C533-$AB$520),0)))))</f>
      </c>
      <c r="F533" s="43">
        <f>IF($S$520=0,0,IF(OR(DATE($C533,2,15)&lt;$S$520,AND($T$520&gt;0,DATE($C533,2,15)&gt;$T$520)),0,IF(DATE($C533,2,15)&gt;=$X$520,$AA$520*(1+($U$520)/100)^MAX(0,$C533-$AD$520),IF(DATE($C533,2,15)&gt;=$W$520,$Z$520*(1+($U$520)/100)^MAX(0,$C533-$AC$520),IF(DATE($C533,2,15)&gt;=$V$520,$Y$520*(1+($U$520)/100)^MAX(0,$C533-$AB$520),0)))))</f>
      </c>
      <c r="G533" s="43">
        <f>IF($S$520=0,0,IF(OR(DATE($C533,3,15)&lt;$S$520,AND($T$520&gt;0,DATE($C533,3,15)&gt;$T$520)),0,IF(DATE($C533,3,15)&gt;=$X$520,$AA$520*(1+($U$520)/100)^MAX(0,$C533-$AD$520),IF(DATE($C533,3,15)&gt;=$W$520,$Z$520*(1+($U$520)/100)^MAX(0,$C533-$AC$520),IF(DATE($C533,3,15)&gt;=$V$520,$Y$520*(1+($U$520)/100)^MAX(0,$C533-$AB$520),0)))))</f>
      </c>
      <c r="H533" s="43">
        <f>IF($S$520=0,0,IF(OR(DATE($C533,4,15)&lt;$S$520,AND($T$520&gt;0,DATE($C533,4,15)&gt;$T$520)),0,IF(DATE($C533,4,15)&gt;=$X$520,$AA$520*(1+($U$520)/100)^MAX(0,$C533-$AD$520),IF(DATE($C533,4,15)&gt;=$W$520,$Z$520*(1+($U$520)/100)^MAX(0,$C533-$AC$520),IF(DATE($C533,4,15)&gt;=$V$520,$Y$520*(1+($U$520)/100)^MAX(0,$C533-$AB$520),0)))))</f>
      </c>
      <c r="I533" s="43">
        <f>IF($S$520=0,0,IF(OR(DATE($C533,5,15)&lt;$S$520,AND($T$520&gt;0,DATE($C533,5,15)&gt;$T$520)),0,IF(DATE($C533,5,15)&gt;=$X$520,$AA$520*(1+($U$520)/100)^MAX(0,$C533-$AD$520),IF(DATE($C533,5,15)&gt;=$W$520,$Z$520*(1+($U$520)/100)^MAX(0,$C533-$AC$520),IF(DATE($C533,5,15)&gt;=$V$520,$Y$520*(1+($U$520)/100)^MAX(0,$C533-$AB$520),0)))))</f>
      </c>
      <c r="J533" s="43">
        <f>IF($S$520=0,0,IF(OR(DATE($C533,6,15)&lt;$S$520,AND($T$520&gt;0,DATE($C533,6,15)&gt;$T$520)),0,IF(DATE($C533,6,15)&gt;=$X$520,$AA$520*(1+($U$520)/100)^MAX(0,$C533-$AD$520),IF(DATE($C533,6,15)&gt;=$W$520,$Z$520*(1+($U$520)/100)^MAX(0,$C533-$AC$520),IF(DATE($C533,6,15)&gt;=$V$520,$Y$520*(1+($U$520)/100)^MAX(0,$C533-$AB$520),0)))))</f>
      </c>
      <c r="K533" s="43">
        <f>IF($S$520=0,0,IF(OR(DATE($C533,7,15)&lt;$S$520,AND($T$520&gt;0,DATE($C533,7,15)&gt;$T$520)),0,IF(DATE($C533,7,15)&gt;=$X$520,$AA$520*(1+($U$520)/100)^MAX(0,$C533-$AD$520),IF(DATE($C533,7,15)&gt;=$W$520,$Z$520*(1+($U$520)/100)^MAX(0,$C533-$AC$520),IF(DATE($C533,7,15)&gt;=$V$520,$Y$520*(1+($U$520)/100)^MAX(0,$C533-$AB$520),0)))))</f>
      </c>
      <c r="L533" s="43">
        <f>IF($S$520=0,0,IF(OR(DATE($C533,8,15)&lt;$S$520,AND($T$520&gt;0,DATE($C533,8,15)&gt;$T$520)),0,IF(DATE($C533,8,15)&gt;=$X$520,$AA$520*(1+($U$520)/100)^MAX(0,$C533-$AD$520),IF(DATE($C533,8,15)&gt;=$W$520,$Z$520*(1+($U$520)/100)^MAX(0,$C533-$AC$520),IF(DATE($C533,8,15)&gt;=$V$520,$Y$520*(1+($U$520)/100)^MAX(0,$C533-$AB$520),0)))))</f>
      </c>
      <c r="M533" s="43">
        <f>IF($S$520=0,0,IF(OR(DATE($C533,9,15)&lt;$S$520,AND($T$520&gt;0,DATE($C533,9,15)&gt;$T$520)),0,IF(DATE($C533,9,15)&gt;=$X$520,$AA$520*(1+($U$520)/100)^MAX(0,$C533-$AD$520),IF(DATE($C533,9,15)&gt;=$W$520,$Z$520*(1+($U$520)/100)^MAX(0,$C533-$AC$520),IF(DATE($C533,9,15)&gt;=$V$520,$Y$520*(1+($U$520)/100)^MAX(0,$C533-$AB$520),0)))))</f>
      </c>
      <c r="N533" s="43">
        <f>IF($S$520=0,0,IF(OR(DATE($C533,10,15)&lt;$S$520,AND($T$520&gt;0,DATE($C533,10,15)&gt;$T$520)),0,IF(DATE($C533,10,15)&gt;=$X$520,$AA$520*(1+($U$520)/100)^MAX(0,$C533-$AD$520),IF(DATE($C533,10,15)&gt;=$W$520,$Z$520*(1+($U$520)/100)^MAX(0,$C533-$AC$520),IF(DATE($C533,10,15)&gt;=$V$520,$Y$520*(1+($U$520)/100)^MAX(0,$C533-$AB$520),0)))))</f>
      </c>
      <c r="O533" s="43">
        <f>IF($S$520=0,0,IF(OR(DATE($C533,11,15)&lt;$S$520,AND($T$520&gt;0,DATE($C533,11,15)&gt;$T$520)),0,IF(DATE($C533,11,15)&gt;=$X$520,$AA$520*(1+($U$520)/100)^MAX(0,$C533-$AD$520),IF(DATE($C533,11,15)&gt;=$W$520,$Z$520*(1+($U$520)/100)^MAX(0,$C533-$AC$520),IF(DATE($C533,11,15)&gt;=$V$520,$Y$520*(1+($U$520)/100)^MAX(0,$C533-$AB$520),0)))))</f>
      </c>
      <c r="P533" s="43">
        <f>IF($S$520=0,0,IF(OR(DATE($C533,12,15)&lt;$S$520,AND($T$520&gt;0,DATE($C533,12,15)&gt;$T$520)),0,IF(DATE($C533,12,15)&gt;=$X$520,$AA$520*(1+($U$520)/100)^MAX(0,$C533-$AD$520),IF(DATE($C533,12,15)&gt;=$W$520,$Z$520*(1+($U$520)/100)^MAX(0,$C533-$AC$520),IF(DATE($C533,12,15)&gt;=$V$520,$Y$520*(1+($U$520)/100)^MAX(0,$C533-$AB$520),0)))))</f>
      </c>
      <c r="Q533" s="43">
        <f>SUM($E533:$P533)</f>
      </c>
    </row>
    <row r="534">
      <c r="A534"/>
      <c r="B534">
        <v>17</v>
      </c>
      <c r="C534" s="43">
        <f>Jahr+14</f>
      </c>
      <c r="D534" s="43">
        <f>INDEX(MvObj,17)</f>
      </c>
      <c r="E534" s="43">
        <f>IF($S$520=0,0,IF(OR(DATE($C534,1,15)&lt;$S$520,AND($T$520&gt;0,DATE($C534,1,15)&gt;$T$520)),0,IF(DATE($C534,1,15)&gt;=$X$520,$AA$520*(1+($U$520)/100)^MAX(0,$C534-$AD$520),IF(DATE($C534,1,15)&gt;=$W$520,$Z$520*(1+($U$520)/100)^MAX(0,$C534-$AC$520),IF(DATE($C534,1,15)&gt;=$V$520,$Y$520*(1+($U$520)/100)^MAX(0,$C534-$AB$520),0)))))</f>
      </c>
      <c r="F534" s="43">
        <f>IF($S$520=0,0,IF(OR(DATE($C534,2,15)&lt;$S$520,AND($T$520&gt;0,DATE($C534,2,15)&gt;$T$520)),0,IF(DATE($C534,2,15)&gt;=$X$520,$AA$520*(1+($U$520)/100)^MAX(0,$C534-$AD$520),IF(DATE($C534,2,15)&gt;=$W$520,$Z$520*(1+($U$520)/100)^MAX(0,$C534-$AC$520),IF(DATE($C534,2,15)&gt;=$V$520,$Y$520*(1+($U$520)/100)^MAX(0,$C534-$AB$520),0)))))</f>
      </c>
      <c r="G534" s="43">
        <f>IF($S$520=0,0,IF(OR(DATE($C534,3,15)&lt;$S$520,AND($T$520&gt;0,DATE($C534,3,15)&gt;$T$520)),0,IF(DATE($C534,3,15)&gt;=$X$520,$AA$520*(1+($U$520)/100)^MAX(0,$C534-$AD$520),IF(DATE($C534,3,15)&gt;=$W$520,$Z$520*(1+($U$520)/100)^MAX(0,$C534-$AC$520),IF(DATE($C534,3,15)&gt;=$V$520,$Y$520*(1+($U$520)/100)^MAX(0,$C534-$AB$520),0)))))</f>
      </c>
      <c r="H534" s="43">
        <f>IF($S$520=0,0,IF(OR(DATE($C534,4,15)&lt;$S$520,AND($T$520&gt;0,DATE($C534,4,15)&gt;$T$520)),0,IF(DATE($C534,4,15)&gt;=$X$520,$AA$520*(1+($U$520)/100)^MAX(0,$C534-$AD$520),IF(DATE($C534,4,15)&gt;=$W$520,$Z$520*(1+($U$520)/100)^MAX(0,$C534-$AC$520),IF(DATE($C534,4,15)&gt;=$V$520,$Y$520*(1+($U$520)/100)^MAX(0,$C534-$AB$520),0)))))</f>
      </c>
      <c r="I534" s="43">
        <f>IF($S$520=0,0,IF(OR(DATE($C534,5,15)&lt;$S$520,AND($T$520&gt;0,DATE($C534,5,15)&gt;$T$520)),0,IF(DATE($C534,5,15)&gt;=$X$520,$AA$520*(1+($U$520)/100)^MAX(0,$C534-$AD$520),IF(DATE($C534,5,15)&gt;=$W$520,$Z$520*(1+($U$520)/100)^MAX(0,$C534-$AC$520),IF(DATE($C534,5,15)&gt;=$V$520,$Y$520*(1+($U$520)/100)^MAX(0,$C534-$AB$520),0)))))</f>
      </c>
      <c r="J534" s="43">
        <f>IF($S$520=0,0,IF(OR(DATE($C534,6,15)&lt;$S$520,AND($T$520&gt;0,DATE($C534,6,15)&gt;$T$520)),0,IF(DATE($C534,6,15)&gt;=$X$520,$AA$520*(1+($U$520)/100)^MAX(0,$C534-$AD$520),IF(DATE($C534,6,15)&gt;=$W$520,$Z$520*(1+($U$520)/100)^MAX(0,$C534-$AC$520),IF(DATE($C534,6,15)&gt;=$V$520,$Y$520*(1+($U$520)/100)^MAX(0,$C534-$AB$520),0)))))</f>
      </c>
      <c r="K534" s="43">
        <f>IF($S$520=0,0,IF(OR(DATE($C534,7,15)&lt;$S$520,AND($T$520&gt;0,DATE($C534,7,15)&gt;$T$520)),0,IF(DATE($C534,7,15)&gt;=$X$520,$AA$520*(1+($U$520)/100)^MAX(0,$C534-$AD$520),IF(DATE($C534,7,15)&gt;=$W$520,$Z$520*(1+($U$520)/100)^MAX(0,$C534-$AC$520),IF(DATE($C534,7,15)&gt;=$V$520,$Y$520*(1+($U$520)/100)^MAX(0,$C534-$AB$520),0)))))</f>
      </c>
      <c r="L534" s="43">
        <f>IF($S$520=0,0,IF(OR(DATE($C534,8,15)&lt;$S$520,AND($T$520&gt;0,DATE($C534,8,15)&gt;$T$520)),0,IF(DATE($C534,8,15)&gt;=$X$520,$AA$520*(1+($U$520)/100)^MAX(0,$C534-$AD$520),IF(DATE($C534,8,15)&gt;=$W$520,$Z$520*(1+($U$520)/100)^MAX(0,$C534-$AC$520),IF(DATE($C534,8,15)&gt;=$V$520,$Y$520*(1+($U$520)/100)^MAX(0,$C534-$AB$520),0)))))</f>
      </c>
      <c r="M534" s="43">
        <f>IF($S$520=0,0,IF(OR(DATE($C534,9,15)&lt;$S$520,AND($T$520&gt;0,DATE($C534,9,15)&gt;$T$520)),0,IF(DATE($C534,9,15)&gt;=$X$520,$AA$520*(1+($U$520)/100)^MAX(0,$C534-$AD$520),IF(DATE($C534,9,15)&gt;=$W$520,$Z$520*(1+($U$520)/100)^MAX(0,$C534-$AC$520),IF(DATE($C534,9,15)&gt;=$V$520,$Y$520*(1+($U$520)/100)^MAX(0,$C534-$AB$520),0)))))</f>
      </c>
      <c r="N534" s="43">
        <f>IF($S$520=0,0,IF(OR(DATE($C534,10,15)&lt;$S$520,AND($T$520&gt;0,DATE($C534,10,15)&gt;$T$520)),0,IF(DATE($C534,10,15)&gt;=$X$520,$AA$520*(1+($U$520)/100)^MAX(0,$C534-$AD$520),IF(DATE($C534,10,15)&gt;=$W$520,$Z$520*(1+($U$520)/100)^MAX(0,$C534-$AC$520),IF(DATE($C534,10,15)&gt;=$V$520,$Y$520*(1+($U$520)/100)^MAX(0,$C534-$AB$520),0)))))</f>
      </c>
      <c r="O534" s="43">
        <f>IF($S$520=0,0,IF(OR(DATE($C534,11,15)&lt;$S$520,AND($T$520&gt;0,DATE($C534,11,15)&gt;$T$520)),0,IF(DATE($C534,11,15)&gt;=$X$520,$AA$520*(1+($U$520)/100)^MAX(0,$C534-$AD$520),IF(DATE($C534,11,15)&gt;=$W$520,$Z$520*(1+($U$520)/100)^MAX(0,$C534-$AC$520),IF(DATE($C534,11,15)&gt;=$V$520,$Y$520*(1+($U$520)/100)^MAX(0,$C534-$AB$520),0)))))</f>
      </c>
      <c r="P534" s="43">
        <f>IF($S$520=0,0,IF(OR(DATE($C534,12,15)&lt;$S$520,AND($T$520&gt;0,DATE($C534,12,15)&gt;$T$520)),0,IF(DATE($C534,12,15)&gt;=$X$520,$AA$520*(1+($U$520)/100)^MAX(0,$C534-$AD$520),IF(DATE($C534,12,15)&gt;=$W$520,$Z$520*(1+($U$520)/100)^MAX(0,$C534-$AC$520),IF(DATE($C534,12,15)&gt;=$V$520,$Y$520*(1+($U$520)/100)^MAX(0,$C534-$AB$520),0)))))</f>
      </c>
      <c r="Q534" s="43">
        <f>SUM($E534:$P534)</f>
      </c>
    </row>
    <row r="535">
      <c r="A535"/>
      <c r="B535">
        <v>17</v>
      </c>
      <c r="C535" s="43">
        <f>Jahr+15</f>
      </c>
      <c r="D535" s="43">
        <f>INDEX(MvObj,17)</f>
      </c>
      <c r="E535" s="43">
        <f>IF($S$520=0,0,IF(OR(DATE($C535,1,15)&lt;$S$520,AND($T$520&gt;0,DATE($C535,1,15)&gt;$T$520)),0,IF(DATE($C535,1,15)&gt;=$X$520,$AA$520*(1+($U$520)/100)^MAX(0,$C535-$AD$520),IF(DATE($C535,1,15)&gt;=$W$520,$Z$520*(1+($U$520)/100)^MAX(0,$C535-$AC$520),IF(DATE($C535,1,15)&gt;=$V$520,$Y$520*(1+($U$520)/100)^MAX(0,$C535-$AB$520),0)))))</f>
      </c>
      <c r="F535" s="43">
        <f>IF($S$520=0,0,IF(OR(DATE($C535,2,15)&lt;$S$520,AND($T$520&gt;0,DATE($C535,2,15)&gt;$T$520)),0,IF(DATE($C535,2,15)&gt;=$X$520,$AA$520*(1+($U$520)/100)^MAX(0,$C535-$AD$520),IF(DATE($C535,2,15)&gt;=$W$520,$Z$520*(1+($U$520)/100)^MAX(0,$C535-$AC$520),IF(DATE($C535,2,15)&gt;=$V$520,$Y$520*(1+($U$520)/100)^MAX(0,$C535-$AB$520),0)))))</f>
      </c>
      <c r="G535" s="43">
        <f>IF($S$520=0,0,IF(OR(DATE($C535,3,15)&lt;$S$520,AND($T$520&gt;0,DATE($C535,3,15)&gt;$T$520)),0,IF(DATE($C535,3,15)&gt;=$X$520,$AA$520*(1+($U$520)/100)^MAX(0,$C535-$AD$520),IF(DATE($C535,3,15)&gt;=$W$520,$Z$520*(1+($U$520)/100)^MAX(0,$C535-$AC$520),IF(DATE($C535,3,15)&gt;=$V$520,$Y$520*(1+($U$520)/100)^MAX(0,$C535-$AB$520),0)))))</f>
      </c>
      <c r="H535" s="43">
        <f>IF($S$520=0,0,IF(OR(DATE($C535,4,15)&lt;$S$520,AND($T$520&gt;0,DATE($C535,4,15)&gt;$T$520)),0,IF(DATE($C535,4,15)&gt;=$X$520,$AA$520*(1+($U$520)/100)^MAX(0,$C535-$AD$520),IF(DATE($C535,4,15)&gt;=$W$520,$Z$520*(1+($U$520)/100)^MAX(0,$C535-$AC$520),IF(DATE($C535,4,15)&gt;=$V$520,$Y$520*(1+($U$520)/100)^MAX(0,$C535-$AB$520),0)))))</f>
      </c>
      <c r="I535" s="43">
        <f>IF($S$520=0,0,IF(OR(DATE($C535,5,15)&lt;$S$520,AND($T$520&gt;0,DATE($C535,5,15)&gt;$T$520)),0,IF(DATE($C535,5,15)&gt;=$X$520,$AA$520*(1+($U$520)/100)^MAX(0,$C535-$AD$520),IF(DATE($C535,5,15)&gt;=$W$520,$Z$520*(1+($U$520)/100)^MAX(0,$C535-$AC$520),IF(DATE($C535,5,15)&gt;=$V$520,$Y$520*(1+($U$520)/100)^MAX(0,$C535-$AB$520),0)))))</f>
      </c>
      <c r="J535" s="43">
        <f>IF($S$520=0,0,IF(OR(DATE($C535,6,15)&lt;$S$520,AND($T$520&gt;0,DATE($C535,6,15)&gt;$T$520)),0,IF(DATE($C535,6,15)&gt;=$X$520,$AA$520*(1+($U$520)/100)^MAX(0,$C535-$AD$520),IF(DATE($C535,6,15)&gt;=$W$520,$Z$520*(1+($U$520)/100)^MAX(0,$C535-$AC$520),IF(DATE($C535,6,15)&gt;=$V$520,$Y$520*(1+($U$520)/100)^MAX(0,$C535-$AB$520),0)))))</f>
      </c>
      <c r="K535" s="43">
        <f>IF($S$520=0,0,IF(OR(DATE($C535,7,15)&lt;$S$520,AND($T$520&gt;0,DATE($C535,7,15)&gt;$T$520)),0,IF(DATE($C535,7,15)&gt;=$X$520,$AA$520*(1+($U$520)/100)^MAX(0,$C535-$AD$520),IF(DATE($C535,7,15)&gt;=$W$520,$Z$520*(1+($U$520)/100)^MAX(0,$C535-$AC$520),IF(DATE($C535,7,15)&gt;=$V$520,$Y$520*(1+($U$520)/100)^MAX(0,$C535-$AB$520),0)))))</f>
      </c>
      <c r="L535" s="43">
        <f>IF($S$520=0,0,IF(OR(DATE($C535,8,15)&lt;$S$520,AND($T$520&gt;0,DATE($C535,8,15)&gt;$T$520)),0,IF(DATE($C535,8,15)&gt;=$X$520,$AA$520*(1+($U$520)/100)^MAX(0,$C535-$AD$520),IF(DATE($C535,8,15)&gt;=$W$520,$Z$520*(1+($U$520)/100)^MAX(0,$C535-$AC$520),IF(DATE($C535,8,15)&gt;=$V$520,$Y$520*(1+($U$520)/100)^MAX(0,$C535-$AB$520),0)))))</f>
      </c>
      <c r="M535" s="43">
        <f>IF($S$520=0,0,IF(OR(DATE($C535,9,15)&lt;$S$520,AND($T$520&gt;0,DATE($C535,9,15)&gt;$T$520)),0,IF(DATE($C535,9,15)&gt;=$X$520,$AA$520*(1+($U$520)/100)^MAX(0,$C535-$AD$520),IF(DATE($C535,9,15)&gt;=$W$520,$Z$520*(1+($U$520)/100)^MAX(0,$C535-$AC$520),IF(DATE($C535,9,15)&gt;=$V$520,$Y$520*(1+($U$520)/100)^MAX(0,$C535-$AB$520),0)))))</f>
      </c>
      <c r="N535" s="43">
        <f>IF($S$520=0,0,IF(OR(DATE($C535,10,15)&lt;$S$520,AND($T$520&gt;0,DATE($C535,10,15)&gt;$T$520)),0,IF(DATE($C535,10,15)&gt;=$X$520,$AA$520*(1+($U$520)/100)^MAX(0,$C535-$AD$520),IF(DATE($C535,10,15)&gt;=$W$520,$Z$520*(1+($U$520)/100)^MAX(0,$C535-$AC$520),IF(DATE($C535,10,15)&gt;=$V$520,$Y$520*(1+($U$520)/100)^MAX(0,$C535-$AB$520),0)))))</f>
      </c>
      <c r="O535" s="43">
        <f>IF($S$520=0,0,IF(OR(DATE($C535,11,15)&lt;$S$520,AND($T$520&gt;0,DATE($C535,11,15)&gt;$T$520)),0,IF(DATE($C535,11,15)&gt;=$X$520,$AA$520*(1+($U$520)/100)^MAX(0,$C535-$AD$520),IF(DATE($C535,11,15)&gt;=$W$520,$Z$520*(1+($U$520)/100)^MAX(0,$C535-$AC$520),IF(DATE($C535,11,15)&gt;=$V$520,$Y$520*(1+($U$520)/100)^MAX(0,$C535-$AB$520),0)))))</f>
      </c>
      <c r="P535" s="43">
        <f>IF($S$520=0,0,IF(OR(DATE($C535,12,15)&lt;$S$520,AND($T$520&gt;0,DATE($C535,12,15)&gt;$T$520)),0,IF(DATE($C535,12,15)&gt;=$X$520,$AA$520*(1+($U$520)/100)^MAX(0,$C535-$AD$520),IF(DATE($C535,12,15)&gt;=$W$520,$Z$520*(1+($U$520)/100)^MAX(0,$C535-$AC$520),IF(DATE($C535,12,15)&gt;=$V$520,$Y$520*(1+($U$520)/100)^MAX(0,$C535-$AB$520),0)))))</f>
      </c>
      <c r="Q535" s="43">
        <f>SUM($E535:$P535)</f>
      </c>
    </row>
    <row r="536">
      <c r="A536"/>
      <c r="B536">
        <v>17</v>
      </c>
      <c r="C536" s="43">
        <f>Jahr+16</f>
      </c>
      <c r="D536" s="43">
        <f>INDEX(MvObj,17)</f>
      </c>
      <c r="E536" s="43">
        <f>IF($S$520=0,0,IF(OR(DATE($C536,1,15)&lt;$S$520,AND($T$520&gt;0,DATE($C536,1,15)&gt;$T$520)),0,IF(DATE($C536,1,15)&gt;=$X$520,$AA$520*(1+($U$520)/100)^MAX(0,$C536-$AD$520),IF(DATE($C536,1,15)&gt;=$W$520,$Z$520*(1+($U$520)/100)^MAX(0,$C536-$AC$520),IF(DATE($C536,1,15)&gt;=$V$520,$Y$520*(1+($U$520)/100)^MAX(0,$C536-$AB$520),0)))))</f>
      </c>
      <c r="F536" s="43">
        <f>IF($S$520=0,0,IF(OR(DATE($C536,2,15)&lt;$S$520,AND($T$520&gt;0,DATE($C536,2,15)&gt;$T$520)),0,IF(DATE($C536,2,15)&gt;=$X$520,$AA$520*(1+($U$520)/100)^MAX(0,$C536-$AD$520),IF(DATE($C536,2,15)&gt;=$W$520,$Z$520*(1+($U$520)/100)^MAX(0,$C536-$AC$520),IF(DATE($C536,2,15)&gt;=$V$520,$Y$520*(1+($U$520)/100)^MAX(0,$C536-$AB$520),0)))))</f>
      </c>
      <c r="G536" s="43">
        <f>IF($S$520=0,0,IF(OR(DATE($C536,3,15)&lt;$S$520,AND($T$520&gt;0,DATE($C536,3,15)&gt;$T$520)),0,IF(DATE($C536,3,15)&gt;=$X$520,$AA$520*(1+($U$520)/100)^MAX(0,$C536-$AD$520),IF(DATE($C536,3,15)&gt;=$W$520,$Z$520*(1+($U$520)/100)^MAX(0,$C536-$AC$520),IF(DATE($C536,3,15)&gt;=$V$520,$Y$520*(1+($U$520)/100)^MAX(0,$C536-$AB$520),0)))))</f>
      </c>
      <c r="H536" s="43">
        <f>IF($S$520=0,0,IF(OR(DATE($C536,4,15)&lt;$S$520,AND($T$520&gt;0,DATE($C536,4,15)&gt;$T$520)),0,IF(DATE($C536,4,15)&gt;=$X$520,$AA$520*(1+($U$520)/100)^MAX(0,$C536-$AD$520),IF(DATE($C536,4,15)&gt;=$W$520,$Z$520*(1+($U$520)/100)^MAX(0,$C536-$AC$520),IF(DATE($C536,4,15)&gt;=$V$520,$Y$520*(1+($U$520)/100)^MAX(0,$C536-$AB$520),0)))))</f>
      </c>
      <c r="I536" s="43">
        <f>IF($S$520=0,0,IF(OR(DATE($C536,5,15)&lt;$S$520,AND($T$520&gt;0,DATE($C536,5,15)&gt;$T$520)),0,IF(DATE($C536,5,15)&gt;=$X$520,$AA$520*(1+($U$520)/100)^MAX(0,$C536-$AD$520),IF(DATE($C536,5,15)&gt;=$W$520,$Z$520*(1+($U$520)/100)^MAX(0,$C536-$AC$520),IF(DATE($C536,5,15)&gt;=$V$520,$Y$520*(1+($U$520)/100)^MAX(0,$C536-$AB$520),0)))))</f>
      </c>
      <c r="J536" s="43">
        <f>IF($S$520=0,0,IF(OR(DATE($C536,6,15)&lt;$S$520,AND($T$520&gt;0,DATE($C536,6,15)&gt;$T$520)),0,IF(DATE($C536,6,15)&gt;=$X$520,$AA$520*(1+($U$520)/100)^MAX(0,$C536-$AD$520),IF(DATE($C536,6,15)&gt;=$W$520,$Z$520*(1+($U$520)/100)^MAX(0,$C536-$AC$520),IF(DATE($C536,6,15)&gt;=$V$520,$Y$520*(1+($U$520)/100)^MAX(0,$C536-$AB$520),0)))))</f>
      </c>
      <c r="K536" s="43">
        <f>IF($S$520=0,0,IF(OR(DATE($C536,7,15)&lt;$S$520,AND($T$520&gt;0,DATE($C536,7,15)&gt;$T$520)),0,IF(DATE($C536,7,15)&gt;=$X$520,$AA$520*(1+($U$520)/100)^MAX(0,$C536-$AD$520),IF(DATE($C536,7,15)&gt;=$W$520,$Z$520*(1+($U$520)/100)^MAX(0,$C536-$AC$520),IF(DATE($C536,7,15)&gt;=$V$520,$Y$520*(1+($U$520)/100)^MAX(0,$C536-$AB$520),0)))))</f>
      </c>
      <c r="L536" s="43">
        <f>IF($S$520=0,0,IF(OR(DATE($C536,8,15)&lt;$S$520,AND($T$520&gt;0,DATE($C536,8,15)&gt;$T$520)),0,IF(DATE($C536,8,15)&gt;=$X$520,$AA$520*(1+($U$520)/100)^MAX(0,$C536-$AD$520),IF(DATE($C536,8,15)&gt;=$W$520,$Z$520*(1+($U$520)/100)^MAX(0,$C536-$AC$520),IF(DATE($C536,8,15)&gt;=$V$520,$Y$520*(1+($U$520)/100)^MAX(0,$C536-$AB$520),0)))))</f>
      </c>
      <c r="M536" s="43">
        <f>IF($S$520=0,0,IF(OR(DATE($C536,9,15)&lt;$S$520,AND($T$520&gt;0,DATE($C536,9,15)&gt;$T$520)),0,IF(DATE($C536,9,15)&gt;=$X$520,$AA$520*(1+($U$520)/100)^MAX(0,$C536-$AD$520),IF(DATE($C536,9,15)&gt;=$W$520,$Z$520*(1+($U$520)/100)^MAX(0,$C536-$AC$520),IF(DATE($C536,9,15)&gt;=$V$520,$Y$520*(1+($U$520)/100)^MAX(0,$C536-$AB$520),0)))))</f>
      </c>
      <c r="N536" s="43">
        <f>IF($S$520=0,0,IF(OR(DATE($C536,10,15)&lt;$S$520,AND($T$520&gt;0,DATE($C536,10,15)&gt;$T$520)),0,IF(DATE($C536,10,15)&gt;=$X$520,$AA$520*(1+($U$520)/100)^MAX(0,$C536-$AD$520),IF(DATE($C536,10,15)&gt;=$W$520,$Z$520*(1+($U$520)/100)^MAX(0,$C536-$AC$520),IF(DATE($C536,10,15)&gt;=$V$520,$Y$520*(1+($U$520)/100)^MAX(0,$C536-$AB$520),0)))))</f>
      </c>
      <c r="O536" s="43">
        <f>IF($S$520=0,0,IF(OR(DATE($C536,11,15)&lt;$S$520,AND($T$520&gt;0,DATE($C536,11,15)&gt;$T$520)),0,IF(DATE($C536,11,15)&gt;=$X$520,$AA$520*(1+($U$520)/100)^MAX(0,$C536-$AD$520),IF(DATE($C536,11,15)&gt;=$W$520,$Z$520*(1+($U$520)/100)^MAX(0,$C536-$AC$520),IF(DATE($C536,11,15)&gt;=$V$520,$Y$520*(1+($U$520)/100)^MAX(0,$C536-$AB$520),0)))))</f>
      </c>
      <c r="P536" s="43">
        <f>IF($S$520=0,0,IF(OR(DATE($C536,12,15)&lt;$S$520,AND($T$520&gt;0,DATE($C536,12,15)&gt;$T$520)),0,IF(DATE($C536,12,15)&gt;=$X$520,$AA$520*(1+($U$520)/100)^MAX(0,$C536-$AD$520),IF(DATE($C536,12,15)&gt;=$W$520,$Z$520*(1+($U$520)/100)^MAX(0,$C536-$AC$520),IF(DATE($C536,12,15)&gt;=$V$520,$Y$520*(1+($U$520)/100)^MAX(0,$C536-$AB$520),0)))))</f>
      </c>
      <c r="Q536" s="43">
        <f>SUM($E536:$P536)</f>
      </c>
    </row>
    <row r="537">
      <c r="A537"/>
      <c r="B537">
        <v>17</v>
      </c>
      <c r="C537" s="43">
        <f>Jahr+17</f>
      </c>
      <c r="D537" s="43">
        <f>INDEX(MvObj,17)</f>
      </c>
      <c r="E537" s="43">
        <f>IF($S$520=0,0,IF(OR(DATE($C537,1,15)&lt;$S$520,AND($T$520&gt;0,DATE($C537,1,15)&gt;$T$520)),0,IF(DATE($C537,1,15)&gt;=$X$520,$AA$520*(1+($U$520)/100)^MAX(0,$C537-$AD$520),IF(DATE($C537,1,15)&gt;=$W$520,$Z$520*(1+($U$520)/100)^MAX(0,$C537-$AC$520),IF(DATE($C537,1,15)&gt;=$V$520,$Y$520*(1+($U$520)/100)^MAX(0,$C537-$AB$520),0)))))</f>
      </c>
      <c r="F537" s="43">
        <f>IF($S$520=0,0,IF(OR(DATE($C537,2,15)&lt;$S$520,AND($T$520&gt;0,DATE($C537,2,15)&gt;$T$520)),0,IF(DATE($C537,2,15)&gt;=$X$520,$AA$520*(1+($U$520)/100)^MAX(0,$C537-$AD$520),IF(DATE($C537,2,15)&gt;=$W$520,$Z$520*(1+($U$520)/100)^MAX(0,$C537-$AC$520),IF(DATE($C537,2,15)&gt;=$V$520,$Y$520*(1+($U$520)/100)^MAX(0,$C537-$AB$520),0)))))</f>
      </c>
      <c r="G537" s="43">
        <f>IF($S$520=0,0,IF(OR(DATE($C537,3,15)&lt;$S$520,AND($T$520&gt;0,DATE($C537,3,15)&gt;$T$520)),0,IF(DATE($C537,3,15)&gt;=$X$520,$AA$520*(1+($U$520)/100)^MAX(0,$C537-$AD$520),IF(DATE($C537,3,15)&gt;=$W$520,$Z$520*(1+($U$520)/100)^MAX(0,$C537-$AC$520),IF(DATE($C537,3,15)&gt;=$V$520,$Y$520*(1+($U$520)/100)^MAX(0,$C537-$AB$520),0)))))</f>
      </c>
      <c r="H537" s="43">
        <f>IF($S$520=0,0,IF(OR(DATE($C537,4,15)&lt;$S$520,AND($T$520&gt;0,DATE($C537,4,15)&gt;$T$520)),0,IF(DATE($C537,4,15)&gt;=$X$520,$AA$520*(1+($U$520)/100)^MAX(0,$C537-$AD$520),IF(DATE($C537,4,15)&gt;=$W$520,$Z$520*(1+($U$520)/100)^MAX(0,$C537-$AC$520),IF(DATE($C537,4,15)&gt;=$V$520,$Y$520*(1+($U$520)/100)^MAX(0,$C537-$AB$520),0)))))</f>
      </c>
      <c r="I537" s="43">
        <f>IF($S$520=0,0,IF(OR(DATE($C537,5,15)&lt;$S$520,AND($T$520&gt;0,DATE($C537,5,15)&gt;$T$520)),0,IF(DATE($C537,5,15)&gt;=$X$520,$AA$520*(1+($U$520)/100)^MAX(0,$C537-$AD$520),IF(DATE($C537,5,15)&gt;=$W$520,$Z$520*(1+($U$520)/100)^MAX(0,$C537-$AC$520),IF(DATE($C537,5,15)&gt;=$V$520,$Y$520*(1+($U$520)/100)^MAX(0,$C537-$AB$520),0)))))</f>
      </c>
      <c r="J537" s="43">
        <f>IF($S$520=0,0,IF(OR(DATE($C537,6,15)&lt;$S$520,AND($T$520&gt;0,DATE($C537,6,15)&gt;$T$520)),0,IF(DATE($C537,6,15)&gt;=$X$520,$AA$520*(1+($U$520)/100)^MAX(0,$C537-$AD$520),IF(DATE($C537,6,15)&gt;=$W$520,$Z$520*(1+($U$520)/100)^MAX(0,$C537-$AC$520),IF(DATE($C537,6,15)&gt;=$V$520,$Y$520*(1+($U$520)/100)^MAX(0,$C537-$AB$520),0)))))</f>
      </c>
      <c r="K537" s="43">
        <f>IF($S$520=0,0,IF(OR(DATE($C537,7,15)&lt;$S$520,AND($T$520&gt;0,DATE($C537,7,15)&gt;$T$520)),0,IF(DATE($C537,7,15)&gt;=$X$520,$AA$520*(1+($U$520)/100)^MAX(0,$C537-$AD$520),IF(DATE($C537,7,15)&gt;=$W$520,$Z$520*(1+($U$520)/100)^MAX(0,$C537-$AC$520),IF(DATE($C537,7,15)&gt;=$V$520,$Y$520*(1+($U$520)/100)^MAX(0,$C537-$AB$520),0)))))</f>
      </c>
      <c r="L537" s="43">
        <f>IF($S$520=0,0,IF(OR(DATE($C537,8,15)&lt;$S$520,AND($T$520&gt;0,DATE($C537,8,15)&gt;$T$520)),0,IF(DATE($C537,8,15)&gt;=$X$520,$AA$520*(1+($U$520)/100)^MAX(0,$C537-$AD$520),IF(DATE($C537,8,15)&gt;=$W$520,$Z$520*(1+($U$520)/100)^MAX(0,$C537-$AC$520),IF(DATE($C537,8,15)&gt;=$V$520,$Y$520*(1+($U$520)/100)^MAX(0,$C537-$AB$520),0)))))</f>
      </c>
      <c r="M537" s="43">
        <f>IF($S$520=0,0,IF(OR(DATE($C537,9,15)&lt;$S$520,AND($T$520&gt;0,DATE($C537,9,15)&gt;$T$520)),0,IF(DATE($C537,9,15)&gt;=$X$520,$AA$520*(1+($U$520)/100)^MAX(0,$C537-$AD$520),IF(DATE($C537,9,15)&gt;=$W$520,$Z$520*(1+($U$520)/100)^MAX(0,$C537-$AC$520),IF(DATE($C537,9,15)&gt;=$V$520,$Y$520*(1+($U$520)/100)^MAX(0,$C537-$AB$520),0)))))</f>
      </c>
      <c r="N537" s="43">
        <f>IF($S$520=0,0,IF(OR(DATE($C537,10,15)&lt;$S$520,AND($T$520&gt;0,DATE($C537,10,15)&gt;$T$520)),0,IF(DATE($C537,10,15)&gt;=$X$520,$AA$520*(1+($U$520)/100)^MAX(0,$C537-$AD$520),IF(DATE($C537,10,15)&gt;=$W$520,$Z$520*(1+($U$520)/100)^MAX(0,$C537-$AC$520),IF(DATE($C537,10,15)&gt;=$V$520,$Y$520*(1+($U$520)/100)^MAX(0,$C537-$AB$520),0)))))</f>
      </c>
      <c r="O537" s="43">
        <f>IF($S$520=0,0,IF(OR(DATE($C537,11,15)&lt;$S$520,AND($T$520&gt;0,DATE($C537,11,15)&gt;$T$520)),0,IF(DATE($C537,11,15)&gt;=$X$520,$AA$520*(1+($U$520)/100)^MAX(0,$C537-$AD$520),IF(DATE($C537,11,15)&gt;=$W$520,$Z$520*(1+($U$520)/100)^MAX(0,$C537-$AC$520),IF(DATE($C537,11,15)&gt;=$V$520,$Y$520*(1+($U$520)/100)^MAX(0,$C537-$AB$520),0)))))</f>
      </c>
      <c r="P537" s="43">
        <f>IF($S$520=0,0,IF(OR(DATE($C537,12,15)&lt;$S$520,AND($T$520&gt;0,DATE($C537,12,15)&gt;$T$520)),0,IF(DATE($C537,12,15)&gt;=$X$520,$AA$520*(1+($U$520)/100)^MAX(0,$C537-$AD$520),IF(DATE($C537,12,15)&gt;=$W$520,$Z$520*(1+($U$520)/100)^MAX(0,$C537-$AC$520),IF(DATE($C537,12,15)&gt;=$V$520,$Y$520*(1+($U$520)/100)^MAX(0,$C537-$AB$520),0)))))</f>
      </c>
      <c r="Q537" s="43">
        <f>SUM($E537:$P537)</f>
      </c>
    </row>
    <row r="538">
      <c r="A538"/>
      <c r="B538">
        <v>17</v>
      </c>
      <c r="C538" s="43">
        <f>Jahr+18</f>
      </c>
      <c r="D538" s="43">
        <f>INDEX(MvObj,17)</f>
      </c>
      <c r="E538" s="43">
        <f>IF($S$520=0,0,IF(OR(DATE($C538,1,15)&lt;$S$520,AND($T$520&gt;0,DATE($C538,1,15)&gt;$T$520)),0,IF(DATE($C538,1,15)&gt;=$X$520,$AA$520*(1+($U$520)/100)^MAX(0,$C538-$AD$520),IF(DATE($C538,1,15)&gt;=$W$520,$Z$520*(1+($U$520)/100)^MAX(0,$C538-$AC$520),IF(DATE($C538,1,15)&gt;=$V$520,$Y$520*(1+($U$520)/100)^MAX(0,$C538-$AB$520),0)))))</f>
      </c>
      <c r="F538" s="43">
        <f>IF($S$520=0,0,IF(OR(DATE($C538,2,15)&lt;$S$520,AND($T$520&gt;0,DATE($C538,2,15)&gt;$T$520)),0,IF(DATE($C538,2,15)&gt;=$X$520,$AA$520*(1+($U$520)/100)^MAX(0,$C538-$AD$520),IF(DATE($C538,2,15)&gt;=$W$520,$Z$520*(1+($U$520)/100)^MAX(0,$C538-$AC$520),IF(DATE($C538,2,15)&gt;=$V$520,$Y$520*(1+($U$520)/100)^MAX(0,$C538-$AB$520),0)))))</f>
      </c>
      <c r="G538" s="43">
        <f>IF($S$520=0,0,IF(OR(DATE($C538,3,15)&lt;$S$520,AND($T$520&gt;0,DATE($C538,3,15)&gt;$T$520)),0,IF(DATE($C538,3,15)&gt;=$X$520,$AA$520*(1+($U$520)/100)^MAX(0,$C538-$AD$520),IF(DATE($C538,3,15)&gt;=$W$520,$Z$520*(1+($U$520)/100)^MAX(0,$C538-$AC$520),IF(DATE($C538,3,15)&gt;=$V$520,$Y$520*(1+($U$520)/100)^MAX(0,$C538-$AB$520),0)))))</f>
      </c>
      <c r="H538" s="43">
        <f>IF($S$520=0,0,IF(OR(DATE($C538,4,15)&lt;$S$520,AND($T$520&gt;0,DATE($C538,4,15)&gt;$T$520)),0,IF(DATE($C538,4,15)&gt;=$X$520,$AA$520*(1+($U$520)/100)^MAX(0,$C538-$AD$520),IF(DATE($C538,4,15)&gt;=$W$520,$Z$520*(1+($U$520)/100)^MAX(0,$C538-$AC$520),IF(DATE($C538,4,15)&gt;=$V$520,$Y$520*(1+($U$520)/100)^MAX(0,$C538-$AB$520),0)))))</f>
      </c>
      <c r="I538" s="43">
        <f>IF($S$520=0,0,IF(OR(DATE($C538,5,15)&lt;$S$520,AND($T$520&gt;0,DATE($C538,5,15)&gt;$T$520)),0,IF(DATE($C538,5,15)&gt;=$X$520,$AA$520*(1+($U$520)/100)^MAX(0,$C538-$AD$520),IF(DATE($C538,5,15)&gt;=$W$520,$Z$520*(1+($U$520)/100)^MAX(0,$C538-$AC$520),IF(DATE($C538,5,15)&gt;=$V$520,$Y$520*(1+($U$520)/100)^MAX(0,$C538-$AB$520),0)))))</f>
      </c>
      <c r="J538" s="43">
        <f>IF($S$520=0,0,IF(OR(DATE($C538,6,15)&lt;$S$520,AND($T$520&gt;0,DATE($C538,6,15)&gt;$T$520)),0,IF(DATE($C538,6,15)&gt;=$X$520,$AA$520*(1+($U$520)/100)^MAX(0,$C538-$AD$520),IF(DATE($C538,6,15)&gt;=$W$520,$Z$520*(1+($U$520)/100)^MAX(0,$C538-$AC$520),IF(DATE($C538,6,15)&gt;=$V$520,$Y$520*(1+($U$520)/100)^MAX(0,$C538-$AB$520),0)))))</f>
      </c>
      <c r="K538" s="43">
        <f>IF($S$520=0,0,IF(OR(DATE($C538,7,15)&lt;$S$520,AND($T$520&gt;0,DATE($C538,7,15)&gt;$T$520)),0,IF(DATE($C538,7,15)&gt;=$X$520,$AA$520*(1+($U$520)/100)^MAX(0,$C538-$AD$520),IF(DATE($C538,7,15)&gt;=$W$520,$Z$520*(1+($U$520)/100)^MAX(0,$C538-$AC$520),IF(DATE($C538,7,15)&gt;=$V$520,$Y$520*(1+($U$520)/100)^MAX(0,$C538-$AB$520),0)))))</f>
      </c>
      <c r="L538" s="43">
        <f>IF($S$520=0,0,IF(OR(DATE($C538,8,15)&lt;$S$520,AND($T$520&gt;0,DATE($C538,8,15)&gt;$T$520)),0,IF(DATE($C538,8,15)&gt;=$X$520,$AA$520*(1+($U$520)/100)^MAX(0,$C538-$AD$520),IF(DATE($C538,8,15)&gt;=$W$520,$Z$520*(1+($U$520)/100)^MAX(0,$C538-$AC$520),IF(DATE($C538,8,15)&gt;=$V$520,$Y$520*(1+($U$520)/100)^MAX(0,$C538-$AB$520),0)))))</f>
      </c>
      <c r="M538" s="43">
        <f>IF($S$520=0,0,IF(OR(DATE($C538,9,15)&lt;$S$520,AND($T$520&gt;0,DATE($C538,9,15)&gt;$T$520)),0,IF(DATE($C538,9,15)&gt;=$X$520,$AA$520*(1+($U$520)/100)^MAX(0,$C538-$AD$520),IF(DATE($C538,9,15)&gt;=$W$520,$Z$520*(1+($U$520)/100)^MAX(0,$C538-$AC$520),IF(DATE($C538,9,15)&gt;=$V$520,$Y$520*(1+($U$520)/100)^MAX(0,$C538-$AB$520),0)))))</f>
      </c>
      <c r="N538" s="43">
        <f>IF($S$520=0,0,IF(OR(DATE($C538,10,15)&lt;$S$520,AND($T$520&gt;0,DATE($C538,10,15)&gt;$T$520)),0,IF(DATE($C538,10,15)&gt;=$X$520,$AA$520*(1+($U$520)/100)^MAX(0,$C538-$AD$520),IF(DATE($C538,10,15)&gt;=$W$520,$Z$520*(1+($U$520)/100)^MAX(0,$C538-$AC$520),IF(DATE($C538,10,15)&gt;=$V$520,$Y$520*(1+($U$520)/100)^MAX(0,$C538-$AB$520),0)))))</f>
      </c>
      <c r="O538" s="43">
        <f>IF($S$520=0,0,IF(OR(DATE($C538,11,15)&lt;$S$520,AND($T$520&gt;0,DATE($C538,11,15)&gt;$T$520)),0,IF(DATE($C538,11,15)&gt;=$X$520,$AA$520*(1+($U$520)/100)^MAX(0,$C538-$AD$520),IF(DATE($C538,11,15)&gt;=$W$520,$Z$520*(1+($U$520)/100)^MAX(0,$C538-$AC$520),IF(DATE($C538,11,15)&gt;=$V$520,$Y$520*(1+($U$520)/100)^MAX(0,$C538-$AB$520),0)))))</f>
      </c>
      <c r="P538" s="43">
        <f>IF($S$520=0,0,IF(OR(DATE($C538,12,15)&lt;$S$520,AND($T$520&gt;0,DATE($C538,12,15)&gt;$T$520)),0,IF(DATE($C538,12,15)&gt;=$X$520,$AA$520*(1+($U$520)/100)^MAX(0,$C538-$AD$520),IF(DATE($C538,12,15)&gt;=$W$520,$Z$520*(1+($U$520)/100)^MAX(0,$C538-$AC$520),IF(DATE($C538,12,15)&gt;=$V$520,$Y$520*(1+($U$520)/100)^MAX(0,$C538-$AB$520),0)))))</f>
      </c>
      <c r="Q538" s="43">
        <f>SUM($E538:$P538)</f>
      </c>
    </row>
    <row r="539">
      <c r="A539"/>
      <c r="B539">
        <v>17</v>
      </c>
      <c r="C539" s="43">
        <f>Jahr+19</f>
      </c>
      <c r="D539" s="43">
        <f>INDEX(MvObj,17)</f>
      </c>
      <c r="E539" s="43">
        <f>IF($S$520=0,0,IF(OR(DATE($C539,1,15)&lt;$S$520,AND($T$520&gt;0,DATE($C539,1,15)&gt;$T$520)),0,IF(DATE($C539,1,15)&gt;=$X$520,$AA$520*(1+($U$520)/100)^MAX(0,$C539-$AD$520),IF(DATE($C539,1,15)&gt;=$W$520,$Z$520*(1+($U$520)/100)^MAX(0,$C539-$AC$520),IF(DATE($C539,1,15)&gt;=$V$520,$Y$520*(1+($U$520)/100)^MAX(0,$C539-$AB$520),0)))))</f>
      </c>
      <c r="F539" s="43">
        <f>IF($S$520=0,0,IF(OR(DATE($C539,2,15)&lt;$S$520,AND($T$520&gt;0,DATE($C539,2,15)&gt;$T$520)),0,IF(DATE($C539,2,15)&gt;=$X$520,$AA$520*(1+($U$520)/100)^MAX(0,$C539-$AD$520),IF(DATE($C539,2,15)&gt;=$W$520,$Z$520*(1+($U$520)/100)^MAX(0,$C539-$AC$520),IF(DATE($C539,2,15)&gt;=$V$520,$Y$520*(1+($U$520)/100)^MAX(0,$C539-$AB$520),0)))))</f>
      </c>
      <c r="G539" s="43">
        <f>IF($S$520=0,0,IF(OR(DATE($C539,3,15)&lt;$S$520,AND($T$520&gt;0,DATE($C539,3,15)&gt;$T$520)),0,IF(DATE($C539,3,15)&gt;=$X$520,$AA$520*(1+($U$520)/100)^MAX(0,$C539-$AD$520),IF(DATE($C539,3,15)&gt;=$W$520,$Z$520*(1+($U$520)/100)^MAX(0,$C539-$AC$520),IF(DATE($C539,3,15)&gt;=$V$520,$Y$520*(1+($U$520)/100)^MAX(0,$C539-$AB$520),0)))))</f>
      </c>
      <c r="H539" s="43">
        <f>IF($S$520=0,0,IF(OR(DATE($C539,4,15)&lt;$S$520,AND($T$520&gt;0,DATE($C539,4,15)&gt;$T$520)),0,IF(DATE($C539,4,15)&gt;=$X$520,$AA$520*(1+($U$520)/100)^MAX(0,$C539-$AD$520),IF(DATE($C539,4,15)&gt;=$W$520,$Z$520*(1+($U$520)/100)^MAX(0,$C539-$AC$520),IF(DATE($C539,4,15)&gt;=$V$520,$Y$520*(1+($U$520)/100)^MAX(0,$C539-$AB$520),0)))))</f>
      </c>
      <c r="I539" s="43">
        <f>IF($S$520=0,0,IF(OR(DATE($C539,5,15)&lt;$S$520,AND($T$520&gt;0,DATE($C539,5,15)&gt;$T$520)),0,IF(DATE($C539,5,15)&gt;=$X$520,$AA$520*(1+($U$520)/100)^MAX(0,$C539-$AD$520),IF(DATE($C539,5,15)&gt;=$W$520,$Z$520*(1+($U$520)/100)^MAX(0,$C539-$AC$520),IF(DATE($C539,5,15)&gt;=$V$520,$Y$520*(1+($U$520)/100)^MAX(0,$C539-$AB$520),0)))))</f>
      </c>
      <c r="J539" s="43">
        <f>IF($S$520=0,0,IF(OR(DATE($C539,6,15)&lt;$S$520,AND($T$520&gt;0,DATE($C539,6,15)&gt;$T$520)),0,IF(DATE($C539,6,15)&gt;=$X$520,$AA$520*(1+($U$520)/100)^MAX(0,$C539-$AD$520),IF(DATE($C539,6,15)&gt;=$W$520,$Z$520*(1+($U$520)/100)^MAX(0,$C539-$AC$520),IF(DATE($C539,6,15)&gt;=$V$520,$Y$520*(1+($U$520)/100)^MAX(0,$C539-$AB$520),0)))))</f>
      </c>
      <c r="K539" s="43">
        <f>IF($S$520=0,0,IF(OR(DATE($C539,7,15)&lt;$S$520,AND($T$520&gt;0,DATE($C539,7,15)&gt;$T$520)),0,IF(DATE($C539,7,15)&gt;=$X$520,$AA$520*(1+($U$520)/100)^MAX(0,$C539-$AD$520),IF(DATE($C539,7,15)&gt;=$W$520,$Z$520*(1+($U$520)/100)^MAX(0,$C539-$AC$520),IF(DATE($C539,7,15)&gt;=$V$520,$Y$520*(1+($U$520)/100)^MAX(0,$C539-$AB$520),0)))))</f>
      </c>
      <c r="L539" s="43">
        <f>IF($S$520=0,0,IF(OR(DATE($C539,8,15)&lt;$S$520,AND($T$520&gt;0,DATE($C539,8,15)&gt;$T$520)),0,IF(DATE($C539,8,15)&gt;=$X$520,$AA$520*(1+($U$520)/100)^MAX(0,$C539-$AD$520),IF(DATE($C539,8,15)&gt;=$W$520,$Z$520*(1+($U$520)/100)^MAX(0,$C539-$AC$520),IF(DATE($C539,8,15)&gt;=$V$520,$Y$520*(1+($U$520)/100)^MAX(0,$C539-$AB$520),0)))))</f>
      </c>
      <c r="M539" s="43">
        <f>IF($S$520=0,0,IF(OR(DATE($C539,9,15)&lt;$S$520,AND($T$520&gt;0,DATE($C539,9,15)&gt;$T$520)),0,IF(DATE($C539,9,15)&gt;=$X$520,$AA$520*(1+($U$520)/100)^MAX(0,$C539-$AD$520),IF(DATE($C539,9,15)&gt;=$W$520,$Z$520*(1+($U$520)/100)^MAX(0,$C539-$AC$520),IF(DATE($C539,9,15)&gt;=$V$520,$Y$520*(1+($U$520)/100)^MAX(0,$C539-$AB$520),0)))))</f>
      </c>
      <c r="N539" s="43">
        <f>IF($S$520=0,0,IF(OR(DATE($C539,10,15)&lt;$S$520,AND($T$520&gt;0,DATE($C539,10,15)&gt;$T$520)),0,IF(DATE($C539,10,15)&gt;=$X$520,$AA$520*(1+($U$520)/100)^MAX(0,$C539-$AD$520),IF(DATE($C539,10,15)&gt;=$W$520,$Z$520*(1+($U$520)/100)^MAX(0,$C539-$AC$520),IF(DATE($C539,10,15)&gt;=$V$520,$Y$520*(1+($U$520)/100)^MAX(0,$C539-$AB$520),0)))))</f>
      </c>
      <c r="O539" s="43">
        <f>IF($S$520=0,0,IF(OR(DATE($C539,11,15)&lt;$S$520,AND($T$520&gt;0,DATE($C539,11,15)&gt;$T$520)),0,IF(DATE($C539,11,15)&gt;=$X$520,$AA$520*(1+($U$520)/100)^MAX(0,$C539-$AD$520),IF(DATE($C539,11,15)&gt;=$W$520,$Z$520*(1+($U$520)/100)^MAX(0,$C539-$AC$520),IF(DATE($C539,11,15)&gt;=$V$520,$Y$520*(1+($U$520)/100)^MAX(0,$C539-$AB$520),0)))))</f>
      </c>
      <c r="P539" s="43">
        <f>IF($S$520=0,0,IF(OR(DATE($C539,12,15)&lt;$S$520,AND($T$520&gt;0,DATE($C539,12,15)&gt;$T$520)),0,IF(DATE($C539,12,15)&gt;=$X$520,$AA$520*(1+($U$520)/100)^MAX(0,$C539-$AD$520),IF(DATE($C539,12,15)&gt;=$W$520,$Z$520*(1+($U$520)/100)^MAX(0,$C539-$AC$520),IF(DATE($C539,12,15)&gt;=$V$520,$Y$520*(1+($U$520)/100)^MAX(0,$C539-$AB$520),0)))))</f>
      </c>
      <c r="Q539" s="43">
        <f>SUM($E539:$P539)</f>
      </c>
    </row>
    <row r="540">
      <c r="A540"/>
      <c r="B540">
        <v>17</v>
      </c>
      <c r="C540" s="43">
        <f>Jahr+20</f>
      </c>
      <c r="D540" s="43">
        <f>INDEX(MvObj,17)</f>
      </c>
      <c r="E540" s="43">
        <f>IF($S$520=0,0,IF(OR(DATE($C540,1,15)&lt;$S$520,AND($T$520&gt;0,DATE($C540,1,15)&gt;$T$520)),0,IF(DATE($C540,1,15)&gt;=$X$520,$AA$520*(1+($U$520)/100)^MAX(0,$C540-$AD$520),IF(DATE($C540,1,15)&gt;=$W$520,$Z$520*(1+($U$520)/100)^MAX(0,$C540-$AC$520),IF(DATE($C540,1,15)&gt;=$V$520,$Y$520*(1+($U$520)/100)^MAX(0,$C540-$AB$520),0)))))</f>
      </c>
      <c r="F540" s="43">
        <f>IF($S$520=0,0,IF(OR(DATE($C540,2,15)&lt;$S$520,AND($T$520&gt;0,DATE($C540,2,15)&gt;$T$520)),0,IF(DATE($C540,2,15)&gt;=$X$520,$AA$520*(1+($U$520)/100)^MAX(0,$C540-$AD$520),IF(DATE($C540,2,15)&gt;=$W$520,$Z$520*(1+($U$520)/100)^MAX(0,$C540-$AC$520),IF(DATE($C540,2,15)&gt;=$V$520,$Y$520*(1+($U$520)/100)^MAX(0,$C540-$AB$520),0)))))</f>
      </c>
      <c r="G540" s="43">
        <f>IF($S$520=0,0,IF(OR(DATE($C540,3,15)&lt;$S$520,AND($T$520&gt;0,DATE($C540,3,15)&gt;$T$520)),0,IF(DATE($C540,3,15)&gt;=$X$520,$AA$520*(1+($U$520)/100)^MAX(0,$C540-$AD$520),IF(DATE($C540,3,15)&gt;=$W$520,$Z$520*(1+($U$520)/100)^MAX(0,$C540-$AC$520),IF(DATE($C540,3,15)&gt;=$V$520,$Y$520*(1+($U$520)/100)^MAX(0,$C540-$AB$520),0)))))</f>
      </c>
      <c r="H540" s="43">
        <f>IF($S$520=0,0,IF(OR(DATE($C540,4,15)&lt;$S$520,AND($T$520&gt;0,DATE($C540,4,15)&gt;$T$520)),0,IF(DATE($C540,4,15)&gt;=$X$520,$AA$520*(1+($U$520)/100)^MAX(0,$C540-$AD$520),IF(DATE($C540,4,15)&gt;=$W$520,$Z$520*(1+($U$520)/100)^MAX(0,$C540-$AC$520),IF(DATE($C540,4,15)&gt;=$V$520,$Y$520*(1+($U$520)/100)^MAX(0,$C540-$AB$520),0)))))</f>
      </c>
      <c r="I540" s="43">
        <f>IF($S$520=0,0,IF(OR(DATE($C540,5,15)&lt;$S$520,AND($T$520&gt;0,DATE($C540,5,15)&gt;$T$520)),0,IF(DATE($C540,5,15)&gt;=$X$520,$AA$520*(1+($U$520)/100)^MAX(0,$C540-$AD$520),IF(DATE($C540,5,15)&gt;=$W$520,$Z$520*(1+($U$520)/100)^MAX(0,$C540-$AC$520),IF(DATE($C540,5,15)&gt;=$V$520,$Y$520*(1+($U$520)/100)^MAX(0,$C540-$AB$520),0)))))</f>
      </c>
      <c r="J540" s="43">
        <f>IF($S$520=0,0,IF(OR(DATE($C540,6,15)&lt;$S$520,AND($T$520&gt;0,DATE($C540,6,15)&gt;$T$520)),0,IF(DATE($C540,6,15)&gt;=$X$520,$AA$520*(1+($U$520)/100)^MAX(0,$C540-$AD$520),IF(DATE($C540,6,15)&gt;=$W$520,$Z$520*(1+($U$520)/100)^MAX(0,$C540-$AC$520),IF(DATE($C540,6,15)&gt;=$V$520,$Y$520*(1+($U$520)/100)^MAX(0,$C540-$AB$520),0)))))</f>
      </c>
      <c r="K540" s="43">
        <f>IF($S$520=0,0,IF(OR(DATE($C540,7,15)&lt;$S$520,AND($T$520&gt;0,DATE($C540,7,15)&gt;$T$520)),0,IF(DATE($C540,7,15)&gt;=$X$520,$AA$520*(1+($U$520)/100)^MAX(0,$C540-$AD$520),IF(DATE($C540,7,15)&gt;=$W$520,$Z$520*(1+($U$520)/100)^MAX(0,$C540-$AC$520),IF(DATE($C540,7,15)&gt;=$V$520,$Y$520*(1+($U$520)/100)^MAX(0,$C540-$AB$520),0)))))</f>
      </c>
      <c r="L540" s="43">
        <f>IF($S$520=0,0,IF(OR(DATE($C540,8,15)&lt;$S$520,AND($T$520&gt;0,DATE($C540,8,15)&gt;$T$520)),0,IF(DATE($C540,8,15)&gt;=$X$520,$AA$520*(1+($U$520)/100)^MAX(0,$C540-$AD$520),IF(DATE($C540,8,15)&gt;=$W$520,$Z$520*(1+($U$520)/100)^MAX(0,$C540-$AC$520),IF(DATE($C540,8,15)&gt;=$V$520,$Y$520*(1+($U$520)/100)^MAX(0,$C540-$AB$520),0)))))</f>
      </c>
      <c r="M540" s="43">
        <f>IF($S$520=0,0,IF(OR(DATE($C540,9,15)&lt;$S$520,AND($T$520&gt;0,DATE($C540,9,15)&gt;$T$520)),0,IF(DATE($C540,9,15)&gt;=$X$520,$AA$520*(1+($U$520)/100)^MAX(0,$C540-$AD$520),IF(DATE($C540,9,15)&gt;=$W$520,$Z$520*(1+($U$520)/100)^MAX(0,$C540-$AC$520),IF(DATE($C540,9,15)&gt;=$V$520,$Y$520*(1+($U$520)/100)^MAX(0,$C540-$AB$520),0)))))</f>
      </c>
      <c r="N540" s="43">
        <f>IF($S$520=0,0,IF(OR(DATE($C540,10,15)&lt;$S$520,AND($T$520&gt;0,DATE($C540,10,15)&gt;$T$520)),0,IF(DATE($C540,10,15)&gt;=$X$520,$AA$520*(1+($U$520)/100)^MAX(0,$C540-$AD$520),IF(DATE($C540,10,15)&gt;=$W$520,$Z$520*(1+($U$520)/100)^MAX(0,$C540-$AC$520),IF(DATE($C540,10,15)&gt;=$V$520,$Y$520*(1+($U$520)/100)^MAX(0,$C540-$AB$520),0)))))</f>
      </c>
      <c r="O540" s="43">
        <f>IF($S$520=0,0,IF(OR(DATE($C540,11,15)&lt;$S$520,AND($T$520&gt;0,DATE($C540,11,15)&gt;$T$520)),0,IF(DATE($C540,11,15)&gt;=$X$520,$AA$520*(1+($U$520)/100)^MAX(0,$C540-$AD$520),IF(DATE($C540,11,15)&gt;=$W$520,$Z$520*(1+($U$520)/100)^MAX(0,$C540-$AC$520),IF(DATE($C540,11,15)&gt;=$V$520,$Y$520*(1+($U$520)/100)^MAX(0,$C540-$AB$520),0)))))</f>
      </c>
      <c r="P540" s="43">
        <f>IF($S$520=0,0,IF(OR(DATE($C540,12,15)&lt;$S$520,AND($T$520&gt;0,DATE($C540,12,15)&gt;$T$520)),0,IF(DATE($C540,12,15)&gt;=$X$520,$AA$520*(1+($U$520)/100)^MAX(0,$C540-$AD$520),IF(DATE($C540,12,15)&gt;=$W$520,$Z$520*(1+($U$520)/100)^MAX(0,$C540-$AC$520),IF(DATE($C540,12,15)&gt;=$V$520,$Y$520*(1+($U$520)/100)^MAX(0,$C540-$AB$520),0)))))</f>
      </c>
      <c r="Q540" s="43">
        <f>SUM($E540:$P540)</f>
      </c>
    </row>
    <row r="541">
      <c r="A541"/>
      <c r="B541">
        <v>17</v>
      </c>
      <c r="C541" s="43">
        <f>Jahr+21</f>
      </c>
      <c r="D541" s="43">
        <f>INDEX(MvObj,17)</f>
      </c>
      <c r="E541" s="43">
        <f>IF($S$520=0,0,IF(OR(DATE($C541,1,15)&lt;$S$520,AND($T$520&gt;0,DATE($C541,1,15)&gt;$T$520)),0,IF(DATE($C541,1,15)&gt;=$X$520,$AA$520*(1+($U$520)/100)^MAX(0,$C541-$AD$520),IF(DATE($C541,1,15)&gt;=$W$520,$Z$520*(1+($U$520)/100)^MAX(0,$C541-$AC$520),IF(DATE($C541,1,15)&gt;=$V$520,$Y$520*(1+($U$520)/100)^MAX(0,$C541-$AB$520),0)))))</f>
      </c>
      <c r="F541" s="43">
        <f>IF($S$520=0,0,IF(OR(DATE($C541,2,15)&lt;$S$520,AND($T$520&gt;0,DATE($C541,2,15)&gt;$T$520)),0,IF(DATE($C541,2,15)&gt;=$X$520,$AA$520*(1+($U$520)/100)^MAX(0,$C541-$AD$520),IF(DATE($C541,2,15)&gt;=$W$520,$Z$520*(1+($U$520)/100)^MAX(0,$C541-$AC$520),IF(DATE($C541,2,15)&gt;=$V$520,$Y$520*(1+($U$520)/100)^MAX(0,$C541-$AB$520),0)))))</f>
      </c>
      <c r="G541" s="43">
        <f>IF($S$520=0,0,IF(OR(DATE($C541,3,15)&lt;$S$520,AND($T$520&gt;0,DATE($C541,3,15)&gt;$T$520)),0,IF(DATE($C541,3,15)&gt;=$X$520,$AA$520*(1+($U$520)/100)^MAX(0,$C541-$AD$520),IF(DATE($C541,3,15)&gt;=$W$520,$Z$520*(1+($U$520)/100)^MAX(0,$C541-$AC$520),IF(DATE($C541,3,15)&gt;=$V$520,$Y$520*(1+($U$520)/100)^MAX(0,$C541-$AB$520),0)))))</f>
      </c>
      <c r="H541" s="43">
        <f>IF($S$520=0,0,IF(OR(DATE($C541,4,15)&lt;$S$520,AND($T$520&gt;0,DATE($C541,4,15)&gt;$T$520)),0,IF(DATE($C541,4,15)&gt;=$X$520,$AA$520*(1+($U$520)/100)^MAX(0,$C541-$AD$520),IF(DATE($C541,4,15)&gt;=$W$520,$Z$520*(1+($U$520)/100)^MAX(0,$C541-$AC$520),IF(DATE($C541,4,15)&gt;=$V$520,$Y$520*(1+($U$520)/100)^MAX(0,$C541-$AB$520),0)))))</f>
      </c>
      <c r="I541" s="43">
        <f>IF($S$520=0,0,IF(OR(DATE($C541,5,15)&lt;$S$520,AND($T$520&gt;0,DATE($C541,5,15)&gt;$T$520)),0,IF(DATE($C541,5,15)&gt;=$X$520,$AA$520*(1+($U$520)/100)^MAX(0,$C541-$AD$520),IF(DATE($C541,5,15)&gt;=$W$520,$Z$520*(1+($U$520)/100)^MAX(0,$C541-$AC$520),IF(DATE($C541,5,15)&gt;=$V$520,$Y$520*(1+($U$520)/100)^MAX(0,$C541-$AB$520),0)))))</f>
      </c>
      <c r="J541" s="43">
        <f>IF($S$520=0,0,IF(OR(DATE($C541,6,15)&lt;$S$520,AND($T$520&gt;0,DATE($C541,6,15)&gt;$T$520)),0,IF(DATE($C541,6,15)&gt;=$X$520,$AA$520*(1+($U$520)/100)^MAX(0,$C541-$AD$520),IF(DATE($C541,6,15)&gt;=$W$520,$Z$520*(1+($U$520)/100)^MAX(0,$C541-$AC$520),IF(DATE($C541,6,15)&gt;=$V$520,$Y$520*(1+($U$520)/100)^MAX(0,$C541-$AB$520),0)))))</f>
      </c>
      <c r="K541" s="43">
        <f>IF($S$520=0,0,IF(OR(DATE($C541,7,15)&lt;$S$520,AND($T$520&gt;0,DATE($C541,7,15)&gt;$T$520)),0,IF(DATE($C541,7,15)&gt;=$X$520,$AA$520*(1+($U$520)/100)^MAX(0,$C541-$AD$520),IF(DATE($C541,7,15)&gt;=$W$520,$Z$520*(1+($U$520)/100)^MAX(0,$C541-$AC$520),IF(DATE($C541,7,15)&gt;=$V$520,$Y$520*(1+($U$520)/100)^MAX(0,$C541-$AB$520),0)))))</f>
      </c>
      <c r="L541" s="43">
        <f>IF($S$520=0,0,IF(OR(DATE($C541,8,15)&lt;$S$520,AND($T$520&gt;0,DATE($C541,8,15)&gt;$T$520)),0,IF(DATE($C541,8,15)&gt;=$X$520,$AA$520*(1+($U$520)/100)^MAX(0,$C541-$AD$520),IF(DATE($C541,8,15)&gt;=$W$520,$Z$520*(1+($U$520)/100)^MAX(0,$C541-$AC$520),IF(DATE($C541,8,15)&gt;=$V$520,$Y$520*(1+($U$520)/100)^MAX(0,$C541-$AB$520),0)))))</f>
      </c>
      <c r="M541" s="43">
        <f>IF($S$520=0,0,IF(OR(DATE($C541,9,15)&lt;$S$520,AND($T$520&gt;0,DATE($C541,9,15)&gt;$T$520)),0,IF(DATE($C541,9,15)&gt;=$X$520,$AA$520*(1+($U$520)/100)^MAX(0,$C541-$AD$520),IF(DATE($C541,9,15)&gt;=$W$520,$Z$520*(1+($U$520)/100)^MAX(0,$C541-$AC$520),IF(DATE($C541,9,15)&gt;=$V$520,$Y$520*(1+($U$520)/100)^MAX(0,$C541-$AB$520),0)))))</f>
      </c>
      <c r="N541" s="43">
        <f>IF($S$520=0,0,IF(OR(DATE($C541,10,15)&lt;$S$520,AND($T$520&gt;0,DATE($C541,10,15)&gt;$T$520)),0,IF(DATE($C541,10,15)&gt;=$X$520,$AA$520*(1+($U$520)/100)^MAX(0,$C541-$AD$520),IF(DATE($C541,10,15)&gt;=$W$520,$Z$520*(1+($U$520)/100)^MAX(0,$C541-$AC$520),IF(DATE($C541,10,15)&gt;=$V$520,$Y$520*(1+($U$520)/100)^MAX(0,$C541-$AB$520),0)))))</f>
      </c>
      <c r="O541" s="43">
        <f>IF($S$520=0,0,IF(OR(DATE($C541,11,15)&lt;$S$520,AND($T$520&gt;0,DATE($C541,11,15)&gt;$T$520)),0,IF(DATE($C541,11,15)&gt;=$X$520,$AA$520*(1+($U$520)/100)^MAX(0,$C541-$AD$520),IF(DATE($C541,11,15)&gt;=$W$520,$Z$520*(1+($U$520)/100)^MAX(0,$C541-$AC$520),IF(DATE($C541,11,15)&gt;=$V$520,$Y$520*(1+($U$520)/100)^MAX(0,$C541-$AB$520),0)))))</f>
      </c>
      <c r="P541" s="43">
        <f>IF($S$520=0,0,IF(OR(DATE($C541,12,15)&lt;$S$520,AND($T$520&gt;0,DATE($C541,12,15)&gt;$T$520)),0,IF(DATE($C541,12,15)&gt;=$X$520,$AA$520*(1+($U$520)/100)^MAX(0,$C541-$AD$520),IF(DATE($C541,12,15)&gt;=$W$520,$Z$520*(1+($U$520)/100)^MAX(0,$C541-$AC$520),IF(DATE($C541,12,15)&gt;=$V$520,$Y$520*(1+($U$520)/100)^MAX(0,$C541-$AB$520),0)))))</f>
      </c>
      <c r="Q541" s="43">
        <f>SUM($E541:$P541)</f>
      </c>
    </row>
    <row r="542">
      <c r="A542"/>
      <c r="B542">
        <v>17</v>
      </c>
      <c r="C542" s="43">
        <f>Jahr+22</f>
      </c>
      <c r="D542" s="43">
        <f>INDEX(MvObj,17)</f>
      </c>
      <c r="E542" s="43">
        <f>IF($S$520=0,0,IF(OR(DATE($C542,1,15)&lt;$S$520,AND($T$520&gt;0,DATE($C542,1,15)&gt;$T$520)),0,IF(DATE($C542,1,15)&gt;=$X$520,$AA$520*(1+($U$520)/100)^MAX(0,$C542-$AD$520),IF(DATE($C542,1,15)&gt;=$W$520,$Z$520*(1+($U$520)/100)^MAX(0,$C542-$AC$520),IF(DATE($C542,1,15)&gt;=$V$520,$Y$520*(1+($U$520)/100)^MAX(0,$C542-$AB$520),0)))))</f>
      </c>
      <c r="F542" s="43">
        <f>IF($S$520=0,0,IF(OR(DATE($C542,2,15)&lt;$S$520,AND($T$520&gt;0,DATE($C542,2,15)&gt;$T$520)),0,IF(DATE($C542,2,15)&gt;=$X$520,$AA$520*(1+($U$520)/100)^MAX(0,$C542-$AD$520),IF(DATE($C542,2,15)&gt;=$W$520,$Z$520*(1+($U$520)/100)^MAX(0,$C542-$AC$520),IF(DATE($C542,2,15)&gt;=$V$520,$Y$520*(1+($U$520)/100)^MAX(0,$C542-$AB$520),0)))))</f>
      </c>
      <c r="G542" s="43">
        <f>IF($S$520=0,0,IF(OR(DATE($C542,3,15)&lt;$S$520,AND($T$520&gt;0,DATE($C542,3,15)&gt;$T$520)),0,IF(DATE($C542,3,15)&gt;=$X$520,$AA$520*(1+($U$520)/100)^MAX(0,$C542-$AD$520),IF(DATE($C542,3,15)&gt;=$W$520,$Z$520*(1+($U$520)/100)^MAX(0,$C542-$AC$520),IF(DATE($C542,3,15)&gt;=$V$520,$Y$520*(1+($U$520)/100)^MAX(0,$C542-$AB$520),0)))))</f>
      </c>
      <c r="H542" s="43">
        <f>IF($S$520=0,0,IF(OR(DATE($C542,4,15)&lt;$S$520,AND($T$520&gt;0,DATE($C542,4,15)&gt;$T$520)),0,IF(DATE($C542,4,15)&gt;=$X$520,$AA$520*(1+($U$520)/100)^MAX(0,$C542-$AD$520),IF(DATE($C542,4,15)&gt;=$W$520,$Z$520*(1+($U$520)/100)^MAX(0,$C542-$AC$520),IF(DATE($C542,4,15)&gt;=$V$520,$Y$520*(1+($U$520)/100)^MAX(0,$C542-$AB$520),0)))))</f>
      </c>
      <c r="I542" s="43">
        <f>IF($S$520=0,0,IF(OR(DATE($C542,5,15)&lt;$S$520,AND($T$520&gt;0,DATE($C542,5,15)&gt;$T$520)),0,IF(DATE($C542,5,15)&gt;=$X$520,$AA$520*(1+($U$520)/100)^MAX(0,$C542-$AD$520),IF(DATE($C542,5,15)&gt;=$W$520,$Z$520*(1+($U$520)/100)^MAX(0,$C542-$AC$520),IF(DATE($C542,5,15)&gt;=$V$520,$Y$520*(1+($U$520)/100)^MAX(0,$C542-$AB$520),0)))))</f>
      </c>
      <c r="J542" s="43">
        <f>IF($S$520=0,0,IF(OR(DATE($C542,6,15)&lt;$S$520,AND($T$520&gt;0,DATE($C542,6,15)&gt;$T$520)),0,IF(DATE($C542,6,15)&gt;=$X$520,$AA$520*(1+($U$520)/100)^MAX(0,$C542-$AD$520),IF(DATE($C542,6,15)&gt;=$W$520,$Z$520*(1+($U$520)/100)^MAX(0,$C542-$AC$520),IF(DATE($C542,6,15)&gt;=$V$520,$Y$520*(1+($U$520)/100)^MAX(0,$C542-$AB$520),0)))))</f>
      </c>
      <c r="K542" s="43">
        <f>IF($S$520=0,0,IF(OR(DATE($C542,7,15)&lt;$S$520,AND($T$520&gt;0,DATE($C542,7,15)&gt;$T$520)),0,IF(DATE($C542,7,15)&gt;=$X$520,$AA$520*(1+($U$520)/100)^MAX(0,$C542-$AD$520),IF(DATE($C542,7,15)&gt;=$W$520,$Z$520*(1+($U$520)/100)^MAX(0,$C542-$AC$520),IF(DATE($C542,7,15)&gt;=$V$520,$Y$520*(1+($U$520)/100)^MAX(0,$C542-$AB$520),0)))))</f>
      </c>
      <c r="L542" s="43">
        <f>IF($S$520=0,0,IF(OR(DATE($C542,8,15)&lt;$S$520,AND($T$520&gt;0,DATE($C542,8,15)&gt;$T$520)),0,IF(DATE($C542,8,15)&gt;=$X$520,$AA$520*(1+($U$520)/100)^MAX(0,$C542-$AD$520),IF(DATE($C542,8,15)&gt;=$W$520,$Z$520*(1+($U$520)/100)^MAX(0,$C542-$AC$520),IF(DATE($C542,8,15)&gt;=$V$520,$Y$520*(1+($U$520)/100)^MAX(0,$C542-$AB$520),0)))))</f>
      </c>
      <c r="M542" s="43">
        <f>IF($S$520=0,0,IF(OR(DATE($C542,9,15)&lt;$S$520,AND($T$520&gt;0,DATE($C542,9,15)&gt;$T$520)),0,IF(DATE($C542,9,15)&gt;=$X$520,$AA$520*(1+($U$520)/100)^MAX(0,$C542-$AD$520),IF(DATE($C542,9,15)&gt;=$W$520,$Z$520*(1+($U$520)/100)^MAX(0,$C542-$AC$520),IF(DATE($C542,9,15)&gt;=$V$520,$Y$520*(1+($U$520)/100)^MAX(0,$C542-$AB$520),0)))))</f>
      </c>
      <c r="N542" s="43">
        <f>IF($S$520=0,0,IF(OR(DATE($C542,10,15)&lt;$S$520,AND($T$520&gt;0,DATE($C542,10,15)&gt;$T$520)),0,IF(DATE($C542,10,15)&gt;=$X$520,$AA$520*(1+($U$520)/100)^MAX(0,$C542-$AD$520),IF(DATE($C542,10,15)&gt;=$W$520,$Z$520*(1+($U$520)/100)^MAX(0,$C542-$AC$520),IF(DATE($C542,10,15)&gt;=$V$520,$Y$520*(1+($U$520)/100)^MAX(0,$C542-$AB$520),0)))))</f>
      </c>
      <c r="O542" s="43">
        <f>IF($S$520=0,0,IF(OR(DATE($C542,11,15)&lt;$S$520,AND($T$520&gt;0,DATE($C542,11,15)&gt;$T$520)),0,IF(DATE($C542,11,15)&gt;=$X$520,$AA$520*(1+($U$520)/100)^MAX(0,$C542-$AD$520),IF(DATE($C542,11,15)&gt;=$W$520,$Z$520*(1+($U$520)/100)^MAX(0,$C542-$AC$520),IF(DATE($C542,11,15)&gt;=$V$520,$Y$520*(1+($U$520)/100)^MAX(0,$C542-$AB$520),0)))))</f>
      </c>
      <c r="P542" s="43">
        <f>IF($S$520=0,0,IF(OR(DATE($C542,12,15)&lt;$S$520,AND($T$520&gt;0,DATE($C542,12,15)&gt;$T$520)),0,IF(DATE($C542,12,15)&gt;=$X$520,$AA$520*(1+($U$520)/100)^MAX(0,$C542-$AD$520),IF(DATE($C542,12,15)&gt;=$W$520,$Z$520*(1+($U$520)/100)^MAX(0,$C542-$AC$520),IF(DATE($C542,12,15)&gt;=$V$520,$Y$520*(1+($U$520)/100)^MAX(0,$C542-$AB$520),0)))))</f>
      </c>
      <c r="Q542" s="43">
        <f>SUM($E542:$P542)</f>
      </c>
    </row>
    <row r="543">
      <c r="A543"/>
      <c r="B543">
        <v>17</v>
      </c>
      <c r="C543" s="43">
        <f>Jahr+23</f>
      </c>
      <c r="D543" s="43">
        <f>INDEX(MvObj,17)</f>
      </c>
      <c r="E543" s="43">
        <f>IF($S$520=0,0,IF(OR(DATE($C543,1,15)&lt;$S$520,AND($T$520&gt;0,DATE($C543,1,15)&gt;$T$520)),0,IF(DATE($C543,1,15)&gt;=$X$520,$AA$520*(1+($U$520)/100)^MAX(0,$C543-$AD$520),IF(DATE($C543,1,15)&gt;=$W$520,$Z$520*(1+($U$520)/100)^MAX(0,$C543-$AC$520),IF(DATE($C543,1,15)&gt;=$V$520,$Y$520*(1+($U$520)/100)^MAX(0,$C543-$AB$520),0)))))</f>
      </c>
      <c r="F543" s="43">
        <f>IF($S$520=0,0,IF(OR(DATE($C543,2,15)&lt;$S$520,AND($T$520&gt;0,DATE($C543,2,15)&gt;$T$520)),0,IF(DATE($C543,2,15)&gt;=$X$520,$AA$520*(1+($U$520)/100)^MAX(0,$C543-$AD$520),IF(DATE($C543,2,15)&gt;=$W$520,$Z$520*(1+($U$520)/100)^MAX(0,$C543-$AC$520),IF(DATE($C543,2,15)&gt;=$V$520,$Y$520*(1+($U$520)/100)^MAX(0,$C543-$AB$520),0)))))</f>
      </c>
      <c r="G543" s="43">
        <f>IF($S$520=0,0,IF(OR(DATE($C543,3,15)&lt;$S$520,AND($T$520&gt;0,DATE($C543,3,15)&gt;$T$520)),0,IF(DATE($C543,3,15)&gt;=$X$520,$AA$520*(1+($U$520)/100)^MAX(0,$C543-$AD$520),IF(DATE($C543,3,15)&gt;=$W$520,$Z$520*(1+($U$520)/100)^MAX(0,$C543-$AC$520),IF(DATE($C543,3,15)&gt;=$V$520,$Y$520*(1+($U$520)/100)^MAX(0,$C543-$AB$520),0)))))</f>
      </c>
      <c r="H543" s="43">
        <f>IF($S$520=0,0,IF(OR(DATE($C543,4,15)&lt;$S$520,AND($T$520&gt;0,DATE($C543,4,15)&gt;$T$520)),0,IF(DATE($C543,4,15)&gt;=$X$520,$AA$520*(1+($U$520)/100)^MAX(0,$C543-$AD$520),IF(DATE($C543,4,15)&gt;=$W$520,$Z$520*(1+($U$520)/100)^MAX(0,$C543-$AC$520),IF(DATE($C543,4,15)&gt;=$V$520,$Y$520*(1+($U$520)/100)^MAX(0,$C543-$AB$520),0)))))</f>
      </c>
      <c r="I543" s="43">
        <f>IF($S$520=0,0,IF(OR(DATE($C543,5,15)&lt;$S$520,AND($T$520&gt;0,DATE($C543,5,15)&gt;$T$520)),0,IF(DATE($C543,5,15)&gt;=$X$520,$AA$520*(1+($U$520)/100)^MAX(0,$C543-$AD$520),IF(DATE($C543,5,15)&gt;=$W$520,$Z$520*(1+($U$520)/100)^MAX(0,$C543-$AC$520),IF(DATE($C543,5,15)&gt;=$V$520,$Y$520*(1+($U$520)/100)^MAX(0,$C543-$AB$520),0)))))</f>
      </c>
      <c r="J543" s="43">
        <f>IF($S$520=0,0,IF(OR(DATE($C543,6,15)&lt;$S$520,AND($T$520&gt;0,DATE($C543,6,15)&gt;$T$520)),0,IF(DATE($C543,6,15)&gt;=$X$520,$AA$520*(1+($U$520)/100)^MAX(0,$C543-$AD$520),IF(DATE($C543,6,15)&gt;=$W$520,$Z$520*(1+($U$520)/100)^MAX(0,$C543-$AC$520),IF(DATE($C543,6,15)&gt;=$V$520,$Y$520*(1+($U$520)/100)^MAX(0,$C543-$AB$520),0)))))</f>
      </c>
      <c r="K543" s="43">
        <f>IF($S$520=0,0,IF(OR(DATE($C543,7,15)&lt;$S$520,AND($T$520&gt;0,DATE($C543,7,15)&gt;$T$520)),0,IF(DATE($C543,7,15)&gt;=$X$520,$AA$520*(1+($U$520)/100)^MAX(0,$C543-$AD$520),IF(DATE($C543,7,15)&gt;=$W$520,$Z$520*(1+($U$520)/100)^MAX(0,$C543-$AC$520),IF(DATE($C543,7,15)&gt;=$V$520,$Y$520*(1+($U$520)/100)^MAX(0,$C543-$AB$520),0)))))</f>
      </c>
      <c r="L543" s="43">
        <f>IF($S$520=0,0,IF(OR(DATE($C543,8,15)&lt;$S$520,AND($T$520&gt;0,DATE($C543,8,15)&gt;$T$520)),0,IF(DATE($C543,8,15)&gt;=$X$520,$AA$520*(1+($U$520)/100)^MAX(0,$C543-$AD$520),IF(DATE($C543,8,15)&gt;=$W$520,$Z$520*(1+($U$520)/100)^MAX(0,$C543-$AC$520),IF(DATE($C543,8,15)&gt;=$V$520,$Y$520*(1+($U$520)/100)^MAX(0,$C543-$AB$520),0)))))</f>
      </c>
      <c r="M543" s="43">
        <f>IF($S$520=0,0,IF(OR(DATE($C543,9,15)&lt;$S$520,AND($T$520&gt;0,DATE($C543,9,15)&gt;$T$520)),0,IF(DATE($C543,9,15)&gt;=$X$520,$AA$520*(1+($U$520)/100)^MAX(0,$C543-$AD$520),IF(DATE($C543,9,15)&gt;=$W$520,$Z$520*(1+($U$520)/100)^MAX(0,$C543-$AC$520),IF(DATE($C543,9,15)&gt;=$V$520,$Y$520*(1+($U$520)/100)^MAX(0,$C543-$AB$520),0)))))</f>
      </c>
      <c r="N543" s="43">
        <f>IF($S$520=0,0,IF(OR(DATE($C543,10,15)&lt;$S$520,AND($T$520&gt;0,DATE($C543,10,15)&gt;$T$520)),0,IF(DATE($C543,10,15)&gt;=$X$520,$AA$520*(1+($U$520)/100)^MAX(0,$C543-$AD$520),IF(DATE($C543,10,15)&gt;=$W$520,$Z$520*(1+($U$520)/100)^MAX(0,$C543-$AC$520),IF(DATE($C543,10,15)&gt;=$V$520,$Y$520*(1+($U$520)/100)^MAX(0,$C543-$AB$520),0)))))</f>
      </c>
      <c r="O543" s="43">
        <f>IF($S$520=0,0,IF(OR(DATE($C543,11,15)&lt;$S$520,AND($T$520&gt;0,DATE($C543,11,15)&gt;$T$520)),0,IF(DATE($C543,11,15)&gt;=$X$520,$AA$520*(1+($U$520)/100)^MAX(0,$C543-$AD$520),IF(DATE($C543,11,15)&gt;=$W$520,$Z$520*(1+($U$520)/100)^MAX(0,$C543-$AC$520),IF(DATE($C543,11,15)&gt;=$V$520,$Y$520*(1+($U$520)/100)^MAX(0,$C543-$AB$520),0)))))</f>
      </c>
      <c r="P543" s="43">
        <f>IF($S$520=0,0,IF(OR(DATE($C543,12,15)&lt;$S$520,AND($T$520&gt;0,DATE($C543,12,15)&gt;$T$520)),0,IF(DATE($C543,12,15)&gt;=$X$520,$AA$520*(1+($U$520)/100)^MAX(0,$C543-$AD$520),IF(DATE($C543,12,15)&gt;=$W$520,$Z$520*(1+($U$520)/100)^MAX(0,$C543-$AC$520),IF(DATE($C543,12,15)&gt;=$V$520,$Y$520*(1+($U$520)/100)^MAX(0,$C543-$AB$520),0)))))</f>
      </c>
      <c r="Q543" s="43">
        <f>SUM($E543:$P543)</f>
      </c>
    </row>
    <row r="544">
      <c r="A544"/>
      <c r="B544">
        <v>17</v>
      </c>
      <c r="C544" s="43">
        <f>Jahr+24</f>
      </c>
      <c r="D544" s="43">
        <f>INDEX(MvObj,17)</f>
      </c>
      <c r="E544" s="43">
        <f>IF($S$520=0,0,IF(OR(DATE($C544,1,15)&lt;$S$520,AND($T$520&gt;0,DATE($C544,1,15)&gt;$T$520)),0,IF(DATE($C544,1,15)&gt;=$X$520,$AA$520*(1+($U$520)/100)^MAX(0,$C544-$AD$520),IF(DATE($C544,1,15)&gt;=$W$520,$Z$520*(1+($U$520)/100)^MAX(0,$C544-$AC$520),IF(DATE($C544,1,15)&gt;=$V$520,$Y$520*(1+($U$520)/100)^MAX(0,$C544-$AB$520),0)))))</f>
      </c>
      <c r="F544" s="43">
        <f>IF($S$520=0,0,IF(OR(DATE($C544,2,15)&lt;$S$520,AND($T$520&gt;0,DATE($C544,2,15)&gt;$T$520)),0,IF(DATE($C544,2,15)&gt;=$X$520,$AA$520*(1+($U$520)/100)^MAX(0,$C544-$AD$520),IF(DATE($C544,2,15)&gt;=$W$520,$Z$520*(1+($U$520)/100)^MAX(0,$C544-$AC$520),IF(DATE($C544,2,15)&gt;=$V$520,$Y$520*(1+($U$520)/100)^MAX(0,$C544-$AB$520),0)))))</f>
      </c>
      <c r="G544" s="43">
        <f>IF($S$520=0,0,IF(OR(DATE($C544,3,15)&lt;$S$520,AND($T$520&gt;0,DATE($C544,3,15)&gt;$T$520)),0,IF(DATE($C544,3,15)&gt;=$X$520,$AA$520*(1+($U$520)/100)^MAX(0,$C544-$AD$520),IF(DATE($C544,3,15)&gt;=$W$520,$Z$520*(1+($U$520)/100)^MAX(0,$C544-$AC$520),IF(DATE($C544,3,15)&gt;=$V$520,$Y$520*(1+($U$520)/100)^MAX(0,$C544-$AB$520),0)))))</f>
      </c>
      <c r="H544" s="43">
        <f>IF($S$520=0,0,IF(OR(DATE($C544,4,15)&lt;$S$520,AND($T$520&gt;0,DATE($C544,4,15)&gt;$T$520)),0,IF(DATE($C544,4,15)&gt;=$X$520,$AA$520*(1+($U$520)/100)^MAX(0,$C544-$AD$520),IF(DATE($C544,4,15)&gt;=$W$520,$Z$520*(1+($U$520)/100)^MAX(0,$C544-$AC$520),IF(DATE($C544,4,15)&gt;=$V$520,$Y$520*(1+($U$520)/100)^MAX(0,$C544-$AB$520),0)))))</f>
      </c>
      <c r="I544" s="43">
        <f>IF($S$520=0,0,IF(OR(DATE($C544,5,15)&lt;$S$520,AND($T$520&gt;0,DATE($C544,5,15)&gt;$T$520)),0,IF(DATE($C544,5,15)&gt;=$X$520,$AA$520*(1+($U$520)/100)^MAX(0,$C544-$AD$520),IF(DATE($C544,5,15)&gt;=$W$520,$Z$520*(1+($U$520)/100)^MAX(0,$C544-$AC$520),IF(DATE($C544,5,15)&gt;=$V$520,$Y$520*(1+($U$520)/100)^MAX(0,$C544-$AB$520),0)))))</f>
      </c>
      <c r="J544" s="43">
        <f>IF($S$520=0,0,IF(OR(DATE($C544,6,15)&lt;$S$520,AND($T$520&gt;0,DATE($C544,6,15)&gt;$T$520)),0,IF(DATE($C544,6,15)&gt;=$X$520,$AA$520*(1+($U$520)/100)^MAX(0,$C544-$AD$520),IF(DATE($C544,6,15)&gt;=$W$520,$Z$520*(1+($U$520)/100)^MAX(0,$C544-$AC$520),IF(DATE($C544,6,15)&gt;=$V$520,$Y$520*(1+($U$520)/100)^MAX(0,$C544-$AB$520),0)))))</f>
      </c>
      <c r="K544" s="43">
        <f>IF($S$520=0,0,IF(OR(DATE($C544,7,15)&lt;$S$520,AND($T$520&gt;0,DATE($C544,7,15)&gt;$T$520)),0,IF(DATE($C544,7,15)&gt;=$X$520,$AA$520*(1+($U$520)/100)^MAX(0,$C544-$AD$520),IF(DATE($C544,7,15)&gt;=$W$520,$Z$520*(1+($U$520)/100)^MAX(0,$C544-$AC$520),IF(DATE($C544,7,15)&gt;=$V$520,$Y$520*(1+($U$520)/100)^MAX(0,$C544-$AB$520),0)))))</f>
      </c>
      <c r="L544" s="43">
        <f>IF($S$520=0,0,IF(OR(DATE($C544,8,15)&lt;$S$520,AND($T$520&gt;0,DATE($C544,8,15)&gt;$T$520)),0,IF(DATE($C544,8,15)&gt;=$X$520,$AA$520*(1+($U$520)/100)^MAX(0,$C544-$AD$520),IF(DATE($C544,8,15)&gt;=$W$520,$Z$520*(1+($U$520)/100)^MAX(0,$C544-$AC$520),IF(DATE($C544,8,15)&gt;=$V$520,$Y$520*(1+($U$520)/100)^MAX(0,$C544-$AB$520),0)))))</f>
      </c>
      <c r="M544" s="43">
        <f>IF($S$520=0,0,IF(OR(DATE($C544,9,15)&lt;$S$520,AND($T$520&gt;0,DATE($C544,9,15)&gt;$T$520)),0,IF(DATE($C544,9,15)&gt;=$X$520,$AA$520*(1+($U$520)/100)^MAX(0,$C544-$AD$520),IF(DATE($C544,9,15)&gt;=$W$520,$Z$520*(1+($U$520)/100)^MAX(0,$C544-$AC$520),IF(DATE($C544,9,15)&gt;=$V$520,$Y$520*(1+($U$520)/100)^MAX(0,$C544-$AB$520),0)))))</f>
      </c>
      <c r="N544" s="43">
        <f>IF($S$520=0,0,IF(OR(DATE($C544,10,15)&lt;$S$520,AND($T$520&gt;0,DATE($C544,10,15)&gt;$T$520)),0,IF(DATE($C544,10,15)&gt;=$X$520,$AA$520*(1+($U$520)/100)^MAX(0,$C544-$AD$520),IF(DATE($C544,10,15)&gt;=$W$520,$Z$520*(1+($U$520)/100)^MAX(0,$C544-$AC$520),IF(DATE($C544,10,15)&gt;=$V$520,$Y$520*(1+($U$520)/100)^MAX(0,$C544-$AB$520),0)))))</f>
      </c>
      <c r="O544" s="43">
        <f>IF($S$520=0,0,IF(OR(DATE($C544,11,15)&lt;$S$520,AND($T$520&gt;0,DATE($C544,11,15)&gt;$T$520)),0,IF(DATE($C544,11,15)&gt;=$X$520,$AA$520*(1+($U$520)/100)^MAX(0,$C544-$AD$520),IF(DATE($C544,11,15)&gt;=$W$520,$Z$520*(1+($U$520)/100)^MAX(0,$C544-$AC$520),IF(DATE($C544,11,15)&gt;=$V$520,$Y$520*(1+($U$520)/100)^MAX(0,$C544-$AB$520),0)))))</f>
      </c>
      <c r="P544" s="43">
        <f>IF($S$520=0,0,IF(OR(DATE($C544,12,15)&lt;$S$520,AND($T$520&gt;0,DATE($C544,12,15)&gt;$T$520)),0,IF(DATE($C544,12,15)&gt;=$X$520,$AA$520*(1+($U$520)/100)^MAX(0,$C544-$AD$520),IF(DATE($C544,12,15)&gt;=$W$520,$Z$520*(1+($U$520)/100)^MAX(0,$C544-$AC$520),IF(DATE($C544,12,15)&gt;=$V$520,$Y$520*(1+($U$520)/100)^MAX(0,$C544-$AB$520),0)))))</f>
      </c>
      <c r="Q544" s="43">
        <f>SUM($E544:$P544)</f>
      </c>
    </row>
    <row r="545">
      <c r="A545"/>
      <c r="B545">
        <v>17</v>
      </c>
      <c r="C545" s="43">
        <f>Jahr+25</f>
      </c>
      <c r="D545" s="43">
        <f>INDEX(MvObj,17)</f>
      </c>
      <c r="E545" s="43">
        <f>IF($S$520=0,0,IF(OR(DATE($C545,1,15)&lt;$S$520,AND($T$520&gt;0,DATE($C545,1,15)&gt;$T$520)),0,IF(DATE($C545,1,15)&gt;=$X$520,$AA$520*(1+($U$520)/100)^MAX(0,$C545-$AD$520),IF(DATE($C545,1,15)&gt;=$W$520,$Z$520*(1+($U$520)/100)^MAX(0,$C545-$AC$520),IF(DATE($C545,1,15)&gt;=$V$520,$Y$520*(1+($U$520)/100)^MAX(0,$C545-$AB$520),0)))))</f>
      </c>
      <c r="F545" s="43">
        <f>IF($S$520=0,0,IF(OR(DATE($C545,2,15)&lt;$S$520,AND($T$520&gt;0,DATE($C545,2,15)&gt;$T$520)),0,IF(DATE($C545,2,15)&gt;=$X$520,$AA$520*(1+($U$520)/100)^MAX(0,$C545-$AD$520),IF(DATE($C545,2,15)&gt;=$W$520,$Z$520*(1+($U$520)/100)^MAX(0,$C545-$AC$520),IF(DATE($C545,2,15)&gt;=$V$520,$Y$520*(1+($U$520)/100)^MAX(0,$C545-$AB$520),0)))))</f>
      </c>
      <c r="G545" s="43">
        <f>IF($S$520=0,0,IF(OR(DATE($C545,3,15)&lt;$S$520,AND($T$520&gt;0,DATE($C545,3,15)&gt;$T$520)),0,IF(DATE($C545,3,15)&gt;=$X$520,$AA$520*(1+($U$520)/100)^MAX(0,$C545-$AD$520),IF(DATE($C545,3,15)&gt;=$W$520,$Z$520*(1+($U$520)/100)^MAX(0,$C545-$AC$520),IF(DATE($C545,3,15)&gt;=$V$520,$Y$520*(1+($U$520)/100)^MAX(0,$C545-$AB$520),0)))))</f>
      </c>
      <c r="H545" s="43">
        <f>IF($S$520=0,0,IF(OR(DATE($C545,4,15)&lt;$S$520,AND($T$520&gt;0,DATE($C545,4,15)&gt;$T$520)),0,IF(DATE($C545,4,15)&gt;=$X$520,$AA$520*(1+($U$520)/100)^MAX(0,$C545-$AD$520),IF(DATE($C545,4,15)&gt;=$W$520,$Z$520*(1+($U$520)/100)^MAX(0,$C545-$AC$520),IF(DATE($C545,4,15)&gt;=$V$520,$Y$520*(1+($U$520)/100)^MAX(0,$C545-$AB$520),0)))))</f>
      </c>
      <c r="I545" s="43">
        <f>IF($S$520=0,0,IF(OR(DATE($C545,5,15)&lt;$S$520,AND($T$520&gt;0,DATE($C545,5,15)&gt;$T$520)),0,IF(DATE($C545,5,15)&gt;=$X$520,$AA$520*(1+($U$520)/100)^MAX(0,$C545-$AD$520),IF(DATE($C545,5,15)&gt;=$W$520,$Z$520*(1+($U$520)/100)^MAX(0,$C545-$AC$520),IF(DATE($C545,5,15)&gt;=$V$520,$Y$520*(1+($U$520)/100)^MAX(0,$C545-$AB$520),0)))))</f>
      </c>
      <c r="J545" s="43">
        <f>IF($S$520=0,0,IF(OR(DATE($C545,6,15)&lt;$S$520,AND($T$520&gt;0,DATE($C545,6,15)&gt;$T$520)),0,IF(DATE($C545,6,15)&gt;=$X$520,$AA$520*(1+($U$520)/100)^MAX(0,$C545-$AD$520),IF(DATE($C545,6,15)&gt;=$W$520,$Z$520*(1+($U$520)/100)^MAX(0,$C545-$AC$520),IF(DATE($C545,6,15)&gt;=$V$520,$Y$520*(1+($U$520)/100)^MAX(0,$C545-$AB$520),0)))))</f>
      </c>
      <c r="K545" s="43">
        <f>IF($S$520=0,0,IF(OR(DATE($C545,7,15)&lt;$S$520,AND($T$520&gt;0,DATE($C545,7,15)&gt;$T$520)),0,IF(DATE($C545,7,15)&gt;=$X$520,$AA$520*(1+($U$520)/100)^MAX(0,$C545-$AD$520),IF(DATE($C545,7,15)&gt;=$W$520,$Z$520*(1+($U$520)/100)^MAX(0,$C545-$AC$520),IF(DATE($C545,7,15)&gt;=$V$520,$Y$520*(1+($U$520)/100)^MAX(0,$C545-$AB$520),0)))))</f>
      </c>
      <c r="L545" s="43">
        <f>IF($S$520=0,0,IF(OR(DATE($C545,8,15)&lt;$S$520,AND($T$520&gt;0,DATE($C545,8,15)&gt;$T$520)),0,IF(DATE($C545,8,15)&gt;=$X$520,$AA$520*(1+($U$520)/100)^MAX(0,$C545-$AD$520),IF(DATE($C545,8,15)&gt;=$W$520,$Z$520*(1+($U$520)/100)^MAX(0,$C545-$AC$520),IF(DATE($C545,8,15)&gt;=$V$520,$Y$520*(1+($U$520)/100)^MAX(0,$C545-$AB$520),0)))))</f>
      </c>
      <c r="M545" s="43">
        <f>IF($S$520=0,0,IF(OR(DATE($C545,9,15)&lt;$S$520,AND($T$520&gt;0,DATE($C545,9,15)&gt;$T$520)),0,IF(DATE($C545,9,15)&gt;=$X$520,$AA$520*(1+($U$520)/100)^MAX(0,$C545-$AD$520),IF(DATE($C545,9,15)&gt;=$W$520,$Z$520*(1+($U$520)/100)^MAX(0,$C545-$AC$520),IF(DATE($C545,9,15)&gt;=$V$520,$Y$520*(1+($U$520)/100)^MAX(0,$C545-$AB$520),0)))))</f>
      </c>
      <c r="N545" s="43">
        <f>IF($S$520=0,0,IF(OR(DATE($C545,10,15)&lt;$S$520,AND($T$520&gt;0,DATE($C545,10,15)&gt;$T$520)),0,IF(DATE($C545,10,15)&gt;=$X$520,$AA$520*(1+($U$520)/100)^MAX(0,$C545-$AD$520),IF(DATE($C545,10,15)&gt;=$W$520,$Z$520*(1+($U$520)/100)^MAX(0,$C545-$AC$520),IF(DATE($C545,10,15)&gt;=$V$520,$Y$520*(1+($U$520)/100)^MAX(0,$C545-$AB$520),0)))))</f>
      </c>
      <c r="O545" s="43">
        <f>IF($S$520=0,0,IF(OR(DATE($C545,11,15)&lt;$S$520,AND($T$520&gt;0,DATE($C545,11,15)&gt;$T$520)),0,IF(DATE($C545,11,15)&gt;=$X$520,$AA$520*(1+($U$520)/100)^MAX(0,$C545-$AD$520),IF(DATE($C545,11,15)&gt;=$W$520,$Z$520*(1+($U$520)/100)^MAX(0,$C545-$AC$520),IF(DATE($C545,11,15)&gt;=$V$520,$Y$520*(1+($U$520)/100)^MAX(0,$C545-$AB$520),0)))))</f>
      </c>
      <c r="P545" s="43">
        <f>IF($S$520=0,0,IF(OR(DATE($C545,12,15)&lt;$S$520,AND($T$520&gt;0,DATE($C545,12,15)&gt;$T$520)),0,IF(DATE($C545,12,15)&gt;=$X$520,$AA$520*(1+($U$520)/100)^MAX(0,$C545-$AD$520),IF(DATE($C545,12,15)&gt;=$W$520,$Z$520*(1+($U$520)/100)^MAX(0,$C545-$AC$520),IF(DATE($C545,12,15)&gt;=$V$520,$Y$520*(1+($U$520)/100)^MAX(0,$C545-$AB$520),0)))))</f>
      </c>
      <c r="Q545" s="43">
        <f>SUM($E545:$P545)</f>
      </c>
    </row>
    <row r="546">
      <c r="A546"/>
      <c r="B546">
        <v>17</v>
      </c>
      <c r="C546" s="43">
        <f>Jahr+26</f>
      </c>
      <c r="D546" s="43">
        <f>INDEX(MvObj,17)</f>
      </c>
      <c r="E546" s="43">
        <f>IF($S$520=0,0,IF(OR(DATE($C546,1,15)&lt;$S$520,AND($T$520&gt;0,DATE($C546,1,15)&gt;$T$520)),0,IF(DATE($C546,1,15)&gt;=$X$520,$AA$520*(1+($U$520)/100)^MAX(0,$C546-$AD$520),IF(DATE($C546,1,15)&gt;=$W$520,$Z$520*(1+($U$520)/100)^MAX(0,$C546-$AC$520),IF(DATE($C546,1,15)&gt;=$V$520,$Y$520*(1+($U$520)/100)^MAX(0,$C546-$AB$520),0)))))</f>
      </c>
      <c r="F546" s="43">
        <f>IF($S$520=0,0,IF(OR(DATE($C546,2,15)&lt;$S$520,AND($T$520&gt;0,DATE($C546,2,15)&gt;$T$520)),0,IF(DATE($C546,2,15)&gt;=$X$520,$AA$520*(1+($U$520)/100)^MAX(0,$C546-$AD$520),IF(DATE($C546,2,15)&gt;=$W$520,$Z$520*(1+($U$520)/100)^MAX(0,$C546-$AC$520),IF(DATE($C546,2,15)&gt;=$V$520,$Y$520*(1+($U$520)/100)^MAX(0,$C546-$AB$520),0)))))</f>
      </c>
      <c r="G546" s="43">
        <f>IF($S$520=0,0,IF(OR(DATE($C546,3,15)&lt;$S$520,AND($T$520&gt;0,DATE($C546,3,15)&gt;$T$520)),0,IF(DATE($C546,3,15)&gt;=$X$520,$AA$520*(1+($U$520)/100)^MAX(0,$C546-$AD$520),IF(DATE($C546,3,15)&gt;=$W$520,$Z$520*(1+($U$520)/100)^MAX(0,$C546-$AC$520),IF(DATE($C546,3,15)&gt;=$V$520,$Y$520*(1+($U$520)/100)^MAX(0,$C546-$AB$520),0)))))</f>
      </c>
      <c r="H546" s="43">
        <f>IF($S$520=0,0,IF(OR(DATE($C546,4,15)&lt;$S$520,AND($T$520&gt;0,DATE($C546,4,15)&gt;$T$520)),0,IF(DATE($C546,4,15)&gt;=$X$520,$AA$520*(1+($U$520)/100)^MAX(0,$C546-$AD$520),IF(DATE($C546,4,15)&gt;=$W$520,$Z$520*(1+($U$520)/100)^MAX(0,$C546-$AC$520),IF(DATE($C546,4,15)&gt;=$V$520,$Y$520*(1+($U$520)/100)^MAX(0,$C546-$AB$520),0)))))</f>
      </c>
      <c r="I546" s="43">
        <f>IF($S$520=0,0,IF(OR(DATE($C546,5,15)&lt;$S$520,AND($T$520&gt;0,DATE($C546,5,15)&gt;$T$520)),0,IF(DATE($C546,5,15)&gt;=$X$520,$AA$520*(1+($U$520)/100)^MAX(0,$C546-$AD$520),IF(DATE($C546,5,15)&gt;=$W$520,$Z$520*(1+($U$520)/100)^MAX(0,$C546-$AC$520),IF(DATE($C546,5,15)&gt;=$V$520,$Y$520*(1+($U$520)/100)^MAX(0,$C546-$AB$520),0)))))</f>
      </c>
      <c r="J546" s="43">
        <f>IF($S$520=0,0,IF(OR(DATE($C546,6,15)&lt;$S$520,AND($T$520&gt;0,DATE($C546,6,15)&gt;$T$520)),0,IF(DATE($C546,6,15)&gt;=$X$520,$AA$520*(1+($U$520)/100)^MAX(0,$C546-$AD$520),IF(DATE($C546,6,15)&gt;=$W$520,$Z$520*(1+($U$520)/100)^MAX(0,$C546-$AC$520),IF(DATE($C546,6,15)&gt;=$V$520,$Y$520*(1+($U$520)/100)^MAX(0,$C546-$AB$520),0)))))</f>
      </c>
      <c r="K546" s="43">
        <f>IF($S$520=0,0,IF(OR(DATE($C546,7,15)&lt;$S$520,AND($T$520&gt;0,DATE($C546,7,15)&gt;$T$520)),0,IF(DATE($C546,7,15)&gt;=$X$520,$AA$520*(1+($U$520)/100)^MAX(0,$C546-$AD$520),IF(DATE($C546,7,15)&gt;=$W$520,$Z$520*(1+($U$520)/100)^MAX(0,$C546-$AC$520),IF(DATE($C546,7,15)&gt;=$V$520,$Y$520*(1+($U$520)/100)^MAX(0,$C546-$AB$520),0)))))</f>
      </c>
      <c r="L546" s="43">
        <f>IF($S$520=0,0,IF(OR(DATE($C546,8,15)&lt;$S$520,AND($T$520&gt;0,DATE($C546,8,15)&gt;$T$520)),0,IF(DATE($C546,8,15)&gt;=$X$520,$AA$520*(1+($U$520)/100)^MAX(0,$C546-$AD$520),IF(DATE($C546,8,15)&gt;=$W$520,$Z$520*(1+($U$520)/100)^MAX(0,$C546-$AC$520),IF(DATE($C546,8,15)&gt;=$V$520,$Y$520*(1+($U$520)/100)^MAX(0,$C546-$AB$520),0)))))</f>
      </c>
      <c r="M546" s="43">
        <f>IF($S$520=0,0,IF(OR(DATE($C546,9,15)&lt;$S$520,AND($T$520&gt;0,DATE($C546,9,15)&gt;$T$520)),0,IF(DATE($C546,9,15)&gt;=$X$520,$AA$520*(1+($U$520)/100)^MAX(0,$C546-$AD$520),IF(DATE($C546,9,15)&gt;=$W$520,$Z$520*(1+($U$520)/100)^MAX(0,$C546-$AC$520),IF(DATE($C546,9,15)&gt;=$V$520,$Y$520*(1+($U$520)/100)^MAX(0,$C546-$AB$520),0)))))</f>
      </c>
      <c r="N546" s="43">
        <f>IF($S$520=0,0,IF(OR(DATE($C546,10,15)&lt;$S$520,AND($T$520&gt;0,DATE($C546,10,15)&gt;$T$520)),0,IF(DATE($C546,10,15)&gt;=$X$520,$AA$520*(1+($U$520)/100)^MAX(0,$C546-$AD$520),IF(DATE($C546,10,15)&gt;=$W$520,$Z$520*(1+($U$520)/100)^MAX(0,$C546-$AC$520),IF(DATE($C546,10,15)&gt;=$V$520,$Y$520*(1+($U$520)/100)^MAX(0,$C546-$AB$520),0)))))</f>
      </c>
      <c r="O546" s="43">
        <f>IF($S$520=0,0,IF(OR(DATE($C546,11,15)&lt;$S$520,AND($T$520&gt;0,DATE($C546,11,15)&gt;$T$520)),0,IF(DATE($C546,11,15)&gt;=$X$520,$AA$520*(1+($U$520)/100)^MAX(0,$C546-$AD$520),IF(DATE($C546,11,15)&gt;=$W$520,$Z$520*(1+($U$520)/100)^MAX(0,$C546-$AC$520),IF(DATE($C546,11,15)&gt;=$V$520,$Y$520*(1+($U$520)/100)^MAX(0,$C546-$AB$520),0)))))</f>
      </c>
      <c r="P546" s="43">
        <f>IF($S$520=0,0,IF(OR(DATE($C546,12,15)&lt;$S$520,AND($T$520&gt;0,DATE($C546,12,15)&gt;$T$520)),0,IF(DATE($C546,12,15)&gt;=$X$520,$AA$520*(1+($U$520)/100)^MAX(0,$C546-$AD$520),IF(DATE($C546,12,15)&gt;=$W$520,$Z$520*(1+($U$520)/100)^MAX(0,$C546-$AC$520),IF(DATE($C546,12,15)&gt;=$V$520,$Y$520*(1+($U$520)/100)^MAX(0,$C546-$AB$520),0)))))</f>
      </c>
      <c r="Q546" s="43">
        <f>SUM($E546:$P546)</f>
      </c>
    </row>
    <row r="547">
      <c r="A547"/>
      <c r="B547">
        <v>17</v>
      </c>
      <c r="C547" s="43">
        <f>Jahr+27</f>
      </c>
      <c r="D547" s="43">
        <f>INDEX(MvObj,17)</f>
      </c>
      <c r="E547" s="43">
        <f>IF($S$520=0,0,IF(OR(DATE($C547,1,15)&lt;$S$520,AND($T$520&gt;0,DATE($C547,1,15)&gt;$T$520)),0,IF(DATE($C547,1,15)&gt;=$X$520,$AA$520*(1+($U$520)/100)^MAX(0,$C547-$AD$520),IF(DATE($C547,1,15)&gt;=$W$520,$Z$520*(1+($U$520)/100)^MAX(0,$C547-$AC$520),IF(DATE($C547,1,15)&gt;=$V$520,$Y$520*(1+($U$520)/100)^MAX(0,$C547-$AB$520),0)))))</f>
      </c>
      <c r="F547" s="43">
        <f>IF($S$520=0,0,IF(OR(DATE($C547,2,15)&lt;$S$520,AND($T$520&gt;0,DATE($C547,2,15)&gt;$T$520)),0,IF(DATE($C547,2,15)&gt;=$X$520,$AA$520*(1+($U$520)/100)^MAX(0,$C547-$AD$520),IF(DATE($C547,2,15)&gt;=$W$520,$Z$520*(1+($U$520)/100)^MAX(0,$C547-$AC$520),IF(DATE($C547,2,15)&gt;=$V$520,$Y$520*(1+($U$520)/100)^MAX(0,$C547-$AB$520),0)))))</f>
      </c>
      <c r="G547" s="43">
        <f>IF($S$520=0,0,IF(OR(DATE($C547,3,15)&lt;$S$520,AND($T$520&gt;0,DATE($C547,3,15)&gt;$T$520)),0,IF(DATE($C547,3,15)&gt;=$X$520,$AA$520*(1+($U$520)/100)^MAX(0,$C547-$AD$520),IF(DATE($C547,3,15)&gt;=$W$520,$Z$520*(1+($U$520)/100)^MAX(0,$C547-$AC$520),IF(DATE($C547,3,15)&gt;=$V$520,$Y$520*(1+($U$520)/100)^MAX(0,$C547-$AB$520),0)))))</f>
      </c>
      <c r="H547" s="43">
        <f>IF($S$520=0,0,IF(OR(DATE($C547,4,15)&lt;$S$520,AND($T$520&gt;0,DATE($C547,4,15)&gt;$T$520)),0,IF(DATE($C547,4,15)&gt;=$X$520,$AA$520*(1+($U$520)/100)^MAX(0,$C547-$AD$520),IF(DATE($C547,4,15)&gt;=$W$520,$Z$520*(1+($U$520)/100)^MAX(0,$C547-$AC$520),IF(DATE($C547,4,15)&gt;=$V$520,$Y$520*(1+($U$520)/100)^MAX(0,$C547-$AB$520),0)))))</f>
      </c>
      <c r="I547" s="43">
        <f>IF($S$520=0,0,IF(OR(DATE($C547,5,15)&lt;$S$520,AND($T$520&gt;0,DATE($C547,5,15)&gt;$T$520)),0,IF(DATE($C547,5,15)&gt;=$X$520,$AA$520*(1+($U$520)/100)^MAX(0,$C547-$AD$520),IF(DATE($C547,5,15)&gt;=$W$520,$Z$520*(1+($U$520)/100)^MAX(0,$C547-$AC$520),IF(DATE($C547,5,15)&gt;=$V$520,$Y$520*(1+($U$520)/100)^MAX(0,$C547-$AB$520),0)))))</f>
      </c>
      <c r="J547" s="43">
        <f>IF($S$520=0,0,IF(OR(DATE($C547,6,15)&lt;$S$520,AND($T$520&gt;0,DATE($C547,6,15)&gt;$T$520)),0,IF(DATE($C547,6,15)&gt;=$X$520,$AA$520*(1+($U$520)/100)^MAX(0,$C547-$AD$520),IF(DATE($C547,6,15)&gt;=$W$520,$Z$520*(1+($U$520)/100)^MAX(0,$C547-$AC$520),IF(DATE($C547,6,15)&gt;=$V$520,$Y$520*(1+($U$520)/100)^MAX(0,$C547-$AB$520),0)))))</f>
      </c>
      <c r="K547" s="43">
        <f>IF($S$520=0,0,IF(OR(DATE($C547,7,15)&lt;$S$520,AND($T$520&gt;0,DATE($C547,7,15)&gt;$T$520)),0,IF(DATE($C547,7,15)&gt;=$X$520,$AA$520*(1+($U$520)/100)^MAX(0,$C547-$AD$520),IF(DATE($C547,7,15)&gt;=$W$520,$Z$520*(1+($U$520)/100)^MAX(0,$C547-$AC$520),IF(DATE($C547,7,15)&gt;=$V$520,$Y$520*(1+($U$520)/100)^MAX(0,$C547-$AB$520),0)))))</f>
      </c>
      <c r="L547" s="43">
        <f>IF($S$520=0,0,IF(OR(DATE($C547,8,15)&lt;$S$520,AND($T$520&gt;0,DATE($C547,8,15)&gt;$T$520)),0,IF(DATE($C547,8,15)&gt;=$X$520,$AA$520*(1+($U$520)/100)^MAX(0,$C547-$AD$520),IF(DATE($C547,8,15)&gt;=$W$520,$Z$520*(1+($U$520)/100)^MAX(0,$C547-$AC$520),IF(DATE($C547,8,15)&gt;=$V$520,$Y$520*(1+($U$520)/100)^MAX(0,$C547-$AB$520),0)))))</f>
      </c>
      <c r="M547" s="43">
        <f>IF($S$520=0,0,IF(OR(DATE($C547,9,15)&lt;$S$520,AND($T$520&gt;0,DATE($C547,9,15)&gt;$T$520)),0,IF(DATE($C547,9,15)&gt;=$X$520,$AA$520*(1+($U$520)/100)^MAX(0,$C547-$AD$520),IF(DATE($C547,9,15)&gt;=$W$520,$Z$520*(1+($U$520)/100)^MAX(0,$C547-$AC$520),IF(DATE($C547,9,15)&gt;=$V$520,$Y$520*(1+($U$520)/100)^MAX(0,$C547-$AB$520),0)))))</f>
      </c>
      <c r="N547" s="43">
        <f>IF($S$520=0,0,IF(OR(DATE($C547,10,15)&lt;$S$520,AND($T$520&gt;0,DATE($C547,10,15)&gt;$T$520)),0,IF(DATE($C547,10,15)&gt;=$X$520,$AA$520*(1+($U$520)/100)^MAX(0,$C547-$AD$520),IF(DATE($C547,10,15)&gt;=$W$520,$Z$520*(1+($U$520)/100)^MAX(0,$C547-$AC$520),IF(DATE($C547,10,15)&gt;=$V$520,$Y$520*(1+($U$520)/100)^MAX(0,$C547-$AB$520),0)))))</f>
      </c>
      <c r="O547" s="43">
        <f>IF($S$520=0,0,IF(OR(DATE($C547,11,15)&lt;$S$520,AND($T$520&gt;0,DATE($C547,11,15)&gt;$T$520)),0,IF(DATE($C547,11,15)&gt;=$X$520,$AA$520*(1+($U$520)/100)^MAX(0,$C547-$AD$520),IF(DATE($C547,11,15)&gt;=$W$520,$Z$520*(1+($U$520)/100)^MAX(0,$C547-$AC$520),IF(DATE($C547,11,15)&gt;=$V$520,$Y$520*(1+($U$520)/100)^MAX(0,$C547-$AB$520),0)))))</f>
      </c>
      <c r="P547" s="43">
        <f>IF($S$520=0,0,IF(OR(DATE($C547,12,15)&lt;$S$520,AND($T$520&gt;0,DATE($C547,12,15)&gt;$T$520)),0,IF(DATE($C547,12,15)&gt;=$X$520,$AA$520*(1+($U$520)/100)^MAX(0,$C547-$AD$520),IF(DATE($C547,12,15)&gt;=$W$520,$Z$520*(1+($U$520)/100)^MAX(0,$C547-$AC$520),IF(DATE($C547,12,15)&gt;=$V$520,$Y$520*(1+($U$520)/100)^MAX(0,$C547-$AB$520),0)))))</f>
      </c>
      <c r="Q547" s="43">
        <f>SUM($E547:$P547)</f>
      </c>
    </row>
    <row r="548">
      <c r="A548"/>
      <c r="B548">
        <v>17</v>
      </c>
      <c r="C548" s="43">
        <f>Jahr+28</f>
      </c>
      <c r="D548" s="43">
        <f>INDEX(MvObj,17)</f>
      </c>
      <c r="E548" s="43">
        <f>IF($S$520=0,0,IF(OR(DATE($C548,1,15)&lt;$S$520,AND($T$520&gt;0,DATE($C548,1,15)&gt;$T$520)),0,IF(DATE($C548,1,15)&gt;=$X$520,$AA$520*(1+($U$520)/100)^MAX(0,$C548-$AD$520),IF(DATE($C548,1,15)&gt;=$W$520,$Z$520*(1+($U$520)/100)^MAX(0,$C548-$AC$520),IF(DATE($C548,1,15)&gt;=$V$520,$Y$520*(1+($U$520)/100)^MAX(0,$C548-$AB$520),0)))))</f>
      </c>
      <c r="F548" s="43">
        <f>IF($S$520=0,0,IF(OR(DATE($C548,2,15)&lt;$S$520,AND($T$520&gt;0,DATE($C548,2,15)&gt;$T$520)),0,IF(DATE($C548,2,15)&gt;=$X$520,$AA$520*(1+($U$520)/100)^MAX(0,$C548-$AD$520),IF(DATE($C548,2,15)&gt;=$W$520,$Z$520*(1+($U$520)/100)^MAX(0,$C548-$AC$520),IF(DATE($C548,2,15)&gt;=$V$520,$Y$520*(1+($U$520)/100)^MAX(0,$C548-$AB$520),0)))))</f>
      </c>
      <c r="G548" s="43">
        <f>IF($S$520=0,0,IF(OR(DATE($C548,3,15)&lt;$S$520,AND($T$520&gt;0,DATE($C548,3,15)&gt;$T$520)),0,IF(DATE($C548,3,15)&gt;=$X$520,$AA$520*(1+($U$520)/100)^MAX(0,$C548-$AD$520),IF(DATE($C548,3,15)&gt;=$W$520,$Z$520*(1+($U$520)/100)^MAX(0,$C548-$AC$520),IF(DATE($C548,3,15)&gt;=$V$520,$Y$520*(1+($U$520)/100)^MAX(0,$C548-$AB$520),0)))))</f>
      </c>
      <c r="H548" s="43">
        <f>IF($S$520=0,0,IF(OR(DATE($C548,4,15)&lt;$S$520,AND($T$520&gt;0,DATE($C548,4,15)&gt;$T$520)),0,IF(DATE($C548,4,15)&gt;=$X$520,$AA$520*(1+($U$520)/100)^MAX(0,$C548-$AD$520),IF(DATE($C548,4,15)&gt;=$W$520,$Z$520*(1+($U$520)/100)^MAX(0,$C548-$AC$520),IF(DATE($C548,4,15)&gt;=$V$520,$Y$520*(1+($U$520)/100)^MAX(0,$C548-$AB$520),0)))))</f>
      </c>
      <c r="I548" s="43">
        <f>IF($S$520=0,0,IF(OR(DATE($C548,5,15)&lt;$S$520,AND($T$520&gt;0,DATE($C548,5,15)&gt;$T$520)),0,IF(DATE($C548,5,15)&gt;=$X$520,$AA$520*(1+($U$520)/100)^MAX(0,$C548-$AD$520),IF(DATE($C548,5,15)&gt;=$W$520,$Z$520*(1+($U$520)/100)^MAX(0,$C548-$AC$520),IF(DATE($C548,5,15)&gt;=$V$520,$Y$520*(1+($U$520)/100)^MAX(0,$C548-$AB$520),0)))))</f>
      </c>
      <c r="J548" s="43">
        <f>IF($S$520=0,0,IF(OR(DATE($C548,6,15)&lt;$S$520,AND($T$520&gt;0,DATE($C548,6,15)&gt;$T$520)),0,IF(DATE($C548,6,15)&gt;=$X$520,$AA$520*(1+($U$520)/100)^MAX(0,$C548-$AD$520),IF(DATE($C548,6,15)&gt;=$W$520,$Z$520*(1+($U$520)/100)^MAX(0,$C548-$AC$520),IF(DATE($C548,6,15)&gt;=$V$520,$Y$520*(1+($U$520)/100)^MAX(0,$C548-$AB$520),0)))))</f>
      </c>
      <c r="K548" s="43">
        <f>IF($S$520=0,0,IF(OR(DATE($C548,7,15)&lt;$S$520,AND($T$520&gt;0,DATE($C548,7,15)&gt;$T$520)),0,IF(DATE($C548,7,15)&gt;=$X$520,$AA$520*(1+($U$520)/100)^MAX(0,$C548-$AD$520),IF(DATE($C548,7,15)&gt;=$W$520,$Z$520*(1+($U$520)/100)^MAX(0,$C548-$AC$520),IF(DATE($C548,7,15)&gt;=$V$520,$Y$520*(1+($U$520)/100)^MAX(0,$C548-$AB$520),0)))))</f>
      </c>
      <c r="L548" s="43">
        <f>IF($S$520=0,0,IF(OR(DATE($C548,8,15)&lt;$S$520,AND($T$520&gt;0,DATE($C548,8,15)&gt;$T$520)),0,IF(DATE($C548,8,15)&gt;=$X$520,$AA$520*(1+($U$520)/100)^MAX(0,$C548-$AD$520),IF(DATE($C548,8,15)&gt;=$W$520,$Z$520*(1+($U$520)/100)^MAX(0,$C548-$AC$520),IF(DATE($C548,8,15)&gt;=$V$520,$Y$520*(1+($U$520)/100)^MAX(0,$C548-$AB$520),0)))))</f>
      </c>
      <c r="M548" s="43">
        <f>IF($S$520=0,0,IF(OR(DATE($C548,9,15)&lt;$S$520,AND($T$520&gt;0,DATE($C548,9,15)&gt;$T$520)),0,IF(DATE($C548,9,15)&gt;=$X$520,$AA$520*(1+($U$520)/100)^MAX(0,$C548-$AD$520),IF(DATE($C548,9,15)&gt;=$W$520,$Z$520*(1+($U$520)/100)^MAX(0,$C548-$AC$520),IF(DATE($C548,9,15)&gt;=$V$520,$Y$520*(1+($U$520)/100)^MAX(0,$C548-$AB$520),0)))))</f>
      </c>
      <c r="N548" s="43">
        <f>IF($S$520=0,0,IF(OR(DATE($C548,10,15)&lt;$S$520,AND($T$520&gt;0,DATE($C548,10,15)&gt;$T$520)),0,IF(DATE($C548,10,15)&gt;=$X$520,$AA$520*(1+($U$520)/100)^MAX(0,$C548-$AD$520),IF(DATE($C548,10,15)&gt;=$W$520,$Z$520*(1+($U$520)/100)^MAX(0,$C548-$AC$520),IF(DATE($C548,10,15)&gt;=$V$520,$Y$520*(1+($U$520)/100)^MAX(0,$C548-$AB$520),0)))))</f>
      </c>
      <c r="O548" s="43">
        <f>IF($S$520=0,0,IF(OR(DATE($C548,11,15)&lt;$S$520,AND($T$520&gt;0,DATE($C548,11,15)&gt;$T$520)),0,IF(DATE($C548,11,15)&gt;=$X$520,$AA$520*(1+($U$520)/100)^MAX(0,$C548-$AD$520),IF(DATE($C548,11,15)&gt;=$W$520,$Z$520*(1+($U$520)/100)^MAX(0,$C548-$AC$520),IF(DATE($C548,11,15)&gt;=$V$520,$Y$520*(1+($U$520)/100)^MAX(0,$C548-$AB$520),0)))))</f>
      </c>
      <c r="P548" s="43">
        <f>IF($S$520=0,0,IF(OR(DATE($C548,12,15)&lt;$S$520,AND($T$520&gt;0,DATE($C548,12,15)&gt;$T$520)),0,IF(DATE($C548,12,15)&gt;=$X$520,$AA$520*(1+($U$520)/100)^MAX(0,$C548-$AD$520),IF(DATE($C548,12,15)&gt;=$W$520,$Z$520*(1+($U$520)/100)^MAX(0,$C548-$AC$520),IF(DATE($C548,12,15)&gt;=$V$520,$Y$520*(1+($U$520)/100)^MAX(0,$C548-$AB$520),0)))))</f>
      </c>
      <c r="Q548" s="43">
        <f>SUM($E548:$P548)</f>
      </c>
    </row>
    <row r="549">
      <c r="A549"/>
      <c r="B549">
        <v>17</v>
      </c>
      <c r="C549" s="43">
        <f>Jahr+29</f>
      </c>
      <c r="D549" s="43">
        <f>INDEX(MvObj,17)</f>
      </c>
      <c r="E549" s="43">
        <f>IF($S$520=0,0,IF(OR(DATE($C549,1,15)&lt;$S$520,AND($T$520&gt;0,DATE($C549,1,15)&gt;$T$520)),0,IF(DATE($C549,1,15)&gt;=$X$520,$AA$520*(1+($U$520)/100)^MAX(0,$C549-$AD$520),IF(DATE($C549,1,15)&gt;=$W$520,$Z$520*(1+($U$520)/100)^MAX(0,$C549-$AC$520),IF(DATE($C549,1,15)&gt;=$V$520,$Y$520*(1+($U$520)/100)^MAX(0,$C549-$AB$520),0)))))</f>
      </c>
      <c r="F549" s="43">
        <f>IF($S$520=0,0,IF(OR(DATE($C549,2,15)&lt;$S$520,AND($T$520&gt;0,DATE($C549,2,15)&gt;$T$520)),0,IF(DATE($C549,2,15)&gt;=$X$520,$AA$520*(1+($U$520)/100)^MAX(0,$C549-$AD$520),IF(DATE($C549,2,15)&gt;=$W$520,$Z$520*(1+($U$520)/100)^MAX(0,$C549-$AC$520),IF(DATE($C549,2,15)&gt;=$V$520,$Y$520*(1+($U$520)/100)^MAX(0,$C549-$AB$520),0)))))</f>
      </c>
      <c r="G549" s="43">
        <f>IF($S$520=0,0,IF(OR(DATE($C549,3,15)&lt;$S$520,AND($T$520&gt;0,DATE($C549,3,15)&gt;$T$520)),0,IF(DATE($C549,3,15)&gt;=$X$520,$AA$520*(1+($U$520)/100)^MAX(0,$C549-$AD$520),IF(DATE($C549,3,15)&gt;=$W$520,$Z$520*(1+($U$520)/100)^MAX(0,$C549-$AC$520),IF(DATE($C549,3,15)&gt;=$V$520,$Y$520*(1+($U$520)/100)^MAX(0,$C549-$AB$520),0)))))</f>
      </c>
      <c r="H549" s="43">
        <f>IF($S$520=0,0,IF(OR(DATE($C549,4,15)&lt;$S$520,AND($T$520&gt;0,DATE($C549,4,15)&gt;$T$520)),0,IF(DATE($C549,4,15)&gt;=$X$520,$AA$520*(1+($U$520)/100)^MAX(0,$C549-$AD$520),IF(DATE($C549,4,15)&gt;=$W$520,$Z$520*(1+($U$520)/100)^MAX(0,$C549-$AC$520),IF(DATE($C549,4,15)&gt;=$V$520,$Y$520*(1+($U$520)/100)^MAX(0,$C549-$AB$520),0)))))</f>
      </c>
      <c r="I549" s="43">
        <f>IF($S$520=0,0,IF(OR(DATE($C549,5,15)&lt;$S$520,AND($T$520&gt;0,DATE($C549,5,15)&gt;$T$520)),0,IF(DATE($C549,5,15)&gt;=$X$520,$AA$520*(1+($U$520)/100)^MAX(0,$C549-$AD$520),IF(DATE($C549,5,15)&gt;=$W$520,$Z$520*(1+($U$520)/100)^MAX(0,$C549-$AC$520),IF(DATE($C549,5,15)&gt;=$V$520,$Y$520*(1+($U$520)/100)^MAX(0,$C549-$AB$520),0)))))</f>
      </c>
      <c r="J549" s="43">
        <f>IF($S$520=0,0,IF(OR(DATE($C549,6,15)&lt;$S$520,AND($T$520&gt;0,DATE($C549,6,15)&gt;$T$520)),0,IF(DATE($C549,6,15)&gt;=$X$520,$AA$520*(1+($U$520)/100)^MAX(0,$C549-$AD$520),IF(DATE($C549,6,15)&gt;=$W$520,$Z$520*(1+($U$520)/100)^MAX(0,$C549-$AC$520),IF(DATE($C549,6,15)&gt;=$V$520,$Y$520*(1+($U$520)/100)^MAX(0,$C549-$AB$520),0)))))</f>
      </c>
      <c r="K549" s="43">
        <f>IF($S$520=0,0,IF(OR(DATE($C549,7,15)&lt;$S$520,AND($T$520&gt;0,DATE($C549,7,15)&gt;$T$520)),0,IF(DATE($C549,7,15)&gt;=$X$520,$AA$520*(1+($U$520)/100)^MAX(0,$C549-$AD$520),IF(DATE($C549,7,15)&gt;=$W$520,$Z$520*(1+($U$520)/100)^MAX(0,$C549-$AC$520),IF(DATE($C549,7,15)&gt;=$V$520,$Y$520*(1+($U$520)/100)^MAX(0,$C549-$AB$520),0)))))</f>
      </c>
      <c r="L549" s="43">
        <f>IF($S$520=0,0,IF(OR(DATE($C549,8,15)&lt;$S$520,AND($T$520&gt;0,DATE($C549,8,15)&gt;$T$520)),0,IF(DATE($C549,8,15)&gt;=$X$520,$AA$520*(1+($U$520)/100)^MAX(0,$C549-$AD$520),IF(DATE($C549,8,15)&gt;=$W$520,$Z$520*(1+($U$520)/100)^MAX(0,$C549-$AC$520),IF(DATE($C549,8,15)&gt;=$V$520,$Y$520*(1+($U$520)/100)^MAX(0,$C549-$AB$520),0)))))</f>
      </c>
      <c r="M549" s="43">
        <f>IF($S$520=0,0,IF(OR(DATE($C549,9,15)&lt;$S$520,AND($T$520&gt;0,DATE($C549,9,15)&gt;$T$520)),0,IF(DATE($C549,9,15)&gt;=$X$520,$AA$520*(1+($U$520)/100)^MAX(0,$C549-$AD$520),IF(DATE($C549,9,15)&gt;=$W$520,$Z$520*(1+($U$520)/100)^MAX(0,$C549-$AC$520),IF(DATE($C549,9,15)&gt;=$V$520,$Y$520*(1+($U$520)/100)^MAX(0,$C549-$AB$520),0)))))</f>
      </c>
      <c r="N549" s="43">
        <f>IF($S$520=0,0,IF(OR(DATE($C549,10,15)&lt;$S$520,AND($T$520&gt;0,DATE($C549,10,15)&gt;$T$520)),0,IF(DATE($C549,10,15)&gt;=$X$520,$AA$520*(1+($U$520)/100)^MAX(0,$C549-$AD$520),IF(DATE($C549,10,15)&gt;=$W$520,$Z$520*(1+($U$520)/100)^MAX(0,$C549-$AC$520),IF(DATE($C549,10,15)&gt;=$V$520,$Y$520*(1+($U$520)/100)^MAX(0,$C549-$AB$520),0)))))</f>
      </c>
      <c r="O549" s="43">
        <f>IF($S$520=0,0,IF(OR(DATE($C549,11,15)&lt;$S$520,AND($T$520&gt;0,DATE($C549,11,15)&gt;$T$520)),0,IF(DATE($C549,11,15)&gt;=$X$520,$AA$520*(1+($U$520)/100)^MAX(0,$C549-$AD$520),IF(DATE($C549,11,15)&gt;=$W$520,$Z$520*(1+($U$520)/100)^MAX(0,$C549-$AC$520),IF(DATE($C549,11,15)&gt;=$V$520,$Y$520*(1+($U$520)/100)^MAX(0,$C549-$AB$520),0)))))</f>
      </c>
      <c r="P549" s="43">
        <f>IF($S$520=0,0,IF(OR(DATE($C549,12,15)&lt;$S$520,AND($T$520&gt;0,DATE($C549,12,15)&gt;$T$520)),0,IF(DATE($C549,12,15)&gt;=$X$520,$AA$520*(1+($U$520)/100)^MAX(0,$C549-$AD$520),IF(DATE($C549,12,15)&gt;=$W$520,$Z$520*(1+($U$520)/100)^MAX(0,$C549-$AC$520),IF(DATE($C549,12,15)&gt;=$V$520,$Y$520*(1+($U$520)/100)^MAX(0,$C549-$AB$520),0)))))</f>
      </c>
      <c r="Q549" s="43">
        <f>SUM($E549:$P549)</f>
      </c>
    </row>
    <row r="550">
      <c r="A550"/>
      <c r="B550">
        <v>17</v>
      </c>
      <c r="C550" s="43">
        <f>Jahr+30</f>
      </c>
      <c r="D550" s="43">
        <f>INDEX(MvObj,17)</f>
      </c>
      <c r="E550" s="43">
        <f>IF($S$520=0,0,IF(OR(DATE($C550,1,15)&lt;$S$520,AND($T$520&gt;0,DATE($C550,1,15)&gt;$T$520)),0,IF(DATE($C550,1,15)&gt;=$X$520,$AA$520*(1+($U$520)/100)^MAX(0,$C550-$AD$520),IF(DATE($C550,1,15)&gt;=$W$520,$Z$520*(1+($U$520)/100)^MAX(0,$C550-$AC$520),IF(DATE($C550,1,15)&gt;=$V$520,$Y$520*(1+($U$520)/100)^MAX(0,$C550-$AB$520),0)))))</f>
      </c>
      <c r="F550" s="43">
        <f>IF($S$520=0,0,IF(OR(DATE($C550,2,15)&lt;$S$520,AND($T$520&gt;0,DATE($C550,2,15)&gt;$T$520)),0,IF(DATE($C550,2,15)&gt;=$X$520,$AA$520*(1+($U$520)/100)^MAX(0,$C550-$AD$520),IF(DATE($C550,2,15)&gt;=$W$520,$Z$520*(1+($U$520)/100)^MAX(0,$C550-$AC$520),IF(DATE($C550,2,15)&gt;=$V$520,$Y$520*(1+($U$520)/100)^MAX(0,$C550-$AB$520),0)))))</f>
      </c>
      <c r="G550" s="43">
        <f>IF($S$520=0,0,IF(OR(DATE($C550,3,15)&lt;$S$520,AND($T$520&gt;0,DATE($C550,3,15)&gt;$T$520)),0,IF(DATE($C550,3,15)&gt;=$X$520,$AA$520*(1+($U$520)/100)^MAX(0,$C550-$AD$520),IF(DATE($C550,3,15)&gt;=$W$520,$Z$520*(1+($U$520)/100)^MAX(0,$C550-$AC$520),IF(DATE($C550,3,15)&gt;=$V$520,$Y$520*(1+($U$520)/100)^MAX(0,$C550-$AB$520),0)))))</f>
      </c>
      <c r="H550" s="43">
        <f>IF($S$520=0,0,IF(OR(DATE($C550,4,15)&lt;$S$520,AND($T$520&gt;0,DATE($C550,4,15)&gt;$T$520)),0,IF(DATE($C550,4,15)&gt;=$X$520,$AA$520*(1+($U$520)/100)^MAX(0,$C550-$AD$520),IF(DATE($C550,4,15)&gt;=$W$520,$Z$520*(1+($U$520)/100)^MAX(0,$C550-$AC$520),IF(DATE($C550,4,15)&gt;=$V$520,$Y$520*(1+($U$520)/100)^MAX(0,$C550-$AB$520),0)))))</f>
      </c>
      <c r="I550" s="43">
        <f>IF($S$520=0,0,IF(OR(DATE($C550,5,15)&lt;$S$520,AND($T$520&gt;0,DATE($C550,5,15)&gt;$T$520)),0,IF(DATE($C550,5,15)&gt;=$X$520,$AA$520*(1+($U$520)/100)^MAX(0,$C550-$AD$520),IF(DATE($C550,5,15)&gt;=$W$520,$Z$520*(1+($U$520)/100)^MAX(0,$C550-$AC$520),IF(DATE($C550,5,15)&gt;=$V$520,$Y$520*(1+($U$520)/100)^MAX(0,$C550-$AB$520),0)))))</f>
      </c>
      <c r="J550" s="43">
        <f>IF($S$520=0,0,IF(OR(DATE($C550,6,15)&lt;$S$520,AND($T$520&gt;0,DATE($C550,6,15)&gt;$T$520)),0,IF(DATE($C550,6,15)&gt;=$X$520,$AA$520*(1+($U$520)/100)^MAX(0,$C550-$AD$520),IF(DATE($C550,6,15)&gt;=$W$520,$Z$520*(1+($U$520)/100)^MAX(0,$C550-$AC$520),IF(DATE($C550,6,15)&gt;=$V$520,$Y$520*(1+($U$520)/100)^MAX(0,$C550-$AB$520),0)))))</f>
      </c>
      <c r="K550" s="43">
        <f>IF($S$520=0,0,IF(OR(DATE($C550,7,15)&lt;$S$520,AND($T$520&gt;0,DATE($C550,7,15)&gt;$T$520)),0,IF(DATE($C550,7,15)&gt;=$X$520,$AA$520*(1+($U$520)/100)^MAX(0,$C550-$AD$520),IF(DATE($C550,7,15)&gt;=$W$520,$Z$520*(1+($U$520)/100)^MAX(0,$C550-$AC$520),IF(DATE($C550,7,15)&gt;=$V$520,$Y$520*(1+($U$520)/100)^MAX(0,$C550-$AB$520),0)))))</f>
      </c>
      <c r="L550" s="43">
        <f>IF($S$520=0,0,IF(OR(DATE($C550,8,15)&lt;$S$520,AND($T$520&gt;0,DATE($C550,8,15)&gt;$T$520)),0,IF(DATE($C550,8,15)&gt;=$X$520,$AA$520*(1+($U$520)/100)^MAX(0,$C550-$AD$520),IF(DATE($C550,8,15)&gt;=$W$520,$Z$520*(1+($U$520)/100)^MAX(0,$C550-$AC$520),IF(DATE($C550,8,15)&gt;=$V$520,$Y$520*(1+($U$520)/100)^MAX(0,$C550-$AB$520),0)))))</f>
      </c>
      <c r="M550" s="43">
        <f>IF($S$520=0,0,IF(OR(DATE($C550,9,15)&lt;$S$520,AND($T$520&gt;0,DATE($C550,9,15)&gt;$T$520)),0,IF(DATE($C550,9,15)&gt;=$X$520,$AA$520*(1+($U$520)/100)^MAX(0,$C550-$AD$520),IF(DATE($C550,9,15)&gt;=$W$520,$Z$520*(1+($U$520)/100)^MAX(0,$C550-$AC$520),IF(DATE($C550,9,15)&gt;=$V$520,$Y$520*(1+($U$520)/100)^MAX(0,$C550-$AB$520),0)))))</f>
      </c>
      <c r="N550" s="43">
        <f>IF($S$520=0,0,IF(OR(DATE($C550,10,15)&lt;$S$520,AND($T$520&gt;0,DATE($C550,10,15)&gt;$T$520)),0,IF(DATE($C550,10,15)&gt;=$X$520,$AA$520*(1+($U$520)/100)^MAX(0,$C550-$AD$520),IF(DATE($C550,10,15)&gt;=$W$520,$Z$520*(1+($U$520)/100)^MAX(0,$C550-$AC$520),IF(DATE($C550,10,15)&gt;=$V$520,$Y$520*(1+($U$520)/100)^MAX(0,$C550-$AB$520),0)))))</f>
      </c>
      <c r="O550" s="43">
        <f>IF($S$520=0,0,IF(OR(DATE($C550,11,15)&lt;$S$520,AND($T$520&gt;0,DATE($C550,11,15)&gt;$T$520)),0,IF(DATE($C550,11,15)&gt;=$X$520,$AA$520*(1+($U$520)/100)^MAX(0,$C550-$AD$520),IF(DATE($C550,11,15)&gt;=$W$520,$Z$520*(1+($U$520)/100)^MAX(0,$C550-$AC$520),IF(DATE($C550,11,15)&gt;=$V$520,$Y$520*(1+($U$520)/100)^MAX(0,$C550-$AB$520),0)))))</f>
      </c>
      <c r="P550" s="43">
        <f>IF($S$520=0,0,IF(OR(DATE($C550,12,15)&lt;$S$520,AND($T$520&gt;0,DATE($C550,12,15)&gt;$T$520)),0,IF(DATE($C550,12,15)&gt;=$X$520,$AA$520*(1+($U$520)/100)^MAX(0,$C550-$AD$520),IF(DATE($C550,12,15)&gt;=$W$520,$Z$520*(1+($U$520)/100)^MAX(0,$C550-$AC$520),IF(DATE($C550,12,15)&gt;=$V$520,$Y$520*(1+($U$520)/100)^MAX(0,$C550-$AB$520),0)))))</f>
      </c>
      <c r="Q550" s="43">
        <f>SUM($E550:$P550)</f>
      </c>
    </row>
    <row r="551">
      <c r="A551"/>
      <c r="B551">
        <v>18</v>
      </c>
      <c r="C551" s="43">
        <f>Jahr+0</f>
      </c>
      <c r="D551" s="43">
        <f>INDEX(MvObj,18)</f>
      </c>
      <c r="E551" s="43">
        <f>IF($S$551=0,0,IF(OR(DATE($C551,1,15)&lt;$S$551,AND($T$551&gt;0,DATE($C551,1,15)&gt;$T$551)),0,IF(DATE($C551,1,15)&gt;=$X$551,$AA$551*(1+($U$551)/100)^MAX(0,$C551-$AD$551),IF(DATE($C551,1,15)&gt;=$W$551,$Z$551*(1+($U$551)/100)^MAX(0,$C551-$AC$551),IF(DATE($C551,1,15)&gt;=$V$551,$Y$551*(1+($U$551)/100)^MAX(0,$C551-$AB$551),0)))))</f>
      </c>
      <c r="F551" s="43">
        <f>IF($S$551=0,0,IF(OR(DATE($C551,2,15)&lt;$S$551,AND($T$551&gt;0,DATE($C551,2,15)&gt;$T$551)),0,IF(DATE($C551,2,15)&gt;=$X$551,$AA$551*(1+($U$551)/100)^MAX(0,$C551-$AD$551),IF(DATE($C551,2,15)&gt;=$W$551,$Z$551*(1+($U$551)/100)^MAX(0,$C551-$AC$551),IF(DATE($C551,2,15)&gt;=$V$551,$Y$551*(1+($U$551)/100)^MAX(0,$C551-$AB$551),0)))))</f>
      </c>
      <c r="G551" s="43">
        <f>IF($S$551=0,0,IF(OR(DATE($C551,3,15)&lt;$S$551,AND($T$551&gt;0,DATE($C551,3,15)&gt;$T$551)),0,IF(DATE($C551,3,15)&gt;=$X$551,$AA$551*(1+($U$551)/100)^MAX(0,$C551-$AD$551),IF(DATE($C551,3,15)&gt;=$W$551,$Z$551*(1+($U$551)/100)^MAX(0,$C551-$AC$551),IF(DATE($C551,3,15)&gt;=$V$551,$Y$551*(1+($U$551)/100)^MAX(0,$C551-$AB$551),0)))))</f>
      </c>
      <c r="H551" s="43">
        <f>IF($S$551=0,0,IF(OR(DATE($C551,4,15)&lt;$S$551,AND($T$551&gt;0,DATE($C551,4,15)&gt;$T$551)),0,IF(DATE($C551,4,15)&gt;=$X$551,$AA$551*(1+($U$551)/100)^MAX(0,$C551-$AD$551),IF(DATE($C551,4,15)&gt;=$W$551,$Z$551*(1+($U$551)/100)^MAX(0,$C551-$AC$551),IF(DATE($C551,4,15)&gt;=$V$551,$Y$551*(1+($U$551)/100)^MAX(0,$C551-$AB$551),0)))))</f>
      </c>
      <c r="I551" s="43">
        <f>IF($S$551=0,0,IF(OR(DATE($C551,5,15)&lt;$S$551,AND($T$551&gt;0,DATE($C551,5,15)&gt;$T$551)),0,IF(DATE($C551,5,15)&gt;=$X$551,$AA$551*(1+($U$551)/100)^MAX(0,$C551-$AD$551),IF(DATE($C551,5,15)&gt;=$W$551,$Z$551*(1+($U$551)/100)^MAX(0,$C551-$AC$551),IF(DATE($C551,5,15)&gt;=$V$551,$Y$551*(1+($U$551)/100)^MAX(0,$C551-$AB$551),0)))))</f>
      </c>
      <c r="J551" s="43">
        <f>IF($S$551=0,0,IF(OR(DATE($C551,6,15)&lt;$S$551,AND($T$551&gt;0,DATE($C551,6,15)&gt;$T$551)),0,IF(DATE($C551,6,15)&gt;=$X$551,$AA$551*(1+($U$551)/100)^MAX(0,$C551-$AD$551),IF(DATE($C551,6,15)&gt;=$W$551,$Z$551*(1+($U$551)/100)^MAX(0,$C551-$AC$551),IF(DATE($C551,6,15)&gt;=$V$551,$Y$551*(1+($U$551)/100)^MAX(0,$C551-$AB$551),0)))))</f>
      </c>
      <c r="K551" s="43">
        <f>IF($S$551=0,0,IF(OR(DATE($C551,7,15)&lt;$S$551,AND($T$551&gt;0,DATE($C551,7,15)&gt;$T$551)),0,IF(DATE($C551,7,15)&gt;=$X$551,$AA$551*(1+($U$551)/100)^MAX(0,$C551-$AD$551),IF(DATE($C551,7,15)&gt;=$W$551,$Z$551*(1+($U$551)/100)^MAX(0,$C551-$AC$551),IF(DATE($C551,7,15)&gt;=$V$551,$Y$551*(1+($U$551)/100)^MAX(0,$C551-$AB$551),0)))))</f>
      </c>
      <c r="L551" s="43">
        <f>IF($S$551=0,0,IF(OR(DATE($C551,8,15)&lt;$S$551,AND($T$551&gt;0,DATE($C551,8,15)&gt;$T$551)),0,IF(DATE($C551,8,15)&gt;=$X$551,$AA$551*(1+($U$551)/100)^MAX(0,$C551-$AD$551),IF(DATE($C551,8,15)&gt;=$W$551,$Z$551*(1+($U$551)/100)^MAX(0,$C551-$AC$551),IF(DATE($C551,8,15)&gt;=$V$551,$Y$551*(1+($U$551)/100)^MAX(0,$C551-$AB$551),0)))))</f>
      </c>
      <c r="M551" s="43">
        <f>IF($S$551=0,0,IF(OR(DATE($C551,9,15)&lt;$S$551,AND($T$551&gt;0,DATE($C551,9,15)&gt;$T$551)),0,IF(DATE($C551,9,15)&gt;=$X$551,$AA$551*(1+($U$551)/100)^MAX(0,$C551-$AD$551),IF(DATE($C551,9,15)&gt;=$W$551,$Z$551*(1+($U$551)/100)^MAX(0,$C551-$AC$551),IF(DATE($C551,9,15)&gt;=$V$551,$Y$551*(1+($U$551)/100)^MAX(0,$C551-$AB$551),0)))))</f>
      </c>
      <c r="N551" s="43">
        <f>IF($S$551=0,0,IF(OR(DATE($C551,10,15)&lt;$S$551,AND($T$551&gt;0,DATE($C551,10,15)&gt;$T$551)),0,IF(DATE($C551,10,15)&gt;=$X$551,$AA$551*(1+($U$551)/100)^MAX(0,$C551-$AD$551),IF(DATE($C551,10,15)&gt;=$W$551,$Z$551*(1+($U$551)/100)^MAX(0,$C551-$AC$551),IF(DATE($C551,10,15)&gt;=$V$551,$Y$551*(1+($U$551)/100)^MAX(0,$C551-$AB$551),0)))))</f>
      </c>
      <c r="O551" s="43">
        <f>IF($S$551=0,0,IF(OR(DATE($C551,11,15)&lt;$S$551,AND($T$551&gt;0,DATE($C551,11,15)&gt;$T$551)),0,IF(DATE($C551,11,15)&gt;=$X$551,$AA$551*(1+($U$551)/100)^MAX(0,$C551-$AD$551),IF(DATE($C551,11,15)&gt;=$W$551,$Z$551*(1+($U$551)/100)^MAX(0,$C551-$AC$551),IF(DATE($C551,11,15)&gt;=$V$551,$Y$551*(1+($U$551)/100)^MAX(0,$C551-$AB$551),0)))))</f>
      </c>
      <c r="P551" s="43">
        <f>IF($S$551=0,0,IF(OR(DATE($C551,12,15)&lt;$S$551,AND($T$551&gt;0,DATE($C551,12,15)&gt;$T$551)),0,IF(DATE($C551,12,15)&gt;=$X$551,$AA$551*(1+($U$551)/100)^MAX(0,$C551-$AD$551),IF(DATE($C551,12,15)&gt;=$W$551,$Z$551*(1+($U$551)/100)^MAX(0,$C551-$AC$551),IF(DATE($C551,12,15)&gt;=$V$551,$Y$551*(1+($U$551)/100)^MAX(0,$C551-$AB$551),0)))))</f>
      </c>
      <c r="Q551" s="43">
        <f>SUM($E551:$P551)</f>
      </c>
      <c r="R551"/>
      <c r="S551" s="43">
        <f>IF(INDEX(MvBeginn,18)="",0,INDEX(MvBeginn,18))</f>
      </c>
      <c r="T551" s="43">
        <f>INDEX(MvEnde,18)</f>
      </c>
      <c r="U551" s="43">
        <f>INDEX(MvSatz,18)</f>
      </c>
      <c r="V551" s="43">
        <f>INDEX(MvKey1,18)</f>
      </c>
      <c r="W551" s="43">
        <f>INDEX(MvKey2,18)</f>
      </c>
      <c r="X551" s="43">
        <f>INDEX(MvKey3,18)</f>
      </c>
      <c r="Y551" s="43">
        <f>INDEX(MvKalt1,18)</f>
      </c>
      <c r="Z551" s="43">
        <f>INDEX(MvKalt2,18)</f>
      </c>
      <c r="AA551" s="43">
        <f>INDEX(MvKalt3,18)</f>
      </c>
      <c r="AB551" s="43">
        <f>MAX(YEAR(INDEX(MvAb1,18)),Jahr)</f>
      </c>
      <c r="AC551" s="43">
        <f>MAX(YEAR(INDEX(MvAb2,18)),Jahr)</f>
      </c>
      <c r="AD551" s="43">
        <f>MAX(YEAR(INDEX(MvAb3,18)),Jahr)</f>
      </c>
    </row>
    <row r="552">
      <c r="A552"/>
      <c r="B552">
        <v>18</v>
      </c>
      <c r="C552" s="43">
        <f>Jahr+1</f>
      </c>
      <c r="D552" s="43">
        <f>INDEX(MvObj,18)</f>
      </c>
      <c r="E552" s="43">
        <f>IF($S$551=0,0,IF(OR(DATE($C552,1,15)&lt;$S$551,AND($T$551&gt;0,DATE($C552,1,15)&gt;$T$551)),0,IF(DATE($C552,1,15)&gt;=$X$551,$AA$551*(1+($U$551)/100)^MAX(0,$C552-$AD$551),IF(DATE($C552,1,15)&gt;=$W$551,$Z$551*(1+($U$551)/100)^MAX(0,$C552-$AC$551),IF(DATE($C552,1,15)&gt;=$V$551,$Y$551*(1+($U$551)/100)^MAX(0,$C552-$AB$551),0)))))</f>
      </c>
      <c r="F552" s="43">
        <f>IF($S$551=0,0,IF(OR(DATE($C552,2,15)&lt;$S$551,AND($T$551&gt;0,DATE($C552,2,15)&gt;$T$551)),0,IF(DATE($C552,2,15)&gt;=$X$551,$AA$551*(1+($U$551)/100)^MAX(0,$C552-$AD$551),IF(DATE($C552,2,15)&gt;=$W$551,$Z$551*(1+($U$551)/100)^MAX(0,$C552-$AC$551),IF(DATE($C552,2,15)&gt;=$V$551,$Y$551*(1+($U$551)/100)^MAX(0,$C552-$AB$551),0)))))</f>
      </c>
      <c r="G552" s="43">
        <f>IF($S$551=0,0,IF(OR(DATE($C552,3,15)&lt;$S$551,AND($T$551&gt;0,DATE($C552,3,15)&gt;$T$551)),0,IF(DATE($C552,3,15)&gt;=$X$551,$AA$551*(1+($U$551)/100)^MAX(0,$C552-$AD$551),IF(DATE($C552,3,15)&gt;=$W$551,$Z$551*(1+($U$551)/100)^MAX(0,$C552-$AC$551),IF(DATE($C552,3,15)&gt;=$V$551,$Y$551*(1+($U$551)/100)^MAX(0,$C552-$AB$551),0)))))</f>
      </c>
      <c r="H552" s="43">
        <f>IF($S$551=0,0,IF(OR(DATE($C552,4,15)&lt;$S$551,AND($T$551&gt;0,DATE($C552,4,15)&gt;$T$551)),0,IF(DATE($C552,4,15)&gt;=$X$551,$AA$551*(1+($U$551)/100)^MAX(0,$C552-$AD$551),IF(DATE($C552,4,15)&gt;=$W$551,$Z$551*(1+($U$551)/100)^MAX(0,$C552-$AC$551),IF(DATE($C552,4,15)&gt;=$V$551,$Y$551*(1+($U$551)/100)^MAX(0,$C552-$AB$551),0)))))</f>
      </c>
      <c r="I552" s="43">
        <f>IF($S$551=0,0,IF(OR(DATE($C552,5,15)&lt;$S$551,AND($T$551&gt;0,DATE($C552,5,15)&gt;$T$551)),0,IF(DATE($C552,5,15)&gt;=$X$551,$AA$551*(1+($U$551)/100)^MAX(0,$C552-$AD$551),IF(DATE($C552,5,15)&gt;=$W$551,$Z$551*(1+($U$551)/100)^MAX(0,$C552-$AC$551),IF(DATE($C552,5,15)&gt;=$V$551,$Y$551*(1+($U$551)/100)^MAX(0,$C552-$AB$551),0)))))</f>
      </c>
      <c r="J552" s="43">
        <f>IF($S$551=0,0,IF(OR(DATE($C552,6,15)&lt;$S$551,AND($T$551&gt;0,DATE($C552,6,15)&gt;$T$551)),0,IF(DATE($C552,6,15)&gt;=$X$551,$AA$551*(1+($U$551)/100)^MAX(0,$C552-$AD$551),IF(DATE($C552,6,15)&gt;=$W$551,$Z$551*(1+($U$551)/100)^MAX(0,$C552-$AC$551),IF(DATE($C552,6,15)&gt;=$V$551,$Y$551*(1+($U$551)/100)^MAX(0,$C552-$AB$551),0)))))</f>
      </c>
      <c r="K552" s="43">
        <f>IF($S$551=0,0,IF(OR(DATE($C552,7,15)&lt;$S$551,AND($T$551&gt;0,DATE($C552,7,15)&gt;$T$551)),0,IF(DATE($C552,7,15)&gt;=$X$551,$AA$551*(1+($U$551)/100)^MAX(0,$C552-$AD$551),IF(DATE($C552,7,15)&gt;=$W$551,$Z$551*(1+($U$551)/100)^MAX(0,$C552-$AC$551),IF(DATE($C552,7,15)&gt;=$V$551,$Y$551*(1+($U$551)/100)^MAX(0,$C552-$AB$551),0)))))</f>
      </c>
      <c r="L552" s="43">
        <f>IF($S$551=0,0,IF(OR(DATE($C552,8,15)&lt;$S$551,AND($T$551&gt;0,DATE($C552,8,15)&gt;$T$551)),0,IF(DATE($C552,8,15)&gt;=$X$551,$AA$551*(1+($U$551)/100)^MAX(0,$C552-$AD$551),IF(DATE($C552,8,15)&gt;=$W$551,$Z$551*(1+($U$551)/100)^MAX(0,$C552-$AC$551),IF(DATE($C552,8,15)&gt;=$V$551,$Y$551*(1+($U$551)/100)^MAX(0,$C552-$AB$551),0)))))</f>
      </c>
      <c r="M552" s="43">
        <f>IF($S$551=0,0,IF(OR(DATE($C552,9,15)&lt;$S$551,AND($T$551&gt;0,DATE($C552,9,15)&gt;$T$551)),0,IF(DATE($C552,9,15)&gt;=$X$551,$AA$551*(1+($U$551)/100)^MAX(0,$C552-$AD$551),IF(DATE($C552,9,15)&gt;=$W$551,$Z$551*(1+($U$551)/100)^MAX(0,$C552-$AC$551),IF(DATE($C552,9,15)&gt;=$V$551,$Y$551*(1+($U$551)/100)^MAX(0,$C552-$AB$551),0)))))</f>
      </c>
      <c r="N552" s="43">
        <f>IF($S$551=0,0,IF(OR(DATE($C552,10,15)&lt;$S$551,AND($T$551&gt;0,DATE($C552,10,15)&gt;$T$551)),0,IF(DATE($C552,10,15)&gt;=$X$551,$AA$551*(1+($U$551)/100)^MAX(0,$C552-$AD$551),IF(DATE($C552,10,15)&gt;=$W$551,$Z$551*(1+($U$551)/100)^MAX(0,$C552-$AC$551),IF(DATE($C552,10,15)&gt;=$V$551,$Y$551*(1+($U$551)/100)^MAX(0,$C552-$AB$551),0)))))</f>
      </c>
      <c r="O552" s="43">
        <f>IF($S$551=0,0,IF(OR(DATE($C552,11,15)&lt;$S$551,AND($T$551&gt;0,DATE($C552,11,15)&gt;$T$551)),0,IF(DATE($C552,11,15)&gt;=$X$551,$AA$551*(1+($U$551)/100)^MAX(0,$C552-$AD$551),IF(DATE($C552,11,15)&gt;=$W$551,$Z$551*(1+($U$551)/100)^MAX(0,$C552-$AC$551),IF(DATE($C552,11,15)&gt;=$V$551,$Y$551*(1+($U$551)/100)^MAX(0,$C552-$AB$551),0)))))</f>
      </c>
      <c r="P552" s="43">
        <f>IF($S$551=0,0,IF(OR(DATE($C552,12,15)&lt;$S$551,AND($T$551&gt;0,DATE($C552,12,15)&gt;$T$551)),0,IF(DATE($C552,12,15)&gt;=$X$551,$AA$551*(1+($U$551)/100)^MAX(0,$C552-$AD$551),IF(DATE($C552,12,15)&gt;=$W$551,$Z$551*(1+($U$551)/100)^MAX(0,$C552-$AC$551),IF(DATE($C552,12,15)&gt;=$V$551,$Y$551*(1+($U$551)/100)^MAX(0,$C552-$AB$551),0)))))</f>
      </c>
      <c r="Q552" s="43">
        <f>SUM($E552:$P552)</f>
      </c>
    </row>
    <row r="553">
      <c r="A553"/>
      <c r="B553">
        <v>18</v>
      </c>
      <c r="C553" s="43">
        <f>Jahr+2</f>
      </c>
      <c r="D553" s="43">
        <f>INDEX(MvObj,18)</f>
      </c>
      <c r="E553" s="43">
        <f>IF($S$551=0,0,IF(OR(DATE($C553,1,15)&lt;$S$551,AND($T$551&gt;0,DATE($C553,1,15)&gt;$T$551)),0,IF(DATE($C553,1,15)&gt;=$X$551,$AA$551*(1+($U$551)/100)^MAX(0,$C553-$AD$551),IF(DATE($C553,1,15)&gt;=$W$551,$Z$551*(1+($U$551)/100)^MAX(0,$C553-$AC$551),IF(DATE($C553,1,15)&gt;=$V$551,$Y$551*(1+($U$551)/100)^MAX(0,$C553-$AB$551),0)))))</f>
      </c>
      <c r="F553" s="43">
        <f>IF($S$551=0,0,IF(OR(DATE($C553,2,15)&lt;$S$551,AND($T$551&gt;0,DATE($C553,2,15)&gt;$T$551)),0,IF(DATE($C553,2,15)&gt;=$X$551,$AA$551*(1+($U$551)/100)^MAX(0,$C553-$AD$551),IF(DATE($C553,2,15)&gt;=$W$551,$Z$551*(1+($U$551)/100)^MAX(0,$C553-$AC$551),IF(DATE($C553,2,15)&gt;=$V$551,$Y$551*(1+($U$551)/100)^MAX(0,$C553-$AB$551),0)))))</f>
      </c>
      <c r="G553" s="43">
        <f>IF($S$551=0,0,IF(OR(DATE($C553,3,15)&lt;$S$551,AND($T$551&gt;0,DATE($C553,3,15)&gt;$T$551)),0,IF(DATE($C553,3,15)&gt;=$X$551,$AA$551*(1+($U$551)/100)^MAX(0,$C553-$AD$551),IF(DATE($C553,3,15)&gt;=$W$551,$Z$551*(1+($U$551)/100)^MAX(0,$C553-$AC$551),IF(DATE($C553,3,15)&gt;=$V$551,$Y$551*(1+($U$551)/100)^MAX(0,$C553-$AB$551),0)))))</f>
      </c>
      <c r="H553" s="43">
        <f>IF($S$551=0,0,IF(OR(DATE($C553,4,15)&lt;$S$551,AND($T$551&gt;0,DATE($C553,4,15)&gt;$T$551)),0,IF(DATE($C553,4,15)&gt;=$X$551,$AA$551*(1+($U$551)/100)^MAX(0,$C553-$AD$551),IF(DATE($C553,4,15)&gt;=$W$551,$Z$551*(1+($U$551)/100)^MAX(0,$C553-$AC$551),IF(DATE($C553,4,15)&gt;=$V$551,$Y$551*(1+($U$551)/100)^MAX(0,$C553-$AB$551),0)))))</f>
      </c>
      <c r="I553" s="43">
        <f>IF($S$551=0,0,IF(OR(DATE($C553,5,15)&lt;$S$551,AND($T$551&gt;0,DATE($C553,5,15)&gt;$T$551)),0,IF(DATE($C553,5,15)&gt;=$X$551,$AA$551*(1+($U$551)/100)^MAX(0,$C553-$AD$551),IF(DATE($C553,5,15)&gt;=$W$551,$Z$551*(1+($U$551)/100)^MAX(0,$C553-$AC$551),IF(DATE($C553,5,15)&gt;=$V$551,$Y$551*(1+($U$551)/100)^MAX(0,$C553-$AB$551),0)))))</f>
      </c>
      <c r="J553" s="43">
        <f>IF($S$551=0,0,IF(OR(DATE($C553,6,15)&lt;$S$551,AND($T$551&gt;0,DATE($C553,6,15)&gt;$T$551)),0,IF(DATE($C553,6,15)&gt;=$X$551,$AA$551*(1+($U$551)/100)^MAX(0,$C553-$AD$551),IF(DATE($C553,6,15)&gt;=$W$551,$Z$551*(1+($U$551)/100)^MAX(0,$C553-$AC$551),IF(DATE($C553,6,15)&gt;=$V$551,$Y$551*(1+($U$551)/100)^MAX(0,$C553-$AB$551),0)))))</f>
      </c>
      <c r="K553" s="43">
        <f>IF($S$551=0,0,IF(OR(DATE($C553,7,15)&lt;$S$551,AND($T$551&gt;0,DATE($C553,7,15)&gt;$T$551)),0,IF(DATE($C553,7,15)&gt;=$X$551,$AA$551*(1+($U$551)/100)^MAX(0,$C553-$AD$551),IF(DATE($C553,7,15)&gt;=$W$551,$Z$551*(1+($U$551)/100)^MAX(0,$C553-$AC$551),IF(DATE($C553,7,15)&gt;=$V$551,$Y$551*(1+($U$551)/100)^MAX(0,$C553-$AB$551),0)))))</f>
      </c>
      <c r="L553" s="43">
        <f>IF($S$551=0,0,IF(OR(DATE($C553,8,15)&lt;$S$551,AND($T$551&gt;0,DATE($C553,8,15)&gt;$T$551)),0,IF(DATE($C553,8,15)&gt;=$X$551,$AA$551*(1+($U$551)/100)^MAX(0,$C553-$AD$551),IF(DATE($C553,8,15)&gt;=$W$551,$Z$551*(1+($U$551)/100)^MAX(0,$C553-$AC$551),IF(DATE($C553,8,15)&gt;=$V$551,$Y$551*(1+($U$551)/100)^MAX(0,$C553-$AB$551),0)))))</f>
      </c>
      <c r="M553" s="43">
        <f>IF($S$551=0,0,IF(OR(DATE($C553,9,15)&lt;$S$551,AND($T$551&gt;0,DATE($C553,9,15)&gt;$T$551)),0,IF(DATE($C553,9,15)&gt;=$X$551,$AA$551*(1+($U$551)/100)^MAX(0,$C553-$AD$551),IF(DATE($C553,9,15)&gt;=$W$551,$Z$551*(1+($U$551)/100)^MAX(0,$C553-$AC$551),IF(DATE($C553,9,15)&gt;=$V$551,$Y$551*(1+($U$551)/100)^MAX(0,$C553-$AB$551),0)))))</f>
      </c>
      <c r="N553" s="43">
        <f>IF($S$551=0,0,IF(OR(DATE($C553,10,15)&lt;$S$551,AND($T$551&gt;0,DATE($C553,10,15)&gt;$T$551)),0,IF(DATE($C553,10,15)&gt;=$X$551,$AA$551*(1+($U$551)/100)^MAX(0,$C553-$AD$551),IF(DATE($C553,10,15)&gt;=$W$551,$Z$551*(1+($U$551)/100)^MAX(0,$C553-$AC$551),IF(DATE($C553,10,15)&gt;=$V$551,$Y$551*(1+($U$551)/100)^MAX(0,$C553-$AB$551),0)))))</f>
      </c>
      <c r="O553" s="43">
        <f>IF($S$551=0,0,IF(OR(DATE($C553,11,15)&lt;$S$551,AND($T$551&gt;0,DATE($C553,11,15)&gt;$T$551)),0,IF(DATE($C553,11,15)&gt;=$X$551,$AA$551*(1+($U$551)/100)^MAX(0,$C553-$AD$551),IF(DATE($C553,11,15)&gt;=$W$551,$Z$551*(1+($U$551)/100)^MAX(0,$C553-$AC$551),IF(DATE($C553,11,15)&gt;=$V$551,$Y$551*(1+($U$551)/100)^MAX(0,$C553-$AB$551),0)))))</f>
      </c>
      <c r="P553" s="43">
        <f>IF($S$551=0,0,IF(OR(DATE($C553,12,15)&lt;$S$551,AND($T$551&gt;0,DATE($C553,12,15)&gt;$T$551)),0,IF(DATE($C553,12,15)&gt;=$X$551,$AA$551*(1+($U$551)/100)^MAX(0,$C553-$AD$551),IF(DATE($C553,12,15)&gt;=$W$551,$Z$551*(1+($U$551)/100)^MAX(0,$C553-$AC$551),IF(DATE($C553,12,15)&gt;=$V$551,$Y$551*(1+($U$551)/100)^MAX(0,$C553-$AB$551),0)))))</f>
      </c>
      <c r="Q553" s="43">
        <f>SUM($E553:$P553)</f>
      </c>
    </row>
    <row r="554">
      <c r="A554"/>
      <c r="B554">
        <v>18</v>
      </c>
      <c r="C554" s="43">
        <f>Jahr+3</f>
      </c>
      <c r="D554" s="43">
        <f>INDEX(MvObj,18)</f>
      </c>
      <c r="E554" s="43">
        <f>IF($S$551=0,0,IF(OR(DATE($C554,1,15)&lt;$S$551,AND($T$551&gt;0,DATE($C554,1,15)&gt;$T$551)),0,IF(DATE($C554,1,15)&gt;=$X$551,$AA$551*(1+($U$551)/100)^MAX(0,$C554-$AD$551),IF(DATE($C554,1,15)&gt;=$W$551,$Z$551*(1+($U$551)/100)^MAX(0,$C554-$AC$551),IF(DATE($C554,1,15)&gt;=$V$551,$Y$551*(1+($U$551)/100)^MAX(0,$C554-$AB$551),0)))))</f>
      </c>
      <c r="F554" s="43">
        <f>IF($S$551=0,0,IF(OR(DATE($C554,2,15)&lt;$S$551,AND($T$551&gt;0,DATE($C554,2,15)&gt;$T$551)),0,IF(DATE($C554,2,15)&gt;=$X$551,$AA$551*(1+($U$551)/100)^MAX(0,$C554-$AD$551),IF(DATE($C554,2,15)&gt;=$W$551,$Z$551*(1+($U$551)/100)^MAX(0,$C554-$AC$551),IF(DATE($C554,2,15)&gt;=$V$551,$Y$551*(1+($U$551)/100)^MAX(0,$C554-$AB$551),0)))))</f>
      </c>
      <c r="G554" s="43">
        <f>IF($S$551=0,0,IF(OR(DATE($C554,3,15)&lt;$S$551,AND($T$551&gt;0,DATE($C554,3,15)&gt;$T$551)),0,IF(DATE($C554,3,15)&gt;=$X$551,$AA$551*(1+($U$551)/100)^MAX(0,$C554-$AD$551),IF(DATE($C554,3,15)&gt;=$W$551,$Z$551*(1+($U$551)/100)^MAX(0,$C554-$AC$551),IF(DATE($C554,3,15)&gt;=$V$551,$Y$551*(1+($U$551)/100)^MAX(0,$C554-$AB$551),0)))))</f>
      </c>
      <c r="H554" s="43">
        <f>IF($S$551=0,0,IF(OR(DATE($C554,4,15)&lt;$S$551,AND($T$551&gt;0,DATE($C554,4,15)&gt;$T$551)),0,IF(DATE($C554,4,15)&gt;=$X$551,$AA$551*(1+($U$551)/100)^MAX(0,$C554-$AD$551),IF(DATE($C554,4,15)&gt;=$W$551,$Z$551*(1+($U$551)/100)^MAX(0,$C554-$AC$551),IF(DATE($C554,4,15)&gt;=$V$551,$Y$551*(1+($U$551)/100)^MAX(0,$C554-$AB$551),0)))))</f>
      </c>
      <c r="I554" s="43">
        <f>IF($S$551=0,0,IF(OR(DATE($C554,5,15)&lt;$S$551,AND($T$551&gt;0,DATE($C554,5,15)&gt;$T$551)),0,IF(DATE($C554,5,15)&gt;=$X$551,$AA$551*(1+($U$551)/100)^MAX(0,$C554-$AD$551),IF(DATE($C554,5,15)&gt;=$W$551,$Z$551*(1+($U$551)/100)^MAX(0,$C554-$AC$551),IF(DATE($C554,5,15)&gt;=$V$551,$Y$551*(1+($U$551)/100)^MAX(0,$C554-$AB$551),0)))))</f>
      </c>
      <c r="J554" s="43">
        <f>IF($S$551=0,0,IF(OR(DATE($C554,6,15)&lt;$S$551,AND($T$551&gt;0,DATE($C554,6,15)&gt;$T$551)),0,IF(DATE($C554,6,15)&gt;=$X$551,$AA$551*(1+($U$551)/100)^MAX(0,$C554-$AD$551),IF(DATE($C554,6,15)&gt;=$W$551,$Z$551*(1+($U$551)/100)^MAX(0,$C554-$AC$551),IF(DATE($C554,6,15)&gt;=$V$551,$Y$551*(1+($U$551)/100)^MAX(0,$C554-$AB$551),0)))))</f>
      </c>
      <c r="K554" s="43">
        <f>IF($S$551=0,0,IF(OR(DATE($C554,7,15)&lt;$S$551,AND($T$551&gt;0,DATE($C554,7,15)&gt;$T$551)),0,IF(DATE($C554,7,15)&gt;=$X$551,$AA$551*(1+($U$551)/100)^MAX(0,$C554-$AD$551),IF(DATE($C554,7,15)&gt;=$W$551,$Z$551*(1+($U$551)/100)^MAX(0,$C554-$AC$551),IF(DATE($C554,7,15)&gt;=$V$551,$Y$551*(1+($U$551)/100)^MAX(0,$C554-$AB$551),0)))))</f>
      </c>
      <c r="L554" s="43">
        <f>IF($S$551=0,0,IF(OR(DATE($C554,8,15)&lt;$S$551,AND($T$551&gt;0,DATE($C554,8,15)&gt;$T$551)),0,IF(DATE($C554,8,15)&gt;=$X$551,$AA$551*(1+($U$551)/100)^MAX(0,$C554-$AD$551),IF(DATE($C554,8,15)&gt;=$W$551,$Z$551*(1+($U$551)/100)^MAX(0,$C554-$AC$551),IF(DATE($C554,8,15)&gt;=$V$551,$Y$551*(1+($U$551)/100)^MAX(0,$C554-$AB$551),0)))))</f>
      </c>
      <c r="M554" s="43">
        <f>IF($S$551=0,0,IF(OR(DATE($C554,9,15)&lt;$S$551,AND($T$551&gt;0,DATE($C554,9,15)&gt;$T$551)),0,IF(DATE($C554,9,15)&gt;=$X$551,$AA$551*(1+($U$551)/100)^MAX(0,$C554-$AD$551),IF(DATE($C554,9,15)&gt;=$W$551,$Z$551*(1+($U$551)/100)^MAX(0,$C554-$AC$551),IF(DATE($C554,9,15)&gt;=$V$551,$Y$551*(1+($U$551)/100)^MAX(0,$C554-$AB$551),0)))))</f>
      </c>
      <c r="N554" s="43">
        <f>IF($S$551=0,0,IF(OR(DATE($C554,10,15)&lt;$S$551,AND($T$551&gt;0,DATE($C554,10,15)&gt;$T$551)),0,IF(DATE($C554,10,15)&gt;=$X$551,$AA$551*(1+($U$551)/100)^MAX(0,$C554-$AD$551),IF(DATE($C554,10,15)&gt;=$W$551,$Z$551*(1+($U$551)/100)^MAX(0,$C554-$AC$551),IF(DATE($C554,10,15)&gt;=$V$551,$Y$551*(1+($U$551)/100)^MAX(0,$C554-$AB$551),0)))))</f>
      </c>
      <c r="O554" s="43">
        <f>IF($S$551=0,0,IF(OR(DATE($C554,11,15)&lt;$S$551,AND($T$551&gt;0,DATE($C554,11,15)&gt;$T$551)),0,IF(DATE($C554,11,15)&gt;=$X$551,$AA$551*(1+($U$551)/100)^MAX(0,$C554-$AD$551),IF(DATE($C554,11,15)&gt;=$W$551,$Z$551*(1+($U$551)/100)^MAX(0,$C554-$AC$551),IF(DATE($C554,11,15)&gt;=$V$551,$Y$551*(1+($U$551)/100)^MAX(0,$C554-$AB$551),0)))))</f>
      </c>
      <c r="P554" s="43">
        <f>IF($S$551=0,0,IF(OR(DATE($C554,12,15)&lt;$S$551,AND($T$551&gt;0,DATE($C554,12,15)&gt;$T$551)),0,IF(DATE($C554,12,15)&gt;=$X$551,$AA$551*(1+($U$551)/100)^MAX(0,$C554-$AD$551),IF(DATE($C554,12,15)&gt;=$W$551,$Z$551*(1+($U$551)/100)^MAX(0,$C554-$AC$551),IF(DATE($C554,12,15)&gt;=$V$551,$Y$551*(1+($U$551)/100)^MAX(0,$C554-$AB$551),0)))))</f>
      </c>
      <c r="Q554" s="43">
        <f>SUM($E554:$P554)</f>
      </c>
    </row>
    <row r="555">
      <c r="A555"/>
      <c r="B555">
        <v>18</v>
      </c>
      <c r="C555" s="43">
        <f>Jahr+4</f>
      </c>
      <c r="D555" s="43">
        <f>INDEX(MvObj,18)</f>
      </c>
      <c r="E555" s="43">
        <f>IF($S$551=0,0,IF(OR(DATE($C555,1,15)&lt;$S$551,AND($T$551&gt;0,DATE($C555,1,15)&gt;$T$551)),0,IF(DATE($C555,1,15)&gt;=$X$551,$AA$551*(1+($U$551)/100)^MAX(0,$C555-$AD$551),IF(DATE($C555,1,15)&gt;=$W$551,$Z$551*(1+($U$551)/100)^MAX(0,$C555-$AC$551),IF(DATE($C555,1,15)&gt;=$V$551,$Y$551*(1+($U$551)/100)^MAX(0,$C555-$AB$551),0)))))</f>
      </c>
      <c r="F555" s="43">
        <f>IF($S$551=0,0,IF(OR(DATE($C555,2,15)&lt;$S$551,AND($T$551&gt;0,DATE($C555,2,15)&gt;$T$551)),0,IF(DATE($C555,2,15)&gt;=$X$551,$AA$551*(1+($U$551)/100)^MAX(0,$C555-$AD$551),IF(DATE($C555,2,15)&gt;=$W$551,$Z$551*(1+($U$551)/100)^MAX(0,$C555-$AC$551),IF(DATE($C555,2,15)&gt;=$V$551,$Y$551*(1+($U$551)/100)^MAX(0,$C555-$AB$551),0)))))</f>
      </c>
      <c r="G555" s="43">
        <f>IF($S$551=0,0,IF(OR(DATE($C555,3,15)&lt;$S$551,AND($T$551&gt;0,DATE($C555,3,15)&gt;$T$551)),0,IF(DATE($C555,3,15)&gt;=$X$551,$AA$551*(1+($U$551)/100)^MAX(0,$C555-$AD$551),IF(DATE($C555,3,15)&gt;=$W$551,$Z$551*(1+($U$551)/100)^MAX(0,$C555-$AC$551),IF(DATE($C555,3,15)&gt;=$V$551,$Y$551*(1+($U$551)/100)^MAX(0,$C555-$AB$551),0)))))</f>
      </c>
      <c r="H555" s="43">
        <f>IF($S$551=0,0,IF(OR(DATE($C555,4,15)&lt;$S$551,AND($T$551&gt;0,DATE($C555,4,15)&gt;$T$551)),0,IF(DATE($C555,4,15)&gt;=$X$551,$AA$551*(1+($U$551)/100)^MAX(0,$C555-$AD$551),IF(DATE($C555,4,15)&gt;=$W$551,$Z$551*(1+($U$551)/100)^MAX(0,$C555-$AC$551),IF(DATE($C555,4,15)&gt;=$V$551,$Y$551*(1+($U$551)/100)^MAX(0,$C555-$AB$551),0)))))</f>
      </c>
      <c r="I555" s="43">
        <f>IF($S$551=0,0,IF(OR(DATE($C555,5,15)&lt;$S$551,AND($T$551&gt;0,DATE($C555,5,15)&gt;$T$551)),0,IF(DATE($C555,5,15)&gt;=$X$551,$AA$551*(1+($U$551)/100)^MAX(0,$C555-$AD$551),IF(DATE($C555,5,15)&gt;=$W$551,$Z$551*(1+($U$551)/100)^MAX(0,$C555-$AC$551),IF(DATE($C555,5,15)&gt;=$V$551,$Y$551*(1+($U$551)/100)^MAX(0,$C555-$AB$551),0)))))</f>
      </c>
      <c r="J555" s="43">
        <f>IF($S$551=0,0,IF(OR(DATE($C555,6,15)&lt;$S$551,AND($T$551&gt;0,DATE($C555,6,15)&gt;$T$551)),0,IF(DATE($C555,6,15)&gt;=$X$551,$AA$551*(1+($U$551)/100)^MAX(0,$C555-$AD$551),IF(DATE($C555,6,15)&gt;=$W$551,$Z$551*(1+($U$551)/100)^MAX(0,$C555-$AC$551),IF(DATE($C555,6,15)&gt;=$V$551,$Y$551*(1+($U$551)/100)^MAX(0,$C555-$AB$551),0)))))</f>
      </c>
      <c r="K555" s="43">
        <f>IF($S$551=0,0,IF(OR(DATE($C555,7,15)&lt;$S$551,AND($T$551&gt;0,DATE($C555,7,15)&gt;$T$551)),0,IF(DATE($C555,7,15)&gt;=$X$551,$AA$551*(1+($U$551)/100)^MAX(0,$C555-$AD$551),IF(DATE($C555,7,15)&gt;=$W$551,$Z$551*(1+($U$551)/100)^MAX(0,$C555-$AC$551),IF(DATE($C555,7,15)&gt;=$V$551,$Y$551*(1+($U$551)/100)^MAX(0,$C555-$AB$551),0)))))</f>
      </c>
      <c r="L555" s="43">
        <f>IF($S$551=0,0,IF(OR(DATE($C555,8,15)&lt;$S$551,AND($T$551&gt;0,DATE($C555,8,15)&gt;$T$551)),0,IF(DATE($C555,8,15)&gt;=$X$551,$AA$551*(1+($U$551)/100)^MAX(0,$C555-$AD$551),IF(DATE($C555,8,15)&gt;=$W$551,$Z$551*(1+($U$551)/100)^MAX(0,$C555-$AC$551),IF(DATE($C555,8,15)&gt;=$V$551,$Y$551*(1+($U$551)/100)^MAX(0,$C555-$AB$551),0)))))</f>
      </c>
      <c r="M555" s="43">
        <f>IF($S$551=0,0,IF(OR(DATE($C555,9,15)&lt;$S$551,AND($T$551&gt;0,DATE($C555,9,15)&gt;$T$551)),0,IF(DATE($C555,9,15)&gt;=$X$551,$AA$551*(1+($U$551)/100)^MAX(0,$C555-$AD$551),IF(DATE($C555,9,15)&gt;=$W$551,$Z$551*(1+($U$551)/100)^MAX(0,$C555-$AC$551),IF(DATE($C555,9,15)&gt;=$V$551,$Y$551*(1+($U$551)/100)^MAX(0,$C555-$AB$551),0)))))</f>
      </c>
      <c r="N555" s="43">
        <f>IF($S$551=0,0,IF(OR(DATE($C555,10,15)&lt;$S$551,AND($T$551&gt;0,DATE($C555,10,15)&gt;$T$551)),0,IF(DATE($C555,10,15)&gt;=$X$551,$AA$551*(1+($U$551)/100)^MAX(0,$C555-$AD$551),IF(DATE($C555,10,15)&gt;=$W$551,$Z$551*(1+($U$551)/100)^MAX(0,$C555-$AC$551),IF(DATE($C555,10,15)&gt;=$V$551,$Y$551*(1+($U$551)/100)^MAX(0,$C555-$AB$551),0)))))</f>
      </c>
      <c r="O555" s="43">
        <f>IF($S$551=0,0,IF(OR(DATE($C555,11,15)&lt;$S$551,AND($T$551&gt;0,DATE($C555,11,15)&gt;$T$551)),0,IF(DATE($C555,11,15)&gt;=$X$551,$AA$551*(1+($U$551)/100)^MAX(0,$C555-$AD$551),IF(DATE($C555,11,15)&gt;=$W$551,$Z$551*(1+($U$551)/100)^MAX(0,$C555-$AC$551),IF(DATE($C555,11,15)&gt;=$V$551,$Y$551*(1+($U$551)/100)^MAX(0,$C555-$AB$551),0)))))</f>
      </c>
      <c r="P555" s="43">
        <f>IF($S$551=0,0,IF(OR(DATE($C555,12,15)&lt;$S$551,AND($T$551&gt;0,DATE($C555,12,15)&gt;$T$551)),0,IF(DATE($C555,12,15)&gt;=$X$551,$AA$551*(1+($U$551)/100)^MAX(0,$C555-$AD$551),IF(DATE($C555,12,15)&gt;=$W$551,$Z$551*(1+($U$551)/100)^MAX(0,$C555-$AC$551),IF(DATE($C555,12,15)&gt;=$V$551,$Y$551*(1+($U$551)/100)^MAX(0,$C555-$AB$551),0)))))</f>
      </c>
      <c r="Q555" s="43">
        <f>SUM($E555:$P555)</f>
      </c>
    </row>
    <row r="556">
      <c r="A556"/>
      <c r="B556">
        <v>18</v>
      </c>
      <c r="C556" s="43">
        <f>Jahr+5</f>
      </c>
      <c r="D556" s="43">
        <f>INDEX(MvObj,18)</f>
      </c>
      <c r="E556" s="43">
        <f>IF($S$551=0,0,IF(OR(DATE($C556,1,15)&lt;$S$551,AND($T$551&gt;0,DATE($C556,1,15)&gt;$T$551)),0,IF(DATE($C556,1,15)&gt;=$X$551,$AA$551*(1+($U$551)/100)^MAX(0,$C556-$AD$551),IF(DATE($C556,1,15)&gt;=$W$551,$Z$551*(1+($U$551)/100)^MAX(0,$C556-$AC$551),IF(DATE($C556,1,15)&gt;=$V$551,$Y$551*(1+($U$551)/100)^MAX(0,$C556-$AB$551),0)))))</f>
      </c>
      <c r="F556" s="43">
        <f>IF($S$551=0,0,IF(OR(DATE($C556,2,15)&lt;$S$551,AND($T$551&gt;0,DATE($C556,2,15)&gt;$T$551)),0,IF(DATE($C556,2,15)&gt;=$X$551,$AA$551*(1+($U$551)/100)^MAX(0,$C556-$AD$551),IF(DATE($C556,2,15)&gt;=$W$551,$Z$551*(1+($U$551)/100)^MAX(0,$C556-$AC$551),IF(DATE($C556,2,15)&gt;=$V$551,$Y$551*(1+($U$551)/100)^MAX(0,$C556-$AB$551),0)))))</f>
      </c>
      <c r="G556" s="43">
        <f>IF($S$551=0,0,IF(OR(DATE($C556,3,15)&lt;$S$551,AND($T$551&gt;0,DATE($C556,3,15)&gt;$T$551)),0,IF(DATE($C556,3,15)&gt;=$X$551,$AA$551*(1+($U$551)/100)^MAX(0,$C556-$AD$551),IF(DATE($C556,3,15)&gt;=$W$551,$Z$551*(1+($U$551)/100)^MAX(0,$C556-$AC$551),IF(DATE($C556,3,15)&gt;=$V$551,$Y$551*(1+($U$551)/100)^MAX(0,$C556-$AB$551),0)))))</f>
      </c>
      <c r="H556" s="43">
        <f>IF($S$551=0,0,IF(OR(DATE($C556,4,15)&lt;$S$551,AND($T$551&gt;0,DATE($C556,4,15)&gt;$T$551)),0,IF(DATE($C556,4,15)&gt;=$X$551,$AA$551*(1+($U$551)/100)^MAX(0,$C556-$AD$551),IF(DATE($C556,4,15)&gt;=$W$551,$Z$551*(1+($U$551)/100)^MAX(0,$C556-$AC$551),IF(DATE($C556,4,15)&gt;=$V$551,$Y$551*(1+($U$551)/100)^MAX(0,$C556-$AB$551),0)))))</f>
      </c>
      <c r="I556" s="43">
        <f>IF($S$551=0,0,IF(OR(DATE($C556,5,15)&lt;$S$551,AND($T$551&gt;0,DATE($C556,5,15)&gt;$T$551)),0,IF(DATE($C556,5,15)&gt;=$X$551,$AA$551*(1+($U$551)/100)^MAX(0,$C556-$AD$551),IF(DATE($C556,5,15)&gt;=$W$551,$Z$551*(1+($U$551)/100)^MAX(0,$C556-$AC$551),IF(DATE($C556,5,15)&gt;=$V$551,$Y$551*(1+($U$551)/100)^MAX(0,$C556-$AB$551),0)))))</f>
      </c>
      <c r="J556" s="43">
        <f>IF($S$551=0,0,IF(OR(DATE($C556,6,15)&lt;$S$551,AND($T$551&gt;0,DATE($C556,6,15)&gt;$T$551)),0,IF(DATE($C556,6,15)&gt;=$X$551,$AA$551*(1+($U$551)/100)^MAX(0,$C556-$AD$551),IF(DATE($C556,6,15)&gt;=$W$551,$Z$551*(1+($U$551)/100)^MAX(0,$C556-$AC$551),IF(DATE($C556,6,15)&gt;=$V$551,$Y$551*(1+($U$551)/100)^MAX(0,$C556-$AB$551),0)))))</f>
      </c>
      <c r="K556" s="43">
        <f>IF($S$551=0,0,IF(OR(DATE($C556,7,15)&lt;$S$551,AND($T$551&gt;0,DATE($C556,7,15)&gt;$T$551)),0,IF(DATE($C556,7,15)&gt;=$X$551,$AA$551*(1+($U$551)/100)^MAX(0,$C556-$AD$551),IF(DATE($C556,7,15)&gt;=$W$551,$Z$551*(1+($U$551)/100)^MAX(0,$C556-$AC$551),IF(DATE($C556,7,15)&gt;=$V$551,$Y$551*(1+($U$551)/100)^MAX(0,$C556-$AB$551),0)))))</f>
      </c>
      <c r="L556" s="43">
        <f>IF($S$551=0,0,IF(OR(DATE($C556,8,15)&lt;$S$551,AND($T$551&gt;0,DATE($C556,8,15)&gt;$T$551)),0,IF(DATE($C556,8,15)&gt;=$X$551,$AA$551*(1+($U$551)/100)^MAX(0,$C556-$AD$551),IF(DATE($C556,8,15)&gt;=$W$551,$Z$551*(1+($U$551)/100)^MAX(0,$C556-$AC$551),IF(DATE($C556,8,15)&gt;=$V$551,$Y$551*(1+($U$551)/100)^MAX(0,$C556-$AB$551),0)))))</f>
      </c>
      <c r="M556" s="43">
        <f>IF($S$551=0,0,IF(OR(DATE($C556,9,15)&lt;$S$551,AND($T$551&gt;0,DATE($C556,9,15)&gt;$T$551)),0,IF(DATE($C556,9,15)&gt;=$X$551,$AA$551*(1+($U$551)/100)^MAX(0,$C556-$AD$551),IF(DATE($C556,9,15)&gt;=$W$551,$Z$551*(1+($U$551)/100)^MAX(0,$C556-$AC$551),IF(DATE($C556,9,15)&gt;=$V$551,$Y$551*(1+($U$551)/100)^MAX(0,$C556-$AB$551),0)))))</f>
      </c>
      <c r="N556" s="43">
        <f>IF($S$551=0,0,IF(OR(DATE($C556,10,15)&lt;$S$551,AND($T$551&gt;0,DATE($C556,10,15)&gt;$T$551)),0,IF(DATE($C556,10,15)&gt;=$X$551,$AA$551*(1+($U$551)/100)^MAX(0,$C556-$AD$551),IF(DATE($C556,10,15)&gt;=$W$551,$Z$551*(1+($U$551)/100)^MAX(0,$C556-$AC$551),IF(DATE($C556,10,15)&gt;=$V$551,$Y$551*(1+($U$551)/100)^MAX(0,$C556-$AB$551),0)))))</f>
      </c>
      <c r="O556" s="43">
        <f>IF($S$551=0,0,IF(OR(DATE($C556,11,15)&lt;$S$551,AND($T$551&gt;0,DATE($C556,11,15)&gt;$T$551)),0,IF(DATE($C556,11,15)&gt;=$X$551,$AA$551*(1+($U$551)/100)^MAX(0,$C556-$AD$551),IF(DATE($C556,11,15)&gt;=$W$551,$Z$551*(1+($U$551)/100)^MAX(0,$C556-$AC$551),IF(DATE($C556,11,15)&gt;=$V$551,$Y$551*(1+($U$551)/100)^MAX(0,$C556-$AB$551),0)))))</f>
      </c>
      <c r="P556" s="43">
        <f>IF($S$551=0,0,IF(OR(DATE($C556,12,15)&lt;$S$551,AND($T$551&gt;0,DATE($C556,12,15)&gt;$T$551)),0,IF(DATE($C556,12,15)&gt;=$X$551,$AA$551*(1+($U$551)/100)^MAX(0,$C556-$AD$551),IF(DATE($C556,12,15)&gt;=$W$551,$Z$551*(1+($U$551)/100)^MAX(0,$C556-$AC$551),IF(DATE($C556,12,15)&gt;=$V$551,$Y$551*(1+($U$551)/100)^MAX(0,$C556-$AB$551),0)))))</f>
      </c>
      <c r="Q556" s="43">
        <f>SUM($E556:$P556)</f>
      </c>
    </row>
    <row r="557">
      <c r="A557"/>
      <c r="B557">
        <v>18</v>
      </c>
      <c r="C557" s="43">
        <f>Jahr+6</f>
      </c>
      <c r="D557" s="43">
        <f>INDEX(MvObj,18)</f>
      </c>
      <c r="E557" s="43">
        <f>IF($S$551=0,0,IF(OR(DATE($C557,1,15)&lt;$S$551,AND($T$551&gt;0,DATE($C557,1,15)&gt;$T$551)),0,IF(DATE($C557,1,15)&gt;=$X$551,$AA$551*(1+($U$551)/100)^MAX(0,$C557-$AD$551),IF(DATE($C557,1,15)&gt;=$W$551,$Z$551*(1+($U$551)/100)^MAX(0,$C557-$AC$551),IF(DATE($C557,1,15)&gt;=$V$551,$Y$551*(1+($U$551)/100)^MAX(0,$C557-$AB$551),0)))))</f>
      </c>
      <c r="F557" s="43">
        <f>IF($S$551=0,0,IF(OR(DATE($C557,2,15)&lt;$S$551,AND($T$551&gt;0,DATE($C557,2,15)&gt;$T$551)),0,IF(DATE($C557,2,15)&gt;=$X$551,$AA$551*(1+($U$551)/100)^MAX(0,$C557-$AD$551),IF(DATE($C557,2,15)&gt;=$W$551,$Z$551*(1+($U$551)/100)^MAX(0,$C557-$AC$551),IF(DATE($C557,2,15)&gt;=$V$551,$Y$551*(1+($U$551)/100)^MAX(0,$C557-$AB$551),0)))))</f>
      </c>
      <c r="G557" s="43">
        <f>IF($S$551=0,0,IF(OR(DATE($C557,3,15)&lt;$S$551,AND($T$551&gt;0,DATE($C557,3,15)&gt;$T$551)),0,IF(DATE($C557,3,15)&gt;=$X$551,$AA$551*(1+($U$551)/100)^MAX(0,$C557-$AD$551),IF(DATE($C557,3,15)&gt;=$W$551,$Z$551*(1+($U$551)/100)^MAX(0,$C557-$AC$551),IF(DATE($C557,3,15)&gt;=$V$551,$Y$551*(1+($U$551)/100)^MAX(0,$C557-$AB$551),0)))))</f>
      </c>
      <c r="H557" s="43">
        <f>IF($S$551=0,0,IF(OR(DATE($C557,4,15)&lt;$S$551,AND($T$551&gt;0,DATE($C557,4,15)&gt;$T$551)),0,IF(DATE($C557,4,15)&gt;=$X$551,$AA$551*(1+($U$551)/100)^MAX(0,$C557-$AD$551),IF(DATE($C557,4,15)&gt;=$W$551,$Z$551*(1+($U$551)/100)^MAX(0,$C557-$AC$551),IF(DATE($C557,4,15)&gt;=$V$551,$Y$551*(1+($U$551)/100)^MAX(0,$C557-$AB$551),0)))))</f>
      </c>
      <c r="I557" s="43">
        <f>IF($S$551=0,0,IF(OR(DATE($C557,5,15)&lt;$S$551,AND($T$551&gt;0,DATE($C557,5,15)&gt;$T$551)),0,IF(DATE($C557,5,15)&gt;=$X$551,$AA$551*(1+($U$551)/100)^MAX(0,$C557-$AD$551),IF(DATE($C557,5,15)&gt;=$W$551,$Z$551*(1+($U$551)/100)^MAX(0,$C557-$AC$551),IF(DATE($C557,5,15)&gt;=$V$551,$Y$551*(1+($U$551)/100)^MAX(0,$C557-$AB$551),0)))))</f>
      </c>
      <c r="J557" s="43">
        <f>IF($S$551=0,0,IF(OR(DATE($C557,6,15)&lt;$S$551,AND($T$551&gt;0,DATE($C557,6,15)&gt;$T$551)),0,IF(DATE($C557,6,15)&gt;=$X$551,$AA$551*(1+($U$551)/100)^MAX(0,$C557-$AD$551),IF(DATE($C557,6,15)&gt;=$W$551,$Z$551*(1+($U$551)/100)^MAX(0,$C557-$AC$551),IF(DATE($C557,6,15)&gt;=$V$551,$Y$551*(1+($U$551)/100)^MAX(0,$C557-$AB$551),0)))))</f>
      </c>
      <c r="K557" s="43">
        <f>IF($S$551=0,0,IF(OR(DATE($C557,7,15)&lt;$S$551,AND($T$551&gt;0,DATE($C557,7,15)&gt;$T$551)),0,IF(DATE($C557,7,15)&gt;=$X$551,$AA$551*(1+($U$551)/100)^MAX(0,$C557-$AD$551),IF(DATE($C557,7,15)&gt;=$W$551,$Z$551*(1+($U$551)/100)^MAX(0,$C557-$AC$551),IF(DATE($C557,7,15)&gt;=$V$551,$Y$551*(1+($U$551)/100)^MAX(0,$C557-$AB$551),0)))))</f>
      </c>
      <c r="L557" s="43">
        <f>IF($S$551=0,0,IF(OR(DATE($C557,8,15)&lt;$S$551,AND($T$551&gt;0,DATE($C557,8,15)&gt;$T$551)),0,IF(DATE($C557,8,15)&gt;=$X$551,$AA$551*(1+($U$551)/100)^MAX(0,$C557-$AD$551),IF(DATE($C557,8,15)&gt;=$W$551,$Z$551*(1+($U$551)/100)^MAX(0,$C557-$AC$551),IF(DATE($C557,8,15)&gt;=$V$551,$Y$551*(1+($U$551)/100)^MAX(0,$C557-$AB$551),0)))))</f>
      </c>
      <c r="M557" s="43">
        <f>IF($S$551=0,0,IF(OR(DATE($C557,9,15)&lt;$S$551,AND($T$551&gt;0,DATE($C557,9,15)&gt;$T$551)),0,IF(DATE($C557,9,15)&gt;=$X$551,$AA$551*(1+($U$551)/100)^MAX(0,$C557-$AD$551),IF(DATE($C557,9,15)&gt;=$W$551,$Z$551*(1+($U$551)/100)^MAX(0,$C557-$AC$551),IF(DATE($C557,9,15)&gt;=$V$551,$Y$551*(1+($U$551)/100)^MAX(0,$C557-$AB$551),0)))))</f>
      </c>
      <c r="N557" s="43">
        <f>IF($S$551=0,0,IF(OR(DATE($C557,10,15)&lt;$S$551,AND($T$551&gt;0,DATE($C557,10,15)&gt;$T$551)),0,IF(DATE($C557,10,15)&gt;=$X$551,$AA$551*(1+($U$551)/100)^MAX(0,$C557-$AD$551),IF(DATE($C557,10,15)&gt;=$W$551,$Z$551*(1+($U$551)/100)^MAX(0,$C557-$AC$551),IF(DATE($C557,10,15)&gt;=$V$551,$Y$551*(1+($U$551)/100)^MAX(0,$C557-$AB$551),0)))))</f>
      </c>
      <c r="O557" s="43">
        <f>IF($S$551=0,0,IF(OR(DATE($C557,11,15)&lt;$S$551,AND($T$551&gt;0,DATE($C557,11,15)&gt;$T$551)),0,IF(DATE($C557,11,15)&gt;=$X$551,$AA$551*(1+($U$551)/100)^MAX(0,$C557-$AD$551),IF(DATE($C557,11,15)&gt;=$W$551,$Z$551*(1+($U$551)/100)^MAX(0,$C557-$AC$551),IF(DATE($C557,11,15)&gt;=$V$551,$Y$551*(1+($U$551)/100)^MAX(0,$C557-$AB$551),0)))))</f>
      </c>
      <c r="P557" s="43">
        <f>IF($S$551=0,0,IF(OR(DATE($C557,12,15)&lt;$S$551,AND($T$551&gt;0,DATE($C557,12,15)&gt;$T$551)),0,IF(DATE($C557,12,15)&gt;=$X$551,$AA$551*(1+($U$551)/100)^MAX(0,$C557-$AD$551),IF(DATE($C557,12,15)&gt;=$W$551,$Z$551*(1+($U$551)/100)^MAX(0,$C557-$AC$551),IF(DATE($C557,12,15)&gt;=$V$551,$Y$551*(1+($U$551)/100)^MAX(0,$C557-$AB$551),0)))))</f>
      </c>
      <c r="Q557" s="43">
        <f>SUM($E557:$P557)</f>
      </c>
    </row>
    <row r="558">
      <c r="A558"/>
      <c r="B558">
        <v>18</v>
      </c>
      <c r="C558" s="43">
        <f>Jahr+7</f>
      </c>
      <c r="D558" s="43">
        <f>INDEX(MvObj,18)</f>
      </c>
      <c r="E558" s="43">
        <f>IF($S$551=0,0,IF(OR(DATE($C558,1,15)&lt;$S$551,AND($T$551&gt;0,DATE($C558,1,15)&gt;$T$551)),0,IF(DATE($C558,1,15)&gt;=$X$551,$AA$551*(1+($U$551)/100)^MAX(0,$C558-$AD$551),IF(DATE($C558,1,15)&gt;=$W$551,$Z$551*(1+($U$551)/100)^MAX(0,$C558-$AC$551),IF(DATE($C558,1,15)&gt;=$V$551,$Y$551*(1+($U$551)/100)^MAX(0,$C558-$AB$551),0)))))</f>
      </c>
      <c r="F558" s="43">
        <f>IF($S$551=0,0,IF(OR(DATE($C558,2,15)&lt;$S$551,AND($T$551&gt;0,DATE($C558,2,15)&gt;$T$551)),0,IF(DATE($C558,2,15)&gt;=$X$551,$AA$551*(1+($U$551)/100)^MAX(0,$C558-$AD$551),IF(DATE($C558,2,15)&gt;=$W$551,$Z$551*(1+($U$551)/100)^MAX(0,$C558-$AC$551),IF(DATE($C558,2,15)&gt;=$V$551,$Y$551*(1+($U$551)/100)^MAX(0,$C558-$AB$551),0)))))</f>
      </c>
      <c r="G558" s="43">
        <f>IF($S$551=0,0,IF(OR(DATE($C558,3,15)&lt;$S$551,AND($T$551&gt;0,DATE($C558,3,15)&gt;$T$551)),0,IF(DATE($C558,3,15)&gt;=$X$551,$AA$551*(1+($U$551)/100)^MAX(0,$C558-$AD$551),IF(DATE($C558,3,15)&gt;=$W$551,$Z$551*(1+($U$551)/100)^MAX(0,$C558-$AC$551),IF(DATE($C558,3,15)&gt;=$V$551,$Y$551*(1+($U$551)/100)^MAX(0,$C558-$AB$551),0)))))</f>
      </c>
      <c r="H558" s="43">
        <f>IF($S$551=0,0,IF(OR(DATE($C558,4,15)&lt;$S$551,AND($T$551&gt;0,DATE($C558,4,15)&gt;$T$551)),0,IF(DATE($C558,4,15)&gt;=$X$551,$AA$551*(1+($U$551)/100)^MAX(0,$C558-$AD$551),IF(DATE($C558,4,15)&gt;=$W$551,$Z$551*(1+($U$551)/100)^MAX(0,$C558-$AC$551),IF(DATE($C558,4,15)&gt;=$V$551,$Y$551*(1+($U$551)/100)^MAX(0,$C558-$AB$551),0)))))</f>
      </c>
      <c r="I558" s="43">
        <f>IF($S$551=0,0,IF(OR(DATE($C558,5,15)&lt;$S$551,AND($T$551&gt;0,DATE($C558,5,15)&gt;$T$551)),0,IF(DATE($C558,5,15)&gt;=$X$551,$AA$551*(1+($U$551)/100)^MAX(0,$C558-$AD$551),IF(DATE($C558,5,15)&gt;=$W$551,$Z$551*(1+($U$551)/100)^MAX(0,$C558-$AC$551),IF(DATE($C558,5,15)&gt;=$V$551,$Y$551*(1+($U$551)/100)^MAX(0,$C558-$AB$551),0)))))</f>
      </c>
      <c r="J558" s="43">
        <f>IF($S$551=0,0,IF(OR(DATE($C558,6,15)&lt;$S$551,AND($T$551&gt;0,DATE($C558,6,15)&gt;$T$551)),0,IF(DATE($C558,6,15)&gt;=$X$551,$AA$551*(1+($U$551)/100)^MAX(0,$C558-$AD$551),IF(DATE($C558,6,15)&gt;=$W$551,$Z$551*(1+($U$551)/100)^MAX(0,$C558-$AC$551),IF(DATE($C558,6,15)&gt;=$V$551,$Y$551*(1+($U$551)/100)^MAX(0,$C558-$AB$551),0)))))</f>
      </c>
      <c r="K558" s="43">
        <f>IF($S$551=0,0,IF(OR(DATE($C558,7,15)&lt;$S$551,AND($T$551&gt;0,DATE($C558,7,15)&gt;$T$551)),0,IF(DATE($C558,7,15)&gt;=$X$551,$AA$551*(1+($U$551)/100)^MAX(0,$C558-$AD$551),IF(DATE($C558,7,15)&gt;=$W$551,$Z$551*(1+($U$551)/100)^MAX(0,$C558-$AC$551),IF(DATE($C558,7,15)&gt;=$V$551,$Y$551*(1+($U$551)/100)^MAX(0,$C558-$AB$551),0)))))</f>
      </c>
      <c r="L558" s="43">
        <f>IF($S$551=0,0,IF(OR(DATE($C558,8,15)&lt;$S$551,AND($T$551&gt;0,DATE($C558,8,15)&gt;$T$551)),0,IF(DATE($C558,8,15)&gt;=$X$551,$AA$551*(1+($U$551)/100)^MAX(0,$C558-$AD$551),IF(DATE($C558,8,15)&gt;=$W$551,$Z$551*(1+($U$551)/100)^MAX(0,$C558-$AC$551),IF(DATE($C558,8,15)&gt;=$V$551,$Y$551*(1+($U$551)/100)^MAX(0,$C558-$AB$551),0)))))</f>
      </c>
      <c r="M558" s="43">
        <f>IF($S$551=0,0,IF(OR(DATE($C558,9,15)&lt;$S$551,AND($T$551&gt;0,DATE($C558,9,15)&gt;$T$551)),0,IF(DATE($C558,9,15)&gt;=$X$551,$AA$551*(1+($U$551)/100)^MAX(0,$C558-$AD$551),IF(DATE($C558,9,15)&gt;=$W$551,$Z$551*(1+($U$551)/100)^MAX(0,$C558-$AC$551),IF(DATE($C558,9,15)&gt;=$V$551,$Y$551*(1+($U$551)/100)^MAX(0,$C558-$AB$551),0)))))</f>
      </c>
      <c r="N558" s="43">
        <f>IF($S$551=0,0,IF(OR(DATE($C558,10,15)&lt;$S$551,AND($T$551&gt;0,DATE($C558,10,15)&gt;$T$551)),0,IF(DATE($C558,10,15)&gt;=$X$551,$AA$551*(1+($U$551)/100)^MAX(0,$C558-$AD$551),IF(DATE($C558,10,15)&gt;=$W$551,$Z$551*(1+($U$551)/100)^MAX(0,$C558-$AC$551),IF(DATE($C558,10,15)&gt;=$V$551,$Y$551*(1+($U$551)/100)^MAX(0,$C558-$AB$551),0)))))</f>
      </c>
      <c r="O558" s="43">
        <f>IF($S$551=0,0,IF(OR(DATE($C558,11,15)&lt;$S$551,AND($T$551&gt;0,DATE($C558,11,15)&gt;$T$551)),0,IF(DATE($C558,11,15)&gt;=$X$551,$AA$551*(1+($U$551)/100)^MAX(0,$C558-$AD$551),IF(DATE($C558,11,15)&gt;=$W$551,$Z$551*(1+($U$551)/100)^MAX(0,$C558-$AC$551),IF(DATE($C558,11,15)&gt;=$V$551,$Y$551*(1+($U$551)/100)^MAX(0,$C558-$AB$551),0)))))</f>
      </c>
      <c r="P558" s="43">
        <f>IF($S$551=0,0,IF(OR(DATE($C558,12,15)&lt;$S$551,AND($T$551&gt;0,DATE($C558,12,15)&gt;$T$551)),0,IF(DATE($C558,12,15)&gt;=$X$551,$AA$551*(1+($U$551)/100)^MAX(0,$C558-$AD$551),IF(DATE($C558,12,15)&gt;=$W$551,$Z$551*(1+($U$551)/100)^MAX(0,$C558-$AC$551),IF(DATE($C558,12,15)&gt;=$V$551,$Y$551*(1+($U$551)/100)^MAX(0,$C558-$AB$551),0)))))</f>
      </c>
      <c r="Q558" s="43">
        <f>SUM($E558:$P558)</f>
      </c>
    </row>
    <row r="559">
      <c r="A559"/>
      <c r="B559">
        <v>18</v>
      </c>
      <c r="C559" s="43">
        <f>Jahr+8</f>
      </c>
      <c r="D559" s="43">
        <f>INDEX(MvObj,18)</f>
      </c>
      <c r="E559" s="43">
        <f>IF($S$551=0,0,IF(OR(DATE($C559,1,15)&lt;$S$551,AND($T$551&gt;0,DATE($C559,1,15)&gt;$T$551)),0,IF(DATE($C559,1,15)&gt;=$X$551,$AA$551*(1+($U$551)/100)^MAX(0,$C559-$AD$551),IF(DATE($C559,1,15)&gt;=$W$551,$Z$551*(1+($U$551)/100)^MAX(0,$C559-$AC$551),IF(DATE($C559,1,15)&gt;=$V$551,$Y$551*(1+($U$551)/100)^MAX(0,$C559-$AB$551),0)))))</f>
      </c>
      <c r="F559" s="43">
        <f>IF($S$551=0,0,IF(OR(DATE($C559,2,15)&lt;$S$551,AND($T$551&gt;0,DATE($C559,2,15)&gt;$T$551)),0,IF(DATE($C559,2,15)&gt;=$X$551,$AA$551*(1+($U$551)/100)^MAX(0,$C559-$AD$551),IF(DATE($C559,2,15)&gt;=$W$551,$Z$551*(1+($U$551)/100)^MAX(0,$C559-$AC$551),IF(DATE($C559,2,15)&gt;=$V$551,$Y$551*(1+($U$551)/100)^MAX(0,$C559-$AB$551),0)))))</f>
      </c>
      <c r="G559" s="43">
        <f>IF($S$551=0,0,IF(OR(DATE($C559,3,15)&lt;$S$551,AND($T$551&gt;0,DATE($C559,3,15)&gt;$T$551)),0,IF(DATE($C559,3,15)&gt;=$X$551,$AA$551*(1+($U$551)/100)^MAX(0,$C559-$AD$551),IF(DATE($C559,3,15)&gt;=$W$551,$Z$551*(1+($U$551)/100)^MAX(0,$C559-$AC$551),IF(DATE($C559,3,15)&gt;=$V$551,$Y$551*(1+($U$551)/100)^MAX(0,$C559-$AB$551),0)))))</f>
      </c>
      <c r="H559" s="43">
        <f>IF($S$551=0,0,IF(OR(DATE($C559,4,15)&lt;$S$551,AND($T$551&gt;0,DATE($C559,4,15)&gt;$T$551)),0,IF(DATE($C559,4,15)&gt;=$X$551,$AA$551*(1+($U$551)/100)^MAX(0,$C559-$AD$551),IF(DATE($C559,4,15)&gt;=$W$551,$Z$551*(1+($U$551)/100)^MAX(0,$C559-$AC$551),IF(DATE($C559,4,15)&gt;=$V$551,$Y$551*(1+($U$551)/100)^MAX(0,$C559-$AB$551),0)))))</f>
      </c>
      <c r="I559" s="43">
        <f>IF($S$551=0,0,IF(OR(DATE($C559,5,15)&lt;$S$551,AND($T$551&gt;0,DATE($C559,5,15)&gt;$T$551)),0,IF(DATE($C559,5,15)&gt;=$X$551,$AA$551*(1+($U$551)/100)^MAX(0,$C559-$AD$551),IF(DATE($C559,5,15)&gt;=$W$551,$Z$551*(1+($U$551)/100)^MAX(0,$C559-$AC$551),IF(DATE($C559,5,15)&gt;=$V$551,$Y$551*(1+($U$551)/100)^MAX(0,$C559-$AB$551),0)))))</f>
      </c>
      <c r="J559" s="43">
        <f>IF($S$551=0,0,IF(OR(DATE($C559,6,15)&lt;$S$551,AND($T$551&gt;0,DATE($C559,6,15)&gt;$T$551)),0,IF(DATE($C559,6,15)&gt;=$X$551,$AA$551*(1+($U$551)/100)^MAX(0,$C559-$AD$551),IF(DATE($C559,6,15)&gt;=$W$551,$Z$551*(1+($U$551)/100)^MAX(0,$C559-$AC$551),IF(DATE($C559,6,15)&gt;=$V$551,$Y$551*(1+($U$551)/100)^MAX(0,$C559-$AB$551),0)))))</f>
      </c>
      <c r="K559" s="43">
        <f>IF($S$551=0,0,IF(OR(DATE($C559,7,15)&lt;$S$551,AND($T$551&gt;0,DATE($C559,7,15)&gt;$T$551)),0,IF(DATE($C559,7,15)&gt;=$X$551,$AA$551*(1+($U$551)/100)^MAX(0,$C559-$AD$551),IF(DATE($C559,7,15)&gt;=$W$551,$Z$551*(1+($U$551)/100)^MAX(0,$C559-$AC$551),IF(DATE($C559,7,15)&gt;=$V$551,$Y$551*(1+($U$551)/100)^MAX(0,$C559-$AB$551),0)))))</f>
      </c>
      <c r="L559" s="43">
        <f>IF($S$551=0,0,IF(OR(DATE($C559,8,15)&lt;$S$551,AND($T$551&gt;0,DATE($C559,8,15)&gt;$T$551)),0,IF(DATE($C559,8,15)&gt;=$X$551,$AA$551*(1+($U$551)/100)^MAX(0,$C559-$AD$551),IF(DATE($C559,8,15)&gt;=$W$551,$Z$551*(1+($U$551)/100)^MAX(0,$C559-$AC$551),IF(DATE($C559,8,15)&gt;=$V$551,$Y$551*(1+($U$551)/100)^MAX(0,$C559-$AB$551),0)))))</f>
      </c>
      <c r="M559" s="43">
        <f>IF($S$551=0,0,IF(OR(DATE($C559,9,15)&lt;$S$551,AND($T$551&gt;0,DATE($C559,9,15)&gt;$T$551)),0,IF(DATE($C559,9,15)&gt;=$X$551,$AA$551*(1+($U$551)/100)^MAX(0,$C559-$AD$551),IF(DATE($C559,9,15)&gt;=$W$551,$Z$551*(1+($U$551)/100)^MAX(0,$C559-$AC$551),IF(DATE($C559,9,15)&gt;=$V$551,$Y$551*(1+($U$551)/100)^MAX(0,$C559-$AB$551),0)))))</f>
      </c>
      <c r="N559" s="43">
        <f>IF($S$551=0,0,IF(OR(DATE($C559,10,15)&lt;$S$551,AND($T$551&gt;0,DATE($C559,10,15)&gt;$T$551)),0,IF(DATE($C559,10,15)&gt;=$X$551,$AA$551*(1+($U$551)/100)^MAX(0,$C559-$AD$551),IF(DATE($C559,10,15)&gt;=$W$551,$Z$551*(1+($U$551)/100)^MAX(0,$C559-$AC$551),IF(DATE($C559,10,15)&gt;=$V$551,$Y$551*(1+($U$551)/100)^MAX(0,$C559-$AB$551),0)))))</f>
      </c>
      <c r="O559" s="43">
        <f>IF($S$551=0,0,IF(OR(DATE($C559,11,15)&lt;$S$551,AND($T$551&gt;0,DATE($C559,11,15)&gt;$T$551)),0,IF(DATE($C559,11,15)&gt;=$X$551,$AA$551*(1+($U$551)/100)^MAX(0,$C559-$AD$551),IF(DATE($C559,11,15)&gt;=$W$551,$Z$551*(1+($U$551)/100)^MAX(0,$C559-$AC$551),IF(DATE($C559,11,15)&gt;=$V$551,$Y$551*(1+($U$551)/100)^MAX(0,$C559-$AB$551),0)))))</f>
      </c>
      <c r="P559" s="43">
        <f>IF($S$551=0,0,IF(OR(DATE($C559,12,15)&lt;$S$551,AND($T$551&gt;0,DATE($C559,12,15)&gt;$T$551)),0,IF(DATE($C559,12,15)&gt;=$X$551,$AA$551*(1+($U$551)/100)^MAX(0,$C559-$AD$551),IF(DATE($C559,12,15)&gt;=$W$551,$Z$551*(1+($U$551)/100)^MAX(0,$C559-$AC$551),IF(DATE($C559,12,15)&gt;=$V$551,$Y$551*(1+($U$551)/100)^MAX(0,$C559-$AB$551),0)))))</f>
      </c>
      <c r="Q559" s="43">
        <f>SUM($E559:$P559)</f>
      </c>
    </row>
    <row r="560">
      <c r="A560"/>
      <c r="B560">
        <v>18</v>
      </c>
      <c r="C560" s="43">
        <f>Jahr+9</f>
      </c>
      <c r="D560" s="43">
        <f>INDEX(MvObj,18)</f>
      </c>
      <c r="E560" s="43">
        <f>IF($S$551=0,0,IF(OR(DATE($C560,1,15)&lt;$S$551,AND($T$551&gt;0,DATE($C560,1,15)&gt;$T$551)),0,IF(DATE($C560,1,15)&gt;=$X$551,$AA$551*(1+($U$551)/100)^MAX(0,$C560-$AD$551),IF(DATE($C560,1,15)&gt;=$W$551,$Z$551*(1+($U$551)/100)^MAX(0,$C560-$AC$551),IF(DATE($C560,1,15)&gt;=$V$551,$Y$551*(1+($U$551)/100)^MAX(0,$C560-$AB$551),0)))))</f>
      </c>
      <c r="F560" s="43">
        <f>IF($S$551=0,0,IF(OR(DATE($C560,2,15)&lt;$S$551,AND($T$551&gt;0,DATE($C560,2,15)&gt;$T$551)),0,IF(DATE($C560,2,15)&gt;=$X$551,$AA$551*(1+($U$551)/100)^MAX(0,$C560-$AD$551),IF(DATE($C560,2,15)&gt;=$W$551,$Z$551*(1+($U$551)/100)^MAX(0,$C560-$AC$551),IF(DATE($C560,2,15)&gt;=$V$551,$Y$551*(1+($U$551)/100)^MAX(0,$C560-$AB$551),0)))))</f>
      </c>
      <c r="G560" s="43">
        <f>IF($S$551=0,0,IF(OR(DATE($C560,3,15)&lt;$S$551,AND($T$551&gt;0,DATE($C560,3,15)&gt;$T$551)),0,IF(DATE($C560,3,15)&gt;=$X$551,$AA$551*(1+($U$551)/100)^MAX(0,$C560-$AD$551),IF(DATE($C560,3,15)&gt;=$W$551,$Z$551*(1+($U$551)/100)^MAX(0,$C560-$AC$551),IF(DATE($C560,3,15)&gt;=$V$551,$Y$551*(1+($U$551)/100)^MAX(0,$C560-$AB$551),0)))))</f>
      </c>
      <c r="H560" s="43">
        <f>IF($S$551=0,0,IF(OR(DATE($C560,4,15)&lt;$S$551,AND($T$551&gt;0,DATE($C560,4,15)&gt;$T$551)),0,IF(DATE($C560,4,15)&gt;=$X$551,$AA$551*(1+($U$551)/100)^MAX(0,$C560-$AD$551),IF(DATE($C560,4,15)&gt;=$W$551,$Z$551*(1+($U$551)/100)^MAX(0,$C560-$AC$551),IF(DATE($C560,4,15)&gt;=$V$551,$Y$551*(1+($U$551)/100)^MAX(0,$C560-$AB$551),0)))))</f>
      </c>
      <c r="I560" s="43">
        <f>IF($S$551=0,0,IF(OR(DATE($C560,5,15)&lt;$S$551,AND($T$551&gt;0,DATE($C560,5,15)&gt;$T$551)),0,IF(DATE($C560,5,15)&gt;=$X$551,$AA$551*(1+($U$551)/100)^MAX(0,$C560-$AD$551),IF(DATE($C560,5,15)&gt;=$W$551,$Z$551*(1+($U$551)/100)^MAX(0,$C560-$AC$551),IF(DATE($C560,5,15)&gt;=$V$551,$Y$551*(1+($U$551)/100)^MAX(0,$C560-$AB$551),0)))))</f>
      </c>
      <c r="J560" s="43">
        <f>IF($S$551=0,0,IF(OR(DATE($C560,6,15)&lt;$S$551,AND($T$551&gt;0,DATE($C560,6,15)&gt;$T$551)),0,IF(DATE($C560,6,15)&gt;=$X$551,$AA$551*(1+($U$551)/100)^MAX(0,$C560-$AD$551),IF(DATE($C560,6,15)&gt;=$W$551,$Z$551*(1+($U$551)/100)^MAX(0,$C560-$AC$551),IF(DATE($C560,6,15)&gt;=$V$551,$Y$551*(1+($U$551)/100)^MAX(0,$C560-$AB$551),0)))))</f>
      </c>
      <c r="K560" s="43">
        <f>IF($S$551=0,0,IF(OR(DATE($C560,7,15)&lt;$S$551,AND($T$551&gt;0,DATE($C560,7,15)&gt;$T$551)),0,IF(DATE($C560,7,15)&gt;=$X$551,$AA$551*(1+($U$551)/100)^MAX(0,$C560-$AD$551),IF(DATE($C560,7,15)&gt;=$W$551,$Z$551*(1+($U$551)/100)^MAX(0,$C560-$AC$551),IF(DATE($C560,7,15)&gt;=$V$551,$Y$551*(1+($U$551)/100)^MAX(0,$C560-$AB$551),0)))))</f>
      </c>
      <c r="L560" s="43">
        <f>IF($S$551=0,0,IF(OR(DATE($C560,8,15)&lt;$S$551,AND($T$551&gt;0,DATE($C560,8,15)&gt;$T$551)),0,IF(DATE($C560,8,15)&gt;=$X$551,$AA$551*(1+($U$551)/100)^MAX(0,$C560-$AD$551),IF(DATE($C560,8,15)&gt;=$W$551,$Z$551*(1+($U$551)/100)^MAX(0,$C560-$AC$551),IF(DATE($C560,8,15)&gt;=$V$551,$Y$551*(1+($U$551)/100)^MAX(0,$C560-$AB$551),0)))))</f>
      </c>
      <c r="M560" s="43">
        <f>IF($S$551=0,0,IF(OR(DATE($C560,9,15)&lt;$S$551,AND($T$551&gt;0,DATE($C560,9,15)&gt;$T$551)),0,IF(DATE($C560,9,15)&gt;=$X$551,$AA$551*(1+($U$551)/100)^MAX(0,$C560-$AD$551),IF(DATE($C560,9,15)&gt;=$W$551,$Z$551*(1+($U$551)/100)^MAX(0,$C560-$AC$551),IF(DATE($C560,9,15)&gt;=$V$551,$Y$551*(1+($U$551)/100)^MAX(0,$C560-$AB$551),0)))))</f>
      </c>
      <c r="N560" s="43">
        <f>IF($S$551=0,0,IF(OR(DATE($C560,10,15)&lt;$S$551,AND($T$551&gt;0,DATE($C560,10,15)&gt;$T$551)),0,IF(DATE($C560,10,15)&gt;=$X$551,$AA$551*(1+($U$551)/100)^MAX(0,$C560-$AD$551),IF(DATE($C560,10,15)&gt;=$W$551,$Z$551*(1+($U$551)/100)^MAX(0,$C560-$AC$551),IF(DATE($C560,10,15)&gt;=$V$551,$Y$551*(1+($U$551)/100)^MAX(0,$C560-$AB$551),0)))))</f>
      </c>
      <c r="O560" s="43">
        <f>IF($S$551=0,0,IF(OR(DATE($C560,11,15)&lt;$S$551,AND($T$551&gt;0,DATE($C560,11,15)&gt;$T$551)),0,IF(DATE($C560,11,15)&gt;=$X$551,$AA$551*(1+($U$551)/100)^MAX(0,$C560-$AD$551),IF(DATE($C560,11,15)&gt;=$W$551,$Z$551*(1+($U$551)/100)^MAX(0,$C560-$AC$551),IF(DATE($C560,11,15)&gt;=$V$551,$Y$551*(1+($U$551)/100)^MAX(0,$C560-$AB$551),0)))))</f>
      </c>
      <c r="P560" s="43">
        <f>IF($S$551=0,0,IF(OR(DATE($C560,12,15)&lt;$S$551,AND($T$551&gt;0,DATE($C560,12,15)&gt;$T$551)),0,IF(DATE($C560,12,15)&gt;=$X$551,$AA$551*(1+($U$551)/100)^MAX(0,$C560-$AD$551),IF(DATE($C560,12,15)&gt;=$W$551,$Z$551*(1+($U$551)/100)^MAX(0,$C560-$AC$551),IF(DATE($C560,12,15)&gt;=$V$551,$Y$551*(1+($U$551)/100)^MAX(0,$C560-$AB$551),0)))))</f>
      </c>
      <c r="Q560" s="43">
        <f>SUM($E560:$P560)</f>
      </c>
    </row>
    <row r="561">
      <c r="A561"/>
      <c r="B561">
        <v>18</v>
      </c>
      <c r="C561" s="43">
        <f>Jahr+10</f>
      </c>
      <c r="D561" s="43">
        <f>INDEX(MvObj,18)</f>
      </c>
      <c r="E561" s="43">
        <f>IF($S$551=0,0,IF(OR(DATE($C561,1,15)&lt;$S$551,AND($T$551&gt;0,DATE($C561,1,15)&gt;$T$551)),0,IF(DATE($C561,1,15)&gt;=$X$551,$AA$551*(1+($U$551)/100)^MAX(0,$C561-$AD$551),IF(DATE($C561,1,15)&gt;=$W$551,$Z$551*(1+($U$551)/100)^MAX(0,$C561-$AC$551),IF(DATE($C561,1,15)&gt;=$V$551,$Y$551*(1+($U$551)/100)^MAX(0,$C561-$AB$551),0)))))</f>
      </c>
      <c r="F561" s="43">
        <f>IF($S$551=0,0,IF(OR(DATE($C561,2,15)&lt;$S$551,AND($T$551&gt;0,DATE($C561,2,15)&gt;$T$551)),0,IF(DATE($C561,2,15)&gt;=$X$551,$AA$551*(1+($U$551)/100)^MAX(0,$C561-$AD$551),IF(DATE($C561,2,15)&gt;=$W$551,$Z$551*(1+($U$551)/100)^MAX(0,$C561-$AC$551),IF(DATE($C561,2,15)&gt;=$V$551,$Y$551*(1+($U$551)/100)^MAX(0,$C561-$AB$551),0)))))</f>
      </c>
      <c r="G561" s="43">
        <f>IF($S$551=0,0,IF(OR(DATE($C561,3,15)&lt;$S$551,AND($T$551&gt;0,DATE($C561,3,15)&gt;$T$551)),0,IF(DATE($C561,3,15)&gt;=$X$551,$AA$551*(1+($U$551)/100)^MAX(0,$C561-$AD$551),IF(DATE($C561,3,15)&gt;=$W$551,$Z$551*(1+($U$551)/100)^MAX(0,$C561-$AC$551),IF(DATE($C561,3,15)&gt;=$V$551,$Y$551*(1+($U$551)/100)^MAX(0,$C561-$AB$551),0)))))</f>
      </c>
      <c r="H561" s="43">
        <f>IF($S$551=0,0,IF(OR(DATE($C561,4,15)&lt;$S$551,AND($T$551&gt;0,DATE($C561,4,15)&gt;$T$551)),0,IF(DATE($C561,4,15)&gt;=$X$551,$AA$551*(1+($U$551)/100)^MAX(0,$C561-$AD$551),IF(DATE($C561,4,15)&gt;=$W$551,$Z$551*(1+($U$551)/100)^MAX(0,$C561-$AC$551),IF(DATE($C561,4,15)&gt;=$V$551,$Y$551*(1+($U$551)/100)^MAX(0,$C561-$AB$551),0)))))</f>
      </c>
      <c r="I561" s="43">
        <f>IF($S$551=0,0,IF(OR(DATE($C561,5,15)&lt;$S$551,AND($T$551&gt;0,DATE($C561,5,15)&gt;$T$551)),0,IF(DATE($C561,5,15)&gt;=$X$551,$AA$551*(1+($U$551)/100)^MAX(0,$C561-$AD$551),IF(DATE($C561,5,15)&gt;=$W$551,$Z$551*(1+($U$551)/100)^MAX(0,$C561-$AC$551),IF(DATE($C561,5,15)&gt;=$V$551,$Y$551*(1+($U$551)/100)^MAX(0,$C561-$AB$551),0)))))</f>
      </c>
      <c r="J561" s="43">
        <f>IF($S$551=0,0,IF(OR(DATE($C561,6,15)&lt;$S$551,AND($T$551&gt;0,DATE($C561,6,15)&gt;$T$551)),0,IF(DATE($C561,6,15)&gt;=$X$551,$AA$551*(1+($U$551)/100)^MAX(0,$C561-$AD$551),IF(DATE($C561,6,15)&gt;=$W$551,$Z$551*(1+($U$551)/100)^MAX(0,$C561-$AC$551),IF(DATE($C561,6,15)&gt;=$V$551,$Y$551*(1+($U$551)/100)^MAX(0,$C561-$AB$551),0)))))</f>
      </c>
      <c r="K561" s="43">
        <f>IF($S$551=0,0,IF(OR(DATE($C561,7,15)&lt;$S$551,AND($T$551&gt;0,DATE($C561,7,15)&gt;$T$551)),0,IF(DATE($C561,7,15)&gt;=$X$551,$AA$551*(1+($U$551)/100)^MAX(0,$C561-$AD$551),IF(DATE($C561,7,15)&gt;=$W$551,$Z$551*(1+($U$551)/100)^MAX(0,$C561-$AC$551),IF(DATE($C561,7,15)&gt;=$V$551,$Y$551*(1+($U$551)/100)^MAX(0,$C561-$AB$551),0)))))</f>
      </c>
      <c r="L561" s="43">
        <f>IF($S$551=0,0,IF(OR(DATE($C561,8,15)&lt;$S$551,AND($T$551&gt;0,DATE($C561,8,15)&gt;$T$551)),0,IF(DATE($C561,8,15)&gt;=$X$551,$AA$551*(1+($U$551)/100)^MAX(0,$C561-$AD$551),IF(DATE($C561,8,15)&gt;=$W$551,$Z$551*(1+($U$551)/100)^MAX(0,$C561-$AC$551),IF(DATE($C561,8,15)&gt;=$V$551,$Y$551*(1+($U$551)/100)^MAX(0,$C561-$AB$551),0)))))</f>
      </c>
      <c r="M561" s="43">
        <f>IF($S$551=0,0,IF(OR(DATE($C561,9,15)&lt;$S$551,AND($T$551&gt;0,DATE($C561,9,15)&gt;$T$551)),0,IF(DATE($C561,9,15)&gt;=$X$551,$AA$551*(1+($U$551)/100)^MAX(0,$C561-$AD$551),IF(DATE($C561,9,15)&gt;=$W$551,$Z$551*(1+($U$551)/100)^MAX(0,$C561-$AC$551),IF(DATE($C561,9,15)&gt;=$V$551,$Y$551*(1+($U$551)/100)^MAX(0,$C561-$AB$551),0)))))</f>
      </c>
      <c r="N561" s="43">
        <f>IF($S$551=0,0,IF(OR(DATE($C561,10,15)&lt;$S$551,AND($T$551&gt;0,DATE($C561,10,15)&gt;$T$551)),0,IF(DATE($C561,10,15)&gt;=$X$551,$AA$551*(1+($U$551)/100)^MAX(0,$C561-$AD$551),IF(DATE($C561,10,15)&gt;=$W$551,$Z$551*(1+($U$551)/100)^MAX(0,$C561-$AC$551),IF(DATE($C561,10,15)&gt;=$V$551,$Y$551*(1+($U$551)/100)^MAX(0,$C561-$AB$551),0)))))</f>
      </c>
      <c r="O561" s="43">
        <f>IF($S$551=0,0,IF(OR(DATE($C561,11,15)&lt;$S$551,AND($T$551&gt;0,DATE($C561,11,15)&gt;$T$551)),0,IF(DATE($C561,11,15)&gt;=$X$551,$AA$551*(1+($U$551)/100)^MAX(0,$C561-$AD$551),IF(DATE($C561,11,15)&gt;=$W$551,$Z$551*(1+($U$551)/100)^MAX(0,$C561-$AC$551),IF(DATE($C561,11,15)&gt;=$V$551,$Y$551*(1+($U$551)/100)^MAX(0,$C561-$AB$551),0)))))</f>
      </c>
      <c r="P561" s="43">
        <f>IF($S$551=0,0,IF(OR(DATE($C561,12,15)&lt;$S$551,AND($T$551&gt;0,DATE($C561,12,15)&gt;$T$551)),0,IF(DATE($C561,12,15)&gt;=$X$551,$AA$551*(1+($U$551)/100)^MAX(0,$C561-$AD$551),IF(DATE($C561,12,15)&gt;=$W$551,$Z$551*(1+($U$551)/100)^MAX(0,$C561-$AC$551),IF(DATE($C561,12,15)&gt;=$V$551,$Y$551*(1+($U$551)/100)^MAX(0,$C561-$AB$551),0)))))</f>
      </c>
      <c r="Q561" s="43">
        <f>SUM($E561:$P561)</f>
      </c>
    </row>
    <row r="562">
      <c r="A562"/>
      <c r="B562">
        <v>18</v>
      </c>
      <c r="C562" s="43">
        <f>Jahr+11</f>
      </c>
      <c r="D562" s="43">
        <f>INDEX(MvObj,18)</f>
      </c>
      <c r="E562" s="43">
        <f>IF($S$551=0,0,IF(OR(DATE($C562,1,15)&lt;$S$551,AND($T$551&gt;0,DATE($C562,1,15)&gt;$T$551)),0,IF(DATE($C562,1,15)&gt;=$X$551,$AA$551*(1+($U$551)/100)^MAX(0,$C562-$AD$551),IF(DATE($C562,1,15)&gt;=$W$551,$Z$551*(1+($U$551)/100)^MAX(0,$C562-$AC$551),IF(DATE($C562,1,15)&gt;=$V$551,$Y$551*(1+($U$551)/100)^MAX(0,$C562-$AB$551),0)))))</f>
      </c>
      <c r="F562" s="43">
        <f>IF($S$551=0,0,IF(OR(DATE($C562,2,15)&lt;$S$551,AND($T$551&gt;0,DATE($C562,2,15)&gt;$T$551)),0,IF(DATE($C562,2,15)&gt;=$X$551,$AA$551*(1+($U$551)/100)^MAX(0,$C562-$AD$551),IF(DATE($C562,2,15)&gt;=$W$551,$Z$551*(1+($U$551)/100)^MAX(0,$C562-$AC$551),IF(DATE($C562,2,15)&gt;=$V$551,$Y$551*(1+($U$551)/100)^MAX(0,$C562-$AB$551),0)))))</f>
      </c>
      <c r="G562" s="43">
        <f>IF($S$551=0,0,IF(OR(DATE($C562,3,15)&lt;$S$551,AND($T$551&gt;0,DATE($C562,3,15)&gt;$T$551)),0,IF(DATE($C562,3,15)&gt;=$X$551,$AA$551*(1+($U$551)/100)^MAX(0,$C562-$AD$551),IF(DATE($C562,3,15)&gt;=$W$551,$Z$551*(1+($U$551)/100)^MAX(0,$C562-$AC$551),IF(DATE($C562,3,15)&gt;=$V$551,$Y$551*(1+($U$551)/100)^MAX(0,$C562-$AB$551),0)))))</f>
      </c>
      <c r="H562" s="43">
        <f>IF($S$551=0,0,IF(OR(DATE($C562,4,15)&lt;$S$551,AND($T$551&gt;0,DATE($C562,4,15)&gt;$T$551)),0,IF(DATE($C562,4,15)&gt;=$X$551,$AA$551*(1+($U$551)/100)^MAX(0,$C562-$AD$551),IF(DATE($C562,4,15)&gt;=$W$551,$Z$551*(1+($U$551)/100)^MAX(0,$C562-$AC$551),IF(DATE($C562,4,15)&gt;=$V$551,$Y$551*(1+($U$551)/100)^MAX(0,$C562-$AB$551),0)))))</f>
      </c>
      <c r="I562" s="43">
        <f>IF($S$551=0,0,IF(OR(DATE($C562,5,15)&lt;$S$551,AND($T$551&gt;0,DATE($C562,5,15)&gt;$T$551)),0,IF(DATE($C562,5,15)&gt;=$X$551,$AA$551*(1+($U$551)/100)^MAX(0,$C562-$AD$551),IF(DATE($C562,5,15)&gt;=$W$551,$Z$551*(1+($U$551)/100)^MAX(0,$C562-$AC$551),IF(DATE($C562,5,15)&gt;=$V$551,$Y$551*(1+($U$551)/100)^MAX(0,$C562-$AB$551),0)))))</f>
      </c>
      <c r="J562" s="43">
        <f>IF($S$551=0,0,IF(OR(DATE($C562,6,15)&lt;$S$551,AND($T$551&gt;0,DATE($C562,6,15)&gt;$T$551)),0,IF(DATE($C562,6,15)&gt;=$X$551,$AA$551*(1+($U$551)/100)^MAX(0,$C562-$AD$551),IF(DATE($C562,6,15)&gt;=$W$551,$Z$551*(1+($U$551)/100)^MAX(0,$C562-$AC$551),IF(DATE($C562,6,15)&gt;=$V$551,$Y$551*(1+($U$551)/100)^MAX(0,$C562-$AB$551),0)))))</f>
      </c>
      <c r="K562" s="43">
        <f>IF($S$551=0,0,IF(OR(DATE($C562,7,15)&lt;$S$551,AND($T$551&gt;0,DATE($C562,7,15)&gt;$T$551)),0,IF(DATE($C562,7,15)&gt;=$X$551,$AA$551*(1+($U$551)/100)^MAX(0,$C562-$AD$551),IF(DATE($C562,7,15)&gt;=$W$551,$Z$551*(1+($U$551)/100)^MAX(0,$C562-$AC$551),IF(DATE($C562,7,15)&gt;=$V$551,$Y$551*(1+($U$551)/100)^MAX(0,$C562-$AB$551),0)))))</f>
      </c>
      <c r="L562" s="43">
        <f>IF($S$551=0,0,IF(OR(DATE($C562,8,15)&lt;$S$551,AND($T$551&gt;0,DATE($C562,8,15)&gt;$T$551)),0,IF(DATE($C562,8,15)&gt;=$X$551,$AA$551*(1+($U$551)/100)^MAX(0,$C562-$AD$551),IF(DATE($C562,8,15)&gt;=$W$551,$Z$551*(1+($U$551)/100)^MAX(0,$C562-$AC$551),IF(DATE($C562,8,15)&gt;=$V$551,$Y$551*(1+($U$551)/100)^MAX(0,$C562-$AB$551),0)))))</f>
      </c>
      <c r="M562" s="43">
        <f>IF($S$551=0,0,IF(OR(DATE($C562,9,15)&lt;$S$551,AND($T$551&gt;0,DATE($C562,9,15)&gt;$T$551)),0,IF(DATE($C562,9,15)&gt;=$X$551,$AA$551*(1+($U$551)/100)^MAX(0,$C562-$AD$551),IF(DATE($C562,9,15)&gt;=$W$551,$Z$551*(1+($U$551)/100)^MAX(0,$C562-$AC$551),IF(DATE($C562,9,15)&gt;=$V$551,$Y$551*(1+($U$551)/100)^MAX(0,$C562-$AB$551),0)))))</f>
      </c>
      <c r="N562" s="43">
        <f>IF($S$551=0,0,IF(OR(DATE($C562,10,15)&lt;$S$551,AND($T$551&gt;0,DATE($C562,10,15)&gt;$T$551)),0,IF(DATE($C562,10,15)&gt;=$X$551,$AA$551*(1+($U$551)/100)^MAX(0,$C562-$AD$551),IF(DATE($C562,10,15)&gt;=$W$551,$Z$551*(1+($U$551)/100)^MAX(0,$C562-$AC$551),IF(DATE($C562,10,15)&gt;=$V$551,$Y$551*(1+($U$551)/100)^MAX(0,$C562-$AB$551),0)))))</f>
      </c>
      <c r="O562" s="43">
        <f>IF($S$551=0,0,IF(OR(DATE($C562,11,15)&lt;$S$551,AND($T$551&gt;0,DATE($C562,11,15)&gt;$T$551)),0,IF(DATE($C562,11,15)&gt;=$X$551,$AA$551*(1+($U$551)/100)^MAX(0,$C562-$AD$551),IF(DATE($C562,11,15)&gt;=$W$551,$Z$551*(1+($U$551)/100)^MAX(0,$C562-$AC$551),IF(DATE($C562,11,15)&gt;=$V$551,$Y$551*(1+($U$551)/100)^MAX(0,$C562-$AB$551),0)))))</f>
      </c>
      <c r="P562" s="43">
        <f>IF($S$551=0,0,IF(OR(DATE($C562,12,15)&lt;$S$551,AND($T$551&gt;0,DATE($C562,12,15)&gt;$T$551)),0,IF(DATE($C562,12,15)&gt;=$X$551,$AA$551*(1+($U$551)/100)^MAX(0,$C562-$AD$551),IF(DATE($C562,12,15)&gt;=$W$551,$Z$551*(1+($U$551)/100)^MAX(0,$C562-$AC$551),IF(DATE($C562,12,15)&gt;=$V$551,$Y$551*(1+($U$551)/100)^MAX(0,$C562-$AB$551),0)))))</f>
      </c>
      <c r="Q562" s="43">
        <f>SUM($E562:$P562)</f>
      </c>
    </row>
    <row r="563">
      <c r="A563"/>
      <c r="B563">
        <v>18</v>
      </c>
      <c r="C563" s="43">
        <f>Jahr+12</f>
      </c>
      <c r="D563" s="43">
        <f>INDEX(MvObj,18)</f>
      </c>
      <c r="E563" s="43">
        <f>IF($S$551=0,0,IF(OR(DATE($C563,1,15)&lt;$S$551,AND($T$551&gt;0,DATE($C563,1,15)&gt;$T$551)),0,IF(DATE($C563,1,15)&gt;=$X$551,$AA$551*(1+($U$551)/100)^MAX(0,$C563-$AD$551),IF(DATE($C563,1,15)&gt;=$W$551,$Z$551*(1+($U$551)/100)^MAX(0,$C563-$AC$551),IF(DATE($C563,1,15)&gt;=$V$551,$Y$551*(1+($U$551)/100)^MAX(0,$C563-$AB$551),0)))))</f>
      </c>
      <c r="F563" s="43">
        <f>IF($S$551=0,0,IF(OR(DATE($C563,2,15)&lt;$S$551,AND($T$551&gt;0,DATE($C563,2,15)&gt;$T$551)),0,IF(DATE($C563,2,15)&gt;=$X$551,$AA$551*(1+($U$551)/100)^MAX(0,$C563-$AD$551),IF(DATE($C563,2,15)&gt;=$W$551,$Z$551*(1+($U$551)/100)^MAX(0,$C563-$AC$551),IF(DATE($C563,2,15)&gt;=$V$551,$Y$551*(1+($U$551)/100)^MAX(0,$C563-$AB$551),0)))))</f>
      </c>
      <c r="G563" s="43">
        <f>IF($S$551=0,0,IF(OR(DATE($C563,3,15)&lt;$S$551,AND($T$551&gt;0,DATE($C563,3,15)&gt;$T$551)),0,IF(DATE($C563,3,15)&gt;=$X$551,$AA$551*(1+($U$551)/100)^MAX(0,$C563-$AD$551),IF(DATE($C563,3,15)&gt;=$W$551,$Z$551*(1+($U$551)/100)^MAX(0,$C563-$AC$551),IF(DATE($C563,3,15)&gt;=$V$551,$Y$551*(1+($U$551)/100)^MAX(0,$C563-$AB$551),0)))))</f>
      </c>
      <c r="H563" s="43">
        <f>IF($S$551=0,0,IF(OR(DATE($C563,4,15)&lt;$S$551,AND($T$551&gt;0,DATE($C563,4,15)&gt;$T$551)),0,IF(DATE($C563,4,15)&gt;=$X$551,$AA$551*(1+($U$551)/100)^MAX(0,$C563-$AD$551),IF(DATE($C563,4,15)&gt;=$W$551,$Z$551*(1+($U$551)/100)^MAX(0,$C563-$AC$551),IF(DATE($C563,4,15)&gt;=$V$551,$Y$551*(1+($U$551)/100)^MAX(0,$C563-$AB$551),0)))))</f>
      </c>
      <c r="I563" s="43">
        <f>IF($S$551=0,0,IF(OR(DATE($C563,5,15)&lt;$S$551,AND($T$551&gt;0,DATE($C563,5,15)&gt;$T$551)),0,IF(DATE($C563,5,15)&gt;=$X$551,$AA$551*(1+($U$551)/100)^MAX(0,$C563-$AD$551),IF(DATE($C563,5,15)&gt;=$W$551,$Z$551*(1+($U$551)/100)^MAX(0,$C563-$AC$551),IF(DATE($C563,5,15)&gt;=$V$551,$Y$551*(1+($U$551)/100)^MAX(0,$C563-$AB$551),0)))))</f>
      </c>
      <c r="J563" s="43">
        <f>IF($S$551=0,0,IF(OR(DATE($C563,6,15)&lt;$S$551,AND($T$551&gt;0,DATE($C563,6,15)&gt;$T$551)),0,IF(DATE($C563,6,15)&gt;=$X$551,$AA$551*(1+($U$551)/100)^MAX(0,$C563-$AD$551),IF(DATE($C563,6,15)&gt;=$W$551,$Z$551*(1+($U$551)/100)^MAX(0,$C563-$AC$551),IF(DATE($C563,6,15)&gt;=$V$551,$Y$551*(1+($U$551)/100)^MAX(0,$C563-$AB$551),0)))))</f>
      </c>
      <c r="K563" s="43">
        <f>IF($S$551=0,0,IF(OR(DATE($C563,7,15)&lt;$S$551,AND($T$551&gt;0,DATE($C563,7,15)&gt;$T$551)),0,IF(DATE($C563,7,15)&gt;=$X$551,$AA$551*(1+($U$551)/100)^MAX(0,$C563-$AD$551),IF(DATE($C563,7,15)&gt;=$W$551,$Z$551*(1+($U$551)/100)^MAX(0,$C563-$AC$551),IF(DATE($C563,7,15)&gt;=$V$551,$Y$551*(1+($U$551)/100)^MAX(0,$C563-$AB$551),0)))))</f>
      </c>
      <c r="L563" s="43">
        <f>IF($S$551=0,0,IF(OR(DATE($C563,8,15)&lt;$S$551,AND($T$551&gt;0,DATE($C563,8,15)&gt;$T$551)),0,IF(DATE($C563,8,15)&gt;=$X$551,$AA$551*(1+($U$551)/100)^MAX(0,$C563-$AD$551),IF(DATE($C563,8,15)&gt;=$W$551,$Z$551*(1+($U$551)/100)^MAX(0,$C563-$AC$551),IF(DATE($C563,8,15)&gt;=$V$551,$Y$551*(1+($U$551)/100)^MAX(0,$C563-$AB$551),0)))))</f>
      </c>
      <c r="M563" s="43">
        <f>IF($S$551=0,0,IF(OR(DATE($C563,9,15)&lt;$S$551,AND($T$551&gt;0,DATE($C563,9,15)&gt;$T$551)),0,IF(DATE($C563,9,15)&gt;=$X$551,$AA$551*(1+($U$551)/100)^MAX(0,$C563-$AD$551),IF(DATE($C563,9,15)&gt;=$W$551,$Z$551*(1+($U$551)/100)^MAX(0,$C563-$AC$551),IF(DATE($C563,9,15)&gt;=$V$551,$Y$551*(1+($U$551)/100)^MAX(0,$C563-$AB$551),0)))))</f>
      </c>
      <c r="N563" s="43">
        <f>IF($S$551=0,0,IF(OR(DATE($C563,10,15)&lt;$S$551,AND($T$551&gt;0,DATE($C563,10,15)&gt;$T$551)),0,IF(DATE($C563,10,15)&gt;=$X$551,$AA$551*(1+($U$551)/100)^MAX(0,$C563-$AD$551),IF(DATE($C563,10,15)&gt;=$W$551,$Z$551*(1+($U$551)/100)^MAX(0,$C563-$AC$551),IF(DATE($C563,10,15)&gt;=$V$551,$Y$551*(1+($U$551)/100)^MAX(0,$C563-$AB$551),0)))))</f>
      </c>
      <c r="O563" s="43">
        <f>IF($S$551=0,0,IF(OR(DATE($C563,11,15)&lt;$S$551,AND($T$551&gt;0,DATE($C563,11,15)&gt;$T$551)),0,IF(DATE($C563,11,15)&gt;=$X$551,$AA$551*(1+($U$551)/100)^MAX(0,$C563-$AD$551),IF(DATE($C563,11,15)&gt;=$W$551,$Z$551*(1+($U$551)/100)^MAX(0,$C563-$AC$551),IF(DATE($C563,11,15)&gt;=$V$551,$Y$551*(1+($U$551)/100)^MAX(0,$C563-$AB$551),0)))))</f>
      </c>
      <c r="P563" s="43">
        <f>IF($S$551=0,0,IF(OR(DATE($C563,12,15)&lt;$S$551,AND($T$551&gt;0,DATE($C563,12,15)&gt;$T$551)),0,IF(DATE($C563,12,15)&gt;=$X$551,$AA$551*(1+($U$551)/100)^MAX(0,$C563-$AD$551),IF(DATE($C563,12,15)&gt;=$W$551,$Z$551*(1+($U$551)/100)^MAX(0,$C563-$AC$551),IF(DATE($C563,12,15)&gt;=$V$551,$Y$551*(1+($U$551)/100)^MAX(0,$C563-$AB$551),0)))))</f>
      </c>
      <c r="Q563" s="43">
        <f>SUM($E563:$P563)</f>
      </c>
    </row>
    <row r="564">
      <c r="A564"/>
      <c r="B564">
        <v>18</v>
      </c>
      <c r="C564" s="43">
        <f>Jahr+13</f>
      </c>
      <c r="D564" s="43">
        <f>INDEX(MvObj,18)</f>
      </c>
      <c r="E564" s="43">
        <f>IF($S$551=0,0,IF(OR(DATE($C564,1,15)&lt;$S$551,AND($T$551&gt;0,DATE($C564,1,15)&gt;$T$551)),0,IF(DATE($C564,1,15)&gt;=$X$551,$AA$551*(1+($U$551)/100)^MAX(0,$C564-$AD$551),IF(DATE($C564,1,15)&gt;=$W$551,$Z$551*(1+($U$551)/100)^MAX(0,$C564-$AC$551),IF(DATE($C564,1,15)&gt;=$V$551,$Y$551*(1+($U$551)/100)^MAX(0,$C564-$AB$551),0)))))</f>
      </c>
      <c r="F564" s="43">
        <f>IF($S$551=0,0,IF(OR(DATE($C564,2,15)&lt;$S$551,AND($T$551&gt;0,DATE($C564,2,15)&gt;$T$551)),0,IF(DATE($C564,2,15)&gt;=$X$551,$AA$551*(1+($U$551)/100)^MAX(0,$C564-$AD$551),IF(DATE($C564,2,15)&gt;=$W$551,$Z$551*(1+($U$551)/100)^MAX(0,$C564-$AC$551),IF(DATE($C564,2,15)&gt;=$V$551,$Y$551*(1+($U$551)/100)^MAX(0,$C564-$AB$551),0)))))</f>
      </c>
      <c r="G564" s="43">
        <f>IF($S$551=0,0,IF(OR(DATE($C564,3,15)&lt;$S$551,AND($T$551&gt;0,DATE($C564,3,15)&gt;$T$551)),0,IF(DATE($C564,3,15)&gt;=$X$551,$AA$551*(1+($U$551)/100)^MAX(0,$C564-$AD$551),IF(DATE($C564,3,15)&gt;=$W$551,$Z$551*(1+($U$551)/100)^MAX(0,$C564-$AC$551),IF(DATE($C564,3,15)&gt;=$V$551,$Y$551*(1+($U$551)/100)^MAX(0,$C564-$AB$551),0)))))</f>
      </c>
      <c r="H564" s="43">
        <f>IF($S$551=0,0,IF(OR(DATE($C564,4,15)&lt;$S$551,AND($T$551&gt;0,DATE($C564,4,15)&gt;$T$551)),0,IF(DATE($C564,4,15)&gt;=$X$551,$AA$551*(1+($U$551)/100)^MAX(0,$C564-$AD$551),IF(DATE($C564,4,15)&gt;=$W$551,$Z$551*(1+($U$551)/100)^MAX(0,$C564-$AC$551),IF(DATE($C564,4,15)&gt;=$V$551,$Y$551*(1+($U$551)/100)^MAX(0,$C564-$AB$551),0)))))</f>
      </c>
      <c r="I564" s="43">
        <f>IF($S$551=0,0,IF(OR(DATE($C564,5,15)&lt;$S$551,AND($T$551&gt;0,DATE($C564,5,15)&gt;$T$551)),0,IF(DATE($C564,5,15)&gt;=$X$551,$AA$551*(1+($U$551)/100)^MAX(0,$C564-$AD$551),IF(DATE($C564,5,15)&gt;=$W$551,$Z$551*(1+($U$551)/100)^MAX(0,$C564-$AC$551),IF(DATE($C564,5,15)&gt;=$V$551,$Y$551*(1+($U$551)/100)^MAX(0,$C564-$AB$551),0)))))</f>
      </c>
      <c r="J564" s="43">
        <f>IF($S$551=0,0,IF(OR(DATE($C564,6,15)&lt;$S$551,AND($T$551&gt;0,DATE($C564,6,15)&gt;$T$551)),0,IF(DATE($C564,6,15)&gt;=$X$551,$AA$551*(1+($U$551)/100)^MAX(0,$C564-$AD$551),IF(DATE($C564,6,15)&gt;=$W$551,$Z$551*(1+($U$551)/100)^MAX(0,$C564-$AC$551),IF(DATE($C564,6,15)&gt;=$V$551,$Y$551*(1+($U$551)/100)^MAX(0,$C564-$AB$551),0)))))</f>
      </c>
      <c r="K564" s="43">
        <f>IF($S$551=0,0,IF(OR(DATE($C564,7,15)&lt;$S$551,AND($T$551&gt;0,DATE($C564,7,15)&gt;$T$551)),0,IF(DATE($C564,7,15)&gt;=$X$551,$AA$551*(1+($U$551)/100)^MAX(0,$C564-$AD$551),IF(DATE($C564,7,15)&gt;=$W$551,$Z$551*(1+($U$551)/100)^MAX(0,$C564-$AC$551),IF(DATE($C564,7,15)&gt;=$V$551,$Y$551*(1+($U$551)/100)^MAX(0,$C564-$AB$551),0)))))</f>
      </c>
      <c r="L564" s="43">
        <f>IF($S$551=0,0,IF(OR(DATE($C564,8,15)&lt;$S$551,AND($T$551&gt;0,DATE($C564,8,15)&gt;$T$551)),0,IF(DATE($C564,8,15)&gt;=$X$551,$AA$551*(1+($U$551)/100)^MAX(0,$C564-$AD$551),IF(DATE($C564,8,15)&gt;=$W$551,$Z$551*(1+($U$551)/100)^MAX(0,$C564-$AC$551),IF(DATE($C564,8,15)&gt;=$V$551,$Y$551*(1+($U$551)/100)^MAX(0,$C564-$AB$551),0)))))</f>
      </c>
      <c r="M564" s="43">
        <f>IF($S$551=0,0,IF(OR(DATE($C564,9,15)&lt;$S$551,AND($T$551&gt;0,DATE($C564,9,15)&gt;$T$551)),0,IF(DATE($C564,9,15)&gt;=$X$551,$AA$551*(1+($U$551)/100)^MAX(0,$C564-$AD$551),IF(DATE($C564,9,15)&gt;=$W$551,$Z$551*(1+($U$551)/100)^MAX(0,$C564-$AC$551),IF(DATE($C564,9,15)&gt;=$V$551,$Y$551*(1+($U$551)/100)^MAX(0,$C564-$AB$551),0)))))</f>
      </c>
      <c r="N564" s="43">
        <f>IF($S$551=0,0,IF(OR(DATE($C564,10,15)&lt;$S$551,AND($T$551&gt;0,DATE($C564,10,15)&gt;$T$551)),0,IF(DATE($C564,10,15)&gt;=$X$551,$AA$551*(1+($U$551)/100)^MAX(0,$C564-$AD$551),IF(DATE($C564,10,15)&gt;=$W$551,$Z$551*(1+($U$551)/100)^MAX(0,$C564-$AC$551),IF(DATE($C564,10,15)&gt;=$V$551,$Y$551*(1+($U$551)/100)^MAX(0,$C564-$AB$551),0)))))</f>
      </c>
      <c r="O564" s="43">
        <f>IF($S$551=0,0,IF(OR(DATE($C564,11,15)&lt;$S$551,AND($T$551&gt;0,DATE($C564,11,15)&gt;$T$551)),0,IF(DATE($C564,11,15)&gt;=$X$551,$AA$551*(1+($U$551)/100)^MAX(0,$C564-$AD$551),IF(DATE($C564,11,15)&gt;=$W$551,$Z$551*(1+($U$551)/100)^MAX(0,$C564-$AC$551),IF(DATE($C564,11,15)&gt;=$V$551,$Y$551*(1+($U$551)/100)^MAX(0,$C564-$AB$551),0)))))</f>
      </c>
      <c r="P564" s="43">
        <f>IF($S$551=0,0,IF(OR(DATE($C564,12,15)&lt;$S$551,AND($T$551&gt;0,DATE($C564,12,15)&gt;$T$551)),0,IF(DATE($C564,12,15)&gt;=$X$551,$AA$551*(1+($U$551)/100)^MAX(0,$C564-$AD$551),IF(DATE($C564,12,15)&gt;=$W$551,$Z$551*(1+($U$551)/100)^MAX(0,$C564-$AC$551),IF(DATE($C564,12,15)&gt;=$V$551,$Y$551*(1+($U$551)/100)^MAX(0,$C564-$AB$551),0)))))</f>
      </c>
      <c r="Q564" s="43">
        <f>SUM($E564:$P564)</f>
      </c>
    </row>
    <row r="565">
      <c r="A565"/>
      <c r="B565">
        <v>18</v>
      </c>
      <c r="C565" s="43">
        <f>Jahr+14</f>
      </c>
      <c r="D565" s="43">
        <f>INDEX(MvObj,18)</f>
      </c>
      <c r="E565" s="43">
        <f>IF($S$551=0,0,IF(OR(DATE($C565,1,15)&lt;$S$551,AND($T$551&gt;0,DATE($C565,1,15)&gt;$T$551)),0,IF(DATE($C565,1,15)&gt;=$X$551,$AA$551*(1+($U$551)/100)^MAX(0,$C565-$AD$551),IF(DATE($C565,1,15)&gt;=$W$551,$Z$551*(1+($U$551)/100)^MAX(0,$C565-$AC$551),IF(DATE($C565,1,15)&gt;=$V$551,$Y$551*(1+($U$551)/100)^MAX(0,$C565-$AB$551),0)))))</f>
      </c>
      <c r="F565" s="43">
        <f>IF($S$551=0,0,IF(OR(DATE($C565,2,15)&lt;$S$551,AND($T$551&gt;0,DATE($C565,2,15)&gt;$T$551)),0,IF(DATE($C565,2,15)&gt;=$X$551,$AA$551*(1+($U$551)/100)^MAX(0,$C565-$AD$551),IF(DATE($C565,2,15)&gt;=$W$551,$Z$551*(1+($U$551)/100)^MAX(0,$C565-$AC$551),IF(DATE($C565,2,15)&gt;=$V$551,$Y$551*(1+($U$551)/100)^MAX(0,$C565-$AB$551),0)))))</f>
      </c>
      <c r="G565" s="43">
        <f>IF($S$551=0,0,IF(OR(DATE($C565,3,15)&lt;$S$551,AND($T$551&gt;0,DATE($C565,3,15)&gt;$T$551)),0,IF(DATE($C565,3,15)&gt;=$X$551,$AA$551*(1+($U$551)/100)^MAX(0,$C565-$AD$551),IF(DATE($C565,3,15)&gt;=$W$551,$Z$551*(1+($U$551)/100)^MAX(0,$C565-$AC$551),IF(DATE($C565,3,15)&gt;=$V$551,$Y$551*(1+($U$551)/100)^MAX(0,$C565-$AB$551),0)))))</f>
      </c>
      <c r="H565" s="43">
        <f>IF($S$551=0,0,IF(OR(DATE($C565,4,15)&lt;$S$551,AND($T$551&gt;0,DATE($C565,4,15)&gt;$T$551)),0,IF(DATE($C565,4,15)&gt;=$X$551,$AA$551*(1+($U$551)/100)^MAX(0,$C565-$AD$551),IF(DATE($C565,4,15)&gt;=$W$551,$Z$551*(1+($U$551)/100)^MAX(0,$C565-$AC$551),IF(DATE($C565,4,15)&gt;=$V$551,$Y$551*(1+($U$551)/100)^MAX(0,$C565-$AB$551),0)))))</f>
      </c>
      <c r="I565" s="43">
        <f>IF($S$551=0,0,IF(OR(DATE($C565,5,15)&lt;$S$551,AND($T$551&gt;0,DATE($C565,5,15)&gt;$T$551)),0,IF(DATE($C565,5,15)&gt;=$X$551,$AA$551*(1+($U$551)/100)^MAX(0,$C565-$AD$551),IF(DATE($C565,5,15)&gt;=$W$551,$Z$551*(1+($U$551)/100)^MAX(0,$C565-$AC$551),IF(DATE($C565,5,15)&gt;=$V$551,$Y$551*(1+($U$551)/100)^MAX(0,$C565-$AB$551),0)))))</f>
      </c>
      <c r="J565" s="43">
        <f>IF($S$551=0,0,IF(OR(DATE($C565,6,15)&lt;$S$551,AND($T$551&gt;0,DATE($C565,6,15)&gt;$T$551)),0,IF(DATE($C565,6,15)&gt;=$X$551,$AA$551*(1+($U$551)/100)^MAX(0,$C565-$AD$551),IF(DATE($C565,6,15)&gt;=$W$551,$Z$551*(1+($U$551)/100)^MAX(0,$C565-$AC$551),IF(DATE($C565,6,15)&gt;=$V$551,$Y$551*(1+($U$551)/100)^MAX(0,$C565-$AB$551),0)))))</f>
      </c>
      <c r="K565" s="43">
        <f>IF($S$551=0,0,IF(OR(DATE($C565,7,15)&lt;$S$551,AND($T$551&gt;0,DATE($C565,7,15)&gt;$T$551)),0,IF(DATE($C565,7,15)&gt;=$X$551,$AA$551*(1+($U$551)/100)^MAX(0,$C565-$AD$551),IF(DATE($C565,7,15)&gt;=$W$551,$Z$551*(1+($U$551)/100)^MAX(0,$C565-$AC$551),IF(DATE($C565,7,15)&gt;=$V$551,$Y$551*(1+($U$551)/100)^MAX(0,$C565-$AB$551),0)))))</f>
      </c>
      <c r="L565" s="43">
        <f>IF($S$551=0,0,IF(OR(DATE($C565,8,15)&lt;$S$551,AND($T$551&gt;0,DATE($C565,8,15)&gt;$T$551)),0,IF(DATE($C565,8,15)&gt;=$X$551,$AA$551*(1+($U$551)/100)^MAX(0,$C565-$AD$551),IF(DATE($C565,8,15)&gt;=$W$551,$Z$551*(1+($U$551)/100)^MAX(0,$C565-$AC$551),IF(DATE($C565,8,15)&gt;=$V$551,$Y$551*(1+($U$551)/100)^MAX(0,$C565-$AB$551),0)))))</f>
      </c>
      <c r="M565" s="43">
        <f>IF($S$551=0,0,IF(OR(DATE($C565,9,15)&lt;$S$551,AND($T$551&gt;0,DATE($C565,9,15)&gt;$T$551)),0,IF(DATE($C565,9,15)&gt;=$X$551,$AA$551*(1+($U$551)/100)^MAX(0,$C565-$AD$551),IF(DATE($C565,9,15)&gt;=$W$551,$Z$551*(1+($U$551)/100)^MAX(0,$C565-$AC$551),IF(DATE($C565,9,15)&gt;=$V$551,$Y$551*(1+($U$551)/100)^MAX(0,$C565-$AB$551),0)))))</f>
      </c>
      <c r="N565" s="43">
        <f>IF($S$551=0,0,IF(OR(DATE($C565,10,15)&lt;$S$551,AND($T$551&gt;0,DATE($C565,10,15)&gt;$T$551)),0,IF(DATE($C565,10,15)&gt;=$X$551,$AA$551*(1+($U$551)/100)^MAX(0,$C565-$AD$551),IF(DATE($C565,10,15)&gt;=$W$551,$Z$551*(1+($U$551)/100)^MAX(0,$C565-$AC$551),IF(DATE($C565,10,15)&gt;=$V$551,$Y$551*(1+($U$551)/100)^MAX(0,$C565-$AB$551),0)))))</f>
      </c>
      <c r="O565" s="43">
        <f>IF($S$551=0,0,IF(OR(DATE($C565,11,15)&lt;$S$551,AND($T$551&gt;0,DATE($C565,11,15)&gt;$T$551)),0,IF(DATE($C565,11,15)&gt;=$X$551,$AA$551*(1+($U$551)/100)^MAX(0,$C565-$AD$551),IF(DATE($C565,11,15)&gt;=$W$551,$Z$551*(1+($U$551)/100)^MAX(0,$C565-$AC$551),IF(DATE($C565,11,15)&gt;=$V$551,$Y$551*(1+($U$551)/100)^MAX(0,$C565-$AB$551),0)))))</f>
      </c>
      <c r="P565" s="43">
        <f>IF($S$551=0,0,IF(OR(DATE($C565,12,15)&lt;$S$551,AND($T$551&gt;0,DATE($C565,12,15)&gt;$T$551)),0,IF(DATE($C565,12,15)&gt;=$X$551,$AA$551*(1+($U$551)/100)^MAX(0,$C565-$AD$551),IF(DATE($C565,12,15)&gt;=$W$551,$Z$551*(1+($U$551)/100)^MAX(0,$C565-$AC$551),IF(DATE($C565,12,15)&gt;=$V$551,$Y$551*(1+($U$551)/100)^MAX(0,$C565-$AB$551),0)))))</f>
      </c>
      <c r="Q565" s="43">
        <f>SUM($E565:$P565)</f>
      </c>
    </row>
    <row r="566">
      <c r="A566"/>
      <c r="B566">
        <v>18</v>
      </c>
      <c r="C566" s="43">
        <f>Jahr+15</f>
      </c>
      <c r="D566" s="43">
        <f>INDEX(MvObj,18)</f>
      </c>
      <c r="E566" s="43">
        <f>IF($S$551=0,0,IF(OR(DATE($C566,1,15)&lt;$S$551,AND($T$551&gt;0,DATE($C566,1,15)&gt;$T$551)),0,IF(DATE($C566,1,15)&gt;=$X$551,$AA$551*(1+($U$551)/100)^MAX(0,$C566-$AD$551),IF(DATE($C566,1,15)&gt;=$W$551,$Z$551*(1+($U$551)/100)^MAX(0,$C566-$AC$551),IF(DATE($C566,1,15)&gt;=$V$551,$Y$551*(1+($U$551)/100)^MAX(0,$C566-$AB$551),0)))))</f>
      </c>
      <c r="F566" s="43">
        <f>IF($S$551=0,0,IF(OR(DATE($C566,2,15)&lt;$S$551,AND($T$551&gt;0,DATE($C566,2,15)&gt;$T$551)),0,IF(DATE($C566,2,15)&gt;=$X$551,$AA$551*(1+($U$551)/100)^MAX(0,$C566-$AD$551),IF(DATE($C566,2,15)&gt;=$W$551,$Z$551*(1+($U$551)/100)^MAX(0,$C566-$AC$551),IF(DATE($C566,2,15)&gt;=$V$551,$Y$551*(1+($U$551)/100)^MAX(0,$C566-$AB$551),0)))))</f>
      </c>
      <c r="G566" s="43">
        <f>IF($S$551=0,0,IF(OR(DATE($C566,3,15)&lt;$S$551,AND($T$551&gt;0,DATE($C566,3,15)&gt;$T$551)),0,IF(DATE($C566,3,15)&gt;=$X$551,$AA$551*(1+($U$551)/100)^MAX(0,$C566-$AD$551),IF(DATE($C566,3,15)&gt;=$W$551,$Z$551*(1+($U$551)/100)^MAX(0,$C566-$AC$551),IF(DATE($C566,3,15)&gt;=$V$551,$Y$551*(1+($U$551)/100)^MAX(0,$C566-$AB$551),0)))))</f>
      </c>
      <c r="H566" s="43">
        <f>IF($S$551=0,0,IF(OR(DATE($C566,4,15)&lt;$S$551,AND($T$551&gt;0,DATE($C566,4,15)&gt;$T$551)),0,IF(DATE($C566,4,15)&gt;=$X$551,$AA$551*(1+($U$551)/100)^MAX(0,$C566-$AD$551),IF(DATE($C566,4,15)&gt;=$W$551,$Z$551*(1+($U$551)/100)^MAX(0,$C566-$AC$551),IF(DATE($C566,4,15)&gt;=$V$551,$Y$551*(1+($U$551)/100)^MAX(0,$C566-$AB$551),0)))))</f>
      </c>
      <c r="I566" s="43">
        <f>IF($S$551=0,0,IF(OR(DATE($C566,5,15)&lt;$S$551,AND($T$551&gt;0,DATE($C566,5,15)&gt;$T$551)),0,IF(DATE($C566,5,15)&gt;=$X$551,$AA$551*(1+($U$551)/100)^MAX(0,$C566-$AD$551),IF(DATE($C566,5,15)&gt;=$W$551,$Z$551*(1+($U$551)/100)^MAX(0,$C566-$AC$551),IF(DATE($C566,5,15)&gt;=$V$551,$Y$551*(1+($U$551)/100)^MAX(0,$C566-$AB$551),0)))))</f>
      </c>
      <c r="J566" s="43">
        <f>IF($S$551=0,0,IF(OR(DATE($C566,6,15)&lt;$S$551,AND($T$551&gt;0,DATE($C566,6,15)&gt;$T$551)),0,IF(DATE($C566,6,15)&gt;=$X$551,$AA$551*(1+($U$551)/100)^MAX(0,$C566-$AD$551),IF(DATE($C566,6,15)&gt;=$W$551,$Z$551*(1+($U$551)/100)^MAX(0,$C566-$AC$551),IF(DATE($C566,6,15)&gt;=$V$551,$Y$551*(1+($U$551)/100)^MAX(0,$C566-$AB$551),0)))))</f>
      </c>
      <c r="K566" s="43">
        <f>IF($S$551=0,0,IF(OR(DATE($C566,7,15)&lt;$S$551,AND($T$551&gt;0,DATE($C566,7,15)&gt;$T$551)),0,IF(DATE($C566,7,15)&gt;=$X$551,$AA$551*(1+($U$551)/100)^MAX(0,$C566-$AD$551),IF(DATE($C566,7,15)&gt;=$W$551,$Z$551*(1+($U$551)/100)^MAX(0,$C566-$AC$551),IF(DATE($C566,7,15)&gt;=$V$551,$Y$551*(1+($U$551)/100)^MAX(0,$C566-$AB$551),0)))))</f>
      </c>
      <c r="L566" s="43">
        <f>IF($S$551=0,0,IF(OR(DATE($C566,8,15)&lt;$S$551,AND($T$551&gt;0,DATE($C566,8,15)&gt;$T$551)),0,IF(DATE($C566,8,15)&gt;=$X$551,$AA$551*(1+($U$551)/100)^MAX(0,$C566-$AD$551),IF(DATE($C566,8,15)&gt;=$W$551,$Z$551*(1+($U$551)/100)^MAX(0,$C566-$AC$551),IF(DATE($C566,8,15)&gt;=$V$551,$Y$551*(1+($U$551)/100)^MAX(0,$C566-$AB$551),0)))))</f>
      </c>
      <c r="M566" s="43">
        <f>IF($S$551=0,0,IF(OR(DATE($C566,9,15)&lt;$S$551,AND($T$551&gt;0,DATE($C566,9,15)&gt;$T$551)),0,IF(DATE($C566,9,15)&gt;=$X$551,$AA$551*(1+($U$551)/100)^MAX(0,$C566-$AD$551),IF(DATE($C566,9,15)&gt;=$W$551,$Z$551*(1+($U$551)/100)^MAX(0,$C566-$AC$551),IF(DATE($C566,9,15)&gt;=$V$551,$Y$551*(1+($U$551)/100)^MAX(0,$C566-$AB$551),0)))))</f>
      </c>
      <c r="N566" s="43">
        <f>IF($S$551=0,0,IF(OR(DATE($C566,10,15)&lt;$S$551,AND($T$551&gt;0,DATE($C566,10,15)&gt;$T$551)),0,IF(DATE($C566,10,15)&gt;=$X$551,$AA$551*(1+($U$551)/100)^MAX(0,$C566-$AD$551),IF(DATE($C566,10,15)&gt;=$W$551,$Z$551*(1+($U$551)/100)^MAX(0,$C566-$AC$551),IF(DATE($C566,10,15)&gt;=$V$551,$Y$551*(1+($U$551)/100)^MAX(0,$C566-$AB$551),0)))))</f>
      </c>
      <c r="O566" s="43">
        <f>IF($S$551=0,0,IF(OR(DATE($C566,11,15)&lt;$S$551,AND($T$551&gt;0,DATE($C566,11,15)&gt;$T$551)),0,IF(DATE($C566,11,15)&gt;=$X$551,$AA$551*(1+($U$551)/100)^MAX(0,$C566-$AD$551),IF(DATE($C566,11,15)&gt;=$W$551,$Z$551*(1+($U$551)/100)^MAX(0,$C566-$AC$551),IF(DATE($C566,11,15)&gt;=$V$551,$Y$551*(1+($U$551)/100)^MAX(0,$C566-$AB$551),0)))))</f>
      </c>
      <c r="P566" s="43">
        <f>IF($S$551=0,0,IF(OR(DATE($C566,12,15)&lt;$S$551,AND($T$551&gt;0,DATE($C566,12,15)&gt;$T$551)),0,IF(DATE($C566,12,15)&gt;=$X$551,$AA$551*(1+($U$551)/100)^MAX(0,$C566-$AD$551),IF(DATE($C566,12,15)&gt;=$W$551,$Z$551*(1+($U$551)/100)^MAX(0,$C566-$AC$551),IF(DATE($C566,12,15)&gt;=$V$551,$Y$551*(1+($U$551)/100)^MAX(0,$C566-$AB$551),0)))))</f>
      </c>
      <c r="Q566" s="43">
        <f>SUM($E566:$P566)</f>
      </c>
    </row>
    <row r="567">
      <c r="A567"/>
      <c r="B567">
        <v>18</v>
      </c>
      <c r="C567" s="43">
        <f>Jahr+16</f>
      </c>
      <c r="D567" s="43">
        <f>INDEX(MvObj,18)</f>
      </c>
      <c r="E567" s="43">
        <f>IF($S$551=0,0,IF(OR(DATE($C567,1,15)&lt;$S$551,AND($T$551&gt;0,DATE($C567,1,15)&gt;$T$551)),0,IF(DATE($C567,1,15)&gt;=$X$551,$AA$551*(1+($U$551)/100)^MAX(0,$C567-$AD$551),IF(DATE($C567,1,15)&gt;=$W$551,$Z$551*(1+($U$551)/100)^MAX(0,$C567-$AC$551),IF(DATE($C567,1,15)&gt;=$V$551,$Y$551*(1+($U$551)/100)^MAX(0,$C567-$AB$551),0)))))</f>
      </c>
      <c r="F567" s="43">
        <f>IF($S$551=0,0,IF(OR(DATE($C567,2,15)&lt;$S$551,AND($T$551&gt;0,DATE($C567,2,15)&gt;$T$551)),0,IF(DATE($C567,2,15)&gt;=$X$551,$AA$551*(1+($U$551)/100)^MAX(0,$C567-$AD$551),IF(DATE($C567,2,15)&gt;=$W$551,$Z$551*(1+($U$551)/100)^MAX(0,$C567-$AC$551),IF(DATE($C567,2,15)&gt;=$V$551,$Y$551*(1+($U$551)/100)^MAX(0,$C567-$AB$551),0)))))</f>
      </c>
      <c r="G567" s="43">
        <f>IF($S$551=0,0,IF(OR(DATE($C567,3,15)&lt;$S$551,AND($T$551&gt;0,DATE($C567,3,15)&gt;$T$551)),0,IF(DATE($C567,3,15)&gt;=$X$551,$AA$551*(1+($U$551)/100)^MAX(0,$C567-$AD$551),IF(DATE($C567,3,15)&gt;=$W$551,$Z$551*(1+($U$551)/100)^MAX(0,$C567-$AC$551),IF(DATE($C567,3,15)&gt;=$V$551,$Y$551*(1+($U$551)/100)^MAX(0,$C567-$AB$551),0)))))</f>
      </c>
      <c r="H567" s="43">
        <f>IF($S$551=0,0,IF(OR(DATE($C567,4,15)&lt;$S$551,AND($T$551&gt;0,DATE($C567,4,15)&gt;$T$551)),0,IF(DATE($C567,4,15)&gt;=$X$551,$AA$551*(1+($U$551)/100)^MAX(0,$C567-$AD$551),IF(DATE($C567,4,15)&gt;=$W$551,$Z$551*(1+($U$551)/100)^MAX(0,$C567-$AC$551),IF(DATE($C567,4,15)&gt;=$V$551,$Y$551*(1+($U$551)/100)^MAX(0,$C567-$AB$551),0)))))</f>
      </c>
      <c r="I567" s="43">
        <f>IF($S$551=0,0,IF(OR(DATE($C567,5,15)&lt;$S$551,AND($T$551&gt;0,DATE($C567,5,15)&gt;$T$551)),0,IF(DATE($C567,5,15)&gt;=$X$551,$AA$551*(1+($U$551)/100)^MAX(0,$C567-$AD$551),IF(DATE($C567,5,15)&gt;=$W$551,$Z$551*(1+($U$551)/100)^MAX(0,$C567-$AC$551),IF(DATE($C567,5,15)&gt;=$V$551,$Y$551*(1+($U$551)/100)^MAX(0,$C567-$AB$551),0)))))</f>
      </c>
      <c r="J567" s="43">
        <f>IF($S$551=0,0,IF(OR(DATE($C567,6,15)&lt;$S$551,AND($T$551&gt;0,DATE($C567,6,15)&gt;$T$551)),0,IF(DATE($C567,6,15)&gt;=$X$551,$AA$551*(1+($U$551)/100)^MAX(0,$C567-$AD$551),IF(DATE($C567,6,15)&gt;=$W$551,$Z$551*(1+($U$551)/100)^MAX(0,$C567-$AC$551),IF(DATE($C567,6,15)&gt;=$V$551,$Y$551*(1+($U$551)/100)^MAX(0,$C567-$AB$551),0)))))</f>
      </c>
      <c r="K567" s="43">
        <f>IF($S$551=0,0,IF(OR(DATE($C567,7,15)&lt;$S$551,AND($T$551&gt;0,DATE($C567,7,15)&gt;$T$551)),0,IF(DATE($C567,7,15)&gt;=$X$551,$AA$551*(1+($U$551)/100)^MAX(0,$C567-$AD$551),IF(DATE($C567,7,15)&gt;=$W$551,$Z$551*(1+($U$551)/100)^MAX(0,$C567-$AC$551),IF(DATE($C567,7,15)&gt;=$V$551,$Y$551*(1+($U$551)/100)^MAX(0,$C567-$AB$551),0)))))</f>
      </c>
      <c r="L567" s="43">
        <f>IF($S$551=0,0,IF(OR(DATE($C567,8,15)&lt;$S$551,AND($T$551&gt;0,DATE($C567,8,15)&gt;$T$551)),0,IF(DATE($C567,8,15)&gt;=$X$551,$AA$551*(1+($U$551)/100)^MAX(0,$C567-$AD$551),IF(DATE($C567,8,15)&gt;=$W$551,$Z$551*(1+($U$551)/100)^MAX(0,$C567-$AC$551),IF(DATE($C567,8,15)&gt;=$V$551,$Y$551*(1+($U$551)/100)^MAX(0,$C567-$AB$551),0)))))</f>
      </c>
      <c r="M567" s="43">
        <f>IF($S$551=0,0,IF(OR(DATE($C567,9,15)&lt;$S$551,AND($T$551&gt;0,DATE($C567,9,15)&gt;$T$551)),0,IF(DATE($C567,9,15)&gt;=$X$551,$AA$551*(1+($U$551)/100)^MAX(0,$C567-$AD$551),IF(DATE($C567,9,15)&gt;=$W$551,$Z$551*(1+($U$551)/100)^MAX(0,$C567-$AC$551),IF(DATE($C567,9,15)&gt;=$V$551,$Y$551*(1+($U$551)/100)^MAX(0,$C567-$AB$551),0)))))</f>
      </c>
      <c r="N567" s="43">
        <f>IF($S$551=0,0,IF(OR(DATE($C567,10,15)&lt;$S$551,AND($T$551&gt;0,DATE($C567,10,15)&gt;$T$551)),0,IF(DATE($C567,10,15)&gt;=$X$551,$AA$551*(1+($U$551)/100)^MAX(0,$C567-$AD$551),IF(DATE($C567,10,15)&gt;=$W$551,$Z$551*(1+($U$551)/100)^MAX(0,$C567-$AC$551),IF(DATE($C567,10,15)&gt;=$V$551,$Y$551*(1+($U$551)/100)^MAX(0,$C567-$AB$551),0)))))</f>
      </c>
      <c r="O567" s="43">
        <f>IF($S$551=0,0,IF(OR(DATE($C567,11,15)&lt;$S$551,AND($T$551&gt;0,DATE($C567,11,15)&gt;$T$551)),0,IF(DATE($C567,11,15)&gt;=$X$551,$AA$551*(1+($U$551)/100)^MAX(0,$C567-$AD$551),IF(DATE($C567,11,15)&gt;=$W$551,$Z$551*(1+($U$551)/100)^MAX(0,$C567-$AC$551),IF(DATE($C567,11,15)&gt;=$V$551,$Y$551*(1+($U$551)/100)^MAX(0,$C567-$AB$551),0)))))</f>
      </c>
      <c r="P567" s="43">
        <f>IF($S$551=0,0,IF(OR(DATE($C567,12,15)&lt;$S$551,AND($T$551&gt;0,DATE($C567,12,15)&gt;$T$551)),0,IF(DATE($C567,12,15)&gt;=$X$551,$AA$551*(1+($U$551)/100)^MAX(0,$C567-$AD$551),IF(DATE($C567,12,15)&gt;=$W$551,$Z$551*(1+($U$551)/100)^MAX(0,$C567-$AC$551),IF(DATE($C567,12,15)&gt;=$V$551,$Y$551*(1+($U$551)/100)^MAX(0,$C567-$AB$551),0)))))</f>
      </c>
      <c r="Q567" s="43">
        <f>SUM($E567:$P567)</f>
      </c>
    </row>
    <row r="568">
      <c r="A568"/>
      <c r="B568">
        <v>18</v>
      </c>
      <c r="C568" s="43">
        <f>Jahr+17</f>
      </c>
      <c r="D568" s="43">
        <f>INDEX(MvObj,18)</f>
      </c>
      <c r="E568" s="43">
        <f>IF($S$551=0,0,IF(OR(DATE($C568,1,15)&lt;$S$551,AND($T$551&gt;0,DATE($C568,1,15)&gt;$T$551)),0,IF(DATE($C568,1,15)&gt;=$X$551,$AA$551*(1+($U$551)/100)^MAX(0,$C568-$AD$551),IF(DATE($C568,1,15)&gt;=$W$551,$Z$551*(1+($U$551)/100)^MAX(0,$C568-$AC$551),IF(DATE($C568,1,15)&gt;=$V$551,$Y$551*(1+($U$551)/100)^MAX(0,$C568-$AB$551),0)))))</f>
      </c>
      <c r="F568" s="43">
        <f>IF($S$551=0,0,IF(OR(DATE($C568,2,15)&lt;$S$551,AND($T$551&gt;0,DATE($C568,2,15)&gt;$T$551)),0,IF(DATE($C568,2,15)&gt;=$X$551,$AA$551*(1+($U$551)/100)^MAX(0,$C568-$AD$551),IF(DATE($C568,2,15)&gt;=$W$551,$Z$551*(1+($U$551)/100)^MAX(0,$C568-$AC$551),IF(DATE($C568,2,15)&gt;=$V$551,$Y$551*(1+($U$551)/100)^MAX(0,$C568-$AB$551),0)))))</f>
      </c>
      <c r="G568" s="43">
        <f>IF($S$551=0,0,IF(OR(DATE($C568,3,15)&lt;$S$551,AND($T$551&gt;0,DATE($C568,3,15)&gt;$T$551)),0,IF(DATE($C568,3,15)&gt;=$X$551,$AA$551*(1+($U$551)/100)^MAX(0,$C568-$AD$551),IF(DATE($C568,3,15)&gt;=$W$551,$Z$551*(1+($U$551)/100)^MAX(0,$C568-$AC$551),IF(DATE($C568,3,15)&gt;=$V$551,$Y$551*(1+($U$551)/100)^MAX(0,$C568-$AB$551),0)))))</f>
      </c>
      <c r="H568" s="43">
        <f>IF($S$551=0,0,IF(OR(DATE($C568,4,15)&lt;$S$551,AND($T$551&gt;0,DATE($C568,4,15)&gt;$T$551)),0,IF(DATE($C568,4,15)&gt;=$X$551,$AA$551*(1+($U$551)/100)^MAX(0,$C568-$AD$551),IF(DATE($C568,4,15)&gt;=$W$551,$Z$551*(1+($U$551)/100)^MAX(0,$C568-$AC$551),IF(DATE($C568,4,15)&gt;=$V$551,$Y$551*(1+($U$551)/100)^MAX(0,$C568-$AB$551),0)))))</f>
      </c>
      <c r="I568" s="43">
        <f>IF($S$551=0,0,IF(OR(DATE($C568,5,15)&lt;$S$551,AND($T$551&gt;0,DATE($C568,5,15)&gt;$T$551)),0,IF(DATE($C568,5,15)&gt;=$X$551,$AA$551*(1+($U$551)/100)^MAX(0,$C568-$AD$551),IF(DATE($C568,5,15)&gt;=$W$551,$Z$551*(1+($U$551)/100)^MAX(0,$C568-$AC$551),IF(DATE($C568,5,15)&gt;=$V$551,$Y$551*(1+($U$551)/100)^MAX(0,$C568-$AB$551),0)))))</f>
      </c>
      <c r="J568" s="43">
        <f>IF($S$551=0,0,IF(OR(DATE($C568,6,15)&lt;$S$551,AND($T$551&gt;0,DATE($C568,6,15)&gt;$T$551)),0,IF(DATE($C568,6,15)&gt;=$X$551,$AA$551*(1+($U$551)/100)^MAX(0,$C568-$AD$551),IF(DATE($C568,6,15)&gt;=$W$551,$Z$551*(1+($U$551)/100)^MAX(0,$C568-$AC$551),IF(DATE($C568,6,15)&gt;=$V$551,$Y$551*(1+($U$551)/100)^MAX(0,$C568-$AB$551),0)))))</f>
      </c>
      <c r="K568" s="43">
        <f>IF($S$551=0,0,IF(OR(DATE($C568,7,15)&lt;$S$551,AND($T$551&gt;0,DATE($C568,7,15)&gt;$T$551)),0,IF(DATE($C568,7,15)&gt;=$X$551,$AA$551*(1+($U$551)/100)^MAX(0,$C568-$AD$551),IF(DATE($C568,7,15)&gt;=$W$551,$Z$551*(1+($U$551)/100)^MAX(0,$C568-$AC$551),IF(DATE($C568,7,15)&gt;=$V$551,$Y$551*(1+($U$551)/100)^MAX(0,$C568-$AB$551),0)))))</f>
      </c>
      <c r="L568" s="43">
        <f>IF($S$551=0,0,IF(OR(DATE($C568,8,15)&lt;$S$551,AND($T$551&gt;0,DATE($C568,8,15)&gt;$T$551)),0,IF(DATE($C568,8,15)&gt;=$X$551,$AA$551*(1+($U$551)/100)^MAX(0,$C568-$AD$551),IF(DATE($C568,8,15)&gt;=$W$551,$Z$551*(1+($U$551)/100)^MAX(0,$C568-$AC$551),IF(DATE($C568,8,15)&gt;=$V$551,$Y$551*(1+($U$551)/100)^MAX(0,$C568-$AB$551),0)))))</f>
      </c>
      <c r="M568" s="43">
        <f>IF($S$551=0,0,IF(OR(DATE($C568,9,15)&lt;$S$551,AND($T$551&gt;0,DATE($C568,9,15)&gt;$T$551)),0,IF(DATE($C568,9,15)&gt;=$X$551,$AA$551*(1+($U$551)/100)^MAX(0,$C568-$AD$551),IF(DATE($C568,9,15)&gt;=$W$551,$Z$551*(1+($U$551)/100)^MAX(0,$C568-$AC$551),IF(DATE($C568,9,15)&gt;=$V$551,$Y$551*(1+($U$551)/100)^MAX(0,$C568-$AB$551),0)))))</f>
      </c>
      <c r="N568" s="43">
        <f>IF($S$551=0,0,IF(OR(DATE($C568,10,15)&lt;$S$551,AND($T$551&gt;0,DATE($C568,10,15)&gt;$T$551)),0,IF(DATE($C568,10,15)&gt;=$X$551,$AA$551*(1+($U$551)/100)^MAX(0,$C568-$AD$551),IF(DATE($C568,10,15)&gt;=$W$551,$Z$551*(1+($U$551)/100)^MAX(0,$C568-$AC$551),IF(DATE($C568,10,15)&gt;=$V$551,$Y$551*(1+($U$551)/100)^MAX(0,$C568-$AB$551),0)))))</f>
      </c>
      <c r="O568" s="43">
        <f>IF($S$551=0,0,IF(OR(DATE($C568,11,15)&lt;$S$551,AND($T$551&gt;0,DATE($C568,11,15)&gt;$T$551)),0,IF(DATE($C568,11,15)&gt;=$X$551,$AA$551*(1+($U$551)/100)^MAX(0,$C568-$AD$551),IF(DATE($C568,11,15)&gt;=$W$551,$Z$551*(1+($U$551)/100)^MAX(0,$C568-$AC$551),IF(DATE($C568,11,15)&gt;=$V$551,$Y$551*(1+($U$551)/100)^MAX(0,$C568-$AB$551),0)))))</f>
      </c>
      <c r="P568" s="43">
        <f>IF($S$551=0,0,IF(OR(DATE($C568,12,15)&lt;$S$551,AND($T$551&gt;0,DATE($C568,12,15)&gt;$T$551)),0,IF(DATE($C568,12,15)&gt;=$X$551,$AA$551*(1+($U$551)/100)^MAX(0,$C568-$AD$551),IF(DATE($C568,12,15)&gt;=$W$551,$Z$551*(1+($U$551)/100)^MAX(0,$C568-$AC$551),IF(DATE($C568,12,15)&gt;=$V$551,$Y$551*(1+($U$551)/100)^MAX(0,$C568-$AB$551),0)))))</f>
      </c>
      <c r="Q568" s="43">
        <f>SUM($E568:$P568)</f>
      </c>
    </row>
    <row r="569">
      <c r="A569"/>
      <c r="B569">
        <v>18</v>
      </c>
      <c r="C569" s="43">
        <f>Jahr+18</f>
      </c>
      <c r="D569" s="43">
        <f>INDEX(MvObj,18)</f>
      </c>
      <c r="E569" s="43">
        <f>IF($S$551=0,0,IF(OR(DATE($C569,1,15)&lt;$S$551,AND($T$551&gt;0,DATE($C569,1,15)&gt;$T$551)),0,IF(DATE($C569,1,15)&gt;=$X$551,$AA$551*(1+($U$551)/100)^MAX(0,$C569-$AD$551),IF(DATE($C569,1,15)&gt;=$W$551,$Z$551*(1+($U$551)/100)^MAX(0,$C569-$AC$551),IF(DATE($C569,1,15)&gt;=$V$551,$Y$551*(1+($U$551)/100)^MAX(0,$C569-$AB$551),0)))))</f>
      </c>
      <c r="F569" s="43">
        <f>IF($S$551=0,0,IF(OR(DATE($C569,2,15)&lt;$S$551,AND($T$551&gt;0,DATE($C569,2,15)&gt;$T$551)),0,IF(DATE($C569,2,15)&gt;=$X$551,$AA$551*(1+($U$551)/100)^MAX(0,$C569-$AD$551),IF(DATE($C569,2,15)&gt;=$W$551,$Z$551*(1+($U$551)/100)^MAX(0,$C569-$AC$551),IF(DATE($C569,2,15)&gt;=$V$551,$Y$551*(1+($U$551)/100)^MAX(0,$C569-$AB$551),0)))))</f>
      </c>
      <c r="G569" s="43">
        <f>IF($S$551=0,0,IF(OR(DATE($C569,3,15)&lt;$S$551,AND($T$551&gt;0,DATE($C569,3,15)&gt;$T$551)),0,IF(DATE($C569,3,15)&gt;=$X$551,$AA$551*(1+($U$551)/100)^MAX(0,$C569-$AD$551),IF(DATE($C569,3,15)&gt;=$W$551,$Z$551*(1+($U$551)/100)^MAX(0,$C569-$AC$551),IF(DATE($C569,3,15)&gt;=$V$551,$Y$551*(1+($U$551)/100)^MAX(0,$C569-$AB$551),0)))))</f>
      </c>
      <c r="H569" s="43">
        <f>IF($S$551=0,0,IF(OR(DATE($C569,4,15)&lt;$S$551,AND($T$551&gt;0,DATE($C569,4,15)&gt;$T$551)),0,IF(DATE($C569,4,15)&gt;=$X$551,$AA$551*(1+($U$551)/100)^MAX(0,$C569-$AD$551),IF(DATE($C569,4,15)&gt;=$W$551,$Z$551*(1+($U$551)/100)^MAX(0,$C569-$AC$551),IF(DATE($C569,4,15)&gt;=$V$551,$Y$551*(1+($U$551)/100)^MAX(0,$C569-$AB$551),0)))))</f>
      </c>
      <c r="I569" s="43">
        <f>IF($S$551=0,0,IF(OR(DATE($C569,5,15)&lt;$S$551,AND($T$551&gt;0,DATE($C569,5,15)&gt;$T$551)),0,IF(DATE($C569,5,15)&gt;=$X$551,$AA$551*(1+($U$551)/100)^MAX(0,$C569-$AD$551),IF(DATE($C569,5,15)&gt;=$W$551,$Z$551*(1+($U$551)/100)^MAX(0,$C569-$AC$551),IF(DATE($C569,5,15)&gt;=$V$551,$Y$551*(1+($U$551)/100)^MAX(0,$C569-$AB$551),0)))))</f>
      </c>
      <c r="J569" s="43">
        <f>IF($S$551=0,0,IF(OR(DATE($C569,6,15)&lt;$S$551,AND($T$551&gt;0,DATE($C569,6,15)&gt;$T$551)),0,IF(DATE($C569,6,15)&gt;=$X$551,$AA$551*(1+($U$551)/100)^MAX(0,$C569-$AD$551),IF(DATE($C569,6,15)&gt;=$W$551,$Z$551*(1+($U$551)/100)^MAX(0,$C569-$AC$551),IF(DATE($C569,6,15)&gt;=$V$551,$Y$551*(1+($U$551)/100)^MAX(0,$C569-$AB$551),0)))))</f>
      </c>
      <c r="K569" s="43">
        <f>IF($S$551=0,0,IF(OR(DATE($C569,7,15)&lt;$S$551,AND($T$551&gt;0,DATE($C569,7,15)&gt;$T$551)),0,IF(DATE($C569,7,15)&gt;=$X$551,$AA$551*(1+($U$551)/100)^MAX(0,$C569-$AD$551),IF(DATE($C569,7,15)&gt;=$W$551,$Z$551*(1+($U$551)/100)^MAX(0,$C569-$AC$551),IF(DATE($C569,7,15)&gt;=$V$551,$Y$551*(1+($U$551)/100)^MAX(0,$C569-$AB$551),0)))))</f>
      </c>
      <c r="L569" s="43">
        <f>IF($S$551=0,0,IF(OR(DATE($C569,8,15)&lt;$S$551,AND($T$551&gt;0,DATE($C569,8,15)&gt;$T$551)),0,IF(DATE($C569,8,15)&gt;=$X$551,$AA$551*(1+($U$551)/100)^MAX(0,$C569-$AD$551),IF(DATE($C569,8,15)&gt;=$W$551,$Z$551*(1+($U$551)/100)^MAX(0,$C569-$AC$551),IF(DATE($C569,8,15)&gt;=$V$551,$Y$551*(1+($U$551)/100)^MAX(0,$C569-$AB$551),0)))))</f>
      </c>
      <c r="M569" s="43">
        <f>IF($S$551=0,0,IF(OR(DATE($C569,9,15)&lt;$S$551,AND($T$551&gt;0,DATE($C569,9,15)&gt;$T$551)),0,IF(DATE($C569,9,15)&gt;=$X$551,$AA$551*(1+($U$551)/100)^MAX(0,$C569-$AD$551),IF(DATE($C569,9,15)&gt;=$W$551,$Z$551*(1+($U$551)/100)^MAX(0,$C569-$AC$551),IF(DATE($C569,9,15)&gt;=$V$551,$Y$551*(1+($U$551)/100)^MAX(0,$C569-$AB$551),0)))))</f>
      </c>
      <c r="N569" s="43">
        <f>IF($S$551=0,0,IF(OR(DATE($C569,10,15)&lt;$S$551,AND($T$551&gt;0,DATE($C569,10,15)&gt;$T$551)),0,IF(DATE($C569,10,15)&gt;=$X$551,$AA$551*(1+($U$551)/100)^MAX(0,$C569-$AD$551),IF(DATE($C569,10,15)&gt;=$W$551,$Z$551*(1+($U$551)/100)^MAX(0,$C569-$AC$551),IF(DATE($C569,10,15)&gt;=$V$551,$Y$551*(1+($U$551)/100)^MAX(0,$C569-$AB$551),0)))))</f>
      </c>
      <c r="O569" s="43">
        <f>IF($S$551=0,0,IF(OR(DATE($C569,11,15)&lt;$S$551,AND($T$551&gt;0,DATE($C569,11,15)&gt;$T$551)),0,IF(DATE($C569,11,15)&gt;=$X$551,$AA$551*(1+($U$551)/100)^MAX(0,$C569-$AD$551),IF(DATE($C569,11,15)&gt;=$W$551,$Z$551*(1+($U$551)/100)^MAX(0,$C569-$AC$551),IF(DATE($C569,11,15)&gt;=$V$551,$Y$551*(1+($U$551)/100)^MAX(0,$C569-$AB$551),0)))))</f>
      </c>
      <c r="P569" s="43">
        <f>IF($S$551=0,0,IF(OR(DATE($C569,12,15)&lt;$S$551,AND($T$551&gt;0,DATE($C569,12,15)&gt;$T$551)),0,IF(DATE($C569,12,15)&gt;=$X$551,$AA$551*(1+($U$551)/100)^MAX(0,$C569-$AD$551),IF(DATE($C569,12,15)&gt;=$W$551,$Z$551*(1+($U$551)/100)^MAX(0,$C569-$AC$551),IF(DATE($C569,12,15)&gt;=$V$551,$Y$551*(1+($U$551)/100)^MAX(0,$C569-$AB$551),0)))))</f>
      </c>
      <c r="Q569" s="43">
        <f>SUM($E569:$P569)</f>
      </c>
    </row>
    <row r="570">
      <c r="A570"/>
      <c r="B570">
        <v>18</v>
      </c>
      <c r="C570" s="43">
        <f>Jahr+19</f>
      </c>
      <c r="D570" s="43">
        <f>INDEX(MvObj,18)</f>
      </c>
      <c r="E570" s="43">
        <f>IF($S$551=0,0,IF(OR(DATE($C570,1,15)&lt;$S$551,AND($T$551&gt;0,DATE($C570,1,15)&gt;$T$551)),0,IF(DATE($C570,1,15)&gt;=$X$551,$AA$551*(1+($U$551)/100)^MAX(0,$C570-$AD$551),IF(DATE($C570,1,15)&gt;=$W$551,$Z$551*(1+($U$551)/100)^MAX(0,$C570-$AC$551),IF(DATE($C570,1,15)&gt;=$V$551,$Y$551*(1+($U$551)/100)^MAX(0,$C570-$AB$551),0)))))</f>
      </c>
      <c r="F570" s="43">
        <f>IF($S$551=0,0,IF(OR(DATE($C570,2,15)&lt;$S$551,AND($T$551&gt;0,DATE($C570,2,15)&gt;$T$551)),0,IF(DATE($C570,2,15)&gt;=$X$551,$AA$551*(1+($U$551)/100)^MAX(0,$C570-$AD$551),IF(DATE($C570,2,15)&gt;=$W$551,$Z$551*(1+($U$551)/100)^MAX(0,$C570-$AC$551),IF(DATE($C570,2,15)&gt;=$V$551,$Y$551*(1+($U$551)/100)^MAX(0,$C570-$AB$551),0)))))</f>
      </c>
      <c r="G570" s="43">
        <f>IF($S$551=0,0,IF(OR(DATE($C570,3,15)&lt;$S$551,AND($T$551&gt;0,DATE($C570,3,15)&gt;$T$551)),0,IF(DATE($C570,3,15)&gt;=$X$551,$AA$551*(1+($U$551)/100)^MAX(0,$C570-$AD$551),IF(DATE($C570,3,15)&gt;=$W$551,$Z$551*(1+($U$551)/100)^MAX(0,$C570-$AC$551),IF(DATE($C570,3,15)&gt;=$V$551,$Y$551*(1+($U$551)/100)^MAX(0,$C570-$AB$551),0)))))</f>
      </c>
      <c r="H570" s="43">
        <f>IF($S$551=0,0,IF(OR(DATE($C570,4,15)&lt;$S$551,AND($T$551&gt;0,DATE($C570,4,15)&gt;$T$551)),0,IF(DATE($C570,4,15)&gt;=$X$551,$AA$551*(1+($U$551)/100)^MAX(0,$C570-$AD$551),IF(DATE($C570,4,15)&gt;=$W$551,$Z$551*(1+($U$551)/100)^MAX(0,$C570-$AC$551),IF(DATE($C570,4,15)&gt;=$V$551,$Y$551*(1+($U$551)/100)^MAX(0,$C570-$AB$551),0)))))</f>
      </c>
      <c r="I570" s="43">
        <f>IF($S$551=0,0,IF(OR(DATE($C570,5,15)&lt;$S$551,AND($T$551&gt;0,DATE($C570,5,15)&gt;$T$551)),0,IF(DATE($C570,5,15)&gt;=$X$551,$AA$551*(1+($U$551)/100)^MAX(0,$C570-$AD$551),IF(DATE($C570,5,15)&gt;=$W$551,$Z$551*(1+($U$551)/100)^MAX(0,$C570-$AC$551),IF(DATE($C570,5,15)&gt;=$V$551,$Y$551*(1+($U$551)/100)^MAX(0,$C570-$AB$551),0)))))</f>
      </c>
      <c r="J570" s="43">
        <f>IF($S$551=0,0,IF(OR(DATE($C570,6,15)&lt;$S$551,AND($T$551&gt;0,DATE($C570,6,15)&gt;$T$551)),0,IF(DATE($C570,6,15)&gt;=$X$551,$AA$551*(1+($U$551)/100)^MAX(0,$C570-$AD$551),IF(DATE($C570,6,15)&gt;=$W$551,$Z$551*(1+($U$551)/100)^MAX(0,$C570-$AC$551),IF(DATE($C570,6,15)&gt;=$V$551,$Y$551*(1+($U$551)/100)^MAX(0,$C570-$AB$551),0)))))</f>
      </c>
      <c r="K570" s="43">
        <f>IF($S$551=0,0,IF(OR(DATE($C570,7,15)&lt;$S$551,AND($T$551&gt;0,DATE($C570,7,15)&gt;$T$551)),0,IF(DATE($C570,7,15)&gt;=$X$551,$AA$551*(1+($U$551)/100)^MAX(0,$C570-$AD$551),IF(DATE($C570,7,15)&gt;=$W$551,$Z$551*(1+($U$551)/100)^MAX(0,$C570-$AC$551),IF(DATE($C570,7,15)&gt;=$V$551,$Y$551*(1+($U$551)/100)^MAX(0,$C570-$AB$551),0)))))</f>
      </c>
      <c r="L570" s="43">
        <f>IF($S$551=0,0,IF(OR(DATE($C570,8,15)&lt;$S$551,AND($T$551&gt;0,DATE($C570,8,15)&gt;$T$551)),0,IF(DATE($C570,8,15)&gt;=$X$551,$AA$551*(1+($U$551)/100)^MAX(0,$C570-$AD$551),IF(DATE($C570,8,15)&gt;=$W$551,$Z$551*(1+($U$551)/100)^MAX(0,$C570-$AC$551),IF(DATE($C570,8,15)&gt;=$V$551,$Y$551*(1+($U$551)/100)^MAX(0,$C570-$AB$551),0)))))</f>
      </c>
      <c r="M570" s="43">
        <f>IF($S$551=0,0,IF(OR(DATE($C570,9,15)&lt;$S$551,AND($T$551&gt;0,DATE($C570,9,15)&gt;$T$551)),0,IF(DATE($C570,9,15)&gt;=$X$551,$AA$551*(1+($U$551)/100)^MAX(0,$C570-$AD$551),IF(DATE($C570,9,15)&gt;=$W$551,$Z$551*(1+($U$551)/100)^MAX(0,$C570-$AC$551),IF(DATE($C570,9,15)&gt;=$V$551,$Y$551*(1+($U$551)/100)^MAX(0,$C570-$AB$551),0)))))</f>
      </c>
      <c r="N570" s="43">
        <f>IF($S$551=0,0,IF(OR(DATE($C570,10,15)&lt;$S$551,AND($T$551&gt;0,DATE($C570,10,15)&gt;$T$551)),0,IF(DATE($C570,10,15)&gt;=$X$551,$AA$551*(1+($U$551)/100)^MAX(0,$C570-$AD$551),IF(DATE($C570,10,15)&gt;=$W$551,$Z$551*(1+($U$551)/100)^MAX(0,$C570-$AC$551),IF(DATE($C570,10,15)&gt;=$V$551,$Y$551*(1+($U$551)/100)^MAX(0,$C570-$AB$551),0)))))</f>
      </c>
      <c r="O570" s="43">
        <f>IF($S$551=0,0,IF(OR(DATE($C570,11,15)&lt;$S$551,AND($T$551&gt;0,DATE($C570,11,15)&gt;$T$551)),0,IF(DATE($C570,11,15)&gt;=$X$551,$AA$551*(1+($U$551)/100)^MAX(0,$C570-$AD$551),IF(DATE($C570,11,15)&gt;=$W$551,$Z$551*(1+($U$551)/100)^MAX(0,$C570-$AC$551),IF(DATE($C570,11,15)&gt;=$V$551,$Y$551*(1+($U$551)/100)^MAX(0,$C570-$AB$551),0)))))</f>
      </c>
      <c r="P570" s="43">
        <f>IF($S$551=0,0,IF(OR(DATE($C570,12,15)&lt;$S$551,AND($T$551&gt;0,DATE($C570,12,15)&gt;$T$551)),0,IF(DATE($C570,12,15)&gt;=$X$551,$AA$551*(1+($U$551)/100)^MAX(0,$C570-$AD$551),IF(DATE($C570,12,15)&gt;=$W$551,$Z$551*(1+($U$551)/100)^MAX(0,$C570-$AC$551),IF(DATE($C570,12,15)&gt;=$V$551,$Y$551*(1+($U$551)/100)^MAX(0,$C570-$AB$551),0)))))</f>
      </c>
      <c r="Q570" s="43">
        <f>SUM($E570:$P570)</f>
      </c>
    </row>
    <row r="571">
      <c r="A571"/>
      <c r="B571">
        <v>18</v>
      </c>
      <c r="C571" s="43">
        <f>Jahr+20</f>
      </c>
      <c r="D571" s="43">
        <f>INDEX(MvObj,18)</f>
      </c>
      <c r="E571" s="43">
        <f>IF($S$551=0,0,IF(OR(DATE($C571,1,15)&lt;$S$551,AND($T$551&gt;0,DATE($C571,1,15)&gt;$T$551)),0,IF(DATE($C571,1,15)&gt;=$X$551,$AA$551*(1+($U$551)/100)^MAX(0,$C571-$AD$551),IF(DATE($C571,1,15)&gt;=$W$551,$Z$551*(1+($U$551)/100)^MAX(0,$C571-$AC$551),IF(DATE($C571,1,15)&gt;=$V$551,$Y$551*(1+($U$551)/100)^MAX(0,$C571-$AB$551),0)))))</f>
      </c>
      <c r="F571" s="43">
        <f>IF($S$551=0,0,IF(OR(DATE($C571,2,15)&lt;$S$551,AND($T$551&gt;0,DATE($C571,2,15)&gt;$T$551)),0,IF(DATE($C571,2,15)&gt;=$X$551,$AA$551*(1+($U$551)/100)^MAX(0,$C571-$AD$551),IF(DATE($C571,2,15)&gt;=$W$551,$Z$551*(1+($U$551)/100)^MAX(0,$C571-$AC$551),IF(DATE($C571,2,15)&gt;=$V$551,$Y$551*(1+($U$551)/100)^MAX(0,$C571-$AB$551),0)))))</f>
      </c>
      <c r="G571" s="43">
        <f>IF($S$551=0,0,IF(OR(DATE($C571,3,15)&lt;$S$551,AND($T$551&gt;0,DATE($C571,3,15)&gt;$T$551)),0,IF(DATE($C571,3,15)&gt;=$X$551,$AA$551*(1+($U$551)/100)^MAX(0,$C571-$AD$551),IF(DATE($C571,3,15)&gt;=$W$551,$Z$551*(1+($U$551)/100)^MAX(0,$C571-$AC$551),IF(DATE($C571,3,15)&gt;=$V$551,$Y$551*(1+($U$551)/100)^MAX(0,$C571-$AB$551),0)))))</f>
      </c>
      <c r="H571" s="43">
        <f>IF($S$551=0,0,IF(OR(DATE($C571,4,15)&lt;$S$551,AND($T$551&gt;0,DATE($C571,4,15)&gt;$T$551)),0,IF(DATE($C571,4,15)&gt;=$X$551,$AA$551*(1+($U$551)/100)^MAX(0,$C571-$AD$551),IF(DATE($C571,4,15)&gt;=$W$551,$Z$551*(1+($U$551)/100)^MAX(0,$C571-$AC$551),IF(DATE($C571,4,15)&gt;=$V$551,$Y$551*(1+($U$551)/100)^MAX(0,$C571-$AB$551),0)))))</f>
      </c>
      <c r="I571" s="43">
        <f>IF($S$551=0,0,IF(OR(DATE($C571,5,15)&lt;$S$551,AND($T$551&gt;0,DATE($C571,5,15)&gt;$T$551)),0,IF(DATE($C571,5,15)&gt;=$X$551,$AA$551*(1+($U$551)/100)^MAX(0,$C571-$AD$551),IF(DATE($C571,5,15)&gt;=$W$551,$Z$551*(1+($U$551)/100)^MAX(0,$C571-$AC$551),IF(DATE($C571,5,15)&gt;=$V$551,$Y$551*(1+($U$551)/100)^MAX(0,$C571-$AB$551),0)))))</f>
      </c>
      <c r="J571" s="43">
        <f>IF($S$551=0,0,IF(OR(DATE($C571,6,15)&lt;$S$551,AND($T$551&gt;0,DATE($C571,6,15)&gt;$T$551)),0,IF(DATE($C571,6,15)&gt;=$X$551,$AA$551*(1+($U$551)/100)^MAX(0,$C571-$AD$551),IF(DATE($C571,6,15)&gt;=$W$551,$Z$551*(1+($U$551)/100)^MAX(0,$C571-$AC$551),IF(DATE($C571,6,15)&gt;=$V$551,$Y$551*(1+($U$551)/100)^MAX(0,$C571-$AB$551),0)))))</f>
      </c>
      <c r="K571" s="43">
        <f>IF($S$551=0,0,IF(OR(DATE($C571,7,15)&lt;$S$551,AND($T$551&gt;0,DATE($C571,7,15)&gt;$T$551)),0,IF(DATE($C571,7,15)&gt;=$X$551,$AA$551*(1+($U$551)/100)^MAX(0,$C571-$AD$551),IF(DATE($C571,7,15)&gt;=$W$551,$Z$551*(1+($U$551)/100)^MAX(0,$C571-$AC$551),IF(DATE($C571,7,15)&gt;=$V$551,$Y$551*(1+($U$551)/100)^MAX(0,$C571-$AB$551),0)))))</f>
      </c>
      <c r="L571" s="43">
        <f>IF($S$551=0,0,IF(OR(DATE($C571,8,15)&lt;$S$551,AND($T$551&gt;0,DATE($C571,8,15)&gt;$T$551)),0,IF(DATE($C571,8,15)&gt;=$X$551,$AA$551*(1+($U$551)/100)^MAX(0,$C571-$AD$551),IF(DATE($C571,8,15)&gt;=$W$551,$Z$551*(1+($U$551)/100)^MAX(0,$C571-$AC$551),IF(DATE($C571,8,15)&gt;=$V$551,$Y$551*(1+($U$551)/100)^MAX(0,$C571-$AB$551),0)))))</f>
      </c>
      <c r="M571" s="43">
        <f>IF($S$551=0,0,IF(OR(DATE($C571,9,15)&lt;$S$551,AND($T$551&gt;0,DATE($C571,9,15)&gt;$T$551)),0,IF(DATE($C571,9,15)&gt;=$X$551,$AA$551*(1+($U$551)/100)^MAX(0,$C571-$AD$551),IF(DATE($C571,9,15)&gt;=$W$551,$Z$551*(1+($U$551)/100)^MAX(0,$C571-$AC$551),IF(DATE($C571,9,15)&gt;=$V$551,$Y$551*(1+($U$551)/100)^MAX(0,$C571-$AB$551),0)))))</f>
      </c>
      <c r="N571" s="43">
        <f>IF($S$551=0,0,IF(OR(DATE($C571,10,15)&lt;$S$551,AND($T$551&gt;0,DATE($C571,10,15)&gt;$T$551)),0,IF(DATE($C571,10,15)&gt;=$X$551,$AA$551*(1+($U$551)/100)^MAX(0,$C571-$AD$551),IF(DATE($C571,10,15)&gt;=$W$551,$Z$551*(1+($U$551)/100)^MAX(0,$C571-$AC$551),IF(DATE($C571,10,15)&gt;=$V$551,$Y$551*(1+($U$551)/100)^MAX(0,$C571-$AB$551),0)))))</f>
      </c>
      <c r="O571" s="43">
        <f>IF($S$551=0,0,IF(OR(DATE($C571,11,15)&lt;$S$551,AND($T$551&gt;0,DATE($C571,11,15)&gt;$T$551)),0,IF(DATE($C571,11,15)&gt;=$X$551,$AA$551*(1+($U$551)/100)^MAX(0,$C571-$AD$551),IF(DATE($C571,11,15)&gt;=$W$551,$Z$551*(1+($U$551)/100)^MAX(0,$C571-$AC$551),IF(DATE($C571,11,15)&gt;=$V$551,$Y$551*(1+($U$551)/100)^MAX(0,$C571-$AB$551),0)))))</f>
      </c>
      <c r="P571" s="43">
        <f>IF($S$551=0,0,IF(OR(DATE($C571,12,15)&lt;$S$551,AND($T$551&gt;0,DATE($C571,12,15)&gt;$T$551)),0,IF(DATE($C571,12,15)&gt;=$X$551,$AA$551*(1+($U$551)/100)^MAX(0,$C571-$AD$551),IF(DATE($C571,12,15)&gt;=$W$551,$Z$551*(1+($U$551)/100)^MAX(0,$C571-$AC$551),IF(DATE($C571,12,15)&gt;=$V$551,$Y$551*(1+($U$551)/100)^MAX(0,$C571-$AB$551),0)))))</f>
      </c>
      <c r="Q571" s="43">
        <f>SUM($E571:$P571)</f>
      </c>
    </row>
    <row r="572">
      <c r="A572"/>
      <c r="B572">
        <v>18</v>
      </c>
      <c r="C572" s="43">
        <f>Jahr+21</f>
      </c>
      <c r="D572" s="43">
        <f>INDEX(MvObj,18)</f>
      </c>
      <c r="E572" s="43">
        <f>IF($S$551=0,0,IF(OR(DATE($C572,1,15)&lt;$S$551,AND($T$551&gt;0,DATE($C572,1,15)&gt;$T$551)),0,IF(DATE($C572,1,15)&gt;=$X$551,$AA$551*(1+($U$551)/100)^MAX(0,$C572-$AD$551),IF(DATE($C572,1,15)&gt;=$W$551,$Z$551*(1+($U$551)/100)^MAX(0,$C572-$AC$551),IF(DATE($C572,1,15)&gt;=$V$551,$Y$551*(1+($U$551)/100)^MAX(0,$C572-$AB$551),0)))))</f>
      </c>
      <c r="F572" s="43">
        <f>IF($S$551=0,0,IF(OR(DATE($C572,2,15)&lt;$S$551,AND($T$551&gt;0,DATE($C572,2,15)&gt;$T$551)),0,IF(DATE($C572,2,15)&gt;=$X$551,$AA$551*(1+($U$551)/100)^MAX(0,$C572-$AD$551),IF(DATE($C572,2,15)&gt;=$W$551,$Z$551*(1+($U$551)/100)^MAX(0,$C572-$AC$551),IF(DATE($C572,2,15)&gt;=$V$551,$Y$551*(1+($U$551)/100)^MAX(0,$C572-$AB$551),0)))))</f>
      </c>
      <c r="G572" s="43">
        <f>IF($S$551=0,0,IF(OR(DATE($C572,3,15)&lt;$S$551,AND($T$551&gt;0,DATE($C572,3,15)&gt;$T$551)),0,IF(DATE($C572,3,15)&gt;=$X$551,$AA$551*(1+($U$551)/100)^MAX(0,$C572-$AD$551),IF(DATE($C572,3,15)&gt;=$W$551,$Z$551*(1+($U$551)/100)^MAX(0,$C572-$AC$551),IF(DATE($C572,3,15)&gt;=$V$551,$Y$551*(1+($U$551)/100)^MAX(0,$C572-$AB$551),0)))))</f>
      </c>
      <c r="H572" s="43">
        <f>IF($S$551=0,0,IF(OR(DATE($C572,4,15)&lt;$S$551,AND($T$551&gt;0,DATE($C572,4,15)&gt;$T$551)),0,IF(DATE($C572,4,15)&gt;=$X$551,$AA$551*(1+($U$551)/100)^MAX(0,$C572-$AD$551),IF(DATE($C572,4,15)&gt;=$W$551,$Z$551*(1+($U$551)/100)^MAX(0,$C572-$AC$551),IF(DATE($C572,4,15)&gt;=$V$551,$Y$551*(1+($U$551)/100)^MAX(0,$C572-$AB$551),0)))))</f>
      </c>
      <c r="I572" s="43">
        <f>IF($S$551=0,0,IF(OR(DATE($C572,5,15)&lt;$S$551,AND($T$551&gt;0,DATE($C572,5,15)&gt;$T$551)),0,IF(DATE($C572,5,15)&gt;=$X$551,$AA$551*(1+($U$551)/100)^MAX(0,$C572-$AD$551),IF(DATE($C572,5,15)&gt;=$W$551,$Z$551*(1+($U$551)/100)^MAX(0,$C572-$AC$551),IF(DATE($C572,5,15)&gt;=$V$551,$Y$551*(1+($U$551)/100)^MAX(0,$C572-$AB$551),0)))))</f>
      </c>
      <c r="J572" s="43">
        <f>IF($S$551=0,0,IF(OR(DATE($C572,6,15)&lt;$S$551,AND($T$551&gt;0,DATE($C572,6,15)&gt;$T$551)),0,IF(DATE($C572,6,15)&gt;=$X$551,$AA$551*(1+($U$551)/100)^MAX(0,$C572-$AD$551),IF(DATE($C572,6,15)&gt;=$W$551,$Z$551*(1+($U$551)/100)^MAX(0,$C572-$AC$551),IF(DATE($C572,6,15)&gt;=$V$551,$Y$551*(1+($U$551)/100)^MAX(0,$C572-$AB$551),0)))))</f>
      </c>
      <c r="K572" s="43">
        <f>IF($S$551=0,0,IF(OR(DATE($C572,7,15)&lt;$S$551,AND($T$551&gt;0,DATE($C572,7,15)&gt;$T$551)),0,IF(DATE($C572,7,15)&gt;=$X$551,$AA$551*(1+($U$551)/100)^MAX(0,$C572-$AD$551),IF(DATE($C572,7,15)&gt;=$W$551,$Z$551*(1+($U$551)/100)^MAX(0,$C572-$AC$551),IF(DATE($C572,7,15)&gt;=$V$551,$Y$551*(1+($U$551)/100)^MAX(0,$C572-$AB$551),0)))))</f>
      </c>
      <c r="L572" s="43">
        <f>IF($S$551=0,0,IF(OR(DATE($C572,8,15)&lt;$S$551,AND($T$551&gt;0,DATE($C572,8,15)&gt;$T$551)),0,IF(DATE($C572,8,15)&gt;=$X$551,$AA$551*(1+($U$551)/100)^MAX(0,$C572-$AD$551),IF(DATE($C572,8,15)&gt;=$W$551,$Z$551*(1+($U$551)/100)^MAX(0,$C572-$AC$551),IF(DATE($C572,8,15)&gt;=$V$551,$Y$551*(1+($U$551)/100)^MAX(0,$C572-$AB$551),0)))))</f>
      </c>
      <c r="M572" s="43">
        <f>IF($S$551=0,0,IF(OR(DATE($C572,9,15)&lt;$S$551,AND($T$551&gt;0,DATE($C572,9,15)&gt;$T$551)),0,IF(DATE($C572,9,15)&gt;=$X$551,$AA$551*(1+($U$551)/100)^MAX(0,$C572-$AD$551),IF(DATE($C572,9,15)&gt;=$W$551,$Z$551*(1+($U$551)/100)^MAX(0,$C572-$AC$551),IF(DATE($C572,9,15)&gt;=$V$551,$Y$551*(1+($U$551)/100)^MAX(0,$C572-$AB$551),0)))))</f>
      </c>
      <c r="N572" s="43">
        <f>IF($S$551=0,0,IF(OR(DATE($C572,10,15)&lt;$S$551,AND($T$551&gt;0,DATE($C572,10,15)&gt;$T$551)),0,IF(DATE($C572,10,15)&gt;=$X$551,$AA$551*(1+($U$551)/100)^MAX(0,$C572-$AD$551),IF(DATE($C572,10,15)&gt;=$W$551,$Z$551*(1+($U$551)/100)^MAX(0,$C572-$AC$551),IF(DATE($C572,10,15)&gt;=$V$551,$Y$551*(1+($U$551)/100)^MAX(0,$C572-$AB$551),0)))))</f>
      </c>
      <c r="O572" s="43">
        <f>IF($S$551=0,0,IF(OR(DATE($C572,11,15)&lt;$S$551,AND($T$551&gt;0,DATE($C572,11,15)&gt;$T$551)),0,IF(DATE($C572,11,15)&gt;=$X$551,$AA$551*(1+($U$551)/100)^MAX(0,$C572-$AD$551),IF(DATE($C572,11,15)&gt;=$W$551,$Z$551*(1+($U$551)/100)^MAX(0,$C572-$AC$551),IF(DATE($C572,11,15)&gt;=$V$551,$Y$551*(1+($U$551)/100)^MAX(0,$C572-$AB$551),0)))))</f>
      </c>
      <c r="P572" s="43">
        <f>IF($S$551=0,0,IF(OR(DATE($C572,12,15)&lt;$S$551,AND($T$551&gt;0,DATE($C572,12,15)&gt;$T$551)),0,IF(DATE($C572,12,15)&gt;=$X$551,$AA$551*(1+($U$551)/100)^MAX(0,$C572-$AD$551),IF(DATE($C572,12,15)&gt;=$W$551,$Z$551*(1+($U$551)/100)^MAX(0,$C572-$AC$551),IF(DATE($C572,12,15)&gt;=$V$551,$Y$551*(1+($U$551)/100)^MAX(0,$C572-$AB$551),0)))))</f>
      </c>
      <c r="Q572" s="43">
        <f>SUM($E572:$P572)</f>
      </c>
    </row>
    <row r="573">
      <c r="A573"/>
      <c r="B573">
        <v>18</v>
      </c>
      <c r="C573" s="43">
        <f>Jahr+22</f>
      </c>
      <c r="D573" s="43">
        <f>INDEX(MvObj,18)</f>
      </c>
      <c r="E573" s="43">
        <f>IF($S$551=0,0,IF(OR(DATE($C573,1,15)&lt;$S$551,AND($T$551&gt;0,DATE($C573,1,15)&gt;$T$551)),0,IF(DATE($C573,1,15)&gt;=$X$551,$AA$551*(1+($U$551)/100)^MAX(0,$C573-$AD$551),IF(DATE($C573,1,15)&gt;=$W$551,$Z$551*(1+($U$551)/100)^MAX(0,$C573-$AC$551),IF(DATE($C573,1,15)&gt;=$V$551,$Y$551*(1+($U$551)/100)^MAX(0,$C573-$AB$551),0)))))</f>
      </c>
      <c r="F573" s="43">
        <f>IF($S$551=0,0,IF(OR(DATE($C573,2,15)&lt;$S$551,AND($T$551&gt;0,DATE($C573,2,15)&gt;$T$551)),0,IF(DATE($C573,2,15)&gt;=$X$551,$AA$551*(1+($U$551)/100)^MAX(0,$C573-$AD$551),IF(DATE($C573,2,15)&gt;=$W$551,$Z$551*(1+($U$551)/100)^MAX(0,$C573-$AC$551),IF(DATE($C573,2,15)&gt;=$V$551,$Y$551*(1+($U$551)/100)^MAX(0,$C573-$AB$551),0)))))</f>
      </c>
      <c r="G573" s="43">
        <f>IF($S$551=0,0,IF(OR(DATE($C573,3,15)&lt;$S$551,AND($T$551&gt;0,DATE($C573,3,15)&gt;$T$551)),0,IF(DATE($C573,3,15)&gt;=$X$551,$AA$551*(1+($U$551)/100)^MAX(0,$C573-$AD$551),IF(DATE($C573,3,15)&gt;=$W$551,$Z$551*(1+($U$551)/100)^MAX(0,$C573-$AC$551),IF(DATE($C573,3,15)&gt;=$V$551,$Y$551*(1+($U$551)/100)^MAX(0,$C573-$AB$551),0)))))</f>
      </c>
      <c r="H573" s="43">
        <f>IF($S$551=0,0,IF(OR(DATE($C573,4,15)&lt;$S$551,AND($T$551&gt;0,DATE($C573,4,15)&gt;$T$551)),0,IF(DATE($C573,4,15)&gt;=$X$551,$AA$551*(1+($U$551)/100)^MAX(0,$C573-$AD$551),IF(DATE($C573,4,15)&gt;=$W$551,$Z$551*(1+($U$551)/100)^MAX(0,$C573-$AC$551),IF(DATE($C573,4,15)&gt;=$V$551,$Y$551*(1+($U$551)/100)^MAX(0,$C573-$AB$551),0)))))</f>
      </c>
      <c r="I573" s="43">
        <f>IF($S$551=0,0,IF(OR(DATE($C573,5,15)&lt;$S$551,AND($T$551&gt;0,DATE($C573,5,15)&gt;$T$551)),0,IF(DATE($C573,5,15)&gt;=$X$551,$AA$551*(1+($U$551)/100)^MAX(0,$C573-$AD$551),IF(DATE($C573,5,15)&gt;=$W$551,$Z$551*(1+($U$551)/100)^MAX(0,$C573-$AC$551),IF(DATE($C573,5,15)&gt;=$V$551,$Y$551*(1+($U$551)/100)^MAX(0,$C573-$AB$551),0)))))</f>
      </c>
      <c r="J573" s="43">
        <f>IF($S$551=0,0,IF(OR(DATE($C573,6,15)&lt;$S$551,AND($T$551&gt;0,DATE($C573,6,15)&gt;$T$551)),0,IF(DATE($C573,6,15)&gt;=$X$551,$AA$551*(1+($U$551)/100)^MAX(0,$C573-$AD$551),IF(DATE($C573,6,15)&gt;=$W$551,$Z$551*(1+($U$551)/100)^MAX(0,$C573-$AC$551),IF(DATE($C573,6,15)&gt;=$V$551,$Y$551*(1+($U$551)/100)^MAX(0,$C573-$AB$551),0)))))</f>
      </c>
      <c r="K573" s="43">
        <f>IF($S$551=0,0,IF(OR(DATE($C573,7,15)&lt;$S$551,AND($T$551&gt;0,DATE($C573,7,15)&gt;$T$551)),0,IF(DATE($C573,7,15)&gt;=$X$551,$AA$551*(1+($U$551)/100)^MAX(0,$C573-$AD$551),IF(DATE($C573,7,15)&gt;=$W$551,$Z$551*(1+($U$551)/100)^MAX(0,$C573-$AC$551),IF(DATE($C573,7,15)&gt;=$V$551,$Y$551*(1+($U$551)/100)^MAX(0,$C573-$AB$551),0)))))</f>
      </c>
      <c r="L573" s="43">
        <f>IF($S$551=0,0,IF(OR(DATE($C573,8,15)&lt;$S$551,AND($T$551&gt;0,DATE($C573,8,15)&gt;$T$551)),0,IF(DATE($C573,8,15)&gt;=$X$551,$AA$551*(1+($U$551)/100)^MAX(0,$C573-$AD$551),IF(DATE($C573,8,15)&gt;=$W$551,$Z$551*(1+($U$551)/100)^MAX(0,$C573-$AC$551),IF(DATE($C573,8,15)&gt;=$V$551,$Y$551*(1+($U$551)/100)^MAX(0,$C573-$AB$551),0)))))</f>
      </c>
      <c r="M573" s="43">
        <f>IF($S$551=0,0,IF(OR(DATE($C573,9,15)&lt;$S$551,AND($T$551&gt;0,DATE($C573,9,15)&gt;$T$551)),0,IF(DATE($C573,9,15)&gt;=$X$551,$AA$551*(1+($U$551)/100)^MAX(0,$C573-$AD$551),IF(DATE($C573,9,15)&gt;=$W$551,$Z$551*(1+($U$551)/100)^MAX(0,$C573-$AC$551),IF(DATE($C573,9,15)&gt;=$V$551,$Y$551*(1+($U$551)/100)^MAX(0,$C573-$AB$551),0)))))</f>
      </c>
      <c r="N573" s="43">
        <f>IF($S$551=0,0,IF(OR(DATE($C573,10,15)&lt;$S$551,AND($T$551&gt;0,DATE($C573,10,15)&gt;$T$551)),0,IF(DATE($C573,10,15)&gt;=$X$551,$AA$551*(1+($U$551)/100)^MAX(0,$C573-$AD$551),IF(DATE($C573,10,15)&gt;=$W$551,$Z$551*(1+($U$551)/100)^MAX(0,$C573-$AC$551),IF(DATE($C573,10,15)&gt;=$V$551,$Y$551*(1+($U$551)/100)^MAX(0,$C573-$AB$551),0)))))</f>
      </c>
      <c r="O573" s="43">
        <f>IF($S$551=0,0,IF(OR(DATE($C573,11,15)&lt;$S$551,AND($T$551&gt;0,DATE($C573,11,15)&gt;$T$551)),0,IF(DATE($C573,11,15)&gt;=$X$551,$AA$551*(1+($U$551)/100)^MAX(0,$C573-$AD$551),IF(DATE($C573,11,15)&gt;=$W$551,$Z$551*(1+($U$551)/100)^MAX(0,$C573-$AC$551),IF(DATE($C573,11,15)&gt;=$V$551,$Y$551*(1+($U$551)/100)^MAX(0,$C573-$AB$551),0)))))</f>
      </c>
      <c r="P573" s="43">
        <f>IF($S$551=0,0,IF(OR(DATE($C573,12,15)&lt;$S$551,AND($T$551&gt;0,DATE($C573,12,15)&gt;$T$551)),0,IF(DATE($C573,12,15)&gt;=$X$551,$AA$551*(1+($U$551)/100)^MAX(0,$C573-$AD$551),IF(DATE($C573,12,15)&gt;=$W$551,$Z$551*(1+($U$551)/100)^MAX(0,$C573-$AC$551),IF(DATE($C573,12,15)&gt;=$V$551,$Y$551*(1+($U$551)/100)^MAX(0,$C573-$AB$551),0)))))</f>
      </c>
      <c r="Q573" s="43">
        <f>SUM($E573:$P573)</f>
      </c>
    </row>
    <row r="574">
      <c r="A574"/>
      <c r="B574">
        <v>18</v>
      </c>
      <c r="C574" s="43">
        <f>Jahr+23</f>
      </c>
      <c r="D574" s="43">
        <f>INDEX(MvObj,18)</f>
      </c>
      <c r="E574" s="43">
        <f>IF($S$551=0,0,IF(OR(DATE($C574,1,15)&lt;$S$551,AND($T$551&gt;0,DATE($C574,1,15)&gt;$T$551)),0,IF(DATE($C574,1,15)&gt;=$X$551,$AA$551*(1+($U$551)/100)^MAX(0,$C574-$AD$551),IF(DATE($C574,1,15)&gt;=$W$551,$Z$551*(1+($U$551)/100)^MAX(0,$C574-$AC$551),IF(DATE($C574,1,15)&gt;=$V$551,$Y$551*(1+($U$551)/100)^MAX(0,$C574-$AB$551),0)))))</f>
      </c>
      <c r="F574" s="43">
        <f>IF($S$551=0,0,IF(OR(DATE($C574,2,15)&lt;$S$551,AND($T$551&gt;0,DATE($C574,2,15)&gt;$T$551)),0,IF(DATE($C574,2,15)&gt;=$X$551,$AA$551*(1+($U$551)/100)^MAX(0,$C574-$AD$551),IF(DATE($C574,2,15)&gt;=$W$551,$Z$551*(1+($U$551)/100)^MAX(0,$C574-$AC$551),IF(DATE($C574,2,15)&gt;=$V$551,$Y$551*(1+($U$551)/100)^MAX(0,$C574-$AB$551),0)))))</f>
      </c>
      <c r="G574" s="43">
        <f>IF($S$551=0,0,IF(OR(DATE($C574,3,15)&lt;$S$551,AND($T$551&gt;0,DATE($C574,3,15)&gt;$T$551)),0,IF(DATE($C574,3,15)&gt;=$X$551,$AA$551*(1+($U$551)/100)^MAX(0,$C574-$AD$551),IF(DATE($C574,3,15)&gt;=$W$551,$Z$551*(1+($U$551)/100)^MAX(0,$C574-$AC$551),IF(DATE($C574,3,15)&gt;=$V$551,$Y$551*(1+($U$551)/100)^MAX(0,$C574-$AB$551),0)))))</f>
      </c>
      <c r="H574" s="43">
        <f>IF($S$551=0,0,IF(OR(DATE($C574,4,15)&lt;$S$551,AND($T$551&gt;0,DATE($C574,4,15)&gt;$T$551)),0,IF(DATE($C574,4,15)&gt;=$X$551,$AA$551*(1+($U$551)/100)^MAX(0,$C574-$AD$551),IF(DATE($C574,4,15)&gt;=$W$551,$Z$551*(1+($U$551)/100)^MAX(0,$C574-$AC$551),IF(DATE($C574,4,15)&gt;=$V$551,$Y$551*(1+($U$551)/100)^MAX(0,$C574-$AB$551),0)))))</f>
      </c>
      <c r="I574" s="43">
        <f>IF($S$551=0,0,IF(OR(DATE($C574,5,15)&lt;$S$551,AND($T$551&gt;0,DATE($C574,5,15)&gt;$T$551)),0,IF(DATE($C574,5,15)&gt;=$X$551,$AA$551*(1+($U$551)/100)^MAX(0,$C574-$AD$551),IF(DATE($C574,5,15)&gt;=$W$551,$Z$551*(1+($U$551)/100)^MAX(0,$C574-$AC$551),IF(DATE($C574,5,15)&gt;=$V$551,$Y$551*(1+($U$551)/100)^MAX(0,$C574-$AB$551),0)))))</f>
      </c>
      <c r="J574" s="43">
        <f>IF($S$551=0,0,IF(OR(DATE($C574,6,15)&lt;$S$551,AND($T$551&gt;0,DATE($C574,6,15)&gt;$T$551)),0,IF(DATE($C574,6,15)&gt;=$X$551,$AA$551*(1+($U$551)/100)^MAX(0,$C574-$AD$551),IF(DATE($C574,6,15)&gt;=$W$551,$Z$551*(1+($U$551)/100)^MAX(0,$C574-$AC$551),IF(DATE($C574,6,15)&gt;=$V$551,$Y$551*(1+($U$551)/100)^MAX(0,$C574-$AB$551),0)))))</f>
      </c>
      <c r="K574" s="43">
        <f>IF($S$551=0,0,IF(OR(DATE($C574,7,15)&lt;$S$551,AND($T$551&gt;0,DATE($C574,7,15)&gt;$T$551)),0,IF(DATE($C574,7,15)&gt;=$X$551,$AA$551*(1+($U$551)/100)^MAX(0,$C574-$AD$551),IF(DATE($C574,7,15)&gt;=$W$551,$Z$551*(1+($U$551)/100)^MAX(0,$C574-$AC$551),IF(DATE($C574,7,15)&gt;=$V$551,$Y$551*(1+($U$551)/100)^MAX(0,$C574-$AB$551),0)))))</f>
      </c>
      <c r="L574" s="43">
        <f>IF($S$551=0,0,IF(OR(DATE($C574,8,15)&lt;$S$551,AND($T$551&gt;0,DATE($C574,8,15)&gt;$T$551)),0,IF(DATE($C574,8,15)&gt;=$X$551,$AA$551*(1+($U$551)/100)^MAX(0,$C574-$AD$551),IF(DATE($C574,8,15)&gt;=$W$551,$Z$551*(1+($U$551)/100)^MAX(0,$C574-$AC$551),IF(DATE($C574,8,15)&gt;=$V$551,$Y$551*(1+($U$551)/100)^MAX(0,$C574-$AB$551),0)))))</f>
      </c>
      <c r="M574" s="43">
        <f>IF($S$551=0,0,IF(OR(DATE($C574,9,15)&lt;$S$551,AND($T$551&gt;0,DATE($C574,9,15)&gt;$T$551)),0,IF(DATE($C574,9,15)&gt;=$X$551,$AA$551*(1+($U$551)/100)^MAX(0,$C574-$AD$551),IF(DATE($C574,9,15)&gt;=$W$551,$Z$551*(1+($U$551)/100)^MAX(0,$C574-$AC$551),IF(DATE($C574,9,15)&gt;=$V$551,$Y$551*(1+($U$551)/100)^MAX(0,$C574-$AB$551),0)))))</f>
      </c>
      <c r="N574" s="43">
        <f>IF($S$551=0,0,IF(OR(DATE($C574,10,15)&lt;$S$551,AND($T$551&gt;0,DATE($C574,10,15)&gt;$T$551)),0,IF(DATE($C574,10,15)&gt;=$X$551,$AA$551*(1+($U$551)/100)^MAX(0,$C574-$AD$551),IF(DATE($C574,10,15)&gt;=$W$551,$Z$551*(1+($U$551)/100)^MAX(0,$C574-$AC$551),IF(DATE($C574,10,15)&gt;=$V$551,$Y$551*(1+($U$551)/100)^MAX(0,$C574-$AB$551),0)))))</f>
      </c>
      <c r="O574" s="43">
        <f>IF($S$551=0,0,IF(OR(DATE($C574,11,15)&lt;$S$551,AND($T$551&gt;0,DATE($C574,11,15)&gt;$T$551)),0,IF(DATE($C574,11,15)&gt;=$X$551,$AA$551*(1+($U$551)/100)^MAX(0,$C574-$AD$551),IF(DATE($C574,11,15)&gt;=$W$551,$Z$551*(1+($U$551)/100)^MAX(0,$C574-$AC$551),IF(DATE($C574,11,15)&gt;=$V$551,$Y$551*(1+($U$551)/100)^MAX(0,$C574-$AB$551),0)))))</f>
      </c>
      <c r="P574" s="43">
        <f>IF($S$551=0,0,IF(OR(DATE($C574,12,15)&lt;$S$551,AND($T$551&gt;0,DATE($C574,12,15)&gt;$T$551)),0,IF(DATE($C574,12,15)&gt;=$X$551,$AA$551*(1+($U$551)/100)^MAX(0,$C574-$AD$551),IF(DATE($C574,12,15)&gt;=$W$551,$Z$551*(1+($U$551)/100)^MAX(0,$C574-$AC$551),IF(DATE($C574,12,15)&gt;=$V$551,$Y$551*(1+($U$551)/100)^MAX(0,$C574-$AB$551),0)))))</f>
      </c>
      <c r="Q574" s="43">
        <f>SUM($E574:$P574)</f>
      </c>
    </row>
    <row r="575">
      <c r="A575"/>
      <c r="B575">
        <v>18</v>
      </c>
      <c r="C575" s="43">
        <f>Jahr+24</f>
      </c>
      <c r="D575" s="43">
        <f>INDEX(MvObj,18)</f>
      </c>
      <c r="E575" s="43">
        <f>IF($S$551=0,0,IF(OR(DATE($C575,1,15)&lt;$S$551,AND($T$551&gt;0,DATE($C575,1,15)&gt;$T$551)),0,IF(DATE($C575,1,15)&gt;=$X$551,$AA$551*(1+($U$551)/100)^MAX(0,$C575-$AD$551),IF(DATE($C575,1,15)&gt;=$W$551,$Z$551*(1+($U$551)/100)^MAX(0,$C575-$AC$551),IF(DATE($C575,1,15)&gt;=$V$551,$Y$551*(1+($U$551)/100)^MAX(0,$C575-$AB$551),0)))))</f>
      </c>
      <c r="F575" s="43">
        <f>IF($S$551=0,0,IF(OR(DATE($C575,2,15)&lt;$S$551,AND($T$551&gt;0,DATE($C575,2,15)&gt;$T$551)),0,IF(DATE($C575,2,15)&gt;=$X$551,$AA$551*(1+($U$551)/100)^MAX(0,$C575-$AD$551),IF(DATE($C575,2,15)&gt;=$W$551,$Z$551*(1+($U$551)/100)^MAX(0,$C575-$AC$551),IF(DATE($C575,2,15)&gt;=$V$551,$Y$551*(1+($U$551)/100)^MAX(0,$C575-$AB$551),0)))))</f>
      </c>
      <c r="G575" s="43">
        <f>IF($S$551=0,0,IF(OR(DATE($C575,3,15)&lt;$S$551,AND($T$551&gt;0,DATE($C575,3,15)&gt;$T$551)),0,IF(DATE($C575,3,15)&gt;=$X$551,$AA$551*(1+($U$551)/100)^MAX(0,$C575-$AD$551),IF(DATE($C575,3,15)&gt;=$W$551,$Z$551*(1+($U$551)/100)^MAX(0,$C575-$AC$551),IF(DATE($C575,3,15)&gt;=$V$551,$Y$551*(1+($U$551)/100)^MAX(0,$C575-$AB$551),0)))))</f>
      </c>
      <c r="H575" s="43">
        <f>IF($S$551=0,0,IF(OR(DATE($C575,4,15)&lt;$S$551,AND($T$551&gt;0,DATE($C575,4,15)&gt;$T$551)),0,IF(DATE($C575,4,15)&gt;=$X$551,$AA$551*(1+($U$551)/100)^MAX(0,$C575-$AD$551),IF(DATE($C575,4,15)&gt;=$W$551,$Z$551*(1+($U$551)/100)^MAX(0,$C575-$AC$551),IF(DATE($C575,4,15)&gt;=$V$551,$Y$551*(1+($U$551)/100)^MAX(0,$C575-$AB$551),0)))))</f>
      </c>
      <c r="I575" s="43">
        <f>IF($S$551=0,0,IF(OR(DATE($C575,5,15)&lt;$S$551,AND($T$551&gt;0,DATE($C575,5,15)&gt;$T$551)),0,IF(DATE($C575,5,15)&gt;=$X$551,$AA$551*(1+($U$551)/100)^MAX(0,$C575-$AD$551),IF(DATE($C575,5,15)&gt;=$W$551,$Z$551*(1+($U$551)/100)^MAX(0,$C575-$AC$551),IF(DATE($C575,5,15)&gt;=$V$551,$Y$551*(1+($U$551)/100)^MAX(0,$C575-$AB$551),0)))))</f>
      </c>
      <c r="J575" s="43">
        <f>IF($S$551=0,0,IF(OR(DATE($C575,6,15)&lt;$S$551,AND($T$551&gt;0,DATE($C575,6,15)&gt;$T$551)),0,IF(DATE($C575,6,15)&gt;=$X$551,$AA$551*(1+($U$551)/100)^MAX(0,$C575-$AD$551),IF(DATE($C575,6,15)&gt;=$W$551,$Z$551*(1+($U$551)/100)^MAX(0,$C575-$AC$551),IF(DATE($C575,6,15)&gt;=$V$551,$Y$551*(1+($U$551)/100)^MAX(0,$C575-$AB$551),0)))))</f>
      </c>
      <c r="K575" s="43">
        <f>IF($S$551=0,0,IF(OR(DATE($C575,7,15)&lt;$S$551,AND($T$551&gt;0,DATE($C575,7,15)&gt;$T$551)),0,IF(DATE($C575,7,15)&gt;=$X$551,$AA$551*(1+($U$551)/100)^MAX(0,$C575-$AD$551),IF(DATE($C575,7,15)&gt;=$W$551,$Z$551*(1+($U$551)/100)^MAX(0,$C575-$AC$551),IF(DATE($C575,7,15)&gt;=$V$551,$Y$551*(1+($U$551)/100)^MAX(0,$C575-$AB$551),0)))))</f>
      </c>
      <c r="L575" s="43">
        <f>IF($S$551=0,0,IF(OR(DATE($C575,8,15)&lt;$S$551,AND($T$551&gt;0,DATE($C575,8,15)&gt;$T$551)),0,IF(DATE($C575,8,15)&gt;=$X$551,$AA$551*(1+($U$551)/100)^MAX(0,$C575-$AD$551),IF(DATE($C575,8,15)&gt;=$W$551,$Z$551*(1+($U$551)/100)^MAX(0,$C575-$AC$551),IF(DATE($C575,8,15)&gt;=$V$551,$Y$551*(1+($U$551)/100)^MAX(0,$C575-$AB$551),0)))))</f>
      </c>
      <c r="M575" s="43">
        <f>IF($S$551=0,0,IF(OR(DATE($C575,9,15)&lt;$S$551,AND($T$551&gt;0,DATE($C575,9,15)&gt;$T$551)),0,IF(DATE($C575,9,15)&gt;=$X$551,$AA$551*(1+($U$551)/100)^MAX(0,$C575-$AD$551),IF(DATE($C575,9,15)&gt;=$W$551,$Z$551*(1+($U$551)/100)^MAX(0,$C575-$AC$551),IF(DATE($C575,9,15)&gt;=$V$551,$Y$551*(1+($U$551)/100)^MAX(0,$C575-$AB$551),0)))))</f>
      </c>
      <c r="N575" s="43">
        <f>IF($S$551=0,0,IF(OR(DATE($C575,10,15)&lt;$S$551,AND($T$551&gt;0,DATE($C575,10,15)&gt;$T$551)),0,IF(DATE($C575,10,15)&gt;=$X$551,$AA$551*(1+($U$551)/100)^MAX(0,$C575-$AD$551),IF(DATE($C575,10,15)&gt;=$W$551,$Z$551*(1+($U$551)/100)^MAX(0,$C575-$AC$551),IF(DATE($C575,10,15)&gt;=$V$551,$Y$551*(1+($U$551)/100)^MAX(0,$C575-$AB$551),0)))))</f>
      </c>
      <c r="O575" s="43">
        <f>IF($S$551=0,0,IF(OR(DATE($C575,11,15)&lt;$S$551,AND($T$551&gt;0,DATE($C575,11,15)&gt;$T$551)),0,IF(DATE($C575,11,15)&gt;=$X$551,$AA$551*(1+($U$551)/100)^MAX(0,$C575-$AD$551),IF(DATE($C575,11,15)&gt;=$W$551,$Z$551*(1+($U$551)/100)^MAX(0,$C575-$AC$551),IF(DATE($C575,11,15)&gt;=$V$551,$Y$551*(1+($U$551)/100)^MAX(0,$C575-$AB$551),0)))))</f>
      </c>
      <c r="P575" s="43">
        <f>IF($S$551=0,0,IF(OR(DATE($C575,12,15)&lt;$S$551,AND($T$551&gt;0,DATE($C575,12,15)&gt;$T$551)),0,IF(DATE($C575,12,15)&gt;=$X$551,$AA$551*(1+($U$551)/100)^MAX(0,$C575-$AD$551),IF(DATE($C575,12,15)&gt;=$W$551,$Z$551*(1+($U$551)/100)^MAX(0,$C575-$AC$551),IF(DATE($C575,12,15)&gt;=$V$551,$Y$551*(1+($U$551)/100)^MAX(0,$C575-$AB$551),0)))))</f>
      </c>
      <c r="Q575" s="43">
        <f>SUM($E575:$P575)</f>
      </c>
    </row>
    <row r="576">
      <c r="A576"/>
      <c r="B576">
        <v>18</v>
      </c>
      <c r="C576" s="43">
        <f>Jahr+25</f>
      </c>
      <c r="D576" s="43">
        <f>INDEX(MvObj,18)</f>
      </c>
      <c r="E576" s="43">
        <f>IF($S$551=0,0,IF(OR(DATE($C576,1,15)&lt;$S$551,AND($T$551&gt;0,DATE($C576,1,15)&gt;$T$551)),0,IF(DATE($C576,1,15)&gt;=$X$551,$AA$551*(1+($U$551)/100)^MAX(0,$C576-$AD$551),IF(DATE($C576,1,15)&gt;=$W$551,$Z$551*(1+($U$551)/100)^MAX(0,$C576-$AC$551),IF(DATE($C576,1,15)&gt;=$V$551,$Y$551*(1+($U$551)/100)^MAX(0,$C576-$AB$551),0)))))</f>
      </c>
      <c r="F576" s="43">
        <f>IF($S$551=0,0,IF(OR(DATE($C576,2,15)&lt;$S$551,AND($T$551&gt;0,DATE($C576,2,15)&gt;$T$551)),0,IF(DATE($C576,2,15)&gt;=$X$551,$AA$551*(1+($U$551)/100)^MAX(0,$C576-$AD$551),IF(DATE($C576,2,15)&gt;=$W$551,$Z$551*(1+($U$551)/100)^MAX(0,$C576-$AC$551),IF(DATE($C576,2,15)&gt;=$V$551,$Y$551*(1+($U$551)/100)^MAX(0,$C576-$AB$551),0)))))</f>
      </c>
      <c r="G576" s="43">
        <f>IF($S$551=0,0,IF(OR(DATE($C576,3,15)&lt;$S$551,AND($T$551&gt;0,DATE($C576,3,15)&gt;$T$551)),0,IF(DATE($C576,3,15)&gt;=$X$551,$AA$551*(1+($U$551)/100)^MAX(0,$C576-$AD$551),IF(DATE($C576,3,15)&gt;=$W$551,$Z$551*(1+($U$551)/100)^MAX(0,$C576-$AC$551),IF(DATE($C576,3,15)&gt;=$V$551,$Y$551*(1+($U$551)/100)^MAX(0,$C576-$AB$551),0)))))</f>
      </c>
      <c r="H576" s="43">
        <f>IF($S$551=0,0,IF(OR(DATE($C576,4,15)&lt;$S$551,AND($T$551&gt;0,DATE($C576,4,15)&gt;$T$551)),0,IF(DATE($C576,4,15)&gt;=$X$551,$AA$551*(1+($U$551)/100)^MAX(0,$C576-$AD$551),IF(DATE($C576,4,15)&gt;=$W$551,$Z$551*(1+($U$551)/100)^MAX(0,$C576-$AC$551),IF(DATE($C576,4,15)&gt;=$V$551,$Y$551*(1+($U$551)/100)^MAX(0,$C576-$AB$551),0)))))</f>
      </c>
      <c r="I576" s="43">
        <f>IF($S$551=0,0,IF(OR(DATE($C576,5,15)&lt;$S$551,AND($T$551&gt;0,DATE($C576,5,15)&gt;$T$551)),0,IF(DATE($C576,5,15)&gt;=$X$551,$AA$551*(1+($U$551)/100)^MAX(0,$C576-$AD$551),IF(DATE($C576,5,15)&gt;=$W$551,$Z$551*(1+($U$551)/100)^MAX(0,$C576-$AC$551),IF(DATE($C576,5,15)&gt;=$V$551,$Y$551*(1+($U$551)/100)^MAX(0,$C576-$AB$551),0)))))</f>
      </c>
      <c r="J576" s="43">
        <f>IF($S$551=0,0,IF(OR(DATE($C576,6,15)&lt;$S$551,AND($T$551&gt;0,DATE($C576,6,15)&gt;$T$551)),0,IF(DATE($C576,6,15)&gt;=$X$551,$AA$551*(1+($U$551)/100)^MAX(0,$C576-$AD$551),IF(DATE($C576,6,15)&gt;=$W$551,$Z$551*(1+($U$551)/100)^MAX(0,$C576-$AC$551),IF(DATE($C576,6,15)&gt;=$V$551,$Y$551*(1+($U$551)/100)^MAX(0,$C576-$AB$551),0)))))</f>
      </c>
      <c r="K576" s="43">
        <f>IF($S$551=0,0,IF(OR(DATE($C576,7,15)&lt;$S$551,AND($T$551&gt;0,DATE($C576,7,15)&gt;$T$551)),0,IF(DATE($C576,7,15)&gt;=$X$551,$AA$551*(1+($U$551)/100)^MAX(0,$C576-$AD$551),IF(DATE($C576,7,15)&gt;=$W$551,$Z$551*(1+($U$551)/100)^MAX(0,$C576-$AC$551),IF(DATE($C576,7,15)&gt;=$V$551,$Y$551*(1+($U$551)/100)^MAX(0,$C576-$AB$551),0)))))</f>
      </c>
      <c r="L576" s="43">
        <f>IF($S$551=0,0,IF(OR(DATE($C576,8,15)&lt;$S$551,AND($T$551&gt;0,DATE($C576,8,15)&gt;$T$551)),0,IF(DATE($C576,8,15)&gt;=$X$551,$AA$551*(1+($U$551)/100)^MAX(0,$C576-$AD$551),IF(DATE($C576,8,15)&gt;=$W$551,$Z$551*(1+($U$551)/100)^MAX(0,$C576-$AC$551),IF(DATE($C576,8,15)&gt;=$V$551,$Y$551*(1+($U$551)/100)^MAX(0,$C576-$AB$551),0)))))</f>
      </c>
      <c r="M576" s="43">
        <f>IF($S$551=0,0,IF(OR(DATE($C576,9,15)&lt;$S$551,AND($T$551&gt;0,DATE($C576,9,15)&gt;$T$551)),0,IF(DATE($C576,9,15)&gt;=$X$551,$AA$551*(1+($U$551)/100)^MAX(0,$C576-$AD$551),IF(DATE($C576,9,15)&gt;=$W$551,$Z$551*(1+($U$551)/100)^MAX(0,$C576-$AC$551),IF(DATE($C576,9,15)&gt;=$V$551,$Y$551*(1+($U$551)/100)^MAX(0,$C576-$AB$551),0)))))</f>
      </c>
      <c r="N576" s="43">
        <f>IF($S$551=0,0,IF(OR(DATE($C576,10,15)&lt;$S$551,AND($T$551&gt;0,DATE($C576,10,15)&gt;$T$551)),0,IF(DATE($C576,10,15)&gt;=$X$551,$AA$551*(1+($U$551)/100)^MAX(0,$C576-$AD$551),IF(DATE($C576,10,15)&gt;=$W$551,$Z$551*(1+($U$551)/100)^MAX(0,$C576-$AC$551),IF(DATE($C576,10,15)&gt;=$V$551,$Y$551*(1+($U$551)/100)^MAX(0,$C576-$AB$551),0)))))</f>
      </c>
      <c r="O576" s="43">
        <f>IF($S$551=0,0,IF(OR(DATE($C576,11,15)&lt;$S$551,AND($T$551&gt;0,DATE($C576,11,15)&gt;$T$551)),0,IF(DATE($C576,11,15)&gt;=$X$551,$AA$551*(1+($U$551)/100)^MAX(0,$C576-$AD$551),IF(DATE($C576,11,15)&gt;=$W$551,$Z$551*(1+($U$551)/100)^MAX(0,$C576-$AC$551),IF(DATE($C576,11,15)&gt;=$V$551,$Y$551*(1+($U$551)/100)^MAX(0,$C576-$AB$551),0)))))</f>
      </c>
      <c r="P576" s="43">
        <f>IF($S$551=0,0,IF(OR(DATE($C576,12,15)&lt;$S$551,AND($T$551&gt;0,DATE($C576,12,15)&gt;$T$551)),0,IF(DATE($C576,12,15)&gt;=$X$551,$AA$551*(1+($U$551)/100)^MAX(0,$C576-$AD$551),IF(DATE($C576,12,15)&gt;=$W$551,$Z$551*(1+($U$551)/100)^MAX(0,$C576-$AC$551),IF(DATE($C576,12,15)&gt;=$V$551,$Y$551*(1+($U$551)/100)^MAX(0,$C576-$AB$551),0)))))</f>
      </c>
      <c r="Q576" s="43">
        <f>SUM($E576:$P576)</f>
      </c>
    </row>
    <row r="577">
      <c r="A577"/>
      <c r="B577">
        <v>18</v>
      </c>
      <c r="C577" s="43">
        <f>Jahr+26</f>
      </c>
      <c r="D577" s="43">
        <f>INDEX(MvObj,18)</f>
      </c>
      <c r="E577" s="43">
        <f>IF($S$551=0,0,IF(OR(DATE($C577,1,15)&lt;$S$551,AND($T$551&gt;0,DATE($C577,1,15)&gt;$T$551)),0,IF(DATE($C577,1,15)&gt;=$X$551,$AA$551*(1+($U$551)/100)^MAX(0,$C577-$AD$551),IF(DATE($C577,1,15)&gt;=$W$551,$Z$551*(1+($U$551)/100)^MAX(0,$C577-$AC$551),IF(DATE($C577,1,15)&gt;=$V$551,$Y$551*(1+($U$551)/100)^MAX(0,$C577-$AB$551),0)))))</f>
      </c>
      <c r="F577" s="43">
        <f>IF($S$551=0,0,IF(OR(DATE($C577,2,15)&lt;$S$551,AND($T$551&gt;0,DATE($C577,2,15)&gt;$T$551)),0,IF(DATE($C577,2,15)&gt;=$X$551,$AA$551*(1+($U$551)/100)^MAX(0,$C577-$AD$551),IF(DATE($C577,2,15)&gt;=$W$551,$Z$551*(1+($U$551)/100)^MAX(0,$C577-$AC$551),IF(DATE($C577,2,15)&gt;=$V$551,$Y$551*(1+($U$551)/100)^MAX(0,$C577-$AB$551),0)))))</f>
      </c>
      <c r="G577" s="43">
        <f>IF($S$551=0,0,IF(OR(DATE($C577,3,15)&lt;$S$551,AND($T$551&gt;0,DATE($C577,3,15)&gt;$T$551)),0,IF(DATE($C577,3,15)&gt;=$X$551,$AA$551*(1+($U$551)/100)^MAX(0,$C577-$AD$551),IF(DATE($C577,3,15)&gt;=$W$551,$Z$551*(1+($U$551)/100)^MAX(0,$C577-$AC$551),IF(DATE($C577,3,15)&gt;=$V$551,$Y$551*(1+($U$551)/100)^MAX(0,$C577-$AB$551),0)))))</f>
      </c>
      <c r="H577" s="43">
        <f>IF($S$551=0,0,IF(OR(DATE($C577,4,15)&lt;$S$551,AND($T$551&gt;0,DATE($C577,4,15)&gt;$T$551)),0,IF(DATE($C577,4,15)&gt;=$X$551,$AA$551*(1+($U$551)/100)^MAX(0,$C577-$AD$551),IF(DATE($C577,4,15)&gt;=$W$551,$Z$551*(1+($U$551)/100)^MAX(0,$C577-$AC$551),IF(DATE($C577,4,15)&gt;=$V$551,$Y$551*(1+($U$551)/100)^MAX(0,$C577-$AB$551),0)))))</f>
      </c>
      <c r="I577" s="43">
        <f>IF($S$551=0,0,IF(OR(DATE($C577,5,15)&lt;$S$551,AND($T$551&gt;0,DATE($C577,5,15)&gt;$T$551)),0,IF(DATE($C577,5,15)&gt;=$X$551,$AA$551*(1+($U$551)/100)^MAX(0,$C577-$AD$551),IF(DATE($C577,5,15)&gt;=$W$551,$Z$551*(1+($U$551)/100)^MAX(0,$C577-$AC$551),IF(DATE($C577,5,15)&gt;=$V$551,$Y$551*(1+($U$551)/100)^MAX(0,$C577-$AB$551),0)))))</f>
      </c>
      <c r="J577" s="43">
        <f>IF($S$551=0,0,IF(OR(DATE($C577,6,15)&lt;$S$551,AND($T$551&gt;0,DATE($C577,6,15)&gt;$T$551)),0,IF(DATE($C577,6,15)&gt;=$X$551,$AA$551*(1+($U$551)/100)^MAX(0,$C577-$AD$551),IF(DATE($C577,6,15)&gt;=$W$551,$Z$551*(1+($U$551)/100)^MAX(0,$C577-$AC$551),IF(DATE($C577,6,15)&gt;=$V$551,$Y$551*(1+($U$551)/100)^MAX(0,$C577-$AB$551),0)))))</f>
      </c>
      <c r="K577" s="43">
        <f>IF($S$551=0,0,IF(OR(DATE($C577,7,15)&lt;$S$551,AND($T$551&gt;0,DATE($C577,7,15)&gt;$T$551)),0,IF(DATE($C577,7,15)&gt;=$X$551,$AA$551*(1+($U$551)/100)^MAX(0,$C577-$AD$551),IF(DATE($C577,7,15)&gt;=$W$551,$Z$551*(1+($U$551)/100)^MAX(0,$C577-$AC$551),IF(DATE($C577,7,15)&gt;=$V$551,$Y$551*(1+($U$551)/100)^MAX(0,$C577-$AB$551),0)))))</f>
      </c>
      <c r="L577" s="43">
        <f>IF($S$551=0,0,IF(OR(DATE($C577,8,15)&lt;$S$551,AND($T$551&gt;0,DATE($C577,8,15)&gt;$T$551)),0,IF(DATE($C577,8,15)&gt;=$X$551,$AA$551*(1+($U$551)/100)^MAX(0,$C577-$AD$551),IF(DATE($C577,8,15)&gt;=$W$551,$Z$551*(1+($U$551)/100)^MAX(0,$C577-$AC$551),IF(DATE($C577,8,15)&gt;=$V$551,$Y$551*(1+($U$551)/100)^MAX(0,$C577-$AB$551),0)))))</f>
      </c>
      <c r="M577" s="43">
        <f>IF($S$551=0,0,IF(OR(DATE($C577,9,15)&lt;$S$551,AND($T$551&gt;0,DATE($C577,9,15)&gt;$T$551)),0,IF(DATE($C577,9,15)&gt;=$X$551,$AA$551*(1+($U$551)/100)^MAX(0,$C577-$AD$551),IF(DATE($C577,9,15)&gt;=$W$551,$Z$551*(1+($U$551)/100)^MAX(0,$C577-$AC$551),IF(DATE($C577,9,15)&gt;=$V$551,$Y$551*(1+($U$551)/100)^MAX(0,$C577-$AB$551),0)))))</f>
      </c>
      <c r="N577" s="43">
        <f>IF($S$551=0,0,IF(OR(DATE($C577,10,15)&lt;$S$551,AND($T$551&gt;0,DATE($C577,10,15)&gt;$T$551)),0,IF(DATE($C577,10,15)&gt;=$X$551,$AA$551*(1+($U$551)/100)^MAX(0,$C577-$AD$551),IF(DATE($C577,10,15)&gt;=$W$551,$Z$551*(1+($U$551)/100)^MAX(0,$C577-$AC$551),IF(DATE($C577,10,15)&gt;=$V$551,$Y$551*(1+($U$551)/100)^MAX(0,$C577-$AB$551),0)))))</f>
      </c>
      <c r="O577" s="43">
        <f>IF($S$551=0,0,IF(OR(DATE($C577,11,15)&lt;$S$551,AND($T$551&gt;0,DATE($C577,11,15)&gt;$T$551)),0,IF(DATE($C577,11,15)&gt;=$X$551,$AA$551*(1+($U$551)/100)^MAX(0,$C577-$AD$551),IF(DATE($C577,11,15)&gt;=$W$551,$Z$551*(1+($U$551)/100)^MAX(0,$C577-$AC$551),IF(DATE($C577,11,15)&gt;=$V$551,$Y$551*(1+($U$551)/100)^MAX(0,$C577-$AB$551),0)))))</f>
      </c>
      <c r="P577" s="43">
        <f>IF($S$551=0,0,IF(OR(DATE($C577,12,15)&lt;$S$551,AND($T$551&gt;0,DATE($C577,12,15)&gt;$T$551)),0,IF(DATE($C577,12,15)&gt;=$X$551,$AA$551*(1+($U$551)/100)^MAX(0,$C577-$AD$551),IF(DATE($C577,12,15)&gt;=$W$551,$Z$551*(1+($U$551)/100)^MAX(0,$C577-$AC$551),IF(DATE($C577,12,15)&gt;=$V$551,$Y$551*(1+($U$551)/100)^MAX(0,$C577-$AB$551),0)))))</f>
      </c>
      <c r="Q577" s="43">
        <f>SUM($E577:$P577)</f>
      </c>
    </row>
    <row r="578">
      <c r="A578"/>
      <c r="B578">
        <v>18</v>
      </c>
      <c r="C578" s="43">
        <f>Jahr+27</f>
      </c>
      <c r="D578" s="43">
        <f>INDEX(MvObj,18)</f>
      </c>
      <c r="E578" s="43">
        <f>IF($S$551=0,0,IF(OR(DATE($C578,1,15)&lt;$S$551,AND($T$551&gt;0,DATE($C578,1,15)&gt;$T$551)),0,IF(DATE($C578,1,15)&gt;=$X$551,$AA$551*(1+($U$551)/100)^MAX(0,$C578-$AD$551),IF(DATE($C578,1,15)&gt;=$W$551,$Z$551*(1+($U$551)/100)^MAX(0,$C578-$AC$551),IF(DATE($C578,1,15)&gt;=$V$551,$Y$551*(1+($U$551)/100)^MAX(0,$C578-$AB$551),0)))))</f>
      </c>
      <c r="F578" s="43">
        <f>IF($S$551=0,0,IF(OR(DATE($C578,2,15)&lt;$S$551,AND($T$551&gt;0,DATE($C578,2,15)&gt;$T$551)),0,IF(DATE($C578,2,15)&gt;=$X$551,$AA$551*(1+($U$551)/100)^MAX(0,$C578-$AD$551),IF(DATE($C578,2,15)&gt;=$W$551,$Z$551*(1+($U$551)/100)^MAX(0,$C578-$AC$551),IF(DATE($C578,2,15)&gt;=$V$551,$Y$551*(1+($U$551)/100)^MAX(0,$C578-$AB$551),0)))))</f>
      </c>
      <c r="G578" s="43">
        <f>IF($S$551=0,0,IF(OR(DATE($C578,3,15)&lt;$S$551,AND($T$551&gt;0,DATE($C578,3,15)&gt;$T$551)),0,IF(DATE($C578,3,15)&gt;=$X$551,$AA$551*(1+($U$551)/100)^MAX(0,$C578-$AD$551),IF(DATE($C578,3,15)&gt;=$W$551,$Z$551*(1+($U$551)/100)^MAX(0,$C578-$AC$551),IF(DATE($C578,3,15)&gt;=$V$551,$Y$551*(1+($U$551)/100)^MAX(0,$C578-$AB$551),0)))))</f>
      </c>
      <c r="H578" s="43">
        <f>IF($S$551=0,0,IF(OR(DATE($C578,4,15)&lt;$S$551,AND($T$551&gt;0,DATE($C578,4,15)&gt;$T$551)),0,IF(DATE($C578,4,15)&gt;=$X$551,$AA$551*(1+($U$551)/100)^MAX(0,$C578-$AD$551),IF(DATE($C578,4,15)&gt;=$W$551,$Z$551*(1+($U$551)/100)^MAX(0,$C578-$AC$551),IF(DATE($C578,4,15)&gt;=$V$551,$Y$551*(1+($U$551)/100)^MAX(0,$C578-$AB$551),0)))))</f>
      </c>
      <c r="I578" s="43">
        <f>IF($S$551=0,0,IF(OR(DATE($C578,5,15)&lt;$S$551,AND($T$551&gt;0,DATE($C578,5,15)&gt;$T$551)),0,IF(DATE($C578,5,15)&gt;=$X$551,$AA$551*(1+($U$551)/100)^MAX(0,$C578-$AD$551),IF(DATE($C578,5,15)&gt;=$W$551,$Z$551*(1+($U$551)/100)^MAX(0,$C578-$AC$551),IF(DATE($C578,5,15)&gt;=$V$551,$Y$551*(1+($U$551)/100)^MAX(0,$C578-$AB$551),0)))))</f>
      </c>
      <c r="J578" s="43">
        <f>IF($S$551=0,0,IF(OR(DATE($C578,6,15)&lt;$S$551,AND($T$551&gt;0,DATE($C578,6,15)&gt;$T$551)),0,IF(DATE($C578,6,15)&gt;=$X$551,$AA$551*(1+($U$551)/100)^MAX(0,$C578-$AD$551),IF(DATE($C578,6,15)&gt;=$W$551,$Z$551*(1+($U$551)/100)^MAX(0,$C578-$AC$551),IF(DATE($C578,6,15)&gt;=$V$551,$Y$551*(1+($U$551)/100)^MAX(0,$C578-$AB$551),0)))))</f>
      </c>
      <c r="K578" s="43">
        <f>IF($S$551=0,0,IF(OR(DATE($C578,7,15)&lt;$S$551,AND($T$551&gt;0,DATE($C578,7,15)&gt;$T$551)),0,IF(DATE($C578,7,15)&gt;=$X$551,$AA$551*(1+($U$551)/100)^MAX(0,$C578-$AD$551),IF(DATE($C578,7,15)&gt;=$W$551,$Z$551*(1+($U$551)/100)^MAX(0,$C578-$AC$551),IF(DATE($C578,7,15)&gt;=$V$551,$Y$551*(1+($U$551)/100)^MAX(0,$C578-$AB$551),0)))))</f>
      </c>
      <c r="L578" s="43">
        <f>IF($S$551=0,0,IF(OR(DATE($C578,8,15)&lt;$S$551,AND($T$551&gt;0,DATE($C578,8,15)&gt;$T$551)),0,IF(DATE($C578,8,15)&gt;=$X$551,$AA$551*(1+($U$551)/100)^MAX(0,$C578-$AD$551),IF(DATE($C578,8,15)&gt;=$W$551,$Z$551*(1+($U$551)/100)^MAX(0,$C578-$AC$551),IF(DATE($C578,8,15)&gt;=$V$551,$Y$551*(1+($U$551)/100)^MAX(0,$C578-$AB$551),0)))))</f>
      </c>
      <c r="M578" s="43">
        <f>IF($S$551=0,0,IF(OR(DATE($C578,9,15)&lt;$S$551,AND($T$551&gt;0,DATE($C578,9,15)&gt;$T$551)),0,IF(DATE($C578,9,15)&gt;=$X$551,$AA$551*(1+($U$551)/100)^MAX(0,$C578-$AD$551),IF(DATE($C578,9,15)&gt;=$W$551,$Z$551*(1+($U$551)/100)^MAX(0,$C578-$AC$551),IF(DATE($C578,9,15)&gt;=$V$551,$Y$551*(1+($U$551)/100)^MAX(0,$C578-$AB$551),0)))))</f>
      </c>
      <c r="N578" s="43">
        <f>IF($S$551=0,0,IF(OR(DATE($C578,10,15)&lt;$S$551,AND($T$551&gt;0,DATE($C578,10,15)&gt;$T$551)),0,IF(DATE($C578,10,15)&gt;=$X$551,$AA$551*(1+($U$551)/100)^MAX(0,$C578-$AD$551),IF(DATE($C578,10,15)&gt;=$W$551,$Z$551*(1+($U$551)/100)^MAX(0,$C578-$AC$551),IF(DATE($C578,10,15)&gt;=$V$551,$Y$551*(1+($U$551)/100)^MAX(0,$C578-$AB$551),0)))))</f>
      </c>
      <c r="O578" s="43">
        <f>IF($S$551=0,0,IF(OR(DATE($C578,11,15)&lt;$S$551,AND($T$551&gt;0,DATE($C578,11,15)&gt;$T$551)),0,IF(DATE($C578,11,15)&gt;=$X$551,$AA$551*(1+($U$551)/100)^MAX(0,$C578-$AD$551),IF(DATE($C578,11,15)&gt;=$W$551,$Z$551*(1+($U$551)/100)^MAX(0,$C578-$AC$551),IF(DATE($C578,11,15)&gt;=$V$551,$Y$551*(1+($U$551)/100)^MAX(0,$C578-$AB$551),0)))))</f>
      </c>
      <c r="P578" s="43">
        <f>IF($S$551=0,0,IF(OR(DATE($C578,12,15)&lt;$S$551,AND($T$551&gt;0,DATE($C578,12,15)&gt;$T$551)),0,IF(DATE($C578,12,15)&gt;=$X$551,$AA$551*(1+($U$551)/100)^MAX(0,$C578-$AD$551),IF(DATE($C578,12,15)&gt;=$W$551,$Z$551*(1+($U$551)/100)^MAX(0,$C578-$AC$551),IF(DATE($C578,12,15)&gt;=$V$551,$Y$551*(1+($U$551)/100)^MAX(0,$C578-$AB$551),0)))))</f>
      </c>
      <c r="Q578" s="43">
        <f>SUM($E578:$P578)</f>
      </c>
    </row>
    <row r="579">
      <c r="A579"/>
      <c r="B579">
        <v>18</v>
      </c>
      <c r="C579" s="43">
        <f>Jahr+28</f>
      </c>
      <c r="D579" s="43">
        <f>INDEX(MvObj,18)</f>
      </c>
      <c r="E579" s="43">
        <f>IF($S$551=0,0,IF(OR(DATE($C579,1,15)&lt;$S$551,AND($T$551&gt;0,DATE($C579,1,15)&gt;$T$551)),0,IF(DATE($C579,1,15)&gt;=$X$551,$AA$551*(1+($U$551)/100)^MAX(0,$C579-$AD$551),IF(DATE($C579,1,15)&gt;=$W$551,$Z$551*(1+($U$551)/100)^MAX(0,$C579-$AC$551),IF(DATE($C579,1,15)&gt;=$V$551,$Y$551*(1+($U$551)/100)^MAX(0,$C579-$AB$551),0)))))</f>
      </c>
      <c r="F579" s="43">
        <f>IF($S$551=0,0,IF(OR(DATE($C579,2,15)&lt;$S$551,AND($T$551&gt;0,DATE($C579,2,15)&gt;$T$551)),0,IF(DATE($C579,2,15)&gt;=$X$551,$AA$551*(1+($U$551)/100)^MAX(0,$C579-$AD$551),IF(DATE($C579,2,15)&gt;=$W$551,$Z$551*(1+($U$551)/100)^MAX(0,$C579-$AC$551),IF(DATE($C579,2,15)&gt;=$V$551,$Y$551*(1+($U$551)/100)^MAX(0,$C579-$AB$551),0)))))</f>
      </c>
      <c r="G579" s="43">
        <f>IF($S$551=0,0,IF(OR(DATE($C579,3,15)&lt;$S$551,AND($T$551&gt;0,DATE($C579,3,15)&gt;$T$551)),0,IF(DATE($C579,3,15)&gt;=$X$551,$AA$551*(1+($U$551)/100)^MAX(0,$C579-$AD$551),IF(DATE($C579,3,15)&gt;=$W$551,$Z$551*(1+($U$551)/100)^MAX(0,$C579-$AC$551),IF(DATE($C579,3,15)&gt;=$V$551,$Y$551*(1+($U$551)/100)^MAX(0,$C579-$AB$551),0)))))</f>
      </c>
      <c r="H579" s="43">
        <f>IF($S$551=0,0,IF(OR(DATE($C579,4,15)&lt;$S$551,AND($T$551&gt;0,DATE($C579,4,15)&gt;$T$551)),0,IF(DATE($C579,4,15)&gt;=$X$551,$AA$551*(1+($U$551)/100)^MAX(0,$C579-$AD$551),IF(DATE($C579,4,15)&gt;=$W$551,$Z$551*(1+($U$551)/100)^MAX(0,$C579-$AC$551),IF(DATE($C579,4,15)&gt;=$V$551,$Y$551*(1+($U$551)/100)^MAX(0,$C579-$AB$551),0)))))</f>
      </c>
      <c r="I579" s="43">
        <f>IF($S$551=0,0,IF(OR(DATE($C579,5,15)&lt;$S$551,AND($T$551&gt;0,DATE($C579,5,15)&gt;$T$551)),0,IF(DATE($C579,5,15)&gt;=$X$551,$AA$551*(1+($U$551)/100)^MAX(0,$C579-$AD$551),IF(DATE($C579,5,15)&gt;=$W$551,$Z$551*(1+($U$551)/100)^MAX(0,$C579-$AC$551),IF(DATE($C579,5,15)&gt;=$V$551,$Y$551*(1+($U$551)/100)^MAX(0,$C579-$AB$551),0)))))</f>
      </c>
      <c r="J579" s="43">
        <f>IF($S$551=0,0,IF(OR(DATE($C579,6,15)&lt;$S$551,AND($T$551&gt;0,DATE($C579,6,15)&gt;$T$551)),0,IF(DATE($C579,6,15)&gt;=$X$551,$AA$551*(1+($U$551)/100)^MAX(0,$C579-$AD$551),IF(DATE($C579,6,15)&gt;=$W$551,$Z$551*(1+($U$551)/100)^MAX(0,$C579-$AC$551),IF(DATE($C579,6,15)&gt;=$V$551,$Y$551*(1+($U$551)/100)^MAX(0,$C579-$AB$551),0)))))</f>
      </c>
      <c r="K579" s="43">
        <f>IF($S$551=0,0,IF(OR(DATE($C579,7,15)&lt;$S$551,AND($T$551&gt;0,DATE($C579,7,15)&gt;$T$551)),0,IF(DATE($C579,7,15)&gt;=$X$551,$AA$551*(1+($U$551)/100)^MAX(0,$C579-$AD$551),IF(DATE($C579,7,15)&gt;=$W$551,$Z$551*(1+($U$551)/100)^MAX(0,$C579-$AC$551),IF(DATE($C579,7,15)&gt;=$V$551,$Y$551*(1+($U$551)/100)^MAX(0,$C579-$AB$551),0)))))</f>
      </c>
      <c r="L579" s="43">
        <f>IF($S$551=0,0,IF(OR(DATE($C579,8,15)&lt;$S$551,AND($T$551&gt;0,DATE($C579,8,15)&gt;$T$551)),0,IF(DATE($C579,8,15)&gt;=$X$551,$AA$551*(1+($U$551)/100)^MAX(0,$C579-$AD$551),IF(DATE($C579,8,15)&gt;=$W$551,$Z$551*(1+($U$551)/100)^MAX(0,$C579-$AC$551),IF(DATE($C579,8,15)&gt;=$V$551,$Y$551*(1+($U$551)/100)^MAX(0,$C579-$AB$551),0)))))</f>
      </c>
      <c r="M579" s="43">
        <f>IF($S$551=0,0,IF(OR(DATE($C579,9,15)&lt;$S$551,AND($T$551&gt;0,DATE($C579,9,15)&gt;$T$551)),0,IF(DATE($C579,9,15)&gt;=$X$551,$AA$551*(1+($U$551)/100)^MAX(0,$C579-$AD$551),IF(DATE($C579,9,15)&gt;=$W$551,$Z$551*(1+($U$551)/100)^MAX(0,$C579-$AC$551),IF(DATE($C579,9,15)&gt;=$V$551,$Y$551*(1+($U$551)/100)^MAX(0,$C579-$AB$551),0)))))</f>
      </c>
      <c r="N579" s="43">
        <f>IF($S$551=0,0,IF(OR(DATE($C579,10,15)&lt;$S$551,AND($T$551&gt;0,DATE($C579,10,15)&gt;$T$551)),0,IF(DATE($C579,10,15)&gt;=$X$551,$AA$551*(1+($U$551)/100)^MAX(0,$C579-$AD$551),IF(DATE($C579,10,15)&gt;=$W$551,$Z$551*(1+($U$551)/100)^MAX(0,$C579-$AC$551),IF(DATE($C579,10,15)&gt;=$V$551,$Y$551*(1+($U$551)/100)^MAX(0,$C579-$AB$551),0)))))</f>
      </c>
      <c r="O579" s="43">
        <f>IF($S$551=0,0,IF(OR(DATE($C579,11,15)&lt;$S$551,AND($T$551&gt;0,DATE($C579,11,15)&gt;$T$551)),0,IF(DATE($C579,11,15)&gt;=$X$551,$AA$551*(1+($U$551)/100)^MAX(0,$C579-$AD$551),IF(DATE($C579,11,15)&gt;=$W$551,$Z$551*(1+($U$551)/100)^MAX(0,$C579-$AC$551),IF(DATE($C579,11,15)&gt;=$V$551,$Y$551*(1+($U$551)/100)^MAX(0,$C579-$AB$551),0)))))</f>
      </c>
      <c r="P579" s="43">
        <f>IF($S$551=0,0,IF(OR(DATE($C579,12,15)&lt;$S$551,AND($T$551&gt;0,DATE($C579,12,15)&gt;$T$551)),0,IF(DATE($C579,12,15)&gt;=$X$551,$AA$551*(1+($U$551)/100)^MAX(0,$C579-$AD$551),IF(DATE($C579,12,15)&gt;=$W$551,$Z$551*(1+($U$551)/100)^MAX(0,$C579-$AC$551),IF(DATE($C579,12,15)&gt;=$V$551,$Y$551*(1+($U$551)/100)^MAX(0,$C579-$AB$551),0)))))</f>
      </c>
      <c r="Q579" s="43">
        <f>SUM($E579:$P579)</f>
      </c>
    </row>
    <row r="580">
      <c r="A580"/>
      <c r="B580">
        <v>18</v>
      </c>
      <c r="C580" s="43">
        <f>Jahr+29</f>
      </c>
      <c r="D580" s="43">
        <f>INDEX(MvObj,18)</f>
      </c>
      <c r="E580" s="43">
        <f>IF($S$551=0,0,IF(OR(DATE($C580,1,15)&lt;$S$551,AND($T$551&gt;0,DATE($C580,1,15)&gt;$T$551)),0,IF(DATE($C580,1,15)&gt;=$X$551,$AA$551*(1+($U$551)/100)^MAX(0,$C580-$AD$551),IF(DATE($C580,1,15)&gt;=$W$551,$Z$551*(1+($U$551)/100)^MAX(0,$C580-$AC$551),IF(DATE($C580,1,15)&gt;=$V$551,$Y$551*(1+($U$551)/100)^MAX(0,$C580-$AB$551),0)))))</f>
      </c>
      <c r="F580" s="43">
        <f>IF($S$551=0,0,IF(OR(DATE($C580,2,15)&lt;$S$551,AND($T$551&gt;0,DATE($C580,2,15)&gt;$T$551)),0,IF(DATE($C580,2,15)&gt;=$X$551,$AA$551*(1+($U$551)/100)^MAX(0,$C580-$AD$551),IF(DATE($C580,2,15)&gt;=$W$551,$Z$551*(1+($U$551)/100)^MAX(0,$C580-$AC$551),IF(DATE($C580,2,15)&gt;=$V$551,$Y$551*(1+($U$551)/100)^MAX(0,$C580-$AB$551),0)))))</f>
      </c>
      <c r="G580" s="43">
        <f>IF($S$551=0,0,IF(OR(DATE($C580,3,15)&lt;$S$551,AND($T$551&gt;0,DATE($C580,3,15)&gt;$T$551)),0,IF(DATE($C580,3,15)&gt;=$X$551,$AA$551*(1+($U$551)/100)^MAX(0,$C580-$AD$551),IF(DATE($C580,3,15)&gt;=$W$551,$Z$551*(1+($U$551)/100)^MAX(0,$C580-$AC$551),IF(DATE($C580,3,15)&gt;=$V$551,$Y$551*(1+($U$551)/100)^MAX(0,$C580-$AB$551),0)))))</f>
      </c>
      <c r="H580" s="43">
        <f>IF($S$551=0,0,IF(OR(DATE($C580,4,15)&lt;$S$551,AND($T$551&gt;0,DATE($C580,4,15)&gt;$T$551)),0,IF(DATE($C580,4,15)&gt;=$X$551,$AA$551*(1+($U$551)/100)^MAX(0,$C580-$AD$551),IF(DATE($C580,4,15)&gt;=$W$551,$Z$551*(1+($U$551)/100)^MAX(0,$C580-$AC$551),IF(DATE($C580,4,15)&gt;=$V$551,$Y$551*(1+($U$551)/100)^MAX(0,$C580-$AB$551),0)))))</f>
      </c>
      <c r="I580" s="43">
        <f>IF($S$551=0,0,IF(OR(DATE($C580,5,15)&lt;$S$551,AND($T$551&gt;0,DATE($C580,5,15)&gt;$T$551)),0,IF(DATE($C580,5,15)&gt;=$X$551,$AA$551*(1+($U$551)/100)^MAX(0,$C580-$AD$551),IF(DATE($C580,5,15)&gt;=$W$551,$Z$551*(1+($U$551)/100)^MAX(0,$C580-$AC$551),IF(DATE($C580,5,15)&gt;=$V$551,$Y$551*(1+($U$551)/100)^MAX(0,$C580-$AB$551),0)))))</f>
      </c>
      <c r="J580" s="43">
        <f>IF($S$551=0,0,IF(OR(DATE($C580,6,15)&lt;$S$551,AND($T$551&gt;0,DATE($C580,6,15)&gt;$T$551)),0,IF(DATE($C580,6,15)&gt;=$X$551,$AA$551*(1+($U$551)/100)^MAX(0,$C580-$AD$551),IF(DATE($C580,6,15)&gt;=$W$551,$Z$551*(1+($U$551)/100)^MAX(0,$C580-$AC$551),IF(DATE($C580,6,15)&gt;=$V$551,$Y$551*(1+($U$551)/100)^MAX(0,$C580-$AB$551),0)))))</f>
      </c>
      <c r="K580" s="43">
        <f>IF($S$551=0,0,IF(OR(DATE($C580,7,15)&lt;$S$551,AND($T$551&gt;0,DATE($C580,7,15)&gt;$T$551)),0,IF(DATE($C580,7,15)&gt;=$X$551,$AA$551*(1+($U$551)/100)^MAX(0,$C580-$AD$551),IF(DATE($C580,7,15)&gt;=$W$551,$Z$551*(1+($U$551)/100)^MAX(0,$C580-$AC$551),IF(DATE($C580,7,15)&gt;=$V$551,$Y$551*(1+($U$551)/100)^MAX(0,$C580-$AB$551),0)))))</f>
      </c>
      <c r="L580" s="43">
        <f>IF($S$551=0,0,IF(OR(DATE($C580,8,15)&lt;$S$551,AND($T$551&gt;0,DATE($C580,8,15)&gt;$T$551)),0,IF(DATE($C580,8,15)&gt;=$X$551,$AA$551*(1+($U$551)/100)^MAX(0,$C580-$AD$551),IF(DATE($C580,8,15)&gt;=$W$551,$Z$551*(1+($U$551)/100)^MAX(0,$C580-$AC$551),IF(DATE($C580,8,15)&gt;=$V$551,$Y$551*(1+($U$551)/100)^MAX(0,$C580-$AB$551),0)))))</f>
      </c>
      <c r="M580" s="43">
        <f>IF($S$551=0,0,IF(OR(DATE($C580,9,15)&lt;$S$551,AND($T$551&gt;0,DATE($C580,9,15)&gt;$T$551)),0,IF(DATE($C580,9,15)&gt;=$X$551,$AA$551*(1+($U$551)/100)^MAX(0,$C580-$AD$551),IF(DATE($C580,9,15)&gt;=$W$551,$Z$551*(1+($U$551)/100)^MAX(0,$C580-$AC$551),IF(DATE($C580,9,15)&gt;=$V$551,$Y$551*(1+($U$551)/100)^MAX(0,$C580-$AB$551),0)))))</f>
      </c>
      <c r="N580" s="43">
        <f>IF($S$551=0,0,IF(OR(DATE($C580,10,15)&lt;$S$551,AND($T$551&gt;0,DATE($C580,10,15)&gt;$T$551)),0,IF(DATE($C580,10,15)&gt;=$X$551,$AA$551*(1+($U$551)/100)^MAX(0,$C580-$AD$551),IF(DATE($C580,10,15)&gt;=$W$551,$Z$551*(1+($U$551)/100)^MAX(0,$C580-$AC$551),IF(DATE($C580,10,15)&gt;=$V$551,$Y$551*(1+($U$551)/100)^MAX(0,$C580-$AB$551),0)))))</f>
      </c>
      <c r="O580" s="43">
        <f>IF($S$551=0,0,IF(OR(DATE($C580,11,15)&lt;$S$551,AND($T$551&gt;0,DATE($C580,11,15)&gt;$T$551)),0,IF(DATE($C580,11,15)&gt;=$X$551,$AA$551*(1+($U$551)/100)^MAX(0,$C580-$AD$551),IF(DATE($C580,11,15)&gt;=$W$551,$Z$551*(1+($U$551)/100)^MAX(0,$C580-$AC$551),IF(DATE($C580,11,15)&gt;=$V$551,$Y$551*(1+($U$551)/100)^MAX(0,$C580-$AB$551),0)))))</f>
      </c>
      <c r="P580" s="43">
        <f>IF($S$551=0,0,IF(OR(DATE($C580,12,15)&lt;$S$551,AND($T$551&gt;0,DATE($C580,12,15)&gt;$T$551)),0,IF(DATE($C580,12,15)&gt;=$X$551,$AA$551*(1+($U$551)/100)^MAX(0,$C580-$AD$551),IF(DATE($C580,12,15)&gt;=$W$551,$Z$551*(1+($U$551)/100)^MAX(0,$C580-$AC$551),IF(DATE($C580,12,15)&gt;=$V$551,$Y$551*(1+($U$551)/100)^MAX(0,$C580-$AB$551),0)))))</f>
      </c>
      <c r="Q580" s="43">
        <f>SUM($E580:$P580)</f>
      </c>
    </row>
    <row r="581">
      <c r="A581"/>
      <c r="B581">
        <v>18</v>
      </c>
      <c r="C581" s="43">
        <f>Jahr+30</f>
      </c>
      <c r="D581" s="43">
        <f>INDEX(MvObj,18)</f>
      </c>
      <c r="E581" s="43">
        <f>IF($S$551=0,0,IF(OR(DATE($C581,1,15)&lt;$S$551,AND($T$551&gt;0,DATE($C581,1,15)&gt;$T$551)),0,IF(DATE($C581,1,15)&gt;=$X$551,$AA$551*(1+($U$551)/100)^MAX(0,$C581-$AD$551),IF(DATE($C581,1,15)&gt;=$W$551,$Z$551*(1+($U$551)/100)^MAX(0,$C581-$AC$551),IF(DATE($C581,1,15)&gt;=$V$551,$Y$551*(1+($U$551)/100)^MAX(0,$C581-$AB$551),0)))))</f>
      </c>
      <c r="F581" s="43">
        <f>IF($S$551=0,0,IF(OR(DATE($C581,2,15)&lt;$S$551,AND($T$551&gt;0,DATE($C581,2,15)&gt;$T$551)),0,IF(DATE($C581,2,15)&gt;=$X$551,$AA$551*(1+($U$551)/100)^MAX(0,$C581-$AD$551),IF(DATE($C581,2,15)&gt;=$W$551,$Z$551*(1+($U$551)/100)^MAX(0,$C581-$AC$551),IF(DATE($C581,2,15)&gt;=$V$551,$Y$551*(1+($U$551)/100)^MAX(0,$C581-$AB$551),0)))))</f>
      </c>
      <c r="G581" s="43">
        <f>IF($S$551=0,0,IF(OR(DATE($C581,3,15)&lt;$S$551,AND($T$551&gt;0,DATE($C581,3,15)&gt;$T$551)),0,IF(DATE($C581,3,15)&gt;=$X$551,$AA$551*(1+($U$551)/100)^MAX(0,$C581-$AD$551),IF(DATE($C581,3,15)&gt;=$W$551,$Z$551*(1+($U$551)/100)^MAX(0,$C581-$AC$551),IF(DATE($C581,3,15)&gt;=$V$551,$Y$551*(1+($U$551)/100)^MAX(0,$C581-$AB$551),0)))))</f>
      </c>
      <c r="H581" s="43">
        <f>IF($S$551=0,0,IF(OR(DATE($C581,4,15)&lt;$S$551,AND($T$551&gt;0,DATE($C581,4,15)&gt;$T$551)),0,IF(DATE($C581,4,15)&gt;=$X$551,$AA$551*(1+($U$551)/100)^MAX(0,$C581-$AD$551),IF(DATE($C581,4,15)&gt;=$W$551,$Z$551*(1+($U$551)/100)^MAX(0,$C581-$AC$551),IF(DATE($C581,4,15)&gt;=$V$551,$Y$551*(1+($U$551)/100)^MAX(0,$C581-$AB$551),0)))))</f>
      </c>
      <c r="I581" s="43">
        <f>IF($S$551=0,0,IF(OR(DATE($C581,5,15)&lt;$S$551,AND($T$551&gt;0,DATE($C581,5,15)&gt;$T$551)),0,IF(DATE($C581,5,15)&gt;=$X$551,$AA$551*(1+($U$551)/100)^MAX(0,$C581-$AD$551),IF(DATE($C581,5,15)&gt;=$W$551,$Z$551*(1+($U$551)/100)^MAX(0,$C581-$AC$551),IF(DATE($C581,5,15)&gt;=$V$551,$Y$551*(1+($U$551)/100)^MAX(0,$C581-$AB$551),0)))))</f>
      </c>
      <c r="J581" s="43">
        <f>IF($S$551=0,0,IF(OR(DATE($C581,6,15)&lt;$S$551,AND($T$551&gt;0,DATE($C581,6,15)&gt;$T$551)),0,IF(DATE($C581,6,15)&gt;=$X$551,$AA$551*(1+($U$551)/100)^MAX(0,$C581-$AD$551),IF(DATE($C581,6,15)&gt;=$W$551,$Z$551*(1+($U$551)/100)^MAX(0,$C581-$AC$551),IF(DATE($C581,6,15)&gt;=$V$551,$Y$551*(1+($U$551)/100)^MAX(0,$C581-$AB$551),0)))))</f>
      </c>
      <c r="K581" s="43">
        <f>IF($S$551=0,0,IF(OR(DATE($C581,7,15)&lt;$S$551,AND($T$551&gt;0,DATE($C581,7,15)&gt;$T$551)),0,IF(DATE($C581,7,15)&gt;=$X$551,$AA$551*(1+($U$551)/100)^MAX(0,$C581-$AD$551),IF(DATE($C581,7,15)&gt;=$W$551,$Z$551*(1+($U$551)/100)^MAX(0,$C581-$AC$551),IF(DATE($C581,7,15)&gt;=$V$551,$Y$551*(1+($U$551)/100)^MAX(0,$C581-$AB$551),0)))))</f>
      </c>
      <c r="L581" s="43">
        <f>IF($S$551=0,0,IF(OR(DATE($C581,8,15)&lt;$S$551,AND($T$551&gt;0,DATE($C581,8,15)&gt;$T$551)),0,IF(DATE($C581,8,15)&gt;=$X$551,$AA$551*(1+($U$551)/100)^MAX(0,$C581-$AD$551),IF(DATE($C581,8,15)&gt;=$W$551,$Z$551*(1+($U$551)/100)^MAX(0,$C581-$AC$551),IF(DATE($C581,8,15)&gt;=$V$551,$Y$551*(1+($U$551)/100)^MAX(0,$C581-$AB$551),0)))))</f>
      </c>
      <c r="M581" s="43">
        <f>IF($S$551=0,0,IF(OR(DATE($C581,9,15)&lt;$S$551,AND($T$551&gt;0,DATE($C581,9,15)&gt;$T$551)),0,IF(DATE($C581,9,15)&gt;=$X$551,$AA$551*(1+($U$551)/100)^MAX(0,$C581-$AD$551),IF(DATE($C581,9,15)&gt;=$W$551,$Z$551*(1+($U$551)/100)^MAX(0,$C581-$AC$551),IF(DATE($C581,9,15)&gt;=$V$551,$Y$551*(1+($U$551)/100)^MAX(0,$C581-$AB$551),0)))))</f>
      </c>
      <c r="N581" s="43">
        <f>IF($S$551=0,0,IF(OR(DATE($C581,10,15)&lt;$S$551,AND($T$551&gt;0,DATE($C581,10,15)&gt;$T$551)),0,IF(DATE($C581,10,15)&gt;=$X$551,$AA$551*(1+($U$551)/100)^MAX(0,$C581-$AD$551),IF(DATE($C581,10,15)&gt;=$W$551,$Z$551*(1+($U$551)/100)^MAX(0,$C581-$AC$551),IF(DATE($C581,10,15)&gt;=$V$551,$Y$551*(1+($U$551)/100)^MAX(0,$C581-$AB$551),0)))))</f>
      </c>
      <c r="O581" s="43">
        <f>IF($S$551=0,0,IF(OR(DATE($C581,11,15)&lt;$S$551,AND($T$551&gt;0,DATE($C581,11,15)&gt;$T$551)),0,IF(DATE($C581,11,15)&gt;=$X$551,$AA$551*(1+($U$551)/100)^MAX(0,$C581-$AD$551),IF(DATE($C581,11,15)&gt;=$W$551,$Z$551*(1+($U$551)/100)^MAX(0,$C581-$AC$551),IF(DATE($C581,11,15)&gt;=$V$551,$Y$551*(1+($U$551)/100)^MAX(0,$C581-$AB$551),0)))))</f>
      </c>
      <c r="P581" s="43">
        <f>IF($S$551=0,0,IF(OR(DATE($C581,12,15)&lt;$S$551,AND($T$551&gt;0,DATE($C581,12,15)&gt;$T$551)),0,IF(DATE($C581,12,15)&gt;=$X$551,$AA$551*(1+($U$551)/100)^MAX(0,$C581-$AD$551),IF(DATE($C581,12,15)&gt;=$W$551,$Z$551*(1+($U$551)/100)^MAX(0,$C581-$AC$551),IF(DATE($C581,12,15)&gt;=$V$551,$Y$551*(1+($U$551)/100)^MAX(0,$C581-$AB$551),0)))))</f>
      </c>
      <c r="Q581" s="43">
        <f>SUM($E581:$P581)</f>
      </c>
    </row>
    <row r="582">
      <c r="A582"/>
      <c r="B582">
        <v>19</v>
      </c>
      <c r="C582" s="43">
        <f>Jahr+0</f>
      </c>
      <c r="D582" s="43">
        <f>INDEX(MvObj,19)</f>
      </c>
      <c r="E582" s="43">
        <f>IF($S$582=0,0,IF(OR(DATE($C582,1,15)&lt;$S$582,AND($T$582&gt;0,DATE($C582,1,15)&gt;$T$582)),0,IF(DATE($C582,1,15)&gt;=$X$582,$AA$582*(1+($U$582)/100)^MAX(0,$C582-$AD$582),IF(DATE($C582,1,15)&gt;=$W$582,$Z$582*(1+($U$582)/100)^MAX(0,$C582-$AC$582),IF(DATE($C582,1,15)&gt;=$V$582,$Y$582*(1+($U$582)/100)^MAX(0,$C582-$AB$582),0)))))</f>
      </c>
      <c r="F582" s="43">
        <f>IF($S$582=0,0,IF(OR(DATE($C582,2,15)&lt;$S$582,AND($T$582&gt;0,DATE($C582,2,15)&gt;$T$582)),0,IF(DATE($C582,2,15)&gt;=$X$582,$AA$582*(1+($U$582)/100)^MAX(0,$C582-$AD$582),IF(DATE($C582,2,15)&gt;=$W$582,$Z$582*(1+($U$582)/100)^MAX(0,$C582-$AC$582),IF(DATE($C582,2,15)&gt;=$V$582,$Y$582*(1+($U$582)/100)^MAX(0,$C582-$AB$582),0)))))</f>
      </c>
      <c r="G582" s="43">
        <f>IF($S$582=0,0,IF(OR(DATE($C582,3,15)&lt;$S$582,AND($T$582&gt;0,DATE($C582,3,15)&gt;$T$582)),0,IF(DATE($C582,3,15)&gt;=$X$582,$AA$582*(1+($U$582)/100)^MAX(0,$C582-$AD$582),IF(DATE($C582,3,15)&gt;=$W$582,$Z$582*(1+($U$582)/100)^MAX(0,$C582-$AC$582),IF(DATE($C582,3,15)&gt;=$V$582,$Y$582*(1+($U$582)/100)^MAX(0,$C582-$AB$582),0)))))</f>
      </c>
      <c r="H582" s="43">
        <f>IF($S$582=0,0,IF(OR(DATE($C582,4,15)&lt;$S$582,AND($T$582&gt;0,DATE($C582,4,15)&gt;$T$582)),0,IF(DATE($C582,4,15)&gt;=$X$582,$AA$582*(1+($U$582)/100)^MAX(0,$C582-$AD$582),IF(DATE($C582,4,15)&gt;=$W$582,$Z$582*(1+($U$582)/100)^MAX(0,$C582-$AC$582),IF(DATE($C582,4,15)&gt;=$V$582,$Y$582*(1+($U$582)/100)^MAX(0,$C582-$AB$582),0)))))</f>
      </c>
      <c r="I582" s="43">
        <f>IF($S$582=0,0,IF(OR(DATE($C582,5,15)&lt;$S$582,AND($T$582&gt;0,DATE($C582,5,15)&gt;$T$582)),0,IF(DATE($C582,5,15)&gt;=$X$582,$AA$582*(1+($U$582)/100)^MAX(0,$C582-$AD$582),IF(DATE($C582,5,15)&gt;=$W$582,$Z$582*(1+($U$582)/100)^MAX(0,$C582-$AC$582),IF(DATE($C582,5,15)&gt;=$V$582,$Y$582*(1+($U$582)/100)^MAX(0,$C582-$AB$582),0)))))</f>
      </c>
      <c r="J582" s="43">
        <f>IF($S$582=0,0,IF(OR(DATE($C582,6,15)&lt;$S$582,AND($T$582&gt;0,DATE($C582,6,15)&gt;$T$582)),0,IF(DATE($C582,6,15)&gt;=$X$582,$AA$582*(1+($U$582)/100)^MAX(0,$C582-$AD$582),IF(DATE($C582,6,15)&gt;=$W$582,$Z$582*(1+($U$582)/100)^MAX(0,$C582-$AC$582),IF(DATE($C582,6,15)&gt;=$V$582,$Y$582*(1+($U$582)/100)^MAX(0,$C582-$AB$582),0)))))</f>
      </c>
      <c r="K582" s="43">
        <f>IF($S$582=0,0,IF(OR(DATE($C582,7,15)&lt;$S$582,AND($T$582&gt;0,DATE($C582,7,15)&gt;$T$582)),0,IF(DATE($C582,7,15)&gt;=$X$582,$AA$582*(1+($U$582)/100)^MAX(0,$C582-$AD$582),IF(DATE($C582,7,15)&gt;=$W$582,$Z$582*(1+($U$582)/100)^MAX(0,$C582-$AC$582),IF(DATE($C582,7,15)&gt;=$V$582,$Y$582*(1+($U$582)/100)^MAX(0,$C582-$AB$582),0)))))</f>
      </c>
      <c r="L582" s="43">
        <f>IF($S$582=0,0,IF(OR(DATE($C582,8,15)&lt;$S$582,AND($T$582&gt;0,DATE($C582,8,15)&gt;$T$582)),0,IF(DATE($C582,8,15)&gt;=$X$582,$AA$582*(1+($U$582)/100)^MAX(0,$C582-$AD$582),IF(DATE($C582,8,15)&gt;=$W$582,$Z$582*(1+($U$582)/100)^MAX(0,$C582-$AC$582),IF(DATE($C582,8,15)&gt;=$V$582,$Y$582*(1+($U$582)/100)^MAX(0,$C582-$AB$582),0)))))</f>
      </c>
      <c r="M582" s="43">
        <f>IF($S$582=0,0,IF(OR(DATE($C582,9,15)&lt;$S$582,AND($T$582&gt;0,DATE($C582,9,15)&gt;$T$582)),0,IF(DATE($C582,9,15)&gt;=$X$582,$AA$582*(1+($U$582)/100)^MAX(0,$C582-$AD$582),IF(DATE($C582,9,15)&gt;=$W$582,$Z$582*(1+($U$582)/100)^MAX(0,$C582-$AC$582),IF(DATE($C582,9,15)&gt;=$V$582,$Y$582*(1+($U$582)/100)^MAX(0,$C582-$AB$582),0)))))</f>
      </c>
      <c r="N582" s="43">
        <f>IF($S$582=0,0,IF(OR(DATE($C582,10,15)&lt;$S$582,AND($T$582&gt;0,DATE($C582,10,15)&gt;$T$582)),0,IF(DATE($C582,10,15)&gt;=$X$582,$AA$582*(1+($U$582)/100)^MAX(0,$C582-$AD$582),IF(DATE($C582,10,15)&gt;=$W$582,$Z$582*(1+($U$582)/100)^MAX(0,$C582-$AC$582),IF(DATE($C582,10,15)&gt;=$V$582,$Y$582*(1+($U$582)/100)^MAX(0,$C582-$AB$582),0)))))</f>
      </c>
      <c r="O582" s="43">
        <f>IF($S$582=0,0,IF(OR(DATE($C582,11,15)&lt;$S$582,AND($T$582&gt;0,DATE($C582,11,15)&gt;$T$582)),0,IF(DATE($C582,11,15)&gt;=$X$582,$AA$582*(1+($U$582)/100)^MAX(0,$C582-$AD$582),IF(DATE($C582,11,15)&gt;=$W$582,$Z$582*(1+($U$582)/100)^MAX(0,$C582-$AC$582),IF(DATE($C582,11,15)&gt;=$V$582,$Y$582*(1+($U$582)/100)^MAX(0,$C582-$AB$582),0)))))</f>
      </c>
      <c r="P582" s="43">
        <f>IF($S$582=0,0,IF(OR(DATE($C582,12,15)&lt;$S$582,AND($T$582&gt;0,DATE($C582,12,15)&gt;$T$582)),0,IF(DATE($C582,12,15)&gt;=$X$582,$AA$582*(1+($U$582)/100)^MAX(0,$C582-$AD$582),IF(DATE($C582,12,15)&gt;=$W$582,$Z$582*(1+($U$582)/100)^MAX(0,$C582-$AC$582),IF(DATE($C582,12,15)&gt;=$V$582,$Y$582*(1+($U$582)/100)^MAX(0,$C582-$AB$582),0)))))</f>
      </c>
      <c r="Q582" s="43">
        <f>SUM($E582:$P582)</f>
      </c>
      <c r="R582"/>
      <c r="S582" s="43">
        <f>IF(INDEX(MvBeginn,19)="",0,INDEX(MvBeginn,19))</f>
      </c>
      <c r="T582" s="43">
        <f>INDEX(MvEnde,19)</f>
      </c>
      <c r="U582" s="43">
        <f>INDEX(MvSatz,19)</f>
      </c>
      <c r="V582" s="43">
        <f>INDEX(MvKey1,19)</f>
      </c>
      <c r="W582" s="43">
        <f>INDEX(MvKey2,19)</f>
      </c>
      <c r="X582" s="43">
        <f>INDEX(MvKey3,19)</f>
      </c>
      <c r="Y582" s="43">
        <f>INDEX(MvKalt1,19)</f>
      </c>
      <c r="Z582" s="43">
        <f>INDEX(MvKalt2,19)</f>
      </c>
      <c r="AA582" s="43">
        <f>INDEX(MvKalt3,19)</f>
      </c>
      <c r="AB582" s="43">
        <f>MAX(YEAR(INDEX(MvAb1,19)),Jahr)</f>
      </c>
      <c r="AC582" s="43">
        <f>MAX(YEAR(INDEX(MvAb2,19)),Jahr)</f>
      </c>
      <c r="AD582" s="43">
        <f>MAX(YEAR(INDEX(MvAb3,19)),Jahr)</f>
      </c>
    </row>
    <row r="583">
      <c r="A583"/>
      <c r="B583">
        <v>19</v>
      </c>
      <c r="C583" s="43">
        <f>Jahr+1</f>
      </c>
      <c r="D583" s="43">
        <f>INDEX(MvObj,19)</f>
      </c>
      <c r="E583" s="43">
        <f>IF($S$582=0,0,IF(OR(DATE($C583,1,15)&lt;$S$582,AND($T$582&gt;0,DATE($C583,1,15)&gt;$T$582)),0,IF(DATE($C583,1,15)&gt;=$X$582,$AA$582*(1+($U$582)/100)^MAX(0,$C583-$AD$582),IF(DATE($C583,1,15)&gt;=$W$582,$Z$582*(1+($U$582)/100)^MAX(0,$C583-$AC$582),IF(DATE($C583,1,15)&gt;=$V$582,$Y$582*(1+($U$582)/100)^MAX(0,$C583-$AB$582),0)))))</f>
      </c>
      <c r="F583" s="43">
        <f>IF($S$582=0,0,IF(OR(DATE($C583,2,15)&lt;$S$582,AND($T$582&gt;0,DATE($C583,2,15)&gt;$T$582)),0,IF(DATE($C583,2,15)&gt;=$X$582,$AA$582*(1+($U$582)/100)^MAX(0,$C583-$AD$582),IF(DATE($C583,2,15)&gt;=$W$582,$Z$582*(1+($U$582)/100)^MAX(0,$C583-$AC$582),IF(DATE($C583,2,15)&gt;=$V$582,$Y$582*(1+($U$582)/100)^MAX(0,$C583-$AB$582),0)))))</f>
      </c>
      <c r="G583" s="43">
        <f>IF($S$582=0,0,IF(OR(DATE($C583,3,15)&lt;$S$582,AND($T$582&gt;0,DATE($C583,3,15)&gt;$T$582)),0,IF(DATE($C583,3,15)&gt;=$X$582,$AA$582*(1+($U$582)/100)^MAX(0,$C583-$AD$582),IF(DATE($C583,3,15)&gt;=$W$582,$Z$582*(1+($U$582)/100)^MAX(0,$C583-$AC$582),IF(DATE($C583,3,15)&gt;=$V$582,$Y$582*(1+($U$582)/100)^MAX(0,$C583-$AB$582),0)))))</f>
      </c>
      <c r="H583" s="43">
        <f>IF($S$582=0,0,IF(OR(DATE($C583,4,15)&lt;$S$582,AND($T$582&gt;0,DATE($C583,4,15)&gt;$T$582)),0,IF(DATE($C583,4,15)&gt;=$X$582,$AA$582*(1+($U$582)/100)^MAX(0,$C583-$AD$582),IF(DATE($C583,4,15)&gt;=$W$582,$Z$582*(1+($U$582)/100)^MAX(0,$C583-$AC$582),IF(DATE($C583,4,15)&gt;=$V$582,$Y$582*(1+($U$582)/100)^MAX(0,$C583-$AB$582),0)))))</f>
      </c>
      <c r="I583" s="43">
        <f>IF($S$582=0,0,IF(OR(DATE($C583,5,15)&lt;$S$582,AND($T$582&gt;0,DATE($C583,5,15)&gt;$T$582)),0,IF(DATE($C583,5,15)&gt;=$X$582,$AA$582*(1+($U$582)/100)^MAX(0,$C583-$AD$582),IF(DATE($C583,5,15)&gt;=$W$582,$Z$582*(1+($U$582)/100)^MAX(0,$C583-$AC$582),IF(DATE($C583,5,15)&gt;=$V$582,$Y$582*(1+($U$582)/100)^MAX(0,$C583-$AB$582),0)))))</f>
      </c>
      <c r="J583" s="43">
        <f>IF($S$582=0,0,IF(OR(DATE($C583,6,15)&lt;$S$582,AND($T$582&gt;0,DATE($C583,6,15)&gt;$T$582)),0,IF(DATE($C583,6,15)&gt;=$X$582,$AA$582*(1+($U$582)/100)^MAX(0,$C583-$AD$582),IF(DATE($C583,6,15)&gt;=$W$582,$Z$582*(1+($U$582)/100)^MAX(0,$C583-$AC$582),IF(DATE($C583,6,15)&gt;=$V$582,$Y$582*(1+($U$582)/100)^MAX(0,$C583-$AB$582),0)))))</f>
      </c>
      <c r="K583" s="43">
        <f>IF($S$582=0,0,IF(OR(DATE($C583,7,15)&lt;$S$582,AND($T$582&gt;0,DATE($C583,7,15)&gt;$T$582)),0,IF(DATE($C583,7,15)&gt;=$X$582,$AA$582*(1+($U$582)/100)^MAX(0,$C583-$AD$582),IF(DATE($C583,7,15)&gt;=$W$582,$Z$582*(1+($U$582)/100)^MAX(0,$C583-$AC$582),IF(DATE($C583,7,15)&gt;=$V$582,$Y$582*(1+($U$582)/100)^MAX(0,$C583-$AB$582),0)))))</f>
      </c>
      <c r="L583" s="43">
        <f>IF($S$582=0,0,IF(OR(DATE($C583,8,15)&lt;$S$582,AND($T$582&gt;0,DATE($C583,8,15)&gt;$T$582)),0,IF(DATE($C583,8,15)&gt;=$X$582,$AA$582*(1+($U$582)/100)^MAX(0,$C583-$AD$582),IF(DATE($C583,8,15)&gt;=$W$582,$Z$582*(1+($U$582)/100)^MAX(0,$C583-$AC$582),IF(DATE($C583,8,15)&gt;=$V$582,$Y$582*(1+($U$582)/100)^MAX(0,$C583-$AB$582),0)))))</f>
      </c>
      <c r="M583" s="43">
        <f>IF($S$582=0,0,IF(OR(DATE($C583,9,15)&lt;$S$582,AND($T$582&gt;0,DATE($C583,9,15)&gt;$T$582)),0,IF(DATE($C583,9,15)&gt;=$X$582,$AA$582*(1+($U$582)/100)^MAX(0,$C583-$AD$582),IF(DATE($C583,9,15)&gt;=$W$582,$Z$582*(1+($U$582)/100)^MAX(0,$C583-$AC$582),IF(DATE($C583,9,15)&gt;=$V$582,$Y$582*(1+($U$582)/100)^MAX(0,$C583-$AB$582),0)))))</f>
      </c>
      <c r="N583" s="43">
        <f>IF($S$582=0,0,IF(OR(DATE($C583,10,15)&lt;$S$582,AND($T$582&gt;0,DATE($C583,10,15)&gt;$T$582)),0,IF(DATE($C583,10,15)&gt;=$X$582,$AA$582*(1+($U$582)/100)^MAX(0,$C583-$AD$582),IF(DATE($C583,10,15)&gt;=$W$582,$Z$582*(1+($U$582)/100)^MAX(0,$C583-$AC$582),IF(DATE($C583,10,15)&gt;=$V$582,$Y$582*(1+($U$582)/100)^MAX(0,$C583-$AB$582),0)))))</f>
      </c>
      <c r="O583" s="43">
        <f>IF($S$582=0,0,IF(OR(DATE($C583,11,15)&lt;$S$582,AND($T$582&gt;0,DATE($C583,11,15)&gt;$T$582)),0,IF(DATE($C583,11,15)&gt;=$X$582,$AA$582*(1+($U$582)/100)^MAX(0,$C583-$AD$582),IF(DATE($C583,11,15)&gt;=$W$582,$Z$582*(1+($U$582)/100)^MAX(0,$C583-$AC$582),IF(DATE($C583,11,15)&gt;=$V$582,$Y$582*(1+($U$582)/100)^MAX(0,$C583-$AB$582),0)))))</f>
      </c>
      <c r="P583" s="43">
        <f>IF($S$582=0,0,IF(OR(DATE($C583,12,15)&lt;$S$582,AND($T$582&gt;0,DATE($C583,12,15)&gt;$T$582)),0,IF(DATE($C583,12,15)&gt;=$X$582,$AA$582*(1+($U$582)/100)^MAX(0,$C583-$AD$582),IF(DATE($C583,12,15)&gt;=$W$582,$Z$582*(1+($U$582)/100)^MAX(0,$C583-$AC$582),IF(DATE($C583,12,15)&gt;=$V$582,$Y$582*(1+($U$582)/100)^MAX(0,$C583-$AB$582),0)))))</f>
      </c>
      <c r="Q583" s="43">
        <f>SUM($E583:$P583)</f>
      </c>
    </row>
    <row r="584">
      <c r="A584"/>
      <c r="B584">
        <v>19</v>
      </c>
      <c r="C584" s="43">
        <f>Jahr+2</f>
      </c>
      <c r="D584" s="43">
        <f>INDEX(MvObj,19)</f>
      </c>
      <c r="E584" s="43">
        <f>IF($S$582=0,0,IF(OR(DATE($C584,1,15)&lt;$S$582,AND($T$582&gt;0,DATE($C584,1,15)&gt;$T$582)),0,IF(DATE($C584,1,15)&gt;=$X$582,$AA$582*(1+($U$582)/100)^MAX(0,$C584-$AD$582),IF(DATE($C584,1,15)&gt;=$W$582,$Z$582*(1+($U$582)/100)^MAX(0,$C584-$AC$582),IF(DATE($C584,1,15)&gt;=$V$582,$Y$582*(1+($U$582)/100)^MAX(0,$C584-$AB$582),0)))))</f>
      </c>
      <c r="F584" s="43">
        <f>IF($S$582=0,0,IF(OR(DATE($C584,2,15)&lt;$S$582,AND($T$582&gt;0,DATE($C584,2,15)&gt;$T$582)),0,IF(DATE($C584,2,15)&gt;=$X$582,$AA$582*(1+($U$582)/100)^MAX(0,$C584-$AD$582),IF(DATE($C584,2,15)&gt;=$W$582,$Z$582*(1+($U$582)/100)^MAX(0,$C584-$AC$582),IF(DATE($C584,2,15)&gt;=$V$582,$Y$582*(1+($U$582)/100)^MAX(0,$C584-$AB$582),0)))))</f>
      </c>
      <c r="G584" s="43">
        <f>IF($S$582=0,0,IF(OR(DATE($C584,3,15)&lt;$S$582,AND($T$582&gt;0,DATE($C584,3,15)&gt;$T$582)),0,IF(DATE($C584,3,15)&gt;=$X$582,$AA$582*(1+($U$582)/100)^MAX(0,$C584-$AD$582),IF(DATE($C584,3,15)&gt;=$W$582,$Z$582*(1+($U$582)/100)^MAX(0,$C584-$AC$582),IF(DATE($C584,3,15)&gt;=$V$582,$Y$582*(1+($U$582)/100)^MAX(0,$C584-$AB$582),0)))))</f>
      </c>
      <c r="H584" s="43">
        <f>IF($S$582=0,0,IF(OR(DATE($C584,4,15)&lt;$S$582,AND($T$582&gt;0,DATE($C584,4,15)&gt;$T$582)),0,IF(DATE($C584,4,15)&gt;=$X$582,$AA$582*(1+($U$582)/100)^MAX(0,$C584-$AD$582),IF(DATE($C584,4,15)&gt;=$W$582,$Z$582*(1+($U$582)/100)^MAX(0,$C584-$AC$582),IF(DATE($C584,4,15)&gt;=$V$582,$Y$582*(1+($U$582)/100)^MAX(0,$C584-$AB$582),0)))))</f>
      </c>
      <c r="I584" s="43">
        <f>IF($S$582=0,0,IF(OR(DATE($C584,5,15)&lt;$S$582,AND($T$582&gt;0,DATE($C584,5,15)&gt;$T$582)),0,IF(DATE($C584,5,15)&gt;=$X$582,$AA$582*(1+($U$582)/100)^MAX(0,$C584-$AD$582),IF(DATE($C584,5,15)&gt;=$W$582,$Z$582*(1+($U$582)/100)^MAX(0,$C584-$AC$582),IF(DATE($C584,5,15)&gt;=$V$582,$Y$582*(1+($U$582)/100)^MAX(0,$C584-$AB$582),0)))))</f>
      </c>
      <c r="J584" s="43">
        <f>IF($S$582=0,0,IF(OR(DATE($C584,6,15)&lt;$S$582,AND($T$582&gt;0,DATE($C584,6,15)&gt;$T$582)),0,IF(DATE($C584,6,15)&gt;=$X$582,$AA$582*(1+($U$582)/100)^MAX(0,$C584-$AD$582),IF(DATE($C584,6,15)&gt;=$W$582,$Z$582*(1+($U$582)/100)^MAX(0,$C584-$AC$582),IF(DATE($C584,6,15)&gt;=$V$582,$Y$582*(1+($U$582)/100)^MAX(0,$C584-$AB$582),0)))))</f>
      </c>
      <c r="K584" s="43">
        <f>IF($S$582=0,0,IF(OR(DATE($C584,7,15)&lt;$S$582,AND($T$582&gt;0,DATE($C584,7,15)&gt;$T$582)),0,IF(DATE($C584,7,15)&gt;=$X$582,$AA$582*(1+($U$582)/100)^MAX(0,$C584-$AD$582),IF(DATE($C584,7,15)&gt;=$W$582,$Z$582*(1+($U$582)/100)^MAX(0,$C584-$AC$582),IF(DATE($C584,7,15)&gt;=$V$582,$Y$582*(1+($U$582)/100)^MAX(0,$C584-$AB$582),0)))))</f>
      </c>
      <c r="L584" s="43">
        <f>IF($S$582=0,0,IF(OR(DATE($C584,8,15)&lt;$S$582,AND($T$582&gt;0,DATE($C584,8,15)&gt;$T$582)),0,IF(DATE($C584,8,15)&gt;=$X$582,$AA$582*(1+($U$582)/100)^MAX(0,$C584-$AD$582),IF(DATE($C584,8,15)&gt;=$W$582,$Z$582*(1+($U$582)/100)^MAX(0,$C584-$AC$582),IF(DATE($C584,8,15)&gt;=$V$582,$Y$582*(1+($U$582)/100)^MAX(0,$C584-$AB$582),0)))))</f>
      </c>
      <c r="M584" s="43">
        <f>IF($S$582=0,0,IF(OR(DATE($C584,9,15)&lt;$S$582,AND($T$582&gt;0,DATE($C584,9,15)&gt;$T$582)),0,IF(DATE($C584,9,15)&gt;=$X$582,$AA$582*(1+($U$582)/100)^MAX(0,$C584-$AD$582),IF(DATE($C584,9,15)&gt;=$W$582,$Z$582*(1+($U$582)/100)^MAX(0,$C584-$AC$582),IF(DATE($C584,9,15)&gt;=$V$582,$Y$582*(1+($U$582)/100)^MAX(0,$C584-$AB$582),0)))))</f>
      </c>
      <c r="N584" s="43">
        <f>IF($S$582=0,0,IF(OR(DATE($C584,10,15)&lt;$S$582,AND($T$582&gt;0,DATE($C584,10,15)&gt;$T$582)),0,IF(DATE($C584,10,15)&gt;=$X$582,$AA$582*(1+($U$582)/100)^MAX(0,$C584-$AD$582),IF(DATE($C584,10,15)&gt;=$W$582,$Z$582*(1+($U$582)/100)^MAX(0,$C584-$AC$582),IF(DATE($C584,10,15)&gt;=$V$582,$Y$582*(1+($U$582)/100)^MAX(0,$C584-$AB$582),0)))))</f>
      </c>
      <c r="O584" s="43">
        <f>IF($S$582=0,0,IF(OR(DATE($C584,11,15)&lt;$S$582,AND($T$582&gt;0,DATE($C584,11,15)&gt;$T$582)),0,IF(DATE($C584,11,15)&gt;=$X$582,$AA$582*(1+($U$582)/100)^MAX(0,$C584-$AD$582),IF(DATE($C584,11,15)&gt;=$W$582,$Z$582*(1+($U$582)/100)^MAX(0,$C584-$AC$582),IF(DATE($C584,11,15)&gt;=$V$582,$Y$582*(1+($U$582)/100)^MAX(0,$C584-$AB$582),0)))))</f>
      </c>
      <c r="P584" s="43">
        <f>IF($S$582=0,0,IF(OR(DATE($C584,12,15)&lt;$S$582,AND($T$582&gt;0,DATE($C584,12,15)&gt;$T$582)),0,IF(DATE($C584,12,15)&gt;=$X$582,$AA$582*(1+($U$582)/100)^MAX(0,$C584-$AD$582),IF(DATE($C584,12,15)&gt;=$W$582,$Z$582*(1+($U$582)/100)^MAX(0,$C584-$AC$582),IF(DATE($C584,12,15)&gt;=$V$582,$Y$582*(1+($U$582)/100)^MAX(0,$C584-$AB$582),0)))))</f>
      </c>
      <c r="Q584" s="43">
        <f>SUM($E584:$P584)</f>
      </c>
    </row>
    <row r="585">
      <c r="A585"/>
      <c r="B585">
        <v>19</v>
      </c>
      <c r="C585" s="43">
        <f>Jahr+3</f>
      </c>
      <c r="D585" s="43">
        <f>INDEX(MvObj,19)</f>
      </c>
      <c r="E585" s="43">
        <f>IF($S$582=0,0,IF(OR(DATE($C585,1,15)&lt;$S$582,AND($T$582&gt;0,DATE($C585,1,15)&gt;$T$582)),0,IF(DATE($C585,1,15)&gt;=$X$582,$AA$582*(1+($U$582)/100)^MAX(0,$C585-$AD$582),IF(DATE($C585,1,15)&gt;=$W$582,$Z$582*(1+($U$582)/100)^MAX(0,$C585-$AC$582),IF(DATE($C585,1,15)&gt;=$V$582,$Y$582*(1+($U$582)/100)^MAX(0,$C585-$AB$582),0)))))</f>
      </c>
      <c r="F585" s="43">
        <f>IF($S$582=0,0,IF(OR(DATE($C585,2,15)&lt;$S$582,AND($T$582&gt;0,DATE($C585,2,15)&gt;$T$582)),0,IF(DATE($C585,2,15)&gt;=$X$582,$AA$582*(1+($U$582)/100)^MAX(0,$C585-$AD$582),IF(DATE($C585,2,15)&gt;=$W$582,$Z$582*(1+($U$582)/100)^MAX(0,$C585-$AC$582),IF(DATE($C585,2,15)&gt;=$V$582,$Y$582*(1+($U$582)/100)^MAX(0,$C585-$AB$582),0)))))</f>
      </c>
      <c r="G585" s="43">
        <f>IF($S$582=0,0,IF(OR(DATE($C585,3,15)&lt;$S$582,AND($T$582&gt;0,DATE($C585,3,15)&gt;$T$582)),0,IF(DATE($C585,3,15)&gt;=$X$582,$AA$582*(1+($U$582)/100)^MAX(0,$C585-$AD$582),IF(DATE($C585,3,15)&gt;=$W$582,$Z$582*(1+($U$582)/100)^MAX(0,$C585-$AC$582),IF(DATE($C585,3,15)&gt;=$V$582,$Y$582*(1+($U$582)/100)^MAX(0,$C585-$AB$582),0)))))</f>
      </c>
      <c r="H585" s="43">
        <f>IF($S$582=0,0,IF(OR(DATE($C585,4,15)&lt;$S$582,AND($T$582&gt;0,DATE($C585,4,15)&gt;$T$582)),0,IF(DATE($C585,4,15)&gt;=$X$582,$AA$582*(1+($U$582)/100)^MAX(0,$C585-$AD$582),IF(DATE($C585,4,15)&gt;=$W$582,$Z$582*(1+($U$582)/100)^MAX(0,$C585-$AC$582),IF(DATE($C585,4,15)&gt;=$V$582,$Y$582*(1+($U$582)/100)^MAX(0,$C585-$AB$582),0)))))</f>
      </c>
      <c r="I585" s="43">
        <f>IF($S$582=0,0,IF(OR(DATE($C585,5,15)&lt;$S$582,AND($T$582&gt;0,DATE($C585,5,15)&gt;$T$582)),0,IF(DATE($C585,5,15)&gt;=$X$582,$AA$582*(1+($U$582)/100)^MAX(0,$C585-$AD$582),IF(DATE($C585,5,15)&gt;=$W$582,$Z$582*(1+($U$582)/100)^MAX(0,$C585-$AC$582),IF(DATE($C585,5,15)&gt;=$V$582,$Y$582*(1+($U$582)/100)^MAX(0,$C585-$AB$582),0)))))</f>
      </c>
      <c r="J585" s="43">
        <f>IF($S$582=0,0,IF(OR(DATE($C585,6,15)&lt;$S$582,AND($T$582&gt;0,DATE($C585,6,15)&gt;$T$582)),0,IF(DATE($C585,6,15)&gt;=$X$582,$AA$582*(1+($U$582)/100)^MAX(0,$C585-$AD$582),IF(DATE($C585,6,15)&gt;=$W$582,$Z$582*(1+($U$582)/100)^MAX(0,$C585-$AC$582),IF(DATE($C585,6,15)&gt;=$V$582,$Y$582*(1+($U$582)/100)^MAX(0,$C585-$AB$582),0)))))</f>
      </c>
      <c r="K585" s="43">
        <f>IF($S$582=0,0,IF(OR(DATE($C585,7,15)&lt;$S$582,AND($T$582&gt;0,DATE($C585,7,15)&gt;$T$582)),0,IF(DATE($C585,7,15)&gt;=$X$582,$AA$582*(1+($U$582)/100)^MAX(0,$C585-$AD$582),IF(DATE($C585,7,15)&gt;=$W$582,$Z$582*(1+($U$582)/100)^MAX(0,$C585-$AC$582),IF(DATE($C585,7,15)&gt;=$V$582,$Y$582*(1+($U$582)/100)^MAX(0,$C585-$AB$582),0)))))</f>
      </c>
      <c r="L585" s="43">
        <f>IF($S$582=0,0,IF(OR(DATE($C585,8,15)&lt;$S$582,AND($T$582&gt;0,DATE($C585,8,15)&gt;$T$582)),0,IF(DATE($C585,8,15)&gt;=$X$582,$AA$582*(1+($U$582)/100)^MAX(0,$C585-$AD$582),IF(DATE($C585,8,15)&gt;=$W$582,$Z$582*(1+($U$582)/100)^MAX(0,$C585-$AC$582),IF(DATE($C585,8,15)&gt;=$V$582,$Y$582*(1+($U$582)/100)^MAX(0,$C585-$AB$582),0)))))</f>
      </c>
      <c r="M585" s="43">
        <f>IF($S$582=0,0,IF(OR(DATE($C585,9,15)&lt;$S$582,AND($T$582&gt;0,DATE($C585,9,15)&gt;$T$582)),0,IF(DATE($C585,9,15)&gt;=$X$582,$AA$582*(1+($U$582)/100)^MAX(0,$C585-$AD$582),IF(DATE($C585,9,15)&gt;=$W$582,$Z$582*(1+($U$582)/100)^MAX(0,$C585-$AC$582),IF(DATE($C585,9,15)&gt;=$V$582,$Y$582*(1+($U$582)/100)^MAX(0,$C585-$AB$582),0)))))</f>
      </c>
      <c r="N585" s="43">
        <f>IF($S$582=0,0,IF(OR(DATE($C585,10,15)&lt;$S$582,AND($T$582&gt;0,DATE($C585,10,15)&gt;$T$582)),0,IF(DATE($C585,10,15)&gt;=$X$582,$AA$582*(1+($U$582)/100)^MAX(0,$C585-$AD$582),IF(DATE($C585,10,15)&gt;=$W$582,$Z$582*(1+($U$582)/100)^MAX(0,$C585-$AC$582),IF(DATE($C585,10,15)&gt;=$V$582,$Y$582*(1+($U$582)/100)^MAX(0,$C585-$AB$582),0)))))</f>
      </c>
      <c r="O585" s="43">
        <f>IF($S$582=0,0,IF(OR(DATE($C585,11,15)&lt;$S$582,AND($T$582&gt;0,DATE($C585,11,15)&gt;$T$582)),0,IF(DATE($C585,11,15)&gt;=$X$582,$AA$582*(1+($U$582)/100)^MAX(0,$C585-$AD$582),IF(DATE($C585,11,15)&gt;=$W$582,$Z$582*(1+($U$582)/100)^MAX(0,$C585-$AC$582),IF(DATE($C585,11,15)&gt;=$V$582,$Y$582*(1+($U$582)/100)^MAX(0,$C585-$AB$582),0)))))</f>
      </c>
      <c r="P585" s="43">
        <f>IF($S$582=0,0,IF(OR(DATE($C585,12,15)&lt;$S$582,AND($T$582&gt;0,DATE($C585,12,15)&gt;$T$582)),0,IF(DATE($C585,12,15)&gt;=$X$582,$AA$582*(1+($U$582)/100)^MAX(0,$C585-$AD$582),IF(DATE($C585,12,15)&gt;=$W$582,$Z$582*(1+($U$582)/100)^MAX(0,$C585-$AC$582),IF(DATE($C585,12,15)&gt;=$V$582,$Y$582*(1+($U$582)/100)^MAX(0,$C585-$AB$582),0)))))</f>
      </c>
      <c r="Q585" s="43">
        <f>SUM($E585:$P585)</f>
      </c>
    </row>
    <row r="586">
      <c r="A586"/>
      <c r="B586">
        <v>19</v>
      </c>
      <c r="C586" s="43">
        <f>Jahr+4</f>
      </c>
      <c r="D586" s="43">
        <f>INDEX(MvObj,19)</f>
      </c>
      <c r="E586" s="43">
        <f>IF($S$582=0,0,IF(OR(DATE($C586,1,15)&lt;$S$582,AND($T$582&gt;0,DATE($C586,1,15)&gt;$T$582)),0,IF(DATE($C586,1,15)&gt;=$X$582,$AA$582*(1+($U$582)/100)^MAX(0,$C586-$AD$582),IF(DATE($C586,1,15)&gt;=$W$582,$Z$582*(1+($U$582)/100)^MAX(0,$C586-$AC$582),IF(DATE($C586,1,15)&gt;=$V$582,$Y$582*(1+($U$582)/100)^MAX(0,$C586-$AB$582),0)))))</f>
      </c>
      <c r="F586" s="43">
        <f>IF($S$582=0,0,IF(OR(DATE($C586,2,15)&lt;$S$582,AND($T$582&gt;0,DATE($C586,2,15)&gt;$T$582)),0,IF(DATE($C586,2,15)&gt;=$X$582,$AA$582*(1+($U$582)/100)^MAX(0,$C586-$AD$582),IF(DATE($C586,2,15)&gt;=$W$582,$Z$582*(1+($U$582)/100)^MAX(0,$C586-$AC$582),IF(DATE($C586,2,15)&gt;=$V$582,$Y$582*(1+($U$582)/100)^MAX(0,$C586-$AB$582),0)))))</f>
      </c>
      <c r="G586" s="43">
        <f>IF($S$582=0,0,IF(OR(DATE($C586,3,15)&lt;$S$582,AND($T$582&gt;0,DATE($C586,3,15)&gt;$T$582)),0,IF(DATE($C586,3,15)&gt;=$X$582,$AA$582*(1+($U$582)/100)^MAX(0,$C586-$AD$582),IF(DATE($C586,3,15)&gt;=$W$582,$Z$582*(1+($U$582)/100)^MAX(0,$C586-$AC$582),IF(DATE($C586,3,15)&gt;=$V$582,$Y$582*(1+($U$582)/100)^MAX(0,$C586-$AB$582),0)))))</f>
      </c>
      <c r="H586" s="43">
        <f>IF($S$582=0,0,IF(OR(DATE($C586,4,15)&lt;$S$582,AND($T$582&gt;0,DATE($C586,4,15)&gt;$T$582)),0,IF(DATE($C586,4,15)&gt;=$X$582,$AA$582*(1+($U$582)/100)^MAX(0,$C586-$AD$582),IF(DATE($C586,4,15)&gt;=$W$582,$Z$582*(1+($U$582)/100)^MAX(0,$C586-$AC$582),IF(DATE($C586,4,15)&gt;=$V$582,$Y$582*(1+($U$582)/100)^MAX(0,$C586-$AB$582),0)))))</f>
      </c>
      <c r="I586" s="43">
        <f>IF($S$582=0,0,IF(OR(DATE($C586,5,15)&lt;$S$582,AND($T$582&gt;0,DATE($C586,5,15)&gt;$T$582)),0,IF(DATE($C586,5,15)&gt;=$X$582,$AA$582*(1+($U$582)/100)^MAX(0,$C586-$AD$582),IF(DATE($C586,5,15)&gt;=$W$582,$Z$582*(1+($U$582)/100)^MAX(0,$C586-$AC$582),IF(DATE($C586,5,15)&gt;=$V$582,$Y$582*(1+($U$582)/100)^MAX(0,$C586-$AB$582),0)))))</f>
      </c>
      <c r="J586" s="43">
        <f>IF($S$582=0,0,IF(OR(DATE($C586,6,15)&lt;$S$582,AND($T$582&gt;0,DATE($C586,6,15)&gt;$T$582)),0,IF(DATE($C586,6,15)&gt;=$X$582,$AA$582*(1+($U$582)/100)^MAX(0,$C586-$AD$582),IF(DATE($C586,6,15)&gt;=$W$582,$Z$582*(1+($U$582)/100)^MAX(0,$C586-$AC$582),IF(DATE($C586,6,15)&gt;=$V$582,$Y$582*(1+($U$582)/100)^MAX(0,$C586-$AB$582),0)))))</f>
      </c>
      <c r="K586" s="43">
        <f>IF($S$582=0,0,IF(OR(DATE($C586,7,15)&lt;$S$582,AND($T$582&gt;0,DATE($C586,7,15)&gt;$T$582)),0,IF(DATE($C586,7,15)&gt;=$X$582,$AA$582*(1+($U$582)/100)^MAX(0,$C586-$AD$582),IF(DATE($C586,7,15)&gt;=$W$582,$Z$582*(1+($U$582)/100)^MAX(0,$C586-$AC$582),IF(DATE($C586,7,15)&gt;=$V$582,$Y$582*(1+($U$582)/100)^MAX(0,$C586-$AB$582),0)))))</f>
      </c>
      <c r="L586" s="43">
        <f>IF($S$582=0,0,IF(OR(DATE($C586,8,15)&lt;$S$582,AND($T$582&gt;0,DATE($C586,8,15)&gt;$T$582)),0,IF(DATE($C586,8,15)&gt;=$X$582,$AA$582*(1+($U$582)/100)^MAX(0,$C586-$AD$582),IF(DATE($C586,8,15)&gt;=$W$582,$Z$582*(1+($U$582)/100)^MAX(0,$C586-$AC$582),IF(DATE($C586,8,15)&gt;=$V$582,$Y$582*(1+($U$582)/100)^MAX(0,$C586-$AB$582),0)))))</f>
      </c>
      <c r="M586" s="43">
        <f>IF($S$582=0,0,IF(OR(DATE($C586,9,15)&lt;$S$582,AND($T$582&gt;0,DATE($C586,9,15)&gt;$T$582)),0,IF(DATE($C586,9,15)&gt;=$X$582,$AA$582*(1+($U$582)/100)^MAX(0,$C586-$AD$582),IF(DATE($C586,9,15)&gt;=$W$582,$Z$582*(1+($U$582)/100)^MAX(0,$C586-$AC$582),IF(DATE($C586,9,15)&gt;=$V$582,$Y$582*(1+($U$582)/100)^MAX(0,$C586-$AB$582),0)))))</f>
      </c>
      <c r="N586" s="43">
        <f>IF($S$582=0,0,IF(OR(DATE($C586,10,15)&lt;$S$582,AND($T$582&gt;0,DATE($C586,10,15)&gt;$T$582)),0,IF(DATE($C586,10,15)&gt;=$X$582,$AA$582*(1+($U$582)/100)^MAX(0,$C586-$AD$582),IF(DATE($C586,10,15)&gt;=$W$582,$Z$582*(1+($U$582)/100)^MAX(0,$C586-$AC$582),IF(DATE($C586,10,15)&gt;=$V$582,$Y$582*(1+($U$582)/100)^MAX(0,$C586-$AB$582),0)))))</f>
      </c>
      <c r="O586" s="43">
        <f>IF($S$582=0,0,IF(OR(DATE($C586,11,15)&lt;$S$582,AND($T$582&gt;0,DATE($C586,11,15)&gt;$T$582)),0,IF(DATE($C586,11,15)&gt;=$X$582,$AA$582*(1+($U$582)/100)^MAX(0,$C586-$AD$582),IF(DATE($C586,11,15)&gt;=$W$582,$Z$582*(1+($U$582)/100)^MAX(0,$C586-$AC$582),IF(DATE($C586,11,15)&gt;=$V$582,$Y$582*(1+($U$582)/100)^MAX(0,$C586-$AB$582),0)))))</f>
      </c>
      <c r="P586" s="43">
        <f>IF($S$582=0,0,IF(OR(DATE($C586,12,15)&lt;$S$582,AND($T$582&gt;0,DATE($C586,12,15)&gt;$T$582)),0,IF(DATE($C586,12,15)&gt;=$X$582,$AA$582*(1+($U$582)/100)^MAX(0,$C586-$AD$582),IF(DATE($C586,12,15)&gt;=$W$582,$Z$582*(1+($U$582)/100)^MAX(0,$C586-$AC$582),IF(DATE($C586,12,15)&gt;=$V$582,$Y$582*(1+($U$582)/100)^MAX(0,$C586-$AB$582),0)))))</f>
      </c>
      <c r="Q586" s="43">
        <f>SUM($E586:$P586)</f>
      </c>
    </row>
    <row r="587">
      <c r="A587"/>
      <c r="B587">
        <v>19</v>
      </c>
      <c r="C587" s="43">
        <f>Jahr+5</f>
      </c>
      <c r="D587" s="43">
        <f>INDEX(MvObj,19)</f>
      </c>
      <c r="E587" s="43">
        <f>IF($S$582=0,0,IF(OR(DATE($C587,1,15)&lt;$S$582,AND($T$582&gt;0,DATE($C587,1,15)&gt;$T$582)),0,IF(DATE($C587,1,15)&gt;=$X$582,$AA$582*(1+($U$582)/100)^MAX(0,$C587-$AD$582),IF(DATE($C587,1,15)&gt;=$W$582,$Z$582*(1+($U$582)/100)^MAX(0,$C587-$AC$582),IF(DATE($C587,1,15)&gt;=$V$582,$Y$582*(1+($U$582)/100)^MAX(0,$C587-$AB$582),0)))))</f>
      </c>
      <c r="F587" s="43">
        <f>IF($S$582=0,0,IF(OR(DATE($C587,2,15)&lt;$S$582,AND($T$582&gt;0,DATE($C587,2,15)&gt;$T$582)),0,IF(DATE($C587,2,15)&gt;=$X$582,$AA$582*(1+($U$582)/100)^MAX(0,$C587-$AD$582),IF(DATE($C587,2,15)&gt;=$W$582,$Z$582*(1+($U$582)/100)^MAX(0,$C587-$AC$582),IF(DATE($C587,2,15)&gt;=$V$582,$Y$582*(1+($U$582)/100)^MAX(0,$C587-$AB$582),0)))))</f>
      </c>
      <c r="G587" s="43">
        <f>IF($S$582=0,0,IF(OR(DATE($C587,3,15)&lt;$S$582,AND($T$582&gt;0,DATE($C587,3,15)&gt;$T$582)),0,IF(DATE($C587,3,15)&gt;=$X$582,$AA$582*(1+($U$582)/100)^MAX(0,$C587-$AD$582),IF(DATE($C587,3,15)&gt;=$W$582,$Z$582*(1+($U$582)/100)^MAX(0,$C587-$AC$582),IF(DATE($C587,3,15)&gt;=$V$582,$Y$582*(1+($U$582)/100)^MAX(0,$C587-$AB$582),0)))))</f>
      </c>
      <c r="H587" s="43">
        <f>IF($S$582=0,0,IF(OR(DATE($C587,4,15)&lt;$S$582,AND($T$582&gt;0,DATE($C587,4,15)&gt;$T$582)),0,IF(DATE($C587,4,15)&gt;=$X$582,$AA$582*(1+($U$582)/100)^MAX(0,$C587-$AD$582),IF(DATE($C587,4,15)&gt;=$W$582,$Z$582*(1+($U$582)/100)^MAX(0,$C587-$AC$582),IF(DATE($C587,4,15)&gt;=$V$582,$Y$582*(1+($U$582)/100)^MAX(0,$C587-$AB$582),0)))))</f>
      </c>
      <c r="I587" s="43">
        <f>IF($S$582=0,0,IF(OR(DATE($C587,5,15)&lt;$S$582,AND($T$582&gt;0,DATE($C587,5,15)&gt;$T$582)),0,IF(DATE($C587,5,15)&gt;=$X$582,$AA$582*(1+($U$582)/100)^MAX(0,$C587-$AD$582),IF(DATE($C587,5,15)&gt;=$W$582,$Z$582*(1+($U$582)/100)^MAX(0,$C587-$AC$582),IF(DATE($C587,5,15)&gt;=$V$582,$Y$582*(1+($U$582)/100)^MAX(0,$C587-$AB$582),0)))))</f>
      </c>
      <c r="J587" s="43">
        <f>IF($S$582=0,0,IF(OR(DATE($C587,6,15)&lt;$S$582,AND($T$582&gt;0,DATE($C587,6,15)&gt;$T$582)),0,IF(DATE($C587,6,15)&gt;=$X$582,$AA$582*(1+($U$582)/100)^MAX(0,$C587-$AD$582),IF(DATE($C587,6,15)&gt;=$W$582,$Z$582*(1+($U$582)/100)^MAX(0,$C587-$AC$582),IF(DATE($C587,6,15)&gt;=$V$582,$Y$582*(1+($U$582)/100)^MAX(0,$C587-$AB$582),0)))))</f>
      </c>
      <c r="K587" s="43">
        <f>IF($S$582=0,0,IF(OR(DATE($C587,7,15)&lt;$S$582,AND($T$582&gt;0,DATE($C587,7,15)&gt;$T$582)),0,IF(DATE($C587,7,15)&gt;=$X$582,$AA$582*(1+($U$582)/100)^MAX(0,$C587-$AD$582),IF(DATE($C587,7,15)&gt;=$W$582,$Z$582*(1+($U$582)/100)^MAX(0,$C587-$AC$582),IF(DATE($C587,7,15)&gt;=$V$582,$Y$582*(1+($U$582)/100)^MAX(0,$C587-$AB$582),0)))))</f>
      </c>
      <c r="L587" s="43">
        <f>IF($S$582=0,0,IF(OR(DATE($C587,8,15)&lt;$S$582,AND($T$582&gt;0,DATE($C587,8,15)&gt;$T$582)),0,IF(DATE($C587,8,15)&gt;=$X$582,$AA$582*(1+($U$582)/100)^MAX(0,$C587-$AD$582),IF(DATE($C587,8,15)&gt;=$W$582,$Z$582*(1+($U$582)/100)^MAX(0,$C587-$AC$582),IF(DATE($C587,8,15)&gt;=$V$582,$Y$582*(1+($U$582)/100)^MAX(0,$C587-$AB$582),0)))))</f>
      </c>
      <c r="M587" s="43">
        <f>IF($S$582=0,0,IF(OR(DATE($C587,9,15)&lt;$S$582,AND($T$582&gt;0,DATE($C587,9,15)&gt;$T$582)),0,IF(DATE($C587,9,15)&gt;=$X$582,$AA$582*(1+($U$582)/100)^MAX(0,$C587-$AD$582),IF(DATE($C587,9,15)&gt;=$W$582,$Z$582*(1+($U$582)/100)^MAX(0,$C587-$AC$582),IF(DATE($C587,9,15)&gt;=$V$582,$Y$582*(1+($U$582)/100)^MAX(0,$C587-$AB$582),0)))))</f>
      </c>
      <c r="N587" s="43">
        <f>IF($S$582=0,0,IF(OR(DATE($C587,10,15)&lt;$S$582,AND($T$582&gt;0,DATE($C587,10,15)&gt;$T$582)),0,IF(DATE($C587,10,15)&gt;=$X$582,$AA$582*(1+($U$582)/100)^MAX(0,$C587-$AD$582),IF(DATE($C587,10,15)&gt;=$W$582,$Z$582*(1+($U$582)/100)^MAX(0,$C587-$AC$582),IF(DATE($C587,10,15)&gt;=$V$582,$Y$582*(1+($U$582)/100)^MAX(0,$C587-$AB$582),0)))))</f>
      </c>
      <c r="O587" s="43">
        <f>IF($S$582=0,0,IF(OR(DATE($C587,11,15)&lt;$S$582,AND($T$582&gt;0,DATE($C587,11,15)&gt;$T$582)),0,IF(DATE($C587,11,15)&gt;=$X$582,$AA$582*(1+($U$582)/100)^MAX(0,$C587-$AD$582),IF(DATE($C587,11,15)&gt;=$W$582,$Z$582*(1+($U$582)/100)^MAX(0,$C587-$AC$582),IF(DATE($C587,11,15)&gt;=$V$582,$Y$582*(1+($U$582)/100)^MAX(0,$C587-$AB$582),0)))))</f>
      </c>
      <c r="P587" s="43">
        <f>IF($S$582=0,0,IF(OR(DATE($C587,12,15)&lt;$S$582,AND($T$582&gt;0,DATE($C587,12,15)&gt;$T$582)),0,IF(DATE($C587,12,15)&gt;=$X$582,$AA$582*(1+($U$582)/100)^MAX(0,$C587-$AD$582),IF(DATE($C587,12,15)&gt;=$W$582,$Z$582*(1+($U$582)/100)^MAX(0,$C587-$AC$582),IF(DATE($C587,12,15)&gt;=$V$582,$Y$582*(1+($U$582)/100)^MAX(0,$C587-$AB$582),0)))))</f>
      </c>
      <c r="Q587" s="43">
        <f>SUM($E587:$P587)</f>
      </c>
    </row>
    <row r="588">
      <c r="A588"/>
      <c r="B588">
        <v>19</v>
      </c>
      <c r="C588" s="43">
        <f>Jahr+6</f>
      </c>
      <c r="D588" s="43">
        <f>INDEX(MvObj,19)</f>
      </c>
      <c r="E588" s="43">
        <f>IF($S$582=0,0,IF(OR(DATE($C588,1,15)&lt;$S$582,AND($T$582&gt;0,DATE($C588,1,15)&gt;$T$582)),0,IF(DATE($C588,1,15)&gt;=$X$582,$AA$582*(1+($U$582)/100)^MAX(0,$C588-$AD$582),IF(DATE($C588,1,15)&gt;=$W$582,$Z$582*(1+($U$582)/100)^MAX(0,$C588-$AC$582),IF(DATE($C588,1,15)&gt;=$V$582,$Y$582*(1+($U$582)/100)^MAX(0,$C588-$AB$582),0)))))</f>
      </c>
      <c r="F588" s="43">
        <f>IF($S$582=0,0,IF(OR(DATE($C588,2,15)&lt;$S$582,AND($T$582&gt;0,DATE($C588,2,15)&gt;$T$582)),0,IF(DATE($C588,2,15)&gt;=$X$582,$AA$582*(1+($U$582)/100)^MAX(0,$C588-$AD$582),IF(DATE($C588,2,15)&gt;=$W$582,$Z$582*(1+($U$582)/100)^MAX(0,$C588-$AC$582),IF(DATE($C588,2,15)&gt;=$V$582,$Y$582*(1+($U$582)/100)^MAX(0,$C588-$AB$582),0)))))</f>
      </c>
      <c r="G588" s="43">
        <f>IF($S$582=0,0,IF(OR(DATE($C588,3,15)&lt;$S$582,AND($T$582&gt;0,DATE($C588,3,15)&gt;$T$582)),0,IF(DATE($C588,3,15)&gt;=$X$582,$AA$582*(1+($U$582)/100)^MAX(0,$C588-$AD$582),IF(DATE($C588,3,15)&gt;=$W$582,$Z$582*(1+($U$582)/100)^MAX(0,$C588-$AC$582),IF(DATE($C588,3,15)&gt;=$V$582,$Y$582*(1+($U$582)/100)^MAX(0,$C588-$AB$582),0)))))</f>
      </c>
      <c r="H588" s="43">
        <f>IF($S$582=0,0,IF(OR(DATE($C588,4,15)&lt;$S$582,AND($T$582&gt;0,DATE($C588,4,15)&gt;$T$582)),0,IF(DATE($C588,4,15)&gt;=$X$582,$AA$582*(1+($U$582)/100)^MAX(0,$C588-$AD$582),IF(DATE($C588,4,15)&gt;=$W$582,$Z$582*(1+($U$582)/100)^MAX(0,$C588-$AC$582),IF(DATE($C588,4,15)&gt;=$V$582,$Y$582*(1+($U$582)/100)^MAX(0,$C588-$AB$582),0)))))</f>
      </c>
      <c r="I588" s="43">
        <f>IF($S$582=0,0,IF(OR(DATE($C588,5,15)&lt;$S$582,AND($T$582&gt;0,DATE($C588,5,15)&gt;$T$582)),0,IF(DATE($C588,5,15)&gt;=$X$582,$AA$582*(1+($U$582)/100)^MAX(0,$C588-$AD$582),IF(DATE($C588,5,15)&gt;=$W$582,$Z$582*(1+($U$582)/100)^MAX(0,$C588-$AC$582),IF(DATE($C588,5,15)&gt;=$V$582,$Y$582*(1+($U$582)/100)^MAX(0,$C588-$AB$582),0)))))</f>
      </c>
      <c r="J588" s="43">
        <f>IF($S$582=0,0,IF(OR(DATE($C588,6,15)&lt;$S$582,AND($T$582&gt;0,DATE($C588,6,15)&gt;$T$582)),0,IF(DATE($C588,6,15)&gt;=$X$582,$AA$582*(1+($U$582)/100)^MAX(0,$C588-$AD$582),IF(DATE($C588,6,15)&gt;=$W$582,$Z$582*(1+($U$582)/100)^MAX(0,$C588-$AC$582),IF(DATE($C588,6,15)&gt;=$V$582,$Y$582*(1+($U$582)/100)^MAX(0,$C588-$AB$582),0)))))</f>
      </c>
      <c r="K588" s="43">
        <f>IF($S$582=0,0,IF(OR(DATE($C588,7,15)&lt;$S$582,AND($T$582&gt;0,DATE($C588,7,15)&gt;$T$582)),0,IF(DATE($C588,7,15)&gt;=$X$582,$AA$582*(1+($U$582)/100)^MAX(0,$C588-$AD$582),IF(DATE($C588,7,15)&gt;=$W$582,$Z$582*(1+($U$582)/100)^MAX(0,$C588-$AC$582),IF(DATE($C588,7,15)&gt;=$V$582,$Y$582*(1+($U$582)/100)^MAX(0,$C588-$AB$582),0)))))</f>
      </c>
      <c r="L588" s="43">
        <f>IF($S$582=0,0,IF(OR(DATE($C588,8,15)&lt;$S$582,AND($T$582&gt;0,DATE($C588,8,15)&gt;$T$582)),0,IF(DATE($C588,8,15)&gt;=$X$582,$AA$582*(1+($U$582)/100)^MAX(0,$C588-$AD$582),IF(DATE($C588,8,15)&gt;=$W$582,$Z$582*(1+($U$582)/100)^MAX(0,$C588-$AC$582),IF(DATE($C588,8,15)&gt;=$V$582,$Y$582*(1+($U$582)/100)^MAX(0,$C588-$AB$582),0)))))</f>
      </c>
      <c r="M588" s="43">
        <f>IF($S$582=0,0,IF(OR(DATE($C588,9,15)&lt;$S$582,AND($T$582&gt;0,DATE($C588,9,15)&gt;$T$582)),0,IF(DATE($C588,9,15)&gt;=$X$582,$AA$582*(1+($U$582)/100)^MAX(0,$C588-$AD$582),IF(DATE($C588,9,15)&gt;=$W$582,$Z$582*(1+($U$582)/100)^MAX(0,$C588-$AC$582),IF(DATE($C588,9,15)&gt;=$V$582,$Y$582*(1+($U$582)/100)^MAX(0,$C588-$AB$582),0)))))</f>
      </c>
      <c r="N588" s="43">
        <f>IF($S$582=0,0,IF(OR(DATE($C588,10,15)&lt;$S$582,AND($T$582&gt;0,DATE($C588,10,15)&gt;$T$582)),0,IF(DATE($C588,10,15)&gt;=$X$582,$AA$582*(1+($U$582)/100)^MAX(0,$C588-$AD$582),IF(DATE($C588,10,15)&gt;=$W$582,$Z$582*(1+($U$582)/100)^MAX(0,$C588-$AC$582),IF(DATE($C588,10,15)&gt;=$V$582,$Y$582*(1+($U$582)/100)^MAX(0,$C588-$AB$582),0)))))</f>
      </c>
      <c r="O588" s="43">
        <f>IF($S$582=0,0,IF(OR(DATE($C588,11,15)&lt;$S$582,AND($T$582&gt;0,DATE($C588,11,15)&gt;$T$582)),0,IF(DATE($C588,11,15)&gt;=$X$582,$AA$582*(1+($U$582)/100)^MAX(0,$C588-$AD$582),IF(DATE($C588,11,15)&gt;=$W$582,$Z$582*(1+($U$582)/100)^MAX(0,$C588-$AC$582),IF(DATE($C588,11,15)&gt;=$V$582,$Y$582*(1+($U$582)/100)^MAX(0,$C588-$AB$582),0)))))</f>
      </c>
      <c r="P588" s="43">
        <f>IF($S$582=0,0,IF(OR(DATE($C588,12,15)&lt;$S$582,AND($T$582&gt;0,DATE($C588,12,15)&gt;$T$582)),0,IF(DATE($C588,12,15)&gt;=$X$582,$AA$582*(1+($U$582)/100)^MAX(0,$C588-$AD$582),IF(DATE($C588,12,15)&gt;=$W$582,$Z$582*(1+($U$582)/100)^MAX(0,$C588-$AC$582),IF(DATE($C588,12,15)&gt;=$V$582,$Y$582*(1+($U$582)/100)^MAX(0,$C588-$AB$582),0)))))</f>
      </c>
      <c r="Q588" s="43">
        <f>SUM($E588:$P588)</f>
      </c>
    </row>
    <row r="589">
      <c r="A589"/>
      <c r="B589">
        <v>19</v>
      </c>
      <c r="C589" s="43">
        <f>Jahr+7</f>
      </c>
      <c r="D589" s="43">
        <f>INDEX(MvObj,19)</f>
      </c>
      <c r="E589" s="43">
        <f>IF($S$582=0,0,IF(OR(DATE($C589,1,15)&lt;$S$582,AND($T$582&gt;0,DATE($C589,1,15)&gt;$T$582)),0,IF(DATE($C589,1,15)&gt;=$X$582,$AA$582*(1+($U$582)/100)^MAX(0,$C589-$AD$582),IF(DATE($C589,1,15)&gt;=$W$582,$Z$582*(1+($U$582)/100)^MAX(0,$C589-$AC$582),IF(DATE($C589,1,15)&gt;=$V$582,$Y$582*(1+($U$582)/100)^MAX(0,$C589-$AB$582),0)))))</f>
      </c>
      <c r="F589" s="43">
        <f>IF($S$582=0,0,IF(OR(DATE($C589,2,15)&lt;$S$582,AND($T$582&gt;0,DATE($C589,2,15)&gt;$T$582)),0,IF(DATE($C589,2,15)&gt;=$X$582,$AA$582*(1+($U$582)/100)^MAX(0,$C589-$AD$582),IF(DATE($C589,2,15)&gt;=$W$582,$Z$582*(1+($U$582)/100)^MAX(0,$C589-$AC$582),IF(DATE($C589,2,15)&gt;=$V$582,$Y$582*(1+($U$582)/100)^MAX(0,$C589-$AB$582),0)))))</f>
      </c>
      <c r="G589" s="43">
        <f>IF($S$582=0,0,IF(OR(DATE($C589,3,15)&lt;$S$582,AND($T$582&gt;0,DATE($C589,3,15)&gt;$T$582)),0,IF(DATE($C589,3,15)&gt;=$X$582,$AA$582*(1+($U$582)/100)^MAX(0,$C589-$AD$582),IF(DATE($C589,3,15)&gt;=$W$582,$Z$582*(1+($U$582)/100)^MAX(0,$C589-$AC$582),IF(DATE($C589,3,15)&gt;=$V$582,$Y$582*(1+($U$582)/100)^MAX(0,$C589-$AB$582),0)))))</f>
      </c>
      <c r="H589" s="43">
        <f>IF($S$582=0,0,IF(OR(DATE($C589,4,15)&lt;$S$582,AND($T$582&gt;0,DATE($C589,4,15)&gt;$T$582)),0,IF(DATE($C589,4,15)&gt;=$X$582,$AA$582*(1+($U$582)/100)^MAX(0,$C589-$AD$582),IF(DATE($C589,4,15)&gt;=$W$582,$Z$582*(1+($U$582)/100)^MAX(0,$C589-$AC$582),IF(DATE($C589,4,15)&gt;=$V$582,$Y$582*(1+($U$582)/100)^MAX(0,$C589-$AB$582),0)))))</f>
      </c>
      <c r="I589" s="43">
        <f>IF($S$582=0,0,IF(OR(DATE($C589,5,15)&lt;$S$582,AND($T$582&gt;0,DATE($C589,5,15)&gt;$T$582)),0,IF(DATE($C589,5,15)&gt;=$X$582,$AA$582*(1+($U$582)/100)^MAX(0,$C589-$AD$582),IF(DATE($C589,5,15)&gt;=$W$582,$Z$582*(1+($U$582)/100)^MAX(0,$C589-$AC$582),IF(DATE($C589,5,15)&gt;=$V$582,$Y$582*(1+($U$582)/100)^MAX(0,$C589-$AB$582),0)))))</f>
      </c>
      <c r="J589" s="43">
        <f>IF($S$582=0,0,IF(OR(DATE($C589,6,15)&lt;$S$582,AND($T$582&gt;0,DATE($C589,6,15)&gt;$T$582)),0,IF(DATE($C589,6,15)&gt;=$X$582,$AA$582*(1+($U$582)/100)^MAX(0,$C589-$AD$582),IF(DATE($C589,6,15)&gt;=$W$582,$Z$582*(1+($U$582)/100)^MAX(0,$C589-$AC$582),IF(DATE($C589,6,15)&gt;=$V$582,$Y$582*(1+($U$582)/100)^MAX(0,$C589-$AB$582),0)))))</f>
      </c>
      <c r="K589" s="43">
        <f>IF($S$582=0,0,IF(OR(DATE($C589,7,15)&lt;$S$582,AND($T$582&gt;0,DATE($C589,7,15)&gt;$T$582)),0,IF(DATE($C589,7,15)&gt;=$X$582,$AA$582*(1+($U$582)/100)^MAX(0,$C589-$AD$582),IF(DATE($C589,7,15)&gt;=$W$582,$Z$582*(1+($U$582)/100)^MAX(0,$C589-$AC$582),IF(DATE($C589,7,15)&gt;=$V$582,$Y$582*(1+($U$582)/100)^MAX(0,$C589-$AB$582),0)))))</f>
      </c>
      <c r="L589" s="43">
        <f>IF($S$582=0,0,IF(OR(DATE($C589,8,15)&lt;$S$582,AND($T$582&gt;0,DATE($C589,8,15)&gt;$T$582)),0,IF(DATE($C589,8,15)&gt;=$X$582,$AA$582*(1+($U$582)/100)^MAX(0,$C589-$AD$582),IF(DATE($C589,8,15)&gt;=$W$582,$Z$582*(1+($U$582)/100)^MAX(0,$C589-$AC$582),IF(DATE($C589,8,15)&gt;=$V$582,$Y$582*(1+($U$582)/100)^MAX(0,$C589-$AB$582),0)))))</f>
      </c>
      <c r="M589" s="43">
        <f>IF($S$582=0,0,IF(OR(DATE($C589,9,15)&lt;$S$582,AND($T$582&gt;0,DATE($C589,9,15)&gt;$T$582)),0,IF(DATE($C589,9,15)&gt;=$X$582,$AA$582*(1+($U$582)/100)^MAX(0,$C589-$AD$582),IF(DATE($C589,9,15)&gt;=$W$582,$Z$582*(1+($U$582)/100)^MAX(0,$C589-$AC$582),IF(DATE($C589,9,15)&gt;=$V$582,$Y$582*(1+($U$582)/100)^MAX(0,$C589-$AB$582),0)))))</f>
      </c>
      <c r="N589" s="43">
        <f>IF($S$582=0,0,IF(OR(DATE($C589,10,15)&lt;$S$582,AND($T$582&gt;0,DATE($C589,10,15)&gt;$T$582)),0,IF(DATE($C589,10,15)&gt;=$X$582,$AA$582*(1+($U$582)/100)^MAX(0,$C589-$AD$582),IF(DATE($C589,10,15)&gt;=$W$582,$Z$582*(1+($U$582)/100)^MAX(0,$C589-$AC$582),IF(DATE($C589,10,15)&gt;=$V$582,$Y$582*(1+($U$582)/100)^MAX(0,$C589-$AB$582),0)))))</f>
      </c>
      <c r="O589" s="43">
        <f>IF($S$582=0,0,IF(OR(DATE($C589,11,15)&lt;$S$582,AND($T$582&gt;0,DATE($C589,11,15)&gt;$T$582)),0,IF(DATE($C589,11,15)&gt;=$X$582,$AA$582*(1+($U$582)/100)^MAX(0,$C589-$AD$582),IF(DATE($C589,11,15)&gt;=$W$582,$Z$582*(1+($U$582)/100)^MAX(0,$C589-$AC$582),IF(DATE($C589,11,15)&gt;=$V$582,$Y$582*(1+($U$582)/100)^MAX(0,$C589-$AB$582),0)))))</f>
      </c>
      <c r="P589" s="43">
        <f>IF($S$582=0,0,IF(OR(DATE($C589,12,15)&lt;$S$582,AND($T$582&gt;0,DATE($C589,12,15)&gt;$T$582)),0,IF(DATE($C589,12,15)&gt;=$X$582,$AA$582*(1+($U$582)/100)^MAX(0,$C589-$AD$582),IF(DATE($C589,12,15)&gt;=$W$582,$Z$582*(1+($U$582)/100)^MAX(0,$C589-$AC$582),IF(DATE($C589,12,15)&gt;=$V$582,$Y$582*(1+($U$582)/100)^MAX(0,$C589-$AB$582),0)))))</f>
      </c>
      <c r="Q589" s="43">
        <f>SUM($E589:$P589)</f>
      </c>
    </row>
    <row r="590">
      <c r="A590"/>
      <c r="B590">
        <v>19</v>
      </c>
      <c r="C590" s="43">
        <f>Jahr+8</f>
      </c>
      <c r="D590" s="43">
        <f>INDEX(MvObj,19)</f>
      </c>
      <c r="E590" s="43">
        <f>IF($S$582=0,0,IF(OR(DATE($C590,1,15)&lt;$S$582,AND($T$582&gt;0,DATE($C590,1,15)&gt;$T$582)),0,IF(DATE($C590,1,15)&gt;=$X$582,$AA$582*(1+($U$582)/100)^MAX(0,$C590-$AD$582),IF(DATE($C590,1,15)&gt;=$W$582,$Z$582*(1+($U$582)/100)^MAX(0,$C590-$AC$582),IF(DATE($C590,1,15)&gt;=$V$582,$Y$582*(1+($U$582)/100)^MAX(0,$C590-$AB$582),0)))))</f>
      </c>
      <c r="F590" s="43">
        <f>IF($S$582=0,0,IF(OR(DATE($C590,2,15)&lt;$S$582,AND($T$582&gt;0,DATE($C590,2,15)&gt;$T$582)),0,IF(DATE($C590,2,15)&gt;=$X$582,$AA$582*(1+($U$582)/100)^MAX(0,$C590-$AD$582),IF(DATE($C590,2,15)&gt;=$W$582,$Z$582*(1+($U$582)/100)^MAX(0,$C590-$AC$582),IF(DATE($C590,2,15)&gt;=$V$582,$Y$582*(1+($U$582)/100)^MAX(0,$C590-$AB$582),0)))))</f>
      </c>
      <c r="G590" s="43">
        <f>IF($S$582=0,0,IF(OR(DATE($C590,3,15)&lt;$S$582,AND($T$582&gt;0,DATE($C590,3,15)&gt;$T$582)),0,IF(DATE($C590,3,15)&gt;=$X$582,$AA$582*(1+($U$582)/100)^MAX(0,$C590-$AD$582),IF(DATE($C590,3,15)&gt;=$W$582,$Z$582*(1+($U$582)/100)^MAX(0,$C590-$AC$582),IF(DATE($C590,3,15)&gt;=$V$582,$Y$582*(1+($U$582)/100)^MAX(0,$C590-$AB$582),0)))))</f>
      </c>
      <c r="H590" s="43">
        <f>IF($S$582=0,0,IF(OR(DATE($C590,4,15)&lt;$S$582,AND($T$582&gt;0,DATE($C590,4,15)&gt;$T$582)),0,IF(DATE($C590,4,15)&gt;=$X$582,$AA$582*(1+($U$582)/100)^MAX(0,$C590-$AD$582),IF(DATE($C590,4,15)&gt;=$W$582,$Z$582*(1+($U$582)/100)^MAX(0,$C590-$AC$582),IF(DATE($C590,4,15)&gt;=$V$582,$Y$582*(1+($U$582)/100)^MAX(0,$C590-$AB$582),0)))))</f>
      </c>
      <c r="I590" s="43">
        <f>IF($S$582=0,0,IF(OR(DATE($C590,5,15)&lt;$S$582,AND($T$582&gt;0,DATE($C590,5,15)&gt;$T$582)),0,IF(DATE($C590,5,15)&gt;=$X$582,$AA$582*(1+($U$582)/100)^MAX(0,$C590-$AD$582),IF(DATE($C590,5,15)&gt;=$W$582,$Z$582*(1+($U$582)/100)^MAX(0,$C590-$AC$582),IF(DATE($C590,5,15)&gt;=$V$582,$Y$582*(1+($U$582)/100)^MAX(0,$C590-$AB$582),0)))))</f>
      </c>
      <c r="J590" s="43">
        <f>IF($S$582=0,0,IF(OR(DATE($C590,6,15)&lt;$S$582,AND($T$582&gt;0,DATE($C590,6,15)&gt;$T$582)),0,IF(DATE($C590,6,15)&gt;=$X$582,$AA$582*(1+($U$582)/100)^MAX(0,$C590-$AD$582),IF(DATE($C590,6,15)&gt;=$W$582,$Z$582*(1+($U$582)/100)^MAX(0,$C590-$AC$582),IF(DATE($C590,6,15)&gt;=$V$582,$Y$582*(1+($U$582)/100)^MAX(0,$C590-$AB$582),0)))))</f>
      </c>
      <c r="K590" s="43">
        <f>IF($S$582=0,0,IF(OR(DATE($C590,7,15)&lt;$S$582,AND($T$582&gt;0,DATE($C590,7,15)&gt;$T$582)),0,IF(DATE($C590,7,15)&gt;=$X$582,$AA$582*(1+($U$582)/100)^MAX(0,$C590-$AD$582),IF(DATE($C590,7,15)&gt;=$W$582,$Z$582*(1+($U$582)/100)^MAX(0,$C590-$AC$582),IF(DATE($C590,7,15)&gt;=$V$582,$Y$582*(1+($U$582)/100)^MAX(0,$C590-$AB$582),0)))))</f>
      </c>
      <c r="L590" s="43">
        <f>IF($S$582=0,0,IF(OR(DATE($C590,8,15)&lt;$S$582,AND($T$582&gt;0,DATE($C590,8,15)&gt;$T$582)),0,IF(DATE($C590,8,15)&gt;=$X$582,$AA$582*(1+($U$582)/100)^MAX(0,$C590-$AD$582),IF(DATE($C590,8,15)&gt;=$W$582,$Z$582*(1+($U$582)/100)^MAX(0,$C590-$AC$582),IF(DATE($C590,8,15)&gt;=$V$582,$Y$582*(1+($U$582)/100)^MAX(0,$C590-$AB$582),0)))))</f>
      </c>
      <c r="M590" s="43">
        <f>IF($S$582=0,0,IF(OR(DATE($C590,9,15)&lt;$S$582,AND($T$582&gt;0,DATE($C590,9,15)&gt;$T$582)),0,IF(DATE($C590,9,15)&gt;=$X$582,$AA$582*(1+($U$582)/100)^MAX(0,$C590-$AD$582),IF(DATE($C590,9,15)&gt;=$W$582,$Z$582*(1+($U$582)/100)^MAX(0,$C590-$AC$582),IF(DATE($C590,9,15)&gt;=$V$582,$Y$582*(1+($U$582)/100)^MAX(0,$C590-$AB$582),0)))))</f>
      </c>
      <c r="N590" s="43">
        <f>IF($S$582=0,0,IF(OR(DATE($C590,10,15)&lt;$S$582,AND($T$582&gt;0,DATE($C590,10,15)&gt;$T$582)),0,IF(DATE($C590,10,15)&gt;=$X$582,$AA$582*(1+($U$582)/100)^MAX(0,$C590-$AD$582),IF(DATE($C590,10,15)&gt;=$W$582,$Z$582*(1+($U$582)/100)^MAX(0,$C590-$AC$582),IF(DATE($C590,10,15)&gt;=$V$582,$Y$582*(1+($U$582)/100)^MAX(0,$C590-$AB$582),0)))))</f>
      </c>
      <c r="O590" s="43">
        <f>IF($S$582=0,0,IF(OR(DATE($C590,11,15)&lt;$S$582,AND($T$582&gt;0,DATE($C590,11,15)&gt;$T$582)),0,IF(DATE($C590,11,15)&gt;=$X$582,$AA$582*(1+($U$582)/100)^MAX(0,$C590-$AD$582),IF(DATE($C590,11,15)&gt;=$W$582,$Z$582*(1+($U$582)/100)^MAX(0,$C590-$AC$582),IF(DATE($C590,11,15)&gt;=$V$582,$Y$582*(1+($U$582)/100)^MAX(0,$C590-$AB$582),0)))))</f>
      </c>
      <c r="P590" s="43">
        <f>IF($S$582=0,0,IF(OR(DATE($C590,12,15)&lt;$S$582,AND($T$582&gt;0,DATE($C590,12,15)&gt;$T$582)),0,IF(DATE($C590,12,15)&gt;=$X$582,$AA$582*(1+($U$582)/100)^MAX(0,$C590-$AD$582),IF(DATE($C590,12,15)&gt;=$W$582,$Z$582*(1+($U$582)/100)^MAX(0,$C590-$AC$582),IF(DATE($C590,12,15)&gt;=$V$582,$Y$582*(1+($U$582)/100)^MAX(0,$C590-$AB$582),0)))))</f>
      </c>
      <c r="Q590" s="43">
        <f>SUM($E590:$P590)</f>
      </c>
    </row>
    <row r="591">
      <c r="A591"/>
      <c r="B591">
        <v>19</v>
      </c>
      <c r="C591" s="43">
        <f>Jahr+9</f>
      </c>
      <c r="D591" s="43">
        <f>INDEX(MvObj,19)</f>
      </c>
      <c r="E591" s="43">
        <f>IF($S$582=0,0,IF(OR(DATE($C591,1,15)&lt;$S$582,AND($T$582&gt;0,DATE($C591,1,15)&gt;$T$582)),0,IF(DATE($C591,1,15)&gt;=$X$582,$AA$582*(1+($U$582)/100)^MAX(0,$C591-$AD$582),IF(DATE($C591,1,15)&gt;=$W$582,$Z$582*(1+($U$582)/100)^MAX(0,$C591-$AC$582),IF(DATE($C591,1,15)&gt;=$V$582,$Y$582*(1+($U$582)/100)^MAX(0,$C591-$AB$582),0)))))</f>
      </c>
      <c r="F591" s="43">
        <f>IF($S$582=0,0,IF(OR(DATE($C591,2,15)&lt;$S$582,AND($T$582&gt;0,DATE($C591,2,15)&gt;$T$582)),0,IF(DATE($C591,2,15)&gt;=$X$582,$AA$582*(1+($U$582)/100)^MAX(0,$C591-$AD$582),IF(DATE($C591,2,15)&gt;=$W$582,$Z$582*(1+($U$582)/100)^MAX(0,$C591-$AC$582),IF(DATE($C591,2,15)&gt;=$V$582,$Y$582*(1+($U$582)/100)^MAX(0,$C591-$AB$582),0)))))</f>
      </c>
      <c r="G591" s="43">
        <f>IF($S$582=0,0,IF(OR(DATE($C591,3,15)&lt;$S$582,AND($T$582&gt;0,DATE($C591,3,15)&gt;$T$582)),0,IF(DATE($C591,3,15)&gt;=$X$582,$AA$582*(1+($U$582)/100)^MAX(0,$C591-$AD$582),IF(DATE($C591,3,15)&gt;=$W$582,$Z$582*(1+($U$582)/100)^MAX(0,$C591-$AC$582),IF(DATE($C591,3,15)&gt;=$V$582,$Y$582*(1+($U$582)/100)^MAX(0,$C591-$AB$582),0)))))</f>
      </c>
      <c r="H591" s="43">
        <f>IF($S$582=0,0,IF(OR(DATE($C591,4,15)&lt;$S$582,AND($T$582&gt;0,DATE($C591,4,15)&gt;$T$582)),0,IF(DATE($C591,4,15)&gt;=$X$582,$AA$582*(1+($U$582)/100)^MAX(0,$C591-$AD$582),IF(DATE($C591,4,15)&gt;=$W$582,$Z$582*(1+($U$582)/100)^MAX(0,$C591-$AC$582),IF(DATE($C591,4,15)&gt;=$V$582,$Y$582*(1+($U$582)/100)^MAX(0,$C591-$AB$582),0)))))</f>
      </c>
      <c r="I591" s="43">
        <f>IF($S$582=0,0,IF(OR(DATE($C591,5,15)&lt;$S$582,AND($T$582&gt;0,DATE($C591,5,15)&gt;$T$582)),0,IF(DATE($C591,5,15)&gt;=$X$582,$AA$582*(1+($U$582)/100)^MAX(0,$C591-$AD$582),IF(DATE($C591,5,15)&gt;=$W$582,$Z$582*(1+($U$582)/100)^MAX(0,$C591-$AC$582),IF(DATE($C591,5,15)&gt;=$V$582,$Y$582*(1+($U$582)/100)^MAX(0,$C591-$AB$582),0)))))</f>
      </c>
      <c r="J591" s="43">
        <f>IF($S$582=0,0,IF(OR(DATE($C591,6,15)&lt;$S$582,AND($T$582&gt;0,DATE($C591,6,15)&gt;$T$582)),0,IF(DATE($C591,6,15)&gt;=$X$582,$AA$582*(1+($U$582)/100)^MAX(0,$C591-$AD$582),IF(DATE($C591,6,15)&gt;=$W$582,$Z$582*(1+($U$582)/100)^MAX(0,$C591-$AC$582),IF(DATE($C591,6,15)&gt;=$V$582,$Y$582*(1+($U$582)/100)^MAX(0,$C591-$AB$582),0)))))</f>
      </c>
      <c r="K591" s="43">
        <f>IF($S$582=0,0,IF(OR(DATE($C591,7,15)&lt;$S$582,AND($T$582&gt;0,DATE($C591,7,15)&gt;$T$582)),0,IF(DATE($C591,7,15)&gt;=$X$582,$AA$582*(1+($U$582)/100)^MAX(0,$C591-$AD$582),IF(DATE($C591,7,15)&gt;=$W$582,$Z$582*(1+($U$582)/100)^MAX(0,$C591-$AC$582),IF(DATE($C591,7,15)&gt;=$V$582,$Y$582*(1+($U$582)/100)^MAX(0,$C591-$AB$582),0)))))</f>
      </c>
      <c r="L591" s="43">
        <f>IF($S$582=0,0,IF(OR(DATE($C591,8,15)&lt;$S$582,AND($T$582&gt;0,DATE($C591,8,15)&gt;$T$582)),0,IF(DATE($C591,8,15)&gt;=$X$582,$AA$582*(1+($U$582)/100)^MAX(0,$C591-$AD$582),IF(DATE($C591,8,15)&gt;=$W$582,$Z$582*(1+($U$582)/100)^MAX(0,$C591-$AC$582),IF(DATE($C591,8,15)&gt;=$V$582,$Y$582*(1+($U$582)/100)^MAX(0,$C591-$AB$582),0)))))</f>
      </c>
      <c r="M591" s="43">
        <f>IF($S$582=0,0,IF(OR(DATE($C591,9,15)&lt;$S$582,AND($T$582&gt;0,DATE($C591,9,15)&gt;$T$582)),0,IF(DATE($C591,9,15)&gt;=$X$582,$AA$582*(1+($U$582)/100)^MAX(0,$C591-$AD$582),IF(DATE($C591,9,15)&gt;=$W$582,$Z$582*(1+($U$582)/100)^MAX(0,$C591-$AC$582),IF(DATE($C591,9,15)&gt;=$V$582,$Y$582*(1+($U$582)/100)^MAX(0,$C591-$AB$582),0)))))</f>
      </c>
      <c r="N591" s="43">
        <f>IF($S$582=0,0,IF(OR(DATE($C591,10,15)&lt;$S$582,AND($T$582&gt;0,DATE($C591,10,15)&gt;$T$582)),0,IF(DATE($C591,10,15)&gt;=$X$582,$AA$582*(1+($U$582)/100)^MAX(0,$C591-$AD$582),IF(DATE($C591,10,15)&gt;=$W$582,$Z$582*(1+($U$582)/100)^MAX(0,$C591-$AC$582),IF(DATE($C591,10,15)&gt;=$V$582,$Y$582*(1+($U$582)/100)^MAX(0,$C591-$AB$582),0)))))</f>
      </c>
      <c r="O591" s="43">
        <f>IF($S$582=0,0,IF(OR(DATE($C591,11,15)&lt;$S$582,AND($T$582&gt;0,DATE($C591,11,15)&gt;$T$582)),0,IF(DATE($C591,11,15)&gt;=$X$582,$AA$582*(1+($U$582)/100)^MAX(0,$C591-$AD$582),IF(DATE($C591,11,15)&gt;=$W$582,$Z$582*(1+($U$582)/100)^MAX(0,$C591-$AC$582),IF(DATE($C591,11,15)&gt;=$V$582,$Y$582*(1+($U$582)/100)^MAX(0,$C591-$AB$582),0)))))</f>
      </c>
      <c r="P591" s="43">
        <f>IF($S$582=0,0,IF(OR(DATE($C591,12,15)&lt;$S$582,AND($T$582&gt;0,DATE($C591,12,15)&gt;$T$582)),0,IF(DATE($C591,12,15)&gt;=$X$582,$AA$582*(1+($U$582)/100)^MAX(0,$C591-$AD$582),IF(DATE($C591,12,15)&gt;=$W$582,$Z$582*(1+($U$582)/100)^MAX(0,$C591-$AC$582),IF(DATE($C591,12,15)&gt;=$V$582,$Y$582*(1+($U$582)/100)^MAX(0,$C591-$AB$582),0)))))</f>
      </c>
      <c r="Q591" s="43">
        <f>SUM($E591:$P591)</f>
      </c>
    </row>
    <row r="592">
      <c r="A592"/>
      <c r="B592">
        <v>19</v>
      </c>
      <c r="C592" s="43">
        <f>Jahr+10</f>
      </c>
      <c r="D592" s="43">
        <f>INDEX(MvObj,19)</f>
      </c>
      <c r="E592" s="43">
        <f>IF($S$582=0,0,IF(OR(DATE($C592,1,15)&lt;$S$582,AND($T$582&gt;0,DATE($C592,1,15)&gt;$T$582)),0,IF(DATE($C592,1,15)&gt;=$X$582,$AA$582*(1+($U$582)/100)^MAX(0,$C592-$AD$582),IF(DATE($C592,1,15)&gt;=$W$582,$Z$582*(1+($U$582)/100)^MAX(0,$C592-$AC$582),IF(DATE($C592,1,15)&gt;=$V$582,$Y$582*(1+($U$582)/100)^MAX(0,$C592-$AB$582),0)))))</f>
      </c>
      <c r="F592" s="43">
        <f>IF($S$582=0,0,IF(OR(DATE($C592,2,15)&lt;$S$582,AND($T$582&gt;0,DATE($C592,2,15)&gt;$T$582)),0,IF(DATE($C592,2,15)&gt;=$X$582,$AA$582*(1+($U$582)/100)^MAX(0,$C592-$AD$582),IF(DATE($C592,2,15)&gt;=$W$582,$Z$582*(1+($U$582)/100)^MAX(0,$C592-$AC$582),IF(DATE($C592,2,15)&gt;=$V$582,$Y$582*(1+($U$582)/100)^MAX(0,$C592-$AB$582),0)))))</f>
      </c>
      <c r="G592" s="43">
        <f>IF($S$582=0,0,IF(OR(DATE($C592,3,15)&lt;$S$582,AND($T$582&gt;0,DATE($C592,3,15)&gt;$T$582)),0,IF(DATE($C592,3,15)&gt;=$X$582,$AA$582*(1+($U$582)/100)^MAX(0,$C592-$AD$582),IF(DATE($C592,3,15)&gt;=$W$582,$Z$582*(1+($U$582)/100)^MAX(0,$C592-$AC$582),IF(DATE($C592,3,15)&gt;=$V$582,$Y$582*(1+($U$582)/100)^MAX(0,$C592-$AB$582),0)))))</f>
      </c>
      <c r="H592" s="43">
        <f>IF($S$582=0,0,IF(OR(DATE($C592,4,15)&lt;$S$582,AND($T$582&gt;0,DATE($C592,4,15)&gt;$T$582)),0,IF(DATE($C592,4,15)&gt;=$X$582,$AA$582*(1+($U$582)/100)^MAX(0,$C592-$AD$582),IF(DATE($C592,4,15)&gt;=$W$582,$Z$582*(1+($U$582)/100)^MAX(0,$C592-$AC$582),IF(DATE($C592,4,15)&gt;=$V$582,$Y$582*(1+($U$582)/100)^MAX(0,$C592-$AB$582),0)))))</f>
      </c>
      <c r="I592" s="43">
        <f>IF($S$582=0,0,IF(OR(DATE($C592,5,15)&lt;$S$582,AND($T$582&gt;0,DATE($C592,5,15)&gt;$T$582)),0,IF(DATE($C592,5,15)&gt;=$X$582,$AA$582*(1+($U$582)/100)^MAX(0,$C592-$AD$582),IF(DATE($C592,5,15)&gt;=$W$582,$Z$582*(1+($U$582)/100)^MAX(0,$C592-$AC$582),IF(DATE($C592,5,15)&gt;=$V$582,$Y$582*(1+($U$582)/100)^MAX(0,$C592-$AB$582),0)))))</f>
      </c>
      <c r="J592" s="43">
        <f>IF($S$582=0,0,IF(OR(DATE($C592,6,15)&lt;$S$582,AND($T$582&gt;0,DATE($C592,6,15)&gt;$T$582)),0,IF(DATE($C592,6,15)&gt;=$X$582,$AA$582*(1+($U$582)/100)^MAX(0,$C592-$AD$582),IF(DATE($C592,6,15)&gt;=$W$582,$Z$582*(1+($U$582)/100)^MAX(0,$C592-$AC$582),IF(DATE($C592,6,15)&gt;=$V$582,$Y$582*(1+($U$582)/100)^MAX(0,$C592-$AB$582),0)))))</f>
      </c>
      <c r="K592" s="43">
        <f>IF($S$582=0,0,IF(OR(DATE($C592,7,15)&lt;$S$582,AND($T$582&gt;0,DATE($C592,7,15)&gt;$T$582)),0,IF(DATE($C592,7,15)&gt;=$X$582,$AA$582*(1+($U$582)/100)^MAX(0,$C592-$AD$582),IF(DATE($C592,7,15)&gt;=$W$582,$Z$582*(1+($U$582)/100)^MAX(0,$C592-$AC$582),IF(DATE($C592,7,15)&gt;=$V$582,$Y$582*(1+($U$582)/100)^MAX(0,$C592-$AB$582),0)))))</f>
      </c>
      <c r="L592" s="43">
        <f>IF($S$582=0,0,IF(OR(DATE($C592,8,15)&lt;$S$582,AND($T$582&gt;0,DATE($C592,8,15)&gt;$T$582)),0,IF(DATE($C592,8,15)&gt;=$X$582,$AA$582*(1+($U$582)/100)^MAX(0,$C592-$AD$582),IF(DATE($C592,8,15)&gt;=$W$582,$Z$582*(1+($U$582)/100)^MAX(0,$C592-$AC$582),IF(DATE($C592,8,15)&gt;=$V$582,$Y$582*(1+($U$582)/100)^MAX(0,$C592-$AB$582),0)))))</f>
      </c>
      <c r="M592" s="43">
        <f>IF($S$582=0,0,IF(OR(DATE($C592,9,15)&lt;$S$582,AND($T$582&gt;0,DATE($C592,9,15)&gt;$T$582)),0,IF(DATE($C592,9,15)&gt;=$X$582,$AA$582*(1+($U$582)/100)^MAX(0,$C592-$AD$582),IF(DATE($C592,9,15)&gt;=$W$582,$Z$582*(1+($U$582)/100)^MAX(0,$C592-$AC$582),IF(DATE($C592,9,15)&gt;=$V$582,$Y$582*(1+($U$582)/100)^MAX(0,$C592-$AB$582),0)))))</f>
      </c>
      <c r="N592" s="43">
        <f>IF($S$582=0,0,IF(OR(DATE($C592,10,15)&lt;$S$582,AND($T$582&gt;0,DATE($C592,10,15)&gt;$T$582)),0,IF(DATE($C592,10,15)&gt;=$X$582,$AA$582*(1+($U$582)/100)^MAX(0,$C592-$AD$582),IF(DATE($C592,10,15)&gt;=$W$582,$Z$582*(1+($U$582)/100)^MAX(0,$C592-$AC$582),IF(DATE($C592,10,15)&gt;=$V$582,$Y$582*(1+($U$582)/100)^MAX(0,$C592-$AB$582),0)))))</f>
      </c>
      <c r="O592" s="43">
        <f>IF($S$582=0,0,IF(OR(DATE($C592,11,15)&lt;$S$582,AND($T$582&gt;0,DATE($C592,11,15)&gt;$T$582)),0,IF(DATE($C592,11,15)&gt;=$X$582,$AA$582*(1+($U$582)/100)^MAX(0,$C592-$AD$582),IF(DATE($C592,11,15)&gt;=$W$582,$Z$582*(1+($U$582)/100)^MAX(0,$C592-$AC$582),IF(DATE($C592,11,15)&gt;=$V$582,$Y$582*(1+($U$582)/100)^MAX(0,$C592-$AB$582),0)))))</f>
      </c>
      <c r="P592" s="43">
        <f>IF($S$582=0,0,IF(OR(DATE($C592,12,15)&lt;$S$582,AND($T$582&gt;0,DATE($C592,12,15)&gt;$T$582)),0,IF(DATE($C592,12,15)&gt;=$X$582,$AA$582*(1+($U$582)/100)^MAX(0,$C592-$AD$582),IF(DATE($C592,12,15)&gt;=$W$582,$Z$582*(1+($U$582)/100)^MAX(0,$C592-$AC$582),IF(DATE($C592,12,15)&gt;=$V$582,$Y$582*(1+($U$582)/100)^MAX(0,$C592-$AB$582),0)))))</f>
      </c>
      <c r="Q592" s="43">
        <f>SUM($E592:$P592)</f>
      </c>
    </row>
    <row r="593">
      <c r="A593"/>
      <c r="B593">
        <v>19</v>
      </c>
      <c r="C593" s="43">
        <f>Jahr+11</f>
      </c>
      <c r="D593" s="43">
        <f>INDEX(MvObj,19)</f>
      </c>
      <c r="E593" s="43">
        <f>IF($S$582=0,0,IF(OR(DATE($C593,1,15)&lt;$S$582,AND($T$582&gt;0,DATE($C593,1,15)&gt;$T$582)),0,IF(DATE($C593,1,15)&gt;=$X$582,$AA$582*(1+($U$582)/100)^MAX(0,$C593-$AD$582),IF(DATE($C593,1,15)&gt;=$W$582,$Z$582*(1+($U$582)/100)^MAX(0,$C593-$AC$582),IF(DATE($C593,1,15)&gt;=$V$582,$Y$582*(1+($U$582)/100)^MAX(0,$C593-$AB$582),0)))))</f>
      </c>
      <c r="F593" s="43">
        <f>IF($S$582=0,0,IF(OR(DATE($C593,2,15)&lt;$S$582,AND($T$582&gt;0,DATE($C593,2,15)&gt;$T$582)),0,IF(DATE($C593,2,15)&gt;=$X$582,$AA$582*(1+($U$582)/100)^MAX(0,$C593-$AD$582),IF(DATE($C593,2,15)&gt;=$W$582,$Z$582*(1+($U$582)/100)^MAX(0,$C593-$AC$582),IF(DATE($C593,2,15)&gt;=$V$582,$Y$582*(1+($U$582)/100)^MAX(0,$C593-$AB$582),0)))))</f>
      </c>
      <c r="G593" s="43">
        <f>IF($S$582=0,0,IF(OR(DATE($C593,3,15)&lt;$S$582,AND($T$582&gt;0,DATE($C593,3,15)&gt;$T$582)),0,IF(DATE($C593,3,15)&gt;=$X$582,$AA$582*(1+($U$582)/100)^MAX(0,$C593-$AD$582),IF(DATE($C593,3,15)&gt;=$W$582,$Z$582*(1+($U$582)/100)^MAX(0,$C593-$AC$582),IF(DATE($C593,3,15)&gt;=$V$582,$Y$582*(1+($U$582)/100)^MAX(0,$C593-$AB$582),0)))))</f>
      </c>
      <c r="H593" s="43">
        <f>IF($S$582=0,0,IF(OR(DATE($C593,4,15)&lt;$S$582,AND($T$582&gt;0,DATE($C593,4,15)&gt;$T$582)),0,IF(DATE($C593,4,15)&gt;=$X$582,$AA$582*(1+($U$582)/100)^MAX(0,$C593-$AD$582),IF(DATE($C593,4,15)&gt;=$W$582,$Z$582*(1+($U$582)/100)^MAX(0,$C593-$AC$582),IF(DATE($C593,4,15)&gt;=$V$582,$Y$582*(1+($U$582)/100)^MAX(0,$C593-$AB$582),0)))))</f>
      </c>
      <c r="I593" s="43">
        <f>IF($S$582=0,0,IF(OR(DATE($C593,5,15)&lt;$S$582,AND($T$582&gt;0,DATE($C593,5,15)&gt;$T$582)),0,IF(DATE($C593,5,15)&gt;=$X$582,$AA$582*(1+($U$582)/100)^MAX(0,$C593-$AD$582),IF(DATE($C593,5,15)&gt;=$W$582,$Z$582*(1+($U$582)/100)^MAX(0,$C593-$AC$582),IF(DATE($C593,5,15)&gt;=$V$582,$Y$582*(1+($U$582)/100)^MAX(0,$C593-$AB$582),0)))))</f>
      </c>
      <c r="J593" s="43">
        <f>IF($S$582=0,0,IF(OR(DATE($C593,6,15)&lt;$S$582,AND($T$582&gt;0,DATE($C593,6,15)&gt;$T$582)),0,IF(DATE($C593,6,15)&gt;=$X$582,$AA$582*(1+($U$582)/100)^MAX(0,$C593-$AD$582),IF(DATE($C593,6,15)&gt;=$W$582,$Z$582*(1+($U$582)/100)^MAX(0,$C593-$AC$582),IF(DATE($C593,6,15)&gt;=$V$582,$Y$582*(1+($U$582)/100)^MAX(0,$C593-$AB$582),0)))))</f>
      </c>
      <c r="K593" s="43">
        <f>IF($S$582=0,0,IF(OR(DATE($C593,7,15)&lt;$S$582,AND($T$582&gt;0,DATE($C593,7,15)&gt;$T$582)),0,IF(DATE($C593,7,15)&gt;=$X$582,$AA$582*(1+($U$582)/100)^MAX(0,$C593-$AD$582),IF(DATE($C593,7,15)&gt;=$W$582,$Z$582*(1+($U$582)/100)^MAX(0,$C593-$AC$582),IF(DATE($C593,7,15)&gt;=$V$582,$Y$582*(1+($U$582)/100)^MAX(0,$C593-$AB$582),0)))))</f>
      </c>
      <c r="L593" s="43">
        <f>IF($S$582=0,0,IF(OR(DATE($C593,8,15)&lt;$S$582,AND($T$582&gt;0,DATE($C593,8,15)&gt;$T$582)),0,IF(DATE($C593,8,15)&gt;=$X$582,$AA$582*(1+($U$582)/100)^MAX(0,$C593-$AD$582),IF(DATE($C593,8,15)&gt;=$W$582,$Z$582*(1+($U$582)/100)^MAX(0,$C593-$AC$582),IF(DATE($C593,8,15)&gt;=$V$582,$Y$582*(1+($U$582)/100)^MAX(0,$C593-$AB$582),0)))))</f>
      </c>
      <c r="M593" s="43">
        <f>IF($S$582=0,0,IF(OR(DATE($C593,9,15)&lt;$S$582,AND($T$582&gt;0,DATE($C593,9,15)&gt;$T$582)),0,IF(DATE($C593,9,15)&gt;=$X$582,$AA$582*(1+($U$582)/100)^MAX(0,$C593-$AD$582),IF(DATE($C593,9,15)&gt;=$W$582,$Z$582*(1+($U$582)/100)^MAX(0,$C593-$AC$582),IF(DATE($C593,9,15)&gt;=$V$582,$Y$582*(1+($U$582)/100)^MAX(0,$C593-$AB$582),0)))))</f>
      </c>
      <c r="N593" s="43">
        <f>IF($S$582=0,0,IF(OR(DATE($C593,10,15)&lt;$S$582,AND($T$582&gt;0,DATE($C593,10,15)&gt;$T$582)),0,IF(DATE($C593,10,15)&gt;=$X$582,$AA$582*(1+($U$582)/100)^MAX(0,$C593-$AD$582),IF(DATE($C593,10,15)&gt;=$W$582,$Z$582*(1+($U$582)/100)^MAX(0,$C593-$AC$582),IF(DATE($C593,10,15)&gt;=$V$582,$Y$582*(1+($U$582)/100)^MAX(0,$C593-$AB$582),0)))))</f>
      </c>
      <c r="O593" s="43">
        <f>IF($S$582=0,0,IF(OR(DATE($C593,11,15)&lt;$S$582,AND($T$582&gt;0,DATE($C593,11,15)&gt;$T$582)),0,IF(DATE($C593,11,15)&gt;=$X$582,$AA$582*(1+($U$582)/100)^MAX(0,$C593-$AD$582),IF(DATE($C593,11,15)&gt;=$W$582,$Z$582*(1+($U$582)/100)^MAX(0,$C593-$AC$582),IF(DATE($C593,11,15)&gt;=$V$582,$Y$582*(1+($U$582)/100)^MAX(0,$C593-$AB$582),0)))))</f>
      </c>
      <c r="P593" s="43">
        <f>IF($S$582=0,0,IF(OR(DATE($C593,12,15)&lt;$S$582,AND($T$582&gt;0,DATE($C593,12,15)&gt;$T$582)),0,IF(DATE($C593,12,15)&gt;=$X$582,$AA$582*(1+($U$582)/100)^MAX(0,$C593-$AD$582),IF(DATE($C593,12,15)&gt;=$W$582,$Z$582*(1+($U$582)/100)^MAX(0,$C593-$AC$582),IF(DATE($C593,12,15)&gt;=$V$582,$Y$582*(1+($U$582)/100)^MAX(0,$C593-$AB$582),0)))))</f>
      </c>
      <c r="Q593" s="43">
        <f>SUM($E593:$P593)</f>
      </c>
    </row>
    <row r="594">
      <c r="A594"/>
      <c r="B594">
        <v>19</v>
      </c>
      <c r="C594" s="43">
        <f>Jahr+12</f>
      </c>
      <c r="D594" s="43">
        <f>INDEX(MvObj,19)</f>
      </c>
      <c r="E594" s="43">
        <f>IF($S$582=0,0,IF(OR(DATE($C594,1,15)&lt;$S$582,AND($T$582&gt;0,DATE($C594,1,15)&gt;$T$582)),0,IF(DATE($C594,1,15)&gt;=$X$582,$AA$582*(1+($U$582)/100)^MAX(0,$C594-$AD$582),IF(DATE($C594,1,15)&gt;=$W$582,$Z$582*(1+($U$582)/100)^MAX(0,$C594-$AC$582),IF(DATE($C594,1,15)&gt;=$V$582,$Y$582*(1+($U$582)/100)^MAX(0,$C594-$AB$582),0)))))</f>
      </c>
      <c r="F594" s="43">
        <f>IF($S$582=0,0,IF(OR(DATE($C594,2,15)&lt;$S$582,AND($T$582&gt;0,DATE($C594,2,15)&gt;$T$582)),0,IF(DATE($C594,2,15)&gt;=$X$582,$AA$582*(1+($U$582)/100)^MAX(0,$C594-$AD$582),IF(DATE($C594,2,15)&gt;=$W$582,$Z$582*(1+($U$582)/100)^MAX(0,$C594-$AC$582),IF(DATE($C594,2,15)&gt;=$V$582,$Y$582*(1+($U$582)/100)^MAX(0,$C594-$AB$582),0)))))</f>
      </c>
      <c r="G594" s="43">
        <f>IF($S$582=0,0,IF(OR(DATE($C594,3,15)&lt;$S$582,AND($T$582&gt;0,DATE($C594,3,15)&gt;$T$582)),0,IF(DATE($C594,3,15)&gt;=$X$582,$AA$582*(1+($U$582)/100)^MAX(0,$C594-$AD$582),IF(DATE($C594,3,15)&gt;=$W$582,$Z$582*(1+($U$582)/100)^MAX(0,$C594-$AC$582),IF(DATE($C594,3,15)&gt;=$V$582,$Y$582*(1+($U$582)/100)^MAX(0,$C594-$AB$582),0)))))</f>
      </c>
      <c r="H594" s="43">
        <f>IF($S$582=0,0,IF(OR(DATE($C594,4,15)&lt;$S$582,AND($T$582&gt;0,DATE($C594,4,15)&gt;$T$582)),0,IF(DATE($C594,4,15)&gt;=$X$582,$AA$582*(1+($U$582)/100)^MAX(0,$C594-$AD$582),IF(DATE($C594,4,15)&gt;=$W$582,$Z$582*(1+($U$582)/100)^MAX(0,$C594-$AC$582),IF(DATE($C594,4,15)&gt;=$V$582,$Y$582*(1+($U$582)/100)^MAX(0,$C594-$AB$582),0)))))</f>
      </c>
      <c r="I594" s="43">
        <f>IF($S$582=0,0,IF(OR(DATE($C594,5,15)&lt;$S$582,AND($T$582&gt;0,DATE($C594,5,15)&gt;$T$582)),0,IF(DATE($C594,5,15)&gt;=$X$582,$AA$582*(1+($U$582)/100)^MAX(0,$C594-$AD$582),IF(DATE($C594,5,15)&gt;=$W$582,$Z$582*(1+($U$582)/100)^MAX(0,$C594-$AC$582),IF(DATE($C594,5,15)&gt;=$V$582,$Y$582*(1+($U$582)/100)^MAX(0,$C594-$AB$582),0)))))</f>
      </c>
      <c r="J594" s="43">
        <f>IF($S$582=0,0,IF(OR(DATE($C594,6,15)&lt;$S$582,AND($T$582&gt;0,DATE($C594,6,15)&gt;$T$582)),0,IF(DATE($C594,6,15)&gt;=$X$582,$AA$582*(1+($U$582)/100)^MAX(0,$C594-$AD$582),IF(DATE($C594,6,15)&gt;=$W$582,$Z$582*(1+($U$582)/100)^MAX(0,$C594-$AC$582),IF(DATE($C594,6,15)&gt;=$V$582,$Y$582*(1+($U$582)/100)^MAX(0,$C594-$AB$582),0)))))</f>
      </c>
      <c r="K594" s="43">
        <f>IF($S$582=0,0,IF(OR(DATE($C594,7,15)&lt;$S$582,AND($T$582&gt;0,DATE($C594,7,15)&gt;$T$582)),0,IF(DATE($C594,7,15)&gt;=$X$582,$AA$582*(1+($U$582)/100)^MAX(0,$C594-$AD$582),IF(DATE($C594,7,15)&gt;=$W$582,$Z$582*(1+($U$582)/100)^MAX(0,$C594-$AC$582),IF(DATE($C594,7,15)&gt;=$V$582,$Y$582*(1+($U$582)/100)^MAX(0,$C594-$AB$582),0)))))</f>
      </c>
      <c r="L594" s="43">
        <f>IF($S$582=0,0,IF(OR(DATE($C594,8,15)&lt;$S$582,AND($T$582&gt;0,DATE($C594,8,15)&gt;$T$582)),0,IF(DATE($C594,8,15)&gt;=$X$582,$AA$582*(1+($U$582)/100)^MAX(0,$C594-$AD$582),IF(DATE($C594,8,15)&gt;=$W$582,$Z$582*(1+($U$582)/100)^MAX(0,$C594-$AC$582),IF(DATE($C594,8,15)&gt;=$V$582,$Y$582*(1+($U$582)/100)^MAX(0,$C594-$AB$582),0)))))</f>
      </c>
      <c r="M594" s="43">
        <f>IF($S$582=0,0,IF(OR(DATE($C594,9,15)&lt;$S$582,AND($T$582&gt;0,DATE($C594,9,15)&gt;$T$582)),0,IF(DATE($C594,9,15)&gt;=$X$582,$AA$582*(1+($U$582)/100)^MAX(0,$C594-$AD$582),IF(DATE($C594,9,15)&gt;=$W$582,$Z$582*(1+($U$582)/100)^MAX(0,$C594-$AC$582),IF(DATE($C594,9,15)&gt;=$V$582,$Y$582*(1+($U$582)/100)^MAX(0,$C594-$AB$582),0)))))</f>
      </c>
      <c r="N594" s="43">
        <f>IF($S$582=0,0,IF(OR(DATE($C594,10,15)&lt;$S$582,AND($T$582&gt;0,DATE($C594,10,15)&gt;$T$582)),0,IF(DATE($C594,10,15)&gt;=$X$582,$AA$582*(1+($U$582)/100)^MAX(0,$C594-$AD$582),IF(DATE($C594,10,15)&gt;=$W$582,$Z$582*(1+($U$582)/100)^MAX(0,$C594-$AC$582),IF(DATE($C594,10,15)&gt;=$V$582,$Y$582*(1+($U$582)/100)^MAX(0,$C594-$AB$582),0)))))</f>
      </c>
      <c r="O594" s="43">
        <f>IF($S$582=0,0,IF(OR(DATE($C594,11,15)&lt;$S$582,AND($T$582&gt;0,DATE($C594,11,15)&gt;$T$582)),0,IF(DATE($C594,11,15)&gt;=$X$582,$AA$582*(1+($U$582)/100)^MAX(0,$C594-$AD$582),IF(DATE($C594,11,15)&gt;=$W$582,$Z$582*(1+($U$582)/100)^MAX(0,$C594-$AC$582),IF(DATE($C594,11,15)&gt;=$V$582,$Y$582*(1+($U$582)/100)^MAX(0,$C594-$AB$582),0)))))</f>
      </c>
      <c r="P594" s="43">
        <f>IF($S$582=0,0,IF(OR(DATE($C594,12,15)&lt;$S$582,AND($T$582&gt;0,DATE($C594,12,15)&gt;$T$582)),0,IF(DATE($C594,12,15)&gt;=$X$582,$AA$582*(1+($U$582)/100)^MAX(0,$C594-$AD$582),IF(DATE($C594,12,15)&gt;=$W$582,$Z$582*(1+($U$582)/100)^MAX(0,$C594-$AC$582),IF(DATE($C594,12,15)&gt;=$V$582,$Y$582*(1+($U$582)/100)^MAX(0,$C594-$AB$582),0)))))</f>
      </c>
      <c r="Q594" s="43">
        <f>SUM($E594:$P594)</f>
      </c>
    </row>
    <row r="595">
      <c r="A595"/>
      <c r="B595">
        <v>19</v>
      </c>
      <c r="C595" s="43">
        <f>Jahr+13</f>
      </c>
      <c r="D595" s="43">
        <f>INDEX(MvObj,19)</f>
      </c>
      <c r="E595" s="43">
        <f>IF($S$582=0,0,IF(OR(DATE($C595,1,15)&lt;$S$582,AND($T$582&gt;0,DATE($C595,1,15)&gt;$T$582)),0,IF(DATE($C595,1,15)&gt;=$X$582,$AA$582*(1+($U$582)/100)^MAX(0,$C595-$AD$582),IF(DATE($C595,1,15)&gt;=$W$582,$Z$582*(1+($U$582)/100)^MAX(0,$C595-$AC$582),IF(DATE($C595,1,15)&gt;=$V$582,$Y$582*(1+($U$582)/100)^MAX(0,$C595-$AB$582),0)))))</f>
      </c>
      <c r="F595" s="43">
        <f>IF($S$582=0,0,IF(OR(DATE($C595,2,15)&lt;$S$582,AND($T$582&gt;0,DATE($C595,2,15)&gt;$T$582)),0,IF(DATE($C595,2,15)&gt;=$X$582,$AA$582*(1+($U$582)/100)^MAX(0,$C595-$AD$582),IF(DATE($C595,2,15)&gt;=$W$582,$Z$582*(1+($U$582)/100)^MAX(0,$C595-$AC$582),IF(DATE($C595,2,15)&gt;=$V$582,$Y$582*(1+($U$582)/100)^MAX(0,$C595-$AB$582),0)))))</f>
      </c>
      <c r="G595" s="43">
        <f>IF($S$582=0,0,IF(OR(DATE($C595,3,15)&lt;$S$582,AND($T$582&gt;0,DATE($C595,3,15)&gt;$T$582)),0,IF(DATE($C595,3,15)&gt;=$X$582,$AA$582*(1+($U$582)/100)^MAX(0,$C595-$AD$582),IF(DATE($C595,3,15)&gt;=$W$582,$Z$582*(1+($U$582)/100)^MAX(0,$C595-$AC$582),IF(DATE($C595,3,15)&gt;=$V$582,$Y$582*(1+($U$582)/100)^MAX(0,$C595-$AB$582),0)))))</f>
      </c>
      <c r="H595" s="43">
        <f>IF($S$582=0,0,IF(OR(DATE($C595,4,15)&lt;$S$582,AND($T$582&gt;0,DATE($C595,4,15)&gt;$T$582)),0,IF(DATE($C595,4,15)&gt;=$X$582,$AA$582*(1+($U$582)/100)^MAX(0,$C595-$AD$582),IF(DATE($C595,4,15)&gt;=$W$582,$Z$582*(1+($U$582)/100)^MAX(0,$C595-$AC$582),IF(DATE($C595,4,15)&gt;=$V$582,$Y$582*(1+($U$582)/100)^MAX(0,$C595-$AB$582),0)))))</f>
      </c>
      <c r="I595" s="43">
        <f>IF($S$582=0,0,IF(OR(DATE($C595,5,15)&lt;$S$582,AND($T$582&gt;0,DATE($C595,5,15)&gt;$T$582)),0,IF(DATE($C595,5,15)&gt;=$X$582,$AA$582*(1+($U$582)/100)^MAX(0,$C595-$AD$582),IF(DATE($C595,5,15)&gt;=$W$582,$Z$582*(1+($U$582)/100)^MAX(0,$C595-$AC$582),IF(DATE($C595,5,15)&gt;=$V$582,$Y$582*(1+($U$582)/100)^MAX(0,$C595-$AB$582),0)))))</f>
      </c>
      <c r="J595" s="43">
        <f>IF($S$582=0,0,IF(OR(DATE($C595,6,15)&lt;$S$582,AND($T$582&gt;0,DATE($C595,6,15)&gt;$T$582)),0,IF(DATE($C595,6,15)&gt;=$X$582,$AA$582*(1+($U$582)/100)^MAX(0,$C595-$AD$582),IF(DATE($C595,6,15)&gt;=$W$582,$Z$582*(1+($U$582)/100)^MAX(0,$C595-$AC$582),IF(DATE($C595,6,15)&gt;=$V$582,$Y$582*(1+($U$582)/100)^MAX(0,$C595-$AB$582),0)))))</f>
      </c>
      <c r="K595" s="43">
        <f>IF($S$582=0,0,IF(OR(DATE($C595,7,15)&lt;$S$582,AND($T$582&gt;0,DATE($C595,7,15)&gt;$T$582)),0,IF(DATE($C595,7,15)&gt;=$X$582,$AA$582*(1+($U$582)/100)^MAX(0,$C595-$AD$582),IF(DATE($C595,7,15)&gt;=$W$582,$Z$582*(1+($U$582)/100)^MAX(0,$C595-$AC$582),IF(DATE($C595,7,15)&gt;=$V$582,$Y$582*(1+($U$582)/100)^MAX(0,$C595-$AB$582),0)))))</f>
      </c>
      <c r="L595" s="43">
        <f>IF($S$582=0,0,IF(OR(DATE($C595,8,15)&lt;$S$582,AND($T$582&gt;0,DATE($C595,8,15)&gt;$T$582)),0,IF(DATE($C595,8,15)&gt;=$X$582,$AA$582*(1+($U$582)/100)^MAX(0,$C595-$AD$582),IF(DATE($C595,8,15)&gt;=$W$582,$Z$582*(1+($U$582)/100)^MAX(0,$C595-$AC$582),IF(DATE($C595,8,15)&gt;=$V$582,$Y$582*(1+($U$582)/100)^MAX(0,$C595-$AB$582),0)))))</f>
      </c>
      <c r="M595" s="43">
        <f>IF($S$582=0,0,IF(OR(DATE($C595,9,15)&lt;$S$582,AND($T$582&gt;0,DATE($C595,9,15)&gt;$T$582)),0,IF(DATE($C595,9,15)&gt;=$X$582,$AA$582*(1+($U$582)/100)^MAX(0,$C595-$AD$582),IF(DATE($C595,9,15)&gt;=$W$582,$Z$582*(1+($U$582)/100)^MAX(0,$C595-$AC$582),IF(DATE($C595,9,15)&gt;=$V$582,$Y$582*(1+($U$582)/100)^MAX(0,$C595-$AB$582),0)))))</f>
      </c>
      <c r="N595" s="43">
        <f>IF($S$582=0,0,IF(OR(DATE($C595,10,15)&lt;$S$582,AND($T$582&gt;0,DATE($C595,10,15)&gt;$T$582)),0,IF(DATE($C595,10,15)&gt;=$X$582,$AA$582*(1+($U$582)/100)^MAX(0,$C595-$AD$582),IF(DATE($C595,10,15)&gt;=$W$582,$Z$582*(1+($U$582)/100)^MAX(0,$C595-$AC$582),IF(DATE($C595,10,15)&gt;=$V$582,$Y$582*(1+($U$582)/100)^MAX(0,$C595-$AB$582),0)))))</f>
      </c>
      <c r="O595" s="43">
        <f>IF($S$582=0,0,IF(OR(DATE($C595,11,15)&lt;$S$582,AND($T$582&gt;0,DATE($C595,11,15)&gt;$T$582)),0,IF(DATE($C595,11,15)&gt;=$X$582,$AA$582*(1+($U$582)/100)^MAX(0,$C595-$AD$582),IF(DATE($C595,11,15)&gt;=$W$582,$Z$582*(1+($U$582)/100)^MAX(0,$C595-$AC$582),IF(DATE($C595,11,15)&gt;=$V$582,$Y$582*(1+($U$582)/100)^MAX(0,$C595-$AB$582),0)))))</f>
      </c>
      <c r="P595" s="43">
        <f>IF($S$582=0,0,IF(OR(DATE($C595,12,15)&lt;$S$582,AND($T$582&gt;0,DATE($C595,12,15)&gt;$T$582)),0,IF(DATE($C595,12,15)&gt;=$X$582,$AA$582*(1+($U$582)/100)^MAX(0,$C595-$AD$582),IF(DATE($C595,12,15)&gt;=$W$582,$Z$582*(1+($U$582)/100)^MAX(0,$C595-$AC$582),IF(DATE($C595,12,15)&gt;=$V$582,$Y$582*(1+($U$582)/100)^MAX(0,$C595-$AB$582),0)))))</f>
      </c>
      <c r="Q595" s="43">
        <f>SUM($E595:$P595)</f>
      </c>
    </row>
    <row r="596">
      <c r="A596"/>
      <c r="B596">
        <v>19</v>
      </c>
      <c r="C596" s="43">
        <f>Jahr+14</f>
      </c>
      <c r="D596" s="43">
        <f>INDEX(MvObj,19)</f>
      </c>
      <c r="E596" s="43">
        <f>IF($S$582=0,0,IF(OR(DATE($C596,1,15)&lt;$S$582,AND($T$582&gt;0,DATE($C596,1,15)&gt;$T$582)),0,IF(DATE($C596,1,15)&gt;=$X$582,$AA$582*(1+($U$582)/100)^MAX(0,$C596-$AD$582),IF(DATE($C596,1,15)&gt;=$W$582,$Z$582*(1+($U$582)/100)^MAX(0,$C596-$AC$582),IF(DATE($C596,1,15)&gt;=$V$582,$Y$582*(1+($U$582)/100)^MAX(0,$C596-$AB$582),0)))))</f>
      </c>
      <c r="F596" s="43">
        <f>IF($S$582=0,0,IF(OR(DATE($C596,2,15)&lt;$S$582,AND($T$582&gt;0,DATE($C596,2,15)&gt;$T$582)),0,IF(DATE($C596,2,15)&gt;=$X$582,$AA$582*(1+($U$582)/100)^MAX(0,$C596-$AD$582),IF(DATE($C596,2,15)&gt;=$W$582,$Z$582*(1+($U$582)/100)^MAX(0,$C596-$AC$582),IF(DATE($C596,2,15)&gt;=$V$582,$Y$582*(1+($U$582)/100)^MAX(0,$C596-$AB$582),0)))))</f>
      </c>
      <c r="G596" s="43">
        <f>IF($S$582=0,0,IF(OR(DATE($C596,3,15)&lt;$S$582,AND($T$582&gt;0,DATE($C596,3,15)&gt;$T$582)),0,IF(DATE($C596,3,15)&gt;=$X$582,$AA$582*(1+($U$582)/100)^MAX(0,$C596-$AD$582),IF(DATE($C596,3,15)&gt;=$W$582,$Z$582*(1+($U$582)/100)^MAX(0,$C596-$AC$582),IF(DATE($C596,3,15)&gt;=$V$582,$Y$582*(1+($U$582)/100)^MAX(0,$C596-$AB$582),0)))))</f>
      </c>
      <c r="H596" s="43">
        <f>IF($S$582=0,0,IF(OR(DATE($C596,4,15)&lt;$S$582,AND($T$582&gt;0,DATE($C596,4,15)&gt;$T$582)),0,IF(DATE($C596,4,15)&gt;=$X$582,$AA$582*(1+($U$582)/100)^MAX(0,$C596-$AD$582),IF(DATE($C596,4,15)&gt;=$W$582,$Z$582*(1+($U$582)/100)^MAX(0,$C596-$AC$582),IF(DATE($C596,4,15)&gt;=$V$582,$Y$582*(1+($U$582)/100)^MAX(0,$C596-$AB$582),0)))))</f>
      </c>
      <c r="I596" s="43">
        <f>IF($S$582=0,0,IF(OR(DATE($C596,5,15)&lt;$S$582,AND($T$582&gt;0,DATE($C596,5,15)&gt;$T$582)),0,IF(DATE($C596,5,15)&gt;=$X$582,$AA$582*(1+($U$582)/100)^MAX(0,$C596-$AD$582),IF(DATE($C596,5,15)&gt;=$W$582,$Z$582*(1+($U$582)/100)^MAX(0,$C596-$AC$582),IF(DATE($C596,5,15)&gt;=$V$582,$Y$582*(1+($U$582)/100)^MAX(0,$C596-$AB$582),0)))))</f>
      </c>
      <c r="J596" s="43">
        <f>IF($S$582=0,0,IF(OR(DATE($C596,6,15)&lt;$S$582,AND($T$582&gt;0,DATE($C596,6,15)&gt;$T$582)),0,IF(DATE($C596,6,15)&gt;=$X$582,$AA$582*(1+($U$582)/100)^MAX(0,$C596-$AD$582),IF(DATE($C596,6,15)&gt;=$W$582,$Z$582*(1+($U$582)/100)^MAX(0,$C596-$AC$582),IF(DATE($C596,6,15)&gt;=$V$582,$Y$582*(1+($U$582)/100)^MAX(0,$C596-$AB$582),0)))))</f>
      </c>
      <c r="K596" s="43">
        <f>IF($S$582=0,0,IF(OR(DATE($C596,7,15)&lt;$S$582,AND($T$582&gt;0,DATE($C596,7,15)&gt;$T$582)),0,IF(DATE($C596,7,15)&gt;=$X$582,$AA$582*(1+($U$582)/100)^MAX(0,$C596-$AD$582),IF(DATE($C596,7,15)&gt;=$W$582,$Z$582*(1+($U$582)/100)^MAX(0,$C596-$AC$582),IF(DATE($C596,7,15)&gt;=$V$582,$Y$582*(1+($U$582)/100)^MAX(0,$C596-$AB$582),0)))))</f>
      </c>
      <c r="L596" s="43">
        <f>IF($S$582=0,0,IF(OR(DATE($C596,8,15)&lt;$S$582,AND($T$582&gt;0,DATE($C596,8,15)&gt;$T$582)),0,IF(DATE($C596,8,15)&gt;=$X$582,$AA$582*(1+($U$582)/100)^MAX(0,$C596-$AD$582),IF(DATE($C596,8,15)&gt;=$W$582,$Z$582*(1+($U$582)/100)^MAX(0,$C596-$AC$582),IF(DATE($C596,8,15)&gt;=$V$582,$Y$582*(1+($U$582)/100)^MAX(0,$C596-$AB$582),0)))))</f>
      </c>
      <c r="M596" s="43">
        <f>IF($S$582=0,0,IF(OR(DATE($C596,9,15)&lt;$S$582,AND($T$582&gt;0,DATE($C596,9,15)&gt;$T$582)),0,IF(DATE($C596,9,15)&gt;=$X$582,$AA$582*(1+($U$582)/100)^MAX(0,$C596-$AD$582),IF(DATE($C596,9,15)&gt;=$W$582,$Z$582*(1+($U$582)/100)^MAX(0,$C596-$AC$582),IF(DATE($C596,9,15)&gt;=$V$582,$Y$582*(1+($U$582)/100)^MAX(0,$C596-$AB$582),0)))))</f>
      </c>
      <c r="N596" s="43">
        <f>IF($S$582=0,0,IF(OR(DATE($C596,10,15)&lt;$S$582,AND($T$582&gt;0,DATE($C596,10,15)&gt;$T$582)),0,IF(DATE($C596,10,15)&gt;=$X$582,$AA$582*(1+($U$582)/100)^MAX(0,$C596-$AD$582),IF(DATE($C596,10,15)&gt;=$W$582,$Z$582*(1+($U$582)/100)^MAX(0,$C596-$AC$582),IF(DATE($C596,10,15)&gt;=$V$582,$Y$582*(1+($U$582)/100)^MAX(0,$C596-$AB$582),0)))))</f>
      </c>
      <c r="O596" s="43">
        <f>IF($S$582=0,0,IF(OR(DATE($C596,11,15)&lt;$S$582,AND($T$582&gt;0,DATE($C596,11,15)&gt;$T$582)),0,IF(DATE($C596,11,15)&gt;=$X$582,$AA$582*(1+($U$582)/100)^MAX(0,$C596-$AD$582),IF(DATE($C596,11,15)&gt;=$W$582,$Z$582*(1+($U$582)/100)^MAX(0,$C596-$AC$582),IF(DATE($C596,11,15)&gt;=$V$582,$Y$582*(1+($U$582)/100)^MAX(0,$C596-$AB$582),0)))))</f>
      </c>
      <c r="P596" s="43">
        <f>IF($S$582=0,0,IF(OR(DATE($C596,12,15)&lt;$S$582,AND($T$582&gt;0,DATE($C596,12,15)&gt;$T$582)),0,IF(DATE($C596,12,15)&gt;=$X$582,$AA$582*(1+($U$582)/100)^MAX(0,$C596-$AD$582),IF(DATE($C596,12,15)&gt;=$W$582,$Z$582*(1+($U$582)/100)^MAX(0,$C596-$AC$582),IF(DATE($C596,12,15)&gt;=$V$582,$Y$582*(1+($U$582)/100)^MAX(0,$C596-$AB$582),0)))))</f>
      </c>
      <c r="Q596" s="43">
        <f>SUM($E596:$P596)</f>
      </c>
    </row>
    <row r="597">
      <c r="A597"/>
      <c r="B597">
        <v>19</v>
      </c>
      <c r="C597" s="43">
        <f>Jahr+15</f>
      </c>
      <c r="D597" s="43">
        <f>INDEX(MvObj,19)</f>
      </c>
      <c r="E597" s="43">
        <f>IF($S$582=0,0,IF(OR(DATE($C597,1,15)&lt;$S$582,AND($T$582&gt;0,DATE($C597,1,15)&gt;$T$582)),0,IF(DATE($C597,1,15)&gt;=$X$582,$AA$582*(1+($U$582)/100)^MAX(0,$C597-$AD$582),IF(DATE($C597,1,15)&gt;=$W$582,$Z$582*(1+($U$582)/100)^MAX(0,$C597-$AC$582),IF(DATE($C597,1,15)&gt;=$V$582,$Y$582*(1+($U$582)/100)^MAX(0,$C597-$AB$582),0)))))</f>
      </c>
      <c r="F597" s="43">
        <f>IF($S$582=0,0,IF(OR(DATE($C597,2,15)&lt;$S$582,AND($T$582&gt;0,DATE($C597,2,15)&gt;$T$582)),0,IF(DATE($C597,2,15)&gt;=$X$582,$AA$582*(1+($U$582)/100)^MAX(0,$C597-$AD$582),IF(DATE($C597,2,15)&gt;=$W$582,$Z$582*(1+($U$582)/100)^MAX(0,$C597-$AC$582),IF(DATE($C597,2,15)&gt;=$V$582,$Y$582*(1+($U$582)/100)^MAX(0,$C597-$AB$582),0)))))</f>
      </c>
      <c r="G597" s="43">
        <f>IF($S$582=0,0,IF(OR(DATE($C597,3,15)&lt;$S$582,AND($T$582&gt;0,DATE($C597,3,15)&gt;$T$582)),0,IF(DATE($C597,3,15)&gt;=$X$582,$AA$582*(1+($U$582)/100)^MAX(0,$C597-$AD$582),IF(DATE($C597,3,15)&gt;=$W$582,$Z$582*(1+($U$582)/100)^MAX(0,$C597-$AC$582),IF(DATE($C597,3,15)&gt;=$V$582,$Y$582*(1+($U$582)/100)^MAX(0,$C597-$AB$582),0)))))</f>
      </c>
      <c r="H597" s="43">
        <f>IF($S$582=0,0,IF(OR(DATE($C597,4,15)&lt;$S$582,AND($T$582&gt;0,DATE($C597,4,15)&gt;$T$582)),0,IF(DATE($C597,4,15)&gt;=$X$582,$AA$582*(1+($U$582)/100)^MAX(0,$C597-$AD$582),IF(DATE($C597,4,15)&gt;=$W$582,$Z$582*(1+($U$582)/100)^MAX(0,$C597-$AC$582),IF(DATE($C597,4,15)&gt;=$V$582,$Y$582*(1+($U$582)/100)^MAX(0,$C597-$AB$582),0)))))</f>
      </c>
      <c r="I597" s="43">
        <f>IF($S$582=0,0,IF(OR(DATE($C597,5,15)&lt;$S$582,AND($T$582&gt;0,DATE($C597,5,15)&gt;$T$582)),0,IF(DATE($C597,5,15)&gt;=$X$582,$AA$582*(1+($U$582)/100)^MAX(0,$C597-$AD$582),IF(DATE($C597,5,15)&gt;=$W$582,$Z$582*(1+($U$582)/100)^MAX(0,$C597-$AC$582),IF(DATE($C597,5,15)&gt;=$V$582,$Y$582*(1+($U$582)/100)^MAX(0,$C597-$AB$582),0)))))</f>
      </c>
      <c r="J597" s="43">
        <f>IF($S$582=0,0,IF(OR(DATE($C597,6,15)&lt;$S$582,AND($T$582&gt;0,DATE($C597,6,15)&gt;$T$582)),0,IF(DATE($C597,6,15)&gt;=$X$582,$AA$582*(1+($U$582)/100)^MAX(0,$C597-$AD$582),IF(DATE($C597,6,15)&gt;=$W$582,$Z$582*(1+($U$582)/100)^MAX(0,$C597-$AC$582),IF(DATE($C597,6,15)&gt;=$V$582,$Y$582*(1+($U$582)/100)^MAX(0,$C597-$AB$582),0)))))</f>
      </c>
      <c r="K597" s="43">
        <f>IF($S$582=0,0,IF(OR(DATE($C597,7,15)&lt;$S$582,AND($T$582&gt;0,DATE($C597,7,15)&gt;$T$582)),0,IF(DATE($C597,7,15)&gt;=$X$582,$AA$582*(1+($U$582)/100)^MAX(0,$C597-$AD$582),IF(DATE($C597,7,15)&gt;=$W$582,$Z$582*(1+($U$582)/100)^MAX(0,$C597-$AC$582),IF(DATE($C597,7,15)&gt;=$V$582,$Y$582*(1+($U$582)/100)^MAX(0,$C597-$AB$582),0)))))</f>
      </c>
      <c r="L597" s="43">
        <f>IF($S$582=0,0,IF(OR(DATE($C597,8,15)&lt;$S$582,AND($T$582&gt;0,DATE($C597,8,15)&gt;$T$582)),0,IF(DATE($C597,8,15)&gt;=$X$582,$AA$582*(1+($U$582)/100)^MAX(0,$C597-$AD$582),IF(DATE($C597,8,15)&gt;=$W$582,$Z$582*(1+($U$582)/100)^MAX(0,$C597-$AC$582),IF(DATE($C597,8,15)&gt;=$V$582,$Y$582*(1+($U$582)/100)^MAX(0,$C597-$AB$582),0)))))</f>
      </c>
      <c r="M597" s="43">
        <f>IF($S$582=0,0,IF(OR(DATE($C597,9,15)&lt;$S$582,AND($T$582&gt;0,DATE($C597,9,15)&gt;$T$582)),0,IF(DATE($C597,9,15)&gt;=$X$582,$AA$582*(1+($U$582)/100)^MAX(0,$C597-$AD$582),IF(DATE($C597,9,15)&gt;=$W$582,$Z$582*(1+($U$582)/100)^MAX(0,$C597-$AC$582),IF(DATE($C597,9,15)&gt;=$V$582,$Y$582*(1+($U$582)/100)^MAX(0,$C597-$AB$582),0)))))</f>
      </c>
      <c r="N597" s="43">
        <f>IF($S$582=0,0,IF(OR(DATE($C597,10,15)&lt;$S$582,AND($T$582&gt;0,DATE($C597,10,15)&gt;$T$582)),0,IF(DATE($C597,10,15)&gt;=$X$582,$AA$582*(1+($U$582)/100)^MAX(0,$C597-$AD$582),IF(DATE($C597,10,15)&gt;=$W$582,$Z$582*(1+($U$582)/100)^MAX(0,$C597-$AC$582),IF(DATE($C597,10,15)&gt;=$V$582,$Y$582*(1+($U$582)/100)^MAX(0,$C597-$AB$582),0)))))</f>
      </c>
      <c r="O597" s="43">
        <f>IF($S$582=0,0,IF(OR(DATE($C597,11,15)&lt;$S$582,AND($T$582&gt;0,DATE($C597,11,15)&gt;$T$582)),0,IF(DATE($C597,11,15)&gt;=$X$582,$AA$582*(1+($U$582)/100)^MAX(0,$C597-$AD$582),IF(DATE($C597,11,15)&gt;=$W$582,$Z$582*(1+($U$582)/100)^MAX(0,$C597-$AC$582),IF(DATE($C597,11,15)&gt;=$V$582,$Y$582*(1+($U$582)/100)^MAX(0,$C597-$AB$582),0)))))</f>
      </c>
      <c r="P597" s="43">
        <f>IF($S$582=0,0,IF(OR(DATE($C597,12,15)&lt;$S$582,AND($T$582&gt;0,DATE($C597,12,15)&gt;$T$582)),0,IF(DATE($C597,12,15)&gt;=$X$582,$AA$582*(1+($U$582)/100)^MAX(0,$C597-$AD$582),IF(DATE($C597,12,15)&gt;=$W$582,$Z$582*(1+($U$582)/100)^MAX(0,$C597-$AC$582),IF(DATE($C597,12,15)&gt;=$V$582,$Y$582*(1+($U$582)/100)^MAX(0,$C597-$AB$582),0)))))</f>
      </c>
      <c r="Q597" s="43">
        <f>SUM($E597:$P597)</f>
      </c>
    </row>
    <row r="598">
      <c r="A598"/>
      <c r="B598">
        <v>19</v>
      </c>
      <c r="C598" s="43">
        <f>Jahr+16</f>
      </c>
      <c r="D598" s="43">
        <f>INDEX(MvObj,19)</f>
      </c>
      <c r="E598" s="43">
        <f>IF($S$582=0,0,IF(OR(DATE($C598,1,15)&lt;$S$582,AND($T$582&gt;0,DATE($C598,1,15)&gt;$T$582)),0,IF(DATE($C598,1,15)&gt;=$X$582,$AA$582*(1+($U$582)/100)^MAX(0,$C598-$AD$582),IF(DATE($C598,1,15)&gt;=$W$582,$Z$582*(1+($U$582)/100)^MAX(0,$C598-$AC$582),IF(DATE($C598,1,15)&gt;=$V$582,$Y$582*(1+($U$582)/100)^MAX(0,$C598-$AB$582),0)))))</f>
      </c>
      <c r="F598" s="43">
        <f>IF($S$582=0,0,IF(OR(DATE($C598,2,15)&lt;$S$582,AND($T$582&gt;0,DATE($C598,2,15)&gt;$T$582)),0,IF(DATE($C598,2,15)&gt;=$X$582,$AA$582*(1+($U$582)/100)^MAX(0,$C598-$AD$582),IF(DATE($C598,2,15)&gt;=$W$582,$Z$582*(1+($U$582)/100)^MAX(0,$C598-$AC$582),IF(DATE($C598,2,15)&gt;=$V$582,$Y$582*(1+($U$582)/100)^MAX(0,$C598-$AB$582),0)))))</f>
      </c>
      <c r="G598" s="43">
        <f>IF($S$582=0,0,IF(OR(DATE($C598,3,15)&lt;$S$582,AND($T$582&gt;0,DATE($C598,3,15)&gt;$T$582)),0,IF(DATE($C598,3,15)&gt;=$X$582,$AA$582*(1+($U$582)/100)^MAX(0,$C598-$AD$582),IF(DATE($C598,3,15)&gt;=$W$582,$Z$582*(1+($U$582)/100)^MAX(0,$C598-$AC$582),IF(DATE($C598,3,15)&gt;=$V$582,$Y$582*(1+($U$582)/100)^MAX(0,$C598-$AB$582),0)))))</f>
      </c>
      <c r="H598" s="43">
        <f>IF($S$582=0,0,IF(OR(DATE($C598,4,15)&lt;$S$582,AND($T$582&gt;0,DATE($C598,4,15)&gt;$T$582)),0,IF(DATE($C598,4,15)&gt;=$X$582,$AA$582*(1+($U$582)/100)^MAX(0,$C598-$AD$582),IF(DATE($C598,4,15)&gt;=$W$582,$Z$582*(1+($U$582)/100)^MAX(0,$C598-$AC$582),IF(DATE($C598,4,15)&gt;=$V$582,$Y$582*(1+($U$582)/100)^MAX(0,$C598-$AB$582),0)))))</f>
      </c>
      <c r="I598" s="43">
        <f>IF($S$582=0,0,IF(OR(DATE($C598,5,15)&lt;$S$582,AND($T$582&gt;0,DATE($C598,5,15)&gt;$T$582)),0,IF(DATE($C598,5,15)&gt;=$X$582,$AA$582*(1+($U$582)/100)^MAX(0,$C598-$AD$582),IF(DATE($C598,5,15)&gt;=$W$582,$Z$582*(1+($U$582)/100)^MAX(0,$C598-$AC$582),IF(DATE($C598,5,15)&gt;=$V$582,$Y$582*(1+($U$582)/100)^MAX(0,$C598-$AB$582),0)))))</f>
      </c>
      <c r="J598" s="43">
        <f>IF($S$582=0,0,IF(OR(DATE($C598,6,15)&lt;$S$582,AND($T$582&gt;0,DATE($C598,6,15)&gt;$T$582)),0,IF(DATE($C598,6,15)&gt;=$X$582,$AA$582*(1+($U$582)/100)^MAX(0,$C598-$AD$582),IF(DATE($C598,6,15)&gt;=$W$582,$Z$582*(1+($U$582)/100)^MAX(0,$C598-$AC$582),IF(DATE($C598,6,15)&gt;=$V$582,$Y$582*(1+($U$582)/100)^MAX(0,$C598-$AB$582),0)))))</f>
      </c>
      <c r="K598" s="43">
        <f>IF($S$582=0,0,IF(OR(DATE($C598,7,15)&lt;$S$582,AND($T$582&gt;0,DATE($C598,7,15)&gt;$T$582)),0,IF(DATE($C598,7,15)&gt;=$X$582,$AA$582*(1+($U$582)/100)^MAX(0,$C598-$AD$582),IF(DATE($C598,7,15)&gt;=$W$582,$Z$582*(1+($U$582)/100)^MAX(0,$C598-$AC$582),IF(DATE($C598,7,15)&gt;=$V$582,$Y$582*(1+($U$582)/100)^MAX(0,$C598-$AB$582),0)))))</f>
      </c>
      <c r="L598" s="43">
        <f>IF($S$582=0,0,IF(OR(DATE($C598,8,15)&lt;$S$582,AND($T$582&gt;0,DATE($C598,8,15)&gt;$T$582)),0,IF(DATE($C598,8,15)&gt;=$X$582,$AA$582*(1+($U$582)/100)^MAX(0,$C598-$AD$582),IF(DATE($C598,8,15)&gt;=$W$582,$Z$582*(1+($U$582)/100)^MAX(0,$C598-$AC$582),IF(DATE($C598,8,15)&gt;=$V$582,$Y$582*(1+($U$582)/100)^MAX(0,$C598-$AB$582),0)))))</f>
      </c>
      <c r="M598" s="43">
        <f>IF($S$582=0,0,IF(OR(DATE($C598,9,15)&lt;$S$582,AND($T$582&gt;0,DATE($C598,9,15)&gt;$T$582)),0,IF(DATE($C598,9,15)&gt;=$X$582,$AA$582*(1+($U$582)/100)^MAX(0,$C598-$AD$582),IF(DATE($C598,9,15)&gt;=$W$582,$Z$582*(1+($U$582)/100)^MAX(0,$C598-$AC$582),IF(DATE($C598,9,15)&gt;=$V$582,$Y$582*(1+($U$582)/100)^MAX(0,$C598-$AB$582),0)))))</f>
      </c>
      <c r="N598" s="43">
        <f>IF($S$582=0,0,IF(OR(DATE($C598,10,15)&lt;$S$582,AND($T$582&gt;0,DATE($C598,10,15)&gt;$T$582)),0,IF(DATE($C598,10,15)&gt;=$X$582,$AA$582*(1+($U$582)/100)^MAX(0,$C598-$AD$582),IF(DATE($C598,10,15)&gt;=$W$582,$Z$582*(1+($U$582)/100)^MAX(0,$C598-$AC$582),IF(DATE($C598,10,15)&gt;=$V$582,$Y$582*(1+($U$582)/100)^MAX(0,$C598-$AB$582),0)))))</f>
      </c>
      <c r="O598" s="43">
        <f>IF($S$582=0,0,IF(OR(DATE($C598,11,15)&lt;$S$582,AND($T$582&gt;0,DATE($C598,11,15)&gt;$T$582)),0,IF(DATE($C598,11,15)&gt;=$X$582,$AA$582*(1+($U$582)/100)^MAX(0,$C598-$AD$582),IF(DATE($C598,11,15)&gt;=$W$582,$Z$582*(1+($U$582)/100)^MAX(0,$C598-$AC$582),IF(DATE($C598,11,15)&gt;=$V$582,$Y$582*(1+($U$582)/100)^MAX(0,$C598-$AB$582),0)))))</f>
      </c>
      <c r="P598" s="43">
        <f>IF($S$582=0,0,IF(OR(DATE($C598,12,15)&lt;$S$582,AND($T$582&gt;0,DATE($C598,12,15)&gt;$T$582)),0,IF(DATE($C598,12,15)&gt;=$X$582,$AA$582*(1+($U$582)/100)^MAX(0,$C598-$AD$582),IF(DATE($C598,12,15)&gt;=$W$582,$Z$582*(1+($U$582)/100)^MAX(0,$C598-$AC$582),IF(DATE($C598,12,15)&gt;=$V$582,$Y$582*(1+($U$582)/100)^MAX(0,$C598-$AB$582),0)))))</f>
      </c>
      <c r="Q598" s="43">
        <f>SUM($E598:$P598)</f>
      </c>
    </row>
    <row r="599">
      <c r="A599"/>
      <c r="B599">
        <v>19</v>
      </c>
      <c r="C599" s="43">
        <f>Jahr+17</f>
      </c>
      <c r="D599" s="43">
        <f>INDEX(MvObj,19)</f>
      </c>
      <c r="E599" s="43">
        <f>IF($S$582=0,0,IF(OR(DATE($C599,1,15)&lt;$S$582,AND($T$582&gt;0,DATE($C599,1,15)&gt;$T$582)),0,IF(DATE($C599,1,15)&gt;=$X$582,$AA$582*(1+($U$582)/100)^MAX(0,$C599-$AD$582),IF(DATE($C599,1,15)&gt;=$W$582,$Z$582*(1+($U$582)/100)^MAX(0,$C599-$AC$582),IF(DATE($C599,1,15)&gt;=$V$582,$Y$582*(1+($U$582)/100)^MAX(0,$C599-$AB$582),0)))))</f>
      </c>
      <c r="F599" s="43">
        <f>IF($S$582=0,0,IF(OR(DATE($C599,2,15)&lt;$S$582,AND($T$582&gt;0,DATE($C599,2,15)&gt;$T$582)),0,IF(DATE($C599,2,15)&gt;=$X$582,$AA$582*(1+($U$582)/100)^MAX(0,$C599-$AD$582),IF(DATE($C599,2,15)&gt;=$W$582,$Z$582*(1+($U$582)/100)^MAX(0,$C599-$AC$582),IF(DATE($C599,2,15)&gt;=$V$582,$Y$582*(1+($U$582)/100)^MAX(0,$C599-$AB$582),0)))))</f>
      </c>
      <c r="G599" s="43">
        <f>IF($S$582=0,0,IF(OR(DATE($C599,3,15)&lt;$S$582,AND($T$582&gt;0,DATE($C599,3,15)&gt;$T$582)),0,IF(DATE($C599,3,15)&gt;=$X$582,$AA$582*(1+($U$582)/100)^MAX(0,$C599-$AD$582),IF(DATE($C599,3,15)&gt;=$W$582,$Z$582*(1+($U$582)/100)^MAX(0,$C599-$AC$582),IF(DATE($C599,3,15)&gt;=$V$582,$Y$582*(1+($U$582)/100)^MAX(0,$C599-$AB$582),0)))))</f>
      </c>
      <c r="H599" s="43">
        <f>IF($S$582=0,0,IF(OR(DATE($C599,4,15)&lt;$S$582,AND($T$582&gt;0,DATE($C599,4,15)&gt;$T$582)),0,IF(DATE($C599,4,15)&gt;=$X$582,$AA$582*(1+($U$582)/100)^MAX(0,$C599-$AD$582),IF(DATE($C599,4,15)&gt;=$W$582,$Z$582*(1+($U$582)/100)^MAX(0,$C599-$AC$582),IF(DATE($C599,4,15)&gt;=$V$582,$Y$582*(1+($U$582)/100)^MAX(0,$C599-$AB$582),0)))))</f>
      </c>
      <c r="I599" s="43">
        <f>IF($S$582=0,0,IF(OR(DATE($C599,5,15)&lt;$S$582,AND($T$582&gt;0,DATE($C599,5,15)&gt;$T$582)),0,IF(DATE($C599,5,15)&gt;=$X$582,$AA$582*(1+($U$582)/100)^MAX(0,$C599-$AD$582),IF(DATE($C599,5,15)&gt;=$W$582,$Z$582*(1+($U$582)/100)^MAX(0,$C599-$AC$582),IF(DATE($C599,5,15)&gt;=$V$582,$Y$582*(1+($U$582)/100)^MAX(0,$C599-$AB$582),0)))))</f>
      </c>
      <c r="J599" s="43">
        <f>IF($S$582=0,0,IF(OR(DATE($C599,6,15)&lt;$S$582,AND($T$582&gt;0,DATE($C599,6,15)&gt;$T$582)),0,IF(DATE($C599,6,15)&gt;=$X$582,$AA$582*(1+($U$582)/100)^MAX(0,$C599-$AD$582),IF(DATE($C599,6,15)&gt;=$W$582,$Z$582*(1+($U$582)/100)^MAX(0,$C599-$AC$582),IF(DATE($C599,6,15)&gt;=$V$582,$Y$582*(1+($U$582)/100)^MAX(0,$C599-$AB$582),0)))))</f>
      </c>
      <c r="K599" s="43">
        <f>IF($S$582=0,0,IF(OR(DATE($C599,7,15)&lt;$S$582,AND($T$582&gt;0,DATE($C599,7,15)&gt;$T$582)),0,IF(DATE($C599,7,15)&gt;=$X$582,$AA$582*(1+($U$582)/100)^MAX(0,$C599-$AD$582),IF(DATE($C599,7,15)&gt;=$W$582,$Z$582*(1+($U$582)/100)^MAX(0,$C599-$AC$582),IF(DATE($C599,7,15)&gt;=$V$582,$Y$582*(1+($U$582)/100)^MAX(0,$C599-$AB$582),0)))))</f>
      </c>
      <c r="L599" s="43">
        <f>IF($S$582=0,0,IF(OR(DATE($C599,8,15)&lt;$S$582,AND($T$582&gt;0,DATE($C599,8,15)&gt;$T$582)),0,IF(DATE($C599,8,15)&gt;=$X$582,$AA$582*(1+($U$582)/100)^MAX(0,$C599-$AD$582),IF(DATE($C599,8,15)&gt;=$W$582,$Z$582*(1+($U$582)/100)^MAX(0,$C599-$AC$582),IF(DATE($C599,8,15)&gt;=$V$582,$Y$582*(1+($U$582)/100)^MAX(0,$C599-$AB$582),0)))))</f>
      </c>
      <c r="M599" s="43">
        <f>IF($S$582=0,0,IF(OR(DATE($C599,9,15)&lt;$S$582,AND($T$582&gt;0,DATE($C599,9,15)&gt;$T$582)),0,IF(DATE($C599,9,15)&gt;=$X$582,$AA$582*(1+($U$582)/100)^MAX(0,$C599-$AD$582),IF(DATE($C599,9,15)&gt;=$W$582,$Z$582*(1+($U$582)/100)^MAX(0,$C599-$AC$582),IF(DATE($C599,9,15)&gt;=$V$582,$Y$582*(1+($U$582)/100)^MAX(0,$C599-$AB$582),0)))))</f>
      </c>
      <c r="N599" s="43">
        <f>IF($S$582=0,0,IF(OR(DATE($C599,10,15)&lt;$S$582,AND($T$582&gt;0,DATE($C599,10,15)&gt;$T$582)),0,IF(DATE($C599,10,15)&gt;=$X$582,$AA$582*(1+($U$582)/100)^MAX(0,$C599-$AD$582),IF(DATE($C599,10,15)&gt;=$W$582,$Z$582*(1+($U$582)/100)^MAX(0,$C599-$AC$582),IF(DATE($C599,10,15)&gt;=$V$582,$Y$582*(1+($U$582)/100)^MAX(0,$C599-$AB$582),0)))))</f>
      </c>
      <c r="O599" s="43">
        <f>IF($S$582=0,0,IF(OR(DATE($C599,11,15)&lt;$S$582,AND($T$582&gt;0,DATE($C599,11,15)&gt;$T$582)),0,IF(DATE($C599,11,15)&gt;=$X$582,$AA$582*(1+($U$582)/100)^MAX(0,$C599-$AD$582),IF(DATE($C599,11,15)&gt;=$W$582,$Z$582*(1+($U$582)/100)^MAX(0,$C599-$AC$582),IF(DATE($C599,11,15)&gt;=$V$582,$Y$582*(1+($U$582)/100)^MAX(0,$C599-$AB$582),0)))))</f>
      </c>
      <c r="P599" s="43">
        <f>IF($S$582=0,0,IF(OR(DATE($C599,12,15)&lt;$S$582,AND($T$582&gt;0,DATE($C599,12,15)&gt;$T$582)),0,IF(DATE($C599,12,15)&gt;=$X$582,$AA$582*(1+($U$582)/100)^MAX(0,$C599-$AD$582),IF(DATE($C599,12,15)&gt;=$W$582,$Z$582*(1+($U$582)/100)^MAX(0,$C599-$AC$582),IF(DATE($C599,12,15)&gt;=$V$582,$Y$582*(1+($U$582)/100)^MAX(0,$C599-$AB$582),0)))))</f>
      </c>
      <c r="Q599" s="43">
        <f>SUM($E599:$P599)</f>
      </c>
    </row>
    <row r="600">
      <c r="A600"/>
      <c r="B600">
        <v>19</v>
      </c>
      <c r="C600" s="43">
        <f>Jahr+18</f>
      </c>
      <c r="D600" s="43">
        <f>INDEX(MvObj,19)</f>
      </c>
      <c r="E600" s="43">
        <f>IF($S$582=0,0,IF(OR(DATE($C600,1,15)&lt;$S$582,AND($T$582&gt;0,DATE($C600,1,15)&gt;$T$582)),0,IF(DATE($C600,1,15)&gt;=$X$582,$AA$582*(1+($U$582)/100)^MAX(0,$C600-$AD$582),IF(DATE($C600,1,15)&gt;=$W$582,$Z$582*(1+($U$582)/100)^MAX(0,$C600-$AC$582),IF(DATE($C600,1,15)&gt;=$V$582,$Y$582*(1+($U$582)/100)^MAX(0,$C600-$AB$582),0)))))</f>
      </c>
      <c r="F600" s="43">
        <f>IF($S$582=0,0,IF(OR(DATE($C600,2,15)&lt;$S$582,AND($T$582&gt;0,DATE($C600,2,15)&gt;$T$582)),0,IF(DATE($C600,2,15)&gt;=$X$582,$AA$582*(1+($U$582)/100)^MAX(0,$C600-$AD$582),IF(DATE($C600,2,15)&gt;=$W$582,$Z$582*(1+($U$582)/100)^MAX(0,$C600-$AC$582),IF(DATE($C600,2,15)&gt;=$V$582,$Y$582*(1+($U$582)/100)^MAX(0,$C600-$AB$582),0)))))</f>
      </c>
      <c r="G600" s="43">
        <f>IF($S$582=0,0,IF(OR(DATE($C600,3,15)&lt;$S$582,AND($T$582&gt;0,DATE($C600,3,15)&gt;$T$582)),0,IF(DATE($C600,3,15)&gt;=$X$582,$AA$582*(1+($U$582)/100)^MAX(0,$C600-$AD$582),IF(DATE($C600,3,15)&gt;=$W$582,$Z$582*(1+($U$582)/100)^MAX(0,$C600-$AC$582),IF(DATE($C600,3,15)&gt;=$V$582,$Y$582*(1+($U$582)/100)^MAX(0,$C600-$AB$582),0)))))</f>
      </c>
      <c r="H600" s="43">
        <f>IF($S$582=0,0,IF(OR(DATE($C600,4,15)&lt;$S$582,AND($T$582&gt;0,DATE($C600,4,15)&gt;$T$582)),0,IF(DATE($C600,4,15)&gt;=$X$582,$AA$582*(1+($U$582)/100)^MAX(0,$C600-$AD$582),IF(DATE($C600,4,15)&gt;=$W$582,$Z$582*(1+($U$582)/100)^MAX(0,$C600-$AC$582),IF(DATE($C600,4,15)&gt;=$V$582,$Y$582*(1+($U$582)/100)^MAX(0,$C600-$AB$582),0)))))</f>
      </c>
      <c r="I600" s="43">
        <f>IF($S$582=0,0,IF(OR(DATE($C600,5,15)&lt;$S$582,AND($T$582&gt;0,DATE($C600,5,15)&gt;$T$582)),0,IF(DATE($C600,5,15)&gt;=$X$582,$AA$582*(1+($U$582)/100)^MAX(0,$C600-$AD$582),IF(DATE($C600,5,15)&gt;=$W$582,$Z$582*(1+($U$582)/100)^MAX(0,$C600-$AC$582),IF(DATE($C600,5,15)&gt;=$V$582,$Y$582*(1+($U$582)/100)^MAX(0,$C600-$AB$582),0)))))</f>
      </c>
      <c r="J600" s="43">
        <f>IF($S$582=0,0,IF(OR(DATE($C600,6,15)&lt;$S$582,AND($T$582&gt;0,DATE($C600,6,15)&gt;$T$582)),0,IF(DATE($C600,6,15)&gt;=$X$582,$AA$582*(1+($U$582)/100)^MAX(0,$C600-$AD$582),IF(DATE($C600,6,15)&gt;=$W$582,$Z$582*(1+($U$582)/100)^MAX(0,$C600-$AC$582),IF(DATE($C600,6,15)&gt;=$V$582,$Y$582*(1+($U$582)/100)^MAX(0,$C600-$AB$582),0)))))</f>
      </c>
      <c r="K600" s="43">
        <f>IF($S$582=0,0,IF(OR(DATE($C600,7,15)&lt;$S$582,AND($T$582&gt;0,DATE($C600,7,15)&gt;$T$582)),0,IF(DATE($C600,7,15)&gt;=$X$582,$AA$582*(1+($U$582)/100)^MAX(0,$C600-$AD$582),IF(DATE($C600,7,15)&gt;=$W$582,$Z$582*(1+($U$582)/100)^MAX(0,$C600-$AC$582),IF(DATE($C600,7,15)&gt;=$V$582,$Y$582*(1+($U$582)/100)^MAX(0,$C600-$AB$582),0)))))</f>
      </c>
      <c r="L600" s="43">
        <f>IF($S$582=0,0,IF(OR(DATE($C600,8,15)&lt;$S$582,AND($T$582&gt;0,DATE($C600,8,15)&gt;$T$582)),0,IF(DATE($C600,8,15)&gt;=$X$582,$AA$582*(1+($U$582)/100)^MAX(0,$C600-$AD$582),IF(DATE($C600,8,15)&gt;=$W$582,$Z$582*(1+($U$582)/100)^MAX(0,$C600-$AC$582),IF(DATE($C600,8,15)&gt;=$V$582,$Y$582*(1+($U$582)/100)^MAX(0,$C600-$AB$582),0)))))</f>
      </c>
      <c r="M600" s="43">
        <f>IF($S$582=0,0,IF(OR(DATE($C600,9,15)&lt;$S$582,AND($T$582&gt;0,DATE($C600,9,15)&gt;$T$582)),0,IF(DATE($C600,9,15)&gt;=$X$582,$AA$582*(1+($U$582)/100)^MAX(0,$C600-$AD$582),IF(DATE($C600,9,15)&gt;=$W$582,$Z$582*(1+($U$582)/100)^MAX(0,$C600-$AC$582),IF(DATE($C600,9,15)&gt;=$V$582,$Y$582*(1+($U$582)/100)^MAX(0,$C600-$AB$582),0)))))</f>
      </c>
      <c r="N600" s="43">
        <f>IF($S$582=0,0,IF(OR(DATE($C600,10,15)&lt;$S$582,AND($T$582&gt;0,DATE($C600,10,15)&gt;$T$582)),0,IF(DATE($C600,10,15)&gt;=$X$582,$AA$582*(1+($U$582)/100)^MAX(0,$C600-$AD$582),IF(DATE($C600,10,15)&gt;=$W$582,$Z$582*(1+($U$582)/100)^MAX(0,$C600-$AC$582),IF(DATE($C600,10,15)&gt;=$V$582,$Y$582*(1+($U$582)/100)^MAX(0,$C600-$AB$582),0)))))</f>
      </c>
      <c r="O600" s="43">
        <f>IF($S$582=0,0,IF(OR(DATE($C600,11,15)&lt;$S$582,AND($T$582&gt;0,DATE($C600,11,15)&gt;$T$582)),0,IF(DATE($C600,11,15)&gt;=$X$582,$AA$582*(1+($U$582)/100)^MAX(0,$C600-$AD$582),IF(DATE($C600,11,15)&gt;=$W$582,$Z$582*(1+($U$582)/100)^MAX(0,$C600-$AC$582),IF(DATE($C600,11,15)&gt;=$V$582,$Y$582*(1+($U$582)/100)^MAX(0,$C600-$AB$582),0)))))</f>
      </c>
      <c r="P600" s="43">
        <f>IF($S$582=0,0,IF(OR(DATE($C600,12,15)&lt;$S$582,AND($T$582&gt;0,DATE($C600,12,15)&gt;$T$582)),0,IF(DATE($C600,12,15)&gt;=$X$582,$AA$582*(1+($U$582)/100)^MAX(0,$C600-$AD$582),IF(DATE($C600,12,15)&gt;=$W$582,$Z$582*(1+($U$582)/100)^MAX(0,$C600-$AC$582),IF(DATE($C600,12,15)&gt;=$V$582,$Y$582*(1+($U$582)/100)^MAX(0,$C600-$AB$582),0)))))</f>
      </c>
      <c r="Q600" s="43">
        <f>SUM($E600:$P600)</f>
      </c>
    </row>
    <row r="601">
      <c r="A601"/>
      <c r="B601">
        <v>19</v>
      </c>
      <c r="C601" s="43">
        <f>Jahr+19</f>
      </c>
      <c r="D601" s="43">
        <f>INDEX(MvObj,19)</f>
      </c>
      <c r="E601" s="43">
        <f>IF($S$582=0,0,IF(OR(DATE($C601,1,15)&lt;$S$582,AND($T$582&gt;0,DATE($C601,1,15)&gt;$T$582)),0,IF(DATE($C601,1,15)&gt;=$X$582,$AA$582*(1+($U$582)/100)^MAX(0,$C601-$AD$582),IF(DATE($C601,1,15)&gt;=$W$582,$Z$582*(1+($U$582)/100)^MAX(0,$C601-$AC$582),IF(DATE($C601,1,15)&gt;=$V$582,$Y$582*(1+($U$582)/100)^MAX(0,$C601-$AB$582),0)))))</f>
      </c>
      <c r="F601" s="43">
        <f>IF($S$582=0,0,IF(OR(DATE($C601,2,15)&lt;$S$582,AND($T$582&gt;0,DATE($C601,2,15)&gt;$T$582)),0,IF(DATE($C601,2,15)&gt;=$X$582,$AA$582*(1+($U$582)/100)^MAX(0,$C601-$AD$582),IF(DATE($C601,2,15)&gt;=$W$582,$Z$582*(1+($U$582)/100)^MAX(0,$C601-$AC$582),IF(DATE($C601,2,15)&gt;=$V$582,$Y$582*(1+($U$582)/100)^MAX(0,$C601-$AB$582),0)))))</f>
      </c>
      <c r="G601" s="43">
        <f>IF($S$582=0,0,IF(OR(DATE($C601,3,15)&lt;$S$582,AND($T$582&gt;0,DATE($C601,3,15)&gt;$T$582)),0,IF(DATE($C601,3,15)&gt;=$X$582,$AA$582*(1+($U$582)/100)^MAX(0,$C601-$AD$582),IF(DATE($C601,3,15)&gt;=$W$582,$Z$582*(1+($U$582)/100)^MAX(0,$C601-$AC$582),IF(DATE($C601,3,15)&gt;=$V$582,$Y$582*(1+($U$582)/100)^MAX(0,$C601-$AB$582),0)))))</f>
      </c>
      <c r="H601" s="43">
        <f>IF($S$582=0,0,IF(OR(DATE($C601,4,15)&lt;$S$582,AND($T$582&gt;0,DATE($C601,4,15)&gt;$T$582)),0,IF(DATE($C601,4,15)&gt;=$X$582,$AA$582*(1+($U$582)/100)^MAX(0,$C601-$AD$582),IF(DATE($C601,4,15)&gt;=$W$582,$Z$582*(1+($U$582)/100)^MAX(0,$C601-$AC$582),IF(DATE($C601,4,15)&gt;=$V$582,$Y$582*(1+($U$582)/100)^MAX(0,$C601-$AB$582),0)))))</f>
      </c>
      <c r="I601" s="43">
        <f>IF($S$582=0,0,IF(OR(DATE($C601,5,15)&lt;$S$582,AND($T$582&gt;0,DATE($C601,5,15)&gt;$T$582)),0,IF(DATE($C601,5,15)&gt;=$X$582,$AA$582*(1+($U$582)/100)^MAX(0,$C601-$AD$582),IF(DATE($C601,5,15)&gt;=$W$582,$Z$582*(1+($U$582)/100)^MAX(0,$C601-$AC$582),IF(DATE($C601,5,15)&gt;=$V$582,$Y$582*(1+($U$582)/100)^MAX(0,$C601-$AB$582),0)))))</f>
      </c>
      <c r="J601" s="43">
        <f>IF($S$582=0,0,IF(OR(DATE($C601,6,15)&lt;$S$582,AND($T$582&gt;0,DATE($C601,6,15)&gt;$T$582)),0,IF(DATE($C601,6,15)&gt;=$X$582,$AA$582*(1+($U$582)/100)^MAX(0,$C601-$AD$582),IF(DATE($C601,6,15)&gt;=$W$582,$Z$582*(1+($U$582)/100)^MAX(0,$C601-$AC$582),IF(DATE($C601,6,15)&gt;=$V$582,$Y$582*(1+($U$582)/100)^MAX(0,$C601-$AB$582),0)))))</f>
      </c>
      <c r="K601" s="43">
        <f>IF($S$582=0,0,IF(OR(DATE($C601,7,15)&lt;$S$582,AND($T$582&gt;0,DATE($C601,7,15)&gt;$T$582)),0,IF(DATE($C601,7,15)&gt;=$X$582,$AA$582*(1+($U$582)/100)^MAX(0,$C601-$AD$582),IF(DATE($C601,7,15)&gt;=$W$582,$Z$582*(1+($U$582)/100)^MAX(0,$C601-$AC$582),IF(DATE($C601,7,15)&gt;=$V$582,$Y$582*(1+($U$582)/100)^MAX(0,$C601-$AB$582),0)))))</f>
      </c>
      <c r="L601" s="43">
        <f>IF($S$582=0,0,IF(OR(DATE($C601,8,15)&lt;$S$582,AND($T$582&gt;0,DATE($C601,8,15)&gt;$T$582)),0,IF(DATE($C601,8,15)&gt;=$X$582,$AA$582*(1+($U$582)/100)^MAX(0,$C601-$AD$582),IF(DATE($C601,8,15)&gt;=$W$582,$Z$582*(1+($U$582)/100)^MAX(0,$C601-$AC$582),IF(DATE($C601,8,15)&gt;=$V$582,$Y$582*(1+($U$582)/100)^MAX(0,$C601-$AB$582),0)))))</f>
      </c>
      <c r="M601" s="43">
        <f>IF($S$582=0,0,IF(OR(DATE($C601,9,15)&lt;$S$582,AND($T$582&gt;0,DATE($C601,9,15)&gt;$T$582)),0,IF(DATE($C601,9,15)&gt;=$X$582,$AA$582*(1+($U$582)/100)^MAX(0,$C601-$AD$582),IF(DATE($C601,9,15)&gt;=$W$582,$Z$582*(1+($U$582)/100)^MAX(0,$C601-$AC$582),IF(DATE($C601,9,15)&gt;=$V$582,$Y$582*(1+($U$582)/100)^MAX(0,$C601-$AB$582),0)))))</f>
      </c>
      <c r="N601" s="43">
        <f>IF($S$582=0,0,IF(OR(DATE($C601,10,15)&lt;$S$582,AND($T$582&gt;0,DATE($C601,10,15)&gt;$T$582)),0,IF(DATE($C601,10,15)&gt;=$X$582,$AA$582*(1+($U$582)/100)^MAX(0,$C601-$AD$582),IF(DATE($C601,10,15)&gt;=$W$582,$Z$582*(1+($U$582)/100)^MAX(0,$C601-$AC$582),IF(DATE($C601,10,15)&gt;=$V$582,$Y$582*(1+($U$582)/100)^MAX(0,$C601-$AB$582),0)))))</f>
      </c>
      <c r="O601" s="43">
        <f>IF($S$582=0,0,IF(OR(DATE($C601,11,15)&lt;$S$582,AND($T$582&gt;0,DATE($C601,11,15)&gt;$T$582)),0,IF(DATE($C601,11,15)&gt;=$X$582,$AA$582*(1+($U$582)/100)^MAX(0,$C601-$AD$582),IF(DATE($C601,11,15)&gt;=$W$582,$Z$582*(1+($U$582)/100)^MAX(0,$C601-$AC$582),IF(DATE($C601,11,15)&gt;=$V$582,$Y$582*(1+($U$582)/100)^MAX(0,$C601-$AB$582),0)))))</f>
      </c>
      <c r="P601" s="43">
        <f>IF($S$582=0,0,IF(OR(DATE($C601,12,15)&lt;$S$582,AND($T$582&gt;0,DATE($C601,12,15)&gt;$T$582)),0,IF(DATE($C601,12,15)&gt;=$X$582,$AA$582*(1+($U$582)/100)^MAX(0,$C601-$AD$582),IF(DATE($C601,12,15)&gt;=$W$582,$Z$582*(1+($U$582)/100)^MAX(0,$C601-$AC$582),IF(DATE($C601,12,15)&gt;=$V$582,$Y$582*(1+($U$582)/100)^MAX(0,$C601-$AB$582),0)))))</f>
      </c>
      <c r="Q601" s="43">
        <f>SUM($E601:$P601)</f>
      </c>
    </row>
    <row r="602">
      <c r="A602"/>
      <c r="B602">
        <v>19</v>
      </c>
      <c r="C602" s="43">
        <f>Jahr+20</f>
      </c>
      <c r="D602" s="43">
        <f>INDEX(MvObj,19)</f>
      </c>
      <c r="E602" s="43">
        <f>IF($S$582=0,0,IF(OR(DATE($C602,1,15)&lt;$S$582,AND($T$582&gt;0,DATE($C602,1,15)&gt;$T$582)),0,IF(DATE($C602,1,15)&gt;=$X$582,$AA$582*(1+($U$582)/100)^MAX(0,$C602-$AD$582),IF(DATE($C602,1,15)&gt;=$W$582,$Z$582*(1+($U$582)/100)^MAX(0,$C602-$AC$582),IF(DATE($C602,1,15)&gt;=$V$582,$Y$582*(1+($U$582)/100)^MAX(0,$C602-$AB$582),0)))))</f>
      </c>
      <c r="F602" s="43">
        <f>IF($S$582=0,0,IF(OR(DATE($C602,2,15)&lt;$S$582,AND($T$582&gt;0,DATE($C602,2,15)&gt;$T$582)),0,IF(DATE($C602,2,15)&gt;=$X$582,$AA$582*(1+($U$582)/100)^MAX(0,$C602-$AD$582),IF(DATE($C602,2,15)&gt;=$W$582,$Z$582*(1+($U$582)/100)^MAX(0,$C602-$AC$582),IF(DATE($C602,2,15)&gt;=$V$582,$Y$582*(1+($U$582)/100)^MAX(0,$C602-$AB$582),0)))))</f>
      </c>
      <c r="G602" s="43">
        <f>IF($S$582=0,0,IF(OR(DATE($C602,3,15)&lt;$S$582,AND($T$582&gt;0,DATE($C602,3,15)&gt;$T$582)),0,IF(DATE($C602,3,15)&gt;=$X$582,$AA$582*(1+($U$582)/100)^MAX(0,$C602-$AD$582),IF(DATE($C602,3,15)&gt;=$W$582,$Z$582*(1+($U$582)/100)^MAX(0,$C602-$AC$582),IF(DATE($C602,3,15)&gt;=$V$582,$Y$582*(1+($U$582)/100)^MAX(0,$C602-$AB$582),0)))))</f>
      </c>
      <c r="H602" s="43">
        <f>IF($S$582=0,0,IF(OR(DATE($C602,4,15)&lt;$S$582,AND($T$582&gt;0,DATE($C602,4,15)&gt;$T$582)),0,IF(DATE($C602,4,15)&gt;=$X$582,$AA$582*(1+($U$582)/100)^MAX(0,$C602-$AD$582),IF(DATE($C602,4,15)&gt;=$W$582,$Z$582*(1+($U$582)/100)^MAX(0,$C602-$AC$582),IF(DATE($C602,4,15)&gt;=$V$582,$Y$582*(1+($U$582)/100)^MAX(0,$C602-$AB$582),0)))))</f>
      </c>
      <c r="I602" s="43">
        <f>IF($S$582=0,0,IF(OR(DATE($C602,5,15)&lt;$S$582,AND($T$582&gt;0,DATE($C602,5,15)&gt;$T$582)),0,IF(DATE($C602,5,15)&gt;=$X$582,$AA$582*(1+($U$582)/100)^MAX(0,$C602-$AD$582),IF(DATE($C602,5,15)&gt;=$W$582,$Z$582*(1+($U$582)/100)^MAX(0,$C602-$AC$582),IF(DATE($C602,5,15)&gt;=$V$582,$Y$582*(1+($U$582)/100)^MAX(0,$C602-$AB$582),0)))))</f>
      </c>
      <c r="J602" s="43">
        <f>IF($S$582=0,0,IF(OR(DATE($C602,6,15)&lt;$S$582,AND($T$582&gt;0,DATE($C602,6,15)&gt;$T$582)),0,IF(DATE($C602,6,15)&gt;=$X$582,$AA$582*(1+($U$582)/100)^MAX(0,$C602-$AD$582),IF(DATE($C602,6,15)&gt;=$W$582,$Z$582*(1+($U$582)/100)^MAX(0,$C602-$AC$582),IF(DATE($C602,6,15)&gt;=$V$582,$Y$582*(1+($U$582)/100)^MAX(0,$C602-$AB$582),0)))))</f>
      </c>
      <c r="K602" s="43">
        <f>IF($S$582=0,0,IF(OR(DATE($C602,7,15)&lt;$S$582,AND($T$582&gt;0,DATE($C602,7,15)&gt;$T$582)),0,IF(DATE($C602,7,15)&gt;=$X$582,$AA$582*(1+($U$582)/100)^MAX(0,$C602-$AD$582),IF(DATE($C602,7,15)&gt;=$W$582,$Z$582*(1+($U$582)/100)^MAX(0,$C602-$AC$582),IF(DATE($C602,7,15)&gt;=$V$582,$Y$582*(1+($U$582)/100)^MAX(0,$C602-$AB$582),0)))))</f>
      </c>
      <c r="L602" s="43">
        <f>IF($S$582=0,0,IF(OR(DATE($C602,8,15)&lt;$S$582,AND($T$582&gt;0,DATE($C602,8,15)&gt;$T$582)),0,IF(DATE($C602,8,15)&gt;=$X$582,$AA$582*(1+($U$582)/100)^MAX(0,$C602-$AD$582),IF(DATE($C602,8,15)&gt;=$W$582,$Z$582*(1+($U$582)/100)^MAX(0,$C602-$AC$582),IF(DATE($C602,8,15)&gt;=$V$582,$Y$582*(1+($U$582)/100)^MAX(0,$C602-$AB$582),0)))))</f>
      </c>
      <c r="M602" s="43">
        <f>IF($S$582=0,0,IF(OR(DATE($C602,9,15)&lt;$S$582,AND($T$582&gt;0,DATE($C602,9,15)&gt;$T$582)),0,IF(DATE($C602,9,15)&gt;=$X$582,$AA$582*(1+($U$582)/100)^MAX(0,$C602-$AD$582),IF(DATE($C602,9,15)&gt;=$W$582,$Z$582*(1+($U$582)/100)^MAX(0,$C602-$AC$582),IF(DATE($C602,9,15)&gt;=$V$582,$Y$582*(1+($U$582)/100)^MAX(0,$C602-$AB$582),0)))))</f>
      </c>
      <c r="N602" s="43">
        <f>IF($S$582=0,0,IF(OR(DATE($C602,10,15)&lt;$S$582,AND($T$582&gt;0,DATE($C602,10,15)&gt;$T$582)),0,IF(DATE($C602,10,15)&gt;=$X$582,$AA$582*(1+($U$582)/100)^MAX(0,$C602-$AD$582),IF(DATE($C602,10,15)&gt;=$W$582,$Z$582*(1+($U$582)/100)^MAX(0,$C602-$AC$582),IF(DATE($C602,10,15)&gt;=$V$582,$Y$582*(1+($U$582)/100)^MAX(0,$C602-$AB$582),0)))))</f>
      </c>
      <c r="O602" s="43">
        <f>IF($S$582=0,0,IF(OR(DATE($C602,11,15)&lt;$S$582,AND($T$582&gt;0,DATE($C602,11,15)&gt;$T$582)),0,IF(DATE($C602,11,15)&gt;=$X$582,$AA$582*(1+($U$582)/100)^MAX(0,$C602-$AD$582),IF(DATE($C602,11,15)&gt;=$W$582,$Z$582*(1+($U$582)/100)^MAX(0,$C602-$AC$582),IF(DATE($C602,11,15)&gt;=$V$582,$Y$582*(1+($U$582)/100)^MAX(0,$C602-$AB$582),0)))))</f>
      </c>
      <c r="P602" s="43">
        <f>IF($S$582=0,0,IF(OR(DATE($C602,12,15)&lt;$S$582,AND($T$582&gt;0,DATE($C602,12,15)&gt;$T$582)),0,IF(DATE($C602,12,15)&gt;=$X$582,$AA$582*(1+($U$582)/100)^MAX(0,$C602-$AD$582),IF(DATE($C602,12,15)&gt;=$W$582,$Z$582*(1+($U$582)/100)^MAX(0,$C602-$AC$582),IF(DATE($C602,12,15)&gt;=$V$582,$Y$582*(1+($U$582)/100)^MAX(0,$C602-$AB$582),0)))))</f>
      </c>
      <c r="Q602" s="43">
        <f>SUM($E602:$P602)</f>
      </c>
    </row>
    <row r="603">
      <c r="A603"/>
      <c r="B603">
        <v>19</v>
      </c>
      <c r="C603" s="43">
        <f>Jahr+21</f>
      </c>
      <c r="D603" s="43">
        <f>INDEX(MvObj,19)</f>
      </c>
      <c r="E603" s="43">
        <f>IF($S$582=0,0,IF(OR(DATE($C603,1,15)&lt;$S$582,AND($T$582&gt;0,DATE($C603,1,15)&gt;$T$582)),0,IF(DATE($C603,1,15)&gt;=$X$582,$AA$582*(1+($U$582)/100)^MAX(0,$C603-$AD$582),IF(DATE($C603,1,15)&gt;=$W$582,$Z$582*(1+($U$582)/100)^MAX(0,$C603-$AC$582),IF(DATE($C603,1,15)&gt;=$V$582,$Y$582*(1+($U$582)/100)^MAX(0,$C603-$AB$582),0)))))</f>
      </c>
      <c r="F603" s="43">
        <f>IF($S$582=0,0,IF(OR(DATE($C603,2,15)&lt;$S$582,AND($T$582&gt;0,DATE($C603,2,15)&gt;$T$582)),0,IF(DATE($C603,2,15)&gt;=$X$582,$AA$582*(1+($U$582)/100)^MAX(0,$C603-$AD$582),IF(DATE($C603,2,15)&gt;=$W$582,$Z$582*(1+($U$582)/100)^MAX(0,$C603-$AC$582),IF(DATE($C603,2,15)&gt;=$V$582,$Y$582*(1+($U$582)/100)^MAX(0,$C603-$AB$582),0)))))</f>
      </c>
      <c r="G603" s="43">
        <f>IF($S$582=0,0,IF(OR(DATE($C603,3,15)&lt;$S$582,AND($T$582&gt;0,DATE($C603,3,15)&gt;$T$582)),0,IF(DATE($C603,3,15)&gt;=$X$582,$AA$582*(1+($U$582)/100)^MAX(0,$C603-$AD$582),IF(DATE($C603,3,15)&gt;=$W$582,$Z$582*(1+($U$582)/100)^MAX(0,$C603-$AC$582),IF(DATE($C603,3,15)&gt;=$V$582,$Y$582*(1+($U$582)/100)^MAX(0,$C603-$AB$582),0)))))</f>
      </c>
      <c r="H603" s="43">
        <f>IF($S$582=0,0,IF(OR(DATE($C603,4,15)&lt;$S$582,AND($T$582&gt;0,DATE($C603,4,15)&gt;$T$582)),0,IF(DATE($C603,4,15)&gt;=$X$582,$AA$582*(1+($U$582)/100)^MAX(0,$C603-$AD$582),IF(DATE($C603,4,15)&gt;=$W$582,$Z$582*(1+($U$582)/100)^MAX(0,$C603-$AC$582),IF(DATE($C603,4,15)&gt;=$V$582,$Y$582*(1+($U$582)/100)^MAX(0,$C603-$AB$582),0)))))</f>
      </c>
      <c r="I603" s="43">
        <f>IF($S$582=0,0,IF(OR(DATE($C603,5,15)&lt;$S$582,AND($T$582&gt;0,DATE($C603,5,15)&gt;$T$582)),0,IF(DATE($C603,5,15)&gt;=$X$582,$AA$582*(1+($U$582)/100)^MAX(0,$C603-$AD$582),IF(DATE($C603,5,15)&gt;=$W$582,$Z$582*(1+($U$582)/100)^MAX(0,$C603-$AC$582),IF(DATE($C603,5,15)&gt;=$V$582,$Y$582*(1+($U$582)/100)^MAX(0,$C603-$AB$582),0)))))</f>
      </c>
      <c r="J603" s="43">
        <f>IF($S$582=0,0,IF(OR(DATE($C603,6,15)&lt;$S$582,AND($T$582&gt;0,DATE($C603,6,15)&gt;$T$582)),0,IF(DATE($C603,6,15)&gt;=$X$582,$AA$582*(1+($U$582)/100)^MAX(0,$C603-$AD$582),IF(DATE($C603,6,15)&gt;=$W$582,$Z$582*(1+($U$582)/100)^MAX(0,$C603-$AC$582),IF(DATE($C603,6,15)&gt;=$V$582,$Y$582*(1+($U$582)/100)^MAX(0,$C603-$AB$582),0)))))</f>
      </c>
      <c r="K603" s="43">
        <f>IF($S$582=0,0,IF(OR(DATE($C603,7,15)&lt;$S$582,AND($T$582&gt;0,DATE($C603,7,15)&gt;$T$582)),0,IF(DATE($C603,7,15)&gt;=$X$582,$AA$582*(1+($U$582)/100)^MAX(0,$C603-$AD$582),IF(DATE($C603,7,15)&gt;=$W$582,$Z$582*(1+($U$582)/100)^MAX(0,$C603-$AC$582),IF(DATE($C603,7,15)&gt;=$V$582,$Y$582*(1+($U$582)/100)^MAX(0,$C603-$AB$582),0)))))</f>
      </c>
      <c r="L603" s="43">
        <f>IF($S$582=0,0,IF(OR(DATE($C603,8,15)&lt;$S$582,AND($T$582&gt;0,DATE($C603,8,15)&gt;$T$582)),0,IF(DATE($C603,8,15)&gt;=$X$582,$AA$582*(1+($U$582)/100)^MAX(0,$C603-$AD$582),IF(DATE($C603,8,15)&gt;=$W$582,$Z$582*(1+($U$582)/100)^MAX(0,$C603-$AC$582),IF(DATE($C603,8,15)&gt;=$V$582,$Y$582*(1+($U$582)/100)^MAX(0,$C603-$AB$582),0)))))</f>
      </c>
      <c r="M603" s="43">
        <f>IF($S$582=0,0,IF(OR(DATE($C603,9,15)&lt;$S$582,AND($T$582&gt;0,DATE($C603,9,15)&gt;$T$582)),0,IF(DATE($C603,9,15)&gt;=$X$582,$AA$582*(1+($U$582)/100)^MAX(0,$C603-$AD$582),IF(DATE($C603,9,15)&gt;=$W$582,$Z$582*(1+($U$582)/100)^MAX(0,$C603-$AC$582),IF(DATE($C603,9,15)&gt;=$V$582,$Y$582*(1+($U$582)/100)^MAX(0,$C603-$AB$582),0)))))</f>
      </c>
      <c r="N603" s="43">
        <f>IF($S$582=0,0,IF(OR(DATE($C603,10,15)&lt;$S$582,AND($T$582&gt;0,DATE($C603,10,15)&gt;$T$582)),0,IF(DATE($C603,10,15)&gt;=$X$582,$AA$582*(1+($U$582)/100)^MAX(0,$C603-$AD$582),IF(DATE($C603,10,15)&gt;=$W$582,$Z$582*(1+($U$582)/100)^MAX(0,$C603-$AC$582),IF(DATE($C603,10,15)&gt;=$V$582,$Y$582*(1+($U$582)/100)^MAX(0,$C603-$AB$582),0)))))</f>
      </c>
      <c r="O603" s="43">
        <f>IF($S$582=0,0,IF(OR(DATE($C603,11,15)&lt;$S$582,AND($T$582&gt;0,DATE($C603,11,15)&gt;$T$582)),0,IF(DATE($C603,11,15)&gt;=$X$582,$AA$582*(1+($U$582)/100)^MAX(0,$C603-$AD$582),IF(DATE($C603,11,15)&gt;=$W$582,$Z$582*(1+($U$582)/100)^MAX(0,$C603-$AC$582),IF(DATE($C603,11,15)&gt;=$V$582,$Y$582*(1+($U$582)/100)^MAX(0,$C603-$AB$582),0)))))</f>
      </c>
      <c r="P603" s="43">
        <f>IF($S$582=0,0,IF(OR(DATE($C603,12,15)&lt;$S$582,AND($T$582&gt;0,DATE($C603,12,15)&gt;$T$582)),0,IF(DATE($C603,12,15)&gt;=$X$582,$AA$582*(1+($U$582)/100)^MAX(0,$C603-$AD$582),IF(DATE($C603,12,15)&gt;=$W$582,$Z$582*(1+($U$582)/100)^MAX(0,$C603-$AC$582),IF(DATE($C603,12,15)&gt;=$V$582,$Y$582*(1+($U$582)/100)^MAX(0,$C603-$AB$582),0)))))</f>
      </c>
      <c r="Q603" s="43">
        <f>SUM($E603:$P603)</f>
      </c>
    </row>
    <row r="604">
      <c r="A604"/>
      <c r="B604">
        <v>19</v>
      </c>
      <c r="C604" s="43">
        <f>Jahr+22</f>
      </c>
      <c r="D604" s="43">
        <f>INDEX(MvObj,19)</f>
      </c>
      <c r="E604" s="43">
        <f>IF($S$582=0,0,IF(OR(DATE($C604,1,15)&lt;$S$582,AND($T$582&gt;0,DATE($C604,1,15)&gt;$T$582)),0,IF(DATE($C604,1,15)&gt;=$X$582,$AA$582*(1+($U$582)/100)^MAX(0,$C604-$AD$582),IF(DATE($C604,1,15)&gt;=$W$582,$Z$582*(1+($U$582)/100)^MAX(0,$C604-$AC$582),IF(DATE($C604,1,15)&gt;=$V$582,$Y$582*(1+($U$582)/100)^MAX(0,$C604-$AB$582),0)))))</f>
      </c>
      <c r="F604" s="43">
        <f>IF($S$582=0,0,IF(OR(DATE($C604,2,15)&lt;$S$582,AND($T$582&gt;0,DATE($C604,2,15)&gt;$T$582)),0,IF(DATE($C604,2,15)&gt;=$X$582,$AA$582*(1+($U$582)/100)^MAX(0,$C604-$AD$582),IF(DATE($C604,2,15)&gt;=$W$582,$Z$582*(1+($U$582)/100)^MAX(0,$C604-$AC$582),IF(DATE($C604,2,15)&gt;=$V$582,$Y$582*(1+($U$582)/100)^MAX(0,$C604-$AB$582),0)))))</f>
      </c>
      <c r="G604" s="43">
        <f>IF($S$582=0,0,IF(OR(DATE($C604,3,15)&lt;$S$582,AND($T$582&gt;0,DATE($C604,3,15)&gt;$T$582)),0,IF(DATE($C604,3,15)&gt;=$X$582,$AA$582*(1+($U$582)/100)^MAX(0,$C604-$AD$582),IF(DATE($C604,3,15)&gt;=$W$582,$Z$582*(1+($U$582)/100)^MAX(0,$C604-$AC$582),IF(DATE($C604,3,15)&gt;=$V$582,$Y$582*(1+($U$582)/100)^MAX(0,$C604-$AB$582),0)))))</f>
      </c>
      <c r="H604" s="43">
        <f>IF($S$582=0,0,IF(OR(DATE($C604,4,15)&lt;$S$582,AND($T$582&gt;0,DATE($C604,4,15)&gt;$T$582)),0,IF(DATE($C604,4,15)&gt;=$X$582,$AA$582*(1+($U$582)/100)^MAX(0,$C604-$AD$582),IF(DATE($C604,4,15)&gt;=$W$582,$Z$582*(1+($U$582)/100)^MAX(0,$C604-$AC$582),IF(DATE($C604,4,15)&gt;=$V$582,$Y$582*(1+($U$582)/100)^MAX(0,$C604-$AB$582),0)))))</f>
      </c>
      <c r="I604" s="43">
        <f>IF($S$582=0,0,IF(OR(DATE($C604,5,15)&lt;$S$582,AND($T$582&gt;0,DATE($C604,5,15)&gt;$T$582)),0,IF(DATE($C604,5,15)&gt;=$X$582,$AA$582*(1+($U$582)/100)^MAX(0,$C604-$AD$582),IF(DATE($C604,5,15)&gt;=$W$582,$Z$582*(1+($U$582)/100)^MAX(0,$C604-$AC$582),IF(DATE($C604,5,15)&gt;=$V$582,$Y$582*(1+($U$582)/100)^MAX(0,$C604-$AB$582),0)))))</f>
      </c>
      <c r="J604" s="43">
        <f>IF($S$582=0,0,IF(OR(DATE($C604,6,15)&lt;$S$582,AND($T$582&gt;0,DATE($C604,6,15)&gt;$T$582)),0,IF(DATE($C604,6,15)&gt;=$X$582,$AA$582*(1+($U$582)/100)^MAX(0,$C604-$AD$582),IF(DATE($C604,6,15)&gt;=$W$582,$Z$582*(1+($U$582)/100)^MAX(0,$C604-$AC$582),IF(DATE($C604,6,15)&gt;=$V$582,$Y$582*(1+($U$582)/100)^MAX(0,$C604-$AB$582),0)))))</f>
      </c>
      <c r="K604" s="43">
        <f>IF($S$582=0,0,IF(OR(DATE($C604,7,15)&lt;$S$582,AND($T$582&gt;0,DATE($C604,7,15)&gt;$T$582)),0,IF(DATE($C604,7,15)&gt;=$X$582,$AA$582*(1+($U$582)/100)^MAX(0,$C604-$AD$582),IF(DATE($C604,7,15)&gt;=$W$582,$Z$582*(1+($U$582)/100)^MAX(0,$C604-$AC$582),IF(DATE($C604,7,15)&gt;=$V$582,$Y$582*(1+($U$582)/100)^MAX(0,$C604-$AB$582),0)))))</f>
      </c>
      <c r="L604" s="43">
        <f>IF($S$582=0,0,IF(OR(DATE($C604,8,15)&lt;$S$582,AND($T$582&gt;0,DATE($C604,8,15)&gt;$T$582)),0,IF(DATE($C604,8,15)&gt;=$X$582,$AA$582*(1+($U$582)/100)^MAX(0,$C604-$AD$582),IF(DATE($C604,8,15)&gt;=$W$582,$Z$582*(1+($U$582)/100)^MAX(0,$C604-$AC$582),IF(DATE($C604,8,15)&gt;=$V$582,$Y$582*(1+($U$582)/100)^MAX(0,$C604-$AB$582),0)))))</f>
      </c>
      <c r="M604" s="43">
        <f>IF($S$582=0,0,IF(OR(DATE($C604,9,15)&lt;$S$582,AND($T$582&gt;0,DATE($C604,9,15)&gt;$T$582)),0,IF(DATE($C604,9,15)&gt;=$X$582,$AA$582*(1+($U$582)/100)^MAX(0,$C604-$AD$582),IF(DATE($C604,9,15)&gt;=$W$582,$Z$582*(1+($U$582)/100)^MAX(0,$C604-$AC$582),IF(DATE($C604,9,15)&gt;=$V$582,$Y$582*(1+($U$582)/100)^MAX(0,$C604-$AB$582),0)))))</f>
      </c>
      <c r="N604" s="43">
        <f>IF($S$582=0,0,IF(OR(DATE($C604,10,15)&lt;$S$582,AND($T$582&gt;0,DATE($C604,10,15)&gt;$T$582)),0,IF(DATE($C604,10,15)&gt;=$X$582,$AA$582*(1+($U$582)/100)^MAX(0,$C604-$AD$582),IF(DATE($C604,10,15)&gt;=$W$582,$Z$582*(1+($U$582)/100)^MAX(0,$C604-$AC$582),IF(DATE($C604,10,15)&gt;=$V$582,$Y$582*(1+($U$582)/100)^MAX(0,$C604-$AB$582),0)))))</f>
      </c>
      <c r="O604" s="43">
        <f>IF($S$582=0,0,IF(OR(DATE($C604,11,15)&lt;$S$582,AND($T$582&gt;0,DATE($C604,11,15)&gt;$T$582)),0,IF(DATE($C604,11,15)&gt;=$X$582,$AA$582*(1+($U$582)/100)^MAX(0,$C604-$AD$582),IF(DATE($C604,11,15)&gt;=$W$582,$Z$582*(1+($U$582)/100)^MAX(0,$C604-$AC$582),IF(DATE($C604,11,15)&gt;=$V$582,$Y$582*(1+($U$582)/100)^MAX(0,$C604-$AB$582),0)))))</f>
      </c>
      <c r="P604" s="43">
        <f>IF($S$582=0,0,IF(OR(DATE($C604,12,15)&lt;$S$582,AND($T$582&gt;0,DATE($C604,12,15)&gt;$T$582)),0,IF(DATE($C604,12,15)&gt;=$X$582,$AA$582*(1+($U$582)/100)^MAX(0,$C604-$AD$582),IF(DATE($C604,12,15)&gt;=$W$582,$Z$582*(1+($U$582)/100)^MAX(0,$C604-$AC$582),IF(DATE($C604,12,15)&gt;=$V$582,$Y$582*(1+($U$582)/100)^MAX(0,$C604-$AB$582),0)))))</f>
      </c>
      <c r="Q604" s="43">
        <f>SUM($E604:$P604)</f>
      </c>
    </row>
    <row r="605">
      <c r="A605"/>
      <c r="B605">
        <v>19</v>
      </c>
      <c r="C605" s="43">
        <f>Jahr+23</f>
      </c>
      <c r="D605" s="43">
        <f>INDEX(MvObj,19)</f>
      </c>
      <c r="E605" s="43">
        <f>IF($S$582=0,0,IF(OR(DATE($C605,1,15)&lt;$S$582,AND($T$582&gt;0,DATE($C605,1,15)&gt;$T$582)),0,IF(DATE($C605,1,15)&gt;=$X$582,$AA$582*(1+($U$582)/100)^MAX(0,$C605-$AD$582),IF(DATE($C605,1,15)&gt;=$W$582,$Z$582*(1+($U$582)/100)^MAX(0,$C605-$AC$582),IF(DATE($C605,1,15)&gt;=$V$582,$Y$582*(1+($U$582)/100)^MAX(0,$C605-$AB$582),0)))))</f>
      </c>
      <c r="F605" s="43">
        <f>IF($S$582=0,0,IF(OR(DATE($C605,2,15)&lt;$S$582,AND($T$582&gt;0,DATE($C605,2,15)&gt;$T$582)),0,IF(DATE($C605,2,15)&gt;=$X$582,$AA$582*(1+($U$582)/100)^MAX(0,$C605-$AD$582),IF(DATE($C605,2,15)&gt;=$W$582,$Z$582*(1+($U$582)/100)^MAX(0,$C605-$AC$582),IF(DATE($C605,2,15)&gt;=$V$582,$Y$582*(1+($U$582)/100)^MAX(0,$C605-$AB$582),0)))))</f>
      </c>
      <c r="G605" s="43">
        <f>IF($S$582=0,0,IF(OR(DATE($C605,3,15)&lt;$S$582,AND($T$582&gt;0,DATE($C605,3,15)&gt;$T$582)),0,IF(DATE($C605,3,15)&gt;=$X$582,$AA$582*(1+($U$582)/100)^MAX(0,$C605-$AD$582),IF(DATE($C605,3,15)&gt;=$W$582,$Z$582*(1+($U$582)/100)^MAX(0,$C605-$AC$582),IF(DATE($C605,3,15)&gt;=$V$582,$Y$582*(1+($U$582)/100)^MAX(0,$C605-$AB$582),0)))))</f>
      </c>
      <c r="H605" s="43">
        <f>IF($S$582=0,0,IF(OR(DATE($C605,4,15)&lt;$S$582,AND($T$582&gt;0,DATE($C605,4,15)&gt;$T$582)),0,IF(DATE($C605,4,15)&gt;=$X$582,$AA$582*(1+($U$582)/100)^MAX(0,$C605-$AD$582),IF(DATE($C605,4,15)&gt;=$W$582,$Z$582*(1+($U$582)/100)^MAX(0,$C605-$AC$582),IF(DATE($C605,4,15)&gt;=$V$582,$Y$582*(1+($U$582)/100)^MAX(0,$C605-$AB$582),0)))))</f>
      </c>
      <c r="I605" s="43">
        <f>IF($S$582=0,0,IF(OR(DATE($C605,5,15)&lt;$S$582,AND($T$582&gt;0,DATE($C605,5,15)&gt;$T$582)),0,IF(DATE($C605,5,15)&gt;=$X$582,$AA$582*(1+($U$582)/100)^MAX(0,$C605-$AD$582),IF(DATE($C605,5,15)&gt;=$W$582,$Z$582*(1+($U$582)/100)^MAX(0,$C605-$AC$582),IF(DATE($C605,5,15)&gt;=$V$582,$Y$582*(1+($U$582)/100)^MAX(0,$C605-$AB$582),0)))))</f>
      </c>
      <c r="J605" s="43">
        <f>IF($S$582=0,0,IF(OR(DATE($C605,6,15)&lt;$S$582,AND($T$582&gt;0,DATE($C605,6,15)&gt;$T$582)),0,IF(DATE($C605,6,15)&gt;=$X$582,$AA$582*(1+($U$582)/100)^MAX(0,$C605-$AD$582),IF(DATE($C605,6,15)&gt;=$W$582,$Z$582*(1+($U$582)/100)^MAX(0,$C605-$AC$582),IF(DATE($C605,6,15)&gt;=$V$582,$Y$582*(1+($U$582)/100)^MAX(0,$C605-$AB$582),0)))))</f>
      </c>
      <c r="K605" s="43">
        <f>IF($S$582=0,0,IF(OR(DATE($C605,7,15)&lt;$S$582,AND($T$582&gt;0,DATE($C605,7,15)&gt;$T$582)),0,IF(DATE($C605,7,15)&gt;=$X$582,$AA$582*(1+($U$582)/100)^MAX(0,$C605-$AD$582),IF(DATE($C605,7,15)&gt;=$W$582,$Z$582*(1+($U$582)/100)^MAX(0,$C605-$AC$582),IF(DATE($C605,7,15)&gt;=$V$582,$Y$582*(1+($U$582)/100)^MAX(0,$C605-$AB$582),0)))))</f>
      </c>
      <c r="L605" s="43">
        <f>IF($S$582=0,0,IF(OR(DATE($C605,8,15)&lt;$S$582,AND($T$582&gt;0,DATE($C605,8,15)&gt;$T$582)),0,IF(DATE($C605,8,15)&gt;=$X$582,$AA$582*(1+($U$582)/100)^MAX(0,$C605-$AD$582),IF(DATE($C605,8,15)&gt;=$W$582,$Z$582*(1+($U$582)/100)^MAX(0,$C605-$AC$582),IF(DATE($C605,8,15)&gt;=$V$582,$Y$582*(1+($U$582)/100)^MAX(0,$C605-$AB$582),0)))))</f>
      </c>
      <c r="M605" s="43">
        <f>IF($S$582=0,0,IF(OR(DATE($C605,9,15)&lt;$S$582,AND($T$582&gt;0,DATE($C605,9,15)&gt;$T$582)),0,IF(DATE($C605,9,15)&gt;=$X$582,$AA$582*(1+($U$582)/100)^MAX(0,$C605-$AD$582),IF(DATE($C605,9,15)&gt;=$W$582,$Z$582*(1+($U$582)/100)^MAX(0,$C605-$AC$582),IF(DATE($C605,9,15)&gt;=$V$582,$Y$582*(1+($U$582)/100)^MAX(0,$C605-$AB$582),0)))))</f>
      </c>
      <c r="N605" s="43">
        <f>IF($S$582=0,0,IF(OR(DATE($C605,10,15)&lt;$S$582,AND($T$582&gt;0,DATE($C605,10,15)&gt;$T$582)),0,IF(DATE($C605,10,15)&gt;=$X$582,$AA$582*(1+($U$582)/100)^MAX(0,$C605-$AD$582),IF(DATE($C605,10,15)&gt;=$W$582,$Z$582*(1+($U$582)/100)^MAX(0,$C605-$AC$582),IF(DATE($C605,10,15)&gt;=$V$582,$Y$582*(1+($U$582)/100)^MAX(0,$C605-$AB$582),0)))))</f>
      </c>
      <c r="O605" s="43">
        <f>IF($S$582=0,0,IF(OR(DATE($C605,11,15)&lt;$S$582,AND($T$582&gt;0,DATE($C605,11,15)&gt;$T$582)),0,IF(DATE($C605,11,15)&gt;=$X$582,$AA$582*(1+($U$582)/100)^MAX(0,$C605-$AD$582),IF(DATE($C605,11,15)&gt;=$W$582,$Z$582*(1+($U$582)/100)^MAX(0,$C605-$AC$582),IF(DATE($C605,11,15)&gt;=$V$582,$Y$582*(1+($U$582)/100)^MAX(0,$C605-$AB$582),0)))))</f>
      </c>
      <c r="P605" s="43">
        <f>IF($S$582=0,0,IF(OR(DATE($C605,12,15)&lt;$S$582,AND($T$582&gt;0,DATE($C605,12,15)&gt;$T$582)),0,IF(DATE($C605,12,15)&gt;=$X$582,$AA$582*(1+($U$582)/100)^MAX(0,$C605-$AD$582),IF(DATE($C605,12,15)&gt;=$W$582,$Z$582*(1+($U$582)/100)^MAX(0,$C605-$AC$582),IF(DATE($C605,12,15)&gt;=$V$582,$Y$582*(1+($U$582)/100)^MAX(0,$C605-$AB$582),0)))))</f>
      </c>
      <c r="Q605" s="43">
        <f>SUM($E605:$P605)</f>
      </c>
    </row>
    <row r="606">
      <c r="A606"/>
      <c r="B606">
        <v>19</v>
      </c>
      <c r="C606" s="43">
        <f>Jahr+24</f>
      </c>
      <c r="D606" s="43">
        <f>INDEX(MvObj,19)</f>
      </c>
      <c r="E606" s="43">
        <f>IF($S$582=0,0,IF(OR(DATE($C606,1,15)&lt;$S$582,AND($T$582&gt;0,DATE($C606,1,15)&gt;$T$582)),0,IF(DATE($C606,1,15)&gt;=$X$582,$AA$582*(1+($U$582)/100)^MAX(0,$C606-$AD$582),IF(DATE($C606,1,15)&gt;=$W$582,$Z$582*(1+($U$582)/100)^MAX(0,$C606-$AC$582),IF(DATE($C606,1,15)&gt;=$V$582,$Y$582*(1+($U$582)/100)^MAX(0,$C606-$AB$582),0)))))</f>
      </c>
      <c r="F606" s="43">
        <f>IF($S$582=0,0,IF(OR(DATE($C606,2,15)&lt;$S$582,AND($T$582&gt;0,DATE($C606,2,15)&gt;$T$582)),0,IF(DATE($C606,2,15)&gt;=$X$582,$AA$582*(1+($U$582)/100)^MAX(0,$C606-$AD$582),IF(DATE($C606,2,15)&gt;=$W$582,$Z$582*(1+($U$582)/100)^MAX(0,$C606-$AC$582),IF(DATE($C606,2,15)&gt;=$V$582,$Y$582*(1+($U$582)/100)^MAX(0,$C606-$AB$582),0)))))</f>
      </c>
      <c r="G606" s="43">
        <f>IF($S$582=0,0,IF(OR(DATE($C606,3,15)&lt;$S$582,AND($T$582&gt;0,DATE($C606,3,15)&gt;$T$582)),0,IF(DATE($C606,3,15)&gt;=$X$582,$AA$582*(1+($U$582)/100)^MAX(0,$C606-$AD$582),IF(DATE($C606,3,15)&gt;=$W$582,$Z$582*(1+($U$582)/100)^MAX(0,$C606-$AC$582),IF(DATE($C606,3,15)&gt;=$V$582,$Y$582*(1+($U$582)/100)^MAX(0,$C606-$AB$582),0)))))</f>
      </c>
      <c r="H606" s="43">
        <f>IF($S$582=0,0,IF(OR(DATE($C606,4,15)&lt;$S$582,AND($T$582&gt;0,DATE($C606,4,15)&gt;$T$582)),0,IF(DATE($C606,4,15)&gt;=$X$582,$AA$582*(1+($U$582)/100)^MAX(0,$C606-$AD$582),IF(DATE($C606,4,15)&gt;=$W$582,$Z$582*(1+($U$582)/100)^MAX(0,$C606-$AC$582),IF(DATE($C606,4,15)&gt;=$V$582,$Y$582*(1+($U$582)/100)^MAX(0,$C606-$AB$582),0)))))</f>
      </c>
      <c r="I606" s="43">
        <f>IF($S$582=0,0,IF(OR(DATE($C606,5,15)&lt;$S$582,AND($T$582&gt;0,DATE($C606,5,15)&gt;$T$582)),0,IF(DATE($C606,5,15)&gt;=$X$582,$AA$582*(1+($U$582)/100)^MAX(0,$C606-$AD$582),IF(DATE($C606,5,15)&gt;=$W$582,$Z$582*(1+($U$582)/100)^MAX(0,$C606-$AC$582),IF(DATE($C606,5,15)&gt;=$V$582,$Y$582*(1+($U$582)/100)^MAX(0,$C606-$AB$582),0)))))</f>
      </c>
      <c r="J606" s="43">
        <f>IF($S$582=0,0,IF(OR(DATE($C606,6,15)&lt;$S$582,AND($T$582&gt;0,DATE($C606,6,15)&gt;$T$582)),0,IF(DATE($C606,6,15)&gt;=$X$582,$AA$582*(1+($U$582)/100)^MAX(0,$C606-$AD$582),IF(DATE($C606,6,15)&gt;=$W$582,$Z$582*(1+($U$582)/100)^MAX(0,$C606-$AC$582),IF(DATE($C606,6,15)&gt;=$V$582,$Y$582*(1+($U$582)/100)^MAX(0,$C606-$AB$582),0)))))</f>
      </c>
      <c r="K606" s="43">
        <f>IF($S$582=0,0,IF(OR(DATE($C606,7,15)&lt;$S$582,AND($T$582&gt;0,DATE($C606,7,15)&gt;$T$582)),0,IF(DATE($C606,7,15)&gt;=$X$582,$AA$582*(1+($U$582)/100)^MAX(0,$C606-$AD$582),IF(DATE($C606,7,15)&gt;=$W$582,$Z$582*(1+($U$582)/100)^MAX(0,$C606-$AC$582),IF(DATE($C606,7,15)&gt;=$V$582,$Y$582*(1+($U$582)/100)^MAX(0,$C606-$AB$582),0)))))</f>
      </c>
      <c r="L606" s="43">
        <f>IF($S$582=0,0,IF(OR(DATE($C606,8,15)&lt;$S$582,AND($T$582&gt;0,DATE($C606,8,15)&gt;$T$582)),0,IF(DATE($C606,8,15)&gt;=$X$582,$AA$582*(1+($U$582)/100)^MAX(0,$C606-$AD$582),IF(DATE($C606,8,15)&gt;=$W$582,$Z$582*(1+($U$582)/100)^MAX(0,$C606-$AC$582),IF(DATE($C606,8,15)&gt;=$V$582,$Y$582*(1+($U$582)/100)^MAX(0,$C606-$AB$582),0)))))</f>
      </c>
      <c r="M606" s="43">
        <f>IF($S$582=0,0,IF(OR(DATE($C606,9,15)&lt;$S$582,AND($T$582&gt;0,DATE($C606,9,15)&gt;$T$582)),0,IF(DATE($C606,9,15)&gt;=$X$582,$AA$582*(1+($U$582)/100)^MAX(0,$C606-$AD$582),IF(DATE($C606,9,15)&gt;=$W$582,$Z$582*(1+($U$582)/100)^MAX(0,$C606-$AC$582),IF(DATE($C606,9,15)&gt;=$V$582,$Y$582*(1+($U$582)/100)^MAX(0,$C606-$AB$582),0)))))</f>
      </c>
      <c r="N606" s="43">
        <f>IF($S$582=0,0,IF(OR(DATE($C606,10,15)&lt;$S$582,AND($T$582&gt;0,DATE($C606,10,15)&gt;$T$582)),0,IF(DATE($C606,10,15)&gt;=$X$582,$AA$582*(1+($U$582)/100)^MAX(0,$C606-$AD$582),IF(DATE($C606,10,15)&gt;=$W$582,$Z$582*(1+($U$582)/100)^MAX(0,$C606-$AC$582),IF(DATE($C606,10,15)&gt;=$V$582,$Y$582*(1+($U$582)/100)^MAX(0,$C606-$AB$582),0)))))</f>
      </c>
      <c r="O606" s="43">
        <f>IF($S$582=0,0,IF(OR(DATE($C606,11,15)&lt;$S$582,AND($T$582&gt;0,DATE($C606,11,15)&gt;$T$582)),0,IF(DATE($C606,11,15)&gt;=$X$582,$AA$582*(1+($U$582)/100)^MAX(0,$C606-$AD$582),IF(DATE($C606,11,15)&gt;=$W$582,$Z$582*(1+($U$582)/100)^MAX(0,$C606-$AC$582),IF(DATE($C606,11,15)&gt;=$V$582,$Y$582*(1+($U$582)/100)^MAX(0,$C606-$AB$582),0)))))</f>
      </c>
      <c r="P606" s="43">
        <f>IF($S$582=0,0,IF(OR(DATE($C606,12,15)&lt;$S$582,AND($T$582&gt;0,DATE($C606,12,15)&gt;$T$582)),0,IF(DATE($C606,12,15)&gt;=$X$582,$AA$582*(1+($U$582)/100)^MAX(0,$C606-$AD$582),IF(DATE($C606,12,15)&gt;=$W$582,$Z$582*(1+($U$582)/100)^MAX(0,$C606-$AC$582),IF(DATE($C606,12,15)&gt;=$V$582,$Y$582*(1+($U$582)/100)^MAX(0,$C606-$AB$582),0)))))</f>
      </c>
      <c r="Q606" s="43">
        <f>SUM($E606:$P606)</f>
      </c>
    </row>
    <row r="607">
      <c r="A607"/>
      <c r="B607">
        <v>19</v>
      </c>
      <c r="C607" s="43">
        <f>Jahr+25</f>
      </c>
      <c r="D607" s="43">
        <f>INDEX(MvObj,19)</f>
      </c>
      <c r="E607" s="43">
        <f>IF($S$582=0,0,IF(OR(DATE($C607,1,15)&lt;$S$582,AND($T$582&gt;0,DATE($C607,1,15)&gt;$T$582)),0,IF(DATE($C607,1,15)&gt;=$X$582,$AA$582*(1+($U$582)/100)^MAX(0,$C607-$AD$582),IF(DATE($C607,1,15)&gt;=$W$582,$Z$582*(1+($U$582)/100)^MAX(0,$C607-$AC$582),IF(DATE($C607,1,15)&gt;=$V$582,$Y$582*(1+($U$582)/100)^MAX(0,$C607-$AB$582),0)))))</f>
      </c>
      <c r="F607" s="43">
        <f>IF($S$582=0,0,IF(OR(DATE($C607,2,15)&lt;$S$582,AND($T$582&gt;0,DATE($C607,2,15)&gt;$T$582)),0,IF(DATE($C607,2,15)&gt;=$X$582,$AA$582*(1+($U$582)/100)^MAX(0,$C607-$AD$582),IF(DATE($C607,2,15)&gt;=$W$582,$Z$582*(1+($U$582)/100)^MAX(0,$C607-$AC$582),IF(DATE($C607,2,15)&gt;=$V$582,$Y$582*(1+($U$582)/100)^MAX(0,$C607-$AB$582),0)))))</f>
      </c>
      <c r="G607" s="43">
        <f>IF($S$582=0,0,IF(OR(DATE($C607,3,15)&lt;$S$582,AND($T$582&gt;0,DATE($C607,3,15)&gt;$T$582)),0,IF(DATE($C607,3,15)&gt;=$X$582,$AA$582*(1+($U$582)/100)^MAX(0,$C607-$AD$582),IF(DATE($C607,3,15)&gt;=$W$582,$Z$582*(1+($U$582)/100)^MAX(0,$C607-$AC$582),IF(DATE($C607,3,15)&gt;=$V$582,$Y$582*(1+($U$582)/100)^MAX(0,$C607-$AB$582),0)))))</f>
      </c>
      <c r="H607" s="43">
        <f>IF($S$582=0,0,IF(OR(DATE($C607,4,15)&lt;$S$582,AND($T$582&gt;0,DATE($C607,4,15)&gt;$T$582)),0,IF(DATE($C607,4,15)&gt;=$X$582,$AA$582*(1+($U$582)/100)^MAX(0,$C607-$AD$582),IF(DATE($C607,4,15)&gt;=$W$582,$Z$582*(1+($U$582)/100)^MAX(0,$C607-$AC$582),IF(DATE($C607,4,15)&gt;=$V$582,$Y$582*(1+($U$582)/100)^MAX(0,$C607-$AB$582),0)))))</f>
      </c>
      <c r="I607" s="43">
        <f>IF($S$582=0,0,IF(OR(DATE($C607,5,15)&lt;$S$582,AND($T$582&gt;0,DATE($C607,5,15)&gt;$T$582)),0,IF(DATE($C607,5,15)&gt;=$X$582,$AA$582*(1+($U$582)/100)^MAX(0,$C607-$AD$582),IF(DATE($C607,5,15)&gt;=$W$582,$Z$582*(1+($U$582)/100)^MAX(0,$C607-$AC$582),IF(DATE($C607,5,15)&gt;=$V$582,$Y$582*(1+($U$582)/100)^MAX(0,$C607-$AB$582),0)))))</f>
      </c>
      <c r="J607" s="43">
        <f>IF($S$582=0,0,IF(OR(DATE($C607,6,15)&lt;$S$582,AND($T$582&gt;0,DATE($C607,6,15)&gt;$T$582)),0,IF(DATE($C607,6,15)&gt;=$X$582,$AA$582*(1+($U$582)/100)^MAX(0,$C607-$AD$582),IF(DATE($C607,6,15)&gt;=$W$582,$Z$582*(1+($U$582)/100)^MAX(0,$C607-$AC$582),IF(DATE($C607,6,15)&gt;=$V$582,$Y$582*(1+($U$582)/100)^MAX(0,$C607-$AB$582),0)))))</f>
      </c>
      <c r="K607" s="43">
        <f>IF($S$582=0,0,IF(OR(DATE($C607,7,15)&lt;$S$582,AND($T$582&gt;0,DATE($C607,7,15)&gt;$T$582)),0,IF(DATE($C607,7,15)&gt;=$X$582,$AA$582*(1+($U$582)/100)^MAX(0,$C607-$AD$582),IF(DATE($C607,7,15)&gt;=$W$582,$Z$582*(1+($U$582)/100)^MAX(0,$C607-$AC$582),IF(DATE($C607,7,15)&gt;=$V$582,$Y$582*(1+($U$582)/100)^MAX(0,$C607-$AB$582),0)))))</f>
      </c>
      <c r="L607" s="43">
        <f>IF($S$582=0,0,IF(OR(DATE($C607,8,15)&lt;$S$582,AND($T$582&gt;0,DATE($C607,8,15)&gt;$T$582)),0,IF(DATE($C607,8,15)&gt;=$X$582,$AA$582*(1+($U$582)/100)^MAX(0,$C607-$AD$582),IF(DATE($C607,8,15)&gt;=$W$582,$Z$582*(1+($U$582)/100)^MAX(0,$C607-$AC$582),IF(DATE($C607,8,15)&gt;=$V$582,$Y$582*(1+($U$582)/100)^MAX(0,$C607-$AB$582),0)))))</f>
      </c>
      <c r="M607" s="43">
        <f>IF($S$582=0,0,IF(OR(DATE($C607,9,15)&lt;$S$582,AND($T$582&gt;0,DATE($C607,9,15)&gt;$T$582)),0,IF(DATE($C607,9,15)&gt;=$X$582,$AA$582*(1+($U$582)/100)^MAX(0,$C607-$AD$582),IF(DATE($C607,9,15)&gt;=$W$582,$Z$582*(1+($U$582)/100)^MAX(0,$C607-$AC$582),IF(DATE($C607,9,15)&gt;=$V$582,$Y$582*(1+($U$582)/100)^MAX(0,$C607-$AB$582),0)))))</f>
      </c>
      <c r="N607" s="43">
        <f>IF($S$582=0,0,IF(OR(DATE($C607,10,15)&lt;$S$582,AND($T$582&gt;0,DATE($C607,10,15)&gt;$T$582)),0,IF(DATE($C607,10,15)&gt;=$X$582,$AA$582*(1+($U$582)/100)^MAX(0,$C607-$AD$582),IF(DATE($C607,10,15)&gt;=$W$582,$Z$582*(1+($U$582)/100)^MAX(0,$C607-$AC$582),IF(DATE($C607,10,15)&gt;=$V$582,$Y$582*(1+($U$582)/100)^MAX(0,$C607-$AB$582),0)))))</f>
      </c>
      <c r="O607" s="43">
        <f>IF($S$582=0,0,IF(OR(DATE($C607,11,15)&lt;$S$582,AND($T$582&gt;0,DATE($C607,11,15)&gt;$T$582)),0,IF(DATE($C607,11,15)&gt;=$X$582,$AA$582*(1+($U$582)/100)^MAX(0,$C607-$AD$582),IF(DATE($C607,11,15)&gt;=$W$582,$Z$582*(1+($U$582)/100)^MAX(0,$C607-$AC$582),IF(DATE($C607,11,15)&gt;=$V$582,$Y$582*(1+($U$582)/100)^MAX(0,$C607-$AB$582),0)))))</f>
      </c>
      <c r="P607" s="43">
        <f>IF($S$582=0,0,IF(OR(DATE($C607,12,15)&lt;$S$582,AND($T$582&gt;0,DATE($C607,12,15)&gt;$T$582)),0,IF(DATE($C607,12,15)&gt;=$X$582,$AA$582*(1+($U$582)/100)^MAX(0,$C607-$AD$582),IF(DATE($C607,12,15)&gt;=$W$582,$Z$582*(1+($U$582)/100)^MAX(0,$C607-$AC$582),IF(DATE($C607,12,15)&gt;=$V$582,$Y$582*(1+($U$582)/100)^MAX(0,$C607-$AB$582),0)))))</f>
      </c>
      <c r="Q607" s="43">
        <f>SUM($E607:$P607)</f>
      </c>
    </row>
    <row r="608">
      <c r="A608"/>
      <c r="B608">
        <v>19</v>
      </c>
      <c r="C608" s="43">
        <f>Jahr+26</f>
      </c>
      <c r="D608" s="43">
        <f>INDEX(MvObj,19)</f>
      </c>
      <c r="E608" s="43">
        <f>IF($S$582=0,0,IF(OR(DATE($C608,1,15)&lt;$S$582,AND($T$582&gt;0,DATE($C608,1,15)&gt;$T$582)),0,IF(DATE($C608,1,15)&gt;=$X$582,$AA$582*(1+($U$582)/100)^MAX(0,$C608-$AD$582),IF(DATE($C608,1,15)&gt;=$W$582,$Z$582*(1+($U$582)/100)^MAX(0,$C608-$AC$582),IF(DATE($C608,1,15)&gt;=$V$582,$Y$582*(1+($U$582)/100)^MAX(0,$C608-$AB$582),0)))))</f>
      </c>
      <c r="F608" s="43">
        <f>IF($S$582=0,0,IF(OR(DATE($C608,2,15)&lt;$S$582,AND($T$582&gt;0,DATE($C608,2,15)&gt;$T$582)),0,IF(DATE($C608,2,15)&gt;=$X$582,$AA$582*(1+($U$582)/100)^MAX(0,$C608-$AD$582),IF(DATE($C608,2,15)&gt;=$W$582,$Z$582*(1+($U$582)/100)^MAX(0,$C608-$AC$582),IF(DATE($C608,2,15)&gt;=$V$582,$Y$582*(1+($U$582)/100)^MAX(0,$C608-$AB$582),0)))))</f>
      </c>
      <c r="G608" s="43">
        <f>IF($S$582=0,0,IF(OR(DATE($C608,3,15)&lt;$S$582,AND($T$582&gt;0,DATE($C608,3,15)&gt;$T$582)),0,IF(DATE($C608,3,15)&gt;=$X$582,$AA$582*(1+($U$582)/100)^MAX(0,$C608-$AD$582),IF(DATE($C608,3,15)&gt;=$W$582,$Z$582*(1+($U$582)/100)^MAX(0,$C608-$AC$582),IF(DATE($C608,3,15)&gt;=$V$582,$Y$582*(1+($U$582)/100)^MAX(0,$C608-$AB$582),0)))))</f>
      </c>
      <c r="H608" s="43">
        <f>IF($S$582=0,0,IF(OR(DATE($C608,4,15)&lt;$S$582,AND($T$582&gt;0,DATE($C608,4,15)&gt;$T$582)),0,IF(DATE($C608,4,15)&gt;=$X$582,$AA$582*(1+($U$582)/100)^MAX(0,$C608-$AD$582),IF(DATE($C608,4,15)&gt;=$W$582,$Z$582*(1+($U$582)/100)^MAX(0,$C608-$AC$582),IF(DATE($C608,4,15)&gt;=$V$582,$Y$582*(1+($U$582)/100)^MAX(0,$C608-$AB$582),0)))))</f>
      </c>
      <c r="I608" s="43">
        <f>IF($S$582=0,0,IF(OR(DATE($C608,5,15)&lt;$S$582,AND($T$582&gt;0,DATE($C608,5,15)&gt;$T$582)),0,IF(DATE($C608,5,15)&gt;=$X$582,$AA$582*(1+($U$582)/100)^MAX(0,$C608-$AD$582),IF(DATE($C608,5,15)&gt;=$W$582,$Z$582*(1+($U$582)/100)^MAX(0,$C608-$AC$582),IF(DATE($C608,5,15)&gt;=$V$582,$Y$582*(1+($U$582)/100)^MAX(0,$C608-$AB$582),0)))))</f>
      </c>
      <c r="J608" s="43">
        <f>IF($S$582=0,0,IF(OR(DATE($C608,6,15)&lt;$S$582,AND($T$582&gt;0,DATE($C608,6,15)&gt;$T$582)),0,IF(DATE($C608,6,15)&gt;=$X$582,$AA$582*(1+($U$582)/100)^MAX(0,$C608-$AD$582),IF(DATE($C608,6,15)&gt;=$W$582,$Z$582*(1+($U$582)/100)^MAX(0,$C608-$AC$582),IF(DATE($C608,6,15)&gt;=$V$582,$Y$582*(1+($U$582)/100)^MAX(0,$C608-$AB$582),0)))))</f>
      </c>
      <c r="K608" s="43">
        <f>IF($S$582=0,0,IF(OR(DATE($C608,7,15)&lt;$S$582,AND($T$582&gt;0,DATE($C608,7,15)&gt;$T$582)),0,IF(DATE($C608,7,15)&gt;=$X$582,$AA$582*(1+($U$582)/100)^MAX(0,$C608-$AD$582),IF(DATE($C608,7,15)&gt;=$W$582,$Z$582*(1+($U$582)/100)^MAX(0,$C608-$AC$582),IF(DATE($C608,7,15)&gt;=$V$582,$Y$582*(1+($U$582)/100)^MAX(0,$C608-$AB$582),0)))))</f>
      </c>
      <c r="L608" s="43">
        <f>IF($S$582=0,0,IF(OR(DATE($C608,8,15)&lt;$S$582,AND($T$582&gt;0,DATE($C608,8,15)&gt;$T$582)),0,IF(DATE($C608,8,15)&gt;=$X$582,$AA$582*(1+($U$582)/100)^MAX(0,$C608-$AD$582),IF(DATE($C608,8,15)&gt;=$W$582,$Z$582*(1+($U$582)/100)^MAX(0,$C608-$AC$582),IF(DATE($C608,8,15)&gt;=$V$582,$Y$582*(1+($U$582)/100)^MAX(0,$C608-$AB$582),0)))))</f>
      </c>
      <c r="M608" s="43">
        <f>IF($S$582=0,0,IF(OR(DATE($C608,9,15)&lt;$S$582,AND($T$582&gt;0,DATE($C608,9,15)&gt;$T$582)),0,IF(DATE($C608,9,15)&gt;=$X$582,$AA$582*(1+($U$582)/100)^MAX(0,$C608-$AD$582),IF(DATE($C608,9,15)&gt;=$W$582,$Z$582*(1+($U$582)/100)^MAX(0,$C608-$AC$582),IF(DATE($C608,9,15)&gt;=$V$582,$Y$582*(1+($U$582)/100)^MAX(0,$C608-$AB$582),0)))))</f>
      </c>
      <c r="N608" s="43">
        <f>IF($S$582=0,0,IF(OR(DATE($C608,10,15)&lt;$S$582,AND($T$582&gt;0,DATE($C608,10,15)&gt;$T$582)),0,IF(DATE($C608,10,15)&gt;=$X$582,$AA$582*(1+($U$582)/100)^MAX(0,$C608-$AD$582),IF(DATE($C608,10,15)&gt;=$W$582,$Z$582*(1+($U$582)/100)^MAX(0,$C608-$AC$582),IF(DATE($C608,10,15)&gt;=$V$582,$Y$582*(1+($U$582)/100)^MAX(0,$C608-$AB$582),0)))))</f>
      </c>
      <c r="O608" s="43">
        <f>IF($S$582=0,0,IF(OR(DATE($C608,11,15)&lt;$S$582,AND($T$582&gt;0,DATE($C608,11,15)&gt;$T$582)),0,IF(DATE($C608,11,15)&gt;=$X$582,$AA$582*(1+($U$582)/100)^MAX(0,$C608-$AD$582),IF(DATE($C608,11,15)&gt;=$W$582,$Z$582*(1+($U$582)/100)^MAX(0,$C608-$AC$582),IF(DATE($C608,11,15)&gt;=$V$582,$Y$582*(1+($U$582)/100)^MAX(0,$C608-$AB$582),0)))))</f>
      </c>
      <c r="P608" s="43">
        <f>IF($S$582=0,0,IF(OR(DATE($C608,12,15)&lt;$S$582,AND($T$582&gt;0,DATE($C608,12,15)&gt;$T$582)),0,IF(DATE($C608,12,15)&gt;=$X$582,$AA$582*(1+($U$582)/100)^MAX(0,$C608-$AD$582),IF(DATE($C608,12,15)&gt;=$W$582,$Z$582*(1+($U$582)/100)^MAX(0,$C608-$AC$582),IF(DATE($C608,12,15)&gt;=$V$582,$Y$582*(1+($U$582)/100)^MAX(0,$C608-$AB$582),0)))))</f>
      </c>
      <c r="Q608" s="43">
        <f>SUM($E608:$P608)</f>
      </c>
    </row>
    <row r="609">
      <c r="A609"/>
      <c r="B609">
        <v>19</v>
      </c>
      <c r="C609" s="43">
        <f>Jahr+27</f>
      </c>
      <c r="D609" s="43">
        <f>INDEX(MvObj,19)</f>
      </c>
      <c r="E609" s="43">
        <f>IF($S$582=0,0,IF(OR(DATE($C609,1,15)&lt;$S$582,AND($T$582&gt;0,DATE($C609,1,15)&gt;$T$582)),0,IF(DATE($C609,1,15)&gt;=$X$582,$AA$582*(1+($U$582)/100)^MAX(0,$C609-$AD$582),IF(DATE($C609,1,15)&gt;=$W$582,$Z$582*(1+($U$582)/100)^MAX(0,$C609-$AC$582),IF(DATE($C609,1,15)&gt;=$V$582,$Y$582*(1+($U$582)/100)^MAX(0,$C609-$AB$582),0)))))</f>
      </c>
      <c r="F609" s="43">
        <f>IF($S$582=0,0,IF(OR(DATE($C609,2,15)&lt;$S$582,AND($T$582&gt;0,DATE($C609,2,15)&gt;$T$582)),0,IF(DATE($C609,2,15)&gt;=$X$582,$AA$582*(1+($U$582)/100)^MAX(0,$C609-$AD$582),IF(DATE($C609,2,15)&gt;=$W$582,$Z$582*(1+($U$582)/100)^MAX(0,$C609-$AC$582),IF(DATE($C609,2,15)&gt;=$V$582,$Y$582*(1+($U$582)/100)^MAX(0,$C609-$AB$582),0)))))</f>
      </c>
      <c r="G609" s="43">
        <f>IF($S$582=0,0,IF(OR(DATE($C609,3,15)&lt;$S$582,AND($T$582&gt;0,DATE($C609,3,15)&gt;$T$582)),0,IF(DATE($C609,3,15)&gt;=$X$582,$AA$582*(1+($U$582)/100)^MAX(0,$C609-$AD$582),IF(DATE($C609,3,15)&gt;=$W$582,$Z$582*(1+($U$582)/100)^MAX(0,$C609-$AC$582),IF(DATE($C609,3,15)&gt;=$V$582,$Y$582*(1+($U$582)/100)^MAX(0,$C609-$AB$582),0)))))</f>
      </c>
      <c r="H609" s="43">
        <f>IF($S$582=0,0,IF(OR(DATE($C609,4,15)&lt;$S$582,AND($T$582&gt;0,DATE($C609,4,15)&gt;$T$582)),0,IF(DATE($C609,4,15)&gt;=$X$582,$AA$582*(1+($U$582)/100)^MAX(0,$C609-$AD$582),IF(DATE($C609,4,15)&gt;=$W$582,$Z$582*(1+($U$582)/100)^MAX(0,$C609-$AC$582),IF(DATE($C609,4,15)&gt;=$V$582,$Y$582*(1+($U$582)/100)^MAX(0,$C609-$AB$582),0)))))</f>
      </c>
      <c r="I609" s="43">
        <f>IF($S$582=0,0,IF(OR(DATE($C609,5,15)&lt;$S$582,AND($T$582&gt;0,DATE($C609,5,15)&gt;$T$582)),0,IF(DATE($C609,5,15)&gt;=$X$582,$AA$582*(1+($U$582)/100)^MAX(0,$C609-$AD$582),IF(DATE($C609,5,15)&gt;=$W$582,$Z$582*(1+($U$582)/100)^MAX(0,$C609-$AC$582),IF(DATE($C609,5,15)&gt;=$V$582,$Y$582*(1+($U$582)/100)^MAX(0,$C609-$AB$582),0)))))</f>
      </c>
      <c r="J609" s="43">
        <f>IF($S$582=0,0,IF(OR(DATE($C609,6,15)&lt;$S$582,AND($T$582&gt;0,DATE($C609,6,15)&gt;$T$582)),0,IF(DATE($C609,6,15)&gt;=$X$582,$AA$582*(1+($U$582)/100)^MAX(0,$C609-$AD$582),IF(DATE($C609,6,15)&gt;=$W$582,$Z$582*(1+($U$582)/100)^MAX(0,$C609-$AC$582),IF(DATE($C609,6,15)&gt;=$V$582,$Y$582*(1+($U$582)/100)^MAX(0,$C609-$AB$582),0)))))</f>
      </c>
      <c r="K609" s="43">
        <f>IF($S$582=0,0,IF(OR(DATE($C609,7,15)&lt;$S$582,AND($T$582&gt;0,DATE($C609,7,15)&gt;$T$582)),0,IF(DATE($C609,7,15)&gt;=$X$582,$AA$582*(1+($U$582)/100)^MAX(0,$C609-$AD$582),IF(DATE($C609,7,15)&gt;=$W$582,$Z$582*(1+($U$582)/100)^MAX(0,$C609-$AC$582),IF(DATE($C609,7,15)&gt;=$V$582,$Y$582*(1+($U$582)/100)^MAX(0,$C609-$AB$582),0)))))</f>
      </c>
      <c r="L609" s="43">
        <f>IF($S$582=0,0,IF(OR(DATE($C609,8,15)&lt;$S$582,AND($T$582&gt;0,DATE($C609,8,15)&gt;$T$582)),0,IF(DATE($C609,8,15)&gt;=$X$582,$AA$582*(1+($U$582)/100)^MAX(0,$C609-$AD$582),IF(DATE($C609,8,15)&gt;=$W$582,$Z$582*(1+($U$582)/100)^MAX(0,$C609-$AC$582),IF(DATE($C609,8,15)&gt;=$V$582,$Y$582*(1+($U$582)/100)^MAX(0,$C609-$AB$582),0)))))</f>
      </c>
      <c r="M609" s="43">
        <f>IF($S$582=0,0,IF(OR(DATE($C609,9,15)&lt;$S$582,AND($T$582&gt;0,DATE($C609,9,15)&gt;$T$582)),0,IF(DATE($C609,9,15)&gt;=$X$582,$AA$582*(1+($U$582)/100)^MAX(0,$C609-$AD$582),IF(DATE($C609,9,15)&gt;=$W$582,$Z$582*(1+($U$582)/100)^MAX(0,$C609-$AC$582),IF(DATE($C609,9,15)&gt;=$V$582,$Y$582*(1+($U$582)/100)^MAX(0,$C609-$AB$582),0)))))</f>
      </c>
      <c r="N609" s="43">
        <f>IF($S$582=0,0,IF(OR(DATE($C609,10,15)&lt;$S$582,AND($T$582&gt;0,DATE($C609,10,15)&gt;$T$582)),0,IF(DATE($C609,10,15)&gt;=$X$582,$AA$582*(1+($U$582)/100)^MAX(0,$C609-$AD$582),IF(DATE($C609,10,15)&gt;=$W$582,$Z$582*(1+($U$582)/100)^MAX(0,$C609-$AC$582),IF(DATE($C609,10,15)&gt;=$V$582,$Y$582*(1+($U$582)/100)^MAX(0,$C609-$AB$582),0)))))</f>
      </c>
      <c r="O609" s="43">
        <f>IF($S$582=0,0,IF(OR(DATE($C609,11,15)&lt;$S$582,AND($T$582&gt;0,DATE($C609,11,15)&gt;$T$582)),0,IF(DATE($C609,11,15)&gt;=$X$582,$AA$582*(1+($U$582)/100)^MAX(0,$C609-$AD$582),IF(DATE($C609,11,15)&gt;=$W$582,$Z$582*(1+($U$582)/100)^MAX(0,$C609-$AC$582),IF(DATE($C609,11,15)&gt;=$V$582,$Y$582*(1+($U$582)/100)^MAX(0,$C609-$AB$582),0)))))</f>
      </c>
      <c r="P609" s="43">
        <f>IF($S$582=0,0,IF(OR(DATE($C609,12,15)&lt;$S$582,AND($T$582&gt;0,DATE($C609,12,15)&gt;$T$582)),0,IF(DATE($C609,12,15)&gt;=$X$582,$AA$582*(1+($U$582)/100)^MAX(0,$C609-$AD$582),IF(DATE($C609,12,15)&gt;=$W$582,$Z$582*(1+($U$582)/100)^MAX(0,$C609-$AC$582),IF(DATE($C609,12,15)&gt;=$V$582,$Y$582*(1+($U$582)/100)^MAX(0,$C609-$AB$582),0)))))</f>
      </c>
      <c r="Q609" s="43">
        <f>SUM($E609:$P609)</f>
      </c>
    </row>
    <row r="610">
      <c r="A610"/>
      <c r="B610">
        <v>19</v>
      </c>
      <c r="C610" s="43">
        <f>Jahr+28</f>
      </c>
      <c r="D610" s="43">
        <f>INDEX(MvObj,19)</f>
      </c>
      <c r="E610" s="43">
        <f>IF($S$582=0,0,IF(OR(DATE($C610,1,15)&lt;$S$582,AND($T$582&gt;0,DATE($C610,1,15)&gt;$T$582)),0,IF(DATE($C610,1,15)&gt;=$X$582,$AA$582*(1+($U$582)/100)^MAX(0,$C610-$AD$582),IF(DATE($C610,1,15)&gt;=$W$582,$Z$582*(1+($U$582)/100)^MAX(0,$C610-$AC$582),IF(DATE($C610,1,15)&gt;=$V$582,$Y$582*(1+($U$582)/100)^MAX(0,$C610-$AB$582),0)))))</f>
      </c>
      <c r="F610" s="43">
        <f>IF($S$582=0,0,IF(OR(DATE($C610,2,15)&lt;$S$582,AND($T$582&gt;0,DATE($C610,2,15)&gt;$T$582)),0,IF(DATE($C610,2,15)&gt;=$X$582,$AA$582*(1+($U$582)/100)^MAX(0,$C610-$AD$582),IF(DATE($C610,2,15)&gt;=$W$582,$Z$582*(1+($U$582)/100)^MAX(0,$C610-$AC$582),IF(DATE($C610,2,15)&gt;=$V$582,$Y$582*(1+($U$582)/100)^MAX(0,$C610-$AB$582),0)))))</f>
      </c>
      <c r="G610" s="43">
        <f>IF($S$582=0,0,IF(OR(DATE($C610,3,15)&lt;$S$582,AND($T$582&gt;0,DATE($C610,3,15)&gt;$T$582)),0,IF(DATE($C610,3,15)&gt;=$X$582,$AA$582*(1+($U$582)/100)^MAX(0,$C610-$AD$582),IF(DATE($C610,3,15)&gt;=$W$582,$Z$582*(1+($U$582)/100)^MAX(0,$C610-$AC$582),IF(DATE($C610,3,15)&gt;=$V$582,$Y$582*(1+($U$582)/100)^MAX(0,$C610-$AB$582),0)))))</f>
      </c>
      <c r="H610" s="43">
        <f>IF($S$582=0,0,IF(OR(DATE($C610,4,15)&lt;$S$582,AND($T$582&gt;0,DATE($C610,4,15)&gt;$T$582)),0,IF(DATE($C610,4,15)&gt;=$X$582,$AA$582*(1+($U$582)/100)^MAX(0,$C610-$AD$582),IF(DATE($C610,4,15)&gt;=$W$582,$Z$582*(1+($U$582)/100)^MAX(0,$C610-$AC$582),IF(DATE($C610,4,15)&gt;=$V$582,$Y$582*(1+($U$582)/100)^MAX(0,$C610-$AB$582),0)))))</f>
      </c>
      <c r="I610" s="43">
        <f>IF($S$582=0,0,IF(OR(DATE($C610,5,15)&lt;$S$582,AND($T$582&gt;0,DATE($C610,5,15)&gt;$T$582)),0,IF(DATE($C610,5,15)&gt;=$X$582,$AA$582*(1+($U$582)/100)^MAX(0,$C610-$AD$582),IF(DATE($C610,5,15)&gt;=$W$582,$Z$582*(1+($U$582)/100)^MAX(0,$C610-$AC$582),IF(DATE($C610,5,15)&gt;=$V$582,$Y$582*(1+($U$582)/100)^MAX(0,$C610-$AB$582),0)))))</f>
      </c>
      <c r="J610" s="43">
        <f>IF($S$582=0,0,IF(OR(DATE($C610,6,15)&lt;$S$582,AND($T$582&gt;0,DATE($C610,6,15)&gt;$T$582)),0,IF(DATE($C610,6,15)&gt;=$X$582,$AA$582*(1+($U$582)/100)^MAX(0,$C610-$AD$582),IF(DATE($C610,6,15)&gt;=$W$582,$Z$582*(1+($U$582)/100)^MAX(0,$C610-$AC$582),IF(DATE($C610,6,15)&gt;=$V$582,$Y$582*(1+($U$582)/100)^MAX(0,$C610-$AB$582),0)))))</f>
      </c>
      <c r="K610" s="43">
        <f>IF($S$582=0,0,IF(OR(DATE($C610,7,15)&lt;$S$582,AND($T$582&gt;0,DATE($C610,7,15)&gt;$T$582)),0,IF(DATE($C610,7,15)&gt;=$X$582,$AA$582*(1+($U$582)/100)^MAX(0,$C610-$AD$582),IF(DATE($C610,7,15)&gt;=$W$582,$Z$582*(1+($U$582)/100)^MAX(0,$C610-$AC$582),IF(DATE($C610,7,15)&gt;=$V$582,$Y$582*(1+($U$582)/100)^MAX(0,$C610-$AB$582),0)))))</f>
      </c>
      <c r="L610" s="43">
        <f>IF($S$582=0,0,IF(OR(DATE($C610,8,15)&lt;$S$582,AND($T$582&gt;0,DATE($C610,8,15)&gt;$T$582)),0,IF(DATE($C610,8,15)&gt;=$X$582,$AA$582*(1+($U$582)/100)^MAX(0,$C610-$AD$582),IF(DATE($C610,8,15)&gt;=$W$582,$Z$582*(1+($U$582)/100)^MAX(0,$C610-$AC$582),IF(DATE($C610,8,15)&gt;=$V$582,$Y$582*(1+($U$582)/100)^MAX(0,$C610-$AB$582),0)))))</f>
      </c>
      <c r="M610" s="43">
        <f>IF($S$582=0,0,IF(OR(DATE($C610,9,15)&lt;$S$582,AND($T$582&gt;0,DATE($C610,9,15)&gt;$T$582)),0,IF(DATE($C610,9,15)&gt;=$X$582,$AA$582*(1+($U$582)/100)^MAX(0,$C610-$AD$582),IF(DATE($C610,9,15)&gt;=$W$582,$Z$582*(1+($U$582)/100)^MAX(0,$C610-$AC$582),IF(DATE($C610,9,15)&gt;=$V$582,$Y$582*(1+($U$582)/100)^MAX(0,$C610-$AB$582),0)))))</f>
      </c>
      <c r="N610" s="43">
        <f>IF($S$582=0,0,IF(OR(DATE($C610,10,15)&lt;$S$582,AND($T$582&gt;0,DATE($C610,10,15)&gt;$T$582)),0,IF(DATE($C610,10,15)&gt;=$X$582,$AA$582*(1+($U$582)/100)^MAX(0,$C610-$AD$582),IF(DATE($C610,10,15)&gt;=$W$582,$Z$582*(1+($U$582)/100)^MAX(0,$C610-$AC$582),IF(DATE($C610,10,15)&gt;=$V$582,$Y$582*(1+($U$582)/100)^MAX(0,$C610-$AB$582),0)))))</f>
      </c>
      <c r="O610" s="43">
        <f>IF($S$582=0,0,IF(OR(DATE($C610,11,15)&lt;$S$582,AND($T$582&gt;0,DATE($C610,11,15)&gt;$T$582)),0,IF(DATE($C610,11,15)&gt;=$X$582,$AA$582*(1+($U$582)/100)^MAX(0,$C610-$AD$582),IF(DATE($C610,11,15)&gt;=$W$582,$Z$582*(1+($U$582)/100)^MAX(0,$C610-$AC$582),IF(DATE($C610,11,15)&gt;=$V$582,$Y$582*(1+($U$582)/100)^MAX(0,$C610-$AB$582),0)))))</f>
      </c>
      <c r="P610" s="43">
        <f>IF($S$582=0,0,IF(OR(DATE($C610,12,15)&lt;$S$582,AND($T$582&gt;0,DATE($C610,12,15)&gt;$T$582)),0,IF(DATE($C610,12,15)&gt;=$X$582,$AA$582*(1+($U$582)/100)^MAX(0,$C610-$AD$582),IF(DATE($C610,12,15)&gt;=$W$582,$Z$582*(1+($U$582)/100)^MAX(0,$C610-$AC$582),IF(DATE($C610,12,15)&gt;=$V$582,$Y$582*(1+($U$582)/100)^MAX(0,$C610-$AB$582),0)))))</f>
      </c>
      <c r="Q610" s="43">
        <f>SUM($E610:$P610)</f>
      </c>
    </row>
    <row r="611">
      <c r="A611"/>
      <c r="B611">
        <v>19</v>
      </c>
      <c r="C611" s="43">
        <f>Jahr+29</f>
      </c>
      <c r="D611" s="43">
        <f>INDEX(MvObj,19)</f>
      </c>
      <c r="E611" s="43">
        <f>IF($S$582=0,0,IF(OR(DATE($C611,1,15)&lt;$S$582,AND($T$582&gt;0,DATE($C611,1,15)&gt;$T$582)),0,IF(DATE($C611,1,15)&gt;=$X$582,$AA$582*(1+($U$582)/100)^MAX(0,$C611-$AD$582),IF(DATE($C611,1,15)&gt;=$W$582,$Z$582*(1+($U$582)/100)^MAX(0,$C611-$AC$582),IF(DATE($C611,1,15)&gt;=$V$582,$Y$582*(1+($U$582)/100)^MAX(0,$C611-$AB$582),0)))))</f>
      </c>
      <c r="F611" s="43">
        <f>IF($S$582=0,0,IF(OR(DATE($C611,2,15)&lt;$S$582,AND($T$582&gt;0,DATE($C611,2,15)&gt;$T$582)),0,IF(DATE($C611,2,15)&gt;=$X$582,$AA$582*(1+($U$582)/100)^MAX(0,$C611-$AD$582),IF(DATE($C611,2,15)&gt;=$W$582,$Z$582*(1+($U$582)/100)^MAX(0,$C611-$AC$582),IF(DATE($C611,2,15)&gt;=$V$582,$Y$582*(1+($U$582)/100)^MAX(0,$C611-$AB$582),0)))))</f>
      </c>
      <c r="G611" s="43">
        <f>IF($S$582=0,0,IF(OR(DATE($C611,3,15)&lt;$S$582,AND($T$582&gt;0,DATE($C611,3,15)&gt;$T$582)),0,IF(DATE($C611,3,15)&gt;=$X$582,$AA$582*(1+($U$582)/100)^MAX(0,$C611-$AD$582),IF(DATE($C611,3,15)&gt;=$W$582,$Z$582*(1+($U$582)/100)^MAX(0,$C611-$AC$582),IF(DATE($C611,3,15)&gt;=$V$582,$Y$582*(1+($U$582)/100)^MAX(0,$C611-$AB$582),0)))))</f>
      </c>
      <c r="H611" s="43">
        <f>IF($S$582=0,0,IF(OR(DATE($C611,4,15)&lt;$S$582,AND($T$582&gt;0,DATE($C611,4,15)&gt;$T$582)),0,IF(DATE($C611,4,15)&gt;=$X$582,$AA$582*(1+($U$582)/100)^MAX(0,$C611-$AD$582),IF(DATE($C611,4,15)&gt;=$W$582,$Z$582*(1+($U$582)/100)^MAX(0,$C611-$AC$582),IF(DATE($C611,4,15)&gt;=$V$582,$Y$582*(1+($U$582)/100)^MAX(0,$C611-$AB$582),0)))))</f>
      </c>
      <c r="I611" s="43">
        <f>IF($S$582=0,0,IF(OR(DATE($C611,5,15)&lt;$S$582,AND($T$582&gt;0,DATE($C611,5,15)&gt;$T$582)),0,IF(DATE($C611,5,15)&gt;=$X$582,$AA$582*(1+($U$582)/100)^MAX(0,$C611-$AD$582),IF(DATE($C611,5,15)&gt;=$W$582,$Z$582*(1+($U$582)/100)^MAX(0,$C611-$AC$582),IF(DATE($C611,5,15)&gt;=$V$582,$Y$582*(1+($U$582)/100)^MAX(0,$C611-$AB$582),0)))))</f>
      </c>
      <c r="J611" s="43">
        <f>IF($S$582=0,0,IF(OR(DATE($C611,6,15)&lt;$S$582,AND($T$582&gt;0,DATE($C611,6,15)&gt;$T$582)),0,IF(DATE($C611,6,15)&gt;=$X$582,$AA$582*(1+($U$582)/100)^MAX(0,$C611-$AD$582),IF(DATE($C611,6,15)&gt;=$W$582,$Z$582*(1+($U$582)/100)^MAX(0,$C611-$AC$582),IF(DATE($C611,6,15)&gt;=$V$582,$Y$582*(1+($U$582)/100)^MAX(0,$C611-$AB$582),0)))))</f>
      </c>
      <c r="K611" s="43">
        <f>IF($S$582=0,0,IF(OR(DATE($C611,7,15)&lt;$S$582,AND($T$582&gt;0,DATE($C611,7,15)&gt;$T$582)),0,IF(DATE($C611,7,15)&gt;=$X$582,$AA$582*(1+($U$582)/100)^MAX(0,$C611-$AD$582),IF(DATE($C611,7,15)&gt;=$W$582,$Z$582*(1+($U$582)/100)^MAX(0,$C611-$AC$582),IF(DATE($C611,7,15)&gt;=$V$582,$Y$582*(1+($U$582)/100)^MAX(0,$C611-$AB$582),0)))))</f>
      </c>
      <c r="L611" s="43">
        <f>IF($S$582=0,0,IF(OR(DATE($C611,8,15)&lt;$S$582,AND($T$582&gt;0,DATE($C611,8,15)&gt;$T$582)),0,IF(DATE($C611,8,15)&gt;=$X$582,$AA$582*(1+($U$582)/100)^MAX(0,$C611-$AD$582),IF(DATE($C611,8,15)&gt;=$W$582,$Z$582*(1+($U$582)/100)^MAX(0,$C611-$AC$582),IF(DATE($C611,8,15)&gt;=$V$582,$Y$582*(1+($U$582)/100)^MAX(0,$C611-$AB$582),0)))))</f>
      </c>
      <c r="M611" s="43">
        <f>IF($S$582=0,0,IF(OR(DATE($C611,9,15)&lt;$S$582,AND($T$582&gt;0,DATE($C611,9,15)&gt;$T$582)),0,IF(DATE($C611,9,15)&gt;=$X$582,$AA$582*(1+($U$582)/100)^MAX(0,$C611-$AD$582),IF(DATE($C611,9,15)&gt;=$W$582,$Z$582*(1+($U$582)/100)^MAX(0,$C611-$AC$582),IF(DATE($C611,9,15)&gt;=$V$582,$Y$582*(1+($U$582)/100)^MAX(0,$C611-$AB$582),0)))))</f>
      </c>
      <c r="N611" s="43">
        <f>IF($S$582=0,0,IF(OR(DATE($C611,10,15)&lt;$S$582,AND($T$582&gt;0,DATE($C611,10,15)&gt;$T$582)),0,IF(DATE($C611,10,15)&gt;=$X$582,$AA$582*(1+($U$582)/100)^MAX(0,$C611-$AD$582),IF(DATE($C611,10,15)&gt;=$W$582,$Z$582*(1+($U$582)/100)^MAX(0,$C611-$AC$582),IF(DATE($C611,10,15)&gt;=$V$582,$Y$582*(1+($U$582)/100)^MAX(0,$C611-$AB$582),0)))))</f>
      </c>
      <c r="O611" s="43">
        <f>IF($S$582=0,0,IF(OR(DATE($C611,11,15)&lt;$S$582,AND($T$582&gt;0,DATE($C611,11,15)&gt;$T$582)),0,IF(DATE($C611,11,15)&gt;=$X$582,$AA$582*(1+($U$582)/100)^MAX(0,$C611-$AD$582),IF(DATE($C611,11,15)&gt;=$W$582,$Z$582*(1+($U$582)/100)^MAX(0,$C611-$AC$582),IF(DATE($C611,11,15)&gt;=$V$582,$Y$582*(1+($U$582)/100)^MAX(0,$C611-$AB$582),0)))))</f>
      </c>
      <c r="P611" s="43">
        <f>IF($S$582=0,0,IF(OR(DATE($C611,12,15)&lt;$S$582,AND($T$582&gt;0,DATE($C611,12,15)&gt;$T$582)),0,IF(DATE($C611,12,15)&gt;=$X$582,$AA$582*(1+($U$582)/100)^MAX(0,$C611-$AD$582),IF(DATE($C611,12,15)&gt;=$W$582,$Z$582*(1+($U$582)/100)^MAX(0,$C611-$AC$582),IF(DATE($C611,12,15)&gt;=$V$582,$Y$582*(1+($U$582)/100)^MAX(0,$C611-$AB$582),0)))))</f>
      </c>
      <c r="Q611" s="43">
        <f>SUM($E611:$P611)</f>
      </c>
    </row>
    <row r="612">
      <c r="A612"/>
      <c r="B612">
        <v>19</v>
      </c>
      <c r="C612" s="43">
        <f>Jahr+30</f>
      </c>
      <c r="D612" s="43">
        <f>INDEX(MvObj,19)</f>
      </c>
      <c r="E612" s="43">
        <f>IF($S$582=0,0,IF(OR(DATE($C612,1,15)&lt;$S$582,AND($T$582&gt;0,DATE($C612,1,15)&gt;$T$582)),0,IF(DATE($C612,1,15)&gt;=$X$582,$AA$582*(1+($U$582)/100)^MAX(0,$C612-$AD$582),IF(DATE($C612,1,15)&gt;=$W$582,$Z$582*(1+($U$582)/100)^MAX(0,$C612-$AC$582),IF(DATE($C612,1,15)&gt;=$V$582,$Y$582*(1+($U$582)/100)^MAX(0,$C612-$AB$582),0)))))</f>
      </c>
      <c r="F612" s="43">
        <f>IF($S$582=0,0,IF(OR(DATE($C612,2,15)&lt;$S$582,AND($T$582&gt;0,DATE($C612,2,15)&gt;$T$582)),0,IF(DATE($C612,2,15)&gt;=$X$582,$AA$582*(1+($U$582)/100)^MAX(0,$C612-$AD$582),IF(DATE($C612,2,15)&gt;=$W$582,$Z$582*(1+($U$582)/100)^MAX(0,$C612-$AC$582),IF(DATE($C612,2,15)&gt;=$V$582,$Y$582*(1+($U$582)/100)^MAX(0,$C612-$AB$582),0)))))</f>
      </c>
      <c r="G612" s="43">
        <f>IF($S$582=0,0,IF(OR(DATE($C612,3,15)&lt;$S$582,AND($T$582&gt;0,DATE($C612,3,15)&gt;$T$582)),0,IF(DATE($C612,3,15)&gt;=$X$582,$AA$582*(1+($U$582)/100)^MAX(0,$C612-$AD$582),IF(DATE($C612,3,15)&gt;=$W$582,$Z$582*(1+($U$582)/100)^MAX(0,$C612-$AC$582),IF(DATE($C612,3,15)&gt;=$V$582,$Y$582*(1+($U$582)/100)^MAX(0,$C612-$AB$582),0)))))</f>
      </c>
      <c r="H612" s="43">
        <f>IF($S$582=0,0,IF(OR(DATE($C612,4,15)&lt;$S$582,AND($T$582&gt;0,DATE($C612,4,15)&gt;$T$582)),0,IF(DATE($C612,4,15)&gt;=$X$582,$AA$582*(1+($U$582)/100)^MAX(0,$C612-$AD$582),IF(DATE($C612,4,15)&gt;=$W$582,$Z$582*(1+($U$582)/100)^MAX(0,$C612-$AC$582),IF(DATE($C612,4,15)&gt;=$V$582,$Y$582*(1+($U$582)/100)^MAX(0,$C612-$AB$582),0)))))</f>
      </c>
      <c r="I612" s="43">
        <f>IF($S$582=0,0,IF(OR(DATE($C612,5,15)&lt;$S$582,AND($T$582&gt;0,DATE($C612,5,15)&gt;$T$582)),0,IF(DATE($C612,5,15)&gt;=$X$582,$AA$582*(1+($U$582)/100)^MAX(0,$C612-$AD$582),IF(DATE($C612,5,15)&gt;=$W$582,$Z$582*(1+($U$582)/100)^MAX(0,$C612-$AC$582),IF(DATE($C612,5,15)&gt;=$V$582,$Y$582*(1+($U$582)/100)^MAX(0,$C612-$AB$582),0)))))</f>
      </c>
      <c r="J612" s="43">
        <f>IF($S$582=0,0,IF(OR(DATE($C612,6,15)&lt;$S$582,AND($T$582&gt;0,DATE($C612,6,15)&gt;$T$582)),0,IF(DATE($C612,6,15)&gt;=$X$582,$AA$582*(1+($U$582)/100)^MAX(0,$C612-$AD$582),IF(DATE($C612,6,15)&gt;=$W$582,$Z$582*(1+($U$582)/100)^MAX(0,$C612-$AC$582),IF(DATE($C612,6,15)&gt;=$V$582,$Y$582*(1+($U$582)/100)^MAX(0,$C612-$AB$582),0)))))</f>
      </c>
      <c r="K612" s="43">
        <f>IF($S$582=0,0,IF(OR(DATE($C612,7,15)&lt;$S$582,AND($T$582&gt;0,DATE($C612,7,15)&gt;$T$582)),0,IF(DATE($C612,7,15)&gt;=$X$582,$AA$582*(1+($U$582)/100)^MAX(0,$C612-$AD$582),IF(DATE($C612,7,15)&gt;=$W$582,$Z$582*(1+($U$582)/100)^MAX(0,$C612-$AC$582),IF(DATE($C612,7,15)&gt;=$V$582,$Y$582*(1+($U$582)/100)^MAX(0,$C612-$AB$582),0)))))</f>
      </c>
      <c r="L612" s="43">
        <f>IF($S$582=0,0,IF(OR(DATE($C612,8,15)&lt;$S$582,AND($T$582&gt;0,DATE($C612,8,15)&gt;$T$582)),0,IF(DATE($C612,8,15)&gt;=$X$582,$AA$582*(1+($U$582)/100)^MAX(0,$C612-$AD$582),IF(DATE($C612,8,15)&gt;=$W$582,$Z$582*(1+($U$582)/100)^MAX(0,$C612-$AC$582),IF(DATE($C612,8,15)&gt;=$V$582,$Y$582*(1+($U$582)/100)^MAX(0,$C612-$AB$582),0)))))</f>
      </c>
      <c r="M612" s="43">
        <f>IF($S$582=0,0,IF(OR(DATE($C612,9,15)&lt;$S$582,AND($T$582&gt;0,DATE($C612,9,15)&gt;$T$582)),0,IF(DATE($C612,9,15)&gt;=$X$582,$AA$582*(1+($U$582)/100)^MAX(0,$C612-$AD$582),IF(DATE($C612,9,15)&gt;=$W$582,$Z$582*(1+($U$582)/100)^MAX(0,$C612-$AC$582),IF(DATE($C612,9,15)&gt;=$V$582,$Y$582*(1+($U$582)/100)^MAX(0,$C612-$AB$582),0)))))</f>
      </c>
      <c r="N612" s="43">
        <f>IF($S$582=0,0,IF(OR(DATE($C612,10,15)&lt;$S$582,AND($T$582&gt;0,DATE($C612,10,15)&gt;$T$582)),0,IF(DATE($C612,10,15)&gt;=$X$582,$AA$582*(1+($U$582)/100)^MAX(0,$C612-$AD$582),IF(DATE($C612,10,15)&gt;=$W$582,$Z$582*(1+($U$582)/100)^MAX(0,$C612-$AC$582),IF(DATE($C612,10,15)&gt;=$V$582,$Y$582*(1+($U$582)/100)^MAX(0,$C612-$AB$582),0)))))</f>
      </c>
      <c r="O612" s="43">
        <f>IF($S$582=0,0,IF(OR(DATE($C612,11,15)&lt;$S$582,AND($T$582&gt;0,DATE($C612,11,15)&gt;$T$582)),0,IF(DATE($C612,11,15)&gt;=$X$582,$AA$582*(1+($U$582)/100)^MAX(0,$C612-$AD$582),IF(DATE($C612,11,15)&gt;=$W$582,$Z$582*(1+($U$582)/100)^MAX(0,$C612-$AC$582),IF(DATE($C612,11,15)&gt;=$V$582,$Y$582*(1+($U$582)/100)^MAX(0,$C612-$AB$582),0)))))</f>
      </c>
      <c r="P612" s="43">
        <f>IF($S$582=0,0,IF(OR(DATE($C612,12,15)&lt;$S$582,AND($T$582&gt;0,DATE($C612,12,15)&gt;$T$582)),0,IF(DATE($C612,12,15)&gt;=$X$582,$AA$582*(1+($U$582)/100)^MAX(0,$C612-$AD$582),IF(DATE($C612,12,15)&gt;=$W$582,$Z$582*(1+($U$582)/100)^MAX(0,$C612-$AC$582),IF(DATE($C612,12,15)&gt;=$V$582,$Y$582*(1+($U$582)/100)^MAX(0,$C612-$AB$582),0)))))</f>
      </c>
      <c r="Q612" s="43">
        <f>SUM($E612:$P612)</f>
      </c>
    </row>
    <row r="613">
      <c r="A613"/>
      <c r="B613">
        <v>20</v>
      </c>
      <c r="C613" s="43">
        <f>Jahr+0</f>
      </c>
      <c r="D613" s="43">
        <f>INDEX(MvObj,20)</f>
      </c>
      <c r="E613" s="43">
        <f>IF($S$613=0,0,IF(OR(DATE($C613,1,15)&lt;$S$613,AND($T$613&gt;0,DATE($C613,1,15)&gt;$T$613)),0,IF(DATE($C613,1,15)&gt;=$X$613,$AA$613*(1+($U$613)/100)^MAX(0,$C613-$AD$613),IF(DATE($C613,1,15)&gt;=$W$613,$Z$613*(1+($U$613)/100)^MAX(0,$C613-$AC$613),IF(DATE($C613,1,15)&gt;=$V$613,$Y$613*(1+($U$613)/100)^MAX(0,$C613-$AB$613),0)))))</f>
      </c>
      <c r="F613" s="43">
        <f>IF($S$613=0,0,IF(OR(DATE($C613,2,15)&lt;$S$613,AND($T$613&gt;0,DATE($C613,2,15)&gt;$T$613)),0,IF(DATE($C613,2,15)&gt;=$X$613,$AA$613*(1+($U$613)/100)^MAX(0,$C613-$AD$613),IF(DATE($C613,2,15)&gt;=$W$613,$Z$613*(1+($U$613)/100)^MAX(0,$C613-$AC$613),IF(DATE($C613,2,15)&gt;=$V$613,$Y$613*(1+($U$613)/100)^MAX(0,$C613-$AB$613),0)))))</f>
      </c>
      <c r="G613" s="43">
        <f>IF($S$613=0,0,IF(OR(DATE($C613,3,15)&lt;$S$613,AND($T$613&gt;0,DATE($C613,3,15)&gt;$T$613)),0,IF(DATE($C613,3,15)&gt;=$X$613,$AA$613*(1+($U$613)/100)^MAX(0,$C613-$AD$613),IF(DATE($C613,3,15)&gt;=$W$613,$Z$613*(1+($U$613)/100)^MAX(0,$C613-$AC$613),IF(DATE($C613,3,15)&gt;=$V$613,$Y$613*(1+($U$613)/100)^MAX(0,$C613-$AB$613),0)))))</f>
      </c>
      <c r="H613" s="43">
        <f>IF($S$613=0,0,IF(OR(DATE($C613,4,15)&lt;$S$613,AND($T$613&gt;0,DATE($C613,4,15)&gt;$T$613)),0,IF(DATE($C613,4,15)&gt;=$X$613,$AA$613*(1+($U$613)/100)^MAX(0,$C613-$AD$613),IF(DATE($C613,4,15)&gt;=$W$613,$Z$613*(1+($U$613)/100)^MAX(0,$C613-$AC$613),IF(DATE($C613,4,15)&gt;=$V$613,$Y$613*(1+($U$613)/100)^MAX(0,$C613-$AB$613),0)))))</f>
      </c>
      <c r="I613" s="43">
        <f>IF($S$613=0,0,IF(OR(DATE($C613,5,15)&lt;$S$613,AND($T$613&gt;0,DATE($C613,5,15)&gt;$T$613)),0,IF(DATE($C613,5,15)&gt;=$X$613,$AA$613*(1+($U$613)/100)^MAX(0,$C613-$AD$613),IF(DATE($C613,5,15)&gt;=$W$613,$Z$613*(1+($U$613)/100)^MAX(0,$C613-$AC$613),IF(DATE($C613,5,15)&gt;=$V$613,$Y$613*(1+($U$613)/100)^MAX(0,$C613-$AB$613),0)))))</f>
      </c>
      <c r="J613" s="43">
        <f>IF($S$613=0,0,IF(OR(DATE($C613,6,15)&lt;$S$613,AND($T$613&gt;0,DATE($C613,6,15)&gt;$T$613)),0,IF(DATE($C613,6,15)&gt;=$X$613,$AA$613*(1+($U$613)/100)^MAX(0,$C613-$AD$613),IF(DATE($C613,6,15)&gt;=$W$613,$Z$613*(1+($U$613)/100)^MAX(0,$C613-$AC$613),IF(DATE($C613,6,15)&gt;=$V$613,$Y$613*(1+($U$613)/100)^MAX(0,$C613-$AB$613),0)))))</f>
      </c>
      <c r="K613" s="43">
        <f>IF($S$613=0,0,IF(OR(DATE($C613,7,15)&lt;$S$613,AND($T$613&gt;0,DATE($C613,7,15)&gt;$T$613)),0,IF(DATE($C613,7,15)&gt;=$X$613,$AA$613*(1+($U$613)/100)^MAX(0,$C613-$AD$613),IF(DATE($C613,7,15)&gt;=$W$613,$Z$613*(1+($U$613)/100)^MAX(0,$C613-$AC$613),IF(DATE($C613,7,15)&gt;=$V$613,$Y$613*(1+($U$613)/100)^MAX(0,$C613-$AB$613),0)))))</f>
      </c>
      <c r="L613" s="43">
        <f>IF($S$613=0,0,IF(OR(DATE($C613,8,15)&lt;$S$613,AND($T$613&gt;0,DATE($C613,8,15)&gt;$T$613)),0,IF(DATE($C613,8,15)&gt;=$X$613,$AA$613*(1+($U$613)/100)^MAX(0,$C613-$AD$613),IF(DATE($C613,8,15)&gt;=$W$613,$Z$613*(1+($U$613)/100)^MAX(0,$C613-$AC$613),IF(DATE($C613,8,15)&gt;=$V$613,$Y$613*(1+($U$613)/100)^MAX(0,$C613-$AB$613),0)))))</f>
      </c>
      <c r="M613" s="43">
        <f>IF($S$613=0,0,IF(OR(DATE($C613,9,15)&lt;$S$613,AND($T$613&gt;0,DATE($C613,9,15)&gt;$T$613)),0,IF(DATE($C613,9,15)&gt;=$X$613,$AA$613*(1+($U$613)/100)^MAX(0,$C613-$AD$613),IF(DATE($C613,9,15)&gt;=$W$613,$Z$613*(1+($U$613)/100)^MAX(0,$C613-$AC$613),IF(DATE($C613,9,15)&gt;=$V$613,$Y$613*(1+($U$613)/100)^MAX(0,$C613-$AB$613),0)))))</f>
      </c>
      <c r="N613" s="43">
        <f>IF($S$613=0,0,IF(OR(DATE($C613,10,15)&lt;$S$613,AND($T$613&gt;0,DATE($C613,10,15)&gt;$T$613)),0,IF(DATE($C613,10,15)&gt;=$X$613,$AA$613*(1+($U$613)/100)^MAX(0,$C613-$AD$613),IF(DATE($C613,10,15)&gt;=$W$613,$Z$613*(1+($U$613)/100)^MAX(0,$C613-$AC$613),IF(DATE($C613,10,15)&gt;=$V$613,$Y$613*(1+($U$613)/100)^MAX(0,$C613-$AB$613),0)))))</f>
      </c>
      <c r="O613" s="43">
        <f>IF($S$613=0,0,IF(OR(DATE($C613,11,15)&lt;$S$613,AND($T$613&gt;0,DATE($C613,11,15)&gt;$T$613)),0,IF(DATE($C613,11,15)&gt;=$X$613,$AA$613*(1+($U$613)/100)^MAX(0,$C613-$AD$613),IF(DATE($C613,11,15)&gt;=$W$613,$Z$613*(1+($U$613)/100)^MAX(0,$C613-$AC$613),IF(DATE($C613,11,15)&gt;=$V$613,$Y$613*(1+($U$613)/100)^MAX(0,$C613-$AB$613),0)))))</f>
      </c>
      <c r="P613" s="43">
        <f>IF($S$613=0,0,IF(OR(DATE($C613,12,15)&lt;$S$613,AND($T$613&gt;0,DATE($C613,12,15)&gt;$T$613)),0,IF(DATE($C613,12,15)&gt;=$X$613,$AA$613*(1+($U$613)/100)^MAX(0,$C613-$AD$613),IF(DATE($C613,12,15)&gt;=$W$613,$Z$613*(1+($U$613)/100)^MAX(0,$C613-$AC$613),IF(DATE($C613,12,15)&gt;=$V$613,$Y$613*(1+($U$613)/100)^MAX(0,$C613-$AB$613),0)))))</f>
      </c>
      <c r="Q613" s="43">
        <f>SUM($E613:$P613)</f>
      </c>
      <c r="R613"/>
      <c r="S613" s="43">
        <f>IF(INDEX(MvBeginn,20)="",0,INDEX(MvBeginn,20))</f>
      </c>
      <c r="T613" s="43">
        <f>INDEX(MvEnde,20)</f>
      </c>
      <c r="U613" s="43">
        <f>INDEX(MvSatz,20)</f>
      </c>
      <c r="V613" s="43">
        <f>INDEX(MvKey1,20)</f>
      </c>
      <c r="W613" s="43">
        <f>INDEX(MvKey2,20)</f>
      </c>
      <c r="X613" s="43">
        <f>INDEX(MvKey3,20)</f>
      </c>
      <c r="Y613" s="43">
        <f>INDEX(MvKalt1,20)</f>
      </c>
      <c r="Z613" s="43">
        <f>INDEX(MvKalt2,20)</f>
      </c>
      <c r="AA613" s="43">
        <f>INDEX(MvKalt3,20)</f>
      </c>
      <c r="AB613" s="43">
        <f>MAX(YEAR(INDEX(MvAb1,20)),Jahr)</f>
      </c>
      <c r="AC613" s="43">
        <f>MAX(YEAR(INDEX(MvAb2,20)),Jahr)</f>
      </c>
      <c r="AD613" s="43">
        <f>MAX(YEAR(INDEX(MvAb3,20)),Jahr)</f>
      </c>
    </row>
    <row r="614">
      <c r="A614"/>
      <c r="B614">
        <v>20</v>
      </c>
      <c r="C614" s="43">
        <f>Jahr+1</f>
      </c>
      <c r="D614" s="43">
        <f>INDEX(MvObj,20)</f>
      </c>
      <c r="E614" s="43">
        <f>IF($S$613=0,0,IF(OR(DATE($C614,1,15)&lt;$S$613,AND($T$613&gt;0,DATE($C614,1,15)&gt;$T$613)),0,IF(DATE($C614,1,15)&gt;=$X$613,$AA$613*(1+($U$613)/100)^MAX(0,$C614-$AD$613),IF(DATE($C614,1,15)&gt;=$W$613,$Z$613*(1+($U$613)/100)^MAX(0,$C614-$AC$613),IF(DATE($C614,1,15)&gt;=$V$613,$Y$613*(1+($U$613)/100)^MAX(0,$C614-$AB$613),0)))))</f>
      </c>
      <c r="F614" s="43">
        <f>IF($S$613=0,0,IF(OR(DATE($C614,2,15)&lt;$S$613,AND($T$613&gt;0,DATE($C614,2,15)&gt;$T$613)),0,IF(DATE($C614,2,15)&gt;=$X$613,$AA$613*(1+($U$613)/100)^MAX(0,$C614-$AD$613),IF(DATE($C614,2,15)&gt;=$W$613,$Z$613*(1+($U$613)/100)^MAX(0,$C614-$AC$613),IF(DATE($C614,2,15)&gt;=$V$613,$Y$613*(1+($U$613)/100)^MAX(0,$C614-$AB$613),0)))))</f>
      </c>
      <c r="G614" s="43">
        <f>IF($S$613=0,0,IF(OR(DATE($C614,3,15)&lt;$S$613,AND($T$613&gt;0,DATE($C614,3,15)&gt;$T$613)),0,IF(DATE($C614,3,15)&gt;=$X$613,$AA$613*(1+($U$613)/100)^MAX(0,$C614-$AD$613),IF(DATE($C614,3,15)&gt;=$W$613,$Z$613*(1+($U$613)/100)^MAX(0,$C614-$AC$613),IF(DATE($C614,3,15)&gt;=$V$613,$Y$613*(1+($U$613)/100)^MAX(0,$C614-$AB$613),0)))))</f>
      </c>
      <c r="H614" s="43">
        <f>IF($S$613=0,0,IF(OR(DATE($C614,4,15)&lt;$S$613,AND($T$613&gt;0,DATE($C614,4,15)&gt;$T$613)),0,IF(DATE($C614,4,15)&gt;=$X$613,$AA$613*(1+($U$613)/100)^MAX(0,$C614-$AD$613),IF(DATE($C614,4,15)&gt;=$W$613,$Z$613*(1+($U$613)/100)^MAX(0,$C614-$AC$613),IF(DATE($C614,4,15)&gt;=$V$613,$Y$613*(1+($U$613)/100)^MAX(0,$C614-$AB$613),0)))))</f>
      </c>
      <c r="I614" s="43">
        <f>IF($S$613=0,0,IF(OR(DATE($C614,5,15)&lt;$S$613,AND($T$613&gt;0,DATE($C614,5,15)&gt;$T$613)),0,IF(DATE($C614,5,15)&gt;=$X$613,$AA$613*(1+($U$613)/100)^MAX(0,$C614-$AD$613),IF(DATE($C614,5,15)&gt;=$W$613,$Z$613*(1+($U$613)/100)^MAX(0,$C614-$AC$613),IF(DATE($C614,5,15)&gt;=$V$613,$Y$613*(1+($U$613)/100)^MAX(0,$C614-$AB$613),0)))))</f>
      </c>
      <c r="J614" s="43">
        <f>IF($S$613=0,0,IF(OR(DATE($C614,6,15)&lt;$S$613,AND($T$613&gt;0,DATE($C614,6,15)&gt;$T$613)),0,IF(DATE($C614,6,15)&gt;=$X$613,$AA$613*(1+($U$613)/100)^MAX(0,$C614-$AD$613),IF(DATE($C614,6,15)&gt;=$W$613,$Z$613*(1+($U$613)/100)^MAX(0,$C614-$AC$613),IF(DATE($C614,6,15)&gt;=$V$613,$Y$613*(1+($U$613)/100)^MAX(0,$C614-$AB$613),0)))))</f>
      </c>
      <c r="K614" s="43">
        <f>IF($S$613=0,0,IF(OR(DATE($C614,7,15)&lt;$S$613,AND($T$613&gt;0,DATE($C614,7,15)&gt;$T$613)),0,IF(DATE($C614,7,15)&gt;=$X$613,$AA$613*(1+($U$613)/100)^MAX(0,$C614-$AD$613),IF(DATE($C614,7,15)&gt;=$W$613,$Z$613*(1+($U$613)/100)^MAX(0,$C614-$AC$613),IF(DATE($C614,7,15)&gt;=$V$613,$Y$613*(1+($U$613)/100)^MAX(0,$C614-$AB$613),0)))))</f>
      </c>
      <c r="L614" s="43">
        <f>IF($S$613=0,0,IF(OR(DATE($C614,8,15)&lt;$S$613,AND($T$613&gt;0,DATE($C614,8,15)&gt;$T$613)),0,IF(DATE($C614,8,15)&gt;=$X$613,$AA$613*(1+($U$613)/100)^MAX(0,$C614-$AD$613),IF(DATE($C614,8,15)&gt;=$W$613,$Z$613*(1+($U$613)/100)^MAX(0,$C614-$AC$613),IF(DATE($C614,8,15)&gt;=$V$613,$Y$613*(1+($U$613)/100)^MAX(0,$C614-$AB$613),0)))))</f>
      </c>
      <c r="M614" s="43">
        <f>IF($S$613=0,0,IF(OR(DATE($C614,9,15)&lt;$S$613,AND($T$613&gt;0,DATE($C614,9,15)&gt;$T$613)),0,IF(DATE($C614,9,15)&gt;=$X$613,$AA$613*(1+($U$613)/100)^MAX(0,$C614-$AD$613),IF(DATE($C614,9,15)&gt;=$W$613,$Z$613*(1+($U$613)/100)^MAX(0,$C614-$AC$613),IF(DATE($C614,9,15)&gt;=$V$613,$Y$613*(1+($U$613)/100)^MAX(0,$C614-$AB$613),0)))))</f>
      </c>
      <c r="N614" s="43">
        <f>IF($S$613=0,0,IF(OR(DATE($C614,10,15)&lt;$S$613,AND($T$613&gt;0,DATE($C614,10,15)&gt;$T$613)),0,IF(DATE($C614,10,15)&gt;=$X$613,$AA$613*(1+($U$613)/100)^MAX(0,$C614-$AD$613),IF(DATE($C614,10,15)&gt;=$W$613,$Z$613*(1+($U$613)/100)^MAX(0,$C614-$AC$613),IF(DATE($C614,10,15)&gt;=$V$613,$Y$613*(1+($U$613)/100)^MAX(0,$C614-$AB$613),0)))))</f>
      </c>
      <c r="O614" s="43">
        <f>IF($S$613=0,0,IF(OR(DATE($C614,11,15)&lt;$S$613,AND($T$613&gt;0,DATE($C614,11,15)&gt;$T$613)),0,IF(DATE($C614,11,15)&gt;=$X$613,$AA$613*(1+($U$613)/100)^MAX(0,$C614-$AD$613),IF(DATE($C614,11,15)&gt;=$W$613,$Z$613*(1+($U$613)/100)^MAX(0,$C614-$AC$613),IF(DATE($C614,11,15)&gt;=$V$613,$Y$613*(1+($U$613)/100)^MAX(0,$C614-$AB$613),0)))))</f>
      </c>
      <c r="P614" s="43">
        <f>IF($S$613=0,0,IF(OR(DATE($C614,12,15)&lt;$S$613,AND($T$613&gt;0,DATE($C614,12,15)&gt;$T$613)),0,IF(DATE($C614,12,15)&gt;=$X$613,$AA$613*(1+($U$613)/100)^MAX(0,$C614-$AD$613),IF(DATE($C614,12,15)&gt;=$W$613,$Z$613*(1+($U$613)/100)^MAX(0,$C614-$AC$613),IF(DATE($C614,12,15)&gt;=$V$613,$Y$613*(1+($U$613)/100)^MAX(0,$C614-$AB$613),0)))))</f>
      </c>
      <c r="Q614" s="43">
        <f>SUM($E614:$P614)</f>
      </c>
    </row>
    <row r="615">
      <c r="A615"/>
      <c r="B615">
        <v>20</v>
      </c>
      <c r="C615" s="43">
        <f>Jahr+2</f>
      </c>
      <c r="D615" s="43">
        <f>INDEX(MvObj,20)</f>
      </c>
      <c r="E615" s="43">
        <f>IF($S$613=0,0,IF(OR(DATE($C615,1,15)&lt;$S$613,AND($T$613&gt;0,DATE($C615,1,15)&gt;$T$613)),0,IF(DATE($C615,1,15)&gt;=$X$613,$AA$613*(1+($U$613)/100)^MAX(0,$C615-$AD$613),IF(DATE($C615,1,15)&gt;=$W$613,$Z$613*(1+($U$613)/100)^MAX(0,$C615-$AC$613),IF(DATE($C615,1,15)&gt;=$V$613,$Y$613*(1+($U$613)/100)^MAX(0,$C615-$AB$613),0)))))</f>
      </c>
      <c r="F615" s="43">
        <f>IF($S$613=0,0,IF(OR(DATE($C615,2,15)&lt;$S$613,AND($T$613&gt;0,DATE($C615,2,15)&gt;$T$613)),0,IF(DATE($C615,2,15)&gt;=$X$613,$AA$613*(1+($U$613)/100)^MAX(0,$C615-$AD$613),IF(DATE($C615,2,15)&gt;=$W$613,$Z$613*(1+($U$613)/100)^MAX(0,$C615-$AC$613),IF(DATE($C615,2,15)&gt;=$V$613,$Y$613*(1+($U$613)/100)^MAX(0,$C615-$AB$613),0)))))</f>
      </c>
      <c r="G615" s="43">
        <f>IF($S$613=0,0,IF(OR(DATE($C615,3,15)&lt;$S$613,AND($T$613&gt;0,DATE($C615,3,15)&gt;$T$613)),0,IF(DATE($C615,3,15)&gt;=$X$613,$AA$613*(1+($U$613)/100)^MAX(0,$C615-$AD$613),IF(DATE($C615,3,15)&gt;=$W$613,$Z$613*(1+($U$613)/100)^MAX(0,$C615-$AC$613),IF(DATE($C615,3,15)&gt;=$V$613,$Y$613*(1+($U$613)/100)^MAX(0,$C615-$AB$613),0)))))</f>
      </c>
      <c r="H615" s="43">
        <f>IF($S$613=0,0,IF(OR(DATE($C615,4,15)&lt;$S$613,AND($T$613&gt;0,DATE($C615,4,15)&gt;$T$613)),0,IF(DATE($C615,4,15)&gt;=$X$613,$AA$613*(1+($U$613)/100)^MAX(0,$C615-$AD$613),IF(DATE($C615,4,15)&gt;=$W$613,$Z$613*(1+($U$613)/100)^MAX(0,$C615-$AC$613),IF(DATE($C615,4,15)&gt;=$V$613,$Y$613*(1+($U$613)/100)^MAX(0,$C615-$AB$613),0)))))</f>
      </c>
      <c r="I615" s="43">
        <f>IF($S$613=0,0,IF(OR(DATE($C615,5,15)&lt;$S$613,AND($T$613&gt;0,DATE($C615,5,15)&gt;$T$613)),0,IF(DATE($C615,5,15)&gt;=$X$613,$AA$613*(1+($U$613)/100)^MAX(0,$C615-$AD$613),IF(DATE($C615,5,15)&gt;=$W$613,$Z$613*(1+($U$613)/100)^MAX(0,$C615-$AC$613),IF(DATE($C615,5,15)&gt;=$V$613,$Y$613*(1+($U$613)/100)^MAX(0,$C615-$AB$613),0)))))</f>
      </c>
      <c r="J615" s="43">
        <f>IF($S$613=0,0,IF(OR(DATE($C615,6,15)&lt;$S$613,AND($T$613&gt;0,DATE($C615,6,15)&gt;$T$613)),0,IF(DATE($C615,6,15)&gt;=$X$613,$AA$613*(1+($U$613)/100)^MAX(0,$C615-$AD$613),IF(DATE($C615,6,15)&gt;=$W$613,$Z$613*(1+($U$613)/100)^MAX(0,$C615-$AC$613),IF(DATE($C615,6,15)&gt;=$V$613,$Y$613*(1+($U$613)/100)^MAX(0,$C615-$AB$613),0)))))</f>
      </c>
      <c r="K615" s="43">
        <f>IF($S$613=0,0,IF(OR(DATE($C615,7,15)&lt;$S$613,AND($T$613&gt;0,DATE($C615,7,15)&gt;$T$613)),0,IF(DATE($C615,7,15)&gt;=$X$613,$AA$613*(1+($U$613)/100)^MAX(0,$C615-$AD$613),IF(DATE($C615,7,15)&gt;=$W$613,$Z$613*(1+($U$613)/100)^MAX(0,$C615-$AC$613),IF(DATE($C615,7,15)&gt;=$V$613,$Y$613*(1+($U$613)/100)^MAX(0,$C615-$AB$613),0)))))</f>
      </c>
      <c r="L615" s="43">
        <f>IF($S$613=0,0,IF(OR(DATE($C615,8,15)&lt;$S$613,AND($T$613&gt;0,DATE($C615,8,15)&gt;$T$613)),0,IF(DATE($C615,8,15)&gt;=$X$613,$AA$613*(1+($U$613)/100)^MAX(0,$C615-$AD$613),IF(DATE($C615,8,15)&gt;=$W$613,$Z$613*(1+($U$613)/100)^MAX(0,$C615-$AC$613),IF(DATE($C615,8,15)&gt;=$V$613,$Y$613*(1+($U$613)/100)^MAX(0,$C615-$AB$613),0)))))</f>
      </c>
      <c r="M615" s="43">
        <f>IF($S$613=0,0,IF(OR(DATE($C615,9,15)&lt;$S$613,AND($T$613&gt;0,DATE($C615,9,15)&gt;$T$613)),0,IF(DATE($C615,9,15)&gt;=$X$613,$AA$613*(1+($U$613)/100)^MAX(0,$C615-$AD$613),IF(DATE($C615,9,15)&gt;=$W$613,$Z$613*(1+($U$613)/100)^MAX(0,$C615-$AC$613),IF(DATE($C615,9,15)&gt;=$V$613,$Y$613*(1+($U$613)/100)^MAX(0,$C615-$AB$613),0)))))</f>
      </c>
      <c r="N615" s="43">
        <f>IF($S$613=0,0,IF(OR(DATE($C615,10,15)&lt;$S$613,AND($T$613&gt;0,DATE($C615,10,15)&gt;$T$613)),0,IF(DATE($C615,10,15)&gt;=$X$613,$AA$613*(1+($U$613)/100)^MAX(0,$C615-$AD$613),IF(DATE($C615,10,15)&gt;=$W$613,$Z$613*(1+($U$613)/100)^MAX(0,$C615-$AC$613),IF(DATE($C615,10,15)&gt;=$V$613,$Y$613*(1+($U$613)/100)^MAX(0,$C615-$AB$613),0)))))</f>
      </c>
      <c r="O615" s="43">
        <f>IF($S$613=0,0,IF(OR(DATE($C615,11,15)&lt;$S$613,AND($T$613&gt;0,DATE($C615,11,15)&gt;$T$613)),0,IF(DATE($C615,11,15)&gt;=$X$613,$AA$613*(1+($U$613)/100)^MAX(0,$C615-$AD$613),IF(DATE($C615,11,15)&gt;=$W$613,$Z$613*(1+($U$613)/100)^MAX(0,$C615-$AC$613),IF(DATE($C615,11,15)&gt;=$V$613,$Y$613*(1+($U$613)/100)^MAX(0,$C615-$AB$613),0)))))</f>
      </c>
      <c r="P615" s="43">
        <f>IF($S$613=0,0,IF(OR(DATE($C615,12,15)&lt;$S$613,AND($T$613&gt;0,DATE($C615,12,15)&gt;$T$613)),0,IF(DATE($C615,12,15)&gt;=$X$613,$AA$613*(1+($U$613)/100)^MAX(0,$C615-$AD$613),IF(DATE($C615,12,15)&gt;=$W$613,$Z$613*(1+($U$613)/100)^MAX(0,$C615-$AC$613),IF(DATE($C615,12,15)&gt;=$V$613,$Y$613*(1+($U$613)/100)^MAX(0,$C615-$AB$613),0)))))</f>
      </c>
      <c r="Q615" s="43">
        <f>SUM($E615:$P615)</f>
      </c>
    </row>
    <row r="616">
      <c r="A616"/>
      <c r="B616">
        <v>20</v>
      </c>
      <c r="C616" s="43">
        <f>Jahr+3</f>
      </c>
      <c r="D616" s="43">
        <f>INDEX(MvObj,20)</f>
      </c>
      <c r="E616" s="43">
        <f>IF($S$613=0,0,IF(OR(DATE($C616,1,15)&lt;$S$613,AND($T$613&gt;0,DATE($C616,1,15)&gt;$T$613)),0,IF(DATE($C616,1,15)&gt;=$X$613,$AA$613*(1+($U$613)/100)^MAX(0,$C616-$AD$613),IF(DATE($C616,1,15)&gt;=$W$613,$Z$613*(1+($U$613)/100)^MAX(0,$C616-$AC$613),IF(DATE($C616,1,15)&gt;=$V$613,$Y$613*(1+($U$613)/100)^MAX(0,$C616-$AB$613),0)))))</f>
      </c>
      <c r="F616" s="43">
        <f>IF($S$613=0,0,IF(OR(DATE($C616,2,15)&lt;$S$613,AND($T$613&gt;0,DATE($C616,2,15)&gt;$T$613)),0,IF(DATE($C616,2,15)&gt;=$X$613,$AA$613*(1+($U$613)/100)^MAX(0,$C616-$AD$613),IF(DATE($C616,2,15)&gt;=$W$613,$Z$613*(1+($U$613)/100)^MAX(0,$C616-$AC$613),IF(DATE($C616,2,15)&gt;=$V$613,$Y$613*(1+($U$613)/100)^MAX(0,$C616-$AB$613),0)))))</f>
      </c>
      <c r="G616" s="43">
        <f>IF($S$613=0,0,IF(OR(DATE($C616,3,15)&lt;$S$613,AND($T$613&gt;0,DATE($C616,3,15)&gt;$T$613)),0,IF(DATE($C616,3,15)&gt;=$X$613,$AA$613*(1+($U$613)/100)^MAX(0,$C616-$AD$613),IF(DATE($C616,3,15)&gt;=$W$613,$Z$613*(1+($U$613)/100)^MAX(0,$C616-$AC$613),IF(DATE($C616,3,15)&gt;=$V$613,$Y$613*(1+($U$613)/100)^MAX(0,$C616-$AB$613),0)))))</f>
      </c>
      <c r="H616" s="43">
        <f>IF($S$613=0,0,IF(OR(DATE($C616,4,15)&lt;$S$613,AND($T$613&gt;0,DATE($C616,4,15)&gt;$T$613)),0,IF(DATE($C616,4,15)&gt;=$X$613,$AA$613*(1+($U$613)/100)^MAX(0,$C616-$AD$613),IF(DATE($C616,4,15)&gt;=$W$613,$Z$613*(1+($U$613)/100)^MAX(0,$C616-$AC$613),IF(DATE($C616,4,15)&gt;=$V$613,$Y$613*(1+($U$613)/100)^MAX(0,$C616-$AB$613),0)))))</f>
      </c>
      <c r="I616" s="43">
        <f>IF($S$613=0,0,IF(OR(DATE($C616,5,15)&lt;$S$613,AND($T$613&gt;0,DATE($C616,5,15)&gt;$T$613)),0,IF(DATE($C616,5,15)&gt;=$X$613,$AA$613*(1+($U$613)/100)^MAX(0,$C616-$AD$613),IF(DATE($C616,5,15)&gt;=$W$613,$Z$613*(1+($U$613)/100)^MAX(0,$C616-$AC$613),IF(DATE($C616,5,15)&gt;=$V$613,$Y$613*(1+($U$613)/100)^MAX(0,$C616-$AB$613),0)))))</f>
      </c>
      <c r="J616" s="43">
        <f>IF($S$613=0,0,IF(OR(DATE($C616,6,15)&lt;$S$613,AND($T$613&gt;0,DATE($C616,6,15)&gt;$T$613)),0,IF(DATE($C616,6,15)&gt;=$X$613,$AA$613*(1+($U$613)/100)^MAX(0,$C616-$AD$613),IF(DATE($C616,6,15)&gt;=$W$613,$Z$613*(1+($U$613)/100)^MAX(0,$C616-$AC$613),IF(DATE($C616,6,15)&gt;=$V$613,$Y$613*(1+($U$613)/100)^MAX(0,$C616-$AB$613),0)))))</f>
      </c>
      <c r="K616" s="43">
        <f>IF($S$613=0,0,IF(OR(DATE($C616,7,15)&lt;$S$613,AND($T$613&gt;0,DATE($C616,7,15)&gt;$T$613)),0,IF(DATE($C616,7,15)&gt;=$X$613,$AA$613*(1+($U$613)/100)^MAX(0,$C616-$AD$613),IF(DATE($C616,7,15)&gt;=$W$613,$Z$613*(1+($U$613)/100)^MAX(0,$C616-$AC$613),IF(DATE($C616,7,15)&gt;=$V$613,$Y$613*(1+($U$613)/100)^MAX(0,$C616-$AB$613),0)))))</f>
      </c>
      <c r="L616" s="43">
        <f>IF($S$613=0,0,IF(OR(DATE($C616,8,15)&lt;$S$613,AND($T$613&gt;0,DATE($C616,8,15)&gt;$T$613)),0,IF(DATE($C616,8,15)&gt;=$X$613,$AA$613*(1+($U$613)/100)^MAX(0,$C616-$AD$613),IF(DATE($C616,8,15)&gt;=$W$613,$Z$613*(1+($U$613)/100)^MAX(0,$C616-$AC$613),IF(DATE($C616,8,15)&gt;=$V$613,$Y$613*(1+($U$613)/100)^MAX(0,$C616-$AB$613),0)))))</f>
      </c>
      <c r="M616" s="43">
        <f>IF($S$613=0,0,IF(OR(DATE($C616,9,15)&lt;$S$613,AND($T$613&gt;0,DATE($C616,9,15)&gt;$T$613)),0,IF(DATE($C616,9,15)&gt;=$X$613,$AA$613*(1+($U$613)/100)^MAX(0,$C616-$AD$613),IF(DATE($C616,9,15)&gt;=$W$613,$Z$613*(1+($U$613)/100)^MAX(0,$C616-$AC$613),IF(DATE($C616,9,15)&gt;=$V$613,$Y$613*(1+($U$613)/100)^MAX(0,$C616-$AB$613),0)))))</f>
      </c>
      <c r="N616" s="43">
        <f>IF($S$613=0,0,IF(OR(DATE($C616,10,15)&lt;$S$613,AND($T$613&gt;0,DATE($C616,10,15)&gt;$T$613)),0,IF(DATE($C616,10,15)&gt;=$X$613,$AA$613*(1+($U$613)/100)^MAX(0,$C616-$AD$613),IF(DATE($C616,10,15)&gt;=$W$613,$Z$613*(1+($U$613)/100)^MAX(0,$C616-$AC$613),IF(DATE($C616,10,15)&gt;=$V$613,$Y$613*(1+($U$613)/100)^MAX(0,$C616-$AB$613),0)))))</f>
      </c>
      <c r="O616" s="43">
        <f>IF($S$613=0,0,IF(OR(DATE($C616,11,15)&lt;$S$613,AND($T$613&gt;0,DATE($C616,11,15)&gt;$T$613)),0,IF(DATE($C616,11,15)&gt;=$X$613,$AA$613*(1+($U$613)/100)^MAX(0,$C616-$AD$613),IF(DATE($C616,11,15)&gt;=$W$613,$Z$613*(1+($U$613)/100)^MAX(0,$C616-$AC$613),IF(DATE($C616,11,15)&gt;=$V$613,$Y$613*(1+($U$613)/100)^MAX(0,$C616-$AB$613),0)))))</f>
      </c>
      <c r="P616" s="43">
        <f>IF($S$613=0,0,IF(OR(DATE($C616,12,15)&lt;$S$613,AND($T$613&gt;0,DATE($C616,12,15)&gt;$T$613)),0,IF(DATE($C616,12,15)&gt;=$X$613,$AA$613*(1+($U$613)/100)^MAX(0,$C616-$AD$613),IF(DATE($C616,12,15)&gt;=$W$613,$Z$613*(1+($U$613)/100)^MAX(0,$C616-$AC$613),IF(DATE($C616,12,15)&gt;=$V$613,$Y$613*(1+($U$613)/100)^MAX(0,$C616-$AB$613),0)))))</f>
      </c>
      <c r="Q616" s="43">
        <f>SUM($E616:$P616)</f>
      </c>
    </row>
    <row r="617">
      <c r="A617"/>
      <c r="B617">
        <v>20</v>
      </c>
      <c r="C617" s="43">
        <f>Jahr+4</f>
      </c>
      <c r="D617" s="43">
        <f>INDEX(MvObj,20)</f>
      </c>
      <c r="E617" s="43">
        <f>IF($S$613=0,0,IF(OR(DATE($C617,1,15)&lt;$S$613,AND($T$613&gt;0,DATE($C617,1,15)&gt;$T$613)),0,IF(DATE($C617,1,15)&gt;=$X$613,$AA$613*(1+($U$613)/100)^MAX(0,$C617-$AD$613),IF(DATE($C617,1,15)&gt;=$W$613,$Z$613*(1+($U$613)/100)^MAX(0,$C617-$AC$613),IF(DATE($C617,1,15)&gt;=$V$613,$Y$613*(1+($U$613)/100)^MAX(0,$C617-$AB$613),0)))))</f>
      </c>
      <c r="F617" s="43">
        <f>IF($S$613=0,0,IF(OR(DATE($C617,2,15)&lt;$S$613,AND($T$613&gt;0,DATE($C617,2,15)&gt;$T$613)),0,IF(DATE($C617,2,15)&gt;=$X$613,$AA$613*(1+($U$613)/100)^MAX(0,$C617-$AD$613),IF(DATE($C617,2,15)&gt;=$W$613,$Z$613*(1+($U$613)/100)^MAX(0,$C617-$AC$613),IF(DATE($C617,2,15)&gt;=$V$613,$Y$613*(1+($U$613)/100)^MAX(0,$C617-$AB$613),0)))))</f>
      </c>
      <c r="G617" s="43">
        <f>IF($S$613=0,0,IF(OR(DATE($C617,3,15)&lt;$S$613,AND($T$613&gt;0,DATE($C617,3,15)&gt;$T$613)),0,IF(DATE($C617,3,15)&gt;=$X$613,$AA$613*(1+($U$613)/100)^MAX(0,$C617-$AD$613),IF(DATE($C617,3,15)&gt;=$W$613,$Z$613*(1+($U$613)/100)^MAX(0,$C617-$AC$613),IF(DATE($C617,3,15)&gt;=$V$613,$Y$613*(1+($U$613)/100)^MAX(0,$C617-$AB$613),0)))))</f>
      </c>
      <c r="H617" s="43">
        <f>IF($S$613=0,0,IF(OR(DATE($C617,4,15)&lt;$S$613,AND($T$613&gt;0,DATE($C617,4,15)&gt;$T$613)),0,IF(DATE($C617,4,15)&gt;=$X$613,$AA$613*(1+($U$613)/100)^MAX(0,$C617-$AD$613),IF(DATE($C617,4,15)&gt;=$W$613,$Z$613*(1+($U$613)/100)^MAX(0,$C617-$AC$613),IF(DATE($C617,4,15)&gt;=$V$613,$Y$613*(1+($U$613)/100)^MAX(0,$C617-$AB$613),0)))))</f>
      </c>
      <c r="I617" s="43">
        <f>IF($S$613=0,0,IF(OR(DATE($C617,5,15)&lt;$S$613,AND($T$613&gt;0,DATE($C617,5,15)&gt;$T$613)),0,IF(DATE($C617,5,15)&gt;=$X$613,$AA$613*(1+($U$613)/100)^MAX(0,$C617-$AD$613),IF(DATE($C617,5,15)&gt;=$W$613,$Z$613*(1+($U$613)/100)^MAX(0,$C617-$AC$613),IF(DATE($C617,5,15)&gt;=$V$613,$Y$613*(1+($U$613)/100)^MAX(0,$C617-$AB$613),0)))))</f>
      </c>
      <c r="J617" s="43">
        <f>IF($S$613=0,0,IF(OR(DATE($C617,6,15)&lt;$S$613,AND($T$613&gt;0,DATE($C617,6,15)&gt;$T$613)),0,IF(DATE($C617,6,15)&gt;=$X$613,$AA$613*(1+($U$613)/100)^MAX(0,$C617-$AD$613),IF(DATE($C617,6,15)&gt;=$W$613,$Z$613*(1+($U$613)/100)^MAX(0,$C617-$AC$613),IF(DATE($C617,6,15)&gt;=$V$613,$Y$613*(1+($U$613)/100)^MAX(0,$C617-$AB$613),0)))))</f>
      </c>
      <c r="K617" s="43">
        <f>IF($S$613=0,0,IF(OR(DATE($C617,7,15)&lt;$S$613,AND($T$613&gt;0,DATE($C617,7,15)&gt;$T$613)),0,IF(DATE($C617,7,15)&gt;=$X$613,$AA$613*(1+($U$613)/100)^MAX(0,$C617-$AD$613),IF(DATE($C617,7,15)&gt;=$W$613,$Z$613*(1+($U$613)/100)^MAX(0,$C617-$AC$613),IF(DATE($C617,7,15)&gt;=$V$613,$Y$613*(1+($U$613)/100)^MAX(0,$C617-$AB$613),0)))))</f>
      </c>
      <c r="L617" s="43">
        <f>IF($S$613=0,0,IF(OR(DATE($C617,8,15)&lt;$S$613,AND($T$613&gt;0,DATE($C617,8,15)&gt;$T$613)),0,IF(DATE($C617,8,15)&gt;=$X$613,$AA$613*(1+($U$613)/100)^MAX(0,$C617-$AD$613),IF(DATE($C617,8,15)&gt;=$W$613,$Z$613*(1+($U$613)/100)^MAX(0,$C617-$AC$613),IF(DATE($C617,8,15)&gt;=$V$613,$Y$613*(1+($U$613)/100)^MAX(0,$C617-$AB$613),0)))))</f>
      </c>
      <c r="M617" s="43">
        <f>IF($S$613=0,0,IF(OR(DATE($C617,9,15)&lt;$S$613,AND($T$613&gt;0,DATE($C617,9,15)&gt;$T$613)),0,IF(DATE($C617,9,15)&gt;=$X$613,$AA$613*(1+($U$613)/100)^MAX(0,$C617-$AD$613),IF(DATE($C617,9,15)&gt;=$W$613,$Z$613*(1+($U$613)/100)^MAX(0,$C617-$AC$613),IF(DATE($C617,9,15)&gt;=$V$613,$Y$613*(1+($U$613)/100)^MAX(0,$C617-$AB$613),0)))))</f>
      </c>
      <c r="N617" s="43">
        <f>IF($S$613=0,0,IF(OR(DATE($C617,10,15)&lt;$S$613,AND($T$613&gt;0,DATE($C617,10,15)&gt;$T$613)),0,IF(DATE($C617,10,15)&gt;=$X$613,$AA$613*(1+($U$613)/100)^MAX(0,$C617-$AD$613),IF(DATE($C617,10,15)&gt;=$W$613,$Z$613*(1+($U$613)/100)^MAX(0,$C617-$AC$613),IF(DATE($C617,10,15)&gt;=$V$613,$Y$613*(1+($U$613)/100)^MAX(0,$C617-$AB$613),0)))))</f>
      </c>
      <c r="O617" s="43">
        <f>IF($S$613=0,0,IF(OR(DATE($C617,11,15)&lt;$S$613,AND($T$613&gt;0,DATE($C617,11,15)&gt;$T$613)),0,IF(DATE($C617,11,15)&gt;=$X$613,$AA$613*(1+($U$613)/100)^MAX(0,$C617-$AD$613),IF(DATE($C617,11,15)&gt;=$W$613,$Z$613*(1+($U$613)/100)^MAX(0,$C617-$AC$613),IF(DATE($C617,11,15)&gt;=$V$613,$Y$613*(1+($U$613)/100)^MAX(0,$C617-$AB$613),0)))))</f>
      </c>
      <c r="P617" s="43">
        <f>IF($S$613=0,0,IF(OR(DATE($C617,12,15)&lt;$S$613,AND($T$613&gt;0,DATE($C617,12,15)&gt;$T$613)),0,IF(DATE($C617,12,15)&gt;=$X$613,$AA$613*(1+($U$613)/100)^MAX(0,$C617-$AD$613),IF(DATE($C617,12,15)&gt;=$W$613,$Z$613*(1+($U$613)/100)^MAX(0,$C617-$AC$613),IF(DATE($C617,12,15)&gt;=$V$613,$Y$613*(1+($U$613)/100)^MAX(0,$C617-$AB$613),0)))))</f>
      </c>
      <c r="Q617" s="43">
        <f>SUM($E617:$P617)</f>
      </c>
    </row>
    <row r="618">
      <c r="A618"/>
      <c r="B618">
        <v>20</v>
      </c>
      <c r="C618" s="43">
        <f>Jahr+5</f>
      </c>
      <c r="D618" s="43">
        <f>INDEX(MvObj,20)</f>
      </c>
      <c r="E618" s="43">
        <f>IF($S$613=0,0,IF(OR(DATE($C618,1,15)&lt;$S$613,AND($T$613&gt;0,DATE($C618,1,15)&gt;$T$613)),0,IF(DATE($C618,1,15)&gt;=$X$613,$AA$613*(1+($U$613)/100)^MAX(0,$C618-$AD$613),IF(DATE($C618,1,15)&gt;=$W$613,$Z$613*(1+($U$613)/100)^MAX(0,$C618-$AC$613),IF(DATE($C618,1,15)&gt;=$V$613,$Y$613*(1+($U$613)/100)^MAX(0,$C618-$AB$613),0)))))</f>
      </c>
      <c r="F618" s="43">
        <f>IF($S$613=0,0,IF(OR(DATE($C618,2,15)&lt;$S$613,AND($T$613&gt;0,DATE($C618,2,15)&gt;$T$613)),0,IF(DATE($C618,2,15)&gt;=$X$613,$AA$613*(1+($U$613)/100)^MAX(0,$C618-$AD$613),IF(DATE($C618,2,15)&gt;=$W$613,$Z$613*(1+($U$613)/100)^MAX(0,$C618-$AC$613),IF(DATE($C618,2,15)&gt;=$V$613,$Y$613*(1+($U$613)/100)^MAX(0,$C618-$AB$613),0)))))</f>
      </c>
      <c r="G618" s="43">
        <f>IF($S$613=0,0,IF(OR(DATE($C618,3,15)&lt;$S$613,AND($T$613&gt;0,DATE($C618,3,15)&gt;$T$613)),0,IF(DATE($C618,3,15)&gt;=$X$613,$AA$613*(1+($U$613)/100)^MAX(0,$C618-$AD$613),IF(DATE($C618,3,15)&gt;=$W$613,$Z$613*(1+($U$613)/100)^MAX(0,$C618-$AC$613),IF(DATE($C618,3,15)&gt;=$V$613,$Y$613*(1+($U$613)/100)^MAX(0,$C618-$AB$613),0)))))</f>
      </c>
      <c r="H618" s="43">
        <f>IF($S$613=0,0,IF(OR(DATE($C618,4,15)&lt;$S$613,AND($T$613&gt;0,DATE($C618,4,15)&gt;$T$613)),0,IF(DATE($C618,4,15)&gt;=$X$613,$AA$613*(1+($U$613)/100)^MAX(0,$C618-$AD$613),IF(DATE($C618,4,15)&gt;=$W$613,$Z$613*(1+($U$613)/100)^MAX(0,$C618-$AC$613),IF(DATE($C618,4,15)&gt;=$V$613,$Y$613*(1+($U$613)/100)^MAX(0,$C618-$AB$613),0)))))</f>
      </c>
      <c r="I618" s="43">
        <f>IF($S$613=0,0,IF(OR(DATE($C618,5,15)&lt;$S$613,AND($T$613&gt;0,DATE($C618,5,15)&gt;$T$613)),0,IF(DATE($C618,5,15)&gt;=$X$613,$AA$613*(1+($U$613)/100)^MAX(0,$C618-$AD$613),IF(DATE($C618,5,15)&gt;=$W$613,$Z$613*(1+($U$613)/100)^MAX(0,$C618-$AC$613),IF(DATE($C618,5,15)&gt;=$V$613,$Y$613*(1+($U$613)/100)^MAX(0,$C618-$AB$613),0)))))</f>
      </c>
      <c r="J618" s="43">
        <f>IF($S$613=0,0,IF(OR(DATE($C618,6,15)&lt;$S$613,AND($T$613&gt;0,DATE($C618,6,15)&gt;$T$613)),0,IF(DATE($C618,6,15)&gt;=$X$613,$AA$613*(1+($U$613)/100)^MAX(0,$C618-$AD$613),IF(DATE($C618,6,15)&gt;=$W$613,$Z$613*(1+($U$613)/100)^MAX(0,$C618-$AC$613),IF(DATE($C618,6,15)&gt;=$V$613,$Y$613*(1+($U$613)/100)^MAX(0,$C618-$AB$613),0)))))</f>
      </c>
      <c r="K618" s="43">
        <f>IF($S$613=0,0,IF(OR(DATE($C618,7,15)&lt;$S$613,AND($T$613&gt;0,DATE($C618,7,15)&gt;$T$613)),0,IF(DATE($C618,7,15)&gt;=$X$613,$AA$613*(1+($U$613)/100)^MAX(0,$C618-$AD$613),IF(DATE($C618,7,15)&gt;=$W$613,$Z$613*(1+($U$613)/100)^MAX(0,$C618-$AC$613),IF(DATE($C618,7,15)&gt;=$V$613,$Y$613*(1+($U$613)/100)^MAX(0,$C618-$AB$613),0)))))</f>
      </c>
      <c r="L618" s="43">
        <f>IF($S$613=0,0,IF(OR(DATE($C618,8,15)&lt;$S$613,AND($T$613&gt;0,DATE($C618,8,15)&gt;$T$613)),0,IF(DATE($C618,8,15)&gt;=$X$613,$AA$613*(1+($U$613)/100)^MAX(0,$C618-$AD$613),IF(DATE($C618,8,15)&gt;=$W$613,$Z$613*(1+($U$613)/100)^MAX(0,$C618-$AC$613),IF(DATE($C618,8,15)&gt;=$V$613,$Y$613*(1+($U$613)/100)^MAX(0,$C618-$AB$613),0)))))</f>
      </c>
      <c r="M618" s="43">
        <f>IF($S$613=0,0,IF(OR(DATE($C618,9,15)&lt;$S$613,AND($T$613&gt;0,DATE($C618,9,15)&gt;$T$613)),0,IF(DATE($C618,9,15)&gt;=$X$613,$AA$613*(1+($U$613)/100)^MAX(0,$C618-$AD$613),IF(DATE($C618,9,15)&gt;=$W$613,$Z$613*(1+($U$613)/100)^MAX(0,$C618-$AC$613),IF(DATE($C618,9,15)&gt;=$V$613,$Y$613*(1+($U$613)/100)^MAX(0,$C618-$AB$613),0)))))</f>
      </c>
      <c r="N618" s="43">
        <f>IF($S$613=0,0,IF(OR(DATE($C618,10,15)&lt;$S$613,AND($T$613&gt;0,DATE($C618,10,15)&gt;$T$613)),0,IF(DATE($C618,10,15)&gt;=$X$613,$AA$613*(1+($U$613)/100)^MAX(0,$C618-$AD$613),IF(DATE($C618,10,15)&gt;=$W$613,$Z$613*(1+($U$613)/100)^MAX(0,$C618-$AC$613),IF(DATE($C618,10,15)&gt;=$V$613,$Y$613*(1+($U$613)/100)^MAX(0,$C618-$AB$613),0)))))</f>
      </c>
      <c r="O618" s="43">
        <f>IF($S$613=0,0,IF(OR(DATE($C618,11,15)&lt;$S$613,AND($T$613&gt;0,DATE($C618,11,15)&gt;$T$613)),0,IF(DATE($C618,11,15)&gt;=$X$613,$AA$613*(1+($U$613)/100)^MAX(0,$C618-$AD$613),IF(DATE($C618,11,15)&gt;=$W$613,$Z$613*(1+($U$613)/100)^MAX(0,$C618-$AC$613),IF(DATE($C618,11,15)&gt;=$V$613,$Y$613*(1+($U$613)/100)^MAX(0,$C618-$AB$613),0)))))</f>
      </c>
      <c r="P618" s="43">
        <f>IF($S$613=0,0,IF(OR(DATE($C618,12,15)&lt;$S$613,AND($T$613&gt;0,DATE($C618,12,15)&gt;$T$613)),0,IF(DATE($C618,12,15)&gt;=$X$613,$AA$613*(1+($U$613)/100)^MAX(0,$C618-$AD$613),IF(DATE($C618,12,15)&gt;=$W$613,$Z$613*(1+($U$613)/100)^MAX(0,$C618-$AC$613),IF(DATE($C618,12,15)&gt;=$V$613,$Y$613*(1+($U$613)/100)^MAX(0,$C618-$AB$613),0)))))</f>
      </c>
      <c r="Q618" s="43">
        <f>SUM($E618:$P618)</f>
      </c>
    </row>
    <row r="619">
      <c r="A619"/>
      <c r="B619">
        <v>20</v>
      </c>
      <c r="C619" s="43">
        <f>Jahr+6</f>
      </c>
      <c r="D619" s="43">
        <f>INDEX(MvObj,20)</f>
      </c>
      <c r="E619" s="43">
        <f>IF($S$613=0,0,IF(OR(DATE($C619,1,15)&lt;$S$613,AND($T$613&gt;0,DATE($C619,1,15)&gt;$T$613)),0,IF(DATE($C619,1,15)&gt;=$X$613,$AA$613*(1+($U$613)/100)^MAX(0,$C619-$AD$613),IF(DATE($C619,1,15)&gt;=$W$613,$Z$613*(1+($U$613)/100)^MAX(0,$C619-$AC$613),IF(DATE($C619,1,15)&gt;=$V$613,$Y$613*(1+($U$613)/100)^MAX(0,$C619-$AB$613),0)))))</f>
      </c>
      <c r="F619" s="43">
        <f>IF($S$613=0,0,IF(OR(DATE($C619,2,15)&lt;$S$613,AND($T$613&gt;0,DATE($C619,2,15)&gt;$T$613)),0,IF(DATE($C619,2,15)&gt;=$X$613,$AA$613*(1+($U$613)/100)^MAX(0,$C619-$AD$613),IF(DATE($C619,2,15)&gt;=$W$613,$Z$613*(1+($U$613)/100)^MAX(0,$C619-$AC$613),IF(DATE($C619,2,15)&gt;=$V$613,$Y$613*(1+($U$613)/100)^MAX(0,$C619-$AB$613),0)))))</f>
      </c>
      <c r="G619" s="43">
        <f>IF($S$613=0,0,IF(OR(DATE($C619,3,15)&lt;$S$613,AND($T$613&gt;0,DATE($C619,3,15)&gt;$T$613)),0,IF(DATE($C619,3,15)&gt;=$X$613,$AA$613*(1+($U$613)/100)^MAX(0,$C619-$AD$613),IF(DATE($C619,3,15)&gt;=$W$613,$Z$613*(1+($U$613)/100)^MAX(0,$C619-$AC$613),IF(DATE($C619,3,15)&gt;=$V$613,$Y$613*(1+($U$613)/100)^MAX(0,$C619-$AB$613),0)))))</f>
      </c>
      <c r="H619" s="43">
        <f>IF($S$613=0,0,IF(OR(DATE($C619,4,15)&lt;$S$613,AND($T$613&gt;0,DATE($C619,4,15)&gt;$T$613)),0,IF(DATE($C619,4,15)&gt;=$X$613,$AA$613*(1+($U$613)/100)^MAX(0,$C619-$AD$613),IF(DATE($C619,4,15)&gt;=$W$613,$Z$613*(1+($U$613)/100)^MAX(0,$C619-$AC$613),IF(DATE($C619,4,15)&gt;=$V$613,$Y$613*(1+($U$613)/100)^MAX(0,$C619-$AB$613),0)))))</f>
      </c>
      <c r="I619" s="43">
        <f>IF($S$613=0,0,IF(OR(DATE($C619,5,15)&lt;$S$613,AND($T$613&gt;0,DATE($C619,5,15)&gt;$T$613)),0,IF(DATE($C619,5,15)&gt;=$X$613,$AA$613*(1+($U$613)/100)^MAX(0,$C619-$AD$613),IF(DATE($C619,5,15)&gt;=$W$613,$Z$613*(1+($U$613)/100)^MAX(0,$C619-$AC$613),IF(DATE($C619,5,15)&gt;=$V$613,$Y$613*(1+($U$613)/100)^MAX(0,$C619-$AB$613),0)))))</f>
      </c>
      <c r="J619" s="43">
        <f>IF($S$613=0,0,IF(OR(DATE($C619,6,15)&lt;$S$613,AND($T$613&gt;0,DATE($C619,6,15)&gt;$T$613)),0,IF(DATE($C619,6,15)&gt;=$X$613,$AA$613*(1+($U$613)/100)^MAX(0,$C619-$AD$613),IF(DATE($C619,6,15)&gt;=$W$613,$Z$613*(1+($U$613)/100)^MAX(0,$C619-$AC$613),IF(DATE($C619,6,15)&gt;=$V$613,$Y$613*(1+($U$613)/100)^MAX(0,$C619-$AB$613),0)))))</f>
      </c>
      <c r="K619" s="43">
        <f>IF($S$613=0,0,IF(OR(DATE($C619,7,15)&lt;$S$613,AND($T$613&gt;0,DATE($C619,7,15)&gt;$T$613)),0,IF(DATE($C619,7,15)&gt;=$X$613,$AA$613*(1+($U$613)/100)^MAX(0,$C619-$AD$613),IF(DATE($C619,7,15)&gt;=$W$613,$Z$613*(1+($U$613)/100)^MAX(0,$C619-$AC$613),IF(DATE($C619,7,15)&gt;=$V$613,$Y$613*(1+($U$613)/100)^MAX(0,$C619-$AB$613),0)))))</f>
      </c>
      <c r="L619" s="43">
        <f>IF($S$613=0,0,IF(OR(DATE($C619,8,15)&lt;$S$613,AND($T$613&gt;0,DATE($C619,8,15)&gt;$T$613)),0,IF(DATE($C619,8,15)&gt;=$X$613,$AA$613*(1+($U$613)/100)^MAX(0,$C619-$AD$613),IF(DATE($C619,8,15)&gt;=$W$613,$Z$613*(1+($U$613)/100)^MAX(0,$C619-$AC$613),IF(DATE($C619,8,15)&gt;=$V$613,$Y$613*(1+($U$613)/100)^MAX(0,$C619-$AB$613),0)))))</f>
      </c>
      <c r="M619" s="43">
        <f>IF($S$613=0,0,IF(OR(DATE($C619,9,15)&lt;$S$613,AND($T$613&gt;0,DATE($C619,9,15)&gt;$T$613)),0,IF(DATE($C619,9,15)&gt;=$X$613,$AA$613*(1+($U$613)/100)^MAX(0,$C619-$AD$613),IF(DATE($C619,9,15)&gt;=$W$613,$Z$613*(1+($U$613)/100)^MAX(0,$C619-$AC$613),IF(DATE($C619,9,15)&gt;=$V$613,$Y$613*(1+($U$613)/100)^MAX(0,$C619-$AB$613),0)))))</f>
      </c>
      <c r="N619" s="43">
        <f>IF($S$613=0,0,IF(OR(DATE($C619,10,15)&lt;$S$613,AND($T$613&gt;0,DATE($C619,10,15)&gt;$T$613)),0,IF(DATE($C619,10,15)&gt;=$X$613,$AA$613*(1+($U$613)/100)^MAX(0,$C619-$AD$613),IF(DATE($C619,10,15)&gt;=$W$613,$Z$613*(1+($U$613)/100)^MAX(0,$C619-$AC$613),IF(DATE($C619,10,15)&gt;=$V$613,$Y$613*(1+($U$613)/100)^MAX(0,$C619-$AB$613),0)))))</f>
      </c>
      <c r="O619" s="43">
        <f>IF($S$613=0,0,IF(OR(DATE($C619,11,15)&lt;$S$613,AND($T$613&gt;0,DATE($C619,11,15)&gt;$T$613)),0,IF(DATE($C619,11,15)&gt;=$X$613,$AA$613*(1+($U$613)/100)^MAX(0,$C619-$AD$613),IF(DATE($C619,11,15)&gt;=$W$613,$Z$613*(1+($U$613)/100)^MAX(0,$C619-$AC$613),IF(DATE($C619,11,15)&gt;=$V$613,$Y$613*(1+($U$613)/100)^MAX(0,$C619-$AB$613),0)))))</f>
      </c>
      <c r="P619" s="43">
        <f>IF($S$613=0,0,IF(OR(DATE($C619,12,15)&lt;$S$613,AND($T$613&gt;0,DATE($C619,12,15)&gt;$T$613)),0,IF(DATE($C619,12,15)&gt;=$X$613,$AA$613*(1+($U$613)/100)^MAX(0,$C619-$AD$613),IF(DATE($C619,12,15)&gt;=$W$613,$Z$613*(1+($U$613)/100)^MAX(0,$C619-$AC$613),IF(DATE($C619,12,15)&gt;=$V$613,$Y$613*(1+($U$613)/100)^MAX(0,$C619-$AB$613),0)))))</f>
      </c>
      <c r="Q619" s="43">
        <f>SUM($E619:$P619)</f>
      </c>
    </row>
    <row r="620">
      <c r="A620"/>
      <c r="B620">
        <v>20</v>
      </c>
      <c r="C620" s="43">
        <f>Jahr+7</f>
      </c>
      <c r="D620" s="43">
        <f>INDEX(MvObj,20)</f>
      </c>
      <c r="E620" s="43">
        <f>IF($S$613=0,0,IF(OR(DATE($C620,1,15)&lt;$S$613,AND($T$613&gt;0,DATE($C620,1,15)&gt;$T$613)),0,IF(DATE($C620,1,15)&gt;=$X$613,$AA$613*(1+($U$613)/100)^MAX(0,$C620-$AD$613),IF(DATE($C620,1,15)&gt;=$W$613,$Z$613*(1+($U$613)/100)^MAX(0,$C620-$AC$613),IF(DATE($C620,1,15)&gt;=$V$613,$Y$613*(1+($U$613)/100)^MAX(0,$C620-$AB$613),0)))))</f>
      </c>
      <c r="F620" s="43">
        <f>IF($S$613=0,0,IF(OR(DATE($C620,2,15)&lt;$S$613,AND($T$613&gt;0,DATE($C620,2,15)&gt;$T$613)),0,IF(DATE($C620,2,15)&gt;=$X$613,$AA$613*(1+($U$613)/100)^MAX(0,$C620-$AD$613),IF(DATE($C620,2,15)&gt;=$W$613,$Z$613*(1+($U$613)/100)^MAX(0,$C620-$AC$613),IF(DATE($C620,2,15)&gt;=$V$613,$Y$613*(1+($U$613)/100)^MAX(0,$C620-$AB$613),0)))))</f>
      </c>
      <c r="G620" s="43">
        <f>IF($S$613=0,0,IF(OR(DATE($C620,3,15)&lt;$S$613,AND($T$613&gt;0,DATE($C620,3,15)&gt;$T$613)),0,IF(DATE($C620,3,15)&gt;=$X$613,$AA$613*(1+($U$613)/100)^MAX(0,$C620-$AD$613),IF(DATE($C620,3,15)&gt;=$W$613,$Z$613*(1+($U$613)/100)^MAX(0,$C620-$AC$613),IF(DATE($C620,3,15)&gt;=$V$613,$Y$613*(1+($U$613)/100)^MAX(0,$C620-$AB$613),0)))))</f>
      </c>
      <c r="H620" s="43">
        <f>IF($S$613=0,0,IF(OR(DATE($C620,4,15)&lt;$S$613,AND($T$613&gt;0,DATE($C620,4,15)&gt;$T$613)),0,IF(DATE($C620,4,15)&gt;=$X$613,$AA$613*(1+($U$613)/100)^MAX(0,$C620-$AD$613),IF(DATE($C620,4,15)&gt;=$W$613,$Z$613*(1+($U$613)/100)^MAX(0,$C620-$AC$613),IF(DATE($C620,4,15)&gt;=$V$613,$Y$613*(1+($U$613)/100)^MAX(0,$C620-$AB$613),0)))))</f>
      </c>
      <c r="I620" s="43">
        <f>IF($S$613=0,0,IF(OR(DATE($C620,5,15)&lt;$S$613,AND($T$613&gt;0,DATE($C620,5,15)&gt;$T$613)),0,IF(DATE($C620,5,15)&gt;=$X$613,$AA$613*(1+($U$613)/100)^MAX(0,$C620-$AD$613),IF(DATE($C620,5,15)&gt;=$W$613,$Z$613*(1+($U$613)/100)^MAX(0,$C620-$AC$613),IF(DATE($C620,5,15)&gt;=$V$613,$Y$613*(1+($U$613)/100)^MAX(0,$C620-$AB$613),0)))))</f>
      </c>
      <c r="J620" s="43">
        <f>IF($S$613=0,0,IF(OR(DATE($C620,6,15)&lt;$S$613,AND($T$613&gt;0,DATE($C620,6,15)&gt;$T$613)),0,IF(DATE($C620,6,15)&gt;=$X$613,$AA$613*(1+($U$613)/100)^MAX(0,$C620-$AD$613),IF(DATE($C620,6,15)&gt;=$W$613,$Z$613*(1+($U$613)/100)^MAX(0,$C620-$AC$613),IF(DATE($C620,6,15)&gt;=$V$613,$Y$613*(1+($U$613)/100)^MAX(0,$C620-$AB$613),0)))))</f>
      </c>
      <c r="K620" s="43">
        <f>IF($S$613=0,0,IF(OR(DATE($C620,7,15)&lt;$S$613,AND($T$613&gt;0,DATE($C620,7,15)&gt;$T$613)),0,IF(DATE($C620,7,15)&gt;=$X$613,$AA$613*(1+($U$613)/100)^MAX(0,$C620-$AD$613),IF(DATE($C620,7,15)&gt;=$W$613,$Z$613*(1+($U$613)/100)^MAX(0,$C620-$AC$613),IF(DATE($C620,7,15)&gt;=$V$613,$Y$613*(1+($U$613)/100)^MAX(0,$C620-$AB$613),0)))))</f>
      </c>
      <c r="L620" s="43">
        <f>IF($S$613=0,0,IF(OR(DATE($C620,8,15)&lt;$S$613,AND($T$613&gt;0,DATE($C620,8,15)&gt;$T$613)),0,IF(DATE($C620,8,15)&gt;=$X$613,$AA$613*(1+($U$613)/100)^MAX(0,$C620-$AD$613),IF(DATE($C620,8,15)&gt;=$W$613,$Z$613*(1+($U$613)/100)^MAX(0,$C620-$AC$613),IF(DATE($C620,8,15)&gt;=$V$613,$Y$613*(1+($U$613)/100)^MAX(0,$C620-$AB$613),0)))))</f>
      </c>
      <c r="M620" s="43">
        <f>IF($S$613=0,0,IF(OR(DATE($C620,9,15)&lt;$S$613,AND($T$613&gt;0,DATE($C620,9,15)&gt;$T$613)),0,IF(DATE($C620,9,15)&gt;=$X$613,$AA$613*(1+($U$613)/100)^MAX(0,$C620-$AD$613),IF(DATE($C620,9,15)&gt;=$W$613,$Z$613*(1+($U$613)/100)^MAX(0,$C620-$AC$613),IF(DATE($C620,9,15)&gt;=$V$613,$Y$613*(1+($U$613)/100)^MAX(0,$C620-$AB$613),0)))))</f>
      </c>
      <c r="N620" s="43">
        <f>IF($S$613=0,0,IF(OR(DATE($C620,10,15)&lt;$S$613,AND($T$613&gt;0,DATE($C620,10,15)&gt;$T$613)),0,IF(DATE($C620,10,15)&gt;=$X$613,$AA$613*(1+($U$613)/100)^MAX(0,$C620-$AD$613),IF(DATE($C620,10,15)&gt;=$W$613,$Z$613*(1+($U$613)/100)^MAX(0,$C620-$AC$613),IF(DATE($C620,10,15)&gt;=$V$613,$Y$613*(1+($U$613)/100)^MAX(0,$C620-$AB$613),0)))))</f>
      </c>
      <c r="O620" s="43">
        <f>IF($S$613=0,0,IF(OR(DATE($C620,11,15)&lt;$S$613,AND($T$613&gt;0,DATE($C620,11,15)&gt;$T$613)),0,IF(DATE($C620,11,15)&gt;=$X$613,$AA$613*(1+($U$613)/100)^MAX(0,$C620-$AD$613),IF(DATE($C620,11,15)&gt;=$W$613,$Z$613*(1+($U$613)/100)^MAX(0,$C620-$AC$613),IF(DATE($C620,11,15)&gt;=$V$613,$Y$613*(1+($U$613)/100)^MAX(0,$C620-$AB$613),0)))))</f>
      </c>
      <c r="P620" s="43">
        <f>IF($S$613=0,0,IF(OR(DATE($C620,12,15)&lt;$S$613,AND($T$613&gt;0,DATE($C620,12,15)&gt;$T$613)),0,IF(DATE($C620,12,15)&gt;=$X$613,$AA$613*(1+($U$613)/100)^MAX(0,$C620-$AD$613),IF(DATE($C620,12,15)&gt;=$W$613,$Z$613*(1+($U$613)/100)^MAX(0,$C620-$AC$613),IF(DATE($C620,12,15)&gt;=$V$613,$Y$613*(1+($U$613)/100)^MAX(0,$C620-$AB$613),0)))))</f>
      </c>
      <c r="Q620" s="43">
        <f>SUM($E620:$P620)</f>
      </c>
    </row>
    <row r="621">
      <c r="A621"/>
      <c r="B621">
        <v>20</v>
      </c>
      <c r="C621" s="43">
        <f>Jahr+8</f>
      </c>
      <c r="D621" s="43">
        <f>INDEX(MvObj,20)</f>
      </c>
      <c r="E621" s="43">
        <f>IF($S$613=0,0,IF(OR(DATE($C621,1,15)&lt;$S$613,AND($T$613&gt;0,DATE($C621,1,15)&gt;$T$613)),0,IF(DATE($C621,1,15)&gt;=$X$613,$AA$613*(1+($U$613)/100)^MAX(0,$C621-$AD$613),IF(DATE($C621,1,15)&gt;=$W$613,$Z$613*(1+($U$613)/100)^MAX(0,$C621-$AC$613),IF(DATE($C621,1,15)&gt;=$V$613,$Y$613*(1+($U$613)/100)^MAX(0,$C621-$AB$613),0)))))</f>
      </c>
      <c r="F621" s="43">
        <f>IF($S$613=0,0,IF(OR(DATE($C621,2,15)&lt;$S$613,AND($T$613&gt;0,DATE($C621,2,15)&gt;$T$613)),0,IF(DATE($C621,2,15)&gt;=$X$613,$AA$613*(1+($U$613)/100)^MAX(0,$C621-$AD$613),IF(DATE($C621,2,15)&gt;=$W$613,$Z$613*(1+($U$613)/100)^MAX(0,$C621-$AC$613),IF(DATE($C621,2,15)&gt;=$V$613,$Y$613*(1+($U$613)/100)^MAX(0,$C621-$AB$613),0)))))</f>
      </c>
      <c r="G621" s="43">
        <f>IF($S$613=0,0,IF(OR(DATE($C621,3,15)&lt;$S$613,AND($T$613&gt;0,DATE($C621,3,15)&gt;$T$613)),0,IF(DATE($C621,3,15)&gt;=$X$613,$AA$613*(1+($U$613)/100)^MAX(0,$C621-$AD$613),IF(DATE($C621,3,15)&gt;=$W$613,$Z$613*(1+($U$613)/100)^MAX(0,$C621-$AC$613),IF(DATE($C621,3,15)&gt;=$V$613,$Y$613*(1+($U$613)/100)^MAX(0,$C621-$AB$613),0)))))</f>
      </c>
      <c r="H621" s="43">
        <f>IF($S$613=0,0,IF(OR(DATE($C621,4,15)&lt;$S$613,AND($T$613&gt;0,DATE($C621,4,15)&gt;$T$613)),0,IF(DATE($C621,4,15)&gt;=$X$613,$AA$613*(1+($U$613)/100)^MAX(0,$C621-$AD$613),IF(DATE($C621,4,15)&gt;=$W$613,$Z$613*(1+($U$613)/100)^MAX(0,$C621-$AC$613),IF(DATE($C621,4,15)&gt;=$V$613,$Y$613*(1+($U$613)/100)^MAX(0,$C621-$AB$613),0)))))</f>
      </c>
      <c r="I621" s="43">
        <f>IF($S$613=0,0,IF(OR(DATE($C621,5,15)&lt;$S$613,AND($T$613&gt;0,DATE($C621,5,15)&gt;$T$613)),0,IF(DATE($C621,5,15)&gt;=$X$613,$AA$613*(1+($U$613)/100)^MAX(0,$C621-$AD$613),IF(DATE($C621,5,15)&gt;=$W$613,$Z$613*(1+($U$613)/100)^MAX(0,$C621-$AC$613),IF(DATE($C621,5,15)&gt;=$V$613,$Y$613*(1+($U$613)/100)^MAX(0,$C621-$AB$613),0)))))</f>
      </c>
      <c r="J621" s="43">
        <f>IF($S$613=0,0,IF(OR(DATE($C621,6,15)&lt;$S$613,AND($T$613&gt;0,DATE($C621,6,15)&gt;$T$613)),0,IF(DATE($C621,6,15)&gt;=$X$613,$AA$613*(1+($U$613)/100)^MAX(0,$C621-$AD$613),IF(DATE($C621,6,15)&gt;=$W$613,$Z$613*(1+($U$613)/100)^MAX(0,$C621-$AC$613),IF(DATE($C621,6,15)&gt;=$V$613,$Y$613*(1+($U$613)/100)^MAX(0,$C621-$AB$613),0)))))</f>
      </c>
      <c r="K621" s="43">
        <f>IF($S$613=0,0,IF(OR(DATE($C621,7,15)&lt;$S$613,AND($T$613&gt;0,DATE($C621,7,15)&gt;$T$613)),0,IF(DATE($C621,7,15)&gt;=$X$613,$AA$613*(1+($U$613)/100)^MAX(0,$C621-$AD$613),IF(DATE($C621,7,15)&gt;=$W$613,$Z$613*(1+($U$613)/100)^MAX(0,$C621-$AC$613),IF(DATE($C621,7,15)&gt;=$V$613,$Y$613*(1+($U$613)/100)^MAX(0,$C621-$AB$613),0)))))</f>
      </c>
      <c r="L621" s="43">
        <f>IF($S$613=0,0,IF(OR(DATE($C621,8,15)&lt;$S$613,AND($T$613&gt;0,DATE($C621,8,15)&gt;$T$613)),0,IF(DATE($C621,8,15)&gt;=$X$613,$AA$613*(1+($U$613)/100)^MAX(0,$C621-$AD$613),IF(DATE($C621,8,15)&gt;=$W$613,$Z$613*(1+($U$613)/100)^MAX(0,$C621-$AC$613),IF(DATE($C621,8,15)&gt;=$V$613,$Y$613*(1+($U$613)/100)^MAX(0,$C621-$AB$613),0)))))</f>
      </c>
      <c r="M621" s="43">
        <f>IF($S$613=0,0,IF(OR(DATE($C621,9,15)&lt;$S$613,AND($T$613&gt;0,DATE($C621,9,15)&gt;$T$613)),0,IF(DATE($C621,9,15)&gt;=$X$613,$AA$613*(1+($U$613)/100)^MAX(0,$C621-$AD$613),IF(DATE($C621,9,15)&gt;=$W$613,$Z$613*(1+($U$613)/100)^MAX(0,$C621-$AC$613),IF(DATE($C621,9,15)&gt;=$V$613,$Y$613*(1+($U$613)/100)^MAX(0,$C621-$AB$613),0)))))</f>
      </c>
      <c r="N621" s="43">
        <f>IF($S$613=0,0,IF(OR(DATE($C621,10,15)&lt;$S$613,AND($T$613&gt;0,DATE($C621,10,15)&gt;$T$613)),0,IF(DATE($C621,10,15)&gt;=$X$613,$AA$613*(1+($U$613)/100)^MAX(0,$C621-$AD$613),IF(DATE($C621,10,15)&gt;=$W$613,$Z$613*(1+($U$613)/100)^MAX(0,$C621-$AC$613),IF(DATE($C621,10,15)&gt;=$V$613,$Y$613*(1+($U$613)/100)^MAX(0,$C621-$AB$613),0)))))</f>
      </c>
      <c r="O621" s="43">
        <f>IF($S$613=0,0,IF(OR(DATE($C621,11,15)&lt;$S$613,AND($T$613&gt;0,DATE($C621,11,15)&gt;$T$613)),0,IF(DATE($C621,11,15)&gt;=$X$613,$AA$613*(1+($U$613)/100)^MAX(0,$C621-$AD$613),IF(DATE($C621,11,15)&gt;=$W$613,$Z$613*(1+($U$613)/100)^MAX(0,$C621-$AC$613),IF(DATE($C621,11,15)&gt;=$V$613,$Y$613*(1+($U$613)/100)^MAX(0,$C621-$AB$613),0)))))</f>
      </c>
      <c r="P621" s="43">
        <f>IF($S$613=0,0,IF(OR(DATE($C621,12,15)&lt;$S$613,AND($T$613&gt;0,DATE($C621,12,15)&gt;$T$613)),0,IF(DATE($C621,12,15)&gt;=$X$613,$AA$613*(1+($U$613)/100)^MAX(0,$C621-$AD$613),IF(DATE($C621,12,15)&gt;=$W$613,$Z$613*(1+($U$613)/100)^MAX(0,$C621-$AC$613),IF(DATE($C621,12,15)&gt;=$V$613,$Y$613*(1+($U$613)/100)^MAX(0,$C621-$AB$613),0)))))</f>
      </c>
      <c r="Q621" s="43">
        <f>SUM($E621:$P621)</f>
      </c>
    </row>
    <row r="622">
      <c r="A622"/>
      <c r="B622">
        <v>20</v>
      </c>
      <c r="C622" s="43">
        <f>Jahr+9</f>
      </c>
      <c r="D622" s="43">
        <f>INDEX(MvObj,20)</f>
      </c>
      <c r="E622" s="43">
        <f>IF($S$613=0,0,IF(OR(DATE($C622,1,15)&lt;$S$613,AND($T$613&gt;0,DATE($C622,1,15)&gt;$T$613)),0,IF(DATE($C622,1,15)&gt;=$X$613,$AA$613*(1+($U$613)/100)^MAX(0,$C622-$AD$613),IF(DATE($C622,1,15)&gt;=$W$613,$Z$613*(1+($U$613)/100)^MAX(0,$C622-$AC$613),IF(DATE($C622,1,15)&gt;=$V$613,$Y$613*(1+($U$613)/100)^MAX(0,$C622-$AB$613),0)))))</f>
      </c>
      <c r="F622" s="43">
        <f>IF($S$613=0,0,IF(OR(DATE($C622,2,15)&lt;$S$613,AND($T$613&gt;0,DATE($C622,2,15)&gt;$T$613)),0,IF(DATE($C622,2,15)&gt;=$X$613,$AA$613*(1+($U$613)/100)^MAX(0,$C622-$AD$613),IF(DATE($C622,2,15)&gt;=$W$613,$Z$613*(1+($U$613)/100)^MAX(0,$C622-$AC$613),IF(DATE($C622,2,15)&gt;=$V$613,$Y$613*(1+($U$613)/100)^MAX(0,$C622-$AB$613),0)))))</f>
      </c>
      <c r="G622" s="43">
        <f>IF($S$613=0,0,IF(OR(DATE($C622,3,15)&lt;$S$613,AND($T$613&gt;0,DATE($C622,3,15)&gt;$T$613)),0,IF(DATE($C622,3,15)&gt;=$X$613,$AA$613*(1+($U$613)/100)^MAX(0,$C622-$AD$613),IF(DATE($C622,3,15)&gt;=$W$613,$Z$613*(1+($U$613)/100)^MAX(0,$C622-$AC$613),IF(DATE($C622,3,15)&gt;=$V$613,$Y$613*(1+($U$613)/100)^MAX(0,$C622-$AB$613),0)))))</f>
      </c>
      <c r="H622" s="43">
        <f>IF($S$613=0,0,IF(OR(DATE($C622,4,15)&lt;$S$613,AND($T$613&gt;0,DATE($C622,4,15)&gt;$T$613)),0,IF(DATE($C622,4,15)&gt;=$X$613,$AA$613*(1+($U$613)/100)^MAX(0,$C622-$AD$613),IF(DATE($C622,4,15)&gt;=$W$613,$Z$613*(1+($U$613)/100)^MAX(0,$C622-$AC$613),IF(DATE($C622,4,15)&gt;=$V$613,$Y$613*(1+($U$613)/100)^MAX(0,$C622-$AB$613),0)))))</f>
      </c>
      <c r="I622" s="43">
        <f>IF($S$613=0,0,IF(OR(DATE($C622,5,15)&lt;$S$613,AND($T$613&gt;0,DATE($C622,5,15)&gt;$T$613)),0,IF(DATE($C622,5,15)&gt;=$X$613,$AA$613*(1+($U$613)/100)^MAX(0,$C622-$AD$613),IF(DATE($C622,5,15)&gt;=$W$613,$Z$613*(1+($U$613)/100)^MAX(0,$C622-$AC$613),IF(DATE($C622,5,15)&gt;=$V$613,$Y$613*(1+($U$613)/100)^MAX(0,$C622-$AB$613),0)))))</f>
      </c>
      <c r="J622" s="43">
        <f>IF($S$613=0,0,IF(OR(DATE($C622,6,15)&lt;$S$613,AND($T$613&gt;0,DATE($C622,6,15)&gt;$T$613)),0,IF(DATE($C622,6,15)&gt;=$X$613,$AA$613*(1+($U$613)/100)^MAX(0,$C622-$AD$613),IF(DATE($C622,6,15)&gt;=$W$613,$Z$613*(1+($U$613)/100)^MAX(0,$C622-$AC$613),IF(DATE($C622,6,15)&gt;=$V$613,$Y$613*(1+($U$613)/100)^MAX(0,$C622-$AB$613),0)))))</f>
      </c>
      <c r="K622" s="43">
        <f>IF($S$613=0,0,IF(OR(DATE($C622,7,15)&lt;$S$613,AND($T$613&gt;0,DATE($C622,7,15)&gt;$T$613)),0,IF(DATE($C622,7,15)&gt;=$X$613,$AA$613*(1+($U$613)/100)^MAX(0,$C622-$AD$613),IF(DATE($C622,7,15)&gt;=$W$613,$Z$613*(1+($U$613)/100)^MAX(0,$C622-$AC$613),IF(DATE($C622,7,15)&gt;=$V$613,$Y$613*(1+($U$613)/100)^MAX(0,$C622-$AB$613),0)))))</f>
      </c>
      <c r="L622" s="43">
        <f>IF($S$613=0,0,IF(OR(DATE($C622,8,15)&lt;$S$613,AND($T$613&gt;0,DATE($C622,8,15)&gt;$T$613)),0,IF(DATE($C622,8,15)&gt;=$X$613,$AA$613*(1+($U$613)/100)^MAX(0,$C622-$AD$613),IF(DATE($C622,8,15)&gt;=$W$613,$Z$613*(1+($U$613)/100)^MAX(0,$C622-$AC$613),IF(DATE($C622,8,15)&gt;=$V$613,$Y$613*(1+($U$613)/100)^MAX(0,$C622-$AB$613),0)))))</f>
      </c>
      <c r="M622" s="43">
        <f>IF($S$613=0,0,IF(OR(DATE($C622,9,15)&lt;$S$613,AND($T$613&gt;0,DATE($C622,9,15)&gt;$T$613)),0,IF(DATE($C622,9,15)&gt;=$X$613,$AA$613*(1+($U$613)/100)^MAX(0,$C622-$AD$613),IF(DATE($C622,9,15)&gt;=$W$613,$Z$613*(1+($U$613)/100)^MAX(0,$C622-$AC$613),IF(DATE($C622,9,15)&gt;=$V$613,$Y$613*(1+($U$613)/100)^MAX(0,$C622-$AB$613),0)))))</f>
      </c>
      <c r="N622" s="43">
        <f>IF($S$613=0,0,IF(OR(DATE($C622,10,15)&lt;$S$613,AND($T$613&gt;0,DATE($C622,10,15)&gt;$T$613)),0,IF(DATE($C622,10,15)&gt;=$X$613,$AA$613*(1+($U$613)/100)^MAX(0,$C622-$AD$613),IF(DATE($C622,10,15)&gt;=$W$613,$Z$613*(1+($U$613)/100)^MAX(0,$C622-$AC$613),IF(DATE($C622,10,15)&gt;=$V$613,$Y$613*(1+($U$613)/100)^MAX(0,$C622-$AB$613),0)))))</f>
      </c>
      <c r="O622" s="43">
        <f>IF($S$613=0,0,IF(OR(DATE($C622,11,15)&lt;$S$613,AND($T$613&gt;0,DATE($C622,11,15)&gt;$T$613)),0,IF(DATE($C622,11,15)&gt;=$X$613,$AA$613*(1+($U$613)/100)^MAX(0,$C622-$AD$613),IF(DATE($C622,11,15)&gt;=$W$613,$Z$613*(1+($U$613)/100)^MAX(0,$C622-$AC$613),IF(DATE($C622,11,15)&gt;=$V$613,$Y$613*(1+($U$613)/100)^MAX(0,$C622-$AB$613),0)))))</f>
      </c>
      <c r="P622" s="43">
        <f>IF($S$613=0,0,IF(OR(DATE($C622,12,15)&lt;$S$613,AND($T$613&gt;0,DATE($C622,12,15)&gt;$T$613)),0,IF(DATE($C622,12,15)&gt;=$X$613,$AA$613*(1+($U$613)/100)^MAX(0,$C622-$AD$613),IF(DATE($C622,12,15)&gt;=$W$613,$Z$613*(1+($U$613)/100)^MAX(0,$C622-$AC$613),IF(DATE($C622,12,15)&gt;=$V$613,$Y$613*(1+($U$613)/100)^MAX(0,$C622-$AB$613),0)))))</f>
      </c>
      <c r="Q622" s="43">
        <f>SUM($E622:$P622)</f>
      </c>
    </row>
    <row r="623">
      <c r="A623"/>
      <c r="B623">
        <v>20</v>
      </c>
      <c r="C623" s="43">
        <f>Jahr+10</f>
      </c>
      <c r="D623" s="43">
        <f>INDEX(MvObj,20)</f>
      </c>
      <c r="E623" s="43">
        <f>IF($S$613=0,0,IF(OR(DATE($C623,1,15)&lt;$S$613,AND($T$613&gt;0,DATE($C623,1,15)&gt;$T$613)),0,IF(DATE($C623,1,15)&gt;=$X$613,$AA$613*(1+($U$613)/100)^MAX(0,$C623-$AD$613),IF(DATE($C623,1,15)&gt;=$W$613,$Z$613*(1+($U$613)/100)^MAX(0,$C623-$AC$613),IF(DATE($C623,1,15)&gt;=$V$613,$Y$613*(1+($U$613)/100)^MAX(0,$C623-$AB$613),0)))))</f>
      </c>
      <c r="F623" s="43">
        <f>IF($S$613=0,0,IF(OR(DATE($C623,2,15)&lt;$S$613,AND($T$613&gt;0,DATE($C623,2,15)&gt;$T$613)),0,IF(DATE($C623,2,15)&gt;=$X$613,$AA$613*(1+($U$613)/100)^MAX(0,$C623-$AD$613),IF(DATE($C623,2,15)&gt;=$W$613,$Z$613*(1+($U$613)/100)^MAX(0,$C623-$AC$613),IF(DATE($C623,2,15)&gt;=$V$613,$Y$613*(1+($U$613)/100)^MAX(0,$C623-$AB$613),0)))))</f>
      </c>
      <c r="G623" s="43">
        <f>IF($S$613=0,0,IF(OR(DATE($C623,3,15)&lt;$S$613,AND($T$613&gt;0,DATE($C623,3,15)&gt;$T$613)),0,IF(DATE($C623,3,15)&gt;=$X$613,$AA$613*(1+($U$613)/100)^MAX(0,$C623-$AD$613),IF(DATE($C623,3,15)&gt;=$W$613,$Z$613*(1+($U$613)/100)^MAX(0,$C623-$AC$613),IF(DATE($C623,3,15)&gt;=$V$613,$Y$613*(1+($U$613)/100)^MAX(0,$C623-$AB$613),0)))))</f>
      </c>
      <c r="H623" s="43">
        <f>IF($S$613=0,0,IF(OR(DATE($C623,4,15)&lt;$S$613,AND($T$613&gt;0,DATE($C623,4,15)&gt;$T$613)),0,IF(DATE($C623,4,15)&gt;=$X$613,$AA$613*(1+($U$613)/100)^MAX(0,$C623-$AD$613),IF(DATE($C623,4,15)&gt;=$W$613,$Z$613*(1+($U$613)/100)^MAX(0,$C623-$AC$613),IF(DATE($C623,4,15)&gt;=$V$613,$Y$613*(1+($U$613)/100)^MAX(0,$C623-$AB$613),0)))))</f>
      </c>
      <c r="I623" s="43">
        <f>IF($S$613=0,0,IF(OR(DATE($C623,5,15)&lt;$S$613,AND($T$613&gt;0,DATE($C623,5,15)&gt;$T$613)),0,IF(DATE($C623,5,15)&gt;=$X$613,$AA$613*(1+($U$613)/100)^MAX(0,$C623-$AD$613),IF(DATE($C623,5,15)&gt;=$W$613,$Z$613*(1+($U$613)/100)^MAX(0,$C623-$AC$613),IF(DATE($C623,5,15)&gt;=$V$613,$Y$613*(1+($U$613)/100)^MAX(0,$C623-$AB$613),0)))))</f>
      </c>
      <c r="J623" s="43">
        <f>IF($S$613=0,0,IF(OR(DATE($C623,6,15)&lt;$S$613,AND($T$613&gt;0,DATE($C623,6,15)&gt;$T$613)),0,IF(DATE($C623,6,15)&gt;=$X$613,$AA$613*(1+($U$613)/100)^MAX(0,$C623-$AD$613),IF(DATE($C623,6,15)&gt;=$W$613,$Z$613*(1+($U$613)/100)^MAX(0,$C623-$AC$613),IF(DATE($C623,6,15)&gt;=$V$613,$Y$613*(1+($U$613)/100)^MAX(0,$C623-$AB$613),0)))))</f>
      </c>
      <c r="K623" s="43">
        <f>IF($S$613=0,0,IF(OR(DATE($C623,7,15)&lt;$S$613,AND($T$613&gt;0,DATE($C623,7,15)&gt;$T$613)),0,IF(DATE($C623,7,15)&gt;=$X$613,$AA$613*(1+($U$613)/100)^MAX(0,$C623-$AD$613),IF(DATE($C623,7,15)&gt;=$W$613,$Z$613*(1+($U$613)/100)^MAX(0,$C623-$AC$613),IF(DATE($C623,7,15)&gt;=$V$613,$Y$613*(1+($U$613)/100)^MAX(0,$C623-$AB$613),0)))))</f>
      </c>
      <c r="L623" s="43">
        <f>IF($S$613=0,0,IF(OR(DATE($C623,8,15)&lt;$S$613,AND($T$613&gt;0,DATE($C623,8,15)&gt;$T$613)),0,IF(DATE($C623,8,15)&gt;=$X$613,$AA$613*(1+($U$613)/100)^MAX(0,$C623-$AD$613),IF(DATE($C623,8,15)&gt;=$W$613,$Z$613*(1+($U$613)/100)^MAX(0,$C623-$AC$613),IF(DATE($C623,8,15)&gt;=$V$613,$Y$613*(1+($U$613)/100)^MAX(0,$C623-$AB$613),0)))))</f>
      </c>
      <c r="M623" s="43">
        <f>IF($S$613=0,0,IF(OR(DATE($C623,9,15)&lt;$S$613,AND($T$613&gt;0,DATE($C623,9,15)&gt;$T$613)),0,IF(DATE($C623,9,15)&gt;=$X$613,$AA$613*(1+($U$613)/100)^MAX(0,$C623-$AD$613),IF(DATE($C623,9,15)&gt;=$W$613,$Z$613*(1+($U$613)/100)^MAX(0,$C623-$AC$613),IF(DATE($C623,9,15)&gt;=$V$613,$Y$613*(1+($U$613)/100)^MAX(0,$C623-$AB$613),0)))))</f>
      </c>
      <c r="N623" s="43">
        <f>IF($S$613=0,0,IF(OR(DATE($C623,10,15)&lt;$S$613,AND($T$613&gt;0,DATE($C623,10,15)&gt;$T$613)),0,IF(DATE($C623,10,15)&gt;=$X$613,$AA$613*(1+($U$613)/100)^MAX(0,$C623-$AD$613),IF(DATE($C623,10,15)&gt;=$W$613,$Z$613*(1+($U$613)/100)^MAX(0,$C623-$AC$613),IF(DATE($C623,10,15)&gt;=$V$613,$Y$613*(1+($U$613)/100)^MAX(0,$C623-$AB$613),0)))))</f>
      </c>
      <c r="O623" s="43">
        <f>IF($S$613=0,0,IF(OR(DATE($C623,11,15)&lt;$S$613,AND($T$613&gt;0,DATE($C623,11,15)&gt;$T$613)),0,IF(DATE($C623,11,15)&gt;=$X$613,$AA$613*(1+($U$613)/100)^MAX(0,$C623-$AD$613),IF(DATE($C623,11,15)&gt;=$W$613,$Z$613*(1+($U$613)/100)^MAX(0,$C623-$AC$613),IF(DATE($C623,11,15)&gt;=$V$613,$Y$613*(1+($U$613)/100)^MAX(0,$C623-$AB$613),0)))))</f>
      </c>
      <c r="P623" s="43">
        <f>IF($S$613=0,0,IF(OR(DATE($C623,12,15)&lt;$S$613,AND($T$613&gt;0,DATE($C623,12,15)&gt;$T$613)),0,IF(DATE($C623,12,15)&gt;=$X$613,$AA$613*(1+($U$613)/100)^MAX(0,$C623-$AD$613),IF(DATE($C623,12,15)&gt;=$W$613,$Z$613*(1+($U$613)/100)^MAX(0,$C623-$AC$613),IF(DATE($C623,12,15)&gt;=$V$613,$Y$613*(1+($U$613)/100)^MAX(0,$C623-$AB$613),0)))))</f>
      </c>
      <c r="Q623" s="43">
        <f>SUM($E623:$P623)</f>
      </c>
    </row>
    <row r="624">
      <c r="A624"/>
      <c r="B624">
        <v>20</v>
      </c>
      <c r="C624" s="43">
        <f>Jahr+11</f>
      </c>
      <c r="D624" s="43">
        <f>INDEX(MvObj,20)</f>
      </c>
      <c r="E624" s="43">
        <f>IF($S$613=0,0,IF(OR(DATE($C624,1,15)&lt;$S$613,AND($T$613&gt;0,DATE($C624,1,15)&gt;$T$613)),0,IF(DATE($C624,1,15)&gt;=$X$613,$AA$613*(1+($U$613)/100)^MAX(0,$C624-$AD$613),IF(DATE($C624,1,15)&gt;=$W$613,$Z$613*(1+($U$613)/100)^MAX(0,$C624-$AC$613),IF(DATE($C624,1,15)&gt;=$V$613,$Y$613*(1+($U$613)/100)^MAX(0,$C624-$AB$613),0)))))</f>
      </c>
      <c r="F624" s="43">
        <f>IF($S$613=0,0,IF(OR(DATE($C624,2,15)&lt;$S$613,AND($T$613&gt;0,DATE($C624,2,15)&gt;$T$613)),0,IF(DATE($C624,2,15)&gt;=$X$613,$AA$613*(1+($U$613)/100)^MAX(0,$C624-$AD$613),IF(DATE($C624,2,15)&gt;=$W$613,$Z$613*(1+($U$613)/100)^MAX(0,$C624-$AC$613),IF(DATE($C624,2,15)&gt;=$V$613,$Y$613*(1+($U$613)/100)^MAX(0,$C624-$AB$613),0)))))</f>
      </c>
      <c r="G624" s="43">
        <f>IF($S$613=0,0,IF(OR(DATE($C624,3,15)&lt;$S$613,AND($T$613&gt;0,DATE($C624,3,15)&gt;$T$613)),0,IF(DATE($C624,3,15)&gt;=$X$613,$AA$613*(1+($U$613)/100)^MAX(0,$C624-$AD$613),IF(DATE($C624,3,15)&gt;=$W$613,$Z$613*(1+($U$613)/100)^MAX(0,$C624-$AC$613),IF(DATE($C624,3,15)&gt;=$V$613,$Y$613*(1+($U$613)/100)^MAX(0,$C624-$AB$613),0)))))</f>
      </c>
      <c r="H624" s="43">
        <f>IF($S$613=0,0,IF(OR(DATE($C624,4,15)&lt;$S$613,AND($T$613&gt;0,DATE($C624,4,15)&gt;$T$613)),0,IF(DATE($C624,4,15)&gt;=$X$613,$AA$613*(1+($U$613)/100)^MAX(0,$C624-$AD$613),IF(DATE($C624,4,15)&gt;=$W$613,$Z$613*(1+($U$613)/100)^MAX(0,$C624-$AC$613),IF(DATE($C624,4,15)&gt;=$V$613,$Y$613*(1+($U$613)/100)^MAX(0,$C624-$AB$613),0)))))</f>
      </c>
      <c r="I624" s="43">
        <f>IF($S$613=0,0,IF(OR(DATE($C624,5,15)&lt;$S$613,AND($T$613&gt;0,DATE($C624,5,15)&gt;$T$613)),0,IF(DATE($C624,5,15)&gt;=$X$613,$AA$613*(1+($U$613)/100)^MAX(0,$C624-$AD$613),IF(DATE($C624,5,15)&gt;=$W$613,$Z$613*(1+($U$613)/100)^MAX(0,$C624-$AC$613),IF(DATE($C624,5,15)&gt;=$V$613,$Y$613*(1+($U$613)/100)^MAX(0,$C624-$AB$613),0)))))</f>
      </c>
      <c r="J624" s="43">
        <f>IF($S$613=0,0,IF(OR(DATE($C624,6,15)&lt;$S$613,AND($T$613&gt;0,DATE($C624,6,15)&gt;$T$613)),0,IF(DATE($C624,6,15)&gt;=$X$613,$AA$613*(1+($U$613)/100)^MAX(0,$C624-$AD$613),IF(DATE($C624,6,15)&gt;=$W$613,$Z$613*(1+($U$613)/100)^MAX(0,$C624-$AC$613),IF(DATE($C624,6,15)&gt;=$V$613,$Y$613*(1+($U$613)/100)^MAX(0,$C624-$AB$613),0)))))</f>
      </c>
      <c r="K624" s="43">
        <f>IF($S$613=0,0,IF(OR(DATE($C624,7,15)&lt;$S$613,AND($T$613&gt;0,DATE($C624,7,15)&gt;$T$613)),0,IF(DATE($C624,7,15)&gt;=$X$613,$AA$613*(1+($U$613)/100)^MAX(0,$C624-$AD$613),IF(DATE($C624,7,15)&gt;=$W$613,$Z$613*(1+($U$613)/100)^MAX(0,$C624-$AC$613),IF(DATE($C624,7,15)&gt;=$V$613,$Y$613*(1+($U$613)/100)^MAX(0,$C624-$AB$613),0)))))</f>
      </c>
      <c r="L624" s="43">
        <f>IF($S$613=0,0,IF(OR(DATE($C624,8,15)&lt;$S$613,AND($T$613&gt;0,DATE($C624,8,15)&gt;$T$613)),0,IF(DATE($C624,8,15)&gt;=$X$613,$AA$613*(1+($U$613)/100)^MAX(0,$C624-$AD$613),IF(DATE($C624,8,15)&gt;=$W$613,$Z$613*(1+($U$613)/100)^MAX(0,$C624-$AC$613),IF(DATE($C624,8,15)&gt;=$V$613,$Y$613*(1+($U$613)/100)^MAX(0,$C624-$AB$613),0)))))</f>
      </c>
      <c r="M624" s="43">
        <f>IF($S$613=0,0,IF(OR(DATE($C624,9,15)&lt;$S$613,AND($T$613&gt;0,DATE($C624,9,15)&gt;$T$613)),0,IF(DATE($C624,9,15)&gt;=$X$613,$AA$613*(1+($U$613)/100)^MAX(0,$C624-$AD$613),IF(DATE($C624,9,15)&gt;=$W$613,$Z$613*(1+($U$613)/100)^MAX(0,$C624-$AC$613),IF(DATE($C624,9,15)&gt;=$V$613,$Y$613*(1+($U$613)/100)^MAX(0,$C624-$AB$613),0)))))</f>
      </c>
      <c r="N624" s="43">
        <f>IF($S$613=0,0,IF(OR(DATE($C624,10,15)&lt;$S$613,AND($T$613&gt;0,DATE($C624,10,15)&gt;$T$613)),0,IF(DATE($C624,10,15)&gt;=$X$613,$AA$613*(1+($U$613)/100)^MAX(0,$C624-$AD$613),IF(DATE($C624,10,15)&gt;=$W$613,$Z$613*(1+($U$613)/100)^MAX(0,$C624-$AC$613),IF(DATE($C624,10,15)&gt;=$V$613,$Y$613*(1+($U$613)/100)^MAX(0,$C624-$AB$613),0)))))</f>
      </c>
      <c r="O624" s="43">
        <f>IF($S$613=0,0,IF(OR(DATE($C624,11,15)&lt;$S$613,AND($T$613&gt;0,DATE($C624,11,15)&gt;$T$613)),0,IF(DATE($C624,11,15)&gt;=$X$613,$AA$613*(1+($U$613)/100)^MAX(0,$C624-$AD$613),IF(DATE($C624,11,15)&gt;=$W$613,$Z$613*(1+($U$613)/100)^MAX(0,$C624-$AC$613),IF(DATE($C624,11,15)&gt;=$V$613,$Y$613*(1+($U$613)/100)^MAX(0,$C624-$AB$613),0)))))</f>
      </c>
      <c r="P624" s="43">
        <f>IF($S$613=0,0,IF(OR(DATE($C624,12,15)&lt;$S$613,AND($T$613&gt;0,DATE($C624,12,15)&gt;$T$613)),0,IF(DATE($C624,12,15)&gt;=$X$613,$AA$613*(1+($U$613)/100)^MAX(0,$C624-$AD$613),IF(DATE($C624,12,15)&gt;=$W$613,$Z$613*(1+($U$613)/100)^MAX(0,$C624-$AC$613),IF(DATE($C624,12,15)&gt;=$V$613,$Y$613*(1+($U$613)/100)^MAX(0,$C624-$AB$613),0)))))</f>
      </c>
      <c r="Q624" s="43">
        <f>SUM($E624:$P624)</f>
      </c>
    </row>
    <row r="625">
      <c r="A625"/>
      <c r="B625">
        <v>20</v>
      </c>
      <c r="C625" s="43">
        <f>Jahr+12</f>
      </c>
      <c r="D625" s="43">
        <f>INDEX(MvObj,20)</f>
      </c>
      <c r="E625" s="43">
        <f>IF($S$613=0,0,IF(OR(DATE($C625,1,15)&lt;$S$613,AND($T$613&gt;0,DATE($C625,1,15)&gt;$T$613)),0,IF(DATE($C625,1,15)&gt;=$X$613,$AA$613*(1+($U$613)/100)^MAX(0,$C625-$AD$613),IF(DATE($C625,1,15)&gt;=$W$613,$Z$613*(1+($U$613)/100)^MAX(0,$C625-$AC$613),IF(DATE($C625,1,15)&gt;=$V$613,$Y$613*(1+($U$613)/100)^MAX(0,$C625-$AB$613),0)))))</f>
      </c>
      <c r="F625" s="43">
        <f>IF($S$613=0,0,IF(OR(DATE($C625,2,15)&lt;$S$613,AND($T$613&gt;0,DATE($C625,2,15)&gt;$T$613)),0,IF(DATE($C625,2,15)&gt;=$X$613,$AA$613*(1+($U$613)/100)^MAX(0,$C625-$AD$613),IF(DATE($C625,2,15)&gt;=$W$613,$Z$613*(1+($U$613)/100)^MAX(0,$C625-$AC$613),IF(DATE($C625,2,15)&gt;=$V$613,$Y$613*(1+($U$613)/100)^MAX(0,$C625-$AB$613),0)))))</f>
      </c>
      <c r="G625" s="43">
        <f>IF($S$613=0,0,IF(OR(DATE($C625,3,15)&lt;$S$613,AND($T$613&gt;0,DATE($C625,3,15)&gt;$T$613)),0,IF(DATE($C625,3,15)&gt;=$X$613,$AA$613*(1+($U$613)/100)^MAX(0,$C625-$AD$613),IF(DATE($C625,3,15)&gt;=$W$613,$Z$613*(1+($U$613)/100)^MAX(0,$C625-$AC$613),IF(DATE($C625,3,15)&gt;=$V$613,$Y$613*(1+($U$613)/100)^MAX(0,$C625-$AB$613),0)))))</f>
      </c>
      <c r="H625" s="43">
        <f>IF($S$613=0,0,IF(OR(DATE($C625,4,15)&lt;$S$613,AND($T$613&gt;0,DATE($C625,4,15)&gt;$T$613)),0,IF(DATE($C625,4,15)&gt;=$X$613,$AA$613*(1+($U$613)/100)^MAX(0,$C625-$AD$613),IF(DATE($C625,4,15)&gt;=$W$613,$Z$613*(1+($U$613)/100)^MAX(0,$C625-$AC$613),IF(DATE($C625,4,15)&gt;=$V$613,$Y$613*(1+($U$613)/100)^MAX(0,$C625-$AB$613),0)))))</f>
      </c>
      <c r="I625" s="43">
        <f>IF($S$613=0,0,IF(OR(DATE($C625,5,15)&lt;$S$613,AND($T$613&gt;0,DATE($C625,5,15)&gt;$T$613)),0,IF(DATE($C625,5,15)&gt;=$X$613,$AA$613*(1+($U$613)/100)^MAX(0,$C625-$AD$613),IF(DATE($C625,5,15)&gt;=$W$613,$Z$613*(1+($U$613)/100)^MAX(0,$C625-$AC$613),IF(DATE($C625,5,15)&gt;=$V$613,$Y$613*(1+($U$613)/100)^MAX(0,$C625-$AB$613),0)))))</f>
      </c>
      <c r="J625" s="43">
        <f>IF($S$613=0,0,IF(OR(DATE($C625,6,15)&lt;$S$613,AND($T$613&gt;0,DATE($C625,6,15)&gt;$T$613)),0,IF(DATE($C625,6,15)&gt;=$X$613,$AA$613*(1+($U$613)/100)^MAX(0,$C625-$AD$613),IF(DATE($C625,6,15)&gt;=$W$613,$Z$613*(1+($U$613)/100)^MAX(0,$C625-$AC$613),IF(DATE($C625,6,15)&gt;=$V$613,$Y$613*(1+($U$613)/100)^MAX(0,$C625-$AB$613),0)))))</f>
      </c>
      <c r="K625" s="43">
        <f>IF($S$613=0,0,IF(OR(DATE($C625,7,15)&lt;$S$613,AND($T$613&gt;0,DATE($C625,7,15)&gt;$T$613)),0,IF(DATE($C625,7,15)&gt;=$X$613,$AA$613*(1+($U$613)/100)^MAX(0,$C625-$AD$613),IF(DATE($C625,7,15)&gt;=$W$613,$Z$613*(1+($U$613)/100)^MAX(0,$C625-$AC$613),IF(DATE($C625,7,15)&gt;=$V$613,$Y$613*(1+($U$613)/100)^MAX(0,$C625-$AB$613),0)))))</f>
      </c>
      <c r="L625" s="43">
        <f>IF($S$613=0,0,IF(OR(DATE($C625,8,15)&lt;$S$613,AND($T$613&gt;0,DATE($C625,8,15)&gt;$T$613)),0,IF(DATE($C625,8,15)&gt;=$X$613,$AA$613*(1+($U$613)/100)^MAX(0,$C625-$AD$613),IF(DATE($C625,8,15)&gt;=$W$613,$Z$613*(1+($U$613)/100)^MAX(0,$C625-$AC$613),IF(DATE($C625,8,15)&gt;=$V$613,$Y$613*(1+($U$613)/100)^MAX(0,$C625-$AB$613),0)))))</f>
      </c>
      <c r="M625" s="43">
        <f>IF($S$613=0,0,IF(OR(DATE($C625,9,15)&lt;$S$613,AND($T$613&gt;0,DATE($C625,9,15)&gt;$T$613)),0,IF(DATE($C625,9,15)&gt;=$X$613,$AA$613*(1+($U$613)/100)^MAX(0,$C625-$AD$613),IF(DATE($C625,9,15)&gt;=$W$613,$Z$613*(1+($U$613)/100)^MAX(0,$C625-$AC$613),IF(DATE($C625,9,15)&gt;=$V$613,$Y$613*(1+($U$613)/100)^MAX(0,$C625-$AB$613),0)))))</f>
      </c>
      <c r="N625" s="43">
        <f>IF($S$613=0,0,IF(OR(DATE($C625,10,15)&lt;$S$613,AND($T$613&gt;0,DATE($C625,10,15)&gt;$T$613)),0,IF(DATE($C625,10,15)&gt;=$X$613,$AA$613*(1+($U$613)/100)^MAX(0,$C625-$AD$613),IF(DATE($C625,10,15)&gt;=$W$613,$Z$613*(1+($U$613)/100)^MAX(0,$C625-$AC$613),IF(DATE($C625,10,15)&gt;=$V$613,$Y$613*(1+($U$613)/100)^MAX(0,$C625-$AB$613),0)))))</f>
      </c>
      <c r="O625" s="43">
        <f>IF($S$613=0,0,IF(OR(DATE($C625,11,15)&lt;$S$613,AND($T$613&gt;0,DATE($C625,11,15)&gt;$T$613)),0,IF(DATE($C625,11,15)&gt;=$X$613,$AA$613*(1+($U$613)/100)^MAX(0,$C625-$AD$613),IF(DATE($C625,11,15)&gt;=$W$613,$Z$613*(1+($U$613)/100)^MAX(0,$C625-$AC$613),IF(DATE($C625,11,15)&gt;=$V$613,$Y$613*(1+($U$613)/100)^MAX(0,$C625-$AB$613),0)))))</f>
      </c>
      <c r="P625" s="43">
        <f>IF($S$613=0,0,IF(OR(DATE($C625,12,15)&lt;$S$613,AND($T$613&gt;0,DATE($C625,12,15)&gt;$T$613)),0,IF(DATE($C625,12,15)&gt;=$X$613,$AA$613*(1+($U$613)/100)^MAX(0,$C625-$AD$613),IF(DATE($C625,12,15)&gt;=$W$613,$Z$613*(1+($U$613)/100)^MAX(0,$C625-$AC$613),IF(DATE($C625,12,15)&gt;=$V$613,$Y$613*(1+($U$613)/100)^MAX(0,$C625-$AB$613),0)))))</f>
      </c>
      <c r="Q625" s="43">
        <f>SUM($E625:$P625)</f>
      </c>
    </row>
    <row r="626">
      <c r="A626"/>
      <c r="B626">
        <v>20</v>
      </c>
      <c r="C626" s="43">
        <f>Jahr+13</f>
      </c>
      <c r="D626" s="43">
        <f>INDEX(MvObj,20)</f>
      </c>
      <c r="E626" s="43">
        <f>IF($S$613=0,0,IF(OR(DATE($C626,1,15)&lt;$S$613,AND($T$613&gt;0,DATE($C626,1,15)&gt;$T$613)),0,IF(DATE($C626,1,15)&gt;=$X$613,$AA$613*(1+($U$613)/100)^MAX(0,$C626-$AD$613),IF(DATE($C626,1,15)&gt;=$W$613,$Z$613*(1+($U$613)/100)^MAX(0,$C626-$AC$613),IF(DATE($C626,1,15)&gt;=$V$613,$Y$613*(1+($U$613)/100)^MAX(0,$C626-$AB$613),0)))))</f>
      </c>
      <c r="F626" s="43">
        <f>IF($S$613=0,0,IF(OR(DATE($C626,2,15)&lt;$S$613,AND($T$613&gt;0,DATE($C626,2,15)&gt;$T$613)),0,IF(DATE($C626,2,15)&gt;=$X$613,$AA$613*(1+($U$613)/100)^MAX(0,$C626-$AD$613),IF(DATE($C626,2,15)&gt;=$W$613,$Z$613*(1+($U$613)/100)^MAX(0,$C626-$AC$613),IF(DATE($C626,2,15)&gt;=$V$613,$Y$613*(1+($U$613)/100)^MAX(0,$C626-$AB$613),0)))))</f>
      </c>
      <c r="G626" s="43">
        <f>IF($S$613=0,0,IF(OR(DATE($C626,3,15)&lt;$S$613,AND($T$613&gt;0,DATE($C626,3,15)&gt;$T$613)),0,IF(DATE($C626,3,15)&gt;=$X$613,$AA$613*(1+($U$613)/100)^MAX(0,$C626-$AD$613),IF(DATE($C626,3,15)&gt;=$W$613,$Z$613*(1+($U$613)/100)^MAX(0,$C626-$AC$613),IF(DATE($C626,3,15)&gt;=$V$613,$Y$613*(1+($U$613)/100)^MAX(0,$C626-$AB$613),0)))))</f>
      </c>
      <c r="H626" s="43">
        <f>IF($S$613=0,0,IF(OR(DATE($C626,4,15)&lt;$S$613,AND($T$613&gt;0,DATE($C626,4,15)&gt;$T$613)),0,IF(DATE($C626,4,15)&gt;=$X$613,$AA$613*(1+($U$613)/100)^MAX(0,$C626-$AD$613),IF(DATE($C626,4,15)&gt;=$W$613,$Z$613*(1+($U$613)/100)^MAX(0,$C626-$AC$613),IF(DATE($C626,4,15)&gt;=$V$613,$Y$613*(1+($U$613)/100)^MAX(0,$C626-$AB$613),0)))))</f>
      </c>
      <c r="I626" s="43">
        <f>IF($S$613=0,0,IF(OR(DATE($C626,5,15)&lt;$S$613,AND($T$613&gt;0,DATE($C626,5,15)&gt;$T$613)),0,IF(DATE($C626,5,15)&gt;=$X$613,$AA$613*(1+($U$613)/100)^MAX(0,$C626-$AD$613),IF(DATE($C626,5,15)&gt;=$W$613,$Z$613*(1+($U$613)/100)^MAX(0,$C626-$AC$613),IF(DATE($C626,5,15)&gt;=$V$613,$Y$613*(1+($U$613)/100)^MAX(0,$C626-$AB$613),0)))))</f>
      </c>
      <c r="J626" s="43">
        <f>IF($S$613=0,0,IF(OR(DATE($C626,6,15)&lt;$S$613,AND($T$613&gt;0,DATE($C626,6,15)&gt;$T$613)),0,IF(DATE($C626,6,15)&gt;=$X$613,$AA$613*(1+($U$613)/100)^MAX(0,$C626-$AD$613),IF(DATE($C626,6,15)&gt;=$W$613,$Z$613*(1+($U$613)/100)^MAX(0,$C626-$AC$613),IF(DATE($C626,6,15)&gt;=$V$613,$Y$613*(1+($U$613)/100)^MAX(0,$C626-$AB$613),0)))))</f>
      </c>
      <c r="K626" s="43">
        <f>IF($S$613=0,0,IF(OR(DATE($C626,7,15)&lt;$S$613,AND($T$613&gt;0,DATE($C626,7,15)&gt;$T$613)),0,IF(DATE($C626,7,15)&gt;=$X$613,$AA$613*(1+($U$613)/100)^MAX(0,$C626-$AD$613),IF(DATE($C626,7,15)&gt;=$W$613,$Z$613*(1+($U$613)/100)^MAX(0,$C626-$AC$613),IF(DATE($C626,7,15)&gt;=$V$613,$Y$613*(1+($U$613)/100)^MAX(0,$C626-$AB$613),0)))))</f>
      </c>
      <c r="L626" s="43">
        <f>IF($S$613=0,0,IF(OR(DATE($C626,8,15)&lt;$S$613,AND($T$613&gt;0,DATE($C626,8,15)&gt;$T$613)),0,IF(DATE($C626,8,15)&gt;=$X$613,$AA$613*(1+($U$613)/100)^MAX(0,$C626-$AD$613),IF(DATE($C626,8,15)&gt;=$W$613,$Z$613*(1+($U$613)/100)^MAX(0,$C626-$AC$613),IF(DATE($C626,8,15)&gt;=$V$613,$Y$613*(1+($U$613)/100)^MAX(0,$C626-$AB$613),0)))))</f>
      </c>
      <c r="M626" s="43">
        <f>IF($S$613=0,0,IF(OR(DATE($C626,9,15)&lt;$S$613,AND($T$613&gt;0,DATE($C626,9,15)&gt;$T$613)),0,IF(DATE($C626,9,15)&gt;=$X$613,$AA$613*(1+($U$613)/100)^MAX(0,$C626-$AD$613),IF(DATE($C626,9,15)&gt;=$W$613,$Z$613*(1+($U$613)/100)^MAX(0,$C626-$AC$613),IF(DATE($C626,9,15)&gt;=$V$613,$Y$613*(1+($U$613)/100)^MAX(0,$C626-$AB$613),0)))))</f>
      </c>
      <c r="N626" s="43">
        <f>IF($S$613=0,0,IF(OR(DATE($C626,10,15)&lt;$S$613,AND($T$613&gt;0,DATE($C626,10,15)&gt;$T$613)),0,IF(DATE($C626,10,15)&gt;=$X$613,$AA$613*(1+($U$613)/100)^MAX(0,$C626-$AD$613),IF(DATE($C626,10,15)&gt;=$W$613,$Z$613*(1+($U$613)/100)^MAX(0,$C626-$AC$613),IF(DATE($C626,10,15)&gt;=$V$613,$Y$613*(1+($U$613)/100)^MAX(0,$C626-$AB$613),0)))))</f>
      </c>
      <c r="O626" s="43">
        <f>IF($S$613=0,0,IF(OR(DATE($C626,11,15)&lt;$S$613,AND($T$613&gt;0,DATE($C626,11,15)&gt;$T$613)),0,IF(DATE($C626,11,15)&gt;=$X$613,$AA$613*(1+($U$613)/100)^MAX(0,$C626-$AD$613),IF(DATE($C626,11,15)&gt;=$W$613,$Z$613*(1+($U$613)/100)^MAX(0,$C626-$AC$613),IF(DATE($C626,11,15)&gt;=$V$613,$Y$613*(1+($U$613)/100)^MAX(0,$C626-$AB$613),0)))))</f>
      </c>
      <c r="P626" s="43">
        <f>IF($S$613=0,0,IF(OR(DATE($C626,12,15)&lt;$S$613,AND($T$613&gt;0,DATE($C626,12,15)&gt;$T$613)),0,IF(DATE($C626,12,15)&gt;=$X$613,$AA$613*(1+($U$613)/100)^MAX(0,$C626-$AD$613),IF(DATE($C626,12,15)&gt;=$W$613,$Z$613*(1+($U$613)/100)^MAX(0,$C626-$AC$613),IF(DATE($C626,12,15)&gt;=$V$613,$Y$613*(1+($U$613)/100)^MAX(0,$C626-$AB$613),0)))))</f>
      </c>
      <c r="Q626" s="43">
        <f>SUM($E626:$P626)</f>
      </c>
    </row>
    <row r="627">
      <c r="A627"/>
      <c r="B627">
        <v>20</v>
      </c>
      <c r="C627" s="43">
        <f>Jahr+14</f>
      </c>
      <c r="D627" s="43">
        <f>INDEX(MvObj,20)</f>
      </c>
      <c r="E627" s="43">
        <f>IF($S$613=0,0,IF(OR(DATE($C627,1,15)&lt;$S$613,AND($T$613&gt;0,DATE($C627,1,15)&gt;$T$613)),0,IF(DATE($C627,1,15)&gt;=$X$613,$AA$613*(1+($U$613)/100)^MAX(0,$C627-$AD$613),IF(DATE($C627,1,15)&gt;=$W$613,$Z$613*(1+($U$613)/100)^MAX(0,$C627-$AC$613),IF(DATE($C627,1,15)&gt;=$V$613,$Y$613*(1+($U$613)/100)^MAX(0,$C627-$AB$613),0)))))</f>
      </c>
      <c r="F627" s="43">
        <f>IF($S$613=0,0,IF(OR(DATE($C627,2,15)&lt;$S$613,AND($T$613&gt;0,DATE($C627,2,15)&gt;$T$613)),0,IF(DATE($C627,2,15)&gt;=$X$613,$AA$613*(1+($U$613)/100)^MAX(0,$C627-$AD$613),IF(DATE($C627,2,15)&gt;=$W$613,$Z$613*(1+($U$613)/100)^MAX(0,$C627-$AC$613),IF(DATE($C627,2,15)&gt;=$V$613,$Y$613*(1+($U$613)/100)^MAX(0,$C627-$AB$613),0)))))</f>
      </c>
      <c r="G627" s="43">
        <f>IF($S$613=0,0,IF(OR(DATE($C627,3,15)&lt;$S$613,AND($T$613&gt;0,DATE($C627,3,15)&gt;$T$613)),0,IF(DATE($C627,3,15)&gt;=$X$613,$AA$613*(1+($U$613)/100)^MAX(0,$C627-$AD$613),IF(DATE($C627,3,15)&gt;=$W$613,$Z$613*(1+($U$613)/100)^MAX(0,$C627-$AC$613),IF(DATE($C627,3,15)&gt;=$V$613,$Y$613*(1+($U$613)/100)^MAX(0,$C627-$AB$613),0)))))</f>
      </c>
      <c r="H627" s="43">
        <f>IF($S$613=0,0,IF(OR(DATE($C627,4,15)&lt;$S$613,AND($T$613&gt;0,DATE($C627,4,15)&gt;$T$613)),0,IF(DATE($C627,4,15)&gt;=$X$613,$AA$613*(1+($U$613)/100)^MAX(0,$C627-$AD$613),IF(DATE($C627,4,15)&gt;=$W$613,$Z$613*(1+($U$613)/100)^MAX(0,$C627-$AC$613),IF(DATE($C627,4,15)&gt;=$V$613,$Y$613*(1+($U$613)/100)^MAX(0,$C627-$AB$613),0)))))</f>
      </c>
      <c r="I627" s="43">
        <f>IF($S$613=0,0,IF(OR(DATE($C627,5,15)&lt;$S$613,AND($T$613&gt;0,DATE($C627,5,15)&gt;$T$613)),0,IF(DATE($C627,5,15)&gt;=$X$613,$AA$613*(1+($U$613)/100)^MAX(0,$C627-$AD$613),IF(DATE($C627,5,15)&gt;=$W$613,$Z$613*(1+($U$613)/100)^MAX(0,$C627-$AC$613),IF(DATE($C627,5,15)&gt;=$V$613,$Y$613*(1+($U$613)/100)^MAX(0,$C627-$AB$613),0)))))</f>
      </c>
      <c r="J627" s="43">
        <f>IF($S$613=0,0,IF(OR(DATE($C627,6,15)&lt;$S$613,AND($T$613&gt;0,DATE($C627,6,15)&gt;$T$613)),0,IF(DATE($C627,6,15)&gt;=$X$613,$AA$613*(1+($U$613)/100)^MAX(0,$C627-$AD$613),IF(DATE($C627,6,15)&gt;=$W$613,$Z$613*(1+($U$613)/100)^MAX(0,$C627-$AC$613),IF(DATE($C627,6,15)&gt;=$V$613,$Y$613*(1+($U$613)/100)^MAX(0,$C627-$AB$613),0)))))</f>
      </c>
      <c r="K627" s="43">
        <f>IF($S$613=0,0,IF(OR(DATE($C627,7,15)&lt;$S$613,AND($T$613&gt;0,DATE($C627,7,15)&gt;$T$613)),0,IF(DATE($C627,7,15)&gt;=$X$613,$AA$613*(1+($U$613)/100)^MAX(0,$C627-$AD$613),IF(DATE($C627,7,15)&gt;=$W$613,$Z$613*(1+($U$613)/100)^MAX(0,$C627-$AC$613),IF(DATE($C627,7,15)&gt;=$V$613,$Y$613*(1+($U$613)/100)^MAX(0,$C627-$AB$613),0)))))</f>
      </c>
      <c r="L627" s="43">
        <f>IF($S$613=0,0,IF(OR(DATE($C627,8,15)&lt;$S$613,AND($T$613&gt;0,DATE($C627,8,15)&gt;$T$613)),0,IF(DATE($C627,8,15)&gt;=$X$613,$AA$613*(1+($U$613)/100)^MAX(0,$C627-$AD$613),IF(DATE($C627,8,15)&gt;=$W$613,$Z$613*(1+($U$613)/100)^MAX(0,$C627-$AC$613),IF(DATE($C627,8,15)&gt;=$V$613,$Y$613*(1+($U$613)/100)^MAX(0,$C627-$AB$613),0)))))</f>
      </c>
      <c r="M627" s="43">
        <f>IF($S$613=0,0,IF(OR(DATE($C627,9,15)&lt;$S$613,AND($T$613&gt;0,DATE($C627,9,15)&gt;$T$613)),0,IF(DATE($C627,9,15)&gt;=$X$613,$AA$613*(1+($U$613)/100)^MAX(0,$C627-$AD$613),IF(DATE($C627,9,15)&gt;=$W$613,$Z$613*(1+($U$613)/100)^MAX(0,$C627-$AC$613),IF(DATE($C627,9,15)&gt;=$V$613,$Y$613*(1+($U$613)/100)^MAX(0,$C627-$AB$613),0)))))</f>
      </c>
      <c r="N627" s="43">
        <f>IF($S$613=0,0,IF(OR(DATE($C627,10,15)&lt;$S$613,AND($T$613&gt;0,DATE($C627,10,15)&gt;$T$613)),0,IF(DATE($C627,10,15)&gt;=$X$613,$AA$613*(1+($U$613)/100)^MAX(0,$C627-$AD$613),IF(DATE($C627,10,15)&gt;=$W$613,$Z$613*(1+($U$613)/100)^MAX(0,$C627-$AC$613),IF(DATE($C627,10,15)&gt;=$V$613,$Y$613*(1+($U$613)/100)^MAX(0,$C627-$AB$613),0)))))</f>
      </c>
      <c r="O627" s="43">
        <f>IF($S$613=0,0,IF(OR(DATE($C627,11,15)&lt;$S$613,AND($T$613&gt;0,DATE($C627,11,15)&gt;$T$613)),0,IF(DATE($C627,11,15)&gt;=$X$613,$AA$613*(1+($U$613)/100)^MAX(0,$C627-$AD$613),IF(DATE($C627,11,15)&gt;=$W$613,$Z$613*(1+($U$613)/100)^MAX(0,$C627-$AC$613),IF(DATE($C627,11,15)&gt;=$V$613,$Y$613*(1+($U$613)/100)^MAX(0,$C627-$AB$613),0)))))</f>
      </c>
      <c r="P627" s="43">
        <f>IF($S$613=0,0,IF(OR(DATE($C627,12,15)&lt;$S$613,AND($T$613&gt;0,DATE($C627,12,15)&gt;$T$613)),0,IF(DATE($C627,12,15)&gt;=$X$613,$AA$613*(1+($U$613)/100)^MAX(0,$C627-$AD$613),IF(DATE($C627,12,15)&gt;=$W$613,$Z$613*(1+($U$613)/100)^MAX(0,$C627-$AC$613),IF(DATE($C627,12,15)&gt;=$V$613,$Y$613*(1+($U$613)/100)^MAX(0,$C627-$AB$613),0)))))</f>
      </c>
      <c r="Q627" s="43">
        <f>SUM($E627:$P627)</f>
      </c>
    </row>
    <row r="628">
      <c r="A628"/>
      <c r="B628">
        <v>20</v>
      </c>
      <c r="C628" s="43">
        <f>Jahr+15</f>
      </c>
      <c r="D628" s="43">
        <f>INDEX(MvObj,20)</f>
      </c>
      <c r="E628" s="43">
        <f>IF($S$613=0,0,IF(OR(DATE($C628,1,15)&lt;$S$613,AND($T$613&gt;0,DATE($C628,1,15)&gt;$T$613)),0,IF(DATE($C628,1,15)&gt;=$X$613,$AA$613*(1+($U$613)/100)^MAX(0,$C628-$AD$613),IF(DATE($C628,1,15)&gt;=$W$613,$Z$613*(1+($U$613)/100)^MAX(0,$C628-$AC$613),IF(DATE($C628,1,15)&gt;=$V$613,$Y$613*(1+($U$613)/100)^MAX(0,$C628-$AB$613),0)))))</f>
      </c>
      <c r="F628" s="43">
        <f>IF($S$613=0,0,IF(OR(DATE($C628,2,15)&lt;$S$613,AND($T$613&gt;0,DATE($C628,2,15)&gt;$T$613)),0,IF(DATE($C628,2,15)&gt;=$X$613,$AA$613*(1+($U$613)/100)^MAX(0,$C628-$AD$613),IF(DATE($C628,2,15)&gt;=$W$613,$Z$613*(1+($U$613)/100)^MAX(0,$C628-$AC$613),IF(DATE($C628,2,15)&gt;=$V$613,$Y$613*(1+($U$613)/100)^MAX(0,$C628-$AB$613),0)))))</f>
      </c>
      <c r="G628" s="43">
        <f>IF($S$613=0,0,IF(OR(DATE($C628,3,15)&lt;$S$613,AND($T$613&gt;0,DATE($C628,3,15)&gt;$T$613)),0,IF(DATE($C628,3,15)&gt;=$X$613,$AA$613*(1+($U$613)/100)^MAX(0,$C628-$AD$613),IF(DATE($C628,3,15)&gt;=$W$613,$Z$613*(1+($U$613)/100)^MAX(0,$C628-$AC$613),IF(DATE($C628,3,15)&gt;=$V$613,$Y$613*(1+($U$613)/100)^MAX(0,$C628-$AB$613),0)))))</f>
      </c>
      <c r="H628" s="43">
        <f>IF($S$613=0,0,IF(OR(DATE($C628,4,15)&lt;$S$613,AND($T$613&gt;0,DATE($C628,4,15)&gt;$T$613)),0,IF(DATE($C628,4,15)&gt;=$X$613,$AA$613*(1+($U$613)/100)^MAX(0,$C628-$AD$613),IF(DATE($C628,4,15)&gt;=$W$613,$Z$613*(1+($U$613)/100)^MAX(0,$C628-$AC$613),IF(DATE($C628,4,15)&gt;=$V$613,$Y$613*(1+($U$613)/100)^MAX(0,$C628-$AB$613),0)))))</f>
      </c>
      <c r="I628" s="43">
        <f>IF($S$613=0,0,IF(OR(DATE($C628,5,15)&lt;$S$613,AND($T$613&gt;0,DATE($C628,5,15)&gt;$T$613)),0,IF(DATE($C628,5,15)&gt;=$X$613,$AA$613*(1+($U$613)/100)^MAX(0,$C628-$AD$613),IF(DATE($C628,5,15)&gt;=$W$613,$Z$613*(1+($U$613)/100)^MAX(0,$C628-$AC$613),IF(DATE($C628,5,15)&gt;=$V$613,$Y$613*(1+($U$613)/100)^MAX(0,$C628-$AB$613),0)))))</f>
      </c>
      <c r="J628" s="43">
        <f>IF($S$613=0,0,IF(OR(DATE($C628,6,15)&lt;$S$613,AND($T$613&gt;0,DATE($C628,6,15)&gt;$T$613)),0,IF(DATE($C628,6,15)&gt;=$X$613,$AA$613*(1+($U$613)/100)^MAX(0,$C628-$AD$613),IF(DATE($C628,6,15)&gt;=$W$613,$Z$613*(1+($U$613)/100)^MAX(0,$C628-$AC$613),IF(DATE($C628,6,15)&gt;=$V$613,$Y$613*(1+($U$613)/100)^MAX(0,$C628-$AB$613),0)))))</f>
      </c>
      <c r="K628" s="43">
        <f>IF($S$613=0,0,IF(OR(DATE($C628,7,15)&lt;$S$613,AND($T$613&gt;0,DATE($C628,7,15)&gt;$T$613)),0,IF(DATE($C628,7,15)&gt;=$X$613,$AA$613*(1+($U$613)/100)^MAX(0,$C628-$AD$613),IF(DATE($C628,7,15)&gt;=$W$613,$Z$613*(1+($U$613)/100)^MAX(0,$C628-$AC$613),IF(DATE($C628,7,15)&gt;=$V$613,$Y$613*(1+($U$613)/100)^MAX(0,$C628-$AB$613),0)))))</f>
      </c>
      <c r="L628" s="43">
        <f>IF($S$613=0,0,IF(OR(DATE($C628,8,15)&lt;$S$613,AND($T$613&gt;0,DATE($C628,8,15)&gt;$T$613)),0,IF(DATE($C628,8,15)&gt;=$X$613,$AA$613*(1+($U$613)/100)^MAX(0,$C628-$AD$613),IF(DATE($C628,8,15)&gt;=$W$613,$Z$613*(1+($U$613)/100)^MAX(0,$C628-$AC$613),IF(DATE($C628,8,15)&gt;=$V$613,$Y$613*(1+($U$613)/100)^MAX(0,$C628-$AB$613),0)))))</f>
      </c>
      <c r="M628" s="43">
        <f>IF($S$613=0,0,IF(OR(DATE($C628,9,15)&lt;$S$613,AND($T$613&gt;0,DATE($C628,9,15)&gt;$T$613)),0,IF(DATE($C628,9,15)&gt;=$X$613,$AA$613*(1+($U$613)/100)^MAX(0,$C628-$AD$613),IF(DATE($C628,9,15)&gt;=$W$613,$Z$613*(1+($U$613)/100)^MAX(0,$C628-$AC$613),IF(DATE($C628,9,15)&gt;=$V$613,$Y$613*(1+($U$613)/100)^MAX(0,$C628-$AB$613),0)))))</f>
      </c>
      <c r="N628" s="43">
        <f>IF($S$613=0,0,IF(OR(DATE($C628,10,15)&lt;$S$613,AND($T$613&gt;0,DATE($C628,10,15)&gt;$T$613)),0,IF(DATE($C628,10,15)&gt;=$X$613,$AA$613*(1+($U$613)/100)^MAX(0,$C628-$AD$613),IF(DATE($C628,10,15)&gt;=$W$613,$Z$613*(1+($U$613)/100)^MAX(0,$C628-$AC$613),IF(DATE($C628,10,15)&gt;=$V$613,$Y$613*(1+($U$613)/100)^MAX(0,$C628-$AB$613),0)))))</f>
      </c>
      <c r="O628" s="43">
        <f>IF($S$613=0,0,IF(OR(DATE($C628,11,15)&lt;$S$613,AND($T$613&gt;0,DATE($C628,11,15)&gt;$T$613)),0,IF(DATE($C628,11,15)&gt;=$X$613,$AA$613*(1+($U$613)/100)^MAX(0,$C628-$AD$613),IF(DATE($C628,11,15)&gt;=$W$613,$Z$613*(1+($U$613)/100)^MAX(0,$C628-$AC$613),IF(DATE($C628,11,15)&gt;=$V$613,$Y$613*(1+($U$613)/100)^MAX(0,$C628-$AB$613),0)))))</f>
      </c>
      <c r="P628" s="43">
        <f>IF($S$613=0,0,IF(OR(DATE($C628,12,15)&lt;$S$613,AND($T$613&gt;0,DATE($C628,12,15)&gt;$T$613)),0,IF(DATE($C628,12,15)&gt;=$X$613,$AA$613*(1+($U$613)/100)^MAX(0,$C628-$AD$613),IF(DATE($C628,12,15)&gt;=$W$613,$Z$613*(1+($U$613)/100)^MAX(0,$C628-$AC$613),IF(DATE($C628,12,15)&gt;=$V$613,$Y$613*(1+($U$613)/100)^MAX(0,$C628-$AB$613),0)))))</f>
      </c>
      <c r="Q628" s="43">
        <f>SUM($E628:$P628)</f>
      </c>
    </row>
    <row r="629">
      <c r="A629"/>
      <c r="B629">
        <v>20</v>
      </c>
      <c r="C629" s="43">
        <f>Jahr+16</f>
      </c>
      <c r="D629" s="43">
        <f>INDEX(MvObj,20)</f>
      </c>
      <c r="E629" s="43">
        <f>IF($S$613=0,0,IF(OR(DATE($C629,1,15)&lt;$S$613,AND($T$613&gt;0,DATE($C629,1,15)&gt;$T$613)),0,IF(DATE($C629,1,15)&gt;=$X$613,$AA$613*(1+($U$613)/100)^MAX(0,$C629-$AD$613),IF(DATE($C629,1,15)&gt;=$W$613,$Z$613*(1+($U$613)/100)^MAX(0,$C629-$AC$613),IF(DATE($C629,1,15)&gt;=$V$613,$Y$613*(1+($U$613)/100)^MAX(0,$C629-$AB$613),0)))))</f>
      </c>
      <c r="F629" s="43">
        <f>IF($S$613=0,0,IF(OR(DATE($C629,2,15)&lt;$S$613,AND($T$613&gt;0,DATE($C629,2,15)&gt;$T$613)),0,IF(DATE($C629,2,15)&gt;=$X$613,$AA$613*(1+($U$613)/100)^MAX(0,$C629-$AD$613),IF(DATE($C629,2,15)&gt;=$W$613,$Z$613*(1+($U$613)/100)^MAX(0,$C629-$AC$613),IF(DATE($C629,2,15)&gt;=$V$613,$Y$613*(1+($U$613)/100)^MAX(0,$C629-$AB$613),0)))))</f>
      </c>
      <c r="G629" s="43">
        <f>IF($S$613=0,0,IF(OR(DATE($C629,3,15)&lt;$S$613,AND($T$613&gt;0,DATE($C629,3,15)&gt;$T$613)),0,IF(DATE($C629,3,15)&gt;=$X$613,$AA$613*(1+($U$613)/100)^MAX(0,$C629-$AD$613),IF(DATE($C629,3,15)&gt;=$W$613,$Z$613*(1+($U$613)/100)^MAX(0,$C629-$AC$613),IF(DATE($C629,3,15)&gt;=$V$613,$Y$613*(1+($U$613)/100)^MAX(0,$C629-$AB$613),0)))))</f>
      </c>
      <c r="H629" s="43">
        <f>IF($S$613=0,0,IF(OR(DATE($C629,4,15)&lt;$S$613,AND($T$613&gt;0,DATE($C629,4,15)&gt;$T$613)),0,IF(DATE($C629,4,15)&gt;=$X$613,$AA$613*(1+($U$613)/100)^MAX(0,$C629-$AD$613),IF(DATE($C629,4,15)&gt;=$W$613,$Z$613*(1+($U$613)/100)^MAX(0,$C629-$AC$613),IF(DATE($C629,4,15)&gt;=$V$613,$Y$613*(1+($U$613)/100)^MAX(0,$C629-$AB$613),0)))))</f>
      </c>
      <c r="I629" s="43">
        <f>IF($S$613=0,0,IF(OR(DATE($C629,5,15)&lt;$S$613,AND($T$613&gt;0,DATE($C629,5,15)&gt;$T$613)),0,IF(DATE($C629,5,15)&gt;=$X$613,$AA$613*(1+($U$613)/100)^MAX(0,$C629-$AD$613),IF(DATE($C629,5,15)&gt;=$W$613,$Z$613*(1+($U$613)/100)^MAX(0,$C629-$AC$613),IF(DATE($C629,5,15)&gt;=$V$613,$Y$613*(1+($U$613)/100)^MAX(0,$C629-$AB$613),0)))))</f>
      </c>
      <c r="J629" s="43">
        <f>IF($S$613=0,0,IF(OR(DATE($C629,6,15)&lt;$S$613,AND($T$613&gt;0,DATE($C629,6,15)&gt;$T$613)),0,IF(DATE($C629,6,15)&gt;=$X$613,$AA$613*(1+($U$613)/100)^MAX(0,$C629-$AD$613),IF(DATE($C629,6,15)&gt;=$W$613,$Z$613*(1+($U$613)/100)^MAX(0,$C629-$AC$613),IF(DATE($C629,6,15)&gt;=$V$613,$Y$613*(1+($U$613)/100)^MAX(0,$C629-$AB$613),0)))))</f>
      </c>
      <c r="K629" s="43">
        <f>IF($S$613=0,0,IF(OR(DATE($C629,7,15)&lt;$S$613,AND($T$613&gt;0,DATE($C629,7,15)&gt;$T$613)),0,IF(DATE($C629,7,15)&gt;=$X$613,$AA$613*(1+($U$613)/100)^MAX(0,$C629-$AD$613),IF(DATE($C629,7,15)&gt;=$W$613,$Z$613*(1+($U$613)/100)^MAX(0,$C629-$AC$613),IF(DATE($C629,7,15)&gt;=$V$613,$Y$613*(1+($U$613)/100)^MAX(0,$C629-$AB$613),0)))))</f>
      </c>
      <c r="L629" s="43">
        <f>IF($S$613=0,0,IF(OR(DATE($C629,8,15)&lt;$S$613,AND($T$613&gt;0,DATE($C629,8,15)&gt;$T$613)),0,IF(DATE($C629,8,15)&gt;=$X$613,$AA$613*(1+($U$613)/100)^MAX(0,$C629-$AD$613),IF(DATE($C629,8,15)&gt;=$W$613,$Z$613*(1+($U$613)/100)^MAX(0,$C629-$AC$613),IF(DATE($C629,8,15)&gt;=$V$613,$Y$613*(1+($U$613)/100)^MAX(0,$C629-$AB$613),0)))))</f>
      </c>
      <c r="M629" s="43">
        <f>IF($S$613=0,0,IF(OR(DATE($C629,9,15)&lt;$S$613,AND($T$613&gt;0,DATE($C629,9,15)&gt;$T$613)),0,IF(DATE($C629,9,15)&gt;=$X$613,$AA$613*(1+($U$613)/100)^MAX(0,$C629-$AD$613),IF(DATE($C629,9,15)&gt;=$W$613,$Z$613*(1+($U$613)/100)^MAX(0,$C629-$AC$613),IF(DATE($C629,9,15)&gt;=$V$613,$Y$613*(1+($U$613)/100)^MAX(0,$C629-$AB$613),0)))))</f>
      </c>
      <c r="N629" s="43">
        <f>IF($S$613=0,0,IF(OR(DATE($C629,10,15)&lt;$S$613,AND($T$613&gt;0,DATE($C629,10,15)&gt;$T$613)),0,IF(DATE($C629,10,15)&gt;=$X$613,$AA$613*(1+($U$613)/100)^MAX(0,$C629-$AD$613),IF(DATE($C629,10,15)&gt;=$W$613,$Z$613*(1+($U$613)/100)^MAX(0,$C629-$AC$613),IF(DATE($C629,10,15)&gt;=$V$613,$Y$613*(1+($U$613)/100)^MAX(0,$C629-$AB$613),0)))))</f>
      </c>
      <c r="O629" s="43">
        <f>IF($S$613=0,0,IF(OR(DATE($C629,11,15)&lt;$S$613,AND($T$613&gt;0,DATE($C629,11,15)&gt;$T$613)),0,IF(DATE($C629,11,15)&gt;=$X$613,$AA$613*(1+($U$613)/100)^MAX(0,$C629-$AD$613),IF(DATE($C629,11,15)&gt;=$W$613,$Z$613*(1+($U$613)/100)^MAX(0,$C629-$AC$613),IF(DATE($C629,11,15)&gt;=$V$613,$Y$613*(1+($U$613)/100)^MAX(0,$C629-$AB$613),0)))))</f>
      </c>
      <c r="P629" s="43">
        <f>IF($S$613=0,0,IF(OR(DATE($C629,12,15)&lt;$S$613,AND($T$613&gt;0,DATE($C629,12,15)&gt;$T$613)),0,IF(DATE($C629,12,15)&gt;=$X$613,$AA$613*(1+($U$613)/100)^MAX(0,$C629-$AD$613),IF(DATE($C629,12,15)&gt;=$W$613,$Z$613*(1+($U$613)/100)^MAX(0,$C629-$AC$613),IF(DATE($C629,12,15)&gt;=$V$613,$Y$613*(1+($U$613)/100)^MAX(0,$C629-$AB$613),0)))))</f>
      </c>
      <c r="Q629" s="43">
        <f>SUM($E629:$P629)</f>
      </c>
    </row>
    <row r="630">
      <c r="A630"/>
      <c r="B630">
        <v>20</v>
      </c>
      <c r="C630" s="43">
        <f>Jahr+17</f>
      </c>
      <c r="D630" s="43">
        <f>INDEX(MvObj,20)</f>
      </c>
      <c r="E630" s="43">
        <f>IF($S$613=0,0,IF(OR(DATE($C630,1,15)&lt;$S$613,AND($T$613&gt;0,DATE($C630,1,15)&gt;$T$613)),0,IF(DATE($C630,1,15)&gt;=$X$613,$AA$613*(1+($U$613)/100)^MAX(0,$C630-$AD$613),IF(DATE($C630,1,15)&gt;=$W$613,$Z$613*(1+($U$613)/100)^MAX(0,$C630-$AC$613),IF(DATE($C630,1,15)&gt;=$V$613,$Y$613*(1+($U$613)/100)^MAX(0,$C630-$AB$613),0)))))</f>
      </c>
      <c r="F630" s="43">
        <f>IF($S$613=0,0,IF(OR(DATE($C630,2,15)&lt;$S$613,AND($T$613&gt;0,DATE($C630,2,15)&gt;$T$613)),0,IF(DATE($C630,2,15)&gt;=$X$613,$AA$613*(1+($U$613)/100)^MAX(0,$C630-$AD$613),IF(DATE($C630,2,15)&gt;=$W$613,$Z$613*(1+($U$613)/100)^MAX(0,$C630-$AC$613),IF(DATE($C630,2,15)&gt;=$V$613,$Y$613*(1+($U$613)/100)^MAX(0,$C630-$AB$613),0)))))</f>
      </c>
      <c r="G630" s="43">
        <f>IF($S$613=0,0,IF(OR(DATE($C630,3,15)&lt;$S$613,AND($T$613&gt;0,DATE($C630,3,15)&gt;$T$613)),0,IF(DATE($C630,3,15)&gt;=$X$613,$AA$613*(1+($U$613)/100)^MAX(0,$C630-$AD$613),IF(DATE($C630,3,15)&gt;=$W$613,$Z$613*(1+($U$613)/100)^MAX(0,$C630-$AC$613),IF(DATE($C630,3,15)&gt;=$V$613,$Y$613*(1+($U$613)/100)^MAX(0,$C630-$AB$613),0)))))</f>
      </c>
      <c r="H630" s="43">
        <f>IF($S$613=0,0,IF(OR(DATE($C630,4,15)&lt;$S$613,AND($T$613&gt;0,DATE($C630,4,15)&gt;$T$613)),0,IF(DATE($C630,4,15)&gt;=$X$613,$AA$613*(1+($U$613)/100)^MAX(0,$C630-$AD$613),IF(DATE($C630,4,15)&gt;=$W$613,$Z$613*(1+($U$613)/100)^MAX(0,$C630-$AC$613),IF(DATE($C630,4,15)&gt;=$V$613,$Y$613*(1+($U$613)/100)^MAX(0,$C630-$AB$613),0)))))</f>
      </c>
      <c r="I630" s="43">
        <f>IF($S$613=0,0,IF(OR(DATE($C630,5,15)&lt;$S$613,AND($T$613&gt;0,DATE($C630,5,15)&gt;$T$613)),0,IF(DATE($C630,5,15)&gt;=$X$613,$AA$613*(1+($U$613)/100)^MAX(0,$C630-$AD$613),IF(DATE($C630,5,15)&gt;=$W$613,$Z$613*(1+($U$613)/100)^MAX(0,$C630-$AC$613),IF(DATE($C630,5,15)&gt;=$V$613,$Y$613*(1+($U$613)/100)^MAX(0,$C630-$AB$613),0)))))</f>
      </c>
      <c r="J630" s="43">
        <f>IF($S$613=0,0,IF(OR(DATE($C630,6,15)&lt;$S$613,AND($T$613&gt;0,DATE($C630,6,15)&gt;$T$613)),0,IF(DATE($C630,6,15)&gt;=$X$613,$AA$613*(1+($U$613)/100)^MAX(0,$C630-$AD$613),IF(DATE($C630,6,15)&gt;=$W$613,$Z$613*(1+($U$613)/100)^MAX(0,$C630-$AC$613),IF(DATE($C630,6,15)&gt;=$V$613,$Y$613*(1+($U$613)/100)^MAX(0,$C630-$AB$613),0)))))</f>
      </c>
      <c r="K630" s="43">
        <f>IF($S$613=0,0,IF(OR(DATE($C630,7,15)&lt;$S$613,AND($T$613&gt;0,DATE($C630,7,15)&gt;$T$613)),0,IF(DATE($C630,7,15)&gt;=$X$613,$AA$613*(1+($U$613)/100)^MAX(0,$C630-$AD$613),IF(DATE($C630,7,15)&gt;=$W$613,$Z$613*(1+($U$613)/100)^MAX(0,$C630-$AC$613),IF(DATE($C630,7,15)&gt;=$V$613,$Y$613*(1+($U$613)/100)^MAX(0,$C630-$AB$613),0)))))</f>
      </c>
      <c r="L630" s="43">
        <f>IF($S$613=0,0,IF(OR(DATE($C630,8,15)&lt;$S$613,AND($T$613&gt;0,DATE($C630,8,15)&gt;$T$613)),0,IF(DATE($C630,8,15)&gt;=$X$613,$AA$613*(1+($U$613)/100)^MAX(0,$C630-$AD$613),IF(DATE($C630,8,15)&gt;=$W$613,$Z$613*(1+($U$613)/100)^MAX(0,$C630-$AC$613),IF(DATE($C630,8,15)&gt;=$V$613,$Y$613*(1+($U$613)/100)^MAX(0,$C630-$AB$613),0)))))</f>
      </c>
      <c r="M630" s="43">
        <f>IF($S$613=0,0,IF(OR(DATE($C630,9,15)&lt;$S$613,AND($T$613&gt;0,DATE($C630,9,15)&gt;$T$613)),0,IF(DATE($C630,9,15)&gt;=$X$613,$AA$613*(1+($U$613)/100)^MAX(0,$C630-$AD$613),IF(DATE($C630,9,15)&gt;=$W$613,$Z$613*(1+($U$613)/100)^MAX(0,$C630-$AC$613),IF(DATE($C630,9,15)&gt;=$V$613,$Y$613*(1+($U$613)/100)^MAX(0,$C630-$AB$613),0)))))</f>
      </c>
      <c r="N630" s="43">
        <f>IF($S$613=0,0,IF(OR(DATE($C630,10,15)&lt;$S$613,AND($T$613&gt;0,DATE($C630,10,15)&gt;$T$613)),0,IF(DATE($C630,10,15)&gt;=$X$613,$AA$613*(1+($U$613)/100)^MAX(0,$C630-$AD$613),IF(DATE($C630,10,15)&gt;=$W$613,$Z$613*(1+($U$613)/100)^MAX(0,$C630-$AC$613),IF(DATE($C630,10,15)&gt;=$V$613,$Y$613*(1+($U$613)/100)^MAX(0,$C630-$AB$613),0)))))</f>
      </c>
      <c r="O630" s="43">
        <f>IF($S$613=0,0,IF(OR(DATE($C630,11,15)&lt;$S$613,AND($T$613&gt;0,DATE($C630,11,15)&gt;$T$613)),0,IF(DATE($C630,11,15)&gt;=$X$613,$AA$613*(1+($U$613)/100)^MAX(0,$C630-$AD$613),IF(DATE($C630,11,15)&gt;=$W$613,$Z$613*(1+($U$613)/100)^MAX(0,$C630-$AC$613),IF(DATE($C630,11,15)&gt;=$V$613,$Y$613*(1+($U$613)/100)^MAX(0,$C630-$AB$613),0)))))</f>
      </c>
      <c r="P630" s="43">
        <f>IF($S$613=0,0,IF(OR(DATE($C630,12,15)&lt;$S$613,AND($T$613&gt;0,DATE($C630,12,15)&gt;$T$613)),0,IF(DATE($C630,12,15)&gt;=$X$613,$AA$613*(1+($U$613)/100)^MAX(0,$C630-$AD$613),IF(DATE($C630,12,15)&gt;=$W$613,$Z$613*(1+($U$613)/100)^MAX(0,$C630-$AC$613),IF(DATE($C630,12,15)&gt;=$V$613,$Y$613*(1+($U$613)/100)^MAX(0,$C630-$AB$613),0)))))</f>
      </c>
      <c r="Q630" s="43">
        <f>SUM($E630:$P630)</f>
      </c>
    </row>
    <row r="631">
      <c r="A631"/>
      <c r="B631">
        <v>20</v>
      </c>
      <c r="C631" s="43">
        <f>Jahr+18</f>
      </c>
      <c r="D631" s="43">
        <f>INDEX(MvObj,20)</f>
      </c>
      <c r="E631" s="43">
        <f>IF($S$613=0,0,IF(OR(DATE($C631,1,15)&lt;$S$613,AND($T$613&gt;0,DATE($C631,1,15)&gt;$T$613)),0,IF(DATE($C631,1,15)&gt;=$X$613,$AA$613*(1+($U$613)/100)^MAX(0,$C631-$AD$613),IF(DATE($C631,1,15)&gt;=$W$613,$Z$613*(1+($U$613)/100)^MAX(0,$C631-$AC$613),IF(DATE($C631,1,15)&gt;=$V$613,$Y$613*(1+($U$613)/100)^MAX(0,$C631-$AB$613),0)))))</f>
      </c>
      <c r="F631" s="43">
        <f>IF($S$613=0,0,IF(OR(DATE($C631,2,15)&lt;$S$613,AND($T$613&gt;0,DATE($C631,2,15)&gt;$T$613)),0,IF(DATE($C631,2,15)&gt;=$X$613,$AA$613*(1+($U$613)/100)^MAX(0,$C631-$AD$613),IF(DATE($C631,2,15)&gt;=$W$613,$Z$613*(1+($U$613)/100)^MAX(0,$C631-$AC$613),IF(DATE($C631,2,15)&gt;=$V$613,$Y$613*(1+($U$613)/100)^MAX(0,$C631-$AB$613),0)))))</f>
      </c>
      <c r="G631" s="43">
        <f>IF($S$613=0,0,IF(OR(DATE($C631,3,15)&lt;$S$613,AND($T$613&gt;0,DATE($C631,3,15)&gt;$T$613)),0,IF(DATE($C631,3,15)&gt;=$X$613,$AA$613*(1+($U$613)/100)^MAX(0,$C631-$AD$613),IF(DATE($C631,3,15)&gt;=$W$613,$Z$613*(1+($U$613)/100)^MAX(0,$C631-$AC$613),IF(DATE($C631,3,15)&gt;=$V$613,$Y$613*(1+($U$613)/100)^MAX(0,$C631-$AB$613),0)))))</f>
      </c>
      <c r="H631" s="43">
        <f>IF($S$613=0,0,IF(OR(DATE($C631,4,15)&lt;$S$613,AND($T$613&gt;0,DATE($C631,4,15)&gt;$T$613)),0,IF(DATE($C631,4,15)&gt;=$X$613,$AA$613*(1+($U$613)/100)^MAX(0,$C631-$AD$613),IF(DATE($C631,4,15)&gt;=$W$613,$Z$613*(1+($U$613)/100)^MAX(0,$C631-$AC$613),IF(DATE($C631,4,15)&gt;=$V$613,$Y$613*(1+($U$613)/100)^MAX(0,$C631-$AB$613),0)))))</f>
      </c>
      <c r="I631" s="43">
        <f>IF($S$613=0,0,IF(OR(DATE($C631,5,15)&lt;$S$613,AND($T$613&gt;0,DATE($C631,5,15)&gt;$T$613)),0,IF(DATE($C631,5,15)&gt;=$X$613,$AA$613*(1+($U$613)/100)^MAX(0,$C631-$AD$613),IF(DATE($C631,5,15)&gt;=$W$613,$Z$613*(1+($U$613)/100)^MAX(0,$C631-$AC$613),IF(DATE($C631,5,15)&gt;=$V$613,$Y$613*(1+($U$613)/100)^MAX(0,$C631-$AB$613),0)))))</f>
      </c>
      <c r="J631" s="43">
        <f>IF($S$613=0,0,IF(OR(DATE($C631,6,15)&lt;$S$613,AND($T$613&gt;0,DATE($C631,6,15)&gt;$T$613)),0,IF(DATE($C631,6,15)&gt;=$X$613,$AA$613*(1+($U$613)/100)^MAX(0,$C631-$AD$613),IF(DATE($C631,6,15)&gt;=$W$613,$Z$613*(1+($U$613)/100)^MAX(0,$C631-$AC$613),IF(DATE($C631,6,15)&gt;=$V$613,$Y$613*(1+($U$613)/100)^MAX(0,$C631-$AB$613),0)))))</f>
      </c>
      <c r="K631" s="43">
        <f>IF($S$613=0,0,IF(OR(DATE($C631,7,15)&lt;$S$613,AND($T$613&gt;0,DATE($C631,7,15)&gt;$T$613)),0,IF(DATE($C631,7,15)&gt;=$X$613,$AA$613*(1+($U$613)/100)^MAX(0,$C631-$AD$613),IF(DATE($C631,7,15)&gt;=$W$613,$Z$613*(1+($U$613)/100)^MAX(0,$C631-$AC$613),IF(DATE($C631,7,15)&gt;=$V$613,$Y$613*(1+($U$613)/100)^MAX(0,$C631-$AB$613),0)))))</f>
      </c>
      <c r="L631" s="43">
        <f>IF($S$613=0,0,IF(OR(DATE($C631,8,15)&lt;$S$613,AND($T$613&gt;0,DATE($C631,8,15)&gt;$T$613)),0,IF(DATE($C631,8,15)&gt;=$X$613,$AA$613*(1+($U$613)/100)^MAX(0,$C631-$AD$613),IF(DATE($C631,8,15)&gt;=$W$613,$Z$613*(1+($U$613)/100)^MAX(0,$C631-$AC$613),IF(DATE($C631,8,15)&gt;=$V$613,$Y$613*(1+($U$613)/100)^MAX(0,$C631-$AB$613),0)))))</f>
      </c>
      <c r="M631" s="43">
        <f>IF($S$613=0,0,IF(OR(DATE($C631,9,15)&lt;$S$613,AND($T$613&gt;0,DATE($C631,9,15)&gt;$T$613)),0,IF(DATE($C631,9,15)&gt;=$X$613,$AA$613*(1+($U$613)/100)^MAX(0,$C631-$AD$613),IF(DATE($C631,9,15)&gt;=$W$613,$Z$613*(1+($U$613)/100)^MAX(0,$C631-$AC$613),IF(DATE($C631,9,15)&gt;=$V$613,$Y$613*(1+($U$613)/100)^MAX(0,$C631-$AB$613),0)))))</f>
      </c>
      <c r="N631" s="43">
        <f>IF($S$613=0,0,IF(OR(DATE($C631,10,15)&lt;$S$613,AND($T$613&gt;0,DATE($C631,10,15)&gt;$T$613)),0,IF(DATE($C631,10,15)&gt;=$X$613,$AA$613*(1+($U$613)/100)^MAX(0,$C631-$AD$613),IF(DATE($C631,10,15)&gt;=$W$613,$Z$613*(1+($U$613)/100)^MAX(0,$C631-$AC$613),IF(DATE($C631,10,15)&gt;=$V$613,$Y$613*(1+($U$613)/100)^MAX(0,$C631-$AB$613),0)))))</f>
      </c>
      <c r="O631" s="43">
        <f>IF($S$613=0,0,IF(OR(DATE($C631,11,15)&lt;$S$613,AND($T$613&gt;0,DATE($C631,11,15)&gt;$T$613)),0,IF(DATE($C631,11,15)&gt;=$X$613,$AA$613*(1+($U$613)/100)^MAX(0,$C631-$AD$613),IF(DATE($C631,11,15)&gt;=$W$613,$Z$613*(1+($U$613)/100)^MAX(0,$C631-$AC$613),IF(DATE($C631,11,15)&gt;=$V$613,$Y$613*(1+($U$613)/100)^MAX(0,$C631-$AB$613),0)))))</f>
      </c>
      <c r="P631" s="43">
        <f>IF($S$613=0,0,IF(OR(DATE($C631,12,15)&lt;$S$613,AND($T$613&gt;0,DATE($C631,12,15)&gt;$T$613)),0,IF(DATE($C631,12,15)&gt;=$X$613,$AA$613*(1+($U$613)/100)^MAX(0,$C631-$AD$613),IF(DATE($C631,12,15)&gt;=$W$613,$Z$613*(1+($U$613)/100)^MAX(0,$C631-$AC$613),IF(DATE($C631,12,15)&gt;=$V$613,$Y$613*(1+($U$613)/100)^MAX(0,$C631-$AB$613),0)))))</f>
      </c>
      <c r="Q631" s="43">
        <f>SUM($E631:$P631)</f>
      </c>
    </row>
    <row r="632">
      <c r="A632"/>
      <c r="B632">
        <v>20</v>
      </c>
      <c r="C632" s="43">
        <f>Jahr+19</f>
      </c>
      <c r="D632" s="43">
        <f>INDEX(MvObj,20)</f>
      </c>
      <c r="E632" s="43">
        <f>IF($S$613=0,0,IF(OR(DATE($C632,1,15)&lt;$S$613,AND($T$613&gt;0,DATE($C632,1,15)&gt;$T$613)),0,IF(DATE($C632,1,15)&gt;=$X$613,$AA$613*(1+($U$613)/100)^MAX(0,$C632-$AD$613),IF(DATE($C632,1,15)&gt;=$W$613,$Z$613*(1+($U$613)/100)^MAX(0,$C632-$AC$613),IF(DATE($C632,1,15)&gt;=$V$613,$Y$613*(1+($U$613)/100)^MAX(0,$C632-$AB$613),0)))))</f>
      </c>
      <c r="F632" s="43">
        <f>IF($S$613=0,0,IF(OR(DATE($C632,2,15)&lt;$S$613,AND($T$613&gt;0,DATE($C632,2,15)&gt;$T$613)),0,IF(DATE($C632,2,15)&gt;=$X$613,$AA$613*(1+($U$613)/100)^MAX(0,$C632-$AD$613),IF(DATE($C632,2,15)&gt;=$W$613,$Z$613*(1+($U$613)/100)^MAX(0,$C632-$AC$613),IF(DATE($C632,2,15)&gt;=$V$613,$Y$613*(1+($U$613)/100)^MAX(0,$C632-$AB$613),0)))))</f>
      </c>
      <c r="G632" s="43">
        <f>IF($S$613=0,0,IF(OR(DATE($C632,3,15)&lt;$S$613,AND($T$613&gt;0,DATE($C632,3,15)&gt;$T$613)),0,IF(DATE($C632,3,15)&gt;=$X$613,$AA$613*(1+($U$613)/100)^MAX(0,$C632-$AD$613),IF(DATE($C632,3,15)&gt;=$W$613,$Z$613*(1+($U$613)/100)^MAX(0,$C632-$AC$613),IF(DATE($C632,3,15)&gt;=$V$613,$Y$613*(1+($U$613)/100)^MAX(0,$C632-$AB$613),0)))))</f>
      </c>
      <c r="H632" s="43">
        <f>IF($S$613=0,0,IF(OR(DATE($C632,4,15)&lt;$S$613,AND($T$613&gt;0,DATE($C632,4,15)&gt;$T$613)),0,IF(DATE($C632,4,15)&gt;=$X$613,$AA$613*(1+($U$613)/100)^MAX(0,$C632-$AD$613),IF(DATE($C632,4,15)&gt;=$W$613,$Z$613*(1+($U$613)/100)^MAX(0,$C632-$AC$613),IF(DATE($C632,4,15)&gt;=$V$613,$Y$613*(1+($U$613)/100)^MAX(0,$C632-$AB$613),0)))))</f>
      </c>
      <c r="I632" s="43">
        <f>IF($S$613=0,0,IF(OR(DATE($C632,5,15)&lt;$S$613,AND($T$613&gt;0,DATE($C632,5,15)&gt;$T$613)),0,IF(DATE($C632,5,15)&gt;=$X$613,$AA$613*(1+($U$613)/100)^MAX(0,$C632-$AD$613),IF(DATE($C632,5,15)&gt;=$W$613,$Z$613*(1+($U$613)/100)^MAX(0,$C632-$AC$613),IF(DATE($C632,5,15)&gt;=$V$613,$Y$613*(1+($U$613)/100)^MAX(0,$C632-$AB$613),0)))))</f>
      </c>
      <c r="J632" s="43">
        <f>IF($S$613=0,0,IF(OR(DATE($C632,6,15)&lt;$S$613,AND($T$613&gt;0,DATE($C632,6,15)&gt;$T$613)),0,IF(DATE($C632,6,15)&gt;=$X$613,$AA$613*(1+($U$613)/100)^MAX(0,$C632-$AD$613),IF(DATE($C632,6,15)&gt;=$W$613,$Z$613*(1+($U$613)/100)^MAX(0,$C632-$AC$613),IF(DATE($C632,6,15)&gt;=$V$613,$Y$613*(1+($U$613)/100)^MAX(0,$C632-$AB$613),0)))))</f>
      </c>
      <c r="K632" s="43">
        <f>IF($S$613=0,0,IF(OR(DATE($C632,7,15)&lt;$S$613,AND($T$613&gt;0,DATE($C632,7,15)&gt;$T$613)),0,IF(DATE($C632,7,15)&gt;=$X$613,$AA$613*(1+($U$613)/100)^MAX(0,$C632-$AD$613),IF(DATE($C632,7,15)&gt;=$W$613,$Z$613*(1+($U$613)/100)^MAX(0,$C632-$AC$613),IF(DATE($C632,7,15)&gt;=$V$613,$Y$613*(1+($U$613)/100)^MAX(0,$C632-$AB$613),0)))))</f>
      </c>
      <c r="L632" s="43">
        <f>IF($S$613=0,0,IF(OR(DATE($C632,8,15)&lt;$S$613,AND($T$613&gt;0,DATE($C632,8,15)&gt;$T$613)),0,IF(DATE($C632,8,15)&gt;=$X$613,$AA$613*(1+($U$613)/100)^MAX(0,$C632-$AD$613),IF(DATE($C632,8,15)&gt;=$W$613,$Z$613*(1+($U$613)/100)^MAX(0,$C632-$AC$613),IF(DATE($C632,8,15)&gt;=$V$613,$Y$613*(1+($U$613)/100)^MAX(0,$C632-$AB$613),0)))))</f>
      </c>
      <c r="M632" s="43">
        <f>IF($S$613=0,0,IF(OR(DATE($C632,9,15)&lt;$S$613,AND($T$613&gt;0,DATE($C632,9,15)&gt;$T$613)),0,IF(DATE($C632,9,15)&gt;=$X$613,$AA$613*(1+($U$613)/100)^MAX(0,$C632-$AD$613),IF(DATE($C632,9,15)&gt;=$W$613,$Z$613*(1+($U$613)/100)^MAX(0,$C632-$AC$613),IF(DATE($C632,9,15)&gt;=$V$613,$Y$613*(1+($U$613)/100)^MAX(0,$C632-$AB$613),0)))))</f>
      </c>
      <c r="N632" s="43">
        <f>IF($S$613=0,0,IF(OR(DATE($C632,10,15)&lt;$S$613,AND($T$613&gt;0,DATE($C632,10,15)&gt;$T$613)),0,IF(DATE($C632,10,15)&gt;=$X$613,$AA$613*(1+($U$613)/100)^MAX(0,$C632-$AD$613),IF(DATE($C632,10,15)&gt;=$W$613,$Z$613*(1+($U$613)/100)^MAX(0,$C632-$AC$613),IF(DATE($C632,10,15)&gt;=$V$613,$Y$613*(1+($U$613)/100)^MAX(0,$C632-$AB$613),0)))))</f>
      </c>
      <c r="O632" s="43">
        <f>IF($S$613=0,0,IF(OR(DATE($C632,11,15)&lt;$S$613,AND($T$613&gt;0,DATE($C632,11,15)&gt;$T$613)),0,IF(DATE($C632,11,15)&gt;=$X$613,$AA$613*(1+($U$613)/100)^MAX(0,$C632-$AD$613),IF(DATE($C632,11,15)&gt;=$W$613,$Z$613*(1+($U$613)/100)^MAX(0,$C632-$AC$613),IF(DATE($C632,11,15)&gt;=$V$613,$Y$613*(1+($U$613)/100)^MAX(0,$C632-$AB$613),0)))))</f>
      </c>
      <c r="P632" s="43">
        <f>IF($S$613=0,0,IF(OR(DATE($C632,12,15)&lt;$S$613,AND($T$613&gt;0,DATE($C632,12,15)&gt;$T$613)),0,IF(DATE($C632,12,15)&gt;=$X$613,$AA$613*(1+($U$613)/100)^MAX(0,$C632-$AD$613),IF(DATE($C632,12,15)&gt;=$W$613,$Z$613*(1+($U$613)/100)^MAX(0,$C632-$AC$613),IF(DATE($C632,12,15)&gt;=$V$613,$Y$613*(1+($U$613)/100)^MAX(0,$C632-$AB$613),0)))))</f>
      </c>
      <c r="Q632" s="43">
        <f>SUM($E632:$P632)</f>
      </c>
    </row>
    <row r="633">
      <c r="A633"/>
      <c r="B633">
        <v>20</v>
      </c>
      <c r="C633" s="43">
        <f>Jahr+20</f>
      </c>
      <c r="D633" s="43">
        <f>INDEX(MvObj,20)</f>
      </c>
      <c r="E633" s="43">
        <f>IF($S$613=0,0,IF(OR(DATE($C633,1,15)&lt;$S$613,AND($T$613&gt;0,DATE($C633,1,15)&gt;$T$613)),0,IF(DATE($C633,1,15)&gt;=$X$613,$AA$613*(1+($U$613)/100)^MAX(0,$C633-$AD$613),IF(DATE($C633,1,15)&gt;=$W$613,$Z$613*(1+($U$613)/100)^MAX(0,$C633-$AC$613),IF(DATE($C633,1,15)&gt;=$V$613,$Y$613*(1+($U$613)/100)^MAX(0,$C633-$AB$613),0)))))</f>
      </c>
      <c r="F633" s="43">
        <f>IF($S$613=0,0,IF(OR(DATE($C633,2,15)&lt;$S$613,AND($T$613&gt;0,DATE($C633,2,15)&gt;$T$613)),0,IF(DATE($C633,2,15)&gt;=$X$613,$AA$613*(1+($U$613)/100)^MAX(0,$C633-$AD$613),IF(DATE($C633,2,15)&gt;=$W$613,$Z$613*(1+($U$613)/100)^MAX(0,$C633-$AC$613),IF(DATE($C633,2,15)&gt;=$V$613,$Y$613*(1+($U$613)/100)^MAX(0,$C633-$AB$613),0)))))</f>
      </c>
      <c r="G633" s="43">
        <f>IF($S$613=0,0,IF(OR(DATE($C633,3,15)&lt;$S$613,AND($T$613&gt;0,DATE($C633,3,15)&gt;$T$613)),0,IF(DATE($C633,3,15)&gt;=$X$613,$AA$613*(1+($U$613)/100)^MAX(0,$C633-$AD$613),IF(DATE($C633,3,15)&gt;=$W$613,$Z$613*(1+($U$613)/100)^MAX(0,$C633-$AC$613),IF(DATE($C633,3,15)&gt;=$V$613,$Y$613*(1+($U$613)/100)^MAX(0,$C633-$AB$613),0)))))</f>
      </c>
      <c r="H633" s="43">
        <f>IF($S$613=0,0,IF(OR(DATE($C633,4,15)&lt;$S$613,AND($T$613&gt;0,DATE($C633,4,15)&gt;$T$613)),0,IF(DATE($C633,4,15)&gt;=$X$613,$AA$613*(1+($U$613)/100)^MAX(0,$C633-$AD$613),IF(DATE($C633,4,15)&gt;=$W$613,$Z$613*(1+($U$613)/100)^MAX(0,$C633-$AC$613),IF(DATE($C633,4,15)&gt;=$V$613,$Y$613*(1+($U$613)/100)^MAX(0,$C633-$AB$613),0)))))</f>
      </c>
      <c r="I633" s="43">
        <f>IF($S$613=0,0,IF(OR(DATE($C633,5,15)&lt;$S$613,AND($T$613&gt;0,DATE($C633,5,15)&gt;$T$613)),0,IF(DATE($C633,5,15)&gt;=$X$613,$AA$613*(1+($U$613)/100)^MAX(0,$C633-$AD$613),IF(DATE($C633,5,15)&gt;=$W$613,$Z$613*(1+($U$613)/100)^MAX(0,$C633-$AC$613),IF(DATE($C633,5,15)&gt;=$V$613,$Y$613*(1+($U$613)/100)^MAX(0,$C633-$AB$613),0)))))</f>
      </c>
      <c r="J633" s="43">
        <f>IF($S$613=0,0,IF(OR(DATE($C633,6,15)&lt;$S$613,AND($T$613&gt;0,DATE($C633,6,15)&gt;$T$613)),0,IF(DATE($C633,6,15)&gt;=$X$613,$AA$613*(1+($U$613)/100)^MAX(0,$C633-$AD$613),IF(DATE($C633,6,15)&gt;=$W$613,$Z$613*(1+($U$613)/100)^MAX(0,$C633-$AC$613),IF(DATE($C633,6,15)&gt;=$V$613,$Y$613*(1+($U$613)/100)^MAX(0,$C633-$AB$613),0)))))</f>
      </c>
      <c r="K633" s="43">
        <f>IF($S$613=0,0,IF(OR(DATE($C633,7,15)&lt;$S$613,AND($T$613&gt;0,DATE($C633,7,15)&gt;$T$613)),0,IF(DATE($C633,7,15)&gt;=$X$613,$AA$613*(1+($U$613)/100)^MAX(0,$C633-$AD$613),IF(DATE($C633,7,15)&gt;=$W$613,$Z$613*(1+($U$613)/100)^MAX(0,$C633-$AC$613),IF(DATE($C633,7,15)&gt;=$V$613,$Y$613*(1+($U$613)/100)^MAX(0,$C633-$AB$613),0)))))</f>
      </c>
      <c r="L633" s="43">
        <f>IF($S$613=0,0,IF(OR(DATE($C633,8,15)&lt;$S$613,AND($T$613&gt;0,DATE($C633,8,15)&gt;$T$613)),0,IF(DATE($C633,8,15)&gt;=$X$613,$AA$613*(1+($U$613)/100)^MAX(0,$C633-$AD$613),IF(DATE($C633,8,15)&gt;=$W$613,$Z$613*(1+($U$613)/100)^MAX(0,$C633-$AC$613),IF(DATE($C633,8,15)&gt;=$V$613,$Y$613*(1+($U$613)/100)^MAX(0,$C633-$AB$613),0)))))</f>
      </c>
      <c r="M633" s="43">
        <f>IF($S$613=0,0,IF(OR(DATE($C633,9,15)&lt;$S$613,AND($T$613&gt;0,DATE($C633,9,15)&gt;$T$613)),0,IF(DATE($C633,9,15)&gt;=$X$613,$AA$613*(1+($U$613)/100)^MAX(0,$C633-$AD$613),IF(DATE($C633,9,15)&gt;=$W$613,$Z$613*(1+($U$613)/100)^MAX(0,$C633-$AC$613),IF(DATE($C633,9,15)&gt;=$V$613,$Y$613*(1+($U$613)/100)^MAX(0,$C633-$AB$613),0)))))</f>
      </c>
      <c r="N633" s="43">
        <f>IF($S$613=0,0,IF(OR(DATE($C633,10,15)&lt;$S$613,AND($T$613&gt;0,DATE($C633,10,15)&gt;$T$613)),0,IF(DATE($C633,10,15)&gt;=$X$613,$AA$613*(1+($U$613)/100)^MAX(0,$C633-$AD$613),IF(DATE($C633,10,15)&gt;=$W$613,$Z$613*(1+($U$613)/100)^MAX(0,$C633-$AC$613),IF(DATE($C633,10,15)&gt;=$V$613,$Y$613*(1+($U$613)/100)^MAX(0,$C633-$AB$613),0)))))</f>
      </c>
      <c r="O633" s="43">
        <f>IF($S$613=0,0,IF(OR(DATE($C633,11,15)&lt;$S$613,AND($T$613&gt;0,DATE($C633,11,15)&gt;$T$613)),0,IF(DATE($C633,11,15)&gt;=$X$613,$AA$613*(1+($U$613)/100)^MAX(0,$C633-$AD$613),IF(DATE($C633,11,15)&gt;=$W$613,$Z$613*(1+($U$613)/100)^MAX(0,$C633-$AC$613),IF(DATE($C633,11,15)&gt;=$V$613,$Y$613*(1+($U$613)/100)^MAX(0,$C633-$AB$613),0)))))</f>
      </c>
      <c r="P633" s="43">
        <f>IF($S$613=0,0,IF(OR(DATE($C633,12,15)&lt;$S$613,AND($T$613&gt;0,DATE($C633,12,15)&gt;$T$613)),0,IF(DATE($C633,12,15)&gt;=$X$613,$AA$613*(1+($U$613)/100)^MAX(0,$C633-$AD$613),IF(DATE($C633,12,15)&gt;=$W$613,$Z$613*(1+($U$613)/100)^MAX(0,$C633-$AC$613),IF(DATE($C633,12,15)&gt;=$V$613,$Y$613*(1+($U$613)/100)^MAX(0,$C633-$AB$613),0)))))</f>
      </c>
      <c r="Q633" s="43">
        <f>SUM($E633:$P633)</f>
      </c>
    </row>
    <row r="634">
      <c r="A634"/>
      <c r="B634">
        <v>20</v>
      </c>
      <c r="C634" s="43">
        <f>Jahr+21</f>
      </c>
      <c r="D634" s="43">
        <f>INDEX(MvObj,20)</f>
      </c>
      <c r="E634" s="43">
        <f>IF($S$613=0,0,IF(OR(DATE($C634,1,15)&lt;$S$613,AND($T$613&gt;0,DATE($C634,1,15)&gt;$T$613)),0,IF(DATE($C634,1,15)&gt;=$X$613,$AA$613*(1+($U$613)/100)^MAX(0,$C634-$AD$613),IF(DATE($C634,1,15)&gt;=$W$613,$Z$613*(1+($U$613)/100)^MAX(0,$C634-$AC$613),IF(DATE($C634,1,15)&gt;=$V$613,$Y$613*(1+($U$613)/100)^MAX(0,$C634-$AB$613),0)))))</f>
      </c>
      <c r="F634" s="43">
        <f>IF($S$613=0,0,IF(OR(DATE($C634,2,15)&lt;$S$613,AND($T$613&gt;0,DATE($C634,2,15)&gt;$T$613)),0,IF(DATE($C634,2,15)&gt;=$X$613,$AA$613*(1+($U$613)/100)^MAX(0,$C634-$AD$613),IF(DATE($C634,2,15)&gt;=$W$613,$Z$613*(1+($U$613)/100)^MAX(0,$C634-$AC$613),IF(DATE($C634,2,15)&gt;=$V$613,$Y$613*(1+($U$613)/100)^MAX(0,$C634-$AB$613),0)))))</f>
      </c>
      <c r="G634" s="43">
        <f>IF($S$613=0,0,IF(OR(DATE($C634,3,15)&lt;$S$613,AND($T$613&gt;0,DATE($C634,3,15)&gt;$T$613)),0,IF(DATE($C634,3,15)&gt;=$X$613,$AA$613*(1+($U$613)/100)^MAX(0,$C634-$AD$613),IF(DATE($C634,3,15)&gt;=$W$613,$Z$613*(1+($U$613)/100)^MAX(0,$C634-$AC$613),IF(DATE($C634,3,15)&gt;=$V$613,$Y$613*(1+($U$613)/100)^MAX(0,$C634-$AB$613),0)))))</f>
      </c>
      <c r="H634" s="43">
        <f>IF($S$613=0,0,IF(OR(DATE($C634,4,15)&lt;$S$613,AND($T$613&gt;0,DATE($C634,4,15)&gt;$T$613)),0,IF(DATE($C634,4,15)&gt;=$X$613,$AA$613*(1+($U$613)/100)^MAX(0,$C634-$AD$613),IF(DATE($C634,4,15)&gt;=$W$613,$Z$613*(1+($U$613)/100)^MAX(0,$C634-$AC$613),IF(DATE($C634,4,15)&gt;=$V$613,$Y$613*(1+($U$613)/100)^MAX(0,$C634-$AB$613),0)))))</f>
      </c>
      <c r="I634" s="43">
        <f>IF($S$613=0,0,IF(OR(DATE($C634,5,15)&lt;$S$613,AND($T$613&gt;0,DATE($C634,5,15)&gt;$T$613)),0,IF(DATE($C634,5,15)&gt;=$X$613,$AA$613*(1+($U$613)/100)^MAX(0,$C634-$AD$613),IF(DATE($C634,5,15)&gt;=$W$613,$Z$613*(1+($U$613)/100)^MAX(0,$C634-$AC$613),IF(DATE($C634,5,15)&gt;=$V$613,$Y$613*(1+($U$613)/100)^MAX(0,$C634-$AB$613),0)))))</f>
      </c>
      <c r="J634" s="43">
        <f>IF($S$613=0,0,IF(OR(DATE($C634,6,15)&lt;$S$613,AND($T$613&gt;0,DATE($C634,6,15)&gt;$T$613)),0,IF(DATE($C634,6,15)&gt;=$X$613,$AA$613*(1+($U$613)/100)^MAX(0,$C634-$AD$613),IF(DATE($C634,6,15)&gt;=$W$613,$Z$613*(1+($U$613)/100)^MAX(0,$C634-$AC$613),IF(DATE($C634,6,15)&gt;=$V$613,$Y$613*(1+($U$613)/100)^MAX(0,$C634-$AB$613),0)))))</f>
      </c>
      <c r="K634" s="43">
        <f>IF($S$613=0,0,IF(OR(DATE($C634,7,15)&lt;$S$613,AND($T$613&gt;0,DATE($C634,7,15)&gt;$T$613)),0,IF(DATE($C634,7,15)&gt;=$X$613,$AA$613*(1+($U$613)/100)^MAX(0,$C634-$AD$613),IF(DATE($C634,7,15)&gt;=$W$613,$Z$613*(1+($U$613)/100)^MAX(0,$C634-$AC$613),IF(DATE($C634,7,15)&gt;=$V$613,$Y$613*(1+($U$613)/100)^MAX(0,$C634-$AB$613),0)))))</f>
      </c>
      <c r="L634" s="43">
        <f>IF($S$613=0,0,IF(OR(DATE($C634,8,15)&lt;$S$613,AND($T$613&gt;0,DATE($C634,8,15)&gt;$T$613)),0,IF(DATE($C634,8,15)&gt;=$X$613,$AA$613*(1+($U$613)/100)^MAX(0,$C634-$AD$613),IF(DATE($C634,8,15)&gt;=$W$613,$Z$613*(1+($U$613)/100)^MAX(0,$C634-$AC$613),IF(DATE($C634,8,15)&gt;=$V$613,$Y$613*(1+($U$613)/100)^MAX(0,$C634-$AB$613),0)))))</f>
      </c>
      <c r="M634" s="43">
        <f>IF($S$613=0,0,IF(OR(DATE($C634,9,15)&lt;$S$613,AND($T$613&gt;0,DATE($C634,9,15)&gt;$T$613)),0,IF(DATE($C634,9,15)&gt;=$X$613,$AA$613*(1+($U$613)/100)^MAX(0,$C634-$AD$613),IF(DATE($C634,9,15)&gt;=$W$613,$Z$613*(1+($U$613)/100)^MAX(0,$C634-$AC$613),IF(DATE($C634,9,15)&gt;=$V$613,$Y$613*(1+($U$613)/100)^MAX(0,$C634-$AB$613),0)))))</f>
      </c>
      <c r="N634" s="43">
        <f>IF($S$613=0,0,IF(OR(DATE($C634,10,15)&lt;$S$613,AND($T$613&gt;0,DATE($C634,10,15)&gt;$T$613)),0,IF(DATE($C634,10,15)&gt;=$X$613,$AA$613*(1+($U$613)/100)^MAX(0,$C634-$AD$613),IF(DATE($C634,10,15)&gt;=$W$613,$Z$613*(1+($U$613)/100)^MAX(0,$C634-$AC$613),IF(DATE($C634,10,15)&gt;=$V$613,$Y$613*(1+($U$613)/100)^MAX(0,$C634-$AB$613),0)))))</f>
      </c>
      <c r="O634" s="43">
        <f>IF($S$613=0,0,IF(OR(DATE($C634,11,15)&lt;$S$613,AND($T$613&gt;0,DATE($C634,11,15)&gt;$T$613)),0,IF(DATE($C634,11,15)&gt;=$X$613,$AA$613*(1+($U$613)/100)^MAX(0,$C634-$AD$613),IF(DATE($C634,11,15)&gt;=$W$613,$Z$613*(1+($U$613)/100)^MAX(0,$C634-$AC$613),IF(DATE($C634,11,15)&gt;=$V$613,$Y$613*(1+($U$613)/100)^MAX(0,$C634-$AB$613),0)))))</f>
      </c>
      <c r="P634" s="43">
        <f>IF($S$613=0,0,IF(OR(DATE($C634,12,15)&lt;$S$613,AND($T$613&gt;0,DATE($C634,12,15)&gt;$T$613)),0,IF(DATE($C634,12,15)&gt;=$X$613,$AA$613*(1+($U$613)/100)^MAX(0,$C634-$AD$613),IF(DATE($C634,12,15)&gt;=$W$613,$Z$613*(1+($U$613)/100)^MAX(0,$C634-$AC$613),IF(DATE($C634,12,15)&gt;=$V$613,$Y$613*(1+($U$613)/100)^MAX(0,$C634-$AB$613),0)))))</f>
      </c>
      <c r="Q634" s="43">
        <f>SUM($E634:$P634)</f>
      </c>
    </row>
    <row r="635">
      <c r="A635"/>
      <c r="B635">
        <v>20</v>
      </c>
      <c r="C635" s="43">
        <f>Jahr+22</f>
      </c>
      <c r="D635" s="43">
        <f>INDEX(MvObj,20)</f>
      </c>
      <c r="E635" s="43">
        <f>IF($S$613=0,0,IF(OR(DATE($C635,1,15)&lt;$S$613,AND($T$613&gt;0,DATE($C635,1,15)&gt;$T$613)),0,IF(DATE($C635,1,15)&gt;=$X$613,$AA$613*(1+($U$613)/100)^MAX(0,$C635-$AD$613),IF(DATE($C635,1,15)&gt;=$W$613,$Z$613*(1+($U$613)/100)^MAX(0,$C635-$AC$613),IF(DATE($C635,1,15)&gt;=$V$613,$Y$613*(1+($U$613)/100)^MAX(0,$C635-$AB$613),0)))))</f>
      </c>
      <c r="F635" s="43">
        <f>IF($S$613=0,0,IF(OR(DATE($C635,2,15)&lt;$S$613,AND($T$613&gt;0,DATE($C635,2,15)&gt;$T$613)),0,IF(DATE($C635,2,15)&gt;=$X$613,$AA$613*(1+($U$613)/100)^MAX(0,$C635-$AD$613),IF(DATE($C635,2,15)&gt;=$W$613,$Z$613*(1+($U$613)/100)^MAX(0,$C635-$AC$613),IF(DATE($C635,2,15)&gt;=$V$613,$Y$613*(1+($U$613)/100)^MAX(0,$C635-$AB$613),0)))))</f>
      </c>
      <c r="G635" s="43">
        <f>IF($S$613=0,0,IF(OR(DATE($C635,3,15)&lt;$S$613,AND($T$613&gt;0,DATE($C635,3,15)&gt;$T$613)),0,IF(DATE($C635,3,15)&gt;=$X$613,$AA$613*(1+($U$613)/100)^MAX(0,$C635-$AD$613),IF(DATE($C635,3,15)&gt;=$W$613,$Z$613*(1+($U$613)/100)^MAX(0,$C635-$AC$613),IF(DATE($C635,3,15)&gt;=$V$613,$Y$613*(1+($U$613)/100)^MAX(0,$C635-$AB$613),0)))))</f>
      </c>
      <c r="H635" s="43">
        <f>IF($S$613=0,0,IF(OR(DATE($C635,4,15)&lt;$S$613,AND($T$613&gt;0,DATE($C635,4,15)&gt;$T$613)),0,IF(DATE($C635,4,15)&gt;=$X$613,$AA$613*(1+($U$613)/100)^MAX(0,$C635-$AD$613),IF(DATE($C635,4,15)&gt;=$W$613,$Z$613*(1+($U$613)/100)^MAX(0,$C635-$AC$613),IF(DATE($C635,4,15)&gt;=$V$613,$Y$613*(1+($U$613)/100)^MAX(0,$C635-$AB$613),0)))))</f>
      </c>
      <c r="I635" s="43">
        <f>IF($S$613=0,0,IF(OR(DATE($C635,5,15)&lt;$S$613,AND($T$613&gt;0,DATE($C635,5,15)&gt;$T$613)),0,IF(DATE($C635,5,15)&gt;=$X$613,$AA$613*(1+($U$613)/100)^MAX(0,$C635-$AD$613),IF(DATE($C635,5,15)&gt;=$W$613,$Z$613*(1+($U$613)/100)^MAX(0,$C635-$AC$613),IF(DATE($C635,5,15)&gt;=$V$613,$Y$613*(1+($U$613)/100)^MAX(0,$C635-$AB$613),0)))))</f>
      </c>
      <c r="J635" s="43">
        <f>IF($S$613=0,0,IF(OR(DATE($C635,6,15)&lt;$S$613,AND($T$613&gt;0,DATE($C635,6,15)&gt;$T$613)),0,IF(DATE($C635,6,15)&gt;=$X$613,$AA$613*(1+($U$613)/100)^MAX(0,$C635-$AD$613),IF(DATE($C635,6,15)&gt;=$W$613,$Z$613*(1+($U$613)/100)^MAX(0,$C635-$AC$613),IF(DATE($C635,6,15)&gt;=$V$613,$Y$613*(1+($U$613)/100)^MAX(0,$C635-$AB$613),0)))))</f>
      </c>
      <c r="K635" s="43">
        <f>IF($S$613=0,0,IF(OR(DATE($C635,7,15)&lt;$S$613,AND($T$613&gt;0,DATE($C635,7,15)&gt;$T$613)),0,IF(DATE($C635,7,15)&gt;=$X$613,$AA$613*(1+($U$613)/100)^MAX(0,$C635-$AD$613),IF(DATE($C635,7,15)&gt;=$W$613,$Z$613*(1+($U$613)/100)^MAX(0,$C635-$AC$613),IF(DATE($C635,7,15)&gt;=$V$613,$Y$613*(1+($U$613)/100)^MAX(0,$C635-$AB$613),0)))))</f>
      </c>
      <c r="L635" s="43">
        <f>IF($S$613=0,0,IF(OR(DATE($C635,8,15)&lt;$S$613,AND($T$613&gt;0,DATE($C635,8,15)&gt;$T$613)),0,IF(DATE($C635,8,15)&gt;=$X$613,$AA$613*(1+($U$613)/100)^MAX(0,$C635-$AD$613),IF(DATE($C635,8,15)&gt;=$W$613,$Z$613*(1+($U$613)/100)^MAX(0,$C635-$AC$613),IF(DATE($C635,8,15)&gt;=$V$613,$Y$613*(1+($U$613)/100)^MAX(0,$C635-$AB$613),0)))))</f>
      </c>
      <c r="M635" s="43">
        <f>IF($S$613=0,0,IF(OR(DATE($C635,9,15)&lt;$S$613,AND($T$613&gt;0,DATE($C635,9,15)&gt;$T$613)),0,IF(DATE($C635,9,15)&gt;=$X$613,$AA$613*(1+($U$613)/100)^MAX(0,$C635-$AD$613),IF(DATE($C635,9,15)&gt;=$W$613,$Z$613*(1+($U$613)/100)^MAX(0,$C635-$AC$613),IF(DATE($C635,9,15)&gt;=$V$613,$Y$613*(1+($U$613)/100)^MAX(0,$C635-$AB$613),0)))))</f>
      </c>
      <c r="N635" s="43">
        <f>IF($S$613=0,0,IF(OR(DATE($C635,10,15)&lt;$S$613,AND($T$613&gt;0,DATE($C635,10,15)&gt;$T$613)),0,IF(DATE($C635,10,15)&gt;=$X$613,$AA$613*(1+($U$613)/100)^MAX(0,$C635-$AD$613),IF(DATE($C635,10,15)&gt;=$W$613,$Z$613*(1+($U$613)/100)^MAX(0,$C635-$AC$613),IF(DATE($C635,10,15)&gt;=$V$613,$Y$613*(1+($U$613)/100)^MAX(0,$C635-$AB$613),0)))))</f>
      </c>
      <c r="O635" s="43">
        <f>IF($S$613=0,0,IF(OR(DATE($C635,11,15)&lt;$S$613,AND($T$613&gt;0,DATE($C635,11,15)&gt;$T$613)),0,IF(DATE($C635,11,15)&gt;=$X$613,$AA$613*(1+($U$613)/100)^MAX(0,$C635-$AD$613),IF(DATE($C635,11,15)&gt;=$W$613,$Z$613*(1+($U$613)/100)^MAX(0,$C635-$AC$613),IF(DATE($C635,11,15)&gt;=$V$613,$Y$613*(1+($U$613)/100)^MAX(0,$C635-$AB$613),0)))))</f>
      </c>
      <c r="P635" s="43">
        <f>IF($S$613=0,0,IF(OR(DATE($C635,12,15)&lt;$S$613,AND($T$613&gt;0,DATE($C635,12,15)&gt;$T$613)),0,IF(DATE($C635,12,15)&gt;=$X$613,$AA$613*(1+($U$613)/100)^MAX(0,$C635-$AD$613),IF(DATE($C635,12,15)&gt;=$W$613,$Z$613*(1+($U$613)/100)^MAX(0,$C635-$AC$613),IF(DATE($C635,12,15)&gt;=$V$613,$Y$613*(1+($U$613)/100)^MAX(0,$C635-$AB$613),0)))))</f>
      </c>
      <c r="Q635" s="43">
        <f>SUM($E635:$P635)</f>
      </c>
    </row>
    <row r="636">
      <c r="A636"/>
      <c r="B636">
        <v>20</v>
      </c>
      <c r="C636" s="43">
        <f>Jahr+23</f>
      </c>
      <c r="D636" s="43">
        <f>INDEX(MvObj,20)</f>
      </c>
      <c r="E636" s="43">
        <f>IF($S$613=0,0,IF(OR(DATE($C636,1,15)&lt;$S$613,AND($T$613&gt;0,DATE($C636,1,15)&gt;$T$613)),0,IF(DATE($C636,1,15)&gt;=$X$613,$AA$613*(1+($U$613)/100)^MAX(0,$C636-$AD$613),IF(DATE($C636,1,15)&gt;=$W$613,$Z$613*(1+($U$613)/100)^MAX(0,$C636-$AC$613),IF(DATE($C636,1,15)&gt;=$V$613,$Y$613*(1+($U$613)/100)^MAX(0,$C636-$AB$613),0)))))</f>
      </c>
      <c r="F636" s="43">
        <f>IF($S$613=0,0,IF(OR(DATE($C636,2,15)&lt;$S$613,AND($T$613&gt;0,DATE($C636,2,15)&gt;$T$613)),0,IF(DATE($C636,2,15)&gt;=$X$613,$AA$613*(1+($U$613)/100)^MAX(0,$C636-$AD$613),IF(DATE($C636,2,15)&gt;=$W$613,$Z$613*(1+($U$613)/100)^MAX(0,$C636-$AC$613),IF(DATE($C636,2,15)&gt;=$V$613,$Y$613*(1+($U$613)/100)^MAX(0,$C636-$AB$613),0)))))</f>
      </c>
      <c r="G636" s="43">
        <f>IF($S$613=0,0,IF(OR(DATE($C636,3,15)&lt;$S$613,AND($T$613&gt;0,DATE($C636,3,15)&gt;$T$613)),0,IF(DATE($C636,3,15)&gt;=$X$613,$AA$613*(1+($U$613)/100)^MAX(0,$C636-$AD$613),IF(DATE($C636,3,15)&gt;=$W$613,$Z$613*(1+($U$613)/100)^MAX(0,$C636-$AC$613),IF(DATE($C636,3,15)&gt;=$V$613,$Y$613*(1+($U$613)/100)^MAX(0,$C636-$AB$613),0)))))</f>
      </c>
      <c r="H636" s="43">
        <f>IF($S$613=0,0,IF(OR(DATE($C636,4,15)&lt;$S$613,AND($T$613&gt;0,DATE($C636,4,15)&gt;$T$613)),0,IF(DATE($C636,4,15)&gt;=$X$613,$AA$613*(1+($U$613)/100)^MAX(0,$C636-$AD$613),IF(DATE($C636,4,15)&gt;=$W$613,$Z$613*(1+($U$613)/100)^MAX(0,$C636-$AC$613),IF(DATE($C636,4,15)&gt;=$V$613,$Y$613*(1+($U$613)/100)^MAX(0,$C636-$AB$613),0)))))</f>
      </c>
      <c r="I636" s="43">
        <f>IF($S$613=0,0,IF(OR(DATE($C636,5,15)&lt;$S$613,AND($T$613&gt;0,DATE($C636,5,15)&gt;$T$613)),0,IF(DATE($C636,5,15)&gt;=$X$613,$AA$613*(1+($U$613)/100)^MAX(0,$C636-$AD$613),IF(DATE($C636,5,15)&gt;=$W$613,$Z$613*(1+($U$613)/100)^MAX(0,$C636-$AC$613),IF(DATE($C636,5,15)&gt;=$V$613,$Y$613*(1+($U$613)/100)^MAX(0,$C636-$AB$613),0)))))</f>
      </c>
      <c r="J636" s="43">
        <f>IF($S$613=0,0,IF(OR(DATE($C636,6,15)&lt;$S$613,AND($T$613&gt;0,DATE($C636,6,15)&gt;$T$613)),0,IF(DATE($C636,6,15)&gt;=$X$613,$AA$613*(1+($U$613)/100)^MAX(0,$C636-$AD$613),IF(DATE($C636,6,15)&gt;=$W$613,$Z$613*(1+($U$613)/100)^MAX(0,$C636-$AC$613),IF(DATE($C636,6,15)&gt;=$V$613,$Y$613*(1+($U$613)/100)^MAX(0,$C636-$AB$613),0)))))</f>
      </c>
      <c r="K636" s="43">
        <f>IF($S$613=0,0,IF(OR(DATE($C636,7,15)&lt;$S$613,AND($T$613&gt;0,DATE($C636,7,15)&gt;$T$613)),0,IF(DATE($C636,7,15)&gt;=$X$613,$AA$613*(1+($U$613)/100)^MAX(0,$C636-$AD$613),IF(DATE($C636,7,15)&gt;=$W$613,$Z$613*(1+($U$613)/100)^MAX(0,$C636-$AC$613),IF(DATE($C636,7,15)&gt;=$V$613,$Y$613*(1+($U$613)/100)^MAX(0,$C636-$AB$613),0)))))</f>
      </c>
      <c r="L636" s="43">
        <f>IF($S$613=0,0,IF(OR(DATE($C636,8,15)&lt;$S$613,AND($T$613&gt;0,DATE($C636,8,15)&gt;$T$613)),0,IF(DATE($C636,8,15)&gt;=$X$613,$AA$613*(1+($U$613)/100)^MAX(0,$C636-$AD$613),IF(DATE($C636,8,15)&gt;=$W$613,$Z$613*(1+($U$613)/100)^MAX(0,$C636-$AC$613),IF(DATE($C636,8,15)&gt;=$V$613,$Y$613*(1+($U$613)/100)^MAX(0,$C636-$AB$613),0)))))</f>
      </c>
      <c r="M636" s="43">
        <f>IF($S$613=0,0,IF(OR(DATE($C636,9,15)&lt;$S$613,AND($T$613&gt;0,DATE($C636,9,15)&gt;$T$613)),0,IF(DATE($C636,9,15)&gt;=$X$613,$AA$613*(1+($U$613)/100)^MAX(0,$C636-$AD$613),IF(DATE($C636,9,15)&gt;=$W$613,$Z$613*(1+($U$613)/100)^MAX(0,$C636-$AC$613),IF(DATE($C636,9,15)&gt;=$V$613,$Y$613*(1+($U$613)/100)^MAX(0,$C636-$AB$613),0)))))</f>
      </c>
      <c r="N636" s="43">
        <f>IF($S$613=0,0,IF(OR(DATE($C636,10,15)&lt;$S$613,AND($T$613&gt;0,DATE($C636,10,15)&gt;$T$613)),0,IF(DATE($C636,10,15)&gt;=$X$613,$AA$613*(1+($U$613)/100)^MAX(0,$C636-$AD$613),IF(DATE($C636,10,15)&gt;=$W$613,$Z$613*(1+($U$613)/100)^MAX(0,$C636-$AC$613),IF(DATE($C636,10,15)&gt;=$V$613,$Y$613*(1+($U$613)/100)^MAX(0,$C636-$AB$613),0)))))</f>
      </c>
      <c r="O636" s="43">
        <f>IF($S$613=0,0,IF(OR(DATE($C636,11,15)&lt;$S$613,AND($T$613&gt;0,DATE($C636,11,15)&gt;$T$613)),0,IF(DATE($C636,11,15)&gt;=$X$613,$AA$613*(1+($U$613)/100)^MAX(0,$C636-$AD$613),IF(DATE($C636,11,15)&gt;=$W$613,$Z$613*(1+($U$613)/100)^MAX(0,$C636-$AC$613),IF(DATE($C636,11,15)&gt;=$V$613,$Y$613*(1+($U$613)/100)^MAX(0,$C636-$AB$613),0)))))</f>
      </c>
      <c r="P636" s="43">
        <f>IF($S$613=0,0,IF(OR(DATE($C636,12,15)&lt;$S$613,AND($T$613&gt;0,DATE($C636,12,15)&gt;$T$613)),0,IF(DATE($C636,12,15)&gt;=$X$613,$AA$613*(1+($U$613)/100)^MAX(0,$C636-$AD$613),IF(DATE($C636,12,15)&gt;=$W$613,$Z$613*(1+($U$613)/100)^MAX(0,$C636-$AC$613),IF(DATE($C636,12,15)&gt;=$V$613,$Y$613*(1+($U$613)/100)^MAX(0,$C636-$AB$613),0)))))</f>
      </c>
      <c r="Q636" s="43">
        <f>SUM($E636:$P636)</f>
      </c>
    </row>
    <row r="637">
      <c r="A637"/>
      <c r="B637">
        <v>20</v>
      </c>
      <c r="C637" s="43">
        <f>Jahr+24</f>
      </c>
      <c r="D637" s="43">
        <f>INDEX(MvObj,20)</f>
      </c>
      <c r="E637" s="43">
        <f>IF($S$613=0,0,IF(OR(DATE($C637,1,15)&lt;$S$613,AND($T$613&gt;0,DATE($C637,1,15)&gt;$T$613)),0,IF(DATE($C637,1,15)&gt;=$X$613,$AA$613*(1+($U$613)/100)^MAX(0,$C637-$AD$613),IF(DATE($C637,1,15)&gt;=$W$613,$Z$613*(1+($U$613)/100)^MAX(0,$C637-$AC$613),IF(DATE($C637,1,15)&gt;=$V$613,$Y$613*(1+($U$613)/100)^MAX(0,$C637-$AB$613),0)))))</f>
      </c>
      <c r="F637" s="43">
        <f>IF($S$613=0,0,IF(OR(DATE($C637,2,15)&lt;$S$613,AND($T$613&gt;0,DATE($C637,2,15)&gt;$T$613)),0,IF(DATE($C637,2,15)&gt;=$X$613,$AA$613*(1+($U$613)/100)^MAX(0,$C637-$AD$613),IF(DATE($C637,2,15)&gt;=$W$613,$Z$613*(1+($U$613)/100)^MAX(0,$C637-$AC$613),IF(DATE($C637,2,15)&gt;=$V$613,$Y$613*(1+($U$613)/100)^MAX(0,$C637-$AB$613),0)))))</f>
      </c>
      <c r="G637" s="43">
        <f>IF($S$613=0,0,IF(OR(DATE($C637,3,15)&lt;$S$613,AND($T$613&gt;0,DATE($C637,3,15)&gt;$T$613)),0,IF(DATE($C637,3,15)&gt;=$X$613,$AA$613*(1+($U$613)/100)^MAX(0,$C637-$AD$613),IF(DATE($C637,3,15)&gt;=$W$613,$Z$613*(1+($U$613)/100)^MAX(0,$C637-$AC$613),IF(DATE($C637,3,15)&gt;=$V$613,$Y$613*(1+($U$613)/100)^MAX(0,$C637-$AB$613),0)))))</f>
      </c>
      <c r="H637" s="43">
        <f>IF($S$613=0,0,IF(OR(DATE($C637,4,15)&lt;$S$613,AND($T$613&gt;0,DATE($C637,4,15)&gt;$T$613)),0,IF(DATE($C637,4,15)&gt;=$X$613,$AA$613*(1+($U$613)/100)^MAX(0,$C637-$AD$613),IF(DATE($C637,4,15)&gt;=$W$613,$Z$613*(1+($U$613)/100)^MAX(0,$C637-$AC$613),IF(DATE($C637,4,15)&gt;=$V$613,$Y$613*(1+($U$613)/100)^MAX(0,$C637-$AB$613),0)))))</f>
      </c>
      <c r="I637" s="43">
        <f>IF($S$613=0,0,IF(OR(DATE($C637,5,15)&lt;$S$613,AND($T$613&gt;0,DATE($C637,5,15)&gt;$T$613)),0,IF(DATE($C637,5,15)&gt;=$X$613,$AA$613*(1+($U$613)/100)^MAX(0,$C637-$AD$613),IF(DATE($C637,5,15)&gt;=$W$613,$Z$613*(1+($U$613)/100)^MAX(0,$C637-$AC$613),IF(DATE($C637,5,15)&gt;=$V$613,$Y$613*(1+($U$613)/100)^MAX(0,$C637-$AB$613),0)))))</f>
      </c>
      <c r="J637" s="43">
        <f>IF($S$613=0,0,IF(OR(DATE($C637,6,15)&lt;$S$613,AND($T$613&gt;0,DATE($C637,6,15)&gt;$T$613)),0,IF(DATE($C637,6,15)&gt;=$X$613,$AA$613*(1+($U$613)/100)^MAX(0,$C637-$AD$613),IF(DATE($C637,6,15)&gt;=$W$613,$Z$613*(1+($U$613)/100)^MAX(0,$C637-$AC$613),IF(DATE($C637,6,15)&gt;=$V$613,$Y$613*(1+($U$613)/100)^MAX(0,$C637-$AB$613),0)))))</f>
      </c>
      <c r="K637" s="43">
        <f>IF($S$613=0,0,IF(OR(DATE($C637,7,15)&lt;$S$613,AND($T$613&gt;0,DATE($C637,7,15)&gt;$T$613)),0,IF(DATE($C637,7,15)&gt;=$X$613,$AA$613*(1+($U$613)/100)^MAX(0,$C637-$AD$613),IF(DATE($C637,7,15)&gt;=$W$613,$Z$613*(1+($U$613)/100)^MAX(0,$C637-$AC$613),IF(DATE($C637,7,15)&gt;=$V$613,$Y$613*(1+($U$613)/100)^MAX(0,$C637-$AB$613),0)))))</f>
      </c>
      <c r="L637" s="43">
        <f>IF($S$613=0,0,IF(OR(DATE($C637,8,15)&lt;$S$613,AND($T$613&gt;0,DATE($C637,8,15)&gt;$T$613)),0,IF(DATE($C637,8,15)&gt;=$X$613,$AA$613*(1+($U$613)/100)^MAX(0,$C637-$AD$613),IF(DATE($C637,8,15)&gt;=$W$613,$Z$613*(1+($U$613)/100)^MAX(0,$C637-$AC$613),IF(DATE($C637,8,15)&gt;=$V$613,$Y$613*(1+($U$613)/100)^MAX(0,$C637-$AB$613),0)))))</f>
      </c>
      <c r="M637" s="43">
        <f>IF($S$613=0,0,IF(OR(DATE($C637,9,15)&lt;$S$613,AND($T$613&gt;0,DATE($C637,9,15)&gt;$T$613)),0,IF(DATE($C637,9,15)&gt;=$X$613,$AA$613*(1+($U$613)/100)^MAX(0,$C637-$AD$613),IF(DATE($C637,9,15)&gt;=$W$613,$Z$613*(1+($U$613)/100)^MAX(0,$C637-$AC$613),IF(DATE($C637,9,15)&gt;=$V$613,$Y$613*(1+($U$613)/100)^MAX(0,$C637-$AB$613),0)))))</f>
      </c>
      <c r="N637" s="43">
        <f>IF($S$613=0,0,IF(OR(DATE($C637,10,15)&lt;$S$613,AND($T$613&gt;0,DATE($C637,10,15)&gt;$T$613)),0,IF(DATE($C637,10,15)&gt;=$X$613,$AA$613*(1+($U$613)/100)^MAX(0,$C637-$AD$613),IF(DATE($C637,10,15)&gt;=$W$613,$Z$613*(1+($U$613)/100)^MAX(0,$C637-$AC$613),IF(DATE($C637,10,15)&gt;=$V$613,$Y$613*(1+($U$613)/100)^MAX(0,$C637-$AB$613),0)))))</f>
      </c>
      <c r="O637" s="43">
        <f>IF($S$613=0,0,IF(OR(DATE($C637,11,15)&lt;$S$613,AND($T$613&gt;0,DATE($C637,11,15)&gt;$T$613)),0,IF(DATE($C637,11,15)&gt;=$X$613,$AA$613*(1+($U$613)/100)^MAX(0,$C637-$AD$613),IF(DATE($C637,11,15)&gt;=$W$613,$Z$613*(1+($U$613)/100)^MAX(0,$C637-$AC$613),IF(DATE($C637,11,15)&gt;=$V$613,$Y$613*(1+($U$613)/100)^MAX(0,$C637-$AB$613),0)))))</f>
      </c>
      <c r="P637" s="43">
        <f>IF($S$613=0,0,IF(OR(DATE($C637,12,15)&lt;$S$613,AND($T$613&gt;0,DATE($C637,12,15)&gt;$T$613)),0,IF(DATE($C637,12,15)&gt;=$X$613,$AA$613*(1+($U$613)/100)^MAX(0,$C637-$AD$613),IF(DATE($C637,12,15)&gt;=$W$613,$Z$613*(1+($U$613)/100)^MAX(0,$C637-$AC$613),IF(DATE($C637,12,15)&gt;=$V$613,$Y$613*(1+($U$613)/100)^MAX(0,$C637-$AB$613),0)))))</f>
      </c>
      <c r="Q637" s="43">
        <f>SUM($E637:$P637)</f>
      </c>
    </row>
    <row r="638">
      <c r="A638"/>
      <c r="B638">
        <v>20</v>
      </c>
      <c r="C638" s="43">
        <f>Jahr+25</f>
      </c>
      <c r="D638" s="43">
        <f>INDEX(MvObj,20)</f>
      </c>
      <c r="E638" s="43">
        <f>IF($S$613=0,0,IF(OR(DATE($C638,1,15)&lt;$S$613,AND($T$613&gt;0,DATE($C638,1,15)&gt;$T$613)),0,IF(DATE($C638,1,15)&gt;=$X$613,$AA$613*(1+($U$613)/100)^MAX(0,$C638-$AD$613),IF(DATE($C638,1,15)&gt;=$W$613,$Z$613*(1+($U$613)/100)^MAX(0,$C638-$AC$613),IF(DATE($C638,1,15)&gt;=$V$613,$Y$613*(1+($U$613)/100)^MAX(0,$C638-$AB$613),0)))))</f>
      </c>
      <c r="F638" s="43">
        <f>IF($S$613=0,0,IF(OR(DATE($C638,2,15)&lt;$S$613,AND($T$613&gt;0,DATE($C638,2,15)&gt;$T$613)),0,IF(DATE($C638,2,15)&gt;=$X$613,$AA$613*(1+($U$613)/100)^MAX(0,$C638-$AD$613),IF(DATE($C638,2,15)&gt;=$W$613,$Z$613*(1+($U$613)/100)^MAX(0,$C638-$AC$613),IF(DATE($C638,2,15)&gt;=$V$613,$Y$613*(1+($U$613)/100)^MAX(0,$C638-$AB$613),0)))))</f>
      </c>
      <c r="G638" s="43">
        <f>IF($S$613=0,0,IF(OR(DATE($C638,3,15)&lt;$S$613,AND($T$613&gt;0,DATE($C638,3,15)&gt;$T$613)),0,IF(DATE($C638,3,15)&gt;=$X$613,$AA$613*(1+($U$613)/100)^MAX(0,$C638-$AD$613),IF(DATE($C638,3,15)&gt;=$W$613,$Z$613*(1+($U$613)/100)^MAX(0,$C638-$AC$613),IF(DATE($C638,3,15)&gt;=$V$613,$Y$613*(1+($U$613)/100)^MAX(0,$C638-$AB$613),0)))))</f>
      </c>
      <c r="H638" s="43">
        <f>IF($S$613=0,0,IF(OR(DATE($C638,4,15)&lt;$S$613,AND($T$613&gt;0,DATE($C638,4,15)&gt;$T$613)),0,IF(DATE($C638,4,15)&gt;=$X$613,$AA$613*(1+($U$613)/100)^MAX(0,$C638-$AD$613),IF(DATE($C638,4,15)&gt;=$W$613,$Z$613*(1+($U$613)/100)^MAX(0,$C638-$AC$613),IF(DATE($C638,4,15)&gt;=$V$613,$Y$613*(1+($U$613)/100)^MAX(0,$C638-$AB$613),0)))))</f>
      </c>
      <c r="I638" s="43">
        <f>IF($S$613=0,0,IF(OR(DATE($C638,5,15)&lt;$S$613,AND($T$613&gt;0,DATE($C638,5,15)&gt;$T$613)),0,IF(DATE($C638,5,15)&gt;=$X$613,$AA$613*(1+($U$613)/100)^MAX(0,$C638-$AD$613),IF(DATE($C638,5,15)&gt;=$W$613,$Z$613*(1+($U$613)/100)^MAX(0,$C638-$AC$613),IF(DATE($C638,5,15)&gt;=$V$613,$Y$613*(1+($U$613)/100)^MAX(0,$C638-$AB$613),0)))))</f>
      </c>
      <c r="J638" s="43">
        <f>IF($S$613=0,0,IF(OR(DATE($C638,6,15)&lt;$S$613,AND($T$613&gt;0,DATE($C638,6,15)&gt;$T$613)),0,IF(DATE($C638,6,15)&gt;=$X$613,$AA$613*(1+($U$613)/100)^MAX(0,$C638-$AD$613),IF(DATE($C638,6,15)&gt;=$W$613,$Z$613*(1+($U$613)/100)^MAX(0,$C638-$AC$613),IF(DATE($C638,6,15)&gt;=$V$613,$Y$613*(1+($U$613)/100)^MAX(0,$C638-$AB$613),0)))))</f>
      </c>
      <c r="K638" s="43">
        <f>IF($S$613=0,0,IF(OR(DATE($C638,7,15)&lt;$S$613,AND($T$613&gt;0,DATE($C638,7,15)&gt;$T$613)),0,IF(DATE($C638,7,15)&gt;=$X$613,$AA$613*(1+($U$613)/100)^MAX(0,$C638-$AD$613),IF(DATE($C638,7,15)&gt;=$W$613,$Z$613*(1+($U$613)/100)^MAX(0,$C638-$AC$613),IF(DATE($C638,7,15)&gt;=$V$613,$Y$613*(1+($U$613)/100)^MAX(0,$C638-$AB$613),0)))))</f>
      </c>
      <c r="L638" s="43">
        <f>IF($S$613=0,0,IF(OR(DATE($C638,8,15)&lt;$S$613,AND($T$613&gt;0,DATE($C638,8,15)&gt;$T$613)),0,IF(DATE($C638,8,15)&gt;=$X$613,$AA$613*(1+($U$613)/100)^MAX(0,$C638-$AD$613),IF(DATE($C638,8,15)&gt;=$W$613,$Z$613*(1+($U$613)/100)^MAX(0,$C638-$AC$613),IF(DATE($C638,8,15)&gt;=$V$613,$Y$613*(1+($U$613)/100)^MAX(0,$C638-$AB$613),0)))))</f>
      </c>
      <c r="M638" s="43">
        <f>IF($S$613=0,0,IF(OR(DATE($C638,9,15)&lt;$S$613,AND($T$613&gt;0,DATE($C638,9,15)&gt;$T$613)),0,IF(DATE($C638,9,15)&gt;=$X$613,$AA$613*(1+($U$613)/100)^MAX(0,$C638-$AD$613),IF(DATE($C638,9,15)&gt;=$W$613,$Z$613*(1+($U$613)/100)^MAX(0,$C638-$AC$613),IF(DATE($C638,9,15)&gt;=$V$613,$Y$613*(1+($U$613)/100)^MAX(0,$C638-$AB$613),0)))))</f>
      </c>
      <c r="N638" s="43">
        <f>IF($S$613=0,0,IF(OR(DATE($C638,10,15)&lt;$S$613,AND($T$613&gt;0,DATE($C638,10,15)&gt;$T$613)),0,IF(DATE($C638,10,15)&gt;=$X$613,$AA$613*(1+($U$613)/100)^MAX(0,$C638-$AD$613),IF(DATE($C638,10,15)&gt;=$W$613,$Z$613*(1+($U$613)/100)^MAX(0,$C638-$AC$613),IF(DATE($C638,10,15)&gt;=$V$613,$Y$613*(1+($U$613)/100)^MAX(0,$C638-$AB$613),0)))))</f>
      </c>
      <c r="O638" s="43">
        <f>IF($S$613=0,0,IF(OR(DATE($C638,11,15)&lt;$S$613,AND($T$613&gt;0,DATE($C638,11,15)&gt;$T$613)),0,IF(DATE($C638,11,15)&gt;=$X$613,$AA$613*(1+($U$613)/100)^MAX(0,$C638-$AD$613),IF(DATE($C638,11,15)&gt;=$W$613,$Z$613*(1+($U$613)/100)^MAX(0,$C638-$AC$613),IF(DATE($C638,11,15)&gt;=$V$613,$Y$613*(1+($U$613)/100)^MAX(0,$C638-$AB$613),0)))))</f>
      </c>
      <c r="P638" s="43">
        <f>IF($S$613=0,0,IF(OR(DATE($C638,12,15)&lt;$S$613,AND($T$613&gt;0,DATE($C638,12,15)&gt;$T$613)),0,IF(DATE($C638,12,15)&gt;=$X$613,$AA$613*(1+($U$613)/100)^MAX(0,$C638-$AD$613),IF(DATE($C638,12,15)&gt;=$W$613,$Z$613*(1+($U$613)/100)^MAX(0,$C638-$AC$613),IF(DATE($C638,12,15)&gt;=$V$613,$Y$613*(1+($U$613)/100)^MAX(0,$C638-$AB$613),0)))))</f>
      </c>
      <c r="Q638" s="43">
        <f>SUM($E638:$P638)</f>
      </c>
    </row>
    <row r="639">
      <c r="A639"/>
      <c r="B639">
        <v>20</v>
      </c>
      <c r="C639" s="43">
        <f>Jahr+26</f>
      </c>
      <c r="D639" s="43">
        <f>INDEX(MvObj,20)</f>
      </c>
      <c r="E639" s="43">
        <f>IF($S$613=0,0,IF(OR(DATE($C639,1,15)&lt;$S$613,AND($T$613&gt;0,DATE($C639,1,15)&gt;$T$613)),0,IF(DATE($C639,1,15)&gt;=$X$613,$AA$613*(1+($U$613)/100)^MAX(0,$C639-$AD$613),IF(DATE($C639,1,15)&gt;=$W$613,$Z$613*(1+($U$613)/100)^MAX(0,$C639-$AC$613),IF(DATE($C639,1,15)&gt;=$V$613,$Y$613*(1+($U$613)/100)^MAX(0,$C639-$AB$613),0)))))</f>
      </c>
      <c r="F639" s="43">
        <f>IF($S$613=0,0,IF(OR(DATE($C639,2,15)&lt;$S$613,AND($T$613&gt;0,DATE($C639,2,15)&gt;$T$613)),0,IF(DATE($C639,2,15)&gt;=$X$613,$AA$613*(1+($U$613)/100)^MAX(0,$C639-$AD$613),IF(DATE($C639,2,15)&gt;=$W$613,$Z$613*(1+($U$613)/100)^MAX(0,$C639-$AC$613),IF(DATE($C639,2,15)&gt;=$V$613,$Y$613*(1+($U$613)/100)^MAX(0,$C639-$AB$613),0)))))</f>
      </c>
      <c r="G639" s="43">
        <f>IF($S$613=0,0,IF(OR(DATE($C639,3,15)&lt;$S$613,AND($T$613&gt;0,DATE($C639,3,15)&gt;$T$613)),0,IF(DATE($C639,3,15)&gt;=$X$613,$AA$613*(1+($U$613)/100)^MAX(0,$C639-$AD$613),IF(DATE($C639,3,15)&gt;=$W$613,$Z$613*(1+($U$613)/100)^MAX(0,$C639-$AC$613),IF(DATE($C639,3,15)&gt;=$V$613,$Y$613*(1+($U$613)/100)^MAX(0,$C639-$AB$613),0)))))</f>
      </c>
      <c r="H639" s="43">
        <f>IF($S$613=0,0,IF(OR(DATE($C639,4,15)&lt;$S$613,AND($T$613&gt;0,DATE($C639,4,15)&gt;$T$613)),0,IF(DATE($C639,4,15)&gt;=$X$613,$AA$613*(1+($U$613)/100)^MAX(0,$C639-$AD$613),IF(DATE($C639,4,15)&gt;=$W$613,$Z$613*(1+($U$613)/100)^MAX(0,$C639-$AC$613),IF(DATE($C639,4,15)&gt;=$V$613,$Y$613*(1+($U$613)/100)^MAX(0,$C639-$AB$613),0)))))</f>
      </c>
      <c r="I639" s="43">
        <f>IF($S$613=0,0,IF(OR(DATE($C639,5,15)&lt;$S$613,AND($T$613&gt;0,DATE($C639,5,15)&gt;$T$613)),0,IF(DATE($C639,5,15)&gt;=$X$613,$AA$613*(1+($U$613)/100)^MAX(0,$C639-$AD$613),IF(DATE($C639,5,15)&gt;=$W$613,$Z$613*(1+($U$613)/100)^MAX(0,$C639-$AC$613),IF(DATE($C639,5,15)&gt;=$V$613,$Y$613*(1+($U$613)/100)^MAX(0,$C639-$AB$613),0)))))</f>
      </c>
      <c r="J639" s="43">
        <f>IF($S$613=0,0,IF(OR(DATE($C639,6,15)&lt;$S$613,AND($T$613&gt;0,DATE($C639,6,15)&gt;$T$613)),0,IF(DATE($C639,6,15)&gt;=$X$613,$AA$613*(1+($U$613)/100)^MAX(0,$C639-$AD$613),IF(DATE($C639,6,15)&gt;=$W$613,$Z$613*(1+($U$613)/100)^MAX(0,$C639-$AC$613),IF(DATE($C639,6,15)&gt;=$V$613,$Y$613*(1+($U$613)/100)^MAX(0,$C639-$AB$613),0)))))</f>
      </c>
      <c r="K639" s="43">
        <f>IF($S$613=0,0,IF(OR(DATE($C639,7,15)&lt;$S$613,AND($T$613&gt;0,DATE($C639,7,15)&gt;$T$613)),0,IF(DATE($C639,7,15)&gt;=$X$613,$AA$613*(1+($U$613)/100)^MAX(0,$C639-$AD$613),IF(DATE($C639,7,15)&gt;=$W$613,$Z$613*(1+($U$613)/100)^MAX(0,$C639-$AC$613),IF(DATE($C639,7,15)&gt;=$V$613,$Y$613*(1+($U$613)/100)^MAX(0,$C639-$AB$613),0)))))</f>
      </c>
      <c r="L639" s="43">
        <f>IF($S$613=0,0,IF(OR(DATE($C639,8,15)&lt;$S$613,AND($T$613&gt;0,DATE($C639,8,15)&gt;$T$613)),0,IF(DATE($C639,8,15)&gt;=$X$613,$AA$613*(1+($U$613)/100)^MAX(0,$C639-$AD$613),IF(DATE($C639,8,15)&gt;=$W$613,$Z$613*(1+($U$613)/100)^MAX(0,$C639-$AC$613),IF(DATE($C639,8,15)&gt;=$V$613,$Y$613*(1+($U$613)/100)^MAX(0,$C639-$AB$613),0)))))</f>
      </c>
      <c r="M639" s="43">
        <f>IF($S$613=0,0,IF(OR(DATE($C639,9,15)&lt;$S$613,AND($T$613&gt;0,DATE($C639,9,15)&gt;$T$613)),0,IF(DATE($C639,9,15)&gt;=$X$613,$AA$613*(1+($U$613)/100)^MAX(0,$C639-$AD$613),IF(DATE($C639,9,15)&gt;=$W$613,$Z$613*(1+($U$613)/100)^MAX(0,$C639-$AC$613),IF(DATE($C639,9,15)&gt;=$V$613,$Y$613*(1+($U$613)/100)^MAX(0,$C639-$AB$613),0)))))</f>
      </c>
      <c r="N639" s="43">
        <f>IF($S$613=0,0,IF(OR(DATE($C639,10,15)&lt;$S$613,AND($T$613&gt;0,DATE($C639,10,15)&gt;$T$613)),0,IF(DATE($C639,10,15)&gt;=$X$613,$AA$613*(1+($U$613)/100)^MAX(0,$C639-$AD$613),IF(DATE($C639,10,15)&gt;=$W$613,$Z$613*(1+($U$613)/100)^MAX(0,$C639-$AC$613),IF(DATE($C639,10,15)&gt;=$V$613,$Y$613*(1+($U$613)/100)^MAX(0,$C639-$AB$613),0)))))</f>
      </c>
      <c r="O639" s="43">
        <f>IF($S$613=0,0,IF(OR(DATE($C639,11,15)&lt;$S$613,AND($T$613&gt;0,DATE($C639,11,15)&gt;$T$613)),0,IF(DATE($C639,11,15)&gt;=$X$613,$AA$613*(1+($U$613)/100)^MAX(0,$C639-$AD$613),IF(DATE($C639,11,15)&gt;=$W$613,$Z$613*(1+($U$613)/100)^MAX(0,$C639-$AC$613),IF(DATE($C639,11,15)&gt;=$V$613,$Y$613*(1+($U$613)/100)^MAX(0,$C639-$AB$613),0)))))</f>
      </c>
      <c r="P639" s="43">
        <f>IF($S$613=0,0,IF(OR(DATE($C639,12,15)&lt;$S$613,AND($T$613&gt;0,DATE($C639,12,15)&gt;$T$613)),0,IF(DATE($C639,12,15)&gt;=$X$613,$AA$613*(1+($U$613)/100)^MAX(0,$C639-$AD$613),IF(DATE($C639,12,15)&gt;=$W$613,$Z$613*(1+($U$613)/100)^MAX(0,$C639-$AC$613),IF(DATE($C639,12,15)&gt;=$V$613,$Y$613*(1+($U$613)/100)^MAX(0,$C639-$AB$613),0)))))</f>
      </c>
      <c r="Q639" s="43">
        <f>SUM($E639:$P639)</f>
      </c>
    </row>
    <row r="640">
      <c r="A640"/>
      <c r="B640">
        <v>20</v>
      </c>
      <c r="C640" s="43">
        <f>Jahr+27</f>
      </c>
      <c r="D640" s="43">
        <f>INDEX(MvObj,20)</f>
      </c>
      <c r="E640" s="43">
        <f>IF($S$613=0,0,IF(OR(DATE($C640,1,15)&lt;$S$613,AND($T$613&gt;0,DATE($C640,1,15)&gt;$T$613)),0,IF(DATE($C640,1,15)&gt;=$X$613,$AA$613*(1+($U$613)/100)^MAX(0,$C640-$AD$613),IF(DATE($C640,1,15)&gt;=$W$613,$Z$613*(1+($U$613)/100)^MAX(0,$C640-$AC$613),IF(DATE($C640,1,15)&gt;=$V$613,$Y$613*(1+($U$613)/100)^MAX(0,$C640-$AB$613),0)))))</f>
      </c>
      <c r="F640" s="43">
        <f>IF($S$613=0,0,IF(OR(DATE($C640,2,15)&lt;$S$613,AND($T$613&gt;0,DATE($C640,2,15)&gt;$T$613)),0,IF(DATE($C640,2,15)&gt;=$X$613,$AA$613*(1+($U$613)/100)^MAX(0,$C640-$AD$613),IF(DATE($C640,2,15)&gt;=$W$613,$Z$613*(1+($U$613)/100)^MAX(0,$C640-$AC$613),IF(DATE($C640,2,15)&gt;=$V$613,$Y$613*(1+($U$613)/100)^MAX(0,$C640-$AB$613),0)))))</f>
      </c>
      <c r="G640" s="43">
        <f>IF($S$613=0,0,IF(OR(DATE($C640,3,15)&lt;$S$613,AND($T$613&gt;0,DATE($C640,3,15)&gt;$T$613)),0,IF(DATE($C640,3,15)&gt;=$X$613,$AA$613*(1+($U$613)/100)^MAX(0,$C640-$AD$613),IF(DATE($C640,3,15)&gt;=$W$613,$Z$613*(1+($U$613)/100)^MAX(0,$C640-$AC$613),IF(DATE($C640,3,15)&gt;=$V$613,$Y$613*(1+($U$613)/100)^MAX(0,$C640-$AB$613),0)))))</f>
      </c>
      <c r="H640" s="43">
        <f>IF($S$613=0,0,IF(OR(DATE($C640,4,15)&lt;$S$613,AND($T$613&gt;0,DATE($C640,4,15)&gt;$T$613)),0,IF(DATE($C640,4,15)&gt;=$X$613,$AA$613*(1+($U$613)/100)^MAX(0,$C640-$AD$613),IF(DATE($C640,4,15)&gt;=$W$613,$Z$613*(1+($U$613)/100)^MAX(0,$C640-$AC$613),IF(DATE($C640,4,15)&gt;=$V$613,$Y$613*(1+($U$613)/100)^MAX(0,$C640-$AB$613),0)))))</f>
      </c>
      <c r="I640" s="43">
        <f>IF($S$613=0,0,IF(OR(DATE($C640,5,15)&lt;$S$613,AND($T$613&gt;0,DATE($C640,5,15)&gt;$T$613)),0,IF(DATE($C640,5,15)&gt;=$X$613,$AA$613*(1+($U$613)/100)^MAX(0,$C640-$AD$613),IF(DATE($C640,5,15)&gt;=$W$613,$Z$613*(1+($U$613)/100)^MAX(0,$C640-$AC$613),IF(DATE($C640,5,15)&gt;=$V$613,$Y$613*(1+($U$613)/100)^MAX(0,$C640-$AB$613),0)))))</f>
      </c>
      <c r="J640" s="43">
        <f>IF($S$613=0,0,IF(OR(DATE($C640,6,15)&lt;$S$613,AND($T$613&gt;0,DATE($C640,6,15)&gt;$T$613)),0,IF(DATE($C640,6,15)&gt;=$X$613,$AA$613*(1+($U$613)/100)^MAX(0,$C640-$AD$613),IF(DATE($C640,6,15)&gt;=$W$613,$Z$613*(1+($U$613)/100)^MAX(0,$C640-$AC$613),IF(DATE($C640,6,15)&gt;=$V$613,$Y$613*(1+($U$613)/100)^MAX(0,$C640-$AB$613),0)))))</f>
      </c>
      <c r="K640" s="43">
        <f>IF($S$613=0,0,IF(OR(DATE($C640,7,15)&lt;$S$613,AND($T$613&gt;0,DATE($C640,7,15)&gt;$T$613)),0,IF(DATE($C640,7,15)&gt;=$X$613,$AA$613*(1+($U$613)/100)^MAX(0,$C640-$AD$613),IF(DATE($C640,7,15)&gt;=$W$613,$Z$613*(1+($U$613)/100)^MAX(0,$C640-$AC$613),IF(DATE($C640,7,15)&gt;=$V$613,$Y$613*(1+($U$613)/100)^MAX(0,$C640-$AB$613),0)))))</f>
      </c>
      <c r="L640" s="43">
        <f>IF($S$613=0,0,IF(OR(DATE($C640,8,15)&lt;$S$613,AND($T$613&gt;0,DATE($C640,8,15)&gt;$T$613)),0,IF(DATE($C640,8,15)&gt;=$X$613,$AA$613*(1+($U$613)/100)^MAX(0,$C640-$AD$613),IF(DATE($C640,8,15)&gt;=$W$613,$Z$613*(1+($U$613)/100)^MAX(0,$C640-$AC$613),IF(DATE($C640,8,15)&gt;=$V$613,$Y$613*(1+($U$613)/100)^MAX(0,$C640-$AB$613),0)))))</f>
      </c>
      <c r="M640" s="43">
        <f>IF($S$613=0,0,IF(OR(DATE($C640,9,15)&lt;$S$613,AND($T$613&gt;0,DATE($C640,9,15)&gt;$T$613)),0,IF(DATE($C640,9,15)&gt;=$X$613,$AA$613*(1+($U$613)/100)^MAX(0,$C640-$AD$613),IF(DATE($C640,9,15)&gt;=$W$613,$Z$613*(1+($U$613)/100)^MAX(0,$C640-$AC$613),IF(DATE($C640,9,15)&gt;=$V$613,$Y$613*(1+($U$613)/100)^MAX(0,$C640-$AB$613),0)))))</f>
      </c>
      <c r="N640" s="43">
        <f>IF($S$613=0,0,IF(OR(DATE($C640,10,15)&lt;$S$613,AND($T$613&gt;0,DATE($C640,10,15)&gt;$T$613)),0,IF(DATE($C640,10,15)&gt;=$X$613,$AA$613*(1+($U$613)/100)^MAX(0,$C640-$AD$613),IF(DATE($C640,10,15)&gt;=$W$613,$Z$613*(1+($U$613)/100)^MAX(0,$C640-$AC$613),IF(DATE($C640,10,15)&gt;=$V$613,$Y$613*(1+($U$613)/100)^MAX(0,$C640-$AB$613),0)))))</f>
      </c>
      <c r="O640" s="43">
        <f>IF($S$613=0,0,IF(OR(DATE($C640,11,15)&lt;$S$613,AND($T$613&gt;0,DATE($C640,11,15)&gt;$T$613)),0,IF(DATE($C640,11,15)&gt;=$X$613,$AA$613*(1+($U$613)/100)^MAX(0,$C640-$AD$613),IF(DATE($C640,11,15)&gt;=$W$613,$Z$613*(1+($U$613)/100)^MAX(0,$C640-$AC$613),IF(DATE($C640,11,15)&gt;=$V$613,$Y$613*(1+($U$613)/100)^MAX(0,$C640-$AB$613),0)))))</f>
      </c>
      <c r="P640" s="43">
        <f>IF($S$613=0,0,IF(OR(DATE($C640,12,15)&lt;$S$613,AND($T$613&gt;0,DATE($C640,12,15)&gt;$T$613)),0,IF(DATE($C640,12,15)&gt;=$X$613,$AA$613*(1+($U$613)/100)^MAX(0,$C640-$AD$613),IF(DATE($C640,12,15)&gt;=$W$613,$Z$613*(1+($U$613)/100)^MAX(0,$C640-$AC$613),IF(DATE($C640,12,15)&gt;=$V$613,$Y$613*(1+($U$613)/100)^MAX(0,$C640-$AB$613),0)))))</f>
      </c>
      <c r="Q640" s="43">
        <f>SUM($E640:$P640)</f>
      </c>
    </row>
    <row r="641">
      <c r="A641"/>
      <c r="B641">
        <v>20</v>
      </c>
      <c r="C641" s="43">
        <f>Jahr+28</f>
      </c>
      <c r="D641" s="43">
        <f>INDEX(MvObj,20)</f>
      </c>
      <c r="E641" s="43">
        <f>IF($S$613=0,0,IF(OR(DATE($C641,1,15)&lt;$S$613,AND($T$613&gt;0,DATE($C641,1,15)&gt;$T$613)),0,IF(DATE($C641,1,15)&gt;=$X$613,$AA$613*(1+($U$613)/100)^MAX(0,$C641-$AD$613),IF(DATE($C641,1,15)&gt;=$W$613,$Z$613*(1+($U$613)/100)^MAX(0,$C641-$AC$613),IF(DATE($C641,1,15)&gt;=$V$613,$Y$613*(1+($U$613)/100)^MAX(0,$C641-$AB$613),0)))))</f>
      </c>
      <c r="F641" s="43">
        <f>IF($S$613=0,0,IF(OR(DATE($C641,2,15)&lt;$S$613,AND($T$613&gt;0,DATE($C641,2,15)&gt;$T$613)),0,IF(DATE($C641,2,15)&gt;=$X$613,$AA$613*(1+($U$613)/100)^MAX(0,$C641-$AD$613),IF(DATE($C641,2,15)&gt;=$W$613,$Z$613*(1+($U$613)/100)^MAX(0,$C641-$AC$613),IF(DATE($C641,2,15)&gt;=$V$613,$Y$613*(1+($U$613)/100)^MAX(0,$C641-$AB$613),0)))))</f>
      </c>
      <c r="G641" s="43">
        <f>IF($S$613=0,0,IF(OR(DATE($C641,3,15)&lt;$S$613,AND($T$613&gt;0,DATE($C641,3,15)&gt;$T$613)),0,IF(DATE($C641,3,15)&gt;=$X$613,$AA$613*(1+($U$613)/100)^MAX(0,$C641-$AD$613),IF(DATE($C641,3,15)&gt;=$W$613,$Z$613*(1+($U$613)/100)^MAX(0,$C641-$AC$613),IF(DATE($C641,3,15)&gt;=$V$613,$Y$613*(1+($U$613)/100)^MAX(0,$C641-$AB$613),0)))))</f>
      </c>
      <c r="H641" s="43">
        <f>IF($S$613=0,0,IF(OR(DATE($C641,4,15)&lt;$S$613,AND($T$613&gt;0,DATE($C641,4,15)&gt;$T$613)),0,IF(DATE($C641,4,15)&gt;=$X$613,$AA$613*(1+($U$613)/100)^MAX(0,$C641-$AD$613),IF(DATE($C641,4,15)&gt;=$W$613,$Z$613*(1+($U$613)/100)^MAX(0,$C641-$AC$613),IF(DATE($C641,4,15)&gt;=$V$613,$Y$613*(1+($U$613)/100)^MAX(0,$C641-$AB$613),0)))))</f>
      </c>
      <c r="I641" s="43">
        <f>IF($S$613=0,0,IF(OR(DATE($C641,5,15)&lt;$S$613,AND($T$613&gt;0,DATE($C641,5,15)&gt;$T$613)),0,IF(DATE($C641,5,15)&gt;=$X$613,$AA$613*(1+($U$613)/100)^MAX(0,$C641-$AD$613),IF(DATE($C641,5,15)&gt;=$W$613,$Z$613*(1+($U$613)/100)^MAX(0,$C641-$AC$613),IF(DATE($C641,5,15)&gt;=$V$613,$Y$613*(1+($U$613)/100)^MAX(0,$C641-$AB$613),0)))))</f>
      </c>
      <c r="J641" s="43">
        <f>IF($S$613=0,0,IF(OR(DATE($C641,6,15)&lt;$S$613,AND($T$613&gt;0,DATE($C641,6,15)&gt;$T$613)),0,IF(DATE($C641,6,15)&gt;=$X$613,$AA$613*(1+($U$613)/100)^MAX(0,$C641-$AD$613),IF(DATE($C641,6,15)&gt;=$W$613,$Z$613*(1+($U$613)/100)^MAX(0,$C641-$AC$613),IF(DATE($C641,6,15)&gt;=$V$613,$Y$613*(1+($U$613)/100)^MAX(0,$C641-$AB$613),0)))))</f>
      </c>
      <c r="K641" s="43">
        <f>IF($S$613=0,0,IF(OR(DATE($C641,7,15)&lt;$S$613,AND($T$613&gt;0,DATE($C641,7,15)&gt;$T$613)),0,IF(DATE($C641,7,15)&gt;=$X$613,$AA$613*(1+($U$613)/100)^MAX(0,$C641-$AD$613),IF(DATE($C641,7,15)&gt;=$W$613,$Z$613*(1+($U$613)/100)^MAX(0,$C641-$AC$613),IF(DATE($C641,7,15)&gt;=$V$613,$Y$613*(1+($U$613)/100)^MAX(0,$C641-$AB$613),0)))))</f>
      </c>
      <c r="L641" s="43">
        <f>IF($S$613=0,0,IF(OR(DATE($C641,8,15)&lt;$S$613,AND($T$613&gt;0,DATE($C641,8,15)&gt;$T$613)),0,IF(DATE($C641,8,15)&gt;=$X$613,$AA$613*(1+($U$613)/100)^MAX(0,$C641-$AD$613),IF(DATE($C641,8,15)&gt;=$W$613,$Z$613*(1+($U$613)/100)^MAX(0,$C641-$AC$613),IF(DATE($C641,8,15)&gt;=$V$613,$Y$613*(1+($U$613)/100)^MAX(0,$C641-$AB$613),0)))))</f>
      </c>
      <c r="M641" s="43">
        <f>IF($S$613=0,0,IF(OR(DATE($C641,9,15)&lt;$S$613,AND($T$613&gt;0,DATE($C641,9,15)&gt;$T$613)),0,IF(DATE($C641,9,15)&gt;=$X$613,$AA$613*(1+($U$613)/100)^MAX(0,$C641-$AD$613),IF(DATE($C641,9,15)&gt;=$W$613,$Z$613*(1+($U$613)/100)^MAX(0,$C641-$AC$613),IF(DATE($C641,9,15)&gt;=$V$613,$Y$613*(1+($U$613)/100)^MAX(0,$C641-$AB$613),0)))))</f>
      </c>
      <c r="N641" s="43">
        <f>IF($S$613=0,0,IF(OR(DATE($C641,10,15)&lt;$S$613,AND($T$613&gt;0,DATE($C641,10,15)&gt;$T$613)),0,IF(DATE($C641,10,15)&gt;=$X$613,$AA$613*(1+($U$613)/100)^MAX(0,$C641-$AD$613),IF(DATE($C641,10,15)&gt;=$W$613,$Z$613*(1+($U$613)/100)^MAX(0,$C641-$AC$613),IF(DATE($C641,10,15)&gt;=$V$613,$Y$613*(1+($U$613)/100)^MAX(0,$C641-$AB$613),0)))))</f>
      </c>
      <c r="O641" s="43">
        <f>IF($S$613=0,0,IF(OR(DATE($C641,11,15)&lt;$S$613,AND($T$613&gt;0,DATE($C641,11,15)&gt;$T$613)),0,IF(DATE($C641,11,15)&gt;=$X$613,$AA$613*(1+($U$613)/100)^MAX(0,$C641-$AD$613),IF(DATE($C641,11,15)&gt;=$W$613,$Z$613*(1+($U$613)/100)^MAX(0,$C641-$AC$613),IF(DATE($C641,11,15)&gt;=$V$613,$Y$613*(1+($U$613)/100)^MAX(0,$C641-$AB$613),0)))))</f>
      </c>
      <c r="P641" s="43">
        <f>IF($S$613=0,0,IF(OR(DATE($C641,12,15)&lt;$S$613,AND($T$613&gt;0,DATE($C641,12,15)&gt;$T$613)),0,IF(DATE($C641,12,15)&gt;=$X$613,$AA$613*(1+($U$613)/100)^MAX(0,$C641-$AD$613),IF(DATE($C641,12,15)&gt;=$W$613,$Z$613*(1+($U$613)/100)^MAX(0,$C641-$AC$613),IF(DATE($C641,12,15)&gt;=$V$613,$Y$613*(1+($U$613)/100)^MAX(0,$C641-$AB$613),0)))))</f>
      </c>
      <c r="Q641" s="43">
        <f>SUM($E641:$P641)</f>
      </c>
    </row>
    <row r="642">
      <c r="A642"/>
      <c r="B642">
        <v>20</v>
      </c>
      <c r="C642" s="43">
        <f>Jahr+29</f>
      </c>
      <c r="D642" s="43">
        <f>INDEX(MvObj,20)</f>
      </c>
      <c r="E642" s="43">
        <f>IF($S$613=0,0,IF(OR(DATE($C642,1,15)&lt;$S$613,AND($T$613&gt;0,DATE($C642,1,15)&gt;$T$613)),0,IF(DATE($C642,1,15)&gt;=$X$613,$AA$613*(1+($U$613)/100)^MAX(0,$C642-$AD$613),IF(DATE($C642,1,15)&gt;=$W$613,$Z$613*(1+($U$613)/100)^MAX(0,$C642-$AC$613),IF(DATE($C642,1,15)&gt;=$V$613,$Y$613*(1+($U$613)/100)^MAX(0,$C642-$AB$613),0)))))</f>
      </c>
      <c r="F642" s="43">
        <f>IF($S$613=0,0,IF(OR(DATE($C642,2,15)&lt;$S$613,AND($T$613&gt;0,DATE($C642,2,15)&gt;$T$613)),0,IF(DATE($C642,2,15)&gt;=$X$613,$AA$613*(1+($U$613)/100)^MAX(0,$C642-$AD$613),IF(DATE($C642,2,15)&gt;=$W$613,$Z$613*(1+($U$613)/100)^MAX(0,$C642-$AC$613),IF(DATE($C642,2,15)&gt;=$V$613,$Y$613*(1+($U$613)/100)^MAX(0,$C642-$AB$613),0)))))</f>
      </c>
      <c r="G642" s="43">
        <f>IF($S$613=0,0,IF(OR(DATE($C642,3,15)&lt;$S$613,AND($T$613&gt;0,DATE($C642,3,15)&gt;$T$613)),0,IF(DATE($C642,3,15)&gt;=$X$613,$AA$613*(1+($U$613)/100)^MAX(0,$C642-$AD$613),IF(DATE($C642,3,15)&gt;=$W$613,$Z$613*(1+($U$613)/100)^MAX(0,$C642-$AC$613),IF(DATE($C642,3,15)&gt;=$V$613,$Y$613*(1+($U$613)/100)^MAX(0,$C642-$AB$613),0)))))</f>
      </c>
      <c r="H642" s="43">
        <f>IF($S$613=0,0,IF(OR(DATE($C642,4,15)&lt;$S$613,AND($T$613&gt;0,DATE($C642,4,15)&gt;$T$613)),0,IF(DATE($C642,4,15)&gt;=$X$613,$AA$613*(1+($U$613)/100)^MAX(0,$C642-$AD$613),IF(DATE($C642,4,15)&gt;=$W$613,$Z$613*(1+($U$613)/100)^MAX(0,$C642-$AC$613),IF(DATE($C642,4,15)&gt;=$V$613,$Y$613*(1+($U$613)/100)^MAX(0,$C642-$AB$613),0)))))</f>
      </c>
      <c r="I642" s="43">
        <f>IF($S$613=0,0,IF(OR(DATE($C642,5,15)&lt;$S$613,AND($T$613&gt;0,DATE($C642,5,15)&gt;$T$613)),0,IF(DATE($C642,5,15)&gt;=$X$613,$AA$613*(1+($U$613)/100)^MAX(0,$C642-$AD$613),IF(DATE($C642,5,15)&gt;=$W$613,$Z$613*(1+($U$613)/100)^MAX(0,$C642-$AC$613),IF(DATE($C642,5,15)&gt;=$V$613,$Y$613*(1+($U$613)/100)^MAX(0,$C642-$AB$613),0)))))</f>
      </c>
      <c r="J642" s="43">
        <f>IF($S$613=0,0,IF(OR(DATE($C642,6,15)&lt;$S$613,AND($T$613&gt;0,DATE($C642,6,15)&gt;$T$613)),0,IF(DATE($C642,6,15)&gt;=$X$613,$AA$613*(1+($U$613)/100)^MAX(0,$C642-$AD$613),IF(DATE($C642,6,15)&gt;=$W$613,$Z$613*(1+($U$613)/100)^MAX(0,$C642-$AC$613),IF(DATE($C642,6,15)&gt;=$V$613,$Y$613*(1+($U$613)/100)^MAX(0,$C642-$AB$613),0)))))</f>
      </c>
      <c r="K642" s="43">
        <f>IF($S$613=0,0,IF(OR(DATE($C642,7,15)&lt;$S$613,AND($T$613&gt;0,DATE($C642,7,15)&gt;$T$613)),0,IF(DATE($C642,7,15)&gt;=$X$613,$AA$613*(1+($U$613)/100)^MAX(0,$C642-$AD$613),IF(DATE($C642,7,15)&gt;=$W$613,$Z$613*(1+($U$613)/100)^MAX(0,$C642-$AC$613),IF(DATE($C642,7,15)&gt;=$V$613,$Y$613*(1+($U$613)/100)^MAX(0,$C642-$AB$613),0)))))</f>
      </c>
      <c r="L642" s="43">
        <f>IF($S$613=0,0,IF(OR(DATE($C642,8,15)&lt;$S$613,AND($T$613&gt;0,DATE($C642,8,15)&gt;$T$613)),0,IF(DATE($C642,8,15)&gt;=$X$613,$AA$613*(1+($U$613)/100)^MAX(0,$C642-$AD$613),IF(DATE($C642,8,15)&gt;=$W$613,$Z$613*(1+($U$613)/100)^MAX(0,$C642-$AC$613),IF(DATE($C642,8,15)&gt;=$V$613,$Y$613*(1+($U$613)/100)^MAX(0,$C642-$AB$613),0)))))</f>
      </c>
      <c r="M642" s="43">
        <f>IF($S$613=0,0,IF(OR(DATE($C642,9,15)&lt;$S$613,AND($T$613&gt;0,DATE($C642,9,15)&gt;$T$613)),0,IF(DATE($C642,9,15)&gt;=$X$613,$AA$613*(1+($U$613)/100)^MAX(0,$C642-$AD$613),IF(DATE($C642,9,15)&gt;=$W$613,$Z$613*(1+($U$613)/100)^MAX(0,$C642-$AC$613),IF(DATE($C642,9,15)&gt;=$V$613,$Y$613*(1+($U$613)/100)^MAX(0,$C642-$AB$613),0)))))</f>
      </c>
      <c r="N642" s="43">
        <f>IF($S$613=0,0,IF(OR(DATE($C642,10,15)&lt;$S$613,AND($T$613&gt;0,DATE($C642,10,15)&gt;$T$613)),0,IF(DATE($C642,10,15)&gt;=$X$613,$AA$613*(1+($U$613)/100)^MAX(0,$C642-$AD$613),IF(DATE($C642,10,15)&gt;=$W$613,$Z$613*(1+($U$613)/100)^MAX(0,$C642-$AC$613),IF(DATE($C642,10,15)&gt;=$V$613,$Y$613*(1+($U$613)/100)^MAX(0,$C642-$AB$613),0)))))</f>
      </c>
      <c r="O642" s="43">
        <f>IF($S$613=0,0,IF(OR(DATE($C642,11,15)&lt;$S$613,AND($T$613&gt;0,DATE($C642,11,15)&gt;$T$613)),0,IF(DATE($C642,11,15)&gt;=$X$613,$AA$613*(1+($U$613)/100)^MAX(0,$C642-$AD$613),IF(DATE($C642,11,15)&gt;=$W$613,$Z$613*(1+($U$613)/100)^MAX(0,$C642-$AC$613),IF(DATE($C642,11,15)&gt;=$V$613,$Y$613*(1+($U$613)/100)^MAX(0,$C642-$AB$613),0)))))</f>
      </c>
      <c r="P642" s="43">
        <f>IF($S$613=0,0,IF(OR(DATE($C642,12,15)&lt;$S$613,AND($T$613&gt;0,DATE($C642,12,15)&gt;$T$613)),0,IF(DATE($C642,12,15)&gt;=$X$613,$AA$613*(1+($U$613)/100)^MAX(0,$C642-$AD$613),IF(DATE($C642,12,15)&gt;=$W$613,$Z$613*(1+($U$613)/100)^MAX(0,$C642-$AC$613),IF(DATE($C642,12,15)&gt;=$V$613,$Y$613*(1+($U$613)/100)^MAX(0,$C642-$AB$613),0)))))</f>
      </c>
      <c r="Q642" s="43">
        <f>SUM($E642:$P642)</f>
      </c>
    </row>
    <row r="643">
      <c r="A643"/>
      <c r="B643">
        <v>20</v>
      </c>
      <c r="C643" s="43">
        <f>Jahr+30</f>
      </c>
      <c r="D643" s="43">
        <f>INDEX(MvObj,20)</f>
      </c>
      <c r="E643" s="43">
        <f>IF($S$613=0,0,IF(OR(DATE($C643,1,15)&lt;$S$613,AND($T$613&gt;0,DATE($C643,1,15)&gt;$T$613)),0,IF(DATE($C643,1,15)&gt;=$X$613,$AA$613*(1+($U$613)/100)^MAX(0,$C643-$AD$613),IF(DATE($C643,1,15)&gt;=$W$613,$Z$613*(1+($U$613)/100)^MAX(0,$C643-$AC$613),IF(DATE($C643,1,15)&gt;=$V$613,$Y$613*(1+($U$613)/100)^MAX(0,$C643-$AB$613),0)))))</f>
      </c>
      <c r="F643" s="43">
        <f>IF($S$613=0,0,IF(OR(DATE($C643,2,15)&lt;$S$613,AND($T$613&gt;0,DATE($C643,2,15)&gt;$T$613)),0,IF(DATE($C643,2,15)&gt;=$X$613,$AA$613*(1+($U$613)/100)^MAX(0,$C643-$AD$613),IF(DATE($C643,2,15)&gt;=$W$613,$Z$613*(1+($U$613)/100)^MAX(0,$C643-$AC$613),IF(DATE($C643,2,15)&gt;=$V$613,$Y$613*(1+($U$613)/100)^MAX(0,$C643-$AB$613),0)))))</f>
      </c>
      <c r="G643" s="43">
        <f>IF($S$613=0,0,IF(OR(DATE($C643,3,15)&lt;$S$613,AND($T$613&gt;0,DATE($C643,3,15)&gt;$T$613)),0,IF(DATE($C643,3,15)&gt;=$X$613,$AA$613*(1+($U$613)/100)^MAX(0,$C643-$AD$613),IF(DATE($C643,3,15)&gt;=$W$613,$Z$613*(1+($U$613)/100)^MAX(0,$C643-$AC$613),IF(DATE($C643,3,15)&gt;=$V$613,$Y$613*(1+($U$613)/100)^MAX(0,$C643-$AB$613),0)))))</f>
      </c>
      <c r="H643" s="43">
        <f>IF($S$613=0,0,IF(OR(DATE($C643,4,15)&lt;$S$613,AND($T$613&gt;0,DATE($C643,4,15)&gt;$T$613)),0,IF(DATE($C643,4,15)&gt;=$X$613,$AA$613*(1+($U$613)/100)^MAX(0,$C643-$AD$613),IF(DATE($C643,4,15)&gt;=$W$613,$Z$613*(1+($U$613)/100)^MAX(0,$C643-$AC$613),IF(DATE($C643,4,15)&gt;=$V$613,$Y$613*(1+($U$613)/100)^MAX(0,$C643-$AB$613),0)))))</f>
      </c>
      <c r="I643" s="43">
        <f>IF($S$613=0,0,IF(OR(DATE($C643,5,15)&lt;$S$613,AND($T$613&gt;0,DATE($C643,5,15)&gt;$T$613)),0,IF(DATE($C643,5,15)&gt;=$X$613,$AA$613*(1+($U$613)/100)^MAX(0,$C643-$AD$613),IF(DATE($C643,5,15)&gt;=$W$613,$Z$613*(1+($U$613)/100)^MAX(0,$C643-$AC$613),IF(DATE($C643,5,15)&gt;=$V$613,$Y$613*(1+($U$613)/100)^MAX(0,$C643-$AB$613),0)))))</f>
      </c>
      <c r="J643" s="43">
        <f>IF($S$613=0,0,IF(OR(DATE($C643,6,15)&lt;$S$613,AND($T$613&gt;0,DATE($C643,6,15)&gt;$T$613)),0,IF(DATE($C643,6,15)&gt;=$X$613,$AA$613*(1+($U$613)/100)^MAX(0,$C643-$AD$613),IF(DATE($C643,6,15)&gt;=$W$613,$Z$613*(1+($U$613)/100)^MAX(0,$C643-$AC$613),IF(DATE($C643,6,15)&gt;=$V$613,$Y$613*(1+($U$613)/100)^MAX(0,$C643-$AB$613),0)))))</f>
      </c>
      <c r="K643" s="43">
        <f>IF($S$613=0,0,IF(OR(DATE($C643,7,15)&lt;$S$613,AND($T$613&gt;0,DATE($C643,7,15)&gt;$T$613)),0,IF(DATE($C643,7,15)&gt;=$X$613,$AA$613*(1+($U$613)/100)^MAX(0,$C643-$AD$613),IF(DATE($C643,7,15)&gt;=$W$613,$Z$613*(1+($U$613)/100)^MAX(0,$C643-$AC$613),IF(DATE($C643,7,15)&gt;=$V$613,$Y$613*(1+($U$613)/100)^MAX(0,$C643-$AB$613),0)))))</f>
      </c>
      <c r="L643" s="43">
        <f>IF($S$613=0,0,IF(OR(DATE($C643,8,15)&lt;$S$613,AND($T$613&gt;0,DATE($C643,8,15)&gt;$T$613)),0,IF(DATE($C643,8,15)&gt;=$X$613,$AA$613*(1+($U$613)/100)^MAX(0,$C643-$AD$613),IF(DATE($C643,8,15)&gt;=$W$613,$Z$613*(1+($U$613)/100)^MAX(0,$C643-$AC$613),IF(DATE($C643,8,15)&gt;=$V$613,$Y$613*(1+($U$613)/100)^MAX(0,$C643-$AB$613),0)))))</f>
      </c>
      <c r="M643" s="43">
        <f>IF($S$613=0,0,IF(OR(DATE($C643,9,15)&lt;$S$613,AND($T$613&gt;0,DATE($C643,9,15)&gt;$T$613)),0,IF(DATE($C643,9,15)&gt;=$X$613,$AA$613*(1+($U$613)/100)^MAX(0,$C643-$AD$613),IF(DATE($C643,9,15)&gt;=$W$613,$Z$613*(1+($U$613)/100)^MAX(0,$C643-$AC$613),IF(DATE($C643,9,15)&gt;=$V$613,$Y$613*(1+($U$613)/100)^MAX(0,$C643-$AB$613),0)))))</f>
      </c>
      <c r="N643" s="43">
        <f>IF($S$613=0,0,IF(OR(DATE($C643,10,15)&lt;$S$613,AND($T$613&gt;0,DATE($C643,10,15)&gt;$T$613)),0,IF(DATE($C643,10,15)&gt;=$X$613,$AA$613*(1+($U$613)/100)^MAX(0,$C643-$AD$613),IF(DATE($C643,10,15)&gt;=$W$613,$Z$613*(1+($U$613)/100)^MAX(0,$C643-$AC$613),IF(DATE($C643,10,15)&gt;=$V$613,$Y$613*(1+($U$613)/100)^MAX(0,$C643-$AB$613),0)))))</f>
      </c>
      <c r="O643" s="43">
        <f>IF($S$613=0,0,IF(OR(DATE($C643,11,15)&lt;$S$613,AND($T$613&gt;0,DATE($C643,11,15)&gt;$T$613)),0,IF(DATE($C643,11,15)&gt;=$X$613,$AA$613*(1+($U$613)/100)^MAX(0,$C643-$AD$613),IF(DATE($C643,11,15)&gt;=$W$613,$Z$613*(1+($U$613)/100)^MAX(0,$C643-$AC$613),IF(DATE($C643,11,15)&gt;=$V$613,$Y$613*(1+($U$613)/100)^MAX(0,$C643-$AB$613),0)))))</f>
      </c>
      <c r="P643" s="43">
        <f>IF($S$613=0,0,IF(OR(DATE($C643,12,15)&lt;$S$613,AND($T$613&gt;0,DATE($C643,12,15)&gt;$T$613)),0,IF(DATE($C643,12,15)&gt;=$X$613,$AA$613*(1+($U$613)/100)^MAX(0,$C643-$AD$613),IF(DATE($C643,12,15)&gt;=$W$613,$Z$613*(1+($U$613)/100)^MAX(0,$C643-$AC$613),IF(DATE($C643,12,15)&gt;=$V$613,$Y$613*(1+($U$613)/100)^MAX(0,$C643-$AB$613),0)))))</f>
      </c>
      <c r="Q643" s="43">
        <f>SUM($E643:$P643)</f>
      </c>
    </row>
    <row r="644">
      <c r="A644"/>
      <c r="B644">
        <v>21</v>
      </c>
      <c r="C644" s="43">
        <f>Jahr+0</f>
      </c>
      <c r="D644" s="43">
        <f>INDEX(MvObj,21)</f>
      </c>
      <c r="E644" s="43">
        <f>IF($S$644=0,0,IF(OR(DATE($C644,1,15)&lt;$S$644,AND($T$644&gt;0,DATE($C644,1,15)&gt;$T$644)),0,IF(DATE($C644,1,15)&gt;=$X$644,$AA$644*(1+($U$644)/100)^MAX(0,$C644-$AD$644),IF(DATE($C644,1,15)&gt;=$W$644,$Z$644*(1+($U$644)/100)^MAX(0,$C644-$AC$644),IF(DATE($C644,1,15)&gt;=$V$644,$Y$644*(1+($U$644)/100)^MAX(0,$C644-$AB$644),0)))))</f>
      </c>
      <c r="F644" s="43">
        <f>IF($S$644=0,0,IF(OR(DATE($C644,2,15)&lt;$S$644,AND($T$644&gt;0,DATE($C644,2,15)&gt;$T$644)),0,IF(DATE($C644,2,15)&gt;=$X$644,$AA$644*(1+($U$644)/100)^MAX(0,$C644-$AD$644),IF(DATE($C644,2,15)&gt;=$W$644,$Z$644*(1+($U$644)/100)^MAX(0,$C644-$AC$644),IF(DATE($C644,2,15)&gt;=$V$644,$Y$644*(1+($U$644)/100)^MAX(0,$C644-$AB$644),0)))))</f>
      </c>
      <c r="G644" s="43">
        <f>IF($S$644=0,0,IF(OR(DATE($C644,3,15)&lt;$S$644,AND($T$644&gt;0,DATE($C644,3,15)&gt;$T$644)),0,IF(DATE($C644,3,15)&gt;=$X$644,$AA$644*(1+($U$644)/100)^MAX(0,$C644-$AD$644),IF(DATE($C644,3,15)&gt;=$W$644,$Z$644*(1+($U$644)/100)^MAX(0,$C644-$AC$644),IF(DATE($C644,3,15)&gt;=$V$644,$Y$644*(1+($U$644)/100)^MAX(0,$C644-$AB$644),0)))))</f>
      </c>
      <c r="H644" s="43">
        <f>IF($S$644=0,0,IF(OR(DATE($C644,4,15)&lt;$S$644,AND($T$644&gt;0,DATE($C644,4,15)&gt;$T$644)),0,IF(DATE($C644,4,15)&gt;=$X$644,$AA$644*(1+($U$644)/100)^MAX(0,$C644-$AD$644),IF(DATE($C644,4,15)&gt;=$W$644,$Z$644*(1+($U$644)/100)^MAX(0,$C644-$AC$644),IF(DATE($C644,4,15)&gt;=$V$644,$Y$644*(1+($U$644)/100)^MAX(0,$C644-$AB$644),0)))))</f>
      </c>
      <c r="I644" s="43">
        <f>IF($S$644=0,0,IF(OR(DATE($C644,5,15)&lt;$S$644,AND($T$644&gt;0,DATE($C644,5,15)&gt;$T$644)),0,IF(DATE($C644,5,15)&gt;=$X$644,$AA$644*(1+($U$644)/100)^MAX(0,$C644-$AD$644),IF(DATE($C644,5,15)&gt;=$W$644,$Z$644*(1+($U$644)/100)^MAX(0,$C644-$AC$644),IF(DATE($C644,5,15)&gt;=$V$644,$Y$644*(1+($U$644)/100)^MAX(0,$C644-$AB$644),0)))))</f>
      </c>
      <c r="J644" s="43">
        <f>IF($S$644=0,0,IF(OR(DATE($C644,6,15)&lt;$S$644,AND($T$644&gt;0,DATE($C644,6,15)&gt;$T$644)),0,IF(DATE($C644,6,15)&gt;=$X$644,$AA$644*(1+($U$644)/100)^MAX(0,$C644-$AD$644),IF(DATE($C644,6,15)&gt;=$W$644,$Z$644*(1+($U$644)/100)^MAX(0,$C644-$AC$644),IF(DATE($C644,6,15)&gt;=$V$644,$Y$644*(1+($U$644)/100)^MAX(0,$C644-$AB$644),0)))))</f>
      </c>
      <c r="K644" s="43">
        <f>IF($S$644=0,0,IF(OR(DATE($C644,7,15)&lt;$S$644,AND($T$644&gt;0,DATE($C644,7,15)&gt;$T$644)),0,IF(DATE($C644,7,15)&gt;=$X$644,$AA$644*(1+($U$644)/100)^MAX(0,$C644-$AD$644),IF(DATE($C644,7,15)&gt;=$W$644,$Z$644*(1+($U$644)/100)^MAX(0,$C644-$AC$644),IF(DATE($C644,7,15)&gt;=$V$644,$Y$644*(1+($U$644)/100)^MAX(0,$C644-$AB$644),0)))))</f>
      </c>
      <c r="L644" s="43">
        <f>IF($S$644=0,0,IF(OR(DATE($C644,8,15)&lt;$S$644,AND($T$644&gt;0,DATE($C644,8,15)&gt;$T$644)),0,IF(DATE($C644,8,15)&gt;=$X$644,$AA$644*(1+($U$644)/100)^MAX(0,$C644-$AD$644),IF(DATE($C644,8,15)&gt;=$W$644,$Z$644*(1+($U$644)/100)^MAX(0,$C644-$AC$644),IF(DATE($C644,8,15)&gt;=$V$644,$Y$644*(1+($U$644)/100)^MAX(0,$C644-$AB$644),0)))))</f>
      </c>
      <c r="M644" s="43">
        <f>IF($S$644=0,0,IF(OR(DATE($C644,9,15)&lt;$S$644,AND($T$644&gt;0,DATE($C644,9,15)&gt;$T$644)),0,IF(DATE($C644,9,15)&gt;=$X$644,$AA$644*(1+($U$644)/100)^MAX(0,$C644-$AD$644),IF(DATE($C644,9,15)&gt;=$W$644,$Z$644*(1+($U$644)/100)^MAX(0,$C644-$AC$644),IF(DATE($C644,9,15)&gt;=$V$644,$Y$644*(1+($U$644)/100)^MAX(0,$C644-$AB$644),0)))))</f>
      </c>
      <c r="N644" s="43">
        <f>IF($S$644=0,0,IF(OR(DATE($C644,10,15)&lt;$S$644,AND($T$644&gt;0,DATE($C644,10,15)&gt;$T$644)),0,IF(DATE($C644,10,15)&gt;=$X$644,$AA$644*(1+($U$644)/100)^MAX(0,$C644-$AD$644),IF(DATE($C644,10,15)&gt;=$W$644,$Z$644*(1+($U$644)/100)^MAX(0,$C644-$AC$644),IF(DATE($C644,10,15)&gt;=$V$644,$Y$644*(1+($U$644)/100)^MAX(0,$C644-$AB$644),0)))))</f>
      </c>
      <c r="O644" s="43">
        <f>IF($S$644=0,0,IF(OR(DATE($C644,11,15)&lt;$S$644,AND($T$644&gt;0,DATE($C644,11,15)&gt;$T$644)),0,IF(DATE($C644,11,15)&gt;=$X$644,$AA$644*(1+($U$644)/100)^MAX(0,$C644-$AD$644),IF(DATE($C644,11,15)&gt;=$W$644,$Z$644*(1+($U$644)/100)^MAX(0,$C644-$AC$644),IF(DATE($C644,11,15)&gt;=$V$644,$Y$644*(1+($U$644)/100)^MAX(0,$C644-$AB$644),0)))))</f>
      </c>
      <c r="P644" s="43">
        <f>IF($S$644=0,0,IF(OR(DATE($C644,12,15)&lt;$S$644,AND($T$644&gt;0,DATE($C644,12,15)&gt;$T$644)),0,IF(DATE($C644,12,15)&gt;=$X$644,$AA$644*(1+($U$644)/100)^MAX(0,$C644-$AD$644),IF(DATE($C644,12,15)&gt;=$W$644,$Z$644*(1+($U$644)/100)^MAX(0,$C644-$AC$644),IF(DATE($C644,12,15)&gt;=$V$644,$Y$644*(1+($U$644)/100)^MAX(0,$C644-$AB$644),0)))))</f>
      </c>
      <c r="Q644" s="43">
        <f>SUM($E644:$P644)</f>
      </c>
      <c r="R644"/>
      <c r="S644" s="43">
        <f>IF(INDEX(MvBeginn,21)="",0,INDEX(MvBeginn,21))</f>
      </c>
      <c r="T644" s="43">
        <f>INDEX(MvEnde,21)</f>
      </c>
      <c r="U644" s="43">
        <f>INDEX(MvSatz,21)</f>
      </c>
      <c r="V644" s="43">
        <f>INDEX(MvKey1,21)</f>
      </c>
      <c r="W644" s="43">
        <f>INDEX(MvKey2,21)</f>
      </c>
      <c r="X644" s="43">
        <f>INDEX(MvKey3,21)</f>
      </c>
      <c r="Y644" s="43">
        <f>INDEX(MvKalt1,21)</f>
      </c>
      <c r="Z644" s="43">
        <f>INDEX(MvKalt2,21)</f>
      </c>
      <c r="AA644" s="43">
        <f>INDEX(MvKalt3,21)</f>
      </c>
      <c r="AB644" s="43">
        <f>MAX(YEAR(INDEX(MvAb1,21)),Jahr)</f>
      </c>
      <c r="AC644" s="43">
        <f>MAX(YEAR(INDEX(MvAb2,21)),Jahr)</f>
      </c>
      <c r="AD644" s="43">
        <f>MAX(YEAR(INDEX(MvAb3,21)),Jahr)</f>
      </c>
    </row>
    <row r="645">
      <c r="A645"/>
      <c r="B645">
        <v>21</v>
      </c>
      <c r="C645" s="43">
        <f>Jahr+1</f>
      </c>
      <c r="D645" s="43">
        <f>INDEX(MvObj,21)</f>
      </c>
      <c r="E645" s="43">
        <f>IF($S$644=0,0,IF(OR(DATE($C645,1,15)&lt;$S$644,AND($T$644&gt;0,DATE($C645,1,15)&gt;$T$644)),0,IF(DATE($C645,1,15)&gt;=$X$644,$AA$644*(1+($U$644)/100)^MAX(0,$C645-$AD$644),IF(DATE($C645,1,15)&gt;=$W$644,$Z$644*(1+($U$644)/100)^MAX(0,$C645-$AC$644),IF(DATE($C645,1,15)&gt;=$V$644,$Y$644*(1+($U$644)/100)^MAX(0,$C645-$AB$644),0)))))</f>
      </c>
      <c r="F645" s="43">
        <f>IF($S$644=0,0,IF(OR(DATE($C645,2,15)&lt;$S$644,AND($T$644&gt;0,DATE($C645,2,15)&gt;$T$644)),0,IF(DATE($C645,2,15)&gt;=$X$644,$AA$644*(1+($U$644)/100)^MAX(0,$C645-$AD$644),IF(DATE($C645,2,15)&gt;=$W$644,$Z$644*(1+($U$644)/100)^MAX(0,$C645-$AC$644),IF(DATE($C645,2,15)&gt;=$V$644,$Y$644*(1+($U$644)/100)^MAX(0,$C645-$AB$644),0)))))</f>
      </c>
      <c r="G645" s="43">
        <f>IF($S$644=0,0,IF(OR(DATE($C645,3,15)&lt;$S$644,AND($T$644&gt;0,DATE($C645,3,15)&gt;$T$644)),0,IF(DATE($C645,3,15)&gt;=$X$644,$AA$644*(1+($U$644)/100)^MAX(0,$C645-$AD$644),IF(DATE($C645,3,15)&gt;=$W$644,$Z$644*(1+($U$644)/100)^MAX(0,$C645-$AC$644),IF(DATE($C645,3,15)&gt;=$V$644,$Y$644*(1+($U$644)/100)^MAX(0,$C645-$AB$644),0)))))</f>
      </c>
      <c r="H645" s="43">
        <f>IF($S$644=0,0,IF(OR(DATE($C645,4,15)&lt;$S$644,AND($T$644&gt;0,DATE($C645,4,15)&gt;$T$644)),0,IF(DATE($C645,4,15)&gt;=$X$644,$AA$644*(1+($U$644)/100)^MAX(0,$C645-$AD$644),IF(DATE($C645,4,15)&gt;=$W$644,$Z$644*(1+($U$644)/100)^MAX(0,$C645-$AC$644),IF(DATE($C645,4,15)&gt;=$V$644,$Y$644*(1+($U$644)/100)^MAX(0,$C645-$AB$644),0)))))</f>
      </c>
      <c r="I645" s="43">
        <f>IF($S$644=0,0,IF(OR(DATE($C645,5,15)&lt;$S$644,AND($T$644&gt;0,DATE($C645,5,15)&gt;$T$644)),0,IF(DATE($C645,5,15)&gt;=$X$644,$AA$644*(1+($U$644)/100)^MAX(0,$C645-$AD$644),IF(DATE($C645,5,15)&gt;=$W$644,$Z$644*(1+($U$644)/100)^MAX(0,$C645-$AC$644),IF(DATE($C645,5,15)&gt;=$V$644,$Y$644*(1+($U$644)/100)^MAX(0,$C645-$AB$644),0)))))</f>
      </c>
      <c r="J645" s="43">
        <f>IF($S$644=0,0,IF(OR(DATE($C645,6,15)&lt;$S$644,AND($T$644&gt;0,DATE($C645,6,15)&gt;$T$644)),0,IF(DATE($C645,6,15)&gt;=$X$644,$AA$644*(1+($U$644)/100)^MAX(0,$C645-$AD$644),IF(DATE($C645,6,15)&gt;=$W$644,$Z$644*(1+($U$644)/100)^MAX(0,$C645-$AC$644),IF(DATE($C645,6,15)&gt;=$V$644,$Y$644*(1+($U$644)/100)^MAX(0,$C645-$AB$644),0)))))</f>
      </c>
      <c r="K645" s="43">
        <f>IF($S$644=0,0,IF(OR(DATE($C645,7,15)&lt;$S$644,AND($T$644&gt;0,DATE($C645,7,15)&gt;$T$644)),0,IF(DATE($C645,7,15)&gt;=$X$644,$AA$644*(1+($U$644)/100)^MAX(0,$C645-$AD$644),IF(DATE($C645,7,15)&gt;=$W$644,$Z$644*(1+($U$644)/100)^MAX(0,$C645-$AC$644),IF(DATE($C645,7,15)&gt;=$V$644,$Y$644*(1+($U$644)/100)^MAX(0,$C645-$AB$644),0)))))</f>
      </c>
      <c r="L645" s="43">
        <f>IF($S$644=0,0,IF(OR(DATE($C645,8,15)&lt;$S$644,AND($T$644&gt;0,DATE($C645,8,15)&gt;$T$644)),0,IF(DATE($C645,8,15)&gt;=$X$644,$AA$644*(1+($U$644)/100)^MAX(0,$C645-$AD$644),IF(DATE($C645,8,15)&gt;=$W$644,$Z$644*(1+($U$644)/100)^MAX(0,$C645-$AC$644),IF(DATE($C645,8,15)&gt;=$V$644,$Y$644*(1+($U$644)/100)^MAX(0,$C645-$AB$644),0)))))</f>
      </c>
      <c r="M645" s="43">
        <f>IF($S$644=0,0,IF(OR(DATE($C645,9,15)&lt;$S$644,AND($T$644&gt;0,DATE($C645,9,15)&gt;$T$644)),0,IF(DATE($C645,9,15)&gt;=$X$644,$AA$644*(1+($U$644)/100)^MAX(0,$C645-$AD$644),IF(DATE($C645,9,15)&gt;=$W$644,$Z$644*(1+($U$644)/100)^MAX(0,$C645-$AC$644),IF(DATE($C645,9,15)&gt;=$V$644,$Y$644*(1+($U$644)/100)^MAX(0,$C645-$AB$644),0)))))</f>
      </c>
      <c r="N645" s="43">
        <f>IF($S$644=0,0,IF(OR(DATE($C645,10,15)&lt;$S$644,AND($T$644&gt;0,DATE($C645,10,15)&gt;$T$644)),0,IF(DATE($C645,10,15)&gt;=$X$644,$AA$644*(1+($U$644)/100)^MAX(0,$C645-$AD$644),IF(DATE($C645,10,15)&gt;=$W$644,$Z$644*(1+($U$644)/100)^MAX(0,$C645-$AC$644),IF(DATE($C645,10,15)&gt;=$V$644,$Y$644*(1+($U$644)/100)^MAX(0,$C645-$AB$644),0)))))</f>
      </c>
      <c r="O645" s="43">
        <f>IF($S$644=0,0,IF(OR(DATE($C645,11,15)&lt;$S$644,AND($T$644&gt;0,DATE($C645,11,15)&gt;$T$644)),0,IF(DATE($C645,11,15)&gt;=$X$644,$AA$644*(1+($U$644)/100)^MAX(0,$C645-$AD$644),IF(DATE($C645,11,15)&gt;=$W$644,$Z$644*(1+($U$644)/100)^MAX(0,$C645-$AC$644),IF(DATE($C645,11,15)&gt;=$V$644,$Y$644*(1+($U$644)/100)^MAX(0,$C645-$AB$644),0)))))</f>
      </c>
      <c r="P645" s="43">
        <f>IF($S$644=0,0,IF(OR(DATE($C645,12,15)&lt;$S$644,AND($T$644&gt;0,DATE($C645,12,15)&gt;$T$644)),0,IF(DATE($C645,12,15)&gt;=$X$644,$AA$644*(1+($U$644)/100)^MAX(0,$C645-$AD$644),IF(DATE($C645,12,15)&gt;=$W$644,$Z$644*(1+($U$644)/100)^MAX(0,$C645-$AC$644),IF(DATE($C645,12,15)&gt;=$V$644,$Y$644*(1+($U$644)/100)^MAX(0,$C645-$AB$644),0)))))</f>
      </c>
      <c r="Q645" s="43">
        <f>SUM($E645:$P645)</f>
      </c>
    </row>
    <row r="646">
      <c r="A646"/>
      <c r="B646">
        <v>21</v>
      </c>
      <c r="C646" s="43">
        <f>Jahr+2</f>
      </c>
      <c r="D646" s="43">
        <f>INDEX(MvObj,21)</f>
      </c>
      <c r="E646" s="43">
        <f>IF($S$644=0,0,IF(OR(DATE($C646,1,15)&lt;$S$644,AND($T$644&gt;0,DATE($C646,1,15)&gt;$T$644)),0,IF(DATE($C646,1,15)&gt;=$X$644,$AA$644*(1+($U$644)/100)^MAX(0,$C646-$AD$644),IF(DATE($C646,1,15)&gt;=$W$644,$Z$644*(1+($U$644)/100)^MAX(0,$C646-$AC$644),IF(DATE($C646,1,15)&gt;=$V$644,$Y$644*(1+($U$644)/100)^MAX(0,$C646-$AB$644),0)))))</f>
      </c>
      <c r="F646" s="43">
        <f>IF($S$644=0,0,IF(OR(DATE($C646,2,15)&lt;$S$644,AND($T$644&gt;0,DATE($C646,2,15)&gt;$T$644)),0,IF(DATE($C646,2,15)&gt;=$X$644,$AA$644*(1+($U$644)/100)^MAX(0,$C646-$AD$644),IF(DATE($C646,2,15)&gt;=$W$644,$Z$644*(1+($U$644)/100)^MAX(0,$C646-$AC$644),IF(DATE($C646,2,15)&gt;=$V$644,$Y$644*(1+($U$644)/100)^MAX(0,$C646-$AB$644),0)))))</f>
      </c>
      <c r="G646" s="43">
        <f>IF($S$644=0,0,IF(OR(DATE($C646,3,15)&lt;$S$644,AND($T$644&gt;0,DATE($C646,3,15)&gt;$T$644)),0,IF(DATE($C646,3,15)&gt;=$X$644,$AA$644*(1+($U$644)/100)^MAX(0,$C646-$AD$644),IF(DATE($C646,3,15)&gt;=$W$644,$Z$644*(1+($U$644)/100)^MAX(0,$C646-$AC$644),IF(DATE($C646,3,15)&gt;=$V$644,$Y$644*(1+($U$644)/100)^MAX(0,$C646-$AB$644),0)))))</f>
      </c>
      <c r="H646" s="43">
        <f>IF($S$644=0,0,IF(OR(DATE($C646,4,15)&lt;$S$644,AND($T$644&gt;0,DATE($C646,4,15)&gt;$T$644)),0,IF(DATE($C646,4,15)&gt;=$X$644,$AA$644*(1+($U$644)/100)^MAX(0,$C646-$AD$644),IF(DATE($C646,4,15)&gt;=$W$644,$Z$644*(1+($U$644)/100)^MAX(0,$C646-$AC$644),IF(DATE($C646,4,15)&gt;=$V$644,$Y$644*(1+($U$644)/100)^MAX(0,$C646-$AB$644),0)))))</f>
      </c>
      <c r="I646" s="43">
        <f>IF($S$644=0,0,IF(OR(DATE($C646,5,15)&lt;$S$644,AND($T$644&gt;0,DATE($C646,5,15)&gt;$T$644)),0,IF(DATE($C646,5,15)&gt;=$X$644,$AA$644*(1+($U$644)/100)^MAX(0,$C646-$AD$644),IF(DATE($C646,5,15)&gt;=$W$644,$Z$644*(1+($U$644)/100)^MAX(0,$C646-$AC$644),IF(DATE($C646,5,15)&gt;=$V$644,$Y$644*(1+($U$644)/100)^MAX(0,$C646-$AB$644),0)))))</f>
      </c>
      <c r="J646" s="43">
        <f>IF($S$644=0,0,IF(OR(DATE($C646,6,15)&lt;$S$644,AND($T$644&gt;0,DATE($C646,6,15)&gt;$T$644)),0,IF(DATE($C646,6,15)&gt;=$X$644,$AA$644*(1+($U$644)/100)^MAX(0,$C646-$AD$644),IF(DATE($C646,6,15)&gt;=$W$644,$Z$644*(1+($U$644)/100)^MAX(0,$C646-$AC$644),IF(DATE($C646,6,15)&gt;=$V$644,$Y$644*(1+($U$644)/100)^MAX(0,$C646-$AB$644),0)))))</f>
      </c>
      <c r="K646" s="43">
        <f>IF($S$644=0,0,IF(OR(DATE($C646,7,15)&lt;$S$644,AND($T$644&gt;0,DATE($C646,7,15)&gt;$T$644)),0,IF(DATE($C646,7,15)&gt;=$X$644,$AA$644*(1+($U$644)/100)^MAX(0,$C646-$AD$644),IF(DATE($C646,7,15)&gt;=$W$644,$Z$644*(1+($U$644)/100)^MAX(0,$C646-$AC$644),IF(DATE($C646,7,15)&gt;=$V$644,$Y$644*(1+($U$644)/100)^MAX(0,$C646-$AB$644),0)))))</f>
      </c>
      <c r="L646" s="43">
        <f>IF($S$644=0,0,IF(OR(DATE($C646,8,15)&lt;$S$644,AND($T$644&gt;0,DATE($C646,8,15)&gt;$T$644)),0,IF(DATE($C646,8,15)&gt;=$X$644,$AA$644*(1+($U$644)/100)^MAX(0,$C646-$AD$644),IF(DATE($C646,8,15)&gt;=$W$644,$Z$644*(1+($U$644)/100)^MAX(0,$C646-$AC$644),IF(DATE($C646,8,15)&gt;=$V$644,$Y$644*(1+($U$644)/100)^MAX(0,$C646-$AB$644),0)))))</f>
      </c>
      <c r="M646" s="43">
        <f>IF($S$644=0,0,IF(OR(DATE($C646,9,15)&lt;$S$644,AND($T$644&gt;0,DATE($C646,9,15)&gt;$T$644)),0,IF(DATE($C646,9,15)&gt;=$X$644,$AA$644*(1+($U$644)/100)^MAX(0,$C646-$AD$644),IF(DATE($C646,9,15)&gt;=$W$644,$Z$644*(1+($U$644)/100)^MAX(0,$C646-$AC$644),IF(DATE($C646,9,15)&gt;=$V$644,$Y$644*(1+($U$644)/100)^MAX(0,$C646-$AB$644),0)))))</f>
      </c>
      <c r="N646" s="43">
        <f>IF($S$644=0,0,IF(OR(DATE($C646,10,15)&lt;$S$644,AND($T$644&gt;0,DATE($C646,10,15)&gt;$T$644)),0,IF(DATE($C646,10,15)&gt;=$X$644,$AA$644*(1+($U$644)/100)^MAX(0,$C646-$AD$644),IF(DATE($C646,10,15)&gt;=$W$644,$Z$644*(1+($U$644)/100)^MAX(0,$C646-$AC$644),IF(DATE($C646,10,15)&gt;=$V$644,$Y$644*(1+($U$644)/100)^MAX(0,$C646-$AB$644),0)))))</f>
      </c>
      <c r="O646" s="43">
        <f>IF($S$644=0,0,IF(OR(DATE($C646,11,15)&lt;$S$644,AND($T$644&gt;0,DATE($C646,11,15)&gt;$T$644)),0,IF(DATE($C646,11,15)&gt;=$X$644,$AA$644*(1+($U$644)/100)^MAX(0,$C646-$AD$644),IF(DATE($C646,11,15)&gt;=$W$644,$Z$644*(1+($U$644)/100)^MAX(0,$C646-$AC$644),IF(DATE($C646,11,15)&gt;=$V$644,$Y$644*(1+($U$644)/100)^MAX(0,$C646-$AB$644),0)))))</f>
      </c>
      <c r="P646" s="43">
        <f>IF($S$644=0,0,IF(OR(DATE($C646,12,15)&lt;$S$644,AND($T$644&gt;0,DATE($C646,12,15)&gt;$T$644)),0,IF(DATE($C646,12,15)&gt;=$X$644,$AA$644*(1+($U$644)/100)^MAX(0,$C646-$AD$644),IF(DATE($C646,12,15)&gt;=$W$644,$Z$644*(1+($U$644)/100)^MAX(0,$C646-$AC$644),IF(DATE($C646,12,15)&gt;=$V$644,$Y$644*(1+($U$644)/100)^MAX(0,$C646-$AB$644),0)))))</f>
      </c>
      <c r="Q646" s="43">
        <f>SUM($E646:$P646)</f>
      </c>
    </row>
    <row r="647">
      <c r="A647"/>
      <c r="B647">
        <v>21</v>
      </c>
      <c r="C647" s="43">
        <f>Jahr+3</f>
      </c>
      <c r="D647" s="43">
        <f>INDEX(MvObj,21)</f>
      </c>
      <c r="E647" s="43">
        <f>IF($S$644=0,0,IF(OR(DATE($C647,1,15)&lt;$S$644,AND($T$644&gt;0,DATE($C647,1,15)&gt;$T$644)),0,IF(DATE($C647,1,15)&gt;=$X$644,$AA$644*(1+($U$644)/100)^MAX(0,$C647-$AD$644),IF(DATE($C647,1,15)&gt;=$W$644,$Z$644*(1+($U$644)/100)^MAX(0,$C647-$AC$644),IF(DATE($C647,1,15)&gt;=$V$644,$Y$644*(1+($U$644)/100)^MAX(0,$C647-$AB$644),0)))))</f>
      </c>
      <c r="F647" s="43">
        <f>IF($S$644=0,0,IF(OR(DATE($C647,2,15)&lt;$S$644,AND($T$644&gt;0,DATE($C647,2,15)&gt;$T$644)),0,IF(DATE($C647,2,15)&gt;=$X$644,$AA$644*(1+($U$644)/100)^MAX(0,$C647-$AD$644),IF(DATE($C647,2,15)&gt;=$W$644,$Z$644*(1+($U$644)/100)^MAX(0,$C647-$AC$644),IF(DATE($C647,2,15)&gt;=$V$644,$Y$644*(1+($U$644)/100)^MAX(0,$C647-$AB$644),0)))))</f>
      </c>
      <c r="G647" s="43">
        <f>IF($S$644=0,0,IF(OR(DATE($C647,3,15)&lt;$S$644,AND($T$644&gt;0,DATE($C647,3,15)&gt;$T$644)),0,IF(DATE($C647,3,15)&gt;=$X$644,$AA$644*(1+($U$644)/100)^MAX(0,$C647-$AD$644),IF(DATE($C647,3,15)&gt;=$W$644,$Z$644*(1+($U$644)/100)^MAX(0,$C647-$AC$644),IF(DATE($C647,3,15)&gt;=$V$644,$Y$644*(1+($U$644)/100)^MAX(0,$C647-$AB$644),0)))))</f>
      </c>
      <c r="H647" s="43">
        <f>IF($S$644=0,0,IF(OR(DATE($C647,4,15)&lt;$S$644,AND($T$644&gt;0,DATE($C647,4,15)&gt;$T$644)),0,IF(DATE($C647,4,15)&gt;=$X$644,$AA$644*(1+($U$644)/100)^MAX(0,$C647-$AD$644),IF(DATE($C647,4,15)&gt;=$W$644,$Z$644*(1+($U$644)/100)^MAX(0,$C647-$AC$644),IF(DATE($C647,4,15)&gt;=$V$644,$Y$644*(1+($U$644)/100)^MAX(0,$C647-$AB$644),0)))))</f>
      </c>
      <c r="I647" s="43">
        <f>IF($S$644=0,0,IF(OR(DATE($C647,5,15)&lt;$S$644,AND($T$644&gt;0,DATE($C647,5,15)&gt;$T$644)),0,IF(DATE($C647,5,15)&gt;=$X$644,$AA$644*(1+($U$644)/100)^MAX(0,$C647-$AD$644),IF(DATE($C647,5,15)&gt;=$W$644,$Z$644*(1+($U$644)/100)^MAX(0,$C647-$AC$644),IF(DATE($C647,5,15)&gt;=$V$644,$Y$644*(1+($U$644)/100)^MAX(0,$C647-$AB$644),0)))))</f>
      </c>
      <c r="J647" s="43">
        <f>IF($S$644=0,0,IF(OR(DATE($C647,6,15)&lt;$S$644,AND($T$644&gt;0,DATE($C647,6,15)&gt;$T$644)),0,IF(DATE($C647,6,15)&gt;=$X$644,$AA$644*(1+($U$644)/100)^MAX(0,$C647-$AD$644),IF(DATE($C647,6,15)&gt;=$W$644,$Z$644*(1+($U$644)/100)^MAX(0,$C647-$AC$644),IF(DATE($C647,6,15)&gt;=$V$644,$Y$644*(1+($U$644)/100)^MAX(0,$C647-$AB$644),0)))))</f>
      </c>
      <c r="K647" s="43">
        <f>IF($S$644=0,0,IF(OR(DATE($C647,7,15)&lt;$S$644,AND($T$644&gt;0,DATE($C647,7,15)&gt;$T$644)),0,IF(DATE($C647,7,15)&gt;=$X$644,$AA$644*(1+($U$644)/100)^MAX(0,$C647-$AD$644),IF(DATE($C647,7,15)&gt;=$W$644,$Z$644*(1+($U$644)/100)^MAX(0,$C647-$AC$644),IF(DATE($C647,7,15)&gt;=$V$644,$Y$644*(1+($U$644)/100)^MAX(0,$C647-$AB$644),0)))))</f>
      </c>
      <c r="L647" s="43">
        <f>IF($S$644=0,0,IF(OR(DATE($C647,8,15)&lt;$S$644,AND($T$644&gt;0,DATE($C647,8,15)&gt;$T$644)),0,IF(DATE($C647,8,15)&gt;=$X$644,$AA$644*(1+($U$644)/100)^MAX(0,$C647-$AD$644),IF(DATE($C647,8,15)&gt;=$W$644,$Z$644*(1+($U$644)/100)^MAX(0,$C647-$AC$644),IF(DATE($C647,8,15)&gt;=$V$644,$Y$644*(1+($U$644)/100)^MAX(0,$C647-$AB$644),0)))))</f>
      </c>
      <c r="M647" s="43">
        <f>IF($S$644=0,0,IF(OR(DATE($C647,9,15)&lt;$S$644,AND($T$644&gt;0,DATE($C647,9,15)&gt;$T$644)),0,IF(DATE($C647,9,15)&gt;=$X$644,$AA$644*(1+($U$644)/100)^MAX(0,$C647-$AD$644),IF(DATE($C647,9,15)&gt;=$W$644,$Z$644*(1+($U$644)/100)^MAX(0,$C647-$AC$644),IF(DATE($C647,9,15)&gt;=$V$644,$Y$644*(1+($U$644)/100)^MAX(0,$C647-$AB$644),0)))))</f>
      </c>
      <c r="N647" s="43">
        <f>IF($S$644=0,0,IF(OR(DATE($C647,10,15)&lt;$S$644,AND($T$644&gt;0,DATE($C647,10,15)&gt;$T$644)),0,IF(DATE($C647,10,15)&gt;=$X$644,$AA$644*(1+($U$644)/100)^MAX(0,$C647-$AD$644),IF(DATE($C647,10,15)&gt;=$W$644,$Z$644*(1+($U$644)/100)^MAX(0,$C647-$AC$644),IF(DATE($C647,10,15)&gt;=$V$644,$Y$644*(1+($U$644)/100)^MAX(0,$C647-$AB$644),0)))))</f>
      </c>
      <c r="O647" s="43">
        <f>IF($S$644=0,0,IF(OR(DATE($C647,11,15)&lt;$S$644,AND($T$644&gt;0,DATE($C647,11,15)&gt;$T$644)),0,IF(DATE($C647,11,15)&gt;=$X$644,$AA$644*(1+($U$644)/100)^MAX(0,$C647-$AD$644),IF(DATE($C647,11,15)&gt;=$W$644,$Z$644*(1+($U$644)/100)^MAX(0,$C647-$AC$644),IF(DATE($C647,11,15)&gt;=$V$644,$Y$644*(1+($U$644)/100)^MAX(0,$C647-$AB$644),0)))))</f>
      </c>
      <c r="P647" s="43">
        <f>IF($S$644=0,0,IF(OR(DATE($C647,12,15)&lt;$S$644,AND($T$644&gt;0,DATE($C647,12,15)&gt;$T$644)),0,IF(DATE($C647,12,15)&gt;=$X$644,$AA$644*(1+($U$644)/100)^MAX(0,$C647-$AD$644),IF(DATE($C647,12,15)&gt;=$W$644,$Z$644*(1+($U$644)/100)^MAX(0,$C647-$AC$644),IF(DATE($C647,12,15)&gt;=$V$644,$Y$644*(1+($U$644)/100)^MAX(0,$C647-$AB$644),0)))))</f>
      </c>
      <c r="Q647" s="43">
        <f>SUM($E647:$P647)</f>
      </c>
    </row>
    <row r="648">
      <c r="A648"/>
      <c r="B648">
        <v>21</v>
      </c>
      <c r="C648" s="43">
        <f>Jahr+4</f>
      </c>
      <c r="D648" s="43">
        <f>INDEX(MvObj,21)</f>
      </c>
      <c r="E648" s="43">
        <f>IF($S$644=0,0,IF(OR(DATE($C648,1,15)&lt;$S$644,AND($T$644&gt;0,DATE($C648,1,15)&gt;$T$644)),0,IF(DATE($C648,1,15)&gt;=$X$644,$AA$644*(1+($U$644)/100)^MAX(0,$C648-$AD$644),IF(DATE($C648,1,15)&gt;=$W$644,$Z$644*(1+($U$644)/100)^MAX(0,$C648-$AC$644),IF(DATE($C648,1,15)&gt;=$V$644,$Y$644*(1+($U$644)/100)^MAX(0,$C648-$AB$644),0)))))</f>
      </c>
      <c r="F648" s="43">
        <f>IF($S$644=0,0,IF(OR(DATE($C648,2,15)&lt;$S$644,AND($T$644&gt;0,DATE($C648,2,15)&gt;$T$644)),0,IF(DATE($C648,2,15)&gt;=$X$644,$AA$644*(1+($U$644)/100)^MAX(0,$C648-$AD$644),IF(DATE($C648,2,15)&gt;=$W$644,$Z$644*(1+($U$644)/100)^MAX(0,$C648-$AC$644),IF(DATE($C648,2,15)&gt;=$V$644,$Y$644*(1+($U$644)/100)^MAX(0,$C648-$AB$644),0)))))</f>
      </c>
      <c r="G648" s="43">
        <f>IF($S$644=0,0,IF(OR(DATE($C648,3,15)&lt;$S$644,AND($T$644&gt;0,DATE($C648,3,15)&gt;$T$644)),0,IF(DATE($C648,3,15)&gt;=$X$644,$AA$644*(1+($U$644)/100)^MAX(0,$C648-$AD$644),IF(DATE($C648,3,15)&gt;=$W$644,$Z$644*(1+($U$644)/100)^MAX(0,$C648-$AC$644),IF(DATE($C648,3,15)&gt;=$V$644,$Y$644*(1+($U$644)/100)^MAX(0,$C648-$AB$644),0)))))</f>
      </c>
      <c r="H648" s="43">
        <f>IF($S$644=0,0,IF(OR(DATE($C648,4,15)&lt;$S$644,AND($T$644&gt;0,DATE($C648,4,15)&gt;$T$644)),0,IF(DATE($C648,4,15)&gt;=$X$644,$AA$644*(1+($U$644)/100)^MAX(0,$C648-$AD$644),IF(DATE($C648,4,15)&gt;=$W$644,$Z$644*(1+($U$644)/100)^MAX(0,$C648-$AC$644),IF(DATE($C648,4,15)&gt;=$V$644,$Y$644*(1+($U$644)/100)^MAX(0,$C648-$AB$644),0)))))</f>
      </c>
      <c r="I648" s="43">
        <f>IF($S$644=0,0,IF(OR(DATE($C648,5,15)&lt;$S$644,AND($T$644&gt;0,DATE($C648,5,15)&gt;$T$644)),0,IF(DATE($C648,5,15)&gt;=$X$644,$AA$644*(1+($U$644)/100)^MAX(0,$C648-$AD$644),IF(DATE($C648,5,15)&gt;=$W$644,$Z$644*(1+($U$644)/100)^MAX(0,$C648-$AC$644),IF(DATE($C648,5,15)&gt;=$V$644,$Y$644*(1+($U$644)/100)^MAX(0,$C648-$AB$644),0)))))</f>
      </c>
      <c r="J648" s="43">
        <f>IF($S$644=0,0,IF(OR(DATE($C648,6,15)&lt;$S$644,AND($T$644&gt;0,DATE($C648,6,15)&gt;$T$644)),0,IF(DATE($C648,6,15)&gt;=$X$644,$AA$644*(1+($U$644)/100)^MAX(0,$C648-$AD$644),IF(DATE($C648,6,15)&gt;=$W$644,$Z$644*(1+($U$644)/100)^MAX(0,$C648-$AC$644),IF(DATE($C648,6,15)&gt;=$V$644,$Y$644*(1+($U$644)/100)^MAX(0,$C648-$AB$644),0)))))</f>
      </c>
      <c r="K648" s="43">
        <f>IF($S$644=0,0,IF(OR(DATE($C648,7,15)&lt;$S$644,AND($T$644&gt;0,DATE($C648,7,15)&gt;$T$644)),0,IF(DATE($C648,7,15)&gt;=$X$644,$AA$644*(1+($U$644)/100)^MAX(0,$C648-$AD$644),IF(DATE($C648,7,15)&gt;=$W$644,$Z$644*(1+($U$644)/100)^MAX(0,$C648-$AC$644),IF(DATE($C648,7,15)&gt;=$V$644,$Y$644*(1+($U$644)/100)^MAX(0,$C648-$AB$644),0)))))</f>
      </c>
      <c r="L648" s="43">
        <f>IF($S$644=0,0,IF(OR(DATE($C648,8,15)&lt;$S$644,AND($T$644&gt;0,DATE($C648,8,15)&gt;$T$644)),0,IF(DATE($C648,8,15)&gt;=$X$644,$AA$644*(1+($U$644)/100)^MAX(0,$C648-$AD$644),IF(DATE($C648,8,15)&gt;=$W$644,$Z$644*(1+($U$644)/100)^MAX(0,$C648-$AC$644),IF(DATE($C648,8,15)&gt;=$V$644,$Y$644*(1+($U$644)/100)^MAX(0,$C648-$AB$644),0)))))</f>
      </c>
      <c r="M648" s="43">
        <f>IF($S$644=0,0,IF(OR(DATE($C648,9,15)&lt;$S$644,AND($T$644&gt;0,DATE($C648,9,15)&gt;$T$644)),0,IF(DATE($C648,9,15)&gt;=$X$644,$AA$644*(1+($U$644)/100)^MAX(0,$C648-$AD$644),IF(DATE($C648,9,15)&gt;=$W$644,$Z$644*(1+($U$644)/100)^MAX(0,$C648-$AC$644),IF(DATE($C648,9,15)&gt;=$V$644,$Y$644*(1+($U$644)/100)^MAX(0,$C648-$AB$644),0)))))</f>
      </c>
      <c r="N648" s="43">
        <f>IF($S$644=0,0,IF(OR(DATE($C648,10,15)&lt;$S$644,AND($T$644&gt;0,DATE($C648,10,15)&gt;$T$644)),0,IF(DATE($C648,10,15)&gt;=$X$644,$AA$644*(1+($U$644)/100)^MAX(0,$C648-$AD$644),IF(DATE($C648,10,15)&gt;=$W$644,$Z$644*(1+($U$644)/100)^MAX(0,$C648-$AC$644),IF(DATE($C648,10,15)&gt;=$V$644,$Y$644*(1+($U$644)/100)^MAX(0,$C648-$AB$644),0)))))</f>
      </c>
      <c r="O648" s="43">
        <f>IF($S$644=0,0,IF(OR(DATE($C648,11,15)&lt;$S$644,AND($T$644&gt;0,DATE($C648,11,15)&gt;$T$644)),0,IF(DATE($C648,11,15)&gt;=$X$644,$AA$644*(1+($U$644)/100)^MAX(0,$C648-$AD$644),IF(DATE($C648,11,15)&gt;=$W$644,$Z$644*(1+($U$644)/100)^MAX(0,$C648-$AC$644),IF(DATE($C648,11,15)&gt;=$V$644,$Y$644*(1+($U$644)/100)^MAX(0,$C648-$AB$644),0)))))</f>
      </c>
      <c r="P648" s="43">
        <f>IF($S$644=0,0,IF(OR(DATE($C648,12,15)&lt;$S$644,AND($T$644&gt;0,DATE($C648,12,15)&gt;$T$644)),0,IF(DATE($C648,12,15)&gt;=$X$644,$AA$644*(1+($U$644)/100)^MAX(0,$C648-$AD$644),IF(DATE($C648,12,15)&gt;=$W$644,$Z$644*(1+($U$644)/100)^MAX(0,$C648-$AC$644),IF(DATE($C648,12,15)&gt;=$V$644,$Y$644*(1+($U$644)/100)^MAX(0,$C648-$AB$644),0)))))</f>
      </c>
      <c r="Q648" s="43">
        <f>SUM($E648:$P648)</f>
      </c>
    </row>
    <row r="649">
      <c r="A649"/>
      <c r="B649">
        <v>21</v>
      </c>
      <c r="C649" s="43">
        <f>Jahr+5</f>
      </c>
      <c r="D649" s="43">
        <f>INDEX(MvObj,21)</f>
      </c>
      <c r="E649" s="43">
        <f>IF($S$644=0,0,IF(OR(DATE($C649,1,15)&lt;$S$644,AND($T$644&gt;0,DATE($C649,1,15)&gt;$T$644)),0,IF(DATE($C649,1,15)&gt;=$X$644,$AA$644*(1+($U$644)/100)^MAX(0,$C649-$AD$644),IF(DATE($C649,1,15)&gt;=$W$644,$Z$644*(1+($U$644)/100)^MAX(0,$C649-$AC$644),IF(DATE($C649,1,15)&gt;=$V$644,$Y$644*(1+($U$644)/100)^MAX(0,$C649-$AB$644),0)))))</f>
      </c>
      <c r="F649" s="43">
        <f>IF($S$644=0,0,IF(OR(DATE($C649,2,15)&lt;$S$644,AND($T$644&gt;0,DATE($C649,2,15)&gt;$T$644)),0,IF(DATE($C649,2,15)&gt;=$X$644,$AA$644*(1+($U$644)/100)^MAX(0,$C649-$AD$644),IF(DATE($C649,2,15)&gt;=$W$644,$Z$644*(1+($U$644)/100)^MAX(0,$C649-$AC$644),IF(DATE($C649,2,15)&gt;=$V$644,$Y$644*(1+($U$644)/100)^MAX(0,$C649-$AB$644),0)))))</f>
      </c>
      <c r="G649" s="43">
        <f>IF($S$644=0,0,IF(OR(DATE($C649,3,15)&lt;$S$644,AND($T$644&gt;0,DATE($C649,3,15)&gt;$T$644)),0,IF(DATE($C649,3,15)&gt;=$X$644,$AA$644*(1+($U$644)/100)^MAX(0,$C649-$AD$644),IF(DATE($C649,3,15)&gt;=$W$644,$Z$644*(1+($U$644)/100)^MAX(0,$C649-$AC$644),IF(DATE($C649,3,15)&gt;=$V$644,$Y$644*(1+($U$644)/100)^MAX(0,$C649-$AB$644),0)))))</f>
      </c>
      <c r="H649" s="43">
        <f>IF($S$644=0,0,IF(OR(DATE($C649,4,15)&lt;$S$644,AND($T$644&gt;0,DATE($C649,4,15)&gt;$T$644)),0,IF(DATE($C649,4,15)&gt;=$X$644,$AA$644*(1+($U$644)/100)^MAX(0,$C649-$AD$644),IF(DATE($C649,4,15)&gt;=$W$644,$Z$644*(1+($U$644)/100)^MAX(0,$C649-$AC$644),IF(DATE($C649,4,15)&gt;=$V$644,$Y$644*(1+($U$644)/100)^MAX(0,$C649-$AB$644),0)))))</f>
      </c>
      <c r="I649" s="43">
        <f>IF($S$644=0,0,IF(OR(DATE($C649,5,15)&lt;$S$644,AND($T$644&gt;0,DATE($C649,5,15)&gt;$T$644)),0,IF(DATE($C649,5,15)&gt;=$X$644,$AA$644*(1+($U$644)/100)^MAX(0,$C649-$AD$644),IF(DATE($C649,5,15)&gt;=$W$644,$Z$644*(1+($U$644)/100)^MAX(0,$C649-$AC$644),IF(DATE($C649,5,15)&gt;=$V$644,$Y$644*(1+($U$644)/100)^MAX(0,$C649-$AB$644),0)))))</f>
      </c>
      <c r="J649" s="43">
        <f>IF($S$644=0,0,IF(OR(DATE($C649,6,15)&lt;$S$644,AND($T$644&gt;0,DATE($C649,6,15)&gt;$T$644)),0,IF(DATE($C649,6,15)&gt;=$X$644,$AA$644*(1+($U$644)/100)^MAX(0,$C649-$AD$644),IF(DATE($C649,6,15)&gt;=$W$644,$Z$644*(1+($U$644)/100)^MAX(0,$C649-$AC$644),IF(DATE($C649,6,15)&gt;=$V$644,$Y$644*(1+($U$644)/100)^MAX(0,$C649-$AB$644),0)))))</f>
      </c>
      <c r="K649" s="43">
        <f>IF($S$644=0,0,IF(OR(DATE($C649,7,15)&lt;$S$644,AND($T$644&gt;0,DATE($C649,7,15)&gt;$T$644)),0,IF(DATE($C649,7,15)&gt;=$X$644,$AA$644*(1+($U$644)/100)^MAX(0,$C649-$AD$644),IF(DATE($C649,7,15)&gt;=$W$644,$Z$644*(1+($U$644)/100)^MAX(0,$C649-$AC$644),IF(DATE($C649,7,15)&gt;=$V$644,$Y$644*(1+($U$644)/100)^MAX(0,$C649-$AB$644),0)))))</f>
      </c>
      <c r="L649" s="43">
        <f>IF($S$644=0,0,IF(OR(DATE($C649,8,15)&lt;$S$644,AND($T$644&gt;0,DATE($C649,8,15)&gt;$T$644)),0,IF(DATE($C649,8,15)&gt;=$X$644,$AA$644*(1+($U$644)/100)^MAX(0,$C649-$AD$644),IF(DATE($C649,8,15)&gt;=$W$644,$Z$644*(1+($U$644)/100)^MAX(0,$C649-$AC$644),IF(DATE($C649,8,15)&gt;=$V$644,$Y$644*(1+($U$644)/100)^MAX(0,$C649-$AB$644),0)))))</f>
      </c>
      <c r="M649" s="43">
        <f>IF($S$644=0,0,IF(OR(DATE($C649,9,15)&lt;$S$644,AND($T$644&gt;0,DATE($C649,9,15)&gt;$T$644)),0,IF(DATE($C649,9,15)&gt;=$X$644,$AA$644*(1+($U$644)/100)^MAX(0,$C649-$AD$644),IF(DATE($C649,9,15)&gt;=$W$644,$Z$644*(1+($U$644)/100)^MAX(0,$C649-$AC$644),IF(DATE($C649,9,15)&gt;=$V$644,$Y$644*(1+($U$644)/100)^MAX(0,$C649-$AB$644),0)))))</f>
      </c>
      <c r="N649" s="43">
        <f>IF($S$644=0,0,IF(OR(DATE($C649,10,15)&lt;$S$644,AND($T$644&gt;0,DATE($C649,10,15)&gt;$T$644)),0,IF(DATE($C649,10,15)&gt;=$X$644,$AA$644*(1+($U$644)/100)^MAX(0,$C649-$AD$644),IF(DATE($C649,10,15)&gt;=$W$644,$Z$644*(1+($U$644)/100)^MAX(0,$C649-$AC$644),IF(DATE($C649,10,15)&gt;=$V$644,$Y$644*(1+($U$644)/100)^MAX(0,$C649-$AB$644),0)))))</f>
      </c>
      <c r="O649" s="43">
        <f>IF($S$644=0,0,IF(OR(DATE($C649,11,15)&lt;$S$644,AND($T$644&gt;0,DATE($C649,11,15)&gt;$T$644)),0,IF(DATE($C649,11,15)&gt;=$X$644,$AA$644*(1+($U$644)/100)^MAX(0,$C649-$AD$644),IF(DATE($C649,11,15)&gt;=$W$644,$Z$644*(1+($U$644)/100)^MAX(0,$C649-$AC$644),IF(DATE($C649,11,15)&gt;=$V$644,$Y$644*(1+($U$644)/100)^MAX(0,$C649-$AB$644),0)))))</f>
      </c>
      <c r="P649" s="43">
        <f>IF($S$644=0,0,IF(OR(DATE($C649,12,15)&lt;$S$644,AND($T$644&gt;0,DATE($C649,12,15)&gt;$T$644)),0,IF(DATE($C649,12,15)&gt;=$X$644,$AA$644*(1+($U$644)/100)^MAX(0,$C649-$AD$644),IF(DATE($C649,12,15)&gt;=$W$644,$Z$644*(1+($U$644)/100)^MAX(0,$C649-$AC$644),IF(DATE($C649,12,15)&gt;=$V$644,$Y$644*(1+($U$644)/100)^MAX(0,$C649-$AB$644),0)))))</f>
      </c>
      <c r="Q649" s="43">
        <f>SUM($E649:$P649)</f>
      </c>
    </row>
    <row r="650">
      <c r="A650"/>
      <c r="B650">
        <v>21</v>
      </c>
      <c r="C650" s="43">
        <f>Jahr+6</f>
      </c>
      <c r="D650" s="43">
        <f>INDEX(MvObj,21)</f>
      </c>
      <c r="E650" s="43">
        <f>IF($S$644=0,0,IF(OR(DATE($C650,1,15)&lt;$S$644,AND($T$644&gt;0,DATE($C650,1,15)&gt;$T$644)),0,IF(DATE($C650,1,15)&gt;=$X$644,$AA$644*(1+($U$644)/100)^MAX(0,$C650-$AD$644),IF(DATE($C650,1,15)&gt;=$W$644,$Z$644*(1+($U$644)/100)^MAX(0,$C650-$AC$644),IF(DATE($C650,1,15)&gt;=$V$644,$Y$644*(1+($U$644)/100)^MAX(0,$C650-$AB$644),0)))))</f>
      </c>
      <c r="F650" s="43">
        <f>IF($S$644=0,0,IF(OR(DATE($C650,2,15)&lt;$S$644,AND($T$644&gt;0,DATE($C650,2,15)&gt;$T$644)),0,IF(DATE($C650,2,15)&gt;=$X$644,$AA$644*(1+($U$644)/100)^MAX(0,$C650-$AD$644),IF(DATE($C650,2,15)&gt;=$W$644,$Z$644*(1+($U$644)/100)^MAX(0,$C650-$AC$644),IF(DATE($C650,2,15)&gt;=$V$644,$Y$644*(1+($U$644)/100)^MAX(0,$C650-$AB$644),0)))))</f>
      </c>
      <c r="G650" s="43">
        <f>IF($S$644=0,0,IF(OR(DATE($C650,3,15)&lt;$S$644,AND($T$644&gt;0,DATE($C650,3,15)&gt;$T$644)),0,IF(DATE($C650,3,15)&gt;=$X$644,$AA$644*(1+($U$644)/100)^MAX(0,$C650-$AD$644),IF(DATE($C650,3,15)&gt;=$W$644,$Z$644*(1+($U$644)/100)^MAX(0,$C650-$AC$644),IF(DATE($C650,3,15)&gt;=$V$644,$Y$644*(1+($U$644)/100)^MAX(0,$C650-$AB$644),0)))))</f>
      </c>
      <c r="H650" s="43">
        <f>IF($S$644=0,0,IF(OR(DATE($C650,4,15)&lt;$S$644,AND($T$644&gt;0,DATE($C650,4,15)&gt;$T$644)),0,IF(DATE($C650,4,15)&gt;=$X$644,$AA$644*(1+($U$644)/100)^MAX(0,$C650-$AD$644),IF(DATE($C650,4,15)&gt;=$W$644,$Z$644*(1+($U$644)/100)^MAX(0,$C650-$AC$644),IF(DATE($C650,4,15)&gt;=$V$644,$Y$644*(1+($U$644)/100)^MAX(0,$C650-$AB$644),0)))))</f>
      </c>
      <c r="I650" s="43">
        <f>IF($S$644=0,0,IF(OR(DATE($C650,5,15)&lt;$S$644,AND($T$644&gt;0,DATE($C650,5,15)&gt;$T$644)),0,IF(DATE($C650,5,15)&gt;=$X$644,$AA$644*(1+($U$644)/100)^MAX(0,$C650-$AD$644),IF(DATE($C650,5,15)&gt;=$W$644,$Z$644*(1+($U$644)/100)^MAX(0,$C650-$AC$644),IF(DATE($C650,5,15)&gt;=$V$644,$Y$644*(1+($U$644)/100)^MAX(0,$C650-$AB$644),0)))))</f>
      </c>
      <c r="J650" s="43">
        <f>IF($S$644=0,0,IF(OR(DATE($C650,6,15)&lt;$S$644,AND($T$644&gt;0,DATE($C650,6,15)&gt;$T$644)),0,IF(DATE($C650,6,15)&gt;=$X$644,$AA$644*(1+($U$644)/100)^MAX(0,$C650-$AD$644),IF(DATE($C650,6,15)&gt;=$W$644,$Z$644*(1+($U$644)/100)^MAX(0,$C650-$AC$644),IF(DATE($C650,6,15)&gt;=$V$644,$Y$644*(1+($U$644)/100)^MAX(0,$C650-$AB$644),0)))))</f>
      </c>
      <c r="K650" s="43">
        <f>IF($S$644=0,0,IF(OR(DATE($C650,7,15)&lt;$S$644,AND($T$644&gt;0,DATE($C650,7,15)&gt;$T$644)),0,IF(DATE($C650,7,15)&gt;=$X$644,$AA$644*(1+($U$644)/100)^MAX(0,$C650-$AD$644),IF(DATE($C650,7,15)&gt;=$W$644,$Z$644*(1+($U$644)/100)^MAX(0,$C650-$AC$644),IF(DATE($C650,7,15)&gt;=$V$644,$Y$644*(1+($U$644)/100)^MAX(0,$C650-$AB$644),0)))))</f>
      </c>
      <c r="L650" s="43">
        <f>IF($S$644=0,0,IF(OR(DATE($C650,8,15)&lt;$S$644,AND($T$644&gt;0,DATE($C650,8,15)&gt;$T$644)),0,IF(DATE($C650,8,15)&gt;=$X$644,$AA$644*(1+($U$644)/100)^MAX(0,$C650-$AD$644),IF(DATE($C650,8,15)&gt;=$W$644,$Z$644*(1+($U$644)/100)^MAX(0,$C650-$AC$644),IF(DATE($C650,8,15)&gt;=$V$644,$Y$644*(1+($U$644)/100)^MAX(0,$C650-$AB$644),0)))))</f>
      </c>
      <c r="M650" s="43">
        <f>IF($S$644=0,0,IF(OR(DATE($C650,9,15)&lt;$S$644,AND($T$644&gt;0,DATE($C650,9,15)&gt;$T$644)),0,IF(DATE($C650,9,15)&gt;=$X$644,$AA$644*(1+($U$644)/100)^MAX(0,$C650-$AD$644),IF(DATE($C650,9,15)&gt;=$W$644,$Z$644*(1+($U$644)/100)^MAX(0,$C650-$AC$644),IF(DATE($C650,9,15)&gt;=$V$644,$Y$644*(1+($U$644)/100)^MAX(0,$C650-$AB$644),0)))))</f>
      </c>
      <c r="N650" s="43">
        <f>IF($S$644=0,0,IF(OR(DATE($C650,10,15)&lt;$S$644,AND($T$644&gt;0,DATE($C650,10,15)&gt;$T$644)),0,IF(DATE($C650,10,15)&gt;=$X$644,$AA$644*(1+($U$644)/100)^MAX(0,$C650-$AD$644),IF(DATE($C650,10,15)&gt;=$W$644,$Z$644*(1+($U$644)/100)^MAX(0,$C650-$AC$644),IF(DATE($C650,10,15)&gt;=$V$644,$Y$644*(1+($U$644)/100)^MAX(0,$C650-$AB$644),0)))))</f>
      </c>
      <c r="O650" s="43">
        <f>IF($S$644=0,0,IF(OR(DATE($C650,11,15)&lt;$S$644,AND($T$644&gt;0,DATE($C650,11,15)&gt;$T$644)),0,IF(DATE($C650,11,15)&gt;=$X$644,$AA$644*(1+($U$644)/100)^MAX(0,$C650-$AD$644),IF(DATE($C650,11,15)&gt;=$W$644,$Z$644*(1+($U$644)/100)^MAX(0,$C650-$AC$644),IF(DATE($C650,11,15)&gt;=$V$644,$Y$644*(1+($U$644)/100)^MAX(0,$C650-$AB$644),0)))))</f>
      </c>
      <c r="P650" s="43">
        <f>IF($S$644=0,0,IF(OR(DATE($C650,12,15)&lt;$S$644,AND($T$644&gt;0,DATE($C650,12,15)&gt;$T$644)),0,IF(DATE($C650,12,15)&gt;=$X$644,$AA$644*(1+($U$644)/100)^MAX(0,$C650-$AD$644),IF(DATE($C650,12,15)&gt;=$W$644,$Z$644*(1+($U$644)/100)^MAX(0,$C650-$AC$644),IF(DATE($C650,12,15)&gt;=$V$644,$Y$644*(1+($U$644)/100)^MAX(0,$C650-$AB$644),0)))))</f>
      </c>
      <c r="Q650" s="43">
        <f>SUM($E650:$P650)</f>
      </c>
    </row>
    <row r="651">
      <c r="A651"/>
      <c r="B651">
        <v>21</v>
      </c>
      <c r="C651" s="43">
        <f>Jahr+7</f>
      </c>
      <c r="D651" s="43">
        <f>INDEX(MvObj,21)</f>
      </c>
      <c r="E651" s="43">
        <f>IF($S$644=0,0,IF(OR(DATE($C651,1,15)&lt;$S$644,AND($T$644&gt;0,DATE($C651,1,15)&gt;$T$644)),0,IF(DATE($C651,1,15)&gt;=$X$644,$AA$644*(1+($U$644)/100)^MAX(0,$C651-$AD$644),IF(DATE($C651,1,15)&gt;=$W$644,$Z$644*(1+($U$644)/100)^MAX(0,$C651-$AC$644),IF(DATE($C651,1,15)&gt;=$V$644,$Y$644*(1+($U$644)/100)^MAX(0,$C651-$AB$644),0)))))</f>
      </c>
      <c r="F651" s="43">
        <f>IF($S$644=0,0,IF(OR(DATE($C651,2,15)&lt;$S$644,AND($T$644&gt;0,DATE($C651,2,15)&gt;$T$644)),0,IF(DATE($C651,2,15)&gt;=$X$644,$AA$644*(1+($U$644)/100)^MAX(0,$C651-$AD$644),IF(DATE($C651,2,15)&gt;=$W$644,$Z$644*(1+($U$644)/100)^MAX(0,$C651-$AC$644),IF(DATE($C651,2,15)&gt;=$V$644,$Y$644*(1+($U$644)/100)^MAX(0,$C651-$AB$644),0)))))</f>
      </c>
      <c r="G651" s="43">
        <f>IF($S$644=0,0,IF(OR(DATE($C651,3,15)&lt;$S$644,AND($T$644&gt;0,DATE($C651,3,15)&gt;$T$644)),0,IF(DATE($C651,3,15)&gt;=$X$644,$AA$644*(1+($U$644)/100)^MAX(0,$C651-$AD$644),IF(DATE($C651,3,15)&gt;=$W$644,$Z$644*(1+($U$644)/100)^MAX(0,$C651-$AC$644),IF(DATE($C651,3,15)&gt;=$V$644,$Y$644*(1+($U$644)/100)^MAX(0,$C651-$AB$644),0)))))</f>
      </c>
      <c r="H651" s="43">
        <f>IF($S$644=0,0,IF(OR(DATE($C651,4,15)&lt;$S$644,AND($T$644&gt;0,DATE($C651,4,15)&gt;$T$644)),0,IF(DATE($C651,4,15)&gt;=$X$644,$AA$644*(1+($U$644)/100)^MAX(0,$C651-$AD$644),IF(DATE($C651,4,15)&gt;=$W$644,$Z$644*(1+($U$644)/100)^MAX(0,$C651-$AC$644),IF(DATE($C651,4,15)&gt;=$V$644,$Y$644*(1+($U$644)/100)^MAX(0,$C651-$AB$644),0)))))</f>
      </c>
      <c r="I651" s="43">
        <f>IF($S$644=0,0,IF(OR(DATE($C651,5,15)&lt;$S$644,AND($T$644&gt;0,DATE($C651,5,15)&gt;$T$644)),0,IF(DATE($C651,5,15)&gt;=$X$644,$AA$644*(1+($U$644)/100)^MAX(0,$C651-$AD$644),IF(DATE($C651,5,15)&gt;=$W$644,$Z$644*(1+($U$644)/100)^MAX(0,$C651-$AC$644),IF(DATE($C651,5,15)&gt;=$V$644,$Y$644*(1+($U$644)/100)^MAX(0,$C651-$AB$644),0)))))</f>
      </c>
      <c r="J651" s="43">
        <f>IF($S$644=0,0,IF(OR(DATE($C651,6,15)&lt;$S$644,AND($T$644&gt;0,DATE($C651,6,15)&gt;$T$644)),0,IF(DATE($C651,6,15)&gt;=$X$644,$AA$644*(1+($U$644)/100)^MAX(0,$C651-$AD$644),IF(DATE($C651,6,15)&gt;=$W$644,$Z$644*(1+($U$644)/100)^MAX(0,$C651-$AC$644),IF(DATE($C651,6,15)&gt;=$V$644,$Y$644*(1+($U$644)/100)^MAX(0,$C651-$AB$644),0)))))</f>
      </c>
      <c r="K651" s="43">
        <f>IF($S$644=0,0,IF(OR(DATE($C651,7,15)&lt;$S$644,AND($T$644&gt;0,DATE($C651,7,15)&gt;$T$644)),0,IF(DATE($C651,7,15)&gt;=$X$644,$AA$644*(1+($U$644)/100)^MAX(0,$C651-$AD$644),IF(DATE($C651,7,15)&gt;=$W$644,$Z$644*(1+($U$644)/100)^MAX(0,$C651-$AC$644),IF(DATE($C651,7,15)&gt;=$V$644,$Y$644*(1+($U$644)/100)^MAX(0,$C651-$AB$644),0)))))</f>
      </c>
      <c r="L651" s="43">
        <f>IF($S$644=0,0,IF(OR(DATE($C651,8,15)&lt;$S$644,AND($T$644&gt;0,DATE($C651,8,15)&gt;$T$644)),0,IF(DATE($C651,8,15)&gt;=$X$644,$AA$644*(1+($U$644)/100)^MAX(0,$C651-$AD$644),IF(DATE($C651,8,15)&gt;=$W$644,$Z$644*(1+($U$644)/100)^MAX(0,$C651-$AC$644),IF(DATE($C651,8,15)&gt;=$V$644,$Y$644*(1+($U$644)/100)^MAX(0,$C651-$AB$644),0)))))</f>
      </c>
      <c r="M651" s="43">
        <f>IF($S$644=0,0,IF(OR(DATE($C651,9,15)&lt;$S$644,AND($T$644&gt;0,DATE($C651,9,15)&gt;$T$644)),0,IF(DATE($C651,9,15)&gt;=$X$644,$AA$644*(1+($U$644)/100)^MAX(0,$C651-$AD$644),IF(DATE($C651,9,15)&gt;=$W$644,$Z$644*(1+($U$644)/100)^MAX(0,$C651-$AC$644),IF(DATE($C651,9,15)&gt;=$V$644,$Y$644*(1+($U$644)/100)^MAX(0,$C651-$AB$644),0)))))</f>
      </c>
      <c r="N651" s="43">
        <f>IF($S$644=0,0,IF(OR(DATE($C651,10,15)&lt;$S$644,AND($T$644&gt;0,DATE($C651,10,15)&gt;$T$644)),0,IF(DATE($C651,10,15)&gt;=$X$644,$AA$644*(1+($U$644)/100)^MAX(0,$C651-$AD$644),IF(DATE($C651,10,15)&gt;=$W$644,$Z$644*(1+($U$644)/100)^MAX(0,$C651-$AC$644),IF(DATE($C651,10,15)&gt;=$V$644,$Y$644*(1+($U$644)/100)^MAX(0,$C651-$AB$644),0)))))</f>
      </c>
      <c r="O651" s="43">
        <f>IF($S$644=0,0,IF(OR(DATE($C651,11,15)&lt;$S$644,AND($T$644&gt;0,DATE($C651,11,15)&gt;$T$644)),0,IF(DATE($C651,11,15)&gt;=$X$644,$AA$644*(1+($U$644)/100)^MAX(0,$C651-$AD$644),IF(DATE($C651,11,15)&gt;=$W$644,$Z$644*(1+($U$644)/100)^MAX(0,$C651-$AC$644),IF(DATE($C651,11,15)&gt;=$V$644,$Y$644*(1+($U$644)/100)^MAX(0,$C651-$AB$644),0)))))</f>
      </c>
      <c r="P651" s="43">
        <f>IF($S$644=0,0,IF(OR(DATE($C651,12,15)&lt;$S$644,AND($T$644&gt;0,DATE($C651,12,15)&gt;$T$644)),0,IF(DATE($C651,12,15)&gt;=$X$644,$AA$644*(1+($U$644)/100)^MAX(0,$C651-$AD$644),IF(DATE($C651,12,15)&gt;=$W$644,$Z$644*(1+($U$644)/100)^MAX(0,$C651-$AC$644),IF(DATE($C651,12,15)&gt;=$V$644,$Y$644*(1+($U$644)/100)^MAX(0,$C651-$AB$644),0)))))</f>
      </c>
      <c r="Q651" s="43">
        <f>SUM($E651:$P651)</f>
      </c>
    </row>
    <row r="652">
      <c r="A652"/>
      <c r="B652">
        <v>21</v>
      </c>
      <c r="C652" s="43">
        <f>Jahr+8</f>
      </c>
      <c r="D652" s="43">
        <f>INDEX(MvObj,21)</f>
      </c>
      <c r="E652" s="43">
        <f>IF($S$644=0,0,IF(OR(DATE($C652,1,15)&lt;$S$644,AND($T$644&gt;0,DATE($C652,1,15)&gt;$T$644)),0,IF(DATE($C652,1,15)&gt;=$X$644,$AA$644*(1+($U$644)/100)^MAX(0,$C652-$AD$644),IF(DATE($C652,1,15)&gt;=$W$644,$Z$644*(1+($U$644)/100)^MAX(0,$C652-$AC$644),IF(DATE($C652,1,15)&gt;=$V$644,$Y$644*(1+($U$644)/100)^MAX(0,$C652-$AB$644),0)))))</f>
      </c>
      <c r="F652" s="43">
        <f>IF($S$644=0,0,IF(OR(DATE($C652,2,15)&lt;$S$644,AND($T$644&gt;0,DATE($C652,2,15)&gt;$T$644)),0,IF(DATE($C652,2,15)&gt;=$X$644,$AA$644*(1+($U$644)/100)^MAX(0,$C652-$AD$644),IF(DATE($C652,2,15)&gt;=$W$644,$Z$644*(1+($U$644)/100)^MAX(0,$C652-$AC$644),IF(DATE($C652,2,15)&gt;=$V$644,$Y$644*(1+($U$644)/100)^MAX(0,$C652-$AB$644),0)))))</f>
      </c>
      <c r="G652" s="43">
        <f>IF($S$644=0,0,IF(OR(DATE($C652,3,15)&lt;$S$644,AND($T$644&gt;0,DATE($C652,3,15)&gt;$T$644)),0,IF(DATE($C652,3,15)&gt;=$X$644,$AA$644*(1+($U$644)/100)^MAX(0,$C652-$AD$644),IF(DATE($C652,3,15)&gt;=$W$644,$Z$644*(1+($U$644)/100)^MAX(0,$C652-$AC$644),IF(DATE($C652,3,15)&gt;=$V$644,$Y$644*(1+($U$644)/100)^MAX(0,$C652-$AB$644),0)))))</f>
      </c>
      <c r="H652" s="43">
        <f>IF($S$644=0,0,IF(OR(DATE($C652,4,15)&lt;$S$644,AND($T$644&gt;0,DATE($C652,4,15)&gt;$T$644)),0,IF(DATE($C652,4,15)&gt;=$X$644,$AA$644*(1+($U$644)/100)^MAX(0,$C652-$AD$644),IF(DATE($C652,4,15)&gt;=$W$644,$Z$644*(1+($U$644)/100)^MAX(0,$C652-$AC$644),IF(DATE($C652,4,15)&gt;=$V$644,$Y$644*(1+($U$644)/100)^MAX(0,$C652-$AB$644),0)))))</f>
      </c>
      <c r="I652" s="43">
        <f>IF($S$644=0,0,IF(OR(DATE($C652,5,15)&lt;$S$644,AND($T$644&gt;0,DATE($C652,5,15)&gt;$T$644)),0,IF(DATE($C652,5,15)&gt;=$X$644,$AA$644*(1+($U$644)/100)^MAX(0,$C652-$AD$644),IF(DATE($C652,5,15)&gt;=$W$644,$Z$644*(1+($U$644)/100)^MAX(0,$C652-$AC$644),IF(DATE($C652,5,15)&gt;=$V$644,$Y$644*(1+($U$644)/100)^MAX(0,$C652-$AB$644),0)))))</f>
      </c>
      <c r="J652" s="43">
        <f>IF($S$644=0,0,IF(OR(DATE($C652,6,15)&lt;$S$644,AND($T$644&gt;0,DATE($C652,6,15)&gt;$T$644)),0,IF(DATE($C652,6,15)&gt;=$X$644,$AA$644*(1+($U$644)/100)^MAX(0,$C652-$AD$644),IF(DATE($C652,6,15)&gt;=$W$644,$Z$644*(1+($U$644)/100)^MAX(0,$C652-$AC$644),IF(DATE($C652,6,15)&gt;=$V$644,$Y$644*(1+($U$644)/100)^MAX(0,$C652-$AB$644),0)))))</f>
      </c>
      <c r="K652" s="43">
        <f>IF($S$644=0,0,IF(OR(DATE($C652,7,15)&lt;$S$644,AND($T$644&gt;0,DATE($C652,7,15)&gt;$T$644)),0,IF(DATE($C652,7,15)&gt;=$X$644,$AA$644*(1+($U$644)/100)^MAX(0,$C652-$AD$644),IF(DATE($C652,7,15)&gt;=$W$644,$Z$644*(1+($U$644)/100)^MAX(0,$C652-$AC$644),IF(DATE($C652,7,15)&gt;=$V$644,$Y$644*(1+($U$644)/100)^MAX(0,$C652-$AB$644),0)))))</f>
      </c>
      <c r="L652" s="43">
        <f>IF($S$644=0,0,IF(OR(DATE($C652,8,15)&lt;$S$644,AND($T$644&gt;0,DATE($C652,8,15)&gt;$T$644)),0,IF(DATE($C652,8,15)&gt;=$X$644,$AA$644*(1+($U$644)/100)^MAX(0,$C652-$AD$644),IF(DATE($C652,8,15)&gt;=$W$644,$Z$644*(1+($U$644)/100)^MAX(0,$C652-$AC$644),IF(DATE($C652,8,15)&gt;=$V$644,$Y$644*(1+($U$644)/100)^MAX(0,$C652-$AB$644),0)))))</f>
      </c>
      <c r="M652" s="43">
        <f>IF($S$644=0,0,IF(OR(DATE($C652,9,15)&lt;$S$644,AND($T$644&gt;0,DATE($C652,9,15)&gt;$T$644)),0,IF(DATE($C652,9,15)&gt;=$X$644,$AA$644*(1+($U$644)/100)^MAX(0,$C652-$AD$644),IF(DATE($C652,9,15)&gt;=$W$644,$Z$644*(1+($U$644)/100)^MAX(0,$C652-$AC$644),IF(DATE($C652,9,15)&gt;=$V$644,$Y$644*(1+($U$644)/100)^MAX(0,$C652-$AB$644),0)))))</f>
      </c>
      <c r="N652" s="43">
        <f>IF($S$644=0,0,IF(OR(DATE($C652,10,15)&lt;$S$644,AND($T$644&gt;0,DATE($C652,10,15)&gt;$T$644)),0,IF(DATE($C652,10,15)&gt;=$X$644,$AA$644*(1+($U$644)/100)^MAX(0,$C652-$AD$644),IF(DATE($C652,10,15)&gt;=$W$644,$Z$644*(1+($U$644)/100)^MAX(0,$C652-$AC$644),IF(DATE($C652,10,15)&gt;=$V$644,$Y$644*(1+($U$644)/100)^MAX(0,$C652-$AB$644),0)))))</f>
      </c>
      <c r="O652" s="43">
        <f>IF($S$644=0,0,IF(OR(DATE($C652,11,15)&lt;$S$644,AND($T$644&gt;0,DATE($C652,11,15)&gt;$T$644)),0,IF(DATE($C652,11,15)&gt;=$X$644,$AA$644*(1+($U$644)/100)^MAX(0,$C652-$AD$644),IF(DATE($C652,11,15)&gt;=$W$644,$Z$644*(1+($U$644)/100)^MAX(0,$C652-$AC$644),IF(DATE($C652,11,15)&gt;=$V$644,$Y$644*(1+($U$644)/100)^MAX(0,$C652-$AB$644),0)))))</f>
      </c>
      <c r="P652" s="43">
        <f>IF($S$644=0,0,IF(OR(DATE($C652,12,15)&lt;$S$644,AND($T$644&gt;0,DATE($C652,12,15)&gt;$T$644)),0,IF(DATE($C652,12,15)&gt;=$X$644,$AA$644*(1+($U$644)/100)^MAX(0,$C652-$AD$644),IF(DATE($C652,12,15)&gt;=$W$644,$Z$644*(1+($U$644)/100)^MAX(0,$C652-$AC$644),IF(DATE($C652,12,15)&gt;=$V$644,$Y$644*(1+($U$644)/100)^MAX(0,$C652-$AB$644),0)))))</f>
      </c>
      <c r="Q652" s="43">
        <f>SUM($E652:$P652)</f>
      </c>
    </row>
    <row r="653">
      <c r="A653"/>
      <c r="B653">
        <v>21</v>
      </c>
      <c r="C653" s="43">
        <f>Jahr+9</f>
      </c>
      <c r="D653" s="43">
        <f>INDEX(MvObj,21)</f>
      </c>
      <c r="E653" s="43">
        <f>IF($S$644=0,0,IF(OR(DATE($C653,1,15)&lt;$S$644,AND($T$644&gt;0,DATE($C653,1,15)&gt;$T$644)),0,IF(DATE($C653,1,15)&gt;=$X$644,$AA$644*(1+($U$644)/100)^MAX(0,$C653-$AD$644),IF(DATE($C653,1,15)&gt;=$W$644,$Z$644*(1+($U$644)/100)^MAX(0,$C653-$AC$644),IF(DATE($C653,1,15)&gt;=$V$644,$Y$644*(1+($U$644)/100)^MAX(0,$C653-$AB$644),0)))))</f>
      </c>
      <c r="F653" s="43">
        <f>IF($S$644=0,0,IF(OR(DATE($C653,2,15)&lt;$S$644,AND($T$644&gt;0,DATE($C653,2,15)&gt;$T$644)),0,IF(DATE($C653,2,15)&gt;=$X$644,$AA$644*(1+($U$644)/100)^MAX(0,$C653-$AD$644),IF(DATE($C653,2,15)&gt;=$W$644,$Z$644*(1+($U$644)/100)^MAX(0,$C653-$AC$644),IF(DATE($C653,2,15)&gt;=$V$644,$Y$644*(1+($U$644)/100)^MAX(0,$C653-$AB$644),0)))))</f>
      </c>
      <c r="G653" s="43">
        <f>IF($S$644=0,0,IF(OR(DATE($C653,3,15)&lt;$S$644,AND($T$644&gt;0,DATE($C653,3,15)&gt;$T$644)),0,IF(DATE($C653,3,15)&gt;=$X$644,$AA$644*(1+($U$644)/100)^MAX(0,$C653-$AD$644),IF(DATE($C653,3,15)&gt;=$W$644,$Z$644*(1+($U$644)/100)^MAX(0,$C653-$AC$644),IF(DATE($C653,3,15)&gt;=$V$644,$Y$644*(1+($U$644)/100)^MAX(0,$C653-$AB$644),0)))))</f>
      </c>
      <c r="H653" s="43">
        <f>IF($S$644=0,0,IF(OR(DATE($C653,4,15)&lt;$S$644,AND($T$644&gt;0,DATE($C653,4,15)&gt;$T$644)),0,IF(DATE($C653,4,15)&gt;=$X$644,$AA$644*(1+($U$644)/100)^MAX(0,$C653-$AD$644),IF(DATE($C653,4,15)&gt;=$W$644,$Z$644*(1+($U$644)/100)^MAX(0,$C653-$AC$644),IF(DATE($C653,4,15)&gt;=$V$644,$Y$644*(1+($U$644)/100)^MAX(0,$C653-$AB$644),0)))))</f>
      </c>
      <c r="I653" s="43">
        <f>IF($S$644=0,0,IF(OR(DATE($C653,5,15)&lt;$S$644,AND($T$644&gt;0,DATE($C653,5,15)&gt;$T$644)),0,IF(DATE($C653,5,15)&gt;=$X$644,$AA$644*(1+($U$644)/100)^MAX(0,$C653-$AD$644),IF(DATE($C653,5,15)&gt;=$W$644,$Z$644*(1+($U$644)/100)^MAX(0,$C653-$AC$644),IF(DATE($C653,5,15)&gt;=$V$644,$Y$644*(1+($U$644)/100)^MAX(0,$C653-$AB$644),0)))))</f>
      </c>
      <c r="J653" s="43">
        <f>IF($S$644=0,0,IF(OR(DATE($C653,6,15)&lt;$S$644,AND($T$644&gt;0,DATE($C653,6,15)&gt;$T$644)),0,IF(DATE($C653,6,15)&gt;=$X$644,$AA$644*(1+($U$644)/100)^MAX(0,$C653-$AD$644),IF(DATE($C653,6,15)&gt;=$W$644,$Z$644*(1+($U$644)/100)^MAX(0,$C653-$AC$644),IF(DATE($C653,6,15)&gt;=$V$644,$Y$644*(1+($U$644)/100)^MAX(0,$C653-$AB$644),0)))))</f>
      </c>
      <c r="K653" s="43">
        <f>IF($S$644=0,0,IF(OR(DATE($C653,7,15)&lt;$S$644,AND($T$644&gt;0,DATE($C653,7,15)&gt;$T$644)),0,IF(DATE($C653,7,15)&gt;=$X$644,$AA$644*(1+($U$644)/100)^MAX(0,$C653-$AD$644),IF(DATE($C653,7,15)&gt;=$W$644,$Z$644*(1+($U$644)/100)^MAX(0,$C653-$AC$644),IF(DATE($C653,7,15)&gt;=$V$644,$Y$644*(1+($U$644)/100)^MAX(0,$C653-$AB$644),0)))))</f>
      </c>
      <c r="L653" s="43">
        <f>IF($S$644=0,0,IF(OR(DATE($C653,8,15)&lt;$S$644,AND($T$644&gt;0,DATE($C653,8,15)&gt;$T$644)),0,IF(DATE($C653,8,15)&gt;=$X$644,$AA$644*(1+($U$644)/100)^MAX(0,$C653-$AD$644),IF(DATE($C653,8,15)&gt;=$W$644,$Z$644*(1+($U$644)/100)^MAX(0,$C653-$AC$644),IF(DATE($C653,8,15)&gt;=$V$644,$Y$644*(1+($U$644)/100)^MAX(0,$C653-$AB$644),0)))))</f>
      </c>
      <c r="M653" s="43">
        <f>IF($S$644=0,0,IF(OR(DATE($C653,9,15)&lt;$S$644,AND($T$644&gt;0,DATE($C653,9,15)&gt;$T$644)),0,IF(DATE($C653,9,15)&gt;=$X$644,$AA$644*(1+($U$644)/100)^MAX(0,$C653-$AD$644),IF(DATE($C653,9,15)&gt;=$W$644,$Z$644*(1+($U$644)/100)^MAX(0,$C653-$AC$644),IF(DATE($C653,9,15)&gt;=$V$644,$Y$644*(1+($U$644)/100)^MAX(0,$C653-$AB$644),0)))))</f>
      </c>
      <c r="N653" s="43">
        <f>IF($S$644=0,0,IF(OR(DATE($C653,10,15)&lt;$S$644,AND($T$644&gt;0,DATE($C653,10,15)&gt;$T$644)),0,IF(DATE($C653,10,15)&gt;=$X$644,$AA$644*(1+($U$644)/100)^MAX(0,$C653-$AD$644),IF(DATE($C653,10,15)&gt;=$W$644,$Z$644*(1+($U$644)/100)^MAX(0,$C653-$AC$644),IF(DATE($C653,10,15)&gt;=$V$644,$Y$644*(1+($U$644)/100)^MAX(0,$C653-$AB$644),0)))))</f>
      </c>
      <c r="O653" s="43">
        <f>IF($S$644=0,0,IF(OR(DATE($C653,11,15)&lt;$S$644,AND($T$644&gt;0,DATE($C653,11,15)&gt;$T$644)),0,IF(DATE($C653,11,15)&gt;=$X$644,$AA$644*(1+($U$644)/100)^MAX(0,$C653-$AD$644),IF(DATE($C653,11,15)&gt;=$W$644,$Z$644*(1+($U$644)/100)^MAX(0,$C653-$AC$644),IF(DATE($C653,11,15)&gt;=$V$644,$Y$644*(1+($U$644)/100)^MAX(0,$C653-$AB$644),0)))))</f>
      </c>
      <c r="P653" s="43">
        <f>IF($S$644=0,0,IF(OR(DATE($C653,12,15)&lt;$S$644,AND($T$644&gt;0,DATE($C653,12,15)&gt;$T$644)),0,IF(DATE($C653,12,15)&gt;=$X$644,$AA$644*(1+($U$644)/100)^MAX(0,$C653-$AD$644),IF(DATE($C653,12,15)&gt;=$W$644,$Z$644*(1+($U$644)/100)^MAX(0,$C653-$AC$644),IF(DATE($C653,12,15)&gt;=$V$644,$Y$644*(1+($U$644)/100)^MAX(0,$C653-$AB$644),0)))))</f>
      </c>
      <c r="Q653" s="43">
        <f>SUM($E653:$P653)</f>
      </c>
    </row>
    <row r="654">
      <c r="A654"/>
      <c r="B654">
        <v>21</v>
      </c>
      <c r="C654" s="43">
        <f>Jahr+10</f>
      </c>
      <c r="D654" s="43">
        <f>INDEX(MvObj,21)</f>
      </c>
      <c r="E654" s="43">
        <f>IF($S$644=0,0,IF(OR(DATE($C654,1,15)&lt;$S$644,AND($T$644&gt;0,DATE($C654,1,15)&gt;$T$644)),0,IF(DATE($C654,1,15)&gt;=$X$644,$AA$644*(1+($U$644)/100)^MAX(0,$C654-$AD$644),IF(DATE($C654,1,15)&gt;=$W$644,$Z$644*(1+($U$644)/100)^MAX(0,$C654-$AC$644),IF(DATE($C654,1,15)&gt;=$V$644,$Y$644*(1+($U$644)/100)^MAX(0,$C654-$AB$644),0)))))</f>
      </c>
      <c r="F654" s="43">
        <f>IF($S$644=0,0,IF(OR(DATE($C654,2,15)&lt;$S$644,AND($T$644&gt;0,DATE($C654,2,15)&gt;$T$644)),0,IF(DATE($C654,2,15)&gt;=$X$644,$AA$644*(1+($U$644)/100)^MAX(0,$C654-$AD$644),IF(DATE($C654,2,15)&gt;=$W$644,$Z$644*(1+($U$644)/100)^MAX(0,$C654-$AC$644),IF(DATE($C654,2,15)&gt;=$V$644,$Y$644*(1+($U$644)/100)^MAX(0,$C654-$AB$644),0)))))</f>
      </c>
      <c r="G654" s="43">
        <f>IF($S$644=0,0,IF(OR(DATE($C654,3,15)&lt;$S$644,AND($T$644&gt;0,DATE($C654,3,15)&gt;$T$644)),0,IF(DATE($C654,3,15)&gt;=$X$644,$AA$644*(1+($U$644)/100)^MAX(0,$C654-$AD$644),IF(DATE($C654,3,15)&gt;=$W$644,$Z$644*(1+($U$644)/100)^MAX(0,$C654-$AC$644),IF(DATE($C654,3,15)&gt;=$V$644,$Y$644*(1+($U$644)/100)^MAX(0,$C654-$AB$644),0)))))</f>
      </c>
      <c r="H654" s="43">
        <f>IF($S$644=0,0,IF(OR(DATE($C654,4,15)&lt;$S$644,AND($T$644&gt;0,DATE($C654,4,15)&gt;$T$644)),0,IF(DATE($C654,4,15)&gt;=$X$644,$AA$644*(1+($U$644)/100)^MAX(0,$C654-$AD$644),IF(DATE($C654,4,15)&gt;=$W$644,$Z$644*(1+($U$644)/100)^MAX(0,$C654-$AC$644),IF(DATE($C654,4,15)&gt;=$V$644,$Y$644*(1+($U$644)/100)^MAX(0,$C654-$AB$644),0)))))</f>
      </c>
      <c r="I654" s="43">
        <f>IF($S$644=0,0,IF(OR(DATE($C654,5,15)&lt;$S$644,AND($T$644&gt;0,DATE($C654,5,15)&gt;$T$644)),0,IF(DATE($C654,5,15)&gt;=$X$644,$AA$644*(1+($U$644)/100)^MAX(0,$C654-$AD$644),IF(DATE($C654,5,15)&gt;=$W$644,$Z$644*(1+($U$644)/100)^MAX(0,$C654-$AC$644),IF(DATE($C654,5,15)&gt;=$V$644,$Y$644*(1+($U$644)/100)^MAX(0,$C654-$AB$644),0)))))</f>
      </c>
      <c r="J654" s="43">
        <f>IF($S$644=0,0,IF(OR(DATE($C654,6,15)&lt;$S$644,AND($T$644&gt;0,DATE($C654,6,15)&gt;$T$644)),0,IF(DATE($C654,6,15)&gt;=$X$644,$AA$644*(1+($U$644)/100)^MAX(0,$C654-$AD$644),IF(DATE($C654,6,15)&gt;=$W$644,$Z$644*(1+($U$644)/100)^MAX(0,$C654-$AC$644),IF(DATE($C654,6,15)&gt;=$V$644,$Y$644*(1+($U$644)/100)^MAX(0,$C654-$AB$644),0)))))</f>
      </c>
      <c r="K654" s="43">
        <f>IF($S$644=0,0,IF(OR(DATE($C654,7,15)&lt;$S$644,AND($T$644&gt;0,DATE($C654,7,15)&gt;$T$644)),0,IF(DATE($C654,7,15)&gt;=$X$644,$AA$644*(1+($U$644)/100)^MAX(0,$C654-$AD$644),IF(DATE($C654,7,15)&gt;=$W$644,$Z$644*(1+($U$644)/100)^MAX(0,$C654-$AC$644),IF(DATE($C654,7,15)&gt;=$V$644,$Y$644*(1+($U$644)/100)^MAX(0,$C654-$AB$644),0)))))</f>
      </c>
      <c r="L654" s="43">
        <f>IF($S$644=0,0,IF(OR(DATE($C654,8,15)&lt;$S$644,AND($T$644&gt;0,DATE($C654,8,15)&gt;$T$644)),0,IF(DATE($C654,8,15)&gt;=$X$644,$AA$644*(1+($U$644)/100)^MAX(0,$C654-$AD$644),IF(DATE($C654,8,15)&gt;=$W$644,$Z$644*(1+($U$644)/100)^MAX(0,$C654-$AC$644),IF(DATE($C654,8,15)&gt;=$V$644,$Y$644*(1+($U$644)/100)^MAX(0,$C654-$AB$644),0)))))</f>
      </c>
      <c r="M654" s="43">
        <f>IF($S$644=0,0,IF(OR(DATE($C654,9,15)&lt;$S$644,AND($T$644&gt;0,DATE($C654,9,15)&gt;$T$644)),0,IF(DATE($C654,9,15)&gt;=$X$644,$AA$644*(1+($U$644)/100)^MAX(0,$C654-$AD$644),IF(DATE($C654,9,15)&gt;=$W$644,$Z$644*(1+($U$644)/100)^MAX(0,$C654-$AC$644),IF(DATE($C654,9,15)&gt;=$V$644,$Y$644*(1+($U$644)/100)^MAX(0,$C654-$AB$644),0)))))</f>
      </c>
      <c r="N654" s="43">
        <f>IF($S$644=0,0,IF(OR(DATE($C654,10,15)&lt;$S$644,AND($T$644&gt;0,DATE($C654,10,15)&gt;$T$644)),0,IF(DATE($C654,10,15)&gt;=$X$644,$AA$644*(1+($U$644)/100)^MAX(0,$C654-$AD$644),IF(DATE($C654,10,15)&gt;=$W$644,$Z$644*(1+($U$644)/100)^MAX(0,$C654-$AC$644),IF(DATE($C654,10,15)&gt;=$V$644,$Y$644*(1+($U$644)/100)^MAX(0,$C654-$AB$644),0)))))</f>
      </c>
      <c r="O654" s="43">
        <f>IF($S$644=0,0,IF(OR(DATE($C654,11,15)&lt;$S$644,AND($T$644&gt;0,DATE($C654,11,15)&gt;$T$644)),0,IF(DATE($C654,11,15)&gt;=$X$644,$AA$644*(1+($U$644)/100)^MAX(0,$C654-$AD$644),IF(DATE($C654,11,15)&gt;=$W$644,$Z$644*(1+($U$644)/100)^MAX(0,$C654-$AC$644),IF(DATE($C654,11,15)&gt;=$V$644,$Y$644*(1+($U$644)/100)^MAX(0,$C654-$AB$644),0)))))</f>
      </c>
      <c r="P654" s="43">
        <f>IF($S$644=0,0,IF(OR(DATE($C654,12,15)&lt;$S$644,AND($T$644&gt;0,DATE($C654,12,15)&gt;$T$644)),0,IF(DATE($C654,12,15)&gt;=$X$644,$AA$644*(1+($U$644)/100)^MAX(0,$C654-$AD$644),IF(DATE($C654,12,15)&gt;=$W$644,$Z$644*(1+($U$644)/100)^MAX(0,$C654-$AC$644),IF(DATE($C654,12,15)&gt;=$V$644,$Y$644*(1+($U$644)/100)^MAX(0,$C654-$AB$644),0)))))</f>
      </c>
      <c r="Q654" s="43">
        <f>SUM($E654:$P654)</f>
      </c>
    </row>
    <row r="655">
      <c r="A655"/>
      <c r="B655">
        <v>21</v>
      </c>
      <c r="C655" s="43">
        <f>Jahr+11</f>
      </c>
      <c r="D655" s="43">
        <f>INDEX(MvObj,21)</f>
      </c>
      <c r="E655" s="43">
        <f>IF($S$644=0,0,IF(OR(DATE($C655,1,15)&lt;$S$644,AND($T$644&gt;0,DATE($C655,1,15)&gt;$T$644)),0,IF(DATE($C655,1,15)&gt;=$X$644,$AA$644*(1+($U$644)/100)^MAX(0,$C655-$AD$644),IF(DATE($C655,1,15)&gt;=$W$644,$Z$644*(1+($U$644)/100)^MAX(0,$C655-$AC$644),IF(DATE($C655,1,15)&gt;=$V$644,$Y$644*(1+($U$644)/100)^MAX(0,$C655-$AB$644),0)))))</f>
      </c>
      <c r="F655" s="43">
        <f>IF($S$644=0,0,IF(OR(DATE($C655,2,15)&lt;$S$644,AND($T$644&gt;0,DATE($C655,2,15)&gt;$T$644)),0,IF(DATE($C655,2,15)&gt;=$X$644,$AA$644*(1+($U$644)/100)^MAX(0,$C655-$AD$644),IF(DATE($C655,2,15)&gt;=$W$644,$Z$644*(1+($U$644)/100)^MAX(0,$C655-$AC$644),IF(DATE($C655,2,15)&gt;=$V$644,$Y$644*(1+($U$644)/100)^MAX(0,$C655-$AB$644),0)))))</f>
      </c>
      <c r="G655" s="43">
        <f>IF($S$644=0,0,IF(OR(DATE($C655,3,15)&lt;$S$644,AND($T$644&gt;0,DATE($C655,3,15)&gt;$T$644)),0,IF(DATE($C655,3,15)&gt;=$X$644,$AA$644*(1+($U$644)/100)^MAX(0,$C655-$AD$644),IF(DATE($C655,3,15)&gt;=$W$644,$Z$644*(1+($U$644)/100)^MAX(0,$C655-$AC$644),IF(DATE($C655,3,15)&gt;=$V$644,$Y$644*(1+($U$644)/100)^MAX(0,$C655-$AB$644),0)))))</f>
      </c>
      <c r="H655" s="43">
        <f>IF($S$644=0,0,IF(OR(DATE($C655,4,15)&lt;$S$644,AND($T$644&gt;0,DATE($C655,4,15)&gt;$T$644)),0,IF(DATE($C655,4,15)&gt;=$X$644,$AA$644*(1+($U$644)/100)^MAX(0,$C655-$AD$644),IF(DATE($C655,4,15)&gt;=$W$644,$Z$644*(1+($U$644)/100)^MAX(0,$C655-$AC$644),IF(DATE($C655,4,15)&gt;=$V$644,$Y$644*(1+($U$644)/100)^MAX(0,$C655-$AB$644),0)))))</f>
      </c>
      <c r="I655" s="43">
        <f>IF($S$644=0,0,IF(OR(DATE($C655,5,15)&lt;$S$644,AND($T$644&gt;0,DATE($C655,5,15)&gt;$T$644)),0,IF(DATE($C655,5,15)&gt;=$X$644,$AA$644*(1+($U$644)/100)^MAX(0,$C655-$AD$644),IF(DATE($C655,5,15)&gt;=$W$644,$Z$644*(1+($U$644)/100)^MAX(0,$C655-$AC$644),IF(DATE($C655,5,15)&gt;=$V$644,$Y$644*(1+($U$644)/100)^MAX(0,$C655-$AB$644),0)))))</f>
      </c>
      <c r="J655" s="43">
        <f>IF($S$644=0,0,IF(OR(DATE($C655,6,15)&lt;$S$644,AND($T$644&gt;0,DATE($C655,6,15)&gt;$T$644)),0,IF(DATE($C655,6,15)&gt;=$X$644,$AA$644*(1+($U$644)/100)^MAX(0,$C655-$AD$644),IF(DATE($C655,6,15)&gt;=$W$644,$Z$644*(1+($U$644)/100)^MAX(0,$C655-$AC$644),IF(DATE($C655,6,15)&gt;=$V$644,$Y$644*(1+($U$644)/100)^MAX(0,$C655-$AB$644),0)))))</f>
      </c>
      <c r="K655" s="43">
        <f>IF($S$644=0,0,IF(OR(DATE($C655,7,15)&lt;$S$644,AND($T$644&gt;0,DATE($C655,7,15)&gt;$T$644)),0,IF(DATE($C655,7,15)&gt;=$X$644,$AA$644*(1+($U$644)/100)^MAX(0,$C655-$AD$644),IF(DATE($C655,7,15)&gt;=$W$644,$Z$644*(1+($U$644)/100)^MAX(0,$C655-$AC$644),IF(DATE($C655,7,15)&gt;=$V$644,$Y$644*(1+($U$644)/100)^MAX(0,$C655-$AB$644),0)))))</f>
      </c>
      <c r="L655" s="43">
        <f>IF($S$644=0,0,IF(OR(DATE($C655,8,15)&lt;$S$644,AND($T$644&gt;0,DATE($C655,8,15)&gt;$T$644)),0,IF(DATE($C655,8,15)&gt;=$X$644,$AA$644*(1+($U$644)/100)^MAX(0,$C655-$AD$644),IF(DATE($C655,8,15)&gt;=$W$644,$Z$644*(1+($U$644)/100)^MAX(0,$C655-$AC$644),IF(DATE($C655,8,15)&gt;=$V$644,$Y$644*(1+($U$644)/100)^MAX(0,$C655-$AB$644),0)))))</f>
      </c>
      <c r="M655" s="43">
        <f>IF($S$644=0,0,IF(OR(DATE($C655,9,15)&lt;$S$644,AND($T$644&gt;0,DATE($C655,9,15)&gt;$T$644)),0,IF(DATE($C655,9,15)&gt;=$X$644,$AA$644*(1+($U$644)/100)^MAX(0,$C655-$AD$644),IF(DATE($C655,9,15)&gt;=$W$644,$Z$644*(1+($U$644)/100)^MAX(0,$C655-$AC$644),IF(DATE($C655,9,15)&gt;=$V$644,$Y$644*(1+($U$644)/100)^MAX(0,$C655-$AB$644),0)))))</f>
      </c>
      <c r="N655" s="43">
        <f>IF($S$644=0,0,IF(OR(DATE($C655,10,15)&lt;$S$644,AND($T$644&gt;0,DATE($C655,10,15)&gt;$T$644)),0,IF(DATE($C655,10,15)&gt;=$X$644,$AA$644*(1+($U$644)/100)^MAX(0,$C655-$AD$644),IF(DATE($C655,10,15)&gt;=$W$644,$Z$644*(1+($U$644)/100)^MAX(0,$C655-$AC$644),IF(DATE($C655,10,15)&gt;=$V$644,$Y$644*(1+($U$644)/100)^MAX(0,$C655-$AB$644),0)))))</f>
      </c>
      <c r="O655" s="43">
        <f>IF($S$644=0,0,IF(OR(DATE($C655,11,15)&lt;$S$644,AND($T$644&gt;0,DATE($C655,11,15)&gt;$T$644)),0,IF(DATE($C655,11,15)&gt;=$X$644,$AA$644*(1+($U$644)/100)^MAX(0,$C655-$AD$644),IF(DATE($C655,11,15)&gt;=$W$644,$Z$644*(1+($U$644)/100)^MAX(0,$C655-$AC$644),IF(DATE($C655,11,15)&gt;=$V$644,$Y$644*(1+($U$644)/100)^MAX(0,$C655-$AB$644),0)))))</f>
      </c>
      <c r="P655" s="43">
        <f>IF($S$644=0,0,IF(OR(DATE($C655,12,15)&lt;$S$644,AND($T$644&gt;0,DATE($C655,12,15)&gt;$T$644)),0,IF(DATE($C655,12,15)&gt;=$X$644,$AA$644*(1+($U$644)/100)^MAX(0,$C655-$AD$644),IF(DATE($C655,12,15)&gt;=$W$644,$Z$644*(1+($U$644)/100)^MAX(0,$C655-$AC$644),IF(DATE($C655,12,15)&gt;=$V$644,$Y$644*(1+($U$644)/100)^MAX(0,$C655-$AB$644),0)))))</f>
      </c>
      <c r="Q655" s="43">
        <f>SUM($E655:$P655)</f>
      </c>
    </row>
    <row r="656">
      <c r="A656"/>
      <c r="B656">
        <v>21</v>
      </c>
      <c r="C656" s="43">
        <f>Jahr+12</f>
      </c>
      <c r="D656" s="43">
        <f>INDEX(MvObj,21)</f>
      </c>
      <c r="E656" s="43">
        <f>IF($S$644=0,0,IF(OR(DATE($C656,1,15)&lt;$S$644,AND($T$644&gt;0,DATE($C656,1,15)&gt;$T$644)),0,IF(DATE($C656,1,15)&gt;=$X$644,$AA$644*(1+($U$644)/100)^MAX(0,$C656-$AD$644),IF(DATE($C656,1,15)&gt;=$W$644,$Z$644*(1+($U$644)/100)^MAX(0,$C656-$AC$644),IF(DATE($C656,1,15)&gt;=$V$644,$Y$644*(1+($U$644)/100)^MAX(0,$C656-$AB$644),0)))))</f>
      </c>
      <c r="F656" s="43">
        <f>IF($S$644=0,0,IF(OR(DATE($C656,2,15)&lt;$S$644,AND($T$644&gt;0,DATE($C656,2,15)&gt;$T$644)),0,IF(DATE($C656,2,15)&gt;=$X$644,$AA$644*(1+($U$644)/100)^MAX(0,$C656-$AD$644),IF(DATE($C656,2,15)&gt;=$W$644,$Z$644*(1+($U$644)/100)^MAX(0,$C656-$AC$644),IF(DATE($C656,2,15)&gt;=$V$644,$Y$644*(1+($U$644)/100)^MAX(0,$C656-$AB$644),0)))))</f>
      </c>
      <c r="G656" s="43">
        <f>IF($S$644=0,0,IF(OR(DATE($C656,3,15)&lt;$S$644,AND($T$644&gt;0,DATE($C656,3,15)&gt;$T$644)),0,IF(DATE($C656,3,15)&gt;=$X$644,$AA$644*(1+($U$644)/100)^MAX(0,$C656-$AD$644),IF(DATE($C656,3,15)&gt;=$W$644,$Z$644*(1+($U$644)/100)^MAX(0,$C656-$AC$644),IF(DATE($C656,3,15)&gt;=$V$644,$Y$644*(1+($U$644)/100)^MAX(0,$C656-$AB$644),0)))))</f>
      </c>
      <c r="H656" s="43">
        <f>IF($S$644=0,0,IF(OR(DATE($C656,4,15)&lt;$S$644,AND($T$644&gt;0,DATE($C656,4,15)&gt;$T$644)),0,IF(DATE($C656,4,15)&gt;=$X$644,$AA$644*(1+($U$644)/100)^MAX(0,$C656-$AD$644),IF(DATE($C656,4,15)&gt;=$W$644,$Z$644*(1+($U$644)/100)^MAX(0,$C656-$AC$644),IF(DATE($C656,4,15)&gt;=$V$644,$Y$644*(1+($U$644)/100)^MAX(0,$C656-$AB$644),0)))))</f>
      </c>
      <c r="I656" s="43">
        <f>IF($S$644=0,0,IF(OR(DATE($C656,5,15)&lt;$S$644,AND($T$644&gt;0,DATE($C656,5,15)&gt;$T$644)),0,IF(DATE($C656,5,15)&gt;=$X$644,$AA$644*(1+($U$644)/100)^MAX(0,$C656-$AD$644),IF(DATE($C656,5,15)&gt;=$W$644,$Z$644*(1+($U$644)/100)^MAX(0,$C656-$AC$644),IF(DATE($C656,5,15)&gt;=$V$644,$Y$644*(1+($U$644)/100)^MAX(0,$C656-$AB$644),0)))))</f>
      </c>
      <c r="J656" s="43">
        <f>IF($S$644=0,0,IF(OR(DATE($C656,6,15)&lt;$S$644,AND($T$644&gt;0,DATE($C656,6,15)&gt;$T$644)),0,IF(DATE($C656,6,15)&gt;=$X$644,$AA$644*(1+($U$644)/100)^MAX(0,$C656-$AD$644),IF(DATE($C656,6,15)&gt;=$W$644,$Z$644*(1+($U$644)/100)^MAX(0,$C656-$AC$644),IF(DATE($C656,6,15)&gt;=$V$644,$Y$644*(1+($U$644)/100)^MAX(0,$C656-$AB$644),0)))))</f>
      </c>
      <c r="K656" s="43">
        <f>IF($S$644=0,0,IF(OR(DATE($C656,7,15)&lt;$S$644,AND($T$644&gt;0,DATE($C656,7,15)&gt;$T$644)),0,IF(DATE($C656,7,15)&gt;=$X$644,$AA$644*(1+($U$644)/100)^MAX(0,$C656-$AD$644),IF(DATE($C656,7,15)&gt;=$W$644,$Z$644*(1+($U$644)/100)^MAX(0,$C656-$AC$644),IF(DATE($C656,7,15)&gt;=$V$644,$Y$644*(1+($U$644)/100)^MAX(0,$C656-$AB$644),0)))))</f>
      </c>
      <c r="L656" s="43">
        <f>IF($S$644=0,0,IF(OR(DATE($C656,8,15)&lt;$S$644,AND($T$644&gt;0,DATE($C656,8,15)&gt;$T$644)),0,IF(DATE($C656,8,15)&gt;=$X$644,$AA$644*(1+($U$644)/100)^MAX(0,$C656-$AD$644),IF(DATE($C656,8,15)&gt;=$W$644,$Z$644*(1+($U$644)/100)^MAX(0,$C656-$AC$644),IF(DATE($C656,8,15)&gt;=$V$644,$Y$644*(1+($U$644)/100)^MAX(0,$C656-$AB$644),0)))))</f>
      </c>
      <c r="M656" s="43">
        <f>IF($S$644=0,0,IF(OR(DATE($C656,9,15)&lt;$S$644,AND($T$644&gt;0,DATE($C656,9,15)&gt;$T$644)),0,IF(DATE($C656,9,15)&gt;=$X$644,$AA$644*(1+($U$644)/100)^MAX(0,$C656-$AD$644),IF(DATE($C656,9,15)&gt;=$W$644,$Z$644*(1+($U$644)/100)^MAX(0,$C656-$AC$644),IF(DATE($C656,9,15)&gt;=$V$644,$Y$644*(1+($U$644)/100)^MAX(0,$C656-$AB$644),0)))))</f>
      </c>
      <c r="N656" s="43">
        <f>IF($S$644=0,0,IF(OR(DATE($C656,10,15)&lt;$S$644,AND($T$644&gt;0,DATE($C656,10,15)&gt;$T$644)),0,IF(DATE($C656,10,15)&gt;=$X$644,$AA$644*(1+($U$644)/100)^MAX(0,$C656-$AD$644),IF(DATE($C656,10,15)&gt;=$W$644,$Z$644*(1+($U$644)/100)^MAX(0,$C656-$AC$644),IF(DATE($C656,10,15)&gt;=$V$644,$Y$644*(1+($U$644)/100)^MAX(0,$C656-$AB$644),0)))))</f>
      </c>
      <c r="O656" s="43">
        <f>IF($S$644=0,0,IF(OR(DATE($C656,11,15)&lt;$S$644,AND($T$644&gt;0,DATE($C656,11,15)&gt;$T$644)),0,IF(DATE($C656,11,15)&gt;=$X$644,$AA$644*(1+($U$644)/100)^MAX(0,$C656-$AD$644),IF(DATE($C656,11,15)&gt;=$W$644,$Z$644*(1+($U$644)/100)^MAX(0,$C656-$AC$644),IF(DATE($C656,11,15)&gt;=$V$644,$Y$644*(1+($U$644)/100)^MAX(0,$C656-$AB$644),0)))))</f>
      </c>
      <c r="P656" s="43">
        <f>IF($S$644=0,0,IF(OR(DATE($C656,12,15)&lt;$S$644,AND($T$644&gt;0,DATE($C656,12,15)&gt;$T$644)),0,IF(DATE($C656,12,15)&gt;=$X$644,$AA$644*(1+($U$644)/100)^MAX(0,$C656-$AD$644),IF(DATE($C656,12,15)&gt;=$W$644,$Z$644*(1+($U$644)/100)^MAX(0,$C656-$AC$644),IF(DATE($C656,12,15)&gt;=$V$644,$Y$644*(1+($U$644)/100)^MAX(0,$C656-$AB$644),0)))))</f>
      </c>
      <c r="Q656" s="43">
        <f>SUM($E656:$P656)</f>
      </c>
    </row>
    <row r="657">
      <c r="A657"/>
      <c r="B657">
        <v>21</v>
      </c>
      <c r="C657" s="43">
        <f>Jahr+13</f>
      </c>
      <c r="D657" s="43">
        <f>INDEX(MvObj,21)</f>
      </c>
      <c r="E657" s="43">
        <f>IF($S$644=0,0,IF(OR(DATE($C657,1,15)&lt;$S$644,AND($T$644&gt;0,DATE($C657,1,15)&gt;$T$644)),0,IF(DATE($C657,1,15)&gt;=$X$644,$AA$644*(1+($U$644)/100)^MAX(0,$C657-$AD$644),IF(DATE($C657,1,15)&gt;=$W$644,$Z$644*(1+($U$644)/100)^MAX(0,$C657-$AC$644),IF(DATE($C657,1,15)&gt;=$V$644,$Y$644*(1+($U$644)/100)^MAX(0,$C657-$AB$644),0)))))</f>
      </c>
      <c r="F657" s="43">
        <f>IF($S$644=0,0,IF(OR(DATE($C657,2,15)&lt;$S$644,AND($T$644&gt;0,DATE($C657,2,15)&gt;$T$644)),0,IF(DATE($C657,2,15)&gt;=$X$644,$AA$644*(1+($U$644)/100)^MAX(0,$C657-$AD$644),IF(DATE($C657,2,15)&gt;=$W$644,$Z$644*(1+($U$644)/100)^MAX(0,$C657-$AC$644),IF(DATE($C657,2,15)&gt;=$V$644,$Y$644*(1+($U$644)/100)^MAX(0,$C657-$AB$644),0)))))</f>
      </c>
      <c r="G657" s="43">
        <f>IF($S$644=0,0,IF(OR(DATE($C657,3,15)&lt;$S$644,AND($T$644&gt;0,DATE($C657,3,15)&gt;$T$644)),0,IF(DATE($C657,3,15)&gt;=$X$644,$AA$644*(1+($U$644)/100)^MAX(0,$C657-$AD$644),IF(DATE($C657,3,15)&gt;=$W$644,$Z$644*(1+($U$644)/100)^MAX(0,$C657-$AC$644),IF(DATE($C657,3,15)&gt;=$V$644,$Y$644*(1+($U$644)/100)^MAX(0,$C657-$AB$644),0)))))</f>
      </c>
      <c r="H657" s="43">
        <f>IF($S$644=0,0,IF(OR(DATE($C657,4,15)&lt;$S$644,AND($T$644&gt;0,DATE($C657,4,15)&gt;$T$644)),0,IF(DATE($C657,4,15)&gt;=$X$644,$AA$644*(1+($U$644)/100)^MAX(0,$C657-$AD$644),IF(DATE($C657,4,15)&gt;=$W$644,$Z$644*(1+($U$644)/100)^MAX(0,$C657-$AC$644),IF(DATE($C657,4,15)&gt;=$V$644,$Y$644*(1+($U$644)/100)^MAX(0,$C657-$AB$644),0)))))</f>
      </c>
      <c r="I657" s="43">
        <f>IF($S$644=0,0,IF(OR(DATE($C657,5,15)&lt;$S$644,AND($T$644&gt;0,DATE($C657,5,15)&gt;$T$644)),0,IF(DATE($C657,5,15)&gt;=$X$644,$AA$644*(1+($U$644)/100)^MAX(0,$C657-$AD$644),IF(DATE($C657,5,15)&gt;=$W$644,$Z$644*(1+($U$644)/100)^MAX(0,$C657-$AC$644),IF(DATE($C657,5,15)&gt;=$V$644,$Y$644*(1+($U$644)/100)^MAX(0,$C657-$AB$644),0)))))</f>
      </c>
      <c r="J657" s="43">
        <f>IF($S$644=0,0,IF(OR(DATE($C657,6,15)&lt;$S$644,AND($T$644&gt;0,DATE($C657,6,15)&gt;$T$644)),0,IF(DATE($C657,6,15)&gt;=$X$644,$AA$644*(1+($U$644)/100)^MAX(0,$C657-$AD$644),IF(DATE($C657,6,15)&gt;=$W$644,$Z$644*(1+($U$644)/100)^MAX(0,$C657-$AC$644),IF(DATE($C657,6,15)&gt;=$V$644,$Y$644*(1+($U$644)/100)^MAX(0,$C657-$AB$644),0)))))</f>
      </c>
      <c r="K657" s="43">
        <f>IF($S$644=0,0,IF(OR(DATE($C657,7,15)&lt;$S$644,AND($T$644&gt;0,DATE($C657,7,15)&gt;$T$644)),0,IF(DATE($C657,7,15)&gt;=$X$644,$AA$644*(1+($U$644)/100)^MAX(0,$C657-$AD$644),IF(DATE($C657,7,15)&gt;=$W$644,$Z$644*(1+($U$644)/100)^MAX(0,$C657-$AC$644),IF(DATE($C657,7,15)&gt;=$V$644,$Y$644*(1+($U$644)/100)^MAX(0,$C657-$AB$644),0)))))</f>
      </c>
      <c r="L657" s="43">
        <f>IF($S$644=0,0,IF(OR(DATE($C657,8,15)&lt;$S$644,AND($T$644&gt;0,DATE($C657,8,15)&gt;$T$644)),0,IF(DATE($C657,8,15)&gt;=$X$644,$AA$644*(1+($U$644)/100)^MAX(0,$C657-$AD$644),IF(DATE($C657,8,15)&gt;=$W$644,$Z$644*(1+($U$644)/100)^MAX(0,$C657-$AC$644),IF(DATE($C657,8,15)&gt;=$V$644,$Y$644*(1+($U$644)/100)^MAX(0,$C657-$AB$644),0)))))</f>
      </c>
      <c r="M657" s="43">
        <f>IF($S$644=0,0,IF(OR(DATE($C657,9,15)&lt;$S$644,AND($T$644&gt;0,DATE($C657,9,15)&gt;$T$644)),0,IF(DATE($C657,9,15)&gt;=$X$644,$AA$644*(1+($U$644)/100)^MAX(0,$C657-$AD$644),IF(DATE($C657,9,15)&gt;=$W$644,$Z$644*(1+($U$644)/100)^MAX(0,$C657-$AC$644),IF(DATE($C657,9,15)&gt;=$V$644,$Y$644*(1+($U$644)/100)^MAX(0,$C657-$AB$644),0)))))</f>
      </c>
      <c r="N657" s="43">
        <f>IF($S$644=0,0,IF(OR(DATE($C657,10,15)&lt;$S$644,AND($T$644&gt;0,DATE($C657,10,15)&gt;$T$644)),0,IF(DATE($C657,10,15)&gt;=$X$644,$AA$644*(1+($U$644)/100)^MAX(0,$C657-$AD$644),IF(DATE($C657,10,15)&gt;=$W$644,$Z$644*(1+($U$644)/100)^MAX(0,$C657-$AC$644),IF(DATE($C657,10,15)&gt;=$V$644,$Y$644*(1+($U$644)/100)^MAX(0,$C657-$AB$644),0)))))</f>
      </c>
      <c r="O657" s="43">
        <f>IF($S$644=0,0,IF(OR(DATE($C657,11,15)&lt;$S$644,AND($T$644&gt;0,DATE($C657,11,15)&gt;$T$644)),0,IF(DATE($C657,11,15)&gt;=$X$644,$AA$644*(1+($U$644)/100)^MAX(0,$C657-$AD$644),IF(DATE($C657,11,15)&gt;=$W$644,$Z$644*(1+($U$644)/100)^MAX(0,$C657-$AC$644),IF(DATE($C657,11,15)&gt;=$V$644,$Y$644*(1+($U$644)/100)^MAX(0,$C657-$AB$644),0)))))</f>
      </c>
      <c r="P657" s="43">
        <f>IF($S$644=0,0,IF(OR(DATE($C657,12,15)&lt;$S$644,AND($T$644&gt;0,DATE($C657,12,15)&gt;$T$644)),0,IF(DATE($C657,12,15)&gt;=$X$644,$AA$644*(1+($U$644)/100)^MAX(0,$C657-$AD$644),IF(DATE($C657,12,15)&gt;=$W$644,$Z$644*(1+($U$644)/100)^MAX(0,$C657-$AC$644),IF(DATE($C657,12,15)&gt;=$V$644,$Y$644*(1+($U$644)/100)^MAX(0,$C657-$AB$644),0)))))</f>
      </c>
      <c r="Q657" s="43">
        <f>SUM($E657:$P657)</f>
      </c>
    </row>
    <row r="658">
      <c r="A658"/>
      <c r="B658">
        <v>21</v>
      </c>
      <c r="C658" s="43">
        <f>Jahr+14</f>
      </c>
      <c r="D658" s="43">
        <f>INDEX(MvObj,21)</f>
      </c>
      <c r="E658" s="43">
        <f>IF($S$644=0,0,IF(OR(DATE($C658,1,15)&lt;$S$644,AND($T$644&gt;0,DATE($C658,1,15)&gt;$T$644)),0,IF(DATE($C658,1,15)&gt;=$X$644,$AA$644*(1+($U$644)/100)^MAX(0,$C658-$AD$644),IF(DATE($C658,1,15)&gt;=$W$644,$Z$644*(1+($U$644)/100)^MAX(0,$C658-$AC$644),IF(DATE($C658,1,15)&gt;=$V$644,$Y$644*(1+($U$644)/100)^MAX(0,$C658-$AB$644),0)))))</f>
      </c>
      <c r="F658" s="43">
        <f>IF($S$644=0,0,IF(OR(DATE($C658,2,15)&lt;$S$644,AND($T$644&gt;0,DATE($C658,2,15)&gt;$T$644)),0,IF(DATE($C658,2,15)&gt;=$X$644,$AA$644*(1+($U$644)/100)^MAX(0,$C658-$AD$644),IF(DATE($C658,2,15)&gt;=$W$644,$Z$644*(1+($U$644)/100)^MAX(0,$C658-$AC$644),IF(DATE($C658,2,15)&gt;=$V$644,$Y$644*(1+($U$644)/100)^MAX(0,$C658-$AB$644),0)))))</f>
      </c>
      <c r="G658" s="43">
        <f>IF($S$644=0,0,IF(OR(DATE($C658,3,15)&lt;$S$644,AND($T$644&gt;0,DATE($C658,3,15)&gt;$T$644)),0,IF(DATE($C658,3,15)&gt;=$X$644,$AA$644*(1+($U$644)/100)^MAX(0,$C658-$AD$644),IF(DATE($C658,3,15)&gt;=$W$644,$Z$644*(1+($U$644)/100)^MAX(0,$C658-$AC$644),IF(DATE($C658,3,15)&gt;=$V$644,$Y$644*(1+($U$644)/100)^MAX(0,$C658-$AB$644),0)))))</f>
      </c>
      <c r="H658" s="43">
        <f>IF($S$644=0,0,IF(OR(DATE($C658,4,15)&lt;$S$644,AND($T$644&gt;0,DATE($C658,4,15)&gt;$T$644)),0,IF(DATE($C658,4,15)&gt;=$X$644,$AA$644*(1+($U$644)/100)^MAX(0,$C658-$AD$644),IF(DATE($C658,4,15)&gt;=$W$644,$Z$644*(1+($U$644)/100)^MAX(0,$C658-$AC$644),IF(DATE($C658,4,15)&gt;=$V$644,$Y$644*(1+($U$644)/100)^MAX(0,$C658-$AB$644),0)))))</f>
      </c>
      <c r="I658" s="43">
        <f>IF($S$644=0,0,IF(OR(DATE($C658,5,15)&lt;$S$644,AND($T$644&gt;0,DATE($C658,5,15)&gt;$T$644)),0,IF(DATE($C658,5,15)&gt;=$X$644,$AA$644*(1+($U$644)/100)^MAX(0,$C658-$AD$644),IF(DATE($C658,5,15)&gt;=$W$644,$Z$644*(1+($U$644)/100)^MAX(0,$C658-$AC$644),IF(DATE($C658,5,15)&gt;=$V$644,$Y$644*(1+($U$644)/100)^MAX(0,$C658-$AB$644),0)))))</f>
      </c>
      <c r="J658" s="43">
        <f>IF($S$644=0,0,IF(OR(DATE($C658,6,15)&lt;$S$644,AND($T$644&gt;0,DATE($C658,6,15)&gt;$T$644)),0,IF(DATE($C658,6,15)&gt;=$X$644,$AA$644*(1+($U$644)/100)^MAX(0,$C658-$AD$644),IF(DATE($C658,6,15)&gt;=$W$644,$Z$644*(1+($U$644)/100)^MAX(0,$C658-$AC$644),IF(DATE($C658,6,15)&gt;=$V$644,$Y$644*(1+($U$644)/100)^MAX(0,$C658-$AB$644),0)))))</f>
      </c>
      <c r="K658" s="43">
        <f>IF($S$644=0,0,IF(OR(DATE($C658,7,15)&lt;$S$644,AND($T$644&gt;0,DATE($C658,7,15)&gt;$T$644)),0,IF(DATE($C658,7,15)&gt;=$X$644,$AA$644*(1+($U$644)/100)^MAX(0,$C658-$AD$644),IF(DATE($C658,7,15)&gt;=$W$644,$Z$644*(1+($U$644)/100)^MAX(0,$C658-$AC$644),IF(DATE($C658,7,15)&gt;=$V$644,$Y$644*(1+($U$644)/100)^MAX(0,$C658-$AB$644),0)))))</f>
      </c>
      <c r="L658" s="43">
        <f>IF($S$644=0,0,IF(OR(DATE($C658,8,15)&lt;$S$644,AND($T$644&gt;0,DATE($C658,8,15)&gt;$T$644)),0,IF(DATE($C658,8,15)&gt;=$X$644,$AA$644*(1+($U$644)/100)^MAX(0,$C658-$AD$644),IF(DATE($C658,8,15)&gt;=$W$644,$Z$644*(1+($U$644)/100)^MAX(0,$C658-$AC$644),IF(DATE($C658,8,15)&gt;=$V$644,$Y$644*(1+($U$644)/100)^MAX(0,$C658-$AB$644),0)))))</f>
      </c>
      <c r="M658" s="43">
        <f>IF($S$644=0,0,IF(OR(DATE($C658,9,15)&lt;$S$644,AND($T$644&gt;0,DATE($C658,9,15)&gt;$T$644)),0,IF(DATE($C658,9,15)&gt;=$X$644,$AA$644*(1+($U$644)/100)^MAX(0,$C658-$AD$644),IF(DATE($C658,9,15)&gt;=$W$644,$Z$644*(1+($U$644)/100)^MAX(0,$C658-$AC$644),IF(DATE($C658,9,15)&gt;=$V$644,$Y$644*(1+($U$644)/100)^MAX(0,$C658-$AB$644),0)))))</f>
      </c>
      <c r="N658" s="43">
        <f>IF($S$644=0,0,IF(OR(DATE($C658,10,15)&lt;$S$644,AND($T$644&gt;0,DATE($C658,10,15)&gt;$T$644)),0,IF(DATE($C658,10,15)&gt;=$X$644,$AA$644*(1+($U$644)/100)^MAX(0,$C658-$AD$644),IF(DATE($C658,10,15)&gt;=$W$644,$Z$644*(1+($U$644)/100)^MAX(0,$C658-$AC$644),IF(DATE($C658,10,15)&gt;=$V$644,$Y$644*(1+($U$644)/100)^MAX(0,$C658-$AB$644),0)))))</f>
      </c>
      <c r="O658" s="43">
        <f>IF($S$644=0,0,IF(OR(DATE($C658,11,15)&lt;$S$644,AND($T$644&gt;0,DATE($C658,11,15)&gt;$T$644)),0,IF(DATE($C658,11,15)&gt;=$X$644,$AA$644*(1+($U$644)/100)^MAX(0,$C658-$AD$644),IF(DATE($C658,11,15)&gt;=$W$644,$Z$644*(1+($U$644)/100)^MAX(0,$C658-$AC$644),IF(DATE($C658,11,15)&gt;=$V$644,$Y$644*(1+($U$644)/100)^MAX(0,$C658-$AB$644),0)))))</f>
      </c>
      <c r="P658" s="43">
        <f>IF($S$644=0,0,IF(OR(DATE($C658,12,15)&lt;$S$644,AND($T$644&gt;0,DATE($C658,12,15)&gt;$T$644)),0,IF(DATE($C658,12,15)&gt;=$X$644,$AA$644*(1+($U$644)/100)^MAX(0,$C658-$AD$644),IF(DATE($C658,12,15)&gt;=$W$644,$Z$644*(1+($U$644)/100)^MAX(0,$C658-$AC$644),IF(DATE($C658,12,15)&gt;=$V$644,$Y$644*(1+($U$644)/100)^MAX(0,$C658-$AB$644),0)))))</f>
      </c>
      <c r="Q658" s="43">
        <f>SUM($E658:$P658)</f>
      </c>
    </row>
    <row r="659">
      <c r="A659"/>
      <c r="B659">
        <v>21</v>
      </c>
      <c r="C659" s="43">
        <f>Jahr+15</f>
      </c>
      <c r="D659" s="43">
        <f>INDEX(MvObj,21)</f>
      </c>
      <c r="E659" s="43">
        <f>IF($S$644=0,0,IF(OR(DATE($C659,1,15)&lt;$S$644,AND($T$644&gt;0,DATE($C659,1,15)&gt;$T$644)),0,IF(DATE($C659,1,15)&gt;=$X$644,$AA$644*(1+($U$644)/100)^MAX(0,$C659-$AD$644),IF(DATE($C659,1,15)&gt;=$W$644,$Z$644*(1+($U$644)/100)^MAX(0,$C659-$AC$644),IF(DATE($C659,1,15)&gt;=$V$644,$Y$644*(1+($U$644)/100)^MAX(0,$C659-$AB$644),0)))))</f>
      </c>
      <c r="F659" s="43">
        <f>IF($S$644=0,0,IF(OR(DATE($C659,2,15)&lt;$S$644,AND($T$644&gt;0,DATE($C659,2,15)&gt;$T$644)),0,IF(DATE($C659,2,15)&gt;=$X$644,$AA$644*(1+($U$644)/100)^MAX(0,$C659-$AD$644),IF(DATE($C659,2,15)&gt;=$W$644,$Z$644*(1+($U$644)/100)^MAX(0,$C659-$AC$644),IF(DATE($C659,2,15)&gt;=$V$644,$Y$644*(1+($U$644)/100)^MAX(0,$C659-$AB$644),0)))))</f>
      </c>
      <c r="G659" s="43">
        <f>IF($S$644=0,0,IF(OR(DATE($C659,3,15)&lt;$S$644,AND($T$644&gt;0,DATE($C659,3,15)&gt;$T$644)),0,IF(DATE($C659,3,15)&gt;=$X$644,$AA$644*(1+($U$644)/100)^MAX(0,$C659-$AD$644),IF(DATE($C659,3,15)&gt;=$W$644,$Z$644*(1+($U$644)/100)^MAX(0,$C659-$AC$644),IF(DATE($C659,3,15)&gt;=$V$644,$Y$644*(1+($U$644)/100)^MAX(0,$C659-$AB$644),0)))))</f>
      </c>
      <c r="H659" s="43">
        <f>IF($S$644=0,0,IF(OR(DATE($C659,4,15)&lt;$S$644,AND($T$644&gt;0,DATE($C659,4,15)&gt;$T$644)),0,IF(DATE($C659,4,15)&gt;=$X$644,$AA$644*(1+($U$644)/100)^MAX(0,$C659-$AD$644),IF(DATE($C659,4,15)&gt;=$W$644,$Z$644*(1+($U$644)/100)^MAX(0,$C659-$AC$644),IF(DATE($C659,4,15)&gt;=$V$644,$Y$644*(1+($U$644)/100)^MAX(0,$C659-$AB$644),0)))))</f>
      </c>
      <c r="I659" s="43">
        <f>IF($S$644=0,0,IF(OR(DATE($C659,5,15)&lt;$S$644,AND($T$644&gt;0,DATE($C659,5,15)&gt;$T$644)),0,IF(DATE($C659,5,15)&gt;=$X$644,$AA$644*(1+($U$644)/100)^MAX(0,$C659-$AD$644),IF(DATE($C659,5,15)&gt;=$W$644,$Z$644*(1+($U$644)/100)^MAX(0,$C659-$AC$644),IF(DATE($C659,5,15)&gt;=$V$644,$Y$644*(1+($U$644)/100)^MAX(0,$C659-$AB$644),0)))))</f>
      </c>
      <c r="J659" s="43">
        <f>IF($S$644=0,0,IF(OR(DATE($C659,6,15)&lt;$S$644,AND($T$644&gt;0,DATE($C659,6,15)&gt;$T$644)),0,IF(DATE($C659,6,15)&gt;=$X$644,$AA$644*(1+($U$644)/100)^MAX(0,$C659-$AD$644),IF(DATE($C659,6,15)&gt;=$W$644,$Z$644*(1+($U$644)/100)^MAX(0,$C659-$AC$644),IF(DATE($C659,6,15)&gt;=$V$644,$Y$644*(1+($U$644)/100)^MAX(0,$C659-$AB$644),0)))))</f>
      </c>
      <c r="K659" s="43">
        <f>IF($S$644=0,0,IF(OR(DATE($C659,7,15)&lt;$S$644,AND($T$644&gt;0,DATE($C659,7,15)&gt;$T$644)),0,IF(DATE($C659,7,15)&gt;=$X$644,$AA$644*(1+($U$644)/100)^MAX(0,$C659-$AD$644),IF(DATE($C659,7,15)&gt;=$W$644,$Z$644*(1+($U$644)/100)^MAX(0,$C659-$AC$644),IF(DATE($C659,7,15)&gt;=$V$644,$Y$644*(1+($U$644)/100)^MAX(0,$C659-$AB$644),0)))))</f>
      </c>
      <c r="L659" s="43">
        <f>IF($S$644=0,0,IF(OR(DATE($C659,8,15)&lt;$S$644,AND($T$644&gt;0,DATE($C659,8,15)&gt;$T$644)),0,IF(DATE($C659,8,15)&gt;=$X$644,$AA$644*(1+($U$644)/100)^MAX(0,$C659-$AD$644),IF(DATE($C659,8,15)&gt;=$W$644,$Z$644*(1+($U$644)/100)^MAX(0,$C659-$AC$644),IF(DATE($C659,8,15)&gt;=$V$644,$Y$644*(1+($U$644)/100)^MAX(0,$C659-$AB$644),0)))))</f>
      </c>
      <c r="M659" s="43">
        <f>IF($S$644=0,0,IF(OR(DATE($C659,9,15)&lt;$S$644,AND($T$644&gt;0,DATE($C659,9,15)&gt;$T$644)),0,IF(DATE($C659,9,15)&gt;=$X$644,$AA$644*(1+($U$644)/100)^MAX(0,$C659-$AD$644),IF(DATE($C659,9,15)&gt;=$W$644,$Z$644*(1+($U$644)/100)^MAX(0,$C659-$AC$644),IF(DATE($C659,9,15)&gt;=$V$644,$Y$644*(1+($U$644)/100)^MAX(0,$C659-$AB$644),0)))))</f>
      </c>
      <c r="N659" s="43">
        <f>IF($S$644=0,0,IF(OR(DATE($C659,10,15)&lt;$S$644,AND($T$644&gt;0,DATE($C659,10,15)&gt;$T$644)),0,IF(DATE($C659,10,15)&gt;=$X$644,$AA$644*(1+($U$644)/100)^MAX(0,$C659-$AD$644),IF(DATE($C659,10,15)&gt;=$W$644,$Z$644*(1+($U$644)/100)^MAX(0,$C659-$AC$644),IF(DATE($C659,10,15)&gt;=$V$644,$Y$644*(1+($U$644)/100)^MAX(0,$C659-$AB$644),0)))))</f>
      </c>
      <c r="O659" s="43">
        <f>IF($S$644=0,0,IF(OR(DATE($C659,11,15)&lt;$S$644,AND($T$644&gt;0,DATE($C659,11,15)&gt;$T$644)),0,IF(DATE($C659,11,15)&gt;=$X$644,$AA$644*(1+($U$644)/100)^MAX(0,$C659-$AD$644),IF(DATE($C659,11,15)&gt;=$W$644,$Z$644*(1+($U$644)/100)^MAX(0,$C659-$AC$644),IF(DATE($C659,11,15)&gt;=$V$644,$Y$644*(1+($U$644)/100)^MAX(0,$C659-$AB$644),0)))))</f>
      </c>
      <c r="P659" s="43">
        <f>IF($S$644=0,0,IF(OR(DATE($C659,12,15)&lt;$S$644,AND($T$644&gt;0,DATE($C659,12,15)&gt;$T$644)),0,IF(DATE($C659,12,15)&gt;=$X$644,$AA$644*(1+($U$644)/100)^MAX(0,$C659-$AD$644),IF(DATE($C659,12,15)&gt;=$W$644,$Z$644*(1+($U$644)/100)^MAX(0,$C659-$AC$644),IF(DATE($C659,12,15)&gt;=$V$644,$Y$644*(1+($U$644)/100)^MAX(0,$C659-$AB$644),0)))))</f>
      </c>
      <c r="Q659" s="43">
        <f>SUM($E659:$P659)</f>
      </c>
    </row>
    <row r="660">
      <c r="A660"/>
      <c r="B660">
        <v>21</v>
      </c>
      <c r="C660" s="43">
        <f>Jahr+16</f>
      </c>
      <c r="D660" s="43">
        <f>INDEX(MvObj,21)</f>
      </c>
      <c r="E660" s="43">
        <f>IF($S$644=0,0,IF(OR(DATE($C660,1,15)&lt;$S$644,AND($T$644&gt;0,DATE($C660,1,15)&gt;$T$644)),0,IF(DATE($C660,1,15)&gt;=$X$644,$AA$644*(1+($U$644)/100)^MAX(0,$C660-$AD$644),IF(DATE($C660,1,15)&gt;=$W$644,$Z$644*(1+($U$644)/100)^MAX(0,$C660-$AC$644),IF(DATE($C660,1,15)&gt;=$V$644,$Y$644*(1+($U$644)/100)^MAX(0,$C660-$AB$644),0)))))</f>
      </c>
      <c r="F660" s="43">
        <f>IF($S$644=0,0,IF(OR(DATE($C660,2,15)&lt;$S$644,AND($T$644&gt;0,DATE($C660,2,15)&gt;$T$644)),0,IF(DATE($C660,2,15)&gt;=$X$644,$AA$644*(1+($U$644)/100)^MAX(0,$C660-$AD$644),IF(DATE($C660,2,15)&gt;=$W$644,$Z$644*(1+($U$644)/100)^MAX(0,$C660-$AC$644),IF(DATE($C660,2,15)&gt;=$V$644,$Y$644*(1+($U$644)/100)^MAX(0,$C660-$AB$644),0)))))</f>
      </c>
      <c r="G660" s="43">
        <f>IF($S$644=0,0,IF(OR(DATE($C660,3,15)&lt;$S$644,AND($T$644&gt;0,DATE($C660,3,15)&gt;$T$644)),0,IF(DATE($C660,3,15)&gt;=$X$644,$AA$644*(1+($U$644)/100)^MAX(0,$C660-$AD$644),IF(DATE($C660,3,15)&gt;=$W$644,$Z$644*(1+($U$644)/100)^MAX(0,$C660-$AC$644),IF(DATE($C660,3,15)&gt;=$V$644,$Y$644*(1+($U$644)/100)^MAX(0,$C660-$AB$644),0)))))</f>
      </c>
      <c r="H660" s="43">
        <f>IF($S$644=0,0,IF(OR(DATE($C660,4,15)&lt;$S$644,AND($T$644&gt;0,DATE($C660,4,15)&gt;$T$644)),0,IF(DATE($C660,4,15)&gt;=$X$644,$AA$644*(1+($U$644)/100)^MAX(0,$C660-$AD$644),IF(DATE($C660,4,15)&gt;=$W$644,$Z$644*(1+($U$644)/100)^MAX(0,$C660-$AC$644),IF(DATE($C660,4,15)&gt;=$V$644,$Y$644*(1+($U$644)/100)^MAX(0,$C660-$AB$644),0)))))</f>
      </c>
      <c r="I660" s="43">
        <f>IF($S$644=0,0,IF(OR(DATE($C660,5,15)&lt;$S$644,AND($T$644&gt;0,DATE($C660,5,15)&gt;$T$644)),0,IF(DATE($C660,5,15)&gt;=$X$644,$AA$644*(1+($U$644)/100)^MAX(0,$C660-$AD$644),IF(DATE($C660,5,15)&gt;=$W$644,$Z$644*(1+($U$644)/100)^MAX(0,$C660-$AC$644),IF(DATE($C660,5,15)&gt;=$V$644,$Y$644*(1+($U$644)/100)^MAX(0,$C660-$AB$644),0)))))</f>
      </c>
      <c r="J660" s="43">
        <f>IF($S$644=0,0,IF(OR(DATE($C660,6,15)&lt;$S$644,AND($T$644&gt;0,DATE($C660,6,15)&gt;$T$644)),0,IF(DATE($C660,6,15)&gt;=$X$644,$AA$644*(1+($U$644)/100)^MAX(0,$C660-$AD$644),IF(DATE($C660,6,15)&gt;=$W$644,$Z$644*(1+($U$644)/100)^MAX(0,$C660-$AC$644),IF(DATE($C660,6,15)&gt;=$V$644,$Y$644*(1+($U$644)/100)^MAX(0,$C660-$AB$644),0)))))</f>
      </c>
      <c r="K660" s="43">
        <f>IF($S$644=0,0,IF(OR(DATE($C660,7,15)&lt;$S$644,AND($T$644&gt;0,DATE($C660,7,15)&gt;$T$644)),0,IF(DATE($C660,7,15)&gt;=$X$644,$AA$644*(1+($U$644)/100)^MAX(0,$C660-$AD$644),IF(DATE($C660,7,15)&gt;=$W$644,$Z$644*(1+($U$644)/100)^MAX(0,$C660-$AC$644),IF(DATE($C660,7,15)&gt;=$V$644,$Y$644*(1+($U$644)/100)^MAX(0,$C660-$AB$644),0)))))</f>
      </c>
      <c r="L660" s="43">
        <f>IF($S$644=0,0,IF(OR(DATE($C660,8,15)&lt;$S$644,AND($T$644&gt;0,DATE($C660,8,15)&gt;$T$644)),0,IF(DATE($C660,8,15)&gt;=$X$644,$AA$644*(1+($U$644)/100)^MAX(0,$C660-$AD$644),IF(DATE($C660,8,15)&gt;=$W$644,$Z$644*(1+($U$644)/100)^MAX(0,$C660-$AC$644),IF(DATE($C660,8,15)&gt;=$V$644,$Y$644*(1+($U$644)/100)^MAX(0,$C660-$AB$644),0)))))</f>
      </c>
      <c r="M660" s="43">
        <f>IF($S$644=0,0,IF(OR(DATE($C660,9,15)&lt;$S$644,AND($T$644&gt;0,DATE($C660,9,15)&gt;$T$644)),0,IF(DATE($C660,9,15)&gt;=$X$644,$AA$644*(1+($U$644)/100)^MAX(0,$C660-$AD$644),IF(DATE($C660,9,15)&gt;=$W$644,$Z$644*(1+($U$644)/100)^MAX(0,$C660-$AC$644),IF(DATE($C660,9,15)&gt;=$V$644,$Y$644*(1+($U$644)/100)^MAX(0,$C660-$AB$644),0)))))</f>
      </c>
      <c r="N660" s="43">
        <f>IF($S$644=0,0,IF(OR(DATE($C660,10,15)&lt;$S$644,AND($T$644&gt;0,DATE($C660,10,15)&gt;$T$644)),0,IF(DATE($C660,10,15)&gt;=$X$644,$AA$644*(1+($U$644)/100)^MAX(0,$C660-$AD$644),IF(DATE($C660,10,15)&gt;=$W$644,$Z$644*(1+($U$644)/100)^MAX(0,$C660-$AC$644),IF(DATE($C660,10,15)&gt;=$V$644,$Y$644*(1+($U$644)/100)^MAX(0,$C660-$AB$644),0)))))</f>
      </c>
      <c r="O660" s="43">
        <f>IF($S$644=0,0,IF(OR(DATE($C660,11,15)&lt;$S$644,AND($T$644&gt;0,DATE($C660,11,15)&gt;$T$644)),0,IF(DATE($C660,11,15)&gt;=$X$644,$AA$644*(1+($U$644)/100)^MAX(0,$C660-$AD$644),IF(DATE($C660,11,15)&gt;=$W$644,$Z$644*(1+($U$644)/100)^MAX(0,$C660-$AC$644),IF(DATE($C660,11,15)&gt;=$V$644,$Y$644*(1+($U$644)/100)^MAX(0,$C660-$AB$644),0)))))</f>
      </c>
      <c r="P660" s="43">
        <f>IF($S$644=0,0,IF(OR(DATE($C660,12,15)&lt;$S$644,AND($T$644&gt;0,DATE($C660,12,15)&gt;$T$644)),0,IF(DATE($C660,12,15)&gt;=$X$644,$AA$644*(1+($U$644)/100)^MAX(0,$C660-$AD$644),IF(DATE($C660,12,15)&gt;=$W$644,$Z$644*(1+($U$644)/100)^MAX(0,$C660-$AC$644),IF(DATE($C660,12,15)&gt;=$V$644,$Y$644*(1+($U$644)/100)^MAX(0,$C660-$AB$644),0)))))</f>
      </c>
      <c r="Q660" s="43">
        <f>SUM($E660:$P660)</f>
      </c>
    </row>
    <row r="661">
      <c r="A661"/>
      <c r="B661">
        <v>21</v>
      </c>
      <c r="C661" s="43">
        <f>Jahr+17</f>
      </c>
      <c r="D661" s="43">
        <f>INDEX(MvObj,21)</f>
      </c>
      <c r="E661" s="43">
        <f>IF($S$644=0,0,IF(OR(DATE($C661,1,15)&lt;$S$644,AND($T$644&gt;0,DATE($C661,1,15)&gt;$T$644)),0,IF(DATE($C661,1,15)&gt;=$X$644,$AA$644*(1+($U$644)/100)^MAX(0,$C661-$AD$644),IF(DATE($C661,1,15)&gt;=$W$644,$Z$644*(1+($U$644)/100)^MAX(0,$C661-$AC$644),IF(DATE($C661,1,15)&gt;=$V$644,$Y$644*(1+($U$644)/100)^MAX(0,$C661-$AB$644),0)))))</f>
      </c>
      <c r="F661" s="43">
        <f>IF($S$644=0,0,IF(OR(DATE($C661,2,15)&lt;$S$644,AND($T$644&gt;0,DATE($C661,2,15)&gt;$T$644)),0,IF(DATE($C661,2,15)&gt;=$X$644,$AA$644*(1+($U$644)/100)^MAX(0,$C661-$AD$644),IF(DATE($C661,2,15)&gt;=$W$644,$Z$644*(1+($U$644)/100)^MAX(0,$C661-$AC$644),IF(DATE($C661,2,15)&gt;=$V$644,$Y$644*(1+($U$644)/100)^MAX(0,$C661-$AB$644),0)))))</f>
      </c>
      <c r="G661" s="43">
        <f>IF($S$644=0,0,IF(OR(DATE($C661,3,15)&lt;$S$644,AND($T$644&gt;0,DATE($C661,3,15)&gt;$T$644)),0,IF(DATE($C661,3,15)&gt;=$X$644,$AA$644*(1+($U$644)/100)^MAX(0,$C661-$AD$644),IF(DATE($C661,3,15)&gt;=$W$644,$Z$644*(1+($U$644)/100)^MAX(0,$C661-$AC$644),IF(DATE($C661,3,15)&gt;=$V$644,$Y$644*(1+($U$644)/100)^MAX(0,$C661-$AB$644),0)))))</f>
      </c>
      <c r="H661" s="43">
        <f>IF($S$644=0,0,IF(OR(DATE($C661,4,15)&lt;$S$644,AND($T$644&gt;0,DATE($C661,4,15)&gt;$T$644)),0,IF(DATE($C661,4,15)&gt;=$X$644,$AA$644*(1+($U$644)/100)^MAX(0,$C661-$AD$644),IF(DATE($C661,4,15)&gt;=$W$644,$Z$644*(1+($U$644)/100)^MAX(0,$C661-$AC$644),IF(DATE($C661,4,15)&gt;=$V$644,$Y$644*(1+($U$644)/100)^MAX(0,$C661-$AB$644),0)))))</f>
      </c>
      <c r="I661" s="43">
        <f>IF($S$644=0,0,IF(OR(DATE($C661,5,15)&lt;$S$644,AND($T$644&gt;0,DATE($C661,5,15)&gt;$T$644)),0,IF(DATE($C661,5,15)&gt;=$X$644,$AA$644*(1+($U$644)/100)^MAX(0,$C661-$AD$644),IF(DATE($C661,5,15)&gt;=$W$644,$Z$644*(1+($U$644)/100)^MAX(0,$C661-$AC$644),IF(DATE($C661,5,15)&gt;=$V$644,$Y$644*(1+($U$644)/100)^MAX(0,$C661-$AB$644),0)))))</f>
      </c>
      <c r="J661" s="43">
        <f>IF($S$644=0,0,IF(OR(DATE($C661,6,15)&lt;$S$644,AND($T$644&gt;0,DATE($C661,6,15)&gt;$T$644)),0,IF(DATE($C661,6,15)&gt;=$X$644,$AA$644*(1+($U$644)/100)^MAX(0,$C661-$AD$644),IF(DATE($C661,6,15)&gt;=$W$644,$Z$644*(1+($U$644)/100)^MAX(0,$C661-$AC$644),IF(DATE($C661,6,15)&gt;=$V$644,$Y$644*(1+($U$644)/100)^MAX(0,$C661-$AB$644),0)))))</f>
      </c>
      <c r="K661" s="43">
        <f>IF($S$644=0,0,IF(OR(DATE($C661,7,15)&lt;$S$644,AND($T$644&gt;0,DATE($C661,7,15)&gt;$T$644)),0,IF(DATE($C661,7,15)&gt;=$X$644,$AA$644*(1+($U$644)/100)^MAX(0,$C661-$AD$644),IF(DATE($C661,7,15)&gt;=$W$644,$Z$644*(1+($U$644)/100)^MAX(0,$C661-$AC$644),IF(DATE($C661,7,15)&gt;=$V$644,$Y$644*(1+($U$644)/100)^MAX(0,$C661-$AB$644),0)))))</f>
      </c>
      <c r="L661" s="43">
        <f>IF($S$644=0,0,IF(OR(DATE($C661,8,15)&lt;$S$644,AND($T$644&gt;0,DATE($C661,8,15)&gt;$T$644)),0,IF(DATE($C661,8,15)&gt;=$X$644,$AA$644*(1+($U$644)/100)^MAX(0,$C661-$AD$644),IF(DATE($C661,8,15)&gt;=$W$644,$Z$644*(1+($U$644)/100)^MAX(0,$C661-$AC$644),IF(DATE($C661,8,15)&gt;=$V$644,$Y$644*(1+($U$644)/100)^MAX(0,$C661-$AB$644),0)))))</f>
      </c>
      <c r="M661" s="43">
        <f>IF($S$644=0,0,IF(OR(DATE($C661,9,15)&lt;$S$644,AND($T$644&gt;0,DATE($C661,9,15)&gt;$T$644)),0,IF(DATE($C661,9,15)&gt;=$X$644,$AA$644*(1+($U$644)/100)^MAX(0,$C661-$AD$644),IF(DATE($C661,9,15)&gt;=$W$644,$Z$644*(1+($U$644)/100)^MAX(0,$C661-$AC$644),IF(DATE($C661,9,15)&gt;=$V$644,$Y$644*(1+($U$644)/100)^MAX(0,$C661-$AB$644),0)))))</f>
      </c>
      <c r="N661" s="43">
        <f>IF($S$644=0,0,IF(OR(DATE($C661,10,15)&lt;$S$644,AND($T$644&gt;0,DATE($C661,10,15)&gt;$T$644)),0,IF(DATE($C661,10,15)&gt;=$X$644,$AA$644*(1+($U$644)/100)^MAX(0,$C661-$AD$644),IF(DATE($C661,10,15)&gt;=$W$644,$Z$644*(1+($U$644)/100)^MAX(0,$C661-$AC$644),IF(DATE($C661,10,15)&gt;=$V$644,$Y$644*(1+($U$644)/100)^MAX(0,$C661-$AB$644),0)))))</f>
      </c>
      <c r="O661" s="43">
        <f>IF($S$644=0,0,IF(OR(DATE($C661,11,15)&lt;$S$644,AND($T$644&gt;0,DATE($C661,11,15)&gt;$T$644)),0,IF(DATE($C661,11,15)&gt;=$X$644,$AA$644*(1+($U$644)/100)^MAX(0,$C661-$AD$644),IF(DATE($C661,11,15)&gt;=$W$644,$Z$644*(1+($U$644)/100)^MAX(0,$C661-$AC$644),IF(DATE($C661,11,15)&gt;=$V$644,$Y$644*(1+($U$644)/100)^MAX(0,$C661-$AB$644),0)))))</f>
      </c>
      <c r="P661" s="43">
        <f>IF($S$644=0,0,IF(OR(DATE($C661,12,15)&lt;$S$644,AND($T$644&gt;0,DATE($C661,12,15)&gt;$T$644)),0,IF(DATE($C661,12,15)&gt;=$X$644,$AA$644*(1+($U$644)/100)^MAX(0,$C661-$AD$644),IF(DATE($C661,12,15)&gt;=$W$644,$Z$644*(1+($U$644)/100)^MAX(0,$C661-$AC$644),IF(DATE($C661,12,15)&gt;=$V$644,$Y$644*(1+($U$644)/100)^MAX(0,$C661-$AB$644),0)))))</f>
      </c>
      <c r="Q661" s="43">
        <f>SUM($E661:$P661)</f>
      </c>
    </row>
    <row r="662">
      <c r="A662"/>
      <c r="B662">
        <v>21</v>
      </c>
      <c r="C662" s="43">
        <f>Jahr+18</f>
      </c>
      <c r="D662" s="43">
        <f>INDEX(MvObj,21)</f>
      </c>
      <c r="E662" s="43">
        <f>IF($S$644=0,0,IF(OR(DATE($C662,1,15)&lt;$S$644,AND($T$644&gt;0,DATE($C662,1,15)&gt;$T$644)),0,IF(DATE($C662,1,15)&gt;=$X$644,$AA$644*(1+($U$644)/100)^MAX(0,$C662-$AD$644),IF(DATE($C662,1,15)&gt;=$W$644,$Z$644*(1+($U$644)/100)^MAX(0,$C662-$AC$644),IF(DATE($C662,1,15)&gt;=$V$644,$Y$644*(1+($U$644)/100)^MAX(0,$C662-$AB$644),0)))))</f>
      </c>
      <c r="F662" s="43">
        <f>IF($S$644=0,0,IF(OR(DATE($C662,2,15)&lt;$S$644,AND($T$644&gt;0,DATE($C662,2,15)&gt;$T$644)),0,IF(DATE($C662,2,15)&gt;=$X$644,$AA$644*(1+($U$644)/100)^MAX(0,$C662-$AD$644),IF(DATE($C662,2,15)&gt;=$W$644,$Z$644*(1+($U$644)/100)^MAX(0,$C662-$AC$644),IF(DATE($C662,2,15)&gt;=$V$644,$Y$644*(1+($U$644)/100)^MAX(0,$C662-$AB$644),0)))))</f>
      </c>
      <c r="G662" s="43">
        <f>IF($S$644=0,0,IF(OR(DATE($C662,3,15)&lt;$S$644,AND($T$644&gt;0,DATE($C662,3,15)&gt;$T$644)),0,IF(DATE($C662,3,15)&gt;=$X$644,$AA$644*(1+($U$644)/100)^MAX(0,$C662-$AD$644),IF(DATE($C662,3,15)&gt;=$W$644,$Z$644*(1+($U$644)/100)^MAX(0,$C662-$AC$644),IF(DATE($C662,3,15)&gt;=$V$644,$Y$644*(1+($U$644)/100)^MAX(0,$C662-$AB$644),0)))))</f>
      </c>
      <c r="H662" s="43">
        <f>IF($S$644=0,0,IF(OR(DATE($C662,4,15)&lt;$S$644,AND($T$644&gt;0,DATE($C662,4,15)&gt;$T$644)),0,IF(DATE($C662,4,15)&gt;=$X$644,$AA$644*(1+($U$644)/100)^MAX(0,$C662-$AD$644),IF(DATE($C662,4,15)&gt;=$W$644,$Z$644*(1+($U$644)/100)^MAX(0,$C662-$AC$644),IF(DATE($C662,4,15)&gt;=$V$644,$Y$644*(1+($U$644)/100)^MAX(0,$C662-$AB$644),0)))))</f>
      </c>
      <c r="I662" s="43">
        <f>IF($S$644=0,0,IF(OR(DATE($C662,5,15)&lt;$S$644,AND($T$644&gt;0,DATE($C662,5,15)&gt;$T$644)),0,IF(DATE($C662,5,15)&gt;=$X$644,$AA$644*(1+($U$644)/100)^MAX(0,$C662-$AD$644),IF(DATE($C662,5,15)&gt;=$W$644,$Z$644*(1+($U$644)/100)^MAX(0,$C662-$AC$644),IF(DATE($C662,5,15)&gt;=$V$644,$Y$644*(1+($U$644)/100)^MAX(0,$C662-$AB$644),0)))))</f>
      </c>
      <c r="J662" s="43">
        <f>IF($S$644=0,0,IF(OR(DATE($C662,6,15)&lt;$S$644,AND($T$644&gt;0,DATE($C662,6,15)&gt;$T$644)),0,IF(DATE($C662,6,15)&gt;=$X$644,$AA$644*(1+($U$644)/100)^MAX(0,$C662-$AD$644),IF(DATE($C662,6,15)&gt;=$W$644,$Z$644*(1+($U$644)/100)^MAX(0,$C662-$AC$644),IF(DATE($C662,6,15)&gt;=$V$644,$Y$644*(1+($U$644)/100)^MAX(0,$C662-$AB$644),0)))))</f>
      </c>
      <c r="K662" s="43">
        <f>IF($S$644=0,0,IF(OR(DATE($C662,7,15)&lt;$S$644,AND($T$644&gt;0,DATE($C662,7,15)&gt;$T$644)),0,IF(DATE($C662,7,15)&gt;=$X$644,$AA$644*(1+($U$644)/100)^MAX(0,$C662-$AD$644),IF(DATE($C662,7,15)&gt;=$W$644,$Z$644*(1+($U$644)/100)^MAX(0,$C662-$AC$644),IF(DATE($C662,7,15)&gt;=$V$644,$Y$644*(1+($U$644)/100)^MAX(0,$C662-$AB$644),0)))))</f>
      </c>
      <c r="L662" s="43">
        <f>IF($S$644=0,0,IF(OR(DATE($C662,8,15)&lt;$S$644,AND($T$644&gt;0,DATE($C662,8,15)&gt;$T$644)),0,IF(DATE($C662,8,15)&gt;=$X$644,$AA$644*(1+($U$644)/100)^MAX(0,$C662-$AD$644),IF(DATE($C662,8,15)&gt;=$W$644,$Z$644*(1+($U$644)/100)^MAX(0,$C662-$AC$644),IF(DATE($C662,8,15)&gt;=$V$644,$Y$644*(1+($U$644)/100)^MAX(0,$C662-$AB$644),0)))))</f>
      </c>
      <c r="M662" s="43">
        <f>IF($S$644=0,0,IF(OR(DATE($C662,9,15)&lt;$S$644,AND($T$644&gt;0,DATE($C662,9,15)&gt;$T$644)),0,IF(DATE($C662,9,15)&gt;=$X$644,$AA$644*(1+($U$644)/100)^MAX(0,$C662-$AD$644),IF(DATE($C662,9,15)&gt;=$W$644,$Z$644*(1+($U$644)/100)^MAX(0,$C662-$AC$644),IF(DATE($C662,9,15)&gt;=$V$644,$Y$644*(1+($U$644)/100)^MAX(0,$C662-$AB$644),0)))))</f>
      </c>
      <c r="N662" s="43">
        <f>IF($S$644=0,0,IF(OR(DATE($C662,10,15)&lt;$S$644,AND($T$644&gt;0,DATE($C662,10,15)&gt;$T$644)),0,IF(DATE($C662,10,15)&gt;=$X$644,$AA$644*(1+($U$644)/100)^MAX(0,$C662-$AD$644),IF(DATE($C662,10,15)&gt;=$W$644,$Z$644*(1+($U$644)/100)^MAX(0,$C662-$AC$644),IF(DATE($C662,10,15)&gt;=$V$644,$Y$644*(1+($U$644)/100)^MAX(0,$C662-$AB$644),0)))))</f>
      </c>
      <c r="O662" s="43">
        <f>IF($S$644=0,0,IF(OR(DATE($C662,11,15)&lt;$S$644,AND($T$644&gt;0,DATE($C662,11,15)&gt;$T$644)),0,IF(DATE($C662,11,15)&gt;=$X$644,$AA$644*(1+($U$644)/100)^MAX(0,$C662-$AD$644),IF(DATE($C662,11,15)&gt;=$W$644,$Z$644*(1+($U$644)/100)^MAX(0,$C662-$AC$644),IF(DATE($C662,11,15)&gt;=$V$644,$Y$644*(1+($U$644)/100)^MAX(0,$C662-$AB$644),0)))))</f>
      </c>
      <c r="P662" s="43">
        <f>IF($S$644=0,0,IF(OR(DATE($C662,12,15)&lt;$S$644,AND($T$644&gt;0,DATE($C662,12,15)&gt;$T$644)),0,IF(DATE($C662,12,15)&gt;=$X$644,$AA$644*(1+($U$644)/100)^MAX(0,$C662-$AD$644),IF(DATE($C662,12,15)&gt;=$W$644,$Z$644*(1+($U$644)/100)^MAX(0,$C662-$AC$644),IF(DATE($C662,12,15)&gt;=$V$644,$Y$644*(1+($U$644)/100)^MAX(0,$C662-$AB$644),0)))))</f>
      </c>
      <c r="Q662" s="43">
        <f>SUM($E662:$P662)</f>
      </c>
    </row>
    <row r="663">
      <c r="A663"/>
      <c r="B663">
        <v>21</v>
      </c>
      <c r="C663" s="43">
        <f>Jahr+19</f>
      </c>
      <c r="D663" s="43">
        <f>INDEX(MvObj,21)</f>
      </c>
      <c r="E663" s="43">
        <f>IF($S$644=0,0,IF(OR(DATE($C663,1,15)&lt;$S$644,AND($T$644&gt;0,DATE($C663,1,15)&gt;$T$644)),0,IF(DATE($C663,1,15)&gt;=$X$644,$AA$644*(1+($U$644)/100)^MAX(0,$C663-$AD$644),IF(DATE($C663,1,15)&gt;=$W$644,$Z$644*(1+($U$644)/100)^MAX(0,$C663-$AC$644),IF(DATE($C663,1,15)&gt;=$V$644,$Y$644*(1+($U$644)/100)^MAX(0,$C663-$AB$644),0)))))</f>
      </c>
      <c r="F663" s="43">
        <f>IF($S$644=0,0,IF(OR(DATE($C663,2,15)&lt;$S$644,AND($T$644&gt;0,DATE($C663,2,15)&gt;$T$644)),0,IF(DATE($C663,2,15)&gt;=$X$644,$AA$644*(1+($U$644)/100)^MAX(0,$C663-$AD$644),IF(DATE($C663,2,15)&gt;=$W$644,$Z$644*(1+($U$644)/100)^MAX(0,$C663-$AC$644),IF(DATE($C663,2,15)&gt;=$V$644,$Y$644*(1+($U$644)/100)^MAX(0,$C663-$AB$644),0)))))</f>
      </c>
      <c r="G663" s="43">
        <f>IF($S$644=0,0,IF(OR(DATE($C663,3,15)&lt;$S$644,AND($T$644&gt;0,DATE($C663,3,15)&gt;$T$644)),0,IF(DATE($C663,3,15)&gt;=$X$644,$AA$644*(1+($U$644)/100)^MAX(0,$C663-$AD$644),IF(DATE($C663,3,15)&gt;=$W$644,$Z$644*(1+($U$644)/100)^MAX(0,$C663-$AC$644),IF(DATE($C663,3,15)&gt;=$V$644,$Y$644*(1+($U$644)/100)^MAX(0,$C663-$AB$644),0)))))</f>
      </c>
      <c r="H663" s="43">
        <f>IF($S$644=0,0,IF(OR(DATE($C663,4,15)&lt;$S$644,AND($T$644&gt;0,DATE($C663,4,15)&gt;$T$644)),0,IF(DATE($C663,4,15)&gt;=$X$644,$AA$644*(1+($U$644)/100)^MAX(0,$C663-$AD$644),IF(DATE($C663,4,15)&gt;=$W$644,$Z$644*(1+($U$644)/100)^MAX(0,$C663-$AC$644),IF(DATE($C663,4,15)&gt;=$V$644,$Y$644*(1+($U$644)/100)^MAX(0,$C663-$AB$644),0)))))</f>
      </c>
      <c r="I663" s="43">
        <f>IF($S$644=0,0,IF(OR(DATE($C663,5,15)&lt;$S$644,AND($T$644&gt;0,DATE($C663,5,15)&gt;$T$644)),0,IF(DATE($C663,5,15)&gt;=$X$644,$AA$644*(1+($U$644)/100)^MAX(0,$C663-$AD$644),IF(DATE($C663,5,15)&gt;=$W$644,$Z$644*(1+($U$644)/100)^MAX(0,$C663-$AC$644),IF(DATE($C663,5,15)&gt;=$V$644,$Y$644*(1+($U$644)/100)^MAX(0,$C663-$AB$644),0)))))</f>
      </c>
      <c r="J663" s="43">
        <f>IF($S$644=0,0,IF(OR(DATE($C663,6,15)&lt;$S$644,AND($T$644&gt;0,DATE($C663,6,15)&gt;$T$644)),0,IF(DATE($C663,6,15)&gt;=$X$644,$AA$644*(1+($U$644)/100)^MAX(0,$C663-$AD$644),IF(DATE($C663,6,15)&gt;=$W$644,$Z$644*(1+($U$644)/100)^MAX(0,$C663-$AC$644),IF(DATE($C663,6,15)&gt;=$V$644,$Y$644*(1+($U$644)/100)^MAX(0,$C663-$AB$644),0)))))</f>
      </c>
      <c r="K663" s="43">
        <f>IF($S$644=0,0,IF(OR(DATE($C663,7,15)&lt;$S$644,AND($T$644&gt;0,DATE($C663,7,15)&gt;$T$644)),0,IF(DATE($C663,7,15)&gt;=$X$644,$AA$644*(1+($U$644)/100)^MAX(0,$C663-$AD$644),IF(DATE($C663,7,15)&gt;=$W$644,$Z$644*(1+($U$644)/100)^MAX(0,$C663-$AC$644),IF(DATE($C663,7,15)&gt;=$V$644,$Y$644*(1+($U$644)/100)^MAX(0,$C663-$AB$644),0)))))</f>
      </c>
      <c r="L663" s="43">
        <f>IF($S$644=0,0,IF(OR(DATE($C663,8,15)&lt;$S$644,AND($T$644&gt;0,DATE($C663,8,15)&gt;$T$644)),0,IF(DATE($C663,8,15)&gt;=$X$644,$AA$644*(1+($U$644)/100)^MAX(0,$C663-$AD$644),IF(DATE($C663,8,15)&gt;=$W$644,$Z$644*(1+($U$644)/100)^MAX(0,$C663-$AC$644),IF(DATE($C663,8,15)&gt;=$V$644,$Y$644*(1+($U$644)/100)^MAX(0,$C663-$AB$644),0)))))</f>
      </c>
      <c r="M663" s="43">
        <f>IF($S$644=0,0,IF(OR(DATE($C663,9,15)&lt;$S$644,AND($T$644&gt;0,DATE($C663,9,15)&gt;$T$644)),0,IF(DATE($C663,9,15)&gt;=$X$644,$AA$644*(1+($U$644)/100)^MAX(0,$C663-$AD$644),IF(DATE($C663,9,15)&gt;=$W$644,$Z$644*(1+($U$644)/100)^MAX(0,$C663-$AC$644),IF(DATE($C663,9,15)&gt;=$V$644,$Y$644*(1+($U$644)/100)^MAX(0,$C663-$AB$644),0)))))</f>
      </c>
      <c r="N663" s="43">
        <f>IF($S$644=0,0,IF(OR(DATE($C663,10,15)&lt;$S$644,AND($T$644&gt;0,DATE($C663,10,15)&gt;$T$644)),0,IF(DATE($C663,10,15)&gt;=$X$644,$AA$644*(1+($U$644)/100)^MAX(0,$C663-$AD$644),IF(DATE($C663,10,15)&gt;=$W$644,$Z$644*(1+($U$644)/100)^MAX(0,$C663-$AC$644),IF(DATE($C663,10,15)&gt;=$V$644,$Y$644*(1+($U$644)/100)^MAX(0,$C663-$AB$644),0)))))</f>
      </c>
      <c r="O663" s="43">
        <f>IF($S$644=0,0,IF(OR(DATE($C663,11,15)&lt;$S$644,AND($T$644&gt;0,DATE($C663,11,15)&gt;$T$644)),0,IF(DATE($C663,11,15)&gt;=$X$644,$AA$644*(1+($U$644)/100)^MAX(0,$C663-$AD$644),IF(DATE($C663,11,15)&gt;=$W$644,$Z$644*(1+($U$644)/100)^MAX(0,$C663-$AC$644),IF(DATE($C663,11,15)&gt;=$V$644,$Y$644*(1+($U$644)/100)^MAX(0,$C663-$AB$644),0)))))</f>
      </c>
      <c r="P663" s="43">
        <f>IF($S$644=0,0,IF(OR(DATE($C663,12,15)&lt;$S$644,AND($T$644&gt;0,DATE($C663,12,15)&gt;$T$644)),0,IF(DATE($C663,12,15)&gt;=$X$644,$AA$644*(1+($U$644)/100)^MAX(0,$C663-$AD$644),IF(DATE($C663,12,15)&gt;=$W$644,$Z$644*(1+($U$644)/100)^MAX(0,$C663-$AC$644),IF(DATE($C663,12,15)&gt;=$V$644,$Y$644*(1+($U$644)/100)^MAX(0,$C663-$AB$644),0)))))</f>
      </c>
      <c r="Q663" s="43">
        <f>SUM($E663:$P663)</f>
      </c>
    </row>
    <row r="664">
      <c r="A664"/>
      <c r="B664">
        <v>21</v>
      </c>
      <c r="C664" s="43">
        <f>Jahr+20</f>
      </c>
      <c r="D664" s="43">
        <f>INDEX(MvObj,21)</f>
      </c>
      <c r="E664" s="43">
        <f>IF($S$644=0,0,IF(OR(DATE($C664,1,15)&lt;$S$644,AND($T$644&gt;0,DATE($C664,1,15)&gt;$T$644)),0,IF(DATE($C664,1,15)&gt;=$X$644,$AA$644*(1+($U$644)/100)^MAX(0,$C664-$AD$644),IF(DATE($C664,1,15)&gt;=$W$644,$Z$644*(1+($U$644)/100)^MAX(0,$C664-$AC$644),IF(DATE($C664,1,15)&gt;=$V$644,$Y$644*(1+($U$644)/100)^MAX(0,$C664-$AB$644),0)))))</f>
      </c>
      <c r="F664" s="43">
        <f>IF($S$644=0,0,IF(OR(DATE($C664,2,15)&lt;$S$644,AND($T$644&gt;0,DATE($C664,2,15)&gt;$T$644)),0,IF(DATE($C664,2,15)&gt;=$X$644,$AA$644*(1+($U$644)/100)^MAX(0,$C664-$AD$644),IF(DATE($C664,2,15)&gt;=$W$644,$Z$644*(1+($U$644)/100)^MAX(0,$C664-$AC$644),IF(DATE($C664,2,15)&gt;=$V$644,$Y$644*(1+($U$644)/100)^MAX(0,$C664-$AB$644),0)))))</f>
      </c>
      <c r="G664" s="43">
        <f>IF($S$644=0,0,IF(OR(DATE($C664,3,15)&lt;$S$644,AND($T$644&gt;0,DATE($C664,3,15)&gt;$T$644)),0,IF(DATE($C664,3,15)&gt;=$X$644,$AA$644*(1+($U$644)/100)^MAX(0,$C664-$AD$644),IF(DATE($C664,3,15)&gt;=$W$644,$Z$644*(1+($U$644)/100)^MAX(0,$C664-$AC$644),IF(DATE($C664,3,15)&gt;=$V$644,$Y$644*(1+($U$644)/100)^MAX(0,$C664-$AB$644),0)))))</f>
      </c>
      <c r="H664" s="43">
        <f>IF($S$644=0,0,IF(OR(DATE($C664,4,15)&lt;$S$644,AND($T$644&gt;0,DATE($C664,4,15)&gt;$T$644)),0,IF(DATE($C664,4,15)&gt;=$X$644,$AA$644*(1+($U$644)/100)^MAX(0,$C664-$AD$644),IF(DATE($C664,4,15)&gt;=$W$644,$Z$644*(1+($U$644)/100)^MAX(0,$C664-$AC$644),IF(DATE($C664,4,15)&gt;=$V$644,$Y$644*(1+($U$644)/100)^MAX(0,$C664-$AB$644),0)))))</f>
      </c>
      <c r="I664" s="43">
        <f>IF($S$644=0,0,IF(OR(DATE($C664,5,15)&lt;$S$644,AND($T$644&gt;0,DATE($C664,5,15)&gt;$T$644)),0,IF(DATE($C664,5,15)&gt;=$X$644,$AA$644*(1+($U$644)/100)^MAX(0,$C664-$AD$644),IF(DATE($C664,5,15)&gt;=$W$644,$Z$644*(1+($U$644)/100)^MAX(0,$C664-$AC$644),IF(DATE($C664,5,15)&gt;=$V$644,$Y$644*(1+($U$644)/100)^MAX(0,$C664-$AB$644),0)))))</f>
      </c>
      <c r="J664" s="43">
        <f>IF($S$644=0,0,IF(OR(DATE($C664,6,15)&lt;$S$644,AND($T$644&gt;0,DATE($C664,6,15)&gt;$T$644)),0,IF(DATE($C664,6,15)&gt;=$X$644,$AA$644*(1+($U$644)/100)^MAX(0,$C664-$AD$644),IF(DATE($C664,6,15)&gt;=$W$644,$Z$644*(1+($U$644)/100)^MAX(0,$C664-$AC$644),IF(DATE($C664,6,15)&gt;=$V$644,$Y$644*(1+($U$644)/100)^MAX(0,$C664-$AB$644),0)))))</f>
      </c>
      <c r="K664" s="43">
        <f>IF($S$644=0,0,IF(OR(DATE($C664,7,15)&lt;$S$644,AND($T$644&gt;0,DATE($C664,7,15)&gt;$T$644)),0,IF(DATE($C664,7,15)&gt;=$X$644,$AA$644*(1+($U$644)/100)^MAX(0,$C664-$AD$644),IF(DATE($C664,7,15)&gt;=$W$644,$Z$644*(1+($U$644)/100)^MAX(0,$C664-$AC$644),IF(DATE($C664,7,15)&gt;=$V$644,$Y$644*(1+($U$644)/100)^MAX(0,$C664-$AB$644),0)))))</f>
      </c>
      <c r="L664" s="43">
        <f>IF($S$644=0,0,IF(OR(DATE($C664,8,15)&lt;$S$644,AND($T$644&gt;0,DATE($C664,8,15)&gt;$T$644)),0,IF(DATE($C664,8,15)&gt;=$X$644,$AA$644*(1+($U$644)/100)^MAX(0,$C664-$AD$644),IF(DATE($C664,8,15)&gt;=$W$644,$Z$644*(1+($U$644)/100)^MAX(0,$C664-$AC$644),IF(DATE($C664,8,15)&gt;=$V$644,$Y$644*(1+($U$644)/100)^MAX(0,$C664-$AB$644),0)))))</f>
      </c>
      <c r="M664" s="43">
        <f>IF($S$644=0,0,IF(OR(DATE($C664,9,15)&lt;$S$644,AND($T$644&gt;0,DATE($C664,9,15)&gt;$T$644)),0,IF(DATE($C664,9,15)&gt;=$X$644,$AA$644*(1+($U$644)/100)^MAX(0,$C664-$AD$644),IF(DATE($C664,9,15)&gt;=$W$644,$Z$644*(1+($U$644)/100)^MAX(0,$C664-$AC$644),IF(DATE($C664,9,15)&gt;=$V$644,$Y$644*(1+($U$644)/100)^MAX(0,$C664-$AB$644),0)))))</f>
      </c>
      <c r="N664" s="43">
        <f>IF($S$644=0,0,IF(OR(DATE($C664,10,15)&lt;$S$644,AND($T$644&gt;0,DATE($C664,10,15)&gt;$T$644)),0,IF(DATE($C664,10,15)&gt;=$X$644,$AA$644*(1+($U$644)/100)^MAX(0,$C664-$AD$644),IF(DATE($C664,10,15)&gt;=$W$644,$Z$644*(1+($U$644)/100)^MAX(0,$C664-$AC$644),IF(DATE($C664,10,15)&gt;=$V$644,$Y$644*(1+($U$644)/100)^MAX(0,$C664-$AB$644),0)))))</f>
      </c>
      <c r="O664" s="43">
        <f>IF($S$644=0,0,IF(OR(DATE($C664,11,15)&lt;$S$644,AND($T$644&gt;0,DATE($C664,11,15)&gt;$T$644)),0,IF(DATE($C664,11,15)&gt;=$X$644,$AA$644*(1+($U$644)/100)^MAX(0,$C664-$AD$644),IF(DATE($C664,11,15)&gt;=$W$644,$Z$644*(1+($U$644)/100)^MAX(0,$C664-$AC$644),IF(DATE($C664,11,15)&gt;=$V$644,$Y$644*(1+($U$644)/100)^MAX(0,$C664-$AB$644),0)))))</f>
      </c>
      <c r="P664" s="43">
        <f>IF($S$644=0,0,IF(OR(DATE($C664,12,15)&lt;$S$644,AND($T$644&gt;0,DATE($C664,12,15)&gt;$T$644)),0,IF(DATE($C664,12,15)&gt;=$X$644,$AA$644*(1+($U$644)/100)^MAX(0,$C664-$AD$644),IF(DATE($C664,12,15)&gt;=$W$644,$Z$644*(1+($U$644)/100)^MAX(0,$C664-$AC$644),IF(DATE($C664,12,15)&gt;=$V$644,$Y$644*(1+($U$644)/100)^MAX(0,$C664-$AB$644),0)))))</f>
      </c>
      <c r="Q664" s="43">
        <f>SUM($E664:$P664)</f>
      </c>
    </row>
    <row r="665">
      <c r="A665"/>
      <c r="B665">
        <v>21</v>
      </c>
      <c r="C665" s="43">
        <f>Jahr+21</f>
      </c>
      <c r="D665" s="43">
        <f>INDEX(MvObj,21)</f>
      </c>
      <c r="E665" s="43">
        <f>IF($S$644=0,0,IF(OR(DATE($C665,1,15)&lt;$S$644,AND($T$644&gt;0,DATE($C665,1,15)&gt;$T$644)),0,IF(DATE($C665,1,15)&gt;=$X$644,$AA$644*(1+($U$644)/100)^MAX(0,$C665-$AD$644),IF(DATE($C665,1,15)&gt;=$W$644,$Z$644*(1+($U$644)/100)^MAX(0,$C665-$AC$644),IF(DATE($C665,1,15)&gt;=$V$644,$Y$644*(1+($U$644)/100)^MAX(0,$C665-$AB$644),0)))))</f>
      </c>
      <c r="F665" s="43">
        <f>IF($S$644=0,0,IF(OR(DATE($C665,2,15)&lt;$S$644,AND($T$644&gt;0,DATE($C665,2,15)&gt;$T$644)),0,IF(DATE($C665,2,15)&gt;=$X$644,$AA$644*(1+($U$644)/100)^MAX(0,$C665-$AD$644),IF(DATE($C665,2,15)&gt;=$W$644,$Z$644*(1+($U$644)/100)^MAX(0,$C665-$AC$644),IF(DATE($C665,2,15)&gt;=$V$644,$Y$644*(1+($U$644)/100)^MAX(0,$C665-$AB$644),0)))))</f>
      </c>
      <c r="G665" s="43">
        <f>IF($S$644=0,0,IF(OR(DATE($C665,3,15)&lt;$S$644,AND($T$644&gt;0,DATE($C665,3,15)&gt;$T$644)),0,IF(DATE($C665,3,15)&gt;=$X$644,$AA$644*(1+($U$644)/100)^MAX(0,$C665-$AD$644),IF(DATE($C665,3,15)&gt;=$W$644,$Z$644*(1+($U$644)/100)^MAX(0,$C665-$AC$644),IF(DATE($C665,3,15)&gt;=$V$644,$Y$644*(1+($U$644)/100)^MAX(0,$C665-$AB$644),0)))))</f>
      </c>
      <c r="H665" s="43">
        <f>IF($S$644=0,0,IF(OR(DATE($C665,4,15)&lt;$S$644,AND($T$644&gt;0,DATE($C665,4,15)&gt;$T$644)),0,IF(DATE($C665,4,15)&gt;=$X$644,$AA$644*(1+($U$644)/100)^MAX(0,$C665-$AD$644),IF(DATE($C665,4,15)&gt;=$W$644,$Z$644*(1+($U$644)/100)^MAX(0,$C665-$AC$644),IF(DATE($C665,4,15)&gt;=$V$644,$Y$644*(1+($U$644)/100)^MAX(0,$C665-$AB$644),0)))))</f>
      </c>
      <c r="I665" s="43">
        <f>IF($S$644=0,0,IF(OR(DATE($C665,5,15)&lt;$S$644,AND($T$644&gt;0,DATE($C665,5,15)&gt;$T$644)),0,IF(DATE($C665,5,15)&gt;=$X$644,$AA$644*(1+($U$644)/100)^MAX(0,$C665-$AD$644),IF(DATE($C665,5,15)&gt;=$W$644,$Z$644*(1+($U$644)/100)^MAX(0,$C665-$AC$644),IF(DATE($C665,5,15)&gt;=$V$644,$Y$644*(1+($U$644)/100)^MAX(0,$C665-$AB$644),0)))))</f>
      </c>
      <c r="J665" s="43">
        <f>IF($S$644=0,0,IF(OR(DATE($C665,6,15)&lt;$S$644,AND($T$644&gt;0,DATE($C665,6,15)&gt;$T$644)),0,IF(DATE($C665,6,15)&gt;=$X$644,$AA$644*(1+($U$644)/100)^MAX(0,$C665-$AD$644),IF(DATE($C665,6,15)&gt;=$W$644,$Z$644*(1+($U$644)/100)^MAX(0,$C665-$AC$644),IF(DATE($C665,6,15)&gt;=$V$644,$Y$644*(1+($U$644)/100)^MAX(0,$C665-$AB$644),0)))))</f>
      </c>
      <c r="K665" s="43">
        <f>IF($S$644=0,0,IF(OR(DATE($C665,7,15)&lt;$S$644,AND($T$644&gt;0,DATE($C665,7,15)&gt;$T$644)),0,IF(DATE($C665,7,15)&gt;=$X$644,$AA$644*(1+($U$644)/100)^MAX(0,$C665-$AD$644),IF(DATE($C665,7,15)&gt;=$W$644,$Z$644*(1+($U$644)/100)^MAX(0,$C665-$AC$644),IF(DATE($C665,7,15)&gt;=$V$644,$Y$644*(1+($U$644)/100)^MAX(0,$C665-$AB$644),0)))))</f>
      </c>
      <c r="L665" s="43">
        <f>IF($S$644=0,0,IF(OR(DATE($C665,8,15)&lt;$S$644,AND($T$644&gt;0,DATE($C665,8,15)&gt;$T$644)),0,IF(DATE($C665,8,15)&gt;=$X$644,$AA$644*(1+($U$644)/100)^MAX(0,$C665-$AD$644),IF(DATE($C665,8,15)&gt;=$W$644,$Z$644*(1+($U$644)/100)^MAX(0,$C665-$AC$644),IF(DATE($C665,8,15)&gt;=$V$644,$Y$644*(1+($U$644)/100)^MAX(0,$C665-$AB$644),0)))))</f>
      </c>
      <c r="M665" s="43">
        <f>IF($S$644=0,0,IF(OR(DATE($C665,9,15)&lt;$S$644,AND($T$644&gt;0,DATE($C665,9,15)&gt;$T$644)),0,IF(DATE($C665,9,15)&gt;=$X$644,$AA$644*(1+($U$644)/100)^MAX(0,$C665-$AD$644),IF(DATE($C665,9,15)&gt;=$W$644,$Z$644*(1+($U$644)/100)^MAX(0,$C665-$AC$644),IF(DATE($C665,9,15)&gt;=$V$644,$Y$644*(1+($U$644)/100)^MAX(0,$C665-$AB$644),0)))))</f>
      </c>
      <c r="N665" s="43">
        <f>IF($S$644=0,0,IF(OR(DATE($C665,10,15)&lt;$S$644,AND($T$644&gt;0,DATE($C665,10,15)&gt;$T$644)),0,IF(DATE($C665,10,15)&gt;=$X$644,$AA$644*(1+($U$644)/100)^MAX(0,$C665-$AD$644),IF(DATE($C665,10,15)&gt;=$W$644,$Z$644*(1+($U$644)/100)^MAX(0,$C665-$AC$644),IF(DATE($C665,10,15)&gt;=$V$644,$Y$644*(1+($U$644)/100)^MAX(0,$C665-$AB$644),0)))))</f>
      </c>
      <c r="O665" s="43">
        <f>IF($S$644=0,0,IF(OR(DATE($C665,11,15)&lt;$S$644,AND($T$644&gt;0,DATE($C665,11,15)&gt;$T$644)),0,IF(DATE($C665,11,15)&gt;=$X$644,$AA$644*(1+($U$644)/100)^MAX(0,$C665-$AD$644),IF(DATE($C665,11,15)&gt;=$W$644,$Z$644*(1+($U$644)/100)^MAX(0,$C665-$AC$644),IF(DATE($C665,11,15)&gt;=$V$644,$Y$644*(1+($U$644)/100)^MAX(0,$C665-$AB$644),0)))))</f>
      </c>
      <c r="P665" s="43">
        <f>IF($S$644=0,0,IF(OR(DATE($C665,12,15)&lt;$S$644,AND($T$644&gt;0,DATE($C665,12,15)&gt;$T$644)),0,IF(DATE($C665,12,15)&gt;=$X$644,$AA$644*(1+($U$644)/100)^MAX(0,$C665-$AD$644),IF(DATE($C665,12,15)&gt;=$W$644,$Z$644*(1+($U$644)/100)^MAX(0,$C665-$AC$644),IF(DATE($C665,12,15)&gt;=$V$644,$Y$644*(1+($U$644)/100)^MAX(0,$C665-$AB$644),0)))))</f>
      </c>
      <c r="Q665" s="43">
        <f>SUM($E665:$P665)</f>
      </c>
    </row>
    <row r="666">
      <c r="A666"/>
      <c r="B666">
        <v>21</v>
      </c>
      <c r="C666" s="43">
        <f>Jahr+22</f>
      </c>
      <c r="D666" s="43">
        <f>INDEX(MvObj,21)</f>
      </c>
      <c r="E666" s="43">
        <f>IF($S$644=0,0,IF(OR(DATE($C666,1,15)&lt;$S$644,AND($T$644&gt;0,DATE($C666,1,15)&gt;$T$644)),0,IF(DATE($C666,1,15)&gt;=$X$644,$AA$644*(1+($U$644)/100)^MAX(0,$C666-$AD$644),IF(DATE($C666,1,15)&gt;=$W$644,$Z$644*(1+($U$644)/100)^MAX(0,$C666-$AC$644),IF(DATE($C666,1,15)&gt;=$V$644,$Y$644*(1+($U$644)/100)^MAX(0,$C666-$AB$644),0)))))</f>
      </c>
      <c r="F666" s="43">
        <f>IF($S$644=0,0,IF(OR(DATE($C666,2,15)&lt;$S$644,AND($T$644&gt;0,DATE($C666,2,15)&gt;$T$644)),0,IF(DATE($C666,2,15)&gt;=$X$644,$AA$644*(1+($U$644)/100)^MAX(0,$C666-$AD$644),IF(DATE($C666,2,15)&gt;=$W$644,$Z$644*(1+($U$644)/100)^MAX(0,$C666-$AC$644),IF(DATE($C666,2,15)&gt;=$V$644,$Y$644*(1+($U$644)/100)^MAX(0,$C666-$AB$644),0)))))</f>
      </c>
      <c r="G666" s="43">
        <f>IF($S$644=0,0,IF(OR(DATE($C666,3,15)&lt;$S$644,AND($T$644&gt;0,DATE($C666,3,15)&gt;$T$644)),0,IF(DATE($C666,3,15)&gt;=$X$644,$AA$644*(1+($U$644)/100)^MAX(0,$C666-$AD$644),IF(DATE($C666,3,15)&gt;=$W$644,$Z$644*(1+($U$644)/100)^MAX(0,$C666-$AC$644),IF(DATE($C666,3,15)&gt;=$V$644,$Y$644*(1+($U$644)/100)^MAX(0,$C666-$AB$644),0)))))</f>
      </c>
      <c r="H666" s="43">
        <f>IF($S$644=0,0,IF(OR(DATE($C666,4,15)&lt;$S$644,AND($T$644&gt;0,DATE($C666,4,15)&gt;$T$644)),0,IF(DATE($C666,4,15)&gt;=$X$644,$AA$644*(1+($U$644)/100)^MAX(0,$C666-$AD$644),IF(DATE($C666,4,15)&gt;=$W$644,$Z$644*(1+($U$644)/100)^MAX(0,$C666-$AC$644),IF(DATE($C666,4,15)&gt;=$V$644,$Y$644*(1+($U$644)/100)^MAX(0,$C666-$AB$644),0)))))</f>
      </c>
      <c r="I666" s="43">
        <f>IF($S$644=0,0,IF(OR(DATE($C666,5,15)&lt;$S$644,AND($T$644&gt;0,DATE($C666,5,15)&gt;$T$644)),0,IF(DATE($C666,5,15)&gt;=$X$644,$AA$644*(1+($U$644)/100)^MAX(0,$C666-$AD$644),IF(DATE($C666,5,15)&gt;=$W$644,$Z$644*(1+($U$644)/100)^MAX(0,$C666-$AC$644),IF(DATE($C666,5,15)&gt;=$V$644,$Y$644*(1+($U$644)/100)^MAX(0,$C666-$AB$644),0)))))</f>
      </c>
      <c r="J666" s="43">
        <f>IF($S$644=0,0,IF(OR(DATE($C666,6,15)&lt;$S$644,AND($T$644&gt;0,DATE($C666,6,15)&gt;$T$644)),0,IF(DATE($C666,6,15)&gt;=$X$644,$AA$644*(1+($U$644)/100)^MAX(0,$C666-$AD$644),IF(DATE($C666,6,15)&gt;=$W$644,$Z$644*(1+($U$644)/100)^MAX(0,$C666-$AC$644),IF(DATE($C666,6,15)&gt;=$V$644,$Y$644*(1+($U$644)/100)^MAX(0,$C666-$AB$644),0)))))</f>
      </c>
      <c r="K666" s="43">
        <f>IF($S$644=0,0,IF(OR(DATE($C666,7,15)&lt;$S$644,AND($T$644&gt;0,DATE($C666,7,15)&gt;$T$644)),0,IF(DATE($C666,7,15)&gt;=$X$644,$AA$644*(1+($U$644)/100)^MAX(0,$C666-$AD$644),IF(DATE($C666,7,15)&gt;=$W$644,$Z$644*(1+($U$644)/100)^MAX(0,$C666-$AC$644),IF(DATE($C666,7,15)&gt;=$V$644,$Y$644*(1+($U$644)/100)^MAX(0,$C666-$AB$644),0)))))</f>
      </c>
      <c r="L666" s="43">
        <f>IF($S$644=0,0,IF(OR(DATE($C666,8,15)&lt;$S$644,AND($T$644&gt;0,DATE($C666,8,15)&gt;$T$644)),0,IF(DATE($C666,8,15)&gt;=$X$644,$AA$644*(1+($U$644)/100)^MAX(0,$C666-$AD$644),IF(DATE($C666,8,15)&gt;=$W$644,$Z$644*(1+($U$644)/100)^MAX(0,$C666-$AC$644),IF(DATE($C666,8,15)&gt;=$V$644,$Y$644*(1+($U$644)/100)^MAX(0,$C666-$AB$644),0)))))</f>
      </c>
      <c r="M666" s="43">
        <f>IF($S$644=0,0,IF(OR(DATE($C666,9,15)&lt;$S$644,AND($T$644&gt;0,DATE($C666,9,15)&gt;$T$644)),0,IF(DATE($C666,9,15)&gt;=$X$644,$AA$644*(1+($U$644)/100)^MAX(0,$C666-$AD$644),IF(DATE($C666,9,15)&gt;=$W$644,$Z$644*(1+($U$644)/100)^MAX(0,$C666-$AC$644),IF(DATE($C666,9,15)&gt;=$V$644,$Y$644*(1+($U$644)/100)^MAX(0,$C666-$AB$644),0)))))</f>
      </c>
      <c r="N666" s="43">
        <f>IF($S$644=0,0,IF(OR(DATE($C666,10,15)&lt;$S$644,AND($T$644&gt;0,DATE($C666,10,15)&gt;$T$644)),0,IF(DATE($C666,10,15)&gt;=$X$644,$AA$644*(1+($U$644)/100)^MAX(0,$C666-$AD$644),IF(DATE($C666,10,15)&gt;=$W$644,$Z$644*(1+($U$644)/100)^MAX(0,$C666-$AC$644),IF(DATE($C666,10,15)&gt;=$V$644,$Y$644*(1+($U$644)/100)^MAX(0,$C666-$AB$644),0)))))</f>
      </c>
      <c r="O666" s="43">
        <f>IF($S$644=0,0,IF(OR(DATE($C666,11,15)&lt;$S$644,AND($T$644&gt;0,DATE($C666,11,15)&gt;$T$644)),0,IF(DATE($C666,11,15)&gt;=$X$644,$AA$644*(1+($U$644)/100)^MAX(0,$C666-$AD$644),IF(DATE($C666,11,15)&gt;=$W$644,$Z$644*(1+($U$644)/100)^MAX(0,$C666-$AC$644),IF(DATE($C666,11,15)&gt;=$V$644,$Y$644*(1+($U$644)/100)^MAX(0,$C666-$AB$644),0)))))</f>
      </c>
      <c r="P666" s="43">
        <f>IF($S$644=0,0,IF(OR(DATE($C666,12,15)&lt;$S$644,AND($T$644&gt;0,DATE($C666,12,15)&gt;$T$644)),0,IF(DATE($C666,12,15)&gt;=$X$644,$AA$644*(1+($U$644)/100)^MAX(0,$C666-$AD$644),IF(DATE($C666,12,15)&gt;=$W$644,$Z$644*(1+($U$644)/100)^MAX(0,$C666-$AC$644),IF(DATE($C666,12,15)&gt;=$V$644,$Y$644*(1+($U$644)/100)^MAX(0,$C666-$AB$644),0)))))</f>
      </c>
      <c r="Q666" s="43">
        <f>SUM($E666:$P666)</f>
      </c>
    </row>
    <row r="667">
      <c r="A667"/>
      <c r="B667">
        <v>21</v>
      </c>
      <c r="C667" s="43">
        <f>Jahr+23</f>
      </c>
      <c r="D667" s="43">
        <f>INDEX(MvObj,21)</f>
      </c>
      <c r="E667" s="43">
        <f>IF($S$644=0,0,IF(OR(DATE($C667,1,15)&lt;$S$644,AND($T$644&gt;0,DATE($C667,1,15)&gt;$T$644)),0,IF(DATE($C667,1,15)&gt;=$X$644,$AA$644*(1+($U$644)/100)^MAX(0,$C667-$AD$644),IF(DATE($C667,1,15)&gt;=$W$644,$Z$644*(1+($U$644)/100)^MAX(0,$C667-$AC$644),IF(DATE($C667,1,15)&gt;=$V$644,$Y$644*(1+($U$644)/100)^MAX(0,$C667-$AB$644),0)))))</f>
      </c>
      <c r="F667" s="43">
        <f>IF($S$644=0,0,IF(OR(DATE($C667,2,15)&lt;$S$644,AND($T$644&gt;0,DATE($C667,2,15)&gt;$T$644)),0,IF(DATE($C667,2,15)&gt;=$X$644,$AA$644*(1+($U$644)/100)^MAX(0,$C667-$AD$644),IF(DATE($C667,2,15)&gt;=$W$644,$Z$644*(1+($U$644)/100)^MAX(0,$C667-$AC$644),IF(DATE($C667,2,15)&gt;=$V$644,$Y$644*(1+($U$644)/100)^MAX(0,$C667-$AB$644),0)))))</f>
      </c>
      <c r="G667" s="43">
        <f>IF($S$644=0,0,IF(OR(DATE($C667,3,15)&lt;$S$644,AND($T$644&gt;0,DATE($C667,3,15)&gt;$T$644)),0,IF(DATE($C667,3,15)&gt;=$X$644,$AA$644*(1+($U$644)/100)^MAX(0,$C667-$AD$644),IF(DATE($C667,3,15)&gt;=$W$644,$Z$644*(1+($U$644)/100)^MAX(0,$C667-$AC$644),IF(DATE($C667,3,15)&gt;=$V$644,$Y$644*(1+($U$644)/100)^MAX(0,$C667-$AB$644),0)))))</f>
      </c>
      <c r="H667" s="43">
        <f>IF($S$644=0,0,IF(OR(DATE($C667,4,15)&lt;$S$644,AND($T$644&gt;0,DATE($C667,4,15)&gt;$T$644)),0,IF(DATE($C667,4,15)&gt;=$X$644,$AA$644*(1+($U$644)/100)^MAX(0,$C667-$AD$644),IF(DATE($C667,4,15)&gt;=$W$644,$Z$644*(1+($U$644)/100)^MAX(0,$C667-$AC$644),IF(DATE($C667,4,15)&gt;=$V$644,$Y$644*(1+($U$644)/100)^MAX(0,$C667-$AB$644),0)))))</f>
      </c>
      <c r="I667" s="43">
        <f>IF($S$644=0,0,IF(OR(DATE($C667,5,15)&lt;$S$644,AND($T$644&gt;0,DATE($C667,5,15)&gt;$T$644)),0,IF(DATE($C667,5,15)&gt;=$X$644,$AA$644*(1+($U$644)/100)^MAX(0,$C667-$AD$644),IF(DATE($C667,5,15)&gt;=$W$644,$Z$644*(1+($U$644)/100)^MAX(0,$C667-$AC$644),IF(DATE($C667,5,15)&gt;=$V$644,$Y$644*(1+($U$644)/100)^MAX(0,$C667-$AB$644),0)))))</f>
      </c>
      <c r="J667" s="43">
        <f>IF($S$644=0,0,IF(OR(DATE($C667,6,15)&lt;$S$644,AND($T$644&gt;0,DATE($C667,6,15)&gt;$T$644)),0,IF(DATE($C667,6,15)&gt;=$X$644,$AA$644*(1+($U$644)/100)^MAX(0,$C667-$AD$644),IF(DATE($C667,6,15)&gt;=$W$644,$Z$644*(1+($U$644)/100)^MAX(0,$C667-$AC$644),IF(DATE($C667,6,15)&gt;=$V$644,$Y$644*(1+($U$644)/100)^MAX(0,$C667-$AB$644),0)))))</f>
      </c>
      <c r="K667" s="43">
        <f>IF($S$644=0,0,IF(OR(DATE($C667,7,15)&lt;$S$644,AND($T$644&gt;0,DATE($C667,7,15)&gt;$T$644)),0,IF(DATE($C667,7,15)&gt;=$X$644,$AA$644*(1+($U$644)/100)^MAX(0,$C667-$AD$644),IF(DATE($C667,7,15)&gt;=$W$644,$Z$644*(1+($U$644)/100)^MAX(0,$C667-$AC$644),IF(DATE($C667,7,15)&gt;=$V$644,$Y$644*(1+($U$644)/100)^MAX(0,$C667-$AB$644),0)))))</f>
      </c>
      <c r="L667" s="43">
        <f>IF($S$644=0,0,IF(OR(DATE($C667,8,15)&lt;$S$644,AND($T$644&gt;0,DATE($C667,8,15)&gt;$T$644)),0,IF(DATE($C667,8,15)&gt;=$X$644,$AA$644*(1+($U$644)/100)^MAX(0,$C667-$AD$644),IF(DATE($C667,8,15)&gt;=$W$644,$Z$644*(1+($U$644)/100)^MAX(0,$C667-$AC$644),IF(DATE($C667,8,15)&gt;=$V$644,$Y$644*(1+($U$644)/100)^MAX(0,$C667-$AB$644),0)))))</f>
      </c>
      <c r="M667" s="43">
        <f>IF($S$644=0,0,IF(OR(DATE($C667,9,15)&lt;$S$644,AND($T$644&gt;0,DATE($C667,9,15)&gt;$T$644)),0,IF(DATE($C667,9,15)&gt;=$X$644,$AA$644*(1+($U$644)/100)^MAX(0,$C667-$AD$644),IF(DATE($C667,9,15)&gt;=$W$644,$Z$644*(1+($U$644)/100)^MAX(0,$C667-$AC$644),IF(DATE($C667,9,15)&gt;=$V$644,$Y$644*(1+($U$644)/100)^MAX(0,$C667-$AB$644),0)))))</f>
      </c>
      <c r="N667" s="43">
        <f>IF($S$644=0,0,IF(OR(DATE($C667,10,15)&lt;$S$644,AND($T$644&gt;0,DATE($C667,10,15)&gt;$T$644)),0,IF(DATE($C667,10,15)&gt;=$X$644,$AA$644*(1+($U$644)/100)^MAX(0,$C667-$AD$644),IF(DATE($C667,10,15)&gt;=$W$644,$Z$644*(1+($U$644)/100)^MAX(0,$C667-$AC$644),IF(DATE($C667,10,15)&gt;=$V$644,$Y$644*(1+($U$644)/100)^MAX(0,$C667-$AB$644),0)))))</f>
      </c>
      <c r="O667" s="43">
        <f>IF($S$644=0,0,IF(OR(DATE($C667,11,15)&lt;$S$644,AND($T$644&gt;0,DATE($C667,11,15)&gt;$T$644)),0,IF(DATE($C667,11,15)&gt;=$X$644,$AA$644*(1+($U$644)/100)^MAX(0,$C667-$AD$644),IF(DATE($C667,11,15)&gt;=$W$644,$Z$644*(1+($U$644)/100)^MAX(0,$C667-$AC$644),IF(DATE($C667,11,15)&gt;=$V$644,$Y$644*(1+($U$644)/100)^MAX(0,$C667-$AB$644),0)))))</f>
      </c>
      <c r="P667" s="43">
        <f>IF($S$644=0,0,IF(OR(DATE($C667,12,15)&lt;$S$644,AND($T$644&gt;0,DATE($C667,12,15)&gt;$T$644)),0,IF(DATE($C667,12,15)&gt;=$X$644,$AA$644*(1+($U$644)/100)^MAX(0,$C667-$AD$644),IF(DATE($C667,12,15)&gt;=$W$644,$Z$644*(1+($U$644)/100)^MAX(0,$C667-$AC$644),IF(DATE($C667,12,15)&gt;=$V$644,$Y$644*(1+($U$644)/100)^MAX(0,$C667-$AB$644),0)))))</f>
      </c>
      <c r="Q667" s="43">
        <f>SUM($E667:$P667)</f>
      </c>
    </row>
    <row r="668">
      <c r="A668"/>
      <c r="B668">
        <v>21</v>
      </c>
      <c r="C668" s="43">
        <f>Jahr+24</f>
      </c>
      <c r="D668" s="43">
        <f>INDEX(MvObj,21)</f>
      </c>
      <c r="E668" s="43">
        <f>IF($S$644=0,0,IF(OR(DATE($C668,1,15)&lt;$S$644,AND($T$644&gt;0,DATE($C668,1,15)&gt;$T$644)),0,IF(DATE($C668,1,15)&gt;=$X$644,$AA$644*(1+($U$644)/100)^MAX(0,$C668-$AD$644),IF(DATE($C668,1,15)&gt;=$W$644,$Z$644*(1+($U$644)/100)^MAX(0,$C668-$AC$644),IF(DATE($C668,1,15)&gt;=$V$644,$Y$644*(1+($U$644)/100)^MAX(0,$C668-$AB$644),0)))))</f>
      </c>
      <c r="F668" s="43">
        <f>IF($S$644=0,0,IF(OR(DATE($C668,2,15)&lt;$S$644,AND($T$644&gt;0,DATE($C668,2,15)&gt;$T$644)),0,IF(DATE($C668,2,15)&gt;=$X$644,$AA$644*(1+($U$644)/100)^MAX(0,$C668-$AD$644),IF(DATE($C668,2,15)&gt;=$W$644,$Z$644*(1+($U$644)/100)^MAX(0,$C668-$AC$644),IF(DATE($C668,2,15)&gt;=$V$644,$Y$644*(1+($U$644)/100)^MAX(0,$C668-$AB$644),0)))))</f>
      </c>
      <c r="G668" s="43">
        <f>IF($S$644=0,0,IF(OR(DATE($C668,3,15)&lt;$S$644,AND($T$644&gt;0,DATE($C668,3,15)&gt;$T$644)),0,IF(DATE($C668,3,15)&gt;=$X$644,$AA$644*(1+($U$644)/100)^MAX(0,$C668-$AD$644),IF(DATE($C668,3,15)&gt;=$W$644,$Z$644*(1+($U$644)/100)^MAX(0,$C668-$AC$644),IF(DATE($C668,3,15)&gt;=$V$644,$Y$644*(1+($U$644)/100)^MAX(0,$C668-$AB$644),0)))))</f>
      </c>
      <c r="H668" s="43">
        <f>IF($S$644=0,0,IF(OR(DATE($C668,4,15)&lt;$S$644,AND($T$644&gt;0,DATE($C668,4,15)&gt;$T$644)),0,IF(DATE($C668,4,15)&gt;=$X$644,$AA$644*(1+($U$644)/100)^MAX(0,$C668-$AD$644),IF(DATE($C668,4,15)&gt;=$W$644,$Z$644*(1+($U$644)/100)^MAX(0,$C668-$AC$644),IF(DATE($C668,4,15)&gt;=$V$644,$Y$644*(1+($U$644)/100)^MAX(0,$C668-$AB$644),0)))))</f>
      </c>
      <c r="I668" s="43">
        <f>IF($S$644=0,0,IF(OR(DATE($C668,5,15)&lt;$S$644,AND($T$644&gt;0,DATE($C668,5,15)&gt;$T$644)),0,IF(DATE($C668,5,15)&gt;=$X$644,$AA$644*(1+($U$644)/100)^MAX(0,$C668-$AD$644),IF(DATE($C668,5,15)&gt;=$W$644,$Z$644*(1+($U$644)/100)^MAX(0,$C668-$AC$644),IF(DATE($C668,5,15)&gt;=$V$644,$Y$644*(1+($U$644)/100)^MAX(0,$C668-$AB$644),0)))))</f>
      </c>
      <c r="J668" s="43">
        <f>IF($S$644=0,0,IF(OR(DATE($C668,6,15)&lt;$S$644,AND($T$644&gt;0,DATE($C668,6,15)&gt;$T$644)),0,IF(DATE($C668,6,15)&gt;=$X$644,$AA$644*(1+($U$644)/100)^MAX(0,$C668-$AD$644),IF(DATE($C668,6,15)&gt;=$W$644,$Z$644*(1+($U$644)/100)^MAX(0,$C668-$AC$644),IF(DATE($C668,6,15)&gt;=$V$644,$Y$644*(1+($U$644)/100)^MAX(0,$C668-$AB$644),0)))))</f>
      </c>
      <c r="K668" s="43">
        <f>IF($S$644=0,0,IF(OR(DATE($C668,7,15)&lt;$S$644,AND($T$644&gt;0,DATE($C668,7,15)&gt;$T$644)),0,IF(DATE($C668,7,15)&gt;=$X$644,$AA$644*(1+($U$644)/100)^MAX(0,$C668-$AD$644),IF(DATE($C668,7,15)&gt;=$W$644,$Z$644*(1+($U$644)/100)^MAX(0,$C668-$AC$644),IF(DATE($C668,7,15)&gt;=$V$644,$Y$644*(1+($U$644)/100)^MAX(0,$C668-$AB$644),0)))))</f>
      </c>
      <c r="L668" s="43">
        <f>IF($S$644=0,0,IF(OR(DATE($C668,8,15)&lt;$S$644,AND($T$644&gt;0,DATE($C668,8,15)&gt;$T$644)),0,IF(DATE($C668,8,15)&gt;=$X$644,$AA$644*(1+($U$644)/100)^MAX(0,$C668-$AD$644),IF(DATE($C668,8,15)&gt;=$W$644,$Z$644*(1+($U$644)/100)^MAX(0,$C668-$AC$644),IF(DATE($C668,8,15)&gt;=$V$644,$Y$644*(1+($U$644)/100)^MAX(0,$C668-$AB$644),0)))))</f>
      </c>
      <c r="M668" s="43">
        <f>IF($S$644=0,0,IF(OR(DATE($C668,9,15)&lt;$S$644,AND($T$644&gt;0,DATE($C668,9,15)&gt;$T$644)),0,IF(DATE($C668,9,15)&gt;=$X$644,$AA$644*(1+($U$644)/100)^MAX(0,$C668-$AD$644),IF(DATE($C668,9,15)&gt;=$W$644,$Z$644*(1+($U$644)/100)^MAX(0,$C668-$AC$644),IF(DATE($C668,9,15)&gt;=$V$644,$Y$644*(1+($U$644)/100)^MAX(0,$C668-$AB$644),0)))))</f>
      </c>
      <c r="N668" s="43">
        <f>IF($S$644=0,0,IF(OR(DATE($C668,10,15)&lt;$S$644,AND($T$644&gt;0,DATE($C668,10,15)&gt;$T$644)),0,IF(DATE($C668,10,15)&gt;=$X$644,$AA$644*(1+($U$644)/100)^MAX(0,$C668-$AD$644),IF(DATE($C668,10,15)&gt;=$W$644,$Z$644*(1+($U$644)/100)^MAX(0,$C668-$AC$644),IF(DATE($C668,10,15)&gt;=$V$644,$Y$644*(1+($U$644)/100)^MAX(0,$C668-$AB$644),0)))))</f>
      </c>
      <c r="O668" s="43">
        <f>IF($S$644=0,0,IF(OR(DATE($C668,11,15)&lt;$S$644,AND($T$644&gt;0,DATE($C668,11,15)&gt;$T$644)),0,IF(DATE($C668,11,15)&gt;=$X$644,$AA$644*(1+($U$644)/100)^MAX(0,$C668-$AD$644),IF(DATE($C668,11,15)&gt;=$W$644,$Z$644*(1+($U$644)/100)^MAX(0,$C668-$AC$644),IF(DATE($C668,11,15)&gt;=$V$644,$Y$644*(1+($U$644)/100)^MAX(0,$C668-$AB$644),0)))))</f>
      </c>
      <c r="P668" s="43">
        <f>IF($S$644=0,0,IF(OR(DATE($C668,12,15)&lt;$S$644,AND($T$644&gt;0,DATE($C668,12,15)&gt;$T$644)),0,IF(DATE($C668,12,15)&gt;=$X$644,$AA$644*(1+($U$644)/100)^MAX(0,$C668-$AD$644),IF(DATE($C668,12,15)&gt;=$W$644,$Z$644*(1+($U$644)/100)^MAX(0,$C668-$AC$644),IF(DATE($C668,12,15)&gt;=$V$644,$Y$644*(1+($U$644)/100)^MAX(0,$C668-$AB$644),0)))))</f>
      </c>
      <c r="Q668" s="43">
        <f>SUM($E668:$P668)</f>
      </c>
    </row>
    <row r="669">
      <c r="A669"/>
      <c r="B669">
        <v>21</v>
      </c>
      <c r="C669" s="43">
        <f>Jahr+25</f>
      </c>
      <c r="D669" s="43">
        <f>INDEX(MvObj,21)</f>
      </c>
      <c r="E669" s="43">
        <f>IF($S$644=0,0,IF(OR(DATE($C669,1,15)&lt;$S$644,AND($T$644&gt;0,DATE($C669,1,15)&gt;$T$644)),0,IF(DATE($C669,1,15)&gt;=$X$644,$AA$644*(1+($U$644)/100)^MAX(0,$C669-$AD$644),IF(DATE($C669,1,15)&gt;=$W$644,$Z$644*(1+($U$644)/100)^MAX(0,$C669-$AC$644),IF(DATE($C669,1,15)&gt;=$V$644,$Y$644*(1+($U$644)/100)^MAX(0,$C669-$AB$644),0)))))</f>
      </c>
      <c r="F669" s="43">
        <f>IF($S$644=0,0,IF(OR(DATE($C669,2,15)&lt;$S$644,AND($T$644&gt;0,DATE($C669,2,15)&gt;$T$644)),0,IF(DATE($C669,2,15)&gt;=$X$644,$AA$644*(1+($U$644)/100)^MAX(0,$C669-$AD$644),IF(DATE($C669,2,15)&gt;=$W$644,$Z$644*(1+($U$644)/100)^MAX(0,$C669-$AC$644),IF(DATE($C669,2,15)&gt;=$V$644,$Y$644*(1+($U$644)/100)^MAX(0,$C669-$AB$644),0)))))</f>
      </c>
      <c r="G669" s="43">
        <f>IF($S$644=0,0,IF(OR(DATE($C669,3,15)&lt;$S$644,AND($T$644&gt;0,DATE($C669,3,15)&gt;$T$644)),0,IF(DATE($C669,3,15)&gt;=$X$644,$AA$644*(1+($U$644)/100)^MAX(0,$C669-$AD$644),IF(DATE($C669,3,15)&gt;=$W$644,$Z$644*(1+($U$644)/100)^MAX(0,$C669-$AC$644),IF(DATE($C669,3,15)&gt;=$V$644,$Y$644*(1+($U$644)/100)^MAX(0,$C669-$AB$644),0)))))</f>
      </c>
      <c r="H669" s="43">
        <f>IF($S$644=0,0,IF(OR(DATE($C669,4,15)&lt;$S$644,AND($T$644&gt;0,DATE($C669,4,15)&gt;$T$644)),0,IF(DATE($C669,4,15)&gt;=$X$644,$AA$644*(1+($U$644)/100)^MAX(0,$C669-$AD$644),IF(DATE($C669,4,15)&gt;=$W$644,$Z$644*(1+($U$644)/100)^MAX(0,$C669-$AC$644),IF(DATE($C669,4,15)&gt;=$V$644,$Y$644*(1+($U$644)/100)^MAX(0,$C669-$AB$644),0)))))</f>
      </c>
      <c r="I669" s="43">
        <f>IF($S$644=0,0,IF(OR(DATE($C669,5,15)&lt;$S$644,AND($T$644&gt;0,DATE($C669,5,15)&gt;$T$644)),0,IF(DATE($C669,5,15)&gt;=$X$644,$AA$644*(1+($U$644)/100)^MAX(0,$C669-$AD$644),IF(DATE($C669,5,15)&gt;=$W$644,$Z$644*(1+($U$644)/100)^MAX(0,$C669-$AC$644),IF(DATE($C669,5,15)&gt;=$V$644,$Y$644*(1+($U$644)/100)^MAX(0,$C669-$AB$644),0)))))</f>
      </c>
      <c r="J669" s="43">
        <f>IF($S$644=0,0,IF(OR(DATE($C669,6,15)&lt;$S$644,AND($T$644&gt;0,DATE($C669,6,15)&gt;$T$644)),0,IF(DATE($C669,6,15)&gt;=$X$644,$AA$644*(1+($U$644)/100)^MAX(0,$C669-$AD$644),IF(DATE($C669,6,15)&gt;=$W$644,$Z$644*(1+($U$644)/100)^MAX(0,$C669-$AC$644),IF(DATE($C669,6,15)&gt;=$V$644,$Y$644*(1+($U$644)/100)^MAX(0,$C669-$AB$644),0)))))</f>
      </c>
      <c r="K669" s="43">
        <f>IF($S$644=0,0,IF(OR(DATE($C669,7,15)&lt;$S$644,AND($T$644&gt;0,DATE($C669,7,15)&gt;$T$644)),0,IF(DATE($C669,7,15)&gt;=$X$644,$AA$644*(1+($U$644)/100)^MAX(0,$C669-$AD$644),IF(DATE($C669,7,15)&gt;=$W$644,$Z$644*(1+($U$644)/100)^MAX(0,$C669-$AC$644),IF(DATE($C669,7,15)&gt;=$V$644,$Y$644*(1+($U$644)/100)^MAX(0,$C669-$AB$644),0)))))</f>
      </c>
      <c r="L669" s="43">
        <f>IF($S$644=0,0,IF(OR(DATE($C669,8,15)&lt;$S$644,AND($T$644&gt;0,DATE($C669,8,15)&gt;$T$644)),0,IF(DATE($C669,8,15)&gt;=$X$644,$AA$644*(1+($U$644)/100)^MAX(0,$C669-$AD$644),IF(DATE($C669,8,15)&gt;=$W$644,$Z$644*(1+($U$644)/100)^MAX(0,$C669-$AC$644),IF(DATE($C669,8,15)&gt;=$V$644,$Y$644*(1+($U$644)/100)^MAX(0,$C669-$AB$644),0)))))</f>
      </c>
      <c r="M669" s="43">
        <f>IF($S$644=0,0,IF(OR(DATE($C669,9,15)&lt;$S$644,AND($T$644&gt;0,DATE($C669,9,15)&gt;$T$644)),0,IF(DATE($C669,9,15)&gt;=$X$644,$AA$644*(1+($U$644)/100)^MAX(0,$C669-$AD$644),IF(DATE($C669,9,15)&gt;=$W$644,$Z$644*(1+($U$644)/100)^MAX(0,$C669-$AC$644),IF(DATE($C669,9,15)&gt;=$V$644,$Y$644*(1+($U$644)/100)^MAX(0,$C669-$AB$644),0)))))</f>
      </c>
      <c r="N669" s="43">
        <f>IF($S$644=0,0,IF(OR(DATE($C669,10,15)&lt;$S$644,AND($T$644&gt;0,DATE($C669,10,15)&gt;$T$644)),0,IF(DATE($C669,10,15)&gt;=$X$644,$AA$644*(1+($U$644)/100)^MAX(0,$C669-$AD$644),IF(DATE($C669,10,15)&gt;=$W$644,$Z$644*(1+($U$644)/100)^MAX(0,$C669-$AC$644),IF(DATE($C669,10,15)&gt;=$V$644,$Y$644*(1+($U$644)/100)^MAX(0,$C669-$AB$644),0)))))</f>
      </c>
      <c r="O669" s="43">
        <f>IF($S$644=0,0,IF(OR(DATE($C669,11,15)&lt;$S$644,AND($T$644&gt;0,DATE($C669,11,15)&gt;$T$644)),0,IF(DATE($C669,11,15)&gt;=$X$644,$AA$644*(1+($U$644)/100)^MAX(0,$C669-$AD$644),IF(DATE($C669,11,15)&gt;=$W$644,$Z$644*(1+($U$644)/100)^MAX(0,$C669-$AC$644),IF(DATE($C669,11,15)&gt;=$V$644,$Y$644*(1+($U$644)/100)^MAX(0,$C669-$AB$644),0)))))</f>
      </c>
      <c r="P669" s="43">
        <f>IF($S$644=0,0,IF(OR(DATE($C669,12,15)&lt;$S$644,AND($T$644&gt;0,DATE($C669,12,15)&gt;$T$644)),0,IF(DATE($C669,12,15)&gt;=$X$644,$AA$644*(1+($U$644)/100)^MAX(0,$C669-$AD$644),IF(DATE($C669,12,15)&gt;=$W$644,$Z$644*(1+($U$644)/100)^MAX(0,$C669-$AC$644),IF(DATE($C669,12,15)&gt;=$V$644,$Y$644*(1+($U$644)/100)^MAX(0,$C669-$AB$644),0)))))</f>
      </c>
      <c r="Q669" s="43">
        <f>SUM($E669:$P669)</f>
      </c>
    </row>
    <row r="670">
      <c r="A670"/>
      <c r="B670">
        <v>21</v>
      </c>
      <c r="C670" s="43">
        <f>Jahr+26</f>
      </c>
      <c r="D670" s="43">
        <f>INDEX(MvObj,21)</f>
      </c>
      <c r="E670" s="43">
        <f>IF($S$644=0,0,IF(OR(DATE($C670,1,15)&lt;$S$644,AND($T$644&gt;0,DATE($C670,1,15)&gt;$T$644)),0,IF(DATE($C670,1,15)&gt;=$X$644,$AA$644*(1+($U$644)/100)^MAX(0,$C670-$AD$644),IF(DATE($C670,1,15)&gt;=$W$644,$Z$644*(1+($U$644)/100)^MAX(0,$C670-$AC$644),IF(DATE($C670,1,15)&gt;=$V$644,$Y$644*(1+($U$644)/100)^MAX(0,$C670-$AB$644),0)))))</f>
      </c>
      <c r="F670" s="43">
        <f>IF($S$644=0,0,IF(OR(DATE($C670,2,15)&lt;$S$644,AND($T$644&gt;0,DATE($C670,2,15)&gt;$T$644)),0,IF(DATE($C670,2,15)&gt;=$X$644,$AA$644*(1+($U$644)/100)^MAX(0,$C670-$AD$644),IF(DATE($C670,2,15)&gt;=$W$644,$Z$644*(1+($U$644)/100)^MAX(0,$C670-$AC$644),IF(DATE($C670,2,15)&gt;=$V$644,$Y$644*(1+($U$644)/100)^MAX(0,$C670-$AB$644),0)))))</f>
      </c>
      <c r="G670" s="43">
        <f>IF($S$644=0,0,IF(OR(DATE($C670,3,15)&lt;$S$644,AND($T$644&gt;0,DATE($C670,3,15)&gt;$T$644)),0,IF(DATE($C670,3,15)&gt;=$X$644,$AA$644*(1+($U$644)/100)^MAX(0,$C670-$AD$644),IF(DATE($C670,3,15)&gt;=$W$644,$Z$644*(1+($U$644)/100)^MAX(0,$C670-$AC$644),IF(DATE($C670,3,15)&gt;=$V$644,$Y$644*(1+($U$644)/100)^MAX(0,$C670-$AB$644),0)))))</f>
      </c>
      <c r="H670" s="43">
        <f>IF($S$644=0,0,IF(OR(DATE($C670,4,15)&lt;$S$644,AND($T$644&gt;0,DATE($C670,4,15)&gt;$T$644)),0,IF(DATE($C670,4,15)&gt;=$X$644,$AA$644*(1+($U$644)/100)^MAX(0,$C670-$AD$644),IF(DATE($C670,4,15)&gt;=$W$644,$Z$644*(1+($U$644)/100)^MAX(0,$C670-$AC$644),IF(DATE($C670,4,15)&gt;=$V$644,$Y$644*(1+($U$644)/100)^MAX(0,$C670-$AB$644),0)))))</f>
      </c>
      <c r="I670" s="43">
        <f>IF($S$644=0,0,IF(OR(DATE($C670,5,15)&lt;$S$644,AND($T$644&gt;0,DATE($C670,5,15)&gt;$T$644)),0,IF(DATE($C670,5,15)&gt;=$X$644,$AA$644*(1+($U$644)/100)^MAX(0,$C670-$AD$644),IF(DATE($C670,5,15)&gt;=$W$644,$Z$644*(1+($U$644)/100)^MAX(0,$C670-$AC$644),IF(DATE($C670,5,15)&gt;=$V$644,$Y$644*(1+($U$644)/100)^MAX(0,$C670-$AB$644),0)))))</f>
      </c>
      <c r="J670" s="43">
        <f>IF($S$644=0,0,IF(OR(DATE($C670,6,15)&lt;$S$644,AND($T$644&gt;0,DATE($C670,6,15)&gt;$T$644)),0,IF(DATE($C670,6,15)&gt;=$X$644,$AA$644*(1+($U$644)/100)^MAX(0,$C670-$AD$644),IF(DATE($C670,6,15)&gt;=$W$644,$Z$644*(1+($U$644)/100)^MAX(0,$C670-$AC$644),IF(DATE($C670,6,15)&gt;=$V$644,$Y$644*(1+($U$644)/100)^MAX(0,$C670-$AB$644),0)))))</f>
      </c>
      <c r="K670" s="43">
        <f>IF($S$644=0,0,IF(OR(DATE($C670,7,15)&lt;$S$644,AND($T$644&gt;0,DATE($C670,7,15)&gt;$T$644)),0,IF(DATE($C670,7,15)&gt;=$X$644,$AA$644*(1+($U$644)/100)^MAX(0,$C670-$AD$644),IF(DATE($C670,7,15)&gt;=$W$644,$Z$644*(1+($U$644)/100)^MAX(0,$C670-$AC$644),IF(DATE($C670,7,15)&gt;=$V$644,$Y$644*(1+($U$644)/100)^MAX(0,$C670-$AB$644),0)))))</f>
      </c>
      <c r="L670" s="43">
        <f>IF($S$644=0,0,IF(OR(DATE($C670,8,15)&lt;$S$644,AND($T$644&gt;0,DATE($C670,8,15)&gt;$T$644)),0,IF(DATE($C670,8,15)&gt;=$X$644,$AA$644*(1+($U$644)/100)^MAX(0,$C670-$AD$644),IF(DATE($C670,8,15)&gt;=$W$644,$Z$644*(1+($U$644)/100)^MAX(0,$C670-$AC$644),IF(DATE($C670,8,15)&gt;=$V$644,$Y$644*(1+($U$644)/100)^MAX(0,$C670-$AB$644),0)))))</f>
      </c>
      <c r="M670" s="43">
        <f>IF($S$644=0,0,IF(OR(DATE($C670,9,15)&lt;$S$644,AND($T$644&gt;0,DATE($C670,9,15)&gt;$T$644)),0,IF(DATE($C670,9,15)&gt;=$X$644,$AA$644*(1+($U$644)/100)^MAX(0,$C670-$AD$644),IF(DATE($C670,9,15)&gt;=$W$644,$Z$644*(1+($U$644)/100)^MAX(0,$C670-$AC$644),IF(DATE($C670,9,15)&gt;=$V$644,$Y$644*(1+($U$644)/100)^MAX(0,$C670-$AB$644),0)))))</f>
      </c>
      <c r="N670" s="43">
        <f>IF($S$644=0,0,IF(OR(DATE($C670,10,15)&lt;$S$644,AND($T$644&gt;0,DATE($C670,10,15)&gt;$T$644)),0,IF(DATE($C670,10,15)&gt;=$X$644,$AA$644*(1+($U$644)/100)^MAX(0,$C670-$AD$644),IF(DATE($C670,10,15)&gt;=$W$644,$Z$644*(1+($U$644)/100)^MAX(0,$C670-$AC$644),IF(DATE($C670,10,15)&gt;=$V$644,$Y$644*(1+($U$644)/100)^MAX(0,$C670-$AB$644),0)))))</f>
      </c>
      <c r="O670" s="43">
        <f>IF($S$644=0,0,IF(OR(DATE($C670,11,15)&lt;$S$644,AND($T$644&gt;0,DATE($C670,11,15)&gt;$T$644)),0,IF(DATE($C670,11,15)&gt;=$X$644,$AA$644*(1+($U$644)/100)^MAX(0,$C670-$AD$644),IF(DATE($C670,11,15)&gt;=$W$644,$Z$644*(1+($U$644)/100)^MAX(0,$C670-$AC$644),IF(DATE($C670,11,15)&gt;=$V$644,$Y$644*(1+($U$644)/100)^MAX(0,$C670-$AB$644),0)))))</f>
      </c>
      <c r="P670" s="43">
        <f>IF($S$644=0,0,IF(OR(DATE($C670,12,15)&lt;$S$644,AND($T$644&gt;0,DATE($C670,12,15)&gt;$T$644)),0,IF(DATE($C670,12,15)&gt;=$X$644,$AA$644*(1+($U$644)/100)^MAX(0,$C670-$AD$644),IF(DATE($C670,12,15)&gt;=$W$644,$Z$644*(1+($U$644)/100)^MAX(0,$C670-$AC$644),IF(DATE($C670,12,15)&gt;=$V$644,$Y$644*(1+($U$644)/100)^MAX(0,$C670-$AB$644),0)))))</f>
      </c>
      <c r="Q670" s="43">
        <f>SUM($E670:$P670)</f>
      </c>
    </row>
    <row r="671">
      <c r="A671"/>
      <c r="B671">
        <v>21</v>
      </c>
      <c r="C671" s="43">
        <f>Jahr+27</f>
      </c>
      <c r="D671" s="43">
        <f>INDEX(MvObj,21)</f>
      </c>
      <c r="E671" s="43">
        <f>IF($S$644=0,0,IF(OR(DATE($C671,1,15)&lt;$S$644,AND($T$644&gt;0,DATE($C671,1,15)&gt;$T$644)),0,IF(DATE($C671,1,15)&gt;=$X$644,$AA$644*(1+($U$644)/100)^MAX(0,$C671-$AD$644),IF(DATE($C671,1,15)&gt;=$W$644,$Z$644*(1+($U$644)/100)^MAX(0,$C671-$AC$644),IF(DATE($C671,1,15)&gt;=$V$644,$Y$644*(1+($U$644)/100)^MAX(0,$C671-$AB$644),0)))))</f>
      </c>
      <c r="F671" s="43">
        <f>IF($S$644=0,0,IF(OR(DATE($C671,2,15)&lt;$S$644,AND($T$644&gt;0,DATE($C671,2,15)&gt;$T$644)),0,IF(DATE($C671,2,15)&gt;=$X$644,$AA$644*(1+($U$644)/100)^MAX(0,$C671-$AD$644),IF(DATE($C671,2,15)&gt;=$W$644,$Z$644*(1+($U$644)/100)^MAX(0,$C671-$AC$644),IF(DATE($C671,2,15)&gt;=$V$644,$Y$644*(1+($U$644)/100)^MAX(0,$C671-$AB$644),0)))))</f>
      </c>
      <c r="G671" s="43">
        <f>IF($S$644=0,0,IF(OR(DATE($C671,3,15)&lt;$S$644,AND($T$644&gt;0,DATE($C671,3,15)&gt;$T$644)),0,IF(DATE($C671,3,15)&gt;=$X$644,$AA$644*(1+($U$644)/100)^MAX(0,$C671-$AD$644),IF(DATE($C671,3,15)&gt;=$W$644,$Z$644*(1+($U$644)/100)^MAX(0,$C671-$AC$644),IF(DATE($C671,3,15)&gt;=$V$644,$Y$644*(1+($U$644)/100)^MAX(0,$C671-$AB$644),0)))))</f>
      </c>
      <c r="H671" s="43">
        <f>IF($S$644=0,0,IF(OR(DATE($C671,4,15)&lt;$S$644,AND($T$644&gt;0,DATE($C671,4,15)&gt;$T$644)),0,IF(DATE($C671,4,15)&gt;=$X$644,$AA$644*(1+($U$644)/100)^MAX(0,$C671-$AD$644),IF(DATE($C671,4,15)&gt;=$W$644,$Z$644*(1+($U$644)/100)^MAX(0,$C671-$AC$644),IF(DATE($C671,4,15)&gt;=$V$644,$Y$644*(1+($U$644)/100)^MAX(0,$C671-$AB$644),0)))))</f>
      </c>
      <c r="I671" s="43">
        <f>IF($S$644=0,0,IF(OR(DATE($C671,5,15)&lt;$S$644,AND($T$644&gt;0,DATE($C671,5,15)&gt;$T$644)),0,IF(DATE($C671,5,15)&gt;=$X$644,$AA$644*(1+($U$644)/100)^MAX(0,$C671-$AD$644),IF(DATE($C671,5,15)&gt;=$W$644,$Z$644*(1+($U$644)/100)^MAX(0,$C671-$AC$644),IF(DATE($C671,5,15)&gt;=$V$644,$Y$644*(1+($U$644)/100)^MAX(0,$C671-$AB$644),0)))))</f>
      </c>
      <c r="J671" s="43">
        <f>IF($S$644=0,0,IF(OR(DATE($C671,6,15)&lt;$S$644,AND($T$644&gt;0,DATE($C671,6,15)&gt;$T$644)),0,IF(DATE($C671,6,15)&gt;=$X$644,$AA$644*(1+($U$644)/100)^MAX(0,$C671-$AD$644),IF(DATE($C671,6,15)&gt;=$W$644,$Z$644*(1+($U$644)/100)^MAX(0,$C671-$AC$644),IF(DATE($C671,6,15)&gt;=$V$644,$Y$644*(1+($U$644)/100)^MAX(0,$C671-$AB$644),0)))))</f>
      </c>
      <c r="K671" s="43">
        <f>IF($S$644=0,0,IF(OR(DATE($C671,7,15)&lt;$S$644,AND($T$644&gt;0,DATE($C671,7,15)&gt;$T$644)),0,IF(DATE($C671,7,15)&gt;=$X$644,$AA$644*(1+($U$644)/100)^MAX(0,$C671-$AD$644),IF(DATE($C671,7,15)&gt;=$W$644,$Z$644*(1+($U$644)/100)^MAX(0,$C671-$AC$644),IF(DATE($C671,7,15)&gt;=$V$644,$Y$644*(1+($U$644)/100)^MAX(0,$C671-$AB$644),0)))))</f>
      </c>
      <c r="L671" s="43">
        <f>IF($S$644=0,0,IF(OR(DATE($C671,8,15)&lt;$S$644,AND($T$644&gt;0,DATE($C671,8,15)&gt;$T$644)),0,IF(DATE($C671,8,15)&gt;=$X$644,$AA$644*(1+($U$644)/100)^MAX(0,$C671-$AD$644),IF(DATE($C671,8,15)&gt;=$W$644,$Z$644*(1+($U$644)/100)^MAX(0,$C671-$AC$644),IF(DATE($C671,8,15)&gt;=$V$644,$Y$644*(1+($U$644)/100)^MAX(0,$C671-$AB$644),0)))))</f>
      </c>
      <c r="M671" s="43">
        <f>IF($S$644=0,0,IF(OR(DATE($C671,9,15)&lt;$S$644,AND($T$644&gt;0,DATE($C671,9,15)&gt;$T$644)),0,IF(DATE($C671,9,15)&gt;=$X$644,$AA$644*(1+($U$644)/100)^MAX(0,$C671-$AD$644),IF(DATE($C671,9,15)&gt;=$W$644,$Z$644*(1+($U$644)/100)^MAX(0,$C671-$AC$644),IF(DATE($C671,9,15)&gt;=$V$644,$Y$644*(1+($U$644)/100)^MAX(0,$C671-$AB$644),0)))))</f>
      </c>
      <c r="N671" s="43">
        <f>IF($S$644=0,0,IF(OR(DATE($C671,10,15)&lt;$S$644,AND($T$644&gt;0,DATE($C671,10,15)&gt;$T$644)),0,IF(DATE($C671,10,15)&gt;=$X$644,$AA$644*(1+($U$644)/100)^MAX(0,$C671-$AD$644),IF(DATE($C671,10,15)&gt;=$W$644,$Z$644*(1+($U$644)/100)^MAX(0,$C671-$AC$644),IF(DATE($C671,10,15)&gt;=$V$644,$Y$644*(1+($U$644)/100)^MAX(0,$C671-$AB$644),0)))))</f>
      </c>
      <c r="O671" s="43">
        <f>IF($S$644=0,0,IF(OR(DATE($C671,11,15)&lt;$S$644,AND($T$644&gt;0,DATE($C671,11,15)&gt;$T$644)),0,IF(DATE($C671,11,15)&gt;=$X$644,$AA$644*(1+($U$644)/100)^MAX(0,$C671-$AD$644),IF(DATE($C671,11,15)&gt;=$W$644,$Z$644*(1+($U$644)/100)^MAX(0,$C671-$AC$644),IF(DATE($C671,11,15)&gt;=$V$644,$Y$644*(1+($U$644)/100)^MAX(0,$C671-$AB$644),0)))))</f>
      </c>
      <c r="P671" s="43">
        <f>IF($S$644=0,0,IF(OR(DATE($C671,12,15)&lt;$S$644,AND($T$644&gt;0,DATE($C671,12,15)&gt;$T$644)),0,IF(DATE($C671,12,15)&gt;=$X$644,$AA$644*(1+($U$644)/100)^MAX(0,$C671-$AD$644),IF(DATE($C671,12,15)&gt;=$W$644,$Z$644*(1+($U$644)/100)^MAX(0,$C671-$AC$644),IF(DATE($C671,12,15)&gt;=$V$644,$Y$644*(1+($U$644)/100)^MAX(0,$C671-$AB$644),0)))))</f>
      </c>
      <c r="Q671" s="43">
        <f>SUM($E671:$P671)</f>
      </c>
    </row>
    <row r="672">
      <c r="A672"/>
      <c r="B672">
        <v>21</v>
      </c>
      <c r="C672" s="43">
        <f>Jahr+28</f>
      </c>
      <c r="D672" s="43">
        <f>INDEX(MvObj,21)</f>
      </c>
      <c r="E672" s="43">
        <f>IF($S$644=0,0,IF(OR(DATE($C672,1,15)&lt;$S$644,AND($T$644&gt;0,DATE($C672,1,15)&gt;$T$644)),0,IF(DATE($C672,1,15)&gt;=$X$644,$AA$644*(1+($U$644)/100)^MAX(0,$C672-$AD$644),IF(DATE($C672,1,15)&gt;=$W$644,$Z$644*(1+($U$644)/100)^MAX(0,$C672-$AC$644),IF(DATE($C672,1,15)&gt;=$V$644,$Y$644*(1+($U$644)/100)^MAX(0,$C672-$AB$644),0)))))</f>
      </c>
      <c r="F672" s="43">
        <f>IF($S$644=0,0,IF(OR(DATE($C672,2,15)&lt;$S$644,AND($T$644&gt;0,DATE($C672,2,15)&gt;$T$644)),0,IF(DATE($C672,2,15)&gt;=$X$644,$AA$644*(1+($U$644)/100)^MAX(0,$C672-$AD$644),IF(DATE($C672,2,15)&gt;=$W$644,$Z$644*(1+($U$644)/100)^MAX(0,$C672-$AC$644),IF(DATE($C672,2,15)&gt;=$V$644,$Y$644*(1+($U$644)/100)^MAX(0,$C672-$AB$644),0)))))</f>
      </c>
      <c r="G672" s="43">
        <f>IF($S$644=0,0,IF(OR(DATE($C672,3,15)&lt;$S$644,AND($T$644&gt;0,DATE($C672,3,15)&gt;$T$644)),0,IF(DATE($C672,3,15)&gt;=$X$644,$AA$644*(1+($U$644)/100)^MAX(0,$C672-$AD$644),IF(DATE($C672,3,15)&gt;=$W$644,$Z$644*(1+($U$644)/100)^MAX(0,$C672-$AC$644),IF(DATE($C672,3,15)&gt;=$V$644,$Y$644*(1+($U$644)/100)^MAX(0,$C672-$AB$644),0)))))</f>
      </c>
      <c r="H672" s="43">
        <f>IF($S$644=0,0,IF(OR(DATE($C672,4,15)&lt;$S$644,AND($T$644&gt;0,DATE($C672,4,15)&gt;$T$644)),0,IF(DATE($C672,4,15)&gt;=$X$644,$AA$644*(1+($U$644)/100)^MAX(0,$C672-$AD$644),IF(DATE($C672,4,15)&gt;=$W$644,$Z$644*(1+($U$644)/100)^MAX(0,$C672-$AC$644),IF(DATE($C672,4,15)&gt;=$V$644,$Y$644*(1+($U$644)/100)^MAX(0,$C672-$AB$644),0)))))</f>
      </c>
      <c r="I672" s="43">
        <f>IF($S$644=0,0,IF(OR(DATE($C672,5,15)&lt;$S$644,AND($T$644&gt;0,DATE($C672,5,15)&gt;$T$644)),0,IF(DATE($C672,5,15)&gt;=$X$644,$AA$644*(1+($U$644)/100)^MAX(0,$C672-$AD$644),IF(DATE($C672,5,15)&gt;=$W$644,$Z$644*(1+($U$644)/100)^MAX(0,$C672-$AC$644),IF(DATE($C672,5,15)&gt;=$V$644,$Y$644*(1+($U$644)/100)^MAX(0,$C672-$AB$644),0)))))</f>
      </c>
      <c r="J672" s="43">
        <f>IF($S$644=0,0,IF(OR(DATE($C672,6,15)&lt;$S$644,AND($T$644&gt;0,DATE($C672,6,15)&gt;$T$644)),0,IF(DATE($C672,6,15)&gt;=$X$644,$AA$644*(1+($U$644)/100)^MAX(0,$C672-$AD$644),IF(DATE($C672,6,15)&gt;=$W$644,$Z$644*(1+($U$644)/100)^MAX(0,$C672-$AC$644),IF(DATE($C672,6,15)&gt;=$V$644,$Y$644*(1+($U$644)/100)^MAX(0,$C672-$AB$644),0)))))</f>
      </c>
      <c r="K672" s="43">
        <f>IF($S$644=0,0,IF(OR(DATE($C672,7,15)&lt;$S$644,AND($T$644&gt;0,DATE($C672,7,15)&gt;$T$644)),0,IF(DATE($C672,7,15)&gt;=$X$644,$AA$644*(1+($U$644)/100)^MAX(0,$C672-$AD$644),IF(DATE($C672,7,15)&gt;=$W$644,$Z$644*(1+($U$644)/100)^MAX(0,$C672-$AC$644),IF(DATE($C672,7,15)&gt;=$V$644,$Y$644*(1+($U$644)/100)^MAX(0,$C672-$AB$644),0)))))</f>
      </c>
      <c r="L672" s="43">
        <f>IF($S$644=0,0,IF(OR(DATE($C672,8,15)&lt;$S$644,AND($T$644&gt;0,DATE($C672,8,15)&gt;$T$644)),0,IF(DATE($C672,8,15)&gt;=$X$644,$AA$644*(1+($U$644)/100)^MAX(0,$C672-$AD$644),IF(DATE($C672,8,15)&gt;=$W$644,$Z$644*(1+($U$644)/100)^MAX(0,$C672-$AC$644),IF(DATE($C672,8,15)&gt;=$V$644,$Y$644*(1+($U$644)/100)^MAX(0,$C672-$AB$644),0)))))</f>
      </c>
      <c r="M672" s="43">
        <f>IF($S$644=0,0,IF(OR(DATE($C672,9,15)&lt;$S$644,AND($T$644&gt;0,DATE($C672,9,15)&gt;$T$644)),0,IF(DATE($C672,9,15)&gt;=$X$644,$AA$644*(1+($U$644)/100)^MAX(0,$C672-$AD$644),IF(DATE($C672,9,15)&gt;=$W$644,$Z$644*(1+($U$644)/100)^MAX(0,$C672-$AC$644),IF(DATE($C672,9,15)&gt;=$V$644,$Y$644*(1+($U$644)/100)^MAX(0,$C672-$AB$644),0)))))</f>
      </c>
      <c r="N672" s="43">
        <f>IF($S$644=0,0,IF(OR(DATE($C672,10,15)&lt;$S$644,AND($T$644&gt;0,DATE($C672,10,15)&gt;$T$644)),0,IF(DATE($C672,10,15)&gt;=$X$644,$AA$644*(1+($U$644)/100)^MAX(0,$C672-$AD$644),IF(DATE($C672,10,15)&gt;=$W$644,$Z$644*(1+($U$644)/100)^MAX(0,$C672-$AC$644),IF(DATE($C672,10,15)&gt;=$V$644,$Y$644*(1+($U$644)/100)^MAX(0,$C672-$AB$644),0)))))</f>
      </c>
      <c r="O672" s="43">
        <f>IF($S$644=0,0,IF(OR(DATE($C672,11,15)&lt;$S$644,AND($T$644&gt;0,DATE($C672,11,15)&gt;$T$644)),0,IF(DATE($C672,11,15)&gt;=$X$644,$AA$644*(1+($U$644)/100)^MAX(0,$C672-$AD$644),IF(DATE($C672,11,15)&gt;=$W$644,$Z$644*(1+($U$644)/100)^MAX(0,$C672-$AC$644),IF(DATE($C672,11,15)&gt;=$V$644,$Y$644*(1+($U$644)/100)^MAX(0,$C672-$AB$644),0)))))</f>
      </c>
      <c r="P672" s="43">
        <f>IF($S$644=0,0,IF(OR(DATE($C672,12,15)&lt;$S$644,AND($T$644&gt;0,DATE($C672,12,15)&gt;$T$644)),0,IF(DATE($C672,12,15)&gt;=$X$644,$AA$644*(1+($U$644)/100)^MAX(0,$C672-$AD$644),IF(DATE($C672,12,15)&gt;=$W$644,$Z$644*(1+($U$644)/100)^MAX(0,$C672-$AC$644),IF(DATE($C672,12,15)&gt;=$V$644,$Y$644*(1+($U$644)/100)^MAX(0,$C672-$AB$644),0)))))</f>
      </c>
      <c r="Q672" s="43">
        <f>SUM($E672:$P672)</f>
      </c>
    </row>
    <row r="673">
      <c r="A673"/>
      <c r="B673">
        <v>21</v>
      </c>
      <c r="C673" s="43">
        <f>Jahr+29</f>
      </c>
      <c r="D673" s="43">
        <f>INDEX(MvObj,21)</f>
      </c>
      <c r="E673" s="43">
        <f>IF($S$644=0,0,IF(OR(DATE($C673,1,15)&lt;$S$644,AND($T$644&gt;0,DATE($C673,1,15)&gt;$T$644)),0,IF(DATE($C673,1,15)&gt;=$X$644,$AA$644*(1+($U$644)/100)^MAX(0,$C673-$AD$644),IF(DATE($C673,1,15)&gt;=$W$644,$Z$644*(1+($U$644)/100)^MAX(0,$C673-$AC$644),IF(DATE($C673,1,15)&gt;=$V$644,$Y$644*(1+($U$644)/100)^MAX(0,$C673-$AB$644),0)))))</f>
      </c>
      <c r="F673" s="43">
        <f>IF($S$644=0,0,IF(OR(DATE($C673,2,15)&lt;$S$644,AND($T$644&gt;0,DATE($C673,2,15)&gt;$T$644)),0,IF(DATE($C673,2,15)&gt;=$X$644,$AA$644*(1+($U$644)/100)^MAX(0,$C673-$AD$644),IF(DATE($C673,2,15)&gt;=$W$644,$Z$644*(1+($U$644)/100)^MAX(0,$C673-$AC$644),IF(DATE($C673,2,15)&gt;=$V$644,$Y$644*(1+($U$644)/100)^MAX(0,$C673-$AB$644),0)))))</f>
      </c>
      <c r="G673" s="43">
        <f>IF($S$644=0,0,IF(OR(DATE($C673,3,15)&lt;$S$644,AND($T$644&gt;0,DATE($C673,3,15)&gt;$T$644)),0,IF(DATE($C673,3,15)&gt;=$X$644,$AA$644*(1+($U$644)/100)^MAX(0,$C673-$AD$644),IF(DATE($C673,3,15)&gt;=$W$644,$Z$644*(1+($U$644)/100)^MAX(0,$C673-$AC$644),IF(DATE($C673,3,15)&gt;=$V$644,$Y$644*(1+($U$644)/100)^MAX(0,$C673-$AB$644),0)))))</f>
      </c>
      <c r="H673" s="43">
        <f>IF($S$644=0,0,IF(OR(DATE($C673,4,15)&lt;$S$644,AND($T$644&gt;0,DATE($C673,4,15)&gt;$T$644)),0,IF(DATE($C673,4,15)&gt;=$X$644,$AA$644*(1+($U$644)/100)^MAX(0,$C673-$AD$644),IF(DATE($C673,4,15)&gt;=$W$644,$Z$644*(1+($U$644)/100)^MAX(0,$C673-$AC$644),IF(DATE($C673,4,15)&gt;=$V$644,$Y$644*(1+($U$644)/100)^MAX(0,$C673-$AB$644),0)))))</f>
      </c>
      <c r="I673" s="43">
        <f>IF($S$644=0,0,IF(OR(DATE($C673,5,15)&lt;$S$644,AND($T$644&gt;0,DATE($C673,5,15)&gt;$T$644)),0,IF(DATE($C673,5,15)&gt;=$X$644,$AA$644*(1+($U$644)/100)^MAX(0,$C673-$AD$644),IF(DATE($C673,5,15)&gt;=$W$644,$Z$644*(1+($U$644)/100)^MAX(0,$C673-$AC$644),IF(DATE($C673,5,15)&gt;=$V$644,$Y$644*(1+($U$644)/100)^MAX(0,$C673-$AB$644),0)))))</f>
      </c>
      <c r="J673" s="43">
        <f>IF($S$644=0,0,IF(OR(DATE($C673,6,15)&lt;$S$644,AND($T$644&gt;0,DATE($C673,6,15)&gt;$T$644)),0,IF(DATE($C673,6,15)&gt;=$X$644,$AA$644*(1+($U$644)/100)^MAX(0,$C673-$AD$644),IF(DATE($C673,6,15)&gt;=$W$644,$Z$644*(1+($U$644)/100)^MAX(0,$C673-$AC$644),IF(DATE($C673,6,15)&gt;=$V$644,$Y$644*(1+($U$644)/100)^MAX(0,$C673-$AB$644),0)))))</f>
      </c>
      <c r="K673" s="43">
        <f>IF($S$644=0,0,IF(OR(DATE($C673,7,15)&lt;$S$644,AND($T$644&gt;0,DATE($C673,7,15)&gt;$T$644)),0,IF(DATE($C673,7,15)&gt;=$X$644,$AA$644*(1+($U$644)/100)^MAX(0,$C673-$AD$644),IF(DATE($C673,7,15)&gt;=$W$644,$Z$644*(1+($U$644)/100)^MAX(0,$C673-$AC$644),IF(DATE($C673,7,15)&gt;=$V$644,$Y$644*(1+($U$644)/100)^MAX(0,$C673-$AB$644),0)))))</f>
      </c>
      <c r="L673" s="43">
        <f>IF($S$644=0,0,IF(OR(DATE($C673,8,15)&lt;$S$644,AND($T$644&gt;0,DATE($C673,8,15)&gt;$T$644)),0,IF(DATE($C673,8,15)&gt;=$X$644,$AA$644*(1+($U$644)/100)^MAX(0,$C673-$AD$644),IF(DATE($C673,8,15)&gt;=$W$644,$Z$644*(1+($U$644)/100)^MAX(0,$C673-$AC$644),IF(DATE($C673,8,15)&gt;=$V$644,$Y$644*(1+($U$644)/100)^MAX(0,$C673-$AB$644),0)))))</f>
      </c>
      <c r="M673" s="43">
        <f>IF($S$644=0,0,IF(OR(DATE($C673,9,15)&lt;$S$644,AND($T$644&gt;0,DATE($C673,9,15)&gt;$T$644)),0,IF(DATE($C673,9,15)&gt;=$X$644,$AA$644*(1+($U$644)/100)^MAX(0,$C673-$AD$644),IF(DATE($C673,9,15)&gt;=$W$644,$Z$644*(1+($U$644)/100)^MAX(0,$C673-$AC$644),IF(DATE($C673,9,15)&gt;=$V$644,$Y$644*(1+($U$644)/100)^MAX(0,$C673-$AB$644),0)))))</f>
      </c>
      <c r="N673" s="43">
        <f>IF($S$644=0,0,IF(OR(DATE($C673,10,15)&lt;$S$644,AND($T$644&gt;0,DATE($C673,10,15)&gt;$T$644)),0,IF(DATE($C673,10,15)&gt;=$X$644,$AA$644*(1+($U$644)/100)^MAX(0,$C673-$AD$644),IF(DATE($C673,10,15)&gt;=$W$644,$Z$644*(1+($U$644)/100)^MAX(0,$C673-$AC$644),IF(DATE($C673,10,15)&gt;=$V$644,$Y$644*(1+($U$644)/100)^MAX(0,$C673-$AB$644),0)))))</f>
      </c>
      <c r="O673" s="43">
        <f>IF($S$644=0,0,IF(OR(DATE($C673,11,15)&lt;$S$644,AND($T$644&gt;0,DATE($C673,11,15)&gt;$T$644)),0,IF(DATE($C673,11,15)&gt;=$X$644,$AA$644*(1+($U$644)/100)^MAX(0,$C673-$AD$644),IF(DATE($C673,11,15)&gt;=$W$644,$Z$644*(1+($U$644)/100)^MAX(0,$C673-$AC$644),IF(DATE($C673,11,15)&gt;=$V$644,$Y$644*(1+($U$644)/100)^MAX(0,$C673-$AB$644),0)))))</f>
      </c>
      <c r="P673" s="43">
        <f>IF($S$644=0,0,IF(OR(DATE($C673,12,15)&lt;$S$644,AND($T$644&gt;0,DATE($C673,12,15)&gt;$T$644)),0,IF(DATE($C673,12,15)&gt;=$X$644,$AA$644*(1+($U$644)/100)^MAX(0,$C673-$AD$644),IF(DATE($C673,12,15)&gt;=$W$644,$Z$644*(1+($U$644)/100)^MAX(0,$C673-$AC$644),IF(DATE($C673,12,15)&gt;=$V$644,$Y$644*(1+($U$644)/100)^MAX(0,$C673-$AB$644),0)))))</f>
      </c>
      <c r="Q673" s="43">
        <f>SUM($E673:$P673)</f>
      </c>
    </row>
    <row r="674">
      <c r="A674"/>
      <c r="B674">
        <v>21</v>
      </c>
      <c r="C674" s="43">
        <f>Jahr+30</f>
      </c>
      <c r="D674" s="43">
        <f>INDEX(MvObj,21)</f>
      </c>
      <c r="E674" s="43">
        <f>IF($S$644=0,0,IF(OR(DATE($C674,1,15)&lt;$S$644,AND($T$644&gt;0,DATE($C674,1,15)&gt;$T$644)),0,IF(DATE($C674,1,15)&gt;=$X$644,$AA$644*(1+($U$644)/100)^MAX(0,$C674-$AD$644),IF(DATE($C674,1,15)&gt;=$W$644,$Z$644*(1+($U$644)/100)^MAX(0,$C674-$AC$644),IF(DATE($C674,1,15)&gt;=$V$644,$Y$644*(1+($U$644)/100)^MAX(0,$C674-$AB$644),0)))))</f>
      </c>
      <c r="F674" s="43">
        <f>IF($S$644=0,0,IF(OR(DATE($C674,2,15)&lt;$S$644,AND($T$644&gt;0,DATE($C674,2,15)&gt;$T$644)),0,IF(DATE($C674,2,15)&gt;=$X$644,$AA$644*(1+($U$644)/100)^MAX(0,$C674-$AD$644),IF(DATE($C674,2,15)&gt;=$W$644,$Z$644*(1+($U$644)/100)^MAX(0,$C674-$AC$644),IF(DATE($C674,2,15)&gt;=$V$644,$Y$644*(1+($U$644)/100)^MAX(0,$C674-$AB$644),0)))))</f>
      </c>
      <c r="G674" s="43">
        <f>IF($S$644=0,0,IF(OR(DATE($C674,3,15)&lt;$S$644,AND($T$644&gt;0,DATE($C674,3,15)&gt;$T$644)),0,IF(DATE($C674,3,15)&gt;=$X$644,$AA$644*(1+($U$644)/100)^MAX(0,$C674-$AD$644),IF(DATE($C674,3,15)&gt;=$W$644,$Z$644*(1+($U$644)/100)^MAX(0,$C674-$AC$644),IF(DATE($C674,3,15)&gt;=$V$644,$Y$644*(1+($U$644)/100)^MAX(0,$C674-$AB$644),0)))))</f>
      </c>
      <c r="H674" s="43">
        <f>IF($S$644=0,0,IF(OR(DATE($C674,4,15)&lt;$S$644,AND($T$644&gt;0,DATE($C674,4,15)&gt;$T$644)),0,IF(DATE($C674,4,15)&gt;=$X$644,$AA$644*(1+($U$644)/100)^MAX(0,$C674-$AD$644),IF(DATE($C674,4,15)&gt;=$W$644,$Z$644*(1+($U$644)/100)^MAX(0,$C674-$AC$644),IF(DATE($C674,4,15)&gt;=$V$644,$Y$644*(1+($U$644)/100)^MAX(0,$C674-$AB$644),0)))))</f>
      </c>
      <c r="I674" s="43">
        <f>IF($S$644=0,0,IF(OR(DATE($C674,5,15)&lt;$S$644,AND($T$644&gt;0,DATE($C674,5,15)&gt;$T$644)),0,IF(DATE($C674,5,15)&gt;=$X$644,$AA$644*(1+($U$644)/100)^MAX(0,$C674-$AD$644),IF(DATE($C674,5,15)&gt;=$W$644,$Z$644*(1+($U$644)/100)^MAX(0,$C674-$AC$644),IF(DATE($C674,5,15)&gt;=$V$644,$Y$644*(1+($U$644)/100)^MAX(0,$C674-$AB$644),0)))))</f>
      </c>
      <c r="J674" s="43">
        <f>IF($S$644=0,0,IF(OR(DATE($C674,6,15)&lt;$S$644,AND($T$644&gt;0,DATE($C674,6,15)&gt;$T$644)),0,IF(DATE($C674,6,15)&gt;=$X$644,$AA$644*(1+($U$644)/100)^MAX(0,$C674-$AD$644),IF(DATE($C674,6,15)&gt;=$W$644,$Z$644*(1+($U$644)/100)^MAX(0,$C674-$AC$644),IF(DATE($C674,6,15)&gt;=$V$644,$Y$644*(1+($U$644)/100)^MAX(0,$C674-$AB$644),0)))))</f>
      </c>
      <c r="K674" s="43">
        <f>IF($S$644=0,0,IF(OR(DATE($C674,7,15)&lt;$S$644,AND($T$644&gt;0,DATE($C674,7,15)&gt;$T$644)),0,IF(DATE($C674,7,15)&gt;=$X$644,$AA$644*(1+($U$644)/100)^MAX(0,$C674-$AD$644),IF(DATE($C674,7,15)&gt;=$W$644,$Z$644*(1+($U$644)/100)^MAX(0,$C674-$AC$644),IF(DATE($C674,7,15)&gt;=$V$644,$Y$644*(1+($U$644)/100)^MAX(0,$C674-$AB$644),0)))))</f>
      </c>
      <c r="L674" s="43">
        <f>IF($S$644=0,0,IF(OR(DATE($C674,8,15)&lt;$S$644,AND($T$644&gt;0,DATE($C674,8,15)&gt;$T$644)),0,IF(DATE($C674,8,15)&gt;=$X$644,$AA$644*(1+($U$644)/100)^MAX(0,$C674-$AD$644),IF(DATE($C674,8,15)&gt;=$W$644,$Z$644*(1+($U$644)/100)^MAX(0,$C674-$AC$644),IF(DATE($C674,8,15)&gt;=$V$644,$Y$644*(1+($U$644)/100)^MAX(0,$C674-$AB$644),0)))))</f>
      </c>
      <c r="M674" s="43">
        <f>IF($S$644=0,0,IF(OR(DATE($C674,9,15)&lt;$S$644,AND($T$644&gt;0,DATE($C674,9,15)&gt;$T$644)),0,IF(DATE($C674,9,15)&gt;=$X$644,$AA$644*(1+($U$644)/100)^MAX(0,$C674-$AD$644),IF(DATE($C674,9,15)&gt;=$W$644,$Z$644*(1+($U$644)/100)^MAX(0,$C674-$AC$644),IF(DATE($C674,9,15)&gt;=$V$644,$Y$644*(1+($U$644)/100)^MAX(0,$C674-$AB$644),0)))))</f>
      </c>
      <c r="N674" s="43">
        <f>IF($S$644=0,0,IF(OR(DATE($C674,10,15)&lt;$S$644,AND($T$644&gt;0,DATE($C674,10,15)&gt;$T$644)),0,IF(DATE($C674,10,15)&gt;=$X$644,$AA$644*(1+($U$644)/100)^MAX(0,$C674-$AD$644),IF(DATE($C674,10,15)&gt;=$W$644,$Z$644*(1+($U$644)/100)^MAX(0,$C674-$AC$644),IF(DATE($C674,10,15)&gt;=$V$644,$Y$644*(1+($U$644)/100)^MAX(0,$C674-$AB$644),0)))))</f>
      </c>
      <c r="O674" s="43">
        <f>IF($S$644=0,0,IF(OR(DATE($C674,11,15)&lt;$S$644,AND($T$644&gt;0,DATE($C674,11,15)&gt;$T$644)),0,IF(DATE($C674,11,15)&gt;=$X$644,$AA$644*(1+($U$644)/100)^MAX(0,$C674-$AD$644),IF(DATE($C674,11,15)&gt;=$W$644,$Z$644*(1+($U$644)/100)^MAX(0,$C674-$AC$644),IF(DATE($C674,11,15)&gt;=$V$644,$Y$644*(1+($U$644)/100)^MAX(0,$C674-$AB$644),0)))))</f>
      </c>
      <c r="P674" s="43">
        <f>IF($S$644=0,0,IF(OR(DATE($C674,12,15)&lt;$S$644,AND($T$644&gt;0,DATE($C674,12,15)&gt;$T$644)),0,IF(DATE($C674,12,15)&gt;=$X$644,$AA$644*(1+($U$644)/100)^MAX(0,$C674-$AD$644),IF(DATE($C674,12,15)&gt;=$W$644,$Z$644*(1+($U$644)/100)^MAX(0,$C674-$AC$644),IF(DATE($C674,12,15)&gt;=$V$644,$Y$644*(1+($U$644)/100)^MAX(0,$C674-$AB$644),0)))))</f>
      </c>
      <c r="Q674" s="43">
        <f>SUM($E674:$P674)</f>
      </c>
    </row>
    <row r="675">
      <c r="A675"/>
      <c r="B675">
        <v>22</v>
      </c>
      <c r="C675" s="43">
        <f>Jahr+0</f>
      </c>
      <c r="D675" s="43">
        <f>INDEX(MvObj,22)</f>
      </c>
      <c r="E675" s="43">
        <f>IF($S$675=0,0,IF(OR(DATE($C675,1,15)&lt;$S$675,AND($T$675&gt;0,DATE($C675,1,15)&gt;$T$675)),0,IF(DATE($C675,1,15)&gt;=$X$675,$AA$675*(1+($U$675)/100)^MAX(0,$C675-$AD$675),IF(DATE($C675,1,15)&gt;=$W$675,$Z$675*(1+($U$675)/100)^MAX(0,$C675-$AC$675),IF(DATE($C675,1,15)&gt;=$V$675,$Y$675*(1+($U$675)/100)^MAX(0,$C675-$AB$675),0)))))</f>
      </c>
      <c r="F675" s="43">
        <f>IF($S$675=0,0,IF(OR(DATE($C675,2,15)&lt;$S$675,AND($T$675&gt;0,DATE($C675,2,15)&gt;$T$675)),0,IF(DATE($C675,2,15)&gt;=$X$675,$AA$675*(1+($U$675)/100)^MAX(0,$C675-$AD$675),IF(DATE($C675,2,15)&gt;=$W$675,$Z$675*(1+($U$675)/100)^MAX(0,$C675-$AC$675),IF(DATE($C675,2,15)&gt;=$V$675,$Y$675*(1+($U$675)/100)^MAX(0,$C675-$AB$675),0)))))</f>
      </c>
      <c r="G675" s="43">
        <f>IF($S$675=0,0,IF(OR(DATE($C675,3,15)&lt;$S$675,AND($T$675&gt;0,DATE($C675,3,15)&gt;$T$675)),0,IF(DATE($C675,3,15)&gt;=$X$675,$AA$675*(1+($U$675)/100)^MAX(0,$C675-$AD$675),IF(DATE($C675,3,15)&gt;=$W$675,$Z$675*(1+($U$675)/100)^MAX(0,$C675-$AC$675),IF(DATE($C675,3,15)&gt;=$V$675,$Y$675*(1+($U$675)/100)^MAX(0,$C675-$AB$675),0)))))</f>
      </c>
      <c r="H675" s="43">
        <f>IF($S$675=0,0,IF(OR(DATE($C675,4,15)&lt;$S$675,AND($T$675&gt;0,DATE($C675,4,15)&gt;$T$675)),0,IF(DATE($C675,4,15)&gt;=$X$675,$AA$675*(1+($U$675)/100)^MAX(0,$C675-$AD$675),IF(DATE($C675,4,15)&gt;=$W$675,$Z$675*(1+($U$675)/100)^MAX(0,$C675-$AC$675),IF(DATE($C675,4,15)&gt;=$V$675,$Y$675*(1+($U$675)/100)^MAX(0,$C675-$AB$675),0)))))</f>
      </c>
      <c r="I675" s="43">
        <f>IF($S$675=0,0,IF(OR(DATE($C675,5,15)&lt;$S$675,AND($T$675&gt;0,DATE($C675,5,15)&gt;$T$675)),0,IF(DATE($C675,5,15)&gt;=$X$675,$AA$675*(1+($U$675)/100)^MAX(0,$C675-$AD$675),IF(DATE($C675,5,15)&gt;=$W$675,$Z$675*(1+($U$675)/100)^MAX(0,$C675-$AC$675),IF(DATE($C675,5,15)&gt;=$V$675,$Y$675*(1+($U$675)/100)^MAX(0,$C675-$AB$675),0)))))</f>
      </c>
      <c r="J675" s="43">
        <f>IF($S$675=0,0,IF(OR(DATE($C675,6,15)&lt;$S$675,AND($T$675&gt;0,DATE($C675,6,15)&gt;$T$675)),0,IF(DATE($C675,6,15)&gt;=$X$675,$AA$675*(1+($U$675)/100)^MAX(0,$C675-$AD$675),IF(DATE($C675,6,15)&gt;=$W$675,$Z$675*(1+($U$675)/100)^MAX(0,$C675-$AC$675),IF(DATE($C675,6,15)&gt;=$V$675,$Y$675*(1+($U$675)/100)^MAX(0,$C675-$AB$675),0)))))</f>
      </c>
      <c r="K675" s="43">
        <f>IF($S$675=0,0,IF(OR(DATE($C675,7,15)&lt;$S$675,AND($T$675&gt;0,DATE($C675,7,15)&gt;$T$675)),0,IF(DATE($C675,7,15)&gt;=$X$675,$AA$675*(1+($U$675)/100)^MAX(0,$C675-$AD$675),IF(DATE($C675,7,15)&gt;=$W$675,$Z$675*(1+($U$675)/100)^MAX(0,$C675-$AC$675),IF(DATE($C675,7,15)&gt;=$V$675,$Y$675*(1+($U$675)/100)^MAX(0,$C675-$AB$675),0)))))</f>
      </c>
      <c r="L675" s="43">
        <f>IF($S$675=0,0,IF(OR(DATE($C675,8,15)&lt;$S$675,AND($T$675&gt;0,DATE($C675,8,15)&gt;$T$675)),0,IF(DATE($C675,8,15)&gt;=$X$675,$AA$675*(1+($U$675)/100)^MAX(0,$C675-$AD$675),IF(DATE($C675,8,15)&gt;=$W$675,$Z$675*(1+($U$675)/100)^MAX(0,$C675-$AC$675),IF(DATE($C675,8,15)&gt;=$V$675,$Y$675*(1+($U$675)/100)^MAX(0,$C675-$AB$675),0)))))</f>
      </c>
      <c r="M675" s="43">
        <f>IF($S$675=0,0,IF(OR(DATE($C675,9,15)&lt;$S$675,AND($T$675&gt;0,DATE($C675,9,15)&gt;$T$675)),0,IF(DATE($C675,9,15)&gt;=$X$675,$AA$675*(1+($U$675)/100)^MAX(0,$C675-$AD$675),IF(DATE($C675,9,15)&gt;=$W$675,$Z$675*(1+($U$675)/100)^MAX(0,$C675-$AC$675),IF(DATE($C675,9,15)&gt;=$V$675,$Y$675*(1+($U$675)/100)^MAX(0,$C675-$AB$675),0)))))</f>
      </c>
      <c r="N675" s="43">
        <f>IF($S$675=0,0,IF(OR(DATE($C675,10,15)&lt;$S$675,AND($T$675&gt;0,DATE($C675,10,15)&gt;$T$675)),0,IF(DATE($C675,10,15)&gt;=$X$675,$AA$675*(1+($U$675)/100)^MAX(0,$C675-$AD$675),IF(DATE($C675,10,15)&gt;=$W$675,$Z$675*(1+($U$675)/100)^MAX(0,$C675-$AC$675),IF(DATE($C675,10,15)&gt;=$V$675,$Y$675*(1+($U$675)/100)^MAX(0,$C675-$AB$675),0)))))</f>
      </c>
      <c r="O675" s="43">
        <f>IF($S$675=0,0,IF(OR(DATE($C675,11,15)&lt;$S$675,AND($T$675&gt;0,DATE($C675,11,15)&gt;$T$675)),0,IF(DATE($C675,11,15)&gt;=$X$675,$AA$675*(1+($U$675)/100)^MAX(0,$C675-$AD$675),IF(DATE($C675,11,15)&gt;=$W$675,$Z$675*(1+($U$675)/100)^MAX(0,$C675-$AC$675),IF(DATE($C675,11,15)&gt;=$V$675,$Y$675*(1+($U$675)/100)^MAX(0,$C675-$AB$675),0)))))</f>
      </c>
      <c r="P675" s="43">
        <f>IF($S$675=0,0,IF(OR(DATE($C675,12,15)&lt;$S$675,AND($T$675&gt;0,DATE($C675,12,15)&gt;$T$675)),0,IF(DATE($C675,12,15)&gt;=$X$675,$AA$675*(1+($U$675)/100)^MAX(0,$C675-$AD$675),IF(DATE($C675,12,15)&gt;=$W$675,$Z$675*(1+($U$675)/100)^MAX(0,$C675-$AC$675),IF(DATE($C675,12,15)&gt;=$V$675,$Y$675*(1+($U$675)/100)^MAX(0,$C675-$AB$675),0)))))</f>
      </c>
      <c r="Q675" s="43">
        <f>SUM($E675:$P675)</f>
      </c>
      <c r="R675"/>
      <c r="S675" s="43">
        <f>IF(INDEX(MvBeginn,22)="",0,INDEX(MvBeginn,22))</f>
      </c>
      <c r="T675" s="43">
        <f>INDEX(MvEnde,22)</f>
      </c>
      <c r="U675" s="43">
        <f>INDEX(MvSatz,22)</f>
      </c>
      <c r="V675" s="43">
        <f>INDEX(MvKey1,22)</f>
      </c>
      <c r="W675" s="43">
        <f>INDEX(MvKey2,22)</f>
      </c>
      <c r="X675" s="43">
        <f>INDEX(MvKey3,22)</f>
      </c>
      <c r="Y675" s="43">
        <f>INDEX(MvKalt1,22)</f>
      </c>
      <c r="Z675" s="43">
        <f>INDEX(MvKalt2,22)</f>
      </c>
      <c r="AA675" s="43">
        <f>INDEX(MvKalt3,22)</f>
      </c>
      <c r="AB675" s="43">
        <f>MAX(YEAR(INDEX(MvAb1,22)),Jahr)</f>
      </c>
      <c r="AC675" s="43">
        <f>MAX(YEAR(INDEX(MvAb2,22)),Jahr)</f>
      </c>
      <c r="AD675" s="43">
        <f>MAX(YEAR(INDEX(MvAb3,22)),Jahr)</f>
      </c>
    </row>
    <row r="676">
      <c r="A676"/>
      <c r="B676">
        <v>22</v>
      </c>
      <c r="C676" s="43">
        <f>Jahr+1</f>
      </c>
      <c r="D676" s="43">
        <f>INDEX(MvObj,22)</f>
      </c>
      <c r="E676" s="43">
        <f>IF($S$675=0,0,IF(OR(DATE($C676,1,15)&lt;$S$675,AND($T$675&gt;0,DATE($C676,1,15)&gt;$T$675)),0,IF(DATE($C676,1,15)&gt;=$X$675,$AA$675*(1+($U$675)/100)^MAX(0,$C676-$AD$675),IF(DATE($C676,1,15)&gt;=$W$675,$Z$675*(1+($U$675)/100)^MAX(0,$C676-$AC$675),IF(DATE($C676,1,15)&gt;=$V$675,$Y$675*(1+($U$675)/100)^MAX(0,$C676-$AB$675),0)))))</f>
      </c>
      <c r="F676" s="43">
        <f>IF($S$675=0,0,IF(OR(DATE($C676,2,15)&lt;$S$675,AND($T$675&gt;0,DATE($C676,2,15)&gt;$T$675)),0,IF(DATE($C676,2,15)&gt;=$X$675,$AA$675*(1+($U$675)/100)^MAX(0,$C676-$AD$675),IF(DATE($C676,2,15)&gt;=$W$675,$Z$675*(1+($U$675)/100)^MAX(0,$C676-$AC$675),IF(DATE($C676,2,15)&gt;=$V$675,$Y$675*(1+($U$675)/100)^MAX(0,$C676-$AB$675),0)))))</f>
      </c>
      <c r="G676" s="43">
        <f>IF($S$675=0,0,IF(OR(DATE($C676,3,15)&lt;$S$675,AND($T$675&gt;0,DATE($C676,3,15)&gt;$T$675)),0,IF(DATE($C676,3,15)&gt;=$X$675,$AA$675*(1+($U$675)/100)^MAX(0,$C676-$AD$675),IF(DATE($C676,3,15)&gt;=$W$675,$Z$675*(1+($U$675)/100)^MAX(0,$C676-$AC$675),IF(DATE($C676,3,15)&gt;=$V$675,$Y$675*(1+($U$675)/100)^MAX(0,$C676-$AB$675),0)))))</f>
      </c>
      <c r="H676" s="43">
        <f>IF($S$675=0,0,IF(OR(DATE($C676,4,15)&lt;$S$675,AND($T$675&gt;0,DATE($C676,4,15)&gt;$T$675)),0,IF(DATE($C676,4,15)&gt;=$X$675,$AA$675*(1+($U$675)/100)^MAX(0,$C676-$AD$675),IF(DATE($C676,4,15)&gt;=$W$675,$Z$675*(1+($U$675)/100)^MAX(0,$C676-$AC$675),IF(DATE($C676,4,15)&gt;=$V$675,$Y$675*(1+($U$675)/100)^MAX(0,$C676-$AB$675),0)))))</f>
      </c>
      <c r="I676" s="43">
        <f>IF($S$675=0,0,IF(OR(DATE($C676,5,15)&lt;$S$675,AND($T$675&gt;0,DATE($C676,5,15)&gt;$T$675)),0,IF(DATE($C676,5,15)&gt;=$X$675,$AA$675*(1+($U$675)/100)^MAX(0,$C676-$AD$675),IF(DATE($C676,5,15)&gt;=$W$675,$Z$675*(1+($U$675)/100)^MAX(0,$C676-$AC$675),IF(DATE($C676,5,15)&gt;=$V$675,$Y$675*(1+($U$675)/100)^MAX(0,$C676-$AB$675),0)))))</f>
      </c>
      <c r="J676" s="43">
        <f>IF($S$675=0,0,IF(OR(DATE($C676,6,15)&lt;$S$675,AND($T$675&gt;0,DATE($C676,6,15)&gt;$T$675)),0,IF(DATE($C676,6,15)&gt;=$X$675,$AA$675*(1+($U$675)/100)^MAX(0,$C676-$AD$675),IF(DATE($C676,6,15)&gt;=$W$675,$Z$675*(1+($U$675)/100)^MAX(0,$C676-$AC$675),IF(DATE($C676,6,15)&gt;=$V$675,$Y$675*(1+($U$675)/100)^MAX(0,$C676-$AB$675),0)))))</f>
      </c>
      <c r="K676" s="43">
        <f>IF($S$675=0,0,IF(OR(DATE($C676,7,15)&lt;$S$675,AND($T$675&gt;0,DATE($C676,7,15)&gt;$T$675)),0,IF(DATE($C676,7,15)&gt;=$X$675,$AA$675*(1+($U$675)/100)^MAX(0,$C676-$AD$675),IF(DATE($C676,7,15)&gt;=$W$675,$Z$675*(1+($U$675)/100)^MAX(0,$C676-$AC$675),IF(DATE($C676,7,15)&gt;=$V$675,$Y$675*(1+($U$675)/100)^MAX(0,$C676-$AB$675),0)))))</f>
      </c>
      <c r="L676" s="43">
        <f>IF($S$675=0,0,IF(OR(DATE($C676,8,15)&lt;$S$675,AND($T$675&gt;0,DATE($C676,8,15)&gt;$T$675)),0,IF(DATE($C676,8,15)&gt;=$X$675,$AA$675*(1+($U$675)/100)^MAX(0,$C676-$AD$675),IF(DATE($C676,8,15)&gt;=$W$675,$Z$675*(1+($U$675)/100)^MAX(0,$C676-$AC$675),IF(DATE($C676,8,15)&gt;=$V$675,$Y$675*(1+($U$675)/100)^MAX(0,$C676-$AB$675),0)))))</f>
      </c>
      <c r="M676" s="43">
        <f>IF($S$675=0,0,IF(OR(DATE($C676,9,15)&lt;$S$675,AND($T$675&gt;0,DATE($C676,9,15)&gt;$T$675)),0,IF(DATE($C676,9,15)&gt;=$X$675,$AA$675*(1+($U$675)/100)^MAX(0,$C676-$AD$675),IF(DATE($C676,9,15)&gt;=$W$675,$Z$675*(1+($U$675)/100)^MAX(0,$C676-$AC$675),IF(DATE($C676,9,15)&gt;=$V$675,$Y$675*(1+($U$675)/100)^MAX(0,$C676-$AB$675),0)))))</f>
      </c>
      <c r="N676" s="43">
        <f>IF($S$675=0,0,IF(OR(DATE($C676,10,15)&lt;$S$675,AND($T$675&gt;0,DATE($C676,10,15)&gt;$T$675)),0,IF(DATE($C676,10,15)&gt;=$X$675,$AA$675*(1+($U$675)/100)^MAX(0,$C676-$AD$675),IF(DATE($C676,10,15)&gt;=$W$675,$Z$675*(1+($U$675)/100)^MAX(0,$C676-$AC$675),IF(DATE($C676,10,15)&gt;=$V$675,$Y$675*(1+($U$675)/100)^MAX(0,$C676-$AB$675),0)))))</f>
      </c>
      <c r="O676" s="43">
        <f>IF($S$675=0,0,IF(OR(DATE($C676,11,15)&lt;$S$675,AND($T$675&gt;0,DATE($C676,11,15)&gt;$T$675)),0,IF(DATE($C676,11,15)&gt;=$X$675,$AA$675*(1+($U$675)/100)^MAX(0,$C676-$AD$675),IF(DATE($C676,11,15)&gt;=$W$675,$Z$675*(1+($U$675)/100)^MAX(0,$C676-$AC$675),IF(DATE($C676,11,15)&gt;=$V$675,$Y$675*(1+($U$675)/100)^MAX(0,$C676-$AB$675),0)))))</f>
      </c>
      <c r="P676" s="43">
        <f>IF($S$675=0,0,IF(OR(DATE($C676,12,15)&lt;$S$675,AND($T$675&gt;0,DATE($C676,12,15)&gt;$T$675)),0,IF(DATE($C676,12,15)&gt;=$X$675,$AA$675*(1+($U$675)/100)^MAX(0,$C676-$AD$675),IF(DATE($C676,12,15)&gt;=$W$675,$Z$675*(1+($U$675)/100)^MAX(0,$C676-$AC$675),IF(DATE($C676,12,15)&gt;=$V$675,$Y$675*(1+($U$675)/100)^MAX(0,$C676-$AB$675),0)))))</f>
      </c>
      <c r="Q676" s="43">
        <f>SUM($E676:$P676)</f>
      </c>
    </row>
    <row r="677">
      <c r="A677"/>
      <c r="B677">
        <v>22</v>
      </c>
      <c r="C677" s="43">
        <f>Jahr+2</f>
      </c>
      <c r="D677" s="43">
        <f>INDEX(MvObj,22)</f>
      </c>
      <c r="E677" s="43">
        <f>IF($S$675=0,0,IF(OR(DATE($C677,1,15)&lt;$S$675,AND($T$675&gt;0,DATE($C677,1,15)&gt;$T$675)),0,IF(DATE($C677,1,15)&gt;=$X$675,$AA$675*(1+($U$675)/100)^MAX(0,$C677-$AD$675),IF(DATE($C677,1,15)&gt;=$W$675,$Z$675*(1+($U$675)/100)^MAX(0,$C677-$AC$675),IF(DATE($C677,1,15)&gt;=$V$675,$Y$675*(1+($U$675)/100)^MAX(0,$C677-$AB$675),0)))))</f>
      </c>
      <c r="F677" s="43">
        <f>IF($S$675=0,0,IF(OR(DATE($C677,2,15)&lt;$S$675,AND($T$675&gt;0,DATE($C677,2,15)&gt;$T$675)),0,IF(DATE($C677,2,15)&gt;=$X$675,$AA$675*(1+($U$675)/100)^MAX(0,$C677-$AD$675),IF(DATE($C677,2,15)&gt;=$W$675,$Z$675*(1+($U$675)/100)^MAX(0,$C677-$AC$675),IF(DATE($C677,2,15)&gt;=$V$675,$Y$675*(1+($U$675)/100)^MAX(0,$C677-$AB$675),0)))))</f>
      </c>
      <c r="G677" s="43">
        <f>IF($S$675=0,0,IF(OR(DATE($C677,3,15)&lt;$S$675,AND($T$675&gt;0,DATE($C677,3,15)&gt;$T$675)),0,IF(DATE($C677,3,15)&gt;=$X$675,$AA$675*(1+($U$675)/100)^MAX(0,$C677-$AD$675),IF(DATE($C677,3,15)&gt;=$W$675,$Z$675*(1+($U$675)/100)^MAX(0,$C677-$AC$675),IF(DATE($C677,3,15)&gt;=$V$675,$Y$675*(1+($U$675)/100)^MAX(0,$C677-$AB$675),0)))))</f>
      </c>
      <c r="H677" s="43">
        <f>IF($S$675=0,0,IF(OR(DATE($C677,4,15)&lt;$S$675,AND($T$675&gt;0,DATE($C677,4,15)&gt;$T$675)),0,IF(DATE($C677,4,15)&gt;=$X$675,$AA$675*(1+($U$675)/100)^MAX(0,$C677-$AD$675),IF(DATE($C677,4,15)&gt;=$W$675,$Z$675*(1+($U$675)/100)^MAX(0,$C677-$AC$675),IF(DATE($C677,4,15)&gt;=$V$675,$Y$675*(1+($U$675)/100)^MAX(0,$C677-$AB$675),0)))))</f>
      </c>
      <c r="I677" s="43">
        <f>IF($S$675=0,0,IF(OR(DATE($C677,5,15)&lt;$S$675,AND($T$675&gt;0,DATE($C677,5,15)&gt;$T$675)),0,IF(DATE($C677,5,15)&gt;=$X$675,$AA$675*(1+($U$675)/100)^MAX(0,$C677-$AD$675),IF(DATE($C677,5,15)&gt;=$W$675,$Z$675*(1+($U$675)/100)^MAX(0,$C677-$AC$675),IF(DATE($C677,5,15)&gt;=$V$675,$Y$675*(1+($U$675)/100)^MAX(0,$C677-$AB$675),0)))))</f>
      </c>
      <c r="J677" s="43">
        <f>IF($S$675=0,0,IF(OR(DATE($C677,6,15)&lt;$S$675,AND($T$675&gt;0,DATE($C677,6,15)&gt;$T$675)),0,IF(DATE($C677,6,15)&gt;=$X$675,$AA$675*(1+($U$675)/100)^MAX(0,$C677-$AD$675),IF(DATE($C677,6,15)&gt;=$W$675,$Z$675*(1+($U$675)/100)^MAX(0,$C677-$AC$675),IF(DATE($C677,6,15)&gt;=$V$675,$Y$675*(1+($U$675)/100)^MAX(0,$C677-$AB$675),0)))))</f>
      </c>
      <c r="K677" s="43">
        <f>IF($S$675=0,0,IF(OR(DATE($C677,7,15)&lt;$S$675,AND($T$675&gt;0,DATE($C677,7,15)&gt;$T$675)),0,IF(DATE($C677,7,15)&gt;=$X$675,$AA$675*(1+($U$675)/100)^MAX(0,$C677-$AD$675),IF(DATE($C677,7,15)&gt;=$W$675,$Z$675*(1+($U$675)/100)^MAX(0,$C677-$AC$675),IF(DATE($C677,7,15)&gt;=$V$675,$Y$675*(1+($U$675)/100)^MAX(0,$C677-$AB$675),0)))))</f>
      </c>
      <c r="L677" s="43">
        <f>IF($S$675=0,0,IF(OR(DATE($C677,8,15)&lt;$S$675,AND($T$675&gt;0,DATE($C677,8,15)&gt;$T$675)),0,IF(DATE($C677,8,15)&gt;=$X$675,$AA$675*(1+($U$675)/100)^MAX(0,$C677-$AD$675),IF(DATE($C677,8,15)&gt;=$W$675,$Z$675*(1+($U$675)/100)^MAX(0,$C677-$AC$675),IF(DATE($C677,8,15)&gt;=$V$675,$Y$675*(1+($U$675)/100)^MAX(0,$C677-$AB$675),0)))))</f>
      </c>
      <c r="M677" s="43">
        <f>IF($S$675=0,0,IF(OR(DATE($C677,9,15)&lt;$S$675,AND($T$675&gt;0,DATE($C677,9,15)&gt;$T$675)),0,IF(DATE($C677,9,15)&gt;=$X$675,$AA$675*(1+($U$675)/100)^MAX(0,$C677-$AD$675),IF(DATE($C677,9,15)&gt;=$W$675,$Z$675*(1+($U$675)/100)^MAX(0,$C677-$AC$675),IF(DATE($C677,9,15)&gt;=$V$675,$Y$675*(1+($U$675)/100)^MAX(0,$C677-$AB$675),0)))))</f>
      </c>
      <c r="N677" s="43">
        <f>IF($S$675=0,0,IF(OR(DATE($C677,10,15)&lt;$S$675,AND($T$675&gt;0,DATE($C677,10,15)&gt;$T$675)),0,IF(DATE($C677,10,15)&gt;=$X$675,$AA$675*(1+($U$675)/100)^MAX(0,$C677-$AD$675),IF(DATE($C677,10,15)&gt;=$W$675,$Z$675*(1+($U$675)/100)^MAX(0,$C677-$AC$675),IF(DATE($C677,10,15)&gt;=$V$675,$Y$675*(1+($U$675)/100)^MAX(0,$C677-$AB$675),0)))))</f>
      </c>
      <c r="O677" s="43">
        <f>IF($S$675=0,0,IF(OR(DATE($C677,11,15)&lt;$S$675,AND($T$675&gt;0,DATE($C677,11,15)&gt;$T$675)),0,IF(DATE($C677,11,15)&gt;=$X$675,$AA$675*(1+($U$675)/100)^MAX(0,$C677-$AD$675),IF(DATE($C677,11,15)&gt;=$W$675,$Z$675*(1+($U$675)/100)^MAX(0,$C677-$AC$675),IF(DATE($C677,11,15)&gt;=$V$675,$Y$675*(1+($U$675)/100)^MAX(0,$C677-$AB$675),0)))))</f>
      </c>
      <c r="P677" s="43">
        <f>IF($S$675=0,0,IF(OR(DATE($C677,12,15)&lt;$S$675,AND($T$675&gt;0,DATE($C677,12,15)&gt;$T$675)),0,IF(DATE($C677,12,15)&gt;=$X$675,$AA$675*(1+($U$675)/100)^MAX(0,$C677-$AD$675),IF(DATE($C677,12,15)&gt;=$W$675,$Z$675*(1+($U$675)/100)^MAX(0,$C677-$AC$675),IF(DATE($C677,12,15)&gt;=$V$675,$Y$675*(1+($U$675)/100)^MAX(0,$C677-$AB$675),0)))))</f>
      </c>
      <c r="Q677" s="43">
        <f>SUM($E677:$P677)</f>
      </c>
    </row>
    <row r="678">
      <c r="A678"/>
      <c r="B678">
        <v>22</v>
      </c>
      <c r="C678" s="43">
        <f>Jahr+3</f>
      </c>
      <c r="D678" s="43">
        <f>INDEX(MvObj,22)</f>
      </c>
      <c r="E678" s="43">
        <f>IF($S$675=0,0,IF(OR(DATE($C678,1,15)&lt;$S$675,AND($T$675&gt;0,DATE($C678,1,15)&gt;$T$675)),0,IF(DATE($C678,1,15)&gt;=$X$675,$AA$675*(1+($U$675)/100)^MAX(0,$C678-$AD$675),IF(DATE($C678,1,15)&gt;=$W$675,$Z$675*(1+($U$675)/100)^MAX(0,$C678-$AC$675),IF(DATE($C678,1,15)&gt;=$V$675,$Y$675*(1+($U$675)/100)^MAX(0,$C678-$AB$675),0)))))</f>
      </c>
      <c r="F678" s="43">
        <f>IF($S$675=0,0,IF(OR(DATE($C678,2,15)&lt;$S$675,AND($T$675&gt;0,DATE($C678,2,15)&gt;$T$675)),0,IF(DATE($C678,2,15)&gt;=$X$675,$AA$675*(1+($U$675)/100)^MAX(0,$C678-$AD$675),IF(DATE($C678,2,15)&gt;=$W$675,$Z$675*(1+($U$675)/100)^MAX(0,$C678-$AC$675),IF(DATE($C678,2,15)&gt;=$V$675,$Y$675*(1+($U$675)/100)^MAX(0,$C678-$AB$675),0)))))</f>
      </c>
      <c r="G678" s="43">
        <f>IF($S$675=0,0,IF(OR(DATE($C678,3,15)&lt;$S$675,AND($T$675&gt;0,DATE($C678,3,15)&gt;$T$675)),0,IF(DATE($C678,3,15)&gt;=$X$675,$AA$675*(1+($U$675)/100)^MAX(0,$C678-$AD$675),IF(DATE($C678,3,15)&gt;=$W$675,$Z$675*(1+($U$675)/100)^MAX(0,$C678-$AC$675),IF(DATE($C678,3,15)&gt;=$V$675,$Y$675*(1+($U$675)/100)^MAX(0,$C678-$AB$675),0)))))</f>
      </c>
      <c r="H678" s="43">
        <f>IF($S$675=0,0,IF(OR(DATE($C678,4,15)&lt;$S$675,AND($T$675&gt;0,DATE($C678,4,15)&gt;$T$675)),0,IF(DATE($C678,4,15)&gt;=$X$675,$AA$675*(1+($U$675)/100)^MAX(0,$C678-$AD$675),IF(DATE($C678,4,15)&gt;=$W$675,$Z$675*(1+($U$675)/100)^MAX(0,$C678-$AC$675),IF(DATE($C678,4,15)&gt;=$V$675,$Y$675*(1+($U$675)/100)^MAX(0,$C678-$AB$675),0)))))</f>
      </c>
      <c r="I678" s="43">
        <f>IF($S$675=0,0,IF(OR(DATE($C678,5,15)&lt;$S$675,AND($T$675&gt;0,DATE($C678,5,15)&gt;$T$675)),0,IF(DATE($C678,5,15)&gt;=$X$675,$AA$675*(1+($U$675)/100)^MAX(0,$C678-$AD$675),IF(DATE($C678,5,15)&gt;=$W$675,$Z$675*(1+($U$675)/100)^MAX(0,$C678-$AC$675),IF(DATE($C678,5,15)&gt;=$V$675,$Y$675*(1+($U$675)/100)^MAX(0,$C678-$AB$675),0)))))</f>
      </c>
      <c r="J678" s="43">
        <f>IF($S$675=0,0,IF(OR(DATE($C678,6,15)&lt;$S$675,AND($T$675&gt;0,DATE($C678,6,15)&gt;$T$675)),0,IF(DATE($C678,6,15)&gt;=$X$675,$AA$675*(1+($U$675)/100)^MAX(0,$C678-$AD$675),IF(DATE($C678,6,15)&gt;=$W$675,$Z$675*(1+($U$675)/100)^MAX(0,$C678-$AC$675),IF(DATE($C678,6,15)&gt;=$V$675,$Y$675*(1+($U$675)/100)^MAX(0,$C678-$AB$675),0)))))</f>
      </c>
      <c r="K678" s="43">
        <f>IF($S$675=0,0,IF(OR(DATE($C678,7,15)&lt;$S$675,AND($T$675&gt;0,DATE($C678,7,15)&gt;$T$675)),0,IF(DATE($C678,7,15)&gt;=$X$675,$AA$675*(1+($U$675)/100)^MAX(0,$C678-$AD$675),IF(DATE($C678,7,15)&gt;=$W$675,$Z$675*(1+($U$675)/100)^MAX(0,$C678-$AC$675),IF(DATE($C678,7,15)&gt;=$V$675,$Y$675*(1+($U$675)/100)^MAX(0,$C678-$AB$675),0)))))</f>
      </c>
      <c r="L678" s="43">
        <f>IF($S$675=0,0,IF(OR(DATE($C678,8,15)&lt;$S$675,AND($T$675&gt;0,DATE($C678,8,15)&gt;$T$675)),0,IF(DATE($C678,8,15)&gt;=$X$675,$AA$675*(1+($U$675)/100)^MAX(0,$C678-$AD$675),IF(DATE($C678,8,15)&gt;=$W$675,$Z$675*(1+($U$675)/100)^MAX(0,$C678-$AC$675),IF(DATE($C678,8,15)&gt;=$V$675,$Y$675*(1+($U$675)/100)^MAX(0,$C678-$AB$675),0)))))</f>
      </c>
      <c r="M678" s="43">
        <f>IF($S$675=0,0,IF(OR(DATE($C678,9,15)&lt;$S$675,AND($T$675&gt;0,DATE($C678,9,15)&gt;$T$675)),0,IF(DATE($C678,9,15)&gt;=$X$675,$AA$675*(1+($U$675)/100)^MAX(0,$C678-$AD$675),IF(DATE($C678,9,15)&gt;=$W$675,$Z$675*(1+($U$675)/100)^MAX(0,$C678-$AC$675),IF(DATE($C678,9,15)&gt;=$V$675,$Y$675*(1+($U$675)/100)^MAX(0,$C678-$AB$675),0)))))</f>
      </c>
      <c r="N678" s="43">
        <f>IF($S$675=0,0,IF(OR(DATE($C678,10,15)&lt;$S$675,AND($T$675&gt;0,DATE($C678,10,15)&gt;$T$675)),0,IF(DATE($C678,10,15)&gt;=$X$675,$AA$675*(1+($U$675)/100)^MAX(0,$C678-$AD$675),IF(DATE($C678,10,15)&gt;=$W$675,$Z$675*(1+($U$675)/100)^MAX(0,$C678-$AC$675),IF(DATE($C678,10,15)&gt;=$V$675,$Y$675*(1+($U$675)/100)^MAX(0,$C678-$AB$675),0)))))</f>
      </c>
      <c r="O678" s="43">
        <f>IF($S$675=0,0,IF(OR(DATE($C678,11,15)&lt;$S$675,AND($T$675&gt;0,DATE($C678,11,15)&gt;$T$675)),0,IF(DATE($C678,11,15)&gt;=$X$675,$AA$675*(1+($U$675)/100)^MAX(0,$C678-$AD$675),IF(DATE($C678,11,15)&gt;=$W$675,$Z$675*(1+($U$675)/100)^MAX(0,$C678-$AC$675),IF(DATE($C678,11,15)&gt;=$V$675,$Y$675*(1+($U$675)/100)^MAX(0,$C678-$AB$675),0)))))</f>
      </c>
      <c r="P678" s="43">
        <f>IF($S$675=0,0,IF(OR(DATE($C678,12,15)&lt;$S$675,AND($T$675&gt;0,DATE($C678,12,15)&gt;$T$675)),0,IF(DATE($C678,12,15)&gt;=$X$675,$AA$675*(1+($U$675)/100)^MAX(0,$C678-$AD$675),IF(DATE($C678,12,15)&gt;=$W$675,$Z$675*(1+($U$675)/100)^MAX(0,$C678-$AC$675),IF(DATE($C678,12,15)&gt;=$V$675,$Y$675*(1+($U$675)/100)^MAX(0,$C678-$AB$675),0)))))</f>
      </c>
      <c r="Q678" s="43">
        <f>SUM($E678:$P678)</f>
      </c>
    </row>
    <row r="679">
      <c r="A679"/>
      <c r="B679">
        <v>22</v>
      </c>
      <c r="C679" s="43">
        <f>Jahr+4</f>
      </c>
      <c r="D679" s="43">
        <f>INDEX(MvObj,22)</f>
      </c>
      <c r="E679" s="43">
        <f>IF($S$675=0,0,IF(OR(DATE($C679,1,15)&lt;$S$675,AND($T$675&gt;0,DATE($C679,1,15)&gt;$T$675)),0,IF(DATE($C679,1,15)&gt;=$X$675,$AA$675*(1+($U$675)/100)^MAX(0,$C679-$AD$675),IF(DATE($C679,1,15)&gt;=$W$675,$Z$675*(1+($U$675)/100)^MAX(0,$C679-$AC$675),IF(DATE($C679,1,15)&gt;=$V$675,$Y$675*(1+($U$675)/100)^MAX(0,$C679-$AB$675),0)))))</f>
      </c>
      <c r="F679" s="43">
        <f>IF($S$675=0,0,IF(OR(DATE($C679,2,15)&lt;$S$675,AND($T$675&gt;0,DATE($C679,2,15)&gt;$T$675)),0,IF(DATE($C679,2,15)&gt;=$X$675,$AA$675*(1+($U$675)/100)^MAX(0,$C679-$AD$675),IF(DATE($C679,2,15)&gt;=$W$675,$Z$675*(1+($U$675)/100)^MAX(0,$C679-$AC$675),IF(DATE($C679,2,15)&gt;=$V$675,$Y$675*(1+($U$675)/100)^MAX(0,$C679-$AB$675),0)))))</f>
      </c>
      <c r="G679" s="43">
        <f>IF($S$675=0,0,IF(OR(DATE($C679,3,15)&lt;$S$675,AND($T$675&gt;0,DATE($C679,3,15)&gt;$T$675)),0,IF(DATE($C679,3,15)&gt;=$X$675,$AA$675*(1+($U$675)/100)^MAX(0,$C679-$AD$675),IF(DATE($C679,3,15)&gt;=$W$675,$Z$675*(1+($U$675)/100)^MAX(0,$C679-$AC$675),IF(DATE($C679,3,15)&gt;=$V$675,$Y$675*(1+($U$675)/100)^MAX(0,$C679-$AB$675),0)))))</f>
      </c>
      <c r="H679" s="43">
        <f>IF($S$675=0,0,IF(OR(DATE($C679,4,15)&lt;$S$675,AND($T$675&gt;0,DATE($C679,4,15)&gt;$T$675)),0,IF(DATE($C679,4,15)&gt;=$X$675,$AA$675*(1+($U$675)/100)^MAX(0,$C679-$AD$675),IF(DATE($C679,4,15)&gt;=$W$675,$Z$675*(1+($U$675)/100)^MAX(0,$C679-$AC$675),IF(DATE($C679,4,15)&gt;=$V$675,$Y$675*(1+($U$675)/100)^MAX(0,$C679-$AB$675),0)))))</f>
      </c>
      <c r="I679" s="43">
        <f>IF($S$675=0,0,IF(OR(DATE($C679,5,15)&lt;$S$675,AND($T$675&gt;0,DATE($C679,5,15)&gt;$T$675)),0,IF(DATE($C679,5,15)&gt;=$X$675,$AA$675*(1+($U$675)/100)^MAX(0,$C679-$AD$675),IF(DATE($C679,5,15)&gt;=$W$675,$Z$675*(1+($U$675)/100)^MAX(0,$C679-$AC$675),IF(DATE($C679,5,15)&gt;=$V$675,$Y$675*(1+($U$675)/100)^MAX(0,$C679-$AB$675),0)))))</f>
      </c>
      <c r="J679" s="43">
        <f>IF($S$675=0,0,IF(OR(DATE($C679,6,15)&lt;$S$675,AND($T$675&gt;0,DATE($C679,6,15)&gt;$T$675)),0,IF(DATE($C679,6,15)&gt;=$X$675,$AA$675*(1+($U$675)/100)^MAX(0,$C679-$AD$675),IF(DATE($C679,6,15)&gt;=$W$675,$Z$675*(1+($U$675)/100)^MAX(0,$C679-$AC$675),IF(DATE($C679,6,15)&gt;=$V$675,$Y$675*(1+($U$675)/100)^MAX(0,$C679-$AB$675),0)))))</f>
      </c>
      <c r="K679" s="43">
        <f>IF($S$675=0,0,IF(OR(DATE($C679,7,15)&lt;$S$675,AND($T$675&gt;0,DATE($C679,7,15)&gt;$T$675)),0,IF(DATE($C679,7,15)&gt;=$X$675,$AA$675*(1+($U$675)/100)^MAX(0,$C679-$AD$675),IF(DATE($C679,7,15)&gt;=$W$675,$Z$675*(1+($U$675)/100)^MAX(0,$C679-$AC$675),IF(DATE($C679,7,15)&gt;=$V$675,$Y$675*(1+($U$675)/100)^MAX(0,$C679-$AB$675),0)))))</f>
      </c>
      <c r="L679" s="43">
        <f>IF($S$675=0,0,IF(OR(DATE($C679,8,15)&lt;$S$675,AND($T$675&gt;0,DATE($C679,8,15)&gt;$T$675)),0,IF(DATE($C679,8,15)&gt;=$X$675,$AA$675*(1+($U$675)/100)^MAX(0,$C679-$AD$675),IF(DATE($C679,8,15)&gt;=$W$675,$Z$675*(1+($U$675)/100)^MAX(0,$C679-$AC$675),IF(DATE($C679,8,15)&gt;=$V$675,$Y$675*(1+($U$675)/100)^MAX(0,$C679-$AB$675),0)))))</f>
      </c>
      <c r="M679" s="43">
        <f>IF($S$675=0,0,IF(OR(DATE($C679,9,15)&lt;$S$675,AND($T$675&gt;0,DATE($C679,9,15)&gt;$T$675)),0,IF(DATE($C679,9,15)&gt;=$X$675,$AA$675*(1+($U$675)/100)^MAX(0,$C679-$AD$675),IF(DATE($C679,9,15)&gt;=$W$675,$Z$675*(1+($U$675)/100)^MAX(0,$C679-$AC$675),IF(DATE($C679,9,15)&gt;=$V$675,$Y$675*(1+($U$675)/100)^MAX(0,$C679-$AB$675),0)))))</f>
      </c>
      <c r="N679" s="43">
        <f>IF($S$675=0,0,IF(OR(DATE($C679,10,15)&lt;$S$675,AND($T$675&gt;0,DATE($C679,10,15)&gt;$T$675)),0,IF(DATE($C679,10,15)&gt;=$X$675,$AA$675*(1+($U$675)/100)^MAX(0,$C679-$AD$675),IF(DATE($C679,10,15)&gt;=$W$675,$Z$675*(1+($U$675)/100)^MAX(0,$C679-$AC$675),IF(DATE($C679,10,15)&gt;=$V$675,$Y$675*(1+($U$675)/100)^MAX(0,$C679-$AB$675),0)))))</f>
      </c>
      <c r="O679" s="43">
        <f>IF($S$675=0,0,IF(OR(DATE($C679,11,15)&lt;$S$675,AND($T$675&gt;0,DATE($C679,11,15)&gt;$T$675)),0,IF(DATE($C679,11,15)&gt;=$X$675,$AA$675*(1+($U$675)/100)^MAX(0,$C679-$AD$675),IF(DATE($C679,11,15)&gt;=$W$675,$Z$675*(1+($U$675)/100)^MAX(0,$C679-$AC$675),IF(DATE($C679,11,15)&gt;=$V$675,$Y$675*(1+($U$675)/100)^MAX(0,$C679-$AB$675),0)))))</f>
      </c>
      <c r="P679" s="43">
        <f>IF($S$675=0,0,IF(OR(DATE($C679,12,15)&lt;$S$675,AND($T$675&gt;0,DATE($C679,12,15)&gt;$T$675)),0,IF(DATE($C679,12,15)&gt;=$X$675,$AA$675*(1+($U$675)/100)^MAX(0,$C679-$AD$675),IF(DATE($C679,12,15)&gt;=$W$675,$Z$675*(1+($U$675)/100)^MAX(0,$C679-$AC$675),IF(DATE($C679,12,15)&gt;=$V$675,$Y$675*(1+($U$675)/100)^MAX(0,$C679-$AB$675),0)))))</f>
      </c>
      <c r="Q679" s="43">
        <f>SUM($E679:$P679)</f>
      </c>
    </row>
    <row r="680">
      <c r="A680"/>
      <c r="B680">
        <v>22</v>
      </c>
      <c r="C680" s="43">
        <f>Jahr+5</f>
      </c>
      <c r="D680" s="43">
        <f>INDEX(MvObj,22)</f>
      </c>
      <c r="E680" s="43">
        <f>IF($S$675=0,0,IF(OR(DATE($C680,1,15)&lt;$S$675,AND($T$675&gt;0,DATE($C680,1,15)&gt;$T$675)),0,IF(DATE($C680,1,15)&gt;=$X$675,$AA$675*(1+($U$675)/100)^MAX(0,$C680-$AD$675),IF(DATE($C680,1,15)&gt;=$W$675,$Z$675*(1+($U$675)/100)^MAX(0,$C680-$AC$675),IF(DATE($C680,1,15)&gt;=$V$675,$Y$675*(1+($U$675)/100)^MAX(0,$C680-$AB$675),0)))))</f>
      </c>
      <c r="F680" s="43">
        <f>IF($S$675=0,0,IF(OR(DATE($C680,2,15)&lt;$S$675,AND($T$675&gt;0,DATE($C680,2,15)&gt;$T$675)),0,IF(DATE($C680,2,15)&gt;=$X$675,$AA$675*(1+($U$675)/100)^MAX(0,$C680-$AD$675),IF(DATE($C680,2,15)&gt;=$W$675,$Z$675*(1+($U$675)/100)^MAX(0,$C680-$AC$675),IF(DATE($C680,2,15)&gt;=$V$675,$Y$675*(1+($U$675)/100)^MAX(0,$C680-$AB$675),0)))))</f>
      </c>
      <c r="G680" s="43">
        <f>IF($S$675=0,0,IF(OR(DATE($C680,3,15)&lt;$S$675,AND($T$675&gt;0,DATE($C680,3,15)&gt;$T$675)),0,IF(DATE($C680,3,15)&gt;=$X$675,$AA$675*(1+($U$675)/100)^MAX(0,$C680-$AD$675),IF(DATE($C680,3,15)&gt;=$W$675,$Z$675*(1+($U$675)/100)^MAX(0,$C680-$AC$675),IF(DATE($C680,3,15)&gt;=$V$675,$Y$675*(1+($U$675)/100)^MAX(0,$C680-$AB$675),0)))))</f>
      </c>
      <c r="H680" s="43">
        <f>IF($S$675=0,0,IF(OR(DATE($C680,4,15)&lt;$S$675,AND($T$675&gt;0,DATE($C680,4,15)&gt;$T$675)),0,IF(DATE($C680,4,15)&gt;=$X$675,$AA$675*(1+($U$675)/100)^MAX(0,$C680-$AD$675),IF(DATE($C680,4,15)&gt;=$W$675,$Z$675*(1+($U$675)/100)^MAX(0,$C680-$AC$675),IF(DATE($C680,4,15)&gt;=$V$675,$Y$675*(1+($U$675)/100)^MAX(0,$C680-$AB$675),0)))))</f>
      </c>
      <c r="I680" s="43">
        <f>IF($S$675=0,0,IF(OR(DATE($C680,5,15)&lt;$S$675,AND($T$675&gt;0,DATE($C680,5,15)&gt;$T$675)),0,IF(DATE($C680,5,15)&gt;=$X$675,$AA$675*(1+($U$675)/100)^MAX(0,$C680-$AD$675),IF(DATE($C680,5,15)&gt;=$W$675,$Z$675*(1+($U$675)/100)^MAX(0,$C680-$AC$675),IF(DATE($C680,5,15)&gt;=$V$675,$Y$675*(1+($U$675)/100)^MAX(0,$C680-$AB$675),0)))))</f>
      </c>
      <c r="J680" s="43">
        <f>IF($S$675=0,0,IF(OR(DATE($C680,6,15)&lt;$S$675,AND($T$675&gt;0,DATE($C680,6,15)&gt;$T$675)),0,IF(DATE($C680,6,15)&gt;=$X$675,$AA$675*(1+($U$675)/100)^MAX(0,$C680-$AD$675),IF(DATE($C680,6,15)&gt;=$W$675,$Z$675*(1+($U$675)/100)^MAX(0,$C680-$AC$675),IF(DATE($C680,6,15)&gt;=$V$675,$Y$675*(1+($U$675)/100)^MAX(0,$C680-$AB$675),0)))))</f>
      </c>
      <c r="K680" s="43">
        <f>IF($S$675=0,0,IF(OR(DATE($C680,7,15)&lt;$S$675,AND($T$675&gt;0,DATE($C680,7,15)&gt;$T$675)),0,IF(DATE($C680,7,15)&gt;=$X$675,$AA$675*(1+($U$675)/100)^MAX(0,$C680-$AD$675),IF(DATE($C680,7,15)&gt;=$W$675,$Z$675*(1+($U$675)/100)^MAX(0,$C680-$AC$675),IF(DATE($C680,7,15)&gt;=$V$675,$Y$675*(1+($U$675)/100)^MAX(0,$C680-$AB$675),0)))))</f>
      </c>
      <c r="L680" s="43">
        <f>IF($S$675=0,0,IF(OR(DATE($C680,8,15)&lt;$S$675,AND($T$675&gt;0,DATE($C680,8,15)&gt;$T$675)),0,IF(DATE($C680,8,15)&gt;=$X$675,$AA$675*(1+($U$675)/100)^MAX(0,$C680-$AD$675),IF(DATE($C680,8,15)&gt;=$W$675,$Z$675*(1+($U$675)/100)^MAX(0,$C680-$AC$675),IF(DATE($C680,8,15)&gt;=$V$675,$Y$675*(1+($U$675)/100)^MAX(0,$C680-$AB$675),0)))))</f>
      </c>
      <c r="M680" s="43">
        <f>IF($S$675=0,0,IF(OR(DATE($C680,9,15)&lt;$S$675,AND($T$675&gt;0,DATE($C680,9,15)&gt;$T$675)),0,IF(DATE($C680,9,15)&gt;=$X$675,$AA$675*(1+($U$675)/100)^MAX(0,$C680-$AD$675),IF(DATE($C680,9,15)&gt;=$W$675,$Z$675*(1+($U$675)/100)^MAX(0,$C680-$AC$675),IF(DATE($C680,9,15)&gt;=$V$675,$Y$675*(1+($U$675)/100)^MAX(0,$C680-$AB$675),0)))))</f>
      </c>
      <c r="N680" s="43">
        <f>IF($S$675=0,0,IF(OR(DATE($C680,10,15)&lt;$S$675,AND($T$675&gt;0,DATE($C680,10,15)&gt;$T$675)),0,IF(DATE($C680,10,15)&gt;=$X$675,$AA$675*(1+($U$675)/100)^MAX(0,$C680-$AD$675),IF(DATE($C680,10,15)&gt;=$W$675,$Z$675*(1+($U$675)/100)^MAX(0,$C680-$AC$675),IF(DATE($C680,10,15)&gt;=$V$675,$Y$675*(1+($U$675)/100)^MAX(0,$C680-$AB$675),0)))))</f>
      </c>
      <c r="O680" s="43">
        <f>IF($S$675=0,0,IF(OR(DATE($C680,11,15)&lt;$S$675,AND($T$675&gt;0,DATE($C680,11,15)&gt;$T$675)),0,IF(DATE($C680,11,15)&gt;=$X$675,$AA$675*(1+($U$675)/100)^MAX(0,$C680-$AD$675),IF(DATE($C680,11,15)&gt;=$W$675,$Z$675*(1+($U$675)/100)^MAX(0,$C680-$AC$675),IF(DATE($C680,11,15)&gt;=$V$675,$Y$675*(1+($U$675)/100)^MAX(0,$C680-$AB$675),0)))))</f>
      </c>
      <c r="P680" s="43">
        <f>IF($S$675=0,0,IF(OR(DATE($C680,12,15)&lt;$S$675,AND($T$675&gt;0,DATE($C680,12,15)&gt;$T$675)),0,IF(DATE($C680,12,15)&gt;=$X$675,$AA$675*(1+($U$675)/100)^MAX(0,$C680-$AD$675),IF(DATE($C680,12,15)&gt;=$W$675,$Z$675*(1+($U$675)/100)^MAX(0,$C680-$AC$675),IF(DATE($C680,12,15)&gt;=$V$675,$Y$675*(1+($U$675)/100)^MAX(0,$C680-$AB$675),0)))))</f>
      </c>
      <c r="Q680" s="43">
        <f>SUM($E680:$P680)</f>
      </c>
    </row>
    <row r="681">
      <c r="A681"/>
      <c r="B681">
        <v>22</v>
      </c>
      <c r="C681" s="43">
        <f>Jahr+6</f>
      </c>
      <c r="D681" s="43">
        <f>INDEX(MvObj,22)</f>
      </c>
      <c r="E681" s="43">
        <f>IF($S$675=0,0,IF(OR(DATE($C681,1,15)&lt;$S$675,AND($T$675&gt;0,DATE($C681,1,15)&gt;$T$675)),0,IF(DATE($C681,1,15)&gt;=$X$675,$AA$675*(1+($U$675)/100)^MAX(0,$C681-$AD$675),IF(DATE($C681,1,15)&gt;=$W$675,$Z$675*(1+($U$675)/100)^MAX(0,$C681-$AC$675),IF(DATE($C681,1,15)&gt;=$V$675,$Y$675*(1+($U$675)/100)^MAX(0,$C681-$AB$675),0)))))</f>
      </c>
      <c r="F681" s="43">
        <f>IF($S$675=0,0,IF(OR(DATE($C681,2,15)&lt;$S$675,AND($T$675&gt;0,DATE($C681,2,15)&gt;$T$675)),0,IF(DATE($C681,2,15)&gt;=$X$675,$AA$675*(1+($U$675)/100)^MAX(0,$C681-$AD$675),IF(DATE($C681,2,15)&gt;=$W$675,$Z$675*(1+($U$675)/100)^MAX(0,$C681-$AC$675),IF(DATE($C681,2,15)&gt;=$V$675,$Y$675*(1+($U$675)/100)^MAX(0,$C681-$AB$675),0)))))</f>
      </c>
      <c r="G681" s="43">
        <f>IF($S$675=0,0,IF(OR(DATE($C681,3,15)&lt;$S$675,AND($T$675&gt;0,DATE($C681,3,15)&gt;$T$675)),0,IF(DATE($C681,3,15)&gt;=$X$675,$AA$675*(1+($U$675)/100)^MAX(0,$C681-$AD$675),IF(DATE($C681,3,15)&gt;=$W$675,$Z$675*(1+($U$675)/100)^MAX(0,$C681-$AC$675),IF(DATE($C681,3,15)&gt;=$V$675,$Y$675*(1+($U$675)/100)^MAX(0,$C681-$AB$675),0)))))</f>
      </c>
      <c r="H681" s="43">
        <f>IF($S$675=0,0,IF(OR(DATE($C681,4,15)&lt;$S$675,AND($T$675&gt;0,DATE($C681,4,15)&gt;$T$675)),0,IF(DATE($C681,4,15)&gt;=$X$675,$AA$675*(1+($U$675)/100)^MAX(0,$C681-$AD$675),IF(DATE($C681,4,15)&gt;=$W$675,$Z$675*(1+($U$675)/100)^MAX(0,$C681-$AC$675),IF(DATE($C681,4,15)&gt;=$V$675,$Y$675*(1+($U$675)/100)^MAX(0,$C681-$AB$675),0)))))</f>
      </c>
      <c r="I681" s="43">
        <f>IF($S$675=0,0,IF(OR(DATE($C681,5,15)&lt;$S$675,AND($T$675&gt;0,DATE($C681,5,15)&gt;$T$675)),0,IF(DATE($C681,5,15)&gt;=$X$675,$AA$675*(1+($U$675)/100)^MAX(0,$C681-$AD$675),IF(DATE($C681,5,15)&gt;=$W$675,$Z$675*(1+($U$675)/100)^MAX(0,$C681-$AC$675),IF(DATE($C681,5,15)&gt;=$V$675,$Y$675*(1+($U$675)/100)^MAX(0,$C681-$AB$675),0)))))</f>
      </c>
      <c r="J681" s="43">
        <f>IF($S$675=0,0,IF(OR(DATE($C681,6,15)&lt;$S$675,AND($T$675&gt;0,DATE($C681,6,15)&gt;$T$675)),0,IF(DATE($C681,6,15)&gt;=$X$675,$AA$675*(1+($U$675)/100)^MAX(0,$C681-$AD$675),IF(DATE($C681,6,15)&gt;=$W$675,$Z$675*(1+($U$675)/100)^MAX(0,$C681-$AC$675),IF(DATE($C681,6,15)&gt;=$V$675,$Y$675*(1+($U$675)/100)^MAX(0,$C681-$AB$675),0)))))</f>
      </c>
      <c r="K681" s="43">
        <f>IF($S$675=0,0,IF(OR(DATE($C681,7,15)&lt;$S$675,AND($T$675&gt;0,DATE($C681,7,15)&gt;$T$675)),0,IF(DATE($C681,7,15)&gt;=$X$675,$AA$675*(1+($U$675)/100)^MAX(0,$C681-$AD$675),IF(DATE($C681,7,15)&gt;=$W$675,$Z$675*(1+($U$675)/100)^MAX(0,$C681-$AC$675),IF(DATE($C681,7,15)&gt;=$V$675,$Y$675*(1+($U$675)/100)^MAX(0,$C681-$AB$675),0)))))</f>
      </c>
      <c r="L681" s="43">
        <f>IF($S$675=0,0,IF(OR(DATE($C681,8,15)&lt;$S$675,AND($T$675&gt;0,DATE($C681,8,15)&gt;$T$675)),0,IF(DATE($C681,8,15)&gt;=$X$675,$AA$675*(1+($U$675)/100)^MAX(0,$C681-$AD$675),IF(DATE($C681,8,15)&gt;=$W$675,$Z$675*(1+($U$675)/100)^MAX(0,$C681-$AC$675),IF(DATE($C681,8,15)&gt;=$V$675,$Y$675*(1+($U$675)/100)^MAX(0,$C681-$AB$675),0)))))</f>
      </c>
      <c r="M681" s="43">
        <f>IF($S$675=0,0,IF(OR(DATE($C681,9,15)&lt;$S$675,AND($T$675&gt;0,DATE($C681,9,15)&gt;$T$675)),0,IF(DATE($C681,9,15)&gt;=$X$675,$AA$675*(1+($U$675)/100)^MAX(0,$C681-$AD$675),IF(DATE($C681,9,15)&gt;=$W$675,$Z$675*(1+($U$675)/100)^MAX(0,$C681-$AC$675),IF(DATE($C681,9,15)&gt;=$V$675,$Y$675*(1+($U$675)/100)^MAX(0,$C681-$AB$675),0)))))</f>
      </c>
      <c r="N681" s="43">
        <f>IF($S$675=0,0,IF(OR(DATE($C681,10,15)&lt;$S$675,AND($T$675&gt;0,DATE($C681,10,15)&gt;$T$675)),0,IF(DATE($C681,10,15)&gt;=$X$675,$AA$675*(1+($U$675)/100)^MAX(0,$C681-$AD$675),IF(DATE($C681,10,15)&gt;=$W$675,$Z$675*(1+($U$675)/100)^MAX(0,$C681-$AC$675),IF(DATE($C681,10,15)&gt;=$V$675,$Y$675*(1+($U$675)/100)^MAX(0,$C681-$AB$675),0)))))</f>
      </c>
      <c r="O681" s="43">
        <f>IF($S$675=0,0,IF(OR(DATE($C681,11,15)&lt;$S$675,AND($T$675&gt;0,DATE($C681,11,15)&gt;$T$675)),0,IF(DATE($C681,11,15)&gt;=$X$675,$AA$675*(1+($U$675)/100)^MAX(0,$C681-$AD$675),IF(DATE($C681,11,15)&gt;=$W$675,$Z$675*(1+($U$675)/100)^MAX(0,$C681-$AC$675),IF(DATE($C681,11,15)&gt;=$V$675,$Y$675*(1+($U$675)/100)^MAX(0,$C681-$AB$675),0)))))</f>
      </c>
      <c r="P681" s="43">
        <f>IF($S$675=0,0,IF(OR(DATE($C681,12,15)&lt;$S$675,AND($T$675&gt;0,DATE($C681,12,15)&gt;$T$675)),0,IF(DATE($C681,12,15)&gt;=$X$675,$AA$675*(1+($U$675)/100)^MAX(0,$C681-$AD$675),IF(DATE($C681,12,15)&gt;=$W$675,$Z$675*(1+($U$675)/100)^MAX(0,$C681-$AC$675),IF(DATE($C681,12,15)&gt;=$V$675,$Y$675*(1+($U$675)/100)^MAX(0,$C681-$AB$675),0)))))</f>
      </c>
      <c r="Q681" s="43">
        <f>SUM($E681:$P681)</f>
      </c>
    </row>
    <row r="682">
      <c r="A682"/>
      <c r="B682">
        <v>22</v>
      </c>
      <c r="C682" s="43">
        <f>Jahr+7</f>
      </c>
      <c r="D682" s="43">
        <f>INDEX(MvObj,22)</f>
      </c>
      <c r="E682" s="43">
        <f>IF($S$675=0,0,IF(OR(DATE($C682,1,15)&lt;$S$675,AND($T$675&gt;0,DATE($C682,1,15)&gt;$T$675)),0,IF(DATE($C682,1,15)&gt;=$X$675,$AA$675*(1+($U$675)/100)^MAX(0,$C682-$AD$675),IF(DATE($C682,1,15)&gt;=$W$675,$Z$675*(1+($U$675)/100)^MAX(0,$C682-$AC$675),IF(DATE($C682,1,15)&gt;=$V$675,$Y$675*(1+($U$675)/100)^MAX(0,$C682-$AB$675),0)))))</f>
      </c>
      <c r="F682" s="43">
        <f>IF($S$675=0,0,IF(OR(DATE($C682,2,15)&lt;$S$675,AND($T$675&gt;0,DATE($C682,2,15)&gt;$T$675)),0,IF(DATE($C682,2,15)&gt;=$X$675,$AA$675*(1+($U$675)/100)^MAX(0,$C682-$AD$675),IF(DATE($C682,2,15)&gt;=$W$675,$Z$675*(1+($U$675)/100)^MAX(0,$C682-$AC$675),IF(DATE($C682,2,15)&gt;=$V$675,$Y$675*(1+($U$675)/100)^MAX(0,$C682-$AB$675),0)))))</f>
      </c>
      <c r="G682" s="43">
        <f>IF($S$675=0,0,IF(OR(DATE($C682,3,15)&lt;$S$675,AND($T$675&gt;0,DATE($C682,3,15)&gt;$T$675)),0,IF(DATE($C682,3,15)&gt;=$X$675,$AA$675*(1+($U$675)/100)^MAX(0,$C682-$AD$675),IF(DATE($C682,3,15)&gt;=$W$675,$Z$675*(1+($U$675)/100)^MAX(0,$C682-$AC$675),IF(DATE($C682,3,15)&gt;=$V$675,$Y$675*(1+($U$675)/100)^MAX(0,$C682-$AB$675),0)))))</f>
      </c>
      <c r="H682" s="43">
        <f>IF($S$675=0,0,IF(OR(DATE($C682,4,15)&lt;$S$675,AND($T$675&gt;0,DATE($C682,4,15)&gt;$T$675)),0,IF(DATE($C682,4,15)&gt;=$X$675,$AA$675*(1+($U$675)/100)^MAX(0,$C682-$AD$675),IF(DATE($C682,4,15)&gt;=$W$675,$Z$675*(1+($U$675)/100)^MAX(0,$C682-$AC$675),IF(DATE($C682,4,15)&gt;=$V$675,$Y$675*(1+($U$675)/100)^MAX(0,$C682-$AB$675),0)))))</f>
      </c>
      <c r="I682" s="43">
        <f>IF($S$675=0,0,IF(OR(DATE($C682,5,15)&lt;$S$675,AND($T$675&gt;0,DATE($C682,5,15)&gt;$T$675)),0,IF(DATE($C682,5,15)&gt;=$X$675,$AA$675*(1+($U$675)/100)^MAX(0,$C682-$AD$675),IF(DATE($C682,5,15)&gt;=$W$675,$Z$675*(1+($U$675)/100)^MAX(0,$C682-$AC$675),IF(DATE($C682,5,15)&gt;=$V$675,$Y$675*(1+($U$675)/100)^MAX(0,$C682-$AB$675),0)))))</f>
      </c>
      <c r="J682" s="43">
        <f>IF($S$675=0,0,IF(OR(DATE($C682,6,15)&lt;$S$675,AND($T$675&gt;0,DATE($C682,6,15)&gt;$T$675)),0,IF(DATE($C682,6,15)&gt;=$X$675,$AA$675*(1+($U$675)/100)^MAX(0,$C682-$AD$675),IF(DATE($C682,6,15)&gt;=$W$675,$Z$675*(1+($U$675)/100)^MAX(0,$C682-$AC$675),IF(DATE($C682,6,15)&gt;=$V$675,$Y$675*(1+($U$675)/100)^MAX(0,$C682-$AB$675),0)))))</f>
      </c>
      <c r="K682" s="43">
        <f>IF($S$675=0,0,IF(OR(DATE($C682,7,15)&lt;$S$675,AND($T$675&gt;0,DATE($C682,7,15)&gt;$T$675)),0,IF(DATE($C682,7,15)&gt;=$X$675,$AA$675*(1+($U$675)/100)^MAX(0,$C682-$AD$675),IF(DATE($C682,7,15)&gt;=$W$675,$Z$675*(1+($U$675)/100)^MAX(0,$C682-$AC$675),IF(DATE($C682,7,15)&gt;=$V$675,$Y$675*(1+($U$675)/100)^MAX(0,$C682-$AB$675),0)))))</f>
      </c>
      <c r="L682" s="43">
        <f>IF($S$675=0,0,IF(OR(DATE($C682,8,15)&lt;$S$675,AND($T$675&gt;0,DATE($C682,8,15)&gt;$T$675)),0,IF(DATE($C682,8,15)&gt;=$X$675,$AA$675*(1+($U$675)/100)^MAX(0,$C682-$AD$675),IF(DATE($C682,8,15)&gt;=$W$675,$Z$675*(1+($U$675)/100)^MAX(0,$C682-$AC$675),IF(DATE($C682,8,15)&gt;=$V$675,$Y$675*(1+($U$675)/100)^MAX(0,$C682-$AB$675),0)))))</f>
      </c>
      <c r="M682" s="43">
        <f>IF($S$675=0,0,IF(OR(DATE($C682,9,15)&lt;$S$675,AND($T$675&gt;0,DATE($C682,9,15)&gt;$T$675)),0,IF(DATE($C682,9,15)&gt;=$X$675,$AA$675*(1+($U$675)/100)^MAX(0,$C682-$AD$675),IF(DATE($C682,9,15)&gt;=$W$675,$Z$675*(1+($U$675)/100)^MAX(0,$C682-$AC$675),IF(DATE($C682,9,15)&gt;=$V$675,$Y$675*(1+($U$675)/100)^MAX(0,$C682-$AB$675),0)))))</f>
      </c>
      <c r="N682" s="43">
        <f>IF($S$675=0,0,IF(OR(DATE($C682,10,15)&lt;$S$675,AND($T$675&gt;0,DATE($C682,10,15)&gt;$T$675)),0,IF(DATE($C682,10,15)&gt;=$X$675,$AA$675*(1+($U$675)/100)^MAX(0,$C682-$AD$675),IF(DATE($C682,10,15)&gt;=$W$675,$Z$675*(1+($U$675)/100)^MAX(0,$C682-$AC$675),IF(DATE($C682,10,15)&gt;=$V$675,$Y$675*(1+($U$675)/100)^MAX(0,$C682-$AB$675),0)))))</f>
      </c>
      <c r="O682" s="43">
        <f>IF($S$675=0,0,IF(OR(DATE($C682,11,15)&lt;$S$675,AND($T$675&gt;0,DATE($C682,11,15)&gt;$T$675)),0,IF(DATE($C682,11,15)&gt;=$X$675,$AA$675*(1+($U$675)/100)^MAX(0,$C682-$AD$675),IF(DATE($C682,11,15)&gt;=$W$675,$Z$675*(1+($U$675)/100)^MAX(0,$C682-$AC$675),IF(DATE($C682,11,15)&gt;=$V$675,$Y$675*(1+($U$675)/100)^MAX(0,$C682-$AB$675),0)))))</f>
      </c>
      <c r="P682" s="43">
        <f>IF($S$675=0,0,IF(OR(DATE($C682,12,15)&lt;$S$675,AND($T$675&gt;0,DATE($C682,12,15)&gt;$T$675)),0,IF(DATE($C682,12,15)&gt;=$X$675,$AA$675*(1+($U$675)/100)^MAX(0,$C682-$AD$675),IF(DATE($C682,12,15)&gt;=$W$675,$Z$675*(1+($U$675)/100)^MAX(0,$C682-$AC$675),IF(DATE($C682,12,15)&gt;=$V$675,$Y$675*(1+($U$675)/100)^MAX(0,$C682-$AB$675),0)))))</f>
      </c>
      <c r="Q682" s="43">
        <f>SUM($E682:$P682)</f>
      </c>
    </row>
    <row r="683">
      <c r="A683"/>
      <c r="B683">
        <v>22</v>
      </c>
      <c r="C683" s="43">
        <f>Jahr+8</f>
      </c>
      <c r="D683" s="43">
        <f>INDEX(MvObj,22)</f>
      </c>
      <c r="E683" s="43">
        <f>IF($S$675=0,0,IF(OR(DATE($C683,1,15)&lt;$S$675,AND($T$675&gt;0,DATE($C683,1,15)&gt;$T$675)),0,IF(DATE($C683,1,15)&gt;=$X$675,$AA$675*(1+($U$675)/100)^MAX(0,$C683-$AD$675),IF(DATE($C683,1,15)&gt;=$W$675,$Z$675*(1+($U$675)/100)^MAX(0,$C683-$AC$675),IF(DATE($C683,1,15)&gt;=$V$675,$Y$675*(1+($U$675)/100)^MAX(0,$C683-$AB$675),0)))))</f>
      </c>
      <c r="F683" s="43">
        <f>IF($S$675=0,0,IF(OR(DATE($C683,2,15)&lt;$S$675,AND($T$675&gt;0,DATE($C683,2,15)&gt;$T$675)),0,IF(DATE($C683,2,15)&gt;=$X$675,$AA$675*(1+($U$675)/100)^MAX(0,$C683-$AD$675),IF(DATE($C683,2,15)&gt;=$W$675,$Z$675*(1+($U$675)/100)^MAX(0,$C683-$AC$675),IF(DATE($C683,2,15)&gt;=$V$675,$Y$675*(1+($U$675)/100)^MAX(0,$C683-$AB$675),0)))))</f>
      </c>
      <c r="G683" s="43">
        <f>IF($S$675=0,0,IF(OR(DATE($C683,3,15)&lt;$S$675,AND($T$675&gt;0,DATE($C683,3,15)&gt;$T$675)),0,IF(DATE($C683,3,15)&gt;=$X$675,$AA$675*(1+($U$675)/100)^MAX(0,$C683-$AD$675),IF(DATE($C683,3,15)&gt;=$W$675,$Z$675*(1+($U$675)/100)^MAX(0,$C683-$AC$675),IF(DATE($C683,3,15)&gt;=$V$675,$Y$675*(1+($U$675)/100)^MAX(0,$C683-$AB$675),0)))))</f>
      </c>
      <c r="H683" s="43">
        <f>IF($S$675=0,0,IF(OR(DATE($C683,4,15)&lt;$S$675,AND($T$675&gt;0,DATE($C683,4,15)&gt;$T$675)),0,IF(DATE($C683,4,15)&gt;=$X$675,$AA$675*(1+($U$675)/100)^MAX(0,$C683-$AD$675),IF(DATE($C683,4,15)&gt;=$W$675,$Z$675*(1+($U$675)/100)^MAX(0,$C683-$AC$675),IF(DATE($C683,4,15)&gt;=$V$675,$Y$675*(1+($U$675)/100)^MAX(0,$C683-$AB$675),0)))))</f>
      </c>
      <c r="I683" s="43">
        <f>IF($S$675=0,0,IF(OR(DATE($C683,5,15)&lt;$S$675,AND($T$675&gt;0,DATE($C683,5,15)&gt;$T$675)),0,IF(DATE($C683,5,15)&gt;=$X$675,$AA$675*(1+($U$675)/100)^MAX(0,$C683-$AD$675),IF(DATE($C683,5,15)&gt;=$W$675,$Z$675*(1+($U$675)/100)^MAX(0,$C683-$AC$675),IF(DATE($C683,5,15)&gt;=$V$675,$Y$675*(1+($U$675)/100)^MAX(0,$C683-$AB$675),0)))))</f>
      </c>
      <c r="J683" s="43">
        <f>IF($S$675=0,0,IF(OR(DATE($C683,6,15)&lt;$S$675,AND($T$675&gt;0,DATE($C683,6,15)&gt;$T$675)),0,IF(DATE($C683,6,15)&gt;=$X$675,$AA$675*(1+($U$675)/100)^MAX(0,$C683-$AD$675),IF(DATE($C683,6,15)&gt;=$W$675,$Z$675*(1+($U$675)/100)^MAX(0,$C683-$AC$675),IF(DATE($C683,6,15)&gt;=$V$675,$Y$675*(1+($U$675)/100)^MAX(0,$C683-$AB$675),0)))))</f>
      </c>
      <c r="K683" s="43">
        <f>IF($S$675=0,0,IF(OR(DATE($C683,7,15)&lt;$S$675,AND($T$675&gt;0,DATE($C683,7,15)&gt;$T$675)),0,IF(DATE($C683,7,15)&gt;=$X$675,$AA$675*(1+($U$675)/100)^MAX(0,$C683-$AD$675),IF(DATE($C683,7,15)&gt;=$W$675,$Z$675*(1+($U$675)/100)^MAX(0,$C683-$AC$675),IF(DATE($C683,7,15)&gt;=$V$675,$Y$675*(1+($U$675)/100)^MAX(0,$C683-$AB$675),0)))))</f>
      </c>
      <c r="L683" s="43">
        <f>IF($S$675=0,0,IF(OR(DATE($C683,8,15)&lt;$S$675,AND($T$675&gt;0,DATE($C683,8,15)&gt;$T$675)),0,IF(DATE($C683,8,15)&gt;=$X$675,$AA$675*(1+($U$675)/100)^MAX(0,$C683-$AD$675),IF(DATE($C683,8,15)&gt;=$W$675,$Z$675*(1+($U$675)/100)^MAX(0,$C683-$AC$675),IF(DATE($C683,8,15)&gt;=$V$675,$Y$675*(1+($U$675)/100)^MAX(0,$C683-$AB$675),0)))))</f>
      </c>
      <c r="M683" s="43">
        <f>IF($S$675=0,0,IF(OR(DATE($C683,9,15)&lt;$S$675,AND($T$675&gt;0,DATE($C683,9,15)&gt;$T$675)),0,IF(DATE($C683,9,15)&gt;=$X$675,$AA$675*(1+($U$675)/100)^MAX(0,$C683-$AD$675),IF(DATE($C683,9,15)&gt;=$W$675,$Z$675*(1+($U$675)/100)^MAX(0,$C683-$AC$675),IF(DATE($C683,9,15)&gt;=$V$675,$Y$675*(1+($U$675)/100)^MAX(0,$C683-$AB$675),0)))))</f>
      </c>
      <c r="N683" s="43">
        <f>IF($S$675=0,0,IF(OR(DATE($C683,10,15)&lt;$S$675,AND($T$675&gt;0,DATE($C683,10,15)&gt;$T$675)),0,IF(DATE($C683,10,15)&gt;=$X$675,$AA$675*(1+($U$675)/100)^MAX(0,$C683-$AD$675),IF(DATE($C683,10,15)&gt;=$W$675,$Z$675*(1+($U$675)/100)^MAX(0,$C683-$AC$675),IF(DATE($C683,10,15)&gt;=$V$675,$Y$675*(1+($U$675)/100)^MAX(0,$C683-$AB$675),0)))))</f>
      </c>
      <c r="O683" s="43">
        <f>IF($S$675=0,0,IF(OR(DATE($C683,11,15)&lt;$S$675,AND($T$675&gt;0,DATE($C683,11,15)&gt;$T$675)),0,IF(DATE($C683,11,15)&gt;=$X$675,$AA$675*(1+($U$675)/100)^MAX(0,$C683-$AD$675),IF(DATE($C683,11,15)&gt;=$W$675,$Z$675*(1+($U$675)/100)^MAX(0,$C683-$AC$675),IF(DATE($C683,11,15)&gt;=$V$675,$Y$675*(1+($U$675)/100)^MAX(0,$C683-$AB$675),0)))))</f>
      </c>
      <c r="P683" s="43">
        <f>IF($S$675=0,0,IF(OR(DATE($C683,12,15)&lt;$S$675,AND($T$675&gt;0,DATE($C683,12,15)&gt;$T$675)),0,IF(DATE($C683,12,15)&gt;=$X$675,$AA$675*(1+($U$675)/100)^MAX(0,$C683-$AD$675),IF(DATE($C683,12,15)&gt;=$W$675,$Z$675*(1+($U$675)/100)^MAX(0,$C683-$AC$675),IF(DATE($C683,12,15)&gt;=$V$675,$Y$675*(1+($U$675)/100)^MAX(0,$C683-$AB$675),0)))))</f>
      </c>
      <c r="Q683" s="43">
        <f>SUM($E683:$P683)</f>
      </c>
    </row>
    <row r="684">
      <c r="A684"/>
      <c r="B684">
        <v>22</v>
      </c>
      <c r="C684" s="43">
        <f>Jahr+9</f>
      </c>
      <c r="D684" s="43">
        <f>INDEX(MvObj,22)</f>
      </c>
      <c r="E684" s="43">
        <f>IF($S$675=0,0,IF(OR(DATE($C684,1,15)&lt;$S$675,AND($T$675&gt;0,DATE($C684,1,15)&gt;$T$675)),0,IF(DATE($C684,1,15)&gt;=$X$675,$AA$675*(1+($U$675)/100)^MAX(0,$C684-$AD$675),IF(DATE($C684,1,15)&gt;=$W$675,$Z$675*(1+($U$675)/100)^MAX(0,$C684-$AC$675),IF(DATE($C684,1,15)&gt;=$V$675,$Y$675*(1+($U$675)/100)^MAX(0,$C684-$AB$675),0)))))</f>
      </c>
      <c r="F684" s="43">
        <f>IF($S$675=0,0,IF(OR(DATE($C684,2,15)&lt;$S$675,AND($T$675&gt;0,DATE($C684,2,15)&gt;$T$675)),0,IF(DATE($C684,2,15)&gt;=$X$675,$AA$675*(1+($U$675)/100)^MAX(0,$C684-$AD$675),IF(DATE($C684,2,15)&gt;=$W$675,$Z$675*(1+($U$675)/100)^MAX(0,$C684-$AC$675),IF(DATE($C684,2,15)&gt;=$V$675,$Y$675*(1+($U$675)/100)^MAX(0,$C684-$AB$675),0)))))</f>
      </c>
      <c r="G684" s="43">
        <f>IF($S$675=0,0,IF(OR(DATE($C684,3,15)&lt;$S$675,AND($T$675&gt;0,DATE($C684,3,15)&gt;$T$675)),0,IF(DATE($C684,3,15)&gt;=$X$675,$AA$675*(1+($U$675)/100)^MAX(0,$C684-$AD$675),IF(DATE($C684,3,15)&gt;=$W$675,$Z$675*(1+($U$675)/100)^MAX(0,$C684-$AC$675),IF(DATE($C684,3,15)&gt;=$V$675,$Y$675*(1+($U$675)/100)^MAX(0,$C684-$AB$675),0)))))</f>
      </c>
      <c r="H684" s="43">
        <f>IF($S$675=0,0,IF(OR(DATE($C684,4,15)&lt;$S$675,AND($T$675&gt;0,DATE($C684,4,15)&gt;$T$675)),0,IF(DATE($C684,4,15)&gt;=$X$675,$AA$675*(1+($U$675)/100)^MAX(0,$C684-$AD$675),IF(DATE($C684,4,15)&gt;=$W$675,$Z$675*(1+($U$675)/100)^MAX(0,$C684-$AC$675),IF(DATE($C684,4,15)&gt;=$V$675,$Y$675*(1+($U$675)/100)^MAX(0,$C684-$AB$675),0)))))</f>
      </c>
      <c r="I684" s="43">
        <f>IF($S$675=0,0,IF(OR(DATE($C684,5,15)&lt;$S$675,AND($T$675&gt;0,DATE($C684,5,15)&gt;$T$675)),0,IF(DATE($C684,5,15)&gt;=$X$675,$AA$675*(1+($U$675)/100)^MAX(0,$C684-$AD$675),IF(DATE($C684,5,15)&gt;=$W$675,$Z$675*(1+($U$675)/100)^MAX(0,$C684-$AC$675),IF(DATE($C684,5,15)&gt;=$V$675,$Y$675*(1+($U$675)/100)^MAX(0,$C684-$AB$675),0)))))</f>
      </c>
      <c r="J684" s="43">
        <f>IF($S$675=0,0,IF(OR(DATE($C684,6,15)&lt;$S$675,AND($T$675&gt;0,DATE($C684,6,15)&gt;$T$675)),0,IF(DATE($C684,6,15)&gt;=$X$675,$AA$675*(1+($U$675)/100)^MAX(0,$C684-$AD$675),IF(DATE($C684,6,15)&gt;=$W$675,$Z$675*(1+($U$675)/100)^MAX(0,$C684-$AC$675),IF(DATE($C684,6,15)&gt;=$V$675,$Y$675*(1+($U$675)/100)^MAX(0,$C684-$AB$675),0)))))</f>
      </c>
      <c r="K684" s="43">
        <f>IF($S$675=0,0,IF(OR(DATE($C684,7,15)&lt;$S$675,AND($T$675&gt;0,DATE($C684,7,15)&gt;$T$675)),0,IF(DATE($C684,7,15)&gt;=$X$675,$AA$675*(1+($U$675)/100)^MAX(0,$C684-$AD$675),IF(DATE($C684,7,15)&gt;=$W$675,$Z$675*(1+($U$675)/100)^MAX(0,$C684-$AC$675),IF(DATE($C684,7,15)&gt;=$V$675,$Y$675*(1+($U$675)/100)^MAX(0,$C684-$AB$675),0)))))</f>
      </c>
      <c r="L684" s="43">
        <f>IF($S$675=0,0,IF(OR(DATE($C684,8,15)&lt;$S$675,AND($T$675&gt;0,DATE($C684,8,15)&gt;$T$675)),0,IF(DATE($C684,8,15)&gt;=$X$675,$AA$675*(1+($U$675)/100)^MAX(0,$C684-$AD$675),IF(DATE($C684,8,15)&gt;=$W$675,$Z$675*(1+($U$675)/100)^MAX(0,$C684-$AC$675),IF(DATE($C684,8,15)&gt;=$V$675,$Y$675*(1+($U$675)/100)^MAX(0,$C684-$AB$675),0)))))</f>
      </c>
      <c r="M684" s="43">
        <f>IF($S$675=0,0,IF(OR(DATE($C684,9,15)&lt;$S$675,AND($T$675&gt;0,DATE($C684,9,15)&gt;$T$675)),0,IF(DATE($C684,9,15)&gt;=$X$675,$AA$675*(1+($U$675)/100)^MAX(0,$C684-$AD$675),IF(DATE($C684,9,15)&gt;=$W$675,$Z$675*(1+($U$675)/100)^MAX(0,$C684-$AC$675),IF(DATE($C684,9,15)&gt;=$V$675,$Y$675*(1+($U$675)/100)^MAX(0,$C684-$AB$675),0)))))</f>
      </c>
      <c r="N684" s="43">
        <f>IF($S$675=0,0,IF(OR(DATE($C684,10,15)&lt;$S$675,AND($T$675&gt;0,DATE($C684,10,15)&gt;$T$675)),0,IF(DATE($C684,10,15)&gt;=$X$675,$AA$675*(1+($U$675)/100)^MAX(0,$C684-$AD$675),IF(DATE($C684,10,15)&gt;=$W$675,$Z$675*(1+($U$675)/100)^MAX(0,$C684-$AC$675),IF(DATE($C684,10,15)&gt;=$V$675,$Y$675*(1+($U$675)/100)^MAX(0,$C684-$AB$675),0)))))</f>
      </c>
      <c r="O684" s="43">
        <f>IF($S$675=0,0,IF(OR(DATE($C684,11,15)&lt;$S$675,AND($T$675&gt;0,DATE($C684,11,15)&gt;$T$675)),0,IF(DATE($C684,11,15)&gt;=$X$675,$AA$675*(1+($U$675)/100)^MAX(0,$C684-$AD$675),IF(DATE($C684,11,15)&gt;=$W$675,$Z$675*(1+($U$675)/100)^MAX(0,$C684-$AC$675),IF(DATE($C684,11,15)&gt;=$V$675,$Y$675*(1+($U$675)/100)^MAX(0,$C684-$AB$675),0)))))</f>
      </c>
      <c r="P684" s="43">
        <f>IF($S$675=0,0,IF(OR(DATE($C684,12,15)&lt;$S$675,AND($T$675&gt;0,DATE($C684,12,15)&gt;$T$675)),0,IF(DATE($C684,12,15)&gt;=$X$675,$AA$675*(1+($U$675)/100)^MAX(0,$C684-$AD$675),IF(DATE($C684,12,15)&gt;=$W$675,$Z$675*(1+($U$675)/100)^MAX(0,$C684-$AC$675),IF(DATE($C684,12,15)&gt;=$V$675,$Y$675*(1+($U$675)/100)^MAX(0,$C684-$AB$675),0)))))</f>
      </c>
      <c r="Q684" s="43">
        <f>SUM($E684:$P684)</f>
      </c>
    </row>
    <row r="685">
      <c r="A685"/>
      <c r="B685">
        <v>22</v>
      </c>
      <c r="C685" s="43">
        <f>Jahr+10</f>
      </c>
      <c r="D685" s="43">
        <f>INDEX(MvObj,22)</f>
      </c>
      <c r="E685" s="43">
        <f>IF($S$675=0,0,IF(OR(DATE($C685,1,15)&lt;$S$675,AND($T$675&gt;0,DATE($C685,1,15)&gt;$T$675)),0,IF(DATE($C685,1,15)&gt;=$X$675,$AA$675*(1+($U$675)/100)^MAX(0,$C685-$AD$675),IF(DATE($C685,1,15)&gt;=$W$675,$Z$675*(1+($U$675)/100)^MAX(0,$C685-$AC$675),IF(DATE($C685,1,15)&gt;=$V$675,$Y$675*(1+($U$675)/100)^MAX(0,$C685-$AB$675),0)))))</f>
      </c>
      <c r="F685" s="43">
        <f>IF($S$675=0,0,IF(OR(DATE($C685,2,15)&lt;$S$675,AND($T$675&gt;0,DATE($C685,2,15)&gt;$T$675)),0,IF(DATE($C685,2,15)&gt;=$X$675,$AA$675*(1+($U$675)/100)^MAX(0,$C685-$AD$675),IF(DATE($C685,2,15)&gt;=$W$675,$Z$675*(1+($U$675)/100)^MAX(0,$C685-$AC$675),IF(DATE($C685,2,15)&gt;=$V$675,$Y$675*(1+($U$675)/100)^MAX(0,$C685-$AB$675),0)))))</f>
      </c>
      <c r="G685" s="43">
        <f>IF($S$675=0,0,IF(OR(DATE($C685,3,15)&lt;$S$675,AND($T$675&gt;0,DATE($C685,3,15)&gt;$T$675)),0,IF(DATE($C685,3,15)&gt;=$X$675,$AA$675*(1+($U$675)/100)^MAX(0,$C685-$AD$675),IF(DATE($C685,3,15)&gt;=$W$675,$Z$675*(1+($U$675)/100)^MAX(0,$C685-$AC$675),IF(DATE($C685,3,15)&gt;=$V$675,$Y$675*(1+($U$675)/100)^MAX(0,$C685-$AB$675),0)))))</f>
      </c>
      <c r="H685" s="43">
        <f>IF($S$675=0,0,IF(OR(DATE($C685,4,15)&lt;$S$675,AND($T$675&gt;0,DATE($C685,4,15)&gt;$T$675)),0,IF(DATE($C685,4,15)&gt;=$X$675,$AA$675*(1+($U$675)/100)^MAX(0,$C685-$AD$675),IF(DATE($C685,4,15)&gt;=$W$675,$Z$675*(1+($U$675)/100)^MAX(0,$C685-$AC$675),IF(DATE($C685,4,15)&gt;=$V$675,$Y$675*(1+($U$675)/100)^MAX(0,$C685-$AB$675),0)))))</f>
      </c>
      <c r="I685" s="43">
        <f>IF($S$675=0,0,IF(OR(DATE($C685,5,15)&lt;$S$675,AND($T$675&gt;0,DATE($C685,5,15)&gt;$T$675)),0,IF(DATE($C685,5,15)&gt;=$X$675,$AA$675*(1+($U$675)/100)^MAX(0,$C685-$AD$675),IF(DATE($C685,5,15)&gt;=$W$675,$Z$675*(1+($U$675)/100)^MAX(0,$C685-$AC$675),IF(DATE($C685,5,15)&gt;=$V$675,$Y$675*(1+($U$675)/100)^MAX(0,$C685-$AB$675),0)))))</f>
      </c>
      <c r="J685" s="43">
        <f>IF($S$675=0,0,IF(OR(DATE($C685,6,15)&lt;$S$675,AND($T$675&gt;0,DATE($C685,6,15)&gt;$T$675)),0,IF(DATE($C685,6,15)&gt;=$X$675,$AA$675*(1+($U$675)/100)^MAX(0,$C685-$AD$675),IF(DATE($C685,6,15)&gt;=$W$675,$Z$675*(1+($U$675)/100)^MAX(0,$C685-$AC$675),IF(DATE($C685,6,15)&gt;=$V$675,$Y$675*(1+($U$675)/100)^MAX(0,$C685-$AB$675),0)))))</f>
      </c>
      <c r="K685" s="43">
        <f>IF($S$675=0,0,IF(OR(DATE($C685,7,15)&lt;$S$675,AND($T$675&gt;0,DATE($C685,7,15)&gt;$T$675)),0,IF(DATE($C685,7,15)&gt;=$X$675,$AA$675*(1+($U$675)/100)^MAX(0,$C685-$AD$675),IF(DATE($C685,7,15)&gt;=$W$675,$Z$675*(1+($U$675)/100)^MAX(0,$C685-$AC$675),IF(DATE($C685,7,15)&gt;=$V$675,$Y$675*(1+($U$675)/100)^MAX(0,$C685-$AB$675),0)))))</f>
      </c>
      <c r="L685" s="43">
        <f>IF($S$675=0,0,IF(OR(DATE($C685,8,15)&lt;$S$675,AND($T$675&gt;0,DATE($C685,8,15)&gt;$T$675)),0,IF(DATE($C685,8,15)&gt;=$X$675,$AA$675*(1+($U$675)/100)^MAX(0,$C685-$AD$675),IF(DATE($C685,8,15)&gt;=$W$675,$Z$675*(1+($U$675)/100)^MAX(0,$C685-$AC$675),IF(DATE($C685,8,15)&gt;=$V$675,$Y$675*(1+($U$675)/100)^MAX(0,$C685-$AB$675),0)))))</f>
      </c>
      <c r="M685" s="43">
        <f>IF($S$675=0,0,IF(OR(DATE($C685,9,15)&lt;$S$675,AND($T$675&gt;0,DATE($C685,9,15)&gt;$T$675)),0,IF(DATE($C685,9,15)&gt;=$X$675,$AA$675*(1+($U$675)/100)^MAX(0,$C685-$AD$675),IF(DATE($C685,9,15)&gt;=$W$675,$Z$675*(1+($U$675)/100)^MAX(0,$C685-$AC$675),IF(DATE($C685,9,15)&gt;=$V$675,$Y$675*(1+($U$675)/100)^MAX(0,$C685-$AB$675),0)))))</f>
      </c>
      <c r="N685" s="43">
        <f>IF($S$675=0,0,IF(OR(DATE($C685,10,15)&lt;$S$675,AND($T$675&gt;0,DATE($C685,10,15)&gt;$T$675)),0,IF(DATE($C685,10,15)&gt;=$X$675,$AA$675*(1+($U$675)/100)^MAX(0,$C685-$AD$675),IF(DATE($C685,10,15)&gt;=$W$675,$Z$675*(1+($U$675)/100)^MAX(0,$C685-$AC$675),IF(DATE($C685,10,15)&gt;=$V$675,$Y$675*(1+($U$675)/100)^MAX(0,$C685-$AB$675),0)))))</f>
      </c>
      <c r="O685" s="43">
        <f>IF($S$675=0,0,IF(OR(DATE($C685,11,15)&lt;$S$675,AND($T$675&gt;0,DATE($C685,11,15)&gt;$T$675)),0,IF(DATE($C685,11,15)&gt;=$X$675,$AA$675*(1+($U$675)/100)^MAX(0,$C685-$AD$675),IF(DATE($C685,11,15)&gt;=$W$675,$Z$675*(1+($U$675)/100)^MAX(0,$C685-$AC$675),IF(DATE($C685,11,15)&gt;=$V$675,$Y$675*(1+($U$675)/100)^MAX(0,$C685-$AB$675),0)))))</f>
      </c>
      <c r="P685" s="43">
        <f>IF($S$675=0,0,IF(OR(DATE($C685,12,15)&lt;$S$675,AND($T$675&gt;0,DATE($C685,12,15)&gt;$T$675)),0,IF(DATE($C685,12,15)&gt;=$X$675,$AA$675*(1+($U$675)/100)^MAX(0,$C685-$AD$675),IF(DATE($C685,12,15)&gt;=$W$675,$Z$675*(1+($U$675)/100)^MAX(0,$C685-$AC$675),IF(DATE($C685,12,15)&gt;=$V$675,$Y$675*(1+($U$675)/100)^MAX(0,$C685-$AB$675),0)))))</f>
      </c>
      <c r="Q685" s="43">
        <f>SUM($E685:$P685)</f>
      </c>
    </row>
    <row r="686">
      <c r="A686"/>
      <c r="B686">
        <v>22</v>
      </c>
      <c r="C686" s="43">
        <f>Jahr+11</f>
      </c>
      <c r="D686" s="43">
        <f>INDEX(MvObj,22)</f>
      </c>
      <c r="E686" s="43">
        <f>IF($S$675=0,0,IF(OR(DATE($C686,1,15)&lt;$S$675,AND($T$675&gt;0,DATE($C686,1,15)&gt;$T$675)),0,IF(DATE($C686,1,15)&gt;=$X$675,$AA$675*(1+($U$675)/100)^MAX(0,$C686-$AD$675),IF(DATE($C686,1,15)&gt;=$W$675,$Z$675*(1+($U$675)/100)^MAX(0,$C686-$AC$675),IF(DATE($C686,1,15)&gt;=$V$675,$Y$675*(1+($U$675)/100)^MAX(0,$C686-$AB$675),0)))))</f>
      </c>
      <c r="F686" s="43">
        <f>IF($S$675=0,0,IF(OR(DATE($C686,2,15)&lt;$S$675,AND($T$675&gt;0,DATE($C686,2,15)&gt;$T$675)),0,IF(DATE($C686,2,15)&gt;=$X$675,$AA$675*(1+($U$675)/100)^MAX(0,$C686-$AD$675),IF(DATE($C686,2,15)&gt;=$W$675,$Z$675*(1+($U$675)/100)^MAX(0,$C686-$AC$675),IF(DATE($C686,2,15)&gt;=$V$675,$Y$675*(1+($U$675)/100)^MAX(0,$C686-$AB$675),0)))))</f>
      </c>
      <c r="G686" s="43">
        <f>IF($S$675=0,0,IF(OR(DATE($C686,3,15)&lt;$S$675,AND($T$675&gt;0,DATE($C686,3,15)&gt;$T$675)),0,IF(DATE($C686,3,15)&gt;=$X$675,$AA$675*(1+($U$675)/100)^MAX(0,$C686-$AD$675),IF(DATE($C686,3,15)&gt;=$W$675,$Z$675*(1+($U$675)/100)^MAX(0,$C686-$AC$675),IF(DATE($C686,3,15)&gt;=$V$675,$Y$675*(1+($U$675)/100)^MAX(0,$C686-$AB$675),0)))))</f>
      </c>
      <c r="H686" s="43">
        <f>IF($S$675=0,0,IF(OR(DATE($C686,4,15)&lt;$S$675,AND($T$675&gt;0,DATE($C686,4,15)&gt;$T$675)),0,IF(DATE($C686,4,15)&gt;=$X$675,$AA$675*(1+($U$675)/100)^MAX(0,$C686-$AD$675),IF(DATE($C686,4,15)&gt;=$W$675,$Z$675*(1+($U$675)/100)^MAX(0,$C686-$AC$675),IF(DATE($C686,4,15)&gt;=$V$675,$Y$675*(1+($U$675)/100)^MAX(0,$C686-$AB$675),0)))))</f>
      </c>
      <c r="I686" s="43">
        <f>IF($S$675=0,0,IF(OR(DATE($C686,5,15)&lt;$S$675,AND($T$675&gt;0,DATE($C686,5,15)&gt;$T$675)),0,IF(DATE($C686,5,15)&gt;=$X$675,$AA$675*(1+($U$675)/100)^MAX(0,$C686-$AD$675),IF(DATE($C686,5,15)&gt;=$W$675,$Z$675*(1+($U$675)/100)^MAX(0,$C686-$AC$675),IF(DATE($C686,5,15)&gt;=$V$675,$Y$675*(1+($U$675)/100)^MAX(0,$C686-$AB$675),0)))))</f>
      </c>
      <c r="J686" s="43">
        <f>IF($S$675=0,0,IF(OR(DATE($C686,6,15)&lt;$S$675,AND($T$675&gt;0,DATE($C686,6,15)&gt;$T$675)),0,IF(DATE($C686,6,15)&gt;=$X$675,$AA$675*(1+($U$675)/100)^MAX(0,$C686-$AD$675),IF(DATE($C686,6,15)&gt;=$W$675,$Z$675*(1+($U$675)/100)^MAX(0,$C686-$AC$675),IF(DATE($C686,6,15)&gt;=$V$675,$Y$675*(1+($U$675)/100)^MAX(0,$C686-$AB$675),0)))))</f>
      </c>
      <c r="K686" s="43">
        <f>IF($S$675=0,0,IF(OR(DATE($C686,7,15)&lt;$S$675,AND($T$675&gt;0,DATE($C686,7,15)&gt;$T$675)),0,IF(DATE($C686,7,15)&gt;=$X$675,$AA$675*(1+($U$675)/100)^MAX(0,$C686-$AD$675),IF(DATE($C686,7,15)&gt;=$W$675,$Z$675*(1+($U$675)/100)^MAX(0,$C686-$AC$675),IF(DATE($C686,7,15)&gt;=$V$675,$Y$675*(1+($U$675)/100)^MAX(0,$C686-$AB$675),0)))))</f>
      </c>
      <c r="L686" s="43">
        <f>IF($S$675=0,0,IF(OR(DATE($C686,8,15)&lt;$S$675,AND($T$675&gt;0,DATE($C686,8,15)&gt;$T$675)),0,IF(DATE($C686,8,15)&gt;=$X$675,$AA$675*(1+($U$675)/100)^MAX(0,$C686-$AD$675),IF(DATE($C686,8,15)&gt;=$W$675,$Z$675*(1+($U$675)/100)^MAX(0,$C686-$AC$675),IF(DATE($C686,8,15)&gt;=$V$675,$Y$675*(1+($U$675)/100)^MAX(0,$C686-$AB$675),0)))))</f>
      </c>
      <c r="M686" s="43">
        <f>IF($S$675=0,0,IF(OR(DATE($C686,9,15)&lt;$S$675,AND($T$675&gt;0,DATE($C686,9,15)&gt;$T$675)),0,IF(DATE($C686,9,15)&gt;=$X$675,$AA$675*(1+($U$675)/100)^MAX(0,$C686-$AD$675),IF(DATE($C686,9,15)&gt;=$W$675,$Z$675*(1+($U$675)/100)^MAX(0,$C686-$AC$675),IF(DATE($C686,9,15)&gt;=$V$675,$Y$675*(1+($U$675)/100)^MAX(0,$C686-$AB$675),0)))))</f>
      </c>
      <c r="N686" s="43">
        <f>IF($S$675=0,0,IF(OR(DATE($C686,10,15)&lt;$S$675,AND($T$675&gt;0,DATE($C686,10,15)&gt;$T$675)),0,IF(DATE($C686,10,15)&gt;=$X$675,$AA$675*(1+($U$675)/100)^MAX(0,$C686-$AD$675),IF(DATE($C686,10,15)&gt;=$W$675,$Z$675*(1+($U$675)/100)^MAX(0,$C686-$AC$675),IF(DATE($C686,10,15)&gt;=$V$675,$Y$675*(1+($U$675)/100)^MAX(0,$C686-$AB$675),0)))))</f>
      </c>
      <c r="O686" s="43">
        <f>IF($S$675=0,0,IF(OR(DATE($C686,11,15)&lt;$S$675,AND($T$675&gt;0,DATE($C686,11,15)&gt;$T$675)),0,IF(DATE($C686,11,15)&gt;=$X$675,$AA$675*(1+($U$675)/100)^MAX(0,$C686-$AD$675),IF(DATE($C686,11,15)&gt;=$W$675,$Z$675*(1+($U$675)/100)^MAX(0,$C686-$AC$675),IF(DATE($C686,11,15)&gt;=$V$675,$Y$675*(1+($U$675)/100)^MAX(0,$C686-$AB$675),0)))))</f>
      </c>
      <c r="P686" s="43">
        <f>IF($S$675=0,0,IF(OR(DATE($C686,12,15)&lt;$S$675,AND($T$675&gt;0,DATE($C686,12,15)&gt;$T$675)),0,IF(DATE($C686,12,15)&gt;=$X$675,$AA$675*(1+($U$675)/100)^MAX(0,$C686-$AD$675),IF(DATE($C686,12,15)&gt;=$W$675,$Z$675*(1+($U$675)/100)^MAX(0,$C686-$AC$675),IF(DATE($C686,12,15)&gt;=$V$675,$Y$675*(1+($U$675)/100)^MAX(0,$C686-$AB$675),0)))))</f>
      </c>
      <c r="Q686" s="43">
        <f>SUM($E686:$P686)</f>
      </c>
    </row>
    <row r="687">
      <c r="A687"/>
      <c r="B687">
        <v>22</v>
      </c>
      <c r="C687" s="43">
        <f>Jahr+12</f>
      </c>
      <c r="D687" s="43">
        <f>INDEX(MvObj,22)</f>
      </c>
      <c r="E687" s="43">
        <f>IF($S$675=0,0,IF(OR(DATE($C687,1,15)&lt;$S$675,AND($T$675&gt;0,DATE($C687,1,15)&gt;$T$675)),0,IF(DATE($C687,1,15)&gt;=$X$675,$AA$675*(1+($U$675)/100)^MAX(0,$C687-$AD$675),IF(DATE($C687,1,15)&gt;=$W$675,$Z$675*(1+($U$675)/100)^MAX(0,$C687-$AC$675),IF(DATE($C687,1,15)&gt;=$V$675,$Y$675*(1+($U$675)/100)^MAX(0,$C687-$AB$675),0)))))</f>
      </c>
      <c r="F687" s="43">
        <f>IF($S$675=0,0,IF(OR(DATE($C687,2,15)&lt;$S$675,AND($T$675&gt;0,DATE($C687,2,15)&gt;$T$675)),0,IF(DATE($C687,2,15)&gt;=$X$675,$AA$675*(1+($U$675)/100)^MAX(0,$C687-$AD$675),IF(DATE($C687,2,15)&gt;=$W$675,$Z$675*(1+($U$675)/100)^MAX(0,$C687-$AC$675),IF(DATE($C687,2,15)&gt;=$V$675,$Y$675*(1+($U$675)/100)^MAX(0,$C687-$AB$675),0)))))</f>
      </c>
      <c r="G687" s="43">
        <f>IF($S$675=0,0,IF(OR(DATE($C687,3,15)&lt;$S$675,AND($T$675&gt;0,DATE($C687,3,15)&gt;$T$675)),0,IF(DATE($C687,3,15)&gt;=$X$675,$AA$675*(1+($U$675)/100)^MAX(0,$C687-$AD$675),IF(DATE($C687,3,15)&gt;=$W$675,$Z$675*(1+($U$675)/100)^MAX(0,$C687-$AC$675),IF(DATE($C687,3,15)&gt;=$V$675,$Y$675*(1+($U$675)/100)^MAX(0,$C687-$AB$675),0)))))</f>
      </c>
      <c r="H687" s="43">
        <f>IF($S$675=0,0,IF(OR(DATE($C687,4,15)&lt;$S$675,AND($T$675&gt;0,DATE($C687,4,15)&gt;$T$675)),0,IF(DATE($C687,4,15)&gt;=$X$675,$AA$675*(1+($U$675)/100)^MAX(0,$C687-$AD$675),IF(DATE($C687,4,15)&gt;=$W$675,$Z$675*(1+($U$675)/100)^MAX(0,$C687-$AC$675),IF(DATE($C687,4,15)&gt;=$V$675,$Y$675*(1+($U$675)/100)^MAX(0,$C687-$AB$675),0)))))</f>
      </c>
      <c r="I687" s="43">
        <f>IF($S$675=0,0,IF(OR(DATE($C687,5,15)&lt;$S$675,AND($T$675&gt;0,DATE($C687,5,15)&gt;$T$675)),0,IF(DATE($C687,5,15)&gt;=$X$675,$AA$675*(1+($U$675)/100)^MAX(0,$C687-$AD$675),IF(DATE($C687,5,15)&gt;=$W$675,$Z$675*(1+($U$675)/100)^MAX(0,$C687-$AC$675),IF(DATE($C687,5,15)&gt;=$V$675,$Y$675*(1+($U$675)/100)^MAX(0,$C687-$AB$675),0)))))</f>
      </c>
      <c r="J687" s="43">
        <f>IF($S$675=0,0,IF(OR(DATE($C687,6,15)&lt;$S$675,AND($T$675&gt;0,DATE($C687,6,15)&gt;$T$675)),0,IF(DATE($C687,6,15)&gt;=$X$675,$AA$675*(1+($U$675)/100)^MAX(0,$C687-$AD$675),IF(DATE($C687,6,15)&gt;=$W$675,$Z$675*(1+($U$675)/100)^MAX(0,$C687-$AC$675),IF(DATE($C687,6,15)&gt;=$V$675,$Y$675*(1+($U$675)/100)^MAX(0,$C687-$AB$675),0)))))</f>
      </c>
      <c r="K687" s="43">
        <f>IF($S$675=0,0,IF(OR(DATE($C687,7,15)&lt;$S$675,AND($T$675&gt;0,DATE($C687,7,15)&gt;$T$675)),0,IF(DATE($C687,7,15)&gt;=$X$675,$AA$675*(1+($U$675)/100)^MAX(0,$C687-$AD$675),IF(DATE($C687,7,15)&gt;=$W$675,$Z$675*(1+($U$675)/100)^MAX(0,$C687-$AC$675),IF(DATE($C687,7,15)&gt;=$V$675,$Y$675*(1+($U$675)/100)^MAX(0,$C687-$AB$675),0)))))</f>
      </c>
      <c r="L687" s="43">
        <f>IF($S$675=0,0,IF(OR(DATE($C687,8,15)&lt;$S$675,AND($T$675&gt;0,DATE($C687,8,15)&gt;$T$675)),0,IF(DATE($C687,8,15)&gt;=$X$675,$AA$675*(1+($U$675)/100)^MAX(0,$C687-$AD$675),IF(DATE($C687,8,15)&gt;=$W$675,$Z$675*(1+($U$675)/100)^MAX(0,$C687-$AC$675),IF(DATE($C687,8,15)&gt;=$V$675,$Y$675*(1+($U$675)/100)^MAX(0,$C687-$AB$675),0)))))</f>
      </c>
      <c r="M687" s="43">
        <f>IF($S$675=0,0,IF(OR(DATE($C687,9,15)&lt;$S$675,AND($T$675&gt;0,DATE($C687,9,15)&gt;$T$675)),0,IF(DATE($C687,9,15)&gt;=$X$675,$AA$675*(1+($U$675)/100)^MAX(0,$C687-$AD$675),IF(DATE($C687,9,15)&gt;=$W$675,$Z$675*(1+($U$675)/100)^MAX(0,$C687-$AC$675),IF(DATE($C687,9,15)&gt;=$V$675,$Y$675*(1+($U$675)/100)^MAX(0,$C687-$AB$675),0)))))</f>
      </c>
      <c r="N687" s="43">
        <f>IF($S$675=0,0,IF(OR(DATE($C687,10,15)&lt;$S$675,AND($T$675&gt;0,DATE($C687,10,15)&gt;$T$675)),0,IF(DATE($C687,10,15)&gt;=$X$675,$AA$675*(1+($U$675)/100)^MAX(0,$C687-$AD$675),IF(DATE($C687,10,15)&gt;=$W$675,$Z$675*(1+($U$675)/100)^MAX(0,$C687-$AC$675),IF(DATE($C687,10,15)&gt;=$V$675,$Y$675*(1+($U$675)/100)^MAX(0,$C687-$AB$675),0)))))</f>
      </c>
      <c r="O687" s="43">
        <f>IF($S$675=0,0,IF(OR(DATE($C687,11,15)&lt;$S$675,AND($T$675&gt;0,DATE($C687,11,15)&gt;$T$675)),0,IF(DATE($C687,11,15)&gt;=$X$675,$AA$675*(1+($U$675)/100)^MAX(0,$C687-$AD$675),IF(DATE($C687,11,15)&gt;=$W$675,$Z$675*(1+($U$675)/100)^MAX(0,$C687-$AC$675),IF(DATE($C687,11,15)&gt;=$V$675,$Y$675*(1+($U$675)/100)^MAX(0,$C687-$AB$675),0)))))</f>
      </c>
      <c r="P687" s="43">
        <f>IF($S$675=0,0,IF(OR(DATE($C687,12,15)&lt;$S$675,AND($T$675&gt;0,DATE($C687,12,15)&gt;$T$675)),0,IF(DATE($C687,12,15)&gt;=$X$675,$AA$675*(1+($U$675)/100)^MAX(0,$C687-$AD$675),IF(DATE($C687,12,15)&gt;=$W$675,$Z$675*(1+($U$675)/100)^MAX(0,$C687-$AC$675),IF(DATE($C687,12,15)&gt;=$V$675,$Y$675*(1+($U$675)/100)^MAX(0,$C687-$AB$675),0)))))</f>
      </c>
      <c r="Q687" s="43">
        <f>SUM($E687:$P687)</f>
      </c>
    </row>
    <row r="688">
      <c r="A688"/>
      <c r="B688">
        <v>22</v>
      </c>
      <c r="C688" s="43">
        <f>Jahr+13</f>
      </c>
      <c r="D688" s="43">
        <f>INDEX(MvObj,22)</f>
      </c>
      <c r="E688" s="43">
        <f>IF($S$675=0,0,IF(OR(DATE($C688,1,15)&lt;$S$675,AND($T$675&gt;0,DATE($C688,1,15)&gt;$T$675)),0,IF(DATE($C688,1,15)&gt;=$X$675,$AA$675*(1+($U$675)/100)^MAX(0,$C688-$AD$675),IF(DATE($C688,1,15)&gt;=$W$675,$Z$675*(1+($U$675)/100)^MAX(0,$C688-$AC$675),IF(DATE($C688,1,15)&gt;=$V$675,$Y$675*(1+($U$675)/100)^MAX(0,$C688-$AB$675),0)))))</f>
      </c>
      <c r="F688" s="43">
        <f>IF($S$675=0,0,IF(OR(DATE($C688,2,15)&lt;$S$675,AND($T$675&gt;0,DATE($C688,2,15)&gt;$T$675)),0,IF(DATE($C688,2,15)&gt;=$X$675,$AA$675*(1+($U$675)/100)^MAX(0,$C688-$AD$675),IF(DATE($C688,2,15)&gt;=$W$675,$Z$675*(1+($U$675)/100)^MAX(0,$C688-$AC$675),IF(DATE($C688,2,15)&gt;=$V$675,$Y$675*(1+($U$675)/100)^MAX(0,$C688-$AB$675),0)))))</f>
      </c>
      <c r="G688" s="43">
        <f>IF($S$675=0,0,IF(OR(DATE($C688,3,15)&lt;$S$675,AND($T$675&gt;0,DATE($C688,3,15)&gt;$T$675)),0,IF(DATE($C688,3,15)&gt;=$X$675,$AA$675*(1+($U$675)/100)^MAX(0,$C688-$AD$675),IF(DATE($C688,3,15)&gt;=$W$675,$Z$675*(1+($U$675)/100)^MAX(0,$C688-$AC$675),IF(DATE($C688,3,15)&gt;=$V$675,$Y$675*(1+($U$675)/100)^MAX(0,$C688-$AB$675),0)))))</f>
      </c>
      <c r="H688" s="43">
        <f>IF($S$675=0,0,IF(OR(DATE($C688,4,15)&lt;$S$675,AND($T$675&gt;0,DATE($C688,4,15)&gt;$T$675)),0,IF(DATE($C688,4,15)&gt;=$X$675,$AA$675*(1+($U$675)/100)^MAX(0,$C688-$AD$675),IF(DATE($C688,4,15)&gt;=$W$675,$Z$675*(1+($U$675)/100)^MAX(0,$C688-$AC$675),IF(DATE($C688,4,15)&gt;=$V$675,$Y$675*(1+($U$675)/100)^MAX(0,$C688-$AB$675),0)))))</f>
      </c>
      <c r="I688" s="43">
        <f>IF($S$675=0,0,IF(OR(DATE($C688,5,15)&lt;$S$675,AND($T$675&gt;0,DATE($C688,5,15)&gt;$T$675)),0,IF(DATE($C688,5,15)&gt;=$X$675,$AA$675*(1+($U$675)/100)^MAX(0,$C688-$AD$675),IF(DATE($C688,5,15)&gt;=$W$675,$Z$675*(1+($U$675)/100)^MAX(0,$C688-$AC$675),IF(DATE($C688,5,15)&gt;=$V$675,$Y$675*(1+($U$675)/100)^MAX(0,$C688-$AB$675),0)))))</f>
      </c>
      <c r="J688" s="43">
        <f>IF($S$675=0,0,IF(OR(DATE($C688,6,15)&lt;$S$675,AND($T$675&gt;0,DATE($C688,6,15)&gt;$T$675)),0,IF(DATE($C688,6,15)&gt;=$X$675,$AA$675*(1+($U$675)/100)^MAX(0,$C688-$AD$675),IF(DATE($C688,6,15)&gt;=$W$675,$Z$675*(1+($U$675)/100)^MAX(0,$C688-$AC$675),IF(DATE($C688,6,15)&gt;=$V$675,$Y$675*(1+($U$675)/100)^MAX(0,$C688-$AB$675),0)))))</f>
      </c>
      <c r="K688" s="43">
        <f>IF($S$675=0,0,IF(OR(DATE($C688,7,15)&lt;$S$675,AND($T$675&gt;0,DATE($C688,7,15)&gt;$T$675)),0,IF(DATE($C688,7,15)&gt;=$X$675,$AA$675*(1+($U$675)/100)^MAX(0,$C688-$AD$675),IF(DATE($C688,7,15)&gt;=$W$675,$Z$675*(1+($U$675)/100)^MAX(0,$C688-$AC$675),IF(DATE($C688,7,15)&gt;=$V$675,$Y$675*(1+($U$675)/100)^MAX(0,$C688-$AB$675),0)))))</f>
      </c>
      <c r="L688" s="43">
        <f>IF($S$675=0,0,IF(OR(DATE($C688,8,15)&lt;$S$675,AND($T$675&gt;0,DATE($C688,8,15)&gt;$T$675)),0,IF(DATE($C688,8,15)&gt;=$X$675,$AA$675*(1+($U$675)/100)^MAX(0,$C688-$AD$675),IF(DATE($C688,8,15)&gt;=$W$675,$Z$675*(1+($U$675)/100)^MAX(0,$C688-$AC$675),IF(DATE($C688,8,15)&gt;=$V$675,$Y$675*(1+($U$675)/100)^MAX(0,$C688-$AB$675),0)))))</f>
      </c>
      <c r="M688" s="43">
        <f>IF($S$675=0,0,IF(OR(DATE($C688,9,15)&lt;$S$675,AND($T$675&gt;0,DATE($C688,9,15)&gt;$T$675)),0,IF(DATE($C688,9,15)&gt;=$X$675,$AA$675*(1+($U$675)/100)^MAX(0,$C688-$AD$675),IF(DATE($C688,9,15)&gt;=$W$675,$Z$675*(1+($U$675)/100)^MAX(0,$C688-$AC$675),IF(DATE($C688,9,15)&gt;=$V$675,$Y$675*(1+($U$675)/100)^MAX(0,$C688-$AB$675),0)))))</f>
      </c>
      <c r="N688" s="43">
        <f>IF($S$675=0,0,IF(OR(DATE($C688,10,15)&lt;$S$675,AND($T$675&gt;0,DATE($C688,10,15)&gt;$T$675)),0,IF(DATE($C688,10,15)&gt;=$X$675,$AA$675*(1+($U$675)/100)^MAX(0,$C688-$AD$675),IF(DATE($C688,10,15)&gt;=$W$675,$Z$675*(1+($U$675)/100)^MAX(0,$C688-$AC$675),IF(DATE($C688,10,15)&gt;=$V$675,$Y$675*(1+($U$675)/100)^MAX(0,$C688-$AB$675),0)))))</f>
      </c>
      <c r="O688" s="43">
        <f>IF($S$675=0,0,IF(OR(DATE($C688,11,15)&lt;$S$675,AND($T$675&gt;0,DATE($C688,11,15)&gt;$T$675)),0,IF(DATE($C688,11,15)&gt;=$X$675,$AA$675*(1+($U$675)/100)^MAX(0,$C688-$AD$675),IF(DATE($C688,11,15)&gt;=$W$675,$Z$675*(1+($U$675)/100)^MAX(0,$C688-$AC$675),IF(DATE($C688,11,15)&gt;=$V$675,$Y$675*(1+($U$675)/100)^MAX(0,$C688-$AB$675),0)))))</f>
      </c>
      <c r="P688" s="43">
        <f>IF($S$675=0,0,IF(OR(DATE($C688,12,15)&lt;$S$675,AND($T$675&gt;0,DATE($C688,12,15)&gt;$T$675)),0,IF(DATE($C688,12,15)&gt;=$X$675,$AA$675*(1+($U$675)/100)^MAX(0,$C688-$AD$675),IF(DATE($C688,12,15)&gt;=$W$675,$Z$675*(1+($U$675)/100)^MAX(0,$C688-$AC$675),IF(DATE($C688,12,15)&gt;=$V$675,$Y$675*(1+($U$675)/100)^MAX(0,$C688-$AB$675),0)))))</f>
      </c>
      <c r="Q688" s="43">
        <f>SUM($E688:$P688)</f>
      </c>
    </row>
    <row r="689">
      <c r="A689"/>
      <c r="B689">
        <v>22</v>
      </c>
      <c r="C689" s="43">
        <f>Jahr+14</f>
      </c>
      <c r="D689" s="43">
        <f>INDEX(MvObj,22)</f>
      </c>
      <c r="E689" s="43">
        <f>IF($S$675=0,0,IF(OR(DATE($C689,1,15)&lt;$S$675,AND($T$675&gt;0,DATE($C689,1,15)&gt;$T$675)),0,IF(DATE($C689,1,15)&gt;=$X$675,$AA$675*(1+($U$675)/100)^MAX(0,$C689-$AD$675),IF(DATE($C689,1,15)&gt;=$W$675,$Z$675*(1+($U$675)/100)^MAX(0,$C689-$AC$675),IF(DATE($C689,1,15)&gt;=$V$675,$Y$675*(1+($U$675)/100)^MAX(0,$C689-$AB$675),0)))))</f>
      </c>
      <c r="F689" s="43">
        <f>IF($S$675=0,0,IF(OR(DATE($C689,2,15)&lt;$S$675,AND($T$675&gt;0,DATE($C689,2,15)&gt;$T$675)),0,IF(DATE($C689,2,15)&gt;=$X$675,$AA$675*(1+($U$675)/100)^MAX(0,$C689-$AD$675),IF(DATE($C689,2,15)&gt;=$W$675,$Z$675*(1+($U$675)/100)^MAX(0,$C689-$AC$675),IF(DATE($C689,2,15)&gt;=$V$675,$Y$675*(1+($U$675)/100)^MAX(0,$C689-$AB$675),0)))))</f>
      </c>
      <c r="G689" s="43">
        <f>IF($S$675=0,0,IF(OR(DATE($C689,3,15)&lt;$S$675,AND($T$675&gt;0,DATE($C689,3,15)&gt;$T$675)),0,IF(DATE($C689,3,15)&gt;=$X$675,$AA$675*(1+($U$675)/100)^MAX(0,$C689-$AD$675),IF(DATE($C689,3,15)&gt;=$W$675,$Z$675*(1+($U$675)/100)^MAX(0,$C689-$AC$675),IF(DATE($C689,3,15)&gt;=$V$675,$Y$675*(1+($U$675)/100)^MAX(0,$C689-$AB$675),0)))))</f>
      </c>
      <c r="H689" s="43">
        <f>IF($S$675=0,0,IF(OR(DATE($C689,4,15)&lt;$S$675,AND($T$675&gt;0,DATE($C689,4,15)&gt;$T$675)),0,IF(DATE($C689,4,15)&gt;=$X$675,$AA$675*(1+($U$675)/100)^MAX(0,$C689-$AD$675),IF(DATE($C689,4,15)&gt;=$W$675,$Z$675*(1+($U$675)/100)^MAX(0,$C689-$AC$675),IF(DATE($C689,4,15)&gt;=$V$675,$Y$675*(1+($U$675)/100)^MAX(0,$C689-$AB$675),0)))))</f>
      </c>
      <c r="I689" s="43">
        <f>IF($S$675=0,0,IF(OR(DATE($C689,5,15)&lt;$S$675,AND($T$675&gt;0,DATE($C689,5,15)&gt;$T$675)),0,IF(DATE($C689,5,15)&gt;=$X$675,$AA$675*(1+($U$675)/100)^MAX(0,$C689-$AD$675),IF(DATE($C689,5,15)&gt;=$W$675,$Z$675*(1+($U$675)/100)^MAX(0,$C689-$AC$675),IF(DATE($C689,5,15)&gt;=$V$675,$Y$675*(1+($U$675)/100)^MAX(0,$C689-$AB$675),0)))))</f>
      </c>
      <c r="J689" s="43">
        <f>IF($S$675=0,0,IF(OR(DATE($C689,6,15)&lt;$S$675,AND($T$675&gt;0,DATE($C689,6,15)&gt;$T$675)),0,IF(DATE($C689,6,15)&gt;=$X$675,$AA$675*(1+($U$675)/100)^MAX(0,$C689-$AD$675),IF(DATE($C689,6,15)&gt;=$W$675,$Z$675*(1+($U$675)/100)^MAX(0,$C689-$AC$675),IF(DATE($C689,6,15)&gt;=$V$675,$Y$675*(1+($U$675)/100)^MAX(0,$C689-$AB$675),0)))))</f>
      </c>
      <c r="K689" s="43">
        <f>IF($S$675=0,0,IF(OR(DATE($C689,7,15)&lt;$S$675,AND($T$675&gt;0,DATE($C689,7,15)&gt;$T$675)),0,IF(DATE($C689,7,15)&gt;=$X$675,$AA$675*(1+($U$675)/100)^MAX(0,$C689-$AD$675),IF(DATE($C689,7,15)&gt;=$W$675,$Z$675*(1+($U$675)/100)^MAX(0,$C689-$AC$675),IF(DATE($C689,7,15)&gt;=$V$675,$Y$675*(1+($U$675)/100)^MAX(0,$C689-$AB$675),0)))))</f>
      </c>
      <c r="L689" s="43">
        <f>IF($S$675=0,0,IF(OR(DATE($C689,8,15)&lt;$S$675,AND($T$675&gt;0,DATE($C689,8,15)&gt;$T$675)),0,IF(DATE($C689,8,15)&gt;=$X$675,$AA$675*(1+($U$675)/100)^MAX(0,$C689-$AD$675),IF(DATE($C689,8,15)&gt;=$W$675,$Z$675*(1+($U$675)/100)^MAX(0,$C689-$AC$675),IF(DATE($C689,8,15)&gt;=$V$675,$Y$675*(1+($U$675)/100)^MAX(0,$C689-$AB$675),0)))))</f>
      </c>
      <c r="M689" s="43">
        <f>IF($S$675=0,0,IF(OR(DATE($C689,9,15)&lt;$S$675,AND($T$675&gt;0,DATE($C689,9,15)&gt;$T$675)),0,IF(DATE($C689,9,15)&gt;=$X$675,$AA$675*(1+($U$675)/100)^MAX(0,$C689-$AD$675),IF(DATE($C689,9,15)&gt;=$W$675,$Z$675*(1+($U$675)/100)^MAX(0,$C689-$AC$675),IF(DATE($C689,9,15)&gt;=$V$675,$Y$675*(1+($U$675)/100)^MAX(0,$C689-$AB$675),0)))))</f>
      </c>
      <c r="N689" s="43">
        <f>IF($S$675=0,0,IF(OR(DATE($C689,10,15)&lt;$S$675,AND($T$675&gt;0,DATE($C689,10,15)&gt;$T$675)),0,IF(DATE($C689,10,15)&gt;=$X$675,$AA$675*(1+($U$675)/100)^MAX(0,$C689-$AD$675),IF(DATE($C689,10,15)&gt;=$W$675,$Z$675*(1+($U$675)/100)^MAX(0,$C689-$AC$675),IF(DATE($C689,10,15)&gt;=$V$675,$Y$675*(1+($U$675)/100)^MAX(0,$C689-$AB$675),0)))))</f>
      </c>
      <c r="O689" s="43">
        <f>IF($S$675=0,0,IF(OR(DATE($C689,11,15)&lt;$S$675,AND($T$675&gt;0,DATE($C689,11,15)&gt;$T$675)),0,IF(DATE($C689,11,15)&gt;=$X$675,$AA$675*(1+($U$675)/100)^MAX(0,$C689-$AD$675),IF(DATE($C689,11,15)&gt;=$W$675,$Z$675*(1+($U$675)/100)^MAX(0,$C689-$AC$675),IF(DATE($C689,11,15)&gt;=$V$675,$Y$675*(1+($U$675)/100)^MAX(0,$C689-$AB$675),0)))))</f>
      </c>
      <c r="P689" s="43">
        <f>IF($S$675=0,0,IF(OR(DATE($C689,12,15)&lt;$S$675,AND($T$675&gt;0,DATE($C689,12,15)&gt;$T$675)),0,IF(DATE($C689,12,15)&gt;=$X$675,$AA$675*(1+($U$675)/100)^MAX(0,$C689-$AD$675),IF(DATE($C689,12,15)&gt;=$W$675,$Z$675*(1+($U$675)/100)^MAX(0,$C689-$AC$675),IF(DATE($C689,12,15)&gt;=$V$675,$Y$675*(1+($U$675)/100)^MAX(0,$C689-$AB$675),0)))))</f>
      </c>
      <c r="Q689" s="43">
        <f>SUM($E689:$P689)</f>
      </c>
    </row>
    <row r="690">
      <c r="A690"/>
      <c r="B690">
        <v>22</v>
      </c>
      <c r="C690" s="43">
        <f>Jahr+15</f>
      </c>
      <c r="D690" s="43">
        <f>INDEX(MvObj,22)</f>
      </c>
      <c r="E690" s="43">
        <f>IF($S$675=0,0,IF(OR(DATE($C690,1,15)&lt;$S$675,AND($T$675&gt;0,DATE($C690,1,15)&gt;$T$675)),0,IF(DATE($C690,1,15)&gt;=$X$675,$AA$675*(1+($U$675)/100)^MAX(0,$C690-$AD$675),IF(DATE($C690,1,15)&gt;=$W$675,$Z$675*(1+($U$675)/100)^MAX(0,$C690-$AC$675),IF(DATE($C690,1,15)&gt;=$V$675,$Y$675*(1+($U$675)/100)^MAX(0,$C690-$AB$675),0)))))</f>
      </c>
      <c r="F690" s="43">
        <f>IF($S$675=0,0,IF(OR(DATE($C690,2,15)&lt;$S$675,AND($T$675&gt;0,DATE($C690,2,15)&gt;$T$675)),0,IF(DATE($C690,2,15)&gt;=$X$675,$AA$675*(1+($U$675)/100)^MAX(0,$C690-$AD$675),IF(DATE($C690,2,15)&gt;=$W$675,$Z$675*(1+($U$675)/100)^MAX(0,$C690-$AC$675),IF(DATE($C690,2,15)&gt;=$V$675,$Y$675*(1+($U$675)/100)^MAX(0,$C690-$AB$675),0)))))</f>
      </c>
      <c r="G690" s="43">
        <f>IF($S$675=0,0,IF(OR(DATE($C690,3,15)&lt;$S$675,AND($T$675&gt;0,DATE($C690,3,15)&gt;$T$675)),0,IF(DATE($C690,3,15)&gt;=$X$675,$AA$675*(1+($U$675)/100)^MAX(0,$C690-$AD$675),IF(DATE($C690,3,15)&gt;=$W$675,$Z$675*(1+($U$675)/100)^MAX(0,$C690-$AC$675),IF(DATE($C690,3,15)&gt;=$V$675,$Y$675*(1+($U$675)/100)^MAX(0,$C690-$AB$675),0)))))</f>
      </c>
      <c r="H690" s="43">
        <f>IF($S$675=0,0,IF(OR(DATE($C690,4,15)&lt;$S$675,AND($T$675&gt;0,DATE($C690,4,15)&gt;$T$675)),0,IF(DATE($C690,4,15)&gt;=$X$675,$AA$675*(1+($U$675)/100)^MAX(0,$C690-$AD$675),IF(DATE($C690,4,15)&gt;=$W$675,$Z$675*(1+($U$675)/100)^MAX(0,$C690-$AC$675),IF(DATE($C690,4,15)&gt;=$V$675,$Y$675*(1+($U$675)/100)^MAX(0,$C690-$AB$675),0)))))</f>
      </c>
      <c r="I690" s="43">
        <f>IF($S$675=0,0,IF(OR(DATE($C690,5,15)&lt;$S$675,AND($T$675&gt;0,DATE($C690,5,15)&gt;$T$675)),0,IF(DATE($C690,5,15)&gt;=$X$675,$AA$675*(1+($U$675)/100)^MAX(0,$C690-$AD$675),IF(DATE($C690,5,15)&gt;=$W$675,$Z$675*(1+($U$675)/100)^MAX(0,$C690-$AC$675),IF(DATE($C690,5,15)&gt;=$V$675,$Y$675*(1+($U$675)/100)^MAX(0,$C690-$AB$675),0)))))</f>
      </c>
      <c r="J690" s="43">
        <f>IF($S$675=0,0,IF(OR(DATE($C690,6,15)&lt;$S$675,AND($T$675&gt;0,DATE($C690,6,15)&gt;$T$675)),0,IF(DATE($C690,6,15)&gt;=$X$675,$AA$675*(1+($U$675)/100)^MAX(0,$C690-$AD$675),IF(DATE($C690,6,15)&gt;=$W$675,$Z$675*(1+($U$675)/100)^MAX(0,$C690-$AC$675),IF(DATE($C690,6,15)&gt;=$V$675,$Y$675*(1+($U$675)/100)^MAX(0,$C690-$AB$675),0)))))</f>
      </c>
      <c r="K690" s="43">
        <f>IF($S$675=0,0,IF(OR(DATE($C690,7,15)&lt;$S$675,AND($T$675&gt;0,DATE($C690,7,15)&gt;$T$675)),0,IF(DATE($C690,7,15)&gt;=$X$675,$AA$675*(1+($U$675)/100)^MAX(0,$C690-$AD$675),IF(DATE($C690,7,15)&gt;=$W$675,$Z$675*(1+($U$675)/100)^MAX(0,$C690-$AC$675),IF(DATE($C690,7,15)&gt;=$V$675,$Y$675*(1+($U$675)/100)^MAX(0,$C690-$AB$675),0)))))</f>
      </c>
      <c r="L690" s="43">
        <f>IF($S$675=0,0,IF(OR(DATE($C690,8,15)&lt;$S$675,AND($T$675&gt;0,DATE($C690,8,15)&gt;$T$675)),0,IF(DATE($C690,8,15)&gt;=$X$675,$AA$675*(1+($U$675)/100)^MAX(0,$C690-$AD$675),IF(DATE($C690,8,15)&gt;=$W$675,$Z$675*(1+($U$675)/100)^MAX(0,$C690-$AC$675),IF(DATE($C690,8,15)&gt;=$V$675,$Y$675*(1+($U$675)/100)^MAX(0,$C690-$AB$675),0)))))</f>
      </c>
      <c r="M690" s="43">
        <f>IF($S$675=0,0,IF(OR(DATE($C690,9,15)&lt;$S$675,AND($T$675&gt;0,DATE($C690,9,15)&gt;$T$675)),0,IF(DATE($C690,9,15)&gt;=$X$675,$AA$675*(1+($U$675)/100)^MAX(0,$C690-$AD$675),IF(DATE($C690,9,15)&gt;=$W$675,$Z$675*(1+($U$675)/100)^MAX(0,$C690-$AC$675),IF(DATE($C690,9,15)&gt;=$V$675,$Y$675*(1+($U$675)/100)^MAX(0,$C690-$AB$675),0)))))</f>
      </c>
      <c r="N690" s="43">
        <f>IF($S$675=0,0,IF(OR(DATE($C690,10,15)&lt;$S$675,AND($T$675&gt;0,DATE($C690,10,15)&gt;$T$675)),0,IF(DATE($C690,10,15)&gt;=$X$675,$AA$675*(1+($U$675)/100)^MAX(0,$C690-$AD$675),IF(DATE($C690,10,15)&gt;=$W$675,$Z$675*(1+($U$675)/100)^MAX(0,$C690-$AC$675),IF(DATE($C690,10,15)&gt;=$V$675,$Y$675*(1+($U$675)/100)^MAX(0,$C690-$AB$675),0)))))</f>
      </c>
      <c r="O690" s="43">
        <f>IF($S$675=0,0,IF(OR(DATE($C690,11,15)&lt;$S$675,AND($T$675&gt;0,DATE($C690,11,15)&gt;$T$675)),0,IF(DATE($C690,11,15)&gt;=$X$675,$AA$675*(1+($U$675)/100)^MAX(0,$C690-$AD$675),IF(DATE($C690,11,15)&gt;=$W$675,$Z$675*(1+($U$675)/100)^MAX(0,$C690-$AC$675),IF(DATE($C690,11,15)&gt;=$V$675,$Y$675*(1+($U$675)/100)^MAX(0,$C690-$AB$675),0)))))</f>
      </c>
      <c r="P690" s="43">
        <f>IF($S$675=0,0,IF(OR(DATE($C690,12,15)&lt;$S$675,AND($T$675&gt;0,DATE($C690,12,15)&gt;$T$675)),0,IF(DATE($C690,12,15)&gt;=$X$675,$AA$675*(1+($U$675)/100)^MAX(0,$C690-$AD$675),IF(DATE($C690,12,15)&gt;=$W$675,$Z$675*(1+($U$675)/100)^MAX(0,$C690-$AC$675),IF(DATE($C690,12,15)&gt;=$V$675,$Y$675*(1+($U$675)/100)^MAX(0,$C690-$AB$675),0)))))</f>
      </c>
      <c r="Q690" s="43">
        <f>SUM($E690:$P690)</f>
      </c>
    </row>
    <row r="691">
      <c r="A691"/>
      <c r="B691">
        <v>22</v>
      </c>
      <c r="C691" s="43">
        <f>Jahr+16</f>
      </c>
      <c r="D691" s="43">
        <f>INDEX(MvObj,22)</f>
      </c>
      <c r="E691" s="43">
        <f>IF($S$675=0,0,IF(OR(DATE($C691,1,15)&lt;$S$675,AND($T$675&gt;0,DATE($C691,1,15)&gt;$T$675)),0,IF(DATE($C691,1,15)&gt;=$X$675,$AA$675*(1+($U$675)/100)^MAX(0,$C691-$AD$675),IF(DATE($C691,1,15)&gt;=$W$675,$Z$675*(1+($U$675)/100)^MAX(0,$C691-$AC$675),IF(DATE($C691,1,15)&gt;=$V$675,$Y$675*(1+($U$675)/100)^MAX(0,$C691-$AB$675),0)))))</f>
      </c>
      <c r="F691" s="43">
        <f>IF($S$675=0,0,IF(OR(DATE($C691,2,15)&lt;$S$675,AND($T$675&gt;0,DATE($C691,2,15)&gt;$T$675)),0,IF(DATE($C691,2,15)&gt;=$X$675,$AA$675*(1+($U$675)/100)^MAX(0,$C691-$AD$675),IF(DATE($C691,2,15)&gt;=$W$675,$Z$675*(1+($U$675)/100)^MAX(0,$C691-$AC$675),IF(DATE($C691,2,15)&gt;=$V$675,$Y$675*(1+($U$675)/100)^MAX(0,$C691-$AB$675),0)))))</f>
      </c>
      <c r="G691" s="43">
        <f>IF($S$675=0,0,IF(OR(DATE($C691,3,15)&lt;$S$675,AND($T$675&gt;0,DATE($C691,3,15)&gt;$T$675)),0,IF(DATE($C691,3,15)&gt;=$X$675,$AA$675*(1+($U$675)/100)^MAX(0,$C691-$AD$675),IF(DATE($C691,3,15)&gt;=$W$675,$Z$675*(1+($U$675)/100)^MAX(0,$C691-$AC$675),IF(DATE($C691,3,15)&gt;=$V$675,$Y$675*(1+($U$675)/100)^MAX(0,$C691-$AB$675),0)))))</f>
      </c>
      <c r="H691" s="43">
        <f>IF($S$675=0,0,IF(OR(DATE($C691,4,15)&lt;$S$675,AND($T$675&gt;0,DATE($C691,4,15)&gt;$T$675)),0,IF(DATE($C691,4,15)&gt;=$X$675,$AA$675*(1+($U$675)/100)^MAX(0,$C691-$AD$675),IF(DATE($C691,4,15)&gt;=$W$675,$Z$675*(1+($U$675)/100)^MAX(0,$C691-$AC$675),IF(DATE($C691,4,15)&gt;=$V$675,$Y$675*(1+($U$675)/100)^MAX(0,$C691-$AB$675),0)))))</f>
      </c>
      <c r="I691" s="43">
        <f>IF($S$675=0,0,IF(OR(DATE($C691,5,15)&lt;$S$675,AND($T$675&gt;0,DATE($C691,5,15)&gt;$T$675)),0,IF(DATE($C691,5,15)&gt;=$X$675,$AA$675*(1+($U$675)/100)^MAX(0,$C691-$AD$675),IF(DATE($C691,5,15)&gt;=$W$675,$Z$675*(1+($U$675)/100)^MAX(0,$C691-$AC$675),IF(DATE($C691,5,15)&gt;=$V$675,$Y$675*(1+($U$675)/100)^MAX(0,$C691-$AB$675),0)))))</f>
      </c>
      <c r="J691" s="43">
        <f>IF($S$675=0,0,IF(OR(DATE($C691,6,15)&lt;$S$675,AND($T$675&gt;0,DATE($C691,6,15)&gt;$T$675)),0,IF(DATE($C691,6,15)&gt;=$X$675,$AA$675*(1+($U$675)/100)^MAX(0,$C691-$AD$675),IF(DATE($C691,6,15)&gt;=$W$675,$Z$675*(1+($U$675)/100)^MAX(0,$C691-$AC$675),IF(DATE($C691,6,15)&gt;=$V$675,$Y$675*(1+($U$675)/100)^MAX(0,$C691-$AB$675),0)))))</f>
      </c>
      <c r="K691" s="43">
        <f>IF($S$675=0,0,IF(OR(DATE($C691,7,15)&lt;$S$675,AND($T$675&gt;0,DATE($C691,7,15)&gt;$T$675)),0,IF(DATE($C691,7,15)&gt;=$X$675,$AA$675*(1+($U$675)/100)^MAX(0,$C691-$AD$675),IF(DATE($C691,7,15)&gt;=$W$675,$Z$675*(1+($U$675)/100)^MAX(0,$C691-$AC$675),IF(DATE($C691,7,15)&gt;=$V$675,$Y$675*(1+($U$675)/100)^MAX(0,$C691-$AB$675),0)))))</f>
      </c>
      <c r="L691" s="43">
        <f>IF($S$675=0,0,IF(OR(DATE($C691,8,15)&lt;$S$675,AND($T$675&gt;0,DATE($C691,8,15)&gt;$T$675)),0,IF(DATE($C691,8,15)&gt;=$X$675,$AA$675*(1+($U$675)/100)^MAX(0,$C691-$AD$675),IF(DATE($C691,8,15)&gt;=$W$675,$Z$675*(1+($U$675)/100)^MAX(0,$C691-$AC$675),IF(DATE($C691,8,15)&gt;=$V$675,$Y$675*(1+($U$675)/100)^MAX(0,$C691-$AB$675),0)))))</f>
      </c>
      <c r="M691" s="43">
        <f>IF($S$675=0,0,IF(OR(DATE($C691,9,15)&lt;$S$675,AND($T$675&gt;0,DATE($C691,9,15)&gt;$T$675)),0,IF(DATE($C691,9,15)&gt;=$X$675,$AA$675*(1+($U$675)/100)^MAX(0,$C691-$AD$675),IF(DATE($C691,9,15)&gt;=$W$675,$Z$675*(1+($U$675)/100)^MAX(0,$C691-$AC$675),IF(DATE($C691,9,15)&gt;=$V$675,$Y$675*(1+($U$675)/100)^MAX(0,$C691-$AB$675),0)))))</f>
      </c>
      <c r="N691" s="43">
        <f>IF($S$675=0,0,IF(OR(DATE($C691,10,15)&lt;$S$675,AND($T$675&gt;0,DATE($C691,10,15)&gt;$T$675)),0,IF(DATE($C691,10,15)&gt;=$X$675,$AA$675*(1+($U$675)/100)^MAX(0,$C691-$AD$675),IF(DATE($C691,10,15)&gt;=$W$675,$Z$675*(1+($U$675)/100)^MAX(0,$C691-$AC$675),IF(DATE($C691,10,15)&gt;=$V$675,$Y$675*(1+($U$675)/100)^MAX(0,$C691-$AB$675),0)))))</f>
      </c>
      <c r="O691" s="43">
        <f>IF($S$675=0,0,IF(OR(DATE($C691,11,15)&lt;$S$675,AND($T$675&gt;0,DATE($C691,11,15)&gt;$T$675)),0,IF(DATE($C691,11,15)&gt;=$X$675,$AA$675*(1+($U$675)/100)^MAX(0,$C691-$AD$675),IF(DATE($C691,11,15)&gt;=$W$675,$Z$675*(1+($U$675)/100)^MAX(0,$C691-$AC$675),IF(DATE($C691,11,15)&gt;=$V$675,$Y$675*(1+($U$675)/100)^MAX(0,$C691-$AB$675),0)))))</f>
      </c>
      <c r="P691" s="43">
        <f>IF($S$675=0,0,IF(OR(DATE($C691,12,15)&lt;$S$675,AND($T$675&gt;0,DATE($C691,12,15)&gt;$T$675)),0,IF(DATE($C691,12,15)&gt;=$X$675,$AA$675*(1+($U$675)/100)^MAX(0,$C691-$AD$675),IF(DATE($C691,12,15)&gt;=$W$675,$Z$675*(1+($U$675)/100)^MAX(0,$C691-$AC$675),IF(DATE($C691,12,15)&gt;=$V$675,$Y$675*(1+($U$675)/100)^MAX(0,$C691-$AB$675),0)))))</f>
      </c>
      <c r="Q691" s="43">
        <f>SUM($E691:$P691)</f>
      </c>
    </row>
    <row r="692">
      <c r="A692"/>
      <c r="B692">
        <v>22</v>
      </c>
      <c r="C692" s="43">
        <f>Jahr+17</f>
      </c>
      <c r="D692" s="43">
        <f>INDEX(MvObj,22)</f>
      </c>
      <c r="E692" s="43">
        <f>IF($S$675=0,0,IF(OR(DATE($C692,1,15)&lt;$S$675,AND($T$675&gt;0,DATE($C692,1,15)&gt;$T$675)),0,IF(DATE($C692,1,15)&gt;=$X$675,$AA$675*(1+($U$675)/100)^MAX(0,$C692-$AD$675),IF(DATE($C692,1,15)&gt;=$W$675,$Z$675*(1+($U$675)/100)^MAX(0,$C692-$AC$675),IF(DATE($C692,1,15)&gt;=$V$675,$Y$675*(1+($U$675)/100)^MAX(0,$C692-$AB$675),0)))))</f>
      </c>
      <c r="F692" s="43">
        <f>IF($S$675=0,0,IF(OR(DATE($C692,2,15)&lt;$S$675,AND($T$675&gt;0,DATE($C692,2,15)&gt;$T$675)),0,IF(DATE($C692,2,15)&gt;=$X$675,$AA$675*(1+($U$675)/100)^MAX(0,$C692-$AD$675),IF(DATE($C692,2,15)&gt;=$W$675,$Z$675*(1+($U$675)/100)^MAX(0,$C692-$AC$675),IF(DATE($C692,2,15)&gt;=$V$675,$Y$675*(1+($U$675)/100)^MAX(0,$C692-$AB$675),0)))))</f>
      </c>
      <c r="G692" s="43">
        <f>IF($S$675=0,0,IF(OR(DATE($C692,3,15)&lt;$S$675,AND($T$675&gt;0,DATE($C692,3,15)&gt;$T$675)),0,IF(DATE($C692,3,15)&gt;=$X$675,$AA$675*(1+($U$675)/100)^MAX(0,$C692-$AD$675),IF(DATE($C692,3,15)&gt;=$W$675,$Z$675*(1+($U$675)/100)^MAX(0,$C692-$AC$675),IF(DATE($C692,3,15)&gt;=$V$675,$Y$675*(1+($U$675)/100)^MAX(0,$C692-$AB$675),0)))))</f>
      </c>
      <c r="H692" s="43">
        <f>IF($S$675=0,0,IF(OR(DATE($C692,4,15)&lt;$S$675,AND($T$675&gt;0,DATE($C692,4,15)&gt;$T$675)),0,IF(DATE($C692,4,15)&gt;=$X$675,$AA$675*(1+($U$675)/100)^MAX(0,$C692-$AD$675),IF(DATE($C692,4,15)&gt;=$W$675,$Z$675*(1+($U$675)/100)^MAX(0,$C692-$AC$675),IF(DATE($C692,4,15)&gt;=$V$675,$Y$675*(1+($U$675)/100)^MAX(0,$C692-$AB$675),0)))))</f>
      </c>
      <c r="I692" s="43">
        <f>IF($S$675=0,0,IF(OR(DATE($C692,5,15)&lt;$S$675,AND($T$675&gt;0,DATE($C692,5,15)&gt;$T$675)),0,IF(DATE($C692,5,15)&gt;=$X$675,$AA$675*(1+($U$675)/100)^MAX(0,$C692-$AD$675),IF(DATE($C692,5,15)&gt;=$W$675,$Z$675*(1+($U$675)/100)^MAX(0,$C692-$AC$675),IF(DATE($C692,5,15)&gt;=$V$675,$Y$675*(1+($U$675)/100)^MAX(0,$C692-$AB$675),0)))))</f>
      </c>
      <c r="J692" s="43">
        <f>IF($S$675=0,0,IF(OR(DATE($C692,6,15)&lt;$S$675,AND($T$675&gt;0,DATE($C692,6,15)&gt;$T$675)),0,IF(DATE($C692,6,15)&gt;=$X$675,$AA$675*(1+($U$675)/100)^MAX(0,$C692-$AD$675),IF(DATE($C692,6,15)&gt;=$W$675,$Z$675*(1+($U$675)/100)^MAX(0,$C692-$AC$675),IF(DATE($C692,6,15)&gt;=$V$675,$Y$675*(1+($U$675)/100)^MAX(0,$C692-$AB$675),0)))))</f>
      </c>
      <c r="K692" s="43">
        <f>IF($S$675=0,0,IF(OR(DATE($C692,7,15)&lt;$S$675,AND($T$675&gt;0,DATE($C692,7,15)&gt;$T$675)),0,IF(DATE($C692,7,15)&gt;=$X$675,$AA$675*(1+($U$675)/100)^MAX(0,$C692-$AD$675),IF(DATE($C692,7,15)&gt;=$W$675,$Z$675*(1+($U$675)/100)^MAX(0,$C692-$AC$675),IF(DATE($C692,7,15)&gt;=$V$675,$Y$675*(1+($U$675)/100)^MAX(0,$C692-$AB$675),0)))))</f>
      </c>
      <c r="L692" s="43">
        <f>IF($S$675=0,0,IF(OR(DATE($C692,8,15)&lt;$S$675,AND($T$675&gt;0,DATE($C692,8,15)&gt;$T$675)),0,IF(DATE($C692,8,15)&gt;=$X$675,$AA$675*(1+($U$675)/100)^MAX(0,$C692-$AD$675),IF(DATE($C692,8,15)&gt;=$W$675,$Z$675*(1+($U$675)/100)^MAX(0,$C692-$AC$675),IF(DATE($C692,8,15)&gt;=$V$675,$Y$675*(1+($U$675)/100)^MAX(0,$C692-$AB$675),0)))))</f>
      </c>
      <c r="M692" s="43">
        <f>IF($S$675=0,0,IF(OR(DATE($C692,9,15)&lt;$S$675,AND($T$675&gt;0,DATE($C692,9,15)&gt;$T$675)),0,IF(DATE($C692,9,15)&gt;=$X$675,$AA$675*(1+($U$675)/100)^MAX(0,$C692-$AD$675),IF(DATE($C692,9,15)&gt;=$W$675,$Z$675*(1+($U$675)/100)^MAX(0,$C692-$AC$675),IF(DATE($C692,9,15)&gt;=$V$675,$Y$675*(1+($U$675)/100)^MAX(0,$C692-$AB$675),0)))))</f>
      </c>
      <c r="N692" s="43">
        <f>IF($S$675=0,0,IF(OR(DATE($C692,10,15)&lt;$S$675,AND($T$675&gt;0,DATE($C692,10,15)&gt;$T$675)),0,IF(DATE($C692,10,15)&gt;=$X$675,$AA$675*(1+($U$675)/100)^MAX(0,$C692-$AD$675),IF(DATE($C692,10,15)&gt;=$W$675,$Z$675*(1+($U$675)/100)^MAX(0,$C692-$AC$675),IF(DATE($C692,10,15)&gt;=$V$675,$Y$675*(1+($U$675)/100)^MAX(0,$C692-$AB$675),0)))))</f>
      </c>
      <c r="O692" s="43">
        <f>IF($S$675=0,0,IF(OR(DATE($C692,11,15)&lt;$S$675,AND($T$675&gt;0,DATE($C692,11,15)&gt;$T$675)),0,IF(DATE($C692,11,15)&gt;=$X$675,$AA$675*(1+($U$675)/100)^MAX(0,$C692-$AD$675),IF(DATE($C692,11,15)&gt;=$W$675,$Z$675*(1+($U$675)/100)^MAX(0,$C692-$AC$675),IF(DATE($C692,11,15)&gt;=$V$675,$Y$675*(1+($U$675)/100)^MAX(0,$C692-$AB$675),0)))))</f>
      </c>
      <c r="P692" s="43">
        <f>IF($S$675=0,0,IF(OR(DATE($C692,12,15)&lt;$S$675,AND($T$675&gt;0,DATE($C692,12,15)&gt;$T$675)),0,IF(DATE($C692,12,15)&gt;=$X$675,$AA$675*(1+($U$675)/100)^MAX(0,$C692-$AD$675),IF(DATE($C692,12,15)&gt;=$W$675,$Z$675*(1+($U$675)/100)^MAX(0,$C692-$AC$675),IF(DATE($C692,12,15)&gt;=$V$675,$Y$675*(1+($U$675)/100)^MAX(0,$C692-$AB$675),0)))))</f>
      </c>
      <c r="Q692" s="43">
        <f>SUM($E692:$P692)</f>
      </c>
    </row>
    <row r="693">
      <c r="A693"/>
      <c r="B693">
        <v>22</v>
      </c>
      <c r="C693" s="43">
        <f>Jahr+18</f>
      </c>
      <c r="D693" s="43">
        <f>INDEX(MvObj,22)</f>
      </c>
      <c r="E693" s="43">
        <f>IF($S$675=0,0,IF(OR(DATE($C693,1,15)&lt;$S$675,AND($T$675&gt;0,DATE($C693,1,15)&gt;$T$675)),0,IF(DATE($C693,1,15)&gt;=$X$675,$AA$675*(1+($U$675)/100)^MAX(0,$C693-$AD$675),IF(DATE($C693,1,15)&gt;=$W$675,$Z$675*(1+($U$675)/100)^MAX(0,$C693-$AC$675),IF(DATE($C693,1,15)&gt;=$V$675,$Y$675*(1+($U$675)/100)^MAX(0,$C693-$AB$675),0)))))</f>
      </c>
      <c r="F693" s="43">
        <f>IF($S$675=0,0,IF(OR(DATE($C693,2,15)&lt;$S$675,AND($T$675&gt;0,DATE($C693,2,15)&gt;$T$675)),0,IF(DATE($C693,2,15)&gt;=$X$675,$AA$675*(1+($U$675)/100)^MAX(0,$C693-$AD$675),IF(DATE($C693,2,15)&gt;=$W$675,$Z$675*(1+($U$675)/100)^MAX(0,$C693-$AC$675),IF(DATE($C693,2,15)&gt;=$V$675,$Y$675*(1+($U$675)/100)^MAX(0,$C693-$AB$675),0)))))</f>
      </c>
      <c r="G693" s="43">
        <f>IF($S$675=0,0,IF(OR(DATE($C693,3,15)&lt;$S$675,AND($T$675&gt;0,DATE($C693,3,15)&gt;$T$675)),0,IF(DATE($C693,3,15)&gt;=$X$675,$AA$675*(1+($U$675)/100)^MAX(0,$C693-$AD$675),IF(DATE($C693,3,15)&gt;=$W$675,$Z$675*(1+($U$675)/100)^MAX(0,$C693-$AC$675),IF(DATE($C693,3,15)&gt;=$V$675,$Y$675*(1+($U$675)/100)^MAX(0,$C693-$AB$675),0)))))</f>
      </c>
      <c r="H693" s="43">
        <f>IF($S$675=0,0,IF(OR(DATE($C693,4,15)&lt;$S$675,AND($T$675&gt;0,DATE($C693,4,15)&gt;$T$675)),0,IF(DATE($C693,4,15)&gt;=$X$675,$AA$675*(1+($U$675)/100)^MAX(0,$C693-$AD$675),IF(DATE($C693,4,15)&gt;=$W$675,$Z$675*(1+($U$675)/100)^MAX(0,$C693-$AC$675),IF(DATE($C693,4,15)&gt;=$V$675,$Y$675*(1+($U$675)/100)^MAX(0,$C693-$AB$675),0)))))</f>
      </c>
      <c r="I693" s="43">
        <f>IF($S$675=0,0,IF(OR(DATE($C693,5,15)&lt;$S$675,AND($T$675&gt;0,DATE($C693,5,15)&gt;$T$675)),0,IF(DATE($C693,5,15)&gt;=$X$675,$AA$675*(1+($U$675)/100)^MAX(0,$C693-$AD$675),IF(DATE($C693,5,15)&gt;=$W$675,$Z$675*(1+($U$675)/100)^MAX(0,$C693-$AC$675),IF(DATE($C693,5,15)&gt;=$V$675,$Y$675*(1+($U$675)/100)^MAX(0,$C693-$AB$675),0)))))</f>
      </c>
      <c r="J693" s="43">
        <f>IF($S$675=0,0,IF(OR(DATE($C693,6,15)&lt;$S$675,AND($T$675&gt;0,DATE($C693,6,15)&gt;$T$675)),0,IF(DATE($C693,6,15)&gt;=$X$675,$AA$675*(1+($U$675)/100)^MAX(0,$C693-$AD$675),IF(DATE($C693,6,15)&gt;=$W$675,$Z$675*(1+($U$675)/100)^MAX(0,$C693-$AC$675),IF(DATE($C693,6,15)&gt;=$V$675,$Y$675*(1+($U$675)/100)^MAX(0,$C693-$AB$675),0)))))</f>
      </c>
      <c r="K693" s="43">
        <f>IF($S$675=0,0,IF(OR(DATE($C693,7,15)&lt;$S$675,AND($T$675&gt;0,DATE($C693,7,15)&gt;$T$675)),0,IF(DATE($C693,7,15)&gt;=$X$675,$AA$675*(1+($U$675)/100)^MAX(0,$C693-$AD$675),IF(DATE($C693,7,15)&gt;=$W$675,$Z$675*(1+($U$675)/100)^MAX(0,$C693-$AC$675),IF(DATE($C693,7,15)&gt;=$V$675,$Y$675*(1+($U$675)/100)^MAX(0,$C693-$AB$675),0)))))</f>
      </c>
      <c r="L693" s="43">
        <f>IF($S$675=0,0,IF(OR(DATE($C693,8,15)&lt;$S$675,AND($T$675&gt;0,DATE($C693,8,15)&gt;$T$675)),0,IF(DATE($C693,8,15)&gt;=$X$675,$AA$675*(1+($U$675)/100)^MAX(0,$C693-$AD$675),IF(DATE($C693,8,15)&gt;=$W$675,$Z$675*(1+($U$675)/100)^MAX(0,$C693-$AC$675),IF(DATE($C693,8,15)&gt;=$V$675,$Y$675*(1+($U$675)/100)^MAX(0,$C693-$AB$675),0)))))</f>
      </c>
      <c r="M693" s="43">
        <f>IF($S$675=0,0,IF(OR(DATE($C693,9,15)&lt;$S$675,AND($T$675&gt;0,DATE($C693,9,15)&gt;$T$675)),0,IF(DATE($C693,9,15)&gt;=$X$675,$AA$675*(1+($U$675)/100)^MAX(0,$C693-$AD$675),IF(DATE($C693,9,15)&gt;=$W$675,$Z$675*(1+($U$675)/100)^MAX(0,$C693-$AC$675),IF(DATE($C693,9,15)&gt;=$V$675,$Y$675*(1+($U$675)/100)^MAX(0,$C693-$AB$675),0)))))</f>
      </c>
      <c r="N693" s="43">
        <f>IF($S$675=0,0,IF(OR(DATE($C693,10,15)&lt;$S$675,AND($T$675&gt;0,DATE($C693,10,15)&gt;$T$675)),0,IF(DATE($C693,10,15)&gt;=$X$675,$AA$675*(1+($U$675)/100)^MAX(0,$C693-$AD$675),IF(DATE($C693,10,15)&gt;=$W$675,$Z$675*(1+($U$675)/100)^MAX(0,$C693-$AC$675),IF(DATE($C693,10,15)&gt;=$V$675,$Y$675*(1+($U$675)/100)^MAX(0,$C693-$AB$675),0)))))</f>
      </c>
      <c r="O693" s="43">
        <f>IF($S$675=0,0,IF(OR(DATE($C693,11,15)&lt;$S$675,AND($T$675&gt;0,DATE($C693,11,15)&gt;$T$675)),0,IF(DATE($C693,11,15)&gt;=$X$675,$AA$675*(1+($U$675)/100)^MAX(0,$C693-$AD$675),IF(DATE($C693,11,15)&gt;=$W$675,$Z$675*(1+($U$675)/100)^MAX(0,$C693-$AC$675),IF(DATE($C693,11,15)&gt;=$V$675,$Y$675*(1+($U$675)/100)^MAX(0,$C693-$AB$675),0)))))</f>
      </c>
      <c r="P693" s="43">
        <f>IF($S$675=0,0,IF(OR(DATE($C693,12,15)&lt;$S$675,AND($T$675&gt;0,DATE($C693,12,15)&gt;$T$675)),0,IF(DATE($C693,12,15)&gt;=$X$675,$AA$675*(1+($U$675)/100)^MAX(0,$C693-$AD$675),IF(DATE($C693,12,15)&gt;=$W$675,$Z$675*(1+($U$675)/100)^MAX(0,$C693-$AC$675),IF(DATE($C693,12,15)&gt;=$V$675,$Y$675*(1+($U$675)/100)^MAX(0,$C693-$AB$675),0)))))</f>
      </c>
      <c r="Q693" s="43">
        <f>SUM($E693:$P693)</f>
      </c>
    </row>
    <row r="694">
      <c r="A694"/>
      <c r="B694">
        <v>22</v>
      </c>
      <c r="C694" s="43">
        <f>Jahr+19</f>
      </c>
      <c r="D694" s="43">
        <f>INDEX(MvObj,22)</f>
      </c>
      <c r="E694" s="43">
        <f>IF($S$675=0,0,IF(OR(DATE($C694,1,15)&lt;$S$675,AND($T$675&gt;0,DATE($C694,1,15)&gt;$T$675)),0,IF(DATE($C694,1,15)&gt;=$X$675,$AA$675*(1+($U$675)/100)^MAX(0,$C694-$AD$675),IF(DATE($C694,1,15)&gt;=$W$675,$Z$675*(1+($U$675)/100)^MAX(0,$C694-$AC$675),IF(DATE($C694,1,15)&gt;=$V$675,$Y$675*(1+($U$675)/100)^MAX(0,$C694-$AB$675),0)))))</f>
      </c>
      <c r="F694" s="43">
        <f>IF($S$675=0,0,IF(OR(DATE($C694,2,15)&lt;$S$675,AND($T$675&gt;0,DATE($C694,2,15)&gt;$T$675)),0,IF(DATE($C694,2,15)&gt;=$X$675,$AA$675*(1+($U$675)/100)^MAX(0,$C694-$AD$675),IF(DATE($C694,2,15)&gt;=$W$675,$Z$675*(1+($U$675)/100)^MAX(0,$C694-$AC$675),IF(DATE($C694,2,15)&gt;=$V$675,$Y$675*(1+($U$675)/100)^MAX(0,$C694-$AB$675),0)))))</f>
      </c>
      <c r="G694" s="43">
        <f>IF($S$675=0,0,IF(OR(DATE($C694,3,15)&lt;$S$675,AND($T$675&gt;0,DATE($C694,3,15)&gt;$T$675)),0,IF(DATE($C694,3,15)&gt;=$X$675,$AA$675*(1+($U$675)/100)^MAX(0,$C694-$AD$675),IF(DATE($C694,3,15)&gt;=$W$675,$Z$675*(1+($U$675)/100)^MAX(0,$C694-$AC$675),IF(DATE($C694,3,15)&gt;=$V$675,$Y$675*(1+($U$675)/100)^MAX(0,$C694-$AB$675),0)))))</f>
      </c>
      <c r="H694" s="43">
        <f>IF($S$675=0,0,IF(OR(DATE($C694,4,15)&lt;$S$675,AND($T$675&gt;0,DATE($C694,4,15)&gt;$T$675)),0,IF(DATE($C694,4,15)&gt;=$X$675,$AA$675*(1+($U$675)/100)^MAX(0,$C694-$AD$675),IF(DATE($C694,4,15)&gt;=$W$675,$Z$675*(1+($U$675)/100)^MAX(0,$C694-$AC$675),IF(DATE($C694,4,15)&gt;=$V$675,$Y$675*(1+($U$675)/100)^MAX(0,$C694-$AB$675),0)))))</f>
      </c>
      <c r="I694" s="43">
        <f>IF($S$675=0,0,IF(OR(DATE($C694,5,15)&lt;$S$675,AND($T$675&gt;0,DATE($C694,5,15)&gt;$T$675)),0,IF(DATE($C694,5,15)&gt;=$X$675,$AA$675*(1+($U$675)/100)^MAX(0,$C694-$AD$675),IF(DATE($C694,5,15)&gt;=$W$675,$Z$675*(1+($U$675)/100)^MAX(0,$C694-$AC$675),IF(DATE($C694,5,15)&gt;=$V$675,$Y$675*(1+($U$675)/100)^MAX(0,$C694-$AB$675),0)))))</f>
      </c>
      <c r="J694" s="43">
        <f>IF($S$675=0,0,IF(OR(DATE($C694,6,15)&lt;$S$675,AND($T$675&gt;0,DATE($C694,6,15)&gt;$T$675)),0,IF(DATE($C694,6,15)&gt;=$X$675,$AA$675*(1+($U$675)/100)^MAX(0,$C694-$AD$675),IF(DATE($C694,6,15)&gt;=$W$675,$Z$675*(1+($U$675)/100)^MAX(0,$C694-$AC$675),IF(DATE($C694,6,15)&gt;=$V$675,$Y$675*(1+($U$675)/100)^MAX(0,$C694-$AB$675),0)))))</f>
      </c>
      <c r="K694" s="43">
        <f>IF($S$675=0,0,IF(OR(DATE($C694,7,15)&lt;$S$675,AND($T$675&gt;0,DATE($C694,7,15)&gt;$T$675)),0,IF(DATE($C694,7,15)&gt;=$X$675,$AA$675*(1+($U$675)/100)^MAX(0,$C694-$AD$675),IF(DATE($C694,7,15)&gt;=$W$675,$Z$675*(1+($U$675)/100)^MAX(0,$C694-$AC$675),IF(DATE($C694,7,15)&gt;=$V$675,$Y$675*(1+($U$675)/100)^MAX(0,$C694-$AB$675),0)))))</f>
      </c>
      <c r="L694" s="43">
        <f>IF($S$675=0,0,IF(OR(DATE($C694,8,15)&lt;$S$675,AND($T$675&gt;0,DATE($C694,8,15)&gt;$T$675)),0,IF(DATE($C694,8,15)&gt;=$X$675,$AA$675*(1+($U$675)/100)^MAX(0,$C694-$AD$675),IF(DATE($C694,8,15)&gt;=$W$675,$Z$675*(1+($U$675)/100)^MAX(0,$C694-$AC$675),IF(DATE($C694,8,15)&gt;=$V$675,$Y$675*(1+($U$675)/100)^MAX(0,$C694-$AB$675),0)))))</f>
      </c>
      <c r="M694" s="43">
        <f>IF($S$675=0,0,IF(OR(DATE($C694,9,15)&lt;$S$675,AND($T$675&gt;0,DATE($C694,9,15)&gt;$T$675)),0,IF(DATE($C694,9,15)&gt;=$X$675,$AA$675*(1+($U$675)/100)^MAX(0,$C694-$AD$675),IF(DATE($C694,9,15)&gt;=$W$675,$Z$675*(1+($U$675)/100)^MAX(0,$C694-$AC$675),IF(DATE($C694,9,15)&gt;=$V$675,$Y$675*(1+($U$675)/100)^MAX(0,$C694-$AB$675),0)))))</f>
      </c>
      <c r="N694" s="43">
        <f>IF($S$675=0,0,IF(OR(DATE($C694,10,15)&lt;$S$675,AND($T$675&gt;0,DATE($C694,10,15)&gt;$T$675)),0,IF(DATE($C694,10,15)&gt;=$X$675,$AA$675*(1+($U$675)/100)^MAX(0,$C694-$AD$675),IF(DATE($C694,10,15)&gt;=$W$675,$Z$675*(1+($U$675)/100)^MAX(0,$C694-$AC$675),IF(DATE($C694,10,15)&gt;=$V$675,$Y$675*(1+($U$675)/100)^MAX(0,$C694-$AB$675),0)))))</f>
      </c>
      <c r="O694" s="43">
        <f>IF($S$675=0,0,IF(OR(DATE($C694,11,15)&lt;$S$675,AND($T$675&gt;0,DATE($C694,11,15)&gt;$T$675)),0,IF(DATE($C694,11,15)&gt;=$X$675,$AA$675*(1+($U$675)/100)^MAX(0,$C694-$AD$675),IF(DATE($C694,11,15)&gt;=$W$675,$Z$675*(1+($U$675)/100)^MAX(0,$C694-$AC$675),IF(DATE($C694,11,15)&gt;=$V$675,$Y$675*(1+($U$675)/100)^MAX(0,$C694-$AB$675),0)))))</f>
      </c>
      <c r="P694" s="43">
        <f>IF($S$675=0,0,IF(OR(DATE($C694,12,15)&lt;$S$675,AND($T$675&gt;0,DATE($C694,12,15)&gt;$T$675)),0,IF(DATE($C694,12,15)&gt;=$X$675,$AA$675*(1+($U$675)/100)^MAX(0,$C694-$AD$675),IF(DATE($C694,12,15)&gt;=$W$675,$Z$675*(1+($U$675)/100)^MAX(0,$C694-$AC$675),IF(DATE($C694,12,15)&gt;=$V$675,$Y$675*(1+($U$675)/100)^MAX(0,$C694-$AB$675),0)))))</f>
      </c>
      <c r="Q694" s="43">
        <f>SUM($E694:$P694)</f>
      </c>
    </row>
    <row r="695">
      <c r="A695"/>
      <c r="B695">
        <v>22</v>
      </c>
      <c r="C695" s="43">
        <f>Jahr+20</f>
      </c>
      <c r="D695" s="43">
        <f>INDEX(MvObj,22)</f>
      </c>
      <c r="E695" s="43">
        <f>IF($S$675=0,0,IF(OR(DATE($C695,1,15)&lt;$S$675,AND($T$675&gt;0,DATE($C695,1,15)&gt;$T$675)),0,IF(DATE($C695,1,15)&gt;=$X$675,$AA$675*(1+($U$675)/100)^MAX(0,$C695-$AD$675),IF(DATE($C695,1,15)&gt;=$W$675,$Z$675*(1+($U$675)/100)^MAX(0,$C695-$AC$675),IF(DATE($C695,1,15)&gt;=$V$675,$Y$675*(1+($U$675)/100)^MAX(0,$C695-$AB$675),0)))))</f>
      </c>
      <c r="F695" s="43">
        <f>IF($S$675=0,0,IF(OR(DATE($C695,2,15)&lt;$S$675,AND($T$675&gt;0,DATE($C695,2,15)&gt;$T$675)),0,IF(DATE($C695,2,15)&gt;=$X$675,$AA$675*(1+($U$675)/100)^MAX(0,$C695-$AD$675),IF(DATE($C695,2,15)&gt;=$W$675,$Z$675*(1+($U$675)/100)^MAX(0,$C695-$AC$675),IF(DATE($C695,2,15)&gt;=$V$675,$Y$675*(1+($U$675)/100)^MAX(0,$C695-$AB$675),0)))))</f>
      </c>
      <c r="G695" s="43">
        <f>IF($S$675=0,0,IF(OR(DATE($C695,3,15)&lt;$S$675,AND($T$675&gt;0,DATE($C695,3,15)&gt;$T$675)),0,IF(DATE($C695,3,15)&gt;=$X$675,$AA$675*(1+($U$675)/100)^MAX(0,$C695-$AD$675),IF(DATE($C695,3,15)&gt;=$W$675,$Z$675*(1+($U$675)/100)^MAX(0,$C695-$AC$675),IF(DATE($C695,3,15)&gt;=$V$675,$Y$675*(1+($U$675)/100)^MAX(0,$C695-$AB$675),0)))))</f>
      </c>
      <c r="H695" s="43">
        <f>IF($S$675=0,0,IF(OR(DATE($C695,4,15)&lt;$S$675,AND($T$675&gt;0,DATE($C695,4,15)&gt;$T$675)),0,IF(DATE($C695,4,15)&gt;=$X$675,$AA$675*(1+($U$675)/100)^MAX(0,$C695-$AD$675),IF(DATE($C695,4,15)&gt;=$W$675,$Z$675*(1+($U$675)/100)^MAX(0,$C695-$AC$675),IF(DATE($C695,4,15)&gt;=$V$675,$Y$675*(1+($U$675)/100)^MAX(0,$C695-$AB$675),0)))))</f>
      </c>
      <c r="I695" s="43">
        <f>IF($S$675=0,0,IF(OR(DATE($C695,5,15)&lt;$S$675,AND($T$675&gt;0,DATE($C695,5,15)&gt;$T$675)),0,IF(DATE($C695,5,15)&gt;=$X$675,$AA$675*(1+($U$675)/100)^MAX(0,$C695-$AD$675),IF(DATE($C695,5,15)&gt;=$W$675,$Z$675*(1+($U$675)/100)^MAX(0,$C695-$AC$675),IF(DATE($C695,5,15)&gt;=$V$675,$Y$675*(1+($U$675)/100)^MAX(0,$C695-$AB$675),0)))))</f>
      </c>
      <c r="J695" s="43">
        <f>IF($S$675=0,0,IF(OR(DATE($C695,6,15)&lt;$S$675,AND($T$675&gt;0,DATE($C695,6,15)&gt;$T$675)),0,IF(DATE($C695,6,15)&gt;=$X$675,$AA$675*(1+($U$675)/100)^MAX(0,$C695-$AD$675),IF(DATE($C695,6,15)&gt;=$W$675,$Z$675*(1+($U$675)/100)^MAX(0,$C695-$AC$675),IF(DATE($C695,6,15)&gt;=$V$675,$Y$675*(1+($U$675)/100)^MAX(0,$C695-$AB$675),0)))))</f>
      </c>
      <c r="K695" s="43">
        <f>IF($S$675=0,0,IF(OR(DATE($C695,7,15)&lt;$S$675,AND($T$675&gt;0,DATE($C695,7,15)&gt;$T$675)),0,IF(DATE($C695,7,15)&gt;=$X$675,$AA$675*(1+($U$675)/100)^MAX(0,$C695-$AD$675),IF(DATE($C695,7,15)&gt;=$W$675,$Z$675*(1+($U$675)/100)^MAX(0,$C695-$AC$675),IF(DATE($C695,7,15)&gt;=$V$675,$Y$675*(1+($U$675)/100)^MAX(0,$C695-$AB$675),0)))))</f>
      </c>
      <c r="L695" s="43">
        <f>IF($S$675=0,0,IF(OR(DATE($C695,8,15)&lt;$S$675,AND($T$675&gt;0,DATE($C695,8,15)&gt;$T$675)),0,IF(DATE($C695,8,15)&gt;=$X$675,$AA$675*(1+($U$675)/100)^MAX(0,$C695-$AD$675),IF(DATE($C695,8,15)&gt;=$W$675,$Z$675*(1+($U$675)/100)^MAX(0,$C695-$AC$675),IF(DATE($C695,8,15)&gt;=$V$675,$Y$675*(1+($U$675)/100)^MAX(0,$C695-$AB$675),0)))))</f>
      </c>
      <c r="M695" s="43">
        <f>IF($S$675=0,0,IF(OR(DATE($C695,9,15)&lt;$S$675,AND($T$675&gt;0,DATE($C695,9,15)&gt;$T$675)),0,IF(DATE($C695,9,15)&gt;=$X$675,$AA$675*(1+($U$675)/100)^MAX(0,$C695-$AD$675),IF(DATE($C695,9,15)&gt;=$W$675,$Z$675*(1+($U$675)/100)^MAX(0,$C695-$AC$675),IF(DATE($C695,9,15)&gt;=$V$675,$Y$675*(1+($U$675)/100)^MAX(0,$C695-$AB$675),0)))))</f>
      </c>
      <c r="N695" s="43">
        <f>IF($S$675=0,0,IF(OR(DATE($C695,10,15)&lt;$S$675,AND($T$675&gt;0,DATE($C695,10,15)&gt;$T$675)),0,IF(DATE($C695,10,15)&gt;=$X$675,$AA$675*(1+($U$675)/100)^MAX(0,$C695-$AD$675),IF(DATE($C695,10,15)&gt;=$W$675,$Z$675*(1+($U$675)/100)^MAX(0,$C695-$AC$675),IF(DATE($C695,10,15)&gt;=$V$675,$Y$675*(1+($U$675)/100)^MAX(0,$C695-$AB$675),0)))))</f>
      </c>
      <c r="O695" s="43">
        <f>IF($S$675=0,0,IF(OR(DATE($C695,11,15)&lt;$S$675,AND($T$675&gt;0,DATE($C695,11,15)&gt;$T$675)),0,IF(DATE($C695,11,15)&gt;=$X$675,$AA$675*(1+($U$675)/100)^MAX(0,$C695-$AD$675),IF(DATE($C695,11,15)&gt;=$W$675,$Z$675*(1+($U$675)/100)^MAX(0,$C695-$AC$675),IF(DATE($C695,11,15)&gt;=$V$675,$Y$675*(1+($U$675)/100)^MAX(0,$C695-$AB$675),0)))))</f>
      </c>
      <c r="P695" s="43">
        <f>IF($S$675=0,0,IF(OR(DATE($C695,12,15)&lt;$S$675,AND($T$675&gt;0,DATE($C695,12,15)&gt;$T$675)),0,IF(DATE($C695,12,15)&gt;=$X$675,$AA$675*(1+($U$675)/100)^MAX(0,$C695-$AD$675),IF(DATE($C695,12,15)&gt;=$W$675,$Z$675*(1+($U$675)/100)^MAX(0,$C695-$AC$675),IF(DATE($C695,12,15)&gt;=$V$675,$Y$675*(1+($U$675)/100)^MAX(0,$C695-$AB$675),0)))))</f>
      </c>
      <c r="Q695" s="43">
        <f>SUM($E695:$P695)</f>
      </c>
    </row>
    <row r="696">
      <c r="A696"/>
      <c r="B696">
        <v>22</v>
      </c>
      <c r="C696" s="43">
        <f>Jahr+21</f>
      </c>
      <c r="D696" s="43">
        <f>INDEX(MvObj,22)</f>
      </c>
      <c r="E696" s="43">
        <f>IF($S$675=0,0,IF(OR(DATE($C696,1,15)&lt;$S$675,AND($T$675&gt;0,DATE($C696,1,15)&gt;$T$675)),0,IF(DATE($C696,1,15)&gt;=$X$675,$AA$675*(1+($U$675)/100)^MAX(0,$C696-$AD$675),IF(DATE($C696,1,15)&gt;=$W$675,$Z$675*(1+($U$675)/100)^MAX(0,$C696-$AC$675),IF(DATE($C696,1,15)&gt;=$V$675,$Y$675*(1+($U$675)/100)^MAX(0,$C696-$AB$675),0)))))</f>
      </c>
      <c r="F696" s="43">
        <f>IF($S$675=0,0,IF(OR(DATE($C696,2,15)&lt;$S$675,AND($T$675&gt;0,DATE($C696,2,15)&gt;$T$675)),0,IF(DATE($C696,2,15)&gt;=$X$675,$AA$675*(1+($U$675)/100)^MAX(0,$C696-$AD$675),IF(DATE($C696,2,15)&gt;=$W$675,$Z$675*(1+($U$675)/100)^MAX(0,$C696-$AC$675),IF(DATE($C696,2,15)&gt;=$V$675,$Y$675*(1+($U$675)/100)^MAX(0,$C696-$AB$675),0)))))</f>
      </c>
      <c r="G696" s="43">
        <f>IF($S$675=0,0,IF(OR(DATE($C696,3,15)&lt;$S$675,AND($T$675&gt;0,DATE($C696,3,15)&gt;$T$675)),0,IF(DATE($C696,3,15)&gt;=$X$675,$AA$675*(1+($U$675)/100)^MAX(0,$C696-$AD$675),IF(DATE($C696,3,15)&gt;=$W$675,$Z$675*(1+($U$675)/100)^MAX(0,$C696-$AC$675),IF(DATE($C696,3,15)&gt;=$V$675,$Y$675*(1+($U$675)/100)^MAX(0,$C696-$AB$675),0)))))</f>
      </c>
      <c r="H696" s="43">
        <f>IF($S$675=0,0,IF(OR(DATE($C696,4,15)&lt;$S$675,AND($T$675&gt;0,DATE($C696,4,15)&gt;$T$675)),0,IF(DATE($C696,4,15)&gt;=$X$675,$AA$675*(1+($U$675)/100)^MAX(0,$C696-$AD$675),IF(DATE($C696,4,15)&gt;=$W$675,$Z$675*(1+($U$675)/100)^MAX(0,$C696-$AC$675),IF(DATE($C696,4,15)&gt;=$V$675,$Y$675*(1+($U$675)/100)^MAX(0,$C696-$AB$675),0)))))</f>
      </c>
      <c r="I696" s="43">
        <f>IF($S$675=0,0,IF(OR(DATE($C696,5,15)&lt;$S$675,AND($T$675&gt;0,DATE($C696,5,15)&gt;$T$675)),0,IF(DATE($C696,5,15)&gt;=$X$675,$AA$675*(1+($U$675)/100)^MAX(0,$C696-$AD$675),IF(DATE($C696,5,15)&gt;=$W$675,$Z$675*(1+($U$675)/100)^MAX(0,$C696-$AC$675),IF(DATE($C696,5,15)&gt;=$V$675,$Y$675*(1+($U$675)/100)^MAX(0,$C696-$AB$675),0)))))</f>
      </c>
      <c r="J696" s="43">
        <f>IF($S$675=0,0,IF(OR(DATE($C696,6,15)&lt;$S$675,AND($T$675&gt;0,DATE($C696,6,15)&gt;$T$675)),0,IF(DATE($C696,6,15)&gt;=$X$675,$AA$675*(1+($U$675)/100)^MAX(0,$C696-$AD$675),IF(DATE($C696,6,15)&gt;=$W$675,$Z$675*(1+($U$675)/100)^MAX(0,$C696-$AC$675),IF(DATE($C696,6,15)&gt;=$V$675,$Y$675*(1+($U$675)/100)^MAX(0,$C696-$AB$675),0)))))</f>
      </c>
      <c r="K696" s="43">
        <f>IF($S$675=0,0,IF(OR(DATE($C696,7,15)&lt;$S$675,AND($T$675&gt;0,DATE($C696,7,15)&gt;$T$675)),0,IF(DATE($C696,7,15)&gt;=$X$675,$AA$675*(1+($U$675)/100)^MAX(0,$C696-$AD$675),IF(DATE($C696,7,15)&gt;=$W$675,$Z$675*(1+($U$675)/100)^MAX(0,$C696-$AC$675),IF(DATE($C696,7,15)&gt;=$V$675,$Y$675*(1+($U$675)/100)^MAX(0,$C696-$AB$675),0)))))</f>
      </c>
      <c r="L696" s="43">
        <f>IF($S$675=0,0,IF(OR(DATE($C696,8,15)&lt;$S$675,AND($T$675&gt;0,DATE($C696,8,15)&gt;$T$675)),0,IF(DATE($C696,8,15)&gt;=$X$675,$AA$675*(1+($U$675)/100)^MAX(0,$C696-$AD$675),IF(DATE($C696,8,15)&gt;=$W$675,$Z$675*(1+($U$675)/100)^MAX(0,$C696-$AC$675),IF(DATE($C696,8,15)&gt;=$V$675,$Y$675*(1+($U$675)/100)^MAX(0,$C696-$AB$675),0)))))</f>
      </c>
      <c r="M696" s="43">
        <f>IF($S$675=0,0,IF(OR(DATE($C696,9,15)&lt;$S$675,AND($T$675&gt;0,DATE($C696,9,15)&gt;$T$675)),0,IF(DATE($C696,9,15)&gt;=$X$675,$AA$675*(1+($U$675)/100)^MAX(0,$C696-$AD$675),IF(DATE($C696,9,15)&gt;=$W$675,$Z$675*(1+($U$675)/100)^MAX(0,$C696-$AC$675),IF(DATE($C696,9,15)&gt;=$V$675,$Y$675*(1+($U$675)/100)^MAX(0,$C696-$AB$675),0)))))</f>
      </c>
      <c r="N696" s="43">
        <f>IF($S$675=0,0,IF(OR(DATE($C696,10,15)&lt;$S$675,AND($T$675&gt;0,DATE($C696,10,15)&gt;$T$675)),0,IF(DATE($C696,10,15)&gt;=$X$675,$AA$675*(1+($U$675)/100)^MAX(0,$C696-$AD$675),IF(DATE($C696,10,15)&gt;=$W$675,$Z$675*(1+($U$675)/100)^MAX(0,$C696-$AC$675),IF(DATE($C696,10,15)&gt;=$V$675,$Y$675*(1+($U$675)/100)^MAX(0,$C696-$AB$675),0)))))</f>
      </c>
      <c r="O696" s="43">
        <f>IF($S$675=0,0,IF(OR(DATE($C696,11,15)&lt;$S$675,AND($T$675&gt;0,DATE($C696,11,15)&gt;$T$675)),0,IF(DATE($C696,11,15)&gt;=$X$675,$AA$675*(1+($U$675)/100)^MAX(0,$C696-$AD$675),IF(DATE($C696,11,15)&gt;=$W$675,$Z$675*(1+($U$675)/100)^MAX(0,$C696-$AC$675),IF(DATE($C696,11,15)&gt;=$V$675,$Y$675*(1+($U$675)/100)^MAX(0,$C696-$AB$675),0)))))</f>
      </c>
      <c r="P696" s="43">
        <f>IF($S$675=0,0,IF(OR(DATE($C696,12,15)&lt;$S$675,AND($T$675&gt;0,DATE($C696,12,15)&gt;$T$675)),0,IF(DATE($C696,12,15)&gt;=$X$675,$AA$675*(1+($U$675)/100)^MAX(0,$C696-$AD$675),IF(DATE($C696,12,15)&gt;=$W$675,$Z$675*(1+($U$675)/100)^MAX(0,$C696-$AC$675),IF(DATE($C696,12,15)&gt;=$V$675,$Y$675*(1+($U$675)/100)^MAX(0,$C696-$AB$675),0)))))</f>
      </c>
      <c r="Q696" s="43">
        <f>SUM($E696:$P696)</f>
      </c>
    </row>
    <row r="697">
      <c r="A697"/>
      <c r="B697">
        <v>22</v>
      </c>
      <c r="C697" s="43">
        <f>Jahr+22</f>
      </c>
      <c r="D697" s="43">
        <f>INDEX(MvObj,22)</f>
      </c>
      <c r="E697" s="43">
        <f>IF($S$675=0,0,IF(OR(DATE($C697,1,15)&lt;$S$675,AND($T$675&gt;0,DATE($C697,1,15)&gt;$T$675)),0,IF(DATE($C697,1,15)&gt;=$X$675,$AA$675*(1+($U$675)/100)^MAX(0,$C697-$AD$675),IF(DATE($C697,1,15)&gt;=$W$675,$Z$675*(1+($U$675)/100)^MAX(0,$C697-$AC$675),IF(DATE($C697,1,15)&gt;=$V$675,$Y$675*(1+($U$675)/100)^MAX(0,$C697-$AB$675),0)))))</f>
      </c>
      <c r="F697" s="43">
        <f>IF($S$675=0,0,IF(OR(DATE($C697,2,15)&lt;$S$675,AND($T$675&gt;0,DATE($C697,2,15)&gt;$T$675)),0,IF(DATE($C697,2,15)&gt;=$X$675,$AA$675*(1+($U$675)/100)^MAX(0,$C697-$AD$675),IF(DATE($C697,2,15)&gt;=$W$675,$Z$675*(1+($U$675)/100)^MAX(0,$C697-$AC$675),IF(DATE($C697,2,15)&gt;=$V$675,$Y$675*(1+($U$675)/100)^MAX(0,$C697-$AB$675),0)))))</f>
      </c>
      <c r="G697" s="43">
        <f>IF($S$675=0,0,IF(OR(DATE($C697,3,15)&lt;$S$675,AND($T$675&gt;0,DATE($C697,3,15)&gt;$T$675)),0,IF(DATE($C697,3,15)&gt;=$X$675,$AA$675*(1+($U$675)/100)^MAX(0,$C697-$AD$675),IF(DATE($C697,3,15)&gt;=$W$675,$Z$675*(1+($U$675)/100)^MAX(0,$C697-$AC$675),IF(DATE($C697,3,15)&gt;=$V$675,$Y$675*(1+($U$675)/100)^MAX(0,$C697-$AB$675),0)))))</f>
      </c>
      <c r="H697" s="43">
        <f>IF($S$675=0,0,IF(OR(DATE($C697,4,15)&lt;$S$675,AND($T$675&gt;0,DATE($C697,4,15)&gt;$T$675)),0,IF(DATE($C697,4,15)&gt;=$X$675,$AA$675*(1+($U$675)/100)^MAX(0,$C697-$AD$675),IF(DATE($C697,4,15)&gt;=$W$675,$Z$675*(1+($U$675)/100)^MAX(0,$C697-$AC$675),IF(DATE($C697,4,15)&gt;=$V$675,$Y$675*(1+($U$675)/100)^MAX(0,$C697-$AB$675),0)))))</f>
      </c>
      <c r="I697" s="43">
        <f>IF($S$675=0,0,IF(OR(DATE($C697,5,15)&lt;$S$675,AND($T$675&gt;0,DATE($C697,5,15)&gt;$T$675)),0,IF(DATE($C697,5,15)&gt;=$X$675,$AA$675*(1+($U$675)/100)^MAX(0,$C697-$AD$675),IF(DATE($C697,5,15)&gt;=$W$675,$Z$675*(1+($U$675)/100)^MAX(0,$C697-$AC$675),IF(DATE($C697,5,15)&gt;=$V$675,$Y$675*(1+($U$675)/100)^MAX(0,$C697-$AB$675),0)))))</f>
      </c>
      <c r="J697" s="43">
        <f>IF($S$675=0,0,IF(OR(DATE($C697,6,15)&lt;$S$675,AND($T$675&gt;0,DATE($C697,6,15)&gt;$T$675)),0,IF(DATE($C697,6,15)&gt;=$X$675,$AA$675*(1+($U$675)/100)^MAX(0,$C697-$AD$675),IF(DATE($C697,6,15)&gt;=$W$675,$Z$675*(1+($U$675)/100)^MAX(0,$C697-$AC$675),IF(DATE($C697,6,15)&gt;=$V$675,$Y$675*(1+($U$675)/100)^MAX(0,$C697-$AB$675),0)))))</f>
      </c>
      <c r="K697" s="43">
        <f>IF($S$675=0,0,IF(OR(DATE($C697,7,15)&lt;$S$675,AND($T$675&gt;0,DATE($C697,7,15)&gt;$T$675)),0,IF(DATE($C697,7,15)&gt;=$X$675,$AA$675*(1+($U$675)/100)^MAX(0,$C697-$AD$675),IF(DATE($C697,7,15)&gt;=$W$675,$Z$675*(1+($U$675)/100)^MAX(0,$C697-$AC$675),IF(DATE($C697,7,15)&gt;=$V$675,$Y$675*(1+($U$675)/100)^MAX(0,$C697-$AB$675),0)))))</f>
      </c>
      <c r="L697" s="43">
        <f>IF($S$675=0,0,IF(OR(DATE($C697,8,15)&lt;$S$675,AND($T$675&gt;0,DATE($C697,8,15)&gt;$T$675)),0,IF(DATE($C697,8,15)&gt;=$X$675,$AA$675*(1+($U$675)/100)^MAX(0,$C697-$AD$675),IF(DATE($C697,8,15)&gt;=$W$675,$Z$675*(1+($U$675)/100)^MAX(0,$C697-$AC$675),IF(DATE($C697,8,15)&gt;=$V$675,$Y$675*(1+($U$675)/100)^MAX(0,$C697-$AB$675),0)))))</f>
      </c>
      <c r="M697" s="43">
        <f>IF($S$675=0,0,IF(OR(DATE($C697,9,15)&lt;$S$675,AND($T$675&gt;0,DATE($C697,9,15)&gt;$T$675)),0,IF(DATE($C697,9,15)&gt;=$X$675,$AA$675*(1+($U$675)/100)^MAX(0,$C697-$AD$675),IF(DATE($C697,9,15)&gt;=$W$675,$Z$675*(1+($U$675)/100)^MAX(0,$C697-$AC$675),IF(DATE($C697,9,15)&gt;=$V$675,$Y$675*(1+($U$675)/100)^MAX(0,$C697-$AB$675),0)))))</f>
      </c>
      <c r="N697" s="43">
        <f>IF($S$675=0,0,IF(OR(DATE($C697,10,15)&lt;$S$675,AND($T$675&gt;0,DATE($C697,10,15)&gt;$T$675)),0,IF(DATE($C697,10,15)&gt;=$X$675,$AA$675*(1+($U$675)/100)^MAX(0,$C697-$AD$675),IF(DATE($C697,10,15)&gt;=$W$675,$Z$675*(1+($U$675)/100)^MAX(0,$C697-$AC$675),IF(DATE($C697,10,15)&gt;=$V$675,$Y$675*(1+($U$675)/100)^MAX(0,$C697-$AB$675),0)))))</f>
      </c>
      <c r="O697" s="43">
        <f>IF($S$675=0,0,IF(OR(DATE($C697,11,15)&lt;$S$675,AND($T$675&gt;0,DATE($C697,11,15)&gt;$T$675)),0,IF(DATE($C697,11,15)&gt;=$X$675,$AA$675*(1+($U$675)/100)^MAX(0,$C697-$AD$675),IF(DATE($C697,11,15)&gt;=$W$675,$Z$675*(1+($U$675)/100)^MAX(0,$C697-$AC$675),IF(DATE($C697,11,15)&gt;=$V$675,$Y$675*(1+($U$675)/100)^MAX(0,$C697-$AB$675),0)))))</f>
      </c>
      <c r="P697" s="43">
        <f>IF($S$675=0,0,IF(OR(DATE($C697,12,15)&lt;$S$675,AND($T$675&gt;0,DATE($C697,12,15)&gt;$T$675)),0,IF(DATE($C697,12,15)&gt;=$X$675,$AA$675*(1+($U$675)/100)^MAX(0,$C697-$AD$675),IF(DATE($C697,12,15)&gt;=$W$675,$Z$675*(1+($U$675)/100)^MAX(0,$C697-$AC$675),IF(DATE($C697,12,15)&gt;=$V$675,$Y$675*(1+($U$675)/100)^MAX(0,$C697-$AB$675),0)))))</f>
      </c>
      <c r="Q697" s="43">
        <f>SUM($E697:$P697)</f>
      </c>
    </row>
    <row r="698">
      <c r="A698"/>
      <c r="B698">
        <v>22</v>
      </c>
      <c r="C698" s="43">
        <f>Jahr+23</f>
      </c>
      <c r="D698" s="43">
        <f>INDEX(MvObj,22)</f>
      </c>
      <c r="E698" s="43">
        <f>IF($S$675=0,0,IF(OR(DATE($C698,1,15)&lt;$S$675,AND($T$675&gt;0,DATE($C698,1,15)&gt;$T$675)),0,IF(DATE($C698,1,15)&gt;=$X$675,$AA$675*(1+($U$675)/100)^MAX(0,$C698-$AD$675),IF(DATE($C698,1,15)&gt;=$W$675,$Z$675*(1+($U$675)/100)^MAX(0,$C698-$AC$675),IF(DATE($C698,1,15)&gt;=$V$675,$Y$675*(1+($U$675)/100)^MAX(0,$C698-$AB$675),0)))))</f>
      </c>
      <c r="F698" s="43">
        <f>IF($S$675=0,0,IF(OR(DATE($C698,2,15)&lt;$S$675,AND($T$675&gt;0,DATE($C698,2,15)&gt;$T$675)),0,IF(DATE($C698,2,15)&gt;=$X$675,$AA$675*(1+($U$675)/100)^MAX(0,$C698-$AD$675),IF(DATE($C698,2,15)&gt;=$W$675,$Z$675*(1+($U$675)/100)^MAX(0,$C698-$AC$675),IF(DATE($C698,2,15)&gt;=$V$675,$Y$675*(1+($U$675)/100)^MAX(0,$C698-$AB$675),0)))))</f>
      </c>
      <c r="G698" s="43">
        <f>IF($S$675=0,0,IF(OR(DATE($C698,3,15)&lt;$S$675,AND($T$675&gt;0,DATE($C698,3,15)&gt;$T$675)),0,IF(DATE($C698,3,15)&gt;=$X$675,$AA$675*(1+($U$675)/100)^MAX(0,$C698-$AD$675),IF(DATE($C698,3,15)&gt;=$W$675,$Z$675*(1+($U$675)/100)^MAX(0,$C698-$AC$675),IF(DATE($C698,3,15)&gt;=$V$675,$Y$675*(1+($U$675)/100)^MAX(0,$C698-$AB$675),0)))))</f>
      </c>
      <c r="H698" s="43">
        <f>IF($S$675=0,0,IF(OR(DATE($C698,4,15)&lt;$S$675,AND($T$675&gt;0,DATE($C698,4,15)&gt;$T$675)),0,IF(DATE($C698,4,15)&gt;=$X$675,$AA$675*(1+($U$675)/100)^MAX(0,$C698-$AD$675),IF(DATE($C698,4,15)&gt;=$W$675,$Z$675*(1+($U$675)/100)^MAX(0,$C698-$AC$675),IF(DATE($C698,4,15)&gt;=$V$675,$Y$675*(1+($U$675)/100)^MAX(0,$C698-$AB$675),0)))))</f>
      </c>
      <c r="I698" s="43">
        <f>IF($S$675=0,0,IF(OR(DATE($C698,5,15)&lt;$S$675,AND($T$675&gt;0,DATE($C698,5,15)&gt;$T$675)),0,IF(DATE($C698,5,15)&gt;=$X$675,$AA$675*(1+($U$675)/100)^MAX(0,$C698-$AD$675),IF(DATE($C698,5,15)&gt;=$W$675,$Z$675*(1+($U$675)/100)^MAX(0,$C698-$AC$675),IF(DATE($C698,5,15)&gt;=$V$675,$Y$675*(1+($U$675)/100)^MAX(0,$C698-$AB$675),0)))))</f>
      </c>
      <c r="J698" s="43">
        <f>IF($S$675=0,0,IF(OR(DATE($C698,6,15)&lt;$S$675,AND($T$675&gt;0,DATE($C698,6,15)&gt;$T$675)),0,IF(DATE($C698,6,15)&gt;=$X$675,$AA$675*(1+($U$675)/100)^MAX(0,$C698-$AD$675),IF(DATE($C698,6,15)&gt;=$W$675,$Z$675*(1+($U$675)/100)^MAX(0,$C698-$AC$675),IF(DATE($C698,6,15)&gt;=$V$675,$Y$675*(1+($U$675)/100)^MAX(0,$C698-$AB$675),0)))))</f>
      </c>
      <c r="K698" s="43">
        <f>IF($S$675=0,0,IF(OR(DATE($C698,7,15)&lt;$S$675,AND($T$675&gt;0,DATE($C698,7,15)&gt;$T$675)),0,IF(DATE($C698,7,15)&gt;=$X$675,$AA$675*(1+($U$675)/100)^MAX(0,$C698-$AD$675),IF(DATE($C698,7,15)&gt;=$W$675,$Z$675*(1+($U$675)/100)^MAX(0,$C698-$AC$675),IF(DATE($C698,7,15)&gt;=$V$675,$Y$675*(1+($U$675)/100)^MAX(0,$C698-$AB$675),0)))))</f>
      </c>
      <c r="L698" s="43">
        <f>IF($S$675=0,0,IF(OR(DATE($C698,8,15)&lt;$S$675,AND($T$675&gt;0,DATE($C698,8,15)&gt;$T$675)),0,IF(DATE($C698,8,15)&gt;=$X$675,$AA$675*(1+($U$675)/100)^MAX(0,$C698-$AD$675),IF(DATE($C698,8,15)&gt;=$W$675,$Z$675*(1+($U$675)/100)^MAX(0,$C698-$AC$675),IF(DATE($C698,8,15)&gt;=$V$675,$Y$675*(1+($U$675)/100)^MAX(0,$C698-$AB$675),0)))))</f>
      </c>
      <c r="M698" s="43">
        <f>IF($S$675=0,0,IF(OR(DATE($C698,9,15)&lt;$S$675,AND($T$675&gt;0,DATE($C698,9,15)&gt;$T$675)),0,IF(DATE($C698,9,15)&gt;=$X$675,$AA$675*(1+($U$675)/100)^MAX(0,$C698-$AD$675),IF(DATE($C698,9,15)&gt;=$W$675,$Z$675*(1+($U$675)/100)^MAX(0,$C698-$AC$675),IF(DATE($C698,9,15)&gt;=$V$675,$Y$675*(1+($U$675)/100)^MAX(0,$C698-$AB$675),0)))))</f>
      </c>
      <c r="N698" s="43">
        <f>IF($S$675=0,0,IF(OR(DATE($C698,10,15)&lt;$S$675,AND($T$675&gt;0,DATE($C698,10,15)&gt;$T$675)),0,IF(DATE($C698,10,15)&gt;=$X$675,$AA$675*(1+($U$675)/100)^MAX(0,$C698-$AD$675),IF(DATE($C698,10,15)&gt;=$W$675,$Z$675*(1+($U$675)/100)^MAX(0,$C698-$AC$675),IF(DATE($C698,10,15)&gt;=$V$675,$Y$675*(1+($U$675)/100)^MAX(0,$C698-$AB$675),0)))))</f>
      </c>
      <c r="O698" s="43">
        <f>IF($S$675=0,0,IF(OR(DATE($C698,11,15)&lt;$S$675,AND($T$675&gt;0,DATE($C698,11,15)&gt;$T$675)),0,IF(DATE($C698,11,15)&gt;=$X$675,$AA$675*(1+($U$675)/100)^MAX(0,$C698-$AD$675),IF(DATE($C698,11,15)&gt;=$W$675,$Z$675*(1+($U$675)/100)^MAX(0,$C698-$AC$675),IF(DATE($C698,11,15)&gt;=$V$675,$Y$675*(1+($U$675)/100)^MAX(0,$C698-$AB$675),0)))))</f>
      </c>
      <c r="P698" s="43">
        <f>IF($S$675=0,0,IF(OR(DATE($C698,12,15)&lt;$S$675,AND($T$675&gt;0,DATE($C698,12,15)&gt;$T$675)),0,IF(DATE($C698,12,15)&gt;=$X$675,$AA$675*(1+($U$675)/100)^MAX(0,$C698-$AD$675),IF(DATE($C698,12,15)&gt;=$W$675,$Z$675*(1+($U$675)/100)^MAX(0,$C698-$AC$675),IF(DATE($C698,12,15)&gt;=$V$675,$Y$675*(1+($U$675)/100)^MAX(0,$C698-$AB$675),0)))))</f>
      </c>
      <c r="Q698" s="43">
        <f>SUM($E698:$P698)</f>
      </c>
    </row>
    <row r="699">
      <c r="A699"/>
      <c r="B699">
        <v>22</v>
      </c>
      <c r="C699" s="43">
        <f>Jahr+24</f>
      </c>
      <c r="D699" s="43">
        <f>INDEX(MvObj,22)</f>
      </c>
      <c r="E699" s="43">
        <f>IF($S$675=0,0,IF(OR(DATE($C699,1,15)&lt;$S$675,AND($T$675&gt;0,DATE($C699,1,15)&gt;$T$675)),0,IF(DATE($C699,1,15)&gt;=$X$675,$AA$675*(1+($U$675)/100)^MAX(0,$C699-$AD$675),IF(DATE($C699,1,15)&gt;=$W$675,$Z$675*(1+($U$675)/100)^MAX(0,$C699-$AC$675),IF(DATE($C699,1,15)&gt;=$V$675,$Y$675*(1+($U$675)/100)^MAX(0,$C699-$AB$675),0)))))</f>
      </c>
      <c r="F699" s="43">
        <f>IF($S$675=0,0,IF(OR(DATE($C699,2,15)&lt;$S$675,AND($T$675&gt;0,DATE($C699,2,15)&gt;$T$675)),0,IF(DATE($C699,2,15)&gt;=$X$675,$AA$675*(1+($U$675)/100)^MAX(0,$C699-$AD$675),IF(DATE($C699,2,15)&gt;=$W$675,$Z$675*(1+($U$675)/100)^MAX(0,$C699-$AC$675),IF(DATE($C699,2,15)&gt;=$V$675,$Y$675*(1+($U$675)/100)^MAX(0,$C699-$AB$675),0)))))</f>
      </c>
      <c r="G699" s="43">
        <f>IF($S$675=0,0,IF(OR(DATE($C699,3,15)&lt;$S$675,AND($T$675&gt;0,DATE($C699,3,15)&gt;$T$675)),0,IF(DATE($C699,3,15)&gt;=$X$675,$AA$675*(1+($U$675)/100)^MAX(0,$C699-$AD$675),IF(DATE($C699,3,15)&gt;=$W$675,$Z$675*(1+($U$675)/100)^MAX(0,$C699-$AC$675),IF(DATE($C699,3,15)&gt;=$V$675,$Y$675*(1+($U$675)/100)^MAX(0,$C699-$AB$675),0)))))</f>
      </c>
      <c r="H699" s="43">
        <f>IF($S$675=0,0,IF(OR(DATE($C699,4,15)&lt;$S$675,AND($T$675&gt;0,DATE($C699,4,15)&gt;$T$675)),0,IF(DATE($C699,4,15)&gt;=$X$675,$AA$675*(1+($U$675)/100)^MAX(0,$C699-$AD$675),IF(DATE($C699,4,15)&gt;=$W$675,$Z$675*(1+($U$675)/100)^MAX(0,$C699-$AC$675),IF(DATE($C699,4,15)&gt;=$V$675,$Y$675*(1+($U$675)/100)^MAX(0,$C699-$AB$675),0)))))</f>
      </c>
      <c r="I699" s="43">
        <f>IF($S$675=0,0,IF(OR(DATE($C699,5,15)&lt;$S$675,AND($T$675&gt;0,DATE($C699,5,15)&gt;$T$675)),0,IF(DATE($C699,5,15)&gt;=$X$675,$AA$675*(1+($U$675)/100)^MAX(0,$C699-$AD$675),IF(DATE($C699,5,15)&gt;=$W$675,$Z$675*(1+($U$675)/100)^MAX(0,$C699-$AC$675),IF(DATE($C699,5,15)&gt;=$V$675,$Y$675*(1+($U$675)/100)^MAX(0,$C699-$AB$675),0)))))</f>
      </c>
      <c r="J699" s="43">
        <f>IF($S$675=0,0,IF(OR(DATE($C699,6,15)&lt;$S$675,AND($T$675&gt;0,DATE($C699,6,15)&gt;$T$675)),0,IF(DATE($C699,6,15)&gt;=$X$675,$AA$675*(1+($U$675)/100)^MAX(0,$C699-$AD$675),IF(DATE($C699,6,15)&gt;=$W$675,$Z$675*(1+($U$675)/100)^MAX(0,$C699-$AC$675),IF(DATE($C699,6,15)&gt;=$V$675,$Y$675*(1+($U$675)/100)^MAX(0,$C699-$AB$675),0)))))</f>
      </c>
      <c r="K699" s="43">
        <f>IF($S$675=0,0,IF(OR(DATE($C699,7,15)&lt;$S$675,AND($T$675&gt;0,DATE($C699,7,15)&gt;$T$675)),0,IF(DATE($C699,7,15)&gt;=$X$675,$AA$675*(1+($U$675)/100)^MAX(0,$C699-$AD$675),IF(DATE($C699,7,15)&gt;=$W$675,$Z$675*(1+($U$675)/100)^MAX(0,$C699-$AC$675),IF(DATE($C699,7,15)&gt;=$V$675,$Y$675*(1+($U$675)/100)^MAX(0,$C699-$AB$675),0)))))</f>
      </c>
      <c r="L699" s="43">
        <f>IF($S$675=0,0,IF(OR(DATE($C699,8,15)&lt;$S$675,AND($T$675&gt;0,DATE($C699,8,15)&gt;$T$675)),0,IF(DATE($C699,8,15)&gt;=$X$675,$AA$675*(1+($U$675)/100)^MAX(0,$C699-$AD$675),IF(DATE($C699,8,15)&gt;=$W$675,$Z$675*(1+($U$675)/100)^MAX(0,$C699-$AC$675),IF(DATE($C699,8,15)&gt;=$V$675,$Y$675*(1+($U$675)/100)^MAX(0,$C699-$AB$675),0)))))</f>
      </c>
      <c r="M699" s="43">
        <f>IF($S$675=0,0,IF(OR(DATE($C699,9,15)&lt;$S$675,AND($T$675&gt;0,DATE($C699,9,15)&gt;$T$675)),0,IF(DATE($C699,9,15)&gt;=$X$675,$AA$675*(1+($U$675)/100)^MAX(0,$C699-$AD$675),IF(DATE($C699,9,15)&gt;=$W$675,$Z$675*(1+($U$675)/100)^MAX(0,$C699-$AC$675),IF(DATE($C699,9,15)&gt;=$V$675,$Y$675*(1+($U$675)/100)^MAX(0,$C699-$AB$675),0)))))</f>
      </c>
      <c r="N699" s="43">
        <f>IF($S$675=0,0,IF(OR(DATE($C699,10,15)&lt;$S$675,AND($T$675&gt;0,DATE($C699,10,15)&gt;$T$675)),0,IF(DATE($C699,10,15)&gt;=$X$675,$AA$675*(1+($U$675)/100)^MAX(0,$C699-$AD$675),IF(DATE($C699,10,15)&gt;=$W$675,$Z$675*(1+($U$675)/100)^MAX(0,$C699-$AC$675),IF(DATE($C699,10,15)&gt;=$V$675,$Y$675*(1+($U$675)/100)^MAX(0,$C699-$AB$675),0)))))</f>
      </c>
      <c r="O699" s="43">
        <f>IF($S$675=0,0,IF(OR(DATE($C699,11,15)&lt;$S$675,AND($T$675&gt;0,DATE($C699,11,15)&gt;$T$675)),0,IF(DATE($C699,11,15)&gt;=$X$675,$AA$675*(1+($U$675)/100)^MAX(0,$C699-$AD$675),IF(DATE($C699,11,15)&gt;=$W$675,$Z$675*(1+($U$675)/100)^MAX(0,$C699-$AC$675),IF(DATE($C699,11,15)&gt;=$V$675,$Y$675*(1+($U$675)/100)^MAX(0,$C699-$AB$675),0)))))</f>
      </c>
      <c r="P699" s="43">
        <f>IF($S$675=0,0,IF(OR(DATE($C699,12,15)&lt;$S$675,AND($T$675&gt;0,DATE($C699,12,15)&gt;$T$675)),0,IF(DATE($C699,12,15)&gt;=$X$675,$AA$675*(1+($U$675)/100)^MAX(0,$C699-$AD$675),IF(DATE($C699,12,15)&gt;=$W$675,$Z$675*(1+($U$675)/100)^MAX(0,$C699-$AC$675),IF(DATE($C699,12,15)&gt;=$V$675,$Y$675*(1+($U$675)/100)^MAX(0,$C699-$AB$675),0)))))</f>
      </c>
      <c r="Q699" s="43">
        <f>SUM($E699:$P699)</f>
      </c>
    </row>
    <row r="700">
      <c r="A700"/>
      <c r="B700">
        <v>22</v>
      </c>
      <c r="C700" s="43">
        <f>Jahr+25</f>
      </c>
      <c r="D700" s="43">
        <f>INDEX(MvObj,22)</f>
      </c>
      <c r="E700" s="43">
        <f>IF($S$675=0,0,IF(OR(DATE($C700,1,15)&lt;$S$675,AND($T$675&gt;0,DATE($C700,1,15)&gt;$T$675)),0,IF(DATE($C700,1,15)&gt;=$X$675,$AA$675*(1+($U$675)/100)^MAX(0,$C700-$AD$675),IF(DATE($C700,1,15)&gt;=$W$675,$Z$675*(1+($U$675)/100)^MAX(0,$C700-$AC$675),IF(DATE($C700,1,15)&gt;=$V$675,$Y$675*(1+($U$675)/100)^MAX(0,$C700-$AB$675),0)))))</f>
      </c>
      <c r="F700" s="43">
        <f>IF($S$675=0,0,IF(OR(DATE($C700,2,15)&lt;$S$675,AND($T$675&gt;0,DATE($C700,2,15)&gt;$T$675)),0,IF(DATE($C700,2,15)&gt;=$X$675,$AA$675*(1+($U$675)/100)^MAX(0,$C700-$AD$675),IF(DATE($C700,2,15)&gt;=$W$675,$Z$675*(1+($U$675)/100)^MAX(0,$C700-$AC$675),IF(DATE($C700,2,15)&gt;=$V$675,$Y$675*(1+($U$675)/100)^MAX(0,$C700-$AB$675),0)))))</f>
      </c>
      <c r="G700" s="43">
        <f>IF($S$675=0,0,IF(OR(DATE($C700,3,15)&lt;$S$675,AND($T$675&gt;0,DATE($C700,3,15)&gt;$T$675)),0,IF(DATE($C700,3,15)&gt;=$X$675,$AA$675*(1+($U$675)/100)^MAX(0,$C700-$AD$675),IF(DATE($C700,3,15)&gt;=$W$675,$Z$675*(1+($U$675)/100)^MAX(0,$C700-$AC$675),IF(DATE($C700,3,15)&gt;=$V$675,$Y$675*(1+($U$675)/100)^MAX(0,$C700-$AB$675),0)))))</f>
      </c>
      <c r="H700" s="43">
        <f>IF($S$675=0,0,IF(OR(DATE($C700,4,15)&lt;$S$675,AND($T$675&gt;0,DATE($C700,4,15)&gt;$T$675)),0,IF(DATE($C700,4,15)&gt;=$X$675,$AA$675*(1+($U$675)/100)^MAX(0,$C700-$AD$675),IF(DATE($C700,4,15)&gt;=$W$675,$Z$675*(1+($U$675)/100)^MAX(0,$C700-$AC$675),IF(DATE($C700,4,15)&gt;=$V$675,$Y$675*(1+($U$675)/100)^MAX(0,$C700-$AB$675),0)))))</f>
      </c>
      <c r="I700" s="43">
        <f>IF($S$675=0,0,IF(OR(DATE($C700,5,15)&lt;$S$675,AND($T$675&gt;0,DATE($C700,5,15)&gt;$T$675)),0,IF(DATE($C700,5,15)&gt;=$X$675,$AA$675*(1+($U$675)/100)^MAX(0,$C700-$AD$675),IF(DATE($C700,5,15)&gt;=$W$675,$Z$675*(1+($U$675)/100)^MAX(0,$C700-$AC$675),IF(DATE($C700,5,15)&gt;=$V$675,$Y$675*(1+($U$675)/100)^MAX(0,$C700-$AB$675),0)))))</f>
      </c>
      <c r="J700" s="43">
        <f>IF($S$675=0,0,IF(OR(DATE($C700,6,15)&lt;$S$675,AND($T$675&gt;0,DATE($C700,6,15)&gt;$T$675)),0,IF(DATE($C700,6,15)&gt;=$X$675,$AA$675*(1+($U$675)/100)^MAX(0,$C700-$AD$675),IF(DATE($C700,6,15)&gt;=$W$675,$Z$675*(1+($U$675)/100)^MAX(0,$C700-$AC$675),IF(DATE($C700,6,15)&gt;=$V$675,$Y$675*(1+($U$675)/100)^MAX(0,$C700-$AB$675),0)))))</f>
      </c>
      <c r="K700" s="43">
        <f>IF($S$675=0,0,IF(OR(DATE($C700,7,15)&lt;$S$675,AND($T$675&gt;0,DATE($C700,7,15)&gt;$T$675)),0,IF(DATE($C700,7,15)&gt;=$X$675,$AA$675*(1+($U$675)/100)^MAX(0,$C700-$AD$675),IF(DATE($C700,7,15)&gt;=$W$675,$Z$675*(1+($U$675)/100)^MAX(0,$C700-$AC$675),IF(DATE($C700,7,15)&gt;=$V$675,$Y$675*(1+($U$675)/100)^MAX(0,$C700-$AB$675),0)))))</f>
      </c>
      <c r="L700" s="43">
        <f>IF($S$675=0,0,IF(OR(DATE($C700,8,15)&lt;$S$675,AND($T$675&gt;0,DATE($C700,8,15)&gt;$T$675)),0,IF(DATE($C700,8,15)&gt;=$X$675,$AA$675*(1+($U$675)/100)^MAX(0,$C700-$AD$675),IF(DATE($C700,8,15)&gt;=$W$675,$Z$675*(1+($U$675)/100)^MAX(0,$C700-$AC$675),IF(DATE($C700,8,15)&gt;=$V$675,$Y$675*(1+($U$675)/100)^MAX(0,$C700-$AB$675),0)))))</f>
      </c>
      <c r="M700" s="43">
        <f>IF($S$675=0,0,IF(OR(DATE($C700,9,15)&lt;$S$675,AND($T$675&gt;0,DATE($C700,9,15)&gt;$T$675)),0,IF(DATE($C700,9,15)&gt;=$X$675,$AA$675*(1+($U$675)/100)^MAX(0,$C700-$AD$675),IF(DATE($C700,9,15)&gt;=$W$675,$Z$675*(1+($U$675)/100)^MAX(0,$C700-$AC$675),IF(DATE($C700,9,15)&gt;=$V$675,$Y$675*(1+($U$675)/100)^MAX(0,$C700-$AB$675),0)))))</f>
      </c>
      <c r="N700" s="43">
        <f>IF($S$675=0,0,IF(OR(DATE($C700,10,15)&lt;$S$675,AND($T$675&gt;0,DATE($C700,10,15)&gt;$T$675)),0,IF(DATE($C700,10,15)&gt;=$X$675,$AA$675*(1+($U$675)/100)^MAX(0,$C700-$AD$675),IF(DATE($C700,10,15)&gt;=$W$675,$Z$675*(1+($U$675)/100)^MAX(0,$C700-$AC$675),IF(DATE($C700,10,15)&gt;=$V$675,$Y$675*(1+($U$675)/100)^MAX(0,$C700-$AB$675),0)))))</f>
      </c>
      <c r="O700" s="43">
        <f>IF($S$675=0,0,IF(OR(DATE($C700,11,15)&lt;$S$675,AND($T$675&gt;0,DATE($C700,11,15)&gt;$T$675)),0,IF(DATE($C700,11,15)&gt;=$X$675,$AA$675*(1+($U$675)/100)^MAX(0,$C700-$AD$675),IF(DATE($C700,11,15)&gt;=$W$675,$Z$675*(1+($U$675)/100)^MAX(0,$C700-$AC$675),IF(DATE($C700,11,15)&gt;=$V$675,$Y$675*(1+($U$675)/100)^MAX(0,$C700-$AB$675),0)))))</f>
      </c>
      <c r="P700" s="43">
        <f>IF($S$675=0,0,IF(OR(DATE($C700,12,15)&lt;$S$675,AND($T$675&gt;0,DATE($C700,12,15)&gt;$T$675)),0,IF(DATE($C700,12,15)&gt;=$X$675,$AA$675*(1+($U$675)/100)^MAX(0,$C700-$AD$675),IF(DATE($C700,12,15)&gt;=$W$675,$Z$675*(1+($U$675)/100)^MAX(0,$C700-$AC$675),IF(DATE($C700,12,15)&gt;=$V$675,$Y$675*(1+($U$675)/100)^MAX(0,$C700-$AB$675),0)))))</f>
      </c>
      <c r="Q700" s="43">
        <f>SUM($E700:$P700)</f>
      </c>
    </row>
    <row r="701">
      <c r="A701"/>
      <c r="B701">
        <v>22</v>
      </c>
      <c r="C701" s="43">
        <f>Jahr+26</f>
      </c>
      <c r="D701" s="43">
        <f>INDEX(MvObj,22)</f>
      </c>
      <c r="E701" s="43">
        <f>IF($S$675=0,0,IF(OR(DATE($C701,1,15)&lt;$S$675,AND($T$675&gt;0,DATE($C701,1,15)&gt;$T$675)),0,IF(DATE($C701,1,15)&gt;=$X$675,$AA$675*(1+($U$675)/100)^MAX(0,$C701-$AD$675),IF(DATE($C701,1,15)&gt;=$W$675,$Z$675*(1+($U$675)/100)^MAX(0,$C701-$AC$675),IF(DATE($C701,1,15)&gt;=$V$675,$Y$675*(1+($U$675)/100)^MAX(0,$C701-$AB$675),0)))))</f>
      </c>
      <c r="F701" s="43">
        <f>IF($S$675=0,0,IF(OR(DATE($C701,2,15)&lt;$S$675,AND($T$675&gt;0,DATE($C701,2,15)&gt;$T$675)),0,IF(DATE($C701,2,15)&gt;=$X$675,$AA$675*(1+($U$675)/100)^MAX(0,$C701-$AD$675),IF(DATE($C701,2,15)&gt;=$W$675,$Z$675*(1+($U$675)/100)^MAX(0,$C701-$AC$675),IF(DATE($C701,2,15)&gt;=$V$675,$Y$675*(1+($U$675)/100)^MAX(0,$C701-$AB$675),0)))))</f>
      </c>
      <c r="G701" s="43">
        <f>IF($S$675=0,0,IF(OR(DATE($C701,3,15)&lt;$S$675,AND($T$675&gt;0,DATE($C701,3,15)&gt;$T$675)),0,IF(DATE($C701,3,15)&gt;=$X$675,$AA$675*(1+($U$675)/100)^MAX(0,$C701-$AD$675),IF(DATE($C701,3,15)&gt;=$W$675,$Z$675*(1+($U$675)/100)^MAX(0,$C701-$AC$675),IF(DATE($C701,3,15)&gt;=$V$675,$Y$675*(1+($U$675)/100)^MAX(0,$C701-$AB$675),0)))))</f>
      </c>
      <c r="H701" s="43">
        <f>IF($S$675=0,0,IF(OR(DATE($C701,4,15)&lt;$S$675,AND($T$675&gt;0,DATE($C701,4,15)&gt;$T$675)),0,IF(DATE($C701,4,15)&gt;=$X$675,$AA$675*(1+($U$675)/100)^MAX(0,$C701-$AD$675),IF(DATE($C701,4,15)&gt;=$W$675,$Z$675*(1+($U$675)/100)^MAX(0,$C701-$AC$675),IF(DATE($C701,4,15)&gt;=$V$675,$Y$675*(1+($U$675)/100)^MAX(0,$C701-$AB$675),0)))))</f>
      </c>
      <c r="I701" s="43">
        <f>IF($S$675=0,0,IF(OR(DATE($C701,5,15)&lt;$S$675,AND($T$675&gt;0,DATE($C701,5,15)&gt;$T$675)),0,IF(DATE($C701,5,15)&gt;=$X$675,$AA$675*(1+($U$675)/100)^MAX(0,$C701-$AD$675),IF(DATE($C701,5,15)&gt;=$W$675,$Z$675*(1+($U$675)/100)^MAX(0,$C701-$AC$675),IF(DATE($C701,5,15)&gt;=$V$675,$Y$675*(1+($U$675)/100)^MAX(0,$C701-$AB$675),0)))))</f>
      </c>
      <c r="J701" s="43">
        <f>IF($S$675=0,0,IF(OR(DATE($C701,6,15)&lt;$S$675,AND($T$675&gt;0,DATE($C701,6,15)&gt;$T$675)),0,IF(DATE($C701,6,15)&gt;=$X$675,$AA$675*(1+($U$675)/100)^MAX(0,$C701-$AD$675),IF(DATE($C701,6,15)&gt;=$W$675,$Z$675*(1+($U$675)/100)^MAX(0,$C701-$AC$675),IF(DATE($C701,6,15)&gt;=$V$675,$Y$675*(1+($U$675)/100)^MAX(0,$C701-$AB$675),0)))))</f>
      </c>
      <c r="K701" s="43">
        <f>IF($S$675=0,0,IF(OR(DATE($C701,7,15)&lt;$S$675,AND($T$675&gt;0,DATE($C701,7,15)&gt;$T$675)),0,IF(DATE($C701,7,15)&gt;=$X$675,$AA$675*(1+($U$675)/100)^MAX(0,$C701-$AD$675),IF(DATE($C701,7,15)&gt;=$W$675,$Z$675*(1+($U$675)/100)^MAX(0,$C701-$AC$675),IF(DATE($C701,7,15)&gt;=$V$675,$Y$675*(1+($U$675)/100)^MAX(0,$C701-$AB$675),0)))))</f>
      </c>
      <c r="L701" s="43">
        <f>IF($S$675=0,0,IF(OR(DATE($C701,8,15)&lt;$S$675,AND($T$675&gt;0,DATE($C701,8,15)&gt;$T$675)),0,IF(DATE($C701,8,15)&gt;=$X$675,$AA$675*(1+($U$675)/100)^MAX(0,$C701-$AD$675),IF(DATE($C701,8,15)&gt;=$W$675,$Z$675*(1+($U$675)/100)^MAX(0,$C701-$AC$675),IF(DATE($C701,8,15)&gt;=$V$675,$Y$675*(1+($U$675)/100)^MAX(0,$C701-$AB$675),0)))))</f>
      </c>
      <c r="M701" s="43">
        <f>IF($S$675=0,0,IF(OR(DATE($C701,9,15)&lt;$S$675,AND($T$675&gt;0,DATE($C701,9,15)&gt;$T$675)),0,IF(DATE($C701,9,15)&gt;=$X$675,$AA$675*(1+($U$675)/100)^MAX(0,$C701-$AD$675),IF(DATE($C701,9,15)&gt;=$W$675,$Z$675*(1+($U$675)/100)^MAX(0,$C701-$AC$675),IF(DATE($C701,9,15)&gt;=$V$675,$Y$675*(1+($U$675)/100)^MAX(0,$C701-$AB$675),0)))))</f>
      </c>
      <c r="N701" s="43">
        <f>IF($S$675=0,0,IF(OR(DATE($C701,10,15)&lt;$S$675,AND($T$675&gt;0,DATE($C701,10,15)&gt;$T$675)),0,IF(DATE($C701,10,15)&gt;=$X$675,$AA$675*(1+($U$675)/100)^MAX(0,$C701-$AD$675),IF(DATE($C701,10,15)&gt;=$W$675,$Z$675*(1+($U$675)/100)^MAX(0,$C701-$AC$675),IF(DATE($C701,10,15)&gt;=$V$675,$Y$675*(1+($U$675)/100)^MAX(0,$C701-$AB$675),0)))))</f>
      </c>
      <c r="O701" s="43">
        <f>IF($S$675=0,0,IF(OR(DATE($C701,11,15)&lt;$S$675,AND($T$675&gt;0,DATE($C701,11,15)&gt;$T$675)),0,IF(DATE($C701,11,15)&gt;=$X$675,$AA$675*(1+($U$675)/100)^MAX(0,$C701-$AD$675),IF(DATE($C701,11,15)&gt;=$W$675,$Z$675*(1+($U$675)/100)^MAX(0,$C701-$AC$675),IF(DATE($C701,11,15)&gt;=$V$675,$Y$675*(1+($U$675)/100)^MAX(0,$C701-$AB$675),0)))))</f>
      </c>
      <c r="P701" s="43">
        <f>IF($S$675=0,0,IF(OR(DATE($C701,12,15)&lt;$S$675,AND($T$675&gt;0,DATE($C701,12,15)&gt;$T$675)),0,IF(DATE($C701,12,15)&gt;=$X$675,$AA$675*(1+($U$675)/100)^MAX(0,$C701-$AD$675),IF(DATE($C701,12,15)&gt;=$W$675,$Z$675*(1+($U$675)/100)^MAX(0,$C701-$AC$675),IF(DATE($C701,12,15)&gt;=$V$675,$Y$675*(1+($U$675)/100)^MAX(0,$C701-$AB$675),0)))))</f>
      </c>
      <c r="Q701" s="43">
        <f>SUM($E701:$P701)</f>
      </c>
    </row>
    <row r="702">
      <c r="A702"/>
      <c r="B702">
        <v>22</v>
      </c>
      <c r="C702" s="43">
        <f>Jahr+27</f>
      </c>
      <c r="D702" s="43">
        <f>INDEX(MvObj,22)</f>
      </c>
      <c r="E702" s="43">
        <f>IF($S$675=0,0,IF(OR(DATE($C702,1,15)&lt;$S$675,AND($T$675&gt;0,DATE($C702,1,15)&gt;$T$675)),0,IF(DATE($C702,1,15)&gt;=$X$675,$AA$675*(1+($U$675)/100)^MAX(0,$C702-$AD$675),IF(DATE($C702,1,15)&gt;=$W$675,$Z$675*(1+($U$675)/100)^MAX(0,$C702-$AC$675),IF(DATE($C702,1,15)&gt;=$V$675,$Y$675*(1+($U$675)/100)^MAX(0,$C702-$AB$675),0)))))</f>
      </c>
      <c r="F702" s="43">
        <f>IF($S$675=0,0,IF(OR(DATE($C702,2,15)&lt;$S$675,AND($T$675&gt;0,DATE($C702,2,15)&gt;$T$675)),0,IF(DATE($C702,2,15)&gt;=$X$675,$AA$675*(1+($U$675)/100)^MAX(0,$C702-$AD$675),IF(DATE($C702,2,15)&gt;=$W$675,$Z$675*(1+($U$675)/100)^MAX(0,$C702-$AC$675),IF(DATE($C702,2,15)&gt;=$V$675,$Y$675*(1+($U$675)/100)^MAX(0,$C702-$AB$675),0)))))</f>
      </c>
      <c r="G702" s="43">
        <f>IF($S$675=0,0,IF(OR(DATE($C702,3,15)&lt;$S$675,AND($T$675&gt;0,DATE($C702,3,15)&gt;$T$675)),0,IF(DATE($C702,3,15)&gt;=$X$675,$AA$675*(1+($U$675)/100)^MAX(0,$C702-$AD$675),IF(DATE($C702,3,15)&gt;=$W$675,$Z$675*(1+($U$675)/100)^MAX(0,$C702-$AC$675),IF(DATE($C702,3,15)&gt;=$V$675,$Y$675*(1+($U$675)/100)^MAX(0,$C702-$AB$675),0)))))</f>
      </c>
      <c r="H702" s="43">
        <f>IF($S$675=0,0,IF(OR(DATE($C702,4,15)&lt;$S$675,AND($T$675&gt;0,DATE($C702,4,15)&gt;$T$675)),0,IF(DATE($C702,4,15)&gt;=$X$675,$AA$675*(1+($U$675)/100)^MAX(0,$C702-$AD$675),IF(DATE($C702,4,15)&gt;=$W$675,$Z$675*(1+($U$675)/100)^MAX(0,$C702-$AC$675),IF(DATE($C702,4,15)&gt;=$V$675,$Y$675*(1+($U$675)/100)^MAX(0,$C702-$AB$675),0)))))</f>
      </c>
      <c r="I702" s="43">
        <f>IF($S$675=0,0,IF(OR(DATE($C702,5,15)&lt;$S$675,AND($T$675&gt;0,DATE($C702,5,15)&gt;$T$675)),0,IF(DATE($C702,5,15)&gt;=$X$675,$AA$675*(1+($U$675)/100)^MAX(0,$C702-$AD$675),IF(DATE($C702,5,15)&gt;=$W$675,$Z$675*(1+($U$675)/100)^MAX(0,$C702-$AC$675),IF(DATE($C702,5,15)&gt;=$V$675,$Y$675*(1+($U$675)/100)^MAX(0,$C702-$AB$675),0)))))</f>
      </c>
      <c r="J702" s="43">
        <f>IF($S$675=0,0,IF(OR(DATE($C702,6,15)&lt;$S$675,AND($T$675&gt;0,DATE($C702,6,15)&gt;$T$675)),0,IF(DATE($C702,6,15)&gt;=$X$675,$AA$675*(1+($U$675)/100)^MAX(0,$C702-$AD$675),IF(DATE($C702,6,15)&gt;=$W$675,$Z$675*(1+($U$675)/100)^MAX(0,$C702-$AC$675),IF(DATE($C702,6,15)&gt;=$V$675,$Y$675*(1+($U$675)/100)^MAX(0,$C702-$AB$675),0)))))</f>
      </c>
      <c r="K702" s="43">
        <f>IF($S$675=0,0,IF(OR(DATE($C702,7,15)&lt;$S$675,AND($T$675&gt;0,DATE($C702,7,15)&gt;$T$675)),0,IF(DATE($C702,7,15)&gt;=$X$675,$AA$675*(1+($U$675)/100)^MAX(0,$C702-$AD$675),IF(DATE($C702,7,15)&gt;=$W$675,$Z$675*(1+($U$675)/100)^MAX(0,$C702-$AC$675),IF(DATE($C702,7,15)&gt;=$V$675,$Y$675*(1+($U$675)/100)^MAX(0,$C702-$AB$675),0)))))</f>
      </c>
      <c r="L702" s="43">
        <f>IF($S$675=0,0,IF(OR(DATE($C702,8,15)&lt;$S$675,AND($T$675&gt;0,DATE($C702,8,15)&gt;$T$675)),0,IF(DATE($C702,8,15)&gt;=$X$675,$AA$675*(1+($U$675)/100)^MAX(0,$C702-$AD$675),IF(DATE($C702,8,15)&gt;=$W$675,$Z$675*(1+($U$675)/100)^MAX(0,$C702-$AC$675),IF(DATE($C702,8,15)&gt;=$V$675,$Y$675*(1+($U$675)/100)^MAX(0,$C702-$AB$675),0)))))</f>
      </c>
      <c r="M702" s="43">
        <f>IF($S$675=0,0,IF(OR(DATE($C702,9,15)&lt;$S$675,AND($T$675&gt;0,DATE($C702,9,15)&gt;$T$675)),0,IF(DATE($C702,9,15)&gt;=$X$675,$AA$675*(1+($U$675)/100)^MAX(0,$C702-$AD$675),IF(DATE($C702,9,15)&gt;=$W$675,$Z$675*(1+($U$675)/100)^MAX(0,$C702-$AC$675),IF(DATE($C702,9,15)&gt;=$V$675,$Y$675*(1+($U$675)/100)^MAX(0,$C702-$AB$675),0)))))</f>
      </c>
      <c r="N702" s="43">
        <f>IF($S$675=0,0,IF(OR(DATE($C702,10,15)&lt;$S$675,AND($T$675&gt;0,DATE($C702,10,15)&gt;$T$675)),0,IF(DATE($C702,10,15)&gt;=$X$675,$AA$675*(1+($U$675)/100)^MAX(0,$C702-$AD$675),IF(DATE($C702,10,15)&gt;=$W$675,$Z$675*(1+($U$675)/100)^MAX(0,$C702-$AC$675),IF(DATE($C702,10,15)&gt;=$V$675,$Y$675*(1+($U$675)/100)^MAX(0,$C702-$AB$675),0)))))</f>
      </c>
      <c r="O702" s="43">
        <f>IF($S$675=0,0,IF(OR(DATE($C702,11,15)&lt;$S$675,AND($T$675&gt;0,DATE($C702,11,15)&gt;$T$675)),0,IF(DATE($C702,11,15)&gt;=$X$675,$AA$675*(1+($U$675)/100)^MAX(0,$C702-$AD$675),IF(DATE($C702,11,15)&gt;=$W$675,$Z$675*(1+($U$675)/100)^MAX(0,$C702-$AC$675),IF(DATE($C702,11,15)&gt;=$V$675,$Y$675*(1+($U$675)/100)^MAX(0,$C702-$AB$675),0)))))</f>
      </c>
      <c r="P702" s="43">
        <f>IF($S$675=0,0,IF(OR(DATE($C702,12,15)&lt;$S$675,AND($T$675&gt;0,DATE($C702,12,15)&gt;$T$675)),0,IF(DATE($C702,12,15)&gt;=$X$675,$AA$675*(1+($U$675)/100)^MAX(0,$C702-$AD$675),IF(DATE($C702,12,15)&gt;=$W$675,$Z$675*(1+($U$675)/100)^MAX(0,$C702-$AC$675),IF(DATE($C702,12,15)&gt;=$V$675,$Y$675*(1+($U$675)/100)^MAX(0,$C702-$AB$675),0)))))</f>
      </c>
      <c r="Q702" s="43">
        <f>SUM($E702:$P702)</f>
      </c>
    </row>
    <row r="703">
      <c r="A703"/>
      <c r="B703">
        <v>22</v>
      </c>
      <c r="C703" s="43">
        <f>Jahr+28</f>
      </c>
      <c r="D703" s="43">
        <f>INDEX(MvObj,22)</f>
      </c>
      <c r="E703" s="43">
        <f>IF($S$675=0,0,IF(OR(DATE($C703,1,15)&lt;$S$675,AND($T$675&gt;0,DATE($C703,1,15)&gt;$T$675)),0,IF(DATE($C703,1,15)&gt;=$X$675,$AA$675*(1+($U$675)/100)^MAX(0,$C703-$AD$675),IF(DATE($C703,1,15)&gt;=$W$675,$Z$675*(1+($U$675)/100)^MAX(0,$C703-$AC$675),IF(DATE($C703,1,15)&gt;=$V$675,$Y$675*(1+($U$675)/100)^MAX(0,$C703-$AB$675),0)))))</f>
      </c>
      <c r="F703" s="43">
        <f>IF($S$675=0,0,IF(OR(DATE($C703,2,15)&lt;$S$675,AND($T$675&gt;0,DATE($C703,2,15)&gt;$T$675)),0,IF(DATE($C703,2,15)&gt;=$X$675,$AA$675*(1+($U$675)/100)^MAX(0,$C703-$AD$675),IF(DATE($C703,2,15)&gt;=$W$675,$Z$675*(1+($U$675)/100)^MAX(0,$C703-$AC$675),IF(DATE($C703,2,15)&gt;=$V$675,$Y$675*(1+($U$675)/100)^MAX(0,$C703-$AB$675),0)))))</f>
      </c>
      <c r="G703" s="43">
        <f>IF($S$675=0,0,IF(OR(DATE($C703,3,15)&lt;$S$675,AND($T$675&gt;0,DATE($C703,3,15)&gt;$T$675)),0,IF(DATE($C703,3,15)&gt;=$X$675,$AA$675*(1+($U$675)/100)^MAX(0,$C703-$AD$675),IF(DATE($C703,3,15)&gt;=$W$675,$Z$675*(1+($U$675)/100)^MAX(0,$C703-$AC$675),IF(DATE($C703,3,15)&gt;=$V$675,$Y$675*(1+($U$675)/100)^MAX(0,$C703-$AB$675),0)))))</f>
      </c>
      <c r="H703" s="43">
        <f>IF($S$675=0,0,IF(OR(DATE($C703,4,15)&lt;$S$675,AND($T$675&gt;0,DATE($C703,4,15)&gt;$T$675)),0,IF(DATE($C703,4,15)&gt;=$X$675,$AA$675*(1+($U$675)/100)^MAX(0,$C703-$AD$675),IF(DATE($C703,4,15)&gt;=$W$675,$Z$675*(1+($U$675)/100)^MAX(0,$C703-$AC$675),IF(DATE($C703,4,15)&gt;=$V$675,$Y$675*(1+($U$675)/100)^MAX(0,$C703-$AB$675),0)))))</f>
      </c>
      <c r="I703" s="43">
        <f>IF($S$675=0,0,IF(OR(DATE($C703,5,15)&lt;$S$675,AND($T$675&gt;0,DATE($C703,5,15)&gt;$T$675)),0,IF(DATE($C703,5,15)&gt;=$X$675,$AA$675*(1+($U$675)/100)^MAX(0,$C703-$AD$675),IF(DATE($C703,5,15)&gt;=$W$675,$Z$675*(1+($U$675)/100)^MAX(0,$C703-$AC$675),IF(DATE($C703,5,15)&gt;=$V$675,$Y$675*(1+($U$675)/100)^MAX(0,$C703-$AB$675),0)))))</f>
      </c>
      <c r="J703" s="43">
        <f>IF($S$675=0,0,IF(OR(DATE($C703,6,15)&lt;$S$675,AND($T$675&gt;0,DATE($C703,6,15)&gt;$T$675)),0,IF(DATE($C703,6,15)&gt;=$X$675,$AA$675*(1+($U$675)/100)^MAX(0,$C703-$AD$675),IF(DATE($C703,6,15)&gt;=$W$675,$Z$675*(1+($U$675)/100)^MAX(0,$C703-$AC$675),IF(DATE($C703,6,15)&gt;=$V$675,$Y$675*(1+($U$675)/100)^MAX(0,$C703-$AB$675),0)))))</f>
      </c>
      <c r="K703" s="43">
        <f>IF($S$675=0,0,IF(OR(DATE($C703,7,15)&lt;$S$675,AND($T$675&gt;0,DATE($C703,7,15)&gt;$T$675)),0,IF(DATE($C703,7,15)&gt;=$X$675,$AA$675*(1+($U$675)/100)^MAX(0,$C703-$AD$675),IF(DATE($C703,7,15)&gt;=$W$675,$Z$675*(1+($U$675)/100)^MAX(0,$C703-$AC$675),IF(DATE($C703,7,15)&gt;=$V$675,$Y$675*(1+($U$675)/100)^MAX(0,$C703-$AB$675),0)))))</f>
      </c>
      <c r="L703" s="43">
        <f>IF($S$675=0,0,IF(OR(DATE($C703,8,15)&lt;$S$675,AND($T$675&gt;0,DATE($C703,8,15)&gt;$T$675)),0,IF(DATE($C703,8,15)&gt;=$X$675,$AA$675*(1+($U$675)/100)^MAX(0,$C703-$AD$675),IF(DATE($C703,8,15)&gt;=$W$675,$Z$675*(1+($U$675)/100)^MAX(0,$C703-$AC$675),IF(DATE($C703,8,15)&gt;=$V$675,$Y$675*(1+($U$675)/100)^MAX(0,$C703-$AB$675),0)))))</f>
      </c>
      <c r="M703" s="43">
        <f>IF($S$675=0,0,IF(OR(DATE($C703,9,15)&lt;$S$675,AND($T$675&gt;0,DATE($C703,9,15)&gt;$T$675)),0,IF(DATE($C703,9,15)&gt;=$X$675,$AA$675*(1+($U$675)/100)^MAX(0,$C703-$AD$675),IF(DATE($C703,9,15)&gt;=$W$675,$Z$675*(1+($U$675)/100)^MAX(0,$C703-$AC$675),IF(DATE($C703,9,15)&gt;=$V$675,$Y$675*(1+($U$675)/100)^MAX(0,$C703-$AB$675),0)))))</f>
      </c>
      <c r="N703" s="43">
        <f>IF($S$675=0,0,IF(OR(DATE($C703,10,15)&lt;$S$675,AND($T$675&gt;0,DATE($C703,10,15)&gt;$T$675)),0,IF(DATE($C703,10,15)&gt;=$X$675,$AA$675*(1+($U$675)/100)^MAX(0,$C703-$AD$675),IF(DATE($C703,10,15)&gt;=$W$675,$Z$675*(1+($U$675)/100)^MAX(0,$C703-$AC$675),IF(DATE($C703,10,15)&gt;=$V$675,$Y$675*(1+($U$675)/100)^MAX(0,$C703-$AB$675),0)))))</f>
      </c>
      <c r="O703" s="43">
        <f>IF($S$675=0,0,IF(OR(DATE($C703,11,15)&lt;$S$675,AND($T$675&gt;0,DATE($C703,11,15)&gt;$T$675)),0,IF(DATE($C703,11,15)&gt;=$X$675,$AA$675*(1+($U$675)/100)^MAX(0,$C703-$AD$675),IF(DATE($C703,11,15)&gt;=$W$675,$Z$675*(1+($U$675)/100)^MAX(0,$C703-$AC$675),IF(DATE($C703,11,15)&gt;=$V$675,$Y$675*(1+($U$675)/100)^MAX(0,$C703-$AB$675),0)))))</f>
      </c>
      <c r="P703" s="43">
        <f>IF($S$675=0,0,IF(OR(DATE($C703,12,15)&lt;$S$675,AND($T$675&gt;0,DATE($C703,12,15)&gt;$T$675)),0,IF(DATE($C703,12,15)&gt;=$X$675,$AA$675*(1+($U$675)/100)^MAX(0,$C703-$AD$675),IF(DATE($C703,12,15)&gt;=$W$675,$Z$675*(1+($U$675)/100)^MAX(0,$C703-$AC$675),IF(DATE($C703,12,15)&gt;=$V$675,$Y$675*(1+($U$675)/100)^MAX(0,$C703-$AB$675),0)))))</f>
      </c>
      <c r="Q703" s="43">
        <f>SUM($E703:$P703)</f>
      </c>
    </row>
    <row r="704">
      <c r="A704"/>
      <c r="B704">
        <v>22</v>
      </c>
      <c r="C704" s="43">
        <f>Jahr+29</f>
      </c>
      <c r="D704" s="43">
        <f>INDEX(MvObj,22)</f>
      </c>
      <c r="E704" s="43">
        <f>IF($S$675=0,0,IF(OR(DATE($C704,1,15)&lt;$S$675,AND($T$675&gt;0,DATE($C704,1,15)&gt;$T$675)),0,IF(DATE($C704,1,15)&gt;=$X$675,$AA$675*(1+($U$675)/100)^MAX(0,$C704-$AD$675),IF(DATE($C704,1,15)&gt;=$W$675,$Z$675*(1+($U$675)/100)^MAX(0,$C704-$AC$675),IF(DATE($C704,1,15)&gt;=$V$675,$Y$675*(1+($U$675)/100)^MAX(0,$C704-$AB$675),0)))))</f>
      </c>
      <c r="F704" s="43">
        <f>IF($S$675=0,0,IF(OR(DATE($C704,2,15)&lt;$S$675,AND($T$675&gt;0,DATE($C704,2,15)&gt;$T$675)),0,IF(DATE($C704,2,15)&gt;=$X$675,$AA$675*(1+($U$675)/100)^MAX(0,$C704-$AD$675),IF(DATE($C704,2,15)&gt;=$W$675,$Z$675*(1+($U$675)/100)^MAX(0,$C704-$AC$675),IF(DATE($C704,2,15)&gt;=$V$675,$Y$675*(1+($U$675)/100)^MAX(0,$C704-$AB$675),0)))))</f>
      </c>
      <c r="G704" s="43">
        <f>IF($S$675=0,0,IF(OR(DATE($C704,3,15)&lt;$S$675,AND($T$675&gt;0,DATE($C704,3,15)&gt;$T$675)),0,IF(DATE($C704,3,15)&gt;=$X$675,$AA$675*(1+($U$675)/100)^MAX(0,$C704-$AD$675),IF(DATE($C704,3,15)&gt;=$W$675,$Z$675*(1+($U$675)/100)^MAX(0,$C704-$AC$675),IF(DATE($C704,3,15)&gt;=$V$675,$Y$675*(1+($U$675)/100)^MAX(0,$C704-$AB$675),0)))))</f>
      </c>
      <c r="H704" s="43">
        <f>IF($S$675=0,0,IF(OR(DATE($C704,4,15)&lt;$S$675,AND($T$675&gt;0,DATE($C704,4,15)&gt;$T$675)),0,IF(DATE($C704,4,15)&gt;=$X$675,$AA$675*(1+($U$675)/100)^MAX(0,$C704-$AD$675),IF(DATE($C704,4,15)&gt;=$W$675,$Z$675*(1+($U$675)/100)^MAX(0,$C704-$AC$675),IF(DATE($C704,4,15)&gt;=$V$675,$Y$675*(1+($U$675)/100)^MAX(0,$C704-$AB$675),0)))))</f>
      </c>
      <c r="I704" s="43">
        <f>IF($S$675=0,0,IF(OR(DATE($C704,5,15)&lt;$S$675,AND($T$675&gt;0,DATE($C704,5,15)&gt;$T$675)),0,IF(DATE($C704,5,15)&gt;=$X$675,$AA$675*(1+($U$675)/100)^MAX(0,$C704-$AD$675),IF(DATE($C704,5,15)&gt;=$W$675,$Z$675*(1+($U$675)/100)^MAX(0,$C704-$AC$675),IF(DATE($C704,5,15)&gt;=$V$675,$Y$675*(1+($U$675)/100)^MAX(0,$C704-$AB$675),0)))))</f>
      </c>
      <c r="J704" s="43">
        <f>IF($S$675=0,0,IF(OR(DATE($C704,6,15)&lt;$S$675,AND($T$675&gt;0,DATE($C704,6,15)&gt;$T$675)),0,IF(DATE($C704,6,15)&gt;=$X$675,$AA$675*(1+($U$675)/100)^MAX(0,$C704-$AD$675),IF(DATE($C704,6,15)&gt;=$W$675,$Z$675*(1+($U$675)/100)^MAX(0,$C704-$AC$675),IF(DATE($C704,6,15)&gt;=$V$675,$Y$675*(1+($U$675)/100)^MAX(0,$C704-$AB$675),0)))))</f>
      </c>
      <c r="K704" s="43">
        <f>IF($S$675=0,0,IF(OR(DATE($C704,7,15)&lt;$S$675,AND($T$675&gt;0,DATE($C704,7,15)&gt;$T$675)),0,IF(DATE($C704,7,15)&gt;=$X$675,$AA$675*(1+($U$675)/100)^MAX(0,$C704-$AD$675),IF(DATE($C704,7,15)&gt;=$W$675,$Z$675*(1+($U$675)/100)^MAX(0,$C704-$AC$675),IF(DATE($C704,7,15)&gt;=$V$675,$Y$675*(1+($U$675)/100)^MAX(0,$C704-$AB$675),0)))))</f>
      </c>
      <c r="L704" s="43">
        <f>IF($S$675=0,0,IF(OR(DATE($C704,8,15)&lt;$S$675,AND($T$675&gt;0,DATE($C704,8,15)&gt;$T$675)),0,IF(DATE($C704,8,15)&gt;=$X$675,$AA$675*(1+($U$675)/100)^MAX(0,$C704-$AD$675),IF(DATE($C704,8,15)&gt;=$W$675,$Z$675*(1+($U$675)/100)^MAX(0,$C704-$AC$675),IF(DATE($C704,8,15)&gt;=$V$675,$Y$675*(1+($U$675)/100)^MAX(0,$C704-$AB$675),0)))))</f>
      </c>
      <c r="M704" s="43">
        <f>IF($S$675=0,0,IF(OR(DATE($C704,9,15)&lt;$S$675,AND($T$675&gt;0,DATE($C704,9,15)&gt;$T$675)),0,IF(DATE($C704,9,15)&gt;=$X$675,$AA$675*(1+($U$675)/100)^MAX(0,$C704-$AD$675),IF(DATE($C704,9,15)&gt;=$W$675,$Z$675*(1+($U$675)/100)^MAX(0,$C704-$AC$675),IF(DATE($C704,9,15)&gt;=$V$675,$Y$675*(1+($U$675)/100)^MAX(0,$C704-$AB$675),0)))))</f>
      </c>
      <c r="N704" s="43">
        <f>IF($S$675=0,0,IF(OR(DATE($C704,10,15)&lt;$S$675,AND($T$675&gt;0,DATE($C704,10,15)&gt;$T$675)),0,IF(DATE($C704,10,15)&gt;=$X$675,$AA$675*(1+($U$675)/100)^MAX(0,$C704-$AD$675),IF(DATE($C704,10,15)&gt;=$W$675,$Z$675*(1+($U$675)/100)^MAX(0,$C704-$AC$675),IF(DATE($C704,10,15)&gt;=$V$675,$Y$675*(1+($U$675)/100)^MAX(0,$C704-$AB$675),0)))))</f>
      </c>
      <c r="O704" s="43">
        <f>IF($S$675=0,0,IF(OR(DATE($C704,11,15)&lt;$S$675,AND($T$675&gt;0,DATE($C704,11,15)&gt;$T$675)),0,IF(DATE($C704,11,15)&gt;=$X$675,$AA$675*(1+($U$675)/100)^MAX(0,$C704-$AD$675),IF(DATE($C704,11,15)&gt;=$W$675,$Z$675*(1+($U$675)/100)^MAX(0,$C704-$AC$675),IF(DATE($C704,11,15)&gt;=$V$675,$Y$675*(1+($U$675)/100)^MAX(0,$C704-$AB$675),0)))))</f>
      </c>
      <c r="P704" s="43">
        <f>IF($S$675=0,0,IF(OR(DATE($C704,12,15)&lt;$S$675,AND($T$675&gt;0,DATE($C704,12,15)&gt;$T$675)),0,IF(DATE($C704,12,15)&gt;=$X$675,$AA$675*(1+($U$675)/100)^MAX(0,$C704-$AD$675),IF(DATE($C704,12,15)&gt;=$W$675,$Z$675*(1+($U$675)/100)^MAX(0,$C704-$AC$675),IF(DATE($C704,12,15)&gt;=$V$675,$Y$675*(1+($U$675)/100)^MAX(0,$C704-$AB$675),0)))))</f>
      </c>
      <c r="Q704" s="43">
        <f>SUM($E704:$P704)</f>
      </c>
    </row>
    <row r="705">
      <c r="A705"/>
      <c r="B705">
        <v>22</v>
      </c>
      <c r="C705" s="43">
        <f>Jahr+30</f>
      </c>
      <c r="D705" s="43">
        <f>INDEX(MvObj,22)</f>
      </c>
      <c r="E705" s="43">
        <f>IF($S$675=0,0,IF(OR(DATE($C705,1,15)&lt;$S$675,AND($T$675&gt;0,DATE($C705,1,15)&gt;$T$675)),0,IF(DATE($C705,1,15)&gt;=$X$675,$AA$675*(1+($U$675)/100)^MAX(0,$C705-$AD$675),IF(DATE($C705,1,15)&gt;=$W$675,$Z$675*(1+($U$675)/100)^MAX(0,$C705-$AC$675),IF(DATE($C705,1,15)&gt;=$V$675,$Y$675*(1+($U$675)/100)^MAX(0,$C705-$AB$675),0)))))</f>
      </c>
      <c r="F705" s="43">
        <f>IF($S$675=0,0,IF(OR(DATE($C705,2,15)&lt;$S$675,AND($T$675&gt;0,DATE($C705,2,15)&gt;$T$675)),0,IF(DATE($C705,2,15)&gt;=$X$675,$AA$675*(1+($U$675)/100)^MAX(0,$C705-$AD$675),IF(DATE($C705,2,15)&gt;=$W$675,$Z$675*(1+($U$675)/100)^MAX(0,$C705-$AC$675),IF(DATE($C705,2,15)&gt;=$V$675,$Y$675*(1+($U$675)/100)^MAX(0,$C705-$AB$675),0)))))</f>
      </c>
      <c r="G705" s="43">
        <f>IF($S$675=0,0,IF(OR(DATE($C705,3,15)&lt;$S$675,AND($T$675&gt;0,DATE($C705,3,15)&gt;$T$675)),0,IF(DATE($C705,3,15)&gt;=$X$675,$AA$675*(1+($U$675)/100)^MAX(0,$C705-$AD$675),IF(DATE($C705,3,15)&gt;=$W$675,$Z$675*(1+($U$675)/100)^MAX(0,$C705-$AC$675),IF(DATE($C705,3,15)&gt;=$V$675,$Y$675*(1+($U$675)/100)^MAX(0,$C705-$AB$675),0)))))</f>
      </c>
      <c r="H705" s="43">
        <f>IF($S$675=0,0,IF(OR(DATE($C705,4,15)&lt;$S$675,AND($T$675&gt;0,DATE($C705,4,15)&gt;$T$675)),0,IF(DATE($C705,4,15)&gt;=$X$675,$AA$675*(1+($U$675)/100)^MAX(0,$C705-$AD$675),IF(DATE($C705,4,15)&gt;=$W$675,$Z$675*(1+($U$675)/100)^MAX(0,$C705-$AC$675),IF(DATE($C705,4,15)&gt;=$V$675,$Y$675*(1+($U$675)/100)^MAX(0,$C705-$AB$675),0)))))</f>
      </c>
      <c r="I705" s="43">
        <f>IF($S$675=0,0,IF(OR(DATE($C705,5,15)&lt;$S$675,AND($T$675&gt;0,DATE($C705,5,15)&gt;$T$675)),0,IF(DATE($C705,5,15)&gt;=$X$675,$AA$675*(1+($U$675)/100)^MAX(0,$C705-$AD$675),IF(DATE($C705,5,15)&gt;=$W$675,$Z$675*(1+($U$675)/100)^MAX(0,$C705-$AC$675),IF(DATE($C705,5,15)&gt;=$V$675,$Y$675*(1+($U$675)/100)^MAX(0,$C705-$AB$675),0)))))</f>
      </c>
      <c r="J705" s="43">
        <f>IF($S$675=0,0,IF(OR(DATE($C705,6,15)&lt;$S$675,AND($T$675&gt;0,DATE($C705,6,15)&gt;$T$675)),0,IF(DATE($C705,6,15)&gt;=$X$675,$AA$675*(1+($U$675)/100)^MAX(0,$C705-$AD$675),IF(DATE($C705,6,15)&gt;=$W$675,$Z$675*(1+($U$675)/100)^MAX(0,$C705-$AC$675),IF(DATE($C705,6,15)&gt;=$V$675,$Y$675*(1+($U$675)/100)^MAX(0,$C705-$AB$675),0)))))</f>
      </c>
      <c r="K705" s="43">
        <f>IF($S$675=0,0,IF(OR(DATE($C705,7,15)&lt;$S$675,AND($T$675&gt;0,DATE($C705,7,15)&gt;$T$675)),0,IF(DATE($C705,7,15)&gt;=$X$675,$AA$675*(1+($U$675)/100)^MAX(0,$C705-$AD$675),IF(DATE($C705,7,15)&gt;=$W$675,$Z$675*(1+($U$675)/100)^MAX(0,$C705-$AC$675),IF(DATE($C705,7,15)&gt;=$V$675,$Y$675*(1+($U$675)/100)^MAX(0,$C705-$AB$675),0)))))</f>
      </c>
      <c r="L705" s="43">
        <f>IF($S$675=0,0,IF(OR(DATE($C705,8,15)&lt;$S$675,AND($T$675&gt;0,DATE($C705,8,15)&gt;$T$675)),0,IF(DATE($C705,8,15)&gt;=$X$675,$AA$675*(1+($U$675)/100)^MAX(0,$C705-$AD$675),IF(DATE($C705,8,15)&gt;=$W$675,$Z$675*(1+($U$675)/100)^MAX(0,$C705-$AC$675),IF(DATE($C705,8,15)&gt;=$V$675,$Y$675*(1+($U$675)/100)^MAX(0,$C705-$AB$675),0)))))</f>
      </c>
      <c r="M705" s="43">
        <f>IF($S$675=0,0,IF(OR(DATE($C705,9,15)&lt;$S$675,AND($T$675&gt;0,DATE($C705,9,15)&gt;$T$675)),0,IF(DATE($C705,9,15)&gt;=$X$675,$AA$675*(1+($U$675)/100)^MAX(0,$C705-$AD$675),IF(DATE($C705,9,15)&gt;=$W$675,$Z$675*(1+($U$675)/100)^MAX(0,$C705-$AC$675),IF(DATE($C705,9,15)&gt;=$V$675,$Y$675*(1+($U$675)/100)^MAX(0,$C705-$AB$675),0)))))</f>
      </c>
      <c r="N705" s="43">
        <f>IF($S$675=0,0,IF(OR(DATE($C705,10,15)&lt;$S$675,AND($T$675&gt;0,DATE($C705,10,15)&gt;$T$675)),0,IF(DATE($C705,10,15)&gt;=$X$675,$AA$675*(1+($U$675)/100)^MAX(0,$C705-$AD$675),IF(DATE($C705,10,15)&gt;=$W$675,$Z$675*(1+($U$675)/100)^MAX(0,$C705-$AC$675),IF(DATE($C705,10,15)&gt;=$V$675,$Y$675*(1+($U$675)/100)^MAX(0,$C705-$AB$675),0)))))</f>
      </c>
      <c r="O705" s="43">
        <f>IF($S$675=0,0,IF(OR(DATE($C705,11,15)&lt;$S$675,AND($T$675&gt;0,DATE($C705,11,15)&gt;$T$675)),0,IF(DATE($C705,11,15)&gt;=$X$675,$AA$675*(1+($U$675)/100)^MAX(0,$C705-$AD$675),IF(DATE($C705,11,15)&gt;=$W$675,$Z$675*(1+($U$675)/100)^MAX(0,$C705-$AC$675),IF(DATE($C705,11,15)&gt;=$V$675,$Y$675*(1+($U$675)/100)^MAX(0,$C705-$AB$675),0)))))</f>
      </c>
      <c r="P705" s="43">
        <f>IF($S$675=0,0,IF(OR(DATE($C705,12,15)&lt;$S$675,AND($T$675&gt;0,DATE($C705,12,15)&gt;$T$675)),0,IF(DATE($C705,12,15)&gt;=$X$675,$AA$675*(1+($U$675)/100)^MAX(0,$C705-$AD$675),IF(DATE($C705,12,15)&gt;=$W$675,$Z$675*(1+($U$675)/100)^MAX(0,$C705-$AC$675),IF(DATE($C705,12,15)&gt;=$V$675,$Y$675*(1+($U$675)/100)^MAX(0,$C705-$AB$675),0)))))</f>
      </c>
      <c r="Q705" s="43">
        <f>SUM($E705:$P705)</f>
      </c>
    </row>
    <row r="706">
      <c r="A706"/>
      <c r="B706">
        <v>23</v>
      </c>
      <c r="C706" s="43">
        <f>Jahr+0</f>
      </c>
      <c r="D706" s="43">
        <f>INDEX(MvObj,23)</f>
      </c>
      <c r="E706" s="43">
        <f>IF($S$706=0,0,IF(OR(DATE($C706,1,15)&lt;$S$706,AND($T$706&gt;0,DATE($C706,1,15)&gt;$T$706)),0,IF(DATE($C706,1,15)&gt;=$X$706,$AA$706*(1+($U$706)/100)^MAX(0,$C706-$AD$706),IF(DATE($C706,1,15)&gt;=$W$706,$Z$706*(1+($U$706)/100)^MAX(0,$C706-$AC$706),IF(DATE($C706,1,15)&gt;=$V$706,$Y$706*(1+($U$706)/100)^MAX(0,$C706-$AB$706),0)))))</f>
      </c>
      <c r="F706" s="43">
        <f>IF($S$706=0,0,IF(OR(DATE($C706,2,15)&lt;$S$706,AND($T$706&gt;0,DATE($C706,2,15)&gt;$T$706)),0,IF(DATE($C706,2,15)&gt;=$X$706,$AA$706*(1+($U$706)/100)^MAX(0,$C706-$AD$706),IF(DATE($C706,2,15)&gt;=$W$706,$Z$706*(1+($U$706)/100)^MAX(0,$C706-$AC$706),IF(DATE($C706,2,15)&gt;=$V$706,$Y$706*(1+($U$706)/100)^MAX(0,$C706-$AB$706),0)))))</f>
      </c>
      <c r="G706" s="43">
        <f>IF($S$706=0,0,IF(OR(DATE($C706,3,15)&lt;$S$706,AND($T$706&gt;0,DATE($C706,3,15)&gt;$T$706)),0,IF(DATE($C706,3,15)&gt;=$X$706,$AA$706*(1+($U$706)/100)^MAX(0,$C706-$AD$706),IF(DATE($C706,3,15)&gt;=$W$706,$Z$706*(1+($U$706)/100)^MAX(0,$C706-$AC$706),IF(DATE($C706,3,15)&gt;=$V$706,$Y$706*(1+($U$706)/100)^MAX(0,$C706-$AB$706),0)))))</f>
      </c>
      <c r="H706" s="43">
        <f>IF($S$706=0,0,IF(OR(DATE($C706,4,15)&lt;$S$706,AND($T$706&gt;0,DATE($C706,4,15)&gt;$T$706)),0,IF(DATE($C706,4,15)&gt;=$X$706,$AA$706*(1+($U$706)/100)^MAX(0,$C706-$AD$706),IF(DATE($C706,4,15)&gt;=$W$706,$Z$706*(1+($U$706)/100)^MAX(0,$C706-$AC$706),IF(DATE($C706,4,15)&gt;=$V$706,$Y$706*(1+($U$706)/100)^MAX(0,$C706-$AB$706),0)))))</f>
      </c>
      <c r="I706" s="43">
        <f>IF($S$706=0,0,IF(OR(DATE($C706,5,15)&lt;$S$706,AND($T$706&gt;0,DATE($C706,5,15)&gt;$T$706)),0,IF(DATE($C706,5,15)&gt;=$X$706,$AA$706*(1+($U$706)/100)^MAX(0,$C706-$AD$706),IF(DATE($C706,5,15)&gt;=$W$706,$Z$706*(1+($U$706)/100)^MAX(0,$C706-$AC$706),IF(DATE($C706,5,15)&gt;=$V$706,$Y$706*(1+($U$706)/100)^MAX(0,$C706-$AB$706),0)))))</f>
      </c>
      <c r="J706" s="43">
        <f>IF($S$706=0,0,IF(OR(DATE($C706,6,15)&lt;$S$706,AND($T$706&gt;0,DATE($C706,6,15)&gt;$T$706)),0,IF(DATE($C706,6,15)&gt;=$X$706,$AA$706*(1+($U$706)/100)^MAX(0,$C706-$AD$706),IF(DATE($C706,6,15)&gt;=$W$706,$Z$706*(1+($U$706)/100)^MAX(0,$C706-$AC$706),IF(DATE($C706,6,15)&gt;=$V$706,$Y$706*(1+($U$706)/100)^MAX(0,$C706-$AB$706),0)))))</f>
      </c>
      <c r="K706" s="43">
        <f>IF($S$706=0,0,IF(OR(DATE($C706,7,15)&lt;$S$706,AND($T$706&gt;0,DATE($C706,7,15)&gt;$T$706)),0,IF(DATE($C706,7,15)&gt;=$X$706,$AA$706*(1+($U$706)/100)^MAX(0,$C706-$AD$706),IF(DATE($C706,7,15)&gt;=$W$706,$Z$706*(1+($U$706)/100)^MAX(0,$C706-$AC$706),IF(DATE($C706,7,15)&gt;=$V$706,$Y$706*(1+($U$706)/100)^MAX(0,$C706-$AB$706),0)))))</f>
      </c>
      <c r="L706" s="43">
        <f>IF($S$706=0,0,IF(OR(DATE($C706,8,15)&lt;$S$706,AND($T$706&gt;0,DATE($C706,8,15)&gt;$T$706)),0,IF(DATE($C706,8,15)&gt;=$X$706,$AA$706*(1+($U$706)/100)^MAX(0,$C706-$AD$706),IF(DATE($C706,8,15)&gt;=$W$706,$Z$706*(1+($U$706)/100)^MAX(0,$C706-$AC$706),IF(DATE($C706,8,15)&gt;=$V$706,$Y$706*(1+($U$706)/100)^MAX(0,$C706-$AB$706),0)))))</f>
      </c>
      <c r="M706" s="43">
        <f>IF($S$706=0,0,IF(OR(DATE($C706,9,15)&lt;$S$706,AND($T$706&gt;0,DATE($C706,9,15)&gt;$T$706)),0,IF(DATE($C706,9,15)&gt;=$X$706,$AA$706*(1+($U$706)/100)^MAX(0,$C706-$AD$706),IF(DATE($C706,9,15)&gt;=$W$706,$Z$706*(1+($U$706)/100)^MAX(0,$C706-$AC$706),IF(DATE($C706,9,15)&gt;=$V$706,$Y$706*(1+($U$706)/100)^MAX(0,$C706-$AB$706),0)))))</f>
      </c>
      <c r="N706" s="43">
        <f>IF($S$706=0,0,IF(OR(DATE($C706,10,15)&lt;$S$706,AND($T$706&gt;0,DATE($C706,10,15)&gt;$T$706)),0,IF(DATE($C706,10,15)&gt;=$X$706,$AA$706*(1+($U$706)/100)^MAX(0,$C706-$AD$706),IF(DATE($C706,10,15)&gt;=$W$706,$Z$706*(1+($U$706)/100)^MAX(0,$C706-$AC$706),IF(DATE($C706,10,15)&gt;=$V$706,$Y$706*(1+($U$706)/100)^MAX(0,$C706-$AB$706),0)))))</f>
      </c>
      <c r="O706" s="43">
        <f>IF($S$706=0,0,IF(OR(DATE($C706,11,15)&lt;$S$706,AND($T$706&gt;0,DATE($C706,11,15)&gt;$T$706)),0,IF(DATE($C706,11,15)&gt;=$X$706,$AA$706*(1+($U$706)/100)^MAX(0,$C706-$AD$706),IF(DATE($C706,11,15)&gt;=$W$706,$Z$706*(1+($U$706)/100)^MAX(0,$C706-$AC$706),IF(DATE($C706,11,15)&gt;=$V$706,$Y$706*(1+($U$706)/100)^MAX(0,$C706-$AB$706),0)))))</f>
      </c>
      <c r="P706" s="43">
        <f>IF($S$706=0,0,IF(OR(DATE($C706,12,15)&lt;$S$706,AND($T$706&gt;0,DATE($C706,12,15)&gt;$T$706)),0,IF(DATE($C706,12,15)&gt;=$X$706,$AA$706*(1+($U$706)/100)^MAX(0,$C706-$AD$706),IF(DATE($C706,12,15)&gt;=$W$706,$Z$706*(1+($U$706)/100)^MAX(0,$C706-$AC$706),IF(DATE($C706,12,15)&gt;=$V$706,$Y$706*(1+($U$706)/100)^MAX(0,$C706-$AB$706),0)))))</f>
      </c>
      <c r="Q706" s="43">
        <f>SUM($E706:$P706)</f>
      </c>
      <c r="R706"/>
      <c r="S706" s="43">
        <f>IF(INDEX(MvBeginn,23)="",0,INDEX(MvBeginn,23))</f>
      </c>
      <c r="T706" s="43">
        <f>INDEX(MvEnde,23)</f>
      </c>
      <c r="U706" s="43">
        <f>INDEX(MvSatz,23)</f>
      </c>
      <c r="V706" s="43">
        <f>INDEX(MvKey1,23)</f>
      </c>
      <c r="W706" s="43">
        <f>INDEX(MvKey2,23)</f>
      </c>
      <c r="X706" s="43">
        <f>INDEX(MvKey3,23)</f>
      </c>
      <c r="Y706" s="43">
        <f>INDEX(MvKalt1,23)</f>
      </c>
      <c r="Z706" s="43">
        <f>INDEX(MvKalt2,23)</f>
      </c>
      <c r="AA706" s="43">
        <f>INDEX(MvKalt3,23)</f>
      </c>
      <c r="AB706" s="43">
        <f>MAX(YEAR(INDEX(MvAb1,23)),Jahr)</f>
      </c>
      <c r="AC706" s="43">
        <f>MAX(YEAR(INDEX(MvAb2,23)),Jahr)</f>
      </c>
      <c r="AD706" s="43">
        <f>MAX(YEAR(INDEX(MvAb3,23)),Jahr)</f>
      </c>
    </row>
    <row r="707">
      <c r="A707"/>
      <c r="B707">
        <v>23</v>
      </c>
      <c r="C707" s="43">
        <f>Jahr+1</f>
      </c>
      <c r="D707" s="43">
        <f>INDEX(MvObj,23)</f>
      </c>
      <c r="E707" s="43">
        <f>IF($S$706=0,0,IF(OR(DATE($C707,1,15)&lt;$S$706,AND($T$706&gt;0,DATE($C707,1,15)&gt;$T$706)),0,IF(DATE($C707,1,15)&gt;=$X$706,$AA$706*(1+($U$706)/100)^MAX(0,$C707-$AD$706),IF(DATE($C707,1,15)&gt;=$W$706,$Z$706*(1+($U$706)/100)^MAX(0,$C707-$AC$706),IF(DATE($C707,1,15)&gt;=$V$706,$Y$706*(1+($U$706)/100)^MAX(0,$C707-$AB$706),0)))))</f>
      </c>
      <c r="F707" s="43">
        <f>IF($S$706=0,0,IF(OR(DATE($C707,2,15)&lt;$S$706,AND($T$706&gt;0,DATE($C707,2,15)&gt;$T$706)),0,IF(DATE($C707,2,15)&gt;=$X$706,$AA$706*(1+($U$706)/100)^MAX(0,$C707-$AD$706),IF(DATE($C707,2,15)&gt;=$W$706,$Z$706*(1+($U$706)/100)^MAX(0,$C707-$AC$706),IF(DATE($C707,2,15)&gt;=$V$706,$Y$706*(1+($U$706)/100)^MAX(0,$C707-$AB$706),0)))))</f>
      </c>
      <c r="G707" s="43">
        <f>IF($S$706=0,0,IF(OR(DATE($C707,3,15)&lt;$S$706,AND($T$706&gt;0,DATE($C707,3,15)&gt;$T$706)),0,IF(DATE($C707,3,15)&gt;=$X$706,$AA$706*(1+($U$706)/100)^MAX(0,$C707-$AD$706),IF(DATE($C707,3,15)&gt;=$W$706,$Z$706*(1+($U$706)/100)^MAX(0,$C707-$AC$706),IF(DATE($C707,3,15)&gt;=$V$706,$Y$706*(1+($U$706)/100)^MAX(0,$C707-$AB$706),0)))))</f>
      </c>
      <c r="H707" s="43">
        <f>IF($S$706=0,0,IF(OR(DATE($C707,4,15)&lt;$S$706,AND($T$706&gt;0,DATE($C707,4,15)&gt;$T$706)),0,IF(DATE($C707,4,15)&gt;=$X$706,$AA$706*(1+($U$706)/100)^MAX(0,$C707-$AD$706),IF(DATE($C707,4,15)&gt;=$W$706,$Z$706*(1+($U$706)/100)^MAX(0,$C707-$AC$706),IF(DATE($C707,4,15)&gt;=$V$706,$Y$706*(1+($U$706)/100)^MAX(0,$C707-$AB$706),0)))))</f>
      </c>
      <c r="I707" s="43">
        <f>IF($S$706=0,0,IF(OR(DATE($C707,5,15)&lt;$S$706,AND($T$706&gt;0,DATE($C707,5,15)&gt;$T$706)),0,IF(DATE($C707,5,15)&gt;=$X$706,$AA$706*(1+($U$706)/100)^MAX(0,$C707-$AD$706),IF(DATE($C707,5,15)&gt;=$W$706,$Z$706*(1+($U$706)/100)^MAX(0,$C707-$AC$706),IF(DATE($C707,5,15)&gt;=$V$706,$Y$706*(1+($U$706)/100)^MAX(0,$C707-$AB$706),0)))))</f>
      </c>
      <c r="J707" s="43">
        <f>IF($S$706=0,0,IF(OR(DATE($C707,6,15)&lt;$S$706,AND($T$706&gt;0,DATE($C707,6,15)&gt;$T$706)),0,IF(DATE($C707,6,15)&gt;=$X$706,$AA$706*(1+($U$706)/100)^MAX(0,$C707-$AD$706),IF(DATE($C707,6,15)&gt;=$W$706,$Z$706*(1+($U$706)/100)^MAX(0,$C707-$AC$706),IF(DATE($C707,6,15)&gt;=$V$706,$Y$706*(1+($U$706)/100)^MAX(0,$C707-$AB$706),0)))))</f>
      </c>
      <c r="K707" s="43">
        <f>IF($S$706=0,0,IF(OR(DATE($C707,7,15)&lt;$S$706,AND($T$706&gt;0,DATE($C707,7,15)&gt;$T$706)),0,IF(DATE($C707,7,15)&gt;=$X$706,$AA$706*(1+($U$706)/100)^MAX(0,$C707-$AD$706),IF(DATE($C707,7,15)&gt;=$W$706,$Z$706*(1+($U$706)/100)^MAX(0,$C707-$AC$706),IF(DATE($C707,7,15)&gt;=$V$706,$Y$706*(1+($U$706)/100)^MAX(0,$C707-$AB$706),0)))))</f>
      </c>
      <c r="L707" s="43">
        <f>IF($S$706=0,0,IF(OR(DATE($C707,8,15)&lt;$S$706,AND($T$706&gt;0,DATE($C707,8,15)&gt;$T$706)),0,IF(DATE($C707,8,15)&gt;=$X$706,$AA$706*(1+($U$706)/100)^MAX(0,$C707-$AD$706),IF(DATE($C707,8,15)&gt;=$W$706,$Z$706*(1+($U$706)/100)^MAX(0,$C707-$AC$706),IF(DATE($C707,8,15)&gt;=$V$706,$Y$706*(1+($U$706)/100)^MAX(0,$C707-$AB$706),0)))))</f>
      </c>
      <c r="M707" s="43">
        <f>IF($S$706=0,0,IF(OR(DATE($C707,9,15)&lt;$S$706,AND($T$706&gt;0,DATE($C707,9,15)&gt;$T$706)),0,IF(DATE($C707,9,15)&gt;=$X$706,$AA$706*(1+($U$706)/100)^MAX(0,$C707-$AD$706),IF(DATE($C707,9,15)&gt;=$W$706,$Z$706*(1+($U$706)/100)^MAX(0,$C707-$AC$706),IF(DATE($C707,9,15)&gt;=$V$706,$Y$706*(1+($U$706)/100)^MAX(0,$C707-$AB$706),0)))))</f>
      </c>
      <c r="N707" s="43">
        <f>IF($S$706=0,0,IF(OR(DATE($C707,10,15)&lt;$S$706,AND($T$706&gt;0,DATE($C707,10,15)&gt;$T$706)),0,IF(DATE($C707,10,15)&gt;=$X$706,$AA$706*(1+($U$706)/100)^MAX(0,$C707-$AD$706),IF(DATE($C707,10,15)&gt;=$W$706,$Z$706*(1+($U$706)/100)^MAX(0,$C707-$AC$706),IF(DATE($C707,10,15)&gt;=$V$706,$Y$706*(1+($U$706)/100)^MAX(0,$C707-$AB$706),0)))))</f>
      </c>
      <c r="O707" s="43">
        <f>IF($S$706=0,0,IF(OR(DATE($C707,11,15)&lt;$S$706,AND($T$706&gt;0,DATE($C707,11,15)&gt;$T$706)),0,IF(DATE($C707,11,15)&gt;=$X$706,$AA$706*(1+($U$706)/100)^MAX(0,$C707-$AD$706),IF(DATE($C707,11,15)&gt;=$W$706,$Z$706*(1+($U$706)/100)^MAX(0,$C707-$AC$706),IF(DATE($C707,11,15)&gt;=$V$706,$Y$706*(1+($U$706)/100)^MAX(0,$C707-$AB$706),0)))))</f>
      </c>
      <c r="P707" s="43">
        <f>IF($S$706=0,0,IF(OR(DATE($C707,12,15)&lt;$S$706,AND($T$706&gt;0,DATE($C707,12,15)&gt;$T$706)),0,IF(DATE($C707,12,15)&gt;=$X$706,$AA$706*(1+($U$706)/100)^MAX(0,$C707-$AD$706),IF(DATE($C707,12,15)&gt;=$W$706,$Z$706*(1+($U$706)/100)^MAX(0,$C707-$AC$706),IF(DATE($C707,12,15)&gt;=$V$706,$Y$706*(1+($U$706)/100)^MAX(0,$C707-$AB$706),0)))))</f>
      </c>
      <c r="Q707" s="43">
        <f>SUM($E707:$P707)</f>
      </c>
    </row>
    <row r="708">
      <c r="A708"/>
      <c r="B708">
        <v>23</v>
      </c>
      <c r="C708" s="43">
        <f>Jahr+2</f>
      </c>
      <c r="D708" s="43">
        <f>INDEX(MvObj,23)</f>
      </c>
      <c r="E708" s="43">
        <f>IF($S$706=0,0,IF(OR(DATE($C708,1,15)&lt;$S$706,AND($T$706&gt;0,DATE($C708,1,15)&gt;$T$706)),0,IF(DATE($C708,1,15)&gt;=$X$706,$AA$706*(1+($U$706)/100)^MAX(0,$C708-$AD$706),IF(DATE($C708,1,15)&gt;=$W$706,$Z$706*(1+($U$706)/100)^MAX(0,$C708-$AC$706),IF(DATE($C708,1,15)&gt;=$V$706,$Y$706*(1+($U$706)/100)^MAX(0,$C708-$AB$706),0)))))</f>
      </c>
      <c r="F708" s="43">
        <f>IF($S$706=0,0,IF(OR(DATE($C708,2,15)&lt;$S$706,AND($T$706&gt;0,DATE($C708,2,15)&gt;$T$706)),0,IF(DATE($C708,2,15)&gt;=$X$706,$AA$706*(1+($U$706)/100)^MAX(0,$C708-$AD$706),IF(DATE($C708,2,15)&gt;=$W$706,$Z$706*(1+($U$706)/100)^MAX(0,$C708-$AC$706),IF(DATE($C708,2,15)&gt;=$V$706,$Y$706*(1+($U$706)/100)^MAX(0,$C708-$AB$706),0)))))</f>
      </c>
      <c r="G708" s="43">
        <f>IF($S$706=0,0,IF(OR(DATE($C708,3,15)&lt;$S$706,AND($T$706&gt;0,DATE($C708,3,15)&gt;$T$706)),0,IF(DATE($C708,3,15)&gt;=$X$706,$AA$706*(1+($U$706)/100)^MAX(0,$C708-$AD$706),IF(DATE($C708,3,15)&gt;=$W$706,$Z$706*(1+($U$706)/100)^MAX(0,$C708-$AC$706),IF(DATE($C708,3,15)&gt;=$V$706,$Y$706*(1+($U$706)/100)^MAX(0,$C708-$AB$706),0)))))</f>
      </c>
      <c r="H708" s="43">
        <f>IF($S$706=0,0,IF(OR(DATE($C708,4,15)&lt;$S$706,AND($T$706&gt;0,DATE($C708,4,15)&gt;$T$706)),0,IF(DATE($C708,4,15)&gt;=$X$706,$AA$706*(1+($U$706)/100)^MAX(0,$C708-$AD$706),IF(DATE($C708,4,15)&gt;=$W$706,$Z$706*(1+($U$706)/100)^MAX(0,$C708-$AC$706),IF(DATE($C708,4,15)&gt;=$V$706,$Y$706*(1+($U$706)/100)^MAX(0,$C708-$AB$706),0)))))</f>
      </c>
      <c r="I708" s="43">
        <f>IF($S$706=0,0,IF(OR(DATE($C708,5,15)&lt;$S$706,AND($T$706&gt;0,DATE($C708,5,15)&gt;$T$706)),0,IF(DATE($C708,5,15)&gt;=$X$706,$AA$706*(1+($U$706)/100)^MAX(0,$C708-$AD$706),IF(DATE($C708,5,15)&gt;=$W$706,$Z$706*(1+($U$706)/100)^MAX(0,$C708-$AC$706),IF(DATE($C708,5,15)&gt;=$V$706,$Y$706*(1+($U$706)/100)^MAX(0,$C708-$AB$706),0)))))</f>
      </c>
      <c r="J708" s="43">
        <f>IF($S$706=0,0,IF(OR(DATE($C708,6,15)&lt;$S$706,AND($T$706&gt;0,DATE($C708,6,15)&gt;$T$706)),0,IF(DATE($C708,6,15)&gt;=$X$706,$AA$706*(1+($U$706)/100)^MAX(0,$C708-$AD$706),IF(DATE($C708,6,15)&gt;=$W$706,$Z$706*(1+($U$706)/100)^MAX(0,$C708-$AC$706),IF(DATE($C708,6,15)&gt;=$V$706,$Y$706*(1+($U$706)/100)^MAX(0,$C708-$AB$706),0)))))</f>
      </c>
      <c r="K708" s="43">
        <f>IF($S$706=0,0,IF(OR(DATE($C708,7,15)&lt;$S$706,AND($T$706&gt;0,DATE($C708,7,15)&gt;$T$706)),0,IF(DATE($C708,7,15)&gt;=$X$706,$AA$706*(1+($U$706)/100)^MAX(0,$C708-$AD$706),IF(DATE($C708,7,15)&gt;=$W$706,$Z$706*(1+($U$706)/100)^MAX(0,$C708-$AC$706),IF(DATE($C708,7,15)&gt;=$V$706,$Y$706*(1+($U$706)/100)^MAX(0,$C708-$AB$706),0)))))</f>
      </c>
      <c r="L708" s="43">
        <f>IF($S$706=0,0,IF(OR(DATE($C708,8,15)&lt;$S$706,AND($T$706&gt;0,DATE($C708,8,15)&gt;$T$706)),0,IF(DATE($C708,8,15)&gt;=$X$706,$AA$706*(1+($U$706)/100)^MAX(0,$C708-$AD$706),IF(DATE($C708,8,15)&gt;=$W$706,$Z$706*(1+($U$706)/100)^MAX(0,$C708-$AC$706),IF(DATE($C708,8,15)&gt;=$V$706,$Y$706*(1+($U$706)/100)^MAX(0,$C708-$AB$706),0)))))</f>
      </c>
      <c r="M708" s="43">
        <f>IF($S$706=0,0,IF(OR(DATE($C708,9,15)&lt;$S$706,AND($T$706&gt;0,DATE($C708,9,15)&gt;$T$706)),0,IF(DATE($C708,9,15)&gt;=$X$706,$AA$706*(1+($U$706)/100)^MAX(0,$C708-$AD$706),IF(DATE($C708,9,15)&gt;=$W$706,$Z$706*(1+($U$706)/100)^MAX(0,$C708-$AC$706),IF(DATE($C708,9,15)&gt;=$V$706,$Y$706*(1+($U$706)/100)^MAX(0,$C708-$AB$706),0)))))</f>
      </c>
      <c r="N708" s="43">
        <f>IF($S$706=0,0,IF(OR(DATE($C708,10,15)&lt;$S$706,AND($T$706&gt;0,DATE($C708,10,15)&gt;$T$706)),0,IF(DATE($C708,10,15)&gt;=$X$706,$AA$706*(1+($U$706)/100)^MAX(0,$C708-$AD$706),IF(DATE($C708,10,15)&gt;=$W$706,$Z$706*(1+($U$706)/100)^MAX(0,$C708-$AC$706),IF(DATE($C708,10,15)&gt;=$V$706,$Y$706*(1+($U$706)/100)^MAX(0,$C708-$AB$706),0)))))</f>
      </c>
      <c r="O708" s="43">
        <f>IF($S$706=0,0,IF(OR(DATE($C708,11,15)&lt;$S$706,AND($T$706&gt;0,DATE($C708,11,15)&gt;$T$706)),0,IF(DATE($C708,11,15)&gt;=$X$706,$AA$706*(1+($U$706)/100)^MAX(0,$C708-$AD$706),IF(DATE($C708,11,15)&gt;=$W$706,$Z$706*(1+($U$706)/100)^MAX(0,$C708-$AC$706),IF(DATE($C708,11,15)&gt;=$V$706,$Y$706*(1+($U$706)/100)^MAX(0,$C708-$AB$706),0)))))</f>
      </c>
      <c r="P708" s="43">
        <f>IF($S$706=0,0,IF(OR(DATE($C708,12,15)&lt;$S$706,AND($T$706&gt;0,DATE($C708,12,15)&gt;$T$706)),0,IF(DATE($C708,12,15)&gt;=$X$706,$AA$706*(1+($U$706)/100)^MAX(0,$C708-$AD$706),IF(DATE($C708,12,15)&gt;=$W$706,$Z$706*(1+($U$706)/100)^MAX(0,$C708-$AC$706),IF(DATE($C708,12,15)&gt;=$V$706,$Y$706*(1+($U$706)/100)^MAX(0,$C708-$AB$706),0)))))</f>
      </c>
      <c r="Q708" s="43">
        <f>SUM($E708:$P708)</f>
      </c>
    </row>
    <row r="709">
      <c r="A709"/>
      <c r="B709">
        <v>23</v>
      </c>
      <c r="C709" s="43">
        <f>Jahr+3</f>
      </c>
      <c r="D709" s="43">
        <f>INDEX(MvObj,23)</f>
      </c>
      <c r="E709" s="43">
        <f>IF($S$706=0,0,IF(OR(DATE($C709,1,15)&lt;$S$706,AND($T$706&gt;0,DATE($C709,1,15)&gt;$T$706)),0,IF(DATE($C709,1,15)&gt;=$X$706,$AA$706*(1+($U$706)/100)^MAX(0,$C709-$AD$706),IF(DATE($C709,1,15)&gt;=$W$706,$Z$706*(1+($U$706)/100)^MAX(0,$C709-$AC$706),IF(DATE($C709,1,15)&gt;=$V$706,$Y$706*(1+($U$706)/100)^MAX(0,$C709-$AB$706),0)))))</f>
      </c>
      <c r="F709" s="43">
        <f>IF($S$706=0,0,IF(OR(DATE($C709,2,15)&lt;$S$706,AND($T$706&gt;0,DATE($C709,2,15)&gt;$T$706)),0,IF(DATE($C709,2,15)&gt;=$X$706,$AA$706*(1+($U$706)/100)^MAX(0,$C709-$AD$706),IF(DATE($C709,2,15)&gt;=$W$706,$Z$706*(1+($U$706)/100)^MAX(0,$C709-$AC$706),IF(DATE($C709,2,15)&gt;=$V$706,$Y$706*(1+($U$706)/100)^MAX(0,$C709-$AB$706),0)))))</f>
      </c>
      <c r="G709" s="43">
        <f>IF($S$706=0,0,IF(OR(DATE($C709,3,15)&lt;$S$706,AND($T$706&gt;0,DATE($C709,3,15)&gt;$T$706)),0,IF(DATE($C709,3,15)&gt;=$X$706,$AA$706*(1+($U$706)/100)^MAX(0,$C709-$AD$706),IF(DATE($C709,3,15)&gt;=$W$706,$Z$706*(1+($U$706)/100)^MAX(0,$C709-$AC$706),IF(DATE($C709,3,15)&gt;=$V$706,$Y$706*(1+($U$706)/100)^MAX(0,$C709-$AB$706),0)))))</f>
      </c>
      <c r="H709" s="43">
        <f>IF($S$706=0,0,IF(OR(DATE($C709,4,15)&lt;$S$706,AND($T$706&gt;0,DATE($C709,4,15)&gt;$T$706)),0,IF(DATE($C709,4,15)&gt;=$X$706,$AA$706*(1+($U$706)/100)^MAX(0,$C709-$AD$706),IF(DATE($C709,4,15)&gt;=$W$706,$Z$706*(1+($U$706)/100)^MAX(0,$C709-$AC$706),IF(DATE($C709,4,15)&gt;=$V$706,$Y$706*(1+($U$706)/100)^MAX(0,$C709-$AB$706),0)))))</f>
      </c>
      <c r="I709" s="43">
        <f>IF($S$706=0,0,IF(OR(DATE($C709,5,15)&lt;$S$706,AND($T$706&gt;0,DATE($C709,5,15)&gt;$T$706)),0,IF(DATE($C709,5,15)&gt;=$X$706,$AA$706*(1+($U$706)/100)^MAX(0,$C709-$AD$706),IF(DATE($C709,5,15)&gt;=$W$706,$Z$706*(1+($U$706)/100)^MAX(0,$C709-$AC$706),IF(DATE($C709,5,15)&gt;=$V$706,$Y$706*(1+($U$706)/100)^MAX(0,$C709-$AB$706),0)))))</f>
      </c>
      <c r="J709" s="43">
        <f>IF($S$706=0,0,IF(OR(DATE($C709,6,15)&lt;$S$706,AND($T$706&gt;0,DATE($C709,6,15)&gt;$T$706)),0,IF(DATE($C709,6,15)&gt;=$X$706,$AA$706*(1+($U$706)/100)^MAX(0,$C709-$AD$706),IF(DATE($C709,6,15)&gt;=$W$706,$Z$706*(1+($U$706)/100)^MAX(0,$C709-$AC$706),IF(DATE($C709,6,15)&gt;=$V$706,$Y$706*(1+($U$706)/100)^MAX(0,$C709-$AB$706),0)))))</f>
      </c>
      <c r="K709" s="43">
        <f>IF($S$706=0,0,IF(OR(DATE($C709,7,15)&lt;$S$706,AND($T$706&gt;0,DATE($C709,7,15)&gt;$T$706)),0,IF(DATE($C709,7,15)&gt;=$X$706,$AA$706*(1+($U$706)/100)^MAX(0,$C709-$AD$706),IF(DATE($C709,7,15)&gt;=$W$706,$Z$706*(1+($U$706)/100)^MAX(0,$C709-$AC$706),IF(DATE($C709,7,15)&gt;=$V$706,$Y$706*(1+($U$706)/100)^MAX(0,$C709-$AB$706),0)))))</f>
      </c>
      <c r="L709" s="43">
        <f>IF($S$706=0,0,IF(OR(DATE($C709,8,15)&lt;$S$706,AND($T$706&gt;0,DATE($C709,8,15)&gt;$T$706)),0,IF(DATE($C709,8,15)&gt;=$X$706,$AA$706*(1+($U$706)/100)^MAX(0,$C709-$AD$706),IF(DATE($C709,8,15)&gt;=$W$706,$Z$706*(1+($U$706)/100)^MAX(0,$C709-$AC$706),IF(DATE($C709,8,15)&gt;=$V$706,$Y$706*(1+($U$706)/100)^MAX(0,$C709-$AB$706),0)))))</f>
      </c>
      <c r="M709" s="43">
        <f>IF($S$706=0,0,IF(OR(DATE($C709,9,15)&lt;$S$706,AND($T$706&gt;0,DATE($C709,9,15)&gt;$T$706)),0,IF(DATE($C709,9,15)&gt;=$X$706,$AA$706*(1+($U$706)/100)^MAX(0,$C709-$AD$706),IF(DATE($C709,9,15)&gt;=$W$706,$Z$706*(1+($U$706)/100)^MAX(0,$C709-$AC$706),IF(DATE($C709,9,15)&gt;=$V$706,$Y$706*(1+($U$706)/100)^MAX(0,$C709-$AB$706),0)))))</f>
      </c>
      <c r="N709" s="43">
        <f>IF($S$706=0,0,IF(OR(DATE($C709,10,15)&lt;$S$706,AND($T$706&gt;0,DATE($C709,10,15)&gt;$T$706)),0,IF(DATE($C709,10,15)&gt;=$X$706,$AA$706*(1+($U$706)/100)^MAX(0,$C709-$AD$706),IF(DATE($C709,10,15)&gt;=$W$706,$Z$706*(1+($U$706)/100)^MAX(0,$C709-$AC$706),IF(DATE($C709,10,15)&gt;=$V$706,$Y$706*(1+($U$706)/100)^MAX(0,$C709-$AB$706),0)))))</f>
      </c>
      <c r="O709" s="43">
        <f>IF($S$706=0,0,IF(OR(DATE($C709,11,15)&lt;$S$706,AND($T$706&gt;0,DATE($C709,11,15)&gt;$T$706)),0,IF(DATE($C709,11,15)&gt;=$X$706,$AA$706*(1+($U$706)/100)^MAX(0,$C709-$AD$706),IF(DATE($C709,11,15)&gt;=$W$706,$Z$706*(1+($U$706)/100)^MAX(0,$C709-$AC$706),IF(DATE($C709,11,15)&gt;=$V$706,$Y$706*(1+($U$706)/100)^MAX(0,$C709-$AB$706),0)))))</f>
      </c>
      <c r="P709" s="43">
        <f>IF($S$706=0,0,IF(OR(DATE($C709,12,15)&lt;$S$706,AND($T$706&gt;0,DATE($C709,12,15)&gt;$T$706)),0,IF(DATE($C709,12,15)&gt;=$X$706,$AA$706*(1+($U$706)/100)^MAX(0,$C709-$AD$706),IF(DATE($C709,12,15)&gt;=$W$706,$Z$706*(1+($U$706)/100)^MAX(0,$C709-$AC$706),IF(DATE($C709,12,15)&gt;=$V$706,$Y$706*(1+($U$706)/100)^MAX(0,$C709-$AB$706),0)))))</f>
      </c>
      <c r="Q709" s="43">
        <f>SUM($E709:$P709)</f>
      </c>
    </row>
    <row r="710">
      <c r="A710"/>
      <c r="B710">
        <v>23</v>
      </c>
      <c r="C710" s="43">
        <f>Jahr+4</f>
      </c>
      <c r="D710" s="43">
        <f>INDEX(MvObj,23)</f>
      </c>
      <c r="E710" s="43">
        <f>IF($S$706=0,0,IF(OR(DATE($C710,1,15)&lt;$S$706,AND($T$706&gt;0,DATE($C710,1,15)&gt;$T$706)),0,IF(DATE($C710,1,15)&gt;=$X$706,$AA$706*(1+($U$706)/100)^MAX(0,$C710-$AD$706),IF(DATE($C710,1,15)&gt;=$W$706,$Z$706*(1+($U$706)/100)^MAX(0,$C710-$AC$706),IF(DATE($C710,1,15)&gt;=$V$706,$Y$706*(1+($U$706)/100)^MAX(0,$C710-$AB$706),0)))))</f>
      </c>
      <c r="F710" s="43">
        <f>IF($S$706=0,0,IF(OR(DATE($C710,2,15)&lt;$S$706,AND($T$706&gt;0,DATE($C710,2,15)&gt;$T$706)),0,IF(DATE($C710,2,15)&gt;=$X$706,$AA$706*(1+($U$706)/100)^MAX(0,$C710-$AD$706),IF(DATE($C710,2,15)&gt;=$W$706,$Z$706*(1+($U$706)/100)^MAX(0,$C710-$AC$706),IF(DATE($C710,2,15)&gt;=$V$706,$Y$706*(1+($U$706)/100)^MAX(0,$C710-$AB$706),0)))))</f>
      </c>
      <c r="G710" s="43">
        <f>IF($S$706=0,0,IF(OR(DATE($C710,3,15)&lt;$S$706,AND($T$706&gt;0,DATE($C710,3,15)&gt;$T$706)),0,IF(DATE($C710,3,15)&gt;=$X$706,$AA$706*(1+($U$706)/100)^MAX(0,$C710-$AD$706),IF(DATE($C710,3,15)&gt;=$W$706,$Z$706*(1+($U$706)/100)^MAX(0,$C710-$AC$706),IF(DATE($C710,3,15)&gt;=$V$706,$Y$706*(1+($U$706)/100)^MAX(0,$C710-$AB$706),0)))))</f>
      </c>
      <c r="H710" s="43">
        <f>IF($S$706=0,0,IF(OR(DATE($C710,4,15)&lt;$S$706,AND($T$706&gt;0,DATE($C710,4,15)&gt;$T$706)),0,IF(DATE($C710,4,15)&gt;=$X$706,$AA$706*(1+($U$706)/100)^MAX(0,$C710-$AD$706),IF(DATE($C710,4,15)&gt;=$W$706,$Z$706*(1+($U$706)/100)^MAX(0,$C710-$AC$706),IF(DATE($C710,4,15)&gt;=$V$706,$Y$706*(1+($U$706)/100)^MAX(0,$C710-$AB$706),0)))))</f>
      </c>
      <c r="I710" s="43">
        <f>IF($S$706=0,0,IF(OR(DATE($C710,5,15)&lt;$S$706,AND($T$706&gt;0,DATE($C710,5,15)&gt;$T$706)),0,IF(DATE($C710,5,15)&gt;=$X$706,$AA$706*(1+($U$706)/100)^MAX(0,$C710-$AD$706),IF(DATE($C710,5,15)&gt;=$W$706,$Z$706*(1+($U$706)/100)^MAX(0,$C710-$AC$706),IF(DATE($C710,5,15)&gt;=$V$706,$Y$706*(1+($U$706)/100)^MAX(0,$C710-$AB$706),0)))))</f>
      </c>
      <c r="J710" s="43">
        <f>IF($S$706=0,0,IF(OR(DATE($C710,6,15)&lt;$S$706,AND($T$706&gt;0,DATE($C710,6,15)&gt;$T$706)),0,IF(DATE($C710,6,15)&gt;=$X$706,$AA$706*(1+($U$706)/100)^MAX(0,$C710-$AD$706),IF(DATE($C710,6,15)&gt;=$W$706,$Z$706*(1+($U$706)/100)^MAX(0,$C710-$AC$706),IF(DATE($C710,6,15)&gt;=$V$706,$Y$706*(1+($U$706)/100)^MAX(0,$C710-$AB$706),0)))))</f>
      </c>
      <c r="K710" s="43">
        <f>IF($S$706=0,0,IF(OR(DATE($C710,7,15)&lt;$S$706,AND($T$706&gt;0,DATE($C710,7,15)&gt;$T$706)),0,IF(DATE($C710,7,15)&gt;=$X$706,$AA$706*(1+($U$706)/100)^MAX(0,$C710-$AD$706),IF(DATE($C710,7,15)&gt;=$W$706,$Z$706*(1+($U$706)/100)^MAX(0,$C710-$AC$706),IF(DATE($C710,7,15)&gt;=$V$706,$Y$706*(1+($U$706)/100)^MAX(0,$C710-$AB$706),0)))))</f>
      </c>
      <c r="L710" s="43">
        <f>IF($S$706=0,0,IF(OR(DATE($C710,8,15)&lt;$S$706,AND($T$706&gt;0,DATE($C710,8,15)&gt;$T$706)),0,IF(DATE($C710,8,15)&gt;=$X$706,$AA$706*(1+($U$706)/100)^MAX(0,$C710-$AD$706),IF(DATE($C710,8,15)&gt;=$W$706,$Z$706*(1+($U$706)/100)^MAX(0,$C710-$AC$706),IF(DATE($C710,8,15)&gt;=$V$706,$Y$706*(1+($U$706)/100)^MAX(0,$C710-$AB$706),0)))))</f>
      </c>
      <c r="M710" s="43">
        <f>IF($S$706=0,0,IF(OR(DATE($C710,9,15)&lt;$S$706,AND($T$706&gt;0,DATE($C710,9,15)&gt;$T$706)),0,IF(DATE($C710,9,15)&gt;=$X$706,$AA$706*(1+($U$706)/100)^MAX(0,$C710-$AD$706),IF(DATE($C710,9,15)&gt;=$W$706,$Z$706*(1+($U$706)/100)^MAX(0,$C710-$AC$706),IF(DATE($C710,9,15)&gt;=$V$706,$Y$706*(1+($U$706)/100)^MAX(0,$C710-$AB$706),0)))))</f>
      </c>
      <c r="N710" s="43">
        <f>IF($S$706=0,0,IF(OR(DATE($C710,10,15)&lt;$S$706,AND($T$706&gt;0,DATE($C710,10,15)&gt;$T$706)),0,IF(DATE($C710,10,15)&gt;=$X$706,$AA$706*(1+($U$706)/100)^MAX(0,$C710-$AD$706),IF(DATE($C710,10,15)&gt;=$W$706,$Z$706*(1+($U$706)/100)^MAX(0,$C710-$AC$706),IF(DATE($C710,10,15)&gt;=$V$706,$Y$706*(1+($U$706)/100)^MAX(0,$C710-$AB$706),0)))))</f>
      </c>
      <c r="O710" s="43">
        <f>IF($S$706=0,0,IF(OR(DATE($C710,11,15)&lt;$S$706,AND($T$706&gt;0,DATE($C710,11,15)&gt;$T$706)),0,IF(DATE($C710,11,15)&gt;=$X$706,$AA$706*(1+($U$706)/100)^MAX(0,$C710-$AD$706),IF(DATE($C710,11,15)&gt;=$W$706,$Z$706*(1+($U$706)/100)^MAX(0,$C710-$AC$706),IF(DATE($C710,11,15)&gt;=$V$706,$Y$706*(1+($U$706)/100)^MAX(0,$C710-$AB$706),0)))))</f>
      </c>
      <c r="P710" s="43">
        <f>IF($S$706=0,0,IF(OR(DATE($C710,12,15)&lt;$S$706,AND($T$706&gt;0,DATE($C710,12,15)&gt;$T$706)),0,IF(DATE($C710,12,15)&gt;=$X$706,$AA$706*(1+($U$706)/100)^MAX(0,$C710-$AD$706),IF(DATE($C710,12,15)&gt;=$W$706,$Z$706*(1+($U$706)/100)^MAX(0,$C710-$AC$706),IF(DATE($C710,12,15)&gt;=$V$706,$Y$706*(1+($U$706)/100)^MAX(0,$C710-$AB$706),0)))))</f>
      </c>
      <c r="Q710" s="43">
        <f>SUM($E710:$P710)</f>
      </c>
    </row>
    <row r="711">
      <c r="A711"/>
      <c r="B711">
        <v>23</v>
      </c>
      <c r="C711" s="43">
        <f>Jahr+5</f>
      </c>
      <c r="D711" s="43">
        <f>INDEX(MvObj,23)</f>
      </c>
      <c r="E711" s="43">
        <f>IF($S$706=0,0,IF(OR(DATE($C711,1,15)&lt;$S$706,AND($T$706&gt;0,DATE($C711,1,15)&gt;$T$706)),0,IF(DATE($C711,1,15)&gt;=$X$706,$AA$706*(1+($U$706)/100)^MAX(0,$C711-$AD$706),IF(DATE($C711,1,15)&gt;=$W$706,$Z$706*(1+($U$706)/100)^MAX(0,$C711-$AC$706),IF(DATE($C711,1,15)&gt;=$V$706,$Y$706*(1+($U$706)/100)^MAX(0,$C711-$AB$706),0)))))</f>
      </c>
      <c r="F711" s="43">
        <f>IF($S$706=0,0,IF(OR(DATE($C711,2,15)&lt;$S$706,AND($T$706&gt;0,DATE($C711,2,15)&gt;$T$706)),0,IF(DATE($C711,2,15)&gt;=$X$706,$AA$706*(1+($U$706)/100)^MAX(0,$C711-$AD$706),IF(DATE($C711,2,15)&gt;=$W$706,$Z$706*(1+($U$706)/100)^MAX(0,$C711-$AC$706),IF(DATE($C711,2,15)&gt;=$V$706,$Y$706*(1+($U$706)/100)^MAX(0,$C711-$AB$706),0)))))</f>
      </c>
      <c r="G711" s="43">
        <f>IF($S$706=0,0,IF(OR(DATE($C711,3,15)&lt;$S$706,AND($T$706&gt;0,DATE($C711,3,15)&gt;$T$706)),0,IF(DATE($C711,3,15)&gt;=$X$706,$AA$706*(1+($U$706)/100)^MAX(0,$C711-$AD$706),IF(DATE($C711,3,15)&gt;=$W$706,$Z$706*(1+($U$706)/100)^MAX(0,$C711-$AC$706),IF(DATE($C711,3,15)&gt;=$V$706,$Y$706*(1+($U$706)/100)^MAX(0,$C711-$AB$706),0)))))</f>
      </c>
      <c r="H711" s="43">
        <f>IF($S$706=0,0,IF(OR(DATE($C711,4,15)&lt;$S$706,AND($T$706&gt;0,DATE($C711,4,15)&gt;$T$706)),0,IF(DATE($C711,4,15)&gt;=$X$706,$AA$706*(1+($U$706)/100)^MAX(0,$C711-$AD$706),IF(DATE($C711,4,15)&gt;=$W$706,$Z$706*(1+($U$706)/100)^MAX(0,$C711-$AC$706),IF(DATE($C711,4,15)&gt;=$V$706,$Y$706*(1+($U$706)/100)^MAX(0,$C711-$AB$706),0)))))</f>
      </c>
      <c r="I711" s="43">
        <f>IF($S$706=0,0,IF(OR(DATE($C711,5,15)&lt;$S$706,AND($T$706&gt;0,DATE($C711,5,15)&gt;$T$706)),0,IF(DATE($C711,5,15)&gt;=$X$706,$AA$706*(1+($U$706)/100)^MAX(0,$C711-$AD$706),IF(DATE($C711,5,15)&gt;=$W$706,$Z$706*(1+($U$706)/100)^MAX(0,$C711-$AC$706),IF(DATE($C711,5,15)&gt;=$V$706,$Y$706*(1+($U$706)/100)^MAX(0,$C711-$AB$706),0)))))</f>
      </c>
      <c r="J711" s="43">
        <f>IF($S$706=0,0,IF(OR(DATE($C711,6,15)&lt;$S$706,AND($T$706&gt;0,DATE($C711,6,15)&gt;$T$706)),0,IF(DATE($C711,6,15)&gt;=$X$706,$AA$706*(1+($U$706)/100)^MAX(0,$C711-$AD$706),IF(DATE($C711,6,15)&gt;=$W$706,$Z$706*(1+($U$706)/100)^MAX(0,$C711-$AC$706),IF(DATE($C711,6,15)&gt;=$V$706,$Y$706*(1+($U$706)/100)^MAX(0,$C711-$AB$706),0)))))</f>
      </c>
      <c r="K711" s="43">
        <f>IF($S$706=0,0,IF(OR(DATE($C711,7,15)&lt;$S$706,AND($T$706&gt;0,DATE($C711,7,15)&gt;$T$706)),0,IF(DATE($C711,7,15)&gt;=$X$706,$AA$706*(1+($U$706)/100)^MAX(0,$C711-$AD$706),IF(DATE($C711,7,15)&gt;=$W$706,$Z$706*(1+($U$706)/100)^MAX(0,$C711-$AC$706),IF(DATE($C711,7,15)&gt;=$V$706,$Y$706*(1+($U$706)/100)^MAX(0,$C711-$AB$706),0)))))</f>
      </c>
      <c r="L711" s="43">
        <f>IF($S$706=0,0,IF(OR(DATE($C711,8,15)&lt;$S$706,AND($T$706&gt;0,DATE($C711,8,15)&gt;$T$706)),0,IF(DATE($C711,8,15)&gt;=$X$706,$AA$706*(1+($U$706)/100)^MAX(0,$C711-$AD$706),IF(DATE($C711,8,15)&gt;=$W$706,$Z$706*(1+($U$706)/100)^MAX(0,$C711-$AC$706),IF(DATE($C711,8,15)&gt;=$V$706,$Y$706*(1+($U$706)/100)^MAX(0,$C711-$AB$706),0)))))</f>
      </c>
      <c r="M711" s="43">
        <f>IF($S$706=0,0,IF(OR(DATE($C711,9,15)&lt;$S$706,AND($T$706&gt;0,DATE($C711,9,15)&gt;$T$706)),0,IF(DATE($C711,9,15)&gt;=$X$706,$AA$706*(1+($U$706)/100)^MAX(0,$C711-$AD$706),IF(DATE($C711,9,15)&gt;=$W$706,$Z$706*(1+($U$706)/100)^MAX(0,$C711-$AC$706),IF(DATE($C711,9,15)&gt;=$V$706,$Y$706*(1+($U$706)/100)^MAX(0,$C711-$AB$706),0)))))</f>
      </c>
      <c r="N711" s="43">
        <f>IF($S$706=0,0,IF(OR(DATE($C711,10,15)&lt;$S$706,AND($T$706&gt;0,DATE($C711,10,15)&gt;$T$706)),0,IF(DATE($C711,10,15)&gt;=$X$706,$AA$706*(1+($U$706)/100)^MAX(0,$C711-$AD$706),IF(DATE($C711,10,15)&gt;=$W$706,$Z$706*(1+($U$706)/100)^MAX(0,$C711-$AC$706),IF(DATE($C711,10,15)&gt;=$V$706,$Y$706*(1+($U$706)/100)^MAX(0,$C711-$AB$706),0)))))</f>
      </c>
      <c r="O711" s="43">
        <f>IF($S$706=0,0,IF(OR(DATE($C711,11,15)&lt;$S$706,AND($T$706&gt;0,DATE($C711,11,15)&gt;$T$706)),0,IF(DATE($C711,11,15)&gt;=$X$706,$AA$706*(1+($U$706)/100)^MAX(0,$C711-$AD$706),IF(DATE($C711,11,15)&gt;=$W$706,$Z$706*(1+($U$706)/100)^MAX(0,$C711-$AC$706),IF(DATE($C711,11,15)&gt;=$V$706,$Y$706*(1+($U$706)/100)^MAX(0,$C711-$AB$706),0)))))</f>
      </c>
      <c r="P711" s="43">
        <f>IF($S$706=0,0,IF(OR(DATE($C711,12,15)&lt;$S$706,AND($T$706&gt;0,DATE($C711,12,15)&gt;$T$706)),0,IF(DATE($C711,12,15)&gt;=$X$706,$AA$706*(1+($U$706)/100)^MAX(0,$C711-$AD$706),IF(DATE($C711,12,15)&gt;=$W$706,$Z$706*(1+($U$706)/100)^MAX(0,$C711-$AC$706),IF(DATE($C711,12,15)&gt;=$V$706,$Y$706*(1+($U$706)/100)^MAX(0,$C711-$AB$706),0)))))</f>
      </c>
      <c r="Q711" s="43">
        <f>SUM($E711:$P711)</f>
      </c>
    </row>
    <row r="712">
      <c r="A712"/>
      <c r="B712">
        <v>23</v>
      </c>
      <c r="C712" s="43">
        <f>Jahr+6</f>
      </c>
      <c r="D712" s="43">
        <f>INDEX(MvObj,23)</f>
      </c>
      <c r="E712" s="43">
        <f>IF($S$706=0,0,IF(OR(DATE($C712,1,15)&lt;$S$706,AND($T$706&gt;0,DATE($C712,1,15)&gt;$T$706)),0,IF(DATE($C712,1,15)&gt;=$X$706,$AA$706*(1+($U$706)/100)^MAX(0,$C712-$AD$706),IF(DATE($C712,1,15)&gt;=$W$706,$Z$706*(1+($U$706)/100)^MAX(0,$C712-$AC$706),IF(DATE($C712,1,15)&gt;=$V$706,$Y$706*(1+($U$706)/100)^MAX(0,$C712-$AB$706),0)))))</f>
      </c>
      <c r="F712" s="43">
        <f>IF($S$706=0,0,IF(OR(DATE($C712,2,15)&lt;$S$706,AND($T$706&gt;0,DATE($C712,2,15)&gt;$T$706)),0,IF(DATE($C712,2,15)&gt;=$X$706,$AA$706*(1+($U$706)/100)^MAX(0,$C712-$AD$706),IF(DATE($C712,2,15)&gt;=$W$706,$Z$706*(1+($U$706)/100)^MAX(0,$C712-$AC$706),IF(DATE($C712,2,15)&gt;=$V$706,$Y$706*(1+($U$706)/100)^MAX(0,$C712-$AB$706),0)))))</f>
      </c>
      <c r="G712" s="43">
        <f>IF($S$706=0,0,IF(OR(DATE($C712,3,15)&lt;$S$706,AND($T$706&gt;0,DATE($C712,3,15)&gt;$T$706)),0,IF(DATE($C712,3,15)&gt;=$X$706,$AA$706*(1+($U$706)/100)^MAX(0,$C712-$AD$706),IF(DATE($C712,3,15)&gt;=$W$706,$Z$706*(1+($U$706)/100)^MAX(0,$C712-$AC$706),IF(DATE($C712,3,15)&gt;=$V$706,$Y$706*(1+($U$706)/100)^MAX(0,$C712-$AB$706),0)))))</f>
      </c>
      <c r="H712" s="43">
        <f>IF($S$706=0,0,IF(OR(DATE($C712,4,15)&lt;$S$706,AND($T$706&gt;0,DATE($C712,4,15)&gt;$T$706)),0,IF(DATE($C712,4,15)&gt;=$X$706,$AA$706*(1+($U$706)/100)^MAX(0,$C712-$AD$706),IF(DATE($C712,4,15)&gt;=$W$706,$Z$706*(1+($U$706)/100)^MAX(0,$C712-$AC$706),IF(DATE($C712,4,15)&gt;=$V$706,$Y$706*(1+($U$706)/100)^MAX(0,$C712-$AB$706),0)))))</f>
      </c>
      <c r="I712" s="43">
        <f>IF($S$706=0,0,IF(OR(DATE($C712,5,15)&lt;$S$706,AND($T$706&gt;0,DATE($C712,5,15)&gt;$T$706)),0,IF(DATE($C712,5,15)&gt;=$X$706,$AA$706*(1+($U$706)/100)^MAX(0,$C712-$AD$706),IF(DATE($C712,5,15)&gt;=$W$706,$Z$706*(1+($U$706)/100)^MAX(0,$C712-$AC$706),IF(DATE($C712,5,15)&gt;=$V$706,$Y$706*(1+($U$706)/100)^MAX(0,$C712-$AB$706),0)))))</f>
      </c>
      <c r="J712" s="43">
        <f>IF($S$706=0,0,IF(OR(DATE($C712,6,15)&lt;$S$706,AND($T$706&gt;0,DATE($C712,6,15)&gt;$T$706)),0,IF(DATE($C712,6,15)&gt;=$X$706,$AA$706*(1+($U$706)/100)^MAX(0,$C712-$AD$706),IF(DATE($C712,6,15)&gt;=$W$706,$Z$706*(1+($U$706)/100)^MAX(0,$C712-$AC$706),IF(DATE($C712,6,15)&gt;=$V$706,$Y$706*(1+($U$706)/100)^MAX(0,$C712-$AB$706),0)))))</f>
      </c>
      <c r="K712" s="43">
        <f>IF($S$706=0,0,IF(OR(DATE($C712,7,15)&lt;$S$706,AND($T$706&gt;0,DATE($C712,7,15)&gt;$T$706)),0,IF(DATE($C712,7,15)&gt;=$X$706,$AA$706*(1+($U$706)/100)^MAX(0,$C712-$AD$706),IF(DATE($C712,7,15)&gt;=$W$706,$Z$706*(1+($U$706)/100)^MAX(0,$C712-$AC$706),IF(DATE($C712,7,15)&gt;=$V$706,$Y$706*(1+($U$706)/100)^MAX(0,$C712-$AB$706),0)))))</f>
      </c>
      <c r="L712" s="43">
        <f>IF($S$706=0,0,IF(OR(DATE($C712,8,15)&lt;$S$706,AND($T$706&gt;0,DATE($C712,8,15)&gt;$T$706)),0,IF(DATE($C712,8,15)&gt;=$X$706,$AA$706*(1+($U$706)/100)^MAX(0,$C712-$AD$706),IF(DATE($C712,8,15)&gt;=$W$706,$Z$706*(1+($U$706)/100)^MAX(0,$C712-$AC$706),IF(DATE($C712,8,15)&gt;=$V$706,$Y$706*(1+($U$706)/100)^MAX(0,$C712-$AB$706),0)))))</f>
      </c>
      <c r="M712" s="43">
        <f>IF($S$706=0,0,IF(OR(DATE($C712,9,15)&lt;$S$706,AND($T$706&gt;0,DATE($C712,9,15)&gt;$T$706)),0,IF(DATE($C712,9,15)&gt;=$X$706,$AA$706*(1+($U$706)/100)^MAX(0,$C712-$AD$706),IF(DATE($C712,9,15)&gt;=$W$706,$Z$706*(1+($U$706)/100)^MAX(0,$C712-$AC$706),IF(DATE($C712,9,15)&gt;=$V$706,$Y$706*(1+($U$706)/100)^MAX(0,$C712-$AB$706),0)))))</f>
      </c>
      <c r="N712" s="43">
        <f>IF($S$706=0,0,IF(OR(DATE($C712,10,15)&lt;$S$706,AND($T$706&gt;0,DATE($C712,10,15)&gt;$T$706)),0,IF(DATE($C712,10,15)&gt;=$X$706,$AA$706*(1+($U$706)/100)^MAX(0,$C712-$AD$706),IF(DATE($C712,10,15)&gt;=$W$706,$Z$706*(1+($U$706)/100)^MAX(0,$C712-$AC$706),IF(DATE($C712,10,15)&gt;=$V$706,$Y$706*(1+($U$706)/100)^MAX(0,$C712-$AB$706),0)))))</f>
      </c>
      <c r="O712" s="43">
        <f>IF($S$706=0,0,IF(OR(DATE($C712,11,15)&lt;$S$706,AND($T$706&gt;0,DATE($C712,11,15)&gt;$T$706)),0,IF(DATE($C712,11,15)&gt;=$X$706,$AA$706*(1+($U$706)/100)^MAX(0,$C712-$AD$706),IF(DATE($C712,11,15)&gt;=$W$706,$Z$706*(1+($U$706)/100)^MAX(0,$C712-$AC$706),IF(DATE($C712,11,15)&gt;=$V$706,$Y$706*(1+($U$706)/100)^MAX(0,$C712-$AB$706),0)))))</f>
      </c>
      <c r="P712" s="43">
        <f>IF($S$706=0,0,IF(OR(DATE($C712,12,15)&lt;$S$706,AND($T$706&gt;0,DATE($C712,12,15)&gt;$T$706)),0,IF(DATE($C712,12,15)&gt;=$X$706,$AA$706*(1+($U$706)/100)^MAX(0,$C712-$AD$706),IF(DATE($C712,12,15)&gt;=$W$706,$Z$706*(1+($U$706)/100)^MAX(0,$C712-$AC$706),IF(DATE($C712,12,15)&gt;=$V$706,$Y$706*(1+($U$706)/100)^MAX(0,$C712-$AB$706),0)))))</f>
      </c>
      <c r="Q712" s="43">
        <f>SUM($E712:$P712)</f>
      </c>
    </row>
    <row r="713">
      <c r="A713"/>
      <c r="B713">
        <v>23</v>
      </c>
      <c r="C713" s="43">
        <f>Jahr+7</f>
      </c>
      <c r="D713" s="43">
        <f>INDEX(MvObj,23)</f>
      </c>
      <c r="E713" s="43">
        <f>IF($S$706=0,0,IF(OR(DATE($C713,1,15)&lt;$S$706,AND($T$706&gt;0,DATE($C713,1,15)&gt;$T$706)),0,IF(DATE($C713,1,15)&gt;=$X$706,$AA$706*(1+($U$706)/100)^MAX(0,$C713-$AD$706),IF(DATE($C713,1,15)&gt;=$W$706,$Z$706*(1+($U$706)/100)^MAX(0,$C713-$AC$706),IF(DATE($C713,1,15)&gt;=$V$706,$Y$706*(1+($U$706)/100)^MAX(0,$C713-$AB$706),0)))))</f>
      </c>
      <c r="F713" s="43">
        <f>IF($S$706=0,0,IF(OR(DATE($C713,2,15)&lt;$S$706,AND($T$706&gt;0,DATE($C713,2,15)&gt;$T$706)),0,IF(DATE($C713,2,15)&gt;=$X$706,$AA$706*(1+($U$706)/100)^MAX(0,$C713-$AD$706),IF(DATE($C713,2,15)&gt;=$W$706,$Z$706*(1+($U$706)/100)^MAX(0,$C713-$AC$706),IF(DATE($C713,2,15)&gt;=$V$706,$Y$706*(1+($U$706)/100)^MAX(0,$C713-$AB$706),0)))))</f>
      </c>
      <c r="G713" s="43">
        <f>IF($S$706=0,0,IF(OR(DATE($C713,3,15)&lt;$S$706,AND($T$706&gt;0,DATE($C713,3,15)&gt;$T$706)),0,IF(DATE($C713,3,15)&gt;=$X$706,$AA$706*(1+($U$706)/100)^MAX(0,$C713-$AD$706),IF(DATE($C713,3,15)&gt;=$W$706,$Z$706*(1+($U$706)/100)^MAX(0,$C713-$AC$706),IF(DATE($C713,3,15)&gt;=$V$706,$Y$706*(1+($U$706)/100)^MAX(0,$C713-$AB$706),0)))))</f>
      </c>
      <c r="H713" s="43">
        <f>IF($S$706=0,0,IF(OR(DATE($C713,4,15)&lt;$S$706,AND($T$706&gt;0,DATE($C713,4,15)&gt;$T$706)),0,IF(DATE($C713,4,15)&gt;=$X$706,$AA$706*(1+($U$706)/100)^MAX(0,$C713-$AD$706),IF(DATE($C713,4,15)&gt;=$W$706,$Z$706*(1+($U$706)/100)^MAX(0,$C713-$AC$706),IF(DATE($C713,4,15)&gt;=$V$706,$Y$706*(1+($U$706)/100)^MAX(0,$C713-$AB$706),0)))))</f>
      </c>
      <c r="I713" s="43">
        <f>IF($S$706=0,0,IF(OR(DATE($C713,5,15)&lt;$S$706,AND($T$706&gt;0,DATE($C713,5,15)&gt;$T$706)),0,IF(DATE($C713,5,15)&gt;=$X$706,$AA$706*(1+($U$706)/100)^MAX(0,$C713-$AD$706),IF(DATE($C713,5,15)&gt;=$W$706,$Z$706*(1+($U$706)/100)^MAX(0,$C713-$AC$706),IF(DATE($C713,5,15)&gt;=$V$706,$Y$706*(1+($U$706)/100)^MAX(0,$C713-$AB$706),0)))))</f>
      </c>
      <c r="J713" s="43">
        <f>IF($S$706=0,0,IF(OR(DATE($C713,6,15)&lt;$S$706,AND($T$706&gt;0,DATE($C713,6,15)&gt;$T$706)),0,IF(DATE($C713,6,15)&gt;=$X$706,$AA$706*(1+($U$706)/100)^MAX(0,$C713-$AD$706),IF(DATE($C713,6,15)&gt;=$W$706,$Z$706*(1+($U$706)/100)^MAX(0,$C713-$AC$706),IF(DATE($C713,6,15)&gt;=$V$706,$Y$706*(1+($U$706)/100)^MAX(0,$C713-$AB$706),0)))))</f>
      </c>
      <c r="K713" s="43">
        <f>IF($S$706=0,0,IF(OR(DATE($C713,7,15)&lt;$S$706,AND($T$706&gt;0,DATE($C713,7,15)&gt;$T$706)),0,IF(DATE($C713,7,15)&gt;=$X$706,$AA$706*(1+($U$706)/100)^MAX(0,$C713-$AD$706),IF(DATE($C713,7,15)&gt;=$W$706,$Z$706*(1+($U$706)/100)^MAX(0,$C713-$AC$706),IF(DATE($C713,7,15)&gt;=$V$706,$Y$706*(1+($U$706)/100)^MAX(0,$C713-$AB$706),0)))))</f>
      </c>
      <c r="L713" s="43">
        <f>IF($S$706=0,0,IF(OR(DATE($C713,8,15)&lt;$S$706,AND($T$706&gt;0,DATE($C713,8,15)&gt;$T$706)),0,IF(DATE($C713,8,15)&gt;=$X$706,$AA$706*(1+($U$706)/100)^MAX(0,$C713-$AD$706),IF(DATE($C713,8,15)&gt;=$W$706,$Z$706*(1+($U$706)/100)^MAX(0,$C713-$AC$706),IF(DATE($C713,8,15)&gt;=$V$706,$Y$706*(1+($U$706)/100)^MAX(0,$C713-$AB$706),0)))))</f>
      </c>
      <c r="M713" s="43">
        <f>IF($S$706=0,0,IF(OR(DATE($C713,9,15)&lt;$S$706,AND($T$706&gt;0,DATE($C713,9,15)&gt;$T$706)),0,IF(DATE($C713,9,15)&gt;=$X$706,$AA$706*(1+($U$706)/100)^MAX(0,$C713-$AD$706),IF(DATE($C713,9,15)&gt;=$W$706,$Z$706*(1+($U$706)/100)^MAX(0,$C713-$AC$706),IF(DATE($C713,9,15)&gt;=$V$706,$Y$706*(1+($U$706)/100)^MAX(0,$C713-$AB$706),0)))))</f>
      </c>
      <c r="N713" s="43">
        <f>IF($S$706=0,0,IF(OR(DATE($C713,10,15)&lt;$S$706,AND($T$706&gt;0,DATE($C713,10,15)&gt;$T$706)),0,IF(DATE($C713,10,15)&gt;=$X$706,$AA$706*(1+($U$706)/100)^MAX(0,$C713-$AD$706),IF(DATE($C713,10,15)&gt;=$W$706,$Z$706*(1+($U$706)/100)^MAX(0,$C713-$AC$706),IF(DATE($C713,10,15)&gt;=$V$706,$Y$706*(1+($U$706)/100)^MAX(0,$C713-$AB$706),0)))))</f>
      </c>
      <c r="O713" s="43">
        <f>IF($S$706=0,0,IF(OR(DATE($C713,11,15)&lt;$S$706,AND($T$706&gt;0,DATE($C713,11,15)&gt;$T$706)),0,IF(DATE($C713,11,15)&gt;=$X$706,$AA$706*(1+($U$706)/100)^MAX(0,$C713-$AD$706),IF(DATE($C713,11,15)&gt;=$W$706,$Z$706*(1+($U$706)/100)^MAX(0,$C713-$AC$706),IF(DATE($C713,11,15)&gt;=$V$706,$Y$706*(1+($U$706)/100)^MAX(0,$C713-$AB$706),0)))))</f>
      </c>
      <c r="P713" s="43">
        <f>IF($S$706=0,0,IF(OR(DATE($C713,12,15)&lt;$S$706,AND($T$706&gt;0,DATE($C713,12,15)&gt;$T$706)),0,IF(DATE($C713,12,15)&gt;=$X$706,$AA$706*(1+($U$706)/100)^MAX(0,$C713-$AD$706),IF(DATE($C713,12,15)&gt;=$W$706,$Z$706*(1+($U$706)/100)^MAX(0,$C713-$AC$706),IF(DATE($C713,12,15)&gt;=$V$706,$Y$706*(1+($U$706)/100)^MAX(0,$C713-$AB$706),0)))))</f>
      </c>
      <c r="Q713" s="43">
        <f>SUM($E713:$P713)</f>
      </c>
    </row>
    <row r="714">
      <c r="A714"/>
      <c r="B714">
        <v>23</v>
      </c>
      <c r="C714" s="43">
        <f>Jahr+8</f>
      </c>
      <c r="D714" s="43">
        <f>INDEX(MvObj,23)</f>
      </c>
      <c r="E714" s="43">
        <f>IF($S$706=0,0,IF(OR(DATE($C714,1,15)&lt;$S$706,AND($T$706&gt;0,DATE($C714,1,15)&gt;$T$706)),0,IF(DATE($C714,1,15)&gt;=$X$706,$AA$706*(1+($U$706)/100)^MAX(0,$C714-$AD$706),IF(DATE($C714,1,15)&gt;=$W$706,$Z$706*(1+($U$706)/100)^MAX(0,$C714-$AC$706),IF(DATE($C714,1,15)&gt;=$V$706,$Y$706*(1+($U$706)/100)^MAX(0,$C714-$AB$706),0)))))</f>
      </c>
      <c r="F714" s="43">
        <f>IF($S$706=0,0,IF(OR(DATE($C714,2,15)&lt;$S$706,AND($T$706&gt;0,DATE($C714,2,15)&gt;$T$706)),0,IF(DATE($C714,2,15)&gt;=$X$706,$AA$706*(1+($U$706)/100)^MAX(0,$C714-$AD$706),IF(DATE($C714,2,15)&gt;=$W$706,$Z$706*(1+($U$706)/100)^MAX(0,$C714-$AC$706),IF(DATE($C714,2,15)&gt;=$V$706,$Y$706*(1+($U$706)/100)^MAX(0,$C714-$AB$706),0)))))</f>
      </c>
      <c r="G714" s="43">
        <f>IF($S$706=0,0,IF(OR(DATE($C714,3,15)&lt;$S$706,AND($T$706&gt;0,DATE($C714,3,15)&gt;$T$706)),0,IF(DATE($C714,3,15)&gt;=$X$706,$AA$706*(1+($U$706)/100)^MAX(0,$C714-$AD$706),IF(DATE($C714,3,15)&gt;=$W$706,$Z$706*(1+($U$706)/100)^MAX(0,$C714-$AC$706),IF(DATE($C714,3,15)&gt;=$V$706,$Y$706*(1+($U$706)/100)^MAX(0,$C714-$AB$706),0)))))</f>
      </c>
      <c r="H714" s="43">
        <f>IF($S$706=0,0,IF(OR(DATE($C714,4,15)&lt;$S$706,AND($T$706&gt;0,DATE($C714,4,15)&gt;$T$706)),0,IF(DATE($C714,4,15)&gt;=$X$706,$AA$706*(1+($U$706)/100)^MAX(0,$C714-$AD$706),IF(DATE($C714,4,15)&gt;=$W$706,$Z$706*(1+($U$706)/100)^MAX(0,$C714-$AC$706),IF(DATE($C714,4,15)&gt;=$V$706,$Y$706*(1+($U$706)/100)^MAX(0,$C714-$AB$706),0)))))</f>
      </c>
      <c r="I714" s="43">
        <f>IF($S$706=0,0,IF(OR(DATE($C714,5,15)&lt;$S$706,AND($T$706&gt;0,DATE($C714,5,15)&gt;$T$706)),0,IF(DATE($C714,5,15)&gt;=$X$706,$AA$706*(1+($U$706)/100)^MAX(0,$C714-$AD$706),IF(DATE($C714,5,15)&gt;=$W$706,$Z$706*(1+($U$706)/100)^MAX(0,$C714-$AC$706),IF(DATE($C714,5,15)&gt;=$V$706,$Y$706*(1+($U$706)/100)^MAX(0,$C714-$AB$706),0)))))</f>
      </c>
      <c r="J714" s="43">
        <f>IF($S$706=0,0,IF(OR(DATE($C714,6,15)&lt;$S$706,AND($T$706&gt;0,DATE($C714,6,15)&gt;$T$706)),0,IF(DATE($C714,6,15)&gt;=$X$706,$AA$706*(1+($U$706)/100)^MAX(0,$C714-$AD$706),IF(DATE($C714,6,15)&gt;=$W$706,$Z$706*(1+($U$706)/100)^MAX(0,$C714-$AC$706),IF(DATE($C714,6,15)&gt;=$V$706,$Y$706*(1+($U$706)/100)^MAX(0,$C714-$AB$706),0)))))</f>
      </c>
      <c r="K714" s="43">
        <f>IF($S$706=0,0,IF(OR(DATE($C714,7,15)&lt;$S$706,AND($T$706&gt;0,DATE($C714,7,15)&gt;$T$706)),0,IF(DATE($C714,7,15)&gt;=$X$706,$AA$706*(1+($U$706)/100)^MAX(0,$C714-$AD$706),IF(DATE($C714,7,15)&gt;=$W$706,$Z$706*(1+($U$706)/100)^MAX(0,$C714-$AC$706),IF(DATE($C714,7,15)&gt;=$V$706,$Y$706*(1+($U$706)/100)^MAX(0,$C714-$AB$706),0)))))</f>
      </c>
      <c r="L714" s="43">
        <f>IF($S$706=0,0,IF(OR(DATE($C714,8,15)&lt;$S$706,AND($T$706&gt;0,DATE($C714,8,15)&gt;$T$706)),0,IF(DATE($C714,8,15)&gt;=$X$706,$AA$706*(1+($U$706)/100)^MAX(0,$C714-$AD$706),IF(DATE($C714,8,15)&gt;=$W$706,$Z$706*(1+($U$706)/100)^MAX(0,$C714-$AC$706),IF(DATE($C714,8,15)&gt;=$V$706,$Y$706*(1+($U$706)/100)^MAX(0,$C714-$AB$706),0)))))</f>
      </c>
      <c r="M714" s="43">
        <f>IF($S$706=0,0,IF(OR(DATE($C714,9,15)&lt;$S$706,AND($T$706&gt;0,DATE($C714,9,15)&gt;$T$706)),0,IF(DATE($C714,9,15)&gt;=$X$706,$AA$706*(1+($U$706)/100)^MAX(0,$C714-$AD$706),IF(DATE($C714,9,15)&gt;=$W$706,$Z$706*(1+($U$706)/100)^MAX(0,$C714-$AC$706),IF(DATE($C714,9,15)&gt;=$V$706,$Y$706*(1+($U$706)/100)^MAX(0,$C714-$AB$706),0)))))</f>
      </c>
      <c r="N714" s="43">
        <f>IF($S$706=0,0,IF(OR(DATE($C714,10,15)&lt;$S$706,AND($T$706&gt;0,DATE($C714,10,15)&gt;$T$706)),0,IF(DATE($C714,10,15)&gt;=$X$706,$AA$706*(1+($U$706)/100)^MAX(0,$C714-$AD$706),IF(DATE($C714,10,15)&gt;=$W$706,$Z$706*(1+($U$706)/100)^MAX(0,$C714-$AC$706),IF(DATE($C714,10,15)&gt;=$V$706,$Y$706*(1+($U$706)/100)^MAX(0,$C714-$AB$706),0)))))</f>
      </c>
      <c r="O714" s="43">
        <f>IF($S$706=0,0,IF(OR(DATE($C714,11,15)&lt;$S$706,AND($T$706&gt;0,DATE($C714,11,15)&gt;$T$706)),0,IF(DATE($C714,11,15)&gt;=$X$706,$AA$706*(1+($U$706)/100)^MAX(0,$C714-$AD$706),IF(DATE($C714,11,15)&gt;=$W$706,$Z$706*(1+($U$706)/100)^MAX(0,$C714-$AC$706),IF(DATE($C714,11,15)&gt;=$V$706,$Y$706*(1+($U$706)/100)^MAX(0,$C714-$AB$706),0)))))</f>
      </c>
      <c r="P714" s="43">
        <f>IF($S$706=0,0,IF(OR(DATE($C714,12,15)&lt;$S$706,AND($T$706&gt;0,DATE($C714,12,15)&gt;$T$706)),0,IF(DATE($C714,12,15)&gt;=$X$706,$AA$706*(1+($U$706)/100)^MAX(0,$C714-$AD$706),IF(DATE($C714,12,15)&gt;=$W$706,$Z$706*(1+($U$706)/100)^MAX(0,$C714-$AC$706),IF(DATE($C714,12,15)&gt;=$V$706,$Y$706*(1+($U$706)/100)^MAX(0,$C714-$AB$706),0)))))</f>
      </c>
      <c r="Q714" s="43">
        <f>SUM($E714:$P714)</f>
      </c>
    </row>
    <row r="715">
      <c r="A715"/>
      <c r="B715">
        <v>23</v>
      </c>
      <c r="C715" s="43">
        <f>Jahr+9</f>
      </c>
      <c r="D715" s="43">
        <f>INDEX(MvObj,23)</f>
      </c>
      <c r="E715" s="43">
        <f>IF($S$706=0,0,IF(OR(DATE($C715,1,15)&lt;$S$706,AND($T$706&gt;0,DATE($C715,1,15)&gt;$T$706)),0,IF(DATE($C715,1,15)&gt;=$X$706,$AA$706*(1+($U$706)/100)^MAX(0,$C715-$AD$706),IF(DATE($C715,1,15)&gt;=$W$706,$Z$706*(1+($U$706)/100)^MAX(0,$C715-$AC$706),IF(DATE($C715,1,15)&gt;=$V$706,$Y$706*(1+($U$706)/100)^MAX(0,$C715-$AB$706),0)))))</f>
      </c>
      <c r="F715" s="43">
        <f>IF($S$706=0,0,IF(OR(DATE($C715,2,15)&lt;$S$706,AND($T$706&gt;0,DATE($C715,2,15)&gt;$T$706)),0,IF(DATE($C715,2,15)&gt;=$X$706,$AA$706*(1+($U$706)/100)^MAX(0,$C715-$AD$706),IF(DATE($C715,2,15)&gt;=$W$706,$Z$706*(1+($U$706)/100)^MAX(0,$C715-$AC$706),IF(DATE($C715,2,15)&gt;=$V$706,$Y$706*(1+($U$706)/100)^MAX(0,$C715-$AB$706),0)))))</f>
      </c>
      <c r="G715" s="43">
        <f>IF($S$706=0,0,IF(OR(DATE($C715,3,15)&lt;$S$706,AND($T$706&gt;0,DATE($C715,3,15)&gt;$T$706)),0,IF(DATE($C715,3,15)&gt;=$X$706,$AA$706*(1+($U$706)/100)^MAX(0,$C715-$AD$706),IF(DATE($C715,3,15)&gt;=$W$706,$Z$706*(1+($U$706)/100)^MAX(0,$C715-$AC$706),IF(DATE($C715,3,15)&gt;=$V$706,$Y$706*(1+($U$706)/100)^MAX(0,$C715-$AB$706),0)))))</f>
      </c>
      <c r="H715" s="43">
        <f>IF($S$706=0,0,IF(OR(DATE($C715,4,15)&lt;$S$706,AND($T$706&gt;0,DATE($C715,4,15)&gt;$T$706)),0,IF(DATE($C715,4,15)&gt;=$X$706,$AA$706*(1+($U$706)/100)^MAX(0,$C715-$AD$706),IF(DATE($C715,4,15)&gt;=$W$706,$Z$706*(1+($U$706)/100)^MAX(0,$C715-$AC$706),IF(DATE($C715,4,15)&gt;=$V$706,$Y$706*(1+($U$706)/100)^MAX(0,$C715-$AB$706),0)))))</f>
      </c>
      <c r="I715" s="43">
        <f>IF($S$706=0,0,IF(OR(DATE($C715,5,15)&lt;$S$706,AND($T$706&gt;0,DATE($C715,5,15)&gt;$T$706)),0,IF(DATE($C715,5,15)&gt;=$X$706,$AA$706*(1+($U$706)/100)^MAX(0,$C715-$AD$706),IF(DATE($C715,5,15)&gt;=$W$706,$Z$706*(1+($U$706)/100)^MAX(0,$C715-$AC$706),IF(DATE($C715,5,15)&gt;=$V$706,$Y$706*(1+($U$706)/100)^MAX(0,$C715-$AB$706),0)))))</f>
      </c>
      <c r="J715" s="43">
        <f>IF($S$706=0,0,IF(OR(DATE($C715,6,15)&lt;$S$706,AND($T$706&gt;0,DATE($C715,6,15)&gt;$T$706)),0,IF(DATE($C715,6,15)&gt;=$X$706,$AA$706*(1+($U$706)/100)^MAX(0,$C715-$AD$706),IF(DATE($C715,6,15)&gt;=$W$706,$Z$706*(1+($U$706)/100)^MAX(0,$C715-$AC$706),IF(DATE($C715,6,15)&gt;=$V$706,$Y$706*(1+($U$706)/100)^MAX(0,$C715-$AB$706),0)))))</f>
      </c>
      <c r="K715" s="43">
        <f>IF($S$706=0,0,IF(OR(DATE($C715,7,15)&lt;$S$706,AND($T$706&gt;0,DATE($C715,7,15)&gt;$T$706)),0,IF(DATE($C715,7,15)&gt;=$X$706,$AA$706*(1+($U$706)/100)^MAX(0,$C715-$AD$706),IF(DATE($C715,7,15)&gt;=$W$706,$Z$706*(1+($U$706)/100)^MAX(0,$C715-$AC$706),IF(DATE($C715,7,15)&gt;=$V$706,$Y$706*(1+($U$706)/100)^MAX(0,$C715-$AB$706),0)))))</f>
      </c>
      <c r="L715" s="43">
        <f>IF($S$706=0,0,IF(OR(DATE($C715,8,15)&lt;$S$706,AND($T$706&gt;0,DATE($C715,8,15)&gt;$T$706)),0,IF(DATE($C715,8,15)&gt;=$X$706,$AA$706*(1+($U$706)/100)^MAX(0,$C715-$AD$706),IF(DATE($C715,8,15)&gt;=$W$706,$Z$706*(1+($U$706)/100)^MAX(0,$C715-$AC$706),IF(DATE($C715,8,15)&gt;=$V$706,$Y$706*(1+($U$706)/100)^MAX(0,$C715-$AB$706),0)))))</f>
      </c>
      <c r="M715" s="43">
        <f>IF($S$706=0,0,IF(OR(DATE($C715,9,15)&lt;$S$706,AND($T$706&gt;0,DATE($C715,9,15)&gt;$T$706)),0,IF(DATE($C715,9,15)&gt;=$X$706,$AA$706*(1+($U$706)/100)^MAX(0,$C715-$AD$706),IF(DATE($C715,9,15)&gt;=$W$706,$Z$706*(1+($U$706)/100)^MAX(0,$C715-$AC$706),IF(DATE($C715,9,15)&gt;=$V$706,$Y$706*(1+($U$706)/100)^MAX(0,$C715-$AB$706),0)))))</f>
      </c>
      <c r="N715" s="43">
        <f>IF($S$706=0,0,IF(OR(DATE($C715,10,15)&lt;$S$706,AND($T$706&gt;0,DATE($C715,10,15)&gt;$T$706)),0,IF(DATE($C715,10,15)&gt;=$X$706,$AA$706*(1+($U$706)/100)^MAX(0,$C715-$AD$706),IF(DATE($C715,10,15)&gt;=$W$706,$Z$706*(1+($U$706)/100)^MAX(0,$C715-$AC$706),IF(DATE($C715,10,15)&gt;=$V$706,$Y$706*(1+($U$706)/100)^MAX(0,$C715-$AB$706),0)))))</f>
      </c>
      <c r="O715" s="43">
        <f>IF($S$706=0,0,IF(OR(DATE($C715,11,15)&lt;$S$706,AND($T$706&gt;0,DATE($C715,11,15)&gt;$T$706)),0,IF(DATE($C715,11,15)&gt;=$X$706,$AA$706*(1+($U$706)/100)^MAX(0,$C715-$AD$706),IF(DATE($C715,11,15)&gt;=$W$706,$Z$706*(1+($U$706)/100)^MAX(0,$C715-$AC$706),IF(DATE($C715,11,15)&gt;=$V$706,$Y$706*(1+($U$706)/100)^MAX(0,$C715-$AB$706),0)))))</f>
      </c>
      <c r="P715" s="43">
        <f>IF($S$706=0,0,IF(OR(DATE($C715,12,15)&lt;$S$706,AND($T$706&gt;0,DATE($C715,12,15)&gt;$T$706)),0,IF(DATE($C715,12,15)&gt;=$X$706,$AA$706*(1+($U$706)/100)^MAX(0,$C715-$AD$706),IF(DATE($C715,12,15)&gt;=$W$706,$Z$706*(1+($U$706)/100)^MAX(0,$C715-$AC$706),IF(DATE($C715,12,15)&gt;=$V$706,$Y$706*(1+($U$706)/100)^MAX(0,$C715-$AB$706),0)))))</f>
      </c>
      <c r="Q715" s="43">
        <f>SUM($E715:$P715)</f>
      </c>
    </row>
    <row r="716">
      <c r="A716"/>
      <c r="B716">
        <v>23</v>
      </c>
      <c r="C716" s="43">
        <f>Jahr+10</f>
      </c>
      <c r="D716" s="43">
        <f>INDEX(MvObj,23)</f>
      </c>
      <c r="E716" s="43">
        <f>IF($S$706=0,0,IF(OR(DATE($C716,1,15)&lt;$S$706,AND($T$706&gt;0,DATE($C716,1,15)&gt;$T$706)),0,IF(DATE($C716,1,15)&gt;=$X$706,$AA$706*(1+($U$706)/100)^MAX(0,$C716-$AD$706),IF(DATE($C716,1,15)&gt;=$W$706,$Z$706*(1+($U$706)/100)^MAX(0,$C716-$AC$706),IF(DATE($C716,1,15)&gt;=$V$706,$Y$706*(1+($U$706)/100)^MAX(0,$C716-$AB$706),0)))))</f>
      </c>
      <c r="F716" s="43">
        <f>IF($S$706=0,0,IF(OR(DATE($C716,2,15)&lt;$S$706,AND($T$706&gt;0,DATE($C716,2,15)&gt;$T$706)),0,IF(DATE($C716,2,15)&gt;=$X$706,$AA$706*(1+($U$706)/100)^MAX(0,$C716-$AD$706),IF(DATE($C716,2,15)&gt;=$W$706,$Z$706*(1+($U$706)/100)^MAX(0,$C716-$AC$706),IF(DATE($C716,2,15)&gt;=$V$706,$Y$706*(1+($U$706)/100)^MAX(0,$C716-$AB$706),0)))))</f>
      </c>
      <c r="G716" s="43">
        <f>IF($S$706=0,0,IF(OR(DATE($C716,3,15)&lt;$S$706,AND($T$706&gt;0,DATE($C716,3,15)&gt;$T$706)),0,IF(DATE($C716,3,15)&gt;=$X$706,$AA$706*(1+($U$706)/100)^MAX(0,$C716-$AD$706),IF(DATE($C716,3,15)&gt;=$W$706,$Z$706*(1+($U$706)/100)^MAX(0,$C716-$AC$706),IF(DATE($C716,3,15)&gt;=$V$706,$Y$706*(1+($U$706)/100)^MAX(0,$C716-$AB$706),0)))))</f>
      </c>
      <c r="H716" s="43">
        <f>IF($S$706=0,0,IF(OR(DATE($C716,4,15)&lt;$S$706,AND($T$706&gt;0,DATE($C716,4,15)&gt;$T$706)),0,IF(DATE($C716,4,15)&gt;=$X$706,$AA$706*(1+($U$706)/100)^MAX(0,$C716-$AD$706),IF(DATE($C716,4,15)&gt;=$W$706,$Z$706*(1+($U$706)/100)^MAX(0,$C716-$AC$706),IF(DATE($C716,4,15)&gt;=$V$706,$Y$706*(1+($U$706)/100)^MAX(0,$C716-$AB$706),0)))))</f>
      </c>
      <c r="I716" s="43">
        <f>IF($S$706=0,0,IF(OR(DATE($C716,5,15)&lt;$S$706,AND($T$706&gt;0,DATE($C716,5,15)&gt;$T$706)),0,IF(DATE($C716,5,15)&gt;=$X$706,$AA$706*(1+($U$706)/100)^MAX(0,$C716-$AD$706),IF(DATE($C716,5,15)&gt;=$W$706,$Z$706*(1+($U$706)/100)^MAX(0,$C716-$AC$706),IF(DATE($C716,5,15)&gt;=$V$706,$Y$706*(1+($U$706)/100)^MAX(0,$C716-$AB$706),0)))))</f>
      </c>
      <c r="J716" s="43">
        <f>IF($S$706=0,0,IF(OR(DATE($C716,6,15)&lt;$S$706,AND($T$706&gt;0,DATE($C716,6,15)&gt;$T$706)),0,IF(DATE($C716,6,15)&gt;=$X$706,$AA$706*(1+($U$706)/100)^MAX(0,$C716-$AD$706),IF(DATE($C716,6,15)&gt;=$W$706,$Z$706*(1+($U$706)/100)^MAX(0,$C716-$AC$706),IF(DATE($C716,6,15)&gt;=$V$706,$Y$706*(1+($U$706)/100)^MAX(0,$C716-$AB$706),0)))))</f>
      </c>
      <c r="K716" s="43">
        <f>IF($S$706=0,0,IF(OR(DATE($C716,7,15)&lt;$S$706,AND($T$706&gt;0,DATE($C716,7,15)&gt;$T$706)),0,IF(DATE($C716,7,15)&gt;=$X$706,$AA$706*(1+($U$706)/100)^MAX(0,$C716-$AD$706),IF(DATE($C716,7,15)&gt;=$W$706,$Z$706*(1+($U$706)/100)^MAX(0,$C716-$AC$706),IF(DATE($C716,7,15)&gt;=$V$706,$Y$706*(1+($U$706)/100)^MAX(0,$C716-$AB$706),0)))))</f>
      </c>
      <c r="L716" s="43">
        <f>IF($S$706=0,0,IF(OR(DATE($C716,8,15)&lt;$S$706,AND($T$706&gt;0,DATE($C716,8,15)&gt;$T$706)),0,IF(DATE($C716,8,15)&gt;=$X$706,$AA$706*(1+($U$706)/100)^MAX(0,$C716-$AD$706),IF(DATE($C716,8,15)&gt;=$W$706,$Z$706*(1+($U$706)/100)^MAX(0,$C716-$AC$706),IF(DATE($C716,8,15)&gt;=$V$706,$Y$706*(1+($U$706)/100)^MAX(0,$C716-$AB$706),0)))))</f>
      </c>
      <c r="M716" s="43">
        <f>IF($S$706=0,0,IF(OR(DATE($C716,9,15)&lt;$S$706,AND($T$706&gt;0,DATE($C716,9,15)&gt;$T$706)),0,IF(DATE($C716,9,15)&gt;=$X$706,$AA$706*(1+($U$706)/100)^MAX(0,$C716-$AD$706),IF(DATE($C716,9,15)&gt;=$W$706,$Z$706*(1+($U$706)/100)^MAX(0,$C716-$AC$706),IF(DATE($C716,9,15)&gt;=$V$706,$Y$706*(1+($U$706)/100)^MAX(0,$C716-$AB$706),0)))))</f>
      </c>
      <c r="N716" s="43">
        <f>IF($S$706=0,0,IF(OR(DATE($C716,10,15)&lt;$S$706,AND($T$706&gt;0,DATE($C716,10,15)&gt;$T$706)),0,IF(DATE($C716,10,15)&gt;=$X$706,$AA$706*(1+($U$706)/100)^MAX(0,$C716-$AD$706),IF(DATE($C716,10,15)&gt;=$W$706,$Z$706*(1+($U$706)/100)^MAX(0,$C716-$AC$706),IF(DATE($C716,10,15)&gt;=$V$706,$Y$706*(1+($U$706)/100)^MAX(0,$C716-$AB$706),0)))))</f>
      </c>
      <c r="O716" s="43">
        <f>IF($S$706=0,0,IF(OR(DATE($C716,11,15)&lt;$S$706,AND($T$706&gt;0,DATE($C716,11,15)&gt;$T$706)),0,IF(DATE($C716,11,15)&gt;=$X$706,$AA$706*(1+($U$706)/100)^MAX(0,$C716-$AD$706),IF(DATE($C716,11,15)&gt;=$W$706,$Z$706*(1+($U$706)/100)^MAX(0,$C716-$AC$706),IF(DATE($C716,11,15)&gt;=$V$706,$Y$706*(1+($U$706)/100)^MAX(0,$C716-$AB$706),0)))))</f>
      </c>
      <c r="P716" s="43">
        <f>IF($S$706=0,0,IF(OR(DATE($C716,12,15)&lt;$S$706,AND($T$706&gt;0,DATE($C716,12,15)&gt;$T$706)),0,IF(DATE($C716,12,15)&gt;=$X$706,$AA$706*(1+($U$706)/100)^MAX(0,$C716-$AD$706),IF(DATE($C716,12,15)&gt;=$W$706,$Z$706*(1+($U$706)/100)^MAX(0,$C716-$AC$706),IF(DATE($C716,12,15)&gt;=$V$706,$Y$706*(1+($U$706)/100)^MAX(0,$C716-$AB$706),0)))))</f>
      </c>
      <c r="Q716" s="43">
        <f>SUM($E716:$P716)</f>
      </c>
    </row>
    <row r="717">
      <c r="A717"/>
      <c r="B717">
        <v>23</v>
      </c>
      <c r="C717" s="43">
        <f>Jahr+11</f>
      </c>
      <c r="D717" s="43">
        <f>INDEX(MvObj,23)</f>
      </c>
      <c r="E717" s="43">
        <f>IF($S$706=0,0,IF(OR(DATE($C717,1,15)&lt;$S$706,AND($T$706&gt;0,DATE($C717,1,15)&gt;$T$706)),0,IF(DATE($C717,1,15)&gt;=$X$706,$AA$706*(1+($U$706)/100)^MAX(0,$C717-$AD$706),IF(DATE($C717,1,15)&gt;=$W$706,$Z$706*(1+($U$706)/100)^MAX(0,$C717-$AC$706),IF(DATE($C717,1,15)&gt;=$V$706,$Y$706*(1+($U$706)/100)^MAX(0,$C717-$AB$706),0)))))</f>
      </c>
      <c r="F717" s="43">
        <f>IF($S$706=0,0,IF(OR(DATE($C717,2,15)&lt;$S$706,AND($T$706&gt;0,DATE($C717,2,15)&gt;$T$706)),0,IF(DATE($C717,2,15)&gt;=$X$706,$AA$706*(1+($U$706)/100)^MAX(0,$C717-$AD$706),IF(DATE($C717,2,15)&gt;=$W$706,$Z$706*(1+($U$706)/100)^MAX(0,$C717-$AC$706),IF(DATE($C717,2,15)&gt;=$V$706,$Y$706*(1+($U$706)/100)^MAX(0,$C717-$AB$706),0)))))</f>
      </c>
      <c r="G717" s="43">
        <f>IF($S$706=0,0,IF(OR(DATE($C717,3,15)&lt;$S$706,AND($T$706&gt;0,DATE($C717,3,15)&gt;$T$706)),0,IF(DATE($C717,3,15)&gt;=$X$706,$AA$706*(1+($U$706)/100)^MAX(0,$C717-$AD$706),IF(DATE($C717,3,15)&gt;=$W$706,$Z$706*(1+($U$706)/100)^MAX(0,$C717-$AC$706),IF(DATE($C717,3,15)&gt;=$V$706,$Y$706*(1+($U$706)/100)^MAX(0,$C717-$AB$706),0)))))</f>
      </c>
      <c r="H717" s="43">
        <f>IF($S$706=0,0,IF(OR(DATE($C717,4,15)&lt;$S$706,AND($T$706&gt;0,DATE($C717,4,15)&gt;$T$706)),0,IF(DATE($C717,4,15)&gt;=$X$706,$AA$706*(1+($U$706)/100)^MAX(0,$C717-$AD$706),IF(DATE($C717,4,15)&gt;=$W$706,$Z$706*(1+($U$706)/100)^MAX(0,$C717-$AC$706),IF(DATE($C717,4,15)&gt;=$V$706,$Y$706*(1+($U$706)/100)^MAX(0,$C717-$AB$706),0)))))</f>
      </c>
      <c r="I717" s="43">
        <f>IF($S$706=0,0,IF(OR(DATE($C717,5,15)&lt;$S$706,AND($T$706&gt;0,DATE($C717,5,15)&gt;$T$706)),0,IF(DATE($C717,5,15)&gt;=$X$706,$AA$706*(1+($U$706)/100)^MAX(0,$C717-$AD$706),IF(DATE($C717,5,15)&gt;=$W$706,$Z$706*(1+($U$706)/100)^MAX(0,$C717-$AC$706),IF(DATE($C717,5,15)&gt;=$V$706,$Y$706*(1+($U$706)/100)^MAX(0,$C717-$AB$706),0)))))</f>
      </c>
      <c r="J717" s="43">
        <f>IF($S$706=0,0,IF(OR(DATE($C717,6,15)&lt;$S$706,AND($T$706&gt;0,DATE($C717,6,15)&gt;$T$706)),0,IF(DATE($C717,6,15)&gt;=$X$706,$AA$706*(1+($U$706)/100)^MAX(0,$C717-$AD$706),IF(DATE($C717,6,15)&gt;=$W$706,$Z$706*(1+($U$706)/100)^MAX(0,$C717-$AC$706),IF(DATE($C717,6,15)&gt;=$V$706,$Y$706*(1+($U$706)/100)^MAX(0,$C717-$AB$706),0)))))</f>
      </c>
      <c r="K717" s="43">
        <f>IF($S$706=0,0,IF(OR(DATE($C717,7,15)&lt;$S$706,AND($T$706&gt;0,DATE($C717,7,15)&gt;$T$706)),0,IF(DATE($C717,7,15)&gt;=$X$706,$AA$706*(1+($U$706)/100)^MAX(0,$C717-$AD$706),IF(DATE($C717,7,15)&gt;=$W$706,$Z$706*(1+($U$706)/100)^MAX(0,$C717-$AC$706),IF(DATE($C717,7,15)&gt;=$V$706,$Y$706*(1+($U$706)/100)^MAX(0,$C717-$AB$706),0)))))</f>
      </c>
      <c r="L717" s="43">
        <f>IF($S$706=0,0,IF(OR(DATE($C717,8,15)&lt;$S$706,AND($T$706&gt;0,DATE($C717,8,15)&gt;$T$706)),0,IF(DATE($C717,8,15)&gt;=$X$706,$AA$706*(1+($U$706)/100)^MAX(0,$C717-$AD$706),IF(DATE($C717,8,15)&gt;=$W$706,$Z$706*(1+($U$706)/100)^MAX(0,$C717-$AC$706),IF(DATE($C717,8,15)&gt;=$V$706,$Y$706*(1+($U$706)/100)^MAX(0,$C717-$AB$706),0)))))</f>
      </c>
      <c r="M717" s="43">
        <f>IF($S$706=0,0,IF(OR(DATE($C717,9,15)&lt;$S$706,AND($T$706&gt;0,DATE($C717,9,15)&gt;$T$706)),0,IF(DATE($C717,9,15)&gt;=$X$706,$AA$706*(1+($U$706)/100)^MAX(0,$C717-$AD$706),IF(DATE($C717,9,15)&gt;=$W$706,$Z$706*(1+($U$706)/100)^MAX(0,$C717-$AC$706),IF(DATE($C717,9,15)&gt;=$V$706,$Y$706*(1+($U$706)/100)^MAX(0,$C717-$AB$706),0)))))</f>
      </c>
      <c r="N717" s="43">
        <f>IF($S$706=0,0,IF(OR(DATE($C717,10,15)&lt;$S$706,AND($T$706&gt;0,DATE($C717,10,15)&gt;$T$706)),0,IF(DATE($C717,10,15)&gt;=$X$706,$AA$706*(1+($U$706)/100)^MAX(0,$C717-$AD$706),IF(DATE($C717,10,15)&gt;=$W$706,$Z$706*(1+($U$706)/100)^MAX(0,$C717-$AC$706),IF(DATE($C717,10,15)&gt;=$V$706,$Y$706*(1+($U$706)/100)^MAX(0,$C717-$AB$706),0)))))</f>
      </c>
      <c r="O717" s="43">
        <f>IF($S$706=0,0,IF(OR(DATE($C717,11,15)&lt;$S$706,AND($T$706&gt;0,DATE($C717,11,15)&gt;$T$706)),0,IF(DATE($C717,11,15)&gt;=$X$706,$AA$706*(1+($U$706)/100)^MAX(0,$C717-$AD$706),IF(DATE($C717,11,15)&gt;=$W$706,$Z$706*(1+($U$706)/100)^MAX(0,$C717-$AC$706),IF(DATE($C717,11,15)&gt;=$V$706,$Y$706*(1+($U$706)/100)^MAX(0,$C717-$AB$706),0)))))</f>
      </c>
      <c r="P717" s="43">
        <f>IF($S$706=0,0,IF(OR(DATE($C717,12,15)&lt;$S$706,AND($T$706&gt;0,DATE($C717,12,15)&gt;$T$706)),0,IF(DATE($C717,12,15)&gt;=$X$706,$AA$706*(1+($U$706)/100)^MAX(0,$C717-$AD$706),IF(DATE($C717,12,15)&gt;=$W$706,$Z$706*(1+($U$706)/100)^MAX(0,$C717-$AC$706),IF(DATE($C717,12,15)&gt;=$V$706,$Y$706*(1+($U$706)/100)^MAX(0,$C717-$AB$706),0)))))</f>
      </c>
      <c r="Q717" s="43">
        <f>SUM($E717:$P717)</f>
      </c>
    </row>
    <row r="718">
      <c r="A718"/>
      <c r="B718">
        <v>23</v>
      </c>
      <c r="C718" s="43">
        <f>Jahr+12</f>
      </c>
      <c r="D718" s="43">
        <f>INDEX(MvObj,23)</f>
      </c>
      <c r="E718" s="43">
        <f>IF($S$706=0,0,IF(OR(DATE($C718,1,15)&lt;$S$706,AND($T$706&gt;0,DATE($C718,1,15)&gt;$T$706)),0,IF(DATE($C718,1,15)&gt;=$X$706,$AA$706*(1+($U$706)/100)^MAX(0,$C718-$AD$706),IF(DATE($C718,1,15)&gt;=$W$706,$Z$706*(1+($U$706)/100)^MAX(0,$C718-$AC$706),IF(DATE($C718,1,15)&gt;=$V$706,$Y$706*(1+($U$706)/100)^MAX(0,$C718-$AB$706),0)))))</f>
      </c>
      <c r="F718" s="43">
        <f>IF($S$706=0,0,IF(OR(DATE($C718,2,15)&lt;$S$706,AND($T$706&gt;0,DATE($C718,2,15)&gt;$T$706)),0,IF(DATE($C718,2,15)&gt;=$X$706,$AA$706*(1+($U$706)/100)^MAX(0,$C718-$AD$706),IF(DATE($C718,2,15)&gt;=$W$706,$Z$706*(1+($U$706)/100)^MAX(0,$C718-$AC$706),IF(DATE($C718,2,15)&gt;=$V$706,$Y$706*(1+($U$706)/100)^MAX(0,$C718-$AB$706),0)))))</f>
      </c>
      <c r="G718" s="43">
        <f>IF($S$706=0,0,IF(OR(DATE($C718,3,15)&lt;$S$706,AND($T$706&gt;0,DATE($C718,3,15)&gt;$T$706)),0,IF(DATE($C718,3,15)&gt;=$X$706,$AA$706*(1+($U$706)/100)^MAX(0,$C718-$AD$706),IF(DATE($C718,3,15)&gt;=$W$706,$Z$706*(1+($U$706)/100)^MAX(0,$C718-$AC$706),IF(DATE($C718,3,15)&gt;=$V$706,$Y$706*(1+($U$706)/100)^MAX(0,$C718-$AB$706),0)))))</f>
      </c>
      <c r="H718" s="43">
        <f>IF($S$706=0,0,IF(OR(DATE($C718,4,15)&lt;$S$706,AND($T$706&gt;0,DATE($C718,4,15)&gt;$T$706)),0,IF(DATE($C718,4,15)&gt;=$X$706,$AA$706*(1+($U$706)/100)^MAX(0,$C718-$AD$706),IF(DATE($C718,4,15)&gt;=$W$706,$Z$706*(1+($U$706)/100)^MAX(0,$C718-$AC$706),IF(DATE($C718,4,15)&gt;=$V$706,$Y$706*(1+($U$706)/100)^MAX(0,$C718-$AB$706),0)))))</f>
      </c>
      <c r="I718" s="43">
        <f>IF($S$706=0,0,IF(OR(DATE($C718,5,15)&lt;$S$706,AND($T$706&gt;0,DATE($C718,5,15)&gt;$T$706)),0,IF(DATE($C718,5,15)&gt;=$X$706,$AA$706*(1+($U$706)/100)^MAX(0,$C718-$AD$706),IF(DATE($C718,5,15)&gt;=$W$706,$Z$706*(1+($U$706)/100)^MAX(0,$C718-$AC$706),IF(DATE($C718,5,15)&gt;=$V$706,$Y$706*(1+($U$706)/100)^MAX(0,$C718-$AB$706),0)))))</f>
      </c>
      <c r="J718" s="43">
        <f>IF($S$706=0,0,IF(OR(DATE($C718,6,15)&lt;$S$706,AND($T$706&gt;0,DATE($C718,6,15)&gt;$T$706)),0,IF(DATE($C718,6,15)&gt;=$X$706,$AA$706*(1+($U$706)/100)^MAX(0,$C718-$AD$706),IF(DATE($C718,6,15)&gt;=$W$706,$Z$706*(1+($U$706)/100)^MAX(0,$C718-$AC$706),IF(DATE($C718,6,15)&gt;=$V$706,$Y$706*(1+($U$706)/100)^MAX(0,$C718-$AB$706),0)))))</f>
      </c>
      <c r="K718" s="43">
        <f>IF($S$706=0,0,IF(OR(DATE($C718,7,15)&lt;$S$706,AND($T$706&gt;0,DATE($C718,7,15)&gt;$T$706)),0,IF(DATE($C718,7,15)&gt;=$X$706,$AA$706*(1+($U$706)/100)^MAX(0,$C718-$AD$706),IF(DATE($C718,7,15)&gt;=$W$706,$Z$706*(1+($U$706)/100)^MAX(0,$C718-$AC$706),IF(DATE($C718,7,15)&gt;=$V$706,$Y$706*(1+($U$706)/100)^MAX(0,$C718-$AB$706),0)))))</f>
      </c>
      <c r="L718" s="43">
        <f>IF($S$706=0,0,IF(OR(DATE($C718,8,15)&lt;$S$706,AND($T$706&gt;0,DATE($C718,8,15)&gt;$T$706)),0,IF(DATE($C718,8,15)&gt;=$X$706,$AA$706*(1+($U$706)/100)^MAX(0,$C718-$AD$706),IF(DATE($C718,8,15)&gt;=$W$706,$Z$706*(1+($U$706)/100)^MAX(0,$C718-$AC$706),IF(DATE($C718,8,15)&gt;=$V$706,$Y$706*(1+($U$706)/100)^MAX(0,$C718-$AB$706),0)))))</f>
      </c>
      <c r="M718" s="43">
        <f>IF($S$706=0,0,IF(OR(DATE($C718,9,15)&lt;$S$706,AND($T$706&gt;0,DATE($C718,9,15)&gt;$T$706)),0,IF(DATE($C718,9,15)&gt;=$X$706,$AA$706*(1+($U$706)/100)^MAX(0,$C718-$AD$706),IF(DATE($C718,9,15)&gt;=$W$706,$Z$706*(1+($U$706)/100)^MAX(0,$C718-$AC$706),IF(DATE($C718,9,15)&gt;=$V$706,$Y$706*(1+($U$706)/100)^MAX(0,$C718-$AB$706),0)))))</f>
      </c>
      <c r="N718" s="43">
        <f>IF($S$706=0,0,IF(OR(DATE($C718,10,15)&lt;$S$706,AND($T$706&gt;0,DATE($C718,10,15)&gt;$T$706)),0,IF(DATE($C718,10,15)&gt;=$X$706,$AA$706*(1+($U$706)/100)^MAX(0,$C718-$AD$706),IF(DATE($C718,10,15)&gt;=$W$706,$Z$706*(1+($U$706)/100)^MAX(0,$C718-$AC$706),IF(DATE($C718,10,15)&gt;=$V$706,$Y$706*(1+($U$706)/100)^MAX(0,$C718-$AB$706),0)))))</f>
      </c>
      <c r="O718" s="43">
        <f>IF($S$706=0,0,IF(OR(DATE($C718,11,15)&lt;$S$706,AND($T$706&gt;0,DATE($C718,11,15)&gt;$T$706)),0,IF(DATE($C718,11,15)&gt;=$X$706,$AA$706*(1+($U$706)/100)^MAX(0,$C718-$AD$706),IF(DATE($C718,11,15)&gt;=$W$706,$Z$706*(1+($U$706)/100)^MAX(0,$C718-$AC$706),IF(DATE($C718,11,15)&gt;=$V$706,$Y$706*(1+($U$706)/100)^MAX(0,$C718-$AB$706),0)))))</f>
      </c>
      <c r="P718" s="43">
        <f>IF($S$706=0,0,IF(OR(DATE($C718,12,15)&lt;$S$706,AND($T$706&gt;0,DATE($C718,12,15)&gt;$T$706)),0,IF(DATE($C718,12,15)&gt;=$X$706,$AA$706*(1+($U$706)/100)^MAX(0,$C718-$AD$706),IF(DATE($C718,12,15)&gt;=$W$706,$Z$706*(1+($U$706)/100)^MAX(0,$C718-$AC$706),IF(DATE($C718,12,15)&gt;=$V$706,$Y$706*(1+($U$706)/100)^MAX(0,$C718-$AB$706),0)))))</f>
      </c>
      <c r="Q718" s="43">
        <f>SUM($E718:$P718)</f>
      </c>
    </row>
    <row r="719">
      <c r="A719"/>
      <c r="B719">
        <v>23</v>
      </c>
      <c r="C719" s="43">
        <f>Jahr+13</f>
      </c>
      <c r="D719" s="43">
        <f>INDEX(MvObj,23)</f>
      </c>
      <c r="E719" s="43">
        <f>IF($S$706=0,0,IF(OR(DATE($C719,1,15)&lt;$S$706,AND($T$706&gt;0,DATE($C719,1,15)&gt;$T$706)),0,IF(DATE($C719,1,15)&gt;=$X$706,$AA$706*(1+($U$706)/100)^MAX(0,$C719-$AD$706),IF(DATE($C719,1,15)&gt;=$W$706,$Z$706*(1+($U$706)/100)^MAX(0,$C719-$AC$706),IF(DATE($C719,1,15)&gt;=$V$706,$Y$706*(1+($U$706)/100)^MAX(0,$C719-$AB$706),0)))))</f>
      </c>
      <c r="F719" s="43">
        <f>IF($S$706=0,0,IF(OR(DATE($C719,2,15)&lt;$S$706,AND($T$706&gt;0,DATE($C719,2,15)&gt;$T$706)),0,IF(DATE($C719,2,15)&gt;=$X$706,$AA$706*(1+($U$706)/100)^MAX(0,$C719-$AD$706),IF(DATE($C719,2,15)&gt;=$W$706,$Z$706*(1+($U$706)/100)^MAX(0,$C719-$AC$706),IF(DATE($C719,2,15)&gt;=$V$706,$Y$706*(1+($U$706)/100)^MAX(0,$C719-$AB$706),0)))))</f>
      </c>
      <c r="G719" s="43">
        <f>IF($S$706=0,0,IF(OR(DATE($C719,3,15)&lt;$S$706,AND($T$706&gt;0,DATE($C719,3,15)&gt;$T$706)),0,IF(DATE($C719,3,15)&gt;=$X$706,$AA$706*(1+($U$706)/100)^MAX(0,$C719-$AD$706),IF(DATE($C719,3,15)&gt;=$W$706,$Z$706*(1+($U$706)/100)^MAX(0,$C719-$AC$706),IF(DATE($C719,3,15)&gt;=$V$706,$Y$706*(1+($U$706)/100)^MAX(0,$C719-$AB$706),0)))))</f>
      </c>
      <c r="H719" s="43">
        <f>IF($S$706=0,0,IF(OR(DATE($C719,4,15)&lt;$S$706,AND($T$706&gt;0,DATE($C719,4,15)&gt;$T$706)),0,IF(DATE($C719,4,15)&gt;=$X$706,$AA$706*(1+($U$706)/100)^MAX(0,$C719-$AD$706),IF(DATE($C719,4,15)&gt;=$W$706,$Z$706*(1+($U$706)/100)^MAX(0,$C719-$AC$706),IF(DATE($C719,4,15)&gt;=$V$706,$Y$706*(1+($U$706)/100)^MAX(0,$C719-$AB$706),0)))))</f>
      </c>
      <c r="I719" s="43">
        <f>IF($S$706=0,0,IF(OR(DATE($C719,5,15)&lt;$S$706,AND($T$706&gt;0,DATE($C719,5,15)&gt;$T$706)),0,IF(DATE($C719,5,15)&gt;=$X$706,$AA$706*(1+($U$706)/100)^MAX(0,$C719-$AD$706),IF(DATE($C719,5,15)&gt;=$W$706,$Z$706*(1+($U$706)/100)^MAX(0,$C719-$AC$706),IF(DATE($C719,5,15)&gt;=$V$706,$Y$706*(1+($U$706)/100)^MAX(0,$C719-$AB$706),0)))))</f>
      </c>
      <c r="J719" s="43">
        <f>IF($S$706=0,0,IF(OR(DATE($C719,6,15)&lt;$S$706,AND($T$706&gt;0,DATE($C719,6,15)&gt;$T$706)),0,IF(DATE($C719,6,15)&gt;=$X$706,$AA$706*(1+($U$706)/100)^MAX(0,$C719-$AD$706),IF(DATE($C719,6,15)&gt;=$W$706,$Z$706*(1+($U$706)/100)^MAX(0,$C719-$AC$706),IF(DATE($C719,6,15)&gt;=$V$706,$Y$706*(1+($U$706)/100)^MAX(0,$C719-$AB$706),0)))))</f>
      </c>
      <c r="K719" s="43">
        <f>IF($S$706=0,0,IF(OR(DATE($C719,7,15)&lt;$S$706,AND($T$706&gt;0,DATE($C719,7,15)&gt;$T$706)),0,IF(DATE($C719,7,15)&gt;=$X$706,$AA$706*(1+($U$706)/100)^MAX(0,$C719-$AD$706),IF(DATE($C719,7,15)&gt;=$W$706,$Z$706*(1+($U$706)/100)^MAX(0,$C719-$AC$706),IF(DATE($C719,7,15)&gt;=$V$706,$Y$706*(1+($U$706)/100)^MAX(0,$C719-$AB$706),0)))))</f>
      </c>
      <c r="L719" s="43">
        <f>IF($S$706=0,0,IF(OR(DATE($C719,8,15)&lt;$S$706,AND($T$706&gt;0,DATE($C719,8,15)&gt;$T$706)),0,IF(DATE($C719,8,15)&gt;=$X$706,$AA$706*(1+($U$706)/100)^MAX(0,$C719-$AD$706),IF(DATE($C719,8,15)&gt;=$W$706,$Z$706*(1+($U$706)/100)^MAX(0,$C719-$AC$706),IF(DATE($C719,8,15)&gt;=$V$706,$Y$706*(1+($U$706)/100)^MAX(0,$C719-$AB$706),0)))))</f>
      </c>
      <c r="M719" s="43">
        <f>IF($S$706=0,0,IF(OR(DATE($C719,9,15)&lt;$S$706,AND($T$706&gt;0,DATE($C719,9,15)&gt;$T$706)),0,IF(DATE($C719,9,15)&gt;=$X$706,$AA$706*(1+($U$706)/100)^MAX(0,$C719-$AD$706),IF(DATE($C719,9,15)&gt;=$W$706,$Z$706*(1+($U$706)/100)^MAX(0,$C719-$AC$706),IF(DATE($C719,9,15)&gt;=$V$706,$Y$706*(1+($U$706)/100)^MAX(0,$C719-$AB$706),0)))))</f>
      </c>
      <c r="N719" s="43">
        <f>IF($S$706=0,0,IF(OR(DATE($C719,10,15)&lt;$S$706,AND($T$706&gt;0,DATE($C719,10,15)&gt;$T$706)),0,IF(DATE($C719,10,15)&gt;=$X$706,$AA$706*(1+($U$706)/100)^MAX(0,$C719-$AD$706),IF(DATE($C719,10,15)&gt;=$W$706,$Z$706*(1+($U$706)/100)^MAX(0,$C719-$AC$706),IF(DATE($C719,10,15)&gt;=$V$706,$Y$706*(1+($U$706)/100)^MAX(0,$C719-$AB$706),0)))))</f>
      </c>
      <c r="O719" s="43">
        <f>IF($S$706=0,0,IF(OR(DATE($C719,11,15)&lt;$S$706,AND($T$706&gt;0,DATE($C719,11,15)&gt;$T$706)),0,IF(DATE($C719,11,15)&gt;=$X$706,$AA$706*(1+($U$706)/100)^MAX(0,$C719-$AD$706),IF(DATE($C719,11,15)&gt;=$W$706,$Z$706*(1+($U$706)/100)^MAX(0,$C719-$AC$706),IF(DATE($C719,11,15)&gt;=$V$706,$Y$706*(1+($U$706)/100)^MAX(0,$C719-$AB$706),0)))))</f>
      </c>
      <c r="P719" s="43">
        <f>IF($S$706=0,0,IF(OR(DATE($C719,12,15)&lt;$S$706,AND($T$706&gt;0,DATE($C719,12,15)&gt;$T$706)),0,IF(DATE($C719,12,15)&gt;=$X$706,$AA$706*(1+($U$706)/100)^MAX(0,$C719-$AD$706),IF(DATE($C719,12,15)&gt;=$W$706,$Z$706*(1+($U$706)/100)^MAX(0,$C719-$AC$706),IF(DATE($C719,12,15)&gt;=$V$706,$Y$706*(1+($U$706)/100)^MAX(0,$C719-$AB$706),0)))))</f>
      </c>
      <c r="Q719" s="43">
        <f>SUM($E719:$P719)</f>
      </c>
    </row>
    <row r="720">
      <c r="A720"/>
      <c r="B720">
        <v>23</v>
      </c>
      <c r="C720" s="43">
        <f>Jahr+14</f>
      </c>
      <c r="D720" s="43">
        <f>INDEX(MvObj,23)</f>
      </c>
      <c r="E720" s="43">
        <f>IF($S$706=0,0,IF(OR(DATE($C720,1,15)&lt;$S$706,AND($T$706&gt;0,DATE($C720,1,15)&gt;$T$706)),0,IF(DATE($C720,1,15)&gt;=$X$706,$AA$706*(1+($U$706)/100)^MAX(0,$C720-$AD$706),IF(DATE($C720,1,15)&gt;=$W$706,$Z$706*(1+($U$706)/100)^MAX(0,$C720-$AC$706),IF(DATE($C720,1,15)&gt;=$V$706,$Y$706*(1+($U$706)/100)^MAX(0,$C720-$AB$706),0)))))</f>
      </c>
      <c r="F720" s="43">
        <f>IF($S$706=0,0,IF(OR(DATE($C720,2,15)&lt;$S$706,AND($T$706&gt;0,DATE($C720,2,15)&gt;$T$706)),0,IF(DATE($C720,2,15)&gt;=$X$706,$AA$706*(1+($U$706)/100)^MAX(0,$C720-$AD$706),IF(DATE($C720,2,15)&gt;=$W$706,$Z$706*(1+($U$706)/100)^MAX(0,$C720-$AC$706),IF(DATE($C720,2,15)&gt;=$V$706,$Y$706*(1+($U$706)/100)^MAX(0,$C720-$AB$706),0)))))</f>
      </c>
      <c r="G720" s="43">
        <f>IF($S$706=0,0,IF(OR(DATE($C720,3,15)&lt;$S$706,AND($T$706&gt;0,DATE($C720,3,15)&gt;$T$706)),0,IF(DATE($C720,3,15)&gt;=$X$706,$AA$706*(1+($U$706)/100)^MAX(0,$C720-$AD$706),IF(DATE($C720,3,15)&gt;=$W$706,$Z$706*(1+($U$706)/100)^MAX(0,$C720-$AC$706),IF(DATE($C720,3,15)&gt;=$V$706,$Y$706*(1+($U$706)/100)^MAX(0,$C720-$AB$706),0)))))</f>
      </c>
      <c r="H720" s="43">
        <f>IF($S$706=0,0,IF(OR(DATE($C720,4,15)&lt;$S$706,AND($T$706&gt;0,DATE($C720,4,15)&gt;$T$706)),0,IF(DATE($C720,4,15)&gt;=$X$706,$AA$706*(1+($U$706)/100)^MAX(0,$C720-$AD$706),IF(DATE($C720,4,15)&gt;=$W$706,$Z$706*(1+($U$706)/100)^MAX(0,$C720-$AC$706),IF(DATE($C720,4,15)&gt;=$V$706,$Y$706*(1+($U$706)/100)^MAX(0,$C720-$AB$706),0)))))</f>
      </c>
      <c r="I720" s="43">
        <f>IF($S$706=0,0,IF(OR(DATE($C720,5,15)&lt;$S$706,AND($T$706&gt;0,DATE($C720,5,15)&gt;$T$706)),0,IF(DATE($C720,5,15)&gt;=$X$706,$AA$706*(1+($U$706)/100)^MAX(0,$C720-$AD$706),IF(DATE($C720,5,15)&gt;=$W$706,$Z$706*(1+($U$706)/100)^MAX(0,$C720-$AC$706),IF(DATE($C720,5,15)&gt;=$V$706,$Y$706*(1+($U$706)/100)^MAX(0,$C720-$AB$706),0)))))</f>
      </c>
      <c r="J720" s="43">
        <f>IF($S$706=0,0,IF(OR(DATE($C720,6,15)&lt;$S$706,AND($T$706&gt;0,DATE($C720,6,15)&gt;$T$706)),0,IF(DATE($C720,6,15)&gt;=$X$706,$AA$706*(1+($U$706)/100)^MAX(0,$C720-$AD$706),IF(DATE($C720,6,15)&gt;=$W$706,$Z$706*(1+($U$706)/100)^MAX(0,$C720-$AC$706),IF(DATE($C720,6,15)&gt;=$V$706,$Y$706*(1+($U$706)/100)^MAX(0,$C720-$AB$706),0)))))</f>
      </c>
      <c r="K720" s="43">
        <f>IF($S$706=0,0,IF(OR(DATE($C720,7,15)&lt;$S$706,AND($T$706&gt;0,DATE($C720,7,15)&gt;$T$706)),0,IF(DATE($C720,7,15)&gt;=$X$706,$AA$706*(1+($U$706)/100)^MAX(0,$C720-$AD$706),IF(DATE($C720,7,15)&gt;=$W$706,$Z$706*(1+($U$706)/100)^MAX(0,$C720-$AC$706),IF(DATE($C720,7,15)&gt;=$V$706,$Y$706*(1+($U$706)/100)^MAX(0,$C720-$AB$706),0)))))</f>
      </c>
      <c r="L720" s="43">
        <f>IF($S$706=0,0,IF(OR(DATE($C720,8,15)&lt;$S$706,AND($T$706&gt;0,DATE($C720,8,15)&gt;$T$706)),0,IF(DATE($C720,8,15)&gt;=$X$706,$AA$706*(1+($U$706)/100)^MAX(0,$C720-$AD$706),IF(DATE($C720,8,15)&gt;=$W$706,$Z$706*(1+($U$706)/100)^MAX(0,$C720-$AC$706),IF(DATE($C720,8,15)&gt;=$V$706,$Y$706*(1+($U$706)/100)^MAX(0,$C720-$AB$706),0)))))</f>
      </c>
      <c r="M720" s="43">
        <f>IF($S$706=0,0,IF(OR(DATE($C720,9,15)&lt;$S$706,AND($T$706&gt;0,DATE($C720,9,15)&gt;$T$706)),0,IF(DATE($C720,9,15)&gt;=$X$706,$AA$706*(1+($U$706)/100)^MAX(0,$C720-$AD$706),IF(DATE($C720,9,15)&gt;=$W$706,$Z$706*(1+($U$706)/100)^MAX(0,$C720-$AC$706),IF(DATE($C720,9,15)&gt;=$V$706,$Y$706*(1+($U$706)/100)^MAX(0,$C720-$AB$706),0)))))</f>
      </c>
      <c r="N720" s="43">
        <f>IF($S$706=0,0,IF(OR(DATE($C720,10,15)&lt;$S$706,AND($T$706&gt;0,DATE($C720,10,15)&gt;$T$706)),0,IF(DATE($C720,10,15)&gt;=$X$706,$AA$706*(1+($U$706)/100)^MAX(0,$C720-$AD$706),IF(DATE($C720,10,15)&gt;=$W$706,$Z$706*(1+($U$706)/100)^MAX(0,$C720-$AC$706),IF(DATE($C720,10,15)&gt;=$V$706,$Y$706*(1+($U$706)/100)^MAX(0,$C720-$AB$706),0)))))</f>
      </c>
      <c r="O720" s="43">
        <f>IF($S$706=0,0,IF(OR(DATE($C720,11,15)&lt;$S$706,AND($T$706&gt;0,DATE($C720,11,15)&gt;$T$706)),0,IF(DATE($C720,11,15)&gt;=$X$706,$AA$706*(1+($U$706)/100)^MAX(0,$C720-$AD$706),IF(DATE($C720,11,15)&gt;=$W$706,$Z$706*(1+($U$706)/100)^MAX(0,$C720-$AC$706),IF(DATE($C720,11,15)&gt;=$V$706,$Y$706*(1+($U$706)/100)^MAX(0,$C720-$AB$706),0)))))</f>
      </c>
      <c r="P720" s="43">
        <f>IF($S$706=0,0,IF(OR(DATE($C720,12,15)&lt;$S$706,AND($T$706&gt;0,DATE($C720,12,15)&gt;$T$706)),0,IF(DATE($C720,12,15)&gt;=$X$706,$AA$706*(1+($U$706)/100)^MAX(0,$C720-$AD$706),IF(DATE($C720,12,15)&gt;=$W$706,$Z$706*(1+($U$706)/100)^MAX(0,$C720-$AC$706),IF(DATE($C720,12,15)&gt;=$V$706,$Y$706*(1+($U$706)/100)^MAX(0,$C720-$AB$706),0)))))</f>
      </c>
      <c r="Q720" s="43">
        <f>SUM($E720:$P720)</f>
      </c>
    </row>
    <row r="721">
      <c r="A721"/>
      <c r="B721">
        <v>23</v>
      </c>
      <c r="C721" s="43">
        <f>Jahr+15</f>
      </c>
      <c r="D721" s="43">
        <f>INDEX(MvObj,23)</f>
      </c>
      <c r="E721" s="43">
        <f>IF($S$706=0,0,IF(OR(DATE($C721,1,15)&lt;$S$706,AND($T$706&gt;0,DATE($C721,1,15)&gt;$T$706)),0,IF(DATE($C721,1,15)&gt;=$X$706,$AA$706*(1+($U$706)/100)^MAX(0,$C721-$AD$706),IF(DATE($C721,1,15)&gt;=$W$706,$Z$706*(1+($U$706)/100)^MAX(0,$C721-$AC$706),IF(DATE($C721,1,15)&gt;=$V$706,$Y$706*(1+($U$706)/100)^MAX(0,$C721-$AB$706),0)))))</f>
      </c>
      <c r="F721" s="43">
        <f>IF($S$706=0,0,IF(OR(DATE($C721,2,15)&lt;$S$706,AND($T$706&gt;0,DATE($C721,2,15)&gt;$T$706)),0,IF(DATE($C721,2,15)&gt;=$X$706,$AA$706*(1+($U$706)/100)^MAX(0,$C721-$AD$706),IF(DATE($C721,2,15)&gt;=$W$706,$Z$706*(1+($U$706)/100)^MAX(0,$C721-$AC$706),IF(DATE($C721,2,15)&gt;=$V$706,$Y$706*(1+($U$706)/100)^MAX(0,$C721-$AB$706),0)))))</f>
      </c>
      <c r="G721" s="43">
        <f>IF($S$706=0,0,IF(OR(DATE($C721,3,15)&lt;$S$706,AND($T$706&gt;0,DATE($C721,3,15)&gt;$T$706)),0,IF(DATE($C721,3,15)&gt;=$X$706,$AA$706*(1+($U$706)/100)^MAX(0,$C721-$AD$706),IF(DATE($C721,3,15)&gt;=$W$706,$Z$706*(1+($U$706)/100)^MAX(0,$C721-$AC$706),IF(DATE($C721,3,15)&gt;=$V$706,$Y$706*(1+($U$706)/100)^MAX(0,$C721-$AB$706),0)))))</f>
      </c>
      <c r="H721" s="43">
        <f>IF($S$706=0,0,IF(OR(DATE($C721,4,15)&lt;$S$706,AND($T$706&gt;0,DATE($C721,4,15)&gt;$T$706)),0,IF(DATE($C721,4,15)&gt;=$X$706,$AA$706*(1+($U$706)/100)^MAX(0,$C721-$AD$706),IF(DATE($C721,4,15)&gt;=$W$706,$Z$706*(1+($U$706)/100)^MAX(0,$C721-$AC$706),IF(DATE($C721,4,15)&gt;=$V$706,$Y$706*(1+($U$706)/100)^MAX(0,$C721-$AB$706),0)))))</f>
      </c>
      <c r="I721" s="43">
        <f>IF($S$706=0,0,IF(OR(DATE($C721,5,15)&lt;$S$706,AND($T$706&gt;0,DATE($C721,5,15)&gt;$T$706)),0,IF(DATE($C721,5,15)&gt;=$X$706,$AA$706*(1+($U$706)/100)^MAX(0,$C721-$AD$706),IF(DATE($C721,5,15)&gt;=$W$706,$Z$706*(1+($U$706)/100)^MAX(0,$C721-$AC$706),IF(DATE($C721,5,15)&gt;=$V$706,$Y$706*(1+($U$706)/100)^MAX(0,$C721-$AB$706),0)))))</f>
      </c>
      <c r="J721" s="43">
        <f>IF($S$706=0,0,IF(OR(DATE($C721,6,15)&lt;$S$706,AND($T$706&gt;0,DATE($C721,6,15)&gt;$T$706)),0,IF(DATE($C721,6,15)&gt;=$X$706,$AA$706*(1+($U$706)/100)^MAX(0,$C721-$AD$706),IF(DATE($C721,6,15)&gt;=$W$706,$Z$706*(1+($U$706)/100)^MAX(0,$C721-$AC$706),IF(DATE($C721,6,15)&gt;=$V$706,$Y$706*(1+($U$706)/100)^MAX(0,$C721-$AB$706),0)))))</f>
      </c>
      <c r="K721" s="43">
        <f>IF($S$706=0,0,IF(OR(DATE($C721,7,15)&lt;$S$706,AND($T$706&gt;0,DATE($C721,7,15)&gt;$T$706)),0,IF(DATE($C721,7,15)&gt;=$X$706,$AA$706*(1+($U$706)/100)^MAX(0,$C721-$AD$706),IF(DATE($C721,7,15)&gt;=$W$706,$Z$706*(1+($U$706)/100)^MAX(0,$C721-$AC$706),IF(DATE($C721,7,15)&gt;=$V$706,$Y$706*(1+($U$706)/100)^MAX(0,$C721-$AB$706),0)))))</f>
      </c>
      <c r="L721" s="43">
        <f>IF($S$706=0,0,IF(OR(DATE($C721,8,15)&lt;$S$706,AND($T$706&gt;0,DATE($C721,8,15)&gt;$T$706)),0,IF(DATE($C721,8,15)&gt;=$X$706,$AA$706*(1+($U$706)/100)^MAX(0,$C721-$AD$706),IF(DATE($C721,8,15)&gt;=$W$706,$Z$706*(1+($U$706)/100)^MAX(0,$C721-$AC$706),IF(DATE($C721,8,15)&gt;=$V$706,$Y$706*(1+($U$706)/100)^MAX(0,$C721-$AB$706),0)))))</f>
      </c>
      <c r="M721" s="43">
        <f>IF($S$706=0,0,IF(OR(DATE($C721,9,15)&lt;$S$706,AND($T$706&gt;0,DATE($C721,9,15)&gt;$T$706)),0,IF(DATE($C721,9,15)&gt;=$X$706,$AA$706*(1+($U$706)/100)^MAX(0,$C721-$AD$706),IF(DATE($C721,9,15)&gt;=$W$706,$Z$706*(1+($U$706)/100)^MAX(0,$C721-$AC$706),IF(DATE($C721,9,15)&gt;=$V$706,$Y$706*(1+($U$706)/100)^MAX(0,$C721-$AB$706),0)))))</f>
      </c>
      <c r="N721" s="43">
        <f>IF($S$706=0,0,IF(OR(DATE($C721,10,15)&lt;$S$706,AND($T$706&gt;0,DATE($C721,10,15)&gt;$T$706)),0,IF(DATE($C721,10,15)&gt;=$X$706,$AA$706*(1+($U$706)/100)^MAX(0,$C721-$AD$706),IF(DATE($C721,10,15)&gt;=$W$706,$Z$706*(1+($U$706)/100)^MAX(0,$C721-$AC$706),IF(DATE($C721,10,15)&gt;=$V$706,$Y$706*(1+($U$706)/100)^MAX(0,$C721-$AB$706),0)))))</f>
      </c>
      <c r="O721" s="43">
        <f>IF($S$706=0,0,IF(OR(DATE($C721,11,15)&lt;$S$706,AND($T$706&gt;0,DATE($C721,11,15)&gt;$T$706)),0,IF(DATE($C721,11,15)&gt;=$X$706,$AA$706*(1+($U$706)/100)^MAX(0,$C721-$AD$706),IF(DATE($C721,11,15)&gt;=$W$706,$Z$706*(1+($U$706)/100)^MAX(0,$C721-$AC$706),IF(DATE($C721,11,15)&gt;=$V$706,$Y$706*(1+($U$706)/100)^MAX(0,$C721-$AB$706),0)))))</f>
      </c>
      <c r="P721" s="43">
        <f>IF($S$706=0,0,IF(OR(DATE($C721,12,15)&lt;$S$706,AND($T$706&gt;0,DATE($C721,12,15)&gt;$T$706)),0,IF(DATE($C721,12,15)&gt;=$X$706,$AA$706*(1+($U$706)/100)^MAX(0,$C721-$AD$706),IF(DATE($C721,12,15)&gt;=$W$706,$Z$706*(1+($U$706)/100)^MAX(0,$C721-$AC$706),IF(DATE($C721,12,15)&gt;=$V$706,$Y$706*(1+($U$706)/100)^MAX(0,$C721-$AB$706),0)))))</f>
      </c>
      <c r="Q721" s="43">
        <f>SUM($E721:$P721)</f>
      </c>
    </row>
    <row r="722">
      <c r="A722"/>
      <c r="B722">
        <v>23</v>
      </c>
      <c r="C722" s="43">
        <f>Jahr+16</f>
      </c>
      <c r="D722" s="43">
        <f>INDEX(MvObj,23)</f>
      </c>
      <c r="E722" s="43">
        <f>IF($S$706=0,0,IF(OR(DATE($C722,1,15)&lt;$S$706,AND($T$706&gt;0,DATE($C722,1,15)&gt;$T$706)),0,IF(DATE($C722,1,15)&gt;=$X$706,$AA$706*(1+($U$706)/100)^MAX(0,$C722-$AD$706),IF(DATE($C722,1,15)&gt;=$W$706,$Z$706*(1+($U$706)/100)^MAX(0,$C722-$AC$706),IF(DATE($C722,1,15)&gt;=$V$706,$Y$706*(1+($U$706)/100)^MAX(0,$C722-$AB$706),0)))))</f>
      </c>
      <c r="F722" s="43">
        <f>IF($S$706=0,0,IF(OR(DATE($C722,2,15)&lt;$S$706,AND($T$706&gt;0,DATE($C722,2,15)&gt;$T$706)),0,IF(DATE($C722,2,15)&gt;=$X$706,$AA$706*(1+($U$706)/100)^MAX(0,$C722-$AD$706),IF(DATE($C722,2,15)&gt;=$W$706,$Z$706*(1+($U$706)/100)^MAX(0,$C722-$AC$706),IF(DATE($C722,2,15)&gt;=$V$706,$Y$706*(1+($U$706)/100)^MAX(0,$C722-$AB$706),0)))))</f>
      </c>
      <c r="G722" s="43">
        <f>IF($S$706=0,0,IF(OR(DATE($C722,3,15)&lt;$S$706,AND($T$706&gt;0,DATE($C722,3,15)&gt;$T$706)),0,IF(DATE($C722,3,15)&gt;=$X$706,$AA$706*(1+($U$706)/100)^MAX(0,$C722-$AD$706),IF(DATE($C722,3,15)&gt;=$W$706,$Z$706*(1+($U$706)/100)^MAX(0,$C722-$AC$706),IF(DATE($C722,3,15)&gt;=$V$706,$Y$706*(1+($U$706)/100)^MAX(0,$C722-$AB$706),0)))))</f>
      </c>
      <c r="H722" s="43">
        <f>IF($S$706=0,0,IF(OR(DATE($C722,4,15)&lt;$S$706,AND($T$706&gt;0,DATE($C722,4,15)&gt;$T$706)),0,IF(DATE($C722,4,15)&gt;=$X$706,$AA$706*(1+($U$706)/100)^MAX(0,$C722-$AD$706),IF(DATE($C722,4,15)&gt;=$W$706,$Z$706*(1+($U$706)/100)^MAX(0,$C722-$AC$706),IF(DATE($C722,4,15)&gt;=$V$706,$Y$706*(1+($U$706)/100)^MAX(0,$C722-$AB$706),0)))))</f>
      </c>
      <c r="I722" s="43">
        <f>IF($S$706=0,0,IF(OR(DATE($C722,5,15)&lt;$S$706,AND($T$706&gt;0,DATE($C722,5,15)&gt;$T$706)),0,IF(DATE($C722,5,15)&gt;=$X$706,$AA$706*(1+($U$706)/100)^MAX(0,$C722-$AD$706),IF(DATE($C722,5,15)&gt;=$W$706,$Z$706*(1+($U$706)/100)^MAX(0,$C722-$AC$706),IF(DATE($C722,5,15)&gt;=$V$706,$Y$706*(1+($U$706)/100)^MAX(0,$C722-$AB$706),0)))))</f>
      </c>
      <c r="J722" s="43">
        <f>IF($S$706=0,0,IF(OR(DATE($C722,6,15)&lt;$S$706,AND($T$706&gt;0,DATE($C722,6,15)&gt;$T$706)),0,IF(DATE($C722,6,15)&gt;=$X$706,$AA$706*(1+($U$706)/100)^MAX(0,$C722-$AD$706),IF(DATE($C722,6,15)&gt;=$W$706,$Z$706*(1+($U$706)/100)^MAX(0,$C722-$AC$706),IF(DATE($C722,6,15)&gt;=$V$706,$Y$706*(1+($U$706)/100)^MAX(0,$C722-$AB$706),0)))))</f>
      </c>
      <c r="K722" s="43">
        <f>IF($S$706=0,0,IF(OR(DATE($C722,7,15)&lt;$S$706,AND($T$706&gt;0,DATE($C722,7,15)&gt;$T$706)),0,IF(DATE($C722,7,15)&gt;=$X$706,$AA$706*(1+($U$706)/100)^MAX(0,$C722-$AD$706),IF(DATE($C722,7,15)&gt;=$W$706,$Z$706*(1+($U$706)/100)^MAX(0,$C722-$AC$706),IF(DATE($C722,7,15)&gt;=$V$706,$Y$706*(1+($U$706)/100)^MAX(0,$C722-$AB$706),0)))))</f>
      </c>
      <c r="L722" s="43">
        <f>IF($S$706=0,0,IF(OR(DATE($C722,8,15)&lt;$S$706,AND($T$706&gt;0,DATE($C722,8,15)&gt;$T$706)),0,IF(DATE($C722,8,15)&gt;=$X$706,$AA$706*(1+($U$706)/100)^MAX(0,$C722-$AD$706),IF(DATE($C722,8,15)&gt;=$W$706,$Z$706*(1+($U$706)/100)^MAX(0,$C722-$AC$706),IF(DATE($C722,8,15)&gt;=$V$706,$Y$706*(1+($U$706)/100)^MAX(0,$C722-$AB$706),0)))))</f>
      </c>
      <c r="M722" s="43">
        <f>IF($S$706=0,0,IF(OR(DATE($C722,9,15)&lt;$S$706,AND($T$706&gt;0,DATE($C722,9,15)&gt;$T$706)),0,IF(DATE($C722,9,15)&gt;=$X$706,$AA$706*(1+($U$706)/100)^MAX(0,$C722-$AD$706),IF(DATE($C722,9,15)&gt;=$W$706,$Z$706*(1+($U$706)/100)^MAX(0,$C722-$AC$706),IF(DATE($C722,9,15)&gt;=$V$706,$Y$706*(1+($U$706)/100)^MAX(0,$C722-$AB$706),0)))))</f>
      </c>
      <c r="N722" s="43">
        <f>IF($S$706=0,0,IF(OR(DATE($C722,10,15)&lt;$S$706,AND($T$706&gt;0,DATE($C722,10,15)&gt;$T$706)),0,IF(DATE($C722,10,15)&gt;=$X$706,$AA$706*(1+($U$706)/100)^MAX(0,$C722-$AD$706),IF(DATE($C722,10,15)&gt;=$W$706,$Z$706*(1+($U$706)/100)^MAX(0,$C722-$AC$706),IF(DATE($C722,10,15)&gt;=$V$706,$Y$706*(1+($U$706)/100)^MAX(0,$C722-$AB$706),0)))))</f>
      </c>
      <c r="O722" s="43">
        <f>IF($S$706=0,0,IF(OR(DATE($C722,11,15)&lt;$S$706,AND($T$706&gt;0,DATE($C722,11,15)&gt;$T$706)),0,IF(DATE($C722,11,15)&gt;=$X$706,$AA$706*(1+($U$706)/100)^MAX(0,$C722-$AD$706),IF(DATE($C722,11,15)&gt;=$W$706,$Z$706*(1+($U$706)/100)^MAX(0,$C722-$AC$706),IF(DATE($C722,11,15)&gt;=$V$706,$Y$706*(1+($U$706)/100)^MAX(0,$C722-$AB$706),0)))))</f>
      </c>
      <c r="P722" s="43">
        <f>IF($S$706=0,0,IF(OR(DATE($C722,12,15)&lt;$S$706,AND($T$706&gt;0,DATE($C722,12,15)&gt;$T$706)),0,IF(DATE($C722,12,15)&gt;=$X$706,$AA$706*(1+($U$706)/100)^MAX(0,$C722-$AD$706),IF(DATE($C722,12,15)&gt;=$W$706,$Z$706*(1+($U$706)/100)^MAX(0,$C722-$AC$706),IF(DATE($C722,12,15)&gt;=$V$706,$Y$706*(1+($U$706)/100)^MAX(0,$C722-$AB$706),0)))))</f>
      </c>
      <c r="Q722" s="43">
        <f>SUM($E722:$P722)</f>
      </c>
    </row>
    <row r="723">
      <c r="A723"/>
      <c r="B723">
        <v>23</v>
      </c>
      <c r="C723" s="43">
        <f>Jahr+17</f>
      </c>
      <c r="D723" s="43">
        <f>INDEX(MvObj,23)</f>
      </c>
      <c r="E723" s="43">
        <f>IF($S$706=0,0,IF(OR(DATE($C723,1,15)&lt;$S$706,AND($T$706&gt;0,DATE($C723,1,15)&gt;$T$706)),0,IF(DATE($C723,1,15)&gt;=$X$706,$AA$706*(1+($U$706)/100)^MAX(0,$C723-$AD$706),IF(DATE($C723,1,15)&gt;=$W$706,$Z$706*(1+($U$706)/100)^MAX(0,$C723-$AC$706),IF(DATE($C723,1,15)&gt;=$V$706,$Y$706*(1+($U$706)/100)^MAX(0,$C723-$AB$706),0)))))</f>
      </c>
      <c r="F723" s="43">
        <f>IF($S$706=0,0,IF(OR(DATE($C723,2,15)&lt;$S$706,AND($T$706&gt;0,DATE($C723,2,15)&gt;$T$706)),0,IF(DATE($C723,2,15)&gt;=$X$706,$AA$706*(1+($U$706)/100)^MAX(0,$C723-$AD$706),IF(DATE($C723,2,15)&gt;=$W$706,$Z$706*(1+($U$706)/100)^MAX(0,$C723-$AC$706),IF(DATE($C723,2,15)&gt;=$V$706,$Y$706*(1+($U$706)/100)^MAX(0,$C723-$AB$706),0)))))</f>
      </c>
      <c r="G723" s="43">
        <f>IF($S$706=0,0,IF(OR(DATE($C723,3,15)&lt;$S$706,AND($T$706&gt;0,DATE($C723,3,15)&gt;$T$706)),0,IF(DATE($C723,3,15)&gt;=$X$706,$AA$706*(1+($U$706)/100)^MAX(0,$C723-$AD$706),IF(DATE($C723,3,15)&gt;=$W$706,$Z$706*(1+($U$706)/100)^MAX(0,$C723-$AC$706),IF(DATE($C723,3,15)&gt;=$V$706,$Y$706*(1+($U$706)/100)^MAX(0,$C723-$AB$706),0)))))</f>
      </c>
      <c r="H723" s="43">
        <f>IF($S$706=0,0,IF(OR(DATE($C723,4,15)&lt;$S$706,AND($T$706&gt;0,DATE($C723,4,15)&gt;$T$706)),0,IF(DATE($C723,4,15)&gt;=$X$706,$AA$706*(1+($U$706)/100)^MAX(0,$C723-$AD$706),IF(DATE($C723,4,15)&gt;=$W$706,$Z$706*(1+($U$706)/100)^MAX(0,$C723-$AC$706),IF(DATE($C723,4,15)&gt;=$V$706,$Y$706*(1+($U$706)/100)^MAX(0,$C723-$AB$706),0)))))</f>
      </c>
      <c r="I723" s="43">
        <f>IF($S$706=0,0,IF(OR(DATE($C723,5,15)&lt;$S$706,AND($T$706&gt;0,DATE($C723,5,15)&gt;$T$706)),0,IF(DATE($C723,5,15)&gt;=$X$706,$AA$706*(1+($U$706)/100)^MAX(0,$C723-$AD$706),IF(DATE($C723,5,15)&gt;=$W$706,$Z$706*(1+($U$706)/100)^MAX(0,$C723-$AC$706),IF(DATE($C723,5,15)&gt;=$V$706,$Y$706*(1+($U$706)/100)^MAX(0,$C723-$AB$706),0)))))</f>
      </c>
      <c r="J723" s="43">
        <f>IF($S$706=0,0,IF(OR(DATE($C723,6,15)&lt;$S$706,AND($T$706&gt;0,DATE($C723,6,15)&gt;$T$706)),0,IF(DATE($C723,6,15)&gt;=$X$706,$AA$706*(1+($U$706)/100)^MAX(0,$C723-$AD$706),IF(DATE($C723,6,15)&gt;=$W$706,$Z$706*(1+($U$706)/100)^MAX(0,$C723-$AC$706),IF(DATE($C723,6,15)&gt;=$V$706,$Y$706*(1+($U$706)/100)^MAX(0,$C723-$AB$706),0)))))</f>
      </c>
      <c r="K723" s="43">
        <f>IF($S$706=0,0,IF(OR(DATE($C723,7,15)&lt;$S$706,AND($T$706&gt;0,DATE($C723,7,15)&gt;$T$706)),0,IF(DATE($C723,7,15)&gt;=$X$706,$AA$706*(1+($U$706)/100)^MAX(0,$C723-$AD$706),IF(DATE($C723,7,15)&gt;=$W$706,$Z$706*(1+($U$706)/100)^MAX(0,$C723-$AC$706),IF(DATE($C723,7,15)&gt;=$V$706,$Y$706*(1+($U$706)/100)^MAX(0,$C723-$AB$706),0)))))</f>
      </c>
      <c r="L723" s="43">
        <f>IF($S$706=0,0,IF(OR(DATE($C723,8,15)&lt;$S$706,AND($T$706&gt;0,DATE($C723,8,15)&gt;$T$706)),0,IF(DATE($C723,8,15)&gt;=$X$706,$AA$706*(1+($U$706)/100)^MAX(0,$C723-$AD$706),IF(DATE($C723,8,15)&gt;=$W$706,$Z$706*(1+($U$706)/100)^MAX(0,$C723-$AC$706),IF(DATE($C723,8,15)&gt;=$V$706,$Y$706*(1+($U$706)/100)^MAX(0,$C723-$AB$706),0)))))</f>
      </c>
      <c r="M723" s="43">
        <f>IF($S$706=0,0,IF(OR(DATE($C723,9,15)&lt;$S$706,AND($T$706&gt;0,DATE($C723,9,15)&gt;$T$706)),0,IF(DATE($C723,9,15)&gt;=$X$706,$AA$706*(1+($U$706)/100)^MAX(0,$C723-$AD$706),IF(DATE($C723,9,15)&gt;=$W$706,$Z$706*(1+($U$706)/100)^MAX(0,$C723-$AC$706),IF(DATE($C723,9,15)&gt;=$V$706,$Y$706*(1+($U$706)/100)^MAX(0,$C723-$AB$706),0)))))</f>
      </c>
      <c r="N723" s="43">
        <f>IF($S$706=0,0,IF(OR(DATE($C723,10,15)&lt;$S$706,AND($T$706&gt;0,DATE($C723,10,15)&gt;$T$706)),0,IF(DATE($C723,10,15)&gt;=$X$706,$AA$706*(1+($U$706)/100)^MAX(0,$C723-$AD$706),IF(DATE($C723,10,15)&gt;=$W$706,$Z$706*(1+($U$706)/100)^MAX(0,$C723-$AC$706),IF(DATE($C723,10,15)&gt;=$V$706,$Y$706*(1+($U$706)/100)^MAX(0,$C723-$AB$706),0)))))</f>
      </c>
      <c r="O723" s="43">
        <f>IF($S$706=0,0,IF(OR(DATE($C723,11,15)&lt;$S$706,AND($T$706&gt;0,DATE($C723,11,15)&gt;$T$706)),0,IF(DATE($C723,11,15)&gt;=$X$706,$AA$706*(1+($U$706)/100)^MAX(0,$C723-$AD$706),IF(DATE($C723,11,15)&gt;=$W$706,$Z$706*(1+($U$706)/100)^MAX(0,$C723-$AC$706),IF(DATE($C723,11,15)&gt;=$V$706,$Y$706*(1+($U$706)/100)^MAX(0,$C723-$AB$706),0)))))</f>
      </c>
      <c r="P723" s="43">
        <f>IF($S$706=0,0,IF(OR(DATE($C723,12,15)&lt;$S$706,AND($T$706&gt;0,DATE($C723,12,15)&gt;$T$706)),0,IF(DATE($C723,12,15)&gt;=$X$706,$AA$706*(1+($U$706)/100)^MAX(0,$C723-$AD$706),IF(DATE($C723,12,15)&gt;=$W$706,$Z$706*(1+($U$706)/100)^MAX(0,$C723-$AC$706),IF(DATE($C723,12,15)&gt;=$V$706,$Y$706*(1+($U$706)/100)^MAX(0,$C723-$AB$706),0)))))</f>
      </c>
      <c r="Q723" s="43">
        <f>SUM($E723:$P723)</f>
      </c>
    </row>
    <row r="724">
      <c r="A724"/>
      <c r="B724">
        <v>23</v>
      </c>
      <c r="C724" s="43">
        <f>Jahr+18</f>
      </c>
      <c r="D724" s="43">
        <f>INDEX(MvObj,23)</f>
      </c>
      <c r="E724" s="43">
        <f>IF($S$706=0,0,IF(OR(DATE($C724,1,15)&lt;$S$706,AND($T$706&gt;0,DATE($C724,1,15)&gt;$T$706)),0,IF(DATE($C724,1,15)&gt;=$X$706,$AA$706*(1+($U$706)/100)^MAX(0,$C724-$AD$706),IF(DATE($C724,1,15)&gt;=$W$706,$Z$706*(1+($U$706)/100)^MAX(0,$C724-$AC$706),IF(DATE($C724,1,15)&gt;=$V$706,$Y$706*(1+($U$706)/100)^MAX(0,$C724-$AB$706),0)))))</f>
      </c>
      <c r="F724" s="43">
        <f>IF($S$706=0,0,IF(OR(DATE($C724,2,15)&lt;$S$706,AND($T$706&gt;0,DATE($C724,2,15)&gt;$T$706)),0,IF(DATE($C724,2,15)&gt;=$X$706,$AA$706*(1+($U$706)/100)^MAX(0,$C724-$AD$706),IF(DATE($C724,2,15)&gt;=$W$706,$Z$706*(1+($U$706)/100)^MAX(0,$C724-$AC$706),IF(DATE($C724,2,15)&gt;=$V$706,$Y$706*(1+($U$706)/100)^MAX(0,$C724-$AB$706),0)))))</f>
      </c>
      <c r="G724" s="43">
        <f>IF($S$706=0,0,IF(OR(DATE($C724,3,15)&lt;$S$706,AND($T$706&gt;0,DATE($C724,3,15)&gt;$T$706)),0,IF(DATE($C724,3,15)&gt;=$X$706,$AA$706*(1+($U$706)/100)^MAX(0,$C724-$AD$706),IF(DATE($C724,3,15)&gt;=$W$706,$Z$706*(1+($U$706)/100)^MAX(0,$C724-$AC$706),IF(DATE($C724,3,15)&gt;=$V$706,$Y$706*(1+($U$706)/100)^MAX(0,$C724-$AB$706),0)))))</f>
      </c>
      <c r="H724" s="43">
        <f>IF($S$706=0,0,IF(OR(DATE($C724,4,15)&lt;$S$706,AND($T$706&gt;0,DATE($C724,4,15)&gt;$T$706)),0,IF(DATE($C724,4,15)&gt;=$X$706,$AA$706*(1+($U$706)/100)^MAX(0,$C724-$AD$706),IF(DATE($C724,4,15)&gt;=$W$706,$Z$706*(1+($U$706)/100)^MAX(0,$C724-$AC$706),IF(DATE($C724,4,15)&gt;=$V$706,$Y$706*(1+($U$706)/100)^MAX(0,$C724-$AB$706),0)))))</f>
      </c>
      <c r="I724" s="43">
        <f>IF($S$706=0,0,IF(OR(DATE($C724,5,15)&lt;$S$706,AND($T$706&gt;0,DATE($C724,5,15)&gt;$T$706)),0,IF(DATE($C724,5,15)&gt;=$X$706,$AA$706*(1+($U$706)/100)^MAX(0,$C724-$AD$706),IF(DATE($C724,5,15)&gt;=$W$706,$Z$706*(1+($U$706)/100)^MAX(0,$C724-$AC$706),IF(DATE($C724,5,15)&gt;=$V$706,$Y$706*(1+($U$706)/100)^MAX(0,$C724-$AB$706),0)))))</f>
      </c>
      <c r="J724" s="43">
        <f>IF($S$706=0,0,IF(OR(DATE($C724,6,15)&lt;$S$706,AND($T$706&gt;0,DATE($C724,6,15)&gt;$T$706)),0,IF(DATE($C724,6,15)&gt;=$X$706,$AA$706*(1+($U$706)/100)^MAX(0,$C724-$AD$706),IF(DATE($C724,6,15)&gt;=$W$706,$Z$706*(1+($U$706)/100)^MAX(0,$C724-$AC$706),IF(DATE($C724,6,15)&gt;=$V$706,$Y$706*(1+($U$706)/100)^MAX(0,$C724-$AB$706),0)))))</f>
      </c>
      <c r="K724" s="43">
        <f>IF($S$706=0,0,IF(OR(DATE($C724,7,15)&lt;$S$706,AND($T$706&gt;0,DATE($C724,7,15)&gt;$T$706)),0,IF(DATE($C724,7,15)&gt;=$X$706,$AA$706*(1+($U$706)/100)^MAX(0,$C724-$AD$706),IF(DATE($C724,7,15)&gt;=$W$706,$Z$706*(1+($U$706)/100)^MAX(0,$C724-$AC$706),IF(DATE($C724,7,15)&gt;=$V$706,$Y$706*(1+($U$706)/100)^MAX(0,$C724-$AB$706),0)))))</f>
      </c>
      <c r="L724" s="43">
        <f>IF($S$706=0,0,IF(OR(DATE($C724,8,15)&lt;$S$706,AND($T$706&gt;0,DATE($C724,8,15)&gt;$T$706)),0,IF(DATE($C724,8,15)&gt;=$X$706,$AA$706*(1+($U$706)/100)^MAX(0,$C724-$AD$706),IF(DATE($C724,8,15)&gt;=$W$706,$Z$706*(1+($U$706)/100)^MAX(0,$C724-$AC$706),IF(DATE($C724,8,15)&gt;=$V$706,$Y$706*(1+($U$706)/100)^MAX(0,$C724-$AB$706),0)))))</f>
      </c>
      <c r="M724" s="43">
        <f>IF($S$706=0,0,IF(OR(DATE($C724,9,15)&lt;$S$706,AND($T$706&gt;0,DATE($C724,9,15)&gt;$T$706)),0,IF(DATE($C724,9,15)&gt;=$X$706,$AA$706*(1+($U$706)/100)^MAX(0,$C724-$AD$706),IF(DATE($C724,9,15)&gt;=$W$706,$Z$706*(1+($U$706)/100)^MAX(0,$C724-$AC$706),IF(DATE($C724,9,15)&gt;=$V$706,$Y$706*(1+($U$706)/100)^MAX(0,$C724-$AB$706),0)))))</f>
      </c>
      <c r="N724" s="43">
        <f>IF($S$706=0,0,IF(OR(DATE($C724,10,15)&lt;$S$706,AND($T$706&gt;0,DATE($C724,10,15)&gt;$T$706)),0,IF(DATE($C724,10,15)&gt;=$X$706,$AA$706*(1+($U$706)/100)^MAX(0,$C724-$AD$706),IF(DATE($C724,10,15)&gt;=$W$706,$Z$706*(1+($U$706)/100)^MAX(0,$C724-$AC$706),IF(DATE($C724,10,15)&gt;=$V$706,$Y$706*(1+($U$706)/100)^MAX(0,$C724-$AB$706),0)))))</f>
      </c>
      <c r="O724" s="43">
        <f>IF($S$706=0,0,IF(OR(DATE($C724,11,15)&lt;$S$706,AND($T$706&gt;0,DATE($C724,11,15)&gt;$T$706)),0,IF(DATE($C724,11,15)&gt;=$X$706,$AA$706*(1+($U$706)/100)^MAX(0,$C724-$AD$706),IF(DATE($C724,11,15)&gt;=$W$706,$Z$706*(1+($U$706)/100)^MAX(0,$C724-$AC$706),IF(DATE($C724,11,15)&gt;=$V$706,$Y$706*(1+($U$706)/100)^MAX(0,$C724-$AB$706),0)))))</f>
      </c>
      <c r="P724" s="43">
        <f>IF($S$706=0,0,IF(OR(DATE($C724,12,15)&lt;$S$706,AND($T$706&gt;0,DATE($C724,12,15)&gt;$T$706)),0,IF(DATE($C724,12,15)&gt;=$X$706,$AA$706*(1+($U$706)/100)^MAX(0,$C724-$AD$706),IF(DATE($C724,12,15)&gt;=$W$706,$Z$706*(1+($U$706)/100)^MAX(0,$C724-$AC$706),IF(DATE($C724,12,15)&gt;=$V$706,$Y$706*(1+($U$706)/100)^MAX(0,$C724-$AB$706),0)))))</f>
      </c>
      <c r="Q724" s="43">
        <f>SUM($E724:$P724)</f>
      </c>
    </row>
    <row r="725">
      <c r="A725"/>
      <c r="B725">
        <v>23</v>
      </c>
      <c r="C725" s="43">
        <f>Jahr+19</f>
      </c>
      <c r="D725" s="43">
        <f>INDEX(MvObj,23)</f>
      </c>
      <c r="E725" s="43">
        <f>IF($S$706=0,0,IF(OR(DATE($C725,1,15)&lt;$S$706,AND($T$706&gt;0,DATE($C725,1,15)&gt;$T$706)),0,IF(DATE($C725,1,15)&gt;=$X$706,$AA$706*(1+($U$706)/100)^MAX(0,$C725-$AD$706),IF(DATE($C725,1,15)&gt;=$W$706,$Z$706*(1+($U$706)/100)^MAX(0,$C725-$AC$706),IF(DATE($C725,1,15)&gt;=$V$706,$Y$706*(1+($U$706)/100)^MAX(0,$C725-$AB$706),0)))))</f>
      </c>
      <c r="F725" s="43">
        <f>IF($S$706=0,0,IF(OR(DATE($C725,2,15)&lt;$S$706,AND($T$706&gt;0,DATE($C725,2,15)&gt;$T$706)),0,IF(DATE($C725,2,15)&gt;=$X$706,$AA$706*(1+($U$706)/100)^MAX(0,$C725-$AD$706),IF(DATE($C725,2,15)&gt;=$W$706,$Z$706*(1+($U$706)/100)^MAX(0,$C725-$AC$706),IF(DATE($C725,2,15)&gt;=$V$706,$Y$706*(1+($U$706)/100)^MAX(0,$C725-$AB$706),0)))))</f>
      </c>
      <c r="G725" s="43">
        <f>IF($S$706=0,0,IF(OR(DATE($C725,3,15)&lt;$S$706,AND($T$706&gt;0,DATE($C725,3,15)&gt;$T$706)),0,IF(DATE($C725,3,15)&gt;=$X$706,$AA$706*(1+($U$706)/100)^MAX(0,$C725-$AD$706),IF(DATE($C725,3,15)&gt;=$W$706,$Z$706*(1+($U$706)/100)^MAX(0,$C725-$AC$706),IF(DATE($C725,3,15)&gt;=$V$706,$Y$706*(1+($U$706)/100)^MAX(0,$C725-$AB$706),0)))))</f>
      </c>
      <c r="H725" s="43">
        <f>IF($S$706=0,0,IF(OR(DATE($C725,4,15)&lt;$S$706,AND($T$706&gt;0,DATE($C725,4,15)&gt;$T$706)),0,IF(DATE($C725,4,15)&gt;=$X$706,$AA$706*(1+($U$706)/100)^MAX(0,$C725-$AD$706),IF(DATE($C725,4,15)&gt;=$W$706,$Z$706*(1+($U$706)/100)^MAX(0,$C725-$AC$706),IF(DATE($C725,4,15)&gt;=$V$706,$Y$706*(1+($U$706)/100)^MAX(0,$C725-$AB$706),0)))))</f>
      </c>
      <c r="I725" s="43">
        <f>IF($S$706=0,0,IF(OR(DATE($C725,5,15)&lt;$S$706,AND($T$706&gt;0,DATE($C725,5,15)&gt;$T$706)),0,IF(DATE($C725,5,15)&gt;=$X$706,$AA$706*(1+($U$706)/100)^MAX(0,$C725-$AD$706),IF(DATE($C725,5,15)&gt;=$W$706,$Z$706*(1+($U$706)/100)^MAX(0,$C725-$AC$706),IF(DATE($C725,5,15)&gt;=$V$706,$Y$706*(1+($U$706)/100)^MAX(0,$C725-$AB$706),0)))))</f>
      </c>
      <c r="J725" s="43">
        <f>IF($S$706=0,0,IF(OR(DATE($C725,6,15)&lt;$S$706,AND($T$706&gt;0,DATE($C725,6,15)&gt;$T$706)),0,IF(DATE($C725,6,15)&gt;=$X$706,$AA$706*(1+($U$706)/100)^MAX(0,$C725-$AD$706),IF(DATE($C725,6,15)&gt;=$W$706,$Z$706*(1+($U$706)/100)^MAX(0,$C725-$AC$706),IF(DATE($C725,6,15)&gt;=$V$706,$Y$706*(1+($U$706)/100)^MAX(0,$C725-$AB$706),0)))))</f>
      </c>
      <c r="K725" s="43">
        <f>IF($S$706=0,0,IF(OR(DATE($C725,7,15)&lt;$S$706,AND($T$706&gt;0,DATE($C725,7,15)&gt;$T$706)),0,IF(DATE($C725,7,15)&gt;=$X$706,$AA$706*(1+($U$706)/100)^MAX(0,$C725-$AD$706),IF(DATE($C725,7,15)&gt;=$W$706,$Z$706*(1+($U$706)/100)^MAX(0,$C725-$AC$706),IF(DATE($C725,7,15)&gt;=$V$706,$Y$706*(1+($U$706)/100)^MAX(0,$C725-$AB$706),0)))))</f>
      </c>
      <c r="L725" s="43">
        <f>IF($S$706=0,0,IF(OR(DATE($C725,8,15)&lt;$S$706,AND($T$706&gt;0,DATE($C725,8,15)&gt;$T$706)),0,IF(DATE($C725,8,15)&gt;=$X$706,$AA$706*(1+($U$706)/100)^MAX(0,$C725-$AD$706),IF(DATE($C725,8,15)&gt;=$W$706,$Z$706*(1+($U$706)/100)^MAX(0,$C725-$AC$706),IF(DATE($C725,8,15)&gt;=$V$706,$Y$706*(1+($U$706)/100)^MAX(0,$C725-$AB$706),0)))))</f>
      </c>
      <c r="M725" s="43">
        <f>IF($S$706=0,0,IF(OR(DATE($C725,9,15)&lt;$S$706,AND($T$706&gt;0,DATE($C725,9,15)&gt;$T$706)),0,IF(DATE($C725,9,15)&gt;=$X$706,$AA$706*(1+($U$706)/100)^MAX(0,$C725-$AD$706),IF(DATE($C725,9,15)&gt;=$W$706,$Z$706*(1+($U$706)/100)^MAX(0,$C725-$AC$706),IF(DATE($C725,9,15)&gt;=$V$706,$Y$706*(1+($U$706)/100)^MAX(0,$C725-$AB$706),0)))))</f>
      </c>
      <c r="N725" s="43">
        <f>IF($S$706=0,0,IF(OR(DATE($C725,10,15)&lt;$S$706,AND($T$706&gt;0,DATE($C725,10,15)&gt;$T$706)),0,IF(DATE($C725,10,15)&gt;=$X$706,$AA$706*(1+($U$706)/100)^MAX(0,$C725-$AD$706),IF(DATE($C725,10,15)&gt;=$W$706,$Z$706*(1+($U$706)/100)^MAX(0,$C725-$AC$706),IF(DATE($C725,10,15)&gt;=$V$706,$Y$706*(1+($U$706)/100)^MAX(0,$C725-$AB$706),0)))))</f>
      </c>
      <c r="O725" s="43">
        <f>IF($S$706=0,0,IF(OR(DATE($C725,11,15)&lt;$S$706,AND($T$706&gt;0,DATE($C725,11,15)&gt;$T$706)),0,IF(DATE($C725,11,15)&gt;=$X$706,$AA$706*(1+($U$706)/100)^MAX(0,$C725-$AD$706),IF(DATE($C725,11,15)&gt;=$W$706,$Z$706*(1+($U$706)/100)^MAX(0,$C725-$AC$706),IF(DATE($C725,11,15)&gt;=$V$706,$Y$706*(1+($U$706)/100)^MAX(0,$C725-$AB$706),0)))))</f>
      </c>
      <c r="P725" s="43">
        <f>IF($S$706=0,0,IF(OR(DATE($C725,12,15)&lt;$S$706,AND($T$706&gt;0,DATE($C725,12,15)&gt;$T$706)),0,IF(DATE($C725,12,15)&gt;=$X$706,$AA$706*(1+($U$706)/100)^MAX(0,$C725-$AD$706),IF(DATE($C725,12,15)&gt;=$W$706,$Z$706*(1+($U$706)/100)^MAX(0,$C725-$AC$706),IF(DATE($C725,12,15)&gt;=$V$706,$Y$706*(1+($U$706)/100)^MAX(0,$C725-$AB$706),0)))))</f>
      </c>
      <c r="Q725" s="43">
        <f>SUM($E725:$P725)</f>
      </c>
    </row>
    <row r="726">
      <c r="A726"/>
      <c r="B726">
        <v>23</v>
      </c>
      <c r="C726" s="43">
        <f>Jahr+20</f>
      </c>
      <c r="D726" s="43">
        <f>INDEX(MvObj,23)</f>
      </c>
      <c r="E726" s="43">
        <f>IF($S$706=0,0,IF(OR(DATE($C726,1,15)&lt;$S$706,AND($T$706&gt;0,DATE($C726,1,15)&gt;$T$706)),0,IF(DATE($C726,1,15)&gt;=$X$706,$AA$706*(1+($U$706)/100)^MAX(0,$C726-$AD$706),IF(DATE($C726,1,15)&gt;=$W$706,$Z$706*(1+($U$706)/100)^MAX(0,$C726-$AC$706),IF(DATE($C726,1,15)&gt;=$V$706,$Y$706*(1+($U$706)/100)^MAX(0,$C726-$AB$706),0)))))</f>
      </c>
      <c r="F726" s="43">
        <f>IF($S$706=0,0,IF(OR(DATE($C726,2,15)&lt;$S$706,AND($T$706&gt;0,DATE($C726,2,15)&gt;$T$706)),0,IF(DATE($C726,2,15)&gt;=$X$706,$AA$706*(1+($U$706)/100)^MAX(0,$C726-$AD$706),IF(DATE($C726,2,15)&gt;=$W$706,$Z$706*(1+($U$706)/100)^MAX(0,$C726-$AC$706),IF(DATE($C726,2,15)&gt;=$V$706,$Y$706*(1+($U$706)/100)^MAX(0,$C726-$AB$706),0)))))</f>
      </c>
      <c r="G726" s="43">
        <f>IF($S$706=0,0,IF(OR(DATE($C726,3,15)&lt;$S$706,AND($T$706&gt;0,DATE($C726,3,15)&gt;$T$706)),0,IF(DATE($C726,3,15)&gt;=$X$706,$AA$706*(1+($U$706)/100)^MAX(0,$C726-$AD$706),IF(DATE($C726,3,15)&gt;=$W$706,$Z$706*(1+($U$706)/100)^MAX(0,$C726-$AC$706),IF(DATE($C726,3,15)&gt;=$V$706,$Y$706*(1+($U$706)/100)^MAX(0,$C726-$AB$706),0)))))</f>
      </c>
      <c r="H726" s="43">
        <f>IF($S$706=0,0,IF(OR(DATE($C726,4,15)&lt;$S$706,AND($T$706&gt;0,DATE($C726,4,15)&gt;$T$706)),0,IF(DATE($C726,4,15)&gt;=$X$706,$AA$706*(1+($U$706)/100)^MAX(0,$C726-$AD$706),IF(DATE($C726,4,15)&gt;=$W$706,$Z$706*(1+($U$706)/100)^MAX(0,$C726-$AC$706),IF(DATE($C726,4,15)&gt;=$V$706,$Y$706*(1+($U$706)/100)^MAX(0,$C726-$AB$706),0)))))</f>
      </c>
      <c r="I726" s="43">
        <f>IF($S$706=0,0,IF(OR(DATE($C726,5,15)&lt;$S$706,AND($T$706&gt;0,DATE($C726,5,15)&gt;$T$706)),0,IF(DATE($C726,5,15)&gt;=$X$706,$AA$706*(1+($U$706)/100)^MAX(0,$C726-$AD$706),IF(DATE($C726,5,15)&gt;=$W$706,$Z$706*(1+($U$706)/100)^MAX(0,$C726-$AC$706),IF(DATE($C726,5,15)&gt;=$V$706,$Y$706*(1+($U$706)/100)^MAX(0,$C726-$AB$706),0)))))</f>
      </c>
      <c r="J726" s="43">
        <f>IF($S$706=0,0,IF(OR(DATE($C726,6,15)&lt;$S$706,AND($T$706&gt;0,DATE($C726,6,15)&gt;$T$706)),0,IF(DATE($C726,6,15)&gt;=$X$706,$AA$706*(1+($U$706)/100)^MAX(0,$C726-$AD$706),IF(DATE($C726,6,15)&gt;=$W$706,$Z$706*(1+($U$706)/100)^MAX(0,$C726-$AC$706),IF(DATE($C726,6,15)&gt;=$V$706,$Y$706*(1+($U$706)/100)^MAX(0,$C726-$AB$706),0)))))</f>
      </c>
      <c r="K726" s="43">
        <f>IF($S$706=0,0,IF(OR(DATE($C726,7,15)&lt;$S$706,AND($T$706&gt;0,DATE($C726,7,15)&gt;$T$706)),0,IF(DATE($C726,7,15)&gt;=$X$706,$AA$706*(1+($U$706)/100)^MAX(0,$C726-$AD$706),IF(DATE($C726,7,15)&gt;=$W$706,$Z$706*(1+($U$706)/100)^MAX(0,$C726-$AC$706),IF(DATE($C726,7,15)&gt;=$V$706,$Y$706*(1+($U$706)/100)^MAX(0,$C726-$AB$706),0)))))</f>
      </c>
      <c r="L726" s="43">
        <f>IF($S$706=0,0,IF(OR(DATE($C726,8,15)&lt;$S$706,AND($T$706&gt;0,DATE($C726,8,15)&gt;$T$706)),0,IF(DATE($C726,8,15)&gt;=$X$706,$AA$706*(1+($U$706)/100)^MAX(0,$C726-$AD$706),IF(DATE($C726,8,15)&gt;=$W$706,$Z$706*(1+($U$706)/100)^MAX(0,$C726-$AC$706),IF(DATE($C726,8,15)&gt;=$V$706,$Y$706*(1+($U$706)/100)^MAX(0,$C726-$AB$706),0)))))</f>
      </c>
      <c r="M726" s="43">
        <f>IF($S$706=0,0,IF(OR(DATE($C726,9,15)&lt;$S$706,AND($T$706&gt;0,DATE($C726,9,15)&gt;$T$706)),0,IF(DATE($C726,9,15)&gt;=$X$706,$AA$706*(1+($U$706)/100)^MAX(0,$C726-$AD$706),IF(DATE($C726,9,15)&gt;=$W$706,$Z$706*(1+($U$706)/100)^MAX(0,$C726-$AC$706),IF(DATE($C726,9,15)&gt;=$V$706,$Y$706*(1+($U$706)/100)^MAX(0,$C726-$AB$706),0)))))</f>
      </c>
      <c r="N726" s="43">
        <f>IF($S$706=0,0,IF(OR(DATE($C726,10,15)&lt;$S$706,AND($T$706&gt;0,DATE($C726,10,15)&gt;$T$706)),0,IF(DATE($C726,10,15)&gt;=$X$706,$AA$706*(1+($U$706)/100)^MAX(0,$C726-$AD$706),IF(DATE($C726,10,15)&gt;=$W$706,$Z$706*(1+($U$706)/100)^MAX(0,$C726-$AC$706),IF(DATE($C726,10,15)&gt;=$V$706,$Y$706*(1+($U$706)/100)^MAX(0,$C726-$AB$706),0)))))</f>
      </c>
      <c r="O726" s="43">
        <f>IF($S$706=0,0,IF(OR(DATE($C726,11,15)&lt;$S$706,AND($T$706&gt;0,DATE($C726,11,15)&gt;$T$706)),0,IF(DATE($C726,11,15)&gt;=$X$706,$AA$706*(1+($U$706)/100)^MAX(0,$C726-$AD$706),IF(DATE($C726,11,15)&gt;=$W$706,$Z$706*(1+($U$706)/100)^MAX(0,$C726-$AC$706),IF(DATE($C726,11,15)&gt;=$V$706,$Y$706*(1+($U$706)/100)^MAX(0,$C726-$AB$706),0)))))</f>
      </c>
      <c r="P726" s="43">
        <f>IF($S$706=0,0,IF(OR(DATE($C726,12,15)&lt;$S$706,AND($T$706&gt;0,DATE($C726,12,15)&gt;$T$706)),0,IF(DATE($C726,12,15)&gt;=$X$706,$AA$706*(1+($U$706)/100)^MAX(0,$C726-$AD$706),IF(DATE($C726,12,15)&gt;=$W$706,$Z$706*(1+($U$706)/100)^MAX(0,$C726-$AC$706),IF(DATE($C726,12,15)&gt;=$V$706,$Y$706*(1+($U$706)/100)^MAX(0,$C726-$AB$706),0)))))</f>
      </c>
      <c r="Q726" s="43">
        <f>SUM($E726:$P726)</f>
      </c>
    </row>
    <row r="727">
      <c r="A727"/>
      <c r="B727">
        <v>23</v>
      </c>
      <c r="C727" s="43">
        <f>Jahr+21</f>
      </c>
      <c r="D727" s="43">
        <f>INDEX(MvObj,23)</f>
      </c>
      <c r="E727" s="43">
        <f>IF($S$706=0,0,IF(OR(DATE($C727,1,15)&lt;$S$706,AND($T$706&gt;0,DATE($C727,1,15)&gt;$T$706)),0,IF(DATE($C727,1,15)&gt;=$X$706,$AA$706*(1+($U$706)/100)^MAX(0,$C727-$AD$706),IF(DATE($C727,1,15)&gt;=$W$706,$Z$706*(1+($U$706)/100)^MAX(0,$C727-$AC$706),IF(DATE($C727,1,15)&gt;=$V$706,$Y$706*(1+($U$706)/100)^MAX(0,$C727-$AB$706),0)))))</f>
      </c>
      <c r="F727" s="43">
        <f>IF($S$706=0,0,IF(OR(DATE($C727,2,15)&lt;$S$706,AND($T$706&gt;0,DATE($C727,2,15)&gt;$T$706)),0,IF(DATE($C727,2,15)&gt;=$X$706,$AA$706*(1+($U$706)/100)^MAX(0,$C727-$AD$706),IF(DATE($C727,2,15)&gt;=$W$706,$Z$706*(1+($U$706)/100)^MAX(0,$C727-$AC$706),IF(DATE($C727,2,15)&gt;=$V$706,$Y$706*(1+($U$706)/100)^MAX(0,$C727-$AB$706),0)))))</f>
      </c>
      <c r="G727" s="43">
        <f>IF($S$706=0,0,IF(OR(DATE($C727,3,15)&lt;$S$706,AND($T$706&gt;0,DATE($C727,3,15)&gt;$T$706)),0,IF(DATE($C727,3,15)&gt;=$X$706,$AA$706*(1+($U$706)/100)^MAX(0,$C727-$AD$706),IF(DATE($C727,3,15)&gt;=$W$706,$Z$706*(1+($U$706)/100)^MAX(0,$C727-$AC$706),IF(DATE($C727,3,15)&gt;=$V$706,$Y$706*(1+($U$706)/100)^MAX(0,$C727-$AB$706),0)))))</f>
      </c>
      <c r="H727" s="43">
        <f>IF($S$706=0,0,IF(OR(DATE($C727,4,15)&lt;$S$706,AND($T$706&gt;0,DATE($C727,4,15)&gt;$T$706)),0,IF(DATE($C727,4,15)&gt;=$X$706,$AA$706*(1+($U$706)/100)^MAX(0,$C727-$AD$706),IF(DATE($C727,4,15)&gt;=$W$706,$Z$706*(1+($U$706)/100)^MAX(0,$C727-$AC$706),IF(DATE($C727,4,15)&gt;=$V$706,$Y$706*(1+($U$706)/100)^MAX(0,$C727-$AB$706),0)))))</f>
      </c>
      <c r="I727" s="43">
        <f>IF($S$706=0,0,IF(OR(DATE($C727,5,15)&lt;$S$706,AND($T$706&gt;0,DATE($C727,5,15)&gt;$T$706)),0,IF(DATE($C727,5,15)&gt;=$X$706,$AA$706*(1+($U$706)/100)^MAX(0,$C727-$AD$706),IF(DATE($C727,5,15)&gt;=$W$706,$Z$706*(1+($U$706)/100)^MAX(0,$C727-$AC$706),IF(DATE($C727,5,15)&gt;=$V$706,$Y$706*(1+($U$706)/100)^MAX(0,$C727-$AB$706),0)))))</f>
      </c>
      <c r="J727" s="43">
        <f>IF($S$706=0,0,IF(OR(DATE($C727,6,15)&lt;$S$706,AND($T$706&gt;0,DATE($C727,6,15)&gt;$T$706)),0,IF(DATE($C727,6,15)&gt;=$X$706,$AA$706*(1+($U$706)/100)^MAX(0,$C727-$AD$706),IF(DATE($C727,6,15)&gt;=$W$706,$Z$706*(1+($U$706)/100)^MAX(0,$C727-$AC$706),IF(DATE($C727,6,15)&gt;=$V$706,$Y$706*(1+($U$706)/100)^MAX(0,$C727-$AB$706),0)))))</f>
      </c>
      <c r="K727" s="43">
        <f>IF($S$706=0,0,IF(OR(DATE($C727,7,15)&lt;$S$706,AND($T$706&gt;0,DATE($C727,7,15)&gt;$T$706)),0,IF(DATE($C727,7,15)&gt;=$X$706,$AA$706*(1+($U$706)/100)^MAX(0,$C727-$AD$706),IF(DATE($C727,7,15)&gt;=$W$706,$Z$706*(1+($U$706)/100)^MAX(0,$C727-$AC$706),IF(DATE($C727,7,15)&gt;=$V$706,$Y$706*(1+($U$706)/100)^MAX(0,$C727-$AB$706),0)))))</f>
      </c>
      <c r="L727" s="43">
        <f>IF($S$706=0,0,IF(OR(DATE($C727,8,15)&lt;$S$706,AND($T$706&gt;0,DATE($C727,8,15)&gt;$T$706)),0,IF(DATE($C727,8,15)&gt;=$X$706,$AA$706*(1+($U$706)/100)^MAX(0,$C727-$AD$706),IF(DATE($C727,8,15)&gt;=$W$706,$Z$706*(1+($U$706)/100)^MAX(0,$C727-$AC$706),IF(DATE($C727,8,15)&gt;=$V$706,$Y$706*(1+($U$706)/100)^MAX(0,$C727-$AB$706),0)))))</f>
      </c>
      <c r="M727" s="43">
        <f>IF($S$706=0,0,IF(OR(DATE($C727,9,15)&lt;$S$706,AND($T$706&gt;0,DATE($C727,9,15)&gt;$T$706)),0,IF(DATE($C727,9,15)&gt;=$X$706,$AA$706*(1+($U$706)/100)^MAX(0,$C727-$AD$706),IF(DATE($C727,9,15)&gt;=$W$706,$Z$706*(1+($U$706)/100)^MAX(0,$C727-$AC$706),IF(DATE($C727,9,15)&gt;=$V$706,$Y$706*(1+($U$706)/100)^MAX(0,$C727-$AB$706),0)))))</f>
      </c>
      <c r="N727" s="43">
        <f>IF($S$706=0,0,IF(OR(DATE($C727,10,15)&lt;$S$706,AND($T$706&gt;0,DATE($C727,10,15)&gt;$T$706)),0,IF(DATE($C727,10,15)&gt;=$X$706,$AA$706*(1+($U$706)/100)^MAX(0,$C727-$AD$706),IF(DATE($C727,10,15)&gt;=$W$706,$Z$706*(1+($U$706)/100)^MAX(0,$C727-$AC$706),IF(DATE($C727,10,15)&gt;=$V$706,$Y$706*(1+($U$706)/100)^MAX(0,$C727-$AB$706),0)))))</f>
      </c>
      <c r="O727" s="43">
        <f>IF($S$706=0,0,IF(OR(DATE($C727,11,15)&lt;$S$706,AND($T$706&gt;0,DATE($C727,11,15)&gt;$T$706)),0,IF(DATE($C727,11,15)&gt;=$X$706,$AA$706*(1+($U$706)/100)^MAX(0,$C727-$AD$706),IF(DATE($C727,11,15)&gt;=$W$706,$Z$706*(1+($U$706)/100)^MAX(0,$C727-$AC$706),IF(DATE($C727,11,15)&gt;=$V$706,$Y$706*(1+($U$706)/100)^MAX(0,$C727-$AB$706),0)))))</f>
      </c>
      <c r="P727" s="43">
        <f>IF($S$706=0,0,IF(OR(DATE($C727,12,15)&lt;$S$706,AND($T$706&gt;0,DATE($C727,12,15)&gt;$T$706)),0,IF(DATE($C727,12,15)&gt;=$X$706,$AA$706*(1+($U$706)/100)^MAX(0,$C727-$AD$706),IF(DATE($C727,12,15)&gt;=$W$706,$Z$706*(1+($U$706)/100)^MAX(0,$C727-$AC$706),IF(DATE($C727,12,15)&gt;=$V$706,$Y$706*(1+($U$706)/100)^MAX(0,$C727-$AB$706),0)))))</f>
      </c>
      <c r="Q727" s="43">
        <f>SUM($E727:$P727)</f>
      </c>
    </row>
    <row r="728">
      <c r="A728"/>
      <c r="B728">
        <v>23</v>
      </c>
      <c r="C728" s="43">
        <f>Jahr+22</f>
      </c>
      <c r="D728" s="43">
        <f>INDEX(MvObj,23)</f>
      </c>
      <c r="E728" s="43">
        <f>IF($S$706=0,0,IF(OR(DATE($C728,1,15)&lt;$S$706,AND($T$706&gt;0,DATE($C728,1,15)&gt;$T$706)),0,IF(DATE($C728,1,15)&gt;=$X$706,$AA$706*(1+($U$706)/100)^MAX(0,$C728-$AD$706),IF(DATE($C728,1,15)&gt;=$W$706,$Z$706*(1+($U$706)/100)^MAX(0,$C728-$AC$706),IF(DATE($C728,1,15)&gt;=$V$706,$Y$706*(1+($U$706)/100)^MAX(0,$C728-$AB$706),0)))))</f>
      </c>
      <c r="F728" s="43">
        <f>IF($S$706=0,0,IF(OR(DATE($C728,2,15)&lt;$S$706,AND($T$706&gt;0,DATE($C728,2,15)&gt;$T$706)),0,IF(DATE($C728,2,15)&gt;=$X$706,$AA$706*(1+($U$706)/100)^MAX(0,$C728-$AD$706),IF(DATE($C728,2,15)&gt;=$W$706,$Z$706*(1+($U$706)/100)^MAX(0,$C728-$AC$706),IF(DATE($C728,2,15)&gt;=$V$706,$Y$706*(1+($U$706)/100)^MAX(0,$C728-$AB$706),0)))))</f>
      </c>
      <c r="G728" s="43">
        <f>IF($S$706=0,0,IF(OR(DATE($C728,3,15)&lt;$S$706,AND($T$706&gt;0,DATE($C728,3,15)&gt;$T$706)),0,IF(DATE($C728,3,15)&gt;=$X$706,$AA$706*(1+($U$706)/100)^MAX(0,$C728-$AD$706),IF(DATE($C728,3,15)&gt;=$W$706,$Z$706*(1+($U$706)/100)^MAX(0,$C728-$AC$706),IF(DATE($C728,3,15)&gt;=$V$706,$Y$706*(1+($U$706)/100)^MAX(0,$C728-$AB$706),0)))))</f>
      </c>
      <c r="H728" s="43">
        <f>IF($S$706=0,0,IF(OR(DATE($C728,4,15)&lt;$S$706,AND($T$706&gt;0,DATE($C728,4,15)&gt;$T$706)),0,IF(DATE($C728,4,15)&gt;=$X$706,$AA$706*(1+($U$706)/100)^MAX(0,$C728-$AD$706),IF(DATE($C728,4,15)&gt;=$W$706,$Z$706*(1+($U$706)/100)^MAX(0,$C728-$AC$706),IF(DATE($C728,4,15)&gt;=$V$706,$Y$706*(1+($U$706)/100)^MAX(0,$C728-$AB$706),0)))))</f>
      </c>
      <c r="I728" s="43">
        <f>IF($S$706=0,0,IF(OR(DATE($C728,5,15)&lt;$S$706,AND($T$706&gt;0,DATE($C728,5,15)&gt;$T$706)),0,IF(DATE($C728,5,15)&gt;=$X$706,$AA$706*(1+($U$706)/100)^MAX(0,$C728-$AD$706),IF(DATE($C728,5,15)&gt;=$W$706,$Z$706*(1+($U$706)/100)^MAX(0,$C728-$AC$706),IF(DATE($C728,5,15)&gt;=$V$706,$Y$706*(1+($U$706)/100)^MAX(0,$C728-$AB$706),0)))))</f>
      </c>
      <c r="J728" s="43">
        <f>IF($S$706=0,0,IF(OR(DATE($C728,6,15)&lt;$S$706,AND($T$706&gt;0,DATE($C728,6,15)&gt;$T$706)),0,IF(DATE($C728,6,15)&gt;=$X$706,$AA$706*(1+($U$706)/100)^MAX(0,$C728-$AD$706),IF(DATE($C728,6,15)&gt;=$W$706,$Z$706*(1+($U$706)/100)^MAX(0,$C728-$AC$706),IF(DATE($C728,6,15)&gt;=$V$706,$Y$706*(1+($U$706)/100)^MAX(0,$C728-$AB$706),0)))))</f>
      </c>
      <c r="K728" s="43">
        <f>IF($S$706=0,0,IF(OR(DATE($C728,7,15)&lt;$S$706,AND($T$706&gt;0,DATE($C728,7,15)&gt;$T$706)),0,IF(DATE($C728,7,15)&gt;=$X$706,$AA$706*(1+($U$706)/100)^MAX(0,$C728-$AD$706),IF(DATE($C728,7,15)&gt;=$W$706,$Z$706*(1+($U$706)/100)^MAX(0,$C728-$AC$706),IF(DATE($C728,7,15)&gt;=$V$706,$Y$706*(1+($U$706)/100)^MAX(0,$C728-$AB$706),0)))))</f>
      </c>
      <c r="L728" s="43">
        <f>IF($S$706=0,0,IF(OR(DATE($C728,8,15)&lt;$S$706,AND($T$706&gt;0,DATE($C728,8,15)&gt;$T$706)),0,IF(DATE($C728,8,15)&gt;=$X$706,$AA$706*(1+($U$706)/100)^MAX(0,$C728-$AD$706),IF(DATE($C728,8,15)&gt;=$W$706,$Z$706*(1+($U$706)/100)^MAX(0,$C728-$AC$706),IF(DATE($C728,8,15)&gt;=$V$706,$Y$706*(1+($U$706)/100)^MAX(0,$C728-$AB$706),0)))))</f>
      </c>
      <c r="M728" s="43">
        <f>IF($S$706=0,0,IF(OR(DATE($C728,9,15)&lt;$S$706,AND($T$706&gt;0,DATE($C728,9,15)&gt;$T$706)),0,IF(DATE($C728,9,15)&gt;=$X$706,$AA$706*(1+($U$706)/100)^MAX(0,$C728-$AD$706),IF(DATE($C728,9,15)&gt;=$W$706,$Z$706*(1+($U$706)/100)^MAX(0,$C728-$AC$706),IF(DATE($C728,9,15)&gt;=$V$706,$Y$706*(1+($U$706)/100)^MAX(0,$C728-$AB$706),0)))))</f>
      </c>
      <c r="N728" s="43">
        <f>IF($S$706=0,0,IF(OR(DATE($C728,10,15)&lt;$S$706,AND($T$706&gt;0,DATE($C728,10,15)&gt;$T$706)),0,IF(DATE($C728,10,15)&gt;=$X$706,$AA$706*(1+($U$706)/100)^MAX(0,$C728-$AD$706),IF(DATE($C728,10,15)&gt;=$W$706,$Z$706*(1+($U$706)/100)^MAX(0,$C728-$AC$706),IF(DATE($C728,10,15)&gt;=$V$706,$Y$706*(1+($U$706)/100)^MAX(0,$C728-$AB$706),0)))))</f>
      </c>
      <c r="O728" s="43">
        <f>IF($S$706=0,0,IF(OR(DATE($C728,11,15)&lt;$S$706,AND($T$706&gt;0,DATE($C728,11,15)&gt;$T$706)),0,IF(DATE($C728,11,15)&gt;=$X$706,$AA$706*(1+($U$706)/100)^MAX(0,$C728-$AD$706),IF(DATE($C728,11,15)&gt;=$W$706,$Z$706*(1+($U$706)/100)^MAX(0,$C728-$AC$706),IF(DATE($C728,11,15)&gt;=$V$706,$Y$706*(1+($U$706)/100)^MAX(0,$C728-$AB$706),0)))))</f>
      </c>
      <c r="P728" s="43">
        <f>IF($S$706=0,0,IF(OR(DATE($C728,12,15)&lt;$S$706,AND($T$706&gt;0,DATE($C728,12,15)&gt;$T$706)),0,IF(DATE($C728,12,15)&gt;=$X$706,$AA$706*(1+($U$706)/100)^MAX(0,$C728-$AD$706),IF(DATE($C728,12,15)&gt;=$W$706,$Z$706*(1+($U$706)/100)^MAX(0,$C728-$AC$706),IF(DATE($C728,12,15)&gt;=$V$706,$Y$706*(1+($U$706)/100)^MAX(0,$C728-$AB$706),0)))))</f>
      </c>
      <c r="Q728" s="43">
        <f>SUM($E728:$P728)</f>
      </c>
    </row>
    <row r="729">
      <c r="A729"/>
      <c r="B729">
        <v>23</v>
      </c>
      <c r="C729" s="43">
        <f>Jahr+23</f>
      </c>
      <c r="D729" s="43">
        <f>INDEX(MvObj,23)</f>
      </c>
      <c r="E729" s="43">
        <f>IF($S$706=0,0,IF(OR(DATE($C729,1,15)&lt;$S$706,AND($T$706&gt;0,DATE($C729,1,15)&gt;$T$706)),0,IF(DATE($C729,1,15)&gt;=$X$706,$AA$706*(1+($U$706)/100)^MAX(0,$C729-$AD$706),IF(DATE($C729,1,15)&gt;=$W$706,$Z$706*(1+($U$706)/100)^MAX(0,$C729-$AC$706),IF(DATE($C729,1,15)&gt;=$V$706,$Y$706*(1+($U$706)/100)^MAX(0,$C729-$AB$706),0)))))</f>
      </c>
      <c r="F729" s="43">
        <f>IF($S$706=0,0,IF(OR(DATE($C729,2,15)&lt;$S$706,AND($T$706&gt;0,DATE($C729,2,15)&gt;$T$706)),0,IF(DATE($C729,2,15)&gt;=$X$706,$AA$706*(1+($U$706)/100)^MAX(0,$C729-$AD$706),IF(DATE($C729,2,15)&gt;=$W$706,$Z$706*(1+($U$706)/100)^MAX(0,$C729-$AC$706),IF(DATE($C729,2,15)&gt;=$V$706,$Y$706*(1+($U$706)/100)^MAX(0,$C729-$AB$706),0)))))</f>
      </c>
      <c r="G729" s="43">
        <f>IF($S$706=0,0,IF(OR(DATE($C729,3,15)&lt;$S$706,AND($T$706&gt;0,DATE($C729,3,15)&gt;$T$706)),0,IF(DATE($C729,3,15)&gt;=$X$706,$AA$706*(1+($U$706)/100)^MAX(0,$C729-$AD$706),IF(DATE($C729,3,15)&gt;=$W$706,$Z$706*(1+($U$706)/100)^MAX(0,$C729-$AC$706),IF(DATE($C729,3,15)&gt;=$V$706,$Y$706*(1+($U$706)/100)^MAX(0,$C729-$AB$706),0)))))</f>
      </c>
      <c r="H729" s="43">
        <f>IF($S$706=0,0,IF(OR(DATE($C729,4,15)&lt;$S$706,AND($T$706&gt;0,DATE($C729,4,15)&gt;$T$706)),0,IF(DATE($C729,4,15)&gt;=$X$706,$AA$706*(1+($U$706)/100)^MAX(0,$C729-$AD$706),IF(DATE($C729,4,15)&gt;=$W$706,$Z$706*(1+($U$706)/100)^MAX(0,$C729-$AC$706),IF(DATE($C729,4,15)&gt;=$V$706,$Y$706*(1+($U$706)/100)^MAX(0,$C729-$AB$706),0)))))</f>
      </c>
      <c r="I729" s="43">
        <f>IF($S$706=0,0,IF(OR(DATE($C729,5,15)&lt;$S$706,AND($T$706&gt;0,DATE($C729,5,15)&gt;$T$706)),0,IF(DATE($C729,5,15)&gt;=$X$706,$AA$706*(1+($U$706)/100)^MAX(0,$C729-$AD$706),IF(DATE($C729,5,15)&gt;=$W$706,$Z$706*(1+($U$706)/100)^MAX(0,$C729-$AC$706),IF(DATE($C729,5,15)&gt;=$V$706,$Y$706*(1+($U$706)/100)^MAX(0,$C729-$AB$706),0)))))</f>
      </c>
      <c r="J729" s="43">
        <f>IF($S$706=0,0,IF(OR(DATE($C729,6,15)&lt;$S$706,AND($T$706&gt;0,DATE($C729,6,15)&gt;$T$706)),0,IF(DATE($C729,6,15)&gt;=$X$706,$AA$706*(1+($U$706)/100)^MAX(0,$C729-$AD$706),IF(DATE($C729,6,15)&gt;=$W$706,$Z$706*(1+($U$706)/100)^MAX(0,$C729-$AC$706),IF(DATE($C729,6,15)&gt;=$V$706,$Y$706*(1+($U$706)/100)^MAX(0,$C729-$AB$706),0)))))</f>
      </c>
      <c r="K729" s="43">
        <f>IF($S$706=0,0,IF(OR(DATE($C729,7,15)&lt;$S$706,AND($T$706&gt;0,DATE($C729,7,15)&gt;$T$706)),0,IF(DATE($C729,7,15)&gt;=$X$706,$AA$706*(1+($U$706)/100)^MAX(0,$C729-$AD$706),IF(DATE($C729,7,15)&gt;=$W$706,$Z$706*(1+($U$706)/100)^MAX(0,$C729-$AC$706),IF(DATE($C729,7,15)&gt;=$V$706,$Y$706*(1+($U$706)/100)^MAX(0,$C729-$AB$706),0)))))</f>
      </c>
      <c r="L729" s="43">
        <f>IF($S$706=0,0,IF(OR(DATE($C729,8,15)&lt;$S$706,AND($T$706&gt;0,DATE($C729,8,15)&gt;$T$706)),0,IF(DATE($C729,8,15)&gt;=$X$706,$AA$706*(1+($U$706)/100)^MAX(0,$C729-$AD$706),IF(DATE($C729,8,15)&gt;=$W$706,$Z$706*(1+($U$706)/100)^MAX(0,$C729-$AC$706),IF(DATE($C729,8,15)&gt;=$V$706,$Y$706*(1+($U$706)/100)^MAX(0,$C729-$AB$706),0)))))</f>
      </c>
      <c r="M729" s="43">
        <f>IF($S$706=0,0,IF(OR(DATE($C729,9,15)&lt;$S$706,AND($T$706&gt;0,DATE($C729,9,15)&gt;$T$706)),0,IF(DATE($C729,9,15)&gt;=$X$706,$AA$706*(1+($U$706)/100)^MAX(0,$C729-$AD$706),IF(DATE($C729,9,15)&gt;=$W$706,$Z$706*(1+($U$706)/100)^MAX(0,$C729-$AC$706),IF(DATE($C729,9,15)&gt;=$V$706,$Y$706*(1+($U$706)/100)^MAX(0,$C729-$AB$706),0)))))</f>
      </c>
      <c r="N729" s="43">
        <f>IF($S$706=0,0,IF(OR(DATE($C729,10,15)&lt;$S$706,AND($T$706&gt;0,DATE($C729,10,15)&gt;$T$706)),0,IF(DATE($C729,10,15)&gt;=$X$706,$AA$706*(1+($U$706)/100)^MAX(0,$C729-$AD$706),IF(DATE($C729,10,15)&gt;=$W$706,$Z$706*(1+($U$706)/100)^MAX(0,$C729-$AC$706),IF(DATE($C729,10,15)&gt;=$V$706,$Y$706*(1+($U$706)/100)^MAX(0,$C729-$AB$706),0)))))</f>
      </c>
      <c r="O729" s="43">
        <f>IF($S$706=0,0,IF(OR(DATE($C729,11,15)&lt;$S$706,AND($T$706&gt;0,DATE($C729,11,15)&gt;$T$706)),0,IF(DATE($C729,11,15)&gt;=$X$706,$AA$706*(1+($U$706)/100)^MAX(0,$C729-$AD$706),IF(DATE($C729,11,15)&gt;=$W$706,$Z$706*(1+($U$706)/100)^MAX(0,$C729-$AC$706),IF(DATE($C729,11,15)&gt;=$V$706,$Y$706*(1+($U$706)/100)^MAX(0,$C729-$AB$706),0)))))</f>
      </c>
      <c r="P729" s="43">
        <f>IF($S$706=0,0,IF(OR(DATE($C729,12,15)&lt;$S$706,AND($T$706&gt;0,DATE($C729,12,15)&gt;$T$706)),0,IF(DATE($C729,12,15)&gt;=$X$706,$AA$706*(1+($U$706)/100)^MAX(0,$C729-$AD$706),IF(DATE($C729,12,15)&gt;=$W$706,$Z$706*(1+($U$706)/100)^MAX(0,$C729-$AC$706),IF(DATE($C729,12,15)&gt;=$V$706,$Y$706*(1+($U$706)/100)^MAX(0,$C729-$AB$706),0)))))</f>
      </c>
      <c r="Q729" s="43">
        <f>SUM($E729:$P729)</f>
      </c>
    </row>
    <row r="730">
      <c r="A730"/>
      <c r="B730">
        <v>23</v>
      </c>
      <c r="C730" s="43">
        <f>Jahr+24</f>
      </c>
      <c r="D730" s="43">
        <f>INDEX(MvObj,23)</f>
      </c>
      <c r="E730" s="43">
        <f>IF($S$706=0,0,IF(OR(DATE($C730,1,15)&lt;$S$706,AND($T$706&gt;0,DATE($C730,1,15)&gt;$T$706)),0,IF(DATE($C730,1,15)&gt;=$X$706,$AA$706*(1+($U$706)/100)^MAX(0,$C730-$AD$706),IF(DATE($C730,1,15)&gt;=$W$706,$Z$706*(1+($U$706)/100)^MAX(0,$C730-$AC$706),IF(DATE($C730,1,15)&gt;=$V$706,$Y$706*(1+($U$706)/100)^MAX(0,$C730-$AB$706),0)))))</f>
      </c>
      <c r="F730" s="43">
        <f>IF($S$706=0,0,IF(OR(DATE($C730,2,15)&lt;$S$706,AND($T$706&gt;0,DATE($C730,2,15)&gt;$T$706)),0,IF(DATE($C730,2,15)&gt;=$X$706,$AA$706*(1+($U$706)/100)^MAX(0,$C730-$AD$706),IF(DATE($C730,2,15)&gt;=$W$706,$Z$706*(1+($U$706)/100)^MAX(0,$C730-$AC$706),IF(DATE($C730,2,15)&gt;=$V$706,$Y$706*(1+($U$706)/100)^MAX(0,$C730-$AB$706),0)))))</f>
      </c>
      <c r="G730" s="43">
        <f>IF($S$706=0,0,IF(OR(DATE($C730,3,15)&lt;$S$706,AND($T$706&gt;0,DATE($C730,3,15)&gt;$T$706)),0,IF(DATE($C730,3,15)&gt;=$X$706,$AA$706*(1+($U$706)/100)^MAX(0,$C730-$AD$706),IF(DATE($C730,3,15)&gt;=$W$706,$Z$706*(1+($U$706)/100)^MAX(0,$C730-$AC$706),IF(DATE($C730,3,15)&gt;=$V$706,$Y$706*(1+($U$706)/100)^MAX(0,$C730-$AB$706),0)))))</f>
      </c>
      <c r="H730" s="43">
        <f>IF($S$706=0,0,IF(OR(DATE($C730,4,15)&lt;$S$706,AND($T$706&gt;0,DATE($C730,4,15)&gt;$T$706)),0,IF(DATE($C730,4,15)&gt;=$X$706,$AA$706*(1+($U$706)/100)^MAX(0,$C730-$AD$706),IF(DATE($C730,4,15)&gt;=$W$706,$Z$706*(1+($U$706)/100)^MAX(0,$C730-$AC$706),IF(DATE($C730,4,15)&gt;=$V$706,$Y$706*(1+($U$706)/100)^MAX(0,$C730-$AB$706),0)))))</f>
      </c>
      <c r="I730" s="43">
        <f>IF($S$706=0,0,IF(OR(DATE($C730,5,15)&lt;$S$706,AND($T$706&gt;0,DATE($C730,5,15)&gt;$T$706)),0,IF(DATE($C730,5,15)&gt;=$X$706,$AA$706*(1+($U$706)/100)^MAX(0,$C730-$AD$706),IF(DATE($C730,5,15)&gt;=$W$706,$Z$706*(1+($U$706)/100)^MAX(0,$C730-$AC$706),IF(DATE($C730,5,15)&gt;=$V$706,$Y$706*(1+($U$706)/100)^MAX(0,$C730-$AB$706),0)))))</f>
      </c>
      <c r="J730" s="43">
        <f>IF($S$706=0,0,IF(OR(DATE($C730,6,15)&lt;$S$706,AND($T$706&gt;0,DATE($C730,6,15)&gt;$T$706)),0,IF(DATE($C730,6,15)&gt;=$X$706,$AA$706*(1+($U$706)/100)^MAX(0,$C730-$AD$706),IF(DATE($C730,6,15)&gt;=$W$706,$Z$706*(1+($U$706)/100)^MAX(0,$C730-$AC$706),IF(DATE($C730,6,15)&gt;=$V$706,$Y$706*(1+($U$706)/100)^MAX(0,$C730-$AB$706),0)))))</f>
      </c>
      <c r="K730" s="43">
        <f>IF($S$706=0,0,IF(OR(DATE($C730,7,15)&lt;$S$706,AND($T$706&gt;0,DATE($C730,7,15)&gt;$T$706)),0,IF(DATE($C730,7,15)&gt;=$X$706,$AA$706*(1+($U$706)/100)^MAX(0,$C730-$AD$706),IF(DATE($C730,7,15)&gt;=$W$706,$Z$706*(1+($U$706)/100)^MAX(0,$C730-$AC$706),IF(DATE($C730,7,15)&gt;=$V$706,$Y$706*(1+($U$706)/100)^MAX(0,$C730-$AB$706),0)))))</f>
      </c>
      <c r="L730" s="43">
        <f>IF($S$706=0,0,IF(OR(DATE($C730,8,15)&lt;$S$706,AND($T$706&gt;0,DATE($C730,8,15)&gt;$T$706)),0,IF(DATE($C730,8,15)&gt;=$X$706,$AA$706*(1+($U$706)/100)^MAX(0,$C730-$AD$706),IF(DATE($C730,8,15)&gt;=$W$706,$Z$706*(1+($U$706)/100)^MAX(0,$C730-$AC$706),IF(DATE($C730,8,15)&gt;=$V$706,$Y$706*(1+($U$706)/100)^MAX(0,$C730-$AB$706),0)))))</f>
      </c>
      <c r="M730" s="43">
        <f>IF($S$706=0,0,IF(OR(DATE($C730,9,15)&lt;$S$706,AND($T$706&gt;0,DATE($C730,9,15)&gt;$T$706)),0,IF(DATE($C730,9,15)&gt;=$X$706,$AA$706*(1+($U$706)/100)^MAX(0,$C730-$AD$706),IF(DATE($C730,9,15)&gt;=$W$706,$Z$706*(1+($U$706)/100)^MAX(0,$C730-$AC$706),IF(DATE($C730,9,15)&gt;=$V$706,$Y$706*(1+($U$706)/100)^MAX(0,$C730-$AB$706),0)))))</f>
      </c>
      <c r="N730" s="43">
        <f>IF($S$706=0,0,IF(OR(DATE($C730,10,15)&lt;$S$706,AND($T$706&gt;0,DATE($C730,10,15)&gt;$T$706)),0,IF(DATE($C730,10,15)&gt;=$X$706,$AA$706*(1+($U$706)/100)^MAX(0,$C730-$AD$706),IF(DATE($C730,10,15)&gt;=$W$706,$Z$706*(1+($U$706)/100)^MAX(0,$C730-$AC$706),IF(DATE($C730,10,15)&gt;=$V$706,$Y$706*(1+($U$706)/100)^MAX(0,$C730-$AB$706),0)))))</f>
      </c>
      <c r="O730" s="43">
        <f>IF($S$706=0,0,IF(OR(DATE($C730,11,15)&lt;$S$706,AND($T$706&gt;0,DATE($C730,11,15)&gt;$T$706)),0,IF(DATE($C730,11,15)&gt;=$X$706,$AA$706*(1+($U$706)/100)^MAX(0,$C730-$AD$706),IF(DATE($C730,11,15)&gt;=$W$706,$Z$706*(1+($U$706)/100)^MAX(0,$C730-$AC$706),IF(DATE($C730,11,15)&gt;=$V$706,$Y$706*(1+($U$706)/100)^MAX(0,$C730-$AB$706),0)))))</f>
      </c>
      <c r="P730" s="43">
        <f>IF($S$706=0,0,IF(OR(DATE($C730,12,15)&lt;$S$706,AND($T$706&gt;0,DATE($C730,12,15)&gt;$T$706)),0,IF(DATE($C730,12,15)&gt;=$X$706,$AA$706*(1+($U$706)/100)^MAX(0,$C730-$AD$706),IF(DATE($C730,12,15)&gt;=$W$706,$Z$706*(1+($U$706)/100)^MAX(0,$C730-$AC$706),IF(DATE($C730,12,15)&gt;=$V$706,$Y$706*(1+($U$706)/100)^MAX(0,$C730-$AB$706),0)))))</f>
      </c>
      <c r="Q730" s="43">
        <f>SUM($E730:$P730)</f>
      </c>
    </row>
    <row r="731">
      <c r="A731"/>
      <c r="B731">
        <v>23</v>
      </c>
      <c r="C731" s="43">
        <f>Jahr+25</f>
      </c>
      <c r="D731" s="43">
        <f>INDEX(MvObj,23)</f>
      </c>
      <c r="E731" s="43">
        <f>IF($S$706=0,0,IF(OR(DATE($C731,1,15)&lt;$S$706,AND($T$706&gt;0,DATE($C731,1,15)&gt;$T$706)),0,IF(DATE($C731,1,15)&gt;=$X$706,$AA$706*(1+($U$706)/100)^MAX(0,$C731-$AD$706),IF(DATE($C731,1,15)&gt;=$W$706,$Z$706*(1+($U$706)/100)^MAX(0,$C731-$AC$706),IF(DATE($C731,1,15)&gt;=$V$706,$Y$706*(1+($U$706)/100)^MAX(0,$C731-$AB$706),0)))))</f>
      </c>
      <c r="F731" s="43">
        <f>IF($S$706=0,0,IF(OR(DATE($C731,2,15)&lt;$S$706,AND($T$706&gt;0,DATE($C731,2,15)&gt;$T$706)),0,IF(DATE($C731,2,15)&gt;=$X$706,$AA$706*(1+($U$706)/100)^MAX(0,$C731-$AD$706),IF(DATE($C731,2,15)&gt;=$W$706,$Z$706*(1+($U$706)/100)^MAX(0,$C731-$AC$706),IF(DATE($C731,2,15)&gt;=$V$706,$Y$706*(1+($U$706)/100)^MAX(0,$C731-$AB$706),0)))))</f>
      </c>
      <c r="G731" s="43">
        <f>IF($S$706=0,0,IF(OR(DATE($C731,3,15)&lt;$S$706,AND($T$706&gt;0,DATE($C731,3,15)&gt;$T$706)),0,IF(DATE($C731,3,15)&gt;=$X$706,$AA$706*(1+($U$706)/100)^MAX(0,$C731-$AD$706),IF(DATE($C731,3,15)&gt;=$W$706,$Z$706*(1+($U$706)/100)^MAX(0,$C731-$AC$706),IF(DATE($C731,3,15)&gt;=$V$706,$Y$706*(1+($U$706)/100)^MAX(0,$C731-$AB$706),0)))))</f>
      </c>
      <c r="H731" s="43">
        <f>IF($S$706=0,0,IF(OR(DATE($C731,4,15)&lt;$S$706,AND($T$706&gt;0,DATE($C731,4,15)&gt;$T$706)),0,IF(DATE($C731,4,15)&gt;=$X$706,$AA$706*(1+($U$706)/100)^MAX(0,$C731-$AD$706),IF(DATE($C731,4,15)&gt;=$W$706,$Z$706*(1+($U$706)/100)^MAX(0,$C731-$AC$706),IF(DATE($C731,4,15)&gt;=$V$706,$Y$706*(1+($U$706)/100)^MAX(0,$C731-$AB$706),0)))))</f>
      </c>
      <c r="I731" s="43">
        <f>IF($S$706=0,0,IF(OR(DATE($C731,5,15)&lt;$S$706,AND($T$706&gt;0,DATE($C731,5,15)&gt;$T$706)),0,IF(DATE($C731,5,15)&gt;=$X$706,$AA$706*(1+($U$706)/100)^MAX(0,$C731-$AD$706),IF(DATE($C731,5,15)&gt;=$W$706,$Z$706*(1+($U$706)/100)^MAX(0,$C731-$AC$706),IF(DATE($C731,5,15)&gt;=$V$706,$Y$706*(1+($U$706)/100)^MAX(0,$C731-$AB$706),0)))))</f>
      </c>
      <c r="J731" s="43">
        <f>IF($S$706=0,0,IF(OR(DATE($C731,6,15)&lt;$S$706,AND($T$706&gt;0,DATE($C731,6,15)&gt;$T$706)),0,IF(DATE($C731,6,15)&gt;=$X$706,$AA$706*(1+($U$706)/100)^MAX(0,$C731-$AD$706),IF(DATE($C731,6,15)&gt;=$W$706,$Z$706*(1+($U$706)/100)^MAX(0,$C731-$AC$706),IF(DATE($C731,6,15)&gt;=$V$706,$Y$706*(1+($U$706)/100)^MAX(0,$C731-$AB$706),0)))))</f>
      </c>
      <c r="K731" s="43">
        <f>IF($S$706=0,0,IF(OR(DATE($C731,7,15)&lt;$S$706,AND($T$706&gt;0,DATE($C731,7,15)&gt;$T$706)),0,IF(DATE($C731,7,15)&gt;=$X$706,$AA$706*(1+($U$706)/100)^MAX(0,$C731-$AD$706),IF(DATE($C731,7,15)&gt;=$W$706,$Z$706*(1+($U$706)/100)^MAX(0,$C731-$AC$706),IF(DATE($C731,7,15)&gt;=$V$706,$Y$706*(1+($U$706)/100)^MAX(0,$C731-$AB$706),0)))))</f>
      </c>
      <c r="L731" s="43">
        <f>IF($S$706=0,0,IF(OR(DATE($C731,8,15)&lt;$S$706,AND($T$706&gt;0,DATE($C731,8,15)&gt;$T$706)),0,IF(DATE($C731,8,15)&gt;=$X$706,$AA$706*(1+($U$706)/100)^MAX(0,$C731-$AD$706),IF(DATE($C731,8,15)&gt;=$W$706,$Z$706*(1+($U$706)/100)^MAX(0,$C731-$AC$706),IF(DATE($C731,8,15)&gt;=$V$706,$Y$706*(1+($U$706)/100)^MAX(0,$C731-$AB$706),0)))))</f>
      </c>
      <c r="M731" s="43">
        <f>IF($S$706=0,0,IF(OR(DATE($C731,9,15)&lt;$S$706,AND($T$706&gt;0,DATE($C731,9,15)&gt;$T$706)),0,IF(DATE($C731,9,15)&gt;=$X$706,$AA$706*(1+($U$706)/100)^MAX(0,$C731-$AD$706),IF(DATE($C731,9,15)&gt;=$W$706,$Z$706*(1+($U$706)/100)^MAX(0,$C731-$AC$706),IF(DATE($C731,9,15)&gt;=$V$706,$Y$706*(1+($U$706)/100)^MAX(0,$C731-$AB$706),0)))))</f>
      </c>
      <c r="N731" s="43">
        <f>IF($S$706=0,0,IF(OR(DATE($C731,10,15)&lt;$S$706,AND($T$706&gt;0,DATE($C731,10,15)&gt;$T$706)),0,IF(DATE($C731,10,15)&gt;=$X$706,$AA$706*(1+($U$706)/100)^MAX(0,$C731-$AD$706),IF(DATE($C731,10,15)&gt;=$W$706,$Z$706*(1+($U$706)/100)^MAX(0,$C731-$AC$706),IF(DATE($C731,10,15)&gt;=$V$706,$Y$706*(1+($U$706)/100)^MAX(0,$C731-$AB$706),0)))))</f>
      </c>
      <c r="O731" s="43">
        <f>IF($S$706=0,0,IF(OR(DATE($C731,11,15)&lt;$S$706,AND($T$706&gt;0,DATE($C731,11,15)&gt;$T$706)),0,IF(DATE($C731,11,15)&gt;=$X$706,$AA$706*(1+($U$706)/100)^MAX(0,$C731-$AD$706),IF(DATE($C731,11,15)&gt;=$W$706,$Z$706*(1+($U$706)/100)^MAX(0,$C731-$AC$706),IF(DATE($C731,11,15)&gt;=$V$706,$Y$706*(1+($U$706)/100)^MAX(0,$C731-$AB$706),0)))))</f>
      </c>
      <c r="P731" s="43">
        <f>IF($S$706=0,0,IF(OR(DATE($C731,12,15)&lt;$S$706,AND($T$706&gt;0,DATE($C731,12,15)&gt;$T$706)),0,IF(DATE($C731,12,15)&gt;=$X$706,$AA$706*(1+($U$706)/100)^MAX(0,$C731-$AD$706),IF(DATE($C731,12,15)&gt;=$W$706,$Z$706*(1+($U$706)/100)^MAX(0,$C731-$AC$706),IF(DATE($C731,12,15)&gt;=$V$706,$Y$706*(1+($U$706)/100)^MAX(0,$C731-$AB$706),0)))))</f>
      </c>
      <c r="Q731" s="43">
        <f>SUM($E731:$P731)</f>
      </c>
    </row>
    <row r="732">
      <c r="A732"/>
      <c r="B732">
        <v>23</v>
      </c>
      <c r="C732" s="43">
        <f>Jahr+26</f>
      </c>
      <c r="D732" s="43">
        <f>INDEX(MvObj,23)</f>
      </c>
      <c r="E732" s="43">
        <f>IF($S$706=0,0,IF(OR(DATE($C732,1,15)&lt;$S$706,AND($T$706&gt;0,DATE($C732,1,15)&gt;$T$706)),0,IF(DATE($C732,1,15)&gt;=$X$706,$AA$706*(1+($U$706)/100)^MAX(0,$C732-$AD$706),IF(DATE($C732,1,15)&gt;=$W$706,$Z$706*(1+($U$706)/100)^MAX(0,$C732-$AC$706),IF(DATE($C732,1,15)&gt;=$V$706,$Y$706*(1+($U$706)/100)^MAX(0,$C732-$AB$706),0)))))</f>
      </c>
      <c r="F732" s="43">
        <f>IF($S$706=0,0,IF(OR(DATE($C732,2,15)&lt;$S$706,AND($T$706&gt;0,DATE($C732,2,15)&gt;$T$706)),0,IF(DATE($C732,2,15)&gt;=$X$706,$AA$706*(1+($U$706)/100)^MAX(0,$C732-$AD$706),IF(DATE($C732,2,15)&gt;=$W$706,$Z$706*(1+($U$706)/100)^MAX(0,$C732-$AC$706),IF(DATE($C732,2,15)&gt;=$V$706,$Y$706*(1+($U$706)/100)^MAX(0,$C732-$AB$706),0)))))</f>
      </c>
      <c r="G732" s="43">
        <f>IF($S$706=0,0,IF(OR(DATE($C732,3,15)&lt;$S$706,AND($T$706&gt;0,DATE($C732,3,15)&gt;$T$706)),0,IF(DATE($C732,3,15)&gt;=$X$706,$AA$706*(1+($U$706)/100)^MAX(0,$C732-$AD$706),IF(DATE($C732,3,15)&gt;=$W$706,$Z$706*(1+($U$706)/100)^MAX(0,$C732-$AC$706),IF(DATE($C732,3,15)&gt;=$V$706,$Y$706*(1+($U$706)/100)^MAX(0,$C732-$AB$706),0)))))</f>
      </c>
      <c r="H732" s="43">
        <f>IF($S$706=0,0,IF(OR(DATE($C732,4,15)&lt;$S$706,AND($T$706&gt;0,DATE($C732,4,15)&gt;$T$706)),0,IF(DATE($C732,4,15)&gt;=$X$706,$AA$706*(1+($U$706)/100)^MAX(0,$C732-$AD$706),IF(DATE($C732,4,15)&gt;=$W$706,$Z$706*(1+($U$706)/100)^MAX(0,$C732-$AC$706),IF(DATE($C732,4,15)&gt;=$V$706,$Y$706*(1+($U$706)/100)^MAX(0,$C732-$AB$706),0)))))</f>
      </c>
      <c r="I732" s="43">
        <f>IF($S$706=0,0,IF(OR(DATE($C732,5,15)&lt;$S$706,AND($T$706&gt;0,DATE($C732,5,15)&gt;$T$706)),0,IF(DATE($C732,5,15)&gt;=$X$706,$AA$706*(1+($U$706)/100)^MAX(0,$C732-$AD$706),IF(DATE($C732,5,15)&gt;=$W$706,$Z$706*(1+($U$706)/100)^MAX(0,$C732-$AC$706),IF(DATE($C732,5,15)&gt;=$V$706,$Y$706*(1+($U$706)/100)^MAX(0,$C732-$AB$706),0)))))</f>
      </c>
      <c r="J732" s="43">
        <f>IF($S$706=0,0,IF(OR(DATE($C732,6,15)&lt;$S$706,AND($T$706&gt;0,DATE($C732,6,15)&gt;$T$706)),0,IF(DATE($C732,6,15)&gt;=$X$706,$AA$706*(1+($U$706)/100)^MAX(0,$C732-$AD$706),IF(DATE($C732,6,15)&gt;=$W$706,$Z$706*(1+($U$706)/100)^MAX(0,$C732-$AC$706),IF(DATE($C732,6,15)&gt;=$V$706,$Y$706*(1+($U$706)/100)^MAX(0,$C732-$AB$706),0)))))</f>
      </c>
      <c r="K732" s="43">
        <f>IF($S$706=0,0,IF(OR(DATE($C732,7,15)&lt;$S$706,AND($T$706&gt;0,DATE($C732,7,15)&gt;$T$706)),0,IF(DATE($C732,7,15)&gt;=$X$706,$AA$706*(1+($U$706)/100)^MAX(0,$C732-$AD$706),IF(DATE($C732,7,15)&gt;=$W$706,$Z$706*(1+($U$706)/100)^MAX(0,$C732-$AC$706),IF(DATE($C732,7,15)&gt;=$V$706,$Y$706*(1+($U$706)/100)^MAX(0,$C732-$AB$706),0)))))</f>
      </c>
      <c r="L732" s="43">
        <f>IF($S$706=0,0,IF(OR(DATE($C732,8,15)&lt;$S$706,AND($T$706&gt;0,DATE($C732,8,15)&gt;$T$706)),0,IF(DATE($C732,8,15)&gt;=$X$706,$AA$706*(1+($U$706)/100)^MAX(0,$C732-$AD$706),IF(DATE($C732,8,15)&gt;=$W$706,$Z$706*(1+($U$706)/100)^MAX(0,$C732-$AC$706),IF(DATE($C732,8,15)&gt;=$V$706,$Y$706*(1+($U$706)/100)^MAX(0,$C732-$AB$706),0)))))</f>
      </c>
      <c r="M732" s="43">
        <f>IF($S$706=0,0,IF(OR(DATE($C732,9,15)&lt;$S$706,AND($T$706&gt;0,DATE($C732,9,15)&gt;$T$706)),0,IF(DATE($C732,9,15)&gt;=$X$706,$AA$706*(1+($U$706)/100)^MAX(0,$C732-$AD$706),IF(DATE($C732,9,15)&gt;=$W$706,$Z$706*(1+($U$706)/100)^MAX(0,$C732-$AC$706),IF(DATE($C732,9,15)&gt;=$V$706,$Y$706*(1+($U$706)/100)^MAX(0,$C732-$AB$706),0)))))</f>
      </c>
      <c r="N732" s="43">
        <f>IF($S$706=0,0,IF(OR(DATE($C732,10,15)&lt;$S$706,AND($T$706&gt;0,DATE($C732,10,15)&gt;$T$706)),0,IF(DATE($C732,10,15)&gt;=$X$706,$AA$706*(1+($U$706)/100)^MAX(0,$C732-$AD$706),IF(DATE($C732,10,15)&gt;=$W$706,$Z$706*(1+($U$706)/100)^MAX(0,$C732-$AC$706),IF(DATE($C732,10,15)&gt;=$V$706,$Y$706*(1+($U$706)/100)^MAX(0,$C732-$AB$706),0)))))</f>
      </c>
      <c r="O732" s="43">
        <f>IF($S$706=0,0,IF(OR(DATE($C732,11,15)&lt;$S$706,AND($T$706&gt;0,DATE($C732,11,15)&gt;$T$706)),0,IF(DATE($C732,11,15)&gt;=$X$706,$AA$706*(1+($U$706)/100)^MAX(0,$C732-$AD$706),IF(DATE($C732,11,15)&gt;=$W$706,$Z$706*(1+($U$706)/100)^MAX(0,$C732-$AC$706),IF(DATE($C732,11,15)&gt;=$V$706,$Y$706*(1+($U$706)/100)^MAX(0,$C732-$AB$706),0)))))</f>
      </c>
      <c r="P732" s="43">
        <f>IF($S$706=0,0,IF(OR(DATE($C732,12,15)&lt;$S$706,AND($T$706&gt;0,DATE($C732,12,15)&gt;$T$706)),0,IF(DATE($C732,12,15)&gt;=$X$706,$AA$706*(1+($U$706)/100)^MAX(0,$C732-$AD$706),IF(DATE($C732,12,15)&gt;=$W$706,$Z$706*(1+($U$706)/100)^MAX(0,$C732-$AC$706),IF(DATE($C732,12,15)&gt;=$V$706,$Y$706*(1+($U$706)/100)^MAX(0,$C732-$AB$706),0)))))</f>
      </c>
      <c r="Q732" s="43">
        <f>SUM($E732:$P732)</f>
      </c>
    </row>
    <row r="733">
      <c r="A733"/>
      <c r="B733">
        <v>23</v>
      </c>
      <c r="C733" s="43">
        <f>Jahr+27</f>
      </c>
      <c r="D733" s="43">
        <f>INDEX(MvObj,23)</f>
      </c>
      <c r="E733" s="43">
        <f>IF($S$706=0,0,IF(OR(DATE($C733,1,15)&lt;$S$706,AND($T$706&gt;0,DATE($C733,1,15)&gt;$T$706)),0,IF(DATE($C733,1,15)&gt;=$X$706,$AA$706*(1+($U$706)/100)^MAX(0,$C733-$AD$706),IF(DATE($C733,1,15)&gt;=$W$706,$Z$706*(1+($U$706)/100)^MAX(0,$C733-$AC$706),IF(DATE($C733,1,15)&gt;=$V$706,$Y$706*(1+($U$706)/100)^MAX(0,$C733-$AB$706),0)))))</f>
      </c>
      <c r="F733" s="43">
        <f>IF($S$706=0,0,IF(OR(DATE($C733,2,15)&lt;$S$706,AND($T$706&gt;0,DATE($C733,2,15)&gt;$T$706)),0,IF(DATE($C733,2,15)&gt;=$X$706,$AA$706*(1+($U$706)/100)^MAX(0,$C733-$AD$706),IF(DATE($C733,2,15)&gt;=$W$706,$Z$706*(1+($U$706)/100)^MAX(0,$C733-$AC$706),IF(DATE($C733,2,15)&gt;=$V$706,$Y$706*(1+($U$706)/100)^MAX(0,$C733-$AB$706),0)))))</f>
      </c>
      <c r="G733" s="43">
        <f>IF($S$706=0,0,IF(OR(DATE($C733,3,15)&lt;$S$706,AND($T$706&gt;0,DATE($C733,3,15)&gt;$T$706)),0,IF(DATE($C733,3,15)&gt;=$X$706,$AA$706*(1+($U$706)/100)^MAX(0,$C733-$AD$706),IF(DATE($C733,3,15)&gt;=$W$706,$Z$706*(1+($U$706)/100)^MAX(0,$C733-$AC$706),IF(DATE($C733,3,15)&gt;=$V$706,$Y$706*(1+($U$706)/100)^MAX(0,$C733-$AB$706),0)))))</f>
      </c>
      <c r="H733" s="43">
        <f>IF($S$706=0,0,IF(OR(DATE($C733,4,15)&lt;$S$706,AND($T$706&gt;0,DATE($C733,4,15)&gt;$T$706)),0,IF(DATE($C733,4,15)&gt;=$X$706,$AA$706*(1+($U$706)/100)^MAX(0,$C733-$AD$706),IF(DATE($C733,4,15)&gt;=$W$706,$Z$706*(1+($U$706)/100)^MAX(0,$C733-$AC$706),IF(DATE($C733,4,15)&gt;=$V$706,$Y$706*(1+($U$706)/100)^MAX(0,$C733-$AB$706),0)))))</f>
      </c>
      <c r="I733" s="43">
        <f>IF($S$706=0,0,IF(OR(DATE($C733,5,15)&lt;$S$706,AND($T$706&gt;0,DATE($C733,5,15)&gt;$T$706)),0,IF(DATE($C733,5,15)&gt;=$X$706,$AA$706*(1+($U$706)/100)^MAX(0,$C733-$AD$706),IF(DATE($C733,5,15)&gt;=$W$706,$Z$706*(1+($U$706)/100)^MAX(0,$C733-$AC$706),IF(DATE($C733,5,15)&gt;=$V$706,$Y$706*(1+($U$706)/100)^MAX(0,$C733-$AB$706),0)))))</f>
      </c>
      <c r="J733" s="43">
        <f>IF($S$706=0,0,IF(OR(DATE($C733,6,15)&lt;$S$706,AND($T$706&gt;0,DATE($C733,6,15)&gt;$T$706)),0,IF(DATE($C733,6,15)&gt;=$X$706,$AA$706*(1+($U$706)/100)^MAX(0,$C733-$AD$706),IF(DATE($C733,6,15)&gt;=$W$706,$Z$706*(1+($U$706)/100)^MAX(0,$C733-$AC$706),IF(DATE($C733,6,15)&gt;=$V$706,$Y$706*(1+($U$706)/100)^MAX(0,$C733-$AB$706),0)))))</f>
      </c>
      <c r="K733" s="43">
        <f>IF($S$706=0,0,IF(OR(DATE($C733,7,15)&lt;$S$706,AND($T$706&gt;0,DATE($C733,7,15)&gt;$T$706)),0,IF(DATE($C733,7,15)&gt;=$X$706,$AA$706*(1+($U$706)/100)^MAX(0,$C733-$AD$706),IF(DATE($C733,7,15)&gt;=$W$706,$Z$706*(1+($U$706)/100)^MAX(0,$C733-$AC$706),IF(DATE($C733,7,15)&gt;=$V$706,$Y$706*(1+($U$706)/100)^MAX(0,$C733-$AB$706),0)))))</f>
      </c>
      <c r="L733" s="43">
        <f>IF($S$706=0,0,IF(OR(DATE($C733,8,15)&lt;$S$706,AND($T$706&gt;0,DATE($C733,8,15)&gt;$T$706)),0,IF(DATE($C733,8,15)&gt;=$X$706,$AA$706*(1+($U$706)/100)^MAX(0,$C733-$AD$706),IF(DATE($C733,8,15)&gt;=$W$706,$Z$706*(1+($U$706)/100)^MAX(0,$C733-$AC$706),IF(DATE($C733,8,15)&gt;=$V$706,$Y$706*(1+($U$706)/100)^MAX(0,$C733-$AB$706),0)))))</f>
      </c>
      <c r="M733" s="43">
        <f>IF($S$706=0,0,IF(OR(DATE($C733,9,15)&lt;$S$706,AND($T$706&gt;0,DATE($C733,9,15)&gt;$T$706)),0,IF(DATE($C733,9,15)&gt;=$X$706,$AA$706*(1+($U$706)/100)^MAX(0,$C733-$AD$706),IF(DATE($C733,9,15)&gt;=$W$706,$Z$706*(1+($U$706)/100)^MAX(0,$C733-$AC$706),IF(DATE($C733,9,15)&gt;=$V$706,$Y$706*(1+($U$706)/100)^MAX(0,$C733-$AB$706),0)))))</f>
      </c>
      <c r="N733" s="43">
        <f>IF($S$706=0,0,IF(OR(DATE($C733,10,15)&lt;$S$706,AND($T$706&gt;0,DATE($C733,10,15)&gt;$T$706)),0,IF(DATE($C733,10,15)&gt;=$X$706,$AA$706*(1+($U$706)/100)^MAX(0,$C733-$AD$706),IF(DATE($C733,10,15)&gt;=$W$706,$Z$706*(1+($U$706)/100)^MAX(0,$C733-$AC$706),IF(DATE($C733,10,15)&gt;=$V$706,$Y$706*(1+($U$706)/100)^MAX(0,$C733-$AB$706),0)))))</f>
      </c>
      <c r="O733" s="43">
        <f>IF($S$706=0,0,IF(OR(DATE($C733,11,15)&lt;$S$706,AND($T$706&gt;0,DATE($C733,11,15)&gt;$T$706)),0,IF(DATE($C733,11,15)&gt;=$X$706,$AA$706*(1+($U$706)/100)^MAX(0,$C733-$AD$706),IF(DATE($C733,11,15)&gt;=$W$706,$Z$706*(1+($U$706)/100)^MAX(0,$C733-$AC$706),IF(DATE($C733,11,15)&gt;=$V$706,$Y$706*(1+($U$706)/100)^MAX(0,$C733-$AB$706),0)))))</f>
      </c>
      <c r="P733" s="43">
        <f>IF($S$706=0,0,IF(OR(DATE($C733,12,15)&lt;$S$706,AND($T$706&gt;0,DATE($C733,12,15)&gt;$T$706)),0,IF(DATE($C733,12,15)&gt;=$X$706,$AA$706*(1+($U$706)/100)^MAX(0,$C733-$AD$706),IF(DATE($C733,12,15)&gt;=$W$706,$Z$706*(1+($U$706)/100)^MAX(0,$C733-$AC$706),IF(DATE($C733,12,15)&gt;=$V$706,$Y$706*(1+($U$706)/100)^MAX(0,$C733-$AB$706),0)))))</f>
      </c>
      <c r="Q733" s="43">
        <f>SUM($E733:$P733)</f>
      </c>
    </row>
    <row r="734">
      <c r="A734"/>
      <c r="B734">
        <v>23</v>
      </c>
      <c r="C734" s="43">
        <f>Jahr+28</f>
      </c>
      <c r="D734" s="43">
        <f>INDEX(MvObj,23)</f>
      </c>
      <c r="E734" s="43">
        <f>IF($S$706=0,0,IF(OR(DATE($C734,1,15)&lt;$S$706,AND($T$706&gt;0,DATE($C734,1,15)&gt;$T$706)),0,IF(DATE($C734,1,15)&gt;=$X$706,$AA$706*(1+($U$706)/100)^MAX(0,$C734-$AD$706),IF(DATE($C734,1,15)&gt;=$W$706,$Z$706*(1+($U$706)/100)^MAX(0,$C734-$AC$706),IF(DATE($C734,1,15)&gt;=$V$706,$Y$706*(1+($U$706)/100)^MAX(0,$C734-$AB$706),0)))))</f>
      </c>
      <c r="F734" s="43">
        <f>IF($S$706=0,0,IF(OR(DATE($C734,2,15)&lt;$S$706,AND($T$706&gt;0,DATE($C734,2,15)&gt;$T$706)),0,IF(DATE($C734,2,15)&gt;=$X$706,$AA$706*(1+($U$706)/100)^MAX(0,$C734-$AD$706),IF(DATE($C734,2,15)&gt;=$W$706,$Z$706*(1+($U$706)/100)^MAX(0,$C734-$AC$706),IF(DATE($C734,2,15)&gt;=$V$706,$Y$706*(1+($U$706)/100)^MAX(0,$C734-$AB$706),0)))))</f>
      </c>
      <c r="G734" s="43">
        <f>IF($S$706=0,0,IF(OR(DATE($C734,3,15)&lt;$S$706,AND($T$706&gt;0,DATE($C734,3,15)&gt;$T$706)),0,IF(DATE($C734,3,15)&gt;=$X$706,$AA$706*(1+($U$706)/100)^MAX(0,$C734-$AD$706),IF(DATE($C734,3,15)&gt;=$W$706,$Z$706*(1+($U$706)/100)^MAX(0,$C734-$AC$706),IF(DATE($C734,3,15)&gt;=$V$706,$Y$706*(1+($U$706)/100)^MAX(0,$C734-$AB$706),0)))))</f>
      </c>
      <c r="H734" s="43">
        <f>IF($S$706=0,0,IF(OR(DATE($C734,4,15)&lt;$S$706,AND($T$706&gt;0,DATE($C734,4,15)&gt;$T$706)),0,IF(DATE($C734,4,15)&gt;=$X$706,$AA$706*(1+($U$706)/100)^MAX(0,$C734-$AD$706),IF(DATE($C734,4,15)&gt;=$W$706,$Z$706*(1+($U$706)/100)^MAX(0,$C734-$AC$706),IF(DATE($C734,4,15)&gt;=$V$706,$Y$706*(1+($U$706)/100)^MAX(0,$C734-$AB$706),0)))))</f>
      </c>
      <c r="I734" s="43">
        <f>IF($S$706=0,0,IF(OR(DATE($C734,5,15)&lt;$S$706,AND($T$706&gt;0,DATE($C734,5,15)&gt;$T$706)),0,IF(DATE($C734,5,15)&gt;=$X$706,$AA$706*(1+($U$706)/100)^MAX(0,$C734-$AD$706),IF(DATE($C734,5,15)&gt;=$W$706,$Z$706*(1+($U$706)/100)^MAX(0,$C734-$AC$706),IF(DATE($C734,5,15)&gt;=$V$706,$Y$706*(1+($U$706)/100)^MAX(0,$C734-$AB$706),0)))))</f>
      </c>
      <c r="J734" s="43">
        <f>IF($S$706=0,0,IF(OR(DATE($C734,6,15)&lt;$S$706,AND($T$706&gt;0,DATE($C734,6,15)&gt;$T$706)),0,IF(DATE($C734,6,15)&gt;=$X$706,$AA$706*(1+($U$706)/100)^MAX(0,$C734-$AD$706),IF(DATE($C734,6,15)&gt;=$W$706,$Z$706*(1+($U$706)/100)^MAX(0,$C734-$AC$706),IF(DATE($C734,6,15)&gt;=$V$706,$Y$706*(1+($U$706)/100)^MAX(0,$C734-$AB$706),0)))))</f>
      </c>
      <c r="K734" s="43">
        <f>IF($S$706=0,0,IF(OR(DATE($C734,7,15)&lt;$S$706,AND($T$706&gt;0,DATE($C734,7,15)&gt;$T$706)),0,IF(DATE($C734,7,15)&gt;=$X$706,$AA$706*(1+($U$706)/100)^MAX(0,$C734-$AD$706),IF(DATE($C734,7,15)&gt;=$W$706,$Z$706*(1+($U$706)/100)^MAX(0,$C734-$AC$706),IF(DATE($C734,7,15)&gt;=$V$706,$Y$706*(1+($U$706)/100)^MAX(0,$C734-$AB$706),0)))))</f>
      </c>
      <c r="L734" s="43">
        <f>IF($S$706=0,0,IF(OR(DATE($C734,8,15)&lt;$S$706,AND($T$706&gt;0,DATE($C734,8,15)&gt;$T$706)),0,IF(DATE($C734,8,15)&gt;=$X$706,$AA$706*(1+($U$706)/100)^MAX(0,$C734-$AD$706),IF(DATE($C734,8,15)&gt;=$W$706,$Z$706*(1+($U$706)/100)^MAX(0,$C734-$AC$706),IF(DATE($C734,8,15)&gt;=$V$706,$Y$706*(1+($U$706)/100)^MAX(0,$C734-$AB$706),0)))))</f>
      </c>
      <c r="M734" s="43">
        <f>IF($S$706=0,0,IF(OR(DATE($C734,9,15)&lt;$S$706,AND($T$706&gt;0,DATE($C734,9,15)&gt;$T$706)),0,IF(DATE($C734,9,15)&gt;=$X$706,$AA$706*(1+($U$706)/100)^MAX(0,$C734-$AD$706),IF(DATE($C734,9,15)&gt;=$W$706,$Z$706*(1+($U$706)/100)^MAX(0,$C734-$AC$706),IF(DATE($C734,9,15)&gt;=$V$706,$Y$706*(1+($U$706)/100)^MAX(0,$C734-$AB$706),0)))))</f>
      </c>
      <c r="N734" s="43">
        <f>IF($S$706=0,0,IF(OR(DATE($C734,10,15)&lt;$S$706,AND($T$706&gt;0,DATE($C734,10,15)&gt;$T$706)),0,IF(DATE($C734,10,15)&gt;=$X$706,$AA$706*(1+($U$706)/100)^MAX(0,$C734-$AD$706),IF(DATE($C734,10,15)&gt;=$W$706,$Z$706*(1+($U$706)/100)^MAX(0,$C734-$AC$706),IF(DATE($C734,10,15)&gt;=$V$706,$Y$706*(1+($U$706)/100)^MAX(0,$C734-$AB$706),0)))))</f>
      </c>
      <c r="O734" s="43">
        <f>IF($S$706=0,0,IF(OR(DATE($C734,11,15)&lt;$S$706,AND($T$706&gt;0,DATE($C734,11,15)&gt;$T$706)),0,IF(DATE($C734,11,15)&gt;=$X$706,$AA$706*(1+($U$706)/100)^MAX(0,$C734-$AD$706),IF(DATE($C734,11,15)&gt;=$W$706,$Z$706*(1+($U$706)/100)^MAX(0,$C734-$AC$706),IF(DATE($C734,11,15)&gt;=$V$706,$Y$706*(1+($U$706)/100)^MAX(0,$C734-$AB$706),0)))))</f>
      </c>
      <c r="P734" s="43">
        <f>IF($S$706=0,0,IF(OR(DATE($C734,12,15)&lt;$S$706,AND($T$706&gt;0,DATE($C734,12,15)&gt;$T$706)),0,IF(DATE($C734,12,15)&gt;=$X$706,$AA$706*(1+($U$706)/100)^MAX(0,$C734-$AD$706),IF(DATE($C734,12,15)&gt;=$W$706,$Z$706*(1+($U$706)/100)^MAX(0,$C734-$AC$706),IF(DATE($C734,12,15)&gt;=$V$706,$Y$706*(1+($U$706)/100)^MAX(0,$C734-$AB$706),0)))))</f>
      </c>
      <c r="Q734" s="43">
        <f>SUM($E734:$P734)</f>
      </c>
    </row>
    <row r="735">
      <c r="A735"/>
      <c r="B735">
        <v>23</v>
      </c>
      <c r="C735" s="43">
        <f>Jahr+29</f>
      </c>
      <c r="D735" s="43">
        <f>INDEX(MvObj,23)</f>
      </c>
      <c r="E735" s="43">
        <f>IF($S$706=0,0,IF(OR(DATE($C735,1,15)&lt;$S$706,AND($T$706&gt;0,DATE($C735,1,15)&gt;$T$706)),0,IF(DATE($C735,1,15)&gt;=$X$706,$AA$706*(1+($U$706)/100)^MAX(0,$C735-$AD$706),IF(DATE($C735,1,15)&gt;=$W$706,$Z$706*(1+($U$706)/100)^MAX(0,$C735-$AC$706),IF(DATE($C735,1,15)&gt;=$V$706,$Y$706*(1+($U$706)/100)^MAX(0,$C735-$AB$706),0)))))</f>
      </c>
      <c r="F735" s="43">
        <f>IF($S$706=0,0,IF(OR(DATE($C735,2,15)&lt;$S$706,AND($T$706&gt;0,DATE($C735,2,15)&gt;$T$706)),0,IF(DATE($C735,2,15)&gt;=$X$706,$AA$706*(1+($U$706)/100)^MAX(0,$C735-$AD$706),IF(DATE($C735,2,15)&gt;=$W$706,$Z$706*(1+($U$706)/100)^MAX(0,$C735-$AC$706),IF(DATE($C735,2,15)&gt;=$V$706,$Y$706*(1+($U$706)/100)^MAX(0,$C735-$AB$706),0)))))</f>
      </c>
      <c r="G735" s="43">
        <f>IF($S$706=0,0,IF(OR(DATE($C735,3,15)&lt;$S$706,AND($T$706&gt;0,DATE($C735,3,15)&gt;$T$706)),0,IF(DATE($C735,3,15)&gt;=$X$706,$AA$706*(1+($U$706)/100)^MAX(0,$C735-$AD$706),IF(DATE($C735,3,15)&gt;=$W$706,$Z$706*(1+($U$706)/100)^MAX(0,$C735-$AC$706),IF(DATE($C735,3,15)&gt;=$V$706,$Y$706*(1+($U$706)/100)^MAX(0,$C735-$AB$706),0)))))</f>
      </c>
      <c r="H735" s="43">
        <f>IF($S$706=0,0,IF(OR(DATE($C735,4,15)&lt;$S$706,AND($T$706&gt;0,DATE($C735,4,15)&gt;$T$706)),0,IF(DATE($C735,4,15)&gt;=$X$706,$AA$706*(1+($U$706)/100)^MAX(0,$C735-$AD$706),IF(DATE($C735,4,15)&gt;=$W$706,$Z$706*(1+($U$706)/100)^MAX(0,$C735-$AC$706),IF(DATE($C735,4,15)&gt;=$V$706,$Y$706*(1+($U$706)/100)^MAX(0,$C735-$AB$706),0)))))</f>
      </c>
      <c r="I735" s="43">
        <f>IF($S$706=0,0,IF(OR(DATE($C735,5,15)&lt;$S$706,AND($T$706&gt;0,DATE($C735,5,15)&gt;$T$706)),0,IF(DATE($C735,5,15)&gt;=$X$706,$AA$706*(1+($U$706)/100)^MAX(0,$C735-$AD$706),IF(DATE($C735,5,15)&gt;=$W$706,$Z$706*(1+($U$706)/100)^MAX(0,$C735-$AC$706),IF(DATE($C735,5,15)&gt;=$V$706,$Y$706*(1+($U$706)/100)^MAX(0,$C735-$AB$706),0)))))</f>
      </c>
      <c r="J735" s="43">
        <f>IF($S$706=0,0,IF(OR(DATE($C735,6,15)&lt;$S$706,AND($T$706&gt;0,DATE($C735,6,15)&gt;$T$706)),0,IF(DATE($C735,6,15)&gt;=$X$706,$AA$706*(1+($U$706)/100)^MAX(0,$C735-$AD$706),IF(DATE($C735,6,15)&gt;=$W$706,$Z$706*(1+($U$706)/100)^MAX(0,$C735-$AC$706),IF(DATE($C735,6,15)&gt;=$V$706,$Y$706*(1+($U$706)/100)^MAX(0,$C735-$AB$706),0)))))</f>
      </c>
      <c r="K735" s="43">
        <f>IF($S$706=0,0,IF(OR(DATE($C735,7,15)&lt;$S$706,AND($T$706&gt;0,DATE($C735,7,15)&gt;$T$706)),0,IF(DATE($C735,7,15)&gt;=$X$706,$AA$706*(1+($U$706)/100)^MAX(0,$C735-$AD$706),IF(DATE($C735,7,15)&gt;=$W$706,$Z$706*(1+($U$706)/100)^MAX(0,$C735-$AC$706),IF(DATE($C735,7,15)&gt;=$V$706,$Y$706*(1+($U$706)/100)^MAX(0,$C735-$AB$706),0)))))</f>
      </c>
      <c r="L735" s="43">
        <f>IF($S$706=0,0,IF(OR(DATE($C735,8,15)&lt;$S$706,AND($T$706&gt;0,DATE($C735,8,15)&gt;$T$706)),0,IF(DATE($C735,8,15)&gt;=$X$706,$AA$706*(1+($U$706)/100)^MAX(0,$C735-$AD$706),IF(DATE($C735,8,15)&gt;=$W$706,$Z$706*(1+($U$706)/100)^MAX(0,$C735-$AC$706),IF(DATE($C735,8,15)&gt;=$V$706,$Y$706*(1+($U$706)/100)^MAX(0,$C735-$AB$706),0)))))</f>
      </c>
      <c r="M735" s="43">
        <f>IF($S$706=0,0,IF(OR(DATE($C735,9,15)&lt;$S$706,AND($T$706&gt;0,DATE($C735,9,15)&gt;$T$706)),0,IF(DATE($C735,9,15)&gt;=$X$706,$AA$706*(1+($U$706)/100)^MAX(0,$C735-$AD$706),IF(DATE($C735,9,15)&gt;=$W$706,$Z$706*(1+($U$706)/100)^MAX(0,$C735-$AC$706),IF(DATE($C735,9,15)&gt;=$V$706,$Y$706*(1+($U$706)/100)^MAX(0,$C735-$AB$706),0)))))</f>
      </c>
      <c r="N735" s="43">
        <f>IF($S$706=0,0,IF(OR(DATE($C735,10,15)&lt;$S$706,AND($T$706&gt;0,DATE($C735,10,15)&gt;$T$706)),0,IF(DATE($C735,10,15)&gt;=$X$706,$AA$706*(1+($U$706)/100)^MAX(0,$C735-$AD$706),IF(DATE($C735,10,15)&gt;=$W$706,$Z$706*(1+($U$706)/100)^MAX(0,$C735-$AC$706),IF(DATE($C735,10,15)&gt;=$V$706,$Y$706*(1+($U$706)/100)^MAX(0,$C735-$AB$706),0)))))</f>
      </c>
      <c r="O735" s="43">
        <f>IF($S$706=0,0,IF(OR(DATE($C735,11,15)&lt;$S$706,AND($T$706&gt;0,DATE($C735,11,15)&gt;$T$706)),0,IF(DATE($C735,11,15)&gt;=$X$706,$AA$706*(1+($U$706)/100)^MAX(0,$C735-$AD$706),IF(DATE($C735,11,15)&gt;=$W$706,$Z$706*(1+($U$706)/100)^MAX(0,$C735-$AC$706),IF(DATE($C735,11,15)&gt;=$V$706,$Y$706*(1+($U$706)/100)^MAX(0,$C735-$AB$706),0)))))</f>
      </c>
      <c r="P735" s="43">
        <f>IF($S$706=0,0,IF(OR(DATE($C735,12,15)&lt;$S$706,AND($T$706&gt;0,DATE($C735,12,15)&gt;$T$706)),0,IF(DATE($C735,12,15)&gt;=$X$706,$AA$706*(1+($U$706)/100)^MAX(0,$C735-$AD$706),IF(DATE($C735,12,15)&gt;=$W$706,$Z$706*(1+($U$706)/100)^MAX(0,$C735-$AC$706),IF(DATE($C735,12,15)&gt;=$V$706,$Y$706*(1+($U$706)/100)^MAX(0,$C735-$AB$706),0)))))</f>
      </c>
      <c r="Q735" s="43">
        <f>SUM($E735:$P735)</f>
      </c>
    </row>
    <row r="736">
      <c r="A736"/>
      <c r="B736">
        <v>23</v>
      </c>
      <c r="C736" s="43">
        <f>Jahr+30</f>
      </c>
      <c r="D736" s="43">
        <f>INDEX(MvObj,23)</f>
      </c>
      <c r="E736" s="43">
        <f>IF($S$706=0,0,IF(OR(DATE($C736,1,15)&lt;$S$706,AND($T$706&gt;0,DATE($C736,1,15)&gt;$T$706)),0,IF(DATE($C736,1,15)&gt;=$X$706,$AA$706*(1+($U$706)/100)^MAX(0,$C736-$AD$706),IF(DATE($C736,1,15)&gt;=$W$706,$Z$706*(1+($U$706)/100)^MAX(0,$C736-$AC$706),IF(DATE($C736,1,15)&gt;=$V$706,$Y$706*(1+($U$706)/100)^MAX(0,$C736-$AB$706),0)))))</f>
      </c>
      <c r="F736" s="43">
        <f>IF($S$706=0,0,IF(OR(DATE($C736,2,15)&lt;$S$706,AND($T$706&gt;0,DATE($C736,2,15)&gt;$T$706)),0,IF(DATE($C736,2,15)&gt;=$X$706,$AA$706*(1+($U$706)/100)^MAX(0,$C736-$AD$706),IF(DATE($C736,2,15)&gt;=$W$706,$Z$706*(1+($U$706)/100)^MAX(0,$C736-$AC$706),IF(DATE($C736,2,15)&gt;=$V$706,$Y$706*(1+($U$706)/100)^MAX(0,$C736-$AB$706),0)))))</f>
      </c>
      <c r="G736" s="43">
        <f>IF($S$706=0,0,IF(OR(DATE($C736,3,15)&lt;$S$706,AND($T$706&gt;0,DATE($C736,3,15)&gt;$T$706)),0,IF(DATE($C736,3,15)&gt;=$X$706,$AA$706*(1+($U$706)/100)^MAX(0,$C736-$AD$706),IF(DATE($C736,3,15)&gt;=$W$706,$Z$706*(1+($U$706)/100)^MAX(0,$C736-$AC$706),IF(DATE($C736,3,15)&gt;=$V$706,$Y$706*(1+($U$706)/100)^MAX(0,$C736-$AB$706),0)))))</f>
      </c>
      <c r="H736" s="43">
        <f>IF($S$706=0,0,IF(OR(DATE($C736,4,15)&lt;$S$706,AND($T$706&gt;0,DATE($C736,4,15)&gt;$T$706)),0,IF(DATE($C736,4,15)&gt;=$X$706,$AA$706*(1+($U$706)/100)^MAX(0,$C736-$AD$706),IF(DATE($C736,4,15)&gt;=$W$706,$Z$706*(1+($U$706)/100)^MAX(0,$C736-$AC$706),IF(DATE($C736,4,15)&gt;=$V$706,$Y$706*(1+($U$706)/100)^MAX(0,$C736-$AB$706),0)))))</f>
      </c>
      <c r="I736" s="43">
        <f>IF($S$706=0,0,IF(OR(DATE($C736,5,15)&lt;$S$706,AND($T$706&gt;0,DATE($C736,5,15)&gt;$T$706)),0,IF(DATE($C736,5,15)&gt;=$X$706,$AA$706*(1+($U$706)/100)^MAX(0,$C736-$AD$706),IF(DATE($C736,5,15)&gt;=$W$706,$Z$706*(1+($U$706)/100)^MAX(0,$C736-$AC$706),IF(DATE($C736,5,15)&gt;=$V$706,$Y$706*(1+($U$706)/100)^MAX(0,$C736-$AB$706),0)))))</f>
      </c>
      <c r="J736" s="43">
        <f>IF($S$706=0,0,IF(OR(DATE($C736,6,15)&lt;$S$706,AND($T$706&gt;0,DATE($C736,6,15)&gt;$T$706)),0,IF(DATE($C736,6,15)&gt;=$X$706,$AA$706*(1+($U$706)/100)^MAX(0,$C736-$AD$706),IF(DATE($C736,6,15)&gt;=$W$706,$Z$706*(1+($U$706)/100)^MAX(0,$C736-$AC$706),IF(DATE($C736,6,15)&gt;=$V$706,$Y$706*(1+($U$706)/100)^MAX(0,$C736-$AB$706),0)))))</f>
      </c>
      <c r="K736" s="43">
        <f>IF($S$706=0,0,IF(OR(DATE($C736,7,15)&lt;$S$706,AND($T$706&gt;0,DATE($C736,7,15)&gt;$T$706)),0,IF(DATE($C736,7,15)&gt;=$X$706,$AA$706*(1+($U$706)/100)^MAX(0,$C736-$AD$706),IF(DATE($C736,7,15)&gt;=$W$706,$Z$706*(1+($U$706)/100)^MAX(0,$C736-$AC$706),IF(DATE($C736,7,15)&gt;=$V$706,$Y$706*(1+($U$706)/100)^MAX(0,$C736-$AB$706),0)))))</f>
      </c>
      <c r="L736" s="43">
        <f>IF($S$706=0,0,IF(OR(DATE($C736,8,15)&lt;$S$706,AND($T$706&gt;0,DATE($C736,8,15)&gt;$T$706)),0,IF(DATE($C736,8,15)&gt;=$X$706,$AA$706*(1+($U$706)/100)^MAX(0,$C736-$AD$706),IF(DATE($C736,8,15)&gt;=$W$706,$Z$706*(1+($U$706)/100)^MAX(0,$C736-$AC$706),IF(DATE($C736,8,15)&gt;=$V$706,$Y$706*(1+($U$706)/100)^MAX(0,$C736-$AB$706),0)))))</f>
      </c>
      <c r="M736" s="43">
        <f>IF($S$706=0,0,IF(OR(DATE($C736,9,15)&lt;$S$706,AND($T$706&gt;0,DATE($C736,9,15)&gt;$T$706)),0,IF(DATE($C736,9,15)&gt;=$X$706,$AA$706*(1+($U$706)/100)^MAX(0,$C736-$AD$706),IF(DATE($C736,9,15)&gt;=$W$706,$Z$706*(1+($U$706)/100)^MAX(0,$C736-$AC$706),IF(DATE($C736,9,15)&gt;=$V$706,$Y$706*(1+($U$706)/100)^MAX(0,$C736-$AB$706),0)))))</f>
      </c>
      <c r="N736" s="43">
        <f>IF($S$706=0,0,IF(OR(DATE($C736,10,15)&lt;$S$706,AND($T$706&gt;0,DATE($C736,10,15)&gt;$T$706)),0,IF(DATE($C736,10,15)&gt;=$X$706,$AA$706*(1+($U$706)/100)^MAX(0,$C736-$AD$706),IF(DATE($C736,10,15)&gt;=$W$706,$Z$706*(1+($U$706)/100)^MAX(0,$C736-$AC$706),IF(DATE($C736,10,15)&gt;=$V$706,$Y$706*(1+($U$706)/100)^MAX(0,$C736-$AB$706),0)))))</f>
      </c>
      <c r="O736" s="43">
        <f>IF($S$706=0,0,IF(OR(DATE($C736,11,15)&lt;$S$706,AND($T$706&gt;0,DATE($C736,11,15)&gt;$T$706)),0,IF(DATE($C736,11,15)&gt;=$X$706,$AA$706*(1+($U$706)/100)^MAX(0,$C736-$AD$706),IF(DATE($C736,11,15)&gt;=$W$706,$Z$706*(1+($U$706)/100)^MAX(0,$C736-$AC$706),IF(DATE($C736,11,15)&gt;=$V$706,$Y$706*(1+($U$706)/100)^MAX(0,$C736-$AB$706),0)))))</f>
      </c>
      <c r="P736" s="43">
        <f>IF($S$706=0,0,IF(OR(DATE($C736,12,15)&lt;$S$706,AND($T$706&gt;0,DATE($C736,12,15)&gt;$T$706)),0,IF(DATE($C736,12,15)&gt;=$X$706,$AA$706*(1+($U$706)/100)^MAX(0,$C736-$AD$706),IF(DATE($C736,12,15)&gt;=$W$706,$Z$706*(1+($U$706)/100)^MAX(0,$C736-$AC$706),IF(DATE($C736,12,15)&gt;=$V$706,$Y$706*(1+($U$706)/100)^MAX(0,$C736-$AB$706),0)))))</f>
      </c>
      <c r="Q736" s="43">
        <f>SUM($E736:$P736)</f>
      </c>
    </row>
    <row r="737">
      <c r="A737"/>
      <c r="B737">
        <v>24</v>
      </c>
      <c r="C737" s="43">
        <f>Jahr+0</f>
      </c>
      <c r="D737" s="43">
        <f>INDEX(MvObj,24)</f>
      </c>
      <c r="E737" s="43">
        <f>IF($S$737=0,0,IF(OR(DATE($C737,1,15)&lt;$S$737,AND($T$737&gt;0,DATE($C737,1,15)&gt;$T$737)),0,IF(DATE($C737,1,15)&gt;=$X$737,$AA$737*(1+($U$737)/100)^MAX(0,$C737-$AD$737),IF(DATE($C737,1,15)&gt;=$W$737,$Z$737*(1+($U$737)/100)^MAX(0,$C737-$AC$737),IF(DATE($C737,1,15)&gt;=$V$737,$Y$737*(1+($U$737)/100)^MAX(0,$C737-$AB$737),0)))))</f>
      </c>
      <c r="F737" s="43">
        <f>IF($S$737=0,0,IF(OR(DATE($C737,2,15)&lt;$S$737,AND($T$737&gt;0,DATE($C737,2,15)&gt;$T$737)),0,IF(DATE($C737,2,15)&gt;=$X$737,$AA$737*(1+($U$737)/100)^MAX(0,$C737-$AD$737),IF(DATE($C737,2,15)&gt;=$W$737,$Z$737*(1+($U$737)/100)^MAX(0,$C737-$AC$737),IF(DATE($C737,2,15)&gt;=$V$737,$Y$737*(1+($U$737)/100)^MAX(0,$C737-$AB$737),0)))))</f>
      </c>
      <c r="G737" s="43">
        <f>IF($S$737=0,0,IF(OR(DATE($C737,3,15)&lt;$S$737,AND($T$737&gt;0,DATE($C737,3,15)&gt;$T$737)),0,IF(DATE($C737,3,15)&gt;=$X$737,$AA$737*(1+($U$737)/100)^MAX(0,$C737-$AD$737),IF(DATE($C737,3,15)&gt;=$W$737,$Z$737*(1+($U$737)/100)^MAX(0,$C737-$AC$737),IF(DATE($C737,3,15)&gt;=$V$737,$Y$737*(1+($U$737)/100)^MAX(0,$C737-$AB$737),0)))))</f>
      </c>
      <c r="H737" s="43">
        <f>IF($S$737=0,0,IF(OR(DATE($C737,4,15)&lt;$S$737,AND($T$737&gt;0,DATE($C737,4,15)&gt;$T$737)),0,IF(DATE($C737,4,15)&gt;=$X$737,$AA$737*(1+($U$737)/100)^MAX(0,$C737-$AD$737),IF(DATE($C737,4,15)&gt;=$W$737,$Z$737*(1+($U$737)/100)^MAX(0,$C737-$AC$737),IF(DATE($C737,4,15)&gt;=$V$737,$Y$737*(1+($U$737)/100)^MAX(0,$C737-$AB$737),0)))))</f>
      </c>
      <c r="I737" s="43">
        <f>IF($S$737=0,0,IF(OR(DATE($C737,5,15)&lt;$S$737,AND($T$737&gt;0,DATE($C737,5,15)&gt;$T$737)),0,IF(DATE($C737,5,15)&gt;=$X$737,$AA$737*(1+($U$737)/100)^MAX(0,$C737-$AD$737),IF(DATE($C737,5,15)&gt;=$W$737,$Z$737*(1+($U$737)/100)^MAX(0,$C737-$AC$737),IF(DATE($C737,5,15)&gt;=$V$737,$Y$737*(1+($U$737)/100)^MAX(0,$C737-$AB$737),0)))))</f>
      </c>
      <c r="J737" s="43">
        <f>IF($S$737=0,0,IF(OR(DATE($C737,6,15)&lt;$S$737,AND($T$737&gt;0,DATE($C737,6,15)&gt;$T$737)),0,IF(DATE($C737,6,15)&gt;=$X$737,$AA$737*(1+($U$737)/100)^MAX(0,$C737-$AD$737),IF(DATE($C737,6,15)&gt;=$W$737,$Z$737*(1+($U$737)/100)^MAX(0,$C737-$AC$737),IF(DATE($C737,6,15)&gt;=$V$737,$Y$737*(1+($U$737)/100)^MAX(0,$C737-$AB$737),0)))))</f>
      </c>
      <c r="K737" s="43">
        <f>IF($S$737=0,0,IF(OR(DATE($C737,7,15)&lt;$S$737,AND($T$737&gt;0,DATE($C737,7,15)&gt;$T$737)),0,IF(DATE($C737,7,15)&gt;=$X$737,$AA$737*(1+($U$737)/100)^MAX(0,$C737-$AD$737),IF(DATE($C737,7,15)&gt;=$W$737,$Z$737*(1+($U$737)/100)^MAX(0,$C737-$AC$737),IF(DATE($C737,7,15)&gt;=$V$737,$Y$737*(1+($U$737)/100)^MAX(0,$C737-$AB$737),0)))))</f>
      </c>
      <c r="L737" s="43">
        <f>IF($S$737=0,0,IF(OR(DATE($C737,8,15)&lt;$S$737,AND($T$737&gt;0,DATE($C737,8,15)&gt;$T$737)),0,IF(DATE($C737,8,15)&gt;=$X$737,$AA$737*(1+($U$737)/100)^MAX(0,$C737-$AD$737),IF(DATE($C737,8,15)&gt;=$W$737,$Z$737*(1+($U$737)/100)^MAX(0,$C737-$AC$737),IF(DATE($C737,8,15)&gt;=$V$737,$Y$737*(1+($U$737)/100)^MAX(0,$C737-$AB$737),0)))))</f>
      </c>
      <c r="M737" s="43">
        <f>IF($S$737=0,0,IF(OR(DATE($C737,9,15)&lt;$S$737,AND($T$737&gt;0,DATE($C737,9,15)&gt;$T$737)),0,IF(DATE($C737,9,15)&gt;=$X$737,$AA$737*(1+($U$737)/100)^MAX(0,$C737-$AD$737),IF(DATE($C737,9,15)&gt;=$W$737,$Z$737*(1+($U$737)/100)^MAX(0,$C737-$AC$737),IF(DATE($C737,9,15)&gt;=$V$737,$Y$737*(1+($U$737)/100)^MAX(0,$C737-$AB$737),0)))))</f>
      </c>
      <c r="N737" s="43">
        <f>IF($S$737=0,0,IF(OR(DATE($C737,10,15)&lt;$S$737,AND($T$737&gt;0,DATE($C737,10,15)&gt;$T$737)),0,IF(DATE($C737,10,15)&gt;=$X$737,$AA$737*(1+($U$737)/100)^MAX(0,$C737-$AD$737),IF(DATE($C737,10,15)&gt;=$W$737,$Z$737*(1+($U$737)/100)^MAX(0,$C737-$AC$737),IF(DATE($C737,10,15)&gt;=$V$737,$Y$737*(1+($U$737)/100)^MAX(0,$C737-$AB$737),0)))))</f>
      </c>
      <c r="O737" s="43">
        <f>IF($S$737=0,0,IF(OR(DATE($C737,11,15)&lt;$S$737,AND($T$737&gt;0,DATE($C737,11,15)&gt;$T$737)),0,IF(DATE($C737,11,15)&gt;=$X$737,$AA$737*(1+($U$737)/100)^MAX(0,$C737-$AD$737),IF(DATE($C737,11,15)&gt;=$W$737,$Z$737*(1+($U$737)/100)^MAX(0,$C737-$AC$737),IF(DATE($C737,11,15)&gt;=$V$737,$Y$737*(1+($U$737)/100)^MAX(0,$C737-$AB$737),0)))))</f>
      </c>
      <c r="P737" s="43">
        <f>IF($S$737=0,0,IF(OR(DATE($C737,12,15)&lt;$S$737,AND($T$737&gt;0,DATE($C737,12,15)&gt;$T$737)),0,IF(DATE($C737,12,15)&gt;=$X$737,$AA$737*(1+($U$737)/100)^MAX(0,$C737-$AD$737),IF(DATE($C737,12,15)&gt;=$W$737,$Z$737*(1+($U$737)/100)^MAX(0,$C737-$AC$737),IF(DATE($C737,12,15)&gt;=$V$737,$Y$737*(1+($U$737)/100)^MAX(0,$C737-$AB$737),0)))))</f>
      </c>
      <c r="Q737" s="43">
        <f>SUM($E737:$P737)</f>
      </c>
      <c r="R737"/>
      <c r="S737" s="43">
        <f>IF(INDEX(MvBeginn,24)="",0,INDEX(MvBeginn,24))</f>
      </c>
      <c r="T737" s="43">
        <f>INDEX(MvEnde,24)</f>
      </c>
      <c r="U737" s="43">
        <f>INDEX(MvSatz,24)</f>
      </c>
      <c r="V737" s="43">
        <f>INDEX(MvKey1,24)</f>
      </c>
      <c r="W737" s="43">
        <f>INDEX(MvKey2,24)</f>
      </c>
      <c r="X737" s="43">
        <f>INDEX(MvKey3,24)</f>
      </c>
      <c r="Y737" s="43">
        <f>INDEX(MvKalt1,24)</f>
      </c>
      <c r="Z737" s="43">
        <f>INDEX(MvKalt2,24)</f>
      </c>
      <c r="AA737" s="43">
        <f>INDEX(MvKalt3,24)</f>
      </c>
      <c r="AB737" s="43">
        <f>MAX(YEAR(INDEX(MvAb1,24)),Jahr)</f>
      </c>
      <c r="AC737" s="43">
        <f>MAX(YEAR(INDEX(MvAb2,24)),Jahr)</f>
      </c>
      <c r="AD737" s="43">
        <f>MAX(YEAR(INDEX(MvAb3,24)),Jahr)</f>
      </c>
    </row>
    <row r="738">
      <c r="A738"/>
      <c r="B738">
        <v>24</v>
      </c>
      <c r="C738" s="43">
        <f>Jahr+1</f>
      </c>
      <c r="D738" s="43">
        <f>INDEX(MvObj,24)</f>
      </c>
      <c r="E738" s="43">
        <f>IF($S$737=0,0,IF(OR(DATE($C738,1,15)&lt;$S$737,AND($T$737&gt;0,DATE($C738,1,15)&gt;$T$737)),0,IF(DATE($C738,1,15)&gt;=$X$737,$AA$737*(1+($U$737)/100)^MAX(0,$C738-$AD$737),IF(DATE($C738,1,15)&gt;=$W$737,$Z$737*(1+($U$737)/100)^MAX(0,$C738-$AC$737),IF(DATE($C738,1,15)&gt;=$V$737,$Y$737*(1+($U$737)/100)^MAX(0,$C738-$AB$737),0)))))</f>
      </c>
      <c r="F738" s="43">
        <f>IF($S$737=0,0,IF(OR(DATE($C738,2,15)&lt;$S$737,AND($T$737&gt;0,DATE($C738,2,15)&gt;$T$737)),0,IF(DATE($C738,2,15)&gt;=$X$737,$AA$737*(1+($U$737)/100)^MAX(0,$C738-$AD$737),IF(DATE($C738,2,15)&gt;=$W$737,$Z$737*(1+($U$737)/100)^MAX(0,$C738-$AC$737),IF(DATE($C738,2,15)&gt;=$V$737,$Y$737*(1+($U$737)/100)^MAX(0,$C738-$AB$737),0)))))</f>
      </c>
      <c r="G738" s="43">
        <f>IF($S$737=0,0,IF(OR(DATE($C738,3,15)&lt;$S$737,AND($T$737&gt;0,DATE($C738,3,15)&gt;$T$737)),0,IF(DATE($C738,3,15)&gt;=$X$737,$AA$737*(1+($U$737)/100)^MAX(0,$C738-$AD$737),IF(DATE($C738,3,15)&gt;=$W$737,$Z$737*(1+($U$737)/100)^MAX(0,$C738-$AC$737),IF(DATE($C738,3,15)&gt;=$V$737,$Y$737*(1+($U$737)/100)^MAX(0,$C738-$AB$737),0)))))</f>
      </c>
      <c r="H738" s="43">
        <f>IF($S$737=0,0,IF(OR(DATE($C738,4,15)&lt;$S$737,AND($T$737&gt;0,DATE($C738,4,15)&gt;$T$737)),0,IF(DATE($C738,4,15)&gt;=$X$737,$AA$737*(1+($U$737)/100)^MAX(0,$C738-$AD$737),IF(DATE($C738,4,15)&gt;=$W$737,$Z$737*(1+($U$737)/100)^MAX(0,$C738-$AC$737),IF(DATE($C738,4,15)&gt;=$V$737,$Y$737*(1+($U$737)/100)^MAX(0,$C738-$AB$737),0)))))</f>
      </c>
      <c r="I738" s="43">
        <f>IF($S$737=0,0,IF(OR(DATE($C738,5,15)&lt;$S$737,AND($T$737&gt;0,DATE($C738,5,15)&gt;$T$737)),0,IF(DATE($C738,5,15)&gt;=$X$737,$AA$737*(1+($U$737)/100)^MAX(0,$C738-$AD$737),IF(DATE($C738,5,15)&gt;=$W$737,$Z$737*(1+($U$737)/100)^MAX(0,$C738-$AC$737),IF(DATE($C738,5,15)&gt;=$V$737,$Y$737*(1+($U$737)/100)^MAX(0,$C738-$AB$737),0)))))</f>
      </c>
      <c r="J738" s="43">
        <f>IF($S$737=0,0,IF(OR(DATE($C738,6,15)&lt;$S$737,AND($T$737&gt;0,DATE($C738,6,15)&gt;$T$737)),0,IF(DATE($C738,6,15)&gt;=$X$737,$AA$737*(1+($U$737)/100)^MAX(0,$C738-$AD$737),IF(DATE($C738,6,15)&gt;=$W$737,$Z$737*(1+($U$737)/100)^MAX(0,$C738-$AC$737),IF(DATE($C738,6,15)&gt;=$V$737,$Y$737*(1+($U$737)/100)^MAX(0,$C738-$AB$737),0)))))</f>
      </c>
      <c r="K738" s="43">
        <f>IF($S$737=0,0,IF(OR(DATE($C738,7,15)&lt;$S$737,AND($T$737&gt;0,DATE($C738,7,15)&gt;$T$737)),0,IF(DATE($C738,7,15)&gt;=$X$737,$AA$737*(1+($U$737)/100)^MAX(0,$C738-$AD$737),IF(DATE($C738,7,15)&gt;=$W$737,$Z$737*(1+($U$737)/100)^MAX(0,$C738-$AC$737),IF(DATE($C738,7,15)&gt;=$V$737,$Y$737*(1+($U$737)/100)^MAX(0,$C738-$AB$737),0)))))</f>
      </c>
      <c r="L738" s="43">
        <f>IF($S$737=0,0,IF(OR(DATE($C738,8,15)&lt;$S$737,AND($T$737&gt;0,DATE($C738,8,15)&gt;$T$737)),0,IF(DATE($C738,8,15)&gt;=$X$737,$AA$737*(1+($U$737)/100)^MAX(0,$C738-$AD$737),IF(DATE($C738,8,15)&gt;=$W$737,$Z$737*(1+($U$737)/100)^MAX(0,$C738-$AC$737),IF(DATE($C738,8,15)&gt;=$V$737,$Y$737*(1+($U$737)/100)^MAX(0,$C738-$AB$737),0)))))</f>
      </c>
      <c r="M738" s="43">
        <f>IF($S$737=0,0,IF(OR(DATE($C738,9,15)&lt;$S$737,AND($T$737&gt;0,DATE($C738,9,15)&gt;$T$737)),0,IF(DATE($C738,9,15)&gt;=$X$737,$AA$737*(1+($U$737)/100)^MAX(0,$C738-$AD$737),IF(DATE($C738,9,15)&gt;=$W$737,$Z$737*(1+($U$737)/100)^MAX(0,$C738-$AC$737),IF(DATE($C738,9,15)&gt;=$V$737,$Y$737*(1+($U$737)/100)^MAX(0,$C738-$AB$737),0)))))</f>
      </c>
      <c r="N738" s="43">
        <f>IF($S$737=0,0,IF(OR(DATE($C738,10,15)&lt;$S$737,AND($T$737&gt;0,DATE($C738,10,15)&gt;$T$737)),0,IF(DATE($C738,10,15)&gt;=$X$737,$AA$737*(1+($U$737)/100)^MAX(0,$C738-$AD$737),IF(DATE($C738,10,15)&gt;=$W$737,$Z$737*(1+($U$737)/100)^MAX(0,$C738-$AC$737),IF(DATE($C738,10,15)&gt;=$V$737,$Y$737*(1+($U$737)/100)^MAX(0,$C738-$AB$737),0)))))</f>
      </c>
      <c r="O738" s="43">
        <f>IF($S$737=0,0,IF(OR(DATE($C738,11,15)&lt;$S$737,AND($T$737&gt;0,DATE($C738,11,15)&gt;$T$737)),0,IF(DATE($C738,11,15)&gt;=$X$737,$AA$737*(1+($U$737)/100)^MAX(0,$C738-$AD$737),IF(DATE($C738,11,15)&gt;=$W$737,$Z$737*(1+($U$737)/100)^MAX(0,$C738-$AC$737),IF(DATE($C738,11,15)&gt;=$V$737,$Y$737*(1+($U$737)/100)^MAX(0,$C738-$AB$737),0)))))</f>
      </c>
      <c r="P738" s="43">
        <f>IF($S$737=0,0,IF(OR(DATE($C738,12,15)&lt;$S$737,AND($T$737&gt;0,DATE($C738,12,15)&gt;$T$737)),0,IF(DATE($C738,12,15)&gt;=$X$737,$AA$737*(1+($U$737)/100)^MAX(0,$C738-$AD$737),IF(DATE($C738,12,15)&gt;=$W$737,$Z$737*(1+($U$737)/100)^MAX(0,$C738-$AC$737),IF(DATE($C738,12,15)&gt;=$V$737,$Y$737*(1+($U$737)/100)^MAX(0,$C738-$AB$737),0)))))</f>
      </c>
      <c r="Q738" s="43">
        <f>SUM($E738:$P738)</f>
      </c>
    </row>
    <row r="739">
      <c r="A739"/>
      <c r="B739">
        <v>24</v>
      </c>
      <c r="C739" s="43">
        <f>Jahr+2</f>
      </c>
      <c r="D739" s="43">
        <f>INDEX(MvObj,24)</f>
      </c>
      <c r="E739" s="43">
        <f>IF($S$737=0,0,IF(OR(DATE($C739,1,15)&lt;$S$737,AND($T$737&gt;0,DATE($C739,1,15)&gt;$T$737)),0,IF(DATE($C739,1,15)&gt;=$X$737,$AA$737*(1+($U$737)/100)^MAX(0,$C739-$AD$737),IF(DATE($C739,1,15)&gt;=$W$737,$Z$737*(1+($U$737)/100)^MAX(0,$C739-$AC$737),IF(DATE($C739,1,15)&gt;=$V$737,$Y$737*(1+($U$737)/100)^MAX(0,$C739-$AB$737),0)))))</f>
      </c>
      <c r="F739" s="43">
        <f>IF($S$737=0,0,IF(OR(DATE($C739,2,15)&lt;$S$737,AND($T$737&gt;0,DATE($C739,2,15)&gt;$T$737)),0,IF(DATE($C739,2,15)&gt;=$X$737,$AA$737*(1+($U$737)/100)^MAX(0,$C739-$AD$737),IF(DATE($C739,2,15)&gt;=$W$737,$Z$737*(1+($U$737)/100)^MAX(0,$C739-$AC$737),IF(DATE($C739,2,15)&gt;=$V$737,$Y$737*(1+($U$737)/100)^MAX(0,$C739-$AB$737),0)))))</f>
      </c>
      <c r="G739" s="43">
        <f>IF($S$737=0,0,IF(OR(DATE($C739,3,15)&lt;$S$737,AND($T$737&gt;0,DATE($C739,3,15)&gt;$T$737)),0,IF(DATE($C739,3,15)&gt;=$X$737,$AA$737*(1+($U$737)/100)^MAX(0,$C739-$AD$737),IF(DATE($C739,3,15)&gt;=$W$737,$Z$737*(1+($U$737)/100)^MAX(0,$C739-$AC$737),IF(DATE($C739,3,15)&gt;=$V$737,$Y$737*(1+($U$737)/100)^MAX(0,$C739-$AB$737),0)))))</f>
      </c>
      <c r="H739" s="43">
        <f>IF($S$737=0,0,IF(OR(DATE($C739,4,15)&lt;$S$737,AND($T$737&gt;0,DATE($C739,4,15)&gt;$T$737)),0,IF(DATE($C739,4,15)&gt;=$X$737,$AA$737*(1+($U$737)/100)^MAX(0,$C739-$AD$737),IF(DATE($C739,4,15)&gt;=$W$737,$Z$737*(1+($U$737)/100)^MAX(0,$C739-$AC$737),IF(DATE($C739,4,15)&gt;=$V$737,$Y$737*(1+($U$737)/100)^MAX(0,$C739-$AB$737),0)))))</f>
      </c>
      <c r="I739" s="43">
        <f>IF($S$737=0,0,IF(OR(DATE($C739,5,15)&lt;$S$737,AND($T$737&gt;0,DATE($C739,5,15)&gt;$T$737)),0,IF(DATE($C739,5,15)&gt;=$X$737,$AA$737*(1+($U$737)/100)^MAX(0,$C739-$AD$737),IF(DATE($C739,5,15)&gt;=$W$737,$Z$737*(1+($U$737)/100)^MAX(0,$C739-$AC$737),IF(DATE($C739,5,15)&gt;=$V$737,$Y$737*(1+($U$737)/100)^MAX(0,$C739-$AB$737),0)))))</f>
      </c>
      <c r="J739" s="43">
        <f>IF($S$737=0,0,IF(OR(DATE($C739,6,15)&lt;$S$737,AND($T$737&gt;0,DATE($C739,6,15)&gt;$T$737)),0,IF(DATE($C739,6,15)&gt;=$X$737,$AA$737*(1+($U$737)/100)^MAX(0,$C739-$AD$737),IF(DATE($C739,6,15)&gt;=$W$737,$Z$737*(1+($U$737)/100)^MAX(0,$C739-$AC$737),IF(DATE($C739,6,15)&gt;=$V$737,$Y$737*(1+($U$737)/100)^MAX(0,$C739-$AB$737),0)))))</f>
      </c>
      <c r="K739" s="43">
        <f>IF($S$737=0,0,IF(OR(DATE($C739,7,15)&lt;$S$737,AND($T$737&gt;0,DATE($C739,7,15)&gt;$T$737)),0,IF(DATE($C739,7,15)&gt;=$X$737,$AA$737*(1+($U$737)/100)^MAX(0,$C739-$AD$737),IF(DATE($C739,7,15)&gt;=$W$737,$Z$737*(1+($U$737)/100)^MAX(0,$C739-$AC$737),IF(DATE($C739,7,15)&gt;=$V$737,$Y$737*(1+($U$737)/100)^MAX(0,$C739-$AB$737),0)))))</f>
      </c>
      <c r="L739" s="43">
        <f>IF($S$737=0,0,IF(OR(DATE($C739,8,15)&lt;$S$737,AND($T$737&gt;0,DATE($C739,8,15)&gt;$T$737)),0,IF(DATE($C739,8,15)&gt;=$X$737,$AA$737*(1+($U$737)/100)^MAX(0,$C739-$AD$737),IF(DATE($C739,8,15)&gt;=$W$737,$Z$737*(1+($U$737)/100)^MAX(0,$C739-$AC$737),IF(DATE($C739,8,15)&gt;=$V$737,$Y$737*(1+($U$737)/100)^MAX(0,$C739-$AB$737),0)))))</f>
      </c>
      <c r="M739" s="43">
        <f>IF($S$737=0,0,IF(OR(DATE($C739,9,15)&lt;$S$737,AND($T$737&gt;0,DATE($C739,9,15)&gt;$T$737)),0,IF(DATE($C739,9,15)&gt;=$X$737,$AA$737*(1+($U$737)/100)^MAX(0,$C739-$AD$737),IF(DATE($C739,9,15)&gt;=$W$737,$Z$737*(1+($U$737)/100)^MAX(0,$C739-$AC$737),IF(DATE($C739,9,15)&gt;=$V$737,$Y$737*(1+($U$737)/100)^MAX(0,$C739-$AB$737),0)))))</f>
      </c>
      <c r="N739" s="43">
        <f>IF($S$737=0,0,IF(OR(DATE($C739,10,15)&lt;$S$737,AND($T$737&gt;0,DATE($C739,10,15)&gt;$T$737)),0,IF(DATE($C739,10,15)&gt;=$X$737,$AA$737*(1+($U$737)/100)^MAX(0,$C739-$AD$737),IF(DATE($C739,10,15)&gt;=$W$737,$Z$737*(1+($U$737)/100)^MAX(0,$C739-$AC$737),IF(DATE($C739,10,15)&gt;=$V$737,$Y$737*(1+($U$737)/100)^MAX(0,$C739-$AB$737),0)))))</f>
      </c>
      <c r="O739" s="43">
        <f>IF($S$737=0,0,IF(OR(DATE($C739,11,15)&lt;$S$737,AND($T$737&gt;0,DATE($C739,11,15)&gt;$T$737)),0,IF(DATE($C739,11,15)&gt;=$X$737,$AA$737*(1+($U$737)/100)^MAX(0,$C739-$AD$737),IF(DATE($C739,11,15)&gt;=$W$737,$Z$737*(1+($U$737)/100)^MAX(0,$C739-$AC$737),IF(DATE($C739,11,15)&gt;=$V$737,$Y$737*(1+($U$737)/100)^MAX(0,$C739-$AB$737),0)))))</f>
      </c>
      <c r="P739" s="43">
        <f>IF($S$737=0,0,IF(OR(DATE($C739,12,15)&lt;$S$737,AND($T$737&gt;0,DATE($C739,12,15)&gt;$T$737)),0,IF(DATE($C739,12,15)&gt;=$X$737,$AA$737*(1+($U$737)/100)^MAX(0,$C739-$AD$737),IF(DATE($C739,12,15)&gt;=$W$737,$Z$737*(1+($U$737)/100)^MAX(0,$C739-$AC$737),IF(DATE($C739,12,15)&gt;=$V$737,$Y$737*(1+($U$737)/100)^MAX(0,$C739-$AB$737),0)))))</f>
      </c>
      <c r="Q739" s="43">
        <f>SUM($E739:$P739)</f>
      </c>
    </row>
    <row r="740">
      <c r="A740"/>
      <c r="B740">
        <v>24</v>
      </c>
      <c r="C740" s="43">
        <f>Jahr+3</f>
      </c>
      <c r="D740" s="43">
        <f>INDEX(MvObj,24)</f>
      </c>
      <c r="E740" s="43">
        <f>IF($S$737=0,0,IF(OR(DATE($C740,1,15)&lt;$S$737,AND($T$737&gt;0,DATE($C740,1,15)&gt;$T$737)),0,IF(DATE($C740,1,15)&gt;=$X$737,$AA$737*(1+($U$737)/100)^MAX(0,$C740-$AD$737),IF(DATE($C740,1,15)&gt;=$W$737,$Z$737*(1+($U$737)/100)^MAX(0,$C740-$AC$737),IF(DATE($C740,1,15)&gt;=$V$737,$Y$737*(1+($U$737)/100)^MAX(0,$C740-$AB$737),0)))))</f>
      </c>
      <c r="F740" s="43">
        <f>IF($S$737=0,0,IF(OR(DATE($C740,2,15)&lt;$S$737,AND($T$737&gt;0,DATE($C740,2,15)&gt;$T$737)),0,IF(DATE($C740,2,15)&gt;=$X$737,$AA$737*(1+($U$737)/100)^MAX(0,$C740-$AD$737),IF(DATE($C740,2,15)&gt;=$W$737,$Z$737*(1+($U$737)/100)^MAX(0,$C740-$AC$737),IF(DATE($C740,2,15)&gt;=$V$737,$Y$737*(1+($U$737)/100)^MAX(0,$C740-$AB$737),0)))))</f>
      </c>
      <c r="G740" s="43">
        <f>IF($S$737=0,0,IF(OR(DATE($C740,3,15)&lt;$S$737,AND($T$737&gt;0,DATE($C740,3,15)&gt;$T$737)),0,IF(DATE($C740,3,15)&gt;=$X$737,$AA$737*(1+($U$737)/100)^MAX(0,$C740-$AD$737),IF(DATE($C740,3,15)&gt;=$W$737,$Z$737*(1+($U$737)/100)^MAX(0,$C740-$AC$737),IF(DATE($C740,3,15)&gt;=$V$737,$Y$737*(1+($U$737)/100)^MAX(0,$C740-$AB$737),0)))))</f>
      </c>
      <c r="H740" s="43">
        <f>IF($S$737=0,0,IF(OR(DATE($C740,4,15)&lt;$S$737,AND($T$737&gt;0,DATE($C740,4,15)&gt;$T$737)),0,IF(DATE($C740,4,15)&gt;=$X$737,$AA$737*(1+($U$737)/100)^MAX(0,$C740-$AD$737),IF(DATE($C740,4,15)&gt;=$W$737,$Z$737*(1+($U$737)/100)^MAX(0,$C740-$AC$737),IF(DATE($C740,4,15)&gt;=$V$737,$Y$737*(1+($U$737)/100)^MAX(0,$C740-$AB$737),0)))))</f>
      </c>
      <c r="I740" s="43">
        <f>IF($S$737=0,0,IF(OR(DATE($C740,5,15)&lt;$S$737,AND($T$737&gt;0,DATE($C740,5,15)&gt;$T$737)),0,IF(DATE($C740,5,15)&gt;=$X$737,$AA$737*(1+($U$737)/100)^MAX(0,$C740-$AD$737),IF(DATE($C740,5,15)&gt;=$W$737,$Z$737*(1+($U$737)/100)^MAX(0,$C740-$AC$737),IF(DATE($C740,5,15)&gt;=$V$737,$Y$737*(1+($U$737)/100)^MAX(0,$C740-$AB$737),0)))))</f>
      </c>
      <c r="J740" s="43">
        <f>IF($S$737=0,0,IF(OR(DATE($C740,6,15)&lt;$S$737,AND($T$737&gt;0,DATE($C740,6,15)&gt;$T$737)),0,IF(DATE($C740,6,15)&gt;=$X$737,$AA$737*(1+($U$737)/100)^MAX(0,$C740-$AD$737),IF(DATE($C740,6,15)&gt;=$W$737,$Z$737*(1+($U$737)/100)^MAX(0,$C740-$AC$737),IF(DATE($C740,6,15)&gt;=$V$737,$Y$737*(1+($U$737)/100)^MAX(0,$C740-$AB$737),0)))))</f>
      </c>
      <c r="K740" s="43">
        <f>IF($S$737=0,0,IF(OR(DATE($C740,7,15)&lt;$S$737,AND($T$737&gt;0,DATE($C740,7,15)&gt;$T$737)),0,IF(DATE($C740,7,15)&gt;=$X$737,$AA$737*(1+($U$737)/100)^MAX(0,$C740-$AD$737),IF(DATE($C740,7,15)&gt;=$W$737,$Z$737*(1+($U$737)/100)^MAX(0,$C740-$AC$737),IF(DATE($C740,7,15)&gt;=$V$737,$Y$737*(1+($U$737)/100)^MAX(0,$C740-$AB$737),0)))))</f>
      </c>
      <c r="L740" s="43">
        <f>IF($S$737=0,0,IF(OR(DATE($C740,8,15)&lt;$S$737,AND($T$737&gt;0,DATE($C740,8,15)&gt;$T$737)),0,IF(DATE($C740,8,15)&gt;=$X$737,$AA$737*(1+($U$737)/100)^MAX(0,$C740-$AD$737),IF(DATE($C740,8,15)&gt;=$W$737,$Z$737*(1+($U$737)/100)^MAX(0,$C740-$AC$737),IF(DATE($C740,8,15)&gt;=$V$737,$Y$737*(1+($U$737)/100)^MAX(0,$C740-$AB$737),0)))))</f>
      </c>
      <c r="M740" s="43">
        <f>IF($S$737=0,0,IF(OR(DATE($C740,9,15)&lt;$S$737,AND($T$737&gt;0,DATE($C740,9,15)&gt;$T$737)),0,IF(DATE($C740,9,15)&gt;=$X$737,$AA$737*(1+($U$737)/100)^MAX(0,$C740-$AD$737),IF(DATE($C740,9,15)&gt;=$W$737,$Z$737*(1+($U$737)/100)^MAX(0,$C740-$AC$737),IF(DATE($C740,9,15)&gt;=$V$737,$Y$737*(1+($U$737)/100)^MAX(0,$C740-$AB$737),0)))))</f>
      </c>
      <c r="N740" s="43">
        <f>IF($S$737=0,0,IF(OR(DATE($C740,10,15)&lt;$S$737,AND($T$737&gt;0,DATE($C740,10,15)&gt;$T$737)),0,IF(DATE($C740,10,15)&gt;=$X$737,$AA$737*(1+($U$737)/100)^MAX(0,$C740-$AD$737),IF(DATE($C740,10,15)&gt;=$W$737,$Z$737*(1+($U$737)/100)^MAX(0,$C740-$AC$737),IF(DATE($C740,10,15)&gt;=$V$737,$Y$737*(1+($U$737)/100)^MAX(0,$C740-$AB$737),0)))))</f>
      </c>
      <c r="O740" s="43">
        <f>IF($S$737=0,0,IF(OR(DATE($C740,11,15)&lt;$S$737,AND($T$737&gt;0,DATE($C740,11,15)&gt;$T$737)),0,IF(DATE($C740,11,15)&gt;=$X$737,$AA$737*(1+($U$737)/100)^MAX(0,$C740-$AD$737),IF(DATE($C740,11,15)&gt;=$W$737,$Z$737*(1+($U$737)/100)^MAX(0,$C740-$AC$737),IF(DATE($C740,11,15)&gt;=$V$737,$Y$737*(1+($U$737)/100)^MAX(0,$C740-$AB$737),0)))))</f>
      </c>
      <c r="P740" s="43">
        <f>IF($S$737=0,0,IF(OR(DATE($C740,12,15)&lt;$S$737,AND($T$737&gt;0,DATE($C740,12,15)&gt;$T$737)),0,IF(DATE($C740,12,15)&gt;=$X$737,$AA$737*(1+($U$737)/100)^MAX(0,$C740-$AD$737),IF(DATE($C740,12,15)&gt;=$W$737,$Z$737*(1+($U$737)/100)^MAX(0,$C740-$AC$737),IF(DATE($C740,12,15)&gt;=$V$737,$Y$737*(1+($U$737)/100)^MAX(0,$C740-$AB$737),0)))))</f>
      </c>
      <c r="Q740" s="43">
        <f>SUM($E740:$P740)</f>
      </c>
    </row>
    <row r="741">
      <c r="A741"/>
      <c r="B741">
        <v>24</v>
      </c>
      <c r="C741" s="43">
        <f>Jahr+4</f>
      </c>
      <c r="D741" s="43">
        <f>INDEX(MvObj,24)</f>
      </c>
      <c r="E741" s="43">
        <f>IF($S$737=0,0,IF(OR(DATE($C741,1,15)&lt;$S$737,AND($T$737&gt;0,DATE($C741,1,15)&gt;$T$737)),0,IF(DATE($C741,1,15)&gt;=$X$737,$AA$737*(1+($U$737)/100)^MAX(0,$C741-$AD$737),IF(DATE($C741,1,15)&gt;=$W$737,$Z$737*(1+($U$737)/100)^MAX(0,$C741-$AC$737),IF(DATE($C741,1,15)&gt;=$V$737,$Y$737*(1+($U$737)/100)^MAX(0,$C741-$AB$737),0)))))</f>
      </c>
      <c r="F741" s="43">
        <f>IF($S$737=0,0,IF(OR(DATE($C741,2,15)&lt;$S$737,AND($T$737&gt;0,DATE($C741,2,15)&gt;$T$737)),0,IF(DATE($C741,2,15)&gt;=$X$737,$AA$737*(1+($U$737)/100)^MAX(0,$C741-$AD$737),IF(DATE($C741,2,15)&gt;=$W$737,$Z$737*(1+($U$737)/100)^MAX(0,$C741-$AC$737),IF(DATE($C741,2,15)&gt;=$V$737,$Y$737*(1+($U$737)/100)^MAX(0,$C741-$AB$737),0)))))</f>
      </c>
      <c r="G741" s="43">
        <f>IF($S$737=0,0,IF(OR(DATE($C741,3,15)&lt;$S$737,AND($T$737&gt;0,DATE($C741,3,15)&gt;$T$737)),0,IF(DATE($C741,3,15)&gt;=$X$737,$AA$737*(1+($U$737)/100)^MAX(0,$C741-$AD$737),IF(DATE($C741,3,15)&gt;=$W$737,$Z$737*(1+($U$737)/100)^MAX(0,$C741-$AC$737),IF(DATE($C741,3,15)&gt;=$V$737,$Y$737*(1+($U$737)/100)^MAX(0,$C741-$AB$737),0)))))</f>
      </c>
      <c r="H741" s="43">
        <f>IF($S$737=0,0,IF(OR(DATE($C741,4,15)&lt;$S$737,AND($T$737&gt;0,DATE($C741,4,15)&gt;$T$737)),0,IF(DATE($C741,4,15)&gt;=$X$737,$AA$737*(1+($U$737)/100)^MAX(0,$C741-$AD$737),IF(DATE($C741,4,15)&gt;=$W$737,$Z$737*(1+($U$737)/100)^MAX(0,$C741-$AC$737),IF(DATE($C741,4,15)&gt;=$V$737,$Y$737*(1+($U$737)/100)^MAX(0,$C741-$AB$737),0)))))</f>
      </c>
      <c r="I741" s="43">
        <f>IF($S$737=0,0,IF(OR(DATE($C741,5,15)&lt;$S$737,AND($T$737&gt;0,DATE($C741,5,15)&gt;$T$737)),0,IF(DATE($C741,5,15)&gt;=$X$737,$AA$737*(1+($U$737)/100)^MAX(0,$C741-$AD$737),IF(DATE($C741,5,15)&gt;=$W$737,$Z$737*(1+($U$737)/100)^MAX(0,$C741-$AC$737),IF(DATE($C741,5,15)&gt;=$V$737,$Y$737*(1+($U$737)/100)^MAX(0,$C741-$AB$737),0)))))</f>
      </c>
      <c r="J741" s="43">
        <f>IF($S$737=0,0,IF(OR(DATE($C741,6,15)&lt;$S$737,AND($T$737&gt;0,DATE($C741,6,15)&gt;$T$737)),0,IF(DATE($C741,6,15)&gt;=$X$737,$AA$737*(1+($U$737)/100)^MAX(0,$C741-$AD$737),IF(DATE($C741,6,15)&gt;=$W$737,$Z$737*(1+($U$737)/100)^MAX(0,$C741-$AC$737),IF(DATE($C741,6,15)&gt;=$V$737,$Y$737*(1+($U$737)/100)^MAX(0,$C741-$AB$737),0)))))</f>
      </c>
      <c r="K741" s="43">
        <f>IF($S$737=0,0,IF(OR(DATE($C741,7,15)&lt;$S$737,AND($T$737&gt;0,DATE($C741,7,15)&gt;$T$737)),0,IF(DATE($C741,7,15)&gt;=$X$737,$AA$737*(1+($U$737)/100)^MAX(0,$C741-$AD$737),IF(DATE($C741,7,15)&gt;=$W$737,$Z$737*(1+($U$737)/100)^MAX(0,$C741-$AC$737),IF(DATE($C741,7,15)&gt;=$V$737,$Y$737*(1+($U$737)/100)^MAX(0,$C741-$AB$737),0)))))</f>
      </c>
      <c r="L741" s="43">
        <f>IF($S$737=0,0,IF(OR(DATE($C741,8,15)&lt;$S$737,AND($T$737&gt;0,DATE($C741,8,15)&gt;$T$737)),0,IF(DATE($C741,8,15)&gt;=$X$737,$AA$737*(1+($U$737)/100)^MAX(0,$C741-$AD$737),IF(DATE($C741,8,15)&gt;=$W$737,$Z$737*(1+($U$737)/100)^MAX(0,$C741-$AC$737),IF(DATE($C741,8,15)&gt;=$V$737,$Y$737*(1+($U$737)/100)^MAX(0,$C741-$AB$737),0)))))</f>
      </c>
      <c r="M741" s="43">
        <f>IF($S$737=0,0,IF(OR(DATE($C741,9,15)&lt;$S$737,AND($T$737&gt;0,DATE($C741,9,15)&gt;$T$737)),0,IF(DATE($C741,9,15)&gt;=$X$737,$AA$737*(1+($U$737)/100)^MAX(0,$C741-$AD$737),IF(DATE($C741,9,15)&gt;=$W$737,$Z$737*(1+($U$737)/100)^MAX(0,$C741-$AC$737),IF(DATE($C741,9,15)&gt;=$V$737,$Y$737*(1+($U$737)/100)^MAX(0,$C741-$AB$737),0)))))</f>
      </c>
      <c r="N741" s="43">
        <f>IF($S$737=0,0,IF(OR(DATE($C741,10,15)&lt;$S$737,AND($T$737&gt;0,DATE($C741,10,15)&gt;$T$737)),0,IF(DATE($C741,10,15)&gt;=$X$737,$AA$737*(1+($U$737)/100)^MAX(0,$C741-$AD$737),IF(DATE($C741,10,15)&gt;=$W$737,$Z$737*(1+($U$737)/100)^MAX(0,$C741-$AC$737),IF(DATE($C741,10,15)&gt;=$V$737,$Y$737*(1+($U$737)/100)^MAX(0,$C741-$AB$737),0)))))</f>
      </c>
      <c r="O741" s="43">
        <f>IF($S$737=0,0,IF(OR(DATE($C741,11,15)&lt;$S$737,AND($T$737&gt;0,DATE($C741,11,15)&gt;$T$737)),0,IF(DATE($C741,11,15)&gt;=$X$737,$AA$737*(1+($U$737)/100)^MAX(0,$C741-$AD$737),IF(DATE($C741,11,15)&gt;=$W$737,$Z$737*(1+($U$737)/100)^MAX(0,$C741-$AC$737),IF(DATE($C741,11,15)&gt;=$V$737,$Y$737*(1+($U$737)/100)^MAX(0,$C741-$AB$737),0)))))</f>
      </c>
      <c r="P741" s="43">
        <f>IF($S$737=0,0,IF(OR(DATE($C741,12,15)&lt;$S$737,AND($T$737&gt;0,DATE($C741,12,15)&gt;$T$737)),0,IF(DATE($C741,12,15)&gt;=$X$737,$AA$737*(1+($U$737)/100)^MAX(0,$C741-$AD$737),IF(DATE($C741,12,15)&gt;=$W$737,$Z$737*(1+($U$737)/100)^MAX(0,$C741-$AC$737),IF(DATE($C741,12,15)&gt;=$V$737,$Y$737*(1+($U$737)/100)^MAX(0,$C741-$AB$737),0)))))</f>
      </c>
      <c r="Q741" s="43">
        <f>SUM($E741:$P741)</f>
      </c>
    </row>
    <row r="742">
      <c r="A742"/>
      <c r="B742">
        <v>24</v>
      </c>
      <c r="C742" s="43">
        <f>Jahr+5</f>
      </c>
      <c r="D742" s="43">
        <f>INDEX(MvObj,24)</f>
      </c>
      <c r="E742" s="43">
        <f>IF($S$737=0,0,IF(OR(DATE($C742,1,15)&lt;$S$737,AND($T$737&gt;0,DATE($C742,1,15)&gt;$T$737)),0,IF(DATE($C742,1,15)&gt;=$X$737,$AA$737*(1+($U$737)/100)^MAX(0,$C742-$AD$737),IF(DATE($C742,1,15)&gt;=$W$737,$Z$737*(1+($U$737)/100)^MAX(0,$C742-$AC$737),IF(DATE($C742,1,15)&gt;=$V$737,$Y$737*(1+($U$737)/100)^MAX(0,$C742-$AB$737),0)))))</f>
      </c>
      <c r="F742" s="43">
        <f>IF($S$737=0,0,IF(OR(DATE($C742,2,15)&lt;$S$737,AND($T$737&gt;0,DATE($C742,2,15)&gt;$T$737)),0,IF(DATE($C742,2,15)&gt;=$X$737,$AA$737*(1+($U$737)/100)^MAX(0,$C742-$AD$737),IF(DATE($C742,2,15)&gt;=$W$737,$Z$737*(1+($U$737)/100)^MAX(0,$C742-$AC$737),IF(DATE($C742,2,15)&gt;=$V$737,$Y$737*(1+($U$737)/100)^MAX(0,$C742-$AB$737),0)))))</f>
      </c>
      <c r="G742" s="43">
        <f>IF($S$737=0,0,IF(OR(DATE($C742,3,15)&lt;$S$737,AND($T$737&gt;0,DATE($C742,3,15)&gt;$T$737)),0,IF(DATE($C742,3,15)&gt;=$X$737,$AA$737*(1+($U$737)/100)^MAX(0,$C742-$AD$737),IF(DATE($C742,3,15)&gt;=$W$737,$Z$737*(1+($U$737)/100)^MAX(0,$C742-$AC$737),IF(DATE($C742,3,15)&gt;=$V$737,$Y$737*(1+($U$737)/100)^MAX(0,$C742-$AB$737),0)))))</f>
      </c>
      <c r="H742" s="43">
        <f>IF($S$737=0,0,IF(OR(DATE($C742,4,15)&lt;$S$737,AND($T$737&gt;0,DATE($C742,4,15)&gt;$T$737)),0,IF(DATE($C742,4,15)&gt;=$X$737,$AA$737*(1+($U$737)/100)^MAX(0,$C742-$AD$737),IF(DATE($C742,4,15)&gt;=$W$737,$Z$737*(1+($U$737)/100)^MAX(0,$C742-$AC$737),IF(DATE($C742,4,15)&gt;=$V$737,$Y$737*(1+($U$737)/100)^MAX(0,$C742-$AB$737),0)))))</f>
      </c>
      <c r="I742" s="43">
        <f>IF($S$737=0,0,IF(OR(DATE($C742,5,15)&lt;$S$737,AND($T$737&gt;0,DATE($C742,5,15)&gt;$T$737)),0,IF(DATE($C742,5,15)&gt;=$X$737,$AA$737*(1+($U$737)/100)^MAX(0,$C742-$AD$737),IF(DATE($C742,5,15)&gt;=$W$737,$Z$737*(1+($U$737)/100)^MAX(0,$C742-$AC$737),IF(DATE($C742,5,15)&gt;=$V$737,$Y$737*(1+($U$737)/100)^MAX(0,$C742-$AB$737),0)))))</f>
      </c>
      <c r="J742" s="43">
        <f>IF($S$737=0,0,IF(OR(DATE($C742,6,15)&lt;$S$737,AND($T$737&gt;0,DATE($C742,6,15)&gt;$T$737)),0,IF(DATE($C742,6,15)&gt;=$X$737,$AA$737*(1+($U$737)/100)^MAX(0,$C742-$AD$737),IF(DATE($C742,6,15)&gt;=$W$737,$Z$737*(1+($U$737)/100)^MAX(0,$C742-$AC$737),IF(DATE($C742,6,15)&gt;=$V$737,$Y$737*(1+($U$737)/100)^MAX(0,$C742-$AB$737),0)))))</f>
      </c>
      <c r="K742" s="43">
        <f>IF($S$737=0,0,IF(OR(DATE($C742,7,15)&lt;$S$737,AND($T$737&gt;0,DATE($C742,7,15)&gt;$T$737)),0,IF(DATE($C742,7,15)&gt;=$X$737,$AA$737*(1+($U$737)/100)^MAX(0,$C742-$AD$737),IF(DATE($C742,7,15)&gt;=$W$737,$Z$737*(1+($U$737)/100)^MAX(0,$C742-$AC$737),IF(DATE($C742,7,15)&gt;=$V$737,$Y$737*(1+($U$737)/100)^MAX(0,$C742-$AB$737),0)))))</f>
      </c>
      <c r="L742" s="43">
        <f>IF($S$737=0,0,IF(OR(DATE($C742,8,15)&lt;$S$737,AND($T$737&gt;0,DATE($C742,8,15)&gt;$T$737)),0,IF(DATE($C742,8,15)&gt;=$X$737,$AA$737*(1+($U$737)/100)^MAX(0,$C742-$AD$737),IF(DATE($C742,8,15)&gt;=$W$737,$Z$737*(1+($U$737)/100)^MAX(0,$C742-$AC$737),IF(DATE($C742,8,15)&gt;=$V$737,$Y$737*(1+($U$737)/100)^MAX(0,$C742-$AB$737),0)))))</f>
      </c>
      <c r="M742" s="43">
        <f>IF($S$737=0,0,IF(OR(DATE($C742,9,15)&lt;$S$737,AND($T$737&gt;0,DATE($C742,9,15)&gt;$T$737)),0,IF(DATE($C742,9,15)&gt;=$X$737,$AA$737*(1+($U$737)/100)^MAX(0,$C742-$AD$737),IF(DATE($C742,9,15)&gt;=$W$737,$Z$737*(1+($U$737)/100)^MAX(0,$C742-$AC$737),IF(DATE($C742,9,15)&gt;=$V$737,$Y$737*(1+($U$737)/100)^MAX(0,$C742-$AB$737),0)))))</f>
      </c>
      <c r="N742" s="43">
        <f>IF($S$737=0,0,IF(OR(DATE($C742,10,15)&lt;$S$737,AND($T$737&gt;0,DATE($C742,10,15)&gt;$T$737)),0,IF(DATE($C742,10,15)&gt;=$X$737,$AA$737*(1+($U$737)/100)^MAX(0,$C742-$AD$737),IF(DATE($C742,10,15)&gt;=$W$737,$Z$737*(1+($U$737)/100)^MAX(0,$C742-$AC$737),IF(DATE($C742,10,15)&gt;=$V$737,$Y$737*(1+($U$737)/100)^MAX(0,$C742-$AB$737),0)))))</f>
      </c>
      <c r="O742" s="43">
        <f>IF($S$737=0,0,IF(OR(DATE($C742,11,15)&lt;$S$737,AND($T$737&gt;0,DATE($C742,11,15)&gt;$T$737)),0,IF(DATE($C742,11,15)&gt;=$X$737,$AA$737*(1+($U$737)/100)^MAX(0,$C742-$AD$737),IF(DATE($C742,11,15)&gt;=$W$737,$Z$737*(1+($U$737)/100)^MAX(0,$C742-$AC$737),IF(DATE($C742,11,15)&gt;=$V$737,$Y$737*(1+($U$737)/100)^MAX(0,$C742-$AB$737),0)))))</f>
      </c>
      <c r="P742" s="43">
        <f>IF($S$737=0,0,IF(OR(DATE($C742,12,15)&lt;$S$737,AND($T$737&gt;0,DATE($C742,12,15)&gt;$T$737)),0,IF(DATE($C742,12,15)&gt;=$X$737,$AA$737*(1+($U$737)/100)^MAX(0,$C742-$AD$737),IF(DATE($C742,12,15)&gt;=$W$737,$Z$737*(1+($U$737)/100)^MAX(0,$C742-$AC$737),IF(DATE($C742,12,15)&gt;=$V$737,$Y$737*(1+($U$737)/100)^MAX(0,$C742-$AB$737),0)))))</f>
      </c>
      <c r="Q742" s="43">
        <f>SUM($E742:$P742)</f>
      </c>
    </row>
    <row r="743">
      <c r="A743"/>
      <c r="B743">
        <v>24</v>
      </c>
      <c r="C743" s="43">
        <f>Jahr+6</f>
      </c>
      <c r="D743" s="43">
        <f>INDEX(MvObj,24)</f>
      </c>
      <c r="E743" s="43">
        <f>IF($S$737=0,0,IF(OR(DATE($C743,1,15)&lt;$S$737,AND($T$737&gt;0,DATE($C743,1,15)&gt;$T$737)),0,IF(DATE($C743,1,15)&gt;=$X$737,$AA$737*(1+($U$737)/100)^MAX(0,$C743-$AD$737),IF(DATE($C743,1,15)&gt;=$W$737,$Z$737*(1+($U$737)/100)^MAX(0,$C743-$AC$737),IF(DATE($C743,1,15)&gt;=$V$737,$Y$737*(1+($U$737)/100)^MAX(0,$C743-$AB$737),0)))))</f>
      </c>
      <c r="F743" s="43">
        <f>IF($S$737=0,0,IF(OR(DATE($C743,2,15)&lt;$S$737,AND($T$737&gt;0,DATE($C743,2,15)&gt;$T$737)),0,IF(DATE($C743,2,15)&gt;=$X$737,$AA$737*(1+($U$737)/100)^MAX(0,$C743-$AD$737),IF(DATE($C743,2,15)&gt;=$W$737,$Z$737*(1+($U$737)/100)^MAX(0,$C743-$AC$737),IF(DATE($C743,2,15)&gt;=$V$737,$Y$737*(1+($U$737)/100)^MAX(0,$C743-$AB$737),0)))))</f>
      </c>
      <c r="G743" s="43">
        <f>IF($S$737=0,0,IF(OR(DATE($C743,3,15)&lt;$S$737,AND($T$737&gt;0,DATE($C743,3,15)&gt;$T$737)),0,IF(DATE($C743,3,15)&gt;=$X$737,$AA$737*(1+($U$737)/100)^MAX(0,$C743-$AD$737),IF(DATE($C743,3,15)&gt;=$W$737,$Z$737*(1+($U$737)/100)^MAX(0,$C743-$AC$737),IF(DATE($C743,3,15)&gt;=$V$737,$Y$737*(1+($U$737)/100)^MAX(0,$C743-$AB$737),0)))))</f>
      </c>
      <c r="H743" s="43">
        <f>IF($S$737=0,0,IF(OR(DATE($C743,4,15)&lt;$S$737,AND($T$737&gt;0,DATE($C743,4,15)&gt;$T$737)),0,IF(DATE($C743,4,15)&gt;=$X$737,$AA$737*(1+($U$737)/100)^MAX(0,$C743-$AD$737),IF(DATE($C743,4,15)&gt;=$W$737,$Z$737*(1+($U$737)/100)^MAX(0,$C743-$AC$737),IF(DATE($C743,4,15)&gt;=$V$737,$Y$737*(1+($U$737)/100)^MAX(0,$C743-$AB$737),0)))))</f>
      </c>
      <c r="I743" s="43">
        <f>IF($S$737=0,0,IF(OR(DATE($C743,5,15)&lt;$S$737,AND($T$737&gt;0,DATE($C743,5,15)&gt;$T$737)),0,IF(DATE($C743,5,15)&gt;=$X$737,$AA$737*(1+($U$737)/100)^MAX(0,$C743-$AD$737),IF(DATE($C743,5,15)&gt;=$W$737,$Z$737*(1+($U$737)/100)^MAX(0,$C743-$AC$737),IF(DATE($C743,5,15)&gt;=$V$737,$Y$737*(1+($U$737)/100)^MAX(0,$C743-$AB$737),0)))))</f>
      </c>
      <c r="J743" s="43">
        <f>IF($S$737=0,0,IF(OR(DATE($C743,6,15)&lt;$S$737,AND($T$737&gt;0,DATE($C743,6,15)&gt;$T$737)),0,IF(DATE($C743,6,15)&gt;=$X$737,$AA$737*(1+($U$737)/100)^MAX(0,$C743-$AD$737),IF(DATE($C743,6,15)&gt;=$W$737,$Z$737*(1+($U$737)/100)^MAX(0,$C743-$AC$737),IF(DATE($C743,6,15)&gt;=$V$737,$Y$737*(1+($U$737)/100)^MAX(0,$C743-$AB$737),0)))))</f>
      </c>
      <c r="K743" s="43">
        <f>IF($S$737=0,0,IF(OR(DATE($C743,7,15)&lt;$S$737,AND($T$737&gt;0,DATE($C743,7,15)&gt;$T$737)),0,IF(DATE($C743,7,15)&gt;=$X$737,$AA$737*(1+($U$737)/100)^MAX(0,$C743-$AD$737),IF(DATE($C743,7,15)&gt;=$W$737,$Z$737*(1+($U$737)/100)^MAX(0,$C743-$AC$737),IF(DATE($C743,7,15)&gt;=$V$737,$Y$737*(1+($U$737)/100)^MAX(0,$C743-$AB$737),0)))))</f>
      </c>
      <c r="L743" s="43">
        <f>IF($S$737=0,0,IF(OR(DATE($C743,8,15)&lt;$S$737,AND($T$737&gt;0,DATE($C743,8,15)&gt;$T$737)),0,IF(DATE($C743,8,15)&gt;=$X$737,$AA$737*(1+($U$737)/100)^MAX(0,$C743-$AD$737),IF(DATE($C743,8,15)&gt;=$W$737,$Z$737*(1+($U$737)/100)^MAX(0,$C743-$AC$737),IF(DATE($C743,8,15)&gt;=$V$737,$Y$737*(1+($U$737)/100)^MAX(0,$C743-$AB$737),0)))))</f>
      </c>
      <c r="M743" s="43">
        <f>IF($S$737=0,0,IF(OR(DATE($C743,9,15)&lt;$S$737,AND($T$737&gt;0,DATE($C743,9,15)&gt;$T$737)),0,IF(DATE($C743,9,15)&gt;=$X$737,$AA$737*(1+($U$737)/100)^MAX(0,$C743-$AD$737),IF(DATE($C743,9,15)&gt;=$W$737,$Z$737*(1+($U$737)/100)^MAX(0,$C743-$AC$737),IF(DATE($C743,9,15)&gt;=$V$737,$Y$737*(1+($U$737)/100)^MAX(0,$C743-$AB$737),0)))))</f>
      </c>
      <c r="N743" s="43">
        <f>IF($S$737=0,0,IF(OR(DATE($C743,10,15)&lt;$S$737,AND($T$737&gt;0,DATE($C743,10,15)&gt;$T$737)),0,IF(DATE($C743,10,15)&gt;=$X$737,$AA$737*(1+($U$737)/100)^MAX(0,$C743-$AD$737),IF(DATE($C743,10,15)&gt;=$W$737,$Z$737*(1+($U$737)/100)^MAX(0,$C743-$AC$737),IF(DATE($C743,10,15)&gt;=$V$737,$Y$737*(1+($U$737)/100)^MAX(0,$C743-$AB$737),0)))))</f>
      </c>
      <c r="O743" s="43">
        <f>IF($S$737=0,0,IF(OR(DATE($C743,11,15)&lt;$S$737,AND($T$737&gt;0,DATE($C743,11,15)&gt;$T$737)),0,IF(DATE($C743,11,15)&gt;=$X$737,$AA$737*(1+($U$737)/100)^MAX(0,$C743-$AD$737),IF(DATE($C743,11,15)&gt;=$W$737,$Z$737*(1+($U$737)/100)^MAX(0,$C743-$AC$737),IF(DATE($C743,11,15)&gt;=$V$737,$Y$737*(1+($U$737)/100)^MAX(0,$C743-$AB$737),0)))))</f>
      </c>
      <c r="P743" s="43">
        <f>IF($S$737=0,0,IF(OR(DATE($C743,12,15)&lt;$S$737,AND($T$737&gt;0,DATE($C743,12,15)&gt;$T$737)),0,IF(DATE($C743,12,15)&gt;=$X$737,$AA$737*(1+($U$737)/100)^MAX(0,$C743-$AD$737),IF(DATE($C743,12,15)&gt;=$W$737,$Z$737*(1+($U$737)/100)^MAX(0,$C743-$AC$737),IF(DATE($C743,12,15)&gt;=$V$737,$Y$737*(1+($U$737)/100)^MAX(0,$C743-$AB$737),0)))))</f>
      </c>
      <c r="Q743" s="43">
        <f>SUM($E743:$P743)</f>
      </c>
    </row>
    <row r="744">
      <c r="A744"/>
      <c r="B744">
        <v>24</v>
      </c>
      <c r="C744" s="43">
        <f>Jahr+7</f>
      </c>
      <c r="D744" s="43">
        <f>INDEX(MvObj,24)</f>
      </c>
      <c r="E744" s="43">
        <f>IF($S$737=0,0,IF(OR(DATE($C744,1,15)&lt;$S$737,AND($T$737&gt;0,DATE($C744,1,15)&gt;$T$737)),0,IF(DATE($C744,1,15)&gt;=$X$737,$AA$737*(1+($U$737)/100)^MAX(0,$C744-$AD$737),IF(DATE($C744,1,15)&gt;=$W$737,$Z$737*(1+($U$737)/100)^MAX(0,$C744-$AC$737),IF(DATE($C744,1,15)&gt;=$V$737,$Y$737*(1+($U$737)/100)^MAX(0,$C744-$AB$737),0)))))</f>
      </c>
      <c r="F744" s="43">
        <f>IF($S$737=0,0,IF(OR(DATE($C744,2,15)&lt;$S$737,AND($T$737&gt;0,DATE($C744,2,15)&gt;$T$737)),0,IF(DATE($C744,2,15)&gt;=$X$737,$AA$737*(1+($U$737)/100)^MAX(0,$C744-$AD$737),IF(DATE($C744,2,15)&gt;=$W$737,$Z$737*(1+($U$737)/100)^MAX(0,$C744-$AC$737),IF(DATE($C744,2,15)&gt;=$V$737,$Y$737*(1+($U$737)/100)^MAX(0,$C744-$AB$737),0)))))</f>
      </c>
      <c r="G744" s="43">
        <f>IF($S$737=0,0,IF(OR(DATE($C744,3,15)&lt;$S$737,AND($T$737&gt;0,DATE($C744,3,15)&gt;$T$737)),0,IF(DATE($C744,3,15)&gt;=$X$737,$AA$737*(1+($U$737)/100)^MAX(0,$C744-$AD$737),IF(DATE($C744,3,15)&gt;=$W$737,$Z$737*(1+($U$737)/100)^MAX(0,$C744-$AC$737),IF(DATE($C744,3,15)&gt;=$V$737,$Y$737*(1+($U$737)/100)^MAX(0,$C744-$AB$737),0)))))</f>
      </c>
      <c r="H744" s="43">
        <f>IF($S$737=0,0,IF(OR(DATE($C744,4,15)&lt;$S$737,AND($T$737&gt;0,DATE($C744,4,15)&gt;$T$737)),0,IF(DATE($C744,4,15)&gt;=$X$737,$AA$737*(1+($U$737)/100)^MAX(0,$C744-$AD$737),IF(DATE($C744,4,15)&gt;=$W$737,$Z$737*(1+($U$737)/100)^MAX(0,$C744-$AC$737),IF(DATE($C744,4,15)&gt;=$V$737,$Y$737*(1+($U$737)/100)^MAX(0,$C744-$AB$737),0)))))</f>
      </c>
      <c r="I744" s="43">
        <f>IF($S$737=0,0,IF(OR(DATE($C744,5,15)&lt;$S$737,AND($T$737&gt;0,DATE($C744,5,15)&gt;$T$737)),0,IF(DATE($C744,5,15)&gt;=$X$737,$AA$737*(1+($U$737)/100)^MAX(0,$C744-$AD$737),IF(DATE($C744,5,15)&gt;=$W$737,$Z$737*(1+($U$737)/100)^MAX(0,$C744-$AC$737),IF(DATE($C744,5,15)&gt;=$V$737,$Y$737*(1+($U$737)/100)^MAX(0,$C744-$AB$737),0)))))</f>
      </c>
      <c r="J744" s="43">
        <f>IF($S$737=0,0,IF(OR(DATE($C744,6,15)&lt;$S$737,AND($T$737&gt;0,DATE($C744,6,15)&gt;$T$737)),0,IF(DATE($C744,6,15)&gt;=$X$737,$AA$737*(1+($U$737)/100)^MAX(0,$C744-$AD$737),IF(DATE($C744,6,15)&gt;=$W$737,$Z$737*(1+($U$737)/100)^MAX(0,$C744-$AC$737),IF(DATE($C744,6,15)&gt;=$V$737,$Y$737*(1+($U$737)/100)^MAX(0,$C744-$AB$737),0)))))</f>
      </c>
      <c r="K744" s="43">
        <f>IF($S$737=0,0,IF(OR(DATE($C744,7,15)&lt;$S$737,AND($T$737&gt;0,DATE($C744,7,15)&gt;$T$737)),0,IF(DATE($C744,7,15)&gt;=$X$737,$AA$737*(1+($U$737)/100)^MAX(0,$C744-$AD$737),IF(DATE($C744,7,15)&gt;=$W$737,$Z$737*(1+($U$737)/100)^MAX(0,$C744-$AC$737),IF(DATE($C744,7,15)&gt;=$V$737,$Y$737*(1+($U$737)/100)^MAX(0,$C744-$AB$737),0)))))</f>
      </c>
      <c r="L744" s="43">
        <f>IF($S$737=0,0,IF(OR(DATE($C744,8,15)&lt;$S$737,AND($T$737&gt;0,DATE($C744,8,15)&gt;$T$737)),0,IF(DATE($C744,8,15)&gt;=$X$737,$AA$737*(1+($U$737)/100)^MAX(0,$C744-$AD$737),IF(DATE($C744,8,15)&gt;=$W$737,$Z$737*(1+($U$737)/100)^MAX(0,$C744-$AC$737),IF(DATE($C744,8,15)&gt;=$V$737,$Y$737*(1+($U$737)/100)^MAX(0,$C744-$AB$737),0)))))</f>
      </c>
      <c r="M744" s="43">
        <f>IF($S$737=0,0,IF(OR(DATE($C744,9,15)&lt;$S$737,AND($T$737&gt;0,DATE($C744,9,15)&gt;$T$737)),0,IF(DATE($C744,9,15)&gt;=$X$737,$AA$737*(1+($U$737)/100)^MAX(0,$C744-$AD$737),IF(DATE($C744,9,15)&gt;=$W$737,$Z$737*(1+($U$737)/100)^MAX(0,$C744-$AC$737),IF(DATE($C744,9,15)&gt;=$V$737,$Y$737*(1+($U$737)/100)^MAX(0,$C744-$AB$737),0)))))</f>
      </c>
      <c r="N744" s="43">
        <f>IF($S$737=0,0,IF(OR(DATE($C744,10,15)&lt;$S$737,AND($T$737&gt;0,DATE($C744,10,15)&gt;$T$737)),0,IF(DATE($C744,10,15)&gt;=$X$737,$AA$737*(1+($U$737)/100)^MAX(0,$C744-$AD$737),IF(DATE($C744,10,15)&gt;=$W$737,$Z$737*(1+($U$737)/100)^MAX(0,$C744-$AC$737),IF(DATE($C744,10,15)&gt;=$V$737,$Y$737*(1+($U$737)/100)^MAX(0,$C744-$AB$737),0)))))</f>
      </c>
      <c r="O744" s="43">
        <f>IF($S$737=0,0,IF(OR(DATE($C744,11,15)&lt;$S$737,AND($T$737&gt;0,DATE($C744,11,15)&gt;$T$737)),0,IF(DATE($C744,11,15)&gt;=$X$737,$AA$737*(1+($U$737)/100)^MAX(0,$C744-$AD$737),IF(DATE($C744,11,15)&gt;=$W$737,$Z$737*(1+($U$737)/100)^MAX(0,$C744-$AC$737),IF(DATE($C744,11,15)&gt;=$V$737,$Y$737*(1+($U$737)/100)^MAX(0,$C744-$AB$737),0)))))</f>
      </c>
      <c r="P744" s="43">
        <f>IF($S$737=0,0,IF(OR(DATE($C744,12,15)&lt;$S$737,AND($T$737&gt;0,DATE($C744,12,15)&gt;$T$737)),0,IF(DATE($C744,12,15)&gt;=$X$737,$AA$737*(1+($U$737)/100)^MAX(0,$C744-$AD$737),IF(DATE($C744,12,15)&gt;=$W$737,$Z$737*(1+($U$737)/100)^MAX(0,$C744-$AC$737),IF(DATE($C744,12,15)&gt;=$V$737,$Y$737*(1+($U$737)/100)^MAX(0,$C744-$AB$737),0)))))</f>
      </c>
      <c r="Q744" s="43">
        <f>SUM($E744:$P744)</f>
      </c>
    </row>
    <row r="745">
      <c r="A745"/>
      <c r="B745">
        <v>24</v>
      </c>
      <c r="C745" s="43">
        <f>Jahr+8</f>
      </c>
      <c r="D745" s="43">
        <f>INDEX(MvObj,24)</f>
      </c>
      <c r="E745" s="43">
        <f>IF($S$737=0,0,IF(OR(DATE($C745,1,15)&lt;$S$737,AND($T$737&gt;0,DATE($C745,1,15)&gt;$T$737)),0,IF(DATE($C745,1,15)&gt;=$X$737,$AA$737*(1+($U$737)/100)^MAX(0,$C745-$AD$737),IF(DATE($C745,1,15)&gt;=$W$737,$Z$737*(1+($U$737)/100)^MAX(0,$C745-$AC$737),IF(DATE($C745,1,15)&gt;=$V$737,$Y$737*(1+($U$737)/100)^MAX(0,$C745-$AB$737),0)))))</f>
      </c>
      <c r="F745" s="43">
        <f>IF($S$737=0,0,IF(OR(DATE($C745,2,15)&lt;$S$737,AND($T$737&gt;0,DATE($C745,2,15)&gt;$T$737)),0,IF(DATE($C745,2,15)&gt;=$X$737,$AA$737*(1+($U$737)/100)^MAX(0,$C745-$AD$737),IF(DATE($C745,2,15)&gt;=$W$737,$Z$737*(1+($U$737)/100)^MAX(0,$C745-$AC$737),IF(DATE($C745,2,15)&gt;=$V$737,$Y$737*(1+($U$737)/100)^MAX(0,$C745-$AB$737),0)))))</f>
      </c>
      <c r="G745" s="43">
        <f>IF($S$737=0,0,IF(OR(DATE($C745,3,15)&lt;$S$737,AND($T$737&gt;0,DATE($C745,3,15)&gt;$T$737)),0,IF(DATE($C745,3,15)&gt;=$X$737,$AA$737*(1+($U$737)/100)^MAX(0,$C745-$AD$737),IF(DATE($C745,3,15)&gt;=$W$737,$Z$737*(1+($U$737)/100)^MAX(0,$C745-$AC$737),IF(DATE($C745,3,15)&gt;=$V$737,$Y$737*(1+($U$737)/100)^MAX(0,$C745-$AB$737),0)))))</f>
      </c>
      <c r="H745" s="43">
        <f>IF($S$737=0,0,IF(OR(DATE($C745,4,15)&lt;$S$737,AND($T$737&gt;0,DATE($C745,4,15)&gt;$T$737)),0,IF(DATE($C745,4,15)&gt;=$X$737,$AA$737*(1+($U$737)/100)^MAX(0,$C745-$AD$737),IF(DATE($C745,4,15)&gt;=$W$737,$Z$737*(1+($U$737)/100)^MAX(0,$C745-$AC$737),IF(DATE($C745,4,15)&gt;=$V$737,$Y$737*(1+($U$737)/100)^MAX(0,$C745-$AB$737),0)))))</f>
      </c>
      <c r="I745" s="43">
        <f>IF($S$737=0,0,IF(OR(DATE($C745,5,15)&lt;$S$737,AND($T$737&gt;0,DATE($C745,5,15)&gt;$T$737)),0,IF(DATE($C745,5,15)&gt;=$X$737,$AA$737*(1+($U$737)/100)^MAX(0,$C745-$AD$737),IF(DATE($C745,5,15)&gt;=$W$737,$Z$737*(1+($U$737)/100)^MAX(0,$C745-$AC$737),IF(DATE($C745,5,15)&gt;=$V$737,$Y$737*(1+($U$737)/100)^MAX(0,$C745-$AB$737),0)))))</f>
      </c>
      <c r="J745" s="43">
        <f>IF($S$737=0,0,IF(OR(DATE($C745,6,15)&lt;$S$737,AND($T$737&gt;0,DATE($C745,6,15)&gt;$T$737)),0,IF(DATE($C745,6,15)&gt;=$X$737,$AA$737*(1+($U$737)/100)^MAX(0,$C745-$AD$737),IF(DATE($C745,6,15)&gt;=$W$737,$Z$737*(1+($U$737)/100)^MAX(0,$C745-$AC$737),IF(DATE($C745,6,15)&gt;=$V$737,$Y$737*(1+($U$737)/100)^MAX(0,$C745-$AB$737),0)))))</f>
      </c>
      <c r="K745" s="43">
        <f>IF($S$737=0,0,IF(OR(DATE($C745,7,15)&lt;$S$737,AND($T$737&gt;0,DATE($C745,7,15)&gt;$T$737)),0,IF(DATE($C745,7,15)&gt;=$X$737,$AA$737*(1+($U$737)/100)^MAX(0,$C745-$AD$737),IF(DATE($C745,7,15)&gt;=$W$737,$Z$737*(1+($U$737)/100)^MAX(0,$C745-$AC$737),IF(DATE($C745,7,15)&gt;=$V$737,$Y$737*(1+($U$737)/100)^MAX(0,$C745-$AB$737),0)))))</f>
      </c>
      <c r="L745" s="43">
        <f>IF($S$737=0,0,IF(OR(DATE($C745,8,15)&lt;$S$737,AND($T$737&gt;0,DATE($C745,8,15)&gt;$T$737)),0,IF(DATE($C745,8,15)&gt;=$X$737,$AA$737*(1+($U$737)/100)^MAX(0,$C745-$AD$737),IF(DATE($C745,8,15)&gt;=$W$737,$Z$737*(1+($U$737)/100)^MAX(0,$C745-$AC$737),IF(DATE($C745,8,15)&gt;=$V$737,$Y$737*(1+($U$737)/100)^MAX(0,$C745-$AB$737),0)))))</f>
      </c>
      <c r="M745" s="43">
        <f>IF($S$737=0,0,IF(OR(DATE($C745,9,15)&lt;$S$737,AND($T$737&gt;0,DATE($C745,9,15)&gt;$T$737)),0,IF(DATE($C745,9,15)&gt;=$X$737,$AA$737*(1+($U$737)/100)^MAX(0,$C745-$AD$737),IF(DATE($C745,9,15)&gt;=$W$737,$Z$737*(1+($U$737)/100)^MAX(0,$C745-$AC$737),IF(DATE($C745,9,15)&gt;=$V$737,$Y$737*(1+($U$737)/100)^MAX(0,$C745-$AB$737),0)))))</f>
      </c>
      <c r="N745" s="43">
        <f>IF($S$737=0,0,IF(OR(DATE($C745,10,15)&lt;$S$737,AND($T$737&gt;0,DATE($C745,10,15)&gt;$T$737)),0,IF(DATE($C745,10,15)&gt;=$X$737,$AA$737*(1+($U$737)/100)^MAX(0,$C745-$AD$737),IF(DATE($C745,10,15)&gt;=$W$737,$Z$737*(1+($U$737)/100)^MAX(0,$C745-$AC$737),IF(DATE($C745,10,15)&gt;=$V$737,$Y$737*(1+($U$737)/100)^MAX(0,$C745-$AB$737),0)))))</f>
      </c>
      <c r="O745" s="43">
        <f>IF($S$737=0,0,IF(OR(DATE($C745,11,15)&lt;$S$737,AND($T$737&gt;0,DATE($C745,11,15)&gt;$T$737)),0,IF(DATE($C745,11,15)&gt;=$X$737,$AA$737*(1+($U$737)/100)^MAX(0,$C745-$AD$737),IF(DATE($C745,11,15)&gt;=$W$737,$Z$737*(1+($U$737)/100)^MAX(0,$C745-$AC$737),IF(DATE($C745,11,15)&gt;=$V$737,$Y$737*(1+($U$737)/100)^MAX(0,$C745-$AB$737),0)))))</f>
      </c>
      <c r="P745" s="43">
        <f>IF($S$737=0,0,IF(OR(DATE($C745,12,15)&lt;$S$737,AND($T$737&gt;0,DATE($C745,12,15)&gt;$T$737)),0,IF(DATE($C745,12,15)&gt;=$X$737,$AA$737*(1+($U$737)/100)^MAX(0,$C745-$AD$737),IF(DATE($C745,12,15)&gt;=$W$737,$Z$737*(1+($U$737)/100)^MAX(0,$C745-$AC$737),IF(DATE($C745,12,15)&gt;=$V$737,$Y$737*(1+($U$737)/100)^MAX(0,$C745-$AB$737),0)))))</f>
      </c>
      <c r="Q745" s="43">
        <f>SUM($E745:$P745)</f>
      </c>
    </row>
    <row r="746">
      <c r="A746"/>
      <c r="B746">
        <v>24</v>
      </c>
      <c r="C746" s="43">
        <f>Jahr+9</f>
      </c>
      <c r="D746" s="43">
        <f>INDEX(MvObj,24)</f>
      </c>
      <c r="E746" s="43">
        <f>IF($S$737=0,0,IF(OR(DATE($C746,1,15)&lt;$S$737,AND($T$737&gt;0,DATE($C746,1,15)&gt;$T$737)),0,IF(DATE($C746,1,15)&gt;=$X$737,$AA$737*(1+($U$737)/100)^MAX(0,$C746-$AD$737),IF(DATE($C746,1,15)&gt;=$W$737,$Z$737*(1+($U$737)/100)^MAX(0,$C746-$AC$737),IF(DATE($C746,1,15)&gt;=$V$737,$Y$737*(1+($U$737)/100)^MAX(0,$C746-$AB$737),0)))))</f>
      </c>
      <c r="F746" s="43">
        <f>IF($S$737=0,0,IF(OR(DATE($C746,2,15)&lt;$S$737,AND($T$737&gt;0,DATE($C746,2,15)&gt;$T$737)),0,IF(DATE($C746,2,15)&gt;=$X$737,$AA$737*(1+($U$737)/100)^MAX(0,$C746-$AD$737),IF(DATE($C746,2,15)&gt;=$W$737,$Z$737*(1+($U$737)/100)^MAX(0,$C746-$AC$737),IF(DATE($C746,2,15)&gt;=$V$737,$Y$737*(1+($U$737)/100)^MAX(0,$C746-$AB$737),0)))))</f>
      </c>
      <c r="G746" s="43">
        <f>IF($S$737=0,0,IF(OR(DATE($C746,3,15)&lt;$S$737,AND($T$737&gt;0,DATE($C746,3,15)&gt;$T$737)),0,IF(DATE($C746,3,15)&gt;=$X$737,$AA$737*(1+($U$737)/100)^MAX(0,$C746-$AD$737),IF(DATE($C746,3,15)&gt;=$W$737,$Z$737*(1+($U$737)/100)^MAX(0,$C746-$AC$737),IF(DATE($C746,3,15)&gt;=$V$737,$Y$737*(1+($U$737)/100)^MAX(0,$C746-$AB$737),0)))))</f>
      </c>
      <c r="H746" s="43">
        <f>IF($S$737=0,0,IF(OR(DATE($C746,4,15)&lt;$S$737,AND($T$737&gt;0,DATE($C746,4,15)&gt;$T$737)),0,IF(DATE($C746,4,15)&gt;=$X$737,$AA$737*(1+($U$737)/100)^MAX(0,$C746-$AD$737),IF(DATE($C746,4,15)&gt;=$W$737,$Z$737*(1+($U$737)/100)^MAX(0,$C746-$AC$737),IF(DATE($C746,4,15)&gt;=$V$737,$Y$737*(1+($U$737)/100)^MAX(0,$C746-$AB$737),0)))))</f>
      </c>
      <c r="I746" s="43">
        <f>IF($S$737=0,0,IF(OR(DATE($C746,5,15)&lt;$S$737,AND($T$737&gt;0,DATE($C746,5,15)&gt;$T$737)),0,IF(DATE($C746,5,15)&gt;=$X$737,$AA$737*(1+($U$737)/100)^MAX(0,$C746-$AD$737),IF(DATE($C746,5,15)&gt;=$W$737,$Z$737*(1+($U$737)/100)^MAX(0,$C746-$AC$737),IF(DATE($C746,5,15)&gt;=$V$737,$Y$737*(1+($U$737)/100)^MAX(0,$C746-$AB$737),0)))))</f>
      </c>
      <c r="J746" s="43">
        <f>IF($S$737=0,0,IF(OR(DATE($C746,6,15)&lt;$S$737,AND($T$737&gt;0,DATE($C746,6,15)&gt;$T$737)),0,IF(DATE($C746,6,15)&gt;=$X$737,$AA$737*(1+($U$737)/100)^MAX(0,$C746-$AD$737),IF(DATE($C746,6,15)&gt;=$W$737,$Z$737*(1+($U$737)/100)^MAX(0,$C746-$AC$737),IF(DATE($C746,6,15)&gt;=$V$737,$Y$737*(1+($U$737)/100)^MAX(0,$C746-$AB$737),0)))))</f>
      </c>
      <c r="K746" s="43">
        <f>IF($S$737=0,0,IF(OR(DATE($C746,7,15)&lt;$S$737,AND($T$737&gt;0,DATE($C746,7,15)&gt;$T$737)),0,IF(DATE($C746,7,15)&gt;=$X$737,$AA$737*(1+($U$737)/100)^MAX(0,$C746-$AD$737),IF(DATE($C746,7,15)&gt;=$W$737,$Z$737*(1+($U$737)/100)^MAX(0,$C746-$AC$737),IF(DATE($C746,7,15)&gt;=$V$737,$Y$737*(1+($U$737)/100)^MAX(0,$C746-$AB$737),0)))))</f>
      </c>
      <c r="L746" s="43">
        <f>IF($S$737=0,0,IF(OR(DATE($C746,8,15)&lt;$S$737,AND($T$737&gt;0,DATE($C746,8,15)&gt;$T$737)),0,IF(DATE($C746,8,15)&gt;=$X$737,$AA$737*(1+($U$737)/100)^MAX(0,$C746-$AD$737),IF(DATE($C746,8,15)&gt;=$W$737,$Z$737*(1+($U$737)/100)^MAX(0,$C746-$AC$737),IF(DATE($C746,8,15)&gt;=$V$737,$Y$737*(1+($U$737)/100)^MAX(0,$C746-$AB$737),0)))))</f>
      </c>
      <c r="M746" s="43">
        <f>IF($S$737=0,0,IF(OR(DATE($C746,9,15)&lt;$S$737,AND($T$737&gt;0,DATE($C746,9,15)&gt;$T$737)),0,IF(DATE($C746,9,15)&gt;=$X$737,$AA$737*(1+($U$737)/100)^MAX(0,$C746-$AD$737),IF(DATE($C746,9,15)&gt;=$W$737,$Z$737*(1+($U$737)/100)^MAX(0,$C746-$AC$737),IF(DATE($C746,9,15)&gt;=$V$737,$Y$737*(1+($U$737)/100)^MAX(0,$C746-$AB$737),0)))))</f>
      </c>
      <c r="N746" s="43">
        <f>IF($S$737=0,0,IF(OR(DATE($C746,10,15)&lt;$S$737,AND($T$737&gt;0,DATE($C746,10,15)&gt;$T$737)),0,IF(DATE($C746,10,15)&gt;=$X$737,$AA$737*(1+($U$737)/100)^MAX(0,$C746-$AD$737),IF(DATE($C746,10,15)&gt;=$W$737,$Z$737*(1+($U$737)/100)^MAX(0,$C746-$AC$737),IF(DATE($C746,10,15)&gt;=$V$737,$Y$737*(1+($U$737)/100)^MAX(0,$C746-$AB$737),0)))))</f>
      </c>
      <c r="O746" s="43">
        <f>IF($S$737=0,0,IF(OR(DATE($C746,11,15)&lt;$S$737,AND($T$737&gt;0,DATE($C746,11,15)&gt;$T$737)),0,IF(DATE($C746,11,15)&gt;=$X$737,$AA$737*(1+($U$737)/100)^MAX(0,$C746-$AD$737),IF(DATE($C746,11,15)&gt;=$W$737,$Z$737*(1+($U$737)/100)^MAX(0,$C746-$AC$737),IF(DATE($C746,11,15)&gt;=$V$737,$Y$737*(1+($U$737)/100)^MAX(0,$C746-$AB$737),0)))))</f>
      </c>
      <c r="P746" s="43">
        <f>IF($S$737=0,0,IF(OR(DATE($C746,12,15)&lt;$S$737,AND($T$737&gt;0,DATE($C746,12,15)&gt;$T$737)),0,IF(DATE($C746,12,15)&gt;=$X$737,$AA$737*(1+($U$737)/100)^MAX(0,$C746-$AD$737),IF(DATE($C746,12,15)&gt;=$W$737,$Z$737*(1+($U$737)/100)^MAX(0,$C746-$AC$737),IF(DATE($C746,12,15)&gt;=$V$737,$Y$737*(1+($U$737)/100)^MAX(0,$C746-$AB$737),0)))))</f>
      </c>
      <c r="Q746" s="43">
        <f>SUM($E746:$P746)</f>
      </c>
    </row>
    <row r="747">
      <c r="A747"/>
      <c r="B747">
        <v>24</v>
      </c>
      <c r="C747" s="43">
        <f>Jahr+10</f>
      </c>
      <c r="D747" s="43">
        <f>INDEX(MvObj,24)</f>
      </c>
      <c r="E747" s="43">
        <f>IF($S$737=0,0,IF(OR(DATE($C747,1,15)&lt;$S$737,AND($T$737&gt;0,DATE($C747,1,15)&gt;$T$737)),0,IF(DATE($C747,1,15)&gt;=$X$737,$AA$737*(1+($U$737)/100)^MAX(0,$C747-$AD$737),IF(DATE($C747,1,15)&gt;=$W$737,$Z$737*(1+($U$737)/100)^MAX(0,$C747-$AC$737),IF(DATE($C747,1,15)&gt;=$V$737,$Y$737*(1+($U$737)/100)^MAX(0,$C747-$AB$737),0)))))</f>
      </c>
      <c r="F747" s="43">
        <f>IF($S$737=0,0,IF(OR(DATE($C747,2,15)&lt;$S$737,AND($T$737&gt;0,DATE($C747,2,15)&gt;$T$737)),0,IF(DATE($C747,2,15)&gt;=$X$737,$AA$737*(1+($U$737)/100)^MAX(0,$C747-$AD$737),IF(DATE($C747,2,15)&gt;=$W$737,$Z$737*(1+($U$737)/100)^MAX(0,$C747-$AC$737),IF(DATE($C747,2,15)&gt;=$V$737,$Y$737*(1+($U$737)/100)^MAX(0,$C747-$AB$737),0)))))</f>
      </c>
      <c r="G747" s="43">
        <f>IF($S$737=0,0,IF(OR(DATE($C747,3,15)&lt;$S$737,AND($T$737&gt;0,DATE($C747,3,15)&gt;$T$737)),0,IF(DATE($C747,3,15)&gt;=$X$737,$AA$737*(1+($U$737)/100)^MAX(0,$C747-$AD$737),IF(DATE($C747,3,15)&gt;=$W$737,$Z$737*(1+($U$737)/100)^MAX(0,$C747-$AC$737),IF(DATE($C747,3,15)&gt;=$V$737,$Y$737*(1+($U$737)/100)^MAX(0,$C747-$AB$737),0)))))</f>
      </c>
      <c r="H747" s="43">
        <f>IF($S$737=0,0,IF(OR(DATE($C747,4,15)&lt;$S$737,AND($T$737&gt;0,DATE($C747,4,15)&gt;$T$737)),0,IF(DATE($C747,4,15)&gt;=$X$737,$AA$737*(1+($U$737)/100)^MAX(0,$C747-$AD$737),IF(DATE($C747,4,15)&gt;=$W$737,$Z$737*(1+($U$737)/100)^MAX(0,$C747-$AC$737),IF(DATE($C747,4,15)&gt;=$V$737,$Y$737*(1+($U$737)/100)^MAX(0,$C747-$AB$737),0)))))</f>
      </c>
      <c r="I747" s="43">
        <f>IF($S$737=0,0,IF(OR(DATE($C747,5,15)&lt;$S$737,AND($T$737&gt;0,DATE($C747,5,15)&gt;$T$737)),0,IF(DATE($C747,5,15)&gt;=$X$737,$AA$737*(1+($U$737)/100)^MAX(0,$C747-$AD$737),IF(DATE($C747,5,15)&gt;=$W$737,$Z$737*(1+($U$737)/100)^MAX(0,$C747-$AC$737),IF(DATE($C747,5,15)&gt;=$V$737,$Y$737*(1+($U$737)/100)^MAX(0,$C747-$AB$737),0)))))</f>
      </c>
      <c r="J747" s="43">
        <f>IF($S$737=0,0,IF(OR(DATE($C747,6,15)&lt;$S$737,AND($T$737&gt;0,DATE($C747,6,15)&gt;$T$737)),0,IF(DATE($C747,6,15)&gt;=$X$737,$AA$737*(1+($U$737)/100)^MAX(0,$C747-$AD$737),IF(DATE($C747,6,15)&gt;=$W$737,$Z$737*(1+($U$737)/100)^MAX(0,$C747-$AC$737),IF(DATE($C747,6,15)&gt;=$V$737,$Y$737*(1+($U$737)/100)^MAX(0,$C747-$AB$737),0)))))</f>
      </c>
      <c r="K747" s="43">
        <f>IF($S$737=0,0,IF(OR(DATE($C747,7,15)&lt;$S$737,AND($T$737&gt;0,DATE($C747,7,15)&gt;$T$737)),0,IF(DATE($C747,7,15)&gt;=$X$737,$AA$737*(1+($U$737)/100)^MAX(0,$C747-$AD$737),IF(DATE($C747,7,15)&gt;=$W$737,$Z$737*(1+($U$737)/100)^MAX(0,$C747-$AC$737),IF(DATE($C747,7,15)&gt;=$V$737,$Y$737*(1+($U$737)/100)^MAX(0,$C747-$AB$737),0)))))</f>
      </c>
      <c r="L747" s="43">
        <f>IF($S$737=0,0,IF(OR(DATE($C747,8,15)&lt;$S$737,AND($T$737&gt;0,DATE($C747,8,15)&gt;$T$737)),0,IF(DATE($C747,8,15)&gt;=$X$737,$AA$737*(1+($U$737)/100)^MAX(0,$C747-$AD$737),IF(DATE($C747,8,15)&gt;=$W$737,$Z$737*(1+($U$737)/100)^MAX(0,$C747-$AC$737),IF(DATE($C747,8,15)&gt;=$V$737,$Y$737*(1+($U$737)/100)^MAX(0,$C747-$AB$737),0)))))</f>
      </c>
      <c r="M747" s="43">
        <f>IF($S$737=0,0,IF(OR(DATE($C747,9,15)&lt;$S$737,AND($T$737&gt;0,DATE($C747,9,15)&gt;$T$737)),0,IF(DATE($C747,9,15)&gt;=$X$737,$AA$737*(1+($U$737)/100)^MAX(0,$C747-$AD$737),IF(DATE($C747,9,15)&gt;=$W$737,$Z$737*(1+($U$737)/100)^MAX(0,$C747-$AC$737),IF(DATE($C747,9,15)&gt;=$V$737,$Y$737*(1+($U$737)/100)^MAX(0,$C747-$AB$737),0)))))</f>
      </c>
      <c r="N747" s="43">
        <f>IF($S$737=0,0,IF(OR(DATE($C747,10,15)&lt;$S$737,AND($T$737&gt;0,DATE($C747,10,15)&gt;$T$737)),0,IF(DATE($C747,10,15)&gt;=$X$737,$AA$737*(1+($U$737)/100)^MAX(0,$C747-$AD$737),IF(DATE($C747,10,15)&gt;=$W$737,$Z$737*(1+($U$737)/100)^MAX(0,$C747-$AC$737),IF(DATE($C747,10,15)&gt;=$V$737,$Y$737*(1+($U$737)/100)^MAX(0,$C747-$AB$737),0)))))</f>
      </c>
      <c r="O747" s="43">
        <f>IF($S$737=0,0,IF(OR(DATE($C747,11,15)&lt;$S$737,AND($T$737&gt;0,DATE($C747,11,15)&gt;$T$737)),0,IF(DATE($C747,11,15)&gt;=$X$737,$AA$737*(1+($U$737)/100)^MAX(0,$C747-$AD$737),IF(DATE($C747,11,15)&gt;=$W$737,$Z$737*(1+($U$737)/100)^MAX(0,$C747-$AC$737),IF(DATE($C747,11,15)&gt;=$V$737,$Y$737*(1+($U$737)/100)^MAX(0,$C747-$AB$737),0)))))</f>
      </c>
      <c r="P747" s="43">
        <f>IF($S$737=0,0,IF(OR(DATE($C747,12,15)&lt;$S$737,AND($T$737&gt;0,DATE($C747,12,15)&gt;$T$737)),0,IF(DATE($C747,12,15)&gt;=$X$737,$AA$737*(1+($U$737)/100)^MAX(0,$C747-$AD$737),IF(DATE($C747,12,15)&gt;=$W$737,$Z$737*(1+($U$737)/100)^MAX(0,$C747-$AC$737),IF(DATE($C747,12,15)&gt;=$V$737,$Y$737*(1+($U$737)/100)^MAX(0,$C747-$AB$737),0)))))</f>
      </c>
      <c r="Q747" s="43">
        <f>SUM($E747:$P747)</f>
      </c>
    </row>
    <row r="748">
      <c r="A748"/>
      <c r="B748">
        <v>24</v>
      </c>
      <c r="C748" s="43">
        <f>Jahr+11</f>
      </c>
      <c r="D748" s="43">
        <f>INDEX(MvObj,24)</f>
      </c>
      <c r="E748" s="43">
        <f>IF($S$737=0,0,IF(OR(DATE($C748,1,15)&lt;$S$737,AND($T$737&gt;0,DATE($C748,1,15)&gt;$T$737)),0,IF(DATE($C748,1,15)&gt;=$X$737,$AA$737*(1+($U$737)/100)^MAX(0,$C748-$AD$737),IF(DATE($C748,1,15)&gt;=$W$737,$Z$737*(1+($U$737)/100)^MAX(0,$C748-$AC$737),IF(DATE($C748,1,15)&gt;=$V$737,$Y$737*(1+($U$737)/100)^MAX(0,$C748-$AB$737),0)))))</f>
      </c>
      <c r="F748" s="43">
        <f>IF($S$737=0,0,IF(OR(DATE($C748,2,15)&lt;$S$737,AND($T$737&gt;0,DATE($C748,2,15)&gt;$T$737)),0,IF(DATE($C748,2,15)&gt;=$X$737,$AA$737*(1+($U$737)/100)^MAX(0,$C748-$AD$737),IF(DATE($C748,2,15)&gt;=$W$737,$Z$737*(1+($U$737)/100)^MAX(0,$C748-$AC$737),IF(DATE($C748,2,15)&gt;=$V$737,$Y$737*(1+($U$737)/100)^MAX(0,$C748-$AB$737),0)))))</f>
      </c>
      <c r="G748" s="43">
        <f>IF($S$737=0,0,IF(OR(DATE($C748,3,15)&lt;$S$737,AND($T$737&gt;0,DATE($C748,3,15)&gt;$T$737)),0,IF(DATE($C748,3,15)&gt;=$X$737,$AA$737*(1+($U$737)/100)^MAX(0,$C748-$AD$737),IF(DATE($C748,3,15)&gt;=$W$737,$Z$737*(1+($U$737)/100)^MAX(0,$C748-$AC$737),IF(DATE($C748,3,15)&gt;=$V$737,$Y$737*(1+($U$737)/100)^MAX(0,$C748-$AB$737),0)))))</f>
      </c>
      <c r="H748" s="43">
        <f>IF($S$737=0,0,IF(OR(DATE($C748,4,15)&lt;$S$737,AND($T$737&gt;0,DATE($C748,4,15)&gt;$T$737)),0,IF(DATE($C748,4,15)&gt;=$X$737,$AA$737*(1+($U$737)/100)^MAX(0,$C748-$AD$737),IF(DATE($C748,4,15)&gt;=$W$737,$Z$737*(1+($U$737)/100)^MAX(0,$C748-$AC$737),IF(DATE($C748,4,15)&gt;=$V$737,$Y$737*(1+($U$737)/100)^MAX(0,$C748-$AB$737),0)))))</f>
      </c>
      <c r="I748" s="43">
        <f>IF($S$737=0,0,IF(OR(DATE($C748,5,15)&lt;$S$737,AND($T$737&gt;0,DATE($C748,5,15)&gt;$T$737)),0,IF(DATE($C748,5,15)&gt;=$X$737,$AA$737*(1+($U$737)/100)^MAX(0,$C748-$AD$737),IF(DATE($C748,5,15)&gt;=$W$737,$Z$737*(1+($U$737)/100)^MAX(0,$C748-$AC$737),IF(DATE($C748,5,15)&gt;=$V$737,$Y$737*(1+($U$737)/100)^MAX(0,$C748-$AB$737),0)))))</f>
      </c>
      <c r="J748" s="43">
        <f>IF($S$737=0,0,IF(OR(DATE($C748,6,15)&lt;$S$737,AND($T$737&gt;0,DATE($C748,6,15)&gt;$T$737)),0,IF(DATE($C748,6,15)&gt;=$X$737,$AA$737*(1+($U$737)/100)^MAX(0,$C748-$AD$737),IF(DATE($C748,6,15)&gt;=$W$737,$Z$737*(1+($U$737)/100)^MAX(0,$C748-$AC$737),IF(DATE($C748,6,15)&gt;=$V$737,$Y$737*(1+($U$737)/100)^MAX(0,$C748-$AB$737),0)))))</f>
      </c>
      <c r="K748" s="43">
        <f>IF($S$737=0,0,IF(OR(DATE($C748,7,15)&lt;$S$737,AND($T$737&gt;0,DATE($C748,7,15)&gt;$T$737)),0,IF(DATE($C748,7,15)&gt;=$X$737,$AA$737*(1+($U$737)/100)^MAX(0,$C748-$AD$737),IF(DATE($C748,7,15)&gt;=$W$737,$Z$737*(1+($U$737)/100)^MAX(0,$C748-$AC$737),IF(DATE($C748,7,15)&gt;=$V$737,$Y$737*(1+($U$737)/100)^MAX(0,$C748-$AB$737),0)))))</f>
      </c>
      <c r="L748" s="43">
        <f>IF($S$737=0,0,IF(OR(DATE($C748,8,15)&lt;$S$737,AND($T$737&gt;0,DATE($C748,8,15)&gt;$T$737)),0,IF(DATE($C748,8,15)&gt;=$X$737,$AA$737*(1+($U$737)/100)^MAX(0,$C748-$AD$737),IF(DATE($C748,8,15)&gt;=$W$737,$Z$737*(1+($U$737)/100)^MAX(0,$C748-$AC$737),IF(DATE($C748,8,15)&gt;=$V$737,$Y$737*(1+($U$737)/100)^MAX(0,$C748-$AB$737),0)))))</f>
      </c>
      <c r="M748" s="43">
        <f>IF($S$737=0,0,IF(OR(DATE($C748,9,15)&lt;$S$737,AND($T$737&gt;0,DATE($C748,9,15)&gt;$T$737)),0,IF(DATE($C748,9,15)&gt;=$X$737,$AA$737*(1+($U$737)/100)^MAX(0,$C748-$AD$737),IF(DATE($C748,9,15)&gt;=$W$737,$Z$737*(1+($U$737)/100)^MAX(0,$C748-$AC$737),IF(DATE($C748,9,15)&gt;=$V$737,$Y$737*(1+($U$737)/100)^MAX(0,$C748-$AB$737),0)))))</f>
      </c>
      <c r="N748" s="43">
        <f>IF($S$737=0,0,IF(OR(DATE($C748,10,15)&lt;$S$737,AND($T$737&gt;0,DATE($C748,10,15)&gt;$T$737)),0,IF(DATE($C748,10,15)&gt;=$X$737,$AA$737*(1+($U$737)/100)^MAX(0,$C748-$AD$737),IF(DATE($C748,10,15)&gt;=$W$737,$Z$737*(1+($U$737)/100)^MAX(0,$C748-$AC$737),IF(DATE($C748,10,15)&gt;=$V$737,$Y$737*(1+($U$737)/100)^MAX(0,$C748-$AB$737),0)))))</f>
      </c>
      <c r="O748" s="43">
        <f>IF($S$737=0,0,IF(OR(DATE($C748,11,15)&lt;$S$737,AND($T$737&gt;0,DATE($C748,11,15)&gt;$T$737)),0,IF(DATE($C748,11,15)&gt;=$X$737,$AA$737*(1+($U$737)/100)^MAX(0,$C748-$AD$737),IF(DATE($C748,11,15)&gt;=$W$737,$Z$737*(1+($U$737)/100)^MAX(0,$C748-$AC$737),IF(DATE($C748,11,15)&gt;=$V$737,$Y$737*(1+($U$737)/100)^MAX(0,$C748-$AB$737),0)))))</f>
      </c>
      <c r="P748" s="43">
        <f>IF($S$737=0,0,IF(OR(DATE($C748,12,15)&lt;$S$737,AND($T$737&gt;0,DATE($C748,12,15)&gt;$T$737)),0,IF(DATE($C748,12,15)&gt;=$X$737,$AA$737*(1+($U$737)/100)^MAX(0,$C748-$AD$737),IF(DATE($C748,12,15)&gt;=$W$737,$Z$737*(1+($U$737)/100)^MAX(0,$C748-$AC$737),IF(DATE($C748,12,15)&gt;=$V$737,$Y$737*(1+($U$737)/100)^MAX(0,$C748-$AB$737),0)))))</f>
      </c>
      <c r="Q748" s="43">
        <f>SUM($E748:$P748)</f>
      </c>
    </row>
    <row r="749">
      <c r="A749"/>
      <c r="B749">
        <v>24</v>
      </c>
      <c r="C749" s="43">
        <f>Jahr+12</f>
      </c>
      <c r="D749" s="43">
        <f>INDEX(MvObj,24)</f>
      </c>
      <c r="E749" s="43">
        <f>IF($S$737=0,0,IF(OR(DATE($C749,1,15)&lt;$S$737,AND($T$737&gt;0,DATE($C749,1,15)&gt;$T$737)),0,IF(DATE($C749,1,15)&gt;=$X$737,$AA$737*(1+($U$737)/100)^MAX(0,$C749-$AD$737),IF(DATE($C749,1,15)&gt;=$W$737,$Z$737*(1+($U$737)/100)^MAX(0,$C749-$AC$737),IF(DATE($C749,1,15)&gt;=$V$737,$Y$737*(1+($U$737)/100)^MAX(0,$C749-$AB$737),0)))))</f>
      </c>
      <c r="F749" s="43">
        <f>IF($S$737=0,0,IF(OR(DATE($C749,2,15)&lt;$S$737,AND($T$737&gt;0,DATE($C749,2,15)&gt;$T$737)),0,IF(DATE($C749,2,15)&gt;=$X$737,$AA$737*(1+($U$737)/100)^MAX(0,$C749-$AD$737),IF(DATE($C749,2,15)&gt;=$W$737,$Z$737*(1+($U$737)/100)^MAX(0,$C749-$AC$737),IF(DATE($C749,2,15)&gt;=$V$737,$Y$737*(1+($U$737)/100)^MAX(0,$C749-$AB$737),0)))))</f>
      </c>
      <c r="G749" s="43">
        <f>IF($S$737=0,0,IF(OR(DATE($C749,3,15)&lt;$S$737,AND($T$737&gt;0,DATE($C749,3,15)&gt;$T$737)),0,IF(DATE($C749,3,15)&gt;=$X$737,$AA$737*(1+($U$737)/100)^MAX(0,$C749-$AD$737),IF(DATE($C749,3,15)&gt;=$W$737,$Z$737*(1+($U$737)/100)^MAX(0,$C749-$AC$737),IF(DATE($C749,3,15)&gt;=$V$737,$Y$737*(1+($U$737)/100)^MAX(0,$C749-$AB$737),0)))))</f>
      </c>
      <c r="H749" s="43">
        <f>IF($S$737=0,0,IF(OR(DATE($C749,4,15)&lt;$S$737,AND($T$737&gt;0,DATE($C749,4,15)&gt;$T$737)),0,IF(DATE($C749,4,15)&gt;=$X$737,$AA$737*(1+($U$737)/100)^MAX(0,$C749-$AD$737),IF(DATE($C749,4,15)&gt;=$W$737,$Z$737*(1+($U$737)/100)^MAX(0,$C749-$AC$737),IF(DATE($C749,4,15)&gt;=$V$737,$Y$737*(1+($U$737)/100)^MAX(0,$C749-$AB$737),0)))))</f>
      </c>
      <c r="I749" s="43">
        <f>IF($S$737=0,0,IF(OR(DATE($C749,5,15)&lt;$S$737,AND($T$737&gt;0,DATE($C749,5,15)&gt;$T$737)),0,IF(DATE($C749,5,15)&gt;=$X$737,$AA$737*(1+($U$737)/100)^MAX(0,$C749-$AD$737),IF(DATE($C749,5,15)&gt;=$W$737,$Z$737*(1+($U$737)/100)^MAX(0,$C749-$AC$737),IF(DATE($C749,5,15)&gt;=$V$737,$Y$737*(1+($U$737)/100)^MAX(0,$C749-$AB$737),0)))))</f>
      </c>
      <c r="J749" s="43">
        <f>IF($S$737=0,0,IF(OR(DATE($C749,6,15)&lt;$S$737,AND($T$737&gt;0,DATE($C749,6,15)&gt;$T$737)),0,IF(DATE($C749,6,15)&gt;=$X$737,$AA$737*(1+($U$737)/100)^MAX(0,$C749-$AD$737),IF(DATE($C749,6,15)&gt;=$W$737,$Z$737*(1+($U$737)/100)^MAX(0,$C749-$AC$737),IF(DATE($C749,6,15)&gt;=$V$737,$Y$737*(1+($U$737)/100)^MAX(0,$C749-$AB$737),0)))))</f>
      </c>
      <c r="K749" s="43">
        <f>IF($S$737=0,0,IF(OR(DATE($C749,7,15)&lt;$S$737,AND($T$737&gt;0,DATE($C749,7,15)&gt;$T$737)),0,IF(DATE($C749,7,15)&gt;=$X$737,$AA$737*(1+($U$737)/100)^MAX(0,$C749-$AD$737),IF(DATE($C749,7,15)&gt;=$W$737,$Z$737*(1+($U$737)/100)^MAX(0,$C749-$AC$737),IF(DATE($C749,7,15)&gt;=$V$737,$Y$737*(1+($U$737)/100)^MAX(0,$C749-$AB$737),0)))))</f>
      </c>
      <c r="L749" s="43">
        <f>IF($S$737=0,0,IF(OR(DATE($C749,8,15)&lt;$S$737,AND($T$737&gt;0,DATE($C749,8,15)&gt;$T$737)),0,IF(DATE($C749,8,15)&gt;=$X$737,$AA$737*(1+($U$737)/100)^MAX(0,$C749-$AD$737),IF(DATE($C749,8,15)&gt;=$W$737,$Z$737*(1+($U$737)/100)^MAX(0,$C749-$AC$737),IF(DATE($C749,8,15)&gt;=$V$737,$Y$737*(1+($U$737)/100)^MAX(0,$C749-$AB$737),0)))))</f>
      </c>
      <c r="M749" s="43">
        <f>IF($S$737=0,0,IF(OR(DATE($C749,9,15)&lt;$S$737,AND($T$737&gt;0,DATE($C749,9,15)&gt;$T$737)),0,IF(DATE($C749,9,15)&gt;=$X$737,$AA$737*(1+($U$737)/100)^MAX(0,$C749-$AD$737),IF(DATE($C749,9,15)&gt;=$W$737,$Z$737*(1+($U$737)/100)^MAX(0,$C749-$AC$737),IF(DATE($C749,9,15)&gt;=$V$737,$Y$737*(1+($U$737)/100)^MAX(0,$C749-$AB$737),0)))))</f>
      </c>
      <c r="N749" s="43">
        <f>IF($S$737=0,0,IF(OR(DATE($C749,10,15)&lt;$S$737,AND($T$737&gt;0,DATE($C749,10,15)&gt;$T$737)),0,IF(DATE($C749,10,15)&gt;=$X$737,$AA$737*(1+($U$737)/100)^MAX(0,$C749-$AD$737),IF(DATE($C749,10,15)&gt;=$W$737,$Z$737*(1+($U$737)/100)^MAX(0,$C749-$AC$737),IF(DATE($C749,10,15)&gt;=$V$737,$Y$737*(1+($U$737)/100)^MAX(0,$C749-$AB$737),0)))))</f>
      </c>
      <c r="O749" s="43">
        <f>IF($S$737=0,0,IF(OR(DATE($C749,11,15)&lt;$S$737,AND($T$737&gt;0,DATE($C749,11,15)&gt;$T$737)),0,IF(DATE($C749,11,15)&gt;=$X$737,$AA$737*(1+($U$737)/100)^MAX(0,$C749-$AD$737),IF(DATE($C749,11,15)&gt;=$W$737,$Z$737*(1+($U$737)/100)^MAX(0,$C749-$AC$737),IF(DATE($C749,11,15)&gt;=$V$737,$Y$737*(1+($U$737)/100)^MAX(0,$C749-$AB$737),0)))))</f>
      </c>
      <c r="P749" s="43">
        <f>IF($S$737=0,0,IF(OR(DATE($C749,12,15)&lt;$S$737,AND($T$737&gt;0,DATE($C749,12,15)&gt;$T$737)),0,IF(DATE($C749,12,15)&gt;=$X$737,$AA$737*(1+($U$737)/100)^MAX(0,$C749-$AD$737),IF(DATE($C749,12,15)&gt;=$W$737,$Z$737*(1+($U$737)/100)^MAX(0,$C749-$AC$737),IF(DATE($C749,12,15)&gt;=$V$737,$Y$737*(1+($U$737)/100)^MAX(0,$C749-$AB$737),0)))))</f>
      </c>
      <c r="Q749" s="43">
        <f>SUM($E749:$P749)</f>
      </c>
    </row>
    <row r="750">
      <c r="A750"/>
      <c r="B750">
        <v>24</v>
      </c>
      <c r="C750" s="43">
        <f>Jahr+13</f>
      </c>
      <c r="D750" s="43">
        <f>INDEX(MvObj,24)</f>
      </c>
      <c r="E750" s="43">
        <f>IF($S$737=0,0,IF(OR(DATE($C750,1,15)&lt;$S$737,AND($T$737&gt;0,DATE($C750,1,15)&gt;$T$737)),0,IF(DATE($C750,1,15)&gt;=$X$737,$AA$737*(1+($U$737)/100)^MAX(0,$C750-$AD$737),IF(DATE($C750,1,15)&gt;=$W$737,$Z$737*(1+($U$737)/100)^MAX(0,$C750-$AC$737),IF(DATE($C750,1,15)&gt;=$V$737,$Y$737*(1+($U$737)/100)^MAX(0,$C750-$AB$737),0)))))</f>
      </c>
      <c r="F750" s="43">
        <f>IF($S$737=0,0,IF(OR(DATE($C750,2,15)&lt;$S$737,AND($T$737&gt;0,DATE($C750,2,15)&gt;$T$737)),0,IF(DATE($C750,2,15)&gt;=$X$737,$AA$737*(1+($U$737)/100)^MAX(0,$C750-$AD$737),IF(DATE($C750,2,15)&gt;=$W$737,$Z$737*(1+($U$737)/100)^MAX(0,$C750-$AC$737),IF(DATE($C750,2,15)&gt;=$V$737,$Y$737*(1+($U$737)/100)^MAX(0,$C750-$AB$737),0)))))</f>
      </c>
      <c r="G750" s="43">
        <f>IF($S$737=0,0,IF(OR(DATE($C750,3,15)&lt;$S$737,AND($T$737&gt;0,DATE($C750,3,15)&gt;$T$737)),0,IF(DATE($C750,3,15)&gt;=$X$737,$AA$737*(1+($U$737)/100)^MAX(0,$C750-$AD$737),IF(DATE($C750,3,15)&gt;=$W$737,$Z$737*(1+($U$737)/100)^MAX(0,$C750-$AC$737),IF(DATE($C750,3,15)&gt;=$V$737,$Y$737*(1+($U$737)/100)^MAX(0,$C750-$AB$737),0)))))</f>
      </c>
      <c r="H750" s="43">
        <f>IF($S$737=0,0,IF(OR(DATE($C750,4,15)&lt;$S$737,AND($T$737&gt;0,DATE($C750,4,15)&gt;$T$737)),0,IF(DATE($C750,4,15)&gt;=$X$737,$AA$737*(1+($U$737)/100)^MAX(0,$C750-$AD$737),IF(DATE($C750,4,15)&gt;=$W$737,$Z$737*(1+($U$737)/100)^MAX(0,$C750-$AC$737),IF(DATE($C750,4,15)&gt;=$V$737,$Y$737*(1+($U$737)/100)^MAX(0,$C750-$AB$737),0)))))</f>
      </c>
      <c r="I750" s="43">
        <f>IF($S$737=0,0,IF(OR(DATE($C750,5,15)&lt;$S$737,AND($T$737&gt;0,DATE($C750,5,15)&gt;$T$737)),0,IF(DATE($C750,5,15)&gt;=$X$737,$AA$737*(1+($U$737)/100)^MAX(0,$C750-$AD$737),IF(DATE($C750,5,15)&gt;=$W$737,$Z$737*(1+($U$737)/100)^MAX(0,$C750-$AC$737),IF(DATE($C750,5,15)&gt;=$V$737,$Y$737*(1+($U$737)/100)^MAX(0,$C750-$AB$737),0)))))</f>
      </c>
      <c r="J750" s="43">
        <f>IF($S$737=0,0,IF(OR(DATE($C750,6,15)&lt;$S$737,AND($T$737&gt;0,DATE($C750,6,15)&gt;$T$737)),0,IF(DATE($C750,6,15)&gt;=$X$737,$AA$737*(1+($U$737)/100)^MAX(0,$C750-$AD$737),IF(DATE($C750,6,15)&gt;=$W$737,$Z$737*(1+($U$737)/100)^MAX(0,$C750-$AC$737),IF(DATE($C750,6,15)&gt;=$V$737,$Y$737*(1+($U$737)/100)^MAX(0,$C750-$AB$737),0)))))</f>
      </c>
      <c r="K750" s="43">
        <f>IF($S$737=0,0,IF(OR(DATE($C750,7,15)&lt;$S$737,AND($T$737&gt;0,DATE($C750,7,15)&gt;$T$737)),0,IF(DATE($C750,7,15)&gt;=$X$737,$AA$737*(1+($U$737)/100)^MAX(0,$C750-$AD$737),IF(DATE($C750,7,15)&gt;=$W$737,$Z$737*(1+($U$737)/100)^MAX(0,$C750-$AC$737),IF(DATE($C750,7,15)&gt;=$V$737,$Y$737*(1+($U$737)/100)^MAX(0,$C750-$AB$737),0)))))</f>
      </c>
      <c r="L750" s="43">
        <f>IF($S$737=0,0,IF(OR(DATE($C750,8,15)&lt;$S$737,AND($T$737&gt;0,DATE($C750,8,15)&gt;$T$737)),0,IF(DATE($C750,8,15)&gt;=$X$737,$AA$737*(1+($U$737)/100)^MAX(0,$C750-$AD$737),IF(DATE($C750,8,15)&gt;=$W$737,$Z$737*(1+($U$737)/100)^MAX(0,$C750-$AC$737),IF(DATE($C750,8,15)&gt;=$V$737,$Y$737*(1+($U$737)/100)^MAX(0,$C750-$AB$737),0)))))</f>
      </c>
      <c r="M750" s="43">
        <f>IF($S$737=0,0,IF(OR(DATE($C750,9,15)&lt;$S$737,AND($T$737&gt;0,DATE($C750,9,15)&gt;$T$737)),0,IF(DATE($C750,9,15)&gt;=$X$737,$AA$737*(1+($U$737)/100)^MAX(0,$C750-$AD$737),IF(DATE($C750,9,15)&gt;=$W$737,$Z$737*(1+($U$737)/100)^MAX(0,$C750-$AC$737),IF(DATE($C750,9,15)&gt;=$V$737,$Y$737*(1+($U$737)/100)^MAX(0,$C750-$AB$737),0)))))</f>
      </c>
      <c r="N750" s="43">
        <f>IF($S$737=0,0,IF(OR(DATE($C750,10,15)&lt;$S$737,AND($T$737&gt;0,DATE($C750,10,15)&gt;$T$737)),0,IF(DATE($C750,10,15)&gt;=$X$737,$AA$737*(1+($U$737)/100)^MAX(0,$C750-$AD$737),IF(DATE($C750,10,15)&gt;=$W$737,$Z$737*(1+($U$737)/100)^MAX(0,$C750-$AC$737),IF(DATE($C750,10,15)&gt;=$V$737,$Y$737*(1+($U$737)/100)^MAX(0,$C750-$AB$737),0)))))</f>
      </c>
      <c r="O750" s="43">
        <f>IF($S$737=0,0,IF(OR(DATE($C750,11,15)&lt;$S$737,AND($T$737&gt;0,DATE($C750,11,15)&gt;$T$737)),0,IF(DATE($C750,11,15)&gt;=$X$737,$AA$737*(1+($U$737)/100)^MAX(0,$C750-$AD$737),IF(DATE($C750,11,15)&gt;=$W$737,$Z$737*(1+($U$737)/100)^MAX(0,$C750-$AC$737),IF(DATE($C750,11,15)&gt;=$V$737,$Y$737*(1+($U$737)/100)^MAX(0,$C750-$AB$737),0)))))</f>
      </c>
      <c r="P750" s="43">
        <f>IF($S$737=0,0,IF(OR(DATE($C750,12,15)&lt;$S$737,AND($T$737&gt;0,DATE($C750,12,15)&gt;$T$737)),0,IF(DATE($C750,12,15)&gt;=$X$737,$AA$737*(1+($U$737)/100)^MAX(0,$C750-$AD$737),IF(DATE($C750,12,15)&gt;=$W$737,$Z$737*(1+($U$737)/100)^MAX(0,$C750-$AC$737),IF(DATE($C750,12,15)&gt;=$V$737,$Y$737*(1+($U$737)/100)^MAX(0,$C750-$AB$737),0)))))</f>
      </c>
      <c r="Q750" s="43">
        <f>SUM($E750:$P750)</f>
      </c>
    </row>
    <row r="751">
      <c r="A751"/>
      <c r="B751">
        <v>24</v>
      </c>
      <c r="C751" s="43">
        <f>Jahr+14</f>
      </c>
      <c r="D751" s="43">
        <f>INDEX(MvObj,24)</f>
      </c>
      <c r="E751" s="43">
        <f>IF($S$737=0,0,IF(OR(DATE($C751,1,15)&lt;$S$737,AND($T$737&gt;0,DATE($C751,1,15)&gt;$T$737)),0,IF(DATE($C751,1,15)&gt;=$X$737,$AA$737*(1+($U$737)/100)^MAX(0,$C751-$AD$737),IF(DATE($C751,1,15)&gt;=$W$737,$Z$737*(1+($U$737)/100)^MAX(0,$C751-$AC$737),IF(DATE($C751,1,15)&gt;=$V$737,$Y$737*(1+($U$737)/100)^MAX(0,$C751-$AB$737),0)))))</f>
      </c>
      <c r="F751" s="43">
        <f>IF($S$737=0,0,IF(OR(DATE($C751,2,15)&lt;$S$737,AND($T$737&gt;0,DATE($C751,2,15)&gt;$T$737)),0,IF(DATE($C751,2,15)&gt;=$X$737,$AA$737*(1+($U$737)/100)^MAX(0,$C751-$AD$737),IF(DATE($C751,2,15)&gt;=$W$737,$Z$737*(1+($U$737)/100)^MAX(0,$C751-$AC$737),IF(DATE($C751,2,15)&gt;=$V$737,$Y$737*(1+($U$737)/100)^MAX(0,$C751-$AB$737),0)))))</f>
      </c>
      <c r="G751" s="43">
        <f>IF($S$737=0,0,IF(OR(DATE($C751,3,15)&lt;$S$737,AND($T$737&gt;0,DATE($C751,3,15)&gt;$T$737)),0,IF(DATE($C751,3,15)&gt;=$X$737,$AA$737*(1+($U$737)/100)^MAX(0,$C751-$AD$737),IF(DATE($C751,3,15)&gt;=$W$737,$Z$737*(1+($U$737)/100)^MAX(0,$C751-$AC$737),IF(DATE($C751,3,15)&gt;=$V$737,$Y$737*(1+($U$737)/100)^MAX(0,$C751-$AB$737),0)))))</f>
      </c>
      <c r="H751" s="43">
        <f>IF($S$737=0,0,IF(OR(DATE($C751,4,15)&lt;$S$737,AND($T$737&gt;0,DATE($C751,4,15)&gt;$T$737)),0,IF(DATE($C751,4,15)&gt;=$X$737,$AA$737*(1+($U$737)/100)^MAX(0,$C751-$AD$737),IF(DATE($C751,4,15)&gt;=$W$737,$Z$737*(1+($U$737)/100)^MAX(0,$C751-$AC$737),IF(DATE($C751,4,15)&gt;=$V$737,$Y$737*(1+($U$737)/100)^MAX(0,$C751-$AB$737),0)))))</f>
      </c>
      <c r="I751" s="43">
        <f>IF($S$737=0,0,IF(OR(DATE($C751,5,15)&lt;$S$737,AND($T$737&gt;0,DATE($C751,5,15)&gt;$T$737)),0,IF(DATE($C751,5,15)&gt;=$X$737,$AA$737*(1+($U$737)/100)^MAX(0,$C751-$AD$737),IF(DATE($C751,5,15)&gt;=$W$737,$Z$737*(1+($U$737)/100)^MAX(0,$C751-$AC$737),IF(DATE($C751,5,15)&gt;=$V$737,$Y$737*(1+($U$737)/100)^MAX(0,$C751-$AB$737),0)))))</f>
      </c>
      <c r="J751" s="43">
        <f>IF($S$737=0,0,IF(OR(DATE($C751,6,15)&lt;$S$737,AND($T$737&gt;0,DATE($C751,6,15)&gt;$T$737)),0,IF(DATE($C751,6,15)&gt;=$X$737,$AA$737*(1+($U$737)/100)^MAX(0,$C751-$AD$737),IF(DATE($C751,6,15)&gt;=$W$737,$Z$737*(1+($U$737)/100)^MAX(0,$C751-$AC$737),IF(DATE($C751,6,15)&gt;=$V$737,$Y$737*(1+($U$737)/100)^MAX(0,$C751-$AB$737),0)))))</f>
      </c>
      <c r="K751" s="43">
        <f>IF($S$737=0,0,IF(OR(DATE($C751,7,15)&lt;$S$737,AND($T$737&gt;0,DATE($C751,7,15)&gt;$T$737)),0,IF(DATE($C751,7,15)&gt;=$X$737,$AA$737*(1+($U$737)/100)^MAX(0,$C751-$AD$737),IF(DATE($C751,7,15)&gt;=$W$737,$Z$737*(1+($U$737)/100)^MAX(0,$C751-$AC$737),IF(DATE($C751,7,15)&gt;=$V$737,$Y$737*(1+($U$737)/100)^MAX(0,$C751-$AB$737),0)))))</f>
      </c>
      <c r="L751" s="43">
        <f>IF($S$737=0,0,IF(OR(DATE($C751,8,15)&lt;$S$737,AND($T$737&gt;0,DATE($C751,8,15)&gt;$T$737)),0,IF(DATE($C751,8,15)&gt;=$X$737,$AA$737*(1+($U$737)/100)^MAX(0,$C751-$AD$737),IF(DATE($C751,8,15)&gt;=$W$737,$Z$737*(1+($U$737)/100)^MAX(0,$C751-$AC$737),IF(DATE($C751,8,15)&gt;=$V$737,$Y$737*(1+($U$737)/100)^MAX(0,$C751-$AB$737),0)))))</f>
      </c>
      <c r="M751" s="43">
        <f>IF($S$737=0,0,IF(OR(DATE($C751,9,15)&lt;$S$737,AND($T$737&gt;0,DATE($C751,9,15)&gt;$T$737)),0,IF(DATE($C751,9,15)&gt;=$X$737,$AA$737*(1+($U$737)/100)^MAX(0,$C751-$AD$737),IF(DATE($C751,9,15)&gt;=$W$737,$Z$737*(1+($U$737)/100)^MAX(0,$C751-$AC$737),IF(DATE($C751,9,15)&gt;=$V$737,$Y$737*(1+($U$737)/100)^MAX(0,$C751-$AB$737),0)))))</f>
      </c>
      <c r="N751" s="43">
        <f>IF($S$737=0,0,IF(OR(DATE($C751,10,15)&lt;$S$737,AND($T$737&gt;0,DATE($C751,10,15)&gt;$T$737)),0,IF(DATE($C751,10,15)&gt;=$X$737,$AA$737*(1+($U$737)/100)^MAX(0,$C751-$AD$737),IF(DATE($C751,10,15)&gt;=$W$737,$Z$737*(1+($U$737)/100)^MAX(0,$C751-$AC$737),IF(DATE($C751,10,15)&gt;=$V$737,$Y$737*(1+($U$737)/100)^MAX(0,$C751-$AB$737),0)))))</f>
      </c>
      <c r="O751" s="43">
        <f>IF($S$737=0,0,IF(OR(DATE($C751,11,15)&lt;$S$737,AND($T$737&gt;0,DATE($C751,11,15)&gt;$T$737)),0,IF(DATE($C751,11,15)&gt;=$X$737,$AA$737*(1+($U$737)/100)^MAX(0,$C751-$AD$737),IF(DATE($C751,11,15)&gt;=$W$737,$Z$737*(1+($U$737)/100)^MAX(0,$C751-$AC$737),IF(DATE($C751,11,15)&gt;=$V$737,$Y$737*(1+($U$737)/100)^MAX(0,$C751-$AB$737),0)))))</f>
      </c>
      <c r="P751" s="43">
        <f>IF($S$737=0,0,IF(OR(DATE($C751,12,15)&lt;$S$737,AND($T$737&gt;0,DATE($C751,12,15)&gt;$T$737)),0,IF(DATE($C751,12,15)&gt;=$X$737,$AA$737*(1+($U$737)/100)^MAX(0,$C751-$AD$737),IF(DATE($C751,12,15)&gt;=$W$737,$Z$737*(1+($U$737)/100)^MAX(0,$C751-$AC$737),IF(DATE($C751,12,15)&gt;=$V$737,$Y$737*(1+($U$737)/100)^MAX(0,$C751-$AB$737),0)))))</f>
      </c>
      <c r="Q751" s="43">
        <f>SUM($E751:$P751)</f>
      </c>
    </row>
    <row r="752">
      <c r="A752"/>
      <c r="B752">
        <v>24</v>
      </c>
      <c r="C752" s="43">
        <f>Jahr+15</f>
      </c>
      <c r="D752" s="43">
        <f>INDEX(MvObj,24)</f>
      </c>
      <c r="E752" s="43">
        <f>IF($S$737=0,0,IF(OR(DATE($C752,1,15)&lt;$S$737,AND($T$737&gt;0,DATE($C752,1,15)&gt;$T$737)),0,IF(DATE($C752,1,15)&gt;=$X$737,$AA$737*(1+($U$737)/100)^MAX(0,$C752-$AD$737),IF(DATE($C752,1,15)&gt;=$W$737,$Z$737*(1+($U$737)/100)^MAX(0,$C752-$AC$737),IF(DATE($C752,1,15)&gt;=$V$737,$Y$737*(1+($U$737)/100)^MAX(0,$C752-$AB$737),0)))))</f>
      </c>
      <c r="F752" s="43">
        <f>IF($S$737=0,0,IF(OR(DATE($C752,2,15)&lt;$S$737,AND($T$737&gt;0,DATE($C752,2,15)&gt;$T$737)),0,IF(DATE($C752,2,15)&gt;=$X$737,$AA$737*(1+($U$737)/100)^MAX(0,$C752-$AD$737),IF(DATE($C752,2,15)&gt;=$W$737,$Z$737*(1+($U$737)/100)^MAX(0,$C752-$AC$737),IF(DATE($C752,2,15)&gt;=$V$737,$Y$737*(1+($U$737)/100)^MAX(0,$C752-$AB$737),0)))))</f>
      </c>
      <c r="G752" s="43">
        <f>IF($S$737=0,0,IF(OR(DATE($C752,3,15)&lt;$S$737,AND($T$737&gt;0,DATE($C752,3,15)&gt;$T$737)),0,IF(DATE($C752,3,15)&gt;=$X$737,$AA$737*(1+($U$737)/100)^MAX(0,$C752-$AD$737),IF(DATE($C752,3,15)&gt;=$W$737,$Z$737*(1+($U$737)/100)^MAX(0,$C752-$AC$737),IF(DATE($C752,3,15)&gt;=$V$737,$Y$737*(1+($U$737)/100)^MAX(0,$C752-$AB$737),0)))))</f>
      </c>
      <c r="H752" s="43">
        <f>IF($S$737=0,0,IF(OR(DATE($C752,4,15)&lt;$S$737,AND($T$737&gt;0,DATE($C752,4,15)&gt;$T$737)),0,IF(DATE($C752,4,15)&gt;=$X$737,$AA$737*(1+($U$737)/100)^MAX(0,$C752-$AD$737),IF(DATE($C752,4,15)&gt;=$W$737,$Z$737*(1+($U$737)/100)^MAX(0,$C752-$AC$737),IF(DATE($C752,4,15)&gt;=$V$737,$Y$737*(1+($U$737)/100)^MAX(0,$C752-$AB$737),0)))))</f>
      </c>
      <c r="I752" s="43">
        <f>IF($S$737=0,0,IF(OR(DATE($C752,5,15)&lt;$S$737,AND($T$737&gt;0,DATE($C752,5,15)&gt;$T$737)),0,IF(DATE($C752,5,15)&gt;=$X$737,$AA$737*(1+($U$737)/100)^MAX(0,$C752-$AD$737),IF(DATE($C752,5,15)&gt;=$W$737,$Z$737*(1+($U$737)/100)^MAX(0,$C752-$AC$737),IF(DATE($C752,5,15)&gt;=$V$737,$Y$737*(1+($U$737)/100)^MAX(0,$C752-$AB$737),0)))))</f>
      </c>
      <c r="J752" s="43">
        <f>IF($S$737=0,0,IF(OR(DATE($C752,6,15)&lt;$S$737,AND($T$737&gt;0,DATE($C752,6,15)&gt;$T$737)),0,IF(DATE($C752,6,15)&gt;=$X$737,$AA$737*(1+($U$737)/100)^MAX(0,$C752-$AD$737),IF(DATE($C752,6,15)&gt;=$W$737,$Z$737*(1+($U$737)/100)^MAX(0,$C752-$AC$737),IF(DATE($C752,6,15)&gt;=$V$737,$Y$737*(1+($U$737)/100)^MAX(0,$C752-$AB$737),0)))))</f>
      </c>
      <c r="K752" s="43">
        <f>IF($S$737=0,0,IF(OR(DATE($C752,7,15)&lt;$S$737,AND($T$737&gt;0,DATE($C752,7,15)&gt;$T$737)),0,IF(DATE($C752,7,15)&gt;=$X$737,$AA$737*(1+($U$737)/100)^MAX(0,$C752-$AD$737),IF(DATE($C752,7,15)&gt;=$W$737,$Z$737*(1+($U$737)/100)^MAX(0,$C752-$AC$737),IF(DATE($C752,7,15)&gt;=$V$737,$Y$737*(1+($U$737)/100)^MAX(0,$C752-$AB$737),0)))))</f>
      </c>
      <c r="L752" s="43">
        <f>IF($S$737=0,0,IF(OR(DATE($C752,8,15)&lt;$S$737,AND($T$737&gt;0,DATE($C752,8,15)&gt;$T$737)),0,IF(DATE($C752,8,15)&gt;=$X$737,$AA$737*(1+($U$737)/100)^MAX(0,$C752-$AD$737),IF(DATE($C752,8,15)&gt;=$W$737,$Z$737*(1+($U$737)/100)^MAX(0,$C752-$AC$737),IF(DATE($C752,8,15)&gt;=$V$737,$Y$737*(1+($U$737)/100)^MAX(0,$C752-$AB$737),0)))))</f>
      </c>
      <c r="M752" s="43">
        <f>IF($S$737=0,0,IF(OR(DATE($C752,9,15)&lt;$S$737,AND($T$737&gt;0,DATE($C752,9,15)&gt;$T$737)),0,IF(DATE($C752,9,15)&gt;=$X$737,$AA$737*(1+($U$737)/100)^MAX(0,$C752-$AD$737),IF(DATE($C752,9,15)&gt;=$W$737,$Z$737*(1+($U$737)/100)^MAX(0,$C752-$AC$737),IF(DATE($C752,9,15)&gt;=$V$737,$Y$737*(1+($U$737)/100)^MAX(0,$C752-$AB$737),0)))))</f>
      </c>
      <c r="N752" s="43">
        <f>IF($S$737=0,0,IF(OR(DATE($C752,10,15)&lt;$S$737,AND($T$737&gt;0,DATE($C752,10,15)&gt;$T$737)),0,IF(DATE($C752,10,15)&gt;=$X$737,$AA$737*(1+($U$737)/100)^MAX(0,$C752-$AD$737),IF(DATE($C752,10,15)&gt;=$W$737,$Z$737*(1+($U$737)/100)^MAX(0,$C752-$AC$737),IF(DATE($C752,10,15)&gt;=$V$737,$Y$737*(1+($U$737)/100)^MAX(0,$C752-$AB$737),0)))))</f>
      </c>
      <c r="O752" s="43">
        <f>IF($S$737=0,0,IF(OR(DATE($C752,11,15)&lt;$S$737,AND($T$737&gt;0,DATE($C752,11,15)&gt;$T$737)),0,IF(DATE($C752,11,15)&gt;=$X$737,$AA$737*(1+($U$737)/100)^MAX(0,$C752-$AD$737),IF(DATE($C752,11,15)&gt;=$W$737,$Z$737*(1+($U$737)/100)^MAX(0,$C752-$AC$737),IF(DATE($C752,11,15)&gt;=$V$737,$Y$737*(1+($U$737)/100)^MAX(0,$C752-$AB$737),0)))))</f>
      </c>
      <c r="P752" s="43">
        <f>IF($S$737=0,0,IF(OR(DATE($C752,12,15)&lt;$S$737,AND($T$737&gt;0,DATE($C752,12,15)&gt;$T$737)),0,IF(DATE($C752,12,15)&gt;=$X$737,$AA$737*(1+($U$737)/100)^MAX(0,$C752-$AD$737),IF(DATE($C752,12,15)&gt;=$W$737,$Z$737*(1+($U$737)/100)^MAX(0,$C752-$AC$737),IF(DATE($C752,12,15)&gt;=$V$737,$Y$737*(1+($U$737)/100)^MAX(0,$C752-$AB$737),0)))))</f>
      </c>
      <c r="Q752" s="43">
        <f>SUM($E752:$P752)</f>
      </c>
    </row>
    <row r="753">
      <c r="A753"/>
      <c r="B753">
        <v>24</v>
      </c>
      <c r="C753" s="43">
        <f>Jahr+16</f>
      </c>
      <c r="D753" s="43">
        <f>INDEX(MvObj,24)</f>
      </c>
      <c r="E753" s="43">
        <f>IF($S$737=0,0,IF(OR(DATE($C753,1,15)&lt;$S$737,AND($T$737&gt;0,DATE($C753,1,15)&gt;$T$737)),0,IF(DATE($C753,1,15)&gt;=$X$737,$AA$737*(1+($U$737)/100)^MAX(0,$C753-$AD$737),IF(DATE($C753,1,15)&gt;=$W$737,$Z$737*(1+($U$737)/100)^MAX(0,$C753-$AC$737),IF(DATE($C753,1,15)&gt;=$V$737,$Y$737*(1+($U$737)/100)^MAX(0,$C753-$AB$737),0)))))</f>
      </c>
      <c r="F753" s="43">
        <f>IF($S$737=0,0,IF(OR(DATE($C753,2,15)&lt;$S$737,AND($T$737&gt;0,DATE($C753,2,15)&gt;$T$737)),0,IF(DATE($C753,2,15)&gt;=$X$737,$AA$737*(1+($U$737)/100)^MAX(0,$C753-$AD$737),IF(DATE($C753,2,15)&gt;=$W$737,$Z$737*(1+($U$737)/100)^MAX(0,$C753-$AC$737),IF(DATE($C753,2,15)&gt;=$V$737,$Y$737*(1+($U$737)/100)^MAX(0,$C753-$AB$737),0)))))</f>
      </c>
      <c r="G753" s="43">
        <f>IF($S$737=0,0,IF(OR(DATE($C753,3,15)&lt;$S$737,AND($T$737&gt;0,DATE($C753,3,15)&gt;$T$737)),0,IF(DATE($C753,3,15)&gt;=$X$737,$AA$737*(1+($U$737)/100)^MAX(0,$C753-$AD$737),IF(DATE($C753,3,15)&gt;=$W$737,$Z$737*(1+($U$737)/100)^MAX(0,$C753-$AC$737),IF(DATE($C753,3,15)&gt;=$V$737,$Y$737*(1+($U$737)/100)^MAX(0,$C753-$AB$737),0)))))</f>
      </c>
      <c r="H753" s="43">
        <f>IF($S$737=0,0,IF(OR(DATE($C753,4,15)&lt;$S$737,AND($T$737&gt;0,DATE($C753,4,15)&gt;$T$737)),0,IF(DATE($C753,4,15)&gt;=$X$737,$AA$737*(1+($U$737)/100)^MAX(0,$C753-$AD$737),IF(DATE($C753,4,15)&gt;=$W$737,$Z$737*(1+($U$737)/100)^MAX(0,$C753-$AC$737),IF(DATE($C753,4,15)&gt;=$V$737,$Y$737*(1+($U$737)/100)^MAX(0,$C753-$AB$737),0)))))</f>
      </c>
      <c r="I753" s="43">
        <f>IF($S$737=0,0,IF(OR(DATE($C753,5,15)&lt;$S$737,AND($T$737&gt;0,DATE($C753,5,15)&gt;$T$737)),0,IF(DATE($C753,5,15)&gt;=$X$737,$AA$737*(1+($U$737)/100)^MAX(0,$C753-$AD$737),IF(DATE($C753,5,15)&gt;=$W$737,$Z$737*(1+($U$737)/100)^MAX(0,$C753-$AC$737),IF(DATE($C753,5,15)&gt;=$V$737,$Y$737*(1+($U$737)/100)^MAX(0,$C753-$AB$737),0)))))</f>
      </c>
      <c r="J753" s="43">
        <f>IF($S$737=0,0,IF(OR(DATE($C753,6,15)&lt;$S$737,AND($T$737&gt;0,DATE($C753,6,15)&gt;$T$737)),0,IF(DATE($C753,6,15)&gt;=$X$737,$AA$737*(1+($U$737)/100)^MAX(0,$C753-$AD$737),IF(DATE($C753,6,15)&gt;=$W$737,$Z$737*(1+($U$737)/100)^MAX(0,$C753-$AC$737),IF(DATE($C753,6,15)&gt;=$V$737,$Y$737*(1+($U$737)/100)^MAX(0,$C753-$AB$737),0)))))</f>
      </c>
      <c r="K753" s="43">
        <f>IF($S$737=0,0,IF(OR(DATE($C753,7,15)&lt;$S$737,AND($T$737&gt;0,DATE($C753,7,15)&gt;$T$737)),0,IF(DATE($C753,7,15)&gt;=$X$737,$AA$737*(1+($U$737)/100)^MAX(0,$C753-$AD$737),IF(DATE($C753,7,15)&gt;=$W$737,$Z$737*(1+($U$737)/100)^MAX(0,$C753-$AC$737),IF(DATE($C753,7,15)&gt;=$V$737,$Y$737*(1+($U$737)/100)^MAX(0,$C753-$AB$737),0)))))</f>
      </c>
      <c r="L753" s="43">
        <f>IF($S$737=0,0,IF(OR(DATE($C753,8,15)&lt;$S$737,AND($T$737&gt;0,DATE($C753,8,15)&gt;$T$737)),0,IF(DATE($C753,8,15)&gt;=$X$737,$AA$737*(1+($U$737)/100)^MAX(0,$C753-$AD$737),IF(DATE($C753,8,15)&gt;=$W$737,$Z$737*(1+($U$737)/100)^MAX(0,$C753-$AC$737),IF(DATE($C753,8,15)&gt;=$V$737,$Y$737*(1+($U$737)/100)^MAX(0,$C753-$AB$737),0)))))</f>
      </c>
      <c r="M753" s="43">
        <f>IF($S$737=0,0,IF(OR(DATE($C753,9,15)&lt;$S$737,AND($T$737&gt;0,DATE($C753,9,15)&gt;$T$737)),0,IF(DATE($C753,9,15)&gt;=$X$737,$AA$737*(1+($U$737)/100)^MAX(0,$C753-$AD$737),IF(DATE($C753,9,15)&gt;=$W$737,$Z$737*(1+($U$737)/100)^MAX(0,$C753-$AC$737),IF(DATE($C753,9,15)&gt;=$V$737,$Y$737*(1+($U$737)/100)^MAX(0,$C753-$AB$737),0)))))</f>
      </c>
      <c r="N753" s="43">
        <f>IF($S$737=0,0,IF(OR(DATE($C753,10,15)&lt;$S$737,AND($T$737&gt;0,DATE($C753,10,15)&gt;$T$737)),0,IF(DATE($C753,10,15)&gt;=$X$737,$AA$737*(1+($U$737)/100)^MAX(0,$C753-$AD$737),IF(DATE($C753,10,15)&gt;=$W$737,$Z$737*(1+($U$737)/100)^MAX(0,$C753-$AC$737),IF(DATE($C753,10,15)&gt;=$V$737,$Y$737*(1+($U$737)/100)^MAX(0,$C753-$AB$737),0)))))</f>
      </c>
      <c r="O753" s="43">
        <f>IF($S$737=0,0,IF(OR(DATE($C753,11,15)&lt;$S$737,AND($T$737&gt;0,DATE($C753,11,15)&gt;$T$737)),0,IF(DATE($C753,11,15)&gt;=$X$737,$AA$737*(1+($U$737)/100)^MAX(0,$C753-$AD$737),IF(DATE($C753,11,15)&gt;=$W$737,$Z$737*(1+($U$737)/100)^MAX(0,$C753-$AC$737),IF(DATE($C753,11,15)&gt;=$V$737,$Y$737*(1+($U$737)/100)^MAX(0,$C753-$AB$737),0)))))</f>
      </c>
      <c r="P753" s="43">
        <f>IF($S$737=0,0,IF(OR(DATE($C753,12,15)&lt;$S$737,AND($T$737&gt;0,DATE($C753,12,15)&gt;$T$737)),0,IF(DATE($C753,12,15)&gt;=$X$737,$AA$737*(1+($U$737)/100)^MAX(0,$C753-$AD$737),IF(DATE($C753,12,15)&gt;=$W$737,$Z$737*(1+($U$737)/100)^MAX(0,$C753-$AC$737),IF(DATE($C753,12,15)&gt;=$V$737,$Y$737*(1+($U$737)/100)^MAX(0,$C753-$AB$737),0)))))</f>
      </c>
      <c r="Q753" s="43">
        <f>SUM($E753:$P753)</f>
      </c>
    </row>
    <row r="754">
      <c r="A754"/>
      <c r="B754">
        <v>24</v>
      </c>
      <c r="C754" s="43">
        <f>Jahr+17</f>
      </c>
      <c r="D754" s="43">
        <f>INDEX(MvObj,24)</f>
      </c>
      <c r="E754" s="43">
        <f>IF($S$737=0,0,IF(OR(DATE($C754,1,15)&lt;$S$737,AND($T$737&gt;0,DATE($C754,1,15)&gt;$T$737)),0,IF(DATE($C754,1,15)&gt;=$X$737,$AA$737*(1+($U$737)/100)^MAX(0,$C754-$AD$737),IF(DATE($C754,1,15)&gt;=$W$737,$Z$737*(1+($U$737)/100)^MAX(0,$C754-$AC$737),IF(DATE($C754,1,15)&gt;=$V$737,$Y$737*(1+($U$737)/100)^MAX(0,$C754-$AB$737),0)))))</f>
      </c>
      <c r="F754" s="43">
        <f>IF($S$737=0,0,IF(OR(DATE($C754,2,15)&lt;$S$737,AND($T$737&gt;0,DATE($C754,2,15)&gt;$T$737)),0,IF(DATE($C754,2,15)&gt;=$X$737,$AA$737*(1+($U$737)/100)^MAX(0,$C754-$AD$737),IF(DATE($C754,2,15)&gt;=$W$737,$Z$737*(1+($U$737)/100)^MAX(0,$C754-$AC$737),IF(DATE($C754,2,15)&gt;=$V$737,$Y$737*(1+($U$737)/100)^MAX(0,$C754-$AB$737),0)))))</f>
      </c>
      <c r="G754" s="43">
        <f>IF($S$737=0,0,IF(OR(DATE($C754,3,15)&lt;$S$737,AND($T$737&gt;0,DATE($C754,3,15)&gt;$T$737)),0,IF(DATE($C754,3,15)&gt;=$X$737,$AA$737*(1+($U$737)/100)^MAX(0,$C754-$AD$737),IF(DATE($C754,3,15)&gt;=$W$737,$Z$737*(1+($U$737)/100)^MAX(0,$C754-$AC$737),IF(DATE($C754,3,15)&gt;=$V$737,$Y$737*(1+($U$737)/100)^MAX(0,$C754-$AB$737),0)))))</f>
      </c>
      <c r="H754" s="43">
        <f>IF($S$737=0,0,IF(OR(DATE($C754,4,15)&lt;$S$737,AND($T$737&gt;0,DATE($C754,4,15)&gt;$T$737)),0,IF(DATE($C754,4,15)&gt;=$X$737,$AA$737*(1+($U$737)/100)^MAX(0,$C754-$AD$737),IF(DATE($C754,4,15)&gt;=$W$737,$Z$737*(1+($U$737)/100)^MAX(0,$C754-$AC$737),IF(DATE($C754,4,15)&gt;=$V$737,$Y$737*(1+($U$737)/100)^MAX(0,$C754-$AB$737),0)))))</f>
      </c>
      <c r="I754" s="43">
        <f>IF($S$737=0,0,IF(OR(DATE($C754,5,15)&lt;$S$737,AND($T$737&gt;0,DATE($C754,5,15)&gt;$T$737)),0,IF(DATE($C754,5,15)&gt;=$X$737,$AA$737*(1+($U$737)/100)^MAX(0,$C754-$AD$737),IF(DATE($C754,5,15)&gt;=$W$737,$Z$737*(1+($U$737)/100)^MAX(0,$C754-$AC$737),IF(DATE($C754,5,15)&gt;=$V$737,$Y$737*(1+($U$737)/100)^MAX(0,$C754-$AB$737),0)))))</f>
      </c>
      <c r="J754" s="43">
        <f>IF($S$737=0,0,IF(OR(DATE($C754,6,15)&lt;$S$737,AND($T$737&gt;0,DATE($C754,6,15)&gt;$T$737)),0,IF(DATE($C754,6,15)&gt;=$X$737,$AA$737*(1+($U$737)/100)^MAX(0,$C754-$AD$737),IF(DATE($C754,6,15)&gt;=$W$737,$Z$737*(1+($U$737)/100)^MAX(0,$C754-$AC$737),IF(DATE($C754,6,15)&gt;=$V$737,$Y$737*(1+($U$737)/100)^MAX(0,$C754-$AB$737),0)))))</f>
      </c>
      <c r="K754" s="43">
        <f>IF($S$737=0,0,IF(OR(DATE($C754,7,15)&lt;$S$737,AND($T$737&gt;0,DATE($C754,7,15)&gt;$T$737)),0,IF(DATE($C754,7,15)&gt;=$X$737,$AA$737*(1+($U$737)/100)^MAX(0,$C754-$AD$737),IF(DATE($C754,7,15)&gt;=$W$737,$Z$737*(1+($U$737)/100)^MAX(0,$C754-$AC$737),IF(DATE($C754,7,15)&gt;=$V$737,$Y$737*(1+($U$737)/100)^MAX(0,$C754-$AB$737),0)))))</f>
      </c>
      <c r="L754" s="43">
        <f>IF($S$737=0,0,IF(OR(DATE($C754,8,15)&lt;$S$737,AND($T$737&gt;0,DATE($C754,8,15)&gt;$T$737)),0,IF(DATE($C754,8,15)&gt;=$X$737,$AA$737*(1+($U$737)/100)^MAX(0,$C754-$AD$737),IF(DATE($C754,8,15)&gt;=$W$737,$Z$737*(1+($U$737)/100)^MAX(0,$C754-$AC$737),IF(DATE($C754,8,15)&gt;=$V$737,$Y$737*(1+($U$737)/100)^MAX(0,$C754-$AB$737),0)))))</f>
      </c>
      <c r="M754" s="43">
        <f>IF($S$737=0,0,IF(OR(DATE($C754,9,15)&lt;$S$737,AND($T$737&gt;0,DATE($C754,9,15)&gt;$T$737)),0,IF(DATE($C754,9,15)&gt;=$X$737,$AA$737*(1+($U$737)/100)^MAX(0,$C754-$AD$737),IF(DATE($C754,9,15)&gt;=$W$737,$Z$737*(1+($U$737)/100)^MAX(0,$C754-$AC$737),IF(DATE($C754,9,15)&gt;=$V$737,$Y$737*(1+($U$737)/100)^MAX(0,$C754-$AB$737),0)))))</f>
      </c>
      <c r="N754" s="43">
        <f>IF($S$737=0,0,IF(OR(DATE($C754,10,15)&lt;$S$737,AND($T$737&gt;0,DATE($C754,10,15)&gt;$T$737)),0,IF(DATE($C754,10,15)&gt;=$X$737,$AA$737*(1+($U$737)/100)^MAX(0,$C754-$AD$737),IF(DATE($C754,10,15)&gt;=$W$737,$Z$737*(1+($U$737)/100)^MAX(0,$C754-$AC$737),IF(DATE($C754,10,15)&gt;=$V$737,$Y$737*(1+($U$737)/100)^MAX(0,$C754-$AB$737),0)))))</f>
      </c>
      <c r="O754" s="43">
        <f>IF($S$737=0,0,IF(OR(DATE($C754,11,15)&lt;$S$737,AND($T$737&gt;0,DATE($C754,11,15)&gt;$T$737)),0,IF(DATE($C754,11,15)&gt;=$X$737,$AA$737*(1+($U$737)/100)^MAX(0,$C754-$AD$737),IF(DATE($C754,11,15)&gt;=$W$737,$Z$737*(1+($U$737)/100)^MAX(0,$C754-$AC$737),IF(DATE($C754,11,15)&gt;=$V$737,$Y$737*(1+($U$737)/100)^MAX(0,$C754-$AB$737),0)))))</f>
      </c>
      <c r="P754" s="43">
        <f>IF($S$737=0,0,IF(OR(DATE($C754,12,15)&lt;$S$737,AND($T$737&gt;0,DATE($C754,12,15)&gt;$T$737)),0,IF(DATE($C754,12,15)&gt;=$X$737,$AA$737*(1+($U$737)/100)^MAX(0,$C754-$AD$737),IF(DATE($C754,12,15)&gt;=$W$737,$Z$737*(1+($U$737)/100)^MAX(0,$C754-$AC$737),IF(DATE($C754,12,15)&gt;=$V$737,$Y$737*(1+($U$737)/100)^MAX(0,$C754-$AB$737),0)))))</f>
      </c>
      <c r="Q754" s="43">
        <f>SUM($E754:$P754)</f>
      </c>
    </row>
    <row r="755">
      <c r="A755"/>
      <c r="B755">
        <v>24</v>
      </c>
      <c r="C755" s="43">
        <f>Jahr+18</f>
      </c>
      <c r="D755" s="43">
        <f>INDEX(MvObj,24)</f>
      </c>
      <c r="E755" s="43">
        <f>IF($S$737=0,0,IF(OR(DATE($C755,1,15)&lt;$S$737,AND($T$737&gt;0,DATE($C755,1,15)&gt;$T$737)),0,IF(DATE($C755,1,15)&gt;=$X$737,$AA$737*(1+($U$737)/100)^MAX(0,$C755-$AD$737),IF(DATE($C755,1,15)&gt;=$W$737,$Z$737*(1+($U$737)/100)^MAX(0,$C755-$AC$737),IF(DATE($C755,1,15)&gt;=$V$737,$Y$737*(1+($U$737)/100)^MAX(0,$C755-$AB$737),0)))))</f>
      </c>
      <c r="F755" s="43">
        <f>IF($S$737=0,0,IF(OR(DATE($C755,2,15)&lt;$S$737,AND($T$737&gt;0,DATE($C755,2,15)&gt;$T$737)),0,IF(DATE($C755,2,15)&gt;=$X$737,$AA$737*(1+($U$737)/100)^MAX(0,$C755-$AD$737),IF(DATE($C755,2,15)&gt;=$W$737,$Z$737*(1+($U$737)/100)^MAX(0,$C755-$AC$737),IF(DATE($C755,2,15)&gt;=$V$737,$Y$737*(1+($U$737)/100)^MAX(0,$C755-$AB$737),0)))))</f>
      </c>
      <c r="G755" s="43">
        <f>IF($S$737=0,0,IF(OR(DATE($C755,3,15)&lt;$S$737,AND($T$737&gt;0,DATE($C755,3,15)&gt;$T$737)),0,IF(DATE($C755,3,15)&gt;=$X$737,$AA$737*(1+($U$737)/100)^MAX(0,$C755-$AD$737),IF(DATE($C755,3,15)&gt;=$W$737,$Z$737*(1+($U$737)/100)^MAX(0,$C755-$AC$737),IF(DATE($C755,3,15)&gt;=$V$737,$Y$737*(1+($U$737)/100)^MAX(0,$C755-$AB$737),0)))))</f>
      </c>
      <c r="H755" s="43">
        <f>IF($S$737=0,0,IF(OR(DATE($C755,4,15)&lt;$S$737,AND($T$737&gt;0,DATE($C755,4,15)&gt;$T$737)),0,IF(DATE($C755,4,15)&gt;=$X$737,$AA$737*(1+($U$737)/100)^MAX(0,$C755-$AD$737),IF(DATE($C755,4,15)&gt;=$W$737,$Z$737*(1+($U$737)/100)^MAX(0,$C755-$AC$737),IF(DATE($C755,4,15)&gt;=$V$737,$Y$737*(1+($U$737)/100)^MAX(0,$C755-$AB$737),0)))))</f>
      </c>
      <c r="I755" s="43">
        <f>IF($S$737=0,0,IF(OR(DATE($C755,5,15)&lt;$S$737,AND($T$737&gt;0,DATE($C755,5,15)&gt;$T$737)),0,IF(DATE($C755,5,15)&gt;=$X$737,$AA$737*(1+($U$737)/100)^MAX(0,$C755-$AD$737),IF(DATE($C755,5,15)&gt;=$W$737,$Z$737*(1+($U$737)/100)^MAX(0,$C755-$AC$737),IF(DATE($C755,5,15)&gt;=$V$737,$Y$737*(1+($U$737)/100)^MAX(0,$C755-$AB$737),0)))))</f>
      </c>
      <c r="J755" s="43">
        <f>IF($S$737=0,0,IF(OR(DATE($C755,6,15)&lt;$S$737,AND($T$737&gt;0,DATE($C755,6,15)&gt;$T$737)),0,IF(DATE($C755,6,15)&gt;=$X$737,$AA$737*(1+($U$737)/100)^MAX(0,$C755-$AD$737),IF(DATE($C755,6,15)&gt;=$W$737,$Z$737*(1+($U$737)/100)^MAX(0,$C755-$AC$737),IF(DATE($C755,6,15)&gt;=$V$737,$Y$737*(1+($U$737)/100)^MAX(0,$C755-$AB$737),0)))))</f>
      </c>
      <c r="K755" s="43">
        <f>IF($S$737=0,0,IF(OR(DATE($C755,7,15)&lt;$S$737,AND($T$737&gt;0,DATE($C755,7,15)&gt;$T$737)),0,IF(DATE($C755,7,15)&gt;=$X$737,$AA$737*(1+($U$737)/100)^MAX(0,$C755-$AD$737),IF(DATE($C755,7,15)&gt;=$W$737,$Z$737*(1+($U$737)/100)^MAX(0,$C755-$AC$737),IF(DATE($C755,7,15)&gt;=$V$737,$Y$737*(1+($U$737)/100)^MAX(0,$C755-$AB$737),0)))))</f>
      </c>
      <c r="L755" s="43">
        <f>IF($S$737=0,0,IF(OR(DATE($C755,8,15)&lt;$S$737,AND($T$737&gt;0,DATE($C755,8,15)&gt;$T$737)),0,IF(DATE($C755,8,15)&gt;=$X$737,$AA$737*(1+($U$737)/100)^MAX(0,$C755-$AD$737),IF(DATE($C755,8,15)&gt;=$W$737,$Z$737*(1+($U$737)/100)^MAX(0,$C755-$AC$737),IF(DATE($C755,8,15)&gt;=$V$737,$Y$737*(1+($U$737)/100)^MAX(0,$C755-$AB$737),0)))))</f>
      </c>
      <c r="M755" s="43">
        <f>IF($S$737=0,0,IF(OR(DATE($C755,9,15)&lt;$S$737,AND($T$737&gt;0,DATE($C755,9,15)&gt;$T$737)),0,IF(DATE($C755,9,15)&gt;=$X$737,$AA$737*(1+($U$737)/100)^MAX(0,$C755-$AD$737),IF(DATE($C755,9,15)&gt;=$W$737,$Z$737*(1+($U$737)/100)^MAX(0,$C755-$AC$737),IF(DATE($C755,9,15)&gt;=$V$737,$Y$737*(1+($U$737)/100)^MAX(0,$C755-$AB$737),0)))))</f>
      </c>
      <c r="N755" s="43">
        <f>IF($S$737=0,0,IF(OR(DATE($C755,10,15)&lt;$S$737,AND($T$737&gt;0,DATE($C755,10,15)&gt;$T$737)),0,IF(DATE($C755,10,15)&gt;=$X$737,$AA$737*(1+($U$737)/100)^MAX(0,$C755-$AD$737),IF(DATE($C755,10,15)&gt;=$W$737,$Z$737*(1+($U$737)/100)^MAX(0,$C755-$AC$737),IF(DATE($C755,10,15)&gt;=$V$737,$Y$737*(1+($U$737)/100)^MAX(0,$C755-$AB$737),0)))))</f>
      </c>
      <c r="O755" s="43">
        <f>IF($S$737=0,0,IF(OR(DATE($C755,11,15)&lt;$S$737,AND($T$737&gt;0,DATE($C755,11,15)&gt;$T$737)),0,IF(DATE($C755,11,15)&gt;=$X$737,$AA$737*(1+($U$737)/100)^MAX(0,$C755-$AD$737),IF(DATE($C755,11,15)&gt;=$W$737,$Z$737*(1+($U$737)/100)^MAX(0,$C755-$AC$737),IF(DATE($C755,11,15)&gt;=$V$737,$Y$737*(1+($U$737)/100)^MAX(0,$C755-$AB$737),0)))))</f>
      </c>
      <c r="P755" s="43">
        <f>IF($S$737=0,0,IF(OR(DATE($C755,12,15)&lt;$S$737,AND($T$737&gt;0,DATE($C755,12,15)&gt;$T$737)),0,IF(DATE($C755,12,15)&gt;=$X$737,$AA$737*(1+($U$737)/100)^MAX(0,$C755-$AD$737),IF(DATE($C755,12,15)&gt;=$W$737,$Z$737*(1+($U$737)/100)^MAX(0,$C755-$AC$737),IF(DATE($C755,12,15)&gt;=$V$737,$Y$737*(1+($U$737)/100)^MAX(0,$C755-$AB$737),0)))))</f>
      </c>
      <c r="Q755" s="43">
        <f>SUM($E755:$P755)</f>
      </c>
    </row>
    <row r="756">
      <c r="A756"/>
      <c r="B756">
        <v>24</v>
      </c>
      <c r="C756" s="43">
        <f>Jahr+19</f>
      </c>
      <c r="D756" s="43">
        <f>INDEX(MvObj,24)</f>
      </c>
      <c r="E756" s="43">
        <f>IF($S$737=0,0,IF(OR(DATE($C756,1,15)&lt;$S$737,AND($T$737&gt;0,DATE($C756,1,15)&gt;$T$737)),0,IF(DATE($C756,1,15)&gt;=$X$737,$AA$737*(1+($U$737)/100)^MAX(0,$C756-$AD$737),IF(DATE($C756,1,15)&gt;=$W$737,$Z$737*(1+($U$737)/100)^MAX(0,$C756-$AC$737),IF(DATE($C756,1,15)&gt;=$V$737,$Y$737*(1+($U$737)/100)^MAX(0,$C756-$AB$737),0)))))</f>
      </c>
      <c r="F756" s="43">
        <f>IF($S$737=0,0,IF(OR(DATE($C756,2,15)&lt;$S$737,AND($T$737&gt;0,DATE($C756,2,15)&gt;$T$737)),0,IF(DATE($C756,2,15)&gt;=$X$737,$AA$737*(1+($U$737)/100)^MAX(0,$C756-$AD$737),IF(DATE($C756,2,15)&gt;=$W$737,$Z$737*(1+($U$737)/100)^MAX(0,$C756-$AC$737),IF(DATE($C756,2,15)&gt;=$V$737,$Y$737*(1+($U$737)/100)^MAX(0,$C756-$AB$737),0)))))</f>
      </c>
      <c r="G756" s="43">
        <f>IF($S$737=0,0,IF(OR(DATE($C756,3,15)&lt;$S$737,AND($T$737&gt;0,DATE($C756,3,15)&gt;$T$737)),0,IF(DATE($C756,3,15)&gt;=$X$737,$AA$737*(1+($U$737)/100)^MAX(0,$C756-$AD$737),IF(DATE($C756,3,15)&gt;=$W$737,$Z$737*(1+($U$737)/100)^MAX(0,$C756-$AC$737),IF(DATE($C756,3,15)&gt;=$V$737,$Y$737*(1+($U$737)/100)^MAX(0,$C756-$AB$737),0)))))</f>
      </c>
      <c r="H756" s="43">
        <f>IF($S$737=0,0,IF(OR(DATE($C756,4,15)&lt;$S$737,AND($T$737&gt;0,DATE($C756,4,15)&gt;$T$737)),0,IF(DATE($C756,4,15)&gt;=$X$737,$AA$737*(1+($U$737)/100)^MAX(0,$C756-$AD$737),IF(DATE($C756,4,15)&gt;=$W$737,$Z$737*(1+($U$737)/100)^MAX(0,$C756-$AC$737),IF(DATE($C756,4,15)&gt;=$V$737,$Y$737*(1+($U$737)/100)^MAX(0,$C756-$AB$737),0)))))</f>
      </c>
      <c r="I756" s="43">
        <f>IF($S$737=0,0,IF(OR(DATE($C756,5,15)&lt;$S$737,AND($T$737&gt;0,DATE($C756,5,15)&gt;$T$737)),0,IF(DATE($C756,5,15)&gt;=$X$737,$AA$737*(1+($U$737)/100)^MAX(0,$C756-$AD$737),IF(DATE($C756,5,15)&gt;=$W$737,$Z$737*(1+($U$737)/100)^MAX(0,$C756-$AC$737),IF(DATE($C756,5,15)&gt;=$V$737,$Y$737*(1+($U$737)/100)^MAX(0,$C756-$AB$737),0)))))</f>
      </c>
      <c r="J756" s="43">
        <f>IF($S$737=0,0,IF(OR(DATE($C756,6,15)&lt;$S$737,AND($T$737&gt;0,DATE($C756,6,15)&gt;$T$737)),0,IF(DATE($C756,6,15)&gt;=$X$737,$AA$737*(1+($U$737)/100)^MAX(0,$C756-$AD$737),IF(DATE($C756,6,15)&gt;=$W$737,$Z$737*(1+($U$737)/100)^MAX(0,$C756-$AC$737),IF(DATE($C756,6,15)&gt;=$V$737,$Y$737*(1+($U$737)/100)^MAX(0,$C756-$AB$737),0)))))</f>
      </c>
      <c r="K756" s="43">
        <f>IF($S$737=0,0,IF(OR(DATE($C756,7,15)&lt;$S$737,AND($T$737&gt;0,DATE($C756,7,15)&gt;$T$737)),0,IF(DATE($C756,7,15)&gt;=$X$737,$AA$737*(1+($U$737)/100)^MAX(0,$C756-$AD$737),IF(DATE($C756,7,15)&gt;=$W$737,$Z$737*(1+($U$737)/100)^MAX(0,$C756-$AC$737),IF(DATE($C756,7,15)&gt;=$V$737,$Y$737*(1+($U$737)/100)^MAX(0,$C756-$AB$737),0)))))</f>
      </c>
      <c r="L756" s="43">
        <f>IF($S$737=0,0,IF(OR(DATE($C756,8,15)&lt;$S$737,AND($T$737&gt;0,DATE($C756,8,15)&gt;$T$737)),0,IF(DATE($C756,8,15)&gt;=$X$737,$AA$737*(1+($U$737)/100)^MAX(0,$C756-$AD$737),IF(DATE($C756,8,15)&gt;=$W$737,$Z$737*(1+($U$737)/100)^MAX(0,$C756-$AC$737),IF(DATE($C756,8,15)&gt;=$V$737,$Y$737*(1+($U$737)/100)^MAX(0,$C756-$AB$737),0)))))</f>
      </c>
      <c r="M756" s="43">
        <f>IF($S$737=0,0,IF(OR(DATE($C756,9,15)&lt;$S$737,AND($T$737&gt;0,DATE($C756,9,15)&gt;$T$737)),0,IF(DATE($C756,9,15)&gt;=$X$737,$AA$737*(1+($U$737)/100)^MAX(0,$C756-$AD$737),IF(DATE($C756,9,15)&gt;=$W$737,$Z$737*(1+($U$737)/100)^MAX(0,$C756-$AC$737),IF(DATE($C756,9,15)&gt;=$V$737,$Y$737*(1+($U$737)/100)^MAX(0,$C756-$AB$737),0)))))</f>
      </c>
      <c r="N756" s="43">
        <f>IF($S$737=0,0,IF(OR(DATE($C756,10,15)&lt;$S$737,AND($T$737&gt;0,DATE($C756,10,15)&gt;$T$737)),0,IF(DATE($C756,10,15)&gt;=$X$737,$AA$737*(1+($U$737)/100)^MAX(0,$C756-$AD$737),IF(DATE($C756,10,15)&gt;=$W$737,$Z$737*(1+($U$737)/100)^MAX(0,$C756-$AC$737),IF(DATE($C756,10,15)&gt;=$V$737,$Y$737*(1+($U$737)/100)^MAX(0,$C756-$AB$737),0)))))</f>
      </c>
      <c r="O756" s="43">
        <f>IF($S$737=0,0,IF(OR(DATE($C756,11,15)&lt;$S$737,AND($T$737&gt;0,DATE($C756,11,15)&gt;$T$737)),0,IF(DATE($C756,11,15)&gt;=$X$737,$AA$737*(1+($U$737)/100)^MAX(0,$C756-$AD$737),IF(DATE($C756,11,15)&gt;=$W$737,$Z$737*(1+($U$737)/100)^MAX(0,$C756-$AC$737),IF(DATE($C756,11,15)&gt;=$V$737,$Y$737*(1+($U$737)/100)^MAX(0,$C756-$AB$737),0)))))</f>
      </c>
      <c r="P756" s="43">
        <f>IF($S$737=0,0,IF(OR(DATE($C756,12,15)&lt;$S$737,AND($T$737&gt;0,DATE($C756,12,15)&gt;$T$737)),0,IF(DATE($C756,12,15)&gt;=$X$737,$AA$737*(1+($U$737)/100)^MAX(0,$C756-$AD$737),IF(DATE($C756,12,15)&gt;=$W$737,$Z$737*(1+($U$737)/100)^MAX(0,$C756-$AC$737),IF(DATE($C756,12,15)&gt;=$V$737,$Y$737*(1+($U$737)/100)^MAX(0,$C756-$AB$737),0)))))</f>
      </c>
      <c r="Q756" s="43">
        <f>SUM($E756:$P756)</f>
      </c>
    </row>
    <row r="757">
      <c r="A757"/>
      <c r="B757">
        <v>24</v>
      </c>
      <c r="C757" s="43">
        <f>Jahr+20</f>
      </c>
      <c r="D757" s="43">
        <f>INDEX(MvObj,24)</f>
      </c>
      <c r="E757" s="43">
        <f>IF($S$737=0,0,IF(OR(DATE($C757,1,15)&lt;$S$737,AND($T$737&gt;0,DATE($C757,1,15)&gt;$T$737)),0,IF(DATE($C757,1,15)&gt;=$X$737,$AA$737*(1+($U$737)/100)^MAX(0,$C757-$AD$737),IF(DATE($C757,1,15)&gt;=$W$737,$Z$737*(1+($U$737)/100)^MAX(0,$C757-$AC$737),IF(DATE($C757,1,15)&gt;=$V$737,$Y$737*(1+($U$737)/100)^MAX(0,$C757-$AB$737),0)))))</f>
      </c>
      <c r="F757" s="43">
        <f>IF($S$737=0,0,IF(OR(DATE($C757,2,15)&lt;$S$737,AND($T$737&gt;0,DATE($C757,2,15)&gt;$T$737)),0,IF(DATE($C757,2,15)&gt;=$X$737,$AA$737*(1+($U$737)/100)^MAX(0,$C757-$AD$737),IF(DATE($C757,2,15)&gt;=$W$737,$Z$737*(1+($U$737)/100)^MAX(0,$C757-$AC$737),IF(DATE($C757,2,15)&gt;=$V$737,$Y$737*(1+($U$737)/100)^MAX(0,$C757-$AB$737),0)))))</f>
      </c>
      <c r="G757" s="43">
        <f>IF($S$737=0,0,IF(OR(DATE($C757,3,15)&lt;$S$737,AND($T$737&gt;0,DATE($C757,3,15)&gt;$T$737)),0,IF(DATE($C757,3,15)&gt;=$X$737,$AA$737*(1+($U$737)/100)^MAX(0,$C757-$AD$737),IF(DATE($C757,3,15)&gt;=$W$737,$Z$737*(1+($U$737)/100)^MAX(0,$C757-$AC$737),IF(DATE($C757,3,15)&gt;=$V$737,$Y$737*(1+($U$737)/100)^MAX(0,$C757-$AB$737),0)))))</f>
      </c>
      <c r="H757" s="43">
        <f>IF($S$737=0,0,IF(OR(DATE($C757,4,15)&lt;$S$737,AND($T$737&gt;0,DATE($C757,4,15)&gt;$T$737)),0,IF(DATE($C757,4,15)&gt;=$X$737,$AA$737*(1+($U$737)/100)^MAX(0,$C757-$AD$737),IF(DATE($C757,4,15)&gt;=$W$737,$Z$737*(1+($U$737)/100)^MAX(0,$C757-$AC$737),IF(DATE($C757,4,15)&gt;=$V$737,$Y$737*(1+($U$737)/100)^MAX(0,$C757-$AB$737),0)))))</f>
      </c>
      <c r="I757" s="43">
        <f>IF($S$737=0,0,IF(OR(DATE($C757,5,15)&lt;$S$737,AND($T$737&gt;0,DATE($C757,5,15)&gt;$T$737)),0,IF(DATE($C757,5,15)&gt;=$X$737,$AA$737*(1+($U$737)/100)^MAX(0,$C757-$AD$737),IF(DATE($C757,5,15)&gt;=$W$737,$Z$737*(1+($U$737)/100)^MAX(0,$C757-$AC$737),IF(DATE($C757,5,15)&gt;=$V$737,$Y$737*(1+($U$737)/100)^MAX(0,$C757-$AB$737),0)))))</f>
      </c>
      <c r="J757" s="43">
        <f>IF($S$737=0,0,IF(OR(DATE($C757,6,15)&lt;$S$737,AND($T$737&gt;0,DATE($C757,6,15)&gt;$T$737)),0,IF(DATE($C757,6,15)&gt;=$X$737,$AA$737*(1+($U$737)/100)^MAX(0,$C757-$AD$737),IF(DATE($C757,6,15)&gt;=$W$737,$Z$737*(1+($U$737)/100)^MAX(0,$C757-$AC$737),IF(DATE($C757,6,15)&gt;=$V$737,$Y$737*(1+($U$737)/100)^MAX(0,$C757-$AB$737),0)))))</f>
      </c>
      <c r="K757" s="43">
        <f>IF($S$737=0,0,IF(OR(DATE($C757,7,15)&lt;$S$737,AND($T$737&gt;0,DATE($C757,7,15)&gt;$T$737)),0,IF(DATE($C757,7,15)&gt;=$X$737,$AA$737*(1+($U$737)/100)^MAX(0,$C757-$AD$737),IF(DATE($C757,7,15)&gt;=$W$737,$Z$737*(1+($U$737)/100)^MAX(0,$C757-$AC$737),IF(DATE($C757,7,15)&gt;=$V$737,$Y$737*(1+($U$737)/100)^MAX(0,$C757-$AB$737),0)))))</f>
      </c>
      <c r="L757" s="43">
        <f>IF($S$737=0,0,IF(OR(DATE($C757,8,15)&lt;$S$737,AND($T$737&gt;0,DATE($C757,8,15)&gt;$T$737)),0,IF(DATE($C757,8,15)&gt;=$X$737,$AA$737*(1+($U$737)/100)^MAX(0,$C757-$AD$737),IF(DATE($C757,8,15)&gt;=$W$737,$Z$737*(1+($U$737)/100)^MAX(0,$C757-$AC$737),IF(DATE($C757,8,15)&gt;=$V$737,$Y$737*(1+($U$737)/100)^MAX(0,$C757-$AB$737),0)))))</f>
      </c>
      <c r="M757" s="43">
        <f>IF($S$737=0,0,IF(OR(DATE($C757,9,15)&lt;$S$737,AND($T$737&gt;0,DATE($C757,9,15)&gt;$T$737)),0,IF(DATE($C757,9,15)&gt;=$X$737,$AA$737*(1+($U$737)/100)^MAX(0,$C757-$AD$737),IF(DATE($C757,9,15)&gt;=$W$737,$Z$737*(1+($U$737)/100)^MAX(0,$C757-$AC$737),IF(DATE($C757,9,15)&gt;=$V$737,$Y$737*(1+($U$737)/100)^MAX(0,$C757-$AB$737),0)))))</f>
      </c>
      <c r="N757" s="43">
        <f>IF($S$737=0,0,IF(OR(DATE($C757,10,15)&lt;$S$737,AND($T$737&gt;0,DATE($C757,10,15)&gt;$T$737)),0,IF(DATE($C757,10,15)&gt;=$X$737,$AA$737*(1+($U$737)/100)^MAX(0,$C757-$AD$737),IF(DATE($C757,10,15)&gt;=$W$737,$Z$737*(1+($U$737)/100)^MAX(0,$C757-$AC$737),IF(DATE($C757,10,15)&gt;=$V$737,$Y$737*(1+($U$737)/100)^MAX(0,$C757-$AB$737),0)))))</f>
      </c>
      <c r="O757" s="43">
        <f>IF($S$737=0,0,IF(OR(DATE($C757,11,15)&lt;$S$737,AND($T$737&gt;0,DATE($C757,11,15)&gt;$T$737)),0,IF(DATE($C757,11,15)&gt;=$X$737,$AA$737*(1+($U$737)/100)^MAX(0,$C757-$AD$737),IF(DATE($C757,11,15)&gt;=$W$737,$Z$737*(1+($U$737)/100)^MAX(0,$C757-$AC$737),IF(DATE($C757,11,15)&gt;=$V$737,$Y$737*(1+($U$737)/100)^MAX(0,$C757-$AB$737),0)))))</f>
      </c>
      <c r="P757" s="43">
        <f>IF($S$737=0,0,IF(OR(DATE($C757,12,15)&lt;$S$737,AND($T$737&gt;0,DATE($C757,12,15)&gt;$T$737)),0,IF(DATE($C757,12,15)&gt;=$X$737,$AA$737*(1+($U$737)/100)^MAX(0,$C757-$AD$737),IF(DATE($C757,12,15)&gt;=$W$737,$Z$737*(1+($U$737)/100)^MAX(0,$C757-$AC$737),IF(DATE($C757,12,15)&gt;=$V$737,$Y$737*(1+($U$737)/100)^MAX(0,$C757-$AB$737),0)))))</f>
      </c>
      <c r="Q757" s="43">
        <f>SUM($E757:$P757)</f>
      </c>
    </row>
    <row r="758">
      <c r="A758"/>
      <c r="B758">
        <v>24</v>
      </c>
      <c r="C758" s="43">
        <f>Jahr+21</f>
      </c>
      <c r="D758" s="43">
        <f>INDEX(MvObj,24)</f>
      </c>
      <c r="E758" s="43">
        <f>IF($S$737=0,0,IF(OR(DATE($C758,1,15)&lt;$S$737,AND($T$737&gt;0,DATE($C758,1,15)&gt;$T$737)),0,IF(DATE($C758,1,15)&gt;=$X$737,$AA$737*(1+($U$737)/100)^MAX(0,$C758-$AD$737),IF(DATE($C758,1,15)&gt;=$W$737,$Z$737*(1+($U$737)/100)^MAX(0,$C758-$AC$737),IF(DATE($C758,1,15)&gt;=$V$737,$Y$737*(1+($U$737)/100)^MAX(0,$C758-$AB$737),0)))))</f>
      </c>
      <c r="F758" s="43">
        <f>IF($S$737=0,0,IF(OR(DATE($C758,2,15)&lt;$S$737,AND($T$737&gt;0,DATE($C758,2,15)&gt;$T$737)),0,IF(DATE($C758,2,15)&gt;=$X$737,$AA$737*(1+($U$737)/100)^MAX(0,$C758-$AD$737),IF(DATE($C758,2,15)&gt;=$W$737,$Z$737*(1+($U$737)/100)^MAX(0,$C758-$AC$737),IF(DATE($C758,2,15)&gt;=$V$737,$Y$737*(1+($U$737)/100)^MAX(0,$C758-$AB$737),0)))))</f>
      </c>
      <c r="G758" s="43">
        <f>IF($S$737=0,0,IF(OR(DATE($C758,3,15)&lt;$S$737,AND($T$737&gt;0,DATE($C758,3,15)&gt;$T$737)),0,IF(DATE($C758,3,15)&gt;=$X$737,$AA$737*(1+($U$737)/100)^MAX(0,$C758-$AD$737),IF(DATE($C758,3,15)&gt;=$W$737,$Z$737*(1+($U$737)/100)^MAX(0,$C758-$AC$737),IF(DATE($C758,3,15)&gt;=$V$737,$Y$737*(1+($U$737)/100)^MAX(0,$C758-$AB$737),0)))))</f>
      </c>
      <c r="H758" s="43">
        <f>IF($S$737=0,0,IF(OR(DATE($C758,4,15)&lt;$S$737,AND($T$737&gt;0,DATE($C758,4,15)&gt;$T$737)),0,IF(DATE($C758,4,15)&gt;=$X$737,$AA$737*(1+($U$737)/100)^MAX(0,$C758-$AD$737),IF(DATE($C758,4,15)&gt;=$W$737,$Z$737*(1+($U$737)/100)^MAX(0,$C758-$AC$737),IF(DATE($C758,4,15)&gt;=$V$737,$Y$737*(1+($U$737)/100)^MAX(0,$C758-$AB$737),0)))))</f>
      </c>
      <c r="I758" s="43">
        <f>IF($S$737=0,0,IF(OR(DATE($C758,5,15)&lt;$S$737,AND($T$737&gt;0,DATE($C758,5,15)&gt;$T$737)),0,IF(DATE($C758,5,15)&gt;=$X$737,$AA$737*(1+($U$737)/100)^MAX(0,$C758-$AD$737),IF(DATE($C758,5,15)&gt;=$W$737,$Z$737*(1+($U$737)/100)^MAX(0,$C758-$AC$737),IF(DATE($C758,5,15)&gt;=$V$737,$Y$737*(1+($U$737)/100)^MAX(0,$C758-$AB$737),0)))))</f>
      </c>
      <c r="J758" s="43">
        <f>IF($S$737=0,0,IF(OR(DATE($C758,6,15)&lt;$S$737,AND($T$737&gt;0,DATE($C758,6,15)&gt;$T$737)),0,IF(DATE($C758,6,15)&gt;=$X$737,$AA$737*(1+($U$737)/100)^MAX(0,$C758-$AD$737),IF(DATE($C758,6,15)&gt;=$W$737,$Z$737*(1+($U$737)/100)^MAX(0,$C758-$AC$737),IF(DATE($C758,6,15)&gt;=$V$737,$Y$737*(1+($U$737)/100)^MAX(0,$C758-$AB$737),0)))))</f>
      </c>
      <c r="K758" s="43">
        <f>IF($S$737=0,0,IF(OR(DATE($C758,7,15)&lt;$S$737,AND($T$737&gt;0,DATE($C758,7,15)&gt;$T$737)),0,IF(DATE($C758,7,15)&gt;=$X$737,$AA$737*(1+($U$737)/100)^MAX(0,$C758-$AD$737),IF(DATE($C758,7,15)&gt;=$W$737,$Z$737*(1+($U$737)/100)^MAX(0,$C758-$AC$737),IF(DATE($C758,7,15)&gt;=$V$737,$Y$737*(1+($U$737)/100)^MAX(0,$C758-$AB$737),0)))))</f>
      </c>
      <c r="L758" s="43">
        <f>IF($S$737=0,0,IF(OR(DATE($C758,8,15)&lt;$S$737,AND($T$737&gt;0,DATE($C758,8,15)&gt;$T$737)),0,IF(DATE($C758,8,15)&gt;=$X$737,$AA$737*(1+($U$737)/100)^MAX(0,$C758-$AD$737),IF(DATE($C758,8,15)&gt;=$W$737,$Z$737*(1+($U$737)/100)^MAX(0,$C758-$AC$737),IF(DATE($C758,8,15)&gt;=$V$737,$Y$737*(1+($U$737)/100)^MAX(0,$C758-$AB$737),0)))))</f>
      </c>
      <c r="M758" s="43">
        <f>IF($S$737=0,0,IF(OR(DATE($C758,9,15)&lt;$S$737,AND($T$737&gt;0,DATE($C758,9,15)&gt;$T$737)),0,IF(DATE($C758,9,15)&gt;=$X$737,$AA$737*(1+($U$737)/100)^MAX(0,$C758-$AD$737),IF(DATE($C758,9,15)&gt;=$W$737,$Z$737*(1+($U$737)/100)^MAX(0,$C758-$AC$737),IF(DATE($C758,9,15)&gt;=$V$737,$Y$737*(1+($U$737)/100)^MAX(0,$C758-$AB$737),0)))))</f>
      </c>
      <c r="N758" s="43">
        <f>IF($S$737=0,0,IF(OR(DATE($C758,10,15)&lt;$S$737,AND($T$737&gt;0,DATE($C758,10,15)&gt;$T$737)),0,IF(DATE($C758,10,15)&gt;=$X$737,$AA$737*(1+($U$737)/100)^MAX(0,$C758-$AD$737),IF(DATE($C758,10,15)&gt;=$W$737,$Z$737*(1+($U$737)/100)^MAX(0,$C758-$AC$737),IF(DATE($C758,10,15)&gt;=$V$737,$Y$737*(1+($U$737)/100)^MAX(0,$C758-$AB$737),0)))))</f>
      </c>
      <c r="O758" s="43">
        <f>IF($S$737=0,0,IF(OR(DATE($C758,11,15)&lt;$S$737,AND($T$737&gt;0,DATE($C758,11,15)&gt;$T$737)),0,IF(DATE($C758,11,15)&gt;=$X$737,$AA$737*(1+($U$737)/100)^MAX(0,$C758-$AD$737),IF(DATE($C758,11,15)&gt;=$W$737,$Z$737*(1+($U$737)/100)^MAX(0,$C758-$AC$737),IF(DATE($C758,11,15)&gt;=$V$737,$Y$737*(1+($U$737)/100)^MAX(0,$C758-$AB$737),0)))))</f>
      </c>
      <c r="P758" s="43">
        <f>IF($S$737=0,0,IF(OR(DATE($C758,12,15)&lt;$S$737,AND($T$737&gt;0,DATE($C758,12,15)&gt;$T$737)),0,IF(DATE($C758,12,15)&gt;=$X$737,$AA$737*(1+($U$737)/100)^MAX(0,$C758-$AD$737),IF(DATE($C758,12,15)&gt;=$W$737,$Z$737*(1+($U$737)/100)^MAX(0,$C758-$AC$737),IF(DATE($C758,12,15)&gt;=$V$737,$Y$737*(1+($U$737)/100)^MAX(0,$C758-$AB$737),0)))))</f>
      </c>
      <c r="Q758" s="43">
        <f>SUM($E758:$P758)</f>
      </c>
    </row>
    <row r="759">
      <c r="A759"/>
      <c r="B759">
        <v>24</v>
      </c>
      <c r="C759" s="43">
        <f>Jahr+22</f>
      </c>
      <c r="D759" s="43">
        <f>INDEX(MvObj,24)</f>
      </c>
      <c r="E759" s="43">
        <f>IF($S$737=0,0,IF(OR(DATE($C759,1,15)&lt;$S$737,AND($T$737&gt;0,DATE($C759,1,15)&gt;$T$737)),0,IF(DATE($C759,1,15)&gt;=$X$737,$AA$737*(1+($U$737)/100)^MAX(0,$C759-$AD$737),IF(DATE($C759,1,15)&gt;=$W$737,$Z$737*(1+($U$737)/100)^MAX(0,$C759-$AC$737),IF(DATE($C759,1,15)&gt;=$V$737,$Y$737*(1+($U$737)/100)^MAX(0,$C759-$AB$737),0)))))</f>
      </c>
      <c r="F759" s="43">
        <f>IF($S$737=0,0,IF(OR(DATE($C759,2,15)&lt;$S$737,AND($T$737&gt;0,DATE($C759,2,15)&gt;$T$737)),0,IF(DATE($C759,2,15)&gt;=$X$737,$AA$737*(1+($U$737)/100)^MAX(0,$C759-$AD$737),IF(DATE($C759,2,15)&gt;=$W$737,$Z$737*(1+($U$737)/100)^MAX(0,$C759-$AC$737),IF(DATE($C759,2,15)&gt;=$V$737,$Y$737*(1+($U$737)/100)^MAX(0,$C759-$AB$737),0)))))</f>
      </c>
      <c r="G759" s="43">
        <f>IF($S$737=0,0,IF(OR(DATE($C759,3,15)&lt;$S$737,AND($T$737&gt;0,DATE($C759,3,15)&gt;$T$737)),0,IF(DATE($C759,3,15)&gt;=$X$737,$AA$737*(1+($U$737)/100)^MAX(0,$C759-$AD$737),IF(DATE($C759,3,15)&gt;=$W$737,$Z$737*(1+($U$737)/100)^MAX(0,$C759-$AC$737),IF(DATE($C759,3,15)&gt;=$V$737,$Y$737*(1+($U$737)/100)^MAX(0,$C759-$AB$737),0)))))</f>
      </c>
      <c r="H759" s="43">
        <f>IF($S$737=0,0,IF(OR(DATE($C759,4,15)&lt;$S$737,AND($T$737&gt;0,DATE($C759,4,15)&gt;$T$737)),0,IF(DATE($C759,4,15)&gt;=$X$737,$AA$737*(1+($U$737)/100)^MAX(0,$C759-$AD$737),IF(DATE($C759,4,15)&gt;=$W$737,$Z$737*(1+($U$737)/100)^MAX(0,$C759-$AC$737),IF(DATE($C759,4,15)&gt;=$V$737,$Y$737*(1+($U$737)/100)^MAX(0,$C759-$AB$737),0)))))</f>
      </c>
      <c r="I759" s="43">
        <f>IF($S$737=0,0,IF(OR(DATE($C759,5,15)&lt;$S$737,AND($T$737&gt;0,DATE($C759,5,15)&gt;$T$737)),0,IF(DATE($C759,5,15)&gt;=$X$737,$AA$737*(1+($U$737)/100)^MAX(0,$C759-$AD$737),IF(DATE($C759,5,15)&gt;=$W$737,$Z$737*(1+($U$737)/100)^MAX(0,$C759-$AC$737),IF(DATE($C759,5,15)&gt;=$V$737,$Y$737*(1+($U$737)/100)^MAX(0,$C759-$AB$737),0)))))</f>
      </c>
      <c r="J759" s="43">
        <f>IF($S$737=0,0,IF(OR(DATE($C759,6,15)&lt;$S$737,AND($T$737&gt;0,DATE($C759,6,15)&gt;$T$737)),0,IF(DATE($C759,6,15)&gt;=$X$737,$AA$737*(1+($U$737)/100)^MAX(0,$C759-$AD$737),IF(DATE($C759,6,15)&gt;=$W$737,$Z$737*(1+($U$737)/100)^MAX(0,$C759-$AC$737),IF(DATE($C759,6,15)&gt;=$V$737,$Y$737*(1+($U$737)/100)^MAX(0,$C759-$AB$737),0)))))</f>
      </c>
      <c r="K759" s="43">
        <f>IF($S$737=0,0,IF(OR(DATE($C759,7,15)&lt;$S$737,AND($T$737&gt;0,DATE($C759,7,15)&gt;$T$737)),0,IF(DATE($C759,7,15)&gt;=$X$737,$AA$737*(1+($U$737)/100)^MAX(0,$C759-$AD$737),IF(DATE($C759,7,15)&gt;=$W$737,$Z$737*(1+($U$737)/100)^MAX(0,$C759-$AC$737),IF(DATE($C759,7,15)&gt;=$V$737,$Y$737*(1+($U$737)/100)^MAX(0,$C759-$AB$737),0)))))</f>
      </c>
      <c r="L759" s="43">
        <f>IF($S$737=0,0,IF(OR(DATE($C759,8,15)&lt;$S$737,AND($T$737&gt;0,DATE($C759,8,15)&gt;$T$737)),0,IF(DATE($C759,8,15)&gt;=$X$737,$AA$737*(1+($U$737)/100)^MAX(0,$C759-$AD$737),IF(DATE($C759,8,15)&gt;=$W$737,$Z$737*(1+($U$737)/100)^MAX(0,$C759-$AC$737),IF(DATE($C759,8,15)&gt;=$V$737,$Y$737*(1+($U$737)/100)^MAX(0,$C759-$AB$737),0)))))</f>
      </c>
      <c r="M759" s="43">
        <f>IF($S$737=0,0,IF(OR(DATE($C759,9,15)&lt;$S$737,AND($T$737&gt;0,DATE($C759,9,15)&gt;$T$737)),0,IF(DATE($C759,9,15)&gt;=$X$737,$AA$737*(1+($U$737)/100)^MAX(0,$C759-$AD$737),IF(DATE($C759,9,15)&gt;=$W$737,$Z$737*(1+($U$737)/100)^MAX(0,$C759-$AC$737),IF(DATE($C759,9,15)&gt;=$V$737,$Y$737*(1+($U$737)/100)^MAX(0,$C759-$AB$737),0)))))</f>
      </c>
      <c r="N759" s="43">
        <f>IF($S$737=0,0,IF(OR(DATE($C759,10,15)&lt;$S$737,AND($T$737&gt;0,DATE($C759,10,15)&gt;$T$737)),0,IF(DATE($C759,10,15)&gt;=$X$737,$AA$737*(1+($U$737)/100)^MAX(0,$C759-$AD$737),IF(DATE($C759,10,15)&gt;=$W$737,$Z$737*(1+($U$737)/100)^MAX(0,$C759-$AC$737),IF(DATE($C759,10,15)&gt;=$V$737,$Y$737*(1+($U$737)/100)^MAX(0,$C759-$AB$737),0)))))</f>
      </c>
      <c r="O759" s="43">
        <f>IF($S$737=0,0,IF(OR(DATE($C759,11,15)&lt;$S$737,AND($T$737&gt;0,DATE($C759,11,15)&gt;$T$737)),0,IF(DATE($C759,11,15)&gt;=$X$737,$AA$737*(1+($U$737)/100)^MAX(0,$C759-$AD$737),IF(DATE($C759,11,15)&gt;=$W$737,$Z$737*(1+($U$737)/100)^MAX(0,$C759-$AC$737),IF(DATE($C759,11,15)&gt;=$V$737,$Y$737*(1+($U$737)/100)^MAX(0,$C759-$AB$737),0)))))</f>
      </c>
      <c r="P759" s="43">
        <f>IF($S$737=0,0,IF(OR(DATE($C759,12,15)&lt;$S$737,AND($T$737&gt;0,DATE($C759,12,15)&gt;$T$737)),0,IF(DATE($C759,12,15)&gt;=$X$737,$AA$737*(1+($U$737)/100)^MAX(0,$C759-$AD$737),IF(DATE($C759,12,15)&gt;=$W$737,$Z$737*(1+($U$737)/100)^MAX(0,$C759-$AC$737),IF(DATE($C759,12,15)&gt;=$V$737,$Y$737*(1+($U$737)/100)^MAX(0,$C759-$AB$737),0)))))</f>
      </c>
      <c r="Q759" s="43">
        <f>SUM($E759:$P759)</f>
      </c>
    </row>
    <row r="760">
      <c r="A760"/>
      <c r="B760">
        <v>24</v>
      </c>
      <c r="C760" s="43">
        <f>Jahr+23</f>
      </c>
      <c r="D760" s="43">
        <f>INDEX(MvObj,24)</f>
      </c>
      <c r="E760" s="43">
        <f>IF($S$737=0,0,IF(OR(DATE($C760,1,15)&lt;$S$737,AND($T$737&gt;0,DATE($C760,1,15)&gt;$T$737)),0,IF(DATE($C760,1,15)&gt;=$X$737,$AA$737*(1+($U$737)/100)^MAX(0,$C760-$AD$737),IF(DATE($C760,1,15)&gt;=$W$737,$Z$737*(1+($U$737)/100)^MAX(0,$C760-$AC$737),IF(DATE($C760,1,15)&gt;=$V$737,$Y$737*(1+($U$737)/100)^MAX(0,$C760-$AB$737),0)))))</f>
      </c>
      <c r="F760" s="43">
        <f>IF($S$737=0,0,IF(OR(DATE($C760,2,15)&lt;$S$737,AND($T$737&gt;0,DATE($C760,2,15)&gt;$T$737)),0,IF(DATE($C760,2,15)&gt;=$X$737,$AA$737*(1+($U$737)/100)^MAX(0,$C760-$AD$737),IF(DATE($C760,2,15)&gt;=$W$737,$Z$737*(1+($U$737)/100)^MAX(0,$C760-$AC$737),IF(DATE($C760,2,15)&gt;=$V$737,$Y$737*(1+($U$737)/100)^MAX(0,$C760-$AB$737),0)))))</f>
      </c>
      <c r="G760" s="43">
        <f>IF($S$737=0,0,IF(OR(DATE($C760,3,15)&lt;$S$737,AND($T$737&gt;0,DATE($C760,3,15)&gt;$T$737)),0,IF(DATE($C760,3,15)&gt;=$X$737,$AA$737*(1+($U$737)/100)^MAX(0,$C760-$AD$737),IF(DATE($C760,3,15)&gt;=$W$737,$Z$737*(1+($U$737)/100)^MAX(0,$C760-$AC$737),IF(DATE($C760,3,15)&gt;=$V$737,$Y$737*(1+($U$737)/100)^MAX(0,$C760-$AB$737),0)))))</f>
      </c>
      <c r="H760" s="43">
        <f>IF($S$737=0,0,IF(OR(DATE($C760,4,15)&lt;$S$737,AND($T$737&gt;0,DATE($C760,4,15)&gt;$T$737)),0,IF(DATE($C760,4,15)&gt;=$X$737,$AA$737*(1+($U$737)/100)^MAX(0,$C760-$AD$737),IF(DATE($C760,4,15)&gt;=$W$737,$Z$737*(1+($U$737)/100)^MAX(0,$C760-$AC$737),IF(DATE($C760,4,15)&gt;=$V$737,$Y$737*(1+($U$737)/100)^MAX(0,$C760-$AB$737),0)))))</f>
      </c>
      <c r="I760" s="43">
        <f>IF($S$737=0,0,IF(OR(DATE($C760,5,15)&lt;$S$737,AND($T$737&gt;0,DATE($C760,5,15)&gt;$T$737)),0,IF(DATE($C760,5,15)&gt;=$X$737,$AA$737*(1+($U$737)/100)^MAX(0,$C760-$AD$737),IF(DATE($C760,5,15)&gt;=$W$737,$Z$737*(1+($U$737)/100)^MAX(0,$C760-$AC$737),IF(DATE($C760,5,15)&gt;=$V$737,$Y$737*(1+($U$737)/100)^MAX(0,$C760-$AB$737),0)))))</f>
      </c>
      <c r="J760" s="43">
        <f>IF($S$737=0,0,IF(OR(DATE($C760,6,15)&lt;$S$737,AND($T$737&gt;0,DATE($C760,6,15)&gt;$T$737)),0,IF(DATE($C760,6,15)&gt;=$X$737,$AA$737*(1+($U$737)/100)^MAX(0,$C760-$AD$737),IF(DATE($C760,6,15)&gt;=$W$737,$Z$737*(1+($U$737)/100)^MAX(0,$C760-$AC$737),IF(DATE($C760,6,15)&gt;=$V$737,$Y$737*(1+($U$737)/100)^MAX(0,$C760-$AB$737),0)))))</f>
      </c>
      <c r="K760" s="43">
        <f>IF($S$737=0,0,IF(OR(DATE($C760,7,15)&lt;$S$737,AND($T$737&gt;0,DATE($C760,7,15)&gt;$T$737)),0,IF(DATE($C760,7,15)&gt;=$X$737,$AA$737*(1+($U$737)/100)^MAX(0,$C760-$AD$737),IF(DATE($C760,7,15)&gt;=$W$737,$Z$737*(1+($U$737)/100)^MAX(0,$C760-$AC$737),IF(DATE($C760,7,15)&gt;=$V$737,$Y$737*(1+($U$737)/100)^MAX(0,$C760-$AB$737),0)))))</f>
      </c>
      <c r="L760" s="43">
        <f>IF($S$737=0,0,IF(OR(DATE($C760,8,15)&lt;$S$737,AND($T$737&gt;0,DATE($C760,8,15)&gt;$T$737)),0,IF(DATE($C760,8,15)&gt;=$X$737,$AA$737*(1+($U$737)/100)^MAX(0,$C760-$AD$737),IF(DATE($C760,8,15)&gt;=$W$737,$Z$737*(1+($U$737)/100)^MAX(0,$C760-$AC$737),IF(DATE($C760,8,15)&gt;=$V$737,$Y$737*(1+($U$737)/100)^MAX(0,$C760-$AB$737),0)))))</f>
      </c>
      <c r="M760" s="43">
        <f>IF($S$737=0,0,IF(OR(DATE($C760,9,15)&lt;$S$737,AND($T$737&gt;0,DATE($C760,9,15)&gt;$T$737)),0,IF(DATE($C760,9,15)&gt;=$X$737,$AA$737*(1+($U$737)/100)^MAX(0,$C760-$AD$737),IF(DATE($C760,9,15)&gt;=$W$737,$Z$737*(1+($U$737)/100)^MAX(0,$C760-$AC$737),IF(DATE($C760,9,15)&gt;=$V$737,$Y$737*(1+($U$737)/100)^MAX(0,$C760-$AB$737),0)))))</f>
      </c>
      <c r="N760" s="43">
        <f>IF($S$737=0,0,IF(OR(DATE($C760,10,15)&lt;$S$737,AND($T$737&gt;0,DATE($C760,10,15)&gt;$T$737)),0,IF(DATE($C760,10,15)&gt;=$X$737,$AA$737*(1+($U$737)/100)^MAX(0,$C760-$AD$737),IF(DATE($C760,10,15)&gt;=$W$737,$Z$737*(1+($U$737)/100)^MAX(0,$C760-$AC$737),IF(DATE($C760,10,15)&gt;=$V$737,$Y$737*(1+($U$737)/100)^MAX(0,$C760-$AB$737),0)))))</f>
      </c>
      <c r="O760" s="43">
        <f>IF($S$737=0,0,IF(OR(DATE($C760,11,15)&lt;$S$737,AND($T$737&gt;0,DATE($C760,11,15)&gt;$T$737)),0,IF(DATE($C760,11,15)&gt;=$X$737,$AA$737*(1+($U$737)/100)^MAX(0,$C760-$AD$737),IF(DATE($C760,11,15)&gt;=$W$737,$Z$737*(1+($U$737)/100)^MAX(0,$C760-$AC$737),IF(DATE($C760,11,15)&gt;=$V$737,$Y$737*(1+($U$737)/100)^MAX(0,$C760-$AB$737),0)))))</f>
      </c>
      <c r="P760" s="43">
        <f>IF($S$737=0,0,IF(OR(DATE($C760,12,15)&lt;$S$737,AND($T$737&gt;0,DATE($C760,12,15)&gt;$T$737)),0,IF(DATE($C760,12,15)&gt;=$X$737,$AA$737*(1+($U$737)/100)^MAX(0,$C760-$AD$737),IF(DATE($C760,12,15)&gt;=$W$737,$Z$737*(1+($U$737)/100)^MAX(0,$C760-$AC$737),IF(DATE($C760,12,15)&gt;=$V$737,$Y$737*(1+($U$737)/100)^MAX(0,$C760-$AB$737),0)))))</f>
      </c>
      <c r="Q760" s="43">
        <f>SUM($E760:$P760)</f>
      </c>
    </row>
    <row r="761">
      <c r="A761"/>
      <c r="B761">
        <v>24</v>
      </c>
      <c r="C761" s="43">
        <f>Jahr+24</f>
      </c>
      <c r="D761" s="43">
        <f>INDEX(MvObj,24)</f>
      </c>
      <c r="E761" s="43">
        <f>IF($S$737=0,0,IF(OR(DATE($C761,1,15)&lt;$S$737,AND($T$737&gt;0,DATE($C761,1,15)&gt;$T$737)),0,IF(DATE($C761,1,15)&gt;=$X$737,$AA$737*(1+($U$737)/100)^MAX(0,$C761-$AD$737),IF(DATE($C761,1,15)&gt;=$W$737,$Z$737*(1+($U$737)/100)^MAX(0,$C761-$AC$737),IF(DATE($C761,1,15)&gt;=$V$737,$Y$737*(1+($U$737)/100)^MAX(0,$C761-$AB$737),0)))))</f>
      </c>
      <c r="F761" s="43">
        <f>IF($S$737=0,0,IF(OR(DATE($C761,2,15)&lt;$S$737,AND($T$737&gt;0,DATE($C761,2,15)&gt;$T$737)),0,IF(DATE($C761,2,15)&gt;=$X$737,$AA$737*(1+($U$737)/100)^MAX(0,$C761-$AD$737),IF(DATE($C761,2,15)&gt;=$W$737,$Z$737*(1+($U$737)/100)^MAX(0,$C761-$AC$737),IF(DATE($C761,2,15)&gt;=$V$737,$Y$737*(1+($U$737)/100)^MAX(0,$C761-$AB$737),0)))))</f>
      </c>
      <c r="G761" s="43">
        <f>IF($S$737=0,0,IF(OR(DATE($C761,3,15)&lt;$S$737,AND($T$737&gt;0,DATE($C761,3,15)&gt;$T$737)),0,IF(DATE($C761,3,15)&gt;=$X$737,$AA$737*(1+($U$737)/100)^MAX(0,$C761-$AD$737),IF(DATE($C761,3,15)&gt;=$W$737,$Z$737*(1+($U$737)/100)^MAX(0,$C761-$AC$737),IF(DATE($C761,3,15)&gt;=$V$737,$Y$737*(1+($U$737)/100)^MAX(0,$C761-$AB$737),0)))))</f>
      </c>
      <c r="H761" s="43">
        <f>IF($S$737=0,0,IF(OR(DATE($C761,4,15)&lt;$S$737,AND($T$737&gt;0,DATE($C761,4,15)&gt;$T$737)),0,IF(DATE($C761,4,15)&gt;=$X$737,$AA$737*(1+($U$737)/100)^MAX(0,$C761-$AD$737),IF(DATE($C761,4,15)&gt;=$W$737,$Z$737*(1+($U$737)/100)^MAX(0,$C761-$AC$737),IF(DATE($C761,4,15)&gt;=$V$737,$Y$737*(1+($U$737)/100)^MAX(0,$C761-$AB$737),0)))))</f>
      </c>
      <c r="I761" s="43">
        <f>IF($S$737=0,0,IF(OR(DATE($C761,5,15)&lt;$S$737,AND($T$737&gt;0,DATE($C761,5,15)&gt;$T$737)),0,IF(DATE($C761,5,15)&gt;=$X$737,$AA$737*(1+($U$737)/100)^MAX(0,$C761-$AD$737),IF(DATE($C761,5,15)&gt;=$W$737,$Z$737*(1+($U$737)/100)^MAX(0,$C761-$AC$737),IF(DATE($C761,5,15)&gt;=$V$737,$Y$737*(1+($U$737)/100)^MAX(0,$C761-$AB$737),0)))))</f>
      </c>
      <c r="J761" s="43">
        <f>IF($S$737=0,0,IF(OR(DATE($C761,6,15)&lt;$S$737,AND($T$737&gt;0,DATE($C761,6,15)&gt;$T$737)),0,IF(DATE($C761,6,15)&gt;=$X$737,$AA$737*(1+($U$737)/100)^MAX(0,$C761-$AD$737),IF(DATE($C761,6,15)&gt;=$W$737,$Z$737*(1+($U$737)/100)^MAX(0,$C761-$AC$737),IF(DATE($C761,6,15)&gt;=$V$737,$Y$737*(1+($U$737)/100)^MAX(0,$C761-$AB$737),0)))))</f>
      </c>
      <c r="K761" s="43">
        <f>IF($S$737=0,0,IF(OR(DATE($C761,7,15)&lt;$S$737,AND($T$737&gt;0,DATE($C761,7,15)&gt;$T$737)),0,IF(DATE($C761,7,15)&gt;=$X$737,$AA$737*(1+($U$737)/100)^MAX(0,$C761-$AD$737),IF(DATE($C761,7,15)&gt;=$W$737,$Z$737*(1+($U$737)/100)^MAX(0,$C761-$AC$737),IF(DATE($C761,7,15)&gt;=$V$737,$Y$737*(1+($U$737)/100)^MAX(0,$C761-$AB$737),0)))))</f>
      </c>
      <c r="L761" s="43">
        <f>IF($S$737=0,0,IF(OR(DATE($C761,8,15)&lt;$S$737,AND($T$737&gt;0,DATE($C761,8,15)&gt;$T$737)),0,IF(DATE($C761,8,15)&gt;=$X$737,$AA$737*(1+($U$737)/100)^MAX(0,$C761-$AD$737),IF(DATE($C761,8,15)&gt;=$W$737,$Z$737*(1+($U$737)/100)^MAX(0,$C761-$AC$737),IF(DATE($C761,8,15)&gt;=$V$737,$Y$737*(1+($U$737)/100)^MAX(0,$C761-$AB$737),0)))))</f>
      </c>
      <c r="M761" s="43">
        <f>IF($S$737=0,0,IF(OR(DATE($C761,9,15)&lt;$S$737,AND($T$737&gt;0,DATE($C761,9,15)&gt;$T$737)),0,IF(DATE($C761,9,15)&gt;=$X$737,$AA$737*(1+($U$737)/100)^MAX(0,$C761-$AD$737),IF(DATE($C761,9,15)&gt;=$W$737,$Z$737*(1+($U$737)/100)^MAX(0,$C761-$AC$737),IF(DATE($C761,9,15)&gt;=$V$737,$Y$737*(1+($U$737)/100)^MAX(0,$C761-$AB$737),0)))))</f>
      </c>
      <c r="N761" s="43">
        <f>IF($S$737=0,0,IF(OR(DATE($C761,10,15)&lt;$S$737,AND($T$737&gt;0,DATE($C761,10,15)&gt;$T$737)),0,IF(DATE($C761,10,15)&gt;=$X$737,$AA$737*(1+($U$737)/100)^MAX(0,$C761-$AD$737),IF(DATE($C761,10,15)&gt;=$W$737,$Z$737*(1+($U$737)/100)^MAX(0,$C761-$AC$737),IF(DATE($C761,10,15)&gt;=$V$737,$Y$737*(1+($U$737)/100)^MAX(0,$C761-$AB$737),0)))))</f>
      </c>
      <c r="O761" s="43">
        <f>IF($S$737=0,0,IF(OR(DATE($C761,11,15)&lt;$S$737,AND($T$737&gt;0,DATE($C761,11,15)&gt;$T$737)),0,IF(DATE($C761,11,15)&gt;=$X$737,$AA$737*(1+($U$737)/100)^MAX(0,$C761-$AD$737),IF(DATE($C761,11,15)&gt;=$W$737,$Z$737*(1+($U$737)/100)^MAX(0,$C761-$AC$737),IF(DATE($C761,11,15)&gt;=$V$737,$Y$737*(1+($U$737)/100)^MAX(0,$C761-$AB$737),0)))))</f>
      </c>
      <c r="P761" s="43">
        <f>IF($S$737=0,0,IF(OR(DATE($C761,12,15)&lt;$S$737,AND($T$737&gt;0,DATE($C761,12,15)&gt;$T$737)),0,IF(DATE($C761,12,15)&gt;=$X$737,$AA$737*(1+($U$737)/100)^MAX(0,$C761-$AD$737),IF(DATE($C761,12,15)&gt;=$W$737,$Z$737*(1+($U$737)/100)^MAX(0,$C761-$AC$737),IF(DATE($C761,12,15)&gt;=$V$737,$Y$737*(1+($U$737)/100)^MAX(0,$C761-$AB$737),0)))))</f>
      </c>
      <c r="Q761" s="43">
        <f>SUM($E761:$P761)</f>
      </c>
    </row>
    <row r="762">
      <c r="A762"/>
      <c r="B762">
        <v>24</v>
      </c>
      <c r="C762" s="43">
        <f>Jahr+25</f>
      </c>
      <c r="D762" s="43">
        <f>INDEX(MvObj,24)</f>
      </c>
      <c r="E762" s="43">
        <f>IF($S$737=0,0,IF(OR(DATE($C762,1,15)&lt;$S$737,AND($T$737&gt;0,DATE($C762,1,15)&gt;$T$737)),0,IF(DATE($C762,1,15)&gt;=$X$737,$AA$737*(1+($U$737)/100)^MAX(0,$C762-$AD$737),IF(DATE($C762,1,15)&gt;=$W$737,$Z$737*(1+($U$737)/100)^MAX(0,$C762-$AC$737),IF(DATE($C762,1,15)&gt;=$V$737,$Y$737*(1+($U$737)/100)^MAX(0,$C762-$AB$737),0)))))</f>
      </c>
      <c r="F762" s="43">
        <f>IF($S$737=0,0,IF(OR(DATE($C762,2,15)&lt;$S$737,AND($T$737&gt;0,DATE($C762,2,15)&gt;$T$737)),0,IF(DATE($C762,2,15)&gt;=$X$737,$AA$737*(1+($U$737)/100)^MAX(0,$C762-$AD$737),IF(DATE($C762,2,15)&gt;=$W$737,$Z$737*(1+($U$737)/100)^MAX(0,$C762-$AC$737),IF(DATE($C762,2,15)&gt;=$V$737,$Y$737*(1+($U$737)/100)^MAX(0,$C762-$AB$737),0)))))</f>
      </c>
      <c r="G762" s="43">
        <f>IF($S$737=0,0,IF(OR(DATE($C762,3,15)&lt;$S$737,AND($T$737&gt;0,DATE($C762,3,15)&gt;$T$737)),0,IF(DATE($C762,3,15)&gt;=$X$737,$AA$737*(1+($U$737)/100)^MAX(0,$C762-$AD$737),IF(DATE($C762,3,15)&gt;=$W$737,$Z$737*(1+($U$737)/100)^MAX(0,$C762-$AC$737),IF(DATE($C762,3,15)&gt;=$V$737,$Y$737*(1+($U$737)/100)^MAX(0,$C762-$AB$737),0)))))</f>
      </c>
      <c r="H762" s="43">
        <f>IF($S$737=0,0,IF(OR(DATE($C762,4,15)&lt;$S$737,AND($T$737&gt;0,DATE($C762,4,15)&gt;$T$737)),0,IF(DATE($C762,4,15)&gt;=$X$737,$AA$737*(1+($U$737)/100)^MAX(0,$C762-$AD$737),IF(DATE($C762,4,15)&gt;=$W$737,$Z$737*(1+($U$737)/100)^MAX(0,$C762-$AC$737),IF(DATE($C762,4,15)&gt;=$V$737,$Y$737*(1+($U$737)/100)^MAX(0,$C762-$AB$737),0)))))</f>
      </c>
      <c r="I762" s="43">
        <f>IF($S$737=0,0,IF(OR(DATE($C762,5,15)&lt;$S$737,AND($T$737&gt;0,DATE($C762,5,15)&gt;$T$737)),0,IF(DATE($C762,5,15)&gt;=$X$737,$AA$737*(1+($U$737)/100)^MAX(0,$C762-$AD$737),IF(DATE($C762,5,15)&gt;=$W$737,$Z$737*(1+($U$737)/100)^MAX(0,$C762-$AC$737),IF(DATE($C762,5,15)&gt;=$V$737,$Y$737*(1+($U$737)/100)^MAX(0,$C762-$AB$737),0)))))</f>
      </c>
      <c r="J762" s="43">
        <f>IF($S$737=0,0,IF(OR(DATE($C762,6,15)&lt;$S$737,AND($T$737&gt;0,DATE($C762,6,15)&gt;$T$737)),0,IF(DATE($C762,6,15)&gt;=$X$737,$AA$737*(1+($U$737)/100)^MAX(0,$C762-$AD$737),IF(DATE($C762,6,15)&gt;=$W$737,$Z$737*(1+($U$737)/100)^MAX(0,$C762-$AC$737),IF(DATE($C762,6,15)&gt;=$V$737,$Y$737*(1+($U$737)/100)^MAX(0,$C762-$AB$737),0)))))</f>
      </c>
      <c r="K762" s="43">
        <f>IF($S$737=0,0,IF(OR(DATE($C762,7,15)&lt;$S$737,AND($T$737&gt;0,DATE($C762,7,15)&gt;$T$737)),0,IF(DATE($C762,7,15)&gt;=$X$737,$AA$737*(1+($U$737)/100)^MAX(0,$C762-$AD$737),IF(DATE($C762,7,15)&gt;=$W$737,$Z$737*(1+($U$737)/100)^MAX(0,$C762-$AC$737),IF(DATE($C762,7,15)&gt;=$V$737,$Y$737*(1+($U$737)/100)^MAX(0,$C762-$AB$737),0)))))</f>
      </c>
      <c r="L762" s="43">
        <f>IF($S$737=0,0,IF(OR(DATE($C762,8,15)&lt;$S$737,AND($T$737&gt;0,DATE($C762,8,15)&gt;$T$737)),0,IF(DATE($C762,8,15)&gt;=$X$737,$AA$737*(1+($U$737)/100)^MAX(0,$C762-$AD$737),IF(DATE($C762,8,15)&gt;=$W$737,$Z$737*(1+($U$737)/100)^MAX(0,$C762-$AC$737),IF(DATE($C762,8,15)&gt;=$V$737,$Y$737*(1+($U$737)/100)^MAX(0,$C762-$AB$737),0)))))</f>
      </c>
      <c r="M762" s="43">
        <f>IF($S$737=0,0,IF(OR(DATE($C762,9,15)&lt;$S$737,AND($T$737&gt;0,DATE($C762,9,15)&gt;$T$737)),0,IF(DATE($C762,9,15)&gt;=$X$737,$AA$737*(1+($U$737)/100)^MAX(0,$C762-$AD$737),IF(DATE($C762,9,15)&gt;=$W$737,$Z$737*(1+($U$737)/100)^MAX(0,$C762-$AC$737),IF(DATE($C762,9,15)&gt;=$V$737,$Y$737*(1+($U$737)/100)^MAX(0,$C762-$AB$737),0)))))</f>
      </c>
      <c r="N762" s="43">
        <f>IF($S$737=0,0,IF(OR(DATE($C762,10,15)&lt;$S$737,AND($T$737&gt;0,DATE($C762,10,15)&gt;$T$737)),0,IF(DATE($C762,10,15)&gt;=$X$737,$AA$737*(1+($U$737)/100)^MAX(0,$C762-$AD$737),IF(DATE($C762,10,15)&gt;=$W$737,$Z$737*(1+($U$737)/100)^MAX(0,$C762-$AC$737),IF(DATE($C762,10,15)&gt;=$V$737,$Y$737*(1+($U$737)/100)^MAX(0,$C762-$AB$737),0)))))</f>
      </c>
      <c r="O762" s="43">
        <f>IF($S$737=0,0,IF(OR(DATE($C762,11,15)&lt;$S$737,AND($T$737&gt;0,DATE($C762,11,15)&gt;$T$737)),0,IF(DATE($C762,11,15)&gt;=$X$737,$AA$737*(1+($U$737)/100)^MAX(0,$C762-$AD$737),IF(DATE($C762,11,15)&gt;=$W$737,$Z$737*(1+($U$737)/100)^MAX(0,$C762-$AC$737),IF(DATE($C762,11,15)&gt;=$V$737,$Y$737*(1+($U$737)/100)^MAX(0,$C762-$AB$737),0)))))</f>
      </c>
      <c r="P762" s="43">
        <f>IF($S$737=0,0,IF(OR(DATE($C762,12,15)&lt;$S$737,AND($T$737&gt;0,DATE($C762,12,15)&gt;$T$737)),0,IF(DATE($C762,12,15)&gt;=$X$737,$AA$737*(1+($U$737)/100)^MAX(0,$C762-$AD$737),IF(DATE($C762,12,15)&gt;=$W$737,$Z$737*(1+($U$737)/100)^MAX(0,$C762-$AC$737),IF(DATE($C762,12,15)&gt;=$V$737,$Y$737*(1+($U$737)/100)^MAX(0,$C762-$AB$737),0)))))</f>
      </c>
      <c r="Q762" s="43">
        <f>SUM($E762:$P762)</f>
      </c>
    </row>
    <row r="763">
      <c r="A763"/>
      <c r="B763">
        <v>24</v>
      </c>
      <c r="C763" s="43">
        <f>Jahr+26</f>
      </c>
      <c r="D763" s="43">
        <f>INDEX(MvObj,24)</f>
      </c>
      <c r="E763" s="43">
        <f>IF($S$737=0,0,IF(OR(DATE($C763,1,15)&lt;$S$737,AND($T$737&gt;0,DATE($C763,1,15)&gt;$T$737)),0,IF(DATE($C763,1,15)&gt;=$X$737,$AA$737*(1+($U$737)/100)^MAX(0,$C763-$AD$737),IF(DATE($C763,1,15)&gt;=$W$737,$Z$737*(1+($U$737)/100)^MAX(0,$C763-$AC$737),IF(DATE($C763,1,15)&gt;=$V$737,$Y$737*(1+($U$737)/100)^MAX(0,$C763-$AB$737),0)))))</f>
      </c>
      <c r="F763" s="43">
        <f>IF($S$737=0,0,IF(OR(DATE($C763,2,15)&lt;$S$737,AND($T$737&gt;0,DATE($C763,2,15)&gt;$T$737)),0,IF(DATE($C763,2,15)&gt;=$X$737,$AA$737*(1+($U$737)/100)^MAX(0,$C763-$AD$737),IF(DATE($C763,2,15)&gt;=$W$737,$Z$737*(1+($U$737)/100)^MAX(0,$C763-$AC$737),IF(DATE($C763,2,15)&gt;=$V$737,$Y$737*(1+($U$737)/100)^MAX(0,$C763-$AB$737),0)))))</f>
      </c>
      <c r="G763" s="43">
        <f>IF($S$737=0,0,IF(OR(DATE($C763,3,15)&lt;$S$737,AND($T$737&gt;0,DATE($C763,3,15)&gt;$T$737)),0,IF(DATE($C763,3,15)&gt;=$X$737,$AA$737*(1+($U$737)/100)^MAX(0,$C763-$AD$737),IF(DATE($C763,3,15)&gt;=$W$737,$Z$737*(1+($U$737)/100)^MAX(0,$C763-$AC$737),IF(DATE($C763,3,15)&gt;=$V$737,$Y$737*(1+($U$737)/100)^MAX(0,$C763-$AB$737),0)))))</f>
      </c>
      <c r="H763" s="43">
        <f>IF($S$737=0,0,IF(OR(DATE($C763,4,15)&lt;$S$737,AND($T$737&gt;0,DATE($C763,4,15)&gt;$T$737)),0,IF(DATE($C763,4,15)&gt;=$X$737,$AA$737*(1+($U$737)/100)^MAX(0,$C763-$AD$737),IF(DATE($C763,4,15)&gt;=$W$737,$Z$737*(1+($U$737)/100)^MAX(0,$C763-$AC$737),IF(DATE($C763,4,15)&gt;=$V$737,$Y$737*(1+($U$737)/100)^MAX(0,$C763-$AB$737),0)))))</f>
      </c>
      <c r="I763" s="43">
        <f>IF($S$737=0,0,IF(OR(DATE($C763,5,15)&lt;$S$737,AND($T$737&gt;0,DATE($C763,5,15)&gt;$T$737)),0,IF(DATE($C763,5,15)&gt;=$X$737,$AA$737*(1+($U$737)/100)^MAX(0,$C763-$AD$737),IF(DATE($C763,5,15)&gt;=$W$737,$Z$737*(1+($U$737)/100)^MAX(0,$C763-$AC$737),IF(DATE($C763,5,15)&gt;=$V$737,$Y$737*(1+($U$737)/100)^MAX(0,$C763-$AB$737),0)))))</f>
      </c>
      <c r="J763" s="43">
        <f>IF($S$737=0,0,IF(OR(DATE($C763,6,15)&lt;$S$737,AND($T$737&gt;0,DATE($C763,6,15)&gt;$T$737)),0,IF(DATE($C763,6,15)&gt;=$X$737,$AA$737*(1+($U$737)/100)^MAX(0,$C763-$AD$737),IF(DATE($C763,6,15)&gt;=$W$737,$Z$737*(1+($U$737)/100)^MAX(0,$C763-$AC$737),IF(DATE($C763,6,15)&gt;=$V$737,$Y$737*(1+($U$737)/100)^MAX(0,$C763-$AB$737),0)))))</f>
      </c>
      <c r="K763" s="43">
        <f>IF($S$737=0,0,IF(OR(DATE($C763,7,15)&lt;$S$737,AND($T$737&gt;0,DATE($C763,7,15)&gt;$T$737)),0,IF(DATE($C763,7,15)&gt;=$X$737,$AA$737*(1+($U$737)/100)^MAX(0,$C763-$AD$737),IF(DATE($C763,7,15)&gt;=$W$737,$Z$737*(1+($U$737)/100)^MAX(0,$C763-$AC$737),IF(DATE($C763,7,15)&gt;=$V$737,$Y$737*(1+($U$737)/100)^MAX(0,$C763-$AB$737),0)))))</f>
      </c>
      <c r="L763" s="43">
        <f>IF($S$737=0,0,IF(OR(DATE($C763,8,15)&lt;$S$737,AND($T$737&gt;0,DATE($C763,8,15)&gt;$T$737)),0,IF(DATE($C763,8,15)&gt;=$X$737,$AA$737*(1+($U$737)/100)^MAX(0,$C763-$AD$737),IF(DATE($C763,8,15)&gt;=$W$737,$Z$737*(1+($U$737)/100)^MAX(0,$C763-$AC$737),IF(DATE($C763,8,15)&gt;=$V$737,$Y$737*(1+($U$737)/100)^MAX(0,$C763-$AB$737),0)))))</f>
      </c>
      <c r="M763" s="43">
        <f>IF($S$737=0,0,IF(OR(DATE($C763,9,15)&lt;$S$737,AND($T$737&gt;0,DATE($C763,9,15)&gt;$T$737)),0,IF(DATE($C763,9,15)&gt;=$X$737,$AA$737*(1+($U$737)/100)^MAX(0,$C763-$AD$737),IF(DATE($C763,9,15)&gt;=$W$737,$Z$737*(1+($U$737)/100)^MAX(0,$C763-$AC$737),IF(DATE($C763,9,15)&gt;=$V$737,$Y$737*(1+($U$737)/100)^MAX(0,$C763-$AB$737),0)))))</f>
      </c>
      <c r="N763" s="43">
        <f>IF($S$737=0,0,IF(OR(DATE($C763,10,15)&lt;$S$737,AND($T$737&gt;0,DATE($C763,10,15)&gt;$T$737)),0,IF(DATE($C763,10,15)&gt;=$X$737,$AA$737*(1+($U$737)/100)^MAX(0,$C763-$AD$737),IF(DATE($C763,10,15)&gt;=$W$737,$Z$737*(1+($U$737)/100)^MAX(0,$C763-$AC$737),IF(DATE($C763,10,15)&gt;=$V$737,$Y$737*(1+($U$737)/100)^MAX(0,$C763-$AB$737),0)))))</f>
      </c>
      <c r="O763" s="43">
        <f>IF($S$737=0,0,IF(OR(DATE($C763,11,15)&lt;$S$737,AND($T$737&gt;0,DATE($C763,11,15)&gt;$T$737)),0,IF(DATE($C763,11,15)&gt;=$X$737,$AA$737*(1+($U$737)/100)^MAX(0,$C763-$AD$737),IF(DATE($C763,11,15)&gt;=$W$737,$Z$737*(1+($U$737)/100)^MAX(0,$C763-$AC$737),IF(DATE($C763,11,15)&gt;=$V$737,$Y$737*(1+($U$737)/100)^MAX(0,$C763-$AB$737),0)))))</f>
      </c>
      <c r="P763" s="43">
        <f>IF($S$737=0,0,IF(OR(DATE($C763,12,15)&lt;$S$737,AND($T$737&gt;0,DATE($C763,12,15)&gt;$T$737)),0,IF(DATE($C763,12,15)&gt;=$X$737,$AA$737*(1+($U$737)/100)^MAX(0,$C763-$AD$737),IF(DATE($C763,12,15)&gt;=$W$737,$Z$737*(1+($U$737)/100)^MAX(0,$C763-$AC$737),IF(DATE($C763,12,15)&gt;=$V$737,$Y$737*(1+($U$737)/100)^MAX(0,$C763-$AB$737),0)))))</f>
      </c>
      <c r="Q763" s="43">
        <f>SUM($E763:$P763)</f>
      </c>
    </row>
    <row r="764">
      <c r="A764"/>
      <c r="B764">
        <v>24</v>
      </c>
      <c r="C764" s="43">
        <f>Jahr+27</f>
      </c>
      <c r="D764" s="43">
        <f>INDEX(MvObj,24)</f>
      </c>
      <c r="E764" s="43">
        <f>IF($S$737=0,0,IF(OR(DATE($C764,1,15)&lt;$S$737,AND($T$737&gt;0,DATE($C764,1,15)&gt;$T$737)),0,IF(DATE($C764,1,15)&gt;=$X$737,$AA$737*(1+($U$737)/100)^MAX(0,$C764-$AD$737),IF(DATE($C764,1,15)&gt;=$W$737,$Z$737*(1+($U$737)/100)^MAX(0,$C764-$AC$737),IF(DATE($C764,1,15)&gt;=$V$737,$Y$737*(1+($U$737)/100)^MAX(0,$C764-$AB$737),0)))))</f>
      </c>
      <c r="F764" s="43">
        <f>IF($S$737=0,0,IF(OR(DATE($C764,2,15)&lt;$S$737,AND($T$737&gt;0,DATE($C764,2,15)&gt;$T$737)),0,IF(DATE($C764,2,15)&gt;=$X$737,$AA$737*(1+($U$737)/100)^MAX(0,$C764-$AD$737),IF(DATE($C764,2,15)&gt;=$W$737,$Z$737*(1+($U$737)/100)^MAX(0,$C764-$AC$737),IF(DATE($C764,2,15)&gt;=$V$737,$Y$737*(1+($U$737)/100)^MAX(0,$C764-$AB$737),0)))))</f>
      </c>
      <c r="G764" s="43">
        <f>IF($S$737=0,0,IF(OR(DATE($C764,3,15)&lt;$S$737,AND($T$737&gt;0,DATE($C764,3,15)&gt;$T$737)),0,IF(DATE($C764,3,15)&gt;=$X$737,$AA$737*(1+($U$737)/100)^MAX(0,$C764-$AD$737),IF(DATE($C764,3,15)&gt;=$W$737,$Z$737*(1+($U$737)/100)^MAX(0,$C764-$AC$737),IF(DATE($C764,3,15)&gt;=$V$737,$Y$737*(1+($U$737)/100)^MAX(0,$C764-$AB$737),0)))))</f>
      </c>
      <c r="H764" s="43">
        <f>IF($S$737=0,0,IF(OR(DATE($C764,4,15)&lt;$S$737,AND($T$737&gt;0,DATE($C764,4,15)&gt;$T$737)),0,IF(DATE($C764,4,15)&gt;=$X$737,$AA$737*(1+($U$737)/100)^MAX(0,$C764-$AD$737),IF(DATE($C764,4,15)&gt;=$W$737,$Z$737*(1+($U$737)/100)^MAX(0,$C764-$AC$737),IF(DATE($C764,4,15)&gt;=$V$737,$Y$737*(1+($U$737)/100)^MAX(0,$C764-$AB$737),0)))))</f>
      </c>
      <c r="I764" s="43">
        <f>IF($S$737=0,0,IF(OR(DATE($C764,5,15)&lt;$S$737,AND($T$737&gt;0,DATE($C764,5,15)&gt;$T$737)),0,IF(DATE($C764,5,15)&gt;=$X$737,$AA$737*(1+($U$737)/100)^MAX(0,$C764-$AD$737),IF(DATE($C764,5,15)&gt;=$W$737,$Z$737*(1+($U$737)/100)^MAX(0,$C764-$AC$737),IF(DATE($C764,5,15)&gt;=$V$737,$Y$737*(1+($U$737)/100)^MAX(0,$C764-$AB$737),0)))))</f>
      </c>
      <c r="J764" s="43">
        <f>IF($S$737=0,0,IF(OR(DATE($C764,6,15)&lt;$S$737,AND($T$737&gt;0,DATE($C764,6,15)&gt;$T$737)),0,IF(DATE($C764,6,15)&gt;=$X$737,$AA$737*(1+($U$737)/100)^MAX(0,$C764-$AD$737),IF(DATE($C764,6,15)&gt;=$W$737,$Z$737*(1+($U$737)/100)^MAX(0,$C764-$AC$737),IF(DATE($C764,6,15)&gt;=$V$737,$Y$737*(1+($U$737)/100)^MAX(0,$C764-$AB$737),0)))))</f>
      </c>
      <c r="K764" s="43">
        <f>IF($S$737=0,0,IF(OR(DATE($C764,7,15)&lt;$S$737,AND($T$737&gt;0,DATE($C764,7,15)&gt;$T$737)),0,IF(DATE($C764,7,15)&gt;=$X$737,$AA$737*(1+($U$737)/100)^MAX(0,$C764-$AD$737),IF(DATE($C764,7,15)&gt;=$W$737,$Z$737*(1+($U$737)/100)^MAX(0,$C764-$AC$737),IF(DATE($C764,7,15)&gt;=$V$737,$Y$737*(1+($U$737)/100)^MAX(0,$C764-$AB$737),0)))))</f>
      </c>
      <c r="L764" s="43">
        <f>IF($S$737=0,0,IF(OR(DATE($C764,8,15)&lt;$S$737,AND($T$737&gt;0,DATE($C764,8,15)&gt;$T$737)),0,IF(DATE($C764,8,15)&gt;=$X$737,$AA$737*(1+($U$737)/100)^MAX(0,$C764-$AD$737),IF(DATE($C764,8,15)&gt;=$W$737,$Z$737*(1+($U$737)/100)^MAX(0,$C764-$AC$737),IF(DATE($C764,8,15)&gt;=$V$737,$Y$737*(1+($U$737)/100)^MAX(0,$C764-$AB$737),0)))))</f>
      </c>
      <c r="M764" s="43">
        <f>IF($S$737=0,0,IF(OR(DATE($C764,9,15)&lt;$S$737,AND($T$737&gt;0,DATE($C764,9,15)&gt;$T$737)),0,IF(DATE($C764,9,15)&gt;=$X$737,$AA$737*(1+($U$737)/100)^MAX(0,$C764-$AD$737),IF(DATE($C764,9,15)&gt;=$W$737,$Z$737*(1+($U$737)/100)^MAX(0,$C764-$AC$737),IF(DATE($C764,9,15)&gt;=$V$737,$Y$737*(1+($U$737)/100)^MAX(0,$C764-$AB$737),0)))))</f>
      </c>
      <c r="N764" s="43">
        <f>IF($S$737=0,0,IF(OR(DATE($C764,10,15)&lt;$S$737,AND($T$737&gt;0,DATE($C764,10,15)&gt;$T$737)),0,IF(DATE($C764,10,15)&gt;=$X$737,$AA$737*(1+($U$737)/100)^MAX(0,$C764-$AD$737),IF(DATE($C764,10,15)&gt;=$W$737,$Z$737*(1+($U$737)/100)^MAX(0,$C764-$AC$737),IF(DATE($C764,10,15)&gt;=$V$737,$Y$737*(1+($U$737)/100)^MAX(0,$C764-$AB$737),0)))))</f>
      </c>
      <c r="O764" s="43">
        <f>IF($S$737=0,0,IF(OR(DATE($C764,11,15)&lt;$S$737,AND($T$737&gt;0,DATE($C764,11,15)&gt;$T$737)),0,IF(DATE($C764,11,15)&gt;=$X$737,$AA$737*(1+($U$737)/100)^MAX(0,$C764-$AD$737),IF(DATE($C764,11,15)&gt;=$W$737,$Z$737*(1+($U$737)/100)^MAX(0,$C764-$AC$737),IF(DATE($C764,11,15)&gt;=$V$737,$Y$737*(1+($U$737)/100)^MAX(0,$C764-$AB$737),0)))))</f>
      </c>
      <c r="P764" s="43">
        <f>IF($S$737=0,0,IF(OR(DATE($C764,12,15)&lt;$S$737,AND($T$737&gt;0,DATE($C764,12,15)&gt;$T$737)),0,IF(DATE($C764,12,15)&gt;=$X$737,$AA$737*(1+($U$737)/100)^MAX(0,$C764-$AD$737),IF(DATE($C764,12,15)&gt;=$W$737,$Z$737*(1+($U$737)/100)^MAX(0,$C764-$AC$737),IF(DATE($C764,12,15)&gt;=$V$737,$Y$737*(1+($U$737)/100)^MAX(0,$C764-$AB$737),0)))))</f>
      </c>
      <c r="Q764" s="43">
        <f>SUM($E764:$P764)</f>
      </c>
    </row>
    <row r="765">
      <c r="A765"/>
      <c r="B765">
        <v>24</v>
      </c>
      <c r="C765" s="43">
        <f>Jahr+28</f>
      </c>
      <c r="D765" s="43">
        <f>INDEX(MvObj,24)</f>
      </c>
      <c r="E765" s="43">
        <f>IF($S$737=0,0,IF(OR(DATE($C765,1,15)&lt;$S$737,AND($T$737&gt;0,DATE($C765,1,15)&gt;$T$737)),0,IF(DATE($C765,1,15)&gt;=$X$737,$AA$737*(1+($U$737)/100)^MAX(0,$C765-$AD$737),IF(DATE($C765,1,15)&gt;=$W$737,$Z$737*(1+($U$737)/100)^MAX(0,$C765-$AC$737),IF(DATE($C765,1,15)&gt;=$V$737,$Y$737*(1+($U$737)/100)^MAX(0,$C765-$AB$737),0)))))</f>
      </c>
      <c r="F765" s="43">
        <f>IF($S$737=0,0,IF(OR(DATE($C765,2,15)&lt;$S$737,AND($T$737&gt;0,DATE($C765,2,15)&gt;$T$737)),0,IF(DATE($C765,2,15)&gt;=$X$737,$AA$737*(1+($U$737)/100)^MAX(0,$C765-$AD$737),IF(DATE($C765,2,15)&gt;=$W$737,$Z$737*(1+($U$737)/100)^MAX(0,$C765-$AC$737),IF(DATE($C765,2,15)&gt;=$V$737,$Y$737*(1+($U$737)/100)^MAX(0,$C765-$AB$737),0)))))</f>
      </c>
      <c r="G765" s="43">
        <f>IF($S$737=0,0,IF(OR(DATE($C765,3,15)&lt;$S$737,AND($T$737&gt;0,DATE($C765,3,15)&gt;$T$737)),0,IF(DATE($C765,3,15)&gt;=$X$737,$AA$737*(1+($U$737)/100)^MAX(0,$C765-$AD$737),IF(DATE($C765,3,15)&gt;=$W$737,$Z$737*(1+($U$737)/100)^MAX(0,$C765-$AC$737),IF(DATE($C765,3,15)&gt;=$V$737,$Y$737*(1+($U$737)/100)^MAX(0,$C765-$AB$737),0)))))</f>
      </c>
      <c r="H765" s="43">
        <f>IF($S$737=0,0,IF(OR(DATE($C765,4,15)&lt;$S$737,AND($T$737&gt;0,DATE($C765,4,15)&gt;$T$737)),0,IF(DATE($C765,4,15)&gt;=$X$737,$AA$737*(1+($U$737)/100)^MAX(0,$C765-$AD$737),IF(DATE($C765,4,15)&gt;=$W$737,$Z$737*(1+($U$737)/100)^MAX(0,$C765-$AC$737),IF(DATE($C765,4,15)&gt;=$V$737,$Y$737*(1+($U$737)/100)^MAX(0,$C765-$AB$737),0)))))</f>
      </c>
      <c r="I765" s="43">
        <f>IF($S$737=0,0,IF(OR(DATE($C765,5,15)&lt;$S$737,AND($T$737&gt;0,DATE($C765,5,15)&gt;$T$737)),0,IF(DATE($C765,5,15)&gt;=$X$737,$AA$737*(1+($U$737)/100)^MAX(0,$C765-$AD$737),IF(DATE($C765,5,15)&gt;=$W$737,$Z$737*(1+($U$737)/100)^MAX(0,$C765-$AC$737),IF(DATE($C765,5,15)&gt;=$V$737,$Y$737*(1+($U$737)/100)^MAX(0,$C765-$AB$737),0)))))</f>
      </c>
      <c r="J765" s="43">
        <f>IF($S$737=0,0,IF(OR(DATE($C765,6,15)&lt;$S$737,AND($T$737&gt;0,DATE($C765,6,15)&gt;$T$737)),0,IF(DATE($C765,6,15)&gt;=$X$737,$AA$737*(1+($U$737)/100)^MAX(0,$C765-$AD$737),IF(DATE($C765,6,15)&gt;=$W$737,$Z$737*(1+($U$737)/100)^MAX(0,$C765-$AC$737),IF(DATE($C765,6,15)&gt;=$V$737,$Y$737*(1+($U$737)/100)^MAX(0,$C765-$AB$737),0)))))</f>
      </c>
      <c r="K765" s="43">
        <f>IF($S$737=0,0,IF(OR(DATE($C765,7,15)&lt;$S$737,AND($T$737&gt;0,DATE($C765,7,15)&gt;$T$737)),0,IF(DATE($C765,7,15)&gt;=$X$737,$AA$737*(1+($U$737)/100)^MAX(0,$C765-$AD$737),IF(DATE($C765,7,15)&gt;=$W$737,$Z$737*(1+($U$737)/100)^MAX(0,$C765-$AC$737),IF(DATE($C765,7,15)&gt;=$V$737,$Y$737*(1+($U$737)/100)^MAX(0,$C765-$AB$737),0)))))</f>
      </c>
      <c r="L765" s="43">
        <f>IF($S$737=0,0,IF(OR(DATE($C765,8,15)&lt;$S$737,AND($T$737&gt;0,DATE($C765,8,15)&gt;$T$737)),0,IF(DATE($C765,8,15)&gt;=$X$737,$AA$737*(1+($U$737)/100)^MAX(0,$C765-$AD$737),IF(DATE($C765,8,15)&gt;=$W$737,$Z$737*(1+($U$737)/100)^MAX(0,$C765-$AC$737),IF(DATE($C765,8,15)&gt;=$V$737,$Y$737*(1+($U$737)/100)^MAX(0,$C765-$AB$737),0)))))</f>
      </c>
      <c r="M765" s="43">
        <f>IF($S$737=0,0,IF(OR(DATE($C765,9,15)&lt;$S$737,AND($T$737&gt;0,DATE($C765,9,15)&gt;$T$737)),0,IF(DATE($C765,9,15)&gt;=$X$737,$AA$737*(1+($U$737)/100)^MAX(0,$C765-$AD$737),IF(DATE($C765,9,15)&gt;=$W$737,$Z$737*(1+($U$737)/100)^MAX(0,$C765-$AC$737),IF(DATE($C765,9,15)&gt;=$V$737,$Y$737*(1+($U$737)/100)^MAX(0,$C765-$AB$737),0)))))</f>
      </c>
      <c r="N765" s="43">
        <f>IF($S$737=0,0,IF(OR(DATE($C765,10,15)&lt;$S$737,AND($T$737&gt;0,DATE($C765,10,15)&gt;$T$737)),0,IF(DATE($C765,10,15)&gt;=$X$737,$AA$737*(1+($U$737)/100)^MAX(0,$C765-$AD$737),IF(DATE($C765,10,15)&gt;=$W$737,$Z$737*(1+($U$737)/100)^MAX(0,$C765-$AC$737),IF(DATE($C765,10,15)&gt;=$V$737,$Y$737*(1+($U$737)/100)^MAX(0,$C765-$AB$737),0)))))</f>
      </c>
      <c r="O765" s="43">
        <f>IF($S$737=0,0,IF(OR(DATE($C765,11,15)&lt;$S$737,AND($T$737&gt;0,DATE($C765,11,15)&gt;$T$737)),0,IF(DATE($C765,11,15)&gt;=$X$737,$AA$737*(1+($U$737)/100)^MAX(0,$C765-$AD$737),IF(DATE($C765,11,15)&gt;=$W$737,$Z$737*(1+($U$737)/100)^MAX(0,$C765-$AC$737),IF(DATE($C765,11,15)&gt;=$V$737,$Y$737*(1+($U$737)/100)^MAX(0,$C765-$AB$737),0)))))</f>
      </c>
      <c r="P765" s="43">
        <f>IF($S$737=0,0,IF(OR(DATE($C765,12,15)&lt;$S$737,AND($T$737&gt;0,DATE($C765,12,15)&gt;$T$737)),0,IF(DATE($C765,12,15)&gt;=$X$737,$AA$737*(1+($U$737)/100)^MAX(0,$C765-$AD$737),IF(DATE($C765,12,15)&gt;=$W$737,$Z$737*(1+($U$737)/100)^MAX(0,$C765-$AC$737),IF(DATE($C765,12,15)&gt;=$V$737,$Y$737*(1+($U$737)/100)^MAX(0,$C765-$AB$737),0)))))</f>
      </c>
      <c r="Q765" s="43">
        <f>SUM($E765:$P765)</f>
      </c>
    </row>
    <row r="766">
      <c r="A766"/>
      <c r="B766">
        <v>24</v>
      </c>
      <c r="C766" s="43">
        <f>Jahr+29</f>
      </c>
      <c r="D766" s="43">
        <f>INDEX(MvObj,24)</f>
      </c>
      <c r="E766" s="43">
        <f>IF($S$737=0,0,IF(OR(DATE($C766,1,15)&lt;$S$737,AND($T$737&gt;0,DATE($C766,1,15)&gt;$T$737)),0,IF(DATE($C766,1,15)&gt;=$X$737,$AA$737*(1+($U$737)/100)^MAX(0,$C766-$AD$737),IF(DATE($C766,1,15)&gt;=$W$737,$Z$737*(1+($U$737)/100)^MAX(0,$C766-$AC$737),IF(DATE($C766,1,15)&gt;=$V$737,$Y$737*(1+($U$737)/100)^MAX(0,$C766-$AB$737),0)))))</f>
      </c>
      <c r="F766" s="43">
        <f>IF($S$737=0,0,IF(OR(DATE($C766,2,15)&lt;$S$737,AND($T$737&gt;0,DATE($C766,2,15)&gt;$T$737)),0,IF(DATE($C766,2,15)&gt;=$X$737,$AA$737*(1+($U$737)/100)^MAX(0,$C766-$AD$737),IF(DATE($C766,2,15)&gt;=$W$737,$Z$737*(1+($U$737)/100)^MAX(0,$C766-$AC$737),IF(DATE($C766,2,15)&gt;=$V$737,$Y$737*(1+($U$737)/100)^MAX(0,$C766-$AB$737),0)))))</f>
      </c>
      <c r="G766" s="43">
        <f>IF($S$737=0,0,IF(OR(DATE($C766,3,15)&lt;$S$737,AND($T$737&gt;0,DATE($C766,3,15)&gt;$T$737)),0,IF(DATE($C766,3,15)&gt;=$X$737,$AA$737*(1+($U$737)/100)^MAX(0,$C766-$AD$737),IF(DATE($C766,3,15)&gt;=$W$737,$Z$737*(1+($U$737)/100)^MAX(0,$C766-$AC$737),IF(DATE($C766,3,15)&gt;=$V$737,$Y$737*(1+($U$737)/100)^MAX(0,$C766-$AB$737),0)))))</f>
      </c>
      <c r="H766" s="43">
        <f>IF($S$737=0,0,IF(OR(DATE($C766,4,15)&lt;$S$737,AND($T$737&gt;0,DATE($C766,4,15)&gt;$T$737)),0,IF(DATE($C766,4,15)&gt;=$X$737,$AA$737*(1+($U$737)/100)^MAX(0,$C766-$AD$737),IF(DATE($C766,4,15)&gt;=$W$737,$Z$737*(1+($U$737)/100)^MAX(0,$C766-$AC$737),IF(DATE($C766,4,15)&gt;=$V$737,$Y$737*(1+($U$737)/100)^MAX(0,$C766-$AB$737),0)))))</f>
      </c>
      <c r="I766" s="43">
        <f>IF($S$737=0,0,IF(OR(DATE($C766,5,15)&lt;$S$737,AND($T$737&gt;0,DATE($C766,5,15)&gt;$T$737)),0,IF(DATE($C766,5,15)&gt;=$X$737,$AA$737*(1+($U$737)/100)^MAX(0,$C766-$AD$737),IF(DATE($C766,5,15)&gt;=$W$737,$Z$737*(1+($U$737)/100)^MAX(0,$C766-$AC$737),IF(DATE($C766,5,15)&gt;=$V$737,$Y$737*(1+($U$737)/100)^MAX(0,$C766-$AB$737),0)))))</f>
      </c>
      <c r="J766" s="43">
        <f>IF($S$737=0,0,IF(OR(DATE($C766,6,15)&lt;$S$737,AND($T$737&gt;0,DATE($C766,6,15)&gt;$T$737)),0,IF(DATE($C766,6,15)&gt;=$X$737,$AA$737*(1+($U$737)/100)^MAX(0,$C766-$AD$737),IF(DATE($C766,6,15)&gt;=$W$737,$Z$737*(1+($U$737)/100)^MAX(0,$C766-$AC$737),IF(DATE($C766,6,15)&gt;=$V$737,$Y$737*(1+($U$737)/100)^MAX(0,$C766-$AB$737),0)))))</f>
      </c>
      <c r="K766" s="43">
        <f>IF($S$737=0,0,IF(OR(DATE($C766,7,15)&lt;$S$737,AND($T$737&gt;0,DATE($C766,7,15)&gt;$T$737)),0,IF(DATE($C766,7,15)&gt;=$X$737,$AA$737*(1+($U$737)/100)^MAX(0,$C766-$AD$737),IF(DATE($C766,7,15)&gt;=$W$737,$Z$737*(1+($U$737)/100)^MAX(0,$C766-$AC$737),IF(DATE($C766,7,15)&gt;=$V$737,$Y$737*(1+($U$737)/100)^MAX(0,$C766-$AB$737),0)))))</f>
      </c>
      <c r="L766" s="43">
        <f>IF($S$737=0,0,IF(OR(DATE($C766,8,15)&lt;$S$737,AND($T$737&gt;0,DATE($C766,8,15)&gt;$T$737)),0,IF(DATE($C766,8,15)&gt;=$X$737,$AA$737*(1+($U$737)/100)^MAX(0,$C766-$AD$737),IF(DATE($C766,8,15)&gt;=$W$737,$Z$737*(1+($U$737)/100)^MAX(0,$C766-$AC$737),IF(DATE($C766,8,15)&gt;=$V$737,$Y$737*(1+($U$737)/100)^MAX(0,$C766-$AB$737),0)))))</f>
      </c>
      <c r="M766" s="43">
        <f>IF($S$737=0,0,IF(OR(DATE($C766,9,15)&lt;$S$737,AND($T$737&gt;0,DATE($C766,9,15)&gt;$T$737)),0,IF(DATE($C766,9,15)&gt;=$X$737,$AA$737*(1+($U$737)/100)^MAX(0,$C766-$AD$737),IF(DATE($C766,9,15)&gt;=$W$737,$Z$737*(1+($U$737)/100)^MAX(0,$C766-$AC$737),IF(DATE($C766,9,15)&gt;=$V$737,$Y$737*(1+($U$737)/100)^MAX(0,$C766-$AB$737),0)))))</f>
      </c>
      <c r="N766" s="43">
        <f>IF($S$737=0,0,IF(OR(DATE($C766,10,15)&lt;$S$737,AND($T$737&gt;0,DATE($C766,10,15)&gt;$T$737)),0,IF(DATE($C766,10,15)&gt;=$X$737,$AA$737*(1+($U$737)/100)^MAX(0,$C766-$AD$737),IF(DATE($C766,10,15)&gt;=$W$737,$Z$737*(1+($U$737)/100)^MAX(0,$C766-$AC$737),IF(DATE($C766,10,15)&gt;=$V$737,$Y$737*(1+($U$737)/100)^MAX(0,$C766-$AB$737),0)))))</f>
      </c>
      <c r="O766" s="43">
        <f>IF($S$737=0,0,IF(OR(DATE($C766,11,15)&lt;$S$737,AND($T$737&gt;0,DATE($C766,11,15)&gt;$T$737)),0,IF(DATE($C766,11,15)&gt;=$X$737,$AA$737*(1+($U$737)/100)^MAX(0,$C766-$AD$737),IF(DATE($C766,11,15)&gt;=$W$737,$Z$737*(1+($U$737)/100)^MAX(0,$C766-$AC$737),IF(DATE($C766,11,15)&gt;=$V$737,$Y$737*(1+($U$737)/100)^MAX(0,$C766-$AB$737),0)))))</f>
      </c>
      <c r="P766" s="43">
        <f>IF($S$737=0,0,IF(OR(DATE($C766,12,15)&lt;$S$737,AND($T$737&gt;0,DATE($C766,12,15)&gt;$T$737)),0,IF(DATE($C766,12,15)&gt;=$X$737,$AA$737*(1+($U$737)/100)^MAX(0,$C766-$AD$737),IF(DATE($C766,12,15)&gt;=$W$737,$Z$737*(1+($U$737)/100)^MAX(0,$C766-$AC$737),IF(DATE($C766,12,15)&gt;=$V$737,$Y$737*(1+($U$737)/100)^MAX(0,$C766-$AB$737),0)))))</f>
      </c>
      <c r="Q766" s="43">
        <f>SUM($E766:$P766)</f>
      </c>
    </row>
    <row r="767">
      <c r="A767"/>
      <c r="B767">
        <v>24</v>
      </c>
      <c r="C767" s="43">
        <f>Jahr+30</f>
      </c>
      <c r="D767" s="43">
        <f>INDEX(MvObj,24)</f>
      </c>
      <c r="E767" s="43">
        <f>IF($S$737=0,0,IF(OR(DATE($C767,1,15)&lt;$S$737,AND($T$737&gt;0,DATE($C767,1,15)&gt;$T$737)),0,IF(DATE($C767,1,15)&gt;=$X$737,$AA$737*(1+($U$737)/100)^MAX(0,$C767-$AD$737),IF(DATE($C767,1,15)&gt;=$W$737,$Z$737*(1+($U$737)/100)^MAX(0,$C767-$AC$737),IF(DATE($C767,1,15)&gt;=$V$737,$Y$737*(1+($U$737)/100)^MAX(0,$C767-$AB$737),0)))))</f>
      </c>
      <c r="F767" s="43">
        <f>IF($S$737=0,0,IF(OR(DATE($C767,2,15)&lt;$S$737,AND($T$737&gt;0,DATE($C767,2,15)&gt;$T$737)),0,IF(DATE($C767,2,15)&gt;=$X$737,$AA$737*(1+($U$737)/100)^MAX(0,$C767-$AD$737),IF(DATE($C767,2,15)&gt;=$W$737,$Z$737*(1+($U$737)/100)^MAX(0,$C767-$AC$737),IF(DATE($C767,2,15)&gt;=$V$737,$Y$737*(1+($U$737)/100)^MAX(0,$C767-$AB$737),0)))))</f>
      </c>
      <c r="G767" s="43">
        <f>IF($S$737=0,0,IF(OR(DATE($C767,3,15)&lt;$S$737,AND($T$737&gt;0,DATE($C767,3,15)&gt;$T$737)),0,IF(DATE($C767,3,15)&gt;=$X$737,$AA$737*(1+($U$737)/100)^MAX(0,$C767-$AD$737),IF(DATE($C767,3,15)&gt;=$W$737,$Z$737*(1+($U$737)/100)^MAX(0,$C767-$AC$737),IF(DATE($C767,3,15)&gt;=$V$737,$Y$737*(1+($U$737)/100)^MAX(0,$C767-$AB$737),0)))))</f>
      </c>
      <c r="H767" s="43">
        <f>IF($S$737=0,0,IF(OR(DATE($C767,4,15)&lt;$S$737,AND($T$737&gt;0,DATE($C767,4,15)&gt;$T$737)),0,IF(DATE($C767,4,15)&gt;=$X$737,$AA$737*(1+($U$737)/100)^MAX(0,$C767-$AD$737),IF(DATE($C767,4,15)&gt;=$W$737,$Z$737*(1+($U$737)/100)^MAX(0,$C767-$AC$737),IF(DATE($C767,4,15)&gt;=$V$737,$Y$737*(1+($U$737)/100)^MAX(0,$C767-$AB$737),0)))))</f>
      </c>
      <c r="I767" s="43">
        <f>IF($S$737=0,0,IF(OR(DATE($C767,5,15)&lt;$S$737,AND($T$737&gt;0,DATE($C767,5,15)&gt;$T$737)),0,IF(DATE($C767,5,15)&gt;=$X$737,$AA$737*(1+($U$737)/100)^MAX(0,$C767-$AD$737),IF(DATE($C767,5,15)&gt;=$W$737,$Z$737*(1+($U$737)/100)^MAX(0,$C767-$AC$737),IF(DATE($C767,5,15)&gt;=$V$737,$Y$737*(1+($U$737)/100)^MAX(0,$C767-$AB$737),0)))))</f>
      </c>
      <c r="J767" s="43">
        <f>IF($S$737=0,0,IF(OR(DATE($C767,6,15)&lt;$S$737,AND($T$737&gt;0,DATE($C767,6,15)&gt;$T$737)),0,IF(DATE($C767,6,15)&gt;=$X$737,$AA$737*(1+($U$737)/100)^MAX(0,$C767-$AD$737),IF(DATE($C767,6,15)&gt;=$W$737,$Z$737*(1+($U$737)/100)^MAX(0,$C767-$AC$737),IF(DATE($C767,6,15)&gt;=$V$737,$Y$737*(1+($U$737)/100)^MAX(0,$C767-$AB$737),0)))))</f>
      </c>
      <c r="K767" s="43">
        <f>IF($S$737=0,0,IF(OR(DATE($C767,7,15)&lt;$S$737,AND($T$737&gt;0,DATE($C767,7,15)&gt;$T$737)),0,IF(DATE($C767,7,15)&gt;=$X$737,$AA$737*(1+($U$737)/100)^MAX(0,$C767-$AD$737),IF(DATE($C767,7,15)&gt;=$W$737,$Z$737*(1+($U$737)/100)^MAX(0,$C767-$AC$737),IF(DATE($C767,7,15)&gt;=$V$737,$Y$737*(1+($U$737)/100)^MAX(0,$C767-$AB$737),0)))))</f>
      </c>
      <c r="L767" s="43">
        <f>IF($S$737=0,0,IF(OR(DATE($C767,8,15)&lt;$S$737,AND($T$737&gt;0,DATE($C767,8,15)&gt;$T$737)),0,IF(DATE($C767,8,15)&gt;=$X$737,$AA$737*(1+($U$737)/100)^MAX(0,$C767-$AD$737),IF(DATE($C767,8,15)&gt;=$W$737,$Z$737*(1+($U$737)/100)^MAX(0,$C767-$AC$737),IF(DATE($C767,8,15)&gt;=$V$737,$Y$737*(1+($U$737)/100)^MAX(0,$C767-$AB$737),0)))))</f>
      </c>
      <c r="M767" s="43">
        <f>IF($S$737=0,0,IF(OR(DATE($C767,9,15)&lt;$S$737,AND($T$737&gt;0,DATE($C767,9,15)&gt;$T$737)),0,IF(DATE($C767,9,15)&gt;=$X$737,$AA$737*(1+($U$737)/100)^MAX(0,$C767-$AD$737),IF(DATE($C767,9,15)&gt;=$W$737,$Z$737*(1+($U$737)/100)^MAX(0,$C767-$AC$737),IF(DATE($C767,9,15)&gt;=$V$737,$Y$737*(1+($U$737)/100)^MAX(0,$C767-$AB$737),0)))))</f>
      </c>
      <c r="N767" s="43">
        <f>IF($S$737=0,0,IF(OR(DATE($C767,10,15)&lt;$S$737,AND($T$737&gt;0,DATE($C767,10,15)&gt;$T$737)),0,IF(DATE($C767,10,15)&gt;=$X$737,$AA$737*(1+($U$737)/100)^MAX(0,$C767-$AD$737),IF(DATE($C767,10,15)&gt;=$W$737,$Z$737*(1+($U$737)/100)^MAX(0,$C767-$AC$737),IF(DATE($C767,10,15)&gt;=$V$737,$Y$737*(1+($U$737)/100)^MAX(0,$C767-$AB$737),0)))))</f>
      </c>
      <c r="O767" s="43">
        <f>IF($S$737=0,0,IF(OR(DATE($C767,11,15)&lt;$S$737,AND($T$737&gt;0,DATE($C767,11,15)&gt;$T$737)),0,IF(DATE($C767,11,15)&gt;=$X$737,$AA$737*(1+($U$737)/100)^MAX(0,$C767-$AD$737),IF(DATE($C767,11,15)&gt;=$W$737,$Z$737*(1+($U$737)/100)^MAX(0,$C767-$AC$737),IF(DATE($C767,11,15)&gt;=$V$737,$Y$737*(1+($U$737)/100)^MAX(0,$C767-$AB$737),0)))))</f>
      </c>
      <c r="P767" s="43">
        <f>IF($S$737=0,0,IF(OR(DATE($C767,12,15)&lt;$S$737,AND($T$737&gt;0,DATE($C767,12,15)&gt;$T$737)),0,IF(DATE($C767,12,15)&gt;=$X$737,$AA$737*(1+($U$737)/100)^MAX(0,$C767-$AD$737),IF(DATE($C767,12,15)&gt;=$W$737,$Z$737*(1+($U$737)/100)^MAX(0,$C767-$AC$737),IF(DATE($C767,12,15)&gt;=$V$737,$Y$737*(1+($U$737)/100)^MAX(0,$C767-$AB$737),0)))))</f>
      </c>
      <c r="Q767" s="43">
        <f>SUM($E767:$P767)</f>
      </c>
    </row>
    <row r="768">
      <c r="A768"/>
      <c r="B768">
        <v>25</v>
      </c>
      <c r="C768" s="43">
        <f>Jahr+0</f>
      </c>
      <c r="D768" s="43">
        <f>INDEX(MvObj,25)</f>
      </c>
      <c r="E768" s="43">
        <f>IF($S$768=0,0,IF(OR(DATE($C768,1,15)&lt;$S$768,AND($T$768&gt;0,DATE($C768,1,15)&gt;$T$768)),0,IF(DATE($C768,1,15)&gt;=$X$768,$AA$768*(1+($U$768)/100)^MAX(0,$C768-$AD$768),IF(DATE($C768,1,15)&gt;=$W$768,$Z$768*(1+($U$768)/100)^MAX(0,$C768-$AC$768),IF(DATE($C768,1,15)&gt;=$V$768,$Y$768*(1+($U$768)/100)^MAX(0,$C768-$AB$768),0)))))</f>
      </c>
      <c r="F768" s="43">
        <f>IF($S$768=0,0,IF(OR(DATE($C768,2,15)&lt;$S$768,AND($T$768&gt;0,DATE($C768,2,15)&gt;$T$768)),0,IF(DATE($C768,2,15)&gt;=$X$768,$AA$768*(1+($U$768)/100)^MAX(0,$C768-$AD$768),IF(DATE($C768,2,15)&gt;=$W$768,$Z$768*(1+($U$768)/100)^MAX(0,$C768-$AC$768),IF(DATE($C768,2,15)&gt;=$V$768,$Y$768*(1+($U$768)/100)^MAX(0,$C768-$AB$768),0)))))</f>
      </c>
      <c r="G768" s="43">
        <f>IF($S$768=0,0,IF(OR(DATE($C768,3,15)&lt;$S$768,AND($T$768&gt;0,DATE($C768,3,15)&gt;$T$768)),0,IF(DATE($C768,3,15)&gt;=$X$768,$AA$768*(1+($U$768)/100)^MAX(0,$C768-$AD$768),IF(DATE($C768,3,15)&gt;=$W$768,$Z$768*(1+($U$768)/100)^MAX(0,$C768-$AC$768),IF(DATE($C768,3,15)&gt;=$V$768,$Y$768*(1+($U$768)/100)^MAX(0,$C768-$AB$768),0)))))</f>
      </c>
      <c r="H768" s="43">
        <f>IF($S$768=0,0,IF(OR(DATE($C768,4,15)&lt;$S$768,AND($T$768&gt;0,DATE($C768,4,15)&gt;$T$768)),0,IF(DATE($C768,4,15)&gt;=$X$768,$AA$768*(1+($U$768)/100)^MAX(0,$C768-$AD$768),IF(DATE($C768,4,15)&gt;=$W$768,$Z$768*(1+($U$768)/100)^MAX(0,$C768-$AC$768),IF(DATE($C768,4,15)&gt;=$V$768,$Y$768*(1+($U$768)/100)^MAX(0,$C768-$AB$768),0)))))</f>
      </c>
      <c r="I768" s="43">
        <f>IF($S$768=0,0,IF(OR(DATE($C768,5,15)&lt;$S$768,AND($T$768&gt;0,DATE($C768,5,15)&gt;$T$768)),0,IF(DATE($C768,5,15)&gt;=$X$768,$AA$768*(1+($U$768)/100)^MAX(0,$C768-$AD$768),IF(DATE($C768,5,15)&gt;=$W$768,$Z$768*(1+($U$768)/100)^MAX(0,$C768-$AC$768),IF(DATE($C768,5,15)&gt;=$V$768,$Y$768*(1+($U$768)/100)^MAX(0,$C768-$AB$768),0)))))</f>
      </c>
      <c r="J768" s="43">
        <f>IF($S$768=0,0,IF(OR(DATE($C768,6,15)&lt;$S$768,AND($T$768&gt;0,DATE($C768,6,15)&gt;$T$768)),0,IF(DATE($C768,6,15)&gt;=$X$768,$AA$768*(1+($U$768)/100)^MAX(0,$C768-$AD$768),IF(DATE($C768,6,15)&gt;=$W$768,$Z$768*(1+($U$768)/100)^MAX(0,$C768-$AC$768),IF(DATE($C768,6,15)&gt;=$V$768,$Y$768*(1+($U$768)/100)^MAX(0,$C768-$AB$768),0)))))</f>
      </c>
      <c r="K768" s="43">
        <f>IF($S$768=0,0,IF(OR(DATE($C768,7,15)&lt;$S$768,AND($T$768&gt;0,DATE($C768,7,15)&gt;$T$768)),0,IF(DATE($C768,7,15)&gt;=$X$768,$AA$768*(1+($U$768)/100)^MAX(0,$C768-$AD$768),IF(DATE($C768,7,15)&gt;=$W$768,$Z$768*(1+($U$768)/100)^MAX(0,$C768-$AC$768),IF(DATE($C768,7,15)&gt;=$V$768,$Y$768*(1+($U$768)/100)^MAX(0,$C768-$AB$768),0)))))</f>
      </c>
      <c r="L768" s="43">
        <f>IF($S$768=0,0,IF(OR(DATE($C768,8,15)&lt;$S$768,AND($T$768&gt;0,DATE($C768,8,15)&gt;$T$768)),0,IF(DATE($C768,8,15)&gt;=$X$768,$AA$768*(1+($U$768)/100)^MAX(0,$C768-$AD$768),IF(DATE($C768,8,15)&gt;=$W$768,$Z$768*(1+($U$768)/100)^MAX(0,$C768-$AC$768),IF(DATE($C768,8,15)&gt;=$V$768,$Y$768*(1+($U$768)/100)^MAX(0,$C768-$AB$768),0)))))</f>
      </c>
      <c r="M768" s="43">
        <f>IF($S$768=0,0,IF(OR(DATE($C768,9,15)&lt;$S$768,AND($T$768&gt;0,DATE($C768,9,15)&gt;$T$768)),0,IF(DATE($C768,9,15)&gt;=$X$768,$AA$768*(1+($U$768)/100)^MAX(0,$C768-$AD$768),IF(DATE($C768,9,15)&gt;=$W$768,$Z$768*(1+($U$768)/100)^MAX(0,$C768-$AC$768),IF(DATE($C768,9,15)&gt;=$V$768,$Y$768*(1+($U$768)/100)^MAX(0,$C768-$AB$768),0)))))</f>
      </c>
      <c r="N768" s="43">
        <f>IF($S$768=0,0,IF(OR(DATE($C768,10,15)&lt;$S$768,AND($T$768&gt;0,DATE($C768,10,15)&gt;$T$768)),0,IF(DATE($C768,10,15)&gt;=$X$768,$AA$768*(1+($U$768)/100)^MAX(0,$C768-$AD$768),IF(DATE($C768,10,15)&gt;=$W$768,$Z$768*(1+($U$768)/100)^MAX(0,$C768-$AC$768),IF(DATE($C768,10,15)&gt;=$V$768,$Y$768*(1+($U$768)/100)^MAX(0,$C768-$AB$768),0)))))</f>
      </c>
      <c r="O768" s="43">
        <f>IF($S$768=0,0,IF(OR(DATE($C768,11,15)&lt;$S$768,AND($T$768&gt;0,DATE($C768,11,15)&gt;$T$768)),0,IF(DATE($C768,11,15)&gt;=$X$768,$AA$768*(1+($U$768)/100)^MAX(0,$C768-$AD$768),IF(DATE($C768,11,15)&gt;=$W$768,$Z$768*(1+($U$768)/100)^MAX(0,$C768-$AC$768),IF(DATE($C768,11,15)&gt;=$V$768,$Y$768*(1+($U$768)/100)^MAX(0,$C768-$AB$768),0)))))</f>
      </c>
      <c r="P768" s="43">
        <f>IF($S$768=0,0,IF(OR(DATE($C768,12,15)&lt;$S$768,AND($T$768&gt;0,DATE($C768,12,15)&gt;$T$768)),0,IF(DATE($C768,12,15)&gt;=$X$768,$AA$768*(1+($U$768)/100)^MAX(0,$C768-$AD$768),IF(DATE($C768,12,15)&gt;=$W$768,$Z$768*(1+($U$768)/100)^MAX(0,$C768-$AC$768),IF(DATE($C768,12,15)&gt;=$V$768,$Y$768*(1+($U$768)/100)^MAX(0,$C768-$AB$768),0)))))</f>
      </c>
      <c r="Q768" s="43">
        <f>SUM($E768:$P768)</f>
      </c>
      <c r="R768"/>
      <c r="S768" s="43">
        <f>IF(INDEX(MvBeginn,25)="",0,INDEX(MvBeginn,25))</f>
      </c>
      <c r="T768" s="43">
        <f>INDEX(MvEnde,25)</f>
      </c>
      <c r="U768" s="43">
        <f>INDEX(MvSatz,25)</f>
      </c>
      <c r="V768" s="43">
        <f>INDEX(MvKey1,25)</f>
      </c>
      <c r="W768" s="43">
        <f>INDEX(MvKey2,25)</f>
      </c>
      <c r="X768" s="43">
        <f>INDEX(MvKey3,25)</f>
      </c>
      <c r="Y768" s="43">
        <f>INDEX(MvKalt1,25)</f>
      </c>
      <c r="Z768" s="43">
        <f>INDEX(MvKalt2,25)</f>
      </c>
      <c r="AA768" s="43">
        <f>INDEX(MvKalt3,25)</f>
      </c>
      <c r="AB768" s="43">
        <f>MAX(YEAR(INDEX(MvAb1,25)),Jahr)</f>
      </c>
      <c r="AC768" s="43">
        <f>MAX(YEAR(INDEX(MvAb2,25)),Jahr)</f>
      </c>
      <c r="AD768" s="43">
        <f>MAX(YEAR(INDEX(MvAb3,25)),Jahr)</f>
      </c>
    </row>
    <row r="769">
      <c r="A769"/>
      <c r="B769">
        <v>25</v>
      </c>
      <c r="C769" s="43">
        <f>Jahr+1</f>
      </c>
      <c r="D769" s="43">
        <f>INDEX(MvObj,25)</f>
      </c>
      <c r="E769" s="43">
        <f>IF($S$768=0,0,IF(OR(DATE($C769,1,15)&lt;$S$768,AND($T$768&gt;0,DATE($C769,1,15)&gt;$T$768)),0,IF(DATE($C769,1,15)&gt;=$X$768,$AA$768*(1+($U$768)/100)^MAX(0,$C769-$AD$768),IF(DATE($C769,1,15)&gt;=$W$768,$Z$768*(1+($U$768)/100)^MAX(0,$C769-$AC$768),IF(DATE($C769,1,15)&gt;=$V$768,$Y$768*(1+($U$768)/100)^MAX(0,$C769-$AB$768),0)))))</f>
      </c>
      <c r="F769" s="43">
        <f>IF($S$768=0,0,IF(OR(DATE($C769,2,15)&lt;$S$768,AND($T$768&gt;0,DATE($C769,2,15)&gt;$T$768)),0,IF(DATE($C769,2,15)&gt;=$X$768,$AA$768*(1+($U$768)/100)^MAX(0,$C769-$AD$768),IF(DATE($C769,2,15)&gt;=$W$768,$Z$768*(1+($U$768)/100)^MAX(0,$C769-$AC$768),IF(DATE($C769,2,15)&gt;=$V$768,$Y$768*(1+($U$768)/100)^MAX(0,$C769-$AB$768),0)))))</f>
      </c>
      <c r="G769" s="43">
        <f>IF($S$768=0,0,IF(OR(DATE($C769,3,15)&lt;$S$768,AND($T$768&gt;0,DATE($C769,3,15)&gt;$T$768)),0,IF(DATE($C769,3,15)&gt;=$X$768,$AA$768*(1+($U$768)/100)^MAX(0,$C769-$AD$768),IF(DATE($C769,3,15)&gt;=$W$768,$Z$768*(1+($U$768)/100)^MAX(0,$C769-$AC$768),IF(DATE($C769,3,15)&gt;=$V$768,$Y$768*(1+($U$768)/100)^MAX(0,$C769-$AB$768),0)))))</f>
      </c>
      <c r="H769" s="43">
        <f>IF($S$768=0,0,IF(OR(DATE($C769,4,15)&lt;$S$768,AND($T$768&gt;0,DATE($C769,4,15)&gt;$T$768)),0,IF(DATE($C769,4,15)&gt;=$X$768,$AA$768*(1+($U$768)/100)^MAX(0,$C769-$AD$768),IF(DATE($C769,4,15)&gt;=$W$768,$Z$768*(1+($U$768)/100)^MAX(0,$C769-$AC$768),IF(DATE($C769,4,15)&gt;=$V$768,$Y$768*(1+($U$768)/100)^MAX(0,$C769-$AB$768),0)))))</f>
      </c>
      <c r="I769" s="43">
        <f>IF($S$768=0,0,IF(OR(DATE($C769,5,15)&lt;$S$768,AND($T$768&gt;0,DATE($C769,5,15)&gt;$T$768)),0,IF(DATE($C769,5,15)&gt;=$X$768,$AA$768*(1+($U$768)/100)^MAX(0,$C769-$AD$768),IF(DATE($C769,5,15)&gt;=$W$768,$Z$768*(1+($U$768)/100)^MAX(0,$C769-$AC$768),IF(DATE($C769,5,15)&gt;=$V$768,$Y$768*(1+($U$768)/100)^MAX(0,$C769-$AB$768),0)))))</f>
      </c>
      <c r="J769" s="43">
        <f>IF($S$768=0,0,IF(OR(DATE($C769,6,15)&lt;$S$768,AND($T$768&gt;0,DATE($C769,6,15)&gt;$T$768)),0,IF(DATE($C769,6,15)&gt;=$X$768,$AA$768*(1+($U$768)/100)^MAX(0,$C769-$AD$768),IF(DATE($C769,6,15)&gt;=$W$768,$Z$768*(1+($U$768)/100)^MAX(0,$C769-$AC$768),IF(DATE($C769,6,15)&gt;=$V$768,$Y$768*(1+($U$768)/100)^MAX(0,$C769-$AB$768),0)))))</f>
      </c>
      <c r="K769" s="43">
        <f>IF($S$768=0,0,IF(OR(DATE($C769,7,15)&lt;$S$768,AND($T$768&gt;0,DATE($C769,7,15)&gt;$T$768)),0,IF(DATE($C769,7,15)&gt;=$X$768,$AA$768*(1+($U$768)/100)^MAX(0,$C769-$AD$768),IF(DATE($C769,7,15)&gt;=$W$768,$Z$768*(1+($U$768)/100)^MAX(0,$C769-$AC$768),IF(DATE($C769,7,15)&gt;=$V$768,$Y$768*(1+($U$768)/100)^MAX(0,$C769-$AB$768),0)))))</f>
      </c>
      <c r="L769" s="43">
        <f>IF($S$768=0,0,IF(OR(DATE($C769,8,15)&lt;$S$768,AND($T$768&gt;0,DATE($C769,8,15)&gt;$T$768)),0,IF(DATE($C769,8,15)&gt;=$X$768,$AA$768*(1+($U$768)/100)^MAX(0,$C769-$AD$768),IF(DATE($C769,8,15)&gt;=$W$768,$Z$768*(1+($U$768)/100)^MAX(0,$C769-$AC$768),IF(DATE($C769,8,15)&gt;=$V$768,$Y$768*(1+($U$768)/100)^MAX(0,$C769-$AB$768),0)))))</f>
      </c>
      <c r="M769" s="43">
        <f>IF($S$768=0,0,IF(OR(DATE($C769,9,15)&lt;$S$768,AND($T$768&gt;0,DATE($C769,9,15)&gt;$T$768)),0,IF(DATE($C769,9,15)&gt;=$X$768,$AA$768*(1+($U$768)/100)^MAX(0,$C769-$AD$768),IF(DATE($C769,9,15)&gt;=$W$768,$Z$768*(1+($U$768)/100)^MAX(0,$C769-$AC$768),IF(DATE($C769,9,15)&gt;=$V$768,$Y$768*(1+($U$768)/100)^MAX(0,$C769-$AB$768),0)))))</f>
      </c>
      <c r="N769" s="43">
        <f>IF($S$768=0,0,IF(OR(DATE($C769,10,15)&lt;$S$768,AND($T$768&gt;0,DATE($C769,10,15)&gt;$T$768)),0,IF(DATE($C769,10,15)&gt;=$X$768,$AA$768*(1+($U$768)/100)^MAX(0,$C769-$AD$768),IF(DATE($C769,10,15)&gt;=$W$768,$Z$768*(1+($U$768)/100)^MAX(0,$C769-$AC$768),IF(DATE($C769,10,15)&gt;=$V$768,$Y$768*(1+($U$768)/100)^MAX(0,$C769-$AB$768),0)))))</f>
      </c>
      <c r="O769" s="43">
        <f>IF($S$768=0,0,IF(OR(DATE($C769,11,15)&lt;$S$768,AND($T$768&gt;0,DATE($C769,11,15)&gt;$T$768)),0,IF(DATE($C769,11,15)&gt;=$X$768,$AA$768*(1+($U$768)/100)^MAX(0,$C769-$AD$768),IF(DATE($C769,11,15)&gt;=$W$768,$Z$768*(1+($U$768)/100)^MAX(0,$C769-$AC$768),IF(DATE($C769,11,15)&gt;=$V$768,$Y$768*(1+($U$768)/100)^MAX(0,$C769-$AB$768),0)))))</f>
      </c>
      <c r="P769" s="43">
        <f>IF($S$768=0,0,IF(OR(DATE($C769,12,15)&lt;$S$768,AND($T$768&gt;0,DATE($C769,12,15)&gt;$T$768)),0,IF(DATE($C769,12,15)&gt;=$X$768,$AA$768*(1+($U$768)/100)^MAX(0,$C769-$AD$768),IF(DATE($C769,12,15)&gt;=$W$768,$Z$768*(1+($U$768)/100)^MAX(0,$C769-$AC$768),IF(DATE($C769,12,15)&gt;=$V$768,$Y$768*(1+($U$768)/100)^MAX(0,$C769-$AB$768),0)))))</f>
      </c>
      <c r="Q769" s="43">
        <f>SUM($E769:$P769)</f>
      </c>
    </row>
    <row r="770">
      <c r="A770"/>
      <c r="B770">
        <v>25</v>
      </c>
      <c r="C770" s="43">
        <f>Jahr+2</f>
      </c>
      <c r="D770" s="43">
        <f>INDEX(MvObj,25)</f>
      </c>
      <c r="E770" s="43">
        <f>IF($S$768=0,0,IF(OR(DATE($C770,1,15)&lt;$S$768,AND($T$768&gt;0,DATE($C770,1,15)&gt;$T$768)),0,IF(DATE($C770,1,15)&gt;=$X$768,$AA$768*(1+($U$768)/100)^MAX(0,$C770-$AD$768),IF(DATE($C770,1,15)&gt;=$W$768,$Z$768*(1+($U$768)/100)^MAX(0,$C770-$AC$768),IF(DATE($C770,1,15)&gt;=$V$768,$Y$768*(1+($U$768)/100)^MAX(0,$C770-$AB$768),0)))))</f>
      </c>
      <c r="F770" s="43">
        <f>IF($S$768=0,0,IF(OR(DATE($C770,2,15)&lt;$S$768,AND($T$768&gt;0,DATE($C770,2,15)&gt;$T$768)),0,IF(DATE($C770,2,15)&gt;=$X$768,$AA$768*(1+($U$768)/100)^MAX(0,$C770-$AD$768),IF(DATE($C770,2,15)&gt;=$W$768,$Z$768*(1+($U$768)/100)^MAX(0,$C770-$AC$768),IF(DATE($C770,2,15)&gt;=$V$768,$Y$768*(1+($U$768)/100)^MAX(0,$C770-$AB$768),0)))))</f>
      </c>
      <c r="G770" s="43">
        <f>IF($S$768=0,0,IF(OR(DATE($C770,3,15)&lt;$S$768,AND($T$768&gt;0,DATE($C770,3,15)&gt;$T$768)),0,IF(DATE($C770,3,15)&gt;=$X$768,$AA$768*(1+($U$768)/100)^MAX(0,$C770-$AD$768),IF(DATE($C770,3,15)&gt;=$W$768,$Z$768*(1+($U$768)/100)^MAX(0,$C770-$AC$768),IF(DATE($C770,3,15)&gt;=$V$768,$Y$768*(1+($U$768)/100)^MAX(0,$C770-$AB$768),0)))))</f>
      </c>
      <c r="H770" s="43">
        <f>IF($S$768=0,0,IF(OR(DATE($C770,4,15)&lt;$S$768,AND($T$768&gt;0,DATE($C770,4,15)&gt;$T$768)),0,IF(DATE($C770,4,15)&gt;=$X$768,$AA$768*(1+($U$768)/100)^MAX(0,$C770-$AD$768),IF(DATE($C770,4,15)&gt;=$W$768,$Z$768*(1+($U$768)/100)^MAX(0,$C770-$AC$768),IF(DATE($C770,4,15)&gt;=$V$768,$Y$768*(1+($U$768)/100)^MAX(0,$C770-$AB$768),0)))))</f>
      </c>
      <c r="I770" s="43">
        <f>IF($S$768=0,0,IF(OR(DATE($C770,5,15)&lt;$S$768,AND($T$768&gt;0,DATE($C770,5,15)&gt;$T$768)),0,IF(DATE($C770,5,15)&gt;=$X$768,$AA$768*(1+($U$768)/100)^MAX(0,$C770-$AD$768),IF(DATE($C770,5,15)&gt;=$W$768,$Z$768*(1+($U$768)/100)^MAX(0,$C770-$AC$768),IF(DATE($C770,5,15)&gt;=$V$768,$Y$768*(1+($U$768)/100)^MAX(0,$C770-$AB$768),0)))))</f>
      </c>
      <c r="J770" s="43">
        <f>IF($S$768=0,0,IF(OR(DATE($C770,6,15)&lt;$S$768,AND($T$768&gt;0,DATE($C770,6,15)&gt;$T$768)),0,IF(DATE($C770,6,15)&gt;=$X$768,$AA$768*(1+($U$768)/100)^MAX(0,$C770-$AD$768),IF(DATE($C770,6,15)&gt;=$W$768,$Z$768*(1+($U$768)/100)^MAX(0,$C770-$AC$768),IF(DATE($C770,6,15)&gt;=$V$768,$Y$768*(1+($U$768)/100)^MAX(0,$C770-$AB$768),0)))))</f>
      </c>
      <c r="K770" s="43">
        <f>IF($S$768=0,0,IF(OR(DATE($C770,7,15)&lt;$S$768,AND($T$768&gt;0,DATE($C770,7,15)&gt;$T$768)),0,IF(DATE($C770,7,15)&gt;=$X$768,$AA$768*(1+($U$768)/100)^MAX(0,$C770-$AD$768),IF(DATE($C770,7,15)&gt;=$W$768,$Z$768*(1+($U$768)/100)^MAX(0,$C770-$AC$768),IF(DATE($C770,7,15)&gt;=$V$768,$Y$768*(1+($U$768)/100)^MAX(0,$C770-$AB$768),0)))))</f>
      </c>
      <c r="L770" s="43">
        <f>IF($S$768=0,0,IF(OR(DATE($C770,8,15)&lt;$S$768,AND($T$768&gt;0,DATE($C770,8,15)&gt;$T$768)),0,IF(DATE($C770,8,15)&gt;=$X$768,$AA$768*(1+($U$768)/100)^MAX(0,$C770-$AD$768),IF(DATE($C770,8,15)&gt;=$W$768,$Z$768*(1+($U$768)/100)^MAX(0,$C770-$AC$768),IF(DATE($C770,8,15)&gt;=$V$768,$Y$768*(1+($U$768)/100)^MAX(0,$C770-$AB$768),0)))))</f>
      </c>
      <c r="M770" s="43">
        <f>IF($S$768=0,0,IF(OR(DATE($C770,9,15)&lt;$S$768,AND($T$768&gt;0,DATE($C770,9,15)&gt;$T$768)),0,IF(DATE($C770,9,15)&gt;=$X$768,$AA$768*(1+($U$768)/100)^MAX(0,$C770-$AD$768),IF(DATE($C770,9,15)&gt;=$W$768,$Z$768*(1+($U$768)/100)^MAX(0,$C770-$AC$768),IF(DATE($C770,9,15)&gt;=$V$768,$Y$768*(1+($U$768)/100)^MAX(0,$C770-$AB$768),0)))))</f>
      </c>
      <c r="N770" s="43">
        <f>IF($S$768=0,0,IF(OR(DATE($C770,10,15)&lt;$S$768,AND($T$768&gt;0,DATE($C770,10,15)&gt;$T$768)),0,IF(DATE($C770,10,15)&gt;=$X$768,$AA$768*(1+($U$768)/100)^MAX(0,$C770-$AD$768),IF(DATE($C770,10,15)&gt;=$W$768,$Z$768*(1+($U$768)/100)^MAX(0,$C770-$AC$768),IF(DATE($C770,10,15)&gt;=$V$768,$Y$768*(1+($U$768)/100)^MAX(0,$C770-$AB$768),0)))))</f>
      </c>
      <c r="O770" s="43">
        <f>IF($S$768=0,0,IF(OR(DATE($C770,11,15)&lt;$S$768,AND($T$768&gt;0,DATE($C770,11,15)&gt;$T$768)),0,IF(DATE($C770,11,15)&gt;=$X$768,$AA$768*(1+($U$768)/100)^MAX(0,$C770-$AD$768),IF(DATE($C770,11,15)&gt;=$W$768,$Z$768*(1+($U$768)/100)^MAX(0,$C770-$AC$768),IF(DATE($C770,11,15)&gt;=$V$768,$Y$768*(1+($U$768)/100)^MAX(0,$C770-$AB$768),0)))))</f>
      </c>
      <c r="P770" s="43">
        <f>IF($S$768=0,0,IF(OR(DATE($C770,12,15)&lt;$S$768,AND($T$768&gt;0,DATE($C770,12,15)&gt;$T$768)),0,IF(DATE($C770,12,15)&gt;=$X$768,$AA$768*(1+($U$768)/100)^MAX(0,$C770-$AD$768),IF(DATE($C770,12,15)&gt;=$W$768,$Z$768*(1+($U$768)/100)^MAX(0,$C770-$AC$768),IF(DATE($C770,12,15)&gt;=$V$768,$Y$768*(1+($U$768)/100)^MAX(0,$C770-$AB$768),0)))))</f>
      </c>
      <c r="Q770" s="43">
        <f>SUM($E770:$P770)</f>
      </c>
    </row>
    <row r="771">
      <c r="A771"/>
      <c r="B771">
        <v>25</v>
      </c>
      <c r="C771" s="43">
        <f>Jahr+3</f>
      </c>
      <c r="D771" s="43">
        <f>INDEX(MvObj,25)</f>
      </c>
      <c r="E771" s="43">
        <f>IF($S$768=0,0,IF(OR(DATE($C771,1,15)&lt;$S$768,AND($T$768&gt;0,DATE($C771,1,15)&gt;$T$768)),0,IF(DATE($C771,1,15)&gt;=$X$768,$AA$768*(1+($U$768)/100)^MAX(0,$C771-$AD$768),IF(DATE($C771,1,15)&gt;=$W$768,$Z$768*(1+($U$768)/100)^MAX(0,$C771-$AC$768),IF(DATE($C771,1,15)&gt;=$V$768,$Y$768*(1+($U$768)/100)^MAX(0,$C771-$AB$768),0)))))</f>
      </c>
      <c r="F771" s="43">
        <f>IF($S$768=0,0,IF(OR(DATE($C771,2,15)&lt;$S$768,AND($T$768&gt;0,DATE($C771,2,15)&gt;$T$768)),0,IF(DATE($C771,2,15)&gt;=$X$768,$AA$768*(1+($U$768)/100)^MAX(0,$C771-$AD$768),IF(DATE($C771,2,15)&gt;=$W$768,$Z$768*(1+($U$768)/100)^MAX(0,$C771-$AC$768),IF(DATE($C771,2,15)&gt;=$V$768,$Y$768*(1+($U$768)/100)^MAX(0,$C771-$AB$768),0)))))</f>
      </c>
      <c r="G771" s="43">
        <f>IF($S$768=0,0,IF(OR(DATE($C771,3,15)&lt;$S$768,AND($T$768&gt;0,DATE($C771,3,15)&gt;$T$768)),0,IF(DATE($C771,3,15)&gt;=$X$768,$AA$768*(1+($U$768)/100)^MAX(0,$C771-$AD$768),IF(DATE($C771,3,15)&gt;=$W$768,$Z$768*(1+($U$768)/100)^MAX(0,$C771-$AC$768),IF(DATE($C771,3,15)&gt;=$V$768,$Y$768*(1+($U$768)/100)^MAX(0,$C771-$AB$768),0)))))</f>
      </c>
      <c r="H771" s="43">
        <f>IF($S$768=0,0,IF(OR(DATE($C771,4,15)&lt;$S$768,AND($T$768&gt;0,DATE($C771,4,15)&gt;$T$768)),0,IF(DATE($C771,4,15)&gt;=$X$768,$AA$768*(1+($U$768)/100)^MAX(0,$C771-$AD$768),IF(DATE($C771,4,15)&gt;=$W$768,$Z$768*(1+($U$768)/100)^MAX(0,$C771-$AC$768),IF(DATE($C771,4,15)&gt;=$V$768,$Y$768*(1+($U$768)/100)^MAX(0,$C771-$AB$768),0)))))</f>
      </c>
      <c r="I771" s="43">
        <f>IF($S$768=0,0,IF(OR(DATE($C771,5,15)&lt;$S$768,AND($T$768&gt;0,DATE($C771,5,15)&gt;$T$768)),0,IF(DATE($C771,5,15)&gt;=$X$768,$AA$768*(1+($U$768)/100)^MAX(0,$C771-$AD$768),IF(DATE($C771,5,15)&gt;=$W$768,$Z$768*(1+($U$768)/100)^MAX(0,$C771-$AC$768),IF(DATE($C771,5,15)&gt;=$V$768,$Y$768*(1+($U$768)/100)^MAX(0,$C771-$AB$768),0)))))</f>
      </c>
      <c r="J771" s="43">
        <f>IF($S$768=0,0,IF(OR(DATE($C771,6,15)&lt;$S$768,AND($T$768&gt;0,DATE($C771,6,15)&gt;$T$768)),0,IF(DATE($C771,6,15)&gt;=$X$768,$AA$768*(1+($U$768)/100)^MAX(0,$C771-$AD$768),IF(DATE($C771,6,15)&gt;=$W$768,$Z$768*(1+($U$768)/100)^MAX(0,$C771-$AC$768),IF(DATE($C771,6,15)&gt;=$V$768,$Y$768*(1+($U$768)/100)^MAX(0,$C771-$AB$768),0)))))</f>
      </c>
      <c r="K771" s="43">
        <f>IF($S$768=0,0,IF(OR(DATE($C771,7,15)&lt;$S$768,AND($T$768&gt;0,DATE($C771,7,15)&gt;$T$768)),0,IF(DATE($C771,7,15)&gt;=$X$768,$AA$768*(1+($U$768)/100)^MAX(0,$C771-$AD$768),IF(DATE($C771,7,15)&gt;=$W$768,$Z$768*(1+($U$768)/100)^MAX(0,$C771-$AC$768),IF(DATE($C771,7,15)&gt;=$V$768,$Y$768*(1+($U$768)/100)^MAX(0,$C771-$AB$768),0)))))</f>
      </c>
      <c r="L771" s="43">
        <f>IF($S$768=0,0,IF(OR(DATE($C771,8,15)&lt;$S$768,AND($T$768&gt;0,DATE($C771,8,15)&gt;$T$768)),0,IF(DATE($C771,8,15)&gt;=$X$768,$AA$768*(1+($U$768)/100)^MAX(0,$C771-$AD$768),IF(DATE($C771,8,15)&gt;=$W$768,$Z$768*(1+($U$768)/100)^MAX(0,$C771-$AC$768),IF(DATE($C771,8,15)&gt;=$V$768,$Y$768*(1+($U$768)/100)^MAX(0,$C771-$AB$768),0)))))</f>
      </c>
      <c r="M771" s="43">
        <f>IF($S$768=0,0,IF(OR(DATE($C771,9,15)&lt;$S$768,AND($T$768&gt;0,DATE($C771,9,15)&gt;$T$768)),0,IF(DATE($C771,9,15)&gt;=$X$768,$AA$768*(1+($U$768)/100)^MAX(0,$C771-$AD$768),IF(DATE($C771,9,15)&gt;=$W$768,$Z$768*(1+($U$768)/100)^MAX(0,$C771-$AC$768),IF(DATE($C771,9,15)&gt;=$V$768,$Y$768*(1+($U$768)/100)^MAX(0,$C771-$AB$768),0)))))</f>
      </c>
      <c r="N771" s="43">
        <f>IF($S$768=0,0,IF(OR(DATE($C771,10,15)&lt;$S$768,AND($T$768&gt;0,DATE($C771,10,15)&gt;$T$768)),0,IF(DATE($C771,10,15)&gt;=$X$768,$AA$768*(1+($U$768)/100)^MAX(0,$C771-$AD$768),IF(DATE($C771,10,15)&gt;=$W$768,$Z$768*(1+($U$768)/100)^MAX(0,$C771-$AC$768),IF(DATE($C771,10,15)&gt;=$V$768,$Y$768*(1+($U$768)/100)^MAX(0,$C771-$AB$768),0)))))</f>
      </c>
      <c r="O771" s="43">
        <f>IF($S$768=0,0,IF(OR(DATE($C771,11,15)&lt;$S$768,AND($T$768&gt;0,DATE($C771,11,15)&gt;$T$768)),0,IF(DATE($C771,11,15)&gt;=$X$768,$AA$768*(1+($U$768)/100)^MAX(0,$C771-$AD$768),IF(DATE($C771,11,15)&gt;=$W$768,$Z$768*(1+($U$768)/100)^MAX(0,$C771-$AC$768),IF(DATE($C771,11,15)&gt;=$V$768,$Y$768*(1+($U$768)/100)^MAX(0,$C771-$AB$768),0)))))</f>
      </c>
      <c r="P771" s="43">
        <f>IF($S$768=0,0,IF(OR(DATE($C771,12,15)&lt;$S$768,AND($T$768&gt;0,DATE($C771,12,15)&gt;$T$768)),0,IF(DATE($C771,12,15)&gt;=$X$768,$AA$768*(1+($U$768)/100)^MAX(0,$C771-$AD$768),IF(DATE($C771,12,15)&gt;=$W$768,$Z$768*(1+($U$768)/100)^MAX(0,$C771-$AC$768),IF(DATE($C771,12,15)&gt;=$V$768,$Y$768*(1+($U$768)/100)^MAX(0,$C771-$AB$768),0)))))</f>
      </c>
      <c r="Q771" s="43">
        <f>SUM($E771:$P771)</f>
      </c>
    </row>
    <row r="772">
      <c r="A772"/>
      <c r="B772">
        <v>25</v>
      </c>
      <c r="C772" s="43">
        <f>Jahr+4</f>
      </c>
      <c r="D772" s="43">
        <f>INDEX(MvObj,25)</f>
      </c>
      <c r="E772" s="43">
        <f>IF($S$768=0,0,IF(OR(DATE($C772,1,15)&lt;$S$768,AND($T$768&gt;0,DATE($C772,1,15)&gt;$T$768)),0,IF(DATE($C772,1,15)&gt;=$X$768,$AA$768*(1+($U$768)/100)^MAX(0,$C772-$AD$768),IF(DATE($C772,1,15)&gt;=$W$768,$Z$768*(1+($U$768)/100)^MAX(0,$C772-$AC$768),IF(DATE($C772,1,15)&gt;=$V$768,$Y$768*(1+($U$768)/100)^MAX(0,$C772-$AB$768),0)))))</f>
      </c>
      <c r="F772" s="43">
        <f>IF($S$768=0,0,IF(OR(DATE($C772,2,15)&lt;$S$768,AND($T$768&gt;0,DATE($C772,2,15)&gt;$T$768)),0,IF(DATE($C772,2,15)&gt;=$X$768,$AA$768*(1+($U$768)/100)^MAX(0,$C772-$AD$768),IF(DATE($C772,2,15)&gt;=$W$768,$Z$768*(1+($U$768)/100)^MAX(0,$C772-$AC$768),IF(DATE($C772,2,15)&gt;=$V$768,$Y$768*(1+($U$768)/100)^MAX(0,$C772-$AB$768),0)))))</f>
      </c>
      <c r="G772" s="43">
        <f>IF($S$768=0,0,IF(OR(DATE($C772,3,15)&lt;$S$768,AND($T$768&gt;0,DATE($C772,3,15)&gt;$T$768)),0,IF(DATE($C772,3,15)&gt;=$X$768,$AA$768*(1+($U$768)/100)^MAX(0,$C772-$AD$768),IF(DATE($C772,3,15)&gt;=$W$768,$Z$768*(1+($U$768)/100)^MAX(0,$C772-$AC$768),IF(DATE($C772,3,15)&gt;=$V$768,$Y$768*(1+($U$768)/100)^MAX(0,$C772-$AB$768),0)))))</f>
      </c>
      <c r="H772" s="43">
        <f>IF($S$768=0,0,IF(OR(DATE($C772,4,15)&lt;$S$768,AND($T$768&gt;0,DATE($C772,4,15)&gt;$T$768)),0,IF(DATE($C772,4,15)&gt;=$X$768,$AA$768*(1+($U$768)/100)^MAX(0,$C772-$AD$768),IF(DATE($C772,4,15)&gt;=$W$768,$Z$768*(1+($U$768)/100)^MAX(0,$C772-$AC$768),IF(DATE($C772,4,15)&gt;=$V$768,$Y$768*(1+($U$768)/100)^MAX(0,$C772-$AB$768),0)))))</f>
      </c>
      <c r="I772" s="43">
        <f>IF($S$768=0,0,IF(OR(DATE($C772,5,15)&lt;$S$768,AND($T$768&gt;0,DATE($C772,5,15)&gt;$T$768)),0,IF(DATE($C772,5,15)&gt;=$X$768,$AA$768*(1+($U$768)/100)^MAX(0,$C772-$AD$768),IF(DATE($C772,5,15)&gt;=$W$768,$Z$768*(1+($U$768)/100)^MAX(0,$C772-$AC$768),IF(DATE($C772,5,15)&gt;=$V$768,$Y$768*(1+($U$768)/100)^MAX(0,$C772-$AB$768),0)))))</f>
      </c>
      <c r="J772" s="43">
        <f>IF($S$768=0,0,IF(OR(DATE($C772,6,15)&lt;$S$768,AND($T$768&gt;0,DATE($C772,6,15)&gt;$T$768)),0,IF(DATE($C772,6,15)&gt;=$X$768,$AA$768*(1+($U$768)/100)^MAX(0,$C772-$AD$768),IF(DATE($C772,6,15)&gt;=$W$768,$Z$768*(1+($U$768)/100)^MAX(0,$C772-$AC$768),IF(DATE($C772,6,15)&gt;=$V$768,$Y$768*(1+($U$768)/100)^MAX(0,$C772-$AB$768),0)))))</f>
      </c>
      <c r="K772" s="43">
        <f>IF($S$768=0,0,IF(OR(DATE($C772,7,15)&lt;$S$768,AND($T$768&gt;0,DATE($C772,7,15)&gt;$T$768)),0,IF(DATE($C772,7,15)&gt;=$X$768,$AA$768*(1+($U$768)/100)^MAX(0,$C772-$AD$768),IF(DATE($C772,7,15)&gt;=$W$768,$Z$768*(1+($U$768)/100)^MAX(0,$C772-$AC$768),IF(DATE($C772,7,15)&gt;=$V$768,$Y$768*(1+($U$768)/100)^MAX(0,$C772-$AB$768),0)))))</f>
      </c>
      <c r="L772" s="43">
        <f>IF($S$768=0,0,IF(OR(DATE($C772,8,15)&lt;$S$768,AND($T$768&gt;0,DATE($C772,8,15)&gt;$T$768)),0,IF(DATE($C772,8,15)&gt;=$X$768,$AA$768*(1+($U$768)/100)^MAX(0,$C772-$AD$768),IF(DATE($C772,8,15)&gt;=$W$768,$Z$768*(1+($U$768)/100)^MAX(0,$C772-$AC$768),IF(DATE($C772,8,15)&gt;=$V$768,$Y$768*(1+($U$768)/100)^MAX(0,$C772-$AB$768),0)))))</f>
      </c>
      <c r="M772" s="43">
        <f>IF($S$768=0,0,IF(OR(DATE($C772,9,15)&lt;$S$768,AND($T$768&gt;0,DATE($C772,9,15)&gt;$T$768)),0,IF(DATE($C772,9,15)&gt;=$X$768,$AA$768*(1+($U$768)/100)^MAX(0,$C772-$AD$768),IF(DATE($C772,9,15)&gt;=$W$768,$Z$768*(1+($U$768)/100)^MAX(0,$C772-$AC$768),IF(DATE($C772,9,15)&gt;=$V$768,$Y$768*(1+($U$768)/100)^MAX(0,$C772-$AB$768),0)))))</f>
      </c>
      <c r="N772" s="43">
        <f>IF($S$768=0,0,IF(OR(DATE($C772,10,15)&lt;$S$768,AND($T$768&gt;0,DATE($C772,10,15)&gt;$T$768)),0,IF(DATE($C772,10,15)&gt;=$X$768,$AA$768*(1+($U$768)/100)^MAX(0,$C772-$AD$768),IF(DATE($C772,10,15)&gt;=$W$768,$Z$768*(1+($U$768)/100)^MAX(0,$C772-$AC$768),IF(DATE($C772,10,15)&gt;=$V$768,$Y$768*(1+($U$768)/100)^MAX(0,$C772-$AB$768),0)))))</f>
      </c>
      <c r="O772" s="43">
        <f>IF($S$768=0,0,IF(OR(DATE($C772,11,15)&lt;$S$768,AND($T$768&gt;0,DATE($C772,11,15)&gt;$T$768)),0,IF(DATE($C772,11,15)&gt;=$X$768,$AA$768*(1+($U$768)/100)^MAX(0,$C772-$AD$768),IF(DATE($C772,11,15)&gt;=$W$768,$Z$768*(1+($U$768)/100)^MAX(0,$C772-$AC$768),IF(DATE($C772,11,15)&gt;=$V$768,$Y$768*(1+($U$768)/100)^MAX(0,$C772-$AB$768),0)))))</f>
      </c>
      <c r="P772" s="43">
        <f>IF($S$768=0,0,IF(OR(DATE($C772,12,15)&lt;$S$768,AND($T$768&gt;0,DATE($C772,12,15)&gt;$T$768)),0,IF(DATE($C772,12,15)&gt;=$X$768,$AA$768*(1+($U$768)/100)^MAX(0,$C772-$AD$768),IF(DATE($C772,12,15)&gt;=$W$768,$Z$768*(1+($U$768)/100)^MAX(0,$C772-$AC$768),IF(DATE($C772,12,15)&gt;=$V$768,$Y$768*(1+($U$768)/100)^MAX(0,$C772-$AB$768),0)))))</f>
      </c>
      <c r="Q772" s="43">
        <f>SUM($E772:$P772)</f>
      </c>
    </row>
    <row r="773">
      <c r="A773"/>
      <c r="B773">
        <v>25</v>
      </c>
      <c r="C773" s="43">
        <f>Jahr+5</f>
      </c>
      <c r="D773" s="43">
        <f>INDEX(MvObj,25)</f>
      </c>
      <c r="E773" s="43">
        <f>IF($S$768=0,0,IF(OR(DATE($C773,1,15)&lt;$S$768,AND($T$768&gt;0,DATE($C773,1,15)&gt;$T$768)),0,IF(DATE($C773,1,15)&gt;=$X$768,$AA$768*(1+($U$768)/100)^MAX(0,$C773-$AD$768),IF(DATE($C773,1,15)&gt;=$W$768,$Z$768*(1+($U$768)/100)^MAX(0,$C773-$AC$768),IF(DATE($C773,1,15)&gt;=$V$768,$Y$768*(1+($U$768)/100)^MAX(0,$C773-$AB$768),0)))))</f>
      </c>
      <c r="F773" s="43">
        <f>IF($S$768=0,0,IF(OR(DATE($C773,2,15)&lt;$S$768,AND($T$768&gt;0,DATE($C773,2,15)&gt;$T$768)),0,IF(DATE($C773,2,15)&gt;=$X$768,$AA$768*(1+($U$768)/100)^MAX(0,$C773-$AD$768),IF(DATE($C773,2,15)&gt;=$W$768,$Z$768*(1+($U$768)/100)^MAX(0,$C773-$AC$768),IF(DATE($C773,2,15)&gt;=$V$768,$Y$768*(1+($U$768)/100)^MAX(0,$C773-$AB$768),0)))))</f>
      </c>
      <c r="G773" s="43">
        <f>IF($S$768=0,0,IF(OR(DATE($C773,3,15)&lt;$S$768,AND($T$768&gt;0,DATE($C773,3,15)&gt;$T$768)),0,IF(DATE($C773,3,15)&gt;=$X$768,$AA$768*(1+($U$768)/100)^MAX(0,$C773-$AD$768),IF(DATE($C773,3,15)&gt;=$W$768,$Z$768*(1+($U$768)/100)^MAX(0,$C773-$AC$768),IF(DATE($C773,3,15)&gt;=$V$768,$Y$768*(1+($U$768)/100)^MAX(0,$C773-$AB$768),0)))))</f>
      </c>
      <c r="H773" s="43">
        <f>IF($S$768=0,0,IF(OR(DATE($C773,4,15)&lt;$S$768,AND($T$768&gt;0,DATE($C773,4,15)&gt;$T$768)),0,IF(DATE($C773,4,15)&gt;=$X$768,$AA$768*(1+($U$768)/100)^MAX(0,$C773-$AD$768),IF(DATE($C773,4,15)&gt;=$W$768,$Z$768*(1+($U$768)/100)^MAX(0,$C773-$AC$768),IF(DATE($C773,4,15)&gt;=$V$768,$Y$768*(1+($U$768)/100)^MAX(0,$C773-$AB$768),0)))))</f>
      </c>
      <c r="I773" s="43">
        <f>IF($S$768=0,0,IF(OR(DATE($C773,5,15)&lt;$S$768,AND($T$768&gt;0,DATE($C773,5,15)&gt;$T$768)),0,IF(DATE($C773,5,15)&gt;=$X$768,$AA$768*(1+($U$768)/100)^MAX(0,$C773-$AD$768),IF(DATE($C773,5,15)&gt;=$W$768,$Z$768*(1+($U$768)/100)^MAX(0,$C773-$AC$768),IF(DATE($C773,5,15)&gt;=$V$768,$Y$768*(1+($U$768)/100)^MAX(0,$C773-$AB$768),0)))))</f>
      </c>
      <c r="J773" s="43">
        <f>IF($S$768=0,0,IF(OR(DATE($C773,6,15)&lt;$S$768,AND($T$768&gt;0,DATE($C773,6,15)&gt;$T$768)),0,IF(DATE($C773,6,15)&gt;=$X$768,$AA$768*(1+($U$768)/100)^MAX(0,$C773-$AD$768),IF(DATE($C773,6,15)&gt;=$W$768,$Z$768*(1+($U$768)/100)^MAX(0,$C773-$AC$768),IF(DATE($C773,6,15)&gt;=$V$768,$Y$768*(1+($U$768)/100)^MAX(0,$C773-$AB$768),0)))))</f>
      </c>
      <c r="K773" s="43">
        <f>IF($S$768=0,0,IF(OR(DATE($C773,7,15)&lt;$S$768,AND($T$768&gt;0,DATE($C773,7,15)&gt;$T$768)),0,IF(DATE($C773,7,15)&gt;=$X$768,$AA$768*(1+($U$768)/100)^MAX(0,$C773-$AD$768),IF(DATE($C773,7,15)&gt;=$W$768,$Z$768*(1+($U$768)/100)^MAX(0,$C773-$AC$768),IF(DATE($C773,7,15)&gt;=$V$768,$Y$768*(1+($U$768)/100)^MAX(0,$C773-$AB$768),0)))))</f>
      </c>
      <c r="L773" s="43">
        <f>IF($S$768=0,0,IF(OR(DATE($C773,8,15)&lt;$S$768,AND($T$768&gt;0,DATE($C773,8,15)&gt;$T$768)),0,IF(DATE($C773,8,15)&gt;=$X$768,$AA$768*(1+($U$768)/100)^MAX(0,$C773-$AD$768),IF(DATE($C773,8,15)&gt;=$W$768,$Z$768*(1+($U$768)/100)^MAX(0,$C773-$AC$768),IF(DATE($C773,8,15)&gt;=$V$768,$Y$768*(1+($U$768)/100)^MAX(0,$C773-$AB$768),0)))))</f>
      </c>
      <c r="M773" s="43">
        <f>IF($S$768=0,0,IF(OR(DATE($C773,9,15)&lt;$S$768,AND($T$768&gt;0,DATE($C773,9,15)&gt;$T$768)),0,IF(DATE($C773,9,15)&gt;=$X$768,$AA$768*(1+($U$768)/100)^MAX(0,$C773-$AD$768),IF(DATE($C773,9,15)&gt;=$W$768,$Z$768*(1+($U$768)/100)^MAX(0,$C773-$AC$768),IF(DATE($C773,9,15)&gt;=$V$768,$Y$768*(1+($U$768)/100)^MAX(0,$C773-$AB$768),0)))))</f>
      </c>
      <c r="N773" s="43">
        <f>IF($S$768=0,0,IF(OR(DATE($C773,10,15)&lt;$S$768,AND($T$768&gt;0,DATE($C773,10,15)&gt;$T$768)),0,IF(DATE($C773,10,15)&gt;=$X$768,$AA$768*(1+($U$768)/100)^MAX(0,$C773-$AD$768),IF(DATE($C773,10,15)&gt;=$W$768,$Z$768*(1+($U$768)/100)^MAX(0,$C773-$AC$768),IF(DATE($C773,10,15)&gt;=$V$768,$Y$768*(1+($U$768)/100)^MAX(0,$C773-$AB$768),0)))))</f>
      </c>
      <c r="O773" s="43">
        <f>IF($S$768=0,0,IF(OR(DATE($C773,11,15)&lt;$S$768,AND($T$768&gt;0,DATE($C773,11,15)&gt;$T$768)),0,IF(DATE($C773,11,15)&gt;=$X$768,$AA$768*(1+($U$768)/100)^MAX(0,$C773-$AD$768),IF(DATE($C773,11,15)&gt;=$W$768,$Z$768*(1+($U$768)/100)^MAX(0,$C773-$AC$768),IF(DATE($C773,11,15)&gt;=$V$768,$Y$768*(1+($U$768)/100)^MAX(0,$C773-$AB$768),0)))))</f>
      </c>
      <c r="P773" s="43">
        <f>IF($S$768=0,0,IF(OR(DATE($C773,12,15)&lt;$S$768,AND($T$768&gt;0,DATE($C773,12,15)&gt;$T$768)),0,IF(DATE($C773,12,15)&gt;=$X$768,$AA$768*(1+($U$768)/100)^MAX(0,$C773-$AD$768),IF(DATE($C773,12,15)&gt;=$W$768,$Z$768*(1+($U$768)/100)^MAX(0,$C773-$AC$768),IF(DATE($C773,12,15)&gt;=$V$768,$Y$768*(1+($U$768)/100)^MAX(0,$C773-$AB$768),0)))))</f>
      </c>
      <c r="Q773" s="43">
        <f>SUM($E773:$P773)</f>
      </c>
    </row>
    <row r="774">
      <c r="A774"/>
      <c r="B774">
        <v>25</v>
      </c>
      <c r="C774" s="43">
        <f>Jahr+6</f>
      </c>
      <c r="D774" s="43">
        <f>INDEX(MvObj,25)</f>
      </c>
      <c r="E774" s="43">
        <f>IF($S$768=0,0,IF(OR(DATE($C774,1,15)&lt;$S$768,AND($T$768&gt;0,DATE($C774,1,15)&gt;$T$768)),0,IF(DATE($C774,1,15)&gt;=$X$768,$AA$768*(1+($U$768)/100)^MAX(0,$C774-$AD$768),IF(DATE($C774,1,15)&gt;=$W$768,$Z$768*(1+($U$768)/100)^MAX(0,$C774-$AC$768),IF(DATE($C774,1,15)&gt;=$V$768,$Y$768*(1+($U$768)/100)^MAX(0,$C774-$AB$768),0)))))</f>
      </c>
      <c r="F774" s="43">
        <f>IF($S$768=0,0,IF(OR(DATE($C774,2,15)&lt;$S$768,AND($T$768&gt;0,DATE($C774,2,15)&gt;$T$768)),0,IF(DATE($C774,2,15)&gt;=$X$768,$AA$768*(1+($U$768)/100)^MAX(0,$C774-$AD$768),IF(DATE($C774,2,15)&gt;=$W$768,$Z$768*(1+($U$768)/100)^MAX(0,$C774-$AC$768),IF(DATE($C774,2,15)&gt;=$V$768,$Y$768*(1+($U$768)/100)^MAX(0,$C774-$AB$768),0)))))</f>
      </c>
      <c r="G774" s="43">
        <f>IF($S$768=0,0,IF(OR(DATE($C774,3,15)&lt;$S$768,AND($T$768&gt;0,DATE($C774,3,15)&gt;$T$768)),0,IF(DATE($C774,3,15)&gt;=$X$768,$AA$768*(1+($U$768)/100)^MAX(0,$C774-$AD$768),IF(DATE($C774,3,15)&gt;=$W$768,$Z$768*(1+($U$768)/100)^MAX(0,$C774-$AC$768),IF(DATE($C774,3,15)&gt;=$V$768,$Y$768*(1+($U$768)/100)^MAX(0,$C774-$AB$768),0)))))</f>
      </c>
      <c r="H774" s="43">
        <f>IF($S$768=0,0,IF(OR(DATE($C774,4,15)&lt;$S$768,AND($T$768&gt;0,DATE($C774,4,15)&gt;$T$768)),0,IF(DATE($C774,4,15)&gt;=$X$768,$AA$768*(1+($U$768)/100)^MAX(0,$C774-$AD$768),IF(DATE($C774,4,15)&gt;=$W$768,$Z$768*(1+($U$768)/100)^MAX(0,$C774-$AC$768),IF(DATE($C774,4,15)&gt;=$V$768,$Y$768*(1+($U$768)/100)^MAX(0,$C774-$AB$768),0)))))</f>
      </c>
      <c r="I774" s="43">
        <f>IF($S$768=0,0,IF(OR(DATE($C774,5,15)&lt;$S$768,AND($T$768&gt;0,DATE($C774,5,15)&gt;$T$768)),0,IF(DATE($C774,5,15)&gt;=$X$768,$AA$768*(1+($U$768)/100)^MAX(0,$C774-$AD$768),IF(DATE($C774,5,15)&gt;=$W$768,$Z$768*(1+($U$768)/100)^MAX(0,$C774-$AC$768),IF(DATE($C774,5,15)&gt;=$V$768,$Y$768*(1+($U$768)/100)^MAX(0,$C774-$AB$768),0)))))</f>
      </c>
      <c r="J774" s="43">
        <f>IF($S$768=0,0,IF(OR(DATE($C774,6,15)&lt;$S$768,AND($T$768&gt;0,DATE($C774,6,15)&gt;$T$768)),0,IF(DATE($C774,6,15)&gt;=$X$768,$AA$768*(1+($U$768)/100)^MAX(0,$C774-$AD$768),IF(DATE($C774,6,15)&gt;=$W$768,$Z$768*(1+($U$768)/100)^MAX(0,$C774-$AC$768),IF(DATE($C774,6,15)&gt;=$V$768,$Y$768*(1+($U$768)/100)^MAX(0,$C774-$AB$768),0)))))</f>
      </c>
      <c r="K774" s="43">
        <f>IF($S$768=0,0,IF(OR(DATE($C774,7,15)&lt;$S$768,AND($T$768&gt;0,DATE($C774,7,15)&gt;$T$768)),0,IF(DATE($C774,7,15)&gt;=$X$768,$AA$768*(1+($U$768)/100)^MAX(0,$C774-$AD$768),IF(DATE($C774,7,15)&gt;=$W$768,$Z$768*(1+($U$768)/100)^MAX(0,$C774-$AC$768),IF(DATE($C774,7,15)&gt;=$V$768,$Y$768*(1+($U$768)/100)^MAX(0,$C774-$AB$768),0)))))</f>
      </c>
      <c r="L774" s="43">
        <f>IF($S$768=0,0,IF(OR(DATE($C774,8,15)&lt;$S$768,AND($T$768&gt;0,DATE($C774,8,15)&gt;$T$768)),0,IF(DATE($C774,8,15)&gt;=$X$768,$AA$768*(1+($U$768)/100)^MAX(0,$C774-$AD$768),IF(DATE($C774,8,15)&gt;=$W$768,$Z$768*(1+($U$768)/100)^MAX(0,$C774-$AC$768),IF(DATE($C774,8,15)&gt;=$V$768,$Y$768*(1+($U$768)/100)^MAX(0,$C774-$AB$768),0)))))</f>
      </c>
      <c r="M774" s="43">
        <f>IF($S$768=0,0,IF(OR(DATE($C774,9,15)&lt;$S$768,AND($T$768&gt;0,DATE($C774,9,15)&gt;$T$768)),0,IF(DATE($C774,9,15)&gt;=$X$768,$AA$768*(1+($U$768)/100)^MAX(0,$C774-$AD$768),IF(DATE($C774,9,15)&gt;=$W$768,$Z$768*(1+($U$768)/100)^MAX(0,$C774-$AC$768),IF(DATE($C774,9,15)&gt;=$V$768,$Y$768*(1+($U$768)/100)^MAX(0,$C774-$AB$768),0)))))</f>
      </c>
      <c r="N774" s="43">
        <f>IF($S$768=0,0,IF(OR(DATE($C774,10,15)&lt;$S$768,AND($T$768&gt;0,DATE($C774,10,15)&gt;$T$768)),0,IF(DATE($C774,10,15)&gt;=$X$768,$AA$768*(1+($U$768)/100)^MAX(0,$C774-$AD$768),IF(DATE($C774,10,15)&gt;=$W$768,$Z$768*(1+($U$768)/100)^MAX(0,$C774-$AC$768),IF(DATE($C774,10,15)&gt;=$V$768,$Y$768*(1+($U$768)/100)^MAX(0,$C774-$AB$768),0)))))</f>
      </c>
      <c r="O774" s="43">
        <f>IF($S$768=0,0,IF(OR(DATE($C774,11,15)&lt;$S$768,AND($T$768&gt;0,DATE($C774,11,15)&gt;$T$768)),0,IF(DATE($C774,11,15)&gt;=$X$768,$AA$768*(1+($U$768)/100)^MAX(0,$C774-$AD$768),IF(DATE($C774,11,15)&gt;=$W$768,$Z$768*(1+($U$768)/100)^MAX(0,$C774-$AC$768),IF(DATE($C774,11,15)&gt;=$V$768,$Y$768*(1+($U$768)/100)^MAX(0,$C774-$AB$768),0)))))</f>
      </c>
      <c r="P774" s="43">
        <f>IF($S$768=0,0,IF(OR(DATE($C774,12,15)&lt;$S$768,AND($T$768&gt;0,DATE($C774,12,15)&gt;$T$768)),0,IF(DATE($C774,12,15)&gt;=$X$768,$AA$768*(1+($U$768)/100)^MAX(0,$C774-$AD$768),IF(DATE($C774,12,15)&gt;=$W$768,$Z$768*(1+($U$768)/100)^MAX(0,$C774-$AC$768),IF(DATE($C774,12,15)&gt;=$V$768,$Y$768*(1+($U$768)/100)^MAX(0,$C774-$AB$768),0)))))</f>
      </c>
      <c r="Q774" s="43">
        <f>SUM($E774:$P774)</f>
      </c>
    </row>
    <row r="775">
      <c r="A775"/>
      <c r="B775">
        <v>25</v>
      </c>
      <c r="C775" s="43">
        <f>Jahr+7</f>
      </c>
      <c r="D775" s="43">
        <f>INDEX(MvObj,25)</f>
      </c>
      <c r="E775" s="43">
        <f>IF($S$768=0,0,IF(OR(DATE($C775,1,15)&lt;$S$768,AND($T$768&gt;0,DATE($C775,1,15)&gt;$T$768)),0,IF(DATE($C775,1,15)&gt;=$X$768,$AA$768*(1+($U$768)/100)^MAX(0,$C775-$AD$768),IF(DATE($C775,1,15)&gt;=$W$768,$Z$768*(1+($U$768)/100)^MAX(0,$C775-$AC$768),IF(DATE($C775,1,15)&gt;=$V$768,$Y$768*(1+($U$768)/100)^MAX(0,$C775-$AB$768),0)))))</f>
      </c>
      <c r="F775" s="43">
        <f>IF($S$768=0,0,IF(OR(DATE($C775,2,15)&lt;$S$768,AND($T$768&gt;0,DATE($C775,2,15)&gt;$T$768)),0,IF(DATE($C775,2,15)&gt;=$X$768,$AA$768*(1+($U$768)/100)^MAX(0,$C775-$AD$768),IF(DATE($C775,2,15)&gt;=$W$768,$Z$768*(1+($U$768)/100)^MAX(0,$C775-$AC$768),IF(DATE($C775,2,15)&gt;=$V$768,$Y$768*(1+($U$768)/100)^MAX(0,$C775-$AB$768),0)))))</f>
      </c>
      <c r="G775" s="43">
        <f>IF($S$768=0,0,IF(OR(DATE($C775,3,15)&lt;$S$768,AND($T$768&gt;0,DATE($C775,3,15)&gt;$T$768)),0,IF(DATE($C775,3,15)&gt;=$X$768,$AA$768*(1+($U$768)/100)^MAX(0,$C775-$AD$768),IF(DATE($C775,3,15)&gt;=$W$768,$Z$768*(1+($U$768)/100)^MAX(0,$C775-$AC$768),IF(DATE($C775,3,15)&gt;=$V$768,$Y$768*(1+($U$768)/100)^MAX(0,$C775-$AB$768),0)))))</f>
      </c>
      <c r="H775" s="43">
        <f>IF($S$768=0,0,IF(OR(DATE($C775,4,15)&lt;$S$768,AND($T$768&gt;0,DATE($C775,4,15)&gt;$T$768)),0,IF(DATE($C775,4,15)&gt;=$X$768,$AA$768*(1+($U$768)/100)^MAX(0,$C775-$AD$768),IF(DATE($C775,4,15)&gt;=$W$768,$Z$768*(1+($U$768)/100)^MAX(0,$C775-$AC$768),IF(DATE($C775,4,15)&gt;=$V$768,$Y$768*(1+($U$768)/100)^MAX(0,$C775-$AB$768),0)))))</f>
      </c>
      <c r="I775" s="43">
        <f>IF($S$768=0,0,IF(OR(DATE($C775,5,15)&lt;$S$768,AND($T$768&gt;0,DATE($C775,5,15)&gt;$T$768)),0,IF(DATE($C775,5,15)&gt;=$X$768,$AA$768*(1+($U$768)/100)^MAX(0,$C775-$AD$768),IF(DATE($C775,5,15)&gt;=$W$768,$Z$768*(1+($U$768)/100)^MAX(0,$C775-$AC$768),IF(DATE($C775,5,15)&gt;=$V$768,$Y$768*(1+($U$768)/100)^MAX(0,$C775-$AB$768),0)))))</f>
      </c>
      <c r="J775" s="43">
        <f>IF($S$768=0,0,IF(OR(DATE($C775,6,15)&lt;$S$768,AND($T$768&gt;0,DATE($C775,6,15)&gt;$T$768)),0,IF(DATE($C775,6,15)&gt;=$X$768,$AA$768*(1+($U$768)/100)^MAX(0,$C775-$AD$768),IF(DATE($C775,6,15)&gt;=$W$768,$Z$768*(1+($U$768)/100)^MAX(0,$C775-$AC$768),IF(DATE($C775,6,15)&gt;=$V$768,$Y$768*(1+($U$768)/100)^MAX(0,$C775-$AB$768),0)))))</f>
      </c>
      <c r="K775" s="43">
        <f>IF($S$768=0,0,IF(OR(DATE($C775,7,15)&lt;$S$768,AND($T$768&gt;0,DATE($C775,7,15)&gt;$T$768)),0,IF(DATE($C775,7,15)&gt;=$X$768,$AA$768*(1+($U$768)/100)^MAX(0,$C775-$AD$768),IF(DATE($C775,7,15)&gt;=$W$768,$Z$768*(1+($U$768)/100)^MAX(0,$C775-$AC$768),IF(DATE($C775,7,15)&gt;=$V$768,$Y$768*(1+($U$768)/100)^MAX(0,$C775-$AB$768),0)))))</f>
      </c>
      <c r="L775" s="43">
        <f>IF($S$768=0,0,IF(OR(DATE($C775,8,15)&lt;$S$768,AND($T$768&gt;0,DATE($C775,8,15)&gt;$T$768)),0,IF(DATE($C775,8,15)&gt;=$X$768,$AA$768*(1+($U$768)/100)^MAX(0,$C775-$AD$768),IF(DATE($C775,8,15)&gt;=$W$768,$Z$768*(1+($U$768)/100)^MAX(0,$C775-$AC$768),IF(DATE($C775,8,15)&gt;=$V$768,$Y$768*(1+($U$768)/100)^MAX(0,$C775-$AB$768),0)))))</f>
      </c>
      <c r="M775" s="43">
        <f>IF($S$768=0,0,IF(OR(DATE($C775,9,15)&lt;$S$768,AND($T$768&gt;0,DATE($C775,9,15)&gt;$T$768)),0,IF(DATE($C775,9,15)&gt;=$X$768,$AA$768*(1+($U$768)/100)^MAX(0,$C775-$AD$768),IF(DATE($C775,9,15)&gt;=$W$768,$Z$768*(1+($U$768)/100)^MAX(0,$C775-$AC$768),IF(DATE($C775,9,15)&gt;=$V$768,$Y$768*(1+($U$768)/100)^MAX(0,$C775-$AB$768),0)))))</f>
      </c>
      <c r="N775" s="43">
        <f>IF($S$768=0,0,IF(OR(DATE($C775,10,15)&lt;$S$768,AND($T$768&gt;0,DATE($C775,10,15)&gt;$T$768)),0,IF(DATE($C775,10,15)&gt;=$X$768,$AA$768*(1+($U$768)/100)^MAX(0,$C775-$AD$768),IF(DATE($C775,10,15)&gt;=$W$768,$Z$768*(1+($U$768)/100)^MAX(0,$C775-$AC$768),IF(DATE($C775,10,15)&gt;=$V$768,$Y$768*(1+($U$768)/100)^MAX(0,$C775-$AB$768),0)))))</f>
      </c>
      <c r="O775" s="43">
        <f>IF($S$768=0,0,IF(OR(DATE($C775,11,15)&lt;$S$768,AND($T$768&gt;0,DATE($C775,11,15)&gt;$T$768)),0,IF(DATE($C775,11,15)&gt;=$X$768,$AA$768*(1+($U$768)/100)^MAX(0,$C775-$AD$768),IF(DATE($C775,11,15)&gt;=$W$768,$Z$768*(1+($U$768)/100)^MAX(0,$C775-$AC$768),IF(DATE($C775,11,15)&gt;=$V$768,$Y$768*(1+($U$768)/100)^MAX(0,$C775-$AB$768),0)))))</f>
      </c>
      <c r="P775" s="43">
        <f>IF($S$768=0,0,IF(OR(DATE($C775,12,15)&lt;$S$768,AND($T$768&gt;0,DATE($C775,12,15)&gt;$T$768)),0,IF(DATE($C775,12,15)&gt;=$X$768,$AA$768*(1+($U$768)/100)^MAX(0,$C775-$AD$768),IF(DATE($C775,12,15)&gt;=$W$768,$Z$768*(1+($U$768)/100)^MAX(0,$C775-$AC$768),IF(DATE($C775,12,15)&gt;=$V$768,$Y$768*(1+($U$768)/100)^MAX(0,$C775-$AB$768),0)))))</f>
      </c>
      <c r="Q775" s="43">
        <f>SUM($E775:$P775)</f>
      </c>
    </row>
    <row r="776">
      <c r="A776"/>
      <c r="B776">
        <v>25</v>
      </c>
      <c r="C776" s="43">
        <f>Jahr+8</f>
      </c>
      <c r="D776" s="43">
        <f>INDEX(MvObj,25)</f>
      </c>
      <c r="E776" s="43">
        <f>IF($S$768=0,0,IF(OR(DATE($C776,1,15)&lt;$S$768,AND($T$768&gt;0,DATE($C776,1,15)&gt;$T$768)),0,IF(DATE($C776,1,15)&gt;=$X$768,$AA$768*(1+($U$768)/100)^MAX(0,$C776-$AD$768),IF(DATE($C776,1,15)&gt;=$W$768,$Z$768*(1+($U$768)/100)^MAX(0,$C776-$AC$768),IF(DATE($C776,1,15)&gt;=$V$768,$Y$768*(1+($U$768)/100)^MAX(0,$C776-$AB$768),0)))))</f>
      </c>
      <c r="F776" s="43">
        <f>IF($S$768=0,0,IF(OR(DATE($C776,2,15)&lt;$S$768,AND($T$768&gt;0,DATE($C776,2,15)&gt;$T$768)),0,IF(DATE($C776,2,15)&gt;=$X$768,$AA$768*(1+($U$768)/100)^MAX(0,$C776-$AD$768),IF(DATE($C776,2,15)&gt;=$W$768,$Z$768*(1+($U$768)/100)^MAX(0,$C776-$AC$768),IF(DATE($C776,2,15)&gt;=$V$768,$Y$768*(1+($U$768)/100)^MAX(0,$C776-$AB$768),0)))))</f>
      </c>
      <c r="G776" s="43">
        <f>IF($S$768=0,0,IF(OR(DATE($C776,3,15)&lt;$S$768,AND($T$768&gt;0,DATE($C776,3,15)&gt;$T$768)),0,IF(DATE($C776,3,15)&gt;=$X$768,$AA$768*(1+($U$768)/100)^MAX(0,$C776-$AD$768),IF(DATE($C776,3,15)&gt;=$W$768,$Z$768*(1+($U$768)/100)^MAX(0,$C776-$AC$768),IF(DATE($C776,3,15)&gt;=$V$768,$Y$768*(1+($U$768)/100)^MAX(0,$C776-$AB$768),0)))))</f>
      </c>
      <c r="H776" s="43">
        <f>IF($S$768=0,0,IF(OR(DATE($C776,4,15)&lt;$S$768,AND($T$768&gt;0,DATE($C776,4,15)&gt;$T$768)),0,IF(DATE($C776,4,15)&gt;=$X$768,$AA$768*(1+($U$768)/100)^MAX(0,$C776-$AD$768),IF(DATE($C776,4,15)&gt;=$W$768,$Z$768*(1+($U$768)/100)^MAX(0,$C776-$AC$768),IF(DATE($C776,4,15)&gt;=$V$768,$Y$768*(1+($U$768)/100)^MAX(0,$C776-$AB$768),0)))))</f>
      </c>
      <c r="I776" s="43">
        <f>IF($S$768=0,0,IF(OR(DATE($C776,5,15)&lt;$S$768,AND($T$768&gt;0,DATE($C776,5,15)&gt;$T$768)),0,IF(DATE($C776,5,15)&gt;=$X$768,$AA$768*(1+($U$768)/100)^MAX(0,$C776-$AD$768),IF(DATE($C776,5,15)&gt;=$W$768,$Z$768*(1+($U$768)/100)^MAX(0,$C776-$AC$768),IF(DATE($C776,5,15)&gt;=$V$768,$Y$768*(1+($U$768)/100)^MAX(0,$C776-$AB$768),0)))))</f>
      </c>
      <c r="J776" s="43">
        <f>IF($S$768=0,0,IF(OR(DATE($C776,6,15)&lt;$S$768,AND($T$768&gt;0,DATE($C776,6,15)&gt;$T$768)),0,IF(DATE($C776,6,15)&gt;=$X$768,$AA$768*(1+($U$768)/100)^MAX(0,$C776-$AD$768),IF(DATE($C776,6,15)&gt;=$W$768,$Z$768*(1+($U$768)/100)^MAX(0,$C776-$AC$768),IF(DATE($C776,6,15)&gt;=$V$768,$Y$768*(1+($U$768)/100)^MAX(0,$C776-$AB$768),0)))))</f>
      </c>
      <c r="K776" s="43">
        <f>IF($S$768=0,0,IF(OR(DATE($C776,7,15)&lt;$S$768,AND($T$768&gt;0,DATE($C776,7,15)&gt;$T$768)),0,IF(DATE($C776,7,15)&gt;=$X$768,$AA$768*(1+($U$768)/100)^MAX(0,$C776-$AD$768),IF(DATE($C776,7,15)&gt;=$W$768,$Z$768*(1+($U$768)/100)^MAX(0,$C776-$AC$768),IF(DATE($C776,7,15)&gt;=$V$768,$Y$768*(1+($U$768)/100)^MAX(0,$C776-$AB$768),0)))))</f>
      </c>
      <c r="L776" s="43">
        <f>IF($S$768=0,0,IF(OR(DATE($C776,8,15)&lt;$S$768,AND($T$768&gt;0,DATE($C776,8,15)&gt;$T$768)),0,IF(DATE($C776,8,15)&gt;=$X$768,$AA$768*(1+($U$768)/100)^MAX(0,$C776-$AD$768),IF(DATE($C776,8,15)&gt;=$W$768,$Z$768*(1+($U$768)/100)^MAX(0,$C776-$AC$768),IF(DATE($C776,8,15)&gt;=$V$768,$Y$768*(1+($U$768)/100)^MAX(0,$C776-$AB$768),0)))))</f>
      </c>
      <c r="M776" s="43">
        <f>IF($S$768=0,0,IF(OR(DATE($C776,9,15)&lt;$S$768,AND($T$768&gt;0,DATE($C776,9,15)&gt;$T$768)),0,IF(DATE($C776,9,15)&gt;=$X$768,$AA$768*(1+($U$768)/100)^MAX(0,$C776-$AD$768),IF(DATE($C776,9,15)&gt;=$W$768,$Z$768*(1+($U$768)/100)^MAX(0,$C776-$AC$768),IF(DATE($C776,9,15)&gt;=$V$768,$Y$768*(1+($U$768)/100)^MAX(0,$C776-$AB$768),0)))))</f>
      </c>
      <c r="N776" s="43">
        <f>IF($S$768=0,0,IF(OR(DATE($C776,10,15)&lt;$S$768,AND($T$768&gt;0,DATE($C776,10,15)&gt;$T$768)),0,IF(DATE($C776,10,15)&gt;=$X$768,$AA$768*(1+($U$768)/100)^MAX(0,$C776-$AD$768),IF(DATE($C776,10,15)&gt;=$W$768,$Z$768*(1+($U$768)/100)^MAX(0,$C776-$AC$768),IF(DATE($C776,10,15)&gt;=$V$768,$Y$768*(1+($U$768)/100)^MAX(0,$C776-$AB$768),0)))))</f>
      </c>
      <c r="O776" s="43">
        <f>IF($S$768=0,0,IF(OR(DATE($C776,11,15)&lt;$S$768,AND($T$768&gt;0,DATE($C776,11,15)&gt;$T$768)),0,IF(DATE($C776,11,15)&gt;=$X$768,$AA$768*(1+($U$768)/100)^MAX(0,$C776-$AD$768),IF(DATE($C776,11,15)&gt;=$W$768,$Z$768*(1+($U$768)/100)^MAX(0,$C776-$AC$768),IF(DATE($C776,11,15)&gt;=$V$768,$Y$768*(1+($U$768)/100)^MAX(0,$C776-$AB$768),0)))))</f>
      </c>
      <c r="P776" s="43">
        <f>IF($S$768=0,0,IF(OR(DATE($C776,12,15)&lt;$S$768,AND($T$768&gt;0,DATE($C776,12,15)&gt;$T$768)),0,IF(DATE($C776,12,15)&gt;=$X$768,$AA$768*(1+($U$768)/100)^MAX(0,$C776-$AD$768),IF(DATE($C776,12,15)&gt;=$W$768,$Z$768*(1+($U$768)/100)^MAX(0,$C776-$AC$768),IF(DATE($C776,12,15)&gt;=$V$768,$Y$768*(1+($U$768)/100)^MAX(0,$C776-$AB$768),0)))))</f>
      </c>
      <c r="Q776" s="43">
        <f>SUM($E776:$P776)</f>
      </c>
    </row>
    <row r="777">
      <c r="A777"/>
      <c r="B777">
        <v>25</v>
      </c>
      <c r="C777" s="43">
        <f>Jahr+9</f>
      </c>
      <c r="D777" s="43">
        <f>INDEX(MvObj,25)</f>
      </c>
      <c r="E777" s="43">
        <f>IF($S$768=0,0,IF(OR(DATE($C777,1,15)&lt;$S$768,AND($T$768&gt;0,DATE($C777,1,15)&gt;$T$768)),0,IF(DATE($C777,1,15)&gt;=$X$768,$AA$768*(1+($U$768)/100)^MAX(0,$C777-$AD$768),IF(DATE($C777,1,15)&gt;=$W$768,$Z$768*(1+($U$768)/100)^MAX(0,$C777-$AC$768),IF(DATE($C777,1,15)&gt;=$V$768,$Y$768*(1+($U$768)/100)^MAX(0,$C777-$AB$768),0)))))</f>
      </c>
      <c r="F777" s="43">
        <f>IF($S$768=0,0,IF(OR(DATE($C777,2,15)&lt;$S$768,AND($T$768&gt;0,DATE($C777,2,15)&gt;$T$768)),0,IF(DATE($C777,2,15)&gt;=$X$768,$AA$768*(1+($U$768)/100)^MAX(0,$C777-$AD$768),IF(DATE($C777,2,15)&gt;=$W$768,$Z$768*(1+($U$768)/100)^MAX(0,$C777-$AC$768),IF(DATE($C777,2,15)&gt;=$V$768,$Y$768*(1+($U$768)/100)^MAX(0,$C777-$AB$768),0)))))</f>
      </c>
      <c r="G777" s="43">
        <f>IF($S$768=0,0,IF(OR(DATE($C777,3,15)&lt;$S$768,AND($T$768&gt;0,DATE($C777,3,15)&gt;$T$768)),0,IF(DATE($C777,3,15)&gt;=$X$768,$AA$768*(1+($U$768)/100)^MAX(0,$C777-$AD$768),IF(DATE($C777,3,15)&gt;=$W$768,$Z$768*(1+($U$768)/100)^MAX(0,$C777-$AC$768),IF(DATE($C777,3,15)&gt;=$V$768,$Y$768*(1+($U$768)/100)^MAX(0,$C777-$AB$768),0)))))</f>
      </c>
      <c r="H777" s="43">
        <f>IF($S$768=0,0,IF(OR(DATE($C777,4,15)&lt;$S$768,AND($T$768&gt;0,DATE($C777,4,15)&gt;$T$768)),0,IF(DATE($C777,4,15)&gt;=$X$768,$AA$768*(1+($U$768)/100)^MAX(0,$C777-$AD$768),IF(DATE($C777,4,15)&gt;=$W$768,$Z$768*(1+($U$768)/100)^MAX(0,$C777-$AC$768),IF(DATE($C777,4,15)&gt;=$V$768,$Y$768*(1+($U$768)/100)^MAX(0,$C777-$AB$768),0)))))</f>
      </c>
      <c r="I777" s="43">
        <f>IF($S$768=0,0,IF(OR(DATE($C777,5,15)&lt;$S$768,AND($T$768&gt;0,DATE($C777,5,15)&gt;$T$768)),0,IF(DATE($C777,5,15)&gt;=$X$768,$AA$768*(1+($U$768)/100)^MAX(0,$C777-$AD$768),IF(DATE($C777,5,15)&gt;=$W$768,$Z$768*(1+($U$768)/100)^MAX(0,$C777-$AC$768),IF(DATE($C777,5,15)&gt;=$V$768,$Y$768*(1+($U$768)/100)^MAX(0,$C777-$AB$768),0)))))</f>
      </c>
      <c r="J777" s="43">
        <f>IF($S$768=0,0,IF(OR(DATE($C777,6,15)&lt;$S$768,AND($T$768&gt;0,DATE($C777,6,15)&gt;$T$768)),0,IF(DATE($C777,6,15)&gt;=$X$768,$AA$768*(1+($U$768)/100)^MAX(0,$C777-$AD$768),IF(DATE($C777,6,15)&gt;=$W$768,$Z$768*(1+($U$768)/100)^MAX(0,$C777-$AC$768),IF(DATE($C777,6,15)&gt;=$V$768,$Y$768*(1+($U$768)/100)^MAX(0,$C777-$AB$768),0)))))</f>
      </c>
      <c r="K777" s="43">
        <f>IF($S$768=0,0,IF(OR(DATE($C777,7,15)&lt;$S$768,AND($T$768&gt;0,DATE($C777,7,15)&gt;$T$768)),0,IF(DATE($C777,7,15)&gt;=$X$768,$AA$768*(1+($U$768)/100)^MAX(0,$C777-$AD$768),IF(DATE($C777,7,15)&gt;=$W$768,$Z$768*(1+($U$768)/100)^MAX(0,$C777-$AC$768),IF(DATE($C777,7,15)&gt;=$V$768,$Y$768*(1+($U$768)/100)^MAX(0,$C777-$AB$768),0)))))</f>
      </c>
      <c r="L777" s="43">
        <f>IF($S$768=0,0,IF(OR(DATE($C777,8,15)&lt;$S$768,AND($T$768&gt;0,DATE($C777,8,15)&gt;$T$768)),0,IF(DATE($C777,8,15)&gt;=$X$768,$AA$768*(1+($U$768)/100)^MAX(0,$C777-$AD$768),IF(DATE($C777,8,15)&gt;=$W$768,$Z$768*(1+($U$768)/100)^MAX(0,$C777-$AC$768),IF(DATE($C777,8,15)&gt;=$V$768,$Y$768*(1+($U$768)/100)^MAX(0,$C777-$AB$768),0)))))</f>
      </c>
      <c r="M777" s="43">
        <f>IF($S$768=0,0,IF(OR(DATE($C777,9,15)&lt;$S$768,AND($T$768&gt;0,DATE($C777,9,15)&gt;$T$768)),0,IF(DATE($C777,9,15)&gt;=$X$768,$AA$768*(1+($U$768)/100)^MAX(0,$C777-$AD$768),IF(DATE($C777,9,15)&gt;=$W$768,$Z$768*(1+($U$768)/100)^MAX(0,$C777-$AC$768),IF(DATE($C777,9,15)&gt;=$V$768,$Y$768*(1+($U$768)/100)^MAX(0,$C777-$AB$768),0)))))</f>
      </c>
      <c r="N777" s="43">
        <f>IF($S$768=0,0,IF(OR(DATE($C777,10,15)&lt;$S$768,AND($T$768&gt;0,DATE($C777,10,15)&gt;$T$768)),0,IF(DATE($C777,10,15)&gt;=$X$768,$AA$768*(1+($U$768)/100)^MAX(0,$C777-$AD$768),IF(DATE($C777,10,15)&gt;=$W$768,$Z$768*(1+($U$768)/100)^MAX(0,$C777-$AC$768),IF(DATE($C777,10,15)&gt;=$V$768,$Y$768*(1+($U$768)/100)^MAX(0,$C777-$AB$768),0)))))</f>
      </c>
      <c r="O777" s="43">
        <f>IF($S$768=0,0,IF(OR(DATE($C777,11,15)&lt;$S$768,AND($T$768&gt;0,DATE($C777,11,15)&gt;$T$768)),0,IF(DATE($C777,11,15)&gt;=$X$768,$AA$768*(1+($U$768)/100)^MAX(0,$C777-$AD$768),IF(DATE($C777,11,15)&gt;=$W$768,$Z$768*(1+($U$768)/100)^MAX(0,$C777-$AC$768),IF(DATE($C777,11,15)&gt;=$V$768,$Y$768*(1+($U$768)/100)^MAX(0,$C777-$AB$768),0)))))</f>
      </c>
      <c r="P777" s="43">
        <f>IF($S$768=0,0,IF(OR(DATE($C777,12,15)&lt;$S$768,AND($T$768&gt;0,DATE($C777,12,15)&gt;$T$768)),0,IF(DATE($C777,12,15)&gt;=$X$768,$AA$768*(1+($U$768)/100)^MAX(0,$C777-$AD$768),IF(DATE($C777,12,15)&gt;=$W$768,$Z$768*(1+($U$768)/100)^MAX(0,$C777-$AC$768),IF(DATE($C777,12,15)&gt;=$V$768,$Y$768*(1+($U$768)/100)^MAX(0,$C777-$AB$768),0)))))</f>
      </c>
      <c r="Q777" s="43">
        <f>SUM($E777:$P777)</f>
      </c>
    </row>
    <row r="778">
      <c r="A778"/>
      <c r="B778">
        <v>25</v>
      </c>
      <c r="C778" s="43">
        <f>Jahr+10</f>
      </c>
      <c r="D778" s="43">
        <f>INDEX(MvObj,25)</f>
      </c>
      <c r="E778" s="43">
        <f>IF($S$768=0,0,IF(OR(DATE($C778,1,15)&lt;$S$768,AND($T$768&gt;0,DATE($C778,1,15)&gt;$T$768)),0,IF(DATE($C778,1,15)&gt;=$X$768,$AA$768*(1+($U$768)/100)^MAX(0,$C778-$AD$768),IF(DATE($C778,1,15)&gt;=$W$768,$Z$768*(1+($U$768)/100)^MAX(0,$C778-$AC$768),IF(DATE($C778,1,15)&gt;=$V$768,$Y$768*(1+($U$768)/100)^MAX(0,$C778-$AB$768),0)))))</f>
      </c>
      <c r="F778" s="43">
        <f>IF($S$768=0,0,IF(OR(DATE($C778,2,15)&lt;$S$768,AND($T$768&gt;0,DATE($C778,2,15)&gt;$T$768)),0,IF(DATE($C778,2,15)&gt;=$X$768,$AA$768*(1+($U$768)/100)^MAX(0,$C778-$AD$768),IF(DATE($C778,2,15)&gt;=$W$768,$Z$768*(1+($U$768)/100)^MAX(0,$C778-$AC$768),IF(DATE($C778,2,15)&gt;=$V$768,$Y$768*(1+($U$768)/100)^MAX(0,$C778-$AB$768),0)))))</f>
      </c>
      <c r="G778" s="43">
        <f>IF($S$768=0,0,IF(OR(DATE($C778,3,15)&lt;$S$768,AND($T$768&gt;0,DATE($C778,3,15)&gt;$T$768)),0,IF(DATE($C778,3,15)&gt;=$X$768,$AA$768*(1+($U$768)/100)^MAX(0,$C778-$AD$768),IF(DATE($C778,3,15)&gt;=$W$768,$Z$768*(1+($U$768)/100)^MAX(0,$C778-$AC$768),IF(DATE($C778,3,15)&gt;=$V$768,$Y$768*(1+($U$768)/100)^MAX(0,$C778-$AB$768),0)))))</f>
      </c>
      <c r="H778" s="43">
        <f>IF($S$768=0,0,IF(OR(DATE($C778,4,15)&lt;$S$768,AND($T$768&gt;0,DATE($C778,4,15)&gt;$T$768)),0,IF(DATE($C778,4,15)&gt;=$X$768,$AA$768*(1+($U$768)/100)^MAX(0,$C778-$AD$768),IF(DATE($C778,4,15)&gt;=$W$768,$Z$768*(1+($U$768)/100)^MAX(0,$C778-$AC$768),IF(DATE($C778,4,15)&gt;=$V$768,$Y$768*(1+($U$768)/100)^MAX(0,$C778-$AB$768),0)))))</f>
      </c>
      <c r="I778" s="43">
        <f>IF($S$768=0,0,IF(OR(DATE($C778,5,15)&lt;$S$768,AND($T$768&gt;0,DATE($C778,5,15)&gt;$T$768)),0,IF(DATE($C778,5,15)&gt;=$X$768,$AA$768*(1+($U$768)/100)^MAX(0,$C778-$AD$768),IF(DATE($C778,5,15)&gt;=$W$768,$Z$768*(1+($U$768)/100)^MAX(0,$C778-$AC$768),IF(DATE($C778,5,15)&gt;=$V$768,$Y$768*(1+($U$768)/100)^MAX(0,$C778-$AB$768),0)))))</f>
      </c>
      <c r="J778" s="43">
        <f>IF($S$768=0,0,IF(OR(DATE($C778,6,15)&lt;$S$768,AND($T$768&gt;0,DATE($C778,6,15)&gt;$T$768)),0,IF(DATE($C778,6,15)&gt;=$X$768,$AA$768*(1+($U$768)/100)^MAX(0,$C778-$AD$768),IF(DATE($C778,6,15)&gt;=$W$768,$Z$768*(1+($U$768)/100)^MAX(0,$C778-$AC$768),IF(DATE($C778,6,15)&gt;=$V$768,$Y$768*(1+($U$768)/100)^MAX(0,$C778-$AB$768),0)))))</f>
      </c>
      <c r="K778" s="43">
        <f>IF($S$768=0,0,IF(OR(DATE($C778,7,15)&lt;$S$768,AND($T$768&gt;0,DATE($C778,7,15)&gt;$T$768)),0,IF(DATE($C778,7,15)&gt;=$X$768,$AA$768*(1+($U$768)/100)^MAX(0,$C778-$AD$768),IF(DATE($C778,7,15)&gt;=$W$768,$Z$768*(1+($U$768)/100)^MAX(0,$C778-$AC$768),IF(DATE($C778,7,15)&gt;=$V$768,$Y$768*(1+($U$768)/100)^MAX(0,$C778-$AB$768),0)))))</f>
      </c>
      <c r="L778" s="43">
        <f>IF($S$768=0,0,IF(OR(DATE($C778,8,15)&lt;$S$768,AND($T$768&gt;0,DATE($C778,8,15)&gt;$T$768)),0,IF(DATE($C778,8,15)&gt;=$X$768,$AA$768*(1+($U$768)/100)^MAX(0,$C778-$AD$768),IF(DATE($C778,8,15)&gt;=$W$768,$Z$768*(1+($U$768)/100)^MAX(0,$C778-$AC$768),IF(DATE($C778,8,15)&gt;=$V$768,$Y$768*(1+($U$768)/100)^MAX(0,$C778-$AB$768),0)))))</f>
      </c>
      <c r="M778" s="43">
        <f>IF($S$768=0,0,IF(OR(DATE($C778,9,15)&lt;$S$768,AND($T$768&gt;0,DATE($C778,9,15)&gt;$T$768)),0,IF(DATE($C778,9,15)&gt;=$X$768,$AA$768*(1+($U$768)/100)^MAX(0,$C778-$AD$768),IF(DATE($C778,9,15)&gt;=$W$768,$Z$768*(1+($U$768)/100)^MAX(0,$C778-$AC$768),IF(DATE($C778,9,15)&gt;=$V$768,$Y$768*(1+($U$768)/100)^MAX(0,$C778-$AB$768),0)))))</f>
      </c>
      <c r="N778" s="43">
        <f>IF($S$768=0,0,IF(OR(DATE($C778,10,15)&lt;$S$768,AND($T$768&gt;0,DATE($C778,10,15)&gt;$T$768)),0,IF(DATE($C778,10,15)&gt;=$X$768,$AA$768*(1+($U$768)/100)^MAX(0,$C778-$AD$768),IF(DATE($C778,10,15)&gt;=$W$768,$Z$768*(1+($U$768)/100)^MAX(0,$C778-$AC$768),IF(DATE($C778,10,15)&gt;=$V$768,$Y$768*(1+($U$768)/100)^MAX(0,$C778-$AB$768),0)))))</f>
      </c>
      <c r="O778" s="43">
        <f>IF($S$768=0,0,IF(OR(DATE($C778,11,15)&lt;$S$768,AND($T$768&gt;0,DATE($C778,11,15)&gt;$T$768)),0,IF(DATE($C778,11,15)&gt;=$X$768,$AA$768*(1+($U$768)/100)^MAX(0,$C778-$AD$768),IF(DATE($C778,11,15)&gt;=$W$768,$Z$768*(1+($U$768)/100)^MAX(0,$C778-$AC$768),IF(DATE($C778,11,15)&gt;=$V$768,$Y$768*(1+($U$768)/100)^MAX(0,$C778-$AB$768),0)))))</f>
      </c>
      <c r="P778" s="43">
        <f>IF($S$768=0,0,IF(OR(DATE($C778,12,15)&lt;$S$768,AND($T$768&gt;0,DATE($C778,12,15)&gt;$T$768)),0,IF(DATE($C778,12,15)&gt;=$X$768,$AA$768*(1+($U$768)/100)^MAX(0,$C778-$AD$768),IF(DATE($C778,12,15)&gt;=$W$768,$Z$768*(1+($U$768)/100)^MAX(0,$C778-$AC$768),IF(DATE($C778,12,15)&gt;=$V$768,$Y$768*(1+($U$768)/100)^MAX(0,$C778-$AB$768),0)))))</f>
      </c>
      <c r="Q778" s="43">
        <f>SUM($E778:$P778)</f>
      </c>
    </row>
    <row r="779">
      <c r="A779"/>
      <c r="B779">
        <v>25</v>
      </c>
      <c r="C779" s="43">
        <f>Jahr+11</f>
      </c>
      <c r="D779" s="43">
        <f>INDEX(MvObj,25)</f>
      </c>
      <c r="E779" s="43">
        <f>IF($S$768=0,0,IF(OR(DATE($C779,1,15)&lt;$S$768,AND($T$768&gt;0,DATE($C779,1,15)&gt;$T$768)),0,IF(DATE($C779,1,15)&gt;=$X$768,$AA$768*(1+($U$768)/100)^MAX(0,$C779-$AD$768),IF(DATE($C779,1,15)&gt;=$W$768,$Z$768*(1+($U$768)/100)^MAX(0,$C779-$AC$768),IF(DATE($C779,1,15)&gt;=$V$768,$Y$768*(1+($U$768)/100)^MAX(0,$C779-$AB$768),0)))))</f>
      </c>
      <c r="F779" s="43">
        <f>IF($S$768=0,0,IF(OR(DATE($C779,2,15)&lt;$S$768,AND($T$768&gt;0,DATE($C779,2,15)&gt;$T$768)),0,IF(DATE($C779,2,15)&gt;=$X$768,$AA$768*(1+($U$768)/100)^MAX(0,$C779-$AD$768),IF(DATE($C779,2,15)&gt;=$W$768,$Z$768*(1+($U$768)/100)^MAX(0,$C779-$AC$768),IF(DATE($C779,2,15)&gt;=$V$768,$Y$768*(1+($U$768)/100)^MAX(0,$C779-$AB$768),0)))))</f>
      </c>
      <c r="G779" s="43">
        <f>IF($S$768=0,0,IF(OR(DATE($C779,3,15)&lt;$S$768,AND($T$768&gt;0,DATE($C779,3,15)&gt;$T$768)),0,IF(DATE($C779,3,15)&gt;=$X$768,$AA$768*(1+($U$768)/100)^MAX(0,$C779-$AD$768),IF(DATE($C779,3,15)&gt;=$W$768,$Z$768*(1+($U$768)/100)^MAX(0,$C779-$AC$768),IF(DATE($C779,3,15)&gt;=$V$768,$Y$768*(1+($U$768)/100)^MAX(0,$C779-$AB$768),0)))))</f>
      </c>
      <c r="H779" s="43">
        <f>IF($S$768=0,0,IF(OR(DATE($C779,4,15)&lt;$S$768,AND($T$768&gt;0,DATE($C779,4,15)&gt;$T$768)),0,IF(DATE($C779,4,15)&gt;=$X$768,$AA$768*(1+($U$768)/100)^MAX(0,$C779-$AD$768),IF(DATE($C779,4,15)&gt;=$W$768,$Z$768*(1+($U$768)/100)^MAX(0,$C779-$AC$768),IF(DATE($C779,4,15)&gt;=$V$768,$Y$768*(1+($U$768)/100)^MAX(0,$C779-$AB$768),0)))))</f>
      </c>
      <c r="I779" s="43">
        <f>IF($S$768=0,0,IF(OR(DATE($C779,5,15)&lt;$S$768,AND($T$768&gt;0,DATE($C779,5,15)&gt;$T$768)),0,IF(DATE($C779,5,15)&gt;=$X$768,$AA$768*(1+($U$768)/100)^MAX(0,$C779-$AD$768),IF(DATE($C779,5,15)&gt;=$W$768,$Z$768*(1+($U$768)/100)^MAX(0,$C779-$AC$768),IF(DATE($C779,5,15)&gt;=$V$768,$Y$768*(1+($U$768)/100)^MAX(0,$C779-$AB$768),0)))))</f>
      </c>
      <c r="J779" s="43">
        <f>IF($S$768=0,0,IF(OR(DATE($C779,6,15)&lt;$S$768,AND($T$768&gt;0,DATE($C779,6,15)&gt;$T$768)),0,IF(DATE($C779,6,15)&gt;=$X$768,$AA$768*(1+($U$768)/100)^MAX(0,$C779-$AD$768),IF(DATE($C779,6,15)&gt;=$W$768,$Z$768*(1+($U$768)/100)^MAX(0,$C779-$AC$768),IF(DATE($C779,6,15)&gt;=$V$768,$Y$768*(1+($U$768)/100)^MAX(0,$C779-$AB$768),0)))))</f>
      </c>
      <c r="K779" s="43">
        <f>IF($S$768=0,0,IF(OR(DATE($C779,7,15)&lt;$S$768,AND($T$768&gt;0,DATE($C779,7,15)&gt;$T$768)),0,IF(DATE($C779,7,15)&gt;=$X$768,$AA$768*(1+($U$768)/100)^MAX(0,$C779-$AD$768),IF(DATE($C779,7,15)&gt;=$W$768,$Z$768*(1+($U$768)/100)^MAX(0,$C779-$AC$768),IF(DATE($C779,7,15)&gt;=$V$768,$Y$768*(1+($U$768)/100)^MAX(0,$C779-$AB$768),0)))))</f>
      </c>
      <c r="L779" s="43">
        <f>IF($S$768=0,0,IF(OR(DATE($C779,8,15)&lt;$S$768,AND($T$768&gt;0,DATE($C779,8,15)&gt;$T$768)),0,IF(DATE($C779,8,15)&gt;=$X$768,$AA$768*(1+($U$768)/100)^MAX(0,$C779-$AD$768),IF(DATE($C779,8,15)&gt;=$W$768,$Z$768*(1+($U$768)/100)^MAX(0,$C779-$AC$768),IF(DATE($C779,8,15)&gt;=$V$768,$Y$768*(1+($U$768)/100)^MAX(0,$C779-$AB$768),0)))))</f>
      </c>
      <c r="M779" s="43">
        <f>IF($S$768=0,0,IF(OR(DATE($C779,9,15)&lt;$S$768,AND($T$768&gt;0,DATE($C779,9,15)&gt;$T$768)),0,IF(DATE($C779,9,15)&gt;=$X$768,$AA$768*(1+($U$768)/100)^MAX(0,$C779-$AD$768),IF(DATE($C779,9,15)&gt;=$W$768,$Z$768*(1+($U$768)/100)^MAX(0,$C779-$AC$768),IF(DATE($C779,9,15)&gt;=$V$768,$Y$768*(1+($U$768)/100)^MAX(0,$C779-$AB$768),0)))))</f>
      </c>
      <c r="N779" s="43">
        <f>IF($S$768=0,0,IF(OR(DATE($C779,10,15)&lt;$S$768,AND($T$768&gt;0,DATE($C779,10,15)&gt;$T$768)),0,IF(DATE($C779,10,15)&gt;=$X$768,$AA$768*(1+($U$768)/100)^MAX(0,$C779-$AD$768),IF(DATE($C779,10,15)&gt;=$W$768,$Z$768*(1+($U$768)/100)^MAX(0,$C779-$AC$768),IF(DATE($C779,10,15)&gt;=$V$768,$Y$768*(1+($U$768)/100)^MAX(0,$C779-$AB$768),0)))))</f>
      </c>
      <c r="O779" s="43">
        <f>IF($S$768=0,0,IF(OR(DATE($C779,11,15)&lt;$S$768,AND($T$768&gt;0,DATE($C779,11,15)&gt;$T$768)),0,IF(DATE($C779,11,15)&gt;=$X$768,$AA$768*(1+($U$768)/100)^MAX(0,$C779-$AD$768),IF(DATE($C779,11,15)&gt;=$W$768,$Z$768*(1+($U$768)/100)^MAX(0,$C779-$AC$768),IF(DATE($C779,11,15)&gt;=$V$768,$Y$768*(1+($U$768)/100)^MAX(0,$C779-$AB$768),0)))))</f>
      </c>
      <c r="P779" s="43">
        <f>IF($S$768=0,0,IF(OR(DATE($C779,12,15)&lt;$S$768,AND($T$768&gt;0,DATE($C779,12,15)&gt;$T$768)),0,IF(DATE($C779,12,15)&gt;=$X$768,$AA$768*(1+($U$768)/100)^MAX(0,$C779-$AD$768),IF(DATE($C779,12,15)&gt;=$W$768,$Z$768*(1+($U$768)/100)^MAX(0,$C779-$AC$768),IF(DATE($C779,12,15)&gt;=$V$768,$Y$768*(1+($U$768)/100)^MAX(0,$C779-$AB$768),0)))))</f>
      </c>
      <c r="Q779" s="43">
        <f>SUM($E779:$P779)</f>
      </c>
    </row>
    <row r="780">
      <c r="A780"/>
      <c r="B780">
        <v>25</v>
      </c>
      <c r="C780" s="43">
        <f>Jahr+12</f>
      </c>
      <c r="D780" s="43">
        <f>INDEX(MvObj,25)</f>
      </c>
      <c r="E780" s="43">
        <f>IF($S$768=0,0,IF(OR(DATE($C780,1,15)&lt;$S$768,AND($T$768&gt;0,DATE($C780,1,15)&gt;$T$768)),0,IF(DATE($C780,1,15)&gt;=$X$768,$AA$768*(1+($U$768)/100)^MAX(0,$C780-$AD$768),IF(DATE($C780,1,15)&gt;=$W$768,$Z$768*(1+($U$768)/100)^MAX(0,$C780-$AC$768),IF(DATE($C780,1,15)&gt;=$V$768,$Y$768*(1+($U$768)/100)^MAX(0,$C780-$AB$768),0)))))</f>
      </c>
      <c r="F780" s="43">
        <f>IF($S$768=0,0,IF(OR(DATE($C780,2,15)&lt;$S$768,AND($T$768&gt;0,DATE($C780,2,15)&gt;$T$768)),0,IF(DATE($C780,2,15)&gt;=$X$768,$AA$768*(1+($U$768)/100)^MAX(0,$C780-$AD$768),IF(DATE($C780,2,15)&gt;=$W$768,$Z$768*(1+($U$768)/100)^MAX(0,$C780-$AC$768),IF(DATE($C780,2,15)&gt;=$V$768,$Y$768*(1+($U$768)/100)^MAX(0,$C780-$AB$768),0)))))</f>
      </c>
      <c r="G780" s="43">
        <f>IF($S$768=0,0,IF(OR(DATE($C780,3,15)&lt;$S$768,AND($T$768&gt;0,DATE($C780,3,15)&gt;$T$768)),0,IF(DATE($C780,3,15)&gt;=$X$768,$AA$768*(1+($U$768)/100)^MAX(0,$C780-$AD$768),IF(DATE($C780,3,15)&gt;=$W$768,$Z$768*(1+($U$768)/100)^MAX(0,$C780-$AC$768),IF(DATE($C780,3,15)&gt;=$V$768,$Y$768*(1+($U$768)/100)^MAX(0,$C780-$AB$768),0)))))</f>
      </c>
      <c r="H780" s="43">
        <f>IF($S$768=0,0,IF(OR(DATE($C780,4,15)&lt;$S$768,AND($T$768&gt;0,DATE($C780,4,15)&gt;$T$768)),0,IF(DATE($C780,4,15)&gt;=$X$768,$AA$768*(1+($U$768)/100)^MAX(0,$C780-$AD$768),IF(DATE($C780,4,15)&gt;=$W$768,$Z$768*(1+($U$768)/100)^MAX(0,$C780-$AC$768),IF(DATE($C780,4,15)&gt;=$V$768,$Y$768*(1+($U$768)/100)^MAX(0,$C780-$AB$768),0)))))</f>
      </c>
      <c r="I780" s="43">
        <f>IF($S$768=0,0,IF(OR(DATE($C780,5,15)&lt;$S$768,AND($T$768&gt;0,DATE($C780,5,15)&gt;$T$768)),0,IF(DATE($C780,5,15)&gt;=$X$768,$AA$768*(1+($U$768)/100)^MAX(0,$C780-$AD$768),IF(DATE($C780,5,15)&gt;=$W$768,$Z$768*(1+($U$768)/100)^MAX(0,$C780-$AC$768),IF(DATE($C780,5,15)&gt;=$V$768,$Y$768*(1+($U$768)/100)^MAX(0,$C780-$AB$768),0)))))</f>
      </c>
      <c r="J780" s="43">
        <f>IF($S$768=0,0,IF(OR(DATE($C780,6,15)&lt;$S$768,AND($T$768&gt;0,DATE($C780,6,15)&gt;$T$768)),0,IF(DATE($C780,6,15)&gt;=$X$768,$AA$768*(1+($U$768)/100)^MAX(0,$C780-$AD$768),IF(DATE($C780,6,15)&gt;=$W$768,$Z$768*(1+($U$768)/100)^MAX(0,$C780-$AC$768),IF(DATE($C780,6,15)&gt;=$V$768,$Y$768*(1+($U$768)/100)^MAX(0,$C780-$AB$768),0)))))</f>
      </c>
      <c r="K780" s="43">
        <f>IF($S$768=0,0,IF(OR(DATE($C780,7,15)&lt;$S$768,AND($T$768&gt;0,DATE($C780,7,15)&gt;$T$768)),0,IF(DATE($C780,7,15)&gt;=$X$768,$AA$768*(1+($U$768)/100)^MAX(0,$C780-$AD$768),IF(DATE($C780,7,15)&gt;=$W$768,$Z$768*(1+($U$768)/100)^MAX(0,$C780-$AC$768),IF(DATE($C780,7,15)&gt;=$V$768,$Y$768*(1+($U$768)/100)^MAX(0,$C780-$AB$768),0)))))</f>
      </c>
      <c r="L780" s="43">
        <f>IF($S$768=0,0,IF(OR(DATE($C780,8,15)&lt;$S$768,AND($T$768&gt;0,DATE($C780,8,15)&gt;$T$768)),0,IF(DATE($C780,8,15)&gt;=$X$768,$AA$768*(1+($U$768)/100)^MAX(0,$C780-$AD$768),IF(DATE($C780,8,15)&gt;=$W$768,$Z$768*(1+($U$768)/100)^MAX(0,$C780-$AC$768),IF(DATE($C780,8,15)&gt;=$V$768,$Y$768*(1+($U$768)/100)^MAX(0,$C780-$AB$768),0)))))</f>
      </c>
      <c r="M780" s="43">
        <f>IF($S$768=0,0,IF(OR(DATE($C780,9,15)&lt;$S$768,AND($T$768&gt;0,DATE($C780,9,15)&gt;$T$768)),0,IF(DATE($C780,9,15)&gt;=$X$768,$AA$768*(1+($U$768)/100)^MAX(0,$C780-$AD$768),IF(DATE($C780,9,15)&gt;=$W$768,$Z$768*(1+($U$768)/100)^MAX(0,$C780-$AC$768),IF(DATE($C780,9,15)&gt;=$V$768,$Y$768*(1+($U$768)/100)^MAX(0,$C780-$AB$768),0)))))</f>
      </c>
      <c r="N780" s="43">
        <f>IF($S$768=0,0,IF(OR(DATE($C780,10,15)&lt;$S$768,AND($T$768&gt;0,DATE($C780,10,15)&gt;$T$768)),0,IF(DATE($C780,10,15)&gt;=$X$768,$AA$768*(1+($U$768)/100)^MAX(0,$C780-$AD$768),IF(DATE($C780,10,15)&gt;=$W$768,$Z$768*(1+($U$768)/100)^MAX(0,$C780-$AC$768),IF(DATE($C780,10,15)&gt;=$V$768,$Y$768*(1+($U$768)/100)^MAX(0,$C780-$AB$768),0)))))</f>
      </c>
      <c r="O780" s="43">
        <f>IF($S$768=0,0,IF(OR(DATE($C780,11,15)&lt;$S$768,AND($T$768&gt;0,DATE($C780,11,15)&gt;$T$768)),0,IF(DATE($C780,11,15)&gt;=$X$768,$AA$768*(1+($U$768)/100)^MAX(0,$C780-$AD$768),IF(DATE($C780,11,15)&gt;=$W$768,$Z$768*(1+($U$768)/100)^MAX(0,$C780-$AC$768),IF(DATE($C780,11,15)&gt;=$V$768,$Y$768*(1+($U$768)/100)^MAX(0,$C780-$AB$768),0)))))</f>
      </c>
      <c r="P780" s="43">
        <f>IF($S$768=0,0,IF(OR(DATE($C780,12,15)&lt;$S$768,AND($T$768&gt;0,DATE($C780,12,15)&gt;$T$768)),0,IF(DATE($C780,12,15)&gt;=$X$768,$AA$768*(1+($U$768)/100)^MAX(0,$C780-$AD$768),IF(DATE($C780,12,15)&gt;=$W$768,$Z$768*(1+($U$768)/100)^MAX(0,$C780-$AC$768),IF(DATE($C780,12,15)&gt;=$V$768,$Y$768*(1+($U$768)/100)^MAX(0,$C780-$AB$768),0)))))</f>
      </c>
      <c r="Q780" s="43">
        <f>SUM($E780:$P780)</f>
      </c>
    </row>
    <row r="781">
      <c r="A781"/>
      <c r="B781">
        <v>25</v>
      </c>
      <c r="C781" s="43">
        <f>Jahr+13</f>
      </c>
      <c r="D781" s="43">
        <f>INDEX(MvObj,25)</f>
      </c>
      <c r="E781" s="43">
        <f>IF($S$768=0,0,IF(OR(DATE($C781,1,15)&lt;$S$768,AND($T$768&gt;0,DATE($C781,1,15)&gt;$T$768)),0,IF(DATE($C781,1,15)&gt;=$X$768,$AA$768*(1+($U$768)/100)^MAX(0,$C781-$AD$768),IF(DATE($C781,1,15)&gt;=$W$768,$Z$768*(1+($U$768)/100)^MAX(0,$C781-$AC$768),IF(DATE($C781,1,15)&gt;=$V$768,$Y$768*(1+($U$768)/100)^MAX(0,$C781-$AB$768),0)))))</f>
      </c>
      <c r="F781" s="43">
        <f>IF($S$768=0,0,IF(OR(DATE($C781,2,15)&lt;$S$768,AND($T$768&gt;0,DATE($C781,2,15)&gt;$T$768)),0,IF(DATE($C781,2,15)&gt;=$X$768,$AA$768*(1+($U$768)/100)^MAX(0,$C781-$AD$768),IF(DATE($C781,2,15)&gt;=$W$768,$Z$768*(1+($U$768)/100)^MAX(0,$C781-$AC$768),IF(DATE($C781,2,15)&gt;=$V$768,$Y$768*(1+($U$768)/100)^MAX(0,$C781-$AB$768),0)))))</f>
      </c>
      <c r="G781" s="43">
        <f>IF($S$768=0,0,IF(OR(DATE($C781,3,15)&lt;$S$768,AND($T$768&gt;0,DATE($C781,3,15)&gt;$T$768)),0,IF(DATE($C781,3,15)&gt;=$X$768,$AA$768*(1+($U$768)/100)^MAX(0,$C781-$AD$768),IF(DATE($C781,3,15)&gt;=$W$768,$Z$768*(1+($U$768)/100)^MAX(0,$C781-$AC$768),IF(DATE($C781,3,15)&gt;=$V$768,$Y$768*(1+($U$768)/100)^MAX(0,$C781-$AB$768),0)))))</f>
      </c>
      <c r="H781" s="43">
        <f>IF($S$768=0,0,IF(OR(DATE($C781,4,15)&lt;$S$768,AND($T$768&gt;0,DATE($C781,4,15)&gt;$T$768)),0,IF(DATE($C781,4,15)&gt;=$X$768,$AA$768*(1+($U$768)/100)^MAX(0,$C781-$AD$768),IF(DATE($C781,4,15)&gt;=$W$768,$Z$768*(1+($U$768)/100)^MAX(0,$C781-$AC$768),IF(DATE($C781,4,15)&gt;=$V$768,$Y$768*(1+($U$768)/100)^MAX(0,$C781-$AB$768),0)))))</f>
      </c>
      <c r="I781" s="43">
        <f>IF($S$768=0,0,IF(OR(DATE($C781,5,15)&lt;$S$768,AND($T$768&gt;0,DATE($C781,5,15)&gt;$T$768)),0,IF(DATE($C781,5,15)&gt;=$X$768,$AA$768*(1+($U$768)/100)^MAX(0,$C781-$AD$768),IF(DATE($C781,5,15)&gt;=$W$768,$Z$768*(1+($U$768)/100)^MAX(0,$C781-$AC$768),IF(DATE($C781,5,15)&gt;=$V$768,$Y$768*(1+($U$768)/100)^MAX(0,$C781-$AB$768),0)))))</f>
      </c>
      <c r="J781" s="43">
        <f>IF($S$768=0,0,IF(OR(DATE($C781,6,15)&lt;$S$768,AND($T$768&gt;0,DATE($C781,6,15)&gt;$T$768)),0,IF(DATE($C781,6,15)&gt;=$X$768,$AA$768*(1+($U$768)/100)^MAX(0,$C781-$AD$768),IF(DATE($C781,6,15)&gt;=$W$768,$Z$768*(1+($U$768)/100)^MAX(0,$C781-$AC$768),IF(DATE($C781,6,15)&gt;=$V$768,$Y$768*(1+($U$768)/100)^MAX(0,$C781-$AB$768),0)))))</f>
      </c>
      <c r="K781" s="43">
        <f>IF($S$768=0,0,IF(OR(DATE($C781,7,15)&lt;$S$768,AND($T$768&gt;0,DATE($C781,7,15)&gt;$T$768)),0,IF(DATE($C781,7,15)&gt;=$X$768,$AA$768*(1+($U$768)/100)^MAX(0,$C781-$AD$768),IF(DATE($C781,7,15)&gt;=$W$768,$Z$768*(1+($U$768)/100)^MAX(0,$C781-$AC$768),IF(DATE($C781,7,15)&gt;=$V$768,$Y$768*(1+($U$768)/100)^MAX(0,$C781-$AB$768),0)))))</f>
      </c>
      <c r="L781" s="43">
        <f>IF($S$768=0,0,IF(OR(DATE($C781,8,15)&lt;$S$768,AND($T$768&gt;0,DATE($C781,8,15)&gt;$T$768)),0,IF(DATE($C781,8,15)&gt;=$X$768,$AA$768*(1+($U$768)/100)^MAX(0,$C781-$AD$768),IF(DATE($C781,8,15)&gt;=$W$768,$Z$768*(1+($U$768)/100)^MAX(0,$C781-$AC$768),IF(DATE($C781,8,15)&gt;=$V$768,$Y$768*(1+($U$768)/100)^MAX(0,$C781-$AB$768),0)))))</f>
      </c>
      <c r="M781" s="43">
        <f>IF($S$768=0,0,IF(OR(DATE($C781,9,15)&lt;$S$768,AND($T$768&gt;0,DATE($C781,9,15)&gt;$T$768)),0,IF(DATE($C781,9,15)&gt;=$X$768,$AA$768*(1+($U$768)/100)^MAX(0,$C781-$AD$768),IF(DATE($C781,9,15)&gt;=$W$768,$Z$768*(1+($U$768)/100)^MAX(0,$C781-$AC$768),IF(DATE($C781,9,15)&gt;=$V$768,$Y$768*(1+($U$768)/100)^MAX(0,$C781-$AB$768),0)))))</f>
      </c>
      <c r="N781" s="43">
        <f>IF($S$768=0,0,IF(OR(DATE($C781,10,15)&lt;$S$768,AND($T$768&gt;0,DATE($C781,10,15)&gt;$T$768)),0,IF(DATE($C781,10,15)&gt;=$X$768,$AA$768*(1+($U$768)/100)^MAX(0,$C781-$AD$768),IF(DATE($C781,10,15)&gt;=$W$768,$Z$768*(1+($U$768)/100)^MAX(0,$C781-$AC$768),IF(DATE($C781,10,15)&gt;=$V$768,$Y$768*(1+($U$768)/100)^MAX(0,$C781-$AB$768),0)))))</f>
      </c>
      <c r="O781" s="43">
        <f>IF($S$768=0,0,IF(OR(DATE($C781,11,15)&lt;$S$768,AND($T$768&gt;0,DATE($C781,11,15)&gt;$T$768)),0,IF(DATE($C781,11,15)&gt;=$X$768,$AA$768*(1+($U$768)/100)^MAX(0,$C781-$AD$768),IF(DATE($C781,11,15)&gt;=$W$768,$Z$768*(1+($U$768)/100)^MAX(0,$C781-$AC$768),IF(DATE($C781,11,15)&gt;=$V$768,$Y$768*(1+($U$768)/100)^MAX(0,$C781-$AB$768),0)))))</f>
      </c>
      <c r="P781" s="43">
        <f>IF($S$768=0,0,IF(OR(DATE($C781,12,15)&lt;$S$768,AND($T$768&gt;0,DATE($C781,12,15)&gt;$T$768)),0,IF(DATE($C781,12,15)&gt;=$X$768,$AA$768*(1+($U$768)/100)^MAX(0,$C781-$AD$768),IF(DATE($C781,12,15)&gt;=$W$768,$Z$768*(1+($U$768)/100)^MAX(0,$C781-$AC$768),IF(DATE($C781,12,15)&gt;=$V$768,$Y$768*(1+($U$768)/100)^MAX(0,$C781-$AB$768),0)))))</f>
      </c>
      <c r="Q781" s="43">
        <f>SUM($E781:$P781)</f>
      </c>
    </row>
    <row r="782">
      <c r="A782"/>
      <c r="B782">
        <v>25</v>
      </c>
      <c r="C782" s="43">
        <f>Jahr+14</f>
      </c>
      <c r="D782" s="43">
        <f>INDEX(MvObj,25)</f>
      </c>
      <c r="E782" s="43">
        <f>IF($S$768=0,0,IF(OR(DATE($C782,1,15)&lt;$S$768,AND($T$768&gt;0,DATE($C782,1,15)&gt;$T$768)),0,IF(DATE($C782,1,15)&gt;=$X$768,$AA$768*(1+($U$768)/100)^MAX(0,$C782-$AD$768),IF(DATE($C782,1,15)&gt;=$W$768,$Z$768*(1+($U$768)/100)^MAX(0,$C782-$AC$768),IF(DATE($C782,1,15)&gt;=$V$768,$Y$768*(1+($U$768)/100)^MAX(0,$C782-$AB$768),0)))))</f>
      </c>
      <c r="F782" s="43">
        <f>IF($S$768=0,0,IF(OR(DATE($C782,2,15)&lt;$S$768,AND($T$768&gt;0,DATE($C782,2,15)&gt;$T$768)),0,IF(DATE($C782,2,15)&gt;=$X$768,$AA$768*(1+($U$768)/100)^MAX(0,$C782-$AD$768),IF(DATE($C782,2,15)&gt;=$W$768,$Z$768*(1+($U$768)/100)^MAX(0,$C782-$AC$768),IF(DATE($C782,2,15)&gt;=$V$768,$Y$768*(1+($U$768)/100)^MAX(0,$C782-$AB$768),0)))))</f>
      </c>
      <c r="G782" s="43">
        <f>IF($S$768=0,0,IF(OR(DATE($C782,3,15)&lt;$S$768,AND($T$768&gt;0,DATE($C782,3,15)&gt;$T$768)),0,IF(DATE($C782,3,15)&gt;=$X$768,$AA$768*(1+($U$768)/100)^MAX(0,$C782-$AD$768),IF(DATE($C782,3,15)&gt;=$W$768,$Z$768*(1+($U$768)/100)^MAX(0,$C782-$AC$768),IF(DATE($C782,3,15)&gt;=$V$768,$Y$768*(1+($U$768)/100)^MAX(0,$C782-$AB$768),0)))))</f>
      </c>
      <c r="H782" s="43">
        <f>IF($S$768=0,0,IF(OR(DATE($C782,4,15)&lt;$S$768,AND($T$768&gt;0,DATE($C782,4,15)&gt;$T$768)),0,IF(DATE($C782,4,15)&gt;=$X$768,$AA$768*(1+($U$768)/100)^MAX(0,$C782-$AD$768),IF(DATE($C782,4,15)&gt;=$W$768,$Z$768*(1+($U$768)/100)^MAX(0,$C782-$AC$768),IF(DATE($C782,4,15)&gt;=$V$768,$Y$768*(1+($U$768)/100)^MAX(0,$C782-$AB$768),0)))))</f>
      </c>
      <c r="I782" s="43">
        <f>IF($S$768=0,0,IF(OR(DATE($C782,5,15)&lt;$S$768,AND($T$768&gt;0,DATE($C782,5,15)&gt;$T$768)),0,IF(DATE($C782,5,15)&gt;=$X$768,$AA$768*(1+($U$768)/100)^MAX(0,$C782-$AD$768),IF(DATE($C782,5,15)&gt;=$W$768,$Z$768*(1+($U$768)/100)^MAX(0,$C782-$AC$768),IF(DATE($C782,5,15)&gt;=$V$768,$Y$768*(1+($U$768)/100)^MAX(0,$C782-$AB$768),0)))))</f>
      </c>
      <c r="J782" s="43">
        <f>IF($S$768=0,0,IF(OR(DATE($C782,6,15)&lt;$S$768,AND($T$768&gt;0,DATE($C782,6,15)&gt;$T$768)),0,IF(DATE($C782,6,15)&gt;=$X$768,$AA$768*(1+($U$768)/100)^MAX(0,$C782-$AD$768),IF(DATE($C782,6,15)&gt;=$W$768,$Z$768*(1+($U$768)/100)^MAX(0,$C782-$AC$768),IF(DATE($C782,6,15)&gt;=$V$768,$Y$768*(1+($U$768)/100)^MAX(0,$C782-$AB$768),0)))))</f>
      </c>
      <c r="K782" s="43">
        <f>IF($S$768=0,0,IF(OR(DATE($C782,7,15)&lt;$S$768,AND($T$768&gt;0,DATE($C782,7,15)&gt;$T$768)),0,IF(DATE($C782,7,15)&gt;=$X$768,$AA$768*(1+($U$768)/100)^MAX(0,$C782-$AD$768),IF(DATE($C782,7,15)&gt;=$W$768,$Z$768*(1+($U$768)/100)^MAX(0,$C782-$AC$768),IF(DATE($C782,7,15)&gt;=$V$768,$Y$768*(1+($U$768)/100)^MAX(0,$C782-$AB$768),0)))))</f>
      </c>
      <c r="L782" s="43">
        <f>IF($S$768=0,0,IF(OR(DATE($C782,8,15)&lt;$S$768,AND($T$768&gt;0,DATE($C782,8,15)&gt;$T$768)),0,IF(DATE($C782,8,15)&gt;=$X$768,$AA$768*(1+($U$768)/100)^MAX(0,$C782-$AD$768),IF(DATE($C782,8,15)&gt;=$W$768,$Z$768*(1+($U$768)/100)^MAX(0,$C782-$AC$768),IF(DATE($C782,8,15)&gt;=$V$768,$Y$768*(1+($U$768)/100)^MAX(0,$C782-$AB$768),0)))))</f>
      </c>
      <c r="M782" s="43">
        <f>IF($S$768=0,0,IF(OR(DATE($C782,9,15)&lt;$S$768,AND($T$768&gt;0,DATE($C782,9,15)&gt;$T$768)),0,IF(DATE($C782,9,15)&gt;=$X$768,$AA$768*(1+($U$768)/100)^MAX(0,$C782-$AD$768),IF(DATE($C782,9,15)&gt;=$W$768,$Z$768*(1+($U$768)/100)^MAX(0,$C782-$AC$768),IF(DATE($C782,9,15)&gt;=$V$768,$Y$768*(1+($U$768)/100)^MAX(0,$C782-$AB$768),0)))))</f>
      </c>
      <c r="N782" s="43">
        <f>IF($S$768=0,0,IF(OR(DATE($C782,10,15)&lt;$S$768,AND($T$768&gt;0,DATE($C782,10,15)&gt;$T$768)),0,IF(DATE($C782,10,15)&gt;=$X$768,$AA$768*(1+($U$768)/100)^MAX(0,$C782-$AD$768),IF(DATE($C782,10,15)&gt;=$W$768,$Z$768*(1+($U$768)/100)^MAX(0,$C782-$AC$768),IF(DATE($C782,10,15)&gt;=$V$768,$Y$768*(1+($U$768)/100)^MAX(0,$C782-$AB$768),0)))))</f>
      </c>
      <c r="O782" s="43">
        <f>IF($S$768=0,0,IF(OR(DATE($C782,11,15)&lt;$S$768,AND($T$768&gt;0,DATE($C782,11,15)&gt;$T$768)),0,IF(DATE($C782,11,15)&gt;=$X$768,$AA$768*(1+($U$768)/100)^MAX(0,$C782-$AD$768),IF(DATE($C782,11,15)&gt;=$W$768,$Z$768*(1+($U$768)/100)^MAX(0,$C782-$AC$768),IF(DATE($C782,11,15)&gt;=$V$768,$Y$768*(1+($U$768)/100)^MAX(0,$C782-$AB$768),0)))))</f>
      </c>
      <c r="P782" s="43">
        <f>IF($S$768=0,0,IF(OR(DATE($C782,12,15)&lt;$S$768,AND($T$768&gt;0,DATE($C782,12,15)&gt;$T$768)),0,IF(DATE($C782,12,15)&gt;=$X$768,$AA$768*(1+($U$768)/100)^MAX(0,$C782-$AD$768),IF(DATE($C782,12,15)&gt;=$W$768,$Z$768*(1+($U$768)/100)^MAX(0,$C782-$AC$768),IF(DATE($C782,12,15)&gt;=$V$768,$Y$768*(1+($U$768)/100)^MAX(0,$C782-$AB$768),0)))))</f>
      </c>
      <c r="Q782" s="43">
        <f>SUM($E782:$P782)</f>
      </c>
    </row>
    <row r="783">
      <c r="A783"/>
      <c r="B783">
        <v>25</v>
      </c>
      <c r="C783" s="43">
        <f>Jahr+15</f>
      </c>
      <c r="D783" s="43">
        <f>INDEX(MvObj,25)</f>
      </c>
      <c r="E783" s="43">
        <f>IF($S$768=0,0,IF(OR(DATE($C783,1,15)&lt;$S$768,AND($T$768&gt;0,DATE($C783,1,15)&gt;$T$768)),0,IF(DATE($C783,1,15)&gt;=$X$768,$AA$768*(1+($U$768)/100)^MAX(0,$C783-$AD$768),IF(DATE($C783,1,15)&gt;=$W$768,$Z$768*(1+($U$768)/100)^MAX(0,$C783-$AC$768),IF(DATE($C783,1,15)&gt;=$V$768,$Y$768*(1+($U$768)/100)^MAX(0,$C783-$AB$768),0)))))</f>
      </c>
      <c r="F783" s="43">
        <f>IF($S$768=0,0,IF(OR(DATE($C783,2,15)&lt;$S$768,AND($T$768&gt;0,DATE($C783,2,15)&gt;$T$768)),0,IF(DATE($C783,2,15)&gt;=$X$768,$AA$768*(1+($U$768)/100)^MAX(0,$C783-$AD$768),IF(DATE($C783,2,15)&gt;=$W$768,$Z$768*(1+($U$768)/100)^MAX(0,$C783-$AC$768),IF(DATE($C783,2,15)&gt;=$V$768,$Y$768*(1+($U$768)/100)^MAX(0,$C783-$AB$768),0)))))</f>
      </c>
      <c r="G783" s="43">
        <f>IF($S$768=0,0,IF(OR(DATE($C783,3,15)&lt;$S$768,AND($T$768&gt;0,DATE($C783,3,15)&gt;$T$768)),0,IF(DATE($C783,3,15)&gt;=$X$768,$AA$768*(1+($U$768)/100)^MAX(0,$C783-$AD$768),IF(DATE($C783,3,15)&gt;=$W$768,$Z$768*(1+($U$768)/100)^MAX(0,$C783-$AC$768),IF(DATE($C783,3,15)&gt;=$V$768,$Y$768*(1+($U$768)/100)^MAX(0,$C783-$AB$768),0)))))</f>
      </c>
      <c r="H783" s="43">
        <f>IF($S$768=0,0,IF(OR(DATE($C783,4,15)&lt;$S$768,AND($T$768&gt;0,DATE($C783,4,15)&gt;$T$768)),0,IF(DATE($C783,4,15)&gt;=$X$768,$AA$768*(1+($U$768)/100)^MAX(0,$C783-$AD$768),IF(DATE($C783,4,15)&gt;=$W$768,$Z$768*(1+($U$768)/100)^MAX(0,$C783-$AC$768),IF(DATE($C783,4,15)&gt;=$V$768,$Y$768*(1+($U$768)/100)^MAX(0,$C783-$AB$768),0)))))</f>
      </c>
      <c r="I783" s="43">
        <f>IF($S$768=0,0,IF(OR(DATE($C783,5,15)&lt;$S$768,AND($T$768&gt;0,DATE($C783,5,15)&gt;$T$768)),0,IF(DATE($C783,5,15)&gt;=$X$768,$AA$768*(1+($U$768)/100)^MAX(0,$C783-$AD$768),IF(DATE($C783,5,15)&gt;=$W$768,$Z$768*(1+($U$768)/100)^MAX(0,$C783-$AC$768),IF(DATE($C783,5,15)&gt;=$V$768,$Y$768*(1+($U$768)/100)^MAX(0,$C783-$AB$768),0)))))</f>
      </c>
      <c r="J783" s="43">
        <f>IF($S$768=0,0,IF(OR(DATE($C783,6,15)&lt;$S$768,AND($T$768&gt;0,DATE($C783,6,15)&gt;$T$768)),0,IF(DATE($C783,6,15)&gt;=$X$768,$AA$768*(1+($U$768)/100)^MAX(0,$C783-$AD$768),IF(DATE($C783,6,15)&gt;=$W$768,$Z$768*(1+($U$768)/100)^MAX(0,$C783-$AC$768),IF(DATE($C783,6,15)&gt;=$V$768,$Y$768*(1+($U$768)/100)^MAX(0,$C783-$AB$768),0)))))</f>
      </c>
      <c r="K783" s="43">
        <f>IF($S$768=0,0,IF(OR(DATE($C783,7,15)&lt;$S$768,AND($T$768&gt;0,DATE($C783,7,15)&gt;$T$768)),0,IF(DATE($C783,7,15)&gt;=$X$768,$AA$768*(1+($U$768)/100)^MAX(0,$C783-$AD$768),IF(DATE($C783,7,15)&gt;=$W$768,$Z$768*(1+($U$768)/100)^MAX(0,$C783-$AC$768),IF(DATE($C783,7,15)&gt;=$V$768,$Y$768*(1+($U$768)/100)^MAX(0,$C783-$AB$768),0)))))</f>
      </c>
      <c r="L783" s="43">
        <f>IF($S$768=0,0,IF(OR(DATE($C783,8,15)&lt;$S$768,AND($T$768&gt;0,DATE($C783,8,15)&gt;$T$768)),0,IF(DATE($C783,8,15)&gt;=$X$768,$AA$768*(1+($U$768)/100)^MAX(0,$C783-$AD$768),IF(DATE($C783,8,15)&gt;=$W$768,$Z$768*(1+($U$768)/100)^MAX(0,$C783-$AC$768),IF(DATE($C783,8,15)&gt;=$V$768,$Y$768*(1+($U$768)/100)^MAX(0,$C783-$AB$768),0)))))</f>
      </c>
      <c r="M783" s="43">
        <f>IF($S$768=0,0,IF(OR(DATE($C783,9,15)&lt;$S$768,AND($T$768&gt;0,DATE($C783,9,15)&gt;$T$768)),0,IF(DATE($C783,9,15)&gt;=$X$768,$AA$768*(1+($U$768)/100)^MAX(0,$C783-$AD$768),IF(DATE($C783,9,15)&gt;=$W$768,$Z$768*(1+($U$768)/100)^MAX(0,$C783-$AC$768),IF(DATE($C783,9,15)&gt;=$V$768,$Y$768*(1+($U$768)/100)^MAX(0,$C783-$AB$768),0)))))</f>
      </c>
      <c r="N783" s="43">
        <f>IF($S$768=0,0,IF(OR(DATE($C783,10,15)&lt;$S$768,AND($T$768&gt;0,DATE($C783,10,15)&gt;$T$768)),0,IF(DATE($C783,10,15)&gt;=$X$768,$AA$768*(1+($U$768)/100)^MAX(0,$C783-$AD$768),IF(DATE($C783,10,15)&gt;=$W$768,$Z$768*(1+($U$768)/100)^MAX(0,$C783-$AC$768),IF(DATE($C783,10,15)&gt;=$V$768,$Y$768*(1+($U$768)/100)^MAX(0,$C783-$AB$768),0)))))</f>
      </c>
      <c r="O783" s="43">
        <f>IF($S$768=0,0,IF(OR(DATE($C783,11,15)&lt;$S$768,AND($T$768&gt;0,DATE($C783,11,15)&gt;$T$768)),0,IF(DATE($C783,11,15)&gt;=$X$768,$AA$768*(1+($U$768)/100)^MAX(0,$C783-$AD$768),IF(DATE($C783,11,15)&gt;=$W$768,$Z$768*(1+($U$768)/100)^MAX(0,$C783-$AC$768),IF(DATE($C783,11,15)&gt;=$V$768,$Y$768*(1+($U$768)/100)^MAX(0,$C783-$AB$768),0)))))</f>
      </c>
      <c r="P783" s="43">
        <f>IF($S$768=0,0,IF(OR(DATE($C783,12,15)&lt;$S$768,AND($T$768&gt;0,DATE($C783,12,15)&gt;$T$768)),0,IF(DATE($C783,12,15)&gt;=$X$768,$AA$768*(1+($U$768)/100)^MAX(0,$C783-$AD$768),IF(DATE($C783,12,15)&gt;=$W$768,$Z$768*(1+($U$768)/100)^MAX(0,$C783-$AC$768),IF(DATE($C783,12,15)&gt;=$V$768,$Y$768*(1+($U$768)/100)^MAX(0,$C783-$AB$768),0)))))</f>
      </c>
      <c r="Q783" s="43">
        <f>SUM($E783:$P783)</f>
      </c>
    </row>
    <row r="784">
      <c r="A784"/>
      <c r="B784">
        <v>25</v>
      </c>
      <c r="C784" s="43">
        <f>Jahr+16</f>
      </c>
      <c r="D784" s="43">
        <f>INDEX(MvObj,25)</f>
      </c>
      <c r="E784" s="43">
        <f>IF($S$768=0,0,IF(OR(DATE($C784,1,15)&lt;$S$768,AND($T$768&gt;0,DATE($C784,1,15)&gt;$T$768)),0,IF(DATE($C784,1,15)&gt;=$X$768,$AA$768*(1+($U$768)/100)^MAX(0,$C784-$AD$768),IF(DATE($C784,1,15)&gt;=$W$768,$Z$768*(1+($U$768)/100)^MAX(0,$C784-$AC$768),IF(DATE($C784,1,15)&gt;=$V$768,$Y$768*(1+($U$768)/100)^MAX(0,$C784-$AB$768),0)))))</f>
      </c>
      <c r="F784" s="43">
        <f>IF($S$768=0,0,IF(OR(DATE($C784,2,15)&lt;$S$768,AND($T$768&gt;0,DATE($C784,2,15)&gt;$T$768)),0,IF(DATE($C784,2,15)&gt;=$X$768,$AA$768*(1+($U$768)/100)^MAX(0,$C784-$AD$768),IF(DATE($C784,2,15)&gt;=$W$768,$Z$768*(1+($U$768)/100)^MAX(0,$C784-$AC$768),IF(DATE($C784,2,15)&gt;=$V$768,$Y$768*(1+($U$768)/100)^MAX(0,$C784-$AB$768),0)))))</f>
      </c>
      <c r="G784" s="43">
        <f>IF($S$768=0,0,IF(OR(DATE($C784,3,15)&lt;$S$768,AND($T$768&gt;0,DATE($C784,3,15)&gt;$T$768)),0,IF(DATE($C784,3,15)&gt;=$X$768,$AA$768*(1+($U$768)/100)^MAX(0,$C784-$AD$768),IF(DATE($C784,3,15)&gt;=$W$768,$Z$768*(1+($U$768)/100)^MAX(0,$C784-$AC$768),IF(DATE($C784,3,15)&gt;=$V$768,$Y$768*(1+($U$768)/100)^MAX(0,$C784-$AB$768),0)))))</f>
      </c>
      <c r="H784" s="43">
        <f>IF($S$768=0,0,IF(OR(DATE($C784,4,15)&lt;$S$768,AND($T$768&gt;0,DATE($C784,4,15)&gt;$T$768)),0,IF(DATE($C784,4,15)&gt;=$X$768,$AA$768*(1+($U$768)/100)^MAX(0,$C784-$AD$768),IF(DATE($C784,4,15)&gt;=$W$768,$Z$768*(1+($U$768)/100)^MAX(0,$C784-$AC$768),IF(DATE($C784,4,15)&gt;=$V$768,$Y$768*(1+($U$768)/100)^MAX(0,$C784-$AB$768),0)))))</f>
      </c>
      <c r="I784" s="43">
        <f>IF($S$768=0,0,IF(OR(DATE($C784,5,15)&lt;$S$768,AND($T$768&gt;0,DATE($C784,5,15)&gt;$T$768)),0,IF(DATE($C784,5,15)&gt;=$X$768,$AA$768*(1+($U$768)/100)^MAX(0,$C784-$AD$768),IF(DATE($C784,5,15)&gt;=$W$768,$Z$768*(1+($U$768)/100)^MAX(0,$C784-$AC$768),IF(DATE($C784,5,15)&gt;=$V$768,$Y$768*(1+($U$768)/100)^MAX(0,$C784-$AB$768),0)))))</f>
      </c>
      <c r="J784" s="43">
        <f>IF($S$768=0,0,IF(OR(DATE($C784,6,15)&lt;$S$768,AND($T$768&gt;0,DATE($C784,6,15)&gt;$T$768)),0,IF(DATE($C784,6,15)&gt;=$X$768,$AA$768*(1+($U$768)/100)^MAX(0,$C784-$AD$768),IF(DATE($C784,6,15)&gt;=$W$768,$Z$768*(1+($U$768)/100)^MAX(0,$C784-$AC$768),IF(DATE($C784,6,15)&gt;=$V$768,$Y$768*(1+($U$768)/100)^MAX(0,$C784-$AB$768),0)))))</f>
      </c>
      <c r="K784" s="43">
        <f>IF($S$768=0,0,IF(OR(DATE($C784,7,15)&lt;$S$768,AND($T$768&gt;0,DATE($C784,7,15)&gt;$T$768)),0,IF(DATE($C784,7,15)&gt;=$X$768,$AA$768*(1+($U$768)/100)^MAX(0,$C784-$AD$768),IF(DATE($C784,7,15)&gt;=$W$768,$Z$768*(1+($U$768)/100)^MAX(0,$C784-$AC$768),IF(DATE($C784,7,15)&gt;=$V$768,$Y$768*(1+($U$768)/100)^MAX(0,$C784-$AB$768),0)))))</f>
      </c>
      <c r="L784" s="43">
        <f>IF($S$768=0,0,IF(OR(DATE($C784,8,15)&lt;$S$768,AND($T$768&gt;0,DATE($C784,8,15)&gt;$T$768)),0,IF(DATE($C784,8,15)&gt;=$X$768,$AA$768*(1+($U$768)/100)^MAX(0,$C784-$AD$768),IF(DATE($C784,8,15)&gt;=$W$768,$Z$768*(1+($U$768)/100)^MAX(0,$C784-$AC$768),IF(DATE($C784,8,15)&gt;=$V$768,$Y$768*(1+($U$768)/100)^MAX(0,$C784-$AB$768),0)))))</f>
      </c>
      <c r="M784" s="43">
        <f>IF($S$768=0,0,IF(OR(DATE($C784,9,15)&lt;$S$768,AND($T$768&gt;0,DATE($C784,9,15)&gt;$T$768)),0,IF(DATE($C784,9,15)&gt;=$X$768,$AA$768*(1+($U$768)/100)^MAX(0,$C784-$AD$768),IF(DATE($C784,9,15)&gt;=$W$768,$Z$768*(1+($U$768)/100)^MAX(0,$C784-$AC$768),IF(DATE($C784,9,15)&gt;=$V$768,$Y$768*(1+($U$768)/100)^MAX(0,$C784-$AB$768),0)))))</f>
      </c>
      <c r="N784" s="43">
        <f>IF($S$768=0,0,IF(OR(DATE($C784,10,15)&lt;$S$768,AND($T$768&gt;0,DATE($C784,10,15)&gt;$T$768)),0,IF(DATE($C784,10,15)&gt;=$X$768,$AA$768*(1+($U$768)/100)^MAX(0,$C784-$AD$768),IF(DATE($C784,10,15)&gt;=$W$768,$Z$768*(1+($U$768)/100)^MAX(0,$C784-$AC$768),IF(DATE($C784,10,15)&gt;=$V$768,$Y$768*(1+($U$768)/100)^MAX(0,$C784-$AB$768),0)))))</f>
      </c>
      <c r="O784" s="43">
        <f>IF($S$768=0,0,IF(OR(DATE($C784,11,15)&lt;$S$768,AND($T$768&gt;0,DATE($C784,11,15)&gt;$T$768)),0,IF(DATE($C784,11,15)&gt;=$X$768,$AA$768*(1+($U$768)/100)^MAX(0,$C784-$AD$768),IF(DATE($C784,11,15)&gt;=$W$768,$Z$768*(1+($U$768)/100)^MAX(0,$C784-$AC$768),IF(DATE($C784,11,15)&gt;=$V$768,$Y$768*(1+($U$768)/100)^MAX(0,$C784-$AB$768),0)))))</f>
      </c>
      <c r="P784" s="43">
        <f>IF($S$768=0,0,IF(OR(DATE($C784,12,15)&lt;$S$768,AND($T$768&gt;0,DATE($C784,12,15)&gt;$T$768)),0,IF(DATE($C784,12,15)&gt;=$X$768,$AA$768*(1+($U$768)/100)^MAX(0,$C784-$AD$768),IF(DATE($C784,12,15)&gt;=$W$768,$Z$768*(1+($U$768)/100)^MAX(0,$C784-$AC$768),IF(DATE($C784,12,15)&gt;=$V$768,$Y$768*(1+($U$768)/100)^MAX(0,$C784-$AB$768),0)))))</f>
      </c>
      <c r="Q784" s="43">
        <f>SUM($E784:$P784)</f>
      </c>
    </row>
    <row r="785">
      <c r="A785"/>
      <c r="B785">
        <v>25</v>
      </c>
      <c r="C785" s="43">
        <f>Jahr+17</f>
      </c>
      <c r="D785" s="43">
        <f>INDEX(MvObj,25)</f>
      </c>
      <c r="E785" s="43">
        <f>IF($S$768=0,0,IF(OR(DATE($C785,1,15)&lt;$S$768,AND($T$768&gt;0,DATE($C785,1,15)&gt;$T$768)),0,IF(DATE($C785,1,15)&gt;=$X$768,$AA$768*(1+($U$768)/100)^MAX(0,$C785-$AD$768),IF(DATE($C785,1,15)&gt;=$W$768,$Z$768*(1+($U$768)/100)^MAX(0,$C785-$AC$768),IF(DATE($C785,1,15)&gt;=$V$768,$Y$768*(1+($U$768)/100)^MAX(0,$C785-$AB$768),0)))))</f>
      </c>
      <c r="F785" s="43">
        <f>IF($S$768=0,0,IF(OR(DATE($C785,2,15)&lt;$S$768,AND($T$768&gt;0,DATE($C785,2,15)&gt;$T$768)),0,IF(DATE($C785,2,15)&gt;=$X$768,$AA$768*(1+($U$768)/100)^MAX(0,$C785-$AD$768),IF(DATE($C785,2,15)&gt;=$W$768,$Z$768*(1+($U$768)/100)^MAX(0,$C785-$AC$768),IF(DATE($C785,2,15)&gt;=$V$768,$Y$768*(1+($U$768)/100)^MAX(0,$C785-$AB$768),0)))))</f>
      </c>
      <c r="G785" s="43">
        <f>IF($S$768=0,0,IF(OR(DATE($C785,3,15)&lt;$S$768,AND($T$768&gt;0,DATE($C785,3,15)&gt;$T$768)),0,IF(DATE($C785,3,15)&gt;=$X$768,$AA$768*(1+($U$768)/100)^MAX(0,$C785-$AD$768),IF(DATE($C785,3,15)&gt;=$W$768,$Z$768*(1+($U$768)/100)^MAX(0,$C785-$AC$768),IF(DATE($C785,3,15)&gt;=$V$768,$Y$768*(1+($U$768)/100)^MAX(0,$C785-$AB$768),0)))))</f>
      </c>
      <c r="H785" s="43">
        <f>IF($S$768=0,0,IF(OR(DATE($C785,4,15)&lt;$S$768,AND($T$768&gt;0,DATE($C785,4,15)&gt;$T$768)),0,IF(DATE($C785,4,15)&gt;=$X$768,$AA$768*(1+($U$768)/100)^MAX(0,$C785-$AD$768),IF(DATE($C785,4,15)&gt;=$W$768,$Z$768*(1+($U$768)/100)^MAX(0,$C785-$AC$768),IF(DATE($C785,4,15)&gt;=$V$768,$Y$768*(1+($U$768)/100)^MAX(0,$C785-$AB$768),0)))))</f>
      </c>
      <c r="I785" s="43">
        <f>IF($S$768=0,0,IF(OR(DATE($C785,5,15)&lt;$S$768,AND($T$768&gt;0,DATE($C785,5,15)&gt;$T$768)),0,IF(DATE($C785,5,15)&gt;=$X$768,$AA$768*(1+($U$768)/100)^MAX(0,$C785-$AD$768),IF(DATE($C785,5,15)&gt;=$W$768,$Z$768*(1+($U$768)/100)^MAX(0,$C785-$AC$768),IF(DATE($C785,5,15)&gt;=$V$768,$Y$768*(1+($U$768)/100)^MAX(0,$C785-$AB$768),0)))))</f>
      </c>
      <c r="J785" s="43">
        <f>IF($S$768=0,0,IF(OR(DATE($C785,6,15)&lt;$S$768,AND($T$768&gt;0,DATE($C785,6,15)&gt;$T$768)),0,IF(DATE($C785,6,15)&gt;=$X$768,$AA$768*(1+($U$768)/100)^MAX(0,$C785-$AD$768),IF(DATE($C785,6,15)&gt;=$W$768,$Z$768*(1+($U$768)/100)^MAX(0,$C785-$AC$768),IF(DATE($C785,6,15)&gt;=$V$768,$Y$768*(1+($U$768)/100)^MAX(0,$C785-$AB$768),0)))))</f>
      </c>
      <c r="K785" s="43">
        <f>IF($S$768=0,0,IF(OR(DATE($C785,7,15)&lt;$S$768,AND($T$768&gt;0,DATE($C785,7,15)&gt;$T$768)),0,IF(DATE($C785,7,15)&gt;=$X$768,$AA$768*(1+($U$768)/100)^MAX(0,$C785-$AD$768),IF(DATE($C785,7,15)&gt;=$W$768,$Z$768*(1+($U$768)/100)^MAX(0,$C785-$AC$768),IF(DATE($C785,7,15)&gt;=$V$768,$Y$768*(1+($U$768)/100)^MAX(0,$C785-$AB$768),0)))))</f>
      </c>
      <c r="L785" s="43">
        <f>IF($S$768=0,0,IF(OR(DATE($C785,8,15)&lt;$S$768,AND($T$768&gt;0,DATE($C785,8,15)&gt;$T$768)),0,IF(DATE($C785,8,15)&gt;=$X$768,$AA$768*(1+($U$768)/100)^MAX(0,$C785-$AD$768),IF(DATE($C785,8,15)&gt;=$W$768,$Z$768*(1+($U$768)/100)^MAX(0,$C785-$AC$768),IF(DATE($C785,8,15)&gt;=$V$768,$Y$768*(1+($U$768)/100)^MAX(0,$C785-$AB$768),0)))))</f>
      </c>
      <c r="M785" s="43">
        <f>IF($S$768=0,0,IF(OR(DATE($C785,9,15)&lt;$S$768,AND($T$768&gt;0,DATE($C785,9,15)&gt;$T$768)),0,IF(DATE($C785,9,15)&gt;=$X$768,$AA$768*(1+($U$768)/100)^MAX(0,$C785-$AD$768),IF(DATE($C785,9,15)&gt;=$W$768,$Z$768*(1+($U$768)/100)^MAX(0,$C785-$AC$768),IF(DATE($C785,9,15)&gt;=$V$768,$Y$768*(1+($U$768)/100)^MAX(0,$C785-$AB$768),0)))))</f>
      </c>
      <c r="N785" s="43">
        <f>IF($S$768=0,0,IF(OR(DATE($C785,10,15)&lt;$S$768,AND($T$768&gt;0,DATE($C785,10,15)&gt;$T$768)),0,IF(DATE($C785,10,15)&gt;=$X$768,$AA$768*(1+($U$768)/100)^MAX(0,$C785-$AD$768),IF(DATE($C785,10,15)&gt;=$W$768,$Z$768*(1+($U$768)/100)^MAX(0,$C785-$AC$768),IF(DATE($C785,10,15)&gt;=$V$768,$Y$768*(1+($U$768)/100)^MAX(0,$C785-$AB$768),0)))))</f>
      </c>
      <c r="O785" s="43">
        <f>IF($S$768=0,0,IF(OR(DATE($C785,11,15)&lt;$S$768,AND($T$768&gt;0,DATE($C785,11,15)&gt;$T$768)),0,IF(DATE($C785,11,15)&gt;=$X$768,$AA$768*(1+($U$768)/100)^MAX(0,$C785-$AD$768),IF(DATE($C785,11,15)&gt;=$W$768,$Z$768*(1+($U$768)/100)^MAX(0,$C785-$AC$768),IF(DATE($C785,11,15)&gt;=$V$768,$Y$768*(1+($U$768)/100)^MAX(0,$C785-$AB$768),0)))))</f>
      </c>
      <c r="P785" s="43">
        <f>IF($S$768=0,0,IF(OR(DATE($C785,12,15)&lt;$S$768,AND($T$768&gt;0,DATE($C785,12,15)&gt;$T$768)),0,IF(DATE($C785,12,15)&gt;=$X$768,$AA$768*(1+($U$768)/100)^MAX(0,$C785-$AD$768),IF(DATE($C785,12,15)&gt;=$W$768,$Z$768*(1+($U$768)/100)^MAX(0,$C785-$AC$768),IF(DATE($C785,12,15)&gt;=$V$768,$Y$768*(1+($U$768)/100)^MAX(0,$C785-$AB$768),0)))))</f>
      </c>
      <c r="Q785" s="43">
        <f>SUM($E785:$P785)</f>
      </c>
    </row>
    <row r="786">
      <c r="A786"/>
      <c r="B786">
        <v>25</v>
      </c>
      <c r="C786" s="43">
        <f>Jahr+18</f>
      </c>
      <c r="D786" s="43">
        <f>INDEX(MvObj,25)</f>
      </c>
      <c r="E786" s="43">
        <f>IF($S$768=0,0,IF(OR(DATE($C786,1,15)&lt;$S$768,AND($T$768&gt;0,DATE($C786,1,15)&gt;$T$768)),0,IF(DATE($C786,1,15)&gt;=$X$768,$AA$768*(1+($U$768)/100)^MAX(0,$C786-$AD$768),IF(DATE($C786,1,15)&gt;=$W$768,$Z$768*(1+($U$768)/100)^MAX(0,$C786-$AC$768),IF(DATE($C786,1,15)&gt;=$V$768,$Y$768*(1+($U$768)/100)^MAX(0,$C786-$AB$768),0)))))</f>
      </c>
      <c r="F786" s="43">
        <f>IF($S$768=0,0,IF(OR(DATE($C786,2,15)&lt;$S$768,AND($T$768&gt;0,DATE($C786,2,15)&gt;$T$768)),0,IF(DATE($C786,2,15)&gt;=$X$768,$AA$768*(1+($U$768)/100)^MAX(0,$C786-$AD$768),IF(DATE($C786,2,15)&gt;=$W$768,$Z$768*(1+($U$768)/100)^MAX(0,$C786-$AC$768),IF(DATE($C786,2,15)&gt;=$V$768,$Y$768*(1+($U$768)/100)^MAX(0,$C786-$AB$768),0)))))</f>
      </c>
      <c r="G786" s="43">
        <f>IF($S$768=0,0,IF(OR(DATE($C786,3,15)&lt;$S$768,AND($T$768&gt;0,DATE($C786,3,15)&gt;$T$768)),0,IF(DATE($C786,3,15)&gt;=$X$768,$AA$768*(1+($U$768)/100)^MAX(0,$C786-$AD$768),IF(DATE($C786,3,15)&gt;=$W$768,$Z$768*(1+($U$768)/100)^MAX(0,$C786-$AC$768),IF(DATE($C786,3,15)&gt;=$V$768,$Y$768*(1+($U$768)/100)^MAX(0,$C786-$AB$768),0)))))</f>
      </c>
      <c r="H786" s="43">
        <f>IF($S$768=0,0,IF(OR(DATE($C786,4,15)&lt;$S$768,AND($T$768&gt;0,DATE($C786,4,15)&gt;$T$768)),0,IF(DATE($C786,4,15)&gt;=$X$768,$AA$768*(1+($U$768)/100)^MAX(0,$C786-$AD$768),IF(DATE($C786,4,15)&gt;=$W$768,$Z$768*(1+($U$768)/100)^MAX(0,$C786-$AC$768),IF(DATE($C786,4,15)&gt;=$V$768,$Y$768*(1+($U$768)/100)^MAX(0,$C786-$AB$768),0)))))</f>
      </c>
      <c r="I786" s="43">
        <f>IF($S$768=0,0,IF(OR(DATE($C786,5,15)&lt;$S$768,AND($T$768&gt;0,DATE($C786,5,15)&gt;$T$768)),0,IF(DATE($C786,5,15)&gt;=$X$768,$AA$768*(1+($U$768)/100)^MAX(0,$C786-$AD$768),IF(DATE($C786,5,15)&gt;=$W$768,$Z$768*(1+($U$768)/100)^MAX(0,$C786-$AC$768),IF(DATE($C786,5,15)&gt;=$V$768,$Y$768*(1+($U$768)/100)^MAX(0,$C786-$AB$768),0)))))</f>
      </c>
      <c r="J786" s="43">
        <f>IF($S$768=0,0,IF(OR(DATE($C786,6,15)&lt;$S$768,AND($T$768&gt;0,DATE($C786,6,15)&gt;$T$768)),0,IF(DATE($C786,6,15)&gt;=$X$768,$AA$768*(1+($U$768)/100)^MAX(0,$C786-$AD$768),IF(DATE($C786,6,15)&gt;=$W$768,$Z$768*(1+($U$768)/100)^MAX(0,$C786-$AC$768),IF(DATE($C786,6,15)&gt;=$V$768,$Y$768*(1+($U$768)/100)^MAX(0,$C786-$AB$768),0)))))</f>
      </c>
      <c r="K786" s="43">
        <f>IF($S$768=0,0,IF(OR(DATE($C786,7,15)&lt;$S$768,AND($T$768&gt;0,DATE($C786,7,15)&gt;$T$768)),0,IF(DATE($C786,7,15)&gt;=$X$768,$AA$768*(1+($U$768)/100)^MAX(0,$C786-$AD$768),IF(DATE($C786,7,15)&gt;=$W$768,$Z$768*(1+($U$768)/100)^MAX(0,$C786-$AC$768),IF(DATE($C786,7,15)&gt;=$V$768,$Y$768*(1+($U$768)/100)^MAX(0,$C786-$AB$768),0)))))</f>
      </c>
      <c r="L786" s="43">
        <f>IF($S$768=0,0,IF(OR(DATE($C786,8,15)&lt;$S$768,AND($T$768&gt;0,DATE($C786,8,15)&gt;$T$768)),0,IF(DATE($C786,8,15)&gt;=$X$768,$AA$768*(1+($U$768)/100)^MAX(0,$C786-$AD$768),IF(DATE($C786,8,15)&gt;=$W$768,$Z$768*(1+($U$768)/100)^MAX(0,$C786-$AC$768),IF(DATE($C786,8,15)&gt;=$V$768,$Y$768*(1+($U$768)/100)^MAX(0,$C786-$AB$768),0)))))</f>
      </c>
      <c r="M786" s="43">
        <f>IF($S$768=0,0,IF(OR(DATE($C786,9,15)&lt;$S$768,AND($T$768&gt;0,DATE($C786,9,15)&gt;$T$768)),0,IF(DATE($C786,9,15)&gt;=$X$768,$AA$768*(1+($U$768)/100)^MAX(0,$C786-$AD$768),IF(DATE($C786,9,15)&gt;=$W$768,$Z$768*(1+($U$768)/100)^MAX(0,$C786-$AC$768),IF(DATE($C786,9,15)&gt;=$V$768,$Y$768*(1+($U$768)/100)^MAX(0,$C786-$AB$768),0)))))</f>
      </c>
      <c r="N786" s="43">
        <f>IF($S$768=0,0,IF(OR(DATE($C786,10,15)&lt;$S$768,AND($T$768&gt;0,DATE($C786,10,15)&gt;$T$768)),0,IF(DATE($C786,10,15)&gt;=$X$768,$AA$768*(1+($U$768)/100)^MAX(0,$C786-$AD$768),IF(DATE($C786,10,15)&gt;=$W$768,$Z$768*(1+($U$768)/100)^MAX(0,$C786-$AC$768),IF(DATE($C786,10,15)&gt;=$V$768,$Y$768*(1+($U$768)/100)^MAX(0,$C786-$AB$768),0)))))</f>
      </c>
      <c r="O786" s="43">
        <f>IF($S$768=0,0,IF(OR(DATE($C786,11,15)&lt;$S$768,AND($T$768&gt;0,DATE($C786,11,15)&gt;$T$768)),0,IF(DATE($C786,11,15)&gt;=$X$768,$AA$768*(1+($U$768)/100)^MAX(0,$C786-$AD$768),IF(DATE($C786,11,15)&gt;=$W$768,$Z$768*(1+($U$768)/100)^MAX(0,$C786-$AC$768),IF(DATE($C786,11,15)&gt;=$V$768,$Y$768*(1+($U$768)/100)^MAX(0,$C786-$AB$768),0)))))</f>
      </c>
      <c r="P786" s="43">
        <f>IF($S$768=0,0,IF(OR(DATE($C786,12,15)&lt;$S$768,AND($T$768&gt;0,DATE($C786,12,15)&gt;$T$768)),0,IF(DATE($C786,12,15)&gt;=$X$768,$AA$768*(1+($U$768)/100)^MAX(0,$C786-$AD$768),IF(DATE($C786,12,15)&gt;=$W$768,$Z$768*(1+($U$768)/100)^MAX(0,$C786-$AC$768),IF(DATE($C786,12,15)&gt;=$V$768,$Y$768*(1+($U$768)/100)^MAX(0,$C786-$AB$768),0)))))</f>
      </c>
      <c r="Q786" s="43">
        <f>SUM($E786:$P786)</f>
      </c>
    </row>
    <row r="787">
      <c r="A787"/>
      <c r="B787">
        <v>25</v>
      </c>
      <c r="C787" s="43">
        <f>Jahr+19</f>
      </c>
      <c r="D787" s="43">
        <f>INDEX(MvObj,25)</f>
      </c>
      <c r="E787" s="43">
        <f>IF($S$768=0,0,IF(OR(DATE($C787,1,15)&lt;$S$768,AND($T$768&gt;0,DATE($C787,1,15)&gt;$T$768)),0,IF(DATE($C787,1,15)&gt;=$X$768,$AA$768*(1+($U$768)/100)^MAX(0,$C787-$AD$768),IF(DATE($C787,1,15)&gt;=$W$768,$Z$768*(1+($U$768)/100)^MAX(0,$C787-$AC$768),IF(DATE($C787,1,15)&gt;=$V$768,$Y$768*(1+($U$768)/100)^MAX(0,$C787-$AB$768),0)))))</f>
      </c>
      <c r="F787" s="43">
        <f>IF($S$768=0,0,IF(OR(DATE($C787,2,15)&lt;$S$768,AND($T$768&gt;0,DATE($C787,2,15)&gt;$T$768)),0,IF(DATE($C787,2,15)&gt;=$X$768,$AA$768*(1+($U$768)/100)^MAX(0,$C787-$AD$768),IF(DATE($C787,2,15)&gt;=$W$768,$Z$768*(1+($U$768)/100)^MAX(0,$C787-$AC$768),IF(DATE($C787,2,15)&gt;=$V$768,$Y$768*(1+($U$768)/100)^MAX(0,$C787-$AB$768),0)))))</f>
      </c>
      <c r="G787" s="43">
        <f>IF($S$768=0,0,IF(OR(DATE($C787,3,15)&lt;$S$768,AND($T$768&gt;0,DATE($C787,3,15)&gt;$T$768)),0,IF(DATE($C787,3,15)&gt;=$X$768,$AA$768*(1+($U$768)/100)^MAX(0,$C787-$AD$768),IF(DATE($C787,3,15)&gt;=$W$768,$Z$768*(1+($U$768)/100)^MAX(0,$C787-$AC$768),IF(DATE($C787,3,15)&gt;=$V$768,$Y$768*(1+($U$768)/100)^MAX(0,$C787-$AB$768),0)))))</f>
      </c>
      <c r="H787" s="43">
        <f>IF($S$768=0,0,IF(OR(DATE($C787,4,15)&lt;$S$768,AND($T$768&gt;0,DATE($C787,4,15)&gt;$T$768)),0,IF(DATE($C787,4,15)&gt;=$X$768,$AA$768*(1+($U$768)/100)^MAX(0,$C787-$AD$768),IF(DATE($C787,4,15)&gt;=$W$768,$Z$768*(1+($U$768)/100)^MAX(0,$C787-$AC$768),IF(DATE($C787,4,15)&gt;=$V$768,$Y$768*(1+($U$768)/100)^MAX(0,$C787-$AB$768),0)))))</f>
      </c>
      <c r="I787" s="43">
        <f>IF($S$768=0,0,IF(OR(DATE($C787,5,15)&lt;$S$768,AND($T$768&gt;0,DATE($C787,5,15)&gt;$T$768)),0,IF(DATE($C787,5,15)&gt;=$X$768,$AA$768*(1+($U$768)/100)^MAX(0,$C787-$AD$768),IF(DATE($C787,5,15)&gt;=$W$768,$Z$768*(1+($U$768)/100)^MAX(0,$C787-$AC$768),IF(DATE($C787,5,15)&gt;=$V$768,$Y$768*(1+($U$768)/100)^MAX(0,$C787-$AB$768),0)))))</f>
      </c>
      <c r="J787" s="43">
        <f>IF($S$768=0,0,IF(OR(DATE($C787,6,15)&lt;$S$768,AND($T$768&gt;0,DATE($C787,6,15)&gt;$T$768)),0,IF(DATE($C787,6,15)&gt;=$X$768,$AA$768*(1+($U$768)/100)^MAX(0,$C787-$AD$768),IF(DATE($C787,6,15)&gt;=$W$768,$Z$768*(1+($U$768)/100)^MAX(0,$C787-$AC$768),IF(DATE($C787,6,15)&gt;=$V$768,$Y$768*(1+($U$768)/100)^MAX(0,$C787-$AB$768),0)))))</f>
      </c>
      <c r="K787" s="43">
        <f>IF($S$768=0,0,IF(OR(DATE($C787,7,15)&lt;$S$768,AND($T$768&gt;0,DATE($C787,7,15)&gt;$T$768)),0,IF(DATE($C787,7,15)&gt;=$X$768,$AA$768*(1+($U$768)/100)^MAX(0,$C787-$AD$768),IF(DATE($C787,7,15)&gt;=$W$768,$Z$768*(1+($U$768)/100)^MAX(0,$C787-$AC$768),IF(DATE($C787,7,15)&gt;=$V$768,$Y$768*(1+($U$768)/100)^MAX(0,$C787-$AB$768),0)))))</f>
      </c>
      <c r="L787" s="43">
        <f>IF($S$768=0,0,IF(OR(DATE($C787,8,15)&lt;$S$768,AND($T$768&gt;0,DATE($C787,8,15)&gt;$T$768)),0,IF(DATE($C787,8,15)&gt;=$X$768,$AA$768*(1+($U$768)/100)^MAX(0,$C787-$AD$768),IF(DATE($C787,8,15)&gt;=$W$768,$Z$768*(1+($U$768)/100)^MAX(0,$C787-$AC$768),IF(DATE($C787,8,15)&gt;=$V$768,$Y$768*(1+($U$768)/100)^MAX(0,$C787-$AB$768),0)))))</f>
      </c>
      <c r="M787" s="43">
        <f>IF($S$768=0,0,IF(OR(DATE($C787,9,15)&lt;$S$768,AND($T$768&gt;0,DATE($C787,9,15)&gt;$T$768)),0,IF(DATE($C787,9,15)&gt;=$X$768,$AA$768*(1+($U$768)/100)^MAX(0,$C787-$AD$768),IF(DATE($C787,9,15)&gt;=$W$768,$Z$768*(1+($U$768)/100)^MAX(0,$C787-$AC$768),IF(DATE($C787,9,15)&gt;=$V$768,$Y$768*(1+($U$768)/100)^MAX(0,$C787-$AB$768),0)))))</f>
      </c>
      <c r="N787" s="43">
        <f>IF($S$768=0,0,IF(OR(DATE($C787,10,15)&lt;$S$768,AND($T$768&gt;0,DATE($C787,10,15)&gt;$T$768)),0,IF(DATE($C787,10,15)&gt;=$X$768,$AA$768*(1+($U$768)/100)^MAX(0,$C787-$AD$768),IF(DATE($C787,10,15)&gt;=$W$768,$Z$768*(1+($U$768)/100)^MAX(0,$C787-$AC$768),IF(DATE($C787,10,15)&gt;=$V$768,$Y$768*(1+($U$768)/100)^MAX(0,$C787-$AB$768),0)))))</f>
      </c>
      <c r="O787" s="43">
        <f>IF($S$768=0,0,IF(OR(DATE($C787,11,15)&lt;$S$768,AND($T$768&gt;0,DATE($C787,11,15)&gt;$T$768)),0,IF(DATE($C787,11,15)&gt;=$X$768,$AA$768*(1+($U$768)/100)^MAX(0,$C787-$AD$768),IF(DATE($C787,11,15)&gt;=$W$768,$Z$768*(1+($U$768)/100)^MAX(0,$C787-$AC$768),IF(DATE($C787,11,15)&gt;=$V$768,$Y$768*(1+($U$768)/100)^MAX(0,$C787-$AB$768),0)))))</f>
      </c>
      <c r="P787" s="43">
        <f>IF($S$768=0,0,IF(OR(DATE($C787,12,15)&lt;$S$768,AND($T$768&gt;0,DATE($C787,12,15)&gt;$T$768)),0,IF(DATE($C787,12,15)&gt;=$X$768,$AA$768*(1+($U$768)/100)^MAX(0,$C787-$AD$768),IF(DATE($C787,12,15)&gt;=$W$768,$Z$768*(1+($U$768)/100)^MAX(0,$C787-$AC$768),IF(DATE($C787,12,15)&gt;=$V$768,$Y$768*(1+($U$768)/100)^MAX(0,$C787-$AB$768),0)))))</f>
      </c>
      <c r="Q787" s="43">
        <f>SUM($E787:$P787)</f>
      </c>
    </row>
    <row r="788">
      <c r="A788"/>
      <c r="B788">
        <v>25</v>
      </c>
      <c r="C788" s="43">
        <f>Jahr+20</f>
      </c>
      <c r="D788" s="43">
        <f>INDEX(MvObj,25)</f>
      </c>
      <c r="E788" s="43">
        <f>IF($S$768=0,0,IF(OR(DATE($C788,1,15)&lt;$S$768,AND($T$768&gt;0,DATE($C788,1,15)&gt;$T$768)),0,IF(DATE($C788,1,15)&gt;=$X$768,$AA$768*(1+($U$768)/100)^MAX(0,$C788-$AD$768),IF(DATE($C788,1,15)&gt;=$W$768,$Z$768*(1+($U$768)/100)^MAX(0,$C788-$AC$768),IF(DATE($C788,1,15)&gt;=$V$768,$Y$768*(1+($U$768)/100)^MAX(0,$C788-$AB$768),0)))))</f>
      </c>
      <c r="F788" s="43">
        <f>IF($S$768=0,0,IF(OR(DATE($C788,2,15)&lt;$S$768,AND($T$768&gt;0,DATE($C788,2,15)&gt;$T$768)),0,IF(DATE($C788,2,15)&gt;=$X$768,$AA$768*(1+($U$768)/100)^MAX(0,$C788-$AD$768),IF(DATE($C788,2,15)&gt;=$W$768,$Z$768*(1+($U$768)/100)^MAX(0,$C788-$AC$768),IF(DATE($C788,2,15)&gt;=$V$768,$Y$768*(1+($U$768)/100)^MAX(0,$C788-$AB$768),0)))))</f>
      </c>
      <c r="G788" s="43">
        <f>IF($S$768=0,0,IF(OR(DATE($C788,3,15)&lt;$S$768,AND($T$768&gt;0,DATE($C788,3,15)&gt;$T$768)),0,IF(DATE($C788,3,15)&gt;=$X$768,$AA$768*(1+($U$768)/100)^MAX(0,$C788-$AD$768),IF(DATE($C788,3,15)&gt;=$W$768,$Z$768*(1+($U$768)/100)^MAX(0,$C788-$AC$768),IF(DATE($C788,3,15)&gt;=$V$768,$Y$768*(1+($U$768)/100)^MAX(0,$C788-$AB$768),0)))))</f>
      </c>
      <c r="H788" s="43">
        <f>IF($S$768=0,0,IF(OR(DATE($C788,4,15)&lt;$S$768,AND($T$768&gt;0,DATE($C788,4,15)&gt;$T$768)),0,IF(DATE($C788,4,15)&gt;=$X$768,$AA$768*(1+($U$768)/100)^MAX(0,$C788-$AD$768),IF(DATE($C788,4,15)&gt;=$W$768,$Z$768*(1+($U$768)/100)^MAX(0,$C788-$AC$768),IF(DATE($C788,4,15)&gt;=$V$768,$Y$768*(1+($U$768)/100)^MAX(0,$C788-$AB$768),0)))))</f>
      </c>
      <c r="I788" s="43">
        <f>IF($S$768=0,0,IF(OR(DATE($C788,5,15)&lt;$S$768,AND($T$768&gt;0,DATE($C788,5,15)&gt;$T$768)),0,IF(DATE($C788,5,15)&gt;=$X$768,$AA$768*(1+($U$768)/100)^MAX(0,$C788-$AD$768),IF(DATE($C788,5,15)&gt;=$W$768,$Z$768*(1+($U$768)/100)^MAX(0,$C788-$AC$768),IF(DATE($C788,5,15)&gt;=$V$768,$Y$768*(1+($U$768)/100)^MAX(0,$C788-$AB$768),0)))))</f>
      </c>
      <c r="J788" s="43">
        <f>IF($S$768=0,0,IF(OR(DATE($C788,6,15)&lt;$S$768,AND($T$768&gt;0,DATE($C788,6,15)&gt;$T$768)),0,IF(DATE($C788,6,15)&gt;=$X$768,$AA$768*(1+($U$768)/100)^MAX(0,$C788-$AD$768),IF(DATE($C788,6,15)&gt;=$W$768,$Z$768*(1+($U$768)/100)^MAX(0,$C788-$AC$768),IF(DATE($C788,6,15)&gt;=$V$768,$Y$768*(1+($U$768)/100)^MAX(0,$C788-$AB$768),0)))))</f>
      </c>
      <c r="K788" s="43">
        <f>IF($S$768=0,0,IF(OR(DATE($C788,7,15)&lt;$S$768,AND($T$768&gt;0,DATE($C788,7,15)&gt;$T$768)),0,IF(DATE($C788,7,15)&gt;=$X$768,$AA$768*(1+($U$768)/100)^MAX(0,$C788-$AD$768),IF(DATE($C788,7,15)&gt;=$W$768,$Z$768*(1+($U$768)/100)^MAX(0,$C788-$AC$768),IF(DATE($C788,7,15)&gt;=$V$768,$Y$768*(1+($U$768)/100)^MAX(0,$C788-$AB$768),0)))))</f>
      </c>
      <c r="L788" s="43">
        <f>IF($S$768=0,0,IF(OR(DATE($C788,8,15)&lt;$S$768,AND($T$768&gt;0,DATE($C788,8,15)&gt;$T$768)),0,IF(DATE($C788,8,15)&gt;=$X$768,$AA$768*(1+($U$768)/100)^MAX(0,$C788-$AD$768),IF(DATE($C788,8,15)&gt;=$W$768,$Z$768*(1+($U$768)/100)^MAX(0,$C788-$AC$768),IF(DATE($C788,8,15)&gt;=$V$768,$Y$768*(1+($U$768)/100)^MAX(0,$C788-$AB$768),0)))))</f>
      </c>
      <c r="M788" s="43">
        <f>IF($S$768=0,0,IF(OR(DATE($C788,9,15)&lt;$S$768,AND($T$768&gt;0,DATE($C788,9,15)&gt;$T$768)),0,IF(DATE($C788,9,15)&gt;=$X$768,$AA$768*(1+($U$768)/100)^MAX(0,$C788-$AD$768),IF(DATE($C788,9,15)&gt;=$W$768,$Z$768*(1+($U$768)/100)^MAX(0,$C788-$AC$768),IF(DATE($C788,9,15)&gt;=$V$768,$Y$768*(1+($U$768)/100)^MAX(0,$C788-$AB$768),0)))))</f>
      </c>
      <c r="N788" s="43">
        <f>IF($S$768=0,0,IF(OR(DATE($C788,10,15)&lt;$S$768,AND($T$768&gt;0,DATE($C788,10,15)&gt;$T$768)),0,IF(DATE($C788,10,15)&gt;=$X$768,$AA$768*(1+($U$768)/100)^MAX(0,$C788-$AD$768),IF(DATE($C788,10,15)&gt;=$W$768,$Z$768*(1+($U$768)/100)^MAX(0,$C788-$AC$768),IF(DATE($C788,10,15)&gt;=$V$768,$Y$768*(1+($U$768)/100)^MAX(0,$C788-$AB$768),0)))))</f>
      </c>
      <c r="O788" s="43">
        <f>IF($S$768=0,0,IF(OR(DATE($C788,11,15)&lt;$S$768,AND($T$768&gt;0,DATE($C788,11,15)&gt;$T$768)),0,IF(DATE($C788,11,15)&gt;=$X$768,$AA$768*(1+($U$768)/100)^MAX(0,$C788-$AD$768),IF(DATE($C788,11,15)&gt;=$W$768,$Z$768*(1+($U$768)/100)^MAX(0,$C788-$AC$768),IF(DATE($C788,11,15)&gt;=$V$768,$Y$768*(1+($U$768)/100)^MAX(0,$C788-$AB$768),0)))))</f>
      </c>
      <c r="P788" s="43">
        <f>IF($S$768=0,0,IF(OR(DATE($C788,12,15)&lt;$S$768,AND($T$768&gt;0,DATE($C788,12,15)&gt;$T$768)),0,IF(DATE($C788,12,15)&gt;=$X$768,$AA$768*(1+($U$768)/100)^MAX(0,$C788-$AD$768),IF(DATE($C788,12,15)&gt;=$W$768,$Z$768*(1+($U$768)/100)^MAX(0,$C788-$AC$768),IF(DATE($C788,12,15)&gt;=$V$768,$Y$768*(1+($U$768)/100)^MAX(0,$C788-$AB$768),0)))))</f>
      </c>
      <c r="Q788" s="43">
        <f>SUM($E788:$P788)</f>
      </c>
    </row>
    <row r="789">
      <c r="A789"/>
      <c r="B789">
        <v>25</v>
      </c>
      <c r="C789" s="43">
        <f>Jahr+21</f>
      </c>
      <c r="D789" s="43">
        <f>INDEX(MvObj,25)</f>
      </c>
      <c r="E789" s="43">
        <f>IF($S$768=0,0,IF(OR(DATE($C789,1,15)&lt;$S$768,AND($T$768&gt;0,DATE($C789,1,15)&gt;$T$768)),0,IF(DATE($C789,1,15)&gt;=$X$768,$AA$768*(1+($U$768)/100)^MAX(0,$C789-$AD$768),IF(DATE($C789,1,15)&gt;=$W$768,$Z$768*(1+($U$768)/100)^MAX(0,$C789-$AC$768),IF(DATE($C789,1,15)&gt;=$V$768,$Y$768*(1+($U$768)/100)^MAX(0,$C789-$AB$768),0)))))</f>
      </c>
      <c r="F789" s="43">
        <f>IF($S$768=0,0,IF(OR(DATE($C789,2,15)&lt;$S$768,AND($T$768&gt;0,DATE($C789,2,15)&gt;$T$768)),0,IF(DATE($C789,2,15)&gt;=$X$768,$AA$768*(1+($U$768)/100)^MAX(0,$C789-$AD$768),IF(DATE($C789,2,15)&gt;=$W$768,$Z$768*(1+($U$768)/100)^MAX(0,$C789-$AC$768),IF(DATE($C789,2,15)&gt;=$V$768,$Y$768*(1+($U$768)/100)^MAX(0,$C789-$AB$768),0)))))</f>
      </c>
      <c r="G789" s="43">
        <f>IF($S$768=0,0,IF(OR(DATE($C789,3,15)&lt;$S$768,AND($T$768&gt;0,DATE($C789,3,15)&gt;$T$768)),0,IF(DATE($C789,3,15)&gt;=$X$768,$AA$768*(1+($U$768)/100)^MAX(0,$C789-$AD$768),IF(DATE($C789,3,15)&gt;=$W$768,$Z$768*(1+($U$768)/100)^MAX(0,$C789-$AC$768),IF(DATE($C789,3,15)&gt;=$V$768,$Y$768*(1+($U$768)/100)^MAX(0,$C789-$AB$768),0)))))</f>
      </c>
      <c r="H789" s="43">
        <f>IF($S$768=0,0,IF(OR(DATE($C789,4,15)&lt;$S$768,AND($T$768&gt;0,DATE($C789,4,15)&gt;$T$768)),0,IF(DATE($C789,4,15)&gt;=$X$768,$AA$768*(1+($U$768)/100)^MAX(0,$C789-$AD$768),IF(DATE($C789,4,15)&gt;=$W$768,$Z$768*(1+($U$768)/100)^MAX(0,$C789-$AC$768),IF(DATE($C789,4,15)&gt;=$V$768,$Y$768*(1+($U$768)/100)^MAX(0,$C789-$AB$768),0)))))</f>
      </c>
      <c r="I789" s="43">
        <f>IF($S$768=0,0,IF(OR(DATE($C789,5,15)&lt;$S$768,AND($T$768&gt;0,DATE($C789,5,15)&gt;$T$768)),0,IF(DATE($C789,5,15)&gt;=$X$768,$AA$768*(1+($U$768)/100)^MAX(0,$C789-$AD$768),IF(DATE($C789,5,15)&gt;=$W$768,$Z$768*(1+($U$768)/100)^MAX(0,$C789-$AC$768),IF(DATE($C789,5,15)&gt;=$V$768,$Y$768*(1+($U$768)/100)^MAX(0,$C789-$AB$768),0)))))</f>
      </c>
      <c r="J789" s="43">
        <f>IF($S$768=0,0,IF(OR(DATE($C789,6,15)&lt;$S$768,AND($T$768&gt;0,DATE($C789,6,15)&gt;$T$768)),0,IF(DATE($C789,6,15)&gt;=$X$768,$AA$768*(1+($U$768)/100)^MAX(0,$C789-$AD$768),IF(DATE($C789,6,15)&gt;=$W$768,$Z$768*(1+($U$768)/100)^MAX(0,$C789-$AC$768),IF(DATE($C789,6,15)&gt;=$V$768,$Y$768*(1+($U$768)/100)^MAX(0,$C789-$AB$768),0)))))</f>
      </c>
      <c r="K789" s="43">
        <f>IF($S$768=0,0,IF(OR(DATE($C789,7,15)&lt;$S$768,AND($T$768&gt;0,DATE($C789,7,15)&gt;$T$768)),0,IF(DATE($C789,7,15)&gt;=$X$768,$AA$768*(1+($U$768)/100)^MAX(0,$C789-$AD$768),IF(DATE($C789,7,15)&gt;=$W$768,$Z$768*(1+($U$768)/100)^MAX(0,$C789-$AC$768),IF(DATE($C789,7,15)&gt;=$V$768,$Y$768*(1+($U$768)/100)^MAX(0,$C789-$AB$768),0)))))</f>
      </c>
      <c r="L789" s="43">
        <f>IF($S$768=0,0,IF(OR(DATE($C789,8,15)&lt;$S$768,AND($T$768&gt;0,DATE($C789,8,15)&gt;$T$768)),0,IF(DATE($C789,8,15)&gt;=$X$768,$AA$768*(1+($U$768)/100)^MAX(0,$C789-$AD$768),IF(DATE($C789,8,15)&gt;=$W$768,$Z$768*(1+($U$768)/100)^MAX(0,$C789-$AC$768),IF(DATE($C789,8,15)&gt;=$V$768,$Y$768*(1+($U$768)/100)^MAX(0,$C789-$AB$768),0)))))</f>
      </c>
      <c r="M789" s="43">
        <f>IF($S$768=0,0,IF(OR(DATE($C789,9,15)&lt;$S$768,AND($T$768&gt;0,DATE($C789,9,15)&gt;$T$768)),0,IF(DATE($C789,9,15)&gt;=$X$768,$AA$768*(1+($U$768)/100)^MAX(0,$C789-$AD$768),IF(DATE($C789,9,15)&gt;=$W$768,$Z$768*(1+($U$768)/100)^MAX(0,$C789-$AC$768),IF(DATE($C789,9,15)&gt;=$V$768,$Y$768*(1+($U$768)/100)^MAX(0,$C789-$AB$768),0)))))</f>
      </c>
      <c r="N789" s="43">
        <f>IF($S$768=0,0,IF(OR(DATE($C789,10,15)&lt;$S$768,AND($T$768&gt;0,DATE($C789,10,15)&gt;$T$768)),0,IF(DATE($C789,10,15)&gt;=$X$768,$AA$768*(1+($U$768)/100)^MAX(0,$C789-$AD$768),IF(DATE($C789,10,15)&gt;=$W$768,$Z$768*(1+($U$768)/100)^MAX(0,$C789-$AC$768),IF(DATE($C789,10,15)&gt;=$V$768,$Y$768*(1+($U$768)/100)^MAX(0,$C789-$AB$768),0)))))</f>
      </c>
      <c r="O789" s="43">
        <f>IF($S$768=0,0,IF(OR(DATE($C789,11,15)&lt;$S$768,AND($T$768&gt;0,DATE($C789,11,15)&gt;$T$768)),0,IF(DATE($C789,11,15)&gt;=$X$768,$AA$768*(1+($U$768)/100)^MAX(0,$C789-$AD$768),IF(DATE($C789,11,15)&gt;=$W$768,$Z$768*(1+($U$768)/100)^MAX(0,$C789-$AC$768),IF(DATE($C789,11,15)&gt;=$V$768,$Y$768*(1+($U$768)/100)^MAX(0,$C789-$AB$768),0)))))</f>
      </c>
      <c r="P789" s="43">
        <f>IF($S$768=0,0,IF(OR(DATE($C789,12,15)&lt;$S$768,AND($T$768&gt;0,DATE($C789,12,15)&gt;$T$768)),0,IF(DATE($C789,12,15)&gt;=$X$768,$AA$768*(1+($U$768)/100)^MAX(0,$C789-$AD$768),IF(DATE($C789,12,15)&gt;=$W$768,$Z$768*(1+($U$768)/100)^MAX(0,$C789-$AC$768),IF(DATE($C789,12,15)&gt;=$V$768,$Y$768*(1+($U$768)/100)^MAX(0,$C789-$AB$768),0)))))</f>
      </c>
      <c r="Q789" s="43">
        <f>SUM($E789:$P789)</f>
      </c>
    </row>
    <row r="790">
      <c r="A790"/>
      <c r="B790">
        <v>25</v>
      </c>
      <c r="C790" s="43">
        <f>Jahr+22</f>
      </c>
      <c r="D790" s="43">
        <f>INDEX(MvObj,25)</f>
      </c>
      <c r="E790" s="43">
        <f>IF($S$768=0,0,IF(OR(DATE($C790,1,15)&lt;$S$768,AND($T$768&gt;0,DATE($C790,1,15)&gt;$T$768)),0,IF(DATE($C790,1,15)&gt;=$X$768,$AA$768*(1+($U$768)/100)^MAX(0,$C790-$AD$768),IF(DATE($C790,1,15)&gt;=$W$768,$Z$768*(1+($U$768)/100)^MAX(0,$C790-$AC$768),IF(DATE($C790,1,15)&gt;=$V$768,$Y$768*(1+($U$768)/100)^MAX(0,$C790-$AB$768),0)))))</f>
      </c>
      <c r="F790" s="43">
        <f>IF($S$768=0,0,IF(OR(DATE($C790,2,15)&lt;$S$768,AND($T$768&gt;0,DATE($C790,2,15)&gt;$T$768)),0,IF(DATE($C790,2,15)&gt;=$X$768,$AA$768*(1+($U$768)/100)^MAX(0,$C790-$AD$768),IF(DATE($C790,2,15)&gt;=$W$768,$Z$768*(1+($U$768)/100)^MAX(0,$C790-$AC$768),IF(DATE($C790,2,15)&gt;=$V$768,$Y$768*(1+($U$768)/100)^MAX(0,$C790-$AB$768),0)))))</f>
      </c>
      <c r="G790" s="43">
        <f>IF($S$768=0,0,IF(OR(DATE($C790,3,15)&lt;$S$768,AND($T$768&gt;0,DATE($C790,3,15)&gt;$T$768)),0,IF(DATE($C790,3,15)&gt;=$X$768,$AA$768*(1+($U$768)/100)^MAX(0,$C790-$AD$768),IF(DATE($C790,3,15)&gt;=$W$768,$Z$768*(1+($U$768)/100)^MAX(0,$C790-$AC$768),IF(DATE($C790,3,15)&gt;=$V$768,$Y$768*(1+($U$768)/100)^MAX(0,$C790-$AB$768),0)))))</f>
      </c>
      <c r="H790" s="43">
        <f>IF($S$768=0,0,IF(OR(DATE($C790,4,15)&lt;$S$768,AND($T$768&gt;0,DATE($C790,4,15)&gt;$T$768)),0,IF(DATE($C790,4,15)&gt;=$X$768,$AA$768*(1+($U$768)/100)^MAX(0,$C790-$AD$768),IF(DATE($C790,4,15)&gt;=$W$768,$Z$768*(1+($U$768)/100)^MAX(0,$C790-$AC$768),IF(DATE($C790,4,15)&gt;=$V$768,$Y$768*(1+($U$768)/100)^MAX(0,$C790-$AB$768),0)))))</f>
      </c>
      <c r="I790" s="43">
        <f>IF($S$768=0,0,IF(OR(DATE($C790,5,15)&lt;$S$768,AND($T$768&gt;0,DATE($C790,5,15)&gt;$T$768)),0,IF(DATE($C790,5,15)&gt;=$X$768,$AA$768*(1+($U$768)/100)^MAX(0,$C790-$AD$768),IF(DATE($C790,5,15)&gt;=$W$768,$Z$768*(1+($U$768)/100)^MAX(0,$C790-$AC$768),IF(DATE($C790,5,15)&gt;=$V$768,$Y$768*(1+($U$768)/100)^MAX(0,$C790-$AB$768),0)))))</f>
      </c>
      <c r="J790" s="43">
        <f>IF($S$768=0,0,IF(OR(DATE($C790,6,15)&lt;$S$768,AND($T$768&gt;0,DATE($C790,6,15)&gt;$T$768)),0,IF(DATE($C790,6,15)&gt;=$X$768,$AA$768*(1+($U$768)/100)^MAX(0,$C790-$AD$768),IF(DATE($C790,6,15)&gt;=$W$768,$Z$768*(1+($U$768)/100)^MAX(0,$C790-$AC$768),IF(DATE($C790,6,15)&gt;=$V$768,$Y$768*(1+($U$768)/100)^MAX(0,$C790-$AB$768),0)))))</f>
      </c>
      <c r="K790" s="43">
        <f>IF($S$768=0,0,IF(OR(DATE($C790,7,15)&lt;$S$768,AND($T$768&gt;0,DATE($C790,7,15)&gt;$T$768)),0,IF(DATE($C790,7,15)&gt;=$X$768,$AA$768*(1+($U$768)/100)^MAX(0,$C790-$AD$768),IF(DATE($C790,7,15)&gt;=$W$768,$Z$768*(1+($U$768)/100)^MAX(0,$C790-$AC$768),IF(DATE($C790,7,15)&gt;=$V$768,$Y$768*(1+($U$768)/100)^MAX(0,$C790-$AB$768),0)))))</f>
      </c>
      <c r="L790" s="43">
        <f>IF($S$768=0,0,IF(OR(DATE($C790,8,15)&lt;$S$768,AND($T$768&gt;0,DATE($C790,8,15)&gt;$T$768)),0,IF(DATE($C790,8,15)&gt;=$X$768,$AA$768*(1+($U$768)/100)^MAX(0,$C790-$AD$768),IF(DATE($C790,8,15)&gt;=$W$768,$Z$768*(1+($U$768)/100)^MAX(0,$C790-$AC$768),IF(DATE($C790,8,15)&gt;=$V$768,$Y$768*(1+($U$768)/100)^MAX(0,$C790-$AB$768),0)))))</f>
      </c>
      <c r="M790" s="43">
        <f>IF($S$768=0,0,IF(OR(DATE($C790,9,15)&lt;$S$768,AND($T$768&gt;0,DATE($C790,9,15)&gt;$T$768)),0,IF(DATE($C790,9,15)&gt;=$X$768,$AA$768*(1+($U$768)/100)^MAX(0,$C790-$AD$768),IF(DATE($C790,9,15)&gt;=$W$768,$Z$768*(1+($U$768)/100)^MAX(0,$C790-$AC$768),IF(DATE($C790,9,15)&gt;=$V$768,$Y$768*(1+($U$768)/100)^MAX(0,$C790-$AB$768),0)))))</f>
      </c>
      <c r="N790" s="43">
        <f>IF($S$768=0,0,IF(OR(DATE($C790,10,15)&lt;$S$768,AND($T$768&gt;0,DATE($C790,10,15)&gt;$T$768)),0,IF(DATE($C790,10,15)&gt;=$X$768,$AA$768*(1+($U$768)/100)^MAX(0,$C790-$AD$768),IF(DATE($C790,10,15)&gt;=$W$768,$Z$768*(1+($U$768)/100)^MAX(0,$C790-$AC$768),IF(DATE($C790,10,15)&gt;=$V$768,$Y$768*(1+($U$768)/100)^MAX(0,$C790-$AB$768),0)))))</f>
      </c>
      <c r="O790" s="43">
        <f>IF($S$768=0,0,IF(OR(DATE($C790,11,15)&lt;$S$768,AND($T$768&gt;0,DATE($C790,11,15)&gt;$T$768)),0,IF(DATE($C790,11,15)&gt;=$X$768,$AA$768*(1+($U$768)/100)^MAX(0,$C790-$AD$768),IF(DATE($C790,11,15)&gt;=$W$768,$Z$768*(1+($U$768)/100)^MAX(0,$C790-$AC$768),IF(DATE($C790,11,15)&gt;=$V$768,$Y$768*(1+($U$768)/100)^MAX(0,$C790-$AB$768),0)))))</f>
      </c>
      <c r="P790" s="43">
        <f>IF($S$768=0,0,IF(OR(DATE($C790,12,15)&lt;$S$768,AND($T$768&gt;0,DATE($C790,12,15)&gt;$T$768)),0,IF(DATE($C790,12,15)&gt;=$X$768,$AA$768*(1+($U$768)/100)^MAX(0,$C790-$AD$768),IF(DATE($C790,12,15)&gt;=$W$768,$Z$768*(1+($U$768)/100)^MAX(0,$C790-$AC$768),IF(DATE($C790,12,15)&gt;=$V$768,$Y$768*(1+($U$768)/100)^MAX(0,$C790-$AB$768),0)))))</f>
      </c>
      <c r="Q790" s="43">
        <f>SUM($E790:$P790)</f>
      </c>
    </row>
    <row r="791">
      <c r="A791"/>
      <c r="B791">
        <v>25</v>
      </c>
      <c r="C791" s="43">
        <f>Jahr+23</f>
      </c>
      <c r="D791" s="43">
        <f>INDEX(MvObj,25)</f>
      </c>
      <c r="E791" s="43">
        <f>IF($S$768=0,0,IF(OR(DATE($C791,1,15)&lt;$S$768,AND($T$768&gt;0,DATE($C791,1,15)&gt;$T$768)),0,IF(DATE($C791,1,15)&gt;=$X$768,$AA$768*(1+($U$768)/100)^MAX(0,$C791-$AD$768),IF(DATE($C791,1,15)&gt;=$W$768,$Z$768*(1+($U$768)/100)^MAX(0,$C791-$AC$768),IF(DATE($C791,1,15)&gt;=$V$768,$Y$768*(1+($U$768)/100)^MAX(0,$C791-$AB$768),0)))))</f>
      </c>
      <c r="F791" s="43">
        <f>IF($S$768=0,0,IF(OR(DATE($C791,2,15)&lt;$S$768,AND($T$768&gt;0,DATE($C791,2,15)&gt;$T$768)),0,IF(DATE($C791,2,15)&gt;=$X$768,$AA$768*(1+($U$768)/100)^MAX(0,$C791-$AD$768),IF(DATE($C791,2,15)&gt;=$W$768,$Z$768*(1+($U$768)/100)^MAX(0,$C791-$AC$768),IF(DATE($C791,2,15)&gt;=$V$768,$Y$768*(1+($U$768)/100)^MAX(0,$C791-$AB$768),0)))))</f>
      </c>
      <c r="G791" s="43">
        <f>IF($S$768=0,0,IF(OR(DATE($C791,3,15)&lt;$S$768,AND($T$768&gt;0,DATE($C791,3,15)&gt;$T$768)),0,IF(DATE($C791,3,15)&gt;=$X$768,$AA$768*(1+($U$768)/100)^MAX(0,$C791-$AD$768),IF(DATE($C791,3,15)&gt;=$W$768,$Z$768*(1+($U$768)/100)^MAX(0,$C791-$AC$768),IF(DATE($C791,3,15)&gt;=$V$768,$Y$768*(1+($U$768)/100)^MAX(0,$C791-$AB$768),0)))))</f>
      </c>
      <c r="H791" s="43">
        <f>IF($S$768=0,0,IF(OR(DATE($C791,4,15)&lt;$S$768,AND($T$768&gt;0,DATE($C791,4,15)&gt;$T$768)),0,IF(DATE($C791,4,15)&gt;=$X$768,$AA$768*(1+($U$768)/100)^MAX(0,$C791-$AD$768),IF(DATE($C791,4,15)&gt;=$W$768,$Z$768*(1+($U$768)/100)^MAX(0,$C791-$AC$768),IF(DATE($C791,4,15)&gt;=$V$768,$Y$768*(1+($U$768)/100)^MAX(0,$C791-$AB$768),0)))))</f>
      </c>
      <c r="I791" s="43">
        <f>IF($S$768=0,0,IF(OR(DATE($C791,5,15)&lt;$S$768,AND($T$768&gt;0,DATE($C791,5,15)&gt;$T$768)),0,IF(DATE($C791,5,15)&gt;=$X$768,$AA$768*(1+($U$768)/100)^MAX(0,$C791-$AD$768),IF(DATE($C791,5,15)&gt;=$W$768,$Z$768*(1+($U$768)/100)^MAX(0,$C791-$AC$768),IF(DATE($C791,5,15)&gt;=$V$768,$Y$768*(1+($U$768)/100)^MAX(0,$C791-$AB$768),0)))))</f>
      </c>
      <c r="J791" s="43">
        <f>IF($S$768=0,0,IF(OR(DATE($C791,6,15)&lt;$S$768,AND($T$768&gt;0,DATE($C791,6,15)&gt;$T$768)),0,IF(DATE($C791,6,15)&gt;=$X$768,$AA$768*(1+($U$768)/100)^MAX(0,$C791-$AD$768),IF(DATE($C791,6,15)&gt;=$W$768,$Z$768*(1+($U$768)/100)^MAX(0,$C791-$AC$768),IF(DATE($C791,6,15)&gt;=$V$768,$Y$768*(1+($U$768)/100)^MAX(0,$C791-$AB$768),0)))))</f>
      </c>
      <c r="K791" s="43">
        <f>IF($S$768=0,0,IF(OR(DATE($C791,7,15)&lt;$S$768,AND($T$768&gt;0,DATE($C791,7,15)&gt;$T$768)),0,IF(DATE($C791,7,15)&gt;=$X$768,$AA$768*(1+($U$768)/100)^MAX(0,$C791-$AD$768),IF(DATE($C791,7,15)&gt;=$W$768,$Z$768*(1+($U$768)/100)^MAX(0,$C791-$AC$768),IF(DATE($C791,7,15)&gt;=$V$768,$Y$768*(1+($U$768)/100)^MAX(0,$C791-$AB$768),0)))))</f>
      </c>
      <c r="L791" s="43">
        <f>IF($S$768=0,0,IF(OR(DATE($C791,8,15)&lt;$S$768,AND($T$768&gt;0,DATE($C791,8,15)&gt;$T$768)),0,IF(DATE($C791,8,15)&gt;=$X$768,$AA$768*(1+($U$768)/100)^MAX(0,$C791-$AD$768),IF(DATE($C791,8,15)&gt;=$W$768,$Z$768*(1+($U$768)/100)^MAX(0,$C791-$AC$768),IF(DATE($C791,8,15)&gt;=$V$768,$Y$768*(1+($U$768)/100)^MAX(0,$C791-$AB$768),0)))))</f>
      </c>
      <c r="M791" s="43">
        <f>IF($S$768=0,0,IF(OR(DATE($C791,9,15)&lt;$S$768,AND($T$768&gt;0,DATE($C791,9,15)&gt;$T$768)),0,IF(DATE($C791,9,15)&gt;=$X$768,$AA$768*(1+($U$768)/100)^MAX(0,$C791-$AD$768),IF(DATE($C791,9,15)&gt;=$W$768,$Z$768*(1+($U$768)/100)^MAX(0,$C791-$AC$768),IF(DATE($C791,9,15)&gt;=$V$768,$Y$768*(1+($U$768)/100)^MAX(0,$C791-$AB$768),0)))))</f>
      </c>
      <c r="N791" s="43">
        <f>IF($S$768=0,0,IF(OR(DATE($C791,10,15)&lt;$S$768,AND($T$768&gt;0,DATE($C791,10,15)&gt;$T$768)),0,IF(DATE($C791,10,15)&gt;=$X$768,$AA$768*(1+($U$768)/100)^MAX(0,$C791-$AD$768),IF(DATE($C791,10,15)&gt;=$W$768,$Z$768*(1+($U$768)/100)^MAX(0,$C791-$AC$768),IF(DATE($C791,10,15)&gt;=$V$768,$Y$768*(1+($U$768)/100)^MAX(0,$C791-$AB$768),0)))))</f>
      </c>
      <c r="O791" s="43">
        <f>IF($S$768=0,0,IF(OR(DATE($C791,11,15)&lt;$S$768,AND($T$768&gt;0,DATE($C791,11,15)&gt;$T$768)),0,IF(DATE($C791,11,15)&gt;=$X$768,$AA$768*(1+($U$768)/100)^MAX(0,$C791-$AD$768),IF(DATE($C791,11,15)&gt;=$W$768,$Z$768*(1+($U$768)/100)^MAX(0,$C791-$AC$768),IF(DATE($C791,11,15)&gt;=$V$768,$Y$768*(1+($U$768)/100)^MAX(0,$C791-$AB$768),0)))))</f>
      </c>
      <c r="P791" s="43">
        <f>IF($S$768=0,0,IF(OR(DATE($C791,12,15)&lt;$S$768,AND($T$768&gt;0,DATE($C791,12,15)&gt;$T$768)),0,IF(DATE($C791,12,15)&gt;=$X$768,$AA$768*(1+($U$768)/100)^MAX(0,$C791-$AD$768),IF(DATE($C791,12,15)&gt;=$W$768,$Z$768*(1+($U$768)/100)^MAX(0,$C791-$AC$768),IF(DATE($C791,12,15)&gt;=$V$768,$Y$768*(1+($U$768)/100)^MAX(0,$C791-$AB$768),0)))))</f>
      </c>
      <c r="Q791" s="43">
        <f>SUM($E791:$P791)</f>
      </c>
    </row>
    <row r="792">
      <c r="A792"/>
      <c r="B792">
        <v>25</v>
      </c>
      <c r="C792" s="43">
        <f>Jahr+24</f>
      </c>
      <c r="D792" s="43">
        <f>INDEX(MvObj,25)</f>
      </c>
      <c r="E792" s="43">
        <f>IF($S$768=0,0,IF(OR(DATE($C792,1,15)&lt;$S$768,AND($T$768&gt;0,DATE($C792,1,15)&gt;$T$768)),0,IF(DATE($C792,1,15)&gt;=$X$768,$AA$768*(1+($U$768)/100)^MAX(0,$C792-$AD$768),IF(DATE($C792,1,15)&gt;=$W$768,$Z$768*(1+($U$768)/100)^MAX(0,$C792-$AC$768),IF(DATE($C792,1,15)&gt;=$V$768,$Y$768*(1+($U$768)/100)^MAX(0,$C792-$AB$768),0)))))</f>
      </c>
      <c r="F792" s="43">
        <f>IF($S$768=0,0,IF(OR(DATE($C792,2,15)&lt;$S$768,AND($T$768&gt;0,DATE($C792,2,15)&gt;$T$768)),0,IF(DATE($C792,2,15)&gt;=$X$768,$AA$768*(1+($U$768)/100)^MAX(0,$C792-$AD$768),IF(DATE($C792,2,15)&gt;=$W$768,$Z$768*(1+($U$768)/100)^MAX(0,$C792-$AC$768),IF(DATE($C792,2,15)&gt;=$V$768,$Y$768*(1+($U$768)/100)^MAX(0,$C792-$AB$768),0)))))</f>
      </c>
      <c r="G792" s="43">
        <f>IF($S$768=0,0,IF(OR(DATE($C792,3,15)&lt;$S$768,AND($T$768&gt;0,DATE($C792,3,15)&gt;$T$768)),0,IF(DATE($C792,3,15)&gt;=$X$768,$AA$768*(1+($U$768)/100)^MAX(0,$C792-$AD$768),IF(DATE($C792,3,15)&gt;=$W$768,$Z$768*(1+($U$768)/100)^MAX(0,$C792-$AC$768),IF(DATE($C792,3,15)&gt;=$V$768,$Y$768*(1+($U$768)/100)^MAX(0,$C792-$AB$768),0)))))</f>
      </c>
      <c r="H792" s="43">
        <f>IF($S$768=0,0,IF(OR(DATE($C792,4,15)&lt;$S$768,AND($T$768&gt;0,DATE($C792,4,15)&gt;$T$768)),0,IF(DATE($C792,4,15)&gt;=$X$768,$AA$768*(1+($U$768)/100)^MAX(0,$C792-$AD$768),IF(DATE($C792,4,15)&gt;=$W$768,$Z$768*(1+($U$768)/100)^MAX(0,$C792-$AC$768),IF(DATE($C792,4,15)&gt;=$V$768,$Y$768*(1+($U$768)/100)^MAX(0,$C792-$AB$768),0)))))</f>
      </c>
      <c r="I792" s="43">
        <f>IF($S$768=0,0,IF(OR(DATE($C792,5,15)&lt;$S$768,AND($T$768&gt;0,DATE($C792,5,15)&gt;$T$768)),0,IF(DATE($C792,5,15)&gt;=$X$768,$AA$768*(1+($U$768)/100)^MAX(0,$C792-$AD$768),IF(DATE($C792,5,15)&gt;=$W$768,$Z$768*(1+($U$768)/100)^MAX(0,$C792-$AC$768),IF(DATE($C792,5,15)&gt;=$V$768,$Y$768*(1+($U$768)/100)^MAX(0,$C792-$AB$768),0)))))</f>
      </c>
      <c r="J792" s="43">
        <f>IF($S$768=0,0,IF(OR(DATE($C792,6,15)&lt;$S$768,AND($T$768&gt;0,DATE($C792,6,15)&gt;$T$768)),0,IF(DATE($C792,6,15)&gt;=$X$768,$AA$768*(1+($U$768)/100)^MAX(0,$C792-$AD$768),IF(DATE($C792,6,15)&gt;=$W$768,$Z$768*(1+($U$768)/100)^MAX(0,$C792-$AC$768),IF(DATE($C792,6,15)&gt;=$V$768,$Y$768*(1+($U$768)/100)^MAX(0,$C792-$AB$768),0)))))</f>
      </c>
      <c r="K792" s="43">
        <f>IF($S$768=0,0,IF(OR(DATE($C792,7,15)&lt;$S$768,AND($T$768&gt;0,DATE($C792,7,15)&gt;$T$768)),0,IF(DATE($C792,7,15)&gt;=$X$768,$AA$768*(1+($U$768)/100)^MAX(0,$C792-$AD$768),IF(DATE($C792,7,15)&gt;=$W$768,$Z$768*(1+($U$768)/100)^MAX(0,$C792-$AC$768),IF(DATE($C792,7,15)&gt;=$V$768,$Y$768*(1+($U$768)/100)^MAX(0,$C792-$AB$768),0)))))</f>
      </c>
      <c r="L792" s="43">
        <f>IF($S$768=0,0,IF(OR(DATE($C792,8,15)&lt;$S$768,AND($T$768&gt;0,DATE($C792,8,15)&gt;$T$768)),0,IF(DATE($C792,8,15)&gt;=$X$768,$AA$768*(1+($U$768)/100)^MAX(0,$C792-$AD$768),IF(DATE($C792,8,15)&gt;=$W$768,$Z$768*(1+($U$768)/100)^MAX(0,$C792-$AC$768),IF(DATE($C792,8,15)&gt;=$V$768,$Y$768*(1+($U$768)/100)^MAX(0,$C792-$AB$768),0)))))</f>
      </c>
      <c r="M792" s="43">
        <f>IF($S$768=0,0,IF(OR(DATE($C792,9,15)&lt;$S$768,AND($T$768&gt;0,DATE($C792,9,15)&gt;$T$768)),0,IF(DATE($C792,9,15)&gt;=$X$768,$AA$768*(1+($U$768)/100)^MAX(0,$C792-$AD$768),IF(DATE($C792,9,15)&gt;=$W$768,$Z$768*(1+($U$768)/100)^MAX(0,$C792-$AC$768),IF(DATE($C792,9,15)&gt;=$V$768,$Y$768*(1+($U$768)/100)^MAX(0,$C792-$AB$768),0)))))</f>
      </c>
      <c r="N792" s="43">
        <f>IF($S$768=0,0,IF(OR(DATE($C792,10,15)&lt;$S$768,AND($T$768&gt;0,DATE($C792,10,15)&gt;$T$768)),0,IF(DATE($C792,10,15)&gt;=$X$768,$AA$768*(1+($U$768)/100)^MAX(0,$C792-$AD$768),IF(DATE($C792,10,15)&gt;=$W$768,$Z$768*(1+($U$768)/100)^MAX(0,$C792-$AC$768),IF(DATE($C792,10,15)&gt;=$V$768,$Y$768*(1+($U$768)/100)^MAX(0,$C792-$AB$768),0)))))</f>
      </c>
      <c r="O792" s="43">
        <f>IF($S$768=0,0,IF(OR(DATE($C792,11,15)&lt;$S$768,AND($T$768&gt;0,DATE($C792,11,15)&gt;$T$768)),0,IF(DATE($C792,11,15)&gt;=$X$768,$AA$768*(1+($U$768)/100)^MAX(0,$C792-$AD$768),IF(DATE($C792,11,15)&gt;=$W$768,$Z$768*(1+($U$768)/100)^MAX(0,$C792-$AC$768),IF(DATE($C792,11,15)&gt;=$V$768,$Y$768*(1+($U$768)/100)^MAX(0,$C792-$AB$768),0)))))</f>
      </c>
      <c r="P792" s="43">
        <f>IF($S$768=0,0,IF(OR(DATE($C792,12,15)&lt;$S$768,AND($T$768&gt;0,DATE($C792,12,15)&gt;$T$768)),0,IF(DATE($C792,12,15)&gt;=$X$768,$AA$768*(1+($U$768)/100)^MAX(0,$C792-$AD$768),IF(DATE($C792,12,15)&gt;=$W$768,$Z$768*(1+($U$768)/100)^MAX(0,$C792-$AC$768),IF(DATE($C792,12,15)&gt;=$V$768,$Y$768*(1+($U$768)/100)^MAX(0,$C792-$AB$768),0)))))</f>
      </c>
      <c r="Q792" s="43">
        <f>SUM($E792:$P792)</f>
      </c>
    </row>
    <row r="793">
      <c r="A793"/>
      <c r="B793">
        <v>25</v>
      </c>
      <c r="C793" s="43">
        <f>Jahr+25</f>
      </c>
      <c r="D793" s="43">
        <f>INDEX(MvObj,25)</f>
      </c>
      <c r="E793" s="43">
        <f>IF($S$768=0,0,IF(OR(DATE($C793,1,15)&lt;$S$768,AND($T$768&gt;0,DATE($C793,1,15)&gt;$T$768)),0,IF(DATE($C793,1,15)&gt;=$X$768,$AA$768*(1+($U$768)/100)^MAX(0,$C793-$AD$768),IF(DATE($C793,1,15)&gt;=$W$768,$Z$768*(1+($U$768)/100)^MAX(0,$C793-$AC$768),IF(DATE($C793,1,15)&gt;=$V$768,$Y$768*(1+($U$768)/100)^MAX(0,$C793-$AB$768),0)))))</f>
      </c>
      <c r="F793" s="43">
        <f>IF($S$768=0,0,IF(OR(DATE($C793,2,15)&lt;$S$768,AND($T$768&gt;0,DATE($C793,2,15)&gt;$T$768)),0,IF(DATE($C793,2,15)&gt;=$X$768,$AA$768*(1+($U$768)/100)^MAX(0,$C793-$AD$768),IF(DATE($C793,2,15)&gt;=$W$768,$Z$768*(1+($U$768)/100)^MAX(0,$C793-$AC$768),IF(DATE($C793,2,15)&gt;=$V$768,$Y$768*(1+($U$768)/100)^MAX(0,$C793-$AB$768),0)))))</f>
      </c>
      <c r="G793" s="43">
        <f>IF($S$768=0,0,IF(OR(DATE($C793,3,15)&lt;$S$768,AND($T$768&gt;0,DATE($C793,3,15)&gt;$T$768)),0,IF(DATE($C793,3,15)&gt;=$X$768,$AA$768*(1+($U$768)/100)^MAX(0,$C793-$AD$768),IF(DATE($C793,3,15)&gt;=$W$768,$Z$768*(1+($U$768)/100)^MAX(0,$C793-$AC$768),IF(DATE($C793,3,15)&gt;=$V$768,$Y$768*(1+($U$768)/100)^MAX(0,$C793-$AB$768),0)))))</f>
      </c>
      <c r="H793" s="43">
        <f>IF($S$768=0,0,IF(OR(DATE($C793,4,15)&lt;$S$768,AND($T$768&gt;0,DATE($C793,4,15)&gt;$T$768)),0,IF(DATE($C793,4,15)&gt;=$X$768,$AA$768*(1+($U$768)/100)^MAX(0,$C793-$AD$768),IF(DATE($C793,4,15)&gt;=$W$768,$Z$768*(1+($U$768)/100)^MAX(0,$C793-$AC$768),IF(DATE($C793,4,15)&gt;=$V$768,$Y$768*(1+($U$768)/100)^MAX(0,$C793-$AB$768),0)))))</f>
      </c>
      <c r="I793" s="43">
        <f>IF($S$768=0,0,IF(OR(DATE($C793,5,15)&lt;$S$768,AND($T$768&gt;0,DATE($C793,5,15)&gt;$T$768)),0,IF(DATE($C793,5,15)&gt;=$X$768,$AA$768*(1+($U$768)/100)^MAX(0,$C793-$AD$768),IF(DATE($C793,5,15)&gt;=$W$768,$Z$768*(1+($U$768)/100)^MAX(0,$C793-$AC$768),IF(DATE($C793,5,15)&gt;=$V$768,$Y$768*(1+($U$768)/100)^MAX(0,$C793-$AB$768),0)))))</f>
      </c>
      <c r="J793" s="43">
        <f>IF($S$768=0,0,IF(OR(DATE($C793,6,15)&lt;$S$768,AND($T$768&gt;0,DATE($C793,6,15)&gt;$T$768)),0,IF(DATE($C793,6,15)&gt;=$X$768,$AA$768*(1+($U$768)/100)^MAX(0,$C793-$AD$768),IF(DATE($C793,6,15)&gt;=$W$768,$Z$768*(1+($U$768)/100)^MAX(0,$C793-$AC$768),IF(DATE($C793,6,15)&gt;=$V$768,$Y$768*(1+($U$768)/100)^MAX(0,$C793-$AB$768),0)))))</f>
      </c>
      <c r="K793" s="43">
        <f>IF($S$768=0,0,IF(OR(DATE($C793,7,15)&lt;$S$768,AND($T$768&gt;0,DATE($C793,7,15)&gt;$T$768)),0,IF(DATE($C793,7,15)&gt;=$X$768,$AA$768*(1+($U$768)/100)^MAX(0,$C793-$AD$768),IF(DATE($C793,7,15)&gt;=$W$768,$Z$768*(1+($U$768)/100)^MAX(0,$C793-$AC$768),IF(DATE($C793,7,15)&gt;=$V$768,$Y$768*(1+($U$768)/100)^MAX(0,$C793-$AB$768),0)))))</f>
      </c>
      <c r="L793" s="43">
        <f>IF($S$768=0,0,IF(OR(DATE($C793,8,15)&lt;$S$768,AND($T$768&gt;0,DATE($C793,8,15)&gt;$T$768)),0,IF(DATE($C793,8,15)&gt;=$X$768,$AA$768*(1+($U$768)/100)^MAX(0,$C793-$AD$768),IF(DATE($C793,8,15)&gt;=$W$768,$Z$768*(1+($U$768)/100)^MAX(0,$C793-$AC$768),IF(DATE($C793,8,15)&gt;=$V$768,$Y$768*(1+($U$768)/100)^MAX(0,$C793-$AB$768),0)))))</f>
      </c>
      <c r="M793" s="43">
        <f>IF($S$768=0,0,IF(OR(DATE($C793,9,15)&lt;$S$768,AND($T$768&gt;0,DATE($C793,9,15)&gt;$T$768)),0,IF(DATE($C793,9,15)&gt;=$X$768,$AA$768*(1+($U$768)/100)^MAX(0,$C793-$AD$768),IF(DATE($C793,9,15)&gt;=$W$768,$Z$768*(1+($U$768)/100)^MAX(0,$C793-$AC$768),IF(DATE($C793,9,15)&gt;=$V$768,$Y$768*(1+($U$768)/100)^MAX(0,$C793-$AB$768),0)))))</f>
      </c>
      <c r="N793" s="43">
        <f>IF($S$768=0,0,IF(OR(DATE($C793,10,15)&lt;$S$768,AND($T$768&gt;0,DATE($C793,10,15)&gt;$T$768)),0,IF(DATE($C793,10,15)&gt;=$X$768,$AA$768*(1+($U$768)/100)^MAX(0,$C793-$AD$768),IF(DATE($C793,10,15)&gt;=$W$768,$Z$768*(1+($U$768)/100)^MAX(0,$C793-$AC$768),IF(DATE($C793,10,15)&gt;=$V$768,$Y$768*(1+($U$768)/100)^MAX(0,$C793-$AB$768),0)))))</f>
      </c>
      <c r="O793" s="43">
        <f>IF($S$768=0,0,IF(OR(DATE($C793,11,15)&lt;$S$768,AND($T$768&gt;0,DATE($C793,11,15)&gt;$T$768)),0,IF(DATE($C793,11,15)&gt;=$X$768,$AA$768*(1+($U$768)/100)^MAX(0,$C793-$AD$768),IF(DATE($C793,11,15)&gt;=$W$768,$Z$768*(1+($U$768)/100)^MAX(0,$C793-$AC$768),IF(DATE($C793,11,15)&gt;=$V$768,$Y$768*(1+($U$768)/100)^MAX(0,$C793-$AB$768),0)))))</f>
      </c>
      <c r="P793" s="43">
        <f>IF($S$768=0,0,IF(OR(DATE($C793,12,15)&lt;$S$768,AND($T$768&gt;0,DATE($C793,12,15)&gt;$T$768)),0,IF(DATE($C793,12,15)&gt;=$X$768,$AA$768*(1+($U$768)/100)^MAX(0,$C793-$AD$768),IF(DATE($C793,12,15)&gt;=$W$768,$Z$768*(1+($U$768)/100)^MAX(0,$C793-$AC$768),IF(DATE($C793,12,15)&gt;=$V$768,$Y$768*(1+($U$768)/100)^MAX(0,$C793-$AB$768),0)))))</f>
      </c>
      <c r="Q793" s="43">
        <f>SUM($E793:$P793)</f>
      </c>
    </row>
    <row r="794">
      <c r="A794"/>
      <c r="B794">
        <v>25</v>
      </c>
      <c r="C794" s="43">
        <f>Jahr+26</f>
      </c>
      <c r="D794" s="43">
        <f>INDEX(MvObj,25)</f>
      </c>
      <c r="E794" s="43">
        <f>IF($S$768=0,0,IF(OR(DATE($C794,1,15)&lt;$S$768,AND($T$768&gt;0,DATE($C794,1,15)&gt;$T$768)),0,IF(DATE($C794,1,15)&gt;=$X$768,$AA$768*(1+($U$768)/100)^MAX(0,$C794-$AD$768),IF(DATE($C794,1,15)&gt;=$W$768,$Z$768*(1+($U$768)/100)^MAX(0,$C794-$AC$768),IF(DATE($C794,1,15)&gt;=$V$768,$Y$768*(1+($U$768)/100)^MAX(0,$C794-$AB$768),0)))))</f>
      </c>
      <c r="F794" s="43">
        <f>IF($S$768=0,0,IF(OR(DATE($C794,2,15)&lt;$S$768,AND($T$768&gt;0,DATE($C794,2,15)&gt;$T$768)),0,IF(DATE($C794,2,15)&gt;=$X$768,$AA$768*(1+($U$768)/100)^MAX(0,$C794-$AD$768),IF(DATE($C794,2,15)&gt;=$W$768,$Z$768*(1+($U$768)/100)^MAX(0,$C794-$AC$768),IF(DATE($C794,2,15)&gt;=$V$768,$Y$768*(1+($U$768)/100)^MAX(0,$C794-$AB$768),0)))))</f>
      </c>
      <c r="G794" s="43">
        <f>IF($S$768=0,0,IF(OR(DATE($C794,3,15)&lt;$S$768,AND($T$768&gt;0,DATE($C794,3,15)&gt;$T$768)),0,IF(DATE($C794,3,15)&gt;=$X$768,$AA$768*(1+($U$768)/100)^MAX(0,$C794-$AD$768),IF(DATE($C794,3,15)&gt;=$W$768,$Z$768*(1+($U$768)/100)^MAX(0,$C794-$AC$768),IF(DATE($C794,3,15)&gt;=$V$768,$Y$768*(1+($U$768)/100)^MAX(0,$C794-$AB$768),0)))))</f>
      </c>
      <c r="H794" s="43">
        <f>IF($S$768=0,0,IF(OR(DATE($C794,4,15)&lt;$S$768,AND($T$768&gt;0,DATE($C794,4,15)&gt;$T$768)),0,IF(DATE($C794,4,15)&gt;=$X$768,$AA$768*(1+($U$768)/100)^MAX(0,$C794-$AD$768),IF(DATE($C794,4,15)&gt;=$W$768,$Z$768*(1+($U$768)/100)^MAX(0,$C794-$AC$768),IF(DATE($C794,4,15)&gt;=$V$768,$Y$768*(1+($U$768)/100)^MAX(0,$C794-$AB$768),0)))))</f>
      </c>
      <c r="I794" s="43">
        <f>IF($S$768=0,0,IF(OR(DATE($C794,5,15)&lt;$S$768,AND($T$768&gt;0,DATE($C794,5,15)&gt;$T$768)),0,IF(DATE($C794,5,15)&gt;=$X$768,$AA$768*(1+($U$768)/100)^MAX(0,$C794-$AD$768),IF(DATE($C794,5,15)&gt;=$W$768,$Z$768*(1+($U$768)/100)^MAX(0,$C794-$AC$768),IF(DATE($C794,5,15)&gt;=$V$768,$Y$768*(1+($U$768)/100)^MAX(0,$C794-$AB$768),0)))))</f>
      </c>
      <c r="J794" s="43">
        <f>IF($S$768=0,0,IF(OR(DATE($C794,6,15)&lt;$S$768,AND($T$768&gt;0,DATE($C794,6,15)&gt;$T$768)),0,IF(DATE($C794,6,15)&gt;=$X$768,$AA$768*(1+($U$768)/100)^MAX(0,$C794-$AD$768),IF(DATE($C794,6,15)&gt;=$W$768,$Z$768*(1+($U$768)/100)^MAX(0,$C794-$AC$768),IF(DATE($C794,6,15)&gt;=$V$768,$Y$768*(1+($U$768)/100)^MAX(0,$C794-$AB$768),0)))))</f>
      </c>
      <c r="K794" s="43">
        <f>IF($S$768=0,0,IF(OR(DATE($C794,7,15)&lt;$S$768,AND($T$768&gt;0,DATE($C794,7,15)&gt;$T$768)),0,IF(DATE($C794,7,15)&gt;=$X$768,$AA$768*(1+($U$768)/100)^MAX(0,$C794-$AD$768),IF(DATE($C794,7,15)&gt;=$W$768,$Z$768*(1+($U$768)/100)^MAX(0,$C794-$AC$768),IF(DATE($C794,7,15)&gt;=$V$768,$Y$768*(1+($U$768)/100)^MAX(0,$C794-$AB$768),0)))))</f>
      </c>
      <c r="L794" s="43">
        <f>IF($S$768=0,0,IF(OR(DATE($C794,8,15)&lt;$S$768,AND($T$768&gt;0,DATE($C794,8,15)&gt;$T$768)),0,IF(DATE($C794,8,15)&gt;=$X$768,$AA$768*(1+($U$768)/100)^MAX(0,$C794-$AD$768),IF(DATE($C794,8,15)&gt;=$W$768,$Z$768*(1+($U$768)/100)^MAX(0,$C794-$AC$768),IF(DATE($C794,8,15)&gt;=$V$768,$Y$768*(1+($U$768)/100)^MAX(0,$C794-$AB$768),0)))))</f>
      </c>
      <c r="M794" s="43">
        <f>IF($S$768=0,0,IF(OR(DATE($C794,9,15)&lt;$S$768,AND($T$768&gt;0,DATE($C794,9,15)&gt;$T$768)),0,IF(DATE($C794,9,15)&gt;=$X$768,$AA$768*(1+($U$768)/100)^MAX(0,$C794-$AD$768),IF(DATE($C794,9,15)&gt;=$W$768,$Z$768*(1+($U$768)/100)^MAX(0,$C794-$AC$768),IF(DATE($C794,9,15)&gt;=$V$768,$Y$768*(1+($U$768)/100)^MAX(0,$C794-$AB$768),0)))))</f>
      </c>
      <c r="N794" s="43">
        <f>IF($S$768=0,0,IF(OR(DATE($C794,10,15)&lt;$S$768,AND($T$768&gt;0,DATE($C794,10,15)&gt;$T$768)),0,IF(DATE($C794,10,15)&gt;=$X$768,$AA$768*(1+($U$768)/100)^MAX(0,$C794-$AD$768),IF(DATE($C794,10,15)&gt;=$W$768,$Z$768*(1+($U$768)/100)^MAX(0,$C794-$AC$768),IF(DATE($C794,10,15)&gt;=$V$768,$Y$768*(1+($U$768)/100)^MAX(0,$C794-$AB$768),0)))))</f>
      </c>
      <c r="O794" s="43">
        <f>IF($S$768=0,0,IF(OR(DATE($C794,11,15)&lt;$S$768,AND($T$768&gt;0,DATE($C794,11,15)&gt;$T$768)),0,IF(DATE($C794,11,15)&gt;=$X$768,$AA$768*(1+($U$768)/100)^MAX(0,$C794-$AD$768),IF(DATE($C794,11,15)&gt;=$W$768,$Z$768*(1+($U$768)/100)^MAX(0,$C794-$AC$768),IF(DATE($C794,11,15)&gt;=$V$768,$Y$768*(1+($U$768)/100)^MAX(0,$C794-$AB$768),0)))))</f>
      </c>
      <c r="P794" s="43">
        <f>IF($S$768=0,0,IF(OR(DATE($C794,12,15)&lt;$S$768,AND($T$768&gt;0,DATE($C794,12,15)&gt;$T$768)),0,IF(DATE($C794,12,15)&gt;=$X$768,$AA$768*(1+($U$768)/100)^MAX(0,$C794-$AD$768),IF(DATE($C794,12,15)&gt;=$W$768,$Z$768*(1+($U$768)/100)^MAX(0,$C794-$AC$768),IF(DATE($C794,12,15)&gt;=$V$768,$Y$768*(1+($U$768)/100)^MAX(0,$C794-$AB$768),0)))))</f>
      </c>
      <c r="Q794" s="43">
        <f>SUM($E794:$P794)</f>
      </c>
    </row>
    <row r="795">
      <c r="A795"/>
      <c r="B795">
        <v>25</v>
      </c>
      <c r="C795" s="43">
        <f>Jahr+27</f>
      </c>
      <c r="D795" s="43">
        <f>INDEX(MvObj,25)</f>
      </c>
      <c r="E795" s="43">
        <f>IF($S$768=0,0,IF(OR(DATE($C795,1,15)&lt;$S$768,AND($T$768&gt;0,DATE($C795,1,15)&gt;$T$768)),0,IF(DATE($C795,1,15)&gt;=$X$768,$AA$768*(1+($U$768)/100)^MAX(0,$C795-$AD$768),IF(DATE($C795,1,15)&gt;=$W$768,$Z$768*(1+($U$768)/100)^MAX(0,$C795-$AC$768),IF(DATE($C795,1,15)&gt;=$V$768,$Y$768*(1+($U$768)/100)^MAX(0,$C795-$AB$768),0)))))</f>
      </c>
      <c r="F795" s="43">
        <f>IF($S$768=0,0,IF(OR(DATE($C795,2,15)&lt;$S$768,AND($T$768&gt;0,DATE($C795,2,15)&gt;$T$768)),0,IF(DATE($C795,2,15)&gt;=$X$768,$AA$768*(1+($U$768)/100)^MAX(0,$C795-$AD$768),IF(DATE($C795,2,15)&gt;=$W$768,$Z$768*(1+($U$768)/100)^MAX(0,$C795-$AC$768),IF(DATE($C795,2,15)&gt;=$V$768,$Y$768*(1+($U$768)/100)^MAX(0,$C795-$AB$768),0)))))</f>
      </c>
      <c r="G795" s="43">
        <f>IF($S$768=0,0,IF(OR(DATE($C795,3,15)&lt;$S$768,AND($T$768&gt;0,DATE($C795,3,15)&gt;$T$768)),0,IF(DATE($C795,3,15)&gt;=$X$768,$AA$768*(1+($U$768)/100)^MAX(0,$C795-$AD$768),IF(DATE($C795,3,15)&gt;=$W$768,$Z$768*(1+($U$768)/100)^MAX(0,$C795-$AC$768),IF(DATE($C795,3,15)&gt;=$V$768,$Y$768*(1+($U$768)/100)^MAX(0,$C795-$AB$768),0)))))</f>
      </c>
      <c r="H795" s="43">
        <f>IF($S$768=0,0,IF(OR(DATE($C795,4,15)&lt;$S$768,AND($T$768&gt;0,DATE($C795,4,15)&gt;$T$768)),0,IF(DATE($C795,4,15)&gt;=$X$768,$AA$768*(1+($U$768)/100)^MAX(0,$C795-$AD$768),IF(DATE($C795,4,15)&gt;=$W$768,$Z$768*(1+($U$768)/100)^MAX(0,$C795-$AC$768),IF(DATE($C795,4,15)&gt;=$V$768,$Y$768*(1+($U$768)/100)^MAX(0,$C795-$AB$768),0)))))</f>
      </c>
      <c r="I795" s="43">
        <f>IF($S$768=0,0,IF(OR(DATE($C795,5,15)&lt;$S$768,AND($T$768&gt;0,DATE($C795,5,15)&gt;$T$768)),0,IF(DATE($C795,5,15)&gt;=$X$768,$AA$768*(1+($U$768)/100)^MAX(0,$C795-$AD$768),IF(DATE($C795,5,15)&gt;=$W$768,$Z$768*(1+($U$768)/100)^MAX(0,$C795-$AC$768),IF(DATE($C795,5,15)&gt;=$V$768,$Y$768*(1+($U$768)/100)^MAX(0,$C795-$AB$768),0)))))</f>
      </c>
      <c r="J795" s="43">
        <f>IF($S$768=0,0,IF(OR(DATE($C795,6,15)&lt;$S$768,AND($T$768&gt;0,DATE($C795,6,15)&gt;$T$768)),0,IF(DATE($C795,6,15)&gt;=$X$768,$AA$768*(1+($U$768)/100)^MAX(0,$C795-$AD$768),IF(DATE($C795,6,15)&gt;=$W$768,$Z$768*(1+($U$768)/100)^MAX(0,$C795-$AC$768),IF(DATE($C795,6,15)&gt;=$V$768,$Y$768*(1+($U$768)/100)^MAX(0,$C795-$AB$768),0)))))</f>
      </c>
      <c r="K795" s="43">
        <f>IF($S$768=0,0,IF(OR(DATE($C795,7,15)&lt;$S$768,AND($T$768&gt;0,DATE($C795,7,15)&gt;$T$768)),0,IF(DATE($C795,7,15)&gt;=$X$768,$AA$768*(1+($U$768)/100)^MAX(0,$C795-$AD$768),IF(DATE($C795,7,15)&gt;=$W$768,$Z$768*(1+($U$768)/100)^MAX(0,$C795-$AC$768),IF(DATE($C795,7,15)&gt;=$V$768,$Y$768*(1+($U$768)/100)^MAX(0,$C795-$AB$768),0)))))</f>
      </c>
      <c r="L795" s="43">
        <f>IF($S$768=0,0,IF(OR(DATE($C795,8,15)&lt;$S$768,AND($T$768&gt;0,DATE($C795,8,15)&gt;$T$768)),0,IF(DATE($C795,8,15)&gt;=$X$768,$AA$768*(1+($U$768)/100)^MAX(0,$C795-$AD$768),IF(DATE($C795,8,15)&gt;=$W$768,$Z$768*(1+($U$768)/100)^MAX(0,$C795-$AC$768),IF(DATE($C795,8,15)&gt;=$V$768,$Y$768*(1+($U$768)/100)^MAX(0,$C795-$AB$768),0)))))</f>
      </c>
      <c r="M795" s="43">
        <f>IF($S$768=0,0,IF(OR(DATE($C795,9,15)&lt;$S$768,AND($T$768&gt;0,DATE($C795,9,15)&gt;$T$768)),0,IF(DATE($C795,9,15)&gt;=$X$768,$AA$768*(1+($U$768)/100)^MAX(0,$C795-$AD$768),IF(DATE($C795,9,15)&gt;=$W$768,$Z$768*(1+($U$768)/100)^MAX(0,$C795-$AC$768),IF(DATE($C795,9,15)&gt;=$V$768,$Y$768*(1+($U$768)/100)^MAX(0,$C795-$AB$768),0)))))</f>
      </c>
      <c r="N795" s="43">
        <f>IF($S$768=0,0,IF(OR(DATE($C795,10,15)&lt;$S$768,AND($T$768&gt;0,DATE($C795,10,15)&gt;$T$768)),0,IF(DATE($C795,10,15)&gt;=$X$768,$AA$768*(1+($U$768)/100)^MAX(0,$C795-$AD$768),IF(DATE($C795,10,15)&gt;=$W$768,$Z$768*(1+($U$768)/100)^MAX(0,$C795-$AC$768),IF(DATE($C795,10,15)&gt;=$V$768,$Y$768*(1+($U$768)/100)^MAX(0,$C795-$AB$768),0)))))</f>
      </c>
      <c r="O795" s="43">
        <f>IF($S$768=0,0,IF(OR(DATE($C795,11,15)&lt;$S$768,AND($T$768&gt;0,DATE($C795,11,15)&gt;$T$768)),0,IF(DATE($C795,11,15)&gt;=$X$768,$AA$768*(1+($U$768)/100)^MAX(0,$C795-$AD$768),IF(DATE($C795,11,15)&gt;=$W$768,$Z$768*(1+($U$768)/100)^MAX(0,$C795-$AC$768),IF(DATE($C795,11,15)&gt;=$V$768,$Y$768*(1+($U$768)/100)^MAX(0,$C795-$AB$768),0)))))</f>
      </c>
      <c r="P795" s="43">
        <f>IF($S$768=0,0,IF(OR(DATE($C795,12,15)&lt;$S$768,AND($T$768&gt;0,DATE($C795,12,15)&gt;$T$768)),0,IF(DATE($C795,12,15)&gt;=$X$768,$AA$768*(1+($U$768)/100)^MAX(0,$C795-$AD$768),IF(DATE($C795,12,15)&gt;=$W$768,$Z$768*(1+($U$768)/100)^MAX(0,$C795-$AC$768),IF(DATE($C795,12,15)&gt;=$V$768,$Y$768*(1+($U$768)/100)^MAX(0,$C795-$AB$768),0)))))</f>
      </c>
      <c r="Q795" s="43">
        <f>SUM($E795:$P795)</f>
      </c>
    </row>
    <row r="796">
      <c r="A796"/>
      <c r="B796">
        <v>25</v>
      </c>
      <c r="C796" s="43">
        <f>Jahr+28</f>
      </c>
      <c r="D796" s="43">
        <f>INDEX(MvObj,25)</f>
      </c>
      <c r="E796" s="43">
        <f>IF($S$768=0,0,IF(OR(DATE($C796,1,15)&lt;$S$768,AND($T$768&gt;0,DATE($C796,1,15)&gt;$T$768)),0,IF(DATE($C796,1,15)&gt;=$X$768,$AA$768*(1+($U$768)/100)^MAX(0,$C796-$AD$768),IF(DATE($C796,1,15)&gt;=$W$768,$Z$768*(1+($U$768)/100)^MAX(0,$C796-$AC$768),IF(DATE($C796,1,15)&gt;=$V$768,$Y$768*(1+($U$768)/100)^MAX(0,$C796-$AB$768),0)))))</f>
      </c>
      <c r="F796" s="43">
        <f>IF($S$768=0,0,IF(OR(DATE($C796,2,15)&lt;$S$768,AND($T$768&gt;0,DATE($C796,2,15)&gt;$T$768)),0,IF(DATE($C796,2,15)&gt;=$X$768,$AA$768*(1+($U$768)/100)^MAX(0,$C796-$AD$768),IF(DATE($C796,2,15)&gt;=$W$768,$Z$768*(1+($U$768)/100)^MAX(0,$C796-$AC$768),IF(DATE($C796,2,15)&gt;=$V$768,$Y$768*(1+($U$768)/100)^MAX(0,$C796-$AB$768),0)))))</f>
      </c>
      <c r="G796" s="43">
        <f>IF($S$768=0,0,IF(OR(DATE($C796,3,15)&lt;$S$768,AND($T$768&gt;0,DATE($C796,3,15)&gt;$T$768)),0,IF(DATE($C796,3,15)&gt;=$X$768,$AA$768*(1+($U$768)/100)^MAX(0,$C796-$AD$768),IF(DATE($C796,3,15)&gt;=$W$768,$Z$768*(1+($U$768)/100)^MAX(0,$C796-$AC$768),IF(DATE($C796,3,15)&gt;=$V$768,$Y$768*(1+($U$768)/100)^MAX(0,$C796-$AB$768),0)))))</f>
      </c>
      <c r="H796" s="43">
        <f>IF($S$768=0,0,IF(OR(DATE($C796,4,15)&lt;$S$768,AND($T$768&gt;0,DATE($C796,4,15)&gt;$T$768)),0,IF(DATE($C796,4,15)&gt;=$X$768,$AA$768*(1+($U$768)/100)^MAX(0,$C796-$AD$768),IF(DATE($C796,4,15)&gt;=$W$768,$Z$768*(1+($U$768)/100)^MAX(0,$C796-$AC$768),IF(DATE($C796,4,15)&gt;=$V$768,$Y$768*(1+($U$768)/100)^MAX(0,$C796-$AB$768),0)))))</f>
      </c>
      <c r="I796" s="43">
        <f>IF($S$768=0,0,IF(OR(DATE($C796,5,15)&lt;$S$768,AND($T$768&gt;0,DATE($C796,5,15)&gt;$T$768)),0,IF(DATE($C796,5,15)&gt;=$X$768,$AA$768*(1+($U$768)/100)^MAX(0,$C796-$AD$768),IF(DATE($C796,5,15)&gt;=$W$768,$Z$768*(1+($U$768)/100)^MAX(0,$C796-$AC$768),IF(DATE($C796,5,15)&gt;=$V$768,$Y$768*(1+($U$768)/100)^MAX(0,$C796-$AB$768),0)))))</f>
      </c>
      <c r="J796" s="43">
        <f>IF($S$768=0,0,IF(OR(DATE($C796,6,15)&lt;$S$768,AND($T$768&gt;0,DATE($C796,6,15)&gt;$T$768)),0,IF(DATE($C796,6,15)&gt;=$X$768,$AA$768*(1+($U$768)/100)^MAX(0,$C796-$AD$768),IF(DATE($C796,6,15)&gt;=$W$768,$Z$768*(1+($U$768)/100)^MAX(0,$C796-$AC$768),IF(DATE($C796,6,15)&gt;=$V$768,$Y$768*(1+($U$768)/100)^MAX(0,$C796-$AB$768),0)))))</f>
      </c>
      <c r="K796" s="43">
        <f>IF($S$768=0,0,IF(OR(DATE($C796,7,15)&lt;$S$768,AND($T$768&gt;0,DATE($C796,7,15)&gt;$T$768)),0,IF(DATE($C796,7,15)&gt;=$X$768,$AA$768*(1+($U$768)/100)^MAX(0,$C796-$AD$768),IF(DATE($C796,7,15)&gt;=$W$768,$Z$768*(1+($U$768)/100)^MAX(0,$C796-$AC$768),IF(DATE($C796,7,15)&gt;=$V$768,$Y$768*(1+($U$768)/100)^MAX(0,$C796-$AB$768),0)))))</f>
      </c>
      <c r="L796" s="43">
        <f>IF($S$768=0,0,IF(OR(DATE($C796,8,15)&lt;$S$768,AND($T$768&gt;0,DATE($C796,8,15)&gt;$T$768)),0,IF(DATE($C796,8,15)&gt;=$X$768,$AA$768*(1+($U$768)/100)^MAX(0,$C796-$AD$768),IF(DATE($C796,8,15)&gt;=$W$768,$Z$768*(1+($U$768)/100)^MAX(0,$C796-$AC$768),IF(DATE($C796,8,15)&gt;=$V$768,$Y$768*(1+($U$768)/100)^MAX(0,$C796-$AB$768),0)))))</f>
      </c>
      <c r="M796" s="43">
        <f>IF($S$768=0,0,IF(OR(DATE($C796,9,15)&lt;$S$768,AND($T$768&gt;0,DATE($C796,9,15)&gt;$T$768)),0,IF(DATE($C796,9,15)&gt;=$X$768,$AA$768*(1+($U$768)/100)^MAX(0,$C796-$AD$768),IF(DATE($C796,9,15)&gt;=$W$768,$Z$768*(1+($U$768)/100)^MAX(0,$C796-$AC$768),IF(DATE($C796,9,15)&gt;=$V$768,$Y$768*(1+($U$768)/100)^MAX(0,$C796-$AB$768),0)))))</f>
      </c>
      <c r="N796" s="43">
        <f>IF($S$768=0,0,IF(OR(DATE($C796,10,15)&lt;$S$768,AND($T$768&gt;0,DATE($C796,10,15)&gt;$T$768)),0,IF(DATE($C796,10,15)&gt;=$X$768,$AA$768*(1+($U$768)/100)^MAX(0,$C796-$AD$768),IF(DATE($C796,10,15)&gt;=$W$768,$Z$768*(1+($U$768)/100)^MAX(0,$C796-$AC$768),IF(DATE($C796,10,15)&gt;=$V$768,$Y$768*(1+($U$768)/100)^MAX(0,$C796-$AB$768),0)))))</f>
      </c>
      <c r="O796" s="43">
        <f>IF($S$768=0,0,IF(OR(DATE($C796,11,15)&lt;$S$768,AND($T$768&gt;0,DATE($C796,11,15)&gt;$T$768)),0,IF(DATE($C796,11,15)&gt;=$X$768,$AA$768*(1+($U$768)/100)^MAX(0,$C796-$AD$768),IF(DATE($C796,11,15)&gt;=$W$768,$Z$768*(1+($U$768)/100)^MAX(0,$C796-$AC$768),IF(DATE($C796,11,15)&gt;=$V$768,$Y$768*(1+($U$768)/100)^MAX(0,$C796-$AB$768),0)))))</f>
      </c>
      <c r="P796" s="43">
        <f>IF($S$768=0,0,IF(OR(DATE($C796,12,15)&lt;$S$768,AND($T$768&gt;0,DATE($C796,12,15)&gt;$T$768)),0,IF(DATE($C796,12,15)&gt;=$X$768,$AA$768*(1+($U$768)/100)^MAX(0,$C796-$AD$768),IF(DATE($C796,12,15)&gt;=$W$768,$Z$768*(1+($U$768)/100)^MAX(0,$C796-$AC$768),IF(DATE($C796,12,15)&gt;=$V$768,$Y$768*(1+($U$768)/100)^MAX(0,$C796-$AB$768),0)))))</f>
      </c>
      <c r="Q796" s="43">
        <f>SUM($E796:$P796)</f>
      </c>
    </row>
    <row r="797">
      <c r="A797"/>
      <c r="B797">
        <v>25</v>
      </c>
      <c r="C797" s="43">
        <f>Jahr+29</f>
      </c>
      <c r="D797" s="43">
        <f>INDEX(MvObj,25)</f>
      </c>
      <c r="E797" s="43">
        <f>IF($S$768=0,0,IF(OR(DATE($C797,1,15)&lt;$S$768,AND($T$768&gt;0,DATE($C797,1,15)&gt;$T$768)),0,IF(DATE($C797,1,15)&gt;=$X$768,$AA$768*(1+($U$768)/100)^MAX(0,$C797-$AD$768),IF(DATE($C797,1,15)&gt;=$W$768,$Z$768*(1+($U$768)/100)^MAX(0,$C797-$AC$768),IF(DATE($C797,1,15)&gt;=$V$768,$Y$768*(1+($U$768)/100)^MAX(0,$C797-$AB$768),0)))))</f>
      </c>
      <c r="F797" s="43">
        <f>IF($S$768=0,0,IF(OR(DATE($C797,2,15)&lt;$S$768,AND($T$768&gt;0,DATE($C797,2,15)&gt;$T$768)),0,IF(DATE($C797,2,15)&gt;=$X$768,$AA$768*(1+($U$768)/100)^MAX(0,$C797-$AD$768),IF(DATE($C797,2,15)&gt;=$W$768,$Z$768*(1+($U$768)/100)^MAX(0,$C797-$AC$768),IF(DATE($C797,2,15)&gt;=$V$768,$Y$768*(1+($U$768)/100)^MAX(0,$C797-$AB$768),0)))))</f>
      </c>
      <c r="G797" s="43">
        <f>IF($S$768=0,0,IF(OR(DATE($C797,3,15)&lt;$S$768,AND($T$768&gt;0,DATE($C797,3,15)&gt;$T$768)),0,IF(DATE($C797,3,15)&gt;=$X$768,$AA$768*(1+($U$768)/100)^MAX(0,$C797-$AD$768),IF(DATE($C797,3,15)&gt;=$W$768,$Z$768*(1+($U$768)/100)^MAX(0,$C797-$AC$768),IF(DATE($C797,3,15)&gt;=$V$768,$Y$768*(1+($U$768)/100)^MAX(0,$C797-$AB$768),0)))))</f>
      </c>
      <c r="H797" s="43">
        <f>IF($S$768=0,0,IF(OR(DATE($C797,4,15)&lt;$S$768,AND($T$768&gt;0,DATE($C797,4,15)&gt;$T$768)),0,IF(DATE($C797,4,15)&gt;=$X$768,$AA$768*(1+($U$768)/100)^MAX(0,$C797-$AD$768),IF(DATE($C797,4,15)&gt;=$W$768,$Z$768*(1+($U$768)/100)^MAX(0,$C797-$AC$768),IF(DATE($C797,4,15)&gt;=$V$768,$Y$768*(1+($U$768)/100)^MAX(0,$C797-$AB$768),0)))))</f>
      </c>
      <c r="I797" s="43">
        <f>IF($S$768=0,0,IF(OR(DATE($C797,5,15)&lt;$S$768,AND($T$768&gt;0,DATE($C797,5,15)&gt;$T$768)),0,IF(DATE($C797,5,15)&gt;=$X$768,$AA$768*(1+($U$768)/100)^MAX(0,$C797-$AD$768),IF(DATE($C797,5,15)&gt;=$W$768,$Z$768*(1+($U$768)/100)^MAX(0,$C797-$AC$768),IF(DATE($C797,5,15)&gt;=$V$768,$Y$768*(1+($U$768)/100)^MAX(0,$C797-$AB$768),0)))))</f>
      </c>
      <c r="J797" s="43">
        <f>IF($S$768=0,0,IF(OR(DATE($C797,6,15)&lt;$S$768,AND($T$768&gt;0,DATE($C797,6,15)&gt;$T$768)),0,IF(DATE($C797,6,15)&gt;=$X$768,$AA$768*(1+($U$768)/100)^MAX(0,$C797-$AD$768),IF(DATE($C797,6,15)&gt;=$W$768,$Z$768*(1+($U$768)/100)^MAX(0,$C797-$AC$768),IF(DATE($C797,6,15)&gt;=$V$768,$Y$768*(1+($U$768)/100)^MAX(0,$C797-$AB$768),0)))))</f>
      </c>
      <c r="K797" s="43">
        <f>IF($S$768=0,0,IF(OR(DATE($C797,7,15)&lt;$S$768,AND($T$768&gt;0,DATE($C797,7,15)&gt;$T$768)),0,IF(DATE($C797,7,15)&gt;=$X$768,$AA$768*(1+($U$768)/100)^MAX(0,$C797-$AD$768),IF(DATE($C797,7,15)&gt;=$W$768,$Z$768*(1+($U$768)/100)^MAX(0,$C797-$AC$768),IF(DATE($C797,7,15)&gt;=$V$768,$Y$768*(1+($U$768)/100)^MAX(0,$C797-$AB$768),0)))))</f>
      </c>
      <c r="L797" s="43">
        <f>IF($S$768=0,0,IF(OR(DATE($C797,8,15)&lt;$S$768,AND($T$768&gt;0,DATE($C797,8,15)&gt;$T$768)),0,IF(DATE($C797,8,15)&gt;=$X$768,$AA$768*(1+($U$768)/100)^MAX(0,$C797-$AD$768),IF(DATE($C797,8,15)&gt;=$W$768,$Z$768*(1+($U$768)/100)^MAX(0,$C797-$AC$768),IF(DATE($C797,8,15)&gt;=$V$768,$Y$768*(1+($U$768)/100)^MAX(0,$C797-$AB$768),0)))))</f>
      </c>
      <c r="M797" s="43">
        <f>IF($S$768=0,0,IF(OR(DATE($C797,9,15)&lt;$S$768,AND($T$768&gt;0,DATE($C797,9,15)&gt;$T$768)),0,IF(DATE($C797,9,15)&gt;=$X$768,$AA$768*(1+($U$768)/100)^MAX(0,$C797-$AD$768),IF(DATE($C797,9,15)&gt;=$W$768,$Z$768*(1+($U$768)/100)^MAX(0,$C797-$AC$768),IF(DATE($C797,9,15)&gt;=$V$768,$Y$768*(1+($U$768)/100)^MAX(0,$C797-$AB$768),0)))))</f>
      </c>
      <c r="N797" s="43">
        <f>IF($S$768=0,0,IF(OR(DATE($C797,10,15)&lt;$S$768,AND($T$768&gt;0,DATE($C797,10,15)&gt;$T$768)),0,IF(DATE($C797,10,15)&gt;=$X$768,$AA$768*(1+($U$768)/100)^MAX(0,$C797-$AD$768),IF(DATE($C797,10,15)&gt;=$W$768,$Z$768*(1+($U$768)/100)^MAX(0,$C797-$AC$768),IF(DATE($C797,10,15)&gt;=$V$768,$Y$768*(1+($U$768)/100)^MAX(0,$C797-$AB$768),0)))))</f>
      </c>
      <c r="O797" s="43">
        <f>IF($S$768=0,0,IF(OR(DATE($C797,11,15)&lt;$S$768,AND($T$768&gt;0,DATE($C797,11,15)&gt;$T$768)),0,IF(DATE($C797,11,15)&gt;=$X$768,$AA$768*(1+($U$768)/100)^MAX(0,$C797-$AD$768),IF(DATE($C797,11,15)&gt;=$W$768,$Z$768*(1+($U$768)/100)^MAX(0,$C797-$AC$768),IF(DATE($C797,11,15)&gt;=$V$768,$Y$768*(1+($U$768)/100)^MAX(0,$C797-$AB$768),0)))))</f>
      </c>
      <c r="P797" s="43">
        <f>IF($S$768=0,0,IF(OR(DATE($C797,12,15)&lt;$S$768,AND($T$768&gt;0,DATE($C797,12,15)&gt;$T$768)),0,IF(DATE($C797,12,15)&gt;=$X$768,$AA$768*(1+($U$768)/100)^MAX(0,$C797-$AD$768),IF(DATE($C797,12,15)&gt;=$W$768,$Z$768*(1+($U$768)/100)^MAX(0,$C797-$AC$768),IF(DATE($C797,12,15)&gt;=$V$768,$Y$768*(1+($U$768)/100)^MAX(0,$C797-$AB$768),0)))))</f>
      </c>
      <c r="Q797" s="43">
        <f>SUM($E797:$P797)</f>
      </c>
    </row>
    <row r="798">
      <c r="A798"/>
      <c r="B798">
        <v>25</v>
      </c>
      <c r="C798" s="43">
        <f>Jahr+30</f>
      </c>
      <c r="D798" s="43">
        <f>INDEX(MvObj,25)</f>
      </c>
      <c r="E798" s="43">
        <f>IF($S$768=0,0,IF(OR(DATE($C798,1,15)&lt;$S$768,AND($T$768&gt;0,DATE($C798,1,15)&gt;$T$768)),0,IF(DATE($C798,1,15)&gt;=$X$768,$AA$768*(1+($U$768)/100)^MAX(0,$C798-$AD$768),IF(DATE($C798,1,15)&gt;=$W$768,$Z$768*(1+($U$768)/100)^MAX(0,$C798-$AC$768),IF(DATE($C798,1,15)&gt;=$V$768,$Y$768*(1+($U$768)/100)^MAX(0,$C798-$AB$768),0)))))</f>
      </c>
      <c r="F798" s="43">
        <f>IF($S$768=0,0,IF(OR(DATE($C798,2,15)&lt;$S$768,AND($T$768&gt;0,DATE($C798,2,15)&gt;$T$768)),0,IF(DATE($C798,2,15)&gt;=$X$768,$AA$768*(1+($U$768)/100)^MAX(0,$C798-$AD$768),IF(DATE($C798,2,15)&gt;=$W$768,$Z$768*(1+($U$768)/100)^MAX(0,$C798-$AC$768),IF(DATE($C798,2,15)&gt;=$V$768,$Y$768*(1+($U$768)/100)^MAX(0,$C798-$AB$768),0)))))</f>
      </c>
      <c r="G798" s="43">
        <f>IF($S$768=0,0,IF(OR(DATE($C798,3,15)&lt;$S$768,AND($T$768&gt;0,DATE($C798,3,15)&gt;$T$768)),0,IF(DATE($C798,3,15)&gt;=$X$768,$AA$768*(1+($U$768)/100)^MAX(0,$C798-$AD$768),IF(DATE($C798,3,15)&gt;=$W$768,$Z$768*(1+($U$768)/100)^MAX(0,$C798-$AC$768),IF(DATE($C798,3,15)&gt;=$V$768,$Y$768*(1+($U$768)/100)^MAX(0,$C798-$AB$768),0)))))</f>
      </c>
      <c r="H798" s="43">
        <f>IF($S$768=0,0,IF(OR(DATE($C798,4,15)&lt;$S$768,AND($T$768&gt;0,DATE($C798,4,15)&gt;$T$768)),0,IF(DATE($C798,4,15)&gt;=$X$768,$AA$768*(1+($U$768)/100)^MAX(0,$C798-$AD$768),IF(DATE($C798,4,15)&gt;=$W$768,$Z$768*(1+($U$768)/100)^MAX(0,$C798-$AC$768),IF(DATE($C798,4,15)&gt;=$V$768,$Y$768*(1+($U$768)/100)^MAX(0,$C798-$AB$768),0)))))</f>
      </c>
      <c r="I798" s="43">
        <f>IF($S$768=0,0,IF(OR(DATE($C798,5,15)&lt;$S$768,AND($T$768&gt;0,DATE($C798,5,15)&gt;$T$768)),0,IF(DATE($C798,5,15)&gt;=$X$768,$AA$768*(1+($U$768)/100)^MAX(0,$C798-$AD$768),IF(DATE($C798,5,15)&gt;=$W$768,$Z$768*(1+($U$768)/100)^MAX(0,$C798-$AC$768),IF(DATE($C798,5,15)&gt;=$V$768,$Y$768*(1+($U$768)/100)^MAX(0,$C798-$AB$768),0)))))</f>
      </c>
      <c r="J798" s="43">
        <f>IF($S$768=0,0,IF(OR(DATE($C798,6,15)&lt;$S$768,AND($T$768&gt;0,DATE($C798,6,15)&gt;$T$768)),0,IF(DATE($C798,6,15)&gt;=$X$768,$AA$768*(1+($U$768)/100)^MAX(0,$C798-$AD$768),IF(DATE($C798,6,15)&gt;=$W$768,$Z$768*(1+($U$768)/100)^MAX(0,$C798-$AC$768),IF(DATE($C798,6,15)&gt;=$V$768,$Y$768*(1+($U$768)/100)^MAX(0,$C798-$AB$768),0)))))</f>
      </c>
      <c r="K798" s="43">
        <f>IF($S$768=0,0,IF(OR(DATE($C798,7,15)&lt;$S$768,AND($T$768&gt;0,DATE($C798,7,15)&gt;$T$768)),0,IF(DATE($C798,7,15)&gt;=$X$768,$AA$768*(1+($U$768)/100)^MAX(0,$C798-$AD$768),IF(DATE($C798,7,15)&gt;=$W$768,$Z$768*(1+($U$768)/100)^MAX(0,$C798-$AC$768),IF(DATE($C798,7,15)&gt;=$V$768,$Y$768*(1+($U$768)/100)^MAX(0,$C798-$AB$768),0)))))</f>
      </c>
      <c r="L798" s="43">
        <f>IF($S$768=0,0,IF(OR(DATE($C798,8,15)&lt;$S$768,AND($T$768&gt;0,DATE($C798,8,15)&gt;$T$768)),0,IF(DATE($C798,8,15)&gt;=$X$768,$AA$768*(1+($U$768)/100)^MAX(0,$C798-$AD$768),IF(DATE($C798,8,15)&gt;=$W$768,$Z$768*(1+($U$768)/100)^MAX(0,$C798-$AC$768),IF(DATE($C798,8,15)&gt;=$V$768,$Y$768*(1+($U$768)/100)^MAX(0,$C798-$AB$768),0)))))</f>
      </c>
      <c r="M798" s="43">
        <f>IF($S$768=0,0,IF(OR(DATE($C798,9,15)&lt;$S$768,AND($T$768&gt;0,DATE($C798,9,15)&gt;$T$768)),0,IF(DATE($C798,9,15)&gt;=$X$768,$AA$768*(1+($U$768)/100)^MAX(0,$C798-$AD$768),IF(DATE($C798,9,15)&gt;=$W$768,$Z$768*(1+($U$768)/100)^MAX(0,$C798-$AC$768),IF(DATE($C798,9,15)&gt;=$V$768,$Y$768*(1+($U$768)/100)^MAX(0,$C798-$AB$768),0)))))</f>
      </c>
      <c r="N798" s="43">
        <f>IF($S$768=0,0,IF(OR(DATE($C798,10,15)&lt;$S$768,AND($T$768&gt;0,DATE($C798,10,15)&gt;$T$768)),0,IF(DATE($C798,10,15)&gt;=$X$768,$AA$768*(1+($U$768)/100)^MAX(0,$C798-$AD$768),IF(DATE($C798,10,15)&gt;=$W$768,$Z$768*(1+($U$768)/100)^MAX(0,$C798-$AC$768),IF(DATE($C798,10,15)&gt;=$V$768,$Y$768*(1+($U$768)/100)^MAX(0,$C798-$AB$768),0)))))</f>
      </c>
      <c r="O798" s="43">
        <f>IF($S$768=0,0,IF(OR(DATE($C798,11,15)&lt;$S$768,AND($T$768&gt;0,DATE($C798,11,15)&gt;$T$768)),0,IF(DATE($C798,11,15)&gt;=$X$768,$AA$768*(1+($U$768)/100)^MAX(0,$C798-$AD$768),IF(DATE($C798,11,15)&gt;=$W$768,$Z$768*(1+($U$768)/100)^MAX(0,$C798-$AC$768),IF(DATE($C798,11,15)&gt;=$V$768,$Y$768*(1+($U$768)/100)^MAX(0,$C798-$AB$768),0)))))</f>
      </c>
      <c r="P798" s="43">
        <f>IF($S$768=0,0,IF(OR(DATE($C798,12,15)&lt;$S$768,AND($T$768&gt;0,DATE($C798,12,15)&gt;$T$768)),0,IF(DATE($C798,12,15)&gt;=$X$768,$AA$768*(1+($U$768)/100)^MAX(0,$C798-$AD$768),IF(DATE($C798,12,15)&gt;=$W$768,$Z$768*(1+($U$768)/100)^MAX(0,$C798-$AC$768),IF(DATE($C798,12,15)&gt;=$V$768,$Y$768*(1+($U$768)/100)^MAX(0,$C798-$AB$768),0)))))</f>
      </c>
      <c r="Q798" s="43">
        <f>SUM($E798:$P798)</f>
      </c>
    </row>
    <row r="799">
      <c r="A799"/>
      <c r="B799">
        <v>26</v>
      </c>
      <c r="C799" s="43">
        <f>Jahr+0</f>
      </c>
      <c r="D799" s="43">
        <f>INDEX(MvObj,26)</f>
      </c>
      <c r="E799" s="43">
        <f>IF($S$799=0,0,IF(OR(DATE($C799,1,15)&lt;$S$799,AND($T$799&gt;0,DATE($C799,1,15)&gt;$T$799)),0,IF(DATE($C799,1,15)&gt;=$X$799,$AA$799*(1+($U$799)/100)^MAX(0,$C799-$AD$799),IF(DATE($C799,1,15)&gt;=$W$799,$Z$799*(1+($U$799)/100)^MAX(0,$C799-$AC$799),IF(DATE($C799,1,15)&gt;=$V$799,$Y$799*(1+($U$799)/100)^MAX(0,$C799-$AB$799),0)))))</f>
      </c>
      <c r="F799" s="43">
        <f>IF($S$799=0,0,IF(OR(DATE($C799,2,15)&lt;$S$799,AND($T$799&gt;0,DATE($C799,2,15)&gt;$T$799)),0,IF(DATE($C799,2,15)&gt;=$X$799,$AA$799*(1+($U$799)/100)^MAX(0,$C799-$AD$799),IF(DATE($C799,2,15)&gt;=$W$799,$Z$799*(1+($U$799)/100)^MAX(0,$C799-$AC$799),IF(DATE($C799,2,15)&gt;=$V$799,$Y$799*(1+($U$799)/100)^MAX(0,$C799-$AB$799),0)))))</f>
      </c>
      <c r="G799" s="43">
        <f>IF($S$799=0,0,IF(OR(DATE($C799,3,15)&lt;$S$799,AND($T$799&gt;0,DATE($C799,3,15)&gt;$T$799)),0,IF(DATE($C799,3,15)&gt;=$X$799,$AA$799*(1+($U$799)/100)^MAX(0,$C799-$AD$799),IF(DATE($C799,3,15)&gt;=$W$799,$Z$799*(1+($U$799)/100)^MAX(0,$C799-$AC$799),IF(DATE($C799,3,15)&gt;=$V$799,$Y$799*(1+($U$799)/100)^MAX(0,$C799-$AB$799),0)))))</f>
      </c>
      <c r="H799" s="43">
        <f>IF($S$799=0,0,IF(OR(DATE($C799,4,15)&lt;$S$799,AND($T$799&gt;0,DATE($C799,4,15)&gt;$T$799)),0,IF(DATE($C799,4,15)&gt;=$X$799,$AA$799*(1+($U$799)/100)^MAX(0,$C799-$AD$799),IF(DATE($C799,4,15)&gt;=$W$799,$Z$799*(1+($U$799)/100)^MAX(0,$C799-$AC$799),IF(DATE($C799,4,15)&gt;=$V$799,$Y$799*(1+($U$799)/100)^MAX(0,$C799-$AB$799),0)))))</f>
      </c>
      <c r="I799" s="43">
        <f>IF($S$799=0,0,IF(OR(DATE($C799,5,15)&lt;$S$799,AND($T$799&gt;0,DATE($C799,5,15)&gt;$T$799)),0,IF(DATE($C799,5,15)&gt;=$X$799,$AA$799*(1+($U$799)/100)^MAX(0,$C799-$AD$799),IF(DATE($C799,5,15)&gt;=$W$799,$Z$799*(1+($U$799)/100)^MAX(0,$C799-$AC$799),IF(DATE($C799,5,15)&gt;=$V$799,$Y$799*(1+($U$799)/100)^MAX(0,$C799-$AB$799),0)))))</f>
      </c>
      <c r="J799" s="43">
        <f>IF($S$799=0,0,IF(OR(DATE($C799,6,15)&lt;$S$799,AND($T$799&gt;0,DATE($C799,6,15)&gt;$T$799)),0,IF(DATE($C799,6,15)&gt;=$X$799,$AA$799*(1+($U$799)/100)^MAX(0,$C799-$AD$799),IF(DATE($C799,6,15)&gt;=$W$799,$Z$799*(1+($U$799)/100)^MAX(0,$C799-$AC$799),IF(DATE($C799,6,15)&gt;=$V$799,$Y$799*(1+($U$799)/100)^MAX(0,$C799-$AB$799),0)))))</f>
      </c>
      <c r="K799" s="43">
        <f>IF($S$799=0,0,IF(OR(DATE($C799,7,15)&lt;$S$799,AND($T$799&gt;0,DATE($C799,7,15)&gt;$T$799)),0,IF(DATE($C799,7,15)&gt;=$X$799,$AA$799*(1+($U$799)/100)^MAX(0,$C799-$AD$799),IF(DATE($C799,7,15)&gt;=$W$799,$Z$799*(1+($U$799)/100)^MAX(0,$C799-$AC$799),IF(DATE($C799,7,15)&gt;=$V$799,$Y$799*(1+($U$799)/100)^MAX(0,$C799-$AB$799),0)))))</f>
      </c>
      <c r="L799" s="43">
        <f>IF($S$799=0,0,IF(OR(DATE($C799,8,15)&lt;$S$799,AND($T$799&gt;0,DATE($C799,8,15)&gt;$T$799)),0,IF(DATE($C799,8,15)&gt;=$X$799,$AA$799*(1+($U$799)/100)^MAX(0,$C799-$AD$799),IF(DATE($C799,8,15)&gt;=$W$799,$Z$799*(1+($U$799)/100)^MAX(0,$C799-$AC$799),IF(DATE($C799,8,15)&gt;=$V$799,$Y$799*(1+($U$799)/100)^MAX(0,$C799-$AB$799),0)))))</f>
      </c>
      <c r="M799" s="43">
        <f>IF($S$799=0,0,IF(OR(DATE($C799,9,15)&lt;$S$799,AND($T$799&gt;0,DATE($C799,9,15)&gt;$T$799)),0,IF(DATE($C799,9,15)&gt;=$X$799,$AA$799*(1+($U$799)/100)^MAX(0,$C799-$AD$799),IF(DATE($C799,9,15)&gt;=$W$799,$Z$799*(1+($U$799)/100)^MAX(0,$C799-$AC$799),IF(DATE($C799,9,15)&gt;=$V$799,$Y$799*(1+($U$799)/100)^MAX(0,$C799-$AB$799),0)))))</f>
      </c>
      <c r="N799" s="43">
        <f>IF($S$799=0,0,IF(OR(DATE($C799,10,15)&lt;$S$799,AND($T$799&gt;0,DATE($C799,10,15)&gt;$T$799)),0,IF(DATE($C799,10,15)&gt;=$X$799,$AA$799*(1+($U$799)/100)^MAX(0,$C799-$AD$799),IF(DATE($C799,10,15)&gt;=$W$799,$Z$799*(1+($U$799)/100)^MAX(0,$C799-$AC$799),IF(DATE($C799,10,15)&gt;=$V$799,$Y$799*(1+($U$799)/100)^MAX(0,$C799-$AB$799),0)))))</f>
      </c>
      <c r="O799" s="43">
        <f>IF($S$799=0,0,IF(OR(DATE($C799,11,15)&lt;$S$799,AND($T$799&gt;0,DATE($C799,11,15)&gt;$T$799)),0,IF(DATE($C799,11,15)&gt;=$X$799,$AA$799*(1+($U$799)/100)^MAX(0,$C799-$AD$799),IF(DATE($C799,11,15)&gt;=$W$799,$Z$799*(1+($U$799)/100)^MAX(0,$C799-$AC$799),IF(DATE($C799,11,15)&gt;=$V$799,$Y$799*(1+($U$799)/100)^MAX(0,$C799-$AB$799),0)))))</f>
      </c>
      <c r="P799" s="43">
        <f>IF($S$799=0,0,IF(OR(DATE($C799,12,15)&lt;$S$799,AND($T$799&gt;0,DATE($C799,12,15)&gt;$T$799)),0,IF(DATE($C799,12,15)&gt;=$X$799,$AA$799*(1+($U$799)/100)^MAX(0,$C799-$AD$799),IF(DATE($C799,12,15)&gt;=$W$799,$Z$799*(1+($U$799)/100)^MAX(0,$C799-$AC$799),IF(DATE($C799,12,15)&gt;=$V$799,$Y$799*(1+($U$799)/100)^MAX(0,$C799-$AB$799),0)))))</f>
      </c>
      <c r="Q799" s="43">
        <f>SUM($E799:$P799)</f>
      </c>
      <c r="R799"/>
      <c r="S799" s="43">
        <f>IF(INDEX(MvBeginn,26)="",0,INDEX(MvBeginn,26))</f>
      </c>
      <c r="T799" s="43">
        <f>INDEX(MvEnde,26)</f>
      </c>
      <c r="U799" s="43">
        <f>INDEX(MvSatz,26)</f>
      </c>
      <c r="V799" s="43">
        <f>INDEX(MvKey1,26)</f>
      </c>
      <c r="W799" s="43">
        <f>INDEX(MvKey2,26)</f>
      </c>
      <c r="X799" s="43">
        <f>INDEX(MvKey3,26)</f>
      </c>
      <c r="Y799" s="43">
        <f>INDEX(MvKalt1,26)</f>
      </c>
      <c r="Z799" s="43">
        <f>INDEX(MvKalt2,26)</f>
      </c>
      <c r="AA799" s="43">
        <f>INDEX(MvKalt3,26)</f>
      </c>
      <c r="AB799" s="43">
        <f>MAX(YEAR(INDEX(MvAb1,26)),Jahr)</f>
      </c>
      <c r="AC799" s="43">
        <f>MAX(YEAR(INDEX(MvAb2,26)),Jahr)</f>
      </c>
      <c r="AD799" s="43">
        <f>MAX(YEAR(INDEX(MvAb3,26)),Jahr)</f>
      </c>
    </row>
    <row r="800">
      <c r="A800"/>
      <c r="B800">
        <v>26</v>
      </c>
      <c r="C800" s="43">
        <f>Jahr+1</f>
      </c>
      <c r="D800" s="43">
        <f>INDEX(MvObj,26)</f>
      </c>
      <c r="E800" s="43">
        <f>IF($S$799=0,0,IF(OR(DATE($C800,1,15)&lt;$S$799,AND($T$799&gt;0,DATE($C800,1,15)&gt;$T$799)),0,IF(DATE($C800,1,15)&gt;=$X$799,$AA$799*(1+($U$799)/100)^MAX(0,$C800-$AD$799),IF(DATE($C800,1,15)&gt;=$W$799,$Z$799*(1+($U$799)/100)^MAX(0,$C800-$AC$799),IF(DATE($C800,1,15)&gt;=$V$799,$Y$799*(1+($U$799)/100)^MAX(0,$C800-$AB$799),0)))))</f>
      </c>
      <c r="F800" s="43">
        <f>IF($S$799=0,0,IF(OR(DATE($C800,2,15)&lt;$S$799,AND($T$799&gt;0,DATE($C800,2,15)&gt;$T$799)),0,IF(DATE($C800,2,15)&gt;=$X$799,$AA$799*(1+($U$799)/100)^MAX(0,$C800-$AD$799),IF(DATE($C800,2,15)&gt;=$W$799,$Z$799*(1+($U$799)/100)^MAX(0,$C800-$AC$799),IF(DATE($C800,2,15)&gt;=$V$799,$Y$799*(1+($U$799)/100)^MAX(0,$C800-$AB$799),0)))))</f>
      </c>
      <c r="G800" s="43">
        <f>IF($S$799=0,0,IF(OR(DATE($C800,3,15)&lt;$S$799,AND($T$799&gt;0,DATE($C800,3,15)&gt;$T$799)),0,IF(DATE($C800,3,15)&gt;=$X$799,$AA$799*(1+($U$799)/100)^MAX(0,$C800-$AD$799),IF(DATE($C800,3,15)&gt;=$W$799,$Z$799*(1+($U$799)/100)^MAX(0,$C800-$AC$799),IF(DATE($C800,3,15)&gt;=$V$799,$Y$799*(1+($U$799)/100)^MAX(0,$C800-$AB$799),0)))))</f>
      </c>
      <c r="H800" s="43">
        <f>IF($S$799=0,0,IF(OR(DATE($C800,4,15)&lt;$S$799,AND($T$799&gt;0,DATE($C800,4,15)&gt;$T$799)),0,IF(DATE($C800,4,15)&gt;=$X$799,$AA$799*(1+($U$799)/100)^MAX(0,$C800-$AD$799),IF(DATE($C800,4,15)&gt;=$W$799,$Z$799*(1+($U$799)/100)^MAX(0,$C800-$AC$799),IF(DATE($C800,4,15)&gt;=$V$799,$Y$799*(1+($U$799)/100)^MAX(0,$C800-$AB$799),0)))))</f>
      </c>
      <c r="I800" s="43">
        <f>IF($S$799=0,0,IF(OR(DATE($C800,5,15)&lt;$S$799,AND($T$799&gt;0,DATE($C800,5,15)&gt;$T$799)),0,IF(DATE($C800,5,15)&gt;=$X$799,$AA$799*(1+($U$799)/100)^MAX(0,$C800-$AD$799),IF(DATE($C800,5,15)&gt;=$W$799,$Z$799*(1+($U$799)/100)^MAX(0,$C800-$AC$799),IF(DATE($C800,5,15)&gt;=$V$799,$Y$799*(1+($U$799)/100)^MAX(0,$C800-$AB$799),0)))))</f>
      </c>
      <c r="J800" s="43">
        <f>IF($S$799=0,0,IF(OR(DATE($C800,6,15)&lt;$S$799,AND($T$799&gt;0,DATE($C800,6,15)&gt;$T$799)),0,IF(DATE($C800,6,15)&gt;=$X$799,$AA$799*(1+($U$799)/100)^MAX(0,$C800-$AD$799),IF(DATE($C800,6,15)&gt;=$W$799,$Z$799*(1+($U$799)/100)^MAX(0,$C800-$AC$799),IF(DATE($C800,6,15)&gt;=$V$799,$Y$799*(1+($U$799)/100)^MAX(0,$C800-$AB$799),0)))))</f>
      </c>
      <c r="K800" s="43">
        <f>IF($S$799=0,0,IF(OR(DATE($C800,7,15)&lt;$S$799,AND($T$799&gt;0,DATE($C800,7,15)&gt;$T$799)),0,IF(DATE($C800,7,15)&gt;=$X$799,$AA$799*(1+($U$799)/100)^MAX(0,$C800-$AD$799),IF(DATE($C800,7,15)&gt;=$W$799,$Z$799*(1+($U$799)/100)^MAX(0,$C800-$AC$799),IF(DATE($C800,7,15)&gt;=$V$799,$Y$799*(1+($U$799)/100)^MAX(0,$C800-$AB$799),0)))))</f>
      </c>
      <c r="L800" s="43">
        <f>IF($S$799=0,0,IF(OR(DATE($C800,8,15)&lt;$S$799,AND($T$799&gt;0,DATE($C800,8,15)&gt;$T$799)),0,IF(DATE($C800,8,15)&gt;=$X$799,$AA$799*(1+($U$799)/100)^MAX(0,$C800-$AD$799),IF(DATE($C800,8,15)&gt;=$W$799,$Z$799*(1+($U$799)/100)^MAX(0,$C800-$AC$799),IF(DATE($C800,8,15)&gt;=$V$799,$Y$799*(1+($U$799)/100)^MAX(0,$C800-$AB$799),0)))))</f>
      </c>
      <c r="M800" s="43">
        <f>IF($S$799=0,0,IF(OR(DATE($C800,9,15)&lt;$S$799,AND($T$799&gt;0,DATE($C800,9,15)&gt;$T$799)),0,IF(DATE($C800,9,15)&gt;=$X$799,$AA$799*(1+($U$799)/100)^MAX(0,$C800-$AD$799),IF(DATE($C800,9,15)&gt;=$W$799,$Z$799*(1+($U$799)/100)^MAX(0,$C800-$AC$799),IF(DATE($C800,9,15)&gt;=$V$799,$Y$799*(1+($U$799)/100)^MAX(0,$C800-$AB$799),0)))))</f>
      </c>
      <c r="N800" s="43">
        <f>IF($S$799=0,0,IF(OR(DATE($C800,10,15)&lt;$S$799,AND($T$799&gt;0,DATE($C800,10,15)&gt;$T$799)),0,IF(DATE($C800,10,15)&gt;=$X$799,$AA$799*(1+($U$799)/100)^MAX(0,$C800-$AD$799),IF(DATE($C800,10,15)&gt;=$W$799,$Z$799*(1+($U$799)/100)^MAX(0,$C800-$AC$799),IF(DATE($C800,10,15)&gt;=$V$799,$Y$799*(1+($U$799)/100)^MAX(0,$C800-$AB$799),0)))))</f>
      </c>
      <c r="O800" s="43">
        <f>IF($S$799=0,0,IF(OR(DATE($C800,11,15)&lt;$S$799,AND($T$799&gt;0,DATE($C800,11,15)&gt;$T$799)),0,IF(DATE($C800,11,15)&gt;=$X$799,$AA$799*(1+($U$799)/100)^MAX(0,$C800-$AD$799),IF(DATE($C800,11,15)&gt;=$W$799,$Z$799*(1+($U$799)/100)^MAX(0,$C800-$AC$799),IF(DATE($C800,11,15)&gt;=$V$799,$Y$799*(1+($U$799)/100)^MAX(0,$C800-$AB$799),0)))))</f>
      </c>
      <c r="P800" s="43">
        <f>IF($S$799=0,0,IF(OR(DATE($C800,12,15)&lt;$S$799,AND($T$799&gt;0,DATE($C800,12,15)&gt;$T$799)),0,IF(DATE($C800,12,15)&gt;=$X$799,$AA$799*(1+($U$799)/100)^MAX(0,$C800-$AD$799),IF(DATE($C800,12,15)&gt;=$W$799,$Z$799*(1+($U$799)/100)^MAX(0,$C800-$AC$799),IF(DATE($C800,12,15)&gt;=$V$799,$Y$799*(1+($U$799)/100)^MAX(0,$C800-$AB$799),0)))))</f>
      </c>
      <c r="Q800" s="43">
        <f>SUM($E800:$P800)</f>
      </c>
    </row>
    <row r="801">
      <c r="A801"/>
      <c r="B801">
        <v>26</v>
      </c>
      <c r="C801" s="43">
        <f>Jahr+2</f>
      </c>
      <c r="D801" s="43">
        <f>INDEX(MvObj,26)</f>
      </c>
      <c r="E801" s="43">
        <f>IF($S$799=0,0,IF(OR(DATE($C801,1,15)&lt;$S$799,AND($T$799&gt;0,DATE($C801,1,15)&gt;$T$799)),0,IF(DATE($C801,1,15)&gt;=$X$799,$AA$799*(1+($U$799)/100)^MAX(0,$C801-$AD$799),IF(DATE($C801,1,15)&gt;=$W$799,$Z$799*(1+($U$799)/100)^MAX(0,$C801-$AC$799),IF(DATE($C801,1,15)&gt;=$V$799,$Y$799*(1+($U$799)/100)^MAX(0,$C801-$AB$799),0)))))</f>
      </c>
      <c r="F801" s="43">
        <f>IF($S$799=0,0,IF(OR(DATE($C801,2,15)&lt;$S$799,AND($T$799&gt;0,DATE($C801,2,15)&gt;$T$799)),0,IF(DATE($C801,2,15)&gt;=$X$799,$AA$799*(1+($U$799)/100)^MAX(0,$C801-$AD$799),IF(DATE($C801,2,15)&gt;=$W$799,$Z$799*(1+($U$799)/100)^MAX(0,$C801-$AC$799),IF(DATE($C801,2,15)&gt;=$V$799,$Y$799*(1+($U$799)/100)^MAX(0,$C801-$AB$799),0)))))</f>
      </c>
      <c r="G801" s="43">
        <f>IF($S$799=0,0,IF(OR(DATE($C801,3,15)&lt;$S$799,AND($T$799&gt;0,DATE($C801,3,15)&gt;$T$799)),0,IF(DATE($C801,3,15)&gt;=$X$799,$AA$799*(1+($U$799)/100)^MAX(0,$C801-$AD$799),IF(DATE($C801,3,15)&gt;=$W$799,$Z$799*(1+($U$799)/100)^MAX(0,$C801-$AC$799),IF(DATE($C801,3,15)&gt;=$V$799,$Y$799*(1+($U$799)/100)^MAX(0,$C801-$AB$799),0)))))</f>
      </c>
      <c r="H801" s="43">
        <f>IF($S$799=0,0,IF(OR(DATE($C801,4,15)&lt;$S$799,AND($T$799&gt;0,DATE($C801,4,15)&gt;$T$799)),0,IF(DATE($C801,4,15)&gt;=$X$799,$AA$799*(1+($U$799)/100)^MAX(0,$C801-$AD$799),IF(DATE($C801,4,15)&gt;=$W$799,$Z$799*(1+($U$799)/100)^MAX(0,$C801-$AC$799),IF(DATE($C801,4,15)&gt;=$V$799,$Y$799*(1+($U$799)/100)^MAX(0,$C801-$AB$799),0)))))</f>
      </c>
      <c r="I801" s="43">
        <f>IF($S$799=0,0,IF(OR(DATE($C801,5,15)&lt;$S$799,AND($T$799&gt;0,DATE($C801,5,15)&gt;$T$799)),0,IF(DATE($C801,5,15)&gt;=$X$799,$AA$799*(1+($U$799)/100)^MAX(0,$C801-$AD$799),IF(DATE($C801,5,15)&gt;=$W$799,$Z$799*(1+($U$799)/100)^MAX(0,$C801-$AC$799),IF(DATE($C801,5,15)&gt;=$V$799,$Y$799*(1+($U$799)/100)^MAX(0,$C801-$AB$799),0)))))</f>
      </c>
      <c r="J801" s="43">
        <f>IF($S$799=0,0,IF(OR(DATE($C801,6,15)&lt;$S$799,AND($T$799&gt;0,DATE($C801,6,15)&gt;$T$799)),0,IF(DATE($C801,6,15)&gt;=$X$799,$AA$799*(1+($U$799)/100)^MAX(0,$C801-$AD$799),IF(DATE($C801,6,15)&gt;=$W$799,$Z$799*(1+($U$799)/100)^MAX(0,$C801-$AC$799),IF(DATE($C801,6,15)&gt;=$V$799,$Y$799*(1+($U$799)/100)^MAX(0,$C801-$AB$799),0)))))</f>
      </c>
      <c r="K801" s="43">
        <f>IF($S$799=0,0,IF(OR(DATE($C801,7,15)&lt;$S$799,AND($T$799&gt;0,DATE($C801,7,15)&gt;$T$799)),0,IF(DATE($C801,7,15)&gt;=$X$799,$AA$799*(1+($U$799)/100)^MAX(0,$C801-$AD$799),IF(DATE($C801,7,15)&gt;=$W$799,$Z$799*(1+($U$799)/100)^MAX(0,$C801-$AC$799),IF(DATE($C801,7,15)&gt;=$V$799,$Y$799*(1+($U$799)/100)^MAX(0,$C801-$AB$799),0)))))</f>
      </c>
      <c r="L801" s="43">
        <f>IF($S$799=0,0,IF(OR(DATE($C801,8,15)&lt;$S$799,AND($T$799&gt;0,DATE($C801,8,15)&gt;$T$799)),0,IF(DATE($C801,8,15)&gt;=$X$799,$AA$799*(1+($U$799)/100)^MAX(0,$C801-$AD$799),IF(DATE($C801,8,15)&gt;=$W$799,$Z$799*(1+($U$799)/100)^MAX(0,$C801-$AC$799),IF(DATE($C801,8,15)&gt;=$V$799,$Y$799*(1+($U$799)/100)^MAX(0,$C801-$AB$799),0)))))</f>
      </c>
      <c r="M801" s="43">
        <f>IF($S$799=0,0,IF(OR(DATE($C801,9,15)&lt;$S$799,AND($T$799&gt;0,DATE($C801,9,15)&gt;$T$799)),0,IF(DATE($C801,9,15)&gt;=$X$799,$AA$799*(1+($U$799)/100)^MAX(0,$C801-$AD$799),IF(DATE($C801,9,15)&gt;=$W$799,$Z$799*(1+($U$799)/100)^MAX(0,$C801-$AC$799),IF(DATE($C801,9,15)&gt;=$V$799,$Y$799*(1+($U$799)/100)^MAX(0,$C801-$AB$799),0)))))</f>
      </c>
      <c r="N801" s="43">
        <f>IF($S$799=0,0,IF(OR(DATE($C801,10,15)&lt;$S$799,AND($T$799&gt;0,DATE($C801,10,15)&gt;$T$799)),0,IF(DATE($C801,10,15)&gt;=$X$799,$AA$799*(1+($U$799)/100)^MAX(0,$C801-$AD$799),IF(DATE($C801,10,15)&gt;=$W$799,$Z$799*(1+($U$799)/100)^MAX(0,$C801-$AC$799),IF(DATE($C801,10,15)&gt;=$V$799,$Y$799*(1+($U$799)/100)^MAX(0,$C801-$AB$799),0)))))</f>
      </c>
      <c r="O801" s="43">
        <f>IF($S$799=0,0,IF(OR(DATE($C801,11,15)&lt;$S$799,AND($T$799&gt;0,DATE($C801,11,15)&gt;$T$799)),0,IF(DATE($C801,11,15)&gt;=$X$799,$AA$799*(1+($U$799)/100)^MAX(0,$C801-$AD$799),IF(DATE($C801,11,15)&gt;=$W$799,$Z$799*(1+($U$799)/100)^MAX(0,$C801-$AC$799),IF(DATE($C801,11,15)&gt;=$V$799,$Y$799*(1+($U$799)/100)^MAX(0,$C801-$AB$799),0)))))</f>
      </c>
      <c r="P801" s="43">
        <f>IF($S$799=0,0,IF(OR(DATE($C801,12,15)&lt;$S$799,AND($T$799&gt;0,DATE($C801,12,15)&gt;$T$799)),0,IF(DATE($C801,12,15)&gt;=$X$799,$AA$799*(1+($U$799)/100)^MAX(0,$C801-$AD$799),IF(DATE($C801,12,15)&gt;=$W$799,$Z$799*(1+($U$799)/100)^MAX(0,$C801-$AC$799),IF(DATE($C801,12,15)&gt;=$V$799,$Y$799*(1+($U$799)/100)^MAX(0,$C801-$AB$799),0)))))</f>
      </c>
      <c r="Q801" s="43">
        <f>SUM($E801:$P801)</f>
      </c>
    </row>
    <row r="802">
      <c r="A802"/>
      <c r="B802">
        <v>26</v>
      </c>
      <c r="C802" s="43">
        <f>Jahr+3</f>
      </c>
      <c r="D802" s="43">
        <f>INDEX(MvObj,26)</f>
      </c>
      <c r="E802" s="43">
        <f>IF($S$799=0,0,IF(OR(DATE($C802,1,15)&lt;$S$799,AND($T$799&gt;0,DATE($C802,1,15)&gt;$T$799)),0,IF(DATE($C802,1,15)&gt;=$X$799,$AA$799*(1+($U$799)/100)^MAX(0,$C802-$AD$799),IF(DATE($C802,1,15)&gt;=$W$799,$Z$799*(1+($U$799)/100)^MAX(0,$C802-$AC$799),IF(DATE($C802,1,15)&gt;=$V$799,$Y$799*(1+($U$799)/100)^MAX(0,$C802-$AB$799),0)))))</f>
      </c>
      <c r="F802" s="43">
        <f>IF($S$799=0,0,IF(OR(DATE($C802,2,15)&lt;$S$799,AND($T$799&gt;0,DATE($C802,2,15)&gt;$T$799)),0,IF(DATE($C802,2,15)&gt;=$X$799,$AA$799*(1+($U$799)/100)^MAX(0,$C802-$AD$799),IF(DATE($C802,2,15)&gt;=$W$799,$Z$799*(1+($U$799)/100)^MAX(0,$C802-$AC$799),IF(DATE($C802,2,15)&gt;=$V$799,$Y$799*(1+($U$799)/100)^MAX(0,$C802-$AB$799),0)))))</f>
      </c>
      <c r="G802" s="43">
        <f>IF($S$799=0,0,IF(OR(DATE($C802,3,15)&lt;$S$799,AND($T$799&gt;0,DATE($C802,3,15)&gt;$T$799)),0,IF(DATE($C802,3,15)&gt;=$X$799,$AA$799*(1+($U$799)/100)^MAX(0,$C802-$AD$799),IF(DATE($C802,3,15)&gt;=$W$799,$Z$799*(1+($U$799)/100)^MAX(0,$C802-$AC$799),IF(DATE($C802,3,15)&gt;=$V$799,$Y$799*(1+($U$799)/100)^MAX(0,$C802-$AB$799),0)))))</f>
      </c>
      <c r="H802" s="43">
        <f>IF($S$799=0,0,IF(OR(DATE($C802,4,15)&lt;$S$799,AND($T$799&gt;0,DATE($C802,4,15)&gt;$T$799)),0,IF(DATE($C802,4,15)&gt;=$X$799,$AA$799*(1+($U$799)/100)^MAX(0,$C802-$AD$799),IF(DATE($C802,4,15)&gt;=$W$799,$Z$799*(1+($U$799)/100)^MAX(0,$C802-$AC$799),IF(DATE($C802,4,15)&gt;=$V$799,$Y$799*(1+($U$799)/100)^MAX(0,$C802-$AB$799),0)))))</f>
      </c>
      <c r="I802" s="43">
        <f>IF($S$799=0,0,IF(OR(DATE($C802,5,15)&lt;$S$799,AND($T$799&gt;0,DATE($C802,5,15)&gt;$T$799)),0,IF(DATE($C802,5,15)&gt;=$X$799,$AA$799*(1+($U$799)/100)^MAX(0,$C802-$AD$799),IF(DATE($C802,5,15)&gt;=$W$799,$Z$799*(1+($U$799)/100)^MAX(0,$C802-$AC$799),IF(DATE($C802,5,15)&gt;=$V$799,$Y$799*(1+($U$799)/100)^MAX(0,$C802-$AB$799),0)))))</f>
      </c>
      <c r="J802" s="43">
        <f>IF($S$799=0,0,IF(OR(DATE($C802,6,15)&lt;$S$799,AND($T$799&gt;0,DATE($C802,6,15)&gt;$T$799)),0,IF(DATE($C802,6,15)&gt;=$X$799,$AA$799*(1+($U$799)/100)^MAX(0,$C802-$AD$799),IF(DATE($C802,6,15)&gt;=$W$799,$Z$799*(1+($U$799)/100)^MAX(0,$C802-$AC$799),IF(DATE($C802,6,15)&gt;=$V$799,$Y$799*(1+($U$799)/100)^MAX(0,$C802-$AB$799),0)))))</f>
      </c>
      <c r="K802" s="43">
        <f>IF($S$799=0,0,IF(OR(DATE($C802,7,15)&lt;$S$799,AND($T$799&gt;0,DATE($C802,7,15)&gt;$T$799)),0,IF(DATE($C802,7,15)&gt;=$X$799,$AA$799*(1+($U$799)/100)^MAX(0,$C802-$AD$799),IF(DATE($C802,7,15)&gt;=$W$799,$Z$799*(1+($U$799)/100)^MAX(0,$C802-$AC$799),IF(DATE($C802,7,15)&gt;=$V$799,$Y$799*(1+($U$799)/100)^MAX(0,$C802-$AB$799),0)))))</f>
      </c>
      <c r="L802" s="43">
        <f>IF($S$799=0,0,IF(OR(DATE($C802,8,15)&lt;$S$799,AND($T$799&gt;0,DATE($C802,8,15)&gt;$T$799)),0,IF(DATE($C802,8,15)&gt;=$X$799,$AA$799*(1+($U$799)/100)^MAX(0,$C802-$AD$799),IF(DATE($C802,8,15)&gt;=$W$799,$Z$799*(1+($U$799)/100)^MAX(0,$C802-$AC$799),IF(DATE($C802,8,15)&gt;=$V$799,$Y$799*(1+($U$799)/100)^MAX(0,$C802-$AB$799),0)))))</f>
      </c>
      <c r="M802" s="43">
        <f>IF($S$799=0,0,IF(OR(DATE($C802,9,15)&lt;$S$799,AND($T$799&gt;0,DATE($C802,9,15)&gt;$T$799)),0,IF(DATE($C802,9,15)&gt;=$X$799,$AA$799*(1+($U$799)/100)^MAX(0,$C802-$AD$799),IF(DATE($C802,9,15)&gt;=$W$799,$Z$799*(1+($U$799)/100)^MAX(0,$C802-$AC$799),IF(DATE($C802,9,15)&gt;=$V$799,$Y$799*(1+($U$799)/100)^MAX(0,$C802-$AB$799),0)))))</f>
      </c>
      <c r="N802" s="43">
        <f>IF($S$799=0,0,IF(OR(DATE($C802,10,15)&lt;$S$799,AND($T$799&gt;0,DATE($C802,10,15)&gt;$T$799)),0,IF(DATE($C802,10,15)&gt;=$X$799,$AA$799*(1+($U$799)/100)^MAX(0,$C802-$AD$799),IF(DATE($C802,10,15)&gt;=$W$799,$Z$799*(1+($U$799)/100)^MAX(0,$C802-$AC$799),IF(DATE($C802,10,15)&gt;=$V$799,$Y$799*(1+($U$799)/100)^MAX(0,$C802-$AB$799),0)))))</f>
      </c>
      <c r="O802" s="43">
        <f>IF($S$799=0,0,IF(OR(DATE($C802,11,15)&lt;$S$799,AND($T$799&gt;0,DATE($C802,11,15)&gt;$T$799)),0,IF(DATE($C802,11,15)&gt;=$X$799,$AA$799*(1+($U$799)/100)^MAX(0,$C802-$AD$799),IF(DATE($C802,11,15)&gt;=$W$799,$Z$799*(1+($U$799)/100)^MAX(0,$C802-$AC$799),IF(DATE($C802,11,15)&gt;=$V$799,$Y$799*(1+($U$799)/100)^MAX(0,$C802-$AB$799),0)))))</f>
      </c>
      <c r="P802" s="43">
        <f>IF($S$799=0,0,IF(OR(DATE($C802,12,15)&lt;$S$799,AND($T$799&gt;0,DATE($C802,12,15)&gt;$T$799)),0,IF(DATE($C802,12,15)&gt;=$X$799,$AA$799*(1+($U$799)/100)^MAX(0,$C802-$AD$799),IF(DATE($C802,12,15)&gt;=$W$799,$Z$799*(1+($U$799)/100)^MAX(0,$C802-$AC$799),IF(DATE($C802,12,15)&gt;=$V$799,$Y$799*(1+($U$799)/100)^MAX(0,$C802-$AB$799),0)))))</f>
      </c>
      <c r="Q802" s="43">
        <f>SUM($E802:$P802)</f>
      </c>
    </row>
    <row r="803">
      <c r="A803"/>
      <c r="B803">
        <v>26</v>
      </c>
      <c r="C803" s="43">
        <f>Jahr+4</f>
      </c>
      <c r="D803" s="43">
        <f>INDEX(MvObj,26)</f>
      </c>
      <c r="E803" s="43">
        <f>IF($S$799=0,0,IF(OR(DATE($C803,1,15)&lt;$S$799,AND($T$799&gt;0,DATE($C803,1,15)&gt;$T$799)),0,IF(DATE($C803,1,15)&gt;=$X$799,$AA$799*(1+($U$799)/100)^MAX(0,$C803-$AD$799),IF(DATE($C803,1,15)&gt;=$W$799,$Z$799*(1+($U$799)/100)^MAX(0,$C803-$AC$799),IF(DATE($C803,1,15)&gt;=$V$799,$Y$799*(1+($U$799)/100)^MAX(0,$C803-$AB$799),0)))))</f>
      </c>
      <c r="F803" s="43">
        <f>IF($S$799=0,0,IF(OR(DATE($C803,2,15)&lt;$S$799,AND($T$799&gt;0,DATE($C803,2,15)&gt;$T$799)),0,IF(DATE($C803,2,15)&gt;=$X$799,$AA$799*(1+($U$799)/100)^MAX(0,$C803-$AD$799),IF(DATE($C803,2,15)&gt;=$W$799,$Z$799*(1+($U$799)/100)^MAX(0,$C803-$AC$799),IF(DATE($C803,2,15)&gt;=$V$799,$Y$799*(1+($U$799)/100)^MAX(0,$C803-$AB$799),0)))))</f>
      </c>
      <c r="G803" s="43">
        <f>IF($S$799=0,0,IF(OR(DATE($C803,3,15)&lt;$S$799,AND($T$799&gt;0,DATE($C803,3,15)&gt;$T$799)),0,IF(DATE($C803,3,15)&gt;=$X$799,$AA$799*(1+($U$799)/100)^MAX(0,$C803-$AD$799),IF(DATE($C803,3,15)&gt;=$W$799,$Z$799*(1+($U$799)/100)^MAX(0,$C803-$AC$799),IF(DATE($C803,3,15)&gt;=$V$799,$Y$799*(1+($U$799)/100)^MAX(0,$C803-$AB$799),0)))))</f>
      </c>
      <c r="H803" s="43">
        <f>IF($S$799=0,0,IF(OR(DATE($C803,4,15)&lt;$S$799,AND($T$799&gt;0,DATE($C803,4,15)&gt;$T$799)),0,IF(DATE($C803,4,15)&gt;=$X$799,$AA$799*(1+($U$799)/100)^MAX(0,$C803-$AD$799),IF(DATE($C803,4,15)&gt;=$W$799,$Z$799*(1+($U$799)/100)^MAX(0,$C803-$AC$799),IF(DATE($C803,4,15)&gt;=$V$799,$Y$799*(1+($U$799)/100)^MAX(0,$C803-$AB$799),0)))))</f>
      </c>
      <c r="I803" s="43">
        <f>IF($S$799=0,0,IF(OR(DATE($C803,5,15)&lt;$S$799,AND($T$799&gt;0,DATE($C803,5,15)&gt;$T$799)),0,IF(DATE($C803,5,15)&gt;=$X$799,$AA$799*(1+($U$799)/100)^MAX(0,$C803-$AD$799),IF(DATE($C803,5,15)&gt;=$W$799,$Z$799*(1+($U$799)/100)^MAX(0,$C803-$AC$799),IF(DATE($C803,5,15)&gt;=$V$799,$Y$799*(1+($U$799)/100)^MAX(0,$C803-$AB$799),0)))))</f>
      </c>
      <c r="J803" s="43">
        <f>IF($S$799=0,0,IF(OR(DATE($C803,6,15)&lt;$S$799,AND($T$799&gt;0,DATE($C803,6,15)&gt;$T$799)),0,IF(DATE($C803,6,15)&gt;=$X$799,$AA$799*(1+($U$799)/100)^MAX(0,$C803-$AD$799),IF(DATE($C803,6,15)&gt;=$W$799,$Z$799*(1+($U$799)/100)^MAX(0,$C803-$AC$799),IF(DATE($C803,6,15)&gt;=$V$799,$Y$799*(1+($U$799)/100)^MAX(0,$C803-$AB$799),0)))))</f>
      </c>
      <c r="K803" s="43">
        <f>IF($S$799=0,0,IF(OR(DATE($C803,7,15)&lt;$S$799,AND($T$799&gt;0,DATE($C803,7,15)&gt;$T$799)),0,IF(DATE($C803,7,15)&gt;=$X$799,$AA$799*(1+($U$799)/100)^MAX(0,$C803-$AD$799),IF(DATE($C803,7,15)&gt;=$W$799,$Z$799*(1+($U$799)/100)^MAX(0,$C803-$AC$799),IF(DATE($C803,7,15)&gt;=$V$799,$Y$799*(1+($U$799)/100)^MAX(0,$C803-$AB$799),0)))))</f>
      </c>
      <c r="L803" s="43">
        <f>IF($S$799=0,0,IF(OR(DATE($C803,8,15)&lt;$S$799,AND($T$799&gt;0,DATE($C803,8,15)&gt;$T$799)),0,IF(DATE($C803,8,15)&gt;=$X$799,$AA$799*(1+($U$799)/100)^MAX(0,$C803-$AD$799),IF(DATE($C803,8,15)&gt;=$W$799,$Z$799*(1+($U$799)/100)^MAX(0,$C803-$AC$799),IF(DATE($C803,8,15)&gt;=$V$799,$Y$799*(1+($U$799)/100)^MAX(0,$C803-$AB$799),0)))))</f>
      </c>
      <c r="M803" s="43">
        <f>IF($S$799=0,0,IF(OR(DATE($C803,9,15)&lt;$S$799,AND($T$799&gt;0,DATE($C803,9,15)&gt;$T$799)),0,IF(DATE($C803,9,15)&gt;=$X$799,$AA$799*(1+($U$799)/100)^MAX(0,$C803-$AD$799),IF(DATE($C803,9,15)&gt;=$W$799,$Z$799*(1+($U$799)/100)^MAX(0,$C803-$AC$799),IF(DATE($C803,9,15)&gt;=$V$799,$Y$799*(1+($U$799)/100)^MAX(0,$C803-$AB$799),0)))))</f>
      </c>
      <c r="N803" s="43">
        <f>IF($S$799=0,0,IF(OR(DATE($C803,10,15)&lt;$S$799,AND($T$799&gt;0,DATE($C803,10,15)&gt;$T$799)),0,IF(DATE($C803,10,15)&gt;=$X$799,$AA$799*(1+($U$799)/100)^MAX(0,$C803-$AD$799),IF(DATE($C803,10,15)&gt;=$W$799,$Z$799*(1+($U$799)/100)^MAX(0,$C803-$AC$799),IF(DATE($C803,10,15)&gt;=$V$799,$Y$799*(1+($U$799)/100)^MAX(0,$C803-$AB$799),0)))))</f>
      </c>
      <c r="O803" s="43">
        <f>IF($S$799=0,0,IF(OR(DATE($C803,11,15)&lt;$S$799,AND($T$799&gt;0,DATE($C803,11,15)&gt;$T$799)),0,IF(DATE($C803,11,15)&gt;=$X$799,$AA$799*(1+($U$799)/100)^MAX(0,$C803-$AD$799),IF(DATE($C803,11,15)&gt;=$W$799,$Z$799*(1+($U$799)/100)^MAX(0,$C803-$AC$799),IF(DATE($C803,11,15)&gt;=$V$799,$Y$799*(1+($U$799)/100)^MAX(0,$C803-$AB$799),0)))))</f>
      </c>
      <c r="P803" s="43">
        <f>IF($S$799=0,0,IF(OR(DATE($C803,12,15)&lt;$S$799,AND($T$799&gt;0,DATE($C803,12,15)&gt;$T$799)),0,IF(DATE($C803,12,15)&gt;=$X$799,$AA$799*(1+($U$799)/100)^MAX(0,$C803-$AD$799),IF(DATE($C803,12,15)&gt;=$W$799,$Z$799*(1+($U$799)/100)^MAX(0,$C803-$AC$799),IF(DATE($C803,12,15)&gt;=$V$799,$Y$799*(1+($U$799)/100)^MAX(0,$C803-$AB$799),0)))))</f>
      </c>
      <c r="Q803" s="43">
        <f>SUM($E803:$P803)</f>
      </c>
    </row>
    <row r="804">
      <c r="A804"/>
      <c r="B804">
        <v>26</v>
      </c>
      <c r="C804" s="43">
        <f>Jahr+5</f>
      </c>
      <c r="D804" s="43">
        <f>INDEX(MvObj,26)</f>
      </c>
      <c r="E804" s="43">
        <f>IF($S$799=0,0,IF(OR(DATE($C804,1,15)&lt;$S$799,AND($T$799&gt;0,DATE($C804,1,15)&gt;$T$799)),0,IF(DATE($C804,1,15)&gt;=$X$799,$AA$799*(1+($U$799)/100)^MAX(0,$C804-$AD$799),IF(DATE($C804,1,15)&gt;=$W$799,$Z$799*(1+($U$799)/100)^MAX(0,$C804-$AC$799),IF(DATE($C804,1,15)&gt;=$V$799,$Y$799*(1+($U$799)/100)^MAX(0,$C804-$AB$799),0)))))</f>
      </c>
      <c r="F804" s="43">
        <f>IF($S$799=0,0,IF(OR(DATE($C804,2,15)&lt;$S$799,AND($T$799&gt;0,DATE($C804,2,15)&gt;$T$799)),0,IF(DATE($C804,2,15)&gt;=$X$799,$AA$799*(1+($U$799)/100)^MAX(0,$C804-$AD$799),IF(DATE($C804,2,15)&gt;=$W$799,$Z$799*(1+($U$799)/100)^MAX(0,$C804-$AC$799),IF(DATE($C804,2,15)&gt;=$V$799,$Y$799*(1+($U$799)/100)^MAX(0,$C804-$AB$799),0)))))</f>
      </c>
      <c r="G804" s="43">
        <f>IF($S$799=0,0,IF(OR(DATE($C804,3,15)&lt;$S$799,AND($T$799&gt;0,DATE($C804,3,15)&gt;$T$799)),0,IF(DATE($C804,3,15)&gt;=$X$799,$AA$799*(1+($U$799)/100)^MAX(0,$C804-$AD$799),IF(DATE($C804,3,15)&gt;=$W$799,$Z$799*(1+($U$799)/100)^MAX(0,$C804-$AC$799),IF(DATE($C804,3,15)&gt;=$V$799,$Y$799*(1+($U$799)/100)^MAX(0,$C804-$AB$799),0)))))</f>
      </c>
      <c r="H804" s="43">
        <f>IF($S$799=0,0,IF(OR(DATE($C804,4,15)&lt;$S$799,AND($T$799&gt;0,DATE($C804,4,15)&gt;$T$799)),0,IF(DATE($C804,4,15)&gt;=$X$799,$AA$799*(1+($U$799)/100)^MAX(0,$C804-$AD$799),IF(DATE($C804,4,15)&gt;=$W$799,$Z$799*(1+($U$799)/100)^MAX(0,$C804-$AC$799),IF(DATE($C804,4,15)&gt;=$V$799,$Y$799*(1+($U$799)/100)^MAX(0,$C804-$AB$799),0)))))</f>
      </c>
      <c r="I804" s="43">
        <f>IF($S$799=0,0,IF(OR(DATE($C804,5,15)&lt;$S$799,AND($T$799&gt;0,DATE($C804,5,15)&gt;$T$799)),0,IF(DATE($C804,5,15)&gt;=$X$799,$AA$799*(1+($U$799)/100)^MAX(0,$C804-$AD$799),IF(DATE($C804,5,15)&gt;=$W$799,$Z$799*(1+($U$799)/100)^MAX(0,$C804-$AC$799),IF(DATE($C804,5,15)&gt;=$V$799,$Y$799*(1+($U$799)/100)^MAX(0,$C804-$AB$799),0)))))</f>
      </c>
      <c r="J804" s="43">
        <f>IF($S$799=0,0,IF(OR(DATE($C804,6,15)&lt;$S$799,AND($T$799&gt;0,DATE($C804,6,15)&gt;$T$799)),0,IF(DATE($C804,6,15)&gt;=$X$799,$AA$799*(1+($U$799)/100)^MAX(0,$C804-$AD$799),IF(DATE($C804,6,15)&gt;=$W$799,$Z$799*(1+($U$799)/100)^MAX(0,$C804-$AC$799),IF(DATE($C804,6,15)&gt;=$V$799,$Y$799*(1+($U$799)/100)^MAX(0,$C804-$AB$799),0)))))</f>
      </c>
      <c r="K804" s="43">
        <f>IF($S$799=0,0,IF(OR(DATE($C804,7,15)&lt;$S$799,AND($T$799&gt;0,DATE($C804,7,15)&gt;$T$799)),0,IF(DATE($C804,7,15)&gt;=$X$799,$AA$799*(1+($U$799)/100)^MAX(0,$C804-$AD$799),IF(DATE($C804,7,15)&gt;=$W$799,$Z$799*(1+($U$799)/100)^MAX(0,$C804-$AC$799),IF(DATE($C804,7,15)&gt;=$V$799,$Y$799*(1+($U$799)/100)^MAX(0,$C804-$AB$799),0)))))</f>
      </c>
      <c r="L804" s="43">
        <f>IF($S$799=0,0,IF(OR(DATE($C804,8,15)&lt;$S$799,AND($T$799&gt;0,DATE($C804,8,15)&gt;$T$799)),0,IF(DATE($C804,8,15)&gt;=$X$799,$AA$799*(1+($U$799)/100)^MAX(0,$C804-$AD$799),IF(DATE($C804,8,15)&gt;=$W$799,$Z$799*(1+($U$799)/100)^MAX(0,$C804-$AC$799),IF(DATE($C804,8,15)&gt;=$V$799,$Y$799*(1+($U$799)/100)^MAX(0,$C804-$AB$799),0)))))</f>
      </c>
      <c r="M804" s="43">
        <f>IF($S$799=0,0,IF(OR(DATE($C804,9,15)&lt;$S$799,AND($T$799&gt;0,DATE($C804,9,15)&gt;$T$799)),0,IF(DATE($C804,9,15)&gt;=$X$799,$AA$799*(1+($U$799)/100)^MAX(0,$C804-$AD$799),IF(DATE($C804,9,15)&gt;=$W$799,$Z$799*(1+($U$799)/100)^MAX(0,$C804-$AC$799),IF(DATE($C804,9,15)&gt;=$V$799,$Y$799*(1+($U$799)/100)^MAX(0,$C804-$AB$799),0)))))</f>
      </c>
      <c r="N804" s="43">
        <f>IF($S$799=0,0,IF(OR(DATE($C804,10,15)&lt;$S$799,AND($T$799&gt;0,DATE($C804,10,15)&gt;$T$799)),0,IF(DATE($C804,10,15)&gt;=$X$799,$AA$799*(1+($U$799)/100)^MAX(0,$C804-$AD$799),IF(DATE($C804,10,15)&gt;=$W$799,$Z$799*(1+($U$799)/100)^MAX(0,$C804-$AC$799),IF(DATE($C804,10,15)&gt;=$V$799,$Y$799*(1+($U$799)/100)^MAX(0,$C804-$AB$799),0)))))</f>
      </c>
      <c r="O804" s="43">
        <f>IF($S$799=0,0,IF(OR(DATE($C804,11,15)&lt;$S$799,AND($T$799&gt;0,DATE($C804,11,15)&gt;$T$799)),0,IF(DATE($C804,11,15)&gt;=$X$799,$AA$799*(1+($U$799)/100)^MAX(0,$C804-$AD$799),IF(DATE($C804,11,15)&gt;=$W$799,$Z$799*(1+($U$799)/100)^MAX(0,$C804-$AC$799),IF(DATE($C804,11,15)&gt;=$V$799,$Y$799*(1+($U$799)/100)^MAX(0,$C804-$AB$799),0)))))</f>
      </c>
      <c r="P804" s="43">
        <f>IF($S$799=0,0,IF(OR(DATE($C804,12,15)&lt;$S$799,AND($T$799&gt;0,DATE($C804,12,15)&gt;$T$799)),0,IF(DATE($C804,12,15)&gt;=$X$799,$AA$799*(1+($U$799)/100)^MAX(0,$C804-$AD$799),IF(DATE($C804,12,15)&gt;=$W$799,$Z$799*(1+($U$799)/100)^MAX(0,$C804-$AC$799),IF(DATE($C804,12,15)&gt;=$V$799,$Y$799*(1+($U$799)/100)^MAX(0,$C804-$AB$799),0)))))</f>
      </c>
      <c r="Q804" s="43">
        <f>SUM($E804:$P804)</f>
      </c>
    </row>
    <row r="805">
      <c r="A805"/>
      <c r="B805">
        <v>26</v>
      </c>
      <c r="C805" s="43">
        <f>Jahr+6</f>
      </c>
      <c r="D805" s="43">
        <f>INDEX(MvObj,26)</f>
      </c>
      <c r="E805" s="43">
        <f>IF($S$799=0,0,IF(OR(DATE($C805,1,15)&lt;$S$799,AND($T$799&gt;0,DATE($C805,1,15)&gt;$T$799)),0,IF(DATE($C805,1,15)&gt;=$X$799,$AA$799*(1+($U$799)/100)^MAX(0,$C805-$AD$799),IF(DATE($C805,1,15)&gt;=$W$799,$Z$799*(1+($U$799)/100)^MAX(0,$C805-$AC$799),IF(DATE($C805,1,15)&gt;=$V$799,$Y$799*(1+($U$799)/100)^MAX(0,$C805-$AB$799),0)))))</f>
      </c>
      <c r="F805" s="43">
        <f>IF($S$799=0,0,IF(OR(DATE($C805,2,15)&lt;$S$799,AND($T$799&gt;0,DATE($C805,2,15)&gt;$T$799)),0,IF(DATE($C805,2,15)&gt;=$X$799,$AA$799*(1+($U$799)/100)^MAX(0,$C805-$AD$799),IF(DATE($C805,2,15)&gt;=$W$799,$Z$799*(1+($U$799)/100)^MAX(0,$C805-$AC$799),IF(DATE($C805,2,15)&gt;=$V$799,$Y$799*(1+($U$799)/100)^MAX(0,$C805-$AB$799),0)))))</f>
      </c>
      <c r="G805" s="43">
        <f>IF($S$799=0,0,IF(OR(DATE($C805,3,15)&lt;$S$799,AND($T$799&gt;0,DATE($C805,3,15)&gt;$T$799)),0,IF(DATE($C805,3,15)&gt;=$X$799,$AA$799*(1+($U$799)/100)^MAX(0,$C805-$AD$799),IF(DATE($C805,3,15)&gt;=$W$799,$Z$799*(1+($U$799)/100)^MAX(0,$C805-$AC$799),IF(DATE($C805,3,15)&gt;=$V$799,$Y$799*(1+($U$799)/100)^MAX(0,$C805-$AB$799),0)))))</f>
      </c>
      <c r="H805" s="43">
        <f>IF($S$799=0,0,IF(OR(DATE($C805,4,15)&lt;$S$799,AND($T$799&gt;0,DATE($C805,4,15)&gt;$T$799)),0,IF(DATE($C805,4,15)&gt;=$X$799,$AA$799*(1+($U$799)/100)^MAX(0,$C805-$AD$799),IF(DATE($C805,4,15)&gt;=$W$799,$Z$799*(1+($U$799)/100)^MAX(0,$C805-$AC$799),IF(DATE($C805,4,15)&gt;=$V$799,$Y$799*(1+($U$799)/100)^MAX(0,$C805-$AB$799),0)))))</f>
      </c>
      <c r="I805" s="43">
        <f>IF($S$799=0,0,IF(OR(DATE($C805,5,15)&lt;$S$799,AND($T$799&gt;0,DATE($C805,5,15)&gt;$T$799)),0,IF(DATE($C805,5,15)&gt;=$X$799,$AA$799*(1+($U$799)/100)^MAX(0,$C805-$AD$799),IF(DATE($C805,5,15)&gt;=$W$799,$Z$799*(1+($U$799)/100)^MAX(0,$C805-$AC$799),IF(DATE($C805,5,15)&gt;=$V$799,$Y$799*(1+($U$799)/100)^MAX(0,$C805-$AB$799),0)))))</f>
      </c>
      <c r="J805" s="43">
        <f>IF($S$799=0,0,IF(OR(DATE($C805,6,15)&lt;$S$799,AND($T$799&gt;0,DATE($C805,6,15)&gt;$T$799)),0,IF(DATE($C805,6,15)&gt;=$X$799,$AA$799*(1+($U$799)/100)^MAX(0,$C805-$AD$799),IF(DATE($C805,6,15)&gt;=$W$799,$Z$799*(1+($U$799)/100)^MAX(0,$C805-$AC$799),IF(DATE($C805,6,15)&gt;=$V$799,$Y$799*(1+($U$799)/100)^MAX(0,$C805-$AB$799),0)))))</f>
      </c>
      <c r="K805" s="43">
        <f>IF($S$799=0,0,IF(OR(DATE($C805,7,15)&lt;$S$799,AND($T$799&gt;0,DATE($C805,7,15)&gt;$T$799)),0,IF(DATE($C805,7,15)&gt;=$X$799,$AA$799*(1+($U$799)/100)^MAX(0,$C805-$AD$799),IF(DATE($C805,7,15)&gt;=$W$799,$Z$799*(1+($U$799)/100)^MAX(0,$C805-$AC$799),IF(DATE($C805,7,15)&gt;=$V$799,$Y$799*(1+($U$799)/100)^MAX(0,$C805-$AB$799),0)))))</f>
      </c>
      <c r="L805" s="43">
        <f>IF($S$799=0,0,IF(OR(DATE($C805,8,15)&lt;$S$799,AND($T$799&gt;0,DATE($C805,8,15)&gt;$T$799)),0,IF(DATE($C805,8,15)&gt;=$X$799,$AA$799*(1+($U$799)/100)^MAX(0,$C805-$AD$799),IF(DATE($C805,8,15)&gt;=$W$799,$Z$799*(1+($U$799)/100)^MAX(0,$C805-$AC$799),IF(DATE($C805,8,15)&gt;=$V$799,$Y$799*(1+($U$799)/100)^MAX(0,$C805-$AB$799),0)))))</f>
      </c>
      <c r="M805" s="43">
        <f>IF($S$799=0,0,IF(OR(DATE($C805,9,15)&lt;$S$799,AND($T$799&gt;0,DATE($C805,9,15)&gt;$T$799)),0,IF(DATE($C805,9,15)&gt;=$X$799,$AA$799*(1+($U$799)/100)^MAX(0,$C805-$AD$799),IF(DATE($C805,9,15)&gt;=$W$799,$Z$799*(1+($U$799)/100)^MAX(0,$C805-$AC$799),IF(DATE($C805,9,15)&gt;=$V$799,$Y$799*(1+($U$799)/100)^MAX(0,$C805-$AB$799),0)))))</f>
      </c>
      <c r="N805" s="43">
        <f>IF($S$799=0,0,IF(OR(DATE($C805,10,15)&lt;$S$799,AND($T$799&gt;0,DATE($C805,10,15)&gt;$T$799)),0,IF(DATE($C805,10,15)&gt;=$X$799,$AA$799*(1+($U$799)/100)^MAX(0,$C805-$AD$799),IF(DATE($C805,10,15)&gt;=$W$799,$Z$799*(1+($U$799)/100)^MAX(0,$C805-$AC$799),IF(DATE($C805,10,15)&gt;=$V$799,$Y$799*(1+($U$799)/100)^MAX(0,$C805-$AB$799),0)))))</f>
      </c>
      <c r="O805" s="43">
        <f>IF($S$799=0,0,IF(OR(DATE($C805,11,15)&lt;$S$799,AND($T$799&gt;0,DATE($C805,11,15)&gt;$T$799)),0,IF(DATE($C805,11,15)&gt;=$X$799,$AA$799*(1+($U$799)/100)^MAX(0,$C805-$AD$799),IF(DATE($C805,11,15)&gt;=$W$799,$Z$799*(1+($U$799)/100)^MAX(0,$C805-$AC$799),IF(DATE($C805,11,15)&gt;=$V$799,$Y$799*(1+($U$799)/100)^MAX(0,$C805-$AB$799),0)))))</f>
      </c>
      <c r="P805" s="43">
        <f>IF($S$799=0,0,IF(OR(DATE($C805,12,15)&lt;$S$799,AND($T$799&gt;0,DATE($C805,12,15)&gt;$T$799)),0,IF(DATE($C805,12,15)&gt;=$X$799,$AA$799*(1+($U$799)/100)^MAX(0,$C805-$AD$799),IF(DATE($C805,12,15)&gt;=$W$799,$Z$799*(1+($U$799)/100)^MAX(0,$C805-$AC$799),IF(DATE($C805,12,15)&gt;=$V$799,$Y$799*(1+($U$799)/100)^MAX(0,$C805-$AB$799),0)))))</f>
      </c>
      <c r="Q805" s="43">
        <f>SUM($E805:$P805)</f>
      </c>
    </row>
    <row r="806">
      <c r="A806"/>
      <c r="B806">
        <v>26</v>
      </c>
      <c r="C806" s="43">
        <f>Jahr+7</f>
      </c>
      <c r="D806" s="43">
        <f>INDEX(MvObj,26)</f>
      </c>
      <c r="E806" s="43">
        <f>IF($S$799=0,0,IF(OR(DATE($C806,1,15)&lt;$S$799,AND($T$799&gt;0,DATE($C806,1,15)&gt;$T$799)),0,IF(DATE($C806,1,15)&gt;=$X$799,$AA$799*(1+($U$799)/100)^MAX(0,$C806-$AD$799),IF(DATE($C806,1,15)&gt;=$W$799,$Z$799*(1+($U$799)/100)^MAX(0,$C806-$AC$799),IF(DATE($C806,1,15)&gt;=$V$799,$Y$799*(1+($U$799)/100)^MAX(0,$C806-$AB$799),0)))))</f>
      </c>
      <c r="F806" s="43">
        <f>IF($S$799=0,0,IF(OR(DATE($C806,2,15)&lt;$S$799,AND($T$799&gt;0,DATE($C806,2,15)&gt;$T$799)),0,IF(DATE($C806,2,15)&gt;=$X$799,$AA$799*(1+($U$799)/100)^MAX(0,$C806-$AD$799),IF(DATE($C806,2,15)&gt;=$W$799,$Z$799*(1+($U$799)/100)^MAX(0,$C806-$AC$799),IF(DATE($C806,2,15)&gt;=$V$799,$Y$799*(1+($U$799)/100)^MAX(0,$C806-$AB$799),0)))))</f>
      </c>
      <c r="G806" s="43">
        <f>IF($S$799=0,0,IF(OR(DATE($C806,3,15)&lt;$S$799,AND($T$799&gt;0,DATE($C806,3,15)&gt;$T$799)),0,IF(DATE($C806,3,15)&gt;=$X$799,$AA$799*(1+($U$799)/100)^MAX(0,$C806-$AD$799),IF(DATE($C806,3,15)&gt;=$W$799,$Z$799*(1+($U$799)/100)^MAX(0,$C806-$AC$799),IF(DATE($C806,3,15)&gt;=$V$799,$Y$799*(1+($U$799)/100)^MAX(0,$C806-$AB$799),0)))))</f>
      </c>
      <c r="H806" s="43">
        <f>IF($S$799=0,0,IF(OR(DATE($C806,4,15)&lt;$S$799,AND($T$799&gt;0,DATE($C806,4,15)&gt;$T$799)),0,IF(DATE($C806,4,15)&gt;=$X$799,$AA$799*(1+($U$799)/100)^MAX(0,$C806-$AD$799),IF(DATE($C806,4,15)&gt;=$W$799,$Z$799*(1+($U$799)/100)^MAX(0,$C806-$AC$799),IF(DATE($C806,4,15)&gt;=$V$799,$Y$799*(1+($U$799)/100)^MAX(0,$C806-$AB$799),0)))))</f>
      </c>
      <c r="I806" s="43">
        <f>IF($S$799=0,0,IF(OR(DATE($C806,5,15)&lt;$S$799,AND($T$799&gt;0,DATE($C806,5,15)&gt;$T$799)),0,IF(DATE($C806,5,15)&gt;=$X$799,$AA$799*(1+($U$799)/100)^MAX(0,$C806-$AD$799),IF(DATE($C806,5,15)&gt;=$W$799,$Z$799*(1+($U$799)/100)^MAX(0,$C806-$AC$799),IF(DATE($C806,5,15)&gt;=$V$799,$Y$799*(1+($U$799)/100)^MAX(0,$C806-$AB$799),0)))))</f>
      </c>
      <c r="J806" s="43">
        <f>IF($S$799=0,0,IF(OR(DATE($C806,6,15)&lt;$S$799,AND($T$799&gt;0,DATE($C806,6,15)&gt;$T$799)),0,IF(DATE($C806,6,15)&gt;=$X$799,$AA$799*(1+($U$799)/100)^MAX(0,$C806-$AD$799),IF(DATE($C806,6,15)&gt;=$W$799,$Z$799*(1+($U$799)/100)^MAX(0,$C806-$AC$799),IF(DATE($C806,6,15)&gt;=$V$799,$Y$799*(1+($U$799)/100)^MAX(0,$C806-$AB$799),0)))))</f>
      </c>
      <c r="K806" s="43">
        <f>IF($S$799=0,0,IF(OR(DATE($C806,7,15)&lt;$S$799,AND($T$799&gt;0,DATE($C806,7,15)&gt;$T$799)),0,IF(DATE($C806,7,15)&gt;=$X$799,$AA$799*(1+($U$799)/100)^MAX(0,$C806-$AD$799),IF(DATE($C806,7,15)&gt;=$W$799,$Z$799*(1+($U$799)/100)^MAX(0,$C806-$AC$799),IF(DATE($C806,7,15)&gt;=$V$799,$Y$799*(1+($U$799)/100)^MAX(0,$C806-$AB$799),0)))))</f>
      </c>
      <c r="L806" s="43">
        <f>IF($S$799=0,0,IF(OR(DATE($C806,8,15)&lt;$S$799,AND($T$799&gt;0,DATE($C806,8,15)&gt;$T$799)),0,IF(DATE($C806,8,15)&gt;=$X$799,$AA$799*(1+($U$799)/100)^MAX(0,$C806-$AD$799),IF(DATE($C806,8,15)&gt;=$W$799,$Z$799*(1+($U$799)/100)^MAX(0,$C806-$AC$799),IF(DATE($C806,8,15)&gt;=$V$799,$Y$799*(1+($U$799)/100)^MAX(0,$C806-$AB$799),0)))))</f>
      </c>
      <c r="M806" s="43">
        <f>IF($S$799=0,0,IF(OR(DATE($C806,9,15)&lt;$S$799,AND($T$799&gt;0,DATE($C806,9,15)&gt;$T$799)),0,IF(DATE($C806,9,15)&gt;=$X$799,$AA$799*(1+($U$799)/100)^MAX(0,$C806-$AD$799),IF(DATE($C806,9,15)&gt;=$W$799,$Z$799*(1+($U$799)/100)^MAX(0,$C806-$AC$799),IF(DATE($C806,9,15)&gt;=$V$799,$Y$799*(1+($U$799)/100)^MAX(0,$C806-$AB$799),0)))))</f>
      </c>
      <c r="N806" s="43">
        <f>IF($S$799=0,0,IF(OR(DATE($C806,10,15)&lt;$S$799,AND($T$799&gt;0,DATE($C806,10,15)&gt;$T$799)),0,IF(DATE($C806,10,15)&gt;=$X$799,$AA$799*(1+($U$799)/100)^MAX(0,$C806-$AD$799),IF(DATE($C806,10,15)&gt;=$W$799,$Z$799*(1+($U$799)/100)^MAX(0,$C806-$AC$799),IF(DATE($C806,10,15)&gt;=$V$799,$Y$799*(1+($U$799)/100)^MAX(0,$C806-$AB$799),0)))))</f>
      </c>
      <c r="O806" s="43">
        <f>IF($S$799=0,0,IF(OR(DATE($C806,11,15)&lt;$S$799,AND($T$799&gt;0,DATE($C806,11,15)&gt;$T$799)),0,IF(DATE($C806,11,15)&gt;=$X$799,$AA$799*(1+($U$799)/100)^MAX(0,$C806-$AD$799),IF(DATE($C806,11,15)&gt;=$W$799,$Z$799*(1+($U$799)/100)^MAX(0,$C806-$AC$799),IF(DATE($C806,11,15)&gt;=$V$799,$Y$799*(1+($U$799)/100)^MAX(0,$C806-$AB$799),0)))))</f>
      </c>
      <c r="P806" s="43">
        <f>IF($S$799=0,0,IF(OR(DATE($C806,12,15)&lt;$S$799,AND($T$799&gt;0,DATE($C806,12,15)&gt;$T$799)),0,IF(DATE($C806,12,15)&gt;=$X$799,$AA$799*(1+($U$799)/100)^MAX(0,$C806-$AD$799),IF(DATE($C806,12,15)&gt;=$W$799,$Z$799*(1+($U$799)/100)^MAX(0,$C806-$AC$799),IF(DATE($C806,12,15)&gt;=$V$799,$Y$799*(1+($U$799)/100)^MAX(0,$C806-$AB$799),0)))))</f>
      </c>
      <c r="Q806" s="43">
        <f>SUM($E806:$P806)</f>
      </c>
    </row>
    <row r="807">
      <c r="A807"/>
      <c r="B807">
        <v>26</v>
      </c>
      <c r="C807" s="43">
        <f>Jahr+8</f>
      </c>
      <c r="D807" s="43">
        <f>INDEX(MvObj,26)</f>
      </c>
      <c r="E807" s="43">
        <f>IF($S$799=0,0,IF(OR(DATE($C807,1,15)&lt;$S$799,AND($T$799&gt;0,DATE($C807,1,15)&gt;$T$799)),0,IF(DATE($C807,1,15)&gt;=$X$799,$AA$799*(1+($U$799)/100)^MAX(0,$C807-$AD$799),IF(DATE($C807,1,15)&gt;=$W$799,$Z$799*(1+($U$799)/100)^MAX(0,$C807-$AC$799),IF(DATE($C807,1,15)&gt;=$V$799,$Y$799*(1+($U$799)/100)^MAX(0,$C807-$AB$799),0)))))</f>
      </c>
      <c r="F807" s="43">
        <f>IF($S$799=0,0,IF(OR(DATE($C807,2,15)&lt;$S$799,AND($T$799&gt;0,DATE($C807,2,15)&gt;$T$799)),0,IF(DATE($C807,2,15)&gt;=$X$799,$AA$799*(1+($U$799)/100)^MAX(0,$C807-$AD$799),IF(DATE($C807,2,15)&gt;=$W$799,$Z$799*(1+($U$799)/100)^MAX(0,$C807-$AC$799),IF(DATE($C807,2,15)&gt;=$V$799,$Y$799*(1+($U$799)/100)^MAX(0,$C807-$AB$799),0)))))</f>
      </c>
      <c r="G807" s="43">
        <f>IF($S$799=0,0,IF(OR(DATE($C807,3,15)&lt;$S$799,AND($T$799&gt;0,DATE($C807,3,15)&gt;$T$799)),0,IF(DATE($C807,3,15)&gt;=$X$799,$AA$799*(1+($U$799)/100)^MAX(0,$C807-$AD$799),IF(DATE($C807,3,15)&gt;=$W$799,$Z$799*(1+($U$799)/100)^MAX(0,$C807-$AC$799),IF(DATE($C807,3,15)&gt;=$V$799,$Y$799*(1+($U$799)/100)^MAX(0,$C807-$AB$799),0)))))</f>
      </c>
      <c r="H807" s="43">
        <f>IF($S$799=0,0,IF(OR(DATE($C807,4,15)&lt;$S$799,AND($T$799&gt;0,DATE($C807,4,15)&gt;$T$799)),0,IF(DATE($C807,4,15)&gt;=$X$799,$AA$799*(1+($U$799)/100)^MAX(0,$C807-$AD$799),IF(DATE($C807,4,15)&gt;=$W$799,$Z$799*(1+($U$799)/100)^MAX(0,$C807-$AC$799),IF(DATE($C807,4,15)&gt;=$V$799,$Y$799*(1+($U$799)/100)^MAX(0,$C807-$AB$799),0)))))</f>
      </c>
      <c r="I807" s="43">
        <f>IF($S$799=0,0,IF(OR(DATE($C807,5,15)&lt;$S$799,AND($T$799&gt;0,DATE($C807,5,15)&gt;$T$799)),0,IF(DATE($C807,5,15)&gt;=$X$799,$AA$799*(1+($U$799)/100)^MAX(0,$C807-$AD$799),IF(DATE($C807,5,15)&gt;=$W$799,$Z$799*(1+($U$799)/100)^MAX(0,$C807-$AC$799),IF(DATE($C807,5,15)&gt;=$V$799,$Y$799*(1+($U$799)/100)^MAX(0,$C807-$AB$799),0)))))</f>
      </c>
      <c r="J807" s="43">
        <f>IF($S$799=0,0,IF(OR(DATE($C807,6,15)&lt;$S$799,AND($T$799&gt;0,DATE($C807,6,15)&gt;$T$799)),0,IF(DATE($C807,6,15)&gt;=$X$799,$AA$799*(1+($U$799)/100)^MAX(0,$C807-$AD$799),IF(DATE($C807,6,15)&gt;=$W$799,$Z$799*(1+($U$799)/100)^MAX(0,$C807-$AC$799),IF(DATE($C807,6,15)&gt;=$V$799,$Y$799*(1+($U$799)/100)^MAX(0,$C807-$AB$799),0)))))</f>
      </c>
      <c r="K807" s="43">
        <f>IF($S$799=0,0,IF(OR(DATE($C807,7,15)&lt;$S$799,AND($T$799&gt;0,DATE($C807,7,15)&gt;$T$799)),0,IF(DATE($C807,7,15)&gt;=$X$799,$AA$799*(1+($U$799)/100)^MAX(0,$C807-$AD$799),IF(DATE($C807,7,15)&gt;=$W$799,$Z$799*(1+($U$799)/100)^MAX(0,$C807-$AC$799),IF(DATE($C807,7,15)&gt;=$V$799,$Y$799*(1+($U$799)/100)^MAX(0,$C807-$AB$799),0)))))</f>
      </c>
      <c r="L807" s="43">
        <f>IF($S$799=0,0,IF(OR(DATE($C807,8,15)&lt;$S$799,AND($T$799&gt;0,DATE($C807,8,15)&gt;$T$799)),0,IF(DATE($C807,8,15)&gt;=$X$799,$AA$799*(1+($U$799)/100)^MAX(0,$C807-$AD$799),IF(DATE($C807,8,15)&gt;=$W$799,$Z$799*(1+($U$799)/100)^MAX(0,$C807-$AC$799),IF(DATE($C807,8,15)&gt;=$V$799,$Y$799*(1+($U$799)/100)^MAX(0,$C807-$AB$799),0)))))</f>
      </c>
      <c r="M807" s="43">
        <f>IF($S$799=0,0,IF(OR(DATE($C807,9,15)&lt;$S$799,AND($T$799&gt;0,DATE($C807,9,15)&gt;$T$799)),0,IF(DATE($C807,9,15)&gt;=$X$799,$AA$799*(1+($U$799)/100)^MAX(0,$C807-$AD$799),IF(DATE($C807,9,15)&gt;=$W$799,$Z$799*(1+($U$799)/100)^MAX(0,$C807-$AC$799),IF(DATE($C807,9,15)&gt;=$V$799,$Y$799*(1+($U$799)/100)^MAX(0,$C807-$AB$799),0)))))</f>
      </c>
      <c r="N807" s="43">
        <f>IF($S$799=0,0,IF(OR(DATE($C807,10,15)&lt;$S$799,AND($T$799&gt;0,DATE($C807,10,15)&gt;$T$799)),0,IF(DATE($C807,10,15)&gt;=$X$799,$AA$799*(1+($U$799)/100)^MAX(0,$C807-$AD$799),IF(DATE($C807,10,15)&gt;=$W$799,$Z$799*(1+($U$799)/100)^MAX(0,$C807-$AC$799),IF(DATE($C807,10,15)&gt;=$V$799,$Y$799*(1+($U$799)/100)^MAX(0,$C807-$AB$799),0)))))</f>
      </c>
      <c r="O807" s="43">
        <f>IF($S$799=0,0,IF(OR(DATE($C807,11,15)&lt;$S$799,AND($T$799&gt;0,DATE($C807,11,15)&gt;$T$799)),0,IF(DATE($C807,11,15)&gt;=$X$799,$AA$799*(1+($U$799)/100)^MAX(0,$C807-$AD$799),IF(DATE($C807,11,15)&gt;=$W$799,$Z$799*(1+($U$799)/100)^MAX(0,$C807-$AC$799),IF(DATE($C807,11,15)&gt;=$V$799,$Y$799*(1+($U$799)/100)^MAX(0,$C807-$AB$799),0)))))</f>
      </c>
      <c r="P807" s="43">
        <f>IF($S$799=0,0,IF(OR(DATE($C807,12,15)&lt;$S$799,AND($T$799&gt;0,DATE($C807,12,15)&gt;$T$799)),0,IF(DATE($C807,12,15)&gt;=$X$799,$AA$799*(1+($U$799)/100)^MAX(0,$C807-$AD$799),IF(DATE($C807,12,15)&gt;=$W$799,$Z$799*(1+($U$799)/100)^MAX(0,$C807-$AC$799),IF(DATE($C807,12,15)&gt;=$V$799,$Y$799*(1+($U$799)/100)^MAX(0,$C807-$AB$799),0)))))</f>
      </c>
      <c r="Q807" s="43">
        <f>SUM($E807:$P807)</f>
      </c>
    </row>
    <row r="808">
      <c r="A808"/>
      <c r="B808">
        <v>26</v>
      </c>
      <c r="C808" s="43">
        <f>Jahr+9</f>
      </c>
      <c r="D808" s="43">
        <f>INDEX(MvObj,26)</f>
      </c>
      <c r="E808" s="43">
        <f>IF($S$799=0,0,IF(OR(DATE($C808,1,15)&lt;$S$799,AND($T$799&gt;0,DATE($C808,1,15)&gt;$T$799)),0,IF(DATE($C808,1,15)&gt;=$X$799,$AA$799*(1+($U$799)/100)^MAX(0,$C808-$AD$799),IF(DATE($C808,1,15)&gt;=$W$799,$Z$799*(1+($U$799)/100)^MAX(0,$C808-$AC$799),IF(DATE($C808,1,15)&gt;=$V$799,$Y$799*(1+($U$799)/100)^MAX(0,$C808-$AB$799),0)))))</f>
      </c>
      <c r="F808" s="43">
        <f>IF($S$799=0,0,IF(OR(DATE($C808,2,15)&lt;$S$799,AND($T$799&gt;0,DATE($C808,2,15)&gt;$T$799)),0,IF(DATE($C808,2,15)&gt;=$X$799,$AA$799*(1+($U$799)/100)^MAX(0,$C808-$AD$799),IF(DATE($C808,2,15)&gt;=$W$799,$Z$799*(1+($U$799)/100)^MAX(0,$C808-$AC$799),IF(DATE($C808,2,15)&gt;=$V$799,$Y$799*(1+($U$799)/100)^MAX(0,$C808-$AB$799),0)))))</f>
      </c>
      <c r="G808" s="43">
        <f>IF($S$799=0,0,IF(OR(DATE($C808,3,15)&lt;$S$799,AND($T$799&gt;0,DATE($C808,3,15)&gt;$T$799)),0,IF(DATE($C808,3,15)&gt;=$X$799,$AA$799*(1+($U$799)/100)^MAX(0,$C808-$AD$799),IF(DATE($C808,3,15)&gt;=$W$799,$Z$799*(1+($U$799)/100)^MAX(0,$C808-$AC$799),IF(DATE($C808,3,15)&gt;=$V$799,$Y$799*(1+($U$799)/100)^MAX(0,$C808-$AB$799),0)))))</f>
      </c>
      <c r="H808" s="43">
        <f>IF($S$799=0,0,IF(OR(DATE($C808,4,15)&lt;$S$799,AND($T$799&gt;0,DATE($C808,4,15)&gt;$T$799)),0,IF(DATE($C808,4,15)&gt;=$X$799,$AA$799*(1+($U$799)/100)^MAX(0,$C808-$AD$799),IF(DATE($C808,4,15)&gt;=$W$799,$Z$799*(1+($U$799)/100)^MAX(0,$C808-$AC$799),IF(DATE($C808,4,15)&gt;=$V$799,$Y$799*(1+($U$799)/100)^MAX(0,$C808-$AB$799),0)))))</f>
      </c>
      <c r="I808" s="43">
        <f>IF($S$799=0,0,IF(OR(DATE($C808,5,15)&lt;$S$799,AND($T$799&gt;0,DATE($C808,5,15)&gt;$T$799)),0,IF(DATE($C808,5,15)&gt;=$X$799,$AA$799*(1+($U$799)/100)^MAX(0,$C808-$AD$799),IF(DATE($C808,5,15)&gt;=$W$799,$Z$799*(1+($U$799)/100)^MAX(0,$C808-$AC$799),IF(DATE($C808,5,15)&gt;=$V$799,$Y$799*(1+($U$799)/100)^MAX(0,$C808-$AB$799),0)))))</f>
      </c>
      <c r="J808" s="43">
        <f>IF($S$799=0,0,IF(OR(DATE($C808,6,15)&lt;$S$799,AND($T$799&gt;0,DATE($C808,6,15)&gt;$T$799)),0,IF(DATE($C808,6,15)&gt;=$X$799,$AA$799*(1+($U$799)/100)^MAX(0,$C808-$AD$799),IF(DATE($C808,6,15)&gt;=$W$799,$Z$799*(1+($U$799)/100)^MAX(0,$C808-$AC$799),IF(DATE($C808,6,15)&gt;=$V$799,$Y$799*(1+($U$799)/100)^MAX(0,$C808-$AB$799),0)))))</f>
      </c>
      <c r="K808" s="43">
        <f>IF($S$799=0,0,IF(OR(DATE($C808,7,15)&lt;$S$799,AND($T$799&gt;0,DATE($C808,7,15)&gt;$T$799)),0,IF(DATE($C808,7,15)&gt;=$X$799,$AA$799*(1+($U$799)/100)^MAX(0,$C808-$AD$799),IF(DATE($C808,7,15)&gt;=$W$799,$Z$799*(1+($U$799)/100)^MAX(0,$C808-$AC$799),IF(DATE($C808,7,15)&gt;=$V$799,$Y$799*(1+($U$799)/100)^MAX(0,$C808-$AB$799),0)))))</f>
      </c>
      <c r="L808" s="43">
        <f>IF($S$799=0,0,IF(OR(DATE($C808,8,15)&lt;$S$799,AND($T$799&gt;0,DATE($C808,8,15)&gt;$T$799)),0,IF(DATE($C808,8,15)&gt;=$X$799,$AA$799*(1+($U$799)/100)^MAX(0,$C808-$AD$799),IF(DATE($C808,8,15)&gt;=$W$799,$Z$799*(1+($U$799)/100)^MAX(0,$C808-$AC$799),IF(DATE($C808,8,15)&gt;=$V$799,$Y$799*(1+($U$799)/100)^MAX(0,$C808-$AB$799),0)))))</f>
      </c>
      <c r="M808" s="43">
        <f>IF($S$799=0,0,IF(OR(DATE($C808,9,15)&lt;$S$799,AND($T$799&gt;0,DATE($C808,9,15)&gt;$T$799)),0,IF(DATE($C808,9,15)&gt;=$X$799,$AA$799*(1+($U$799)/100)^MAX(0,$C808-$AD$799),IF(DATE($C808,9,15)&gt;=$W$799,$Z$799*(1+($U$799)/100)^MAX(0,$C808-$AC$799),IF(DATE($C808,9,15)&gt;=$V$799,$Y$799*(1+($U$799)/100)^MAX(0,$C808-$AB$799),0)))))</f>
      </c>
      <c r="N808" s="43">
        <f>IF($S$799=0,0,IF(OR(DATE($C808,10,15)&lt;$S$799,AND($T$799&gt;0,DATE($C808,10,15)&gt;$T$799)),0,IF(DATE($C808,10,15)&gt;=$X$799,$AA$799*(1+($U$799)/100)^MAX(0,$C808-$AD$799),IF(DATE($C808,10,15)&gt;=$W$799,$Z$799*(1+($U$799)/100)^MAX(0,$C808-$AC$799),IF(DATE($C808,10,15)&gt;=$V$799,$Y$799*(1+($U$799)/100)^MAX(0,$C808-$AB$799),0)))))</f>
      </c>
      <c r="O808" s="43">
        <f>IF($S$799=0,0,IF(OR(DATE($C808,11,15)&lt;$S$799,AND($T$799&gt;0,DATE($C808,11,15)&gt;$T$799)),0,IF(DATE($C808,11,15)&gt;=$X$799,$AA$799*(1+($U$799)/100)^MAX(0,$C808-$AD$799),IF(DATE($C808,11,15)&gt;=$W$799,$Z$799*(1+($U$799)/100)^MAX(0,$C808-$AC$799),IF(DATE($C808,11,15)&gt;=$V$799,$Y$799*(1+($U$799)/100)^MAX(0,$C808-$AB$799),0)))))</f>
      </c>
      <c r="P808" s="43">
        <f>IF($S$799=0,0,IF(OR(DATE($C808,12,15)&lt;$S$799,AND($T$799&gt;0,DATE($C808,12,15)&gt;$T$799)),0,IF(DATE($C808,12,15)&gt;=$X$799,$AA$799*(1+($U$799)/100)^MAX(0,$C808-$AD$799),IF(DATE($C808,12,15)&gt;=$W$799,$Z$799*(1+($U$799)/100)^MAX(0,$C808-$AC$799),IF(DATE($C808,12,15)&gt;=$V$799,$Y$799*(1+($U$799)/100)^MAX(0,$C808-$AB$799),0)))))</f>
      </c>
      <c r="Q808" s="43">
        <f>SUM($E808:$P808)</f>
      </c>
    </row>
    <row r="809">
      <c r="A809"/>
      <c r="B809">
        <v>26</v>
      </c>
      <c r="C809" s="43">
        <f>Jahr+10</f>
      </c>
      <c r="D809" s="43">
        <f>INDEX(MvObj,26)</f>
      </c>
      <c r="E809" s="43">
        <f>IF($S$799=0,0,IF(OR(DATE($C809,1,15)&lt;$S$799,AND($T$799&gt;0,DATE($C809,1,15)&gt;$T$799)),0,IF(DATE($C809,1,15)&gt;=$X$799,$AA$799*(1+($U$799)/100)^MAX(0,$C809-$AD$799),IF(DATE($C809,1,15)&gt;=$W$799,$Z$799*(1+($U$799)/100)^MAX(0,$C809-$AC$799),IF(DATE($C809,1,15)&gt;=$V$799,$Y$799*(1+($U$799)/100)^MAX(0,$C809-$AB$799),0)))))</f>
      </c>
      <c r="F809" s="43">
        <f>IF($S$799=0,0,IF(OR(DATE($C809,2,15)&lt;$S$799,AND($T$799&gt;0,DATE($C809,2,15)&gt;$T$799)),0,IF(DATE($C809,2,15)&gt;=$X$799,$AA$799*(1+($U$799)/100)^MAX(0,$C809-$AD$799),IF(DATE($C809,2,15)&gt;=$W$799,$Z$799*(1+($U$799)/100)^MAX(0,$C809-$AC$799),IF(DATE($C809,2,15)&gt;=$V$799,$Y$799*(1+($U$799)/100)^MAX(0,$C809-$AB$799),0)))))</f>
      </c>
      <c r="G809" s="43">
        <f>IF($S$799=0,0,IF(OR(DATE($C809,3,15)&lt;$S$799,AND($T$799&gt;0,DATE($C809,3,15)&gt;$T$799)),0,IF(DATE($C809,3,15)&gt;=$X$799,$AA$799*(1+($U$799)/100)^MAX(0,$C809-$AD$799),IF(DATE($C809,3,15)&gt;=$W$799,$Z$799*(1+($U$799)/100)^MAX(0,$C809-$AC$799),IF(DATE($C809,3,15)&gt;=$V$799,$Y$799*(1+($U$799)/100)^MAX(0,$C809-$AB$799),0)))))</f>
      </c>
      <c r="H809" s="43">
        <f>IF($S$799=0,0,IF(OR(DATE($C809,4,15)&lt;$S$799,AND($T$799&gt;0,DATE($C809,4,15)&gt;$T$799)),0,IF(DATE($C809,4,15)&gt;=$X$799,$AA$799*(1+($U$799)/100)^MAX(0,$C809-$AD$799),IF(DATE($C809,4,15)&gt;=$W$799,$Z$799*(1+($U$799)/100)^MAX(0,$C809-$AC$799),IF(DATE($C809,4,15)&gt;=$V$799,$Y$799*(1+($U$799)/100)^MAX(0,$C809-$AB$799),0)))))</f>
      </c>
      <c r="I809" s="43">
        <f>IF($S$799=0,0,IF(OR(DATE($C809,5,15)&lt;$S$799,AND($T$799&gt;0,DATE($C809,5,15)&gt;$T$799)),0,IF(DATE($C809,5,15)&gt;=$X$799,$AA$799*(1+($U$799)/100)^MAX(0,$C809-$AD$799),IF(DATE($C809,5,15)&gt;=$W$799,$Z$799*(1+($U$799)/100)^MAX(0,$C809-$AC$799),IF(DATE($C809,5,15)&gt;=$V$799,$Y$799*(1+($U$799)/100)^MAX(0,$C809-$AB$799),0)))))</f>
      </c>
      <c r="J809" s="43">
        <f>IF($S$799=0,0,IF(OR(DATE($C809,6,15)&lt;$S$799,AND($T$799&gt;0,DATE($C809,6,15)&gt;$T$799)),0,IF(DATE($C809,6,15)&gt;=$X$799,$AA$799*(1+($U$799)/100)^MAX(0,$C809-$AD$799),IF(DATE($C809,6,15)&gt;=$W$799,$Z$799*(1+($U$799)/100)^MAX(0,$C809-$AC$799),IF(DATE($C809,6,15)&gt;=$V$799,$Y$799*(1+($U$799)/100)^MAX(0,$C809-$AB$799),0)))))</f>
      </c>
      <c r="K809" s="43">
        <f>IF($S$799=0,0,IF(OR(DATE($C809,7,15)&lt;$S$799,AND($T$799&gt;0,DATE($C809,7,15)&gt;$T$799)),0,IF(DATE($C809,7,15)&gt;=$X$799,$AA$799*(1+($U$799)/100)^MAX(0,$C809-$AD$799),IF(DATE($C809,7,15)&gt;=$W$799,$Z$799*(1+($U$799)/100)^MAX(0,$C809-$AC$799),IF(DATE($C809,7,15)&gt;=$V$799,$Y$799*(1+($U$799)/100)^MAX(0,$C809-$AB$799),0)))))</f>
      </c>
      <c r="L809" s="43">
        <f>IF($S$799=0,0,IF(OR(DATE($C809,8,15)&lt;$S$799,AND($T$799&gt;0,DATE($C809,8,15)&gt;$T$799)),0,IF(DATE($C809,8,15)&gt;=$X$799,$AA$799*(1+($U$799)/100)^MAX(0,$C809-$AD$799),IF(DATE($C809,8,15)&gt;=$W$799,$Z$799*(1+($U$799)/100)^MAX(0,$C809-$AC$799),IF(DATE($C809,8,15)&gt;=$V$799,$Y$799*(1+($U$799)/100)^MAX(0,$C809-$AB$799),0)))))</f>
      </c>
      <c r="M809" s="43">
        <f>IF($S$799=0,0,IF(OR(DATE($C809,9,15)&lt;$S$799,AND($T$799&gt;0,DATE($C809,9,15)&gt;$T$799)),0,IF(DATE($C809,9,15)&gt;=$X$799,$AA$799*(1+($U$799)/100)^MAX(0,$C809-$AD$799),IF(DATE($C809,9,15)&gt;=$W$799,$Z$799*(1+($U$799)/100)^MAX(0,$C809-$AC$799),IF(DATE($C809,9,15)&gt;=$V$799,$Y$799*(1+($U$799)/100)^MAX(0,$C809-$AB$799),0)))))</f>
      </c>
      <c r="N809" s="43">
        <f>IF($S$799=0,0,IF(OR(DATE($C809,10,15)&lt;$S$799,AND($T$799&gt;0,DATE($C809,10,15)&gt;$T$799)),0,IF(DATE($C809,10,15)&gt;=$X$799,$AA$799*(1+($U$799)/100)^MAX(0,$C809-$AD$799),IF(DATE($C809,10,15)&gt;=$W$799,$Z$799*(1+($U$799)/100)^MAX(0,$C809-$AC$799),IF(DATE($C809,10,15)&gt;=$V$799,$Y$799*(1+($U$799)/100)^MAX(0,$C809-$AB$799),0)))))</f>
      </c>
      <c r="O809" s="43">
        <f>IF($S$799=0,0,IF(OR(DATE($C809,11,15)&lt;$S$799,AND($T$799&gt;0,DATE($C809,11,15)&gt;$T$799)),0,IF(DATE($C809,11,15)&gt;=$X$799,$AA$799*(1+($U$799)/100)^MAX(0,$C809-$AD$799),IF(DATE($C809,11,15)&gt;=$W$799,$Z$799*(1+($U$799)/100)^MAX(0,$C809-$AC$799),IF(DATE($C809,11,15)&gt;=$V$799,$Y$799*(1+($U$799)/100)^MAX(0,$C809-$AB$799),0)))))</f>
      </c>
      <c r="P809" s="43">
        <f>IF($S$799=0,0,IF(OR(DATE($C809,12,15)&lt;$S$799,AND($T$799&gt;0,DATE($C809,12,15)&gt;$T$799)),0,IF(DATE($C809,12,15)&gt;=$X$799,$AA$799*(1+($U$799)/100)^MAX(0,$C809-$AD$799),IF(DATE($C809,12,15)&gt;=$W$799,$Z$799*(1+($U$799)/100)^MAX(0,$C809-$AC$799),IF(DATE($C809,12,15)&gt;=$V$799,$Y$799*(1+($U$799)/100)^MAX(0,$C809-$AB$799),0)))))</f>
      </c>
      <c r="Q809" s="43">
        <f>SUM($E809:$P809)</f>
      </c>
    </row>
    <row r="810">
      <c r="A810"/>
      <c r="B810">
        <v>26</v>
      </c>
      <c r="C810" s="43">
        <f>Jahr+11</f>
      </c>
      <c r="D810" s="43">
        <f>INDEX(MvObj,26)</f>
      </c>
      <c r="E810" s="43">
        <f>IF($S$799=0,0,IF(OR(DATE($C810,1,15)&lt;$S$799,AND($T$799&gt;0,DATE($C810,1,15)&gt;$T$799)),0,IF(DATE($C810,1,15)&gt;=$X$799,$AA$799*(1+($U$799)/100)^MAX(0,$C810-$AD$799),IF(DATE($C810,1,15)&gt;=$W$799,$Z$799*(1+($U$799)/100)^MAX(0,$C810-$AC$799),IF(DATE($C810,1,15)&gt;=$V$799,$Y$799*(1+($U$799)/100)^MAX(0,$C810-$AB$799),0)))))</f>
      </c>
      <c r="F810" s="43">
        <f>IF($S$799=0,0,IF(OR(DATE($C810,2,15)&lt;$S$799,AND($T$799&gt;0,DATE($C810,2,15)&gt;$T$799)),0,IF(DATE($C810,2,15)&gt;=$X$799,$AA$799*(1+($U$799)/100)^MAX(0,$C810-$AD$799),IF(DATE($C810,2,15)&gt;=$W$799,$Z$799*(1+($U$799)/100)^MAX(0,$C810-$AC$799),IF(DATE($C810,2,15)&gt;=$V$799,$Y$799*(1+($U$799)/100)^MAX(0,$C810-$AB$799),0)))))</f>
      </c>
      <c r="G810" s="43">
        <f>IF($S$799=0,0,IF(OR(DATE($C810,3,15)&lt;$S$799,AND($T$799&gt;0,DATE($C810,3,15)&gt;$T$799)),0,IF(DATE($C810,3,15)&gt;=$X$799,$AA$799*(1+($U$799)/100)^MAX(0,$C810-$AD$799),IF(DATE($C810,3,15)&gt;=$W$799,$Z$799*(1+($U$799)/100)^MAX(0,$C810-$AC$799),IF(DATE($C810,3,15)&gt;=$V$799,$Y$799*(1+($U$799)/100)^MAX(0,$C810-$AB$799),0)))))</f>
      </c>
      <c r="H810" s="43">
        <f>IF($S$799=0,0,IF(OR(DATE($C810,4,15)&lt;$S$799,AND($T$799&gt;0,DATE($C810,4,15)&gt;$T$799)),0,IF(DATE($C810,4,15)&gt;=$X$799,$AA$799*(1+($U$799)/100)^MAX(0,$C810-$AD$799),IF(DATE($C810,4,15)&gt;=$W$799,$Z$799*(1+($U$799)/100)^MAX(0,$C810-$AC$799),IF(DATE($C810,4,15)&gt;=$V$799,$Y$799*(1+($U$799)/100)^MAX(0,$C810-$AB$799),0)))))</f>
      </c>
      <c r="I810" s="43">
        <f>IF($S$799=0,0,IF(OR(DATE($C810,5,15)&lt;$S$799,AND($T$799&gt;0,DATE($C810,5,15)&gt;$T$799)),0,IF(DATE($C810,5,15)&gt;=$X$799,$AA$799*(1+($U$799)/100)^MAX(0,$C810-$AD$799),IF(DATE($C810,5,15)&gt;=$W$799,$Z$799*(1+($U$799)/100)^MAX(0,$C810-$AC$799),IF(DATE($C810,5,15)&gt;=$V$799,$Y$799*(1+($U$799)/100)^MAX(0,$C810-$AB$799),0)))))</f>
      </c>
      <c r="J810" s="43">
        <f>IF($S$799=0,0,IF(OR(DATE($C810,6,15)&lt;$S$799,AND($T$799&gt;0,DATE($C810,6,15)&gt;$T$799)),0,IF(DATE($C810,6,15)&gt;=$X$799,$AA$799*(1+($U$799)/100)^MAX(0,$C810-$AD$799),IF(DATE($C810,6,15)&gt;=$W$799,$Z$799*(1+($U$799)/100)^MAX(0,$C810-$AC$799),IF(DATE($C810,6,15)&gt;=$V$799,$Y$799*(1+($U$799)/100)^MAX(0,$C810-$AB$799),0)))))</f>
      </c>
      <c r="K810" s="43">
        <f>IF($S$799=0,0,IF(OR(DATE($C810,7,15)&lt;$S$799,AND($T$799&gt;0,DATE($C810,7,15)&gt;$T$799)),0,IF(DATE($C810,7,15)&gt;=$X$799,$AA$799*(1+($U$799)/100)^MAX(0,$C810-$AD$799),IF(DATE($C810,7,15)&gt;=$W$799,$Z$799*(1+($U$799)/100)^MAX(0,$C810-$AC$799),IF(DATE($C810,7,15)&gt;=$V$799,$Y$799*(1+($U$799)/100)^MAX(0,$C810-$AB$799),0)))))</f>
      </c>
      <c r="L810" s="43">
        <f>IF($S$799=0,0,IF(OR(DATE($C810,8,15)&lt;$S$799,AND($T$799&gt;0,DATE($C810,8,15)&gt;$T$799)),0,IF(DATE($C810,8,15)&gt;=$X$799,$AA$799*(1+($U$799)/100)^MAX(0,$C810-$AD$799),IF(DATE($C810,8,15)&gt;=$W$799,$Z$799*(1+($U$799)/100)^MAX(0,$C810-$AC$799),IF(DATE($C810,8,15)&gt;=$V$799,$Y$799*(1+($U$799)/100)^MAX(0,$C810-$AB$799),0)))))</f>
      </c>
      <c r="M810" s="43">
        <f>IF($S$799=0,0,IF(OR(DATE($C810,9,15)&lt;$S$799,AND($T$799&gt;0,DATE($C810,9,15)&gt;$T$799)),0,IF(DATE($C810,9,15)&gt;=$X$799,$AA$799*(1+($U$799)/100)^MAX(0,$C810-$AD$799),IF(DATE($C810,9,15)&gt;=$W$799,$Z$799*(1+($U$799)/100)^MAX(0,$C810-$AC$799),IF(DATE($C810,9,15)&gt;=$V$799,$Y$799*(1+($U$799)/100)^MAX(0,$C810-$AB$799),0)))))</f>
      </c>
      <c r="N810" s="43">
        <f>IF($S$799=0,0,IF(OR(DATE($C810,10,15)&lt;$S$799,AND($T$799&gt;0,DATE($C810,10,15)&gt;$T$799)),0,IF(DATE($C810,10,15)&gt;=$X$799,$AA$799*(1+($U$799)/100)^MAX(0,$C810-$AD$799),IF(DATE($C810,10,15)&gt;=$W$799,$Z$799*(1+($U$799)/100)^MAX(0,$C810-$AC$799),IF(DATE($C810,10,15)&gt;=$V$799,$Y$799*(1+($U$799)/100)^MAX(0,$C810-$AB$799),0)))))</f>
      </c>
      <c r="O810" s="43">
        <f>IF($S$799=0,0,IF(OR(DATE($C810,11,15)&lt;$S$799,AND($T$799&gt;0,DATE($C810,11,15)&gt;$T$799)),0,IF(DATE($C810,11,15)&gt;=$X$799,$AA$799*(1+($U$799)/100)^MAX(0,$C810-$AD$799),IF(DATE($C810,11,15)&gt;=$W$799,$Z$799*(1+($U$799)/100)^MAX(0,$C810-$AC$799),IF(DATE($C810,11,15)&gt;=$V$799,$Y$799*(1+($U$799)/100)^MAX(0,$C810-$AB$799),0)))))</f>
      </c>
      <c r="P810" s="43">
        <f>IF($S$799=0,0,IF(OR(DATE($C810,12,15)&lt;$S$799,AND($T$799&gt;0,DATE($C810,12,15)&gt;$T$799)),0,IF(DATE($C810,12,15)&gt;=$X$799,$AA$799*(1+($U$799)/100)^MAX(0,$C810-$AD$799),IF(DATE($C810,12,15)&gt;=$W$799,$Z$799*(1+($U$799)/100)^MAX(0,$C810-$AC$799),IF(DATE($C810,12,15)&gt;=$V$799,$Y$799*(1+($U$799)/100)^MAX(0,$C810-$AB$799),0)))))</f>
      </c>
      <c r="Q810" s="43">
        <f>SUM($E810:$P810)</f>
      </c>
    </row>
    <row r="811">
      <c r="A811"/>
      <c r="B811">
        <v>26</v>
      </c>
      <c r="C811" s="43">
        <f>Jahr+12</f>
      </c>
      <c r="D811" s="43">
        <f>INDEX(MvObj,26)</f>
      </c>
      <c r="E811" s="43">
        <f>IF($S$799=0,0,IF(OR(DATE($C811,1,15)&lt;$S$799,AND($T$799&gt;0,DATE($C811,1,15)&gt;$T$799)),0,IF(DATE($C811,1,15)&gt;=$X$799,$AA$799*(1+($U$799)/100)^MAX(0,$C811-$AD$799),IF(DATE($C811,1,15)&gt;=$W$799,$Z$799*(1+($U$799)/100)^MAX(0,$C811-$AC$799),IF(DATE($C811,1,15)&gt;=$V$799,$Y$799*(1+($U$799)/100)^MAX(0,$C811-$AB$799),0)))))</f>
      </c>
      <c r="F811" s="43">
        <f>IF($S$799=0,0,IF(OR(DATE($C811,2,15)&lt;$S$799,AND($T$799&gt;0,DATE($C811,2,15)&gt;$T$799)),0,IF(DATE($C811,2,15)&gt;=$X$799,$AA$799*(1+($U$799)/100)^MAX(0,$C811-$AD$799),IF(DATE($C811,2,15)&gt;=$W$799,$Z$799*(1+($U$799)/100)^MAX(0,$C811-$AC$799),IF(DATE($C811,2,15)&gt;=$V$799,$Y$799*(1+($U$799)/100)^MAX(0,$C811-$AB$799),0)))))</f>
      </c>
      <c r="G811" s="43">
        <f>IF($S$799=0,0,IF(OR(DATE($C811,3,15)&lt;$S$799,AND($T$799&gt;0,DATE($C811,3,15)&gt;$T$799)),0,IF(DATE($C811,3,15)&gt;=$X$799,$AA$799*(1+($U$799)/100)^MAX(0,$C811-$AD$799),IF(DATE($C811,3,15)&gt;=$W$799,$Z$799*(1+($U$799)/100)^MAX(0,$C811-$AC$799),IF(DATE($C811,3,15)&gt;=$V$799,$Y$799*(1+($U$799)/100)^MAX(0,$C811-$AB$799),0)))))</f>
      </c>
      <c r="H811" s="43">
        <f>IF($S$799=0,0,IF(OR(DATE($C811,4,15)&lt;$S$799,AND($T$799&gt;0,DATE($C811,4,15)&gt;$T$799)),0,IF(DATE($C811,4,15)&gt;=$X$799,$AA$799*(1+($U$799)/100)^MAX(0,$C811-$AD$799),IF(DATE($C811,4,15)&gt;=$W$799,$Z$799*(1+($U$799)/100)^MAX(0,$C811-$AC$799),IF(DATE($C811,4,15)&gt;=$V$799,$Y$799*(1+($U$799)/100)^MAX(0,$C811-$AB$799),0)))))</f>
      </c>
      <c r="I811" s="43">
        <f>IF($S$799=0,0,IF(OR(DATE($C811,5,15)&lt;$S$799,AND($T$799&gt;0,DATE($C811,5,15)&gt;$T$799)),0,IF(DATE($C811,5,15)&gt;=$X$799,$AA$799*(1+($U$799)/100)^MAX(0,$C811-$AD$799),IF(DATE($C811,5,15)&gt;=$W$799,$Z$799*(1+($U$799)/100)^MAX(0,$C811-$AC$799),IF(DATE($C811,5,15)&gt;=$V$799,$Y$799*(1+($U$799)/100)^MAX(0,$C811-$AB$799),0)))))</f>
      </c>
      <c r="J811" s="43">
        <f>IF($S$799=0,0,IF(OR(DATE($C811,6,15)&lt;$S$799,AND($T$799&gt;0,DATE($C811,6,15)&gt;$T$799)),0,IF(DATE($C811,6,15)&gt;=$X$799,$AA$799*(1+($U$799)/100)^MAX(0,$C811-$AD$799),IF(DATE($C811,6,15)&gt;=$W$799,$Z$799*(1+($U$799)/100)^MAX(0,$C811-$AC$799),IF(DATE($C811,6,15)&gt;=$V$799,$Y$799*(1+($U$799)/100)^MAX(0,$C811-$AB$799),0)))))</f>
      </c>
      <c r="K811" s="43">
        <f>IF($S$799=0,0,IF(OR(DATE($C811,7,15)&lt;$S$799,AND($T$799&gt;0,DATE($C811,7,15)&gt;$T$799)),0,IF(DATE($C811,7,15)&gt;=$X$799,$AA$799*(1+($U$799)/100)^MAX(0,$C811-$AD$799),IF(DATE($C811,7,15)&gt;=$W$799,$Z$799*(1+($U$799)/100)^MAX(0,$C811-$AC$799),IF(DATE($C811,7,15)&gt;=$V$799,$Y$799*(1+($U$799)/100)^MAX(0,$C811-$AB$799),0)))))</f>
      </c>
      <c r="L811" s="43">
        <f>IF($S$799=0,0,IF(OR(DATE($C811,8,15)&lt;$S$799,AND($T$799&gt;0,DATE($C811,8,15)&gt;$T$799)),0,IF(DATE($C811,8,15)&gt;=$X$799,$AA$799*(1+($U$799)/100)^MAX(0,$C811-$AD$799),IF(DATE($C811,8,15)&gt;=$W$799,$Z$799*(1+($U$799)/100)^MAX(0,$C811-$AC$799),IF(DATE($C811,8,15)&gt;=$V$799,$Y$799*(1+($U$799)/100)^MAX(0,$C811-$AB$799),0)))))</f>
      </c>
      <c r="M811" s="43">
        <f>IF($S$799=0,0,IF(OR(DATE($C811,9,15)&lt;$S$799,AND($T$799&gt;0,DATE($C811,9,15)&gt;$T$799)),0,IF(DATE($C811,9,15)&gt;=$X$799,$AA$799*(1+($U$799)/100)^MAX(0,$C811-$AD$799),IF(DATE($C811,9,15)&gt;=$W$799,$Z$799*(1+($U$799)/100)^MAX(0,$C811-$AC$799),IF(DATE($C811,9,15)&gt;=$V$799,$Y$799*(1+($U$799)/100)^MAX(0,$C811-$AB$799),0)))))</f>
      </c>
      <c r="N811" s="43">
        <f>IF($S$799=0,0,IF(OR(DATE($C811,10,15)&lt;$S$799,AND($T$799&gt;0,DATE($C811,10,15)&gt;$T$799)),0,IF(DATE($C811,10,15)&gt;=$X$799,$AA$799*(1+($U$799)/100)^MAX(0,$C811-$AD$799),IF(DATE($C811,10,15)&gt;=$W$799,$Z$799*(1+($U$799)/100)^MAX(0,$C811-$AC$799),IF(DATE($C811,10,15)&gt;=$V$799,$Y$799*(1+($U$799)/100)^MAX(0,$C811-$AB$799),0)))))</f>
      </c>
      <c r="O811" s="43">
        <f>IF($S$799=0,0,IF(OR(DATE($C811,11,15)&lt;$S$799,AND($T$799&gt;0,DATE($C811,11,15)&gt;$T$799)),0,IF(DATE($C811,11,15)&gt;=$X$799,$AA$799*(1+($U$799)/100)^MAX(0,$C811-$AD$799),IF(DATE($C811,11,15)&gt;=$W$799,$Z$799*(1+($U$799)/100)^MAX(0,$C811-$AC$799),IF(DATE($C811,11,15)&gt;=$V$799,$Y$799*(1+($U$799)/100)^MAX(0,$C811-$AB$799),0)))))</f>
      </c>
      <c r="P811" s="43">
        <f>IF($S$799=0,0,IF(OR(DATE($C811,12,15)&lt;$S$799,AND($T$799&gt;0,DATE($C811,12,15)&gt;$T$799)),0,IF(DATE($C811,12,15)&gt;=$X$799,$AA$799*(1+($U$799)/100)^MAX(0,$C811-$AD$799),IF(DATE($C811,12,15)&gt;=$W$799,$Z$799*(1+($U$799)/100)^MAX(0,$C811-$AC$799),IF(DATE($C811,12,15)&gt;=$V$799,$Y$799*(1+($U$799)/100)^MAX(0,$C811-$AB$799),0)))))</f>
      </c>
      <c r="Q811" s="43">
        <f>SUM($E811:$P811)</f>
      </c>
    </row>
    <row r="812">
      <c r="A812"/>
      <c r="B812">
        <v>26</v>
      </c>
      <c r="C812" s="43">
        <f>Jahr+13</f>
      </c>
      <c r="D812" s="43">
        <f>INDEX(MvObj,26)</f>
      </c>
      <c r="E812" s="43">
        <f>IF($S$799=0,0,IF(OR(DATE($C812,1,15)&lt;$S$799,AND($T$799&gt;0,DATE($C812,1,15)&gt;$T$799)),0,IF(DATE($C812,1,15)&gt;=$X$799,$AA$799*(1+($U$799)/100)^MAX(0,$C812-$AD$799),IF(DATE($C812,1,15)&gt;=$W$799,$Z$799*(1+($U$799)/100)^MAX(0,$C812-$AC$799),IF(DATE($C812,1,15)&gt;=$V$799,$Y$799*(1+($U$799)/100)^MAX(0,$C812-$AB$799),0)))))</f>
      </c>
      <c r="F812" s="43">
        <f>IF($S$799=0,0,IF(OR(DATE($C812,2,15)&lt;$S$799,AND($T$799&gt;0,DATE($C812,2,15)&gt;$T$799)),0,IF(DATE($C812,2,15)&gt;=$X$799,$AA$799*(1+($U$799)/100)^MAX(0,$C812-$AD$799),IF(DATE($C812,2,15)&gt;=$W$799,$Z$799*(1+($U$799)/100)^MAX(0,$C812-$AC$799),IF(DATE($C812,2,15)&gt;=$V$799,$Y$799*(1+($U$799)/100)^MAX(0,$C812-$AB$799),0)))))</f>
      </c>
      <c r="G812" s="43">
        <f>IF($S$799=0,0,IF(OR(DATE($C812,3,15)&lt;$S$799,AND($T$799&gt;0,DATE($C812,3,15)&gt;$T$799)),0,IF(DATE($C812,3,15)&gt;=$X$799,$AA$799*(1+($U$799)/100)^MAX(0,$C812-$AD$799),IF(DATE($C812,3,15)&gt;=$W$799,$Z$799*(1+($U$799)/100)^MAX(0,$C812-$AC$799),IF(DATE($C812,3,15)&gt;=$V$799,$Y$799*(1+($U$799)/100)^MAX(0,$C812-$AB$799),0)))))</f>
      </c>
      <c r="H812" s="43">
        <f>IF($S$799=0,0,IF(OR(DATE($C812,4,15)&lt;$S$799,AND($T$799&gt;0,DATE($C812,4,15)&gt;$T$799)),0,IF(DATE($C812,4,15)&gt;=$X$799,$AA$799*(1+($U$799)/100)^MAX(0,$C812-$AD$799),IF(DATE($C812,4,15)&gt;=$W$799,$Z$799*(1+($U$799)/100)^MAX(0,$C812-$AC$799),IF(DATE($C812,4,15)&gt;=$V$799,$Y$799*(1+($U$799)/100)^MAX(0,$C812-$AB$799),0)))))</f>
      </c>
      <c r="I812" s="43">
        <f>IF($S$799=0,0,IF(OR(DATE($C812,5,15)&lt;$S$799,AND($T$799&gt;0,DATE($C812,5,15)&gt;$T$799)),0,IF(DATE($C812,5,15)&gt;=$X$799,$AA$799*(1+($U$799)/100)^MAX(0,$C812-$AD$799),IF(DATE($C812,5,15)&gt;=$W$799,$Z$799*(1+($U$799)/100)^MAX(0,$C812-$AC$799),IF(DATE($C812,5,15)&gt;=$V$799,$Y$799*(1+($U$799)/100)^MAX(0,$C812-$AB$799),0)))))</f>
      </c>
      <c r="J812" s="43">
        <f>IF($S$799=0,0,IF(OR(DATE($C812,6,15)&lt;$S$799,AND($T$799&gt;0,DATE($C812,6,15)&gt;$T$799)),0,IF(DATE($C812,6,15)&gt;=$X$799,$AA$799*(1+($U$799)/100)^MAX(0,$C812-$AD$799),IF(DATE($C812,6,15)&gt;=$W$799,$Z$799*(1+($U$799)/100)^MAX(0,$C812-$AC$799),IF(DATE($C812,6,15)&gt;=$V$799,$Y$799*(1+($U$799)/100)^MAX(0,$C812-$AB$799),0)))))</f>
      </c>
      <c r="K812" s="43">
        <f>IF($S$799=0,0,IF(OR(DATE($C812,7,15)&lt;$S$799,AND($T$799&gt;0,DATE($C812,7,15)&gt;$T$799)),0,IF(DATE($C812,7,15)&gt;=$X$799,$AA$799*(1+($U$799)/100)^MAX(0,$C812-$AD$799),IF(DATE($C812,7,15)&gt;=$W$799,$Z$799*(1+($U$799)/100)^MAX(0,$C812-$AC$799),IF(DATE($C812,7,15)&gt;=$V$799,$Y$799*(1+($U$799)/100)^MAX(0,$C812-$AB$799),0)))))</f>
      </c>
      <c r="L812" s="43">
        <f>IF($S$799=0,0,IF(OR(DATE($C812,8,15)&lt;$S$799,AND($T$799&gt;0,DATE($C812,8,15)&gt;$T$799)),0,IF(DATE($C812,8,15)&gt;=$X$799,$AA$799*(1+($U$799)/100)^MAX(0,$C812-$AD$799),IF(DATE($C812,8,15)&gt;=$W$799,$Z$799*(1+($U$799)/100)^MAX(0,$C812-$AC$799),IF(DATE($C812,8,15)&gt;=$V$799,$Y$799*(1+($U$799)/100)^MAX(0,$C812-$AB$799),0)))))</f>
      </c>
      <c r="M812" s="43">
        <f>IF($S$799=0,0,IF(OR(DATE($C812,9,15)&lt;$S$799,AND($T$799&gt;0,DATE($C812,9,15)&gt;$T$799)),0,IF(DATE($C812,9,15)&gt;=$X$799,$AA$799*(1+($U$799)/100)^MAX(0,$C812-$AD$799),IF(DATE($C812,9,15)&gt;=$W$799,$Z$799*(1+($U$799)/100)^MAX(0,$C812-$AC$799),IF(DATE($C812,9,15)&gt;=$V$799,$Y$799*(1+($U$799)/100)^MAX(0,$C812-$AB$799),0)))))</f>
      </c>
      <c r="N812" s="43">
        <f>IF($S$799=0,0,IF(OR(DATE($C812,10,15)&lt;$S$799,AND($T$799&gt;0,DATE($C812,10,15)&gt;$T$799)),0,IF(DATE($C812,10,15)&gt;=$X$799,$AA$799*(1+($U$799)/100)^MAX(0,$C812-$AD$799),IF(DATE($C812,10,15)&gt;=$W$799,$Z$799*(1+($U$799)/100)^MAX(0,$C812-$AC$799),IF(DATE($C812,10,15)&gt;=$V$799,$Y$799*(1+($U$799)/100)^MAX(0,$C812-$AB$799),0)))))</f>
      </c>
      <c r="O812" s="43">
        <f>IF($S$799=0,0,IF(OR(DATE($C812,11,15)&lt;$S$799,AND($T$799&gt;0,DATE($C812,11,15)&gt;$T$799)),0,IF(DATE($C812,11,15)&gt;=$X$799,$AA$799*(1+($U$799)/100)^MAX(0,$C812-$AD$799),IF(DATE($C812,11,15)&gt;=$W$799,$Z$799*(1+($U$799)/100)^MAX(0,$C812-$AC$799),IF(DATE($C812,11,15)&gt;=$V$799,$Y$799*(1+($U$799)/100)^MAX(0,$C812-$AB$799),0)))))</f>
      </c>
      <c r="P812" s="43">
        <f>IF($S$799=0,0,IF(OR(DATE($C812,12,15)&lt;$S$799,AND($T$799&gt;0,DATE($C812,12,15)&gt;$T$799)),0,IF(DATE($C812,12,15)&gt;=$X$799,$AA$799*(1+($U$799)/100)^MAX(0,$C812-$AD$799),IF(DATE($C812,12,15)&gt;=$W$799,$Z$799*(1+($U$799)/100)^MAX(0,$C812-$AC$799),IF(DATE($C812,12,15)&gt;=$V$799,$Y$799*(1+($U$799)/100)^MAX(0,$C812-$AB$799),0)))))</f>
      </c>
      <c r="Q812" s="43">
        <f>SUM($E812:$P812)</f>
      </c>
    </row>
    <row r="813">
      <c r="A813"/>
      <c r="B813">
        <v>26</v>
      </c>
      <c r="C813" s="43">
        <f>Jahr+14</f>
      </c>
      <c r="D813" s="43">
        <f>INDEX(MvObj,26)</f>
      </c>
      <c r="E813" s="43">
        <f>IF($S$799=0,0,IF(OR(DATE($C813,1,15)&lt;$S$799,AND($T$799&gt;0,DATE($C813,1,15)&gt;$T$799)),0,IF(DATE($C813,1,15)&gt;=$X$799,$AA$799*(1+($U$799)/100)^MAX(0,$C813-$AD$799),IF(DATE($C813,1,15)&gt;=$W$799,$Z$799*(1+($U$799)/100)^MAX(0,$C813-$AC$799),IF(DATE($C813,1,15)&gt;=$V$799,$Y$799*(1+($U$799)/100)^MAX(0,$C813-$AB$799),0)))))</f>
      </c>
      <c r="F813" s="43">
        <f>IF($S$799=0,0,IF(OR(DATE($C813,2,15)&lt;$S$799,AND($T$799&gt;0,DATE($C813,2,15)&gt;$T$799)),0,IF(DATE($C813,2,15)&gt;=$X$799,$AA$799*(1+($U$799)/100)^MAX(0,$C813-$AD$799),IF(DATE($C813,2,15)&gt;=$W$799,$Z$799*(1+($U$799)/100)^MAX(0,$C813-$AC$799),IF(DATE($C813,2,15)&gt;=$V$799,$Y$799*(1+($U$799)/100)^MAX(0,$C813-$AB$799),0)))))</f>
      </c>
      <c r="G813" s="43">
        <f>IF($S$799=0,0,IF(OR(DATE($C813,3,15)&lt;$S$799,AND($T$799&gt;0,DATE($C813,3,15)&gt;$T$799)),0,IF(DATE($C813,3,15)&gt;=$X$799,$AA$799*(1+($U$799)/100)^MAX(0,$C813-$AD$799),IF(DATE($C813,3,15)&gt;=$W$799,$Z$799*(1+($U$799)/100)^MAX(0,$C813-$AC$799),IF(DATE($C813,3,15)&gt;=$V$799,$Y$799*(1+($U$799)/100)^MAX(0,$C813-$AB$799),0)))))</f>
      </c>
      <c r="H813" s="43">
        <f>IF($S$799=0,0,IF(OR(DATE($C813,4,15)&lt;$S$799,AND($T$799&gt;0,DATE($C813,4,15)&gt;$T$799)),0,IF(DATE($C813,4,15)&gt;=$X$799,$AA$799*(1+($U$799)/100)^MAX(0,$C813-$AD$799),IF(DATE($C813,4,15)&gt;=$W$799,$Z$799*(1+($U$799)/100)^MAX(0,$C813-$AC$799),IF(DATE($C813,4,15)&gt;=$V$799,$Y$799*(1+($U$799)/100)^MAX(0,$C813-$AB$799),0)))))</f>
      </c>
      <c r="I813" s="43">
        <f>IF($S$799=0,0,IF(OR(DATE($C813,5,15)&lt;$S$799,AND($T$799&gt;0,DATE($C813,5,15)&gt;$T$799)),0,IF(DATE($C813,5,15)&gt;=$X$799,$AA$799*(1+($U$799)/100)^MAX(0,$C813-$AD$799),IF(DATE($C813,5,15)&gt;=$W$799,$Z$799*(1+($U$799)/100)^MAX(0,$C813-$AC$799),IF(DATE($C813,5,15)&gt;=$V$799,$Y$799*(1+($U$799)/100)^MAX(0,$C813-$AB$799),0)))))</f>
      </c>
      <c r="J813" s="43">
        <f>IF($S$799=0,0,IF(OR(DATE($C813,6,15)&lt;$S$799,AND($T$799&gt;0,DATE($C813,6,15)&gt;$T$799)),0,IF(DATE($C813,6,15)&gt;=$X$799,$AA$799*(1+($U$799)/100)^MAX(0,$C813-$AD$799),IF(DATE($C813,6,15)&gt;=$W$799,$Z$799*(1+($U$799)/100)^MAX(0,$C813-$AC$799),IF(DATE($C813,6,15)&gt;=$V$799,$Y$799*(1+($U$799)/100)^MAX(0,$C813-$AB$799),0)))))</f>
      </c>
      <c r="K813" s="43">
        <f>IF($S$799=0,0,IF(OR(DATE($C813,7,15)&lt;$S$799,AND($T$799&gt;0,DATE($C813,7,15)&gt;$T$799)),0,IF(DATE($C813,7,15)&gt;=$X$799,$AA$799*(1+($U$799)/100)^MAX(0,$C813-$AD$799),IF(DATE($C813,7,15)&gt;=$W$799,$Z$799*(1+($U$799)/100)^MAX(0,$C813-$AC$799),IF(DATE($C813,7,15)&gt;=$V$799,$Y$799*(1+($U$799)/100)^MAX(0,$C813-$AB$799),0)))))</f>
      </c>
      <c r="L813" s="43">
        <f>IF($S$799=0,0,IF(OR(DATE($C813,8,15)&lt;$S$799,AND($T$799&gt;0,DATE($C813,8,15)&gt;$T$799)),0,IF(DATE($C813,8,15)&gt;=$X$799,$AA$799*(1+($U$799)/100)^MAX(0,$C813-$AD$799),IF(DATE($C813,8,15)&gt;=$W$799,$Z$799*(1+($U$799)/100)^MAX(0,$C813-$AC$799),IF(DATE($C813,8,15)&gt;=$V$799,$Y$799*(1+($U$799)/100)^MAX(0,$C813-$AB$799),0)))))</f>
      </c>
      <c r="M813" s="43">
        <f>IF($S$799=0,0,IF(OR(DATE($C813,9,15)&lt;$S$799,AND($T$799&gt;0,DATE($C813,9,15)&gt;$T$799)),0,IF(DATE($C813,9,15)&gt;=$X$799,$AA$799*(1+($U$799)/100)^MAX(0,$C813-$AD$799),IF(DATE($C813,9,15)&gt;=$W$799,$Z$799*(1+($U$799)/100)^MAX(0,$C813-$AC$799),IF(DATE($C813,9,15)&gt;=$V$799,$Y$799*(1+($U$799)/100)^MAX(0,$C813-$AB$799),0)))))</f>
      </c>
      <c r="N813" s="43">
        <f>IF($S$799=0,0,IF(OR(DATE($C813,10,15)&lt;$S$799,AND($T$799&gt;0,DATE($C813,10,15)&gt;$T$799)),0,IF(DATE($C813,10,15)&gt;=$X$799,$AA$799*(1+($U$799)/100)^MAX(0,$C813-$AD$799),IF(DATE($C813,10,15)&gt;=$W$799,$Z$799*(1+($U$799)/100)^MAX(0,$C813-$AC$799),IF(DATE($C813,10,15)&gt;=$V$799,$Y$799*(1+($U$799)/100)^MAX(0,$C813-$AB$799),0)))))</f>
      </c>
      <c r="O813" s="43">
        <f>IF($S$799=0,0,IF(OR(DATE($C813,11,15)&lt;$S$799,AND($T$799&gt;0,DATE($C813,11,15)&gt;$T$799)),0,IF(DATE($C813,11,15)&gt;=$X$799,$AA$799*(1+($U$799)/100)^MAX(0,$C813-$AD$799),IF(DATE($C813,11,15)&gt;=$W$799,$Z$799*(1+($U$799)/100)^MAX(0,$C813-$AC$799),IF(DATE($C813,11,15)&gt;=$V$799,$Y$799*(1+($U$799)/100)^MAX(0,$C813-$AB$799),0)))))</f>
      </c>
      <c r="P813" s="43">
        <f>IF($S$799=0,0,IF(OR(DATE($C813,12,15)&lt;$S$799,AND($T$799&gt;0,DATE($C813,12,15)&gt;$T$799)),0,IF(DATE($C813,12,15)&gt;=$X$799,$AA$799*(1+($U$799)/100)^MAX(0,$C813-$AD$799),IF(DATE($C813,12,15)&gt;=$W$799,$Z$799*(1+($U$799)/100)^MAX(0,$C813-$AC$799),IF(DATE($C813,12,15)&gt;=$V$799,$Y$799*(1+($U$799)/100)^MAX(0,$C813-$AB$799),0)))))</f>
      </c>
      <c r="Q813" s="43">
        <f>SUM($E813:$P813)</f>
      </c>
    </row>
    <row r="814">
      <c r="A814"/>
      <c r="B814">
        <v>26</v>
      </c>
      <c r="C814" s="43">
        <f>Jahr+15</f>
      </c>
      <c r="D814" s="43">
        <f>INDEX(MvObj,26)</f>
      </c>
      <c r="E814" s="43">
        <f>IF($S$799=0,0,IF(OR(DATE($C814,1,15)&lt;$S$799,AND($T$799&gt;0,DATE($C814,1,15)&gt;$T$799)),0,IF(DATE($C814,1,15)&gt;=$X$799,$AA$799*(1+($U$799)/100)^MAX(0,$C814-$AD$799),IF(DATE($C814,1,15)&gt;=$W$799,$Z$799*(1+($U$799)/100)^MAX(0,$C814-$AC$799),IF(DATE($C814,1,15)&gt;=$V$799,$Y$799*(1+($U$799)/100)^MAX(0,$C814-$AB$799),0)))))</f>
      </c>
      <c r="F814" s="43">
        <f>IF($S$799=0,0,IF(OR(DATE($C814,2,15)&lt;$S$799,AND($T$799&gt;0,DATE($C814,2,15)&gt;$T$799)),0,IF(DATE($C814,2,15)&gt;=$X$799,$AA$799*(1+($U$799)/100)^MAX(0,$C814-$AD$799),IF(DATE($C814,2,15)&gt;=$W$799,$Z$799*(1+($U$799)/100)^MAX(0,$C814-$AC$799),IF(DATE($C814,2,15)&gt;=$V$799,$Y$799*(1+($U$799)/100)^MAX(0,$C814-$AB$799),0)))))</f>
      </c>
      <c r="G814" s="43">
        <f>IF($S$799=0,0,IF(OR(DATE($C814,3,15)&lt;$S$799,AND($T$799&gt;0,DATE($C814,3,15)&gt;$T$799)),0,IF(DATE($C814,3,15)&gt;=$X$799,$AA$799*(1+($U$799)/100)^MAX(0,$C814-$AD$799),IF(DATE($C814,3,15)&gt;=$W$799,$Z$799*(1+($U$799)/100)^MAX(0,$C814-$AC$799),IF(DATE($C814,3,15)&gt;=$V$799,$Y$799*(1+($U$799)/100)^MAX(0,$C814-$AB$799),0)))))</f>
      </c>
      <c r="H814" s="43">
        <f>IF($S$799=0,0,IF(OR(DATE($C814,4,15)&lt;$S$799,AND($T$799&gt;0,DATE($C814,4,15)&gt;$T$799)),0,IF(DATE($C814,4,15)&gt;=$X$799,$AA$799*(1+($U$799)/100)^MAX(0,$C814-$AD$799),IF(DATE($C814,4,15)&gt;=$W$799,$Z$799*(1+($U$799)/100)^MAX(0,$C814-$AC$799),IF(DATE($C814,4,15)&gt;=$V$799,$Y$799*(1+($U$799)/100)^MAX(0,$C814-$AB$799),0)))))</f>
      </c>
      <c r="I814" s="43">
        <f>IF($S$799=0,0,IF(OR(DATE($C814,5,15)&lt;$S$799,AND($T$799&gt;0,DATE($C814,5,15)&gt;$T$799)),0,IF(DATE($C814,5,15)&gt;=$X$799,$AA$799*(1+($U$799)/100)^MAX(0,$C814-$AD$799),IF(DATE($C814,5,15)&gt;=$W$799,$Z$799*(1+($U$799)/100)^MAX(0,$C814-$AC$799),IF(DATE($C814,5,15)&gt;=$V$799,$Y$799*(1+($U$799)/100)^MAX(0,$C814-$AB$799),0)))))</f>
      </c>
      <c r="J814" s="43">
        <f>IF($S$799=0,0,IF(OR(DATE($C814,6,15)&lt;$S$799,AND($T$799&gt;0,DATE($C814,6,15)&gt;$T$799)),0,IF(DATE($C814,6,15)&gt;=$X$799,$AA$799*(1+($U$799)/100)^MAX(0,$C814-$AD$799),IF(DATE($C814,6,15)&gt;=$W$799,$Z$799*(1+($U$799)/100)^MAX(0,$C814-$AC$799),IF(DATE($C814,6,15)&gt;=$V$799,$Y$799*(1+($U$799)/100)^MAX(0,$C814-$AB$799),0)))))</f>
      </c>
      <c r="K814" s="43">
        <f>IF($S$799=0,0,IF(OR(DATE($C814,7,15)&lt;$S$799,AND($T$799&gt;0,DATE($C814,7,15)&gt;$T$799)),0,IF(DATE($C814,7,15)&gt;=$X$799,$AA$799*(1+($U$799)/100)^MAX(0,$C814-$AD$799),IF(DATE($C814,7,15)&gt;=$W$799,$Z$799*(1+($U$799)/100)^MAX(0,$C814-$AC$799),IF(DATE($C814,7,15)&gt;=$V$799,$Y$799*(1+($U$799)/100)^MAX(0,$C814-$AB$799),0)))))</f>
      </c>
      <c r="L814" s="43">
        <f>IF($S$799=0,0,IF(OR(DATE($C814,8,15)&lt;$S$799,AND($T$799&gt;0,DATE($C814,8,15)&gt;$T$799)),0,IF(DATE($C814,8,15)&gt;=$X$799,$AA$799*(1+($U$799)/100)^MAX(0,$C814-$AD$799),IF(DATE($C814,8,15)&gt;=$W$799,$Z$799*(1+($U$799)/100)^MAX(0,$C814-$AC$799),IF(DATE($C814,8,15)&gt;=$V$799,$Y$799*(1+($U$799)/100)^MAX(0,$C814-$AB$799),0)))))</f>
      </c>
      <c r="M814" s="43">
        <f>IF($S$799=0,0,IF(OR(DATE($C814,9,15)&lt;$S$799,AND($T$799&gt;0,DATE($C814,9,15)&gt;$T$799)),0,IF(DATE($C814,9,15)&gt;=$X$799,$AA$799*(1+($U$799)/100)^MAX(0,$C814-$AD$799),IF(DATE($C814,9,15)&gt;=$W$799,$Z$799*(1+($U$799)/100)^MAX(0,$C814-$AC$799),IF(DATE($C814,9,15)&gt;=$V$799,$Y$799*(1+($U$799)/100)^MAX(0,$C814-$AB$799),0)))))</f>
      </c>
      <c r="N814" s="43">
        <f>IF($S$799=0,0,IF(OR(DATE($C814,10,15)&lt;$S$799,AND($T$799&gt;0,DATE($C814,10,15)&gt;$T$799)),0,IF(DATE($C814,10,15)&gt;=$X$799,$AA$799*(1+($U$799)/100)^MAX(0,$C814-$AD$799),IF(DATE($C814,10,15)&gt;=$W$799,$Z$799*(1+($U$799)/100)^MAX(0,$C814-$AC$799),IF(DATE($C814,10,15)&gt;=$V$799,$Y$799*(1+($U$799)/100)^MAX(0,$C814-$AB$799),0)))))</f>
      </c>
      <c r="O814" s="43">
        <f>IF($S$799=0,0,IF(OR(DATE($C814,11,15)&lt;$S$799,AND($T$799&gt;0,DATE($C814,11,15)&gt;$T$799)),0,IF(DATE($C814,11,15)&gt;=$X$799,$AA$799*(1+($U$799)/100)^MAX(0,$C814-$AD$799),IF(DATE($C814,11,15)&gt;=$W$799,$Z$799*(1+($U$799)/100)^MAX(0,$C814-$AC$799),IF(DATE($C814,11,15)&gt;=$V$799,$Y$799*(1+($U$799)/100)^MAX(0,$C814-$AB$799),0)))))</f>
      </c>
      <c r="P814" s="43">
        <f>IF($S$799=0,0,IF(OR(DATE($C814,12,15)&lt;$S$799,AND($T$799&gt;0,DATE($C814,12,15)&gt;$T$799)),0,IF(DATE($C814,12,15)&gt;=$X$799,$AA$799*(1+($U$799)/100)^MAX(0,$C814-$AD$799),IF(DATE($C814,12,15)&gt;=$W$799,$Z$799*(1+($U$799)/100)^MAX(0,$C814-$AC$799),IF(DATE($C814,12,15)&gt;=$V$799,$Y$799*(1+($U$799)/100)^MAX(0,$C814-$AB$799),0)))))</f>
      </c>
      <c r="Q814" s="43">
        <f>SUM($E814:$P814)</f>
      </c>
    </row>
    <row r="815">
      <c r="A815"/>
      <c r="B815">
        <v>26</v>
      </c>
      <c r="C815" s="43">
        <f>Jahr+16</f>
      </c>
      <c r="D815" s="43">
        <f>INDEX(MvObj,26)</f>
      </c>
      <c r="E815" s="43">
        <f>IF($S$799=0,0,IF(OR(DATE($C815,1,15)&lt;$S$799,AND($T$799&gt;0,DATE($C815,1,15)&gt;$T$799)),0,IF(DATE($C815,1,15)&gt;=$X$799,$AA$799*(1+($U$799)/100)^MAX(0,$C815-$AD$799),IF(DATE($C815,1,15)&gt;=$W$799,$Z$799*(1+($U$799)/100)^MAX(0,$C815-$AC$799),IF(DATE($C815,1,15)&gt;=$V$799,$Y$799*(1+($U$799)/100)^MAX(0,$C815-$AB$799),0)))))</f>
      </c>
      <c r="F815" s="43">
        <f>IF($S$799=0,0,IF(OR(DATE($C815,2,15)&lt;$S$799,AND($T$799&gt;0,DATE($C815,2,15)&gt;$T$799)),0,IF(DATE($C815,2,15)&gt;=$X$799,$AA$799*(1+($U$799)/100)^MAX(0,$C815-$AD$799),IF(DATE($C815,2,15)&gt;=$W$799,$Z$799*(1+($U$799)/100)^MAX(0,$C815-$AC$799),IF(DATE($C815,2,15)&gt;=$V$799,$Y$799*(1+($U$799)/100)^MAX(0,$C815-$AB$799),0)))))</f>
      </c>
      <c r="G815" s="43">
        <f>IF($S$799=0,0,IF(OR(DATE($C815,3,15)&lt;$S$799,AND($T$799&gt;0,DATE($C815,3,15)&gt;$T$799)),0,IF(DATE($C815,3,15)&gt;=$X$799,$AA$799*(1+($U$799)/100)^MAX(0,$C815-$AD$799),IF(DATE($C815,3,15)&gt;=$W$799,$Z$799*(1+($U$799)/100)^MAX(0,$C815-$AC$799),IF(DATE($C815,3,15)&gt;=$V$799,$Y$799*(1+($U$799)/100)^MAX(0,$C815-$AB$799),0)))))</f>
      </c>
      <c r="H815" s="43">
        <f>IF($S$799=0,0,IF(OR(DATE($C815,4,15)&lt;$S$799,AND($T$799&gt;0,DATE($C815,4,15)&gt;$T$799)),0,IF(DATE($C815,4,15)&gt;=$X$799,$AA$799*(1+($U$799)/100)^MAX(0,$C815-$AD$799),IF(DATE($C815,4,15)&gt;=$W$799,$Z$799*(1+($U$799)/100)^MAX(0,$C815-$AC$799),IF(DATE($C815,4,15)&gt;=$V$799,$Y$799*(1+($U$799)/100)^MAX(0,$C815-$AB$799),0)))))</f>
      </c>
      <c r="I815" s="43">
        <f>IF($S$799=0,0,IF(OR(DATE($C815,5,15)&lt;$S$799,AND($T$799&gt;0,DATE($C815,5,15)&gt;$T$799)),0,IF(DATE($C815,5,15)&gt;=$X$799,$AA$799*(1+($U$799)/100)^MAX(0,$C815-$AD$799),IF(DATE($C815,5,15)&gt;=$W$799,$Z$799*(1+($U$799)/100)^MAX(0,$C815-$AC$799),IF(DATE($C815,5,15)&gt;=$V$799,$Y$799*(1+($U$799)/100)^MAX(0,$C815-$AB$799),0)))))</f>
      </c>
      <c r="J815" s="43">
        <f>IF($S$799=0,0,IF(OR(DATE($C815,6,15)&lt;$S$799,AND($T$799&gt;0,DATE($C815,6,15)&gt;$T$799)),0,IF(DATE($C815,6,15)&gt;=$X$799,$AA$799*(1+($U$799)/100)^MAX(0,$C815-$AD$799),IF(DATE($C815,6,15)&gt;=$W$799,$Z$799*(1+($U$799)/100)^MAX(0,$C815-$AC$799),IF(DATE($C815,6,15)&gt;=$V$799,$Y$799*(1+($U$799)/100)^MAX(0,$C815-$AB$799),0)))))</f>
      </c>
      <c r="K815" s="43">
        <f>IF($S$799=0,0,IF(OR(DATE($C815,7,15)&lt;$S$799,AND($T$799&gt;0,DATE($C815,7,15)&gt;$T$799)),0,IF(DATE($C815,7,15)&gt;=$X$799,$AA$799*(1+($U$799)/100)^MAX(0,$C815-$AD$799),IF(DATE($C815,7,15)&gt;=$W$799,$Z$799*(1+($U$799)/100)^MAX(0,$C815-$AC$799),IF(DATE($C815,7,15)&gt;=$V$799,$Y$799*(1+($U$799)/100)^MAX(0,$C815-$AB$799),0)))))</f>
      </c>
      <c r="L815" s="43">
        <f>IF($S$799=0,0,IF(OR(DATE($C815,8,15)&lt;$S$799,AND($T$799&gt;0,DATE($C815,8,15)&gt;$T$799)),0,IF(DATE($C815,8,15)&gt;=$X$799,$AA$799*(1+($U$799)/100)^MAX(0,$C815-$AD$799),IF(DATE($C815,8,15)&gt;=$W$799,$Z$799*(1+($U$799)/100)^MAX(0,$C815-$AC$799),IF(DATE($C815,8,15)&gt;=$V$799,$Y$799*(1+($U$799)/100)^MAX(0,$C815-$AB$799),0)))))</f>
      </c>
      <c r="M815" s="43">
        <f>IF($S$799=0,0,IF(OR(DATE($C815,9,15)&lt;$S$799,AND($T$799&gt;0,DATE($C815,9,15)&gt;$T$799)),0,IF(DATE($C815,9,15)&gt;=$X$799,$AA$799*(1+($U$799)/100)^MAX(0,$C815-$AD$799),IF(DATE($C815,9,15)&gt;=$W$799,$Z$799*(1+($U$799)/100)^MAX(0,$C815-$AC$799),IF(DATE($C815,9,15)&gt;=$V$799,$Y$799*(1+($U$799)/100)^MAX(0,$C815-$AB$799),0)))))</f>
      </c>
      <c r="N815" s="43">
        <f>IF($S$799=0,0,IF(OR(DATE($C815,10,15)&lt;$S$799,AND($T$799&gt;0,DATE($C815,10,15)&gt;$T$799)),0,IF(DATE($C815,10,15)&gt;=$X$799,$AA$799*(1+($U$799)/100)^MAX(0,$C815-$AD$799),IF(DATE($C815,10,15)&gt;=$W$799,$Z$799*(1+($U$799)/100)^MAX(0,$C815-$AC$799),IF(DATE($C815,10,15)&gt;=$V$799,$Y$799*(1+($U$799)/100)^MAX(0,$C815-$AB$799),0)))))</f>
      </c>
      <c r="O815" s="43">
        <f>IF($S$799=0,0,IF(OR(DATE($C815,11,15)&lt;$S$799,AND($T$799&gt;0,DATE($C815,11,15)&gt;$T$799)),0,IF(DATE($C815,11,15)&gt;=$X$799,$AA$799*(1+($U$799)/100)^MAX(0,$C815-$AD$799),IF(DATE($C815,11,15)&gt;=$W$799,$Z$799*(1+($U$799)/100)^MAX(0,$C815-$AC$799),IF(DATE($C815,11,15)&gt;=$V$799,$Y$799*(1+($U$799)/100)^MAX(0,$C815-$AB$799),0)))))</f>
      </c>
      <c r="P815" s="43">
        <f>IF($S$799=0,0,IF(OR(DATE($C815,12,15)&lt;$S$799,AND($T$799&gt;0,DATE($C815,12,15)&gt;$T$799)),0,IF(DATE($C815,12,15)&gt;=$X$799,$AA$799*(1+($U$799)/100)^MAX(0,$C815-$AD$799),IF(DATE($C815,12,15)&gt;=$W$799,$Z$799*(1+($U$799)/100)^MAX(0,$C815-$AC$799),IF(DATE($C815,12,15)&gt;=$V$799,$Y$799*(1+($U$799)/100)^MAX(0,$C815-$AB$799),0)))))</f>
      </c>
      <c r="Q815" s="43">
        <f>SUM($E815:$P815)</f>
      </c>
    </row>
    <row r="816">
      <c r="A816"/>
      <c r="B816">
        <v>26</v>
      </c>
      <c r="C816" s="43">
        <f>Jahr+17</f>
      </c>
      <c r="D816" s="43">
        <f>INDEX(MvObj,26)</f>
      </c>
      <c r="E816" s="43">
        <f>IF($S$799=0,0,IF(OR(DATE($C816,1,15)&lt;$S$799,AND($T$799&gt;0,DATE($C816,1,15)&gt;$T$799)),0,IF(DATE($C816,1,15)&gt;=$X$799,$AA$799*(1+($U$799)/100)^MAX(0,$C816-$AD$799),IF(DATE($C816,1,15)&gt;=$W$799,$Z$799*(1+($U$799)/100)^MAX(0,$C816-$AC$799),IF(DATE($C816,1,15)&gt;=$V$799,$Y$799*(1+($U$799)/100)^MAX(0,$C816-$AB$799),0)))))</f>
      </c>
      <c r="F816" s="43">
        <f>IF($S$799=0,0,IF(OR(DATE($C816,2,15)&lt;$S$799,AND($T$799&gt;0,DATE($C816,2,15)&gt;$T$799)),0,IF(DATE($C816,2,15)&gt;=$X$799,$AA$799*(1+($U$799)/100)^MAX(0,$C816-$AD$799),IF(DATE($C816,2,15)&gt;=$W$799,$Z$799*(1+($U$799)/100)^MAX(0,$C816-$AC$799),IF(DATE($C816,2,15)&gt;=$V$799,$Y$799*(1+($U$799)/100)^MAX(0,$C816-$AB$799),0)))))</f>
      </c>
      <c r="G816" s="43">
        <f>IF($S$799=0,0,IF(OR(DATE($C816,3,15)&lt;$S$799,AND($T$799&gt;0,DATE($C816,3,15)&gt;$T$799)),0,IF(DATE($C816,3,15)&gt;=$X$799,$AA$799*(1+($U$799)/100)^MAX(0,$C816-$AD$799),IF(DATE($C816,3,15)&gt;=$W$799,$Z$799*(1+($U$799)/100)^MAX(0,$C816-$AC$799),IF(DATE($C816,3,15)&gt;=$V$799,$Y$799*(1+($U$799)/100)^MAX(0,$C816-$AB$799),0)))))</f>
      </c>
      <c r="H816" s="43">
        <f>IF($S$799=0,0,IF(OR(DATE($C816,4,15)&lt;$S$799,AND($T$799&gt;0,DATE($C816,4,15)&gt;$T$799)),0,IF(DATE($C816,4,15)&gt;=$X$799,$AA$799*(1+($U$799)/100)^MAX(0,$C816-$AD$799),IF(DATE($C816,4,15)&gt;=$W$799,$Z$799*(1+($U$799)/100)^MAX(0,$C816-$AC$799),IF(DATE($C816,4,15)&gt;=$V$799,$Y$799*(1+($U$799)/100)^MAX(0,$C816-$AB$799),0)))))</f>
      </c>
      <c r="I816" s="43">
        <f>IF($S$799=0,0,IF(OR(DATE($C816,5,15)&lt;$S$799,AND($T$799&gt;0,DATE($C816,5,15)&gt;$T$799)),0,IF(DATE($C816,5,15)&gt;=$X$799,$AA$799*(1+($U$799)/100)^MAX(0,$C816-$AD$799),IF(DATE($C816,5,15)&gt;=$W$799,$Z$799*(1+($U$799)/100)^MAX(0,$C816-$AC$799),IF(DATE($C816,5,15)&gt;=$V$799,$Y$799*(1+($U$799)/100)^MAX(0,$C816-$AB$799),0)))))</f>
      </c>
      <c r="J816" s="43">
        <f>IF($S$799=0,0,IF(OR(DATE($C816,6,15)&lt;$S$799,AND($T$799&gt;0,DATE($C816,6,15)&gt;$T$799)),0,IF(DATE($C816,6,15)&gt;=$X$799,$AA$799*(1+($U$799)/100)^MAX(0,$C816-$AD$799),IF(DATE($C816,6,15)&gt;=$W$799,$Z$799*(1+($U$799)/100)^MAX(0,$C816-$AC$799),IF(DATE($C816,6,15)&gt;=$V$799,$Y$799*(1+($U$799)/100)^MAX(0,$C816-$AB$799),0)))))</f>
      </c>
      <c r="K816" s="43">
        <f>IF($S$799=0,0,IF(OR(DATE($C816,7,15)&lt;$S$799,AND($T$799&gt;0,DATE($C816,7,15)&gt;$T$799)),0,IF(DATE($C816,7,15)&gt;=$X$799,$AA$799*(1+($U$799)/100)^MAX(0,$C816-$AD$799),IF(DATE($C816,7,15)&gt;=$W$799,$Z$799*(1+($U$799)/100)^MAX(0,$C816-$AC$799),IF(DATE($C816,7,15)&gt;=$V$799,$Y$799*(1+($U$799)/100)^MAX(0,$C816-$AB$799),0)))))</f>
      </c>
      <c r="L816" s="43">
        <f>IF($S$799=0,0,IF(OR(DATE($C816,8,15)&lt;$S$799,AND($T$799&gt;0,DATE($C816,8,15)&gt;$T$799)),0,IF(DATE($C816,8,15)&gt;=$X$799,$AA$799*(1+($U$799)/100)^MAX(0,$C816-$AD$799),IF(DATE($C816,8,15)&gt;=$W$799,$Z$799*(1+($U$799)/100)^MAX(0,$C816-$AC$799),IF(DATE($C816,8,15)&gt;=$V$799,$Y$799*(1+($U$799)/100)^MAX(0,$C816-$AB$799),0)))))</f>
      </c>
      <c r="M816" s="43">
        <f>IF($S$799=0,0,IF(OR(DATE($C816,9,15)&lt;$S$799,AND($T$799&gt;0,DATE($C816,9,15)&gt;$T$799)),0,IF(DATE($C816,9,15)&gt;=$X$799,$AA$799*(1+($U$799)/100)^MAX(0,$C816-$AD$799),IF(DATE($C816,9,15)&gt;=$W$799,$Z$799*(1+($U$799)/100)^MAX(0,$C816-$AC$799),IF(DATE($C816,9,15)&gt;=$V$799,$Y$799*(1+($U$799)/100)^MAX(0,$C816-$AB$799),0)))))</f>
      </c>
      <c r="N816" s="43">
        <f>IF($S$799=0,0,IF(OR(DATE($C816,10,15)&lt;$S$799,AND($T$799&gt;0,DATE($C816,10,15)&gt;$T$799)),0,IF(DATE($C816,10,15)&gt;=$X$799,$AA$799*(1+($U$799)/100)^MAX(0,$C816-$AD$799),IF(DATE($C816,10,15)&gt;=$W$799,$Z$799*(1+($U$799)/100)^MAX(0,$C816-$AC$799),IF(DATE($C816,10,15)&gt;=$V$799,$Y$799*(1+($U$799)/100)^MAX(0,$C816-$AB$799),0)))))</f>
      </c>
      <c r="O816" s="43">
        <f>IF($S$799=0,0,IF(OR(DATE($C816,11,15)&lt;$S$799,AND($T$799&gt;0,DATE($C816,11,15)&gt;$T$799)),0,IF(DATE($C816,11,15)&gt;=$X$799,$AA$799*(1+($U$799)/100)^MAX(0,$C816-$AD$799),IF(DATE($C816,11,15)&gt;=$W$799,$Z$799*(1+($U$799)/100)^MAX(0,$C816-$AC$799),IF(DATE($C816,11,15)&gt;=$V$799,$Y$799*(1+($U$799)/100)^MAX(0,$C816-$AB$799),0)))))</f>
      </c>
      <c r="P816" s="43">
        <f>IF($S$799=0,0,IF(OR(DATE($C816,12,15)&lt;$S$799,AND($T$799&gt;0,DATE($C816,12,15)&gt;$T$799)),0,IF(DATE($C816,12,15)&gt;=$X$799,$AA$799*(1+($U$799)/100)^MAX(0,$C816-$AD$799),IF(DATE($C816,12,15)&gt;=$W$799,$Z$799*(1+($U$799)/100)^MAX(0,$C816-$AC$799),IF(DATE($C816,12,15)&gt;=$V$799,$Y$799*(1+($U$799)/100)^MAX(0,$C816-$AB$799),0)))))</f>
      </c>
      <c r="Q816" s="43">
        <f>SUM($E816:$P816)</f>
      </c>
    </row>
    <row r="817">
      <c r="A817"/>
      <c r="B817">
        <v>26</v>
      </c>
      <c r="C817" s="43">
        <f>Jahr+18</f>
      </c>
      <c r="D817" s="43">
        <f>INDEX(MvObj,26)</f>
      </c>
      <c r="E817" s="43">
        <f>IF($S$799=0,0,IF(OR(DATE($C817,1,15)&lt;$S$799,AND($T$799&gt;0,DATE($C817,1,15)&gt;$T$799)),0,IF(DATE($C817,1,15)&gt;=$X$799,$AA$799*(1+($U$799)/100)^MAX(0,$C817-$AD$799),IF(DATE($C817,1,15)&gt;=$W$799,$Z$799*(1+($U$799)/100)^MAX(0,$C817-$AC$799),IF(DATE($C817,1,15)&gt;=$V$799,$Y$799*(1+($U$799)/100)^MAX(0,$C817-$AB$799),0)))))</f>
      </c>
      <c r="F817" s="43">
        <f>IF($S$799=0,0,IF(OR(DATE($C817,2,15)&lt;$S$799,AND($T$799&gt;0,DATE($C817,2,15)&gt;$T$799)),0,IF(DATE($C817,2,15)&gt;=$X$799,$AA$799*(1+($U$799)/100)^MAX(0,$C817-$AD$799),IF(DATE($C817,2,15)&gt;=$W$799,$Z$799*(1+($U$799)/100)^MAX(0,$C817-$AC$799),IF(DATE($C817,2,15)&gt;=$V$799,$Y$799*(1+($U$799)/100)^MAX(0,$C817-$AB$799),0)))))</f>
      </c>
      <c r="G817" s="43">
        <f>IF($S$799=0,0,IF(OR(DATE($C817,3,15)&lt;$S$799,AND($T$799&gt;0,DATE($C817,3,15)&gt;$T$799)),0,IF(DATE($C817,3,15)&gt;=$X$799,$AA$799*(1+($U$799)/100)^MAX(0,$C817-$AD$799),IF(DATE($C817,3,15)&gt;=$W$799,$Z$799*(1+($U$799)/100)^MAX(0,$C817-$AC$799),IF(DATE($C817,3,15)&gt;=$V$799,$Y$799*(1+($U$799)/100)^MAX(0,$C817-$AB$799),0)))))</f>
      </c>
      <c r="H817" s="43">
        <f>IF($S$799=0,0,IF(OR(DATE($C817,4,15)&lt;$S$799,AND($T$799&gt;0,DATE($C817,4,15)&gt;$T$799)),0,IF(DATE($C817,4,15)&gt;=$X$799,$AA$799*(1+($U$799)/100)^MAX(0,$C817-$AD$799),IF(DATE($C817,4,15)&gt;=$W$799,$Z$799*(1+($U$799)/100)^MAX(0,$C817-$AC$799),IF(DATE($C817,4,15)&gt;=$V$799,$Y$799*(1+($U$799)/100)^MAX(0,$C817-$AB$799),0)))))</f>
      </c>
      <c r="I817" s="43">
        <f>IF($S$799=0,0,IF(OR(DATE($C817,5,15)&lt;$S$799,AND($T$799&gt;0,DATE($C817,5,15)&gt;$T$799)),0,IF(DATE($C817,5,15)&gt;=$X$799,$AA$799*(1+($U$799)/100)^MAX(0,$C817-$AD$799),IF(DATE($C817,5,15)&gt;=$W$799,$Z$799*(1+($U$799)/100)^MAX(0,$C817-$AC$799),IF(DATE($C817,5,15)&gt;=$V$799,$Y$799*(1+($U$799)/100)^MAX(0,$C817-$AB$799),0)))))</f>
      </c>
      <c r="J817" s="43">
        <f>IF($S$799=0,0,IF(OR(DATE($C817,6,15)&lt;$S$799,AND($T$799&gt;0,DATE($C817,6,15)&gt;$T$799)),0,IF(DATE($C817,6,15)&gt;=$X$799,$AA$799*(1+($U$799)/100)^MAX(0,$C817-$AD$799),IF(DATE($C817,6,15)&gt;=$W$799,$Z$799*(1+($U$799)/100)^MAX(0,$C817-$AC$799),IF(DATE($C817,6,15)&gt;=$V$799,$Y$799*(1+($U$799)/100)^MAX(0,$C817-$AB$799),0)))))</f>
      </c>
      <c r="K817" s="43">
        <f>IF($S$799=0,0,IF(OR(DATE($C817,7,15)&lt;$S$799,AND($T$799&gt;0,DATE($C817,7,15)&gt;$T$799)),0,IF(DATE($C817,7,15)&gt;=$X$799,$AA$799*(1+($U$799)/100)^MAX(0,$C817-$AD$799),IF(DATE($C817,7,15)&gt;=$W$799,$Z$799*(1+($U$799)/100)^MAX(0,$C817-$AC$799),IF(DATE($C817,7,15)&gt;=$V$799,$Y$799*(1+($U$799)/100)^MAX(0,$C817-$AB$799),0)))))</f>
      </c>
      <c r="L817" s="43">
        <f>IF($S$799=0,0,IF(OR(DATE($C817,8,15)&lt;$S$799,AND($T$799&gt;0,DATE($C817,8,15)&gt;$T$799)),0,IF(DATE($C817,8,15)&gt;=$X$799,$AA$799*(1+($U$799)/100)^MAX(0,$C817-$AD$799),IF(DATE($C817,8,15)&gt;=$W$799,$Z$799*(1+($U$799)/100)^MAX(0,$C817-$AC$799),IF(DATE($C817,8,15)&gt;=$V$799,$Y$799*(1+($U$799)/100)^MAX(0,$C817-$AB$799),0)))))</f>
      </c>
      <c r="M817" s="43">
        <f>IF($S$799=0,0,IF(OR(DATE($C817,9,15)&lt;$S$799,AND($T$799&gt;0,DATE($C817,9,15)&gt;$T$799)),0,IF(DATE($C817,9,15)&gt;=$X$799,$AA$799*(1+($U$799)/100)^MAX(0,$C817-$AD$799),IF(DATE($C817,9,15)&gt;=$W$799,$Z$799*(1+($U$799)/100)^MAX(0,$C817-$AC$799),IF(DATE($C817,9,15)&gt;=$V$799,$Y$799*(1+($U$799)/100)^MAX(0,$C817-$AB$799),0)))))</f>
      </c>
      <c r="N817" s="43">
        <f>IF($S$799=0,0,IF(OR(DATE($C817,10,15)&lt;$S$799,AND($T$799&gt;0,DATE($C817,10,15)&gt;$T$799)),0,IF(DATE($C817,10,15)&gt;=$X$799,$AA$799*(1+($U$799)/100)^MAX(0,$C817-$AD$799),IF(DATE($C817,10,15)&gt;=$W$799,$Z$799*(1+($U$799)/100)^MAX(0,$C817-$AC$799),IF(DATE($C817,10,15)&gt;=$V$799,$Y$799*(1+($U$799)/100)^MAX(0,$C817-$AB$799),0)))))</f>
      </c>
      <c r="O817" s="43">
        <f>IF($S$799=0,0,IF(OR(DATE($C817,11,15)&lt;$S$799,AND($T$799&gt;0,DATE($C817,11,15)&gt;$T$799)),0,IF(DATE($C817,11,15)&gt;=$X$799,$AA$799*(1+($U$799)/100)^MAX(0,$C817-$AD$799),IF(DATE($C817,11,15)&gt;=$W$799,$Z$799*(1+($U$799)/100)^MAX(0,$C817-$AC$799),IF(DATE($C817,11,15)&gt;=$V$799,$Y$799*(1+($U$799)/100)^MAX(0,$C817-$AB$799),0)))))</f>
      </c>
      <c r="P817" s="43">
        <f>IF($S$799=0,0,IF(OR(DATE($C817,12,15)&lt;$S$799,AND($T$799&gt;0,DATE($C817,12,15)&gt;$T$799)),0,IF(DATE($C817,12,15)&gt;=$X$799,$AA$799*(1+($U$799)/100)^MAX(0,$C817-$AD$799),IF(DATE($C817,12,15)&gt;=$W$799,$Z$799*(1+($U$799)/100)^MAX(0,$C817-$AC$799),IF(DATE($C817,12,15)&gt;=$V$799,$Y$799*(1+($U$799)/100)^MAX(0,$C817-$AB$799),0)))))</f>
      </c>
      <c r="Q817" s="43">
        <f>SUM($E817:$P817)</f>
      </c>
    </row>
    <row r="818">
      <c r="A818"/>
      <c r="B818">
        <v>26</v>
      </c>
      <c r="C818" s="43">
        <f>Jahr+19</f>
      </c>
      <c r="D818" s="43">
        <f>INDEX(MvObj,26)</f>
      </c>
      <c r="E818" s="43">
        <f>IF($S$799=0,0,IF(OR(DATE($C818,1,15)&lt;$S$799,AND($T$799&gt;0,DATE($C818,1,15)&gt;$T$799)),0,IF(DATE($C818,1,15)&gt;=$X$799,$AA$799*(1+($U$799)/100)^MAX(0,$C818-$AD$799),IF(DATE($C818,1,15)&gt;=$W$799,$Z$799*(1+($U$799)/100)^MAX(0,$C818-$AC$799),IF(DATE($C818,1,15)&gt;=$V$799,$Y$799*(1+($U$799)/100)^MAX(0,$C818-$AB$799),0)))))</f>
      </c>
      <c r="F818" s="43">
        <f>IF($S$799=0,0,IF(OR(DATE($C818,2,15)&lt;$S$799,AND($T$799&gt;0,DATE($C818,2,15)&gt;$T$799)),0,IF(DATE($C818,2,15)&gt;=$X$799,$AA$799*(1+($U$799)/100)^MAX(0,$C818-$AD$799),IF(DATE($C818,2,15)&gt;=$W$799,$Z$799*(1+($U$799)/100)^MAX(0,$C818-$AC$799),IF(DATE($C818,2,15)&gt;=$V$799,$Y$799*(1+($U$799)/100)^MAX(0,$C818-$AB$799),0)))))</f>
      </c>
      <c r="G818" s="43">
        <f>IF($S$799=0,0,IF(OR(DATE($C818,3,15)&lt;$S$799,AND($T$799&gt;0,DATE($C818,3,15)&gt;$T$799)),0,IF(DATE($C818,3,15)&gt;=$X$799,$AA$799*(1+($U$799)/100)^MAX(0,$C818-$AD$799),IF(DATE($C818,3,15)&gt;=$W$799,$Z$799*(1+($U$799)/100)^MAX(0,$C818-$AC$799),IF(DATE($C818,3,15)&gt;=$V$799,$Y$799*(1+($U$799)/100)^MAX(0,$C818-$AB$799),0)))))</f>
      </c>
      <c r="H818" s="43">
        <f>IF($S$799=0,0,IF(OR(DATE($C818,4,15)&lt;$S$799,AND($T$799&gt;0,DATE($C818,4,15)&gt;$T$799)),0,IF(DATE($C818,4,15)&gt;=$X$799,$AA$799*(1+($U$799)/100)^MAX(0,$C818-$AD$799),IF(DATE($C818,4,15)&gt;=$W$799,$Z$799*(1+($U$799)/100)^MAX(0,$C818-$AC$799),IF(DATE($C818,4,15)&gt;=$V$799,$Y$799*(1+($U$799)/100)^MAX(0,$C818-$AB$799),0)))))</f>
      </c>
      <c r="I818" s="43">
        <f>IF($S$799=0,0,IF(OR(DATE($C818,5,15)&lt;$S$799,AND($T$799&gt;0,DATE($C818,5,15)&gt;$T$799)),0,IF(DATE($C818,5,15)&gt;=$X$799,$AA$799*(1+($U$799)/100)^MAX(0,$C818-$AD$799),IF(DATE($C818,5,15)&gt;=$W$799,$Z$799*(1+($U$799)/100)^MAX(0,$C818-$AC$799),IF(DATE($C818,5,15)&gt;=$V$799,$Y$799*(1+($U$799)/100)^MAX(0,$C818-$AB$799),0)))))</f>
      </c>
      <c r="J818" s="43">
        <f>IF($S$799=0,0,IF(OR(DATE($C818,6,15)&lt;$S$799,AND($T$799&gt;0,DATE($C818,6,15)&gt;$T$799)),0,IF(DATE($C818,6,15)&gt;=$X$799,$AA$799*(1+($U$799)/100)^MAX(0,$C818-$AD$799),IF(DATE($C818,6,15)&gt;=$W$799,$Z$799*(1+($U$799)/100)^MAX(0,$C818-$AC$799),IF(DATE($C818,6,15)&gt;=$V$799,$Y$799*(1+($U$799)/100)^MAX(0,$C818-$AB$799),0)))))</f>
      </c>
      <c r="K818" s="43">
        <f>IF($S$799=0,0,IF(OR(DATE($C818,7,15)&lt;$S$799,AND($T$799&gt;0,DATE($C818,7,15)&gt;$T$799)),0,IF(DATE($C818,7,15)&gt;=$X$799,$AA$799*(1+($U$799)/100)^MAX(0,$C818-$AD$799),IF(DATE($C818,7,15)&gt;=$W$799,$Z$799*(1+($U$799)/100)^MAX(0,$C818-$AC$799),IF(DATE($C818,7,15)&gt;=$V$799,$Y$799*(1+($U$799)/100)^MAX(0,$C818-$AB$799),0)))))</f>
      </c>
      <c r="L818" s="43">
        <f>IF($S$799=0,0,IF(OR(DATE($C818,8,15)&lt;$S$799,AND($T$799&gt;0,DATE($C818,8,15)&gt;$T$799)),0,IF(DATE($C818,8,15)&gt;=$X$799,$AA$799*(1+($U$799)/100)^MAX(0,$C818-$AD$799),IF(DATE($C818,8,15)&gt;=$W$799,$Z$799*(1+($U$799)/100)^MAX(0,$C818-$AC$799),IF(DATE($C818,8,15)&gt;=$V$799,$Y$799*(1+($U$799)/100)^MAX(0,$C818-$AB$799),0)))))</f>
      </c>
      <c r="M818" s="43">
        <f>IF($S$799=0,0,IF(OR(DATE($C818,9,15)&lt;$S$799,AND($T$799&gt;0,DATE($C818,9,15)&gt;$T$799)),0,IF(DATE($C818,9,15)&gt;=$X$799,$AA$799*(1+($U$799)/100)^MAX(0,$C818-$AD$799),IF(DATE($C818,9,15)&gt;=$W$799,$Z$799*(1+($U$799)/100)^MAX(0,$C818-$AC$799),IF(DATE($C818,9,15)&gt;=$V$799,$Y$799*(1+($U$799)/100)^MAX(0,$C818-$AB$799),0)))))</f>
      </c>
      <c r="N818" s="43">
        <f>IF($S$799=0,0,IF(OR(DATE($C818,10,15)&lt;$S$799,AND($T$799&gt;0,DATE($C818,10,15)&gt;$T$799)),0,IF(DATE($C818,10,15)&gt;=$X$799,$AA$799*(1+($U$799)/100)^MAX(0,$C818-$AD$799),IF(DATE($C818,10,15)&gt;=$W$799,$Z$799*(1+($U$799)/100)^MAX(0,$C818-$AC$799),IF(DATE($C818,10,15)&gt;=$V$799,$Y$799*(1+($U$799)/100)^MAX(0,$C818-$AB$799),0)))))</f>
      </c>
      <c r="O818" s="43">
        <f>IF($S$799=0,0,IF(OR(DATE($C818,11,15)&lt;$S$799,AND($T$799&gt;0,DATE($C818,11,15)&gt;$T$799)),0,IF(DATE($C818,11,15)&gt;=$X$799,$AA$799*(1+($U$799)/100)^MAX(0,$C818-$AD$799),IF(DATE($C818,11,15)&gt;=$W$799,$Z$799*(1+($U$799)/100)^MAX(0,$C818-$AC$799),IF(DATE($C818,11,15)&gt;=$V$799,$Y$799*(1+($U$799)/100)^MAX(0,$C818-$AB$799),0)))))</f>
      </c>
      <c r="P818" s="43">
        <f>IF($S$799=0,0,IF(OR(DATE($C818,12,15)&lt;$S$799,AND($T$799&gt;0,DATE($C818,12,15)&gt;$T$799)),0,IF(DATE($C818,12,15)&gt;=$X$799,$AA$799*(1+($U$799)/100)^MAX(0,$C818-$AD$799),IF(DATE($C818,12,15)&gt;=$W$799,$Z$799*(1+($U$799)/100)^MAX(0,$C818-$AC$799),IF(DATE($C818,12,15)&gt;=$V$799,$Y$799*(1+($U$799)/100)^MAX(0,$C818-$AB$799),0)))))</f>
      </c>
      <c r="Q818" s="43">
        <f>SUM($E818:$P818)</f>
      </c>
    </row>
    <row r="819">
      <c r="A819"/>
      <c r="B819">
        <v>26</v>
      </c>
      <c r="C819" s="43">
        <f>Jahr+20</f>
      </c>
      <c r="D819" s="43">
        <f>INDEX(MvObj,26)</f>
      </c>
      <c r="E819" s="43">
        <f>IF($S$799=0,0,IF(OR(DATE($C819,1,15)&lt;$S$799,AND($T$799&gt;0,DATE($C819,1,15)&gt;$T$799)),0,IF(DATE($C819,1,15)&gt;=$X$799,$AA$799*(1+($U$799)/100)^MAX(0,$C819-$AD$799),IF(DATE($C819,1,15)&gt;=$W$799,$Z$799*(1+($U$799)/100)^MAX(0,$C819-$AC$799),IF(DATE($C819,1,15)&gt;=$V$799,$Y$799*(1+($U$799)/100)^MAX(0,$C819-$AB$799),0)))))</f>
      </c>
      <c r="F819" s="43">
        <f>IF($S$799=0,0,IF(OR(DATE($C819,2,15)&lt;$S$799,AND($T$799&gt;0,DATE($C819,2,15)&gt;$T$799)),0,IF(DATE($C819,2,15)&gt;=$X$799,$AA$799*(1+($U$799)/100)^MAX(0,$C819-$AD$799),IF(DATE($C819,2,15)&gt;=$W$799,$Z$799*(1+($U$799)/100)^MAX(0,$C819-$AC$799),IF(DATE($C819,2,15)&gt;=$V$799,$Y$799*(1+($U$799)/100)^MAX(0,$C819-$AB$799),0)))))</f>
      </c>
      <c r="G819" s="43">
        <f>IF($S$799=0,0,IF(OR(DATE($C819,3,15)&lt;$S$799,AND($T$799&gt;0,DATE($C819,3,15)&gt;$T$799)),0,IF(DATE($C819,3,15)&gt;=$X$799,$AA$799*(1+($U$799)/100)^MAX(0,$C819-$AD$799),IF(DATE($C819,3,15)&gt;=$W$799,$Z$799*(1+($U$799)/100)^MAX(0,$C819-$AC$799),IF(DATE($C819,3,15)&gt;=$V$799,$Y$799*(1+($U$799)/100)^MAX(0,$C819-$AB$799),0)))))</f>
      </c>
      <c r="H819" s="43">
        <f>IF($S$799=0,0,IF(OR(DATE($C819,4,15)&lt;$S$799,AND($T$799&gt;0,DATE($C819,4,15)&gt;$T$799)),0,IF(DATE($C819,4,15)&gt;=$X$799,$AA$799*(1+($U$799)/100)^MAX(0,$C819-$AD$799),IF(DATE($C819,4,15)&gt;=$W$799,$Z$799*(1+($U$799)/100)^MAX(0,$C819-$AC$799),IF(DATE($C819,4,15)&gt;=$V$799,$Y$799*(1+($U$799)/100)^MAX(0,$C819-$AB$799),0)))))</f>
      </c>
      <c r="I819" s="43">
        <f>IF($S$799=0,0,IF(OR(DATE($C819,5,15)&lt;$S$799,AND($T$799&gt;0,DATE($C819,5,15)&gt;$T$799)),0,IF(DATE($C819,5,15)&gt;=$X$799,$AA$799*(1+($U$799)/100)^MAX(0,$C819-$AD$799),IF(DATE($C819,5,15)&gt;=$W$799,$Z$799*(1+($U$799)/100)^MAX(0,$C819-$AC$799),IF(DATE($C819,5,15)&gt;=$V$799,$Y$799*(1+($U$799)/100)^MAX(0,$C819-$AB$799),0)))))</f>
      </c>
      <c r="J819" s="43">
        <f>IF($S$799=0,0,IF(OR(DATE($C819,6,15)&lt;$S$799,AND($T$799&gt;0,DATE($C819,6,15)&gt;$T$799)),0,IF(DATE($C819,6,15)&gt;=$X$799,$AA$799*(1+($U$799)/100)^MAX(0,$C819-$AD$799),IF(DATE($C819,6,15)&gt;=$W$799,$Z$799*(1+($U$799)/100)^MAX(0,$C819-$AC$799),IF(DATE($C819,6,15)&gt;=$V$799,$Y$799*(1+($U$799)/100)^MAX(0,$C819-$AB$799),0)))))</f>
      </c>
      <c r="K819" s="43">
        <f>IF($S$799=0,0,IF(OR(DATE($C819,7,15)&lt;$S$799,AND($T$799&gt;0,DATE($C819,7,15)&gt;$T$799)),0,IF(DATE($C819,7,15)&gt;=$X$799,$AA$799*(1+($U$799)/100)^MAX(0,$C819-$AD$799),IF(DATE($C819,7,15)&gt;=$W$799,$Z$799*(1+($U$799)/100)^MAX(0,$C819-$AC$799),IF(DATE($C819,7,15)&gt;=$V$799,$Y$799*(1+($U$799)/100)^MAX(0,$C819-$AB$799),0)))))</f>
      </c>
      <c r="L819" s="43">
        <f>IF($S$799=0,0,IF(OR(DATE($C819,8,15)&lt;$S$799,AND($T$799&gt;0,DATE($C819,8,15)&gt;$T$799)),0,IF(DATE($C819,8,15)&gt;=$X$799,$AA$799*(1+($U$799)/100)^MAX(0,$C819-$AD$799),IF(DATE($C819,8,15)&gt;=$W$799,$Z$799*(1+($U$799)/100)^MAX(0,$C819-$AC$799),IF(DATE($C819,8,15)&gt;=$V$799,$Y$799*(1+($U$799)/100)^MAX(0,$C819-$AB$799),0)))))</f>
      </c>
      <c r="M819" s="43">
        <f>IF($S$799=0,0,IF(OR(DATE($C819,9,15)&lt;$S$799,AND($T$799&gt;0,DATE($C819,9,15)&gt;$T$799)),0,IF(DATE($C819,9,15)&gt;=$X$799,$AA$799*(1+($U$799)/100)^MAX(0,$C819-$AD$799),IF(DATE($C819,9,15)&gt;=$W$799,$Z$799*(1+($U$799)/100)^MAX(0,$C819-$AC$799),IF(DATE($C819,9,15)&gt;=$V$799,$Y$799*(1+($U$799)/100)^MAX(0,$C819-$AB$799),0)))))</f>
      </c>
      <c r="N819" s="43">
        <f>IF($S$799=0,0,IF(OR(DATE($C819,10,15)&lt;$S$799,AND($T$799&gt;0,DATE($C819,10,15)&gt;$T$799)),0,IF(DATE($C819,10,15)&gt;=$X$799,$AA$799*(1+($U$799)/100)^MAX(0,$C819-$AD$799),IF(DATE($C819,10,15)&gt;=$W$799,$Z$799*(1+($U$799)/100)^MAX(0,$C819-$AC$799),IF(DATE($C819,10,15)&gt;=$V$799,$Y$799*(1+($U$799)/100)^MAX(0,$C819-$AB$799),0)))))</f>
      </c>
      <c r="O819" s="43">
        <f>IF($S$799=0,0,IF(OR(DATE($C819,11,15)&lt;$S$799,AND($T$799&gt;0,DATE($C819,11,15)&gt;$T$799)),0,IF(DATE($C819,11,15)&gt;=$X$799,$AA$799*(1+($U$799)/100)^MAX(0,$C819-$AD$799),IF(DATE($C819,11,15)&gt;=$W$799,$Z$799*(1+($U$799)/100)^MAX(0,$C819-$AC$799),IF(DATE($C819,11,15)&gt;=$V$799,$Y$799*(1+($U$799)/100)^MAX(0,$C819-$AB$799),0)))))</f>
      </c>
      <c r="P819" s="43">
        <f>IF($S$799=0,0,IF(OR(DATE($C819,12,15)&lt;$S$799,AND($T$799&gt;0,DATE($C819,12,15)&gt;$T$799)),0,IF(DATE($C819,12,15)&gt;=$X$799,$AA$799*(1+($U$799)/100)^MAX(0,$C819-$AD$799),IF(DATE($C819,12,15)&gt;=$W$799,$Z$799*(1+($U$799)/100)^MAX(0,$C819-$AC$799),IF(DATE($C819,12,15)&gt;=$V$799,$Y$799*(1+($U$799)/100)^MAX(0,$C819-$AB$799),0)))))</f>
      </c>
      <c r="Q819" s="43">
        <f>SUM($E819:$P819)</f>
      </c>
    </row>
    <row r="820">
      <c r="A820"/>
      <c r="B820">
        <v>26</v>
      </c>
      <c r="C820" s="43">
        <f>Jahr+21</f>
      </c>
      <c r="D820" s="43">
        <f>INDEX(MvObj,26)</f>
      </c>
      <c r="E820" s="43">
        <f>IF($S$799=0,0,IF(OR(DATE($C820,1,15)&lt;$S$799,AND($T$799&gt;0,DATE($C820,1,15)&gt;$T$799)),0,IF(DATE($C820,1,15)&gt;=$X$799,$AA$799*(1+($U$799)/100)^MAX(0,$C820-$AD$799),IF(DATE($C820,1,15)&gt;=$W$799,$Z$799*(1+($U$799)/100)^MAX(0,$C820-$AC$799),IF(DATE($C820,1,15)&gt;=$V$799,$Y$799*(1+($U$799)/100)^MAX(0,$C820-$AB$799),0)))))</f>
      </c>
      <c r="F820" s="43">
        <f>IF($S$799=0,0,IF(OR(DATE($C820,2,15)&lt;$S$799,AND($T$799&gt;0,DATE($C820,2,15)&gt;$T$799)),0,IF(DATE($C820,2,15)&gt;=$X$799,$AA$799*(1+($U$799)/100)^MAX(0,$C820-$AD$799),IF(DATE($C820,2,15)&gt;=$W$799,$Z$799*(1+($U$799)/100)^MAX(0,$C820-$AC$799),IF(DATE($C820,2,15)&gt;=$V$799,$Y$799*(1+($U$799)/100)^MAX(0,$C820-$AB$799),0)))))</f>
      </c>
      <c r="G820" s="43">
        <f>IF($S$799=0,0,IF(OR(DATE($C820,3,15)&lt;$S$799,AND($T$799&gt;0,DATE($C820,3,15)&gt;$T$799)),0,IF(DATE($C820,3,15)&gt;=$X$799,$AA$799*(1+($U$799)/100)^MAX(0,$C820-$AD$799),IF(DATE($C820,3,15)&gt;=$W$799,$Z$799*(1+($U$799)/100)^MAX(0,$C820-$AC$799),IF(DATE($C820,3,15)&gt;=$V$799,$Y$799*(1+($U$799)/100)^MAX(0,$C820-$AB$799),0)))))</f>
      </c>
      <c r="H820" s="43">
        <f>IF($S$799=0,0,IF(OR(DATE($C820,4,15)&lt;$S$799,AND($T$799&gt;0,DATE($C820,4,15)&gt;$T$799)),0,IF(DATE($C820,4,15)&gt;=$X$799,$AA$799*(1+($U$799)/100)^MAX(0,$C820-$AD$799),IF(DATE($C820,4,15)&gt;=$W$799,$Z$799*(1+($U$799)/100)^MAX(0,$C820-$AC$799),IF(DATE($C820,4,15)&gt;=$V$799,$Y$799*(1+($U$799)/100)^MAX(0,$C820-$AB$799),0)))))</f>
      </c>
      <c r="I820" s="43">
        <f>IF($S$799=0,0,IF(OR(DATE($C820,5,15)&lt;$S$799,AND($T$799&gt;0,DATE($C820,5,15)&gt;$T$799)),0,IF(DATE($C820,5,15)&gt;=$X$799,$AA$799*(1+($U$799)/100)^MAX(0,$C820-$AD$799),IF(DATE($C820,5,15)&gt;=$W$799,$Z$799*(1+($U$799)/100)^MAX(0,$C820-$AC$799),IF(DATE($C820,5,15)&gt;=$V$799,$Y$799*(1+($U$799)/100)^MAX(0,$C820-$AB$799),0)))))</f>
      </c>
      <c r="J820" s="43">
        <f>IF($S$799=0,0,IF(OR(DATE($C820,6,15)&lt;$S$799,AND($T$799&gt;0,DATE($C820,6,15)&gt;$T$799)),0,IF(DATE($C820,6,15)&gt;=$X$799,$AA$799*(1+($U$799)/100)^MAX(0,$C820-$AD$799),IF(DATE($C820,6,15)&gt;=$W$799,$Z$799*(1+($U$799)/100)^MAX(0,$C820-$AC$799),IF(DATE($C820,6,15)&gt;=$V$799,$Y$799*(1+($U$799)/100)^MAX(0,$C820-$AB$799),0)))))</f>
      </c>
      <c r="K820" s="43">
        <f>IF($S$799=0,0,IF(OR(DATE($C820,7,15)&lt;$S$799,AND($T$799&gt;0,DATE($C820,7,15)&gt;$T$799)),0,IF(DATE($C820,7,15)&gt;=$X$799,$AA$799*(1+($U$799)/100)^MAX(0,$C820-$AD$799),IF(DATE($C820,7,15)&gt;=$W$799,$Z$799*(1+($U$799)/100)^MAX(0,$C820-$AC$799),IF(DATE($C820,7,15)&gt;=$V$799,$Y$799*(1+($U$799)/100)^MAX(0,$C820-$AB$799),0)))))</f>
      </c>
      <c r="L820" s="43">
        <f>IF($S$799=0,0,IF(OR(DATE($C820,8,15)&lt;$S$799,AND($T$799&gt;0,DATE($C820,8,15)&gt;$T$799)),0,IF(DATE($C820,8,15)&gt;=$X$799,$AA$799*(1+($U$799)/100)^MAX(0,$C820-$AD$799),IF(DATE($C820,8,15)&gt;=$W$799,$Z$799*(1+($U$799)/100)^MAX(0,$C820-$AC$799),IF(DATE($C820,8,15)&gt;=$V$799,$Y$799*(1+($U$799)/100)^MAX(0,$C820-$AB$799),0)))))</f>
      </c>
      <c r="M820" s="43">
        <f>IF($S$799=0,0,IF(OR(DATE($C820,9,15)&lt;$S$799,AND($T$799&gt;0,DATE($C820,9,15)&gt;$T$799)),0,IF(DATE($C820,9,15)&gt;=$X$799,$AA$799*(1+($U$799)/100)^MAX(0,$C820-$AD$799),IF(DATE($C820,9,15)&gt;=$W$799,$Z$799*(1+($U$799)/100)^MAX(0,$C820-$AC$799),IF(DATE($C820,9,15)&gt;=$V$799,$Y$799*(1+($U$799)/100)^MAX(0,$C820-$AB$799),0)))))</f>
      </c>
      <c r="N820" s="43">
        <f>IF($S$799=0,0,IF(OR(DATE($C820,10,15)&lt;$S$799,AND($T$799&gt;0,DATE($C820,10,15)&gt;$T$799)),0,IF(DATE($C820,10,15)&gt;=$X$799,$AA$799*(1+($U$799)/100)^MAX(0,$C820-$AD$799),IF(DATE($C820,10,15)&gt;=$W$799,$Z$799*(1+($U$799)/100)^MAX(0,$C820-$AC$799),IF(DATE($C820,10,15)&gt;=$V$799,$Y$799*(1+($U$799)/100)^MAX(0,$C820-$AB$799),0)))))</f>
      </c>
      <c r="O820" s="43">
        <f>IF($S$799=0,0,IF(OR(DATE($C820,11,15)&lt;$S$799,AND($T$799&gt;0,DATE($C820,11,15)&gt;$T$799)),0,IF(DATE($C820,11,15)&gt;=$X$799,$AA$799*(1+($U$799)/100)^MAX(0,$C820-$AD$799),IF(DATE($C820,11,15)&gt;=$W$799,$Z$799*(1+($U$799)/100)^MAX(0,$C820-$AC$799),IF(DATE($C820,11,15)&gt;=$V$799,$Y$799*(1+($U$799)/100)^MAX(0,$C820-$AB$799),0)))))</f>
      </c>
      <c r="P820" s="43">
        <f>IF($S$799=0,0,IF(OR(DATE($C820,12,15)&lt;$S$799,AND($T$799&gt;0,DATE($C820,12,15)&gt;$T$799)),0,IF(DATE($C820,12,15)&gt;=$X$799,$AA$799*(1+($U$799)/100)^MAX(0,$C820-$AD$799),IF(DATE($C820,12,15)&gt;=$W$799,$Z$799*(1+($U$799)/100)^MAX(0,$C820-$AC$799),IF(DATE($C820,12,15)&gt;=$V$799,$Y$799*(1+($U$799)/100)^MAX(0,$C820-$AB$799),0)))))</f>
      </c>
      <c r="Q820" s="43">
        <f>SUM($E820:$P820)</f>
      </c>
    </row>
    <row r="821">
      <c r="A821"/>
      <c r="B821">
        <v>26</v>
      </c>
      <c r="C821" s="43">
        <f>Jahr+22</f>
      </c>
      <c r="D821" s="43">
        <f>INDEX(MvObj,26)</f>
      </c>
      <c r="E821" s="43">
        <f>IF($S$799=0,0,IF(OR(DATE($C821,1,15)&lt;$S$799,AND($T$799&gt;0,DATE($C821,1,15)&gt;$T$799)),0,IF(DATE($C821,1,15)&gt;=$X$799,$AA$799*(1+($U$799)/100)^MAX(0,$C821-$AD$799),IF(DATE($C821,1,15)&gt;=$W$799,$Z$799*(1+($U$799)/100)^MAX(0,$C821-$AC$799),IF(DATE($C821,1,15)&gt;=$V$799,$Y$799*(1+($U$799)/100)^MAX(0,$C821-$AB$799),0)))))</f>
      </c>
      <c r="F821" s="43">
        <f>IF($S$799=0,0,IF(OR(DATE($C821,2,15)&lt;$S$799,AND($T$799&gt;0,DATE($C821,2,15)&gt;$T$799)),0,IF(DATE($C821,2,15)&gt;=$X$799,$AA$799*(1+($U$799)/100)^MAX(0,$C821-$AD$799),IF(DATE($C821,2,15)&gt;=$W$799,$Z$799*(1+($U$799)/100)^MAX(0,$C821-$AC$799),IF(DATE($C821,2,15)&gt;=$V$799,$Y$799*(1+($U$799)/100)^MAX(0,$C821-$AB$799),0)))))</f>
      </c>
      <c r="G821" s="43">
        <f>IF($S$799=0,0,IF(OR(DATE($C821,3,15)&lt;$S$799,AND($T$799&gt;0,DATE($C821,3,15)&gt;$T$799)),0,IF(DATE($C821,3,15)&gt;=$X$799,$AA$799*(1+($U$799)/100)^MAX(0,$C821-$AD$799),IF(DATE($C821,3,15)&gt;=$W$799,$Z$799*(1+($U$799)/100)^MAX(0,$C821-$AC$799),IF(DATE($C821,3,15)&gt;=$V$799,$Y$799*(1+($U$799)/100)^MAX(0,$C821-$AB$799),0)))))</f>
      </c>
      <c r="H821" s="43">
        <f>IF($S$799=0,0,IF(OR(DATE($C821,4,15)&lt;$S$799,AND($T$799&gt;0,DATE($C821,4,15)&gt;$T$799)),0,IF(DATE($C821,4,15)&gt;=$X$799,$AA$799*(1+($U$799)/100)^MAX(0,$C821-$AD$799),IF(DATE($C821,4,15)&gt;=$W$799,$Z$799*(1+($U$799)/100)^MAX(0,$C821-$AC$799),IF(DATE($C821,4,15)&gt;=$V$799,$Y$799*(1+($U$799)/100)^MAX(0,$C821-$AB$799),0)))))</f>
      </c>
      <c r="I821" s="43">
        <f>IF($S$799=0,0,IF(OR(DATE($C821,5,15)&lt;$S$799,AND($T$799&gt;0,DATE($C821,5,15)&gt;$T$799)),0,IF(DATE($C821,5,15)&gt;=$X$799,$AA$799*(1+($U$799)/100)^MAX(0,$C821-$AD$799),IF(DATE($C821,5,15)&gt;=$W$799,$Z$799*(1+($U$799)/100)^MAX(0,$C821-$AC$799),IF(DATE($C821,5,15)&gt;=$V$799,$Y$799*(1+($U$799)/100)^MAX(0,$C821-$AB$799),0)))))</f>
      </c>
      <c r="J821" s="43">
        <f>IF($S$799=0,0,IF(OR(DATE($C821,6,15)&lt;$S$799,AND($T$799&gt;0,DATE($C821,6,15)&gt;$T$799)),0,IF(DATE($C821,6,15)&gt;=$X$799,$AA$799*(1+($U$799)/100)^MAX(0,$C821-$AD$799),IF(DATE($C821,6,15)&gt;=$W$799,$Z$799*(1+($U$799)/100)^MAX(0,$C821-$AC$799),IF(DATE($C821,6,15)&gt;=$V$799,$Y$799*(1+($U$799)/100)^MAX(0,$C821-$AB$799),0)))))</f>
      </c>
      <c r="K821" s="43">
        <f>IF($S$799=0,0,IF(OR(DATE($C821,7,15)&lt;$S$799,AND($T$799&gt;0,DATE($C821,7,15)&gt;$T$799)),0,IF(DATE($C821,7,15)&gt;=$X$799,$AA$799*(1+($U$799)/100)^MAX(0,$C821-$AD$799),IF(DATE($C821,7,15)&gt;=$W$799,$Z$799*(1+($U$799)/100)^MAX(0,$C821-$AC$799),IF(DATE($C821,7,15)&gt;=$V$799,$Y$799*(1+($U$799)/100)^MAX(0,$C821-$AB$799),0)))))</f>
      </c>
      <c r="L821" s="43">
        <f>IF($S$799=0,0,IF(OR(DATE($C821,8,15)&lt;$S$799,AND($T$799&gt;0,DATE($C821,8,15)&gt;$T$799)),0,IF(DATE($C821,8,15)&gt;=$X$799,$AA$799*(1+($U$799)/100)^MAX(0,$C821-$AD$799),IF(DATE($C821,8,15)&gt;=$W$799,$Z$799*(1+($U$799)/100)^MAX(0,$C821-$AC$799),IF(DATE($C821,8,15)&gt;=$V$799,$Y$799*(1+($U$799)/100)^MAX(0,$C821-$AB$799),0)))))</f>
      </c>
      <c r="M821" s="43">
        <f>IF($S$799=0,0,IF(OR(DATE($C821,9,15)&lt;$S$799,AND($T$799&gt;0,DATE($C821,9,15)&gt;$T$799)),0,IF(DATE($C821,9,15)&gt;=$X$799,$AA$799*(1+($U$799)/100)^MAX(0,$C821-$AD$799),IF(DATE($C821,9,15)&gt;=$W$799,$Z$799*(1+($U$799)/100)^MAX(0,$C821-$AC$799),IF(DATE($C821,9,15)&gt;=$V$799,$Y$799*(1+($U$799)/100)^MAX(0,$C821-$AB$799),0)))))</f>
      </c>
      <c r="N821" s="43">
        <f>IF($S$799=0,0,IF(OR(DATE($C821,10,15)&lt;$S$799,AND($T$799&gt;0,DATE($C821,10,15)&gt;$T$799)),0,IF(DATE($C821,10,15)&gt;=$X$799,$AA$799*(1+($U$799)/100)^MAX(0,$C821-$AD$799),IF(DATE($C821,10,15)&gt;=$W$799,$Z$799*(1+($U$799)/100)^MAX(0,$C821-$AC$799),IF(DATE($C821,10,15)&gt;=$V$799,$Y$799*(1+($U$799)/100)^MAX(0,$C821-$AB$799),0)))))</f>
      </c>
      <c r="O821" s="43">
        <f>IF($S$799=0,0,IF(OR(DATE($C821,11,15)&lt;$S$799,AND($T$799&gt;0,DATE($C821,11,15)&gt;$T$799)),0,IF(DATE($C821,11,15)&gt;=$X$799,$AA$799*(1+($U$799)/100)^MAX(0,$C821-$AD$799),IF(DATE($C821,11,15)&gt;=$W$799,$Z$799*(1+($U$799)/100)^MAX(0,$C821-$AC$799),IF(DATE($C821,11,15)&gt;=$V$799,$Y$799*(1+($U$799)/100)^MAX(0,$C821-$AB$799),0)))))</f>
      </c>
      <c r="P821" s="43">
        <f>IF($S$799=0,0,IF(OR(DATE($C821,12,15)&lt;$S$799,AND($T$799&gt;0,DATE($C821,12,15)&gt;$T$799)),0,IF(DATE($C821,12,15)&gt;=$X$799,$AA$799*(1+($U$799)/100)^MAX(0,$C821-$AD$799),IF(DATE($C821,12,15)&gt;=$W$799,$Z$799*(1+($U$799)/100)^MAX(0,$C821-$AC$799),IF(DATE($C821,12,15)&gt;=$V$799,$Y$799*(1+($U$799)/100)^MAX(0,$C821-$AB$799),0)))))</f>
      </c>
      <c r="Q821" s="43">
        <f>SUM($E821:$P821)</f>
      </c>
    </row>
    <row r="822">
      <c r="A822"/>
      <c r="B822">
        <v>26</v>
      </c>
      <c r="C822" s="43">
        <f>Jahr+23</f>
      </c>
      <c r="D822" s="43">
        <f>INDEX(MvObj,26)</f>
      </c>
      <c r="E822" s="43">
        <f>IF($S$799=0,0,IF(OR(DATE($C822,1,15)&lt;$S$799,AND($T$799&gt;0,DATE($C822,1,15)&gt;$T$799)),0,IF(DATE($C822,1,15)&gt;=$X$799,$AA$799*(1+($U$799)/100)^MAX(0,$C822-$AD$799),IF(DATE($C822,1,15)&gt;=$W$799,$Z$799*(1+($U$799)/100)^MAX(0,$C822-$AC$799),IF(DATE($C822,1,15)&gt;=$V$799,$Y$799*(1+($U$799)/100)^MAX(0,$C822-$AB$799),0)))))</f>
      </c>
      <c r="F822" s="43">
        <f>IF($S$799=0,0,IF(OR(DATE($C822,2,15)&lt;$S$799,AND($T$799&gt;0,DATE($C822,2,15)&gt;$T$799)),0,IF(DATE($C822,2,15)&gt;=$X$799,$AA$799*(1+($U$799)/100)^MAX(0,$C822-$AD$799),IF(DATE($C822,2,15)&gt;=$W$799,$Z$799*(1+($U$799)/100)^MAX(0,$C822-$AC$799),IF(DATE($C822,2,15)&gt;=$V$799,$Y$799*(1+($U$799)/100)^MAX(0,$C822-$AB$799),0)))))</f>
      </c>
      <c r="G822" s="43">
        <f>IF($S$799=0,0,IF(OR(DATE($C822,3,15)&lt;$S$799,AND($T$799&gt;0,DATE($C822,3,15)&gt;$T$799)),0,IF(DATE($C822,3,15)&gt;=$X$799,$AA$799*(1+($U$799)/100)^MAX(0,$C822-$AD$799),IF(DATE($C822,3,15)&gt;=$W$799,$Z$799*(1+($U$799)/100)^MAX(0,$C822-$AC$799),IF(DATE($C822,3,15)&gt;=$V$799,$Y$799*(1+($U$799)/100)^MAX(0,$C822-$AB$799),0)))))</f>
      </c>
      <c r="H822" s="43">
        <f>IF($S$799=0,0,IF(OR(DATE($C822,4,15)&lt;$S$799,AND($T$799&gt;0,DATE($C822,4,15)&gt;$T$799)),0,IF(DATE($C822,4,15)&gt;=$X$799,$AA$799*(1+($U$799)/100)^MAX(0,$C822-$AD$799),IF(DATE($C822,4,15)&gt;=$W$799,$Z$799*(1+($U$799)/100)^MAX(0,$C822-$AC$799),IF(DATE($C822,4,15)&gt;=$V$799,$Y$799*(1+($U$799)/100)^MAX(0,$C822-$AB$799),0)))))</f>
      </c>
      <c r="I822" s="43">
        <f>IF($S$799=0,0,IF(OR(DATE($C822,5,15)&lt;$S$799,AND($T$799&gt;0,DATE($C822,5,15)&gt;$T$799)),0,IF(DATE($C822,5,15)&gt;=$X$799,$AA$799*(1+($U$799)/100)^MAX(0,$C822-$AD$799),IF(DATE($C822,5,15)&gt;=$W$799,$Z$799*(1+($U$799)/100)^MAX(0,$C822-$AC$799),IF(DATE($C822,5,15)&gt;=$V$799,$Y$799*(1+($U$799)/100)^MAX(0,$C822-$AB$799),0)))))</f>
      </c>
      <c r="J822" s="43">
        <f>IF($S$799=0,0,IF(OR(DATE($C822,6,15)&lt;$S$799,AND($T$799&gt;0,DATE($C822,6,15)&gt;$T$799)),0,IF(DATE($C822,6,15)&gt;=$X$799,$AA$799*(1+($U$799)/100)^MAX(0,$C822-$AD$799),IF(DATE($C822,6,15)&gt;=$W$799,$Z$799*(1+($U$799)/100)^MAX(0,$C822-$AC$799),IF(DATE($C822,6,15)&gt;=$V$799,$Y$799*(1+($U$799)/100)^MAX(0,$C822-$AB$799),0)))))</f>
      </c>
      <c r="K822" s="43">
        <f>IF($S$799=0,0,IF(OR(DATE($C822,7,15)&lt;$S$799,AND($T$799&gt;0,DATE($C822,7,15)&gt;$T$799)),0,IF(DATE($C822,7,15)&gt;=$X$799,$AA$799*(1+($U$799)/100)^MAX(0,$C822-$AD$799),IF(DATE($C822,7,15)&gt;=$W$799,$Z$799*(1+($U$799)/100)^MAX(0,$C822-$AC$799),IF(DATE($C822,7,15)&gt;=$V$799,$Y$799*(1+($U$799)/100)^MAX(0,$C822-$AB$799),0)))))</f>
      </c>
      <c r="L822" s="43">
        <f>IF($S$799=0,0,IF(OR(DATE($C822,8,15)&lt;$S$799,AND($T$799&gt;0,DATE($C822,8,15)&gt;$T$799)),0,IF(DATE($C822,8,15)&gt;=$X$799,$AA$799*(1+($U$799)/100)^MAX(0,$C822-$AD$799),IF(DATE($C822,8,15)&gt;=$W$799,$Z$799*(1+($U$799)/100)^MAX(0,$C822-$AC$799),IF(DATE($C822,8,15)&gt;=$V$799,$Y$799*(1+($U$799)/100)^MAX(0,$C822-$AB$799),0)))))</f>
      </c>
      <c r="M822" s="43">
        <f>IF($S$799=0,0,IF(OR(DATE($C822,9,15)&lt;$S$799,AND($T$799&gt;0,DATE($C822,9,15)&gt;$T$799)),0,IF(DATE($C822,9,15)&gt;=$X$799,$AA$799*(1+($U$799)/100)^MAX(0,$C822-$AD$799),IF(DATE($C822,9,15)&gt;=$W$799,$Z$799*(1+($U$799)/100)^MAX(0,$C822-$AC$799),IF(DATE($C822,9,15)&gt;=$V$799,$Y$799*(1+($U$799)/100)^MAX(0,$C822-$AB$799),0)))))</f>
      </c>
      <c r="N822" s="43">
        <f>IF($S$799=0,0,IF(OR(DATE($C822,10,15)&lt;$S$799,AND($T$799&gt;0,DATE($C822,10,15)&gt;$T$799)),0,IF(DATE($C822,10,15)&gt;=$X$799,$AA$799*(1+($U$799)/100)^MAX(0,$C822-$AD$799),IF(DATE($C822,10,15)&gt;=$W$799,$Z$799*(1+($U$799)/100)^MAX(0,$C822-$AC$799),IF(DATE($C822,10,15)&gt;=$V$799,$Y$799*(1+($U$799)/100)^MAX(0,$C822-$AB$799),0)))))</f>
      </c>
      <c r="O822" s="43">
        <f>IF($S$799=0,0,IF(OR(DATE($C822,11,15)&lt;$S$799,AND($T$799&gt;0,DATE($C822,11,15)&gt;$T$799)),0,IF(DATE($C822,11,15)&gt;=$X$799,$AA$799*(1+($U$799)/100)^MAX(0,$C822-$AD$799),IF(DATE($C822,11,15)&gt;=$W$799,$Z$799*(1+($U$799)/100)^MAX(0,$C822-$AC$799),IF(DATE($C822,11,15)&gt;=$V$799,$Y$799*(1+($U$799)/100)^MAX(0,$C822-$AB$799),0)))))</f>
      </c>
      <c r="P822" s="43">
        <f>IF($S$799=0,0,IF(OR(DATE($C822,12,15)&lt;$S$799,AND($T$799&gt;0,DATE($C822,12,15)&gt;$T$799)),0,IF(DATE($C822,12,15)&gt;=$X$799,$AA$799*(1+($U$799)/100)^MAX(0,$C822-$AD$799),IF(DATE($C822,12,15)&gt;=$W$799,$Z$799*(1+($U$799)/100)^MAX(0,$C822-$AC$799),IF(DATE($C822,12,15)&gt;=$V$799,$Y$799*(1+($U$799)/100)^MAX(0,$C822-$AB$799),0)))))</f>
      </c>
      <c r="Q822" s="43">
        <f>SUM($E822:$P822)</f>
      </c>
    </row>
    <row r="823">
      <c r="A823"/>
      <c r="B823">
        <v>26</v>
      </c>
      <c r="C823" s="43">
        <f>Jahr+24</f>
      </c>
      <c r="D823" s="43">
        <f>INDEX(MvObj,26)</f>
      </c>
      <c r="E823" s="43">
        <f>IF($S$799=0,0,IF(OR(DATE($C823,1,15)&lt;$S$799,AND($T$799&gt;0,DATE($C823,1,15)&gt;$T$799)),0,IF(DATE($C823,1,15)&gt;=$X$799,$AA$799*(1+($U$799)/100)^MAX(0,$C823-$AD$799),IF(DATE($C823,1,15)&gt;=$W$799,$Z$799*(1+($U$799)/100)^MAX(0,$C823-$AC$799),IF(DATE($C823,1,15)&gt;=$V$799,$Y$799*(1+($U$799)/100)^MAX(0,$C823-$AB$799),0)))))</f>
      </c>
      <c r="F823" s="43">
        <f>IF($S$799=0,0,IF(OR(DATE($C823,2,15)&lt;$S$799,AND($T$799&gt;0,DATE($C823,2,15)&gt;$T$799)),0,IF(DATE($C823,2,15)&gt;=$X$799,$AA$799*(1+($U$799)/100)^MAX(0,$C823-$AD$799),IF(DATE($C823,2,15)&gt;=$W$799,$Z$799*(1+($U$799)/100)^MAX(0,$C823-$AC$799),IF(DATE($C823,2,15)&gt;=$V$799,$Y$799*(1+($U$799)/100)^MAX(0,$C823-$AB$799),0)))))</f>
      </c>
      <c r="G823" s="43">
        <f>IF($S$799=0,0,IF(OR(DATE($C823,3,15)&lt;$S$799,AND($T$799&gt;0,DATE($C823,3,15)&gt;$T$799)),0,IF(DATE($C823,3,15)&gt;=$X$799,$AA$799*(1+($U$799)/100)^MAX(0,$C823-$AD$799),IF(DATE($C823,3,15)&gt;=$W$799,$Z$799*(1+($U$799)/100)^MAX(0,$C823-$AC$799),IF(DATE($C823,3,15)&gt;=$V$799,$Y$799*(1+($U$799)/100)^MAX(0,$C823-$AB$799),0)))))</f>
      </c>
      <c r="H823" s="43">
        <f>IF($S$799=0,0,IF(OR(DATE($C823,4,15)&lt;$S$799,AND($T$799&gt;0,DATE($C823,4,15)&gt;$T$799)),0,IF(DATE($C823,4,15)&gt;=$X$799,$AA$799*(1+($U$799)/100)^MAX(0,$C823-$AD$799),IF(DATE($C823,4,15)&gt;=$W$799,$Z$799*(1+($U$799)/100)^MAX(0,$C823-$AC$799),IF(DATE($C823,4,15)&gt;=$V$799,$Y$799*(1+($U$799)/100)^MAX(0,$C823-$AB$799),0)))))</f>
      </c>
      <c r="I823" s="43">
        <f>IF($S$799=0,0,IF(OR(DATE($C823,5,15)&lt;$S$799,AND($T$799&gt;0,DATE($C823,5,15)&gt;$T$799)),0,IF(DATE($C823,5,15)&gt;=$X$799,$AA$799*(1+($U$799)/100)^MAX(0,$C823-$AD$799),IF(DATE($C823,5,15)&gt;=$W$799,$Z$799*(1+($U$799)/100)^MAX(0,$C823-$AC$799),IF(DATE($C823,5,15)&gt;=$V$799,$Y$799*(1+($U$799)/100)^MAX(0,$C823-$AB$799),0)))))</f>
      </c>
      <c r="J823" s="43">
        <f>IF($S$799=0,0,IF(OR(DATE($C823,6,15)&lt;$S$799,AND($T$799&gt;0,DATE($C823,6,15)&gt;$T$799)),0,IF(DATE($C823,6,15)&gt;=$X$799,$AA$799*(1+($U$799)/100)^MAX(0,$C823-$AD$799),IF(DATE($C823,6,15)&gt;=$W$799,$Z$799*(1+($U$799)/100)^MAX(0,$C823-$AC$799),IF(DATE($C823,6,15)&gt;=$V$799,$Y$799*(1+($U$799)/100)^MAX(0,$C823-$AB$799),0)))))</f>
      </c>
      <c r="K823" s="43">
        <f>IF($S$799=0,0,IF(OR(DATE($C823,7,15)&lt;$S$799,AND($T$799&gt;0,DATE($C823,7,15)&gt;$T$799)),0,IF(DATE($C823,7,15)&gt;=$X$799,$AA$799*(1+($U$799)/100)^MAX(0,$C823-$AD$799),IF(DATE($C823,7,15)&gt;=$W$799,$Z$799*(1+($U$799)/100)^MAX(0,$C823-$AC$799),IF(DATE($C823,7,15)&gt;=$V$799,$Y$799*(1+($U$799)/100)^MAX(0,$C823-$AB$799),0)))))</f>
      </c>
      <c r="L823" s="43">
        <f>IF($S$799=0,0,IF(OR(DATE($C823,8,15)&lt;$S$799,AND($T$799&gt;0,DATE($C823,8,15)&gt;$T$799)),0,IF(DATE($C823,8,15)&gt;=$X$799,$AA$799*(1+($U$799)/100)^MAX(0,$C823-$AD$799),IF(DATE($C823,8,15)&gt;=$W$799,$Z$799*(1+($U$799)/100)^MAX(0,$C823-$AC$799),IF(DATE($C823,8,15)&gt;=$V$799,$Y$799*(1+($U$799)/100)^MAX(0,$C823-$AB$799),0)))))</f>
      </c>
      <c r="M823" s="43">
        <f>IF($S$799=0,0,IF(OR(DATE($C823,9,15)&lt;$S$799,AND($T$799&gt;0,DATE($C823,9,15)&gt;$T$799)),0,IF(DATE($C823,9,15)&gt;=$X$799,$AA$799*(1+($U$799)/100)^MAX(0,$C823-$AD$799),IF(DATE($C823,9,15)&gt;=$W$799,$Z$799*(1+($U$799)/100)^MAX(0,$C823-$AC$799),IF(DATE($C823,9,15)&gt;=$V$799,$Y$799*(1+($U$799)/100)^MAX(0,$C823-$AB$799),0)))))</f>
      </c>
      <c r="N823" s="43">
        <f>IF($S$799=0,0,IF(OR(DATE($C823,10,15)&lt;$S$799,AND($T$799&gt;0,DATE($C823,10,15)&gt;$T$799)),0,IF(DATE($C823,10,15)&gt;=$X$799,$AA$799*(1+($U$799)/100)^MAX(0,$C823-$AD$799),IF(DATE($C823,10,15)&gt;=$W$799,$Z$799*(1+($U$799)/100)^MAX(0,$C823-$AC$799),IF(DATE($C823,10,15)&gt;=$V$799,$Y$799*(1+($U$799)/100)^MAX(0,$C823-$AB$799),0)))))</f>
      </c>
      <c r="O823" s="43">
        <f>IF($S$799=0,0,IF(OR(DATE($C823,11,15)&lt;$S$799,AND($T$799&gt;0,DATE($C823,11,15)&gt;$T$799)),0,IF(DATE($C823,11,15)&gt;=$X$799,$AA$799*(1+($U$799)/100)^MAX(0,$C823-$AD$799),IF(DATE($C823,11,15)&gt;=$W$799,$Z$799*(1+($U$799)/100)^MAX(0,$C823-$AC$799),IF(DATE($C823,11,15)&gt;=$V$799,$Y$799*(1+($U$799)/100)^MAX(0,$C823-$AB$799),0)))))</f>
      </c>
      <c r="P823" s="43">
        <f>IF($S$799=0,0,IF(OR(DATE($C823,12,15)&lt;$S$799,AND($T$799&gt;0,DATE($C823,12,15)&gt;$T$799)),0,IF(DATE($C823,12,15)&gt;=$X$799,$AA$799*(1+($U$799)/100)^MAX(0,$C823-$AD$799),IF(DATE($C823,12,15)&gt;=$W$799,$Z$799*(1+($U$799)/100)^MAX(0,$C823-$AC$799),IF(DATE($C823,12,15)&gt;=$V$799,$Y$799*(1+($U$799)/100)^MAX(0,$C823-$AB$799),0)))))</f>
      </c>
      <c r="Q823" s="43">
        <f>SUM($E823:$P823)</f>
      </c>
    </row>
    <row r="824">
      <c r="A824"/>
      <c r="B824">
        <v>26</v>
      </c>
      <c r="C824" s="43">
        <f>Jahr+25</f>
      </c>
      <c r="D824" s="43">
        <f>INDEX(MvObj,26)</f>
      </c>
      <c r="E824" s="43">
        <f>IF($S$799=0,0,IF(OR(DATE($C824,1,15)&lt;$S$799,AND($T$799&gt;0,DATE($C824,1,15)&gt;$T$799)),0,IF(DATE($C824,1,15)&gt;=$X$799,$AA$799*(1+($U$799)/100)^MAX(0,$C824-$AD$799),IF(DATE($C824,1,15)&gt;=$W$799,$Z$799*(1+($U$799)/100)^MAX(0,$C824-$AC$799),IF(DATE($C824,1,15)&gt;=$V$799,$Y$799*(1+($U$799)/100)^MAX(0,$C824-$AB$799),0)))))</f>
      </c>
      <c r="F824" s="43">
        <f>IF($S$799=0,0,IF(OR(DATE($C824,2,15)&lt;$S$799,AND($T$799&gt;0,DATE($C824,2,15)&gt;$T$799)),0,IF(DATE($C824,2,15)&gt;=$X$799,$AA$799*(1+($U$799)/100)^MAX(0,$C824-$AD$799),IF(DATE($C824,2,15)&gt;=$W$799,$Z$799*(1+($U$799)/100)^MAX(0,$C824-$AC$799),IF(DATE($C824,2,15)&gt;=$V$799,$Y$799*(1+($U$799)/100)^MAX(0,$C824-$AB$799),0)))))</f>
      </c>
      <c r="G824" s="43">
        <f>IF($S$799=0,0,IF(OR(DATE($C824,3,15)&lt;$S$799,AND($T$799&gt;0,DATE($C824,3,15)&gt;$T$799)),0,IF(DATE($C824,3,15)&gt;=$X$799,$AA$799*(1+($U$799)/100)^MAX(0,$C824-$AD$799),IF(DATE($C824,3,15)&gt;=$W$799,$Z$799*(1+($U$799)/100)^MAX(0,$C824-$AC$799),IF(DATE($C824,3,15)&gt;=$V$799,$Y$799*(1+($U$799)/100)^MAX(0,$C824-$AB$799),0)))))</f>
      </c>
      <c r="H824" s="43">
        <f>IF($S$799=0,0,IF(OR(DATE($C824,4,15)&lt;$S$799,AND($T$799&gt;0,DATE($C824,4,15)&gt;$T$799)),0,IF(DATE($C824,4,15)&gt;=$X$799,$AA$799*(1+($U$799)/100)^MAX(0,$C824-$AD$799),IF(DATE($C824,4,15)&gt;=$W$799,$Z$799*(1+($U$799)/100)^MAX(0,$C824-$AC$799),IF(DATE($C824,4,15)&gt;=$V$799,$Y$799*(1+($U$799)/100)^MAX(0,$C824-$AB$799),0)))))</f>
      </c>
      <c r="I824" s="43">
        <f>IF($S$799=0,0,IF(OR(DATE($C824,5,15)&lt;$S$799,AND($T$799&gt;0,DATE($C824,5,15)&gt;$T$799)),0,IF(DATE($C824,5,15)&gt;=$X$799,$AA$799*(1+($U$799)/100)^MAX(0,$C824-$AD$799),IF(DATE($C824,5,15)&gt;=$W$799,$Z$799*(1+($U$799)/100)^MAX(0,$C824-$AC$799),IF(DATE($C824,5,15)&gt;=$V$799,$Y$799*(1+($U$799)/100)^MAX(0,$C824-$AB$799),0)))))</f>
      </c>
      <c r="J824" s="43">
        <f>IF($S$799=0,0,IF(OR(DATE($C824,6,15)&lt;$S$799,AND($T$799&gt;0,DATE($C824,6,15)&gt;$T$799)),0,IF(DATE($C824,6,15)&gt;=$X$799,$AA$799*(1+($U$799)/100)^MAX(0,$C824-$AD$799),IF(DATE($C824,6,15)&gt;=$W$799,$Z$799*(1+($U$799)/100)^MAX(0,$C824-$AC$799),IF(DATE($C824,6,15)&gt;=$V$799,$Y$799*(1+($U$799)/100)^MAX(0,$C824-$AB$799),0)))))</f>
      </c>
      <c r="K824" s="43">
        <f>IF($S$799=0,0,IF(OR(DATE($C824,7,15)&lt;$S$799,AND($T$799&gt;0,DATE($C824,7,15)&gt;$T$799)),0,IF(DATE($C824,7,15)&gt;=$X$799,$AA$799*(1+($U$799)/100)^MAX(0,$C824-$AD$799),IF(DATE($C824,7,15)&gt;=$W$799,$Z$799*(1+($U$799)/100)^MAX(0,$C824-$AC$799),IF(DATE($C824,7,15)&gt;=$V$799,$Y$799*(1+($U$799)/100)^MAX(0,$C824-$AB$799),0)))))</f>
      </c>
      <c r="L824" s="43">
        <f>IF($S$799=0,0,IF(OR(DATE($C824,8,15)&lt;$S$799,AND($T$799&gt;0,DATE($C824,8,15)&gt;$T$799)),0,IF(DATE($C824,8,15)&gt;=$X$799,$AA$799*(1+($U$799)/100)^MAX(0,$C824-$AD$799),IF(DATE($C824,8,15)&gt;=$W$799,$Z$799*(1+($U$799)/100)^MAX(0,$C824-$AC$799),IF(DATE($C824,8,15)&gt;=$V$799,$Y$799*(1+($U$799)/100)^MAX(0,$C824-$AB$799),0)))))</f>
      </c>
      <c r="M824" s="43">
        <f>IF($S$799=0,0,IF(OR(DATE($C824,9,15)&lt;$S$799,AND($T$799&gt;0,DATE($C824,9,15)&gt;$T$799)),0,IF(DATE($C824,9,15)&gt;=$X$799,$AA$799*(1+($U$799)/100)^MAX(0,$C824-$AD$799),IF(DATE($C824,9,15)&gt;=$W$799,$Z$799*(1+($U$799)/100)^MAX(0,$C824-$AC$799),IF(DATE($C824,9,15)&gt;=$V$799,$Y$799*(1+($U$799)/100)^MAX(0,$C824-$AB$799),0)))))</f>
      </c>
      <c r="N824" s="43">
        <f>IF($S$799=0,0,IF(OR(DATE($C824,10,15)&lt;$S$799,AND($T$799&gt;0,DATE($C824,10,15)&gt;$T$799)),0,IF(DATE($C824,10,15)&gt;=$X$799,$AA$799*(1+($U$799)/100)^MAX(0,$C824-$AD$799),IF(DATE($C824,10,15)&gt;=$W$799,$Z$799*(1+($U$799)/100)^MAX(0,$C824-$AC$799),IF(DATE($C824,10,15)&gt;=$V$799,$Y$799*(1+($U$799)/100)^MAX(0,$C824-$AB$799),0)))))</f>
      </c>
      <c r="O824" s="43">
        <f>IF($S$799=0,0,IF(OR(DATE($C824,11,15)&lt;$S$799,AND($T$799&gt;0,DATE($C824,11,15)&gt;$T$799)),0,IF(DATE($C824,11,15)&gt;=$X$799,$AA$799*(1+($U$799)/100)^MAX(0,$C824-$AD$799),IF(DATE($C824,11,15)&gt;=$W$799,$Z$799*(1+($U$799)/100)^MAX(0,$C824-$AC$799),IF(DATE($C824,11,15)&gt;=$V$799,$Y$799*(1+($U$799)/100)^MAX(0,$C824-$AB$799),0)))))</f>
      </c>
      <c r="P824" s="43">
        <f>IF($S$799=0,0,IF(OR(DATE($C824,12,15)&lt;$S$799,AND($T$799&gt;0,DATE($C824,12,15)&gt;$T$799)),0,IF(DATE($C824,12,15)&gt;=$X$799,$AA$799*(1+($U$799)/100)^MAX(0,$C824-$AD$799),IF(DATE($C824,12,15)&gt;=$W$799,$Z$799*(1+($U$799)/100)^MAX(0,$C824-$AC$799),IF(DATE($C824,12,15)&gt;=$V$799,$Y$799*(1+($U$799)/100)^MAX(0,$C824-$AB$799),0)))))</f>
      </c>
      <c r="Q824" s="43">
        <f>SUM($E824:$P824)</f>
      </c>
    </row>
    <row r="825">
      <c r="A825"/>
      <c r="B825">
        <v>26</v>
      </c>
      <c r="C825" s="43">
        <f>Jahr+26</f>
      </c>
      <c r="D825" s="43">
        <f>INDEX(MvObj,26)</f>
      </c>
      <c r="E825" s="43">
        <f>IF($S$799=0,0,IF(OR(DATE($C825,1,15)&lt;$S$799,AND($T$799&gt;0,DATE($C825,1,15)&gt;$T$799)),0,IF(DATE($C825,1,15)&gt;=$X$799,$AA$799*(1+($U$799)/100)^MAX(0,$C825-$AD$799),IF(DATE($C825,1,15)&gt;=$W$799,$Z$799*(1+($U$799)/100)^MAX(0,$C825-$AC$799),IF(DATE($C825,1,15)&gt;=$V$799,$Y$799*(1+($U$799)/100)^MAX(0,$C825-$AB$799),0)))))</f>
      </c>
      <c r="F825" s="43">
        <f>IF($S$799=0,0,IF(OR(DATE($C825,2,15)&lt;$S$799,AND($T$799&gt;0,DATE($C825,2,15)&gt;$T$799)),0,IF(DATE($C825,2,15)&gt;=$X$799,$AA$799*(1+($U$799)/100)^MAX(0,$C825-$AD$799),IF(DATE($C825,2,15)&gt;=$W$799,$Z$799*(1+($U$799)/100)^MAX(0,$C825-$AC$799),IF(DATE($C825,2,15)&gt;=$V$799,$Y$799*(1+($U$799)/100)^MAX(0,$C825-$AB$799),0)))))</f>
      </c>
      <c r="G825" s="43">
        <f>IF($S$799=0,0,IF(OR(DATE($C825,3,15)&lt;$S$799,AND($T$799&gt;0,DATE($C825,3,15)&gt;$T$799)),0,IF(DATE($C825,3,15)&gt;=$X$799,$AA$799*(1+($U$799)/100)^MAX(0,$C825-$AD$799),IF(DATE($C825,3,15)&gt;=$W$799,$Z$799*(1+($U$799)/100)^MAX(0,$C825-$AC$799),IF(DATE($C825,3,15)&gt;=$V$799,$Y$799*(1+($U$799)/100)^MAX(0,$C825-$AB$799),0)))))</f>
      </c>
      <c r="H825" s="43">
        <f>IF($S$799=0,0,IF(OR(DATE($C825,4,15)&lt;$S$799,AND($T$799&gt;0,DATE($C825,4,15)&gt;$T$799)),0,IF(DATE($C825,4,15)&gt;=$X$799,$AA$799*(1+($U$799)/100)^MAX(0,$C825-$AD$799),IF(DATE($C825,4,15)&gt;=$W$799,$Z$799*(1+($U$799)/100)^MAX(0,$C825-$AC$799),IF(DATE($C825,4,15)&gt;=$V$799,$Y$799*(1+($U$799)/100)^MAX(0,$C825-$AB$799),0)))))</f>
      </c>
      <c r="I825" s="43">
        <f>IF($S$799=0,0,IF(OR(DATE($C825,5,15)&lt;$S$799,AND($T$799&gt;0,DATE($C825,5,15)&gt;$T$799)),0,IF(DATE($C825,5,15)&gt;=$X$799,$AA$799*(1+($U$799)/100)^MAX(0,$C825-$AD$799),IF(DATE($C825,5,15)&gt;=$W$799,$Z$799*(1+($U$799)/100)^MAX(0,$C825-$AC$799),IF(DATE($C825,5,15)&gt;=$V$799,$Y$799*(1+($U$799)/100)^MAX(0,$C825-$AB$799),0)))))</f>
      </c>
      <c r="J825" s="43">
        <f>IF($S$799=0,0,IF(OR(DATE($C825,6,15)&lt;$S$799,AND($T$799&gt;0,DATE($C825,6,15)&gt;$T$799)),0,IF(DATE($C825,6,15)&gt;=$X$799,$AA$799*(1+($U$799)/100)^MAX(0,$C825-$AD$799),IF(DATE($C825,6,15)&gt;=$W$799,$Z$799*(1+($U$799)/100)^MAX(0,$C825-$AC$799),IF(DATE($C825,6,15)&gt;=$V$799,$Y$799*(1+($U$799)/100)^MAX(0,$C825-$AB$799),0)))))</f>
      </c>
      <c r="K825" s="43">
        <f>IF($S$799=0,0,IF(OR(DATE($C825,7,15)&lt;$S$799,AND($T$799&gt;0,DATE($C825,7,15)&gt;$T$799)),0,IF(DATE($C825,7,15)&gt;=$X$799,$AA$799*(1+($U$799)/100)^MAX(0,$C825-$AD$799),IF(DATE($C825,7,15)&gt;=$W$799,$Z$799*(1+($U$799)/100)^MAX(0,$C825-$AC$799),IF(DATE($C825,7,15)&gt;=$V$799,$Y$799*(1+($U$799)/100)^MAX(0,$C825-$AB$799),0)))))</f>
      </c>
      <c r="L825" s="43">
        <f>IF($S$799=0,0,IF(OR(DATE($C825,8,15)&lt;$S$799,AND($T$799&gt;0,DATE($C825,8,15)&gt;$T$799)),0,IF(DATE($C825,8,15)&gt;=$X$799,$AA$799*(1+($U$799)/100)^MAX(0,$C825-$AD$799),IF(DATE($C825,8,15)&gt;=$W$799,$Z$799*(1+($U$799)/100)^MAX(0,$C825-$AC$799),IF(DATE($C825,8,15)&gt;=$V$799,$Y$799*(1+($U$799)/100)^MAX(0,$C825-$AB$799),0)))))</f>
      </c>
      <c r="M825" s="43">
        <f>IF($S$799=0,0,IF(OR(DATE($C825,9,15)&lt;$S$799,AND($T$799&gt;0,DATE($C825,9,15)&gt;$T$799)),0,IF(DATE($C825,9,15)&gt;=$X$799,$AA$799*(1+($U$799)/100)^MAX(0,$C825-$AD$799),IF(DATE($C825,9,15)&gt;=$W$799,$Z$799*(1+($U$799)/100)^MAX(0,$C825-$AC$799),IF(DATE($C825,9,15)&gt;=$V$799,$Y$799*(1+($U$799)/100)^MAX(0,$C825-$AB$799),0)))))</f>
      </c>
      <c r="N825" s="43">
        <f>IF($S$799=0,0,IF(OR(DATE($C825,10,15)&lt;$S$799,AND($T$799&gt;0,DATE($C825,10,15)&gt;$T$799)),0,IF(DATE($C825,10,15)&gt;=$X$799,$AA$799*(1+($U$799)/100)^MAX(0,$C825-$AD$799),IF(DATE($C825,10,15)&gt;=$W$799,$Z$799*(1+($U$799)/100)^MAX(0,$C825-$AC$799),IF(DATE($C825,10,15)&gt;=$V$799,$Y$799*(1+($U$799)/100)^MAX(0,$C825-$AB$799),0)))))</f>
      </c>
      <c r="O825" s="43">
        <f>IF($S$799=0,0,IF(OR(DATE($C825,11,15)&lt;$S$799,AND($T$799&gt;0,DATE($C825,11,15)&gt;$T$799)),0,IF(DATE($C825,11,15)&gt;=$X$799,$AA$799*(1+($U$799)/100)^MAX(0,$C825-$AD$799),IF(DATE($C825,11,15)&gt;=$W$799,$Z$799*(1+($U$799)/100)^MAX(0,$C825-$AC$799),IF(DATE($C825,11,15)&gt;=$V$799,$Y$799*(1+($U$799)/100)^MAX(0,$C825-$AB$799),0)))))</f>
      </c>
      <c r="P825" s="43">
        <f>IF($S$799=0,0,IF(OR(DATE($C825,12,15)&lt;$S$799,AND($T$799&gt;0,DATE($C825,12,15)&gt;$T$799)),0,IF(DATE($C825,12,15)&gt;=$X$799,$AA$799*(1+($U$799)/100)^MAX(0,$C825-$AD$799),IF(DATE($C825,12,15)&gt;=$W$799,$Z$799*(1+($U$799)/100)^MAX(0,$C825-$AC$799),IF(DATE($C825,12,15)&gt;=$V$799,$Y$799*(1+($U$799)/100)^MAX(0,$C825-$AB$799),0)))))</f>
      </c>
      <c r="Q825" s="43">
        <f>SUM($E825:$P825)</f>
      </c>
    </row>
    <row r="826">
      <c r="A826"/>
      <c r="B826">
        <v>26</v>
      </c>
      <c r="C826" s="43">
        <f>Jahr+27</f>
      </c>
      <c r="D826" s="43">
        <f>INDEX(MvObj,26)</f>
      </c>
      <c r="E826" s="43">
        <f>IF($S$799=0,0,IF(OR(DATE($C826,1,15)&lt;$S$799,AND($T$799&gt;0,DATE($C826,1,15)&gt;$T$799)),0,IF(DATE($C826,1,15)&gt;=$X$799,$AA$799*(1+($U$799)/100)^MAX(0,$C826-$AD$799),IF(DATE($C826,1,15)&gt;=$W$799,$Z$799*(1+($U$799)/100)^MAX(0,$C826-$AC$799),IF(DATE($C826,1,15)&gt;=$V$799,$Y$799*(1+($U$799)/100)^MAX(0,$C826-$AB$799),0)))))</f>
      </c>
      <c r="F826" s="43">
        <f>IF($S$799=0,0,IF(OR(DATE($C826,2,15)&lt;$S$799,AND($T$799&gt;0,DATE($C826,2,15)&gt;$T$799)),0,IF(DATE($C826,2,15)&gt;=$X$799,$AA$799*(1+($U$799)/100)^MAX(0,$C826-$AD$799),IF(DATE($C826,2,15)&gt;=$W$799,$Z$799*(1+($U$799)/100)^MAX(0,$C826-$AC$799),IF(DATE($C826,2,15)&gt;=$V$799,$Y$799*(1+($U$799)/100)^MAX(0,$C826-$AB$799),0)))))</f>
      </c>
      <c r="G826" s="43">
        <f>IF($S$799=0,0,IF(OR(DATE($C826,3,15)&lt;$S$799,AND($T$799&gt;0,DATE($C826,3,15)&gt;$T$799)),0,IF(DATE($C826,3,15)&gt;=$X$799,$AA$799*(1+($U$799)/100)^MAX(0,$C826-$AD$799),IF(DATE($C826,3,15)&gt;=$W$799,$Z$799*(1+($U$799)/100)^MAX(0,$C826-$AC$799),IF(DATE($C826,3,15)&gt;=$V$799,$Y$799*(1+($U$799)/100)^MAX(0,$C826-$AB$799),0)))))</f>
      </c>
      <c r="H826" s="43">
        <f>IF($S$799=0,0,IF(OR(DATE($C826,4,15)&lt;$S$799,AND($T$799&gt;0,DATE($C826,4,15)&gt;$T$799)),0,IF(DATE($C826,4,15)&gt;=$X$799,$AA$799*(1+($U$799)/100)^MAX(0,$C826-$AD$799),IF(DATE($C826,4,15)&gt;=$W$799,$Z$799*(1+($U$799)/100)^MAX(0,$C826-$AC$799),IF(DATE($C826,4,15)&gt;=$V$799,$Y$799*(1+($U$799)/100)^MAX(0,$C826-$AB$799),0)))))</f>
      </c>
      <c r="I826" s="43">
        <f>IF($S$799=0,0,IF(OR(DATE($C826,5,15)&lt;$S$799,AND($T$799&gt;0,DATE($C826,5,15)&gt;$T$799)),0,IF(DATE($C826,5,15)&gt;=$X$799,$AA$799*(1+($U$799)/100)^MAX(0,$C826-$AD$799),IF(DATE($C826,5,15)&gt;=$W$799,$Z$799*(1+($U$799)/100)^MAX(0,$C826-$AC$799),IF(DATE($C826,5,15)&gt;=$V$799,$Y$799*(1+($U$799)/100)^MAX(0,$C826-$AB$799),0)))))</f>
      </c>
      <c r="J826" s="43">
        <f>IF($S$799=0,0,IF(OR(DATE($C826,6,15)&lt;$S$799,AND($T$799&gt;0,DATE($C826,6,15)&gt;$T$799)),0,IF(DATE($C826,6,15)&gt;=$X$799,$AA$799*(1+($U$799)/100)^MAX(0,$C826-$AD$799),IF(DATE($C826,6,15)&gt;=$W$799,$Z$799*(1+($U$799)/100)^MAX(0,$C826-$AC$799),IF(DATE($C826,6,15)&gt;=$V$799,$Y$799*(1+($U$799)/100)^MAX(0,$C826-$AB$799),0)))))</f>
      </c>
      <c r="K826" s="43">
        <f>IF($S$799=0,0,IF(OR(DATE($C826,7,15)&lt;$S$799,AND($T$799&gt;0,DATE($C826,7,15)&gt;$T$799)),0,IF(DATE($C826,7,15)&gt;=$X$799,$AA$799*(1+($U$799)/100)^MAX(0,$C826-$AD$799),IF(DATE($C826,7,15)&gt;=$W$799,$Z$799*(1+($U$799)/100)^MAX(0,$C826-$AC$799),IF(DATE($C826,7,15)&gt;=$V$799,$Y$799*(1+($U$799)/100)^MAX(0,$C826-$AB$799),0)))))</f>
      </c>
      <c r="L826" s="43">
        <f>IF($S$799=0,0,IF(OR(DATE($C826,8,15)&lt;$S$799,AND($T$799&gt;0,DATE($C826,8,15)&gt;$T$799)),0,IF(DATE($C826,8,15)&gt;=$X$799,$AA$799*(1+($U$799)/100)^MAX(0,$C826-$AD$799),IF(DATE($C826,8,15)&gt;=$W$799,$Z$799*(1+($U$799)/100)^MAX(0,$C826-$AC$799),IF(DATE($C826,8,15)&gt;=$V$799,$Y$799*(1+($U$799)/100)^MAX(0,$C826-$AB$799),0)))))</f>
      </c>
      <c r="M826" s="43">
        <f>IF($S$799=0,0,IF(OR(DATE($C826,9,15)&lt;$S$799,AND($T$799&gt;0,DATE($C826,9,15)&gt;$T$799)),0,IF(DATE($C826,9,15)&gt;=$X$799,$AA$799*(1+($U$799)/100)^MAX(0,$C826-$AD$799),IF(DATE($C826,9,15)&gt;=$W$799,$Z$799*(1+($U$799)/100)^MAX(0,$C826-$AC$799),IF(DATE($C826,9,15)&gt;=$V$799,$Y$799*(1+($U$799)/100)^MAX(0,$C826-$AB$799),0)))))</f>
      </c>
      <c r="N826" s="43">
        <f>IF($S$799=0,0,IF(OR(DATE($C826,10,15)&lt;$S$799,AND($T$799&gt;0,DATE($C826,10,15)&gt;$T$799)),0,IF(DATE($C826,10,15)&gt;=$X$799,$AA$799*(1+($U$799)/100)^MAX(0,$C826-$AD$799),IF(DATE($C826,10,15)&gt;=$W$799,$Z$799*(1+($U$799)/100)^MAX(0,$C826-$AC$799),IF(DATE($C826,10,15)&gt;=$V$799,$Y$799*(1+($U$799)/100)^MAX(0,$C826-$AB$799),0)))))</f>
      </c>
      <c r="O826" s="43">
        <f>IF($S$799=0,0,IF(OR(DATE($C826,11,15)&lt;$S$799,AND($T$799&gt;0,DATE($C826,11,15)&gt;$T$799)),0,IF(DATE($C826,11,15)&gt;=$X$799,$AA$799*(1+($U$799)/100)^MAX(0,$C826-$AD$799),IF(DATE($C826,11,15)&gt;=$W$799,$Z$799*(1+($U$799)/100)^MAX(0,$C826-$AC$799),IF(DATE($C826,11,15)&gt;=$V$799,$Y$799*(1+($U$799)/100)^MAX(0,$C826-$AB$799),0)))))</f>
      </c>
      <c r="P826" s="43">
        <f>IF($S$799=0,0,IF(OR(DATE($C826,12,15)&lt;$S$799,AND($T$799&gt;0,DATE($C826,12,15)&gt;$T$799)),0,IF(DATE($C826,12,15)&gt;=$X$799,$AA$799*(1+($U$799)/100)^MAX(0,$C826-$AD$799),IF(DATE($C826,12,15)&gt;=$W$799,$Z$799*(1+($U$799)/100)^MAX(0,$C826-$AC$799),IF(DATE($C826,12,15)&gt;=$V$799,$Y$799*(1+($U$799)/100)^MAX(0,$C826-$AB$799),0)))))</f>
      </c>
      <c r="Q826" s="43">
        <f>SUM($E826:$P826)</f>
      </c>
    </row>
    <row r="827">
      <c r="A827"/>
      <c r="B827">
        <v>26</v>
      </c>
      <c r="C827" s="43">
        <f>Jahr+28</f>
      </c>
      <c r="D827" s="43">
        <f>INDEX(MvObj,26)</f>
      </c>
      <c r="E827" s="43">
        <f>IF($S$799=0,0,IF(OR(DATE($C827,1,15)&lt;$S$799,AND($T$799&gt;0,DATE($C827,1,15)&gt;$T$799)),0,IF(DATE($C827,1,15)&gt;=$X$799,$AA$799*(1+($U$799)/100)^MAX(0,$C827-$AD$799),IF(DATE($C827,1,15)&gt;=$W$799,$Z$799*(1+($U$799)/100)^MAX(0,$C827-$AC$799),IF(DATE($C827,1,15)&gt;=$V$799,$Y$799*(1+($U$799)/100)^MAX(0,$C827-$AB$799),0)))))</f>
      </c>
      <c r="F827" s="43">
        <f>IF($S$799=0,0,IF(OR(DATE($C827,2,15)&lt;$S$799,AND($T$799&gt;0,DATE($C827,2,15)&gt;$T$799)),0,IF(DATE($C827,2,15)&gt;=$X$799,$AA$799*(1+($U$799)/100)^MAX(0,$C827-$AD$799),IF(DATE($C827,2,15)&gt;=$W$799,$Z$799*(1+($U$799)/100)^MAX(0,$C827-$AC$799),IF(DATE($C827,2,15)&gt;=$V$799,$Y$799*(1+($U$799)/100)^MAX(0,$C827-$AB$799),0)))))</f>
      </c>
      <c r="G827" s="43">
        <f>IF($S$799=0,0,IF(OR(DATE($C827,3,15)&lt;$S$799,AND($T$799&gt;0,DATE($C827,3,15)&gt;$T$799)),0,IF(DATE($C827,3,15)&gt;=$X$799,$AA$799*(1+($U$799)/100)^MAX(0,$C827-$AD$799),IF(DATE($C827,3,15)&gt;=$W$799,$Z$799*(1+($U$799)/100)^MAX(0,$C827-$AC$799),IF(DATE($C827,3,15)&gt;=$V$799,$Y$799*(1+($U$799)/100)^MAX(0,$C827-$AB$799),0)))))</f>
      </c>
      <c r="H827" s="43">
        <f>IF($S$799=0,0,IF(OR(DATE($C827,4,15)&lt;$S$799,AND($T$799&gt;0,DATE($C827,4,15)&gt;$T$799)),0,IF(DATE($C827,4,15)&gt;=$X$799,$AA$799*(1+($U$799)/100)^MAX(0,$C827-$AD$799),IF(DATE($C827,4,15)&gt;=$W$799,$Z$799*(1+($U$799)/100)^MAX(0,$C827-$AC$799),IF(DATE($C827,4,15)&gt;=$V$799,$Y$799*(1+($U$799)/100)^MAX(0,$C827-$AB$799),0)))))</f>
      </c>
      <c r="I827" s="43">
        <f>IF($S$799=0,0,IF(OR(DATE($C827,5,15)&lt;$S$799,AND($T$799&gt;0,DATE($C827,5,15)&gt;$T$799)),0,IF(DATE($C827,5,15)&gt;=$X$799,$AA$799*(1+($U$799)/100)^MAX(0,$C827-$AD$799),IF(DATE($C827,5,15)&gt;=$W$799,$Z$799*(1+($U$799)/100)^MAX(0,$C827-$AC$799),IF(DATE($C827,5,15)&gt;=$V$799,$Y$799*(1+($U$799)/100)^MAX(0,$C827-$AB$799),0)))))</f>
      </c>
      <c r="J827" s="43">
        <f>IF($S$799=0,0,IF(OR(DATE($C827,6,15)&lt;$S$799,AND($T$799&gt;0,DATE($C827,6,15)&gt;$T$799)),0,IF(DATE($C827,6,15)&gt;=$X$799,$AA$799*(1+($U$799)/100)^MAX(0,$C827-$AD$799),IF(DATE($C827,6,15)&gt;=$W$799,$Z$799*(1+($U$799)/100)^MAX(0,$C827-$AC$799),IF(DATE($C827,6,15)&gt;=$V$799,$Y$799*(1+($U$799)/100)^MAX(0,$C827-$AB$799),0)))))</f>
      </c>
      <c r="K827" s="43">
        <f>IF($S$799=0,0,IF(OR(DATE($C827,7,15)&lt;$S$799,AND($T$799&gt;0,DATE($C827,7,15)&gt;$T$799)),0,IF(DATE($C827,7,15)&gt;=$X$799,$AA$799*(1+($U$799)/100)^MAX(0,$C827-$AD$799),IF(DATE($C827,7,15)&gt;=$W$799,$Z$799*(1+($U$799)/100)^MAX(0,$C827-$AC$799),IF(DATE($C827,7,15)&gt;=$V$799,$Y$799*(1+($U$799)/100)^MAX(0,$C827-$AB$799),0)))))</f>
      </c>
      <c r="L827" s="43">
        <f>IF($S$799=0,0,IF(OR(DATE($C827,8,15)&lt;$S$799,AND($T$799&gt;0,DATE($C827,8,15)&gt;$T$799)),0,IF(DATE($C827,8,15)&gt;=$X$799,$AA$799*(1+($U$799)/100)^MAX(0,$C827-$AD$799),IF(DATE($C827,8,15)&gt;=$W$799,$Z$799*(1+($U$799)/100)^MAX(0,$C827-$AC$799),IF(DATE($C827,8,15)&gt;=$V$799,$Y$799*(1+($U$799)/100)^MAX(0,$C827-$AB$799),0)))))</f>
      </c>
      <c r="M827" s="43">
        <f>IF($S$799=0,0,IF(OR(DATE($C827,9,15)&lt;$S$799,AND($T$799&gt;0,DATE($C827,9,15)&gt;$T$799)),0,IF(DATE($C827,9,15)&gt;=$X$799,$AA$799*(1+($U$799)/100)^MAX(0,$C827-$AD$799),IF(DATE($C827,9,15)&gt;=$W$799,$Z$799*(1+($U$799)/100)^MAX(0,$C827-$AC$799),IF(DATE($C827,9,15)&gt;=$V$799,$Y$799*(1+($U$799)/100)^MAX(0,$C827-$AB$799),0)))))</f>
      </c>
      <c r="N827" s="43">
        <f>IF($S$799=0,0,IF(OR(DATE($C827,10,15)&lt;$S$799,AND($T$799&gt;0,DATE($C827,10,15)&gt;$T$799)),0,IF(DATE($C827,10,15)&gt;=$X$799,$AA$799*(1+($U$799)/100)^MAX(0,$C827-$AD$799),IF(DATE($C827,10,15)&gt;=$W$799,$Z$799*(1+($U$799)/100)^MAX(0,$C827-$AC$799),IF(DATE($C827,10,15)&gt;=$V$799,$Y$799*(1+($U$799)/100)^MAX(0,$C827-$AB$799),0)))))</f>
      </c>
      <c r="O827" s="43">
        <f>IF($S$799=0,0,IF(OR(DATE($C827,11,15)&lt;$S$799,AND($T$799&gt;0,DATE($C827,11,15)&gt;$T$799)),0,IF(DATE($C827,11,15)&gt;=$X$799,$AA$799*(1+($U$799)/100)^MAX(0,$C827-$AD$799),IF(DATE($C827,11,15)&gt;=$W$799,$Z$799*(1+($U$799)/100)^MAX(0,$C827-$AC$799),IF(DATE($C827,11,15)&gt;=$V$799,$Y$799*(1+($U$799)/100)^MAX(0,$C827-$AB$799),0)))))</f>
      </c>
      <c r="P827" s="43">
        <f>IF($S$799=0,0,IF(OR(DATE($C827,12,15)&lt;$S$799,AND($T$799&gt;0,DATE($C827,12,15)&gt;$T$799)),0,IF(DATE($C827,12,15)&gt;=$X$799,$AA$799*(1+($U$799)/100)^MAX(0,$C827-$AD$799),IF(DATE($C827,12,15)&gt;=$W$799,$Z$799*(1+($U$799)/100)^MAX(0,$C827-$AC$799),IF(DATE($C827,12,15)&gt;=$V$799,$Y$799*(1+($U$799)/100)^MAX(0,$C827-$AB$799),0)))))</f>
      </c>
      <c r="Q827" s="43">
        <f>SUM($E827:$P827)</f>
      </c>
    </row>
    <row r="828">
      <c r="A828"/>
      <c r="B828">
        <v>26</v>
      </c>
      <c r="C828" s="43">
        <f>Jahr+29</f>
      </c>
      <c r="D828" s="43">
        <f>INDEX(MvObj,26)</f>
      </c>
      <c r="E828" s="43">
        <f>IF($S$799=0,0,IF(OR(DATE($C828,1,15)&lt;$S$799,AND($T$799&gt;0,DATE($C828,1,15)&gt;$T$799)),0,IF(DATE($C828,1,15)&gt;=$X$799,$AA$799*(1+($U$799)/100)^MAX(0,$C828-$AD$799),IF(DATE($C828,1,15)&gt;=$W$799,$Z$799*(1+($U$799)/100)^MAX(0,$C828-$AC$799),IF(DATE($C828,1,15)&gt;=$V$799,$Y$799*(1+($U$799)/100)^MAX(0,$C828-$AB$799),0)))))</f>
      </c>
      <c r="F828" s="43">
        <f>IF($S$799=0,0,IF(OR(DATE($C828,2,15)&lt;$S$799,AND($T$799&gt;0,DATE($C828,2,15)&gt;$T$799)),0,IF(DATE($C828,2,15)&gt;=$X$799,$AA$799*(1+($U$799)/100)^MAX(0,$C828-$AD$799),IF(DATE($C828,2,15)&gt;=$W$799,$Z$799*(1+($U$799)/100)^MAX(0,$C828-$AC$799),IF(DATE($C828,2,15)&gt;=$V$799,$Y$799*(1+($U$799)/100)^MAX(0,$C828-$AB$799),0)))))</f>
      </c>
      <c r="G828" s="43">
        <f>IF($S$799=0,0,IF(OR(DATE($C828,3,15)&lt;$S$799,AND($T$799&gt;0,DATE($C828,3,15)&gt;$T$799)),0,IF(DATE($C828,3,15)&gt;=$X$799,$AA$799*(1+($U$799)/100)^MAX(0,$C828-$AD$799),IF(DATE($C828,3,15)&gt;=$W$799,$Z$799*(1+($U$799)/100)^MAX(0,$C828-$AC$799),IF(DATE($C828,3,15)&gt;=$V$799,$Y$799*(1+($U$799)/100)^MAX(0,$C828-$AB$799),0)))))</f>
      </c>
      <c r="H828" s="43">
        <f>IF($S$799=0,0,IF(OR(DATE($C828,4,15)&lt;$S$799,AND($T$799&gt;0,DATE($C828,4,15)&gt;$T$799)),0,IF(DATE($C828,4,15)&gt;=$X$799,$AA$799*(1+($U$799)/100)^MAX(0,$C828-$AD$799),IF(DATE($C828,4,15)&gt;=$W$799,$Z$799*(1+($U$799)/100)^MAX(0,$C828-$AC$799),IF(DATE($C828,4,15)&gt;=$V$799,$Y$799*(1+($U$799)/100)^MAX(0,$C828-$AB$799),0)))))</f>
      </c>
      <c r="I828" s="43">
        <f>IF($S$799=0,0,IF(OR(DATE($C828,5,15)&lt;$S$799,AND($T$799&gt;0,DATE($C828,5,15)&gt;$T$799)),0,IF(DATE($C828,5,15)&gt;=$X$799,$AA$799*(1+($U$799)/100)^MAX(0,$C828-$AD$799),IF(DATE($C828,5,15)&gt;=$W$799,$Z$799*(1+($U$799)/100)^MAX(0,$C828-$AC$799),IF(DATE($C828,5,15)&gt;=$V$799,$Y$799*(1+($U$799)/100)^MAX(0,$C828-$AB$799),0)))))</f>
      </c>
      <c r="J828" s="43">
        <f>IF($S$799=0,0,IF(OR(DATE($C828,6,15)&lt;$S$799,AND($T$799&gt;0,DATE($C828,6,15)&gt;$T$799)),0,IF(DATE($C828,6,15)&gt;=$X$799,$AA$799*(1+($U$799)/100)^MAX(0,$C828-$AD$799),IF(DATE($C828,6,15)&gt;=$W$799,$Z$799*(1+($U$799)/100)^MAX(0,$C828-$AC$799),IF(DATE($C828,6,15)&gt;=$V$799,$Y$799*(1+($U$799)/100)^MAX(0,$C828-$AB$799),0)))))</f>
      </c>
      <c r="K828" s="43">
        <f>IF($S$799=0,0,IF(OR(DATE($C828,7,15)&lt;$S$799,AND($T$799&gt;0,DATE($C828,7,15)&gt;$T$799)),0,IF(DATE($C828,7,15)&gt;=$X$799,$AA$799*(1+($U$799)/100)^MAX(0,$C828-$AD$799),IF(DATE($C828,7,15)&gt;=$W$799,$Z$799*(1+($U$799)/100)^MAX(0,$C828-$AC$799),IF(DATE($C828,7,15)&gt;=$V$799,$Y$799*(1+($U$799)/100)^MAX(0,$C828-$AB$799),0)))))</f>
      </c>
      <c r="L828" s="43">
        <f>IF($S$799=0,0,IF(OR(DATE($C828,8,15)&lt;$S$799,AND($T$799&gt;0,DATE($C828,8,15)&gt;$T$799)),0,IF(DATE($C828,8,15)&gt;=$X$799,$AA$799*(1+($U$799)/100)^MAX(0,$C828-$AD$799),IF(DATE($C828,8,15)&gt;=$W$799,$Z$799*(1+($U$799)/100)^MAX(0,$C828-$AC$799),IF(DATE($C828,8,15)&gt;=$V$799,$Y$799*(1+($U$799)/100)^MAX(0,$C828-$AB$799),0)))))</f>
      </c>
      <c r="M828" s="43">
        <f>IF($S$799=0,0,IF(OR(DATE($C828,9,15)&lt;$S$799,AND($T$799&gt;0,DATE($C828,9,15)&gt;$T$799)),0,IF(DATE($C828,9,15)&gt;=$X$799,$AA$799*(1+($U$799)/100)^MAX(0,$C828-$AD$799),IF(DATE($C828,9,15)&gt;=$W$799,$Z$799*(1+($U$799)/100)^MAX(0,$C828-$AC$799),IF(DATE($C828,9,15)&gt;=$V$799,$Y$799*(1+($U$799)/100)^MAX(0,$C828-$AB$799),0)))))</f>
      </c>
      <c r="N828" s="43">
        <f>IF($S$799=0,0,IF(OR(DATE($C828,10,15)&lt;$S$799,AND($T$799&gt;0,DATE($C828,10,15)&gt;$T$799)),0,IF(DATE($C828,10,15)&gt;=$X$799,$AA$799*(1+($U$799)/100)^MAX(0,$C828-$AD$799),IF(DATE($C828,10,15)&gt;=$W$799,$Z$799*(1+($U$799)/100)^MAX(0,$C828-$AC$799),IF(DATE($C828,10,15)&gt;=$V$799,$Y$799*(1+($U$799)/100)^MAX(0,$C828-$AB$799),0)))))</f>
      </c>
      <c r="O828" s="43">
        <f>IF($S$799=0,0,IF(OR(DATE($C828,11,15)&lt;$S$799,AND($T$799&gt;0,DATE($C828,11,15)&gt;$T$799)),0,IF(DATE($C828,11,15)&gt;=$X$799,$AA$799*(1+($U$799)/100)^MAX(0,$C828-$AD$799),IF(DATE($C828,11,15)&gt;=$W$799,$Z$799*(1+($U$799)/100)^MAX(0,$C828-$AC$799),IF(DATE($C828,11,15)&gt;=$V$799,$Y$799*(1+($U$799)/100)^MAX(0,$C828-$AB$799),0)))))</f>
      </c>
      <c r="P828" s="43">
        <f>IF($S$799=0,0,IF(OR(DATE($C828,12,15)&lt;$S$799,AND($T$799&gt;0,DATE($C828,12,15)&gt;$T$799)),0,IF(DATE($C828,12,15)&gt;=$X$799,$AA$799*(1+($U$799)/100)^MAX(0,$C828-$AD$799),IF(DATE($C828,12,15)&gt;=$W$799,$Z$799*(1+($U$799)/100)^MAX(0,$C828-$AC$799),IF(DATE($C828,12,15)&gt;=$V$799,$Y$799*(1+($U$799)/100)^MAX(0,$C828-$AB$799),0)))))</f>
      </c>
      <c r="Q828" s="43">
        <f>SUM($E828:$P828)</f>
      </c>
    </row>
    <row r="829">
      <c r="A829"/>
      <c r="B829">
        <v>26</v>
      </c>
      <c r="C829" s="43">
        <f>Jahr+30</f>
      </c>
      <c r="D829" s="43">
        <f>INDEX(MvObj,26)</f>
      </c>
      <c r="E829" s="43">
        <f>IF($S$799=0,0,IF(OR(DATE($C829,1,15)&lt;$S$799,AND($T$799&gt;0,DATE($C829,1,15)&gt;$T$799)),0,IF(DATE($C829,1,15)&gt;=$X$799,$AA$799*(1+($U$799)/100)^MAX(0,$C829-$AD$799),IF(DATE($C829,1,15)&gt;=$W$799,$Z$799*(1+($U$799)/100)^MAX(0,$C829-$AC$799),IF(DATE($C829,1,15)&gt;=$V$799,$Y$799*(1+($U$799)/100)^MAX(0,$C829-$AB$799),0)))))</f>
      </c>
      <c r="F829" s="43">
        <f>IF($S$799=0,0,IF(OR(DATE($C829,2,15)&lt;$S$799,AND($T$799&gt;0,DATE($C829,2,15)&gt;$T$799)),0,IF(DATE($C829,2,15)&gt;=$X$799,$AA$799*(1+($U$799)/100)^MAX(0,$C829-$AD$799),IF(DATE($C829,2,15)&gt;=$W$799,$Z$799*(1+($U$799)/100)^MAX(0,$C829-$AC$799),IF(DATE($C829,2,15)&gt;=$V$799,$Y$799*(1+($U$799)/100)^MAX(0,$C829-$AB$799),0)))))</f>
      </c>
      <c r="G829" s="43">
        <f>IF($S$799=0,0,IF(OR(DATE($C829,3,15)&lt;$S$799,AND($T$799&gt;0,DATE($C829,3,15)&gt;$T$799)),0,IF(DATE($C829,3,15)&gt;=$X$799,$AA$799*(1+($U$799)/100)^MAX(0,$C829-$AD$799),IF(DATE($C829,3,15)&gt;=$W$799,$Z$799*(1+($U$799)/100)^MAX(0,$C829-$AC$799),IF(DATE($C829,3,15)&gt;=$V$799,$Y$799*(1+($U$799)/100)^MAX(0,$C829-$AB$799),0)))))</f>
      </c>
      <c r="H829" s="43">
        <f>IF($S$799=0,0,IF(OR(DATE($C829,4,15)&lt;$S$799,AND($T$799&gt;0,DATE($C829,4,15)&gt;$T$799)),0,IF(DATE($C829,4,15)&gt;=$X$799,$AA$799*(1+($U$799)/100)^MAX(0,$C829-$AD$799),IF(DATE($C829,4,15)&gt;=$W$799,$Z$799*(1+($U$799)/100)^MAX(0,$C829-$AC$799),IF(DATE($C829,4,15)&gt;=$V$799,$Y$799*(1+($U$799)/100)^MAX(0,$C829-$AB$799),0)))))</f>
      </c>
      <c r="I829" s="43">
        <f>IF($S$799=0,0,IF(OR(DATE($C829,5,15)&lt;$S$799,AND($T$799&gt;0,DATE($C829,5,15)&gt;$T$799)),0,IF(DATE($C829,5,15)&gt;=$X$799,$AA$799*(1+($U$799)/100)^MAX(0,$C829-$AD$799),IF(DATE($C829,5,15)&gt;=$W$799,$Z$799*(1+($U$799)/100)^MAX(0,$C829-$AC$799),IF(DATE($C829,5,15)&gt;=$V$799,$Y$799*(1+($U$799)/100)^MAX(0,$C829-$AB$799),0)))))</f>
      </c>
      <c r="J829" s="43">
        <f>IF($S$799=0,0,IF(OR(DATE($C829,6,15)&lt;$S$799,AND($T$799&gt;0,DATE($C829,6,15)&gt;$T$799)),0,IF(DATE($C829,6,15)&gt;=$X$799,$AA$799*(1+($U$799)/100)^MAX(0,$C829-$AD$799),IF(DATE($C829,6,15)&gt;=$W$799,$Z$799*(1+($U$799)/100)^MAX(0,$C829-$AC$799),IF(DATE($C829,6,15)&gt;=$V$799,$Y$799*(1+($U$799)/100)^MAX(0,$C829-$AB$799),0)))))</f>
      </c>
      <c r="K829" s="43">
        <f>IF($S$799=0,0,IF(OR(DATE($C829,7,15)&lt;$S$799,AND($T$799&gt;0,DATE($C829,7,15)&gt;$T$799)),0,IF(DATE($C829,7,15)&gt;=$X$799,$AA$799*(1+($U$799)/100)^MAX(0,$C829-$AD$799),IF(DATE($C829,7,15)&gt;=$W$799,$Z$799*(1+($U$799)/100)^MAX(0,$C829-$AC$799),IF(DATE($C829,7,15)&gt;=$V$799,$Y$799*(1+($U$799)/100)^MAX(0,$C829-$AB$799),0)))))</f>
      </c>
      <c r="L829" s="43">
        <f>IF($S$799=0,0,IF(OR(DATE($C829,8,15)&lt;$S$799,AND($T$799&gt;0,DATE($C829,8,15)&gt;$T$799)),0,IF(DATE($C829,8,15)&gt;=$X$799,$AA$799*(1+($U$799)/100)^MAX(0,$C829-$AD$799),IF(DATE($C829,8,15)&gt;=$W$799,$Z$799*(1+($U$799)/100)^MAX(0,$C829-$AC$799),IF(DATE($C829,8,15)&gt;=$V$799,$Y$799*(1+($U$799)/100)^MAX(0,$C829-$AB$799),0)))))</f>
      </c>
      <c r="M829" s="43">
        <f>IF($S$799=0,0,IF(OR(DATE($C829,9,15)&lt;$S$799,AND($T$799&gt;0,DATE($C829,9,15)&gt;$T$799)),0,IF(DATE($C829,9,15)&gt;=$X$799,$AA$799*(1+($U$799)/100)^MAX(0,$C829-$AD$799),IF(DATE($C829,9,15)&gt;=$W$799,$Z$799*(1+($U$799)/100)^MAX(0,$C829-$AC$799),IF(DATE($C829,9,15)&gt;=$V$799,$Y$799*(1+($U$799)/100)^MAX(0,$C829-$AB$799),0)))))</f>
      </c>
      <c r="N829" s="43">
        <f>IF($S$799=0,0,IF(OR(DATE($C829,10,15)&lt;$S$799,AND($T$799&gt;0,DATE($C829,10,15)&gt;$T$799)),0,IF(DATE($C829,10,15)&gt;=$X$799,$AA$799*(1+($U$799)/100)^MAX(0,$C829-$AD$799),IF(DATE($C829,10,15)&gt;=$W$799,$Z$799*(1+($U$799)/100)^MAX(0,$C829-$AC$799),IF(DATE($C829,10,15)&gt;=$V$799,$Y$799*(1+($U$799)/100)^MAX(0,$C829-$AB$799),0)))))</f>
      </c>
      <c r="O829" s="43">
        <f>IF($S$799=0,0,IF(OR(DATE($C829,11,15)&lt;$S$799,AND($T$799&gt;0,DATE($C829,11,15)&gt;$T$799)),0,IF(DATE($C829,11,15)&gt;=$X$799,$AA$799*(1+($U$799)/100)^MAX(0,$C829-$AD$799),IF(DATE($C829,11,15)&gt;=$W$799,$Z$799*(1+($U$799)/100)^MAX(0,$C829-$AC$799),IF(DATE($C829,11,15)&gt;=$V$799,$Y$799*(1+($U$799)/100)^MAX(0,$C829-$AB$799),0)))))</f>
      </c>
      <c r="P829" s="43">
        <f>IF($S$799=0,0,IF(OR(DATE($C829,12,15)&lt;$S$799,AND($T$799&gt;0,DATE($C829,12,15)&gt;$T$799)),0,IF(DATE($C829,12,15)&gt;=$X$799,$AA$799*(1+($U$799)/100)^MAX(0,$C829-$AD$799),IF(DATE($C829,12,15)&gt;=$W$799,$Z$799*(1+($U$799)/100)^MAX(0,$C829-$AC$799),IF(DATE($C829,12,15)&gt;=$V$799,$Y$799*(1+($U$799)/100)^MAX(0,$C829-$AB$799),0)))))</f>
      </c>
      <c r="Q829" s="43">
        <f>SUM($E829:$P829)</f>
      </c>
    </row>
    <row r="830">
      <c r="A830"/>
      <c r="B830">
        <v>27</v>
      </c>
      <c r="C830" s="43">
        <f>Jahr+0</f>
      </c>
      <c r="D830" s="43">
        <f>INDEX(MvObj,27)</f>
      </c>
      <c r="E830" s="43">
        <f>IF($S$830=0,0,IF(OR(DATE($C830,1,15)&lt;$S$830,AND($T$830&gt;0,DATE($C830,1,15)&gt;$T$830)),0,IF(DATE($C830,1,15)&gt;=$X$830,$AA$830*(1+($U$830)/100)^MAX(0,$C830-$AD$830),IF(DATE($C830,1,15)&gt;=$W$830,$Z$830*(1+($U$830)/100)^MAX(0,$C830-$AC$830),IF(DATE($C830,1,15)&gt;=$V$830,$Y$830*(1+($U$830)/100)^MAX(0,$C830-$AB$830),0)))))</f>
      </c>
      <c r="F830" s="43">
        <f>IF($S$830=0,0,IF(OR(DATE($C830,2,15)&lt;$S$830,AND($T$830&gt;0,DATE($C830,2,15)&gt;$T$830)),0,IF(DATE($C830,2,15)&gt;=$X$830,$AA$830*(1+($U$830)/100)^MAX(0,$C830-$AD$830),IF(DATE($C830,2,15)&gt;=$W$830,$Z$830*(1+($U$830)/100)^MAX(0,$C830-$AC$830),IF(DATE($C830,2,15)&gt;=$V$830,$Y$830*(1+($U$830)/100)^MAX(0,$C830-$AB$830),0)))))</f>
      </c>
      <c r="G830" s="43">
        <f>IF($S$830=0,0,IF(OR(DATE($C830,3,15)&lt;$S$830,AND($T$830&gt;0,DATE($C830,3,15)&gt;$T$830)),0,IF(DATE($C830,3,15)&gt;=$X$830,$AA$830*(1+($U$830)/100)^MAX(0,$C830-$AD$830),IF(DATE($C830,3,15)&gt;=$W$830,$Z$830*(1+($U$830)/100)^MAX(0,$C830-$AC$830),IF(DATE($C830,3,15)&gt;=$V$830,$Y$830*(1+($U$830)/100)^MAX(0,$C830-$AB$830),0)))))</f>
      </c>
      <c r="H830" s="43">
        <f>IF($S$830=0,0,IF(OR(DATE($C830,4,15)&lt;$S$830,AND($T$830&gt;0,DATE($C830,4,15)&gt;$T$830)),0,IF(DATE($C830,4,15)&gt;=$X$830,$AA$830*(1+($U$830)/100)^MAX(0,$C830-$AD$830),IF(DATE($C830,4,15)&gt;=$W$830,$Z$830*(1+($U$830)/100)^MAX(0,$C830-$AC$830),IF(DATE($C830,4,15)&gt;=$V$830,$Y$830*(1+($U$830)/100)^MAX(0,$C830-$AB$830),0)))))</f>
      </c>
      <c r="I830" s="43">
        <f>IF($S$830=0,0,IF(OR(DATE($C830,5,15)&lt;$S$830,AND($T$830&gt;0,DATE($C830,5,15)&gt;$T$830)),0,IF(DATE($C830,5,15)&gt;=$X$830,$AA$830*(1+($U$830)/100)^MAX(0,$C830-$AD$830),IF(DATE($C830,5,15)&gt;=$W$830,$Z$830*(1+($U$830)/100)^MAX(0,$C830-$AC$830),IF(DATE($C830,5,15)&gt;=$V$830,$Y$830*(1+($U$830)/100)^MAX(0,$C830-$AB$830),0)))))</f>
      </c>
      <c r="J830" s="43">
        <f>IF($S$830=0,0,IF(OR(DATE($C830,6,15)&lt;$S$830,AND($T$830&gt;0,DATE($C830,6,15)&gt;$T$830)),0,IF(DATE($C830,6,15)&gt;=$X$830,$AA$830*(1+($U$830)/100)^MAX(0,$C830-$AD$830),IF(DATE($C830,6,15)&gt;=$W$830,$Z$830*(1+($U$830)/100)^MAX(0,$C830-$AC$830),IF(DATE($C830,6,15)&gt;=$V$830,$Y$830*(1+($U$830)/100)^MAX(0,$C830-$AB$830),0)))))</f>
      </c>
      <c r="K830" s="43">
        <f>IF($S$830=0,0,IF(OR(DATE($C830,7,15)&lt;$S$830,AND($T$830&gt;0,DATE($C830,7,15)&gt;$T$830)),0,IF(DATE($C830,7,15)&gt;=$X$830,$AA$830*(1+($U$830)/100)^MAX(0,$C830-$AD$830),IF(DATE($C830,7,15)&gt;=$W$830,$Z$830*(1+($U$830)/100)^MAX(0,$C830-$AC$830),IF(DATE($C830,7,15)&gt;=$V$830,$Y$830*(1+($U$830)/100)^MAX(0,$C830-$AB$830),0)))))</f>
      </c>
      <c r="L830" s="43">
        <f>IF($S$830=0,0,IF(OR(DATE($C830,8,15)&lt;$S$830,AND($T$830&gt;0,DATE($C830,8,15)&gt;$T$830)),0,IF(DATE($C830,8,15)&gt;=$X$830,$AA$830*(1+($U$830)/100)^MAX(0,$C830-$AD$830),IF(DATE($C830,8,15)&gt;=$W$830,$Z$830*(1+($U$830)/100)^MAX(0,$C830-$AC$830),IF(DATE($C830,8,15)&gt;=$V$830,$Y$830*(1+($U$830)/100)^MAX(0,$C830-$AB$830),0)))))</f>
      </c>
      <c r="M830" s="43">
        <f>IF($S$830=0,0,IF(OR(DATE($C830,9,15)&lt;$S$830,AND($T$830&gt;0,DATE($C830,9,15)&gt;$T$830)),0,IF(DATE($C830,9,15)&gt;=$X$830,$AA$830*(1+($U$830)/100)^MAX(0,$C830-$AD$830),IF(DATE($C830,9,15)&gt;=$W$830,$Z$830*(1+($U$830)/100)^MAX(0,$C830-$AC$830),IF(DATE($C830,9,15)&gt;=$V$830,$Y$830*(1+($U$830)/100)^MAX(0,$C830-$AB$830),0)))))</f>
      </c>
      <c r="N830" s="43">
        <f>IF($S$830=0,0,IF(OR(DATE($C830,10,15)&lt;$S$830,AND($T$830&gt;0,DATE($C830,10,15)&gt;$T$830)),0,IF(DATE($C830,10,15)&gt;=$X$830,$AA$830*(1+($U$830)/100)^MAX(0,$C830-$AD$830),IF(DATE($C830,10,15)&gt;=$W$830,$Z$830*(1+($U$830)/100)^MAX(0,$C830-$AC$830),IF(DATE($C830,10,15)&gt;=$V$830,$Y$830*(1+($U$830)/100)^MAX(0,$C830-$AB$830),0)))))</f>
      </c>
      <c r="O830" s="43">
        <f>IF($S$830=0,0,IF(OR(DATE($C830,11,15)&lt;$S$830,AND($T$830&gt;0,DATE($C830,11,15)&gt;$T$830)),0,IF(DATE($C830,11,15)&gt;=$X$830,$AA$830*(1+($U$830)/100)^MAX(0,$C830-$AD$830),IF(DATE($C830,11,15)&gt;=$W$830,$Z$830*(1+($U$830)/100)^MAX(0,$C830-$AC$830),IF(DATE($C830,11,15)&gt;=$V$830,$Y$830*(1+($U$830)/100)^MAX(0,$C830-$AB$830),0)))))</f>
      </c>
      <c r="P830" s="43">
        <f>IF($S$830=0,0,IF(OR(DATE($C830,12,15)&lt;$S$830,AND($T$830&gt;0,DATE($C830,12,15)&gt;$T$830)),0,IF(DATE($C830,12,15)&gt;=$X$830,$AA$830*(1+($U$830)/100)^MAX(0,$C830-$AD$830),IF(DATE($C830,12,15)&gt;=$W$830,$Z$830*(1+($U$830)/100)^MAX(0,$C830-$AC$830),IF(DATE($C830,12,15)&gt;=$V$830,$Y$830*(1+($U$830)/100)^MAX(0,$C830-$AB$830),0)))))</f>
      </c>
      <c r="Q830" s="43">
        <f>SUM($E830:$P830)</f>
      </c>
      <c r="R830"/>
      <c r="S830" s="43">
        <f>IF(INDEX(MvBeginn,27)="",0,INDEX(MvBeginn,27))</f>
      </c>
      <c r="T830" s="43">
        <f>INDEX(MvEnde,27)</f>
      </c>
      <c r="U830" s="43">
        <f>INDEX(MvSatz,27)</f>
      </c>
      <c r="V830" s="43">
        <f>INDEX(MvKey1,27)</f>
      </c>
      <c r="W830" s="43">
        <f>INDEX(MvKey2,27)</f>
      </c>
      <c r="X830" s="43">
        <f>INDEX(MvKey3,27)</f>
      </c>
      <c r="Y830" s="43">
        <f>INDEX(MvKalt1,27)</f>
      </c>
      <c r="Z830" s="43">
        <f>INDEX(MvKalt2,27)</f>
      </c>
      <c r="AA830" s="43">
        <f>INDEX(MvKalt3,27)</f>
      </c>
      <c r="AB830" s="43">
        <f>MAX(YEAR(INDEX(MvAb1,27)),Jahr)</f>
      </c>
      <c r="AC830" s="43">
        <f>MAX(YEAR(INDEX(MvAb2,27)),Jahr)</f>
      </c>
      <c r="AD830" s="43">
        <f>MAX(YEAR(INDEX(MvAb3,27)),Jahr)</f>
      </c>
    </row>
    <row r="831">
      <c r="A831"/>
      <c r="B831">
        <v>27</v>
      </c>
      <c r="C831" s="43">
        <f>Jahr+1</f>
      </c>
      <c r="D831" s="43">
        <f>INDEX(MvObj,27)</f>
      </c>
      <c r="E831" s="43">
        <f>IF($S$830=0,0,IF(OR(DATE($C831,1,15)&lt;$S$830,AND($T$830&gt;0,DATE($C831,1,15)&gt;$T$830)),0,IF(DATE($C831,1,15)&gt;=$X$830,$AA$830*(1+($U$830)/100)^MAX(0,$C831-$AD$830),IF(DATE($C831,1,15)&gt;=$W$830,$Z$830*(1+($U$830)/100)^MAX(0,$C831-$AC$830),IF(DATE($C831,1,15)&gt;=$V$830,$Y$830*(1+($U$830)/100)^MAX(0,$C831-$AB$830),0)))))</f>
      </c>
      <c r="F831" s="43">
        <f>IF($S$830=0,0,IF(OR(DATE($C831,2,15)&lt;$S$830,AND($T$830&gt;0,DATE($C831,2,15)&gt;$T$830)),0,IF(DATE($C831,2,15)&gt;=$X$830,$AA$830*(1+($U$830)/100)^MAX(0,$C831-$AD$830),IF(DATE($C831,2,15)&gt;=$W$830,$Z$830*(1+($U$830)/100)^MAX(0,$C831-$AC$830),IF(DATE($C831,2,15)&gt;=$V$830,$Y$830*(1+($U$830)/100)^MAX(0,$C831-$AB$830),0)))))</f>
      </c>
      <c r="G831" s="43">
        <f>IF($S$830=0,0,IF(OR(DATE($C831,3,15)&lt;$S$830,AND($T$830&gt;0,DATE($C831,3,15)&gt;$T$830)),0,IF(DATE($C831,3,15)&gt;=$X$830,$AA$830*(1+($U$830)/100)^MAX(0,$C831-$AD$830),IF(DATE($C831,3,15)&gt;=$W$830,$Z$830*(1+($U$830)/100)^MAX(0,$C831-$AC$830),IF(DATE($C831,3,15)&gt;=$V$830,$Y$830*(1+($U$830)/100)^MAX(0,$C831-$AB$830),0)))))</f>
      </c>
      <c r="H831" s="43">
        <f>IF($S$830=0,0,IF(OR(DATE($C831,4,15)&lt;$S$830,AND($T$830&gt;0,DATE($C831,4,15)&gt;$T$830)),0,IF(DATE($C831,4,15)&gt;=$X$830,$AA$830*(1+($U$830)/100)^MAX(0,$C831-$AD$830),IF(DATE($C831,4,15)&gt;=$W$830,$Z$830*(1+($U$830)/100)^MAX(0,$C831-$AC$830),IF(DATE($C831,4,15)&gt;=$V$830,$Y$830*(1+($U$830)/100)^MAX(0,$C831-$AB$830),0)))))</f>
      </c>
      <c r="I831" s="43">
        <f>IF($S$830=0,0,IF(OR(DATE($C831,5,15)&lt;$S$830,AND($T$830&gt;0,DATE($C831,5,15)&gt;$T$830)),0,IF(DATE($C831,5,15)&gt;=$X$830,$AA$830*(1+($U$830)/100)^MAX(0,$C831-$AD$830),IF(DATE($C831,5,15)&gt;=$W$830,$Z$830*(1+($U$830)/100)^MAX(0,$C831-$AC$830),IF(DATE($C831,5,15)&gt;=$V$830,$Y$830*(1+($U$830)/100)^MAX(0,$C831-$AB$830),0)))))</f>
      </c>
      <c r="J831" s="43">
        <f>IF($S$830=0,0,IF(OR(DATE($C831,6,15)&lt;$S$830,AND($T$830&gt;0,DATE($C831,6,15)&gt;$T$830)),0,IF(DATE($C831,6,15)&gt;=$X$830,$AA$830*(1+($U$830)/100)^MAX(0,$C831-$AD$830),IF(DATE($C831,6,15)&gt;=$W$830,$Z$830*(1+($U$830)/100)^MAX(0,$C831-$AC$830),IF(DATE($C831,6,15)&gt;=$V$830,$Y$830*(1+($U$830)/100)^MAX(0,$C831-$AB$830),0)))))</f>
      </c>
      <c r="K831" s="43">
        <f>IF($S$830=0,0,IF(OR(DATE($C831,7,15)&lt;$S$830,AND($T$830&gt;0,DATE($C831,7,15)&gt;$T$830)),0,IF(DATE($C831,7,15)&gt;=$X$830,$AA$830*(1+($U$830)/100)^MAX(0,$C831-$AD$830),IF(DATE($C831,7,15)&gt;=$W$830,$Z$830*(1+($U$830)/100)^MAX(0,$C831-$AC$830),IF(DATE($C831,7,15)&gt;=$V$830,$Y$830*(1+($U$830)/100)^MAX(0,$C831-$AB$830),0)))))</f>
      </c>
      <c r="L831" s="43">
        <f>IF($S$830=0,0,IF(OR(DATE($C831,8,15)&lt;$S$830,AND($T$830&gt;0,DATE($C831,8,15)&gt;$T$830)),0,IF(DATE($C831,8,15)&gt;=$X$830,$AA$830*(1+($U$830)/100)^MAX(0,$C831-$AD$830),IF(DATE($C831,8,15)&gt;=$W$830,$Z$830*(1+($U$830)/100)^MAX(0,$C831-$AC$830),IF(DATE($C831,8,15)&gt;=$V$830,$Y$830*(1+($U$830)/100)^MAX(0,$C831-$AB$830),0)))))</f>
      </c>
      <c r="M831" s="43">
        <f>IF($S$830=0,0,IF(OR(DATE($C831,9,15)&lt;$S$830,AND($T$830&gt;0,DATE($C831,9,15)&gt;$T$830)),0,IF(DATE($C831,9,15)&gt;=$X$830,$AA$830*(1+($U$830)/100)^MAX(0,$C831-$AD$830),IF(DATE($C831,9,15)&gt;=$W$830,$Z$830*(1+($U$830)/100)^MAX(0,$C831-$AC$830),IF(DATE($C831,9,15)&gt;=$V$830,$Y$830*(1+($U$830)/100)^MAX(0,$C831-$AB$830),0)))))</f>
      </c>
      <c r="N831" s="43">
        <f>IF($S$830=0,0,IF(OR(DATE($C831,10,15)&lt;$S$830,AND($T$830&gt;0,DATE($C831,10,15)&gt;$T$830)),0,IF(DATE($C831,10,15)&gt;=$X$830,$AA$830*(1+($U$830)/100)^MAX(0,$C831-$AD$830),IF(DATE($C831,10,15)&gt;=$W$830,$Z$830*(1+($U$830)/100)^MAX(0,$C831-$AC$830),IF(DATE($C831,10,15)&gt;=$V$830,$Y$830*(1+($U$830)/100)^MAX(0,$C831-$AB$830),0)))))</f>
      </c>
      <c r="O831" s="43">
        <f>IF($S$830=0,0,IF(OR(DATE($C831,11,15)&lt;$S$830,AND($T$830&gt;0,DATE($C831,11,15)&gt;$T$830)),0,IF(DATE($C831,11,15)&gt;=$X$830,$AA$830*(1+($U$830)/100)^MAX(0,$C831-$AD$830),IF(DATE($C831,11,15)&gt;=$W$830,$Z$830*(1+($U$830)/100)^MAX(0,$C831-$AC$830),IF(DATE($C831,11,15)&gt;=$V$830,$Y$830*(1+($U$830)/100)^MAX(0,$C831-$AB$830),0)))))</f>
      </c>
      <c r="P831" s="43">
        <f>IF($S$830=0,0,IF(OR(DATE($C831,12,15)&lt;$S$830,AND($T$830&gt;0,DATE($C831,12,15)&gt;$T$830)),0,IF(DATE($C831,12,15)&gt;=$X$830,$AA$830*(1+($U$830)/100)^MAX(0,$C831-$AD$830),IF(DATE($C831,12,15)&gt;=$W$830,$Z$830*(1+($U$830)/100)^MAX(0,$C831-$AC$830),IF(DATE($C831,12,15)&gt;=$V$830,$Y$830*(1+($U$830)/100)^MAX(0,$C831-$AB$830),0)))))</f>
      </c>
      <c r="Q831" s="43">
        <f>SUM($E831:$P831)</f>
      </c>
    </row>
    <row r="832">
      <c r="A832"/>
      <c r="B832">
        <v>27</v>
      </c>
      <c r="C832" s="43">
        <f>Jahr+2</f>
      </c>
      <c r="D832" s="43">
        <f>INDEX(MvObj,27)</f>
      </c>
      <c r="E832" s="43">
        <f>IF($S$830=0,0,IF(OR(DATE($C832,1,15)&lt;$S$830,AND($T$830&gt;0,DATE($C832,1,15)&gt;$T$830)),0,IF(DATE($C832,1,15)&gt;=$X$830,$AA$830*(1+($U$830)/100)^MAX(0,$C832-$AD$830),IF(DATE($C832,1,15)&gt;=$W$830,$Z$830*(1+($U$830)/100)^MAX(0,$C832-$AC$830),IF(DATE($C832,1,15)&gt;=$V$830,$Y$830*(1+($U$830)/100)^MAX(0,$C832-$AB$830),0)))))</f>
      </c>
      <c r="F832" s="43">
        <f>IF($S$830=0,0,IF(OR(DATE($C832,2,15)&lt;$S$830,AND($T$830&gt;0,DATE($C832,2,15)&gt;$T$830)),0,IF(DATE($C832,2,15)&gt;=$X$830,$AA$830*(1+($U$830)/100)^MAX(0,$C832-$AD$830),IF(DATE($C832,2,15)&gt;=$W$830,$Z$830*(1+($U$830)/100)^MAX(0,$C832-$AC$830),IF(DATE($C832,2,15)&gt;=$V$830,$Y$830*(1+($U$830)/100)^MAX(0,$C832-$AB$830),0)))))</f>
      </c>
      <c r="G832" s="43">
        <f>IF($S$830=0,0,IF(OR(DATE($C832,3,15)&lt;$S$830,AND($T$830&gt;0,DATE($C832,3,15)&gt;$T$830)),0,IF(DATE($C832,3,15)&gt;=$X$830,$AA$830*(1+($U$830)/100)^MAX(0,$C832-$AD$830),IF(DATE($C832,3,15)&gt;=$W$830,$Z$830*(1+($U$830)/100)^MAX(0,$C832-$AC$830),IF(DATE($C832,3,15)&gt;=$V$830,$Y$830*(1+($U$830)/100)^MAX(0,$C832-$AB$830),0)))))</f>
      </c>
      <c r="H832" s="43">
        <f>IF($S$830=0,0,IF(OR(DATE($C832,4,15)&lt;$S$830,AND($T$830&gt;0,DATE($C832,4,15)&gt;$T$830)),0,IF(DATE($C832,4,15)&gt;=$X$830,$AA$830*(1+($U$830)/100)^MAX(0,$C832-$AD$830),IF(DATE($C832,4,15)&gt;=$W$830,$Z$830*(1+($U$830)/100)^MAX(0,$C832-$AC$830),IF(DATE($C832,4,15)&gt;=$V$830,$Y$830*(1+($U$830)/100)^MAX(0,$C832-$AB$830),0)))))</f>
      </c>
      <c r="I832" s="43">
        <f>IF($S$830=0,0,IF(OR(DATE($C832,5,15)&lt;$S$830,AND($T$830&gt;0,DATE($C832,5,15)&gt;$T$830)),0,IF(DATE($C832,5,15)&gt;=$X$830,$AA$830*(1+($U$830)/100)^MAX(0,$C832-$AD$830),IF(DATE($C832,5,15)&gt;=$W$830,$Z$830*(1+($U$830)/100)^MAX(0,$C832-$AC$830),IF(DATE($C832,5,15)&gt;=$V$830,$Y$830*(1+($U$830)/100)^MAX(0,$C832-$AB$830),0)))))</f>
      </c>
      <c r="J832" s="43">
        <f>IF($S$830=0,0,IF(OR(DATE($C832,6,15)&lt;$S$830,AND($T$830&gt;0,DATE($C832,6,15)&gt;$T$830)),0,IF(DATE($C832,6,15)&gt;=$X$830,$AA$830*(1+($U$830)/100)^MAX(0,$C832-$AD$830),IF(DATE($C832,6,15)&gt;=$W$830,$Z$830*(1+($U$830)/100)^MAX(0,$C832-$AC$830),IF(DATE($C832,6,15)&gt;=$V$830,$Y$830*(1+($U$830)/100)^MAX(0,$C832-$AB$830),0)))))</f>
      </c>
      <c r="K832" s="43">
        <f>IF($S$830=0,0,IF(OR(DATE($C832,7,15)&lt;$S$830,AND($T$830&gt;0,DATE($C832,7,15)&gt;$T$830)),0,IF(DATE($C832,7,15)&gt;=$X$830,$AA$830*(1+($U$830)/100)^MAX(0,$C832-$AD$830),IF(DATE($C832,7,15)&gt;=$W$830,$Z$830*(1+($U$830)/100)^MAX(0,$C832-$AC$830),IF(DATE($C832,7,15)&gt;=$V$830,$Y$830*(1+($U$830)/100)^MAX(0,$C832-$AB$830),0)))))</f>
      </c>
      <c r="L832" s="43">
        <f>IF($S$830=0,0,IF(OR(DATE($C832,8,15)&lt;$S$830,AND($T$830&gt;0,DATE($C832,8,15)&gt;$T$830)),0,IF(DATE($C832,8,15)&gt;=$X$830,$AA$830*(1+($U$830)/100)^MAX(0,$C832-$AD$830),IF(DATE($C832,8,15)&gt;=$W$830,$Z$830*(1+($U$830)/100)^MAX(0,$C832-$AC$830),IF(DATE($C832,8,15)&gt;=$V$830,$Y$830*(1+($U$830)/100)^MAX(0,$C832-$AB$830),0)))))</f>
      </c>
      <c r="M832" s="43">
        <f>IF($S$830=0,0,IF(OR(DATE($C832,9,15)&lt;$S$830,AND($T$830&gt;0,DATE($C832,9,15)&gt;$T$830)),0,IF(DATE($C832,9,15)&gt;=$X$830,$AA$830*(1+($U$830)/100)^MAX(0,$C832-$AD$830),IF(DATE($C832,9,15)&gt;=$W$830,$Z$830*(1+($U$830)/100)^MAX(0,$C832-$AC$830),IF(DATE($C832,9,15)&gt;=$V$830,$Y$830*(1+($U$830)/100)^MAX(0,$C832-$AB$830),0)))))</f>
      </c>
      <c r="N832" s="43">
        <f>IF($S$830=0,0,IF(OR(DATE($C832,10,15)&lt;$S$830,AND($T$830&gt;0,DATE($C832,10,15)&gt;$T$830)),0,IF(DATE($C832,10,15)&gt;=$X$830,$AA$830*(1+($U$830)/100)^MAX(0,$C832-$AD$830),IF(DATE($C832,10,15)&gt;=$W$830,$Z$830*(1+($U$830)/100)^MAX(0,$C832-$AC$830),IF(DATE($C832,10,15)&gt;=$V$830,$Y$830*(1+($U$830)/100)^MAX(0,$C832-$AB$830),0)))))</f>
      </c>
      <c r="O832" s="43">
        <f>IF($S$830=0,0,IF(OR(DATE($C832,11,15)&lt;$S$830,AND($T$830&gt;0,DATE($C832,11,15)&gt;$T$830)),0,IF(DATE($C832,11,15)&gt;=$X$830,$AA$830*(1+($U$830)/100)^MAX(0,$C832-$AD$830),IF(DATE($C832,11,15)&gt;=$W$830,$Z$830*(1+($U$830)/100)^MAX(0,$C832-$AC$830),IF(DATE($C832,11,15)&gt;=$V$830,$Y$830*(1+($U$830)/100)^MAX(0,$C832-$AB$830),0)))))</f>
      </c>
      <c r="P832" s="43">
        <f>IF($S$830=0,0,IF(OR(DATE($C832,12,15)&lt;$S$830,AND($T$830&gt;0,DATE($C832,12,15)&gt;$T$830)),0,IF(DATE($C832,12,15)&gt;=$X$830,$AA$830*(1+($U$830)/100)^MAX(0,$C832-$AD$830),IF(DATE($C832,12,15)&gt;=$W$830,$Z$830*(1+($U$830)/100)^MAX(0,$C832-$AC$830),IF(DATE($C832,12,15)&gt;=$V$830,$Y$830*(1+($U$830)/100)^MAX(0,$C832-$AB$830),0)))))</f>
      </c>
      <c r="Q832" s="43">
        <f>SUM($E832:$P832)</f>
      </c>
    </row>
    <row r="833">
      <c r="A833"/>
      <c r="B833">
        <v>27</v>
      </c>
      <c r="C833" s="43">
        <f>Jahr+3</f>
      </c>
      <c r="D833" s="43">
        <f>INDEX(MvObj,27)</f>
      </c>
      <c r="E833" s="43">
        <f>IF($S$830=0,0,IF(OR(DATE($C833,1,15)&lt;$S$830,AND($T$830&gt;0,DATE($C833,1,15)&gt;$T$830)),0,IF(DATE($C833,1,15)&gt;=$X$830,$AA$830*(1+($U$830)/100)^MAX(0,$C833-$AD$830),IF(DATE($C833,1,15)&gt;=$W$830,$Z$830*(1+($U$830)/100)^MAX(0,$C833-$AC$830),IF(DATE($C833,1,15)&gt;=$V$830,$Y$830*(1+($U$830)/100)^MAX(0,$C833-$AB$830),0)))))</f>
      </c>
      <c r="F833" s="43">
        <f>IF($S$830=0,0,IF(OR(DATE($C833,2,15)&lt;$S$830,AND($T$830&gt;0,DATE($C833,2,15)&gt;$T$830)),0,IF(DATE($C833,2,15)&gt;=$X$830,$AA$830*(1+($U$830)/100)^MAX(0,$C833-$AD$830),IF(DATE($C833,2,15)&gt;=$W$830,$Z$830*(1+($U$830)/100)^MAX(0,$C833-$AC$830),IF(DATE($C833,2,15)&gt;=$V$830,$Y$830*(1+($U$830)/100)^MAX(0,$C833-$AB$830),0)))))</f>
      </c>
      <c r="G833" s="43">
        <f>IF($S$830=0,0,IF(OR(DATE($C833,3,15)&lt;$S$830,AND($T$830&gt;0,DATE($C833,3,15)&gt;$T$830)),0,IF(DATE($C833,3,15)&gt;=$X$830,$AA$830*(1+($U$830)/100)^MAX(0,$C833-$AD$830),IF(DATE($C833,3,15)&gt;=$W$830,$Z$830*(1+($U$830)/100)^MAX(0,$C833-$AC$830),IF(DATE($C833,3,15)&gt;=$V$830,$Y$830*(1+($U$830)/100)^MAX(0,$C833-$AB$830),0)))))</f>
      </c>
      <c r="H833" s="43">
        <f>IF($S$830=0,0,IF(OR(DATE($C833,4,15)&lt;$S$830,AND($T$830&gt;0,DATE($C833,4,15)&gt;$T$830)),0,IF(DATE($C833,4,15)&gt;=$X$830,$AA$830*(1+($U$830)/100)^MAX(0,$C833-$AD$830),IF(DATE($C833,4,15)&gt;=$W$830,$Z$830*(1+($U$830)/100)^MAX(0,$C833-$AC$830),IF(DATE($C833,4,15)&gt;=$V$830,$Y$830*(1+($U$830)/100)^MAX(0,$C833-$AB$830),0)))))</f>
      </c>
      <c r="I833" s="43">
        <f>IF($S$830=0,0,IF(OR(DATE($C833,5,15)&lt;$S$830,AND($T$830&gt;0,DATE($C833,5,15)&gt;$T$830)),0,IF(DATE($C833,5,15)&gt;=$X$830,$AA$830*(1+($U$830)/100)^MAX(0,$C833-$AD$830),IF(DATE($C833,5,15)&gt;=$W$830,$Z$830*(1+($U$830)/100)^MAX(0,$C833-$AC$830),IF(DATE($C833,5,15)&gt;=$V$830,$Y$830*(1+($U$830)/100)^MAX(0,$C833-$AB$830),0)))))</f>
      </c>
      <c r="J833" s="43">
        <f>IF($S$830=0,0,IF(OR(DATE($C833,6,15)&lt;$S$830,AND($T$830&gt;0,DATE($C833,6,15)&gt;$T$830)),0,IF(DATE($C833,6,15)&gt;=$X$830,$AA$830*(1+($U$830)/100)^MAX(0,$C833-$AD$830),IF(DATE($C833,6,15)&gt;=$W$830,$Z$830*(1+($U$830)/100)^MAX(0,$C833-$AC$830),IF(DATE($C833,6,15)&gt;=$V$830,$Y$830*(1+($U$830)/100)^MAX(0,$C833-$AB$830),0)))))</f>
      </c>
      <c r="K833" s="43">
        <f>IF($S$830=0,0,IF(OR(DATE($C833,7,15)&lt;$S$830,AND($T$830&gt;0,DATE($C833,7,15)&gt;$T$830)),0,IF(DATE($C833,7,15)&gt;=$X$830,$AA$830*(1+($U$830)/100)^MAX(0,$C833-$AD$830),IF(DATE($C833,7,15)&gt;=$W$830,$Z$830*(1+($U$830)/100)^MAX(0,$C833-$AC$830),IF(DATE($C833,7,15)&gt;=$V$830,$Y$830*(1+($U$830)/100)^MAX(0,$C833-$AB$830),0)))))</f>
      </c>
      <c r="L833" s="43">
        <f>IF($S$830=0,0,IF(OR(DATE($C833,8,15)&lt;$S$830,AND($T$830&gt;0,DATE($C833,8,15)&gt;$T$830)),0,IF(DATE($C833,8,15)&gt;=$X$830,$AA$830*(1+($U$830)/100)^MAX(0,$C833-$AD$830),IF(DATE($C833,8,15)&gt;=$W$830,$Z$830*(1+($U$830)/100)^MAX(0,$C833-$AC$830),IF(DATE($C833,8,15)&gt;=$V$830,$Y$830*(1+($U$830)/100)^MAX(0,$C833-$AB$830),0)))))</f>
      </c>
      <c r="M833" s="43">
        <f>IF($S$830=0,0,IF(OR(DATE($C833,9,15)&lt;$S$830,AND($T$830&gt;0,DATE($C833,9,15)&gt;$T$830)),0,IF(DATE($C833,9,15)&gt;=$X$830,$AA$830*(1+($U$830)/100)^MAX(0,$C833-$AD$830),IF(DATE($C833,9,15)&gt;=$W$830,$Z$830*(1+($U$830)/100)^MAX(0,$C833-$AC$830),IF(DATE($C833,9,15)&gt;=$V$830,$Y$830*(1+($U$830)/100)^MAX(0,$C833-$AB$830),0)))))</f>
      </c>
      <c r="N833" s="43">
        <f>IF($S$830=0,0,IF(OR(DATE($C833,10,15)&lt;$S$830,AND($T$830&gt;0,DATE($C833,10,15)&gt;$T$830)),0,IF(DATE($C833,10,15)&gt;=$X$830,$AA$830*(1+($U$830)/100)^MAX(0,$C833-$AD$830),IF(DATE($C833,10,15)&gt;=$W$830,$Z$830*(1+($U$830)/100)^MAX(0,$C833-$AC$830),IF(DATE($C833,10,15)&gt;=$V$830,$Y$830*(1+($U$830)/100)^MAX(0,$C833-$AB$830),0)))))</f>
      </c>
      <c r="O833" s="43">
        <f>IF($S$830=0,0,IF(OR(DATE($C833,11,15)&lt;$S$830,AND($T$830&gt;0,DATE($C833,11,15)&gt;$T$830)),0,IF(DATE($C833,11,15)&gt;=$X$830,$AA$830*(1+($U$830)/100)^MAX(0,$C833-$AD$830),IF(DATE($C833,11,15)&gt;=$W$830,$Z$830*(1+($U$830)/100)^MAX(0,$C833-$AC$830),IF(DATE($C833,11,15)&gt;=$V$830,$Y$830*(1+($U$830)/100)^MAX(0,$C833-$AB$830),0)))))</f>
      </c>
      <c r="P833" s="43">
        <f>IF($S$830=0,0,IF(OR(DATE($C833,12,15)&lt;$S$830,AND($T$830&gt;0,DATE($C833,12,15)&gt;$T$830)),0,IF(DATE($C833,12,15)&gt;=$X$830,$AA$830*(1+($U$830)/100)^MAX(0,$C833-$AD$830),IF(DATE($C833,12,15)&gt;=$W$830,$Z$830*(1+($U$830)/100)^MAX(0,$C833-$AC$830),IF(DATE($C833,12,15)&gt;=$V$830,$Y$830*(1+($U$830)/100)^MAX(0,$C833-$AB$830),0)))))</f>
      </c>
      <c r="Q833" s="43">
        <f>SUM($E833:$P833)</f>
      </c>
    </row>
    <row r="834">
      <c r="A834"/>
      <c r="B834">
        <v>27</v>
      </c>
      <c r="C834" s="43">
        <f>Jahr+4</f>
      </c>
      <c r="D834" s="43">
        <f>INDEX(MvObj,27)</f>
      </c>
      <c r="E834" s="43">
        <f>IF($S$830=0,0,IF(OR(DATE($C834,1,15)&lt;$S$830,AND($T$830&gt;0,DATE($C834,1,15)&gt;$T$830)),0,IF(DATE($C834,1,15)&gt;=$X$830,$AA$830*(1+($U$830)/100)^MAX(0,$C834-$AD$830),IF(DATE($C834,1,15)&gt;=$W$830,$Z$830*(1+($U$830)/100)^MAX(0,$C834-$AC$830),IF(DATE($C834,1,15)&gt;=$V$830,$Y$830*(1+($U$830)/100)^MAX(0,$C834-$AB$830),0)))))</f>
      </c>
      <c r="F834" s="43">
        <f>IF($S$830=0,0,IF(OR(DATE($C834,2,15)&lt;$S$830,AND($T$830&gt;0,DATE($C834,2,15)&gt;$T$830)),0,IF(DATE($C834,2,15)&gt;=$X$830,$AA$830*(1+($U$830)/100)^MAX(0,$C834-$AD$830),IF(DATE($C834,2,15)&gt;=$W$830,$Z$830*(1+($U$830)/100)^MAX(0,$C834-$AC$830),IF(DATE($C834,2,15)&gt;=$V$830,$Y$830*(1+($U$830)/100)^MAX(0,$C834-$AB$830),0)))))</f>
      </c>
      <c r="G834" s="43">
        <f>IF($S$830=0,0,IF(OR(DATE($C834,3,15)&lt;$S$830,AND($T$830&gt;0,DATE($C834,3,15)&gt;$T$830)),0,IF(DATE($C834,3,15)&gt;=$X$830,$AA$830*(1+($U$830)/100)^MAX(0,$C834-$AD$830),IF(DATE($C834,3,15)&gt;=$W$830,$Z$830*(1+($U$830)/100)^MAX(0,$C834-$AC$830),IF(DATE($C834,3,15)&gt;=$V$830,$Y$830*(1+($U$830)/100)^MAX(0,$C834-$AB$830),0)))))</f>
      </c>
      <c r="H834" s="43">
        <f>IF($S$830=0,0,IF(OR(DATE($C834,4,15)&lt;$S$830,AND($T$830&gt;0,DATE($C834,4,15)&gt;$T$830)),0,IF(DATE($C834,4,15)&gt;=$X$830,$AA$830*(1+($U$830)/100)^MAX(0,$C834-$AD$830),IF(DATE($C834,4,15)&gt;=$W$830,$Z$830*(1+($U$830)/100)^MAX(0,$C834-$AC$830),IF(DATE($C834,4,15)&gt;=$V$830,$Y$830*(1+($U$830)/100)^MAX(0,$C834-$AB$830),0)))))</f>
      </c>
      <c r="I834" s="43">
        <f>IF($S$830=0,0,IF(OR(DATE($C834,5,15)&lt;$S$830,AND($T$830&gt;0,DATE($C834,5,15)&gt;$T$830)),0,IF(DATE($C834,5,15)&gt;=$X$830,$AA$830*(1+($U$830)/100)^MAX(0,$C834-$AD$830),IF(DATE($C834,5,15)&gt;=$W$830,$Z$830*(1+($U$830)/100)^MAX(0,$C834-$AC$830),IF(DATE($C834,5,15)&gt;=$V$830,$Y$830*(1+($U$830)/100)^MAX(0,$C834-$AB$830),0)))))</f>
      </c>
      <c r="J834" s="43">
        <f>IF($S$830=0,0,IF(OR(DATE($C834,6,15)&lt;$S$830,AND($T$830&gt;0,DATE($C834,6,15)&gt;$T$830)),0,IF(DATE($C834,6,15)&gt;=$X$830,$AA$830*(1+($U$830)/100)^MAX(0,$C834-$AD$830),IF(DATE($C834,6,15)&gt;=$W$830,$Z$830*(1+($U$830)/100)^MAX(0,$C834-$AC$830),IF(DATE($C834,6,15)&gt;=$V$830,$Y$830*(1+($U$830)/100)^MAX(0,$C834-$AB$830),0)))))</f>
      </c>
      <c r="K834" s="43">
        <f>IF($S$830=0,0,IF(OR(DATE($C834,7,15)&lt;$S$830,AND($T$830&gt;0,DATE($C834,7,15)&gt;$T$830)),0,IF(DATE($C834,7,15)&gt;=$X$830,$AA$830*(1+($U$830)/100)^MAX(0,$C834-$AD$830),IF(DATE($C834,7,15)&gt;=$W$830,$Z$830*(1+($U$830)/100)^MAX(0,$C834-$AC$830),IF(DATE($C834,7,15)&gt;=$V$830,$Y$830*(1+($U$830)/100)^MAX(0,$C834-$AB$830),0)))))</f>
      </c>
      <c r="L834" s="43">
        <f>IF($S$830=0,0,IF(OR(DATE($C834,8,15)&lt;$S$830,AND($T$830&gt;0,DATE($C834,8,15)&gt;$T$830)),0,IF(DATE($C834,8,15)&gt;=$X$830,$AA$830*(1+($U$830)/100)^MAX(0,$C834-$AD$830),IF(DATE($C834,8,15)&gt;=$W$830,$Z$830*(1+($U$830)/100)^MAX(0,$C834-$AC$830),IF(DATE($C834,8,15)&gt;=$V$830,$Y$830*(1+($U$830)/100)^MAX(0,$C834-$AB$830),0)))))</f>
      </c>
      <c r="M834" s="43">
        <f>IF($S$830=0,0,IF(OR(DATE($C834,9,15)&lt;$S$830,AND($T$830&gt;0,DATE($C834,9,15)&gt;$T$830)),0,IF(DATE($C834,9,15)&gt;=$X$830,$AA$830*(1+($U$830)/100)^MAX(0,$C834-$AD$830),IF(DATE($C834,9,15)&gt;=$W$830,$Z$830*(1+($U$830)/100)^MAX(0,$C834-$AC$830),IF(DATE($C834,9,15)&gt;=$V$830,$Y$830*(1+($U$830)/100)^MAX(0,$C834-$AB$830),0)))))</f>
      </c>
      <c r="N834" s="43">
        <f>IF($S$830=0,0,IF(OR(DATE($C834,10,15)&lt;$S$830,AND($T$830&gt;0,DATE($C834,10,15)&gt;$T$830)),0,IF(DATE($C834,10,15)&gt;=$X$830,$AA$830*(1+($U$830)/100)^MAX(0,$C834-$AD$830),IF(DATE($C834,10,15)&gt;=$W$830,$Z$830*(1+($U$830)/100)^MAX(0,$C834-$AC$830),IF(DATE($C834,10,15)&gt;=$V$830,$Y$830*(1+($U$830)/100)^MAX(0,$C834-$AB$830),0)))))</f>
      </c>
      <c r="O834" s="43">
        <f>IF($S$830=0,0,IF(OR(DATE($C834,11,15)&lt;$S$830,AND($T$830&gt;0,DATE($C834,11,15)&gt;$T$830)),0,IF(DATE($C834,11,15)&gt;=$X$830,$AA$830*(1+($U$830)/100)^MAX(0,$C834-$AD$830),IF(DATE($C834,11,15)&gt;=$W$830,$Z$830*(1+($U$830)/100)^MAX(0,$C834-$AC$830),IF(DATE($C834,11,15)&gt;=$V$830,$Y$830*(1+($U$830)/100)^MAX(0,$C834-$AB$830),0)))))</f>
      </c>
      <c r="P834" s="43">
        <f>IF($S$830=0,0,IF(OR(DATE($C834,12,15)&lt;$S$830,AND($T$830&gt;0,DATE($C834,12,15)&gt;$T$830)),0,IF(DATE($C834,12,15)&gt;=$X$830,$AA$830*(1+($U$830)/100)^MAX(0,$C834-$AD$830),IF(DATE($C834,12,15)&gt;=$W$830,$Z$830*(1+($U$830)/100)^MAX(0,$C834-$AC$830),IF(DATE($C834,12,15)&gt;=$V$830,$Y$830*(1+($U$830)/100)^MAX(0,$C834-$AB$830),0)))))</f>
      </c>
      <c r="Q834" s="43">
        <f>SUM($E834:$P834)</f>
      </c>
    </row>
    <row r="835">
      <c r="A835"/>
      <c r="B835">
        <v>27</v>
      </c>
      <c r="C835" s="43">
        <f>Jahr+5</f>
      </c>
      <c r="D835" s="43">
        <f>INDEX(MvObj,27)</f>
      </c>
      <c r="E835" s="43">
        <f>IF($S$830=0,0,IF(OR(DATE($C835,1,15)&lt;$S$830,AND($T$830&gt;0,DATE($C835,1,15)&gt;$T$830)),0,IF(DATE($C835,1,15)&gt;=$X$830,$AA$830*(1+($U$830)/100)^MAX(0,$C835-$AD$830),IF(DATE($C835,1,15)&gt;=$W$830,$Z$830*(1+($U$830)/100)^MAX(0,$C835-$AC$830),IF(DATE($C835,1,15)&gt;=$V$830,$Y$830*(1+($U$830)/100)^MAX(0,$C835-$AB$830),0)))))</f>
      </c>
      <c r="F835" s="43">
        <f>IF($S$830=0,0,IF(OR(DATE($C835,2,15)&lt;$S$830,AND($T$830&gt;0,DATE($C835,2,15)&gt;$T$830)),0,IF(DATE($C835,2,15)&gt;=$X$830,$AA$830*(1+($U$830)/100)^MAX(0,$C835-$AD$830),IF(DATE($C835,2,15)&gt;=$W$830,$Z$830*(1+($U$830)/100)^MAX(0,$C835-$AC$830),IF(DATE($C835,2,15)&gt;=$V$830,$Y$830*(1+($U$830)/100)^MAX(0,$C835-$AB$830),0)))))</f>
      </c>
      <c r="G835" s="43">
        <f>IF($S$830=0,0,IF(OR(DATE($C835,3,15)&lt;$S$830,AND($T$830&gt;0,DATE($C835,3,15)&gt;$T$830)),0,IF(DATE($C835,3,15)&gt;=$X$830,$AA$830*(1+($U$830)/100)^MAX(0,$C835-$AD$830),IF(DATE($C835,3,15)&gt;=$W$830,$Z$830*(1+($U$830)/100)^MAX(0,$C835-$AC$830),IF(DATE($C835,3,15)&gt;=$V$830,$Y$830*(1+($U$830)/100)^MAX(0,$C835-$AB$830),0)))))</f>
      </c>
      <c r="H835" s="43">
        <f>IF($S$830=0,0,IF(OR(DATE($C835,4,15)&lt;$S$830,AND($T$830&gt;0,DATE($C835,4,15)&gt;$T$830)),0,IF(DATE($C835,4,15)&gt;=$X$830,$AA$830*(1+($U$830)/100)^MAX(0,$C835-$AD$830),IF(DATE($C835,4,15)&gt;=$W$830,$Z$830*(1+($U$830)/100)^MAX(0,$C835-$AC$830),IF(DATE($C835,4,15)&gt;=$V$830,$Y$830*(1+($U$830)/100)^MAX(0,$C835-$AB$830),0)))))</f>
      </c>
      <c r="I835" s="43">
        <f>IF($S$830=0,0,IF(OR(DATE($C835,5,15)&lt;$S$830,AND($T$830&gt;0,DATE($C835,5,15)&gt;$T$830)),0,IF(DATE($C835,5,15)&gt;=$X$830,$AA$830*(1+($U$830)/100)^MAX(0,$C835-$AD$830),IF(DATE($C835,5,15)&gt;=$W$830,$Z$830*(1+($U$830)/100)^MAX(0,$C835-$AC$830),IF(DATE($C835,5,15)&gt;=$V$830,$Y$830*(1+($U$830)/100)^MAX(0,$C835-$AB$830),0)))))</f>
      </c>
      <c r="J835" s="43">
        <f>IF($S$830=0,0,IF(OR(DATE($C835,6,15)&lt;$S$830,AND($T$830&gt;0,DATE($C835,6,15)&gt;$T$830)),0,IF(DATE($C835,6,15)&gt;=$X$830,$AA$830*(1+($U$830)/100)^MAX(0,$C835-$AD$830),IF(DATE($C835,6,15)&gt;=$W$830,$Z$830*(1+($U$830)/100)^MAX(0,$C835-$AC$830),IF(DATE($C835,6,15)&gt;=$V$830,$Y$830*(1+($U$830)/100)^MAX(0,$C835-$AB$830),0)))))</f>
      </c>
      <c r="K835" s="43">
        <f>IF($S$830=0,0,IF(OR(DATE($C835,7,15)&lt;$S$830,AND($T$830&gt;0,DATE($C835,7,15)&gt;$T$830)),0,IF(DATE($C835,7,15)&gt;=$X$830,$AA$830*(1+($U$830)/100)^MAX(0,$C835-$AD$830),IF(DATE($C835,7,15)&gt;=$W$830,$Z$830*(1+($U$830)/100)^MAX(0,$C835-$AC$830),IF(DATE($C835,7,15)&gt;=$V$830,$Y$830*(1+($U$830)/100)^MAX(0,$C835-$AB$830),0)))))</f>
      </c>
      <c r="L835" s="43">
        <f>IF($S$830=0,0,IF(OR(DATE($C835,8,15)&lt;$S$830,AND($T$830&gt;0,DATE($C835,8,15)&gt;$T$830)),0,IF(DATE($C835,8,15)&gt;=$X$830,$AA$830*(1+($U$830)/100)^MAX(0,$C835-$AD$830),IF(DATE($C835,8,15)&gt;=$W$830,$Z$830*(1+($U$830)/100)^MAX(0,$C835-$AC$830),IF(DATE($C835,8,15)&gt;=$V$830,$Y$830*(1+($U$830)/100)^MAX(0,$C835-$AB$830),0)))))</f>
      </c>
      <c r="M835" s="43">
        <f>IF($S$830=0,0,IF(OR(DATE($C835,9,15)&lt;$S$830,AND($T$830&gt;0,DATE($C835,9,15)&gt;$T$830)),0,IF(DATE($C835,9,15)&gt;=$X$830,$AA$830*(1+($U$830)/100)^MAX(0,$C835-$AD$830),IF(DATE($C835,9,15)&gt;=$W$830,$Z$830*(1+($U$830)/100)^MAX(0,$C835-$AC$830),IF(DATE($C835,9,15)&gt;=$V$830,$Y$830*(1+($U$830)/100)^MAX(0,$C835-$AB$830),0)))))</f>
      </c>
      <c r="N835" s="43">
        <f>IF($S$830=0,0,IF(OR(DATE($C835,10,15)&lt;$S$830,AND($T$830&gt;0,DATE($C835,10,15)&gt;$T$830)),0,IF(DATE($C835,10,15)&gt;=$X$830,$AA$830*(1+($U$830)/100)^MAX(0,$C835-$AD$830),IF(DATE($C835,10,15)&gt;=$W$830,$Z$830*(1+($U$830)/100)^MAX(0,$C835-$AC$830),IF(DATE($C835,10,15)&gt;=$V$830,$Y$830*(1+($U$830)/100)^MAX(0,$C835-$AB$830),0)))))</f>
      </c>
      <c r="O835" s="43">
        <f>IF($S$830=0,0,IF(OR(DATE($C835,11,15)&lt;$S$830,AND($T$830&gt;0,DATE($C835,11,15)&gt;$T$830)),0,IF(DATE($C835,11,15)&gt;=$X$830,$AA$830*(1+($U$830)/100)^MAX(0,$C835-$AD$830),IF(DATE($C835,11,15)&gt;=$W$830,$Z$830*(1+($U$830)/100)^MAX(0,$C835-$AC$830),IF(DATE($C835,11,15)&gt;=$V$830,$Y$830*(1+($U$830)/100)^MAX(0,$C835-$AB$830),0)))))</f>
      </c>
      <c r="P835" s="43">
        <f>IF($S$830=0,0,IF(OR(DATE($C835,12,15)&lt;$S$830,AND($T$830&gt;0,DATE($C835,12,15)&gt;$T$830)),0,IF(DATE($C835,12,15)&gt;=$X$830,$AA$830*(1+($U$830)/100)^MAX(0,$C835-$AD$830),IF(DATE($C835,12,15)&gt;=$W$830,$Z$830*(1+($U$830)/100)^MAX(0,$C835-$AC$830),IF(DATE($C835,12,15)&gt;=$V$830,$Y$830*(1+($U$830)/100)^MAX(0,$C835-$AB$830),0)))))</f>
      </c>
      <c r="Q835" s="43">
        <f>SUM($E835:$P835)</f>
      </c>
    </row>
    <row r="836">
      <c r="A836"/>
      <c r="B836">
        <v>27</v>
      </c>
      <c r="C836" s="43">
        <f>Jahr+6</f>
      </c>
      <c r="D836" s="43">
        <f>INDEX(MvObj,27)</f>
      </c>
      <c r="E836" s="43">
        <f>IF($S$830=0,0,IF(OR(DATE($C836,1,15)&lt;$S$830,AND($T$830&gt;0,DATE($C836,1,15)&gt;$T$830)),0,IF(DATE($C836,1,15)&gt;=$X$830,$AA$830*(1+($U$830)/100)^MAX(0,$C836-$AD$830),IF(DATE($C836,1,15)&gt;=$W$830,$Z$830*(1+($U$830)/100)^MAX(0,$C836-$AC$830),IF(DATE($C836,1,15)&gt;=$V$830,$Y$830*(1+($U$830)/100)^MAX(0,$C836-$AB$830),0)))))</f>
      </c>
      <c r="F836" s="43">
        <f>IF($S$830=0,0,IF(OR(DATE($C836,2,15)&lt;$S$830,AND($T$830&gt;0,DATE($C836,2,15)&gt;$T$830)),0,IF(DATE($C836,2,15)&gt;=$X$830,$AA$830*(1+($U$830)/100)^MAX(0,$C836-$AD$830),IF(DATE($C836,2,15)&gt;=$W$830,$Z$830*(1+($U$830)/100)^MAX(0,$C836-$AC$830),IF(DATE($C836,2,15)&gt;=$V$830,$Y$830*(1+($U$830)/100)^MAX(0,$C836-$AB$830),0)))))</f>
      </c>
      <c r="G836" s="43">
        <f>IF($S$830=0,0,IF(OR(DATE($C836,3,15)&lt;$S$830,AND($T$830&gt;0,DATE($C836,3,15)&gt;$T$830)),0,IF(DATE($C836,3,15)&gt;=$X$830,$AA$830*(1+($U$830)/100)^MAX(0,$C836-$AD$830),IF(DATE($C836,3,15)&gt;=$W$830,$Z$830*(1+($U$830)/100)^MAX(0,$C836-$AC$830),IF(DATE($C836,3,15)&gt;=$V$830,$Y$830*(1+($U$830)/100)^MAX(0,$C836-$AB$830),0)))))</f>
      </c>
      <c r="H836" s="43">
        <f>IF($S$830=0,0,IF(OR(DATE($C836,4,15)&lt;$S$830,AND($T$830&gt;0,DATE($C836,4,15)&gt;$T$830)),0,IF(DATE($C836,4,15)&gt;=$X$830,$AA$830*(1+($U$830)/100)^MAX(0,$C836-$AD$830),IF(DATE($C836,4,15)&gt;=$W$830,$Z$830*(1+($U$830)/100)^MAX(0,$C836-$AC$830),IF(DATE($C836,4,15)&gt;=$V$830,$Y$830*(1+($U$830)/100)^MAX(0,$C836-$AB$830),0)))))</f>
      </c>
      <c r="I836" s="43">
        <f>IF($S$830=0,0,IF(OR(DATE($C836,5,15)&lt;$S$830,AND($T$830&gt;0,DATE($C836,5,15)&gt;$T$830)),0,IF(DATE($C836,5,15)&gt;=$X$830,$AA$830*(1+($U$830)/100)^MAX(0,$C836-$AD$830),IF(DATE($C836,5,15)&gt;=$W$830,$Z$830*(1+($U$830)/100)^MAX(0,$C836-$AC$830),IF(DATE($C836,5,15)&gt;=$V$830,$Y$830*(1+($U$830)/100)^MAX(0,$C836-$AB$830),0)))))</f>
      </c>
      <c r="J836" s="43">
        <f>IF($S$830=0,0,IF(OR(DATE($C836,6,15)&lt;$S$830,AND($T$830&gt;0,DATE($C836,6,15)&gt;$T$830)),0,IF(DATE($C836,6,15)&gt;=$X$830,$AA$830*(1+($U$830)/100)^MAX(0,$C836-$AD$830),IF(DATE($C836,6,15)&gt;=$W$830,$Z$830*(1+($U$830)/100)^MAX(0,$C836-$AC$830),IF(DATE($C836,6,15)&gt;=$V$830,$Y$830*(1+($U$830)/100)^MAX(0,$C836-$AB$830),0)))))</f>
      </c>
      <c r="K836" s="43">
        <f>IF($S$830=0,0,IF(OR(DATE($C836,7,15)&lt;$S$830,AND($T$830&gt;0,DATE($C836,7,15)&gt;$T$830)),0,IF(DATE($C836,7,15)&gt;=$X$830,$AA$830*(1+($U$830)/100)^MAX(0,$C836-$AD$830),IF(DATE($C836,7,15)&gt;=$W$830,$Z$830*(1+($U$830)/100)^MAX(0,$C836-$AC$830),IF(DATE($C836,7,15)&gt;=$V$830,$Y$830*(1+($U$830)/100)^MAX(0,$C836-$AB$830),0)))))</f>
      </c>
      <c r="L836" s="43">
        <f>IF($S$830=0,0,IF(OR(DATE($C836,8,15)&lt;$S$830,AND($T$830&gt;0,DATE($C836,8,15)&gt;$T$830)),0,IF(DATE($C836,8,15)&gt;=$X$830,$AA$830*(1+($U$830)/100)^MAX(0,$C836-$AD$830),IF(DATE($C836,8,15)&gt;=$W$830,$Z$830*(1+($U$830)/100)^MAX(0,$C836-$AC$830),IF(DATE($C836,8,15)&gt;=$V$830,$Y$830*(1+($U$830)/100)^MAX(0,$C836-$AB$830),0)))))</f>
      </c>
      <c r="M836" s="43">
        <f>IF($S$830=0,0,IF(OR(DATE($C836,9,15)&lt;$S$830,AND($T$830&gt;0,DATE($C836,9,15)&gt;$T$830)),0,IF(DATE($C836,9,15)&gt;=$X$830,$AA$830*(1+($U$830)/100)^MAX(0,$C836-$AD$830),IF(DATE($C836,9,15)&gt;=$W$830,$Z$830*(1+($U$830)/100)^MAX(0,$C836-$AC$830),IF(DATE($C836,9,15)&gt;=$V$830,$Y$830*(1+($U$830)/100)^MAX(0,$C836-$AB$830),0)))))</f>
      </c>
      <c r="N836" s="43">
        <f>IF($S$830=0,0,IF(OR(DATE($C836,10,15)&lt;$S$830,AND($T$830&gt;0,DATE($C836,10,15)&gt;$T$830)),0,IF(DATE($C836,10,15)&gt;=$X$830,$AA$830*(1+($U$830)/100)^MAX(0,$C836-$AD$830),IF(DATE($C836,10,15)&gt;=$W$830,$Z$830*(1+($U$830)/100)^MAX(0,$C836-$AC$830),IF(DATE($C836,10,15)&gt;=$V$830,$Y$830*(1+($U$830)/100)^MAX(0,$C836-$AB$830),0)))))</f>
      </c>
      <c r="O836" s="43">
        <f>IF($S$830=0,0,IF(OR(DATE($C836,11,15)&lt;$S$830,AND($T$830&gt;0,DATE($C836,11,15)&gt;$T$830)),0,IF(DATE($C836,11,15)&gt;=$X$830,$AA$830*(1+($U$830)/100)^MAX(0,$C836-$AD$830),IF(DATE($C836,11,15)&gt;=$W$830,$Z$830*(1+($U$830)/100)^MAX(0,$C836-$AC$830),IF(DATE($C836,11,15)&gt;=$V$830,$Y$830*(1+($U$830)/100)^MAX(0,$C836-$AB$830),0)))))</f>
      </c>
      <c r="P836" s="43">
        <f>IF($S$830=0,0,IF(OR(DATE($C836,12,15)&lt;$S$830,AND($T$830&gt;0,DATE($C836,12,15)&gt;$T$830)),0,IF(DATE($C836,12,15)&gt;=$X$830,$AA$830*(1+($U$830)/100)^MAX(0,$C836-$AD$830),IF(DATE($C836,12,15)&gt;=$W$830,$Z$830*(1+($U$830)/100)^MAX(0,$C836-$AC$830),IF(DATE($C836,12,15)&gt;=$V$830,$Y$830*(1+($U$830)/100)^MAX(0,$C836-$AB$830),0)))))</f>
      </c>
      <c r="Q836" s="43">
        <f>SUM($E836:$P836)</f>
      </c>
    </row>
    <row r="837">
      <c r="A837"/>
      <c r="B837">
        <v>27</v>
      </c>
      <c r="C837" s="43">
        <f>Jahr+7</f>
      </c>
      <c r="D837" s="43">
        <f>INDEX(MvObj,27)</f>
      </c>
      <c r="E837" s="43">
        <f>IF($S$830=0,0,IF(OR(DATE($C837,1,15)&lt;$S$830,AND($T$830&gt;0,DATE($C837,1,15)&gt;$T$830)),0,IF(DATE($C837,1,15)&gt;=$X$830,$AA$830*(1+($U$830)/100)^MAX(0,$C837-$AD$830),IF(DATE($C837,1,15)&gt;=$W$830,$Z$830*(1+($U$830)/100)^MAX(0,$C837-$AC$830),IF(DATE($C837,1,15)&gt;=$V$830,$Y$830*(1+($U$830)/100)^MAX(0,$C837-$AB$830),0)))))</f>
      </c>
      <c r="F837" s="43">
        <f>IF($S$830=0,0,IF(OR(DATE($C837,2,15)&lt;$S$830,AND($T$830&gt;0,DATE($C837,2,15)&gt;$T$830)),0,IF(DATE($C837,2,15)&gt;=$X$830,$AA$830*(1+($U$830)/100)^MAX(0,$C837-$AD$830),IF(DATE($C837,2,15)&gt;=$W$830,$Z$830*(1+($U$830)/100)^MAX(0,$C837-$AC$830),IF(DATE($C837,2,15)&gt;=$V$830,$Y$830*(1+($U$830)/100)^MAX(0,$C837-$AB$830),0)))))</f>
      </c>
      <c r="G837" s="43">
        <f>IF($S$830=0,0,IF(OR(DATE($C837,3,15)&lt;$S$830,AND($T$830&gt;0,DATE($C837,3,15)&gt;$T$830)),0,IF(DATE($C837,3,15)&gt;=$X$830,$AA$830*(1+($U$830)/100)^MAX(0,$C837-$AD$830),IF(DATE($C837,3,15)&gt;=$W$830,$Z$830*(1+($U$830)/100)^MAX(0,$C837-$AC$830),IF(DATE($C837,3,15)&gt;=$V$830,$Y$830*(1+($U$830)/100)^MAX(0,$C837-$AB$830),0)))))</f>
      </c>
      <c r="H837" s="43">
        <f>IF($S$830=0,0,IF(OR(DATE($C837,4,15)&lt;$S$830,AND($T$830&gt;0,DATE($C837,4,15)&gt;$T$830)),0,IF(DATE($C837,4,15)&gt;=$X$830,$AA$830*(1+($U$830)/100)^MAX(0,$C837-$AD$830),IF(DATE($C837,4,15)&gt;=$W$830,$Z$830*(1+($U$830)/100)^MAX(0,$C837-$AC$830),IF(DATE($C837,4,15)&gt;=$V$830,$Y$830*(1+($U$830)/100)^MAX(0,$C837-$AB$830),0)))))</f>
      </c>
      <c r="I837" s="43">
        <f>IF($S$830=0,0,IF(OR(DATE($C837,5,15)&lt;$S$830,AND($T$830&gt;0,DATE($C837,5,15)&gt;$T$830)),0,IF(DATE($C837,5,15)&gt;=$X$830,$AA$830*(1+($U$830)/100)^MAX(0,$C837-$AD$830),IF(DATE($C837,5,15)&gt;=$W$830,$Z$830*(1+($U$830)/100)^MAX(0,$C837-$AC$830),IF(DATE($C837,5,15)&gt;=$V$830,$Y$830*(1+($U$830)/100)^MAX(0,$C837-$AB$830),0)))))</f>
      </c>
      <c r="J837" s="43">
        <f>IF($S$830=0,0,IF(OR(DATE($C837,6,15)&lt;$S$830,AND($T$830&gt;0,DATE($C837,6,15)&gt;$T$830)),0,IF(DATE($C837,6,15)&gt;=$X$830,$AA$830*(1+($U$830)/100)^MAX(0,$C837-$AD$830),IF(DATE($C837,6,15)&gt;=$W$830,$Z$830*(1+($U$830)/100)^MAX(0,$C837-$AC$830),IF(DATE($C837,6,15)&gt;=$V$830,$Y$830*(1+($U$830)/100)^MAX(0,$C837-$AB$830),0)))))</f>
      </c>
      <c r="K837" s="43">
        <f>IF($S$830=0,0,IF(OR(DATE($C837,7,15)&lt;$S$830,AND($T$830&gt;0,DATE($C837,7,15)&gt;$T$830)),0,IF(DATE($C837,7,15)&gt;=$X$830,$AA$830*(1+($U$830)/100)^MAX(0,$C837-$AD$830),IF(DATE($C837,7,15)&gt;=$W$830,$Z$830*(1+($U$830)/100)^MAX(0,$C837-$AC$830),IF(DATE($C837,7,15)&gt;=$V$830,$Y$830*(1+($U$830)/100)^MAX(0,$C837-$AB$830),0)))))</f>
      </c>
      <c r="L837" s="43">
        <f>IF($S$830=0,0,IF(OR(DATE($C837,8,15)&lt;$S$830,AND($T$830&gt;0,DATE($C837,8,15)&gt;$T$830)),0,IF(DATE($C837,8,15)&gt;=$X$830,$AA$830*(1+($U$830)/100)^MAX(0,$C837-$AD$830),IF(DATE($C837,8,15)&gt;=$W$830,$Z$830*(1+($U$830)/100)^MAX(0,$C837-$AC$830),IF(DATE($C837,8,15)&gt;=$V$830,$Y$830*(1+($U$830)/100)^MAX(0,$C837-$AB$830),0)))))</f>
      </c>
      <c r="M837" s="43">
        <f>IF($S$830=0,0,IF(OR(DATE($C837,9,15)&lt;$S$830,AND($T$830&gt;0,DATE($C837,9,15)&gt;$T$830)),0,IF(DATE($C837,9,15)&gt;=$X$830,$AA$830*(1+($U$830)/100)^MAX(0,$C837-$AD$830),IF(DATE($C837,9,15)&gt;=$W$830,$Z$830*(1+($U$830)/100)^MAX(0,$C837-$AC$830),IF(DATE($C837,9,15)&gt;=$V$830,$Y$830*(1+($U$830)/100)^MAX(0,$C837-$AB$830),0)))))</f>
      </c>
      <c r="N837" s="43">
        <f>IF($S$830=0,0,IF(OR(DATE($C837,10,15)&lt;$S$830,AND($T$830&gt;0,DATE($C837,10,15)&gt;$T$830)),0,IF(DATE($C837,10,15)&gt;=$X$830,$AA$830*(1+($U$830)/100)^MAX(0,$C837-$AD$830),IF(DATE($C837,10,15)&gt;=$W$830,$Z$830*(1+($U$830)/100)^MAX(0,$C837-$AC$830),IF(DATE($C837,10,15)&gt;=$V$830,$Y$830*(1+($U$830)/100)^MAX(0,$C837-$AB$830),0)))))</f>
      </c>
      <c r="O837" s="43">
        <f>IF($S$830=0,0,IF(OR(DATE($C837,11,15)&lt;$S$830,AND($T$830&gt;0,DATE($C837,11,15)&gt;$T$830)),0,IF(DATE($C837,11,15)&gt;=$X$830,$AA$830*(1+($U$830)/100)^MAX(0,$C837-$AD$830),IF(DATE($C837,11,15)&gt;=$W$830,$Z$830*(1+($U$830)/100)^MAX(0,$C837-$AC$830),IF(DATE($C837,11,15)&gt;=$V$830,$Y$830*(1+($U$830)/100)^MAX(0,$C837-$AB$830),0)))))</f>
      </c>
      <c r="P837" s="43">
        <f>IF($S$830=0,0,IF(OR(DATE($C837,12,15)&lt;$S$830,AND($T$830&gt;0,DATE($C837,12,15)&gt;$T$830)),0,IF(DATE($C837,12,15)&gt;=$X$830,$AA$830*(1+($U$830)/100)^MAX(0,$C837-$AD$830),IF(DATE($C837,12,15)&gt;=$W$830,$Z$830*(1+($U$830)/100)^MAX(0,$C837-$AC$830),IF(DATE($C837,12,15)&gt;=$V$830,$Y$830*(1+($U$830)/100)^MAX(0,$C837-$AB$830),0)))))</f>
      </c>
      <c r="Q837" s="43">
        <f>SUM($E837:$P837)</f>
      </c>
    </row>
    <row r="838">
      <c r="A838"/>
      <c r="B838">
        <v>27</v>
      </c>
      <c r="C838" s="43">
        <f>Jahr+8</f>
      </c>
      <c r="D838" s="43">
        <f>INDEX(MvObj,27)</f>
      </c>
      <c r="E838" s="43">
        <f>IF($S$830=0,0,IF(OR(DATE($C838,1,15)&lt;$S$830,AND($T$830&gt;0,DATE($C838,1,15)&gt;$T$830)),0,IF(DATE($C838,1,15)&gt;=$X$830,$AA$830*(1+($U$830)/100)^MAX(0,$C838-$AD$830),IF(DATE($C838,1,15)&gt;=$W$830,$Z$830*(1+($U$830)/100)^MAX(0,$C838-$AC$830),IF(DATE($C838,1,15)&gt;=$V$830,$Y$830*(1+($U$830)/100)^MAX(0,$C838-$AB$830),0)))))</f>
      </c>
      <c r="F838" s="43">
        <f>IF($S$830=0,0,IF(OR(DATE($C838,2,15)&lt;$S$830,AND($T$830&gt;0,DATE($C838,2,15)&gt;$T$830)),0,IF(DATE($C838,2,15)&gt;=$X$830,$AA$830*(1+($U$830)/100)^MAX(0,$C838-$AD$830),IF(DATE($C838,2,15)&gt;=$W$830,$Z$830*(1+($U$830)/100)^MAX(0,$C838-$AC$830),IF(DATE($C838,2,15)&gt;=$V$830,$Y$830*(1+($U$830)/100)^MAX(0,$C838-$AB$830),0)))))</f>
      </c>
      <c r="G838" s="43">
        <f>IF($S$830=0,0,IF(OR(DATE($C838,3,15)&lt;$S$830,AND($T$830&gt;0,DATE($C838,3,15)&gt;$T$830)),0,IF(DATE($C838,3,15)&gt;=$X$830,$AA$830*(1+($U$830)/100)^MAX(0,$C838-$AD$830),IF(DATE($C838,3,15)&gt;=$W$830,$Z$830*(1+($U$830)/100)^MAX(0,$C838-$AC$830),IF(DATE($C838,3,15)&gt;=$V$830,$Y$830*(1+($U$830)/100)^MAX(0,$C838-$AB$830),0)))))</f>
      </c>
      <c r="H838" s="43">
        <f>IF($S$830=0,0,IF(OR(DATE($C838,4,15)&lt;$S$830,AND($T$830&gt;0,DATE($C838,4,15)&gt;$T$830)),0,IF(DATE($C838,4,15)&gt;=$X$830,$AA$830*(1+($U$830)/100)^MAX(0,$C838-$AD$830),IF(DATE($C838,4,15)&gt;=$W$830,$Z$830*(1+($U$830)/100)^MAX(0,$C838-$AC$830),IF(DATE($C838,4,15)&gt;=$V$830,$Y$830*(1+($U$830)/100)^MAX(0,$C838-$AB$830),0)))))</f>
      </c>
      <c r="I838" s="43">
        <f>IF($S$830=0,0,IF(OR(DATE($C838,5,15)&lt;$S$830,AND($T$830&gt;0,DATE($C838,5,15)&gt;$T$830)),0,IF(DATE($C838,5,15)&gt;=$X$830,$AA$830*(1+($U$830)/100)^MAX(0,$C838-$AD$830),IF(DATE($C838,5,15)&gt;=$W$830,$Z$830*(1+($U$830)/100)^MAX(0,$C838-$AC$830),IF(DATE($C838,5,15)&gt;=$V$830,$Y$830*(1+($U$830)/100)^MAX(0,$C838-$AB$830),0)))))</f>
      </c>
      <c r="J838" s="43">
        <f>IF($S$830=0,0,IF(OR(DATE($C838,6,15)&lt;$S$830,AND($T$830&gt;0,DATE($C838,6,15)&gt;$T$830)),0,IF(DATE($C838,6,15)&gt;=$X$830,$AA$830*(1+($U$830)/100)^MAX(0,$C838-$AD$830),IF(DATE($C838,6,15)&gt;=$W$830,$Z$830*(1+($U$830)/100)^MAX(0,$C838-$AC$830),IF(DATE($C838,6,15)&gt;=$V$830,$Y$830*(1+($U$830)/100)^MAX(0,$C838-$AB$830),0)))))</f>
      </c>
      <c r="K838" s="43">
        <f>IF($S$830=0,0,IF(OR(DATE($C838,7,15)&lt;$S$830,AND($T$830&gt;0,DATE($C838,7,15)&gt;$T$830)),0,IF(DATE($C838,7,15)&gt;=$X$830,$AA$830*(1+($U$830)/100)^MAX(0,$C838-$AD$830),IF(DATE($C838,7,15)&gt;=$W$830,$Z$830*(1+($U$830)/100)^MAX(0,$C838-$AC$830),IF(DATE($C838,7,15)&gt;=$V$830,$Y$830*(1+($U$830)/100)^MAX(0,$C838-$AB$830),0)))))</f>
      </c>
      <c r="L838" s="43">
        <f>IF($S$830=0,0,IF(OR(DATE($C838,8,15)&lt;$S$830,AND($T$830&gt;0,DATE($C838,8,15)&gt;$T$830)),0,IF(DATE($C838,8,15)&gt;=$X$830,$AA$830*(1+($U$830)/100)^MAX(0,$C838-$AD$830),IF(DATE($C838,8,15)&gt;=$W$830,$Z$830*(1+($U$830)/100)^MAX(0,$C838-$AC$830),IF(DATE($C838,8,15)&gt;=$V$830,$Y$830*(1+($U$830)/100)^MAX(0,$C838-$AB$830),0)))))</f>
      </c>
      <c r="M838" s="43">
        <f>IF($S$830=0,0,IF(OR(DATE($C838,9,15)&lt;$S$830,AND($T$830&gt;0,DATE($C838,9,15)&gt;$T$830)),0,IF(DATE($C838,9,15)&gt;=$X$830,$AA$830*(1+($U$830)/100)^MAX(0,$C838-$AD$830),IF(DATE($C838,9,15)&gt;=$W$830,$Z$830*(1+($U$830)/100)^MAX(0,$C838-$AC$830),IF(DATE($C838,9,15)&gt;=$V$830,$Y$830*(1+($U$830)/100)^MAX(0,$C838-$AB$830),0)))))</f>
      </c>
      <c r="N838" s="43">
        <f>IF($S$830=0,0,IF(OR(DATE($C838,10,15)&lt;$S$830,AND($T$830&gt;0,DATE($C838,10,15)&gt;$T$830)),0,IF(DATE($C838,10,15)&gt;=$X$830,$AA$830*(1+($U$830)/100)^MAX(0,$C838-$AD$830),IF(DATE($C838,10,15)&gt;=$W$830,$Z$830*(1+($U$830)/100)^MAX(0,$C838-$AC$830),IF(DATE($C838,10,15)&gt;=$V$830,$Y$830*(1+($U$830)/100)^MAX(0,$C838-$AB$830),0)))))</f>
      </c>
      <c r="O838" s="43">
        <f>IF($S$830=0,0,IF(OR(DATE($C838,11,15)&lt;$S$830,AND($T$830&gt;0,DATE($C838,11,15)&gt;$T$830)),0,IF(DATE($C838,11,15)&gt;=$X$830,$AA$830*(1+($U$830)/100)^MAX(0,$C838-$AD$830),IF(DATE($C838,11,15)&gt;=$W$830,$Z$830*(1+($U$830)/100)^MAX(0,$C838-$AC$830),IF(DATE($C838,11,15)&gt;=$V$830,$Y$830*(1+($U$830)/100)^MAX(0,$C838-$AB$830),0)))))</f>
      </c>
      <c r="P838" s="43">
        <f>IF($S$830=0,0,IF(OR(DATE($C838,12,15)&lt;$S$830,AND($T$830&gt;0,DATE($C838,12,15)&gt;$T$830)),0,IF(DATE($C838,12,15)&gt;=$X$830,$AA$830*(1+($U$830)/100)^MAX(0,$C838-$AD$830),IF(DATE($C838,12,15)&gt;=$W$830,$Z$830*(1+($U$830)/100)^MAX(0,$C838-$AC$830),IF(DATE($C838,12,15)&gt;=$V$830,$Y$830*(1+($U$830)/100)^MAX(0,$C838-$AB$830),0)))))</f>
      </c>
      <c r="Q838" s="43">
        <f>SUM($E838:$P838)</f>
      </c>
    </row>
    <row r="839">
      <c r="A839"/>
      <c r="B839">
        <v>27</v>
      </c>
      <c r="C839" s="43">
        <f>Jahr+9</f>
      </c>
      <c r="D839" s="43">
        <f>INDEX(MvObj,27)</f>
      </c>
      <c r="E839" s="43">
        <f>IF($S$830=0,0,IF(OR(DATE($C839,1,15)&lt;$S$830,AND($T$830&gt;0,DATE($C839,1,15)&gt;$T$830)),0,IF(DATE($C839,1,15)&gt;=$X$830,$AA$830*(1+($U$830)/100)^MAX(0,$C839-$AD$830),IF(DATE($C839,1,15)&gt;=$W$830,$Z$830*(1+($U$830)/100)^MAX(0,$C839-$AC$830),IF(DATE($C839,1,15)&gt;=$V$830,$Y$830*(1+($U$830)/100)^MAX(0,$C839-$AB$830),0)))))</f>
      </c>
      <c r="F839" s="43">
        <f>IF($S$830=0,0,IF(OR(DATE($C839,2,15)&lt;$S$830,AND($T$830&gt;0,DATE($C839,2,15)&gt;$T$830)),0,IF(DATE($C839,2,15)&gt;=$X$830,$AA$830*(1+($U$830)/100)^MAX(0,$C839-$AD$830),IF(DATE($C839,2,15)&gt;=$W$830,$Z$830*(1+($U$830)/100)^MAX(0,$C839-$AC$830),IF(DATE($C839,2,15)&gt;=$V$830,$Y$830*(1+($U$830)/100)^MAX(0,$C839-$AB$830),0)))))</f>
      </c>
      <c r="G839" s="43">
        <f>IF($S$830=0,0,IF(OR(DATE($C839,3,15)&lt;$S$830,AND($T$830&gt;0,DATE($C839,3,15)&gt;$T$830)),0,IF(DATE($C839,3,15)&gt;=$X$830,$AA$830*(1+($U$830)/100)^MAX(0,$C839-$AD$830),IF(DATE($C839,3,15)&gt;=$W$830,$Z$830*(1+($U$830)/100)^MAX(0,$C839-$AC$830),IF(DATE($C839,3,15)&gt;=$V$830,$Y$830*(1+($U$830)/100)^MAX(0,$C839-$AB$830),0)))))</f>
      </c>
      <c r="H839" s="43">
        <f>IF($S$830=0,0,IF(OR(DATE($C839,4,15)&lt;$S$830,AND($T$830&gt;0,DATE($C839,4,15)&gt;$T$830)),0,IF(DATE($C839,4,15)&gt;=$X$830,$AA$830*(1+($U$830)/100)^MAX(0,$C839-$AD$830),IF(DATE($C839,4,15)&gt;=$W$830,$Z$830*(1+($U$830)/100)^MAX(0,$C839-$AC$830),IF(DATE($C839,4,15)&gt;=$V$830,$Y$830*(1+($U$830)/100)^MAX(0,$C839-$AB$830),0)))))</f>
      </c>
      <c r="I839" s="43">
        <f>IF($S$830=0,0,IF(OR(DATE($C839,5,15)&lt;$S$830,AND($T$830&gt;0,DATE($C839,5,15)&gt;$T$830)),0,IF(DATE($C839,5,15)&gt;=$X$830,$AA$830*(1+($U$830)/100)^MAX(0,$C839-$AD$830),IF(DATE($C839,5,15)&gt;=$W$830,$Z$830*(1+($U$830)/100)^MAX(0,$C839-$AC$830),IF(DATE($C839,5,15)&gt;=$V$830,$Y$830*(1+($U$830)/100)^MAX(0,$C839-$AB$830),0)))))</f>
      </c>
      <c r="J839" s="43">
        <f>IF($S$830=0,0,IF(OR(DATE($C839,6,15)&lt;$S$830,AND($T$830&gt;0,DATE($C839,6,15)&gt;$T$830)),0,IF(DATE($C839,6,15)&gt;=$X$830,$AA$830*(1+($U$830)/100)^MAX(0,$C839-$AD$830),IF(DATE($C839,6,15)&gt;=$W$830,$Z$830*(1+($U$830)/100)^MAX(0,$C839-$AC$830),IF(DATE($C839,6,15)&gt;=$V$830,$Y$830*(1+($U$830)/100)^MAX(0,$C839-$AB$830),0)))))</f>
      </c>
      <c r="K839" s="43">
        <f>IF($S$830=0,0,IF(OR(DATE($C839,7,15)&lt;$S$830,AND($T$830&gt;0,DATE($C839,7,15)&gt;$T$830)),0,IF(DATE($C839,7,15)&gt;=$X$830,$AA$830*(1+($U$830)/100)^MAX(0,$C839-$AD$830),IF(DATE($C839,7,15)&gt;=$W$830,$Z$830*(1+($U$830)/100)^MAX(0,$C839-$AC$830),IF(DATE($C839,7,15)&gt;=$V$830,$Y$830*(1+($U$830)/100)^MAX(0,$C839-$AB$830),0)))))</f>
      </c>
      <c r="L839" s="43">
        <f>IF($S$830=0,0,IF(OR(DATE($C839,8,15)&lt;$S$830,AND($T$830&gt;0,DATE($C839,8,15)&gt;$T$830)),0,IF(DATE($C839,8,15)&gt;=$X$830,$AA$830*(1+($U$830)/100)^MAX(0,$C839-$AD$830),IF(DATE($C839,8,15)&gt;=$W$830,$Z$830*(1+($U$830)/100)^MAX(0,$C839-$AC$830),IF(DATE($C839,8,15)&gt;=$V$830,$Y$830*(1+($U$830)/100)^MAX(0,$C839-$AB$830),0)))))</f>
      </c>
      <c r="M839" s="43">
        <f>IF($S$830=0,0,IF(OR(DATE($C839,9,15)&lt;$S$830,AND($T$830&gt;0,DATE($C839,9,15)&gt;$T$830)),0,IF(DATE($C839,9,15)&gt;=$X$830,$AA$830*(1+($U$830)/100)^MAX(0,$C839-$AD$830),IF(DATE($C839,9,15)&gt;=$W$830,$Z$830*(1+($U$830)/100)^MAX(0,$C839-$AC$830),IF(DATE($C839,9,15)&gt;=$V$830,$Y$830*(1+($U$830)/100)^MAX(0,$C839-$AB$830),0)))))</f>
      </c>
      <c r="N839" s="43">
        <f>IF($S$830=0,0,IF(OR(DATE($C839,10,15)&lt;$S$830,AND($T$830&gt;0,DATE($C839,10,15)&gt;$T$830)),0,IF(DATE($C839,10,15)&gt;=$X$830,$AA$830*(1+($U$830)/100)^MAX(0,$C839-$AD$830),IF(DATE($C839,10,15)&gt;=$W$830,$Z$830*(1+($U$830)/100)^MAX(0,$C839-$AC$830),IF(DATE($C839,10,15)&gt;=$V$830,$Y$830*(1+($U$830)/100)^MAX(0,$C839-$AB$830),0)))))</f>
      </c>
      <c r="O839" s="43">
        <f>IF($S$830=0,0,IF(OR(DATE($C839,11,15)&lt;$S$830,AND($T$830&gt;0,DATE($C839,11,15)&gt;$T$830)),0,IF(DATE($C839,11,15)&gt;=$X$830,$AA$830*(1+($U$830)/100)^MAX(0,$C839-$AD$830),IF(DATE($C839,11,15)&gt;=$W$830,$Z$830*(1+($U$830)/100)^MAX(0,$C839-$AC$830),IF(DATE($C839,11,15)&gt;=$V$830,$Y$830*(1+($U$830)/100)^MAX(0,$C839-$AB$830),0)))))</f>
      </c>
      <c r="P839" s="43">
        <f>IF($S$830=0,0,IF(OR(DATE($C839,12,15)&lt;$S$830,AND($T$830&gt;0,DATE($C839,12,15)&gt;$T$830)),0,IF(DATE($C839,12,15)&gt;=$X$830,$AA$830*(1+($U$830)/100)^MAX(0,$C839-$AD$830),IF(DATE($C839,12,15)&gt;=$W$830,$Z$830*(1+($U$830)/100)^MAX(0,$C839-$AC$830),IF(DATE($C839,12,15)&gt;=$V$830,$Y$830*(1+($U$830)/100)^MAX(0,$C839-$AB$830),0)))))</f>
      </c>
      <c r="Q839" s="43">
        <f>SUM($E839:$P839)</f>
      </c>
    </row>
    <row r="840">
      <c r="A840"/>
      <c r="B840">
        <v>27</v>
      </c>
      <c r="C840" s="43">
        <f>Jahr+10</f>
      </c>
      <c r="D840" s="43">
        <f>INDEX(MvObj,27)</f>
      </c>
      <c r="E840" s="43">
        <f>IF($S$830=0,0,IF(OR(DATE($C840,1,15)&lt;$S$830,AND($T$830&gt;0,DATE($C840,1,15)&gt;$T$830)),0,IF(DATE($C840,1,15)&gt;=$X$830,$AA$830*(1+($U$830)/100)^MAX(0,$C840-$AD$830),IF(DATE($C840,1,15)&gt;=$W$830,$Z$830*(1+($U$830)/100)^MAX(0,$C840-$AC$830),IF(DATE($C840,1,15)&gt;=$V$830,$Y$830*(1+($U$830)/100)^MAX(0,$C840-$AB$830),0)))))</f>
      </c>
      <c r="F840" s="43">
        <f>IF($S$830=0,0,IF(OR(DATE($C840,2,15)&lt;$S$830,AND($T$830&gt;0,DATE($C840,2,15)&gt;$T$830)),0,IF(DATE($C840,2,15)&gt;=$X$830,$AA$830*(1+($U$830)/100)^MAX(0,$C840-$AD$830),IF(DATE($C840,2,15)&gt;=$W$830,$Z$830*(1+($U$830)/100)^MAX(0,$C840-$AC$830),IF(DATE($C840,2,15)&gt;=$V$830,$Y$830*(1+($U$830)/100)^MAX(0,$C840-$AB$830),0)))))</f>
      </c>
      <c r="G840" s="43">
        <f>IF($S$830=0,0,IF(OR(DATE($C840,3,15)&lt;$S$830,AND($T$830&gt;0,DATE($C840,3,15)&gt;$T$830)),0,IF(DATE($C840,3,15)&gt;=$X$830,$AA$830*(1+($U$830)/100)^MAX(0,$C840-$AD$830),IF(DATE($C840,3,15)&gt;=$W$830,$Z$830*(1+($U$830)/100)^MAX(0,$C840-$AC$830),IF(DATE($C840,3,15)&gt;=$V$830,$Y$830*(1+($U$830)/100)^MAX(0,$C840-$AB$830),0)))))</f>
      </c>
      <c r="H840" s="43">
        <f>IF($S$830=0,0,IF(OR(DATE($C840,4,15)&lt;$S$830,AND($T$830&gt;0,DATE($C840,4,15)&gt;$T$830)),0,IF(DATE($C840,4,15)&gt;=$X$830,$AA$830*(1+($U$830)/100)^MAX(0,$C840-$AD$830),IF(DATE($C840,4,15)&gt;=$W$830,$Z$830*(1+($U$830)/100)^MAX(0,$C840-$AC$830),IF(DATE($C840,4,15)&gt;=$V$830,$Y$830*(1+($U$830)/100)^MAX(0,$C840-$AB$830),0)))))</f>
      </c>
      <c r="I840" s="43">
        <f>IF($S$830=0,0,IF(OR(DATE($C840,5,15)&lt;$S$830,AND($T$830&gt;0,DATE($C840,5,15)&gt;$T$830)),0,IF(DATE($C840,5,15)&gt;=$X$830,$AA$830*(1+($U$830)/100)^MAX(0,$C840-$AD$830),IF(DATE($C840,5,15)&gt;=$W$830,$Z$830*(1+($U$830)/100)^MAX(0,$C840-$AC$830),IF(DATE($C840,5,15)&gt;=$V$830,$Y$830*(1+($U$830)/100)^MAX(0,$C840-$AB$830),0)))))</f>
      </c>
      <c r="J840" s="43">
        <f>IF($S$830=0,0,IF(OR(DATE($C840,6,15)&lt;$S$830,AND($T$830&gt;0,DATE($C840,6,15)&gt;$T$830)),0,IF(DATE($C840,6,15)&gt;=$X$830,$AA$830*(1+($U$830)/100)^MAX(0,$C840-$AD$830),IF(DATE($C840,6,15)&gt;=$W$830,$Z$830*(1+($U$830)/100)^MAX(0,$C840-$AC$830),IF(DATE($C840,6,15)&gt;=$V$830,$Y$830*(1+($U$830)/100)^MAX(0,$C840-$AB$830),0)))))</f>
      </c>
      <c r="K840" s="43">
        <f>IF($S$830=0,0,IF(OR(DATE($C840,7,15)&lt;$S$830,AND($T$830&gt;0,DATE($C840,7,15)&gt;$T$830)),0,IF(DATE($C840,7,15)&gt;=$X$830,$AA$830*(1+($U$830)/100)^MAX(0,$C840-$AD$830),IF(DATE($C840,7,15)&gt;=$W$830,$Z$830*(1+($U$830)/100)^MAX(0,$C840-$AC$830),IF(DATE($C840,7,15)&gt;=$V$830,$Y$830*(1+($U$830)/100)^MAX(0,$C840-$AB$830),0)))))</f>
      </c>
      <c r="L840" s="43">
        <f>IF($S$830=0,0,IF(OR(DATE($C840,8,15)&lt;$S$830,AND($T$830&gt;0,DATE($C840,8,15)&gt;$T$830)),0,IF(DATE($C840,8,15)&gt;=$X$830,$AA$830*(1+($U$830)/100)^MAX(0,$C840-$AD$830),IF(DATE($C840,8,15)&gt;=$W$830,$Z$830*(1+($U$830)/100)^MAX(0,$C840-$AC$830),IF(DATE($C840,8,15)&gt;=$V$830,$Y$830*(1+($U$830)/100)^MAX(0,$C840-$AB$830),0)))))</f>
      </c>
      <c r="M840" s="43">
        <f>IF($S$830=0,0,IF(OR(DATE($C840,9,15)&lt;$S$830,AND($T$830&gt;0,DATE($C840,9,15)&gt;$T$830)),0,IF(DATE($C840,9,15)&gt;=$X$830,$AA$830*(1+($U$830)/100)^MAX(0,$C840-$AD$830),IF(DATE($C840,9,15)&gt;=$W$830,$Z$830*(1+($U$830)/100)^MAX(0,$C840-$AC$830),IF(DATE($C840,9,15)&gt;=$V$830,$Y$830*(1+($U$830)/100)^MAX(0,$C840-$AB$830),0)))))</f>
      </c>
      <c r="N840" s="43">
        <f>IF($S$830=0,0,IF(OR(DATE($C840,10,15)&lt;$S$830,AND($T$830&gt;0,DATE($C840,10,15)&gt;$T$830)),0,IF(DATE($C840,10,15)&gt;=$X$830,$AA$830*(1+($U$830)/100)^MAX(0,$C840-$AD$830),IF(DATE($C840,10,15)&gt;=$W$830,$Z$830*(1+($U$830)/100)^MAX(0,$C840-$AC$830),IF(DATE($C840,10,15)&gt;=$V$830,$Y$830*(1+($U$830)/100)^MAX(0,$C840-$AB$830),0)))))</f>
      </c>
      <c r="O840" s="43">
        <f>IF($S$830=0,0,IF(OR(DATE($C840,11,15)&lt;$S$830,AND($T$830&gt;0,DATE($C840,11,15)&gt;$T$830)),0,IF(DATE($C840,11,15)&gt;=$X$830,$AA$830*(1+($U$830)/100)^MAX(0,$C840-$AD$830),IF(DATE($C840,11,15)&gt;=$W$830,$Z$830*(1+($U$830)/100)^MAX(0,$C840-$AC$830),IF(DATE($C840,11,15)&gt;=$V$830,$Y$830*(1+($U$830)/100)^MAX(0,$C840-$AB$830),0)))))</f>
      </c>
      <c r="P840" s="43">
        <f>IF($S$830=0,0,IF(OR(DATE($C840,12,15)&lt;$S$830,AND($T$830&gt;0,DATE($C840,12,15)&gt;$T$830)),0,IF(DATE($C840,12,15)&gt;=$X$830,$AA$830*(1+($U$830)/100)^MAX(0,$C840-$AD$830),IF(DATE($C840,12,15)&gt;=$W$830,$Z$830*(1+($U$830)/100)^MAX(0,$C840-$AC$830),IF(DATE($C840,12,15)&gt;=$V$830,$Y$830*(1+($U$830)/100)^MAX(0,$C840-$AB$830),0)))))</f>
      </c>
      <c r="Q840" s="43">
        <f>SUM($E840:$P840)</f>
      </c>
    </row>
    <row r="841">
      <c r="A841"/>
      <c r="B841">
        <v>27</v>
      </c>
      <c r="C841" s="43">
        <f>Jahr+11</f>
      </c>
      <c r="D841" s="43">
        <f>INDEX(MvObj,27)</f>
      </c>
      <c r="E841" s="43">
        <f>IF($S$830=0,0,IF(OR(DATE($C841,1,15)&lt;$S$830,AND($T$830&gt;0,DATE($C841,1,15)&gt;$T$830)),0,IF(DATE($C841,1,15)&gt;=$X$830,$AA$830*(1+($U$830)/100)^MAX(0,$C841-$AD$830),IF(DATE($C841,1,15)&gt;=$W$830,$Z$830*(1+($U$830)/100)^MAX(0,$C841-$AC$830),IF(DATE($C841,1,15)&gt;=$V$830,$Y$830*(1+($U$830)/100)^MAX(0,$C841-$AB$830),0)))))</f>
      </c>
      <c r="F841" s="43">
        <f>IF($S$830=0,0,IF(OR(DATE($C841,2,15)&lt;$S$830,AND($T$830&gt;0,DATE($C841,2,15)&gt;$T$830)),0,IF(DATE($C841,2,15)&gt;=$X$830,$AA$830*(1+($U$830)/100)^MAX(0,$C841-$AD$830),IF(DATE($C841,2,15)&gt;=$W$830,$Z$830*(1+($U$830)/100)^MAX(0,$C841-$AC$830),IF(DATE($C841,2,15)&gt;=$V$830,$Y$830*(1+($U$830)/100)^MAX(0,$C841-$AB$830),0)))))</f>
      </c>
      <c r="G841" s="43">
        <f>IF($S$830=0,0,IF(OR(DATE($C841,3,15)&lt;$S$830,AND($T$830&gt;0,DATE($C841,3,15)&gt;$T$830)),0,IF(DATE($C841,3,15)&gt;=$X$830,$AA$830*(1+($U$830)/100)^MAX(0,$C841-$AD$830),IF(DATE($C841,3,15)&gt;=$W$830,$Z$830*(1+($U$830)/100)^MAX(0,$C841-$AC$830),IF(DATE($C841,3,15)&gt;=$V$830,$Y$830*(1+($U$830)/100)^MAX(0,$C841-$AB$830),0)))))</f>
      </c>
      <c r="H841" s="43">
        <f>IF($S$830=0,0,IF(OR(DATE($C841,4,15)&lt;$S$830,AND($T$830&gt;0,DATE($C841,4,15)&gt;$T$830)),0,IF(DATE($C841,4,15)&gt;=$X$830,$AA$830*(1+($U$830)/100)^MAX(0,$C841-$AD$830),IF(DATE($C841,4,15)&gt;=$W$830,$Z$830*(1+($U$830)/100)^MAX(0,$C841-$AC$830),IF(DATE($C841,4,15)&gt;=$V$830,$Y$830*(1+($U$830)/100)^MAX(0,$C841-$AB$830),0)))))</f>
      </c>
      <c r="I841" s="43">
        <f>IF($S$830=0,0,IF(OR(DATE($C841,5,15)&lt;$S$830,AND($T$830&gt;0,DATE($C841,5,15)&gt;$T$830)),0,IF(DATE($C841,5,15)&gt;=$X$830,$AA$830*(1+($U$830)/100)^MAX(0,$C841-$AD$830),IF(DATE($C841,5,15)&gt;=$W$830,$Z$830*(1+($U$830)/100)^MAX(0,$C841-$AC$830),IF(DATE($C841,5,15)&gt;=$V$830,$Y$830*(1+($U$830)/100)^MAX(0,$C841-$AB$830),0)))))</f>
      </c>
      <c r="J841" s="43">
        <f>IF($S$830=0,0,IF(OR(DATE($C841,6,15)&lt;$S$830,AND($T$830&gt;0,DATE($C841,6,15)&gt;$T$830)),0,IF(DATE($C841,6,15)&gt;=$X$830,$AA$830*(1+($U$830)/100)^MAX(0,$C841-$AD$830),IF(DATE($C841,6,15)&gt;=$W$830,$Z$830*(1+($U$830)/100)^MAX(0,$C841-$AC$830),IF(DATE($C841,6,15)&gt;=$V$830,$Y$830*(1+($U$830)/100)^MAX(0,$C841-$AB$830),0)))))</f>
      </c>
      <c r="K841" s="43">
        <f>IF($S$830=0,0,IF(OR(DATE($C841,7,15)&lt;$S$830,AND($T$830&gt;0,DATE($C841,7,15)&gt;$T$830)),0,IF(DATE($C841,7,15)&gt;=$X$830,$AA$830*(1+($U$830)/100)^MAX(0,$C841-$AD$830),IF(DATE($C841,7,15)&gt;=$W$830,$Z$830*(1+($U$830)/100)^MAX(0,$C841-$AC$830),IF(DATE($C841,7,15)&gt;=$V$830,$Y$830*(1+($U$830)/100)^MAX(0,$C841-$AB$830),0)))))</f>
      </c>
      <c r="L841" s="43">
        <f>IF($S$830=0,0,IF(OR(DATE($C841,8,15)&lt;$S$830,AND($T$830&gt;0,DATE($C841,8,15)&gt;$T$830)),0,IF(DATE($C841,8,15)&gt;=$X$830,$AA$830*(1+($U$830)/100)^MAX(0,$C841-$AD$830),IF(DATE($C841,8,15)&gt;=$W$830,$Z$830*(1+($U$830)/100)^MAX(0,$C841-$AC$830),IF(DATE($C841,8,15)&gt;=$V$830,$Y$830*(1+($U$830)/100)^MAX(0,$C841-$AB$830),0)))))</f>
      </c>
      <c r="M841" s="43">
        <f>IF($S$830=0,0,IF(OR(DATE($C841,9,15)&lt;$S$830,AND($T$830&gt;0,DATE($C841,9,15)&gt;$T$830)),0,IF(DATE($C841,9,15)&gt;=$X$830,$AA$830*(1+($U$830)/100)^MAX(0,$C841-$AD$830),IF(DATE($C841,9,15)&gt;=$W$830,$Z$830*(1+($U$830)/100)^MAX(0,$C841-$AC$830),IF(DATE($C841,9,15)&gt;=$V$830,$Y$830*(1+($U$830)/100)^MAX(0,$C841-$AB$830),0)))))</f>
      </c>
      <c r="N841" s="43">
        <f>IF($S$830=0,0,IF(OR(DATE($C841,10,15)&lt;$S$830,AND($T$830&gt;0,DATE($C841,10,15)&gt;$T$830)),0,IF(DATE($C841,10,15)&gt;=$X$830,$AA$830*(1+($U$830)/100)^MAX(0,$C841-$AD$830),IF(DATE($C841,10,15)&gt;=$W$830,$Z$830*(1+($U$830)/100)^MAX(0,$C841-$AC$830),IF(DATE($C841,10,15)&gt;=$V$830,$Y$830*(1+($U$830)/100)^MAX(0,$C841-$AB$830),0)))))</f>
      </c>
      <c r="O841" s="43">
        <f>IF($S$830=0,0,IF(OR(DATE($C841,11,15)&lt;$S$830,AND($T$830&gt;0,DATE($C841,11,15)&gt;$T$830)),0,IF(DATE($C841,11,15)&gt;=$X$830,$AA$830*(1+($U$830)/100)^MAX(0,$C841-$AD$830),IF(DATE($C841,11,15)&gt;=$W$830,$Z$830*(1+($U$830)/100)^MAX(0,$C841-$AC$830),IF(DATE($C841,11,15)&gt;=$V$830,$Y$830*(1+($U$830)/100)^MAX(0,$C841-$AB$830),0)))))</f>
      </c>
      <c r="P841" s="43">
        <f>IF($S$830=0,0,IF(OR(DATE($C841,12,15)&lt;$S$830,AND($T$830&gt;0,DATE($C841,12,15)&gt;$T$830)),0,IF(DATE($C841,12,15)&gt;=$X$830,$AA$830*(1+($U$830)/100)^MAX(0,$C841-$AD$830),IF(DATE($C841,12,15)&gt;=$W$830,$Z$830*(1+($U$830)/100)^MAX(0,$C841-$AC$830),IF(DATE($C841,12,15)&gt;=$V$830,$Y$830*(1+($U$830)/100)^MAX(0,$C841-$AB$830),0)))))</f>
      </c>
      <c r="Q841" s="43">
        <f>SUM($E841:$P841)</f>
      </c>
    </row>
    <row r="842">
      <c r="A842"/>
      <c r="B842">
        <v>27</v>
      </c>
      <c r="C842" s="43">
        <f>Jahr+12</f>
      </c>
      <c r="D842" s="43">
        <f>INDEX(MvObj,27)</f>
      </c>
      <c r="E842" s="43">
        <f>IF($S$830=0,0,IF(OR(DATE($C842,1,15)&lt;$S$830,AND($T$830&gt;0,DATE($C842,1,15)&gt;$T$830)),0,IF(DATE($C842,1,15)&gt;=$X$830,$AA$830*(1+($U$830)/100)^MAX(0,$C842-$AD$830),IF(DATE($C842,1,15)&gt;=$W$830,$Z$830*(1+($U$830)/100)^MAX(0,$C842-$AC$830),IF(DATE($C842,1,15)&gt;=$V$830,$Y$830*(1+($U$830)/100)^MAX(0,$C842-$AB$830),0)))))</f>
      </c>
      <c r="F842" s="43">
        <f>IF($S$830=0,0,IF(OR(DATE($C842,2,15)&lt;$S$830,AND($T$830&gt;0,DATE($C842,2,15)&gt;$T$830)),0,IF(DATE($C842,2,15)&gt;=$X$830,$AA$830*(1+($U$830)/100)^MAX(0,$C842-$AD$830),IF(DATE($C842,2,15)&gt;=$W$830,$Z$830*(1+($U$830)/100)^MAX(0,$C842-$AC$830),IF(DATE($C842,2,15)&gt;=$V$830,$Y$830*(1+($U$830)/100)^MAX(0,$C842-$AB$830),0)))))</f>
      </c>
      <c r="G842" s="43">
        <f>IF($S$830=0,0,IF(OR(DATE($C842,3,15)&lt;$S$830,AND($T$830&gt;0,DATE($C842,3,15)&gt;$T$830)),0,IF(DATE($C842,3,15)&gt;=$X$830,$AA$830*(1+($U$830)/100)^MAX(0,$C842-$AD$830),IF(DATE($C842,3,15)&gt;=$W$830,$Z$830*(1+($U$830)/100)^MAX(0,$C842-$AC$830),IF(DATE($C842,3,15)&gt;=$V$830,$Y$830*(1+($U$830)/100)^MAX(0,$C842-$AB$830),0)))))</f>
      </c>
      <c r="H842" s="43">
        <f>IF($S$830=0,0,IF(OR(DATE($C842,4,15)&lt;$S$830,AND($T$830&gt;0,DATE($C842,4,15)&gt;$T$830)),0,IF(DATE($C842,4,15)&gt;=$X$830,$AA$830*(1+($U$830)/100)^MAX(0,$C842-$AD$830),IF(DATE($C842,4,15)&gt;=$W$830,$Z$830*(1+($U$830)/100)^MAX(0,$C842-$AC$830),IF(DATE($C842,4,15)&gt;=$V$830,$Y$830*(1+($U$830)/100)^MAX(0,$C842-$AB$830),0)))))</f>
      </c>
      <c r="I842" s="43">
        <f>IF($S$830=0,0,IF(OR(DATE($C842,5,15)&lt;$S$830,AND($T$830&gt;0,DATE($C842,5,15)&gt;$T$830)),0,IF(DATE($C842,5,15)&gt;=$X$830,$AA$830*(1+($U$830)/100)^MAX(0,$C842-$AD$830),IF(DATE($C842,5,15)&gt;=$W$830,$Z$830*(1+($U$830)/100)^MAX(0,$C842-$AC$830),IF(DATE($C842,5,15)&gt;=$V$830,$Y$830*(1+($U$830)/100)^MAX(0,$C842-$AB$830),0)))))</f>
      </c>
      <c r="J842" s="43">
        <f>IF($S$830=0,0,IF(OR(DATE($C842,6,15)&lt;$S$830,AND($T$830&gt;0,DATE($C842,6,15)&gt;$T$830)),0,IF(DATE($C842,6,15)&gt;=$X$830,$AA$830*(1+($U$830)/100)^MAX(0,$C842-$AD$830),IF(DATE($C842,6,15)&gt;=$W$830,$Z$830*(1+($U$830)/100)^MAX(0,$C842-$AC$830),IF(DATE($C842,6,15)&gt;=$V$830,$Y$830*(1+($U$830)/100)^MAX(0,$C842-$AB$830),0)))))</f>
      </c>
      <c r="K842" s="43">
        <f>IF($S$830=0,0,IF(OR(DATE($C842,7,15)&lt;$S$830,AND($T$830&gt;0,DATE($C842,7,15)&gt;$T$830)),0,IF(DATE($C842,7,15)&gt;=$X$830,$AA$830*(1+($U$830)/100)^MAX(0,$C842-$AD$830),IF(DATE($C842,7,15)&gt;=$W$830,$Z$830*(1+($U$830)/100)^MAX(0,$C842-$AC$830),IF(DATE($C842,7,15)&gt;=$V$830,$Y$830*(1+($U$830)/100)^MAX(0,$C842-$AB$830),0)))))</f>
      </c>
      <c r="L842" s="43">
        <f>IF($S$830=0,0,IF(OR(DATE($C842,8,15)&lt;$S$830,AND($T$830&gt;0,DATE($C842,8,15)&gt;$T$830)),0,IF(DATE($C842,8,15)&gt;=$X$830,$AA$830*(1+($U$830)/100)^MAX(0,$C842-$AD$830),IF(DATE($C842,8,15)&gt;=$W$830,$Z$830*(1+($U$830)/100)^MAX(0,$C842-$AC$830),IF(DATE($C842,8,15)&gt;=$V$830,$Y$830*(1+($U$830)/100)^MAX(0,$C842-$AB$830),0)))))</f>
      </c>
      <c r="M842" s="43">
        <f>IF($S$830=0,0,IF(OR(DATE($C842,9,15)&lt;$S$830,AND($T$830&gt;0,DATE($C842,9,15)&gt;$T$830)),0,IF(DATE($C842,9,15)&gt;=$X$830,$AA$830*(1+($U$830)/100)^MAX(0,$C842-$AD$830),IF(DATE($C842,9,15)&gt;=$W$830,$Z$830*(1+($U$830)/100)^MAX(0,$C842-$AC$830),IF(DATE($C842,9,15)&gt;=$V$830,$Y$830*(1+($U$830)/100)^MAX(0,$C842-$AB$830),0)))))</f>
      </c>
      <c r="N842" s="43">
        <f>IF($S$830=0,0,IF(OR(DATE($C842,10,15)&lt;$S$830,AND($T$830&gt;0,DATE($C842,10,15)&gt;$T$830)),0,IF(DATE($C842,10,15)&gt;=$X$830,$AA$830*(1+($U$830)/100)^MAX(0,$C842-$AD$830),IF(DATE($C842,10,15)&gt;=$W$830,$Z$830*(1+($U$830)/100)^MAX(0,$C842-$AC$830),IF(DATE($C842,10,15)&gt;=$V$830,$Y$830*(1+($U$830)/100)^MAX(0,$C842-$AB$830),0)))))</f>
      </c>
      <c r="O842" s="43">
        <f>IF($S$830=0,0,IF(OR(DATE($C842,11,15)&lt;$S$830,AND($T$830&gt;0,DATE($C842,11,15)&gt;$T$830)),0,IF(DATE($C842,11,15)&gt;=$X$830,$AA$830*(1+($U$830)/100)^MAX(0,$C842-$AD$830),IF(DATE($C842,11,15)&gt;=$W$830,$Z$830*(1+($U$830)/100)^MAX(0,$C842-$AC$830),IF(DATE($C842,11,15)&gt;=$V$830,$Y$830*(1+($U$830)/100)^MAX(0,$C842-$AB$830),0)))))</f>
      </c>
      <c r="P842" s="43">
        <f>IF($S$830=0,0,IF(OR(DATE($C842,12,15)&lt;$S$830,AND($T$830&gt;0,DATE($C842,12,15)&gt;$T$830)),0,IF(DATE($C842,12,15)&gt;=$X$830,$AA$830*(1+($U$830)/100)^MAX(0,$C842-$AD$830),IF(DATE($C842,12,15)&gt;=$W$830,$Z$830*(1+($U$830)/100)^MAX(0,$C842-$AC$830),IF(DATE($C842,12,15)&gt;=$V$830,$Y$830*(1+($U$830)/100)^MAX(0,$C842-$AB$830),0)))))</f>
      </c>
      <c r="Q842" s="43">
        <f>SUM($E842:$P842)</f>
      </c>
    </row>
    <row r="843">
      <c r="A843"/>
      <c r="B843">
        <v>27</v>
      </c>
      <c r="C843" s="43">
        <f>Jahr+13</f>
      </c>
      <c r="D843" s="43">
        <f>INDEX(MvObj,27)</f>
      </c>
      <c r="E843" s="43">
        <f>IF($S$830=0,0,IF(OR(DATE($C843,1,15)&lt;$S$830,AND($T$830&gt;0,DATE($C843,1,15)&gt;$T$830)),0,IF(DATE($C843,1,15)&gt;=$X$830,$AA$830*(1+($U$830)/100)^MAX(0,$C843-$AD$830),IF(DATE($C843,1,15)&gt;=$W$830,$Z$830*(1+($U$830)/100)^MAX(0,$C843-$AC$830),IF(DATE($C843,1,15)&gt;=$V$830,$Y$830*(1+($U$830)/100)^MAX(0,$C843-$AB$830),0)))))</f>
      </c>
      <c r="F843" s="43">
        <f>IF($S$830=0,0,IF(OR(DATE($C843,2,15)&lt;$S$830,AND($T$830&gt;0,DATE($C843,2,15)&gt;$T$830)),0,IF(DATE($C843,2,15)&gt;=$X$830,$AA$830*(1+($U$830)/100)^MAX(0,$C843-$AD$830),IF(DATE($C843,2,15)&gt;=$W$830,$Z$830*(1+($U$830)/100)^MAX(0,$C843-$AC$830),IF(DATE($C843,2,15)&gt;=$V$830,$Y$830*(1+($U$830)/100)^MAX(0,$C843-$AB$830),0)))))</f>
      </c>
      <c r="G843" s="43">
        <f>IF($S$830=0,0,IF(OR(DATE($C843,3,15)&lt;$S$830,AND($T$830&gt;0,DATE($C843,3,15)&gt;$T$830)),0,IF(DATE($C843,3,15)&gt;=$X$830,$AA$830*(1+($U$830)/100)^MAX(0,$C843-$AD$830),IF(DATE($C843,3,15)&gt;=$W$830,$Z$830*(1+($U$830)/100)^MAX(0,$C843-$AC$830),IF(DATE($C843,3,15)&gt;=$V$830,$Y$830*(1+($U$830)/100)^MAX(0,$C843-$AB$830),0)))))</f>
      </c>
      <c r="H843" s="43">
        <f>IF($S$830=0,0,IF(OR(DATE($C843,4,15)&lt;$S$830,AND($T$830&gt;0,DATE($C843,4,15)&gt;$T$830)),0,IF(DATE($C843,4,15)&gt;=$X$830,$AA$830*(1+($U$830)/100)^MAX(0,$C843-$AD$830),IF(DATE($C843,4,15)&gt;=$W$830,$Z$830*(1+($U$830)/100)^MAX(0,$C843-$AC$830),IF(DATE($C843,4,15)&gt;=$V$830,$Y$830*(1+($U$830)/100)^MAX(0,$C843-$AB$830),0)))))</f>
      </c>
      <c r="I843" s="43">
        <f>IF($S$830=0,0,IF(OR(DATE($C843,5,15)&lt;$S$830,AND($T$830&gt;0,DATE($C843,5,15)&gt;$T$830)),0,IF(DATE($C843,5,15)&gt;=$X$830,$AA$830*(1+($U$830)/100)^MAX(0,$C843-$AD$830),IF(DATE($C843,5,15)&gt;=$W$830,$Z$830*(1+($U$830)/100)^MAX(0,$C843-$AC$830),IF(DATE($C843,5,15)&gt;=$V$830,$Y$830*(1+($U$830)/100)^MAX(0,$C843-$AB$830),0)))))</f>
      </c>
      <c r="J843" s="43">
        <f>IF($S$830=0,0,IF(OR(DATE($C843,6,15)&lt;$S$830,AND($T$830&gt;0,DATE($C843,6,15)&gt;$T$830)),0,IF(DATE($C843,6,15)&gt;=$X$830,$AA$830*(1+($U$830)/100)^MAX(0,$C843-$AD$830),IF(DATE($C843,6,15)&gt;=$W$830,$Z$830*(1+($U$830)/100)^MAX(0,$C843-$AC$830),IF(DATE($C843,6,15)&gt;=$V$830,$Y$830*(1+($U$830)/100)^MAX(0,$C843-$AB$830),0)))))</f>
      </c>
      <c r="K843" s="43">
        <f>IF($S$830=0,0,IF(OR(DATE($C843,7,15)&lt;$S$830,AND($T$830&gt;0,DATE($C843,7,15)&gt;$T$830)),0,IF(DATE($C843,7,15)&gt;=$X$830,$AA$830*(1+($U$830)/100)^MAX(0,$C843-$AD$830),IF(DATE($C843,7,15)&gt;=$W$830,$Z$830*(1+($U$830)/100)^MAX(0,$C843-$AC$830),IF(DATE($C843,7,15)&gt;=$V$830,$Y$830*(1+($U$830)/100)^MAX(0,$C843-$AB$830),0)))))</f>
      </c>
      <c r="L843" s="43">
        <f>IF($S$830=0,0,IF(OR(DATE($C843,8,15)&lt;$S$830,AND($T$830&gt;0,DATE($C843,8,15)&gt;$T$830)),0,IF(DATE($C843,8,15)&gt;=$X$830,$AA$830*(1+($U$830)/100)^MAX(0,$C843-$AD$830),IF(DATE($C843,8,15)&gt;=$W$830,$Z$830*(1+($U$830)/100)^MAX(0,$C843-$AC$830),IF(DATE($C843,8,15)&gt;=$V$830,$Y$830*(1+($U$830)/100)^MAX(0,$C843-$AB$830),0)))))</f>
      </c>
      <c r="M843" s="43">
        <f>IF($S$830=0,0,IF(OR(DATE($C843,9,15)&lt;$S$830,AND($T$830&gt;0,DATE($C843,9,15)&gt;$T$830)),0,IF(DATE($C843,9,15)&gt;=$X$830,$AA$830*(1+($U$830)/100)^MAX(0,$C843-$AD$830),IF(DATE($C843,9,15)&gt;=$W$830,$Z$830*(1+($U$830)/100)^MAX(0,$C843-$AC$830),IF(DATE($C843,9,15)&gt;=$V$830,$Y$830*(1+($U$830)/100)^MAX(0,$C843-$AB$830),0)))))</f>
      </c>
      <c r="N843" s="43">
        <f>IF($S$830=0,0,IF(OR(DATE($C843,10,15)&lt;$S$830,AND($T$830&gt;0,DATE($C843,10,15)&gt;$T$830)),0,IF(DATE($C843,10,15)&gt;=$X$830,$AA$830*(1+($U$830)/100)^MAX(0,$C843-$AD$830),IF(DATE($C843,10,15)&gt;=$W$830,$Z$830*(1+($U$830)/100)^MAX(0,$C843-$AC$830),IF(DATE($C843,10,15)&gt;=$V$830,$Y$830*(1+($U$830)/100)^MAX(0,$C843-$AB$830),0)))))</f>
      </c>
      <c r="O843" s="43">
        <f>IF($S$830=0,0,IF(OR(DATE($C843,11,15)&lt;$S$830,AND($T$830&gt;0,DATE($C843,11,15)&gt;$T$830)),0,IF(DATE($C843,11,15)&gt;=$X$830,$AA$830*(1+($U$830)/100)^MAX(0,$C843-$AD$830),IF(DATE($C843,11,15)&gt;=$W$830,$Z$830*(1+($U$830)/100)^MAX(0,$C843-$AC$830),IF(DATE($C843,11,15)&gt;=$V$830,$Y$830*(1+($U$830)/100)^MAX(0,$C843-$AB$830),0)))))</f>
      </c>
      <c r="P843" s="43">
        <f>IF($S$830=0,0,IF(OR(DATE($C843,12,15)&lt;$S$830,AND($T$830&gt;0,DATE($C843,12,15)&gt;$T$830)),0,IF(DATE($C843,12,15)&gt;=$X$830,$AA$830*(1+($U$830)/100)^MAX(0,$C843-$AD$830),IF(DATE($C843,12,15)&gt;=$W$830,$Z$830*(1+($U$830)/100)^MAX(0,$C843-$AC$830),IF(DATE($C843,12,15)&gt;=$V$830,$Y$830*(1+($U$830)/100)^MAX(0,$C843-$AB$830),0)))))</f>
      </c>
      <c r="Q843" s="43">
        <f>SUM($E843:$P843)</f>
      </c>
    </row>
    <row r="844">
      <c r="A844"/>
      <c r="B844">
        <v>27</v>
      </c>
      <c r="C844" s="43">
        <f>Jahr+14</f>
      </c>
      <c r="D844" s="43">
        <f>INDEX(MvObj,27)</f>
      </c>
      <c r="E844" s="43">
        <f>IF($S$830=0,0,IF(OR(DATE($C844,1,15)&lt;$S$830,AND($T$830&gt;0,DATE($C844,1,15)&gt;$T$830)),0,IF(DATE($C844,1,15)&gt;=$X$830,$AA$830*(1+($U$830)/100)^MAX(0,$C844-$AD$830),IF(DATE($C844,1,15)&gt;=$W$830,$Z$830*(1+($U$830)/100)^MAX(0,$C844-$AC$830),IF(DATE($C844,1,15)&gt;=$V$830,$Y$830*(1+($U$830)/100)^MAX(0,$C844-$AB$830),0)))))</f>
      </c>
      <c r="F844" s="43">
        <f>IF($S$830=0,0,IF(OR(DATE($C844,2,15)&lt;$S$830,AND($T$830&gt;0,DATE($C844,2,15)&gt;$T$830)),0,IF(DATE($C844,2,15)&gt;=$X$830,$AA$830*(1+($U$830)/100)^MAX(0,$C844-$AD$830),IF(DATE($C844,2,15)&gt;=$W$830,$Z$830*(1+($U$830)/100)^MAX(0,$C844-$AC$830),IF(DATE($C844,2,15)&gt;=$V$830,$Y$830*(1+($U$830)/100)^MAX(0,$C844-$AB$830),0)))))</f>
      </c>
      <c r="G844" s="43">
        <f>IF($S$830=0,0,IF(OR(DATE($C844,3,15)&lt;$S$830,AND($T$830&gt;0,DATE($C844,3,15)&gt;$T$830)),0,IF(DATE($C844,3,15)&gt;=$X$830,$AA$830*(1+($U$830)/100)^MAX(0,$C844-$AD$830),IF(DATE($C844,3,15)&gt;=$W$830,$Z$830*(1+($U$830)/100)^MAX(0,$C844-$AC$830),IF(DATE($C844,3,15)&gt;=$V$830,$Y$830*(1+($U$830)/100)^MAX(0,$C844-$AB$830),0)))))</f>
      </c>
      <c r="H844" s="43">
        <f>IF($S$830=0,0,IF(OR(DATE($C844,4,15)&lt;$S$830,AND($T$830&gt;0,DATE($C844,4,15)&gt;$T$830)),0,IF(DATE($C844,4,15)&gt;=$X$830,$AA$830*(1+($U$830)/100)^MAX(0,$C844-$AD$830),IF(DATE($C844,4,15)&gt;=$W$830,$Z$830*(1+($U$830)/100)^MAX(0,$C844-$AC$830),IF(DATE($C844,4,15)&gt;=$V$830,$Y$830*(1+($U$830)/100)^MAX(0,$C844-$AB$830),0)))))</f>
      </c>
      <c r="I844" s="43">
        <f>IF($S$830=0,0,IF(OR(DATE($C844,5,15)&lt;$S$830,AND($T$830&gt;0,DATE($C844,5,15)&gt;$T$830)),0,IF(DATE($C844,5,15)&gt;=$X$830,$AA$830*(1+($U$830)/100)^MAX(0,$C844-$AD$830),IF(DATE($C844,5,15)&gt;=$W$830,$Z$830*(1+($U$830)/100)^MAX(0,$C844-$AC$830),IF(DATE($C844,5,15)&gt;=$V$830,$Y$830*(1+($U$830)/100)^MAX(0,$C844-$AB$830),0)))))</f>
      </c>
      <c r="J844" s="43">
        <f>IF($S$830=0,0,IF(OR(DATE($C844,6,15)&lt;$S$830,AND($T$830&gt;0,DATE($C844,6,15)&gt;$T$830)),0,IF(DATE($C844,6,15)&gt;=$X$830,$AA$830*(1+($U$830)/100)^MAX(0,$C844-$AD$830),IF(DATE($C844,6,15)&gt;=$W$830,$Z$830*(1+($U$830)/100)^MAX(0,$C844-$AC$830),IF(DATE($C844,6,15)&gt;=$V$830,$Y$830*(1+($U$830)/100)^MAX(0,$C844-$AB$830),0)))))</f>
      </c>
      <c r="K844" s="43">
        <f>IF($S$830=0,0,IF(OR(DATE($C844,7,15)&lt;$S$830,AND($T$830&gt;0,DATE($C844,7,15)&gt;$T$830)),0,IF(DATE($C844,7,15)&gt;=$X$830,$AA$830*(1+($U$830)/100)^MAX(0,$C844-$AD$830),IF(DATE($C844,7,15)&gt;=$W$830,$Z$830*(1+($U$830)/100)^MAX(0,$C844-$AC$830),IF(DATE($C844,7,15)&gt;=$V$830,$Y$830*(1+($U$830)/100)^MAX(0,$C844-$AB$830),0)))))</f>
      </c>
      <c r="L844" s="43">
        <f>IF($S$830=0,0,IF(OR(DATE($C844,8,15)&lt;$S$830,AND($T$830&gt;0,DATE($C844,8,15)&gt;$T$830)),0,IF(DATE($C844,8,15)&gt;=$X$830,$AA$830*(1+($U$830)/100)^MAX(0,$C844-$AD$830),IF(DATE($C844,8,15)&gt;=$W$830,$Z$830*(1+($U$830)/100)^MAX(0,$C844-$AC$830),IF(DATE($C844,8,15)&gt;=$V$830,$Y$830*(1+($U$830)/100)^MAX(0,$C844-$AB$830),0)))))</f>
      </c>
      <c r="M844" s="43">
        <f>IF($S$830=0,0,IF(OR(DATE($C844,9,15)&lt;$S$830,AND($T$830&gt;0,DATE($C844,9,15)&gt;$T$830)),0,IF(DATE($C844,9,15)&gt;=$X$830,$AA$830*(1+($U$830)/100)^MAX(0,$C844-$AD$830),IF(DATE($C844,9,15)&gt;=$W$830,$Z$830*(1+($U$830)/100)^MAX(0,$C844-$AC$830),IF(DATE($C844,9,15)&gt;=$V$830,$Y$830*(1+($U$830)/100)^MAX(0,$C844-$AB$830),0)))))</f>
      </c>
      <c r="N844" s="43">
        <f>IF($S$830=0,0,IF(OR(DATE($C844,10,15)&lt;$S$830,AND($T$830&gt;0,DATE($C844,10,15)&gt;$T$830)),0,IF(DATE($C844,10,15)&gt;=$X$830,$AA$830*(1+($U$830)/100)^MAX(0,$C844-$AD$830),IF(DATE($C844,10,15)&gt;=$W$830,$Z$830*(1+($U$830)/100)^MAX(0,$C844-$AC$830),IF(DATE($C844,10,15)&gt;=$V$830,$Y$830*(1+($U$830)/100)^MAX(0,$C844-$AB$830),0)))))</f>
      </c>
      <c r="O844" s="43">
        <f>IF($S$830=0,0,IF(OR(DATE($C844,11,15)&lt;$S$830,AND($T$830&gt;0,DATE($C844,11,15)&gt;$T$830)),0,IF(DATE($C844,11,15)&gt;=$X$830,$AA$830*(1+($U$830)/100)^MAX(0,$C844-$AD$830),IF(DATE($C844,11,15)&gt;=$W$830,$Z$830*(1+($U$830)/100)^MAX(0,$C844-$AC$830),IF(DATE($C844,11,15)&gt;=$V$830,$Y$830*(1+($U$830)/100)^MAX(0,$C844-$AB$830),0)))))</f>
      </c>
      <c r="P844" s="43">
        <f>IF($S$830=0,0,IF(OR(DATE($C844,12,15)&lt;$S$830,AND($T$830&gt;0,DATE($C844,12,15)&gt;$T$830)),0,IF(DATE($C844,12,15)&gt;=$X$830,$AA$830*(1+($U$830)/100)^MAX(0,$C844-$AD$830),IF(DATE($C844,12,15)&gt;=$W$830,$Z$830*(1+($U$830)/100)^MAX(0,$C844-$AC$830),IF(DATE($C844,12,15)&gt;=$V$830,$Y$830*(1+($U$830)/100)^MAX(0,$C844-$AB$830),0)))))</f>
      </c>
      <c r="Q844" s="43">
        <f>SUM($E844:$P844)</f>
      </c>
    </row>
    <row r="845">
      <c r="A845"/>
      <c r="B845">
        <v>27</v>
      </c>
      <c r="C845" s="43">
        <f>Jahr+15</f>
      </c>
      <c r="D845" s="43">
        <f>INDEX(MvObj,27)</f>
      </c>
      <c r="E845" s="43">
        <f>IF($S$830=0,0,IF(OR(DATE($C845,1,15)&lt;$S$830,AND($T$830&gt;0,DATE($C845,1,15)&gt;$T$830)),0,IF(DATE($C845,1,15)&gt;=$X$830,$AA$830*(1+($U$830)/100)^MAX(0,$C845-$AD$830),IF(DATE($C845,1,15)&gt;=$W$830,$Z$830*(1+($U$830)/100)^MAX(0,$C845-$AC$830),IF(DATE($C845,1,15)&gt;=$V$830,$Y$830*(1+($U$830)/100)^MAX(0,$C845-$AB$830),0)))))</f>
      </c>
      <c r="F845" s="43">
        <f>IF($S$830=0,0,IF(OR(DATE($C845,2,15)&lt;$S$830,AND($T$830&gt;0,DATE($C845,2,15)&gt;$T$830)),0,IF(DATE($C845,2,15)&gt;=$X$830,$AA$830*(1+($U$830)/100)^MAX(0,$C845-$AD$830),IF(DATE($C845,2,15)&gt;=$W$830,$Z$830*(1+($U$830)/100)^MAX(0,$C845-$AC$830),IF(DATE($C845,2,15)&gt;=$V$830,$Y$830*(1+($U$830)/100)^MAX(0,$C845-$AB$830),0)))))</f>
      </c>
      <c r="G845" s="43">
        <f>IF($S$830=0,0,IF(OR(DATE($C845,3,15)&lt;$S$830,AND($T$830&gt;0,DATE($C845,3,15)&gt;$T$830)),0,IF(DATE($C845,3,15)&gt;=$X$830,$AA$830*(1+($U$830)/100)^MAX(0,$C845-$AD$830),IF(DATE($C845,3,15)&gt;=$W$830,$Z$830*(1+($U$830)/100)^MAX(0,$C845-$AC$830),IF(DATE($C845,3,15)&gt;=$V$830,$Y$830*(1+($U$830)/100)^MAX(0,$C845-$AB$830),0)))))</f>
      </c>
      <c r="H845" s="43">
        <f>IF($S$830=0,0,IF(OR(DATE($C845,4,15)&lt;$S$830,AND($T$830&gt;0,DATE($C845,4,15)&gt;$T$830)),0,IF(DATE($C845,4,15)&gt;=$X$830,$AA$830*(1+($U$830)/100)^MAX(0,$C845-$AD$830),IF(DATE($C845,4,15)&gt;=$W$830,$Z$830*(1+($U$830)/100)^MAX(0,$C845-$AC$830),IF(DATE($C845,4,15)&gt;=$V$830,$Y$830*(1+($U$830)/100)^MAX(0,$C845-$AB$830),0)))))</f>
      </c>
      <c r="I845" s="43">
        <f>IF($S$830=0,0,IF(OR(DATE($C845,5,15)&lt;$S$830,AND($T$830&gt;0,DATE($C845,5,15)&gt;$T$830)),0,IF(DATE($C845,5,15)&gt;=$X$830,$AA$830*(1+($U$830)/100)^MAX(0,$C845-$AD$830),IF(DATE($C845,5,15)&gt;=$W$830,$Z$830*(1+($U$830)/100)^MAX(0,$C845-$AC$830),IF(DATE($C845,5,15)&gt;=$V$830,$Y$830*(1+($U$830)/100)^MAX(0,$C845-$AB$830),0)))))</f>
      </c>
      <c r="J845" s="43">
        <f>IF($S$830=0,0,IF(OR(DATE($C845,6,15)&lt;$S$830,AND($T$830&gt;0,DATE($C845,6,15)&gt;$T$830)),0,IF(DATE($C845,6,15)&gt;=$X$830,$AA$830*(1+($U$830)/100)^MAX(0,$C845-$AD$830),IF(DATE($C845,6,15)&gt;=$W$830,$Z$830*(1+($U$830)/100)^MAX(0,$C845-$AC$830),IF(DATE($C845,6,15)&gt;=$V$830,$Y$830*(1+($U$830)/100)^MAX(0,$C845-$AB$830),0)))))</f>
      </c>
      <c r="K845" s="43">
        <f>IF($S$830=0,0,IF(OR(DATE($C845,7,15)&lt;$S$830,AND($T$830&gt;0,DATE($C845,7,15)&gt;$T$830)),0,IF(DATE($C845,7,15)&gt;=$X$830,$AA$830*(1+($U$830)/100)^MAX(0,$C845-$AD$830),IF(DATE($C845,7,15)&gt;=$W$830,$Z$830*(1+($U$830)/100)^MAX(0,$C845-$AC$830),IF(DATE($C845,7,15)&gt;=$V$830,$Y$830*(1+($U$830)/100)^MAX(0,$C845-$AB$830),0)))))</f>
      </c>
      <c r="L845" s="43">
        <f>IF($S$830=0,0,IF(OR(DATE($C845,8,15)&lt;$S$830,AND($T$830&gt;0,DATE($C845,8,15)&gt;$T$830)),0,IF(DATE($C845,8,15)&gt;=$X$830,$AA$830*(1+($U$830)/100)^MAX(0,$C845-$AD$830),IF(DATE($C845,8,15)&gt;=$W$830,$Z$830*(1+($U$830)/100)^MAX(0,$C845-$AC$830),IF(DATE($C845,8,15)&gt;=$V$830,$Y$830*(1+($U$830)/100)^MAX(0,$C845-$AB$830),0)))))</f>
      </c>
      <c r="M845" s="43">
        <f>IF($S$830=0,0,IF(OR(DATE($C845,9,15)&lt;$S$830,AND($T$830&gt;0,DATE($C845,9,15)&gt;$T$830)),0,IF(DATE($C845,9,15)&gt;=$X$830,$AA$830*(1+($U$830)/100)^MAX(0,$C845-$AD$830),IF(DATE($C845,9,15)&gt;=$W$830,$Z$830*(1+($U$830)/100)^MAX(0,$C845-$AC$830),IF(DATE($C845,9,15)&gt;=$V$830,$Y$830*(1+($U$830)/100)^MAX(0,$C845-$AB$830),0)))))</f>
      </c>
      <c r="N845" s="43">
        <f>IF($S$830=0,0,IF(OR(DATE($C845,10,15)&lt;$S$830,AND($T$830&gt;0,DATE($C845,10,15)&gt;$T$830)),0,IF(DATE($C845,10,15)&gt;=$X$830,$AA$830*(1+($U$830)/100)^MAX(0,$C845-$AD$830),IF(DATE($C845,10,15)&gt;=$W$830,$Z$830*(1+($U$830)/100)^MAX(0,$C845-$AC$830),IF(DATE($C845,10,15)&gt;=$V$830,$Y$830*(1+($U$830)/100)^MAX(0,$C845-$AB$830),0)))))</f>
      </c>
      <c r="O845" s="43">
        <f>IF($S$830=0,0,IF(OR(DATE($C845,11,15)&lt;$S$830,AND($T$830&gt;0,DATE($C845,11,15)&gt;$T$830)),0,IF(DATE($C845,11,15)&gt;=$X$830,$AA$830*(1+($U$830)/100)^MAX(0,$C845-$AD$830),IF(DATE($C845,11,15)&gt;=$W$830,$Z$830*(1+($U$830)/100)^MAX(0,$C845-$AC$830),IF(DATE($C845,11,15)&gt;=$V$830,$Y$830*(1+($U$830)/100)^MAX(0,$C845-$AB$830),0)))))</f>
      </c>
      <c r="P845" s="43">
        <f>IF($S$830=0,0,IF(OR(DATE($C845,12,15)&lt;$S$830,AND($T$830&gt;0,DATE($C845,12,15)&gt;$T$830)),0,IF(DATE($C845,12,15)&gt;=$X$830,$AA$830*(1+($U$830)/100)^MAX(0,$C845-$AD$830),IF(DATE($C845,12,15)&gt;=$W$830,$Z$830*(1+($U$830)/100)^MAX(0,$C845-$AC$830),IF(DATE($C845,12,15)&gt;=$V$830,$Y$830*(1+($U$830)/100)^MAX(0,$C845-$AB$830),0)))))</f>
      </c>
      <c r="Q845" s="43">
        <f>SUM($E845:$P845)</f>
      </c>
    </row>
    <row r="846">
      <c r="A846"/>
      <c r="B846">
        <v>27</v>
      </c>
      <c r="C846" s="43">
        <f>Jahr+16</f>
      </c>
      <c r="D846" s="43">
        <f>INDEX(MvObj,27)</f>
      </c>
      <c r="E846" s="43">
        <f>IF($S$830=0,0,IF(OR(DATE($C846,1,15)&lt;$S$830,AND($T$830&gt;0,DATE($C846,1,15)&gt;$T$830)),0,IF(DATE($C846,1,15)&gt;=$X$830,$AA$830*(1+($U$830)/100)^MAX(0,$C846-$AD$830),IF(DATE($C846,1,15)&gt;=$W$830,$Z$830*(1+($U$830)/100)^MAX(0,$C846-$AC$830),IF(DATE($C846,1,15)&gt;=$V$830,$Y$830*(1+($U$830)/100)^MAX(0,$C846-$AB$830),0)))))</f>
      </c>
      <c r="F846" s="43">
        <f>IF($S$830=0,0,IF(OR(DATE($C846,2,15)&lt;$S$830,AND($T$830&gt;0,DATE($C846,2,15)&gt;$T$830)),0,IF(DATE($C846,2,15)&gt;=$X$830,$AA$830*(1+($U$830)/100)^MAX(0,$C846-$AD$830),IF(DATE($C846,2,15)&gt;=$W$830,$Z$830*(1+($U$830)/100)^MAX(0,$C846-$AC$830),IF(DATE($C846,2,15)&gt;=$V$830,$Y$830*(1+($U$830)/100)^MAX(0,$C846-$AB$830),0)))))</f>
      </c>
      <c r="G846" s="43">
        <f>IF($S$830=0,0,IF(OR(DATE($C846,3,15)&lt;$S$830,AND($T$830&gt;0,DATE($C846,3,15)&gt;$T$830)),0,IF(DATE($C846,3,15)&gt;=$X$830,$AA$830*(1+($U$830)/100)^MAX(0,$C846-$AD$830),IF(DATE($C846,3,15)&gt;=$W$830,$Z$830*(1+($U$830)/100)^MAX(0,$C846-$AC$830),IF(DATE($C846,3,15)&gt;=$V$830,$Y$830*(1+($U$830)/100)^MAX(0,$C846-$AB$830),0)))))</f>
      </c>
      <c r="H846" s="43">
        <f>IF($S$830=0,0,IF(OR(DATE($C846,4,15)&lt;$S$830,AND($T$830&gt;0,DATE($C846,4,15)&gt;$T$830)),0,IF(DATE($C846,4,15)&gt;=$X$830,$AA$830*(1+($U$830)/100)^MAX(0,$C846-$AD$830),IF(DATE($C846,4,15)&gt;=$W$830,$Z$830*(1+($U$830)/100)^MAX(0,$C846-$AC$830),IF(DATE($C846,4,15)&gt;=$V$830,$Y$830*(1+($U$830)/100)^MAX(0,$C846-$AB$830),0)))))</f>
      </c>
      <c r="I846" s="43">
        <f>IF($S$830=0,0,IF(OR(DATE($C846,5,15)&lt;$S$830,AND($T$830&gt;0,DATE($C846,5,15)&gt;$T$830)),0,IF(DATE($C846,5,15)&gt;=$X$830,$AA$830*(1+($U$830)/100)^MAX(0,$C846-$AD$830),IF(DATE($C846,5,15)&gt;=$W$830,$Z$830*(1+($U$830)/100)^MAX(0,$C846-$AC$830),IF(DATE($C846,5,15)&gt;=$V$830,$Y$830*(1+($U$830)/100)^MAX(0,$C846-$AB$830),0)))))</f>
      </c>
      <c r="J846" s="43">
        <f>IF($S$830=0,0,IF(OR(DATE($C846,6,15)&lt;$S$830,AND($T$830&gt;0,DATE($C846,6,15)&gt;$T$830)),0,IF(DATE($C846,6,15)&gt;=$X$830,$AA$830*(1+($U$830)/100)^MAX(0,$C846-$AD$830),IF(DATE($C846,6,15)&gt;=$W$830,$Z$830*(1+($U$830)/100)^MAX(0,$C846-$AC$830),IF(DATE($C846,6,15)&gt;=$V$830,$Y$830*(1+($U$830)/100)^MAX(0,$C846-$AB$830),0)))))</f>
      </c>
      <c r="K846" s="43">
        <f>IF($S$830=0,0,IF(OR(DATE($C846,7,15)&lt;$S$830,AND($T$830&gt;0,DATE($C846,7,15)&gt;$T$830)),0,IF(DATE($C846,7,15)&gt;=$X$830,$AA$830*(1+($U$830)/100)^MAX(0,$C846-$AD$830),IF(DATE($C846,7,15)&gt;=$W$830,$Z$830*(1+($U$830)/100)^MAX(0,$C846-$AC$830),IF(DATE($C846,7,15)&gt;=$V$830,$Y$830*(1+($U$830)/100)^MAX(0,$C846-$AB$830),0)))))</f>
      </c>
      <c r="L846" s="43">
        <f>IF($S$830=0,0,IF(OR(DATE($C846,8,15)&lt;$S$830,AND($T$830&gt;0,DATE($C846,8,15)&gt;$T$830)),0,IF(DATE($C846,8,15)&gt;=$X$830,$AA$830*(1+($U$830)/100)^MAX(0,$C846-$AD$830),IF(DATE($C846,8,15)&gt;=$W$830,$Z$830*(1+($U$830)/100)^MAX(0,$C846-$AC$830),IF(DATE($C846,8,15)&gt;=$V$830,$Y$830*(1+($U$830)/100)^MAX(0,$C846-$AB$830),0)))))</f>
      </c>
      <c r="M846" s="43">
        <f>IF($S$830=0,0,IF(OR(DATE($C846,9,15)&lt;$S$830,AND($T$830&gt;0,DATE($C846,9,15)&gt;$T$830)),0,IF(DATE($C846,9,15)&gt;=$X$830,$AA$830*(1+($U$830)/100)^MAX(0,$C846-$AD$830),IF(DATE($C846,9,15)&gt;=$W$830,$Z$830*(1+($U$830)/100)^MAX(0,$C846-$AC$830),IF(DATE($C846,9,15)&gt;=$V$830,$Y$830*(1+($U$830)/100)^MAX(0,$C846-$AB$830),0)))))</f>
      </c>
      <c r="N846" s="43">
        <f>IF($S$830=0,0,IF(OR(DATE($C846,10,15)&lt;$S$830,AND($T$830&gt;0,DATE($C846,10,15)&gt;$T$830)),0,IF(DATE($C846,10,15)&gt;=$X$830,$AA$830*(1+($U$830)/100)^MAX(0,$C846-$AD$830),IF(DATE($C846,10,15)&gt;=$W$830,$Z$830*(1+($U$830)/100)^MAX(0,$C846-$AC$830),IF(DATE($C846,10,15)&gt;=$V$830,$Y$830*(1+($U$830)/100)^MAX(0,$C846-$AB$830),0)))))</f>
      </c>
      <c r="O846" s="43">
        <f>IF($S$830=0,0,IF(OR(DATE($C846,11,15)&lt;$S$830,AND($T$830&gt;0,DATE($C846,11,15)&gt;$T$830)),0,IF(DATE($C846,11,15)&gt;=$X$830,$AA$830*(1+($U$830)/100)^MAX(0,$C846-$AD$830),IF(DATE($C846,11,15)&gt;=$W$830,$Z$830*(1+($U$830)/100)^MAX(0,$C846-$AC$830),IF(DATE($C846,11,15)&gt;=$V$830,$Y$830*(1+($U$830)/100)^MAX(0,$C846-$AB$830),0)))))</f>
      </c>
      <c r="P846" s="43">
        <f>IF($S$830=0,0,IF(OR(DATE($C846,12,15)&lt;$S$830,AND($T$830&gt;0,DATE($C846,12,15)&gt;$T$830)),0,IF(DATE($C846,12,15)&gt;=$X$830,$AA$830*(1+($U$830)/100)^MAX(0,$C846-$AD$830),IF(DATE($C846,12,15)&gt;=$W$830,$Z$830*(1+($U$830)/100)^MAX(0,$C846-$AC$830),IF(DATE($C846,12,15)&gt;=$V$830,$Y$830*(1+($U$830)/100)^MAX(0,$C846-$AB$830),0)))))</f>
      </c>
      <c r="Q846" s="43">
        <f>SUM($E846:$P846)</f>
      </c>
    </row>
    <row r="847">
      <c r="A847"/>
      <c r="B847">
        <v>27</v>
      </c>
      <c r="C847" s="43">
        <f>Jahr+17</f>
      </c>
      <c r="D847" s="43">
        <f>INDEX(MvObj,27)</f>
      </c>
      <c r="E847" s="43">
        <f>IF($S$830=0,0,IF(OR(DATE($C847,1,15)&lt;$S$830,AND($T$830&gt;0,DATE($C847,1,15)&gt;$T$830)),0,IF(DATE($C847,1,15)&gt;=$X$830,$AA$830*(1+($U$830)/100)^MAX(0,$C847-$AD$830),IF(DATE($C847,1,15)&gt;=$W$830,$Z$830*(1+($U$830)/100)^MAX(0,$C847-$AC$830),IF(DATE($C847,1,15)&gt;=$V$830,$Y$830*(1+($U$830)/100)^MAX(0,$C847-$AB$830),0)))))</f>
      </c>
      <c r="F847" s="43">
        <f>IF($S$830=0,0,IF(OR(DATE($C847,2,15)&lt;$S$830,AND($T$830&gt;0,DATE($C847,2,15)&gt;$T$830)),0,IF(DATE($C847,2,15)&gt;=$X$830,$AA$830*(1+($U$830)/100)^MAX(0,$C847-$AD$830),IF(DATE($C847,2,15)&gt;=$W$830,$Z$830*(1+($U$830)/100)^MAX(0,$C847-$AC$830),IF(DATE($C847,2,15)&gt;=$V$830,$Y$830*(1+($U$830)/100)^MAX(0,$C847-$AB$830),0)))))</f>
      </c>
      <c r="G847" s="43">
        <f>IF($S$830=0,0,IF(OR(DATE($C847,3,15)&lt;$S$830,AND($T$830&gt;0,DATE($C847,3,15)&gt;$T$830)),0,IF(DATE($C847,3,15)&gt;=$X$830,$AA$830*(1+($U$830)/100)^MAX(0,$C847-$AD$830),IF(DATE($C847,3,15)&gt;=$W$830,$Z$830*(1+($U$830)/100)^MAX(0,$C847-$AC$830),IF(DATE($C847,3,15)&gt;=$V$830,$Y$830*(1+($U$830)/100)^MAX(0,$C847-$AB$830),0)))))</f>
      </c>
      <c r="H847" s="43">
        <f>IF($S$830=0,0,IF(OR(DATE($C847,4,15)&lt;$S$830,AND($T$830&gt;0,DATE($C847,4,15)&gt;$T$830)),0,IF(DATE($C847,4,15)&gt;=$X$830,$AA$830*(1+($U$830)/100)^MAX(0,$C847-$AD$830),IF(DATE($C847,4,15)&gt;=$W$830,$Z$830*(1+($U$830)/100)^MAX(0,$C847-$AC$830),IF(DATE($C847,4,15)&gt;=$V$830,$Y$830*(1+($U$830)/100)^MAX(0,$C847-$AB$830),0)))))</f>
      </c>
      <c r="I847" s="43">
        <f>IF($S$830=0,0,IF(OR(DATE($C847,5,15)&lt;$S$830,AND($T$830&gt;0,DATE($C847,5,15)&gt;$T$830)),0,IF(DATE($C847,5,15)&gt;=$X$830,$AA$830*(1+($U$830)/100)^MAX(0,$C847-$AD$830),IF(DATE($C847,5,15)&gt;=$W$830,$Z$830*(1+($U$830)/100)^MAX(0,$C847-$AC$830),IF(DATE($C847,5,15)&gt;=$V$830,$Y$830*(1+($U$830)/100)^MAX(0,$C847-$AB$830),0)))))</f>
      </c>
      <c r="J847" s="43">
        <f>IF($S$830=0,0,IF(OR(DATE($C847,6,15)&lt;$S$830,AND($T$830&gt;0,DATE($C847,6,15)&gt;$T$830)),0,IF(DATE($C847,6,15)&gt;=$X$830,$AA$830*(1+($U$830)/100)^MAX(0,$C847-$AD$830),IF(DATE($C847,6,15)&gt;=$W$830,$Z$830*(1+($U$830)/100)^MAX(0,$C847-$AC$830),IF(DATE($C847,6,15)&gt;=$V$830,$Y$830*(1+($U$830)/100)^MAX(0,$C847-$AB$830),0)))))</f>
      </c>
      <c r="K847" s="43">
        <f>IF($S$830=0,0,IF(OR(DATE($C847,7,15)&lt;$S$830,AND($T$830&gt;0,DATE($C847,7,15)&gt;$T$830)),0,IF(DATE($C847,7,15)&gt;=$X$830,$AA$830*(1+($U$830)/100)^MAX(0,$C847-$AD$830),IF(DATE($C847,7,15)&gt;=$W$830,$Z$830*(1+($U$830)/100)^MAX(0,$C847-$AC$830),IF(DATE($C847,7,15)&gt;=$V$830,$Y$830*(1+($U$830)/100)^MAX(0,$C847-$AB$830),0)))))</f>
      </c>
      <c r="L847" s="43">
        <f>IF($S$830=0,0,IF(OR(DATE($C847,8,15)&lt;$S$830,AND($T$830&gt;0,DATE($C847,8,15)&gt;$T$830)),0,IF(DATE($C847,8,15)&gt;=$X$830,$AA$830*(1+($U$830)/100)^MAX(0,$C847-$AD$830),IF(DATE($C847,8,15)&gt;=$W$830,$Z$830*(1+($U$830)/100)^MAX(0,$C847-$AC$830),IF(DATE($C847,8,15)&gt;=$V$830,$Y$830*(1+($U$830)/100)^MAX(0,$C847-$AB$830),0)))))</f>
      </c>
      <c r="M847" s="43">
        <f>IF($S$830=0,0,IF(OR(DATE($C847,9,15)&lt;$S$830,AND($T$830&gt;0,DATE($C847,9,15)&gt;$T$830)),0,IF(DATE($C847,9,15)&gt;=$X$830,$AA$830*(1+($U$830)/100)^MAX(0,$C847-$AD$830),IF(DATE($C847,9,15)&gt;=$W$830,$Z$830*(1+($U$830)/100)^MAX(0,$C847-$AC$830),IF(DATE($C847,9,15)&gt;=$V$830,$Y$830*(1+($U$830)/100)^MAX(0,$C847-$AB$830),0)))))</f>
      </c>
      <c r="N847" s="43">
        <f>IF($S$830=0,0,IF(OR(DATE($C847,10,15)&lt;$S$830,AND($T$830&gt;0,DATE($C847,10,15)&gt;$T$830)),0,IF(DATE($C847,10,15)&gt;=$X$830,$AA$830*(1+($U$830)/100)^MAX(0,$C847-$AD$830),IF(DATE($C847,10,15)&gt;=$W$830,$Z$830*(1+($U$830)/100)^MAX(0,$C847-$AC$830),IF(DATE($C847,10,15)&gt;=$V$830,$Y$830*(1+($U$830)/100)^MAX(0,$C847-$AB$830),0)))))</f>
      </c>
      <c r="O847" s="43">
        <f>IF($S$830=0,0,IF(OR(DATE($C847,11,15)&lt;$S$830,AND($T$830&gt;0,DATE($C847,11,15)&gt;$T$830)),0,IF(DATE($C847,11,15)&gt;=$X$830,$AA$830*(1+($U$830)/100)^MAX(0,$C847-$AD$830),IF(DATE($C847,11,15)&gt;=$W$830,$Z$830*(1+($U$830)/100)^MAX(0,$C847-$AC$830),IF(DATE($C847,11,15)&gt;=$V$830,$Y$830*(1+($U$830)/100)^MAX(0,$C847-$AB$830),0)))))</f>
      </c>
      <c r="P847" s="43">
        <f>IF($S$830=0,0,IF(OR(DATE($C847,12,15)&lt;$S$830,AND($T$830&gt;0,DATE($C847,12,15)&gt;$T$830)),0,IF(DATE($C847,12,15)&gt;=$X$830,$AA$830*(1+($U$830)/100)^MAX(0,$C847-$AD$830),IF(DATE($C847,12,15)&gt;=$W$830,$Z$830*(1+($U$830)/100)^MAX(0,$C847-$AC$830),IF(DATE($C847,12,15)&gt;=$V$830,$Y$830*(1+($U$830)/100)^MAX(0,$C847-$AB$830),0)))))</f>
      </c>
      <c r="Q847" s="43">
        <f>SUM($E847:$P847)</f>
      </c>
    </row>
    <row r="848">
      <c r="A848"/>
      <c r="B848">
        <v>27</v>
      </c>
      <c r="C848" s="43">
        <f>Jahr+18</f>
      </c>
      <c r="D848" s="43">
        <f>INDEX(MvObj,27)</f>
      </c>
      <c r="E848" s="43">
        <f>IF($S$830=0,0,IF(OR(DATE($C848,1,15)&lt;$S$830,AND($T$830&gt;0,DATE($C848,1,15)&gt;$T$830)),0,IF(DATE($C848,1,15)&gt;=$X$830,$AA$830*(1+($U$830)/100)^MAX(0,$C848-$AD$830),IF(DATE($C848,1,15)&gt;=$W$830,$Z$830*(1+($U$830)/100)^MAX(0,$C848-$AC$830),IF(DATE($C848,1,15)&gt;=$V$830,$Y$830*(1+($U$830)/100)^MAX(0,$C848-$AB$830),0)))))</f>
      </c>
      <c r="F848" s="43">
        <f>IF($S$830=0,0,IF(OR(DATE($C848,2,15)&lt;$S$830,AND($T$830&gt;0,DATE($C848,2,15)&gt;$T$830)),0,IF(DATE($C848,2,15)&gt;=$X$830,$AA$830*(1+($U$830)/100)^MAX(0,$C848-$AD$830),IF(DATE($C848,2,15)&gt;=$W$830,$Z$830*(1+($U$830)/100)^MAX(0,$C848-$AC$830),IF(DATE($C848,2,15)&gt;=$V$830,$Y$830*(1+($U$830)/100)^MAX(0,$C848-$AB$830),0)))))</f>
      </c>
      <c r="G848" s="43">
        <f>IF($S$830=0,0,IF(OR(DATE($C848,3,15)&lt;$S$830,AND($T$830&gt;0,DATE($C848,3,15)&gt;$T$830)),0,IF(DATE($C848,3,15)&gt;=$X$830,$AA$830*(1+($U$830)/100)^MAX(0,$C848-$AD$830),IF(DATE($C848,3,15)&gt;=$W$830,$Z$830*(1+($U$830)/100)^MAX(0,$C848-$AC$830),IF(DATE($C848,3,15)&gt;=$V$830,$Y$830*(1+($U$830)/100)^MAX(0,$C848-$AB$830),0)))))</f>
      </c>
      <c r="H848" s="43">
        <f>IF($S$830=0,0,IF(OR(DATE($C848,4,15)&lt;$S$830,AND($T$830&gt;0,DATE($C848,4,15)&gt;$T$830)),0,IF(DATE($C848,4,15)&gt;=$X$830,$AA$830*(1+($U$830)/100)^MAX(0,$C848-$AD$830),IF(DATE($C848,4,15)&gt;=$W$830,$Z$830*(1+($U$830)/100)^MAX(0,$C848-$AC$830),IF(DATE($C848,4,15)&gt;=$V$830,$Y$830*(1+($U$830)/100)^MAX(0,$C848-$AB$830),0)))))</f>
      </c>
      <c r="I848" s="43">
        <f>IF($S$830=0,0,IF(OR(DATE($C848,5,15)&lt;$S$830,AND($T$830&gt;0,DATE($C848,5,15)&gt;$T$830)),0,IF(DATE($C848,5,15)&gt;=$X$830,$AA$830*(1+($U$830)/100)^MAX(0,$C848-$AD$830),IF(DATE($C848,5,15)&gt;=$W$830,$Z$830*(1+($U$830)/100)^MAX(0,$C848-$AC$830),IF(DATE($C848,5,15)&gt;=$V$830,$Y$830*(1+($U$830)/100)^MAX(0,$C848-$AB$830),0)))))</f>
      </c>
      <c r="J848" s="43">
        <f>IF($S$830=0,0,IF(OR(DATE($C848,6,15)&lt;$S$830,AND($T$830&gt;0,DATE($C848,6,15)&gt;$T$830)),0,IF(DATE($C848,6,15)&gt;=$X$830,$AA$830*(1+($U$830)/100)^MAX(0,$C848-$AD$830),IF(DATE($C848,6,15)&gt;=$W$830,$Z$830*(1+($U$830)/100)^MAX(0,$C848-$AC$830),IF(DATE($C848,6,15)&gt;=$V$830,$Y$830*(1+($U$830)/100)^MAX(0,$C848-$AB$830),0)))))</f>
      </c>
      <c r="K848" s="43">
        <f>IF($S$830=0,0,IF(OR(DATE($C848,7,15)&lt;$S$830,AND($T$830&gt;0,DATE($C848,7,15)&gt;$T$830)),0,IF(DATE($C848,7,15)&gt;=$X$830,$AA$830*(1+($U$830)/100)^MAX(0,$C848-$AD$830),IF(DATE($C848,7,15)&gt;=$W$830,$Z$830*(1+($U$830)/100)^MAX(0,$C848-$AC$830),IF(DATE($C848,7,15)&gt;=$V$830,$Y$830*(1+($U$830)/100)^MAX(0,$C848-$AB$830),0)))))</f>
      </c>
      <c r="L848" s="43">
        <f>IF($S$830=0,0,IF(OR(DATE($C848,8,15)&lt;$S$830,AND($T$830&gt;0,DATE($C848,8,15)&gt;$T$830)),0,IF(DATE($C848,8,15)&gt;=$X$830,$AA$830*(1+($U$830)/100)^MAX(0,$C848-$AD$830),IF(DATE($C848,8,15)&gt;=$W$830,$Z$830*(1+($U$830)/100)^MAX(0,$C848-$AC$830),IF(DATE($C848,8,15)&gt;=$V$830,$Y$830*(1+($U$830)/100)^MAX(0,$C848-$AB$830),0)))))</f>
      </c>
      <c r="M848" s="43">
        <f>IF($S$830=0,0,IF(OR(DATE($C848,9,15)&lt;$S$830,AND($T$830&gt;0,DATE($C848,9,15)&gt;$T$830)),0,IF(DATE($C848,9,15)&gt;=$X$830,$AA$830*(1+($U$830)/100)^MAX(0,$C848-$AD$830),IF(DATE($C848,9,15)&gt;=$W$830,$Z$830*(1+($U$830)/100)^MAX(0,$C848-$AC$830),IF(DATE($C848,9,15)&gt;=$V$830,$Y$830*(1+($U$830)/100)^MAX(0,$C848-$AB$830),0)))))</f>
      </c>
      <c r="N848" s="43">
        <f>IF($S$830=0,0,IF(OR(DATE($C848,10,15)&lt;$S$830,AND($T$830&gt;0,DATE($C848,10,15)&gt;$T$830)),0,IF(DATE($C848,10,15)&gt;=$X$830,$AA$830*(1+($U$830)/100)^MAX(0,$C848-$AD$830),IF(DATE($C848,10,15)&gt;=$W$830,$Z$830*(1+($U$830)/100)^MAX(0,$C848-$AC$830),IF(DATE($C848,10,15)&gt;=$V$830,$Y$830*(1+($U$830)/100)^MAX(0,$C848-$AB$830),0)))))</f>
      </c>
      <c r="O848" s="43">
        <f>IF($S$830=0,0,IF(OR(DATE($C848,11,15)&lt;$S$830,AND($T$830&gt;0,DATE($C848,11,15)&gt;$T$830)),0,IF(DATE($C848,11,15)&gt;=$X$830,$AA$830*(1+($U$830)/100)^MAX(0,$C848-$AD$830),IF(DATE($C848,11,15)&gt;=$W$830,$Z$830*(1+($U$830)/100)^MAX(0,$C848-$AC$830),IF(DATE($C848,11,15)&gt;=$V$830,$Y$830*(1+($U$830)/100)^MAX(0,$C848-$AB$830),0)))))</f>
      </c>
      <c r="P848" s="43">
        <f>IF($S$830=0,0,IF(OR(DATE($C848,12,15)&lt;$S$830,AND($T$830&gt;0,DATE($C848,12,15)&gt;$T$830)),0,IF(DATE($C848,12,15)&gt;=$X$830,$AA$830*(1+($U$830)/100)^MAX(0,$C848-$AD$830),IF(DATE($C848,12,15)&gt;=$W$830,$Z$830*(1+($U$830)/100)^MAX(0,$C848-$AC$830),IF(DATE($C848,12,15)&gt;=$V$830,$Y$830*(1+($U$830)/100)^MAX(0,$C848-$AB$830),0)))))</f>
      </c>
      <c r="Q848" s="43">
        <f>SUM($E848:$P848)</f>
      </c>
    </row>
    <row r="849">
      <c r="A849"/>
      <c r="B849">
        <v>27</v>
      </c>
      <c r="C849" s="43">
        <f>Jahr+19</f>
      </c>
      <c r="D849" s="43">
        <f>INDEX(MvObj,27)</f>
      </c>
      <c r="E849" s="43">
        <f>IF($S$830=0,0,IF(OR(DATE($C849,1,15)&lt;$S$830,AND($T$830&gt;0,DATE($C849,1,15)&gt;$T$830)),0,IF(DATE($C849,1,15)&gt;=$X$830,$AA$830*(1+($U$830)/100)^MAX(0,$C849-$AD$830),IF(DATE($C849,1,15)&gt;=$W$830,$Z$830*(1+($U$830)/100)^MAX(0,$C849-$AC$830),IF(DATE($C849,1,15)&gt;=$V$830,$Y$830*(1+($U$830)/100)^MAX(0,$C849-$AB$830),0)))))</f>
      </c>
      <c r="F849" s="43">
        <f>IF($S$830=0,0,IF(OR(DATE($C849,2,15)&lt;$S$830,AND($T$830&gt;0,DATE($C849,2,15)&gt;$T$830)),0,IF(DATE($C849,2,15)&gt;=$X$830,$AA$830*(1+($U$830)/100)^MAX(0,$C849-$AD$830),IF(DATE($C849,2,15)&gt;=$W$830,$Z$830*(1+($U$830)/100)^MAX(0,$C849-$AC$830),IF(DATE($C849,2,15)&gt;=$V$830,$Y$830*(1+($U$830)/100)^MAX(0,$C849-$AB$830),0)))))</f>
      </c>
      <c r="G849" s="43">
        <f>IF($S$830=0,0,IF(OR(DATE($C849,3,15)&lt;$S$830,AND($T$830&gt;0,DATE($C849,3,15)&gt;$T$830)),0,IF(DATE($C849,3,15)&gt;=$X$830,$AA$830*(1+($U$830)/100)^MAX(0,$C849-$AD$830),IF(DATE($C849,3,15)&gt;=$W$830,$Z$830*(1+($U$830)/100)^MAX(0,$C849-$AC$830),IF(DATE($C849,3,15)&gt;=$V$830,$Y$830*(1+($U$830)/100)^MAX(0,$C849-$AB$830),0)))))</f>
      </c>
      <c r="H849" s="43">
        <f>IF($S$830=0,0,IF(OR(DATE($C849,4,15)&lt;$S$830,AND($T$830&gt;0,DATE($C849,4,15)&gt;$T$830)),0,IF(DATE($C849,4,15)&gt;=$X$830,$AA$830*(1+($U$830)/100)^MAX(0,$C849-$AD$830),IF(DATE($C849,4,15)&gt;=$W$830,$Z$830*(1+($U$830)/100)^MAX(0,$C849-$AC$830),IF(DATE($C849,4,15)&gt;=$V$830,$Y$830*(1+($U$830)/100)^MAX(0,$C849-$AB$830),0)))))</f>
      </c>
      <c r="I849" s="43">
        <f>IF($S$830=0,0,IF(OR(DATE($C849,5,15)&lt;$S$830,AND($T$830&gt;0,DATE($C849,5,15)&gt;$T$830)),0,IF(DATE($C849,5,15)&gt;=$X$830,$AA$830*(1+($U$830)/100)^MAX(0,$C849-$AD$830),IF(DATE($C849,5,15)&gt;=$W$830,$Z$830*(1+($U$830)/100)^MAX(0,$C849-$AC$830),IF(DATE($C849,5,15)&gt;=$V$830,$Y$830*(1+($U$830)/100)^MAX(0,$C849-$AB$830),0)))))</f>
      </c>
      <c r="J849" s="43">
        <f>IF($S$830=0,0,IF(OR(DATE($C849,6,15)&lt;$S$830,AND($T$830&gt;0,DATE($C849,6,15)&gt;$T$830)),0,IF(DATE($C849,6,15)&gt;=$X$830,$AA$830*(1+($U$830)/100)^MAX(0,$C849-$AD$830),IF(DATE($C849,6,15)&gt;=$W$830,$Z$830*(1+($U$830)/100)^MAX(0,$C849-$AC$830),IF(DATE($C849,6,15)&gt;=$V$830,$Y$830*(1+($U$830)/100)^MAX(0,$C849-$AB$830),0)))))</f>
      </c>
      <c r="K849" s="43">
        <f>IF($S$830=0,0,IF(OR(DATE($C849,7,15)&lt;$S$830,AND($T$830&gt;0,DATE($C849,7,15)&gt;$T$830)),0,IF(DATE($C849,7,15)&gt;=$X$830,$AA$830*(1+($U$830)/100)^MAX(0,$C849-$AD$830),IF(DATE($C849,7,15)&gt;=$W$830,$Z$830*(1+($U$830)/100)^MAX(0,$C849-$AC$830),IF(DATE($C849,7,15)&gt;=$V$830,$Y$830*(1+($U$830)/100)^MAX(0,$C849-$AB$830),0)))))</f>
      </c>
      <c r="L849" s="43">
        <f>IF($S$830=0,0,IF(OR(DATE($C849,8,15)&lt;$S$830,AND($T$830&gt;0,DATE($C849,8,15)&gt;$T$830)),0,IF(DATE($C849,8,15)&gt;=$X$830,$AA$830*(1+($U$830)/100)^MAX(0,$C849-$AD$830),IF(DATE($C849,8,15)&gt;=$W$830,$Z$830*(1+($U$830)/100)^MAX(0,$C849-$AC$830),IF(DATE($C849,8,15)&gt;=$V$830,$Y$830*(1+($U$830)/100)^MAX(0,$C849-$AB$830),0)))))</f>
      </c>
      <c r="M849" s="43">
        <f>IF($S$830=0,0,IF(OR(DATE($C849,9,15)&lt;$S$830,AND($T$830&gt;0,DATE($C849,9,15)&gt;$T$830)),0,IF(DATE($C849,9,15)&gt;=$X$830,$AA$830*(1+($U$830)/100)^MAX(0,$C849-$AD$830),IF(DATE($C849,9,15)&gt;=$W$830,$Z$830*(1+($U$830)/100)^MAX(0,$C849-$AC$830),IF(DATE($C849,9,15)&gt;=$V$830,$Y$830*(1+($U$830)/100)^MAX(0,$C849-$AB$830),0)))))</f>
      </c>
      <c r="N849" s="43">
        <f>IF($S$830=0,0,IF(OR(DATE($C849,10,15)&lt;$S$830,AND($T$830&gt;0,DATE($C849,10,15)&gt;$T$830)),0,IF(DATE($C849,10,15)&gt;=$X$830,$AA$830*(1+($U$830)/100)^MAX(0,$C849-$AD$830),IF(DATE($C849,10,15)&gt;=$W$830,$Z$830*(1+($U$830)/100)^MAX(0,$C849-$AC$830),IF(DATE($C849,10,15)&gt;=$V$830,$Y$830*(1+($U$830)/100)^MAX(0,$C849-$AB$830),0)))))</f>
      </c>
      <c r="O849" s="43">
        <f>IF($S$830=0,0,IF(OR(DATE($C849,11,15)&lt;$S$830,AND($T$830&gt;0,DATE($C849,11,15)&gt;$T$830)),0,IF(DATE($C849,11,15)&gt;=$X$830,$AA$830*(1+($U$830)/100)^MAX(0,$C849-$AD$830),IF(DATE($C849,11,15)&gt;=$W$830,$Z$830*(1+($U$830)/100)^MAX(0,$C849-$AC$830),IF(DATE($C849,11,15)&gt;=$V$830,$Y$830*(1+($U$830)/100)^MAX(0,$C849-$AB$830),0)))))</f>
      </c>
      <c r="P849" s="43">
        <f>IF($S$830=0,0,IF(OR(DATE($C849,12,15)&lt;$S$830,AND($T$830&gt;0,DATE($C849,12,15)&gt;$T$830)),0,IF(DATE($C849,12,15)&gt;=$X$830,$AA$830*(1+($U$830)/100)^MAX(0,$C849-$AD$830),IF(DATE($C849,12,15)&gt;=$W$830,$Z$830*(1+($U$830)/100)^MAX(0,$C849-$AC$830),IF(DATE($C849,12,15)&gt;=$V$830,$Y$830*(1+($U$830)/100)^MAX(0,$C849-$AB$830),0)))))</f>
      </c>
      <c r="Q849" s="43">
        <f>SUM($E849:$P849)</f>
      </c>
    </row>
    <row r="850">
      <c r="A850"/>
      <c r="B850">
        <v>27</v>
      </c>
      <c r="C850" s="43">
        <f>Jahr+20</f>
      </c>
      <c r="D850" s="43">
        <f>INDEX(MvObj,27)</f>
      </c>
      <c r="E850" s="43">
        <f>IF($S$830=0,0,IF(OR(DATE($C850,1,15)&lt;$S$830,AND($T$830&gt;0,DATE($C850,1,15)&gt;$T$830)),0,IF(DATE($C850,1,15)&gt;=$X$830,$AA$830*(1+($U$830)/100)^MAX(0,$C850-$AD$830),IF(DATE($C850,1,15)&gt;=$W$830,$Z$830*(1+($U$830)/100)^MAX(0,$C850-$AC$830),IF(DATE($C850,1,15)&gt;=$V$830,$Y$830*(1+($U$830)/100)^MAX(0,$C850-$AB$830),0)))))</f>
      </c>
      <c r="F850" s="43">
        <f>IF($S$830=0,0,IF(OR(DATE($C850,2,15)&lt;$S$830,AND($T$830&gt;0,DATE($C850,2,15)&gt;$T$830)),0,IF(DATE($C850,2,15)&gt;=$X$830,$AA$830*(1+($U$830)/100)^MAX(0,$C850-$AD$830),IF(DATE($C850,2,15)&gt;=$W$830,$Z$830*(1+($U$830)/100)^MAX(0,$C850-$AC$830),IF(DATE($C850,2,15)&gt;=$V$830,$Y$830*(1+($U$830)/100)^MAX(0,$C850-$AB$830),0)))))</f>
      </c>
      <c r="G850" s="43">
        <f>IF($S$830=0,0,IF(OR(DATE($C850,3,15)&lt;$S$830,AND($T$830&gt;0,DATE($C850,3,15)&gt;$T$830)),0,IF(DATE($C850,3,15)&gt;=$X$830,$AA$830*(1+($U$830)/100)^MAX(0,$C850-$AD$830),IF(DATE($C850,3,15)&gt;=$W$830,$Z$830*(1+($U$830)/100)^MAX(0,$C850-$AC$830),IF(DATE($C850,3,15)&gt;=$V$830,$Y$830*(1+($U$830)/100)^MAX(0,$C850-$AB$830),0)))))</f>
      </c>
      <c r="H850" s="43">
        <f>IF($S$830=0,0,IF(OR(DATE($C850,4,15)&lt;$S$830,AND($T$830&gt;0,DATE($C850,4,15)&gt;$T$830)),0,IF(DATE($C850,4,15)&gt;=$X$830,$AA$830*(1+($U$830)/100)^MAX(0,$C850-$AD$830),IF(DATE($C850,4,15)&gt;=$W$830,$Z$830*(1+($U$830)/100)^MAX(0,$C850-$AC$830),IF(DATE($C850,4,15)&gt;=$V$830,$Y$830*(1+($U$830)/100)^MAX(0,$C850-$AB$830),0)))))</f>
      </c>
      <c r="I850" s="43">
        <f>IF($S$830=0,0,IF(OR(DATE($C850,5,15)&lt;$S$830,AND($T$830&gt;0,DATE($C850,5,15)&gt;$T$830)),0,IF(DATE($C850,5,15)&gt;=$X$830,$AA$830*(1+($U$830)/100)^MAX(0,$C850-$AD$830),IF(DATE($C850,5,15)&gt;=$W$830,$Z$830*(1+($U$830)/100)^MAX(0,$C850-$AC$830),IF(DATE($C850,5,15)&gt;=$V$830,$Y$830*(1+($U$830)/100)^MAX(0,$C850-$AB$830),0)))))</f>
      </c>
      <c r="J850" s="43">
        <f>IF($S$830=0,0,IF(OR(DATE($C850,6,15)&lt;$S$830,AND($T$830&gt;0,DATE($C850,6,15)&gt;$T$830)),0,IF(DATE($C850,6,15)&gt;=$X$830,$AA$830*(1+($U$830)/100)^MAX(0,$C850-$AD$830),IF(DATE($C850,6,15)&gt;=$W$830,$Z$830*(1+($U$830)/100)^MAX(0,$C850-$AC$830),IF(DATE($C850,6,15)&gt;=$V$830,$Y$830*(1+($U$830)/100)^MAX(0,$C850-$AB$830),0)))))</f>
      </c>
      <c r="K850" s="43">
        <f>IF($S$830=0,0,IF(OR(DATE($C850,7,15)&lt;$S$830,AND($T$830&gt;0,DATE($C850,7,15)&gt;$T$830)),0,IF(DATE($C850,7,15)&gt;=$X$830,$AA$830*(1+($U$830)/100)^MAX(0,$C850-$AD$830),IF(DATE($C850,7,15)&gt;=$W$830,$Z$830*(1+($U$830)/100)^MAX(0,$C850-$AC$830),IF(DATE($C850,7,15)&gt;=$V$830,$Y$830*(1+($U$830)/100)^MAX(0,$C850-$AB$830),0)))))</f>
      </c>
      <c r="L850" s="43">
        <f>IF($S$830=0,0,IF(OR(DATE($C850,8,15)&lt;$S$830,AND($T$830&gt;0,DATE($C850,8,15)&gt;$T$830)),0,IF(DATE($C850,8,15)&gt;=$X$830,$AA$830*(1+($U$830)/100)^MAX(0,$C850-$AD$830),IF(DATE($C850,8,15)&gt;=$W$830,$Z$830*(1+($U$830)/100)^MAX(0,$C850-$AC$830),IF(DATE($C850,8,15)&gt;=$V$830,$Y$830*(1+($U$830)/100)^MAX(0,$C850-$AB$830),0)))))</f>
      </c>
      <c r="M850" s="43">
        <f>IF($S$830=0,0,IF(OR(DATE($C850,9,15)&lt;$S$830,AND($T$830&gt;0,DATE($C850,9,15)&gt;$T$830)),0,IF(DATE($C850,9,15)&gt;=$X$830,$AA$830*(1+($U$830)/100)^MAX(0,$C850-$AD$830),IF(DATE($C850,9,15)&gt;=$W$830,$Z$830*(1+($U$830)/100)^MAX(0,$C850-$AC$830),IF(DATE($C850,9,15)&gt;=$V$830,$Y$830*(1+($U$830)/100)^MAX(0,$C850-$AB$830),0)))))</f>
      </c>
      <c r="N850" s="43">
        <f>IF($S$830=0,0,IF(OR(DATE($C850,10,15)&lt;$S$830,AND($T$830&gt;0,DATE($C850,10,15)&gt;$T$830)),0,IF(DATE($C850,10,15)&gt;=$X$830,$AA$830*(1+($U$830)/100)^MAX(0,$C850-$AD$830),IF(DATE($C850,10,15)&gt;=$W$830,$Z$830*(1+($U$830)/100)^MAX(0,$C850-$AC$830),IF(DATE($C850,10,15)&gt;=$V$830,$Y$830*(1+($U$830)/100)^MAX(0,$C850-$AB$830),0)))))</f>
      </c>
      <c r="O850" s="43">
        <f>IF($S$830=0,0,IF(OR(DATE($C850,11,15)&lt;$S$830,AND($T$830&gt;0,DATE($C850,11,15)&gt;$T$830)),0,IF(DATE($C850,11,15)&gt;=$X$830,$AA$830*(1+($U$830)/100)^MAX(0,$C850-$AD$830),IF(DATE($C850,11,15)&gt;=$W$830,$Z$830*(1+($U$830)/100)^MAX(0,$C850-$AC$830),IF(DATE($C850,11,15)&gt;=$V$830,$Y$830*(1+($U$830)/100)^MAX(0,$C850-$AB$830),0)))))</f>
      </c>
      <c r="P850" s="43">
        <f>IF($S$830=0,0,IF(OR(DATE($C850,12,15)&lt;$S$830,AND($T$830&gt;0,DATE($C850,12,15)&gt;$T$830)),0,IF(DATE($C850,12,15)&gt;=$X$830,$AA$830*(1+($U$830)/100)^MAX(0,$C850-$AD$830),IF(DATE($C850,12,15)&gt;=$W$830,$Z$830*(1+($U$830)/100)^MAX(0,$C850-$AC$830),IF(DATE($C850,12,15)&gt;=$V$830,$Y$830*(1+($U$830)/100)^MAX(0,$C850-$AB$830),0)))))</f>
      </c>
      <c r="Q850" s="43">
        <f>SUM($E850:$P850)</f>
      </c>
    </row>
    <row r="851">
      <c r="A851"/>
      <c r="B851">
        <v>27</v>
      </c>
      <c r="C851" s="43">
        <f>Jahr+21</f>
      </c>
      <c r="D851" s="43">
        <f>INDEX(MvObj,27)</f>
      </c>
      <c r="E851" s="43">
        <f>IF($S$830=0,0,IF(OR(DATE($C851,1,15)&lt;$S$830,AND($T$830&gt;0,DATE($C851,1,15)&gt;$T$830)),0,IF(DATE($C851,1,15)&gt;=$X$830,$AA$830*(1+($U$830)/100)^MAX(0,$C851-$AD$830),IF(DATE($C851,1,15)&gt;=$W$830,$Z$830*(1+($U$830)/100)^MAX(0,$C851-$AC$830),IF(DATE($C851,1,15)&gt;=$V$830,$Y$830*(1+($U$830)/100)^MAX(0,$C851-$AB$830),0)))))</f>
      </c>
      <c r="F851" s="43">
        <f>IF($S$830=0,0,IF(OR(DATE($C851,2,15)&lt;$S$830,AND($T$830&gt;0,DATE($C851,2,15)&gt;$T$830)),0,IF(DATE($C851,2,15)&gt;=$X$830,$AA$830*(1+($U$830)/100)^MAX(0,$C851-$AD$830),IF(DATE($C851,2,15)&gt;=$W$830,$Z$830*(1+($U$830)/100)^MAX(0,$C851-$AC$830),IF(DATE($C851,2,15)&gt;=$V$830,$Y$830*(1+($U$830)/100)^MAX(0,$C851-$AB$830),0)))))</f>
      </c>
      <c r="G851" s="43">
        <f>IF($S$830=0,0,IF(OR(DATE($C851,3,15)&lt;$S$830,AND($T$830&gt;0,DATE($C851,3,15)&gt;$T$830)),0,IF(DATE($C851,3,15)&gt;=$X$830,$AA$830*(1+($U$830)/100)^MAX(0,$C851-$AD$830),IF(DATE($C851,3,15)&gt;=$W$830,$Z$830*(1+($U$830)/100)^MAX(0,$C851-$AC$830),IF(DATE($C851,3,15)&gt;=$V$830,$Y$830*(1+($U$830)/100)^MAX(0,$C851-$AB$830),0)))))</f>
      </c>
      <c r="H851" s="43">
        <f>IF($S$830=0,0,IF(OR(DATE($C851,4,15)&lt;$S$830,AND($T$830&gt;0,DATE($C851,4,15)&gt;$T$830)),0,IF(DATE($C851,4,15)&gt;=$X$830,$AA$830*(1+($U$830)/100)^MAX(0,$C851-$AD$830),IF(DATE($C851,4,15)&gt;=$W$830,$Z$830*(1+($U$830)/100)^MAX(0,$C851-$AC$830),IF(DATE($C851,4,15)&gt;=$V$830,$Y$830*(1+($U$830)/100)^MAX(0,$C851-$AB$830),0)))))</f>
      </c>
      <c r="I851" s="43">
        <f>IF($S$830=0,0,IF(OR(DATE($C851,5,15)&lt;$S$830,AND($T$830&gt;0,DATE($C851,5,15)&gt;$T$830)),0,IF(DATE($C851,5,15)&gt;=$X$830,$AA$830*(1+($U$830)/100)^MAX(0,$C851-$AD$830),IF(DATE($C851,5,15)&gt;=$W$830,$Z$830*(1+($U$830)/100)^MAX(0,$C851-$AC$830),IF(DATE($C851,5,15)&gt;=$V$830,$Y$830*(1+($U$830)/100)^MAX(0,$C851-$AB$830),0)))))</f>
      </c>
      <c r="J851" s="43">
        <f>IF($S$830=0,0,IF(OR(DATE($C851,6,15)&lt;$S$830,AND($T$830&gt;0,DATE($C851,6,15)&gt;$T$830)),0,IF(DATE($C851,6,15)&gt;=$X$830,$AA$830*(1+($U$830)/100)^MAX(0,$C851-$AD$830),IF(DATE($C851,6,15)&gt;=$W$830,$Z$830*(1+($U$830)/100)^MAX(0,$C851-$AC$830),IF(DATE($C851,6,15)&gt;=$V$830,$Y$830*(1+($U$830)/100)^MAX(0,$C851-$AB$830),0)))))</f>
      </c>
      <c r="K851" s="43">
        <f>IF($S$830=0,0,IF(OR(DATE($C851,7,15)&lt;$S$830,AND($T$830&gt;0,DATE($C851,7,15)&gt;$T$830)),0,IF(DATE($C851,7,15)&gt;=$X$830,$AA$830*(1+($U$830)/100)^MAX(0,$C851-$AD$830),IF(DATE($C851,7,15)&gt;=$W$830,$Z$830*(1+($U$830)/100)^MAX(0,$C851-$AC$830),IF(DATE($C851,7,15)&gt;=$V$830,$Y$830*(1+($U$830)/100)^MAX(0,$C851-$AB$830),0)))))</f>
      </c>
      <c r="L851" s="43">
        <f>IF($S$830=0,0,IF(OR(DATE($C851,8,15)&lt;$S$830,AND($T$830&gt;0,DATE($C851,8,15)&gt;$T$830)),0,IF(DATE($C851,8,15)&gt;=$X$830,$AA$830*(1+($U$830)/100)^MAX(0,$C851-$AD$830),IF(DATE($C851,8,15)&gt;=$W$830,$Z$830*(1+($U$830)/100)^MAX(0,$C851-$AC$830),IF(DATE($C851,8,15)&gt;=$V$830,$Y$830*(1+($U$830)/100)^MAX(0,$C851-$AB$830),0)))))</f>
      </c>
      <c r="M851" s="43">
        <f>IF($S$830=0,0,IF(OR(DATE($C851,9,15)&lt;$S$830,AND($T$830&gt;0,DATE($C851,9,15)&gt;$T$830)),0,IF(DATE($C851,9,15)&gt;=$X$830,$AA$830*(1+($U$830)/100)^MAX(0,$C851-$AD$830),IF(DATE($C851,9,15)&gt;=$W$830,$Z$830*(1+($U$830)/100)^MAX(0,$C851-$AC$830),IF(DATE($C851,9,15)&gt;=$V$830,$Y$830*(1+($U$830)/100)^MAX(0,$C851-$AB$830),0)))))</f>
      </c>
      <c r="N851" s="43">
        <f>IF($S$830=0,0,IF(OR(DATE($C851,10,15)&lt;$S$830,AND($T$830&gt;0,DATE($C851,10,15)&gt;$T$830)),0,IF(DATE($C851,10,15)&gt;=$X$830,$AA$830*(1+($U$830)/100)^MAX(0,$C851-$AD$830),IF(DATE($C851,10,15)&gt;=$W$830,$Z$830*(1+($U$830)/100)^MAX(0,$C851-$AC$830),IF(DATE($C851,10,15)&gt;=$V$830,$Y$830*(1+($U$830)/100)^MAX(0,$C851-$AB$830),0)))))</f>
      </c>
      <c r="O851" s="43">
        <f>IF($S$830=0,0,IF(OR(DATE($C851,11,15)&lt;$S$830,AND($T$830&gt;0,DATE($C851,11,15)&gt;$T$830)),0,IF(DATE($C851,11,15)&gt;=$X$830,$AA$830*(1+($U$830)/100)^MAX(0,$C851-$AD$830),IF(DATE($C851,11,15)&gt;=$W$830,$Z$830*(1+($U$830)/100)^MAX(0,$C851-$AC$830),IF(DATE($C851,11,15)&gt;=$V$830,$Y$830*(1+($U$830)/100)^MAX(0,$C851-$AB$830),0)))))</f>
      </c>
      <c r="P851" s="43">
        <f>IF($S$830=0,0,IF(OR(DATE($C851,12,15)&lt;$S$830,AND($T$830&gt;0,DATE($C851,12,15)&gt;$T$830)),0,IF(DATE($C851,12,15)&gt;=$X$830,$AA$830*(1+($U$830)/100)^MAX(0,$C851-$AD$830),IF(DATE($C851,12,15)&gt;=$W$830,$Z$830*(1+($U$830)/100)^MAX(0,$C851-$AC$830),IF(DATE($C851,12,15)&gt;=$V$830,$Y$830*(1+($U$830)/100)^MAX(0,$C851-$AB$830),0)))))</f>
      </c>
      <c r="Q851" s="43">
        <f>SUM($E851:$P851)</f>
      </c>
    </row>
    <row r="852">
      <c r="A852"/>
      <c r="B852">
        <v>27</v>
      </c>
      <c r="C852" s="43">
        <f>Jahr+22</f>
      </c>
      <c r="D852" s="43">
        <f>INDEX(MvObj,27)</f>
      </c>
      <c r="E852" s="43">
        <f>IF($S$830=0,0,IF(OR(DATE($C852,1,15)&lt;$S$830,AND($T$830&gt;0,DATE($C852,1,15)&gt;$T$830)),0,IF(DATE($C852,1,15)&gt;=$X$830,$AA$830*(1+($U$830)/100)^MAX(0,$C852-$AD$830),IF(DATE($C852,1,15)&gt;=$W$830,$Z$830*(1+($U$830)/100)^MAX(0,$C852-$AC$830),IF(DATE($C852,1,15)&gt;=$V$830,$Y$830*(1+($U$830)/100)^MAX(0,$C852-$AB$830),0)))))</f>
      </c>
      <c r="F852" s="43">
        <f>IF($S$830=0,0,IF(OR(DATE($C852,2,15)&lt;$S$830,AND($T$830&gt;0,DATE($C852,2,15)&gt;$T$830)),0,IF(DATE($C852,2,15)&gt;=$X$830,$AA$830*(1+($U$830)/100)^MAX(0,$C852-$AD$830),IF(DATE($C852,2,15)&gt;=$W$830,$Z$830*(1+($U$830)/100)^MAX(0,$C852-$AC$830),IF(DATE($C852,2,15)&gt;=$V$830,$Y$830*(1+($U$830)/100)^MAX(0,$C852-$AB$830),0)))))</f>
      </c>
      <c r="G852" s="43">
        <f>IF($S$830=0,0,IF(OR(DATE($C852,3,15)&lt;$S$830,AND($T$830&gt;0,DATE($C852,3,15)&gt;$T$830)),0,IF(DATE($C852,3,15)&gt;=$X$830,$AA$830*(1+($U$830)/100)^MAX(0,$C852-$AD$830),IF(DATE($C852,3,15)&gt;=$W$830,$Z$830*(1+($U$830)/100)^MAX(0,$C852-$AC$830),IF(DATE($C852,3,15)&gt;=$V$830,$Y$830*(1+($U$830)/100)^MAX(0,$C852-$AB$830),0)))))</f>
      </c>
      <c r="H852" s="43">
        <f>IF($S$830=0,0,IF(OR(DATE($C852,4,15)&lt;$S$830,AND($T$830&gt;0,DATE($C852,4,15)&gt;$T$830)),0,IF(DATE($C852,4,15)&gt;=$X$830,$AA$830*(1+($U$830)/100)^MAX(0,$C852-$AD$830),IF(DATE($C852,4,15)&gt;=$W$830,$Z$830*(1+($U$830)/100)^MAX(0,$C852-$AC$830),IF(DATE($C852,4,15)&gt;=$V$830,$Y$830*(1+($U$830)/100)^MAX(0,$C852-$AB$830),0)))))</f>
      </c>
      <c r="I852" s="43">
        <f>IF($S$830=0,0,IF(OR(DATE($C852,5,15)&lt;$S$830,AND($T$830&gt;0,DATE($C852,5,15)&gt;$T$830)),0,IF(DATE($C852,5,15)&gt;=$X$830,$AA$830*(1+($U$830)/100)^MAX(0,$C852-$AD$830),IF(DATE($C852,5,15)&gt;=$W$830,$Z$830*(1+($U$830)/100)^MAX(0,$C852-$AC$830),IF(DATE($C852,5,15)&gt;=$V$830,$Y$830*(1+($U$830)/100)^MAX(0,$C852-$AB$830),0)))))</f>
      </c>
      <c r="J852" s="43">
        <f>IF($S$830=0,0,IF(OR(DATE($C852,6,15)&lt;$S$830,AND($T$830&gt;0,DATE($C852,6,15)&gt;$T$830)),0,IF(DATE($C852,6,15)&gt;=$X$830,$AA$830*(1+($U$830)/100)^MAX(0,$C852-$AD$830),IF(DATE($C852,6,15)&gt;=$W$830,$Z$830*(1+($U$830)/100)^MAX(0,$C852-$AC$830),IF(DATE($C852,6,15)&gt;=$V$830,$Y$830*(1+($U$830)/100)^MAX(0,$C852-$AB$830),0)))))</f>
      </c>
      <c r="K852" s="43">
        <f>IF($S$830=0,0,IF(OR(DATE($C852,7,15)&lt;$S$830,AND($T$830&gt;0,DATE($C852,7,15)&gt;$T$830)),0,IF(DATE($C852,7,15)&gt;=$X$830,$AA$830*(1+($U$830)/100)^MAX(0,$C852-$AD$830),IF(DATE($C852,7,15)&gt;=$W$830,$Z$830*(1+($U$830)/100)^MAX(0,$C852-$AC$830),IF(DATE($C852,7,15)&gt;=$V$830,$Y$830*(1+($U$830)/100)^MAX(0,$C852-$AB$830),0)))))</f>
      </c>
      <c r="L852" s="43">
        <f>IF($S$830=0,0,IF(OR(DATE($C852,8,15)&lt;$S$830,AND($T$830&gt;0,DATE($C852,8,15)&gt;$T$830)),0,IF(DATE($C852,8,15)&gt;=$X$830,$AA$830*(1+($U$830)/100)^MAX(0,$C852-$AD$830),IF(DATE($C852,8,15)&gt;=$W$830,$Z$830*(1+($U$830)/100)^MAX(0,$C852-$AC$830),IF(DATE($C852,8,15)&gt;=$V$830,$Y$830*(1+($U$830)/100)^MAX(0,$C852-$AB$830),0)))))</f>
      </c>
      <c r="M852" s="43">
        <f>IF($S$830=0,0,IF(OR(DATE($C852,9,15)&lt;$S$830,AND($T$830&gt;0,DATE($C852,9,15)&gt;$T$830)),0,IF(DATE($C852,9,15)&gt;=$X$830,$AA$830*(1+($U$830)/100)^MAX(0,$C852-$AD$830),IF(DATE($C852,9,15)&gt;=$W$830,$Z$830*(1+($U$830)/100)^MAX(0,$C852-$AC$830),IF(DATE($C852,9,15)&gt;=$V$830,$Y$830*(1+($U$830)/100)^MAX(0,$C852-$AB$830),0)))))</f>
      </c>
      <c r="N852" s="43">
        <f>IF($S$830=0,0,IF(OR(DATE($C852,10,15)&lt;$S$830,AND($T$830&gt;0,DATE($C852,10,15)&gt;$T$830)),0,IF(DATE($C852,10,15)&gt;=$X$830,$AA$830*(1+($U$830)/100)^MAX(0,$C852-$AD$830),IF(DATE($C852,10,15)&gt;=$W$830,$Z$830*(1+($U$830)/100)^MAX(0,$C852-$AC$830),IF(DATE($C852,10,15)&gt;=$V$830,$Y$830*(1+($U$830)/100)^MAX(0,$C852-$AB$830),0)))))</f>
      </c>
      <c r="O852" s="43">
        <f>IF($S$830=0,0,IF(OR(DATE($C852,11,15)&lt;$S$830,AND($T$830&gt;0,DATE($C852,11,15)&gt;$T$830)),0,IF(DATE($C852,11,15)&gt;=$X$830,$AA$830*(1+($U$830)/100)^MAX(0,$C852-$AD$830),IF(DATE($C852,11,15)&gt;=$W$830,$Z$830*(1+($U$830)/100)^MAX(0,$C852-$AC$830),IF(DATE($C852,11,15)&gt;=$V$830,$Y$830*(1+($U$830)/100)^MAX(0,$C852-$AB$830),0)))))</f>
      </c>
      <c r="P852" s="43">
        <f>IF($S$830=0,0,IF(OR(DATE($C852,12,15)&lt;$S$830,AND($T$830&gt;0,DATE($C852,12,15)&gt;$T$830)),0,IF(DATE($C852,12,15)&gt;=$X$830,$AA$830*(1+($U$830)/100)^MAX(0,$C852-$AD$830),IF(DATE($C852,12,15)&gt;=$W$830,$Z$830*(1+($U$830)/100)^MAX(0,$C852-$AC$830),IF(DATE($C852,12,15)&gt;=$V$830,$Y$830*(1+($U$830)/100)^MAX(0,$C852-$AB$830),0)))))</f>
      </c>
      <c r="Q852" s="43">
        <f>SUM($E852:$P852)</f>
      </c>
    </row>
    <row r="853">
      <c r="A853"/>
      <c r="B853">
        <v>27</v>
      </c>
      <c r="C853" s="43">
        <f>Jahr+23</f>
      </c>
      <c r="D853" s="43">
        <f>INDEX(MvObj,27)</f>
      </c>
      <c r="E853" s="43">
        <f>IF($S$830=0,0,IF(OR(DATE($C853,1,15)&lt;$S$830,AND($T$830&gt;0,DATE($C853,1,15)&gt;$T$830)),0,IF(DATE($C853,1,15)&gt;=$X$830,$AA$830*(1+($U$830)/100)^MAX(0,$C853-$AD$830),IF(DATE($C853,1,15)&gt;=$W$830,$Z$830*(1+($U$830)/100)^MAX(0,$C853-$AC$830),IF(DATE($C853,1,15)&gt;=$V$830,$Y$830*(1+($U$830)/100)^MAX(0,$C853-$AB$830),0)))))</f>
      </c>
      <c r="F853" s="43">
        <f>IF($S$830=0,0,IF(OR(DATE($C853,2,15)&lt;$S$830,AND($T$830&gt;0,DATE($C853,2,15)&gt;$T$830)),0,IF(DATE($C853,2,15)&gt;=$X$830,$AA$830*(1+($U$830)/100)^MAX(0,$C853-$AD$830),IF(DATE($C853,2,15)&gt;=$W$830,$Z$830*(1+($U$830)/100)^MAX(0,$C853-$AC$830),IF(DATE($C853,2,15)&gt;=$V$830,$Y$830*(1+($U$830)/100)^MAX(0,$C853-$AB$830),0)))))</f>
      </c>
      <c r="G853" s="43">
        <f>IF($S$830=0,0,IF(OR(DATE($C853,3,15)&lt;$S$830,AND($T$830&gt;0,DATE($C853,3,15)&gt;$T$830)),0,IF(DATE($C853,3,15)&gt;=$X$830,$AA$830*(1+($U$830)/100)^MAX(0,$C853-$AD$830),IF(DATE($C853,3,15)&gt;=$W$830,$Z$830*(1+($U$830)/100)^MAX(0,$C853-$AC$830),IF(DATE($C853,3,15)&gt;=$V$830,$Y$830*(1+($U$830)/100)^MAX(0,$C853-$AB$830),0)))))</f>
      </c>
      <c r="H853" s="43">
        <f>IF($S$830=0,0,IF(OR(DATE($C853,4,15)&lt;$S$830,AND($T$830&gt;0,DATE($C853,4,15)&gt;$T$830)),0,IF(DATE($C853,4,15)&gt;=$X$830,$AA$830*(1+($U$830)/100)^MAX(0,$C853-$AD$830),IF(DATE($C853,4,15)&gt;=$W$830,$Z$830*(1+($U$830)/100)^MAX(0,$C853-$AC$830),IF(DATE($C853,4,15)&gt;=$V$830,$Y$830*(1+($U$830)/100)^MAX(0,$C853-$AB$830),0)))))</f>
      </c>
      <c r="I853" s="43">
        <f>IF($S$830=0,0,IF(OR(DATE($C853,5,15)&lt;$S$830,AND($T$830&gt;0,DATE($C853,5,15)&gt;$T$830)),0,IF(DATE($C853,5,15)&gt;=$X$830,$AA$830*(1+($U$830)/100)^MAX(0,$C853-$AD$830),IF(DATE($C853,5,15)&gt;=$W$830,$Z$830*(1+($U$830)/100)^MAX(0,$C853-$AC$830),IF(DATE($C853,5,15)&gt;=$V$830,$Y$830*(1+($U$830)/100)^MAX(0,$C853-$AB$830),0)))))</f>
      </c>
      <c r="J853" s="43">
        <f>IF($S$830=0,0,IF(OR(DATE($C853,6,15)&lt;$S$830,AND($T$830&gt;0,DATE($C853,6,15)&gt;$T$830)),0,IF(DATE($C853,6,15)&gt;=$X$830,$AA$830*(1+($U$830)/100)^MAX(0,$C853-$AD$830),IF(DATE($C853,6,15)&gt;=$W$830,$Z$830*(1+($U$830)/100)^MAX(0,$C853-$AC$830),IF(DATE($C853,6,15)&gt;=$V$830,$Y$830*(1+($U$830)/100)^MAX(0,$C853-$AB$830),0)))))</f>
      </c>
      <c r="K853" s="43">
        <f>IF($S$830=0,0,IF(OR(DATE($C853,7,15)&lt;$S$830,AND($T$830&gt;0,DATE($C853,7,15)&gt;$T$830)),0,IF(DATE($C853,7,15)&gt;=$X$830,$AA$830*(1+($U$830)/100)^MAX(0,$C853-$AD$830),IF(DATE($C853,7,15)&gt;=$W$830,$Z$830*(1+($U$830)/100)^MAX(0,$C853-$AC$830),IF(DATE($C853,7,15)&gt;=$V$830,$Y$830*(1+($U$830)/100)^MAX(0,$C853-$AB$830),0)))))</f>
      </c>
      <c r="L853" s="43">
        <f>IF($S$830=0,0,IF(OR(DATE($C853,8,15)&lt;$S$830,AND($T$830&gt;0,DATE($C853,8,15)&gt;$T$830)),0,IF(DATE($C853,8,15)&gt;=$X$830,$AA$830*(1+($U$830)/100)^MAX(0,$C853-$AD$830),IF(DATE($C853,8,15)&gt;=$W$830,$Z$830*(1+($U$830)/100)^MAX(0,$C853-$AC$830),IF(DATE($C853,8,15)&gt;=$V$830,$Y$830*(1+($U$830)/100)^MAX(0,$C853-$AB$830),0)))))</f>
      </c>
      <c r="M853" s="43">
        <f>IF($S$830=0,0,IF(OR(DATE($C853,9,15)&lt;$S$830,AND($T$830&gt;0,DATE($C853,9,15)&gt;$T$830)),0,IF(DATE($C853,9,15)&gt;=$X$830,$AA$830*(1+($U$830)/100)^MAX(0,$C853-$AD$830),IF(DATE($C853,9,15)&gt;=$W$830,$Z$830*(1+($U$830)/100)^MAX(0,$C853-$AC$830),IF(DATE($C853,9,15)&gt;=$V$830,$Y$830*(1+($U$830)/100)^MAX(0,$C853-$AB$830),0)))))</f>
      </c>
      <c r="N853" s="43">
        <f>IF($S$830=0,0,IF(OR(DATE($C853,10,15)&lt;$S$830,AND($T$830&gt;0,DATE($C853,10,15)&gt;$T$830)),0,IF(DATE($C853,10,15)&gt;=$X$830,$AA$830*(1+($U$830)/100)^MAX(0,$C853-$AD$830),IF(DATE($C853,10,15)&gt;=$W$830,$Z$830*(1+($U$830)/100)^MAX(0,$C853-$AC$830),IF(DATE($C853,10,15)&gt;=$V$830,$Y$830*(1+($U$830)/100)^MAX(0,$C853-$AB$830),0)))))</f>
      </c>
      <c r="O853" s="43">
        <f>IF($S$830=0,0,IF(OR(DATE($C853,11,15)&lt;$S$830,AND($T$830&gt;0,DATE($C853,11,15)&gt;$T$830)),0,IF(DATE($C853,11,15)&gt;=$X$830,$AA$830*(1+($U$830)/100)^MAX(0,$C853-$AD$830),IF(DATE($C853,11,15)&gt;=$W$830,$Z$830*(1+($U$830)/100)^MAX(0,$C853-$AC$830),IF(DATE($C853,11,15)&gt;=$V$830,$Y$830*(1+($U$830)/100)^MAX(0,$C853-$AB$830),0)))))</f>
      </c>
      <c r="P853" s="43">
        <f>IF($S$830=0,0,IF(OR(DATE($C853,12,15)&lt;$S$830,AND($T$830&gt;0,DATE($C853,12,15)&gt;$T$830)),0,IF(DATE($C853,12,15)&gt;=$X$830,$AA$830*(1+($U$830)/100)^MAX(0,$C853-$AD$830),IF(DATE($C853,12,15)&gt;=$W$830,$Z$830*(1+($U$830)/100)^MAX(0,$C853-$AC$830),IF(DATE($C853,12,15)&gt;=$V$830,$Y$830*(1+($U$830)/100)^MAX(0,$C853-$AB$830),0)))))</f>
      </c>
      <c r="Q853" s="43">
        <f>SUM($E853:$P853)</f>
      </c>
    </row>
    <row r="854">
      <c r="A854"/>
      <c r="B854">
        <v>27</v>
      </c>
      <c r="C854" s="43">
        <f>Jahr+24</f>
      </c>
      <c r="D854" s="43">
        <f>INDEX(MvObj,27)</f>
      </c>
      <c r="E854" s="43">
        <f>IF($S$830=0,0,IF(OR(DATE($C854,1,15)&lt;$S$830,AND($T$830&gt;0,DATE($C854,1,15)&gt;$T$830)),0,IF(DATE($C854,1,15)&gt;=$X$830,$AA$830*(1+($U$830)/100)^MAX(0,$C854-$AD$830),IF(DATE($C854,1,15)&gt;=$W$830,$Z$830*(1+($U$830)/100)^MAX(0,$C854-$AC$830),IF(DATE($C854,1,15)&gt;=$V$830,$Y$830*(1+($U$830)/100)^MAX(0,$C854-$AB$830),0)))))</f>
      </c>
      <c r="F854" s="43">
        <f>IF($S$830=0,0,IF(OR(DATE($C854,2,15)&lt;$S$830,AND($T$830&gt;0,DATE($C854,2,15)&gt;$T$830)),0,IF(DATE($C854,2,15)&gt;=$X$830,$AA$830*(1+($U$830)/100)^MAX(0,$C854-$AD$830),IF(DATE($C854,2,15)&gt;=$W$830,$Z$830*(1+($U$830)/100)^MAX(0,$C854-$AC$830),IF(DATE($C854,2,15)&gt;=$V$830,$Y$830*(1+($U$830)/100)^MAX(0,$C854-$AB$830),0)))))</f>
      </c>
      <c r="G854" s="43">
        <f>IF($S$830=0,0,IF(OR(DATE($C854,3,15)&lt;$S$830,AND($T$830&gt;0,DATE($C854,3,15)&gt;$T$830)),0,IF(DATE($C854,3,15)&gt;=$X$830,$AA$830*(1+($U$830)/100)^MAX(0,$C854-$AD$830),IF(DATE($C854,3,15)&gt;=$W$830,$Z$830*(1+($U$830)/100)^MAX(0,$C854-$AC$830),IF(DATE($C854,3,15)&gt;=$V$830,$Y$830*(1+($U$830)/100)^MAX(0,$C854-$AB$830),0)))))</f>
      </c>
      <c r="H854" s="43">
        <f>IF($S$830=0,0,IF(OR(DATE($C854,4,15)&lt;$S$830,AND($T$830&gt;0,DATE($C854,4,15)&gt;$T$830)),0,IF(DATE($C854,4,15)&gt;=$X$830,$AA$830*(1+($U$830)/100)^MAX(0,$C854-$AD$830),IF(DATE($C854,4,15)&gt;=$W$830,$Z$830*(1+($U$830)/100)^MAX(0,$C854-$AC$830),IF(DATE($C854,4,15)&gt;=$V$830,$Y$830*(1+($U$830)/100)^MAX(0,$C854-$AB$830),0)))))</f>
      </c>
      <c r="I854" s="43">
        <f>IF($S$830=0,0,IF(OR(DATE($C854,5,15)&lt;$S$830,AND($T$830&gt;0,DATE($C854,5,15)&gt;$T$830)),0,IF(DATE($C854,5,15)&gt;=$X$830,$AA$830*(1+($U$830)/100)^MAX(0,$C854-$AD$830),IF(DATE($C854,5,15)&gt;=$W$830,$Z$830*(1+($U$830)/100)^MAX(0,$C854-$AC$830),IF(DATE($C854,5,15)&gt;=$V$830,$Y$830*(1+($U$830)/100)^MAX(0,$C854-$AB$830),0)))))</f>
      </c>
      <c r="J854" s="43">
        <f>IF($S$830=0,0,IF(OR(DATE($C854,6,15)&lt;$S$830,AND($T$830&gt;0,DATE($C854,6,15)&gt;$T$830)),0,IF(DATE($C854,6,15)&gt;=$X$830,$AA$830*(1+($U$830)/100)^MAX(0,$C854-$AD$830),IF(DATE($C854,6,15)&gt;=$W$830,$Z$830*(1+($U$830)/100)^MAX(0,$C854-$AC$830),IF(DATE($C854,6,15)&gt;=$V$830,$Y$830*(1+($U$830)/100)^MAX(0,$C854-$AB$830),0)))))</f>
      </c>
      <c r="K854" s="43">
        <f>IF($S$830=0,0,IF(OR(DATE($C854,7,15)&lt;$S$830,AND($T$830&gt;0,DATE($C854,7,15)&gt;$T$830)),0,IF(DATE($C854,7,15)&gt;=$X$830,$AA$830*(1+($U$830)/100)^MAX(0,$C854-$AD$830),IF(DATE($C854,7,15)&gt;=$W$830,$Z$830*(1+($U$830)/100)^MAX(0,$C854-$AC$830),IF(DATE($C854,7,15)&gt;=$V$830,$Y$830*(1+($U$830)/100)^MAX(0,$C854-$AB$830),0)))))</f>
      </c>
      <c r="L854" s="43">
        <f>IF($S$830=0,0,IF(OR(DATE($C854,8,15)&lt;$S$830,AND($T$830&gt;0,DATE($C854,8,15)&gt;$T$830)),0,IF(DATE($C854,8,15)&gt;=$X$830,$AA$830*(1+($U$830)/100)^MAX(0,$C854-$AD$830),IF(DATE($C854,8,15)&gt;=$W$830,$Z$830*(1+($U$830)/100)^MAX(0,$C854-$AC$830),IF(DATE($C854,8,15)&gt;=$V$830,$Y$830*(1+($U$830)/100)^MAX(0,$C854-$AB$830),0)))))</f>
      </c>
      <c r="M854" s="43">
        <f>IF($S$830=0,0,IF(OR(DATE($C854,9,15)&lt;$S$830,AND($T$830&gt;0,DATE($C854,9,15)&gt;$T$830)),0,IF(DATE($C854,9,15)&gt;=$X$830,$AA$830*(1+($U$830)/100)^MAX(0,$C854-$AD$830),IF(DATE($C854,9,15)&gt;=$W$830,$Z$830*(1+($U$830)/100)^MAX(0,$C854-$AC$830),IF(DATE($C854,9,15)&gt;=$V$830,$Y$830*(1+($U$830)/100)^MAX(0,$C854-$AB$830),0)))))</f>
      </c>
      <c r="N854" s="43">
        <f>IF($S$830=0,0,IF(OR(DATE($C854,10,15)&lt;$S$830,AND($T$830&gt;0,DATE($C854,10,15)&gt;$T$830)),0,IF(DATE($C854,10,15)&gt;=$X$830,$AA$830*(1+($U$830)/100)^MAX(0,$C854-$AD$830),IF(DATE($C854,10,15)&gt;=$W$830,$Z$830*(1+($U$830)/100)^MAX(0,$C854-$AC$830),IF(DATE($C854,10,15)&gt;=$V$830,$Y$830*(1+($U$830)/100)^MAX(0,$C854-$AB$830),0)))))</f>
      </c>
      <c r="O854" s="43">
        <f>IF($S$830=0,0,IF(OR(DATE($C854,11,15)&lt;$S$830,AND($T$830&gt;0,DATE($C854,11,15)&gt;$T$830)),0,IF(DATE($C854,11,15)&gt;=$X$830,$AA$830*(1+($U$830)/100)^MAX(0,$C854-$AD$830),IF(DATE($C854,11,15)&gt;=$W$830,$Z$830*(1+($U$830)/100)^MAX(0,$C854-$AC$830),IF(DATE($C854,11,15)&gt;=$V$830,$Y$830*(1+($U$830)/100)^MAX(0,$C854-$AB$830),0)))))</f>
      </c>
      <c r="P854" s="43">
        <f>IF($S$830=0,0,IF(OR(DATE($C854,12,15)&lt;$S$830,AND($T$830&gt;0,DATE($C854,12,15)&gt;$T$830)),0,IF(DATE($C854,12,15)&gt;=$X$830,$AA$830*(1+($U$830)/100)^MAX(0,$C854-$AD$830),IF(DATE($C854,12,15)&gt;=$W$830,$Z$830*(1+($U$830)/100)^MAX(0,$C854-$AC$830),IF(DATE($C854,12,15)&gt;=$V$830,$Y$830*(1+($U$830)/100)^MAX(0,$C854-$AB$830),0)))))</f>
      </c>
      <c r="Q854" s="43">
        <f>SUM($E854:$P854)</f>
      </c>
    </row>
    <row r="855">
      <c r="A855"/>
      <c r="B855">
        <v>27</v>
      </c>
      <c r="C855" s="43">
        <f>Jahr+25</f>
      </c>
      <c r="D855" s="43">
        <f>INDEX(MvObj,27)</f>
      </c>
      <c r="E855" s="43">
        <f>IF($S$830=0,0,IF(OR(DATE($C855,1,15)&lt;$S$830,AND($T$830&gt;0,DATE($C855,1,15)&gt;$T$830)),0,IF(DATE($C855,1,15)&gt;=$X$830,$AA$830*(1+($U$830)/100)^MAX(0,$C855-$AD$830),IF(DATE($C855,1,15)&gt;=$W$830,$Z$830*(1+($U$830)/100)^MAX(0,$C855-$AC$830),IF(DATE($C855,1,15)&gt;=$V$830,$Y$830*(1+($U$830)/100)^MAX(0,$C855-$AB$830),0)))))</f>
      </c>
      <c r="F855" s="43">
        <f>IF($S$830=0,0,IF(OR(DATE($C855,2,15)&lt;$S$830,AND($T$830&gt;0,DATE($C855,2,15)&gt;$T$830)),0,IF(DATE($C855,2,15)&gt;=$X$830,$AA$830*(1+($U$830)/100)^MAX(0,$C855-$AD$830),IF(DATE($C855,2,15)&gt;=$W$830,$Z$830*(1+($U$830)/100)^MAX(0,$C855-$AC$830),IF(DATE($C855,2,15)&gt;=$V$830,$Y$830*(1+($U$830)/100)^MAX(0,$C855-$AB$830),0)))))</f>
      </c>
      <c r="G855" s="43">
        <f>IF($S$830=0,0,IF(OR(DATE($C855,3,15)&lt;$S$830,AND($T$830&gt;0,DATE($C855,3,15)&gt;$T$830)),0,IF(DATE($C855,3,15)&gt;=$X$830,$AA$830*(1+($U$830)/100)^MAX(0,$C855-$AD$830),IF(DATE($C855,3,15)&gt;=$W$830,$Z$830*(1+($U$830)/100)^MAX(0,$C855-$AC$830),IF(DATE($C855,3,15)&gt;=$V$830,$Y$830*(1+($U$830)/100)^MAX(0,$C855-$AB$830),0)))))</f>
      </c>
      <c r="H855" s="43">
        <f>IF($S$830=0,0,IF(OR(DATE($C855,4,15)&lt;$S$830,AND($T$830&gt;0,DATE($C855,4,15)&gt;$T$830)),0,IF(DATE($C855,4,15)&gt;=$X$830,$AA$830*(1+($U$830)/100)^MAX(0,$C855-$AD$830),IF(DATE($C855,4,15)&gt;=$W$830,$Z$830*(1+($U$830)/100)^MAX(0,$C855-$AC$830),IF(DATE($C855,4,15)&gt;=$V$830,$Y$830*(1+($U$830)/100)^MAX(0,$C855-$AB$830),0)))))</f>
      </c>
      <c r="I855" s="43">
        <f>IF($S$830=0,0,IF(OR(DATE($C855,5,15)&lt;$S$830,AND($T$830&gt;0,DATE($C855,5,15)&gt;$T$830)),0,IF(DATE($C855,5,15)&gt;=$X$830,$AA$830*(1+($U$830)/100)^MAX(0,$C855-$AD$830),IF(DATE($C855,5,15)&gt;=$W$830,$Z$830*(1+($U$830)/100)^MAX(0,$C855-$AC$830),IF(DATE($C855,5,15)&gt;=$V$830,$Y$830*(1+($U$830)/100)^MAX(0,$C855-$AB$830),0)))))</f>
      </c>
      <c r="J855" s="43">
        <f>IF($S$830=0,0,IF(OR(DATE($C855,6,15)&lt;$S$830,AND($T$830&gt;0,DATE($C855,6,15)&gt;$T$830)),0,IF(DATE($C855,6,15)&gt;=$X$830,$AA$830*(1+($U$830)/100)^MAX(0,$C855-$AD$830),IF(DATE($C855,6,15)&gt;=$W$830,$Z$830*(1+($U$830)/100)^MAX(0,$C855-$AC$830),IF(DATE($C855,6,15)&gt;=$V$830,$Y$830*(1+($U$830)/100)^MAX(0,$C855-$AB$830),0)))))</f>
      </c>
      <c r="K855" s="43">
        <f>IF($S$830=0,0,IF(OR(DATE($C855,7,15)&lt;$S$830,AND($T$830&gt;0,DATE($C855,7,15)&gt;$T$830)),0,IF(DATE($C855,7,15)&gt;=$X$830,$AA$830*(1+($U$830)/100)^MAX(0,$C855-$AD$830),IF(DATE($C855,7,15)&gt;=$W$830,$Z$830*(1+($U$830)/100)^MAX(0,$C855-$AC$830),IF(DATE($C855,7,15)&gt;=$V$830,$Y$830*(1+($U$830)/100)^MAX(0,$C855-$AB$830),0)))))</f>
      </c>
      <c r="L855" s="43">
        <f>IF($S$830=0,0,IF(OR(DATE($C855,8,15)&lt;$S$830,AND($T$830&gt;0,DATE($C855,8,15)&gt;$T$830)),0,IF(DATE($C855,8,15)&gt;=$X$830,$AA$830*(1+($U$830)/100)^MAX(0,$C855-$AD$830),IF(DATE($C855,8,15)&gt;=$W$830,$Z$830*(1+($U$830)/100)^MAX(0,$C855-$AC$830),IF(DATE($C855,8,15)&gt;=$V$830,$Y$830*(1+($U$830)/100)^MAX(0,$C855-$AB$830),0)))))</f>
      </c>
      <c r="M855" s="43">
        <f>IF($S$830=0,0,IF(OR(DATE($C855,9,15)&lt;$S$830,AND($T$830&gt;0,DATE($C855,9,15)&gt;$T$830)),0,IF(DATE($C855,9,15)&gt;=$X$830,$AA$830*(1+($U$830)/100)^MAX(0,$C855-$AD$830),IF(DATE($C855,9,15)&gt;=$W$830,$Z$830*(1+($U$830)/100)^MAX(0,$C855-$AC$830),IF(DATE($C855,9,15)&gt;=$V$830,$Y$830*(1+($U$830)/100)^MAX(0,$C855-$AB$830),0)))))</f>
      </c>
      <c r="N855" s="43">
        <f>IF($S$830=0,0,IF(OR(DATE($C855,10,15)&lt;$S$830,AND($T$830&gt;0,DATE($C855,10,15)&gt;$T$830)),0,IF(DATE($C855,10,15)&gt;=$X$830,$AA$830*(1+($U$830)/100)^MAX(0,$C855-$AD$830),IF(DATE($C855,10,15)&gt;=$W$830,$Z$830*(1+($U$830)/100)^MAX(0,$C855-$AC$830),IF(DATE($C855,10,15)&gt;=$V$830,$Y$830*(1+($U$830)/100)^MAX(0,$C855-$AB$830),0)))))</f>
      </c>
      <c r="O855" s="43">
        <f>IF($S$830=0,0,IF(OR(DATE($C855,11,15)&lt;$S$830,AND($T$830&gt;0,DATE($C855,11,15)&gt;$T$830)),0,IF(DATE($C855,11,15)&gt;=$X$830,$AA$830*(1+($U$830)/100)^MAX(0,$C855-$AD$830),IF(DATE($C855,11,15)&gt;=$W$830,$Z$830*(1+($U$830)/100)^MAX(0,$C855-$AC$830),IF(DATE($C855,11,15)&gt;=$V$830,$Y$830*(1+($U$830)/100)^MAX(0,$C855-$AB$830),0)))))</f>
      </c>
      <c r="P855" s="43">
        <f>IF($S$830=0,0,IF(OR(DATE($C855,12,15)&lt;$S$830,AND($T$830&gt;0,DATE($C855,12,15)&gt;$T$830)),0,IF(DATE($C855,12,15)&gt;=$X$830,$AA$830*(1+($U$830)/100)^MAX(0,$C855-$AD$830),IF(DATE($C855,12,15)&gt;=$W$830,$Z$830*(1+($U$830)/100)^MAX(0,$C855-$AC$830),IF(DATE($C855,12,15)&gt;=$V$830,$Y$830*(1+($U$830)/100)^MAX(0,$C855-$AB$830),0)))))</f>
      </c>
      <c r="Q855" s="43">
        <f>SUM($E855:$P855)</f>
      </c>
    </row>
    <row r="856">
      <c r="A856"/>
      <c r="B856">
        <v>27</v>
      </c>
      <c r="C856" s="43">
        <f>Jahr+26</f>
      </c>
      <c r="D856" s="43">
        <f>INDEX(MvObj,27)</f>
      </c>
      <c r="E856" s="43">
        <f>IF($S$830=0,0,IF(OR(DATE($C856,1,15)&lt;$S$830,AND($T$830&gt;0,DATE($C856,1,15)&gt;$T$830)),0,IF(DATE($C856,1,15)&gt;=$X$830,$AA$830*(1+($U$830)/100)^MAX(0,$C856-$AD$830),IF(DATE($C856,1,15)&gt;=$W$830,$Z$830*(1+($U$830)/100)^MAX(0,$C856-$AC$830),IF(DATE($C856,1,15)&gt;=$V$830,$Y$830*(1+($U$830)/100)^MAX(0,$C856-$AB$830),0)))))</f>
      </c>
      <c r="F856" s="43">
        <f>IF($S$830=0,0,IF(OR(DATE($C856,2,15)&lt;$S$830,AND($T$830&gt;0,DATE($C856,2,15)&gt;$T$830)),0,IF(DATE($C856,2,15)&gt;=$X$830,$AA$830*(1+($U$830)/100)^MAX(0,$C856-$AD$830),IF(DATE($C856,2,15)&gt;=$W$830,$Z$830*(1+($U$830)/100)^MAX(0,$C856-$AC$830),IF(DATE($C856,2,15)&gt;=$V$830,$Y$830*(1+($U$830)/100)^MAX(0,$C856-$AB$830),0)))))</f>
      </c>
      <c r="G856" s="43">
        <f>IF($S$830=0,0,IF(OR(DATE($C856,3,15)&lt;$S$830,AND($T$830&gt;0,DATE($C856,3,15)&gt;$T$830)),0,IF(DATE($C856,3,15)&gt;=$X$830,$AA$830*(1+($U$830)/100)^MAX(0,$C856-$AD$830),IF(DATE($C856,3,15)&gt;=$W$830,$Z$830*(1+($U$830)/100)^MAX(0,$C856-$AC$830),IF(DATE($C856,3,15)&gt;=$V$830,$Y$830*(1+($U$830)/100)^MAX(0,$C856-$AB$830),0)))))</f>
      </c>
      <c r="H856" s="43">
        <f>IF($S$830=0,0,IF(OR(DATE($C856,4,15)&lt;$S$830,AND($T$830&gt;0,DATE($C856,4,15)&gt;$T$830)),0,IF(DATE($C856,4,15)&gt;=$X$830,$AA$830*(1+($U$830)/100)^MAX(0,$C856-$AD$830),IF(DATE($C856,4,15)&gt;=$W$830,$Z$830*(1+($U$830)/100)^MAX(0,$C856-$AC$830),IF(DATE($C856,4,15)&gt;=$V$830,$Y$830*(1+($U$830)/100)^MAX(0,$C856-$AB$830),0)))))</f>
      </c>
      <c r="I856" s="43">
        <f>IF($S$830=0,0,IF(OR(DATE($C856,5,15)&lt;$S$830,AND($T$830&gt;0,DATE($C856,5,15)&gt;$T$830)),0,IF(DATE($C856,5,15)&gt;=$X$830,$AA$830*(1+($U$830)/100)^MAX(0,$C856-$AD$830),IF(DATE($C856,5,15)&gt;=$W$830,$Z$830*(1+($U$830)/100)^MAX(0,$C856-$AC$830),IF(DATE($C856,5,15)&gt;=$V$830,$Y$830*(1+($U$830)/100)^MAX(0,$C856-$AB$830),0)))))</f>
      </c>
      <c r="J856" s="43">
        <f>IF($S$830=0,0,IF(OR(DATE($C856,6,15)&lt;$S$830,AND($T$830&gt;0,DATE($C856,6,15)&gt;$T$830)),0,IF(DATE($C856,6,15)&gt;=$X$830,$AA$830*(1+($U$830)/100)^MAX(0,$C856-$AD$830),IF(DATE($C856,6,15)&gt;=$W$830,$Z$830*(1+($U$830)/100)^MAX(0,$C856-$AC$830),IF(DATE($C856,6,15)&gt;=$V$830,$Y$830*(1+($U$830)/100)^MAX(0,$C856-$AB$830),0)))))</f>
      </c>
      <c r="K856" s="43">
        <f>IF($S$830=0,0,IF(OR(DATE($C856,7,15)&lt;$S$830,AND($T$830&gt;0,DATE($C856,7,15)&gt;$T$830)),0,IF(DATE($C856,7,15)&gt;=$X$830,$AA$830*(1+($U$830)/100)^MAX(0,$C856-$AD$830),IF(DATE($C856,7,15)&gt;=$W$830,$Z$830*(1+($U$830)/100)^MAX(0,$C856-$AC$830),IF(DATE($C856,7,15)&gt;=$V$830,$Y$830*(1+($U$830)/100)^MAX(0,$C856-$AB$830),0)))))</f>
      </c>
      <c r="L856" s="43">
        <f>IF($S$830=0,0,IF(OR(DATE($C856,8,15)&lt;$S$830,AND($T$830&gt;0,DATE($C856,8,15)&gt;$T$830)),0,IF(DATE($C856,8,15)&gt;=$X$830,$AA$830*(1+($U$830)/100)^MAX(0,$C856-$AD$830),IF(DATE($C856,8,15)&gt;=$W$830,$Z$830*(1+($U$830)/100)^MAX(0,$C856-$AC$830),IF(DATE($C856,8,15)&gt;=$V$830,$Y$830*(1+($U$830)/100)^MAX(0,$C856-$AB$830),0)))))</f>
      </c>
      <c r="M856" s="43">
        <f>IF($S$830=0,0,IF(OR(DATE($C856,9,15)&lt;$S$830,AND($T$830&gt;0,DATE($C856,9,15)&gt;$T$830)),0,IF(DATE($C856,9,15)&gt;=$X$830,$AA$830*(1+($U$830)/100)^MAX(0,$C856-$AD$830),IF(DATE($C856,9,15)&gt;=$W$830,$Z$830*(1+($U$830)/100)^MAX(0,$C856-$AC$830),IF(DATE($C856,9,15)&gt;=$V$830,$Y$830*(1+($U$830)/100)^MAX(0,$C856-$AB$830),0)))))</f>
      </c>
      <c r="N856" s="43">
        <f>IF($S$830=0,0,IF(OR(DATE($C856,10,15)&lt;$S$830,AND($T$830&gt;0,DATE($C856,10,15)&gt;$T$830)),0,IF(DATE($C856,10,15)&gt;=$X$830,$AA$830*(1+($U$830)/100)^MAX(0,$C856-$AD$830),IF(DATE($C856,10,15)&gt;=$W$830,$Z$830*(1+($U$830)/100)^MAX(0,$C856-$AC$830),IF(DATE($C856,10,15)&gt;=$V$830,$Y$830*(1+($U$830)/100)^MAX(0,$C856-$AB$830),0)))))</f>
      </c>
      <c r="O856" s="43">
        <f>IF($S$830=0,0,IF(OR(DATE($C856,11,15)&lt;$S$830,AND($T$830&gt;0,DATE($C856,11,15)&gt;$T$830)),0,IF(DATE($C856,11,15)&gt;=$X$830,$AA$830*(1+($U$830)/100)^MAX(0,$C856-$AD$830),IF(DATE($C856,11,15)&gt;=$W$830,$Z$830*(1+($U$830)/100)^MAX(0,$C856-$AC$830),IF(DATE($C856,11,15)&gt;=$V$830,$Y$830*(1+($U$830)/100)^MAX(0,$C856-$AB$830),0)))))</f>
      </c>
      <c r="P856" s="43">
        <f>IF($S$830=0,0,IF(OR(DATE($C856,12,15)&lt;$S$830,AND($T$830&gt;0,DATE($C856,12,15)&gt;$T$830)),0,IF(DATE($C856,12,15)&gt;=$X$830,$AA$830*(1+($U$830)/100)^MAX(0,$C856-$AD$830),IF(DATE($C856,12,15)&gt;=$W$830,$Z$830*(1+($U$830)/100)^MAX(0,$C856-$AC$830),IF(DATE($C856,12,15)&gt;=$V$830,$Y$830*(1+($U$830)/100)^MAX(0,$C856-$AB$830),0)))))</f>
      </c>
      <c r="Q856" s="43">
        <f>SUM($E856:$P856)</f>
      </c>
    </row>
    <row r="857">
      <c r="A857"/>
      <c r="B857">
        <v>27</v>
      </c>
      <c r="C857" s="43">
        <f>Jahr+27</f>
      </c>
      <c r="D857" s="43">
        <f>INDEX(MvObj,27)</f>
      </c>
      <c r="E857" s="43">
        <f>IF($S$830=0,0,IF(OR(DATE($C857,1,15)&lt;$S$830,AND($T$830&gt;0,DATE($C857,1,15)&gt;$T$830)),0,IF(DATE($C857,1,15)&gt;=$X$830,$AA$830*(1+($U$830)/100)^MAX(0,$C857-$AD$830),IF(DATE($C857,1,15)&gt;=$W$830,$Z$830*(1+($U$830)/100)^MAX(0,$C857-$AC$830),IF(DATE($C857,1,15)&gt;=$V$830,$Y$830*(1+($U$830)/100)^MAX(0,$C857-$AB$830),0)))))</f>
      </c>
      <c r="F857" s="43">
        <f>IF($S$830=0,0,IF(OR(DATE($C857,2,15)&lt;$S$830,AND($T$830&gt;0,DATE($C857,2,15)&gt;$T$830)),0,IF(DATE($C857,2,15)&gt;=$X$830,$AA$830*(1+($U$830)/100)^MAX(0,$C857-$AD$830),IF(DATE($C857,2,15)&gt;=$W$830,$Z$830*(1+($U$830)/100)^MAX(0,$C857-$AC$830),IF(DATE($C857,2,15)&gt;=$V$830,$Y$830*(1+($U$830)/100)^MAX(0,$C857-$AB$830),0)))))</f>
      </c>
      <c r="G857" s="43">
        <f>IF($S$830=0,0,IF(OR(DATE($C857,3,15)&lt;$S$830,AND($T$830&gt;0,DATE($C857,3,15)&gt;$T$830)),0,IF(DATE($C857,3,15)&gt;=$X$830,$AA$830*(1+($U$830)/100)^MAX(0,$C857-$AD$830),IF(DATE($C857,3,15)&gt;=$W$830,$Z$830*(1+($U$830)/100)^MAX(0,$C857-$AC$830),IF(DATE($C857,3,15)&gt;=$V$830,$Y$830*(1+($U$830)/100)^MAX(0,$C857-$AB$830),0)))))</f>
      </c>
      <c r="H857" s="43">
        <f>IF($S$830=0,0,IF(OR(DATE($C857,4,15)&lt;$S$830,AND($T$830&gt;0,DATE($C857,4,15)&gt;$T$830)),0,IF(DATE($C857,4,15)&gt;=$X$830,$AA$830*(1+($U$830)/100)^MAX(0,$C857-$AD$830),IF(DATE($C857,4,15)&gt;=$W$830,$Z$830*(1+($U$830)/100)^MAX(0,$C857-$AC$830),IF(DATE($C857,4,15)&gt;=$V$830,$Y$830*(1+($U$830)/100)^MAX(0,$C857-$AB$830),0)))))</f>
      </c>
      <c r="I857" s="43">
        <f>IF($S$830=0,0,IF(OR(DATE($C857,5,15)&lt;$S$830,AND($T$830&gt;0,DATE($C857,5,15)&gt;$T$830)),0,IF(DATE($C857,5,15)&gt;=$X$830,$AA$830*(1+($U$830)/100)^MAX(0,$C857-$AD$830),IF(DATE($C857,5,15)&gt;=$W$830,$Z$830*(1+($U$830)/100)^MAX(0,$C857-$AC$830),IF(DATE($C857,5,15)&gt;=$V$830,$Y$830*(1+($U$830)/100)^MAX(0,$C857-$AB$830),0)))))</f>
      </c>
      <c r="J857" s="43">
        <f>IF($S$830=0,0,IF(OR(DATE($C857,6,15)&lt;$S$830,AND($T$830&gt;0,DATE($C857,6,15)&gt;$T$830)),0,IF(DATE($C857,6,15)&gt;=$X$830,$AA$830*(1+($U$830)/100)^MAX(0,$C857-$AD$830),IF(DATE($C857,6,15)&gt;=$W$830,$Z$830*(1+($U$830)/100)^MAX(0,$C857-$AC$830),IF(DATE($C857,6,15)&gt;=$V$830,$Y$830*(1+($U$830)/100)^MAX(0,$C857-$AB$830),0)))))</f>
      </c>
      <c r="K857" s="43">
        <f>IF($S$830=0,0,IF(OR(DATE($C857,7,15)&lt;$S$830,AND($T$830&gt;0,DATE($C857,7,15)&gt;$T$830)),0,IF(DATE($C857,7,15)&gt;=$X$830,$AA$830*(1+($U$830)/100)^MAX(0,$C857-$AD$830),IF(DATE($C857,7,15)&gt;=$W$830,$Z$830*(1+($U$830)/100)^MAX(0,$C857-$AC$830),IF(DATE($C857,7,15)&gt;=$V$830,$Y$830*(1+($U$830)/100)^MAX(0,$C857-$AB$830),0)))))</f>
      </c>
      <c r="L857" s="43">
        <f>IF($S$830=0,0,IF(OR(DATE($C857,8,15)&lt;$S$830,AND($T$830&gt;0,DATE($C857,8,15)&gt;$T$830)),0,IF(DATE($C857,8,15)&gt;=$X$830,$AA$830*(1+($U$830)/100)^MAX(0,$C857-$AD$830),IF(DATE($C857,8,15)&gt;=$W$830,$Z$830*(1+($U$830)/100)^MAX(0,$C857-$AC$830),IF(DATE($C857,8,15)&gt;=$V$830,$Y$830*(1+($U$830)/100)^MAX(0,$C857-$AB$830),0)))))</f>
      </c>
      <c r="M857" s="43">
        <f>IF($S$830=0,0,IF(OR(DATE($C857,9,15)&lt;$S$830,AND($T$830&gt;0,DATE($C857,9,15)&gt;$T$830)),0,IF(DATE($C857,9,15)&gt;=$X$830,$AA$830*(1+($U$830)/100)^MAX(0,$C857-$AD$830),IF(DATE($C857,9,15)&gt;=$W$830,$Z$830*(1+($U$830)/100)^MAX(0,$C857-$AC$830),IF(DATE($C857,9,15)&gt;=$V$830,$Y$830*(1+($U$830)/100)^MAX(0,$C857-$AB$830),0)))))</f>
      </c>
      <c r="N857" s="43">
        <f>IF($S$830=0,0,IF(OR(DATE($C857,10,15)&lt;$S$830,AND($T$830&gt;0,DATE($C857,10,15)&gt;$T$830)),0,IF(DATE($C857,10,15)&gt;=$X$830,$AA$830*(1+($U$830)/100)^MAX(0,$C857-$AD$830),IF(DATE($C857,10,15)&gt;=$W$830,$Z$830*(1+($U$830)/100)^MAX(0,$C857-$AC$830),IF(DATE($C857,10,15)&gt;=$V$830,$Y$830*(1+($U$830)/100)^MAX(0,$C857-$AB$830),0)))))</f>
      </c>
      <c r="O857" s="43">
        <f>IF($S$830=0,0,IF(OR(DATE($C857,11,15)&lt;$S$830,AND($T$830&gt;0,DATE($C857,11,15)&gt;$T$830)),0,IF(DATE($C857,11,15)&gt;=$X$830,$AA$830*(1+($U$830)/100)^MAX(0,$C857-$AD$830),IF(DATE($C857,11,15)&gt;=$W$830,$Z$830*(1+($U$830)/100)^MAX(0,$C857-$AC$830),IF(DATE($C857,11,15)&gt;=$V$830,$Y$830*(1+($U$830)/100)^MAX(0,$C857-$AB$830),0)))))</f>
      </c>
      <c r="P857" s="43">
        <f>IF($S$830=0,0,IF(OR(DATE($C857,12,15)&lt;$S$830,AND($T$830&gt;0,DATE($C857,12,15)&gt;$T$830)),0,IF(DATE($C857,12,15)&gt;=$X$830,$AA$830*(1+($U$830)/100)^MAX(0,$C857-$AD$830),IF(DATE($C857,12,15)&gt;=$W$830,$Z$830*(1+($U$830)/100)^MAX(0,$C857-$AC$830),IF(DATE($C857,12,15)&gt;=$V$830,$Y$830*(1+($U$830)/100)^MAX(0,$C857-$AB$830),0)))))</f>
      </c>
      <c r="Q857" s="43">
        <f>SUM($E857:$P857)</f>
      </c>
    </row>
    <row r="858">
      <c r="A858"/>
      <c r="B858">
        <v>27</v>
      </c>
      <c r="C858" s="43">
        <f>Jahr+28</f>
      </c>
      <c r="D858" s="43">
        <f>INDEX(MvObj,27)</f>
      </c>
      <c r="E858" s="43">
        <f>IF($S$830=0,0,IF(OR(DATE($C858,1,15)&lt;$S$830,AND($T$830&gt;0,DATE($C858,1,15)&gt;$T$830)),0,IF(DATE($C858,1,15)&gt;=$X$830,$AA$830*(1+($U$830)/100)^MAX(0,$C858-$AD$830),IF(DATE($C858,1,15)&gt;=$W$830,$Z$830*(1+($U$830)/100)^MAX(0,$C858-$AC$830),IF(DATE($C858,1,15)&gt;=$V$830,$Y$830*(1+($U$830)/100)^MAX(0,$C858-$AB$830),0)))))</f>
      </c>
      <c r="F858" s="43">
        <f>IF($S$830=0,0,IF(OR(DATE($C858,2,15)&lt;$S$830,AND($T$830&gt;0,DATE($C858,2,15)&gt;$T$830)),0,IF(DATE($C858,2,15)&gt;=$X$830,$AA$830*(1+($U$830)/100)^MAX(0,$C858-$AD$830),IF(DATE($C858,2,15)&gt;=$W$830,$Z$830*(1+($U$830)/100)^MAX(0,$C858-$AC$830),IF(DATE($C858,2,15)&gt;=$V$830,$Y$830*(1+($U$830)/100)^MAX(0,$C858-$AB$830),0)))))</f>
      </c>
      <c r="G858" s="43">
        <f>IF($S$830=0,0,IF(OR(DATE($C858,3,15)&lt;$S$830,AND($T$830&gt;0,DATE($C858,3,15)&gt;$T$830)),0,IF(DATE($C858,3,15)&gt;=$X$830,$AA$830*(1+($U$830)/100)^MAX(0,$C858-$AD$830),IF(DATE($C858,3,15)&gt;=$W$830,$Z$830*(1+($U$830)/100)^MAX(0,$C858-$AC$830),IF(DATE($C858,3,15)&gt;=$V$830,$Y$830*(1+($U$830)/100)^MAX(0,$C858-$AB$830),0)))))</f>
      </c>
      <c r="H858" s="43">
        <f>IF($S$830=0,0,IF(OR(DATE($C858,4,15)&lt;$S$830,AND($T$830&gt;0,DATE($C858,4,15)&gt;$T$830)),0,IF(DATE($C858,4,15)&gt;=$X$830,$AA$830*(1+($U$830)/100)^MAX(0,$C858-$AD$830),IF(DATE($C858,4,15)&gt;=$W$830,$Z$830*(1+($U$830)/100)^MAX(0,$C858-$AC$830),IF(DATE($C858,4,15)&gt;=$V$830,$Y$830*(1+($U$830)/100)^MAX(0,$C858-$AB$830),0)))))</f>
      </c>
      <c r="I858" s="43">
        <f>IF($S$830=0,0,IF(OR(DATE($C858,5,15)&lt;$S$830,AND($T$830&gt;0,DATE($C858,5,15)&gt;$T$830)),0,IF(DATE($C858,5,15)&gt;=$X$830,$AA$830*(1+($U$830)/100)^MAX(0,$C858-$AD$830),IF(DATE($C858,5,15)&gt;=$W$830,$Z$830*(1+($U$830)/100)^MAX(0,$C858-$AC$830),IF(DATE($C858,5,15)&gt;=$V$830,$Y$830*(1+($U$830)/100)^MAX(0,$C858-$AB$830),0)))))</f>
      </c>
      <c r="J858" s="43">
        <f>IF($S$830=0,0,IF(OR(DATE($C858,6,15)&lt;$S$830,AND($T$830&gt;0,DATE($C858,6,15)&gt;$T$830)),0,IF(DATE($C858,6,15)&gt;=$X$830,$AA$830*(1+($U$830)/100)^MAX(0,$C858-$AD$830),IF(DATE($C858,6,15)&gt;=$W$830,$Z$830*(1+($U$830)/100)^MAX(0,$C858-$AC$830),IF(DATE($C858,6,15)&gt;=$V$830,$Y$830*(1+($U$830)/100)^MAX(0,$C858-$AB$830),0)))))</f>
      </c>
      <c r="K858" s="43">
        <f>IF($S$830=0,0,IF(OR(DATE($C858,7,15)&lt;$S$830,AND($T$830&gt;0,DATE($C858,7,15)&gt;$T$830)),0,IF(DATE($C858,7,15)&gt;=$X$830,$AA$830*(1+($U$830)/100)^MAX(0,$C858-$AD$830),IF(DATE($C858,7,15)&gt;=$W$830,$Z$830*(1+($U$830)/100)^MAX(0,$C858-$AC$830),IF(DATE($C858,7,15)&gt;=$V$830,$Y$830*(1+($U$830)/100)^MAX(0,$C858-$AB$830),0)))))</f>
      </c>
      <c r="L858" s="43">
        <f>IF($S$830=0,0,IF(OR(DATE($C858,8,15)&lt;$S$830,AND($T$830&gt;0,DATE($C858,8,15)&gt;$T$830)),0,IF(DATE($C858,8,15)&gt;=$X$830,$AA$830*(1+($U$830)/100)^MAX(0,$C858-$AD$830),IF(DATE($C858,8,15)&gt;=$W$830,$Z$830*(1+($U$830)/100)^MAX(0,$C858-$AC$830),IF(DATE($C858,8,15)&gt;=$V$830,$Y$830*(1+($U$830)/100)^MAX(0,$C858-$AB$830),0)))))</f>
      </c>
      <c r="M858" s="43">
        <f>IF($S$830=0,0,IF(OR(DATE($C858,9,15)&lt;$S$830,AND($T$830&gt;0,DATE($C858,9,15)&gt;$T$830)),0,IF(DATE($C858,9,15)&gt;=$X$830,$AA$830*(1+($U$830)/100)^MAX(0,$C858-$AD$830),IF(DATE($C858,9,15)&gt;=$W$830,$Z$830*(1+($U$830)/100)^MAX(0,$C858-$AC$830),IF(DATE($C858,9,15)&gt;=$V$830,$Y$830*(1+($U$830)/100)^MAX(0,$C858-$AB$830),0)))))</f>
      </c>
      <c r="N858" s="43">
        <f>IF($S$830=0,0,IF(OR(DATE($C858,10,15)&lt;$S$830,AND($T$830&gt;0,DATE($C858,10,15)&gt;$T$830)),0,IF(DATE($C858,10,15)&gt;=$X$830,$AA$830*(1+($U$830)/100)^MAX(0,$C858-$AD$830),IF(DATE($C858,10,15)&gt;=$W$830,$Z$830*(1+($U$830)/100)^MAX(0,$C858-$AC$830),IF(DATE($C858,10,15)&gt;=$V$830,$Y$830*(1+($U$830)/100)^MAX(0,$C858-$AB$830),0)))))</f>
      </c>
      <c r="O858" s="43">
        <f>IF($S$830=0,0,IF(OR(DATE($C858,11,15)&lt;$S$830,AND($T$830&gt;0,DATE($C858,11,15)&gt;$T$830)),0,IF(DATE($C858,11,15)&gt;=$X$830,$AA$830*(1+($U$830)/100)^MAX(0,$C858-$AD$830),IF(DATE($C858,11,15)&gt;=$W$830,$Z$830*(1+($U$830)/100)^MAX(0,$C858-$AC$830),IF(DATE($C858,11,15)&gt;=$V$830,$Y$830*(1+($U$830)/100)^MAX(0,$C858-$AB$830),0)))))</f>
      </c>
      <c r="P858" s="43">
        <f>IF($S$830=0,0,IF(OR(DATE($C858,12,15)&lt;$S$830,AND($T$830&gt;0,DATE($C858,12,15)&gt;$T$830)),0,IF(DATE($C858,12,15)&gt;=$X$830,$AA$830*(1+($U$830)/100)^MAX(0,$C858-$AD$830),IF(DATE($C858,12,15)&gt;=$W$830,$Z$830*(1+($U$830)/100)^MAX(0,$C858-$AC$830),IF(DATE($C858,12,15)&gt;=$V$830,$Y$830*(1+($U$830)/100)^MAX(0,$C858-$AB$830),0)))))</f>
      </c>
      <c r="Q858" s="43">
        <f>SUM($E858:$P858)</f>
      </c>
    </row>
    <row r="859">
      <c r="A859"/>
      <c r="B859">
        <v>27</v>
      </c>
      <c r="C859" s="43">
        <f>Jahr+29</f>
      </c>
      <c r="D859" s="43">
        <f>INDEX(MvObj,27)</f>
      </c>
      <c r="E859" s="43">
        <f>IF($S$830=0,0,IF(OR(DATE($C859,1,15)&lt;$S$830,AND($T$830&gt;0,DATE($C859,1,15)&gt;$T$830)),0,IF(DATE($C859,1,15)&gt;=$X$830,$AA$830*(1+($U$830)/100)^MAX(0,$C859-$AD$830),IF(DATE($C859,1,15)&gt;=$W$830,$Z$830*(1+($U$830)/100)^MAX(0,$C859-$AC$830),IF(DATE($C859,1,15)&gt;=$V$830,$Y$830*(1+($U$830)/100)^MAX(0,$C859-$AB$830),0)))))</f>
      </c>
      <c r="F859" s="43">
        <f>IF($S$830=0,0,IF(OR(DATE($C859,2,15)&lt;$S$830,AND($T$830&gt;0,DATE($C859,2,15)&gt;$T$830)),0,IF(DATE($C859,2,15)&gt;=$X$830,$AA$830*(1+($U$830)/100)^MAX(0,$C859-$AD$830),IF(DATE($C859,2,15)&gt;=$W$830,$Z$830*(1+($U$830)/100)^MAX(0,$C859-$AC$830),IF(DATE($C859,2,15)&gt;=$V$830,$Y$830*(1+($U$830)/100)^MAX(0,$C859-$AB$830),0)))))</f>
      </c>
      <c r="G859" s="43">
        <f>IF($S$830=0,0,IF(OR(DATE($C859,3,15)&lt;$S$830,AND($T$830&gt;0,DATE($C859,3,15)&gt;$T$830)),0,IF(DATE($C859,3,15)&gt;=$X$830,$AA$830*(1+($U$830)/100)^MAX(0,$C859-$AD$830),IF(DATE($C859,3,15)&gt;=$W$830,$Z$830*(1+($U$830)/100)^MAX(0,$C859-$AC$830),IF(DATE($C859,3,15)&gt;=$V$830,$Y$830*(1+($U$830)/100)^MAX(0,$C859-$AB$830),0)))))</f>
      </c>
      <c r="H859" s="43">
        <f>IF($S$830=0,0,IF(OR(DATE($C859,4,15)&lt;$S$830,AND($T$830&gt;0,DATE($C859,4,15)&gt;$T$830)),0,IF(DATE($C859,4,15)&gt;=$X$830,$AA$830*(1+($U$830)/100)^MAX(0,$C859-$AD$830),IF(DATE($C859,4,15)&gt;=$W$830,$Z$830*(1+($U$830)/100)^MAX(0,$C859-$AC$830),IF(DATE($C859,4,15)&gt;=$V$830,$Y$830*(1+($U$830)/100)^MAX(0,$C859-$AB$830),0)))))</f>
      </c>
      <c r="I859" s="43">
        <f>IF($S$830=0,0,IF(OR(DATE($C859,5,15)&lt;$S$830,AND($T$830&gt;0,DATE($C859,5,15)&gt;$T$830)),0,IF(DATE($C859,5,15)&gt;=$X$830,$AA$830*(1+($U$830)/100)^MAX(0,$C859-$AD$830),IF(DATE($C859,5,15)&gt;=$W$830,$Z$830*(1+($U$830)/100)^MAX(0,$C859-$AC$830),IF(DATE($C859,5,15)&gt;=$V$830,$Y$830*(1+($U$830)/100)^MAX(0,$C859-$AB$830),0)))))</f>
      </c>
      <c r="J859" s="43">
        <f>IF($S$830=0,0,IF(OR(DATE($C859,6,15)&lt;$S$830,AND($T$830&gt;0,DATE($C859,6,15)&gt;$T$830)),0,IF(DATE($C859,6,15)&gt;=$X$830,$AA$830*(1+($U$830)/100)^MAX(0,$C859-$AD$830),IF(DATE($C859,6,15)&gt;=$W$830,$Z$830*(1+($U$830)/100)^MAX(0,$C859-$AC$830),IF(DATE($C859,6,15)&gt;=$V$830,$Y$830*(1+($U$830)/100)^MAX(0,$C859-$AB$830),0)))))</f>
      </c>
      <c r="K859" s="43">
        <f>IF($S$830=0,0,IF(OR(DATE($C859,7,15)&lt;$S$830,AND($T$830&gt;0,DATE($C859,7,15)&gt;$T$830)),0,IF(DATE($C859,7,15)&gt;=$X$830,$AA$830*(1+($U$830)/100)^MAX(0,$C859-$AD$830),IF(DATE($C859,7,15)&gt;=$W$830,$Z$830*(1+($U$830)/100)^MAX(0,$C859-$AC$830),IF(DATE($C859,7,15)&gt;=$V$830,$Y$830*(1+($U$830)/100)^MAX(0,$C859-$AB$830),0)))))</f>
      </c>
      <c r="L859" s="43">
        <f>IF($S$830=0,0,IF(OR(DATE($C859,8,15)&lt;$S$830,AND($T$830&gt;0,DATE($C859,8,15)&gt;$T$830)),0,IF(DATE($C859,8,15)&gt;=$X$830,$AA$830*(1+($U$830)/100)^MAX(0,$C859-$AD$830),IF(DATE($C859,8,15)&gt;=$W$830,$Z$830*(1+($U$830)/100)^MAX(0,$C859-$AC$830),IF(DATE($C859,8,15)&gt;=$V$830,$Y$830*(1+($U$830)/100)^MAX(0,$C859-$AB$830),0)))))</f>
      </c>
      <c r="M859" s="43">
        <f>IF($S$830=0,0,IF(OR(DATE($C859,9,15)&lt;$S$830,AND($T$830&gt;0,DATE($C859,9,15)&gt;$T$830)),0,IF(DATE($C859,9,15)&gt;=$X$830,$AA$830*(1+($U$830)/100)^MAX(0,$C859-$AD$830),IF(DATE($C859,9,15)&gt;=$W$830,$Z$830*(1+($U$830)/100)^MAX(0,$C859-$AC$830),IF(DATE($C859,9,15)&gt;=$V$830,$Y$830*(1+($U$830)/100)^MAX(0,$C859-$AB$830),0)))))</f>
      </c>
      <c r="N859" s="43">
        <f>IF($S$830=0,0,IF(OR(DATE($C859,10,15)&lt;$S$830,AND($T$830&gt;0,DATE($C859,10,15)&gt;$T$830)),0,IF(DATE($C859,10,15)&gt;=$X$830,$AA$830*(1+($U$830)/100)^MAX(0,$C859-$AD$830),IF(DATE($C859,10,15)&gt;=$W$830,$Z$830*(1+($U$830)/100)^MAX(0,$C859-$AC$830),IF(DATE($C859,10,15)&gt;=$V$830,$Y$830*(1+($U$830)/100)^MAX(0,$C859-$AB$830),0)))))</f>
      </c>
      <c r="O859" s="43">
        <f>IF($S$830=0,0,IF(OR(DATE($C859,11,15)&lt;$S$830,AND($T$830&gt;0,DATE($C859,11,15)&gt;$T$830)),0,IF(DATE($C859,11,15)&gt;=$X$830,$AA$830*(1+($U$830)/100)^MAX(0,$C859-$AD$830),IF(DATE($C859,11,15)&gt;=$W$830,$Z$830*(1+($U$830)/100)^MAX(0,$C859-$AC$830),IF(DATE($C859,11,15)&gt;=$V$830,$Y$830*(1+($U$830)/100)^MAX(0,$C859-$AB$830),0)))))</f>
      </c>
      <c r="P859" s="43">
        <f>IF($S$830=0,0,IF(OR(DATE($C859,12,15)&lt;$S$830,AND($T$830&gt;0,DATE($C859,12,15)&gt;$T$830)),0,IF(DATE($C859,12,15)&gt;=$X$830,$AA$830*(1+($U$830)/100)^MAX(0,$C859-$AD$830),IF(DATE($C859,12,15)&gt;=$W$830,$Z$830*(1+($U$830)/100)^MAX(0,$C859-$AC$830),IF(DATE($C859,12,15)&gt;=$V$830,$Y$830*(1+($U$830)/100)^MAX(0,$C859-$AB$830),0)))))</f>
      </c>
      <c r="Q859" s="43">
        <f>SUM($E859:$P859)</f>
      </c>
    </row>
    <row r="860">
      <c r="A860"/>
      <c r="B860">
        <v>27</v>
      </c>
      <c r="C860" s="43">
        <f>Jahr+30</f>
      </c>
      <c r="D860" s="43">
        <f>INDEX(MvObj,27)</f>
      </c>
      <c r="E860" s="43">
        <f>IF($S$830=0,0,IF(OR(DATE($C860,1,15)&lt;$S$830,AND($T$830&gt;0,DATE($C860,1,15)&gt;$T$830)),0,IF(DATE($C860,1,15)&gt;=$X$830,$AA$830*(1+($U$830)/100)^MAX(0,$C860-$AD$830),IF(DATE($C860,1,15)&gt;=$W$830,$Z$830*(1+($U$830)/100)^MAX(0,$C860-$AC$830),IF(DATE($C860,1,15)&gt;=$V$830,$Y$830*(1+($U$830)/100)^MAX(0,$C860-$AB$830),0)))))</f>
      </c>
      <c r="F860" s="43">
        <f>IF($S$830=0,0,IF(OR(DATE($C860,2,15)&lt;$S$830,AND($T$830&gt;0,DATE($C860,2,15)&gt;$T$830)),0,IF(DATE($C860,2,15)&gt;=$X$830,$AA$830*(1+($U$830)/100)^MAX(0,$C860-$AD$830),IF(DATE($C860,2,15)&gt;=$W$830,$Z$830*(1+($U$830)/100)^MAX(0,$C860-$AC$830),IF(DATE($C860,2,15)&gt;=$V$830,$Y$830*(1+($U$830)/100)^MAX(0,$C860-$AB$830),0)))))</f>
      </c>
      <c r="G860" s="43">
        <f>IF($S$830=0,0,IF(OR(DATE($C860,3,15)&lt;$S$830,AND($T$830&gt;0,DATE($C860,3,15)&gt;$T$830)),0,IF(DATE($C860,3,15)&gt;=$X$830,$AA$830*(1+($U$830)/100)^MAX(0,$C860-$AD$830),IF(DATE($C860,3,15)&gt;=$W$830,$Z$830*(1+($U$830)/100)^MAX(0,$C860-$AC$830),IF(DATE($C860,3,15)&gt;=$V$830,$Y$830*(1+($U$830)/100)^MAX(0,$C860-$AB$830),0)))))</f>
      </c>
      <c r="H860" s="43">
        <f>IF($S$830=0,0,IF(OR(DATE($C860,4,15)&lt;$S$830,AND($T$830&gt;0,DATE($C860,4,15)&gt;$T$830)),0,IF(DATE($C860,4,15)&gt;=$X$830,$AA$830*(1+($U$830)/100)^MAX(0,$C860-$AD$830),IF(DATE($C860,4,15)&gt;=$W$830,$Z$830*(1+($U$830)/100)^MAX(0,$C860-$AC$830),IF(DATE($C860,4,15)&gt;=$V$830,$Y$830*(1+($U$830)/100)^MAX(0,$C860-$AB$830),0)))))</f>
      </c>
      <c r="I860" s="43">
        <f>IF($S$830=0,0,IF(OR(DATE($C860,5,15)&lt;$S$830,AND($T$830&gt;0,DATE($C860,5,15)&gt;$T$830)),0,IF(DATE($C860,5,15)&gt;=$X$830,$AA$830*(1+($U$830)/100)^MAX(0,$C860-$AD$830),IF(DATE($C860,5,15)&gt;=$W$830,$Z$830*(1+($U$830)/100)^MAX(0,$C860-$AC$830),IF(DATE($C860,5,15)&gt;=$V$830,$Y$830*(1+($U$830)/100)^MAX(0,$C860-$AB$830),0)))))</f>
      </c>
      <c r="J860" s="43">
        <f>IF($S$830=0,0,IF(OR(DATE($C860,6,15)&lt;$S$830,AND($T$830&gt;0,DATE($C860,6,15)&gt;$T$830)),0,IF(DATE($C860,6,15)&gt;=$X$830,$AA$830*(1+($U$830)/100)^MAX(0,$C860-$AD$830),IF(DATE($C860,6,15)&gt;=$W$830,$Z$830*(1+($U$830)/100)^MAX(0,$C860-$AC$830),IF(DATE($C860,6,15)&gt;=$V$830,$Y$830*(1+($U$830)/100)^MAX(0,$C860-$AB$830),0)))))</f>
      </c>
      <c r="K860" s="43">
        <f>IF($S$830=0,0,IF(OR(DATE($C860,7,15)&lt;$S$830,AND($T$830&gt;0,DATE($C860,7,15)&gt;$T$830)),0,IF(DATE($C860,7,15)&gt;=$X$830,$AA$830*(1+($U$830)/100)^MAX(0,$C860-$AD$830),IF(DATE($C860,7,15)&gt;=$W$830,$Z$830*(1+($U$830)/100)^MAX(0,$C860-$AC$830),IF(DATE($C860,7,15)&gt;=$V$830,$Y$830*(1+($U$830)/100)^MAX(0,$C860-$AB$830),0)))))</f>
      </c>
      <c r="L860" s="43">
        <f>IF($S$830=0,0,IF(OR(DATE($C860,8,15)&lt;$S$830,AND($T$830&gt;0,DATE($C860,8,15)&gt;$T$830)),0,IF(DATE($C860,8,15)&gt;=$X$830,$AA$830*(1+($U$830)/100)^MAX(0,$C860-$AD$830),IF(DATE($C860,8,15)&gt;=$W$830,$Z$830*(1+($U$830)/100)^MAX(0,$C860-$AC$830),IF(DATE($C860,8,15)&gt;=$V$830,$Y$830*(1+($U$830)/100)^MAX(0,$C860-$AB$830),0)))))</f>
      </c>
      <c r="M860" s="43">
        <f>IF($S$830=0,0,IF(OR(DATE($C860,9,15)&lt;$S$830,AND($T$830&gt;0,DATE($C860,9,15)&gt;$T$830)),0,IF(DATE($C860,9,15)&gt;=$X$830,$AA$830*(1+($U$830)/100)^MAX(0,$C860-$AD$830),IF(DATE($C860,9,15)&gt;=$W$830,$Z$830*(1+($U$830)/100)^MAX(0,$C860-$AC$830),IF(DATE($C860,9,15)&gt;=$V$830,$Y$830*(1+($U$830)/100)^MAX(0,$C860-$AB$830),0)))))</f>
      </c>
      <c r="N860" s="43">
        <f>IF($S$830=0,0,IF(OR(DATE($C860,10,15)&lt;$S$830,AND($T$830&gt;0,DATE($C860,10,15)&gt;$T$830)),0,IF(DATE($C860,10,15)&gt;=$X$830,$AA$830*(1+($U$830)/100)^MAX(0,$C860-$AD$830),IF(DATE($C860,10,15)&gt;=$W$830,$Z$830*(1+($U$830)/100)^MAX(0,$C860-$AC$830),IF(DATE($C860,10,15)&gt;=$V$830,$Y$830*(1+($U$830)/100)^MAX(0,$C860-$AB$830),0)))))</f>
      </c>
      <c r="O860" s="43">
        <f>IF($S$830=0,0,IF(OR(DATE($C860,11,15)&lt;$S$830,AND($T$830&gt;0,DATE($C860,11,15)&gt;$T$830)),0,IF(DATE($C860,11,15)&gt;=$X$830,$AA$830*(1+($U$830)/100)^MAX(0,$C860-$AD$830),IF(DATE($C860,11,15)&gt;=$W$830,$Z$830*(1+($U$830)/100)^MAX(0,$C860-$AC$830),IF(DATE($C860,11,15)&gt;=$V$830,$Y$830*(1+($U$830)/100)^MAX(0,$C860-$AB$830),0)))))</f>
      </c>
      <c r="P860" s="43">
        <f>IF($S$830=0,0,IF(OR(DATE($C860,12,15)&lt;$S$830,AND($T$830&gt;0,DATE($C860,12,15)&gt;$T$830)),0,IF(DATE($C860,12,15)&gt;=$X$830,$AA$830*(1+($U$830)/100)^MAX(0,$C860-$AD$830),IF(DATE($C860,12,15)&gt;=$W$830,$Z$830*(1+($U$830)/100)^MAX(0,$C860-$AC$830),IF(DATE($C860,12,15)&gt;=$V$830,$Y$830*(1+($U$830)/100)^MAX(0,$C860-$AB$830),0)))))</f>
      </c>
      <c r="Q860" s="43">
        <f>SUM($E860:$P860)</f>
      </c>
    </row>
    <row r="861">
      <c r="A861"/>
      <c r="B861">
        <v>28</v>
      </c>
      <c r="C861" s="43">
        <f>Jahr+0</f>
      </c>
      <c r="D861" s="43">
        <f>INDEX(MvObj,28)</f>
      </c>
      <c r="E861" s="43">
        <f>IF($S$861=0,0,IF(OR(DATE($C861,1,15)&lt;$S$861,AND($T$861&gt;0,DATE($C861,1,15)&gt;$T$861)),0,IF(DATE($C861,1,15)&gt;=$X$861,$AA$861*(1+($U$861)/100)^MAX(0,$C861-$AD$861),IF(DATE($C861,1,15)&gt;=$W$861,$Z$861*(1+($U$861)/100)^MAX(0,$C861-$AC$861),IF(DATE($C861,1,15)&gt;=$V$861,$Y$861*(1+($U$861)/100)^MAX(0,$C861-$AB$861),0)))))</f>
      </c>
      <c r="F861" s="43">
        <f>IF($S$861=0,0,IF(OR(DATE($C861,2,15)&lt;$S$861,AND($T$861&gt;0,DATE($C861,2,15)&gt;$T$861)),0,IF(DATE($C861,2,15)&gt;=$X$861,$AA$861*(1+($U$861)/100)^MAX(0,$C861-$AD$861),IF(DATE($C861,2,15)&gt;=$W$861,$Z$861*(1+($U$861)/100)^MAX(0,$C861-$AC$861),IF(DATE($C861,2,15)&gt;=$V$861,$Y$861*(1+($U$861)/100)^MAX(0,$C861-$AB$861),0)))))</f>
      </c>
      <c r="G861" s="43">
        <f>IF($S$861=0,0,IF(OR(DATE($C861,3,15)&lt;$S$861,AND($T$861&gt;0,DATE($C861,3,15)&gt;$T$861)),0,IF(DATE($C861,3,15)&gt;=$X$861,$AA$861*(1+($U$861)/100)^MAX(0,$C861-$AD$861),IF(DATE($C861,3,15)&gt;=$W$861,$Z$861*(1+($U$861)/100)^MAX(0,$C861-$AC$861),IF(DATE($C861,3,15)&gt;=$V$861,$Y$861*(1+($U$861)/100)^MAX(0,$C861-$AB$861),0)))))</f>
      </c>
      <c r="H861" s="43">
        <f>IF($S$861=0,0,IF(OR(DATE($C861,4,15)&lt;$S$861,AND($T$861&gt;0,DATE($C861,4,15)&gt;$T$861)),0,IF(DATE($C861,4,15)&gt;=$X$861,$AA$861*(1+($U$861)/100)^MAX(0,$C861-$AD$861),IF(DATE($C861,4,15)&gt;=$W$861,$Z$861*(1+($U$861)/100)^MAX(0,$C861-$AC$861),IF(DATE($C861,4,15)&gt;=$V$861,$Y$861*(1+($U$861)/100)^MAX(0,$C861-$AB$861),0)))))</f>
      </c>
      <c r="I861" s="43">
        <f>IF($S$861=0,0,IF(OR(DATE($C861,5,15)&lt;$S$861,AND($T$861&gt;0,DATE($C861,5,15)&gt;$T$861)),0,IF(DATE($C861,5,15)&gt;=$X$861,$AA$861*(1+($U$861)/100)^MAX(0,$C861-$AD$861),IF(DATE($C861,5,15)&gt;=$W$861,$Z$861*(1+($U$861)/100)^MAX(0,$C861-$AC$861),IF(DATE($C861,5,15)&gt;=$V$861,$Y$861*(1+($U$861)/100)^MAX(0,$C861-$AB$861),0)))))</f>
      </c>
      <c r="J861" s="43">
        <f>IF($S$861=0,0,IF(OR(DATE($C861,6,15)&lt;$S$861,AND($T$861&gt;0,DATE($C861,6,15)&gt;$T$861)),0,IF(DATE($C861,6,15)&gt;=$X$861,$AA$861*(1+($U$861)/100)^MAX(0,$C861-$AD$861),IF(DATE($C861,6,15)&gt;=$W$861,$Z$861*(1+($U$861)/100)^MAX(0,$C861-$AC$861),IF(DATE($C861,6,15)&gt;=$V$861,$Y$861*(1+($U$861)/100)^MAX(0,$C861-$AB$861),0)))))</f>
      </c>
      <c r="K861" s="43">
        <f>IF($S$861=0,0,IF(OR(DATE($C861,7,15)&lt;$S$861,AND($T$861&gt;0,DATE($C861,7,15)&gt;$T$861)),0,IF(DATE($C861,7,15)&gt;=$X$861,$AA$861*(1+($U$861)/100)^MAX(0,$C861-$AD$861),IF(DATE($C861,7,15)&gt;=$W$861,$Z$861*(1+($U$861)/100)^MAX(0,$C861-$AC$861),IF(DATE($C861,7,15)&gt;=$V$861,$Y$861*(1+($U$861)/100)^MAX(0,$C861-$AB$861),0)))))</f>
      </c>
      <c r="L861" s="43">
        <f>IF($S$861=0,0,IF(OR(DATE($C861,8,15)&lt;$S$861,AND($T$861&gt;0,DATE($C861,8,15)&gt;$T$861)),0,IF(DATE($C861,8,15)&gt;=$X$861,$AA$861*(1+($U$861)/100)^MAX(0,$C861-$AD$861),IF(DATE($C861,8,15)&gt;=$W$861,$Z$861*(1+($U$861)/100)^MAX(0,$C861-$AC$861),IF(DATE($C861,8,15)&gt;=$V$861,$Y$861*(1+($U$861)/100)^MAX(0,$C861-$AB$861),0)))))</f>
      </c>
      <c r="M861" s="43">
        <f>IF($S$861=0,0,IF(OR(DATE($C861,9,15)&lt;$S$861,AND($T$861&gt;0,DATE($C861,9,15)&gt;$T$861)),0,IF(DATE($C861,9,15)&gt;=$X$861,$AA$861*(1+($U$861)/100)^MAX(0,$C861-$AD$861),IF(DATE($C861,9,15)&gt;=$W$861,$Z$861*(1+($U$861)/100)^MAX(0,$C861-$AC$861),IF(DATE($C861,9,15)&gt;=$V$861,$Y$861*(1+($U$861)/100)^MAX(0,$C861-$AB$861),0)))))</f>
      </c>
      <c r="N861" s="43">
        <f>IF($S$861=0,0,IF(OR(DATE($C861,10,15)&lt;$S$861,AND($T$861&gt;0,DATE($C861,10,15)&gt;$T$861)),0,IF(DATE($C861,10,15)&gt;=$X$861,$AA$861*(1+($U$861)/100)^MAX(0,$C861-$AD$861),IF(DATE($C861,10,15)&gt;=$W$861,$Z$861*(1+($U$861)/100)^MAX(0,$C861-$AC$861),IF(DATE($C861,10,15)&gt;=$V$861,$Y$861*(1+($U$861)/100)^MAX(0,$C861-$AB$861),0)))))</f>
      </c>
      <c r="O861" s="43">
        <f>IF($S$861=0,0,IF(OR(DATE($C861,11,15)&lt;$S$861,AND($T$861&gt;0,DATE($C861,11,15)&gt;$T$861)),0,IF(DATE($C861,11,15)&gt;=$X$861,$AA$861*(1+($U$861)/100)^MAX(0,$C861-$AD$861),IF(DATE($C861,11,15)&gt;=$W$861,$Z$861*(1+($U$861)/100)^MAX(0,$C861-$AC$861),IF(DATE($C861,11,15)&gt;=$V$861,$Y$861*(1+($U$861)/100)^MAX(0,$C861-$AB$861),0)))))</f>
      </c>
      <c r="P861" s="43">
        <f>IF($S$861=0,0,IF(OR(DATE($C861,12,15)&lt;$S$861,AND($T$861&gt;0,DATE($C861,12,15)&gt;$T$861)),0,IF(DATE($C861,12,15)&gt;=$X$861,$AA$861*(1+($U$861)/100)^MAX(0,$C861-$AD$861),IF(DATE($C861,12,15)&gt;=$W$861,$Z$861*(1+($U$861)/100)^MAX(0,$C861-$AC$861),IF(DATE($C861,12,15)&gt;=$V$861,$Y$861*(1+($U$861)/100)^MAX(0,$C861-$AB$861),0)))))</f>
      </c>
      <c r="Q861" s="43">
        <f>SUM($E861:$P861)</f>
      </c>
      <c r="R861"/>
      <c r="S861" s="43">
        <f>IF(INDEX(MvBeginn,28)="",0,INDEX(MvBeginn,28))</f>
      </c>
      <c r="T861" s="43">
        <f>INDEX(MvEnde,28)</f>
      </c>
      <c r="U861" s="43">
        <f>INDEX(MvSatz,28)</f>
      </c>
      <c r="V861" s="43">
        <f>INDEX(MvKey1,28)</f>
      </c>
      <c r="W861" s="43">
        <f>INDEX(MvKey2,28)</f>
      </c>
      <c r="X861" s="43">
        <f>INDEX(MvKey3,28)</f>
      </c>
      <c r="Y861" s="43">
        <f>INDEX(MvKalt1,28)</f>
      </c>
      <c r="Z861" s="43">
        <f>INDEX(MvKalt2,28)</f>
      </c>
      <c r="AA861" s="43">
        <f>INDEX(MvKalt3,28)</f>
      </c>
      <c r="AB861" s="43">
        <f>MAX(YEAR(INDEX(MvAb1,28)),Jahr)</f>
      </c>
      <c r="AC861" s="43">
        <f>MAX(YEAR(INDEX(MvAb2,28)),Jahr)</f>
      </c>
      <c r="AD861" s="43">
        <f>MAX(YEAR(INDEX(MvAb3,28)),Jahr)</f>
      </c>
    </row>
    <row r="862">
      <c r="A862"/>
      <c r="B862">
        <v>28</v>
      </c>
      <c r="C862" s="43">
        <f>Jahr+1</f>
      </c>
      <c r="D862" s="43">
        <f>INDEX(MvObj,28)</f>
      </c>
      <c r="E862" s="43">
        <f>IF($S$861=0,0,IF(OR(DATE($C862,1,15)&lt;$S$861,AND($T$861&gt;0,DATE($C862,1,15)&gt;$T$861)),0,IF(DATE($C862,1,15)&gt;=$X$861,$AA$861*(1+($U$861)/100)^MAX(0,$C862-$AD$861),IF(DATE($C862,1,15)&gt;=$W$861,$Z$861*(1+($U$861)/100)^MAX(0,$C862-$AC$861),IF(DATE($C862,1,15)&gt;=$V$861,$Y$861*(1+($U$861)/100)^MAX(0,$C862-$AB$861),0)))))</f>
      </c>
      <c r="F862" s="43">
        <f>IF($S$861=0,0,IF(OR(DATE($C862,2,15)&lt;$S$861,AND($T$861&gt;0,DATE($C862,2,15)&gt;$T$861)),0,IF(DATE($C862,2,15)&gt;=$X$861,$AA$861*(1+($U$861)/100)^MAX(0,$C862-$AD$861),IF(DATE($C862,2,15)&gt;=$W$861,$Z$861*(1+($U$861)/100)^MAX(0,$C862-$AC$861),IF(DATE($C862,2,15)&gt;=$V$861,$Y$861*(1+($U$861)/100)^MAX(0,$C862-$AB$861),0)))))</f>
      </c>
      <c r="G862" s="43">
        <f>IF($S$861=0,0,IF(OR(DATE($C862,3,15)&lt;$S$861,AND($T$861&gt;0,DATE($C862,3,15)&gt;$T$861)),0,IF(DATE($C862,3,15)&gt;=$X$861,$AA$861*(1+($U$861)/100)^MAX(0,$C862-$AD$861),IF(DATE($C862,3,15)&gt;=$W$861,$Z$861*(1+($U$861)/100)^MAX(0,$C862-$AC$861),IF(DATE($C862,3,15)&gt;=$V$861,$Y$861*(1+($U$861)/100)^MAX(0,$C862-$AB$861),0)))))</f>
      </c>
      <c r="H862" s="43">
        <f>IF($S$861=0,0,IF(OR(DATE($C862,4,15)&lt;$S$861,AND($T$861&gt;0,DATE($C862,4,15)&gt;$T$861)),0,IF(DATE($C862,4,15)&gt;=$X$861,$AA$861*(1+($U$861)/100)^MAX(0,$C862-$AD$861),IF(DATE($C862,4,15)&gt;=$W$861,$Z$861*(1+($U$861)/100)^MAX(0,$C862-$AC$861),IF(DATE($C862,4,15)&gt;=$V$861,$Y$861*(1+($U$861)/100)^MAX(0,$C862-$AB$861),0)))))</f>
      </c>
      <c r="I862" s="43">
        <f>IF($S$861=0,0,IF(OR(DATE($C862,5,15)&lt;$S$861,AND($T$861&gt;0,DATE($C862,5,15)&gt;$T$861)),0,IF(DATE($C862,5,15)&gt;=$X$861,$AA$861*(1+($U$861)/100)^MAX(0,$C862-$AD$861),IF(DATE($C862,5,15)&gt;=$W$861,$Z$861*(1+($U$861)/100)^MAX(0,$C862-$AC$861),IF(DATE($C862,5,15)&gt;=$V$861,$Y$861*(1+($U$861)/100)^MAX(0,$C862-$AB$861),0)))))</f>
      </c>
      <c r="J862" s="43">
        <f>IF($S$861=0,0,IF(OR(DATE($C862,6,15)&lt;$S$861,AND($T$861&gt;0,DATE($C862,6,15)&gt;$T$861)),0,IF(DATE($C862,6,15)&gt;=$X$861,$AA$861*(1+($U$861)/100)^MAX(0,$C862-$AD$861),IF(DATE($C862,6,15)&gt;=$W$861,$Z$861*(1+($U$861)/100)^MAX(0,$C862-$AC$861),IF(DATE($C862,6,15)&gt;=$V$861,$Y$861*(1+($U$861)/100)^MAX(0,$C862-$AB$861),0)))))</f>
      </c>
      <c r="K862" s="43">
        <f>IF($S$861=0,0,IF(OR(DATE($C862,7,15)&lt;$S$861,AND($T$861&gt;0,DATE($C862,7,15)&gt;$T$861)),0,IF(DATE($C862,7,15)&gt;=$X$861,$AA$861*(1+($U$861)/100)^MAX(0,$C862-$AD$861),IF(DATE($C862,7,15)&gt;=$W$861,$Z$861*(1+($U$861)/100)^MAX(0,$C862-$AC$861),IF(DATE($C862,7,15)&gt;=$V$861,$Y$861*(1+($U$861)/100)^MAX(0,$C862-$AB$861),0)))))</f>
      </c>
      <c r="L862" s="43">
        <f>IF($S$861=0,0,IF(OR(DATE($C862,8,15)&lt;$S$861,AND($T$861&gt;0,DATE($C862,8,15)&gt;$T$861)),0,IF(DATE($C862,8,15)&gt;=$X$861,$AA$861*(1+($U$861)/100)^MAX(0,$C862-$AD$861),IF(DATE($C862,8,15)&gt;=$W$861,$Z$861*(1+($U$861)/100)^MAX(0,$C862-$AC$861),IF(DATE($C862,8,15)&gt;=$V$861,$Y$861*(1+($U$861)/100)^MAX(0,$C862-$AB$861),0)))))</f>
      </c>
      <c r="M862" s="43">
        <f>IF($S$861=0,0,IF(OR(DATE($C862,9,15)&lt;$S$861,AND($T$861&gt;0,DATE($C862,9,15)&gt;$T$861)),0,IF(DATE($C862,9,15)&gt;=$X$861,$AA$861*(1+($U$861)/100)^MAX(0,$C862-$AD$861),IF(DATE($C862,9,15)&gt;=$W$861,$Z$861*(1+($U$861)/100)^MAX(0,$C862-$AC$861),IF(DATE($C862,9,15)&gt;=$V$861,$Y$861*(1+($U$861)/100)^MAX(0,$C862-$AB$861),0)))))</f>
      </c>
      <c r="N862" s="43">
        <f>IF($S$861=0,0,IF(OR(DATE($C862,10,15)&lt;$S$861,AND($T$861&gt;0,DATE($C862,10,15)&gt;$T$861)),0,IF(DATE($C862,10,15)&gt;=$X$861,$AA$861*(1+($U$861)/100)^MAX(0,$C862-$AD$861),IF(DATE($C862,10,15)&gt;=$W$861,$Z$861*(1+($U$861)/100)^MAX(0,$C862-$AC$861),IF(DATE($C862,10,15)&gt;=$V$861,$Y$861*(1+($U$861)/100)^MAX(0,$C862-$AB$861),0)))))</f>
      </c>
      <c r="O862" s="43">
        <f>IF($S$861=0,0,IF(OR(DATE($C862,11,15)&lt;$S$861,AND($T$861&gt;0,DATE($C862,11,15)&gt;$T$861)),0,IF(DATE($C862,11,15)&gt;=$X$861,$AA$861*(1+($U$861)/100)^MAX(0,$C862-$AD$861),IF(DATE($C862,11,15)&gt;=$W$861,$Z$861*(1+($U$861)/100)^MAX(0,$C862-$AC$861),IF(DATE($C862,11,15)&gt;=$V$861,$Y$861*(1+($U$861)/100)^MAX(0,$C862-$AB$861),0)))))</f>
      </c>
      <c r="P862" s="43">
        <f>IF($S$861=0,0,IF(OR(DATE($C862,12,15)&lt;$S$861,AND($T$861&gt;0,DATE($C862,12,15)&gt;$T$861)),0,IF(DATE($C862,12,15)&gt;=$X$861,$AA$861*(1+($U$861)/100)^MAX(0,$C862-$AD$861),IF(DATE($C862,12,15)&gt;=$W$861,$Z$861*(1+($U$861)/100)^MAX(0,$C862-$AC$861),IF(DATE($C862,12,15)&gt;=$V$861,$Y$861*(1+($U$861)/100)^MAX(0,$C862-$AB$861),0)))))</f>
      </c>
      <c r="Q862" s="43">
        <f>SUM($E862:$P862)</f>
      </c>
    </row>
    <row r="863">
      <c r="A863"/>
      <c r="B863">
        <v>28</v>
      </c>
      <c r="C863" s="43">
        <f>Jahr+2</f>
      </c>
      <c r="D863" s="43">
        <f>INDEX(MvObj,28)</f>
      </c>
      <c r="E863" s="43">
        <f>IF($S$861=0,0,IF(OR(DATE($C863,1,15)&lt;$S$861,AND($T$861&gt;0,DATE($C863,1,15)&gt;$T$861)),0,IF(DATE($C863,1,15)&gt;=$X$861,$AA$861*(1+($U$861)/100)^MAX(0,$C863-$AD$861),IF(DATE($C863,1,15)&gt;=$W$861,$Z$861*(1+($U$861)/100)^MAX(0,$C863-$AC$861),IF(DATE($C863,1,15)&gt;=$V$861,$Y$861*(1+($U$861)/100)^MAX(0,$C863-$AB$861),0)))))</f>
      </c>
      <c r="F863" s="43">
        <f>IF($S$861=0,0,IF(OR(DATE($C863,2,15)&lt;$S$861,AND($T$861&gt;0,DATE($C863,2,15)&gt;$T$861)),0,IF(DATE($C863,2,15)&gt;=$X$861,$AA$861*(1+($U$861)/100)^MAX(0,$C863-$AD$861),IF(DATE($C863,2,15)&gt;=$W$861,$Z$861*(1+($U$861)/100)^MAX(0,$C863-$AC$861),IF(DATE($C863,2,15)&gt;=$V$861,$Y$861*(1+($U$861)/100)^MAX(0,$C863-$AB$861),0)))))</f>
      </c>
      <c r="G863" s="43">
        <f>IF($S$861=0,0,IF(OR(DATE($C863,3,15)&lt;$S$861,AND($T$861&gt;0,DATE($C863,3,15)&gt;$T$861)),0,IF(DATE($C863,3,15)&gt;=$X$861,$AA$861*(1+($U$861)/100)^MAX(0,$C863-$AD$861),IF(DATE($C863,3,15)&gt;=$W$861,$Z$861*(1+($U$861)/100)^MAX(0,$C863-$AC$861),IF(DATE($C863,3,15)&gt;=$V$861,$Y$861*(1+($U$861)/100)^MAX(0,$C863-$AB$861),0)))))</f>
      </c>
      <c r="H863" s="43">
        <f>IF($S$861=0,0,IF(OR(DATE($C863,4,15)&lt;$S$861,AND($T$861&gt;0,DATE($C863,4,15)&gt;$T$861)),0,IF(DATE($C863,4,15)&gt;=$X$861,$AA$861*(1+($U$861)/100)^MAX(0,$C863-$AD$861),IF(DATE($C863,4,15)&gt;=$W$861,$Z$861*(1+($U$861)/100)^MAX(0,$C863-$AC$861),IF(DATE($C863,4,15)&gt;=$V$861,$Y$861*(1+($U$861)/100)^MAX(0,$C863-$AB$861),0)))))</f>
      </c>
      <c r="I863" s="43">
        <f>IF($S$861=0,0,IF(OR(DATE($C863,5,15)&lt;$S$861,AND($T$861&gt;0,DATE($C863,5,15)&gt;$T$861)),0,IF(DATE($C863,5,15)&gt;=$X$861,$AA$861*(1+($U$861)/100)^MAX(0,$C863-$AD$861),IF(DATE($C863,5,15)&gt;=$W$861,$Z$861*(1+($U$861)/100)^MAX(0,$C863-$AC$861),IF(DATE($C863,5,15)&gt;=$V$861,$Y$861*(1+($U$861)/100)^MAX(0,$C863-$AB$861),0)))))</f>
      </c>
      <c r="J863" s="43">
        <f>IF($S$861=0,0,IF(OR(DATE($C863,6,15)&lt;$S$861,AND($T$861&gt;0,DATE($C863,6,15)&gt;$T$861)),0,IF(DATE($C863,6,15)&gt;=$X$861,$AA$861*(1+($U$861)/100)^MAX(0,$C863-$AD$861),IF(DATE($C863,6,15)&gt;=$W$861,$Z$861*(1+($U$861)/100)^MAX(0,$C863-$AC$861),IF(DATE($C863,6,15)&gt;=$V$861,$Y$861*(1+($U$861)/100)^MAX(0,$C863-$AB$861),0)))))</f>
      </c>
      <c r="K863" s="43">
        <f>IF($S$861=0,0,IF(OR(DATE($C863,7,15)&lt;$S$861,AND($T$861&gt;0,DATE($C863,7,15)&gt;$T$861)),0,IF(DATE($C863,7,15)&gt;=$X$861,$AA$861*(1+($U$861)/100)^MAX(0,$C863-$AD$861),IF(DATE($C863,7,15)&gt;=$W$861,$Z$861*(1+($U$861)/100)^MAX(0,$C863-$AC$861),IF(DATE($C863,7,15)&gt;=$V$861,$Y$861*(1+($U$861)/100)^MAX(0,$C863-$AB$861),0)))))</f>
      </c>
      <c r="L863" s="43">
        <f>IF($S$861=0,0,IF(OR(DATE($C863,8,15)&lt;$S$861,AND($T$861&gt;0,DATE($C863,8,15)&gt;$T$861)),0,IF(DATE($C863,8,15)&gt;=$X$861,$AA$861*(1+($U$861)/100)^MAX(0,$C863-$AD$861),IF(DATE($C863,8,15)&gt;=$W$861,$Z$861*(1+($U$861)/100)^MAX(0,$C863-$AC$861),IF(DATE($C863,8,15)&gt;=$V$861,$Y$861*(1+($U$861)/100)^MAX(0,$C863-$AB$861),0)))))</f>
      </c>
      <c r="M863" s="43">
        <f>IF($S$861=0,0,IF(OR(DATE($C863,9,15)&lt;$S$861,AND($T$861&gt;0,DATE($C863,9,15)&gt;$T$861)),0,IF(DATE($C863,9,15)&gt;=$X$861,$AA$861*(1+($U$861)/100)^MAX(0,$C863-$AD$861),IF(DATE($C863,9,15)&gt;=$W$861,$Z$861*(1+($U$861)/100)^MAX(0,$C863-$AC$861),IF(DATE($C863,9,15)&gt;=$V$861,$Y$861*(1+($U$861)/100)^MAX(0,$C863-$AB$861),0)))))</f>
      </c>
      <c r="N863" s="43">
        <f>IF($S$861=0,0,IF(OR(DATE($C863,10,15)&lt;$S$861,AND($T$861&gt;0,DATE($C863,10,15)&gt;$T$861)),0,IF(DATE($C863,10,15)&gt;=$X$861,$AA$861*(1+($U$861)/100)^MAX(0,$C863-$AD$861),IF(DATE($C863,10,15)&gt;=$W$861,$Z$861*(1+($U$861)/100)^MAX(0,$C863-$AC$861),IF(DATE($C863,10,15)&gt;=$V$861,$Y$861*(1+($U$861)/100)^MAX(0,$C863-$AB$861),0)))))</f>
      </c>
      <c r="O863" s="43">
        <f>IF($S$861=0,0,IF(OR(DATE($C863,11,15)&lt;$S$861,AND($T$861&gt;0,DATE($C863,11,15)&gt;$T$861)),0,IF(DATE($C863,11,15)&gt;=$X$861,$AA$861*(1+($U$861)/100)^MAX(0,$C863-$AD$861),IF(DATE($C863,11,15)&gt;=$W$861,$Z$861*(1+($U$861)/100)^MAX(0,$C863-$AC$861),IF(DATE($C863,11,15)&gt;=$V$861,$Y$861*(1+($U$861)/100)^MAX(0,$C863-$AB$861),0)))))</f>
      </c>
      <c r="P863" s="43">
        <f>IF($S$861=0,0,IF(OR(DATE($C863,12,15)&lt;$S$861,AND($T$861&gt;0,DATE($C863,12,15)&gt;$T$861)),0,IF(DATE($C863,12,15)&gt;=$X$861,$AA$861*(1+($U$861)/100)^MAX(0,$C863-$AD$861),IF(DATE($C863,12,15)&gt;=$W$861,$Z$861*(1+($U$861)/100)^MAX(0,$C863-$AC$861),IF(DATE($C863,12,15)&gt;=$V$861,$Y$861*(1+($U$861)/100)^MAX(0,$C863-$AB$861),0)))))</f>
      </c>
      <c r="Q863" s="43">
        <f>SUM($E863:$P863)</f>
      </c>
    </row>
    <row r="864">
      <c r="A864"/>
      <c r="B864">
        <v>28</v>
      </c>
      <c r="C864" s="43">
        <f>Jahr+3</f>
      </c>
      <c r="D864" s="43">
        <f>INDEX(MvObj,28)</f>
      </c>
      <c r="E864" s="43">
        <f>IF($S$861=0,0,IF(OR(DATE($C864,1,15)&lt;$S$861,AND($T$861&gt;0,DATE($C864,1,15)&gt;$T$861)),0,IF(DATE($C864,1,15)&gt;=$X$861,$AA$861*(1+($U$861)/100)^MAX(0,$C864-$AD$861),IF(DATE($C864,1,15)&gt;=$W$861,$Z$861*(1+($U$861)/100)^MAX(0,$C864-$AC$861),IF(DATE($C864,1,15)&gt;=$V$861,$Y$861*(1+($U$861)/100)^MAX(0,$C864-$AB$861),0)))))</f>
      </c>
      <c r="F864" s="43">
        <f>IF($S$861=0,0,IF(OR(DATE($C864,2,15)&lt;$S$861,AND($T$861&gt;0,DATE($C864,2,15)&gt;$T$861)),0,IF(DATE($C864,2,15)&gt;=$X$861,$AA$861*(1+($U$861)/100)^MAX(0,$C864-$AD$861),IF(DATE($C864,2,15)&gt;=$W$861,$Z$861*(1+($U$861)/100)^MAX(0,$C864-$AC$861),IF(DATE($C864,2,15)&gt;=$V$861,$Y$861*(1+($U$861)/100)^MAX(0,$C864-$AB$861),0)))))</f>
      </c>
      <c r="G864" s="43">
        <f>IF($S$861=0,0,IF(OR(DATE($C864,3,15)&lt;$S$861,AND($T$861&gt;0,DATE($C864,3,15)&gt;$T$861)),0,IF(DATE($C864,3,15)&gt;=$X$861,$AA$861*(1+($U$861)/100)^MAX(0,$C864-$AD$861),IF(DATE($C864,3,15)&gt;=$W$861,$Z$861*(1+($U$861)/100)^MAX(0,$C864-$AC$861),IF(DATE($C864,3,15)&gt;=$V$861,$Y$861*(1+($U$861)/100)^MAX(0,$C864-$AB$861),0)))))</f>
      </c>
      <c r="H864" s="43">
        <f>IF($S$861=0,0,IF(OR(DATE($C864,4,15)&lt;$S$861,AND($T$861&gt;0,DATE($C864,4,15)&gt;$T$861)),0,IF(DATE($C864,4,15)&gt;=$X$861,$AA$861*(1+($U$861)/100)^MAX(0,$C864-$AD$861),IF(DATE($C864,4,15)&gt;=$W$861,$Z$861*(1+($U$861)/100)^MAX(0,$C864-$AC$861),IF(DATE($C864,4,15)&gt;=$V$861,$Y$861*(1+($U$861)/100)^MAX(0,$C864-$AB$861),0)))))</f>
      </c>
      <c r="I864" s="43">
        <f>IF($S$861=0,0,IF(OR(DATE($C864,5,15)&lt;$S$861,AND($T$861&gt;0,DATE($C864,5,15)&gt;$T$861)),0,IF(DATE($C864,5,15)&gt;=$X$861,$AA$861*(1+($U$861)/100)^MAX(0,$C864-$AD$861),IF(DATE($C864,5,15)&gt;=$W$861,$Z$861*(1+($U$861)/100)^MAX(0,$C864-$AC$861),IF(DATE($C864,5,15)&gt;=$V$861,$Y$861*(1+($U$861)/100)^MAX(0,$C864-$AB$861),0)))))</f>
      </c>
      <c r="J864" s="43">
        <f>IF($S$861=0,0,IF(OR(DATE($C864,6,15)&lt;$S$861,AND($T$861&gt;0,DATE($C864,6,15)&gt;$T$861)),0,IF(DATE($C864,6,15)&gt;=$X$861,$AA$861*(1+($U$861)/100)^MAX(0,$C864-$AD$861),IF(DATE($C864,6,15)&gt;=$W$861,$Z$861*(1+($U$861)/100)^MAX(0,$C864-$AC$861),IF(DATE($C864,6,15)&gt;=$V$861,$Y$861*(1+($U$861)/100)^MAX(0,$C864-$AB$861),0)))))</f>
      </c>
      <c r="K864" s="43">
        <f>IF($S$861=0,0,IF(OR(DATE($C864,7,15)&lt;$S$861,AND($T$861&gt;0,DATE($C864,7,15)&gt;$T$861)),0,IF(DATE($C864,7,15)&gt;=$X$861,$AA$861*(1+($U$861)/100)^MAX(0,$C864-$AD$861),IF(DATE($C864,7,15)&gt;=$W$861,$Z$861*(1+($U$861)/100)^MAX(0,$C864-$AC$861),IF(DATE($C864,7,15)&gt;=$V$861,$Y$861*(1+($U$861)/100)^MAX(0,$C864-$AB$861),0)))))</f>
      </c>
      <c r="L864" s="43">
        <f>IF($S$861=0,0,IF(OR(DATE($C864,8,15)&lt;$S$861,AND($T$861&gt;0,DATE($C864,8,15)&gt;$T$861)),0,IF(DATE($C864,8,15)&gt;=$X$861,$AA$861*(1+($U$861)/100)^MAX(0,$C864-$AD$861),IF(DATE($C864,8,15)&gt;=$W$861,$Z$861*(1+($U$861)/100)^MAX(0,$C864-$AC$861),IF(DATE($C864,8,15)&gt;=$V$861,$Y$861*(1+($U$861)/100)^MAX(0,$C864-$AB$861),0)))))</f>
      </c>
      <c r="M864" s="43">
        <f>IF($S$861=0,0,IF(OR(DATE($C864,9,15)&lt;$S$861,AND($T$861&gt;0,DATE($C864,9,15)&gt;$T$861)),0,IF(DATE($C864,9,15)&gt;=$X$861,$AA$861*(1+($U$861)/100)^MAX(0,$C864-$AD$861),IF(DATE($C864,9,15)&gt;=$W$861,$Z$861*(1+($U$861)/100)^MAX(0,$C864-$AC$861),IF(DATE($C864,9,15)&gt;=$V$861,$Y$861*(1+($U$861)/100)^MAX(0,$C864-$AB$861),0)))))</f>
      </c>
      <c r="N864" s="43">
        <f>IF($S$861=0,0,IF(OR(DATE($C864,10,15)&lt;$S$861,AND($T$861&gt;0,DATE($C864,10,15)&gt;$T$861)),0,IF(DATE($C864,10,15)&gt;=$X$861,$AA$861*(1+($U$861)/100)^MAX(0,$C864-$AD$861),IF(DATE($C864,10,15)&gt;=$W$861,$Z$861*(1+($U$861)/100)^MAX(0,$C864-$AC$861),IF(DATE($C864,10,15)&gt;=$V$861,$Y$861*(1+($U$861)/100)^MAX(0,$C864-$AB$861),0)))))</f>
      </c>
      <c r="O864" s="43">
        <f>IF($S$861=0,0,IF(OR(DATE($C864,11,15)&lt;$S$861,AND($T$861&gt;0,DATE($C864,11,15)&gt;$T$861)),0,IF(DATE($C864,11,15)&gt;=$X$861,$AA$861*(1+($U$861)/100)^MAX(0,$C864-$AD$861),IF(DATE($C864,11,15)&gt;=$W$861,$Z$861*(1+($U$861)/100)^MAX(0,$C864-$AC$861),IF(DATE($C864,11,15)&gt;=$V$861,$Y$861*(1+($U$861)/100)^MAX(0,$C864-$AB$861),0)))))</f>
      </c>
      <c r="P864" s="43">
        <f>IF($S$861=0,0,IF(OR(DATE($C864,12,15)&lt;$S$861,AND($T$861&gt;0,DATE($C864,12,15)&gt;$T$861)),0,IF(DATE($C864,12,15)&gt;=$X$861,$AA$861*(1+($U$861)/100)^MAX(0,$C864-$AD$861),IF(DATE($C864,12,15)&gt;=$W$861,$Z$861*(1+($U$861)/100)^MAX(0,$C864-$AC$861),IF(DATE($C864,12,15)&gt;=$V$861,$Y$861*(1+($U$861)/100)^MAX(0,$C864-$AB$861),0)))))</f>
      </c>
      <c r="Q864" s="43">
        <f>SUM($E864:$P864)</f>
      </c>
    </row>
    <row r="865">
      <c r="A865"/>
      <c r="B865">
        <v>28</v>
      </c>
      <c r="C865" s="43">
        <f>Jahr+4</f>
      </c>
      <c r="D865" s="43">
        <f>INDEX(MvObj,28)</f>
      </c>
      <c r="E865" s="43">
        <f>IF($S$861=0,0,IF(OR(DATE($C865,1,15)&lt;$S$861,AND($T$861&gt;0,DATE($C865,1,15)&gt;$T$861)),0,IF(DATE($C865,1,15)&gt;=$X$861,$AA$861*(1+($U$861)/100)^MAX(0,$C865-$AD$861),IF(DATE($C865,1,15)&gt;=$W$861,$Z$861*(1+($U$861)/100)^MAX(0,$C865-$AC$861),IF(DATE($C865,1,15)&gt;=$V$861,$Y$861*(1+($U$861)/100)^MAX(0,$C865-$AB$861),0)))))</f>
      </c>
      <c r="F865" s="43">
        <f>IF($S$861=0,0,IF(OR(DATE($C865,2,15)&lt;$S$861,AND($T$861&gt;0,DATE($C865,2,15)&gt;$T$861)),0,IF(DATE($C865,2,15)&gt;=$X$861,$AA$861*(1+($U$861)/100)^MAX(0,$C865-$AD$861),IF(DATE($C865,2,15)&gt;=$W$861,$Z$861*(1+($U$861)/100)^MAX(0,$C865-$AC$861),IF(DATE($C865,2,15)&gt;=$V$861,$Y$861*(1+($U$861)/100)^MAX(0,$C865-$AB$861),0)))))</f>
      </c>
      <c r="G865" s="43">
        <f>IF($S$861=0,0,IF(OR(DATE($C865,3,15)&lt;$S$861,AND($T$861&gt;0,DATE($C865,3,15)&gt;$T$861)),0,IF(DATE($C865,3,15)&gt;=$X$861,$AA$861*(1+($U$861)/100)^MAX(0,$C865-$AD$861),IF(DATE($C865,3,15)&gt;=$W$861,$Z$861*(1+($U$861)/100)^MAX(0,$C865-$AC$861),IF(DATE($C865,3,15)&gt;=$V$861,$Y$861*(1+($U$861)/100)^MAX(0,$C865-$AB$861),0)))))</f>
      </c>
      <c r="H865" s="43">
        <f>IF($S$861=0,0,IF(OR(DATE($C865,4,15)&lt;$S$861,AND($T$861&gt;0,DATE($C865,4,15)&gt;$T$861)),0,IF(DATE($C865,4,15)&gt;=$X$861,$AA$861*(1+($U$861)/100)^MAX(0,$C865-$AD$861),IF(DATE($C865,4,15)&gt;=$W$861,$Z$861*(1+($U$861)/100)^MAX(0,$C865-$AC$861),IF(DATE($C865,4,15)&gt;=$V$861,$Y$861*(1+($U$861)/100)^MAX(0,$C865-$AB$861),0)))))</f>
      </c>
      <c r="I865" s="43">
        <f>IF($S$861=0,0,IF(OR(DATE($C865,5,15)&lt;$S$861,AND($T$861&gt;0,DATE($C865,5,15)&gt;$T$861)),0,IF(DATE($C865,5,15)&gt;=$X$861,$AA$861*(1+($U$861)/100)^MAX(0,$C865-$AD$861),IF(DATE($C865,5,15)&gt;=$W$861,$Z$861*(1+($U$861)/100)^MAX(0,$C865-$AC$861),IF(DATE($C865,5,15)&gt;=$V$861,$Y$861*(1+($U$861)/100)^MAX(0,$C865-$AB$861),0)))))</f>
      </c>
      <c r="J865" s="43">
        <f>IF($S$861=0,0,IF(OR(DATE($C865,6,15)&lt;$S$861,AND($T$861&gt;0,DATE($C865,6,15)&gt;$T$861)),0,IF(DATE($C865,6,15)&gt;=$X$861,$AA$861*(1+($U$861)/100)^MAX(0,$C865-$AD$861),IF(DATE($C865,6,15)&gt;=$W$861,$Z$861*(1+($U$861)/100)^MAX(0,$C865-$AC$861),IF(DATE($C865,6,15)&gt;=$V$861,$Y$861*(1+($U$861)/100)^MAX(0,$C865-$AB$861),0)))))</f>
      </c>
      <c r="K865" s="43">
        <f>IF($S$861=0,0,IF(OR(DATE($C865,7,15)&lt;$S$861,AND($T$861&gt;0,DATE($C865,7,15)&gt;$T$861)),0,IF(DATE($C865,7,15)&gt;=$X$861,$AA$861*(1+($U$861)/100)^MAX(0,$C865-$AD$861),IF(DATE($C865,7,15)&gt;=$W$861,$Z$861*(1+($U$861)/100)^MAX(0,$C865-$AC$861),IF(DATE($C865,7,15)&gt;=$V$861,$Y$861*(1+($U$861)/100)^MAX(0,$C865-$AB$861),0)))))</f>
      </c>
      <c r="L865" s="43">
        <f>IF($S$861=0,0,IF(OR(DATE($C865,8,15)&lt;$S$861,AND($T$861&gt;0,DATE($C865,8,15)&gt;$T$861)),0,IF(DATE($C865,8,15)&gt;=$X$861,$AA$861*(1+($U$861)/100)^MAX(0,$C865-$AD$861),IF(DATE($C865,8,15)&gt;=$W$861,$Z$861*(1+($U$861)/100)^MAX(0,$C865-$AC$861),IF(DATE($C865,8,15)&gt;=$V$861,$Y$861*(1+($U$861)/100)^MAX(0,$C865-$AB$861),0)))))</f>
      </c>
      <c r="M865" s="43">
        <f>IF($S$861=0,0,IF(OR(DATE($C865,9,15)&lt;$S$861,AND($T$861&gt;0,DATE($C865,9,15)&gt;$T$861)),0,IF(DATE($C865,9,15)&gt;=$X$861,$AA$861*(1+($U$861)/100)^MAX(0,$C865-$AD$861),IF(DATE($C865,9,15)&gt;=$W$861,$Z$861*(1+($U$861)/100)^MAX(0,$C865-$AC$861),IF(DATE($C865,9,15)&gt;=$V$861,$Y$861*(1+($U$861)/100)^MAX(0,$C865-$AB$861),0)))))</f>
      </c>
      <c r="N865" s="43">
        <f>IF($S$861=0,0,IF(OR(DATE($C865,10,15)&lt;$S$861,AND($T$861&gt;0,DATE($C865,10,15)&gt;$T$861)),0,IF(DATE($C865,10,15)&gt;=$X$861,$AA$861*(1+($U$861)/100)^MAX(0,$C865-$AD$861),IF(DATE($C865,10,15)&gt;=$W$861,$Z$861*(1+($U$861)/100)^MAX(0,$C865-$AC$861),IF(DATE($C865,10,15)&gt;=$V$861,$Y$861*(1+($U$861)/100)^MAX(0,$C865-$AB$861),0)))))</f>
      </c>
      <c r="O865" s="43">
        <f>IF($S$861=0,0,IF(OR(DATE($C865,11,15)&lt;$S$861,AND($T$861&gt;0,DATE($C865,11,15)&gt;$T$861)),0,IF(DATE($C865,11,15)&gt;=$X$861,$AA$861*(1+($U$861)/100)^MAX(0,$C865-$AD$861),IF(DATE($C865,11,15)&gt;=$W$861,$Z$861*(1+($U$861)/100)^MAX(0,$C865-$AC$861),IF(DATE($C865,11,15)&gt;=$V$861,$Y$861*(1+($U$861)/100)^MAX(0,$C865-$AB$861),0)))))</f>
      </c>
      <c r="P865" s="43">
        <f>IF($S$861=0,0,IF(OR(DATE($C865,12,15)&lt;$S$861,AND($T$861&gt;0,DATE($C865,12,15)&gt;$T$861)),0,IF(DATE($C865,12,15)&gt;=$X$861,$AA$861*(1+($U$861)/100)^MAX(0,$C865-$AD$861),IF(DATE($C865,12,15)&gt;=$W$861,$Z$861*(1+($U$861)/100)^MAX(0,$C865-$AC$861),IF(DATE($C865,12,15)&gt;=$V$861,$Y$861*(1+($U$861)/100)^MAX(0,$C865-$AB$861),0)))))</f>
      </c>
      <c r="Q865" s="43">
        <f>SUM($E865:$P865)</f>
      </c>
    </row>
    <row r="866">
      <c r="A866"/>
      <c r="B866">
        <v>28</v>
      </c>
      <c r="C866" s="43">
        <f>Jahr+5</f>
      </c>
      <c r="D866" s="43">
        <f>INDEX(MvObj,28)</f>
      </c>
      <c r="E866" s="43">
        <f>IF($S$861=0,0,IF(OR(DATE($C866,1,15)&lt;$S$861,AND($T$861&gt;0,DATE($C866,1,15)&gt;$T$861)),0,IF(DATE($C866,1,15)&gt;=$X$861,$AA$861*(1+($U$861)/100)^MAX(0,$C866-$AD$861),IF(DATE($C866,1,15)&gt;=$W$861,$Z$861*(1+($U$861)/100)^MAX(0,$C866-$AC$861),IF(DATE($C866,1,15)&gt;=$V$861,$Y$861*(1+($U$861)/100)^MAX(0,$C866-$AB$861),0)))))</f>
      </c>
      <c r="F866" s="43">
        <f>IF($S$861=0,0,IF(OR(DATE($C866,2,15)&lt;$S$861,AND($T$861&gt;0,DATE($C866,2,15)&gt;$T$861)),0,IF(DATE($C866,2,15)&gt;=$X$861,$AA$861*(1+($U$861)/100)^MAX(0,$C866-$AD$861),IF(DATE($C866,2,15)&gt;=$W$861,$Z$861*(1+($U$861)/100)^MAX(0,$C866-$AC$861),IF(DATE($C866,2,15)&gt;=$V$861,$Y$861*(1+($U$861)/100)^MAX(0,$C866-$AB$861),0)))))</f>
      </c>
      <c r="G866" s="43">
        <f>IF($S$861=0,0,IF(OR(DATE($C866,3,15)&lt;$S$861,AND($T$861&gt;0,DATE($C866,3,15)&gt;$T$861)),0,IF(DATE($C866,3,15)&gt;=$X$861,$AA$861*(1+($U$861)/100)^MAX(0,$C866-$AD$861),IF(DATE($C866,3,15)&gt;=$W$861,$Z$861*(1+($U$861)/100)^MAX(0,$C866-$AC$861),IF(DATE($C866,3,15)&gt;=$V$861,$Y$861*(1+($U$861)/100)^MAX(0,$C866-$AB$861),0)))))</f>
      </c>
      <c r="H866" s="43">
        <f>IF($S$861=0,0,IF(OR(DATE($C866,4,15)&lt;$S$861,AND($T$861&gt;0,DATE($C866,4,15)&gt;$T$861)),0,IF(DATE($C866,4,15)&gt;=$X$861,$AA$861*(1+($U$861)/100)^MAX(0,$C866-$AD$861),IF(DATE($C866,4,15)&gt;=$W$861,$Z$861*(1+($U$861)/100)^MAX(0,$C866-$AC$861),IF(DATE($C866,4,15)&gt;=$V$861,$Y$861*(1+($U$861)/100)^MAX(0,$C866-$AB$861),0)))))</f>
      </c>
      <c r="I866" s="43">
        <f>IF($S$861=0,0,IF(OR(DATE($C866,5,15)&lt;$S$861,AND($T$861&gt;0,DATE($C866,5,15)&gt;$T$861)),0,IF(DATE($C866,5,15)&gt;=$X$861,$AA$861*(1+($U$861)/100)^MAX(0,$C866-$AD$861),IF(DATE($C866,5,15)&gt;=$W$861,$Z$861*(1+($U$861)/100)^MAX(0,$C866-$AC$861),IF(DATE($C866,5,15)&gt;=$V$861,$Y$861*(1+($U$861)/100)^MAX(0,$C866-$AB$861),0)))))</f>
      </c>
      <c r="J866" s="43">
        <f>IF($S$861=0,0,IF(OR(DATE($C866,6,15)&lt;$S$861,AND($T$861&gt;0,DATE($C866,6,15)&gt;$T$861)),0,IF(DATE($C866,6,15)&gt;=$X$861,$AA$861*(1+($U$861)/100)^MAX(0,$C866-$AD$861),IF(DATE($C866,6,15)&gt;=$W$861,$Z$861*(1+($U$861)/100)^MAX(0,$C866-$AC$861),IF(DATE($C866,6,15)&gt;=$V$861,$Y$861*(1+($U$861)/100)^MAX(0,$C866-$AB$861),0)))))</f>
      </c>
      <c r="K866" s="43">
        <f>IF($S$861=0,0,IF(OR(DATE($C866,7,15)&lt;$S$861,AND($T$861&gt;0,DATE($C866,7,15)&gt;$T$861)),0,IF(DATE($C866,7,15)&gt;=$X$861,$AA$861*(1+($U$861)/100)^MAX(0,$C866-$AD$861),IF(DATE($C866,7,15)&gt;=$W$861,$Z$861*(1+($U$861)/100)^MAX(0,$C866-$AC$861),IF(DATE($C866,7,15)&gt;=$V$861,$Y$861*(1+($U$861)/100)^MAX(0,$C866-$AB$861),0)))))</f>
      </c>
      <c r="L866" s="43">
        <f>IF($S$861=0,0,IF(OR(DATE($C866,8,15)&lt;$S$861,AND($T$861&gt;0,DATE($C866,8,15)&gt;$T$861)),0,IF(DATE($C866,8,15)&gt;=$X$861,$AA$861*(1+($U$861)/100)^MAX(0,$C866-$AD$861),IF(DATE($C866,8,15)&gt;=$W$861,$Z$861*(1+($U$861)/100)^MAX(0,$C866-$AC$861),IF(DATE($C866,8,15)&gt;=$V$861,$Y$861*(1+($U$861)/100)^MAX(0,$C866-$AB$861),0)))))</f>
      </c>
      <c r="M866" s="43">
        <f>IF($S$861=0,0,IF(OR(DATE($C866,9,15)&lt;$S$861,AND($T$861&gt;0,DATE($C866,9,15)&gt;$T$861)),0,IF(DATE($C866,9,15)&gt;=$X$861,$AA$861*(1+($U$861)/100)^MAX(0,$C866-$AD$861),IF(DATE($C866,9,15)&gt;=$W$861,$Z$861*(1+($U$861)/100)^MAX(0,$C866-$AC$861),IF(DATE($C866,9,15)&gt;=$V$861,$Y$861*(1+($U$861)/100)^MAX(0,$C866-$AB$861),0)))))</f>
      </c>
      <c r="N866" s="43">
        <f>IF($S$861=0,0,IF(OR(DATE($C866,10,15)&lt;$S$861,AND($T$861&gt;0,DATE($C866,10,15)&gt;$T$861)),0,IF(DATE($C866,10,15)&gt;=$X$861,$AA$861*(1+($U$861)/100)^MAX(0,$C866-$AD$861),IF(DATE($C866,10,15)&gt;=$W$861,$Z$861*(1+($U$861)/100)^MAX(0,$C866-$AC$861),IF(DATE($C866,10,15)&gt;=$V$861,$Y$861*(1+($U$861)/100)^MAX(0,$C866-$AB$861),0)))))</f>
      </c>
      <c r="O866" s="43">
        <f>IF($S$861=0,0,IF(OR(DATE($C866,11,15)&lt;$S$861,AND($T$861&gt;0,DATE($C866,11,15)&gt;$T$861)),0,IF(DATE($C866,11,15)&gt;=$X$861,$AA$861*(1+($U$861)/100)^MAX(0,$C866-$AD$861),IF(DATE($C866,11,15)&gt;=$W$861,$Z$861*(1+($U$861)/100)^MAX(0,$C866-$AC$861),IF(DATE($C866,11,15)&gt;=$V$861,$Y$861*(1+($U$861)/100)^MAX(0,$C866-$AB$861),0)))))</f>
      </c>
      <c r="P866" s="43">
        <f>IF($S$861=0,0,IF(OR(DATE($C866,12,15)&lt;$S$861,AND($T$861&gt;0,DATE($C866,12,15)&gt;$T$861)),0,IF(DATE($C866,12,15)&gt;=$X$861,$AA$861*(1+($U$861)/100)^MAX(0,$C866-$AD$861),IF(DATE($C866,12,15)&gt;=$W$861,$Z$861*(1+($U$861)/100)^MAX(0,$C866-$AC$861),IF(DATE($C866,12,15)&gt;=$V$861,$Y$861*(1+($U$861)/100)^MAX(0,$C866-$AB$861),0)))))</f>
      </c>
      <c r="Q866" s="43">
        <f>SUM($E866:$P866)</f>
      </c>
    </row>
    <row r="867">
      <c r="A867"/>
      <c r="B867">
        <v>28</v>
      </c>
      <c r="C867" s="43">
        <f>Jahr+6</f>
      </c>
      <c r="D867" s="43">
        <f>INDEX(MvObj,28)</f>
      </c>
      <c r="E867" s="43">
        <f>IF($S$861=0,0,IF(OR(DATE($C867,1,15)&lt;$S$861,AND($T$861&gt;0,DATE($C867,1,15)&gt;$T$861)),0,IF(DATE($C867,1,15)&gt;=$X$861,$AA$861*(1+($U$861)/100)^MAX(0,$C867-$AD$861),IF(DATE($C867,1,15)&gt;=$W$861,$Z$861*(1+($U$861)/100)^MAX(0,$C867-$AC$861),IF(DATE($C867,1,15)&gt;=$V$861,$Y$861*(1+($U$861)/100)^MAX(0,$C867-$AB$861),0)))))</f>
      </c>
      <c r="F867" s="43">
        <f>IF($S$861=0,0,IF(OR(DATE($C867,2,15)&lt;$S$861,AND($T$861&gt;0,DATE($C867,2,15)&gt;$T$861)),0,IF(DATE($C867,2,15)&gt;=$X$861,$AA$861*(1+($U$861)/100)^MAX(0,$C867-$AD$861),IF(DATE($C867,2,15)&gt;=$W$861,$Z$861*(1+($U$861)/100)^MAX(0,$C867-$AC$861),IF(DATE($C867,2,15)&gt;=$V$861,$Y$861*(1+($U$861)/100)^MAX(0,$C867-$AB$861),0)))))</f>
      </c>
      <c r="G867" s="43">
        <f>IF($S$861=0,0,IF(OR(DATE($C867,3,15)&lt;$S$861,AND($T$861&gt;0,DATE($C867,3,15)&gt;$T$861)),0,IF(DATE($C867,3,15)&gt;=$X$861,$AA$861*(1+($U$861)/100)^MAX(0,$C867-$AD$861),IF(DATE($C867,3,15)&gt;=$W$861,$Z$861*(1+($U$861)/100)^MAX(0,$C867-$AC$861),IF(DATE($C867,3,15)&gt;=$V$861,$Y$861*(1+($U$861)/100)^MAX(0,$C867-$AB$861),0)))))</f>
      </c>
      <c r="H867" s="43">
        <f>IF($S$861=0,0,IF(OR(DATE($C867,4,15)&lt;$S$861,AND($T$861&gt;0,DATE($C867,4,15)&gt;$T$861)),0,IF(DATE($C867,4,15)&gt;=$X$861,$AA$861*(1+($U$861)/100)^MAX(0,$C867-$AD$861),IF(DATE($C867,4,15)&gt;=$W$861,$Z$861*(1+($U$861)/100)^MAX(0,$C867-$AC$861),IF(DATE($C867,4,15)&gt;=$V$861,$Y$861*(1+($U$861)/100)^MAX(0,$C867-$AB$861),0)))))</f>
      </c>
      <c r="I867" s="43">
        <f>IF($S$861=0,0,IF(OR(DATE($C867,5,15)&lt;$S$861,AND($T$861&gt;0,DATE($C867,5,15)&gt;$T$861)),0,IF(DATE($C867,5,15)&gt;=$X$861,$AA$861*(1+($U$861)/100)^MAX(0,$C867-$AD$861),IF(DATE($C867,5,15)&gt;=$W$861,$Z$861*(1+($U$861)/100)^MAX(0,$C867-$AC$861),IF(DATE($C867,5,15)&gt;=$V$861,$Y$861*(1+($U$861)/100)^MAX(0,$C867-$AB$861),0)))))</f>
      </c>
      <c r="J867" s="43">
        <f>IF($S$861=0,0,IF(OR(DATE($C867,6,15)&lt;$S$861,AND($T$861&gt;0,DATE($C867,6,15)&gt;$T$861)),0,IF(DATE($C867,6,15)&gt;=$X$861,$AA$861*(1+($U$861)/100)^MAX(0,$C867-$AD$861),IF(DATE($C867,6,15)&gt;=$W$861,$Z$861*(1+($U$861)/100)^MAX(0,$C867-$AC$861),IF(DATE($C867,6,15)&gt;=$V$861,$Y$861*(1+($U$861)/100)^MAX(0,$C867-$AB$861),0)))))</f>
      </c>
      <c r="K867" s="43">
        <f>IF($S$861=0,0,IF(OR(DATE($C867,7,15)&lt;$S$861,AND($T$861&gt;0,DATE($C867,7,15)&gt;$T$861)),0,IF(DATE($C867,7,15)&gt;=$X$861,$AA$861*(1+($U$861)/100)^MAX(0,$C867-$AD$861),IF(DATE($C867,7,15)&gt;=$W$861,$Z$861*(1+($U$861)/100)^MAX(0,$C867-$AC$861),IF(DATE($C867,7,15)&gt;=$V$861,$Y$861*(1+($U$861)/100)^MAX(0,$C867-$AB$861),0)))))</f>
      </c>
      <c r="L867" s="43">
        <f>IF($S$861=0,0,IF(OR(DATE($C867,8,15)&lt;$S$861,AND($T$861&gt;0,DATE($C867,8,15)&gt;$T$861)),0,IF(DATE($C867,8,15)&gt;=$X$861,$AA$861*(1+($U$861)/100)^MAX(0,$C867-$AD$861),IF(DATE($C867,8,15)&gt;=$W$861,$Z$861*(1+($U$861)/100)^MAX(0,$C867-$AC$861),IF(DATE($C867,8,15)&gt;=$V$861,$Y$861*(1+($U$861)/100)^MAX(0,$C867-$AB$861),0)))))</f>
      </c>
      <c r="M867" s="43">
        <f>IF($S$861=0,0,IF(OR(DATE($C867,9,15)&lt;$S$861,AND($T$861&gt;0,DATE($C867,9,15)&gt;$T$861)),0,IF(DATE($C867,9,15)&gt;=$X$861,$AA$861*(1+($U$861)/100)^MAX(0,$C867-$AD$861),IF(DATE($C867,9,15)&gt;=$W$861,$Z$861*(1+($U$861)/100)^MAX(0,$C867-$AC$861),IF(DATE($C867,9,15)&gt;=$V$861,$Y$861*(1+($U$861)/100)^MAX(0,$C867-$AB$861),0)))))</f>
      </c>
      <c r="N867" s="43">
        <f>IF($S$861=0,0,IF(OR(DATE($C867,10,15)&lt;$S$861,AND($T$861&gt;0,DATE($C867,10,15)&gt;$T$861)),0,IF(DATE($C867,10,15)&gt;=$X$861,$AA$861*(1+($U$861)/100)^MAX(0,$C867-$AD$861),IF(DATE($C867,10,15)&gt;=$W$861,$Z$861*(1+($U$861)/100)^MAX(0,$C867-$AC$861),IF(DATE($C867,10,15)&gt;=$V$861,$Y$861*(1+($U$861)/100)^MAX(0,$C867-$AB$861),0)))))</f>
      </c>
      <c r="O867" s="43">
        <f>IF($S$861=0,0,IF(OR(DATE($C867,11,15)&lt;$S$861,AND($T$861&gt;0,DATE($C867,11,15)&gt;$T$861)),0,IF(DATE($C867,11,15)&gt;=$X$861,$AA$861*(1+($U$861)/100)^MAX(0,$C867-$AD$861),IF(DATE($C867,11,15)&gt;=$W$861,$Z$861*(1+($U$861)/100)^MAX(0,$C867-$AC$861),IF(DATE($C867,11,15)&gt;=$V$861,$Y$861*(1+($U$861)/100)^MAX(0,$C867-$AB$861),0)))))</f>
      </c>
      <c r="P867" s="43">
        <f>IF($S$861=0,0,IF(OR(DATE($C867,12,15)&lt;$S$861,AND($T$861&gt;0,DATE($C867,12,15)&gt;$T$861)),0,IF(DATE($C867,12,15)&gt;=$X$861,$AA$861*(1+($U$861)/100)^MAX(0,$C867-$AD$861),IF(DATE($C867,12,15)&gt;=$W$861,$Z$861*(1+($U$861)/100)^MAX(0,$C867-$AC$861),IF(DATE($C867,12,15)&gt;=$V$861,$Y$861*(1+($U$861)/100)^MAX(0,$C867-$AB$861),0)))))</f>
      </c>
      <c r="Q867" s="43">
        <f>SUM($E867:$P867)</f>
      </c>
    </row>
    <row r="868">
      <c r="A868"/>
      <c r="B868">
        <v>28</v>
      </c>
      <c r="C868" s="43">
        <f>Jahr+7</f>
      </c>
      <c r="D868" s="43">
        <f>INDEX(MvObj,28)</f>
      </c>
      <c r="E868" s="43">
        <f>IF($S$861=0,0,IF(OR(DATE($C868,1,15)&lt;$S$861,AND($T$861&gt;0,DATE($C868,1,15)&gt;$T$861)),0,IF(DATE($C868,1,15)&gt;=$X$861,$AA$861*(1+($U$861)/100)^MAX(0,$C868-$AD$861),IF(DATE($C868,1,15)&gt;=$W$861,$Z$861*(1+($U$861)/100)^MAX(0,$C868-$AC$861),IF(DATE($C868,1,15)&gt;=$V$861,$Y$861*(1+($U$861)/100)^MAX(0,$C868-$AB$861),0)))))</f>
      </c>
      <c r="F868" s="43">
        <f>IF($S$861=0,0,IF(OR(DATE($C868,2,15)&lt;$S$861,AND($T$861&gt;0,DATE($C868,2,15)&gt;$T$861)),0,IF(DATE($C868,2,15)&gt;=$X$861,$AA$861*(1+($U$861)/100)^MAX(0,$C868-$AD$861),IF(DATE($C868,2,15)&gt;=$W$861,$Z$861*(1+($U$861)/100)^MAX(0,$C868-$AC$861),IF(DATE($C868,2,15)&gt;=$V$861,$Y$861*(1+($U$861)/100)^MAX(0,$C868-$AB$861),0)))))</f>
      </c>
      <c r="G868" s="43">
        <f>IF($S$861=0,0,IF(OR(DATE($C868,3,15)&lt;$S$861,AND($T$861&gt;0,DATE($C868,3,15)&gt;$T$861)),0,IF(DATE($C868,3,15)&gt;=$X$861,$AA$861*(1+($U$861)/100)^MAX(0,$C868-$AD$861),IF(DATE($C868,3,15)&gt;=$W$861,$Z$861*(1+($U$861)/100)^MAX(0,$C868-$AC$861),IF(DATE($C868,3,15)&gt;=$V$861,$Y$861*(1+($U$861)/100)^MAX(0,$C868-$AB$861),0)))))</f>
      </c>
      <c r="H868" s="43">
        <f>IF($S$861=0,0,IF(OR(DATE($C868,4,15)&lt;$S$861,AND($T$861&gt;0,DATE($C868,4,15)&gt;$T$861)),0,IF(DATE($C868,4,15)&gt;=$X$861,$AA$861*(1+($U$861)/100)^MAX(0,$C868-$AD$861),IF(DATE($C868,4,15)&gt;=$W$861,$Z$861*(1+($U$861)/100)^MAX(0,$C868-$AC$861),IF(DATE($C868,4,15)&gt;=$V$861,$Y$861*(1+($U$861)/100)^MAX(0,$C868-$AB$861),0)))))</f>
      </c>
      <c r="I868" s="43">
        <f>IF($S$861=0,0,IF(OR(DATE($C868,5,15)&lt;$S$861,AND($T$861&gt;0,DATE($C868,5,15)&gt;$T$861)),0,IF(DATE($C868,5,15)&gt;=$X$861,$AA$861*(1+($U$861)/100)^MAX(0,$C868-$AD$861),IF(DATE($C868,5,15)&gt;=$W$861,$Z$861*(1+($U$861)/100)^MAX(0,$C868-$AC$861),IF(DATE($C868,5,15)&gt;=$V$861,$Y$861*(1+($U$861)/100)^MAX(0,$C868-$AB$861),0)))))</f>
      </c>
      <c r="J868" s="43">
        <f>IF($S$861=0,0,IF(OR(DATE($C868,6,15)&lt;$S$861,AND($T$861&gt;0,DATE($C868,6,15)&gt;$T$861)),0,IF(DATE($C868,6,15)&gt;=$X$861,$AA$861*(1+($U$861)/100)^MAX(0,$C868-$AD$861),IF(DATE($C868,6,15)&gt;=$W$861,$Z$861*(1+($U$861)/100)^MAX(0,$C868-$AC$861),IF(DATE($C868,6,15)&gt;=$V$861,$Y$861*(1+($U$861)/100)^MAX(0,$C868-$AB$861),0)))))</f>
      </c>
      <c r="K868" s="43">
        <f>IF($S$861=0,0,IF(OR(DATE($C868,7,15)&lt;$S$861,AND($T$861&gt;0,DATE($C868,7,15)&gt;$T$861)),0,IF(DATE($C868,7,15)&gt;=$X$861,$AA$861*(1+($U$861)/100)^MAX(0,$C868-$AD$861),IF(DATE($C868,7,15)&gt;=$W$861,$Z$861*(1+($U$861)/100)^MAX(0,$C868-$AC$861),IF(DATE($C868,7,15)&gt;=$V$861,$Y$861*(1+($U$861)/100)^MAX(0,$C868-$AB$861),0)))))</f>
      </c>
      <c r="L868" s="43">
        <f>IF($S$861=0,0,IF(OR(DATE($C868,8,15)&lt;$S$861,AND($T$861&gt;0,DATE($C868,8,15)&gt;$T$861)),0,IF(DATE($C868,8,15)&gt;=$X$861,$AA$861*(1+($U$861)/100)^MAX(0,$C868-$AD$861),IF(DATE($C868,8,15)&gt;=$W$861,$Z$861*(1+($U$861)/100)^MAX(0,$C868-$AC$861),IF(DATE($C868,8,15)&gt;=$V$861,$Y$861*(1+($U$861)/100)^MAX(0,$C868-$AB$861),0)))))</f>
      </c>
      <c r="M868" s="43">
        <f>IF($S$861=0,0,IF(OR(DATE($C868,9,15)&lt;$S$861,AND($T$861&gt;0,DATE($C868,9,15)&gt;$T$861)),0,IF(DATE($C868,9,15)&gt;=$X$861,$AA$861*(1+($U$861)/100)^MAX(0,$C868-$AD$861),IF(DATE($C868,9,15)&gt;=$W$861,$Z$861*(1+($U$861)/100)^MAX(0,$C868-$AC$861),IF(DATE($C868,9,15)&gt;=$V$861,$Y$861*(1+($U$861)/100)^MAX(0,$C868-$AB$861),0)))))</f>
      </c>
      <c r="N868" s="43">
        <f>IF($S$861=0,0,IF(OR(DATE($C868,10,15)&lt;$S$861,AND($T$861&gt;0,DATE($C868,10,15)&gt;$T$861)),0,IF(DATE($C868,10,15)&gt;=$X$861,$AA$861*(1+($U$861)/100)^MAX(0,$C868-$AD$861),IF(DATE($C868,10,15)&gt;=$W$861,$Z$861*(1+($U$861)/100)^MAX(0,$C868-$AC$861),IF(DATE($C868,10,15)&gt;=$V$861,$Y$861*(1+($U$861)/100)^MAX(0,$C868-$AB$861),0)))))</f>
      </c>
      <c r="O868" s="43">
        <f>IF($S$861=0,0,IF(OR(DATE($C868,11,15)&lt;$S$861,AND($T$861&gt;0,DATE($C868,11,15)&gt;$T$861)),0,IF(DATE($C868,11,15)&gt;=$X$861,$AA$861*(1+($U$861)/100)^MAX(0,$C868-$AD$861),IF(DATE($C868,11,15)&gt;=$W$861,$Z$861*(1+($U$861)/100)^MAX(0,$C868-$AC$861),IF(DATE($C868,11,15)&gt;=$V$861,$Y$861*(1+($U$861)/100)^MAX(0,$C868-$AB$861),0)))))</f>
      </c>
      <c r="P868" s="43">
        <f>IF($S$861=0,0,IF(OR(DATE($C868,12,15)&lt;$S$861,AND($T$861&gt;0,DATE($C868,12,15)&gt;$T$861)),0,IF(DATE($C868,12,15)&gt;=$X$861,$AA$861*(1+($U$861)/100)^MAX(0,$C868-$AD$861),IF(DATE($C868,12,15)&gt;=$W$861,$Z$861*(1+($U$861)/100)^MAX(0,$C868-$AC$861),IF(DATE($C868,12,15)&gt;=$V$861,$Y$861*(1+($U$861)/100)^MAX(0,$C868-$AB$861),0)))))</f>
      </c>
      <c r="Q868" s="43">
        <f>SUM($E868:$P868)</f>
      </c>
    </row>
    <row r="869">
      <c r="A869"/>
      <c r="B869">
        <v>28</v>
      </c>
      <c r="C869" s="43">
        <f>Jahr+8</f>
      </c>
      <c r="D869" s="43">
        <f>INDEX(MvObj,28)</f>
      </c>
      <c r="E869" s="43">
        <f>IF($S$861=0,0,IF(OR(DATE($C869,1,15)&lt;$S$861,AND($T$861&gt;0,DATE($C869,1,15)&gt;$T$861)),0,IF(DATE($C869,1,15)&gt;=$X$861,$AA$861*(1+($U$861)/100)^MAX(0,$C869-$AD$861),IF(DATE($C869,1,15)&gt;=$W$861,$Z$861*(1+($U$861)/100)^MAX(0,$C869-$AC$861),IF(DATE($C869,1,15)&gt;=$V$861,$Y$861*(1+($U$861)/100)^MAX(0,$C869-$AB$861),0)))))</f>
      </c>
      <c r="F869" s="43">
        <f>IF($S$861=0,0,IF(OR(DATE($C869,2,15)&lt;$S$861,AND($T$861&gt;0,DATE($C869,2,15)&gt;$T$861)),0,IF(DATE($C869,2,15)&gt;=$X$861,$AA$861*(1+($U$861)/100)^MAX(0,$C869-$AD$861),IF(DATE($C869,2,15)&gt;=$W$861,$Z$861*(1+($U$861)/100)^MAX(0,$C869-$AC$861),IF(DATE($C869,2,15)&gt;=$V$861,$Y$861*(1+($U$861)/100)^MAX(0,$C869-$AB$861),0)))))</f>
      </c>
      <c r="G869" s="43">
        <f>IF($S$861=0,0,IF(OR(DATE($C869,3,15)&lt;$S$861,AND($T$861&gt;0,DATE($C869,3,15)&gt;$T$861)),0,IF(DATE($C869,3,15)&gt;=$X$861,$AA$861*(1+($U$861)/100)^MAX(0,$C869-$AD$861),IF(DATE($C869,3,15)&gt;=$W$861,$Z$861*(1+($U$861)/100)^MAX(0,$C869-$AC$861),IF(DATE($C869,3,15)&gt;=$V$861,$Y$861*(1+($U$861)/100)^MAX(0,$C869-$AB$861),0)))))</f>
      </c>
      <c r="H869" s="43">
        <f>IF($S$861=0,0,IF(OR(DATE($C869,4,15)&lt;$S$861,AND($T$861&gt;0,DATE($C869,4,15)&gt;$T$861)),0,IF(DATE($C869,4,15)&gt;=$X$861,$AA$861*(1+($U$861)/100)^MAX(0,$C869-$AD$861),IF(DATE($C869,4,15)&gt;=$W$861,$Z$861*(1+($U$861)/100)^MAX(0,$C869-$AC$861),IF(DATE($C869,4,15)&gt;=$V$861,$Y$861*(1+($U$861)/100)^MAX(0,$C869-$AB$861),0)))))</f>
      </c>
      <c r="I869" s="43">
        <f>IF($S$861=0,0,IF(OR(DATE($C869,5,15)&lt;$S$861,AND($T$861&gt;0,DATE($C869,5,15)&gt;$T$861)),0,IF(DATE($C869,5,15)&gt;=$X$861,$AA$861*(1+($U$861)/100)^MAX(0,$C869-$AD$861),IF(DATE($C869,5,15)&gt;=$W$861,$Z$861*(1+($U$861)/100)^MAX(0,$C869-$AC$861),IF(DATE($C869,5,15)&gt;=$V$861,$Y$861*(1+($U$861)/100)^MAX(0,$C869-$AB$861),0)))))</f>
      </c>
      <c r="J869" s="43">
        <f>IF($S$861=0,0,IF(OR(DATE($C869,6,15)&lt;$S$861,AND($T$861&gt;0,DATE($C869,6,15)&gt;$T$861)),0,IF(DATE($C869,6,15)&gt;=$X$861,$AA$861*(1+($U$861)/100)^MAX(0,$C869-$AD$861),IF(DATE($C869,6,15)&gt;=$W$861,$Z$861*(1+($U$861)/100)^MAX(0,$C869-$AC$861),IF(DATE($C869,6,15)&gt;=$V$861,$Y$861*(1+($U$861)/100)^MAX(0,$C869-$AB$861),0)))))</f>
      </c>
      <c r="K869" s="43">
        <f>IF($S$861=0,0,IF(OR(DATE($C869,7,15)&lt;$S$861,AND($T$861&gt;0,DATE($C869,7,15)&gt;$T$861)),0,IF(DATE($C869,7,15)&gt;=$X$861,$AA$861*(1+($U$861)/100)^MAX(0,$C869-$AD$861),IF(DATE($C869,7,15)&gt;=$W$861,$Z$861*(1+($U$861)/100)^MAX(0,$C869-$AC$861),IF(DATE($C869,7,15)&gt;=$V$861,$Y$861*(1+($U$861)/100)^MAX(0,$C869-$AB$861),0)))))</f>
      </c>
      <c r="L869" s="43">
        <f>IF($S$861=0,0,IF(OR(DATE($C869,8,15)&lt;$S$861,AND($T$861&gt;0,DATE($C869,8,15)&gt;$T$861)),0,IF(DATE($C869,8,15)&gt;=$X$861,$AA$861*(1+($U$861)/100)^MAX(0,$C869-$AD$861),IF(DATE($C869,8,15)&gt;=$W$861,$Z$861*(1+($U$861)/100)^MAX(0,$C869-$AC$861),IF(DATE($C869,8,15)&gt;=$V$861,$Y$861*(1+($U$861)/100)^MAX(0,$C869-$AB$861),0)))))</f>
      </c>
      <c r="M869" s="43">
        <f>IF($S$861=0,0,IF(OR(DATE($C869,9,15)&lt;$S$861,AND($T$861&gt;0,DATE($C869,9,15)&gt;$T$861)),0,IF(DATE($C869,9,15)&gt;=$X$861,$AA$861*(1+($U$861)/100)^MAX(0,$C869-$AD$861),IF(DATE($C869,9,15)&gt;=$W$861,$Z$861*(1+($U$861)/100)^MAX(0,$C869-$AC$861),IF(DATE($C869,9,15)&gt;=$V$861,$Y$861*(1+($U$861)/100)^MAX(0,$C869-$AB$861),0)))))</f>
      </c>
      <c r="N869" s="43">
        <f>IF($S$861=0,0,IF(OR(DATE($C869,10,15)&lt;$S$861,AND($T$861&gt;0,DATE($C869,10,15)&gt;$T$861)),0,IF(DATE($C869,10,15)&gt;=$X$861,$AA$861*(1+($U$861)/100)^MAX(0,$C869-$AD$861),IF(DATE($C869,10,15)&gt;=$W$861,$Z$861*(1+($U$861)/100)^MAX(0,$C869-$AC$861),IF(DATE($C869,10,15)&gt;=$V$861,$Y$861*(1+($U$861)/100)^MAX(0,$C869-$AB$861),0)))))</f>
      </c>
      <c r="O869" s="43">
        <f>IF($S$861=0,0,IF(OR(DATE($C869,11,15)&lt;$S$861,AND($T$861&gt;0,DATE($C869,11,15)&gt;$T$861)),0,IF(DATE($C869,11,15)&gt;=$X$861,$AA$861*(1+($U$861)/100)^MAX(0,$C869-$AD$861),IF(DATE($C869,11,15)&gt;=$W$861,$Z$861*(1+($U$861)/100)^MAX(0,$C869-$AC$861),IF(DATE($C869,11,15)&gt;=$V$861,$Y$861*(1+($U$861)/100)^MAX(0,$C869-$AB$861),0)))))</f>
      </c>
      <c r="P869" s="43">
        <f>IF($S$861=0,0,IF(OR(DATE($C869,12,15)&lt;$S$861,AND($T$861&gt;0,DATE($C869,12,15)&gt;$T$861)),0,IF(DATE($C869,12,15)&gt;=$X$861,$AA$861*(1+($U$861)/100)^MAX(0,$C869-$AD$861),IF(DATE($C869,12,15)&gt;=$W$861,$Z$861*(1+($U$861)/100)^MAX(0,$C869-$AC$861),IF(DATE($C869,12,15)&gt;=$V$861,$Y$861*(1+($U$861)/100)^MAX(0,$C869-$AB$861),0)))))</f>
      </c>
      <c r="Q869" s="43">
        <f>SUM($E869:$P869)</f>
      </c>
    </row>
    <row r="870">
      <c r="A870"/>
      <c r="B870">
        <v>28</v>
      </c>
      <c r="C870" s="43">
        <f>Jahr+9</f>
      </c>
      <c r="D870" s="43">
        <f>INDEX(MvObj,28)</f>
      </c>
      <c r="E870" s="43">
        <f>IF($S$861=0,0,IF(OR(DATE($C870,1,15)&lt;$S$861,AND($T$861&gt;0,DATE($C870,1,15)&gt;$T$861)),0,IF(DATE($C870,1,15)&gt;=$X$861,$AA$861*(1+($U$861)/100)^MAX(0,$C870-$AD$861),IF(DATE($C870,1,15)&gt;=$W$861,$Z$861*(1+($U$861)/100)^MAX(0,$C870-$AC$861),IF(DATE($C870,1,15)&gt;=$V$861,$Y$861*(1+($U$861)/100)^MAX(0,$C870-$AB$861),0)))))</f>
      </c>
      <c r="F870" s="43">
        <f>IF($S$861=0,0,IF(OR(DATE($C870,2,15)&lt;$S$861,AND($T$861&gt;0,DATE($C870,2,15)&gt;$T$861)),0,IF(DATE($C870,2,15)&gt;=$X$861,$AA$861*(1+($U$861)/100)^MAX(0,$C870-$AD$861),IF(DATE($C870,2,15)&gt;=$W$861,$Z$861*(1+($U$861)/100)^MAX(0,$C870-$AC$861),IF(DATE($C870,2,15)&gt;=$V$861,$Y$861*(1+($U$861)/100)^MAX(0,$C870-$AB$861),0)))))</f>
      </c>
      <c r="G870" s="43">
        <f>IF($S$861=0,0,IF(OR(DATE($C870,3,15)&lt;$S$861,AND($T$861&gt;0,DATE($C870,3,15)&gt;$T$861)),0,IF(DATE($C870,3,15)&gt;=$X$861,$AA$861*(1+($U$861)/100)^MAX(0,$C870-$AD$861),IF(DATE($C870,3,15)&gt;=$W$861,$Z$861*(1+($U$861)/100)^MAX(0,$C870-$AC$861),IF(DATE($C870,3,15)&gt;=$V$861,$Y$861*(1+($U$861)/100)^MAX(0,$C870-$AB$861),0)))))</f>
      </c>
      <c r="H870" s="43">
        <f>IF($S$861=0,0,IF(OR(DATE($C870,4,15)&lt;$S$861,AND($T$861&gt;0,DATE($C870,4,15)&gt;$T$861)),0,IF(DATE($C870,4,15)&gt;=$X$861,$AA$861*(1+($U$861)/100)^MAX(0,$C870-$AD$861),IF(DATE($C870,4,15)&gt;=$W$861,$Z$861*(1+($U$861)/100)^MAX(0,$C870-$AC$861),IF(DATE($C870,4,15)&gt;=$V$861,$Y$861*(1+($U$861)/100)^MAX(0,$C870-$AB$861),0)))))</f>
      </c>
      <c r="I870" s="43">
        <f>IF($S$861=0,0,IF(OR(DATE($C870,5,15)&lt;$S$861,AND($T$861&gt;0,DATE($C870,5,15)&gt;$T$861)),0,IF(DATE($C870,5,15)&gt;=$X$861,$AA$861*(1+($U$861)/100)^MAX(0,$C870-$AD$861),IF(DATE($C870,5,15)&gt;=$W$861,$Z$861*(1+($U$861)/100)^MAX(0,$C870-$AC$861),IF(DATE($C870,5,15)&gt;=$V$861,$Y$861*(1+($U$861)/100)^MAX(0,$C870-$AB$861),0)))))</f>
      </c>
      <c r="J870" s="43">
        <f>IF($S$861=0,0,IF(OR(DATE($C870,6,15)&lt;$S$861,AND($T$861&gt;0,DATE($C870,6,15)&gt;$T$861)),0,IF(DATE($C870,6,15)&gt;=$X$861,$AA$861*(1+($U$861)/100)^MAX(0,$C870-$AD$861),IF(DATE($C870,6,15)&gt;=$W$861,$Z$861*(1+($U$861)/100)^MAX(0,$C870-$AC$861),IF(DATE($C870,6,15)&gt;=$V$861,$Y$861*(1+($U$861)/100)^MAX(0,$C870-$AB$861),0)))))</f>
      </c>
      <c r="K870" s="43">
        <f>IF($S$861=0,0,IF(OR(DATE($C870,7,15)&lt;$S$861,AND($T$861&gt;0,DATE($C870,7,15)&gt;$T$861)),0,IF(DATE($C870,7,15)&gt;=$X$861,$AA$861*(1+($U$861)/100)^MAX(0,$C870-$AD$861),IF(DATE($C870,7,15)&gt;=$W$861,$Z$861*(1+($U$861)/100)^MAX(0,$C870-$AC$861),IF(DATE($C870,7,15)&gt;=$V$861,$Y$861*(1+($U$861)/100)^MAX(0,$C870-$AB$861),0)))))</f>
      </c>
      <c r="L870" s="43">
        <f>IF($S$861=0,0,IF(OR(DATE($C870,8,15)&lt;$S$861,AND($T$861&gt;0,DATE($C870,8,15)&gt;$T$861)),0,IF(DATE($C870,8,15)&gt;=$X$861,$AA$861*(1+($U$861)/100)^MAX(0,$C870-$AD$861),IF(DATE($C870,8,15)&gt;=$W$861,$Z$861*(1+($U$861)/100)^MAX(0,$C870-$AC$861),IF(DATE($C870,8,15)&gt;=$V$861,$Y$861*(1+($U$861)/100)^MAX(0,$C870-$AB$861),0)))))</f>
      </c>
      <c r="M870" s="43">
        <f>IF($S$861=0,0,IF(OR(DATE($C870,9,15)&lt;$S$861,AND($T$861&gt;0,DATE($C870,9,15)&gt;$T$861)),0,IF(DATE($C870,9,15)&gt;=$X$861,$AA$861*(1+($U$861)/100)^MAX(0,$C870-$AD$861),IF(DATE($C870,9,15)&gt;=$W$861,$Z$861*(1+($U$861)/100)^MAX(0,$C870-$AC$861),IF(DATE($C870,9,15)&gt;=$V$861,$Y$861*(1+($U$861)/100)^MAX(0,$C870-$AB$861),0)))))</f>
      </c>
      <c r="N870" s="43">
        <f>IF($S$861=0,0,IF(OR(DATE($C870,10,15)&lt;$S$861,AND($T$861&gt;0,DATE($C870,10,15)&gt;$T$861)),0,IF(DATE($C870,10,15)&gt;=$X$861,$AA$861*(1+($U$861)/100)^MAX(0,$C870-$AD$861),IF(DATE($C870,10,15)&gt;=$W$861,$Z$861*(1+($U$861)/100)^MAX(0,$C870-$AC$861),IF(DATE($C870,10,15)&gt;=$V$861,$Y$861*(1+($U$861)/100)^MAX(0,$C870-$AB$861),0)))))</f>
      </c>
      <c r="O870" s="43">
        <f>IF($S$861=0,0,IF(OR(DATE($C870,11,15)&lt;$S$861,AND($T$861&gt;0,DATE($C870,11,15)&gt;$T$861)),0,IF(DATE($C870,11,15)&gt;=$X$861,$AA$861*(1+($U$861)/100)^MAX(0,$C870-$AD$861),IF(DATE($C870,11,15)&gt;=$W$861,$Z$861*(1+($U$861)/100)^MAX(0,$C870-$AC$861),IF(DATE($C870,11,15)&gt;=$V$861,$Y$861*(1+($U$861)/100)^MAX(0,$C870-$AB$861),0)))))</f>
      </c>
      <c r="P870" s="43">
        <f>IF($S$861=0,0,IF(OR(DATE($C870,12,15)&lt;$S$861,AND($T$861&gt;0,DATE($C870,12,15)&gt;$T$861)),0,IF(DATE($C870,12,15)&gt;=$X$861,$AA$861*(1+($U$861)/100)^MAX(0,$C870-$AD$861),IF(DATE($C870,12,15)&gt;=$W$861,$Z$861*(1+($U$861)/100)^MAX(0,$C870-$AC$861),IF(DATE($C870,12,15)&gt;=$V$861,$Y$861*(1+($U$861)/100)^MAX(0,$C870-$AB$861),0)))))</f>
      </c>
      <c r="Q870" s="43">
        <f>SUM($E870:$P870)</f>
      </c>
    </row>
    <row r="871">
      <c r="A871"/>
      <c r="B871">
        <v>28</v>
      </c>
      <c r="C871" s="43">
        <f>Jahr+10</f>
      </c>
      <c r="D871" s="43">
        <f>INDEX(MvObj,28)</f>
      </c>
      <c r="E871" s="43">
        <f>IF($S$861=0,0,IF(OR(DATE($C871,1,15)&lt;$S$861,AND($T$861&gt;0,DATE($C871,1,15)&gt;$T$861)),0,IF(DATE($C871,1,15)&gt;=$X$861,$AA$861*(1+($U$861)/100)^MAX(0,$C871-$AD$861),IF(DATE($C871,1,15)&gt;=$W$861,$Z$861*(1+($U$861)/100)^MAX(0,$C871-$AC$861),IF(DATE($C871,1,15)&gt;=$V$861,$Y$861*(1+($U$861)/100)^MAX(0,$C871-$AB$861),0)))))</f>
      </c>
      <c r="F871" s="43">
        <f>IF($S$861=0,0,IF(OR(DATE($C871,2,15)&lt;$S$861,AND($T$861&gt;0,DATE($C871,2,15)&gt;$T$861)),0,IF(DATE($C871,2,15)&gt;=$X$861,$AA$861*(1+($U$861)/100)^MAX(0,$C871-$AD$861),IF(DATE($C871,2,15)&gt;=$W$861,$Z$861*(1+($U$861)/100)^MAX(0,$C871-$AC$861),IF(DATE($C871,2,15)&gt;=$V$861,$Y$861*(1+($U$861)/100)^MAX(0,$C871-$AB$861),0)))))</f>
      </c>
      <c r="G871" s="43">
        <f>IF($S$861=0,0,IF(OR(DATE($C871,3,15)&lt;$S$861,AND($T$861&gt;0,DATE($C871,3,15)&gt;$T$861)),0,IF(DATE($C871,3,15)&gt;=$X$861,$AA$861*(1+($U$861)/100)^MAX(0,$C871-$AD$861),IF(DATE($C871,3,15)&gt;=$W$861,$Z$861*(1+($U$861)/100)^MAX(0,$C871-$AC$861),IF(DATE($C871,3,15)&gt;=$V$861,$Y$861*(1+($U$861)/100)^MAX(0,$C871-$AB$861),0)))))</f>
      </c>
      <c r="H871" s="43">
        <f>IF($S$861=0,0,IF(OR(DATE($C871,4,15)&lt;$S$861,AND($T$861&gt;0,DATE($C871,4,15)&gt;$T$861)),0,IF(DATE($C871,4,15)&gt;=$X$861,$AA$861*(1+($U$861)/100)^MAX(0,$C871-$AD$861),IF(DATE($C871,4,15)&gt;=$W$861,$Z$861*(1+($U$861)/100)^MAX(0,$C871-$AC$861),IF(DATE($C871,4,15)&gt;=$V$861,$Y$861*(1+($U$861)/100)^MAX(0,$C871-$AB$861),0)))))</f>
      </c>
      <c r="I871" s="43">
        <f>IF($S$861=0,0,IF(OR(DATE($C871,5,15)&lt;$S$861,AND($T$861&gt;0,DATE($C871,5,15)&gt;$T$861)),0,IF(DATE($C871,5,15)&gt;=$X$861,$AA$861*(1+($U$861)/100)^MAX(0,$C871-$AD$861),IF(DATE($C871,5,15)&gt;=$W$861,$Z$861*(1+($U$861)/100)^MAX(0,$C871-$AC$861),IF(DATE($C871,5,15)&gt;=$V$861,$Y$861*(1+($U$861)/100)^MAX(0,$C871-$AB$861),0)))))</f>
      </c>
      <c r="J871" s="43">
        <f>IF($S$861=0,0,IF(OR(DATE($C871,6,15)&lt;$S$861,AND($T$861&gt;0,DATE($C871,6,15)&gt;$T$861)),0,IF(DATE($C871,6,15)&gt;=$X$861,$AA$861*(1+($U$861)/100)^MAX(0,$C871-$AD$861),IF(DATE($C871,6,15)&gt;=$W$861,$Z$861*(1+($U$861)/100)^MAX(0,$C871-$AC$861),IF(DATE($C871,6,15)&gt;=$V$861,$Y$861*(1+($U$861)/100)^MAX(0,$C871-$AB$861),0)))))</f>
      </c>
      <c r="K871" s="43">
        <f>IF($S$861=0,0,IF(OR(DATE($C871,7,15)&lt;$S$861,AND($T$861&gt;0,DATE($C871,7,15)&gt;$T$861)),0,IF(DATE($C871,7,15)&gt;=$X$861,$AA$861*(1+($U$861)/100)^MAX(0,$C871-$AD$861),IF(DATE($C871,7,15)&gt;=$W$861,$Z$861*(1+($U$861)/100)^MAX(0,$C871-$AC$861),IF(DATE($C871,7,15)&gt;=$V$861,$Y$861*(1+($U$861)/100)^MAX(0,$C871-$AB$861),0)))))</f>
      </c>
      <c r="L871" s="43">
        <f>IF($S$861=0,0,IF(OR(DATE($C871,8,15)&lt;$S$861,AND($T$861&gt;0,DATE($C871,8,15)&gt;$T$861)),0,IF(DATE($C871,8,15)&gt;=$X$861,$AA$861*(1+($U$861)/100)^MAX(0,$C871-$AD$861),IF(DATE($C871,8,15)&gt;=$W$861,$Z$861*(1+($U$861)/100)^MAX(0,$C871-$AC$861),IF(DATE($C871,8,15)&gt;=$V$861,$Y$861*(1+($U$861)/100)^MAX(0,$C871-$AB$861),0)))))</f>
      </c>
      <c r="M871" s="43">
        <f>IF($S$861=0,0,IF(OR(DATE($C871,9,15)&lt;$S$861,AND($T$861&gt;0,DATE($C871,9,15)&gt;$T$861)),0,IF(DATE($C871,9,15)&gt;=$X$861,$AA$861*(1+($U$861)/100)^MAX(0,$C871-$AD$861),IF(DATE($C871,9,15)&gt;=$W$861,$Z$861*(1+($U$861)/100)^MAX(0,$C871-$AC$861),IF(DATE($C871,9,15)&gt;=$V$861,$Y$861*(1+($U$861)/100)^MAX(0,$C871-$AB$861),0)))))</f>
      </c>
      <c r="N871" s="43">
        <f>IF($S$861=0,0,IF(OR(DATE($C871,10,15)&lt;$S$861,AND($T$861&gt;0,DATE($C871,10,15)&gt;$T$861)),0,IF(DATE($C871,10,15)&gt;=$X$861,$AA$861*(1+($U$861)/100)^MAX(0,$C871-$AD$861),IF(DATE($C871,10,15)&gt;=$W$861,$Z$861*(1+($U$861)/100)^MAX(0,$C871-$AC$861),IF(DATE($C871,10,15)&gt;=$V$861,$Y$861*(1+($U$861)/100)^MAX(0,$C871-$AB$861),0)))))</f>
      </c>
      <c r="O871" s="43">
        <f>IF($S$861=0,0,IF(OR(DATE($C871,11,15)&lt;$S$861,AND($T$861&gt;0,DATE($C871,11,15)&gt;$T$861)),0,IF(DATE($C871,11,15)&gt;=$X$861,$AA$861*(1+($U$861)/100)^MAX(0,$C871-$AD$861),IF(DATE($C871,11,15)&gt;=$W$861,$Z$861*(1+($U$861)/100)^MAX(0,$C871-$AC$861),IF(DATE($C871,11,15)&gt;=$V$861,$Y$861*(1+($U$861)/100)^MAX(0,$C871-$AB$861),0)))))</f>
      </c>
      <c r="P871" s="43">
        <f>IF($S$861=0,0,IF(OR(DATE($C871,12,15)&lt;$S$861,AND($T$861&gt;0,DATE($C871,12,15)&gt;$T$861)),0,IF(DATE($C871,12,15)&gt;=$X$861,$AA$861*(1+($U$861)/100)^MAX(0,$C871-$AD$861),IF(DATE($C871,12,15)&gt;=$W$861,$Z$861*(1+($U$861)/100)^MAX(0,$C871-$AC$861),IF(DATE($C871,12,15)&gt;=$V$861,$Y$861*(1+($U$861)/100)^MAX(0,$C871-$AB$861),0)))))</f>
      </c>
      <c r="Q871" s="43">
        <f>SUM($E871:$P871)</f>
      </c>
    </row>
    <row r="872">
      <c r="A872"/>
      <c r="B872">
        <v>28</v>
      </c>
      <c r="C872" s="43">
        <f>Jahr+11</f>
      </c>
      <c r="D872" s="43">
        <f>INDEX(MvObj,28)</f>
      </c>
      <c r="E872" s="43">
        <f>IF($S$861=0,0,IF(OR(DATE($C872,1,15)&lt;$S$861,AND($T$861&gt;0,DATE($C872,1,15)&gt;$T$861)),0,IF(DATE($C872,1,15)&gt;=$X$861,$AA$861*(1+($U$861)/100)^MAX(0,$C872-$AD$861),IF(DATE($C872,1,15)&gt;=$W$861,$Z$861*(1+($U$861)/100)^MAX(0,$C872-$AC$861),IF(DATE($C872,1,15)&gt;=$V$861,$Y$861*(1+($U$861)/100)^MAX(0,$C872-$AB$861),0)))))</f>
      </c>
      <c r="F872" s="43">
        <f>IF($S$861=0,0,IF(OR(DATE($C872,2,15)&lt;$S$861,AND($T$861&gt;0,DATE($C872,2,15)&gt;$T$861)),0,IF(DATE($C872,2,15)&gt;=$X$861,$AA$861*(1+($U$861)/100)^MAX(0,$C872-$AD$861),IF(DATE($C872,2,15)&gt;=$W$861,$Z$861*(1+($U$861)/100)^MAX(0,$C872-$AC$861),IF(DATE($C872,2,15)&gt;=$V$861,$Y$861*(1+($U$861)/100)^MAX(0,$C872-$AB$861),0)))))</f>
      </c>
      <c r="G872" s="43">
        <f>IF($S$861=0,0,IF(OR(DATE($C872,3,15)&lt;$S$861,AND($T$861&gt;0,DATE($C872,3,15)&gt;$T$861)),0,IF(DATE($C872,3,15)&gt;=$X$861,$AA$861*(1+($U$861)/100)^MAX(0,$C872-$AD$861),IF(DATE($C872,3,15)&gt;=$W$861,$Z$861*(1+($U$861)/100)^MAX(0,$C872-$AC$861),IF(DATE($C872,3,15)&gt;=$V$861,$Y$861*(1+($U$861)/100)^MAX(0,$C872-$AB$861),0)))))</f>
      </c>
      <c r="H872" s="43">
        <f>IF($S$861=0,0,IF(OR(DATE($C872,4,15)&lt;$S$861,AND($T$861&gt;0,DATE($C872,4,15)&gt;$T$861)),0,IF(DATE($C872,4,15)&gt;=$X$861,$AA$861*(1+($U$861)/100)^MAX(0,$C872-$AD$861),IF(DATE($C872,4,15)&gt;=$W$861,$Z$861*(1+($U$861)/100)^MAX(0,$C872-$AC$861),IF(DATE($C872,4,15)&gt;=$V$861,$Y$861*(1+($U$861)/100)^MAX(0,$C872-$AB$861),0)))))</f>
      </c>
      <c r="I872" s="43">
        <f>IF($S$861=0,0,IF(OR(DATE($C872,5,15)&lt;$S$861,AND($T$861&gt;0,DATE($C872,5,15)&gt;$T$861)),0,IF(DATE($C872,5,15)&gt;=$X$861,$AA$861*(1+($U$861)/100)^MAX(0,$C872-$AD$861),IF(DATE($C872,5,15)&gt;=$W$861,$Z$861*(1+($U$861)/100)^MAX(0,$C872-$AC$861),IF(DATE($C872,5,15)&gt;=$V$861,$Y$861*(1+($U$861)/100)^MAX(0,$C872-$AB$861),0)))))</f>
      </c>
      <c r="J872" s="43">
        <f>IF($S$861=0,0,IF(OR(DATE($C872,6,15)&lt;$S$861,AND($T$861&gt;0,DATE($C872,6,15)&gt;$T$861)),0,IF(DATE($C872,6,15)&gt;=$X$861,$AA$861*(1+($U$861)/100)^MAX(0,$C872-$AD$861),IF(DATE($C872,6,15)&gt;=$W$861,$Z$861*(1+($U$861)/100)^MAX(0,$C872-$AC$861),IF(DATE($C872,6,15)&gt;=$V$861,$Y$861*(1+($U$861)/100)^MAX(0,$C872-$AB$861),0)))))</f>
      </c>
      <c r="K872" s="43">
        <f>IF($S$861=0,0,IF(OR(DATE($C872,7,15)&lt;$S$861,AND($T$861&gt;0,DATE($C872,7,15)&gt;$T$861)),0,IF(DATE($C872,7,15)&gt;=$X$861,$AA$861*(1+($U$861)/100)^MAX(0,$C872-$AD$861),IF(DATE($C872,7,15)&gt;=$W$861,$Z$861*(1+($U$861)/100)^MAX(0,$C872-$AC$861),IF(DATE($C872,7,15)&gt;=$V$861,$Y$861*(1+($U$861)/100)^MAX(0,$C872-$AB$861),0)))))</f>
      </c>
      <c r="L872" s="43">
        <f>IF($S$861=0,0,IF(OR(DATE($C872,8,15)&lt;$S$861,AND($T$861&gt;0,DATE($C872,8,15)&gt;$T$861)),0,IF(DATE($C872,8,15)&gt;=$X$861,$AA$861*(1+($U$861)/100)^MAX(0,$C872-$AD$861),IF(DATE($C872,8,15)&gt;=$W$861,$Z$861*(1+($U$861)/100)^MAX(0,$C872-$AC$861),IF(DATE($C872,8,15)&gt;=$V$861,$Y$861*(1+($U$861)/100)^MAX(0,$C872-$AB$861),0)))))</f>
      </c>
      <c r="M872" s="43">
        <f>IF($S$861=0,0,IF(OR(DATE($C872,9,15)&lt;$S$861,AND($T$861&gt;0,DATE($C872,9,15)&gt;$T$861)),0,IF(DATE($C872,9,15)&gt;=$X$861,$AA$861*(1+($U$861)/100)^MAX(0,$C872-$AD$861),IF(DATE($C872,9,15)&gt;=$W$861,$Z$861*(1+($U$861)/100)^MAX(0,$C872-$AC$861),IF(DATE($C872,9,15)&gt;=$V$861,$Y$861*(1+($U$861)/100)^MAX(0,$C872-$AB$861),0)))))</f>
      </c>
      <c r="N872" s="43">
        <f>IF($S$861=0,0,IF(OR(DATE($C872,10,15)&lt;$S$861,AND($T$861&gt;0,DATE($C872,10,15)&gt;$T$861)),0,IF(DATE($C872,10,15)&gt;=$X$861,$AA$861*(1+($U$861)/100)^MAX(0,$C872-$AD$861),IF(DATE($C872,10,15)&gt;=$W$861,$Z$861*(1+($U$861)/100)^MAX(0,$C872-$AC$861),IF(DATE($C872,10,15)&gt;=$V$861,$Y$861*(1+($U$861)/100)^MAX(0,$C872-$AB$861),0)))))</f>
      </c>
      <c r="O872" s="43">
        <f>IF($S$861=0,0,IF(OR(DATE($C872,11,15)&lt;$S$861,AND($T$861&gt;0,DATE($C872,11,15)&gt;$T$861)),0,IF(DATE($C872,11,15)&gt;=$X$861,$AA$861*(1+($U$861)/100)^MAX(0,$C872-$AD$861),IF(DATE($C872,11,15)&gt;=$W$861,$Z$861*(1+($U$861)/100)^MAX(0,$C872-$AC$861),IF(DATE($C872,11,15)&gt;=$V$861,$Y$861*(1+($U$861)/100)^MAX(0,$C872-$AB$861),0)))))</f>
      </c>
      <c r="P872" s="43">
        <f>IF($S$861=0,0,IF(OR(DATE($C872,12,15)&lt;$S$861,AND($T$861&gt;0,DATE($C872,12,15)&gt;$T$861)),0,IF(DATE($C872,12,15)&gt;=$X$861,$AA$861*(1+($U$861)/100)^MAX(0,$C872-$AD$861),IF(DATE($C872,12,15)&gt;=$W$861,$Z$861*(1+($U$861)/100)^MAX(0,$C872-$AC$861),IF(DATE($C872,12,15)&gt;=$V$861,$Y$861*(1+($U$861)/100)^MAX(0,$C872-$AB$861),0)))))</f>
      </c>
      <c r="Q872" s="43">
        <f>SUM($E872:$P872)</f>
      </c>
    </row>
    <row r="873">
      <c r="A873"/>
      <c r="B873">
        <v>28</v>
      </c>
      <c r="C873" s="43">
        <f>Jahr+12</f>
      </c>
      <c r="D873" s="43">
        <f>INDEX(MvObj,28)</f>
      </c>
      <c r="E873" s="43">
        <f>IF($S$861=0,0,IF(OR(DATE($C873,1,15)&lt;$S$861,AND($T$861&gt;0,DATE($C873,1,15)&gt;$T$861)),0,IF(DATE($C873,1,15)&gt;=$X$861,$AA$861*(1+($U$861)/100)^MAX(0,$C873-$AD$861),IF(DATE($C873,1,15)&gt;=$W$861,$Z$861*(1+($U$861)/100)^MAX(0,$C873-$AC$861),IF(DATE($C873,1,15)&gt;=$V$861,$Y$861*(1+($U$861)/100)^MAX(0,$C873-$AB$861),0)))))</f>
      </c>
      <c r="F873" s="43">
        <f>IF($S$861=0,0,IF(OR(DATE($C873,2,15)&lt;$S$861,AND($T$861&gt;0,DATE($C873,2,15)&gt;$T$861)),0,IF(DATE($C873,2,15)&gt;=$X$861,$AA$861*(1+($U$861)/100)^MAX(0,$C873-$AD$861),IF(DATE($C873,2,15)&gt;=$W$861,$Z$861*(1+($U$861)/100)^MAX(0,$C873-$AC$861),IF(DATE($C873,2,15)&gt;=$V$861,$Y$861*(1+($U$861)/100)^MAX(0,$C873-$AB$861),0)))))</f>
      </c>
      <c r="G873" s="43">
        <f>IF($S$861=0,0,IF(OR(DATE($C873,3,15)&lt;$S$861,AND($T$861&gt;0,DATE($C873,3,15)&gt;$T$861)),0,IF(DATE($C873,3,15)&gt;=$X$861,$AA$861*(1+($U$861)/100)^MAX(0,$C873-$AD$861),IF(DATE($C873,3,15)&gt;=$W$861,$Z$861*(1+($U$861)/100)^MAX(0,$C873-$AC$861),IF(DATE($C873,3,15)&gt;=$V$861,$Y$861*(1+($U$861)/100)^MAX(0,$C873-$AB$861),0)))))</f>
      </c>
      <c r="H873" s="43">
        <f>IF($S$861=0,0,IF(OR(DATE($C873,4,15)&lt;$S$861,AND($T$861&gt;0,DATE($C873,4,15)&gt;$T$861)),0,IF(DATE($C873,4,15)&gt;=$X$861,$AA$861*(1+($U$861)/100)^MAX(0,$C873-$AD$861),IF(DATE($C873,4,15)&gt;=$W$861,$Z$861*(1+($U$861)/100)^MAX(0,$C873-$AC$861),IF(DATE($C873,4,15)&gt;=$V$861,$Y$861*(1+($U$861)/100)^MAX(0,$C873-$AB$861),0)))))</f>
      </c>
      <c r="I873" s="43">
        <f>IF($S$861=0,0,IF(OR(DATE($C873,5,15)&lt;$S$861,AND($T$861&gt;0,DATE($C873,5,15)&gt;$T$861)),0,IF(DATE($C873,5,15)&gt;=$X$861,$AA$861*(1+($U$861)/100)^MAX(0,$C873-$AD$861),IF(DATE($C873,5,15)&gt;=$W$861,$Z$861*(1+($U$861)/100)^MAX(0,$C873-$AC$861),IF(DATE($C873,5,15)&gt;=$V$861,$Y$861*(1+($U$861)/100)^MAX(0,$C873-$AB$861),0)))))</f>
      </c>
      <c r="J873" s="43">
        <f>IF($S$861=0,0,IF(OR(DATE($C873,6,15)&lt;$S$861,AND($T$861&gt;0,DATE($C873,6,15)&gt;$T$861)),0,IF(DATE($C873,6,15)&gt;=$X$861,$AA$861*(1+($U$861)/100)^MAX(0,$C873-$AD$861),IF(DATE($C873,6,15)&gt;=$W$861,$Z$861*(1+($U$861)/100)^MAX(0,$C873-$AC$861),IF(DATE($C873,6,15)&gt;=$V$861,$Y$861*(1+($U$861)/100)^MAX(0,$C873-$AB$861),0)))))</f>
      </c>
      <c r="K873" s="43">
        <f>IF($S$861=0,0,IF(OR(DATE($C873,7,15)&lt;$S$861,AND($T$861&gt;0,DATE($C873,7,15)&gt;$T$861)),0,IF(DATE($C873,7,15)&gt;=$X$861,$AA$861*(1+($U$861)/100)^MAX(0,$C873-$AD$861),IF(DATE($C873,7,15)&gt;=$W$861,$Z$861*(1+($U$861)/100)^MAX(0,$C873-$AC$861),IF(DATE($C873,7,15)&gt;=$V$861,$Y$861*(1+($U$861)/100)^MAX(0,$C873-$AB$861),0)))))</f>
      </c>
      <c r="L873" s="43">
        <f>IF($S$861=0,0,IF(OR(DATE($C873,8,15)&lt;$S$861,AND($T$861&gt;0,DATE($C873,8,15)&gt;$T$861)),0,IF(DATE($C873,8,15)&gt;=$X$861,$AA$861*(1+($U$861)/100)^MAX(0,$C873-$AD$861),IF(DATE($C873,8,15)&gt;=$W$861,$Z$861*(1+($U$861)/100)^MAX(0,$C873-$AC$861),IF(DATE($C873,8,15)&gt;=$V$861,$Y$861*(1+($U$861)/100)^MAX(0,$C873-$AB$861),0)))))</f>
      </c>
      <c r="M873" s="43">
        <f>IF($S$861=0,0,IF(OR(DATE($C873,9,15)&lt;$S$861,AND($T$861&gt;0,DATE($C873,9,15)&gt;$T$861)),0,IF(DATE($C873,9,15)&gt;=$X$861,$AA$861*(1+($U$861)/100)^MAX(0,$C873-$AD$861),IF(DATE($C873,9,15)&gt;=$W$861,$Z$861*(1+($U$861)/100)^MAX(0,$C873-$AC$861),IF(DATE($C873,9,15)&gt;=$V$861,$Y$861*(1+($U$861)/100)^MAX(0,$C873-$AB$861),0)))))</f>
      </c>
      <c r="N873" s="43">
        <f>IF($S$861=0,0,IF(OR(DATE($C873,10,15)&lt;$S$861,AND($T$861&gt;0,DATE($C873,10,15)&gt;$T$861)),0,IF(DATE($C873,10,15)&gt;=$X$861,$AA$861*(1+($U$861)/100)^MAX(0,$C873-$AD$861),IF(DATE($C873,10,15)&gt;=$W$861,$Z$861*(1+($U$861)/100)^MAX(0,$C873-$AC$861),IF(DATE($C873,10,15)&gt;=$V$861,$Y$861*(1+($U$861)/100)^MAX(0,$C873-$AB$861),0)))))</f>
      </c>
      <c r="O873" s="43">
        <f>IF($S$861=0,0,IF(OR(DATE($C873,11,15)&lt;$S$861,AND($T$861&gt;0,DATE($C873,11,15)&gt;$T$861)),0,IF(DATE($C873,11,15)&gt;=$X$861,$AA$861*(1+($U$861)/100)^MAX(0,$C873-$AD$861),IF(DATE($C873,11,15)&gt;=$W$861,$Z$861*(1+($U$861)/100)^MAX(0,$C873-$AC$861),IF(DATE($C873,11,15)&gt;=$V$861,$Y$861*(1+($U$861)/100)^MAX(0,$C873-$AB$861),0)))))</f>
      </c>
      <c r="P873" s="43">
        <f>IF($S$861=0,0,IF(OR(DATE($C873,12,15)&lt;$S$861,AND($T$861&gt;0,DATE($C873,12,15)&gt;$T$861)),0,IF(DATE($C873,12,15)&gt;=$X$861,$AA$861*(1+($U$861)/100)^MAX(0,$C873-$AD$861),IF(DATE($C873,12,15)&gt;=$W$861,$Z$861*(1+($U$861)/100)^MAX(0,$C873-$AC$861),IF(DATE($C873,12,15)&gt;=$V$861,$Y$861*(1+($U$861)/100)^MAX(0,$C873-$AB$861),0)))))</f>
      </c>
      <c r="Q873" s="43">
        <f>SUM($E873:$P873)</f>
      </c>
    </row>
    <row r="874">
      <c r="A874"/>
      <c r="B874">
        <v>28</v>
      </c>
      <c r="C874" s="43">
        <f>Jahr+13</f>
      </c>
      <c r="D874" s="43">
        <f>INDEX(MvObj,28)</f>
      </c>
      <c r="E874" s="43">
        <f>IF($S$861=0,0,IF(OR(DATE($C874,1,15)&lt;$S$861,AND($T$861&gt;0,DATE($C874,1,15)&gt;$T$861)),0,IF(DATE($C874,1,15)&gt;=$X$861,$AA$861*(1+($U$861)/100)^MAX(0,$C874-$AD$861),IF(DATE($C874,1,15)&gt;=$W$861,$Z$861*(1+($U$861)/100)^MAX(0,$C874-$AC$861),IF(DATE($C874,1,15)&gt;=$V$861,$Y$861*(1+($U$861)/100)^MAX(0,$C874-$AB$861),0)))))</f>
      </c>
      <c r="F874" s="43">
        <f>IF($S$861=0,0,IF(OR(DATE($C874,2,15)&lt;$S$861,AND($T$861&gt;0,DATE($C874,2,15)&gt;$T$861)),0,IF(DATE($C874,2,15)&gt;=$X$861,$AA$861*(1+($U$861)/100)^MAX(0,$C874-$AD$861),IF(DATE($C874,2,15)&gt;=$W$861,$Z$861*(1+($U$861)/100)^MAX(0,$C874-$AC$861),IF(DATE($C874,2,15)&gt;=$V$861,$Y$861*(1+($U$861)/100)^MAX(0,$C874-$AB$861),0)))))</f>
      </c>
      <c r="G874" s="43">
        <f>IF($S$861=0,0,IF(OR(DATE($C874,3,15)&lt;$S$861,AND($T$861&gt;0,DATE($C874,3,15)&gt;$T$861)),0,IF(DATE($C874,3,15)&gt;=$X$861,$AA$861*(1+($U$861)/100)^MAX(0,$C874-$AD$861),IF(DATE($C874,3,15)&gt;=$W$861,$Z$861*(1+($U$861)/100)^MAX(0,$C874-$AC$861),IF(DATE($C874,3,15)&gt;=$V$861,$Y$861*(1+($U$861)/100)^MAX(0,$C874-$AB$861),0)))))</f>
      </c>
      <c r="H874" s="43">
        <f>IF($S$861=0,0,IF(OR(DATE($C874,4,15)&lt;$S$861,AND($T$861&gt;0,DATE($C874,4,15)&gt;$T$861)),0,IF(DATE($C874,4,15)&gt;=$X$861,$AA$861*(1+($U$861)/100)^MAX(0,$C874-$AD$861),IF(DATE($C874,4,15)&gt;=$W$861,$Z$861*(1+($U$861)/100)^MAX(0,$C874-$AC$861),IF(DATE($C874,4,15)&gt;=$V$861,$Y$861*(1+($U$861)/100)^MAX(0,$C874-$AB$861),0)))))</f>
      </c>
      <c r="I874" s="43">
        <f>IF($S$861=0,0,IF(OR(DATE($C874,5,15)&lt;$S$861,AND($T$861&gt;0,DATE($C874,5,15)&gt;$T$861)),0,IF(DATE($C874,5,15)&gt;=$X$861,$AA$861*(1+($U$861)/100)^MAX(0,$C874-$AD$861),IF(DATE($C874,5,15)&gt;=$W$861,$Z$861*(1+($U$861)/100)^MAX(0,$C874-$AC$861),IF(DATE($C874,5,15)&gt;=$V$861,$Y$861*(1+($U$861)/100)^MAX(0,$C874-$AB$861),0)))))</f>
      </c>
      <c r="J874" s="43">
        <f>IF($S$861=0,0,IF(OR(DATE($C874,6,15)&lt;$S$861,AND($T$861&gt;0,DATE($C874,6,15)&gt;$T$861)),0,IF(DATE($C874,6,15)&gt;=$X$861,$AA$861*(1+($U$861)/100)^MAX(0,$C874-$AD$861),IF(DATE($C874,6,15)&gt;=$W$861,$Z$861*(1+($U$861)/100)^MAX(0,$C874-$AC$861),IF(DATE($C874,6,15)&gt;=$V$861,$Y$861*(1+($U$861)/100)^MAX(0,$C874-$AB$861),0)))))</f>
      </c>
      <c r="K874" s="43">
        <f>IF($S$861=0,0,IF(OR(DATE($C874,7,15)&lt;$S$861,AND($T$861&gt;0,DATE($C874,7,15)&gt;$T$861)),0,IF(DATE($C874,7,15)&gt;=$X$861,$AA$861*(1+($U$861)/100)^MAX(0,$C874-$AD$861),IF(DATE($C874,7,15)&gt;=$W$861,$Z$861*(1+($U$861)/100)^MAX(0,$C874-$AC$861),IF(DATE($C874,7,15)&gt;=$V$861,$Y$861*(1+($U$861)/100)^MAX(0,$C874-$AB$861),0)))))</f>
      </c>
      <c r="L874" s="43">
        <f>IF($S$861=0,0,IF(OR(DATE($C874,8,15)&lt;$S$861,AND($T$861&gt;0,DATE($C874,8,15)&gt;$T$861)),0,IF(DATE($C874,8,15)&gt;=$X$861,$AA$861*(1+($U$861)/100)^MAX(0,$C874-$AD$861),IF(DATE($C874,8,15)&gt;=$W$861,$Z$861*(1+($U$861)/100)^MAX(0,$C874-$AC$861),IF(DATE($C874,8,15)&gt;=$V$861,$Y$861*(1+($U$861)/100)^MAX(0,$C874-$AB$861),0)))))</f>
      </c>
      <c r="M874" s="43">
        <f>IF($S$861=0,0,IF(OR(DATE($C874,9,15)&lt;$S$861,AND($T$861&gt;0,DATE($C874,9,15)&gt;$T$861)),0,IF(DATE($C874,9,15)&gt;=$X$861,$AA$861*(1+($U$861)/100)^MAX(0,$C874-$AD$861),IF(DATE($C874,9,15)&gt;=$W$861,$Z$861*(1+($U$861)/100)^MAX(0,$C874-$AC$861),IF(DATE($C874,9,15)&gt;=$V$861,$Y$861*(1+($U$861)/100)^MAX(0,$C874-$AB$861),0)))))</f>
      </c>
      <c r="N874" s="43">
        <f>IF($S$861=0,0,IF(OR(DATE($C874,10,15)&lt;$S$861,AND($T$861&gt;0,DATE($C874,10,15)&gt;$T$861)),0,IF(DATE($C874,10,15)&gt;=$X$861,$AA$861*(1+($U$861)/100)^MAX(0,$C874-$AD$861),IF(DATE($C874,10,15)&gt;=$W$861,$Z$861*(1+($U$861)/100)^MAX(0,$C874-$AC$861),IF(DATE($C874,10,15)&gt;=$V$861,$Y$861*(1+($U$861)/100)^MAX(0,$C874-$AB$861),0)))))</f>
      </c>
      <c r="O874" s="43">
        <f>IF($S$861=0,0,IF(OR(DATE($C874,11,15)&lt;$S$861,AND($T$861&gt;0,DATE($C874,11,15)&gt;$T$861)),0,IF(DATE($C874,11,15)&gt;=$X$861,$AA$861*(1+($U$861)/100)^MAX(0,$C874-$AD$861),IF(DATE($C874,11,15)&gt;=$W$861,$Z$861*(1+($U$861)/100)^MAX(0,$C874-$AC$861),IF(DATE($C874,11,15)&gt;=$V$861,$Y$861*(1+($U$861)/100)^MAX(0,$C874-$AB$861),0)))))</f>
      </c>
      <c r="P874" s="43">
        <f>IF($S$861=0,0,IF(OR(DATE($C874,12,15)&lt;$S$861,AND($T$861&gt;0,DATE($C874,12,15)&gt;$T$861)),0,IF(DATE($C874,12,15)&gt;=$X$861,$AA$861*(1+($U$861)/100)^MAX(0,$C874-$AD$861),IF(DATE($C874,12,15)&gt;=$W$861,$Z$861*(1+($U$861)/100)^MAX(0,$C874-$AC$861),IF(DATE($C874,12,15)&gt;=$V$861,$Y$861*(1+($U$861)/100)^MAX(0,$C874-$AB$861),0)))))</f>
      </c>
      <c r="Q874" s="43">
        <f>SUM($E874:$P874)</f>
      </c>
    </row>
    <row r="875">
      <c r="A875"/>
      <c r="B875">
        <v>28</v>
      </c>
      <c r="C875" s="43">
        <f>Jahr+14</f>
      </c>
      <c r="D875" s="43">
        <f>INDEX(MvObj,28)</f>
      </c>
      <c r="E875" s="43">
        <f>IF($S$861=0,0,IF(OR(DATE($C875,1,15)&lt;$S$861,AND($T$861&gt;0,DATE($C875,1,15)&gt;$T$861)),0,IF(DATE($C875,1,15)&gt;=$X$861,$AA$861*(1+($U$861)/100)^MAX(0,$C875-$AD$861),IF(DATE($C875,1,15)&gt;=$W$861,$Z$861*(1+($U$861)/100)^MAX(0,$C875-$AC$861),IF(DATE($C875,1,15)&gt;=$V$861,$Y$861*(1+($U$861)/100)^MAX(0,$C875-$AB$861),0)))))</f>
      </c>
      <c r="F875" s="43">
        <f>IF($S$861=0,0,IF(OR(DATE($C875,2,15)&lt;$S$861,AND($T$861&gt;0,DATE($C875,2,15)&gt;$T$861)),0,IF(DATE($C875,2,15)&gt;=$X$861,$AA$861*(1+($U$861)/100)^MAX(0,$C875-$AD$861),IF(DATE($C875,2,15)&gt;=$W$861,$Z$861*(1+($U$861)/100)^MAX(0,$C875-$AC$861),IF(DATE($C875,2,15)&gt;=$V$861,$Y$861*(1+($U$861)/100)^MAX(0,$C875-$AB$861),0)))))</f>
      </c>
      <c r="G875" s="43">
        <f>IF($S$861=0,0,IF(OR(DATE($C875,3,15)&lt;$S$861,AND($T$861&gt;0,DATE($C875,3,15)&gt;$T$861)),0,IF(DATE($C875,3,15)&gt;=$X$861,$AA$861*(1+($U$861)/100)^MAX(0,$C875-$AD$861),IF(DATE($C875,3,15)&gt;=$W$861,$Z$861*(1+($U$861)/100)^MAX(0,$C875-$AC$861),IF(DATE($C875,3,15)&gt;=$V$861,$Y$861*(1+($U$861)/100)^MAX(0,$C875-$AB$861),0)))))</f>
      </c>
      <c r="H875" s="43">
        <f>IF($S$861=0,0,IF(OR(DATE($C875,4,15)&lt;$S$861,AND($T$861&gt;0,DATE($C875,4,15)&gt;$T$861)),0,IF(DATE($C875,4,15)&gt;=$X$861,$AA$861*(1+($U$861)/100)^MAX(0,$C875-$AD$861),IF(DATE($C875,4,15)&gt;=$W$861,$Z$861*(1+($U$861)/100)^MAX(0,$C875-$AC$861),IF(DATE($C875,4,15)&gt;=$V$861,$Y$861*(1+($U$861)/100)^MAX(0,$C875-$AB$861),0)))))</f>
      </c>
      <c r="I875" s="43">
        <f>IF($S$861=0,0,IF(OR(DATE($C875,5,15)&lt;$S$861,AND($T$861&gt;0,DATE($C875,5,15)&gt;$T$861)),0,IF(DATE($C875,5,15)&gt;=$X$861,$AA$861*(1+($U$861)/100)^MAX(0,$C875-$AD$861),IF(DATE($C875,5,15)&gt;=$W$861,$Z$861*(1+($U$861)/100)^MAX(0,$C875-$AC$861),IF(DATE($C875,5,15)&gt;=$V$861,$Y$861*(1+($U$861)/100)^MAX(0,$C875-$AB$861),0)))))</f>
      </c>
      <c r="J875" s="43">
        <f>IF($S$861=0,0,IF(OR(DATE($C875,6,15)&lt;$S$861,AND($T$861&gt;0,DATE($C875,6,15)&gt;$T$861)),0,IF(DATE($C875,6,15)&gt;=$X$861,$AA$861*(1+($U$861)/100)^MAX(0,$C875-$AD$861),IF(DATE($C875,6,15)&gt;=$W$861,$Z$861*(1+($U$861)/100)^MAX(0,$C875-$AC$861),IF(DATE($C875,6,15)&gt;=$V$861,$Y$861*(1+($U$861)/100)^MAX(0,$C875-$AB$861),0)))))</f>
      </c>
      <c r="K875" s="43">
        <f>IF($S$861=0,0,IF(OR(DATE($C875,7,15)&lt;$S$861,AND($T$861&gt;0,DATE($C875,7,15)&gt;$T$861)),0,IF(DATE($C875,7,15)&gt;=$X$861,$AA$861*(1+($U$861)/100)^MAX(0,$C875-$AD$861),IF(DATE($C875,7,15)&gt;=$W$861,$Z$861*(1+($U$861)/100)^MAX(0,$C875-$AC$861),IF(DATE($C875,7,15)&gt;=$V$861,$Y$861*(1+($U$861)/100)^MAX(0,$C875-$AB$861),0)))))</f>
      </c>
      <c r="L875" s="43">
        <f>IF($S$861=0,0,IF(OR(DATE($C875,8,15)&lt;$S$861,AND($T$861&gt;0,DATE($C875,8,15)&gt;$T$861)),0,IF(DATE($C875,8,15)&gt;=$X$861,$AA$861*(1+($U$861)/100)^MAX(0,$C875-$AD$861),IF(DATE($C875,8,15)&gt;=$W$861,$Z$861*(1+($U$861)/100)^MAX(0,$C875-$AC$861),IF(DATE($C875,8,15)&gt;=$V$861,$Y$861*(1+($U$861)/100)^MAX(0,$C875-$AB$861),0)))))</f>
      </c>
      <c r="M875" s="43">
        <f>IF($S$861=0,0,IF(OR(DATE($C875,9,15)&lt;$S$861,AND($T$861&gt;0,DATE($C875,9,15)&gt;$T$861)),0,IF(DATE($C875,9,15)&gt;=$X$861,$AA$861*(1+($U$861)/100)^MAX(0,$C875-$AD$861),IF(DATE($C875,9,15)&gt;=$W$861,$Z$861*(1+($U$861)/100)^MAX(0,$C875-$AC$861),IF(DATE($C875,9,15)&gt;=$V$861,$Y$861*(1+($U$861)/100)^MAX(0,$C875-$AB$861),0)))))</f>
      </c>
      <c r="N875" s="43">
        <f>IF($S$861=0,0,IF(OR(DATE($C875,10,15)&lt;$S$861,AND($T$861&gt;0,DATE($C875,10,15)&gt;$T$861)),0,IF(DATE($C875,10,15)&gt;=$X$861,$AA$861*(1+($U$861)/100)^MAX(0,$C875-$AD$861),IF(DATE($C875,10,15)&gt;=$W$861,$Z$861*(1+($U$861)/100)^MAX(0,$C875-$AC$861),IF(DATE($C875,10,15)&gt;=$V$861,$Y$861*(1+($U$861)/100)^MAX(0,$C875-$AB$861),0)))))</f>
      </c>
      <c r="O875" s="43">
        <f>IF($S$861=0,0,IF(OR(DATE($C875,11,15)&lt;$S$861,AND($T$861&gt;0,DATE($C875,11,15)&gt;$T$861)),0,IF(DATE($C875,11,15)&gt;=$X$861,$AA$861*(1+($U$861)/100)^MAX(0,$C875-$AD$861),IF(DATE($C875,11,15)&gt;=$W$861,$Z$861*(1+($U$861)/100)^MAX(0,$C875-$AC$861),IF(DATE($C875,11,15)&gt;=$V$861,$Y$861*(1+($U$861)/100)^MAX(0,$C875-$AB$861),0)))))</f>
      </c>
      <c r="P875" s="43">
        <f>IF($S$861=0,0,IF(OR(DATE($C875,12,15)&lt;$S$861,AND($T$861&gt;0,DATE($C875,12,15)&gt;$T$861)),0,IF(DATE($C875,12,15)&gt;=$X$861,$AA$861*(1+($U$861)/100)^MAX(0,$C875-$AD$861),IF(DATE($C875,12,15)&gt;=$W$861,$Z$861*(1+($U$861)/100)^MAX(0,$C875-$AC$861),IF(DATE($C875,12,15)&gt;=$V$861,$Y$861*(1+($U$861)/100)^MAX(0,$C875-$AB$861),0)))))</f>
      </c>
      <c r="Q875" s="43">
        <f>SUM($E875:$P875)</f>
      </c>
    </row>
    <row r="876">
      <c r="A876"/>
      <c r="B876">
        <v>28</v>
      </c>
      <c r="C876" s="43">
        <f>Jahr+15</f>
      </c>
      <c r="D876" s="43">
        <f>INDEX(MvObj,28)</f>
      </c>
      <c r="E876" s="43">
        <f>IF($S$861=0,0,IF(OR(DATE($C876,1,15)&lt;$S$861,AND($T$861&gt;0,DATE($C876,1,15)&gt;$T$861)),0,IF(DATE($C876,1,15)&gt;=$X$861,$AA$861*(1+($U$861)/100)^MAX(0,$C876-$AD$861),IF(DATE($C876,1,15)&gt;=$W$861,$Z$861*(1+($U$861)/100)^MAX(0,$C876-$AC$861),IF(DATE($C876,1,15)&gt;=$V$861,$Y$861*(1+($U$861)/100)^MAX(0,$C876-$AB$861),0)))))</f>
      </c>
      <c r="F876" s="43">
        <f>IF($S$861=0,0,IF(OR(DATE($C876,2,15)&lt;$S$861,AND($T$861&gt;0,DATE($C876,2,15)&gt;$T$861)),0,IF(DATE($C876,2,15)&gt;=$X$861,$AA$861*(1+($U$861)/100)^MAX(0,$C876-$AD$861),IF(DATE($C876,2,15)&gt;=$W$861,$Z$861*(1+($U$861)/100)^MAX(0,$C876-$AC$861),IF(DATE($C876,2,15)&gt;=$V$861,$Y$861*(1+($U$861)/100)^MAX(0,$C876-$AB$861),0)))))</f>
      </c>
      <c r="G876" s="43">
        <f>IF($S$861=0,0,IF(OR(DATE($C876,3,15)&lt;$S$861,AND($T$861&gt;0,DATE($C876,3,15)&gt;$T$861)),0,IF(DATE($C876,3,15)&gt;=$X$861,$AA$861*(1+($U$861)/100)^MAX(0,$C876-$AD$861),IF(DATE($C876,3,15)&gt;=$W$861,$Z$861*(1+($U$861)/100)^MAX(0,$C876-$AC$861),IF(DATE($C876,3,15)&gt;=$V$861,$Y$861*(1+($U$861)/100)^MAX(0,$C876-$AB$861),0)))))</f>
      </c>
      <c r="H876" s="43">
        <f>IF($S$861=0,0,IF(OR(DATE($C876,4,15)&lt;$S$861,AND($T$861&gt;0,DATE($C876,4,15)&gt;$T$861)),0,IF(DATE($C876,4,15)&gt;=$X$861,$AA$861*(1+($U$861)/100)^MAX(0,$C876-$AD$861),IF(DATE($C876,4,15)&gt;=$W$861,$Z$861*(1+($U$861)/100)^MAX(0,$C876-$AC$861),IF(DATE($C876,4,15)&gt;=$V$861,$Y$861*(1+($U$861)/100)^MAX(0,$C876-$AB$861),0)))))</f>
      </c>
      <c r="I876" s="43">
        <f>IF($S$861=0,0,IF(OR(DATE($C876,5,15)&lt;$S$861,AND($T$861&gt;0,DATE($C876,5,15)&gt;$T$861)),0,IF(DATE($C876,5,15)&gt;=$X$861,$AA$861*(1+($U$861)/100)^MAX(0,$C876-$AD$861),IF(DATE($C876,5,15)&gt;=$W$861,$Z$861*(1+($U$861)/100)^MAX(0,$C876-$AC$861),IF(DATE($C876,5,15)&gt;=$V$861,$Y$861*(1+($U$861)/100)^MAX(0,$C876-$AB$861),0)))))</f>
      </c>
      <c r="J876" s="43">
        <f>IF($S$861=0,0,IF(OR(DATE($C876,6,15)&lt;$S$861,AND($T$861&gt;0,DATE($C876,6,15)&gt;$T$861)),0,IF(DATE($C876,6,15)&gt;=$X$861,$AA$861*(1+($U$861)/100)^MAX(0,$C876-$AD$861),IF(DATE($C876,6,15)&gt;=$W$861,$Z$861*(1+($U$861)/100)^MAX(0,$C876-$AC$861),IF(DATE($C876,6,15)&gt;=$V$861,$Y$861*(1+($U$861)/100)^MAX(0,$C876-$AB$861),0)))))</f>
      </c>
      <c r="K876" s="43">
        <f>IF($S$861=0,0,IF(OR(DATE($C876,7,15)&lt;$S$861,AND($T$861&gt;0,DATE($C876,7,15)&gt;$T$861)),0,IF(DATE($C876,7,15)&gt;=$X$861,$AA$861*(1+($U$861)/100)^MAX(0,$C876-$AD$861),IF(DATE($C876,7,15)&gt;=$W$861,$Z$861*(1+($U$861)/100)^MAX(0,$C876-$AC$861),IF(DATE($C876,7,15)&gt;=$V$861,$Y$861*(1+($U$861)/100)^MAX(0,$C876-$AB$861),0)))))</f>
      </c>
      <c r="L876" s="43">
        <f>IF($S$861=0,0,IF(OR(DATE($C876,8,15)&lt;$S$861,AND($T$861&gt;0,DATE($C876,8,15)&gt;$T$861)),0,IF(DATE($C876,8,15)&gt;=$X$861,$AA$861*(1+($U$861)/100)^MAX(0,$C876-$AD$861),IF(DATE($C876,8,15)&gt;=$W$861,$Z$861*(1+($U$861)/100)^MAX(0,$C876-$AC$861),IF(DATE($C876,8,15)&gt;=$V$861,$Y$861*(1+($U$861)/100)^MAX(0,$C876-$AB$861),0)))))</f>
      </c>
      <c r="M876" s="43">
        <f>IF($S$861=0,0,IF(OR(DATE($C876,9,15)&lt;$S$861,AND($T$861&gt;0,DATE($C876,9,15)&gt;$T$861)),0,IF(DATE($C876,9,15)&gt;=$X$861,$AA$861*(1+($U$861)/100)^MAX(0,$C876-$AD$861),IF(DATE($C876,9,15)&gt;=$W$861,$Z$861*(1+($U$861)/100)^MAX(0,$C876-$AC$861),IF(DATE($C876,9,15)&gt;=$V$861,$Y$861*(1+($U$861)/100)^MAX(0,$C876-$AB$861),0)))))</f>
      </c>
      <c r="N876" s="43">
        <f>IF($S$861=0,0,IF(OR(DATE($C876,10,15)&lt;$S$861,AND($T$861&gt;0,DATE($C876,10,15)&gt;$T$861)),0,IF(DATE($C876,10,15)&gt;=$X$861,$AA$861*(1+($U$861)/100)^MAX(0,$C876-$AD$861),IF(DATE($C876,10,15)&gt;=$W$861,$Z$861*(1+($U$861)/100)^MAX(0,$C876-$AC$861),IF(DATE($C876,10,15)&gt;=$V$861,$Y$861*(1+($U$861)/100)^MAX(0,$C876-$AB$861),0)))))</f>
      </c>
      <c r="O876" s="43">
        <f>IF($S$861=0,0,IF(OR(DATE($C876,11,15)&lt;$S$861,AND($T$861&gt;0,DATE($C876,11,15)&gt;$T$861)),0,IF(DATE($C876,11,15)&gt;=$X$861,$AA$861*(1+($U$861)/100)^MAX(0,$C876-$AD$861),IF(DATE($C876,11,15)&gt;=$W$861,$Z$861*(1+($U$861)/100)^MAX(0,$C876-$AC$861),IF(DATE($C876,11,15)&gt;=$V$861,$Y$861*(1+($U$861)/100)^MAX(0,$C876-$AB$861),0)))))</f>
      </c>
      <c r="P876" s="43">
        <f>IF($S$861=0,0,IF(OR(DATE($C876,12,15)&lt;$S$861,AND($T$861&gt;0,DATE($C876,12,15)&gt;$T$861)),0,IF(DATE($C876,12,15)&gt;=$X$861,$AA$861*(1+($U$861)/100)^MAX(0,$C876-$AD$861),IF(DATE($C876,12,15)&gt;=$W$861,$Z$861*(1+($U$861)/100)^MAX(0,$C876-$AC$861),IF(DATE($C876,12,15)&gt;=$V$861,$Y$861*(1+($U$861)/100)^MAX(0,$C876-$AB$861),0)))))</f>
      </c>
      <c r="Q876" s="43">
        <f>SUM($E876:$P876)</f>
      </c>
    </row>
    <row r="877">
      <c r="A877"/>
      <c r="B877">
        <v>28</v>
      </c>
      <c r="C877" s="43">
        <f>Jahr+16</f>
      </c>
      <c r="D877" s="43">
        <f>INDEX(MvObj,28)</f>
      </c>
      <c r="E877" s="43">
        <f>IF($S$861=0,0,IF(OR(DATE($C877,1,15)&lt;$S$861,AND($T$861&gt;0,DATE($C877,1,15)&gt;$T$861)),0,IF(DATE($C877,1,15)&gt;=$X$861,$AA$861*(1+($U$861)/100)^MAX(0,$C877-$AD$861),IF(DATE($C877,1,15)&gt;=$W$861,$Z$861*(1+($U$861)/100)^MAX(0,$C877-$AC$861),IF(DATE($C877,1,15)&gt;=$V$861,$Y$861*(1+($U$861)/100)^MAX(0,$C877-$AB$861),0)))))</f>
      </c>
      <c r="F877" s="43">
        <f>IF($S$861=0,0,IF(OR(DATE($C877,2,15)&lt;$S$861,AND($T$861&gt;0,DATE($C877,2,15)&gt;$T$861)),0,IF(DATE($C877,2,15)&gt;=$X$861,$AA$861*(1+($U$861)/100)^MAX(0,$C877-$AD$861),IF(DATE($C877,2,15)&gt;=$W$861,$Z$861*(1+($U$861)/100)^MAX(0,$C877-$AC$861),IF(DATE($C877,2,15)&gt;=$V$861,$Y$861*(1+($U$861)/100)^MAX(0,$C877-$AB$861),0)))))</f>
      </c>
      <c r="G877" s="43">
        <f>IF($S$861=0,0,IF(OR(DATE($C877,3,15)&lt;$S$861,AND($T$861&gt;0,DATE($C877,3,15)&gt;$T$861)),0,IF(DATE($C877,3,15)&gt;=$X$861,$AA$861*(1+($U$861)/100)^MAX(0,$C877-$AD$861),IF(DATE($C877,3,15)&gt;=$W$861,$Z$861*(1+($U$861)/100)^MAX(0,$C877-$AC$861),IF(DATE($C877,3,15)&gt;=$V$861,$Y$861*(1+($U$861)/100)^MAX(0,$C877-$AB$861),0)))))</f>
      </c>
      <c r="H877" s="43">
        <f>IF($S$861=0,0,IF(OR(DATE($C877,4,15)&lt;$S$861,AND($T$861&gt;0,DATE($C877,4,15)&gt;$T$861)),0,IF(DATE($C877,4,15)&gt;=$X$861,$AA$861*(1+($U$861)/100)^MAX(0,$C877-$AD$861),IF(DATE($C877,4,15)&gt;=$W$861,$Z$861*(1+($U$861)/100)^MAX(0,$C877-$AC$861),IF(DATE($C877,4,15)&gt;=$V$861,$Y$861*(1+($U$861)/100)^MAX(0,$C877-$AB$861),0)))))</f>
      </c>
      <c r="I877" s="43">
        <f>IF($S$861=0,0,IF(OR(DATE($C877,5,15)&lt;$S$861,AND($T$861&gt;0,DATE($C877,5,15)&gt;$T$861)),0,IF(DATE($C877,5,15)&gt;=$X$861,$AA$861*(1+($U$861)/100)^MAX(0,$C877-$AD$861),IF(DATE($C877,5,15)&gt;=$W$861,$Z$861*(1+($U$861)/100)^MAX(0,$C877-$AC$861),IF(DATE($C877,5,15)&gt;=$V$861,$Y$861*(1+($U$861)/100)^MAX(0,$C877-$AB$861),0)))))</f>
      </c>
      <c r="J877" s="43">
        <f>IF($S$861=0,0,IF(OR(DATE($C877,6,15)&lt;$S$861,AND($T$861&gt;0,DATE($C877,6,15)&gt;$T$861)),0,IF(DATE($C877,6,15)&gt;=$X$861,$AA$861*(1+($U$861)/100)^MAX(0,$C877-$AD$861),IF(DATE($C877,6,15)&gt;=$W$861,$Z$861*(1+($U$861)/100)^MAX(0,$C877-$AC$861),IF(DATE($C877,6,15)&gt;=$V$861,$Y$861*(1+($U$861)/100)^MAX(0,$C877-$AB$861),0)))))</f>
      </c>
      <c r="K877" s="43">
        <f>IF($S$861=0,0,IF(OR(DATE($C877,7,15)&lt;$S$861,AND($T$861&gt;0,DATE($C877,7,15)&gt;$T$861)),0,IF(DATE($C877,7,15)&gt;=$X$861,$AA$861*(1+($U$861)/100)^MAX(0,$C877-$AD$861),IF(DATE($C877,7,15)&gt;=$W$861,$Z$861*(1+($U$861)/100)^MAX(0,$C877-$AC$861),IF(DATE($C877,7,15)&gt;=$V$861,$Y$861*(1+($U$861)/100)^MAX(0,$C877-$AB$861),0)))))</f>
      </c>
      <c r="L877" s="43">
        <f>IF($S$861=0,0,IF(OR(DATE($C877,8,15)&lt;$S$861,AND($T$861&gt;0,DATE($C877,8,15)&gt;$T$861)),0,IF(DATE($C877,8,15)&gt;=$X$861,$AA$861*(1+($U$861)/100)^MAX(0,$C877-$AD$861),IF(DATE($C877,8,15)&gt;=$W$861,$Z$861*(1+($U$861)/100)^MAX(0,$C877-$AC$861),IF(DATE($C877,8,15)&gt;=$V$861,$Y$861*(1+($U$861)/100)^MAX(0,$C877-$AB$861),0)))))</f>
      </c>
      <c r="M877" s="43">
        <f>IF($S$861=0,0,IF(OR(DATE($C877,9,15)&lt;$S$861,AND($T$861&gt;0,DATE($C877,9,15)&gt;$T$861)),0,IF(DATE($C877,9,15)&gt;=$X$861,$AA$861*(1+($U$861)/100)^MAX(0,$C877-$AD$861),IF(DATE($C877,9,15)&gt;=$W$861,$Z$861*(1+($U$861)/100)^MAX(0,$C877-$AC$861),IF(DATE($C877,9,15)&gt;=$V$861,$Y$861*(1+($U$861)/100)^MAX(0,$C877-$AB$861),0)))))</f>
      </c>
      <c r="N877" s="43">
        <f>IF($S$861=0,0,IF(OR(DATE($C877,10,15)&lt;$S$861,AND($T$861&gt;0,DATE($C877,10,15)&gt;$T$861)),0,IF(DATE($C877,10,15)&gt;=$X$861,$AA$861*(1+($U$861)/100)^MAX(0,$C877-$AD$861),IF(DATE($C877,10,15)&gt;=$W$861,$Z$861*(1+($U$861)/100)^MAX(0,$C877-$AC$861),IF(DATE($C877,10,15)&gt;=$V$861,$Y$861*(1+($U$861)/100)^MAX(0,$C877-$AB$861),0)))))</f>
      </c>
      <c r="O877" s="43">
        <f>IF($S$861=0,0,IF(OR(DATE($C877,11,15)&lt;$S$861,AND($T$861&gt;0,DATE($C877,11,15)&gt;$T$861)),0,IF(DATE($C877,11,15)&gt;=$X$861,$AA$861*(1+($U$861)/100)^MAX(0,$C877-$AD$861),IF(DATE($C877,11,15)&gt;=$W$861,$Z$861*(1+($U$861)/100)^MAX(0,$C877-$AC$861),IF(DATE($C877,11,15)&gt;=$V$861,$Y$861*(1+($U$861)/100)^MAX(0,$C877-$AB$861),0)))))</f>
      </c>
      <c r="P877" s="43">
        <f>IF($S$861=0,0,IF(OR(DATE($C877,12,15)&lt;$S$861,AND($T$861&gt;0,DATE($C877,12,15)&gt;$T$861)),0,IF(DATE($C877,12,15)&gt;=$X$861,$AA$861*(1+($U$861)/100)^MAX(0,$C877-$AD$861),IF(DATE($C877,12,15)&gt;=$W$861,$Z$861*(1+($U$861)/100)^MAX(0,$C877-$AC$861),IF(DATE($C877,12,15)&gt;=$V$861,$Y$861*(1+($U$861)/100)^MAX(0,$C877-$AB$861),0)))))</f>
      </c>
      <c r="Q877" s="43">
        <f>SUM($E877:$P877)</f>
      </c>
    </row>
    <row r="878">
      <c r="A878"/>
      <c r="B878">
        <v>28</v>
      </c>
      <c r="C878" s="43">
        <f>Jahr+17</f>
      </c>
      <c r="D878" s="43">
        <f>INDEX(MvObj,28)</f>
      </c>
      <c r="E878" s="43">
        <f>IF($S$861=0,0,IF(OR(DATE($C878,1,15)&lt;$S$861,AND($T$861&gt;0,DATE($C878,1,15)&gt;$T$861)),0,IF(DATE($C878,1,15)&gt;=$X$861,$AA$861*(1+($U$861)/100)^MAX(0,$C878-$AD$861),IF(DATE($C878,1,15)&gt;=$W$861,$Z$861*(1+($U$861)/100)^MAX(0,$C878-$AC$861),IF(DATE($C878,1,15)&gt;=$V$861,$Y$861*(1+($U$861)/100)^MAX(0,$C878-$AB$861),0)))))</f>
      </c>
      <c r="F878" s="43">
        <f>IF($S$861=0,0,IF(OR(DATE($C878,2,15)&lt;$S$861,AND($T$861&gt;0,DATE($C878,2,15)&gt;$T$861)),0,IF(DATE($C878,2,15)&gt;=$X$861,$AA$861*(1+($U$861)/100)^MAX(0,$C878-$AD$861),IF(DATE($C878,2,15)&gt;=$W$861,$Z$861*(1+($U$861)/100)^MAX(0,$C878-$AC$861),IF(DATE($C878,2,15)&gt;=$V$861,$Y$861*(1+($U$861)/100)^MAX(0,$C878-$AB$861),0)))))</f>
      </c>
      <c r="G878" s="43">
        <f>IF($S$861=0,0,IF(OR(DATE($C878,3,15)&lt;$S$861,AND($T$861&gt;0,DATE($C878,3,15)&gt;$T$861)),0,IF(DATE($C878,3,15)&gt;=$X$861,$AA$861*(1+($U$861)/100)^MAX(0,$C878-$AD$861),IF(DATE($C878,3,15)&gt;=$W$861,$Z$861*(1+($U$861)/100)^MAX(0,$C878-$AC$861),IF(DATE($C878,3,15)&gt;=$V$861,$Y$861*(1+($U$861)/100)^MAX(0,$C878-$AB$861),0)))))</f>
      </c>
      <c r="H878" s="43">
        <f>IF($S$861=0,0,IF(OR(DATE($C878,4,15)&lt;$S$861,AND($T$861&gt;0,DATE($C878,4,15)&gt;$T$861)),0,IF(DATE($C878,4,15)&gt;=$X$861,$AA$861*(1+($U$861)/100)^MAX(0,$C878-$AD$861),IF(DATE($C878,4,15)&gt;=$W$861,$Z$861*(1+($U$861)/100)^MAX(0,$C878-$AC$861),IF(DATE($C878,4,15)&gt;=$V$861,$Y$861*(1+($U$861)/100)^MAX(0,$C878-$AB$861),0)))))</f>
      </c>
      <c r="I878" s="43">
        <f>IF($S$861=0,0,IF(OR(DATE($C878,5,15)&lt;$S$861,AND($T$861&gt;0,DATE($C878,5,15)&gt;$T$861)),0,IF(DATE($C878,5,15)&gt;=$X$861,$AA$861*(1+($U$861)/100)^MAX(0,$C878-$AD$861),IF(DATE($C878,5,15)&gt;=$W$861,$Z$861*(1+($U$861)/100)^MAX(0,$C878-$AC$861),IF(DATE($C878,5,15)&gt;=$V$861,$Y$861*(1+($U$861)/100)^MAX(0,$C878-$AB$861),0)))))</f>
      </c>
      <c r="J878" s="43">
        <f>IF($S$861=0,0,IF(OR(DATE($C878,6,15)&lt;$S$861,AND($T$861&gt;0,DATE($C878,6,15)&gt;$T$861)),0,IF(DATE($C878,6,15)&gt;=$X$861,$AA$861*(1+($U$861)/100)^MAX(0,$C878-$AD$861),IF(DATE($C878,6,15)&gt;=$W$861,$Z$861*(1+($U$861)/100)^MAX(0,$C878-$AC$861),IF(DATE($C878,6,15)&gt;=$V$861,$Y$861*(1+($U$861)/100)^MAX(0,$C878-$AB$861),0)))))</f>
      </c>
      <c r="K878" s="43">
        <f>IF($S$861=0,0,IF(OR(DATE($C878,7,15)&lt;$S$861,AND($T$861&gt;0,DATE($C878,7,15)&gt;$T$861)),0,IF(DATE($C878,7,15)&gt;=$X$861,$AA$861*(1+($U$861)/100)^MAX(0,$C878-$AD$861),IF(DATE($C878,7,15)&gt;=$W$861,$Z$861*(1+($U$861)/100)^MAX(0,$C878-$AC$861),IF(DATE($C878,7,15)&gt;=$V$861,$Y$861*(1+($U$861)/100)^MAX(0,$C878-$AB$861),0)))))</f>
      </c>
      <c r="L878" s="43">
        <f>IF($S$861=0,0,IF(OR(DATE($C878,8,15)&lt;$S$861,AND($T$861&gt;0,DATE($C878,8,15)&gt;$T$861)),0,IF(DATE($C878,8,15)&gt;=$X$861,$AA$861*(1+($U$861)/100)^MAX(0,$C878-$AD$861),IF(DATE($C878,8,15)&gt;=$W$861,$Z$861*(1+($U$861)/100)^MAX(0,$C878-$AC$861),IF(DATE($C878,8,15)&gt;=$V$861,$Y$861*(1+($U$861)/100)^MAX(0,$C878-$AB$861),0)))))</f>
      </c>
      <c r="M878" s="43">
        <f>IF($S$861=0,0,IF(OR(DATE($C878,9,15)&lt;$S$861,AND($T$861&gt;0,DATE($C878,9,15)&gt;$T$861)),0,IF(DATE($C878,9,15)&gt;=$X$861,$AA$861*(1+($U$861)/100)^MAX(0,$C878-$AD$861),IF(DATE($C878,9,15)&gt;=$W$861,$Z$861*(1+($U$861)/100)^MAX(0,$C878-$AC$861),IF(DATE($C878,9,15)&gt;=$V$861,$Y$861*(1+($U$861)/100)^MAX(0,$C878-$AB$861),0)))))</f>
      </c>
      <c r="N878" s="43">
        <f>IF($S$861=0,0,IF(OR(DATE($C878,10,15)&lt;$S$861,AND($T$861&gt;0,DATE($C878,10,15)&gt;$T$861)),0,IF(DATE($C878,10,15)&gt;=$X$861,$AA$861*(1+($U$861)/100)^MAX(0,$C878-$AD$861),IF(DATE($C878,10,15)&gt;=$W$861,$Z$861*(1+($U$861)/100)^MAX(0,$C878-$AC$861),IF(DATE($C878,10,15)&gt;=$V$861,$Y$861*(1+($U$861)/100)^MAX(0,$C878-$AB$861),0)))))</f>
      </c>
      <c r="O878" s="43">
        <f>IF($S$861=0,0,IF(OR(DATE($C878,11,15)&lt;$S$861,AND($T$861&gt;0,DATE($C878,11,15)&gt;$T$861)),0,IF(DATE($C878,11,15)&gt;=$X$861,$AA$861*(1+($U$861)/100)^MAX(0,$C878-$AD$861),IF(DATE($C878,11,15)&gt;=$W$861,$Z$861*(1+($U$861)/100)^MAX(0,$C878-$AC$861),IF(DATE($C878,11,15)&gt;=$V$861,$Y$861*(1+($U$861)/100)^MAX(0,$C878-$AB$861),0)))))</f>
      </c>
      <c r="P878" s="43">
        <f>IF($S$861=0,0,IF(OR(DATE($C878,12,15)&lt;$S$861,AND($T$861&gt;0,DATE($C878,12,15)&gt;$T$861)),0,IF(DATE($C878,12,15)&gt;=$X$861,$AA$861*(1+($U$861)/100)^MAX(0,$C878-$AD$861),IF(DATE($C878,12,15)&gt;=$W$861,$Z$861*(1+($U$861)/100)^MAX(0,$C878-$AC$861),IF(DATE($C878,12,15)&gt;=$V$861,$Y$861*(1+($U$861)/100)^MAX(0,$C878-$AB$861),0)))))</f>
      </c>
      <c r="Q878" s="43">
        <f>SUM($E878:$P878)</f>
      </c>
    </row>
    <row r="879">
      <c r="A879"/>
      <c r="B879">
        <v>28</v>
      </c>
      <c r="C879" s="43">
        <f>Jahr+18</f>
      </c>
      <c r="D879" s="43">
        <f>INDEX(MvObj,28)</f>
      </c>
      <c r="E879" s="43">
        <f>IF($S$861=0,0,IF(OR(DATE($C879,1,15)&lt;$S$861,AND($T$861&gt;0,DATE($C879,1,15)&gt;$T$861)),0,IF(DATE($C879,1,15)&gt;=$X$861,$AA$861*(1+($U$861)/100)^MAX(0,$C879-$AD$861),IF(DATE($C879,1,15)&gt;=$W$861,$Z$861*(1+($U$861)/100)^MAX(0,$C879-$AC$861),IF(DATE($C879,1,15)&gt;=$V$861,$Y$861*(1+($U$861)/100)^MAX(0,$C879-$AB$861),0)))))</f>
      </c>
      <c r="F879" s="43">
        <f>IF($S$861=0,0,IF(OR(DATE($C879,2,15)&lt;$S$861,AND($T$861&gt;0,DATE($C879,2,15)&gt;$T$861)),0,IF(DATE($C879,2,15)&gt;=$X$861,$AA$861*(1+($U$861)/100)^MAX(0,$C879-$AD$861),IF(DATE($C879,2,15)&gt;=$W$861,$Z$861*(1+($U$861)/100)^MAX(0,$C879-$AC$861),IF(DATE($C879,2,15)&gt;=$V$861,$Y$861*(1+($U$861)/100)^MAX(0,$C879-$AB$861),0)))))</f>
      </c>
      <c r="G879" s="43">
        <f>IF($S$861=0,0,IF(OR(DATE($C879,3,15)&lt;$S$861,AND($T$861&gt;0,DATE($C879,3,15)&gt;$T$861)),0,IF(DATE($C879,3,15)&gt;=$X$861,$AA$861*(1+($U$861)/100)^MAX(0,$C879-$AD$861),IF(DATE($C879,3,15)&gt;=$W$861,$Z$861*(1+($U$861)/100)^MAX(0,$C879-$AC$861),IF(DATE($C879,3,15)&gt;=$V$861,$Y$861*(1+($U$861)/100)^MAX(0,$C879-$AB$861),0)))))</f>
      </c>
      <c r="H879" s="43">
        <f>IF($S$861=0,0,IF(OR(DATE($C879,4,15)&lt;$S$861,AND($T$861&gt;0,DATE($C879,4,15)&gt;$T$861)),0,IF(DATE($C879,4,15)&gt;=$X$861,$AA$861*(1+($U$861)/100)^MAX(0,$C879-$AD$861),IF(DATE($C879,4,15)&gt;=$W$861,$Z$861*(1+($U$861)/100)^MAX(0,$C879-$AC$861),IF(DATE($C879,4,15)&gt;=$V$861,$Y$861*(1+($U$861)/100)^MAX(0,$C879-$AB$861),0)))))</f>
      </c>
      <c r="I879" s="43">
        <f>IF($S$861=0,0,IF(OR(DATE($C879,5,15)&lt;$S$861,AND($T$861&gt;0,DATE($C879,5,15)&gt;$T$861)),0,IF(DATE($C879,5,15)&gt;=$X$861,$AA$861*(1+($U$861)/100)^MAX(0,$C879-$AD$861),IF(DATE($C879,5,15)&gt;=$W$861,$Z$861*(1+($U$861)/100)^MAX(0,$C879-$AC$861),IF(DATE($C879,5,15)&gt;=$V$861,$Y$861*(1+($U$861)/100)^MAX(0,$C879-$AB$861),0)))))</f>
      </c>
      <c r="J879" s="43">
        <f>IF($S$861=0,0,IF(OR(DATE($C879,6,15)&lt;$S$861,AND($T$861&gt;0,DATE($C879,6,15)&gt;$T$861)),0,IF(DATE($C879,6,15)&gt;=$X$861,$AA$861*(1+($U$861)/100)^MAX(0,$C879-$AD$861),IF(DATE($C879,6,15)&gt;=$W$861,$Z$861*(1+($U$861)/100)^MAX(0,$C879-$AC$861),IF(DATE($C879,6,15)&gt;=$V$861,$Y$861*(1+($U$861)/100)^MAX(0,$C879-$AB$861),0)))))</f>
      </c>
      <c r="K879" s="43">
        <f>IF($S$861=0,0,IF(OR(DATE($C879,7,15)&lt;$S$861,AND($T$861&gt;0,DATE($C879,7,15)&gt;$T$861)),0,IF(DATE($C879,7,15)&gt;=$X$861,$AA$861*(1+($U$861)/100)^MAX(0,$C879-$AD$861),IF(DATE($C879,7,15)&gt;=$W$861,$Z$861*(1+($U$861)/100)^MAX(0,$C879-$AC$861),IF(DATE($C879,7,15)&gt;=$V$861,$Y$861*(1+($U$861)/100)^MAX(0,$C879-$AB$861),0)))))</f>
      </c>
      <c r="L879" s="43">
        <f>IF($S$861=0,0,IF(OR(DATE($C879,8,15)&lt;$S$861,AND($T$861&gt;0,DATE($C879,8,15)&gt;$T$861)),0,IF(DATE($C879,8,15)&gt;=$X$861,$AA$861*(1+($U$861)/100)^MAX(0,$C879-$AD$861),IF(DATE($C879,8,15)&gt;=$W$861,$Z$861*(1+($U$861)/100)^MAX(0,$C879-$AC$861),IF(DATE($C879,8,15)&gt;=$V$861,$Y$861*(1+($U$861)/100)^MAX(0,$C879-$AB$861),0)))))</f>
      </c>
      <c r="M879" s="43">
        <f>IF($S$861=0,0,IF(OR(DATE($C879,9,15)&lt;$S$861,AND($T$861&gt;0,DATE($C879,9,15)&gt;$T$861)),0,IF(DATE($C879,9,15)&gt;=$X$861,$AA$861*(1+($U$861)/100)^MAX(0,$C879-$AD$861),IF(DATE($C879,9,15)&gt;=$W$861,$Z$861*(1+($U$861)/100)^MAX(0,$C879-$AC$861),IF(DATE($C879,9,15)&gt;=$V$861,$Y$861*(1+($U$861)/100)^MAX(0,$C879-$AB$861),0)))))</f>
      </c>
      <c r="N879" s="43">
        <f>IF($S$861=0,0,IF(OR(DATE($C879,10,15)&lt;$S$861,AND($T$861&gt;0,DATE($C879,10,15)&gt;$T$861)),0,IF(DATE($C879,10,15)&gt;=$X$861,$AA$861*(1+($U$861)/100)^MAX(0,$C879-$AD$861),IF(DATE($C879,10,15)&gt;=$W$861,$Z$861*(1+($U$861)/100)^MAX(0,$C879-$AC$861),IF(DATE($C879,10,15)&gt;=$V$861,$Y$861*(1+($U$861)/100)^MAX(0,$C879-$AB$861),0)))))</f>
      </c>
      <c r="O879" s="43">
        <f>IF($S$861=0,0,IF(OR(DATE($C879,11,15)&lt;$S$861,AND($T$861&gt;0,DATE($C879,11,15)&gt;$T$861)),0,IF(DATE($C879,11,15)&gt;=$X$861,$AA$861*(1+($U$861)/100)^MAX(0,$C879-$AD$861),IF(DATE($C879,11,15)&gt;=$W$861,$Z$861*(1+($U$861)/100)^MAX(0,$C879-$AC$861),IF(DATE($C879,11,15)&gt;=$V$861,$Y$861*(1+($U$861)/100)^MAX(0,$C879-$AB$861),0)))))</f>
      </c>
      <c r="P879" s="43">
        <f>IF($S$861=0,0,IF(OR(DATE($C879,12,15)&lt;$S$861,AND($T$861&gt;0,DATE($C879,12,15)&gt;$T$861)),0,IF(DATE($C879,12,15)&gt;=$X$861,$AA$861*(1+($U$861)/100)^MAX(0,$C879-$AD$861),IF(DATE($C879,12,15)&gt;=$W$861,$Z$861*(1+($U$861)/100)^MAX(0,$C879-$AC$861),IF(DATE($C879,12,15)&gt;=$V$861,$Y$861*(1+($U$861)/100)^MAX(0,$C879-$AB$861),0)))))</f>
      </c>
      <c r="Q879" s="43">
        <f>SUM($E879:$P879)</f>
      </c>
    </row>
    <row r="880">
      <c r="A880"/>
      <c r="B880">
        <v>28</v>
      </c>
      <c r="C880" s="43">
        <f>Jahr+19</f>
      </c>
      <c r="D880" s="43">
        <f>INDEX(MvObj,28)</f>
      </c>
      <c r="E880" s="43">
        <f>IF($S$861=0,0,IF(OR(DATE($C880,1,15)&lt;$S$861,AND($T$861&gt;0,DATE($C880,1,15)&gt;$T$861)),0,IF(DATE($C880,1,15)&gt;=$X$861,$AA$861*(1+($U$861)/100)^MAX(0,$C880-$AD$861),IF(DATE($C880,1,15)&gt;=$W$861,$Z$861*(1+($U$861)/100)^MAX(0,$C880-$AC$861),IF(DATE($C880,1,15)&gt;=$V$861,$Y$861*(1+($U$861)/100)^MAX(0,$C880-$AB$861),0)))))</f>
      </c>
      <c r="F880" s="43">
        <f>IF($S$861=0,0,IF(OR(DATE($C880,2,15)&lt;$S$861,AND($T$861&gt;0,DATE($C880,2,15)&gt;$T$861)),0,IF(DATE($C880,2,15)&gt;=$X$861,$AA$861*(1+($U$861)/100)^MAX(0,$C880-$AD$861),IF(DATE($C880,2,15)&gt;=$W$861,$Z$861*(1+($U$861)/100)^MAX(0,$C880-$AC$861),IF(DATE($C880,2,15)&gt;=$V$861,$Y$861*(1+($U$861)/100)^MAX(0,$C880-$AB$861),0)))))</f>
      </c>
      <c r="G880" s="43">
        <f>IF($S$861=0,0,IF(OR(DATE($C880,3,15)&lt;$S$861,AND($T$861&gt;0,DATE($C880,3,15)&gt;$T$861)),0,IF(DATE($C880,3,15)&gt;=$X$861,$AA$861*(1+($U$861)/100)^MAX(0,$C880-$AD$861),IF(DATE($C880,3,15)&gt;=$W$861,$Z$861*(1+($U$861)/100)^MAX(0,$C880-$AC$861),IF(DATE($C880,3,15)&gt;=$V$861,$Y$861*(1+($U$861)/100)^MAX(0,$C880-$AB$861),0)))))</f>
      </c>
      <c r="H880" s="43">
        <f>IF($S$861=0,0,IF(OR(DATE($C880,4,15)&lt;$S$861,AND($T$861&gt;0,DATE($C880,4,15)&gt;$T$861)),0,IF(DATE($C880,4,15)&gt;=$X$861,$AA$861*(1+($U$861)/100)^MAX(0,$C880-$AD$861),IF(DATE($C880,4,15)&gt;=$W$861,$Z$861*(1+($U$861)/100)^MAX(0,$C880-$AC$861),IF(DATE($C880,4,15)&gt;=$V$861,$Y$861*(1+($U$861)/100)^MAX(0,$C880-$AB$861),0)))))</f>
      </c>
      <c r="I880" s="43">
        <f>IF($S$861=0,0,IF(OR(DATE($C880,5,15)&lt;$S$861,AND($T$861&gt;0,DATE($C880,5,15)&gt;$T$861)),0,IF(DATE($C880,5,15)&gt;=$X$861,$AA$861*(1+($U$861)/100)^MAX(0,$C880-$AD$861),IF(DATE($C880,5,15)&gt;=$W$861,$Z$861*(1+($U$861)/100)^MAX(0,$C880-$AC$861),IF(DATE($C880,5,15)&gt;=$V$861,$Y$861*(1+($U$861)/100)^MAX(0,$C880-$AB$861),0)))))</f>
      </c>
      <c r="J880" s="43">
        <f>IF($S$861=0,0,IF(OR(DATE($C880,6,15)&lt;$S$861,AND($T$861&gt;0,DATE($C880,6,15)&gt;$T$861)),0,IF(DATE($C880,6,15)&gt;=$X$861,$AA$861*(1+($U$861)/100)^MAX(0,$C880-$AD$861),IF(DATE($C880,6,15)&gt;=$W$861,$Z$861*(1+($U$861)/100)^MAX(0,$C880-$AC$861),IF(DATE($C880,6,15)&gt;=$V$861,$Y$861*(1+($U$861)/100)^MAX(0,$C880-$AB$861),0)))))</f>
      </c>
      <c r="K880" s="43">
        <f>IF($S$861=0,0,IF(OR(DATE($C880,7,15)&lt;$S$861,AND($T$861&gt;0,DATE($C880,7,15)&gt;$T$861)),0,IF(DATE($C880,7,15)&gt;=$X$861,$AA$861*(1+($U$861)/100)^MAX(0,$C880-$AD$861),IF(DATE($C880,7,15)&gt;=$W$861,$Z$861*(1+($U$861)/100)^MAX(0,$C880-$AC$861),IF(DATE($C880,7,15)&gt;=$V$861,$Y$861*(1+($U$861)/100)^MAX(0,$C880-$AB$861),0)))))</f>
      </c>
      <c r="L880" s="43">
        <f>IF($S$861=0,0,IF(OR(DATE($C880,8,15)&lt;$S$861,AND($T$861&gt;0,DATE($C880,8,15)&gt;$T$861)),0,IF(DATE($C880,8,15)&gt;=$X$861,$AA$861*(1+($U$861)/100)^MAX(0,$C880-$AD$861),IF(DATE($C880,8,15)&gt;=$W$861,$Z$861*(1+($U$861)/100)^MAX(0,$C880-$AC$861),IF(DATE($C880,8,15)&gt;=$V$861,$Y$861*(1+($U$861)/100)^MAX(0,$C880-$AB$861),0)))))</f>
      </c>
      <c r="M880" s="43">
        <f>IF($S$861=0,0,IF(OR(DATE($C880,9,15)&lt;$S$861,AND($T$861&gt;0,DATE($C880,9,15)&gt;$T$861)),0,IF(DATE($C880,9,15)&gt;=$X$861,$AA$861*(1+($U$861)/100)^MAX(0,$C880-$AD$861),IF(DATE($C880,9,15)&gt;=$W$861,$Z$861*(1+($U$861)/100)^MAX(0,$C880-$AC$861),IF(DATE($C880,9,15)&gt;=$V$861,$Y$861*(1+($U$861)/100)^MAX(0,$C880-$AB$861),0)))))</f>
      </c>
      <c r="N880" s="43">
        <f>IF($S$861=0,0,IF(OR(DATE($C880,10,15)&lt;$S$861,AND($T$861&gt;0,DATE($C880,10,15)&gt;$T$861)),0,IF(DATE($C880,10,15)&gt;=$X$861,$AA$861*(1+($U$861)/100)^MAX(0,$C880-$AD$861),IF(DATE($C880,10,15)&gt;=$W$861,$Z$861*(1+($U$861)/100)^MAX(0,$C880-$AC$861),IF(DATE($C880,10,15)&gt;=$V$861,$Y$861*(1+($U$861)/100)^MAX(0,$C880-$AB$861),0)))))</f>
      </c>
      <c r="O880" s="43">
        <f>IF($S$861=0,0,IF(OR(DATE($C880,11,15)&lt;$S$861,AND($T$861&gt;0,DATE($C880,11,15)&gt;$T$861)),0,IF(DATE($C880,11,15)&gt;=$X$861,$AA$861*(1+($U$861)/100)^MAX(0,$C880-$AD$861),IF(DATE($C880,11,15)&gt;=$W$861,$Z$861*(1+($U$861)/100)^MAX(0,$C880-$AC$861),IF(DATE($C880,11,15)&gt;=$V$861,$Y$861*(1+($U$861)/100)^MAX(0,$C880-$AB$861),0)))))</f>
      </c>
      <c r="P880" s="43">
        <f>IF($S$861=0,0,IF(OR(DATE($C880,12,15)&lt;$S$861,AND($T$861&gt;0,DATE($C880,12,15)&gt;$T$861)),0,IF(DATE($C880,12,15)&gt;=$X$861,$AA$861*(1+($U$861)/100)^MAX(0,$C880-$AD$861),IF(DATE($C880,12,15)&gt;=$W$861,$Z$861*(1+($U$861)/100)^MAX(0,$C880-$AC$861),IF(DATE($C880,12,15)&gt;=$V$861,$Y$861*(1+($U$861)/100)^MAX(0,$C880-$AB$861),0)))))</f>
      </c>
      <c r="Q880" s="43">
        <f>SUM($E880:$P880)</f>
      </c>
    </row>
    <row r="881">
      <c r="A881"/>
      <c r="B881">
        <v>28</v>
      </c>
      <c r="C881" s="43">
        <f>Jahr+20</f>
      </c>
      <c r="D881" s="43">
        <f>INDEX(MvObj,28)</f>
      </c>
      <c r="E881" s="43">
        <f>IF($S$861=0,0,IF(OR(DATE($C881,1,15)&lt;$S$861,AND($T$861&gt;0,DATE($C881,1,15)&gt;$T$861)),0,IF(DATE($C881,1,15)&gt;=$X$861,$AA$861*(1+($U$861)/100)^MAX(0,$C881-$AD$861),IF(DATE($C881,1,15)&gt;=$W$861,$Z$861*(1+($U$861)/100)^MAX(0,$C881-$AC$861),IF(DATE($C881,1,15)&gt;=$V$861,$Y$861*(1+($U$861)/100)^MAX(0,$C881-$AB$861),0)))))</f>
      </c>
      <c r="F881" s="43">
        <f>IF($S$861=0,0,IF(OR(DATE($C881,2,15)&lt;$S$861,AND($T$861&gt;0,DATE($C881,2,15)&gt;$T$861)),0,IF(DATE($C881,2,15)&gt;=$X$861,$AA$861*(1+($U$861)/100)^MAX(0,$C881-$AD$861),IF(DATE($C881,2,15)&gt;=$W$861,$Z$861*(1+($U$861)/100)^MAX(0,$C881-$AC$861),IF(DATE($C881,2,15)&gt;=$V$861,$Y$861*(1+($U$861)/100)^MAX(0,$C881-$AB$861),0)))))</f>
      </c>
      <c r="G881" s="43">
        <f>IF($S$861=0,0,IF(OR(DATE($C881,3,15)&lt;$S$861,AND($T$861&gt;0,DATE($C881,3,15)&gt;$T$861)),0,IF(DATE($C881,3,15)&gt;=$X$861,$AA$861*(1+($U$861)/100)^MAX(0,$C881-$AD$861),IF(DATE($C881,3,15)&gt;=$W$861,$Z$861*(1+($U$861)/100)^MAX(0,$C881-$AC$861),IF(DATE($C881,3,15)&gt;=$V$861,$Y$861*(1+($U$861)/100)^MAX(0,$C881-$AB$861),0)))))</f>
      </c>
      <c r="H881" s="43">
        <f>IF($S$861=0,0,IF(OR(DATE($C881,4,15)&lt;$S$861,AND($T$861&gt;0,DATE($C881,4,15)&gt;$T$861)),0,IF(DATE($C881,4,15)&gt;=$X$861,$AA$861*(1+($U$861)/100)^MAX(0,$C881-$AD$861),IF(DATE($C881,4,15)&gt;=$W$861,$Z$861*(1+($U$861)/100)^MAX(0,$C881-$AC$861),IF(DATE($C881,4,15)&gt;=$V$861,$Y$861*(1+($U$861)/100)^MAX(0,$C881-$AB$861),0)))))</f>
      </c>
      <c r="I881" s="43">
        <f>IF($S$861=0,0,IF(OR(DATE($C881,5,15)&lt;$S$861,AND($T$861&gt;0,DATE($C881,5,15)&gt;$T$861)),0,IF(DATE($C881,5,15)&gt;=$X$861,$AA$861*(1+($U$861)/100)^MAX(0,$C881-$AD$861),IF(DATE($C881,5,15)&gt;=$W$861,$Z$861*(1+($U$861)/100)^MAX(0,$C881-$AC$861),IF(DATE($C881,5,15)&gt;=$V$861,$Y$861*(1+($U$861)/100)^MAX(0,$C881-$AB$861),0)))))</f>
      </c>
      <c r="J881" s="43">
        <f>IF($S$861=0,0,IF(OR(DATE($C881,6,15)&lt;$S$861,AND($T$861&gt;0,DATE($C881,6,15)&gt;$T$861)),0,IF(DATE($C881,6,15)&gt;=$X$861,$AA$861*(1+($U$861)/100)^MAX(0,$C881-$AD$861),IF(DATE($C881,6,15)&gt;=$W$861,$Z$861*(1+($U$861)/100)^MAX(0,$C881-$AC$861),IF(DATE($C881,6,15)&gt;=$V$861,$Y$861*(1+($U$861)/100)^MAX(0,$C881-$AB$861),0)))))</f>
      </c>
      <c r="K881" s="43">
        <f>IF($S$861=0,0,IF(OR(DATE($C881,7,15)&lt;$S$861,AND($T$861&gt;0,DATE($C881,7,15)&gt;$T$861)),0,IF(DATE($C881,7,15)&gt;=$X$861,$AA$861*(1+($U$861)/100)^MAX(0,$C881-$AD$861),IF(DATE($C881,7,15)&gt;=$W$861,$Z$861*(1+($U$861)/100)^MAX(0,$C881-$AC$861),IF(DATE($C881,7,15)&gt;=$V$861,$Y$861*(1+($U$861)/100)^MAX(0,$C881-$AB$861),0)))))</f>
      </c>
      <c r="L881" s="43">
        <f>IF($S$861=0,0,IF(OR(DATE($C881,8,15)&lt;$S$861,AND($T$861&gt;0,DATE($C881,8,15)&gt;$T$861)),0,IF(DATE($C881,8,15)&gt;=$X$861,$AA$861*(1+($U$861)/100)^MAX(0,$C881-$AD$861),IF(DATE($C881,8,15)&gt;=$W$861,$Z$861*(1+($U$861)/100)^MAX(0,$C881-$AC$861),IF(DATE($C881,8,15)&gt;=$V$861,$Y$861*(1+($U$861)/100)^MAX(0,$C881-$AB$861),0)))))</f>
      </c>
      <c r="M881" s="43">
        <f>IF($S$861=0,0,IF(OR(DATE($C881,9,15)&lt;$S$861,AND($T$861&gt;0,DATE($C881,9,15)&gt;$T$861)),0,IF(DATE($C881,9,15)&gt;=$X$861,$AA$861*(1+($U$861)/100)^MAX(0,$C881-$AD$861),IF(DATE($C881,9,15)&gt;=$W$861,$Z$861*(1+($U$861)/100)^MAX(0,$C881-$AC$861),IF(DATE($C881,9,15)&gt;=$V$861,$Y$861*(1+($U$861)/100)^MAX(0,$C881-$AB$861),0)))))</f>
      </c>
      <c r="N881" s="43">
        <f>IF($S$861=0,0,IF(OR(DATE($C881,10,15)&lt;$S$861,AND($T$861&gt;0,DATE($C881,10,15)&gt;$T$861)),0,IF(DATE($C881,10,15)&gt;=$X$861,$AA$861*(1+($U$861)/100)^MAX(0,$C881-$AD$861),IF(DATE($C881,10,15)&gt;=$W$861,$Z$861*(1+($U$861)/100)^MAX(0,$C881-$AC$861),IF(DATE($C881,10,15)&gt;=$V$861,$Y$861*(1+($U$861)/100)^MAX(0,$C881-$AB$861),0)))))</f>
      </c>
      <c r="O881" s="43">
        <f>IF($S$861=0,0,IF(OR(DATE($C881,11,15)&lt;$S$861,AND($T$861&gt;0,DATE($C881,11,15)&gt;$T$861)),0,IF(DATE($C881,11,15)&gt;=$X$861,$AA$861*(1+($U$861)/100)^MAX(0,$C881-$AD$861),IF(DATE($C881,11,15)&gt;=$W$861,$Z$861*(1+($U$861)/100)^MAX(0,$C881-$AC$861),IF(DATE($C881,11,15)&gt;=$V$861,$Y$861*(1+($U$861)/100)^MAX(0,$C881-$AB$861),0)))))</f>
      </c>
      <c r="P881" s="43">
        <f>IF($S$861=0,0,IF(OR(DATE($C881,12,15)&lt;$S$861,AND($T$861&gt;0,DATE($C881,12,15)&gt;$T$861)),0,IF(DATE($C881,12,15)&gt;=$X$861,$AA$861*(1+($U$861)/100)^MAX(0,$C881-$AD$861),IF(DATE($C881,12,15)&gt;=$W$861,$Z$861*(1+($U$861)/100)^MAX(0,$C881-$AC$861),IF(DATE($C881,12,15)&gt;=$V$861,$Y$861*(1+($U$861)/100)^MAX(0,$C881-$AB$861),0)))))</f>
      </c>
      <c r="Q881" s="43">
        <f>SUM($E881:$P881)</f>
      </c>
    </row>
    <row r="882">
      <c r="A882"/>
      <c r="B882">
        <v>28</v>
      </c>
      <c r="C882" s="43">
        <f>Jahr+21</f>
      </c>
      <c r="D882" s="43">
        <f>INDEX(MvObj,28)</f>
      </c>
      <c r="E882" s="43">
        <f>IF($S$861=0,0,IF(OR(DATE($C882,1,15)&lt;$S$861,AND($T$861&gt;0,DATE($C882,1,15)&gt;$T$861)),0,IF(DATE($C882,1,15)&gt;=$X$861,$AA$861*(1+($U$861)/100)^MAX(0,$C882-$AD$861),IF(DATE($C882,1,15)&gt;=$W$861,$Z$861*(1+($U$861)/100)^MAX(0,$C882-$AC$861),IF(DATE($C882,1,15)&gt;=$V$861,$Y$861*(1+($U$861)/100)^MAX(0,$C882-$AB$861),0)))))</f>
      </c>
      <c r="F882" s="43">
        <f>IF($S$861=0,0,IF(OR(DATE($C882,2,15)&lt;$S$861,AND($T$861&gt;0,DATE($C882,2,15)&gt;$T$861)),0,IF(DATE($C882,2,15)&gt;=$X$861,$AA$861*(1+($U$861)/100)^MAX(0,$C882-$AD$861),IF(DATE($C882,2,15)&gt;=$W$861,$Z$861*(1+($U$861)/100)^MAX(0,$C882-$AC$861),IF(DATE($C882,2,15)&gt;=$V$861,$Y$861*(1+($U$861)/100)^MAX(0,$C882-$AB$861),0)))))</f>
      </c>
      <c r="G882" s="43">
        <f>IF($S$861=0,0,IF(OR(DATE($C882,3,15)&lt;$S$861,AND($T$861&gt;0,DATE($C882,3,15)&gt;$T$861)),0,IF(DATE($C882,3,15)&gt;=$X$861,$AA$861*(1+($U$861)/100)^MAX(0,$C882-$AD$861),IF(DATE($C882,3,15)&gt;=$W$861,$Z$861*(1+($U$861)/100)^MAX(0,$C882-$AC$861),IF(DATE($C882,3,15)&gt;=$V$861,$Y$861*(1+($U$861)/100)^MAX(0,$C882-$AB$861),0)))))</f>
      </c>
      <c r="H882" s="43">
        <f>IF($S$861=0,0,IF(OR(DATE($C882,4,15)&lt;$S$861,AND($T$861&gt;0,DATE($C882,4,15)&gt;$T$861)),0,IF(DATE($C882,4,15)&gt;=$X$861,$AA$861*(1+($U$861)/100)^MAX(0,$C882-$AD$861),IF(DATE($C882,4,15)&gt;=$W$861,$Z$861*(1+($U$861)/100)^MAX(0,$C882-$AC$861),IF(DATE($C882,4,15)&gt;=$V$861,$Y$861*(1+($U$861)/100)^MAX(0,$C882-$AB$861),0)))))</f>
      </c>
      <c r="I882" s="43">
        <f>IF($S$861=0,0,IF(OR(DATE($C882,5,15)&lt;$S$861,AND($T$861&gt;0,DATE($C882,5,15)&gt;$T$861)),0,IF(DATE($C882,5,15)&gt;=$X$861,$AA$861*(1+($U$861)/100)^MAX(0,$C882-$AD$861),IF(DATE($C882,5,15)&gt;=$W$861,$Z$861*(1+($U$861)/100)^MAX(0,$C882-$AC$861),IF(DATE($C882,5,15)&gt;=$V$861,$Y$861*(1+($U$861)/100)^MAX(0,$C882-$AB$861),0)))))</f>
      </c>
      <c r="J882" s="43">
        <f>IF($S$861=0,0,IF(OR(DATE($C882,6,15)&lt;$S$861,AND($T$861&gt;0,DATE($C882,6,15)&gt;$T$861)),0,IF(DATE($C882,6,15)&gt;=$X$861,$AA$861*(1+($U$861)/100)^MAX(0,$C882-$AD$861),IF(DATE($C882,6,15)&gt;=$W$861,$Z$861*(1+($U$861)/100)^MAX(0,$C882-$AC$861),IF(DATE($C882,6,15)&gt;=$V$861,$Y$861*(1+($U$861)/100)^MAX(0,$C882-$AB$861),0)))))</f>
      </c>
      <c r="K882" s="43">
        <f>IF($S$861=0,0,IF(OR(DATE($C882,7,15)&lt;$S$861,AND($T$861&gt;0,DATE($C882,7,15)&gt;$T$861)),0,IF(DATE($C882,7,15)&gt;=$X$861,$AA$861*(1+($U$861)/100)^MAX(0,$C882-$AD$861),IF(DATE($C882,7,15)&gt;=$W$861,$Z$861*(1+($U$861)/100)^MAX(0,$C882-$AC$861),IF(DATE($C882,7,15)&gt;=$V$861,$Y$861*(1+($U$861)/100)^MAX(0,$C882-$AB$861),0)))))</f>
      </c>
      <c r="L882" s="43">
        <f>IF($S$861=0,0,IF(OR(DATE($C882,8,15)&lt;$S$861,AND($T$861&gt;0,DATE($C882,8,15)&gt;$T$861)),0,IF(DATE($C882,8,15)&gt;=$X$861,$AA$861*(1+($U$861)/100)^MAX(0,$C882-$AD$861),IF(DATE($C882,8,15)&gt;=$W$861,$Z$861*(1+($U$861)/100)^MAX(0,$C882-$AC$861),IF(DATE($C882,8,15)&gt;=$V$861,$Y$861*(1+($U$861)/100)^MAX(0,$C882-$AB$861),0)))))</f>
      </c>
      <c r="M882" s="43">
        <f>IF($S$861=0,0,IF(OR(DATE($C882,9,15)&lt;$S$861,AND($T$861&gt;0,DATE($C882,9,15)&gt;$T$861)),0,IF(DATE($C882,9,15)&gt;=$X$861,$AA$861*(1+($U$861)/100)^MAX(0,$C882-$AD$861),IF(DATE($C882,9,15)&gt;=$W$861,$Z$861*(1+($U$861)/100)^MAX(0,$C882-$AC$861),IF(DATE($C882,9,15)&gt;=$V$861,$Y$861*(1+($U$861)/100)^MAX(0,$C882-$AB$861),0)))))</f>
      </c>
      <c r="N882" s="43">
        <f>IF($S$861=0,0,IF(OR(DATE($C882,10,15)&lt;$S$861,AND($T$861&gt;0,DATE($C882,10,15)&gt;$T$861)),0,IF(DATE($C882,10,15)&gt;=$X$861,$AA$861*(1+($U$861)/100)^MAX(0,$C882-$AD$861),IF(DATE($C882,10,15)&gt;=$W$861,$Z$861*(1+($U$861)/100)^MAX(0,$C882-$AC$861),IF(DATE($C882,10,15)&gt;=$V$861,$Y$861*(1+($U$861)/100)^MAX(0,$C882-$AB$861),0)))))</f>
      </c>
      <c r="O882" s="43">
        <f>IF($S$861=0,0,IF(OR(DATE($C882,11,15)&lt;$S$861,AND($T$861&gt;0,DATE($C882,11,15)&gt;$T$861)),0,IF(DATE($C882,11,15)&gt;=$X$861,$AA$861*(1+($U$861)/100)^MAX(0,$C882-$AD$861),IF(DATE($C882,11,15)&gt;=$W$861,$Z$861*(1+($U$861)/100)^MAX(0,$C882-$AC$861),IF(DATE($C882,11,15)&gt;=$V$861,$Y$861*(1+($U$861)/100)^MAX(0,$C882-$AB$861),0)))))</f>
      </c>
      <c r="P882" s="43">
        <f>IF($S$861=0,0,IF(OR(DATE($C882,12,15)&lt;$S$861,AND($T$861&gt;0,DATE($C882,12,15)&gt;$T$861)),0,IF(DATE($C882,12,15)&gt;=$X$861,$AA$861*(1+($U$861)/100)^MAX(0,$C882-$AD$861),IF(DATE($C882,12,15)&gt;=$W$861,$Z$861*(1+($U$861)/100)^MAX(0,$C882-$AC$861),IF(DATE($C882,12,15)&gt;=$V$861,$Y$861*(1+($U$861)/100)^MAX(0,$C882-$AB$861),0)))))</f>
      </c>
      <c r="Q882" s="43">
        <f>SUM($E882:$P882)</f>
      </c>
    </row>
    <row r="883">
      <c r="A883"/>
      <c r="B883">
        <v>28</v>
      </c>
      <c r="C883" s="43">
        <f>Jahr+22</f>
      </c>
      <c r="D883" s="43">
        <f>INDEX(MvObj,28)</f>
      </c>
      <c r="E883" s="43">
        <f>IF($S$861=0,0,IF(OR(DATE($C883,1,15)&lt;$S$861,AND($T$861&gt;0,DATE($C883,1,15)&gt;$T$861)),0,IF(DATE($C883,1,15)&gt;=$X$861,$AA$861*(1+($U$861)/100)^MAX(0,$C883-$AD$861),IF(DATE($C883,1,15)&gt;=$W$861,$Z$861*(1+($U$861)/100)^MAX(0,$C883-$AC$861),IF(DATE($C883,1,15)&gt;=$V$861,$Y$861*(1+($U$861)/100)^MAX(0,$C883-$AB$861),0)))))</f>
      </c>
      <c r="F883" s="43">
        <f>IF($S$861=0,0,IF(OR(DATE($C883,2,15)&lt;$S$861,AND($T$861&gt;0,DATE($C883,2,15)&gt;$T$861)),0,IF(DATE($C883,2,15)&gt;=$X$861,$AA$861*(1+($U$861)/100)^MAX(0,$C883-$AD$861),IF(DATE($C883,2,15)&gt;=$W$861,$Z$861*(1+($U$861)/100)^MAX(0,$C883-$AC$861),IF(DATE($C883,2,15)&gt;=$V$861,$Y$861*(1+($U$861)/100)^MAX(0,$C883-$AB$861),0)))))</f>
      </c>
      <c r="G883" s="43">
        <f>IF($S$861=0,0,IF(OR(DATE($C883,3,15)&lt;$S$861,AND($T$861&gt;0,DATE($C883,3,15)&gt;$T$861)),0,IF(DATE($C883,3,15)&gt;=$X$861,$AA$861*(1+($U$861)/100)^MAX(0,$C883-$AD$861),IF(DATE($C883,3,15)&gt;=$W$861,$Z$861*(1+($U$861)/100)^MAX(0,$C883-$AC$861),IF(DATE($C883,3,15)&gt;=$V$861,$Y$861*(1+($U$861)/100)^MAX(0,$C883-$AB$861),0)))))</f>
      </c>
      <c r="H883" s="43">
        <f>IF($S$861=0,0,IF(OR(DATE($C883,4,15)&lt;$S$861,AND($T$861&gt;0,DATE($C883,4,15)&gt;$T$861)),0,IF(DATE($C883,4,15)&gt;=$X$861,$AA$861*(1+($U$861)/100)^MAX(0,$C883-$AD$861),IF(DATE($C883,4,15)&gt;=$W$861,$Z$861*(1+($U$861)/100)^MAX(0,$C883-$AC$861),IF(DATE($C883,4,15)&gt;=$V$861,$Y$861*(1+($U$861)/100)^MAX(0,$C883-$AB$861),0)))))</f>
      </c>
      <c r="I883" s="43">
        <f>IF($S$861=0,0,IF(OR(DATE($C883,5,15)&lt;$S$861,AND($T$861&gt;0,DATE($C883,5,15)&gt;$T$861)),0,IF(DATE($C883,5,15)&gt;=$X$861,$AA$861*(1+($U$861)/100)^MAX(0,$C883-$AD$861),IF(DATE($C883,5,15)&gt;=$W$861,$Z$861*(1+($U$861)/100)^MAX(0,$C883-$AC$861),IF(DATE($C883,5,15)&gt;=$V$861,$Y$861*(1+($U$861)/100)^MAX(0,$C883-$AB$861),0)))))</f>
      </c>
      <c r="J883" s="43">
        <f>IF($S$861=0,0,IF(OR(DATE($C883,6,15)&lt;$S$861,AND($T$861&gt;0,DATE($C883,6,15)&gt;$T$861)),0,IF(DATE($C883,6,15)&gt;=$X$861,$AA$861*(1+($U$861)/100)^MAX(0,$C883-$AD$861),IF(DATE($C883,6,15)&gt;=$W$861,$Z$861*(1+($U$861)/100)^MAX(0,$C883-$AC$861),IF(DATE($C883,6,15)&gt;=$V$861,$Y$861*(1+($U$861)/100)^MAX(0,$C883-$AB$861),0)))))</f>
      </c>
      <c r="K883" s="43">
        <f>IF($S$861=0,0,IF(OR(DATE($C883,7,15)&lt;$S$861,AND($T$861&gt;0,DATE($C883,7,15)&gt;$T$861)),0,IF(DATE($C883,7,15)&gt;=$X$861,$AA$861*(1+($U$861)/100)^MAX(0,$C883-$AD$861),IF(DATE($C883,7,15)&gt;=$W$861,$Z$861*(1+($U$861)/100)^MAX(0,$C883-$AC$861),IF(DATE($C883,7,15)&gt;=$V$861,$Y$861*(1+($U$861)/100)^MAX(0,$C883-$AB$861),0)))))</f>
      </c>
      <c r="L883" s="43">
        <f>IF($S$861=0,0,IF(OR(DATE($C883,8,15)&lt;$S$861,AND($T$861&gt;0,DATE($C883,8,15)&gt;$T$861)),0,IF(DATE($C883,8,15)&gt;=$X$861,$AA$861*(1+($U$861)/100)^MAX(0,$C883-$AD$861),IF(DATE($C883,8,15)&gt;=$W$861,$Z$861*(1+($U$861)/100)^MAX(0,$C883-$AC$861),IF(DATE($C883,8,15)&gt;=$V$861,$Y$861*(1+($U$861)/100)^MAX(0,$C883-$AB$861),0)))))</f>
      </c>
      <c r="M883" s="43">
        <f>IF($S$861=0,0,IF(OR(DATE($C883,9,15)&lt;$S$861,AND($T$861&gt;0,DATE($C883,9,15)&gt;$T$861)),0,IF(DATE($C883,9,15)&gt;=$X$861,$AA$861*(1+($U$861)/100)^MAX(0,$C883-$AD$861),IF(DATE($C883,9,15)&gt;=$W$861,$Z$861*(1+($U$861)/100)^MAX(0,$C883-$AC$861),IF(DATE($C883,9,15)&gt;=$V$861,$Y$861*(1+($U$861)/100)^MAX(0,$C883-$AB$861),0)))))</f>
      </c>
      <c r="N883" s="43">
        <f>IF($S$861=0,0,IF(OR(DATE($C883,10,15)&lt;$S$861,AND($T$861&gt;0,DATE($C883,10,15)&gt;$T$861)),0,IF(DATE($C883,10,15)&gt;=$X$861,$AA$861*(1+($U$861)/100)^MAX(0,$C883-$AD$861),IF(DATE($C883,10,15)&gt;=$W$861,$Z$861*(1+($U$861)/100)^MAX(0,$C883-$AC$861),IF(DATE($C883,10,15)&gt;=$V$861,$Y$861*(1+($U$861)/100)^MAX(0,$C883-$AB$861),0)))))</f>
      </c>
      <c r="O883" s="43">
        <f>IF($S$861=0,0,IF(OR(DATE($C883,11,15)&lt;$S$861,AND($T$861&gt;0,DATE($C883,11,15)&gt;$T$861)),0,IF(DATE($C883,11,15)&gt;=$X$861,$AA$861*(1+($U$861)/100)^MAX(0,$C883-$AD$861),IF(DATE($C883,11,15)&gt;=$W$861,$Z$861*(1+($U$861)/100)^MAX(0,$C883-$AC$861),IF(DATE($C883,11,15)&gt;=$V$861,$Y$861*(1+($U$861)/100)^MAX(0,$C883-$AB$861),0)))))</f>
      </c>
      <c r="P883" s="43">
        <f>IF($S$861=0,0,IF(OR(DATE($C883,12,15)&lt;$S$861,AND($T$861&gt;0,DATE($C883,12,15)&gt;$T$861)),0,IF(DATE($C883,12,15)&gt;=$X$861,$AA$861*(1+($U$861)/100)^MAX(0,$C883-$AD$861),IF(DATE($C883,12,15)&gt;=$W$861,$Z$861*(1+($U$861)/100)^MAX(0,$C883-$AC$861),IF(DATE($C883,12,15)&gt;=$V$861,$Y$861*(1+($U$861)/100)^MAX(0,$C883-$AB$861),0)))))</f>
      </c>
      <c r="Q883" s="43">
        <f>SUM($E883:$P883)</f>
      </c>
    </row>
    <row r="884">
      <c r="A884"/>
      <c r="B884">
        <v>28</v>
      </c>
      <c r="C884" s="43">
        <f>Jahr+23</f>
      </c>
      <c r="D884" s="43">
        <f>INDEX(MvObj,28)</f>
      </c>
      <c r="E884" s="43">
        <f>IF($S$861=0,0,IF(OR(DATE($C884,1,15)&lt;$S$861,AND($T$861&gt;0,DATE($C884,1,15)&gt;$T$861)),0,IF(DATE($C884,1,15)&gt;=$X$861,$AA$861*(1+($U$861)/100)^MAX(0,$C884-$AD$861),IF(DATE($C884,1,15)&gt;=$W$861,$Z$861*(1+($U$861)/100)^MAX(0,$C884-$AC$861),IF(DATE($C884,1,15)&gt;=$V$861,$Y$861*(1+($U$861)/100)^MAX(0,$C884-$AB$861),0)))))</f>
      </c>
      <c r="F884" s="43">
        <f>IF($S$861=0,0,IF(OR(DATE($C884,2,15)&lt;$S$861,AND($T$861&gt;0,DATE($C884,2,15)&gt;$T$861)),0,IF(DATE($C884,2,15)&gt;=$X$861,$AA$861*(1+($U$861)/100)^MAX(0,$C884-$AD$861),IF(DATE($C884,2,15)&gt;=$W$861,$Z$861*(1+($U$861)/100)^MAX(0,$C884-$AC$861),IF(DATE($C884,2,15)&gt;=$V$861,$Y$861*(1+($U$861)/100)^MAX(0,$C884-$AB$861),0)))))</f>
      </c>
      <c r="G884" s="43">
        <f>IF($S$861=0,0,IF(OR(DATE($C884,3,15)&lt;$S$861,AND($T$861&gt;0,DATE($C884,3,15)&gt;$T$861)),0,IF(DATE($C884,3,15)&gt;=$X$861,$AA$861*(1+($U$861)/100)^MAX(0,$C884-$AD$861),IF(DATE($C884,3,15)&gt;=$W$861,$Z$861*(1+($U$861)/100)^MAX(0,$C884-$AC$861),IF(DATE($C884,3,15)&gt;=$V$861,$Y$861*(1+($U$861)/100)^MAX(0,$C884-$AB$861),0)))))</f>
      </c>
      <c r="H884" s="43">
        <f>IF($S$861=0,0,IF(OR(DATE($C884,4,15)&lt;$S$861,AND($T$861&gt;0,DATE($C884,4,15)&gt;$T$861)),0,IF(DATE($C884,4,15)&gt;=$X$861,$AA$861*(1+($U$861)/100)^MAX(0,$C884-$AD$861),IF(DATE($C884,4,15)&gt;=$W$861,$Z$861*(1+($U$861)/100)^MAX(0,$C884-$AC$861),IF(DATE($C884,4,15)&gt;=$V$861,$Y$861*(1+($U$861)/100)^MAX(0,$C884-$AB$861),0)))))</f>
      </c>
      <c r="I884" s="43">
        <f>IF($S$861=0,0,IF(OR(DATE($C884,5,15)&lt;$S$861,AND($T$861&gt;0,DATE($C884,5,15)&gt;$T$861)),0,IF(DATE($C884,5,15)&gt;=$X$861,$AA$861*(1+($U$861)/100)^MAX(0,$C884-$AD$861),IF(DATE($C884,5,15)&gt;=$W$861,$Z$861*(1+($U$861)/100)^MAX(0,$C884-$AC$861),IF(DATE($C884,5,15)&gt;=$V$861,$Y$861*(1+($U$861)/100)^MAX(0,$C884-$AB$861),0)))))</f>
      </c>
      <c r="J884" s="43">
        <f>IF($S$861=0,0,IF(OR(DATE($C884,6,15)&lt;$S$861,AND($T$861&gt;0,DATE($C884,6,15)&gt;$T$861)),0,IF(DATE($C884,6,15)&gt;=$X$861,$AA$861*(1+($U$861)/100)^MAX(0,$C884-$AD$861),IF(DATE($C884,6,15)&gt;=$W$861,$Z$861*(1+($U$861)/100)^MAX(0,$C884-$AC$861),IF(DATE($C884,6,15)&gt;=$V$861,$Y$861*(1+($U$861)/100)^MAX(0,$C884-$AB$861),0)))))</f>
      </c>
      <c r="K884" s="43">
        <f>IF($S$861=0,0,IF(OR(DATE($C884,7,15)&lt;$S$861,AND($T$861&gt;0,DATE($C884,7,15)&gt;$T$861)),0,IF(DATE($C884,7,15)&gt;=$X$861,$AA$861*(1+($U$861)/100)^MAX(0,$C884-$AD$861),IF(DATE($C884,7,15)&gt;=$W$861,$Z$861*(1+($U$861)/100)^MAX(0,$C884-$AC$861),IF(DATE($C884,7,15)&gt;=$V$861,$Y$861*(1+($U$861)/100)^MAX(0,$C884-$AB$861),0)))))</f>
      </c>
      <c r="L884" s="43">
        <f>IF($S$861=0,0,IF(OR(DATE($C884,8,15)&lt;$S$861,AND($T$861&gt;0,DATE($C884,8,15)&gt;$T$861)),0,IF(DATE($C884,8,15)&gt;=$X$861,$AA$861*(1+($U$861)/100)^MAX(0,$C884-$AD$861),IF(DATE($C884,8,15)&gt;=$W$861,$Z$861*(1+($U$861)/100)^MAX(0,$C884-$AC$861),IF(DATE($C884,8,15)&gt;=$V$861,$Y$861*(1+($U$861)/100)^MAX(0,$C884-$AB$861),0)))))</f>
      </c>
      <c r="M884" s="43">
        <f>IF($S$861=0,0,IF(OR(DATE($C884,9,15)&lt;$S$861,AND($T$861&gt;0,DATE($C884,9,15)&gt;$T$861)),0,IF(DATE($C884,9,15)&gt;=$X$861,$AA$861*(1+($U$861)/100)^MAX(0,$C884-$AD$861),IF(DATE($C884,9,15)&gt;=$W$861,$Z$861*(1+($U$861)/100)^MAX(0,$C884-$AC$861),IF(DATE($C884,9,15)&gt;=$V$861,$Y$861*(1+($U$861)/100)^MAX(0,$C884-$AB$861),0)))))</f>
      </c>
      <c r="N884" s="43">
        <f>IF($S$861=0,0,IF(OR(DATE($C884,10,15)&lt;$S$861,AND($T$861&gt;0,DATE($C884,10,15)&gt;$T$861)),0,IF(DATE($C884,10,15)&gt;=$X$861,$AA$861*(1+($U$861)/100)^MAX(0,$C884-$AD$861),IF(DATE($C884,10,15)&gt;=$W$861,$Z$861*(1+($U$861)/100)^MAX(0,$C884-$AC$861),IF(DATE($C884,10,15)&gt;=$V$861,$Y$861*(1+($U$861)/100)^MAX(0,$C884-$AB$861),0)))))</f>
      </c>
      <c r="O884" s="43">
        <f>IF($S$861=0,0,IF(OR(DATE($C884,11,15)&lt;$S$861,AND($T$861&gt;0,DATE($C884,11,15)&gt;$T$861)),0,IF(DATE($C884,11,15)&gt;=$X$861,$AA$861*(1+($U$861)/100)^MAX(0,$C884-$AD$861),IF(DATE($C884,11,15)&gt;=$W$861,$Z$861*(1+($U$861)/100)^MAX(0,$C884-$AC$861),IF(DATE($C884,11,15)&gt;=$V$861,$Y$861*(1+($U$861)/100)^MAX(0,$C884-$AB$861),0)))))</f>
      </c>
      <c r="P884" s="43">
        <f>IF($S$861=0,0,IF(OR(DATE($C884,12,15)&lt;$S$861,AND($T$861&gt;0,DATE($C884,12,15)&gt;$T$861)),0,IF(DATE($C884,12,15)&gt;=$X$861,$AA$861*(1+($U$861)/100)^MAX(0,$C884-$AD$861),IF(DATE($C884,12,15)&gt;=$W$861,$Z$861*(1+($U$861)/100)^MAX(0,$C884-$AC$861),IF(DATE($C884,12,15)&gt;=$V$861,$Y$861*(1+($U$861)/100)^MAX(0,$C884-$AB$861),0)))))</f>
      </c>
      <c r="Q884" s="43">
        <f>SUM($E884:$P884)</f>
      </c>
    </row>
    <row r="885">
      <c r="A885"/>
      <c r="B885">
        <v>28</v>
      </c>
      <c r="C885" s="43">
        <f>Jahr+24</f>
      </c>
      <c r="D885" s="43">
        <f>INDEX(MvObj,28)</f>
      </c>
      <c r="E885" s="43">
        <f>IF($S$861=0,0,IF(OR(DATE($C885,1,15)&lt;$S$861,AND($T$861&gt;0,DATE($C885,1,15)&gt;$T$861)),0,IF(DATE($C885,1,15)&gt;=$X$861,$AA$861*(1+($U$861)/100)^MAX(0,$C885-$AD$861),IF(DATE($C885,1,15)&gt;=$W$861,$Z$861*(1+($U$861)/100)^MAX(0,$C885-$AC$861),IF(DATE($C885,1,15)&gt;=$V$861,$Y$861*(1+($U$861)/100)^MAX(0,$C885-$AB$861),0)))))</f>
      </c>
      <c r="F885" s="43">
        <f>IF($S$861=0,0,IF(OR(DATE($C885,2,15)&lt;$S$861,AND($T$861&gt;0,DATE($C885,2,15)&gt;$T$861)),0,IF(DATE($C885,2,15)&gt;=$X$861,$AA$861*(1+($U$861)/100)^MAX(0,$C885-$AD$861),IF(DATE($C885,2,15)&gt;=$W$861,$Z$861*(1+($U$861)/100)^MAX(0,$C885-$AC$861),IF(DATE($C885,2,15)&gt;=$V$861,$Y$861*(1+($U$861)/100)^MAX(0,$C885-$AB$861),0)))))</f>
      </c>
      <c r="G885" s="43">
        <f>IF($S$861=0,0,IF(OR(DATE($C885,3,15)&lt;$S$861,AND($T$861&gt;0,DATE($C885,3,15)&gt;$T$861)),0,IF(DATE($C885,3,15)&gt;=$X$861,$AA$861*(1+($U$861)/100)^MAX(0,$C885-$AD$861),IF(DATE($C885,3,15)&gt;=$W$861,$Z$861*(1+($U$861)/100)^MAX(0,$C885-$AC$861),IF(DATE($C885,3,15)&gt;=$V$861,$Y$861*(1+($U$861)/100)^MAX(0,$C885-$AB$861),0)))))</f>
      </c>
      <c r="H885" s="43">
        <f>IF($S$861=0,0,IF(OR(DATE($C885,4,15)&lt;$S$861,AND($T$861&gt;0,DATE($C885,4,15)&gt;$T$861)),0,IF(DATE($C885,4,15)&gt;=$X$861,$AA$861*(1+($U$861)/100)^MAX(0,$C885-$AD$861),IF(DATE($C885,4,15)&gt;=$W$861,$Z$861*(1+($U$861)/100)^MAX(0,$C885-$AC$861),IF(DATE($C885,4,15)&gt;=$V$861,$Y$861*(1+($U$861)/100)^MAX(0,$C885-$AB$861),0)))))</f>
      </c>
      <c r="I885" s="43">
        <f>IF($S$861=0,0,IF(OR(DATE($C885,5,15)&lt;$S$861,AND($T$861&gt;0,DATE($C885,5,15)&gt;$T$861)),0,IF(DATE($C885,5,15)&gt;=$X$861,$AA$861*(1+($U$861)/100)^MAX(0,$C885-$AD$861),IF(DATE($C885,5,15)&gt;=$W$861,$Z$861*(1+($U$861)/100)^MAX(0,$C885-$AC$861),IF(DATE($C885,5,15)&gt;=$V$861,$Y$861*(1+($U$861)/100)^MAX(0,$C885-$AB$861),0)))))</f>
      </c>
      <c r="J885" s="43">
        <f>IF($S$861=0,0,IF(OR(DATE($C885,6,15)&lt;$S$861,AND($T$861&gt;0,DATE($C885,6,15)&gt;$T$861)),0,IF(DATE($C885,6,15)&gt;=$X$861,$AA$861*(1+($U$861)/100)^MAX(0,$C885-$AD$861),IF(DATE($C885,6,15)&gt;=$W$861,$Z$861*(1+($U$861)/100)^MAX(0,$C885-$AC$861),IF(DATE($C885,6,15)&gt;=$V$861,$Y$861*(1+($U$861)/100)^MAX(0,$C885-$AB$861),0)))))</f>
      </c>
      <c r="K885" s="43">
        <f>IF($S$861=0,0,IF(OR(DATE($C885,7,15)&lt;$S$861,AND($T$861&gt;0,DATE($C885,7,15)&gt;$T$861)),0,IF(DATE($C885,7,15)&gt;=$X$861,$AA$861*(1+($U$861)/100)^MAX(0,$C885-$AD$861),IF(DATE($C885,7,15)&gt;=$W$861,$Z$861*(1+($U$861)/100)^MAX(0,$C885-$AC$861),IF(DATE($C885,7,15)&gt;=$V$861,$Y$861*(1+($U$861)/100)^MAX(0,$C885-$AB$861),0)))))</f>
      </c>
      <c r="L885" s="43">
        <f>IF($S$861=0,0,IF(OR(DATE($C885,8,15)&lt;$S$861,AND($T$861&gt;0,DATE($C885,8,15)&gt;$T$861)),0,IF(DATE($C885,8,15)&gt;=$X$861,$AA$861*(1+($U$861)/100)^MAX(0,$C885-$AD$861),IF(DATE($C885,8,15)&gt;=$W$861,$Z$861*(1+($U$861)/100)^MAX(0,$C885-$AC$861),IF(DATE($C885,8,15)&gt;=$V$861,$Y$861*(1+($U$861)/100)^MAX(0,$C885-$AB$861),0)))))</f>
      </c>
      <c r="M885" s="43">
        <f>IF($S$861=0,0,IF(OR(DATE($C885,9,15)&lt;$S$861,AND($T$861&gt;0,DATE($C885,9,15)&gt;$T$861)),0,IF(DATE($C885,9,15)&gt;=$X$861,$AA$861*(1+($U$861)/100)^MAX(0,$C885-$AD$861),IF(DATE($C885,9,15)&gt;=$W$861,$Z$861*(1+($U$861)/100)^MAX(0,$C885-$AC$861),IF(DATE($C885,9,15)&gt;=$V$861,$Y$861*(1+($U$861)/100)^MAX(0,$C885-$AB$861),0)))))</f>
      </c>
      <c r="N885" s="43">
        <f>IF($S$861=0,0,IF(OR(DATE($C885,10,15)&lt;$S$861,AND($T$861&gt;0,DATE($C885,10,15)&gt;$T$861)),0,IF(DATE($C885,10,15)&gt;=$X$861,$AA$861*(1+($U$861)/100)^MAX(0,$C885-$AD$861),IF(DATE($C885,10,15)&gt;=$W$861,$Z$861*(1+($U$861)/100)^MAX(0,$C885-$AC$861),IF(DATE($C885,10,15)&gt;=$V$861,$Y$861*(1+($U$861)/100)^MAX(0,$C885-$AB$861),0)))))</f>
      </c>
      <c r="O885" s="43">
        <f>IF($S$861=0,0,IF(OR(DATE($C885,11,15)&lt;$S$861,AND($T$861&gt;0,DATE($C885,11,15)&gt;$T$861)),0,IF(DATE($C885,11,15)&gt;=$X$861,$AA$861*(1+($U$861)/100)^MAX(0,$C885-$AD$861),IF(DATE($C885,11,15)&gt;=$W$861,$Z$861*(1+($U$861)/100)^MAX(0,$C885-$AC$861),IF(DATE($C885,11,15)&gt;=$V$861,$Y$861*(1+($U$861)/100)^MAX(0,$C885-$AB$861),0)))))</f>
      </c>
      <c r="P885" s="43">
        <f>IF($S$861=0,0,IF(OR(DATE($C885,12,15)&lt;$S$861,AND($T$861&gt;0,DATE($C885,12,15)&gt;$T$861)),0,IF(DATE($C885,12,15)&gt;=$X$861,$AA$861*(1+($U$861)/100)^MAX(0,$C885-$AD$861),IF(DATE($C885,12,15)&gt;=$W$861,$Z$861*(1+($U$861)/100)^MAX(0,$C885-$AC$861),IF(DATE($C885,12,15)&gt;=$V$861,$Y$861*(1+($U$861)/100)^MAX(0,$C885-$AB$861),0)))))</f>
      </c>
      <c r="Q885" s="43">
        <f>SUM($E885:$P885)</f>
      </c>
    </row>
    <row r="886">
      <c r="A886"/>
      <c r="B886">
        <v>28</v>
      </c>
      <c r="C886" s="43">
        <f>Jahr+25</f>
      </c>
      <c r="D886" s="43">
        <f>INDEX(MvObj,28)</f>
      </c>
      <c r="E886" s="43">
        <f>IF($S$861=0,0,IF(OR(DATE($C886,1,15)&lt;$S$861,AND($T$861&gt;0,DATE($C886,1,15)&gt;$T$861)),0,IF(DATE($C886,1,15)&gt;=$X$861,$AA$861*(1+($U$861)/100)^MAX(0,$C886-$AD$861),IF(DATE($C886,1,15)&gt;=$W$861,$Z$861*(1+($U$861)/100)^MAX(0,$C886-$AC$861),IF(DATE($C886,1,15)&gt;=$V$861,$Y$861*(1+($U$861)/100)^MAX(0,$C886-$AB$861),0)))))</f>
      </c>
      <c r="F886" s="43">
        <f>IF($S$861=0,0,IF(OR(DATE($C886,2,15)&lt;$S$861,AND($T$861&gt;0,DATE($C886,2,15)&gt;$T$861)),0,IF(DATE($C886,2,15)&gt;=$X$861,$AA$861*(1+($U$861)/100)^MAX(0,$C886-$AD$861),IF(DATE($C886,2,15)&gt;=$W$861,$Z$861*(1+($U$861)/100)^MAX(0,$C886-$AC$861),IF(DATE($C886,2,15)&gt;=$V$861,$Y$861*(1+($U$861)/100)^MAX(0,$C886-$AB$861),0)))))</f>
      </c>
      <c r="G886" s="43">
        <f>IF($S$861=0,0,IF(OR(DATE($C886,3,15)&lt;$S$861,AND($T$861&gt;0,DATE($C886,3,15)&gt;$T$861)),0,IF(DATE($C886,3,15)&gt;=$X$861,$AA$861*(1+($U$861)/100)^MAX(0,$C886-$AD$861),IF(DATE($C886,3,15)&gt;=$W$861,$Z$861*(1+($U$861)/100)^MAX(0,$C886-$AC$861),IF(DATE($C886,3,15)&gt;=$V$861,$Y$861*(1+($U$861)/100)^MAX(0,$C886-$AB$861),0)))))</f>
      </c>
      <c r="H886" s="43">
        <f>IF($S$861=0,0,IF(OR(DATE($C886,4,15)&lt;$S$861,AND($T$861&gt;0,DATE($C886,4,15)&gt;$T$861)),0,IF(DATE($C886,4,15)&gt;=$X$861,$AA$861*(1+($U$861)/100)^MAX(0,$C886-$AD$861),IF(DATE($C886,4,15)&gt;=$W$861,$Z$861*(1+($U$861)/100)^MAX(0,$C886-$AC$861),IF(DATE($C886,4,15)&gt;=$V$861,$Y$861*(1+($U$861)/100)^MAX(0,$C886-$AB$861),0)))))</f>
      </c>
      <c r="I886" s="43">
        <f>IF($S$861=0,0,IF(OR(DATE($C886,5,15)&lt;$S$861,AND($T$861&gt;0,DATE($C886,5,15)&gt;$T$861)),0,IF(DATE($C886,5,15)&gt;=$X$861,$AA$861*(1+($U$861)/100)^MAX(0,$C886-$AD$861),IF(DATE($C886,5,15)&gt;=$W$861,$Z$861*(1+($U$861)/100)^MAX(0,$C886-$AC$861),IF(DATE($C886,5,15)&gt;=$V$861,$Y$861*(1+($U$861)/100)^MAX(0,$C886-$AB$861),0)))))</f>
      </c>
      <c r="J886" s="43">
        <f>IF($S$861=0,0,IF(OR(DATE($C886,6,15)&lt;$S$861,AND($T$861&gt;0,DATE($C886,6,15)&gt;$T$861)),0,IF(DATE($C886,6,15)&gt;=$X$861,$AA$861*(1+($U$861)/100)^MAX(0,$C886-$AD$861),IF(DATE($C886,6,15)&gt;=$W$861,$Z$861*(1+($U$861)/100)^MAX(0,$C886-$AC$861),IF(DATE($C886,6,15)&gt;=$V$861,$Y$861*(1+($U$861)/100)^MAX(0,$C886-$AB$861),0)))))</f>
      </c>
      <c r="K886" s="43">
        <f>IF($S$861=0,0,IF(OR(DATE($C886,7,15)&lt;$S$861,AND($T$861&gt;0,DATE($C886,7,15)&gt;$T$861)),0,IF(DATE($C886,7,15)&gt;=$X$861,$AA$861*(1+($U$861)/100)^MAX(0,$C886-$AD$861),IF(DATE($C886,7,15)&gt;=$W$861,$Z$861*(1+($U$861)/100)^MAX(0,$C886-$AC$861),IF(DATE($C886,7,15)&gt;=$V$861,$Y$861*(1+($U$861)/100)^MAX(0,$C886-$AB$861),0)))))</f>
      </c>
      <c r="L886" s="43">
        <f>IF($S$861=0,0,IF(OR(DATE($C886,8,15)&lt;$S$861,AND($T$861&gt;0,DATE($C886,8,15)&gt;$T$861)),0,IF(DATE($C886,8,15)&gt;=$X$861,$AA$861*(1+($U$861)/100)^MAX(0,$C886-$AD$861),IF(DATE($C886,8,15)&gt;=$W$861,$Z$861*(1+($U$861)/100)^MAX(0,$C886-$AC$861),IF(DATE($C886,8,15)&gt;=$V$861,$Y$861*(1+($U$861)/100)^MAX(0,$C886-$AB$861),0)))))</f>
      </c>
      <c r="M886" s="43">
        <f>IF($S$861=0,0,IF(OR(DATE($C886,9,15)&lt;$S$861,AND($T$861&gt;0,DATE($C886,9,15)&gt;$T$861)),0,IF(DATE($C886,9,15)&gt;=$X$861,$AA$861*(1+($U$861)/100)^MAX(0,$C886-$AD$861),IF(DATE($C886,9,15)&gt;=$W$861,$Z$861*(1+($U$861)/100)^MAX(0,$C886-$AC$861),IF(DATE($C886,9,15)&gt;=$V$861,$Y$861*(1+($U$861)/100)^MAX(0,$C886-$AB$861),0)))))</f>
      </c>
      <c r="N886" s="43">
        <f>IF($S$861=0,0,IF(OR(DATE($C886,10,15)&lt;$S$861,AND($T$861&gt;0,DATE($C886,10,15)&gt;$T$861)),0,IF(DATE($C886,10,15)&gt;=$X$861,$AA$861*(1+($U$861)/100)^MAX(0,$C886-$AD$861),IF(DATE($C886,10,15)&gt;=$W$861,$Z$861*(1+($U$861)/100)^MAX(0,$C886-$AC$861),IF(DATE($C886,10,15)&gt;=$V$861,$Y$861*(1+($U$861)/100)^MAX(0,$C886-$AB$861),0)))))</f>
      </c>
      <c r="O886" s="43">
        <f>IF($S$861=0,0,IF(OR(DATE($C886,11,15)&lt;$S$861,AND($T$861&gt;0,DATE($C886,11,15)&gt;$T$861)),0,IF(DATE($C886,11,15)&gt;=$X$861,$AA$861*(1+($U$861)/100)^MAX(0,$C886-$AD$861),IF(DATE($C886,11,15)&gt;=$W$861,$Z$861*(1+($U$861)/100)^MAX(0,$C886-$AC$861),IF(DATE($C886,11,15)&gt;=$V$861,$Y$861*(1+($U$861)/100)^MAX(0,$C886-$AB$861),0)))))</f>
      </c>
      <c r="P886" s="43">
        <f>IF($S$861=0,0,IF(OR(DATE($C886,12,15)&lt;$S$861,AND($T$861&gt;0,DATE($C886,12,15)&gt;$T$861)),0,IF(DATE($C886,12,15)&gt;=$X$861,$AA$861*(1+($U$861)/100)^MAX(0,$C886-$AD$861),IF(DATE($C886,12,15)&gt;=$W$861,$Z$861*(1+($U$861)/100)^MAX(0,$C886-$AC$861),IF(DATE($C886,12,15)&gt;=$V$861,$Y$861*(1+($U$861)/100)^MAX(0,$C886-$AB$861),0)))))</f>
      </c>
      <c r="Q886" s="43">
        <f>SUM($E886:$P886)</f>
      </c>
    </row>
    <row r="887">
      <c r="A887"/>
      <c r="B887">
        <v>28</v>
      </c>
      <c r="C887" s="43">
        <f>Jahr+26</f>
      </c>
      <c r="D887" s="43">
        <f>INDEX(MvObj,28)</f>
      </c>
      <c r="E887" s="43">
        <f>IF($S$861=0,0,IF(OR(DATE($C887,1,15)&lt;$S$861,AND($T$861&gt;0,DATE($C887,1,15)&gt;$T$861)),0,IF(DATE($C887,1,15)&gt;=$X$861,$AA$861*(1+($U$861)/100)^MAX(0,$C887-$AD$861),IF(DATE($C887,1,15)&gt;=$W$861,$Z$861*(1+($U$861)/100)^MAX(0,$C887-$AC$861),IF(DATE($C887,1,15)&gt;=$V$861,$Y$861*(1+($U$861)/100)^MAX(0,$C887-$AB$861),0)))))</f>
      </c>
      <c r="F887" s="43">
        <f>IF($S$861=0,0,IF(OR(DATE($C887,2,15)&lt;$S$861,AND($T$861&gt;0,DATE($C887,2,15)&gt;$T$861)),0,IF(DATE($C887,2,15)&gt;=$X$861,$AA$861*(1+($U$861)/100)^MAX(0,$C887-$AD$861),IF(DATE($C887,2,15)&gt;=$W$861,$Z$861*(1+($U$861)/100)^MAX(0,$C887-$AC$861),IF(DATE($C887,2,15)&gt;=$V$861,$Y$861*(1+($U$861)/100)^MAX(0,$C887-$AB$861),0)))))</f>
      </c>
      <c r="G887" s="43">
        <f>IF($S$861=0,0,IF(OR(DATE($C887,3,15)&lt;$S$861,AND($T$861&gt;0,DATE($C887,3,15)&gt;$T$861)),0,IF(DATE($C887,3,15)&gt;=$X$861,$AA$861*(1+($U$861)/100)^MAX(0,$C887-$AD$861),IF(DATE($C887,3,15)&gt;=$W$861,$Z$861*(1+($U$861)/100)^MAX(0,$C887-$AC$861),IF(DATE($C887,3,15)&gt;=$V$861,$Y$861*(1+($U$861)/100)^MAX(0,$C887-$AB$861),0)))))</f>
      </c>
      <c r="H887" s="43">
        <f>IF($S$861=0,0,IF(OR(DATE($C887,4,15)&lt;$S$861,AND($T$861&gt;0,DATE($C887,4,15)&gt;$T$861)),0,IF(DATE($C887,4,15)&gt;=$X$861,$AA$861*(1+($U$861)/100)^MAX(0,$C887-$AD$861),IF(DATE($C887,4,15)&gt;=$W$861,$Z$861*(1+($U$861)/100)^MAX(0,$C887-$AC$861),IF(DATE($C887,4,15)&gt;=$V$861,$Y$861*(1+($U$861)/100)^MAX(0,$C887-$AB$861),0)))))</f>
      </c>
      <c r="I887" s="43">
        <f>IF($S$861=0,0,IF(OR(DATE($C887,5,15)&lt;$S$861,AND($T$861&gt;0,DATE($C887,5,15)&gt;$T$861)),0,IF(DATE($C887,5,15)&gt;=$X$861,$AA$861*(1+($U$861)/100)^MAX(0,$C887-$AD$861),IF(DATE($C887,5,15)&gt;=$W$861,$Z$861*(1+($U$861)/100)^MAX(0,$C887-$AC$861),IF(DATE($C887,5,15)&gt;=$V$861,$Y$861*(1+($U$861)/100)^MAX(0,$C887-$AB$861),0)))))</f>
      </c>
      <c r="J887" s="43">
        <f>IF($S$861=0,0,IF(OR(DATE($C887,6,15)&lt;$S$861,AND($T$861&gt;0,DATE($C887,6,15)&gt;$T$861)),0,IF(DATE($C887,6,15)&gt;=$X$861,$AA$861*(1+($U$861)/100)^MAX(0,$C887-$AD$861),IF(DATE($C887,6,15)&gt;=$W$861,$Z$861*(1+($U$861)/100)^MAX(0,$C887-$AC$861),IF(DATE($C887,6,15)&gt;=$V$861,$Y$861*(1+($U$861)/100)^MAX(0,$C887-$AB$861),0)))))</f>
      </c>
      <c r="K887" s="43">
        <f>IF($S$861=0,0,IF(OR(DATE($C887,7,15)&lt;$S$861,AND($T$861&gt;0,DATE($C887,7,15)&gt;$T$861)),0,IF(DATE($C887,7,15)&gt;=$X$861,$AA$861*(1+($U$861)/100)^MAX(0,$C887-$AD$861),IF(DATE($C887,7,15)&gt;=$W$861,$Z$861*(1+($U$861)/100)^MAX(0,$C887-$AC$861),IF(DATE($C887,7,15)&gt;=$V$861,$Y$861*(1+($U$861)/100)^MAX(0,$C887-$AB$861),0)))))</f>
      </c>
      <c r="L887" s="43">
        <f>IF($S$861=0,0,IF(OR(DATE($C887,8,15)&lt;$S$861,AND($T$861&gt;0,DATE($C887,8,15)&gt;$T$861)),0,IF(DATE($C887,8,15)&gt;=$X$861,$AA$861*(1+($U$861)/100)^MAX(0,$C887-$AD$861),IF(DATE($C887,8,15)&gt;=$W$861,$Z$861*(1+($U$861)/100)^MAX(0,$C887-$AC$861),IF(DATE($C887,8,15)&gt;=$V$861,$Y$861*(1+($U$861)/100)^MAX(0,$C887-$AB$861),0)))))</f>
      </c>
      <c r="M887" s="43">
        <f>IF($S$861=0,0,IF(OR(DATE($C887,9,15)&lt;$S$861,AND($T$861&gt;0,DATE($C887,9,15)&gt;$T$861)),0,IF(DATE($C887,9,15)&gt;=$X$861,$AA$861*(1+($U$861)/100)^MAX(0,$C887-$AD$861),IF(DATE($C887,9,15)&gt;=$W$861,$Z$861*(1+($U$861)/100)^MAX(0,$C887-$AC$861),IF(DATE($C887,9,15)&gt;=$V$861,$Y$861*(1+($U$861)/100)^MAX(0,$C887-$AB$861),0)))))</f>
      </c>
      <c r="N887" s="43">
        <f>IF($S$861=0,0,IF(OR(DATE($C887,10,15)&lt;$S$861,AND($T$861&gt;0,DATE($C887,10,15)&gt;$T$861)),0,IF(DATE($C887,10,15)&gt;=$X$861,$AA$861*(1+($U$861)/100)^MAX(0,$C887-$AD$861),IF(DATE($C887,10,15)&gt;=$W$861,$Z$861*(1+($U$861)/100)^MAX(0,$C887-$AC$861),IF(DATE($C887,10,15)&gt;=$V$861,$Y$861*(1+($U$861)/100)^MAX(0,$C887-$AB$861),0)))))</f>
      </c>
      <c r="O887" s="43">
        <f>IF($S$861=0,0,IF(OR(DATE($C887,11,15)&lt;$S$861,AND($T$861&gt;0,DATE($C887,11,15)&gt;$T$861)),0,IF(DATE($C887,11,15)&gt;=$X$861,$AA$861*(1+($U$861)/100)^MAX(0,$C887-$AD$861),IF(DATE($C887,11,15)&gt;=$W$861,$Z$861*(1+($U$861)/100)^MAX(0,$C887-$AC$861),IF(DATE($C887,11,15)&gt;=$V$861,$Y$861*(1+($U$861)/100)^MAX(0,$C887-$AB$861),0)))))</f>
      </c>
      <c r="P887" s="43">
        <f>IF($S$861=0,0,IF(OR(DATE($C887,12,15)&lt;$S$861,AND($T$861&gt;0,DATE($C887,12,15)&gt;$T$861)),0,IF(DATE($C887,12,15)&gt;=$X$861,$AA$861*(1+($U$861)/100)^MAX(0,$C887-$AD$861),IF(DATE($C887,12,15)&gt;=$W$861,$Z$861*(1+($U$861)/100)^MAX(0,$C887-$AC$861),IF(DATE($C887,12,15)&gt;=$V$861,$Y$861*(1+($U$861)/100)^MAX(0,$C887-$AB$861),0)))))</f>
      </c>
      <c r="Q887" s="43">
        <f>SUM($E887:$P887)</f>
      </c>
    </row>
    <row r="888">
      <c r="A888"/>
      <c r="B888">
        <v>28</v>
      </c>
      <c r="C888" s="43">
        <f>Jahr+27</f>
      </c>
      <c r="D888" s="43">
        <f>INDEX(MvObj,28)</f>
      </c>
      <c r="E888" s="43">
        <f>IF($S$861=0,0,IF(OR(DATE($C888,1,15)&lt;$S$861,AND($T$861&gt;0,DATE($C888,1,15)&gt;$T$861)),0,IF(DATE($C888,1,15)&gt;=$X$861,$AA$861*(1+($U$861)/100)^MAX(0,$C888-$AD$861),IF(DATE($C888,1,15)&gt;=$W$861,$Z$861*(1+($U$861)/100)^MAX(0,$C888-$AC$861),IF(DATE($C888,1,15)&gt;=$V$861,$Y$861*(1+($U$861)/100)^MAX(0,$C888-$AB$861),0)))))</f>
      </c>
      <c r="F888" s="43">
        <f>IF($S$861=0,0,IF(OR(DATE($C888,2,15)&lt;$S$861,AND($T$861&gt;0,DATE($C888,2,15)&gt;$T$861)),0,IF(DATE($C888,2,15)&gt;=$X$861,$AA$861*(1+($U$861)/100)^MAX(0,$C888-$AD$861),IF(DATE($C888,2,15)&gt;=$W$861,$Z$861*(1+($U$861)/100)^MAX(0,$C888-$AC$861),IF(DATE($C888,2,15)&gt;=$V$861,$Y$861*(1+($U$861)/100)^MAX(0,$C888-$AB$861),0)))))</f>
      </c>
      <c r="G888" s="43">
        <f>IF($S$861=0,0,IF(OR(DATE($C888,3,15)&lt;$S$861,AND($T$861&gt;0,DATE($C888,3,15)&gt;$T$861)),0,IF(DATE($C888,3,15)&gt;=$X$861,$AA$861*(1+($U$861)/100)^MAX(0,$C888-$AD$861),IF(DATE($C888,3,15)&gt;=$W$861,$Z$861*(1+($U$861)/100)^MAX(0,$C888-$AC$861),IF(DATE($C888,3,15)&gt;=$V$861,$Y$861*(1+($U$861)/100)^MAX(0,$C888-$AB$861),0)))))</f>
      </c>
      <c r="H888" s="43">
        <f>IF($S$861=0,0,IF(OR(DATE($C888,4,15)&lt;$S$861,AND($T$861&gt;0,DATE($C888,4,15)&gt;$T$861)),0,IF(DATE($C888,4,15)&gt;=$X$861,$AA$861*(1+($U$861)/100)^MAX(0,$C888-$AD$861),IF(DATE($C888,4,15)&gt;=$W$861,$Z$861*(1+($U$861)/100)^MAX(0,$C888-$AC$861),IF(DATE($C888,4,15)&gt;=$V$861,$Y$861*(1+($U$861)/100)^MAX(0,$C888-$AB$861),0)))))</f>
      </c>
      <c r="I888" s="43">
        <f>IF($S$861=0,0,IF(OR(DATE($C888,5,15)&lt;$S$861,AND($T$861&gt;0,DATE($C888,5,15)&gt;$T$861)),0,IF(DATE($C888,5,15)&gt;=$X$861,$AA$861*(1+($U$861)/100)^MAX(0,$C888-$AD$861),IF(DATE($C888,5,15)&gt;=$W$861,$Z$861*(1+($U$861)/100)^MAX(0,$C888-$AC$861),IF(DATE($C888,5,15)&gt;=$V$861,$Y$861*(1+($U$861)/100)^MAX(0,$C888-$AB$861),0)))))</f>
      </c>
      <c r="J888" s="43">
        <f>IF($S$861=0,0,IF(OR(DATE($C888,6,15)&lt;$S$861,AND($T$861&gt;0,DATE($C888,6,15)&gt;$T$861)),0,IF(DATE($C888,6,15)&gt;=$X$861,$AA$861*(1+($U$861)/100)^MAX(0,$C888-$AD$861),IF(DATE($C888,6,15)&gt;=$W$861,$Z$861*(1+($U$861)/100)^MAX(0,$C888-$AC$861),IF(DATE($C888,6,15)&gt;=$V$861,$Y$861*(1+($U$861)/100)^MAX(0,$C888-$AB$861),0)))))</f>
      </c>
      <c r="K888" s="43">
        <f>IF($S$861=0,0,IF(OR(DATE($C888,7,15)&lt;$S$861,AND($T$861&gt;0,DATE($C888,7,15)&gt;$T$861)),0,IF(DATE($C888,7,15)&gt;=$X$861,$AA$861*(1+($U$861)/100)^MAX(0,$C888-$AD$861),IF(DATE($C888,7,15)&gt;=$W$861,$Z$861*(1+($U$861)/100)^MAX(0,$C888-$AC$861),IF(DATE($C888,7,15)&gt;=$V$861,$Y$861*(1+($U$861)/100)^MAX(0,$C888-$AB$861),0)))))</f>
      </c>
      <c r="L888" s="43">
        <f>IF($S$861=0,0,IF(OR(DATE($C888,8,15)&lt;$S$861,AND($T$861&gt;0,DATE($C888,8,15)&gt;$T$861)),0,IF(DATE($C888,8,15)&gt;=$X$861,$AA$861*(1+($U$861)/100)^MAX(0,$C888-$AD$861),IF(DATE($C888,8,15)&gt;=$W$861,$Z$861*(1+($U$861)/100)^MAX(0,$C888-$AC$861),IF(DATE($C888,8,15)&gt;=$V$861,$Y$861*(1+($U$861)/100)^MAX(0,$C888-$AB$861),0)))))</f>
      </c>
      <c r="M888" s="43">
        <f>IF($S$861=0,0,IF(OR(DATE($C888,9,15)&lt;$S$861,AND($T$861&gt;0,DATE($C888,9,15)&gt;$T$861)),0,IF(DATE($C888,9,15)&gt;=$X$861,$AA$861*(1+($U$861)/100)^MAX(0,$C888-$AD$861),IF(DATE($C888,9,15)&gt;=$W$861,$Z$861*(1+($U$861)/100)^MAX(0,$C888-$AC$861),IF(DATE($C888,9,15)&gt;=$V$861,$Y$861*(1+($U$861)/100)^MAX(0,$C888-$AB$861),0)))))</f>
      </c>
      <c r="N888" s="43">
        <f>IF($S$861=0,0,IF(OR(DATE($C888,10,15)&lt;$S$861,AND($T$861&gt;0,DATE($C888,10,15)&gt;$T$861)),0,IF(DATE($C888,10,15)&gt;=$X$861,$AA$861*(1+($U$861)/100)^MAX(0,$C888-$AD$861),IF(DATE($C888,10,15)&gt;=$W$861,$Z$861*(1+($U$861)/100)^MAX(0,$C888-$AC$861),IF(DATE($C888,10,15)&gt;=$V$861,$Y$861*(1+($U$861)/100)^MAX(0,$C888-$AB$861),0)))))</f>
      </c>
      <c r="O888" s="43">
        <f>IF($S$861=0,0,IF(OR(DATE($C888,11,15)&lt;$S$861,AND($T$861&gt;0,DATE($C888,11,15)&gt;$T$861)),0,IF(DATE($C888,11,15)&gt;=$X$861,$AA$861*(1+($U$861)/100)^MAX(0,$C888-$AD$861),IF(DATE($C888,11,15)&gt;=$W$861,$Z$861*(1+($U$861)/100)^MAX(0,$C888-$AC$861),IF(DATE($C888,11,15)&gt;=$V$861,$Y$861*(1+($U$861)/100)^MAX(0,$C888-$AB$861),0)))))</f>
      </c>
      <c r="P888" s="43">
        <f>IF($S$861=0,0,IF(OR(DATE($C888,12,15)&lt;$S$861,AND($T$861&gt;0,DATE($C888,12,15)&gt;$T$861)),0,IF(DATE($C888,12,15)&gt;=$X$861,$AA$861*(1+($U$861)/100)^MAX(0,$C888-$AD$861),IF(DATE($C888,12,15)&gt;=$W$861,$Z$861*(1+($U$861)/100)^MAX(0,$C888-$AC$861),IF(DATE($C888,12,15)&gt;=$V$861,$Y$861*(1+($U$861)/100)^MAX(0,$C888-$AB$861),0)))))</f>
      </c>
      <c r="Q888" s="43">
        <f>SUM($E888:$P888)</f>
      </c>
    </row>
    <row r="889">
      <c r="A889"/>
      <c r="B889">
        <v>28</v>
      </c>
      <c r="C889" s="43">
        <f>Jahr+28</f>
      </c>
      <c r="D889" s="43">
        <f>INDEX(MvObj,28)</f>
      </c>
      <c r="E889" s="43">
        <f>IF($S$861=0,0,IF(OR(DATE($C889,1,15)&lt;$S$861,AND($T$861&gt;0,DATE($C889,1,15)&gt;$T$861)),0,IF(DATE($C889,1,15)&gt;=$X$861,$AA$861*(1+($U$861)/100)^MAX(0,$C889-$AD$861),IF(DATE($C889,1,15)&gt;=$W$861,$Z$861*(1+($U$861)/100)^MAX(0,$C889-$AC$861),IF(DATE($C889,1,15)&gt;=$V$861,$Y$861*(1+($U$861)/100)^MAX(0,$C889-$AB$861),0)))))</f>
      </c>
      <c r="F889" s="43">
        <f>IF($S$861=0,0,IF(OR(DATE($C889,2,15)&lt;$S$861,AND($T$861&gt;0,DATE($C889,2,15)&gt;$T$861)),0,IF(DATE($C889,2,15)&gt;=$X$861,$AA$861*(1+($U$861)/100)^MAX(0,$C889-$AD$861),IF(DATE($C889,2,15)&gt;=$W$861,$Z$861*(1+($U$861)/100)^MAX(0,$C889-$AC$861),IF(DATE($C889,2,15)&gt;=$V$861,$Y$861*(1+($U$861)/100)^MAX(0,$C889-$AB$861),0)))))</f>
      </c>
      <c r="G889" s="43">
        <f>IF($S$861=0,0,IF(OR(DATE($C889,3,15)&lt;$S$861,AND($T$861&gt;0,DATE($C889,3,15)&gt;$T$861)),0,IF(DATE($C889,3,15)&gt;=$X$861,$AA$861*(1+($U$861)/100)^MAX(0,$C889-$AD$861),IF(DATE($C889,3,15)&gt;=$W$861,$Z$861*(1+($U$861)/100)^MAX(0,$C889-$AC$861),IF(DATE($C889,3,15)&gt;=$V$861,$Y$861*(1+($U$861)/100)^MAX(0,$C889-$AB$861),0)))))</f>
      </c>
      <c r="H889" s="43">
        <f>IF($S$861=0,0,IF(OR(DATE($C889,4,15)&lt;$S$861,AND($T$861&gt;0,DATE($C889,4,15)&gt;$T$861)),0,IF(DATE($C889,4,15)&gt;=$X$861,$AA$861*(1+($U$861)/100)^MAX(0,$C889-$AD$861),IF(DATE($C889,4,15)&gt;=$W$861,$Z$861*(1+($U$861)/100)^MAX(0,$C889-$AC$861),IF(DATE($C889,4,15)&gt;=$V$861,$Y$861*(1+($U$861)/100)^MAX(0,$C889-$AB$861),0)))))</f>
      </c>
      <c r="I889" s="43">
        <f>IF($S$861=0,0,IF(OR(DATE($C889,5,15)&lt;$S$861,AND($T$861&gt;0,DATE($C889,5,15)&gt;$T$861)),0,IF(DATE($C889,5,15)&gt;=$X$861,$AA$861*(1+($U$861)/100)^MAX(0,$C889-$AD$861),IF(DATE($C889,5,15)&gt;=$W$861,$Z$861*(1+($U$861)/100)^MAX(0,$C889-$AC$861),IF(DATE($C889,5,15)&gt;=$V$861,$Y$861*(1+($U$861)/100)^MAX(0,$C889-$AB$861),0)))))</f>
      </c>
      <c r="J889" s="43">
        <f>IF($S$861=0,0,IF(OR(DATE($C889,6,15)&lt;$S$861,AND($T$861&gt;0,DATE($C889,6,15)&gt;$T$861)),0,IF(DATE($C889,6,15)&gt;=$X$861,$AA$861*(1+($U$861)/100)^MAX(0,$C889-$AD$861),IF(DATE($C889,6,15)&gt;=$W$861,$Z$861*(1+($U$861)/100)^MAX(0,$C889-$AC$861),IF(DATE($C889,6,15)&gt;=$V$861,$Y$861*(1+($U$861)/100)^MAX(0,$C889-$AB$861),0)))))</f>
      </c>
      <c r="K889" s="43">
        <f>IF($S$861=0,0,IF(OR(DATE($C889,7,15)&lt;$S$861,AND($T$861&gt;0,DATE($C889,7,15)&gt;$T$861)),0,IF(DATE($C889,7,15)&gt;=$X$861,$AA$861*(1+($U$861)/100)^MAX(0,$C889-$AD$861),IF(DATE($C889,7,15)&gt;=$W$861,$Z$861*(1+($U$861)/100)^MAX(0,$C889-$AC$861),IF(DATE($C889,7,15)&gt;=$V$861,$Y$861*(1+($U$861)/100)^MAX(0,$C889-$AB$861),0)))))</f>
      </c>
      <c r="L889" s="43">
        <f>IF($S$861=0,0,IF(OR(DATE($C889,8,15)&lt;$S$861,AND($T$861&gt;0,DATE($C889,8,15)&gt;$T$861)),0,IF(DATE($C889,8,15)&gt;=$X$861,$AA$861*(1+($U$861)/100)^MAX(0,$C889-$AD$861),IF(DATE($C889,8,15)&gt;=$W$861,$Z$861*(1+($U$861)/100)^MAX(0,$C889-$AC$861),IF(DATE($C889,8,15)&gt;=$V$861,$Y$861*(1+($U$861)/100)^MAX(0,$C889-$AB$861),0)))))</f>
      </c>
      <c r="M889" s="43">
        <f>IF($S$861=0,0,IF(OR(DATE($C889,9,15)&lt;$S$861,AND($T$861&gt;0,DATE($C889,9,15)&gt;$T$861)),0,IF(DATE($C889,9,15)&gt;=$X$861,$AA$861*(1+($U$861)/100)^MAX(0,$C889-$AD$861),IF(DATE($C889,9,15)&gt;=$W$861,$Z$861*(1+($U$861)/100)^MAX(0,$C889-$AC$861),IF(DATE($C889,9,15)&gt;=$V$861,$Y$861*(1+($U$861)/100)^MAX(0,$C889-$AB$861),0)))))</f>
      </c>
      <c r="N889" s="43">
        <f>IF($S$861=0,0,IF(OR(DATE($C889,10,15)&lt;$S$861,AND($T$861&gt;0,DATE($C889,10,15)&gt;$T$861)),0,IF(DATE($C889,10,15)&gt;=$X$861,$AA$861*(1+($U$861)/100)^MAX(0,$C889-$AD$861),IF(DATE($C889,10,15)&gt;=$W$861,$Z$861*(1+($U$861)/100)^MAX(0,$C889-$AC$861),IF(DATE($C889,10,15)&gt;=$V$861,$Y$861*(1+($U$861)/100)^MAX(0,$C889-$AB$861),0)))))</f>
      </c>
      <c r="O889" s="43">
        <f>IF($S$861=0,0,IF(OR(DATE($C889,11,15)&lt;$S$861,AND($T$861&gt;0,DATE($C889,11,15)&gt;$T$861)),0,IF(DATE($C889,11,15)&gt;=$X$861,$AA$861*(1+($U$861)/100)^MAX(0,$C889-$AD$861),IF(DATE($C889,11,15)&gt;=$W$861,$Z$861*(1+($U$861)/100)^MAX(0,$C889-$AC$861),IF(DATE($C889,11,15)&gt;=$V$861,$Y$861*(1+($U$861)/100)^MAX(0,$C889-$AB$861),0)))))</f>
      </c>
      <c r="P889" s="43">
        <f>IF($S$861=0,0,IF(OR(DATE($C889,12,15)&lt;$S$861,AND($T$861&gt;0,DATE($C889,12,15)&gt;$T$861)),0,IF(DATE($C889,12,15)&gt;=$X$861,$AA$861*(1+($U$861)/100)^MAX(0,$C889-$AD$861),IF(DATE($C889,12,15)&gt;=$W$861,$Z$861*(1+($U$861)/100)^MAX(0,$C889-$AC$861),IF(DATE($C889,12,15)&gt;=$V$861,$Y$861*(1+($U$861)/100)^MAX(0,$C889-$AB$861),0)))))</f>
      </c>
      <c r="Q889" s="43">
        <f>SUM($E889:$P889)</f>
      </c>
    </row>
    <row r="890">
      <c r="A890"/>
      <c r="B890">
        <v>28</v>
      </c>
      <c r="C890" s="43">
        <f>Jahr+29</f>
      </c>
      <c r="D890" s="43">
        <f>INDEX(MvObj,28)</f>
      </c>
      <c r="E890" s="43">
        <f>IF($S$861=0,0,IF(OR(DATE($C890,1,15)&lt;$S$861,AND($T$861&gt;0,DATE($C890,1,15)&gt;$T$861)),0,IF(DATE($C890,1,15)&gt;=$X$861,$AA$861*(1+($U$861)/100)^MAX(0,$C890-$AD$861),IF(DATE($C890,1,15)&gt;=$W$861,$Z$861*(1+($U$861)/100)^MAX(0,$C890-$AC$861),IF(DATE($C890,1,15)&gt;=$V$861,$Y$861*(1+($U$861)/100)^MAX(0,$C890-$AB$861),0)))))</f>
      </c>
      <c r="F890" s="43">
        <f>IF($S$861=0,0,IF(OR(DATE($C890,2,15)&lt;$S$861,AND($T$861&gt;0,DATE($C890,2,15)&gt;$T$861)),0,IF(DATE($C890,2,15)&gt;=$X$861,$AA$861*(1+($U$861)/100)^MAX(0,$C890-$AD$861),IF(DATE($C890,2,15)&gt;=$W$861,$Z$861*(1+($U$861)/100)^MAX(0,$C890-$AC$861),IF(DATE($C890,2,15)&gt;=$V$861,$Y$861*(1+($U$861)/100)^MAX(0,$C890-$AB$861),0)))))</f>
      </c>
      <c r="G890" s="43">
        <f>IF($S$861=0,0,IF(OR(DATE($C890,3,15)&lt;$S$861,AND($T$861&gt;0,DATE($C890,3,15)&gt;$T$861)),0,IF(DATE($C890,3,15)&gt;=$X$861,$AA$861*(1+($U$861)/100)^MAX(0,$C890-$AD$861),IF(DATE($C890,3,15)&gt;=$W$861,$Z$861*(1+($U$861)/100)^MAX(0,$C890-$AC$861),IF(DATE($C890,3,15)&gt;=$V$861,$Y$861*(1+($U$861)/100)^MAX(0,$C890-$AB$861),0)))))</f>
      </c>
      <c r="H890" s="43">
        <f>IF($S$861=0,0,IF(OR(DATE($C890,4,15)&lt;$S$861,AND($T$861&gt;0,DATE($C890,4,15)&gt;$T$861)),0,IF(DATE($C890,4,15)&gt;=$X$861,$AA$861*(1+($U$861)/100)^MAX(0,$C890-$AD$861),IF(DATE($C890,4,15)&gt;=$W$861,$Z$861*(1+($U$861)/100)^MAX(0,$C890-$AC$861),IF(DATE($C890,4,15)&gt;=$V$861,$Y$861*(1+($U$861)/100)^MAX(0,$C890-$AB$861),0)))))</f>
      </c>
      <c r="I890" s="43">
        <f>IF($S$861=0,0,IF(OR(DATE($C890,5,15)&lt;$S$861,AND($T$861&gt;0,DATE($C890,5,15)&gt;$T$861)),0,IF(DATE($C890,5,15)&gt;=$X$861,$AA$861*(1+($U$861)/100)^MAX(0,$C890-$AD$861),IF(DATE($C890,5,15)&gt;=$W$861,$Z$861*(1+($U$861)/100)^MAX(0,$C890-$AC$861),IF(DATE($C890,5,15)&gt;=$V$861,$Y$861*(1+($U$861)/100)^MAX(0,$C890-$AB$861),0)))))</f>
      </c>
      <c r="J890" s="43">
        <f>IF($S$861=0,0,IF(OR(DATE($C890,6,15)&lt;$S$861,AND($T$861&gt;0,DATE($C890,6,15)&gt;$T$861)),0,IF(DATE($C890,6,15)&gt;=$X$861,$AA$861*(1+($U$861)/100)^MAX(0,$C890-$AD$861),IF(DATE($C890,6,15)&gt;=$W$861,$Z$861*(1+($U$861)/100)^MAX(0,$C890-$AC$861),IF(DATE($C890,6,15)&gt;=$V$861,$Y$861*(1+($U$861)/100)^MAX(0,$C890-$AB$861),0)))))</f>
      </c>
      <c r="K890" s="43">
        <f>IF($S$861=0,0,IF(OR(DATE($C890,7,15)&lt;$S$861,AND($T$861&gt;0,DATE($C890,7,15)&gt;$T$861)),0,IF(DATE($C890,7,15)&gt;=$X$861,$AA$861*(1+($U$861)/100)^MAX(0,$C890-$AD$861),IF(DATE($C890,7,15)&gt;=$W$861,$Z$861*(1+($U$861)/100)^MAX(0,$C890-$AC$861),IF(DATE($C890,7,15)&gt;=$V$861,$Y$861*(1+($U$861)/100)^MAX(0,$C890-$AB$861),0)))))</f>
      </c>
      <c r="L890" s="43">
        <f>IF($S$861=0,0,IF(OR(DATE($C890,8,15)&lt;$S$861,AND($T$861&gt;0,DATE($C890,8,15)&gt;$T$861)),0,IF(DATE($C890,8,15)&gt;=$X$861,$AA$861*(1+($U$861)/100)^MAX(0,$C890-$AD$861),IF(DATE($C890,8,15)&gt;=$W$861,$Z$861*(1+($U$861)/100)^MAX(0,$C890-$AC$861),IF(DATE($C890,8,15)&gt;=$V$861,$Y$861*(1+($U$861)/100)^MAX(0,$C890-$AB$861),0)))))</f>
      </c>
      <c r="M890" s="43">
        <f>IF($S$861=0,0,IF(OR(DATE($C890,9,15)&lt;$S$861,AND($T$861&gt;0,DATE($C890,9,15)&gt;$T$861)),0,IF(DATE($C890,9,15)&gt;=$X$861,$AA$861*(1+($U$861)/100)^MAX(0,$C890-$AD$861),IF(DATE($C890,9,15)&gt;=$W$861,$Z$861*(1+($U$861)/100)^MAX(0,$C890-$AC$861),IF(DATE($C890,9,15)&gt;=$V$861,$Y$861*(1+($U$861)/100)^MAX(0,$C890-$AB$861),0)))))</f>
      </c>
      <c r="N890" s="43">
        <f>IF($S$861=0,0,IF(OR(DATE($C890,10,15)&lt;$S$861,AND($T$861&gt;0,DATE($C890,10,15)&gt;$T$861)),0,IF(DATE($C890,10,15)&gt;=$X$861,$AA$861*(1+($U$861)/100)^MAX(0,$C890-$AD$861),IF(DATE($C890,10,15)&gt;=$W$861,$Z$861*(1+($U$861)/100)^MAX(0,$C890-$AC$861),IF(DATE($C890,10,15)&gt;=$V$861,$Y$861*(1+($U$861)/100)^MAX(0,$C890-$AB$861),0)))))</f>
      </c>
      <c r="O890" s="43">
        <f>IF($S$861=0,0,IF(OR(DATE($C890,11,15)&lt;$S$861,AND($T$861&gt;0,DATE($C890,11,15)&gt;$T$861)),0,IF(DATE($C890,11,15)&gt;=$X$861,$AA$861*(1+($U$861)/100)^MAX(0,$C890-$AD$861),IF(DATE($C890,11,15)&gt;=$W$861,$Z$861*(1+($U$861)/100)^MAX(0,$C890-$AC$861),IF(DATE($C890,11,15)&gt;=$V$861,$Y$861*(1+($U$861)/100)^MAX(0,$C890-$AB$861),0)))))</f>
      </c>
      <c r="P890" s="43">
        <f>IF($S$861=0,0,IF(OR(DATE($C890,12,15)&lt;$S$861,AND($T$861&gt;0,DATE($C890,12,15)&gt;$T$861)),0,IF(DATE($C890,12,15)&gt;=$X$861,$AA$861*(1+($U$861)/100)^MAX(0,$C890-$AD$861),IF(DATE($C890,12,15)&gt;=$W$861,$Z$861*(1+($U$861)/100)^MAX(0,$C890-$AC$861),IF(DATE($C890,12,15)&gt;=$V$861,$Y$861*(1+($U$861)/100)^MAX(0,$C890-$AB$861),0)))))</f>
      </c>
      <c r="Q890" s="43">
        <f>SUM($E890:$P890)</f>
      </c>
    </row>
    <row r="891">
      <c r="A891"/>
      <c r="B891">
        <v>28</v>
      </c>
      <c r="C891" s="43">
        <f>Jahr+30</f>
      </c>
      <c r="D891" s="43">
        <f>INDEX(MvObj,28)</f>
      </c>
      <c r="E891" s="43">
        <f>IF($S$861=0,0,IF(OR(DATE($C891,1,15)&lt;$S$861,AND($T$861&gt;0,DATE($C891,1,15)&gt;$T$861)),0,IF(DATE($C891,1,15)&gt;=$X$861,$AA$861*(1+($U$861)/100)^MAX(0,$C891-$AD$861),IF(DATE($C891,1,15)&gt;=$W$861,$Z$861*(1+($U$861)/100)^MAX(0,$C891-$AC$861),IF(DATE($C891,1,15)&gt;=$V$861,$Y$861*(1+($U$861)/100)^MAX(0,$C891-$AB$861),0)))))</f>
      </c>
      <c r="F891" s="43">
        <f>IF($S$861=0,0,IF(OR(DATE($C891,2,15)&lt;$S$861,AND($T$861&gt;0,DATE($C891,2,15)&gt;$T$861)),0,IF(DATE($C891,2,15)&gt;=$X$861,$AA$861*(1+($U$861)/100)^MAX(0,$C891-$AD$861),IF(DATE($C891,2,15)&gt;=$W$861,$Z$861*(1+($U$861)/100)^MAX(0,$C891-$AC$861),IF(DATE($C891,2,15)&gt;=$V$861,$Y$861*(1+($U$861)/100)^MAX(0,$C891-$AB$861),0)))))</f>
      </c>
      <c r="G891" s="43">
        <f>IF($S$861=0,0,IF(OR(DATE($C891,3,15)&lt;$S$861,AND($T$861&gt;0,DATE($C891,3,15)&gt;$T$861)),0,IF(DATE($C891,3,15)&gt;=$X$861,$AA$861*(1+($U$861)/100)^MAX(0,$C891-$AD$861),IF(DATE($C891,3,15)&gt;=$W$861,$Z$861*(1+($U$861)/100)^MAX(0,$C891-$AC$861),IF(DATE($C891,3,15)&gt;=$V$861,$Y$861*(1+($U$861)/100)^MAX(0,$C891-$AB$861),0)))))</f>
      </c>
      <c r="H891" s="43">
        <f>IF($S$861=0,0,IF(OR(DATE($C891,4,15)&lt;$S$861,AND($T$861&gt;0,DATE($C891,4,15)&gt;$T$861)),0,IF(DATE($C891,4,15)&gt;=$X$861,$AA$861*(1+($U$861)/100)^MAX(0,$C891-$AD$861),IF(DATE($C891,4,15)&gt;=$W$861,$Z$861*(1+($U$861)/100)^MAX(0,$C891-$AC$861),IF(DATE($C891,4,15)&gt;=$V$861,$Y$861*(1+($U$861)/100)^MAX(0,$C891-$AB$861),0)))))</f>
      </c>
      <c r="I891" s="43">
        <f>IF($S$861=0,0,IF(OR(DATE($C891,5,15)&lt;$S$861,AND($T$861&gt;0,DATE($C891,5,15)&gt;$T$861)),0,IF(DATE($C891,5,15)&gt;=$X$861,$AA$861*(1+($U$861)/100)^MAX(0,$C891-$AD$861),IF(DATE($C891,5,15)&gt;=$W$861,$Z$861*(1+($U$861)/100)^MAX(0,$C891-$AC$861),IF(DATE($C891,5,15)&gt;=$V$861,$Y$861*(1+($U$861)/100)^MAX(0,$C891-$AB$861),0)))))</f>
      </c>
      <c r="J891" s="43">
        <f>IF($S$861=0,0,IF(OR(DATE($C891,6,15)&lt;$S$861,AND($T$861&gt;0,DATE($C891,6,15)&gt;$T$861)),0,IF(DATE($C891,6,15)&gt;=$X$861,$AA$861*(1+($U$861)/100)^MAX(0,$C891-$AD$861),IF(DATE($C891,6,15)&gt;=$W$861,$Z$861*(1+($U$861)/100)^MAX(0,$C891-$AC$861),IF(DATE($C891,6,15)&gt;=$V$861,$Y$861*(1+($U$861)/100)^MAX(0,$C891-$AB$861),0)))))</f>
      </c>
      <c r="K891" s="43">
        <f>IF($S$861=0,0,IF(OR(DATE($C891,7,15)&lt;$S$861,AND($T$861&gt;0,DATE($C891,7,15)&gt;$T$861)),0,IF(DATE($C891,7,15)&gt;=$X$861,$AA$861*(1+($U$861)/100)^MAX(0,$C891-$AD$861),IF(DATE($C891,7,15)&gt;=$W$861,$Z$861*(1+($U$861)/100)^MAX(0,$C891-$AC$861),IF(DATE($C891,7,15)&gt;=$V$861,$Y$861*(1+($U$861)/100)^MAX(0,$C891-$AB$861),0)))))</f>
      </c>
      <c r="L891" s="43">
        <f>IF($S$861=0,0,IF(OR(DATE($C891,8,15)&lt;$S$861,AND($T$861&gt;0,DATE($C891,8,15)&gt;$T$861)),0,IF(DATE($C891,8,15)&gt;=$X$861,$AA$861*(1+($U$861)/100)^MAX(0,$C891-$AD$861),IF(DATE($C891,8,15)&gt;=$W$861,$Z$861*(1+($U$861)/100)^MAX(0,$C891-$AC$861),IF(DATE($C891,8,15)&gt;=$V$861,$Y$861*(1+($U$861)/100)^MAX(0,$C891-$AB$861),0)))))</f>
      </c>
      <c r="M891" s="43">
        <f>IF($S$861=0,0,IF(OR(DATE($C891,9,15)&lt;$S$861,AND($T$861&gt;0,DATE($C891,9,15)&gt;$T$861)),0,IF(DATE($C891,9,15)&gt;=$X$861,$AA$861*(1+($U$861)/100)^MAX(0,$C891-$AD$861),IF(DATE($C891,9,15)&gt;=$W$861,$Z$861*(1+($U$861)/100)^MAX(0,$C891-$AC$861),IF(DATE($C891,9,15)&gt;=$V$861,$Y$861*(1+($U$861)/100)^MAX(0,$C891-$AB$861),0)))))</f>
      </c>
      <c r="N891" s="43">
        <f>IF($S$861=0,0,IF(OR(DATE($C891,10,15)&lt;$S$861,AND($T$861&gt;0,DATE($C891,10,15)&gt;$T$861)),0,IF(DATE($C891,10,15)&gt;=$X$861,$AA$861*(1+($U$861)/100)^MAX(0,$C891-$AD$861),IF(DATE($C891,10,15)&gt;=$W$861,$Z$861*(1+($U$861)/100)^MAX(0,$C891-$AC$861),IF(DATE($C891,10,15)&gt;=$V$861,$Y$861*(1+($U$861)/100)^MAX(0,$C891-$AB$861),0)))))</f>
      </c>
      <c r="O891" s="43">
        <f>IF($S$861=0,0,IF(OR(DATE($C891,11,15)&lt;$S$861,AND($T$861&gt;0,DATE($C891,11,15)&gt;$T$861)),0,IF(DATE($C891,11,15)&gt;=$X$861,$AA$861*(1+($U$861)/100)^MAX(0,$C891-$AD$861),IF(DATE($C891,11,15)&gt;=$W$861,$Z$861*(1+($U$861)/100)^MAX(0,$C891-$AC$861),IF(DATE($C891,11,15)&gt;=$V$861,$Y$861*(1+($U$861)/100)^MAX(0,$C891-$AB$861),0)))))</f>
      </c>
      <c r="P891" s="43">
        <f>IF($S$861=0,0,IF(OR(DATE($C891,12,15)&lt;$S$861,AND($T$861&gt;0,DATE($C891,12,15)&gt;$T$861)),0,IF(DATE($C891,12,15)&gt;=$X$861,$AA$861*(1+($U$861)/100)^MAX(0,$C891-$AD$861),IF(DATE($C891,12,15)&gt;=$W$861,$Z$861*(1+($U$861)/100)^MAX(0,$C891-$AC$861),IF(DATE($C891,12,15)&gt;=$V$861,$Y$861*(1+($U$861)/100)^MAX(0,$C891-$AB$861),0)))))</f>
      </c>
      <c r="Q891" s="43">
        <f>SUM($E891:$P891)</f>
      </c>
    </row>
    <row r="892">
      <c r="A892"/>
      <c r="B892">
        <v>29</v>
      </c>
      <c r="C892" s="43">
        <f>Jahr+0</f>
      </c>
      <c r="D892" s="43">
        <f>INDEX(MvObj,29)</f>
      </c>
      <c r="E892" s="43">
        <f>IF($S$892=0,0,IF(OR(DATE($C892,1,15)&lt;$S$892,AND($T$892&gt;0,DATE($C892,1,15)&gt;$T$892)),0,IF(DATE($C892,1,15)&gt;=$X$892,$AA$892*(1+($U$892)/100)^MAX(0,$C892-$AD$892),IF(DATE($C892,1,15)&gt;=$W$892,$Z$892*(1+($U$892)/100)^MAX(0,$C892-$AC$892),IF(DATE($C892,1,15)&gt;=$V$892,$Y$892*(1+($U$892)/100)^MAX(0,$C892-$AB$892),0)))))</f>
      </c>
      <c r="F892" s="43">
        <f>IF($S$892=0,0,IF(OR(DATE($C892,2,15)&lt;$S$892,AND($T$892&gt;0,DATE($C892,2,15)&gt;$T$892)),0,IF(DATE($C892,2,15)&gt;=$X$892,$AA$892*(1+($U$892)/100)^MAX(0,$C892-$AD$892),IF(DATE($C892,2,15)&gt;=$W$892,$Z$892*(1+($U$892)/100)^MAX(0,$C892-$AC$892),IF(DATE($C892,2,15)&gt;=$V$892,$Y$892*(1+($U$892)/100)^MAX(0,$C892-$AB$892),0)))))</f>
      </c>
      <c r="G892" s="43">
        <f>IF($S$892=0,0,IF(OR(DATE($C892,3,15)&lt;$S$892,AND($T$892&gt;0,DATE($C892,3,15)&gt;$T$892)),0,IF(DATE($C892,3,15)&gt;=$X$892,$AA$892*(1+($U$892)/100)^MAX(0,$C892-$AD$892),IF(DATE($C892,3,15)&gt;=$W$892,$Z$892*(1+($U$892)/100)^MAX(0,$C892-$AC$892),IF(DATE($C892,3,15)&gt;=$V$892,$Y$892*(1+($U$892)/100)^MAX(0,$C892-$AB$892),0)))))</f>
      </c>
      <c r="H892" s="43">
        <f>IF($S$892=0,0,IF(OR(DATE($C892,4,15)&lt;$S$892,AND($T$892&gt;0,DATE($C892,4,15)&gt;$T$892)),0,IF(DATE($C892,4,15)&gt;=$X$892,$AA$892*(1+($U$892)/100)^MAX(0,$C892-$AD$892),IF(DATE($C892,4,15)&gt;=$W$892,$Z$892*(1+($U$892)/100)^MAX(0,$C892-$AC$892),IF(DATE($C892,4,15)&gt;=$V$892,$Y$892*(1+($U$892)/100)^MAX(0,$C892-$AB$892),0)))))</f>
      </c>
      <c r="I892" s="43">
        <f>IF($S$892=0,0,IF(OR(DATE($C892,5,15)&lt;$S$892,AND($T$892&gt;0,DATE($C892,5,15)&gt;$T$892)),0,IF(DATE($C892,5,15)&gt;=$X$892,$AA$892*(1+($U$892)/100)^MAX(0,$C892-$AD$892),IF(DATE($C892,5,15)&gt;=$W$892,$Z$892*(1+($U$892)/100)^MAX(0,$C892-$AC$892),IF(DATE($C892,5,15)&gt;=$V$892,$Y$892*(1+($U$892)/100)^MAX(0,$C892-$AB$892),0)))))</f>
      </c>
      <c r="J892" s="43">
        <f>IF($S$892=0,0,IF(OR(DATE($C892,6,15)&lt;$S$892,AND($T$892&gt;0,DATE($C892,6,15)&gt;$T$892)),0,IF(DATE($C892,6,15)&gt;=$X$892,$AA$892*(1+($U$892)/100)^MAX(0,$C892-$AD$892),IF(DATE($C892,6,15)&gt;=$W$892,$Z$892*(1+($U$892)/100)^MAX(0,$C892-$AC$892),IF(DATE($C892,6,15)&gt;=$V$892,$Y$892*(1+($U$892)/100)^MAX(0,$C892-$AB$892),0)))))</f>
      </c>
      <c r="K892" s="43">
        <f>IF($S$892=0,0,IF(OR(DATE($C892,7,15)&lt;$S$892,AND($T$892&gt;0,DATE($C892,7,15)&gt;$T$892)),0,IF(DATE($C892,7,15)&gt;=$X$892,$AA$892*(1+($U$892)/100)^MAX(0,$C892-$AD$892),IF(DATE($C892,7,15)&gt;=$W$892,$Z$892*(1+($U$892)/100)^MAX(0,$C892-$AC$892),IF(DATE($C892,7,15)&gt;=$V$892,$Y$892*(1+($U$892)/100)^MAX(0,$C892-$AB$892),0)))))</f>
      </c>
      <c r="L892" s="43">
        <f>IF($S$892=0,0,IF(OR(DATE($C892,8,15)&lt;$S$892,AND($T$892&gt;0,DATE($C892,8,15)&gt;$T$892)),0,IF(DATE($C892,8,15)&gt;=$X$892,$AA$892*(1+($U$892)/100)^MAX(0,$C892-$AD$892),IF(DATE($C892,8,15)&gt;=$W$892,$Z$892*(1+($U$892)/100)^MAX(0,$C892-$AC$892),IF(DATE($C892,8,15)&gt;=$V$892,$Y$892*(1+($U$892)/100)^MAX(0,$C892-$AB$892),0)))))</f>
      </c>
      <c r="M892" s="43">
        <f>IF($S$892=0,0,IF(OR(DATE($C892,9,15)&lt;$S$892,AND($T$892&gt;0,DATE($C892,9,15)&gt;$T$892)),0,IF(DATE($C892,9,15)&gt;=$X$892,$AA$892*(1+($U$892)/100)^MAX(0,$C892-$AD$892),IF(DATE($C892,9,15)&gt;=$W$892,$Z$892*(1+($U$892)/100)^MAX(0,$C892-$AC$892),IF(DATE($C892,9,15)&gt;=$V$892,$Y$892*(1+($U$892)/100)^MAX(0,$C892-$AB$892),0)))))</f>
      </c>
      <c r="N892" s="43">
        <f>IF($S$892=0,0,IF(OR(DATE($C892,10,15)&lt;$S$892,AND($T$892&gt;0,DATE($C892,10,15)&gt;$T$892)),0,IF(DATE($C892,10,15)&gt;=$X$892,$AA$892*(1+($U$892)/100)^MAX(0,$C892-$AD$892),IF(DATE($C892,10,15)&gt;=$W$892,$Z$892*(1+($U$892)/100)^MAX(0,$C892-$AC$892),IF(DATE($C892,10,15)&gt;=$V$892,$Y$892*(1+($U$892)/100)^MAX(0,$C892-$AB$892),0)))))</f>
      </c>
      <c r="O892" s="43">
        <f>IF($S$892=0,0,IF(OR(DATE($C892,11,15)&lt;$S$892,AND($T$892&gt;0,DATE($C892,11,15)&gt;$T$892)),0,IF(DATE($C892,11,15)&gt;=$X$892,$AA$892*(1+($U$892)/100)^MAX(0,$C892-$AD$892),IF(DATE($C892,11,15)&gt;=$W$892,$Z$892*(1+($U$892)/100)^MAX(0,$C892-$AC$892),IF(DATE($C892,11,15)&gt;=$V$892,$Y$892*(1+($U$892)/100)^MAX(0,$C892-$AB$892),0)))))</f>
      </c>
      <c r="P892" s="43">
        <f>IF($S$892=0,0,IF(OR(DATE($C892,12,15)&lt;$S$892,AND($T$892&gt;0,DATE($C892,12,15)&gt;$T$892)),0,IF(DATE($C892,12,15)&gt;=$X$892,$AA$892*(1+($U$892)/100)^MAX(0,$C892-$AD$892),IF(DATE($C892,12,15)&gt;=$W$892,$Z$892*(1+($U$892)/100)^MAX(0,$C892-$AC$892),IF(DATE($C892,12,15)&gt;=$V$892,$Y$892*(1+($U$892)/100)^MAX(0,$C892-$AB$892),0)))))</f>
      </c>
      <c r="Q892" s="43">
        <f>SUM($E892:$P892)</f>
      </c>
      <c r="R892"/>
      <c r="S892" s="43">
        <f>IF(INDEX(MvBeginn,29)="",0,INDEX(MvBeginn,29))</f>
      </c>
      <c r="T892" s="43">
        <f>INDEX(MvEnde,29)</f>
      </c>
      <c r="U892" s="43">
        <f>INDEX(MvSatz,29)</f>
      </c>
      <c r="V892" s="43">
        <f>INDEX(MvKey1,29)</f>
      </c>
      <c r="W892" s="43">
        <f>INDEX(MvKey2,29)</f>
      </c>
      <c r="X892" s="43">
        <f>INDEX(MvKey3,29)</f>
      </c>
      <c r="Y892" s="43">
        <f>INDEX(MvKalt1,29)</f>
      </c>
      <c r="Z892" s="43">
        <f>INDEX(MvKalt2,29)</f>
      </c>
      <c r="AA892" s="43">
        <f>INDEX(MvKalt3,29)</f>
      </c>
      <c r="AB892" s="43">
        <f>MAX(YEAR(INDEX(MvAb1,29)),Jahr)</f>
      </c>
      <c r="AC892" s="43">
        <f>MAX(YEAR(INDEX(MvAb2,29)),Jahr)</f>
      </c>
      <c r="AD892" s="43">
        <f>MAX(YEAR(INDEX(MvAb3,29)),Jahr)</f>
      </c>
    </row>
    <row r="893">
      <c r="A893"/>
      <c r="B893">
        <v>29</v>
      </c>
      <c r="C893" s="43">
        <f>Jahr+1</f>
      </c>
      <c r="D893" s="43">
        <f>INDEX(MvObj,29)</f>
      </c>
      <c r="E893" s="43">
        <f>IF($S$892=0,0,IF(OR(DATE($C893,1,15)&lt;$S$892,AND($T$892&gt;0,DATE($C893,1,15)&gt;$T$892)),0,IF(DATE($C893,1,15)&gt;=$X$892,$AA$892*(1+($U$892)/100)^MAX(0,$C893-$AD$892),IF(DATE($C893,1,15)&gt;=$W$892,$Z$892*(1+($U$892)/100)^MAX(0,$C893-$AC$892),IF(DATE($C893,1,15)&gt;=$V$892,$Y$892*(1+($U$892)/100)^MAX(0,$C893-$AB$892),0)))))</f>
      </c>
      <c r="F893" s="43">
        <f>IF($S$892=0,0,IF(OR(DATE($C893,2,15)&lt;$S$892,AND($T$892&gt;0,DATE($C893,2,15)&gt;$T$892)),0,IF(DATE($C893,2,15)&gt;=$X$892,$AA$892*(1+($U$892)/100)^MAX(0,$C893-$AD$892),IF(DATE($C893,2,15)&gt;=$W$892,$Z$892*(1+($U$892)/100)^MAX(0,$C893-$AC$892),IF(DATE($C893,2,15)&gt;=$V$892,$Y$892*(1+($U$892)/100)^MAX(0,$C893-$AB$892),0)))))</f>
      </c>
      <c r="G893" s="43">
        <f>IF($S$892=0,0,IF(OR(DATE($C893,3,15)&lt;$S$892,AND($T$892&gt;0,DATE($C893,3,15)&gt;$T$892)),0,IF(DATE($C893,3,15)&gt;=$X$892,$AA$892*(1+($U$892)/100)^MAX(0,$C893-$AD$892),IF(DATE($C893,3,15)&gt;=$W$892,$Z$892*(1+($U$892)/100)^MAX(0,$C893-$AC$892),IF(DATE($C893,3,15)&gt;=$V$892,$Y$892*(1+($U$892)/100)^MAX(0,$C893-$AB$892),0)))))</f>
      </c>
      <c r="H893" s="43">
        <f>IF($S$892=0,0,IF(OR(DATE($C893,4,15)&lt;$S$892,AND($T$892&gt;0,DATE($C893,4,15)&gt;$T$892)),0,IF(DATE($C893,4,15)&gt;=$X$892,$AA$892*(1+($U$892)/100)^MAX(0,$C893-$AD$892),IF(DATE($C893,4,15)&gt;=$W$892,$Z$892*(1+($U$892)/100)^MAX(0,$C893-$AC$892),IF(DATE($C893,4,15)&gt;=$V$892,$Y$892*(1+($U$892)/100)^MAX(0,$C893-$AB$892),0)))))</f>
      </c>
      <c r="I893" s="43">
        <f>IF($S$892=0,0,IF(OR(DATE($C893,5,15)&lt;$S$892,AND($T$892&gt;0,DATE($C893,5,15)&gt;$T$892)),0,IF(DATE($C893,5,15)&gt;=$X$892,$AA$892*(1+($U$892)/100)^MAX(0,$C893-$AD$892),IF(DATE($C893,5,15)&gt;=$W$892,$Z$892*(1+($U$892)/100)^MAX(0,$C893-$AC$892),IF(DATE($C893,5,15)&gt;=$V$892,$Y$892*(1+($U$892)/100)^MAX(0,$C893-$AB$892),0)))))</f>
      </c>
      <c r="J893" s="43">
        <f>IF($S$892=0,0,IF(OR(DATE($C893,6,15)&lt;$S$892,AND($T$892&gt;0,DATE($C893,6,15)&gt;$T$892)),0,IF(DATE($C893,6,15)&gt;=$X$892,$AA$892*(1+($U$892)/100)^MAX(0,$C893-$AD$892),IF(DATE($C893,6,15)&gt;=$W$892,$Z$892*(1+($U$892)/100)^MAX(0,$C893-$AC$892),IF(DATE($C893,6,15)&gt;=$V$892,$Y$892*(1+($U$892)/100)^MAX(0,$C893-$AB$892),0)))))</f>
      </c>
      <c r="K893" s="43">
        <f>IF($S$892=0,0,IF(OR(DATE($C893,7,15)&lt;$S$892,AND($T$892&gt;0,DATE($C893,7,15)&gt;$T$892)),0,IF(DATE($C893,7,15)&gt;=$X$892,$AA$892*(1+($U$892)/100)^MAX(0,$C893-$AD$892),IF(DATE($C893,7,15)&gt;=$W$892,$Z$892*(1+($U$892)/100)^MAX(0,$C893-$AC$892),IF(DATE($C893,7,15)&gt;=$V$892,$Y$892*(1+($U$892)/100)^MAX(0,$C893-$AB$892),0)))))</f>
      </c>
      <c r="L893" s="43">
        <f>IF($S$892=0,0,IF(OR(DATE($C893,8,15)&lt;$S$892,AND($T$892&gt;0,DATE($C893,8,15)&gt;$T$892)),0,IF(DATE($C893,8,15)&gt;=$X$892,$AA$892*(1+($U$892)/100)^MAX(0,$C893-$AD$892),IF(DATE($C893,8,15)&gt;=$W$892,$Z$892*(1+($U$892)/100)^MAX(0,$C893-$AC$892),IF(DATE($C893,8,15)&gt;=$V$892,$Y$892*(1+($U$892)/100)^MAX(0,$C893-$AB$892),0)))))</f>
      </c>
      <c r="M893" s="43">
        <f>IF($S$892=0,0,IF(OR(DATE($C893,9,15)&lt;$S$892,AND($T$892&gt;0,DATE($C893,9,15)&gt;$T$892)),0,IF(DATE($C893,9,15)&gt;=$X$892,$AA$892*(1+($U$892)/100)^MAX(0,$C893-$AD$892),IF(DATE($C893,9,15)&gt;=$W$892,$Z$892*(1+($U$892)/100)^MAX(0,$C893-$AC$892),IF(DATE($C893,9,15)&gt;=$V$892,$Y$892*(1+($U$892)/100)^MAX(0,$C893-$AB$892),0)))))</f>
      </c>
      <c r="N893" s="43">
        <f>IF($S$892=0,0,IF(OR(DATE($C893,10,15)&lt;$S$892,AND($T$892&gt;0,DATE($C893,10,15)&gt;$T$892)),0,IF(DATE($C893,10,15)&gt;=$X$892,$AA$892*(1+($U$892)/100)^MAX(0,$C893-$AD$892),IF(DATE($C893,10,15)&gt;=$W$892,$Z$892*(1+($U$892)/100)^MAX(0,$C893-$AC$892),IF(DATE($C893,10,15)&gt;=$V$892,$Y$892*(1+($U$892)/100)^MAX(0,$C893-$AB$892),0)))))</f>
      </c>
      <c r="O893" s="43">
        <f>IF($S$892=0,0,IF(OR(DATE($C893,11,15)&lt;$S$892,AND($T$892&gt;0,DATE($C893,11,15)&gt;$T$892)),0,IF(DATE($C893,11,15)&gt;=$X$892,$AA$892*(1+($U$892)/100)^MAX(0,$C893-$AD$892),IF(DATE($C893,11,15)&gt;=$W$892,$Z$892*(1+($U$892)/100)^MAX(0,$C893-$AC$892),IF(DATE($C893,11,15)&gt;=$V$892,$Y$892*(1+($U$892)/100)^MAX(0,$C893-$AB$892),0)))))</f>
      </c>
      <c r="P893" s="43">
        <f>IF($S$892=0,0,IF(OR(DATE($C893,12,15)&lt;$S$892,AND($T$892&gt;0,DATE($C893,12,15)&gt;$T$892)),0,IF(DATE($C893,12,15)&gt;=$X$892,$AA$892*(1+($U$892)/100)^MAX(0,$C893-$AD$892),IF(DATE($C893,12,15)&gt;=$W$892,$Z$892*(1+($U$892)/100)^MAX(0,$C893-$AC$892),IF(DATE($C893,12,15)&gt;=$V$892,$Y$892*(1+($U$892)/100)^MAX(0,$C893-$AB$892),0)))))</f>
      </c>
      <c r="Q893" s="43">
        <f>SUM($E893:$P893)</f>
      </c>
    </row>
    <row r="894">
      <c r="A894"/>
      <c r="B894">
        <v>29</v>
      </c>
      <c r="C894" s="43">
        <f>Jahr+2</f>
      </c>
      <c r="D894" s="43">
        <f>INDEX(MvObj,29)</f>
      </c>
      <c r="E894" s="43">
        <f>IF($S$892=0,0,IF(OR(DATE($C894,1,15)&lt;$S$892,AND($T$892&gt;0,DATE($C894,1,15)&gt;$T$892)),0,IF(DATE($C894,1,15)&gt;=$X$892,$AA$892*(1+($U$892)/100)^MAX(0,$C894-$AD$892),IF(DATE($C894,1,15)&gt;=$W$892,$Z$892*(1+($U$892)/100)^MAX(0,$C894-$AC$892),IF(DATE($C894,1,15)&gt;=$V$892,$Y$892*(1+($U$892)/100)^MAX(0,$C894-$AB$892),0)))))</f>
      </c>
      <c r="F894" s="43">
        <f>IF($S$892=0,0,IF(OR(DATE($C894,2,15)&lt;$S$892,AND($T$892&gt;0,DATE($C894,2,15)&gt;$T$892)),0,IF(DATE($C894,2,15)&gt;=$X$892,$AA$892*(1+($U$892)/100)^MAX(0,$C894-$AD$892),IF(DATE($C894,2,15)&gt;=$W$892,$Z$892*(1+($U$892)/100)^MAX(0,$C894-$AC$892),IF(DATE($C894,2,15)&gt;=$V$892,$Y$892*(1+($U$892)/100)^MAX(0,$C894-$AB$892),0)))))</f>
      </c>
      <c r="G894" s="43">
        <f>IF($S$892=0,0,IF(OR(DATE($C894,3,15)&lt;$S$892,AND($T$892&gt;0,DATE($C894,3,15)&gt;$T$892)),0,IF(DATE($C894,3,15)&gt;=$X$892,$AA$892*(1+($U$892)/100)^MAX(0,$C894-$AD$892),IF(DATE($C894,3,15)&gt;=$W$892,$Z$892*(1+($U$892)/100)^MAX(0,$C894-$AC$892),IF(DATE($C894,3,15)&gt;=$V$892,$Y$892*(1+($U$892)/100)^MAX(0,$C894-$AB$892),0)))))</f>
      </c>
      <c r="H894" s="43">
        <f>IF($S$892=0,0,IF(OR(DATE($C894,4,15)&lt;$S$892,AND($T$892&gt;0,DATE($C894,4,15)&gt;$T$892)),0,IF(DATE($C894,4,15)&gt;=$X$892,$AA$892*(1+($U$892)/100)^MAX(0,$C894-$AD$892),IF(DATE($C894,4,15)&gt;=$W$892,$Z$892*(1+($U$892)/100)^MAX(0,$C894-$AC$892),IF(DATE($C894,4,15)&gt;=$V$892,$Y$892*(1+($U$892)/100)^MAX(0,$C894-$AB$892),0)))))</f>
      </c>
      <c r="I894" s="43">
        <f>IF($S$892=0,0,IF(OR(DATE($C894,5,15)&lt;$S$892,AND($T$892&gt;0,DATE($C894,5,15)&gt;$T$892)),0,IF(DATE($C894,5,15)&gt;=$X$892,$AA$892*(1+($U$892)/100)^MAX(0,$C894-$AD$892),IF(DATE($C894,5,15)&gt;=$W$892,$Z$892*(1+($U$892)/100)^MAX(0,$C894-$AC$892),IF(DATE($C894,5,15)&gt;=$V$892,$Y$892*(1+($U$892)/100)^MAX(0,$C894-$AB$892),0)))))</f>
      </c>
      <c r="J894" s="43">
        <f>IF($S$892=0,0,IF(OR(DATE($C894,6,15)&lt;$S$892,AND($T$892&gt;0,DATE($C894,6,15)&gt;$T$892)),0,IF(DATE($C894,6,15)&gt;=$X$892,$AA$892*(1+($U$892)/100)^MAX(0,$C894-$AD$892),IF(DATE($C894,6,15)&gt;=$W$892,$Z$892*(1+($U$892)/100)^MAX(0,$C894-$AC$892),IF(DATE($C894,6,15)&gt;=$V$892,$Y$892*(1+($U$892)/100)^MAX(0,$C894-$AB$892),0)))))</f>
      </c>
      <c r="K894" s="43">
        <f>IF($S$892=0,0,IF(OR(DATE($C894,7,15)&lt;$S$892,AND($T$892&gt;0,DATE($C894,7,15)&gt;$T$892)),0,IF(DATE($C894,7,15)&gt;=$X$892,$AA$892*(1+($U$892)/100)^MAX(0,$C894-$AD$892),IF(DATE($C894,7,15)&gt;=$W$892,$Z$892*(1+($U$892)/100)^MAX(0,$C894-$AC$892),IF(DATE($C894,7,15)&gt;=$V$892,$Y$892*(1+($U$892)/100)^MAX(0,$C894-$AB$892),0)))))</f>
      </c>
      <c r="L894" s="43">
        <f>IF($S$892=0,0,IF(OR(DATE($C894,8,15)&lt;$S$892,AND($T$892&gt;0,DATE($C894,8,15)&gt;$T$892)),0,IF(DATE($C894,8,15)&gt;=$X$892,$AA$892*(1+($U$892)/100)^MAX(0,$C894-$AD$892),IF(DATE($C894,8,15)&gt;=$W$892,$Z$892*(1+($U$892)/100)^MAX(0,$C894-$AC$892),IF(DATE($C894,8,15)&gt;=$V$892,$Y$892*(1+($U$892)/100)^MAX(0,$C894-$AB$892),0)))))</f>
      </c>
      <c r="M894" s="43">
        <f>IF($S$892=0,0,IF(OR(DATE($C894,9,15)&lt;$S$892,AND($T$892&gt;0,DATE($C894,9,15)&gt;$T$892)),0,IF(DATE($C894,9,15)&gt;=$X$892,$AA$892*(1+($U$892)/100)^MAX(0,$C894-$AD$892),IF(DATE($C894,9,15)&gt;=$W$892,$Z$892*(1+($U$892)/100)^MAX(0,$C894-$AC$892),IF(DATE($C894,9,15)&gt;=$V$892,$Y$892*(1+($U$892)/100)^MAX(0,$C894-$AB$892),0)))))</f>
      </c>
      <c r="N894" s="43">
        <f>IF($S$892=0,0,IF(OR(DATE($C894,10,15)&lt;$S$892,AND($T$892&gt;0,DATE($C894,10,15)&gt;$T$892)),0,IF(DATE($C894,10,15)&gt;=$X$892,$AA$892*(1+($U$892)/100)^MAX(0,$C894-$AD$892),IF(DATE($C894,10,15)&gt;=$W$892,$Z$892*(1+($U$892)/100)^MAX(0,$C894-$AC$892),IF(DATE($C894,10,15)&gt;=$V$892,$Y$892*(1+($U$892)/100)^MAX(0,$C894-$AB$892),0)))))</f>
      </c>
      <c r="O894" s="43">
        <f>IF($S$892=0,0,IF(OR(DATE($C894,11,15)&lt;$S$892,AND($T$892&gt;0,DATE($C894,11,15)&gt;$T$892)),0,IF(DATE($C894,11,15)&gt;=$X$892,$AA$892*(1+($U$892)/100)^MAX(0,$C894-$AD$892),IF(DATE($C894,11,15)&gt;=$W$892,$Z$892*(1+($U$892)/100)^MAX(0,$C894-$AC$892),IF(DATE($C894,11,15)&gt;=$V$892,$Y$892*(1+($U$892)/100)^MAX(0,$C894-$AB$892),0)))))</f>
      </c>
      <c r="P894" s="43">
        <f>IF($S$892=0,0,IF(OR(DATE($C894,12,15)&lt;$S$892,AND($T$892&gt;0,DATE($C894,12,15)&gt;$T$892)),0,IF(DATE($C894,12,15)&gt;=$X$892,$AA$892*(1+($U$892)/100)^MAX(0,$C894-$AD$892),IF(DATE($C894,12,15)&gt;=$W$892,$Z$892*(1+($U$892)/100)^MAX(0,$C894-$AC$892),IF(DATE($C894,12,15)&gt;=$V$892,$Y$892*(1+($U$892)/100)^MAX(0,$C894-$AB$892),0)))))</f>
      </c>
      <c r="Q894" s="43">
        <f>SUM($E894:$P894)</f>
      </c>
    </row>
    <row r="895">
      <c r="A895"/>
      <c r="B895">
        <v>29</v>
      </c>
      <c r="C895" s="43">
        <f>Jahr+3</f>
      </c>
      <c r="D895" s="43">
        <f>INDEX(MvObj,29)</f>
      </c>
      <c r="E895" s="43">
        <f>IF($S$892=0,0,IF(OR(DATE($C895,1,15)&lt;$S$892,AND($T$892&gt;0,DATE($C895,1,15)&gt;$T$892)),0,IF(DATE($C895,1,15)&gt;=$X$892,$AA$892*(1+($U$892)/100)^MAX(0,$C895-$AD$892),IF(DATE($C895,1,15)&gt;=$W$892,$Z$892*(1+($U$892)/100)^MAX(0,$C895-$AC$892),IF(DATE($C895,1,15)&gt;=$V$892,$Y$892*(1+($U$892)/100)^MAX(0,$C895-$AB$892),0)))))</f>
      </c>
      <c r="F895" s="43">
        <f>IF($S$892=0,0,IF(OR(DATE($C895,2,15)&lt;$S$892,AND($T$892&gt;0,DATE($C895,2,15)&gt;$T$892)),0,IF(DATE($C895,2,15)&gt;=$X$892,$AA$892*(1+($U$892)/100)^MAX(0,$C895-$AD$892),IF(DATE($C895,2,15)&gt;=$W$892,$Z$892*(1+($U$892)/100)^MAX(0,$C895-$AC$892),IF(DATE($C895,2,15)&gt;=$V$892,$Y$892*(1+($U$892)/100)^MAX(0,$C895-$AB$892),0)))))</f>
      </c>
      <c r="G895" s="43">
        <f>IF($S$892=0,0,IF(OR(DATE($C895,3,15)&lt;$S$892,AND($T$892&gt;0,DATE($C895,3,15)&gt;$T$892)),0,IF(DATE($C895,3,15)&gt;=$X$892,$AA$892*(1+($U$892)/100)^MAX(0,$C895-$AD$892),IF(DATE($C895,3,15)&gt;=$W$892,$Z$892*(1+($U$892)/100)^MAX(0,$C895-$AC$892),IF(DATE($C895,3,15)&gt;=$V$892,$Y$892*(1+($U$892)/100)^MAX(0,$C895-$AB$892),0)))))</f>
      </c>
      <c r="H895" s="43">
        <f>IF($S$892=0,0,IF(OR(DATE($C895,4,15)&lt;$S$892,AND($T$892&gt;0,DATE($C895,4,15)&gt;$T$892)),0,IF(DATE($C895,4,15)&gt;=$X$892,$AA$892*(1+($U$892)/100)^MAX(0,$C895-$AD$892),IF(DATE($C895,4,15)&gt;=$W$892,$Z$892*(1+($U$892)/100)^MAX(0,$C895-$AC$892),IF(DATE($C895,4,15)&gt;=$V$892,$Y$892*(1+($U$892)/100)^MAX(0,$C895-$AB$892),0)))))</f>
      </c>
      <c r="I895" s="43">
        <f>IF($S$892=0,0,IF(OR(DATE($C895,5,15)&lt;$S$892,AND($T$892&gt;0,DATE($C895,5,15)&gt;$T$892)),0,IF(DATE($C895,5,15)&gt;=$X$892,$AA$892*(1+($U$892)/100)^MAX(0,$C895-$AD$892),IF(DATE($C895,5,15)&gt;=$W$892,$Z$892*(1+($U$892)/100)^MAX(0,$C895-$AC$892),IF(DATE($C895,5,15)&gt;=$V$892,$Y$892*(1+($U$892)/100)^MAX(0,$C895-$AB$892),0)))))</f>
      </c>
      <c r="J895" s="43">
        <f>IF($S$892=0,0,IF(OR(DATE($C895,6,15)&lt;$S$892,AND($T$892&gt;0,DATE($C895,6,15)&gt;$T$892)),0,IF(DATE($C895,6,15)&gt;=$X$892,$AA$892*(1+($U$892)/100)^MAX(0,$C895-$AD$892),IF(DATE($C895,6,15)&gt;=$W$892,$Z$892*(1+($U$892)/100)^MAX(0,$C895-$AC$892),IF(DATE($C895,6,15)&gt;=$V$892,$Y$892*(1+($U$892)/100)^MAX(0,$C895-$AB$892),0)))))</f>
      </c>
      <c r="K895" s="43">
        <f>IF($S$892=0,0,IF(OR(DATE($C895,7,15)&lt;$S$892,AND($T$892&gt;0,DATE($C895,7,15)&gt;$T$892)),0,IF(DATE($C895,7,15)&gt;=$X$892,$AA$892*(1+($U$892)/100)^MAX(0,$C895-$AD$892),IF(DATE($C895,7,15)&gt;=$W$892,$Z$892*(1+($U$892)/100)^MAX(0,$C895-$AC$892),IF(DATE($C895,7,15)&gt;=$V$892,$Y$892*(1+($U$892)/100)^MAX(0,$C895-$AB$892),0)))))</f>
      </c>
      <c r="L895" s="43">
        <f>IF($S$892=0,0,IF(OR(DATE($C895,8,15)&lt;$S$892,AND($T$892&gt;0,DATE($C895,8,15)&gt;$T$892)),0,IF(DATE($C895,8,15)&gt;=$X$892,$AA$892*(1+($U$892)/100)^MAX(0,$C895-$AD$892),IF(DATE($C895,8,15)&gt;=$W$892,$Z$892*(1+($U$892)/100)^MAX(0,$C895-$AC$892),IF(DATE($C895,8,15)&gt;=$V$892,$Y$892*(1+($U$892)/100)^MAX(0,$C895-$AB$892),0)))))</f>
      </c>
      <c r="M895" s="43">
        <f>IF($S$892=0,0,IF(OR(DATE($C895,9,15)&lt;$S$892,AND($T$892&gt;0,DATE($C895,9,15)&gt;$T$892)),0,IF(DATE($C895,9,15)&gt;=$X$892,$AA$892*(1+($U$892)/100)^MAX(0,$C895-$AD$892),IF(DATE($C895,9,15)&gt;=$W$892,$Z$892*(1+($U$892)/100)^MAX(0,$C895-$AC$892),IF(DATE($C895,9,15)&gt;=$V$892,$Y$892*(1+($U$892)/100)^MAX(0,$C895-$AB$892),0)))))</f>
      </c>
      <c r="N895" s="43">
        <f>IF($S$892=0,0,IF(OR(DATE($C895,10,15)&lt;$S$892,AND($T$892&gt;0,DATE($C895,10,15)&gt;$T$892)),0,IF(DATE($C895,10,15)&gt;=$X$892,$AA$892*(1+($U$892)/100)^MAX(0,$C895-$AD$892),IF(DATE($C895,10,15)&gt;=$W$892,$Z$892*(1+($U$892)/100)^MAX(0,$C895-$AC$892),IF(DATE($C895,10,15)&gt;=$V$892,$Y$892*(1+($U$892)/100)^MAX(0,$C895-$AB$892),0)))))</f>
      </c>
      <c r="O895" s="43">
        <f>IF($S$892=0,0,IF(OR(DATE($C895,11,15)&lt;$S$892,AND($T$892&gt;0,DATE($C895,11,15)&gt;$T$892)),0,IF(DATE($C895,11,15)&gt;=$X$892,$AA$892*(1+($U$892)/100)^MAX(0,$C895-$AD$892),IF(DATE($C895,11,15)&gt;=$W$892,$Z$892*(1+($U$892)/100)^MAX(0,$C895-$AC$892),IF(DATE($C895,11,15)&gt;=$V$892,$Y$892*(1+($U$892)/100)^MAX(0,$C895-$AB$892),0)))))</f>
      </c>
      <c r="P895" s="43">
        <f>IF($S$892=0,0,IF(OR(DATE($C895,12,15)&lt;$S$892,AND($T$892&gt;0,DATE($C895,12,15)&gt;$T$892)),0,IF(DATE($C895,12,15)&gt;=$X$892,$AA$892*(1+($U$892)/100)^MAX(0,$C895-$AD$892),IF(DATE($C895,12,15)&gt;=$W$892,$Z$892*(1+($U$892)/100)^MAX(0,$C895-$AC$892),IF(DATE($C895,12,15)&gt;=$V$892,$Y$892*(1+($U$892)/100)^MAX(0,$C895-$AB$892),0)))))</f>
      </c>
      <c r="Q895" s="43">
        <f>SUM($E895:$P895)</f>
      </c>
    </row>
    <row r="896">
      <c r="A896"/>
      <c r="B896">
        <v>29</v>
      </c>
      <c r="C896" s="43">
        <f>Jahr+4</f>
      </c>
      <c r="D896" s="43">
        <f>INDEX(MvObj,29)</f>
      </c>
      <c r="E896" s="43">
        <f>IF($S$892=0,0,IF(OR(DATE($C896,1,15)&lt;$S$892,AND($T$892&gt;0,DATE($C896,1,15)&gt;$T$892)),0,IF(DATE($C896,1,15)&gt;=$X$892,$AA$892*(1+($U$892)/100)^MAX(0,$C896-$AD$892),IF(DATE($C896,1,15)&gt;=$W$892,$Z$892*(1+($U$892)/100)^MAX(0,$C896-$AC$892),IF(DATE($C896,1,15)&gt;=$V$892,$Y$892*(1+($U$892)/100)^MAX(0,$C896-$AB$892),0)))))</f>
      </c>
      <c r="F896" s="43">
        <f>IF($S$892=0,0,IF(OR(DATE($C896,2,15)&lt;$S$892,AND($T$892&gt;0,DATE($C896,2,15)&gt;$T$892)),0,IF(DATE($C896,2,15)&gt;=$X$892,$AA$892*(1+($U$892)/100)^MAX(0,$C896-$AD$892),IF(DATE($C896,2,15)&gt;=$W$892,$Z$892*(1+($U$892)/100)^MAX(0,$C896-$AC$892),IF(DATE($C896,2,15)&gt;=$V$892,$Y$892*(1+($U$892)/100)^MAX(0,$C896-$AB$892),0)))))</f>
      </c>
      <c r="G896" s="43">
        <f>IF($S$892=0,0,IF(OR(DATE($C896,3,15)&lt;$S$892,AND($T$892&gt;0,DATE($C896,3,15)&gt;$T$892)),0,IF(DATE($C896,3,15)&gt;=$X$892,$AA$892*(1+($U$892)/100)^MAX(0,$C896-$AD$892),IF(DATE($C896,3,15)&gt;=$W$892,$Z$892*(1+($U$892)/100)^MAX(0,$C896-$AC$892),IF(DATE($C896,3,15)&gt;=$V$892,$Y$892*(1+($U$892)/100)^MAX(0,$C896-$AB$892),0)))))</f>
      </c>
      <c r="H896" s="43">
        <f>IF($S$892=0,0,IF(OR(DATE($C896,4,15)&lt;$S$892,AND($T$892&gt;0,DATE($C896,4,15)&gt;$T$892)),0,IF(DATE($C896,4,15)&gt;=$X$892,$AA$892*(1+($U$892)/100)^MAX(0,$C896-$AD$892),IF(DATE($C896,4,15)&gt;=$W$892,$Z$892*(1+($U$892)/100)^MAX(0,$C896-$AC$892),IF(DATE($C896,4,15)&gt;=$V$892,$Y$892*(1+($U$892)/100)^MAX(0,$C896-$AB$892),0)))))</f>
      </c>
      <c r="I896" s="43">
        <f>IF($S$892=0,0,IF(OR(DATE($C896,5,15)&lt;$S$892,AND($T$892&gt;0,DATE($C896,5,15)&gt;$T$892)),0,IF(DATE($C896,5,15)&gt;=$X$892,$AA$892*(1+($U$892)/100)^MAX(0,$C896-$AD$892),IF(DATE($C896,5,15)&gt;=$W$892,$Z$892*(1+($U$892)/100)^MAX(0,$C896-$AC$892),IF(DATE($C896,5,15)&gt;=$V$892,$Y$892*(1+($U$892)/100)^MAX(0,$C896-$AB$892),0)))))</f>
      </c>
      <c r="J896" s="43">
        <f>IF($S$892=0,0,IF(OR(DATE($C896,6,15)&lt;$S$892,AND($T$892&gt;0,DATE($C896,6,15)&gt;$T$892)),0,IF(DATE($C896,6,15)&gt;=$X$892,$AA$892*(1+($U$892)/100)^MAX(0,$C896-$AD$892),IF(DATE($C896,6,15)&gt;=$W$892,$Z$892*(1+($U$892)/100)^MAX(0,$C896-$AC$892),IF(DATE($C896,6,15)&gt;=$V$892,$Y$892*(1+($U$892)/100)^MAX(0,$C896-$AB$892),0)))))</f>
      </c>
      <c r="K896" s="43">
        <f>IF($S$892=0,0,IF(OR(DATE($C896,7,15)&lt;$S$892,AND($T$892&gt;0,DATE($C896,7,15)&gt;$T$892)),0,IF(DATE($C896,7,15)&gt;=$X$892,$AA$892*(1+($U$892)/100)^MAX(0,$C896-$AD$892),IF(DATE($C896,7,15)&gt;=$W$892,$Z$892*(1+($U$892)/100)^MAX(0,$C896-$AC$892),IF(DATE($C896,7,15)&gt;=$V$892,$Y$892*(1+($U$892)/100)^MAX(0,$C896-$AB$892),0)))))</f>
      </c>
      <c r="L896" s="43">
        <f>IF($S$892=0,0,IF(OR(DATE($C896,8,15)&lt;$S$892,AND($T$892&gt;0,DATE($C896,8,15)&gt;$T$892)),0,IF(DATE($C896,8,15)&gt;=$X$892,$AA$892*(1+($U$892)/100)^MAX(0,$C896-$AD$892),IF(DATE($C896,8,15)&gt;=$W$892,$Z$892*(1+($U$892)/100)^MAX(0,$C896-$AC$892),IF(DATE($C896,8,15)&gt;=$V$892,$Y$892*(1+($U$892)/100)^MAX(0,$C896-$AB$892),0)))))</f>
      </c>
      <c r="M896" s="43">
        <f>IF($S$892=0,0,IF(OR(DATE($C896,9,15)&lt;$S$892,AND($T$892&gt;0,DATE($C896,9,15)&gt;$T$892)),0,IF(DATE($C896,9,15)&gt;=$X$892,$AA$892*(1+($U$892)/100)^MAX(0,$C896-$AD$892),IF(DATE($C896,9,15)&gt;=$W$892,$Z$892*(1+($U$892)/100)^MAX(0,$C896-$AC$892),IF(DATE($C896,9,15)&gt;=$V$892,$Y$892*(1+($U$892)/100)^MAX(0,$C896-$AB$892),0)))))</f>
      </c>
      <c r="N896" s="43">
        <f>IF($S$892=0,0,IF(OR(DATE($C896,10,15)&lt;$S$892,AND($T$892&gt;0,DATE($C896,10,15)&gt;$T$892)),0,IF(DATE($C896,10,15)&gt;=$X$892,$AA$892*(1+($U$892)/100)^MAX(0,$C896-$AD$892),IF(DATE($C896,10,15)&gt;=$W$892,$Z$892*(1+($U$892)/100)^MAX(0,$C896-$AC$892),IF(DATE($C896,10,15)&gt;=$V$892,$Y$892*(1+($U$892)/100)^MAX(0,$C896-$AB$892),0)))))</f>
      </c>
      <c r="O896" s="43">
        <f>IF($S$892=0,0,IF(OR(DATE($C896,11,15)&lt;$S$892,AND($T$892&gt;0,DATE($C896,11,15)&gt;$T$892)),0,IF(DATE($C896,11,15)&gt;=$X$892,$AA$892*(1+($U$892)/100)^MAX(0,$C896-$AD$892),IF(DATE($C896,11,15)&gt;=$W$892,$Z$892*(1+($U$892)/100)^MAX(0,$C896-$AC$892),IF(DATE($C896,11,15)&gt;=$V$892,$Y$892*(1+($U$892)/100)^MAX(0,$C896-$AB$892),0)))))</f>
      </c>
      <c r="P896" s="43">
        <f>IF($S$892=0,0,IF(OR(DATE($C896,12,15)&lt;$S$892,AND($T$892&gt;0,DATE($C896,12,15)&gt;$T$892)),0,IF(DATE($C896,12,15)&gt;=$X$892,$AA$892*(1+($U$892)/100)^MAX(0,$C896-$AD$892),IF(DATE($C896,12,15)&gt;=$W$892,$Z$892*(1+($U$892)/100)^MAX(0,$C896-$AC$892),IF(DATE($C896,12,15)&gt;=$V$892,$Y$892*(1+($U$892)/100)^MAX(0,$C896-$AB$892),0)))))</f>
      </c>
      <c r="Q896" s="43">
        <f>SUM($E896:$P896)</f>
      </c>
    </row>
    <row r="897">
      <c r="A897"/>
      <c r="B897">
        <v>29</v>
      </c>
      <c r="C897" s="43">
        <f>Jahr+5</f>
      </c>
      <c r="D897" s="43">
        <f>INDEX(MvObj,29)</f>
      </c>
      <c r="E897" s="43">
        <f>IF($S$892=0,0,IF(OR(DATE($C897,1,15)&lt;$S$892,AND($T$892&gt;0,DATE($C897,1,15)&gt;$T$892)),0,IF(DATE($C897,1,15)&gt;=$X$892,$AA$892*(1+($U$892)/100)^MAX(0,$C897-$AD$892),IF(DATE($C897,1,15)&gt;=$W$892,$Z$892*(1+($U$892)/100)^MAX(0,$C897-$AC$892),IF(DATE($C897,1,15)&gt;=$V$892,$Y$892*(1+($U$892)/100)^MAX(0,$C897-$AB$892),0)))))</f>
      </c>
      <c r="F897" s="43">
        <f>IF($S$892=0,0,IF(OR(DATE($C897,2,15)&lt;$S$892,AND($T$892&gt;0,DATE($C897,2,15)&gt;$T$892)),0,IF(DATE($C897,2,15)&gt;=$X$892,$AA$892*(1+($U$892)/100)^MAX(0,$C897-$AD$892),IF(DATE($C897,2,15)&gt;=$W$892,$Z$892*(1+($U$892)/100)^MAX(0,$C897-$AC$892),IF(DATE($C897,2,15)&gt;=$V$892,$Y$892*(1+($U$892)/100)^MAX(0,$C897-$AB$892),0)))))</f>
      </c>
      <c r="G897" s="43">
        <f>IF($S$892=0,0,IF(OR(DATE($C897,3,15)&lt;$S$892,AND($T$892&gt;0,DATE($C897,3,15)&gt;$T$892)),0,IF(DATE($C897,3,15)&gt;=$X$892,$AA$892*(1+($U$892)/100)^MAX(0,$C897-$AD$892),IF(DATE($C897,3,15)&gt;=$W$892,$Z$892*(1+($U$892)/100)^MAX(0,$C897-$AC$892),IF(DATE($C897,3,15)&gt;=$V$892,$Y$892*(1+($U$892)/100)^MAX(0,$C897-$AB$892),0)))))</f>
      </c>
      <c r="H897" s="43">
        <f>IF($S$892=0,0,IF(OR(DATE($C897,4,15)&lt;$S$892,AND($T$892&gt;0,DATE($C897,4,15)&gt;$T$892)),0,IF(DATE($C897,4,15)&gt;=$X$892,$AA$892*(1+($U$892)/100)^MAX(0,$C897-$AD$892),IF(DATE($C897,4,15)&gt;=$W$892,$Z$892*(1+($U$892)/100)^MAX(0,$C897-$AC$892),IF(DATE($C897,4,15)&gt;=$V$892,$Y$892*(1+($U$892)/100)^MAX(0,$C897-$AB$892),0)))))</f>
      </c>
      <c r="I897" s="43">
        <f>IF($S$892=0,0,IF(OR(DATE($C897,5,15)&lt;$S$892,AND($T$892&gt;0,DATE($C897,5,15)&gt;$T$892)),0,IF(DATE($C897,5,15)&gt;=$X$892,$AA$892*(1+($U$892)/100)^MAX(0,$C897-$AD$892),IF(DATE($C897,5,15)&gt;=$W$892,$Z$892*(1+($U$892)/100)^MAX(0,$C897-$AC$892),IF(DATE($C897,5,15)&gt;=$V$892,$Y$892*(1+($U$892)/100)^MAX(0,$C897-$AB$892),0)))))</f>
      </c>
      <c r="J897" s="43">
        <f>IF($S$892=0,0,IF(OR(DATE($C897,6,15)&lt;$S$892,AND($T$892&gt;0,DATE($C897,6,15)&gt;$T$892)),0,IF(DATE($C897,6,15)&gt;=$X$892,$AA$892*(1+($U$892)/100)^MAX(0,$C897-$AD$892),IF(DATE($C897,6,15)&gt;=$W$892,$Z$892*(1+($U$892)/100)^MAX(0,$C897-$AC$892),IF(DATE($C897,6,15)&gt;=$V$892,$Y$892*(1+($U$892)/100)^MAX(0,$C897-$AB$892),0)))))</f>
      </c>
      <c r="K897" s="43">
        <f>IF($S$892=0,0,IF(OR(DATE($C897,7,15)&lt;$S$892,AND($T$892&gt;0,DATE($C897,7,15)&gt;$T$892)),0,IF(DATE($C897,7,15)&gt;=$X$892,$AA$892*(1+($U$892)/100)^MAX(0,$C897-$AD$892),IF(DATE($C897,7,15)&gt;=$W$892,$Z$892*(1+($U$892)/100)^MAX(0,$C897-$AC$892),IF(DATE($C897,7,15)&gt;=$V$892,$Y$892*(1+($U$892)/100)^MAX(0,$C897-$AB$892),0)))))</f>
      </c>
      <c r="L897" s="43">
        <f>IF($S$892=0,0,IF(OR(DATE($C897,8,15)&lt;$S$892,AND($T$892&gt;0,DATE($C897,8,15)&gt;$T$892)),0,IF(DATE($C897,8,15)&gt;=$X$892,$AA$892*(1+($U$892)/100)^MAX(0,$C897-$AD$892),IF(DATE($C897,8,15)&gt;=$W$892,$Z$892*(1+($U$892)/100)^MAX(0,$C897-$AC$892),IF(DATE($C897,8,15)&gt;=$V$892,$Y$892*(1+($U$892)/100)^MAX(0,$C897-$AB$892),0)))))</f>
      </c>
      <c r="M897" s="43">
        <f>IF($S$892=0,0,IF(OR(DATE($C897,9,15)&lt;$S$892,AND($T$892&gt;0,DATE($C897,9,15)&gt;$T$892)),0,IF(DATE($C897,9,15)&gt;=$X$892,$AA$892*(1+($U$892)/100)^MAX(0,$C897-$AD$892),IF(DATE($C897,9,15)&gt;=$W$892,$Z$892*(1+($U$892)/100)^MAX(0,$C897-$AC$892),IF(DATE($C897,9,15)&gt;=$V$892,$Y$892*(1+($U$892)/100)^MAX(0,$C897-$AB$892),0)))))</f>
      </c>
      <c r="N897" s="43">
        <f>IF($S$892=0,0,IF(OR(DATE($C897,10,15)&lt;$S$892,AND($T$892&gt;0,DATE($C897,10,15)&gt;$T$892)),0,IF(DATE($C897,10,15)&gt;=$X$892,$AA$892*(1+($U$892)/100)^MAX(0,$C897-$AD$892),IF(DATE($C897,10,15)&gt;=$W$892,$Z$892*(1+($U$892)/100)^MAX(0,$C897-$AC$892),IF(DATE($C897,10,15)&gt;=$V$892,$Y$892*(1+($U$892)/100)^MAX(0,$C897-$AB$892),0)))))</f>
      </c>
      <c r="O897" s="43">
        <f>IF($S$892=0,0,IF(OR(DATE($C897,11,15)&lt;$S$892,AND($T$892&gt;0,DATE($C897,11,15)&gt;$T$892)),0,IF(DATE($C897,11,15)&gt;=$X$892,$AA$892*(1+($U$892)/100)^MAX(0,$C897-$AD$892),IF(DATE($C897,11,15)&gt;=$W$892,$Z$892*(1+($U$892)/100)^MAX(0,$C897-$AC$892),IF(DATE($C897,11,15)&gt;=$V$892,$Y$892*(1+($U$892)/100)^MAX(0,$C897-$AB$892),0)))))</f>
      </c>
      <c r="P897" s="43">
        <f>IF($S$892=0,0,IF(OR(DATE($C897,12,15)&lt;$S$892,AND($T$892&gt;0,DATE($C897,12,15)&gt;$T$892)),0,IF(DATE($C897,12,15)&gt;=$X$892,$AA$892*(1+($U$892)/100)^MAX(0,$C897-$AD$892),IF(DATE($C897,12,15)&gt;=$W$892,$Z$892*(1+($U$892)/100)^MAX(0,$C897-$AC$892),IF(DATE($C897,12,15)&gt;=$V$892,$Y$892*(1+($U$892)/100)^MAX(0,$C897-$AB$892),0)))))</f>
      </c>
      <c r="Q897" s="43">
        <f>SUM($E897:$P897)</f>
      </c>
    </row>
    <row r="898">
      <c r="A898"/>
      <c r="B898">
        <v>29</v>
      </c>
      <c r="C898" s="43">
        <f>Jahr+6</f>
      </c>
      <c r="D898" s="43">
        <f>INDEX(MvObj,29)</f>
      </c>
      <c r="E898" s="43">
        <f>IF($S$892=0,0,IF(OR(DATE($C898,1,15)&lt;$S$892,AND($T$892&gt;0,DATE($C898,1,15)&gt;$T$892)),0,IF(DATE($C898,1,15)&gt;=$X$892,$AA$892*(1+($U$892)/100)^MAX(0,$C898-$AD$892),IF(DATE($C898,1,15)&gt;=$W$892,$Z$892*(1+($U$892)/100)^MAX(0,$C898-$AC$892),IF(DATE($C898,1,15)&gt;=$V$892,$Y$892*(1+($U$892)/100)^MAX(0,$C898-$AB$892),0)))))</f>
      </c>
      <c r="F898" s="43">
        <f>IF($S$892=0,0,IF(OR(DATE($C898,2,15)&lt;$S$892,AND($T$892&gt;0,DATE($C898,2,15)&gt;$T$892)),0,IF(DATE($C898,2,15)&gt;=$X$892,$AA$892*(1+($U$892)/100)^MAX(0,$C898-$AD$892),IF(DATE($C898,2,15)&gt;=$W$892,$Z$892*(1+($U$892)/100)^MAX(0,$C898-$AC$892),IF(DATE($C898,2,15)&gt;=$V$892,$Y$892*(1+($U$892)/100)^MAX(0,$C898-$AB$892),0)))))</f>
      </c>
      <c r="G898" s="43">
        <f>IF($S$892=0,0,IF(OR(DATE($C898,3,15)&lt;$S$892,AND($T$892&gt;0,DATE($C898,3,15)&gt;$T$892)),0,IF(DATE($C898,3,15)&gt;=$X$892,$AA$892*(1+($U$892)/100)^MAX(0,$C898-$AD$892),IF(DATE($C898,3,15)&gt;=$W$892,$Z$892*(1+($U$892)/100)^MAX(0,$C898-$AC$892),IF(DATE($C898,3,15)&gt;=$V$892,$Y$892*(1+($U$892)/100)^MAX(0,$C898-$AB$892),0)))))</f>
      </c>
      <c r="H898" s="43">
        <f>IF($S$892=0,0,IF(OR(DATE($C898,4,15)&lt;$S$892,AND($T$892&gt;0,DATE($C898,4,15)&gt;$T$892)),0,IF(DATE($C898,4,15)&gt;=$X$892,$AA$892*(1+($U$892)/100)^MAX(0,$C898-$AD$892),IF(DATE($C898,4,15)&gt;=$W$892,$Z$892*(1+($U$892)/100)^MAX(0,$C898-$AC$892),IF(DATE($C898,4,15)&gt;=$V$892,$Y$892*(1+($U$892)/100)^MAX(0,$C898-$AB$892),0)))))</f>
      </c>
      <c r="I898" s="43">
        <f>IF($S$892=0,0,IF(OR(DATE($C898,5,15)&lt;$S$892,AND($T$892&gt;0,DATE($C898,5,15)&gt;$T$892)),0,IF(DATE($C898,5,15)&gt;=$X$892,$AA$892*(1+($U$892)/100)^MAX(0,$C898-$AD$892),IF(DATE($C898,5,15)&gt;=$W$892,$Z$892*(1+($U$892)/100)^MAX(0,$C898-$AC$892),IF(DATE($C898,5,15)&gt;=$V$892,$Y$892*(1+($U$892)/100)^MAX(0,$C898-$AB$892),0)))))</f>
      </c>
      <c r="J898" s="43">
        <f>IF($S$892=0,0,IF(OR(DATE($C898,6,15)&lt;$S$892,AND($T$892&gt;0,DATE($C898,6,15)&gt;$T$892)),0,IF(DATE($C898,6,15)&gt;=$X$892,$AA$892*(1+($U$892)/100)^MAX(0,$C898-$AD$892),IF(DATE($C898,6,15)&gt;=$W$892,$Z$892*(1+($U$892)/100)^MAX(0,$C898-$AC$892),IF(DATE($C898,6,15)&gt;=$V$892,$Y$892*(1+($U$892)/100)^MAX(0,$C898-$AB$892),0)))))</f>
      </c>
      <c r="K898" s="43">
        <f>IF($S$892=0,0,IF(OR(DATE($C898,7,15)&lt;$S$892,AND($T$892&gt;0,DATE($C898,7,15)&gt;$T$892)),0,IF(DATE($C898,7,15)&gt;=$X$892,$AA$892*(1+($U$892)/100)^MAX(0,$C898-$AD$892),IF(DATE($C898,7,15)&gt;=$W$892,$Z$892*(1+($U$892)/100)^MAX(0,$C898-$AC$892),IF(DATE($C898,7,15)&gt;=$V$892,$Y$892*(1+($U$892)/100)^MAX(0,$C898-$AB$892),0)))))</f>
      </c>
      <c r="L898" s="43">
        <f>IF($S$892=0,0,IF(OR(DATE($C898,8,15)&lt;$S$892,AND($T$892&gt;0,DATE($C898,8,15)&gt;$T$892)),0,IF(DATE($C898,8,15)&gt;=$X$892,$AA$892*(1+($U$892)/100)^MAX(0,$C898-$AD$892),IF(DATE($C898,8,15)&gt;=$W$892,$Z$892*(1+($U$892)/100)^MAX(0,$C898-$AC$892),IF(DATE($C898,8,15)&gt;=$V$892,$Y$892*(1+($U$892)/100)^MAX(0,$C898-$AB$892),0)))))</f>
      </c>
      <c r="M898" s="43">
        <f>IF($S$892=0,0,IF(OR(DATE($C898,9,15)&lt;$S$892,AND($T$892&gt;0,DATE($C898,9,15)&gt;$T$892)),0,IF(DATE($C898,9,15)&gt;=$X$892,$AA$892*(1+($U$892)/100)^MAX(0,$C898-$AD$892),IF(DATE($C898,9,15)&gt;=$W$892,$Z$892*(1+($U$892)/100)^MAX(0,$C898-$AC$892),IF(DATE($C898,9,15)&gt;=$V$892,$Y$892*(1+($U$892)/100)^MAX(0,$C898-$AB$892),0)))))</f>
      </c>
      <c r="N898" s="43">
        <f>IF($S$892=0,0,IF(OR(DATE($C898,10,15)&lt;$S$892,AND($T$892&gt;0,DATE($C898,10,15)&gt;$T$892)),0,IF(DATE($C898,10,15)&gt;=$X$892,$AA$892*(1+($U$892)/100)^MAX(0,$C898-$AD$892),IF(DATE($C898,10,15)&gt;=$W$892,$Z$892*(1+($U$892)/100)^MAX(0,$C898-$AC$892),IF(DATE($C898,10,15)&gt;=$V$892,$Y$892*(1+($U$892)/100)^MAX(0,$C898-$AB$892),0)))))</f>
      </c>
      <c r="O898" s="43">
        <f>IF($S$892=0,0,IF(OR(DATE($C898,11,15)&lt;$S$892,AND($T$892&gt;0,DATE($C898,11,15)&gt;$T$892)),0,IF(DATE($C898,11,15)&gt;=$X$892,$AA$892*(1+($U$892)/100)^MAX(0,$C898-$AD$892),IF(DATE($C898,11,15)&gt;=$W$892,$Z$892*(1+($U$892)/100)^MAX(0,$C898-$AC$892),IF(DATE($C898,11,15)&gt;=$V$892,$Y$892*(1+($U$892)/100)^MAX(0,$C898-$AB$892),0)))))</f>
      </c>
      <c r="P898" s="43">
        <f>IF($S$892=0,0,IF(OR(DATE($C898,12,15)&lt;$S$892,AND($T$892&gt;0,DATE($C898,12,15)&gt;$T$892)),0,IF(DATE($C898,12,15)&gt;=$X$892,$AA$892*(1+($U$892)/100)^MAX(0,$C898-$AD$892),IF(DATE($C898,12,15)&gt;=$W$892,$Z$892*(1+($U$892)/100)^MAX(0,$C898-$AC$892),IF(DATE($C898,12,15)&gt;=$V$892,$Y$892*(1+($U$892)/100)^MAX(0,$C898-$AB$892),0)))))</f>
      </c>
      <c r="Q898" s="43">
        <f>SUM($E898:$P898)</f>
      </c>
    </row>
    <row r="899">
      <c r="A899"/>
      <c r="B899">
        <v>29</v>
      </c>
      <c r="C899" s="43">
        <f>Jahr+7</f>
      </c>
      <c r="D899" s="43">
        <f>INDEX(MvObj,29)</f>
      </c>
      <c r="E899" s="43">
        <f>IF($S$892=0,0,IF(OR(DATE($C899,1,15)&lt;$S$892,AND($T$892&gt;0,DATE($C899,1,15)&gt;$T$892)),0,IF(DATE($C899,1,15)&gt;=$X$892,$AA$892*(1+($U$892)/100)^MAX(0,$C899-$AD$892),IF(DATE($C899,1,15)&gt;=$W$892,$Z$892*(1+($U$892)/100)^MAX(0,$C899-$AC$892),IF(DATE($C899,1,15)&gt;=$V$892,$Y$892*(1+($U$892)/100)^MAX(0,$C899-$AB$892),0)))))</f>
      </c>
      <c r="F899" s="43">
        <f>IF($S$892=0,0,IF(OR(DATE($C899,2,15)&lt;$S$892,AND($T$892&gt;0,DATE($C899,2,15)&gt;$T$892)),0,IF(DATE($C899,2,15)&gt;=$X$892,$AA$892*(1+($U$892)/100)^MAX(0,$C899-$AD$892),IF(DATE($C899,2,15)&gt;=$W$892,$Z$892*(1+($U$892)/100)^MAX(0,$C899-$AC$892),IF(DATE($C899,2,15)&gt;=$V$892,$Y$892*(1+($U$892)/100)^MAX(0,$C899-$AB$892),0)))))</f>
      </c>
      <c r="G899" s="43">
        <f>IF($S$892=0,0,IF(OR(DATE($C899,3,15)&lt;$S$892,AND($T$892&gt;0,DATE($C899,3,15)&gt;$T$892)),0,IF(DATE($C899,3,15)&gt;=$X$892,$AA$892*(1+($U$892)/100)^MAX(0,$C899-$AD$892),IF(DATE($C899,3,15)&gt;=$W$892,$Z$892*(1+($U$892)/100)^MAX(0,$C899-$AC$892),IF(DATE($C899,3,15)&gt;=$V$892,$Y$892*(1+($U$892)/100)^MAX(0,$C899-$AB$892),0)))))</f>
      </c>
      <c r="H899" s="43">
        <f>IF($S$892=0,0,IF(OR(DATE($C899,4,15)&lt;$S$892,AND($T$892&gt;0,DATE($C899,4,15)&gt;$T$892)),0,IF(DATE($C899,4,15)&gt;=$X$892,$AA$892*(1+($U$892)/100)^MAX(0,$C899-$AD$892),IF(DATE($C899,4,15)&gt;=$W$892,$Z$892*(1+($U$892)/100)^MAX(0,$C899-$AC$892),IF(DATE($C899,4,15)&gt;=$V$892,$Y$892*(1+($U$892)/100)^MAX(0,$C899-$AB$892),0)))))</f>
      </c>
      <c r="I899" s="43">
        <f>IF($S$892=0,0,IF(OR(DATE($C899,5,15)&lt;$S$892,AND($T$892&gt;0,DATE($C899,5,15)&gt;$T$892)),0,IF(DATE($C899,5,15)&gt;=$X$892,$AA$892*(1+($U$892)/100)^MAX(0,$C899-$AD$892),IF(DATE($C899,5,15)&gt;=$W$892,$Z$892*(1+($U$892)/100)^MAX(0,$C899-$AC$892),IF(DATE($C899,5,15)&gt;=$V$892,$Y$892*(1+($U$892)/100)^MAX(0,$C899-$AB$892),0)))))</f>
      </c>
      <c r="J899" s="43">
        <f>IF($S$892=0,0,IF(OR(DATE($C899,6,15)&lt;$S$892,AND($T$892&gt;0,DATE($C899,6,15)&gt;$T$892)),0,IF(DATE($C899,6,15)&gt;=$X$892,$AA$892*(1+($U$892)/100)^MAX(0,$C899-$AD$892),IF(DATE($C899,6,15)&gt;=$W$892,$Z$892*(1+($U$892)/100)^MAX(0,$C899-$AC$892),IF(DATE($C899,6,15)&gt;=$V$892,$Y$892*(1+($U$892)/100)^MAX(0,$C899-$AB$892),0)))))</f>
      </c>
      <c r="K899" s="43">
        <f>IF($S$892=0,0,IF(OR(DATE($C899,7,15)&lt;$S$892,AND($T$892&gt;0,DATE($C899,7,15)&gt;$T$892)),0,IF(DATE($C899,7,15)&gt;=$X$892,$AA$892*(1+($U$892)/100)^MAX(0,$C899-$AD$892),IF(DATE($C899,7,15)&gt;=$W$892,$Z$892*(1+($U$892)/100)^MAX(0,$C899-$AC$892),IF(DATE($C899,7,15)&gt;=$V$892,$Y$892*(1+($U$892)/100)^MAX(0,$C899-$AB$892),0)))))</f>
      </c>
      <c r="L899" s="43">
        <f>IF($S$892=0,0,IF(OR(DATE($C899,8,15)&lt;$S$892,AND($T$892&gt;0,DATE($C899,8,15)&gt;$T$892)),0,IF(DATE($C899,8,15)&gt;=$X$892,$AA$892*(1+($U$892)/100)^MAX(0,$C899-$AD$892),IF(DATE($C899,8,15)&gt;=$W$892,$Z$892*(1+($U$892)/100)^MAX(0,$C899-$AC$892),IF(DATE($C899,8,15)&gt;=$V$892,$Y$892*(1+($U$892)/100)^MAX(0,$C899-$AB$892),0)))))</f>
      </c>
      <c r="M899" s="43">
        <f>IF($S$892=0,0,IF(OR(DATE($C899,9,15)&lt;$S$892,AND($T$892&gt;0,DATE($C899,9,15)&gt;$T$892)),0,IF(DATE($C899,9,15)&gt;=$X$892,$AA$892*(1+($U$892)/100)^MAX(0,$C899-$AD$892),IF(DATE($C899,9,15)&gt;=$W$892,$Z$892*(1+($U$892)/100)^MAX(0,$C899-$AC$892),IF(DATE($C899,9,15)&gt;=$V$892,$Y$892*(1+($U$892)/100)^MAX(0,$C899-$AB$892),0)))))</f>
      </c>
      <c r="N899" s="43">
        <f>IF($S$892=0,0,IF(OR(DATE($C899,10,15)&lt;$S$892,AND($T$892&gt;0,DATE($C899,10,15)&gt;$T$892)),0,IF(DATE($C899,10,15)&gt;=$X$892,$AA$892*(1+($U$892)/100)^MAX(0,$C899-$AD$892),IF(DATE($C899,10,15)&gt;=$W$892,$Z$892*(1+($U$892)/100)^MAX(0,$C899-$AC$892),IF(DATE($C899,10,15)&gt;=$V$892,$Y$892*(1+($U$892)/100)^MAX(0,$C899-$AB$892),0)))))</f>
      </c>
      <c r="O899" s="43">
        <f>IF($S$892=0,0,IF(OR(DATE($C899,11,15)&lt;$S$892,AND($T$892&gt;0,DATE($C899,11,15)&gt;$T$892)),0,IF(DATE($C899,11,15)&gt;=$X$892,$AA$892*(1+($U$892)/100)^MAX(0,$C899-$AD$892),IF(DATE($C899,11,15)&gt;=$W$892,$Z$892*(1+($U$892)/100)^MAX(0,$C899-$AC$892),IF(DATE($C899,11,15)&gt;=$V$892,$Y$892*(1+($U$892)/100)^MAX(0,$C899-$AB$892),0)))))</f>
      </c>
      <c r="P899" s="43">
        <f>IF($S$892=0,0,IF(OR(DATE($C899,12,15)&lt;$S$892,AND($T$892&gt;0,DATE($C899,12,15)&gt;$T$892)),0,IF(DATE($C899,12,15)&gt;=$X$892,$AA$892*(1+($U$892)/100)^MAX(0,$C899-$AD$892),IF(DATE($C899,12,15)&gt;=$W$892,$Z$892*(1+($U$892)/100)^MAX(0,$C899-$AC$892),IF(DATE($C899,12,15)&gt;=$V$892,$Y$892*(1+($U$892)/100)^MAX(0,$C899-$AB$892),0)))))</f>
      </c>
      <c r="Q899" s="43">
        <f>SUM($E899:$P899)</f>
      </c>
    </row>
    <row r="900">
      <c r="A900"/>
      <c r="B900">
        <v>29</v>
      </c>
      <c r="C900" s="43">
        <f>Jahr+8</f>
      </c>
      <c r="D900" s="43">
        <f>INDEX(MvObj,29)</f>
      </c>
      <c r="E900" s="43">
        <f>IF($S$892=0,0,IF(OR(DATE($C900,1,15)&lt;$S$892,AND($T$892&gt;0,DATE($C900,1,15)&gt;$T$892)),0,IF(DATE($C900,1,15)&gt;=$X$892,$AA$892*(1+($U$892)/100)^MAX(0,$C900-$AD$892),IF(DATE($C900,1,15)&gt;=$W$892,$Z$892*(1+($U$892)/100)^MAX(0,$C900-$AC$892),IF(DATE($C900,1,15)&gt;=$V$892,$Y$892*(1+($U$892)/100)^MAX(0,$C900-$AB$892),0)))))</f>
      </c>
      <c r="F900" s="43">
        <f>IF($S$892=0,0,IF(OR(DATE($C900,2,15)&lt;$S$892,AND($T$892&gt;0,DATE($C900,2,15)&gt;$T$892)),0,IF(DATE($C900,2,15)&gt;=$X$892,$AA$892*(1+($U$892)/100)^MAX(0,$C900-$AD$892),IF(DATE($C900,2,15)&gt;=$W$892,$Z$892*(1+($U$892)/100)^MAX(0,$C900-$AC$892),IF(DATE($C900,2,15)&gt;=$V$892,$Y$892*(1+($U$892)/100)^MAX(0,$C900-$AB$892),0)))))</f>
      </c>
      <c r="G900" s="43">
        <f>IF($S$892=0,0,IF(OR(DATE($C900,3,15)&lt;$S$892,AND($T$892&gt;0,DATE($C900,3,15)&gt;$T$892)),0,IF(DATE($C900,3,15)&gt;=$X$892,$AA$892*(1+($U$892)/100)^MAX(0,$C900-$AD$892),IF(DATE($C900,3,15)&gt;=$W$892,$Z$892*(1+($U$892)/100)^MAX(0,$C900-$AC$892),IF(DATE($C900,3,15)&gt;=$V$892,$Y$892*(1+($U$892)/100)^MAX(0,$C900-$AB$892),0)))))</f>
      </c>
      <c r="H900" s="43">
        <f>IF($S$892=0,0,IF(OR(DATE($C900,4,15)&lt;$S$892,AND($T$892&gt;0,DATE($C900,4,15)&gt;$T$892)),0,IF(DATE($C900,4,15)&gt;=$X$892,$AA$892*(1+($U$892)/100)^MAX(0,$C900-$AD$892),IF(DATE($C900,4,15)&gt;=$W$892,$Z$892*(1+($U$892)/100)^MAX(0,$C900-$AC$892),IF(DATE($C900,4,15)&gt;=$V$892,$Y$892*(1+($U$892)/100)^MAX(0,$C900-$AB$892),0)))))</f>
      </c>
      <c r="I900" s="43">
        <f>IF($S$892=0,0,IF(OR(DATE($C900,5,15)&lt;$S$892,AND($T$892&gt;0,DATE($C900,5,15)&gt;$T$892)),0,IF(DATE($C900,5,15)&gt;=$X$892,$AA$892*(1+($U$892)/100)^MAX(0,$C900-$AD$892),IF(DATE($C900,5,15)&gt;=$W$892,$Z$892*(1+($U$892)/100)^MAX(0,$C900-$AC$892),IF(DATE($C900,5,15)&gt;=$V$892,$Y$892*(1+($U$892)/100)^MAX(0,$C900-$AB$892),0)))))</f>
      </c>
      <c r="J900" s="43">
        <f>IF($S$892=0,0,IF(OR(DATE($C900,6,15)&lt;$S$892,AND($T$892&gt;0,DATE($C900,6,15)&gt;$T$892)),0,IF(DATE($C900,6,15)&gt;=$X$892,$AA$892*(1+($U$892)/100)^MAX(0,$C900-$AD$892),IF(DATE($C900,6,15)&gt;=$W$892,$Z$892*(1+($U$892)/100)^MAX(0,$C900-$AC$892),IF(DATE($C900,6,15)&gt;=$V$892,$Y$892*(1+($U$892)/100)^MAX(0,$C900-$AB$892),0)))))</f>
      </c>
      <c r="K900" s="43">
        <f>IF($S$892=0,0,IF(OR(DATE($C900,7,15)&lt;$S$892,AND($T$892&gt;0,DATE($C900,7,15)&gt;$T$892)),0,IF(DATE($C900,7,15)&gt;=$X$892,$AA$892*(1+($U$892)/100)^MAX(0,$C900-$AD$892),IF(DATE($C900,7,15)&gt;=$W$892,$Z$892*(1+($U$892)/100)^MAX(0,$C900-$AC$892),IF(DATE($C900,7,15)&gt;=$V$892,$Y$892*(1+($U$892)/100)^MAX(0,$C900-$AB$892),0)))))</f>
      </c>
      <c r="L900" s="43">
        <f>IF($S$892=0,0,IF(OR(DATE($C900,8,15)&lt;$S$892,AND($T$892&gt;0,DATE($C900,8,15)&gt;$T$892)),0,IF(DATE($C900,8,15)&gt;=$X$892,$AA$892*(1+($U$892)/100)^MAX(0,$C900-$AD$892),IF(DATE($C900,8,15)&gt;=$W$892,$Z$892*(1+($U$892)/100)^MAX(0,$C900-$AC$892),IF(DATE($C900,8,15)&gt;=$V$892,$Y$892*(1+($U$892)/100)^MAX(0,$C900-$AB$892),0)))))</f>
      </c>
      <c r="M900" s="43">
        <f>IF($S$892=0,0,IF(OR(DATE($C900,9,15)&lt;$S$892,AND($T$892&gt;0,DATE($C900,9,15)&gt;$T$892)),0,IF(DATE($C900,9,15)&gt;=$X$892,$AA$892*(1+($U$892)/100)^MAX(0,$C900-$AD$892),IF(DATE($C900,9,15)&gt;=$W$892,$Z$892*(1+($U$892)/100)^MAX(0,$C900-$AC$892),IF(DATE($C900,9,15)&gt;=$V$892,$Y$892*(1+($U$892)/100)^MAX(0,$C900-$AB$892),0)))))</f>
      </c>
      <c r="N900" s="43">
        <f>IF($S$892=0,0,IF(OR(DATE($C900,10,15)&lt;$S$892,AND($T$892&gt;0,DATE($C900,10,15)&gt;$T$892)),0,IF(DATE($C900,10,15)&gt;=$X$892,$AA$892*(1+($U$892)/100)^MAX(0,$C900-$AD$892),IF(DATE($C900,10,15)&gt;=$W$892,$Z$892*(1+($U$892)/100)^MAX(0,$C900-$AC$892),IF(DATE($C900,10,15)&gt;=$V$892,$Y$892*(1+($U$892)/100)^MAX(0,$C900-$AB$892),0)))))</f>
      </c>
      <c r="O900" s="43">
        <f>IF($S$892=0,0,IF(OR(DATE($C900,11,15)&lt;$S$892,AND($T$892&gt;0,DATE($C900,11,15)&gt;$T$892)),0,IF(DATE($C900,11,15)&gt;=$X$892,$AA$892*(1+($U$892)/100)^MAX(0,$C900-$AD$892),IF(DATE($C900,11,15)&gt;=$W$892,$Z$892*(1+($U$892)/100)^MAX(0,$C900-$AC$892),IF(DATE($C900,11,15)&gt;=$V$892,$Y$892*(1+($U$892)/100)^MAX(0,$C900-$AB$892),0)))))</f>
      </c>
      <c r="P900" s="43">
        <f>IF($S$892=0,0,IF(OR(DATE($C900,12,15)&lt;$S$892,AND($T$892&gt;0,DATE($C900,12,15)&gt;$T$892)),0,IF(DATE($C900,12,15)&gt;=$X$892,$AA$892*(1+($U$892)/100)^MAX(0,$C900-$AD$892),IF(DATE($C900,12,15)&gt;=$W$892,$Z$892*(1+($U$892)/100)^MAX(0,$C900-$AC$892),IF(DATE($C900,12,15)&gt;=$V$892,$Y$892*(1+($U$892)/100)^MAX(0,$C900-$AB$892),0)))))</f>
      </c>
      <c r="Q900" s="43">
        <f>SUM($E900:$P900)</f>
      </c>
    </row>
    <row r="901">
      <c r="A901"/>
      <c r="B901">
        <v>29</v>
      </c>
      <c r="C901" s="43">
        <f>Jahr+9</f>
      </c>
      <c r="D901" s="43">
        <f>INDEX(MvObj,29)</f>
      </c>
      <c r="E901" s="43">
        <f>IF($S$892=0,0,IF(OR(DATE($C901,1,15)&lt;$S$892,AND($T$892&gt;0,DATE($C901,1,15)&gt;$T$892)),0,IF(DATE($C901,1,15)&gt;=$X$892,$AA$892*(1+($U$892)/100)^MAX(0,$C901-$AD$892),IF(DATE($C901,1,15)&gt;=$W$892,$Z$892*(1+($U$892)/100)^MAX(0,$C901-$AC$892),IF(DATE($C901,1,15)&gt;=$V$892,$Y$892*(1+($U$892)/100)^MAX(0,$C901-$AB$892),0)))))</f>
      </c>
      <c r="F901" s="43">
        <f>IF($S$892=0,0,IF(OR(DATE($C901,2,15)&lt;$S$892,AND($T$892&gt;0,DATE($C901,2,15)&gt;$T$892)),0,IF(DATE($C901,2,15)&gt;=$X$892,$AA$892*(1+($U$892)/100)^MAX(0,$C901-$AD$892),IF(DATE($C901,2,15)&gt;=$W$892,$Z$892*(1+($U$892)/100)^MAX(0,$C901-$AC$892),IF(DATE($C901,2,15)&gt;=$V$892,$Y$892*(1+($U$892)/100)^MAX(0,$C901-$AB$892),0)))))</f>
      </c>
      <c r="G901" s="43">
        <f>IF($S$892=0,0,IF(OR(DATE($C901,3,15)&lt;$S$892,AND($T$892&gt;0,DATE($C901,3,15)&gt;$T$892)),0,IF(DATE($C901,3,15)&gt;=$X$892,$AA$892*(1+($U$892)/100)^MAX(0,$C901-$AD$892),IF(DATE($C901,3,15)&gt;=$W$892,$Z$892*(1+($U$892)/100)^MAX(0,$C901-$AC$892),IF(DATE($C901,3,15)&gt;=$V$892,$Y$892*(1+($U$892)/100)^MAX(0,$C901-$AB$892),0)))))</f>
      </c>
      <c r="H901" s="43">
        <f>IF($S$892=0,0,IF(OR(DATE($C901,4,15)&lt;$S$892,AND($T$892&gt;0,DATE($C901,4,15)&gt;$T$892)),0,IF(DATE($C901,4,15)&gt;=$X$892,$AA$892*(1+($U$892)/100)^MAX(0,$C901-$AD$892),IF(DATE($C901,4,15)&gt;=$W$892,$Z$892*(1+($U$892)/100)^MAX(0,$C901-$AC$892),IF(DATE($C901,4,15)&gt;=$V$892,$Y$892*(1+($U$892)/100)^MAX(0,$C901-$AB$892),0)))))</f>
      </c>
      <c r="I901" s="43">
        <f>IF($S$892=0,0,IF(OR(DATE($C901,5,15)&lt;$S$892,AND($T$892&gt;0,DATE($C901,5,15)&gt;$T$892)),0,IF(DATE($C901,5,15)&gt;=$X$892,$AA$892*(1+($U$892)/100)^MAX(0,$C901-$AD$892),IF(DATE($C901,5,15)&gt;=$W$892,$Z$892*(1+($U$892)/100)^MAX(0,$C901-$AC$892),IF(DATE($C901,5,15)&gt;=$V$892,$Y$892*(1+($U$892)/100)^MAX(0,$C901-$AB$892),0)))))</f>
      </c>
      <c r="J901" s="43">
        <f>IF($S$892=0,0,IF(OR(DATE($C901,6,15)&lt;$S$892,AND($T$892&gt;0,DATE($C901,6,15)&gt;$T$892)),0,IF(DATE($C901,6,15)&gt;=$X$892,$AA$892*(1+($U$892)/100)^MAX(0,$C901-$AD$892),IF(DATE($C901,6,15)&gt;=$W$892,$Z$892*(1+($U$892)/100)^MAX(0,$C901-$AC$892),IF(DATE($C901,6,15)&gt;=$V$892,$Y$892*(1+($U$892)/100)^MAX(0,$C901-$AB$892),0)))))</f>
      </c>
      <c r="K901" s="43">
        <f>IF($S$892=0,0,IF(OR(DATE($C901,7,15)&lt;$S$892,AND($T$892&gt;0,DATE($C901,7,15)&gt;$T$892)),0,IF(DATE($C901,7,15)&gt;=$X$892,$AA$892*(1+($U$892)/100)^MAX(0,$C901-$AD$892),IF(DATE($C901,7,15)&gt;=$W$892,$Z$892*(1+($U$892)/100)^MAX(0,$C901-$AC$892),IF(DATE($C901,7,15)&gt;=$V$892,$Y$892*(1+($U$892)/100)^MAX(0,$C901-$AB$892),0)))))</f>
      </c>
      <c r="L901" s="43">
        <f>IF($S$892=0,0,IF(OR(DATE($C901,8,15)&lt;$S$892,AND($T$892&gt;0,DATE($C901,8,15)&gt;$T$892)),0,IF(DATE($C901,8,15)&gt;=$X$892,$AA$892*(1+($U$892)/100)^MAX(0,$C901-$AD$892),IF(DATE($C901,8,15)&gt;=$W$892,$Z$892*(1+($U$892)/100)^MAX(0,$C901-$AC$892),IF(DATE($C901,8,15)&gt;=$V$892,$Y$892*(1+($U$892)/100)^MAX(0,$C901-$AB$892),0)))))</f>
      </c>
      <c r="M901" s="43">
        <f>IF($S$892=0,0,IF(OR(DATE($C901,9,15)&lt;$S$892,AND($T$892&gt;0,DATE($C901,9,15)&gt;$T$892)),0,IF(DATE($C901,9,15)&gt;=$X$892,$AA$892*(1+($U$892)/100)^MAX(0,$C901-$AD$892),IF(DATE($C901,9,15)&gt;=$W$892,$Z$892*(1+($U$892)/100)^MAX(0,$C901-$AC$892),IF(DATE($C901,9,15)&gt;=$V$892,$Y$892*(1+($U$892)/100)^MAX(0,$C901-$AB$892),0)))))</f>
      </c>
      <c r="N901" s="43">
        <f>IF($S$892=0,0,IF(OR(DATE($C901,10,15)&lt;$S$892,AND($T$892&gt;0,DATE($C901,10,15)&gt;$T$892)),0,IF(DATE($C901,10,15)&gt;=$X$892,$AA$892*(1+($U$892)/100)^MAX(0,$C901-$AD$892),IF(DATE($C901,10,15)&gt;=$W$892,$Z$892*(1+($U$892)/100)^MAX(0,$C901-$AC$892),IF(DATE($C901,10,15)&gt;=$V$892,$Y$892*(1+($U$892)/100)^MAX(0,$C901-$AB$892),0)))))</f>
      </c>
      <c r="O901" s="43">
        <f>IF($S$892=0,0,IF(OR(DATE($C901,11,15)&lt;$S$892,AND($T$892&gt;0,DATE($C901,11,15)&gt;$T$892)),0,IF(DATE($C901,11,15)&gt;=$X$892,$AA$892*(1+($U$892)/100)^MAX(0,$C901-$AD$892),IF(DATE($C901,11,15)&gt;=$W$892,$Z$892*(1+($U$892)/100)^MAX(0,$C901-$AC$892),IF(DATE($C901,11,15)&gt;=$V$892,$Y$892*(1+($U$892)/100)^MAX(0,$C901-$AB$892),0)))))</f>
      </c>
      <c r="P901" s="43">
        <f>IF($S$892=0,0,IF(OR(DATE($C901,12,15)&lt;$S$892,AND($T$892&gt;0,DATE($C901,12,15)&gt;$T$892)),0,IF(DATE($C901,12,15)&gt;=$X$892,$AA$892*(1+($U$892)/100)^MAX(0,$C901-$AD$892),IF(DATE($C901,12,15)&gt;=$W$892,$Z$892*(1+($U$892)/100)^MAX(0,$C901-$AC$892),IF(DATE($C901,12,15)&gt;=$V$892,$Y$892*(1+($U$892)/100)^MAX(0,$C901-$AB$892),0)))))</f>
      </c>
      <c r="Q901" s="43">
        <f>SUM($E901:$P901)</f>
      </c>
    </row>
    <row r="902">
      <c r="A902"/>
      <c r="B902">
        <v>29</v>
      </c>
      <c r="C902" s="43">
        <f>Jahr+10</f>
      </c>
      <c r="D902" s="43">
        <f>INDEX(MvObj,29)</f>
      </c>
      <c r="E902" s="43">
        <f>IF($S$892=0,0,IF(OR(DATE($C902,1,15)&lt;$S$892,AND($T$892&gt;0,DATE($C902,1,15)&gt;$T$892)),0,IF(DATE($C902,1,15)&gt;=$X$892,$AA$892*(1+($U$892)/100)^MAX(0,$C902-$AD$892),IF(DATE($C902,1,15)&gt;=$W$892,$Z$892*(1+($U$892)/100)^MAX(0,$C902-$AC$892),IF(DATE($C902,1,15)&gt;=$V$892,$Y$892*(1+($U$892)/100)^MAX(0,$C902-$AB$892),0)))))</f>
      </c>
      <c r="F902" s="43">
        <f>IF($S$892=0,0,IF(OR(DATE($C902,2,15)&lt;$S$892,AND($T$892&gt;0,DATE($C902,2,15)&gt;$T$892)),0,IF(DATE($C902,2,15)&gt;=$X$892,$AA$892*(1+($U$892)/100)^MAX(0,$C902-$AD$892),IF(DATE($C902,2,15)&gt;=$W$892,$Z$892*(1+($U$892)/100)^MAX(0,$C902-$AC$892),IF(DATE($C902,2,15)&gt;=$V$892,$Y$892*(1+($U$892)/100)^MAX(0,$C902-$AB$892),0)))))</f>
      </c>
      <c r="G902" s="43">
        <f>IF($S$892=0,0,IF(OR(DATE($C902,3,15)&lt;$S$892,AND($T$892&gt;0,DATE($C902,3,15)&gt;$T$892)),0,IF(DATE($C902,3,15)&gt;=$X$892,$AA$892*(1+($U$892)/100)^MAX(0,$C902-$AD$892),IF(DATE($C902,3,15)&gt;=$W$892,$Z$892*(1+($U$892)/100)^MAX(0,$C902-$AC$892),IF(DATE($C902,3,15)&gt;=$V$892,$Y$892*(1+($U$892)/100)^MAX(0,$C902-$AB$892),0)))))</f>
      </c>
      <c r="H902" s="43">
        <f>IF($S$892=0,0,IF(OR(DATE($C902,4,15)&lt;$S$892,AND($T$892&gt;0,DATE($C902,4,15)&gt;$T$892)),0,IF(DATE($C902,4,15)&gt;=$X$892,$AA$892*(1+($U$892)/100)^MAX(0,$C902-$AD$892),IF(DATE($C902,4,15)&gt;=$W$892,$Z$892*(1+($U$892)/100)^MAX(0,$C902-$AC$892),IF(DATE($C902,4,15)&gt;=$V$892,$Y$892*(1+($U$892)/100)^MAX(0,$C902-$AB$892),0)))))</f>
      </c>
      <c r="I902" s="43">
        <f>IF($S$892=0,0,IF(OR(DATE($C902,5,15)&lt;$S$892,AND($T$892&gt;0,DATE($C902,5,15)&gt;$T$892)),0,IF(DATE($C902,5,15)&gt;=$X$892,$AA$892*(1+($U$892)/100)^MAX(0,$C902-$AD$892),IF(DATE($C902,5,15)&gt;=$W$892,$Z$892*(1+($U$892)/100)^MAX(0,$C902-$AC$892),IF(DATE($C902,5,15)&gt;=$V$892,$Y$892*(1+($U$892)/100)^MAX(0,$C902-$AB$892),0)))))</f>
      </c>
      <c r="J902" s="43">
        <f>IF($S$892=0,0,IF(OR(DATE($C902,6,15)&lt;$S$892,AND($T$892&gt;0,DATE($C902,6,15)&gt;$T$892)),0,IF(DATE($C902,6,15)&gt;=$X$892,$AA$892*(1+($U$892)/100)^MAX(0,$C902-$AD$892),IF(DATE($C902,6,15)&gt;=$W$892,$Z$892*(1+($U$892)/100)^MAX(0,$C902-$AC$892),IF(DATE($C902,6,15)&gt;=$V$892,$Y$892*(1+($U$892)/100)^MAX(0,$C902-$AB$892),0)))))</f>
      </c>
      <c r="K902" s="43">
        <f>IF($S$892=0,0,IF(OR(DATE($C902,7,15)&lt;$S$892,AND($T$892&gt;0,DATE($C902,7,15)&gt;$T$892)),0,IF(DATE($C902,7,15)&gt;=$X$892,$AA$892*(1+($U$892)/100)^MAX(0,$C902-$AD$892),IF(DATE($C902,7,15)&gt;=$W$892,$Z$892*(1+($U$892)/100)^MAX(0,$C902-$AC$892),IF(DATE($C902,7,15)&gt;=$V$892,$Y$892*(1+($U$892)/100)^MAX(0,$C902-$AB$892),0)))))</f>
      </c>
      <c r="L902" s="43">
        <f>IF($S$892=0,0,IF(OR(DATE($C902,8,15)&lt;$S$892,AND($T$892&gt;0,DATE($C902,8,15)&gt;$T$892)),0,IF(DATE($C902,8,15)&gt;=$X$892,$AA$892*(1+($U$892)/100)^MAX(0,$C902-$AD$892),IF(DATE($C902,8,15)&gt;=$W$892,$Z$892*(1+($U$892)/100)^MAX(0,$C902-$AC$892),IF(DATE($C902,8,15)&gt;=$V$892,$Y$892*(1+($U$892)/100)^MAX(0,$C902-$AB$892),0)))))</f>
      </c>
      <c r="M902" s="43">
        <f>IF($S$892=0,0,IF(OR(DATE($C902,9,15)&lt;$S$892,AND($T$892&gt;0,DATE($C902,9,15)&gt;$T$892)),0,IF(DATE($C902,9,15)&gt;=$X$892,$AA$892*(1+($U$892)/100)^MAX(0,$C902-$AD$892),IF(DATE($C902,9,15)&gt;=$W$892,$Z$892*(1+($U$892)/100)^MAX(0,$C902-$AC$892),IF(DATE($C902,9,15)&gt;=$V$892,$Y$892*(1+($U$892)/100)^MAX(0,$C902-$AB$892),0)))))</f>
      </c>
      <c r="N902" s="43">
        <f>IF($S$892=0,0,IF(OR(DATE($C902,10,15)&lt;$S$892,AND($T$892&gt;0,DATE($C902,10,15)&gt;$T$892)),0,IF(DATE($C902,10,15)&gt;=$X$892,$AA$892*(1+($U$892)/100)^MAX(0,$C902-$AD$892),IF(DATE($C902,10,15)&gt;=$W$892,$Z$892*(1+($U$892)/100)^MAX(0,$C902-$AC$892),IF(DATE($C902,10,15)&gt;=$V$892,$Y$892*(1+($U$892)/100)^MAX(0,$C902-$AB$892),0)))))</f>
      </c>
      <c r="O902" s="43">
        <f>IF($S$892=0,0,IF(OR(DATE($C902,11,15)&lt;$S$892,AND($T$892&gt;0,DATE($C902,11,15)&gt;$T$892)),0,IF(DATE($C902,11,15)&gt;=$X$892,$AA$892*(1+($U$892)/100)^MAX(0,$C902-$AD$892),IF(DATE($C902,11,15)&gt;=$W$892,$Z$892*(1+($U$892)/100)^MAX(0,$C902-$AC$892),IF(DATE($C902,11,15)&gt;=$V$892,$Y$892*(1+($U$892)/100)^MAX(0,$C902-$AB$892),0)))))</f>
      </c>
      <c r="P902" s="43">
        <f>IF($S$892=0,0,IF(OR(DATE($C902,12,15)&lt;$S$892,AND($T$892&gt;0,DATE($C902,12,15)&gt;$T$892)),0,IF(DATE($C902,12,15)&gt;=$X$892,$AA$892*(1+($U$892)/100)^MAX(0,$C902-$AD$892),IF(DATE($C902,12,15)&gt;=$W$892,$Z$892*(1+($U$892)/100)^MAX(0,$C902-$AC$892),IF(DATE($C902,12,15)&gt;=$V$892,$Y$892*(1+($U$892)/100)^MAX(0,$C902-$AB$892),0)))))</f>
      </c>
      <c r="Q902" s="43">
        <f>SUM($E902:$P902)</f>
      </c>
    </row>
    <row r="903">
      <c r="A903"/>
      <c r="B903">
        <v>29</v>
      </c>
      <c r="C903" s="43">
        <f>Jahr+11</f>
      </c>
      <c r="D903" s="43">
        <f>INDEX(MvObj,29)</f>
      </c>
      <c r="E903" s="43">
        <f>IF($S$892=0,0,IF(OR(DATE($C903,1,15)&lt;$S$892,AND($T$892&gt;0,DATE($C903,1,15)&gt;$T$892)),0,IF(DATE($C903,1,15)&gt;=$X$892,$AA$892*(1+($U$892)/100)^MAX(0,$C903-$AD$892),IF(DATE($C903,1,15)&gt;=$W$892,$Z$892*(1+($U$892)/100)^MAX(0,$C903-$AC$892),IF(DATE($C903,1,15)&gt;=$V$892,$Y$892*(1+($U$892)/100)^MAX(0,$C903-$AB$892),0)))))</f>
      </c>
      <c r="F903" s="43">
        <f>IF($S$892=0,0,IF(OR(DATE($C903,2,15)&lt;$S$892,AND($T$892&gt;0,DATE($C903,2,15)&gt;$T$892)),0,IF(DATE($C903,2,15)&gt;=$X$892,$AA$892*(1+($U$892)/100)^MAX(0,$C903-$AD$892),IF(DATE($C903,2,15)&gt;=$W$892,$Z$892*(1+($U$892)/100)^MAX(0,$C903-$AC$892),IF(DATE($C903,2,15)&gt;=$V$892,$Y$892*(1+($U$892)/100)^MAX(0,$C903-$AB$892),0)))))</f>
      </c>
      <c r="G903" s="43">
        <f>IF($S$892=0,0,IF(OR(DATE($C903,3,15)&lt;$S$892,AND($T$892&gt;0,DATE($C903,3,15)&gt;$T$892)),0,IF(DATE($C903,3,15)&gt;=$X$892,$AA$892*(1+($U$892)/100)^MAX(0,$C903-$AD$892),IF(DATE($C903,3,15)&gt;=$W$892,$Z$892*(1+($U$892)/100)^MAX(0,$C903-$AC$892),IF(DATE($C903,3,15)&gt;=$V$892,$Y$892*(1+($U$892)/100)^MAX(0,$C903-$AB$892),0)))))</f>
      </c>
      <c r="H903" s="43">
        <f>IF($S$892=0,0,IF(OR(DATE($C903,4,15)&lt;$S$892,AND($T$892&gt;0,DATE($C903,4,15)&gt;$T$892)),0,IF(DATE($C903,4,15)&gt;=$X$892,$AA$892*(1+($U$892)/100)^MAX(0,$C903-$AD$892),IF(DATE($C903,4,15)&gt;=$W$892,$Z$892*(1+($U$892)/100)^MAX(0,$C903-$AC$892),IF(DATE($C903,4,15)&gt;=$V$892,$Y$892*(1+($U$892)/100)^MAX(0,$C903-$AB$892),0)))))</f>
      </c>
      <c r="I903" s="43">
        <f>IF($S$892=0,0,IF(OR(DATE($C903,5,15)&lt;$S$892,AND($T$892&gt;0,DATE($C903,5,15)&gt;$T$892)),0,IF(DATE($C903,5,15)&gt;=$X$892,$AA$892*(1+($U$892)/100)^MAX(0,$C903-$AD$892),IF(DATE($C903,5,15)&gt;=$W$892,$Z$892*(1+($U$892)/100)^MAX(0,$C903-$AC$892),IF(DATE($C903,5,15)&gt;=$V$892,$Y$892*(1+($U$892)/100)^MAX(0,$C903-$AB$892),0)))))</f>
      </c>
      <c r="J903" s="43">
        <f>IF($S$892=0,0,IF(OR(DATE($C903,6,15)&lt;$S$892,AND($T$892&gt;0,DATE($C903,6,15)&gt;$T$892)),0,IF(DATE($C903,6,15)&gt;=$X$892,$AA$892*(1+($U$892)/100)^MAX(0,$C903-$AD$892),IF(DATE($C903,6,15)&gt;=$W$892,$Z$892*(1+($U$892)/100)^MAX(0,$C903-$AC$892),IF(DATE($C903,6,15)&gt;=$V$892,$Y$892*(1+($U$892)/100)^MAX(0,$C903-$AB$892),0)))))</f>
      </c>
      <c r="K903" s="43">
        <f>IF($S$892=0,0,IF(OR(DATE($C903,7,15)&lt;$S$892,AND($T$892&gt;0,DATE($C903,7,15)&gt;$T$892)),0,IF(DATE($C903,7,15)&gt;=$X$892,$AA$892*(1+($U$892)/100)^MAX(0,$C903-$AD$892),IF(DATE($C903,7,15)&gt;=$W$892,$Z$892*(1+($U$892)/100)^MAX(0,$C903-$AC$892),IF(DATE($C903,7,15)&gt;=$V$892,$Y$892*(1+($U$892)/100)^MAX(0,$C903-$AB$892),0)))))</f>
      </c>
      <c r="L903" s="43">
        <f>IF($S$892=0,0,IF(OR(DATE($C903,8,15)&lt;$S$892,AND($T$892&gt;0,DATE($C903,8,15)&gt;$T$892)),0,IF(DATE($C903,8,15)&gt;=$X$892,$AA$892*(1+($U$892)/100)^MAX(0,$C903-$AD$892),IF(DATE($C903,8,15)&gt;=$W$892,$Z$892*(1+($U$892)/100)^MAX(0,$C903-$AC$892),IF(DATE($C903,8,15)&gt;=$V$892,$Y$892*(1+($U$892)/100)^MAX(0,$C903-$AB$892),0)))))</f>
      </c>
      <c r="M903" s="43">
        <f>IF($S$892=0,0,IF(OR(DATE($C903,9,15)&lt;$S$892,AND($T$892&gt;0,DATE($C903,9,15)&gt;$T$892)),0,IF(DATE($C903,9,15)&gt;=$X$892,$AA$892*(1+($U$892)/100)^MAX(0,$C903-$AD$892),IF(DATE($C903,9,15)&gt;=$W$892,$Z$892*(1+($U$892)/100)^MAX(0,$C903-$AC$892),IF(DATE($C903,9,15)&gt;=$V$892,$Y$892*(1+($U$892)/100)^MAX(0,$C903-$AB$892),0)))))</f>
      </c>
      <c r="N903" s="43">
        <f>IF($S$892=0,0,IF(OR(DATE($C903,10,15)&lt;$S$892,AND($T$892&gt;0,DATE($C903,10,15)&gt;$T$892)),0,IF(DATE($C903,10,15)&gt;=$X$892,$AA$892*(1+($U$892)/100)^MAX(0,$C903-$AD$892),IF(DATE($C903,10,15)&gt;=$W$892,$Z$892*(1+($U$892)/100)^MAX(0,$C903-$AC$892),IF(DATE($C903,10,15)&gt;=$V$892,$Y$892*(1+($U$892)/100)^MAX(0,$C903-$AB$892),0)))))</f>
      </c>
      <c r="O903" s="43">
        <f>IF($S$892=0,0,IF(OR(DATE($C903,11,15)&lt;$S$892,AND($T$892&gt;0,DATE($C903,11,15)&gt;$T$892)),0,IF(DATE($C903,11,15)&gt;=$X$892,$AA$892*(1+($U$892)/100)^MAX(0,$C903-$AD$892),IF(DATE($C903,11,15)&gt;=$W$892,$Z$892*(1+($U$892)/100)^MAX(0,$C903-$AC$892),IF(DATE($C903,11,15)&gt;=$V$892,$Y$892*(1+($U$892)/100)^MAX(0,$C903-$AB$892),0)))))</f>
      </c>
      <c r="P903" s="43">
        <f>IF($S$892=0,0,IF(OR(DATE($C903,12,15)&lt;$S$892,AND($T$892&gt;0,DATE($C903,12,15)&gt;$T$892)),0,IF(DATE($C903,12,15)&gt;=$X$892,$AA$892*(1+($U$892)/100)^MAX(0,$C903-$AD$892),IF(DATE($C903,12,15)&gt;=$W$892,$Z$892*(1+($U$892)/100)^MAX(0,$C903-$AC$892),IF(DATE($C903,12,15)&gt;=$V$892,$Y$892*(1+($U$892)/100)^MAX(0,$C903-$AB$892),0)))))</f>
      </c>
      <c r="Q903" s="43">
        <f>SUM($E903:$P903)</f>
      </c>
    </row>
    <row r="904">
      <c r="A904"/>
      <c r="B904">
        <v>29</v>
      </c>
      <c r="C904" s="43">
        <f>Jahr+12</f>
      </c>
      <c r="D904" s="43">
        <f>INDEX(MvObj,29)</f>
      </c>
      <c r="E904" s="43">
        <f>IF($S$892=0,0,IF(OR(DATE($C904,1,15)&lt;$S$892,AND($T$892&gt;0,DATE($C904,1,15)&gt;$T$892)),0,IF(DATE($C904,1,15)&gt;=$X$892,$AA$892*(1+($U$892)/100)^MAX(0,$C904-$AD$892),IF(DATE($C904,1,15)&gt;=$W$892,$Z$892*(1+($U$892)/100)^MAX(0,$C904-$AC$892),IF(DATE($C904,1,15)&gt;=$V$892,$Y$892*(1+($U$892)/100)^MAX(0,$C904-$AB$892),0)))))</f>
      </c>
      <c r="F904" s="43">
        <f>IF($S$892=0,0,IF(OR(DATE($C904,2,15)&lt;$S$892,AND($T$892&gt;0,DATE($C904,2,15)&gt;$T$892)),0,IF(DATE($C904,2,15)&gt;=$X$892,$AA$892*(1+($U$892)/100)^MAX(0,$C904-$AD$892),IF(DATE($C904,2,15)&gt;=$W$892,$Z$892*(1+($U$892)/100)^MAX(0,$C904-$AC$892),IF(DATE($C904,2,15)&gt;=$V$892,$Y$892*(1+($U$892)/100)^MAX(0,$C904-$AB$892),0)))))</f>
      </c>
      <c r="G904" s="43">
        <f>IF($S$892=0,0,IF(OR(DATE($C904,3,15)&lt;$S$892,AND($T$892&gt;0,DATE($C904,3,15)&gt;$T$892)),0,IF(DATE($C904,3,15)&gt;=$X$892,$AA$892*(1+($U$892)/100)^MAX(0,$C904-$AD$892),IF(DATE($C904,3,15)&gt;=$W$892,$Z$892*(1+($U$892)/100)^MAX(0,$C904-$AC$892),IF(DATE($C904,3,15)&gt;=$V$892,$Y$892*(1+($U$892)/100)^MAX(0,$C904-$AB$892),0)))))</f>
      </c>
      <c r="H904" s="43">
        <f>IF($S$892=0,0,IF(OR(DATE($C904,4,15)&lt;$S$892,AND($T$892&gt;0,DATE($C904,4,15)&gt;$T$892)),0,IF(DATE($C904,4,15)&gt;=$X$892,$AA$892*(1+($U$892)/100)^MAX(0,$C904-$AD$892),IF(DATE($C904,4,15)&gt;=$W$892,$Z$892*(1+($U$892)/100)^MAX(0,$C904-$AC$892),IF(DATE($C904,4,15)&gt;=$V$892,$Y$892*(1+($U$892)/100)^MAX(0,$C904-$AB$892),0)))))</f>
      </c>
      <c r="I904" s="43">
        <f>IF($S$892=0,0,IF(OR(DATE($C904,5,15)&lt;$S$892,AND($T$892&gt;0,DATE($C904,5,15)&gt;$T$892)),0,IF(DATE($C904,5,15)&gt;=$X$892,$AA$892*(1+($U$892)/100)^MAX(0,$C904-$AD$892),IF(DATE($C904,5,15)&gt;=$W$892,$Z$892*(1+($U$892)/100)^MAX(0,$C904-$AC$892),IF(DATE($C904,5,15)&gt;=$V$892,$Y$892*(1+($U$892)/100)^MAX(0,$C904-$AB$892),0)))))</f>
      </c>
      <c r="J904" s="43">
        <f>IF($S$892=0,0,IF(OR(DATE($C904,6,15)&lt;$S$892,AND($T$892&gt;0,DATE($C904,6,15)&gt;$T$892)),0,IF(DATE($C904,6,15)&gt;=$X$892,$AA$892*(1+($U$892)/100)^MAX(0,$C904-$AD$892),IF(DATE($C904,6,15)&gt;=$W$892,$Z$892*(1+($U$892)/100)^MAX(0,$C904-$AC$892),IF(DATE($C904,6,15)&gt;=$V$892,$Y$892*(1+($U$892)/100)^MAX(0,$C904-$AB$892),0)))))</f>
      </c>
      <c r="K904" s="43">
        <f>IF($S$892=0,0,IF(OR(DATE($C904,7,15)&lt;$S$892,AND($T$892&gt;0,DATE($C904,7,15)&gt;$T$892)),0,IF(DATE($C904,7,15)&gt;=$X$892,$AA$892*(1+($U$892)/100)^MAX(0,$C904-$AD$892),IF(DATE($C904,7,15)&gt;=$W$892,$Z$892*(1+($U$892)/100)^MAX(0,$C904-$AC$892),IF(DATE($C904,7,15)&gt;=$V$892,$Y$892*(1+($U$892)/100)^MAX(0,$C904-$AB$892),0)))))</f>
      </c>
      <c r="L904" s="43">
        <f>IF($S$892=0,0,IF(OR(DATE($C904,8,15)&lt;$S$892,AND($T$892&gt;0,DATE($C904,8,15)&gt;$T$892)),0,IF(DATE($C904,8,15)&gt;=$X$892,$AA$892*(1+($U$892)/100)^MAX(0,$C904-$AD$892),IF(DATE($C904,8,15)&gt;=$W$892,$Z$892*(1+($U$892)/100)^MAX(0,$C904-$AC$892),IF(DATE($C904,8,15)&gt;=$V$892,$Y$892*(1+($U$892)/100)^MAX(0,$C904-$AB$892),0)))))</f>
      </c>
      <c r="M904" s="43">
        <f>IF($S$892=0,0,IF(OR(DATE($C904,9,15)&lt;$S$892,AND($T$892&gt;0,DATE($C904,9,15)&gt;$T$892)),0,IF(DATE($C904,9,15)&gt;=$X$892,$AA$892*(1+($U$892)/100)^MAX(0,$C904-$AD$892),IF(DATE($C904,9,15)&gt;=$W$892,$Z$892*(1+($U$892)/100)^MAX(0,$C904-$AC$892),IF(DATE($C904,9,15)&gt;=$V$892,$Y$892*(1+($U$892)/100)^MAX(0,$C904-$AB$892),0)))))</f>
      </c>
      <c r="N904" s="43">
        <f>IF($S$892=0,0,IF(OR(DATE($C904,10,15)&lt;$S$892,AND($T$892&gt;0,DATE($C904,10,15)&gt;$T$892)),0,IF(DATE($C904,10,15)&gt;=$X$892,$AA$892*(1+($U$892)/100)^MAX(0,$C904-$AD$892),IF(DATE($C904,10,15)&gt;=$W$892,$Z$892*(1+($U$892)/100)^MAX(0,$C904-$AC$892),IF(DATE($C904,10,15)&gt;=$V$892,$Y$892*(1+($U$892)/100)^MAX(0,$C904-$AB$892),0)))))</f>
      </c>
      <c r="O904" s="43">
        <f>IF($S$892=0,0,IF(OR(DATE($C904,11,15)&lt;$S$892,AND($T$892&gt;0,DATE($C904,11,15)&gt;$T$892)),0,IF(DATE($C904,11,15)&gt;=$X$892,$AA$892*(1+($U$892)/100)^MAX(0,$C904-$AD$892),IF(DATE($C904,11,15)&gt;=$W$892,$Z$892*(1+($U$892)/100)^MAX(0,$C904-$AC$892),IF(DATE($C904,11,15)&gt;=$V$892,$Y$892*(1+($U$892)/100)^MAX(0,$C904-$AB$892),0)))))</f>
      </c>
      <c r="P904" s="43">
        <f>IF($S$892=0,0,IF(OR(DATE($C904,12,15)&lt;$S$892,AND($T$892&gt;0,DATE($C904,12,15)&gt;$T$892)),0,IF(DATE($C904,12,15)&gt;=$X$892,$AA$892*(1+($U$892)/100)^MAX(0,$C904-$AD$892),IF(DATE($C904,12,15)&gt;=$W$892,$Z$892*(1+($U$892)/100)^MAX(0,$C904-$AC$892),IF(DATE($C904,12,15)&gt;=$V$892,$Y$892*(1+($U$892)/100)^MAX(0,$C904-$AB$892),0)))))</f>
      </c>
      <c r="Q904" s="43">
        <f>SUM($E904:$P904)</f>
      </c>
    </row>
    <row r="905">
      <c r="A905"/>
      <c r="B905">
        <v>29</v>
      </c>
      <c r="C905" s="43">
        <f>Jahr+13</f>
      </c>
      <c r="D905" s="43">
        <f>INDEX(MvObj,29)</f>
      </c>
      <c r="E905" s="43">
        <f>IF($S$892=0,0,IF(OR(DATE($C905,1,15)&lt;$S$892,AND($T$892&gt;0,DATE($C905,1,15)&gt;$T$892)),0,IF(DATE($C905,1,15)&gt;=$X$892,$AA$892*(1+($U$892)/100)^MAX(0,$C905-$AD$892),IF(DATE($C905,1,15)&gt;=$W$892,$Z$892*(1+($U$892)/100)^MAX(0,$C905-$AC$892),IF(DATE($C905,1,15)&gt;=$V$892,$Y$892*(1+($U$892)/100)^MAX(0,$C905-$AB$892),0)))))</f>
      </c>
      <c r="F905" s="43">
        <f>IF($S$892=0,0,IF(OR(DATE($C905,2,15)&lt;$S$892,AND($T$892&gt;0,DATE($C905,2,15)&gt;$T$892)),0,IF(DATE($C905,2,15)&gt;=$X$892,$AA$892*(1+($U$892)/100)^MAX(0,$C905-$AD$892),IF(DATE($C905,2,15)&gt;=$W$892,$Z$892*(1+($U$892)/100)^MAX(0,$C905-$AC$892),IF(DATE($C905,2,15)&gt;=$V$892,$Y$892*(1+($U$892)/100)^MAX(0,$C905-$AB$892),0)))))</f>
      </c>
      <c r="G905" s="43">
        <f>IF($S$892=0,0,IF(OR(DATE($C905,3,15)&lt;$S$892,AND($T$892&gt;0,DATE($C905,3,15)&gt;$T$892)),0,IF(DATE($C905,3,15)&gt;=$X$892,$AA$892*(1+($U$892)/100)^MAX(0,$C905-$AD$892),IF(DATE($C905,3,15)&gt;=$W$892,$Z$892*(1+($U$892)/100)^MAX(0,$C905-$AC$892),IF(DATE($C905,3,15)&gt;=$V$892,$Y$892*(1+($U$892)/100)^MAX(0,$C905-$AB$892),0)))))</f>
      </c>
      <c r="H905" s="43">
        <f>IF($S$892=0,0,IF(OR(DATE($C905,4,15)&lt;$S$892,AND($T$892&gt;0,DATE($C905,4,15)&gt;$T$892)),0,IF(DATE($C905,4,15)&gt;=$X$892,$AA$892*(1+($U$892)/100)^MAX(0,$C905-$AD$892),IF(DATE($C905,4,15)&gt;=$W$892,$Z$892*(1+($U$892)/100)^MAX(0,$C905-$AC$892),IF(DATE($C905,4,15)&gt;=$V$892,$Y$892*(1+($U$892)/100)^MAX(0,$C905-$AB$892),0)))))</f>
      </c>
      <c r="I905" s="43">
        <f>IF($S$892=0,0,IF(OR(DATE($C905,5,15)&lt;$S$892,AND($T$892&gt;0,DATE($C905,5,15)&gt;$T$892)),0,IF(DATE($C905,5,15)&gt;=$X$892,$AA$892*(1+($U$892)/100)^MAX(0,$C905-$AD$892),IF(DATE($C905,5,15)&gt;=$W$892,$Z$892*(1+($U$892)/100)^MAX(0,$C905-$AC$892),IF(DATE($C905,5,15)&gt;=$V$892,$Y$892*(1+($U$892)/100)^MAX(0,$C905-$AB$892),0)))))</f>
      </c>
      <c r="J905" s="43">
        <f>IF($S$892=0,0,IF(OR(DATE($C905,6,15)&lt;$S$892,AND($T$892&gt;0,DATE($C905,6,15)&gt;$T$892)),0,IF(DATE($C905,6,15)&gt;=$X$892,$AA$892*(1+($U$892)/100)^MAX(0,$C905-$AD$892),IF(DATE($C905,6,15)&gt;=$W$892,$Z$892*(1+($U$892)/100)^MAX(0,$C905-$AC$892),IF(DATE($C905,6,15)&gt;=$V$892,$Y$892*(1+($U$892)/100)^MAX(0,$C905-$AB$892),0)))))</f>
      </c>
      <c r="K905" s="43">
        <f>IF($S$892=0,0,IF(OR(DATE($C905,7,15)&lt;$S$892,AND($T$892&gt;0,DATE($C905,7,15)&gt;$T$892)),0,IF(DATE($C905,7,15)&gt;=$X$892,$AA$892*(1+($U$892)/100)^MAX(0,$C905-$AD$892),IF(DATE($C905,7,15)&gt;=$W$892,$Z$892*(1+($U$892)/100)^MAX(0,$C905-$AC$892),IF(DATE($C905,7,15)&gt;=$V$892,$Y$892*(1+($U$892)/100)^MAX(0,$C905-$AB$892),0)))))</f>
      </c>
      <c r="L905" s="43">
        <f>IF($S$892=0,0,IF(OR(DATE($C905,8,15)&lt;$S$892,AND($T$892&gt;0,DATE($C905,8,15)&gt;$T$892)),0,IF(DATE($C905,8,15)&gt;=$X$892,$AA$892*(1+($U$892)/100)^MAX(0,$C905-$AD$892),IF(DATE($C905,8,15)&gt;=$W$892,$Z$892*(1+($U$892)/100)^MAX(0,$C905-$AC$892),IF(DATE($C905,8,15)&gt;=$V$892,$Y$892*(1+($U$892)/100)^MAX(0,$C905-$AB$892),0)))))</f>
      </c>
      <c r="M905" s="43">
        <f>IF($S$892=0,0,IF(OR(DATE($C905,9,15)&lt;$S$892,AND($T$892&gt;0,DATE($C905,9,15)&gt;$T$892)),0,IF(DATE($C905,9,15)&gt;=$X$892,$AA$892*(1+($U$892)/100)^MAX(0,$C905-$AD$892),IF(DATE($C905,9,15)&gt;=$W$892,$Z$892*(1+($U$892)/100)^MAX(0,$C905-$AC$892),IF(DATE($C905,9,15)&gt;=$V$892,$Y$892*(1+($U$892)/100)^MAX(0,$C905-$AB$892),0)))))</f>
      </c>
      <c r="N905" s="43">
        <f>IF($S$892=0,0,IF(OR(DATE($C905,10,15)&lt;$S$892,AND($T$892&gt;0,DATE($C905,10,15)&gt;$T$892)),0,IF(DATE($C905,10,15)&gt;=$X$892,$AA$892*(1+($U$892)/100)^MAX(0,$C905-$AD$892),IF(DATE($C905,10,15)&gt;=$W$892,$Z$892*(1+($U$892)/100)^MAX(0,$C905-$AC$892),IF(DATE($C905,10,15)&gt;=$V$892,$Y$892*(1+($U$892)/100)^MAX(0,$C905-$AB$892),0)))))</f>
      </c>
      <c r="O905" s="43">
        <f>IF($S$892=0,0,IF(OR(DATE($C905,11,15)&lt;$S$892,AND($T$892&gt;0,DATE($C905,11,15)&gt;$T$892)),0,IF(DATE($C905,11,15)&gt;=$X$892,$AA$892*(1+($U$892)/100)^MAX(0,$C905-$AD$892),IF(DATE($C905,11,15)&gt;=$W$892,$Z$892*(1+($U$892)/100)^MAX(0,$C905-$AC$892),IF(DATE($C905,11,15)&gt;=$V$892,$Y$892*(1+($U$892)/100)^MAX(0,$C905-$AB$892),0)))))</f>
      </c>
      <c r="P905" s="43">
        <f>IF($S$892=0,0,IF(OR(DATE($C905,12,15)&lt;$S$892,AND($T$892&gt;0,DATE($C905,12,15)&gt;$T$892)),0,IF(DATE($C905,12,15)&gt;=$X$892,$AA$892*(1+($U$892)/100)^MAX(0,$C905-$AD$892),IF(DATE($C905,12,15)&gt;=$W$892,$Z$892*(1+($U$892)/100)^MAX(0,$C905-$AC$892),IF(DATE($C905,12,15)&gt;=$V$892,$Y$892*(1+($U$892)/100)^MAX(0,$C905-$AB$892),0)))))</f>
      </c>
      <c r="Q905" s="43">
        <f>SUM($E905:$P905)</f>
      </c>
    </row>
    <row r="906">
      <c r="A906"/>
      <c r="B906">
        <v>29</v>
      </c>
      <c r="C906" s="43">
        <f>Jahr+14</f>
      </c>
      <c r="D906" s="43">
        <f>INDEX(MvObj,29)</f>
      </c>
      <c r="E906" s="43">
        <f>IF($S$892=0,0,IF(OR(DATE($C906,1,15)&lt;$S$892,AND($T$892&gt;0,DATE($C906,1,15)&gt;$T$892)),0,IF(DATE($C906,1,15)&gt;=$X$892,$AA$892*(1+($U$892)/100)^MAX(0,$C906-$AD$892),IF(DATE($C906,1,15)&gt;=$W$892,$Z$892*(1+($U$892)/100)^MAX(0,$C906-$AC$892),IF(DATE($C906,1,15)&gt;=$V$892,$Y$892*(1+($U$892)/100)^MAX(0,$C906-$AB$892),0)))))</f>
      </c>
      <c r="F906" s="43">
        <f>IF($S$892=0,0,IF(OR(DATE($C906,2,15)&lt;$S$892,AND($T$892&gt;0,DATE($C906,2,15)&gt;$T$892)),0,IF(DATE($C906,2,15)&gt;=$X$892,$AA$892*(1+($U$892)/100)^MAX(0,$C906-$AD$892),IF(DATE($C906,2,15)&gt;=$W$892,$Z$892*(1+($U$892)/100)^MAX(0,$C906-$AC$892),IF(DATE($C906,2,15)&gt;=$V$892,$Y$892*(1+($U$892)/100)^MAX(0,$C906-$AB$892),0)))))</f>
      </c>
      <c r="G906" s="43">
        <f>IF($S$892=0,0,IF(OR(DATE($C906,3,15)&lt;$S$892,AND($T$892&gt;0,DATE($C906,3,15)&gt;$T$892)),0,IF(DATE($C906,3,15)&gt;=$X$892,$AA$892*(1+($U$892)/100)^MAX(0,$C906-$AD$892),IF(DATE($C906,3,15)&gt;=$W$892,$Z$892*(1+($U$892)/100)^MAX(0,$C906-$AC$892),IF(DATE($C906,3,15)&gt;=$V$892,$Y$892*(1+($U$892)/100)^MAX(0,$C906-$AB$892),0)))))</f>
      </c>
      <c r="H906" s="43">
        <f>IF($S$892=0,0,IF(OR(DATE($C906,4,15)&lt;$S$892,AND($T$892&gt;0,DATE($C906,4,15)&gt;$T$892)),0,IF(DATE($C906,4,15)&gt;=$X$892,$AA$892*(1+($U$892)/100)^MAX(0,$C906-$AD$892),IF(DATE($C906,4,15)&gt;=$W$892,$Z$892*(1+($U$892)/100)^MAX(0,$C906-$AC$892),IF(DATE($C906,4,15)&gt;=$V$892,$Y$892*(1+($U$892)/100)^MAX(0,$C906-$AB$892),0)))))</f>
      </c>
      <c r="I906" s="43">
        <f>IF($S$892=0,0,IF(OR(DATE($C906,5,15)&lt;$S$892,AND($T$892&gt;0,DATE($C906,5,15)&gt;$T$892)),0,IF(DATE($C906,5,15)&gt;=$X$892,$AA$892*(1+($U$892)/100)^MAX(0,$C906-$AD$892),IF(DATE($C906,5,15)&gt;=$W$892,$Z$892*(1+($U$892)/100)^MAX(0,$C906-$AC$892),IF(DATE($C906,5,15)&gt;=$V$892,$Y$892*(1+($U$892)/100)^MAX(0,$C906-$AB$892),0)))))</f>
      </c>
      <c r="J906" s="43">
        <f>IF($S$892=0,0,IF(OR(DATE($C906,6,15)&lt;$S$892,AND($T$892&gt;0,DATE($C906,6,15)&gt;$T$892)),0,IF(DATE($C906,6,15)&gt;=$X$892,$AA$892*(1+($U$892)/100)^MAX(0,$C906-$AD$892),IF(DATE($C906,6,15)&gt;=$W$892,$Z$892*(1+($U$892)/100)^MAX(0,$C906-$AC$892),IF(DATE($C906,6,15)&gt;=$V$892,$Y$892*(1+($U$892)/100)^MAX(0,$C906-$AB$892),0)))))</f>
      </c>
      <c r="K906" s="43">
        <f>IF($S$892=0,0,IF(OR(DATE($C906,7,15)&lt;$S$892,AND($T$892&gt;0,DATE($C906,7,15)&gt;$T$892)),0,IF(DATE($C906,7,15)&gt;=$X$892,$AA$892*(1+($U$892)/100)^MAX(0,$C906-$AD$892),IF(DATE($C906,7,15)&gt;=$W$892,$Z$892*(1+($U$892)/100)^MAX(0,$C906-$AC$892),IF(DATE($C906,7,15)&gt;=$V$892,$Y$892*(1+($U$892)/100)^MAX(0,$C906-$AB$892),0)))))</f>
      </c>
      <c r="L906" s="43">
        <f>IF($S$892=0,0,IF(OR(DATE($C906,8,15)&lt;$S$892,AND($T$892&gt;0,DATE($C906,8,15)&gt;$T$892)),0,IF(DATE($C906,8,15)&gt;=$X$892,$AA$892*(1+($U$892)/100)^MAX(0,$C906-$AD$892),IF(DATE($C906,8,15)&gt;=$W$892,$Z$892*(1+($U$892)/100)^MAX(0,$C906-$AC$892),IF(DATE($C906,8,15)&gt;=$V$892,$Y$892*(1+($U$892)/100)^MAX(0,$C906-$AB$892),0)))))</f>
      </c>
      <c r="M906" s="43">
        <f>IF($S$892=0,0,IF(OR(DATE($C906,9,15)&lt;$S$892,AND($T$892&gt;0,DATE($C906,9,15)&gt;$T$892)),0,IF(DATE($C906,9,15)&gt;=$X$892,$AA$892*(1+($U$892)/100)^MAX(0,$C906-$AD$892),IF(DATE($C906,9,15)&gt;=$W$892,$Z$892*(1+($U$892)/100)^MAX(0,$C906-$AC$892),IF(DATE($C906,9,15)&gt;=$V$892,$Y$892*(1+($U$892)/100)^MAX(0,$C906-$AB$892),0)))))</f>
      </c>
      <c r="N906" s="43">
        <f>IF($S$892=0,0,IF(OR(DATE($C906,10,15)&lt;$S$892,AND($T$892&gt;0,DATE($C906,10,15)&gt;$T$892)),0,IF(DATE($C906,10,15)&gt;=$X$892,$AA$892*(1+($U$892)/100)^MAX(0,$C906-$AD$892),IF(DATE($C906,10,15)&gt;=$W$892,$Z$892*(1+($U$892)/100)^MAX(0,$C906-$AC$892),IF(DATE($C906,10,15)&gt;=$V$892,$Y$892*(1+($U$892)/100)^MAX(0,$C906-$AB$892),0)))))</f>
      </c>
      <c r="O906" s="43">
        <f>IF($S$892=0,0,IF(OR(DATE($C906,11,15)&lt;$S$892,AND($T$892&gt;0,DATE($C906,11,15)&gt;$T$892)),0,IF(DATE($C906,11,15)&gt;=$X$892,$AA$892*(1+($U$892)/100)^MAX(0,$C906-$AD$892),IF(DATE($C906,11,15)&gt;=$W$892,$Z$892*(1+($U$892)/100)^MAX(0,$C906-$AC$892),IF(DATE($C906,11,15)&gt;=$V$892,$Y$892*(1+($U$892)/100)^MAX(0,$C906-$AB$892),0)))))</f>
      </c>
      <c r="P906" s="43">
        <f>IF($S$892=0,0,IF(OR(DATE($C906,12,15)&lt;$S$892,AND($T$892&gt;0,DATE($C906,12,15)&gt;$T$892)),0,IF(DATE($C906,12,15)&gt;=$X$892,$AA$892*(1+($U$892)/100)^MAX(0,$C906-$AD$892),IF(DATE($C906,12,15)&gt;=$W$892,$Z$892*(1+($U$892)/100)^MAX(0,$C906-$AC$892),IF(DATE($C906,12,15)&gt;=$V$892,$Y$892*(1+($U$892)/100)^MAX(0,$C906-$AB$892),0)))))</f>
      </c>
      <c r="Q906" s="43">
        <f>SUM($E906:$P906)</f>
      </c>
    </row>
    <row r="907">
      <c r="A907"/>
      <c r="B907">
        <v>29</v>
      </c>
      <c r="C907" s="43">
        <f>Jahr+15</f>
      </c>
      <c r="D907" s="43">
        <f>INDEX(MvObj,29)</f>
      </c>
      <c r="E907" s="43">
        <f>IF($S$892=0,0,IF(OR(DATE($C907,1,15)&lt;$S$892,AND($T$892&gt;0,DATE($C907,1,15)&gt;$T$892)),0,IF(DATE($C907,1,15)&gt;=$X$892,$AA$892*(1+($U$892)/100)^MAX(0,$C907-$AD$892),IF(DATE($C907,1,15)&gt;=$W$892,$Z$892*(1+($U$892)/100)^MAX(0,$C907-$AC$892),IF(DATE($C907,1,15)&gt;=$V$892,$Y$892*(1+($U$892)/100)^MAX(0,$C907-$AB$892),0)))))</f>
      </c>
      <c r="F907" s="43">
        <f>IF($S$892=0,0,IF(OR(DATE($C907,2,15)&lt;$S$892,AND($T$892&gt;0,DATE($C907,2,15)&gt;$T$892)),0,IF(DATE($C907,2,15)&gt;=$X$892,$AA$892*(1+($U$892)/100)^MAX(0,$C907-$AD$892),IF(DATE($C907,2,15)&gt;=$W$892,$Z$892*(1+($U$892)/100)^MAX(0,$C907-$AC$892),IF(DATE($C907,2,15)&gt;=$V$892,$Y$892*(1+($U$892)/100)^MAX(0,$C907-$AB$892),0)))))</f>
      </c>
      <c r="G907" s="43">
        <f>IF($S$892=0,0,IF(OR(DATE($C907,3,15)&lt;$S$892,AND($T$892&gt;0,DATE($C907,3,15)&gt;$T$892)),0,IF(DATE($C907,3,15)&gt;=$X$892,$AA$892*(1+($U$892)/100)^MAX(0,$C907-$AD$892),IF(DATE($C907,3,15)&gt;=$W$892,$Z$892*(1+($U$892)/100)^MAX(0,$C907-$AC$892),IF(DATE($C907,3,15)&gt;=$V$892,$Y$892*(1+($U$892)/100)^MAX(0,$C907-$AB$892),0)))))</f>
      </c>
      <c r="H907" s="43">
        <f>IF($S$892=0,0,IF(OR(DATE($C907,4,15)&lt;$S$892,AND($T$892&gt;0,DATE($C907,4,15)&gt;$T$892)),0,IF(DATE($C907,4,15)&gt;=$X$892,$AA$892*(1+($U$892)/100)^MAX(0,$C907-$AD$892),IF(DATE($C907,4,15)&gt;=$W$892,$Z$892*(1+($U$892)/100)^MAX(0,$C907-$AC$892),IF(DATE($C907,4,15)&gt;=$V$892,$Y$892*(1+($U$892)/100)^MAX(0,$C907-$AB$892),0)))))</f>
      </c>
      <c r="I907" s="43">
        <f>IF($S$892=0,0,IF(OR(DATE($C907,5,15)&lt;$S$892,AND($T$892&gt;0,DATE($C907,5,15)&gt;$T$892)),0,IF(DATE($C907,5,15)&gt;=$X$892,$AA$892*(1+($U$892)/100)^MAX(0,$C907-$AD$892),IF(DATE($C907,5,15)&gt;=$W$892,$Z$892*(1+($U$892)/100)^MAX(0,$C907-$AC$892),IF(DATE($C907,5,15)&gt;=$V$892,$Y$892*(1+($U$892)/100)^MAX(0,$C907-$AB$892),0)))))</f>
      </c>
      <c r="J907" s="43">
        <f>IF($S$892=0,0,IF(OR(DATE($C907,6,15)&lt;$S$892,AND($T$892&gt;0,DATE($C907,6,15)&gt;$T$892)),0,IF(DATE($C907,6,15)&gt;=$X$892,$AA$892*(1+($U$892)/100)^MAX(0,$C907-$AD$892),IF(DATE($C907,6,15)&gt;=$W$892,$Z$892*(1+($U$892)/100)^MAX(0,$C907-$AC$892),IF(DATE($C907,6,15)&gt;=$V$892,$Y$892*(1+($U$892)/100)^MAX(0,$C907-$AB$892),0)))))</f>
      </c>
      <c r="K907" s="43">
        <f>IF($S$892=0,0,IF(OR(DATE($C907,7,15)&lt;$S$892,AND($T$892&gt;0,DATE($C907,7,15)&gt;$T$892)),0,IF(DATE($C907,7,15)&gt;=$X$892,$AA$892*(1+($U$892)/100)^MAX(0,$C907-$AD$892),IF(DATE($C907,7,15)&gt;=$W$892,$Z$892*(1+($U$892)/100)^MAX(0,$C907-$AC$892),IF(DATE($C907,7,15)&gt;=$V$892,$Y$892*(1+($U$892)/100)^MAX(0,$C907-$AB$892),0)))))</f>
      </c>
      <c r="L907" s="43">
        <f>IF($S$892=0,0,IF(OR(DATE($C907,8,15)&lt;$S$892,AND($T$892&gt;0,DATE($C907,8,15)&gt;$T$892)),0,IF(DATE($C907,8,15)&gt;=$X$892,$AA$892*(1+($U$892)/100)^MAX(0,$C907-$AD$892),IF(DATE($C907,8,15)&gt;=$W$892,$Z$892*(1+($U$892)/100)^MAX(0,$C907-$AC$892),IF(DATE($C907,8,15)&gt;=$V$892,$Y$892*(1+($U$892)/100)^MAX(0,$C907-$AB$892),0)))))</f>
      </c>
      <c r="M907" s="43">
        <f>IF($S$892=0,0,IF(OR(DATE($C907,9,15)&lt;$S$892,AND($T$892&gt;0,DATE($C907,9,15)&gt;$T$892)),0,IF(DATE($C907,9,15)&gt;=$X$892,$AA$892*(1+($U$892)/100)^MAX(0,$C907-$AD$892),IF(DATE($C907,9,15)&gt;=$W$892,$Z$892*(1+($U$892)/100)^MAX(0,$C907-$AC$892),IF(DATE($C907,9,15)&gt;=$V$892,$Y$892*(1+($U$892)/100)^MAX(0,$C907-$AB$892),0)))))</f>
      </c>
      <c r="N907" s="43">
        <f>IF($S$892=0,0,IF(OR(DATE($C907,10,15)&lt;$S$892,AND($T$892&gt;0,DATE($C907,10,15)&gt;$T$892)),0,IF(DATE($C907,10,15)&gt;=$X$892,$AA$892*(1+($U$892)/100)^MAX(0,$C907-$AD$892),IF(DATE($C907,10,15)&gt;=$W$892,$Z$892*(1+($U$892)/100)^MAX(0,$C907-$AC$892),IF(DATE($C907,10,15)&gt;=$V$892,$Y$892*(1+($U$892)/100)^MAX(0,$C907-$AB$892),0)))))</f>
      </c>
      <c r="O907" s="43">
        <f>IF($S$892=0,0,IF(OR(DATE($C907,11,15)&lt;$S$892,AND($T$892&gt;0,DATE($C907,11,15)&gt;$T$892)),0,IF(DATE($C907,11,15)&gt;=$X$892,$AA$892*(1+($U$892)/100)^MAX(0,$C907-$AD$892),IF(DATE($C907,11,15)&gt;=$W$892,$Z$892*(1+($U$892)/100)^MAX(0,$C907-$AC$892),IF(DATE($C907,11,15)&gt;=$V$892,$Y$892*(1+($U$892)/100)^MAX(0,$C907-$AB$892),0)))))</f>
      </c>
      <c r="P907" s="43">
        <f>IF($S$892=0,0,IF(OR(DATE($C907,12,15)&lt;$S$892,AND($T$892&gt;0,DATE($C907,12,15)&gt;$T$892)),0,IF(DATE($C907,12,15)&gt;=$X$892,$AA$892*(1+($U$892)/100)^MAX(0,$C907-$AD$892),IF(DATE($C907,12,15)&gt;=$W$892,$Z$892*(1+($U$892)/100)^MAX(0,$C907-$AC$892),IF(DATE($C907,12,15)&gt;=$V$892,$Y$892*(1+($U$892)/100)^MAX(0,$C907-$AB$892),0)))))</f>
      </c>
      <c r="Q907" s="43">
        <f>SUM($E907:$P907)</f>
      </c>
    </row>
    <row r="908">
      <c r="A908"/>
      <c r="B908">
        <v>29</v>
      </c>
      <c r="C908" s="43">
        <f>Jahr+16</f>
      </c>
      <c r="D908" s="43">
        <f>INDEX(MvObj,29)</f>
      </c>
      <c r="E908" s="43">
        <f>IF($S$892=0,0,IF(OR(DATE($C908,1,15)&lt;$S$892,AND($T$892&gt;0,DATE($C908,1,15)&gt;$T$892)),0,IF(DATE($C908,1,15)&gt;=$X$892,$AA$892*(1+($U$892)/100)^MAX(0,$C908-$AD$892),IF(DATE($C908,1,15)&gt;=$W$892,$Z$892*(1+($U$892)/100)^MAX(0,$C908-$AC$892),IF(DATE($C908,1,15)&gt;=$V$892,$Y$892*(1+($U$892)/100)^MAX(0,$C908-$AB$892),0)))))</f>
      </c>
      <c r="F908" s="43">
        <f>IF($S$892=0,0,IF(OR(DATE($C908,2,15)&lt;$S$892,AND($T$892&gt;0,DATE($C908,2,15)&gt;$T$892)),0,IF(DATE($C908,2,15)&gt;=$X$892,$AA$892*(1+($U$892)/100)^MAX(0,$C908-$AD$892),IF(DATE($C908,2,15)&gt;=$W$892,$Z$892*(1+($U$892)/100)^MAX(0,$C908-$AC$892),IF(DATE($C908,2,15)&gt;=$V$892,$Y$892*(1+($U$892)/100)^MAX(0,$C908-$AB$892),0)))))</f>
      </c>
      <c r="G908" s="43">
        <f>IF($S$892=0,0,IF(OR(DATE($C908,3,15)&lt;$S$892,AND($T$892&gt;0,DATE($C908,3,15)&gt;$T$892)),0,IF(DATE($C908,3,15)&gt;=$X$892,$AA$892*(1+($U$892)/100)^MAX(0,$C908-$AD$892),IF(DATE($C908,3,15)&gt;=$W$892,$Z$892*(1+($U$892)/100)^MAX(0,$C908-$AC$892),IF(DATE($C908,3,15)&gt;=$V$892,$Y$892*(1+($U$892)/100)^MAX(0,$C908-$AB$892),0)))))</f>
      </c>
      <c r="H908" s="43">
        <f>IF($S$892=0,0,IF(OR(DATE($C908,4,15)&lt;$S$892,AND($T$892&gt;0,DATE($C908,4,15)&gt;$T$892)),0,IF(DATE($C908,4,15)&gt;=$X$892,$AA$892*(1+($U$892)/100)^MAX(0,$C908-$AD$892),IF(DATE($C908,4,15)&gt;=$W$892,$Z$892*(1+($U$892)/100)^MAX(0,$C908-$AC$892),IF(DATE($C908,4,15)&gt;=$V$892,$Y$892*(1+($U$892)/100)^MAX(0,$C908-$AB$892),0)))))</f>
      </c>
      <c r="I908" s="43">
        <f>IF($S$892=0,0,IF(OR(DATE($C908,5,15)&lt;$S$892,AND($T$892&gt;0,DATE($C908,5,15)&gt;$T$892)),0,IF(DATE($C908,5,15)&gt;=$X$892,$AA$892*(1+($U$892)/100)^MAX(0,$C908-$AD$892),IF(DATE($C908,5,15)&gt;=$W$892,$Z$892*(1+($U$892)/100)^MAX(0,$C908-$AC$892),IF(DATE($C908,5,15)&gt;=$V$892,$Y$892*(1+($U$892)/100)^MAX(0,$C908-$AB$892),0)))))</f>
      </c>
      <c r="J908" s="43">
        <f>IF($S$892=0,0,IF(OR(DATE($C908,6,15)&lt;$S$892,AND($T$892&gt;0,DATE($C908,6,15)&gt;$T$892)),0,IF(DATE($C908,6,15)&gt;=$X$892,$AA$892*(1+($U$892)/100)^MAX(0,$C908-$AD$892),IF(DATE($C908,6,15)&gt;=$W$892,$Z$892*(1+($U$892)/100)^MAX(0,$C908-$AC$892),IF(DATE($C908,6,15)&gt;=$V$892,$Y$892*(1+($U$892)/100)^MAX(0,$C908-$AB$892),0)))))</f>
      </c>
      <c r="K908" s="43">
        <f>IF($S$892=0,0,IF(OR(DATE($C908,7,15)&lt;$S$892,AND($T$892&gt;0,DATE($C908,7,15)&gt;$T$892)),0,IF(DATE($C908,7,15)&gt;=$X$892,$AA$892*(1+($U$892)/100)^MAX(0,$C908-$AD$892),IF(DATE($C908,7,15)&gt;=$W$892,$Z$892*(1+($U$892)/100)^MAX(0,$C908-$AC$892),IF(DATE($C908,7,15)&gt;=$V$892,$Y$892*(1+($U$892)/100)^MAX(0,$C908-$AB$892),0)))))</f>
      </c>
      <c r="L908" s="43">
        <f>IF($S$892=0,0,IF(OR(DATE($C908,8,15)&lt;$S$892,AND($T$892&gt;0,DATE($C908,8,15)&gt;$T$892)),0,IF(DATE($C908,8,15)&gt;=$X$892,$AA$892*(1+($U$892)/100)^MAX(0,$C908-$AD$892),IF(DATE($C908,8,15)&gt;=$W$892,$Z$892*(1+($U$892)/100)^MAX(0,$C908-$AC$892),IF(DATE($C908,8,15)&gt;=$V$892,$Y$892*(1+($U$892)/100)^MAX(0,$C908-$AB$892),0)))))</f>
      </c>
      <c r="M908" s="43">
        <f>IF($S$892=0,0,IF(OR(DATE($C908,9,15)&lt;$S$892,AND($T$892&gt;0,DATE($C908,9,15)&gt;$T$892)),0,IF(DATE($C908,9,15)&gt;=$X$892,$AA$892*(1+($U$892)/100)^MAX(0,$C908-$AD$892),IF(DATE($C908,9,15)&gt;=$W$892,$Z$892*(1+($U$892)/100)^MAX(0,$C908-$AC$892),IF(DATE($C908,9,15)&gt;=$V$892,$Y$892*(1+($U$892)/100)^MAX(0,$C908-$AB$892),0)))))</f>
      </c>
      <c r="N908" s="43">
        <f>IF($S$892=0,0,IF(OR(DATE($C908,10,15)&lt;$S$892,AND($T$892&gt;0,DATE($C908,10,15)&gt;$T$892)),0,IF(DATE($C908,10,15)&gt;=$X$892,$AA$892*(1+($U$892)/100)^MAX(0,$C908-$AD$892),IF(DATE($C908,10,15)&gt;=$W$892,$Z$892*(1+($U$892)/100)^MAX(0,$C908-$AC$892),IF(DATE($C908,10,15)&gt;=$V$892,$Y$892*(1+($U$892)/100)^MAX(0,$C908-$AB$892),0)))))</f>
      </c>
      <c r="O908" s="43">
        <f>IF($S$892=0,0,IF(OR(DATE($C908,11,15)&lt;$S$892,AND($T$892&gt;0,DATE($C908,11,15)&gt;$T$892)),0,IF(DATE($C908,11,15)&gt;=$X$892,$AA$892*(1+($U$892)/100)^MAX(0,$C908-$AD$892),IF(DATE($C908,11,15)&gt;=$W$892,$Z$892*(1+($U$892)/100)^MAX(0,$C908-$AC$892),IF(DATE($C908,11,15)&gt;=$V$892,$Y$892*(1+($U$892)/100)^MAX(0,$C908-$AB$892),0)))))</f>
      </c>
      <c r="P908" s="43">
        <f>IF($S$892=0,0,IF(OR(DATE($C908,12,15)&lt;$S$892,AND($T$892&gt;0,DATE($C908,12,15)&gt;$T$892)),0,IF(DATE($C908,12,15)&gt;=$X$892,$AA$892*(1+($U$892)/100)^MAX(0,$C908-$AD$892),IF(DATE($C908,12,15)&gt;=$W$892,$Z$892*(1+($U$892)/100)^MAX(0,$C908-$AC$892),IF(DATE($C908,12,15)&gt;=$V$892,$Y$892*(1+($U$892)/100)^MAX(0,$C908-$AB$892),0)))))</f>
      </c>
      <c r="Q908" s="43">
        <f>SUM($E908:$P908)</f>
      </c>
    </row>
    <row r="909">
      <c r="A909"/>
      <c r="B909">
        <v>29</v>
      </c>
      <c r="C909" s="43">
        <f>Jahr+17</f>
      </c>
      <c r="D909" s="43">
        <f>INDEX(MvObj,29)</f>
      </c>
      <c r="E909" s="43">
        <f>IF($S$892=0,0,IF(OR(DATE($C909,1,15)&lt;$S$892,AND($T$892&gt;0,DATE($C909,1,15)&gt;$T$892)),0,IF(DATE($C909,1,15)&gt;=$X$892,$AA$892*(1+($U$892)/100)^MAX(0,$C909-$AD$892),IF(DATE($C909,1,15)&gt;=$W$892,$Z$892*(1+($U$892)/100)^MAX(0,$C909-$AC$892),IF(DATE($C909,1,15)&gt;=$V$892,$Y$892*(1+($U$892)/100)^MAX(0,$C909-$AB$892),0)))))</f>
      </c>
      <c r="F909" s="43">
        <f>IF($S$892=0,0,IF(OR(DATE($C909,2,15)&lt;$S$892,AND($T$892&gt;0,DATE($C909,2,15)&gt;$T$892)),0,IF(DATE($C909,2,15)&gt;=$X$892,$AA$892*(1+($U$892)/100)^MAX(0,$C909-$AD$892),IF(DATE($C909,2,15)&gt;=$W$892,$Z$892*(1+($U$892)/100)^MAX(0,$C909-$AC$892),IF(DATE($C909,2,15)&gt;=$V$892,$Y$892*(1+($U$892)/100)^MAX(0,$C909-$AB$892),0)))))</f>
      </c>
      <c r="G909" s="43">
        <f>IF($S$892=0,0,IF(OR(DATE($C909,3,15)&lt;$S$892,AND($T$892&gt;0,DATE($C909,3,15)&gt;$T$892)),0,IF(DATE($C909,3,15)&gt;=$X$892,$AA$892*(1+($U$892)/100)^MAX(0,$C909-$AD$892),IF(DATE($C909,3,15)&gt;=$W$892,$Z$892*(1+($U$892)/100)^MAX(0,$C909-$AC$892),IF(DATE($C909,3,15)&gt;=$V$892,$Y$892*(1+($U$892)/100)^MAX(0,$C909-$AB$892),0)))))</f>
      </c>
      <c r="H909" s="43">
        <f>IF($S$892=0,0,IF(OR(DATE($C909,4,15)&lt;$S$892,AND($T$892&gt;0,DATE($C909,4,15)&gt;$T$892)),0,IF(DATE($C909,4,15)&gt;=$X$892,$AA$892*(1+($U$892)/100)^MAX(0,$C909-$AD$892),IF(DATE($C909,4,15)&gt;=$W$892,$Z$892*(1+($U$892)/100)^MAX(0,$C909-$AC$892),IF(DATE($C909,4,15)&gt;=$V$892,$Y$892*(1+($U$892)/100)^MAX(0,$C909-$AB$892),0)))))</f>
      </c>
      <c r="I909" s="43">
        <f>IF($S$892=0,0,IF(OR(DATE($C909,5,15)&lt;$S$892,AND($T$892&gt;0,DATE($C909,5,15)&gt;$T$892)),0,IF(DATE($C909,5,15)&gt;=$X$892,$AA$892*(1+($U$892)/100)^MAX(0,$C909-$AD$892),IF(DATE($C909,5,15)&gt;=$W$892,$Z$892*(1+($U$892)/100)^MAX(0,$C909-$AC$892),IF(DATE($C909,5,15)&gt;=$V$892,$Y$892*(1+($U$892)/100)^MAX(0,$C909-$AB$892),0)))))</f>
      </c>
      <c r="J909" s="43">
        <f>IF($S$892=0,0,IF(OR(DATE($C909,6,15)&lt;$S$892,AND($T$892&gt;0,DATE($C909,6,15)&gt;$T$892)),0,IF(DATE($C909,6,15)&gt;=$X$892,$AA$892*(1+($U$892)/100)^MAX(0,$C909-$AD$892),IF(DATE($C909,6,15)&gt;=$W$892,$Z$892*(1+($U$892)/100)^MAX(0,$C909-$AC$892),IF(DATE($C909,6,15)&gt;=$V$892,$Y$892*(1+($U$892)/100)^MAX(0,$C909-$AB$892),0)))))</f>
      </c>
      <c r="K909" s="43">
        <f>IF($S$892=0,0,IF(OR(DATE($C909,7,15)&lt;$S$892,AND($T$892&gt;0,DATE($C909,7,15)&gt;$T$892)),0,IF(DATE($C909,7,15)&gt;=$X$892,$AA$892*(1+($U$892)/100)^MAX(0,$C909-$AD$892),IF(DATE($C909,7,15)&gt;=$W$892,$Z$892*(1+($U$892)/100)^MAX(0,$C909-$AC$892),IF(DATE($C909,7,15)&gt;=$V$892,$Y$892*(1+($U$892)/100)^MAX(0,$C909-$AB$892),0)))))</f>
      </c>
      <c r="L909" s="43">
        <f>IF($S$892=0,0,IF(OR(DATE($C909,8,15)&lt;$S$892,AND($T$892&gt;0,DATE($C909,8,15)&gt;$T$892)),0,IF(DATE($C909,8,15)&gt;=$X$892,$AA$892*(1+($U$892)/100)^MAX(0,$C909-$AD$892),IF(DATE($C909,8,15)&gt;=$W$892,$Z$892*(1+($U$892)/100)^MAX(0,$C909-$AC$892),IF(DATE($C909,8,15)&gt;=$V$892,$Y$892*(1+($U$892)/100)^MAX(0,$C909-$AB$892),0)))))</f>
      </c>
      <c r="M909" s="43">
        <f>IF($S$892=0,0,IF(OR(DATE($C909,9,15)&lt;$S$892,AND($T$892&gt;0,DATE($C909,9,15)&gt;$T$892)),0,IF(DATE($C909,9,15)&gt;=$X$892,$AA$892*(1+($U$892)/100)^MAX(0,$C909-$AD$892),IF(DATE($C909,9,15)&gt;=$W$892,$Z$892*(1+($U$892)/100)^MAX(0,$C909-$AC$892),IF(DATE($C909,9,15)&gt;=$V$892,$Y$892*(1+($U$892)/100)^MAX(0,$C909-$AB$892),0)))))</f>
      </c>
      <c r="N909" s="43">
        <f>IF($S$892=0,0,IF(OR(DATE($C909,10,15)&lt;$S$892,AND($T$892&gt;0,DATE($C909,10,15)&gt;$T$892)),0,IF(DATE($C909,10,15)&gt;=$X$892,$AA$892*(1+($U$892)/100)^MAX(0,$C909-$AD$892),IF(DATE($C909,10,15)&gt;=$W$892,$Z$892*(1+($U$892)/100)^MAX(0,$C909-$AC$892),IF(DATE($C909,10,15)&gt;=$V$892,$Y$892*(1+($U$892)/100)^MAX(0,$C909-$AB$892),0)))))</f>
      </c>
      <c r="O909" s="43">
        <f>IF($S$892=0,0,IF(OR(DATE($C909,11,15)&lt;$S$892,AND($T$892&gt;0,DATE($C909,11,15)&gt;$T$892)),0,IF(DATE($C909,11,15)&gt;=$X$892,$AA$892*(1+($U$892)/100)^MAX(0,$C909-$AD$892),IF(DATE($C909,11,15)&gt;=$W$892,$Z$892*(1+($U$892)/100)^MAX(0,$C909-$AC$892),IF(DATE($C909,11,15)&gt;=$V$892,$Y$892*(1+($U$892)/100)^MAX(0,$C909-$AB$892),0)))))</f>
      </c>
      <c r="P909" s="43">
        <f>IF($S$892=0,0,IF(OR(DATE($C909,12,15)&lt;$S$892,AND($T$892&gt;0,DATE($C909,12,15)&gt;$T$892)),0,IF(DATE($C909,12,15)&gt;=$X$892,$AA$892*(1+($U$892)/100)^MAX(0,$C909-$AD$892),IF(DATE($C909,12,15)&gt;=$W$892,$Z$892*(1+($U$892)/100)^MAX(0,$C909-$AC$892),IF(DATE($C909,12,15)&gt;=$V$892,$Y$892*(1+($U$892)/100)^MAX(0,$C909-$AB$892),0)))))</f>
      </c>
      <c r="Q909" s="43">
        <f>SUM($E909:$P909)</f>
      </c>
    </row>
    <row r="910">
      <c r="A910"/>
      <c r="B910">
        <v>29</v>
      </c>
      <c r="C910" s="43">
        <f>Jahr+18</f>
      </c>
      <c r="D910" s="43">
        <f>INDEX(MvObj,29)</f>
      </c>
      <c r="E910" s="43">
        <f>IF($S$892=0,0,IF(OR(DATE($C910,1,15)&lt;$S$892,AND($T$892&gt;0,DATE($C910,1,15)&gt;$T$892)),0,IF(DATE($C910,1,15)&gt;=$X$892,$AA$892*(1+($U$892)/100)^MAX(0,$C910-$AD$892),IF(DATE($C910,1,15)&gt;=$W$892,$Z$892*(1+($U$892)/100)^MAX(0,$C910-$AC$892),IF(DATE($C910,1,15)&gt;=$V$892,$Y$892*(1+($U$892)/100)^MAX(0,$C910-$AB$892),0)))))</f>
      </c>
      <c r="F910" s="43">
        <f>IF($S$892=0,0,IF(OR(DATE($C910,2,15)&lt;$S$892,AND($T$892&gt;0,DATE($C910,2,15)&gt;$T$892)),0,IF(DATE($C910,2,15)&gt;=$X$892,$AA$892*(1+($U$892)/100)^MAX(0,$C910-$AD$892),IF(DATE($C910,2,15)&gt;=$W$892,$Z$892*(1+($U$892)/100)^MAX(0,$C910-$AC$892),IF(DATE($C910,2,15)&gt;=$V$892,$Y$892*(1+($U$892)/100)^MAX(0,$C910-$AB$892),0)))))</f>
      </c>
      <c r="G910" s="43">
        <f>IF($S$892=0,0,IF(OR(DATE($C910,3,15)&lt;$S$892,AND($T$892&gt;0,DATE($C910,3,15)&gt;$T$892)),0,IF(DATE($C910,3,15)&gt;=$X$892,$AA$892*(1+($U$892)/100)^MAX(0,$C910-$AD$892),IF(DATE($C910,3,15)&gt;=$W$892,$Z$892*(1+($U$892)/100)^MAX(0,$C910-$AC$892),IF(DATE($C910,3,15)&gt;=$V$892,$Y$892*(1+($U$892)/100)^MAX(0,$C910-$AB$892),0)))))</f>
      </c>
      <c r="H910" s="43">
        <f>IF($S$892=0,0,IF(OR(DATE($C910,4,15)&lt;$S$892,AND($T$892&gt;0,DATE($C910,4,15)&gt;$T$892)),0,IF(DATE($C910,4,15)&gt;=$X$892,$AA$892*(1+($U$892)/100)^MAX(0,$C910-$AD$892),IF(DATE($C910,4,15)&gt;=$W$892,$Z$892*(1+($U$892)/100)^MAX(0,$C910-$AC$892),IF(DATE($C910,4,15)&gt;=$V$892,$Y$892*(1+($U$892)/100)^MAX(0,$C910-$AB$892),0)))))</f>
      </c>
      <c r="I910" s="43">
        <f>IF($S$892=0,0,IF(OR(DATE($C910,5,15)&lt;$S$892,AND($T$892&gt;0,DATE($C910,5,15)&gt;$T$892)),0,IF(DATE($C910,5,15)&gt;=$X$892,$AA$892*(1+($U$892)/100)^MAX(0,$C910-$AD$892),IF(DATE($C910,5,15)&gt;=$W$892,$Z$892*(1+($U$892)/100)^MAX(0,$C910-$AC$892),IF(DATE($C910,5,15)&gt;=$V$892,$Y$892*(1+($U$892)/100)^MAX(0,$C910-$AB$892),0)))))</f>
      </c>
      <c r="J910" s="43">
        <f>IF($S$892=0,0,IF(OR(DATE($C910,6,15)&lt;$S$892,AND($T$892&gt;0,DATE($C910,6,15)&gt;$T$892)),0,IF(DATE($C910,6,15)&gt;=$X$892,$AA$892*(1+($U$892)/100)^MAX(0,$C910-$AD$892),IF(DATE($C910,6,15)&gt;=$W$892,$Z$892*(1+($U$892)/100)^MAX(0,$C910-$AC$892),IF(DATE($C910,6,15)&gt;=$V$892,$Y$892*(1+($U$892)/100)^MAX(0,$C910-$AB$892),0)))))</f>
      </c>
      <c r="K910" s="43">
        <f>IF($S$892=0,0,IF(OR(DATE($C910,7,15)&lt;$S$892,AND($T$892&gt;0,DATE($C910,7,15)&gt;$T$892)),0,IF(DATE($C910,7,15)&gt;=$X$892,$AA$892*(1+($U$892)/100)^MAX(0,$C910-$AD$892),IF(DATE($C910,7,15)&gt;=$W$892,$Z$892*(1+($U$892)/100)^MAX(0,$C910-$AC$892),IF(DATE($C910,7,15)&gt;=$V$892,$Y$892*(1+($U$892)/100)^MAX(0,$C910-$AB$892),0)))))</f>
      </c>
      <c r="L910" s="43">
        <f>IF($S$892=0,0,IF(OR(DATE($C910,8,15)&lt;$S$892,AND($T$892&gt;0,DATE($C910,8,15)&gt;$T$892)),0,IF(DATE($C910,8,15)&gt;=$X$892,$AA$892*(1+($U$892)/100)^MAX(0,$C910-$AD$892),IF(DATE($C910,8,15)&gt;=$W$892,$Z$892*(1+($U$892)/100)^MAX(0,$C910-$AC$892),IF(DATE($C910,8,15)&gt;=$V$892,$Y$892*(1+($U$892)/100)^MAX(0,$C910-$AB$892),0)))))</f>
      </c>
      <c r="M910" s="43">
        <f>IF($S$892=0,0,IF(OR(DATE($C910,9,15)&lt;$S$892,AND($T$892&gt;0,DATE($C910,9,15)&gt;$T$892)),0,IF(DATE($C910,9,15)&gt;=$X$892,$AA$892*(1+($U$892)/100)^MAX(0,$C910-$AD$892),IF(DATE($C910,9,15)&gt;=$W$892,$Z$892*(1+($U$892)/100)^MAX(0,$C910-$AC$892),IF(DATE($C910,9,15)&gt;=$V$892,$Y$892*(1+($U$892)/100)^MAX(0,$C910-$AB$892),0)))))</f>
      </c>
      <c r="N910" s="43">
        <f>IF($S$892=0,0,IF(OR(DATE($C910,10,15)&lt;$S$892,AND($T$892&gt;0,DATE($C910,10,15)&gt;$T$892)),0,IF(DATE($C910,10,15)&gt;=$X$892,$AA$892*(1+($U$892)/100)^MAX(0,$C910-$AD$892),IF(DATE($C910,10,15)&gt;=$W$892,$Z$892*(1+($U$892)/100)^MAX(0,$C910-$AC$892),IF(DATE($C910,10,15)&gt;=$V$892,$Y$892*(1+($U$892)/100)^MAX(0,$C910-$AB$892),0)))))</f>
      </c>
      <c r="O910" s="43">
        <f>IF($S$892=0,0,IF(OR(DATE($C910,11,15)&lt;$S$892,AND($T$892&gt;0,DATE($C910,11,15)&gt;$T$892)),0,IF(DATE($C910,11,15)&gt;=$X$892,$AA$892*(1+($U$892)/100)^MAX(0,$C910-$AD$892),IF(DATE($C910,11,15)&gt;=$W$892,$Z$892*(1+($U$892)/100)^MAX(0,$C910-$AC$892),IF(DATE($C910,11,15)&gt;=$V$892,$Y$892*(1+($U$892)/100)^MAX(0,$C910-$AB$892),0)))))</f>
      </c>
      <c r="P910" s="43">
        <f>IF($S$892=0,0,IF(OR(DATE($C910,12,15)&lt;$S$892,AND($T$892&gt;0,DATE($C910,12,15)&gt;$T$892)),0,IF(DATE($C910,12,15)&gt;=$X$892,$AA$892*(1+($U$892)/100)^MAX(0,$C910-$AD$892),IF(DATE($C910,12,15)&gt;=$W$892,$Z$892*(1+($U$892)/100)^MAX(0,$C910-$AC$892),IF(DATE($C910,12,15)&gt;=$V$892,$Y$892*(1+($U$892)/100)^MAX(0,$C910-$AB$892),0)))))</f>
      </c>
      <c r="Q910" s="43">
        <f>SUM($E910:$P910)</f>
      </c>
    </row>
    <row r="911">
      <c r="A911"/>
      <c r="B911">
        <v>29</v>
      </c>
      <c r="C911" s="43">
        <f>Jahr+19</f>
      </c>
      <c r="D911" s="43">
        <f>INDEX(MvObj,29)</f>
      </c>
      <c r="E911" s="43">
        <f>IF($S$892=0,0,IF(OR(DATE($C911,1,15)&lt;$S$892,AND($T$892&gt;0,DATE($C911,1,15)&gt;$T$892)),0,IF(DATE($C911,1,15)&gt;=$X$892,$AA$892*(1+($U$892)/100)^MAX(0,$C911-$AD$892),IF(DATE($C911,1,15)&gt;=$W$892,$Z$892*(1+($U$892)/100)^MAX(0,$C911-$AC$892),IF(DATE($C911,1,15)&gt;=$V$892,$Y$892*(1+($U$892)/100)^MAX(0,$C911-$AB$892),0)))))</f>
      </c>
      <c r="F911" s="43">
        <f>IF($S$892=0,0,IF(OR(DATE($C911,2,15)&lt;$S$892,AND($T$892&gt;0,DATE($C911,2,15)&gt;$T$892)),0,IF(DATE($C911,2,15)&gt;=$X$892,$AA$892*(1+($U$892)/100)^MAX(0,$C911-$AD$892),IF(DATE($C911,2,15)&gt;=$W$892,$Z$892*(1+($U$892)/100)^MAX(0,$C911-$AC$892),IF(DATE($C911,2,15)&gt;=$V$892,$Y$892*(1+($U$892)/100)^MAX(0,$C911-$AB$892),0)))))</f>
      </c>
      <c r="G911" s="43">
        <f>IF($S$892=0,0,IF(OR(DATE($C911,3,15)&lt;$S$892,AND($T$892&gt;0,DATE($C911,3,15)&gt;$T$892)),0,IF(DATE($C911,3,15)&gt;=$X$892,$AA$892*(1+($U$892)/100)^MAX(0,$C911-$AD$892),IF(DATE($C911,3,15)&gt;=$W$892,$Z$892*(1+($U$892)/100)^MAX(0,$C911-$AC$892),IF(DATE($C911,3,15)&gt;=$V$892,$Y$892*(1+($U$892)/100)^MAX(0,$C911-$AB$892),0)))))</f>
      </c>
      <c r="H911" s="43">
        <f>IF($S$892=0,0,IF(OR(DATE($C911,4,15)&lt;$S$892,AND($T$892&gt;0,DATE($C911,4,15)&gt;$T$892)),0,IF(DATE($C911,4,15)&gt;=$X$892,$AA$892*(1+($U$892)/100)^MAX(0,$C911-$AD$892),IF(DATE($C911,4,15)&gt;=$W$892,$Z$892*(1+($U$892)/100)^MAX(0,$C911-$AC$892),IF(DATE($C911,4,15)&gt;=$V$892,$Y$892*(1+($U$892)/100)^MAX(0,$C911-$AB$892),0)))))</f>
      </c>
      <c r="I911" s="43">
        <f>IF($S$892=0,0,IF(OR(DATE($C911,5,15)&lt;$S$892,AND($T$892&gt;0,DATE($C911,5,15)&gt;$T$892)),0,IF(DATE($C911,5,15)&gt;=$X$892,$AA$892*(1+($U$892)/100)^MAX(0,$C911-$AD$892),IF(DATE($C911,5,15)&gt;=$W$892,$Z$892*(1+($U$892)/100)^MAX(0,$C911-$AC$892),IF(DATE($C911,5,15)&gt;=$V$892,$Y$892*(1+($U$892)/100)^MAX(0,$C911-$AB$892),0)))))</f>
      </c>
      <c r="J911" s="43">
        <f>IF($S$892=0,0,IF(OR(DATE($C911,6,15)&lt;$S$892,AND($T$892&gt;0,DATE($C911,6,15)&gt;$T$892)),0,IF(DATE($C911,6,15)&gt;=$X$892,$AA$892*(1+($U$892)/100)^MAX(0,$C911-$AD$892),IF(DATE($C911,6,15)&gt;=$W$892,$Z$892*(1+($U$892)/100)^MAX(0,$C911-$AC$892),IF(DATE($C911,6,15)&gt;=$V$892,$Y$892*(1+($U$892)/100)^MAX(0,$C911-$AB$892),0)))))</f>
      </c>
      <c r="K911" s="43">
        <f>IF($S$892=0,0,IF(OR(DATE($C911,7,15)&lt;$S$892,AND($T$892&gt;0,DATE($C911,7,15)&gt;$T$892)),0,IF(DATE($C911,7,15)&gt;=$X$892,$AA$892*(1+($U$892)/100)^MAX(0,$C911-$AD$892),IF(DATE($C911,7,15)&gt;=$W$892,$Z$892*(1+($U$892)/100)^MAX(0,$C911-$AC$892),IF(DATE($C911,7,15)&gt;=$V$892,$Y$892*(1+($U$892)/100)^MAX(0,$C911-$AB$892),0)))))</f>
      </c>
      <c r="L911" s="43">
        <f>IF($S$892=0,0,IF(OR(DATE($C911,8,15)&lt;$S$892,AND($T$892&gt;0,DATE($C911,8,15)&gt;$T$892)),0,IF(DATE($C911,8,15)&gt;=$X$892,$AA$892*(1+($U$892)/100)^MAX(0,$C911-$AD$892),IF(DATE($C911,8,15)&gt;=$W$892,$Z$892*(1+($U$892)/100)^MAX(0,$C911-$AC$892),IF(DATE($C911,8,15)&gt;=$V$892,$Y$892*(1+($U$892)/100)^MAX(0,$C911-$AB$892),0)))))</f>
      </c>
      <c r="M911" s="43">
        <f>IF($S$892=0,0,IF(OR(DATE($C911,9,15)&lt;$S$892,AND($T$892&gt;0,DATE($C911,9,15)&gt;$T$892)),0,IF(DATE($C911,9,15)&gt;=$X$892,$AA$892*(1+($U$892)/100)^MAX(0,$C911-$AD$892),IF(DATE($C911,9,15)&gt;=$W$892,$Z$892*(1+($U$892)/100)^MAX(0,$C911-$AC$892),IF(DATE($C911,9,15)&gt;=$V$892,$Y$892*(1+($U$892)/100)^MAX(0,$C911-$AB$892),0)))))</f>
      </c>
      <c r="N911" s="43">
        <f>IF($S$892=0,0,IF(OR(DATE($C911,10,15)&lt;$S$892,AND($T$892&gt;0,DATE($C911,10,15)&gt;$T$892)),0,IF(DATE($C911,10,15)&gt;=$X$892,$AA$892*(1+($U$892)/100)^MAX(0,$C911-$AD$892),IF(DATE($C911,10,15)&gt;=$W$892,$Z$892*(1+($U$892)/100)^MAX(0,$C911-$AC$892),IF(DATE($C911,10,15)&gt;=$V$892,$Y$892*(1+($U$892)/100)^MAX(0,$C911-$AB$892),0)))))</f>
      </c>
      <c r="O911" s="43">
        <f>IF($S$892=0,0,IF(OR(DATE($C911,11,15)&lt;$S$892,AND($T$892&gt;0,DATE($C911,11,15)&gt;$T$892)),0,IF(DATE($C911,11,15)&gt;=$X$892,$AA$892*(1+($U$892)/100)^MAX(0,$C911-$AD$892),IF(DATE($C911,11,15)&gt;=$W$892,$Z$892*(1+($U$892)/100)^MAX(0,$C911-$AC$892),IF(DATE($C911,11,15)&gt;=$V$892,$Y$892*(1+($U$892)/100)^MAX(0,$C911-$AB$892),0)))))</f>
      </c>
      <c r="P911" s="43">
        <f>IF($S$892=0,0,IF(OR(DATE($C911,12,15)&lt;$S$892,AND($T$892&gt;0,DATE($C911,12,15)&gt;$T$892)),0,IF(DATE($C911,12,15)&gt;=$X$892,$AA$892*(1+($U$892)/100)^MAX(0,$C911-$AD$892),IF(DATE($C911,12,15)&gt;=$W$892,$Z$892*(1+($U$892)/100)^MAX(0,$C911-$AC$892),IF(DATE($C911,12,15)&gt;=$V$892,$Y$892*(1+($U$892)/100)^MAX(0,$C911-$AB$892),0)))))</f>
      </c>
      <c r="Q911" s="43">
        <f>SUM($E911:$P911)</f>
      </c>
    </row>
    <row r="912">
      <c r="A912"/>
      <c r="B912">
        <v>29</v>
      </c>
      <c r="C912" s="43">
        <f>Jahr+20</f>
      </c>
      <c r="D912" s="43">
        <f>INDEX(MvObj,29)</f>
      </c>
      <c r="E912" s="43">
        <f>IF($S$892=0,0,IF(OR(DATE($C912,1,15)&lt;$S$892,AND($T$892&gt;0,DATE($C912,1,15)&gt;$T$892)),0,IF(DATE($C912,1,15)&gt;=$X$892,$AA$892*(1+($U$892)/100)^MAX(0,$C912-$AD$892),IF(DATE($C912,1,15)&gt;=$W$892,$Z$892*(1+($U$892)/100)^MAX(0,$C912-$AC$892),IF(DATE($C912,1,15)&gt;=$V$892,$Y$892*(1+($U$892)/100)^MAX(0,$C912-$AB$892),0)))))</f>
      </c>
      <c r="F912" s="43">
        <f>IF($S$892=0,0,IF(OR(DATE($C912,2,15)&lt;$S$892,AND($T$892&gt;0,DATE($C912,2,15)&gt;$T$892)),0,IF(DATE($C912,2,15)&gt;=$X$892,$AA$892*(1+($U$892)/100)^MAX(0,$C912-$AD$892),IF(DATE($C912,2,15)&gt;=$W$892,$Z$892*(1+($U$892)/100)^MAX(0,$C912-$AC$892),IF(DATE($C912,2,15)&gt;=$V$892,$Y$892*(1+($U$892)/100)^MAX(0,$C912-$AB$892),0)))))</f>
      </c>
      <c r="G912" s="43">
        <f>IF($S$892=0,0,IF(OR(DATE($C912,3,15)&lt;$S$892,AND($T$892&gt;0,DATE($C912,3,15)&gt;$T$892)),0,IF(DATE($C912,3,15)&gt;=$X$892,$AA$892*(1+($U$892)/100)^MAX(0,$C912-$AD$892),IF(DATE($C912,3,15)&gt;=$W$892,$Z$892*(1+($U$892)/100)^MAX(0,$C912-$AC$892),IF(DATE($C912,3,15)&gt;=$V$892,$Y$892*(1+($U$892)/100)^MAX(0,$C912-$AB$892),0)))))</f>
      </c>
      <c r="H912" s="43">
        <f>IF($S$892=0,0,IF(OR(DATE($C912,4,15)&lt;$S$892,AND($T$892&gt;0,DATE($C912,4,15)&gt;$T$892)),0,IF(DATE($C912,4,15)&gt;=$X$892,$AA$892*(1+($U$892)/100)^MAX(0,$C912-$AD$892),IF(DATE($C912,4,15)&gt;=$W$892,$Z$892*(1+($U$892)/100)^MAX(0,$C912-$AC$892),IF(DATE($C912,4,15)&gt;=$V$892,$Y$892*(1+($U$892)/100)^MAX(0,$C912-$AB$892),0)))))</f>
      </c>
      <c r="I912" s="43">
        <f>IF($S$892=0,0,IF(OR(DATE($C912,5,15)&lt;$S$892,AND($T$892&gt;0,DATE($C912,5,15)&gt;$T$892)),0,IF(DATE($C912,5,15)&gt;=$X$892,$AA$892*(1+($U$892)/100)^MAX(0,$C912-$AD$892),IF(DATE($C912,5,15)&gt;=$W$892,$Z$892*(1+($U$892)/100)^MAX(0,$C912-$AC$892),IF(DATE($C912,5,15)&gt;=$V$892,$Y$892*(1+($U$892)/100)^MAX(0,$C912-$AB$892),0)))))</f>
      </c>
      <c r="J912" s="43">
        <f>IF($S$892=0,0,IF(OR(DATE($C912,6,15)&lt;$S$892,AND($T$892&gt;0,DATE($C912,6,15)&gt;$T$892)),0,IF(DATE($C912,6,15)&gt;=$X$892,$AA$892*(1+($U$892)/100)^MAX(0,$C912-$AD$892),IF(DATE($C912,6,15)&gt;=$W$892,$Z$892*(1+($U$892)/100)^MAX(0,$C912-$AC$892),IF(DATE($C912,6,15)&gt;=$V$892,$Y$892*(1+($U$892)/100)^MAX(0,$C912-$AB$892),0)))))</f>
      </c>
      <c r="K912" s="43">
        <f>IF($S$892=0,0,IF(OR(DATE($C912,7,15)&lt;$S$892,AND($T$892&gt;0,DATE($C912,7,15)&gt;$T$892)),0,IF(DATE($C912,7,15)&gt;=$X$892,$AA$892*(1+($U$892)/100)^MAX(0,$C912-$AD$892),IF(DATE($C912,7,15)&gt;=$W$892,$Z$892*(1+($U$892)/100)^MAX(0,$C912-$AC$892),IF(DATE($C912,7,15)&gt;=$V$892,$Y$892*(1+($U$892)/100)^MAX(0,$C912-$AB$892),0)))))</f>
      </c>
      <c r="L912" s="43">
        <f>IF($S$892=0,0,IF(OR(DATE($C912,8,15)&lt;$S$892,AND($T$892&gt;0,DATE($C912,8,15)&gt;$T$892)),0,IF(DATE($C912,8,15)&gt;=$X$892,$AA$892*(1+($U$892)/100)^MAX(0,$C912-$AD$892),IF(DATE($C912,8,15)&gt;=$W$892,$Z$892*(1+($U$892)/100)^MAX(0,$C912-$AC$892),IF(DATE($C912,8,15)&gt;=$V$892,$Y$892*(1+($U$892)/100)^MAX(0,$C912-$AB$892),0)))))</f>
      </c>
      <c r="M912" s="43">
        <f>IF($S$892=0,0,IF(OR(DATE($C912,9,15)&lt;$S$892,AND($T$892&gt;0,DATE($C912,9,15)&gt;$T$892)),0,IF(DATE($C912,9,15)&gt;=$X$892,$AA$892*(1+($U$892)/100)^MAX(0,$C912-$AD$892),IF(DATE($C912,9,15)&gt;=$W$892,$Z$892*(1+($U$892)/100)^MAX(0,$C912-$AC$892),IF(DATE($C912,9,15)&gt;=$V$892,$Y$892*(1+($U$892)/100)^MAX(0,$C912-$AB$892),0)))))</f>
      </c>
      <c r="N912" s="43">
        <f>IF($S$892=0,0,IF(OR(DATE($C912,10,15)&lt;$S$892,AND($T$892&gt;0,DATE($C912,10,15)&gt;$T$892)),0,IF(DATE($C912,10,15)&gt;=$X$892,$AA$892*(1+($U$892)/100)^MAX(0,$C912-$AD$892),IF(DATE($C912,10,15)&gt;=$W$892,$Z$892*(1+($U$892)/100)^MAX(0,$C912-$AC$892),IF(DATE($C912,10,15)&gt;=$V$892,$Y$892*(1+($U$892)/100)^MAX(0,$C912-$AB$892),0)))))</f>
      </c>
      <c r="O912" s="43">
        <f>IF($S$892=0,0,IF(OR(DATE($C912,11,15)&lt;$S$892,AND($T$892&gt;0,DATE($C912,11,15)&gt;$T$892)),0,IF(DATE($C912,11,15)&gt;=$X$892,$AA$892*(1+($U$892)/100)^MAX(0,$C912-$AD$892),IF(DATE($C912,11,15)&gt;=$W$892,$Z$892*(1+($U$892)/100)^MAX(0,$C912-$AC$892),IF(DATE($C912,11,15)&gt;=$V$892,$Y$892*(1+($U$892)/100)^MAX(0,$C912-$AB$892),0)))))</f>
      </c>
      <c r="P912" s="43">
        <f>IF($S$892=0,0,IF(OR(DATE($C912,12,15)&lt;$S$892,AND($T$892&gt;0,DATE($C912,12,15)&gt;$T$892)),0,IF(DATE($C912,12,15)&gt;=$X$892,$AA$892*(1+($U$892)/100)^MAX(0,$C912-$AD$892),IF(DATE($C912,12,15)&gt;=$W$892,$Z$892*(1+($U$892)/100)^MAX(0,$C912-$AC$892),IF(DATE($C912,12,15)&gt;=$V$892,$Y$892*(1+($U$892)/100)^MAX(0,$C912-$AB$892),0)))))</f>
      </c>
      <c r="Q912" s="43">
        <f>SUM($E912:$P912)</f>
      </c>
    </row>
    <row r="913">
      <c r="A913"/>
      <c r="B913">
        <v>29</v>
      </c>
      <c r="C913" s="43">
        <f>Jahr+21</f>
      </c>
      <c r="D913" s="43">
        <f>INDEX(MvObj,29)</f>
      </c>
      <c r="E913" s="43">
        <f>IF($S$892=0,0,IF(OR(DATE($C913,1,15)&lt;$S$892,AND($T$892&gt;0,DATE($C913,1,15)&gt;$T$892)),0,IF(DATE($C913,1,15)&gt;=$X$892,$AA$892*(1+($U$892)/100)^MAX(0,$C913-$AD$892),IF(DATE($C913,1,15)&gt;=$W$892,$Z$892*(1+($U$892)/100)^MAX(0,$C913-$AC$892),IF(DATE($C913,1,15)&gt;=$V$892,$Y$892*(1+($U$892)/100)^MAX(0,$C913-$AB$892),0)))))</f>
      </c>
      <c r="F913" s="43">
        <f>IF($S$892=0,0,IF(OR(DATE($C913,2,15)&lt;$S$892,AND($T$892&gt;0,DATE($C913,2,15)&gt;$T$892)),0,IF(DATE($C913,2,15)&gt;=$X$892,$AA$892*(1+($U$892)/100)^MAX(0,$C913-$AD$892),IF(DATE($C913,2,15)&gt;=$W$892,$Z$892*(1+($U$892)/100)^MAX(0,$C913-$AC$892),IF(DATE($C913,2,15)&gt;=$V$892,$Y$892*(1+($U$892)/100)^MAX(0,$C913-$AB$892),0)))))</f>
      </c>
      <c r="G913" s="43">
        <f>IF($S$892=0,0,IF(OR(DATE($C913,3,15)&lt;$S$892,AND($T$892&gt;0,DATE($C913,3,15)&gt;$T$892)),0,IF(DATE($C913,3,15)&gt;=$X$892,$AA$892*(1+($U$892)/100)^MAX(0,$C913-$AD$892),IF(DATE($C913,3,15)&gt;=$W$892,$Z$892*(1+($U$892)/100)^MAX(0,$C913-$AC$892),IF(DATE($C913,3,15)&gt;=$V$892,$Y$892*(1+($U$892)/100)^MAX(0,$C913-$AB$892),0)))))</f>
      </c>
      <c r="H913" s="43">
        <f>IF($S$892=0,0,IF(OR(DATE($C913,4,15)&lt;$S$892,AND($T$892&gt;0,DATE($C913,4,15)&gt;$T$892)),0,IF(DATE($C913,4,15)&gt;=$X$892,$AA$892*(1+($U$892)/100)^MAX(0,$C913-$AD$892),IF(DATE($C913,4,15)&gt;=$W$892,$Z$892*(1+($U$892)/100)^MAX(0,$C913-$AC$892),IF(DATE($C913,4,15)&gt;=$V$892,$Y$892*(1+($U$892)/100)^MAX(0,$C913-$AB$892),0)))))</f>
      </c>
      <c r="I913" s="43">
        <f>IF($S$892=0,0,IF(OR(DATE($C913,5,15)&lt;$S$892,AND($T$892&gt;0,DATE($C913,5,15)&gt;$T$892)),0,IF(DATE($C913,5,15)&gt;=$X$892,$AA$892*(1+($U$892)/100)^MAX(0,$C913-$AD$892),IF(DATE($C913,5,15)&gt;=$W$892,$Z$892*(1+($U$892)/100)^MAX(0,$C913-$AC$892),IF(DATE($C913,5,15)&gt;=$V$892,$Y$892*(1+($U$892)/100)^MAX(0,$C913-$AB$892),0)))))</f>
      </c>
      <c r="J913" s="43">
        <f>IF($S$892=0,0,IF(OR(DATE($C913,6,15)&lt;$S$892,AND($T$892&gt;0,DATE($C913,6,15)&gt;$T$892)),0,IF(DATE($C913,6,15)&gt;=$X$892,$AA$892*(1+($U$892)/100)^MAX(0,$C913-$AD$892),IF(DATE($C913,6,15)&gt;=$W$892,$Z$892*(1+($U$892)/100)^MAX(0,$C913-$AC$892),IF(DATE($C913,6,15)&gt;=$V$892,$Y$892*(1+($U$892)/100)^MAX(0,$C913-$AB$892),0)))))</f>
      </c>
      <c r="K913" s="43">
        <f>IF($S$892=0,0,IF(OR(DATE($C913,7,15)&lt;$S$892,AND($T$892&gt;0,DATE($C913,7,15)&gt;$T$892)),0,IF(DATE($C913,7,15)&gt;=$X$892,$AA$892*(1+($U$892)/100)^MAX(0,$C913-$AD$892),IF(DATE($C913,7,15)&gt;=$W$892,$Z$892*(1+($U$892)/100)^MAX(0,$C913-$AC$892),IF(DATE($C913,7,15)&gt;=$V$892,$Y$892*(1+($U$892)/100)^MAX(0,$C913-$AB$892),0)))))</f>
      </c>
      <c r="L913" s="43">
        <f>IF($S$892=0,0,IF(OR(DATE($C913,8,15)&lt;$S$892,AND($T$892&gt;0,DATE($C913,8,15)&gt;$T$892)),0,IF(DATE($C913,8,15)&gt;=$X$892,$AA$892*(1+($U$892)/100)^MAX(0,$C913-$AD$892),IF(DATE($C913,8,15)&gt;=$W$892,$Z$892*(1+($U$892)/100)^MAX(0,$C913-$AC$892),IF(DATE($C913,8,15)&gt;=$V$892,$Y$892*(1+($U$892)/100)^MAX(0,$C913-$AB$892),0)))))</f>
      </c>
      <c r="M913" s="43">
        <f>IF($S$892=0,0,IF(OR(DATE($C913,9,15)&lt;$S$892,AND($T$892&gt;0,DATE($C913,9,15)&gt;$T$892)),0,IF(DATE($C913,9,15)&gt;=$X$892,$AA$892*(1+($U$892)/100)^MAX(0,$C913-$AD$892),IF(DATE($C913,9,15)&gt;=$W$892,$Z$892*(1+($U$892)/100)^MAX(0,$C913-$AC$892),IF(DATE($C913,9,15)&gt;=$V$892,$Y$892*(1+($U$892)/100)^MAX(0,$C913-$AB$892),0)))))</f>
      </c>
      <c r="N913" s="43">
        <f>IF($S$892=0,0,IF(OR(DATE($C913,10,15)&lt;$S$892,AND($T$892&gt;0,DATE($C913,10,15)&gt;$T$892)),0,IF(DATE($C913,10,15)&gt;=$X$892,$AA$892*(1+($U$892)/100)^MAX(0,$C913-$AD$892),IF(DATE($C913,10,15)&gt;=$W$892,$Z$892*(1+($U$892)/100)^MAX(0,$C913-$AC$892),IF(DATE($C913,10,15)&gt;=$V$892,$Y$892*(1+($U$892)/100)^MAX(0,$C913-$AB$892),0)))))</f>
      </c>
      <c r="O913" s="43">
        <f>IF($S$892=0,0,IF(OR(DATE($C913,11,15)&lt;$S$892,AND($T$892&gt;0,DATE($C913,11,15)&gt;$T$892)),0,IF(DATE($C913,11,15)&gt;=$X$892,$AA$892*(1+($U$892)/100)^MAX(0,$C913-$AD$892),IF(DATE($C913,11,15)&gt;=$W$892,$Z$892*(1+($U$892)/100)^MAX(0,$C913-$AC$892),IF(DATE($C913,11,15)&gt;=$V$892,$Y$892*(1+($U$892)/100)^MAX(0,$C913-$AB$892),0)))))</f>
      </c>
      <c r="P913" s="43">
        <f>IF($S$892=0,0,IF(OR(DATE($C913,12,15)&lt;$S$892,AND($T$892&gt;0,DATE($C913,12,15)&gt;$T$892)),0,IF(DATE($C913,12,15)&gt;=$X$892,$AA$892*(1+($U$892)/100)^MAX(0,$C913-$AD$892),IF(DATE($C913,12,15)&gt;=$W$892,$Z$892*(1+($U$892)/100)^MAX(0,$C913-$AC$892),IF(DATE($C913,12,15)&gt;=$V$892,$Y$892*(1+($U$892)/100)^MAX(0,$C913-$AB$892),0)))))</f>
      </c>
      <c r="Q913" s="43">
        <f>SUM($E913:$P913)</f>
      </c>
    </row>
    <row r="914">
      <c r="A914"/>
      <c r="B914">
        <v>29</v>
      </c>
      <c r="C914" s="43">
        <f>Jahr+22</f>
      </c>
      <c r="D914" s="43">
        <f>INDEX(MvObj,29)</f>
      </c>
      <c r="E914" s="43">
        <f>IF($S$892=0,0,IF(OR(DATE($C914,1,15)&lt;$S$892,AND($T$892&gt;0,DATE($C914,1,15)&gt;$T$892)),0,IF(DATE($C914,1,15)&gt;=$X$892,$AA$892*(1+($U$892)/100)^MAX(0,$C914-$AD$892),IF(DATE($C914,1,15)&gt;=$W$892,$Z$892*(1+($U$892)/100)^MAX(0,$C914-$AC$892),IF(DATE($C914,1,15)&gt;=$V$892,$Y$892*(1+($U$892)/100)^MAX(0,$C914-$AB$892),0)))))</f>
      </c>
      <c r="F914" s="43">
        <f>IF($S$892=0,0,IF(OR(DATE($C914,2,15)&lt;$S$892,AND($T$892&gt;0,DATE($C914,2,15)&gt;$T$892)),0,IF(DATE($C914,2,15)&gt;=$X$892,$AA$892*(1+($U$892)/100)^MAX(0,$C914-$AD$892),IF(DATE($C914,2,15)&gt;=$W$892,$Z$892*(1+($U$892)/100)^MAX(0,$C914-$AC$892),IF(DATE($C914,2,15)&gt;=$V$892,$Y$892*(1+($U$892)/100)^MAX(0,$C914-$AB$892),0)))))</f>
      </c>
      <c r="G914" s="43">
        <f>IF($S$892=0,0,IF(OR(DATE($C914,3,15)&lt;$S$892,AND($T$892&gt;0,DATE($C914,3,15)&gt;$T$892)),0,IF(DATE($C914,3,15)&gt;=$X$892,$AA$892*(1+($U$892)/100)^MAX(0,$C914-$AD$892),IF(DATE($C914,3,15)&gt;=$W$892,$Z$892*(1+($U$892)/100)^MAX(0,$C914-$AC$892),IF(DATE($C914,3,15)&gt;=$V$892,$Y$892*(1+($U$892)/100)^MAX(0,$C914-$AB$892),0)))))</f>
      </c>
      <c r="H914" s="43">
        <f>IF($S$892=0,0,IF(OR(DATE($C914,4,15)&lt;$S$892,AND($T$892&gt;0,DATE($C914,4,15)&gt;$T$892)),0,IF(DATE($C914,4,15)&gt;=$X$892,$AA$892*(1+($U$892)/100)^MAX(0,$C914-$AD$892),IF(DATE($C914,4,15)&gt;=$W$892,$Z$892*(1+($U$892)/100)^MAX(0,$C914-$AC$892),IF(DATE($C914,4,15)&gt;=$V$892,$Y$892*(1+($U$892)/100)^MAX(0,$C914-$AB$892),0)))))</f>
      </c>
      <c r="I914" s="43">
        <f>IF($S$892=0,0,IF(OR(DATE($C914,5,15)&lt;$S$892,AND($T$892&gt;0,DATE($C914,5,15)&gt;$T$892)),0,IF(DATE($C914,5,15)&gt;=$X$892,$AA$892*(1+($U$892)/100)^MAX(0,$C914-$AD$892),IF(DATE($C914,5,15)&gt;=$W$892,$Z$892*(1+($U$892)/100)^MAX(0,$C914-$AC$892),IF(DATE($C914,5,15)&gt;=$V$892,$Y$892*(1+($U$892)/100)^MAX(0,$C914-$AB$892),0)))))</f>
      </c>
      <c r="J914" s="43">
        <f>IF($S$892=0,0,IF(OR(DATE($C914,6,15)&lt;$S$892,AND($T$892&gt;0,DATE($C914,6,15)&gt;$T$892)),0,IF(DATE($C914,6,15)&gt;=$X$892,$AA$892*(1+($U$892)/100)^MAX(0,$C914-$AD$892),IF(DATE($C914,6,15)&gt;=$W$892,$Z$892*(1+($U$892)/100)^MAX(0,$C914-$AC$892),IF(DATE($C914,6,15)&gt;=$V$892,$Y$892*(1+($U$892)/100)^MAX(0,$C914-$AB$892),0)))))</f>
      </c>
      <c r="K914" s="43">
        <f>IF($S$892=0,0,IF(OR(DATE($C914,7,15)&lt;$S$892,AND($T$892&gt;0,DATE($C914,7,15)&gt;$T$892)),0,IF(DATE($C914,7,15)&gt;=$X$892,$AA$892*(1+($U$892)/100)^MAX(0,$C914-$AD$892),IF(DATE($C914,7,15)&gt;=$W$892,$Z$892*(1+($U$892)/100)^MAX(0,$C914-$AC$892),IF(DATE($C914,7,15)&gt;=$V$892,$Y$892*(1+($U$892)/100)^MAX(0,$C914-$AB$892),0)))))</f>
      </c>
      <c r="L914" s="43">
        <f>IF($S$892=0,0,IF(OR(DATE($C914,8,15)&lt;$S$892,AND($T$892&gt;0,DATE($C914,8,15)&gt;$T$892)),0,IF(DATE($C914,8,15)&gt;=$X$892,$AA$892*(1+($U$892)/100)^MAX(0,$C914-$AD$892),IF(DATE($C914,8,15)&gt;=$W$892,$Z$892*(1+($U$892)/100)^MAX(0,$C914-$AC$892),IF(DATE($C914,8,15)&gt;=$V$892,$Y$892*(1+($U$892)/100)^MAX(0,$C914-$AB$892),0)))))</f>
      </c>
      <c r="M914" s="43">
        <f>IF($S$892=0,0,IF(OR(DATE($C914,9,15)&lt;$S$892,AND($T$892&gt;0,DATE($C914,9,15)&gt;$T$892)),0,IF(DATE($C914,9,15)&gt;=$X$892,$AA$892*(1+($U$892)/100)^MAX(0,$C914-$AD$892),IF(DATE($C914,9,15)&gt;=$W$892,$Z$892*(1+($U$892)/100)^MAX(0,$C914-$AC$892),IF(DATE($C914,9,15)&gt;=$V$892,$Y$892*(1+($U$892)/100)^MAX(0,$C914-$AB$892),0)))))</f>
      </c>
      <c r="N914" s="43">
        <f>IF($S$892=0,0,IF(OR(DATE($C914,10,15)&lt;$S$892,AND($T$892&gt;0,DATE($C914,10,15)&gt;$T$892)),0,IF(DATE($C914,10,15)&gt;=$X$892,$AA$892*(1+($U$892)/100)^MAX(0,$C914-$AD$892),IF(DATE($C914,10,15)&gt;=$W$892,$Z$892*(1+($U$892)/100)^MAX(0,$C914-$AC$892),IF(DATE($C914,10,15)&gt;=$V$892,$Y$892*(1+($U$892)/100)^MAX(0,$C914-$AB$892),0)))))</f>
      </c>
      <c r="O914" s="43">
        <f>IF($S$892=0,0,IF(OR(DATE($C914,11,15)&lt;$S$892,AND($T$892&gt;0,DATE($C914,11,15)&gt;$T$892)),0,IF(DATE($C914,11,15)&gt;=$X$892,$AA$892*(1+($U$892)/100)^MAX(0,$C914-$AD$892),IF(DATE($C914,11,15)&gt;=$W$892,$Z$892*(1+($U$892)/100)^MAX(0,$C914-$AC$892),IF(DATE($C914,11,15)&gt;=$V$892,$Y$892*(1+($U$892)/100)^MAX(0,$C914-$AB$892),0)))))</f>
      </c>
      <c r="P914" s="43">
        <f>IF($S$892=0,0,IF(OR(DATE($C914,12,15)&lt;$S$892,AND($T$892&gt;0,DATE($C914,12,15)&gt;$T$892)),0,IF(DATE($C914,12,15)&gt;=$X$892,$AA$892*(1+($U$892)/100)^MAX(0,$C914-$AD$892),IF(DATE($C914,12,15)&gt;=$W$892,$Z$892*(1+($U$892)/100)^MAX(0,$C914-$AC$892),IF(DATE($C914,12,15)&gt;=$V$892,$Y$892*(1+($U$892)/100)^MAX(0,$C914-$AB$892),0)))))</f>
      </c>
      <c r="Q914" s="43">
        <f>SUM($E914:$P914)</f>
      </c>
    </row>
    <row r="915">
      <c r="A915"/>
      <c r="B915">
        <v>29</v>
      </c>
      <c r="C915" s="43">
        <f>Jahr+23</f>
      </c>
      <c r="D915" s="43">
        <f>INDEX(MvObj,29)</f>
      </c>
      <c r="E915" s="43">
        <f>IF($S$892=0,0,IF(OR(DATE($C915,1,15)&lt;$S$892,AND($T$892&gt;0,DATE($C915,1,15)&gt;$T$892)),0,IF(DATE($C915,1,15)&gt;=$X$892,$AA$892*(1+($U$892)/100)^MAX(0,$C915-$AD$892),IF(DATE($C915,1,15)&gt;=$W$892,$Z$892*(1+($U$892)/100)^MAX(0,$C915-$AC$892),IF(DATE($C915,1,15)&gt;=$V$892,$Y$892*(1+($U$892)/100)^MAX(0,$C915-$AB$892),0)))))</f>
      </c>
      <c r="F915" s="43">
        <f>IF($S$892=0,0,IF(OR(DATE($C915,2,15)&lt;$S$892,AND($T$892&gt;0,DATE($C915,2,15)&gt;$T$892)),0,IF(DATE($C915,2,15)&gt;=$X$892,$AA$892*(1+($U$892)/100)^MAX(0,$C915-$AD$892),IF(DATE($C915,2,15)&gt;=$W$892,$Z$892*(1+($U$892)/100)^MAX(0,$C915-$AC$892),IF(DATE($C915,2,15)&gt;=$V$892,$Y$892*(1+($U$892)/100)^MAX(0,$C915-$AB$892),0)))))</f>
      </c>
      <c r="G915" s="43">
        <f>IF($S$892=0,0,IF(OR(DATE($C915,3,15)&lt;$S$892,AND($T$892&gt;0,DATE($C915,3,15)&gt;$T$892)),0,IF(DATE($C915,3,15)&gt;=$X$892,$AA$892*(1+($U$892)/100)^MAX(0,$C915-$AD$892),IF(DATE($C915,3,15)&gt;=$W$892,$Z$892*(1+($U$892)/100)^MAX(0,$C915-$AC$892),IF(DATE($C915,3,15)&gt;=$V$892,$Y$892*(1+($U$892)/100)^MAX(0,$C915-$AB$892),0)))))</f>
      </c>
      <c r="H915" s="43">
        <f>IF($S$892=0,0,IF(OR(DATE($C915,4,15)&lt;$S$892,AND($T$892&gt;0,DATE($C915,4,15)&gt;$T$892)),0,IF(DATE($C915,4,15)&gt;=$X$892,$AA$892*(1+($U$892)/100)^MAX(0,$C915-$AD$892),IF(DATE($C915,4,15)&gt;=$W$892,$Z$892*(1+($U$892)/100)^MAX(0,$C915-$AC$892),IF(DATE($C915,4,15)&gt;=$V$892,$Y$892*(1+($U$892)/100)^MAX(0,$C915-$AB$892),0)))))</f>
      </c>
      <c r="I915" s="43">
        <f>IF($S$892=0,0,IF(OR(DATE($C915,5,15)&lt;$S$892,AND($T$892&gt;0,DATE($C915,5,15)&gt;$T$892)),0,IF(DATE($C915,5,15)&gt;=$X$892,$AA$892*(1+($U$892)/100)^MAX(0,$C915-$AD$892),IF(DATE($C915,5,15)&gt;=$W$892,$Z$892*(1+($U$892)/100)^MAX(0,$C915-$AC$892),IF(DATE($C915,5,15)&gt;=$V$892,$Y$892*(1+($U$892)/100)^MAX(0,$C915-$AB$892),0)))))</f>
      </c>
      <c r="J915" s="43">
        <f>IF($S$892=0,0,IF(OR(DATE($C915,6,15)&lt;$S$892,AND($T$892&gt;0,DATE($C915,6,15)&gt;$T$892)),0,IF(DATE($C915,6,15)&gt;=$X$892,$AA$892*(1+($U$892)/100)^MAX(0,$C915-$AD$892),IF(DATE($C915,6,15)&gt;=$W$892,$Z$892*(1+($U$892)/100)^MAX(0,$C915-$AC$892),IF(DATE($C915,6,15)&gt;=$V$892,$Y$892*(1+($U$892)/100)^MAX(0,$C915-$AB$892),0)))))</f>
      </c>
      <c r="K915" s="43">
        <f>IF($S$892=0,0,IF(OR(DATE($C915,7,15)&lt;$S$892,AND($T$892&gt;0,DATE($C915,7,15)&gt;$T$892)),0,IF(DATE($C915,7,15)&gt;=$X$892,$AA$892*(1+($U$892)/100)^MAX(0,$C915-$AD$892),IF(DATE($C915,7,15)&gt;=$W$892,$Z$892*(1+($U$892)/100)^MAX(0,$C915-$AC$892),IF(DATE($C915,7,15)&gt;=$V$892,$Y$892*(1+($U$892)/100)^MAX(0,$C915-$AB$892),0)))))</f>
      </c>
      <c r="L915" s="43">
        <f>IF($S$892=0,0,IF(OR(DATE($C915,8,15)&lt;$S$892,AND($T$892&gt;0,DATE($C915,8,15)&gt;$T$892)),0,IF(DATE($C915,8,15)&gt;=$X$892,$AA$892*(1+($U$892)/100)^MAX(0,$C915-$AD$892),IF(DATE($C915,8,15)&gt;=$W$892,$Z$892*(1+($U$892)/100)^MAX(0,$C915-$AC$892),IF(DATE($C915,8,15)&gt;=$V$892,$Y$892*(1+($U$892)/100)^MAX(0,$C915-$AB$892),0)))))</f>
      </c>
      <c r="M915" s="43">
        <f>IF($S$892=0,0,IF(OR(DATE($C915,9,15)&lt;$S$892,AND($T$892&gt;0,DATE($C915,9,15)&gt;$T$892)),0,IF(DATE($C915,9,15)&gt;=$X$892,$AA$892*(1+($U$892)/100)^MAX(0,$C915-$AD$892),IF(DATE($C915,9,15)&gt;=$W$892,$Z$892*(1+($U$892)/100)^MAX(0,$C915-$AC$892),IF(DATE($C915,9,15)&gt;=$V$892,$Y$892*(1+($U$892)/100)^MAX(0,$C915-$AB$892),0)))))</f>
      </c>
      <c r="N915" s="43">
        <f>IF($S$892=0,0,IF(OR(DATE($C915,10,15)&lt;$S$892,AND($T$892&gt;0,DATE($C915,10,15)&gt;$T$892)),0,IF(DATE($C915,10,15)&gt;=$X$892,$AA$892*(1+($U$892)/100)^MAX(0,$C915-$AD$892),IF(DATE($C915,10,15)&gt;=$W$892,$Z$892*(1+($U$892)/100)^MAX(0,$C915-$AC$892),IF(DATE($C915,10,15)&gt;=$V$892,$Y$892*(1+($U$892)/100)^MAX(0,$C915-$AB$892),0)))))</f>
      </c>
      <c r="O915" s="43">
        <f>IF($S$892=0,0,IF(OR(DATE($C915,11,15)&lt;$S$892,AND($T$892&gt;0,DATE($C915,11,15)&gt;$T$892)),0,IF(DATE($C915,11,15)&gt;=$X$892,$AA$892*(1+($U$892)/100)^MAX(0,$C915-$AD$892),IF(DATE($C915,11,15)&gt;=$W$892,$Z$892*(1+($U$892)/100)^MAX(0,$C915-$AC$892),IF(DATE($C915,11,15)&gt;=$V$892,$Y$892*(1+($U$892)/100)^MAX(0,$C915-$AB$892),0)))))</f>
      </c>
      <c r="P915" s="43">
        <f>IF($S$892=0,0,IF(OR(DATE($C915,12,15)&lt;$S$892,AND($T$892&gt;0,DATE($C915,12,15)&gt;$T$892)),0,IF(DATE($C915,12,15)&gt;=$X$892,$AA$892*(1+($U$892)/100)^MAX(0,$C915-$AD$892),IF(DATE($C915,12,15)&gt;=$W$892,$Z$892*(1+($U$892)/100)^MAX(0,$C915-$AC$892),IF(DATE($C915,12,15)&gt;=$V$892,$Y$892*(1+($U$892)/100)^MAX(0,$C915-$AB$892),0)))))</f>
      </c>
      <c r="Q915" s="43">
        <f>SUM($E915:$P915)</f>
      </c>
    </row>
    <row r="916">
      <c r="A916"/>
      <c r="B916">
        <v>29</v>
      </c>
      <c r="C916" s="43">
        <f>Jahr+24</f>
      </c>
      <c r="D916" s="43">
        <f>INDEX(MvObj,29)</f>
      </c>
      <c r="E916" s="43">
        <f>IF($S$892=0,0,IF(OR(DATE($C916,1,15)&lt;$S$892,AND($T$892&gt;0,DATE($C916,1,15)&gt;$T$892)),0,IF(DATE($C916,1,15)&gt;=$X$892,$AA$892*(1+($U$892)/100)^MAX(0,$C916-$AD$892),IF(DATE($C916,1,15)&gt;=$W$892,$Z$892*(1+($U$892)/100)^MAX(0,$C916-$AC$892),IF(DATE($C916,1,15)&gt;=$V$892,$Y$892*(1+($U$892)/100)^MAX(0,$C916-$AB$892),0)))))</f>
      </c>
      <c r="F916" s="43">
        <f>IF($S$892=0,0,IF(OR(DATE($C916,2,15)&lt;$S$892,AND($T$892&gt;0,DATE($C916,2,15)&gt;$T$892)),0,IF(DATE($C916,2,15)&gt;=$X$892,$AA$892*(1+($U$892)/100)^MAX(0,$C916-$AD$892),IF(DATE($C916,2,15)&gt;=$W$892,$Z$892*(1+($U$892)/100)^MAX(0,$C916-$AC$892),IF(DATE($C916,2,15)&gt;=$V$892,$Y$892*(1+($U$892)/100)^MAX(0,$C916-$AB$892),0)))))</f>
      </c>
      <c r="G916" s="43">
        <f>IF($S$892=0,0,IF(OR(DATE($C916,3,15)&lt;$S$892,AND($T$892&gt;0,DATE($C916,3,15)&gt;$T$892)),0,IF(DATE($C916,3,15)&gt;=$X$892,$AA$892*(1+($U$892)/100)^MAX(0,$C916-$AD$892),IF(DATE($C916,3,15)&gt;=$W$892,$Z$892*(1+($U$892)/100)^MAX(0,$C916-$AC$892),IF(DATE($C916,3,15)&gt;=$V$892,$Y$892*(1+($U$892)/100)^MAX(0,$C916-$AB$892),0)))))</f>
      </c>
      <c r="H916" s="43">
        <f>IF($S$892=0,0,IF(OR(DATE($C916,4,15)&lt;$S$892,AND($T$892&gt;0,DATE($C916,4,15)&gt;$T$892)),0,IF(DATE($C916,4,15)&gt;=$X$892,$AA$892*(1+($U$892)/100)^MAX(0,$C916-$AD$892),IF(DATE($C916,4,15)&gt;=$W$892,$Z$892*(1+($U$892)/100)^MAX(0,$C916-$AC$892),IF(DATE($C916,4,15)&gt;=$V$892,$Y$892*(1+($U$892)/100)^MAX(0,$C916-$AB$892),0)))))</f>
      </c>
      <c r="I916" s="43">
        <f>IF($S$892=0,0,IF(OR(DATE($C916,5,15)&lt;$S$892,AND($T$892&gt;0,DATE($C916,5,15)&gt;$T$892)),0,IF(DATE($C916,5,15)&gt;=$X$892,$AA$892*(1+($U$892)/100)^MAX(0,$C916-$AD$892),IF(DATE($C916,5,15)&gt;=$W$892,$Z$892*(1+($U$892)/100)^MAX(0,$C916-$AC$892),IF(DATE($C916,5,15)&gt;=$V$892,$Y$892*(1+($U$892)/100)^MAX(0,$C916-$AB$892),0)))))</f>
      </c>
      <c r="J916" s="43">
        <f>IF($S$892=0,0,IF(OR(DATE($C916,6,15)&lt;$S$892,AND($T$892&gt;0,DATE($C916,6,15)&gt;$T$892)),0,IF(DATE($C916,6,15)&gt;=$X$892,$AA$892*(1+($U$892)/100)^MAX(0,$C916-$AD$892),IF(DATE($C916,6,15)&gt;=$W$892,$Z$892*(1+($U$892)/100)^MAX(0,$C916-$AC$892),IF(DATE($C916,6,15)&gt;=$V$892,$Y$892*(1+($U$892)/100)^MAX(0,$C916-$AB$892),0)))))</f>
      </c>
      <c r="K916" s="43">
        <f>IF($S$892=0,0,IF(OR(DATE($C916,7,15)&lt;$S$892,AND($T$892&gt;0,DATE($C916,7,15)&gt;$T$892)),0,IF(DATE($C916,7,15)&gt;=$X$892,$AA$892*(1+($U$892)/100)^MAX(0,$C916-$AD$892),IF(DATE($C916,7,15)&gt;=$W$892,$Z$892*(1+($U$892)/100)^MAX(0,$C916-$AC$892),IF(DATE($C916,7,15)&gt;=$V$892,$Y$892*(1+($U$892)/100)^MAX(0,$C916-$AB$892),0)))))</f>
      </c>
      <c r="L916" s="43">
        <f>IF($S$892=0,0,IF(OR(DATE($C916,8,15)&lt;$S$892,AND($T$892&gt;0,DATE($C916,8,15)&gt;$T$892)),0,IF(DATE($C916,8,15)&gt;=$X$892,$AA$892*(1+($U$892)/100)^MAX(0,$C916-$AD$892),IF(DATE($C916,8,15)&gt;=$W$892,$Z$892*(1+($U$892)/100)^MAX(0,$C916-$AC$892),IF(DATE($C916,8,15)&gt;=$V$892,$Y$892*(1+($U$892)/100)^MAX(0,$C916-$AB$892),0)))))</f>
      </c>
      <c r="M916" s="43">
        <f>IF($S$892=0,0,IF(OR(DATE($C916,9,15)&lt;$S$892,AND($T$892&gt;0,DATE($C916,9,15)&gt;$T$892)),0,IF(DATE($C916,9,15)&gt;=$X$892,$AA$892*(1+($U$892)/100)^MAX(0,$C916-$AD$892),IF(DATE($C916,9,15)&gt;=$W$892,$Z$892*(1+($U$892)/100)^MAX(0,$C916-$AC$892),IF(DATE($C916,9,15)&gt;=$V$892,$Y$892*(1+($U$892)/100)^MAX(0,$C916-$AB$892),0)))))</f>
      </c>
      <c r="N916" s="43">
        <f>IF($S$892=0,0,IF(OR(DATE($C916,10,15)&lt;$S$892,AND($T$892&gt;0,DATE($C916,10,15)&gt;$T$892)),0,IF(DATE($C916,10,15)&gt;=$X$892,$AA$892*(1+($U$892)/100)^MAX(0,$C916-$AD$892),IF(DATE($C916,10,15)&gt;=$W$892,$Z$892*(1+($U$892)/100)^MAX(0,$C916-$AC$892),IF(DATE($C916,10,15)&gt;=$V$892,$Y$892*(1+($U$892)/100)^MAX(0,$C916-$AB$892),0)))))</f>
      </c>
      <c r="O916" s="43">
        <f>IF($S$892=0,0,IF(OR(DATE($C916,11,15)&lt;$S$892,AND($T$892&gt;0,DATE($C916,11,15)&gt;$T$892)),0,IF(DATE($C916,11,15)&gt;=$X$892,$AA$892*(1+($U$892)/100)^MAX(0,$C916-$AD$892),IF(DATE($C916,11,15)&gt;=$W$892,$Z$892*(1+($U$892)/100)^MAX(0,$C916-$AC$892),IF(DATE($C916,11,15)&gt;=$V$892,$Y$892*(1+($U$892)/100)^MAX(0,$C916-$AB$892),0)))))</f>
      </c>
      <c r="P916" s="43">
        <f>IF($S$892=0,0,IF(OR(DATE($C916,12,15)&lt;$S$892,AND($T$892&gt;0,DATE($C916,12,15)&gt;$T$892)),0,IF(DATE($C916,12,15)&gt;=$X$892,$AA$892*(1+($U$892)/100)^MAX(0,$C916-$AD$892),IF(DATE($C916,12,15)&gt;=$W$892,$Z$892*(1+($U$892)/100)^MAX(0,$C916-$AC$892),IF(DATE($C916,12,15)&gt;=$V$892,$Y$892*(1+($U$892)/100)^MAX(0,$C916-$AB$892),0)))))</f>
      </c>
      <c r="Q916" s="43">
        <f>SUM($E916:$P916)</f>
      </c>
    </row>
    <row r="917">
      <c r="A917"/>
      <c r="B917">
        <v>29</v>
      </c>
      <c r="C917" s="43">
        <f>Jahr+25</f>
      </c>
      <c r="D917" s="43">
        <f>INDEX(MvObj,29)</f>
      </c>
      <c r="E917" s="43">
        <f>IF($S$892=0,0,IF(OR(DATE($C917,1,15)&lt;$S$892,AND($T$892&gt;0,DATE($C917,1,15)&gt;$T$892)),0,IF(DATE($C917,1,15)&gt;=$X$892,$AA$892*(1+($U$892)/100)^MAX(0,$C917-$AD$892),IF(DATE($C917,1,15)&gt;=$W$892,$Z$892*(1+($U$892)/100)^MAX(0,$C917-$AC$892),IF(DATE($C917,1,15)&gt;=$V$892,$Y$892*(1+($U$892)/100)^MAX(0,$C917-$AB$892),0)))))</f>
      </c>
      <c r="F917" s="43">
        <f>IF($S$892=0,0,IF(OR(DATE($C917,2,15)&lt;$S$892,AND($T$892&gt;0,DATE($C917,2,15)&gt;$T$892)),0,IF(DATE($C917,2,15)&gt;=$X$892,$AA$892*(1+($U$892)/100)^MAX(0,$C917-$AD$892),IF(DATE($C917,2,15)&gt;=$W$892,$Z$892*(1+($U$892)/100)^MAX(0,$C917-$AC$892),IF(DATE($C917,2,15)&gt;=$V$892,$Y$892*(1+($U$892)/100)^MAX(0,$C917-$AB$892),0)))))</f>
      </c>
      <c r="G917" s="43">
        <f>IF($S$892=0,0,IF(OR(DATE($C917,3,15)&lt;$S$892,AND($T$892&gt;0,DATE($C917,3,15)&gt;$T$892)),0,IF(DATE($C917,3,15)&gt;=$X$892,$AA$892*(1+($U$892)/100)^MAX(0,$C917-$AD$892),IF(DATE($C917,3,15)&gt;=$W$892,$Z$892*(1+($U$892)/100)^MAX(0,$C917-$AC$892),IF(DATE($C917,3,15)&gt;=$V$892,$Y$892*(1+($U$892)/100)^MAX(0,$C917-$AB$892),0)))))</f>
      </c>
      <c r="H917" s="43">
        <f>IF($S$892=0,0,IF(OR(DATE($C917,4,15)&lt;$S$892,AND($T$892&gt;0,DATE($C917,4,15)&gt;$T$892)),0,IF(DATE($C917,4,15)&gt;=$X$892,$AA$892*(1+($U$892)/100)^MAX(0,$C917-$AD$892),IF(DATE($C917,4,15)&gt;=$W$892,$Z$892*(1+($U$892)/100)^MAX(0,$C917-$AC$892),IF(DATE($C917,4,15)&gt;=$V$892,$Y$892*(1+($U$892)/100)^MAX(0,$C917-$AB$892),0)))))</f>
      </c>
      <c r="I917" s="43">
        <f>IF($S$892=0,0,IF(OR(DATE($C917,5,15)&lt;$S$892,AND($T$892&gt;0,DATE($C917,5,15)&gt;$T$892)),0,IF(DATE($C917,5,15)&gt;=$X$892,$AA$892*(1+($U$892)/100)^MAX(0,$C917-$AD$892),IF(DATE($C917,5,15)&gt;=$W$892,$Z$892*(1+($U$892)/100)^MAX(0,$C917-$AC$892),IF(DATE($C917,5,15)&gt;=$V$892,$Y$892*(1+($U$892)/100)^MAX(0,$C917-$AB$892),0)))))</f>
      </c>
      <c r="J917" s="43">
        <f>IF($S$892=0,0,IF(OR(DATE($C917,6,15)&lt;$S$892,AND($T$892&gt;0,DATE($C917,6,15)&gt;$T$892)),0,IF(DATE($C917,6,15)&gt;=$X$892,$AA$892*(1+($U$892)/100)^MAX(0,$C917-$AD$892),IF(DATE($C917,6,15)&gt;=$W$892,$Z$892*(1+($U$892)/100)^MAX(0,$C917-$AC$892),IF(DATE($C917,6,15)&gt;=$V$892,$Y$892*(1+($U$892)/100)^MAX(0,$C917-$AB$892),0)))))</f>
      </c>
      <c r="K917" s="43">
        <f>IF($S$892=0,0,IF(OR(DATE($C917,7,15)&lt;$S$892,AND($T$892&gt;0,DATE($C917,7,15)&gt;$T$892)),0,IF(DATE($C917,7,15)&gt;=$X$892,$AA$892*(1+($U$892)/100)^MAX(0,$C917-$AD$892),IF(DATE($C917,7,15)&gt;=$W$892,$Z$892*(1+($U$892)/100)^MAX(0,$C917-$AC$892),IF(DATE($C917,7,15)&gt;=$V$892,$Y$892*(1+($U$892)/100)^MAX(0,$C917-$AB$892),0)))))</f>
      </c>
      <c r="L917" s="43">
        <f>IF($S$892=0,0,IF(OR(DATE($C917,8,15)&lt;$S$892,AND($T$892&gt;0,DATE($C917,8,15)&gt;$T$892)),0,IF(DATE($C917,8,15)&gt;=$X$892,$AA$892*(1+($U$892)/100)^MAX(0,$C917-$AD$892),IF(DATE($C917,8,15)&gt;=$W$892,$Z$892*(1+($U$892)/100)^MAX(0,$C917-$AC$892),IF(DATE($C917,8,15)&gt;=$V$892,$Y$892*(1+($U$892)/100)^MAX(0,$C917-$AB$892),0)))))</f>
      </c>
      <c r="M917" s="43">
        <f>IF($S$892=0,0,IF(OR(DATE($C917,9,15)&lt;$S$892,AND($T$892&gt;0,DATE($C917,9,15)&gt;$T$892)),0,IF(DATE($C917,9,15)&gt;=$X$892,$AA$892*(1+($U$892)/100)^MAX(0,$C917-$AD$892),IF(DATE($C917,9,15)&gt;=$W$892,$Z$892*(1+($U$892)/100)^MAX(0,$C917-$AC$892),IF(DATE($C917,9,15)&gt;=$V$892,$Y$892*(1+($U$892)/100)^MAX(0,$C917-$AB$892),0)))))</f>
      </c>
      <c r="N917" s="43">
        <f>IF($S$892=0,0,IF(OR(DATE($C917,10,15)&lt;$S$892,AND($T$892&gt;0,DATE($C917,10,15)&gt;$T$892)),0,IF(DATE($C917,10,15)&gt;=$X$892,$AA$892*(1+($U$892)/100)^MAX(0,$C917-$AD$892),IF(DATE($C917,10,15)&gt;=$W$892,$Z$892*(1+($U$892)/100)^MAX(0,$C917-$AC$892),IF(DATE($C917,10,15)&gt;=$V$892,$Y$892*(1+($U$892)/100)^MAX(0,$C917-$AB$892),0)))))</f>
      </c>
      <c r="O917" s="43">
        <f>IF($S$892=0,0,IF(OR(DATE($C917,11,15)&lt;$S$892,AND($T$892&gt;0,DATE($C917,11,15)&gt;$T$892)),0,IF(DATE($C917,11,15)&gt;=$X$892,$AA$892*(1+($U$892)/100)^MAX(0,$C917-$AD$892),IF(DATE($C917,11,15)&gt;=$W$892,$Z$892*(1+($U$892)/100)^MAX(0,$C917-$AC$892),IF(DATE($C917,11,15)&gt;=$V$892,$Y$892*(1+($U$892)/100)^MAX(0,$C917-$AB$892),0)))))</f>
      </c>
      <c r="P917" s="43">
        <f>IF($S$892=0,0,IF(OR(DATE($C917,12,15)&lt;$S$892,AND($T$892&gt;0,DATE($C917,12,15)&gt;$T$892)),0,IF(DATE($C917,12,15)&gt;=$X$892,$AA$892*(1+($U$892)/100)^MAX(0,$C917-$AD$892),IF(DATE($C917,12,15)&gt;=$W$892,$Z$892*(1+($U$892)/100)^MAX(0,$C917-$AC$892),IF(DATE($C917,12,15)&gt;=$V$892,$Y$892*(1+($U$892)/100)^MAX(0,$C917-$AB$892),0)))))</f>
      </c>
      <c r="Q917" s="43">
        <f>SUM($E917:$P917)</f>
      </c>
    </row>
    <row r="918">
      <c r="A918"/>
      <c r="B918">
        <v>29</v>
      </c>
      <c r="C918" s="43">
        <f>Jahr+26</f>
      </c>
      <c r="D918" s="43">
        <f>INDEX(MvObj,29)</f>
      </c>
      <c r="E918" s="43">
        <f>IF($S$892=0,0,IF(OR(DATE($C918,1,15)&lt;$S$892,AND($T$892&gt;0,DATE($C918,1,15)&gt;$T$892)),0,IF(DATE($C918,1,15)&gt;=$X$892,$AA$892*(1+($U$892)/100)^MAX(0,$C918-$AD$892),IF(DATE($C918,1,15)&gt;=$W$892,$Z$892*(1+($U$892)/100)^MAX(0,$C918-$AC$892),IF(DATE($C918,1,15)&gt;=$V$892,$Y$892*(1+($U$892)/100)^MAX(0,$C918-$AB$892),0)))))</f>
      </c>
      <c r="F918" s="43">
        <f>IF($S$892=0,0,IF(OR(DATE($C918,2,15)&lt;$S$892,AND($T$892&gt;0,DATE($C918,2,15)&gt;$T$892)),0,IF(DATE($C918,2,15)&gt;=$X$892,$AA$892*(1+($U$892)/100)^MAX(0,$C918-$AD$892),IF(DATE($C918,2,15)&gt;=$W$892,$Z$892*(1+($U$892)/100)^MAX(0,$C918-$AC$892),IF(DATE($C918,2,15)&gt;=$V$892,$Y$892*(1+($U$892)/100)^MAX(0,$C918-$AB$892),0)))))</f>
      </c>
      <c r="G918" s="43">
        <f>IF($S$892=0,0,IF(OR(DATE($C918,3,15)&lt;$S$892,AND($T$892&gt;0,DATE($C918,3,15)&gt;$T$892)),0,IF(DATE($C918,3,15)&gt;=$X$892,$AA$892*(1+($U$892)/100)^MAX(0,$C918-$AD$892),IF(DATE($C918,3,15)&gt;=$W$892,$Z$892*(1+($U$892)/100)^MAX(0,$C918-$AC$892),IF(DATE($C918,3,15)&gt;=$V$892,$Y$892*(1+($U$892)/100)^MAX(0,$C918-$AB$892),0)))))</f>
      </c>
      <c r="H918" s="43">
        <f>IF($S$892=0,0,IF(OR(DATE($C918,4,15)&lt;$S$892,AND($T$892&gt;0,DATE($C918,4,15)&gt;$T$892)),0,IF(DATE($C918,4,15)&gt;=$X$892,$AA$892*(1+($U$892)/100)^MAX(0,$C918-$AD$892),IF(DATE($C918,4,15)&gt;=$W$892,$Z$892*(1+($U$892)/100)^MAX(0,$C918-$AC$892),IF(DATE($C918,4,15)&gt;=$V$892,$Y$892*(1+($U$892)/100)^MAX(0,$C918-$AB$892),0)))))</f>
      </c>
      <c r="I918" s="43">
        <f>IF($S$892=0,0,IF(OR(DATE($C918,5,15)&lt;$S$892,AND($T$892&gt;0,DATE($C918,5,15)&gt;$T$892)),0,IF(DATE($C918,5,15)&gt;=$X$892,$AA$892*(1+($U$892)/100)^MAX(0,$C918-$AD$892),IF(DATE($C918,5,15)&gt;=$W$892,$Z$892*(1+($U$892)/100)^MAX(0,$C918-$AC$892),IF(DATE($C918,5,15)&gt;=$V$892,$Y$892*(1+($U$892)/100)^MAX(0,$C918-$AB$892),0)))))</f>
      </c>
      <c r="J918" s="43">
        <f>IF($S$892=0,0,IF(OR(DATE($C918,6,15)&lt;$S$892,AND($T$892&gt;0,DATE($C918,6,15)&gt;$T$892)),0,IF(DATE($C918,6,15)&gt;=$X$892,$AA$892*(1+($U$892)/100)^MAX(0,$C918-$AD$892),IF(DATE($C918,6,15)&gt;=$W$892,$Z$892*(1+($U$892)/100)^MAX(0,$C918-$AC$892),IF(DATE($C918,6,15)&gt;=$V$892,$Y$892*(1+($U$892)/100)^MAX(0,$C918-$AB$892),0)))))</f>
      </c>
      <c r="K918" s="43">
        <f>IF($S$892=0,0,IF(OR(DATE($C918,7,15)&lt;$S$892,AND($T$892&gt;0,DATE($C918,7,15)&gt;$T$892)),0,IF(DATE($C918,7,15)&gt;=$X$892,$AA$892*(1+($U$892)/100)^MAX(0,$C918-$AD$892),IF(DATE($C918,7,15)&gt;=$W$892,$Z$892*(1+($U$892)/100)^MAX(0,$C918-$AC$892),IF(DATE($C918,7,15)&gt;=$V$892,$Y$892*(1+($U$892)/100)^MAX(0,$C918-$AB$892),0)))))</f>
      </c>
      <c r="L918" s="43">
        <f>IF($S$892=0,0,IF(OR(DATE($C918,8,15)&lt;$S$892,AND($T$892&gt;0,DATE($C918,8,15)&gt;$T$892)),0,IF(DATE($C918,8,15)&gt;=$X$892,$AA$892*(1+($U$892)/100)^MAX(0,$C918-$AD$892),IF(DATE($C918,8,15)&gt;=$W$892,$Z$892*(1+($U$892)/100)^MAX(0,$C918-$AC$892),IF(DATE($C918,8,15)&gt;=$V$892,$Y$892*(1+($U$892)/100)^MAX(0,$C918-$AB$892),0)))))</f>
      </c>
      <c r="M918" s="43">
        <f>IF($S$892=0,0,IF(OR(DATE($C918,9,15)&lt;$S$892,AND($T$892&gt;0,DATE($C918,9,15)&gt;$T$892)),0,IF(DATE($C918,9,15)&gt;=$X$892,$AA$892*(1+($U$892)/100)^MAX(0,$C918-$AD$892),IF(DATE($C918,9,15)&gt;=$W$892,$Z$892*(1+($U$892)/100)^MAX(0,$C918-$AC$892),IF(DATE($C918,9,15)&gt;=$V$892,$Y$892*(1+($U$892)/100)^MAX(0,$C918-$AB$892),0)))))</f>
      </c>
      <c r="N918" s="43">
        <f>IF($S$892=0,0,IF(OR(DATE($C918,10,15)&lt;$S$892,AND($T$892&gt;0,DATE($C918,10,15)&gt;$T$892)),0,IF(DATE($C918,10,15)&gt;=$X$892,$AA$892*(1+($U$892)/100)^MAX(0,$C918-$AD$892),IF(DATE($C918,10,15)&gt;=$W$892,$Z$892*(1+($U$892)/100)^MAX(0,$C918-$AC$892),IF(DATE($C918,10,15)&gt;=$V$892,$Y$892*(1+($U$892)/100)^MAX(0,$C918-$AB$892),0)))))</f>
      </c>
      <c r="O918" s="43">
        <f>IF($S$892=0,0,IF(OR(DATE($C918,11,15)&lt;$S$892,AND($T$892&gt;0,DATE($C918,11,15)&gt;$T$892)),0,IF(DATE($C918,11,15)&gt;=$X$892,$AA$892*(1+($U$892)/100)^MAX(0,$C918-$AD$892),IF(DATE($C918,11,15)&gt;=$W$892,$Z$892*(1+($U$892)/100)^MAX(0,$C918-$AC$892),IF(DATE($C918,11,15)&gt;=$V$892,$Y$892*(1+($U$892)/100)^MAX(0,$C918-$AB$892),0)))))</f>
      </c>
      <c r="P918" s="43">
        <f>IF($S$892=0,0,IF(OR(DATE($C918,12,15)&lt;$S$892,AND($T$892&gt;0,DATE($C918,12,15)&gt;$T$892)),0,IF(DATE($C918,12,15)&gt;=$X$892,$AA$892*(1+($U$892)/100)^MAX(0,$C918-$AD$892),IF(DATE($C918,12,15)&gt;=$W$892,$Z$892*(1+($U$892)/100)^MAX(0,$C918-$AC$892),IF(DATE($C918,12,15)&gt;=$V$892,$Y$892*(1+($U$892)/100)^MAX(0,$C918-$AB$892),0)))))</f>
      </c>
      <c r="Q918" s="43">
        <f>SUM($E918:$P918)</f>
      </c>
    </row>
    <row r="919">
      <c r="A919"/>
      <c r="B919">
        <v>29</v>
      </c>
      <c r="C919" s="43">
        <f>Jahr+27</f>
      </c>
      <c r="D919" s="43">
        <f>INDEX(MvObj,29)</f>
      </c>
      <c r="E919" s="43">
        <f>IF($S$892=0,0,IF(OR(DATE($C919,1,15)&lt;$S$892,AND($T$892&gt;0,DATE($C919,1,15)&gt;$T$892)),0,IF(DATE($C919,1,15)&gt;=$X$892,$AA$892*(1+($U$892)/100)^MAX(0,$C919-$AD$892),IF(DATE($C919,1,15)&gt;=$W$892,$Z$892*(1+($U$892)/100)^MAX(0,$C919-$AC$892),IF(DATE($C919,1,15)&gt;=$V$892,$Y$892*(1+($U$892)/100)^MAX(0,$C919-$AB$892),0)))))</f>
      </c>
      <c r="F919" s="43">
        <f>IF($S$892=0,0,IF(OR(DATE($C919,2,15)&lt;$S$892,AND($T$892&gt;0,DATE($C919,2,15)&gt;$T$892)),0,IF(DATE($C919,2,15)&gt;=$X$892,$AA$892*(1+($U$892)/100)^MAX(0,$C919-$AD$892),IF(DATE($C919,2,15)&gt;=$W$892,$Z$892*(1+($U$892)/100)^MAX(0,$C919-$AC$892),IF(DATE($C919,2,15)&gt;=$V$892,$Y$892*(1+($U$892)/100)^MAX(0,$C919-$AB$892),0)))))</f>
      </c>
      <c r="G919" s="43">
        <f>IF($S$892=0,0,IF(OR(DATE($C919,3,15)&lt;$S$892,AND($T$892&gt;0,DATE($C919,3,15)&gt;$T$892)),0,IF(DATE($C919,3,15)&gt;=$X$892,$AA$892*(1+($U$892)/100)^MAX(0,$C919-$AD$892),IF(DATE($C919,3,15)&gt;=$W$892,$Z$892*(1+($U$892)/100)^MAX(0,$C919-$AC$892),IF(DATE($C919,3,15)&gt;=$V$892,$Y$892*(1+($U$892)/100)^MAX(0,$C919-$AB$892),0)))))</f>
      </c>
      <c r="H919" s="43">
        <f>IF($S$892=0,0,IF(OR(DATE($C919,4,15)&lt;$S$892,AND($T$892&gt;0,DATE($C919,4,15)&gt;$T$892)),0,IF(DATE($C919,4,15)&gt;=$X$892,$AA$892*(1+($U$892)/100)^MAX(0,$C919-$AD$892),IF(DATE($C919,4,15)&gt;=$W$892,$Z$892*(1+($U$892)/100)^MAX(0,$C919-$AC$892),IF(DATE($C919,4,15)&gt;=$V$892,$Y$892*(1+($U$892)/100)^MAX(0,$C919-$AB$892),0)))))</f>
      </c>
      <c r="I919" s="43">
        <f>IF($S$892=0,0,IF(OR(DATE($C919,5,15)&lt;$S$892,AND($T$892&gt;0,DATE($C919,5,15)&gt;$T$892)),0,IF(DATE($C919,5,15)&gt;=$X$892,$AA$892*(1+($U$892)/100)^MAX(0,$C919-$AD$892),IF(DATE($C919,5,15)&gt;=$W$892,$Z$892*(1+($U$892)/100)^MAX(0,$C919-$AC$892),IF(DATE($C919,5,15)&gt;=$V$892,$Y$892*(1+($U$892)/100)^MAX(0,$C919-$AB$892),0)))))</f>
      </c>
      <c r="J919" s="43">
        <f>IF($S$892=0,0,IF(OR(DATE($C919,6,15)&lt;$S$892,AND($T$892&gt;0,DATE($C919,6,15)&gt;$T$892)),0,IF(DATE($C919,6,15)&gt;=$X$892,$AA$892*(1+($U$892)/100)^MAX(0,$C919-$AD$892),IF(DATE($C919,6,15)&gt;=$W$892,$Z$892*(1+($U$892)/100)^MAX(0,$C919-$AC$892),IF(DATE($C919,6,15)&gt;=$V$892,$Y$892*(1+($U$892)/100)^MAX(0,$C919-$AB$892),0)))))</f>
      </c>
      <c r="K919" s="43">
        <f>IF($S$892=0,0,IF(OR(DATE($C919,7,15)&lt;$S$892,AND($T$892&gt;0,DATE($C919,7,15)&gt;$T$892)),0,IF(DATE($C919,7,15)&gt;=$X$892,$AA$892*(1+($U$892)/100)^MAX(0,$C919-$AD$892),IF(DATE($C919,7,15)&gt;=$W$892,$Z$892*(1+($U$892)/100)^MAX(0,$C919-$AC$892),IF(DATE($C919,7,15)&gt;=$V$892,$Y$892*(1+($U$892)/100)^MAX(0,$C919-$AB$892),0)))))</f>
      </c>
      <c r="L919" s="43">
        <f>IF($S$892=0,0,IF(OR(DATE($C919,8,15)&lt;$S$892,AND($T$892&gt;0,DATE($C919,8,15)&gt;$T$892)),0,IF(DATE($C919,8,15)&gt;=$X$892,$AA$892*(1+($U$892)/100)^MAX(0,$C919-$AD$892),IF(DATE($C919,8,15)&gt;=$W$892,$Z$892*(1+($U$892)/100)^MAX(0,$C919-$AC$892),IF(DATE($C919,8,15)&gt;=$V$892,$Y$892*(1+($U$892)/100)^MAX(0,$C919-$AB$892),0)))))</f>
      </c>
      <c r="M919" s="43">
        <f>IF($S$892=0,0,IF(OR(DATE($C919,9,15)&lt;$S$892,AND($T$892&gt;0,DATE($C919,9,15)&gt;$T$892)),0,IF(DATE($C919,9,15)&gt;=$X$892,$AA$892*(1+($U$892)/100)^MAX(0,$C919-$AD$892),IF(DATE($C919,9,15)&gt;=$W$892,$Z$892*(1+($U$892)/100)^MAX(0,$C919-$AC$892),IF(DATE($C919,9,15)&gt;=$V$892,$Y$892*(1+($U$892)/100)^MAX(0,$C919-$AB$892),0)))))</f>
      </c>
      <c r="N919" s="43">
        <f>IF($S$892=0,0,IF(OR(DATE($C919,10,15)&lt;$S$892,AND($T$892&gt;0,DATE($C919,10,15)&gt;$T$892)),0,IF(DATE($C919,10,15)&gt;=$X$892,$AA$892*(1+($U$892)/100)^MAX(0,$C919-$AD$892),IF(DATE($C919,10,15)&gt;=$W$892,$Z$892*(1+($U$892)/100)^MAX(0,$C919-$AC$892),IF(DATE($C919,10,15)&gt;=$V$892,$Y$892*(1+($U$892)/100)^MAX(0,$C919-$AB$892),0)))))</f>
      </c>
      <c r="O919" s="43">
        <f>IF($S$892=0,0,IF(OR(DATE($C919,11,15)&lt;$S$892,AND($T$892&gt;0,DATE($C919,11,15)&gt;$T$892)),0,IF(DATE($C919,11,15)&gt;=$X$892,$AA$892*(1+($U$892)/100)^MAX(0,$C919-$AD$892),IF(DATE($C919,11,15)&gt;=$W$892,$Z$892*(1+($U$892)/100)^MAX(0,$C919-$AC$892),IF(DATE($C919,11,15)&gt;=$V$892,$Y$892*(1+($U$892)/100)^MAX(0,$C919-$AB$892),0)))))</f>
      </c>
      <c r="P919" s="43">
        <f>IF($S$892=0,0,IF(OR(DATE($C919,12,15)&lt;$S$892,AND($T$892&gt;0,DATE($C919,12,15)&gt;$T$892)),0,IF(DATE($C919,12,15)&gt;=$X$892,$AA$892*(1+($U$892)/100)^MAX(0,$C919-$AD$892),IF(DATE($C919,12,15)&gt;=$W$892,$Z$892*(1+($U$892)/100)^MAX(0,$C919-$AC$892),IF(DATE($C919,12,15)&gt;=$V$892,$Y$892*(1+($U$892)/100)^MAX(0,$C919-$AB$892),0)))))</f>
      </c>
      <c r="Q919" s="43">
        <f>SUM($E919:$P919)</f>
      </c>
    </row>
    <row r="920">
      <c r="A920"/>
      <c r="B920">
        <v>29</v>
      </c>
      <c r="C920" s="43">
        <f>Jahr+28</f>
      </c>
      <c r="D920" s="43">
        <f>INDEX(MvObj,29)</f>
      </c>
      <c r="E920" s="43">
        <f>IF($S$892=0,0,IF(OR(DATE($C920,1,15)&lt;$S$892,AND($T$892&gt;0,DATE($C920,1,15)&gt;$T$892)),0,IF(DATE($C920,1,15)&gt;=$X$892,$AA$892*(1+($U$892)/100)^MAX(0,$C920-$AD$892),IF(DATE($C920,1,15)&gt;=$W$892,$Z$892*(1+($U$892)/100)^MAX(0,$C920-$AC$892),IF(DATE($C920,1,15)&gt;=$V$892,$Y$892*(1+($U$892)/100)^MAX(0,$C920-$AB$892),0)))))</f>
      </c>
      <c r="F920" s="43">
        <f>IF($S$892=0,0,IF(OR(DATE($C920,2,15)&lt;$S$892,AND($T$892&gt;0,DATE($C920,2,15)&gt;$T$892)),0,IF(DATE($C920,2,15)&gt;=$X$892,$AA$892*(1+($U$892)/100)^MAX(0,$C920-$AD$892),IF(DATE($C920,2,15)&gt;=$W$892,$Z$892*(1+($U$892)/100)^MAX(0,$C920-$AC$892),IF(DATE($C920,2,15)&gt;=$V$892,$Y$892*(1+($U$892)/100)^MAX(0,$C920-$AB$892),0)))))</f>
      </c>
      <c r="G920" s="43">
        <f>IF($S$892=0,0,IF(OR(DATE($C920,3,15)&lt;$S$892,AND($T$892&gt;0,DATE($C920,3,15)&gt;$T$892)),0,IF(DATE($C920,3,15)&gt;=$X$892,$AA$892*(1+($U$892)/100)^MAX(0,$C920-$AD$892),IF(DATE($C920,3,15)&gt;=$W$892,$Z$892*(1+($U$892)/100)^MAX(0,$C920-$AC$892),IF(DATE($C920,3,15)&gt;=$V$892,$Y$892*(1+($U$892)/100)^MAX(0,$C920-$AB$892),0)))))</f>
      </c>
      <c r="H920" s="43">
        <f>IF($S$892=0,0,IF(OR(DATE($C920,4,15)&lt;$S$892,AND($T$892&gt;0,DATE($C920,4,15)&gt;$T$892)),0,IF(DATE($C920,4,15)&gt;=$X$892,$AA$892*(1+($U$892)/100)^MAX(0,$C920-$AD$892),IF(DATE($C920,4,15)&gt;=$W$892,$Z$892*(1+($U$892)/100)^MAX(0,$C920-$AC$892),IF(DATE($C920,4,15)&gt;=$V$892,$Y$892*(1+($U$892)/100)^MAX(0,$C920-$AB$892),0)))))</f>
      </c>
      <c r="I920" s="43">
        <f>IF($S$892=0,0,IF(OR(DATE($C920,5,15)&lt;$S$892,AND($T$892&gt;0,DATE($C920,5,15)&gt;$T$892)),0,IF(DATE($C920,5,15)&gt;=$X$892,$AA$892*(1+($U$892)/100)^MAX(0,$C920-$AD$892),IF(DATE($C920,5,15)&gt;=$W$892,$Z$892*(1+($U$892)/100)^MAX(0,$C920-$AC$892),IF(DATE($C920,5,15)&gt;=$V$892,$Y$892*(1+($U$892)/100)^MAX(0,$C920-$AB$892),0)))))</f>
      </c>
      <c r="J920" s="43">
        <f>IF($S$892=0,0,IF(OR(DATE($C920,6,15)&lt;$S$892,AND($T$892&gt;0,DATE($C920,6,15)&gt;$T$892)),0,IF(DATE($C920,6,15)&gt;=$X$892,$AA$892*(1+($U$892)/100)^MAX(0,$C920-$AD$892),IF(DATE($C920,6,15)&gt;=$W$892,$Z$892*(1+($U$892)/100)^MAX(0,$C920-$AC$892),IF(DATE($C920,6,15)&gt;=$V$892,$Y$892*(1+($U$892)/100)^MAX(0,$C920-$AB$892),0)))))</f>
      </c>
      <c r="K920" s="43">
        <f>IF($S$892=0,0,IF(OR(DATE($C920,7,15)&lt;$S$892,AND($T$892&gt;0,DATE($C920,7,15)&gt;$T$892)),0,IF(DATE($C920,7,15)&gt;=$X$892,$AA$892*(1+($U$892)/100)^MAX(0,$C920-$AD$892),IF(DATE($C920,7,15)&gt;=$W$892,$Z$892*(1+($U$892)/100)^MAX(0,$C920-$AC$892),IF(DATE($C920,7,15)&gt;=$V$892,$Y$892*(1+($U$892)/100)^MAX(0,$C920-$AB$892),0)))))</f>
      </c>
      <c r="L920" s="43">
        <f>IF($S$892=0,0,IF(OR(DATE($C920,8,15)&lt;$S$892,AND($T$892&gt;0,DATE($C920,8,15)&gt;$T$892)),0,IF(DATE($C920,8,15)&gt;=$X$892,$AA$892*(1+($U$892)/100)^MAX(0,$C920-$AD$892),IF(DATE($C920,8,15)&gt;=$W$892,$Z$892*(1+($U$892)/100)^MAX(0,$C920-$AC$892),IF(DATE($C920,8,15)&gt;=$V$892,$Y$892*(1+($U$892)/100)^MAX(0,$C920-$AB$892),0)))))</f>
      </c>
      <c r="M920" s="43">
        <f>IF($S$892=0,0,IF(OR(DATE($C920,9,15)&lt;$S$892,AND($T$892&gt;0,DATE($C920,9,15)&gt;$T$892)),0,IF(DATE($C920,9,15)&gt;=$X$892,$AA$892*(1+($U$892)/100)^MAX(0,$C920-$AD$892),IF(DATE($C920,9,15)&gt;=$W$892,$Z$892*(1+($U$892)/100)^MAX(0,$C920-$AC$892),IF(DATE($C920,9,15)&gt;=$V$892,$Y$892*(1+($U$892)/100)^MAX(0,$C920-$AB$892),0)))))</f>
      </c>
      <c r="N920" s="43">
        <f>IF($S$892=0,0,IF(OR(DATE($C920,10,15)&lt;$S$892,AND($T$892&gt;0,DATE($C920,10,15)&gt;$T$892)),0,IF(DATE($C920,10,15)&gt;=$X$892,$AA$892*(1+($U$892)/100)^MAX(0,$C920-$AD$892),IF(DATE($C920,10,15)&gt;=$W$892,$Z$892*(1+($U$892)/100)^MAX(0,$C920-$AC$892),IF(DATE($C920,10,15)&gt;=$V$892,$Y$892*(1+($U$892)/100)^MAX(0,$C920-$AB$892),0)))))</f>
      </c>
      <c r="O920" s="43">
        <f>IF($S$892=0,0,IF(OR(DATE($C920,11,15)&lt;$S$892,AND($T$892&gt;0,DATE($C920,11,15)&gt;$T$892)),0,IF(DATE($C920,11,15)&gt;=$X$892,$AA$892*(1+($U$892)/100)^MAX(0,$C920-$AD$892),IF(DATE($C920,11,15)&gt;=$W$892,$Z$892*(1+($U$892)/100)^MAX(0,$C920-$AC$892),IF(DATE($C920,11,15)&gt;=$V$892,$Y$892*(1+($U$892)/100)^MAX(0,$C920-$AB$892),0)))))</f>
      </c>
      <c r="P920" s="43">
        <f>IF($S$892=0,0,IF(OR(DATE($C920,12,15)&lt;$S$892,AND($T$892&gt;0,DATE($C920,12,15)&gt;$T$892)),0,IF(DATE($C920,12,15)&gt;=$X$892,$AA$892*(1+($U$892)/100)^MAX(0,$C920-$AD$892),IF(DATE($C920,12,15)&gt;=$W$892,$Z$892*(1+($U$892)/100)^MAX(0,$C920-$AC$892),IF(DATE($C920,12,15)&gt;=$V$892,$Y$892*(1+($U$892)/100)^MAX(0,$C920-$AB$892),0)))))</f>
      </c>
      <c r="Q920" s="43">
        <f>SUM($E920:$P920)</f>
      </c>
    </row>
    <row r="921">
      <c r="A921"/>
      <c r="B921">
        <v>29</v>
      </c>
      <c r="C921" s="43">
        <f>Jahr+29</f>
      </c>
      <c r="D921" s="43">
        <f>INDEX(MvObj,29)</f>
      </c>
      <c r="E921" s="43">
        <f>IF($S$892=0,0,IF(OR(DATE($C921,1,15)&lt;$S$892,AND($T$892&gt;0,DATE($C921,1,15)&gt;$T$892)),0,IF(DATE($C921,1,15)&gt;=$X$892,$AA$892*(1+($U$892)/100)^MAX(0,$C921-$AD$892),IF(DATE($C921,1,15)&gt;=$W$892,$Z$892*(1+($U$892)/100)^MAX(0,$C921-$AC$892),IF(DATE($C921,1,15)&gt;=$V$892,$Y$892*(1+($U$892)/100)^MAX(0,$C921-$AB$892),0)))))</f>
      </c>
      <c r="F921" s="43">
        <f>IF($S$892=0,0,IF(OR(DATE($C921,2,15)&lt;$S$892,AND($T$892&gt;0,DATE($C921,2,15)&gt;$T$892)),0,IF(DATE($C921,2,15)&gt;=$X$892,$AA$892*(1+($U$892)/100)^MAX(0,$C921-$AD$892),IF(DATE($C921,2,15)&gt;=$W$892,$Z$892*(1+($U$892)/100)^MAX(0,$C921-$AC$892),IF(DATE($C921,2,15)&gt;=$V$892,$Y$892*(1+($U$892)/100)^MAX(0,$C921-$AB$892),0)))))</f>
      </c>
      <c r="G921" s="43">
        <f>IF($S$892=0,0,IF(OR(DATE($C921,3,15)&lt;$S$892,AND($T$892&gt;0,DATE($C921,3,15)&gt;$T$892)),0,IF(DATE($C921,3,15)&gt;=$X$892,$AA$892*(1+($U$892)/100)^MAX(0,$C921-$AD$892),IF(DATE($C921,3,15)&gt;=$W$892,$Z$892*(1+($U$892)/100)^MAX(0,$C921-$AC$892),IF(DATE($C921,3,15)&gt;=$V$892,$Y$892*(1+($U$892)/100)^MAX(0,$C921-$AB$892),0)))))</f>
      </c>
      <c r="H921" s="43">
        <f>IF($S$892=0,0,IF(OR(DATE($C921,4,15)&lt;$S$892,AND($T$892&gt;0,DATE($C921,4,15)&gt;$T$892)),0,IF(DATE($C921,4,15)&gt;=$X$892,$AA$892*(1+($U$892)/100)^MAX(0,$C921-$AD$892),IF(DATE($C921,4,15)&gt;=$W$892,$Z$892*(1+($U$892)/100)^MAX(0,$C921-$AC$892),IF(DATE($C921,4,15)&gt;=$V$892,$Y$892*(1+($U$892)/100)^MAX(0,$C921-$AB$892),0)))))</f>
      </c>
      <c r="I921" s="43">
        <f>IF($S$892=0,0,IF(OR(DATE($C921,5,15)&lt;$S$892,AND($T$892&gt;0,DATE($C921,5,15)&gt;$T$892)),0,IF(DATE($C921,5,15)&gt;=$X$892,$AA$892*(1+($U$892)/100)^MAX(0,$C921-$AD$892),IF(DATE($C921,5,15)&gt;=$W$892,$Z$892*(1+($U$892)/100)^MAX(0,$C921-$AC$892),IF(DATE($C921,5,15)&gt;=$V$892,$Y$892*(1+($U$892)/100)^MAX(0,$C921-$AB$892),0)))))</f>
      </c>
      <c r="J921" s="43">
        <f>IF($S$892=0,0,IF(OR(DATE($C921,6,15)&lt;$S$892,AND($T$892&gt;0,DATE($C921,6,15)&gt;$T$892)),0,IF(DATE($C921,6,15)&gt;=$X$892,$AA$892*(1+($U$892)/100)^MAX(0,$C921-$AD$892),IF(DATE($C921,6,15)&gt;=$W$892,$Z$892*(1+($U$892)/100)^MAX(0,$C921-$AC$892),IF(DATE($C921,6,15)&gt;=$V$892,$Y$892*(1+($U$892)/100)^MAX(0,$C921-$AB$892),0)))))</f>
      </c>
      <c r="K921" s="43">
        <f>IF($S$892=0,0,IF(OR(DATE($C921,7,15)&lt;$S$892,AND($T$892&gt;0,DATE($C921,7,15)&gt;$T$892)),0,IF(DATE($C921,7,15)&gt;=$X$892,$AA$892*(1+($U$892)/100)^MAX(0,$C921-$AD$892),IF(DATE($C921,7,15)&gt;=$W$892,$Z$892*(1+($U$892)/100)^MAX(0,$C921-$AC$892),IF(DATE($C921,7,15)&gt;=$V$892,$Y$892*(1+($U$892)/100)^MAX(0,$C921-$AB$892),0)))))</f>
      </c>
      <c r="L921" s="43">
        <f>IF($S$892=0,0,IF(OR(DATE($C921,8,15)&lt;$S$892,AND($T$892&gt;0,DATE($C921,8,15)&gt;$T$892)),0,IF(DATE($C921,8,15)&gt;=$X$892,$AA$892*(1+($U$892)/100)^MAX(0,$C921-$AD$892),IF(DATE($C921,8,15)&gt;=$W$892,$Z$892*(1+($U$892)/100)^MAX(0,$C921-$AC$892),IF(DATE($C921,8,15)&gt;=$V$892,$Y$892*(1+($U$892)/100)^MAX(0,$C921-$AB$892),0)))))</f>
      </c>
      <c r="M921" s="43">
        <f>IF($S$892=0,0,IF(OR(DATE($C921,9,15)&lt;$S$892,AND($T$892&gt;0,DATE($C921,9,15)&gt;$T$892)),0,IF(DATE($C921,9,15)&gt;=$X$892,$AA$892*(1+($U$892)/100)^MAX(0,$C921-$AD$892),IF(DATE($C921,9,15)&gt;=$W$892,$Z$892*(1+($U$892)/100)^MAX(0,$C921-$AC$892),IF(DATE($C921,9,15)&gt;=$V$892,$Y$892*(1+($U$892)/100)^MAX(0,$C921-$AB$892),0)))))</f>
      </c>
      <c r="N921" s="43">
        <f>IF($S$892=0,0,IF(OR(DATE($C921,10,15)&lt;$S$892,AND($T$892&gt;0,DATE($C921,10,15)&gt;$T$892)),0,IF(DATE($C921,10,15)&gt;=$X$892,$AA$892*(1+($U$892)/100)^MAX(0,$C921-$AD$892),IF(DATE($C921,10,15)&gt;=$W$892,$Z$892*(1+($U$892)/100)^MAX(0,$C921-$AC$892),IF(DATE($C921,10,15)&gt;=$V$892,$Y$892*(1+($U$892)/100)^MAX(0,$C921-$AB$892),0)))))</f>
      </c>
      <c r="O921" s="43">
        <f>IF($S$892=0,0,IF(OR(DATE($C921,11,15)&lt;$S$892,AND($T$892&gt;0,DATE($C921,11,15)&gt;$T$892)),0,IF(DATE($C921,11,15)&gt;=$X$892,$AA$892*(1+($U$892)/100)^MAX(0,$C921-$AD$892),IF(DATE($C921,11,15)&gt;=$W$892,$Z$892*(1+($U$892)/100)^MAX(0,$C921-$AC$892),IF(DATE($C921,11,15)&gt;=$V$892,$Y$892*(1+($U$892)/100)^MAX(0,$C921-$AB$892),0)))))</f>
      </c>
      <c r="P921" s="43">
        <f>IF($S$892=0,0,IF(OR(DATE($C921,12,15)&lt;$S$892,AND($T$892&gt;0,DATE($C921,12,15)&gt;$T$892)),0,IF(DATE($C921,12,15)&gt;=$X$892,$AA$892*(1+($U$892)/100)^MAX(0,$C921-$AD$892),IF(DATE($C921,12,15)&gt;=$W$892,$Z$892*(1+($U$892)/100)^MAX(0,$C921-$AC$892),IF(DATE($C921,12,15)&gt;=$V$892,$Y$892*(1+($U$892)/100)^MAX(0,$C921-$AB$892),0)))))</f>
      </c>
      <c r="Q921" s="43">
        <f>SUM($E921:$P921)</f>
      </c>
    </row>
    <row r="922">
      <c r="A922"/>
      <c r="B922">
        <v>29</v>
      </c>
      <c r="C922" s="43">
        <f>Jahr+30</f>
      </c>
      <c r="D922" s="43">
        <f>INDEX(MvObj,29)</f>
      </c>
      <c r="E922" s="43">
        <f>IF($S$892=0,0,IF(OR(DATE($C922,1,15)&lt;$S$892,AND($T$892&gt;0,DATE($C922,1,15)&gt;$T$892)),0,IF(DATE($C922,1,15)&gt;=$X$892,$AA$892*(1+($U$892)/100)^MAX(0,$C922-$AD$892),IF(DATE($C922,1,15)&gt;=$W$892,$Z$892*(1+($U$892)/100)^MAX(0,$C922-$AC$892),IF(DATE($C922,1,15)&gt;=$V$892,$Y$892*(1+($U$892)/100)^MAX(0,$C922-$AB$892),0)))))</f>
      </c>
      <c r="F922" s="43">
        <f>IF($S$892=0,0,IF(OR(DATE($C922,2,15)&lt;$S$892,AND($T$892&gt;0,DATE($C922,2,15)&gt;$T$892)),0,IF(DATE($C922,2,15)&gt;=$X$892,$AA$892*(1+($U$892)/100)^MAX(0,$C922-$AD$892),IF(DATE($C922,2,15)&gt;=$W$892,$Z$892*(1+($U$892)/100)^MAX(0,$C922-$AC$892),IF(DATE($C922,2,15)&gt;=$V$892,$Y$892*(1+($U$892)/100)^MAX(0,$C922-$AB$892),0)))))</f>
      </c>
      <c r="G922" s="43">
        <f>IF($S$892=0,0,IF(OR(DATE($C922,3,15)&lt;$S$892,AND($T$892&gt;0,DATE($C922,3,15)&gt;$T$892)),0,IF(DATE($C922,3,15)&gt;=$X$892,$AA$892*(1+($U$892)/100)^MAX(0,$C922-$AD$892),IF(DATE($C922,3,15)&gt;=$W$892,$Z$892*(1+($U$892)/100)^MAX(0,$C922-$AC$892),IF(DATE($C922,3,15)&gt;=$V$892,$Y$892*(1+($U$892)/100)^MAX(0,$C922-$AB$892),0)))))</f>
      </c>
      <c r="H922" s="43">
        <f>IF($S$892=0,0,IF(OR(DATE($C922,4,15)&lt;$S$892,AND($T$892&gt;0,DATE($C922,4,15)&gt;$T$892)),0,IF(DATE($C922,4,15)&gt;=$X$892,$AA$892*(1+($U$892)/100)^MAX(0,$C922-$AD$892),IF(DATE($C922,4,15)&gt;=$W$892,$Z$892*(1+($U$892)/100)^MAX(0,$C922-$AC$892),IF(DATE($C922,4,15)&gt;=$V$892,$Y$892*(1+($U$892)/100)^MAX(0,$C922-$AB$892),0)))))</f>
      </c>
      <c r="I922" s="43">
        <f>IF($S$892=0,0,IF(OR(DATE($C922,5,15)&lt;$S$892,AND($T$892&gt;0,DATE($C922,5,15)&gt;$T$892)),0,IF(DATE($C922,5,15)&gt;=$X$892,$AA$892*(1+($U$892)/100)^MAX(0,$C922-$AD$892),IF(DATE($C922,5,15)&gt;=$W$892,$Z$892*(1+($U$892)/100)^MAX(0,$C922-$AC$892),IF(DATE($C922,5,15)&gt;=$V$892,$Y$892*(1+($U$892)/100)^MAX(0,$C922-$AB$892),0)))))</f>
      </c>
      <c r="J922" s="43">
        <f>IF($S$892=0,0,IF(OR(DATE($C922,6,15)&lt;$S$892,AND($T$892&gt;0,DATE($C922,6,15)&gt;$T$892)),0,IF(DATE($C922,6,15)&gt;=$X$892,$AA$892*(1+($U$892)/100)^MAX(0,$C922-$AD$892),IF(DATE($C922,6,15)&gt;=$W$892,$Z$892*(1+($U$892)/100)^MAX(0,$C922-$AC$892),IF(DATE($C922,6,15)&gt;=$V$892,$Y$892*(1+($U$892)/100)^MAX(0,$C922-$AB$892),0)))))</f>
      </c>
      <c r="K922" s="43">
        <f>IF($S$892=0,0,IF(OR(DATE($C922,7,15)&lt;$S$892,AND($T$892&gt;0,DATE($C922,7,15)&gt;$T$892)),0,IF(DATE($C922,7,15)&gt;=$X$892,$AA$892*(1+($U$892)/100)^MAX(0,$C922-$AD$892),IF(DATE($C922,7,15)&gt;=$W$892,$Z$892*(1+($U$892)/100)^MAX(0,$C922-$AC$892),IF(DATE($C922,7,15)&gt;=$V$892,$Y$892*(1+($U$892)/100)^MAX(0,$C922-$AB$892),0)))))</f>
      </c>
      <c r="L922" s="43">
        <f>IF($S$892=0,0,IF(OR(DATE($C922,8,15)&lt;$S$892,AND($T$892&gt;0,DATE($C922,8,15)&gt;$T$892)),0,IF(DATE($C922,8,15)&gt;=$X$892,$AA$892*(1+($U$892)/100)^MAX(0,$C922-$AD$892),IF(DATE($C922,8,15)&gt;=$W$892,$Z$892*(1+($U$892)/100)^MAX(0,$C922-$AC$892),IF(DATE($C922,8,15)&gt;=$V$892,$Y$892*(1+($U$892)/100)^MAX(0,$C922-$AB$892),0)))))</f>
      </c>
      <c r="M922" s="43">
        <f>IF($S$892=0,0,IF(OR(DATE($C922,9,15)&lt;$S$892,AND($T$892&gt;0,DATE($C922,9,15)&gt;$T$892)),0,IF(DATE($C922,9,15)&gt;=$X$892,$AA$892*(1+($U$892)/100)^MAX(0,$C922-$AD$892),IF(DATE($C922,9,15)&gt;=$W$892,$Z$892*(1+($U$892)/100)^MAX(0,$C922-$AC$892),IF(DATE($C922,9,15)&gt;=$V$892,$Y$892*(1+($U$892)/100)^MAX(0,$C922-$AB$892),0)))))</f>
      </c>
      <c r="N922" s="43">
        <f>IF($S$892=0,0,IF(OR(DATE($C922,10,15)&lt;$S$892,AND($T$892&gt;0,DATE($C922,10,15)&gt;$T$892)),0,IF(DATE($C922,10,15)&gt;=$X$892,$AA$892*(1+($U$892)/100)^MAX(0,$C922-$AD$892),IF(DATE($C922,10,15)&gt;=$W$892,$Z$892*(1+($U$892)/100)^MAX(0,$C922-$AC$892),IF(DATE($C922,10,15)&gt;=$V$892,$Y$892*(1+($U$892)/100)^MAX(0,$C922-$AB$892),0)))))</f>
      </c>
      <c r="O922" s="43">
        <f>IF($S$892=0,0,IF(OR(DATE($C922,11,15)&lt;$S$892,AND($T$892&gt;0,DATE($C922,11,15)&gt;$T$892)),0,IF(DATE($C922,11,15)&gt;=$X$892,$AA$892*(1+($U$892)/100)^MAX(0,$C922-$AD$892),IF(DATE($C922,11,15)&gt;=$W$892,$Z$892*(1+($U$892)/100)^MAX(0,$C922-$AC$892),IF(DATE($C922,11,15)&gt;=$V$892,$Y$892*(1+($U$892)/100)^MAX(0,$C922-$AB$892),0)))))</f>
      </c>
      <c r="P922" s="43">
        <f>IF($S$892=0,0,IF(OR(DATE($C922,12,15)&lt;$S$892,AND($T$892&gt;0,DATE($C922,12,15)&gt;$T$892)),0,IF(DATE($C922,12,15)&gt;=$X$892,$AA$892*(1+($U$892)/100)^MAX(0,$C922-$AD$892),IF(DATE($C922,12,15)&gt;=$W$892,$Z$892*(1+($U$892)/100)^MAX(0,$C922-$AC$892),IF(DATE($C922,12,15)&gt;=$V$892,$Y$892*(1+($U$892)/100)^MAX(0,$C922-$AB$892),0)))))</f>
      </c>
      <c r="Q922" s="43">
        <f>SUM($E922:$P922)</f>
      </c>
    </row>
    <row r="923">
      <c r="A923"/>
      <c r="B923">
        <v>30</v>
      </c>
      <c r="C923" s="43">
        <f>Jahr+0</f>
      </c>
      <c r="D923" s="43">
        <f>INDEX(MvObj,30)</f>
      </c>
      <c r="E923" s="43">
        <f>IF($S$923=0,0,IF(OR(DATE($C923,1,15)&lt;$S$923,AND($T$923&gt;0,DATE($C923,1,15)&gt;$T$923)),0,IF(DATE($C923,1,15)&gt;=$X$923,$AA$923*(1+($U$923)/100)^MAX(0,$C923-$AD$923),IF(DATE($C923,1,15)&gt;=$W$923,$Z$923*(1+($U$923)/100)^MAX(0,$C923-$AC$923),IF(DATE($C923,1,15)&gt;=$V$923,$Y$923*(1+($U$923)/100)^MAX(0,$C923-$AB$923),0)))))</f>
      </c>
      <c r="F923" s="43">
        <f>IF($S$923=0,0,IF(OR(DATE($C923,2,15)&lt;$S$923,AND($T$923&gt;0,DATE($C923,2,15)&gt;$T$923)),0,IF(DATE($C923,2,15)&gt;=$X$923,$AA$923*(1+($U$923)/100)^MAX(0,$C923-$AD$923),IF(DATE($C923,2,15)&gt;=$W$923,$Z$923*(1+($U$923)/100)^MAX(0,$C923-$AC$923),IF(DATE($C923,2,15)&gt;=$V$923,$Y$923*(1+($U$923)/100)^MAX(0,$C923-$AB$923),0)))))</f>
      </c>
      <c r="G923" s="43">
        <f>IF($S$923=0,0,IF(OR(DATE($C923,3,15)&lt;$S$923,AND($T$923&gt;0,DATE($C923,3,15)&gt;$T$923)),0,IF(DATE($C923,3,15)&gt;=$X$923,$AA$923*(1+($U$923)/100)^MAX(0,$C923-$AD$923),IF(DATE($C923,3,15)&gt;=$W$923,$Z$923*(1+($U$923)/100)^MAX(0,$C923-$AC$923),IF(DATE($C923,3,15)&gt;=$V$923,$Y$923*(1+($U$923)/100)^MAX(0,$C923-$AB$923),0)))))</f>
      </c>
      <c r="H923" s="43">
        <f>IF($S$923=0,0,IF(OR(DATE($C923,4,15)&lt;$S$923,AND($T$923&gt;0,DATE($C923,4,15)&gt;$T$923)),0,IF(DATE($C923,4,15)&gt;=$X$923,$AA$923*(1+($U$923)/100)^MAX(0,$C923-$AD$923),IF(DATE($C923,4,15)&gt;=$W$923,$Z$923*(1+($U$923)/100)^MAX(0,$C923-$AC$923),IF(DATE($C923,4,15)&gt;=$V$923,$Y$923*(1+($U$923)/100)^MAX(0,$C923-$AB$923),0)))))</f>
      </c>
      <c r="I923" s="43">
        <f>IF($S$923=0,0,IF(OR(DATE($C923,5,15)&lt;$S$923,AND($T$923&gt;0,DATE($C923,5,15)&gt;$T$923)),0,IF(DATE($C923,5,15)&gt;=$X$923,$AA$923*(1+($U$923)/100)^MAX(0,$C923-$AD$923),IF(DATE($C923,5,15)&gt;=$W$923,$Z$923*(1+($U$923)/100)^MAX(0,$C923-$AC$923),IF(DATE($C923,5,15)&gt;=$V$923,$Y$923*(1+($U$923)/100)^MAX(0,$C923-$AB$923),0)))))</f>
      </c>
      <c r="J923" s="43">
        <f>IF($S$923=0,0,IF(OR(DATE($C923,6,15)&lt;$S$923,AND($T$923&gt;0,DATE($C923,6,15)&gt;$T$923)),0,IF(DATE($C923,6,15)&gt;=$X$923,$AA$923*(1+($U$923)/100)^MAX(0,$C923-$AD$923),IF(DATE($C923,6,15)&gt;=$W$923,$Z$923*(1+($U$923)/100)^MAX(0,$C923-$AC$923),IF(DATE($C923,6,15)&gt;=$V$923,$Y$923*(1+($U$923)/100)^MAX(0,$C923-$AB$923),0)))))</f>
      </c>
      <c r="K923" s="43">
        <f>IF($S$923=0,0,IF(OR(DATE($C923,7,15)&lt;$S$923,AND($T$923&gt;0,DATE($C923,7,15)&gt;$T$923)),0,IF(DATE($C923,7,15)&gt;=$X$923,$AA$923*(1+($U$923)/100)^MAX(0,$C923-$AD$923),IF(DATE($C923,7,15)&gt;=$W$923,$Z$923*(1+($U$923)/100)^MAX(0,$C923-$AC$923),IF(DATE($C923,7,15)&gt;=$V$923,$Y$923*(1+($U$923)/100)^MAX(0,$C923-$AB$923),0)))))</f>
      </c>
      <c r="L923" s="43">
        <f>IF($S$923=0,0,IF(OR(DATE($C923,8,15)&lt;$S$923,AND($T$923&gt;0,DATE($C923,8,15)&gt;$T$923)),0,IF(DATE($C923,8,15)&gt;=$X$923,$AA$923*(1+($U$923)/100)^MAX(0,$C923-$AD$923),IF(DATE($C923,8,15)&gt;=$W$923,$Z$923*(1+($U$923)/100)^MAX(0,$C923-$AC$923),IF(DATE($C923,8,15)&gt;=$V$923,$Y$923*(1+($U$923)/100)^MAX(0,$C923-$AB$923),0)))))</f>
      </c>
      <c r="M923" s="43">
        <f>IF($S$923=0,0,IF(OR(DATE($C923,9,15)&lt;$S$923,AND($T$923&gt;0,DATE($C923,9,15)&gt;$T$923)),0,IF(DATE($C923,9,15)&gt;=$X$923,$AA$923*(1+($U$923)/100)^MAX(0,$C923-$AD$923),IF(DATE($C923,9,15)&gt;=$W$923,$Z$923*(1+($U$923)/100)^MAX(0,$C923-$AC$923),IF(DATE($C923,9,15)&gt;=$V$923,$Y$923*(1+($U$923)/100)^MAX(0,$C923-$AB$923),0)))))</f>
      </c>
      <c r="N923" s="43">
        <f>IF($S$923=0,0,IF(OR(DATE($C923,10,15)&lt;$S$923,AND($T$923&gt;0,DATE($C923,10,15)&gt;$T$923)),0,IF(DATE($C923,10,15)&gt;=$X$923,$AA$923*(1+($U$923)/100)^MAX(0,$C923-$AD$923),IF(DATE($C923,10,15)&gt;=$W$923,$Z$923*(1+($U$923)/100)^MAX(0,$C923-$AC$923),IF(DATE($C923,10,15)&gt;=$V$923,$Y$923*(1+($U$923)/100)^MAX(0,$C923-$AB$923),0)))))</f>
      </c>
      <c r="O923" s="43">
        <f>IF($S$923=0,0,IF(OR(DATE($C923,11,15)&lt;$S$923,AND($T$923&gt;0,DATE($C923,11,15)&gt;$T$923)),0,IF(DATE($C923,11,15)&gt;=$X$923,$AA$923*(1+($U$923)/100)^MAX(0,$C923-$AD$923),IF(DATE($C923,11,15)&gt;=$W$923,$Z$923*(1+($U$923)/100)^MAX(0,$C923-$AC$923),IF(DATE($C923,11,15)&gt;=$V$923,$Y$923*(1+($U$923)/100)^MAX(0,$C923-$AB$923),0)))))</f>
      </c>
      <c r="P923" s="43">
        <f>IF($S$923=0,0,IF(OR(DATE($C923,12,15)&lt;$S$923,AND($T$923&gt;0,DATE($C923,12,15)&gt;$T$923)),0,IF(DATE($C923,12,15)&gt;=$X$923,$AA$923*(1+($U$923)/100)^MAX(0,$C923-$AD$923),IF(DATE($C923,12,15)&gt;=$W$923,$Z$923*(1+($U$923)/100)^MAX(0,$C923-$AC$923),IF(DATE($C923,12,15)&gt;=$V$923,$Y$923*(1+($U$923)/100)^MAX(0,$C923-$AB$923),0)))))</f>
      </c>
      <c r="Q923" s="43">
        <f>SUM($E923:$P923)</f>
      </c>
      <c r="R923"/>
      <c r="S923" s="43">
        <f>IF(INDEX(MvBeginn,30)="",0,INDEX(MvBeginn,30))</f>
      </c>
      <c r="T923" s="43">
        <f>INDEX(MvEnde,30)</f>
      </c>
      <c r="U923" s="43">
        <f>INDEX(MvSatz,30)</f>
      </c>
      <c r="V923" s="43">
        <f>INDEX(MvKey1,30)</f>
      </c>
      <c r="W923" s="43">
        <f>INDEX(MvKey2,30)</f>
      </c>
      <c r="X923" s="43">
        <f>INDEX(MvKey3,30)</f>
      </c>
      <c r="Y923" s="43">
        <f>INDEX(MvKalt1,30)</f>
      </c>
      <c r="Z923" s="43">
        <f>INDEX(MvKalt2,30)</f>
      </c>
      <c r="AA923" s="43">
        <f>INDEX(MvKalt3,30)</f>
      </c>
      <c r="AB923" s="43">
        <f>MAX(YEAR(INDEX(MvAb1,30)),Jahr)</f>
      </c>
      <c r="AC923" s="43">
        <f>MAX(YEAR(INDEX(MvAb2,30)),Jahr)</f>
      </c>
      <c r="AD923" s="43">
        <f>MAX(YEAR(INDEX(MvAb3,30)),Jahr)</f>
      </c>
    </row>
    <row r="924">
      <c r="A924"/>
      <c r="B924">
        <v>30</v>
      </c>
      <c r="C924" s="43">
        <f>Jahr+1</f>
      </c>
      <c r="D924" s="43">
        <f>INDEX(MvObj,30)</f>
      </c>
      <c r="E924" s="43">
        <f>IF($S$923=0,0,IF(OR(DATE($C924,1,15)&lt;$S$923,AND($T$923&gt;0,DATE($C924,1,15)&gt;$T$923)),0,IF(DATE($C924,1,15)&gt;=$X$923,$AA$923*(1+($U$923)/100)^MAX(0,$C924-$AD$923),IF(DATE($C924,1,15)&gt;=$W$923,$Z$923*(1+($U$923)/100)^MAX(0,$C924-$AC$923),IF(DATE($C924,1,15)&gt;=$V$923,$Y$923*(1+($U$923)/100)^MAX(0,$C924-$AB$923),0)))))</f>
      </c>
      <c r="F924" s="43">
        <f>IF($S$923=0,0,IF(OR(DATE($C924,2,15)&lt;$S$923,AND($T$923&gt;0,DATE($C924,2,15)&gt;$T$923)),0,IF(DATE($C924,2,15)&gt;=$X$923,$AA$923*(1+($U$923)/100)^MAX(0,$C924-$AD$923),IF(DATE($C924,2,15)&gt;=$W$923,$Z$923*(1+($U$923)/100)^MAX(0,$C924-$AC$923),IF(DATE($C924,2,15)&gt;=$V$923,$Y$923*(1+($U$923)/100)^MAX(0,$C924-$AB$923),0)))))</f>
      </c>
      <c r="G924" s="43">
        <f>IF($S$923=0,0,IF(OR(DATE($C924,3,15)&lt;$S$923,AND($T$923&gt;0,DATE($C924,3,15)&gt;$T$923)),0,IF(DATE($C924,3,15)&gt;=$X$923,$AA$923*(1+($U$923)/100)^MAX(0,$C924-$AD$923),IF(DATE($C924,3,15)&gt;=$W$923,$Z$923*(1+($U$923)/100)^MAX(0,$C924-$AC$923),IF(DATE($C924,3,15)&gt;=$V$923,$Y$923*(1+($U$923)/100)^MAX(0,$C924-$AB$923),0)))))</f>
      </c>
      <c r="H924" s="43">
        <f>IF($S$923=0,0,IF(OR(DATE($C924,4,15)&lt;$S$923,AND($T$923&gt;0,DATE($C924,4,15)&gt;$T$923)),0,IF(DATE($C924,4,15)&gt;=$X$923,$AA$923*(1+($U$923)/100)^MAX(0,$C924-$AD$923),IF(DATE($C924,4,15)&gt;=$W$923,$Z$923*(1+($U$923)/100)^MAX(0,$C924-$AC$923),IF(DATE($C924,4,15)&gt;=$V$923,$Y$923*(1+($U$923)/100)^MAX(0,$C924-$AB$923),0)))))</f>
      </c>
      <c r="I924" s="43">
        <f>IF($S$923=0,0,IF(OR(DATE($C924,5,15)&lt;$S$923,AND($T$923&gt;0,DATE($C924,5,15)&gt;$T$923)),0,IF(DATE($C924,5,15)&gt;=$X$923,$AA$923*(1+($U$923)/100)^MAX(0,$C924-$AD$923),IF(DATE($C924,5,15)&gt;=$W$923,$Z$923*(1+($U$923)/100)^MAX(0,$C924-$AC$923),IF(DATE($C924,5,15)&gt;=$V$923,$Y$923*(1+($U$923)/100)^MAX(0,$C924-$AB$923),0)))))</f>
      </c>
      <c r="J924" s="43">
        <f>IF($S$923=0,0,IF(OR(DATE($C924,6,15)&lt;$S$923,AND($T$923&gt;0,DATE($C924,6,15)&gt;$T$923)),0,IF(DATE($C924,6,15)&gt;=$X$923,$AA$923*(1+($U$923)/100)^MAX(0,$C924-$AD$923),IF(DATE($C924,6,15)&gt;=$W$923,$Z$923*(1+($U$923)/100)^MAX(0,$C924-$AC$923),IF(DATE($C924,6,15)&gt;=$V$923,$Y$923*(1+($U$923)/100)^MAX(0,$C924-$AB$923),0)))))</f>
      </c>
      <c r="K924" s="43">
        <f>IF($S$923=0,0,IF(OR(DATE($C924,7,15)&lt;$S$923,AND($T$923&gt;0,DATE($C924,7,15)&gt;$T$923)),0,IF(DATE($C924,7,15)&gt;=$X$923,$AA$923*(1+($U$923)/100)^MAX(0,$C924-$AD$923),IF(DATE($C924,7,15)&gt;=$W$923,$Z$923*(1+($U$923)/100)^MAX(0,$C924-$AC$923),IF(DATE($C924,7,15)&gt;=$V$923,$Y$923*(1+($U$923)/100)^MAX(0,$C924-$AB$923),0)))))</f>
      </c>
      <c r="L924" s="43">
        <f>IF($S$923=0,0,IF(OR(DATE($C924,8,15)&lt;$S$923,AND($T$923&gt;0,DATE($C924,8,15)&gt;$T$923)),0,IF(DATE($C924,8,15)&gt;=$X$923,$AA$923*(1+($U$923)/100)^MAX(0,$C924-$AD$923),IF(DATE($C924,8,15)&gt;=$W$923,$Z$923*(1+($U$923)/100)^MAX(0,$C924-$AC$923),IF(DATE($C924,8,15)&gt;=$V$923,$Y$923*(1+($U$923)/100)^MAX(0,$C924-$AB$923),0)))))</f>
      </c>
      <c r="M924" s="43">
        <f>IF($S$923=0,0,IF(OR(DATE($C924,9,15)&lt;$S$923,AND($T$923&gt;0,DATE($C924,9,15)&gt;$T$923)),0,IF(DATE($C924,9,15)&gt;=$X$923,$AA$923*(1+($U$923)/100)^MAX(0,$C924-$AD$923),IF(DATE($C924,9,15)&gt;=$W$923,$Z$923*(1+($U$923)/100)^MAX(0,$C924-$AC$923),IF(DATE($C924,9,15)&gt;=$V$923,$Y$923*(1+($U$923)/100)^MAX(0,$C924-$AB$923),0)))))</f>
      </c>
      <c r="N924" s="43">
        <f>IF($S$923=0,0,IF(OR(DATE($C924,10,15)&lt;$S$923,AND($T$923&gt;0,DATE($C924,10,15)&gt;$T$923)),0,IF(DATE($C924,10,15)&gt;=$X$923,$AA$923*(1+($U$923)/100)^MAX(0,$C924-$AD$923),IF(DATE($C924,10,15)&gt;=$W$923,$Z$923*(1+($U$923)/100)^MAX(0,$C924-$AC$923),IF(DATE($C924,10,15)&gt;=$V$923,$Y$923*(1+($U$923)/100)^MAX(0,$C924-$AB$923),0)))))</f>
      </c>
      <c r="O924" s="43">
        <f>IF($S$923=0,0,IF(OR(DATE($C924,11,15)&lt;$S$923,AND($T$923&gt;0,DATE($C924,11,15)&gt;$T$923)),0,IF(DATE($C924,11,15)&gt;=$X$923,$AA$923*(1+($U$923)/100)^MAX(0,$C924-$AD$923),IF(DATE($C924,11,15)&gt;=$W$923,$Z$923*(1+($U$923)/100)^MAX(0,$C924-$AC$923),IF(DATE($C924,11,15)&gt;=$V$923,$Y$923*(1+($U$923)/100)^MAX(0,$C924-$AB$923),0)))))</f>
      </c>
      <c r="P924" s="43">
        <f>IF($S$923=0,0,IF(OR(DATE($C924,12,15)&lt;$S$923,AND($T$923&gt;0,DATE($C924,12,15)&gt;$T$923)),0,IF(DATE($C924,12,15)&gt;=$X$923,$AA$923*(1+($U$923)/100)^MAX(0,$C924-$AD$923),IF(DATE($C924,12,15)&gt;=$W$923,$Z$923*(1+($U$923)/100)^MAX(0,$C924-$AC$923),IF(DATE($C924,12,15)&gt;=$V$923,$Y$923*(1+($U$923)/100)^MAX(0,$C924-$AB$923),0)))))</f>
      </c>
      <c r="Q924" s="43">
        <f>SUM($E924:$P924)</f>
      </c>
    </row>
    <row r="925">
      <c r="A925"/>
      <c r="B925">
        <v>30</v>
      </c>
      <c r="C925" s="43">
        <f>Jahr+2</f>
      </c>
      <c r="D925" s="43">
        <f>INDEX(MvObj,30)</f>
      </c>
      <c r="E925" s="43">
        <f>IF($S$923=0,0,IF(OR(DATE($C925,1,15)&lt;$S$923,AND($T$923&gt;0,DATE($C925,1,15)&gt;$T$923)),0,IF(DATE($C925,1,15)&gt;=$X$923,$AA$923*(1+($U$923)/100)^MAX(0,$C925-$AD$923),IF(DATE($C925,1,15)&gt;=$W$923,$Z$923*(1+($U$923)/100)^MAX(0,$C925-$AC$923),IF(DATE($C925,1,15)&gt;=$V$923,$Y$923*(1+($U$923)/100)^MAX(0,$C925-$AB$923),0)))))</f>
      </c>
      <c r="F925" s="43">
        <f>IF($S$923=0,0,IF(OR(DATE($C925,2,15)&lt;$S$923,AND($T$923&gt;0,DATE($C925,2,15)&gt;$T$923)),0,IF(DATE($C925,2,15)&gt;=$X$923,$AA$923*(1+($U$923)/100)^MAX(0,$C925-$AD$923),IF(DATE($C925,2,15)&gt;=$W$923,$Z$923*(1+($U$923)/100)^MAX(0,$C925-$AC$923),IF(DATE($C925,2,15)&gt;=$V$923,$Y$923*(1+($U$923)/100)^MAX(0,$C925-$AB$923),0)))))</f>
      </c>
      <c r="G925" s="43">
        <f>IF($S$923=0,0,IF(OR(DATE($C925,3,15)&lt;$S$923,AND($T$923&gt;0,DATE($C925,3,15)&gt;$T$923)),0,IF(DATE($C925,3,15)&gt;=$X$923,$AA$923*(1+($U$923)/100)^MAX(0,$C925-$AD$923),IF(DATE($C925,3,15)&gt;=$W$923,$Z$923*(1+($U$923)/100)^MAX(0,$C925-$AC$923),IF(DATE($C925,3,15)&gt;=$V$923,$Y$923*(1+($U$923)/100)^MAX(0,$C925-$AB$923),0)))))</f>
      </c>
      <c r="H925" s="43">
        <f>IF($S$923=0,0,IF(OR(DATE($C925,4,15)&lt;$S$923,AND($T$923&gt;0,DATE($C925,4,15)&gt;$T$923)),0,IF(DATE($C925,4,15)&gt;=$X$923,$AA$923*(1+($U$923)/100)^MAX(0,$C925-$AD$923),IF(DATE($C925,4,15)&gt;=$W$923,$Z$923*(1+($U$923)/100)^MAX(0,$C925-$AC$923),IF(DATE($C925,4,15)&gt;=$V$923,$Y$923*(1+($U$923)/100)^MAX(0,$C925-$AB$923),0)))))</f>
      </c>
      <c r="I925" s="43">
        <f>IF($S$923=0,0,IF(OR(DATE($C925,5,15)&lt;$S$923,AND($T$923&gt;0,DATE($C925,5,15)&gt;$T$923)),0,IF(DATE($C925,5,15)&gt;=$X$923,$AA$923*(1+($U$923)/100)^MAX(0,$C925-$AD$923),IF(DATE($C925,5,15)&gt;=$W$923,$Z$923*(1+($U$923)/100)^MAX(0,$C925-$AC$923),IF(DATE($C925,5,15)&gt;=$V$923,$Y$923*(1+($U$923)/100)^MAX(0,$C925-$AB$923),0)))))</f>
      </c>
      <c r="J925" s="43">
        <f>IF($S$923=0,0,IF(OR(DATE($C925,6,15)&lt;$S$923,AND($T$923&gt;0,DATE($C925,6,15)&gt;$T$923)),0,IF(DATE($C925,6,15)&gt;=$X$923,$AA$923*(1+($U$923)/100)^MAX(0,$C925-$AD$923),IF(DATE($C925,6,15)&gt;=$W$923,$Z$923*(1+($U$923)/100)^MAX(0,$C925-$AC$923),IF(DATE($C925,6,15)&gt;=$V$923,$Y$923*(1+($U$923)/100)^MAX(0,$C925-$AB$923),0)))))</f>
      </c>
      <c r="K925" s="43">
        <f>IF($S$923=0,0,IF(OR(DATE($C925,7,15)&lt;$S$923,AND($T$923&gt;0,DATE($C925,7,15)&gt;$T$923)),0,IF(DATE($C925,7,15)&gt;=$X$923,$AA$923*(1+($U$923)/100)^MAX(0,$C925-$AD$923),IF(DATE($C925,7,15)&gt;=$W$923,$Z$923*(1+($U$923)/100)^MAX(0,$C925-$AC$923),IF(DATE($C925,7,15)&gt;=$V$923,$Y$923*(1+($U$923)/100)^MAX(0,$C925-$AB$923),0)))))</f>
      </c>
      <c r="L925" s="43">
        <f>IF($S$923=0,0,IF(OR(DATE($C925,8,15)&lt;$S$923,AND($T$923&gt;0,DATE($C925,8,15)&gt;$T$923)),0,IF(DATE($C925,8,15)&gt;=$X$923,$AA$923*(1+($U$923)/100)^MAX(0,$C925-$AD$923),IF(DATE($C925,8,15)&gt;=$W$923,$Z$923*(1+($U$923)/100)^MAX(0,$C925-$AC$923),IF(DATE($C925,8,15)&gt;=$V$923,$Y$923*(1+($U$923)/100)^MAX(0,$C925-$AB$923),0)))))</f>
      </c>
      <c r="M925" s="43">
        <f>IF($S$923=0,0,IF(OR(DATE($C925,9,15)&lt;$S$923,AND($T$923&gt;0,DATE($C925,9,15)&gt;$T$923)),0,IF(DATE($C925,9,15)&gt;=$X$923,$AA$923*(1+($U$923)/100)^MAX(0,$C925-$AD$923),IF(DATE($C925,9,15)&gt;=$W$923,$Z$923*(1+($U$923)/100)^MAX(0,$C925-$AC$923),IF(DATE($C925,9,15)&gt;=$V$923,$Y$923*(1+($U$923)/100)^MAX(0,$C925-$AB$923),0)))))</f>
      </c>
      <c r="N925" s="43">
        <f>IF($S$923=0,0,IF(OR(DATE($C925,10,15)&lt;$S$923,AND($T$923&gt;0,DATE($C925,10,15)&gt;$T$923)),0,IF(DATE($C925,10,15)&gt;=$X$923,$AA$923*(1+($U$923)/100)^MAX(0,$C925-$AD$923),IF(DATE($C925,10,15)&gt;=$W$923,$Z$923*(1+($U$923)/100)^MAX(0,$C925-$AC$923),IF(DATE($C925,10,15)&gt;=$V$923,$Y$923*(1+($U$923)/100)^MAX(0,$C925-$AB$923),0)))))</f>
      </c>
      <c r="O925" s="43">
        <f>IF($S$923=0,0,IF(OR(DATE($C925,11,15)&lt;$S$923,AND($T$923&gt;0,DATE($C925,11,15)&gt;$T$923)),0,IF(DATE($C925,11,15)&gt;=$X$923,$AA$923*(1+($U$923)/100)^MAX(0,$C925-$AD$923),IF(DATE($C925,11,15)&gt;=$W$923,$Z$923*(1+($U$923)/100)^MAX(0,$C925-$AC$923),IF(DATE($C925,11,15)&gt;=$V$923,$Y$923*(1+($U$923)/100)^MAX(0,$C925-$AB$923),0)))))</f>
      </c>
      <c r="P925" s="43">
        <f>IF($S$923=0,0,IF(OR(DATE($C925,12,15)&lt;$S$923,AND($T$923&gt;0,DATE($C925,12,15)&gt;$T$923)),0,IF(DATE($C925,12,15)&gt;=$X$923,$AA$923*(1+($U$923)/100)^MAX(0,$C925-$AD$923),IF(DATE($C925,12,15)&gt;=$W$923,$Z$923*(1+($U$923)/100)^MAX(0,$C925-$AC$923),IF(DATE($C925,12,15)&gt;=$V$923,$Y$923*(1+($U$923)/100)^MAX(0,$C925-$AB$923),0)))))</f>
      </c>
      <c r="Q925" s="43">
        <f>SUM($E925:$P925)</f>
      </c>
    </row>
    <row r="926">
      <c r="A926"/>
      <c r="B926">
        <v>30</v>
      </c>
      <c r="C926" s="43">
        <f>Jahr+3</f>
      </c>
      <c r="D926" s="43">
        <f>INDEX(MvObj,30)</f>
      </c>
      <c r="E926" s="43">
        <f>IF($S$923=0,0,IF(OR(DATE($C926,1,15)&lt;$S$923,AND($T$923&gt;0,DATE($C926,1,15)&gt;$T$923)),0,IF(DATE($C926,1,15)&gt;=$X$923,$AA$923*(1+($U$923)/100)^MAX(0,$C926-$AD$923),IF(DATE($C926,1,15)&gt;=$W$923,$Z$923*(1+($U$923)/100)^MAX(0,$C926-$AC$923),IF(DATE($C926,1,15)&gt;=$V$923,$Y$923*(1+($U$923)/100)^MAX(0,$C926-$AB$923),0)))))</f>
      </c>
      <c r="F926" s="43">
        <f>IF($S$923=0,0,IF(OR(DATE($C926,2,15)&lt;$S$923,AND($T$923&gt;0,DATE($C926,2,15)&gt;$T$923)),0,IF(DATE($C926,2,15)&gt;=$X$923,$AA$923*(1+($U$923)/100)^MAX(0,$C926-$AD$923),IF(DATE($C926,2,15)&gt;=$W$923,$Z$923*(1+($U$923)/100)^MAX(0,$C926-$AC$923),IF(DATE($C926,2,15)&gt;=$V$923,$Y$923*(1+($U$923)/100)^MAX(0,$C926-$AB$923),0)))))</f>
      </c>
      <c r="G926" s="43">
        <f>IF($S$923=0,0,IF(OR(DATE($C926,3,15)&lt;$S$923,AND($T$923&gt;0,DATE($C926,3,15)&gt;$T$923)),0,IF(DATE($C926,3,15)&gt;=$X$923,$AA$923*(1+($U$923)/100)^MAX(0,$C926-$AD$923),IF(DATE($C926,3,15)&gt;=$W$923,$Z$923*(1+($U$923)/100)^MAX(0,$C926-$AC$923),IF(DATE($C926,3,15)&gt;=$V$923,$Y$923*(1+($U$923)/100)^MAX(0,$C926-$AB$923),0)))))</f>
      </c>
      <c r="H926" s="43">
        <f>IF($S$923=0,0,IF(OR(DATE($C926,4,15)&lt;$S$923,AND($T$923&gt;0,DATE($C926,4,15)&gt;$T$923)),0,IF(DATE($C926,4,15)&gt;=$X$923,$AA$923*(1+($U$923)/100)^MAX(0,$C926-$AD$923),IF(DATE($C926,4,15)&gt;=$W$923,$Z$923*(1+($U$923)/100)^MAX(0,$C926-$AC$923),IF(DATE($C926,4,15)&gt;=$V$923,$Y$923*(1+($U$923)/100)^MAX(0,$C926-$AB$923),0)))))</f>
      </c>
      <c r="I926" s="43">
        <f>IF($S$923=0,0,IF(OR(DATE($C926,5,15)&lt;$S$923,AND($T$923&gt;0,DATE($C926,5,15)&gt;$T$923)),0,IF(DATE($C926,5,15)&gt;=$X$923,$AA$923*(1+($U$923)/100)^MAX(0,$C926-$AD$923),IF(DATE($C926,5,15)&gt;=$W$923,$Z$923*(1+($U$923)/100)^MAX(0,$C926-$AC$923),IF(DATE($C926,5,15)&gt;=$V$923,$Y$923*(1+($U$923)/100)^MAX(0,$C926-$AB$923),0)))))</f>
      </c>
      <c r="J926" s="43">
        <f>IF($S$923=0,0,IF(OR(DATE($C926,6,15)&lt;$S$923,AND($T$923&gt;0,DATE($C926,6,15)&gt;$T$923)),0,IF(DATE($C926,6,15)&gt;=$X$923,$AA$923*(1+($U$923)/100)^MAX(0,$C926-$AD$923),IF(DATE($C926,6,15)&gt;=$W$923,$Z$923*(1+($U$923)/100)^MAX(0,$C926-$AC$923),IF(DATE($C926,6,15)&gt;=$V$923,$Y$923*(1+($U$923)/100)^MAX(0,$C926-$AB$923),0)))))</f>
      </c>
      <c r="K926" s="43">
        <f>IF($S$923=0,0,IF(OR(DATE($C926,7,15)&lt;$S$923,AND($T$923&gt;0,DATE($C926,7,15)&gt;$T$923)),0,IF(DATE($C926,7,15)&gt;=$X$923,$AA$923*(1+($U$923)/100)^MAX(0,$C926-$AD$923),IF(DATE($C926,7,15)&gt;=$W$923,$Z$923*(1+($U$923)/100)^MAX(0,$C926-$AC$923),IF(DATE($C926,7,15)&gt;=$V$923,$Y$923*(1+($U$923)/100)^MAX(0,$C926-$AB$923),0)))))</f>
      </c>
      <c r="L926" s="43">
        <f>IF($S$923=0,0,IF(OR(DATE($C926,8,15)&lt;$S$923,AND($T$923&gt;0,DATE($C926,8,15)&gt;$T$923)),0,IF(DATE($C926,8,15)&gt;=$X$923,$AA$923*(1+($U$923)/100)^MAX(0,$C926-$AD$923),IF(DATE($C926,8,15)&gt;=$W$923,$Z$923*(1+($U$923)/100)^MAX(0,$C926-$AC$923),IF(DATE($C926,8,15)&gt;=$V$923,$Y$923*(1+($U$923)/100)^MAX(0,$C926-$AB$923),0)))))</f>
      </c>
      <c r="M926" s="43">
        <f>IF($S$923=0,0,IF(OR(DATE($C926,9,15)&lt;$S$923,AND($T$923&gt;0,DATE($C926,9,15)&gt;$T$923)),0,IF(DATE($C926,9,15)&gt;=$X$923,$AA$923*(1+($U$923)/100)^MAX(0,$C926-$AD$923),IF(DATE($C926,9,15)&gt;=$W$923,$Z$923*(1+($U$923)/100)^MAX(0,$C926-$AC$923),IF(DATE($C926,9,15)&gt;=$V$923,$Y$923*(1+($U$923)/100)^MAX(0,$C926-$AB$923),0)))))</f>
      </c>
      <c r="N926" s="43">
        <f>IF($S$923=0,0,IF(OR(DATE($C926,10,15)&lt;$S$923,AND($T$923&gt;0,DATE($C926,10,15)&gt;$T$923)),0,IF(DATE($C926,10,15)&gt;=$X$923,$AA$923*(1+($U$923)/100)^MAX(0,$C926-$AD$923),IF(DATE($C926,10,15)&gt;=$W$923,$Z$923*(1+($U$923)/100)^MAX(0,$C926-$AC$923),IF(DATE($C926,10,15)&gt;=$V$923,$Y$923*(1+($U$923)/100)^MAX(0,$C926-$AB$923),0)))))</f>
      </c>
      <c r="O926" s="43">
        <f>IF($S$923=0,0,IF(OR(DATE($C926,11,15)&lt;$S$923,AND($T$923&gt;0,DATE($C926,11,15)&gt;$T$923)),0,IF(DATE($C926,11,15)&gt;=$X$923,$AA$923*(1+($U$923)/100)^MAX(0,$C926-$AD$923),IF(DATE($C926,11,15)&gt;=$W$923,$Z$923*(1+($U$923)/100)^MAX(0,$C926-$AC$923),IF(DATE($C926,11,15)&gt;=$V$923,$Y$923*(1+($U$923)/100)^MAX(0,$C926-$AB$923),0)))))</f>
      </c>
      <c r="P926" s="43">
        <f>IF($S$923=0,0,IF(OR(DATE($C926,12,15)&lt;$S$923,AND($T$923&gt;0,DATE($C926,12,15)&gt;$T$923)),0,IF(DATE($C926,12,15)&gt;=$X$923,$AA$923*(1+($U$923)/100)^MAX(0,$C926-$AD$923),IF(DATE($C926,12,15)&gt;=$W$923,$Z$923*(1+($U$923)/100)^MAX(0,$C926-$AC$923),IF(DATE($C926,12,15)&gt;=$V$923,$Y$923*(1+($U$923)/100)^MAX(0,$C926-$AB$923),0)))))</f>
      </c>
      <c r="Q926" s="43">
        <f>SUM($E926:$P926)</f>
      </c>
    </row>
    <row r="927">
      <c r="A927"/>
      <c r="B927">
        <v>30</v>
      </c>
      <c r="C927" s="43">
        <f>Jahr+4</f>
      </c>
      <c r="D927" s="43">
        <f>INDEX(MvObj,30)</f>
      </c>
      <c r="E927" s="43">
        <f>IF($S$923=0,0,IF(OR(DATE($C927,1,15)&lt;$S$923,AND($T$923&gt;0,DATE($C927,1,15)&gt;$T$923)),0,IF(DATE($C927,1,15)&gt;=$X$923,$AA$923*(1+($U$923)/100)^MAX(0,$C927-$AD$923),IF(DATE($C927,1,15)&gt;=$W$923,$Z$923*(1+($U$923)/100)^MAX(0,$C927-$AC$923),IF(DATE($C927,1,15)&gt;=$V$923,$Y$923*(1+($U$923)/100)^MAX(0,$C927-$AB$923),0)))))</f>
      </c>
      <c r="F927" s="43">
        <f>IF($S$923=0,0,IF(OR(DATE($C927,2,15)&lt;$S$923,AND($T$923&gt;0,DATE($C927,2,15)&gt;$T$923)),0,IF(DATE($C927,2,15)&gt;=$X$923,$AA$923*(1+($U$923)/100)^MAX(0,$C927-$AD$923),IF(DATE($C927,2,15)&gt;=$W$923,$Z$923*(1+($U$923)/100)^MAX(0,$C927-$AC$923),IF(DATE($C927,2,15)&gt;=$V$923,$Y$923*(1+($U$923)/100)^MAX(0,$C927-$AB$923),0)))))</f>
      </c>
      <c r="G927" s="43">
        <f>IF($S$923=0,0,IF(OR(DATE($C927,3,15)&lt;$S$923,AND($T$923&gt;0,DATE($C927,3,15)&gt;$T$923)),0,IF(DATE($C927,3,15)&gt;=$X$923,$AA$923*(1+($U$923)/100)^MAX(0,$C927-$AD$923),IF(DATE($C927,3,15)&gt;=$W$923,$Z$923*(1+($U$923)/100)^MAX(0,$C927-$AC$923),IF(DATE($C927,3,15)&gt;=$V$923,$Y$923*(1+($U$923)/100)^MAX(0,$C927-$AB$923),0)))))</f>
      </c>
      <c r="H927" s="43">
        <f>IF($S$923=0,0,IF(OR(DATE($C927,4,15)&lt;$S$923,AND($T$923&gt;0,DATE($C927,4,15)&gt;$T$923)),0,IF(DATE($C927,4,15)&gt;=$X$923,$AA$923*(1+($U$923)/100)^MAX(0,$C927-$AD$923),IF(DATE($C927,4,15)&gt;=$W$923,$Z$923*(1+($U$923)/100)^MAX(0,$C927-$AC$923),IF(DATE($C927,4,15)&gt;=$V$923,$Y$923*(1+($U$923)/100)^MAX(0,$C927-$AB$923),0)))))</f>
      </c>
      <c r="I927" s="43">
        <f>IF($S$923=0,0,IF(OR(DATE($C927,5,15)&lt;$S$923,AND($T$923&gt;0,DATE($C927,5,15)&gt;$T$923)),0,IF(DATE($C927,5,15)&gt;=$X$923,$AA$923*(1+($U$923)/100)^MAX(0,$C927-$AD$923),IF(DATE($C927,5,15)&gt;=$W$923,$Z$923*(1+($U$923)/100)^MAX(0,$C927-$AC$923),IF(DATE($C927,5,15)&gt;=$V$923,$Y$923*(1+($U$923)/100)^MAX(0,$C927-$AB$923),0)))))</f>
      </c>
      <c r="J927" s="43">
        <f>IF($S$923=0,0,IF(OR(DATE($C927,6,15)&lt;$S$923,AND($T$923&gt;0,DATE($C927,6,15)&gt;$T$923)),0,IF(DATE($C927,6,15)&gt;=$X$923,$AA$923*(1+($U$923)/100)^MAX(0,$C927-$AD$923),IF(DATE($C927,6,15)&gt;=$W$923,$Z$923*(1+($U$923)/100)^MAX(0,$C927-$AC$923),IF(DATE($C927,6,15)&gt;=$V$923,$Y$923*(1+($U$923)/100)^MAX(0,$C927-$AB$923),0)))))</f>
      </c>
      <c r="K927" s="43">
        <f>IF($S$923=0,0,IF(OR(DATE($C927,7,15)&lt;$S$923,AND($T$923&gt;0,DATE($C927,7,15)&gt;$T$923)),0,IF(DATE($C927,7,15)&gt;=$X$923,$AA$923*(1+($U$923)/100)^MAX(0,$C927-$AD$923),IF(DATE($C927,7,15)&gt;=$W$923,$Z$923*(1+($U$923)/100)^MAX(0,$C927-$AC$923),IF(DATE($C927,7,15)&gt;=$V$923,$Y$923*(1+($U$923)/100)^MAX(0,$C927-$AB$923),0)))))</f>
      </c>
      <c r="L927" s="43">
        <f>IF($S$923=0,0,IF(OR(DATE($C927,8,15)&lt;$S$923,AND($T$923&gt;0,DATE($C927,8,15)&gt;$T$923)),0,IF(DATE($C927,8,15)&gt;=$X$923,$AA$923*(1+($U$923)/100)^MAX(0,$C927-$AD$923),IF(DATE($C927,8,15)&gt;=$W$923,$Z$923*(1+($U$923)/100)^MAX(0,$C927-$AC$923),IF(DATE($C927,8,15)&gt;=$V$923,$Y$923*(1+($U$923)/100)^MAX(0,$C927-$AB$923),0)))))</f>
      </c>
      <c r="M927" s="43">
        <f>IF($S$923=0,0,IF(OR(DATE($C927,9,15)&lt;$S$923,AND($T$923&gt;0,DATE($C927,9,15)&gt;$T$923)),0,IF(DATE($C927,9,15)&gt;=$X$923,$AA$923*(1+($U$923)/100)^MAX(0,$C927-$AD$923),IF(DATE($C927,9,15)&gt;=$W$923,$Z$923*(1+($U$923)/100)^MAX(0,$C927-$AC$923),IF(DATE($C927,9,15)&gt;=$V$923,$Y$923*(1+($U$923)/100)^MAX(0,$C927-$AB$923),0)))))</f>
      </c>
      <c r="N927" s="43">
        <f>IF($S$923=0,0,IF(OR(DATE($C927,10,15)&lt;$S$923,AND($T$923&gt;0,DATE($C927,10,15)&gt;$T$923)),0,IF(DATE($C927,10,15)&gt;=$X$923,$AA$923*(1+($U$923)/100)^MAX(0,$C927-$AD$923),IF(DATE($C927,10,15)&gt;=$W$923,$Z$923*(1+($U$923)/100)^MAX(0,$C927-$AC$923),IF(DATE($C927,10,15)&gt;=$V$923,$Y$923*(1+($U$923)/100)^MAX(0,$C927-$AB$923),0)))))</f>
      </c>
      <c r="O927" s="43">
        <f>IF($S$923=0,0,IF(OR(DATE($C927,11,15)&lt;$S$923,AND($T$923&gt;0,DATE($C927,11,15)&gt;$T$923)),0,IF(DATE($C927,11,15)&gt;=$X$923,$AA$923*(1+($U$923)/100)^MAX(0,$C927-$AD$923),IF(DATE($C927,11,15)&gt;=$W$923,$Z$923*(1+($U$923)/100)^MAX(0,$C927-$AC$923),IF(DATE($C927,11,15)&gt;=$V$923,$Y$923*(1+($U$923)/100)^MAX(0,$C927-$AB$923),0)))))</f>
      </c>
      <c r="P927" s="43">
        <f>IF($S$923=0,0,IF(OR(DATE($C927,12,15)&lt;$S$923,AND($T$923&gt;0,DATE($C927,12,15)&gt;$T$923)),0,IF(DATE($C927,12,15)&gt;=$X$923,$AA$923*(1+($U$923)/100)^MAX(0,$C927-$AD$923),IF(DATE($C927,12,15)&gt;=$W$923,$Z$923*(1+($U$923)/100)^MAX(0,$C927-$AC$923),IF(DATE($C927,12,15)&gt;=$V$923,$Y$923*(1+($U$923)/100)^MAX(0,$C927-$AB$923),0)))))</f>
      </c>
      <c r="Q927" s="43">
        <f>SUM($E927:$P927)</f>
      </c>
    </row>
    <row r="928">
      <c r="A928"/>
      <c r="B928">
        <v>30</v>
      </c>
      <c r="C928" s="43">
        <f>Jahr+5</f>
      </c>
      <c r="D928" s="43">
        <f>INDEX(MvObj,30)</f>
      </c>
      <c r="E928" s="43">
        <f>IF($S$923=0,0,IF(OR(DATE($C928,1,15)&lt;$S$923,AND($T$923&gt;0,DATE($C928,1,15)&gt;$T$923)),0,IF(DATE($C928,1,15)&gt;=$X$923,$AA$923*(1+($U$923)/100)^MAX(0,$C928-$AD$923),IF(DATE($C928,1,15)&gt;=$W$923,$Z$923*(1+($U$923)/100)^MAX(0,$C928-$AC$923),IF(DATE($C928,1,15)&gt;=$V$923,$Y$923*(1+($U$923)/100)^MAX(0,$C928-$AB$923),0)))))</f>
      </c>
      <c r="F928" s="43">
        <f>IF($S$923=0,0,IF(OR(DATE($C928,2,15)&lt;$S$923,AND($T$923&gt;0,DATE($C928,2,15)&gt;$T$923)),0,IF(DATE($C928,2,15)&gt;=$X$923,$AA$923*(1+($U$923)/100)^MAX(0,$C928-$AD$923),IF(DATE($C928,2,15)&gt;=$W$923,$Z$923*(1+($U$923)/100)^MAX(0,$C928-$AC$923),IF(DATE($C928,2,15)&gt;=$V$923,$Y$923*(1+($U$923)/100)^MAX(0,$C928-$AB$923),0)))))</f>
      </c>
      <c r="G928" s="43">
        <f>IF($S$923=0,0,IF(OR(DATE($C928,3,15)&lt;$S$923,AND($T$923&gt;0,DATE($C928,3,15)&gt;$T$923)),0,IF(DATE($C928,3,15)&gt;=$X$923,$AA$923*(1+($U$923)/100)^MAX(0,$C928-$AD$923),IF(DATE($C928,3,15)&gt;=$W$923,$Z$923*(1+($U$923)/100)^MAX(0,$C928-$AC$923),IF(DATE($C928,3,15)&gt;=$V$923,$Y$923*(1+($U$923)/100)^MAX(0,$C928-$AB$923),0)))))</f>
      </c>
      <c r="H928" s="43">
        <f>IF($S$923=0,0,IF(OR(DATE($C928,4,15)&lt;$S$923,AND($T$923&gt;0,DATE($C928,4,15)&gt;$T$923)),0,IF(DATE($C928,4,15)&gt;=$X$923,$AA$923*(1+($U$923)/100)^MAX(0,$C928-$AD$923),IF(DATE($C928,4,15)&gt;=$W$923,$Z$923*(1+($U$923)/100)^MAX(0,$C928-$AC$923),IF(DATE($C928,4,15)&gt;=$V$923,$Y$923*(1+($U$923)/100)^MAX(0,$C928-$AB$923),0)))))</f>
      </c>
      <c r="I928" s="43">
        <f>IF($S$923=0,0,IF(OR(DATE($C928,5,15)&lt;$S$923,AND($T$923&gt;0,DATE($C928,5,15)&gt;$T$923)),0,IF(DATE($C928,5,15)&gt;=$X$923,$AA$923*(1+($U$923)/100)^MAX(0,$C928-$AD$923),IF(DATE($C928,5,15)&gt;=$W$923,$Z$923*(1+($U$923)/100)^MAX(0,$C928-$AC$923),IF(DATE($C928,5,15)&gt;=$V$923,$Y$923*(1+($U$923)/100)^MAX(0,$C928-$AB$923),0)))))</f>
      </c>
      <c r="J928" s="43">
        <f>IF($S$923=0,0,IF(OR(DATE($C928,6,15)&lt;$S$923,AND($T$923&gt;0,DATE($C928,6,15)&gt;$T$923)),0,IF(DATE($C928,6,15)&gt;=$X$923,$AA$923*(1+($U$923)/100)^MAX(0,$C928-$AD$923),IF(DATE($C928,6,15)&gt;=$W$923,$Z$923*(1+($U$923)/100)^MAX(0,$C928-$AC$923),IF(DATE($C928,6,15)&gt;=$V$923,$Y$923*(1+($U$923)/100)^MAX(0,$C928-$AB$923),0)))))</f>
      </c>
      <c r="K928" s="43">
        <f>IF($S$923=0,0,IF(OR(DATE($C928,7,15)&lt;$S$923,AND($T$923&gt;0,DATE($C928,7,15)&gt;$T$923)),0,IF(DATE($C928,7,15)&gt;=$X$923,$AA$923*(1+($U$923)/100)^MAX(0,$C928-$AD$923),IF(DATE($C928,7,15)&gt;=$W$923,$Z$923*(1+($U$923)/100)^MAX(0,$C928-$AC$923),IF(DATE($C928,7,15)&gt;=$V$923,$Y$923*(1+($U$923)/100)^MAX(0,$C928-$AB$923),0)))))</f>
      </c>
      <c r="L928" s="43">
        <f>IF($S$923=0,0,IF(OR(DATE($C928,8,15)&lt;$S$923,AND($T$923&gt;0,DATE($C928,8,15)&gt;$T$923)),0,IF(DATE($C928,8,15)&gt;=$X$923,$AA$923*(1+($U$923)/100)^MAX(0,$C928-$AD$923),IF(DATE($C928,8,15)&gt;=$W$923,$Z$923*(1+($U$923)/100)^MAX(0,$C928-$AC$923),IF(DATE($C928,8,15)&gt;=$V$923,$Y$923*(1+($U$923)/100)^MAX(0,$C928-$AB$923),0)))))</f>
      </c>
      <c r="M928" s="43">
        <f>IF($S$923=0,0,IF(OR(DATE($C928,9,15)&lt;$S$923,AND($T$923&gt;0,DATE($C928,9,15)&gt;$T$923)),0,IF(DATE($C928,9,15)&gt;=$X$923,$AA$923*(1+($U$923)/100)^MAX(0,$C928-$AD$923),IF(DATE($C928,9,15)&gt;=$W$923,$Z$923*(1+($U$923)/100)^MAX(0,$C928-$AC$923),IF(DATE($C928,9,15)&gt;=$V$923,$Y$923*(1+($U$923)/100)^MAX(0,$C928-$AB$923),0)))))</f>
      </c>
      <c r="N928" s="43">
        <f>IF($S$923=0,0,IF(OR(DATE($C928,10,15)&lt;$S$923,AND($T$923&gt;0,DATE($C928,10,15)&gt;$T$923)),0,IF(DATE($C928,10,15)&gt;=$X$923,$AA$923*(1+($U$923)/100)^MAX(0,$C928-$AD$923),IF(DATE($C928,10,15)&gt;=$W$923,$Z$923*(1+($U$923)/100)^MAX(0,$C928-$AC$923),IF(DATE($C928,10,15)&gt;=$V$923,$Y$923*(1+($U$923)/100)^MAX(0,$C928-$AB$923),0)))))</f>
      </c>
      <c r="O928" s="43">
        <f>IF($S$923=0,0,IF(OR(DATE($C928,11,15)&lt;$S$923,AND($T$923&gt;0,DATE($C928,11,15)&gt;$T$923)),0,IF(DATE($C928,11,15)&gt;=$X$923,$AA$923*(1+($U$923)/100)^MAX(0,$C928-$AD$923),IF(DATE($C928,11,15)&gt;=$W$923,$Z$923*(1+($U$923)/100)^MAX(0,$C928-$AC$923),IF(DATE($C928,11,15)&gt;=$V$923,$Y$923*(1+($U$923)/100)^MAX(0,$C928-$AB$923),0)))))</f>
      </c>
      <c r="P928" s="43">
        <f>IF($S$923=0,0,IF(OR(DATE($C928,12,15)&lt;$S$923,AND($T$923&gt;0,DATE($C928,12,15)&gt;$T$923)),0,IF(DATE($C928,12,15)&gt;=$X$923,$AA$923*(1+($U$923)/100)^MAX(0,$C928-$AD$923),IF(DATE($C928,12,15)&gt;=$W$923,$Z$923*(1+($U$923)/100)^MAX(0,$C928-$AC$923),IF(DATE($C928,12,15)&gt;=$V$923,$Y$923*(1+($U$923)/100)^MAX(0,$C928-$AB$923),0)))))</f>
      </c>
      <c r="Q928" s="43">
        <f>SUM($E928:$P928)</f>
      </c>
    </row>
    <row r="929">
      <c r="A929"/>
      <c r="B929">
        <v>30</v>
      </c>
      <c r="C929" s="43">
        <f>Jahr+6</f>
      </c>
      <c r="D929" s="43">
        <f>INDEX(MvObj,30)</f>
      </c>
      <c r="E929" s="43">
        <f>IF($S$923=0,0,IF(OR(DATE($C929,1,15)&lt;$S$923,AND($T$923&gt;0,DATE($C929,1,15)&gt;$T$923)),0,IF(DATE($C929,1,15)&gt;=$X$923,$AA$923*(1+($U$923)/100)^MAX(0,$C929-$AD$923),IF(DATE($C929,1,15)&gt;=$W$923,$Z$923*(1+($U$923)/100)^MAX(0,$C929-$AC$923),IF(DATE($C929,1,15)&gt;=$V$923,$Y$923*(1+($U$923)/100)^MAX(0,$C929-$AB$923),0)))))</f>
      </c>
      <c r="F929" s="43">
        <f>IF($S$923=0,0,IF(OR(DATE($C929,2,15)&lt;$S$923,AND($T$923&gt;0,DATE($C929,2,15)&gt;$T$923)),0,IF(DATE($C929,2,15)&gt;=$X$923,$AA$923*(1+($U$923)/100)^MAX(0,$C929-$AD$923),IF(DATE($C929,2,15)&gt;=$W$923,$Z$923*(1+($U$923)/100)^MAX(0,$C929-$AC$923),IF(DATE($C929,2,15)&gt;=$V$923,$Y$923*(1+($U$923)/100)^MAX(0,$C929-$AB$923),0)))))</f>
      </c>
      <c r="G929" s="43">
        <f>IF($S$923=0,0,IF(OR(DATE($C929,3,15)&lt;$S$923,AND($T$923&gt;0,DATE($C929,3,15)&gt;$T$923)),0,IF(DATE($C929,3,15)&gt;=$X$923,$AA$923*(1+($U$923)/100)^MAX(0,$C929-$AD$923),IF(DATE($C929,3,15)&gt;=$W$923,$Z$923*(1+($U$923)/100)^MAX(0,$C929-$AC$923),IF(DATE($C929,3,15)&gt;=$V$923,$Y$923*(1+($U$923)/100)^MAX(0,$C929-$AB$923),0)))))</f>
      </c>
      <c r="H929" s="43">
        <f>IF($S$923=0,0,IF(OR(DATE($C929,4,15)&lt;$S$923,AND($T$923&gt;0,DATE($C929,4,15)&gt;$T$923)),0,IF(DATE($C929,4,15)&gt;=$X$923,$AA$923*(1+($U$923)/100)^MAX(0,$C929-$AD$923),IF(DATE($C929,4,15)&gt;=$W$923,$Z$923*(1+($U$923)/100)^MAX(0,$C929-$AC$923),IF(DATE($C929,4,15)&gt;=$V$923,$Y$923*(1+($U$923)/100)^MAX(0,$C929-$AB$923),0)))))</f>
      </c>
      <c r="I929" s="43">
        <f>IF($S$923=0,0,IF(OR(DATE($C929,5,15)&lt;$S$923,AND($T$923&gt;0,DATE($C929,5,15)&gt;$T$923)),0,IF(DATE($C929,5,15)&gt;=$X$923,$AA$923*(1+($U$923)/100)^MAX(0,$C929-$AD$923),IF(DATE($C929,5,15)&gt;=$W$923,$Z$923*(1+($U$923)/100)^MAX(0,$C929-$AC$923),IF(DATE($C929,5,15)&gt;=$V$923,$Y$923*(1+($U$923)/100)^MAX(0,$C929-$AB$923),0)))))</f>
      </c>
      <c r="J929" s="43">
        <f>IF($S$923=0,0,IF(OR(DATE($C929,6,15)&lt;$S$923,AND($T$923&gt;0,DATE($C929,6,15)&gt;$T$923)),0,IF(DATE($C929,6,15)&gt;=$X$923,$AA$923*(1+($U$923)/100)^MAX(0,$C929-$AD$923),IF(DATE($C929,6,15)&gt;=$W$923,$Z$923*(1+($U$923)/100)^MAX(0,$C929-$AC$923),IF(DATE($C929,6,15)&gt;=$V$923,$Y$923*(1+($U$923)/100)^MAX(0,$C929-$AB$923),0)))))</f>
      </c>
      <c r="K929" s="43">
        <f>IF($S$923=0,0,IF(OR(DATE($C929,7,15)&lt;$S$923,AND($T$923&gt;0,DATE($C929,7,15)&gt;$T$923)),0,IF(DATE($C929,7,15)&gt;=$X$923,$AA$923*(1+($U$923)/100)^MAX(0,$C929-$AD$923),IF(DATE($C929,7,15)&gt;=$W$923,$Z$923*(1+($U$923)/100)^MAX(0,$C929-$AC$923),IF(DATE($C929,7,15)&gt;=$V$923,$Y$923*(1+($U$923)/100)^MAX(0,$C929-$AB$923),0)))))</f>
      </c>
      <c r="L929" s="43">
        <f>IF($S$923=0,0,IF(OR(DATE($C929,8,15)&lt;$S$923,AND($T$923&gt;0,DATE($C929,8,15)&gt;$T$923)),0,IF(DATE($C929,8,15)&gt;=$X$923,$AA$923*(1+($U$923)/100)^MAX(0,$C929-$AD$923),IF(DATE($C929,8,15)&gt;=$W$923,$Z$923*(1+($U$923)/100)^MAX(0,$C929-$AC$923),IF(DATE($C929,8,15)&gt;=$V$923,$Y$923*(1+($U$923)/100)^MAX(0,$C929-$AB$923),0)))))</f>
      </c>
      <c r="M929" s="43">
        <f>IF($S$923=0,0,IF(OR(DATE($C929,9,15)&lt;$S$923,AND($T$923&gt;0,DATE($C929,9,15)&gt;$T$923)),0,IF(DATE($C929,9,15)&gt;=$X$923,$AA$923*(1+($U$923)/100)^MAX(0,$C929-$AD$923),IF(DATE($C929,9,15)&gt;=$W$923,$Z$923*(1+($U$923)/100)^MAX(0,$C929-$AC$923),IF(DATE($C929,9,15)&gt;=$V$923,$Y$923*(1+($U$923)/100)^MAX(0,$C929-$AB$923),0)))))</f>
      </c>
      <c r="N929" s="43">
        <f>IF($S$923=0,0,IF(OR(DATE($C929,10,15)&lt;$S$923,AND($T$923&gt;0,DATE($C929,10,15)&gt;$T$923)),0,IF(DATE($C929,10,15)&gt;=$X$923,$AA$923*(1+($U$923)/100)^MAX(0,$C929-$AD$923),IF(DATE($C929,10,15)&gt;=$W$923,$Z$923*(1+($U$923)/100)^MAX(0,$C929-$AC$923),IF(DATE($C929,10,15)&gt;=$V$923,$Y$923*(1+($U$923)/100)^MAX(0,$C929-$AB$923),0)))))</f>
      </c>
      <c r="O929" s="43">
        <f>IF($S$923=0,0,IF(OR(DATE($C929,11,15)&lt;$S$923,AND($T$923&gt;0,DATE($C929,11,15)&gt;$T$923)),0,IF(DATE($C929,11,15)&gt;=$X$923,$AA$923*(1+($U$923)/100)^MAX(0,$C929-$AD$923),IF(DATE($C929,11,15)&gt;=$W$923,$Z$923*(1+($U$923)/100)^MAX(0,$C929-$AC$923),IF(DATE($C929,11,15)&gt;=$V$923,$Y$923*(1+($U$923)/100)^MAX(0,$C929-$AB$923),0)))))</f>
      </c>
      <c r="P929" s="43">
        <f>IF($S$923=0,0,IF(OR(DATE($C929,12,15)&lt;$S$923,AND($T$923&gt;0,DATE($C929,12,15)&gt;$T$923)),0,IF(DATE($C929,12,15)&gt;=$X$923,$AA$923*(1+($U$923)/100)^MAX(0,$C929-$AD$923),IF(DATE($C929,12,15)&gt;=$W$923,$Z$923*(1+($U$923)/100)^MAX(0,$C929-$AC$923),IF(DATE($C929,12,15)&gt;=$V$923,$Y$923*(1+($U$923)/100)^MAX(0,$C929-$AB$923),0)))))</f>
      </c>
      <c r="Q929" s="43">
        <f>SUM($E929:$P929)</f>
      </c>
    </row>
    <row r="930">
      <c r="A930"/>
      <c r="B930">
        <v>30</v>
      </c>
      <c r="C930" s="43">
        <f>Jahr+7</f>
      </c>
      <c r="D930" s="43">
        <f>INDEX(MvObj,30)</f>
      </c>
      <c r="E930" s="43">
        <f>IF($S$923=0,0,IF(OR(DATE($C930,1,15)&lt;$S$923,AND($T$923&gt;0,DATE($C930,1,15)&gt;$T$923)),0,IF(DATE($C930,1,15)&gt;=$X$923,$AA$923*(1+($U$923)/100)^MAX(0,$C930-$AD$923),IF(DATE($C930,1,15)&gt;=$W$923,$Z$923*(1+($U$923)/100)^MAX(0,$C930-$AC$923),IF(DATE($C930,1,15)&gt;=$V$923,$Y$923*(1+($U$923)/100)^MAX(0,$C930-$AB$923),0)))))</f>
      </c>
      <c r="F930" s="43">
        <f>IF($S$923=0,0,IF(OR(DATE($C930,2,15)&lt;$S$923,AND($T$923&gt;0,DATE($C930,2,15)&gt;$T$923)),0,IF(DATE($C930,2,15)&gt;=$X$923,$AA$923*(1+($U$923)/100)^MAX(0,$C930-$AD$923),IF(DATE($C930,2,15)&gt;=$W$923,$Z$923*(1+($U$923)/100)^MAX(0,$C930-$AC$923),IF(DATE($C930,2,15)&gt;=$V$923,$Y$923*(1+($U$923)/100)^MAX(0,$C930-$AB$923),0)))))</f>
      </c>
      <c r="G930" s="43">
        <f>IF($S$923=0,0,IF(OR(DATE($C930,3,15)&lt;$S$923,AND($T$923&gt;0,DATE($C930,3,15)&gt;$T$923)),0,IF(DATE($C930,3,15)&gt;=$X$923,$AA$923*(1+($U$923)/100)^MAX(0,$C930-$AD$923),IF(DATE($C930,3,15)&gt;=$W$923,$Z$923*(1+($U$923)/100)^MAX(0,$C930-$AC$923),IF(DATE($C930,3,15)&gt;=$V$923,$Y$923*(1+($U$923)/100)^MAX(0,$C930-$AB$923),0)))))</f>
      </c>
      <c r="H930" s="43">
        <f>IF($S$923=0,0,IF(OR(DATE($C930,4,15)&lt;$S$923,AND($T$923&gt;0,DATE($C930,4,15)&gt;$T$923)),0,IF(DATE($C930,4,15)&gt;=$X$923,$AA$923*(1+($U$923)/100)^MAX(0,$C930-$AD$923),IF(DATE($C930,4,15)&gt;=$W$923,$Z$923*(1+($U$923)/100)^MAX(0,$C930-$AC$923),IF(DATE($C930,4,15)&gt;=$V$923,$Y$923*(1+($U$923)/100)^MAX(0,$C930-$AB$923),0)))))</f>
      </c>
      <c r="I930" s="43">
        <f>IF($S$923=0,0,IF(OR(DATE($C930,5,15)&lt;$S$923,AND($T$923&gt;0,DATE($C930,5,15)&gt;$T$923)),0,IF(DATE($C930,5,15)&gt;=$X$923,$AA$923*(1+($U$923)/100)^MAX(0,$C930-$AD$923),IF(DATE($C930,5,15)&gt;=$W$923,$Z$923*(1+($U$923)/100)^MAX(0,$C930-$AC$923),IF(DATE($C930,5,15)&gt;=$V$923,$Y$923*(1+($U$923)/100)^MAX(0,$C930-$AB$923),0)))))</f>
      </c>
      <c r="J930" s="43">
        <f>IF($S$923=0,0,IF(OR(DATE($C930,6,15)&lt;$S$923,AND($T$923&gt;0,DATE($C930,6,15)&gt;$T$923)),0,IF(DATE($C930,6,15)&gt;=$X$923,$AA$923*(1+($U$923)/100)^MAX(0,$C930-$AD$923),IF(DATE($C930,6,15)&gt;=$W$923,$Z$923*(1+($U$923)/100)^MAX(0,$C930-$AC$923),IF(DATE($C930,6,15)&gt;=$V$923,$Y$923*(1+($U$923)/100)^MAX(0,$C930-$AB$923),0)))))</f>
      </c>
      <c r="K930" s="43">
        <f>IF($S$923=0,0,IF(OR(DATE($C930,7,15)&lt;$S$923,AND($T$923&gt;0,DATE($C930,7,15)&gt;$T$923)),0,IF(DATE($C930,7,15)&gt;=$X$923,$AA$923*(1+($U$923)/100)^MAX(0,$C930-$AD$923),IF(DATE($C930,7,15)&gt;=$W$923,$Z$923*(1+($U$923)/100)^MAX(0,$C930-$AC$923),IF(DATE($C930,7,15)&gt;=$V$923,$Y$923*(1+($U$923)/100)^MAX(0,$C930-$AB$923),0)))))</f>
      </c>
      <c r="L930" s="43">
        <f>IF($S$923=0,0,IF(OR(DATE($C930,8,15)&lt;$S$923,AND($T$923&gt;0,DATE($C930,8,15)&gt;$T$923)),0,IF(DATE($C930,8,15)&gt;=$X$923,$AA$923*(1+($U$923)/100)^MAX(0,$C930-$AD$923),IF(DATE($C930,8,15)&gt;=$W$923,$Z$923*(1+($U$923)/100)^MAX(0,$C930-$AC$923),IF(DATE($C930,8,15)&gt;=$V$923,$Y$923*(1+($U$923)/100)^MAX(0,$C930-$AB$923),0)))))</f>
      </c>
      <c r="M930" s="43">
        <f>IF($S$923=0,0,IF(OR(DATE($C930,9,15)&lt;$S$923,AND($T$923&gt;0,DATE($C930,9,15)&gt;$T$923)),0,IF(DATE($C930,9,15)&gt;=$X$923,$AA$923*(1+($U$923)/100)^MAX(0,$C930-$AD$923),IF(DATE($C930,9,15)&gt;=$W$923,$Z$923*(1+($U$923)/100)^MAX(0,$C930-$AC$923),IF(DATE($C930,9,15)&gt;=$V$923,$Y$923*(1+($U$923)/100)^MAX(0,$C930-$AB$923),0)))))</f>
      </c>
      <c r="N930" s="43">
        <f>IF($S$923=0,0,IF(OR(DATE($C930,10,15)&lt;$S$923,AND($T$923&gt;0,DATE($C930,10,15)&gt;$T$923)),0,IF(DATE($C930,10,15)&gt;=$X$923,$AA$923*(1+($U$923)/100)^MAX(0,$C930-$AD$923),IF(DATE($C930,10,15)&gt;=$W$923,$Z$923*(1+($U$923)/100)^MAX(0,$C930-$AC$923),IF(DATE($C930,10,15)&gt;=$V$923,$Y$923*(1+($U$923)/100)^MAX(0,$C930-$AB$923),0)))))</f>
      </c>
      <c r="O930" s="43">
        <f>IF($S$923=0,0,IF(OR(DATE($C930,11,15)&lt;$S$923,AND($T$923&gt;0,DATE($C930,11,15)&gt;$T$923)),0,IF(DATE($C930,11,15)&gt;=$X$923,$AA$923*(1+($U$923)/100)^MAX(0,$C930-$AD$923),IF(DATE($C930,11,15)&gt;=$W$923,$Z$923*(1+($U$923)/100)^MAX(0,$C930-$AC$923),IF(DATE($C930,11,15)&gt;=$V$923,$Y$923*(1+($U$923)/100)^MAX(0,$C930-$AB$923),0)))))</f>
      </c>
      <c r="P930" s="43">
        <f>IF($S$923=0,0,IF(OR(DATE($C930,12,15)&lt;$S$923,AND($T$923&gt;0,DATE($C930,12,15)&gt;$T$923)),0,IF(DATE($C930,12,15)&gt;=$X$923,$AA$923*(1+($U$923)/100)^MAX(0,$C930-$AD$923),IF(DATE($C930,12,15)&gt;=$W$923,$Z$923*(1+($U$923)/100)^MAX(0,$C930-$AC$923),IF(DATE($C930,12,15)&gt;=$V$923,$Y$923*(1+($U$923)/100)^MAX(0,$C930-$AB$923),0)))))</f>
      </c>
      <c r="Q930" s="43">
        <f>SUM($E930:$P930)</f>
      </c>
    </row>
    <row r="931">
      <c r="A931"/>
      <c r="B931">
        <v>30</v>
      </c>
      <c r="C931" s="43">
        <f>Jahr+8</f>
      </c>
      <c r="D931" s="43">
        <f>INDEX(MvObj,30)</f>
      </c>
      <c r="E931" s="43">
        <f>IF($S$923=0,0,IF(OR(DATE($C931,1,15)&lt;$S$923,AND($T$923&gt;0,DATE($C931,1,15)&gt;$T$923)),0,IF(DATE($C931,1,15)&gt;=$X$923,$AA$923*(1+($U$923)/100)^MAX(0,$C931-$AD$923),IF(DATE($C931,1,15)&gt;=$W$923,$Z$923*(1+($U$923)/100)^MAX(0,$C931-$AC$923),IF(DATE($C931,1,15)&gt;=$V$923,$Y$923*(1+($U$923)/100)^MAX(0,$C931-$AB$923),0)))))</f>
      </c>
      <c r="F931" s="43">
        <f>IF($S$923=0,0,IF(OR(DATE($C931,2,15)&lt;$S$923,AND($T$923&gt;0,DATE($C931,2,15)&gt;$T$923)),0,IF(DATE($C931,2,15)&gt;=$X$923,$AA$923*(1+($U$923)/100)^MAX(0,$C931-$AD$923),IF(DATE($C931,2,15)&gt;=$W$923,$Z$923*(1+($U$923)/100)^MAX(0,$C931-$AC$923),IF(DATE($C931,2,15)&gt;=$V$923,$Y$923*(1+($U$923)/100)^MAX(0,$C931-$AB$923),0)))))</f>
      </c>
      <c r="G931" s="43">
        <f>IF($S$923=0,0,IF(OR(DATE($C931,3,15)&lt;$S$923,AND($T$923&gt;0,DATE($C931,3,15)&gt;$T$923)),0,IF(DATE($C931,3,15)&gt;=$X$923,$AA$923*(1+($U$923)/100)^MAX(0,$C931-$AD$923),IF(DATE($C931,3,15)&gt;=$W$923,$Z$923*(1+($U$923)/100)^MAX(0,$C931-$AC$923),IF(DATE($C931,3,15)&gt;=$V$923,$Y$923*(1+($U$923)/100)^MAX(0,$C931-$AB$923),0)))))</f>
      </c>
      <c r="H931" s="43">
        <f>IF($S$923=0,0,IF(OR(DATE($C931,4,15)&lt;$S$923,AND($T$923&gt;0,DATE($C931,4,15)&gt;$T$923)),0,IF(DATE($C931,4,15)&gt;=$X$923,$AA$923*(1+($U$923)/100)^MAX(0,$C931-$AD$923),IF(DATE($C931,4,15)&gt;=$W$923,$Z$923*(1+($U$923)/100)^MAX(0,$C931-$AC$923),IF(DATE($C931,4,15)&gt;=$V$923,$Y$923*(1+($U$923)/100)^MAX(0,$C931-$AB$923),0)))))</f>
      </c>
      <c r="I931" s="43">
        <f>IF($S$923=0,0,IF(OR(DATE($C931,5,15)&lt;$S$923,AND($T$923&gt;0,DATE($C931,5,15)&gt;$T$923)),0,IF(DATE($C931,5,15)&gt;=$X$923,$AA$923*(1+($U$923)/100)^MAX(0,$C931-$AD$923),IF(DATE($C931,5,15)&gt;=$W$923,$Z$923*(1+($U$923)/100)^MAX(0,$C931-$AC$923),IF(DATE($C931,5,15)&gt;=$V$923,$Y$923*(1+($U$923)/100)^MAX(0,$C931-$AB$923),0)))))</f>
      </c>
      <c r="J931" s="43">
        <f>IF($S$923=0,0,IF(OR(DATE($C931,6,15)&lt;$S$923,AND($T$923&gt;0,DATE($C931,6,15)&gt;$T$923)),0,IF(DATE($C931,6,15)&gt;=$X$923,$AA$923*(1+($U$923)/100)^MAX(0,$C931-$AD$923),IF(DATE($C931,6,15)&gt;=$W$923,$Z$923*(1+($U$923)/100)^MAX(0,$C931-$AC$923),IF(DATE($C931,6,15)&gt;=$V$923,$Y$923*(1+($U$923)/100)^MAX(0,$C931-$AB$923),0)))))</f>
      </c>
      <c r="K931" s="43">
        <f>IF($S$923=0,0,IF(OR(DATE($C931,7,15)&lt;$S$923,AND($T$923&gt;0,DATE($C931,7,15)&gt;$T$923)),0,IF(DATE($C931,7,15)&gt;=$X$923,$AA$923*(1+($U$923)/100)^MAX(0,$C931-$AD$923),IF(DATE($C931,7,15)&gt;=$W$923,$Z$923*(1+($U$923)/100)^MAX(0,$C931-$AC$923),IF(DATE($C931,7,15)&gt;=$V$923,$Y$923*(1+($U$923)/100)^MAX(0,$C931-$AB$923),0)))))</f>
      </c>
      <c r="L931" s="43">
        <f>IF($S$923=0,0,IF(OR(DATE($C931,8,15)&lt;$S$923,AND($T$923&gt;0,DATE($C931,8,15)&gt;$T$923)),0,IF(DATE($C931,8,15)&gt;=$X$923,$AA$923*(1+($U$923)/100)^MAX(0,$C931-$AD$923),IF(DATE($C931,8,15)&gt;=$W$923,$Z$923*(1+($U$923)/100)^MAX(0,$C931-$AC$923),IF(DATE($C931,8,15)&gt;=$V$923,$Y$923*(1+($U$923)/100)^MAX(0,$C931-$AB$923),0)))))</f>
      </c>
      <c r="M931" s="43">
        <f>IF($S$923=0,0,IF(OR(DATE($C931,9,15)&lt;$S$923,AND($T$923&gt;0,DATE($C931,9,15)&gt;$T$923)),0,IF(DATE($C931,9,15)&gt;=$X$923,$AA$923*(1+($U$923)/100)^MAX(0,$C931-$AD$923),IF(DATE($C931,9,15)&gt;=$W$923,$Z$923*(1+($U$923)/100)^MAX(0,$C931-$AC$923),IF(DATE($C931,9,15)&gt;=$V$923,$Y$923*(1+($U$923)/100)^MAX(0,$C931-$AB$923),0)))))</f>
      </c>
      <c r="N931" s="43">
        <f>IF($S$923=0,0,IF(OR(DATE($C931,10,15)&lt;$S$923,AND($T$923&gt;0,DATE($C931,10,15)&gt;$T$923)),0,IF(DATE($C931,10,15)&gt;=$X$923,$AA$923*(1+($U$923)/100)^MAX(0,$C931-$AD$923),IF(DATE($C931,10,15)&gt;=$W$923,$Z$923*(1+($U$923)/100)^MAX(0,$C931-$AC$923),IF(DATE($C931,10,15)&gt;=$V$923,$Y$923*(1+($U$923)/100)^MAX(0,$C931-$AB$923),0)))))</f>
      </c>
      <c r="O931" s="43">
        <f>IF($S$923=0,0,IF(OR(DATE($C931,11,15)&lt;$S$923,AND($T$923&gt;0,DATE($C931,11,15)&gt;$T$923)),0,IF(DATE($C931,11,15)&gt;=$X$923,$AA$923*(1+($U$923)/100)^MAX(0,$C931-$AD$923),IF(DATE($C931,11,15)&gt;=$W$923,$Z$923*(1+($U$923)/100)^MAX(0,$C931-$AC$923),IF(DATE($C931,11,15)&gt;=$V$923,$Y$923*(1+($U$923)/100)^MAX(0,$C931-$AB$923),0)))))</f>
      </c>
      <c r="P931" s="43">
        <f>IF($S$923=0,0,IF(OR(DATE($C931,12,15)&lt;$S$923,AND($T$923&gt;0,DATE($C931,12,15)&gt;$T$923)),0,IF(DATE($C931,12,15)&gt;=$X$923,$AA$923*(1+($U$923)/100)^MAX(0,$C931-$AD$923),IF(DATE($C931,12,15)&gt;=$W$923,$Z$923*(1+($U$923)/100)^MAX(0,$C931-$AC$923),IF(DATE($C931,12,15)&gt;=$V$923,$Y$923*(1+($U$923)/100)^MAX(0,$C931-$AB$923),0)))))</f>
      </c>
      <c r="Q931" s="43">
        <f>SUM($E931:$P931)</f>
      </c>
    </row>
    <row r="932">
      <c r="A932"/>
      <c r="B932">
        <v>30</v>
      </c>
      <c r="C932" s="43">
        <f>Jahr+9</f>
      </c>
      <c r="D932" s="43">
        <f>INDEX(MvObj,30)</f>
      </c>
      <c r="E932" s="43">
        <f>IF($S$923=0,0,IF(OR(DATE($C932,1,15)&lt;$S$923,AND($T$923&gt;0,DATE($C932,1,15)&gt;$T$923)),0,IF(DATE($C932,1,15)&gt;=$X$923,$AA$923*(1+($U$923)/100)^MAX(0,$C932-$AD$923),IF(DATE($C932,1,15)&gt;=$W$923,$Z$923*(1+($U$923)/100)^MAX(0,$C932-$AC$923),IF(DATE($C932,1,15)&gt;=$V$923,$Y$923*(1+($U$923)/100)^MAX(0,$C932-$AB$923),0)))))</f>
      </c>
      <c r="F932" s="43">
        <f>IF($S$923=0,0,IF(OR(DATE($C932,2,15)&lt;$S$923,AND($T$923&gt;0,DATE($C932,2,15)&gt;$T$923)),0,IF(DATE($C932,2,15)&gt;=$X$923,$AA$923*(1+($U$923)/100)^MAX(0,$C932-$AD$923),IF(DATE($C932,2,15)&gt;=$W$923,$Z$923*(1+($U$923)/100)^MAX(0,$C932-$AC$923),IF(DATE($C932,2,15)&gt;=$V$923,$Y$923*(1+($U$923)/100)^MAX(0,$C932-$AB$923),0)))))</f>
      </c>
      <c r="G932" s="43">
        <f>IF($S$923=0,0,IF(OR(DATE($C932,3,15)&lt;$S$923,AND($T$923&gt;0,DATE($C932,3,15)&gt;$T$923)),0,IF(DATE($C932,3,15)&gt;=$X$923,$AA$923*(1+($U$923)/100)^MAX(0,$C932-$AD$923),IF(DATE($C932,3,15)&gt;=$W$923,$Z$923*(1+($U$923)/100)^MAX(0,$C932-$AC$923),IF(DATE($C932,3,15)&gt;=$V$923,$Y$923*(1+($U$923)/100)^MAX(0,$C932-$AB$923),0)))))</f>
      </c>
      <c r="H932" s="43">
        <f>IF($S$923=0,0,IF(OR(DATE($C932,4,15)&lt;$S$923,AND($T$923&gt;0,DATE($C932,4,15)&gt;$T$923)),0,IF(DATE($C932,4,15)&gt;=$X$923,$AA$923*(1+($U$923)/100)^MAX(0,$C932-$AD$923),IF(DATE($C932,4,15)&gt;=$W$923,$Z$923*(1+($U$923)/100)^MAX(0,$C932-$AC$923),IF(DATE($C932,4,15)&gt;=$V$923,$Y$923*(1+($U$923)/100)^MAX(0,$C932-$AB$923),0)))))</f>
      </c>
      <c r="I932" s="43">
        <f>IF($S$923=0,0,IF(OR(DATE($C932,5,15)&lt;$S$923,AND($T$923&gt;0,DATE($C932,5,15)&gt;$T$923)),0,IF(DATE($C932,5,15)&gt;=$X$923,$AA$923*(1+($U$923)/100)^MAX(0,$C932-$AD$923),IF(DATE($C932,5,15)&gt;=$W$923,$Z$923*(1+($U$923)/100)^MAX(0,$C932-$AC$923),IF(DATE($C932,5,15)&gt;=$V$923,$Y$923*(1+($U$923)/100)^MAX(0,$C932-$AB$923),0)))))</f>
      </c>
      <c r="J932" s="43">
        <f>IF($S$923=0,0,IF(OR(DATE($C932,6,15)&lt;$S$923,AND($T$923&gt;0,DATE($C932,6,15)&gt;$T$923)),0,IF(DATE($C932,6,15)&gt;=$X$923,$AA$923*(1+($U$923)/100)^MAX(0,$C932-$AD$923),IF(DATE($C932,6,15)&gt;=$W$923,$Z$923*(1+($U$923)/100)^MAX(0,$C932-$AC$923),IF(DATE($C932,6,15)&gt;=$V$923,$Y$923*(1+($U$923)/100)^MAX(0,$C932-$AB$923),0)))))</f>
      </c>
      <c r="K932" s="43">
        <f>IF($S$923=0,0,IF(OR(DATE($C932,7,15)&lt;$S$923,AND($T$923&gt;0,DATE($C932,7,15)&gt;$T$923)),0,IF(DATE($C932,7,15)&gt;=$X$923,$AA$923*(1+($U$923)/100)^MAX(0,$C932-$AD$923),IF(DATE($C932,7,15)&gt;=$W$923,$Z$923*(1+($U$923)/100)^MAX(0,$C932-$AC$923),IF(DATE($C932,7,15)&gt;=$V$923,$Y$923*(1+($U$923)/100)^MAX(0,$C932-$AB$923),0)))))</f>
      </c>
      <c r="L932" s="43">
        <f>IF($S$923=0,0,IF(OR(DATE($C932,8,15)&lt;$S$923,AND($T$923&gt;0,DATE($C932,8,15)&gt;$T$923)),0,IF(DATE($C932,8,15)&gt;=$X$923,$AA$923*(1+($U$923)/100)^MAX(0,$C932-$AD$923),IF(DATE($C932,8,15)&gt;=$W$923,$Z$923*(1+($U$923)/100)^MAX(0,$C932-$AC$923),IF(DATE($C932,8,15)&gt;=$V$923,$Y$923*(1+($U$923)/100)^MAX(0,$C932-$AB$923),0)))))</f>
      </c>
      <c r="M932" s="43">
        <f>IF($S$923=0,0,IF(OR(DATE($C932,9,15)&lt;$S$923,AND($T$923&gt;0,DATE($C932,9,15)&gt;$T$923)),0,IF(DATE($C932,9,15)&gt;=$X$923,$AA$923*(1+($U$923)/100)^MAX(0,$C932-$AD$923),IF(DATE($C932,9,15)&gt;=$W$923,$Z$923*(1+($U$923)/100)^MAX(0,$C932-$AC$923),IF(DATE($C932,9,15)&gt;=$V$923,$Y$923*(1+($U$923)/100)^MAX(0,$C932-$AB$923),0)))))</f>
      </c>
      <c r="N932" s="43">
        <f>IF($S$923=0,0,IF(OR(DATE($C932,10,15)&lt;$S$923,AND($T$923&gt;0,DATE($C932,10,15)&gt;$T$923)),0,IF(DATE($C932,10,15)&gt;=$X$923,$AA$923*(1+($U$923)/100)^MAX(0,$C932-$AD$923),IF(DATE($C932,10,15)&gt;=$W$923,$Z$923*(1+($U$923)/100)^MAX(0,$C932-$AC$923),IF(DATE($C932,10,15)&gt;=$V$923,$Y$923*(1+($U$923)/100)^MAX(0,$C932-$AB$923),0)))))</f>
      </c>
      <c r="O932" s="43">
        <f>IF($S$923=0,0,IF(OR(DATE($C932,11,15)&lt;$S$923,AND($T$923&gt;0,DATE($C932,11,15)&gt;$T$923)),0,IF(DATE($C932,11,15)&gt;=$X$923,$AA$923*(1+($U$923)/100)^MAX(0,$C932-$AD$923),IF(DATE($C932,11,15)&gt;=$W$923,$Z$923*(1+($U$923)/100)^MAX(0,$C932-$AC$923),IF(DATE($C932,11,15)&gt;=$V$923,$Y$923*(1+($U$923)/100)^MAX(0,$C932-$AB$923),0)))))</f>
      </c>
      <c r="P932" s="43">
        <f>IF($S$923=0,0,IF(OR(DATE($C932,12,15)&lt;$S$923,AND($T$923&gt;0,DATE($C932,12,15)&gt;$T$923)),0,IF(DATE($C932,12,15)&gt;=$X$923,$AA$923*(1+($U$923)/100)^MAX(0,$C932-$AD$923),IF(DATE($C932,12,15)&gt;=$W$923,$Z$923*(1+($U$923)/100)^MAX(0,$C932-$AC$923),IF(DATE($C932,12,15)&gt;=$V$923,$Y$923*(1+($U$923)/100)^MAX(0,$C932-$AB$923),0)))))</f>
      </c>
      <c r="Q932" s="43">
        <f>SUM($E932:$P932)</f>
      </c>
    </row>
    <row r="933">
      <c r="A933"/>
      <c r="B933">
        <v>30</v>
      </c>
      <c r="C933" s="43">
        <f>Jahr+10</f>
      </c>
      <c r="D933" s="43">
        <f>INDEX(MvObj,30)</f>
      </c>
      <c r="E933" s="43">
        <f>IF($S$923=0,0,IF(OR(DATE($C933,1,15)&lt;$S$923,AND($T$923&gt;0,DATE($C933,1,15)&gt;$T$923)),0,IF(DATE($C933,1,15)&gt;=$X$923,$AA$923*(1+($U$923)/100)^MAX(0,$C933-$AD$923),IF(DATE($C933,1,15)&gt;=$W$923,$Z$923*(1+($U$923)/100)^MAX(0,$C933-$AC$923),IF(DATE($C933,1,15)&gt;=$V$923,$Y$923*(1+($U$923)/100)^MAX(0,$C933-$AB$923),0)))))</f>
      </c>
      <c r="F933" s="43">
        <f>IF($S$923=0,0,IF(OR(DATE($C933,2,15)&lt;$S$923,AND($T$923&gt;0,DATE($C933,2,15)&gt;$T$923)),0,IF(DATE($C933,2,15)&gt;=$X$923,$AA$923*(1+($U$923)/100)^MAX(0,$C933-$AD$923),IF(DATE($C933,2,15)&gt;=$W$923,$Z$923*(1+($U$923)/100)^MAX(0,$C933-$AC$923),IF(DATE($C933,2,15)&gt;=$V$923,$Y$923*(1+($U$923)/100)^MAX(0,$C933-$AB$923),0)))))</f>
      </c>
      <c r="G933" s="43">
        <f>IF($S$923=0,0,IF(OR(DATE($C933,3,15)&lt;$S$923,AND($T$923&gt;0,DATE($C933,3,15)&gt;$T$923)),0,IF(DATE($C933,3,15)&gt;=$X$923,$AA$923*(1+($U$923)/100)^MAX(0,$C933-$AD$923),IF(DATE($C933,3,15)&gt;=$W$923,$Z$923*(1+($U$923)/100)^MAX(0,$C933-$AC$923),IF(DATE($C933,3,15)&gt;=$V$923,$Y$923*(1+($U$923)/100)^MAX(0,$C933-$AB$923),0)))))</f>
      </c>
      <c r="H933" s="43">
        <f>IF($S$923=0,0,IF(OR(DATE($C933,4,15)&lt;$S$923,AND($T$923&gt;0,DATE($C933,4,15)&gt;$T$923)),0,IF(DATE($C933,4,15)&gt;=$X$923,$AA$923*(1+($U$923)/100)^MAX(0,$C933-$AD$923),IF(DATE($C933,4,15)&gt;=$W$923,$Z$923*(1+($U$923)/100)^MAX(0,$C933-$AC$923),IF(DATE($C933,4,15)&gt;=$V$923,$Y$923*(1+($U$923)/100)^MAX(0,$C933-$AB$923),0)))))</f>
      </c>
      <c r="I933" s="43">
        <f>IF($S$923=0,0,IF(OR(DATE($C933,5,15)&lt;$S$923,AND($T$923&gt;0,DATE($C933,5,15)&gt;$T$923)),0,IF(DATE($C933,5,15)&gt;=$X$923,$AA$923*(1+($U$923)/100)^MAX(0,$C933-$AD$923),IF(DATE($C933,5,15)&gt;=$W$923,$Z$923*(1+($U$923)/100)^MAX(0,$C933-$AC$923),IF(DATE($C933,5,15)&gt;=$V$923,$Y$923*(1+($U$923)/100)^MAX(0,$C933-$AB$923),0)))))</f>
      </c>
      <c r="J933" s="43">
        <f>IF($S$923=0,0,IF(OR(DATE($C933,6,15)&lt;$S$923,AND($T$923&gt;0,DATE($C933,6,15)&gt;$T$923)),0,IF(DATE($C933,6,15)&gt;=$X$923,$AA$923*(1+($U$923)/100)^MAX(0,$C933-$AD$923),IF(DATE($C933,6,15)&gt;=$W$923,$Z$923*(1+($U$923)/100)^MAX(0,$C933-$AC$923),IF(DATE($C933,6,15)&gt;=$V$923,$Y$923*(1+($U$923)/100)^MAX(0,$C933-$AB$923),0)))))</f>
      </c>
      <c r="K933" s="43">
        <f>IF($S$923=0,0,IF(OR(DATE($C933,7,15)&lt;$S$923,AND($T$923&gt;0,DATE($C933,7,15)&gt;$T$923)),0,IF(DATE($C933,7,15)&gt;=$X$923,$AA$923*(1+($U$923)/100)^MAX(0,$C933-$AD$923),IF(DATE($C933,7,15)&gt;=$W$923,$Z$923*(1+($U$923)/100)^MAX(0,$C933-$AC$923),IF(DATE($C933,7,15)&gt;=$V$923,$Y$923*(1+($U$923)/100)^MAX(0,$C933-$AB$923),0)))))</f>
      </c>
      <c r="L933" s="43">
        <f>IF($S$923=0,0,IF(OR(DATE($C933,8,15)&lt;$S$923,AND($T$923&gt;0,DATE($C933,8,15)&gt;$T$923)),0,IF(DATE($C933,8,15)&gt;=$X$923,$AA$923*(1+($U$923)/100)^MAX(0,$C933-$AD$923),IF(DATE($C933,8,15)&gt;=$W$923,$Z$923*(1+($U$923)/100)^MAX(0,$C933-$AC$923),IF(DATE($C933,8,15)&gt;=$V$923,$Y$923*(1+($U$923)/100)^MAX(0,$C933-$AB$923),0)))))</f>
      </c>
      <c r="M933" s="43">
        <f>IF($S$923=0,0,IF(OR(DATE($C933,9,15)&lt;$S$923,AND($T$923&gt;0,DATE($C933,9,15)&gt;$T$923)),0,IF(DATE($C933,9,15)&gt;=$X$923,$AA$923*(1+($U$923)/100)^MAX(0,$C933-$AD$923),IF(DATE($C933,9,15)&gt;=$W$923,$Z$923*(1+($U$923)/100)^MAX(0,$C933-$AC$923),IF(DATE($C933,9,15)&gt;=$V$923,$Y$923*(1+($U$923)/100)^MAX(0,$C933-$AB$923),0)))))</f>
      </c>
      <c r="N933" s="43">
        <f>IF($S$923=0,0,IF(OR(DATE($C933,10,15)&lt;$S$923,AND($T$923&gt;0,DATE($C933,10,15)&gt;$T$923)),0,IF(DATE($C933,10,15)&gt;=$X$923,$AA$923*(1+($U$923)/100)^MAX(0,$C933-$AD$923),IF(DATE($C933,10,15)&gt;=$W$923,$Z$923*(1+($U$923)/100)^MAX(0,$C933-$AC$923),IF(DATE($C933,10,15)&gt;=$V$923,$Y$923*(1+($U$923)/100)^MAX(0,$C933-$AB$923),0)))))</f>
      </c>
      <c r="O933" s="43">
        <f>IF($S$923=0,0,IF(OR(DATE($C933,11,15)&lt;$S$923,AND($T$923&gt;0,DATE($C933,11,15)&gt;$T$923)),0,IF(DATE($C933,11,15)&gt;=$X$923,$AA$923*(1+($U$923)/100)^MAX(0,$C933-$AD$923),IF(DATE($C933,11,15)&gt;=$W$923,$Z$923*(1+($U$923)/100)^MAX(0,$C933-$AC$923),IF(DATE($C933,11,15)&gt;=$V$923,$Y$923*(1+($U$923)/100)^MAX(0,$C933-$AB$923),0)))))</f>
      </c>
      <c r="P933" s="43">
        <f>IF($S$923=0,0,IF(OR(DATE($C933,12,15)&lt;$S$923,AND($T$923&gt;0,DATE($C933,12,15)&gt;$T$923)),0,IF(DATE($C933,12,15)&gt;=$X$923,$AA$923*(1+($U$923)/100)^MAX(0,$C933-$AD$923),IF(DATE($C933,12,15)&gt;=$W$923,$Z$923*(1+($U$923)/100)^MAX(0,$C933-$AC$923),IF(DATE($C933,12,15)&gt;=$V$923,$Y$923*(1+($U$923)/100)^MAX(0,$C933-$AB$923),0)))))</f>
      </c>
      <c r="Q933" s="43">
        <f>SUM($E933:$P933)</f>
      </c>
    </row>
    <row r="934">
      <c r="A934"/>
      <c r="B934">
        <v>30</v>
      </c>
      <c r="C934" s="43">
        <f>Jahr+11</f>
      </c>
      <c r="D934" s="43">
        <f>INDEX(MvObj,30)</f>
      </c>
      <c r="E934" s="43">
        <f>IF($S$923=0,0,IF(OR(DATE($C934,1,15)&lt;$S$923,AND($T$923&gt;0,DATE($C934,1,15)&gt;$T$923)),0,IF(DATE($C934,1,15)&gt;=$X$923,$AA$923*(1+($U$923)/100)^MAX(0,$C934-$AD$923),IF(DATE($C934,1,15)&gt;=$W$923,$Z$923*(1+($U$923)/100)^MAX(0,$C934-$AC$923),IF(DATE($C934,1,15)&gt;=$V$923,$Y$923*(1+($U$923)/100)^MAX(0,$C934-$AB$923),0)))))</f>
      </c>
      <c r="F934" s="43">
        <f>IF($S$923=0,0,IF(OR(DATE($C934,2,15)&lt;$S$923,AND($T$923&gt;0,DATE($C934,2,15)&gt;$T$923)),0,IF(DATE($C934,2,15)&gt;=$X$923,$AA$923*(1+($U$923)/100)^MAX(0,$C934-$AD$923),IF(DATE($C934,2,15)&gt;=$W$923,$Z$923*(1+($U$923)/100)^MAX(0,$C934-$AC$923),IF(DATE($C934,2,15)&gt;=$V$923,$Y$923*(1+($U$923)/100)^MAX(0,$C934-$AB$923),0)))))</f>
      </c>
      <c r="G934" s="43">
        <f>IF($S$923=0,0,IF(OR(DATE($C934,3,15)&lt;$S$923,AND($T$923&gt;0,DATE($C934,3,15)&gt;$T$923)),0,IF(DATE($C934,3,15)&gt;=$X$923,$AA$923*(1+($U$923)/100)^MAX(0,$C934-$AD$923),IF(DATE($C934,3,15)&gt;=$W$923,$Z$923*(1+($U$923)/100)^MAX(0,$C934-$AC$923),IF(DATE($C934,3,15)&gt;=$V$923,$Y$923*(1+($U$923)/100)^MAX(0,$C934-$AB$923),0)))))</f>
      </c>
      <c r="H934" s="43">
        <f>IF($S$923=0,0,IF(OR(DATE($C934,4,15)&lt;$S$923,AND($T$923&gt;0,DATE($C934,4,15)&gt;$T$923)),0,IF(DATE($C934,4,15)&gt;=$X$923,$AA$923*(1+($U$923)/100)^MAX(0,$C934-$AD$923),IF(DATE($C934,4,15)&gt;=$W$923,$Z$923*(1+($U$923)/100)^MAX(0,$C934-$AC$923),IF(DATE($C934,4,15)&gt;=$V$923,$Y$923*(1+($U$923)/100)^MAX(0,$C934-$AB$923),0)))))</f>
      </c>
      <c r="I934" s="43">
        <f>IF($S$923=0,0,IF(OR(DATE($C934,5,15)&lt;$S$923,AND($T$923&gt;0,DATE($C934,5,15)&gt;$T$923)),0,IF(DATE($C934,5,15)&gt;=$X$923,$AA$923*(1+($U$923)/100)^MAX(0,$C934-$AD$923),IF(DATE($C934,5,15)&gt;=$W$923,$Z$923*(1+($U$923)/100)^MAX(0,$C934-$AC$923),IF(DATE($C934,5,15)&gt;=$V$923,$Y$923*(1+($U$923)/100)^MAX(0,$C934-$AB$923),0)))))</f>
      </c>
      <c r="J934" s="43">
        <f>IF($S$923=0,0,IF(OR(DATE($C934,6,15)&lt;$S$923,AND($T$923&gt;0,DATE($C934,6,15)&gt;$T$923)),0,IF(DATE($C934,6,15)&gt;=$X$923,$AA$923*(1+($U$923)/100)^MAX(0,$C934-$AD$923),IF(DATE($C934,6,15)&gt;=$W$923,$Z$923*(1+($U$923)/100)^MAX(0,$C934-$AC$923),IF(DATE($C934,6,15)&gt;=$V$923,$Y$923*(1+($U$923)/100)^MAX(0,$C934-$AB$923),0)))))</f>
      </c>
      <c r="K934" s="43">
        <f>IF($S$923=0,0,IF(OR(DATE($C934,7,15)&lt;$S$923,AND($T$923&gt;0,DATE($C934,7,15)&gt;$T$923)),0,IF(DATE($C934,7,15)&gt;=$X$923,$AA$923*(1+($U$923)/100)^MAX(0,$C934-$AD$923),IF(DATE($C934,7,15)&gt;=$W$923,$Z$923*(1+($U$923)/100)^MAX(0,$C934-$AC$923),IF(DATE($C934,7,15)&gt;=$V$923,$Y$923*(1+($U$923)/100)^MAX(0,$C934-$AB$923),0)))))</f>
      </c>
      <c r="L934" s="43">
        <f>IF($S$923=0,0,IF(OR(DATE($C934,8,15)&lt;$S$923,AND($T$923&gt;0,DATE($C934,8,15)&gt;$T$923)),0,IF(DATE($C934,8,15)&gt;=$X$923,$AA$923*(1+($U$923)/100)^MAX(0,$C934-$AD$923),IF(DATE($C934,8,15)&gt;=$W$923,$Z$923*(1+($U$923)/100)^MAX(0,$C934-$AC$923),IF(DATE($C934,8,15)&gt;=$V$923,$Y$923*(1+($U$923)/100)^MAX(0,$C934-$AB$923),0)))))</f>
      </c>
      <c r="M934" s="43">
        <f>IF($S$923=0,0,IF(OR(DATE($C934,9,15)&lt;$S$923,AND($T$923&gt;0,DATE($C934,9,15)&gt;$T$923)),0,IF(DATE($C934,9,15)&gt;=$X$923,$AA$923*(1+($U$923)/100)^MAX(0,$C934-$AD$923),IF(DATE($C934,9,15)&gt;=$W$923,$Z$923*(1+($U$923)/100)^MAX(0,$C934-$AC$923),IF(DATE($C934,9,15)&gt;=$V$923,$Y$923*(1+($U$923)/100)^MAX(0,$C934-$AB$923),0)))))</f>
      </c>
      <c r="N934" s="43">
        <f>IF($S$923=0,0,IF(OR(DATE($C934,10,15)&lt;$S$923,AND($T$923&gt;0,DATE($C934,10,15)&gt;$T$923)),0,IF(DATE($C934,10,15)&gt;=$X$923,$AA$923*(1+($U$923)/100)^MAX(0,$C934-$AD$923),IF(DATE($C934,10,15)&gt;=$W$923,$Z$923*(1+($U$923)/100)^MAX(0,$C934-$AC$923),IF(DATE($C934,10,15)&gt;=$V$923,$Y$923*(1+($U$923)/100)^MAX(0,$C934-$AB$923),0)))))</f>
      </c>
      <c r="O934" s="43">
        <f>IF($S$923=0,0,IF(OR(DATE($C934,11,15)&lt;$S$923,AND($T$923&gt;0,DATE($C934,11,15)&gt;$T$923)),0,IF(DATE($C934,11,15)&gt;=$X$923,$AA$923*(1+($U$923)/100)^MAX(0,$C934-$AD$923),IF(DATE($C934,11,15)&gt;=$W$923,$Z$923*(1+($U$923)/100)^MAX(0,$C934-$AC$923),IF(DATE($C934,11,15)&gt;=$V$923,$Y$923*(1+($U$923)/100)^MAX(0,$C934-$AB$923),0)))))</f>
      </c>
      <c r="P934" s="43">
        <f>IF($S$923=0,0,IF(OR(DATE($C934,12,15)&lt;$S$923,AND($T$923&gt;0,DATE($C934,12,15)&gt;$T$923)),0,IF(DATE($C934,12,15)&gt;=$X$923,$AA$923*(1+($U$923)/100)^MAX(0,$C934-$AD$923),IF(DATE($C934,12,15)&gt;=$W$923,$Z$923*(1+($U$923)/100)^MAX(0,$C934-$AC$923),IF(DATE($C934,12,15)&gt;=$V$923,$Y$923*(1+($U$923)/100)^MAX(0,$C934-$AB$923),0)))))</f>
      </c>
      <c r="Q934" s="43">
        <f>SUM($E934:$P934)</f>
      </c>
    </row>
    <row r="935">
      <c r="A935"/>
      <c r="B935">
        <v>30</v>
      </c>
      <c r="C935" s="43">
        <f>Jahr+12</f>
      </c>
      <c r="D935" s="43">
        <f>INDEX(MvObj,30)</f>
      </c>
      <c r="E935" s="43">
        <f>IF($S$923=0,0,IF(OR(DATE($C935,1,15)&lt;$S$923,AND($T$923&gt;0,DATE($C935,1,15)&gt;$T$923)),0,IF(DATE($C935,1,15)&gt;=$X$923,$AA$923*(1+($U$923)/100)^MAX(0,$C935-$AD$923),IF(DATE($C935,1,15)&gt;=$W$923,$Z$923*(1+($U$923)/100)^MAX(0,$C935-$AC$923),IF(DATE($C935,1,15)&gt;=$V$923,$Y$923*(1+($U$923)/100)^MAX(0,$C935-$AB$923),0)))))</f>
      </c>
      <c r="F935" s="43">
        <f>IF($S$923=0,0,IF(OR(DATE($C935,2,15)&lt;$S$923,AND($T$923&gt;0,DATE($C935,2,15)&gt;$T$923)),0,IF(DATE($C935,2,15)&gt;=$X$923,$AA$923*(1+($U$923)/100)^MAX(0,$C935-$AD$923),IF(DATE($C935,2,15)&gt;=$W$923,$Z$923*(1+($U$923)/100)^MAX(0,$C935-$AC$923),IF(DATE($C935,2,15)&gt;=$V$923,$Y$923*(1+($U$923)/100)^MAX(0,$C935-$AB$923),0)))))</f>
      </c>
      <c r="G935" s="43">
        <f>IF($S$923=0,0,IF(OR(DATE($C935,3,15)&lt;$S$923,AND($T$923&gt;0,DATE($C935,3,15)&gt;$T$923)),0,IF(DATE($C935,3,15)&gt;=$X$923,$AA$923*(1+($U$923)/100)^MAX(0,$C935-$AD$923),IF(DATE($C935,3,15)&gt;=$W$923,$Z$923*(1+($U$923)/100)^MAX(0,$C935-$AC$923),IF(DATE($C935,3,15)&gt;=$V$923,$Y$923*(1+($U$923)/100)^MAX(0,$C935-$AB$923),0)))))</f>
      </c>
      <c r="H935" s="43">
        <f>IF($S$923=0,0,IF(OR(DATE($C935,4,15)&lt;$S$923,AND($T$923&gt;0,DATE($C935,4,15)&gt;$T$923)),0,IF(DATE($C935,4,15)&gt;=$X$923,$AA$923*(1+($U$923)/100)^MAX(0,$C935-$AD$923),IF(DATE($C935,4,15)&gt;=$W$923,$Z$923*(1+($U$923)/100)^MAX(0,$C935-$AC$923),IF(DATE($C935,4,15)&gt;=$V$923,$Y$923*(1+($U$923)/100)^MAX(0,$C935-$AB$923),0)))))</f>
      </c>
      <c r="I935" s="43">
        <f>IF($S$923=0,0,IF(OR(DATE($C935,5,15)&lt;$S$923,AND($T$923&gt;0,DATE($C935,5,15)&gt;$T$923)),0,IF(DATE($C935,5,15)&gt;=$X$923,$AA$923*(1+($U$923)/100)^MAX(0,$C935-$AD$923),IF(DATE($C935,5,15)&gt;=$W$923,$Z$923*(1+($U$923)/100)^MAX(0,$C935-$AC$923),IF(DATE($C935,5,15)&gt;=$V$923,$Y$923*(1+($U$923)/100)^MAX(0,$C935-$AB$923),0)))))</f>
      </c>
      <c r="J935" s="43">
        <f>IF($S$923=0,0,IF(OR(DATE($C935,6,15)&lt;$S$923,AND($T$923&gt;0,DATE($C935,6,15)&gt;$T$923)),0,IF(DATE($C935,6,15)&gt;=$X$923,$AA$923*(1+($U$923)/100)^MAX(0,$C935-$AD$923),IF(DATE($C935,6,15)&gt;=$W$923,$Z$923*(1+($U$923)/100)^MAX(0,$C935-$AC$923),IF(DATE($C935,6,15)&gt;=$V$923,$Y$923*(1+($U$923)/100)^MAX(0,$C935-$AB$923),0)))))</f>
      </c>
      <c r="K935" s="43">
        <f>IF($S$923=0,0,IF(OR(DATE($C935,7,15)&lt;$S$923,AND($T$923&gt;0,DATE($C935,7,15)&gt;$T$923)),0,IF(DATE($C935,7,15)&gt;=$X$923,$AA$923*(1+($U$923)/100)^MAX(0,$C935-$AD$923),IF(DATE($C935,7,15)&gt;=$W$923,$Z$923*(1+($U$923)/100)^MAX(0,$C935-$AC$923),IF(DATE($C935,7,15)&gt;=$V$923,$Y$923*(1+($U$923)/100)^MAX(0,$C935-$AB$923),0)))))</f>
      </c>
      <c r="L935" s="43">
        <f>IF($S$923=0,0,IF(OR(DATE($C935,8,15)&lt;$S$923,AND($T$923&gt;0,DATE($C935,8,15)&gt;$T$923)),0,IF(DATE($C935,8,15)&gt;=$X$923,$AA$923*(1+($U$923)/100)^MAX(0,$C935-$AD$923),IF(DATE($C935,8,15)&gt;=$W$923,$Z$923*(1+($U$923)/100)^MAX(0,$C935-$AC$923),IF(DATE($C935,8,15)&gt;=$V$923,$Y$923*(1+($U$923)/100)^MAX(0,$C935-$AB$923),0)))))</f>
      </c>
      <c r="M935" s="43">
        <f>IF($S$923=0,0,IF(OR(DATE($C935,9,15)&lt;$S$923,AND($T$923&gt;0,DATE($C935,9,15)&gt;$T$923)),0,IF(DATE($C935,9,15)&gt;=$X$923,$AA$923*(1+($U$923)/100)^MAX(0,$C935-$AD$923),IF(DATE($C935,9,15)&gt;=$W$923,$Z$923*(1+($U$923)/100)^MAX(0,$C935-$AC$923),IF(DATE($C935,9,15)&gt;=$V$923,$Y$923*(1+($U$923)/100)^MAX(0,$C935-$AB$923),0)))))</f>
      </c>
      <c r="N935" s="43">
        <f>IF($S$923=0,0,IF(OR(DATE($C935,10,15)&lt;$S$923,AND($T$923&gt;0,DATE($C935,10,15)&gt;$T$923)),0,IF(DATE($C935,10,15)&gt;=$X$923,$AA$923*(1+($U$923)/100)^MAX(0,$C935-$AD$923),IF(DATE($C935,10,15)&gt;=$W$923,$Z$923*(1+($U$923)/100)^MAX(0,$C935-$AC$923),IF(DATE($C935,10,15)&gt;=$V$923,$Y$923*(1+($U$923)/100)^MAX(0,$C935-$AB$923),0)))))</f>
      </c>
      <c r="O935" s="43">
        <f>IF($S$923=0,0,IF(OR(DATE($C935,11,15)&lt;$S$923,AND($T$923&gt;0,DATE($C935,11,15)&gt;$T$923)),0,IF(DATE($C935,11,15)&gt;=$X$923,$AA$923*(1+($U$923)/100)^MAX(0,$C935-$AD$923),IF(DATE($C935,11,15)&gt;=$W$923,$Z$923*(1+($U$923)/100)^MAX(0,$C935-$AC$923),IF(DATE($C935,11,15)&gt;=$V$923,$Y$923*(1+($U$923)/100)^MAX(0,$C935-$AB$923),0)))))</f>
      </c>
      <c r="P935" s="43">
        <f>IF($S$923=0,0,IF(OR(DATE($C935,12,15)&lt;$S$923,AND($T$923&gt;0,DATE($C935,12,15)&gt;$T$923)),0,IF(DATE($C935,12,15)&gt;=$X$923,$AA$923*(1+($U$923)/100)^MAX(0,$C935-$AD$923),IF(DATE($C935,12,15)&gt;=$W$923,$Z$923*(1+($U$923)/100)^MAX(0,$C935-$AC$923),IF(DATE($C935,12,15)&gt;=$V$923,$Y$923*(1+($U$923)/100)^MAX(0,$C935-$AB$923),0)))))</f>
      </c>
      <c r="Q935" s="43">
        <f>SUM($E935:$P935)</f>
      </c>
    </row>
    <row r="936">
      <c r="A936"/>
      <c r="B936">
        <v>30</v>
      </c>
      <c r="C936" s="43">
        <f>Jahr+13</f>
      </c>
      <c r="D936" s="43">
        <f>INDEX(MvObj,30)</f>
      </c>
      <c r="E936" s="43">
        <f>IF($S$923=0,0,IF(OR(DATE($C936,1,15)&lt;$S$923,AND($T$923&gt;0,DATE($C936,1,15)&gt;$T$923)),0,IF(DATE($C936,1,15)&gt;=$X$923,$AA$923*(1+($U$923)/100)^MAX(0,$C936-$AD$923),IF(DATE($C936,1,15)&gt;=$W$923,$Z$923*(1+($U$923)/100)^MAX(0,$C936-$AC$923),IF(DATE($C936,1,15)&gt;=$V$923,$Y$923*(1+($U$923)/100)^MAX(0,$C936-$AB$923),0)))))</f>
      </c>
      <c r="F936" s="43">
        <f>IF($S$923=0,0,IF(OR(DATE($C936,2,15)&lt;$S$923,AND($T$923&gt;0,DATE($C936,2,15)&gt;$T$923)),0,IF(DATE($C936,2,15)&gt;=$X$923,$AA$923*(1+($U$923)/100)^MAX(0,$C936-$AD$923),IF(DATE($C936,2,15)&gt;=$W$923,$Z$923*(1+($U$923)/100)^MAX(0,$C936-$AC$923),IF(DATE($C936,2,15)&gt;=$V$923,$Y$923*(1+($U$923)/100)^MAX(0,$C936-$AB$923),0)))))</f>
      </c>
      <c r="G936" s="43">
        <f>IF($S$923=0,0,IF(OR(DATE($C936,3,15)&lt;$S$923,AND($T$923&gt;0,DATE($C936,3,15)&gt;$T$923)),0,IF(DATE($C936,3,15)&gt;=$X$923,$AA$923*(1+($U$923)/100)^MAX(0,$C936-$AD$923),IF(DATE($C936,3,15)&gt;=$W$923,$Z$923*(1+($U$923)/100)^MAX(0,$C936-$AC$923),IF(DATE($C936,3,15)&gt;=$V$923,$Y$923*(1+($U$923)/100)^MAX(0,$C936-$AB$923),0)))))</f>
      </c>
      <c r="H936" s="43">
        <f>IF($S$923=0,0,IF(OR(DATE($C936,4,15)&lt;$S$923,AND($T$923&gt;0,DATE($C936,4,15)&gt;$T$923)),0,IF(DATE($C936,4,15)&gt;=$X$923,$AA$923*(1+($U$923)/100)^MAX(0,$C936-$AD$923),IF(DATE($C936,4,15)&gt;=$W$923,$Z$923*(1+($U$923)/100)^MAX(0,$C936-$AC$923),IF(DATE($C936,4,15)&gt;=$V$923,$Y$923*(1+($U$923)/100)^MAX(0,$C936-$AB$923),0)))))</f>
      </c>
      <c r="I936" s="43">
        <f>IF($S$923=0,0,IF(OR(DATE($C936,5,15)&lt;$S$923,AND($T$923&gt;0,DATE($C936,5,15)&gt;$T$923)),0,IF(DATE($C936,5,15)&gt;=$X$923,$AA$923*(1+($U$923)/100)^MAX(0,$C936-$AD$923),IF(DATE($C936,5,15)&gt;=$W$923,$Z$923*(1+($U$923)/100)^MAX(0,$C936-$AC$923),IF(DATE($C936,5,15)&gt;=$V$923,$Y$923*(1+($U$923)/100)^MAX(0,$C936-$AB$923),0)))))</f>
      </c>
      <c r="J936" s="43">
        <f>IF($S$923=0,0,IF(OR(DATE($C936,6,15)&lt;$S$923,AND($T$923&gt;0,DATE($C936,6,15)&gt;$T$923)),0,IF(DATE($C936,6,15)&gt;=$X$923,$AA$923*(1+($U$923)/100)^MAX(0,$C936-$AD$923),IF(DATE($C936,6,15)&gt;=$W$923,$Z$923*(1+($U$923)/100)^MAX(0,$C936-$AC$923),IF(DATE($C936,6,15)&gt;=$V$923,$Y$923*(1+($U$923)/100)^MAX(0,$C936-$AB$923),0)))))</f>
      </c>
      <c r="K936" s="43">
        <f>IF($S$923=0,0,IF(OR(DATE($C936,7,15)&lt;$S$923,AND($T$923&gt;0,DATE($C936,7,15)&gt;$T$923)),0,IF(DATE($C936,7,15)&gt;=$X$923,$AA$923*(1+($U$923)/100)^MAX(0,$C936-$AD$923),IF(DATE($C936,7,15)&gt;=$W$923,$Z$923*(1+($U$923)/100)^MAX(0,$C936-$AC$923),IF(DATE($C936,7,15)&gt;=$V$923,$Y$923*(1+($U$923)/100)^MAX(0,$C936-$AB$923),0)))))</f>
      </c>
      <c r="L936" s="43">
        <f>IF($S$923=0,0,IF(OR(DATE($C936,8,15)&lt;$S$923,AND($T$923&gt;0,DATE($C936,8,15)&gt;$T$923)),0,IF(DATE($C936,8,15)&gt;=$X$923,$AA$923*(1+($U$923)/100)^MAX(0,$C936-$AD$923),IF(DATE($C936,8,15)&gt;=$W$923,$Z$923*(1+($U$923)/100)^MAX(0,$C936-$AC$923),IF(DATE($C936,8,15)&gt;=$V$923,$Y$923*(1+($U$923)/100)^MAX(0,$C936-$AB$923),0)))))</f>
      </c>
      <c r="M936" s="43">
        <f>IF($S$923=0,0,IF(OR(DATE($C936,9,15)&lt;$S$923,AND($T$923&gt;0,DATE($C936,9,15)&gt;$T$923)),0,IF(DATE($C936,9,15)&gt;=$X$923,$AA$923*(1+($U$923)/100)^MAX(0,$C936-$AD$923),IF(DATE($C936,9,15)&gt;=$W$923,$Z$923*(1+($U$923)/100)^MAX(0,$C936-$AC$923),IF(DATE($C936,9,15)&gt;=$V$923,$Y$923*(1+($U$923)/100)^MAX(0,$C936-$AB$923),0)))))</f>
      </c>
      <c r="N936" s="43">
        <f>IF($S$923=0,0,IF(OR(DATE($C936,10,15)&lt;$S$923,AND($T$923&gt;0,DATE($C936,10,15)&gt;$T$923)),0,IF(DATE($C936,10,15)&gt;=$X$923,$AA$923*(1+($U$923)/100)^MAX(0,$C936-$AD$923),IF(DATE($C936,10,15)&gt;=$W$923,$Z$923*(1+($U$923)/100)^MAX(0,$C936-$AC$923),IF(DATE($C936,10,15)&gt;=$V$923,$Y$923*(1+($U$923)/100)^MAX(0,$C936-$AB$923),0)))))</f>
      </c>
      <c r="O936" s="43">
        <f>IF($S$923=0,0,IF(OR(DATE($C936,11,15)&lt;$S$923,AND($T$923&gt;0,DATE($C936,11,15)&gt;$T$923)),0,IF(DATE($C936,11,15)&gt;=$X$923,$AA$923*(1+($U$923)/100)^MAX(0,$C936-$AD$923),IF(DATE($C936,11,15)&gt;=$W$923,$Z$923*(1+($U$923)/100)^MAX(0,$C936-$AC$923),IF(DATE($C936,11,15)&gt;=$V$923,$Y$923*(1+($U$923)/100)^MAX(0,$C936-$AB$923),0)))))</f>
      </c>
      <c r="P936" s="43">
        <f>IF($S$923=0,0,IF(OR(DATE($C936,12,15)&lt;$S$923,AND($T$923&gt;0,DATE($C936,12,15)&gt;$T$923)),0,IF(DATE($C936,12,15)&gt;=$X$923,$AA$923*(1+($U$923)/100)^MAX(0,$C936-$AD$923),IF(DATE($C936,12,15)&gt;=$W$923,$Z$923*(1+($U$923)/100)^MAX(0,$C936-$AC$923),IF(DATE($C936,12,15)&gt;=$V$923,$Y$923*(1+($U$923)/100)^MAX(0,$C936-$AB$923),0)))))</f>
      </c>
      <c r="Q936" s="43">
        <f>SUM($E936:$P936)</f>
      </c>
    </row>
    <row r="937">
      <c r="A937"/>
      <c r="B937">
        <v>30</v>
      </c>
      <c r="C937" s="43">
        <f>Jahr+14</f>
      </c>
      <c r="D937" s="43">
        <f>INDEX(MvObj,30)</f>
      </c>
      <c r="E937" s="43">
        <f>IF($S$923=0,0,IF(OR(DATE($C937,1,15)&lt;$S$923,AND($T$923&gt;0,DATE($C937,1,15)&gt;$T$923)),0,IF(DATE($C937,1,15)&gt;=$X$923,$AA$923*(1+($U$923)/100)^MAX(0,$C937-$AD$923),IF(DATE($C937,1,15)&gt;=$W$923,$Z$923*(1+($U$923)/100)^MAX(0,$C937-$AC$923),IF(DATE($C937,1,15)&gt;=$V$923,$Y$923*(1+($U$923)/100)^MAX(0,$C937-$AB$923),0)))))</f>
      </c>
      <c r="F937" s="43">
        <f>IF($S$923=0,0,IF(OR(DATE($C937,2,15)&lt;$S$923,AND($T$923&gt;0,DATE($C937,2,15)&gt;$T$923)),0,IF(DATE($C937,2,15)&gt;=$X$923,$AA$923*(1+($U$923)/100)^MAX(0,$C937-$AD$923),IF(DATE($C937,2,15)&gt;=$W$923,$Z$923*(1+($U$923)/100)^MAX(0,$C937-$AC$923),IF(DATE($C937,2,15)&gt;=$V$923,$Y$923*(1+($U$923)/100)^MAX(0,$C937-$AB$923),0)))))</f>
      </c>
      <c r="G937" s="43">
        <f>IF($S$923=0,0,IF(OR(DATE($C937,3,15)&lt;$S$923,AND($T$923&gt;0,DATE($C937,3,15)&gt;$T$923)),0,IF(DATE($C937,3,15)&gt;=$X$923,$AA$923*(1+($U$923)/100)^MAX(0,$C937-$AD$923),IF(DATE($C937,3,15)&gt;=$W$923,$Z$923*(1+($U$923)/100)^MAX(0,$C937-$AC$923),IF(DATE($C937,3,15)&gt;=$V$923,$Y$923*(1+($U$923)/100)^MAX(0,$C937-$AB$923),0)))))</f>
      </c>
      <c r="H937" s="43">
        <f>IF($S$923=0,0,IF(OR(DATE($C937,4,15)&lt;$S$923,AND($T$923&gt;0,DATE($C937,4,15)&gt;$T$923)),0,IF(DATE($C937,4,15)&gt;=$X$923,$AA$923*(1+($U$923)/100)^MAX(0,$C937-$AD$923),IF(DATE($C937,4,15)&gt;=$W$923,$Z$923*(1+($U$923)/100)^MAX(0,$C937-$AC$923),IF(DATE($C937,4,15)&gt;=$V$923,$Y$923*(1+($U$923)/100)^MAX(0,$C937-$AB$923),0)))))</f>
      </c>
      <c r="I937" s="43">
        <f>IF($S$923=0,0,IF(OR(DATE($C937,5,15)&lt;$S$923,AND($T$923&gt;0,DATE($C937,5,15)&gt;$T$923)),0,IF(DATE($C937,5,15)&gt;=$X$923,$AA$923*(1+($U$923)/100)^MAX(0,$C937-$AD$923),IF(DATE($C937,5,15)&gt;=$W$923,$Z$923*(1+($U$923)/100)^MAX(0,$C937-$AC$923),IF(DATE($C937,5,15)&gt;=$V$923,$Y$923*(1+($U$923)/100)^MAX(0,$C937-$AB$923),0)))))</f>
      </c>
      <c r="J937" s="43">
        <f>IF($S$923=0,0,IF(OR(DATE($C937,6,15)&lt;$S$923,AND($T$923&gt;0,DATE($C937,6,15)&gt;$T$923)),0,IF(DATE($C937,6,15)&gt;=$X$923,$AA$923*(1+($U$923)/100)^MAX(0,$C937-$AD$923),IF(DATE($C937,6,15)&gt;=$W$923,$Z$923*(1+($U$923)/100)^MAX(0,$C937-$AC$923),IF(DATE($C937,6,15)&gt;=$V$923,$Y$923*(1+($U$923)/100)^MAX(0,$C937-$AB$923),0)))))</f>
      </c>
      <c r="K937" s="43">
        <f>IF($S$923=0,0,IF(OR(DATE($C937,7,15)&lt;$S$923,AND($T$923&gt;0,DATE($C937,7,15)&gt;$T$923)),0,IF(DATE($C937,7,15)&gt;=$X$923,$AA$923*(1+($U$923)/100)^MAX(0,$C937-$AD$923),IF(DATE($C937,7,15)&gt;=$W$923,$Z$923*(1+($U$923)/100)^MAX(0,$C937-$AC$923),IF(DATE($C937,7,15)&gt;=$V$923,$Y$923*(1+($U$923)/100)^MAX(0,$C937-$AB$923),0)))))</f>
      </c>
      <c r="L937" s="43">
        <f>IF($S$923=0,0,IF(OR(DATE($C937,8,15)&lt;$S$923,AND($T$923&gt;0,DATE($C937,8,15)&gt;$T$923)),0,IF(DATE($C937,8,15)&gt;=$X$923,$AA$923*(1+($U$923)/100)^MAX(0,$C937-$AD$923),IF(DATE($C937,8,15)&gt;=$W$923,$Z$923*(1+($U$923)/100)^MAX(0,$C937-$AC$923),IF(DATE($C937,8,15)&gt;=$V$923,$Y$923*(1+($U$923)/100)^MAX(0,$C937-$AB$923),0)))))</f>
      </c>
      <c r="M937" s="43">
        <f>IF($S$923=0,0,IF(OR(DATE($C937,9,15)&lt;$S$923,AND($T$923&gt;0,DATE($C937,9,15)&gt;$T$923)),0,IF(DATE($C937,9,15)&gt;=$X$923,$AA$923*(1+($U$923)/100)^MAX(0,$C937-$AD$923),IF(DATE($C937,9,15)&gt;=$W$923,$Z$923*(1+($U$923)/100)^MAX(0,$C937-$AC$923),IF(DATE($C937,9,15)&gt;=$V$923,$Y$923*(1+($U$923)/100)^MAX(0,$C937-$AB$923),0)))))</f>
      </c>
      <c r="N937" s="43">
        <f>IF($S$923=0,0,IF(OR(DATE($C937,10,15)&lt;$S$923,AND($T$923&gt;0,DATE($C937,10,15)&gt;$T$923)),0,IF(DATE($C937,10,15)&gt;=$X$923,$AA$923*(1+($U$923)/100)^MAX(0,$C937-$AD$923),IF(DATE($C937,10,15)&gt;=$W$923,$Z$923*(1+($U$923)/100)^MAX(0,$C937-$AC$923),IF(DATE($C937,10,15)&gt;=$V$923,$Y$923*(1+($U$923)/100)^MAX(0,$C937-$AB$923),0)))))</f>
      </c>
      <c r="O937" s="43">
        <f>IF($S$923=0,0,IF(OR(DATE($C937,11,15)&lt;$S$923,AND($T$923&gt;0,DATE($C937,11,15)&gt;$T$923)),0,IF(DATE($C937,11,15)&gt;=$X$923,$AA$923*(1+($U$923)/100)^MAX(0,$C937-$AD$923),IF(DATE($C937,11,15)&gt;=$W$923,$Z$923*(1+($U$923)/100)^MAX(0,$C937-$AC$923),IF(DATE($C937,11,15)&gt;=$V$923,$Y$923*(1+($U$923)/100)^MAX(0,$C937-$AB$923),0)))))</f>
      </c>
      <c r="P937" s="43">
        <f>IF($S$923=0,0,IF(OR(DATE($C937,12,15)&lt;$S$923,AND($T$923&gt;0,DATE($C937,12,15)&gt;$T$923)),0,IF(DATE($C937,12,15)&gt;=$X$923,$AA$923*(1+($U$923)/100)^MAX(0,$C937-$AD$923),IF(DATE($C937,12,15)&gt;=$W$923,$Z$923*(1+($U$923)/100)^MAX(0,$C937-$AC$923),IF(DATE($C937,12,15)&gt;=$V$923,$Y$923*(1+($U$923)/100)^MAX(0,$C937-$AB$923),0)))))</f>
      </c>
      <c r="Q937" s="43">
        <f>SUM($E937:$P937)</f>
      </c>
    </row>
    <row r="938">
      <c r="A938"/>
      <c r="B938">
        <v>30</v>
      </c>
      <c r="C938" s="43">
        <f>Jahr+15</f>
      </c>
      <c r="D938" s="43">
        <f>INDEX(MvObj,30)</f>
      </c>
      <c r="E938" s="43">
        <f>IF($S$923=0,0,IF(OR(DATE($C938,1,15)&lt;$S$923,AND($T$923&gt;0,DATE($C938,1,15)&gt;$T$923)),0,IF(DATE($C938,1,15)&gt;=$X$923,$AA$923*(1+($U$923)/100)^MAX(0,$C938-$AD$923),IF(DATE($C938,1,15)&gt;=$W$923,$Z$923*(1+($U$923)/100)^MAX(0,$C938-$AC$923),IF(DATE($C938,1,15)&gt;=$V$923,$Y$923*(1+($U$923)/100)^MAX(0,$C938-$AB$923),0)))))</f>
      </c>
      <c r="F938" s="43">
        <f>IF($S$923=0,0,IF(OR(DATE($C938,2,15)&lt;$S$923,AND($T$923&gt;0,DATE($C938,2,15)&gt;$T$923)),0,IF(DATE($C938,2,15)&gt;=$X$923,$AA$923*(1+($U$923)/100)^MAX(0,$C938-$AD$923),IF(DATE($C938,2,15)&gt;=$W$923,$Z$923*(1+($U$923)/100)^MAX(0,$C938-$AC$923),IF(DATE($C938,2,15)&gt;=$V$923,$Y$923*(1+($U$923)/100)^MAX(0,$C938-$AB$923),0)))))</f>
      </c>
      <c r="G938" s="43">
        <f>IF($S$923=0,0,IF(OR(DATE($C938,3,15)&lt;$S$923,AND($T$923&gt;0,DATE($C938,3,15)&gt;$T$923)),0,IF(DATE($C938,3,15)&gt;=$X$923,$AA$923*(1+($U$923)/100)^MAX(0,$C938-$AD$923),IF(DATE($C938,3,15)&gt;=$W$923,$Z$923*(1+($U$923)/100)^MAX(0,$C938-$AC$923),IF(DATE($C938,3,15)&gt;=$V$923,$Y$923*(1+($U$923)/100)^MAX(0,$C938-$AB$923),0)))))</f>
      </c>
      <c r="H938" s="43">
        <f>IF($S$923=0,0,IF(OR(DATE($C938,4,15)&lt;$S$923,AND($T$923&gt;0,DATE($C938,4,15)&gt;$T$923)),0,IF(DATE($C938,4,15)&gt;=$X$923,$AA$923*(1+($U$923)/100)^MAX(0,$C938-$AD$923),IF(DATE($C938,4,15)&gt;=$W$923,$Z$923*(1+($U$923)/100)^MAX(0,$C938-$AC$923),IF(DATE($C938,4,15)&gt;=$V$923,$Y$923*(1+($U$923)/100)^MAX(0,$C938-$AB$923),0)))))</f>
      </c>
      <c r="I938" s="43">
        <f>IF($S$923=0,0,IF(OR(DATE($C938,5,15)&lt;$S$923,AND($T$923&gt;0,DATE($C938,5,15)&gt;$T$923)),0,IF(DATE($C938,5,15)&gt;=$X$923,$AA$923*(1+($U$923)/100)^MAX(0,$C938-$AD$923),IF(DATE($C938,5,15)&gt;=$W$923,$Z$923*(1+($U$923)/100)^MAX(0,$C938-$AC$923),IF(DATE($C938,5,15)&gt;=$V$923,$Y$923*(1+($U$923)/100)^MAX(0,$C938-$AB$923),0)))))</f>
      </c>
      <c r="J938" s="43">
        <f>IF($S$923=0,0,IF(OR(DATE($C938,6,15)&lt;$S$923,AND($T$923&gt;0,DATE($C938,6,15)&gt;$T$923)),0,IF(DATE($C938,6,15)&gt;=$X$923,$AA$923*(1+($U$923)/100)^MAX(0,$C938-$AD$923),IF(DATE($C938,6,15)&gt;=$W$923,$Z$923*(1+($U$923)/100)^MAX(0,$C938-$AC$923),IF(DATE($C938,6,15)&gt;=$V$923,$Y$923*(1+($U$923)/100)^MAX(0,$C938-$AB$923),0)))))</f>
      </c>
      <c r="K938" s="43">
        <f>IF($S$923=0,0,IF(OR(DATE($C938,7,15)&lt;$S$923,AND($T$923&gt;0,DATE($C938,7,15)&gt;$T$923)),0,IF(DATE($C938,7,15)&gt;=$X$923,$AA$923*(1+($U$923)/100)^MAX(0,$C938-$AD$923),IF(DATE($C938,7,15)&gt;=$W$923,$Z$923*(1+($U$923)/100)^MAX(0,$C938-$AC$923),IF(DATE($C938,7,15)&gt;=$V$923,$Y$923*(1+($U$923)/100)^MAX(0,$C938-$AB$923),0)))))</f>
      </c>
      <c r="L938" s="43">
        <f>IF($S$923=0,0,IF(OR(DATE($C938,8,15)&lt;$S$923,AND($T$923&gt;0,DATE($C938,8,15)&gt;$T$923)),0,IF(DATE($C938,8,15)&gt;=$X$923,$AA$923*(1+($U$923)/100)^MAX(0,$C938-$AD$923),IF(DATE($C938,8,15)&gt;=$W$923,$Z$923*(1+($U$923)/100)^MAX(0,$C938-$AC$923),IF(DATE($C938,8,15)&gt;=$V$923,$Y$923*(1+($U$923)/100)^MAX(0,$C938-$AB$923),0)))))</f>
      </c>
      <c r="M938" s="43">
        <f>IF($S$923=0,0,IF(OR(DATE($C938,9,15)&lt;$S$923,AND($T$923&gt;0,DATE($C938,9,15)&gt;$T$923)),0,IF(DATE($C938,9,15)&gt;=$X$923,$AA$923*(1+($U$923)/100)^MAX(0,$C938-$AD$923),IF(DATE($C938,9,15)&gt;=$W$923,$Z$923*(1+($U$923)/100)^MAX(0,$C938-$AC$923),IF(DATE($C938,9,15)&gt;=$V$923,$Y$923*(1+($U$923)/100)^MAX(0,$C938-$AB$923),0)))))</f>
      </c>
      <c r="N938" s="43">
        <f>IF($S$923=0,0,IF(OR(DATE($C938,10,15)&lt;$S$923,AND($T$923&gt;0,DATE($C938,10,15)&gt;$T$923)),0,IF(DATE($C938,10,15)&gt;=$X$923,$AA$923*(1+($U$923)/100)^MAX(0,$C938-$AD$923),IF(DATE($C938,10,15)&gt;=$W$923,$Z$923*(1+($U$923)/100)^MAX(0,$C938-$AC$923),IF(DATE($C938,10,15)&gt;=$V$923,$Y$923*(1+($U$923)/100)^MAX(0,$C938-$AB$923),0)))))</f>
      </c>
      <c r="O938" s="43">
        <f>IF($S$923=0,0,IF(OR(DATE($C938,11,15)&lt;$S$923,AND($T$923&gt;0,DATE($C938,11,15)&gt;$T$923)),0,IF(DATE($C938,11,15)&gt;=$X$923,$AA$923*(1+($U$923)/100)^MAX(0,$C938-$AD$923),IF(DATE($C938,11,15)&gt;=$W$923,$Z$923*(1+($U$923)/100)^MAX(0,$C938-$AC$923),IF(DATE($C938,11,15)&gt;=$V$923,$Y$923*(1+($U$923)/100)^MAX(0,$C938-$AB$923),0)))))</f>
      </c>
      <c r="P938" s="43">
        <f>IF($S$923=0,0,IF(OR(DATE($C938,12,15)&lt;$S$923,AND($T$923&gt;0,DATE($C938,12,15)&gt;$T$923)),0,IF(DATE($C938,12,15)&gt;=$X$923,$AA$923*(1+($U$923)/100)^MAX(0,$C938-$AD$923),IF(DATE($C938,12,15)&gt;=$W$923,$Z$923*(1+($U$923)/100)^MAX(0,$C938-$AC$923),IF(DATE($C938,12,15)&gt;=$V$923,$Y$923*(1+($U$923)/100)^MAX(0,$C938-$AB$923),0)))))</f>
      </c>
      <c r="Q938" s="43">
        <f>SUM($E938:$P938)</f>
      </c>
    </row>
    <row r="939">
      <c r="A939"/>
      <c r="B939">
        <v>30</v>
      </c>
      <c r="C939" s="43">
        <f>Jahr+16</f>
      </c>
      <c r="D939" s="43">
        <f>INDEX(MvObj,30)</f>
      </c>
      <c r="E939" s="43">
        <f>IF($S$923=0,0,IF(OR(DATE($C939,1,15)&lt;$S$923,AND($T$923&gt;0,DATE($C939,1,15)&gt;$T$923)),0,IF(DATE($C939,1,15)&gt;=$X$923,$AA$923*(1+($U$923)/100)^MAX(0,$C939-$AD$923),IF(DATE($C939,1,15)&gt;=$W$923,$Z$923*(1+($U$923)/100)^MAX(0,$C939-$AC$923),IF(DATE($C939,1,15)&gt;=$V$923,$Y$923*(1+($U$923)/100)^MAX(0,$C939-$AB$923),0)))))</f>
      </c>
      <c r="F939" s="43">
        <f>IF($S$923=0,0,IF(OR(DATE($C939,2,15)&lt;$S$923,AND($T$923&gt;0,DATE($C939,2,15)&gt;$T$923)),0,IF(DATE($C939,2,15)&gt;=$X$923,$AA$923*(1+($U$923)/100)^MAX(0,$C939-$AD$923),IF(DATE($C939,2,15)&gt;=$W$923,$Z$923*(1+($U$923)/100)^MAX(0,$C939-$AC$923),IF(DATE($C939,2,15)&gt;=$V$923,$Y$923*(1+($U$923)/100)^MAX(0,$C939-$AB$923),0)))))</f>
      </c>
      <c r="G939" s="43">
        <f>IF($S$923=0,0,IF(OR(DATE($C939,3,15)&lt;$S$923,AND($T$923&gt;0,DATE($C939,3,15)&gt;$T$923)),0,IF(DATE($C939,3,15)&gt;=$X$923,$AA$923*(1+($U$923)/100)^MAX(0,$C939-$AD$923),IF(DATE($C939,3,15)&gt;=$W$923,$Z$923*(1+($U$923)/100)^MAX(0,$C939-$AC$923),IF(DATE($C939,3,15)&gt;=$V$923,$Y$923*(1+($U$923)/100)^MAX(0,$C939-$AB$923),0)))))</f>
      </c>
      <c r="H939" s="43">
        <f>IF($S$923=0,0,IF(OR(DATE($C939,4,15)&lt;$S$923,AND($T$923&gt;0,DATE($C939,4,15)&gt;$T$923)),0,IF(DATE($C939,4,15)&gt;=$X$923,$AA$923*(1+($U$923)/100)^MAX(0,$C939-$AD$923),IF(DATE($C939,4,15)&gt;=$W$923,$Z$923*(1+($U$923)/100)^MAX(0,$C939-$AC$923),IF(DATE($C939,4,15)&gt;=$V$923,$Y$923*(1+($U$923)/100)^MAX(0,$C939-$AB$923),0)))))</f>
      </c>
      <c r="I939" s="43">
        <f>IF($S$923=0,0,IF(OR(DATE($C939,5,15)&lt;$S$923,AND($T$923&gt;0,DATE($C939,5,15)&gt;$T$923)),0,IF(DATE($C939,5,15)&gt;=$X$923,$AA$923*(1+($U$923)/100)^MAX(0,$C939-$AD$923),IF(DATE($C939,5,15)&gt;=$W$923,$Z$923*(1+($U$923)/100)^MAX(0,$C939-$AC$923),IF(DATE($C939,5,15)&gt;=$V$923,$Y$923*(1+($U$923)/100)^MAX(0,$C939-$AB$923),0)))))</f>
      </c>
      <c r="J939" s="43">
        <f>IF($S$923=0,0,IF(OR(DATE($C939,6,15)&lt;$S$923,AND($T$923&gt;0,DATE($C939,6,15)&gt;$T$923)),0,IF(DATE($C939,6,15)&gt;=$X$923,$AA$923*(1+($U$923)/100)^MAX(0,$C939-$AD$923),IF(DATE($C939,6,15)&gt;=$W$923,$Z$923*(1+($U$923)/100)^MAX(0,$C939-$AC$923),IF(DATE($C939,6,15)&gt;=$V$923,$Y$923*(1+($U$923)/100)^MAX(0,$C939-$AB$923),0)))))</f>
      </c>
      <c r="K939" s="43">
        <f>IF($S$923=0,0,IF(OR(DATE($C939,7,15)&lt;$S$923,AND($T$923&gt;0,DATE($C939,7,15)&gt;$T$923)),0,IF(DATE($C939,7,15)&gt;=$X$923,$AA$923*(1+($U$923)/100)^MAX(0,$C939-$AD$923),IF(DATE($C939,7,15)&gt;=$W$923,$Z$923*(1+($U$923)/100)^MAX(0,$C939-$AC$923),IF(DATE($C939,7,15)&gt;=$V$923,$Y$923*(1+($U$923)/100)^MAX(0,$C939-$AB$923),0)))))</f>
      </c>
      <c r="L939" s="43">
        <f>IF($S$923=0,0,IF(OR(DATE($C939,8,15)&lt;$S$923,AND($T$923&gt;0,DATE($C939,8,15)&gt;$T$923)),0,IF(DATE($C939,8,15)&gt;=$X$923,$AA$923*(1+($U$923)/100)^MAX(0,$C939-$AD$923),IF(DATE($C939,8,15)&gt;=$W$923,$Z$923*(1+($U$923)/100)^MAX(0,$C939-$AC$923),IF(DATE($C939,8,15)&gt;=$V$923,$Y$923*(1+($U$923)/100)^MAX(0,$C939-$AB$923),0)))))</f>
      </c>
      <c r="M939" s="43">
        <f>IF($S$923=0,0,IF(OR(DATE($C939,9,15)&lt;$S$923,AND($T$923&gt;0,DATE($C939,9,15)&gt;$T$923)),0,IF(DATE($C939,9,15)&gt;=$X$923,$AA$923*(1+($U$923)/100)^MAX(0,$C939-$AD$923),IF(DATE($C939,9,15)&gt;=$W$923,$Z$923*(1+($U$923)/100)^MAX(0,$C939-$AC$923),IF(DATE($C939,9,15)&gt;=$V$923,$Y$923*(1+($U$923)/100)^MAX(0,$C939-$AB$923),0)))))</f>
      </c>
      <c r="N939" s="43">
        <f>IF($S$923=0,0,IF(OR(DATE($C939,10,15)&lt;$S$923,AND($T$923&gt;0,DATE($C939,10,15)&gt;$T$923)),0,IF(DATE($C939,10,15)&gt;=$X$923,$AA$923*(1+($U$923)/100)^MAX(0,$C939-$AD$923),IF(DATE($C939,10,15)&gt;=$W$923,$Z$923*(1+($U$923)/100)^MAX(0,$C939-$AC$923),IF(DATE($C939,10,15)&gt;=$V$923,$Y$923*(1+($U$923)/100)^MAX(0,$C939-$AB$923),0)))))</f>
      </c>
      <c r="O939" s="43">
        <f>IF($S$923=0,0,IF(OR(DATE($C939,11,15)&lt;$S$923,AND($T$923&gt;0,DATE($C939,11,15)&gt;$T$923)),0,IF(DATE($C939,11,15)&gt;=$X$923,$AA$923*(1+($U$923)/100)^MAX(0,$C939-$AD$923),IF(DATE($C939,11,15)&gt;=$W$923,$Z$923*(1+($U$923)/100)^MAX(0,$C939-$AC$923),IF(DATE($C939,11,15)&gt;=$V$923,$Y$923*(1+($U$923)/100)^MAX(0,$C939-$AB$923),0)))))</f>
      </c>
      <c r="P939" s="43">
        <f>IF($S$923=0,0,IF(OR(DATE($C939,12,15)&lt;$S$923,AND($T$923&gt;0,DATE($C939,12,15)&gt;$T$923)),0,IF(DATE($C939,12,15)&gt;=$X$923,$AA$923*(1+($U$923)/100)^MAX(0,$C939-$AD$923),IF(DATE($C939,12,15)&gt;=$W$923,$Z$923*(1+($U$923)/100)^MAX(0,$C939-$AC$923),IF(DATE($C939,12,15)&gt;=$V$923,$Y$923*(1+($U$923)/100)^MAX(0,$C939-$AB$923),0)))))</f>
      </c>
      <c r="Q939" s="43">
        <f>SUM($E939:$P939)</f>
      </c>
    </row>
    <row r="940">
      <c r="A940"/>
      <c r="B940">
        <v>30</v>
      </c>
      <c r="C940" s="43">
        <f>Jahr+17</f>
      </c>
      <c r="D940" s="43">
        <f>INDEX(MvObj,30)</f>
      </c>
      <c r="E940" s="43">
        <f>IF($S$923=0,0,IF(OR(DATE($C940,1,15)&lt;$S$923,AND($T$923&gt;0,DATE($C940,1,15)&gt;$T$923)),0,IF(DATE($C940,1,15)&gt;=$X$923,$AA$923*(1+($U$923)/100)^MAX(0,$C940-$AD$923),IF(DATE($C940,1,15)&gt;=$W$923,$Z$923*(1+($U$923)/100)^MAX(0,$C940-$AC$923),IF(DATE($C940,1,15)&gt;=$V$923,$Y$923*(1+($U$923)/100)^MAX(0,$C940-$AB$923),0)))))</f>
      </c>
      <c r="F940" s="43">
        <f>IF($S$923=0,0,IF(OR(DATE($C940,2,15)&lt;$S$923,AND($T$923&gt;0,DATE($C940,2,15)&gt;$T$923)),0,IF(DATE($C940,2,15)&gt;=$X$923,$AA$923*(1+($U$923)/100)^MAX(0,$C940-$AD$923),IF(DATE($C940,2,15)&gt;=$W$923,$Z$923*(1+($U$923)/100)^MAX(0,$C940-$AC$923),IF(DATE($C940,2,15)&gt;=$V$923,$Y$923*(1+($U$923)/100)^MAX(0,$C940-$AB$923),0)))))</f>
      </c>
      <c r="G940" s="43">
        <f>IF($S$923=0,0,IF(OR(DATE($C940,3,15)&lt;$S$923,AND($T$923&gt;0,DATE($C940,3,15)&gt;$T$923)),0,IF(DATE($C940,3,15)&gt;=$X$923,$AA$923*(1+($U$923)/100)^MAX(0,$C940-$AD$923),IF(DATE($C940,3,15)&gt;=$W$923,$Z$923*(1+($U$923)/100)^MAX(0,$C940-$AC$923),IF(DATE($C940,3,15)&gt;=$V$923,$Y$923*(1+($U$923)/100)^MAX(0,$C940-$AB$923),0)))))</f>
      </c>
      <c r="H940" s="43">
        <f>IF($S$923=0,0,IF(OR(DATE($C940,4,15)&lt;$S$923,AND($T$923&gt;0,DATE($C940,4,15)&gt;$T$923)),0,IF(DATE($C940,4,15)&gt;=$X$923,$AA$923*(1+($U$923)/100)^MAX(0,$C940-$AD$923),IF(DATE($C940,4,15)&gt;=$W$923,$Z$923*(1+($U$923)/100)^MAX(0,$C940-$AC$923),IF(DATE($C940,4,15)&gt;=$V$923,$Y$923*(1+($U$923)/100)^MAX(0,$C940-$AB$923),0)))))</f>
      </c>
      <c r="I940" s="43">
        <f>IF($S$923=0,0,IF(OR(DATE($C940,5,15)&lt;$S$923,AND($T$923&gt;0,DATE($C940,5,15)&gt;$T$923)),0,IF(DATE($C940,5,15)&gt;=$X$923,$AA$923*(1+($U$923)/100)^MAX(0,$C940-$AD$923),IF(DATE($C940,5,15)&gt;=$W$923,$Z$923*(1+($U$923)/100)^MAX(0,$C940-$AC$923),IF(DATE($C940,5,15)&gt;=$V$923,$Y$923*(1+($U$923)/100)^MAX(0,$C940-$AB$923),0)))))</f>
      </c>
      <c r="J940" s="43">
        <f>IF($S$923=0,0,IF(OR(DATE($C940,6,15)&lt;$S$923,AND($T$923&gt;0,DATE($C940,6,15)&gt;$T$923)),0,IF(DATE($C940,6,15)&gt;=$X$923,$AA$923*(1+($U$923)/100)^MAX(0,$C940-$AD$923),IF(DATE($C940,6,15)&gt;=$W$923,$Z$923*(1+($U$923)/100)^MAX(0,$C940-$AC$923),IF(DATE($C940,6,15)&gt;=$V$923,$Y$923*(1+($U$923)/100)^MAX(0,$C940-$AB$923),0)))))</f>
      </c>
      <c r="K940" s="43">
        <f>IF($S$923=0,0,IF(OR(DATE($C940,7,15)&lt;$S$923,AND($T$923&gt;0,DATE($C940,7,15)&gt;$T$923)),0,IF(DATE($C940,7,15)&gt;=$X$923,$AA$923*(1+($U$923)/100)^MAX(0,$C940-$AD$923),IF(DATE($C940,7,15)&gt;=$W$923,$Z$923*(1+($U$923)/100)^MAX(0,$C940-$AC$923),IF(DATE($C940,7,15)&gt;=$V$923,$Y$923*(1+($U$923)/100)^MAX(0,$C940-$AB$923),0)))))</f>
      </c>
      <c r="L940" s="43">
        <f>IF($S$923=0,0,IF(OR(DATE($C940,8,15)&lt;$S$923,AND($T$923&gt;0,DATE($C940,8,15)&gt;$T$923)),0,IF(DATE($C940,8,15)&gt;=$X$923,$AA$923*(1+($U$923)/100)^MAX(0,$C940-$AD$923),IF(DATE($C940,8,15)&gt;=$W$923,$Z$923*(1+($U$923)/100)^MAX(0,$C940-$AC$923),IF(DATE($C940,8,15)&gt;=$V$923,$Y$923*(1+($U$923)/100)^MAX(0,$C940-$AB$923),0)))))</f>
      </c>
      <c r="M940" s="43">
        <f>IF($S$923=0,0,IF(OR(DATE($C940,9,15)&lt;$S$923,AND($T$923&gt;0,DATE($C940,9,15)&gt;$T$923)),0,IF(DATE($C940,9,15)&gt;=$X$923,$AA$923*(1+($U$923)/100)^MAX(0,$C940-$AD$923),IF(DATE($C940,9,15)&gt;=$W$923,$Z$923*(1+($U$923)/100)^MAX(0,$C940-$AC$923),IF(DATE($C940,9,15)&gt;=$V$923,$Y$923*(1+($U$923)/100)^MAX(0,$C940-$AB$923),0)))))</f>
      </c>
      <c r="N940" s="43">
        <f>IF($S$923=0,0,IF(OR(DATE($C940,10,15)&lt;$S$923,AND($T$923&gt;0,DATE($C940,10,15)&gt;$T$923)),0,IF(DATE($C940,10,15)&gt;=$X$923,$AA$923*(1+($U$923)/100)^MAX(0,$C940-$AD$923),IF(DATE($C940,10,15)&gt;=$W$923,$Z$923*(1+($U$923)/100)^MAX(0,$C940-$AC$923),IF(DATE($C940,10,15)&gt;=$V$923,$Y$923*(1+($U$923)/100)^MAX(0,$C940-$AB$923),0)))))</f>
      </c>
      <c r="O940" s="43">
        <f>IF($S$923=0,0,IF(OR(DATE($C940,11,15)&lt;$S$923,AND($T$923&gt;0,DATE($C940,11,15)&gt;$T$923)),0,IF(DATE($C940,11,15)&gt;=$X$923,$AA$923*(1+($U$923)/100)^MAX(0,$C940-$AD$923),IF(DATE($C940,11,15)&gt;=$W$923,$Z$923*(1+($U$923)/100)^MAX(0,$C940-$AC$923),IF(DATE($C940,11,15)&gt;=$V$923,$Y$923*(1+($U$923)/100)^MAX(0,$C940-$AB$923),0)))))</f>
      </c>
      <c r="P940" s="43">
        <f>IF($S$923=0,0,IF(OR(DATE($C940,12,15)&lt;$S$923,AND($T$923&gt;0,DATE($C940,12,15)&gt;$T$923)),0,IF(DATE($C940,12,15)&gt;=$X$923,$AA$923*(1+($U$923)/100)^MAX(0,$C940-$AD$923),IF(DATE($C940,12,15)&gt;=$W$923,$Z$923*(1+($U$923)/100)^MAX(0,$C940-$AC$923),IF(DATE($C940,12,15)&gt;=$V$923,$Y$923*(1+($U$923)/100)^MAX(0,$C940-$AB$923),0)))))</f>
      </c>
      <c r="Q940" s="43">
        <f>SUM($E940:$P940)</f>
      </c>
    </row>
    <row r="941">
      <c r="A941"/>
      <c r="B941">
        <v>30</v>
      </c>
      <c r="C941" s="43">
        <f>Jahr+18</f>
      </c>
      <c r="D941" s="43">
        <f>INDEX(MvObj,30)</f>
      </c>
      <c r="E941" s="43">
        <f>IF($S$923=0,0,IF(OR(DATE($C941,1,15)&lt;$S$923,AND($T$923&gt;0,DATE($C941,1,15)&gt;$T$923)),0,IF(DATE($C941,1,15)&gt;=$X$923,$AA$923*(1+($U$923)/100)^MAX(0,$C941-$AD$923),IF(DATE($C941,1,15)&gt;=$W$923,$Z$923*(1+($U$923)/100)^MAX(0,$C941-$AC$923),IF(DATE($C941,1,15)&gt;=$V$923,$Y$923*(1+($U$923)/100)^MAX(0,$C941-$AB$923),0)))))</f>
      </c>
      <c r="F941" s="43">
        <f>IF($S$923=0,0,IF(OR(DATE($C941,2,15)&lt;$S$923,AND($T$923&gt;0,DATE($C941,2,15)&gt;$T$923)),0,IF(DATE($C941,2,15)&gt;=$X$923,$AA$923*(1+($U$923)/100)^MAX(0,$C941-$AD$923),IF(DATE($C941,2,15)&gt;=$W$923,$Z$923*(1+($U$923)/100)^MAX(0,$C941-$AC$923),IF(DATE($C941,2,15)&gt;=$V$923,$Y$923*(1+($U$923)/100)^MAX(0,$C941-$AB$923),0)))))</f>
      </c>
      <c r="G941" s="43">
        <f>IF($S$923=0,0,IF(OR(DATE($C941,3,15)&lt;$S$923,AND($T$923&gt;0,DATE($C941,3,15)&gt;$T$923)),0,IF(DATE($C941,3,15)&gt;=$X$923,$AA$923*(1+($U$923)/100)^MAX(0,$C941-$AD$923),IF(DATE($C941,3,15)&gt;=$W$923,$Z$923*(1+($U$923)/100)^MAX(0,$C941-$AC$923),IF(DATE($C941,3,15)&gt;=$V$923,$Y$923*(1+($U$923)/100)^MAX(0,$C941-$AB$923),0)))))</f>
      </c>
      <c r="H941" s="43">
        <f>IF($S$923=0,0,IF(OR(DATE($C941,4,15)&lt;$S$923,AND($T$923&gt;0,DATE($C941,4,15)&gt;$T$923)),0,IF(DATE($C941,4,15)&gt;=$X$923,$AA$923*(1+($U$923)/100)^MAX(0,$C941-$AD$923),IF(DATE($C941,4,15)&gt;=$W$923,$Z$923*(1+($U$923)/100)^MAX(0,$C941-$AC$923),IF(DATE($C941,4,15)&gt;=$V$923,$Y$923*(1+($U$923)/100)^MAX(0,$C941-$AB$923),0)))))</f>
      </c>
      <c r="I941" s="43">
        <f>IF($S$923=0,0,IF(OR(DATE($C941,5,15)&lt;$S$923,AND($T$923&gt;0,DATE($C941,5,15)&gt;$T$923)),0,IF(DATE($C941,5,15)&gt;=$X$923,$AA$923*(1+($U$923)/100)^MAX(0,$C941-$AD$923),IF(DATE($C941,5,15)&gt;=$W$923,$Z$923*(1+($U$923)/100)^MAX(0,$C941-$AC$923),IF(DATE($C941,5,15)&gt;=$V$923,$Y$923*(1+($U$923)/100)^MAX(0,$C941-$AB$923),0)))))</f>
      </c>
      <c r="J941" s="43">
        <f>IF($S$923=0,0,IF(OR(DATE($C941,6,15)&lt;$S$923,AND($T$923&gt;0,DATE($C941,6,15)&gt;$T$923)),0,IF(DATE($C941,6,15)&gt;=$X$923,$AA$923*(1+($U$923)/100)^MAX(0,$C941-$AD$923),IF(DATE($C941,6,15)&gt;=$W$923,$Z$923*(1+($U$923)/100)^MAX(0,$C941-$AC$923),IF(DATE($C941,6,15)&gt;=$V$923,$Y$923*(1+($U$923)/100)^MAX(0,$C941-$AB$923),0)))))</f>
      </c>
      <c r="K941" s="43">
        <f>IF($S$923=0,0,IF(OR(DATE($C941,7,15)&lt;$S$923,AND($T$923&gt;0,DATE($C941,7,15)&gt;$T$923)),0,IF(DATE($C941,7,15)&gt;=$X$923,$AA$923*(1+($U$923)/100)^MAX(0,$C941-$AD$923),IF(DATE($C941,7,15)&gt;=$W$923,$Z$923*(1+($U$923)/100)^MAX(0,$C941-$AC$923),IF(DATE($C941,7,15)&gt;=$V$923,$Y$923*(1+($U$923)/100)^MAX(0,$C941-$AB$923),0)))))</f>
      </c>
      <c r="L941" s="43">
        <f>IF($S$923=0,0,IF(OR(DATE($C941,8,15)&lt;$S$923,AND($T$923&gt;0,DATE($C941,8,15)&gt;$T$923)),0,IF(DATE($C941,8,15)&gt;=$X$923,$AA$923*(1+($U$923)/100)^MAX(0,$C941-$AD$923),IF(DATE($C941,8,15)&gt;=$W$923,$Z$923*(1+($U$923)/100)^MAX(0,$C941-$AC$923),IF(DATE($C941,8,15)&gt;=$V$923,$Y$923*(1+($U$923)/100)^MAX(0,$C941-$AB$923),0)))))</f>
      </c>
      <c r="M941" s="43">
        <f>IF($S$923=0,0,IF(OR(DATE($C941,9,15)&lt;$S$923,AND($T$923&gt;0,DATE($C941,9,15)&gt;$T$923)),0,IF(DATE($C941,9,15)&gt;=$X$923,$AA$923*(1+($U$923)/100)^MAX(0,$C941-$AD$923),IF(DATE($C941,9,15)&gt;=$W$923,$Z$923*(1+($U$923)/100)^MAX(0,$C941-$AC$923),IF(DATE($C941,9,15)&gt;=$V$923,$Y$923*(1+($U$923)/100)^MAX(0,$C941-$AB$923),0)))))</f>
      </c>
      <c r="N941" s="43">
        <f>IF($S$923=0,0,IF(OR(DATE($C941,10,15)&lt;$S$923,AND($T$923&gt;0,DATE($C941,10,15)&gt;$T$923)),0,IF(DATE($C941,10,15)&gt;=$X$923,$AA$923*(1+($U$923)/100)^MAX(0,$C941-$AD$923),IF(DATE($C941,10,15)&gt;=$W$923,$Z$923*(1+($U$923)/100)^MAX(0,$C941-$AC$923),IF(DATE($C941,10,15)&gt;=$V$923,$Y$923*(1+($U$923)/100)^MAX(0,$C941-$AB$923),0)))))</f>
      </c>
      <c r="O941" s="43">
        <f>IF($S$923=0,0,IF(OR(DATE($C941,11,15)&lt;$S$923,AND($T$923&gt;0,DATE($C941,11,15)&gt;$T$923)),0,IF(DATE($C941,11,15)&gt;=$X$923,$AA$923*(1+($U$923)/100)^MAX(0,$C941-$AD$923),IF(DATE($C941,11,15)&gt;=$W$923,$Z$923*(1+($U$923)/100)^MAX(0,$C941-$AC$923),IF(DATE($C941,11,15)&gt;=$V$923,$Y$923*(1+($U$923)/100)^MAX(0,$C941-$AB$923),0)))))</f>
      </c>
      <c r="P941" s="43">
        <f>IF($S$923=0,0,IF(OR(DATE($C941,12,15)&lt;$S$923,AND($T$923&gt;0,DATE($C941,12,15)&gt;$T$923)),0,IF(DATE($C941,12,15)&gt;=$X$923,$AA$923*(1+($U$923)/100)^MAX(0,$C941-$AD$923),IF(DATE($C941,12,15)&gt;=$W$923,$Z$923*(1+($U$923)/100)^MAX(0,$C941-$AC$923),IF(DATE($C941,12,15)&gt;=$V$923,$Y$923*(1+($U$923)/100)^MAX(0,$C941-$AB$923),0)))))</f>
      </c>
      <c r="Q941" s="43">
        <f>SUM($E941:$P941)</f>
      </c>
    </row>
    <row r="942">
      <c r="A942"/>
      <c r="B942">
        <v>30</v>
      </c>
      <c r="C942" s="43">
        <f>Jahr+19</f>
      </c>
      <c r="D942" s="43">
        <f>INDEX(MvObj,30)</f>
      </c>
      <c r="E942" s="43">
        <f>IF($S$923=0,0,IF(OR(DATE($C942,1,15)&lt;$S$923,AND($T$923&gt;0,DATE($C942,1,15)&gt;$T$923)),0,IF(DATE($C942,1,15)&gt;=$X$923,$AA$923*(1+($U$923)/100)^MAX(0,$C942-$AD$923),IF(DATE($C942,1,15)&gt;=$W$923,$Z$923*(1+($U$923)/100)^MAX(0,$C942-$AC$923),IF(DATE($C942,1,15)&gt;=$V$923,$Y$923*(1+($U$923)/100)^MAX(0,$C942-$AB$923),0)))))</f>
      </c>
      <c r="F942" s="43">
        <f>IF($S$923=0,0,IF(OR(DATE($C942,2,15)&lt;$S$923,AND($T$923&gt;0,DATE($C942,2,15)&gt;$T$923)),0,IF(DATE($C942,2,15)&gt;=$X$923,$AA$923*(1+($U$923)/100)^MAX(0,$C942-$AD$923),IF(DATE($C942,2,15)&gt;=$W$923,$Z$923*(1+($U$923)/100)^MAX(0,$C942-$AC$923),IF(DATE($C942,2,15)&gt;=$V$923,$Y$923*(1+($U$923)/100)^MAX(0,$C942-$AB$923),0)))))</f>
      </c>
      <c r="G942" s="43">
        <f>IF($S$923=0,0,IF(OR(DATE($C942,3,15)&lt;$S$923,AND($T$923&gt;0,DATE($C942,3,15)&gt;$T$923)),0,IF(DATE($C942,3,15)&gt;=$X$923,$AA$923*(1+($U$923)/100)^MAX(0,$C942-$AD$923),IF(DATE($C942,3,15)&gt;=$W$923,$Z$923*(1+($U$923)/100)^MAX(0,$C942-$AC$923),IF(DATE($C942,3,15)&gt;=$V$923,$Y$923*(1+($U$923)/100)^MAX(0,$C942-$AB$923),0)))))</f>
      </c>
      <c r="H942" s="43">
        <f>IF($S$923=0,0,IF(OR(DATE($C942,4,15)&lt;$S$923,AND($T$923&gt;0,DATE($C942,4,15)&gt;$T$923)),0,IF(DATE($C942,4,15)&gt;=$X$923,$AA$923*(1+($U$923)/100)^MAX(0,$C942-$AD$923),IF(DATE($C942,4,15)&gt;=$W$923,$Z$923*(1+($U$923)/100)^MAX(0,$C942-$AC$923),IF(DATE($C942,4,15)&gt;=$V$923,$Y$923*(1+($U$923)/100)^MAX(0,$C942-$AB$923),0)))))</f>
      </c>
      <c r="I942" s="43">
        <f>IF($S$923=0,0,IF(OR(DATE($C942,5,15)&lt;$S$923,AND($T$923&gt;0,DATE($C942,5,15)&gt;$T$923)),0,IF(DATE($C942,5,15)&gt;=$X$923,$AA$923*(1+($U$923)/100)^MAX(0,$C942-$AD$923),IF(DATE($C942,5,15)&gt;=$W$923,$Z$923*(1+($U$923)/100)^MAX(0,$C942-$AC$923),IF(DATE($C942,5,15)&gt;=$V$923,$Y$923*(1+($U$923)/100)^MAX(0,$C942-$AB$923),0)))))</f>
      </c>
      <c r="J942" s="43">
        <f>IF($S$923=0,0,IF(OR(DATE($C942,6,15)&lt;$S$923,AND($T$923&gt;0,DATE($C942,6,15)&gt;$T$923)),0,IF(DATE($C942,6,15)&gt;=$X$923,$AA$923*(1+($U$923)/100)^MAX(0,$C942-$AD$923),IF(DATE($C942,6,15)&gt;=$W$923,$Z$923*(1+($U$923)/100)^MAX(0,$C942-$AC$923),IF(DATE($C942,6,15)&gt;=$V$923,$Y$923*(1+($U$923)/100)^MAX(0,$C942-$AB$923),0)))))</f>
      </c>
      <c r="K942" s="43">
        <f>IF($S$923=0,0,IF(OR(DATE($C942,7,15)&lt;$S$923,AND($T$923&gt;0,DATE($C942,7,15)&gt;$T$923)),0,IF(DATE($C942,7,15)&gt;=$X$923,$AA$923*(1+($U$923)/100)^MAX(0,$C942-$AD$923),IF(DATE($C942,7,15)&gt;=$W$923,$Z$923*(1+($U$923)/100)^MAX(0,$C942-$AC$923),IF(DATE($C942,7,15)&gt;=$V$923,$Y$923*(1+($U$923)/100)^MAX(0,$C942-$AB$923),0)))))</f>
      </c>
      <c r="L942" s="43">
        <f>IF($S$923=0,0,IF(OR(DATE($C942,8,15)&lt;$S$923,AND($T$923&gt;0,DATE($C942,8,15)&gt;$T$923)),0,IF(DATE($C942,8,15)&gt;=$X$923,$AA$923*(1+($U$923)/100)^MAX(0,$C942-$AD$923),IF(DATE($C942,8,15)&gt;=$W$923,$Z$923*(1+($U$923)/100)^MAX(0,$C942-$AC$923),IF(DATE($C942,8,15)&gt;=$V$923,$Y$923*(1+($U$923)/100)^MAX(0,$C942-$AB$923),0)))))</f>
      </c>
      <c r="M942" s="43">
        <f>IF($S$923=0,0,IF(OR(DATE($C942,9,15)&lt;$S$923,AND($T$923&gt;0,DATE($C942,9,15)&gt;$T$923)),0,IF(DATE($C942,9,15)&gt;=$X$923,$AA$923*(1+($U$923)/100)^MAX(0,$C942-$AD$923),IF(DATE($C942,9,15)&gt;=$W$923,$Z$923*(1+($U$923)/100)^MAX(0,$C942-$AC$923),IF(DATE($C942,9,15)&gt;=$V$923,$Y$923*(1+($U$923)/100)^MAX(0,$C942-$AB$923),0)))))</f>
      </c>
      <c r="N942" s="43">
        <f>IF($S$923=0,0,IF(OR(DATE($C942,10,15)&lt;$S$923,AND($T$923&gt;0,DATE($C942,10,15)&gt;$T$923)),0,IF(DATE($C942,10,15)&gt;=$X$923,$AA$923*(1+($U$923)/100)^MAX(0,$C942-$AD$923),IF(DATE($C942,10,15)&gt;=$W$923,$Z$923*(1+($U$923)/100)^MAX(0,$C942-$AC$923),IF(DATE($C942,10,15)&gt;=$V$923,$Y$923*(1+($U$923)/100)^MAX(0,$C942-$AB$923),0)))))</f>
      </c>
      <c r="O942" s="43">
        <f>IF($S$923=0,0,IF(OR(DATE($C942,11,15)&lt;$S$923,AND($T$923&gt;0,DATE($C942,11,15)&gt;$T$923)),0,IF(DATE($C942,11,15)&gt;=$X$923,$AA$923*(1+($U$923)/100)^MAX(0,$C942-$AD$923),IF(DATE($C942,11,15)&gt;=$W$923,$Z$923*(1+($U$923)/100)^MAX(0,$C942-$AC$923),IF(DATE($C942,11,15)&gt;=$V$923,$Y$923*(1+($U$923)/100)^MAX(0,$C942-$AB$923),0)))))</f>
      </c>
      <c r="P942" s="43">
        <f>IF($S$923=0,0,IF(OR(DATE($C942,12,15)&lt;$S$923,AND($T$923&gt;0,DATE($C942,12,15)&gt;$T$923)),0,IF(DATE($C942,12,15)&gt;=$X$923,$AA$923*(1+($U$923)/100)^MAX(0,$C942-$AD$923),IF(DATE($C942,12,15)&gt;=$W$923,$Z$923*(1+($U$923)/100)^MAX(0,$C942-$AC$923),IF(DATE($C942,12,15)&gt;=$V$923,$Y$923*(1+($U$923)/100)^MAX(0,$C942-$AB$923),0)))))</f>
      </c>
      <c r="Q942" s="43">
        <f>SUM($E942:$P942)</f>
      </c>
    </row>
    <row r="943">
      <c r="A943"/>
      <c r="B943">
        <v>30</v>
      </c>
      <c r="C943" s="43">
        <f>Jahr+20</f>
      </c>
      <c r="D943" s="43">
        <f>INDEX(MvObj,30)</f>
      </c>
      <c r="E943" s="43">
        <f>IF($S$923=0,0,IF(OR(DATE($C943,1,15)&lt;$S$923,AND($T$923&gt;0,DATE($C943,1,15)&gt;$T$923)),0,IF(DATE($C943,1,15)&gt;=$X$923,$AA$923*(1+($U$923)/100)^MAX(0,$C943-$AD$923),IF(DATE($C943,1,15)&gt;=$W$923,$Z$923*(1+($U$923)/100)^MAX(0,$C943-$AC$923),IF(DATE($C943,1,15)&gt;=$V$923,$Y$923*(1+($U$923)/100)^MAX(0,$C943-$AB$923),0)))))</f>
      </c>
      <c r="F943" s="43">
        <f>IF($S$923=0,0,IF(OR(DATE($C943,2,15)&lt;$S$923,AND($T$923&gt;0,DATE($C943,2,15)&gt;$T$923)),0,IF(DATE($C943,2,15)&gt;=$X$923,$AA$923*(1+($U$923)/100)^MAX(0,$C943-$AD$923),IF(DATE($C943,2,15)&gt;=$W$923,$Z$923*(1+($U$923)/100)^MAX(0,$C943-$AC$923),IF(DATE($C943,2,15)&gt;=$V$923,$Y$923*(1+($U$923)/100)^MAX(0,$C943-$AB$923),0)))))</f>
      </c>
      <c r="G943" s="43">
        <f>IF($S$923=0,0,IF(OR(DATE($C943,3,15)&lt;$S$923,AND($T$923&gt;0,DATE($C943,3,15)&gt;$T$923)),0,IF(DATE($C943,3,15)&gt;=$X$923,$AA$923*(1+($U$923)/100)^MAX(0,$C943-$AD$923),IF(DATE($C943,3,15)&gt;=$W$923,$Z$923*(1+($U$923)/100)^MAX(0,$C943-$AC$923),IF(DATE($C943,3,15)&gt;=$V$923,$Y$923*(1+($U$923)/100)^MAX(0,$C943-$AB$923),0)))))</f>
      </c>
      <c r="H943" s="43">
        <f>IF($S$923=0,0,IF(OR(DATE($C943,4,15)&lt;$S$923,AND($T$923&gt;0,DATE($C943,4,15)&gt;$T$923)),0,IF(DATE($C943,4,15)&gt;=$X$923,$AA$923*(1+($U$923)/100)^MAX(0,$C943-$AD$923),IF(DATE($C943,4,15)&gt;=$W$923,$Z$923*(1+($U$923)/100)^MAX(0,$C943-$AC$923),IF(DATE($C943,4,15)&gt;=$V$923,$Y$923*(1+($U$923)/100)^MAX(0,$C943-$AB$923),0)))))</f>
      </c>
      <c r="I943" s="43">
        <f>IF($S$923=0,0,IF(OR(DATE($C943,5,15)&lt;$S$923,AND($T$923&gt;0,DATE($C943,5,15)&gt;$T$923)),0,IF(DATE($C943,5,15)&gt;=$X$923,$AA$923*(1+($U$923)/100)^MAX(0,$C943-$AD$923),IF(DATE($C943,5,15)&gt;=$W$923,$Z$923*(1+($U$923)/100)^MAX(0,$C943-$AC$923),IF(DATE($C943,5,15)&gt;=$V$923,$Y$923*(1+($U$923)/100)^MAX(0,$C943-$AB$923),0)))))</f>
      </c>
      <c r="J943" s="43">
        <f>IF($S$923=0,0,IF(OR(DATE($C943,6,15)&lt;$S$923,AND($T$923&gt;0,DATE($C943,6,15)&gt;$T$923)),0,IF(DATE($C943,6,15)&gt;=$X$923,$AA$923*(1+($U$923)/100)^MAX(0,$C943-$AD$923),IF(DATE($C943,6,15)&gt;=$W$923,$Z$923*(1+($U$923)/100)^MAX(0,$C943-$AC$923),IF(DATE($C943,6,15)&gt;=$V$923,$Y$923*(1+($U$923)/100)^MAX(0,$C943-$AB$923),0)))))</f>
      </c>
      <c r="K943" s="43">
        <f>IF($S$923=0,0,IF(OR(DATE($C943,7,15)&lt;$S$923,AND($T$923&gt;0,DATE($C943,7,15)&gt;$T$923)),0,IF(DATE($C943,7,15)&gt;=$X$923,$AA$923*(1+($U$923)/100)^MAX(0,$C943-$AD$923),IF(DATE($C943,7,15)&gt;=$W$923,$Z$923*(1+($U$923)/100)^MAX(0,$C943-$AC$923),IF(DATE($C943,7,15)&gt;=$V$923,$Y$923*(1+($U$923)/100)^MAX(0,$C943-$AB$923),0)))))</f>
      </c>
      <c r="L943" s="43">
        <f>IF($S$923=0,0,IF(OR(DATE($C943,8,15)&lt;$S$923,AND($T$923&gt;0,DATE($C943,8,15)&gt;$T$923)),0,IF(DATE($C943,8,15)&gt;=$X$923,$AA$923*(1+($U$923)/100)^MAX(0,$C943-$AD$923),IF(DATE($C943,8,15)&gt;=$W$923,$Z$923*(1+($U$923)/100)^MAX(0,$C943-$AC$923),IF(DATE($C943,8,15)&gt;=$V$923,$Y$923*(1+($U$923)/100)^MAX(0,$C943-$AB$923),0)))))</f>
      </c>
      <c r="M943" s="43">
        <f>IF($S$923=0,0,IF(OR(DATE($C943,9,15)&lt;$S$923,AND($T$923&gt;0,DATE($C943,9,15)&gt;$T$923)),0,IF(DATE($C943,9,15)&gt;=$X$923,$AA$923*(1+($U$923)/100)^MAX(0,$C943-$AD$923),IF(DATE($C943,9,15)&gt;=$W$923,$Z$923*(1+($U$923)/100)^MAX(0,$C943-$AC$923),IF(DATE($C943,9,15)&gt;=$V$923,$Y$923*(1+($U$923)/100)^MAX(0,$C943-$AB$923),0)))))</f>
      </c>
      <c r="N943" s="43">
        <f>IF($S$923=0,0,IF(OR(DATE($C943,10,15)&lt;$S$923,AND($T$923&gt;0,DATE($C943,10,15)&gt;$T$923)),0,IF(DATE($C943,10,15)&gt;=$X$923,$AA$923*(1+($U$923)/100)^MAX(0,$C943-$AD$923),IF(DATE($C943,10,15)&gt;=$W$923,$Z$923*(1+($U$923)/100)^MAX(0,$C943-$AC$923),IF(DATE($C943,10,15)&gt;=$V$923,$Y$923*(1+($U$923)/100)^MAX(0,$C943-$AB$923),0)))))</f>
      </c>
      <c r="O943" s="43">
        <f>IF($S$923=0,0,IF(OR(DATE($C943,11,15)&lt;$S$923,AND($T$923&gt;0,DATE($C943,11,15)&gt;$T$923)),0,IF(DATE($C943,11,15)&gt;=$X$923,$AA$923*(1+($U$923)/100)^MAX(0,$C943-$AD$923),IF(DATE($C943,11,15)&gt;=$W$923,$Z$923*(1+($U$923)/100)^MAX(0,$C943-$AC$923),IF(DATE($C943,11,15)&gt;=$V$923,$Y$923*(1+($U$923)/100)^MAX(0,$C943-$AB$923),0)))))</f>
      </c>
      <c r="P943" s="43">
        <f>IF($S$923=0,0,IF(OR(DATE($C943,12,15)&lt;$S$923,AND($T$923&gt;0,DATE($C943,12,15)&gt;$T$923)),0,IF(DATE($C943,12,15)&gt;=$X$923,$AA$923*(1+($U$923)/100)^MAX(0,$C943-$AD$923),IF(DATE($C943,12,15)&gt;=$W$923,$Z$923*(1+($U$923)/100)^MAX(0,$C943-$AC$923),IF(DATE($C943,12,15)&gt;=$V$923,$Y$923*(1+($U$923)/100)^MAX(0,$C943-$AB$923),0)))))</f>
      </c>
      <c r="Q943" s="43">
        <f>SUM($E943:$P943)</f>
      </c>
    </row>
    <row r="944">
      <c r="A944"/>
      <c r="B944">
        <v>30</v>
      </c>
      <c r="C944" s="43">
        <f>Jahr+21</f>
      </c>
      <c r="D944" s="43">
        <f>INDEX(MvObj,30)</f>
      </c>
      <c r="E944" s="43">
        <f>IF($S$923=0,0,IF(OR(DATE($C944,1,15)&lt;$S$923,AND($T$923&gt;0,DATE($C944,1,15)&gt;$T$923)),0,IF(DATE($C944,1,15)&gt;=$X$923,$AA$923*(1+($U$923)/100)^MAX(0,$C944-$AD$923),IF(DATE($C944,1,15)&gt;=$W$923,$Z$923*(1+($U$923)/100)^MAX(0,$C944-$AC$923),IF(DATE($C944,1,15)&gt;=$V$923,$Y$923*(1+($U$923)/100)^MAX(0,$C944-$AB$923),0)))))</f>
      </c>
      <c r="F944" s="43">
        <f>IF($S$923=0,0,IF(OR(DATE($C944,2,15)&lt;$S$923,AND($T$923&gt;0,DATE($C944,2,15)&gt;$T$923)),0,IF(DATE($C944,2,15)&gt;=$X$923,$AA$923*(1+($U$923)/100)^MAX(0,$C944-$AD$923),IF(DATE($C944,2,15)&gt;=$W$923,$Z$923*(1+($U$923)/100)^MAX(0,$C944-$AC$923),IF(DATE($C944,2,15)&gt;=$V$923,$Y$923*(1+($U$923)/100)^MAX(0,$C944-$AB$923),0)))))</f>
      </c>
      <c r="G944" s="43">
        <f>IF($S$923=0,0,IF(OR(DATE($C944,3,15)&lt;$S$923,AND($T$923&gt;0,DATE($C944,3,15)&gt;$T$923)),0,IF(DATE($C944,3,15)&gt;=$X$923,$AA$923*(1+($U$923)/100)^MAX(0,$C944-$AD$923),IF(DATE($C944,3,15)&gt;=$W$923,$Z$923*(1+($U$923)/100)^MAX(0,$C944-$AC$923),IF(DATE($C944,3,15)&gt;=$V$923,$Y$923*(1+($U$923)/100)^MAX(0,$C944-$AB$923),0)))))</f>
      </c>
      <c r="H944" s="43">
        <f>IF($S$923=0,0,IF(OR(DATE($C944,4,15)&lt;$S$923,AND($T$923&gt;0,DATE($C944,4,15)&gt;$T$923)),0,IF(DATE($C944,4,15)&gt;=$X$923,$AA$923*(1+($U$923)/100)^MAX(0,$C944-$AD$923),IF(DATE($C944,4,15)&gt;=$W$923,$Z$923*(1+($U$923)/100)^MAX(0,$C944-$AC$923),IF(DATE($C944,4,15)&gt;=$V$923,$Y$923*(1+($U$923)/100)^MAX(0,$C944-$AB$923),0)))))</f>
      </c>
      <c r="I944" s="43">
        <f>IF($S$923=0,0,IF(OR(DATE($C944,5,15)&lt;$S$923,AND($T$923&gt;0,DATE($C944,5,15)&gt;$T$923)),0,IF(DATE($C944,5,15)&gt;=$X$923,$AA$923*(1+($U$923)/100)^MAX(0,$C944-$AD$923),IF(DATE($C944,5,15)&gt;=$W$923,$Z$923*(1+($U$923)/100)^MAX(0,$C944-$AC$923),IF(DATE($C944,5,15)&gt;=$V$923,$Y$923*(1+($U$923)/100)^MAX(0,$C944-$AB$923),0)))))</f>
      </c>
      <c r="J944" s="43">
        <f>IF($S$923=0,0,IF(OR(DATE($C944,6,15)&lt;$S$923,AND($T$923&gt;0,DATE($C944,6,15)&gt;$T$923)),0,IF(DATE($C944,6,15)&gt;=$X$923,$AA$923*(1+($U$923)/100)^MAX(0,$C944-$AD$923),IF(DATE($C944,6,15)&gt;=$W$923,$Z$923*(1+($U$923)/100)^MAX(0,$C944-$AC$923),IF(DATE($C944,6,15)&gt;=$V$923,$Y$923*(1+($U$923)/100)^MAX(0,$C944-$AB$923),0)))))</f>
      </c>
      <c r="K944" s="43">
        <f>IF($S$923=0,0,IF(OR(DATE($C944,7,15)&lt;$S$923,AND($T$923&gt;0,DATE($C944,7,15)&gt;$T$923)),0,IF(DATE($C944,7,15)&gt;=$X$923,$AA$923*(1+($U$923)/100)^MAX(0,$C944-$AD$923),IF(DATE($C944,7,15)&gt;=$W$923,$Z$923*(1+($U$923)/100)^MAX(0,$C944-$AC$923),IF(DATE($C944,7,15)&gt;=$V$923,$Y$923*(1+($U$923)/100)^MAX(0,$C944-$AB$923),0)))))</f>
      </c>
      <c r="L944" s="43">
        <f>IF($S$923=0,0,IF(OR(DATE($C944,8,15)&lt;$S$923,AND($T$923&gt;0,DATE($C944,8,15)&gt;$T$923)),0,IF(DATE($C944,8,15)&gt;=$X$923,$AA$923*(1+($U$923)/100)^MAX(0,$C944-$AD$923),IF(DATE($C944,8,15)&gt;=$W$923,$Z$923*(1+($U$923)/100)^MAX(0,$C944-$AC$923),IF(DATE($C944,8,15)&gt;=$V$923,$Y$923*(1+($U$923)/100)^MAX(0,$C944-$AB$923),0)))))</f>
      </c>
      <c r="M944" s="43">
        <f>IF($S$923=0,0,IF(OR(DATE($C944,9,15)&lt;$S$923,AND($T$923&gt;0,DATE($C944,9,15)&gt;$T$923)),0,IF(DATE($C944,9,15)&gt;=$X$923,$AA$923*(1+($U$923)/100)^MAX(0,$C944-$AD$923),IF(DATE($C944,9,15)&gt;=$W$923,$Z$923*(1+($U$923)/100)^MAX(0,$C944-$AC$923),IF(DATE($C944,9,15)&gt;=$V$923,$Y$923*(1+($U$923)/100)^MAX(0,$C944-$AB$923),0)))))</f>
      </c>
      <c r="N944" s="43">
        <f>IF($S$923=0,0,IF(OR(DATE($C944,10,15)&lt;$S$923,AND($T$923&gt;0,DATE($C944,10,15)&gt;$T$923)),0,IF(DATE($C944,10,15)&gt;=$X$923,$AA$923*(1+($U$923)/100)^MAX(0,$C944-$AD$923),IF(DATE($C944,10,15)&gt;=$W$923,$Z$923*(1+($U$923)/100)^MAX(0,$C944-$AC$923),IF(DATE($C944,10,15)&gt;=$V$923,$Y$923*(1+($U$923)/100)^MAX(0,$C944-$AB$923),0)))))</f>
      </c>
      <c r="O944" s="43">
        <f>IF($S$923=0,0,IF(OR(DATE($C944,11,15)&lt;$S$923,AND($T$923&gt;0,DATE($C944,11,15)&gt;$T$923)),0,IF(DATE($C944,11,15)&gt;=$X$923,$AA$923*(1+($U$923)/100)^MAX(0,$C944-$AD$923),IF(DATE($C944,11,15)&gt;=$W$923,$Z$923*(1+($U$923)/100)^MAX(0,$C944-$AC$923),IF(DATE($C944,11,15)&gt;=$V$923,$Y$923*(1+($U$923)/100)^MAX(0,$C944-$AB$923),0)))))</f>
      </c>
      <c r="P944" s="43">
        <f>IF($S$923=0,0,IF(OR(DATE($C944,12,15)&lt;$S$923,AND($T$923&gt;0,DATE($C944,12,15)&gt;$T$923)),0,IF(DATE($C944,12,15)&gt;=$X$923,$AA$923*(1+($U$923)/100)^MAX(0,$C944-$AD$923),IF(DATE($C944,12,15)&gt;=$W$923,$Z$923*(1+($U$923)/100)^MAX(0,$C944-$AC$923),IF(DATE($C944,12,15)&gt;=$V$923,$Y$923*(1+($U$923)/100)^MAX(0,$C944-$AB$923),0)))))</f>
      </c>
      <c r="Q944" s="43">
        <f>SUM($E944:$P944)</f>
      </c>
    </row>
    <row r="945">
      <c r="A945"/>
      <c r="B945">
        <v>30</v>
      </c>
      <c r="C945" s="43">
        <f>Jahr+22</f>
      </c>
      <c r="D945" s="43">
        <f>INDEX(MvObj,30)</f>
      </c>
      <c r="E945" s="43">
        <f>IF($S$923=0,0,IF(OR(DATE($C945,1,15)&lt;$S$923,AND($T$923&gt;0,DATE($C945,1,15)&gt;$T$923)),0,IF(DATE($C945,1,15)&gt;=$X$923,$AA$923*(1+($U$923)/100)^MAX(0,$C945-$AD$923),IF(DATE($C945,1,15)&gt;=$W$923,$Z$923*(1+($U$923)/100)^MAX(0,$C945-$AC$923),IF(DATE($C945,1,15)&gt;=$V$923,$Y$923*(1+($U$923)/100)^MAX(0,$C945-$AB$923),0)))))</f>
      </c>
      <c r="F945" s="43">
        <f>IF($S$923=0,0,IF(OR(DATE($C945,2,15)&lt;$S$923,AND($T$923&gt;0,DATE($C945,2,15)&gt;$T$923)),0,IF(DATE($C945,2,15)&gt;=$X$923,$AA$923*(1+($U$923)/100)^MAX(0,$C945-$AD$923),IF(DATE($C945,2,15)&gt;=$W$923,$Z$923*(1+($U$923)/100)^MAX(0,$C945-$AC$923),IF(DATE($C945,2,15)&gt;=$V$923,$Y$923*(1+($U$923)/100)^MAX(0,$C945-$AB$923),0)))))</f>
      </c>
      <c r="G945" s="43">
        <f>IF($S$923=0,0,IF(OR(DATE($C945,3,15)&lt;$S$923,AND($T$923&gt;0,DATE($C945,3,15)&gt;$T$923)),0,IF(DATE($C945,3,15)&gt;=$X$923,$AA$923*(1+($U$923)/100)^MAX(0,$C945-$AD$923),IF(DATE($C945,3,15)&gt;=$W$923,$Z$923*(1+($U$923)/100)^MAX(0,$C945-$AC$923),IF(DATE($C945,3,15)&gt;=$V$923,$Y$923*(1+($U$923)/100)^MAX(0,$C945-$AB$923),0)))))</f>
      </c>
      <c r="H945" s="43">
        <f>IF($S$923=0,0,IF(OR(DATE($C945,4,15)&lt;$S$923,AND($T$923&gt;0,DATE($C945,4,15)&gt;$T$923)),0,IF(DATE($C945,4,15)&gt;=$X$923,$AA$923*(1+($U$923)/100)^MAX(0,$C945-$AD$923),IF(DATE($C945,4,15)&gt;=$W$923,$Z$923*(1+($U$923)/100)^MAX(0,$C945-$AC$923),IF(DATE($C945,4,15)&gt;=$V$923,$Y$923*(1+($U$923)/100)^MAX(0,$C945-$AB$923),0)))))</f>
      </c>
      <c r="I945" s="43">
        <f>IF($S$923=0,0,IF(OR(DATE($C945,5,15)&lt;$S$923,AND($T$923&gt;0,DATE($C945,5,15)&gt;$T$923)),0,IF(DATE($C945,5,15)&gt;=$X$923,$AA$923*(1+($U$923)/100)^MAX(0,$C945-$AD$923),IF(DATE($C945,5,15)&gt;=$W$923,$Z$923*(1+($U$923)/100)^MAX(0,$C945-$AC$923),IF(DATE($C945,5,15)&gt;=$V$923,$Y$923*(1+($U$923)/100)^MAX(0,$C945-$AB$923),0)))))</f>
      </c>
      <c r="J945" s="43">
        <f>IF($S$923=0,0,IF(OR(DATE($C945,6,15)&lt;$S$923,AND($T$923&gt;0,DATE($C945,6,15)&gt;$T$923)),0,IF(DATE($C945,6,15)&gt;=$X$923,$AA$923*(1+($U$923)/100)^MAX(0,$C945-$AD$923),IF(DATE($C945,6,15)&gt;=$W$923,$Z$923*(1+($U$923)/100)^MAX(0,$C945-$AC$923),IF(DATE($C945,6,15)&gt;=$V$923,$Y$923*(1+($U$923)/100)^MAX(0,$C945-$AB$923),0)))))</f>
      </c>
      <c r="K945" s="43">
        <f>IF($S$923=0,0,IF(OR(DATE($C945,7,15)&lt;$S$923,AND($T$923&gt;0,DATE($C945,7,15)&gt;$T$923)),0,IF(DATE($C945,7,15)&gt;=$X$923,$AA$923*(1+($U$923)/100)^MAX(0,$C945-$AD$923),IF(DATE($C945,7,15)&gt;=$W$923,$Z$923*(1+($U$923)/100)^MAX(0,$C945-$AC$923),IF(DATE($C945,7,15)&gt;=$V$923,$Y$923*(1+($U$923)/100)^MAX(0,$C945-$AB$923),0)))))</f>
      </c>
      <c r="L945" s="43">
        <f>IF($S$923=0,0,IF(OR(DATE($C945,8,15)&lt;$S$923,AND($T$923&gt;0,DATE($C945,8,15)&gt;$T$923)),0,IF(DATE($C945,8,15)&gt;=$X$923,$AA$923*(1+($U$923)/100)^MAX(0,$C945-$AD$923),IF(DATE($C945,8,15)&gt;=$W$923,$Z$923*(1+($U$923)/100)^MAX(0,$C945-$AC$923),IF(DATE($C945,8,15)&gt;=$V$923,$Y$923*(1+($U$923)/100)^MAX(0,$C945-$AB$923),0)))))</f>
      </c>
      <c r="M945" s="43">
        <f>IF($S$923=0,0,IF(OR(DATE($C945,9,15)&lt;$S$923,AND($T$923&gt;0,DATE($C945,9,15)&gt;$T$923)),0,IF(DATE($C945,9,15)&gt;=$X$923,$AA$923*(1+($U$923)/100)^MAX(0,$C945-$AD$923),IF(DATE($C945,9,15)&gt;=$W$923,$Z$923*(1+($U$923)/100)^MAX(0,$C945-$AC$923),IF(DATE($C945,9,15)&gt;=$V$923,$Y$923*(1+($U$923)/100)^MAX(0,$C945-$AB$923),0)))))</f>
      </c>
      <c r="N945" s="43">
        <f>IF($S$923=0,0,IF(OR(DATE($C945,10,15)&lt;$S$923,AND($T$923&gt;0,DATE($C945,10,15)&gt;$T$923)),0,IF(DATE($C945,10,15)&gt;=$X$923,$AA$923*(1+($U$923)/100)^MAX(0,$C945-$AD$923),IF(DATE($C945,10,15)&gt;=$W$923,$Z$923*(1+($U$923)/100)^MAX(0,$C945-$AC$923),IF(DATE($C945,10,15)&gt;=$V$923,$Y$923*(1+($U$923)/100)^MAX(0,$C945-$AB$923),0)))))</f>
      </c>
      <c r="O945" s="43">
        <f>IF($S$923=0,0,IF(OR(DATE($C945,11,15)&lt;$S$923,AND($T$923&gt;0,DATE($C945,11,15)&gt;$T$923)),0,IF(DATE($C945,11,15)&gt;=$X$923,$AA$923*(1+($U$923)/100)^MAX(0,$C945-$AD$923),IF(DATE($C945,11,15)&gt;=$W$923,$Z$923*(1+($U$923)/100)^MAX(0,$C945-$AC$923),IF(DATE($C945,11,15)&gt;=$V$923,$Y$923*(1+($U$923)/100)^MAX(0,$C945-$AB$923),0)))))</f>
      </c>
      <c r="P945" s="43">
        <f>IF($S$923=0,0,IF(OR(DATE($C945,12,15)&lt;$S$923,AND($T$923&gt;0,DATE($C945,12,15)&gt;$T$923)),0,IF(DATE($C945,12,15)&gt;=$X$923,$AA$923*(1+($U$923)/100)^MAX(0,$C945-$AD$923),IF(DATE($C945,12,15)&gt;=$W$923,$Z$923*(1+($U$923)/100)^MAX(0,$C945-$AC$923),IF(DATE($C945,12,15)&gt;=$V$923,$Y$923*(1+($U$923)/100)^MAX(0,$C945-$AB$923),0)))))</f>
      </c>
      <c r="Q945" s="43">
        <f>SUM($E945:$P945)</f>
      </c>
    </row>
    <row r="946">
      <c r="A946"/>
      <c r="B946">
        <v>30</v>
      </c>
      <c r="C946" s="43">
        <f>Jahr+23</f>
      </c>
      <c r="D946" s="43">
        <f>INDEX(MvObj,30)</f>
      </c>
      <c r="E946" s="43">
        <f>IF($S$923=0,0,IF(OR(DATE($C946,1,15)&lt;$S$923,AND($T$923&gt;0,DATE($C946,1,15)&gt;$T$923)),0,IF(DATE($C946,1,15)&gt;=$X$923,$AA$923*(1+($U$923)/100)^MAX(0,$C946-$AD$923),IF(DATE($C946,1,15)&gt;=$W$923,$Z$923*(1+($U$923)/100)^MAX(0,$C946-$AC$923),IF(DATE($C946,1,15)&gt;=$V$923,$Y$923*(1+($U$923)/100)^MAX(0,$C946-$AB$923),0)))))</f>
      </c>
      <c r="F946" s="43">
        <f>IF($S$923=0,0,IF(OR(DATE($C946,2,15)&lt;$S$923,AND($T$923&gt;0,DATE($C946,2,15)&gt;$T$923)),0,IF(DATE($C946,2,15)&gt;=$X$923,$AA$923*(1+($U$923)/100)^MAX(0,$C946-$AD$923),IF(DATE($C946,2,15)&gt;=$W$923,$Z$923*(1+($U$923)/100)^MAX(0,$C946-$AC$923),IF(DATE($C946,2,15)&gt;=$V$923,$Y$923*(1+($U$923)/100)^MAX(0,$C946-$AB$923),0)))))</f>
      </c>
      <c r="G946" s="43">
        <f>IF($S$923=0,0,IF(OR(DATE($C946,3,15)&lt;$S$923,AND($T$923&gt;0,DATE($C946,3,15)&gt;$T$923)),0,IF(DATE($C946,3,15)&gt;=$X$923,$AA$923*(1+($U$923)/100)^MAX(0,$C946-$AD$923),IF(DATE($C946,3,15)&gt;=$W$923,$Z$923*(1+($U$923)/100)^MAX(0,$C946-$AC$923),IF(DATE($C946,3,15)&gt;=$V$923,$Y$923*(1+($U$923)/100)^MAX(0,$C946-$AB$923),0)))))</f>
      </c>
      <c r="H946" s="43">
        <f>IF($S$923=0,0,IF(OR(DATE($C946,4,15)&lt;$S$923,AND($T$923&gt;0,DATE($C946,4,15)&gt;$T$923)),0,IF(DATE($C946,4,15)&gt;=$X$923,$AA$923*(1+($U$923)/100)^MAX(0,$C946-$AD$923),IF(DATE($C946,4,15)&gt;=$W$923,$Z$923*(1+($U$923)/100)^MAX(0,$C946-$AC$923),IF(DATE($C946,4,15)&gt;=$V$923,$Y$923*(1+($U$923)/100)^MAX(0,$C946-$AB$923),0)))))</f>
      </c>
      <c r="I946" s="43">
        <f>IF($S$923=0,0,IF(OR(DATE($C946,5,15)&lt;$S$923,AND($T$923&gt;0,DATE($C946,5,15)&gt;$T$923)),0,IF(DATE($C946,5,15)&gt;=$X$923,$AA$923*(1+($U$923)/100)^MAX(0,$C946-$AD$923),IF(DATE($C946,5,15)&gt;=$W$923,$Z$923*(1+($U$923)/100)^MAX(0,$C946-$AC$923),IF(DATE($C946,5,15)&gt;=$V$923,$Y$923*(1+($U$923)/100)^MAX(0,$C946-$AB$923),0)))))</f>
      </c>
      <c r="J946" s="43">
        <f>IF($S$923=0,0,IF(OR(DATE($C946,6,15)&lt;$S$923,AND($T$923&gt;0,DATE($C946,6,15)&gt;$T$923)),0,IF(DATE($C946,6,15)&gt;=$X$923,$AA$923*(1+($U$923)/100)^MAX(0,$C946-$AD$923),IF(DATE($C946,6,15)&gt;=$W$923,$Z$923*(1+($U$923)/100)^MAX(0,$C946-$AC$923),IF(DATE($C946,6,15)&gt;=$V$923,$Y$923*(1+($U$923)/100)^MAX(0,$C946-$AB$923),0)))))</f>
      </c>
      <c r="K946" s="43">
        <f>IF($S$923=0,0,IF(OR(DATE($C946,7,15)&lt;$S$923,AND($T$923&gt;0,DATE($C946,7,15)&gt;$T$923)),0,IF(DATE($C946,7,15)&gt;=$X$923,$AA$923*(1+($U$923)/100)^MAX(0,$C946-$AD$923),IF(DATE($C946,7,15)&gt;=$W$923,$Z$923*(1+($U$923)/100)^MAX(0,$C946-$AC$923),IF(DATE($C946,7,15)&gt;=$V$923,$Y$923*(1+($U$923)/100)^MAX(0,$C946-$AB$923),0)))))</f>
      </c>
      <c r="L946" s="43">
        <f>IF($S$923=0,0,IF(OR(DATE($C946,8,15)&lt;$S$923,AND($T$923&gt;0,DATE($C946,8,15)&gt;$T$923)),0,IF(DATE($C946,8,15)&gt;=$X$923,$AA$923*(1+($U$923)/100)^MAX(0,$C946-$AD$923),IF(DATE($C946,8,15)&gt;=$W$923,$Z$923*(1+($U$923)/100)^MAX(0,$C946-$AC$923),IF(DATE($C946,8,15)&gt;=$V$923,$Y$923*(1+($U$923)/100)^MAX(0,$C946-$AB$923),0)))))</f>
      </c>
      <c r="M946" s="43">
        <f>IF($S$923=0,0,IF(OR(DATE($C946,9,15)&lt;$S$923,AND($T$923&gt;0,DATE($C946,9,15)&gt;$T$923)),0,IF(DATE($C946,9,15)&gt;=$X$923,$AA$923*(1+($U$923)/100)^MAX(0,$C946-$AD$923),IF(DATE($C946,9,15)&gt;=$W$923,$Z$923*(1+($U$923)/100)^MAX(0,$C946-$AC$923),IF(DATE($C946,9,15)&gt;=$V$923,$Y$923*(1+($U$923)/100)^MAX(0,$C946-$AB$923),0)))))</f>
      </c>
      <c r="N946" s="43">
        <f>IF($S$923=0,0,IF(OR(DATE($C946,10,15)&lt;$S$923,AND($T$923&gt;0,DATE($C946,10,15)&gt;$T$923)),0,IF(DATE($C946,10,15)&gt;=$X$923,$AA$923*(1+($U$923)/100)^MAX(0,$C946-$AD$923),IF(DATE($C946,10,15)&gt;=$W$923,$Z$923*(1+($U$923)/100)^MAX(0,$C946-$AC$923),IF(DATE($C946,10,15)&gt;=$V$923,$Y$923*(1+($U$923)/100)^MAX(0,$C946-$AB$923),0)))))</f>
      </c>
      <c r="O946" s="43">
        <f>IF($S$923=0,0,IF(OR(DATE($C946,11,15)&lt;$S$923,AND($T$923&gt;0,DATE($C946,11,15)&gt;$T$923)),0,IF(DATE($C946,11,15)&gt;=$X$923,$AA$923*(1+($U$923)/100)^MAX(0,$C946-$AD$923),IF(DATE($C946,11,15)&gt;=$W$923,$Z$923*(1+($U$923)/100)^MAX(0,$C946-$AC$923),IF(DATE($C946,11,15)&gt;=$V$923,$Y$923*(1+($U$923)/100)^MAX(0,$C946-$AB$923),0)))))</f>
      </c>
      <c r="P946" s="43">
        <f>IF($S$923=0,0,IF(OR(DATE($C946,12,15)&lt;$S$923,AND($T$923&gt;0,DATE($C946,12,15)&gt;$T$923)),0,IF(DATE($C946,12,15)&gt;=$X$923,$AA$923*(1+($U$923)/100)^MAX(0,$C946-$AD$923),IF(DATE($C946,12,15)&gt;=$W$923,$Z$923*(1+($U$923)/100)^MAX(0,$C946-$AC$923),IF(DATE($C946,12,15)&gt;=$V$923,$Y$923*(1+($U$923)/100)^MAX(0,$C946-$AB$923),0)))))</f>
      </c>
      <c r="Q946" s="43">
        <f>SUM($E946:$P946)</f>
      </c>
    </row>
    <row r="947">
      <c r="A947"/>
      <c r="B947">
        <v>30</v>
      </c>
      <c r="C947" s="43">
        <f>Jahr+24</f>
      </c>
      <c r="D947" s="43">
        <f>INDEX(MvObj,30)</f>
      </c>
      <c r="E947" s="43">
        <f>IF($S$923=0,0,IF(OR(DATE($C947,1,15)&lt;$S$923,AND($T$923&gt;0,DATE($C947,1,15)&gt;$T$923)),0,IF(DATE($C947,1,15)&gt;=$X$923,$AA$923*(1+($U$923)/100)^MAX(0,$C947-$AD$923),IF(DATE($C947,1,15)&gt;=$W$923,$Z$923*(1+($U$923)/100)^MAX(0,$C947-$AC$923),IF(DATE($C947,1,15)&gt;=$V$923,$Y$923*(1+($U$923)/100)^MAX(0,$C947-$AB$923),0)))))</f>
      </c>
      <c r="F947" s="43">
        <f>IF($S$923=0,0,IF(OR(DATE($C947,2,15)&lt;$S$923,AND($T$923&gt;0,DATE($C947,2,15)&gt;$T$923)),0,IF(DATE($C947,2,15)&gt;=$X$923,$AA$923*(1+($U$923)/100)^MAX(0,$C947-$AD$923),IF(DATE($C947,2,15)&gt;=$W$923,$Z$923*(1+($U$923)/100)^MAX(0,$C947-$AC$923),IF(DATE($C947,2,15)&gt;=$V$923,$Y$923*(1+($U$923)/100)^MAX(0,$C947-$AB$923),0)))))</f>
      </c>
      <c r="G947" s="43">
        <f>IF($S$923=0,0,IF(OR(DATE($C947,3,15)&lt;$S$923,AND($T$923&gt;0,DATE($C947,3,15)&gt;$T$923)),0,IF(DATE($C947,3,15)&gt;=$X$923,$AA$923*(1+($U$923)/100)^MAX(0,$C947-$AD$923),IF(DATE($C947,3,15)&gt;=$W$923,$Z$923*(1+($U$923)/100)^MAX(0,$C947-$AC$923),IF(DATE($C947,3,15)&gt;=$V$923,$Y$923*(1+($U$923)/100)^MAX(0,$C947-$AB$923),0)))))</f>
      </c>
      <c r="H947" s="43">
        <f>IF($S$923=0,0,IF(OR(DATE($C947,4,15)&lt;$S$923,AND($T$923&gt;0,DATE($C947,4,15)&gt;$T$923)),0,IF(DATE($C947,4,15)&gt;=$X$923,$AA$923*(1+($U$923)/100)^MAX(0,$C947-$AD$923),IF(DATE($C947,4,15)&gt;=$W$923,$Z$923*(1+($U$923)/100)^MAX(0,$C947-$AC$923),IF(DATE($C947,4,15)&gt;=$V$923,$Y$923*(1+($U$923)/100)^MAX(0,$C947-$AB$923),0)))))</f>
      </c>
      <c r="I947" s="43">
        <f>IF($S$923=0,0,IF(OR(DATE($C947,5,15)&lt;$S$923,AND($T$923&gt;0,DATE($C947,5,15)&gt;$T$923)),0,IF(DATE($C947,5,15)&gt;=$X$923,$AA$923*(1+($U$923)/100)^MAX(0,$C947-$AD$923),IF(DATE($C947,5,15)&gt;=$W$923,$Z$923*(1+($U$923)/100)^MAX(0,$C947-$AC$923),IF(DATE($C947,5,15)&gt;=$V$923,$Y$923*(1+($U$923)/100)^MAX(0,$C947-$AB$923),0)))))</f>
      </c>
      <c r="J947" s="43">
        <f>IF($S$923=0,0,IF(OR(DATE($C947,6,15)&lt;$S$923,AND($T$923&gt;0,DATE($C947,6,15)&gt;$T$923)),0,IF(DATE($C947,6,15)&gt;=$X$923,$AA$923*(1+($U$923)/100)^MAX(0,$C947-$AD$923),IF(DATE($C947,6,15)&gt;=$W$923,$Z$923*(1+($U$923)/100)^MAX(0,$C947-$AC$923),IF(DATE($C947,6,15)&gt;=$V$923,$Y$923*(1+($U$923)/100)^MAX(0,$C947-$AB$923),0)))))</f>
      </c>
      <c r="K947" s="43">
        <f>IF($S$923=0,0,IF(OR(DATE($C947,7,15)&lt;$S$923,AND($T$923&gt;0,DATE($C947,7,15)&gt;$T$923)),0,IF(DATE($C947,7,15)&gt;=$X$923,$AA$923*(1+($U$923)/100)^MAX(0,$C947-$AD$923),IF(DATE($C947,7,15)&gt;=$W$923,$Z$923*(1+($U$923)/100)^MAX(0,$C947-$AC$923),IF(DATE($C947,7,15)&gt;=$V$923,$Y$923*(1+($U$923)/100)^MAX(0,$C947-$AB$923),0)))))</f>
      </c>
      <c r="L947" s="43">
        <f>IF($S$923=0,0,IF(OR(DATE($C947,8,15)&lt;$S$923,AND($T$923&gt;0,DATE($C947,8,15)&gt;$T$923)),0,IF(DATE($C947,8,15)&gt;=$X$923,$AA$923*(1+($U$923)/100)^MAX(0,$C947-$AD$923),IF(DATE($C947,8,15)&gt;=$W$923,$Z$923*(1+($U$923)/100)^MAX(0,$C947-$AC$923),IF(DATE($C947,8,15)&gt;=$V$923,$Y$923*(1+($U$923)/100)^MAX(0,$C947-$AB$923),0)))))</f>
      </c>
      <c r="M947" s="43">
        <f>IF($S$923=0,0,IF(OR(DATE($C947,9,15)&lt;$S$923,AND($T$923&gt;0,DATE($C947,9,15)&gt;$T$923)),0,IF(DATE($C947,9,15)&gt;=$X$923,$AA$923*(1+($U$923)/100)^MAX(0,$C947-$AD$923),IF(DATE($C947,9,15)&gt;=$W$923,$Z$923*(1+($U$923)/100)^MAX(0,$C947-$AC$923),IF(DATE($C947,9,15)&gt;=$V$923,$Y$923*(1+($U$923)/100)^MAX(0,$C947-$AB$923),0)))))</f>
      </c>
      <c r="N947" s="43">
        <f>IF($S$923=0,0,IF(OR(DATE($C947,10,15)&lt;$S$923,AND($T$923&gt;0,DATE($C947,10,15)&gt;$T$923)),0,IF(DATE($C947,10,15)&gt;=$X$923,$AA$923*(1+($U$923)/100)^MAX(0,$C947-$AD$923),IF(DATE($C947,10,15)&gt;=$W$923,$Z$923*(1+($U$923)/100)^MAX(0,$C947-$AC$923),IF(DATE($C947,10,15)&gt;=$V$923,$Y$923*(1+($U$923)/100)^MAX(0,$C947-$AB$923),0)))))</f>
      </c>
      <c r="O947" s="43">
        <f>IF($S$923=0,0,IF(OR(DATE($C947,11,15)&lt;$S$923,AND($T$923&gt;0,DATE($C947,11,15)&gt;$T$923)),0,IF(DATE($C947,11,15)&gt;=$X$923,$AA$923*(1+($U$923)/100)^MAX(0,$C947-$AD$923),IF(DATE($C947,11,15)&gt;=$W$923,$Z$923*(1+($U$923)/100)^MAX(0,$C947-$AC$923),IF(DATE($C947,11,15)&gt;=$V$923,$Y$923*(1+($U$923)/100)^MAX(0,$C947-$AB$923),0)))))</f>
      </c>
      <c r="P947" s="43">
        <f>IF($S$923=0,0,IF(OR(DATE($C947,12,15)&lt;$S$923,AND($T$923&gt;0,DATE($C947,12,15)&gt;$T$923)),0,IF(DATE($C947,12,15)&gt;=$X$923,$AA$923*(1+($U$923)/100)^MAX(0,$C947-$AD$923),IF(DATE($C947,12,15)&gt;=$W$923,$Z$923*(1+($U$923)/100)^MAX(0,$C947-$AC$923),IF(DATE($C947,12,15)&gt;=$V$923,$Y$923*(1+($U$923)/100)^MAX(0,$C947-$AB$923),0)))))</f>
      </c>
      <c r="Q947" s="43">
        <f>SUM($E947:$P947)</f>
      </c>
    </row>
    <row r="948">
      <c r="A948"/>
      <c r="B948">
        <v>30</v>
      </c>
      <c r="C948" s="43">
        <f>Jahr+25</f>
      </c>
      <c r="D948" s="43">
        <f>INDEX(MvObj,30)</f>
      </c>
      <c r="E948" s="43">
        <f>IF($S$923=0,0,IF(OR(DATE($C948,1,15)&lt;$S$923,AND($T$923&gt;0,DATE($C948,1,15)&gt;$T$923)),0,IF(DATE($C948,1,15)&gt;=$X$923,$AA$923*(1+($U$923)/100)^MAX(0,$C948-$AD$923),IF(DATE($C948,1,15)&gt;=$W$923,$Z$923*(1+($U$923)/100)^MAX(0,$C948-$AC$923),IF(DATE($C948,1,15)&gt;=$V$923,$Y$923*(1+($U$923)/100)^MAX(0,$C948-$AB$923),0)))))</f>
      </c>
      <c r="F948" s="43">
        <f>IF($S$923=0,0,IF(OR(DATE($C948,2,15)&lt;$S$923,AND($T$923&gt;0,DATE($C948,2,15)&gt;$T$923)),0,IF(DATE($C948,2,15)&gt;=$X$923,$AA$923*(1+($U$923)/100)^MAX(0,$C948-$AD$923),IF(DATE($C948,2,15)&gt;=$W$923,$Z$923*(1+($U$923)/100)^MAX(0,$C948-$AC$923),IF(DATE($C948,2,15)&gt;=$V$923,$Y$923*(1+($U$923)/100)^MAX(0,$C948-$AB$923),0)))))</f>
      </c>
      <c r="G948" s="43">
        <f>IF($S$923=0,0,IF(OR(DATE($C948,3,15)&lt;$S$923,AND($T$923&gt;0,DATE($C948,3,15)&gt;$T$923)),0,IF(DATE($C948,3,15)&gt;=$X$923,$AA$923*(1+($U$923)/100)^MAX(0,$C948-$AD$923),IF(DATE($C948,3,15)&gt;=$W$923,$Z$923*(1+($U$923)/100)^MAX(0,$C948-$AC$923),IF(DATE($C948,3,15)&gt;=$V$923,$Y$923*(1+($U$923)/100)^MAX(0,$C948-$AB$923),0)))))</f>
      </c>
      <c r="H948" s="43">
        <f>IF($S$923=0,0,IF(OR(DATE($C948,4,15)&lt;$S$923,AND($T$923&gt;0,DATE($C948,4,15)&gt;$T$923)),0,IF(DATE($C948,4,15)&gt;=$X$923,$AA$923*(1+($U$923)/100)^MAX(0,$C948-$AD$923),IF(DATE($C948,4,15)&gt;=$W$923,$Z$923*(1+($U$923)/100)^MAX(0,$C948-$AC$923),IF(DATE($C948,4,15)&gt;=$V$923,$Y$923*(1+($U$923)/100)^MAX(0,$C948-$AB$923),0)))))</f>
      </c>
      <c r="I948" s="43">
        <f>IF($S$923=0,0,IF(OR(DATE($C948,5,15)&lt;$S$923,AND($T$923&gt;0,DATE($C948,5,15)&gt;$T$923)),0,IF(DATE($C948,5,15)&gt;=$X$923,$AA$923*(1+($U$923)/100)^MAX(0,$C948-$AD$923),IF(DATE($C948,5,15)&gt;=$W$923,$Z$923*(1+($U$923)/100)^MAX(0,$C948-$AC$923),IF(DATE($C948,5,15)&gt;=$V$923,$Y$923*(1+($U$923)/100)^MAX(0,$C948-$AB$923),0)))))</f>
      </c>
      <c r="J948" s="43">
        <f>IF($S$923=0,0,IF(OR(DATE($C948,6,15)&lt;$S$923,AND($T$923&gt;0,DATE($C948,6,15)&gt;$T$923)),0,IF(DATE($C948,6,15)&gt;=$X$923,$AA$923*(1+($U$923)/100)^MAX(0,$C948-$AD$923),IF(DATE($C948,6,15)&gt;=$W$923,$Z$923*(1+($U$923)/100)^MAX(0,$C948-$AC$923),IF(DATE($C948,6,15)&gt;=$V$923,$Y$923*(1+($U$923)/100)^MAX(0,$C948-$AB$923),0)))))</f>
      </c>
      <c r="K948" s="43">
        <f>IF($S$923=0,0,IF(OR(DATE($C948,7,15)&lt;$S$923,AND($T$923&gt;0,DATE($C948,7,15)&gt;$T$923)),0,IF(DATE($C948,7,15)&gt;=$X$923,$AA$923*(1+($U$923)/100)^MAX(0,$C948-$AD$923),IF(DATE($C948,7,15)&gt;=$W$923,$Z$923*(1+($U$923)/100)^MAX(0,$C948-$AC$923),IF(DATE($C948,7,15)&gt;=$V$923,$Y$923*(1+($U$923)/100)^MAX(0,$C948-$AB$923),0)))))</f>
      </c>
      <c r="L948" s="43">
        <f>IF($S$923=0,0,IF(OR(DATE($C948,8,15)&lt;$S$923,AND($T$923&gt;0,DATE($C948,8,15)&gt;$T$923)),0,IF(DATE($C948,8,15)&gt;=$X$923,$AA$923*(1+($U$923)/100)^MAX(0,$C948-$AD$923),IF(DATE($C948,8,15)&gt;=$W$923,$Z$923*(1+($U$923)/100)^MAX(0,$C948-$AC$923),IF(DATE($C948,8,15)&gt;=$V$923,$Y$923*(1+($U$923)/100)^MAX(0,$C948-$AB$923),0)))))</f>
      </c>
      <c r="M948" s="43">
        <f>IF($S$923=0,0,IF(OR(DATE($C948,9,15)&lt;$S$923,AND($T$923&gt;0,DATE($C948,9,15)&gt;$T$923)),0,IF(DATE($C948,9,15)&gt;=$X$923,$AA$923*(1+($U$923)/100)^MAX(0,$C948-$AD$923),IF(DATE($C948,9,15)&gt;=$W$923,$Z$923*(1+($U$923)/100)^MAX(0,$C948-$AC$923),IF(DATE($C948,9,15)&gt;=$V$923,$Y$923*(1+($U$923)/100)^MAX(0,$C948-$AB$923),0)))))</f>
      </c>
      <c r="N948" s="43">
        <f>IF($S$923=0,0,IF(OR(DATE($C948,10,15)&lt;$S$923,AND($T$923&gt;0,DATE($C948,10,15)&gt;$T$923)),0,IF(DATE($C948,10,15)&gt;=$X$923,$AA$923*(1+($U$923)/100)^MAX(0,$C948-$AD$923),IF(DATE($C948,10,15)&gt;=$W$923,$Z$923*(1+($U$923)/100)^MAX(0,$C948-$AC$923),IF(DATE($C948,10,15)&gt;=$V$923,$Y$923*(1+($U$923)/100)^MAX(0,$C948-$AB$923),0)))))</f>
      </c>
      <c r="O948" s="43">
        <f>IF($S$923=0,0,IF(OR(DATE($C948,11,15)&lt;$S$923,AND($T$923&gt;0,DATE($C948,11,15)&gt;$T$923)),0,IF(DATE($C948,11,15)&gt;=$X$923,$AA$923*(1+($U$923)/100)^MAX(0,$C948-$AD$923),IF(DATE($C948,11,15)&gt;=$W$923,$Z$923*(1+($U$923)/100)^MAX(0,$C948-$AC$923),IF(DATE($C948,11,15)&gt;=$V$923,$Y$923*(1+($U$923)/100)^MAX(0,$C948-$AB$923),0)))))</f>
      </c>
      <c r="P948" s="43">
        <f>IF($S$923=0,0,IF(OR(DATE($C948,12,15)&lt;$S$923,AND($T$923&gt;0,DATE($C948,12,15)&gt;$T$923)),0,IF(DATE($C948,12,15)&gt;=$X$923,$AA$923*(1+($U$923)/100)^MAX(0,$C948-$AD$923),IF(DATE($C948,12,15)&gt;=$W$923,$Z$923*(1+($U$923)/100)^MAX(0,$C948-$AC$923),IF(DATE($C948,12,15)&gt;=$V$923,$Y$923*(1+($U$923)/100)^MAX(0,$C948-$AB$923),0)))))</f>
      </c>
      <c r="Q948" s="43">
        <f>SUM($E948:$P948)</f>
      </c>
    </row>
    <row r="949">
      <c r="A949"/>
      <c r="B949">
        <v>30</v>
      </c>
      <c r="C949" s="43">
        <f>Jahr+26</f>
      </c>
      <c r="D949" s="43">
        <f>INDEX(MvObj,30)</f>
      </c>
      <c r="E949" s="43">
        <f>IF($S$923=0,0,IF(OR(DATE($C949,1,15)&lt;$S$923,AND($T$923&gt;0,DATE($C949,1,15)&gt;$T$923)),0,IF(DATE($C949,1,15)&gt;=$X$923,$AA$923*(1+($U$923)/100)^MAX(0,$C949-$AD$923),IF(DATE($C949,1,15)&gt;=$W$923,$Z$923*(1+($U$923)/100)^MAX(0,$C949-$AC$923),IF(DATE($C949,1,15)&gt;=$V$923,$Y$923*(1+($U$923)/100)^MAX(0,$C949-$AB$923),0)))))</f>
      </c>
      <c r="F949" s="43">
        <f>IF($S$923=0,0,IF(OR(DATE($C949,2,15)&lt;$S$923,AND($T$923&gt;0,DATE($C949,2,15)&gt;$T$923)),0,IF(DATE($C949,2,15)&gt;=$X$923,$AA$923*(1+($U$923)/100)^MAX(0,$C949-$AD$923),IF(DATE($C949,2,15)&gt;=$W$923,$Z$923*(1+($U$923)/100)^MAX(0,$C949-$AC$923),IF(DATE($C949,2,15)&gt;=$V$923,$Y$923*(1+($U$923)/100)^MAX(0,$C949-$AB$923),0)))))</f>
      </c>
      <c r="G949" s="43">
        <f>IF($S$923=0,0,IF(OR(DATE($C949,3,15)&lt;$S$923,AND($T$923&gt;0,DATE($C949,3,15)&gt;$T$923)),0,IF(DATE($C949,3,15)&gt;=$X$923,$AA$923*(1+($U$923)/100)^MAX(0,$C949-$AD$923),IF(DATE($C949,3,15)&gt;=$W$923,$Z$923*(1+($U$923)/100)^MAX(0,$C949-$AC$923),IF(DATE($C949,3,15)&gt;=$V$923,$Y$923*(1+($U$923)/100)^MAX(0,$C949-$AB$923),0)))))</f>
      </c>
      <c r="H949" s="43">
        <f>IF($S$923=0,0,IF(OR(DATE($C949,4,15)&lt;$S$923,AND($T$923&gt;0,DATE($C949,4,15)&gt;$T$923)),0,IF(DATE($C949,4,15)&gt;=$X$923,$AA$923*(1+($U$923)/100)^MAX(0,$C949-$AD$923),IF(DATE($C949,4,15)&gt;=$W$923,$Z$923*(1+($U$923)/100)^MAX(0,$C949-$AC$923),IF(DATE($C949,4,15)&gt;=$V$923,$Y$923*(1+($U$923)/100)^MAX(0,$C949-$AB$923),0)))))</f>
      </c>
      <c r="I949" s="43">
        <f>IF($S$923=0,0,IF(OR(DATE($C949,5,15)&lt;$S$923,AND($T$923&gt;0,DATE($C949,5,15)&gt;$T$923)),0,IF(DATE($C949,5,15)&gt;=$X$923,$AA$923*(1+($U$923)/100)^MAX(0,$C949-$AD$923),IF(DATE($C949,5,15)&gt;=$W$923,$Z$923*(1+($U$923)/100)^MAX(0,$C949-$AC$923),IF(DATE($C949,5,15)&gt;=$V$923,$Y$923*(1+($U$923)/100)^MAX(0,$C949-$AB$923),0)))))</f>
      </c>
      <c r="J949" s="43">
        <f>IF($S$923=0,0,IF(OR(DATE($C949,6,15)&lt;$S$923,AND($T$923&gt;0,DATE($C949,6,15)&gt;$T$923)),0,IF(DATE($C949,6,15)&gt;=$X$923,$AA$923*(1+($U$923)/100)^MAX(0,$C949-$AD$923),IF(DATE($C949,6,15)&gt;=$W$923,$Z$923*(1+($U$923)/100)^MAX(0,$C949-$AC$923),IF(DATE($C949,6,15)&gt;=$V$923,$Y$923*(1+($U$923)/100)^MAX(0,$C949-$AB$923),0)))))</f>
      </c>
      <c r="K949" s="43">
        <f>IF($S$923=0,0,IF(OR(DATE($C949,7,15)&lt;$S$923,AND($T$923&gt;0,DATE($C949,7,15)&gt;$T$923)),0,IF(DATE($C949,7,15)&gt;=$X$923,$AA$923*(1+($U$923)/100)^MAX(0,$C949-$AD$923),IF(DATE($C949,7,15)&gt;=$W$923,$Z$923*(1+($U$923)/100)^MAX(0,$C949-$AC$923),IF(DATE($C949,7,15)&gt;=$V$923,$Y$923*(1+($U$923)/100)^MAX(0,$C949-$AB$923),0)))))</f>
      </c>
      <c r="L949" s="43">
        <f>IF($S$923=0,0,IF(OR(DATE($C949,8,15)&lt;$S$923,AND($T$923&gt;0,DATE($C949,8,15)&gt;$T$923)),0,IF(DATE($C949,8,15)&gt;=$X$923,$AA$923*(1+($U$923)/100)^MAX(0,$C949-$AD$923),IF(DATE($C949,8,15)&gt;=$W$923,$Z$923*(1+($U$923)/100)^MAX(0,$C949-$AC$923),IF(DATE($C949,8,15)&gt;=$V$923,$Y$923*(1+($U$923)/100)^MAX(0,$C949-$AB$923),0)))))</f>
      </c>
      <c r="M949" s="43">
        <f>IF($S$923=0,0,IF(OR(DATE($C949,9,15)&lt;$S$923,AND($T$923&gt;0,DATE($C949,9,15)&gt;$T$923)),0,IF(DATE($C949,9,15)&gt;=$X$923,$AA$923*(1+($U$923)/100)^MAX(0,$C949-$AD$923),IF(DATE($C949,9,15)&gt;=$W$923,$Z$923*(1+($U$923)/100)^MAX(0,$C949-$AC$923),IF(DATE($C949,9,15)&gt;=$V$923,$Y$923*(1+($U$923)/100)^MAX(0,$C949-$AB$923),0)))))</f>
      </c>
      <c r="N949" s="43">
        <f>IF($S$923=0,0,IF(OR(DATE($C949,10,15)&lt;$S$923,AND($T$923&gt;0,DATE($C949,10,15)&gt;$T$923)),0,IF(DATE($C949,10,15)&gt;=$X$923,$AA$923*(1+($U$923)/100)^MAX(0,$C949-$AD$923),IF(DATE($C949,10,15)&gt;=$W$923,$Z$923*(1+($U$923)/100)^MAX(0,$C949-$AC$923),IF(DATE($C949,10,15)&gt;=$V$923,$Y$923*(1+($U$923)/100)^MAX(0,$C949-$AB$923),0)))))</f>
      </c>
      <c r="O949" s="43">
        <f>IF($S$923=0,0,IF(OR(DATE($C949,11,15)&lt;$S$923,AND($T$923&gt;0,DATE($C949,11,15)&gt;$T$923)),0,IF(DATE($C949,11,15)&gt;=$X$923,$AA$923*(1+($U$923)/100)^MAX(0,$C949-$AD$923),IF(DATE($C949,11,15)&gt;=$W$923,$Z$923*(1+($U$923)/100)^MAX(0,$C949-$AC$923),IF(DATE($C949,11,15)&gt;=$V$923,$Y$923*(1+($U$923)/100)^MAX(0,$C949-$AB$923),0)))))</f>
      </c>
      <c r="P949" s="43">
        <f>IF($S$923=0,0,IF(OR(DATE($C949,12,15)&lt;$S$923,AND($T$923&gt;0,DATE($C949,12,15)&gt;$T$923)),0,IF(DATE($C949,12,15)&gt;=$X$923,$AA$923*(1+($U$923)/100)^MAX(0,$C949-$AD$923),IF(DATE($C949,12,15)&gt;=$W$923,$Z$923*(1+($U$923)/100)^MAX(0,$C949-$AC$923),IF(DATE($C949,12,15)&gt;=$V$923,$Y$923*(1+($U$923)/100)^MAX(0,$C949-$AB$923),0)))))</f>
      </c>
      <c r="Q949" s="43">
        <f>SUM($E949:$P949)</f>
      </c>
    </row>
    <row r="950">
      <c r="A950"/>
      <c r="B950">
        <v>30</v>
      </c>
      <c r="C950" s="43">
        <f>Jahr+27</f>
      </c>
      <c r="D950" s="43">
        <f>INDEX(MvObj,30)</f>
      </c>
      <c r="E950" s="43">
        <f>IF($S$923=0,0,IF(OR(DATE($C950,1,15)&lt;$S$923,AND($T$923&gt;0,DATE($C950,1,15)&gt;$T$923)),0,IF(DATE($C950,1,15)&gt;=$X$923,$AA$923*(1+($U$923)/100)^MAX(0,$C950-$AD$923),IF(DATE($C950,1,15)&gt;=$W$923,$Z$923*(1+($U$923)/100)^MAX(0,$C950-$AC$923),IF(DATE($C950,1,15)&gt;=$V$923,$Y$923*(1+($U$923)/100)^MAX(0,$C950-$AB$923),0)))))</f>
      </c>
      <c r="F950" s="43">
        <f>IF($S$923=0,0,IF(OR(DATE($C950,2,15)&lt;$S$923,AND($T$923&gt;0,DATE($C950,2,15)&gt;$T$923)),0,IF(DATE($C950,2,15)&gt;=$X$923,$AA$923*(1+($U$923)/100)^MAX(0,$C950-$AD$923),IF(DATE($C950,2,15)&gt;=$W$923,$Z$923*(1+($U$923)/100)^MAX(0,$C950-$AC$923),IF(DATE($C950,2,15)&gt;=$V$923,$Y$923*(1+($U$923)/100)^MAX(0,$C950-$AB$923),0)))))</f>
      </c>
      <c r="G950" s="43">
        <f>IF($S$923=0,0,IF(OR(DATE($C950,3,15)&lt;$S$923,AND($T$923&gt;0,DATE($C950,3,15)&gt;$T$923)),0,IF(DATE($C950,3,15)&gt;=$X$923,$AA$923*(1+($U$923)/100)^MAX(0,$C950-$AD$923),IF(DATE($C950,3,15)&gt;=$W$923,$Z$923*(1+($U$923)/100)^MAX(0,$C950-$AC$923),IF(DATE($C950,3,15)&gt;=$V$923,$Y$923*(1+($U$923)/100)^MAX(0,$C950-$AB$923),0)))))</f>
      </c>
      <c r="H950" s="43">
        <f>IF($S$923=0,0,IF(OR(DATE($C950,4,15)&lt;$S$923,AND($T$923&gt;0,DATE($C950,4,15)&gt;$T$923)),0,IF(DATE($C950,4,15)&gt;=$X$923,$AA$923*(1+($U$923)/100)^MAX(0,$C950-$AD$923),IF(DATE($C950,4,15)&gt;=$W$923,$Z$923*(1+($U$923)/100)^MAX(0,$C950-$AC$923),IF(DATE($C950,4,15)&gt;=$V$923,$Y$923*(1+($U$923)/100)^MAX(0,$C950-$AB$923),0)))))</f>
      </c>
      <c r="I950" s="43">
        <f>IF($S$923=0,0,IF(OR(DATE($C950,5,15)&lt;$S$923,AND($T$923&gt;0,DATE($C950,5,15)&gt;$T$923)),0,IF(DATE($C950,5,15)&gt;=$X$923,$AA$923*(1+($U$923)/100)^MAX(0,$C950-$AD$923),IF(DATE($C950,5,15)&gt;=$W$923,$Z$923*(1+($U$923)/100)^MAX(0,$C950-$AC$923),IF(DATE($C950,5,15)&gt;=$V$923,$Y$923*(1+($U$923)/100)^MAX(0,$C950-$AB$923),0)))))</f>
      </c>
      <c r="J950" s="43">
        <f>IF($S$923=0,0,IF(OR(DATE($C950,6,15)&lt;$S$923,AND($T$923&gt;0,DATE($C950,6,15)&gt;$T$923)),0,IF(DATE($C950,6,15)&gt;=$X$923,$AA$923*(1+($U$923)/100)^MAX(0,$C950-$AD$923),IF(DATE($C950,6,15)&gt;=$W$923,$Z$923*(1+($U$923)/100)^MAX(0,$C950-$AC$923),IF(DATE($C950,6,15)&gt;=$V$923,$Y$923*(1+($U$923)/100)^MAX(0,$C950-$AB$923),0)))))</f>
      </c>
      <c r="K950" s="43">
        <f>IF($S$923=0,0,IF(OR(DATE($C950,7,15)&lt;$S$923,AND($T$923&gt;0,DATE($C950,7,15)&gt;$T$923)),0,IF(DATE($C950,7,15)&gt;=$X$923,$AA$923*(1+($U$923)/100)^MAX(0,$C950-$AD$923),IF(DATE($C950,7,15)&gt;=$W$923,$Z$923*(1+($U$923)/100)^MAX(0,$C950-$AC$923),IF(DATE($C950,7,15)&gt;=$V$923,$Y$923*(1+($U$923)/100)^MAX(0,$C950-$AB$923),0)))))</f>
      </c>
      <c r="L950" s="43">
        <f>IF($S$923=0,0,IF(OR(DATE($C950,8,15)&lt;$S$923,AND($T$923&gt;0,DATE($C950,8,15)&gt;$T$923)),0,IF(DATE($C950,8,15)&gt;=$X$923,$AA$923*(1+($U$923)/100)^MAX(0,$C950-$AD$923),IF(DATE($C950,8,15)&gt;=$W$923,$Z$923*(1+($U$923)/100)^MAX(0,$C950-$AC$923),IF(DATE($C950,8,15)&gt;=$V$923,$Y$923*(1+($U$923)/100)^MAX(0,$C950-$AB$923),0)))))</f>
      </c>
      <c r="M950" s="43">
        <f>IF($S$923=0,0,IF(OR(DATE($C950,9,15)&lt;$S$923,AND($T$923&gt;0,DATE($C950,9,15)&gt;$T$923)),0,IF(DATE($C950,9,15)&gt;=$X$923,$AA$923*(1+($U$923)/100)^MAX(0,$C950-$AD$923),IF(DATE($C950,9,15)&gt;=$W$923,$Z$923*(1+($U$923)/100)^MAX(0,$C950-$AC$923),IF(DATE($C950,9,15)&gt;=$V$923,$Y$923*(1+($U$923)/100)^MAX(0,$C950-$AB$923),0)))))</f>
      </c>
      <c r="N950" s="43">
        <f>IF($S$923=0,0,IF(OR(DATE($C950,10,15)&lt;$S$923,AND($T$923&gt;0,DATE($C950,10,15)&gt;$T$923)),0,IF(DATE($C950,10,15)&gt;=$X$923,$AA$923*(1+($U$923)/100)^MAX(0,$C950-$AD$923),IF(DATE($C950,10,15)&gt;=$W$923,$Z$923*(1+($U$923)/100)^MAX(0,$C950-$AC$923),IF(DATE($C950,10,15)&gt;=$V$923,$Y$923*(1+($U$923)/100)^MAX(0,$C950-$AB$923),0)))))</f>
      </c>
      <c r="O950" s="43">
        <f>IF($S$923=0,0,IF(OR(DATE($C950,11,15)&lt;$S$923,AND($T$923&gt;0,DATE($C950,11,15)&gt;$T$923)),0,IF(DATE($C950,11,15)&gt;=$X$923,$AA$923*(1+($U$923)/100)^MAX(0,$C950-$AD$923),IF(DATE($C950,11,15)&gt;=$W$923,$Z$923*(1+($U$923)/100)^MAX(0,$C950-$AC$923),IF(DATE($C950,11,15)&gt;=$V$923,$Y$923*(1+($U$923)/100)^MAX(0,$C950-$AB$923),0)))))</f>
      </c>
      <c r="P950" s="43">
        <f>IF($S$923=0,0,IF(OR(DATE($C950,12,15)&lt;$S$923,AND($T$923&gt;0,DATE($C950,12,15)&gt;$T$923)),0,IF(DATE($C950,12,15)&gt;=$X$923,$AA$923*(1+($U$923)/100)^MAX(0,$C950-$AD$923),IF(DATE($C950,12,15)&gt;=$W$923,$Z$923*(1+($U$923)/100)^MAX(0,$C950-$AC$923),IF(DATE($C950,12,15)&gt;=$V$923,$Y$923*(1+($U$923)/100)^MAX(0,$C950-$AB$923),0)))))</f>
      </c>
      <c r="Q950" s="43">
        <f>SUM($E950:$P950)</f>
      </c>
    </row>
    <row r="951">
      <c r="A951"/>
      <c r="B951">
        <v>30</v>
      </c>
      <c r="C951" s="43">
        <f>Jahr+28</f>
      </c>
      <c r="D951" s="43">
        <f>INDEX(MvObj,30)</f>
      </c>
      <c r="E951" s="43">
        <f>IF($S$923=0,0,IF(OR(DATE($C951,1,15)&lt;$S$923,AND($T$923&gt;0,DATE($C951,1,15)&gt;$T$923)),0,IF(DATE($C951,1,15)&gt;=$X$923,$AA$923*(1+($U$923)/100)^MAX(0,$C951-$AD$923),IF(DATE($C951,1,15)&gt;=$W$923,$Z$923*(1+($U$923)/100)^MAX(0,$C951-$AC$923),IF(DATE($C951,1,15)&gt;=$V$923,$Y$923*(1+($U$923)/100)^MAX(0,$C951-$AB$923),0)))))</f>
      </c>
      <c r="F951" s="43">
        <f>IF($S$923=0,0,IF(OR(DATE($C951,2,15)&lt;$S$923,AND($T$923&gt;0,DATE($C951,2,15)&gt;$T$923)),0,IF(DATE($C951,2,15)&gt;=$X$923,$AA$923*(1+($U$923)/100)^MAX(0,$C951-$AD$923),IF(DATE($C951,2,15)&gt;=$W$923,$Z$923*(1+($U$923)/100)^MAX(0,$C951-$AC$923),IF(DATE($C951,2,15)&gt;=$V$923,$Y$923*(1+($U$923)/100)^MAX(0,$C951-$AB$923),0)))))</f>
      </c>
      <c r="G951" s="43">
        <f>IF($S$923=0,0,IF(OR(DATE($C951,3,15)&lt;$S$923,AND($T$923&gt;0,DATE($C951,3,15)&gt;$T$923)),0,IF(DATE($C951,3,15)&gt;=$X$923,$AA$923*(1+($U$923)/100)^MAX(0,$C951-$AD$923),IF(DATE($C951,3,15)&gt;=$W$923,$Z$923*(1+($U$923)/100)^MAX(0,$C951-$AC$923),IF(DATE($C951,3,15)&gt;=$V$923,$Y$923*(1+($U$923)/100)^MAX(0,$C951-$AB$923),0)))))</f>
      </c>
      <c r="H951" s="43">
        <f>IF($S$923=0,0,IF(OR(DATE($C951,4,15)&lt;$S$923,AND($T$923&gt;0,DATE($C951,4,15)&gt;$T$923)),0,IF(DATE($C951,4,15)&gt;=$X$923,$AA$923*(1+($U$923)/100)^MAX(0,$C951-$AD$923),IF(DATE($C951,4,15)&gt;=$W$923,$Z$923*(1+($U$923)/100)^MAX(0,$C951-$AC$923),IF(DATE($C951,4,15)&gt;=$V$923,$Y$923*(1+($U$923)/100)^MAX(0,$C951-$AB$923),0)))))</f>
      </c>
      <c r="I951" s="43">
        <f>IF($S$923=0,0,IF(OR(DATE($C951,5,15)&lt;$S$923,AND($T$923&gt;0,DATE($C951,5,15)&gt;$T$923)),0,IF(DATE($C951,5,15)&gt;=$X$923,$AA$923*(1+($U$923)/100)^MAX(0,$C951-$AD$923),IF(DATE($C951,5,15)&gt;=$W$923,$Z$923*(1+($U$923)/100)^MAX(0,$C951-$AC$923),IF(DATE($C951,5,15)&gt;=$V$923,$Y$923*(1+($U$923)/100)^MAX(0,$C951-$AB$923),0)))))</f>
      </c>
      <c r="J951" s="43">
        <f>IF($S$923=0,0,IF(OR(DATE($C951,6,15)&lt;$S$923,AND($T$923&gt;0,DATE($C951,6,15)&gt;$T$923)),0,IF(DATE($C951,6,15)&gt;=$X$923,$AA$923*(1+($U$923)/100)^MAX(0,$C951-$AD$923),IF(DATE($C951,6,15)&gt;=$W$923,$Z$923*(1+($U$923)/100)^MAX(0,$C951-$AC$923),IF(DATE($C951,6,15)&gt;=$V$923,$Y$923*(1+($U$923)/100)^MAX(0,$C951-$AB$923),0)))))</f>
      </c>
      <c r="K951" s="43">
        <f>IF($S$923=0,0,IF(OR(DATE($C951,7,15)&lt;$S$923,AND($T$923&gt;0,DATE($C951,7,15)&gt;$T$923)),0,IF(DATE($C951,7,15)&gt;=$X$923,$AA$923*(1+($U$923)/100)^MAX(0,$C951-$AD$923),IF(DATE($C951,7,15)&gt;=$W$923,$Z$923*(1+($U$923)/100)^MAX(0,$C951-$AC$923),IF(DATE($C951,7,15)&gt;=$V$923,$Y$923*(1+($U$923)/100)^MAX(0,$C951-$AB$923),0)))))</f>
      </c>
      <c r="L951" s="43">
        <f>IF($S$923=0,0,IF(OR(DATE($C951,8,15)&lt;$S$923,AND($T$923&gt;0,DATE($C951,8,15)&gt;$T$923)),0,IF(DATE($C951,8,15)&gt;=$X$923,$AA$923*(1+($U$923)/100)^MAX(0,$C951-$AD$923),IF(DATE($C951,8,15)&gt;=$W$923,$Z$923*(1+($U$923)/100)^MAX(0,$C951-$AC$923),IF(DATE($C951,8,15)&gt;=$V$923,$Y$923*(1+($U$923)/100)^MAX(0,$C951-$AB$923),0)))))</f>
      </c>
      <c r="M951" s="43">
        <f>IF($S$923=0,0,IF(OR(DATE($C951,9,15)&lt;$S$923,AND($T$923&gt;0,DATE($C951,9,15)&gt;$T$923)),0,IF(DATE($C951,9,15)&gt;=$X$923,$AA$923*(1+($U$923)/100)^MAX(0,$C951-$AD$923),IF(DATE($C951,9,15)&gt;=$W$923,$Z$923*(1+($U$923)/100)^MAX(0,$C951-$AC$923),IF(DATE($C951,9,15)&gt;=$V$923,$Y$923*(1+($U$923)/100)^MAX(0,$C951-$AB$923),0)))))</f>
      </c>
      <c r="N951" s="43">
        <f>IF($S$923=0,0,IF(OR(DATE($C951,10,15)&lt;$S$923,AND($T$923&gt;0,DATE($C951,10,15)&gt;$T$923)),0,IF(DATE($C951,10,15)&gt;=$X$923,$AA$923*(1+($U$923)/100)^MAX(0,$C951-$AD$923),IF(DATE($C951,10,15)&gt;=$W$923,$Z$923*(1+($U$923)/100)^MAX(0,$C951-$AC$923),IF(DATE($C951,10,15)&gt;=$V$923,$Y$923*(1+($U$923)/100)^MAX(0,$C951-$AB$923),0)))))</f>
      </c>
      <c r="O951" s="43">
        <f>IF($S$923=0,0,IF(OR(DATE($C951,11,15)&lt;$S$923,AND($T$923&gt;0,DATE($C951,11,15)&gt;$T$923)),0,IF(DATE($C951,11,15)&gt;=$X$923,$AA$923*(1+($U$923)/100)^MAX(0,$C951-$AD$923),IF(DATE($C951,11,15)&gt;=$W$923,$Z$923*(1+($U$923)/100)^MAX(0,$C951-$AC$923),IF(DATE($C951,11,15)&gt;=$V$923,$Y$923*(1+($U$923)/100)^MAX(0,$C951-$AB$923),0)))))</f>
      </c>
      <c r="P951" s="43">
        <f>IF($S$923=0,0,IF(OR(DATE($C951,12,15)&lt;$S$923,AND($T$923&gt;0,DATE($C951,12,15)&gt;$T$923)),0,IF(DATE($C951,12,15)&gt;=$X$923,$AA$923*(1+($U$923)/100)^MAX(0,$C951-$AD$923),IF(DATE($C951,12,15)&gt;=$W$923,$Z$923*(1+($U$923)/100)^MAX(0,$C951-$AC$923),IF(DATE($C951,12,15)&gt;=$V$923,$Y$923*(1+($U$923)/100)^MAX(0,$C951-$AB$923),0)))))</f>
      </c>
      <c r="Q951" s="43">
        <f>SUM($E951:$P951)</f>
      </c>
    </row>
    <row r="952">
      <c r="A952"/>
      <c r="B952">
        <v>30</v>
      </c>
      <c r="C952" s="43">
        <f>Jahr+29</f>
      </c>
      <c r="D952" s="43">
        <f>INDEX(MvObj,30)</f>
      </c>
      <c r="E952" s="43">
        <f>IF($S$923=0,0,IF(OR(DATE($C952,1,15)&lt;$S$923,AND($T$923&gt;0,DATE($C952,1,15)&gt;$T$923)),0,IF(DATE($C952,1,15)&gt;=$X$923,$AA$923*(1+($U$923)/100)^MAX(0,$C952-$AD$923),IF(DATE($C952,1,15)&gt;=$W$923,$Z$923*(1+($U$923)/100)^MAX(0,$C952-$AC$923),IF(DATE($C952,1,15)&gt;=$V$923,$Y$923*(1+($U$923)/100)^MAX(0,$C952-$AB$923),0)))))</f>
      </c>
      <c r="F952" s="43">
        <f>IF($S$923=0,0,IF(OR(DATE($C952,2,15)&lt;$S$923,AND($T$923&gt;0,DATE($C952,2,15)&gt;$T$923)),0,IF(DATE($C952,2,15)&gt;=$X$923,$AA$923*(1+($U$923)/100)^MAX(0,$C952-$AD$923),IF(DATE($C952,2,15)&gt;=$W$923,$Z$923*(1+($U$923)/100)^MAX(0,$C952-$AC$923),IF(DATE($C952,2,15)&gt;=$V$923,$Y$923*(1+($U$923)/100)^MAX(0,$C952-$AB$923),0)))))</f>
      </c>
      <c r="G952" s="43">
        <f>IF($S$923=0,0,IF(OR(DATE($C952,3,15)&lt;$S$923,AND($T$923&gt;0,DATE($C952,3,15)&gt;$T$923)),0,IF(DATE($C952,3,15)&gt;=$X$923,$AA$923*(1+($U$923)/100)^MAX(0,$C952-$AD$923),IF(DATE($C952,3,15)&gt;=$W$923,$Z$923*(1+($U$923)/100)^MAX(0,$C952-$AC$923),IF(DATE($C952,3,15)&gt;=$V$923,$Y$923*(1+($U$923)/100)^MAX(0,$C952-$AB$923),0)))))</f>
      </c>
      <c r="H952" s="43">
        <f>IF($S$923=0,0,IF(OR(DATE($C952,4,15)&lt;$S$923,AND($T$923&gt;0,DATE($C952,4,15)&gt;$T$923)),0,IF(DATE($C952,4,15)&gt;=$X$923,$AA$923*(1+($U$923)/100)^MAX(0,$C952-$AD$923),IF(DATE($C952,4,15)&gt;=$W$923,$Z$923*(1+($U$923)/100)^MAX(0,$C952-$AC$923),IF(DATE($C952,4,15)&gt;=$V$923,$Y$923*(1+($U$923)/100)^MAX(0,$C952-$AB$923),0)))))</f>
      </c>
      <c r="I952" s="43">
        <f>IF($S$923=0,0,IF(OR(DATE($C952,5,15)&lt;$S$923,AND($T$923&gt;0,DATE($C952,5,15)&gt;$T$923)),0,IF(DATE($C952,5,15)&gt;=$X$923,$AA$923*(1+($U$923)/100)^MAX(0,$C952-$AD$923),IF(DATE($C952,5,15)&gt;=$W$923,$Z$923*(1+($U$923)/100)^MAX(0,$C952-$AC$923),IF(DATE($C952,5,15)&gt;=$V$923,$Y$923*(1+($U$923)/100)^MAX(0,$C952-$AB$923),0)))))</f>
      </c>
      <c r="J952" s="43">
        <f>IF($S$923=0,0,IF(OR(DATE($C952,6,15)&lt;$S$923,AND($T$923&gt;0,DATE($C952,6,15)&gt;$T$923)),0,IF(DATE($C952,6,15)&gt;=$X$923,$AA$923*(1+($U$923)/100)^MAX(0,$C952-$AD$923),IF(DATE($C952,6,15)&gt;=$W$923,$Z$923*(1+($U$923)/100)^MAX(0,$C952-$AC$923),IF(DATE($C952,6,15)&gt;=$V$923,$Y$923*(1+($U$923)/100)^MAX(0,$C952-$AB$923),0)))))</f>
      </c>
      <c r="K952" s="43">
        <f>IF($S$923=0,0,IF(OR(DATE($C952,7,15)&lt;$S$923,AND($T$923&gt;0,DATE($C952,7,15)&gt;$T$923)),0,IF(DATE($C952,7,15)&gt;=$X$923,$AA$923*(1+($U$923)/100)^MAX(0,$C952-$AD$923),IF(DATE($C952,7,15)&gt;=$W$923,$Z$923*(1+($U$923)/100)^MAX(0,$C952-$AC$923),IF(DATE($C952,7,15)&gt;=$V$923,$Y$923*(1+($U$923)/100)^MAX(0,$C952-$AB$923),0)))))</f>
      </c>
      <c r="L952" s="43">
        <f>IF($S$923=0,0,IF(OR(DATE($C952,8,15)&lt;$S$923,AND($T$923&gt;0,DATE($C952,8,15)&gt;$T$923)),0,IF(DATE($C952,8,15)&gt;=$X$923,$AA$923*(1+($U$923)/100)^MAX(0,$C952-$AD$923),IF(DATE($C952,8,15)&gt;=$W$923,$Z$923*(1+($U$923)/100)^MAX(0,$C952-$AC$923),IF(DATE($C952,8,15)&gt;=$V$923,$Y$923*(1+($U$923)/100)^MAX(0,$C952-$AB$923),0)))))</f>
      </c>
      <c r="M952" s="43">
        <f>IF($S$923=0,0,IF(OR(DATE($C952,9,15)&lt;$S$923,AND($T$923&gt;0,DATE($C952,9,15)&gt;$T$923)),0,IF(DATE($C952,9,15)&gt;=$X$923,$AA$923*(1+($U$923)/100)^MAX(0,$C952-$AD$923),IF(DATE($C952,9,15)&gt;=$W$923,$Z$923*(1+($U$923)/100)^MAX(0,$C952-$AC$923),IF(DATE($C952,9,15)&gt;=$V$923,$Y$923*(1+($U$923)/100)^MAX(0,$C952-$AB$923),0)))))</f>
      </c>
      <c r="N952" s="43">
        <f>IF($S$923=0,0,IF(OR(DATE($C952,10,15)&lt;$S$923,AND($T$923&gt;0,DATE($C952,10,15)&gt;$T$923)),0,IF(DATE($C952,10,15)&gt;=$X$923,$AA$923*(1+($U$923)/100)^MAX(0,$C952-$AD$923),IF(DATE($C952,10,15)&gt;=$W$923,$Z$923*(1+($U$923)/100)^MAX(0,$C952-$AC$923),IF(DATE($C952,10,15)&gt;=$V$923,$Y$923*(1+($U$923)/100)^MAX(0,$C952-$AB$923),0)))))</f>
      </c>
      <c r="O952" s="43">
        <f>IF($S$923=0,0,IF(OR(DATE($C952,11,15)&lt;$S$923,AND($T$923&gt;0,DATE($C952,11,15)&gt;$T$923)),0,IF(DATE($C952,11,15)&gt;=$X$923,$AA$923*(1+($U$923)/100)^MAX(0,$C952-$AD$923),IF(DATE($C952,11,15)&gt;=$W$923,$Z$923*(1+($U$923)/100)^MAX(0,$C952-$AC$923),IF(DATE($C952,11,15)&gt;=$V$923,$Y$923*(1+($U$923)/100)^MAX(0,$C952-$AB$923),0)))))</f>
      </c>
      <c r="P952" s="43">
        <f>IF($S$923=0,0,IF(OR(DATE($C952,12,15)&lt;$S$923,AND($T$923&gt;0,DATE($C952,12,15)&gt;$T$923)),0,IF(DATE($C952,12,15)&gt;=$X$923,$AA$923*(1+($U$923)/100)^MAX(0,$C952-$AD$923),IF(DATE($C952,12,15)&gt;=$W$923,$Z$923*(1+($U$923)/100)^MAX(0,$C952-$AC$923),IF(DATE($C952,12,15)&gt;=$V$923,$Y$923*(1+($U$923)/100)^MAX(0,$C952-$AB$923),0)))))</f>
      </c>
      <c r="Q952" s="43">
        <f>SUM($E952:$P952)</f>
      </c>
    </row>
    <row r="953">
      <c r="A953"/>
      <c r="B953">
        <v>30</v>
      </c>
      <c r="C953" s="43">
        <f>Jahr+30</f>
      </c>
      <c r="D953" s="43">
        <f>INDEX(MvObj,30)</f>
      </c>
      <c r="E953" s="43">
        <f>IF($S$923=0,0,IF(OR(DATE($C953,1,15)&lt;$S$923,AND($T$923&gt;0,DATE($C953,1,15)&gt;$T$923)),0,IF(DATE($C953,1,15)&gt;=$X$923,$AA$923*(1+($U$923)/100)^MAX(0,$C953-$AD$923),IF(DATE($C953,1,15)&gt;=$W$923,$Z$923*(1+($U$923)/100)^MAX(0,$C953-$AC$923),IF(DATE($C953,1,15)&gt;=$V$923,$Y$923*(1+($U$923)/100)^MAX(0,$C953-$AB$923),0)))))</f>
      </c>
      <c r="F953" s="43">
        <f>IF($S$923=0,0,IF(OR(DATE($C953,2,15)&lt;$S$923,AND($T$923&gt;0,DATE($C953,2,15)&gt;$T$923)),0,IF(DATE($C953,2,15)&gt;=$X$923,$AA$923*(1+($U$923)/100)^MAX(0,$C953-$AD$923),IF(DATE($C953,2,15)&gt;=$W$923,$Z$923*(1+($U$923)/100)^MAX(0,$C953-$AC$923),IF(DATE($C953,2,15)&gt;=$V$923,$Y$923*(1+($U$923)/100)^MAX(0,$C953-$AB$923),0)))))</f>
      </c>
      <c r="G953" s="43">
        <f>IF($S$923=0,0,IF(OR(DATE($C953,3,15)&lt;$S$923,AND($T$923&gt;0,DATE($C953,3,15)&gt;$T$923)),0,IF(DATE($C953,3,15)&gt;=$X$923,$AA$923*(1+($U$923)/100)^MAX(0,$C953-$AD$923),IF(DATE($C953,3,15)&gt;=$W$923,$Z$923*(1+($U$923)/100)^MAX(0,$C953-$AC$923),IF(DATE($C953,3,15)&gt;=$V$923,$Y$923*(1+($U$923)/100)^MAX(0,$C953-$AB$923),0)))))</f>
      </c>
      <c r="H953" s="43">
        <f>IF($S$923=0,0,IF(OR(DATE($C953,4,15)&lt;$S$923,AND($T$923&gt;0,DATE($C953,4,15)&gt;$T$923)),0,IF(DATE($C953,4,15)&gt;=$X$923,$AA$923*(1+($U$923)/100)^MAX(0,$C953-$AD$923),IF(DATE($C953,4,15)&gt;=$W$923,$Z$923*(1+($U$923)/100)^MAX(0,$C953-$AC$923),IF(DATE($C953,4,15)&gt;=$V$923,$Y$923*(1+($U$923)/100)^MAX(0,$C953-$AB$923),0)))))</f>
      </c>
      <c r="I953" s="43">
        <f>IF($S$923=0,0,IF(OR(DATE($C953,5,15)&lt;$S$923,AND($T$923&gt;0,DATE($C953,5,15)&gt;$T$923)),0,IF(DATE($C953,5,15)&gt;=$X$923,$AA$923*(1+($U$923)/100)^MAX(0,$C953-$AD$923),IF(DATE($C953,5,15)&gt;=$W$923,$Z$923*(1+($U$923)/100)^MAX(0,$C953-$AC$923),IF(DATE($C953,5,15)&gt;=$V$923,$Y$923*(1+($U$923)/100)^MAX(0,$C953-$AB$923),0)))))</f>
      </c>
      <c r="J953" s="43">
        <f>IF($S$923=0,0,IF(OR(DATE($C953,6,15)&lt;$S$923,AND($T$923&gt;0,DATE($C953,6,15)&gt;$T$923)),0,IF(DATE($C953,6,15)&gt;=$X$923,$AA$923*(1+($U$923)/100)^MAX(0,$C953-$AD$923),IF(DATE($C953,6,15)&gt;=$W$923,$Z$923*(1+($U$923)/100)^MAX(0,$C953-$AC$923),IF(DATE($C953,6,15)&gt;=$V$923,$Y$923*(1+($U$923)/100)^MAX(0,$C953-$AB$923),0)))))</f>
      </c>
      <c r="K953" s="43">
        <f>IF($S$923=0,0,IF(OR(DATE($C953,7,15)&lt;$S$923,AND($T$923&gt;0,DATE($C953,7,15)&gt;$T$923)),0,IF(DATE($C953,7,15)&gt;=$X$923,$AA$923*(1+($U$923)/100)^MAX(0,$C953-$AD$923),IF(DATE($C953,7,15)&gt;=$W$923,$Z$923*(1+($U$923)/100)^MAX(0,$C953-$AC$923),IF(DATE($C953,7,15)&gt;=$V$923,$Y$923*(1+($U$923)/100)^MAX(0,$C953-$AB$923),0)))))</f>
      </c>
      <c r="L953" s="43">
        <f>IF($S$923=0,0,IF(OR(DATE($C953,8,15)&lt;$S$923,AND($T$923&gt;0,DATE($C953,8,15)&gt;$T$923)),0,IF(DATE($C953,8,15)&gt;=$X$923,$AA$923*(1+($U$923)/100)^MAX(0,$C953-$AD$923),IF(DATE($C953,8,15)&gt;=$W$923,$Z$923*(1+($U$923)/100)^MAX(0,$C953-$AC$923),IF(DATE($C953,8,15)&gt;=$V$923,$Y$923*(1+($U$923)/100)^MAX(0,$C953-$AB$923),0)))))</f>
      </c>
      <c r="M953" s="43">
        <f>IF($S$923=0,0,IF(OR(DATE($C953,9,15)&lt;$S$923,AND($T$923&gt;0,DATE($C953,9,15)&gt;$T$923)),0,IF(DATE($C953,9,15)&gt;=$X$923,$AA$923*(1+($U$923)/100)^MAX(0,$C953-$AD$923),IF(DATE($C953,9,15)&gt;=$W$923,$Z$923*(1+($U$923)/100)^MAX(0,$C953-$AC$923),IF(DATE($C953,9,15)&gt;=$V$923,$Y$923*(1+($U$923)/100)^MAX(0,$C953-$AB$923),0)))))</f>
      </c>
      <c r="N953" s="43">
        <f>IF($S$923=0,0,IF(OR(DATE($C953,10,15)&lt;$S$923,AND($T$923&gt;0,DATE($C953,10,15)&gt;$T$923)),0,IF(DATE($C953,10,15)&gt;=$X$923,$AA$923*(1+($U$923)/100)^MAX(0,$C953-$AD$923),IF(DATE($C953,10,15)&gt;=$W$923,$Z$923*(1+($U$923)/100)^MAX(0,$C953-$AC$923),IF(DATE($C953,10,15)&gt;=$V$923,$Y$923*(1+($U$923)/100)^MAX(0,$C953-$AB$923),0)))))</f>
      </c>
      <c r="O953" s="43">
        <f>IF($S$923=0,0,IF(OR(DATE($C953,11,15)&lt;$S$923,AND($T$923&gt;0,DATE($C953,11,15)&gt;$T$923)),0,IF(DATE($C953,11,15)&gt;=$X$923,$AA$923*(1+($U$923)/100)^MAX(0,$C953-$AD$923),IF(DATE($C953,11,15)&gt;=$W$923,$Z$923*(1+($U$923)/100)^MAX(0,$C953-$AC$923),IF(DATE($C953,11,15)&gt;=$V$923,$Y$923*(1+($U$923)/100)^MAX(0,$C953-$AB$923),0)))))</f>
      </c>
      <c r="P953" s="43">
        <f>IF($S$923=0,0,IF(OR(DATE($C953,12,15)&lt;$S$923,AND($T$923&gt;0,DATE($C953,12,15)&gt;$T$923)),0,IF(DATE($C953,12,15)&gt;=$X$923,$AA$923*(1+($U$923)/100)^MAX(0,$C953-$AD$923),IF(DATE($C953,12,15)&gt;=$W$923,$Z$923*(1+($U$923)/100)^MAX(0,$C953-$AC$923),IF(DATE($C953,12,15)&gt;=$V$923,$Y$923*(1+($U$923)/100)^MAX(0,$C953-$AB$923),0)))))</f>
      </c>
      <c r="Q953" s="43">
        <f>SUM($E953:$P953)</f>
      </c>
    </row>
    <row r="956">
      <c r="A956"/>
      <c r="B956" s="4">
        <f>"C · Nebenkosten-Vorauszahlung je Vertrag · "&amp;Jahr</f>
      </c>
    </row>
    <row r="957">
      <c r="A957"/>
      <c r="B957" s="24" t="inlineStr">
        <is>
          <t xml:space="preserve">Vertrag</t>
        </is>
      </c>
      <c r="C957" s="24" t="inlineStr">
        <is>
          <t xml:space="preserve">Objekt</t>
        </is>
      </c>
      <c r="D957"/>
      <c r="E957" s="24" t="inlineStr">
        <is>
          <t xml:space="preserve">Jan</t>
        </is>
      </c>
      <c r="F957" s="24" t="inlineStr">
        <is>
          <t xml:space="preserve">Feb</t>
        </is>
      </c>
      <c r="G957" s="24" t="inlineStr">
        <is>
          <t xml:space="preserve">Mrz</t>
        </is>
      </c>
      <c r="H957" s="24" t="inlineStr">
        <is>
          <t xml:space="preserve">Apr</t>
        </is>
      </c>
      <c r="I957" s="24" t="inlineStr">
        <is>
          <t xml:space="preserve">Mai</t>
        </is>
      </c>
      <c r="J957" s="24" t="inlineStr">
        <is>
          <t xml:space="preserve">Jun</t>
        </is>
      </c>
      <c r="K957" s="24" t="inlineStr">
        <is>
          <t xml:space="preserve">Jul</t>
        </is>
      </c>
      <c r="L957" s="24" t="inlineStr">
        <is>
          <t xml:space="preserve">Aug</t>
        </is>
      </c>
      <c r="M957" s="24" t="inlineStr">
        <is>
          <t xml:space="preserve">Sep</t>
        </is>
      </c>
      <c r="N957" s="24" t="inlineStr">
        <is>
          <t xml:space="preserve">Okt</t>
        </is>
      </c>
      <c r="O957" s="24" t="inlineStr">
        <is>
          <t xml:space="preserve">Nov</t>
        </is>
      </c>
      <c r="P957" s="24" t="inlineStr">
        <is>
          <t xml:space="preserve">Dez</t>
        </is>
      </c>
    </row>
    <row r="958">
      <c r="A958"/>
      <c r="B958">
        <v>1</v>
      </c>
      <c r="C958" s="43">
        <f>INDEX(MvObj,1)</f>
      </c>
      <c r="D958"/>
      <c r="E958" s="43">
        <f>IF(INDEX(MvBeginn,1)="",0,IF(OR(DATE(Jahr,1,15)&lt;INDEX(MvBeginn,1),AND(INDEX(MvEnde,1)&gt;0,DATE(Jahr,1,15)&gt;INDEX(MvEnde,1))),0,IF(DATE(Jahr,1,15)&gt;=INDEX(MvKey3,1),INDEX(MvNkV3,1),IF(DATE(Jahr,1,15)&gt;=INDEX(MvKey2,1),INDEX(MvNkV2,1),IF(DATE(Jahr,1,15)&gt;=INDEX(MvKey1,1),INDEX(MvNkV1,1),0)))))</f>
      </c>
      <c r="F958" s="43">
        <f>IF(INDEX(MvBeginn,1)="",0,IF(OR(DATE(Jahr,2,15)&lt;INDEX(MvBeginn,1),AND(INDEX(MvEnde,1)&gt;0,DATE(Jahr,2,15)&gt;INDEX(MvEnde,1))),0,IF(DATE(Jahr,2,15)&gt;=INDEX(MvKey3,1),INDEX(MvNkV3,1),IF(DATE(Jahr,2,15)&gt;=INDEX(MvKey2,1),INDEX(MvNkV2,1),IF(DATE(Jahr,2,15)&gt;=INDEX(MvKey1,1),INDEX(MvNkV1,1),0)))))</f>
      </c>
      <c r="G958" s="43">
        <f>IF(INDEX(MvBeginn,1)="",0,IF(OR(DATE(Jahr,3,15)&lt;INDEX(MvBeginn,1),AND(INDEX(MvEnde,1)&gt;0,DATE(Jahr,3,15)&gt;INDEX(MvEnde,1))),0,IF(DATE(Jahr,3,15)&gt;=INDEX(MvKey3,1),INDEX(MvNkV3,1),IF(DATE(Jahr,3,15)&gt;=INDEX(MvKey2,1),INDEX(MvNkV2,1),IF(DATE(Jahr,3,15)&gt;=INDEX(MvKey1,1),INDEX(MvNkV1,1),0)))))</f>
      </c>
      <c r="H958" s="43">
        <f>IF(INDEX(MvBeginn,1)="",0,IF(OR(DATE(Jahr,4,15)&lt;INDEX(MvBeginn,1),AND(INDEX(MvEnde,1)&gt;0,DATE(Jahr,4,15)&gt;INDEX(MvEnde,1))),0,IF(DATE(Jahr,4,15)&gt;=INDEX(MvKey3,1),INDEX(MvNkV3,1),IF(DATE(Jahr,4,15)&gt;=INDEX(MvKey2,1),INDEX(MvNkV2,1),IF(DATE(Jahr,4,15)&gt;=INDEX(MvKey1,1),INDEX(MvNkV1,1),0)))))</f>
      </c>
      <c r="I958" s="43">
        <f>IF(INDEX(MvBeginn,1)="",0,IF(OR(DATE(Jahr,5,15)&lt;INDEX(MvBeginn,1),AND(INDEX(MvEnde,1)&gt;0,DATE(Jahr,5,15)&gt;INDEX(MvEnde,1))),0,IF(DATE(Jahr,5,15)&gt;=INDEX(MvKey3,1),INDEX(MvNkV3,1),IF(DATE(Jahr,5,15)&gt;=INDEX(MvKey2,1),INDEX(MvNkV2,1),IF(DATE(Jahr,5,15)&gt;=INDEX(MvKey1,1),INDEX(MvNkV1,1),0)))))</f>
      </c>
      <c r="J958" s="43">
        <f>IF(INDEX(MvBeginn,1)="",0,IF(OR(DATE(Jahr,6,15)&lt;INDEX(MvBeginn,1),AND(INDEX(MvEnde,1)&gt;0,DATE(Jahr,6,15)&gt;INDEX(MvEnde,1))),0,IF(DATE(Jahr,6,15)&gt;=INDEX(MvKey3,1),INDEX(MvNkV3,1),IF(DATE(Jahr,6,15)&gt;=INDEX(MvKey2,1),INDEX(MvNkV2,1),IF(DATE(Jahr,6,15)&gt;=INDEX(MvKey1,1),INDEX(MvNkV1,1),0)))))</f>
      </c>
      <c r="K958" s="43">
        <f>IF(INDEX(MvBeginn,1)="",0,IF(OR(DATE(Jahr,7,15)&lt;INDEX(MvBeginn,1),AND(INDEX(MvEnde,1)&gt;0,DATE(Jahr,7,15)&gt;INDEX(MvEnde,1))),0,IF(DATE(Jahr,7,15)&gt;=INDEX(MvKey3,1),INDEX(MvNkV3,1),IF(DATE(Jahr,7,15)&gt;=INDEX(MvKey2,1),INDEX(MvNkV2,1),IF(DATE(Jahr,7,15)&gt;=INDEX(MvKey1,1),INDEX(MvNkV1,1),0)))))</f>
      </c>
      <c r="L958" s="43">
        <f>IF(INDEX(MvBeginn,1)="",0,IF(OR(DATE(Jahr,8,15)&lt;INDEX(MvBeginn,1),AND(INDEX(MvEnde,1)&gt;0,DATE(Jahr,8,15)&gt;INDEX(MvEnde,1))),0,IF(DATE(Jahr,8,15)&gt;=INDEX(MvKey3,1),INDEX(MvNkV3,1),IF(DATE(Jahr,8,15)&gt;=INDEX(MvKey2,1),INDEX(MvNkV2,1),IF(DATE(Jahr,8,15)&gt;=INDEX(MvKey1,1),INDEX(MvNkV1,1),0)))))</f>
      </c>
      <c r="M958" s="43">
        <f>IF(INDEX(MvBeginn,1)="",0,IF(OR(DATE(Jahr,9,15)&lt;INDEX(MvBeginn,1),AND(INDEX(MvEnde,1)&gt;0,DATE(Jahr,9,15)&gt;INDEX(MvEnde,1))),0,IF(DATE(Jahr,9,15)&gt;=INDEX(MvKey3,1),INDEX(MvNkV3,1),IF(DATE(Jahr,9,15)&gt;=INDEX(MvKey2,1),INDEX(MvNkV2,1),IF(DATE(Jahr,9,15)&gt;=INDEX(MvKey1,1),INDEX(MvNkV1,1),0)))))</f>
      </c>
      <c r="N958" s="43">
        <f>IF(INDEX(MvBeginn,1)="",0,IF(OR(DATE(Jahr,10,15)&lt;INDEX(MvBeginn,1),AND(INDEX(MvEnde,1)&gt;0,DATE(Jahr,10,15)&gt;INDEX(MvEnde,1))),0,IF(DATE(Jahr,10,15)&gt;=INDEX(MvKey3,1),INDEX(MvNkV3,1),IF(DATE(Jahr,10,15)&gt;=INDEX(MvKey2,1),INDEX(MvNkV2,1),IF(DATE(Jahr,10,15)&gt;=INDEX(MvKey1,1),INDEX(MvNkV1,1),0)))))</f>
      </c>
      <c r="O958" s="43">
        <f>IF(INDEX(MvBeginn,1)="",0,IF(OR(DATE(Jahr,11,15)&lt;INDEX(MvBeginn,1),AND(INDEX(MvEnde,1)&gt;0,DATE(Jahr,11,15)&gt;INDEX(MvEnde,1))),0,IF(DATE(Jahr,11,15)&gt;=INDEX(MvKey3,1),INDEX(MvNkV3,1),IF(DATE(Jahr,11,15)&gt;=INDEX(MvKey2,1),INDEX(MvNkV2,1),IF(DATE(Jahr,11,15)&gt;=INDEX(MvKey1,1),INDEX(MvNkV1,1),0)))))</f>
      </c>
      <c r="P958" s="43">
        <f>IF(INDEX(MvBeginn,1)="",0,IF(OR(DATE(Jahr,12,15)&lt;INDEX(MvBeginn,1),AND(INDEX(MvEnde,1)&gt;0,DATE(Jahr,12,15)&gt;INDEX(MvEnde,1))),0,IF(DATE(Jahr,12,15)&gt;=INDEX(MvKey3,1),INDEX(MvNkV3,1),IF(DATE(Jahr,12,15)&gt;=INDEX(MvKey2,1),INDEX(MvNkV2,1),IF(DATE(Jahr,12,15)&gt;=INDEX(MvKey1,1),INDEX(MvNkV1,1),0)))))</f>
      </c>
    </row>
    <row r="959">
      <c r="A959"/>
      <c r="B959">
        <v>2</v>
      </c>
      <c r="C959" s="43">
        <f>INDEX(MvObj,2)</f>
      </c>
      <c r="D959"/>
      <c r="E959" s="43">
        <f>IF(INDEX(MvBeginn,2)="",0,IF(OR(DATE(Jahr,1,15)&lt;INDEX(MvBeginn,2),AND(INDEX(MvEnde,2)&gt;0,DATE(Jahr,1,15)&gt;INDEX(MvEnde,2))),0,IF(DATE(Jahr,1,15)&gt;=INDEX(MvKey3,2),INDEX(MvNkV3,2),IF(DATE(Jahr,1,15)&gt;=INDEX(MvKey2,2),INDEX(MvNkV2,2),IF(DATE(Jahr,1,15)&gt;=INDEX(MvKey1,2),INDEX(MvNkV1,2),0)))))</f>
      </c>
      <c r="F959" s="43">
        <f>IF(INDEX(MvBeginn,2)="",0,IF(OR(DATE(Jahr,2,15)&lt;INDEX(MvBeginn,2),AND(INDEX(MvEnde,2)&gt;0,DATE(Jahr,2,15)&gt;INDEX(MvEnde,2))),0,IF(DATE(Jahr,2,15)&gt;=INDEX(MvKey3,2),INDEX(MvNkV3,2),IF(DATE(Jahr,2,15)&gt;=INDEX(MvKey2,2),INDEX(MvNkV2,2),IF(DATE(Jahr,2,15)&gt;=INDEX(MvKey1,2),INDEX(MvNkV1,2),0)))))</f>
      </c>
      <c r="G959" s="43">
        <f>IF(INDEX(MvBeginn,2)="",0,IF(OR(DATE(Jahr,3,15)&lt;INDEX(MvBeginn,2),AND(INDEX(MvEnde,2)&gt;0,DATE(Jahr,3,15)&gt;INDEX(MvEnde,2))),0,IF(DATE(Jahr,3,15)&gt;=INDEX(MvKey3,2),INDEX(MvNkV3,2),IF(DATE(Jahr,3,15)&gt;=INDEX(MvKey2,2),INDEX(MvNkV2,2),IF(DATE(Jahr,3,15)&gt;=INDEX(MvKey1,2),INDEX(MvNkV1,2),0)))))</f>
      </c>
      <c r="H959" s="43">
        <f>IF(INDEX(MvBeginn,2)="",0,IF(OR(DATE(Jahr,4,15)&lt;INDEX(MvBeginn,2),AND(INDEX(MvEnde,2)&gt;0,DATE(Jahr,4,15)&gt;INDEX(MvEnde,2))),0,IF(DATE(Jahr,4,15)&gt;=INDEX(MvKey3,2),INDEX(MvNkV3,2),IF(DATE(Jahr,4,15)&gt;=INDEX(MvKey2,2),INDEX(MvNkV2,2),IF(DATE(Jahr,4,15)&gt;=INDEX(MvKey1,2),INDEX(MvNkV1,2),0)))))</f>
      </c>
      <c r="I959" s="43">
        <f>IF(INDEX(MvBeginn,2)="",0,IF(OR(DATE(Jahr,5,15)&lt;INDEX(MvBeginn,2),AND(INDEX(MvEnde,2)&gt;0,DATE(Jahr,5,15)&gt;INDEX(MvEnde,2))),0,IF(DATE(Jahr,5,15)&gt;=INDEX(MvKey3,2),INDEX(MvNkV3,2),IF(DATE(Jahr,5,15)&gt;=INDEX(MvKey2,2),INDEX(MvNkV2,2),IF(DATE(Jahr,5,15)&gt;=INDEX(MvKey1,2),INDEX(MvNkV1,2),0)))))</f>
      </c>
      <c r="J959" s="43">
        <f>IF(INDEX(MvBeginn,2)="",0,IF(OR(DATE(Jahr,6,15)&lt;INDEX(MvBeginn,2),AND(INDEX(MvEnde,2)&gt;0,DATE(Jahr,6,15)&gt;INDEX(MvEnde,2))),0,IF(DATE(Jahr,6,15)&gt;=INDEX(MvKey3,2),INDEX(MvNkV3,2),IF(DATE(Jahr,6,15)&gt;=INDEX(MvKey2,2),INDEX(MvNkV2,2),IF(DATE(Jahr,6,15)&gt;=INDEX(MvKey1,2),INDEX(MvNkV1,2),0)))))</f>
      </c>
      <c r="K959" s="43">
        <f>IF(INDEX(MvBeginn,2)="",0,IF(OR(DATE(Jahr,7,15)&lt;INDEX(MvBeginn,2),AND(INDEX(MvEnde,2)&gt;0,DATE(Jahr,7,15)&gt;INDEX(MvEnde,2))),0,IF(DATE(Jahr,7,15)&gt;=INDEX(MvKey3,2),INDEX(MvNkV3,2),IF(DATE(Jahr,7,15)&gt;=INDEX(MvKey2,2),INDEX(MvNkV2,2),IF(DATE(Jahr,7,15)&gt;=INDEX(MvKey1,2),INDEX(MvNkV1,2),0)))))</f>
      </c>
      <c r="L959" s="43">
        <f>IF(INDEX(MvBeginn,2)="",0,IF(OR(DATE(Jahr,8,15)&lt;INDEX(MvBeginn,2),AND(INDEX(MvEnde,2)&gt;0,DATE(Jahr,8,15)&gt;INDEX(MvEnde,2))),0,IF(DATE(Jahr,8,15)&gt;=INDEX(MvKey3,2),INDEX(MvNkV3,2),IF(DATE(Jahr,8,15)&gt;=INDEX(MvKey2,2),INDEX(MvNkV2,2),IF(DATE(Jahr,8,15)&gt;=INDEX(MvKey1,2),INDEX(MvNkV1,2),0)))))</f>
      </c>
      <c r="M959" s="43">
        <f>IF(INDEX(MvBeginn,2)="",0,IF(OR(DATE(Jahr,9,15)&lt;INDEX(MvBeginn,2),AND(INDEX(MvEnde,2)&gt;0,DATE(Jahr,9,15)&gt;INDEX(MvEnde,2))),0,IF(DATE(Jahr,9,15)&gt;=INDEX(MvKey3,2),INDEX(MvNkV3,2),IF(DATE(Jahr,9,15)&gt;=INDEX(MvKey2,2),INDEX(MvNkV2,2),IF(DATE(Jahr,9,15)&gt;=INDEX(MvKey1,2),INDEX(MvNkV1,2),0)))))</f>
      </c>
      <c r="N959" s="43">
        <f>IF(INDEX(MvBeginn,2)="",0,IF(OR(DATE(Jahr,10,15)&lt;INDEX(MvBeginn,2),AND(INDEX(MvEnde,2)&gt;0,DATE(Jahr,10,15)&gt;INDEX(MvEnde,2))),0,IF(DATE(Jahr,10,15)&gt;=INDEX(MvKey3,2),INDEX(MvNkV3,2),IF(DATE(Jahr,10,15)&gt;=INDEX(MvKey2,2),INDEX(MvNkV2,2),IF(DATE(Jahr,10,15)&gt;=INDEX(MvKey1,2),INDEX(MvNkV1,2),0)))))</f>
      </c>
      <c r="O959" s="43">
        <f>IF(INDEX(MvBeginn,2)="",0,IF(OR(DATE(Jahr,11,15)&lt;INDEX(MvBeginn,2),AND(INDEX(MvEnde,2)&gt;0,DATE(Jahr,11,15)&gt;INDEX(MvEnde,2))),0,IF(DATE(Jahr,11,15)&gt;=INDEX(MvKey3,2),INDEX(MvNkV3,2),IF(DATE(Jahr,11,15)&gt;=INDEX(MvKey2,2),INDEX(MvNkV2,2),IF(DATE(Jahr,11,15)&gt;=INDEX(MvKey1,2),INDEX(MvNkV1,2),0)))))</f>
      </c>
      <c r="P959" s="43">
        <f>IF(INDEX(MvBeginn,2)="",0,IF(OR(DATE(Jahr,12,15)&lt;INDEX(MvBeginn,2),AND(INDEX(MvEnde,2)&gt;0,DATE(Jahr,12,15)&gt;INDEX(MvEnde,2))),0,IF(DATE(Jahr,12,15)&gt;=INDEX(MvKey3,2),INDEX(MvNkV3,2),IF(DATE(Jahr,12,15)&gt;=INDEX(MvKey2,2),INDEX(MvNkV2,2),IF(DATE(Jahr,12,15)&gt;=INDEX(MvKey1,2),INDEX(MvNkV1,2),0)))))</f>
      </c>
    </row>
    <row r="960">
      <c r="A960"/>
      <c r="B960">
        <v>3</v>
      </c>
      <c r="C960" s="43">
        <f>INDEX(MvObj,3)</f>
      </c>
      <c r="D960"/>
      <c r="E960" s="43">
        <f>IF(INDEX(MvBeginn,3)="",0,IF(OR(DATE(Jahr,1,15)&lt;INDEX(MvBeginn,3),AND(INDEX(MvEnde,3)&gt;0,DATE(Jahr,1,15)&gt;INDEX(MvEnde,3))),0,IF(DATE(Jahr,1,15)&gt;=INDEX(MvKey3,3),INDEX(MvNkV3,3),IF(DATE(Jahr,1,15)&gt;=INDEX(MvKey2,3),INDEX(MvNkV2,3),IF(DATE(Jahr,1,15)&gt;=INDEX(MvKey1,3),INDEX(MvNkV1,3),0)))))</f>
      </c>
      <c r="F960" s="43">
        <f>IF(INDEX(MvBeginn,3)="",0,IF(OR(DATE(Jahr,2,15)&lt;INDEX(MvBeginn,3),AND(INDEX(MvEnde,3)&gt;0,DATE(Jahr,2,15)&gt;INDEX(MvEnde,3))),0,IF(DATE(Jahr,2,15)&gt;=INDEX(MvKey3,3),INDEX(MvNkV3,3),IF(DATE(Jahr,2,15)&gt;=INDEX(MvKey2,3),INDEX(MvNkV2,3),IF(DATE(Jahr,2,15)&gt;=INDEX(MvKey1,3),INDEX(MvNkV1,3),0)))))</f>
      </c>
      <c r="G960" s="43">
        <f>IF(INDEX(MvBeginn,3)="",0,IF(OR(DATE(Jahr,3,15)&lt;INDEX(MvBeginn,3),AND(INDEX(MvEnde,3)&gt;0,DATE(Jahr,3,15)&gt;INDEX(MvEnde,3))),0,IF(DATE(Jahr,3,15)&gt;=INDEX(MvKey3,3),INDEX(MvNkV3,3),IF(DATE(Jahr,3,15)&gt;=INDEX(MvKey2,3),INDEX(MvNkV2,3),IF(DATE(Jahr,3,15)&gt;=INDEX(MvKey1,3),INDEX(MvNkV1,3),0)))))</f>
      </c>
      <c r="H960" s="43">
        <f>IF(INDEX(MvBeginn,3)="",0,IF(OR(DATE(Jahr,4,15)&lt;INDEX(MvBeginn,3),AND(INDEX(MvEnde,3)&gt;0,DATE(Jahr,4,15)&gt;INDEX(MvEnde,3))),0,IF(DATE(Jahr,4,15)&gt;=INDEX(MvKey3,3),INDEX(MvNkV3,3),IF(DATE(Jahr,4,15)&gt;=INDEX(MvKey2,3),INDEX(MvNkV2,3),IF(DATE(Jahr,4,15)&gt;=INDEX(MvKey1,3),INDEX(MvNkV1,3),0)))))</f>
      </c>
      <c r="I960" s="43">
        <f>IF(INDEX(MvBeginn,3)="",0,IF(OR(DATE(Jahr,5,15)&lt;INDEX(MvBeginn,3),AND(INDEX(MvEnde,3)&gt;0,DATE(Jahr,5,15)&gt;INDEX(MvEnde,3))),0,IF(DATE(Jahr,5,15)&gt;=INDEX(MvKey3,3),INDEX(MvNkV3,3),IF(DATE(Jahr,5,15)&gt;=INDEX(MvKey2,3),INDEX(MvNkV2,3),IF(DATE(Jahr,5,15)&gt;=INDEX(MvKey1,3),INDEX(MvNkV1,3),0)))))</f>
      </c>
      <c r="J960" s="43">
        <f>IF(INDEX(MvBeginn,3)="",0,IF(OR(DATE(Jahr,6,15)&lt;INDEX(MvBeginn,3),AND(INDEX(MvEnde,3)&gt;0,DATE(Jahr,6,15)&gt;INDEX(MvEnde,3))),0,IF(DATE(Jahr,6,15)&gt;=INDEX(MvKey3,3),INDEX(MvNkV3,3),IF(DATE(Jahr,6,15)&gt;=INDEX(MvKey2,3),INDEX(MvNkV2,3),IF(DATE(Jahr,6,15)&gt;=INDEX(MvKey1,3),INDEX(MvNkV1,3),0)))))</f>
      </c>
      <c r="K960" s="43">
        <f>IF(INDEX(MvBeginn,3)="",0,IF(OR(DATE(Jahr,7,15)&lt;INDEX(MvBeginn,3),AND(INDEX(MvEnde,3)&gt;0,DATE(Jahr,7,15)&gt;INDEX(MvEnde,3))),0,IF(DATE(Jahr,7,15)&gt;=INDEX(MvKey3,3),INDEX(MvNkV3,3),IF(DATE(Jahr,7,15)&gt;=INDEX(MvKey2,3),INDEX(MvNkV2,3),IF(DATE(Jahr,7,15)&gt;=INDEX(MvKey1,3),INDEX(MvNkV1,3),0)))))</f>
      </c>
      <c r="L960" s="43">
        <f>IF(INDEX(MvBeginn,3)="",0,IF(OR(DATE(Jahr,8,15)&lt;INDEX(MvBeginn,3),AND(INDEX(MvEnde,3)&gt;0,DATE(Jahr,8,15)&gt;INDEX(MvEnde,3))),0,IF(DATE(Jahr,8,15)&gt;=INDEX(MvKey3,3),INDEX(MvNkV3,3),IF(DATE(Jahr,8,15)&gt;=INDEX(MvKey2,3),INDEX(MvNkV2,3),IF(DATE(Jahr,8,15)&gt;=INDEX(MvKey1,3),INDEX(MvNkV1,3),0)))))</f>
      </c>
      <c r="M960" s="43">
        <f>IF(INDEX(MvBeginn,3)="",0,IF(OR(DATE(Jahr,9,15)&lt;INDEX(MvBeginn,3),AND(INDEX(MvEnde,3)&gt;0,DATE(Jahr,9,15)&gt;INDEX(MvEnde,3))),0,IF(DATE(Jahr,9,15)&gt;=INDEX(MvKey3,3),INDEX(MvNkV3,3),IF(DATE(Jahr,9,15)&gt;=INDEX(MvKey2,3),INDEX(MvNkV2,3),IF(DATE(Jahr,9,15)&gt;=INDEX(MvKey1,3),INDEX(MvNkV1,3),0)))))</f>
      </c>
      <c r="N960" s="43">
        <f>IF(INDEX(MvBeginn,3)="",0,IF(OR(DATE(Jahr,10,15)&lt;INDEX(MvBeginn,3),AND(INDEX(MvEnde,3)&gt;0,DATE(Jahr,10,15)&gt;INDEX(MvEnde,3))),0,IF(DATE(Jahr,10,15)&gt;=INDEX(MvKey3,3),INDEX(MvNkV3,3),IF(DATE(Jahr,10,15)&gt;=INDEX(MvKey2,3),INDEX(MvNkV2,3),IF(DATE(Jahr,10,15)&gt;=INDEX(MvKey1,3),INDEX(MvNkV1,3),0)))))</f>
      </c>
      <c r="O960" s="43">
        <f>IF(INDEX(MvBeginn,3)="",0,IF(OR(DATE(Jahr,11,15)&lt;INDEX(MvBeginn,3),AND(INDEX(MvEnde,3)&gt;0,DATE(Jahr,11,15)&gt;INDEX(MvEnde,3))),0,IF(DATE(Jahr,11,15)&gt;=INDEX(MvKey3,3),INDEX(MvNkV3,3),IF(DATE(Jahr,11,15)&gt;=INDEX(MvKey2,3),INDEX(MvNkV2,3),IF(DATE(Jahr,11,15)&gt;=INDEX(MvKey1,3),INDEX(MvNkV1,3),0)))))</f>
      </c>
      <c r="P960" s="43">
        <f>IF(INDEX(MvBeginn,3)="",0,IF(OR(DATE(Jahr,12,15)&lt;INDEX(MvBeginn,3),AND(INDEX(MvEnde,3)&gt;0,DATE(Jahr,12,15)&gt;INDEX(MvEnde,3))),0,IF(DATE(Jahr,12,15)&gt;=INDEX(MvKey3,3),INDEX(MvNkV3,3),IF(DATE(Jahr,12,15)&gt;=INDEX(MvKey2,3),INDEX(MvNkV2,3),IF(DATE(Jahr,12,15)&gt;=INDEX(MvKey1,3),INDEX(MvNkV1,3),0)))))</f>
      </c>
    </row>
    <row r="961">
      <c r="A961"/>
      <c r="B961">
        <v>4</v>
      </c>
      <c r="C961" s="43">
        <f>INDEX(MvObj,4)</f>
      </c>
      <c r="D961"/>
      <c r="E961" s="43">
        <f>IF(INDEX(MvBeginn,4)="",0,IF(OR(DATE(Jahr,1,15)&lt;INDEX(MvBeginn,4),AND(INDEX(MvEnde,4)&gt;0,DATE(Jahr,1,15)&gt;INDEX(MvEnde,4))),0,IF(DATE(Jahr,1,15)&gt;=INDEX(MvKey3,4),INDEX(MvNkV3,4),IF(DATE(Jahr,1,15)&gt;=INDEX(MvKey2,4),INDEX(MvNkV2,4),IF(DATE(Jahr,1,15)&gt;=INDEX(MvKey1,4),INDEX(MvNkV1,4),0)))))</f>
      </c>
      <c r="F961" s="43">
        <f>IF(INDEX(MvBeginn,4)="",0,IF(OR(DATE(Jahr,2,15)&lt;INDEX(MvBeginn,4),AND(INDEX(MvEnde,4)&gt;0,DATE(Jahr,2,15)&gt;INDEX(MvEnde,4))),0,IF(DATE(Jahr,2,15)&gt;=INDEX(MvKey3,4),INDEX(MvNkV3,4),IF(DATE(Jahr,2,15)&gt;=INDEX(MvKey2,4),INDEX(MvNkV2,4),IF(DATE(Jahr,2,15)&gt;=INDEX(MvKey1,4),INDEX(MvNkV1,4),0)))))</f>
      </c>
      <c r="G961" s="43">
        <f>IF(INDEX(MvBeginn,4)="",0,IF(OR(DATE(Jahr,3,15)&lt;INDEX(MvBeginn,4),AND(INDEX(MvEnde,4)&gt;0,DATE(Jahr,3,15)&gt;INDEX(MvEnde,4))),0,IF(DATE(Jahr,3,15)&gt;=INDEX(MvKey3,4),INDEX(MvNkV3,4),IF(DATE(Jahr,3,15)&gt;=INDEX(MvKey2,4),INDEX(MvNkV2,4),IF(DATE(Jahr,3,15)&gt;=INDEX(MvKey1,4),INDEX(MvNkV1,4),0)))))</f>
      </c>
      <c r="H961" s="43">
        <f>IF(INDEX(MvBeginn,4)="",0,IF(OR(DATE(Jahr,4,15)&lt;INDEX(MvBeginn,4),AND(INDEX(MvEnde,4)&gt;0,DATE(Jahr,4,15)&gt;INDEX(MvEnde,4))),0,IF(DATE(Jahr,4,15)&gt;=INDEX(MvKey3,4),INDEX(MvNkV3,4),IF(DATE(Jahr,4,15)&gt;=INDEX(MvKey2,4),INDEX(MvNkV2,4),IF(DATE(Jahr,4,15)&gt;=INDEX(MvKey1,4),INDEX(MvNkV1,4),0)))))</f>
      </c>
      <c r="I961" s="43">
        <f>IF(INDEX(MvBeginn,4)="",0,IF(OR(DATE(Jahr,5,15)&lt;INDEX(MvBeginn,4),AND(INDEX(MvEnde,4)&gt;0,DATE(Jahr,5,15)&gt;INDEX(MvEnde,4))),0,IF(DATE(Jahr,5,15)&gt;=INDEX(MvKey3,4),INDEX(MvNkV3,4),IF(DATE(Jahr,5,15)&gt;=INDEX(MvKey2,4),INDEX(MvNkV2,4),IF(DATE(Jahr,5,15)&gt;=INDEX(MvKey1,4),INDEX(MvNkV1,4),0)))))</f>
      </c>
      <c r="J961" s="43">
        <f>IF(INDEX(MvBeginn,4)="",0,IF(OR(DATE(Jahr,6,15)&lt;INDEX(MvBeginn,4),AND(INDEX(MvEnde,4)&gt;0,DATE(Jahr,6,15)&gt;INDEX(MvEnde,4))),0,IF(DATE(Jahr,6,15)&gt;=INDEX(MvKey3,4),INDEX(MvNkV3,4),IF(DATE(Jahr,6,15)&gt;=INDEX(MvKey2,4),INDEX(MvNkV2,4),IF(DATE(Jahr,6,15)&gt;=INDEX(MvKey1,4),INDEX(MvNkV1,4),0)))))</f>
      </c>
      <c r="K961" s="43">
        <f>IF(INDEX(MvBeginn,4)="",0,IF(OR(DATE(Jahr,7,15)&lt;INDEX(MvBeginn,4),AND(INDEX(MvEnde,4)&gt;0,DATE(Jahr,7,15)&gt;INDEX(MvEnde,4))),0,IF(DATE(Jahr,7,15)&gt;=INDEX(MvKey3,4),INDEX(MvNkV3,4),IF(DATE(Jahr,7,15)&gt;=INDEX(MvKey2,4),INDEX(MvNkV2,4),IF(DATE(Jahr,7,15)&gt;=INDEX(MvKey1,4),INDEX(MvNkV1,4),0)))))</f>
      </c>
      <c r="L961" s="43">
        <f>IF(INDEX(MvBeginn,4)="",0,IF(OR(DATE(Jahr,8,15)&lt;INDEX(MvBeginn,4),AND(INDEX(MvEnde,4)&gt;0,DATE(Jahr,8,15)&gt;INDEX(MvEnde,4))),0,IF(DATE(Jahr,8,15)&gt;=INDEX(MvKey3,4),INDEX(MvNkV3,4),IF(DATE(Jahr,8,15)&gt;=INDEX(MvKey2,4),INDEX(MvNkV2,4),IF(DATE(Jahr,8,15)&gt;=INDEX(MvKey1,4),INDEX(MvNkV1,4),0)))))</f>
      </c>
      <c r="M961" s="43">
        <f>IF(INDEX(MvBeginn,4)="",0,IF(OR(DATE(Jahr,9,15)&lt;INDEX(MvBeginn,4),AND(INDEX(MvEnde,4)&gt;0,DATE(Jahr,9,15)&gt;INDEX(MvEnde,4))),0,IF(DATE(Jahr,9,15)&gt;=INDEX(MvKey3,4),INDEX(MvNkV3,4),IF(DATE(Jahr,9,15)&gt;=INDEX(MvKey2,4),INDEX(MvNkV2,4),IF(DATE(Jahr,9,15)&gt;=INDEX(MvKey1,4),INDEX(MvNkV1,4),0)))))</f>
      </c>
      <c r="N961" s="43">
        <f>IF(INDEX(MvBeginn,4)="",0,IF(OR(DATE(Jahr,10,15)&lt;INDEX(MvBeginn,4),AND(INDEX(MvEnde,4)&gt;0,DATE(Jahr,10,15)&gt;INDEX(MvEnde,4))),0,IF(DATE(Jahr,10,15)&gt;=INDEX(MvKey3,4),INDEX(MvNkV3,4),IF(DATE(Jahr,10,15)&gt;=INDEX(MvKey2,4),INDEX(MvNkV2,4),IF(DATE(Jahr,10,15)&gt;=INDEX(MvKey1,4),INDEX(MvNkV1,4),0)))))</f>
      </c>
      <c r="O961" s="43">
        <f>IF(INDEX(MvBeginn,4)="",0,IF(OR(DATE(Jahr,11,15)&lt;INDEX(MvBeginn,4),AND(INDEX(MvEnde,4)&gt;0,DATE(Jahr,11,15)&gt;INDEX(MvEnde,4))),0,IF(DATE(Jahr,11,15)&gt;=INDEX(MvKey3,4),INDEX(MvNkV3,4),IF(DATE(Jahr,11,15)&gt;=INDEX(MvKey2,4),INDEX(MvNkV2,4),IF(DATE(Jahr,11,15)&gt;=INDEX(MvKey1,4),INDEX(MvNkV1,4),0)))))</f>
      </c>
      <c r="P961" s="43">
        <f>IF(INDEX(MvBeginn,4)="",0,IF(OR(DATE(Jahr,12,15)&lt;INDEX(MvBeginn,4),AND(INDEX(MvEnde,4)&gt;0,DATE(Jahr,12,15)&gt;INDEX(MvEnde,4))),0,IF(DATE(Jahr,12,15)&gt;=INDEX(MvKey3,4),INDEX(MvNkV3,4),IF(DATE(Jahr,12,15)&gt;=INDEX(MvKey2,4),INDEX(MvNkV2,4),IF(DATE(Jahr,12,15)&gt;=INDEX(MvKey1,4),INDEX(MvNkV1,4),0)))))</f>
      </c>
    </row>
    <row r="962">
      <c r="A962"/>
      <c r="B962">
        <v>5</v>
      </c>
      <c r="C962" s="43">
        <f>INDEX(MvObj,5)</f>
      </c>
      <c r="D962"/>
      <c r="E962" s="43">
        <f>IF(INDEX(MvBeginn,5)="",0,IF(OR(DATE(Jahr,1,15)&lt;INDEX(MvBeginn,5),AND(INDEX(MvEnde,5)&gt;0,DATE(Jahr,1,15)&gt;INDEX(MvEnde,5))),0,IF(DATE(Jahr,1,15)&gt;=INDEX(MvKey3,5),INDEX(MvNkV3,5),IF(DATE(Jahr,1,15)&gt;=INDEX(MvKey2,5),INDEX(MvNkV2,5),IF(DATE(Jahr,1,15)&gt;=INDEX(MvKey1,5),INDEX(MvNkV1,5),0)))))</f>
      </c>
      <c r="F962" s="43">
        <f>IF(INDEX(MvBeginn,5)="",0,IF(OR(DATE(Jahr,2,15)&lt;INDEX(MvBeginn,5),AND(INDEX(MvEnde,5)&gt;0,DATE(Jahr,2,15)&gt;INDEX(MvEnde,5))),0,IF(DATE(Jahr,2,15)&gt;=INDEX(MvKey3,5),INDEX(MvNkV3,5),IF(DATE(Jahr,2,15)&gt;=INDEX(MvKey2,5),INDEX(MvNkV2,5),IF(DATE(Jahr,2,15)&gt;=INDEX(MvKey1,5),INDEX(MvNkV1,5),0)))))</f>
      </c>
      <c r="G962" s="43">
        <f>IF(INDEX(MvBeginn,5)="",0,IF(OR(DATE(Jahr,3,15)&lt;INDEX(MvBeginn,5),AND(INDEX(MvEnde,5)&gt;0,DATE(Jahr,3,15)&gt;INDEX(MvEnde,5))),0,IF(DATE(Jahr,3,15)&gt;=INDEX(MvKey3,5),INDEX(MvNkV3,5),IF(DATE(Jahr,3,15)&gt;=INDEX(MvKey2,5),INDEX(MvNkV2,5),IF(DATE(Jahr,3,15)&gt;=INDEX(MvKey1,5),INDEX(MvNkV1,5),0)))))</f>
      </c>
      <c r="H962" s="43">
        <f>IF(INDEX(MvBeginn,5)="",0,IF(OR(DATE(Jahr,4,15)&lt;INDEX(MvBeginn,5),AND(INDEX(MvEnde,5)&gt;0,DATE(Jahr,4,15)&gt;INDEX(MvEnde,5))),0,IF(DATE(Jahr,4,15)&gt;=INDEX(MvKey3,5),INDEX(MvNkV3,5),IF(DATE(Jahr,4,15)&gt;=INDEX(MvKey2,5),INDEX(MvNkV2,5),IF(DATE(Jahr,4,15)&gt;=INDEX(MvKey1,5),INDEX(MvNkV1,5),0)))))</f>
      </c>
      <c r="I962" s="43">
        <f>IF(INDEX(MvBeginn,5)="",0,IF(OR(DATE(Jahr,5,15)&lt;INDEX(MvBeginn,5),AND(INDEX(MvEnde,5)&gt;0,DATE(Jahr,5,15)&gt;INDEX(MvEnde,5))),0,IF(DATE(Jahr,5,15)&gt;=INDEX(MvKey3,5),INDEX(MvNkV3,5),IF(DATE(Jahr,5,15)&gt;=INDEX(MvKey2,5),INDEX(MvNkV2,5),IF(DATE(Jahr,5,15)&gt;=INDEX(MvKey1,5),INDEX(MvNkV1,5),0)))))</f>
      </c>
      <c r="J962" s="43">
        <f>IF(INDEX(MvBeginn,5)="",0,IF(OR(DATE(Jahr,6,15)&lt;INDEX(MvBeginn,5),AND(INDEX(MvEnde,5)&gt;0,DATE(Jahr,6,15)&gt;INDEX(MvEnde,5))),0,IF(DATE(Jahr,6,15)&gt;=INDEX(MvKey3,5),INDEX(MvNkV3,5),IF(DATE(Jahr,6,15)&gt;=INDEX(MvKey2,5),INDEX(MvNkV2,5),IF(DATE(Jahr,6,15)&gt;=INDEX(MvKey1,5),INDEX(MvNkV1,5),0)))))</f>
      </c>
      <c r="K962" s="43">
        <f>IF(INDEX(MvBeginn,5)="",0,IF(OR(DATE(Jahr,7,15)&lt;INDEX(MvBeginn,5),AND(INDEX(MvEnde,5)&gt;0,DATE(Jahr,7,15)&gt;INDEX(MvEnde,5))),0,IF(DATE(Jahr,7,15)&gt;=INDEX(MvKey3,5),INDEX(MvNkV3,5),IF(DATE(Jahr,7,15)&gt;=INDEX(MvKey2,5),INDEX(MvNkV2,5),IF(DATE(Jahr,7,15)&gt;=INDEX(MvKey1,5),INDEX(MvNkV1,5),0)))))</f>
      </c>
      <c r="L962" s="43">
        <f>IF(INDEX(MvBeginn,5)="",0,IF(OR(DATE(Jahr,8,15)&lt;INDEX(MvBeginn,5),AND(INDEX(MvEnde,5)&gt;0,DATE(Jahr,8,15)&gt;INDEX(MvEnde,5))),0,IF(DATE(Jahr,8,15)&gt;=INDEX(MvKey3,5),INDEX(MvNkV3,5),IF(DATE(Jahr,8,15)&gt;=INDEX(MvKey2,5),INDEX(MvNkV2,5),IF(DATE(Jahr,8,15)&gt;=INDEX(MvKey1,5),INDEX(MvNkV1,5),0)))))</f>
      </c>
      <c r="M962" s="43">
        <f>IF(INDEX(MvBeginn,5)="",0,IF(OR(DATE(Jahr,9,15)&lt;INDEX(MvBeginn,5),AND(INDEX(MvEnde,5)&gt;0,DATE(Jahr,9,15)&gt;INDEX(MvEnde,5))),0,IF(DATE(Jahr,9,15)&gt;=INDEX(MvKey3,5),INDEX(MvNkV3,5),IF(DATE(Jahr,9,15)&gt;=INDEX(MvKey2,5),INDEX(MvNkV2,5),IF(DATE(Jahr,9,15)&gt;=INDEX(MvKey1,5),INDEX(MvNkV1,5),0)))))</f>
      </c>
      <c r="N962" s="43">
        <f>IF(INDEX(MvBeginn,5)="",0,IF(OR(DATE(Jahr,10,15)&lt;INDEX(MvBeginn,5),AND(INDEX(MvEnde,5)&gt;0,DATE(Jahr,10,15)&gt;INDEX(MvEnde,5))),0,IF(DATE(Jahr,10,15)&gt;=INDEX(MvKey3,5),INDEX(MvNkV3,5),IF(DATE(Jahr,10,15)&gt;=INDEX(MvKey2,5),INDEX(MvNkV2,5),IF(DATE(Jahr,10,15)&gt;=INDEX(MvKey1,5),INDEX(MvNkV1,5),0)))))</f>
      </c>
      <c r="O962" s="43">
        <f>IF(INDEX(MvBeginn,5)="",0,IF(OR(DATE(Jahr,11,15)&lt;INDEX(MvBeginn,5),AND(INDEX(MvEnde,5)&gt;0,DATE(Jahr,11,15)&gt;INDEX(MvEnde,5))),0,IF(DATE(Jahr,11,15)&gt;=INDEX(MvKey3,5),INDEX(MvNkV3,5),IF(DATE(Jahr,11,15)&gt;=INDEX(MvKey2,5),INDEX(MvNkV2,5),IF(DATE(Jahr,11,15)&gt;=INDEX(MvKey1,5),INDEX(MvNkV1,5),0)))))</f>
      </c>
      <c r="P962" s="43">
        <f>IF(INDEX(MvBeginn,5)="",0,IF(OR(DATE(Jahr,12,15)&lt;INDEX(MvBeginn,5),AND(INDEX(MvEnde,5)&gt;0,DATE(Jahr,12,15)&gt;INDEX(MvEnde,5))),0,IF(DATE(Jahr,12,15)&gt;=INDEX(MvKey3,5),INDEX(MvNkV3,5),IF(DATE(Jahr,12,15)&gt;=INDEX(MvKey2,5),INDEX(MvNkV2,5),IF(DATE(Jahr,12,15)&gt;=INDEX(MvKey1,5),INDEX(MvNkV1,5),0)))))</f>
      </c>
    </row>
    <row r="963">
      <c r="A963"/>
      <c r="B963">
        <v>6</v>
      </c>
      <c r="C963" s="43">
        <f>INDEX(MvObj,6)</f>
      </c>
      <c r="D963"/>
      <c r="E963" s="43">
        <f>IF(INDEX(MvBeginn,6)="",0,IF(OR(DATE(Jahr,1,15)&lt;INDEX(MvBeginn,6),AND(INDEX(MvEnde,6)&gt;0,DATE(Jahr,1,15)&gt;INDEX(MvEnde,6))),0,IF(DATE(Jahr,1,15)&gt;=INDEX(MvKey3,6),INDEX(MvNkV3,6),IF(DATE(Jahr,1,15)&gt;=INDEX(MvKey2,6),INDEX(MvNkV2,6),IF(DATE(Jahr,1,15)&gt;=INDEX(MvKey1,6),INDEX(MvNkV1,6),0)))))</f>
      </c>
      <c r="F963" s="43">
        <f>IF(INDEX(MvBeginn,6)="",0,IF(OR(DATE(Jahr,2,15)&lt;INDEX(MvBeginn,6),AND(INDEX(MvEnde,6)&gt;0,DATE(Jahr,2,15)&gt;INDEX(MvEnde,6))),0,IF(DATE(Jahr,2,15)&gt;=INDEX(MvKey3,6),INDEX(MvNkV3,6),IF(DATE(Jahr,2,15)&gt;=INDEX(MvKey2,6),INDEX(MvNkV2,6),IF(DATE(Jahr,2,15)&gt;=INDEX(MvKey1,6),INDEX(MvNkV1,6),0)))))</f>
      </c>
      <c r="G963" s="43">
        <f>IF(INDEX(MvBeginn,6)="",0,IF(OR(DATE(Jahr,3,15)&lt;INDEX(MvBeginn,6),AND(INDEX(MvEnde,6)&gt;0,DATE(Jahr,3,15)&gt;INDEX(MvEnde,6))),0,IF(DATE(Jahr,3,15)&gt;=INDEX(MvKey3,6),INDEX(MvNkV3,6),IF(DATE(Jahr,3,15)&gt;=INDEX(MvKey2,6),INDEX(MvNkV2,6),IF(DATE(Jahr,3,15)&gt;=INDEX(MvKey1,6),INDEX(MvNkV1,6),0)))))</f>
      </c>
      <c r="H963" s="43">
        <f>IF(INDEX(MvBeginn,6)="",0,IF(OR(DATE(Jahr,4,15)&lt;INDEX(MvBeginn,6),AND(INDEX(MvEnde,6)&gt;0,DATE(Jahr,4,15)&gt;INDEX(MvEnde,6))),0,IF(DATE(Jahr,4,15)&gt;=INDEX(MvKey3,6),INDEX(MvNkV3,6),IF(DATE(Jahr,4,15)&gt;=INDEX(MvKey2,6),INDEX(MvNkV2,6),IF(DATE(Jahr,4,15)&gt;=INDEX(MvKey1,6),INDEX(MvNkV1,6),0)))))</f>
      </c>
      <c r="I963" s="43">
        <f>IF(INDEX(MvBeginn,6)="",0,IF(OR(DATE(Jahr,5,15)&lt;INDEX(MvBeginn,6),AND(INDEX(MvEnde,6)&gt;0,DATE(Jahr,5,15)&gt;INDEX(MvEnde,6))),0,IF(DATE(Jahr,5,15)&gt;=INDEX(MvKey3,6),INDEX(MvNkV3,6),IF(DATE(Jahr,5,15)&gt;=INDEX(MvKey2,6),INDEX(MvNkV2,6),IF(DATE(Jahr,5,15)&gt;=INDEX(MvKey1,6),INDEX(MvNkV1,6),0)))))</f>
      </c>
      <c r="J963" s="43">
        <f>IF(INDEX(MvBeginn,6)="",0,IF(OR(DATE(Jahr,6,15)&lt;INDEX(MvBeginn,6),AND(INDEX(MvEnde,6)&gt;0,DATE(Jahr,6,15)&gt;INDEX(MvEnde,6))),0,IF(DATE(Jahr,6,15)&gt;=INDEX(MvKey3,6),INDEX(MvNkV3,6),IF(DATE(Jahr,6,15)&gt;=INDEX(MvKey2,6),INDEX(MvNkV2,6),IF(DATE(Jahr,6,15)&gt;=INDEX(MvKey1,6),INDEX(MvNkV1,6),0)))))</f>
      </c>
      <c r="K963" s="43">
        <f>IF(INDEX(MvBeginn,6)="",0,IF(OR(DATE(Jahr,7,15)&lt;INDEX(MvBeginn,6),AND(INDEX(MvEnde,6)&gt;0,DATE(Jahr,7,15)&gt;INDEX(MvEnde,6))),0,IF(DATE(Jahr,7,15)&gt;=INDEX(MvKey3,6),INDEX(MvNkV3,6),IF(DATE(Jahr,7,15)&gt;=INDEX(MvKey2,6),INDEX(MvNkV2,6),IF(DATE(Jahr,7,15)&gt;=INDEX(MvKey1,6),INDEX(MvNkV1,6),0)))))</f>
      </c>
      <c r="L963" s="43">
        <f>IF(INDEX(MvBeginn,6)="",0,IF(OR(DATE(Jahr,8,15)&lt;INDEX(MvBeginn,6),AND(INDEX(MvEnde,6)&gt;0,DATE(Jahr,8,15)&gt;INDEX(MvEnde,6))),0,IF(DATE(Jahr,8,15)&gt;=INDEX(MvKey3,6),INDEX(MvNkV3,6),IF(DATE(Jahr,8,15)&gt;=INDEX(MvKey2,6),INDEX(MvNkV2,6),IF(DATE(Jahr,8,15)&gt;=INDEX(MvKey1,6),INDEX(MvNkV1,6),0)))))</f>
      </c>
      <c r="M963" s="43">
        <f>IF(INDEX(MvBeginn,6)="",0,IF(OR(DATE(Jahr,9,15)&lt;INDEX(MvBeginn,6),AND(INDEX(MvEnde,6)&gt;0,DATE(Jahr,9,15)&gt;INDEX(MvEnde,6))),0,IF(DATE(Jahr,9,15)&gt;=INDEX(MvKey3,6),INDEX(MvNkV3,6),IF(DATE(Jahr,9,15)&gt;=INDEX(MvKey2,6),INDEX(MvNkV2,6),IF(DATE(Jahr,9,15)&gt;=INDEX(MvKey1,6),INDEX(MvNkV1,6),0)))))</f>
      </c>
      <c r="N963" s="43">
        <f>IF(INDEX(MvBeginn,6)="",0,IF(OR(DATE(Jahr,10,15)&lt;INDEX(MvBeginn,6),AND(INDEX(MvEnde,6)&gt;0,DATE(Jahr,10,15)&gt;INDEX(MvEnde,6))),0,IF(DATE(Jahr,10,15)&gt;=INDEX(MvKey3,6),INDEX(MvNkV3,6),IF(DATE(Jahr,10,15)&gt;=INDEX(MvKey2,6),INDEX(MvNkV2,6),IF(DATE(Jahr,10,15)&gt;=INDEX(MvKey1,6),INDEX(MvNkV1,6),0)))))</f>
      </c>
      <c r="O963" s="43">
        <f>IF(INDEX(MvBeginn,6)="",0,IF(OR(DATE(Jahr,11,15)&lt;INDEX(MvBeginn,6),AND(INDEX(MvEnde,6)&gt;0,DATE(Jahr,11,15)&gt;INDEX(MvEnde,6))),0,IF(DATE(Jahr,11,15)&gt;=INDEX(MvKey3,6),INDEX(MvNkV3,6),IF(DATE(Jahr,11,15)&gt;=INDEX(MvKey2,6),INDEX(MvNkV2,6),IF(DATE(Jahr,11,15)&gt;=INDEX(MvKey1,6),INDEX(MvNkV1,6),0)))))</f>
      </c>
      <c r="P963" s="43">
        <f>IF(INDEX(MvBeginn,6)="",0,IF(OR(DATE(Jahr,12,15)&lt;INDEX(MvBeginn,6),AND(INDEX(MvEnde,6)&gt;0,DATE(Jahr,12,15)&gt;INDEX(MvEnde,6))),0,IF(DATE(Jahr,12,15)&gt;=INDEX(MvKey3,6),INDEX(MvNkV3,6),IF(DATE(Jahr,12,15)&gt;=INDEX(MvKey2,6),INDEX(MvNkV2,6),IF(DATE(Jahr,12,15)&gt;=INDEX(MvKey1,6),INDEX(MvNkV1,6),0)))))</f>
      </c>
    </row>
    <row r="964">
      <c r="A964"/>
      <c r="B964">
        <v>7</v>
      </c>
      <c r="C964" s="43">
        <f>INDEX(MvObj,7)</f>
      </c>
      <c r="D964"/>
      <c r="E964" s="43">
        <f>IF(INDEX(MvBeginn,7)="",0,IF(OR(DATE(Jahr,1,15)&lt;INDEX(MvBeginn,7),AND(INDEX(MvEnde,7)&gt;0,DATE(Jahr,1,15)&gt;INDEX(MvEnde,7))),0,IF(DATE(Jahr,1,15)&gt;=INDEX(MvKey3,7),INDEX(MvNkV3,7),IF(DATE(Jahr,1,15)&gt;=INDEX(MvKey2,7),INDEX(MvNkV2,7),IF(DATE(Jahr,1,15)&gt;=INDEX(MvKey1,7),INDEX(MvNkV1,7),0)))))</f>
      </c>
      <c r="F964" s="43">
        <f>IF(INDEX(MvBeginn,7)="",0,IF(OR(DATE(Jahr,2,15)&lt;INDEX(MvBeginn,7),AND(INDEX(MvEnde,7)&gt;0,DATE(Jahr,2,15)&gt;INDEX(MvEnde,7))),0,IF(DATE(Jahr,2,15)&gt;=INDEX(MvKey3,7),INDEX(MvNkV3,7),IF(DATE(Jahr,2,15)&gt;=INDEX(MvKey2,7),INDEX(MvNkV2,7),IF(DATE(Jahr,2,15)&gt;=INDEX(MvKey1,7),INDEX(MvNkV1,7),0)))))</f>
      </c>
      <c r="G964" s="43">
        <f>IF(INDEX(MvBeginn,7)="",0,IF(OR(DATE(Jahr,3,15)&lt;INDEX(MvBeginn,7),AND(INDEX(MvEnde,7)&gt;0,DATE(Jahr,3,15)&gt;INDEX(MvEnde,7))),0,IF(DATE(Jahr,3,15)&gt;=INDEX(MvKey3,7),INDEX(MvNkV3,7),IF(DATE(Jahr,3,15)&gt;=INDEX(MvKey2,7),INDEX(MvNkV2,7),IF(DATE(Jahr,3,15)&gt;=INDEX(MvKey1,7),INDEX(MvNkV1,7),0)))))</f>
      </c>
      <c r="H964" s="43">
        <f>IF(INDEX(MvBeginn,7)="",0,IF(OR(DATE(Jahr,4,15)&lt;INDEX(MvBeginn,7),AND(INDEX(MvEnde,7)&gt;0,DATE(Jahr,4,15)&gt;INDEX(MvEnde,7))),0,IF(DATE(Jahr,4,15)&gt;=INDEX(MvKey3,7),INDEX(MvNkV3,7),IF(DATE(Jahr,4,15)&gt;=INDEX(MvKey2,7),INDEX(MvNkV2,7),IF(DATE(Jahr,4,15)&gt;=INDEX(MvKey1,7),INDEX(MvNkV1,7),0)))))</f>
      </c>
      <c r="I964" s="43">
        <f>IF(INDEX(MvBeginn,7)="",0,IF(OR(DATE(Jahr,5,15)&lt;INDEX(MvBeginn,7),AND(INDEX(MvEnde,7)&gt;0,DATE(Jahr,5,15)&gt;INDEX(MvEnde,7))),0,IF(DATE(Jahr,5,15)&gt;=INDEX(MvKey3,7),INDEX(MvNkV3,7),IF(DATE(Jahr,5,15)&gt;=INDEX(MvKey2,7),INDEX(MvNkV2,7),IF(DATE(Jahr,5,15)&gt;=INDEX(MvKey1,7),INDEX(MvNkV1,7),0)))))</f>
      </c>
      <c r="J964" s="43">
        <f>IF(INDEX(MvBeginn,7)="",0,IF(OR(DATE(Jahr,6,15)&lt;INDEX(MvBeginn,7),AND(INDEX(MvEnde,7)&gt;0,DATE(Jahr,6,15)&gt;INDEX(MvEnde,7))),0,IF(DATE(Jahr,6,15)&gt;=INDEX(MvKey3,7),INDEX(MvNkV3,7),IF(DATE(Jahr,6,15)&gt;=INDEX(MvKey2,7),INDEX(MvNkV2,7),IF(DATE(Jahr,6,15)&gt;=INDEX(MvKey1,7),INDEX(MvNkV1,7),0)))))</f>
      </c>
      <c r="K964" s="43">
        <f>IF(INDEX(MvBeginn,7)="",0,IF(OR(DATE(Jahr,7,15)&lt;INDEX(MvBeginn,7),AND(INDEX(MvEnde,7)&gt;0,DATE(Jahr,7,15)&gt;INDEX(MvEnde,7))),0,IF(DATE(Jahr,7,15)&gt;=INDEX(MvKey3,7),INDEX(MvNkV3,7),IF(DATE(Jahr,7,15)&gt;=INDEX(MvKey2,7),INDEX(MvNkV2,7),IF(DATE(Jahr,7,15)&gt;=INDEX(MvKey1,7),INDEX(MvNkV1,7),0)))))</f>
      </c>
      <c r="L964" s="43">
        <f>IF(INDEX(MvBeginn,7)="",0,IF(OR(DATE(Jahr,8,15)&lt;INDEX(MvBeginn,7),AND(INDEX(MvEnde,7)&gt;0,DATE(Jahr,8,15)&gt;INDEX(MvEnde,7))),0,IF(DATE(Jahr,8,15)&gt;=INDEX(MvKey3,7),INDEX(MvNkV3,7),IF(DATE(Jahr,8,15)&gt;=INDEX(MvKey2,7),INDEX(MvNkV2,7),IF(DATE(Jahr,8,15)&gt;=INDEX(MvKey1,7),INDEX(MvNkV1,7),0)))))</f>
      </c>
      <c r="M964" s="43">
        <f>IF(INDEX(MvBeginn,7)="",0,IF(OR(DATE(Jahr,9,15)&lt;INDEX(MvBeginn,7),AND(INDEX(MvEnde,7)&gt;0,DATE(Jahr,9,15)&gt;INDEX(MvEnde,7))),0,IF(DATE(Jahr,9,15)&gt;=INDEX(MvKey3,7),INDEX(MvNkV3,7),IF(DATE(Jahr,9,15)&gt;=INDEX(MvKey2,7),INDEX(MvNkV2,7),IF(DATE(Jahr,9,15)&gt;=INDEX(MvKey1,7),INDEX(MvNkV1,7),0)))))</f>
      </c>
      <c r="N964" s="43">
        <f>IF(INDEX(MvBeginn,7)="",0,IF(OR(DATE(Jahr,10,15)&lt;INDEX(MvBeginn,7),AND(INDEX(MvEnde,7)&gt;0,DATE(Jahr,10,15)&gt;INDEX(MvEnde,7))),0,IF(DATE(Jahr,10,15)&gt;=INDEX(MvKey3,7),INDEX(MvNkV3,7),IF(DATE(Jahr,10,15)&gt;=INDEX(MvKey2,7),INDEX(MvNkV2,7),IF(DATE(Jahr,10,15)&gt;=INDEX(MvKey1,7),INDEX(MvNkV1,7),0)))))</f>
      </c>
      <c r="O964" s="43">
        <f>IF(INDEX(MvBeginn,7)="",0,IF(OR(DATE(Jahr,11,15)&lt;INDEX(MvBeginn,7),AND(INDEX(MvEnde,7)&gt;0,DATE(Jahr,11,15)&gt;INDEX(MvEnde,7))),0,IF(DATE(Jahr,11,15)&gt;=INDEX(MvKey3,7),INDEX(MvNkV3,7),IF(DATE(Jahr,11,15)&gt;=INDEX(MvKey2,7),INDEX(MvNkV2,7),IF(DATE(Jahr,11,15)&gt;=INDEX(MvKey1,7),INDEX(MvNkV1,7),0)))))</f>
      </c>
      <c r="P964" s="43">
        <f>IF(INDEX(MvBeginn,7)="",0,IF(OR(DATE(Jahr,12,15)&lt;INDEX(MvBeginn,7),AND(INDEX(MvEnde,7)&gt;0,DATE(Jahr,12,15)&gt;INDEX(MvEnde,7))),0,IF(DATE(Jahr,12,15)&gt;=INDEX(MvKey3,7),INDEX(MvNkV3,7),IF(DATE(Jahr,12,15)&gt;=INDEX(MvKey2,7),INDEX(MvNkV2,7),IF(DATE(Jahr,12,15)&gt;=INDEX(MvKey1,7),INDEX(MvNkV1,7),0)))))</f>
      </c>
    </row>
    <row r="965">
      <c r="A965"/>
      <c r="B965">
        <v>8</v>
      </c>
      <c r="C965" s="43">
        <f>INDEX(MvObj,8)</f>
      </c>
      <c r="D965"/>
      <c r="E965" s="43">
        <f>IF(INDEX(MvBeginn,8)="",0,IF(OR(DATE(Jahr,1,15)&lt;INDEX(MvBeginn,8),AND(INDEX(MvEnde,8)&gt;0,DATE(Jahr,1,15)&gt;INDEX(MvEnde,8))),0,IF(DATE(Jahr,1,15)&gt;=INDEX(MvKey3,8),INDEX(MvNkV3,8),IF(DATE(Jahr,1,15)&gt;=INDEX(MvKey2,8),INDEX(MvNkV2,8),IF(DATE(Jahr,1,15)&gt;=INDEX(MvKey1,8),INDEX(MvNkV1,8),0)))))</f>
      </c>
      <c r="F965" s="43">
        <f>IF(INDEX(MvBeginn,8)="",0,IF(OR(DATE(Jahr,2,15)&lt;INDEX(MvBeginn,8),AND(INDEX(MvEnde,8)&gt;0,DATE(Jahr,2,15)&gt;INDEX(MvEnde,8))),0,IF(DATE(Jahr,2,15)&gt;=INDEX(MvKey3,8),INDEX(MvNkV3,8),IF(DATE(Jahr,2,15)&gt;=INDEX(MvKey2,8),INDEX(MvNkV2,8),IF(DATE(Jahr,2,15)&gt;=INDEX(MvKey1,8),INDEX(MvNkV1,8),0)))))</f>
      </c>
      <c r="G965" s="43">
        <f>IF(INDEX(MvBeginn,8)="",0,IF(OR(DATE(Jahr,3,15)&lt;INDEX(MvBeginn,8),AND(INDEX(MvEnde,8)&gt;0,DATE(Jahr,3,15)&gt;INDEX(MvEnde,8))),0,IF(DATE(Jahr,3,15)&gt;=INDEX(MvKey3,8),INDEX(MvNkV3,8),IF(DATE(Jahr,3,15)&gt;=INDEX(MvKey2,8),INDEX(MvNkV2,8),IF(DATE(Jahr,3,15)&gt;=INDEX(MvKey1,8),INDEX(MvNkV1,8),0)))))</f>
      </c>
      <c r="H965" s="43">
        <f>IF(INDEX(MvBeginn,8)="",0,IF(OR(DATE(Jahr,4,15)&lt;INDEX(MvBeginn,8),AND(INDEX(MvEnde,8)&gt;0,DATE(Jahr,4,15)&gt;INDEX(MvEnde,8))),0,IF(DATE(Jahr,4,15)&gt;=INDEX(MvKey3,8),INDEX(MvNkV3,8),IF(DATE(Jahr,4,15)&gt;=INDEX(MvKey2,8),INDEX(MvNkV2,8),IF(DATE(Jahr,4,15)&gt;=INDEX(MvKey1,8),INDEX(MvNkV1,8),0)))))</f>
      </c>
      <c r="I965" s="43">
        <f>IF(INDEX(MvBeginn,8)="",0,IF(OR(DATE(Jahr,5,15)&lt;INDEX(MvBeginn,8),AND(INDEX(MvEnde,8)&gt;0,DATE(Jahr,5,15)&gt;INDEX(MvEnde,8))),0,IF(DATE(Jahr,5,15)&gt;=INDEX(MvKey3,8),INDEX(MvNkV3,8),IF(DATE(Jahr,5,15)&gt;=INDEX(MvKey2,8),INDEX(MvNkV2,8),IF(DATE(Jahr,5,15)&gt;=INDEX(MvKey1,8),INDEX(MvNkV1,8),0)))))</f>
      </c>
      <c r="J965" s="43">
        <f>IF(INDEX(MvBeginn,8)="",0,IF(OR(DATE(Jahr,6,15)&lt;INDEX(MvBeginn,8),AND(INDEX(MvEnde,8)&gt;0,DATE(Jahr,6,15)&gt;INDEX(MvEnde,8))),0,IF(DATE(Jahr,6,15)&gt;=INDEX(MvKey3,8),INDEX(MvNkV3,8),IF(DATE(Jahr,6,15)&gt;=INDEX(MvKey2,8),INDEX(MvNkV2,8),IF(DATE(Jahr,6,15)&gt;=INDEX(MvKey1,8),INDEX(MvNkV1,8),0)))))</f>
      </c>
      <c r="K965" s="43">
        <f>IF(INDEX(MvBeginn,8)="",0,IF(OR(DATE(Jahr,7,15)&lt;INDEX(MvBeginn,8),AND(INDEX(MvEnde,8)&gt;0,DATE(Jahr,7,15)&gt;INDEX(MvEnde,8))),0,IF(DATE(Jahr,7,15)&gt;=INDEX(MvKey3,8),INDEX(MvNkV3,8),IF(DATE(Jahr,7,15)&gt;=INDEX(MvKey2,8),INDEX(MvNkV2,8),IF(DATE(Jahr,7,15)&gt;=INDEX(MvKey1,8),INDEX(MvNkV1,8),0)))))</f>
      </c>
      <c r="L965" s="43">
        <f>IF(INDEX(MvBeginn,8)="",0,IF(OR(DATE(Jahr,8,15)&lt;INDEX(MvBeginn,8),AND(INDEX(MvEnde,8)&gt;0,DATE(Jahr,8,15)&gt;INDEX(MvEnde,8))),0,IF(DATE(Jahr,8,15)&gt;=INDEX(MvKey3,8),INDEX(MvNkV3,8),IF(DATE(Jahr,8,15)&gt;=INDEX(MvKey2,8),INDEX(MvNkV2,8),IF(DATE(Jahr,8,15)&gt;=INDEX(MvKey1,8),INDEX(MvNkV1,8),0)))))</f>
      </c>
      <c r="M965" s="43">
        <f>IF(INDEX(MvBeginn,8)="",0,IF(OR(DATE(Jahr,9,15)&lt;INDEX(MvBeginn,8),AND(INDEX(MvEnde,8)&gt;0,DATE(Jahr,9,15)&gt;INDEX(MvEnde,8))),0,IF(DATE(Jahr,9,15)&gt;=INDEX(MvKey3,8),INDEX(MvNkV3,8),IF(DATE(Jahr,9,15)&gt;=INDEX(MvKey2,8),INDEX(MvNkV2,8),IF(DATE(Jahr,9,15)&gt;=INDEX(MvKey1,8),INDEX(MvNkV1,8),0)))))</f>
      </c>
      <c r="N965" s="43">
        <f>IF(INDEX(MvBeginn,8)="",0,IF(OR(DATE(Jahr,10,15)&lt;INDEX(MvBeginn,8),AND(INDEX(MvEnde,8)&gt;0,DATE(Jahr,10,15)&gt;INDEX(MvEnde,8))),0,IF(DATE(Jahr,10,15)&gt;=INDEX(MvKey3,8),INDEX(MvNkV3,8),IF(DATE(Jahr,10,15)&gt;=INDEX(MvKey2,8),INDEX(MvNkV2,8),IF(DATE(Jahr,10,15)&gt;=INDEX(MvKey1,8),INDEX(MvNkV1,8),0)))))</f>
      </c>
      <c r="O965" s="43">
        <f>IF(INDEX(MvBeginn,8)="",0,IF(OR(DATE(Jahr,11,15)&lt;INDEX(MvBeginn,8),AND(INDEX(MvEnde,8)&gt;0,DATE(Jahr,11,15)&gt;INDEX(MvEnde,8))),0,IF(DATE(Jahr,11,15)&gt;=INDEX(MvKey3,8),INDEX(MvNkV3,8),IF(DATE(Jahr,11,15)&gt;=INDEX(MvKey2,8),INDEX(MvNkV2,8),IF(DATE(Jahr,11,15)&gt;=INDEX(MvKey1,8),INDEX(MvNkV1,8),0)))))</f>
      </c>
      <c r="P965" s="43">
        <f>IF(INDEX(MvBeginn,8)="",0,IF(OR(DATE(Jahr,12,15)&lt;INDEX(MvBeginn,8),AND(INDEX(MvEnde,8)&gt;0,DATE(Jahr,12,15)&gt;INDEX(MvEnde,8))),0,IF(DATE(Jahr,12,15)&gt;=INDEX(MvKey3,8),INDEX(MvNkV3,8),IF(DATE(Jahr,12,15)&gt;=INDEX(MvKey2,8),INDEX(MvNkV2,8),IF(DATE(Jahr,12,15)&gt;=INDEX(MvKey1,8),INDEX(MvNkV1,8),0)))))</f>
      </c>
    </row>
    <row r="966">
      <c r="A966"/>
      <c r="B966">
        <v>9</v>
      </c>
      <c r="C966" s="43">
        <f>INDEX(MvObj,9)</f>
      </c>
      <c r="D966"/>
      <c r="E966" s="43">
        <f>IF(INDEX(MvBeginn,9)="",0,IF(OR(DATE(Jahr,1,15)&lt;INDEX(MvBeginn,9),AND(INDEX(MvEnde,9)&gt;0,DATE(Jahr,1,15)&gt;INDEX(MvEnde,9))),0,IF(DATE(Jahr,1,15)&gt;=INDEX(MvKey3,9),INDEX(MvNkV3,9),IF(DATE(Jahr,1,15)&gt;=INDEX(MvKey2,9),INDEX(MvNkV2,9),IF(DATE(Jahr,1,15)&gt;=INDEX(MvKey1,9),INDEX(MvNkV1,9),0)))))</f>
      </c>
      <c r="F966" s="43">
        <f>IF(INDEX(MvBeginn,9)="",0,IF(OR(DATE(Jahr,2,15)&lt;INDEX(MvBeginn,9),AND(INDEX(MvEnde,9)&gt;0,DATE(Jahr,2,15)&gt;INDEX(MvEnde,9))),0,IF(DATE(Jahr,2,15)&gt;=INDEX(MvKey3,9),INDEX(MvNkV3,9),IF(DATE(Jahr,2,15)&gt;=INDEX(MvKey2,9),INDEX(MvNkV2,9),IF(DATE(Jahr,2,15)&gt;=INDEX(MvKey1,9),INDEX(MvNkV1,9),0)))))</f>
      </c>
      <c r="G966" s="43">
        <f>IF(INDEX(MvBeginn,9)="",0,IF(OR(DATE(Jahr,3,15)&lt;INDEX(MvBeginn,9),AND(INDEX(MvEnde,9)&gt;0,DATE(Jahr,3,15)&gt;INDEX(MvEnde,9))),0,IF(DATE(Jahr,3,15)&gt;=INDEX(MvKey3,9),INDEX(MvNkV3,9),IF(DATE(Jahr,3,15)&gt;=INDEX(MvKey2,9),INDEX(MvNkV2,9),IF(DATE(Jahr,3,15)&gt;=INDEX(MvKey1,9),INDEX(MvNkV1,9),0)))))</f>
      </c>
      <c r="H966" s="43">
        <f>IF(INDEX(MvBeginn,9)="",0,IF(OR(DATE(Jahr,4,15)&lt;INDEX(MvBeginn,9),AND(INDEX(MvEnde,9)&gt;0,DATE(Jahr,4,15)&gt;INDEX(MvEnde,9))),0,IF(DATE(Jahr,4,15)&gt;=INDEX(MvKey3,9),INDEX(MvNkV3,9),IF(DATE(Jahr,4,15)&gt;=INDEX(MvKey2,9),INDEX(MvNkV2,9),IF(DATE(Jahr,4,15)&gt;=INDEX(MvKey1,9),INDEX(MvNkV1,9),0)))))</f>
      </c>
      <c r="I966" s="43">
        <f>IF(INDEX(MvBeginn,9)="",0,IF(OR(DATE(Jahr,5,15)&lt;INDEX(MvBeginn,9),AND(INDEX(MvEnde,9)&gt;0,DATE(Jahr,5,15)&gt;INDEX(MvEnde,9))),0,IF(DATE(Jahr,5,15)&gt;=INDEX(MvKey3,9),INDEX(MvNkV3,9),IF(DATE(Jahr,5,15)&gt;=INDEX(MvKey2,9),INDEX(MvNkV2,9),IF(DATE(Jahr,5,15)&gt;=INDEX(MvKey1,9),INDEX(MvNkV1,9),0)))))</f>
      </c>
      <c r="J966" s="43">
        <f>IF(INDEX(MvBeginn,9)="",0,IF(OR(DATE(Jahr,6,15)&lt;INDEX(MvBeginn,9),AND(INDEX(MvEnde,9)&gt;0,DATE(Jahr,6,15)&gt;INDEX(MvEnde,9))),0,IF(DATE(Jahr,6,15)&gt;=INDEX(MvKey3,9),INDEX(MvNkV3,9),IF(DATE(Jahr,6,15)&gt;=INDEX(MvKey2,9),INDEX(MvNkV2,9),IF(DATE(Jahr,6,15)&gt;=INDEX(MvKey1,9),INDEX(MvNkV1,9),0)))))</f>
      </c>
      <c r="K966" s="43">
        <f>IF(INDEX(MvBeginn,9)="",0,IF(OR(DATE(Jahr,7,15)&lt;INDEX(MvBeginn,9),AND(INDEX(MvEnde,9)&gt;0,DATE(Jahr,7,15)&gt;INDEX(MvEnde,9))),0,IF(DATE(Jahr,7,15)&gt;=INDEX(MvKey3,9),INDEX(MvNkV3,9),IF(DATE(Jahr,7,15)&gt;=INDEX(MvKey2,9),INDEX(MvNkV2,9),IF(DATE(Jahr,7,15)&gt;=INDEX(MvKey1,9),INDEX(MvNkV1,9),0)))))</f>
      </c>
      <c r="L966" s="43">
        <f>IF(INDEX(MvBeginn,9)="",0,IF(OR(DATE(Jahr,8,15)&lt;INDEX(MvBeginn,9),AND(INDEX(MvEnde,9)&gt;0,DATE(Jahr,8,15)&gt;INDEX(MvEnde,9))),0,IF(DATE(Jahr,8,15)&gt;=INDEX(MvKey3,9),INDEX(MvNkV3,9),IF(DATE(Jahr,8,15)&gt;=INDEX(MvKey2,9),INDEX(MvNkV2,9),IF(DATE(Jahr,8,15)&gt;=INDEX(MvKey1,9),INDEX(MvNkV1,9),0)))))</f>
      </c>
      <c r="M966" s="43">
        <f>IF(INDEX(MvBeginn,9)="",0,IF(OR(DATE(Jahr,9,15)&lt;INDEX(MvBeginn,9),AND(INDEX(MvEnde,9)&gt;0,DATE(Jahr,9,15)&gt;INDEX(MvEnde,9))),0,IF(DATE(Jahr,9,15)&gt;=INDEX(MvKey3,9),INDEX(MvNkV3,9),IF(DATE(Jahr,9,15)&gt;=INDEX(MvKey2,9),INDEX(MvNkV2,9),IF(DATE(Jahr,9,15)&gt;=INDEX(MvKey1,9),INDEX(MvNkV1,9),0)))))</f>
      </c>
      <c r="N966" s="43">
        <f>IF(INDEX(MvBeginn,9)="",0,IF(OR(DATE(Jahr,10,15)&lt;INDEX(MvBeginn,9),AND(INDEX(MvEnde,9)&gt;0,DATE(Jahr,10,15)&gt;INDEX(MvEnde,9))),0,IF(DATE(Jahr,10,15)&gt;=INDEX(MvKey3,9),INDEX(MvNkV3,9),IF(DATE(Jahr,10,15)&gt;=INDEX(MvKey2,9),INDEX(MvNkV2,9),IF(DATE(Jahr,10,15)&gt;=INDEX(MvKey1,9),INDEX(MvNkV1,9),0)))))</f>
      </c>
      <c r="O966" s="43">
        <f>IF(INDEX(MvBeginn,9)="",0,IF(OR(DATE(Jahr,11,15)&lt;INDEX(MvBeginn,9),AND(INDEX(MvEnde,9)&gt;0,DATE(Jahr,11,15)&gt;INDEX(MvEnde,9))),0,IF(DATE(Jahr,11,15)&gt;=INDEX(MvKey3,9),INDEX(MvNkV3,9),IF(DATE(Jahr,11,15)&gt;=INDEX(MvKey2,9),INDEX(MvNkV2,9),IF(DATE(Jahr,11,15)&gt;=INDEX(MvKey1,9),INDEX(MvNkV1,9),0)))))</f>
      </c>
      <c r="P966" s="43">
        <f>IF(INDEX(MvBeginn,9)="",0,IF(OR(DATE(Jahr,12,15)&lt;INDEX(MvBeginn,9),AND(INDEX(MvEnde,9)&gt;0,DATE(Jahr,12,15)&gt;INDEX(MvEnde,9))),0,IF(DATE(Jahr,12,15)&gt;=INDEX(MvKey3,9),INDEX(MvNkV3,9),IF(DATE(Jahr,12,15)&gt;=INDEX(MvKey2,9),INDEX(MvNkV2,9),IF(DATE(Jahr,12,15)&gt;=INDEX(MvKey1,9),INDEX(MvNkV1,9),0)))))</f>
      </c>
    </row>
    <row r="967">
      <c r="A967"/>
      <c r="B967">
        <v>10</v>
      </c>
      <c r="C967" s="43">
        <f>INDEX(MvObj,10)</f>
      </c>
      <c r="D967"/>
      <c r="E967" s="43">
        <f>IF(INDEX(MvBeginn,10)="",0,IF(OR(DATE(Jahr,1,15)&lt;INDEX(MvBeginn,10),AND(INDEX(MvEnde,10)&gt;0,DATE(Jahr,1,15)&gt;INDEX(MvEnde,10))),0,IF(DATE(Jahr,1,15)&gt;=INDEX(MvKey3,10),INDEX(MvNkV3,10),IF(DATE(Jahr,1,15)&gt;=INDEX(MvKey2,10),INDEX(MvNkV2,10),IF(DATE(Jahr,1,15)&gt;=INDEX(MvKey1,10),INDEX(MvNkV1,10),0)))))</f>
      </c>
      <c r="F967" s="43">
        <f>IF(INDEX(MvBeginn,10)="",0,IF(OR(DATE(Jahr,2,15)&lt;INDEX(MvBeginn,10),AND(INDEX(MvEnde,10)&gt;0,DATE(Jahr,2,15)&gt;INDEX(MvEnde,10))),0,IF(DATE(Jahr,2,15)&gt;=INDEX(MvKey3,10),INDEX(MvNkV3,10),IF(DATE(Jahr,2,15)&gt;=INDEX(MvKey2,10),INDEX(MvNkV2,10),IF(DATE(Jahr,2,15)&gt;=INDEX(MvKey1,10),INDEX(MvNkV1,10),0)))))</f>
      </c>
      <c r="G967" s="43">
        <f>IF(INDEX(MvBeginn,10)="",0,IF(OR(DATE(Jahr,3,15)&lt;INDEX(MvBeginn,10),AND(INDEX(MvEnde,10)&gt;0,DATE(Jahr,3,15)&gt;INDEX(MvEnde,10))),0,IF(DATE(Jahr,3,15)&gt;=INDEX(MvKey3,10),INDEX(MvNkV3,10),IF(DATE(Jahr,3,15)&gt;=INDEX(MvKey2,10),INDEX(MvNkV2,10),IF(DATE(Jahr,3,15)&gt;=INDEX(MvKey1,10),INDEX(MvNkV1,10),0)))))</f>
      </c>
      <c r="H967" s="43">
        <f>IF(INDEX(MvBeginn,10)="",0,IF(OR(DATE(Jahr,4,15)&lt;INDEX(MvBeginn,10),AND(INDEX(MvEnde,10)&gt;0,DATE(Jahr,4,15)&gt;INDEX(MvEnde,10))),0,IF(DATE(Jahr,4,15)&gt;=INDEX(MvKey3,10),INDEX(MvNkV3,10),IF(DATE(Jahr,4,15)&gt;=INDEX(MvKey2,10),INDEX(MvNkV2,10),IF(DATE(Jahr,4,15)&gt;=INDEX(MvKey1,10),INDEX(MvNkV1,10),0)))))</f>
      </c>
      <c r="I967" s="43">
        <f>IF(INDEX(MvBeginn,10)="",0,IF(OR(DATE(Jahr,5,15)&lt;INDEX(MvBeginn,10),AND(INDEX(MvEnde,10)&gt;0,DATE(Jahr,5,15)&gt;INDEX(MvEnde,10))),0,IF(DATE(Jahr,5,15)&gt;=INDEX(MvKey3,10),INDEX(MvNkV3,10),IF(DATE(Jahr,5,15)&gt;=INDEX(MvKey2,10),INDEX(MvNkV2,10),IF(DATE(Jahr,5,15)&gt;=INDEX(MvKey1,10),INDEX(MvNkV1,10),0)))))</f>
      </c>
      <c r="J967" s="43">
        <f>IF(INDEX(MvBeginn,10)="",0,IF(OR(DATE(Jahr,6,15)&lt;INDEX(MvBeginn,10),AND(INDEX(MvEnde,10)&gt;0,DATE(Jahr,6,15)&gt;INDEX(MvEnde,10))),0,IF(DATE(Jahr,6,15)&gt;=INDEX(MvKey3,10),INDEX(MvNkV3,10),IF(DATE(Jahr,6,15)&gt;=INDEX(MvKey2,10),INDEX(MvNkV2,10),IF(DATE(Jahr,6,15)&gt;=INDEX(MvKey1,10),INDEX(MvNkV1,10),0)))))</f>
      </c>
      <c r="K967" s="43">
        <f>IF(INDEX(MvBeginn,10)="",0,IF(OR(DATE(Jahr,7,15)&lt;INDEX(MvBeginn,10),AND(INDEX(MvEnde,10)&gt;0,DATE(Jahr,7,15)&gt;INDEX(MvEnde,10))),0,IF(DATE(Jahr,7,15)&gt;=INDEX(MvKey3,10),INDEX(MvNkV3,10),IF(DATE(Jahr,7,15)&gt;=INDEX(MvKey2,10),INDEX(MvNkV2,10),IF(DATE(Jahr,7,15)&gt;=INDEX(MvKey1,10),INDEX(MvNkV1,10),0)))))</f>
      </c>
      <c r="L967" s="43">
        <f>IF(INDEX(MvBeginn,10)="",0,IF(OR(DATE(Jahr,8,15)&lt;INDEX(MvBeginn,10),AND(INDEX(MvEnde,10)&gt;0,DATE(Jahr,8,15)&gt;INDEX(MvEnde,10))),0,IF(DATE(Jahr,8,15)&gt;=INDEX(MvKey3,10),INDEX(MvNkV3,10),IF(DATE(Jahr,8,15)&gt;=INDEX(MvKey2,10),INDEX(MvNkV2,10),IF(DATE(Jahr,8,15)&gt;=INDEX(MvKey1,10),INDEX(MvNkV1,10),0)))))</f>
      </c>
      <c r="M967" s="43">
        <f>IF(INDEX(MvBeginn,10)="",0,IF(OR(DATE(Jahr,9,15)&lt;INDEX(MvBeginn,10),AND(INDEX(MvEnde,10)&gt;0,DATE(Jahr,9,15)&gt;INDEX(MvEnde,10))),0,IF(DATE(Jahr,9,15)&gt;=INDEX(MvKey3,10),INDEX(MvNkV3,10),IF(DATE(Jahr,9,15)&gt;=INDEX(MvKey2,10),INDEX(MvNkV2,10),IF(DATE(Jahr,9,15)&gt;=INDEX(MvKey1,10),INDEX(MvNkV1,10),0)))))</f>
      </c>
      <c r="N967" s="43">
        <f>IF(INDEX(MvBeginn,10)="",0,IF(OR(DATE(Jahr,10,15)&lt;INDEX(MvBeginn,10),AND(INDEX(MvEnde,10)&gt;0,DATE(Jahr,10,15)&gt;INDEX(MvEnde,10))),0,IF(DATE(Jahr,10,15)&gt;=INDEX(MvKey3,10),INDEX(MvNkV3,10),IF(DATE(Jahr,10,15)&gt;=INDEX(MvKey2,10),INDEX(MvNkV2,10),IF(DATE(Jahr,10,15)&gt;=INDEX(MvKey1,10),INDEX(MvNkV1,10),0)))))</f>
      </c>
      <c r="O967" s="43">
        <f>IF(INDEX(MvBeginn,10)="",0,IF(OR(DATE(Jahr,11,15)&lt;INDEX(MvBeginn,10),AND(INDEX(MvEnde,10)&gt;0,DATE(Jahr,11,15)&gt;INDEX(MvEnde,10))),0,IF(DATE(Jahr,11,15)&gt;=INDEX(MvKey3,10),INDEX(MvNkV3,10),IF(DATE(Jahr,11,15)&gt;=INDEX(MvKey2,10),INDEX(MvNkV2,10),IF(DATE(Jahr,11,15)&gt;=INDEX(MvKey1,10),INDEX(MvNkV1,10),0)))))</f>
      </c>
      <c r="P967" s="43">
        <f>IF(INDEX(MvBeginn,10)="",0,IF(OR(DATE(Jahr,12,15)&lt;INDEX(MvBeginn,10),AND(INDEX(MvEnde,10)&gt;0,DATE(Jahr,12,15)&gt;INDEX(MvEnde,10))),0,IF(DATE(Jahr,12,15)&gt;=INDEX(MvKey3,10),INDEX(MvNkV3,10),IF(DATE(Jahr,12,15)&gt;=INDEX(MvKey2,10),INDEX(MvNkV2,10),IF(DATE(Jahr,12,15)&gt;=INDEX(MvKey1,10),INDEX(MvNkV1,10),0)))))</f>
      </c>
    </row>
    <row r="968">
      <c r="A968"/>
      <c r="B968">
        <v>11</v>
      </c>
      <c r="C968" s="43">
        <f>INDEX(MvObj,11)</f>
      </c>
      <c r="D968"/>
      <c r="E968" s="43">
        <f>IF(INDEX(MvBeginn,11)="",0,IF(OR(DATE(Jahr,1,15)&lt;INDEX(MvBeginn,11),AND(INDEX(MvEnde,11)&gt;0,DATE(Jahr,1,15)&gt;INDEX(MvEnde,11))),0,IF(DATE(Jahr,1,15)&gt;=INDEX(MvKey3,11),INDEX(MvNkV3,11),IF(DATE(Jahr,1,15)&gt;=INDEX(MvKey2,11),INDEX(MvNkV2,11),IF(DATE(Jahr,1,15)&gt;=INDEX(MvKey1,11),INDEX(MvNkV1,11),0)))))</f>
      </c>
      <c r="F968" s="43">
        <f>IF(INDEX(MvBeginn,11)="",0,IF(OR(DATE(Jahr,2,15)&lt;INDEX(MvBeginn,11),AND(INDEX(MvEnde,11)&gt;0,DATE(Jahr,2,15)&gt;INDEX(MvEnde,11))),0,IF(DATE(Jahr,2,15)&gt;=INDEX(MvKey3,11),INDEX(MvNkV3,11),IF(DATE(Jahr,2,15)&gt;=INDEX(MvKey2,11),INDEX(MvNkV2,11),IF(DATE(Jahr,2,15)&gt;=INDEX(MvKey1,11),INDEX(MvNkV1,11),0)))))</f>
      </c>
      <c r="G968" s="43">
        <f>IF(INDEX(MvBeginn,11)="",0,IF(OR(DATE(Jahr,3,15)&lt;INDEX(MvBeginn,11),AND(INDEX(MvEnde,11)&gt;0,DATE(Jahr,3,15)&gt;INDEX(MvEnde,11))),0,IF(DATE(Jahr,3,15)&gt;=INDEX(MvKey3,11),INDEX(MvNkV3,11),IF(DATE(Jahr,3,15)&gt;=INDEX(MvKey2,11),INDEX(MvNkV2,11),IF(DATE(Jahr,3,15)&gt;=INDEX(MvKey1,11),INDEX(MvNkV1,11),0)))))</f>
      </c>
      <c r="H968" s="43">
        <f>IF(INDEX(MvBeginn,11)="",0,IF(OR(DATE(Jahr,4,15)&lt;INDEX(MvBeginn,11),AND(INDEX(MvEnde,11)&gt;0,DATE(Jahr,4,15)&gt;INDEX(MvEnde,11))),0,IF(DATE(Jahr,4,15)&gt;=INDEX(MvKey3,11),INDEX(MvNkV3,11),IF(DATE(Jahr,4,15)&gt;=INDEX(MvKey2,11),INDEX(MvNkV2,11),IF(DATE(Jahr,4,15)&gt;=INDEX(MvKey1,11),INDEX(MvNkV1,11),0)))))</f>
      </c>
      <c r="I968" s="43">
        <f>IF(INDEX(MvBeginn,11)="",0,IF(OR(DATE(Jahr,5,15)&lt;INDEX(MvBeginn,11),AND(INDEX(MvEnde,11)&gt;0,DATE(Jahr,5,15)&gt;INDEX(MvEnde,11))),0,IF(DATE(Jahr,5,15)&gt;=INDEX(MvKey3,11),INDEX(MvNkV3,11),IF(DATE(Jahr,5,15)&gt;=INDEX(MvKey2,11),INDEX(MvNkV2,11),IF(DATE(Jahr,5,15)&gt;=INDEX(MvKey1,11),INDEX(MvNkV1,11),0)))))</f>
      </c>
      <c r="J968" s="43">
        <f>IF(INDEX(MvBeginn,11)="",0,IF(OR(DATE(Jahr,6,15)&lt;INDEX(MvBeginn,11),AND(INDEX(MvEnde,11)&gt;0,DATE(Jahr,6,15)&gt;INDEX(MvEnde,11))),0,IF(DATE(Jahr,6,15)&gt;=INDEX(MvKey3,11),INDEX(MvNkV3,11),IF(DATE(Jahr,6,15)&gt;=INDEX(MvKey2,11),INDEX(MvNkV2,11),IF(DATE(Jahr,6,15)&gt;=INDEX(MvKey1,11),INDEX(MvNkV1,11),0)))))</f>
      </c>
      <c r="K968" s="43">
        <f>IF(INDEX(MvBeginn,11)="",0,IF(OR(DATE(Jahr,7,15)&lt;INDEX(MvBeginn,11),AND(INDEX(MvEnde,11)&gt;0,DATE(Jahr,7,15)&gt;INDEX(MvEnde,11))),0,IF(DATE(Jahr,7,15)&gt;=INDEX(MvKey3,11),INDEX(MvNkV3,11),IF(DATE(Jahr,7,15)&gt;=INDEX(MvKey2,11),INDEX(MvNkV2,11),IF(DATE(Jahr,7,15)&gt;=INDEX(MvKey1,11),INDEX(MvNkV1,11),0)))))</f>
      </c>
      <c r="L968" s="43">
        <f>IF(INDEX(MvBeginn,11)="",0,IF(OR(DATE(Jahr,8,15)&lt;INDEX(MvBeginn,11),AND(INDEX(MvEnde,11)&gt;0,DATE(Jahr,8,15)&gt;INDEX(MvEnde,11))),0,IF(DATE(Jahr,8,15)&gt;=INDEX(MvKey3,11),INDEX(MvNkV3,11),IF(DATE(Jahr,8,15)&gt;=INDEX(MvKey2,11),INDEX(MvNkV2,11),IF(DATE(Jahr,8,15)&gt;=INDEX(MvKey1,11),INDEX(MvNkV1,11),0)))))</f>
      </c>
      <c r="M968" s="43">
        <f>IF(INDEX(MvBeginn,11)="",0,IF(OR(DATE(Jahr,9,15)&lt;INDEX(MvBeginn,11),AND(INDEX(MvEnde,11)&gt;0,DATE(Jahr,9,15)&gt;INDEX(MvEnde,11))),0,IF(DATE(Jahr,9,15)&gt;=INDEX(MvKey3,11),INDEX(MvNkV3,11),IF(DATE(Jahr,9,15)&gt;=INDEX(MvKey2,11),INDEX(MvNkV2,11),IF(DATE(Jahr,9,15)&gt;=INDEX(MvKey1,11),INDEX(MvNkV1,11),0)))))</f>
      </c>
      <c r="N968" s="43">
        <f>IF(INDEX(MvBeginn,11)="",0,IF(OR(DATE(Jahr,10,15)&lt;INDEX(MvBeginn,11),AND(INDEX(MvEnde,11)&gt;0,DATE(Jahr,10,15)&gt;INDEX(MvEnde,11))),0,IF(DATE(Jahr,10,15)&gt;=INDEX(MvKey3,11),INDEX(MvNkV3,11),IF(DATE(Jahr,10,15)&gt;=INDEX(MvKey2,11),INDEX(MvNkV2,11),IF(DATE(Jahr,10,15)&gt;=INDEX(MvKey1,11),INDEX(MvNkV1,11),0)))))</f>
      </c>
      <c r="O968" s="43">
        <f>IF(INDEX(MvBeginn,11)="",0,IF(OR(DATE(Jahr,11,15)&lt;INDEX(MvBeginn,11),AND(INDEX(MvEnde,11)&gt;0,DATE(Jahr,11,15)&gt;INDEX(MvEnde,11))),0,IF(DATE(Jahr,11,15)&gt;=INDEX(MvKey3,11),INDEX(MvNkV3,11),IF(DATE(Jahr,11,15)&gt;=INDEX(MvKey2,11),INDEX(MvNkV2,11),IF(DATE(Jahr,11,15)&gt;=INDEX(MvKey1,11),INDEX(MvNkV1,11),0)))))</f>
      </c>
      <c r="P968" s="43">
        <f>IF(INDEX(MvBeginn,11)="",0,IF(OR(DATE(Jahr,12,15)&lt;INDEX(MvBeginn,11),AND(INDEX(MvEnde,11)&gt;0,DATE(Jahr,12,15)&gt;INDEX(MvEnde,11))),0,IF(DATE(Jahr,12,15)&gt;=INDEX(MvKey3,11),INDEX(MvNkV3,11),IF(DATE(Jahr,12,15)&gt;=INDEX(MvKey2,11),INDEX(MvNkV2,11),IF(DATE(Jahr,12,15)&gt;=INDEX(MvKey1,11),INDEX(MvNkV1,11),0)))))</f>
      </c>
    </row>
    <row r="969">
      <c r="A969"/>
      <c r="B969">
        <v>12</v>
      </c>
      <c r="C969" s="43">
        <f>INDEX(MvObj,12)</f>
      </c>
      <c r="D969"/>
      <c r="E969" s="43">
        <f>IF(INDEX(MvBeginn,12)="",0,IF(OR(DATE(Jahr,1,15)&lt;INDEX(MvBeginn,12),AND(INDEX(MvEnde,12)&gt;0,DATE(Jahr,1,15)&gt;INDEX(MvEnde,12))),0,IF(DATE(Jahr,1,15)&gt;=INDEX(MvKey3,12),INDEX(MvNkV3,12),IF(DATE(Jahr,1,15)&gt;=INDEX(MvKey2,12),INDEX(MvNkV2,12),IF(DATE(Jahr,1,15)&gt;=INDEX(MvKey1,12),INDEX(MvNkV1,12),0)))))</f>
      </c>
      <c r="F969" s="43">
        <f>IF(INDEX(MvBeginn,12)="",0,IF(OR(DATE(Jahr,2,15)&lt;INDEX(MvBeginn,12),AND(INDEX(MvEnde,12)&gt;0,DATE(Jahr,2,15)&gt;INDEX(MvEnde,12))),0,IF(DATE(Jahr,2,15)&gt;=INDEX(MvKey3,12),INDEX(MvNkV3,12),IF(DATE(Jahr,2,15)&gt;=INDEX(MvKey2,12),INDEX(MvNkV2,12),IF(DATE(Jahr,2,15)&gt;=INDEX(MvKey1,12),INDEX(MvNkV1,12),0)))))</f>
      </c>
      <c r="G969" s="43">
        <f>IF(INDEX(MvBeginn,12)="",0,IF(OR(DATE(Jahr,3,15)&lt;INDEX(MvBeginn,12),AND(INDEX(MvEnde,12)&gt;0,DATE(Jahr,3,15)&gt;INDEX(MvEnde,12))),0,IF(DATE(Jahr,3,15)&gt;=INDEX(MvKey3,12),INDEX(MvNkV3,12),IF(DATE(Jahr,3,15)&gt;=INDEX(MvKey2,12),INDEX(MvNkV2,12),IF(DATE(Jahr,3,15)&gt;=INDEX(MvKey1,12),INDEX(MvNkV1,12),0)))))</f>
      </c>
      <c r="H969" s="43">
        <f>IF(INDEX(MvBeginn,12)="",0,IF(OR(DATE(Jahr,4,15)&lt;INDEX(MvBeginn,12),AND(INDEX(MvEnde,12)&gt;0,DATE(Jahr,4,15)&gt;INDEX(MvEnde,12))),0,IF(DATE(Jahr,4,15)&gt;=INDEX(MvKey3,12),INDEX(MvNkV3,12),IF(DATE(Jahr,4,15)&gt;=INDEX(MvKey2,12),INDEX(MvNkV2,12),IF(DATE(Jahr,4,15)&gt;=INDEX(MvKey1,12),INDEX(MvNkV1,12),0)))))</f>
      </c>
      <c r="I969" s="43">
        <f>IF(INDEX(MvBeginn,12)="",0,IF(OR(DATE(Jahr,5,15)&lt;INDEX(MvBeginn,12),AND(INDEX(MvEnde,12)&gt;0,DATE(Jahr,5,15)&gt;INDEX(MvEnde,12))),0,IF(DATE(Jahr,5,15)&gt;=INDEX(MvKey3,12),INDEX(MvNkV3,12),IF(DATE(Jahr,5,15)&gt;=INDEX(MvKey2,12),INDEX(MvNkV2,12),IF(DATE(Jahr,5,15)&gt;=INDEX(MvKey1,12),INDEX(MvNkV1,12),0)))))</f>
      </c>
      <c r="J969" s="43">
        <f>IF(INDEX(MvBeginn,12)="",0,IF(OR(DATE(Jahr,6,15)&lt;INDEX(MvBeginn,12),AND(INDEX(MvEnde,12)&gt;0,DATE(Jahr,6,15)&gt;INDEX(MvEnde,12))),0,IF(DATE(Jahr,6,15)&gt;=INDEX(MvKey3,12),INDEX(MvNkV3,12),IF(DATE(Jahr,6,15)&gt;=INDEX(MvKey2,12),INDEX(MvNkV2,12),IF(DATE(Jahr,6,15)&gt;=INDEX(MvKey1,12),INDEX(MvNkV1,12),0)))))</f>
      </c>
      <c r="K969" s="43">
        <f>IF(INDEX(MvBeginn,12)="",0,IF(OR(DATE(Jahr,7,15)&lt;INDEX(MvBeginn,12),AND(INDEX(MvEnde,12)&gt;0,DATE(Jahr,7,15)&gt;INDEX(MvEnde,12))),0,IF(DATE(Jahr,7,15)&gt;=INDEX(MvKey3,12),INDEX(MvNkV3,12),IF(DATE(Jahr,7,15)&gt;=INDEX(MvKey2,12),INDEX(MvNkV2,12),IF(DATE(Jahr,7,15)&gt;=INDEX(MvKey1,12),INDEX(MvNkV1,12),0)))))</f>
      </c>
      <c r="L969" s="43">
        <f>IF(INDEX(MvBeginn,12)="",0,IF(OR(DATE(Jahr,8,15)&lt;INDEX(MvBeginn,12),AND(INDEX(MvEnde,12)&gt;0,DATE(Jahr,8,15)&gt;INDEX(MvEnde,12))),0,IF(DATE(Jahr,8,15)&gt;=INDEX(MvKey3,12),INDEX(MvNkV3,12),IF(DATE(Jahr,8,15)&gt;=INDEX(MvKey2,12),INDEX(MvNkV2,12),IF(DATE(Jahr,8,15)&gt;=INDEX(MvKey1,12),INDEX(MvNkV1,12),0)))))</f>
      </c>
      <c r="M969" s="43">
        <f>IF(INDEX(MvBeginn,12)="",0,IF(OR(DATE(Jahr,9,15)&lt;INDEX(MvBeginn,12),AND(INDEX(MvEnde,12)&gt;0,DATE(Jahr,9,15)&gt;INDEX(MvEnde,12))),0,IF(DATE(Jahr,9,15)&gt;=INDEX(MvKey3,12),INDEX(MvNkV3,12),IF(DATE(Jahr,9,15)&gt;=INDEX(MvKey2,12),INDEX(MvNkV2,12),IF(DATE(Jahr,9,15)&gt;=INDEX(MvKey1,12),INDEX(MvNkV1,12),0)))))</f>
      </c>
      <c r="N969" s="43">
        <f>IF(INDEX(MvBeginn,12)="",0,IF(OR(DATE(Jahr,10,15)&lt;INDEX(MvBeginn,12),AND(INDEX(MvEnde,12)&gt;0,DATE(Jahr,10,15)&gt;INDEX(MvEnde,12))),0,IF(DATE(Jahr,10,15)&gt;=INDEX(MvKey3,12),INDEX(MvNkV3,12),IF(DATE(Jahr,10,15)&gt;=INDEX(MvKey2,12),INDEX(MvNkV2,12),IF(DATE(Jahr,10,15)&gt;=INDEX(MvKey1,12),INDEX(MvNkV1,12),0)))))</f>
      </c>
      <c r="O969" s="43">
        <f>IF(INDEX(MvBeginn,12)="",0,IF(OR(DATE(Jahr,11,15)&lt;INDEX(MvBeginn,12),AND(INDEX(MvEnde,12)&gt;0,DATE(Jahr,11,15)&gt;INDEX(MvEnde,12))),0,IF(DATE(Jahr,11,15)&gt;=INDEX(MvKey3,12),INDEX(MvNkV3,12),IF(DATE(Jahr,11,15)&gt;=INDEX(MvKey2,12),INDEX(MvNkV2,12),IF(DATE(Jahr,11,15)&gt;=INDEX(MvKey1,12),INDEX(MvNkV1,12),0)))))</f>
      </c>
      <c r="P969" s="43">
        <f>IF(INDEX(MvBeginn,12)="",0,IF(OR(DATE(Jahr,12,15)&lt;INDEX(MvBeginn,12),AND(INDEX(MvEnde,12)&gt;0,DATE(Jahr,12,15)&gt;INDEX(MvEnde,12))),0,IF(DATE(Jahr,12,15)&gt;=INDEX(MvKey3,12),INDEX(MvNkV3,12),IF(DATE(Jahr,12,15)&gt;=INDEX(MvKey2,12),INDEX(MvNkV2,12),IF(DATE(Jahr,12,15)&gt;=INDEX(MvKey1,12),INDEX(MvNkV1,12),0)))))</f>
      </c>
    </row>
    <row r="970">
      <c r="A970"/>
      <c r="B970">
        <v>13</v>
      </c>
      <c r="C970" s="43">
        <f>INDEX(MvObj,13)</f>
      </c>
      <c r="D970"/>
      <c r="E970" s="43">
        <f>IF(INDEX(MvBeginn,13)="",0,IF(OR(DATE(Jahr,1,15)&lt;INDEX(MvBeginn,13),AND(INDEX(MvEnde,13)&gt;0,DATE(Jahr,1,15)&gt;INDEX(MvEnde,13))),0,IF(DATE(Jahr,1,15)&gt;=INDEX(MvKey3,13),INDEX(MvNkV3,13),IF(DATE(Jahr,1,15)&gt;=INDEX(MvKey2,13),INDEX(MvNkV2,13),IF(DATE(Jahr,1,15)&gt;=INDEX(MvKey1,13),INDEX(MvNkV1,13),0)))))</f>
      </c>
      <c r="F970" s="43">
        <f>IF(INDEX(MvBeginn,13)="",0,IF(OR(DATE(Jahr,2,15)&lt;INDEX(MvBeginn,13),AND(INDEX(MvEnde,13)&gt;0,DATE(Jahr,2,15)&gt;INDEX(MvEnde,13))),0,IF(DATE(Jahr,2,15)&gt;=INDEX(MvKey3,13),INDEX(MvNkV3,13),IF(DATE(Jahr,2,15)&gt;=INDEX(MvKey2,13),INDEX(MvNkV2,13),IF(DATE(Jahr,2,15)&gt;=INDEX(MvKey1,13),INDEX(MvNkV1,13),0)))))</f>
      </c>
      <c r="G970" s="43">
        <f>IF(INDEX(MvBeginn,13)="",0,IF(OR(DATE(Jahr,3,15)&lt;INDEX(MvBeginn,13),AND(INDEX(MvEnde,13)&gt;0,DATE(Jahr,3,15)&gt;INDEX(MvEnde,13))),0,IF(DATE(Jahr,3,15)&gt;=INDEX(MvKey3,13),INDEX(MvNkV3,13),IF(DATE(Jahr,3,15)&gt;=INDEX(MvKey2,13),INDEX(MvNkV2,13),IF(DATE(Jahr,3,15)&gt;=INDEX(MvKey1,13),INDEX(MvNkV1,13),0)))))</f>
      </c>
      <c r="H970" s="43">
        <f>IF(INDEX(MvBeginn,13)="",0,IF(OR(DATE(Jahr,4,15)&lt;INDEX(MvBeginn,13),AND(INDEX(MvEnde,13)&gt;0,DATE(Jahr,4,15)&gt;INDEX(MvEnde,13))),0,IF(DATE(Jahr,4,15)&gt;=INDEX(MvKey3,13),INDEX(MvNkV3,13),IF(DATE(Jahr,4,15)&gt;=INDEX(MvKey2,13),INDEX(MvNkV2,13),IF(DATE(Jahr,4,15)&gt;=INDEX(MvKey1,13),INDEX(MvNkV1,13),0)))))</f>
      </c>
      <c r="I970" s="43">
        <f>IF(INDEX(MvBeginn,13)="",0,IF(OR(DATE(Jahr,5,15)&lt;INDEX(MvBeginn,13),AND(INDEX(MvEnde,13)&gt;0,DATE(Jahr,5,15)&gt;INDEX(MvEnde,13))),0,IF(DATE(Jahr,5,15)&gt;=INDEX(MvKey3,13),INDEX(MvNkV3,13),IF(DATE(Jahr,5,15)&gt;=INDEX(MvKey2,13),INDEX(MvNkV2,13),IF(DATE(Jahr,5,15)&gt;=INDEX(MvKey1,13),INDEX(MvNkV1,13),0)))))</f>
      </c>
      <c r="J970" s="43">
        <f>IF(INDEX(MvBeginn,13)="",0,IF(OR(DATE(Jahr,6,15)&lt;INDEX(MvBeginn,13),AND(INDEX(MvEnde,13)&gt;0,DATE(Jahr,6,15)&gt;INDEX(MvEnde,13))),0,IF(DATE(Jahr,6,15)&gt;=INDEX(MvKey3,13),INDEX(MvNkV3,13),IF(DATE(Jahr,6,15)&gt;=INDEX(MvKey2,13),INDEX(MvNkV2,13),IF(DATE(Jahr,6,15)&gt;=INDEX(MvKey1,13),INDEX(MvNkV1,13),0)))))</f>
      </c>
      <c r="K970" s="43">
        <f>IF(INDEX(MvBeginn,13)="",0,IF(OR(DATE(Jahr,7,15)&lt;INDEX(MvBeginn,13),AND(INDEX(MvEnde,13)&gt;0,DATE(Jahr,7,15)&gt;INDEX(MvEnde,13))),0,IF(DATE(Jahr,7,15)&gt;=INDEX(MvKey3,13),INDEX(MvNkV3,13),IF(DATE(Jahr,7,15)&gt;=INDEX(MvKey2,13),INDEX(MvNkV2,13),IF(DATE(Jahr,7,15)&gt;=INDEX(MvKey1,13),INDEX(MvNkV1,13),0)))))</f>
      </c>
      <c r="L970" s="43">
        <f>IF(INDEX(MvBeginn,13)="",0,IF(OR(DATE(Jahr,8,15)&lt;INDEX(MvBeginn,13),AND(INDEX(MvEnde,13)&gt;0,DATE(Jahr,8,15)&gt;INDEX(MvEnde,13))),0,IF(DATE(Jahr,8,15)&gt;=INDEX(MvKey3,13),INDEX(MvNkV3,13),IF(DATE(Jahr,8,15)&gt;=INDEX(MvKey2,13),INDEX(MvNkV2,13),IF(DATE(Jahr,8,15)&gt;=INDEX(MvKey1,13),INDEX(MvNkV1,13),0)))))</f>
      </c>
      <c r="M970" s="43">
        <f>IF(INDEX(MvBeginn,13)="",0,IF(OR(DATE(Jahr,9,15)&lt;INDEX(MvBeginn,13),AND(INDEX(MvEnde,13)&gt;0,DATE(Jahr,9,15)&gt;INDEX(MvEnde,13))),0,IF(DATE(Jahr,9,15)&gt;=INDEX(MvKey3,13),INDEX(MvNkV3,13),IF(DATE(Jahr,9,15)&gt;=INDEX(MvKey2,13),INDEX(MvNkV2,13),IF(DATE(Jahr,9,15)&gt;=INDEX(MvKey1,13),INDEX(MvNkV1,13),0)))))</f>
      </c>
      <c r="N970" s="43">
        <f>IF(INDEX(MvBeginn,13)="",0,IF(OR(DATE(Jahr,10,15)&lt;INDEX(MvBeginn,13),AND(INDEX(MvEnde,13)&gt;0,DATE(Jahr,10,15)&gt;INDEX(MvEnde,13))),0,IF(DATE(Jahr,10,15)&gt;=INDEX(MvKey3,13),INDEX(MvNkV3,13),IF(DATE(Jahr,10,15)&gt;=INDEX(MvKey2,13),INDEX(MvNkV2,13),IF(DATE(Jahr,10,15)&gt;=INDEX(MvKey1,13),INDEX(MvNkV1,13),0)))))</f>
      </c>
      <c r="O970" s="43">
        <f>IF(INDEX(MvBeginn,13)="",0,IF(OR(DATE(Jahr,11,15)&lt;INDEX(MvBeginn,13),AND(INDEX(MvEnde,13)&gt;0,DATE(Jahr,11,15)&gt;INDEX(MvEnde,13))),0,IF(DATE(Jahr,11,15)&gt;=INDEX(MvKey3,13),INDEX(MvNkV3,13),IF(DATE(Jahr,11,15)&gt;=INDEX(MvKey2,13),INDEX(MvNkV2,13),IF(DATE(Jahr,11,15)&gt;=INDEX(MvKey1,13),INDEX(MvNkV1,13),0)))))</f>
      </c>
      <c r="P970" s="43">
        <f>IF(INDEX(MvBeginn,13)="",0,IF(OR(DATE(Jahr,12,15)&lt;INDEX(MvBeginn,13),AND(INDEX(MvEnde,13)&gt;0,DATE(Jahr,12,15)&gt;INDEX(MvEnde,13))),0,IF(DATE(Jahr,12,15)&gt;=INDEX(MvKey3,13),INDEX(MvNkV3,13),IF(DATE(Jahr,12,15)&gt;=INDEX(MvKey2,13),INDEX(MvNkV2,13),IF(DATE(Jahr,12,15)&gt;=INDEX(MvKey1,13),INDEX(MvNkV1,13),0)))))</f>
      </c>
    </row>
    <row r="971">
      <c r="A971"/>
      <c r="B971">
        <v>14</v>
      </c>
      <c r="C971" s="43">
        <f>INDEX(MvObj,14)</f>
      </c>
      <c r="D971"/>
      <c r="E971" s="43">
        <f>IF(INDEX(MvBeginn,14)="",0,IF(OR(DATE(Jahr,1,15)&lt;INDEX(MvBeginn,14),AND(INDEX(MvEnde,14)&gt;0,DATE(Jahr,1,15)&gt;INDEX(MvEnde,14))),0,IF(DATE(Jahr,1,15)&gt;=INDEX(MvKey3,14),INDEX(MvNkV3,14),IF(DATE(Jahr,1,15)&gt;=INDEX(MvKey2,14),INDEX(MvNkV2,14),IF(DATE(Jahr,1,15)&gt;=INDEX(MvKey1,14),INDEX(MvNkV1,14),0)))))</f>
      </c>
      <c r="F971" s="43">
        <f>IF(INDEX(MvBeginn,14)="",0,IF(OR(DATE(Jahr,2,15)&lt;INDEX(MvBeginn,14),AND(INDEX(MvEnde,14)&gt;0,DATE(Jahr,2,15)&gt;INDEX(MvEnde,14))),0,IF(DATE(Jahr,2,15)&gt;=INDEX(MvKey3,14),INDEX(MvNkV3,14),IF(DATE(Jahr,2,15)&gt;=INDEX(MvKey2,14),INDEX(MvNkV2,14),IF(DATE(Jahr,2,15)&gt;=INDEX(MvKey1,14),INDEX(MvNkV1,14),0)))))</f>
      </c>
      <c r="G971" s="43">
        <f>IF(INDEX(MvBeginn,14)="",0,IF(OR(DATE(Jahr,3,15)&lt;INDEX(MvBeginn,14),AND(INDEX(MvEnde,14)&gt;0,DATE(Jahr,3,15)&gt;INDEX(MvEnde,14))),0,IF(DATE(Jahr,3,15)&gt;=INDEX(MvKey3,14),INDEX(MvNkV3,14),IF(DATE(Jahr,3,15)&gt;=INDEX(MvKey2,14),INDEX(MvNkV2,14),IF(DATE(Jahr,3,15)&gt;=INDEX(MvKey1,14),INDEX(MvNkV1,14),0)))))</f>
      </c>
      <c r="H971" s="43">
        <f>IF(INDEX(MvBeginn,14)="",0,IF(OR(DATE(Jahr,4,15)&lt;INDEX(MvBeginn,14),AND(INDEX(MvEnde,14)&gt;0,DATE(Jahr,4,15)&gt;INDEX(MvEnde,14))),0,IF(DATE(Jahr,4,15)&gt;=INDEX(MvKey3,14),INDEX(MvNkV3,14),IF(DATE(Jahr,4,15)&gt;=INDEX(MvKey2,14),INDEX(MvNkV2,14),IF(DATE(Jahr,4,15)&gt;=INDEX(MvKey1,14),INDEX(MvNkV1,14),0)))))</f>
      </c>
      <c r="I971" s="43">
        <f>IF(INDEX(MvBeginn,14)="",0,IF(OR(DATE(Jahr,5,15)&lt;INDEX(MvBeginn,14),AND(INDEX(MvEnde,14)&gt;0,DATE(Jahr,5,15)&gt;INDEX(MvEnde,14))),0,IF(DATE(Jahr,5,15)&gt;=INDEX(MvKey3,14),INDEX(MvNkV3,14),IF(DATE(Jahr,5,15)&gt;=INDEX(MvKey2,14),INDEX(MvNkV2,14),IF(DATE(Jahr,5,15)&gt;=INDEX(MvKey1,14),INDEX(MvNkV1,14),0)))))</f>
      </c>
      <c r="J971" s="43">
        <f>IF(INDEX(MvBeginn,14)="",0,IF(OR(DATE(Jahr,6,15)&lt;INDEX(MvBeginn,14),AND(INDEX(MvEnde,14)&gt;0,DATE(Jahr,6,15)&gt;INDEX(MvEnde,14))),0,IF(DATE(Jahr,6,15)&gt;=INDEX(MvKey3,14),INDEX(MvNkV3,14),IF(DATE(Jahr,6,15)&gt;=INDEX(MvKey2,14),INDEX(MvNkV2,14),IF(DATE(Jahr,6,15)&gt;=INDEX(MvKey1,14),INDEX(MvNkV1,14),0)))))</f>
      </c>
      <c r="K971" s="43">
        <f>IF(INDEX(MvBeginn,14)="",0,IF(OR(DATE(Jahr,7,15)&lt;INDEX(MvBeginn,14),AND(INDEX(MvEnde,14)&gt;0,DATE(Jahr,7,15)&gt;INDEX(MvEnde,14))),0,IF(DATE(Jahr,7,15)&gt;=INDEX(MvKey3,14),INDEX(MvNkV3,14),IF(DATE(Jahr,7,15)&gt;=INDEX(MvKey2,14),INDEX(MvNkV2,14),IF(DATE(Jahr,7,15)&gt;=INDEX(MvKey1,14),INDEX(MvNkV1,14),0)))))</f>
      </c>
      <c r="L971" s="43">
        <f>IF(INDEX(MvBeginn,14)="",0,IF(OR(DATE(Jahr,8,15)&lt;INDEX(MvBeginn,14),AND(INDEX(MvEnde,14)&gt;0,DATE(Jahr,8,15)&gt;INDEX(MvEnde,14))),0,IF(DATE(Jahr,8,15)&gt;=INDEX(MvKey3,14),INDEX(MvNkV3,14),IF(DATE(Jahr,8,15)&gt;=INDEX(MvKey2,14),INDEX(MvNkV2,14),IF(DATE(Jahr,8,15)&gt;=INDEX(MvKey1,14),INDEX(MvNkV1,14),0)))))</f>
      </c>
      <c r="M971" s="43">
        <f>IF(INDEX(MvBeginn,14)="",0,IF(OR(DATE(Jahr,9,15)&lt;INDEX(MvBeginn,14),AND(INDEX(MvEnde,14)&gt;0,DATE(Jahr,9,15)&gt;INDEX(MvEnde,14))),0,IF(DATE(Jahr,9,15)&gt;=INDEX(MvKey3,14),INDEX(MvNkV3,14),IF(DATE(Jahr,9,15)&gt;=INDEX(MvKey2,14),INDEX(MvNkV2,14),IF(DATE(Jahr,9,15)&gt;=INDEX(MvKey1,14),INDEX(MvNkV1,14),0)))))</f>
      </c>
      <c r="N971" s="43">
        <f>IF(INDEX(MvBeginn,14)="",0,IF(OR(DATE(Jahr,10,15)&lt;INDEX(MvBeginn,14),AND(INDEX(MvEnde,14)&gt;0,DATE(Jahr,10,15)&gt;INDEX(MvEnde,14))),0,IF(DATE(Jahr,10,15)&gt;=INDEX(MvKey3,14),INDEX(MvNkV3,14),IF(DATE(Jahr,10,15)&gt;=INDEX(MvKey2,14),INDEX(MvNkV2,14),IF(DATE(Jahr,10,15)&gt;=INDEX(MvKey1,14),INDEX(MvNkV1,14),0)))))</f>
      </c>
      <c r="O971" s="43">
        <f>IF(INDEX(MvBeginn,14)="",0,IF(OR(DATE(Jahr,11,15)&lt;INDEX(MvBeginn,14),AND(INDEX(MvEnde,14)&gt;0,DATE(Jahr,11,15)&gt;INDEX(MvEnde,14))),0,IF(DATE(Jahr,11,15)&gt;=INDEX(MvKey3,14),INDEX(MvNkV3,14),IF(DATE(Jahr,11,15)&gt;=INDEX(MvKey2,14),INDEX(MvNkV2,14),IF(DATE(Jahr,11,15)&gt;=INDEX(MvKey1,14),INDEX(MvNkV1,14),0)))))</f>
      </c>
      <c r="P971" s="43">
        <f>IF(INDEX(MvBeginn,14)="",0,IF(OR(DATE(Jahr,12,15)&lt;INDEX(MvBeginn,14),AND(INDEX(MvEnde,14)&gt;0,DATE(Jahr,12,15)&gt;INDEX(MvEnde,14))),0,IF(DATE(Jahr,12,15)&gt;=INDEX(MvKey3,14),INDEX(MvNkV3,14),IF(DATE(Jahr,12,15)&gt;=INDEX(MvKey2,14),INDEX(MvNkV2,14),IF(DATE(Jahr,12,15)&gt;=INDEX(MvKey1,14),INDEX(MvNkV1,14),0)))))</f>
      </c>
    </row>
    <row r="972">
      <c r="A972"/>
      <c r="B972">
        <v>15</v>
      </c>
      <c r="C972" s="43">
        <f>INDEX(MvObj,15)</f>
      </c>
      <c r="D972"/>
      <c r="E972" s="43">
        <f>IF(INDEX(MvBeginn,15)="",0,IF(OR(DATE(Jahr,1,15)&lt;INDEX(MvBeginn,15),AND(INDEX(MvEnde,15)&gt;0,DATE(Jahr,1,15)&gt;INDEX(MvEnde,15))),0,IF(DATE(Jahr,1,15)&gt;=INDEX(MvKey3,15),INDEX(MvNkV3,15),IF(DATE(Jahr,1,15)&gt;=INDEX(MvKey2,15),INDEX(MvNkV2,15),IF(DATE(Jahr,1,15)&gt;=INDEX(MvKey1,15),INDEX(MvNkV1,15),0)))))</f>
      </c>
      <c r="F972" s="43">
        <f>IF(INDEX(MvBeginn,15)="",0,IF(OR(DATE(Jahr,2,15)&lt;INDEX(MvBeginn,15),AND(INDEX(MvEnde,15)&gt;0,DATE(Jahr,2,15)&gt;INDEX(MvEnde,15))),0,IF(DATE(Jahr,2,15)&gt;=INDEX(MvKey3,15),INDEX(MvNkV3,15),IF(DATE(Jahr,2,15)&gt;=INDEX(MvKey2,15),INDEX(MvNkV2,15),IF(DATE(Jahr,2,15)&gt;=INDEX(MvKey1,15),INDEX(MvNkV1,15),0)))))</f>
      </c>
      <c r="G972" s="43">
        <f>IF(INDEX(MvBeginn,15)="",0,IF(OR(DATE(Jahr,3,15)&lt;INDEX(MvBeginn,15),AND(INDEX(MvEnde,15)&gt;0,DATE(Jahr,3,15)&gt;INDEX(MvEnde,15))),0,IF(DATE(Jahr,3,15)&gt;=INDEX(MvKey3,15),INDEX(MvNkV3,15),IF(DATE(Jahr,3,15)&gt;=INDEX(MvKey2,15),INDEX(MvNkV2,15),IF(DATE(Jahr,3,15)&gt;=INDEX(MvKey1,15),INDEX(MvNkV1,15),0)))))</f>
      </c>
      <c r="H972" s="43">
        <f>IF(INDEX(MvBeginn,15)="",0,IF(OR(DATE(Jahr,4,15)&lt;INDEX(MvBeginn,15),AND(INDEX(MvEnde,15)&gt;0,DATE(Jahr,4,15)&gt;INDEX(MvEnde,15))),0,IF(DATE(Jahr,4,15)&gt;=INDEX(MvKey3,15),INDEX(MvNkV3,15),IF(DATE(Jahr,4,15)&gt;=INDEX(MvKey2,15),INDEX(MvNkV2,15),IF(DATE(Jahr,4,15)&gt;=INDEX(MvKey1,15),INDEX(MvNkV1,15),0)))))</f>
      </c>
      <c r="I972" s="43">
        <f>IF(INDEX(MvBeginn,15)="",0,IF(OR(DATE(Jahr,5,15)&lt;INDEX(MvBeginn,15),AND(INDEX(MvEnde,15)&gt;0,DATE(Jahr,5,15)&gt;INDEX(MvEnde,15))),0,IF(DATE(Jahr,5,15)&gt;=INDEX(MvKey3,15),INDEX(MvNkV3,15),IF(DATE(Jahr,5,15)&gt;=INDEX(MvKey2,15),INDEX(MvNkV2,15),IF(DATE(Jahr,5,15)&gt;=INDEX(MvKey1,15),INDEX(MvNkV1,15),0)))))</f>
      </c>
      <c r="J972" s="43">
        <f>IF(INDEX(MvBeginn,15)="",0,IF(OR(DATE(Jahr,6,15)&lt;INDEX(MvBeginn,15),AND(INDEX(MvEnde,15)&gt;0,DATE(Jahr,6,15)&gt;INDEX(MvEnde,15))),0,IF(DATE(Jahr,6,15)&gt;=INDEX(MvKey3,15),INDEX(MvNkV3,15),IF(DATE(Jahr,6,15)&gt;=INDEX(MvKey2,15),INDEX(MvNkV2,15),IF(DATE(Jahr,6,15)&gt;=INDEX(MvKey1,15),INDEX(MvNkV1,15),0)))))</f>
      </c>
      <c r="K972" s="43">
        <f>IF(INDEX(MvBeginn,15)="",0,IF(OR(DATE(Jahr,7,15)&lt;INDEX(MvBeginn,15),AND(INDEX(MvEnde,15)&gt;0,DATE(Jahr,7,15)&gt;INDEX(MvEnde,15))),0,IF(DATE(Jahr,7,15)&gt;=INDEX(MvKey3,15),INDEX(MvNkV3,15),IF(DATE(Jahr,7,15)&gt;=INDEX(MvKey2,15),INDEX(MvNkV2,15),IF(DATE(Jahr,7,15)&gt;=INDEX(MvKey1,15),INDEX(MvNkV1,15),0)))))</f>
      </c>
      <c r="L972" s="43">
        <f>IF(INDEX(MvBeginn,15)="",0,IF(OR(DATE(Jahr,8,15)&lt;INDEX(MvBeginn,15),AND(INDEX(MvEnde,15)&gt;0,DATE(Jahr,8,15)&gt;INDEX(MvEnde,15))),0,IF(DATE(Jahr,8,15)&gt;=INDEX(MvKey3,15),INDEX(MvNkV3,15),IF(DATE(Jahr,8,15)&gt;=INDEX(MvKey2,15),INDEX(MvNkV2,15),IF(DATE(Jahr,8,15)&gt;=INDEX(MvKey1,15),INDEX(MvNkV1,15),0)))))</f>
      </c>
      <c r="M972" s="43">
        <f>IF(INDEX(MvBeginn,15)="",0,IF(OR(DATE(Jahr,9,15)&lt;INDEX(MvBeginn,15),AND(INDEX(MvEnde,15)&gt;0,DATE(Jahr,9,15)&gt;INDEX(MvEnde,15))),0,IF(DATE(Jahr,9,15)&gt;=INDEX(MvKey3,15),INDEX(MvNkV3,15),IF(DATE(Jahr,9,15)&gt;=INDEX(MvKey2,15),INDEX(MvNkV2,15),IF(DATE(Jahr,9,15)&gt;=INDEX(MvKey1,15),INDEX(MvNkV1,15),0)))))</f>
      </c>
      <c r="N972" s="43">
        <f>IF(INDEX(MvBeginn,15)="",0,IF(OR(DATE(Jahr,10,15)&lt;INDEX(MvBeginn,15),AND(INDEX(MvEnde,15)&gt;0,DATE(Jahr,10,15)&gt;INDEX(MvEnde,15))),0,IF(DATE(Jahr,10,15)&gt;=INDEX(MvKey3,15),INDEX(MvNkV3,15),IF(DATE(Jahr,10,15)&gt;=INDEX(MvKey2,15),INDEX(MvNkV2,15),IF(DATE(Jahr,10,15)&gt;=INDEX(MvKey1,15),INDEX(MvNkV1,15),0)))))</f>
      </c>
      <c r="O972" s="43">
        <f>IF(INDEX(MvBeginn,15)="",0,IF(OR(DATE(Jahr,11,15)&lt;INDEX(MvBeginn,15),AND(INDEX(MvEnde,15)&gt;0,DATE(Jahr,11,15)&gt;INDEX(MvEnde,15))),0,IF(DATE(Jahr,11,15)&gt;=INDEX(MvKey3,15),INDEX(MvNkV3,15),IF(DATE(Jahr,11,15)&gt;=INDEX(MvKey2,15),INDEX(MvNkV2,15),IF(DATE(Jahr,11,15)&gt;=INDEX(MvKey1,15),INDEX(MvNkV1,15),0)))))</f>
      </c>
      <c r="P972" s="43">
        <f>IF(INDEX(MvBeginn,15)="",0,IF(OR(DATE(Jahr,12,15)&lt;INDEX(MvBeginn,15),AND(INDEX(MvEnde,15)&gt;0,DATE(Jahr,12,15)&gt;INDEX(MvEnde,15))),0,IF(DATE(Jahr,12,15)&gt;=INDEX(MvKey3,15),INDEX(MvNkV3,15),IF(DATE(Jahr,12,15)&gt;=INDEX(MvKey2,15),INDEX(MvNkV2,15),IF(DATE(Jahr,12,15)&gt;=INDEX(MvKey1,15),INDEX(MvNkV1,15),0)))))</f>
      </c>
    </row>
    <row r="973">
      <c r="A973"/>
      <c r="B973">
        <v>16</v>
      </c>
      <c r="C973" s="43">
        <f>INDEX(MvObj,16)</f>
      </c>
      <c r="D973"/>
      <c r="E973" s="43">
        <f>IF(INDEX(MvBeginn,16)="",0,IF(OR(DATE(Jahr,1,15)&lt;INDEX(MvBeginn,16),AND(INDEX(MvEnde,16)&gt;0,DATE(Jahr,1,15)&gt;INDEX(MvEnde,16))),0,IF(DATE(Jahr,1,15)&gt;=INDEX(MvKey3,16),INDEX(MvNkV3,16),IF(DATE(Jahr,1,15)&gt;=INDEX(MvKey2,16),INDEX(MvNkV2,16),IF(DATE(Jahr,1,15)&gt;=INDEX(MvKey1,16),INDEX(MvNkV1,16),0)))))</f>
      </c>
      <c r="F973" s="43">
        <f>IF(INDEX(MvBeginn,16)="",0,IF(OR(DATE(Jahr,2,15)&lt;INDEX(MvBeginn,16),AND(INDEX(MvEnde,16)&gt;0,DATE(Jahr,2,15)&gt;INDEX(MvEnde,16))),0,IF(DATE(Jahr,2,15)&gt;=INDEX(MvKey3,16),INDEX(MvNkV3,16),IF(DATE(Jahr,2,15)&gt;=INDEX(MvKey2,16),INDEX(MvNkV2,16),IF(DATE(Jahr,2,15)&gt;=INDEX(MvKey1,16),INDEX(MvNkV1,16),0)))))</f>
      </c>
      <c r="G973" s="43">
        <f>IF(INDEX(MvBeginn,16)="",0,IF(OR(DATE(Jahr,3,15)&lt;INDEX(MvBeginn,16),AND(INDEX(MvEnde,16)&gt;0,DATE(Jahr,3,15)&gt;INDEX(MvEnde,16))),0,IF(DATE(Jahr,3,15)&gt;=INDEX(MvKey3,16),INDEX(MvNkV3,16),IF(DATE(Jahr,3,15)&gt;=INDEX(MvKey2,16),INDEX(MvNkV2,16),IF(DATE(Jahr,3,15)&gt;=INDEX(MvKey1,16),INDEX(MvNkV1,16),0)))))</f>
      </c>
      <c r="H973" s="43">
        <f>IF(INDEX(MvBeginn,16)="",0,IF(OR(DATE(Jahr,4,15)&lt;INDEX(MvBeginn,16),AND(INDEX(MvEnde,16)&gt;0,DATE(Jahr,4,15)&gt;INDEX(MvEnde,16))),0,IF(DATE(Jahr,4,15)&gt;=INDEX(MvKey3,16),INDEX(MvNkV3,16),IF(DATE(Jahr,4,15)&gt;=INDEX(MvKey2,16),INDEX(MvNkV2,16),IF(DATE(Jahr,4,15)&gt;=INDEX(MvKey1,16),INDEX(MvNkV1,16),0)))))</f>
      </c>
      <c r="I973" s="43">
        <f>IF(INDEX(MvBeginn,16)="",0,IF(OR(DATE(Jahr,5,15)&lt;INDEX(MvBeginn,16),AND(INDEX(MvEnde,16)&gt;0,DATE(Jahr,5,15)&gt;INDEX(MvEnde,16))),0,IF(DATE(Jahr,5,15)&gt;=INDEX(MvKey3,16),INDEX(MvNkV3,16),IF(DATE(Jahr,5,15)&gt;=INDEX(MvKey2,16),INDEX(MvNkV2,16),IF(DATE(Jahr,5,15)&gt;=INDEX(MvKey1,16),INDEX(MvNkV1,16),0)))))</f>
      </c>
      <c r="J973" s="43">
        <f>IF(INDEX(MvBeginn,16)="",0,IF(OR(DATE(Jahr,6,15)&lt;INDEX(MvBeginn,16),AND(INDEX(MvEnde,16)&gt;0,DATE(Jahr,6,15)&gt;INDEX(MvEnde,16))),0,IF(DATE(Jahr,6,15)&gt;=INDEX(MvKey3,16),INDEX(MvNkV3,16),IF(DATE(Jahr,6,15)&gt;=INDEX(MvKey2,16),INDEX(MvNkV2,16),IF(DATE(Jahr,6,15)&gt;=INDEX(MvKey1,16),INDEX(MvNkV1,16),0)))))</f>
      </c>
      <c r="K973" s="43">
        <f>IF(INDEX(MvBeginn,16)="",0,IF(OR(DATE(Jahr,7,15)&lt;INDEX(MvBeginn,16),AND(INDEX(MvEnde,16)&gt;0,DATE(Jahr,7,15)&gt;INDEX(MvEnde,16))),0,IF(DATE(Jahr,7,15)&gt;=INDEX(MvKey3,16),INDEX(MvNkV3,16),IF(DATE(Jahr,7,15)&gt;=INDEX(MvKey2,16),INDEX(MvNkV2,16),IF(DATE(Jahr,7,15)&gt;=INDEX(MvKey1,16),INDEX(MvNkV1,16),0)))))</f>
      </c>
      <c r="L973" s="43">
        <f>IF(INDEX(MvBeginn,16)="",0,IF(OR(DATE(Jahr,8,15)&lt;INDEX(MvBeginn,16),AND(INDEX(MvEnde,16)&gt;0,DATE(Jahr,8,15)&gt;INDEX(MvEnde,16))),0,IF(DATE(Jahr,8,15)&gt;=INDEX(MvKey3,16),INDEX(MvNkV3,16),IF(DATE(Jahr,8,15)&gt;=INDEX(MvKey2,16),INDEX(MvNkV2,16),IF(DATE(Jahr,8,15)&gt;=INDEX(MvKey1,16),INDEX(MvNkV1,16),0)))))</f>
      </c>
      <c r="M973" s="43">
        <f>IF(INDEX(MvBeginn,16)="",0,IF(OR(DATE(Jahr,9,15)&lt;INDEX(MvBeginn,16),AND(INDEX(MvEnde,16)&gt;0,DATE(Jahr,9,15)&gt;INDEX(MvEnde,16))),0,IF(DATE(Jahr,9,15)&gt;=INDEX(MvKey3,16),INDEX(MvNkV3,16),IF(DATE(Jahr,9,15)&gt;=INDEX(MvKey2,16),INDEX(MvNkV2,16),IF(DATE(Jahr,9,15)&gt;=INDEX(MvKey1,16),INDEX(MvNkV1,16),0)))))</f>
      </c>
      <c r="N973" s="43">
        <f>IF(INDEX(MvBeginn,16)="",0,IF(OR(DATE(Jahr,10,15)&lt;INDEX(MvBeginn,16),AND(INDEX(MvEnde,16)&gt;0,DATE(Jahr,10,15)&gt;INDEX(MvEnde,16))),0,IF(DATE(Jahr,10,15)&gt;=INDEX(MvKey3,16),INDEX(MvNkV3,16),IF(DATE(Jahr,10,15)&gt;=INDEX(MvKey2,16),INDEX(MvNkV2,16),IF(DATE(Jahr,10,15)&gt;=INDEX(MvKey1,16),INDEX(MvNkV1,16),0)))))</f>
      </c>
      <c r="O973" s="43">
        <f>IF(INDEX(MvBeginn,16)="",0,IF(OR(DATE(Jahr,11,15)&lt;INDEX(MvBeginn,16),AND(INDEX(MvEnde,16)&gt;0,DATE(Jahr,11,15)&gt;INDEX(MvEnde,16))),0,IF(DATE(Jahr,11,15)&gt;=INDEX(MvKey3,16),INDEX(MvNkV3,16),IF(DATE(Jahr,11,15)&gt;=INDEX(MvKey2,16),INDEX(MvNkV2,16),IF(DATE(Jahr,11,15)&gt;=INDEX(MvKey1,16),INDEX(MvNkV1,16),0)))))</f>
      </c>
      <c r="P973" s="43">
        <f>IF(INDEX(MvBeginn,16)="",0,IF(OR(DATE(Jahr,12,15)&lt;INDEX(MvBeginn,16),AND(INDEX(MvEnde,16)&gt;0,DATE(Jahr,12,15)&gt;INDEX(MvEnde,16))),0,IF(DATE(Jahr,12,15)&gt;=INDEX(MvKey3,16),INDEX(MvNkV3,16),IF(DATE(Jahr,12,15)&gt;=INDEX(MvKey2,16),INDEX(MvNkV2,16),IF(DATE(Jahr,12,15)&gt;=INDEX(MvKey1,16),INDEX(MvNkV1,16),0)))))</f>
      </c>
    </row>
    <row r="974">
      <c r="A974"/>
      <c r="B974">
        <v>17</v>
      </c>
      <c r="C974" s="43">
        <f>INDEX(MvObj,17)</f>
      </c>
      <c r="D974"/>
      <c r="E974" s="43">
        <f>IF(INDEX(MvBeginn,17)="",0,IF(OR(DATE(Jahr,1,15)&lt;INDEX(MvBeginn,17),AND(INDEX(MvEnde,17)&gt;0,DATE(Jahr,1,15)&gt;INDEX(MvEnde,17))),0,IF(DATE(Jahr,1,15)&gt;=INDEX(MvKey3,17),INDEX(MvNkV3,17),IF(DATE(Jahr,1,15)&gt;=INDEX(MvKey2,17),INDEX(MvNkV2,17),IF(DATE(Jahr,1,15)&gt;=INDEX(MvKey1,17),INDEX(MvNkV1,17),0)))))</f>
      </c>
      <c r="F974" s="43">
        <f>IF(INDEX(MvBeginn,17)="",0,IF(OR(DATE(Jahr,2,15)&lt;INDEX(MvBeginn,17),AND(INDEX(MvEnde,17)&gt;0,DATE(Jahr,2,15)&gt;INDEX(MvEnde,17))),0,IF(DATE(Jahr,2,15)&gt;=INDEX(MvKey3,17),INDEX(MvNkV3,17),IF(DATE(Jahr,2,15)&gt;=INDEX(MvKey2,17),INDEX(MvNkV2,17),IF(DATE(Jahr,2,15)&gt;=INDEX(MvKey1,17),INDEX(MvNkV1,17),0)))))</f>
      </c>
      <c r="G974" s="43">
        <f>IF(INDEX(MvBeginn,17)="",0,IF(OR(DATE(Jahr,3,15)&lt;INDEX(MvBeginn,17),AND(INDEX(MvEnde,17)&gt;0,DATE(Jahr,3,15)&gt;INDEX(MvEnde,17))),0,IF(DATE(Jahr,3,15)&gt;=INDEX(MvKey3,17),INDEX(MvNkV3,17),IF(DATE(Jahr,3,15)&gt;=INDEX(MvKey2,17),INDEX(MvNkV2,17),IF(DATE(Jahr,3,15)&gt;=INDEX(MvKey1,17),INDEX(MvNkV1,17),0)))))</f>
      </c>
      <c r="H974" s="43">
        <f>IF(INDEX(MvBeginn,17)="",0,IF(OR(DATE(Jahr,4,15)&lt;INDEX(MvBeginn,17),AND(INDEX(MvEnde,17)&gt;0,DATE(Jahr,4,15)&gt;INDEX(MvEnde,17))),0,IF(DATE(Jahr,4,15)&gt;=INDEX(MvKey3,17),INDEX(MvNkV3,17),IF(DATE(Jahr,4,15)&gt;=INDEX(MvKey2,17),INDEX(MvNkV2,17),IF(DATE(Jahr,4,15)&gt;=INDEX(MvKey1,17),INDEX(MvNkV1,17),0)))))</f>
      </c>
      <c r="I974" s="43">
        <f>IF(INDEX(MvBeginn,17)="",0,IF(OR(DATE(Jahr,5,15)&lt;INDEX(MvBeginn,17),AND(INDEX(MvEnde,17)&gt;0,DATE(Jahr,5,15)&gt;INDEX(MvEnde,17))),0,IF(DATE(Jahr,5,15)&gt;=INDEX(MvKey3,17),INDEX(MvNkV3,17),IF(DATE(Jahr,5,15)&gt;=INDEX(MvKey2,17),INDEX(MvNkV2,17),IF(DATE(Jahr,5,15)&gt;=INDEX(MvKey1,17),INDEX(MvNkV1,17),0)))))</f>
      </c>
      <c r="J974" s="43">
        <f>IF(INDEX(MvBeginn,17)="",0,IF(OR(DATE(Jahr,6,15)&lt;INDEX(MvBeginn,17),AND(INDEX(MvEnde,17)&gt;0,DATE(Jahr,6,15)&gt;INDEX(MvEnde,17))),0,IF(DATE(Jahr,6,15)&gt;=INDEX(MvKey3,17),INDEX(MvNkV3,17),IF(DATE(Jahr,6,15)&gt;=INDEX(MvKey2,17),INDEX(MvNkV2,17),IF(DATE(Jahr,6,15)&gt;=INDEX(MvKey1,17),INDEX(MvNkV1,17),0)))))</f>
      </c>
      <c r="K974" s="43">
        <f>IF(INDEX(MvBeginn,17)="",0,IF(OR(DATE(Jahr,7,15)&lt;INDEX(MvBeginn,17),AND(INDEX(MvEnde,17)&gt;0,DATE(Jahr,7,15)&gt;INDEX(MvEnde,17))),0,IF(DATE(Jahr,7,15)&gt;=INDEX(MvKey3,17),INDEX(MvNkV3,17),IF(DATE(Jahr,7,15)&gt;=INDEX(MvKey2,17),INDEX(MvNkV2,17),IF(DATE(Jahr,7,15)&gt;=INDEX(MvKey1,17),INDEX(MvNkV1,17),0)))))</f>
      </c>
      <c r="L974" s="43">
        <f>IF(INDEX(MvBeginn,17)="",0,IF(OR(DATE(Jahr,8,15)&lt;INDEX(MvBeginn,17),AND(INDEX(MvEnde,17)&gt;0,DATE(Jahr,8,15)&gt;INDEX(MvEnde,17))),0,IF(DATE(Jahr,8,15)&gt;=INDEX(MvKey3,17),INDEX(MvNkV3,17),IF(DATE(Jahr,8,15)&gt;=INDEX(MvKey2,17),INDEX(MvNkV2,17),IF(DATE(Jahr,8,15)&gt;=INDEX(MvKey1,17),INDEX(MvNkV1,17),0)))))</f>
      </c>
      <c r="M974" s="43">
        <f>IF(INDEX(MvBeginn,17)="",0,IF(OR(DATE(Jahr,9,15)&lt;INDEX(MvBeginn,17),AND(INDEX(MvEnde,17)&gt;0,DATE(Jahr,9,15)&gt;INDEX(MvEnde,17))),0,IF(DATE(Jahr,9,15)&gt;=INDEX(MvKey3,17),INDEX(MvNkV3,17),IF(DATE(Jahr,9,15)&gt;=INDEX(MvKey2,17),INDEX(MvNkV2,17),IF(DATE(Jahr,9,15)&gt;=INDEX(MvKey1,17),INDEX(MvNkV1,17),0)))))</f>
      </c>
      <c r="N974" s="43">
        <f>IF(INDEX(MvBeginn,17)="",0,IF(OR(DATE(Jahr,10,15)&lt;INDEX(MvBeginn,17),AND(INDEX(MvEnde,17)&gt;0,DATE(Jahr,10,15)&gt;INDEX(MvEnde,17))),0,IF(DATE(Jahr,10,15)&gt;=INDEX(MvKey3,17),INDEX(MvNkV3,17),IF(DATE(Jahr,10,15)&gt;=INDEX(MvKey2,17),INDEX(MvNkV2,17),IF(DATE(Jahr,10,15)&gt;=INDEX(MvKey1,17),INDEX(MvNkV1,17),0)))))</f>
      </c>
      <c r="O974" s="43">
        <f>IF(INDEX(MvBeginn,17)="",0,IF(OR(DATE(Jahr,11,15)&lt;INDEX(MvBeginn,17),AND(INDEX(MvEnde,17)&gt;0,DATE(Jahr,11,15)&gt;INDEX(MvEnde,17))),0,IF(DATE(Jahr,11,15)&gt;=INDEX(MvKey3,17),INDEX(MvNkV3,17),IF(DATE(Jahr,11,15)&gt;=INDEX(MvKey2,17),INDEX(MvNkV2,17),IF(DATE(Jahr,11,15)&gt;=INDEX(MvKey1,17),INDEX(MvNkV1,17),0)))))</f>
      </c>
      <c r="P974" s="43">
        <f>IF(INDEX(MvBeginn,17)="",0,IF(OR(DATE(Jahr,12,15)&lt;INDEX(MvBeginn,17),AND(INDEX(MvEnde,17)&gt;0,DATE(Jahr,12,15)&gt;INDEX(MvEnde,17))),0,IF(DATE(Jahr,12,15)&gt;=INDEX(MvKey3,17),INDEX(MvNkV3,17),IF(DATE(Jahr,12,15)&gt;=INDEX(MvKey2,17),INDEX(MvNkV2,17),IF(DATE(Jahr,12,15)&gt;=INDEX(MvKey1,17),INDEX(MvNkV1,17),0)))))</f>
      </c>
    </row>
    <row r="975">
      <c r="A975"/>
      <c r="B975">
        <v>18</v>
      </c>
      <c r="C975" s="43">
        <f>INDEX(MvObj,18)</f>
      </c>
      <c r="D975"/>
      <c r="E975" s="43">
        <f>IF(INDEX(MvBeginn,18)="",0,IF(OR(DATE(Jahr,1,15)&lt;INDEX(MvBeginn,18),AND(INDEX(MvEnde,18)&gt;0,DATE(Jahr,1,15)&gt;INDEX(MvEnde,18))),0,IF(DATE(Jahr,1,15)&gt;=INDEX(MvKey3,18),INDEX(MvNkV3,18),IF(DATE(Jahr,1,15)&gt;=INDEX(MvKey2,18),INDEX(MvNkV2,18),IF(DATE(Jahr,1,15)&gt;=INDEX(MvKey1,18),INDEX(MvNkV1,18),0)))))</f>
      </c>
      <c r="F975" s="43">
        <f>IF(INDEX(MvBeginn,18)="",0,IF(OR(DATE(Jahr,2,15)&lt;INDEX(MvBeginn,18),AND(INDEX(MvEnde,18)&gt;0,DATE(Jahr,2,15)&gt;INDEX(MvEnde,18))),0,IF(DATE(Jahr,2,15)&gt;=INDEX(MvKey3,18),INDEX(MvNkV3,18),IF(DATE(Jahr,2,15)&gt;=INDEX(MvKey2,18),INDEX(MvNkV2,18),IF(DATE(Jahr,2,15)&gt;=INDEX(MvKey1,18),INDEX(MvNkV1,18),0)))))</f>
      </c>
      <c r="G975" s="43">
        <f>IF(INDEX(MvBeginn,18)="",0,IF(OR(DATE(Jahr,3,15)&lt;INDEX(MvBeginn,18),AND(INDEX(MvEnde,18)&gt;0,DATE(Jahr,3,15)&gt;INDEX(MvEnde,18))),0,IF(DATE(Jahr,3,15)&gt;=INDEX(MvKey3,18),INDEX(MvNkV3,18),IF(DATE(Jahr,3,15)&gt;=INDEX(MvKey2,18),INDEX(MvNkV2,18),IF(DATE(Jahr,3,15)&gt;=INDEX(MvKey1,18),INDEX(MvNkV1,18),0)))))</f>
      </c>
      <c r="H975" s="43">
        <f>IF(INDEX(MvBeginn,18)="",0,IF(OR(DATE(Jahr,4,15)&lt;INDEX(MvBeginn,18),AND(INDEX(MvEnde,18)&gt;0,DATE(Jahr,4,15)&gt;INDEX(MvEnde,18))),0,IF(DATE(Jahr,4,15)&gt;=INDEX(MvKey3,18),INDEX(MvNkV3,18),IF(DATE(Jahr,4,15)&gt;=INDEX(MvKey2,18),INDEX(MvNkV2,18),IF(DATE(Jahr,4,15)&gt;=INDEX(MvKey1,18),INDEX(MvNkV1,18),0)))))</f>
      </c>
      <c r="I975" s="43">
        <f>IF(INDEX(MvBeginn,18)="",0,IF(OR(DATE(Jahr,5,15)&lt;INDEX(MvBeginn,18),AND(INDEX(MvEnde,18)&gt;0,DATE(Jahr,5,15)&gt;INDEX(MvEnde,18))),0,IF(DATE(Jahr,5,15)&gt;=INDEX(MvKey3,18),INDEX(MvNkV3,18),IF(DATE(Jahr,5,15)&gt;=INDEX(MvKey2,18),INDEX(MvNkV2,18),IF(DATE(Jahr,5,15)&gt;=INDEX(MvKey1,18),INDEX(MvNkV1,18),0)))))</f>
      </c>
      <c r="J975" s="43">
        <f>IF(INDEX(MvBeginn,18)="",0,IF(OR(DATE(Jahr,6,15)&lt;INDEX(MvBeginn,18),AND(INDEX(MvEnde,18)&gt;0,DATE(Jahr,6,15)&gt;INDEX(MvEnde,18))),0,IF(DATE(Jahr,6,15)&gt;=INDEX(MvKey3,18),INDEX(MvNkV3,18),IF(DATE(Jahr,6,15)&gt;=INDEX(MvKey2,18),INDEX(MvNkV2,18),IF(DATE(Jahr,6,15)&gt;=INDEX(MvKey1,18),INDEX(MvNkV1,18),0)))))</f>
      </c>
      <c r="K975" s="43">
        <f>IF(INDEX(MvBeginn,18)="",0,IF(OR(DATE(Jahr,7,15)&lt;INDEX(MvBeginn,18),AND(INDEX(MvEnde,18)&gt;0,DATE(Jahr,7,15)&gt;INDEX(MvEnde,18))),0,IF(DATE(Jahr,7,15)&gt;=INDEX(MvKey3,18),INDEX(MvNkV3,18),IF(DATE(Jahr,7,15)&gt;=INDEX(MvKey2,18),INDEX(MvNkV2,18),IF(DATE(Jahr,7,15)&gt;=INDEX(MvKey1,18),INDEX(MvNkV1,18),0)))))</f>
      </c>
      <c r="L975" s="43">
        <f>IF(INDEX(MvBeginn,18)="",0,IF(OR(DATE(Jahr,8,15)&lt;INDEX(MvBeginn,18),AND(INDEX(MvEnde,18)&gt;0,DATE(Jahr,8,15)&gt;INDEX(MvEnde,18))),0,IF(DATE(Jahr,8,15)&gt;=INDEX(MvKey3,18),INDEX(MvNkV3,18),IF(DATE(Jahr,8,15)&gt;=INDEX(MvKey2,18),INDEX(MvNkV2,18),IF(DATE(Jahr,8,15)&gt;=INDEX(MvKey1,18),INDEX(MvNkV1,18),0)))))</f>
      </c>
      <c r="M975" s="43">
        <f>IF(INDEX(MvBeginn,18)="",0,IF(OR(DATE(Jahr,9,15)&lt;INDEX(MvBeginn,18),AND(INDEX(MvEnde,18)&gt;0,DATE(Jahr,9,15)&gt;INDEX(MvEnde,18))),0,IF(DATE(Jahr,9,15)&gt;=INDEX(MvKey3,18),INDEX(MvNkV3,18),IF(DATE(Jahr,9,15)&gt;=INDEX(MvKey2,18),INDEX(MvNkV2,18),IF(DATE(Jahr,9,15)&gt;=INDEX(MvKey1,18),INDEX(MvNkV1,18),0)))))</f>
      </c>
      <c r="N975" s="43">
        <f>IF(INDEX(MvBeginn,18)="",0,IF(OR(DATE(Jahr,10,15)&lt;INDEX(MvBeginn,18),AND(INDEX(MvEnde,18)&gt;0,DATE(Jahr,10,15)&gt;INDEX(MvEnde,18))),0,IF(DATE(Jahr,10,15)&gt;=INDEX(MvKey3,18),INDEX(MvNkV3,18),IF(DATE(Jahr,10,15)&gt;=INDEX(MvKey2,18),INDEX(MvNkV2,18),IF(DATE(Jahr,10,15)&gt;=INDEX(MvKey1,18),INDEX(MvNkV1,18),0)))))</f>
      </c>
      <c r="O975" s="43">
        <f>IF(INDEX(MvBeginn,18)="",0,IF(OR(DATE(Jahr,11,15)&lt;INDEX(MvBeginn,18),AND(INDEX(MvEnde,18)&gt;0,DATE(Jahr,11,15)&gt;INDEX(MvEnde,18))),0,IF(DATE(Jahr,11,15)&gt;=INDEX(MvKey3,18),INDEX(MvNkV3,18),IF(DATE(Jahr,11,15)&gt;=INDEX(MvKey2,18),INDEX(MvNkV2,18),IF(DATE(Jahr,11,15)&gt;=INDEX(MvKey1,18),INDEX(MvNkV1,18),0)))))</f>
      </c>
      <c r="P975" s="43">
        <f>IF(INDEX(MvBeginn,18)="",0,IF(OR(DATE(Jahr,12,15)&lt;INDEX(MvBeginn,18),AND(INDEX(MvEnde,18)&gt;0,DATE(Jahr,12,15)&gt;INDEX(MvEnde,18))),0,IF(DATE(Jahr,12,15)&gt;=INDEX(MvKey3,18),INDEX(MvNkV3,18),IF(DATE(Jahr,12,15)&gt;=INDEX(MvKey2,18),INDEX(MvNkV2,18),IF(DATE(Jahr,12,15)&gt;=INDEX(MvKey1,18),INDEX(MvNkV1,18),0)))))</f>
      </c>
    </row>
    <row r="976">
      <c r="A976"/>
      <c r="B976">
        <v>19</v>
      </c>
      <c r="C976" s="43">
        <f>INDEX(MvObj,19)</f>
      </c>
      <c r="D976"/>
      <c r="E976" s="43">
        <f>IF(INDEX(MvBeginn,19)="",0,IF(OR(DATE(Jahr,1,15)&lt;INDEX(MvBeginn,19),AND(INDEX(MvEnde,19)&gt;0,DATE(Jahr,1,15)&gt;INDEX(MvEnde,19))),0,IF(DATE(Jahr,1,15)&gt;=INDEX(MvKey3,19),INDEX(MvNkV3,19),IF(DATE(Jahr,1,15)&gt;=INDEX(MvKey2,19),INDEX(MvNkV2,19),IF(DATE(Jahr,1,15)&gt;=INDEX(MvKey1,19),INDEX(MvNkV1,19),0)))))</f>
      </c>
      <c r="F976" s="43">
        <f>IF(INDEX(MvBeginn,19)="",0,IF(OR(DATE(Jahr,2,15)&lt;INDEX(MvBeginn,19),AND(INDEX(MvEnde,19)&gt;0,DATE(Jahr,2,15)&gt;INDEX(MvEnde,19))),0,IF(DATE(Jahr,2,15)&gt;=INDEX(MvKey3,19),INDEX(MvNkV3,19),IF(DATE(Jahr,2,15)&gt;=INDEX(MvKey2,19),INDEX(MvNkV2,19),IF(DATE(Jahr,2,15)&gt;=INDEX(MvKey1,19),INDEX(MvNkV1,19),0)))))</f>
      </c>
      <c r="G976" s="43">
        <f>IF(INDEX(MvBeginn,19)="",0,IF(OR(DATE(Jahr,3,15)&lt;INDEX(MvBeginn,19),AND(INDEX(MvEnde,19)&gt;0,DATE(Jahr,3,15)&gt;INDEX(MvEnde,19))),0,IF(DATE(Jahr,3,15)&gt;=INDEX(MvKey3,19),INDEX(MvNkV3,19),IF(DATE(Jahr,3,15)&gt;=INDEX(MvKey2,19),INDEX(MvNkV2,19),IF(DATE(Jahr,3,15)&gt;=INDEX(MvKey1,19),INDEX(MvNkV1,19),0)))))</f>
      </c>
      <c r="H976" s="43">
        <f>IF(INDEX(MvBeginn,19)="",0,IF(OR(DATE(Jahr,4,15)&lt;INDEX(MvBeginn,19),AND(INDEX(MvEnde,19)&gt;0,DATE(Jahr,4,15)&gt;INDEX(MvEnde,19))),0,IF(DATE(Jahr,4,15)&gt;=INDEX(MvKey3,19),INDEX(MvNkV3,19),IF(DATE(Jahr,4,15)&gt;=INDEX(MvKey2,19),INDEX(MvNkV2,19),IF(DATE(Jahr,4,15)&gt;=INDEX(MvKey1,19),INDEX(MvNkV1,19),0)))))</f>
      </c>
      <c r="I976" s="43">
        <f>IF(INDEX(MvBeginn,19)="",0,IF(OR(DATE(Jahr,5,15)&lt;INDEX(MvBeginn,19),AND(INDEX(MvEnde,19)&gt;0,DATE(Jahr,5,15)&gt;INDEX(MvEnde,19))),0,IF(DATE(Jahr,5,15)&gt;=INDEX(MvKey3,19),INDEX(MvNkV3,19),IF(DATE(Jahr,5,15)&gt;=INDEX(MvKey2,19),INDEX(MvNkV2,19),IF(DATE(Jahr,5,15)&gt;=INDEX(MvKey1,19),INDEX(MvNkV1,19),0)))))</f>
      </c>
      <c r="J976" s="43">
        <f>IF(INDEX(MvBeginn,19)="",0,IF(OR(DATE(Jahr,6,15)&lt;INDEX(MvBeginn,19),AND(INDEX(MvEnde,19)&gt;0,DATE(Jahr,6,15)&gt;INDEX(MvEnde,19))),0,IF(DATE(Jahr,6,15)&gt;=INDEX(MvKey3,19),INDEX(MvNkV3,19),IF(DATE(Jahr,6,15)&gt;=INDEX(MvKey2,19),INDEX(MvNkV2,19),IF(DATE(Jahr,6,15)&gt;=INDEX(MvKey1,19),INDEX(MvNkV1,19),0)))))</f>
      </c>
      <c r="K976" s="43">
        <f>IF(INDEX(MvBeginn,19)="",0,IF(OR(DATE(Jahr,7,15)&lt;INDEX(MvBeginn,19),AND(INDEX(MvEnde,19)&gt;0,DATE(Jahr,7,15)&gt;INDEX(MvEnde,19))),0,IF(DATE(Jahr,7,15)&gt;=INDEX(MvKey3,19),INDEX(MvNkV3,19),IF(DATE(Jahr,7,15)&gt;=INDEX(MvKey2,19),INDEX(MvNkV2,19),IF(DATE(Jahr,7,15)&gt;=INDEX(MvKey1,19),INDEX(MvNkV1,19),0)))))</f>
      </c>
      <c r="L976" s="43">
        <f>IF(INDEX(MvBeginn,19)="",0,IF(OR(DATE(Jahr,8,15)&lt;INDEX(MvBeginn,19),AND(INDEX(MvEnde,19)&gt;0,DATE(Jahr,8,15)&gt;INDEX(MvEnde,19))),0,IF(DATE(Jahr,8,15)&gt;=INDEX(MvKey3,19),INDEX(MvNkV3,19),IF(DATE(Jahr,8,15)&gt;=INDEX(MvKey2,19),INDEX(MvNkV2,19),IF(DATE(Jahr,8,15)&gt;=INDEX(MvKey1,19),INDEX(MvNkV1,19),0)))))</f>
      </c>
      <c r="M976" s="43">
        <f>IF(INDEX(MvBeginn,19)="",0,IF(OR(DATE(Jahr,9,15)&lt;INDEX(MvBeginn,19),AND(INDEX(MvEnde,19)&gt;0,DATE(Jahr,9,15)&gt;INDEX(MvEnde,19))),0,IF(DATE(Jahr,9,15)&gt;=INDEX(MvKey3,19),INDEX(MvNkV3,19),IF(DATE(Jahr,9,15)&gt;=INDEX(MvKey2,19),INDEX(MvNkV2,19),IF(DATE(Jahr,9,15)&gt;=INDEX(MvKey1,19),INDEX(MvNkV1,19),0)))))</f>
      </c>
      <c r="N976" s="43">
        <f>IF(INDEX(MvBeginn,19)="",0,IF(OR(DATE(Jahr,10,15)&lt;INDEX(MvBeginn,19),AND(INDEX(MvEnde,19)&gt;0,DATE(Jahr,10,15)&gt;INDEX(MvEnde,19))),0,IF(DATE(Jahr,10,15)&gt;=INDEX(MvKey3,19),INDEX(MvNkV3,19),IF(DATE(Jahr,10,15)&gt;=INDEX(MvKey2,19),INDEX(MvNkV2,19),IF(DATE(Jahr,10,15)&gt;=INDEX(MvKey1,19),INDEX(MvNkV1,19),0)))))</f>
      </c>
      <c r="O976" s="43">
        <f>IF(INDEX(MvBeginn,19)="",0,IF(OR(DATE(Jahr,11,15)&lt;INDEX(MvBeginn,19),AND(INDEX(MvEnde,19)&gt;0,DATE(Jahr,11,15)&gt;INDEX(MvEnde,19))),0,IF(DATE(Jahr,11,15)&gt;=INDEX(MvKey3,19),INDEX(MvNkV3,19),IF(DATE(Jahr,11,15)&gt;=INDEX(MvKey2,19),INDEX(MvNkV2,19),IF(DATE(Jahr,11,15)&gt;=INDEX(MvKey1,19),INDEX(MvNkV1,19),0)))))</f>
      </c>
      <c r="P976" s="43">
        <f>IF(INDEX(MvBeginn,19)="",0,IF(OR(DATE(Jahr,12,15)&lt;INDEX(MvBeginn,19),AND(INDEX(MvEnde,19)&gt;0,DATE(Jahr,12,15)&gt;INDEX(MvEnde,19))),0,IF(DATE(Jahr,12,15)&gt;=INDEX(MvKey3,19),INDEX(MvNkV3,19),IF(DATE(Jahr,12,15)&gt;=INDEX(MvKey2,19),INDEX(MvNkV2,19),IF(DATE(Jahr,12,15)&gt;=INDEX(MvKey1,19),INDEX(MvNkV1,19),0)))))</f>
      </c>
    </row>
    <row r="977">
      <c r="A977"/>
      <c r="B977">
        <v>20</v>
      </c>
      <c r="C977" s="43">
        <f>INDEX(MvObj,20)</f>
      </c>
      <c r="D977"/>
      <c r="E977" s="43">
        <f>IF(INDEX(MvBeginn,20)="",0,IF(OR(DATE(Jahr,1,15)&lt;INDEX(MvBeginn,20),AND(INDEX(MvEnde,20)&gt;0,DATE(Jahr,1,15)&gt;INDEX(MvEnde,20))),0,IF(DATE(Jahr,1,15)&gt;=INDEX(MvKey3,20),INDEX(MvNkV3,20),IF(DATE(Jahr,1,15)&gt;=INDEX(MvKey2,20),INDEX(MvNkV2,20),IF(DATE(Jahr,1,15)&gt;=INDEX(MvKey1,20),INDEX(MvNkV1,20),0)))))</f>
      </c>
      <c r="F977" s="43">
        <f>IF(INDEX(MvBeginn,20)="",0,IF(OR(DATE(Jahr,2,15)&lt;INDEX(MvBeginn,20),AND(INDEX(MvEnde,20)&gt;0,DATE(Jahr,2,15)&gt;INDEX(MvEnde,20))),0,IF(DATE(Jahr,2,15)&gt;=INDEX(MvKey3,20),INDEX(MvNkV3,20),IF(DATE(Jahr,2,15)&gt;=INDEX(MvKey2,20),INDEX(MvNkV2,20),IF(DATE(Jahr,2,15)&gt;=INDEX(MvKey1,20),INDEX(MvNkV1,20),0)))))</f>
      </c>
      <c r="G977" s="43">
        <f>IF(INDEX(MvBeginn,20)="",0,IF(OR(DATE(Jahr,3,15)&lt;INDEX(MvBeginn,20),AND(INDEX(MvEnde,20)&gt;0,DATE(Jahr,3,15)&gt;INDEX(MvEnde,20))),0,IF(DATE(Jahr,3,15)&gt;=INDEX(MvKey3,20),INDEX(MvNkV3,20),IF(DATE(Jahr,3,15)&gt;=INDEX(MvKey2,20),INDEX(MvNkV2,20),IF(DATE(Jahr,3,15)&gt;=INDEX(MvKey1,20),INDEX(MvNkV1,20),0)))))</f>
      </c>
      <c r="H977" s="43">
        <f>IF(INDEX(MvBeginn,20)="",0,IF(OR(DATE(Jahr,4,15)&lt;INDEX(MvBeginn,20),AND(INDEX(MvEnde,20)&gt;0,DATE(Jahr,4,15)&gt;INDEX(MvEnde,20))),0,IF(DATE(Jahr,4,15)&gt;=INDEX(MvKey3,20),INDEX(MvNkV3,20),IF(DATE(Jahr,4,15)&gt;=INDEX(MvKey2,20),INDEX(MvNkV2,20),IF(DATE(Jahr,4,15)&gt;=INDEX(MvKey1,20),INDEX(MvNkV1,20),0)))))</f>
      </c>
      <c r="I977" s="43">
        <f>IF(INDEX(MvBeginn,20)="",0,IF(OR(DATE(Jahr,5,15)&lt;INDEX(MvBeginn,20),AND(INDEX(MvEnde,20)&gt;0,DATE(Jahr,5,15)&gt;INDEX(MvEnde,20))),0,IF(DATE(Jahr,5,15)&gt;=INDEX(MvKey3,20),INDEX(MvNkV3,20),IF(DATE(Jahr,5,15)&gt;=INDEX(MvKey2,20),INDEX(MvNkV2,20),IF(DATE(Jahr,5,15)&gt;=INDEX(MvKey1,20),INDEX(MvNkV1,20),0)))))</f>
      </c>
      <c r="J977" s="43">
        <f>IF(INDEX(MvBeginn,20)="",0,IF(OR(DATE(Jahr,6,15)&lt;INDEX(MvBeginn,20),AND(INDEX(MvEnde,20)&gt;0,DATE(Jahr,6,15)&gt;INDEX(MvEnde,20))),0,IF(DATE(Jahr,6,15)&gt;=INDEX(MvKey3,20),INDEX(MvNkV3,20),IF(DATE(Jahr,6,15)&gt;=INDEX(MvKey2,20),INDEX(MvNkV2,20),IF(DATE(Jahr,6,15)&gt;=INDEX(MvKey1,20),INDEX(MvNkV1,20),0)))))</f>
      </c>
      <c r="K977" s="43">
        <f>IF(INDEX(MvBeginn,20)="",0,IF(OR(DATE(Jahr,7,15)&lt;INDEX(MvBeginn,20),AND(INDEX(MvEnde,20)&gt;0,DATE(Jahr,7,15)&gt;INDEX(MvEnde,20))),0,IF(DATE(Jahr,7,15)&gt;=INDEX(MvKey3,20),INDEX(MvNkV3,20),IF(DATE(Jahr,7,15)&gt;=INDEX(MvKey2,20),INDEX(MvNkV2,20),IF(DATE(Jahr,7,15)&gt;=INDEX(MvKey1,20),INDEX(MvNkV1,20),0)))))</f>
      </c>
      <c r="L977" s="43">
        <f>IF(INDEX(MvBeginn,20)="",0,IF(OR(DATE(Jahr,8,15)&lt;INDEX(MvBeginn,20),AND(INDEX(MvEnde,20)&gt;0,DATE(Jahr,8,15)&gt;INDEX(MvEnde,20))),0,IF(DATE(Jahr,8,15)&gt;=INDEX(MvKey3,20),INDEX(MvNkV3,20),IF(DATE(Jahr,8,15)&gt;=INDEX(MvKey2,20),INDEX(MvNkV2,20),IF(DATE(Jahr,8,15)&gt;=INDEX(MvKey1,20),INDEX(MvNkV1,20),0)))))</f>
      </c>
      <c r="M977" s="43">
        <f>IF(INDEX(MvBeginn,20)="",0,IF(OR(DATE(Jahr,9,15)&lt;INDEX(MvBeginn,20),AND(INDEX(MvEnde,20)&gt;0,DATE(Jahr,9,15)&gt;INDEX(MvEnde,20))),0,IF(DATE(Jahr,9,15)&gt;=INDEX(MvKey3,20),INDEX(MvNkV3,20),IF(DATE(Jahr,9,15)&gt;=INDEX(MvKey2,20),INDEX(MvNkV2,20),IF(DATE(Jahr,9,15)&gt;=INDEX(MvKey1,20),INDEX(MvNkV1,20),0)))))</f>
      </c>
      <c r="N977" s="43">
        <f>IF(INDEX(MvBeginn,20)="",0,IF(OR(DATE(Jahr,10,15)&lt;INDEX(MvBeginn,20),AND(INDEX(MvEnde,20)&gt;0,DATE(Jahr,10,15)&gt;INDEX(MvEnde,20))),0,IF(DATE(Jahr,10,15)&gt;=INDEX(MvKey3,20),INDEX(MvNkV3,20),IF(DATE(Jahr,10,15)&gt;=INDEX(MvKey2,20),INDEX(MvNkV2,20),IF(DATE(Jahr,10,15)&gt;=INDEX(MvKey1,20),INDEX(MvNkV1,20),0)))))</f>
      </c>
      <c r="O977" s="43">
        <f>IF(INDEX(MvBeginn,20)="",0,IF(OR(DATE(Jahr,11,15)&lt;INDEX(MvBeginn,20),AND(INDEX(MvEnde,20)&gt;0,DATE(Jahr,11,15)&gt;INDEX(MvEnde,20))),0,IF(DATE(Jahr,11,15)&gt;=INDEX(MvKey3,20),INDEX(MvNkV3,20),IF(DATE(Jahr,11,15)&gt;=INDEX(MvKey2,20),INDEX(MvNkV2,20),IF(DATE(Jahr,11,15)&gt;=INDEX(MvKey1,20),INDEX(MvNkV1,20),0)))))</f>
      </c>
      <c r="P977" s="43">
        <f>IF(INDEX(MvBeginn,20)="",0,IF(OR(DATE(Jahr,12,15)&lt;INDEX(MvBeginn,20),AND(INDEX(MvEnde,20)&gt;0,DATE(Jahr,12,15)&gt;INDEX(MvEnde,20))),0,IF(DATE(Jahr,12,15)&gt;=INDEX(MvKey3,20),INDEX(MvNkV3,20),IF(DATE(Jahr,12,15)&gt;=INDEX(MvKey2,20),INDEX(MvNkV2,20),IF(DATE(Jahr,12,15)&gt;=INDEX(MvKey1,20),INDEX(MvNkV1,20),0)))))</f>
      </c>
    </row>
    <row r="978">
      <c r="A978"/>
      <c r="B978">
        <v>21</v>
      </c>
      <c r="C978" s="43">
        <f>INDEX(MvObj,21)</f>
      </c>
      <c r="D978"/>
      <c r="E978" s="43">
        <f>IF(INDEX(MvBeginn,21)="",0,IF(OR(DATE(Jahr,1,15)&lt;INDEX(MvBeginn,21),AND(INDEX(MvEnde,21)&gt;0,DATE(Jahr,1,15)&gt;INDEX(MvEnde,21))),0,IF(DATE(Jahr,1,15)&gt;=INDEX(MvKey3,21),INDEX(MvNkV3,21),IF(DATE(Jahr,1,15)&gt;=INDEX(MvKey2,21),INDEX(MvNkV2,21),IF(DATE(Jahr,1,15)&gt;=INDEX(MvKey1,21),INDEX(MvNkV1,21),0)))))</f>
      </c>
      <c r="F978" s="43">
        <f>IF(INDEX(MvBeginn,21)="",0,IF(OR(DATE(Jahr,2,15)&lt;INDEX(MvBeginn,21),AND(INDEX(MvEnde,21)&gt;0,DATE(Jahr,2,15)&gt;INDEX(MvEnde,21))),0,IF(DATE(Jahr,2,15)&gt;=INDEX(MvKey3,21),INDEX(MvNkV3,21),IF(DATE(Jahr,2,15)&gt;=INDEX(MvKey2,21),INDEX(MvNkV2,21),IF(DATE(Jahr,2,15)&gt;=INDEX(MvKey1,21),INDEX(MvNkV1,21),0)))))</f>
      </c>
      <c r="G978" s="43">
        <f>IF(INDEX(MvBeginn,21)="",0,IF(OR(DATE(Jahr,3,15)&lt;INDEX(MvBeginn,21),AND(INDEX(MvEnde,21)&gt;0,DATE(Jahr,3,15)&gt;INDEX(MvEnde,21))),0,IF(DATE(Jahr,3,15)&gt;=INDEX(MvKey3,21),INDEX(MvNkV3,21),IF(DATE(Jahr,3,15)&gt;=INDEX(MvKey2,21),INDEX(MvNkV2,21),IF(DATE(Jahr,3,15)&gt;=INDEX(MvKey1,21),INDEX(MvNkV1,21),0)))))</f>
      </c>
      <c r="H978" s="43">
        <f>IF(INDEX(MvBeginn,21)="",0,IF(OR(DATE(Jahr,4,15)&lt;INDEX(MvBeginn,21),AND(INDEX(MvEnde,21)&gt;0,DATE(Jahr,4,15)&gt;INDEX(MvEnde,21))),0,IF(DATE(Jahr,4,15)&gt;=INDEX(MvKey3,21),INDEX(MvNkV3,21),IF(DATE(Jahr,4,15)&gt;=INDEX(MvKey2,21),INDEX(MvNkV2,21),IF(DATE(Jahr,4,15)&gt;=INDEX(MvKey1,21),INDEX(MvNkV1,21),0)))))</f>
      </c>
      <c r="I978" s="43">
        <f>IF(INDEX(MvBeginn,21)="",0,IF(OR(DATE(Jahr,5,15)&lt;INDEX(MvBeginn,21),AND(INDEX(MvEnde,21)&gt;0,DATE(Jahr,5,15)&gt;INDEX(MvEnde,21))),0,IF(DATE(Jahr,5,15)&gt;=INDEX(MvKey3,21),INDEX(MvNkV3,21),IF(DATE(Jahr,5,15)&gt;=INDEX(MvKey2,21),INDEX(MvNkV2,21),IF(DATE(Jahr,5,15)&gt;=INDEX(MvKey1,21),INDEX(MvNkV1,21),0)))))</f>
      </c>
      <c r="J978" s="43">
        <f>IF(INDEX(MvBeginn,21)="",0,IF(OR(DATE(Jahr,6,15)&lt;INDEX(MvBeginn,21),AND(INDEX(MvEnde,21)&gt;0,DATE(Jahr,6,15)&gt;INDEX(MvEnde,21))),0,IF(DATE(Jahr,6,15)&gt;=INDEX(MvKey3,21),INDEX(MvNkV3,21),IF(DATE(Jahr,6,15)&gt;=INDEX(MvKey2,21),INDEX(MvNkV2,21),IF(DATE(Jahr,6,15)&gt;=INDEX(MvKey1,21),INDEX(MvNkV1,21),0)))))</f>
      </c>
      <c r="K978" s="43">
        <f>IF(INDEX(MvBeginn,21)="",0,IF(OR(DATE(Jahr,7,15)&lt;INDEX(MvBeginn,21),AND(INDEX(MvEnde,21)&gt;0,DATE(Jahr,7,15)&gt;INDEX(MvEnde,21))),0,IF(DATE(Jahr,7,15)&gt;=INDEX(MvKey3,21),INDEX(MvNkV3,21),IF(DATE(Jahr,7,15)&gt;=INDEX(MvKey2,21),INDEX(MvNkV2,21),IF(DATE(Jahr,7,15)&gt;=INDEX(MvKey1,21),INDEX(MvNkV1,21),0)))))</f>
      </c>
      <c r="L978" s="43">
        <f>IF(INDEX(MvBeginn,21)="",0,IF(OR(DATE(Jahr,8,15)&lt;INDEX(MvBeginn,21),AND(INDEX(MvEnde,21)&gt;0,DATE(Jahr,8,15)&gt;INDEX(MvEnde,21))),0,IF(DATE(Jahr,8,15)&gt;=INDEX(MvKey3,21),INDEX(MvNkV3,21),IF(DATE(Jahr,8,15)&gt;=INDEX(MvKey2,21),INDEX(MvNkV2,21),IF(DATE(Jahr,8,15)&gt;=INDEX(MvKey1,21),INDEX(MvNkV1,21),0)))))</f>
      </c>
      <c r="M978" s="43">
        <f>IF(INDEX(MvBeginn,21)="",0,IF(OR(DATE(Jahr,9,15)&lt;INDEX(MvBeginn,21),AND(INDEX(MvEnde,21)&gt;0,DATE(Jahr,9,15)&gt;INDEX(MvEnde,21))),0,IF(DATE(Jahr,9,15)&gt;=INDEX(MvKey3,21),INDEX(MvNkV3,21),IF(DATE(Jahr,9,15)&gt;=INDEX(MvKey2,21),INDEX(MvNkV2,21),IF(DATE(Jahr,9,15)&gt;=INDEX(MvKey1,21),INDEX(MvNkV1,21),0)))))</f>
      </c>
      <c r="N978" s="43">
        <f>IF(INDEX(MvBeginn,21)="",0,IF(OR(DATE(Jahr,10,15)&lt;INDEX(MvBeginn,21),AND(INDEX(MvEnde,21)&gt;0,DATE(Jahr,10,15)&gt;INDEX(MvEnde,21))),0,IF(DATE(Jahr,10,15)&gt;=INDEX(MvKey3,21),INDEX(MvNkV3,21),IF(DATE(Jahr,10,15)&gt;=INDEX(MvKey2,21),INDEX(MvNkV2,21),IF(DATE(Jahr,10,15)&gt;=INDEX(MvKey1,21),INDEX(MvNkV1,21),0)))))</f>
      </c>
      <c r="O978" s="43">
        <f>IF(INDEX(MvBeginn,21)="",0,IF(OR(DATE(Jahr,11,15)&lt;INDEX(MvBeginn,21),AND(INDEX(MvEnde,21)&gt;0,DATE(Jahr,11,15)&gt;INDEX(MvEnde,21))),0,IF(DATE(Jahr,11,15)&gt;=INDEX(MvKey3,21),INDEX(MvNkV3,21),IF(DATE(Jahr,11,15)&gt;=INDEX(MvKey2,21),INDEX(MvNkV2,21),IF(DATE(Jahr,11,15)&gt;=INDEX(MvKey1,21),INDEX(MvNkV1,21),0)))))</f>
      </c>
      <c r="P978" s="43">
        <f>IF(INDEX(MvBeginn,21)="",0,IF(OR(DATE(Jahr,12,15)&lt;INDEX(MvBeginn,21),AND(INDEX(MvEnde,21)&gt;0,DATE(Jahr,12,15)&gt;INDEX(MvEnde,21))),0,IF(DATE(Jahr,12,15)&gt;=INDEX(MvKey3,21),INDEX(MvNkV3,21),IF(DATE(Jahr,12,15)&gt;=INDEX(MvKey2,21),INDEX(MvNkV2,21),IF(DATE(Jahr,12,15)&gt;=INDEX(MvKey1,21),INDEX(MvNkV1,21),0)))))</f>
      </c>
    </row>
    <row r="979">
      <c r="A979"/>
      <c r="B979">
        <v>22</v>
      </c>
      <c r="C979" s="43">
        <f>INDEX(MvObj,22)</f>
      </c>
      <c r="D979"/>
      <c r="E979" s="43">
        <f>IF(INDEX(MvBeginn,22)="",0,IF(OR(DATE(Jahr,1,15)&lt;INDEX(MvBeginn,22),AND(INDEX(MvEnde,22)&gt;0,DATE(Jahr,1,15)&gt;INDEX(MvEnde,22))),0,IF(DATE(Jahr,1,15)&gt;=INDEX(MvKey3,22),INDEX(MvNkV3,22),IF(DATE(Jahr,1,15)&gt;=INDEX(MvKey2,22),INDEX(MvNkV2,22),IF(DATE(Jahr,1,15)&gt;=INDEX(MvKey1,22),INDEX(MvNkV1,22),0)))))</f>
      </c>
      <c r="F979" s="43">
        <f>IF(INDEX(MvBeginn,22)="",0,IF(OR(DATE(Jahr,2,15)&lt;INDEX(MvBeginn,22),AND(INDEX(MvEnde,22)&gt;0,DATE(Jahr,2,15)&gt;INDEX(MvEnde,22))),0,IF(DATE(Jahr,2,15)&gt;=INDEX(MvKey3,22),INDEX(MvNkV3,22),IF(DATE(Jahr,2,15)&gt;=INDEX(MvKey2,22),INDEX(MvNkV2,22),IF(DATE(Jahr,2,15)&gt;=INDEX(MvKey1,22),INDEX(MvNkV1,22),0)))))</f>
      </c>
      <c r="G979" s="43">
        <f>IF(INDEX(MvBeginn,22)="",0,IF(OR(DATE(Jahr,3,15)&lt;INDEX(MvBeginn,22),AND(INDEX(MvEnde,22)&gt;0,DATE(Jahr,3,15)&gt;INDEX(MvEnde,22))),0,IF(DATE(Jahr,3,15)&gt;=INDEX(MvKey3,22),INDEX(MvNkV3,22),IF(DATE(Jahr,3,15)&gt;=INDEX(MvKey2,22),INDEX(MvNkV2,22),IF(DATE(Jahr,3,15)&gt;=INDEX(MvKey1,22),INDEX(MvNkV1,22),0)))))</f>
      </c>
      <c r="H979" s="43">
        <f>IF(INDEX(MvBeginn,22)="",0,IF(OR(DATE(Jahr,4,15)&lt;INDEX(MvBeginn,22),AND(INDEX(MvEnde,22)&gt;0,DATE(Jahr,4,15)&gt;INDEX(MvEnde,22))),0,IF(DATE(Jahr,4,15)&gt;=INDEX(MvKey3,22),INDEX(MvNkV3,22),IF(DATE(Jahr,4,15)&gt;=INDEX(MvKey2,22),INDEX(MvNkV2,22),IF(DATE(Jahr,4,15)&gt;=INDEX(MvKey1,22),INDEX(MvNkV1,22),0)))))</f>
      </c>
      <c r="I979" s="43">
        <f>IF(INDEX(MvBeginn,22)="",0,IF(OR(DATE(Jahr,5,15)&lt;INDEX(MvBeginn,22),AND(INDEX(MvEnde,22)&gt;0,DATE(Jahr,5,15)&gt;INDEX(MvEnde,22))),0,IF(DATE(Jahr,5,15)&gt;=INDEX(MvKey3,22),INDEX(MvNkV3,22),IF(DATE(Jahr,5,15)&gt;=INDEX(MvKey2,22),INDEX(MvNkV2,22),IF(DATE(Jahr,5,15)&gt;=INDEX(MvKey1,22),INDEX(MvNkV1,22),0)))))</f>
      </c>
      <c r="J979" s="43">
        <f>IF(INDEX(MvBeginn,22)="",0,IF(OR(DATE(Jahr,6,15)&lt;INDEX(MvBeginn,22),AND(INDEX(MvEnde,22)&gt;0,DATE(Jahr,6,15)&gt;INDEX(MvEnde,22))),0,IF(DATE(Jahr,6,15)&gt;=INDEX(MvKey3,22),INDEX(MvNkV3,22),IF(DATE(Jahr,6,15)&gt;=INDEX(MvKey2,22),INDEX(MvNkV2,22),IF(DATE(Jahr,6,15)&gt;=INDEX(MvKey1,22),INDEX(MvNkV1,22),0)))))</f>
      </c>
      <c r="K979" s="43">
        <f>IF(INDEX(MvBeginn,22)="",0,IF(OR(DATE(Jahr,7,15)&lt;INDEX(MvBeginn,22),AND(INDEX(MvEnde,22)&gt;0,DATE(Jahr,7,15)&gt;INDEX(MvEnde,22))),0,IF(DATE(Jahr,7,15)&gt;=INDEX(MvKey3,22),INDEX(MvNkV3,22),IF(DATE(Jahr,7,15)&gt;=INDEX(MvKey2,22),INDEX(MvNkV2,22),IF(DATE(Jahr,7,15)&gt;=INDEX(MvKey1,22),INDEX(MvNkV1,22),0)))))</f>
      </c>
      <c r="L979" s="43">
        <f>IF(INDEX(MvBeginn,22)="",0,IF(OR(DATE(Jahr,8,15)&lt;INDEX(MvBeginn,22),AND(INDEX(MvEnde,22)&gt;0,DATE(Jahr,8,15)&gt;INDEX(MvEnde,22))),0,IF(DATE(Jahr,8,15)&gt;=INDEX(MvKey3,22),INDEX(MvNkV3,22),IF(DATE(Jahr,8,15)&gt;=INDEX(MvKey2,22),INDEX(MvNkV2,22),IF(DATE(Jahr,8,15)&gt;=INDEX(MvKey1,22),INDEX(MvNkV1,22),0)))))</f>
      </c>
      <c r="M979" s="43">
        <f>IF(INDEX(MvBeginn,22)="",0,IF(OR(DATE(Jahr,9,15)&lt;INDEX(MvBeginn,22),AND(INDEX(MvEnde,22)&gt;0,DATE(Jahr,9,15)&gt;INDEX(MvEnde,22))),0,IF(DATE(Jahr,9,15)&gt;=INDEX(MvKey3,22),INDEX(MvNkV3,22),IF(DATE(Jahr,9,15)&gt;=INDEX(MvKey2,22),INDEX(MvNkV2,22),IF(DATE(Jahr,9,15)&gt;=INDEX(MvKey1,22),INDEX(MvNkV1,22),0)))))</f>
      </c>
      <c r="N979" s="43">
        <f>IF(INDEX(MvBeginn,22)="",0,IF(OR(DATE(Jahr,10,15)&lt;INDEX(MvBeginn,22),AND(INDEX(MvEnde,22)&gt;0,DATE(Jahr,10,15)&gt;INDEX(MvEnde,22))),0,IF(DATE(Jahr,10,15)&gt;=INDEX(MvKey3,22),INDEX(MvNkV3,22),IF(DATE(Jahr,10,15)&gt;=INDEX(MvKey2,22),INDEX(MvNkV2,22),IF(DATE(Jahr,10,15)&gt;=INDEX(MvKey1,22),INDEX(MvNkV1,22),0)))))</f>
      </c>
      <c r="O979" s="43">
        <f>IF(INDEX(MvBeginn,22)="",0,IF(OR(DATE(Jahr,11,15)&lt;INDEX(MvBeginn,22),AND(INDEX(MvEnde,22)&gt;0,DATE(Jahr,11,15)&gt;INDEX(MvEnde,22))),0,IF(DATE(Jahr,11,15)&gt;=INDEX(MvKey3,22),INDEX(MvNkV3,22),IF(DATE(Jahr,11,15)&gt;=INDEX(MvKey2,22),INDEX(MvNkV2,22),IF(DATE(Jahr,11,15)&gt;=INDEX(MvKey1,22),INDEX(MvNkV1,22),0)))))</f>
      </c>
      <c r="P979" s="43">
        <f>IF(INDEX(MvBeginn,22)="",0,IF(OR(DATE(Jahr,12,15)&lt;INDEX(MvBeginn,22),AND(INDEX(MvEnde,22)&gt;0,DATE(Jahr,12,15)&gt;INDEX(MvEnde,22))),0,IF(DATE(Jahr,12,15)&gt;=INDEX(MvKey3,22),INDEX(MvNkV3,22),IF(DATE(Jahr,12,15)&gt;=INDEX(MvKey2,22),INDEX(MvNkV2,22),IF(DATE(Jahr,12,15)&gt;=INDEX(MvKey1,22),INDEX(MvNkV1,22),0)))))</f>
      </c>
    </row>
    <row r="980">
      <c r="A980"/>
      <c r="B980">
        <v>23</v>
      </c>
      <c r="C980" s="43">
        <f>INDEX(MvObj,23)</f>
      </c>
      <c r="D980"/>
      <c r="E980" s="43">
        <f>IF(INDEX(MvBeginn,23)="",0,IF(OR(DATE(Jahr,1,15)&lt;INDEX(MvBeginn,23),AND(INDEX(MvEnde,23)&gt;0,DATE(Jahr,1,15)&gt;INDEX(MvEnde,23))),0,IF(DATE(Jahr,1,15)&gt;=INDEX(MvKey3,23),INDEX(MvNkV3,23),IF(DATE(Jahr,1,15)&gt;=INDEX(MvKey2,23),INDEX(MvNkV2,23),IF(DATE(Jahr,1,15)&gt;=INDEX(MvKey1,23),INDEX(MvNkV1,23),0)))))</f>
      </c>
      <c r="F980" s="43">
        <f>IF(INDEX(MvBeginn,23)="",0,IF(OR(DATE(Jahr,2,15)&lt;INDEX(MvBeginn,23),AND(INDEX(MvEnde,23)&gt;0,DATE(Jahr,2,15)&gt;INDEX(MvEnde,23))),0,IF(DATE(Jahr,2,15)&gt;=INDEX(MvKey3,23),INDEX(MvNkV3,23),IF(DATE(Jahr,2,15)&gt;=INDEX(MvKey2,23),INDEX(MvNkV2,23),IF(DATE(Jahr,2,15)&gt;=INDEX(MvKey1,23),INDEX(MvNkV1,23),0)))))</f>
      </c>
      <c r="G980" s="43">
        <f>IF(INDEX(MvBeginn,23)="",0,IF(OR(DATE(Jahr,3,15)&lt;INDEX(MvBeginn,23),AND(INDEX(MvEnde,23)&gt;0,DATE(Jahr,3,15)&gt;INDEX(MvEnde,23))),0,IF(DATE(Jahr,3,15)&gt;=INDEX(MvKey3,23),INDEX(MvNkV3,23),IF(DATE(Jahr,3,15)&gt;=INDEX(MvKey2,23),INDEX(MvNkV2,23),IF(DATE(Jahr,3,15)&gt;=INDEX(MvKey1,23),INDEX(MvNkV1,23),0)))))</f>
      </c>
      <c r="H980" s="43">
        <f>IF(INDEX(MvBeginn,23)="",0,IF(OR(DATE(Jahr,4,15)&lt;INDEX(MvBeginn,23),AND(INDEX(MvEnde,23)&gt;0,DATE(Jahr,4,15)&gt;INDEX(MvEnde,23))),0,IF(DATE(Jahr,4,15)&gt;=INDEX(MvKey3,23),INDEX(MvNkV3,23),IF(DATE(Jahr,4,15)&gt;=INDEX(MvKey2,23),INDEX(MvNkV2,23),IF(DATE(Jahr,4,15)&gt;=INDEX(MvKey1,23),INDEX(MvNkV1,23),0)))))</f>
      </c>
      <c r="I980" s="43">
        <f>IF(INDEX(MvBeginn,23)="",0,IF(OR(DATE(Jahr,5,15)&lt;INDEX(MvBeginn,23),AND(INDEX(MvEnde,23)&gt;0,DATE(Jahr,5,15)&gt;INDEX(MvEnde,23))),0,IF(DATE(Jahr,5,15)&gt;=INDEX(MvKey3,23),INDEX(MvNkV3,23),IF(DATE(Jahr,5,15)&gt;=INDEX(MvKey2,23),INDEX(MvNkV2,23),IF(DATE(Jahr,5,15)&gt;=INDEX(MvKey1,23),INDEX(MvNkV1,23),0)))))</f>
      </c>
      <c r="J980" s="43">
        <f>IF(INDEX(MvBeginn,23)="",0,IF(OR(DATE(Jahr,6,15)&lt;INDEX(MvBeginn,23),AND(INDEX(MvEnde,23)&gt;0,DATE(Jahr,6,15)&gt;INDEX(MvEnde,23))),0,IF(DATE(Jahr,6,15)&gt;=INDEX(MvKey3,23),INDEX(MvNkV3,23),IF(DATE(Jahr,6,15)&gt;=INDEX(MvKey2,23),INDEX(MvNkV2,23),IF(DATE(Jahr,6,15)&gt;=INDEX(MvKey1,23),INDEX(MvNkV1,23),0)))))</f>
      </c>
      <c r="K980" s="43">
        <f>IF(INDEX(MvBeginn,23)="",0,IF(OR(DATE(Jahr,7,15)&lt;INDEX(MvBeginn,23),AND(INDEX(MvEnde,23)&gt;0,DATE(Jahr,7,15)&gt;INDEX(MvEnde,23))),0,IF(DATE(Jahr,7,15)&gt;=INDEX(MvKey3,23),INDEX(MvNkV3,23),IF(DATE(Jahr,7,15)&gt;=INDEX(MvKey2,23),INDEX(MvNkV2,23),IF(DATE(Jahr,7,15)&gt;=INDEX(MvKey1,23),INDEX(MvNkV1,23),0)))))</f>
      </c>
      <c r="L980" s="43">
        <f>IF(INDEX(MvBeginn,23)="",0,IF(OR(DATE(Jahr,8,15)&lt;INDEX(MvBeginn,23),AND(INDEX(MvEnde,23)&gt;0,DATE(Jahr,8,15)&gt;INDEX(MvEnde,23))),0,IF(DATE(Jahr,8,15)&gt;=INDEX(MvKey3,23),INDEX(MvNkV3,23),IF(DATE(Jahr,8,15)&gt;=INDEX(MvKey2,23),INDEX(MvNkV2,23),IF(DATE(Jahr,8,15)&gt;=INDEX(MvKey1,23),INDEX(MvNkV1,23),0)))))</f>
      </c>
      <c r="M980" s="43">
        <f>IF(INDEX(MvBeginn,23)="",0,IF(OR(DATE(Jahr,9,15)&lt;INDEX(MvBeginn,23),AND(INDEX(MvEnde,23)&gt;0,DATE(Jahr,9,15)&gt;INDEX(MvEnde,23))),0,IF(DATE(Jahr,9,15)&gt;=INDEX(MvKey3,23),INDEX(MvNkV3,23),IF(DATE(Jahr,9,15)&gt;=INDEX(MvKey2,23),INDEX(MvNkV2,23),IF(DATE(Jahr,9,15)&gt;=INDEX(MvKey1,23),INDEX(MvNkV1,23),0)))))</f>
      </c>
      <c r="N980" s="43">
        <f>IF(INDEX(MvBeginn,23)="",0,IF(OR(DATE(Jahr,10,15)&lt;INDEX(MvBeginn,23),AND(INDEX(MvEnde,23)&gt;0,DATE(Jahr,10,15)&gt;INDEX(MvEnde,23))),0,IF(DATE(Jahr,10,15)&gt;=INDEX(MvKey3,23),INDEX(MvNkV3,23),IF(DATE(Jahr,10,15)&gt;=INDEX(MvKey2,23),INDEX(MvNkV2,23),IF(DATE(Jahr,10,15)&gt;=INDEX(MvKey1,23),INDEX(MvNkV1,23),0)))))</f>
      </c>
      <c r="O980" s="43">
        <f>IF(INDEX(MvBeginn,23)="",0,IF(OR(DATE(Jahr,11,15)&lt;INDEX(MvBeginn,23),AND(INDEX(MvEnde,23)&gt;0,DATE(Jahr,11,15)&gt;INDEX(MvEnde,23))),0,IF(DATE(Jahr,11,15)&gt;=INDEX(MvKey3,23),INDEX(MvNkV3,23),IF(DATE(Jahr,11,15)&gt;=INDEX(MvKey2,23),INDEX(MvNkV2,23),IF(DATE(Jahr,11,15)&gt;=INDEX(MvKey1,23),INDEX(MvNkV1,23),0)))))</f>
      </c>
      <c r="P980" s="43">
        <f>IF(INDEX(MvBeginn,23)="",0,IF(OR(DATE(Jahr,12,15)&lt;INDEX(MvBeginn,23),AND(INDEX(MvEnde,23)&gt;0,DATE(Jahr,12,15)&gt;INDEX(MvEnde,23))),0,IF(DATE(Jahr,12,15)&gt;=INDEX(MvKey3,23),INDEX(MvNkV3,23),IF(DATE(Jahr,12,15)&gt;=INDEX(MvKey2,23),INDEX(MvNkV2,23),IF(DATE(Jahr,12,15)&gt;=INDEX(MvKey1,23),INDEX(MvNkV1,23),0)))))</f>
      </c>
    </row>
    <row r="981">
      <c r="A981"/>
      <c r="B981">
        <v>24</v>
      </c>
      <c r="C981" s="43">
        <f>INDEX(MvObj,24)</f>
      </c>
      <c r="D981"/>
      <c r="E981" s="43">
        <f>IF(INDEX(MvBeginn,24)="",0,IF(OR(DATE(Jahr,1,15)&lt;INDEX(MvBeginn,24),AND(INDEX(MvEnde,24)&gt;0,DATE(Jahr,1,15)&gt;INDEX(MvEnde,24))),0,IF(DATE(Jahr,1,15)&gt;=INDEX(MvKey3,24),INDEX(MvNkV3,24),IF(DATE(Jahr,1,15)&gt;=INDEX(MvKey2,24),INDEX(MvNkV2,24),IF(DATE(Jahr,1,15)&gt;=INDEX(MvKey1,24),INDEX(MvNkV1,24),0)))))</f>
      </c>
      <c r="F981" s="43">
        <f>IF(INDEX(MvBeginn,24)="",0,IF(OR(DATE(Jahr,2,15)&lt;INDEX(MvBeginn,24),AND(INDEX(MvEnde,24)&gt;0,DATE(Jahr,2,15)&gt;INDEX(MvEnde,24))),0,IF(DATE(Jahr,2,15)&gt;=INDEX(MvKey3,24),INDEX(MvNkV3,24),IF(DATE(Jahr,2,15)&gt;=INDEX(MvKey2,24),INDEX(MvNkV2,24),IF(DATE(Jahr,2,15)&gt;=INDEX(MvKey1,24),INDEX(MvNkV1,24),0)))))</f>
      </c>
      <c r="G981" s="43">
        <f>IF(INDEX(MvBeginn,24)="",0,IF(OR(DATE(Jahr,3,15)&lt;INDEX(MvBeginn,24),AND(INDEX(MvEnde,24)&gt;0,DATE(Jahr,3,15)&gt;INDEX(MvEnde,24))),0,IF(DATE(Jahr,3,15)&gt;=INDEX(MvKey3,24),INDEX(MvNkV3,24),IF(DATE(Jahr,3,15)&gt;=INDEX(MvKey2,24),INDEX(MvNkV2,24),IF(DATE(Jahr,3,15)&gt;=INDEX(MvKey1,24),INDEX(MvNkV1,24),0)))))</f>
      </c>
      <c r="H981" s="43">
        <f>IF(INDEX(MvBeginn,24)="",0,IF(OR(DATE(Jahr,4,15)&lt;INDEX(MvBeginn,24),AND(INDEX(MvEnde,24)&gt;0,DATE(Jahr,4,15)&gt;INDEX(MvEnde,24))),0,IF(DATE(Jahr,4,15)&gt;=INDEX(MvKey3,24),INDEX(MvNkV3,24),IF(DATE(Jahr,4,15)&gt;=INDEX(MvKey2,24),INDEX(MvNkV2,24),IF(DATE(Jahr,4,15)&gt;=INDEX(MvKey1,24),INDEX(MvNkV1,24),0)))))</f>
      </c>
      <c r="I981" s="43">
        <f>IF(INDEX(MvBeginn,24)="",0,IF(OR(DATE(Jahr,5,15)&lt;INDEX(MvBeginn,24),AND(INDEX(MvEnde,24)&gt;0,DATE(Jahr,5,15)&gt;INDEX(MvEnde,24))),0,IF(DATE(Jahr,5,15)&gt;=INDEX(MvKey3,24),INDEX(MvNkV3,24),IF(DATE(Jahr,5,15)&gt;=INDEX(MvKey2,24),INDEX(MvNkV2,24),IF(DATE(Jahr,5,15)&gt;=INDEX(MvKey1,24),INDEX(MvNkV1,24),0)))))</f>
      </c>
      <c r="J981" s="43">
        <f>IF(INDEX(MvBeginn,24)="",0,IF(OR(DATE(Jahr,6,15)&lt;INDEX(MvBeginn,24),AND(INDEX(MvEnde,24)&gt;0,DATE(Jahr,6,15)&gt;INDEX(MvEnde,24))),0,IF(DATE(Jahr,6,15)&gt;=INDEX(MvKey3,24),INDEX(MvNkV3,24),IF(DATE(Jahr,6,15)&gt;=INDEX(MvKey2,24),INDEX(MvNkV2,24),IF(DATE(Jahr,6,15)&gt;=INDEX(MvKey1,24),INDEX(MvNkV1,24),0)))))</f>
      </c>
      <c r="K981" s="43">
        <f>IF(INDEX(MvBeginn,24)="",0,IF(OR(DATE(Jahr,7,15)&lt;INDEX(MvBeginn,24),AND(INDEX(MvEnde,24)&gt;0,DATE(Jahr,7,15)&gt;INDEX(MvEnde,24))),0,IF(DATE(Jahr,7,15)&gt;=INDEX(MvKey3,24),INDEX(MvNkV3,24),IF(DATE(Jahr,7,15)&gt;=INDEX(MvKey2,24),INDEX(MvNkV2,24),IF(DATE(Jahr,7,15)&gt;=INDEX(MvKey1,24),INDEX(MvNkV1,24),0)))))</f>
      </c>
      <c r="L981" s="43">
        <f>IF(INDEX(MvBeginn,24)="",0,IF(OR(DATE(Jahr,8,15)&lt;INDEX(MvBeginn,24),AND(INDEX(MvEnde,24)&gt;0,DATE(Jahr,8,15)&gt;INDEX(MvEnde,24))),0,IF(DATE(Jahr,8,15)&gt;=INDEX(MvKey3,24),INDEX(MvNkV3,24),IF(DATE(Jahr,8,15)&gt;=INDEX(MvKey2,24),INDEX(MvNkV2,24),IF(DATE(Jahr,8,15)&gt;=INDEX(MvKey1,24),INDEX(MvNkV1,24),0)))))</f>
      </c>
      <c r="M981" s="43">
        <f>IF(INDEX(MvBeginn,24)="",0,IF(OR(DATE(Jahr,9,15)&lt;INDEX(MvBeginn,24),AND(INDEX(MvEnde,24)&gt;0,DATE(Jahr,9,15)&gt;INDEX(MvEnde,24))),0,IF(DATE(Jahr,9,15)&gt;=INDEX(MvKey3,24),INDEX(MvNkV3,24),IF(DATE(Jahr,9,15)&gt;=INDEX(MvKey2,24),INDEX(MvNkV2,24),IF(DATE(Jahr,9,15)&gt;=INDEX(MvKey1,24),INDEX(MvNkV1,24),0)))))</f>
      </c>
      <c r="N981" s="43">
        <f>IF(INDEX(MvBeginn,24)="",0,IF(OR(DATE(Jahr,10,15)&lt;INDEX(MvBeginn,24),AND(INDEX(MvEnde,24)&gt;0,DATE(Jahr,10,15)&gt;INDEX(MvEnde,24))),0,IF(DATE(Jahr,10,15)&gt;=INDEX(MvKey3,24),INDEX(MvNkV3,24),IF(DATE(Jahr,10,15)&gt;=INDEX(MvKey2,24),INDEX(MvNkV2,24),IF(DATE(Jahr,10,15)&gt;=INDEX(MvKey1,24),INDEX(MvNkV1,24),0)))))</f>
      </c>
      <c r="O981" s="43">
        <f>IF(INDEX(MvBeginn,24)="",0,IF(OR(DATE(Jahr,11,15)&lt;INDEX(MvBeginn,24),AND(INDEX(MvEnde,24)&gt;0,DATE(Jahr,11,15)&gt;INDEX(MvEnde,24))),0,IF(DATE(Jahr,11,15)&gt;=INDEX(MvKey3,24),INDEX(MvNkV3,24),IF(DATE(Jahr,11,15)&gt;=INDEX(MvKey2,24),INDEX(MvNkV2,24),IF(DATE(Jahr,11,15)&gt;=INDEX(MvKey1,24),INDEX(MvNkV1,24),0)))))</f>
      </c>
      <c r="P981" s="43">
        <f>IF(INDEX(MvBeginn,24)="",0,IF(OR(DATE(Jahr,12,15)&lt;INDEX(MvBeginn,24),AND(INDEX(MvEnde,24)&gt;0,DATE(Jahr,12,15)&gt;INDEX(MvEnde,24))),0,IF(DATE(Jahr,12,15)&gt;=INDEX(MvKey3,24),INDEX(MvNkV3,24),IF(DATE(Jahr,12,15)&gt;=INDEX(MvKey2,24),INDEX(MvNkV2,24),IF(DATE(Jahr,12,15)&gt;=INDEX(MvKey1,24),INDEX(MvNkV1,24),0)))))</f>
      </c>
    </row>
    <row r="982">
      <c r="A982"/>
      <c r="B982">
        <v>25</v>
      </c>
      <c r="C982" s="43">
        <f>INDEX(MvObj,25)</f>
      </c>
      <c r="D982"/>
      <c r="E982" s="43">
        <f>IF(INDEX(MvBeginn,25)="",0,IF(OR(DATE(Jahr,1,15)&lt;INDEX(MvBeginn,25),AND(INDEX(MvEnde,25)&gt;0,DATE(Jahr,1,15)&gt;INDEX(MvEnde,25))),0,IF(DATE(Jahr,1,15)&gt;=INDEX(MvKey3,25),INDEX(MvNkV3,25),IF(DATE(Jahr,1,15)&gt;=INDEX(MvKey2,25),INDEX(MvNkV2,25),IF(DATE(Jahr,1,15)&gt;=INDEX(MvKey1,25),INDEX(MvNkV1,25),0)))))</f>
      </c>
      <c r="F982" s="43">
        <f>IF(INDEX(MvBeginn,25)="",0,IF(OR(DATE(Jahr,2,15)&lt;INDEX(MvBeginn,25),AND(INDEX(MvEnde,25)&gt;0,DATE(Jahr,2,15)&gt;INDEX(MvEnde,25))),0,IF(DATE(Jahr,2,15)&gt;=INDEX(MvKey3,25),INDEX(MvNkV3,25),IF(DATE(Jahr,2,15)&gt;=INDEX(MvKey2,25),INDEX(MvNkV2,25),IF(DATE(Jahr,2,15)&gt;=INDEX(MvKey1,25),INDEX(MvNkV1,25),0)))))</f>
      </c>
      <c r="G982" s="43">
        <f>IF(INDEX(MvBeginn,25)="",0,IF(OR(DATE(Jahr,3,15)&lt;INDEX(MvBeginn,25),AND(INDEX(MvEnde,25)&gt;0,DATE(Jahr,3,15)&gt;INDEX(MvEnde,25))),0,IF(DATE(Jahr,3,15)&gt;=INDEX(MvKey3,25),INDEX(MvNkV3,25),IF(DATE(Jahr,3,15)&gt;=INDEX(MvKey2,25),INDEX(MvNkV2,25),IF(DATE(Jahr,3,15)&gt;=INDEX(MvKey1,25),INDEX(MvNkV1,25),0)))))</f>
      </c>
      <c r="H982" s="43">
        <f>IF(INDEX(MvBeginn,25)="",0,IF(OR(DATE(Jahr,4,15)&lt;INDEX(MvBeginn,25),AND(INDEX(MvEnde,25)&gt;0,DATE(Jahr,4,15)&gt;INDEX(MvEnde,25))),0,IF(DATE(Jahr,4,15)&gt;=INDEX(MvKey3,25),INDEX(MvNkV3,25),IF(DATE(Jahr,4,15)&gt;=INDEX(MvKey2,25),INDEX(MvNkV2,25),IF(DATE(Jahr,4,15)&gt;=INDEX(MvKey1,25),INDEX(MvNkV1,25),0)))))</f>
      </c>
      <c r="I982" s="43">
        <f>IF(INDEX(MvBeginn,25)="",0,IF(OR(DATE(Jahr,5,15)&lt;INDEX(MvBeginn,25),AND(INDEX(MvEnde,25)&gt;0,DATE(Jahr,5,15)&gt;INDEX(MvEnde,25))),0,IF(DATE(Jahr,5,15)&gt;=INDEX(MvKey3,25),INDEX(MvNkV3,25),IF(DATE(Jahr,5,15)&gt;=INDEX(MvKey2,25),INDEX(MvNkV2,25),IF(DATE(Jahr,5,15)&gt;=INDEX(MvKey1,25),INDEX(MvNkV1,25),0)))))</f>
      </c>
      <c r="J982" s="43">
        <f>IF(INDEX(MvBeginn,25)="",0,IF(OR(DATE(Jahr,6,15)&lt;INDEX(MvBeginn,25),AND(INDEX(MvEnde,25)&gt;0,DATE(Jahr,6,15)&gt;INDEX(MvEnde,25))),0,IF(DATE(Jahr,6,15)&gt;=INDEX(MvKey3,25),INDEX(MvNkV3,25),IF(DATE(Jahr,6,15)&gt;=INDEX(MvKey2,25),INDEX(MvNkV2,25),IF(DATE(Jahr,6,15)&gt;=INDEX(MvKey1,25),INDEX(MvNkV1,25),0)))))</f>
      </c>
      <c r="K982" s="43">
        <f>IF(INDEX(MvBeginn,25)="",0,IF(OR(DATE(Jahr,7,15)&lt;INDEX(MvBeginn,25),AND(INDEX(MvEnde,25)&gt;0,DATE(Jahr,7,15)&gt;INDEX(MvEnde,25))),0,IF(DATE(Jahr,7,15)&gt;=INDEX(MvKey3,25),INDEX(MvNkV3,25),IF(DATE(Jahr,7,15)&gt;=INDEX(MvKey2,25),INDEX(MvNkV2,25),IF(DATE(Jahr,7,15)&gt;=INDEX(MvKey1,25),INDEX(MvNkV1,25),0)))))</f>
      </c>
      <c r="L982" s="43">
        <f>IF(INDEX(MvBeginn,25)="",0,IF(OR(DATE(Jahr,8,15)&lt;INDEX(MvBeginn,25),AND(INDEX(MvEnde,25)&gt;0,DATE(Jahr,8,15)&gt;INDEX(MvEnde,25))),0,IF(DATE(Jahr,8,15)&gt;=INDEX(MvKey3,25),INDEX(MvNkV3,25),IF(DATE(Jahr,8,15)&gt;=INDEX(MvKey2,25),INDEX(MvNkV2,25),IF(DATE(Jahr,8,15)&gt;=INDEX(MvKey1,25),INDEX(MvNkV1,25),0)))))</f>
      </c>
      <c r="M982" s="43">
        <f>IF(INDEX(MvBeginn,25)="",0,IF(OR(DATE(Jahr,9,15)&lt;INDEX(MvBeginn,25),AND(INDEX(MvEnde,25)&gt;0,DATE(Jahr,9,15)&gt;INDEX(MvEnde,25))),0,IF(DATE(Jahr,9,15)&gt;=INDEX(MvKey3,25),INDEX(MvNkV3,25),IF(DATE(Jahr,9,15)&gt;=INDEX(MvKey2,25),INDEX(MvNkV2,25),IF(DATE(Jahr,9,15)&gt;=INDEX(MvKey1,25),INDEX(MvNkV1,25),0)))))</f>
      </c>
      <c r="N982" s="43">
        <f>IF(INDEX(MvBeginn,25)="",0,IF(OR(DATE(Jahr,10,15)&lt;INDEX(MvBeginn,25),AND(INDEX(MvEnde,25)&gt;0,DATE(Jahr,10,15)&gt;INDEX(MvEnde,25))),0,IF(DATE(Jahr,10,15)&gt;=INDEX(MvKey3,25),INDEX(MvNkV3,25),IF(DATE(Jahr,10,15)&gt;=INDEX(MvKey2,25),INDEX(MvNkV2,25),IF(DATE(Jahr,10,15)&gt;=INDEX(MvKey1,25),INDEX(MvNkV1,25),0)))))</f>
      </c>
      <c r="O982" s="43">
        <f>IF(INDEX(MvBeginn,25)="",0,IF(OR(DATE(Jahr,11,15)&lt;INDEX(MvBeginn,25),AND(INDEX(MvEnde,25)&gt;0,DATE(Jahr,11,15)&gt;INDEX(MvEnde,25))),0,IF(DATE(Jahr,11,15)&gt;=INDEX(MvKey3,25),INDEX(MvNkV3,25),IF(DATE(Jahr,11,15)&gt;=INDEX(MvKey2,25),INDEX(MvNkV2,25),IF(DATE(Jahr,11,15)&gt;=INDEX(MvKey1,25),INDEX(MvNkV1,25),0)))))</f>
      </c>
      <c r="P982" s="43">
        <f>IF(INDEX(MvBeginn,25)="",0,IF(OR(DATE(Jahr,12,15)&lt;INDEX(MvBeginn,25),AND(INDEX(MvEnde,25)&gt;0,DATE(Jahr,12,15)&gt;INDEX(MvEnde,25))),0,IF(DATE(Jahr,12,15)&gt;=INDEX(MvKey3,25),INDEX(MvNkV3,25),IF(DATE(Jahr,12,15)&gt;=INDEX(MvKey2,25),INDEX(MvNkV2,25),IF(DATE(Jahr,12,15)&gt;=INDEX(MvKey1,25),INDEX(MvNkV1,25),0)))))</f>
      </c>
    </row>
    <row r="983">
      <c r="A983"/>
      <c r="B983">
        <v>26</v>
      </c>
      <c r="C983" s="43">
        <f>INDEX(MvObj,26)</f>
      </c>
      <c r="D983"/>
      <c r="E983" s="43">
        <f>IF(INDEX(MvBeginn,26)="",0,IF(OR(DATE(Jahr,1,15)&lt;INDEX(MvBeginn,26),AND(INDEX(MvEnde,26)&gt;0,DATE(Jahr,1,15)&gt;INDEX(MvEnde,26))),0,IF(DATE(Jahr,1,15)&gt;=INDEX(MvKey3,26),INDEX(MvNkV3,26),IF(DATE(Jahr,1,15)&gt;=INDEX(MvKey2,26),INDEX(MvNkV2,26),IF(DATE(Jahr,1,15)&gt;=INDEX(MvKey1,26),INDEX(MvNkV1,26),0)))))</f>
      </c>
      <c r="F983" s="43">
        <f>IF(INDEX(MvBeginn,26)="",0,IF(OR(DATE(Jahr,2,15)&lt;INDEX(MvBeginn,26),AND(INDEX(MvEnde,26)&gt;0,DATE(Jahr,2,15)&gt;INDEX(MvEnde,26))),0,IF(DATE(Jahr,2,15)&gt;=INDEX(MvKey3,26),INDEX(MvNkV3,26),IF(DATE(Jahr,2,15)&gt;=INDEX(MvKey2,26),INDEX(MvNkV2,26),IF(DATE(Jahr,2,15)&gt;=INDEX(MvKey1,26),INDEX(MvNkV1,26),0)))))</f>
      </c>
      <c r="G983" s="43">
        <f>IF(INDEX(MvBeginn,26)="",0,IF(OR(DATE(Jahr,3,15)&lt;INDEX(MvBeginn,26),AND(INDEX(MvEnde,26)&gt;0,DATE(Jahr,3,15)&gt;INDEX(MvEnde,26))),0,IF(DATE(Jahr,3,15)&gt;=INDEX(MvKey3,26),INDEX(MvNkV3,26),IF(DATE(Jahr,3,15)&gt;=INDEX(MvKey2,26),INDEX(MvNkV2,26),IF(DATE(Jahr,3,15)&gt;=INDEX(MvKey1,26),INDEX(MvNkV1,26),0)))))</f>
      </c>
      <c r="H983" s="43">
        <f>IF(INDEX(MvBeginn,26)="",0,IF(OR(DATE(Jahr,4,15)&lt;INDEX(MvBeginn,26),AND(INDEX(MvEnde,26)&gt;0,DATE(Jahr,4,15)&gt;INDEX(MvEnde,26))),0,IF(DATE(Jahr,4,15)&gt;=INDEX(MvKey3,26),INDEX(MvNkV3,26),IF(DATE(Jahr,4,15)&gt;=INDEX(MvKey2,26),INDEX(MvNkV2,26),IF(DATE(Jahr,4,15)&gt;=INDEX(MvKey1,26),INDEX(MvNkV1,26),0)))))</f>
      </c>
      <c r="I983" s="43">
        <f>IF(INDEX(MvBeginn,26)="",0,IF(OR(DATE(Jahr,5,15)&lt;INDEX(MvBeginn,26),AND(INDEX(MvEnde,26)&gt;0,DATE(Jahr,5,15)&gt;INDEX(MvEnde,26))),0,IF(DATE(Jahr,5,15)&gt;=INDEX(MvKey3,26),INDEX(MvNkV3,26),IF(DATE(Jahr,5,15)&gt;=INDEX(MvKey2,26),INDEX(MvNkV2,26),IF(DATE(Jahr,5,15)&gt;=INDEX(MvKey1,26),INDEX(MvNkV1,26),0)))))</f>
      </c>
      <c r="J983" s="43">
        <f>IF(INDEX(MvBeginn,26)="",0,IF(OR(DATE(Jahr,6,15)&lt;INDEX(MvBeginn,26),AND(INDEX(MvEnde,26)&gt;0,DATE(Jahr,6,15)&gt;INDEX(MvEnde,26))),0,IF(DATE(Jahr,6,15)&gt;=INDEX(MvKey3,26),INDEX(MvNkV3,26),IF(DATE(Jahr,6,15)&gt;=INDEX(MvKey2,26),INDEX(MvNkV2,26),IF(DATE(Jahr,6,15)&gt;=INDEX(MvKey1,26),INDEX(MvNkV1,26),0)))))</f>
      </c>
      <c r="K983" s="43">
        <f>IF(INDEX(MvBeginn,26)="",0,IF(OR(DATE(Jahr,7,15)&lt;INDEX(MvBeginn,26),AND(INDEX(MvEnde,26)&gt;0,DATE(Jahr,7,15)&gt;INDEX(MvEnde,26))),0,IF(DATE(Jahr,7,15)&gt;=INDEX(MvKey3,26),INDEX(MvNkV3,26),IF(DATE(Jahr,7,15)&gt;=INDEX(MvKey2,26),INDEX(MvNkV2,26),IF(DATE(Jahr,7,15)&gt;=INDEX(MvKey1,26),INDEX(MvNkV1,26),0)))))</f>
      </c>
      <c r="L983" s="43">
        <f>IF(INDEX(MvBeginn,26)="",0,IF(OR(DATE(Jahr,8,15)&lt;INDEX(MvBeginn,26),AND(INDEX(MvEnde,26)&gt;0,DATE(Jahr,8,15)&gt;INDEX(MvEnde,26))),0,IF(DATE(Jahr,8,15)&gt;=INDEX(MvKey3,26),INDEX(MvNkV3,26),IF(DATE(Jahr,8,15)&gt;=INDEX(MvKey2,26),INDEX(MvNkV2,26),IF(DATE(Jahr,8,15)&gt;=INDEX(MvKey1,26),INDEX(MvNkV1,26),0)))))</f>
      </c>
      <c r="M983" s="43">
        <f>IF(INDEX(MvBeginn,26)="",0,IF(OR(DATE(Jahr,9,15)&lt;INDEX(MvBeginn,26),AND(INDEX(MvEnde,26)&gt;0,DATE(Jahr,9,15)&gt;INDEX(MvEnde,26))),0,IF(DATE(Jahr,9,15)&gt;=INDEX(MvKey3,26),INDEX(MvNkV3,26),IF(DATE(Jahr,9,15)&gt;=INDEX(MvKey2,26),INDEX(MvNkV2,26),IF(DATE(Jahr,9,15)&gt;=INDEX(MvKey1,26),INDEX(MvNkV1,26),0)))))</f>
      </c>
      <c r="N983" s="43">
        <f>IF(INDEX(MvBeginn,26)="",0,IF(OR(DATE(Jahr,10,15)&lt;INDEX(MvBeginn,26),AND(INDEX(MvEnde,26)&gt;0,DATE(Jahr,10,15)&gt;INDEX(MvEnde,26))),0,IF(DATE(Jahr,10,15)&gt;=INDEX(MvKey3,26),INDEX(MvNkV3,26),IF(DATE(Jahr,10,15)&gt;=INDEX(MvKey2,26),INDEX(MvNkV2,26),IF(DATE(Jahr,10,15)&gt;=INDEX(MvKey1,26),INDEX(MvNkV1,26),0)))))</f>
      </c>
      <c r="O983" s="43">
        <f>IF(INDEX(MvBeginn,26)="",0,IF(OR(DATE(Jahr,11,15)&lt;INDEX(MvBeginn,26),AND(INDEX(MvEnde,26)&gt;0,DATE(Jahr,11,15)&gt;INDEX(MvEnde,26))),0,IF(DATE(Jahr,11,15)&gt;=INDEX(MvKey3,26),INDEX(MvNkV3,26),IF(DATE(Jahr,11,15)&gt;=INDEX(MvKey2,26),INDEX(MvNkV2,26),IF(DATE(Jahr,11,15)&gt;=INDEX(MvKey1,26),INDEX(MvNkV1,26),0)))))</f>
      </c>
      <c r="P983" s="43">
        <f>IF(INDEX(MvBeginn,26)="",0,IF(OR(DATE(Jahr,12,15)&lt;INDEX(MvBeginn,26),AND(INDEX(MvEnde,26)&gt;0,DATE(Jahr,12,15)&gt;INDEX(MvEnde,26))),0,IF(DATE(Jahr,12,15)&gt;=INDEX(MvKey3,26),INDEX(MvNkV3,26),IF(DATE(Jahr,12,15)&gt;=INDEX(MvKey2,26),INDEX(MvNkV2,26),IF(DATE(Jahr,12,15)&gt;=INDEX(MvKey1,26),INDEX(MvNkV1,26),0)))))</f>
      </c>
    </row>
    <row r="984">
      <c r="A984"/>
      <c r="B984">
        <v>27</v>
      </c>
      <c r="C984" s="43">
        <f>INDEX(MvObj,27)</f>
      </c>
      <c r="D984"/>
      <c r="E984" s="43">
        <f>IF(INDEX(MvBeginn,27)="",0,IF(OR(DATE(Jahr,1,15)&lt;INDEX(MvBeginn,27),AND(INDEX(MvEnde,27)&gt;0,DATE(Jahr,1,15)&gt;INDEX(MvEnde,27))),0,IF(DATE(Jahr,1,15)&gt;=INDEX(MvKey3,27),INDEX(MvNkV3,27),IF(DATE(Jahr,1,15)&gt;=INDEX(MvKey2,27),INDEX(MvNkV2,27),IF(DATE(Jahr,1,15)&gt;=INDEX(MvKey1,27),INDEX(MvNkV1,27),0)))))</f>
      </c>
      <c r="F984" s="43">
        <f>IF(INDEX(MvBeginn,27)="",0,IF(OR(DATE(Jahr,2,15)&lt;INDEX(MvBeginn,27),AND(INDEX(MvEnde,27)&gt;0,DATE(Jahr,2,15)&gt;INDEX(MvEnde,27))),0,IF(DATE(Jahr,2,15)&gt;=INDEX(MvKey3,27),INDEX(MvNkV3,27),IF(DATE(Jahr,2,15)&gt;=INDEX(MvKey2,27),INDEX(MvNkV2,27),IF(DATE(Jahr,2,15)&gt;=INDEX(MvKey1,27),INDEX(MvNkV1,27),0)))))</f>
      </c>
      <c r="G984" s="43">
        <f>IF(INDEX(MvBeginn,27)="",0,IF(OR(DATE(Jahr,3,15)&lt;INDEX(MvBeginn,27),AND(INDEX(MvEnde,27)&gt;0,DATE(Jahr,3,15)&gt;INDEX(MvEnde,27))),0,IF(DATE(Jahr,3,15)&gt;=INDEX(MvKey3,27),INDEX(MvNkV3,27),IF(DATE(Jahr,3,15)&gt;=INDEX(MvKey2,27),INDEX(MvNkV2,27),IF(DATE(Jahr,3,15)&gt;=INDEX(MvKey1,27),INDEX(MvNkV1,27),0)))))</f>
      </c>
      <c r="H984" s="43">
        <f>IF(INDEX(MvBeginn,27)="",0,IF(OR(DATE(Jahr,4,15)&lt;INDEX(MvBeginn,27),AND(INDEX(MvEnde,27)&gt;0,DATE(Jahr,4,15)&gt;INDEX(MvEnde,27))),0,IF(DATE(Jahr,4,15)&gt;=INDEX(MvKey3,27),INDEX(MvNkV3,27),IF(DATE(Jahr,4,15)&gt;=INDEX(MvKey2,27),INDEX(MvNkV2,27),IF(DATE(Jahr,4,15)&gt;=INDEX(MvKey1,27),INDEX(MvNkV1,27),0)))))</f>
      </c>
      <c r="I984" s="43">
        <f>IF(INDEX(MvBeginn,27)="",0,IF(OR(DATE(Jahr,5,15)&lt;INDEX(MvBeginn,27),AND(INDEX(MvEnde,27)&gt;0,DATE(Jahr,5,15)&gt;INDEX(MvEnde,27))),0,IF(DATE(Jahr,5,15)&gt;=INDEX(MvKey3,27),INDEX(MvNkV3,27),IF(DATE(Jahr,5,15)&gt;=INDEX(MvKey2,27),INDEX(MvNkV2,27),IF(DATE(Jahr,5,15)&gt;=INDEX(MvKey1,27),INDEX(MvNkV1,27),0)))))</f>
      </c>
      <c r="J984" s="43">
        <f>IF(INDEX(MvBeginn,27)="",0,IF(OR(DATE(Jahr,6,15)&lt;INDEX(MvBeginn,27),AND(INDEX(MvEnde,27)&gt;0,DATE(Jahr,6,15)&gt;INDEX(MvEnde,27))),0,IF(DATE(Jahr,6,15)&gt;=INDEX(MvKey3,27),INDEX(MvNkV3,27),IF(DATE(Jahr,6,15)&gt;=INDEX(MvKey2,27),INDEX(MvNkV2,27),IF(DATE(Jahr,6,15)&gt;=INDEX(MvKey1,27),INDEX(MvNkV1,27),0)))))</f>
      </c>
      <c r="K984" s="43">
        <f>IF(INDEX(MvBeginn,27)="",0,IF(OR(DATE(Jahr,7,15)&lt;INDEX(MvBeginn,27),AND(INDEX(MvEnde,27)&gt;0,DATE(Jahr,7,15)&gt;INDEX(MvEnde,27))),0,IF(DATE(Jahr,7,15)&gt;=INDEX(MvKey3,27),INDEX(MvNkV3,27),IF(DATE(Jahr,7,15)&gt;=INDEX(MvKey2,27),INDEX(MvNkV2,27),IF(DATE(Jahr,7,15)&gt;=INDEX(MvKey1,27),INDEX(MvNkV1,27),0)))))</f>
      </c>
      <c r="L984" s="43">
        <f>IF(INDEX(MvBeginn,27)="",0,IF(OR(DATE(Jahr,8,15)&lt;INDEX(MvBeginn,27),AND(INDEX(MvEnde,27)&gt;0,DATE(Jahr,8,15)&gt;INDEX(MvEnde,27))),0,IF(DATE(Jahr,8,15)&gt;=INDEX(MvKey3,27),INDEX(MvNkV3,27),IF(DATE(Jahr,8,15)&gt;=INDEX(MvKey2,27),INDEX(MvNkV2,27),IF(DATE(Jahr,8,15)&gt;=INDEX(MvKey1,27),INDEX(MvNkV1,27),0)))))</f>
      </c>
      <c r="M984" s="43">
        <f>IF(INDEX(MvBeginn,27)="",0,IF(OR(DATE(Jahr,9,15)&lt;INDEX(MvBeginn,27),AND(INDEX(MvEnde,27)&gt;0,DATE(Jahr,9,15)&gt;INDEX(MvEnde,27))),0,IF(DATE(Jahr,9,15)&gt;=INDEX(MvKey3,27),INDEX(MvNkV3,27),IF(DATE(Jahr,9,15)&gt;=INDEX(MvKey2,27),INDEX(MvNkV2,27),IF(DATE(Jahr,9,15)&gt;=INDEX(MvKey1,27),INDEX(MvNkV1,27),0)))))</f>
      </c>
      <c r="N984" s="43">
        <f>IF(INDEX(MvBeginn,27)="",0,IF(OR(DATE(Jahr,10,15)&lt;INDEX(MvBeginn,27),AND(INDEX(MvEnde,27)&gt;0,DATE(Jahr,10,15)&gt;INDEX(MvEnde,27))),0,IF(DATE(Jahr,10,15)&gt;=INDEX(MvKey3,27),INDEX(MvNkV3,27),IF(DATE(Jahr,10,15)&gt;=INDEX(MvKey2,27),INDEX(MvNkV2,27),IF(DATE(Jahr,10,15)&gt;=INDEX(MvKey1,27),INDEX(MvNkV1,27),0)))))</f>
      </c>
      <c r="O984" s="43">
        <f>IF(INDEX(MvBeginn,27)="",0,IF(OR(DATE(Jahr,11,15)&lt;INDEX(MvBeginn,27),AND(INDEX(MvEnde,27)&gt;0,DATE(Jahr,11,15)&gt;INDEX(MvEnde,27))),0,IF(DATE(Jahr,11,15)&gt;=INDEX(MvKey3,27),INDEX(MvNkV3,27),IF(DATE(Jahr,11,15)&gt;=INDEX(MvKey2,27),INDEX(MvNkV2,27),IF(DATE(Jahr,11,15)&gt;=INDEX(MvKey1,27),INDEX(MvNkV1,27),0)))))</f>
      </c>
      <c r="P984" s="43">
        <f>IF(INDEX(MvBeginn,27)="",0,IF(OR(DATE(Jahr,12,15)&lt;INDEX(MvBeginn,27),AND(INDEX(MvEnde,27)&gt;0,DATE(Jahr,12,15)&gt;INDEX(MvEnde,27))),0,IF(DATE(Jahr,12,15)&gt;=INDEX(MvKey3,27),INDEX(MvNkV3,27),IF(DATE(Jahr,12,15)&gt;=INDEX(MvKey2,27),INDEX(MvNkV2,27),IF(DATE(Jahr,12,15)&gt;=INDEX(MvKey1,27),INDEX(MvNkV1,27),0)))))</f>
      </c>
    </row>
    <row r="985">
      <c r="A985"/>
      <c r="B985">
        <v>28</v>
      </c>
      <c r="C985" s="43">
        <f>INDEX(MvObj,28)</f>
      </c>
      <c r="D985"/>
      <c r="E985" s="43">
        <f>IF(INDEX(MvBeginn,28)="",0,IF(OR(DATE(Jahr,1,15)&lt;INDEX(MvBeginn,28),AND(INDEX(MvEnde,28)&gt;0,DATE(Jahr,1,15)&gt;INDEX(MvEnde,28))),0,IF(DATE(Jahr,1,15)&gt;=INDEX(MvKey3,28),INDEX(MvNkV3,28),IF(DATE(Jahr,1,15)&gt;=INDEX(MvKey2,28),INDEX(MvNkV2,28),IF(DATE(Jahr,1,15)&gt;=INDEX(MvKey1,28),INDEX(MvNkV1,28),0)))))</f>
      </c>
      <c r="F985" s="43">
        <f>IF(INDEX(MvBeginn,28)="",0,IF(OR(DATE(Jahr,2,15)&lt;INDEX(MvBeginn,28),AND(INDEX(MvEnde,28)&gt;0,DATE(Jahr,2,15)&gt;INDEX(MvEnde,28))),0,IF(DATE(Jahr,2,15)&gt;=INDEX(MvKey3,28),INDEX(MvNkV3,28),IF(DATE(Jahr,2,15)&gt;=INDEX(MvKey2,28),INDEX(MvNkV2,28),IF(DATE(Jahr,2,15)&gt;=INDEX(MvKey1,28),INDEX(MvNkV1,28),0)))))</f>
      </c>
      <c r="G985" s="43">
        <f>IF(INDEX(MvBeginn,28)="",0,IF(OR(DATE(Jahr,3,15)&lt;INDEX(MvBeginn,28),AND(INDEX(MvEnde,28)&gt;0,DATE(Jahr,3,15)&gt;INDEX(MvEnde,28))),0,IF(DATE(Jahr,3,15)&gt;=INDEX(MvKey3,28),INDEX(MvNkV3,28),IF(DATE(Jahr,3,15)&gt;=INDEX(MvKey2,28),INDEX(MvNkV2,28),IF(DATE(Jahr,3,15)&gt;=INDEX(MvKey1,28),INDEX(MvNkV1,28),0)))))</f>
      </c>
      <c r="H985" s="43">
        <f>IF(INDEX(MvBeginn,28)="",0,IF(OR(DATE(Jahr,4,15)&lt;INDEX(MvBeginn,28),AND(INDEX(MvEnde,28)&gt;0,DATE(Jahr,4,15)&gt;INDEX(MvEnde,28))),0,IF(DATE(Jahr,4,15)&gt;=INDEX(MvKey3,28),INDEX(MvNkV3,28),IF(DATE(Jahr,4,15)&gt;=INDEX(MvKey2,28),INDEX(MvNkV2,28),IF(DATE(Jahr,4,15)&gt;=INDEX(MvKey1,28),INDEX(MvNkV1,28),0)))))</f>
      </c>
      <c r="I985" s="43">
        <f>IF(INDEX(MvBeginn,28)="",0,IF(OR(DATE(Jahr,5,15)&lt;INDEX(MvBeginn,28),AND(INDEX(MvEnde,28)&gt;0,DATE(Jahr,5,15)&gt;INDEX(MvEnde,28))),0,IF(DATE(Jahr,5,15)&gt;=INDEX(MvKey3,28),INDEX(MvNkV3,28),IF(DATE(Jahr,5,15)&gt;=INDEX(MvKey2,28),INDEX(MvNkV2,28),IF(DATE(Jahr,5,15)&gt;=INDEX(MvKey1,28),INDEX(MvNkV1,28),0)))))</f>
      </c>
      <c r="J985" s="43">
        <f>IF(INDEX(MvBeginn,28)="",0,IF(OR(DATE(Jahr,6,15)&lt;INDEX(MvBeginn,28),AND(INDEX(MvEnde,28)&gt;0,DATE(Jahr,6,15)&gt;INDEX(MvEnde,28))),0,IF(DATE(Jahr,6,15)&gt;=INDEX(MvKey3,28),INDEX(MvNkV3,28),IF(DATE(Jahr,6,15)&gt;=INDEX(MvKey2,28),INDEX(MvNkV2,28),IF(DATE(Jahr,6,15)&gt;=INDEX(MvKey1,28),INDEX(MvNkV1,28),0)))))</f>
      </c>
      <c r="K985" s="43">
        <f>IF(INDEX(MvBeginn,28)="",0,IF(OR(DATE(Jahr,7,15)&lt;INDEX(MvBeginn,28),AND(INDEX(MvEnde,28)&gt;0,DATE(Jahr,7,15)&gt;INDEX(MvEnde,28))),0,IF(DATE(Jahr,7,15)&gt;=INDEX(MvKey3,28),INDEX(MvNkV3,28),IF(DATE(Jahr,7,15)&gt;=INDEX(MvKey2,28),INDEX(MvNkV2,28),IF(DATE(Jahr,7,15)&gt;=INDEX(MvKey1,28),INDEX(MvNkV1,28),0)))))</f>
      </c>
      <c r="L985" s="43">
        <f>IF(INDEX(MvBeginn,28)="",0,IF(OR(DATE(Jahr,8,15)&lt;INDEX(MvBeginn,28),AND(INDEX(MvEnde,28)&gt;0,DATE(Jahr,8,15)&gt;INDEX(MvEnde,28))),0,IF(DATE(Jahr,8,15)&gt;=INDEX(MvKey3,28),INDEX(MvNkV3,28),IF(DATE(Jahr,8,15)&gt;=INDEX(MvKey2,28),INDEX(MvNkV2,28),IF(DATE(Jahr,8,15)&gt;=INDEX(MvKey1,28),INDEX(MvNkV1,28),0)))))</f>
      </c>
      <c r="M985" s="43">
        <f>IF(INDEX(MvBeginn,28)="",0,IF(OR(DATE(Jahr,9,15)&lt;INDEX(MvBeginn,28),AND(INDEX(MvEnde,28)&gt;0,DATE(Jahr,9,15)&gt;INDEX(MvEnde,28))),0,IF(DATE(Jahr,9,15)&gt;=INDEX(MvKey3,28),INDEX(MvNkV3,28),IF(DATE(Jahr,9,15)&gt;=INDEX(MvKey2,28),INDEX(MvNkV2,28),IF(DATE(Jahr,9,15)&gt;=INDEX(MvKey1,28),INDEX(MvNkV1,28),0)))))</f>
      </c>
      <c r="N985" s="43">
        <f>IF(INDEX(MvBeginn,28)="",0,IF(OR(DATE(Jahr,10,15)&lt;INDEX(MvBeginn,28),AND(INDEX(MvEnde,28)&gt;0,DATE(Jahr,10,15)&gt;INDEX(MvEnde,28))),0,IF(DATE(Jahr,10,15)&gt;=INDEX(MvKey3,28),INDEX(MvNkV3,28),IF(DATE(Jahr,10,15)&gt;=INDEX(MvKey2,28),INDEX(MvNkV2,28),IF(DATE(Jahr,10,15)&gt;=INDEX(MvKey1,28),INDEX(MvNkV1,28),0)))))</f>
      </c>
      <c r="O985" s="43">
        <f>IF(INDEX(MvBeginn,28)="",0,IF(OR(DATE(Jahr,11,15)&lt;INDEX(MvBeginn,28),AND(INDEX(MvEnde,28)&gt;0,DATE(Jahr,11,15)&gt;INDEX(MvEnde,28))),0,IF(DATE(Jahr,11,15)&gt;=INDEX(MvKey3,28),INDEX(MvNkV3,28),IF(DATE(Jahr,11,15)&gt;=INDEX(MvKey2,28),INDEX(MvNkV2,28),IF(DATE(Jahr,11,15)&gt;=INDEX(MvKey1,28),INDEX(MvNkV1,28),0)))))</f>
      </c>
      <c r="P985" s="43">
        <f>IF(INDEX(MvBeginn,28)="",0,IF(OR(DATE(Jahr,12,15)&lt;INDEX(MvBeginn,28),AND(INDEX(MvEnde,28)&gt;0,DATE(Jahr,12,15)&gt;INDEX(MvEnde,28))),0,IF(DATE(Jahr,12,15)&gt;=INDEX(MvKey3,28),INDEX(MvNkV3,28),IF(DATE(Jahr,12,15)&gt;=INDEX(MvKey2,28),INDEX(MvNkV2,28),IF(DATE(Jahr,12,15)&gt;=INDEX(MvKey1,28),INDEX(MvNkV1,28),0)))))</f>
      </c>
    </row>
    <row r="986">
      <c r="A986"/>
      <c r="B986">
        <v>29</v>
      </c>
      <c r="C986" s="43">
        <f>INDEX(MvObj,29)</f>
      </c>
      <c r="D986"/>
      <c r="E986" s="43">
        <f>IF(INDEX(MvBeginn,29)="",0,IF(OR(DATE(Jahr,1,15)&lt;INDEX(MvBeginn,29),AND(INDEX(MvEnde,29)&gt;0,DATE(Jahr,1,15)&gt;INDEX(MvEnde,29))),0,IF(DATE(Jahr,1,15)&gt;=INDEX(MvKey3,29),INDEX(MvNkV3,29),IF(DATE(Jahr,1,15)&gt;=INDEX(MvKey2,29),INDEX(MvNkV2,29),IF(DATE(Jahr,1,15)&gt;=INDEX(MvKey1,29),INDEX(MvNkV1,29),0)))))</f>
      </c>
      <c r="F986" s="43">
        <f>IF(INDEX(MvBeginn,29)="",0,IF(OR(DATE(Jahr,2,15)&lt;INDEX(MvBeginn,29),AND(INDEX(MvEnde,29)&gt;0,DATE(Jahr,2,15)&gt;INDEX(MvEnde,29))),0,IF(DATE(Jahr,2,15)&gt;=INDEX(MvKey3,29),INDEX(MvNkV3,29),IF(DATE(Jahr,2,15)&gt;=INDEX(MvKey2,29),INDEX(MvNkV2,29),IF(DATE(Jahr,2,15)&gt;=INDEX(MvKey1,29),INDEX(MvNkV1,29),0)))))</f>
      </c>
      <c r="G986" s="43">
        <f>IF(INDEX(MvBeginn,29)="",0,IF(OR(DATE(Jahr,3,15)&lt;INDEX(MvBeginn,29),AND(INDEX(MvEnde,29)&gt;0,DATE(Jahr,3,15)&gt;INDEX(MvEnde,29))),0,IF(DATE(Jahr,3,15)&gt;=INDEX(MvKey3,29),INDEX(MvNkV3,29),IF(DATE(Jahr,3,15)&gt;=INDEX(MvKey2,29),INDEX(MvNkV2,29),IF(DATE(Jahr,3,15)&gt;=INDEX(MvKey1,29),INDEX(MvNkV1,29),0)))))</f>
      </c>
      <c r="H986" s="43">
        <f>IF(INDEX(MvBeginn,29)="",0,IF(OR(DATE(Jahr,4,15)&lt;INDEX(MvBeginn,29),AND(INDEX(MvEnde,29)&gt;0,DATE(Jahr,4,15)&gt;INDEX(MvEnde,29))),0,IF(DATE(Jahr,4,15)&gt;=INDEX(MvKey3,29),INDEX(MvNkV3,29),IF(DATE(Jahr,4,15)&gt;=INDEX(MvKey2,29),INDEX(MvNkV2,29),IF(DATE(Jahr,4,15)&gt;=INDEX(MvKey1,29),INDEX(MvNkV1,29),0)))))</f>
      </c>
      <c r="I986" s="43">
        <f>IF(INDEX(MvBeginn,29)="",0,IF(OR(DATE(Jahr,5,15)&lt;INDEX(MvBeginn,29),AND(INDEX(MvEnde,29)&gt;0,DATE(Jahr,5,15)&gt;INDEX(MvEnde,29))),0,IF(DATE(Jahr,5,15)&gt;=INDEX(MvKey3,29),INDEX(MvNkV3,29),IF(DATE(Jahr,5,15)&gt;=INDEX(MvKey2,29),INDEX(MvNkV2,29),IF(DATE(Jahr,5,15)&gt;=INDEX(MvKey1,29),INDEX(MvNkV1,29),0)))))</f>
      </c>
      <c r="J986" s="43">
        <f>IF(INDEX(MvBeginn,29)="",0,IF(OR(DATE(Jahr,6,15)&lt;INDEX(MvBeginn,29),AND(INDEX(MvEnde,29)&gt;0,DATE(Jahr,6,15)&gt;INDEX(MvEnde,29))),0,IF(DATE(Jahr,6,15)&gt;=INDEX(MvKey3,29),INDEX(MvNkV3,29),IF(DATE(Jahr,6,15)&gt;=INDEX(MvKey2,29),INDEX(MvNkV2,29),IF(DATE(Jahr,6,15)&gt;=INDEX(MvKey1,29),INDEX(MvNkV1,29),0)))))</f>
      </c>
      <c r="K986" s="43">
        <f>IF(INDEX(MvBeginn,29)="",0,IF(OR(DATE(Jahr,7,15)&lt;INDEX(MvBeginn,29),AND(INDEX(MvEnde,29)&gt;0,DATE(Jahr,7,15)&gt;INDEX(MvEnde,29))),0,IF(DATE(Jahr,7,15)&gt;=INDEX(MvKey3,29),INDEX(MvNkV3,29),IF(DATE(Jahr,7,15)&gt;=INDEX(MvKey2,29),INDEX(MvNkV2,29),IF(DATE(Jahr,7,15)&gt;=INDEX(MvKey1,29),INDEX(MvNkV1,29),0)))))</f>
      </c>
      <c r="L986" s="43">
        <f>IF(INDEX(MvBeginn,29)="",0,IF(OR(DATE(Jahr,8,15)&lt;INDEX(MvBeginn,29),AND(INDEX(MvEnde,29)&gt;0,DATE(Jahr,8,15)&gt;INDEX(MvEnde,29))),0,IF(DATE(Jahr,8,15)&gt;=INDEX(MvKey3,29),INDEX(MvNkV3,29),IF(DATE(Jahr,8,15)&gt;=INDEX(MvKey2,29),INDEX(MvNkV2,29),IF(DATE(Jahr,8,15)&gt;=INDEX(MvKey1,29),INDEX(MvNkV1,29),0)))))</f>
      </c>
      <c r="M986" s="43">
        <f>IF(INDEX(MvBeginn,29)="",0,IF(OR(DATE(Jahr,9,15)&lt;INDEX(MvBeginn,29),AND(INDEX(MvEnde,29)&gt;0,DATE(Jahr,9,15)&gt;INDEX(MvEnde,29))),0,IF(DATE(Jahr,9,15)&gt;=INDEX(MvKey3,29),INDEX(MvNkV3,29),IF(DATE(Jahr,9,15)&gt;=INDEX(MvKey2,29),INDEX(MvNkV2,29),IF(DATE(Jahr,9,15)&gt;=INDEX(MvKey1,29),INDEX(MvNkV1,29),0)))))</f>
      </c>
      <c r="N986" s="43">
        <f>IF(INDEX(MvBeginn,29)="",0,IF(OR(DATE(Jahr,10,15)&lt;INDEX(MvBeginn,29),AND(INDEX(MvEnde,29)&gt;0,DATE(Jahr,10,15)&gt;INDEX(MvEnde,29))),0,IF(DATE(Jahr,10,15)&gt;=INDEX(MvKey3,29),INDEX(MvNkV3,29),IF(DATE(Jahr,10,15)&gt;=INDEX(MvKey2,29),INDEX(MvNkV2,29),IF(DATE(Jahr,10,15)&gt;=INDEX(MvKey1,29),INDEX(MvNkV1,29),0)))))</f>
      </c>
      <c r="O986" s="43">
        <f>IF(INDEX(MvBeginn,29)="",0,IF(OR(DATE(Jahr,11,15)&lt;INDEX(MvBeginn,29),AND(INDEX(MvEnde,29)&gt;0,DATE(Jahr,11,15)&gt;INDEX(MvEnde,29))),0,IF(DATE(Jahr,11,15)&gt;=INDEX(MvKey3,29),INDEX(MvNkV3,29),IF(DATE(Jahr,11,15)&gt;=INDEX(MvKey2,29),INDEX(MvNkV2,29),IF(DATE(Jahr,11,15)&gt;=INDEX(MvKey1,29),INDEX(MvNkV1,29),0)))))</f>
      </c>
      <c r="P986" s="43">
        <f>IF(INDEX(MvBeginn,29)="",0,IF(OR(DATE(Jahr,12,15)&lt;INDEX(MvBeginn,29),AND(INDEX(MvEnde,29)&gt;0,DATE(Jahr,12,15)&gt;INDEX(MvEnde,29))),0,IF(DATE(Jahr,12,15)&gt;=INDEX(MvKey3,29),INDEX(MvNkV3,29),IF(DATE(Jahr,12,15)&gt;=INDEX(MvKey2,29),INDEX(MvNkV2,29),IF(DATE(Jahr,12,15)&gt;=INDEX(MvKey1,29),INDEX(MvNkV1,29),0)))))</f>
      </c>
    </row>
    <row r="987">
      <c r="A987"/>
      <c r="B987">
        <v>30</v>
      </c>
      <c r="C987" s="43">
        <f>INDEX(MvObj,30)</f>
      </c>
      <c r="D987"/>
      <c r="E987" s="43">
        <f>IF(INDEX(MvBeginn,30)="",0,IF(OR(DATE(Jahr,1,15)&lt;INDEX(MvBeginn,30),AND(INDEX(MvEnde,30)&gt;0,DATE(Jahr,1,15)&gt;INDEX(MvEnde,30))),0,IF(DATE(Jahr,1,15)&gt;=INDEX(MvKey3,30),INDEX(MvNkV3,30),IF(DATE(Jahr,1,15)&gt;=INDEX(MvKey2,30),INDEX(MvNkV2,30),IF(DATE(Jahr,1,15)&gt;=INDEX(MvKey1,30),INDEX(MvNkV1,30),0)))))</f>
      </c>
      <c r="F987" s="43">
        <f>IF(INDEX(MvBeginn,30)="",0,IF(OR(DATE(Jahr,2,15)&lt;INDEX(MvBeginn,30),AND(INDEX(MvEnde,30)&gt;0,DATE(Jahr,2,15)&gt;INDEX(MvEnde,30))),0,IF(DATE(Jahr,2,15)&gt;=INDEX(MvKey3,30),INDEX(MvNkV3,30),IF(DATE(Jahr,2,15)&gt;=INDEX(MvKey2,30),INDEX(MvNkV2,30),IF(DATE(Jahr,2,15)&gt;=INDEX(MvKey1,30),INDEX(MvNkV1,30),0)))))</f>
      </c>
      <c r="G987" s="43">
        <f>IF(INDEX(MvBeginn,30)="",0,IF(OR(DATE(Jahr,3,15)&lt;INDEX(MvBeginn,30),AND(INDEX(MvEnde,30)&gt;0,DATE(Jahr,3,15)&gt;INDEX(MvEnde,30))),0,IF(DATE(Jahr,3,15)&gt;=INDEX(MvKey3,30),INDEX(MvNkV3,30),IF(DATE(Jahr,3,15)&gt;=INDEX(MvKey2,30),INDEX(MvNkV2,30),IF(DATE(Jahr,3,15)&gt;=INDEX(MvKey1,30),INDEX(MvNkV1,30),0)))))</f>
      </c>
      <c r="H987" s="43">
        <f>IF(INDEX(MvBeginn,30)="",0,IF(OR(DATE(Jahr,4,15)&lt;INDEX(MvBeginn,30),AND(INDEX(MvEnde,30)&gt;0,DATE(Jahr,4,15)&gt;INDEX(MvEnde,30))),0,IF(DATE(Jahr,4,15)&gt;=INDEX(MvKey3,30),INDEX(MvNkV3,30),IF(DATE(Jahr,4,15)&gt;=INDEX(MvKey2,30),INDEX(MvNkV2,30),IF(DATE(Jahr,4,15)&gt;=INDEX(MvKey1,30),INDEX(MvNkV1,30),0)))))</f>
      </c>
      <c r="I987" s="43">
        <f>IF(INDEX(MvBeginn,30)="",0,IF(OR(DATE(Jahr,5,15)&lt;INDEX(MvBeginn,30),AND(INDEX(MvEnde,30)&gt;0,DATE(Jahr,5,15)&gt;INDEX(MvEnde,30))),0,IF(DATE(Jahr,5,15)&gt;=INDEX(MvKey3,30),INDEX(MvNkV3,30),IF(DATE(Jahr,5,15)&gt;=INDEX(MvKey2,30),INDEX(MvNkV2,30),IF(DATE(Jahr,5,15)&gt;=INDEX(MvKey1,30),INDEX(MvNkV1,30),0)))))</f>
      </c>
      <c r="J987" s="43">
        <f>IF(INDEX(MvBeginn,30)="",0,IF(OR(DATE(Jahr,6,15)&lt;INDEX(MvBeginn,30),AND(INDEX(MvEnde,30)&gt;0,DATE(Jahr,6,15)&gt;INDEX(MvEnde,30))),0,IF(DATE(Jahr,6,15)&gt;=INDEX(MvKey3,30),INDEX(MvNkV3,30),IF(DATE(Jahr,6,15)&gt;=INDEX(MvKey2,30),INDEX(MvNkV2,30),IF(DATE(Jahr,6,15)&gt;=INDEX(MvKey1,30),INDEX(MvNkV1,30),0)))))</f>
      </c>
      <c r="K987" s="43">
        <f>IF(INDEX(MvBeginn,30)="",0,IF(OR(DATE(Jahr,7,15)&lt;INDEX(MvBeginn,30),AND(INDEX(MvEnde,30)&gt;0,DATE(Jahr,7,15)&gt;INDEX(MvEnde,30))),0,IF(DATE(Jahr,7,15)&gt;=INDEX(MvKey3,30),INDEX(MvNkV3,30),IF(DATE(Jahr,7,15)&gt;=INDEX(MvKey2,30),INDEX(MvNkV2,30),IF(DATE(Jahr,7,15)&gt;=INDEX(MvKey1,30),INDEX(MvNkV1,30),0)))))</f>
      </c>
      <c r="L987" s="43">
        <f>IF(INDEX(MvBeginn,30)="",0,IF(OR(DATE(Jahr,8,15)&lt;INDEX(MvBeginn,30),AND(INDEX(MvEnde,30)&gt;0,DATE(Jahr,8,15)&gt;INDEX(MvEnde,30))),0,IF(DATE(Jahr,8,15)&gt;=INDEX(MvKey3,30),INDEX(MvNkV3,30),IF(DATE(Jahr,8,15)&gt;=INDEX(MvKey2,30),INDEX(MvNkV2,30),IF(DATE(Jahr,8,15)&gt;=INDEX(MvKey1,30),INDEX(MvNkV1,30),0)))))</f>
      </c>
      <c r="M987" s="43">
        <f>IF(INDEX(MvBeginn,30)="",0,IF(OR(DATE(Jahr,9,15)&lt;INDEX(MvBeginn,30),AND(INDEX(MvEnde,30)&gt;0,DATE(Jahr,9,15)&gt;INDEX(MvEnde,30))),0,IF(DATE(Jahr,9,15)&gt;=INDEX(MvKey3,30),INDEX(MvNkV3,30),IF(DATE(Jahr,9,15)&gt;=INDEX(MvKey2,30),INDEX(MvNkV2,30),IF(DATE(Jahr,9,15)&gt;=INDEX(MvKey1,30),INDEX(MvNkV1,30),0)))))</f>
      </c>
      <c r="N987" s="43">
        <f>IF(INDEX(MvBeginn,30)="",0,IF(OR(DATE(Jahr,10,15)&lt;INDEX(MvBeginn,30),AND(INDEX(MvEnde,30)&gt;0,DATE(Jahr,10,15)&gt;INDEX(MvEnde,30))),0,IF(DATE(Jahr,10,15)&gt;=INDEX(MvKey3,30),INDEX(MvNkV3,30),IF(DATE(Jahr,10,15)&gt;=INDEX(MvKey2,30),INDEX(MvNkV2,30),IF(DATE(Jahr,10,15)&gt;=INDEX(MvKey1,30),INDEX(MvNkV1,30),0)))))</f>
      </c>
      <c r="O987" s="43">
        <f>IF(INDEX(MvBeginn,30)="",0,IF(OR(DATE(Jahr,11,15)&lt;INDEX(MvBeginn,30),AND(INDEX(MvEnde,30)&gt;0,DATE(Jahr,11,15)&gt;INDEX(MvEnde,30))),0,IF(DATE(Jahr,11,15)&gt;=INDEX(MvKey3,30),INDEX(MvNkV3,30),IF(DATE(Jahr,11,15)&gt;=INDEX(MvKey2,30),INDEX(MvNkV2,30),IF(DATE(Jahr,11,15)&gt;=INDEX(MvKey1,30),INDEX(MvNkV1,30),0)))))</f>
      </c>
      <c r="P987" s="43">
        <f>IF(INDEX(MvBeginn,30)="",0,IF(OR(DATE(Jahr,12,15)&lt;INDEX(MvBeginn,30),AND(INDEX(MvEnde,30)&gt;0,DATE(Jahr,12,15)&gt;INDEX(MvEnde,30))),0,IF(DATE(Jahr,12,15)&gt;=INDEX(MvKey3,30),INDEX(MvNkV3,30),IF(DATE(Jahr,12,15)&gt;=INDEX(MvKey2,30),INDEX(MvNkV2,30),IF(DATE(Jahr,12,15)&gt;=INDEX(MvKey1,30),INDEX(MvNkV1,30),0)))))</f>
      </c>
    </row>
    <row r="990">
      <c r="A990"/>
      <c r="B990" s="4" t="inlineStr">
        <is>
          <t xml:space="preserve">D · Objektjahr (Objekt × Jahr) – Prognose je Objekt</t>
        </is>
      </c>
    </row>
    <row r="991">
      <c r="A991"/>
      <c r="B991" s="24" t="inlineStr">
        <is>
          <t xml:space="preserve">Objekt</t>
        </is>
      </c>
      <c r="C991" s="24" t="inlineStr">
        <is>
          <t xml:space="preserve">Jahr</t>
        </is>
      </c>
      <c r="D991" s="24" t="inlineStr">
        <is>
          <t xml:space="preserve">t</t>
        </is>
      </c>
      <c r="E991" s="24" t="inlineStr">
        <is>
          <t xml:space="preserve">Besitzanteil</t>
        </is>
      </c>
      <c r="F991" s="24" t="inlineStr">
        <is>
          <t xml:space="preserve">Miete</t>
        </is>
      </c>
      <c r="G991" s="24" t="inlineStr">
        <is>
          <t xml:space="preserve">Bewirtschaftung</t>
        </is>
      </c>
      <c r="H991" s="24" t="inlineStr">
        <is>
          <t xml:space="preserve">Instandhaltung</t>
        </is>
      </c>
      <c r="I991" s="24" t="inlineStr">
        <is>
          <t xml:space="preserve">Zins</t>
        </is>
      </c>
      <c r="J991" s="24" t="inlineStr">
        <is>
          <t xml:space="preserve">Tilgung</t>
        </is>
      </c>
      <c r="K991" s="24" t="inlineStr">
        <is>
          <t xml:space="preserve">Sondertilgung</t>
        </is>
      </c>
      <c r="L991" s="24" t="inlineStr">
        <is>
          <t xml:space="preserve">Tilgungsersatz</t>
        </is>
      </c>
      <c r="M991" s="24" t="inlineStr">
        <is>
          <t xml:space="preserve">Restschuld</t>
        </is>
      </c>
      <c r="N991" s="24" t="inlineStr">
        <is>
          <t xml:space="preserve">Guthaben</t>
        </is>
      </c>
      <c r="O991" s="24" t="inlineStr">
        <is>
          <t xml:space="preserve">Verkehrswert</t>
        </is>
      </c>
      <c r="P991" s="24" t="inlineStr">
        <is>
          <t xml:space="preserve">AfA</t>
        </is>
      </c>
      <c r="Q991" s="24" t="inlineStr">
        <is>
          <t xml:space="preserve">Einkünfte</t>
        </is>
      </c>
      <c r="R991" s="24" t="inlineStr">
        <is>
          <t xml:space="preserve">Steuer</t>
        </is>
      </c>
      <c r="S991" s="24" t="inlineStr">
        <is>
          <t xml:space="preserve">Kapitaldienst</t>
        </is>
      </c>
      <c r="T991" s="24" t="inlineStr">
        <is>
          <t xml:space="preserve">CF vor St.</t>
        </is>
      </c>
      <c r="U991" s="24" t="inlineStr">
        <is>
          <t xml:space="preserve">CF nach St.</t>
        </is>
      </c>
      <c r="V991" s="24" t="inlineStr">
        <is>
          <t xml:space="preserve">Eigenkapital</t>
        </is>
      </c>
      <c r="W991" s="24" t="inlineStr">
        <is>
          <t xml:space="preserve">Vermögensaufbau</t>
        </is>
      </c>
      <c r="X991" s="24" t="inlineStr">
        <is>
          <t xml:space="preserve">LTV</t>
        </is>
      </c>
    </row>
    <row r="992">
      <c r="A992"/>
      <c r="B992">
        <v>1</v>
      </c>
      <c r="C992" s="43">
        <f>Jahr+0</f>
      </c>
      <c r="D992">
        <v>0</v>
      </c>
      <c r="E992" s="43">
        <f>IF(INDEX(ObjKaufJahr,1)=0,0,IF($C992&lt;INDEX(ObjKaufJahr,1),0,IF($C992&gt;INDEX(ObjKaufJahr,1),12,13-INDEX(ObjKaufMonat,1))))/12</f>
      </c>
      <c r="F992" s="43">
        <f>SUMIFS(MlSumme,MlObj,1,MlJahr,$C992)*(1-Leerstand/100)</f>
      </c>
      <c r="G992" s="43">
        <f>INDEX(ObjLaufend,1)*(1+(Inflation)/100)^MAX(0,0)*$E992</f>
      </c>
      <c r="H992" s="43">
        <f>INDEX(ObjInstandBasis,1)*(1+(Inflation)/100)^MAX(0,0)*$E992</f>
      </c>
      <c r="I992" s="43">
        <f>SUMIFS(TilgZins,TilgObj,1,TilgJahr,$C992)</f>
      </c>
      <c r="J992" s="43">
        <f>SUMIFS(TilgTilgung,TilgObj,1,TilgJahr,$C992)</f>
      </c>
      <c r="K992" s="43">
        <f>SUMIFS(TilgSonder,TilgObj,1,TilgJahr,$C992)</f>
      </c>
      <c r="L992" s="43">
        <f>SUMIFS(TilgErsatz,TilgObj,1,TilgJahr,$C992)</f>
      </c>
      <c r="M992" s="43">
        <f>MAX(0,SUMIF(DarlObj,1,DarlBetrag)-SUMIFS(TilgTilgung,TilgObj,1,TilgJahr,"&lt;="&amp;$C992)-SUMIFS(TilgSonder,TilgObj,1,TilgJahr,"&lt;="&amp;$C992))</f>
      </c>
      <c r="N992" s="43">
        <f>SUMIFS(TilgErsatz,TilgObj,1,TilgJahr,"&lt;="&amp;$C992)+SUMIFS(TilgErtrag,TilgObj,1,TilgJahr,"&lt;="&amp;$C992)</f>
      </c>
      <c r="O992" s="43">
        <f>INDEX(ObjWertEff,1)*(1+(Wertsteigerung)/100)^MAX(0,0)</f>
      </c>
      <c r="P992" s="43">
        <f>IF(OR(INDEX(ObjAfaDauer,1)=0,INDEX(ObjAfaJahr,1)=0,$C992&lt;INDEX(ObjKaufJahr,1),$C992&gt;=INDEX(ObjKaufJahr,1)+INDEX(ObjAfaDauer,1)),0,IF($C992=INDEX(ObjKaufJahr,1),INDEX(ObjAfaJahr,1)*(13-INDEX(ObjKaufMonat,1))/12,INDEX(ObjAfaJahr,1)))</f>
      </c>
      <c r="Q992" s="43">
        <f>$F992-$G992-$H992-$I992-$P992</f>
      </c>
      <c r="R992" s="43">
        <f>$Q992*INDEX(ObjSteuersatz,1)/100</f>
      </c>
      <c r="S992" s="43">
        <f>$I992+$J992+$K992+$L992</f>
      </c>
      <c r="T992" s="43">
        <f>$F992-$G992-$H992-$S992</f>
      </c>
      <c r="U992" s="43">
        <f>$T992-$R992</f>
      </c>
      <c r="V992" s="43">
        <f>$O992-$M992</f>
      </c>
      <c r="W992" s="43">
        <f>$J992+$K992+$L992</f>
      </c>
      <c r="X992" s="43">
        <f>IF($O992=0,0,$M992/$O992*100)</f>
      </c>
    </row>
    <row r="993">
      <c r="A993"/>
      <c r="B993">
        <v>1</v>
      </c>
      <c r="C993" s="43">
        <f>Jahr+1</f>
      </c>
      <c r="D993">
        <v>1</v>
      </c>
      <c r="E993" s="43">
        <f>IF(INDEX(ObjKaufJahr,1)=0,0,IF($C993&lt;INDEX(ObjKaufJahr,1),0,IF($C993&gt;INDEX(ObjKaufJahr,1),12,13-INDEX(ObjKaufMonat,1))))/12</f>
      </c>
      <c r="F993" s="43">
        <f>SUMIFS(MlSumme,MlObj,1,MlJahr,$C993)*(1-Leerstand/100)</f>
      </c>
      <c r="G993" s="43">
        <f>INDEX(ObjLaufend,1)*(1+(Inflation)/100)^MAX(0,1)*$E993</f>
      </c>
      <c r="H993" s="43">
        <f>INDEX(ObjInstandBasis,1)*(1+(Inflation)/100)^MAX(0,1)*$E993</f>
      </c>
      <c r="I993" s="43">
        <f>SUMIFS(TilgZins,TilgObj,1,TilgJahr,$C993)</f>
      </c>
      <c r="J993" s="43">
        <f>SUMIFS(TilgTilgung,TilgObj,1,TilgJahr,$C993)</f>
      </c>
      <c r="K993" s="43">
        <f>SUMIFS(TilgSonder,TilgObj,1,TilgJahr,$C993)</f>
      </c>
      <c r="L993" s="43">
        <f>SUMIFS(TilgErsatz,TilgObj,1,TilgJahr,$C993)</f>
      </c>
      <c r="M993" s="43">
        <f>MAX(0,SUMIF(DarlObj,1,DarlBetrag)-SUMIFS(TilgTilgung,TilgObj,1,TilgJahr,"&lt;="&amp;$C993)-SUMIFS(TilgSonder,TilgObj,1,TilgJahr,"&lt;="&amp;$C993))</f>
      </c>
      <c r="N993" s="43">
        <f>SUMIFS(TilgErsatz,TilgObj,1,TilgJahr,"&lt;="&amp;$C993)+SUMIFS(TilgErtrag,TilgObj,1,TilgJahr,"&lt;="&amp;$C993)</f>
      </c>
      <c r="O993" s="43">
        <f>INDEX(ObjWertEff,1)*(1+(Wertsteigerung)/100)^MAX(0,1)</f>
      </c>
      <c r="P993" s="43">
        <f>IF(OR(INDEX(ObjAfaDauer,1)=0,INDEX(ObjAfaJahr,1)=0,$C993&lt;INDEX(ObjKaufJahr,1),$C993&gt;=INDEX(ObjKaufJahr,1)+INDEX(ObjAfaDauer,1)),0,IF($C993=INDEX(ObjKaufJahr,1),INDEX(ObjAfaJahr,1)*(13-INDEX(ObjKaufMonat,1))/12,INDEX(ObjAfaJahr,1)))</f>
      </c>
      <c r="Q993" s="43">
        <f>$F993-$G993-$H993-$I993-$P993</f>
      </c>
      <c r="R993" s="43">
        <f>$Q993*INDEX(ObjSteuersatz,1)/100</f>
      </c>
      <c r="S993" s="43">
        <f>$I993+$J993+$K993+$L993</f>
      </c>
      <c r="T993" s="43">
        <f>$F993-$G993-$H993-$S993</f>
      </c>
      <c r="U993" s="43">
        <f>$T993-$R993</f>
      </c>
      <c r="V993" s="43">
        <f>$O993-$M993</f>
      </c>
      <c r="W993" s="43">
        <f>$J993+$K993+$L993</f>
      </c>
      <c r="X993" s="43">
        <f>IF($O993=0,0,$M993/$O993*100)</f>
      </c>
    </row>
    <row r="994">
      <c r="A994"/>
      <c r="B994">
        <v>1</v>
      </c>
      <c r="C994" s="43">
        <f>Jahr+2</f>
      </c>
      <c r="D994">
        <v>2</v>
      </c>
      <c r="E994" s="43">
        <f>IF(INDEX(ObjKaufJahr,1)=0,0,IF($C994&lt;INDEX(ObjKaufJahr,1),0,IF($C994&gt;INDEX(ObjKaufJahr,1),12,13-INDEX(ObjKaufMonat,1))))/12</f>
      </c>
      <c r="F994" s="43">
        <f>SUMIFS(MlSumme,MlObj,1,MlJahr,$C994)*(1-Leerstand/100)</f>
      </c>
      <c r="G994" s="43">
        <f>INDEX(ObjLaufend,1)*(1+(Inflation)/100)^MAX(0,2)*$E994</f>
      </c>
      <c r="H994" s="43">
        <f>INDEX(ObjInstandBasis,1)*(1+(Inflation)/100)^MAX(0,2)*$E994</f>
      </c>
      <c r="I994" s="43">
        <f>SUMIFS(TilgZins,TilgObj,1,TilgJahr,$C994)</f>
      </c>
      <c r="J994" s="43">
        <f>SUMIFS(TilgTilgung,TilgObj,1,TilgJahr,$C994)</f>
      </c>
      <c r="K994" s="43">
        <f>SUMIFS(TilgSonder,TilgObj,1,TilgJahr,$C994)</f>
      </c>
      <c r="L994" s="43">
        <f>SUMIFS(TilgErsatz,TilgObj,1,TilgJahr,$C994)</f>
      </c>
      <c r="M994" s="43">
        <f>MAX(0,SUMIF(DarlObj,1,DarlBetrag)-SUMIFS(TilgTilgung,TilgObj,1,TilgJahr,"&lt;="&amp;$C994)-SUMIFS(TilgSonder,TilgObj,1,TilgJahr,"&lt;="&amp;$C994))</f>
      </c>
      <c r="N994" s="43">
        <f>SUMIFS(TilgErsatz,TilgObj,1,TilgJahr,"&lt;="&amp;$C994)+SUMIFS(TilgErtrag,TilgObj,1,TilgJahr,"&lt;="&amp;$C994)</f>
      </c>
      <c r="O994" s="43">
        <f>INDEX(ObjWertEff,1)*(1+(Wertsteigerung)/100)^MAX(0,2)</f>
      </c>
      <c r="P994" s="43">
        <f>IF(OR(INDEX(ObjAfaDauer,1)=0,INDEX(ObjAfaJahr,1)=0,$C994&lt;INDEX(ObjKaufJahr,1),$C994&gt;=INDEX(ObjKaufJahr,1)+INDEX(ObjAfaDauer,1)),0,IF($C994=INDEX(ObjKaufJahr,1),INDEX(ObjAfaJahr,1)*(13-INDEX(ObjKaufMonat,1))/12,INDEX(ObjAfaJahr,1)))</f>
      </c>
      <c r="Q994" s="43">
        <f>$F994-$G994-$H994-$I994-$P994</f>
      </c>
      <c r="R994" s="43">
        <f>$Q994*INDEX(ObjSteuersatz,1)/100</f>
      </c>
      <c r="S994" s="43">
        <f>$I994+$J994+$K994+$L994</f>
      </c>
      <c r="T994" s="43">
        <f>$F994-$G994-$H994-$S994</f>
      </c>
      <c r="U994" s="43">
        <f>$T994-$R994</f>
      </c>
      <c r="V994" s="43">
        <f>$O994-$M994</f>
      </c>
      <c r="W994" s="43">
        <f>$J994+$K994+$L994</f>
      </c>
      <c r="X994" s="43">
        <f>IF($O994=0,0,$M994/$O994*100)</f>
      </c>
    </row>
    <row r="995">
      <c r="A995"/>
      <c r="B995">
        <v>1</v>
      </c>
      <c r="C995" s="43">
        <f>Jahr+3</f>
      </c>
      <c r="D995">
        <v>3</v>
      </c>
      <c r="E995" s="43">
        <f>IF(INDEX(ObjKaufJahr,1)=0,0,IF($C995&lt;INDEX(ObjKaufJahr,1),0,IF($C995&gt;INDEX(ObjKaufJahr,1),12,13-INDEX(ObjKaufMonat,1))))/12</f>
      </c>
      <c r="F995" s="43">
        <f>SUMIFS(MlSumme,MlObj,1,MlJahr,$C995)*(1-Leerstand/100)</f>
      </c>
      <c r="G995" s="43">
        <f>INDEX(ObjLaufend,1)*(1+(Inflation)/100)^MAX(0,3)*$E995</f>
      </c>
      <c r="H995" s="43">
        <f>INDEX(ObjInstandBasis,1)*(1+(Inflation)/100)^MAX(0,3)*$E995</f>
      </c>
      <c r="I995" s="43">
        <f>SUMIFS(TilgZins,TilgObj,1,TilgJahr,$C995)</f>
      </c>
      <c r="J995" s="43">
        <f>SUMIFS(TilgTilgung,TilgObj,1,TilgJahr,$C995)</f>
      </c>
      <c r="K995" s="43">
        <f>SUMIFS(TilgSonder,TilgObj,1,TilgJahr,$C995)</f>
      </c>
      <c r="L995" s="43">
        <f>SUMIFS(TilgErsatz,TilgObj,1,TilgJahr,$C995)</f>
      </c>
      <c r="M995" s="43">
        <f>MAX(0,SUMIF(DarlObj,1,DarlBetrag)-SUMIFS(TilgTilgung,TilgObj,1,TilgJahr,"&lt;="&amp;$C995)-SUMIFS(TilgSonder,TilgObj,1,TilgJahr,"&lt;="&amp;$C995))</f>
      </c>
      <c r="N995" s="43">
        <f>SUMIFS(TilgErsatz,TilgObj,1,TilgJahr,"&lt;="&amp;$C995)+SUMIFS(TilgErtrag,TilgObj,1,TilgJahr,"&lt;="&amp;$C995)</f>
      </c>
      <c r="O995" s="43">
        <f>INDEX(ObjWertEff,1)*(1+(Wertsteigerung)/100)^MAX(0,3)</f>
      </c>
      <c r="P995" s="43">
        <f>IF(OR(INDEX(ObjAfaDauer,1)=0,INDEX(ObjAfaJahr,1)=0,$C995&lt;INDEX(ObjKaufJahr,1),$C995&gt;=INDEX(ObjKaufJahr,1)+INDEX(ObjAfaDauer,1)),0,IF($C995=INDEX(ObjKaufJahr,1),INDEX(ObjAfaJahr,1)*(13-INDEX(ObjKaufMonat,1))/12,INDEX(ObjAfaJahr,1)))</f>
      </c>
      <c r="Q995" s="43">
        <f>$F995-$G995-$H995-$I995-$P995</f>
      </c>
      <c r="R995" s="43">
        <f>$Q995*INDEX(ObjSteuersatz,1)/100</f>
      </c>
      <c r="S995" s="43">
        <f>$I995+$J995+$K995+$L995</f>
      </c>
      <c r="T995" s="43">
        <f>$F995-$G995-$H995-$S995</f>
      </c>
      <c r="U995" s="43">
        <f>$T995-$R995</f>
      </c>
      <c r="V995" s="43">
        <f>$O995-$M995</f>
      </c>
      <c r="W995" s="43">
        <f>$J995+$K995+$L995</f>
      </c>
      <c r="X995" s="43">
        <f>IF($O995=0,0,$M995/$O995*100)</f>
      </c>
    </row>
    <row r="996">
      <c r="A996"/>
      <c r="B996">
        <v>1</v>
      </c>
      <c r="C996" s="43">
        <f>Jahr+4</f>
      </c>
      <c r="D996">
        <v>4</v>
      </c>
      <c r="E996" s="43">
        <f>IF(INDEX(ObjKaufJahr,1)=0,0,IF($C996&lt;INDEX(ObjKaufJahr,1),0,IF($C996&gt;INDEX(ObjKaufJahr,1),12,13-INDEX(ObjKaufMonat,1))))/12</f>
      </c>
      <c r="F996" s="43">
        <f>SUMIFS(MlSumme,MlObj,1,MlJahr,$C996)*(1-Leerstand/100)</f>
      </c>
      <c r="G996" s="43">
        <f>INDEX(ObjLaufend,1)*(1+(Inflation)/100)^MAX(0,4)*$E996</f>
      </c>
      <c r="H996" s="43">
        <f>INDEX(ObjInstandBasis,1)*(1+(Inflation)/100)^MAX(0,4)*$E996</f>
      </c>
      <c r="I996" s="43">
        <f>SUMIFS(TilgZins,TilgObj,1,TilgJahr,$C996)</f>
      </c>
      <c r="J996" s="43">
        <f>SUMIFS(TilgTilgung,TilgObj,1,TilgJahr,$C996)</f>
      </c>
      <c r="K996" s="43">
        <f>SUMIFS(TilgSonder,TilgObj,1,TilgJahr,$C996)</f>
      </c>
      <c r="L996" s="43">
        <f>SUMIFS(TilgErsatz,TilgObj,1,TilgJahr,$C996)</f>
      </c>
      <c r="M996" s="43">
        <f>MAX(0,SUMIF(DarlObj,1,DarlBetrag)-SUMIFS(TilgTilgung,TilgObj,1,TilgJahr,"&lt;="&amp;$C996)-SUMIFS(TilgSonder,TilgObj,1,TilgJahr,"&lt;="&amp;$C996))</f>
      </c>
      <c r="N996" s="43">
        <f>SUMIFS(TilgErsatz,TilgObj,1,TilgJahr,"&lt;="&amp;$C996)+SUMIFS(TilgErtrag,TilgObj,1,TilgJahr,"&lt;="&amp;$C996)</f>
      </c>
      <c r="O996" s="43">
        <f>INDEX(ObjWertEff,1)*(1+(Wertsteigerung)/100)^MAX(0,4)</f>
      </c>
      <c r="P996" s="43">
        <f>IF(OR(INDEX(ObjAfaDauer,1)=0,INDEX(ObjAfaJahr,1)=0,$C996&lt;INDEX(ObjKaufJahr,1),$C996&gt;=INDEX(ObjKaufJahr,1)+INDEX(ObjAfaDauer,1)),0,IF($C996=INDEX(ObjKaufJahr,1),INDEX(ObjAfaJahr,1)*(13-INDEX(ObjKaufMonat,1))/12,INDEX(ObjAfaJahr,1)))</f>
      </c>
      <c r="Q996" s="43">
        <f>$F996-$G996-$H996-$I996-$P996</f>
      </c>
      <c r="R996" s="43">
        <f>$Q996*INDEX(ObjSteuersatz,1)/100</f>
      </c>
      <c r="S996" s="43">
        <f>$I996+$J996+$K996+$L996</f>
      </c>
      <c r="T996" s="43">
        <f>$F996-$G996-$H996-$S996</f>
      </c>
      <c r="U996" s="43">
        <f>$T996-$R996</f>
      </c>
      <c r="V996" s="43">
        <f>$O996-$M996</f>
      </c>
      <c r="W996" s="43">
        <f>$J996+$K996+$L996</f>
      </c>
      <c r="X996" s="43">
        <f>IF($O996=0,0,$M996/$O996*100)</f>
      </c>
    </row>
    <row r="997">
      <c r="A997"/>
      <c r="B997">
        <v>1</v>
      </c>
      <c r="C997" s="43">
        <f>Jahr+5</f>
      </c>
      <c r="D997">
        <v>5</v>
      </c>
      <c r="E997" s="43">
        <f>IF(INDEX(ObjKaufJahr,1)=0,0,IF($C997&lt;INDEX(ObjKaufJahr,1),0,IF($C997&gt;INDEX(ObjKaufJahr,1),12,13-INDEX(ObjKaufMonat,1))))/12</f>
      </c>
      <c r="F997" s="43">
        <f>SUMIFS(MlSumme,MlObj,1,MlJahr,$C997)*(1-Leerstand/100)</f>
      </c>
      <c r="G997" s="43">
        <f>INDEX(ObjLaufend,1)*(1+(Inflation)/100)^MAX(0,5)*$E997</f>
      </c>
      <c r="H997" s="43">
        <f>INDEX(ObjInstandBasis,1)*(1+(Inflation)/100)^MAX(0,5)*$E997</f>
      </c>
      <c r="I997" s="43">
        <f>SUMIFS(TilgZins,TilgObj,1,TilgJahr,$C997)</f>
      </c>
      <c r="J997" s="43">
        <f>SUMIFS(TilgTilgung,TilgObj,1,TilgJahr,$C997)</f>
      </c>
      <c r="K997" s="43">
        <f>SUMIFS(TilgSonder,TilgObj,1,TilgJahr,$C997)</f>
      </c>
      <c r="L997" s="43">
        <f>SUMIFS(TilgErsatz,TilgObj,1,TilgJahr,$C997)</f>
      </c>
      <c r="M997" s="43">
        <f>MAX(0,SUMIF(DarlObj,1,DarlBetrag)-SUMIFS(TilgTilgung,TilgObj,1,TilgJahr,"&lt;="&amp;$C997)-SUMIFS(TilgSonder,TilgObj,1,TilgJahr,"&lt;="&amp;$C997))</f>
      </c>
      <c r="N997" s="43">
        <f>SUMIFS(TilgErsatz,TilgObj,1,TilgJahr,"&lt;="&amp;$C997)+SUMIFS(TilgErtrag,TilgObj,1,TilgJahr,"&lt;="&amp;$C997)</f>
      </c>
      <c r="O997" s="43">
        <f>INDEX(ObjWertEff,1)*(1+(Wertsteigerung)/100)^MAX(0,5)</f>
      </c>
      <c r="P997" s="43">
        <f>IF(OR(INDEX(ObjAfaDauer,1)=0,INDEX(ObjAfaJahr,1)=0,$C997&lt;INDEX(ObjKaufJahr,1),$C997&gt;=INDEX(ObjKaufJahr,1)+INDEX(ObjAfaDauer,1)),0,IF($C997=INDEX(ObjKaufJahr,1),INDEX(ObjAfaJahr,1)*(13-INDEX(ObjKaufMonat,1))/12,INDEX(ObjAfaJahr,1)))</f>
      </c>
      <c r="Q997" s="43">
        <f>$F997-$G997-$H997-$I997-$P997</f>
      </c>
      <c r="R997" s="43">
        <f>$Q997*INDEX(ObjSteuersatz,1)/100</f>
      </c>
      <c r="S997" s="43">
        <f>$I997+$J997+$K997+$L997</f>
      </c>
      <c r="T997" s="43">
        <f>$F997-$G997-$H997-$S997</f>
      </c>
      <c r="U997" s="43">
        <f>$T997-$R997</f>
      </c>
      <c r="V997" s="43">
        <f>$O997-$M997</f>
      </c>
      <c r="W997" s="43">
        <f>$J997+$K997+$L997</f>
      </c>
      <c r="X997" s="43">
        <f>IF($O997=0,0,$M997/$O997*100)</f>
      </c>
    </row>
    <row r="998">
      <c r="A998"/>
      <c r="B998">
        <v>1</v>
      </c>
      <c r="C998" s="43">
        <f>Jahr+6</f>
      </c>
      <c r="D998">
        <v>6</v>
      </c>
      <c r="E998" s="43">
        <f>IF(INDEX(ObjKaufJahr,1)=0,0,IF($C998&lt;INDEX(ObjKaufJahr,1),0,IF($C998&gt;INDEX(ObjKaufJahr,1),12,13-INDEX(ObjKaufMonat,1))))/12</f>
      </c>
      <c r="F998" s="43">
        <f>SUMIFS(MlSumme,MlObj,1,MlJahr,$C998)*(1-Leerstand/100)</f>
      </c>
      <c r="G998" s="43">
        <f>INDEX(ObjLaufend,1)*(1+(Inflation)/100)^MAX(0,6)*$E998</f>
      </c>
      <c r="H998" s="43">
        <f>INDEX(ObjInstandBasis,1)*(1+(Inflation)/100)^MAX(0,6)*$E998</f>
      </c>
      <c r="I998" s="43">
        <f>SUMIFS(TilgZins,TilgObj,1,TilgJahr,$C998)</f>
      </c>
      <c r="J998" s="43">
        <f>SUMIFS(TilgTilgung,TilgObj,1,TilgJahr,$C998)</f>
      </c>
      <c r="K998" s="43">
        <f>SUMIFS(TilgSonder,TilgObj,1,TilgJahr,$C998)</f>
      </c>
      <c r="L998" s="43">
        <f>SUMIFS(TilgErsatz,TilgObj,1,TilgJahr,$C998)</f>
      </c>
      <c r="M998" s="43">
        <f>MAX(0,SUMIF(DarlObj,1,DarlBetrag)-SUMIFS(TilgTilgung,TilgObj,1,TilgJahr,"&lt;="&amp;$C998)-SUMIFS(TilgSonder,TilgObj,1,TilgJahr,"&lt;="&amp;$C998))</f>
      </c>
      <c r="N998" s="43">
        <f>SUMIFS(TilgErsatz,TilgObj,1,TilgJahr,"&lt;="&amp;$C998)+SUMIFS(TilgErtrag,TilgObj,1,TilgJahr,"&lt;="&amp;$C998)</f>
      </c>
      <c r="O998" s="43">
        <f>INDEX(ObjWertEff,1)*(1+(Wertsteigerung)/100)^MAX(0,6)</f>
      </c>
      <c r="P998" s="43">
        <f>IF(OR(INDEX(ObjAfaDauer,1)=0,INDEX(ObjAfaJahr,1)=0,$C998&lt;INDEX(ObjKaufJahr,1),$C998&gt;=INDEX(ObjKaufJahr,1)+INDEX(ObjAfaDauer,1)),0,IF($C998=INDEX(ObjKaufJahr,1),INDEX(ObjAfaJahr,1)*(13-INDEX(ObjKaufMonat,1))/12,INDEX(ObjAfaJahr,1)))</f>
      </c>
      <c r="Q998" s="43">
        <f>$F998-$G998-$H998-$I998-$P998</f>
      </c>
      <c r="R998" s="43">
        <f>$Q998*INDEX(ObjSteuersatz,1)/100</f>
      </c>
      <c r="S998" s="43">
        <f>$I998+$J998+$K998+$L998</f>
      </c>
      <c r="T998" s="43">
        <f>$F998-$G998-$H998-$S998</f>
      </c>
      <c r="U998" s="43">
        <f>$T998-$R998</f>
      </c>
      <c r="V998" s="43">
        <f>$O998-$M998</f>
      </c>
      <c r="W998" s="43">
        <f>$J998+$K998+$L998</f>
      </c>
      <c r="X998" s="43">
        <f>IF($O998=0,0,$M998/$O998*100)</f>
      </c>
    </row>
    <row r="999">
      <c r="A999"/>
      <c r="B999">
        <v>1</v>
      </c>
      <c r="C999" s="43">
        <f>Jahr+7</f>
      </c>
      <c r="D999">
        <v>7</v>
      </c>
      <c r="E999" s="43">
        <f>IF(INDEX(ObjKaufJahr,1)=0,0,IF($C999&lt;INDEX(ObjKaufJahr,1),0,IF($C999&gt;INDEX(ObjKaufJahr,1),12,13-INDEX(ObjKaufMonat,1))))/12</f>
      </c>
      <c r="F999" s="43">
        <f>SUMIFS(MlSumme,MlObj,1,MlJahr,$C999)*(1-Leerstand/100)</f>
      </c>
      <c r="G999" s="43">
        <f>INDEX(ObjLaufend,1)*(1+(Inflation)/100)^MAX(0,7)*$E999</f>
      </c>
      <c r="H999" s="43">
        <f>INDEX(ObjInstandBasis,1)*(1+(Inflation)/100)^MAX(0,7)*$E999</f>
      </c>
      <c r="I999" s="43">
        <f>SUMIFS(TilgZins,TilgObj,1,TilgJahr,$C999)</f>
      </c>
      <c r="J999" s="43">
        <f>SUMIFS(TilgTilgung,TilgObj,1,TilgJahr,$C999)</f>
      </c>
      <c r="K999" s="43">
        <f>SUMIFS(TilgSonder,TilgObj,1,TilgJahr,$C999)</f>
      </c>
      <c r="L999" s="43">
        <f>SUMIFS(TilgErsatz,TilgObj,1,TilgJahr,$C999)</f>
      </c>
      <c r="M999" s="43">
        <f>MAX(0,SUMIF(DarlObj,1,DarlBetrag)-SUMIFS(TilgTilgung,TilgObj,1,TilgJahr,"&lt;="&amp;$C999)-SUMIFS(TilgSonder,TilgObj,1,TilgJahr,"&lt;="&amp;$C999))</f>
      </c>
      <c r="N999" s="43">
        <f>SUMIFS(TilgErsatz,TilgObj,1,TilgJahr,"&lt;="&amp;$C999)+SUMIFS(TilgErtrag,TilgObj,1,TilgJahr,"&lt;="&amp;$C999)</f>
      </c>
      <c r="O999" s="43">
        <f>INDEX(ObjWertEff,1)*(1+(Wertsteigerung)/100)^MAX(0,7)</f>
      </c>
      <c r="P999" s="43">
        <f>IF(OR(INDEX(ObjAfaDauer,1)=0,INDEX(ObjAfaJahr,1)=0,$C999&lt;INDEX(ObjKaufJahr,1),$C999&gt;=INDEX(ObjKaufJahr,1)+INDEX(ObjAfaDauer,1)),0,IF($C999=INDEX(ObjKaufJahr,1),INDEX(ObjAfaJahr,1)*(13-INDEX(ObjKaufMonat,1))/12,INDEX(ObjAfaJahr,1)))</f>
      </c>
      <c r="Q999" s="43">
        <f>$F999-$G999-$H999-$I999-$P999</f>
      </c>
      <c r="R999" s="43">
        <f>$Q999*INDEX(ObjSteuersatz,1)/100</f>
      </c>
      <c r="S999" s="43">
        <f>$I999+$J999+$K999+$L999</f>
      </c>
      <c r="T999" s="43">
        <f>$F999-$G999-$H999-$S999</f>
      </c>
      <c r="U999" s="43">
        <f>$T999-$R999</f>
      </c>
      <c r="V999" s="43">
        <f>$O999-$M999</f>
      </c>
      <c r="W999" s="43">
        <f>$J999+$K999+$L999</f>
      </c>
      <c r="X999" s="43">
        <f>IF($O999=0,0,$M999/$O999*100)</f>
      </c>
    </row>
    <row r="1000">
      <c r="A1000"/>
      <c r="B1000">
        <v>1</v>
      </c>
      <c r="C1000" s="43">
        <f>Jahr+8</f>
      </c>
      <c r="D1000">
        <v>8</v>
      </c>
      <c r="E1000" s="43">
        <f>IF(INDEX(ObjKaufJahr,1)=0,0,IF($C1000&lt;INDEX(ObjKaufJahr,1),0,IF($C1000&gt;INDEX(ObjKaufJahr,1),12,13-INDEX(ObjKaufMonat,1))))/12</f>
      </c>
      <c r="F1000" s="43">
        <f>SUMIFS(MlSumme,MlObj,1,MlJahr,$C1000)*(1-Leerstand/100)</f>
      </c>
      <c r="G1000" s="43">
        <f>INDEX(ObjLaufend,1)*(1+(Inflation)/100)^MAX(0,8)*$E1000</f>
      </c>
      <c r="H1000" s="43">
        <f>INDEX(ObjInstandBasis,1)*(1+(Inflation)/100)^MAX(0,8)*$E1000</f>
      </c>
      <c r="I1000" s="43">
        <f>SUMIFS(TilgZins,TilgObj,1,TilgJahr,$C1000)</f>
      </c>
      <c r="J1000" s="43">
        <f>SUMIFS(TilgTilgung,TilgObj,1,TilgJahr,$C1000)</f>
      </c>
      <c r="K1000" s="43">
        <f>SUMIFS(TilgSonder,TilgObj,1,TilgJahr,$C1000)</f>
      </c>
      <c r="L1000" s="43">
        <f>SUMIFS(TilgErsatz,TilgObj,1,TilgJahr,$C1000)</f>
      </c>
      <c r="M1000" s="43">
        <f>MAX(0,SUMIF(DarlObj,1,DarlBetrag)-SUMIFS(TilgTilgung,TilgObj,1,TilgJahr,"&lt;="&amp;$C1000)-SUMIFS(TilgSonder,TilgObj,1,TilgJahr,"&lt;="&amp;$C1000))</f>
      </c>
      <c r="N1000" s="43">
        <f>SUMIFS(TilgErsatz,TilgObj,1,TilgJahr,"&lt;="&amp;$C1000)+SUMIFS(TilgErtrag,TilgObj,1,TilgJahr,"&lt;="&amp;$C1000)</f>
      </c>
      <c r="O1000" s="43">
        <f>INDEX(ObjWertEff,1)*(1+(Wertsteigerung)/100)^MAX(0,8)</f>
      </c>
      <c r="P1000" s="43">
        <f>IF(OR(INDEX(ObjAfaDauer,1)=0,INDEX(ObjAfaJahr,1)=0,$C1000&lt;INDEX(ObjKaufJahr,1),$C1000&gt;=INDEX(ObjKaufJahr,1)+INDEX(ObjAfaDauer,1)),0,IF($C1000=INDEX(ObjKaufJahr,1),INDEX(ObjAfaJahr,1)*(13-INDEX(ObjKaufMonat,1))/12,INDEX(ObjAfaJahr,1)))</f>
      </c>
      <c r="Q1000" s="43">
        <f>$F1000-$G1000-$H1000-$I1000-$P1000</f>
      </c>
      <c r="R1000" s="43">
        <f>$Q1000*INDEX(ObjSteuersatz,1)/100</f>
      </c>
      <c r="S1000" s="43">
        <f>$I1000+$J1000+$K1000+$L1000</f>
      </c>
      <c r="T1000" s="43">
        <f>$F1000-$G1000-$H1000-$S1000</f>
      </c>
      <c r="U1000" s="43">
        <f>$T1000-$R1000</f>
      </c>
      <c r="V1000" s="43">
        <f>$O1000-$M1000</f>
      </c>
      <c r="W1000" s="43">
        <f>$J1000+$K1000+$L1000</f>
      </c>
      <c r="X1000" s="43">
        <f>IF($O1000=0,0,$M1000/$O1000*100)</f>
      </c>
    </row>
    <row r="1001">
      <c r="A1001"/>
      <c r="B1001">
        <v>1</v>
      </c>
      <c r="C1001" s="43">
        <f>Jahr+9</f>
      </c>
      <c r="D1001">
        <v>9</v>
      </c>
      <c r="E1001" s="43">
        <f>IF(INDEX(ObjKaufJahr,1)=0,0,IF($C1001&lt;INDEX(ObjKaufJahr,1),0,IF($C1001&gt;INDEX(ObjKaufJahr,1),12,13-INDEX(ObjKaufMonat,1))))/12</f>
      </c>
      <c r="F1001" s="43">
        <f>SUMIFS(MlSumme,MlObj,1,MlJahr,$C1001)*(1-Leerstand/100)</f>
      </c>
      <c r="G1001" s="43">
        <f>INDEX(ObjLaufend,1)*(1+(Inflation)/100)^MAX(0,9)*$E1001</f>
      </c>
      <c r="H1001" s="43">
        <f>INDEX(ObjInstandBasis,1)*(1+(Inflation)/100)^MAX(0,9)*$E1001</f>
      </c>
      <c r="I1001" s="43">
        <f>SUMIFS(TilgZins,TilgObj,1,TilgJahr,$C1001)</f>
      </c>
      <c r="J1001" s="43">
        <f>SUMIFS(TilgTilgung,TilgObj,1,TilgJahr,$C1001)</f>
      </c>
      <c r="K1001" s="43">
        <f>SUMIFS(TilgSonder,TilgObj,1,TilgJahr,$C1001)</f>
      </c>
      <c r="L1001" s="43">
        <f>SUMIFS(TilgErsatz,TilgObj,1,TilgJahr,$C1001)</f>
      </c>
      <c r="M1001" s="43">
        <f>MAX(0,SUMIF(DarlObj,1,DarlBetrag)-SUMIFS(TilgTilgung,TilgObj,1,TilgJahr,"&lt;="&amp;$C1001)-SUMIFS(TilgSonder,TilgObj,1,TilgJahr,"&lt;="&amp;$C1001))</f>
      </c>
      <c r="N1001" s="43">
        <f>SUMIFS(TilgErsatz,TilgObj,1,TilgJahr,"&lt;="&amp;$C1001)+SUMIFS(TilgErtrag,TilgObj,1,TilgJahr,"&lt;="&amp;$C1001)</f>
      </c>
      <c r="O1001" s="43">
        <f>INDEX(ObjWertEff,1)*(1+(Wertsteigerung)/100)^MAX(0,9)</f>
      </c>
      <c r="P1001" s="43">
        <f>IF(OR(INDEX(ObjAfaDauer,1)=0,INDEX(ObjAfaJahr,1)=0,$C1001&lt;INDEX(ObjKaufJahr,1),$C1001&gt;=INDEX(ObjKaufJahr,1)+INDEX(ObjAfaDauer,1)),0,IF($C1001=INDEX(ObjKaufJahr,1),INDEX(ObjAfaJahr,1)*(13-INDEX(ObjKaufMonat,1))/12,INDEX(ObjAfaJahr,1)))</f>
      </c>
      <c r="Q1001" s="43">
        <f>$F1001-$G1001-$H1001-$I1001-$P1001</f>
      </c>
      <c r="R1001" s="43">
        <f>$Q1001*INDEX(ObjSteuersatz,1)/100</f>
      </c>
      <c r="S1001" s="43">
        <f>$I1001+$J1001+$K1001+$L1001</f>
      </c>
      <c r="T1001" s="43">
        <f>$F1001-$G1001-$H1001-$S1001</f>
      </c>
      <c r="U1001" s="43">
        <f>$T1001-$R1001</f>
      </c>
      <c r="V1001" s="43">
        <f>$O1001-$M1001</f>
      </c>
      <c r="W1001" s="43">
        <f>$J1001+$K1001+$L1001</f>
      </c>
      <c r="X1001" s="43">
        <f>IF($O1001=0,0,$M1001/$O1001*100)</f>
      </c>
    </row>
    <row r="1002">
      <c r="A1002"/>
      <c r="B1002">
        <v>1</v>
      </c>
      <c r="C1002" s="43">
        <f>Jahr+10</f>
      </c>
      <c r="D1002">
        <v>10</v>
      </c>
      <c r="E1002" s="43">
        <f>IF(INDEX(ObjKaufJahr,1)=0,0,IF($C1002&lt;INDEX(ObjKaufJahr,1),0,IF($C1002&gt;INDEX(ObjKaufJahr,1),12,13-INDEX(ObjKaufMonat,1))))/12</f>
      </c>
      <c r="F1002" s="43">
        <f>SUMIFS(MlSumme,MlObj,1,MlJahr,$C1002)*(1-Leerstand/100)</f>
      </c>
      <c r="G1002" s="43">
        <f>INDEX(ObjLaufend,1)*(1+(Inflation)/100)^MAX(0,10)*$E1002</f>
      </c>
      <c r="H1002" s="43">
        <f>INDEX(ObjInstandBasis,1)*(1+(Inflation)/100)^MAX(0,10)*$E1002</f>
      </c>
      <c r="I1002" s="43">
        <f>SUMIFS(TilgZins,TilgObj,1,TilgJahr,$C1002)</f>
      </c>
      <c r="J1002" s="43">
        <f>SUMIFS(TilgTilgung,TilgObj,1,TilgJahr,$C1002)</f>
      </c>
      <c r="K1002" s="43">
        <f>SUMIFS(TilgSonder,TilgObj,1,TilgJahr,$C1002)</f>
      </c>
      <c r="L1002" s="43">
        <f>SUMIFS(TilgErsatz,TilgObj,1,TilgJahr,$C1002)</f>
      </c>
      <c r="M1002" s="43">
        <f>MAX(0,SUMIF(DarlObj,1,DarlBetrag)-SUMIFS(TilgTilgung,TilgObj,1,TilgJahr,"&lt;="&amp;$C1002)-SUMIFS(TilgSonder,TilgObj,1,TilgJahr,"&lt;="&amp;$C1002))</f>
      </c>
      <c r="N1002" s="43">
        <f>SUMIFS(TilgErsatz,TilgObj,1,TilgJahr,"&lt;="&amp;$C1002)+SUMIFS(TilgErtrag,TilgObj,1,TilgJahr,"&lt;="&amp;$C1002)</f>
      </c>
      <c r="O1002" s="43">
        <f>INDEX(ObjWertEff,1)*(1+(Wertsteigerung)/100)^MAX(0,10)</f>
      </c>
      <c r="P1002" s="43">
        <f>IF(OR(INDEX(ObjAfaDauer,1)=0,INDEX(ObjAfaJahr,1)=0,$C1002&lt;INDEX(ObjKaufJahr,1),$C1002&gt;=INDEX(ObjKaufJahr,1)+INDEX(ObjAfaDauer,1)),0,IF($C1002=INDEX(ObjKaufJahr,1),INDEX(ObjAfaJahr,1)*(13-INDEX(ObjKaufMonat,1))/12,INDEX(ObjAfaJahr,1)))</f>
      </c>
      <c r="Q1002" s="43">
        <f>$F1002-$G1002-$H1002-$I1002-$P1002</f>
      </c>
      <c r="R1002" s="43">
        <f>$Q1002*INDEX(ObjSteuersatz,1)/100</f>
      </c>
      <c r="S1002" s="43">
        <f>$I1002+$J1002+$K1002+$L1002</f>
      </c>
      <c r="T1002" s="43">
        <f>$F1002-$G1002-$H1002-$S1002</f>
      </c>
      <c r="U1002" s="43">
        <f>$T1002-$R1002</f>
      </c>
      <c r="V1002" s="43">
        <f>$O1002-$M1002</f>
      </c>
      <c r="W1002" s="43">
        <f>$J1002+$K1002+$L1002</f>
      </c>
      <c r="X1002" s="43">
        <f>IF($O1002=0,0,$M1002/$O1002*100)</f>
      </c>
    </row>
    <row r="1003">
      <c r="A1003"/>
      <c r="B1003">
        <v>1</v>
      </c>
      <c r="C1003" s="43">
        <f>Jahr+11</f>
      </c>
      <c r="D1003">
        <v>11</v>
      </c>
      <c r="E1003" s="43">
        <f>IF(INDEX(ObjKaufJahr,1)=0,0,IF($C1003&lt;INDEX(ObjKaufJahr,1),0,IF($C1003&gt;INDEX(ObjKaufJahr,1),12,13-INDEX(ObjKaufMonat,1))))/12</f>
      </c>
      <c r="F1003" s="43">
        <f>SUMIFS(MlSumme,MlObj,1,MlJahr,$C1003)*(1-Leerstand/100)</f>
      </c>
      <c r="G1003" s="43">
        <f>INDEX(ObjLaufend,1)*(1+(Inflation)/100)^MAX(0,11)*$E1003</f>
      </c>
      <c r="H1003" s="43">
        <f>INDEX(ObjInstandBasis,1)*(1+(Inflation)/100)^MAX(0,11)*$E1003</f>
      </c>
      <c r="I1003" s="43">
        <f>SUMIFS(TilgZins,TilgObj,1,TilgJahr,$C1003)</f>
      </c>
      <c r="J1003" s="43">
        <f>SUMIFS(TilgTilgung,TilgObj,1,TilgJahr,$C1003)</f>
      </c>
      <c r="K1003" s="43">
        <f>SUMIFS(TilgSonder,TilgObj,1,TilgJahr,$C1003)</f>
      </c>
      <c r="L1003" s="43">
        <f>SUMIFS(TilgErsatz,TilgObj,1,TilgJahr,$C1003)</f>
      </c>
      <c r="M1003" s="43">
        <f>MAX(0,SUMIF(DarlObj,1,DarlBetrag)-SUMIFS(TilgTilgung,TilgObj,1,TilgJahr,"&lt;="&amp;$C1003)-SUMIFS(TilgSonder,TilgObj,1,TilgJahr,"&lt;="&amp;$C1003))</f>
      </c>
      <c r="N1003" s="43">
        <f>SUMIFS(TilgErsatz,TilgObj,1,TilgJahr,"&lt;="&amp;$C1003)+SUMIFS(TilgErtrag,TilgObj,1,TilgJahr,"&lt;="&amp;$C1003)</f>
      </c>
      <c r="O1003" s="43">
        <f>INDEX(ObjWertEff,1)*(1+(Wertsteigerung)/100)^MAX(0,11)</f>
      </c>
      <c r="P1003" s="43">
        <f>IF(OR(INDEX(ObjAfaDauer,1)=0,INDEX(ObjAfaJahr,1)=0,$C1003&lt;INDEX(ObjKaufJahr,1),$C1003&gt;=INDEX(ObjKaufJahr,1)+INDEX(ObjAfaDauer,1)),0,IF($C1003=INDEX(ObjKaufJahr,1),INDEX(ObjAfaJahr,1)*(13-INDEX(ObjKaufMonat,1))/12,INDEX(ObjAfaJahr,1)))</f>
      </c>
      <c r="Q1003" s="43">
        <f>$F1003-$G1003-$H1003-$I1003-$P1003</f>
      </c>
      <c r="R1003" s="43">
        <f>$Q1003*INDEX(ObjSteuersatz,1)/100</f>
      </c>
      <c r="S1003" s="43">
        <f>$I1003+$J1003+$K1003+$L1003</f>
      </c>
      <c r="T1003" s="43">
        <f>$F1003-$G1003-$H1003-$S1003</f>
      </c>
      <c r="U1003" s="43">
        <f>$T1003-$R1003</f>
      </c>
      <c r="V1003" s="43">
        <f>$O1003-$M1003</f>
      </c>
      <c r="W1003" s="43">
        <f>$J1003+$K1003+$L1003</f>
      </c>
      <c r="X1003" s="43">
        <f>IF($O1003=0,0,$M1003/$O1003*100)</f>
      </c>
    </row>
    <row r="1004">
      <c r="A1004"/>
      <c r="B1004">
        <v>1</v>
      </c>
      <c r="C1004" s="43">
        <f>Jahr+12</f>
      </c>
      <c r="D1004">
        <v>12</v>
      </c>
      <c r="E1004" s="43">
        <f>IF(INDEX(ObjKaufJahr,1)=0,0,IF($C1004&lt;INDEX(ObjKaufJahr,1),0,IF($C1004&gt;INDEX(ObjKaufJahr,1),12,13-INDEX(ObjKaufMonat,1))))/12</f>
      </c>
      <c r="F1004" s="43">
        <f>SUMIFS(MlSumme,MlObj,1,MlJahr,$C1004)*(1-Leerstand/100)</f>
      </c>
      <c r="G1004" s="43">
        <f>INDEX(ObjLaufend,1)*(1+(Inflation)/100)^MAX(0,12)*$E1004</f>
      </c>
      <c r="H1004" s="43">
        <f>INDEX(ObjInstandBasis,1)*(1+(Inflation)/100)^MAX(0,12)*$E1004</f>
      </c>
      <c r="I1004" s="43">
        <f>SUMIFS(TilgZins,TilgObj,1,TilgJahr,$C1004)</f>
      </c>
      <c r="J1004" s="43">
        <f>SUMIFS(TilgTilgung,TilgObj,1,TilgJahr,$C1004)</f>
      </c>
      <c r="K1004" s="43">
        <f>SUMIFS(TilgSonder,TilgObj,1,TilgJahr,$C1004)</f>
      </c>
      <c r="L1004" s="43">
        <f>SUMIFS(TilgErsatz,TilgObj,1,TilgJahr,$C1004)</f>
      </c>
      <c r="M1004" s="43">
        <f>MAX(0,SUMIF(DarlObj,1,DarlBetrag)-SUMIFS(TilgTilgung,TilgObj,1,TilgJahr,"&lt;="&amp;$C1004)-SUMIFS(TilgSonder,TilgObj,1,TilgJahr,"&lt;="&amp;$C1004))</f>
      </c>
      <c r="N1004" s="43">
        <f>SUMIFS(TilgErsatz,TilgObj,1,TilgJahr,"&lt;="&amp;$C1004)+SUMIFS(TilgErtrag,TilgObj,1,TilgJahr,"&lt;="&amp;$C1004)</f>
      </c>
      <c r="O1004" s="43">
        <f>INDEX(ObjWertEff,1)*(1+(Wertsteigerung)/100)^MAX(0,12)</f>
      </c>
      <c r="P1004" s="43">
        <f>IF(OR(INDEX(ObjAfaDauer,1)=0,INDEX(ObjAfaJahr,1)=0,$C1004&lt;INDEX(ObjKaufJahr,1),$C1004&gt;=INDEX(ObjKaufJahr,1)+INDEX(ObjAfaDauer,1)),0,IF($C1004=INDEX(ObjKaufJahr,1),INDEX(ObjAfaJahr,1)*(13-INDEX(ObjKaufMonat,1))/12,INDEX(ObjAfaJahr,1)))</f>
      </c>
      <c r="Q1004" s="43">
        <f>$F1004-$G1004-$H1004-$I1004-$P1004</f>
      </c>
      <c r="R1004" s="43">
        <f>$Q1004*INDEX(ObjSteuersatz,1)/100</f>
      </c>
      <c r="S1004" s="43">
        <f>$I1004+$J1004+$K1004+$L1004</f>
      </c>
      <c r="T1004" s="43">
        <f>$F1004-$G1004-$H1004-$S1004</f>
      </c>
      <c r="U1004" s="43">
        <f>$T1004-$R1004</f>
      </c>
      <c r="V1004" s="43">
        <f>$O1004-$M1004</f>
      </c>
      <c r="W1004" s="43">
        <f>$J1004+$K1004+$L1004</f>
      </c>
      <c r="X1004" s="43">
        <f>IF($O1004=0,0,$M1004/$O1004*100)</f>
      </c>
    </row>
    <row r="1005">
      <c r="A1005"/>
      <c r="B1005">
        <v>1</v>
      </c>
      <c r="C1005" s="43">
        <f>Jahr+13</f>
      </c>
      <c r="D1005">
        <v>13</v>
      </c>
      <c r="E1005" s="43">
        <f>IF(INDEX(ObjKaufJahr,1)=0,0,IF($C1005&lt;INDEX(ObjKaufJahr,1),0,IF($C1005&gt;INDEX(ObjKaufJahr,1),12,13-INDEX(ObjKaufMonat,1))))/12</f>
      </c>
      <c r="F1005" s="43">
        <f>SUMIFS(MlSumme,MlObj,1,MlJahr,$C1005)*(1-Leerstand/100)</f>
      </c>
      <c r="G1005" s="43">
        <f>INDEX(ObjLaufend,1)*(1+(Inflation)/100)^MAX(0,13)*$E1005</f>
      </c>
      <c r="H1005" s="43">
        <f>INDEX(ObjInstandBasis,1)*(1+(Inflation)/100)^MAX(0,13)*$E1005</f>
      </c>
      <c r="I1005" s="43">
        <f>SUMIFS(TilgZins,TilgObj,1,TilgJahr,$C1005)</f>
      </c>
      <c r="J1005" s="43">
        <f>SUMIFS(TilgTilgung,TilgObj,1,TilgJahr,$C1005)</f>
      </c>
      <c r="K1005" s="43">
        <f>SUMIFS(TilgSonder,TilgObj,1,TilgJahr,$C1005)</f>
      </c>
      <c r="L1005" s="43">
        <f>SUMIFS(TilgErsatz,TilgObj,1,TilgJahr,$C1005)</f>
      </c>
      <c r="M1005" s="43">
        <f>MAX(0,SUMIF(DarlObj,1,DarlBetrag)-SUMIFS(TilgTilgung,TilgObj,1,TilgJahr,"&lt;="&amp;$C1005)-SUMIFS(TilgSonder,TilgObj,1,TilgJahr,"&lt;="&amp;$C1005))</f>
      </c>
      <c r="N1005" s="43">
        <f>SUMIFS(TilgErsatz,TilgObj,1,TilgJahr,"&lt;="&amp;$C1005)+SUMIFS(TilgErtrag,TilgObj,1,TilgJahr,"&lt;="&amp;$C1005)</f>
      </c>
      <c r="O1005" s="43">
        <f>INDEX(ObjWertEff,1)*(1+(Wertsteigerung)/100)^MAX(0,13)</f>
      </c>
      <c r="P1005" s="43">
        <f>IF(OR(INDEX(ObjAfaDauer,1)=0,INDEX(ObjAfaJahr,1)=0,$C1005&lt;INDEX(ObjKaufJahr,1),$C1005&gt;=INDEX(ObjKaufJahr,1)+INDEX(ObjAfaDauer,1)),0,IF($C1005=INDEX(ObjKaufJahr,1),INDEX(ObjAfaJahr,1)*(13-INDEX(ObjKaufMonat,1))/12,INDEX(ObjAfaJahr,1)))</f>
      </c>
      <c r="Q1005" s="43">
        <f>$F1005-$G1005-$H1005-$I1005-$P1005</f>
      </c>
      <c r="R1005" s="43">
        <f>$Q1005*INDEX(ObjSteuersatz,1)/100</f>
      </c>
      <c r="S1005" s="43">
        <f>$I1005+$J1005+$K1005+$L1005</f>
      </c>
      <c r="T1005" s="43">
        <f>$F1005-$G1005-$H1005-$S1005</f>
      </c>
      <c r="U1005" s="43">
        <f>$T1005-$R1005</f>
      </c>
      <c r="V1005" s="43">
        <f>$O1005-$M1005</f>
      </c>
      <c r="W1005" s="43">
        <f>$J1005+$K1005+$L1005</f>
      </c>
      <c r="X1005" s="43">
        <f>IF($O1005=0,0,$M1005/$O1005*100)</f>
      </c>
    </row>
    <row r="1006">
      <c r="A1006"/>
      <c r="B1006">
        <v>1</v>
      </c>
      <c r="C1006" s="43">
        <f>Jahr+14</f>
      </c>
      <c r="D1006">
        <v>14</v>
      </c>
      <c r="E1006" s="43">
        <f>IF(INDEX(ObjKaufJahr,1)=0,0,IF($C1006&lt;INDEX(ObjKaufJahr,1),0,IF($C1006&gt;INDEX(ObjKaufJahr,1),12,13-INDEX(ObjKaufMonat,1))))/12</f>
      </c>
      <c r="F1006" s="43">
        <f>SUMIFS(MlSumme,MlObj,1,MlJahr,$C1006)*(1-Leerstand/100)</f>
      </c>
      <c r="G1006" s="43">
        <f>INDEX(ObjLaufend,1)*(1+(Inflation)/100)^MAX(0,14)*$E1006</f>
      </c>
      <c r="H1006" s="43">
        <f>INDEX(ObjInstandBasis,1)*(1+(Inflation)/100)^MAX(0,14)*$E1006</f>
      </c>
      <c r="I1006" s="43">
        <f>SUMIFS(TilgZins,TilgObj,1,TilgJahr,$C1006)</f>
      </c>
      <c r="J1006" s="43">
        <f>SUMIFS(TilgTilgung,TilgObj,1,TilgJahr,$C1006)</f>
      </c>
      <c r="K1006" s="43">
        <f>SUMIFS(TilgSonder,TilgObj,1,TilgJahr,$C1006)</f>
      </c>
      <c r="L1006" s="43">
        <f>SUMIFS(TilgErsatz,TilgObj,1,TilgJahr,$C1006)</f>
      </c>
      <c r="M1006" s="43">
        <f>MAX(0,SUMIF(DarlObj,1,DarlBetrag)-SUMIFS(TilgTilgung,TilgObj,1,TilgJahr,"&lt;="&amp;$C1006)-SUMIFS(TilgSonder,TilgObj,1,TilgJahr,"&lt;="&amp;$C1006))</f>
      </c>
      <c r="N1006" s="43">
        <f>SUMIFS(TilgErsatz,TilgObj,1,TilgJahr,"&lt;="&amp;$C1006)+SUMIFS(TilgErtrag,TilgObj,1,TilgJahr,"&lt;="&amp;$C1006)</f>
      </c>
      <c r="O1006" s="43">
        <f>INDEX(ObjWertEff,1)*(1+(Wertsteigerung)/100)^MAX(0,14)</f>
      </c>
      <c r="P1006" s="43">
        <f>IF(OR(INDEX(ObjAfaDauer,1)=0,INDEX(ObjAfaJahr,1)=0,$C1006&lt;INDEX(ObjKaufJahr,1),$C1006&gt;=INDEX(ObjKaufJahr,1)+INDEX(ObjAfaDauer,1)),0,IF($C1006=INDEX(ObjKaufJahr,1),INDEX(ObjAfaJahr,1)*(13-INDEX(ObjKaufMonat,1))/12,INDEX(ObjAfaJahr,1)))</f>
      </c>
      <c r="Q1006" s="43">
        <f>$F1006-$G1006-$H1006-$I1006-$P1006</f>
      </c>
      <c r="R1006" s="43">
        <f>$Q1006*INDEX(ObjSteuersatz,1)/100</f>
      </c>
      <c r="S1006" s="43">
        <f>$I1006+$J1006+$K1006+$L1006</f>
      </c>
      <c r="T1006" s="43">
        <f>$F1006-$G1006-$H1006-$S1006</f>
      </c>
      <c r="U1006" s="43">
        <f>$T1006-$R1006</f>
      </c>
      <c r="V1006" s="43">
        <f>$O1006-$M1006</f>
      </c>
      <c r="W1006" s="43">
        <f>$J1006+$K1006+$L1006</f>
      </c>
      <c r="X1006" s="43">
        <f>IF($O1006=0,0,$M1006/$O1006*100)</f>
      </c>
    </row>
    <row r="1007">
      <c r="A1007"/>
      <c r="B1007">
        <v>1</v>
      </c>
      <c r="C1007" s="43">
        <f>Jahr+15</f>
      </c>
      <c r="D1007">
        <v>15</v>
      </c>
      <c r="E1007" s="43">
        <f>IF(INDEX(ObjKaufJahr,1)=0,0,IF($C1007&lt;INDEX(ObjKaufJahr,1),0,IF($C1007&gt;INDEX(ObjKaufJahr,1),12,13-INDEX(ObjKaufMonat,1))))/12</f>
      </c>
      <c r="F1007" s="43">
        <f>SUMIFS(MlSumme,MlObj,1,MlJahr,$C1007)*(1-Leerstand/100)</f>
      </c>
      <c r="G1007" s="43">
        <f>INDEX(ObjLaufend,1)*(1+(Inflation)/100)^MAX(0,15)*$E1007</f>
      </c>
      <c r="H1007" s="43">
        <f>INDEX(ObjInstandBasis,1)*(1+(Inflation)/100)^MAX(0,15)*$E1007</f>
      </c>
      <c r="I1007" s="43">
        <f>SUMIFS(TilgZins,TilgObj,1,TilgJahr,$C1007)</f>
      </c>
      <c r="J1007" s="43">
        <f>SUMIFS(TilgTilgung,TilgObj,1,TilgJahr,$C1007)</f>
      </c>
      <c r="K1007" s="43">
        <f>SUMIFS(TilgSonder,TilgObj,1,TilgJahr,$C1007)</f>
      </c>
      <c r="L1007" s="43">
        <f>SUMIFS(TilgErsatz,TilgObj,1,TilgJahr,$C1007)</f>
      </c>
      <c r="M1007" s="43">
        <f>MAX(0,SUMIF(DarlObj,1,DarlBetrag)-SUMIFS(TilgTilgung,TilgObj,1,TilgJahr,"&lt;="&amp;$C1007)-SUMIFS(TilgSonder,TilgObj,1,TilgJahr,"&lt;="&amp;$C1007))</f>
      </c>
      <c r="N1007" s="43">
        <f>SUMIFS(TilgErsatz,TilgObj,1,TilgJahr,"&lt;="&amp;$C1007)+SUMIFS(TilgErtrag,TilgObj,1,TilgJahr,"&lt;="&amp;$C1007)</f>
      </c>
      <c r="O1007" s="43">
        <f>INDEX(ObjWertEff,1)*(1+(Wertsteigerung)/100)^MAX(0,15)</f>
      </c>
      <c r="P1007" s="43">
        <f>IF(OR(INDEX(ObjAfaDauer,1)=0,INDEX(ObjAfaJahr,1)=0,$C1007&lt;INDEX(ObjKaufJahr,1),$C1007&gt;=INDEX(ObjKaufJahr,1)+INDEX(ObjAfaDauer,1)),0,IF($C1007=INDEX(ObjKaufJahr,1),INDEX(ObjAfaJahr,1)*(13-INDEX(ObjKaufMonat,1))/12,INDEX(ObjAfaJahr,1)))</f>
      </c>
      <c r="Q1007" s="43">
        <f>$F1007-$G1007-$H1007-$I1007-$P1007</f>
      </c>
      <c r="R1007" s="43">
        <f>$Q1007*INDEX(ObjSteuersatz,1)/100</f>
      </c>
      <c r="S1007" s="43">
        <f>$I1007+$J1007+$K1007+$L1007</f>
      </c>
      <c r="T1007" s="43">
        <f>$F1007-$G1007-$H1007-$S1007</f>
      </c>
      <c r="U1007" s="43">
        <f>$T1007-$R1007</f>
      </c>
      <c r="V1007" s="43">
        <f>$O1007-$M1007</f>
      </c>
      <c r="W1007" s="43">
        <f>$J1007+$K1007+$L1007</f>
      </c>
      <c r="X1007" s="43">
        <f>IF($O1007=0,0,$M1007/$O1007*100)</f>
      </c>
    </row>
    <row r="1008">
      <c r="A1008"/>
      <c r="B1008">
        <v>1</v>
      </c>
      <c r="C1008" s="43">
        <f>Jahr+16</f>
      </c>
      <c r="D1008">
        <v>16</v>
      </c>
      <c r="E1008" s="43">
        <f>IF(INDEX(ObjKaufJahr,1)=0,0,IF($C1008&lt;INDEX(ObjKaufJahr,1),0,IF($C1008&gt;INDEX(ObjKaufJahr,1),12,13-INDEX(ObjKaufMonat,1))))/12</f>
      </c>
      <c r="F1008" s="43">
        <f>SUMIFS(MlSumme,MlObj,1,MlJahr,$C1008)*(1-Leerstand/100)</f>
      </c>
      <c r="G1008" s="43">
        <f>INDEX(ObjLaufend,1)*(1+(Inflation)/100)^MAX(0,16)*$E1008</f>
      </c>
      <c r="H1008" s="43">
        <f>INDEX(ObjInstandBasis,1)*(1+(Inflation)/100)^MAX(0,16)*$E1008</f>
      </c>
      <c r="I1008" s="43">
        <f>SUMIFS(TilgZins,TilgObj,1,TilgJahr,$C1008)</f>
      </c>
      <c r="J1008" s="43">
        <f>SUMIFS(TilgTilgung,TilgObj,1,TilgJahr,$C1008)</f>
      </c>
      <c r="K1008" s="43">
        <f>SUMIFS(TilgSonder,TilgObj,1,TilgJahr,$C1008)</f>
      </c>
      <c r="L1008" s="43">
        <f>SUMIFS(TilgErsatz,TilgObj,1,TilgJahr,$C1008)</f>
      </c>
      <c r="M1008" s="43">
        <f>MAX(0,SUMIF(DarlObj,1,DarlBetrag)-SUMIFS(TilgTilgung,TilgObj,1,TilgJahr,"&lt;="&amp;$C1008)-SUMIFS(TilgSonder,TilgObj,1,TilgJahr,"&lt;="&amp;$C1008))</f>
      </c>
      <c r="N1008" s="43">
        <f>SUMIFS(TilgErsatz,TilgObj,1,TilgJahr,"&lt;="&amp;$C1008)+SUMIFS(TilgErtrag,TilgObj,1,TilgJahr,"&lt;="&amp;$C1008)</f>
      </c>
      <c r="O1008" s="43">
        <f>INDEX(ObjWertEff,1)*(1+(Wertsteigerung)/100)^MAX(0,16)</f>
      </c>
      <c r="P1008" s="43">
        <f>IF(OR(INDEX(ObjAfaDauer,1)=0,INDEX(ObjAfaJahr,1)=0,$C1008&lt;INDEX(ObjKaufJahr,1),$C1008&gt;=INDEX(ObjKaufJahr,1)+INDEX(ObjAfaDauer,1)),0,IF($C1008=INDEX(ObjKaufJahr,1),INDEX(ObjAfaJahr,1)*(13-INDEX(ObjKaufMonat,1))/12,INDEX(ObjAfaJahr,1)))</f>
      </c>
      <c r="Q1008" s="43">
        <f>$F1008-$G1008-$H1008-$I1008-$P1008</f>
      </c>
      <c r="R1008" s="43">
        <f>$Q1008*INDEX(ObjSteuersatz,1)/100</f>
      </c>
      <c r="S1008" s="43">
        <f>$I1008+$J1008+$K1008+$L1008</f>
      </c>
      <c r="T1008" s="43">
        <f>$F1008-$G1008-$H1008-$S1008</f>
      </c>
      <c r="U1008" s="43">
        <f>$T1008-$R1008</f>
      </c>
      <c r="V1008" s="43">
        <f>$O1008-$M1008</f>
      </c>
      <c r="W1008" s="43">
        <f>$J1008+$K1008+$L1008</f>
      </c>
      <c r="X1008" s="43">
        <f>IF($O1008=0,0,$M1008/$O1008*100)</f>
      </c>
    </row>
    <row r="1009">
      <c r="A1009"/>
      <c r="B1009">
        <v>1</v>
      </c>
      <c r="C1009" s="43">
        <f>Jahr+17</f>
      </c>
      <c r="D1009">
        <v>17</v>
      </c>
      <c r="E1009" s="43">
        <f>IF(INDEX(ObjKaufJahr,1)=0,0,IF($C1009&lt;INDEX(ObjKaufJahr,1),0,IF($C1009&gt;INDEX(ObjKaufJahr,1),12,13-INDEX(ObjKaufMonat,1))))/12</f>
      </c>
      <c r="F1009" s="43">
        <f>SUMIFS(MlSumme,MlObj,1,MlJahr,$C1009)*(1-Leerstand/100)</f>
      </c>
      <c r="G1009" s="43">
        <f>INDEX(ObjLaufend,1)*(1+(Inflation)/100)^MAX(0,17)*$E1009</f>
      </c>
      <c r="H1009" s="43">
        <f>INDEX(ObjInstandBasis,1)*(1+(Inflation)/100)^MAX(0,17)*$E1009</f>
      </c>
      <c r="I1009" s="43">
        <f>SUMIFS(TilgZins,TilgObj,1,TilgJahr,$C1009)</f>
      </c>
      <c r="J1009" s="43">
        <f>SUMIFS(TilgTilgung,TilgObj,1,TilgJahr,$C1009)</f>
      </c>
      <c r="K1009" s="43">
        <f>SUMIFS(TilgSonder,TilgObj,1,TilgJahr,$C1009)</f>
      </c>
      <c r="L1009" s="43">
        <f>SUMIFS(TilgErsatz,TilgObj,1,TilgJahr,$C1009)</f>
      </c>
      <c r="M1009" s="43">
        <f>MAX(0,SUMIF(DarlObj,1,DarlBetrag)-SUMIFS(TilgTilgung,TilgObj,1,TilgJahr,"&lt;="&amp;$C1009)-SUMIFS(TilgSonder,TilgObj,1,TilgJahr,"&lt;="&amp;$C1009))</f>
      </c>
      <c r="N1009" s="43">
        <f>SUMIFS(TilgErsatz,TilgObj,1,TilgJahr,"&lt;="&amp;$C1009)+SUMIFS(TilgErtrag,TilgObj,1,TilgJahr,"&lt;="&amp;$C1009)</f>
      </c>
      <c r="O1009" s="43">
        <f>INDEX(ObjWertEff,1)*(1+(Wertsteigerung)/100)^MAX(0,17)</f>
      </c>
      <c r="P1009" s="43">
        <f>IF(OR(INDEX(ObjAfaDauer,1)=0,INDEX(ObjAfaJahr,1)=0,$C1009&lt;INDEX(ObjKaufJahr,1),$C1009&gt;=INDEX(ObjKaufJahr,1)+INDEX(ObjAfaDauer,1)),0,IF($C1009=INDEX(ObjKaufJahr,1),INDEX(ObjAfaJahr,1)*(13-INDEX(ObjKaufMonat,1))/12,INDEX(ObjAfaJahr,1)))</f>
      </c>
      <c r="Q1009" s="43">
        <f>$F1009-$G1009-$H1009-$I1009-$P1009</f>
      </c>
      <c r="R1009" s="43">
        <f>$Q1009*INDEX(ObjSteuersatz,1)/100</f>
      </c>
      <c r="S1009" s="43">
        <f>$I1009+$J1009+$K1009+$L1009</f>
      </c>
      <c r="T1009" s="43">
        <f>$F1009-$G1009-$H1009-$S1009</f>
      </c>
      <c r="U1009" s="43">
        <f>$T1009-$R1009</f>
      </c>
      <c r="V1009" s="43">
        <f>$O1009-$M1009</f>
      </c>
      <c r="W1009" s="43">
        <f>$J1009+$K1009+$L1009</f>
      </c>
      <c r="X1009" s="43">
        <f>IF($O1009=0,0,$M1009/$O1009*100)</f>
      </c>
    </row>
    <row r="1010">
      <c r="A1010"/>
      <c r="B1010">
        <v>1</v>
      </c>
      <c r="C1010" s="43">
        <f>Jahr+18</f>
      </c>
      <c r="D1010">
        <v>18</v>
      </c>
      <c r="E1010" s="43">
        <f>IF(INDEX(ObjKaufJahr,1)=0,0,IF($C1010&lt;INDEX(ObjKaufJahr,1),0,IF($C1010&gt;INDEX(ObjKaufJahr,1),12,13-INDEX(ObjKaufMonat,1))))/12</f>
      </c>
      <c r="F1010" s="43">
        <f>SUMIFS(MlSumme,MlObj,1,MlJahr,$C1010)*(1-Leerstand/100)</f>
      </c>
      <c r="G1010" s="43">
        <f>INDEX(ObjLaufend,1)*(1+(Inflation)/100)^MAX(0,18)*$E1010</f>
      </c>
      <c r="H1010" s="43">
        <f>INDEX(ObjInstandBasis,1)*(1+(Inflation)/100)^MAX(0,18)*$E1010</f>
      </c>
      <c r="I1010" s="43">
        <f>SUMIFS(TilgZins,TilgObj,1,TilgJahr,$C1010)</f>
      </c>
      <c r="J1010" s="43">
        <f>SUMIFS(TilgTilgung,TilgObj,1,TilgJahr,$C1010)</f>
      </c>
      <c r="K1010" s="43">
        <f>SUMIFS(TilgSonder,TilgObj,1,TilgJahr,$C1010)</f>
      </c>
      <c r="L1010" s="43">
        <f>SUMIFS(TilgErsatz,TilgObj,1,TilgJahr,$C1010)</f>
      </c>
      <c r="M1010" s="43">
        <f>MAX(0,SUMIF(DarlObj,1,DarlBetrag)-SUMIFS(TilgTilgung,TilgObj,1,TilgJahr,"&lt;="&amp;$C1010)-SUMIFS(TilgSonder,TilgObj,1,TilgJahr,"&lt;="&amp;$C1010))</f>
      </c>
      <c r="N1010" s="43">
        <f>SUMIFS(TilgErsatz,TilgObj,1,TilgJahr,"&lt;="&amp;$C1010)+SUMIFS(TilgErtrag,TilgObj,1,TilgJahr,"&lt;="&amp;$C1010)</f>
      </c>
      <c r="O1010" s="43">
        <f>INDEX(ObjWertEff,1)*(1+(Wertsteigerung)/100)^MAX(0,18)</f>
      </c>
      <c r="P1010" s="43">
        <f>IF(OR(INDEX(ObjAfaDauer,1)=0,INDEX(ObjAfaJahr,1)=0,$C1010&lt;INDEX(ObjKaufJahr,1),$C1010&gt;=INDEX(ObjKaufJahr,1)+INDEX(ObjAfaDauer,1)),0,IF($C1010=INDEX(ObjKaufJahr,1),INDEX(ObjAfaJahr,1)*(13-INDEX(ObjKaufMonat,1))/12,INDEX(ObjAfaJahr,1)))</f>
      </c>
      <c r="Q1010" s="43">
        <f>$F1010-$G1010-$H1010-$I1010-$P1010</f>
      </c>
      <c r="R1010" s="43">
        <f>$Q1010*INDEX(ObjSteuersatz,1)/100</f>
      </c>
      <c r="S1010" s="43">
        <f>$I1010+$J1010+$K1010+$L1010</f>
      </c>
      <c r="T1010" s="43">
        <f>$F1010-$G1010-$H1010-$S1010</f>
      </c>
      <c r="U1010" s="43">
        <f>$T1010-$R1010</f>
      </c>
      <c r="V1010" s="43">
        <f>$O1010-$M1010</f>
      </c>
      <c r="W1010" s="43">
        <f>$J1010+$K1010+$L1010</f>
      </c>
      <c r="X1010" s="43">
        <f>IF($O1010=0,0,$M1010/$O1010*100)</f>
      </c>
    </row>
    <row r="1011">
      <c r="A1011"/>
      <c r="B1011">
        <v>1</v>
      </c>
      <c r="C1011" s="43">
        <f>Jahr+19</f>
      </c>
      <c r="D1011">
        <v>19</v>
      </c>
      <c r="E1011" s="43">
        <f>IF(INDEX(ObjKaufJahr,1)=0,0,IF($C1011&lt;INDEX(ObjKaufJahr,1),0,IF($C1011&gt;INDEX(ObjKaufJahr,1),12,13-INDEX(ObjKaufMonat,1))))/12</f>
      </c>
      <c r="F1011" s="43">
        <f>SUMIFS(MlSumme,MlObj,1,MlJahr,$C1011)*(1-Leerstand/100)</f>
      </c>
      <c r="G1011" s="43">
        <f>INDEX(ObjLaufend,1)*(1+(Inflation)/100)^MAX(0,19)*$E1011</f>
      </c>
      <c r="H1011" s="43">
        <f>INDEX(ObjInstandBasis,1)*(1+(Inflation)/100)^MAX(0,19)*$E1011</f>
      </c>
      <c r="I1011" s="43">
        <f>SUMIFS(TilgZins,TilgObj,1,TilgJahr,$C1011)</f>
      </c>
      <c r="J1011" s="43">
        <f>SUMIFS(TilgTilgung,TilgObj,1,TilgJahr,$C1011)</f>
      </c>
      <c r="K1011" s="43">
        <f>SUMIFS(TilgSonder,TilgObj,1,TilgJahr,$C1011)</f>
      </c>
      <c r="L1011" s="43">
        <f>SUMIFS(TilgErsatz,TilgObj,1,TilgJahr,$C1011)</f>
      </c>
      <c r="M1011" s="43">
        <f>MAX(0,SUMIF(DarlObj,1,DarlBetrag)-SUMIFS(TilgTilgung,TilgObj,1,TilgJahr,"&lt;="&amp;$C1011)-SUMIFS(TilgSonder,TilgObj,1,TilgJahr,"&lt;="&amp;$C1011))</f>
      </c>
      <c r="N1011" s="43">
        <f>SUMIFS(TilgErsatz,TilgObj,1,TilgJahr,"&lt;="&amp;$C1011)+SUMIFS(TilgErtrag,TilgObj,1,TilgJahr,"&lt;="&amp;$C1011)</f>
      </c>
      <c r="O1011" s="43">
        <f>INDEX(ObjWertEff,1)*(1+(Wertsteigerung)/100)^MAX(0,19)</f>
      </c>
      <c r="P1011" s="43">
        <f>IF(OR(INDEX(ObjAfaDauer,1)=0,INDEX(ObjAfaJahr,1)=0,$C1011&lt;INDEX(ObjKaufJahr,1),$C1011&gt;=INDEX(ObjKaufJahr,1)+INDEX(ObjAfaDauer,1)),0,IF($C1011=INDEX(ObjKaufJahr,1),INDEX(ObjAfaJahr,1)*(13-INDEX(ObjKaufMonat,1))/12,INDEX(ObjAfaJahr,1)))</f>
      </c>
      <c r="Q1011" s="43">
        <f>$F1011-$G1011-$H1011-$I1011-$P1011</f>
      </c>
      <c r="R1011" s="43">
        <f>$Q1011*INDEX(ObjSteuersatz,1)/100</f>
      </c>
      <c r="S1011" s="43">
        <f>$I1011+$J1011+$K1011+$L1011</f>
      </c>
      <c r="T1011" s="43">
        <f>$F1011-$G1011-$H1011-$S1011</f>
      </c>
      <c r="U1011" s="43">
        <f>$T1011-$R1011</f>
      </c>
      <c r="V1011" s="43">
        <f>$O1011-$M1011</f>
      </c>
      <c r="W1011" s="43">
        <f>$J1011+$K1011+$L1011</f>
      </c>
      <c r="X1011" s="43">
        <f>IF($O1011=0,0,$M1011/$O1011*100)</f>
      </c>
    </row>
    <row r="1012">
      <c r="A1012"/>
      <c r="B1012">
        <v>1</v>
      </c>
      <c r="C1012" s="43">
        <f>Jahr+20</f>
      </c>
      <c r="D1012">
        <v>20</v>
      </c>
      <c r="E1012" s="43">
        <f>IF(INDEX(ObjKaufJahr,1)=0,0,IF($C1012&lt;INDEX(ObjKaufJahr,1),0,IF($C1012&gt;INDEX(ObjKaufJahr,1),12,13-INDEX(ObjKaufMonat,1))))/12</f>
      </c>
      <c r="F1012" s="43">
        <f>SUMIFS(MlSumme,MlObj,1,MlJahr,$C1012)*(1-Leerstand/100)</f>
      </c>
      <c r="G1012" s="43">
        <f>INDEX(ObjLaufend,1)*(1+(Inflation)/100)^MAX(0,20)*$E1012</f>
      </c>
      <c r="H1012" s="43">
        <f>INDEX(ObjInstandBasis,1)*(1+(Inflation)/100)^MAX(0,20)*$E1012</f>
      </c>
      <c r="I1012" s="43">
        <f>SUMIFS(TilgZins,TilgObj,1,TilgJahr,$C1012)</f>
      </c>
      <c r="J1012" s="43">
        <f>SUMIFS(TilgTilgung,TilgObj,1,TilgJahr,$C1012)</f>
      </c>
      <c r="K1012" s="43">
        <f>SUMIFS(TilgSonder,TilgObj,1,TilgJahr,$C1012)</f>
      </c>
      <c r="L1012" s="43">
        <f>SUMIFS(TilgErsatz,TilgObj,1,TilgJahr,$C1012)</f>
      </c>
      <c r="M1012" s="43">
        <f>MAX(0,SUMIF(DarlObj,1,DarlBetrag)-SUMIFS(TilgTilgung,TilgObj,1,TilgJahr,"&lt;="&amp;$C1012)-SUMIFS(TilgSonder,TilgObj,1,TilgJahr,"&lt;="&amp;$C1012))</f>
      </c>
      <c r="N1012" s="43">
        <f>SUMIFS(TilgErsatz,TilgObj,1,TilgJahr,"&lt;="&amp;$C1012)+SUMIFS(TilgErtrag,TilgObj,1,TilgJahr,"&lt;="&amp;$C1012)</f>
      </c>
      <c r="O1012" s="43">
        <f>INDEX(ObjWertEff,1)*(1+(Wertsteigerung)/100)^MAX(0,20)</f>
      </c>
      <c r="P1012" s="43">
        <f>IF(OR(INDEX(ObjAfaDauer,1)=0,INDEX(ObjAfaJahr,1)=0,$C1012&lt;INDEX(ObjKaufJahr,1),$C1012&gt;=INDEX(ObjKaufJahr,1)+INDEX(ObjAfaDauer,1)),0,IF($C1012=INDEX(ObjKaufJahr,1),INDEX(ObjAfaJahr,1)*(13-INDEX(ObjKaufMonat,1))/12,INDEX(ObjAfaJahr,1)))</f>
      </c>
      <c r="Q1012" s="43">
        <f>$F1012-$G1012-$H1012-$I1012-$P1012</f>
      </c>
      <c r="R1012" s="43">
        <f>$Q1012*INDEX(ObjSteuersatz,1)/100</f>
      </c>
      <c r="S1012" s="43">
        <f>$I1012+$J1012+$K1012+$L1012</f>
      </c>
      <c r="T1012" s="43">
        <f>$F1012-$G1012-$H1012-$S1012</f>
      </c>
      <c r="U1012" s="43">
        <f>$T1012-$R1012</f>
      </c>
      <c r="V1012" s="43">
        <f>$O1012-$M1012</f>
      </c>
      <c r="W1012" s="43">
        <f>$J1012+$K1012+$L1012</f>
      </c>
      <c r="X1012" s="43">
        <f>IF($O1012=0,0,$M1012/$O1012*100)</f>
      </c>
    </row>
    <row r="1013">
      <c r="A1013"/>
      <c r="B1013">
        <v>1</v>
      </c>
      <c r="C1013" s="43">
        <f>Jahr+21</f>
      </c>
      <c r="D1013">
        <v>21</v>
      </c>
      <c r="E1013" s="43">
        <f>IF(INDEX(ObjKaufJahr,1)=0,0,IF($C1013&lt;INDEX(ObjKaufJahr,1),0,IF($C1013&gt;INDEX(ObjKaufJahr,1),12,13-INDEX(ObjKaufMonat,1))))/12</f>
      </c>
      <c r="F1013" s="43">
        <f>SUMIFS(MlSumme,MlObj,1,MlJahr,$C1013)*(1-Leerstand/100)</f>
      </c>
      <c r="G1013" s="43">
        <f>INDEX(ObjLaufend,1)*(1+(Inflation)/100)^MAX(0,21)*$E1013</f>
      </c>
      <c r="H1013" s="43">
        <f>INDEX(ObjInstandBasis,1)*(1+(Inflation)/100)^MAX(0,21)*$E1013</f>
      </c>
      <c r="I1013" s="43">
        <f>SUMIFS(TilgZins,TilgObj,1,TilgJahr,$C1013)</f>
      </c>
      <c r="J1013" s="43">
        <f>SUMIFS(TilgTilgung,TilgObj,1,TilgJahr,$C1013)</f>
      </c>
      <c r="K1013" s="43">
        <f>SUMIFS(TilgSonder,TilgObj,1,TilgJahr,$C1013)</f>
      </c>
      <c r="L1013" s="43">
        <f>SUMIFS(TilgErsatz,TilgObj,1,TilgJahr,$C1013)</f>
      </c>
      <c r="M1013" s="43">
        <f>MAX(0,SUMIF(DarlObj,1,DarlBetrag)-SUMIFS(TilgTilgung,TilgObj,1,TilgJahr,"&lt;="&amp;$C1013)-SUMIFS(TilgSonder,TilgObj,1,TilgJahr,"&lt;="&amp;$C1013))</f>
      </c>
      <c r="N1013" s="43">
        <f>SUMIFS(TilgErsatz,TilgObj,1,TilgJahr,"&lt;="&amp;$C1013)+SUMIFS(TilgErtrag,TilgObj,1,TilgJahr,"&lt;="&amp;$C1013)</f>
      </c>
      <c r="O1013" s="43">
        <f>INDEX(ObjWertEff,1)*(1+(Wertsteigerung)/100)^MAX(0,21)</f>
      </c>
      <c r="P1013" s="43">
        <f>IF(OR(INDEX(ObjAfaDauer,1)=0,INDEX(ObjAfaJahr,1)=0,$C1013&lt;INDEX(ObjKaufJahr,1),$C1013&gt;=INDEX(ObjKaufJahr,1)+INDEX(ObjAfaDauer,1)),0,IF($C1013=INDEX(ObjKaufJahr,1),INDEX(ObjAfaJahr,1)*(13-INDEX(ObjKaufMonat,1))/12,INDEX(ObjAfaJahr,1)))</f>
      </c>
      <c r="Q1013" s="43">
        <f>$F1013-$G1013-$H1013-$I1013-$P1013</f>
      </c>
      <c r="R1013" s="43">
        <f>$Q1013*INDEX(ObjSteuersatz,1)/100</f>
      </c>
      <c r="S1013" s="43">
        <f>$I1013+$J1013+$K1013+$L1013</f>
      </c>
      <c r="T1013" s="43">
        <f>$F1013-$G1013-$H1013-$S1013</f>
      </c>
      <c r="U1013" s="43">
        <f>$T1013-$R1013</f>
      </c>
      <c r="V1013" s="43">
        <f>$O1013-$M1013</f>
      </c>
      <c r="W1013" s="43">
        <f>$J1013+$K1013+$L1013</f>
      </c>
      <c r="X1013" s="43">
        <f>IF($O1013=0,0,$M1013/$O1013*100)</f>
      </c>
    </row>
    <row r="1014">
      <c r="A1014"/>
      <c r="B1014">
        <v>1</v>
      </c>
      <c r="C1014" s="43">
        <f>Jahr+22</f>
      </c>
      <c r="D1014">
        <v>22</v>
      </c>
      <c r="E1014" s="43">
        <f>IF(INDEX(ObjKaufJahr,1)=0,0,IF($C1014&lt;INDEX(ObjKaufJahr,1),0,IF($C1014&gt;INDEX(ObjKaufJahr,1),12,13-INDEX(ObjKaufMonat,1))))/12</f>
      </c>
      <c r="F1014" s="43">
        <f>SUMIFS(MlSumme,MlObj,1,MlJahr,$C1014)*(1-Leerstand/100)</f>
      </c>
      <c r="G1014" s="43">
        <f>INDEX(ObjLaufend,1)*(1+(Inflation)/100)^MAX(0,22)*$E1014</f>
      </c>
      <c r="H1014" s="43">
        <f>INDEX(ObjInstandBasis,1)*(1+(Inflation)/100)^MAX(0,22)*$E1014</f>
      </c>
      <c r="I1014" s="43">
        <f>SUMIFS(TilgZins,TilgObj,1,TilgJahr,$C1014)</f>
      </c>
      <c r="J1014" s="43">
        <f>SUMIFS(TilgTilgung,TilgObj,1,TilgJahr,$C1014)</f>
      </c>
      <c r="K1014" s="43">
        <f>SUMIFS(TilgSonder,TilgObj,1,TilgJahr,$C1014)</f>
      </c>
      <c r="L1014" s="43">
        <f>SUMIFS(TilgErsatz,TilgObj,1,TilgJahr,$C1014)</f>
      </c>
      <c r="M1014" s="43">
        <f>MAX(0,SUMIF(DarlObj,1,DarlBetrag)-SUMIFS(TilgTilgung,TilgObj,1,TilgJahr,"&lt;="&amp;$C1014)-SUMIFS(TilgSonder,TilgObj,1,TilgJahr,"&lt;="&amp;$C1014))</f>
      </c>
      <c r="N1014" s="43">
        <f>SUMIFS(TilgErsatz,TilgObj,1,TilgJahr,"&lt;="&amp;$C1014)+SUMIFS(TilgErtrag,TilgObj,1,TilgJahr,"&lt;="&amp;$C1014)</f>
      </c>
      <c r="O1014" s="43">
        <f>INDEX(ObjWertEff,1)*(1+(Wertsteigerung)/100)^MAX(0,22)</f>
      </c>
      <c r="P1014" s="43">
        <f>IF(OR(INDEX(ObjAfaDauer,1)=0,INDEX(ObjAfaJahr,1)=0,$C1014&lt;INDEX(ObjKaufJahr,1),$C1014&gt;=INDEX(ObjKaufJahr,1)+INDEX(ObjAfaDauer,1)),0,IF($C1014=INDEX(ObjKaufJahr,1),INDEX(ObjAfaJahr,1)*(13-INDEX(ObjKaufMonat,1))/12,INDEX(ObjAfaJahr,1)))</f>
      </c>
      <c r="Q1014" s="43">
        <f>$F1014-$G1014-$H1014-$I1014-$P1014</f>
      </c>
      <c r="R1014" s="43">
        <f>$Q1014*INDEX(ObjSteuersatz,1)/100</f>
      </c>
      <c r="S1014" s="43">
        <f>$I1014+$J1014+$K1014+$L1014</f>
      </c>
      <c r="T1014" s="43">
        <f>$F1014-$G1014-$H1014-$S1014</f>
      </c>
      <c r="U1014" s="43">
        <f>$T1014-$R1014</f>
      </c>
      <c r="V1014" s="43">
        <f>$O1014-$M1014</f>
      </c>
      <c r="W1014" s="43">
        <f>$J1014+$K1014+$L1014</f>
      </c>
      <c r="X1014" s="43">
        <f>IF($O1014=0,0,$M1014/$O1014*100)</f>
      </c>
    </row>
    <row r="1015">
      <c r="A1015"/>
      <c r="B1015">
        <v>1</v>
      </c>
      <c r="C1015" s="43">
        <f>Jahr+23</f>
      </c>
      <c r="D1015">
        <v>23</v>
      </c>
      <c r="E1015" s="43">
        <f>IF(INDEX(ObjKaufJahr,1)=0,0,IF($C1015&lt;INDEX(ObjKaufJahr,1),0,IF($C1015&gt;INDEX(ObjKaufJahr,1),12,13-INDEX(ObjKaufMonat,1))))/12</f>
      </c>
      <c r="F1015" s="43">
        <f>SUMIFS(MlSumme,MlObj,1,MlJahr,$C1015)*(1-Leerstand/100)</f>
      </c>
      <c r="G1015" s="43">
        <f>INDEX(ObjLaufend,1)*(1+(Inflation)/100)^MAX(0,23)*$E1015</f>
      </c>
      <c r="H1015" s="43">
        <f>INDEX(ObjInstandBasis,1)*(1+(Inflation)/100)^MAX(0,23)*$E1015</f>
      </c>
      <c r="I1015" s="43">
        <f>SUMIFS(TilgZins,TilgObj,1,TilgJahr,$C1015)</f>
      </c>
      <c r="J1015" s="43">
        <f>SUMIFS(TilgTilgung,TilgObj,1,TilgJahr,$C1015)</f>
      </c>
      <c r="K1015" s="43">
        <f>SUMIFS(TilgSonder,TilgObj,1,TilgJahr,$C1015)</f>
      </c>
      <c r="L1015" s="43">
        <f>SUMIFS(TilgErsatz,TilgObj,1,TilgJahr,$C1015)</f>
      </c>
      <c r="M1015" s="43">
        <f>MAX(0,SUMIF(DarlObj,1,DarlBetrag)-SUMIFS(TilgTilgung,TilgObj,1,TilgJahr,"&lt;="&amp;$C1015)-SUMIFS(TilgSonder,TilgObj,1,TilgJahr,"&lt;="&amp;$C1015))</f>
      </c>
      <c r="N1015" s="43">
        <f>SUMIFS(TilgErsatz,TilgObj,1,TilgJahr,"&lt;="&amp;$C1015)+SUMIFS(TilgErtrag,TilgObj,1,TilgJahr,"&lt;="&amp;$C1015)</f>
      </c>
      <c r="O1015" s="43">
        <f>INDEX(ObjWertEff,1)*(1+(Wertsteigerung)/100)^MAX(0,23)</f>
      </c>
      <c r="P1015" s="43">
        <f>IF(OR(INDEX(ObjAfaDauer,1)=0,INDEX(ObjAfaJahr,1)=0,$C1015&lt;INDEX(ObjKaufJahr,1),$C1015&gt;=INDEX(ObjKaufJahr,1)+INDEX(ObjAfaDauer,1)),0,IF($C1015=INDEX(ObjKaufJahr,1),INDEX(ObjAfaJahr,1)*(13-INDEX(ObjKaufMonat,1))/12,INDEX(ObjAfaJahr,1)))</f>
      </c>
      <c r="Q1015" s="43">
        <f>$F1015-$G1015-$H1015-$I1015-$P1015</f>
      </c>
      <c r="R1015" s="43">
        <f>$Q1015*INDEX(ObjSteuersatz,1)/100</f>
      </c>
      <c r="S1015" s="43">
        <f>$I1015+$J1015+$K1015+$L1015</f>
      </c>
      <c r="T1015" s="43">
        <f>$F1015-$G1015-$H1015-$S1015</f>
      </c>
      <c r="U1015" s="43">
        <f>$T1015-$R1015</f>
      </c>
      <c r="V1015" s="43">
        <f>$O1015-$M1015</f>
      </c>
      <c r="W1015" s="43">
        <f>$J1015+$K1015+$L1015</f>
      </c>
      <c r="X1015" s="43">
        <f>IF($O1015=0,0,$M1015/$O1015*100)</f>
      </c>
    </row>
    <row r="1016">
      <c r="A1016"/>
      <c r="B1016">
        <v>1</v>
      </c>
      <c r="C1016" s="43">
        <f>Jahr+24</f>
      </c>
      <c r="D1016">
        <v>24</v>
      </c>
      <c r="E1016" s="43">
        <f>IF(INDEX(ObjKaufJahr,1)=0,0,IF($C1016&lt;INDEX(ObjKaufJahr,1),0,IF($C1016&gt;INDEX(ObjKaufJahr,1),12,13-INDEX(ObjKaufMonat,1))))/12</f>
      </c>
      <c r="F1016" s="43">
        <f>SUMIFS(MlSumme,MlObj,1,MlJahr,$C1016)*(1-Leerstand/100)</f>
      </c>
      <c r="G1016" s="43">
        <f>INDEX(ObjLaufend,1)*(1+(Inflation)/100)^MAX(0,24)*$E1016</f>
      </c>
      <c r="H1016" s="43">
        <f>INDEX(ObjInstandBasis,1)*(1+(Inflation)/100)^MAX(0,24)*$E1016</f>
      </c>
      <c r="I1016" s="43">
        <f>SUMIFS(TilgZins,TilgObj,1,TilgJahr,$C1016)</f>
      </c>
      <c r="J1016" s="43">
        <f>SUMIFS(TilgTilgung,TilgObj,1,TilgJahr,$C1016)</f>
      </c>
      <c r="K1016" s="43">
        <f>SUMIFS(TilgSonder,TilgObj,1,TilgJahr,$C1016)</f>
      </c>
      <c r="L1016" s="43">
        <f>SUMIFS(TilgErsatz,TilgObj,1,TilgJahr,$C1016)</f>
      </c>
      <c r="M1016" s="43">
        <f>MAX(0,SUMIF(DarlObj,1,DarlBetrag)-SUMIFS(TilgTilgung,TilgObj,1,TilgJahr,"&lt;="&amp;$C1016)-SUMIFS(TilgSonder,TilgObj,1,TilgJahr,"&lt;="&amp;$C1016))</f>
      </c>
      <c r="N1016" s="43">
        <f>SUMIFS(TilgErsatz,TilgObj,1,TilgJahr,"&lt;="&amp;$C1016)+SUMIFS(TilgErtrag,TilgObj,1,TilgJahr,"&lt;="&amp;$C1016)</f>
      </c>
      <c r="O1016" s="43">
        <f>INDEX(ObjWertEff,1)*(1+(Wertsteigerung)/100)^MAX(0,24)</f>
      </c>
      <c r="P1016" s="43">
        <f>IF(OR(INDEX(ObjAfaDauer,1)=0,INDEX(ObjAfaJahr,1)=0,$C1016&lt;INDEX(ObjKaufJahr,1),$C1016&gt;=INDEX(ObjKaufJahr,1)+INDEX(ObjAfaDauer,1)),0,IF($C1016=INDEX(ObjKaufJahr,1),INDEX(ObjAfaJahr,1)*(13-INDEX(ObjKaufMonat,1))/12,INDEX(ObjAfaJahr,1)))</f>
      </c>
      <c r="Q1016" s="43">
        <f>$F1016-$G1016-$H1016-$I1016-$P1016</f>
      </c>
      <c r="R1016" s="43">
        <f>$Q1016*INDEX(ObjSteuersatz,1)/100</f>
      </c>
      <c r="S1016" s="43">
        <f>$I1016+$J1016+$K1016+$L1016</f>
      </c>
      <c r="T1016" s="43">
        <f>$F1016-$G1016-$H1016-$S1016</f>
      </c>
      <c r="U1016" s="43">
        <f>$T1016-$R1016</f>
      </c>
      <c r="V1016" s="43">
        <f>$O1016-$M1016</f>
      </c>
      <c r="W1016" s="43">
        <f>$J1016+$K1016+$L1016</f>
      </c>
      <c r="X1016" s="43">
        <f>IF($O1016=0,0,$M1016/$O1016*100)</f>
      </c>
    </row>
    <row r="1017">
      <c r="A1017"/>
      <c r="B1017">
        <v>1</v>
      </c>
      <c r="C1017" s="43">
        <f>Jahr+25</f>
      </c>
      <c r="D1017">
        <v>25</v>
      </c>
      <c r="E1017" s="43">
        <f>IF(INDEX(ObjKaufJahr,1)=0,0,IF($C1017&lt;INDEX(ObjKaufJahr,1),0,IF($C1017&gt;INDEX(ObjKaufJahr,1),12,13-INDEX(ObjKaufMonat,1))))/12</f>
      </c>
      <c r="F1017" s="43">
        <f>SUMIFS(MlSumme,MlObj,1,MlJahr,$C1017)*(1-Leerstand/100)</f>
      </c>
      <c r="G1017" s="43">
        <f>INDEX(ObjLaufend,1)*(1+(Inflation)/100)^MAX(0,25)*$E1017</f>
      </c>
      <c r="H1017" s="43">
        <f>INDEX(ObjInstandBasis,1)*(1+(Inflation)/100)^MAX(0,25)*$E1017</f>
      </c>
      <c r="I1017" s="43">
        <f>SUMIFS(TilgZins,TilgObj,1,TilgJahr,$C1017)</f>
      </c>
      <c r="J1017" s="43">
        <f>SUMIFS(TilgTilgung,TilgObj,1,TilgJahr,$C1017)</f>
      </c>
      <c r="K1017" s="43">
        <f>SUMIFS(TilgSonder,TilgObj,1,TilgJahr,$C1017)</f>
      </c>
      <c r="L1017" s="43">
        <f>SUMIFS(TilgErsatz,TilgObj,1,TilgJahr,$C1017)</f>
      </c>
      <c r="M1017" s="43">
        <f>MAX(0,SUMIF(DarlObj,1,DarlBetrag)-SUMIFS(TilgTilgung,TilgObj,1,TilgJahr,"&lt;="&amp;$C1017)-SUMIFS(TilgSonder,TilgObj,1,TilgJahr,"&lt;="&amp;$C1017))</f>
      </c>
      <c r="N1017" s="43">
        <f>SUMIFS(TilgErsatz,TilgObj,1,TilgJahr,"&lt;="&amp;$C1017)+SUMIFS(TilgErtrag,TilgObj,1,TilgJahr,"&lt;="&amp;$C1017)</f>
      </c>
      <c r="O1017" s="43">
        <f>INDEX(ObjWertEff,1)*(1+(Wertsteigerung)/100)^MAX(0,25)</f>
      </c>
      <c r="P1017" s="43">
        <f>IF(OR(INDEX(ObjAfaDauer,1)=0,INDEX(ObjAfaJahr,1)=0,$C1017&lt;INDEX(ObjKaufJahr,1),$C1017&gt;=INDEX(ObjKaufJahr,1)+INDEX(ObjAfaDauer,1)),0,IF($C1017=INDEX(ObjKaufJahr,1),INDEX(ObjAfaJahr,1)*(13-INDEX(ObjKaufMonat,1))/12,INDEX(ObjAfaJahr,1)))</f>
      </c>
      <c r="Q1017" s="43">
        <f>$F1017-$G1017-$H1017-$I1017-$P1017</f>
      </c>
      <c r="R1017" s="43">
        <f>$Q1017*INDEX(ObjSteuersatz,1)/100</f>
      </c>
      <c r="S1017" s="43">
        <f>$I1017+$J1017+$K1017+$L1017</f>
      </c>
      <c r="T1017" s="43">
        <f>$F1017-$G1017-$H1017-$S1017</f>
      </c>
      <c r="U1017" s="43">
        <f>$T1017-$R1017</f>
      </c>
      <c r="V1017" s="43">
        <f>$O1017-$M1017</f>
      </c>
      <c r="W1017" s="43">
        <f>$J1017+$K1017+$L1017</f>
      </c>
      <c r="X1017" s="43">
        <f>IF($O1017=0,0,$M1017/$O1017*100)</f>
      </c>
    </row>
    <row r="1018">
      <c r="A1018"/>
      <c r="B1018">
        <v>1</v>
      </c>
      <c r="C1018" s="43">
        <f>Jahr+26</f>
      </c>
      <c r="D1018">
        <v>26</v>
      </c>
      <c r="E1018" s="43">
        <f>IF(INDEX(ObjKaufJahr,1)=0,0,IF($C1018&lt;INDEX(ObjKaufJahr,1),0,IF($C1018&gt;INDEX(ObjKaufJahr,1),12,13-INDEX(ObjKaufMonat,1))))/12</f>
      </c>
      <c r="F1018" s="43">
        <f>SUMIFS(MlSumme,MlObj,1,MlJahr,$C1018)*(1-Leerstand/100)</f>
      </c>
      <c r="G1018" s="43">
        <f>INDEX(ObjLaufend,1)*(1+(Inflation)/100)^MAX(0,26)*$E1018</f>
      </c>
      <c r="H1018" s="43">
        <f>INDEX(ObjInstandBasis,1)*(1+(Inflation)/100)^MAX(0,26)*$E1018</f>
      </c>
      <c r="I1018" s="43">
        <f>SUMIFS(TilgZins,TilgObj,1,TilgJahr,$C1018)</f>
      </c>
      <c r="J1018" s="43">
        <f>SUMIFS(TilgTilgung,TilgObj,1,TilgJahr,$C1018)</f>
      </c>
      <c r="K1018" s="43">
        <f>SUMIFS(TilgSonder,TilgObj,1,TilgJahr,$C1018)</f>
      </c>
      <c r="L1018" s="43">
        <f>SUMIFS(TilgErsatz,TilgObj,1,TilgJahr,$C1018)</f>
      </c>
      <c r="M1018" s="43">
        <f>MAX(0,SUMIF(DarlObj,1,DarlBetrag)-SUMIFS(TilgTilgung,TilgObj,1,TilgJahr,"&lt;="&amp;$C1018)-SUMIFS(TilgSonder,TilgObj,1,TilgJahr,"&lt;="&amp;$C1018))</f>
      </c>
      <c r="N1018" s="43">
        <f>SUMIFS(TilgErsatz,TilgObj,1,TilgJahr,"&lt;="&amp;$C1018)+SUMIFS(TilgErtrag,TilgObj,1,TilgJahr,"&lt;="&amp;$C1018)</f>
      </c>
      <c r="O1018" s="43">
        <f>INDEX(ObjWertEff,1)*(1+(Wertsteigerung)/100)^MAX(0,26)</f>
      </c>
      <c r="P1018" s="43">
        <f>IF(OR(INDEX(ObjAfaDauer,1)=0,INDEX(ObjAfaJahr,1)=0,$C1018&lt;INDEX(ObjKaufJahr,1),$C1018&gt;=INDEX(ObjKaufJahr,1)+INDEX(ObjAfaDauer,1)),0,IF($C1018=INDEX(ObjKaufJahr,1),INDEX(ObjAfaJahr,1)*(13-INDEX(ObjKaufMonat,1))/12,INDEX(ObjAfaJahr,1)))</f>
      </c>
      <c r="Q1018" s="43">
        <f>$F1018-$G1018-$H1018-$I1018-$P1018</f>
      </c>
      <c r="R1018" s="43">
        <f>$Q1018*INDEX(ObjSteuersatz,1)/100</f>
      </c>
      <c r="S1018" s="43">
        <f>$I1018+$J1018+$K1018+$L1018</f>
      </c>
      <c r="T1018" s="43">
        <f>$F1018-$G1018-$H1018-$S1018</f>
      </c>
      <c r="U1018" s="43">
        <f>$T1018-$R1018</f>
      </c>
      <c r="V1018" s="43">
        <f>$O1018-$M1018</f>
      </c>
      <c r="W1018" s="43">
        <f>$J1018+$K1018+$L1018</f>
      </c>
      <c r="X1018" s="43">
        <f>IF($O1018=0,0,$M1018/$O1018*100)</f>
      </c>
    </row>
    <row r="1019">
      <c r="A1019"/>
      <c r="B1019">
        <v>1</v>
      </c>
      <c r="C1019" s="43">
        <f>Jahr+27</f>
      </c>
      <c r="D1019">
        <v>27</v>
      </c>
      <c r="E1019" s="43">
        <f>IF(INDEX(ObjKaufJahr,1)=0,0,IF($C1019&lt;INDEX(ObjKaufJahr,1),0,IF($C1019&gt;INDEX(ObjKaufJahr,1),12,13-INDEX(ObjKaufMonat,1))))/12</f>
      </c>
      <c r="F1019" s="43">
        <f>SUMIFS(MlSumme,MlObj,1,MlJahr,$C1019)*(1-Leerstand/100)</f>
      </c>
      <c r="G1019" s="43">
        <f>INDEX(ObjLaufend,1)*(1+(Inflation)/100)^MAX(0,27)*$E1019</f>
      </c>
      <c r="H1019" s="43">
        <f>INDEX(ObjInstandBasis,1)*(1+(Inflation)/100)^MAX(0,27)*$E1019</f>
      </c>
      <c r="I1019" s="43">
        <f>SUMIFS(TilgZins,TilgObj,1,TilgJahr,$C1019)</f>
      </c>
      <c r="J1019" s="43">
        <f>SUMIFS(TilgTilgung,TilgObj,1,TilgJahr,$C1019)</f>
      </c>
      <c r="K1019" s="43">
        <f>SUMIFS(TilgSonder,TilgObj,1,TilgJahr,$C1019)</f>
      </c>
      <c r="L1019" s="43">
        <f>SUMIFS(TilgErsatz,TilgObj,1,TilgJahr,$C1019)</f>
      </c>
      <c r="M1019" s="43">
        <f>MAX(0,SUMIF(DarlObj,1,DarlBetrag)-SUMIFS(TilgTilgung,TilgObj,1,TilgJahr,"&lt;="&amp;$C1019)-SUMIFS(TilgSonder,TilgObj,1,TilgJahr,"&lt;="&amp;$C1019))</f>
      </c>
      <c r="N1019" s="43">
        <f>SUMIFS(TilgErsatz,TilgObj,1,TilgJahr,"&lt;="&amp;$C1019)+SUMIFS(TilgErtrag,TilgObj,1,TilgJahr,"&lt;="&amp;$C1019)</f>
      </c>
      <c r="O1019" s="43">
        <f>INDEX(ObjWertEff,1)*(1+(Wertsteigerung)/100)^MAX(0,27)</f>
      </c>
      <c r="P1019" s="43">
        <f>IF(OR(INDEX(ObjAfaDauer,1)=0,INDEX(ObjAfaJahr,1)=0,$C1019&lt;INDEX(ObjKaufJahr,1),$C1019&gt;=INDEX(ObjKaufJahr,1)+INDEX(ObjAfaDauer,1)),0,IF($C1019=INDEX(ObjKaufJahr,1),INDEX(ObjAfaJahr,1)*(13-INDEX(ObjKaufMonat,1))/12,INDEX(ObjAfaJahr,1)))</f>
      </c>
      <c r="Q1019" s="43">
        <f>$F1019-$G1019-$H1019-$I1019-$P1019</f>
      </c>
      <c r="R1019" s="43">
        <f>$Q1019*INDEX(ObjSteuersatz,1)/100</f>
      </c>
      <c r="S1019" s="43">
        <f>$I1019+$J1019+$K1019+$L1019</f>
      </c>
      <c r="T1019" s="43">
        <f>$F1019-$G1019-$H1019-$S1019</f>
      </c>
      <c r="U1019" s="43">
        <f>$T1019-$R1019</f>
      </c>
      <c r="V1019" s="43">
        <f>$O1019-$M1019</f>
      </c>
      <c r="W1019" s="43">
        <f>$J1019+$K1019+$L1019</f>
      </c>
      <c r="X1019" s="43">
        <f>IF($O1019=0,0,$M1019/$O1019*100)</f>
      </c>
    </row>
    <row r="1020">
      <c r="A1020"/>
      <c r="B1020">
        <v>1</v>
      </c>
      <c r="C1020" s="43">
        <f>Jahr+28</f>
      </c>
      <c r="D1020">
        <v>28</v>
      </c>
      <c r="E1020" s="43">
        <f>IF(INDEX(ObjKaufJahr,1)=0,0,IF($C1020&lt;INDEX(ObjKaufJahr,1),0,IF($C1020&gt;INDEX(ObjKaufJahr,1),12,13-INDEX(ObjKaufMonat,1))))/12</f>
      </c>
      <c r="F1020" s="43">
        <f>SUMIFS(MlSumme,MlObj,1,MlJahr,$C1020)*(1-Leerstand/100)</f>
      </c>
      <c r="G1020" s="43">
        <f>INDEX(ObjLaufend,1)*(1+(Inflation)/100)^MAX(0,28)*$E1020</f>
      </c>
      <c r="H1020" s="43">
        <f>INDEX(ObjInstandBasis,1)*(1+(Inflation)/100)^MAX(0,28)*$E1020</f>
      </c>
      <c r="I1020" s="43">
        <f>SUMIFS(TilgZins,TilgObj,1,TilgJahr,$C1020)</f>
      </c>
      <c r="J1020" s="43">
        <f>SUMIFS(TilgTilgung,TilgObj,1,TilgJahr,$C1020)</f>
      </c>
      <c r="K1020" s="43">
        <f>SUMIFS(TilgSonder,TilgObj,1,TilgJahr,$C1020)</f>
      </c>
      <c r="L1020" s="43">
        <f>SUMIFS(TilgErsatz,TilgObj,1,TilgJahr,$C1020)</f>
      </c>
      <c r="M1020" s="43">
        <f>MAX(0,SUMIF(DarlObj,1,DarlBetrag)-SUMIFS(TilgTilgung,TilgObj,1,TilgJahr,"&lt;="&amp;$C1020)-SUMIFS(TilgSonder,TilgObj,1,TilgJahr,"&lt;="&amp;$C1020))</f>
      </c>
      <c r="N1020" s="43">
        <f>SUMIFS(TilgErsatz,TilgObj,1,TilgJahr,"&lt;="&amp;$C1020)+SUMIFS(TilgErtrag,TilgObj,1,TilgJahr,"&lt;="&amp;$C1020)</f>
      </c>
      <c r="O1020" s="43">
        <f>INDEX(ObjWertEff,1)*(1+(Wertsteigerung)/100)^MAX(0,28)</f>
      </c>
      <c r="P1020" s="43">
        <f>IF(OR(INDEX(ObjAfaDauer,1)=0,INDEX(ObjAfaJahr,1)=0,$C1020&lt;INDEX(ObjKaufJahr,1),$C1020&gt;=INDEX(ObjKaufJahr,1)+INDEX(ObjAfaDauer,1)),0,IF($C1020=INDEX(ObjKaufJahr,1),INDEX(ObjAfaJahr,1)*(13-INDEX(ObjKaufMonat,1))/12,INDEX(ObjAfaJahr,1)))</f>
      </c>
      <c r="Q1020" s="43">
        <f>$F1020-$G1020-$H1020-$I1020-$P1020</f>
      </c>
      <c r="R1020" s="43">
        <f>$Q1020*INDEX(ObjSteuersatz,1)/100</f>
      </c>
      <c r="S1020" s="43">
        <f>$I1020+$J1020+$K1020+$L1020</f>
      </c>
      <c r="T1020" s="43">
        <f>$F1020-$G1020-$H1020-$S1020</f>
      </c>
      <c r="U1020" s="43">
        <f>$T1020-$R1020</f>
      </c>
      <c r="V1020" s="43">
        <f>$O1020-$M1020</f>
      </c>
      <c r="W1020" s="43">
        <f>$J1020+$K1020+$L1020</f>
      </c>
      <c r="X1020" s="43">
        <f>IF($O1020=0,0,$M1020/$O1020*100)</f>
      </c>
    </row>
    <row r="1021">
      <c r="A1021"/>
      <c r="B1021">
        <v>1</v>
      </c>
      <c r="C1021" s="43">
        <f>Jahr+29</f>
      </c>
      <c r="D1021">
        <v>29</v>
      </c>
      <c r="E1021" s="43">
        <f>IF(INDEX(ObjKaufJahr,1)=0,0,IF($C1021&lt;INDEX(ObjKaufJahr,1),0,IF($C1021&gt;INDEX(ObjKaufJahr,1),12,13-INDEX(ObjKaufMonat,1))))/12</f>
      </c>
      <c r="F1021" s="43">
        <f>SUMIFS(MlSumme,MlObj,1,MlJahr,$C1021)*(1-Leerstand/100)</f>
      </c>
      <c r="G1021" s="43">
        <f>INDEX(ObjLaufend,1)*(1+(Inflation)/100)^MAX(0,29)*$E1021</f>
      </c>
      <c r="H1021" s="43">
        <f>INDEX(ObjInstandBasis,1)*(1+(Inflation)/100)^MAX(0,29)*$E1021</f>
      </c>
      <c r="I1021" s="43">
        <f>SUMIFS(TilgZins,TilgObj,1,TilgJahr,$C1021)</f>
      </c>
      <c r="J1021" s="43">
        <f>SUMIFS(TilgTilgung,TilgObj,1,TilgJahr,$C1021)</f>
      </c>
      <c r="K1021" s="43">
        <f>SUMIFS(TilgSonder,TilgObj,1,TilgJahr,$C1021)</f>
      </c>
      <c r="L1021" s="43">
        <f>SUMIFS(TilgErsatz,TilgObj,1,TilgJahr,$C1021)</f>
      </c>
      <c r="M1021" s="43">
        <f>MAX(0,SUMIF(DarlObj,1,DarlBetrag)-SUMIFS(TilgTilgung,TilgObj,1,TilgJahr,"&lt;="&amp;$C1021)-SUMIFS(TilgSonder,TilgObj,1,TilgJahr,"&lt;="&amp;$C1021))</f>
      </c>
      <c r="N1021" s="43">
        <f>SUMIFS(TilgErsatz,TilgObj,1,TilgJahr,"&lt;="&amp;$C1021)+SUMIFS(TilgErtrag,TilgObj,1,TilgJahr,"&lt;="&amp;$C1021)</f>
      </c>
      <c r="O1021" s="43">
        <f>INDEX(ObjWertEff,1)*(1+(Wertsteigerung)/100)^MAX(0,29)</f>
      </c>
      <c r="P1021" s="43">
        <f>IF(OR(INDEX(ObjAfaDauer,1)=0,INDEX(ObjAfaJahr,1)=0,$C1021&lt;INDEX(ObjKaufJahr,1),$C1021&gt;=INDEX(ObjKaufJahr,1)+INDEX(ObjAfaDauer,1)),0,IF($C1021=INDEX(ObjKaufJahr,1),INDEX(ObjAfaJahr,1)*(13-INDEX(ObjKaufMonat,1))/12,INDEX(ObjAfaJahr,1)))</f>
      </c>
      <c r="Q1021" s="43">
        <f>$F1021-$G1021-$H1021-$I1021-$P1021</f>
      </c>
      <c r="R1021" s="43">
        <f>$Q1021*INDEX(ObjSteuersatz,1)/100</f>
      </c>
      <c r="S1021" s="43">
        <f>$I1021+$J1021+$K1021+$L1021</f>
      </c>
      <c r="T1021" s="43">
        <f>$F1021-$G1021-$H1021-$S1021</f>
      </c>
      <c r="U1021" s="43">
        <f>$T1021-$R1021</f>
      </c>
      <c r="V1021" s="43">
        <f>$O1021-$M1021</f>
      </c>
      <c r="W1021" s="43">
        <f>$J1021+$K1021+$L1021</f>
      </c>
      <c r="X1021" s="43">
        <f>IF($O1021=0,0,$M1021/$O1021*100)</f>
      </c>
    </row>
    <row r="1022">
      <c r="A1022"/>
      <c r="B1022">
        <v>1</v>
      </c>
      <c r="C1022" s="43">
        <f>Jahr+30</f>
      </c>
      <c r="D1022">
        <v>30</v>
      </c>
      <c r="E1022" s="43">
        <f>IF(INDEX(ObjKaufJahr,1)=0,0,IF($C1022&lt;INDEX(ObjKaufJahr,1),0,IF($C1022&gt;INDEX(ObjKaufJahr,1),12,13-INDEX(ObjKaufMonat,1))))/12</f>
      </c>
      <c r="F1022" s="43">
        <f>SUMIFS(MlSumme,MlObj,1,MlJahr,$C1022)*(1-Leerstand/100)</f>
      </c>
      <c r="G1022" s="43">
        <f>INDEX(ObjLaufend,1)*(1+(Inflation)/100)^MAX(0,30)*$E1022</f>
      </c>
      <c r="H1022" s="43">
        <f>INDEX(ObjInstandBasis,1)*(1+(Inflation)/100)^MAX(0,30)*$E1022</f>
      </c>
      <c r="I1022" s="43">
        <f>SUMIFS(TilgZins,TilgObj,1,TilgJahr,$C1022)</f>
      </c>
      <c r="J1022" s="43">
        <f>SUMIFS(TilgTilgung,TilgObj,1,TilgJahr,$C1022)</f>
      </c>
      <c r="K1022" s="43">
        <f>SUMIFS(TilgSonder,TilgObj,1,TilgJahr,$C1022)</f>
      </c>
      <c r="L1022" s="43">
        <f>SUMIFS(TilgErsatz,TilgObj,1,TilgJahr,$C1022)</f>
      </c>
      <c r="M1022" s="43">
        <f>MAX(0,SUMIF(DarlObj,1,DarlBetrag)-SUMIFS(TilgTilgung,TilgObj,1,TilgJahr,"&lt;="&amp;$C1022)-SUMIFS(TilgSonder,TilgObj,1,TilgJahr,"&lt;="&amp;$C1022))</f>
      </c>
      <c r="N1022" s="43">
        <f>SUMIFS(TilgErsatz,TilgObj,1,TilgJahr,"&lt;="&amp;$C1022)+SUMIFS(TilgErtrag,TilgObj,1,TilgJahr,"&lt;="&amp;$C1022)</f>
      </c>
      <c r="O1022" s="43">
        <f>INDEX(ObjWertEff,1)*(1+(Wertsteigerung)/100)^MAX(0,30)</f>
      </c>
      <c r="P1022" s="43">
        <f>IF(OR(INDEX(ObjAfaDauer,1)=0,INDEX(ObjAfaJahr,1)=0,$C1022&lt;INDEX(ObjKaufJahr,1),$C1022&gt;=INDEX(ObjKaufJahr,1)+INDEX(ObjAfaDauer,1)),0,IF($C1022=INDEX(ObjKaufJahr,1),INDEX(ObjAfaJahr,1)*(13-INDEX(ObjKaufMonat,1))/12,INDEX(ObjAfaJahr,1)))</f>
      </c>
      <c r="Q1022" s="43">
        <f>$F1022-$G1022-$H1022-$I1022-$P1022</f>
      </c>
      <c r="R1022" s="43">
        <f>$Q1022*INDEX(ObjSteuersatz,1)/100</f>
      </c>
      <c r="S1022" s="43">
        <f>$I1022+$J1022+$K1022+$L1022</f>
      </c>
      <c r="T1022" s="43">
        <f>$F1022-$G1022-$H1022-$S1022</f>
      </c>
      <c r="U1022" s="43">
        <f>$T1022-$R1022</f>
      </c>
      <c r="V1022" s="43">
        <f>$O1022-$M1022</f>
      </c>
      <c r="W1022" s="43">
        <f>$J1022+$K1022+$L1022</f>
      </c>
      <c r="X1022" s="43">
        <f>IF($O1022=0,0,$M1022/$O1022*100)</f>
      </c>
    </row>
    <row r="1023">
      <c r="A1023"/>
      <c r="B1023">
        <v>2</v>
      </c>
      <c r="C1023" s="43">
        <f>Jahr+0</f>
      </c>
      <c r="D1023">
        <v>0</v>
      </c>
      <c r="E1023" s="43">
        <f>IF(INDEX(ObjKaufJahr,2)=0,0,IF($C1023&lt;INDEX(ObjKaufJahr,2),0,IF($C1023&gt;INDEX(ObjKaufJahr,2),12,13-INDEX(ObjKaufMonat,2))))/12</f>
      </c>
      <c r="F1023" s="43">
        <f>SUMIFS(MlSumme,MlObj,2,MlJahr,$C1023)*(1-Leerstand/100)</f>
      </c>
      <c r="G1023" s="43">
        <f>INDEX(ObjLaufend,2)*(1+(Inflation)/100)^MAX(0,0)*$E1023</f>
      </c>
      <c r="H1023" s="43">
        <f>INDEX(ObjInstandBasis,2)*(1+(Inflation)/100)^MAX(0,0)*$E1023</f>
      </c>
      <c r="I1023" s="43">
        <f>SUMIFS(TilgZins,TilgObj,2,TilgJahr,$C1023)</f>
      </c>
      <c r="J1023" s="43">
        <f>SUMIFS(TilgTilgung,TilgObj,2,TilgJahr,$C1023)</f>
      </c>
      <c r="K1023" s="43">
        <f>SUMIFS(TilgSonder,TilgObj,2,TilgJahr,$C1023)</f>
      </c>
      <c r="L1023" s="43">
        <f>SUMIFS(TilgErsatz,TilgObj,2,TilgJahr,$C1023)</f>
      </c>
      <c r="M1023" s="43">
        <f>MAX(0,SUMIF(DarlObj,2,DarlBetrag)-SUMIFS(TilgTilgung,TilgObj,2,TilgJahr,"&lt;="&amp;$C1023)-SUMIFS(TilgSonder,TilgObj,2,TilgJahr,"&lt;="&amp;$C1023))</f>
      </c>
      <c r="N1023" s="43">
        <f>SUMIFS(TilgErsatz,TilgObj,2,TilgJahr,"&lt;="&amp;$C1023)+SUMIFS(TilgErtrag,TilgObj,2,TilgJahr,"&lt;="&amp;$C1023)</f>
      </c>
      <c r="O1023" s="43">
        <f>INDEX(ObjWertEff,2)*(1+(Wertsteigerung)/100)^MAX(0,0)</f>
      </c>
      <c r="P1023" s="43">
        <f>IF(OR(INDEX(ObjAfaDauer,2)=0,INDEX(ObjAfaJahr,2)=0,$C1023&lt;INDEX(ObjKaufJahr,2),$C1023&gt;=INDEX(ObjKaufJahr,2)+INDEX(ObjAfaDauer,2)),0,IF($C1023=INDEX(ObjKaufJahr,2),INDEX(ObjAfaJahr,2)*(13-INDEX(ObjKaufMonat,2))/12,INDEX(ObjAfaJahr,2)))</f>
      </c>
      <c r="Q1023" s="43">
        <f>$F1023-$G1023-$H1023-$I1023-$P1023</f>
      </c>
      <c r="R1023" s="43">
        <f>$Q1023*INDEX(ObjSteuersatz,2)/100</f>
      </c>
      <c r="S1023" s="43">
        <f>$I1023+$J1023+$K1023+$L1023</f>
      </c>
      <c r="T1023" s="43">
        <f>$F1023-$G1023-$H1023-$S1023</f>
      </c>
      <c r="U1023" s="43">
        <f>$T1023-$R1023</f>
      </c>
      <c r="V1023" s="43">
        <f>$O1023-$M1023</f>
      </c>
      <c r="W1023" s="43">
        <f>$J1023+$K1023+$L1023</f>
      </c>
      <c r="X1023" s="43">
        <f>IF($O1023=0,0,$M1023/$O1023*100)</f>
      </c>
    </row>
    <row r="1024">
      <c r="A1024"/>
      <c r="B1024">
        <v>2</v>
      </c>
      <c r="C1024" s="43">
        <f>Jahr+1</f>
      </c>
      <c r="D1024">
        <v>1</v>
      </c>
      <c r="E1024" s="43">
        <f>IF(INDEX(ObjKaufJahr,2)=0,0,IF($C1024&lt;INDEX(ObjKaufJahr,2),0,IF($C1024&gt;INDEX(ObjKaufJahr,2),12,13-INDEX(ObjKaufMonat,2))))/12</f>
      </c>
      <c r="F1024" s="43">
        <f>SUMIFS(MlSumme,MlObj,2,MlJahr,$C1024)*(1-Leerstand/100)</f>
      </c>
      <c r="G1024" s="43">
        <f>INDEX(ObjLaufend,2)*(1+(Inflation)/100)^MAX(0,1)*$E1024</f>
      </c>
      <c r="H1024" s="43">
        <f>INDEX(ObjInstandBasis,2)*(1+(Inflation)/100)^MAX(0,1)*$E1024</f>
      </c>
      <c r="I1024" s="43">
        <f>SUMIFS(TilgZins,TilgObj,2,TilgJahr,$C1024)</f>
      </c>
      <c r="J1024" s="43">
        <f>SUMIFS(TilgTilgung,TilgObj,2,TilgJahr,$C1024)</f>
      </c>
      <c r="K1024" s="43">
        <f>SUMIFS(TilgSonder,TilgObj,2,TilgJahr,$C1024)</f>
      </c>
      <c r="L1024" s="43">
        <f>SUMIFS(TilgErsatz,TilgObj,2,TilgJahr,$C1024)</f>
      </c>
      <c r="M1024" s="43">
        <f>MAX(0,SUMIF(DarlObj,2,DarlBetrag)-SUMIFS(TilgTilgung,TilgObj,2,TilgJahr,"&lt;="&amp;$C1024)-SUMIFS(TilgSonder,TilgObj,2,TilgJahr,"&lt;="&amp;$C1024))</f>
      </c>
      <c r="N1024" s="43">
        <f>SUMIFS(TilgErsatz,TilgObj,2,TilgJahr,"&lt;="&amp;$C1024)+SUMIFS(TilgErtrag,TilgObj,2,TilgJahr,"&lt;="&amp;$C1024)</f>
      </c>
      <c r="O1024" s="43">
        <f>INDEX(ObjWertEff,2)*(1+(Wertsteigerung)/100)^MAX(0,1)</f>
      </c>
      <c r="P1024" s="43">
        <f>IF(OR(INDEX(ObjAfaDauer,2)=0,INDEX(ObjAfaJahr,2)=0,$C1024&lt;INDEX(ObjKaufJahr,2),$C1024&gt;=INDEX(ObjKaufJahr,2)+INDEX(ObjAfaDauer,2)),0,IF($C1024=INDEX(ObjKaufJahr,2),INDEX(ObjAfaJahr,2)*(13-INDEX(ObjKaufMonat,2))/12,INDEX(ObjAfaJahr,2)))</f>
      </c>
      <c r="Q1024" s="43">
        <f>$F1024-$G1024-$H1024-$I1024-$P1024</f>
      </c>
      <c r="R1024" s="43">
        <f>$Q1024*INDEX(ObjSteuersatz,2)/100</f>
      </c>
      <c r="S1024" s="43">
        <f>$I1024+$J1024+$K1024+$L1024</f>
      </c>
      <c r="T1024" s="43">
        <f>$F1024-$G1024-$H1024-$S1024</f>
      </c>
      <c r="U1024" s="43">
        <f>$T1024-$R1024</f>
      </c>
      <c r="V1024" s="43">
        <f>$O1024-$M1024</f>
      </c>
      <c r="W1024" s="43">
        <f>$J1024+$K1024+$L1024</f>
      </c>
      <c r="X1024" s="43">
        <f>IF($O1024=0,0,$M1024/$O1024*100)</f>
      </c>
    </row>
    <row r="1025">
      <c r="A1025"/>
      <c r="B1025">
        <v>2</v>
      </c>
      <c r="C1025" s="43">
        <f>Jahr+2</f>
      </c>
      <c r="D1025">
        <v>2</v>
      </c>
      <c r="E1025" s="43">
        <f>IF(INDEX(ObjKaufJahr,2)=0,0,IF($C1025&lt;INDEX(ObjKaufJahr,2),0,IF($C1025&gt;INDEX(ObjKaufJahr,2),12,13-INDEX(ObjKaufMonat,2))))/12</f>
      </c>
      <c r="F1025" s="43">
        <f>SUMIFS(MlSumme,MlObj,2,MlJahr,$C1025)*(1-Leerstand/100)</f>
      </c>
      <c r="G1025" s="43">
        <f>INDEX(ObjLaufend,2)*(1+(Inflation)/100)^MAX(0,2)*$E1025</f>
      </c>
      <c r="H1025" s="43">
        <f>INDEX(ObjInstandBasis,2)*(1+(Inflation)/100)^MAX(0,2)*$E1025</f>
      </c>
      <c r="I1025" s="43">
        <f>SUMIFS(TilgZins,TilgObj,2,TilgJahr,$C1025)</f>
      </c>
      <c r="J1025" s="43">
        <f>SUMIFS(TilgTilgung,TilgObj,2,TilgJahr,$C1025)</f>
      </c>
      <c r="K1025" s="43">
        <f>SUMIFS(TilgSonder,TilgObj,2,TilgJahr,$C1025)</f>
      </c>
      <c r="L1025" s="43">
        <f>SUMIFS(TilgErsatz,TilgObj,2,TilgJahr,$C1025)</f>
      </c>
      <c r="M1025" s="43">
        <f>MAX(0,SUMIF(DarlObj,2,DarlBetrag)-SUMIFS(TilgTilgung,TilgObj,2,TilgJahr,"&lt;="&amp;$C1025)-SUMIFS(TilgSonder,TilgObj,2,TilgJahr,"&lt;="&amp;$C1025))</f>
      </c>
      <c r="N1025" s="43">
        <f>SUMIFS(TilgErsatz,TilgObj,2,TilgJahr,"&lt;="&amp;$C1025)+SUMIFS(TilgErtrag,TilgObj,2,TilgJahr,"&lt;="&amp;$C1025)</f>
      </c>
      <c r="O1025" s="43">
        <f>INDEX(ObjWertEff,2)*(1+(Wertsteigerung)/100)^MAX(0,2)</f>
      </c>
      <c r="P1025" s="43">
        <f>IF(OR(INDEX(ObjAfaDauer,2)=0,INDEX(ObjAfaJahr,2)=0,$C1025&lt;INDEX(ObjKaufJahr,2),$C1025&gt;=INDEX(ObjKaufJahr,2)+INDEX(ObjAfaDauer,2)),0,IF($C1025=INDEX(ObjKaufJahr,2),INDEX(ObjAfaJahr,2)*(13-INDEX(ObjKaufMonat,2))/12,INDEX(ObjAfaJahr,2)))</f>
      </c>
      <c r="Q1025" s="43">
        <f>$F1025-$G1025-$H1025-$I1025-$P1025</f>
      </c>
      <c r="R1025" s="43">
        <f>$Q1025*INDEX(ObjSteuersatz,2)/100</f>
      </c>
      <c r="S1025" s="43">
        <f>$I1025+$J1025+$K1025+$L1025</f>
      </c>
      <c r="T1025" s="43">
        <f>$F1025-$G1025-$H1025-$S1025</f>
      </c>
      <c r="U1025" s="43">
        <f>$T1025-$R1025</f>
      </c>
      <c r="V1025" s="43">
        <f>$O1025-$M1025</f>
      </c>
      <c r="W1025" s="43">
        <f>$J1025+$K1025+$L1025</f>
      </c>
      <c r="X1025" s="43">
        <f>IF($O1025=0,0,$M1025/$O1025*100)</f>
      </c>
    </row>
    <row r="1026">
      <c r="A1026"/>
      <c r="B1026">
        <v>2</v>
      </c>
      <c r="C1026" s="43">
        <f>Jahr+3</f>
      </c>
      <c r="D1026">
        <v>3</v>
      </c>
      <c r="E1026" s="43">
        <f>IF(INDEX(ObjKaufJahr,2)=0,0,IF($C1026&lt;INDEX(ObjKaufJahr,2),0,IF($C1026&gt;INDEX(ObjKaufJahr,2),12,13-INDEX(ObjKaufMonat,2))))/12</f>
      </c>
      <c r="F1026" s="43">
        <f>SUMIFS(MlSumme,MlObj,2,MlJahr,$C1026)*(1-Leerstand/100)</f>
      </c>
      <c r="G1026" s="43">
        <f>INDEX(ObjLaufend,2)*(1+(Inflation)/100)^MAX(0,3)*$E1026</f>
      </c>
      <c r="H1026" s="43">
        <f>INDEX(ObjInstandBasis,2)*(1+(Inflation)/100)^MAX(0,3)*$E1026</f>
      </c>
      <c r="I1026" s="43">
        <f>SUMIFS(TilgZins,TilgObj,2,TilgJahr,$C1026)</f>
      </c>
      <c r="J1026" s="43">
        <f>SUMIFS(TilgTilgung,TilgObj,2,TilgJahr,$C1026)</f>
      </c>
      <c r="K1026" s="43">
        <f>SUMIFS(TilgSonder,TilgObj,2,TilgJahr,$C1026)</f>
      </c>
      <c r="L1026" s="43">
        <f>SUMIFS(TilgErsatz,TilgObj,2,TilgJahr,$C1026)</f>
      </c>
      <c r="M1026" s="43">
        <f>MAX(0,SUMIF(DarlObj,2,DarlBetrag)-SUMIFS(TilgTilgung,TilgObj,2,TilgJahr,"&lt;="&amp;$C1026)-SUMIFS(TilgSonder,TilgObj,2,TilgJahr,"&lt;="&amp;$C1026))</f>
      </c>
      <c r="N1026" s="43">
        <f>SUMIFS(TilgErsatz,TilgObj,2,TilgJahr,"&lt;="&amp;$C1026)+SUMIFS(TilgErtrag,TilgObj,2,TilgJahr,"&lt;="&amp;$C1026)</f>
      </c>
      <c r="O1026" s="43">
        <f>INDEX(ObjWertEff,2)*(1+(Wertsteigerung)/100)^MAX(0,3)</f>
      </c>
      <c r="P1026" s="43">
        <f>IF(OR(INDEX(ObjAfaDauer,2)=0,INDEX(ObjAfaJahr,2)=0,$C1026&lt;INDEX(ObjKaufJahr,2),$C1026&gt;=INDEX(ObjKaufJahr,2)+INDEX(ObjAfaDauer,2)),0,IF($C1026=INDEX(ObjKaufJahr,2),INDEX(ObjAfaJahr,2)*(13-INDEX(ObjKaufMonat,2))/12,INDEX(ObjAfaJahr,2)))</f>
      </c>
      <c r="Q1026" s="43">
        <f>$F1026-$G1026-$H1026-$I1026-$P1026</f>
      </c>
      <c r="R1026" s="43">
        <f>$Q1026*INDEX(ObjSteuersatz,2)/100</f>
      </c>
      <c r="S1026" s="43">
        <f>$I1026+$J1026+$K1026+$L1026</f>
      </c>
      <c r="T1026" s="43">
        <f>$F1026-$G1026-$H1026-$S1026</f>
      </c>
      <c r="U1026" s="43">
        <f>$T1026-$R1026</f>
      </c>
      <c r="V1026" s="43">
        <f>$O1026-$M1026</f>
      </c>
      <c r="W1026" s="43">
        <f>$J1026+$K1026+$L1026</f>
      </c>
      <c r="X1026" s="43">
        <f>IF($O1026=0,0,$M1026/$O1026*100)</f>
      </c>
    </row>
    <row r="1027">
      <c r="A1027"/>
      <c r="B1027">
        <v>2</v>
      </c>
      <c r="C1027" s="43">
        <f>Jahr+4</f>
      </c>
      <c r="D1027">
        <v>4</v>
      </c>
      <c r="E1027" s="43">
        <f>IF(INDEX(ObjKaufJahr,2)=0,0,IF($C1027&lt;INDEX(ObjKaufJahr,2),0,IF($C1027&gt;INDEX(ObjKaufJahr,2),12,13-INDEX(ObjKaufMonat,2))))/12</f>
      </c>
      <c r="F1027" s="43">
        <f>SUMIFS(MlSumme,MlObj,2,MlJahr,$C1027)*(1-Leerstand/100)</f>
      </c>
      <c r="G1027" s="43">
        <f>INDEX(ObjLaufend,2)*(1+(Inflation)/100)^MAX(0,4)*$E1027</f>
      </c>
      <c r="H1027" s="43">
        <f>INDEX(ObjInstandBasis,2)*(1+(Inflation)/100)^MAX(0,4)*$E1027</f>
      </c>
      <c r="I1027" s="43">
        <f>SUMIFS(TilgZins,TilgObj,2,TilgJahr,$C1027)</f>
      </c>
      <c r="J1027" s="43">
        <f>SUMIFS(TilgTilgung,TilgObj,2,TilgJahr,$C1027)</f>
      </c>
      <c r="K1027" s="43">
        <f>SUMIFS(TilgSonder,TilgObj,2,TilgJahr,$C1027)</f>
      </c>
      <c r="L1027" s="43">
        <f>SUMIFS(TilgErsatz,TilgObj,2,TilgJahr,$C1027)</f>
      </c>
      <c r="M1027" s="43">
        <f>MAX(0,SUMIF(DarlObj,2,DarlBetrag)-SUMIFS(TilgTilgung,TilgObj,2,TilgJahr,"&lt;="&amp;$C1027)-SUMIFS(TilgSonder,TilgObj,2,TilgJahr,"&lt;="&amp;$C1027))</f>
      </c>
      <c r="N1027" s="43">
        <f>SUMIFS(TilgErsatz,TilgObj,2,TilgJahr,"&lt;="&amp;$C1027)+SUMIFS(TilgErtrag,TilgObj,2,TilgJahr,"&lt;="&amp;$C1027)</f>
      </c>
      <c r="O1027" s="43">
        <f>INDEX(ObjWertEff,2)*(1+(Wertsteigerung)/100)^MAX(0,4)</f>
      </c>
      <c r="P1027" s="43">
        <f>IF(OR(INDEX(ObjAfaDauer,2)=0,INDEX(ObjAfaJahr,2)=0,$C1027&lt;INDEX(ObjKaufJahr,2),$C1027&gt;=INDEX(ObjKaufJahr,2)+INDEX(ObjAfaDauer,2)),0,IF($C1027=INDEX(ObjKaufJahr,2),INDEX(ObjAfaJahr,2)*(13-INDEX(ObjKaufMonat,2))/12,INDEX(ObjAfaJahr,2)))</f>
      </c>
      <c r="Q1027" s="43">
        <f>$F1027-$G1027-$H1027-$I1027-$P1027</f>
      </c>
      <c r="R1027" s="43">
        <f>$Q1027*INDEX(ObjSteuersatz,2)/100</f>
      </c>
      <c r="S1027" s="43">
        <f>$I1027+$J1027+$K1027+$L1027</f>
      </c>
      <c r="T1027" s="43">
        <f>$F1027-$G1027-$H1027-$S1027</f>
      </c>
      <c r="U1027" s="43">
        <f>$T1027-$R1027</f>
      </c>
      <c r="V1027" s="43">
        <f>$O1027-$M1027</f>
      </c>
      <c r="W1027" s="43">
        <f>$J1027+$K1027+$L1027</f>
      </c>
      <c r="X1027" s="43">
        <f>IF($O1027=0,0,$M1027/$O1027*100)</f>
      </c>
    </row>
    <row r="1028">
      <c r="A1028"/>
      <c r="B1028">
        <v>2</v>
      </c>
      <c r="C1028" s="43">
        <f>Jahr+5</f>
      </c>
      <c r="D1028">
        <v>5</v>
      </c>
      <c r="E1028" s="43">
        <f>IF(INDEX(ObjKaufJahr,2)=0,0,IF($C1028&lt;INDEX(ObjKaufJahr,2),0,IF($C1028&gt;INDEX(ObjKaufJahr,2),12,13-INDEX(ObjKaufMonat,2))))/12</f>
      </c>
      <c r="F1028" s="43">
        <f>SUMIFS(MlSumme,MlObj,2,MlJahr,$C1028)*(1-Leerstand/100)</f>
      </c>
      <c r="G1028" s="43">
        <f>INDEX(ObjLaufend,2)*(1+(Inflation)/100)^MAX(0,5)*$E1028</f>
      </c>
      <c r="H1028" s="43">
        <f>INDEX(ObjInstandBasis,2)*(1+(Inflation)/100)^MAX(0,5)*$E1028</f>
      </c>
      <c r="I1028" s="43">
        <f>SUMIFS(TilgZins,TilgObj,2,TilgJahr,$C1028)</f>
      </c>
      <c r="J1028" s="43">
        <f>SUMIFS(TilgTilgung,TilgObj,2,TilgJahr,$C1028)</f>
      </c>
      <c r="K1028" s="43">
        <f>SUMIFS(TilgSonder,TilgObj,2,TilgJahr,$C1028)</f>
      </c>
      <c r="L1028" s="43">
        <f>SUMIFS(TilgErsatz,TilgObj,2,TilgJahr,$C1028)</f>
      </c>
      <c r="M1028" s="43">
        <f>MAX(0,SUMIF(DarlObj,2,DarlBetrag)-SUMIFS(TilgTilgung,TilgObj,2,TilgJahr,"&lt;="&amp;$C1028)-SUMIFS(TilgSonder,TilgObj,2,TilgJahr,"&lt;="&amp;$C1028))</f>
      </c>
      <c r="N1028" s="43">
        <f>SUMIFS(TilgErsatz,TilgObj,2,TilgJahr,"&lt;="&amp;$C1028)+SUMIFS(TilgErtrag,TilgObj,2,TilgJahr,"&lt;="&amp;$C1028)</f>
      </c>
      <c r="O1028" s="43">
        <f>INDEX(ObjWertEff,2)*(1+(Wertsteigerung)/100)^MAX(0,5)</f>
      </c>
      <c r="P1028" s="43">
        <f>IF(OR(INDEX(ObjAfaDauer,2)=0,INDEX(ObjAfaJahr,2)=0,$C1028&lt;INDEX(ObjKaufJahr,2),$C1028&gt;=INDEX(ObjKaufJahr,2)+INDEX(ObjAfaDauer,2)),0,IF($C1028=INDEX(ObjKaufJahr,2),INDEX(ObjAfaJahr,2)*(13-INDEX(ObjKaufMonat,2))/12,INDEX(ObjAfaJahr,2)))</f>
      </c>
      <c r="Q1028" s="43">
        <f>$F1028-$G1028-$H1028-$I1028-$P1028</f>
      </c>
      <c r="R1028" s="43">
        <f>$Q1028*INDEX(ObjSteuersatz,2)/100</f>
      </c>
      <c r="S1028" s="43">
        <f>$I1028+$J1028+$K1028+$L1028</f>
      </c>
      <c r="T1028" s="43">
        <f>$F1028-$G1028-$H1028-$S1028</f>
      </c>
      <c r="U1028" s="43">
        <f>$T1028-$R1028</f>
      </c>
      <c r="V1028" s="43">
        <f>$O1028-$M1028</f>
      </c>
      <c r="W1028" s="43">
        <f>$J1028+$K1028+$L1028</f>
      </c>
      <c r="X1028" s="43">
        <f>IF($O1028=0,0,$M1028/$O1028*100)</f>
      </c>
    </row>
    <row r="1029">
      <c r="A1029"/>
      <c r="B1029">
        <v>2</v>
      </c>
      <c r="C1029" s="43">
        <f>Jahr+6</f>
      </c>
      <c r="D1029">
        <v>6</v>
      </c>
      <c r="E1029" s="43">
        <f>IF(INDEX(ObjKaufJahr,2)=0,0,IF($C1029&lt;INDEX(ObjKaufJahr,2),0,IF($C1029&gt;INDEX(ObjKaufJahr,2),12,13-INDEX(ObjKaufMonat,2))))/12</f>
      </c>
      <c r="F1029" s="43">
        <f>SUMIFS(MlSumme,MlObj,2,MlJahr,$C1029)*(1-Leerstand/100)</f>
      </c>
      <c r="G1029" s="43">
        <f>INDEX(ObjLaufend,2)*(1+(Inflation)/100)^MAX(0,6)*$E1029</f>
      </c>
      <c r="H1029" s="43">
        <f>INDEX(ObjInstandBasis,2)*(1+(Inflation)/100)^MAX(0,6)*$E1029</f>
      </c>
      <c r="I1029" s="43">
        <f>SUMIFS(TilgZins,TilgObj,2,TilgJahr,$C1029)</f>
      </c>
      <c r="J1029" s="43">
        <f>SUMIFS(TilgTilgung,TilgObj,2,TilgJahr,$C1029)</f>
      </c>
      <c r="K1029" s="43">
        <f>SUMIFS(TilgSonder,TilgObj,2,TilgJahr,$C1029)</f>
      </c>
      <c r="L1029" s="43">
        <f>SUMIFS(TilgErsatz,TilgObj,2,TilgJahr,$C1029)</f>
      </c>
      <c r="M1029" s="43">
        <f>MAX(0,SUMIF(DarlObj,2,DarlBetrag)-SUMIFS(TilgTilgung,TilgObj,2,TilgJahr,"&lt;="&amp;$C1029)-SUMIFS(TilgSonder,TilgObj,2,TilgJahr,"&lt;="&amp;$C1029))</f>
      </c>
      <c r="N1029" s="43">
        <f>SUMIFS(TilgErsatz,TilgObj,2,TilgJahr,"&lt;="&amp;$C1029)+SUMIFS(TilgErtrag,TilgObj,2,TilgJahr,"&lt;="&amp;$C1029)</f>
      </c>
      <c r="O1029" s="43">
        <f>INDEX(ObjWertEff,2)*(1+(Wertsteigerung)/100)^MAX(0,6)</f>
      </c>
      <c r="P1029" s="43">
        <f>IF(OR(INDEX(ObjAfaDauer,2)=0,INDEX(ObjAfaJahr,2)=0,$C1029&lt;INDEX(ObjKaufJahr,2),$C1029&gt;=INDEX(ObjKaufJahr,2)+INDEX(ObjAfaDauer,2)),0,IF($C1029=INDEX(ObjKaufJahr,2),INDEX(ObjAfaJahr,2)*(13-INDEX(ObjKaufMonat,2))/12,INDEX(ObjAfaJahr,2)))</f>
      </c>
      <c r="Q1029" s="43">
        <f>$F1029-$G1029-$H1029-$I1029-$P1029</f>
      </c>
      <c r="R1029" s="43">
        <f>$Q1029*INDEX(ObjSteuersatz,2)/100</f>
      </c>
      <c r="S1029" s="43">
        <f>$I1029+$J1029+$K1029+$L1029</f>
      </c>
      <c r="T1029" s="43">
        <f>$F1029-$G1029-$H1029-$S1029</f>
      </c>
      <c r="U1029" s="43">
        <f>$T1029-$R1029</f>
      </c>
      <c r="V1029" s="43">
        <f>$O1029-$M1029</f>
      </c>
      <c r="W1029" s="43">
        <f>$J1029+$K1029+$L1029</f>
      </c>
      <c r="X1029" s="43">
        <f>IF($O1029=0,0,$M1029/$O1029*100)</f>
      </c>
    </row>
    <row r="1030">
      <c r="A1030"/>
      <c r="B1030">
        <v>2</v>
      </c>
      <c r="C1030" s="43">
        <f>Jahr+7</f>
      </c>
      <c r="D1030">
        <v>7</v>
      </c>
      <c r="E1030" s="43">
        <f>IF(INDEX(ObjKaufJahr,2)=0,0,IF($C1030&lt;INDEX(ObjKaufJahr,2),0,IF($C1030&gt;INDEX(ObjKaufJahr,2),12,13-INDEX(ObjKaufMonat,2))))/12</f>
      </c>
      <c r="F1030" s="43">
        <f>SUMIFS(MlSumme,MlObj,2,MlJahr,$C1030)*(1-Leerstand/100)</f>
      </c>
      <c r="G1030" s="43">
        <f>INDEX(ObjLaufend,2)*(1+(Inflation)/100)^MAX(0,7)*$E1030</f>
      </c>
      <c r="H1030" s="43">
        <f>INDEX(ObjInstandBasis,2)*(1+(Inflation)/100)^MAX(0,7)*$E1030</f>
      </c>
      <c r="I1030" s="43">
        <f>SUMIFS(TilgZins,TilgObj,2,TilgJahr,$C1030)</f>
      </c>
      <c r="J1030" s="43">
        <f>SUMIFS(TilgTilgung,TilgObj,2,TilgJahr,$C1030)</f>
      </c>
      <c r="K1030" s="43">
        <f>SUMIFS(TilgSonder,TilgObj,2,TilgJahr,$C1030)</f>
      </c>
      <c r="L1030" s="43">
        <f>SUMIFS(TilgErsatz,TilgObj,2,TilgJahr,$C1030)</f>
      </c>
      <c r="M1030" s="43">
        <f>MAX(0,SUMIF(DarlObj,2,DarlBetrag)-SUMIFS(TilgTilgung,TilgObj,2,TilgJahr,"&lt;="&amp;$C1030)-SUMIFS(TilgSonder,TilgObj,2,TilgJahr,"&lt;="&amp;$C1030))</f>
      </c>
      <c r="N1030" s="43">
        <f>SUMIFS(TilgErsatz,TilgObj,2,TilgJahr,"&lt;="&amp;$C1030)+SUMIFS(TilgErtrag,TilgObj,2,TilgJahr,"&lt;="&amp;$C1030)</f>
      </c>
      <c r="O1030" s="43">
        <f>INDEX(ObjWertEff,2)*(1+(Wertsteigerung)/100)^MAX(0,7)</f>
      </c>
      <c r="P1030" s="43">
        <f>IF(OR(INDEX(ObjAfaDauer,2)=0,INDEX(ObjAfaJahr,2)=0,$C1030&lt;INDEX(ObjKaufJahr,2),$C1030&gt;=INDEX(ObjKaufJahr,2)+INDEX(ObjAfaDauer,2)),0,IF($C1030=INDEX(ObjKaufJahr,2),INDEX(ObjAfaJahr,2)*(13-INDEX(ObjKaufMonat,2))/12,INDEX(ObjAfaJahr,2)))</f>
      </c>
      <c r="Q1030" s="43">
        <f>$F1030-$G1030-$H1030-$I1030-$P1030</f>
      </c>
      <c r="R1030" s="43">
        <f>$Q1030*INDEX(ObjSteuersatz,2)/100</f>
      </c>
      <c r="S1030" s="43">
        <f>$I1030+$J1030+$K1030+$L1030</f>
      </c>
      <c r="T1030" s="43">
        <f>$F1030-$G1030-$H1030-$S1030</f>
      </c>
      <c r="U1030" s="43">
        <f>$T1030-$R1030</f>
      </c>
      <c r="V1030" s="43">
        <f>$O1030-$M1030</f>
      </c>
      <c r="W1030" s="43">
        <f>$J1030+$K1030+$L1030</f>
      </c>
      <c r="X1030" s="43">
        <f>IF($O1030=0,0,$M1030/$O1030*100)</f>
      </c>
    </row>
    <row r="1031">
      <c r="A1031"/>
      <c r="B1031">
        <v>2</v>
      </c>
      <c r="C1031" s="43">
        <f>Jahr+8</f>
      </c>
      <c r="D1031">
        <v>8</v>
      </c>
      <c r="E1031" s="43">
        <f>IF(INDEX(ObjKaufJahr,2)=0,0,IF($C1031&lt;INDEX(ObjKaufJahr,2),0,IF($C1031&gt;INDEX(ObjKaufJahr,2),12,13-INDEX(ObjKaufMonat,2))))/12</f>
      </c>
      <c r="F1031" s="43">
        <f>SUMIFS(MlSumme,MlObj,2,MlJahr,$C1031)*(1-Leerstand/100)</f>
      </c>
      <c r="G1031" s="43">
        <f>INDEX(ObjLaufend,2)*(1+(Inflation)/100)^MAX(0,8)*$E1031</f>
      </c>
      <c r="H1031" s="43">
        <f>INDEX(ObjInstandBasis,2)*(1+(Inflation)/100)^MAX(0,8)*$E1031</f>
      </c>
      <c r="I1031" s="43">
        <f>SUMIFS(TilgZins,TilgObj,2,TilgJahr,$C1031)</f>
      </c>
      <c r="J1031" s="43">
        <f>SUMIFS(TilgTilgung,TilgObj,2,TilgJahr,$C1031)</f>
      </c>
      <c r="K1031" s="43">
        <f>SUMIFS(TilgSonder,TilgObj,2,TilgJahr,$C1031)</f>
      </c>
      <c r="L1031" s="43">
        <f>SUMIFS(TilgErsatz,TilgObj,2,TilgJahr,$C1031)</f>
      </c>
      <c r="M1031" s="43">
        <f>MAX(0,SUMIF(DarlObj,2,DarlBetrag)-SUMIFS(TilgTilgung,TilgObj,2,TilgJahr,"&lt;="&amp;$C1031)-SUMIFS(TilgSonder,TilgObj,2,TilgJahr,"&lt;="&amp;$C1031))</f>
      </c>
      <c r="N1031" s="43">
        <f>SUMIFS(TilgErsatz,TilgObj,2,TilgJahr,"&lt;="&amp;$C1031)+SUMIFS(TilgErtrag,TilgObj,2,TilgJahr,"&lt;="&amp;$C1031)</f>
      </c>
      <c r="O1031" s="43">
        <f>INDEX(ObjWertEff,2)*(1+(Wertsteigerung)/100)^MAX(0,8)</f>
      </c>
      <c r="P1031" s="43">
        <f>IF(OR(INDEX(ObjAfaDauer,2)=0,INDEX(ObjAfaJahr,2)=0,$C1031&lt;INDEX(ObjKaufJahr,2),$C1031&gt;=INDEX(ObjKaufJahr,2)+INDEX(ObjAfaDauer,2)),0,IF($C1031=INDEX(ObjKaufJahr,2),INDEX(ObjAfaJahr,2)*(13-INDEX(ObjKaufMonat,2))/12,INDEX(ObjAfaJahr,2)))</f>
      </c>
      <c r="Q1031" s="43">
        <f>$F1031-$G1031-$H1031-$I1031-$P1031</f>
      </c>
      <c r="R1031" s="43">
        <f>$Q1031*INDEX(ObjSteuersatz,2)/100</f>
      </c>
      <c r="S1031" s="43">
        <f>$I1031+$J1031+$K1031+$L1031</f>
      </c>
      <c r="T1031" s="43">
        <f>$F1031-$G1031-$H1031-$S1031</f>
      </c>
      <c r="U1031" s="43">
        <f>$T1031-$R1031</f>
      </c>
      <c r="V1031" s="43">
        <f>$O1031-$M1031</f>
      </c>
      <c r="W1031" s="43">
        <f>$J1031+$K1031+$L1031</f>
      </c>
      <c r="X1031" s="43">
        <f>IF($O1031=0,0,$M1031/$O1031*100)</f>
      </c>
    </row>
    <row r="1032">
      <c r="A1032"/>
      <c r="B1032">
        <v>2</v>
      </c>
      <c r="C1032" s="43">
        <f>Jahr+9</f>
      </c>
      <c r="D1032">
        <v>9</v>
      </c>
      <c r="E1032" s="43">
        <f>IF(INDEX(ObjKaufJahr,2)=0,0,IF($C1032&lt;INDEX(ObjKaufJahr,2),0,IF($C1032&gt;INDEX(ObjKaufJahr,2),12,13-INDEX(ObjKaufMonat,2))))/12</f>
      </c>
      <c r="F1032" s="43">
        <f>SUMIFS(MlSumme,MlObj,2,MlJahr,$C1032)*(1-Leerstand/100)</f>
      </c>
      <c r="G1032" s="43">
        <f>INDEX(ObjLaufend,2)*(1+(Inflation)/100)^MAX(0,9)*$E1032</f>
      </c>
      <c r="H1032" s="43">
        <f>INDEX(ObjInstandBasis,2)*(1+(Inflation)/100)^MAX(0,9)*$E1032</f>
      </c>
      <c r="I1032" s="43">
        <f>SUMIFS(TilgZins,TilgObj,2,TilgJahr,$C1032)</f>
      </c>
      <c r="J1032" s="43">
        <f>SUMIFS(TilgTilgung,TilgObj,2,TilgJahr,$C1032)</f>
      </c>
      <c r="K1032" s="43">
        <f>SUMIFS(TilgSonder,TilgObj,2,TilgJahr,$C1032)</f>
      </c>
      <c r="L1032" s="43">
        <f>SUMIFS(TilgErsatz,TilgObj,2,TilgJahr,$C1032)</f>
      </c>
      <c r="M1032" s="43">
        <f>MAX(0,SUMIF(DarlObj,2,DarlBetrag)-SUMIFS(TilgTilgung,TilgObj,2,TilgJahr,"&lt;="&amp;$C1032)-SUMIFS(TilgSonder,TilgObj,2,TilgJahr,"&lt;="&amp;$C1032))</f>
      </c>
      <c r="N1032" s="43">
        <f>SUMIFS(TilgErsatz,TilgObj,2,TilgJahr,"&lt;="&amp;$C1032)+SUMIFS(TilgErtrag,TilgObj,2,TilgJahr,"&lt;="&amp;$C1032)</f>
      </c>
      <c r="O1032" s="43">
        <f>INDEX(ObjWertEff,2)*(1+(Wertsteigerung)/100)^MAX(0,9)</f>
      </c>
      <c r="P1032" s="43">
        <f>IF(OR(INDEX(ObjAfaDauer,2)=0,INDEX(ObjAfaJahr,2)=0,$C1032&lt;INDEX(ObjKaufJahr,2),$C1032&gt;=INDEX(ObjKaufJahr,2)+INDEX(ObjAfaDauer,2)),0,IF($C1032=INDEX(ObjKaufJahr,2),INDEX(ObjAfaJahr,2)*(13-INDEX(ObjKaufMonat,2))/12,INDEX(ObjAfaJahr,2)))</f>
      </c>
      <c r="Q1032" s="43">
        <f>$F1032-$G1032-$H1032-$I1032-$P1032</f>
      </c>
      <c r="R1032" s="43">
        <f>$Q1032*INDEX(ObjSteuersatz,2)/100</f>
      </c>
      <c r="S1032" s="43">
        <f>$I1032+$J1032+$K1032+$L1032</f>
      </c>
      <c r="T1032" s="43">
        <f>$F1032-$G1032-$H1032-$S1032</f>
      </c>
      <c r="U1032" s="43">
        <f>$T1032-$R1032</f>
      </c>
      <c r="V1032" s="43">
        <f>$O1032-$M1032</f>
      </c>
      <c r="W1032" s="43">
        <f>$J1032+$K1032+$L1032</f>
      </c>
      <c r="X1032" s="43">
        <f>IF($O1032=0,0,$M1032/$O1032*100)</f>
      </c>
    </row>
    <row r="1033">
      <c r="A1033"/>
      <c r="B1033">
        <v>2</v>
      </c>
      <c r="C1033" s="43">
        <f>Jahr+10</f>
      </c>
      <c r="D1033">
        <v>10</v>
      </c>
      <c r="E1033" s="43">
        <f>IF(INDEX(ObjKaufJahr,2)=0,0,IF($C1033&lt;INDEX(ObjKaufJahr,2),0,IF($C1033&gt;INDEX(ObjKaufJahr,2),12,13-INDEX(ObjKaufMonat,2))))/12</f>
      </c>
      <c r="F1033" s="43">
        <f>SUMIFS(MlSumme,MlObj,2,MlJahr,$C1033)*(1-Leerstand/100)</f>
      </c>
      <c r="G1033" s="43">
        <f>INDEX(ObjLaufend,2)*(1+(Inflation)/100)^MAX(0,10)*$E1033</f>
      </c>
      <c r="H1033" s="43">
        <f>INDEX(ObjInstandBasis,2)*(1+(Inflation)/100)^MAX(0,10)*$E1033</f>
      </c>
      <c r="I1033" s="43">
        <f>SUMIFS(TilgZins,TilgObj,2,TilgJahr,$C1033)</f>
      </c>
      <c r="J1033" s="43">
        <f>SUMIFS(TilgTilgung,TilgObj,2,TilgJahr,$C1033)</f>
      </c>
      <c r="K1033" s="43">
        <f>SUMIFS(TilgSonder,TilgObj,2,TilgJahr,$C1033)</f>
      </c>
      <c r="L1033" s="43">
        <f>SUMIFS(TilgErsatz,TilgObj,2,TilgJahr,$C1033)</f>
      </c>
      <c r="M1033" s="43">
        <f>MAX(0,SUMIF(DarlObj,2,DarlBetrag)-SUMIFS(TilgTilgung,TilgObj,2,TilgJahr,"&lt;="&amp;$C1033)-SUMIFS(TilgSonder,TilgObj,2,TilgJahr,"&lt;="&amp;$C1033))</f>
      </c>
      <c r="N1033" s="43">
        <f>SUMIFS(TilgErsatz,TilgObj,2,TilgJahr,"&lt;="&amp;$C1033)+SUMIFS(TilgErtrag,TilgObj,2,TilgJahr,"&lt;="&amp;$C1033)</f>
      </c>
      <c r="O1033" s="43">
        <f>INDEX(ObjWertEff,2)*(1+(Wertsteigerung)/100)^MAX(0,10)</f>
      </c>
      <c r="P1033" s="43">
        <f>IF(OR(INDEX(ObjAfaDauer,2)=0,INDEX(ObjAfaJahr,2)=0,$C1033&lt;INDEX(ObjKaufJahr,2),$C1033&gt;=INDEX(ObjKaufJahr,2)+INDEX(ObjAfaDauer,2)),0,IF($C1033=INDEX(ObjKaufJahr,2),INDEX(ObjAfaJahr,2)*(13-INDEX(ObjKaufMonat,2))/12,INDEX(ObjAfaJahr,2)))</f>
      </c>
      <c r="Q1033" s="43">
        <f>$F1033-$G1033-$H1033-$I1033-$P1033</f>
      </c>
      <c r="R1033" s="43">
        <f>$Q1033*INDEX(ObjSteuersatz,2)/100</f>
      </c>
      <c r="S1033" s="43">
        <f>$I1033+$J1033+$K1033+$L1033</f>
      </c>
      <c r="T1033" s="43">
        <f>$F1033-$G1033-$H1033-$S1033</f>
      </c>
      <c r="U1033" s="43">
        <f>$T1033-$R1033</f>
      </c>
      <c r="V1033" s="43">
        <f>$O1033-$M1033</f>
      </c>
      <c r="W1033" s="43">
        <f>$J1033+$K1033+$L1033</f>
      </c>
      <c r="X1033" s="43">
        <f>IF($O1033=0,0,$M1033/$O1033*100)</f>
      </c>
    </row>
    <row r="1034">
      <c r="A1034"/>
      <c r="B1034">
        <v>2</v>
      </c>
      <c r="C1034" s="43">
        <f>Jahr+11</f>
      </c>
      <c r="D1034">
        <v>11</v>
      </c>
      <c r="E1034" s="43">
        <f>IF(INDEX(ObjKaufJahr,2)=0,0,IF($C1034&lt;INDEX(ObjKaufJahr,2),0,IF($C1034&gt;INDEX(ObjKaufJahr,2),12,13-INDEX(ObjKaufMonat,2))))/12</f>
      </c>
      <c r="F1034" s="43">
        <f>SUMIFS(MlSumme,MlObj,2,MlJahr,$C1034)*(1-Leerstand/100)</f>
      </c>
      <c r="G1034" s="43">
        <f>INDEX(ObjLaufend,2)*(1+(Inflation)/100)^MAX(0,11)*$E1034</f>
      </c>
      <c r="H1034" s="43">
        <f>INDEX(ObjInstandBasis,2)*(1+(Inflation)/100)^MAX(0,11)*$E1034</f>
      </c>
      <c r="I1034" s="43">
        <f>SUMIFS(TilgZins,TilgObj,2,TilgJahr,$C1034)</f>
      </c>
      <c r="J1034" s="43">
        <f>SUMIFS(TilgTilgung,TilgObj,2,TilgJahr,$C1034)</f>
      </c>
      <c r="K1034" s="43">
        <f>SUMIFS(TilgSonder,TilgObj,2,TilgJahr,$C1034)</f>
      </c>
      <c r="L1034" s="43">
        <f>SUMIFS(TilgErsatz,TilgObj,2,TilgJahr,$C1034)</f>
      </c>
      <c r="M1034" s="43">
        <f>MAX(0,SUMIF(DarlObj,2,DarlBetrag)-SUMIFS(TilgTilgung,TilgObj,2,TilgJahr,"&lt;="&amp;$C1034)-SUMIFS(TilgSonder,TilgObj,2,TilgJahr,"&lt;="&amp;$C1034))</f>
      </c>
      <c r="N1034" s="43">
        <f>SUMIFS(TilgErsatz,TilgObj,2,TilgJahr,"&lt;="&amp;$C1034)+SUMIFS(TilgErtrag,TilgObj,2,TilgJahr,"&lt;="&amp;$C1034)</f>
      </c>
      <c r="O1034" s="43">
        <f>INDEX(ObjWertEff,2)*(1+(Wertsteigerung)/100)^MAX(0,11)</f>
      </c>
      <c r="P1034" s="43">
        <f>IF(OR(INDEX(ObjAfaDauer,2)=0,INDEX(ObjAfaJahr,2)=0,$C1034&lt;INDEX(ObjKaufJahr,2),$C1034&gt;=INDEX(ObjKaufJahr,2)+INDEX(ObjAfaDauer,2)),0,IF($C1034=INDEX(ObjKaufJahr,2),INDEX(ObjAfaJahr,2)*(13-INDEX(ObjKaufMonat,2))/12,INDEX(ObjAfaJahr,2)))</f>
      </c>
      <c r="Q1034" s="43">
        <f>$F1034-$G1034-$H1034-$I1034-$P1034</f>
      </c>
      <c r="R1034" s="43">
        <f>$Q1034*INDEX(ObjSteuersatz,2)/100</f>
      </c>
      <c r="S1034" s="43">
        <f>$I1034+$J1034+$K1034+$L1034</f>
      </c>
      <c r="T1034" s="43">
        <f>$F1034-$G1034-$H1034-$S1034</f>
      </c>
      <c r="U1034" s="43">
        <f>$T1034-$R1034</f>
      </c>
      <c r="V1034" s="43">
        <f>$O1034-$M1034</f>
      </c>
      <c r="W1034" s="43">
        <f>$J1034+$K1034+$L1034</f>
      </c>
      <c r="X1034" s="43">
        <f>IF($O1034=0,0,$M1034/$O1034*100)</f>
      </c>
    </row>
    <row r="1035">
      <c r="A1035"/>
      <c r="B1035">
        <v>2</v>
      </c>
      <c r="C1035" s="43">
        <f>Jahr+12</f>
      </c>
      <c r="D1035">
        <v>12</v>
      </c>
      <c r="E1035" s="43">
        <f>IF(INDEX(ObjKaufJahr,2)=0,0,IF($C1035&lt;INDEX(ObjKaufJahr,2),0,IF($C1035&gt;INDEX(ObjKaufJahr,2),12,13-INDEX(ObjKaufMonat,2))))/12</f>
      </c>
      <c r="F1035" s="43">
        <f>SUMIFS(MlSumme,MlObj,2,MlJahr,$C1035)*(1-Leerstand/100)</f>
      </c>
      <c r="G1035" s="43">
        <f>INDEX(ObjLaufend,2)*(1+(Inflation)/100)^MAX(0,12)*$E1035</f>
      </c>
      <c r="H1035" s="43">
        <f>INDEX(ObjInstandBasis,2)*(1+(Inflation)/100)^MAX(0,12)*$E1035</f>
      </c>
      <c r="I1035" s="43">
        <f>SUMIFS(TilgZins,TilgObj,2,TilgJahr,$C1035)</f>
      </c>
      <c r="J1035" s="43">
        <f>SUMIFS(TilgTilgung,TilgObj,2,TilgJahr,$C1035)</f>
      </c>
      <c r="K1035" s="43">
        <f>SUMIFS(TilgSonder,TilgObj,2,TilgJahr,$C1035)</f>
      </c>
      <c r="L1035" s="43">
        <f>SUMIFS(TilgErsatz,TilgObj,2,TilgJahr,$C1035)</f>
      </c>
      <c r="M1035" s="43">
        <f>MAX(0,SUMIF(DarlObj,2,DarlBetrag)-SUMIFS(TilgTilgung,TilgObj,2,TilgJahr,"&lt;="&amp;$C1035)-SUMIFS(TilgSonder,TilgObj,2,TilgJahr,"&lt;="&amp;$C1035))</f>
      </c>
      <c r="N1035" s="43">
        <f>SUMIFS(TilgErsatz,TilgObj,2,TilgJahr,"&lt;="&amp;$C1035)+SUMIFS(TilgErtrag,TilgObj,2,TilgJahr,"&lt;="&amp;$C1035)</f>
      </c>
      <c r="O1035" s="43">
        <f>INDEX(ObjWertEff,2)*(1+(Wertsteigerung)/100)^MAX(0,12)</f>
      </c>
      <c r="P1035" s="43">
        <f>IF(OR(INDEX(ObjAfaDauer,2)=0,INDEX(ObjAfaJahr,2)=0,$C1035&lt;INDEX(ObjKaufJahr,2),$C1035&gt;=INDEX(ObjKaufJahr,2)+INDEX(ObjAfaDauer,2)),0,IF($C1035=INDEX(ObjKaufJahr,2),INDEX(ObjAfaJahr,2)*(13-INDEX(ObjKaufMonat,2))/12,INDEX(ObjAfaJahr,2)))</f>
      </c>
      <c r="Q1035" s="43">
        <f>$F1035-$G1035-$H1035-$I1035-$P1035</f>
      </c>
      <c r="R1035" s="43">
        <f>$Q1035*INDEX(ObjSteuersatz,2)/100</f>
      </c>
      <c r="S1035" s="43">
        <f>$I1035+$J1035+$K1035+$L1035</f>
      </c>
      <c r="T1035" s="43">
        <f>$F1035-$G1035-$H1035-$S1035</f>
      </c>
      <c r="U1035" s="43">
        <f>$T1035-$R1035</f>
      </c>
      <c r="V1035" s="43">
        <f>$O1035-$M1035</f>
      </c>
      <c r="W1035" s="43">
        <f>$J1035+$K1035+$L1035</f>
      </c>
      <c r="X1035" s="43">
        <f>IF($O1035=0,0,$M1035/$O1035*100)</f>
      </c>
    </row>
    <row r="1036">
      <c r="A1036"/>
      <c r="B1036">
        <v>2</v>
      </c>
      <c r="C1036" s="43">
        <f>Jahr+13</f>
      </c>
      <c r="D1036">
        <v>13</v>
      </c>
      <c r="E1036" s="43">
        <f>IF(INDEX(ObjKaufJahr,2)=0,0,IF($C1036&lt;INDEX(ObjKaufJahr,2),0,IF($C1036&gt;INDEX(ObjKaufJahr,2),12,13-INDEX(ObjKaufMonat,2))))/12</f>
      </c>
      <c r="F1036" s="43">
        <f>SUMIFS(MlSumme,MlObj,2,MlJahr,$C1036)*(1-Leerstand/100)</f>
      </c>
      <c r="G1036" s="43">
        <f>INDEX(ObjLaufend,2)*(1+(Inflation)/100)^MAX(0,13)*$E1036</f>
      </c>
      <c r="H1036" s="43">
        <f>INDEX(ObjInstandBasis,2)*(1+(Inflation)/100)^MAX(0,13)*$E1036</f>
      </c>
      <c r="I1036" s="43">
        <f>SUMIFS(TilgZins,TilgObj,2,TilgJahr,$C1036)</f>
      </c>
      <c r="J1036" s="43">
        <f>SUMIFS(TilgTilgung,TilgObj,2,TilgJahr,$C1036)</f>
      </c>
      <c r="K1036" s="43">
        <f>SUMIFS(TilgSonder,TilgObj,2,TilgJahr,$C1036)</f>
      </c>
      <c r="L1036" s="43">
        <f>SUMIFS(TilgErsatz,TilgObj,2,TilgJahr,$C1036)</f>
      </c>
      <c r="M1036" s="43">
        <f>MAX(0,SUMIF(DarlObj,2,DarlBetrag)-SUMIFS(TilgTilgung,TilgObj,2,TilgJahr,"&lt;="&amp;$C1036)-SUMIFS(TilgSonder,TilgObj,2,TilgJahr,"&lt;="&amp;$C1036))</f>
      </c>
      <c r="N1036" s="43">
        <f>SUMIFS(TilgErsatz,TilgObj,2,TilgJahr,"&lt;="&amp;$C1036)+SUMIFS(TilgErtrag,TilgObj,2,TilgJahr,"&lt;="&amp;$C1036)</f>
      </c>
      <c r="O1036" s="43">
        <f>INDEX(ObjWertEff,2)*(1+(Wertsteigerung)/100)^MAX(0,13)</f>
      </c>
      <c r="P1036" s="43">
        <f>IF(OR(INDEX(ObjAfaDauer,2)=0,INDEX(ObjAfaJahr,2)=0,$C1036&lt;INDEX(ObjKaufJahr,2),$C1036&gt;=INDEX(ObjKaufJahr,2)+INDEX(ObjAfaDauer,2)),0,IF($C1036=INDEX(ObjKaufJahr,2),INDEX(ObjAfaJahr,2)*(13-INDEX(ObjKaufMonat,2))/12,INDEX(ObjAfaJahr,2)))</f>
      </c>
      <c r="Q1036" s="43">
        <f>$F1036-$G1036-$H1036-$I1036-$P1036</f>
      </c>
      <c r="R1036" s="43">
        <f>$Q1036*INDEX(ObjSteuersatz,2)/100</f>
      </c>
      <c r="S1036" s="43">
        <f>$I1036+$J1036+$K1036+$L1036</f>
      </c>
      <c r="T1036" s="43">
        <f>$F1036-$G1036-$H1036-$S1036</f>
      </c>
      <c r="U1036" s="43">
        <f>$T1036-$R1036</f>
      </c>
      <c r="V1036" s="43">
        <f>$O1036-$M1036</f>
      </c>
      <c r="W1036" s="43">
        <f>$J1036+$K1036+$L1036</f>
      </c>
      <c r="X1036" s="43">
        <f>IF($O1036=0,0,$M1036/$O1036*100)</f>
      </c>
    </row>
    <row r="1037">
      <c r="A1037"/>
      <c r="B1037">
        <v>2</v>
      </c>
      <c r="C1037" s="43">
        <f>Jahr+14</f>
      </c>
      <c r="D1037">
        <v>14</v>
      </c>
      <c r="E1037" s="43">
        <f>IF(INDEX(ObjKaufJahr,2)=0,0,IF($C1037&lt;INDEX(ObjKaufJahr,2),0,IF($C1037&gt;INDEX(ObjKaufJahr,2),12,13-INDEX(ObjKaufMonat,2))))/12</f>
      </c>
      <c r="F1037" s="43">
        <f>SUMIFS(MlSumme,MlObj,2,MlJahr,$C1037)*(1-Leerstand/100)</f>
      </c>
      <c r="G1037" s="43">
        <f>INDEX(ObjLaufend,2)*(1+(Inflation)/100)^MAX(0,14)*$E1037</f>
      </c>
      <c r="H1037" s="43">
        <f>INDEX(ObjInstandBasis,2)*(1+(Inflation)/100)^MAX(0,14)*$E1037</f>
      </c>
      <c r="I1037" s="43">
        <f>SUMIFS(TilgZins,TilgObj,2,TilgJahr,$C1037)</f>
      </c>
      <c r="J1037" s="43">
        <f>SUMIFS(TilgTilgung,TilgObj,2,TilgJahr,$C1037)</f>
      </c>
      <c r="K1037" s="43">
        <f>SUMIFS(TilgSonder,TilgObj,2,TilgJahr,$C1037)</f>
      </c>
      <c r="L1037" s="43">
        <f>SUMIFS(TilgErsatz,TilgObj,2,TilgJahr,$C1037)</f>
      </c>
      <c r="M1037" s="43">
        <f>MAX(0,SUMIF(DarlObj,2,DarlBetrag)-SUMIFS(TilgTilgung,TilgObj,2,TilgJahr,"&lt;="&amp;$C1037)-SUMIFS(TilgSonder,TilgObj,2,TilgJahr,"&lt;="&amp;$C1037))</f>
      </c>
      <c r="N1037" s="43">
        <f>SUMIFS(TilgErsatz,TilgObj,2,TilgJahr,"&lt;="&amp;$C1037)+SUMIFS(TilgErtrag,TilgObj,2,TilgJahr,"&lt;="&amp;$C1037)</f>
      </c>
      <c r="O1037" s="43">
        <f>INDEX(ObjWertEff,2)*(1+(Wertsteigerung)/100)^MAX(0,14)</f>
      </c>
      <c r="P1037" s="43">
        <f>IF(OR(INDEX(ObjAfaDauer,2)=0,INDEX(ObjAfaJahr,2)=0,$C1037&lt;INDEX(ObjKaufJahr,2),$C1037&gt;=INDEX(ObjKaufJahr,2)+INDEX(ObjAfaDauer,2)),0,IF($C1037=INDEX(ObjKaufJahr,2),INDEX(ObjAfaJahr,2)*(13-INDEX(ObjKaufMonat,2))/12,INDEX(ObjAfaJahr,2)))</f>
      </c>
      <c r="Q1037" s="43">
        <f>$F1037-$G1037-$H1037-$I1037-$P1037</f>
      </c>
      <c r="R1037" s="43">
        <f>$Q1037*INDEX(ObjSteuersatz,2)/100</f>
      </c>
      <c r="S1037" s="43">
        <f>$I1037+$J1037+$K1037+$L1037</f>
      </c>
      <c r="T1037" s="43">
        <f>$F1037-$G1037-$H1037-$S1037</f>
      </c>
      <c r="U1037" s="43">
        <f>$T1037-$R1037</f>
      </c>
      <c r="V1037" s="43">
        <f>$O1037-$M1037</f>
      </c>
      <c r="W1037" s="43">
        <f>$J1037+$K1037+$L1037</f>
      </c>
      <c r="X1037" s="43">
        <f>IF($O1037=0,0,$M1037/$O1037*100)</f>
      </c>
    </row>
    <row r="1038">
      <c r="A1038"/>
      <c r="B1038">
        <v>2</v>
      </c>
      <c r="C1038" s="43">
        <f>Jahr+15</f>
      </c>
      <c r="D1038">
        <v>15</v>
      </c>
      <c r="E1038" s="43">
        <f>IF(INDEX(ObjKaufJahr,2)=0,0,IF($C1038&lt;INDEX(ObjKaufJahr,2),0,IF($C1038&gt;INDEX(ObjKaufJahr,2),12,13-INDEX(ObjKaufMonat,2))))/12</f>
      </c>
      <c r="F1038" s="43">
        <f>SUMIFS(MlSumme,MlObj,2,MlJahr,$C1038)*(1-Leerstand/100)</f>
      </c>
      <c r="G1038" s="43">
        <f>INDEX(ObjLaufend,2)*(1+(Inflation)/100)^MAX(0,15)*$E1038</f>
      </c>
      <c r="H1038" s="43">
        <f>INDEX(ObjInstandBasis,2)*(1+(Inflation)/100)^MAX(0,15)*$E1038</f>
      </c>
      <c r="I1038" s="43">
        <f>SUMIFS(TilgZins,TilgObj,2,TilgJahr,$C1038)</f>
      </c>
      <c r="J1038" s="43">
        <f>SUMIFS(TilgTilgung,TilgObj,2,TilgJahr,$C1038)</f>
      </c>
      <c r="K1038" s="43">
        <f>SUMIFS(TilgSonder,TilgObj,2,TilgJahr,$C1038)</f>
      </c>
      <c r="L1038" s="43">
        <f>SUMIFS(TilgErsatz,TilgObj,2,TilgJahr,$C1038)</f>
      </c>
      <c r="M1038" s="43">
        <f>MAX(0,SUMIF(DarlObj,2,DarlBetrag)-SUMIFS(TilgTilgung,TilgObj,2,TilgJahr,"&lt;="&amp;$C1038)-SUMIFS(TilgSonder,TilgObj,2,TilgJahr,"&lt;="&amp;$C1038))</f>
      </c>
      <c r="N1038" s="43">
        <f>SUMIFS(TilgErsatz,TilgObj,2,TilgJahr,"&lt;="&amp;$C1038)+SUMIFS(TilgErtrag,TilgObj,2,TilgJahr,"&lt;="&amp;$C1038)</f>
      </c>
      <c r="O1038" s="43">
        <f>INDEX(ObjWertEff,2)*(1+(Wertsteigerung)/100)^MAX(0,15)</f>
      </c>
      <c r="P1038" s="43">
        <f>IF(OR(INDEX(ObjAfaDauer,2)=0,INDEX(ObjAfaJahr,2)=0,$C1038&lt;INDEX(ObjKaufJahr,2),$C1038&gt;=INDEX(ObjKaufJahr,2)+INDEX(ObjAfaDauer,2)),0,IF($C1038=INDEX(ObjKaufJahr,2),INDEX(ObjAfaJahr,2)*(13-INDEX(ObjKaufMonat,2))/12,INDEX(ObjAfaJahr,2)))</f>
      </c>
      <c r="Q1038" s="43">
        <f>$F1038-$G1038-$H1038-$I1038-$P1038</f>
      </c>
      <c r="R1038" s="43">
        <f>$Q1038*INDEX(ObjSteuersatz,2)/100</f>
      </c>
      <c r="S1038" s="43">
        <f>$I1038+$J1038+$K1038+$L1038</f>
      </c>
      <c r="T1038" s="43">
        <f>$F1038-$G1038-$H1038-$S1038</f>
      </c>
      <c r="U1038" s="43">
        <f>$T1038-$R1038</f>
      </c>
      <c r="V1038" s="43">
        <f>$O1038-$M1038</f>
      </c>
      <c r="W1038" s="43">
        <f>$J1038+$K1038+$L1038</f>
      </c>
      <c r="X1038" s="43">
        <f>IF($O1038=0,0,$M1038/$O1038*100)</f>
      </c>
    </row>
    <row r="1039">
      <c r="A1039"/>
      <c r="B1039">
        <v>2</v>
      </c>
      <c r="C1039" s="43">
        <f>Jahr+16</f>
      </c>
      <c r="D1039">
        <v>16</v>
      </c>
      <c r="E1039" s="43">
        <f>IF(INDEX(ObjKaufJahr,2)=0,0,IF($C1039&lt;INDEX(ObjKaufJahr,2),0,IF($C1039&gt;INDEX(ObjKaufJahr,2),12,13-INDEX(ObjKaufMonat,2))))/12</f>
      </c>
      <c r="F1039" s="43">
        <f>SUMIFS(MlSumme,MlObj,2,MlJahr,$C1039)*(1-Leerstand/100)</f>
      </c>
      <c r="G1039" s="43">
        <f>INDEX(ObjLaufend,2)*(1+(Inflation)/100)^MAX(0,16)*$E1039</f>
      </c>
      <c r="H1039" s="43">
        <f>INDEX(ObjInstandBasis,2)*(1+(Inflation)/100)^MAX(0,16)*$E1039</f>
      </c>
      <c r="I1039" s="43">
        <f>SUMIFS(TilgZins,TilgObj,2,TilgJahr,$C1039)</f>
      </c>
      <c r="J1039" s="43">
        <f>SUMIFS(TilgTilgung,TilgObj,2,TilgJahr,$C1039)</f>
      </c>
      <c r="K1039" s="43">
        <f>SUMIFS(TilgSonder,TilgObj,2,TilgJahr,$C1039)</f>
      </c>
      <c r="L1039" s="43">
        <f>SUMIFS(TilgErsatz,TilgObj,2,TilgJahr,$C1039)</f>
      </c>
      <c r="M1039" s="43">
        <f>MAX(0,SUMIF(DarlObj,2,DarlBetrag)-SUMIFS(TilgTilgung,TilgObj,2,TilgJahr,"&lt;="&amp;$C1039)-SUMIFS(TilgSonder,TilgObj,2,TilgJahr,"&lt;="&amp;$C1039))</f>
      </c>
      <c r="N1039" s="43">
        <f>SUMIFS(TilgErsatz,TilgObj,2,TilgJahr,"&lt;="&amp;$C1039)+SUMIFS(TilgErtrag,TilgObj,2,TilgJahr,"&lt;="&amp;$C1039)</f>
      </c>
      <c r="O1039" s="43">
        <f>INDEX(ObjWertEff,2)*(1+(Wertsteigerung)/100)^MAX(0,16)</f>
      </c>
      <c r="P1039" s="43">
        <f>IF(OR(INDEX(ObjAfaDauer,2)=0,INDEX(ObjAfaJahr,2)=0,$C1039&lt;INDEX(ObjKaufJahr,2),$C1039&gt;=INDEX(ObjKaufJahr,2)+INDEX(ObjAfaDauer,2)),0,IF($C1039=INDEX(ObjKaufJahr,2),INDEX(ObjAfaJahr,2)*(13-INDEX(ObjKaufMonat,2))/12,INDEX(ObjAfaJahr,2)))</f>
      </c>
      <c r="Q1039" s="43">
        <f>$F1039-$G1039-$H1039-$I1039-$P1039</f>
      </c>
      <c r="R1039" s="43">
        <f>$Q1039*INDEX(ObjSteuersatz,2)/100</f>
      </c>
      <c r="S1039" s="43">
        <f>$I1039+$J1039+$K1039+$L1039</f>
      </c>
      <c r="T1039" s="43">
        <f>$F1039-$G1039-$H1039-$S1039</f>
      </c>
      <c r="U1039" s="43">
        <f>$T1039-$R1039</f>
      </c>
      <c r="V1039" s="43">
        <f>$O1039-$M1039</f>
      </c>
      <c r="W1039" s="43">
        <f>$J1039+$K1039+$L1039</f>
      </c>
      <c r="X1039" s="43">
        <f>IF($O1039=0,0,$M1039/$O1039*100)</f>
      </c>
    </row>
    <row r="1040">
      <c r="A1040"/>
      <c r="B1040">
        <v>2</v>
      </c>
      <c r="C1040" s="43">
        <f>Jahr+17</f>
      </c>
      <c r="D1040">
        <v>17</v>
      </c>
      <c r="E1040" s="43">
        <f>IF(INDEX(ObjKaufJahr,2)=0,0,IF($C1040&lt;INDEX(ObjKaufJahr,2),0,IF($C1040&gt;INDEX(ObjKaufJahr,2),12,13-INDEX(ObjKaufMonat,2))))/12</f>
      </c>
      <c r="F1040" s="43">
        <f>SUMIFS(MlSumme,MlObj,2,MlJahr,$C1040)*(1-Leerstand/100)</f>
      </c>
      <c r="G1040" s="43">
        <f>INDEX(ObjLaufend,2)*(1+(Inflation)/100)^MAX(0,17)*$E1040</f>
      </c>
      <c r="H1040" s="43">
        <f>INDEX(ObjInstandBasis,2)*(1+(Inflation)/100)^MAX(0,17)*$E1040</f>
      </c>
      <c r="I1040" s="43">
        <f>SUMIFS(TilgZins,TilgObj,2,TilgJahr,$C1040)</f>
      </c>
      <c r="J1040" s="43">
        <f>SUMIFS(TilgTilgung,TilgObj,2,TilgJahr,$C1040)</f>
      </c>
      <c r="K1040" s="43">
        <f>SUMIFS(TilgSonder,TilgObj,2,TilgJahr,$C1040)</f>
      </c>
      <c r="L1040" s="43">
        <f>SUMIFS(TilgErsatz,TilgObj,2,TilgJahr,$C1040)</f>
      </c>
      <c r="M1040" s="43">
        <f>MAX(0,SUMIF(DarlObj,2,DarlBetrag)-SUMIFS(TilgTilgung,TilgObj,2,TilgJahr,"&lt;="&amp;$C1040)-SUMIFS(TilgSonder,TilgObj,2,TilgJahr,"&lt;="&amp;$C1040))</f>
      </c>
      <c r="N1040" s="43">
        <f>SUMIFS(TilgErsatz,TilgObj,2,TilgJahr,"&lt;="&amp;$C1040)+SUMIFS(TilgErtrag,TilgObj,2,TilgJahr,"&lt;="&amp;$C1040)</f>
      </c>
      <c r="O1040" s="43">
        <f>INDEX(ObjWertEff,2)*(1+(Wertsteigerung)/100)^MAX(0,17)</f>
      </c>
      <c r="P1040" s="43">
        <f>IF(OR(INDEX(ObjAfaDauer,2)=0,INDEX(ObjAfaJahr,2)=0,$C1040&lt;INDEX(ObjKaufJahr,2),$C1040&gt;=INDEX(ObjKaufJahr,2)+INDEX(ObjAfaDauer,2)),0,IF($C1040=INDEX(ObjKaufJahr,2),INDEX(ObjAfaJahr,2)*(13-INDEX(ObjKaufMonat,2))/12,INDEX(ObjAfaJahr,2)))</f>
      </c>
      <c r="Q1040" s="43">
        <f>$F1040-$G1040-$H1040-$I1040-$P1040</f>
      </c>
      <c r="R1040" s="43">
        <f>$Q1040*INDEX(ObjSteuersatz,2)/100</f>
      </c>
      <c r="S1040" s="43">
        <f>$I1040+$J1040+$K1040+$L1040</f>
      </c>
      <c r="T1040" s="43">
        <f>$F1040-$G1040-$H1040-$S1040</f>
      </c>
      <c r="U1040" s="43">
        <f>$T1040-$R1040</f>
      </c>
      <c r="V1040" s="43">
        <f>$O1040-$M1040</f>
      </c>
      <c r="W1040" s="43">
        <f>$J1040+$K1040+$L1040</f>
      </c>
      <c r="X1040" s="43">
        <f>IF($O1040=0,0,$M1040/$O1040*100)</f>
      </c>
    </row>
    <row r="1041">
      <c r="A1041"/>
      <c r="B1041">
        <v>2</v>
      </c>
      <c r="C1041" s="43">
        <f>Jahr+18</f>
      </c>
      <c r="D1041">
        <v>18</v>
      </c>
      <c r="E1041" s="43">
        <f>IF(INDEX(ObjKaufJahr,2)=0,0,IF($C1041&lt;INDEX(ObjKaufJahr,2),0,IF($C1041&gt;INDEX(ObjKaufJahr,2),12,13-INDEX(ObjKaufMonat,2))))/12</f>
      </c>
      <c r="F1041" s="43">
        <f>SUMIFS(MlSumme,MlObj,2,MlJahr,$C1041)*(1-Leerstand/100)</f>
      </c>
      <c r="G1041" s="43">
        <f>INDEX(ObjLaufend,2)*(1+(Inflation)/100)^MAX(0,18)*$E1041</f>
      </c>
      <c r="H1041" s="43">
        <f>INDEX(ObjInstandBasis,2)*(1+(Inflation)/100)^MAX(0,18)*$E1041</f>
      </c>
      <c r="I1041" s="43">
        <f>SUMIFS(TilgZins,TilgObj,2,TilgJahr,$C1041)</f>
      </c>
      <c r="J1041" s="43">
        <f>SUMIFS(TilgTilgung,TilgObj,2,TilgJahr,$C1041)</f>
      </c>
      <c r="K1041" s="43">
        <f>SUMIFS(TilgSonder,TilgObj,2,TilgJahr,$C1041)</f>
      </c>
      <c r="L1041" s="43">
        <f>SUMIFS(TilgErsatz,TilgObj,2,TilgJahr,$C1041)</f>
      </c>
      <c r="M1041" s="43">
        <f>MAX(0,SUMIF(DarlObj,2,DarlBetrag)-SUMIFS(TilgTilgung,TilgObj,2,TilgJahr,"&lt;="&amp;$C1041)-SUMIFS(TilgSonder,TilgObj,2,TilgJahr,"&lt;="&amp;$C1041))</f>
      </c>
      <c r="N1041" s="43">
        <f>SUMIFS(TilgErsatz,TilgObj,2,TilgJahr,"&lt;="&amp;$C1041)+SUMIFS(TilgErtrag,TilgObj,2,TilgJahr,"&lt;="&amp;$C1041)</f>
      </c>
      <c r="O1041" s="43">
        <f>INDEX(ObjWertEff,2)*(1+(Wertsteigerung)/100)^MAX(0,18)</f>
      </c>
      <c r="P1041" s="43">
        <f>IF(OR(INDEX(ObjAfaDauer,2)=0,INDEX(ObjAfaJahr,2)=0,$C1041&lt;INDEX(ObjKaufJahr,2),$C1041&gt;=INDEX(ObjKaufJahr,2)+INDEX(ObjAfaDauer,2)),0,IF($C1041=INDEX(ObjKaufJahr,2),INDEX(ObjAfaJahr,2)*(13-INDEX(ObjKaufMonat,2))/12,INDEX(ObjAfaJahr,2)))</f>
      </c>
      <c r="Q1041" s="43">
        <f>$F1041-$G1041-$H1041-$I1041-$P1041</f>
      </c>
      <c r="R1041" s="43">
        <f>$Q1041*INDEX(ObjSteuersatz,2)/100</f>
      </c>
      <c r="S1041" s="43">
        <f>$I1041+$J1041+$K1041+$L1041</f>
      </c>
      <c r="T1041" s="43">
        <f>$F1041-$G1041-$H1041-$S1041</f>
      </c>
      <c r="U1041" s="43">
        <f>$T1041-$R1041</f>
      </c>
      <c r="V1041" s="43">
        <f>$O1041-$M1041</f>
      </c>
      <c r="W1041" s="43">
        <f>$J1041+$K1041+$L1041</f>
      </c>
      <c r="X1041" s="43">
        <f>IF($O1041=0,0,$M1041/$O1041*100)</f>
      </c>
    </row>
    <row r="1042">
      <c r="A1042"/>
      <c r="B1042">
        <v>2</v>
      </c>
      <c r="C1042" s="43">
        <f>Jahr+19</f>
      </c>
      <c r="D1042">
        <v>19</v>
      </c>
      <c r="E1042" s="43">
        <f>IF(INDEX(ObjKaufJahr,2)=0,0,IF($C1042&lt;INDEX(ObjKaufJahr,2),0,IF($C1042&gt;INDEX(ObjKaufJahr,2),12,13-INDEX(ObjKaufMonat,2))))/12</f>
      </c>
      <c r="F1042" s="43">
        <f>SUMIFS(MlSumme,MlObj,2,MlJahr,$C1042)*(1-Leerstand/100)</f>
      </c>
      <c r="G1042" s="43">
        <f>INDEX(ObjLaufend,2)*(1+(Inflation)/100)^MAX(0,19)*$E1042</f>
      </c>
      <c r="H1042" s="43">
        <f>INDEX(ObjInstandBasis,2)*(1+(Inflation)/100)^MAX(0,19)*$E1042</f>
      </c>
      <c r="I1042" s="43">
        <f>SUMIFS(TilgZins,TilgObj,2,TilgJahr,$C1042)</f>
      </c>
      <c r="J1042" s="43">
        <f>SUMIFS(TilgTilgung,TilgObj,2,TilgJahr,$C1042)</f>
      </c>
      <c r="K1042" s="43">
        <f>SUMIFS(TilgSonder,TilgObj,2,TilgJahr,$C1042)</f>
      </c>
      <c r="L1042" s="43">
        <f>SUMIFS(TilgErsatz,TilgObj,2,TilgJahr,$C1042)</f>
      </c>
      <c r="M1042" s="43">
        <f>MAX(0,SUMIF(DarlObj,2,DarlBetrag)-SUMIFS(TilgTilgung,TilgObj,2,TilgJahr,"&lt;="&amp;$C1042)-SUMIFS(TilgSonder,TilgObj,2,TilgJahr,"&lt;="&amp;$C1042))</f>
      </c>
      <c r="N1042" s="43">
        <f>SUMIFS(TilgErsatz,TilgObj,2,TilgJahr,"&lt;="&amp;$C1042)+SUMIFS(TilgErtrag,TilgObj,2,TilgJahr,"&lt;="&amp;$C1042)</f>
      </c>
      <c r="O1042" s="43">
        <f>INDEX(ObjWertEff,2)*(1+(Wertsteigerung)/100)^MAX(0,19)</f>
      </c>
      <c r="P1042" s="43">
        <f>IF(OR(INDEX(ObjAfaDauer,2)=0,INDEX(ObjAfaJahr,2)=0,$C1042&lt;INDEX(ObjKaufJahr,2),$C1042&gt;=INDEX(ObjKaufJahr,2)+INDEX(ObjAfaDauer,2)),0,IF($C1042=INDEX(ObjKaufJahr,2),INDEX(ObjAfaJahr,2)*(13-INDEX(ObjKaufMonat,2))/12,INDEX(ObjAfaJahr,2)))</f>
      </c>
      <c r="Q1042" s="43">
        <f>$F1042-$G1042-$H1042-$I1042-$P1042</f>
      </c>
      <c r="R1042" s="43">
        <f>$Q1042*INDEX(ObjSteuersatz,2)/100</f>
      </c>
      <c r="S1042" s="43">
        <f>$I1042+$J1042+$K1042+$L1042</f>
      </c>
      <c r="T1042" s="43">
        <f>$F1042-$G1042-$H1042-$S1042</f>
      </c>
      <c r="U1042" s="43">
        <f>$T1042-$R1042</f>
      </c>
      <c r="V1042" s="43">
        <f>$O1042-$M1042</f>
      </c>
      <c r="W1042" s="43">
        <f>$J1042+$K1042+$L1042</f>
      </c>
      <c r="X1042" s="43">
        <f>IF($O1042=0,0,$M1042/$O1042*100)</f>
      </c>
    </row>
    <row r="1043">
      <c r="A1043"/>
      <c r="B1043">
        <v>2</v>
      </c>
      <c r="C1043" s="43">
        <f>Jahr+20</f>
      </c>
      <c r="D1043">
        <v>20</v>
      </c>
      <c r="E1043" s="43">
        <f>IF(INDEX(ObjKaufJahr,2)=0,0,IF($C1043&lt;INDEX(ObjKaufJahr,2),0,IF($C1043&gt;INDEX(ObjKaufJahr,2),12,13-INDEX(ObjKaufMonat,2))))/12</f>
      </c>
      <c r="F1043" s="43">
        <f>SUMIFS(MlSumme,MlObj,2,MlJahr,$C1043)*(1-Leerstand/100)</f>
      </c>
      <c r="G1043" s="43">
        <f>INDEX(ObjLaufend,2)*(1+(Inflation)/100)^MAX(0,20)*$E1043</f>
      </c>
      <c r="H1043" s="43">
        <f>INDEX(ObjInstandBasis,2)*(1+(Inflation)/100)^MAX(0,20)*$E1043</f>
      </c>
      <c r="I1043" s="43">
        <f>SUMIFS(TilgZins,TilgObj,2,TilgJahr,$C1043)</f>
      </c>
      <c r="J1043" s="43">
        <f>SUMIFS(TilgTilgung,TilgObj,2,TilgJahr,$C1043)</f>
      </c>
      <c r="K1043" s="43">
        <f>SUMIFS(TilgSonder,TilgObj,2,TilgJahr,$C1043)</f>
      </c>
      <c r="L1043" s="43">
        <f>SUMIFS(TilgErsatz,TilgObj,2,TilgJahr,$C1043)</f>
      </c>
      <c r="M1043" s="43">
        <f>MAX(0,SUMIF(DarlObj,2,DarlBetrag)-SUMIFS(TilgTilgung,TilgObj,2,TilgJahr,"&lt;="&amp;$C1043)-SUMIFS(TilgSonder,TilgObj,2,TilgJahr,"&lt;="&amp;$C1043))</f>
      </c>
      <c r="N1043" s="43">
        <f>SUMIFS(TilgErsatz,TilgObj,2,TilgJahr,"&lt;="&amp;$C1043)+SUMIFS(TilgErtrag,TilgObj,2,TilgJahr,"&lt;="&amp;$C1043)</f>
      </c>
      <c r="O1043" s="43">
        <f>INDEX(ObjWertEff,2)*(1+(Wertsteigerung)/100)^MAX(0,20)</f>
      </c>
      <c r="P1043" s="43">
        <f>IF(OR(INDEX(ObjAfaDauer,2)=0,INDEX(ObjAfaJahr,2)=0,$C1043&lt;INDEX(ObjKaufJahr,2),$C1043&gt;=INDEX(ObjKaufJahr,2)+INDEX(ObjAfaDauer,2)),0,IF($C1043=INDEX(ObjKaufJahr,2),INDEX(ObjAfaJahr,2)*(13-INDEX(ObjKaufMonat,2))/12,INDEX(ObjAfaJahr,2)))</f>
      </c>
      <c r="Q1043" s="43">
        <f>$F1043-$G1043-$H1043-$I1043-$P1043</f>
      </c>
      <c r="R1043" s="43">
        <f>$Q1043*INDEX(ObjSteuersatz,2)/100</f>
      </c>
      <c r="S1043" s="43">
        <f>$I1043+$J1043+$K1043+$L1043</f>
      </c>
      <c r="T1043" s="43">
        <f>$F1043-$G1043-$H1043-$S1043</f>
      </c>
      <c r="U1043" s="43">
        <f>$T1043-$R1043</f>
      </c>
      <c r="V1043" s="43">
        <f>$O1043-$M1043</f>
      </c>
      <c r="W1043" s="43">
        <f>$J1043+$K1043+$L1043</f>
      </c>
      <c r="X1043" s="43">
        <f>IF($O1043=0,0,$M1043/$O1043*100)</f>
      </c>
    </row>
    <row r="1044">
      <c r="A1044"/>
      <c r="B1044">
        <v>2</v>
      </c>
      <c r="C1044" s="43">
        <f>Jahr+21</f>
      </c>
      <c r="D1044">
        <v>21</v>
      </c>
      <c r="E1044" s="43">
        <f>IF(INDEX(ObjKaufJahr,2)=0,0,IF($C1044&lt;INDEX(ObjKaufJahr,2),0,IF($C1044&gt;INDEX(ObjKaufJahr,2),12,13-INDEX(ObjKaufMonat,2))))/12</f>
      </c>
      <c r="F1044" s="43">
        <f>SUMIFS(MlSumme,MlObj,2,MlJahr,$C1044)*(1-Leerstand/100)</f>
      </c>
      <c r="G1044" s="43">
        <f>INDEX(ObjLaufend,2)*(1+(Inflation)/100)^MAX(0,21)*$E1044</f>
      </c>
      <c r="H1044" s="43">
        <f>INDEX(ObjInstandBasis,2)*(1+(Inflation)/100)^MAX(0,21)*$E1044</f>
      </c>
      <c r="I1044" s="43">
        <f>SUMIFS(TilgZins,TilgObj,2,TilgJahr,$C1044)</f>
      </c>
      <c r="J1044" s="43">
        <f>SUMIFS(TilgTilgung,TilgObj,2,TilgJahr,$C1044)</f>
      </c>
      <c r="K1044" s="43">
        <f>SUMIFS(TilgSonder,TilgObj,2,TilgJahr,$C1044)</f>
      </c>
      <c r="L1044" s="43">
        <f>SUMIFS(TilgErsatz,TilgObj,2,TilgJahr,$C1044)</f>
      </c>
      <c r="M1044" s="43">
        <f>MAX(0,SUMIF(DarlObj,2,DarlBetrag)-SUMIFS(TilgTilgung,TilgObj,2,TilgJahr,"&lt;="&amp;$C1044)-SUMIFS(TilgSonder,TilgObj,2,TilgJahr,"&lt;="&amp;$C1044))</f>
      </c>
      <c r="N1044" s="43">
        <f>SUMIFS(TilgErsatz,TilgObj,2,TilgJahr,"&lt;="&amp;$C1044)+SUMIFS(TilgErtrag,TilgObj,2,TilgJahr,"&lt;="&amp;$C1044)</f>
      </c>
      <c r="O1044" s="43">
        <f>INDEX(ObjWertEff,2)*(1+(Wertsteigerung)/100)^MAX(0,21)</f>
      </c>
      <c r="P1044" s="43">
        <f>IF(OR(INDEX(ObjAfaDauer,2)=0,INDEX(ObjAfaJahr,2)=0,$C1044&lt;INDEX(ObjKaufJahr,2),$C1044&gt;=INDEX(ObjKaufJahr,2)+INDEX(ObjAfaDauer,2)),0,IF($C1044=INDEX(ObjKaufJahr,2),INDEX(ObjAfaJahr,2)*(13-INDEX(ObjKaufMonat,2))/12,INDEX(ObjAfaJahr,2)))</f>
      </c>
      <c r="Q1044" s="43">
        <f>$F1044-$G1044-$H1044-$I1044-$P1044</f>
      </c>
      <c r="R1044" s="43">
        <f>$Q1044*INDEX(ObjSteuersatz,2)/100</f>
      </c>
      <c r="S1044" s="43">
        <f>$I1044+$J1044+$K1044+$L1044</f>
      </c>
      <c r="T1044" s="43">
        <f>$F1044-$G1044-$H1044-$S1044</f>
      </c>
      <c r="U1044" s="43">
        <f>$T1044-$R1044</f>
      </c>
      <c r="V1044" s="43">
        <f>$O1044-$M1044</f>
      </c>
      <c r="W1044" s="43">
        <f>$J1044+$K1044+$L1044</f>
      </c>
      <c r="X1044" s="43">
        <f>IF($O1044=0,0,$M1044/$O1044*100)</f>
      </c>
    </row>
    <row r="1045">
      <c r="A1045"/>
      <c r="B1045">
        <v>2</v>
      </c>
      <c r="C1045" s="43">
        <f>Jahr+22</f>
      </c>
      <c r="D1045">
        <v>22</v>
      </c>
      <c r="E1045" s="43">
        <f>IF(INDEX(ObjKaufJahr,2)=0,0,IF($C1045&lt;INDEX(ObjKaufJahr,2),0,IF($C1045&gt;INDEX(ObjKaufJahr,2),12,13-INDEX(ObjKaufMonat,2))))/12</f>
      </c>
      <c r="F1045" s="43">
        <f>SUMIFS(MlSumme,MlObj,2,MlJahr,$C1045)*(1-Leerstand/100)</f>
      </c>
      <c r="G1045" s="43">
        <f>INDEX(ObjLaufend,2)*(1+(Inflation)/100)^MAX(0,22)*$E1045</f>
      </c>
      <c r="H1045" s="43">
        <f>INDEX(ObjInstandBasis,2)*(1+(Inflation)/100)^MAX(0,22)*$E1045</f>
      </c>
      <c r="I1045" s="43">
        <f>SUMIFS(TilgZins,TilgObj,2,TilgJahr,$C1045)</f>
      </c>
      <c r="J1045" s="43">
        <f>SUMIFS(TilgTilgung,TilgObj,2,TilgJahr,$C1045)</f>
      </c>
      <c r="K1045" s="43">
        <f>SUMIFS(TilgSonder,TilgObj,2,TilgJahr,$C1045)</f>
      </c>
      <c r="L1045" s="43">
        <f>SUMIFS(TilgErsatz,TilgObj,2,TilgJahr,$C1045)</f>
      </c>
      <c r="M1045" s="43">
        <f>MAX(0,SUMIF(DarlObj,2,DarlBetrag)-SUMIFS(TilgTilgung,TilgObj,2,TilgJahr,"&lt;="&amp;$C1045)-SUMIFS(TilgSonder,TilgObj,2,TilgJahr,"&lt;="&amp;$C1045))</f>
      </c>
      <c r="N1045" s="43">
        <f>SUMIFS(TilgErsatz,TilgObj,2,TilgJahr,"&lt;="&amp;$C1045)+SUMIFS(TilgErtrag,TilgObj,2,TilgJahr,"&lt;="&amp;$C1045)</f>
      </c>
      <c r="O1045" s="43">
        <f>INDEX(ObjWertEff,2)*(1+(Wertsteigerung)/100)^MAX(0,22)</f>
      </c>
      <c r="P1045" s="43">
        <f>IF(OR(INDEX(ObjAfaDauer,2)=0,INDEX(ObjAfaJahr,2)=0,$C1045&lt;INDEX(ObjKaufJahr,2),$C1045&gt;=INDEX(ObjKaufJahr,2)+INDEX(ObjAfaDauer,2)),0,IF($C1045=INDEX(ObjKaufJahr,2),INDEX(ObjAfaJahr,2)*(13-INDEX(ObjKaufMonat,2))/12,INDEX(ObjAfaJahr,2)))</f>
      </c>
      <c r="Q1045" s="43">
        <f>$F1045-$G1045-$H1045-$I1045-$P1045</f>
      </c>
      <c r="R1045" s="43">
        <f>$Q1045*INDEX(ObjSteuersatz,2)/100</f>
      </c>
      <c r="S1045" s="43">
        <f>$I1045+$J1045+$K1045+$L1045</f>
      </c>
      <c r="T1045" s="43">
        <f>$F1045-$G1045-$H1045-$S1045</f>
      </c>
      <c r="U1045" s="43">
        <f>$T1045-$R1045</f>
      </c>
      <c r="V1045" s="43">
        <f>$O1045-$M1045</f>
      </c>
      <c r="W1045" s="43">
        <f>$J1045+$K1045+$L1045</f>
      </c>
      <c r="X1045" s="43">
        <f>IF($O1045=0,0,$M1045/$O1045*100)</f>
      </c>
    </row>
    <row r="1046">
      <c r="A1046"/>
      <c r="B1046">
        <v>2</v>
      </c>
      <c r="C1046" s="43">
        <f>Jahr+23</f>
      </c>
      <c r="D1046">
        <v>23</v>
      </c>
      <c r="E1046" s="43">
        <f>IF(INDEX(ObjKaufJahr,2)=0,0,IF($C1046&lt;INDEX(ObjKaufJahr,2),0,IF($C1046&gt;INDEX(ObjKaufJahr,2),12,13-INDEX(ObjKaufMonat,2))))/12</f>
      </c>
      <c r="F1046" s="43">
        <f>SUMIFS(MlSumme,MlObj,2,MlJahr,$C1046)*(1-Leerstand/100)</f>
      </c>
      <c r="G1046" s="43">
        <f>INDEX(ObjLaufend,2)*(1+(Inflation)/100)^MAX(0,23)*$E1046</f>
      </c>
      <c r="H1046" s="43">
        <f>INDEX(ObjInstandBasis,2)*(1+(Inflation)/100)^MAX(0,23)*$E1046</f>
      </c>
      <c r="I1046" s="43">
        <f>SUMIFS(TilgZins,TilgObj,2,TilgJahr,$C1046)</f>
      </c>
      <c r="J1046" s="43">
        <f>SUMIFS(TilgTilgung,TilgObj,2,TilgJahr,$C1046)</f>
      </c>
      <c r="K1046" s="43">
        <f>SUMIFS(TilgSonder,TilgObj,2,TilgJahr,$C1046)</f>
      </c>
      <c r="L1046" s="43">
        <f>SUMIFS(TilgErsatz,TilgObj,2,TilgJahr,$C1046)</f>
      </c>
      <c r="M1046" s="43">
        <f>MAX(0,SUMIF(DarlObj,2,DarlBetrag)-SUMIFS(TilgTilgung,TilgObj,2,TilgJahr,"&lt;="&amp;$C1046)-SUMIFS(TilgSonder,TilgObj,2,TilgJahr,"&lt;="&amp;$C1046))</f>
      </c>
      <c r="N1046" s="43">
        <f>SUMIFS(TilgErsatz,TilgObj,2,TilgJahr,"&lt;="&amp;$C1046)+SUMIFS(TilgErtrag,TilgObj,2,TilgJahr,"&lt;="&amp;$C1046)</f>
      </c>
      <c r="O1046" s="43">
        <f>INDEX(ObjWertEff,2)*(1+(Wertsteigerung)/100)^MAX(0,23)</f>
      </c>
      <c r="P1046" s="43">
        <f>IF(OR(INDEX(ObjAfaDauer,2)=0,INDEX(ObjAfaJahr,2)=0,$C1046&lt;INDEX(ObjKaufJahr,2),$C1046&gt;=INDEX(ObjKaufJahr,2)+INDEX(ObjAfaDauer,2)),0,IF($C1046=INDEX(ObjKaufJahr,2),INDEX(ObjAfaJahr,2)*(13-INDEX(ObjKaufMonat,2))/12,INDEX(ObjAfaJahr,2)))</f>
      </c>
      <c r="Q1046" s="43">
        <f>$F1046-$G1046-$H1046-$I1046-$P1046</f>
      </c>
      <c r="R1046" s="43">
        <f>$Q1046*INDEX(ObjSteuersatz,2)/100</f>
      </c>
      <c r="S1046" s="43">
        <f>$I1046+$J1046+$K1046+$L1046</f>
      </c>
      <c r="T1046" s="43">
        <f>$F1046-$G1046-$H1046-$S1046</f>
      </c>
      <c r="U1046" s="43">
        <f>$T1046-$R1046</f>
      </c>
      <c r="V1046" s="43">
        <f>$O1046-$M1046</f>
      </c>
      <c r="W1046" s="43">
        <f>$J1046+$K1046+$L1046</f>
      </c>
      <c r="X1046" s="43">
        <f>IF($O1046=0,0,$M1046/$O1046*100)</f>
      </c>
    </row>
    <row r="1047">
      <c r="A1047"/>
      <c r="B1047">
        <v>2</v>
      </c>
      <c r="C1047" s="43">
        <f>Jahr+24</f>
      </c>
      <c r="D1047">
        <v>24</v>
      </c>
      <c r="E1047" s="43">
        <f>IF(INDEX(ObjKaufJahr,2)=0,0,IF($C1047&lt;INDEX(ObjKaufJahr,2),0,IF($C1047&gt;INDEX(ObjKaufJahr,2),12,13-INDEX(ObjKaufMonat,2))))/12</f>
      </c>
      <c r="F1047" s="43">
        <f>SUMIFS(MlSumme,MlObj,2,MlJahr,$C1047)*(1-Leerstand/100)</f>
      </c>
      <c r="G1047" s="43">
        <f>INDEX(ObjLaufend,2)*(1+(Inflation)/100)^MAX(0,24)*$E1047</f>
      </c>
      <c r="H1047" s="43">
        <f>INDEX(ObjInstandBasis,2)*(1+(Inflation)/100)^MAX(0,24)*$E1047</f>
      </c>
      <c r="I1047" s="43">
        <f>SUMIFS(TilgZins,TilgObj,2,TilgJahr,$C1047)</f>
      </c>
      <c r="J1047" s="43">
        <f>SUMIFS(TilgTilgung,TilgObj,2,TilgJahr,$C1047)</f>
      </c>
      <c r="K1047" s="43">
        <f>SUMIFS(TilgSonder,TilgObj,2,TilgJahr,$C1047)</f>
      </c>
      <c r="L1047" s="43">
        <f>SUMIFS(TilgErsatz,TilgObj,2,TilgJahr,$C1047)</f>
      </c>
      <c r="M1047" s="43">
        <f>MAX(0,SUMIF(DarlObj,2,DarlBetrag)-SUMIFS(TilgTilgung,TilgObj,2,TilgJahr,"&lt;="&amp;$C1047)-SUMIFS(TilgSonder,TilgObj,2,TilgJahr,"&lt;="&amp;$C1047))</f>
      </c>
      <c r="N1047" s="43">
        <f>SUMIFS(TilgErsatz,TilgObj,2,TilgJahr,"&lt;="&amp;$C1047)+SUMIFS(TilgErtrag,TilgObj,2,TilgJahr,"&lt;="&amp;$C1047)</f>
      </c>
      <c r="O1047" s="43">
        <f>INDEX(ObjWertEff,2)*(1+(Wertsteigerung)/100)^MAX(0,24)</f>
      </c>
      <c r="P1047" s="43">
        <f>IF(OR(INDEX(ObjAfaDauer,2)=0,INDEX(ObjAfaJahr,2)=0,$C1047&lt;INDEX(ObjKaufJahr,2),$C1047&gt;=INDEX(ObjKaufJahr,2)+INDEX(ObjAfaDauer,2)),0,IF($C1047=INDEX(ObjKaufJahr,2),INDEX(ObjAfaJahr,2)*(13-INDEX(ObjKaufMonat,2))/12,INDEX(ObjAfaJahr,2)))</f>
      </c>
      <c r="Q1047" s="43">
        <f>$F1047-$G1047-$H1047-$I1047-$P1047</f>
      </c>
      <c r="R1047" s="43">
        <f>$Q1047*INDEX(ObjSteuersatz,2)/100</f>
      </c>
      <c r="S1047" s="43">
        <f>$I1047+$J1047+$K1047+$L1047</f>
      </c>
      <c r="T1047" s="43">
        <f>$F1047-$G1047-$H1047-$S1047</f>
      </c>
      <c r="U1047" s="43">
        <f>$T1047-$R1047</f>
      </c>
      <c r="V1047" s="43">
        <f>$O1047-$M1047</f>
      </c>
      <c r="W1047" s="43">
        <f>$J1047+$K1047+$L1047</f>
      </c>
      <c r="X1047" s="43">
        <f>IF($O1047=0,0,$M1047/$O1047*100)</f>
      </c>
    </row>
    <row r="1048">
      <c r="A1048"/>
      <c r="B1048">
        <v>2</v>
      </c>
      <c r="C1048" s="43">
        <f>Jahr+25</f>
      </c>
      <c r="D1048">
        <v>25</v>
      </c>
      <c r="E1048" s="43">
        <f>IF(INDEX(ObjKaufJahr,2)=0,0,IF($C1048&lt;INDEX(ObjKaufJahr,2),0,IF($C1048&gt;INDEX(ObjKaufJahr,2),12,13-INDEX(ObjKaufMonat,2))))/12</f>
      </c>
      <c r="F1048" s="43">
        <f>SUMIFS(MlSumme,MlObj,2,MlJahr,$C1048)*(1-Leerstand/100)</f>
      </c>
      <c r="G1048" s="43">
        <f>INDEX(ObjLaufend,2)*(1+(Inflation)/100)^MAX(0,25)*$E1048</f>
      </c>
      <c r="H1048" s="43">
        <f>INDEX(ObjInstandBasis,2)*(1+(Inflation)/100)^MAX(0,25)*$E1048</f>
      </c>
      <c r="I1048" s="43">
        <f>SUMIFS(TilgZins,TilgObj,2,TilgJahr,$C1048)</f>
      </c>
      <c r="J1048" s="43">
        <f>SUMIFS(TilgTilgung,TilgObj,2,TilgJahr,$C1048)</f>
      </c>
      <c r="K1048" s="43">
        <f>SUMIFS(TilgSonder,TilgObj,2,TilgJahr,$C1048)</f>
      </c>
      <c r="L1048" s="43">
        <f>SUMIFS(TilgErsatz,TilgObj,2,TilgJahr,$C1048)</f>
      </c>
      <c r="M1048" s="43">
        <f>MAX(0,SUMIF(DarlObj,2,DarlBetrag)-SUMIFS(TilgTilgung,TilgObj,2,TilgJahr,"&lt;="&amp;$C1048)-SUMIFS(TilgSonder,TilgObj,2,TilgJahr,"&lt;="&amp;$C1048))</f>
      </c>
      <c r="N1048" s="43">
        <f>SUMIFS(TilgErsatz,TilgObj,2,TilgJahr,"&lt;="&amp;$C1048)+SUMIFS(TilgErtrag,TilgObj,2,TilgJahr,"&lt;="&amp;$C1048)</f>
      </c>
      <c r="O1048" s="43">
        <f>INDEX(ObjWertEff,2)*(1+(Wertsteigerung)/100)^MAX(0,25)</f>
      </c>
      <c r="P1048" s="43">
        <f>IF(OR(INDEX(ObjAfaDauer,2)=0,INDEX(ObjAfaJahr,2)=0,$C1048&lt;INDEX(ObjKaufJahr,2),$C1048&gt;=INDEX(ObjKaufJahr,2)+INDEX(ObjAfaDauer,2)),0,IF($C1048=INDEX(ObjKaufJahr,2),INDEX(ObjAfaJahr,2)*(13-INDEX(ObjKaufMonat,2))/12,INDEX(ObjAfaJahr,2)))</f>
      </c>
      <c r="Q1048" s="43">
        <f>$F1048-$G1048-$H1048-$I1048-$P1048</f>
      </c>
      <c r="R1048" s="43">
        <f>$Q1048*INDEX(ObjSteuersatz,2)/100</f>
      </c>
      <c r="S1048" s="43">
        <f>$I1048+$J1048+$K1048+$L1048</f>
      </c>
      <c r="T1048" s="43">
        <f>$F1048-$G1048-$H1048-$S1048</f>
      </c>
      <c r="U1048" s="43">
        <f>$T1048-$R1048</f>
      </c>
      <c r="V1048" s="43">
        <f>$O1048-$M1048</f>
      </c>
      <c r="W1048" s="43">
        <f>$J1048+$K1048+$L1048</f>
      </c>
      <c r="X1048" s="43">
        <f>IF($O1048=0,0,$M1048/$O1048*100)</f>
      </c>
    </row>
    <row r="1049">
      <c r="A1049"/>
      <c r="B1049">
        <v>2</v>
      </c>
      <c r="C1049" s="43">
        <f>Jahr+26</f>
      </c>
      <c r="D1049">
        <v>26</v>
      </c>
      <c r="E1049" s="43">
        <f>IF(INDEX(ObjKaufJahr,2)=0,0,IF($C1049&lt;INDEX(ObjKaufJahr,2),0,IF($C1049&gt;INDEX(ObjKaufJahr,2),12,13-INDEX(ObjKaufMonat,2))))/12</f>
      </c>
      <c r="F1049" s="43">
        <f>SUMIFS(MlSumme,MlObj,2,MlJahr,$C1049)*(1-Leerstand/100)</f>
      </c>
      <c r="G1049" s="43">
        <f>INDEX(ObjLaufend,2)*(1+(Inflation)/100)^MAX(0,26)*$E1049</f>
      </c>
      <c r="H1049" s="43">
        <f>INDEX(ObjInstandBasis,2)*(1+(Inflation)/100)^MAX(0,26)*$E1049</f>
      </c>
      <c r="I1049" s="43">
        <f>SUMIFS(TilgZins,TilgObj,2,TilgJahr,$C1049)</f>
      </c>
      <c r="J1049" s="43">
        <f>SUMIFS(TilgTilgung,TilgObj,2,TilgJahr,$C1049)</f>
      </c>
      <c r="K1049" s="43">
        <f>SUMIFS(TilgSonder,TilgObj,2,TilgJahr,$C1049)</f>
      </c>
      <c r="L1049" s="43">
        <f>SUMIFS(TilgErsatz,TilgObj,2,TilgJahr,$C1049)</f>
      </c>
      <c r="M1049" s="43">
        <f>MAX(0,SUMIF(DarlObj,2,DarlBetrag)-SUMIFS(TilgTilgung,TilgObj,2,TilgJahr,"&lt;="&amp;$C1049)-SUMIFS(TilgSonder,TilgObj,2,TilgJahr,"&lt;="&amp;$C1049))</f>
      </c>
      <c r="N1049" s="43">
        <f>SUMIFS(TilgErsatz,TilgObj,2,TilgJahr,"&lt;="&amp;$C1049)+SUMIFS(TilgErtrag,TilgObj,2,TilgJahr,"&lt;="&amp;$C1049)</f>
      </c>
      <c r="O1049" s="43">
        <f>INDEX(ObjWertEff,2)*(1+(Wertsteigerung)/100)^MAX(0,26)</f>
      </c>
      <c r="P1049" s="43">
        <f>IF(OR(INDEX(ObjAfaDauer,2)=0,INDEX(ObjAfaJahr,2)=0,$C1049&lt;INDEX(ObjKaufJahr,2),$C1049&gt;=INDEX(ObjKaufJahr,2)+INDEX(ObjAfaDauer,2)),0,IF($C1049=INDEX(ObjKaufJahr,2),INDEX(ObjAfaJahr,2)*(13-INDEX(ObjKaufMonat,2))/12,INDEX(ObjAfaJahr,2)))</f>
      </c>
      <c r="Q1049" s="43">
        <f>$F1049-$G1049-$H1049-$I1049-$P1049</f>
      </c>
      <c r="R1049" s="43">
        <f>$Q1049*INDEX(ObjSteuersatz,2)/100</f>
      </c>
      <c r="S1049" s="43">
        <f>$I1049+$J1049+$K1049+$L1049</f>
      </c>
      <c r="T1049" s="43">
        <f>$F1049-$G1049-$H1049-$S1049</f>
      </c>
      <c r="U1049" s="43">
        <f>$T1049-$R1049</f>
      </c>
      <c r="V1049" s="43">
        <f>$O1049-$M1049</f>
      </c>
      <c r="W1049" s="43">
        <f>$J1049+$K1049+$L1049</f>
      </c>
      <c r="X1049" s="43">
        <f>IF($O1049=0,0,$M1049/$O1049*100)</f>
      </c>
    </row>
    <row r="1050">
      <c r="A1050"/>
      <c r="B1050">
        <v>2</v>
      </c>
      <c r="C1050" s="43">
        <f>Jahr+27</f>
      </c>
      <c r="D1050">
        <v>27</v>
      </c>
      <c r="E1050" s="43">
        <f>IF(INDEX(ObjKaufJahr,2)=0,0,IF($C1050&lt;INDEX(ObjKaufJahr,2),0,IF($C1050&gt;INDEX(ObjKaufJahr,2),12,13-INDEX(ObjKaufMonat,2))))/12</f>
      </c>
      <c r="F1050" s="43">
        <f>SUMIFS(MlSumme,MlObj,2,MlJahr,$C1050)*(1-Leerstand/100)</f>
      </c>
      <c r="G1050" s="43">
        <f>INDEX(ObjLaufend,2)*(1+(Inflation)/100)^MAX(0,27)*$E1050</f>
      </c>
      <c r="H1050" s="43">
        <f>INDEX(ObjInstandBasis,2)*(1+(Inflation)/100)^MAX(0,27)*$E1050</f>
      </c>
      <c r="I1050" s="43">
        <f>SUMIFS(TilgZins,TilgObj,2,TilgJahr,$C1050)</f>
      </c>
      <c r="J1050" s="43">
        <f>SUMIFS(TilgTilgung,TilgObj,2,TilgJahr,$C1050)</f>
      </c>
      <c r="K1050" s="43">
        <f>SUMIFS(TilgSonder,TilgObj,2,TilgJahr,$C1050)</f>
      </c>
      <c r="L1050" s="43">
        <f>SUMIFS(TilgErsatz,TilgObj,2,TilgJahr,$C1050)</f>
      </c>
      <c r="M1050" s="43">
        <f>MAX(0,SUMIF(DarlObj,2,DarlBetrag)-SUMIFS(TilgTilgung,TilgObj,2,TilgJahr,"&lt;="&amp;$C1050)-SUMIFS(TilgSonder,TilgObj,2,TilgJahr,"&lt;="&amp;$C1050))</f>
      </c>
      <c r="N1050" s="43">
        <f>SUMIFS(TilgErsatz,TilgObj,2,TilgJahr,"&lt;="&amp;$C1050)+SUMIFS(TilgErtrag,TilgObj,2,TilgJahr,"&lt;="&amp;$C1050)</f>
      </c>
      <c r="O1050" s="43">
        <f>INDEX(ObjWertEff,2)*(1+(Wertsteigerung)/100)^MAX(0,27)</f>
      </c>
      <c r="P1050" s="43">
        <f>IF(OR(INDEX(ObjAfaDauer,2)=0,INDEX(ObjAfaJahr,2)=0,$C1050&lt;INDEX(ObjKaufJahr,2),$C1050&gt;=INDEX(ObjKaufJahr,2)+INDEX(ObjAfaDauer,2)),0,IF($C1050=INDEX(ObjKaufJahr,2),INDEX(ObjAfaJahr,2)*(13-INDEX(ObjKaufMonat,2))/12,INDEX(ObjAfaJahr,2)))</f>
      </c>
      <c r="Q1050" s="43">
        <f>$F1050-$G1050-$H1050-$I1050-$P1050</f>
      </c>
      <c r="R1050" s="43">
        <f>$Q1050*INDEX(ObjSteuersatz,2)/100</f>
      </c>
      <c r="S1050" s="43">
        <f>$I1050+$J1050+$K1050+$L1050</f>
      </c>
      <c r="T1050" s="43">
        <f>$F1050-$G1050-$H1050-$S1050</f>
      </c>
      <c r="U1050" s="43">
        <f>$T1050-$R1050</f>
      </c>
      <c r="V1050" s="43">
        <f>$O1050-$M1050</f>
      </c>
      <c r="W1050" s="43">
        <f>$J1050+$K1050+$L1050</f>
      </c>
      <c r="X1050" s="43">
        <f>IF($O1050=0,0,$M1050/$O1050*100)</f>
      </c>
    </row>
    <row r="1051">
      <c r="A1051"/>
      <c r="B1051">
        <v>2</v>
      </c>
      <c r="C1051" s="43">
        <f>Jahr+28</f>
      </c>
      <c r="D1051">
        <v>28</v>
      </c>
      <c r="E1051" s="43">
        <f>IF(INDEX(ObjKaufJahr,2)=0,0,IF($C1051&lt;INDEX(ObjKaufJahr,2),0,IF($C1051&gt;INDEX(ObjKaufJahr,2),12,13-INDEX(ObjKaufMonat,2))))/12</f>
      </c>
      <c r="F1051" s="43">
        <f>SUMIFS(MlSumme,MlObj,2,MlJahr,$C1051)*(1-Leerstand/100)</f>
      </c>
      <c r="G1051" s="43">
        <f>INDEX(ObjLaufend,2)*(1+(Inflation)/100)^MAX(0,28)*$E1051</f>
      </c>
      <c r="H1051" s="43">
        <f>INDEX(ObjInstandBasis,2)*(1+(Inflation)/100)^MAX(0,28)*$E1051</f>
      </c>
      <c r="I1051" s="43">
        <f>SUMIFS(TilgZins,TilgObj,2,TilgJahr,$C1051)</f>
      </c>
      <c r="J1051" s="43">
        <f>SUMIFS(TilgTilgung,TilgObj,2,TilgJahr,$C1051)</f>
      </c>
      <c r="K1051" s="43">
        <f>SUMIFS(TilgSonder,TilgObj,2,TilgJahr,$C1051)</f>
      </c>
      <c r="L1051" s="43">
        <f>SUMIFS(TilgErsatz,TilgObj,2,TilgJahr,$C1051)</f>
      </c>
      <c r="M1051" s="43">
        <f>MAX(0,SUMIF(DarlObj,2,DarlBetrag)-SUMIFS(TilgTilgung,TilgObj,2,TilgJahr,"&lt;="&amp;$C1051)-SUMIFS(TilgSonder,TilgObj,2,TilgJahr,"&lt;="&amp;$C1051))</f>
      </c>
      <c r="N1051" s="43">
        <f>SUMIFS(TilgErsatz,TilgObj,2,TilgJahr,"&lt;="&amp;$C1051)+SUMIFS(TilgErtrag,TilgObj,2,TilgJahr,"&lt;="&amp;$C1051)</f>
      </c>
      <c r="O1051" s="43">
        <f>INDEX(ObjWertEff,2)*(1+(Wertsteigerung)/100)^MAX(0,28)</f>
      </c>
      <c r="P1051" s="43">
        <f>IF(OR(INDEX(ObjAfaDauer,2)=0,INDEX(ObjAfaJahr,2)=0,$C1051&lt;INDEX(ObjKaufJahr,2),$C1051&gt;=INDEX(ObjKaufJahr,2)+INDEX(ObjAfaDauer,2)),0,IF($C1051=INDEX(ObjKaufJahr,2),INDEX(ObjAfaJahr,2)*(13-INDEX(ObjKaufMonat,2))/12,INDEX(ObjAfaJahr,2)))</f>
      </c>
      <c r="Q1051" s="43">
        <f>$F1051-$G1051-$H1051-$I1051-$P1051</f>
      </c>
      <c r="R1051" s="43">
        <f>$Q1051*INDEX(ObjSteuersatz,2)/100</f>
      </c>
      <c r="S1051" s="43">
        <f>$I1051+$J1051+$K1051+$L1051</f>
      </c>
      <c r="T1051" s="43">
        <f>$F1051-$G1051-$H1051-$S1051</f>
      </c>
      <c r="U1051" s="43">
        <f>$T1051-$R1051</f>
      </c>
      <c r="V1051" s="43">
        <f>$O1051-$M1051</f>
      </c>
      <c r="W1051" s="43">
        <f>$J1051+$K1051+$L1051</f>
      </c>
      <c r="X1051" s="43">
        <f>IF($O1051=0,0,$M1051/$O1051*100)</f>
      </c>
    </row>
    <row r="1052">
      <c r="A1052"/>
      <c r="B1052">
        <v>2</v>
      </c>
      <c r="C1052" s="43">
        <f>Jahr+29</f>
      </c>
      <c r="D1052">
        <v>29</v>
      </c>
      <c r="E1052" s="43">
        <f>IF(INDEX(ObjKaufJahr,2)=0,0,IF($C1052&lt;INDEX(ObjKaufJahr,2),0,IF($C1052&gt;INDEX(ObjKaufJahr,2),12,13-INDEX(ObjKaufMonat,2))))/12</f>
      </c>
      <c r="F1052" s="43">
        <f>SUMIFS(MlSumme,MlObj,2,MlJahr,$C1052)*(1-Leerstand/100)</f>
      </c>
      <c r="G1052" s="43">
        <f>INDEX(ObjLaufend,2)*(1+(Inflation)/100)^MAX(0,29)*$E1052</f>
      </c>
      <c r="H1052" s="43">
        <f>INDEX(ObjInstandBasis,2)*(1+(Inflation)/100)^MAX(0,29)*$E1052</f>
      </c>
      <c r="I1052" s="43">
        <f>SUMIFS(TilgZins,TilgObj,2,TilgJahr,$C1052)</f>
      </c>
      <c r="J1052" s="43">
        <f>SUMIFS(TilgTilgung,TilgObj,2,TilgJahr,$C1052)</f>
      </c>
      <c r="K1052" s="43">
        <f>SUMIFS(TilgSonder,TilgObj,2,TilgJahr,$C1052)</f>
      </c>
      <c r="L1052" s="43">
        <f>SUMIFS(TilgErsatz,TilgObj,2,TilgJahr,$C1052)</f>
      </c>
      <c r="M1052" s="43">
        <f>MAX(0,SUMIF(DarlObj,2,DarlBetrag)-SUMIFS(TilgTilgung,TilgObj,2,TilgJahr,"&lt;="&amp;$C1052)-SUMIFS(TilgSonder,TilgObj,2,TilgJahr,"&lt;="&amp;$C1052))</f>
      </c>
      <c r="N1052" s="43">
        <f>SUMIFS(TilgErsatz,TilgObj,2,TilgJahr,"&lt;="&amp;$C1052)+SUMIFS(TilgErtrag,TilgObj,2,TilgJahr,"&lt;="&amp;$C1052)</f>
      </c>
      <c r="O1052" s="43">
        <f>INDEX(ObjWertEff,2)*(1+(Wertsteigerung)/100)^MAX(0,29)</f>
      </c>
      <c r="P1052" s="43">
        <f>IF(OR(INDEX(ObjAfaDauer,2)=0,INDEX(ObjAfaJahr,2)=0,$C1052&lt;INDEX(ObjKaufJahr,2),$C1052&gt;=INDEX(ObjKaufJahr,2)+INDEX(ObjAfaDauer,2)),0,IF($C1052=INDEX(ObjKaufJahr,2),INDEX(ObjAfaJahr,2)*(13-INDEX(ObjKaufMonat,2))/12,INDEX(ObjAfaJahr,2)))</f>
      </c>
      <c r="Q1052" s="43">
        <f>$F1052-$G1052-$H1052-$I1052-$P1052</f>
      </c>
      <c r="R1052" s="43">
        <f>$Q1052*INDEX(ObjSteuersatz,2)/100</f>
      </c>
      <c r="S1052" s="43">
        <f>$I1052+$J1052+$K1052+$L1052</f>
      </c>
      <c r="T1052" s="43">
        <f>$F1052-$G1052-$H1052-$S1052</f>
      </c>
      <c r="U1052" s="43">
        <f>$T1052-$R1052</f>
      </c>
      <c r="V1052" s="43">
        <f>$O1052-$M1052</f>
      </c>
      <c r="W1052" s="43">
        <f>$J1052+$K1052+$L1052</f>
      </c>
      <c r="X1052" s="43">
        <f>IF($O1052=0,0,$M1052/$O1052*100)</f>
      </c>
    </row>
    <row r="1053">
      <c r="A1053"/>
      <c r="B1053">
        <v>2</v>
      </c>
      <c r="C1053" s="43">
        <f>Jahr+30</f>
      </c>
      <c r="D1053">
        <v>30</v>
      </c>
      <c r="E1053" s="43">
        <f>IF(INDEX(ObjKaufJahr,2)=0,0,IF($C1053&lt;INDEX(ObjKaufJahr,2),0,IF($C1053&gt;INDEX(ObjKaufJahr,2),12,13-INDEX(ObjKaufMonat,2))))/12</f>
      </c>
      <c r="F1053" s="43">
        <f>SUMIFS(MlSumme,MlObj,2,MlJahr,$C1053)*(1-Leerstand/100)</f>
      </c>
      <c r="G1053" s="43">
        <f>INDEX(ObjLaufend,2)*(1+(Inflation)/100)^MAX(0,30)*$E1053</f>
      </c>
      <c r="H1053" s="43">
        <f>INDEX(ObjInstandBasis,2)*(1+(Inflation)/100)^MAX(0,30)*$E1053</f>
      </c>
      <c r="I1053" s="43">
        <f>SUMIFS(TilgZins,TilgObj,2,TilgJahr,$C1053)</f>
      </c>
      <c r="J1053" s="43">
        <f>SUMIFS(TilgTilgung,TilgObj,2,TilgJahr,$C1053)</f>
      </c>
      <c r="K1053" s="43">
        <f>SUMIFS(TilgSonder,TilgObj,2,TilgJahr,$C1053)</f>
      </c>
      <c r="L1053" s="43">
        <f>SUMIFS(TilgErsatz,TilgObj,2,TilgJahr,$C1053)</f>
      </c>
      <c r="M1053" s="43">
        <f>MAX(0,SUMIF(DarlObj,2,DarlBetrag)-SUMIFS(TilgTilgung,TilgObj,2,TilgJahr,"&lt;="&amp;$C1053)-SUMIFS(TilgSonder,TilgObj,2,TilgJahr,"&lt;="&amp;$C1053))</f>
      </c>
      <c r="N1053" s="43">
        <f>SUMIFS(TilgErsatz,TilgObj,2,TilgJahr,"&lt;="&amp;$C1053)+SUMIFS(TilgErtrag,TilgObj,2,TilgJahr,"&lt;="&amp;$C1053)</f>
      </c>
      <c r="O1053" s="43">
        <f>INDEX(ObjWertEff,2)*(1+(Wertsteigerung)/100)^MAX(0,30)</f>
      </c>
      <c r="P1053" s="43">
        <f>IF(OR(INDEX(ObjAfaDauer,2)=0,INDEX(ObjAfaJahr,2)=0,$C1053&lt;INDEX(ObjKaufJahr,2),$C1053&gt;=INDEX(ObjKaufJahr,2)+INDEX(ObjAfaDauer,2)),0,IF($C1053=INDEX(ObjKaufJahr,2),INDEX(ObjAfaJahr,2)*(13-INDEX(ObjKaufMonat,2))/12,INDEX(ObjAfaJahr,2)))</f>
      </c>
      <c r="Q1053" s="43">
        <f>$F1053-$G1053-$H1053-$I1053-$P1053</f>
      </c>
      <c r="R1053" s="43">
        <f>$Q1053*INDEX(ObjSteuersatz,2)/100</f>
      </c>
      <c r="S1053" s="43">
        <f>$I1053+$J1053+$K1053+$L1053</f>
      </c>
      <c r="T1053" s="43">
        <f>$F1053-$G1053-$H1053-$S1053</f>
      </c>
      <c r="U1053" s="43">
        <f>$T1053-$R1053</f>
      </c>
      <c r="V1053" s="43">
        <f>$O1053-$M1053</f>
      </c>
      <c r="W1053" s="43">
        <f>$J1053+$K1053+$L1053</f>
      </c>
      <c r="X1053" s="43">
        <f>IF($O1053=0,0,$M1053/$O1053*100)</f>
      </c>
    </row>
    <row r="1054">
      <c r="A1054"/>
      <c r="B1054">
        <v>3</v>
      </c>
      <c r="C1054" s="43">
        <f>Jahr+0</f>
      </c>
      <c r="D1054">
        <v>0</v>
      </c>
      <c r="E1054" s="43">
        <f>IF(INDEX(ObjKaufJahr,3)=0,0,IF($C1054&lt;INDEX(ObjKaufJahr,3),0,IF($C1054&gt;INDEX(ObjKaufJahr,3),12,13-INDEX(ObjKaufMonat,3))))/12</f>
      </c>
      <c r="F1054" s="43">
        <f>SUMIFS(MlSumme,MlObj,3,MlJahr,$C1054)*(1-Leerstand/100)</f>
      </c>
      <c r="G1054" s="43">
        <f>INDEX(ObjLaufend,3)*(1+(Inflation)/100)^MAX(0,0)*$E1054</f>
      </c>
      <c r="H1054" s="43">
        <f>INDEX(ObjInstandBasis,3)*(1+(Inflation)/100)^MAX(0,0)*$E1054</f>
      </c>
      <c r="I1054" s="43">
        <f>SUMIFS(TilgZins,TilgObj,3,TilgJahr,$C1054)</f>
      </c>
      <c r="J1054" s="43">
        <f>SUMIFS(TilgTilgung,TilgObj,3,TilgJahr,$C1054)</f>
      </c>
      <c r="K1054" s="43">
        <f>SUMIFS(TilgSonder,TilgObj,3,TilgJahr,$C1054)</f>
      </c>
      <c r="L1054" s="43">
        <f>SUMIFS(TilgErsatz,TilgObj,3,TilgJahr,$C1054)</f>
      </c>
      <c r="M1054" s="43">
        <f>MAX(0,SUMIF(DarlObj,3,DarlBetrag)-SUMIFS(TilgTilgung,TilgObj,3,TilgJahr,"&lt;="&amp;$C1054)-SUMIFS(TilgSonder,TilgObj,3,TilgJahr,"&lt;="&amp;$C1054))</f>
      </c>
      <c r="N1054" s="43">
        <f>SUMIFS(TilgErsatz,TilgObj,3,TilgJahr,"&lt;="&amp;$C1054)+SUMIFS(TilgErtrag,TilgObj,3,TilgJahr,"&lt;="&amp;$C1054)</f>
      </c>
      <c r="O1054" s="43">
        <f>INDEX(ObjWertEff,3)*(1+(Wertsteigerung)/100)^MAX(0,0)</f>
      </c>
      <c r="P1054" s="43">
        <f>IF(OR(INDEX(ObjAfaDauer,3)=0,INDEX(ObjAfaJahr,3)=0,$C1054&lt;INDEX(ObjKaufJahr,3),$C1054&gt;=INDEX(ObjKaufJahr,3)+INDEX(ObjAfaDauer,3)),0,IF($C1054=INDEX(ObjKaufJahr,3),INDEX(ObjAfaJahr,3)*(13-INDEX(ObjKaufMonat,3))/12,INDEX(ObjAfaJahr,3)))</f>
      </c>
      <c r="Q1054" s="43">
        <f>$F1054-$G1054-$H1054-$I1054-$P1054</f>
      </c>
      <c r="R1054" s="43">
        <f>$Q1054*INDEX(ObjSteuersatz,3)/100</f>
      </c>
      <c r="S1054" s="43">
        <f>$I1054+$J1054+$K1054+$L1054</f>
      </c>
      <c r="T1054" s="43">
        <f>$F1054-$G1054-$H1054-$S1054</f>
      </c>
      <c r="U1054" s="43">
        <f>$T1054-$R1054</f>
      </c>
      <c r="V1054" s="43">
        <f>$O1054-$M1054</f>
      </c>
      <c r="W1054" s="43">
        <f>$J1054+$K1054+$L1054</f>
      </c>
      <c r="X1054" s="43">
        <f>IF($O1054=0,0,$M1054/$O1054*100)</f>
      </c>
    </row>
    <row r="1055">
      <c r="A1055"/>
      <c r="B1055">
        <v>3</v>
      </c>
      <c r="C1055" s="43">
        <f>Jahr+1</f>
      </c>
      <c r="D1055">
        <v>1</v>
      </c>
      <c r="E1055" s="43">
        <f>IF(INDEX(ObjKaufJahr,3)=0,0,IF($C1055&lt;INDEX(ObjKaufJahr,3),0,IF($C1055&gt;INDEX(ObjKaufJahr,3),12,13-INDEX(ObjKaufMonat,3))))/12</f>
      </c>
      <c r="F1055" s="43">
        <f>SUMIFS(MlSumme,MlObj,3,MlJahr,$C1055)*(1-Leerstand/100)</f>
      </c>
      <c r="G1055" s="43">
        <f>INDEX(ObjLaufend,3)*(1+(Inflation)/100)^MAX(0,1)*$E1055</f>
      </c>
      <c r="H1055" s="43">
        <f>INDEX(ObjInstandBasis,3)*(1+(Inflation)/100)^MAX(0,1)*$E1055</f>
      </c>
      <c r="I1055" s="43">
        <f>SUMIFS(TilgZins,TilgObj,3,TilgJahr,$C1055)</f>
      </c>
      <c r="J1055" s="43">
        <f>SUMIFS(TilgTilgung,TilgObj,3,TilgJahr,$C1055)</f>
      </c>
      <c r="K1055" s="43">
        <f>SUMIFS(TilgSonder,TilgObj,3,TilgJahr,$C1055)</f>
      </c>
      <c r="L1055" s="43">
        <f>SUMIFS(TilgErsatz,TilgObj,3,TilgJahr,$C1055)</f>
      </c>
      <c r="M1055" s="43">
        <f>MAX(0,SUMIF(DarlObj,3,DarlBetrag)-SUMIFS(TilgTilgung,TilgObj,3,TilgJahr,"&lt;="&amp;$C1055)-SUMIFS(TilgSonder,TilgObj,3,TilgJahr,"&lt;="&amp;$C1055))</f>
      </c>
      <c r="N1055" s="43">
        <f>SUMIFS(TilgErsatz,TilgObj,3,TilgJahr,"&lt;="&amp;$C1055)+SUMIFS(TilgErtrag,TilgObj,3,TilgJahr,"&lt;="&amp;$C1055)</f>
      </c>
      <c r="O1055" s="43">
        <f>INDEX(ObjWertEff,3)*(1+(Wertsteigerung)/100)^MAX(0,1)</f>
      </c>
      <c r="P1055" s="43">
        <f>IF(OR(INDEX(ObjAfaDauer,3)=0,INDEX(ObjAfaJahr,3)=0,$C1055&lt;INDEX(ObjKaufJahr,3),$C1055&gt;=INDEX(ObjKaufJahr,3)+INDEX(ObjAfaDauer,3)),0,IF($C1055=INDEX(ObjKaufJahr,3),INDEX(ObjAfaJahr,3)*(13-INDEX(ObjKaufMonat,3))/12,INDEX(ObjAfaJahr,3)))</f>
      </c>
      <c r="Q1055" s="43">
        <f>$F1055-$G1055-$H1055-$I1055-$P1055</f>
      </c>
      <c r="R1055" s="43">
        <f>$Q1055*INDEX(ObjSteuersatz,3)/100</f>
      </c>
      <c r="S1055" s="43">
        <f>$I1055+$J1055+$K1055+$L1055</f>
      </c>
      <c r="T1055" s="43">
        <f>$F1055-$G1055-$H1055-$S1055</f>
      </c>
      <c r="U1055" s="43">
        <f>$T1055-$R1055</f>
      </c>
      <c r="V1055" s="43">
        <f>$O1055-$M1055</f>
      </c>
      <c r="W1055" s="43">
        <f>$J1055+$K1055+$L1055</f>
      </c>
      <c r="X1055" s="43">
        <f>IF($O1055=0,0,$M1055/$O1055*100)</f>
      </c>
    </row>
    <row r="1056">
      <c r="A1056"/>
      <c r="B1056">
        <v>3</v>
      </c>
      <c r="C1056" s="43">
        <f>Jahr+2</f>
      </c>
      <c r="D1056">
        <v>2</v>
      </c>
      <c r="E1056" s="43">
        <f>IF(INDEX(ObjKaufJahr,3)=0,0,IF($C1056&lt;INDEX(ObjKaufJahr,3),0,IF($C1056&gt;INDEX(ObjKaufJahr,3),12,13-INDEX(ObjKaufMonat,3))))/12</f>
      </c>
      <c r="F1056" s="43">
        <f>SUMIFS(MlSumme,MlObj,3,MlJahr,$C1056)*(1-Leerstand/100)</f>
      </c>
      <c r="G1056" s="43">
        <f>INDEX(ObjLaufend,3)*(1+(Inflation)/100)^MAX(0,2)*$E1056</f>
      </c>
      <c r="H1056" s="43">
        <f>INDEX(ObjInstandBasis,3)*(1+(Inflation)/100)^MAX(0,2)*$E1056</f>
      </c>
      <c r="I1056" s="43">
        <f>SUMIFS(TilgZins,TilgObj,3,TilgJahr,$C1056)</f>
      </c>
      <c r="J1056" s="43">
        <f>SUMIFS(TilgTilgung,TilgObj,3,TilgJahr,$C1056)</f>
      </c>
      <c r="K1056" s="43">
        <f>SUMIFS(TilgSonder,TilgObj,3,TilgJahr,$C1056)</f>
      </c>
      <c r="L1056" s="43">
        <f>SUMIFS(TilgErsatz,TilgObj,3,TilgJahr,$C1056)</f>
      </c>
      <c r="M1056" s="43">
        <f>MAX(0,SUMIF(DarlObj,3,DarlBetrag)-SUMIFS(TilgTilgung,TilgObj,3,TilgJahr,"&lt;="&amp;$C1056)-SUMIFS(TilgSonder,TilgObj,3,TilgJahr,"&lt;="&amp;$C1056))</f>
      </c>
      <c r="N1056" s="43">
        <f>SUMIFS(TilgErsatz,TilgObj,3,TilgJahr,"&lt;="&amp;$C1056)+SUMIFS(TilgErtrag,TilgObj,3,TilgJahr,"&lt;="&amp;$C1056)</f>
      </c>
      <c r="O1056" s="43">
        <f>INDEX(ObjWertEff,3)*(1+(Wertsteigerung)/100)^MAX(0,2)</f>
      </c>
      <c r="P1056" s="43">
        <f>IF(OR(INDEX(ObjAfaDauer,3)=0,INDEX(ObjAfaJahr,3)=0,$C1056&lt;INDEX(ObjKaufJahr,3),$C1056&gt;=INDEX(ObjKaufJahr,3)+INDEX(ObjAfaDauer,3)),0,IF($C1056=INDEX(ObjKaufJahr,3),INDEX(ObjAfaJahr,3)*(13-INDEX(ObjKaufMonat,3))/12,INDEX(ObjAfaJahr,3)))</f>
      </c>
      <c r="Q1056" s="43">
        <f>$F1056-$G1056-$H1056-$I1056-$P1056</f>
      </c>
      <c r="R1056" s="43">
        <f>$Q1056*INDEX(ObjSteuersatz,3)/100</f>
      </c>
      <c r="S1056" s="43">
        <f>$I1056+$J1056+$K1056+$L1056</f>
      </c>
      <c r="T1056" s="43">
        <f>$F1056-$G1056-$H1056-$S1056</f>
      </c>
      <c r="U1056" s="43">
        <f>$T1056-$R1056</f>
      </c>
      <c r="V1056" s="43">
        <f>$O1056-$M1056</f>
      </c>
      <c r="W1056" s="43">
        <f>$J1056+$K1056+$L1056</f>
      </c>
      <c r="X1056" s="43">
        <f>IF($O1056=0,0,$M1056/$O1056*100)</f>
      </c>
    </row>
    <row r="1057">
      <c r="A1057"/>
      <c r="B1057">
        <v>3</v>
      </c>
      <c r="C1057" s="43">
        <f>Jahr+3</f>
      </c>
      <c r="D1057">
        <v>3</v>
      </c>
      <c r="E1057" s="43">
        <f>IF(INDEX(ObjKaufJahr,3)=0,0,IF($C1057&lt;INDEX(ObjKaufJahr,3),0,IF($C1057&gt;INDEX(ObjKaufJahr,3),12,13-INDEX(ObjKaufMonat,3))))/12</f>
      </c>
      <c r="F1057" s="43">
        <f>SUMIFS(MlSumme,MlObj,3,MlJahr,$C1057)*(1-Leerstand/100)</f>
      </c>
      <c r="G1057" s="43">
        <f>INDEX(ObjLaufend,3)*(1+(Inflation)/100)^MAX(0,3)*$E1057</f>
      </c>
      <c r="H1057" s="43">
        <f>INDEX(ObjInstandBasis,3)*(1+(Inflation)/100)^MAX(0,3)*$E1057</f>
      </c>
      <c r="I1057" s="43">
        <f>SUMIFS(TilgZins,TilgObj,3,TilgJahr,$C1057)</f>
      </c>
      <c r="J1057" s="43">
        <f>SUMIFS(TilgTilgung,TilgObj,3,TilgJahr,$C1057)</f>
      </c>
      <c r="K1057" s="43">
        <f>SUMIFS(TilgSonder,TilgObj,3,TilgJahr,$C1057)</f>
      </c>
      <c r="L1057" s="43">
        <f>SUMIFS(TilgErsatz,TilgObj,3,TilgJahr,$C1057)</f>
      </c>
      <c r="M1057" s="43">
        <f>MAX(0,SUMIF(DarlObj,3,DarlBetrag)-SUMIFS(TilgTilgung,TilgObj,3,TilgJahr,"&lt;="&amp;$C1057)-SUMIFS(TilgSonder,TilgObj,3,TilgJahr,"&lt;="&amp;$C1057))</f>
      </c>
      <c r="N1057" s="43">
        <f>SUMIFS(TilgErsatz,TilgObj,3,TilgJahr,"&lt;="&amp;$C1057)+SUMIFS(TilgErtrag,TilgObj,3,TilgJahr,"&lt;="&amp;$C1057)</f>
      </c>
      <c r="O1057" s="43">
        <f>INDEX(ObjWertEff,3)*(1+(Wertsteigerung)/100)^MAX(0,3)</f>
      </c>
      <c r="P1057" s="43">
        <f>IF(OR(INDEX(ObjAfaDauer,3)=0,INDEX(ObjAfaJahr,3)=0,$C1057&lt;INDEX(ObjKaufJahr,3),$C1057&gt;=INDEX(ObjKaufJahr,3)+INDEX(ObjAfaDauer,3)),0,IF($C1057=INDEX(ObjKaufJahr,3),INDEX(ObjAfaJahr,3)*(13-INDEX(ObjKaufMonat,3))/12,INDEX(ObjAfaJahr,3)))</f>
      </c>
      <c r="Q1057" s="43">
        <f>$F1057-$G1057-$H1057-$I1057-$P1057</f>
      </c>
      <c r="R1057" s="43">
        <f>$Q1057*INDEX(ObjSteuersatz,3)/100</f>
      </c>
      <c r="S1057" s="43">
        <f>$I1057+$J1057+$K1057+$L1057</f>
      </c>
      <c r="T1057" s="43">
        <f>$F1057-$G1057-$H1057-$S1057</f>
      </c>
      <c r="U1057" s="43">
        <f>$T1057-$R1057</f>
      </c>
      <c r="V1057" s="43">
        <f>$O1057-$M1057</f>
      </c>
      <c r="W1057" s="43">
        <f>$J1057+$K1057+$L1057</f>
      </c>
      <c r="X1057" s="43">
        <f>IF($O1057=0,0,$M1057/$O1057*100)</f>
      </c>
    </row>
    <row r="1058">
      <c r="A1058"/>
      <c r="B1058">
        <v>3</v>
      </c>
      <c r="C1058" s="43">
        <f>Jahr+4</f>
      </c>
      <c r="D1058">
        <v>4</v>
      </c>
      <c r="E1058" s="43">
        <f>IF(INDEX(ObjKaufJahr,3)=0,0,IF($C1058&lt;INDEX(ObjKaufJahr,3),0,IF($C1058&gt;INDEX(ObjKaufJahr,3),12,13-INDEX(ObjKaufMonat,3))))/12</f>
      </c>
      <c r="F1058" s="43">
        <f>SUMIFS(MlSumme,MlObj,3,MlJahr,$C1058)*(1-Leerstand/100)</f>
      </c>
      <c r="G1058" s="43">
        <f>INDEX(ObjLaufend,3)*(1+(Inflation)/100)^MAX(0,4)*$E1058</f>
      </c>
      <c r="H1058" s="43">
        <f>INDEX(ObjInstandBasis,3)*(1+(Inflation)/100)^MAX(0,4)*$E1058</f>
      </c>
      <c r="I1058" s="43">
        <f>SUMIFS(TilgZins,TilgObj,3,TilgJahr,$C1058)</f>
      </c>
      <c r="J1058" s="43">
        <f>SUMIFS(TilgTilgung,TilgObj,3,TilgJahr,$C1058)</f>
      </c>
      <c r="K1058" s="43">
        <f>SUMIFS(TilgSonder,TilgObj,3,TilgJahr,$C1058)</f>
      </c>
      <c r="L1058" s="43">
        <f>SUMIFS(TilgErsatz,TilgObj,3,TilgJahr,$C1058)</f>
      </c>
      <c r="M1058" s="43">
        <f>MAX(0,SUMIF(DarlObj,3,DarlBetrag)-SUMIFS(TilgTilgung,TilgObj,3,TilgJahr,"&lt;="&amp;$C1058)-SUMIFS(TilgSonder,TilgObj,3,TilgJahr,"&lt;="&amp;$C1058))</f>
      </c>
      <c r="N1058" s="43">
        <f>SUMIFS(TilgErsatz,TilgObj,3,TilgJahr,"&lt;="&amp;$C1058)+SUMIFS(TilgErtrag,TilgObj,3,TilgJahr,"&lt;="&amp;$C1058)</f>
      </c>
      <c r="O1058" s="43">
        <f>INDEX(ObjWertEff,3)*(1+(Wertsteigerung)/100)^MAX(0,4)</f>
      </c>
      <c r="P1058" s="43">
        <f>IF(OR(INDEX(ObjAfaDauer,3)=0,INDEX(ObjAfaJahr,3)=0,$C1058&lt;INDEX(ObjKaufJahr,3),$C1058&gt;=INDEX(ObjKaufJahr,3)+INDEX(ObjAfaDauer,3)),0,IF($C1058=INDEX(ObjKaufJahr,3),INDEX(ObjAfaJahr,3)*(13-INDEX(ObjKaufMonat,3))/12,INDEX(ObjAfaJahr,3)))</f>
      </c>
      <c r="Q1058" s="43">
        <f>$F1058-$G1058-$H1058-$I1058-$P1058</f>
      </c>
      <c r="R1058" s="43">
        <f>$Q1058*INDEX(ObjSteuersatz,3)/100</f>
      </c>
      <c r="S1058" s="43">
        <f>$I1058+$J1058+$K1058+$L1058</f>
      </c>
      <c r="T1058" s="43">
        <f>$F1058-$G1058-$H1058-$S1058</f>
      </c>
      <c r="U1058" s="43">
        <f>$T1058-$R1058</f>
      </c>
      <c r="V1058" s="43">
        <f>$O1058-$M1058</f>
      </c>
      <c r="W1058" s="43">
        <f>$J1058+$K1058+$L1058</f>
      </c>
      <c r="X1058" s="43">
        <f>IF($O1058=0,0,$M1058/$O1058*100)</f>
      </c>
    </row>
    <row r="1059">
      <c r="A1059"/>
      <c r="B1059">
        <v>3</v>
      </c>
      <c r="C1059" s="43">
        <f>Jahr+5</f>
      </c>
      <c r="D1059">
        <v>5</v>
      </c>
      <c r="E1059" s="43">
        <f>IF(INDEX(ObjKaufJahr,3)=0,0,IF($C1059&lt;INDEX(ObjKaufJahr,3),0,IF($C1059&gt;INDEX(ObjKaufJahr,3),12,13-INDEX(ObjKaufMonat,3))))/12</f>
      </c>
      <c r="F1059" s="43">
        <f>SUMIFS(MlSumme,MlObj,3,MlJahr,$C1059)*(1-Leerstand/100)</f>
      </c>
      <c r="G1059" s="43">
        <f>INDEX(ObjLaufend,3)*(1+(Inflation)/100)^MAX(0,5)*$E1059</f>
      </c>
      <c r="H1059" s="43">
        <f>INDEX(ObjInstandBasis,3)*(1+(Inflation)/100)^MAX(0,5)*$E1059</f>
      </c>
      <c r="I1059" s="43">
        <f>SUMIFS(TilgZins,TilgObj,3,TilgJahr,$C1059)</f>
      </c>
      <c r="J1059" s="43">
        <f>SUMIFS(TilgTilgung,TilgObj,3,TilgJahr,$C1059)</f>
      </c>
      <c r="K1059" s="43">
        <f>SUMIFS(TilgSonder,TilgObj,3,TilgJahr,$C1059)</f>
      </c>
      <c r="L1059" s="43">
        <f>SUMIFS(TilgErsatz,TilgObj,3,TilgJahr,$C1059)</f>
      </c>
      <c r="M1059" s="43">
        <f>MAX(0,SUMIF(DarlObj,3,DarlBetrag)-SUMIFS(TilgTilgung,TilgObj,3,TilgJahr,"&lt;="&amp;$C1059)-SUMIFS(TilgSonder,TilgObj,3,TilgJahr,"&lt;="&amp;$C1059))</f>
      </c>
      <c r="N1059" s="43">
        <f>SUMIFS(TilgErsatz,TilgObj,3,TilgJahr,"&lt;="&amp;$C1059)+SUMIFS(TilgErtrag,TilgObj,3,TilgJahr,"&lt;="&amp;$C1059)</f>
      </c>
      <c r="O1059" s="43">
        <f>INDEX(ObjWertEff,3)*(1+(Wertsteigerung)/100)^MAX(0,5)</f>
      </c>
      <c r="P1059" s="43">
        <f>IF(OR(INDEX(ObjAfaDauer,3)=0,INDEX(ObjAfaJahr,3)=0,$C1059&lt;INDEX(ObjKaufJahr,3),$C1059&gt;=INDEX(ObjKaufJahr,3)+INDEX(ObjAfaDauer,3)),0,IF($C1059=INDEX(ObjKaufJahr,3),INDEX(ObjAfaJahr,3)*(13-INDEX(ObjKaufMonat,3))/12,INDEX(ObjAfaJahr,3)))</f>
      </c>
      <c r="Q1059" s="43">
        <f>$F1059-$G1059-$H1059-$I1059-$P1059</f>
      </c>
      <c r="R1059" s="43">
        <f>$Q1059*INDEX(ObjSteuersatz,3)/100</f>
      </c>
      <c r="S1059" s="43">
        <f>$I1059+$J1059+$K1059+$L1059</f>
      </c>
      <c r="T1059" s="43">
        <f>$F1059-$G1059-$H1059-$S1059</f>
      </c>
      <c r="U1059" s="43">
        <f>$T1059-$R1059</f>
      </c>
      <c r="V1059" s="43">
        <f>$O1059-$M1059</f>
      </c>
      <c r="W1059" s="43">
        <f>$J1059+$K1059+$L1059</f>
      </c>
      <c r="X1059" s="43">
        <f>IF($O1059=0,0,$M1059/$O1059*100)</f>
      </c>
    </row>
    <row r="1060">
      <c r="A1060"/>
      <c r="B1060">
        <v>3</v>
      </c>
      <c r="C1060" s="43">
        <f>Jahr+6</f>
      </c>
      <c r="D1060">
        <v>6</v>
      </c>
      <c r="E1060" s="43">
        <f>IF(INDEX(ObjKaufJahr,3)=0,0,IF($C1060&lt;INDEX(ObjKaufJahr,3),0,IF($C1060&gt;INDEX(ObjKaufJahr,3),12,13-INDEX(ObjKaufMonat,3))))/12</f>
      </c>
      <c r="F1060" s="43">
        <f>SUMIFS(MlSumme,MlObj,3,MlJahr,$C1060)*(1-Leerstand/100)</f>
      </c>
      <c r="G1060" s="43">
        <f>INDEX(ObjLaufend,3)*(1+(Inflation)/100)^MAX(0,6)*$E1060</f>
      </c>
      <c r="H1060" s="43">
        <f>INDEX(ObjInstandBasis,3)*(1+(Inflation)/100)^MAX(0,6)*$E1060</f>
      </c>
      <c r="I1060" s="43">
        <f>SUMIFS(TilgZins,TilgObj,3,TilgJahr,$C1060)</f>
      </c>
      <c r="J1060" s="43">
        <f>SUMIFS(TilgTilgung,TilgObj,3,TilgJahr,$C1060)</f>
      </c>
      <c r="K1060" s="43">
        <f>SUMIFS(TilgSonder,TilgObj,3,TilgJahr,$C1060)</f>
      </c>
      <c r="L1060" s="43">
        <f>SUMIFS(TilgErsatz,TilgObj,3,TilgJahr,$C1060)</f>
      </c>
      <c r="M1060" s="43">
        <f>MAX(0,SUMIF(DarlObj,3,DarlBetrag)-SUMIFS(TilgTilgung,TilgObj,3,TilgJahr,"&lt;="&amp;$C1060)-SUMIFS(TilgSonder,TilgObj,3,TilgJahr,"&lt;="&amp;$C1060))</f>
      </c>
      <c r="N1060" s="43">
        <f>SUMIFS(TilgErsatz,TilgObj,3,TilgJahr,"&lt;="&amp;$C1060)+SUMIFS(TilgErtrag,TilgObj,3,TilgJahr,"&lt;="&amp;$C1060)</f>
      </c>
      <c r="O1060" s="43">
        <f>INDEX(ObjWertEff,3)*(1+(Wertsteigerung)/100)^MAX(0,6)</f>
      </c>
      <c r="P1060" s="43">
        <f>IF(OR(INDEX(ObjAfaDauer,3)=0,INDEX(ObjAfaJahr,3)=0,$C1060&lt;INDEX(ObjKaufJahr,3),$C1060&gt;=INDEX(ObjKaufJahr,3)+INDEX(ObjAfaDauer,3)),0,IF($C1060=INDEX(ObjKaufJahr,3),INDEX(ObjAfaJahr,3)*(13-INDEX(ObjKaufMonat,3))/12,INDEX(ObjAfaJahr,3)))</f>
      </c>
      <c r="Q1060" s="43">
        <f>$F1060-$G1060-$H1060-$I1060-$P1060</f>
      </c>
      <c r="R1060" s="43">
        <f>$Q1060*INDEX(ObjSteuersatz,3)/100</f>
      </c>
      <c r="S1060" s="43">
        <f>$I1060+$J1060+$K1060+$L1060</f>
      </c>
      <c r="T1060" s="43">
        <f>$F1060-$G1060-$H1060-$S1060</f>
      </c>
      <c r="U1060" s="43">
        <f>$T1060-$R1060</f>
      </c>
      <c r="V1060" s="43">
        <f>$O1060-$M1060</f>
      </c>
      <c r="W1060" s="43">
        <f>$J1060+$K1060+$L1060</f>
      </c>
      <c r="X1060" s="43">
        <f>IF($O1060=0,0,$M1060/$O1060*100)</f>
      </c>
    </row>
    <row r="1061">
      <c r="A1061"/>
      <c r="B1061">
        <v>3</v>
      </c>
      <c r="C1061" s="43">
        <f>Jahr+7</f>
      </c>
      <c r="D1061">
        <v>7</v>
      </c>
      <c r="E1061" s="43">
        <f>IF(INDEX(ObjKaufJahr,3)=0,0,IF($C1061&lt;INDEX(ObjKaufJahr,3),0,IF($C1061&gt;INDEX(ObjKaufJahr,3),12,13-INDEX(ObjKaufMonat,3))))/12</f>
      </c>
      <c r="F1061" s="43">
        <f>SUMIFS(MlSumme,MlObj,3,MlJahr,$C1061)*(1-Leerstand/100)</f>
      </c>
      <c r="G1061" s="43">
        <f>INDEX(ObjLaufend,3)*(1+(Inflation)/100)^MAX(0,7)*$E1061</f>
      </c>
      <c r="H1061" s="43">
        <f>INDEX(ObjInstandBasis,3)*(1+(Inflation)/100)^MAX(0,7)*$E1061</f>
      </c>
      <c r="I1061" s="43">
        <f>SUMIFS(TilgZins,TilgObj,3,TilgJahr,$C1061)</f>
      </c>
      <c r="J1061" s="43">
        <f>SUMIFS(TilgTilgung,TilgObj,3,TilgJahr,$C1061)</f>
      </c>
      <c r="K1061" s="43">
        <f>SUMIFS(TilgSonder,TilgObj,3,TilgJahr,$C1061)</f>
      </c>
      <c r="L1061" s="43">
        <f>SUMIFS(TilgErsatz,TilgObj,3,TilgJahr,$C1061)</f>
      </c>
      <c r="M1061" s="43">
        <f>MAX(0,SUMIF(DarlObj,3,DarlBetrag)-SUMIFS(TilgTilgung,TilgObj,3,TilgJahr,"&lt;="&amp;$C1061)-SUMIFS(TilgSonder,TilgObj,3,TilgJahr,"&lt;="&amp;$C1061))</f>
      </c>
      <c r="N1061" s="43">
        <f>SUMIFS(TilgErsatz,TilgObj,3,TilgJahr,"&lt;="&amp;$C1061)+SUMIFS(TilgErtrag,TilgObj,3,TilgJahr,"&lt;="&amp;$C1061)</f>
      </c>
      <c r="O1061" s="43">
        <f>INDEX(ObjWertEff,3)*(1+(Wertsteigerung)/100)^MAX(0,7)</f>
      </c>
      <c r="P1061" s="43">
        <f>IF(OR(INDEX(ObjAfaDauer,3)=0,INDEX(ObjAfaJahr,3)=0,$C1061&lt;INDEX(ObjKaufJahr,3),$C1061&gt;=INDEX(ObjKaufJahr,3)+INDEX(ObjAfaDauer,3)),0,IF($C1061=INDEX(ObjKaufJahr,3),INDEX(ObjAfaJahr,3)*(13-INDEX(ObjKaufMonat,3))/12,INDEX(ObjAfaJahr,3)))</f>
      </c>
      <c r="Q1061" s="43">
        <f>$F1061-$G1061-$H1061-$I1061-$P1061</f>
      </c>
      <c r="R1061" s="43">
        <f>$Q1061*INDEX(ObjSteuersatz,3)/100</f>
      </c>
      <c r="S1061" s="43">
        <f>$I1061+$J1061+$K1061+$L1061</f>
      </c>
      <c r="T1061" s="43">
        <f>$F1061-$G1061-$H1061-$S1061</f>
      </c>
      <c r="U1061" s="43">
        <f>$T1061-$R1061</f>
      </c>
      <c r="V1061" s="43">
        <f>$O1061-$M1061</f>
      </c>
      <c r="W1061" s="43">
        <f>$J1061+$K1061+$L1061</f>
      </c>
      <c r="X1061" s="43">
        <f>IF($O1061=0,0,$M1061/$O1061*100)</f>
      </c>
    </row>
    <row r="1062">
      <c r="A1062"/>
      <c r="B1062">
        <v>3</v>
      </c>
      <c r="C1062" s="43">
        <f>Jahr+8</f>
      </c>
      <c r="D1062">
        <v>8</v>
      </c>
      <c r="E1062" s="43">
        <f>IF(INDEX(ObjKaufJahr,3)=0,0,IF($C1062&lt;INDEX(ObjKaufJahr,3),0,IF($C1062&gt;INDEX(ObjKaufJahr,3),12,13-INDEX(ObjKaufMonat,3))))/12</f>
      </c>
      <c r="F1062" s="43">
        <f>SUMIFS(MlSumme,MlObj,3,MlJahr,$C1062)*(1-Leerstand/100)</f>
      </c>
      <c r="G1062" s="43">
        <f>INDEX(ObjLaufend,3)*(1+(Inflation)/100)^MAX(0,8)*$E1062</f>
      </c>
      <c r="H1062" s="43">
        <f>INDEX(ObjInstandBasis,3)*(1+(Inflation)/100)^MAX(0,8)*$E1062</f>
      </c>
      <c r="I1062" s="43">
        <f>SUMIFS(TilgZins,TilgObj,3,TilgJahr,$C1062)</f>
      </c>
      <c r="J1062" s="43">
        <f>SUMIFS(TilgTilgung,TilgObj,3,TilgJahr,$C1062)</f>
      </c>
      <c r="K1062" s="43">
        <f>SUMIFS(TilgSonder,TilgObj,3,TilgJahr,$C1062)</f>
      </c>
      <c r="L1062" s="43">
        <f>SUMIFS(TilgErsatz,TilgObj,3,TilgJahr,$C1062)</f>
      </c>
      <c r="M1062" s="43">
        <f>MAX(0,SUMIF(DarlObj,3,DarlBetrag)-SUMIFS(TilgTilgung,TilgObj,3,TilgJahr,"&lt;="&amp;$C1062)-SUMIFS(TilgSonder,TilgObj,3,TilgJahr,"&lt;="&amp;$C1062))</f>
      </c>
      <c r="N1062" s="43">
        <f>SUMIFS(TilgErsatz,TilgObj,3,TilgJahr,"&lt;="&amp;$C1062)+SUMIFS(TilgErtrag,TilgObj,3,TilgJahr,"&lt;="&amp;$C1062)</f>
      </c>
      <c r="O1062" s="43">
        <f>INDEX(ObjWertEff,3)*(1+(Wertsteigerung)/100)^MAX(0,8)</f>
      </c>
      <c r="P1062" s="43">
        <f>IF(OR(INDEX(ObjAfaDauer,3)=0,INDEX(ObjAfaJahr,3)=0,$C1062&lt;INDEX(ObjKaufJahr,3),$C1062&gt;=INDEX(ObjKaufJahr,3)+INDEX(ObjAfaDauer,3)),0,IF($C1062=INDEX(ObjKaufJahr,3),INDEX(ObjAfaJahr,3)*(13-INDEX(ObjKaufMonat,3))/12,INDEX(ObjAfaJahr,3)))</f>
      </c>
      <c r="Q1062" s="43">
        <f>$F1062-$G1062-$H1062-$I1062-$P1062</f>
      </c>
      <c r="R1062" s="43">
        <f>$Q1062*INDEX(ObjSteuersatz,3)/100</f>
      </c>
      <c r="S1062" s="43">
        <f>$I1062+$J1062+$K1062+$L1062</f>
      </c>
      <c r="T1062" s="43">
        <f>$F1062-$G1062-$H1062-$S1062</f>
      </c>
      <c r="U1062" s="43">
        <f>$T1062-$R1062</f>
      </c>
      <c r="V1062" s="43">
        <f>$O1062-$M1062</f>
      </c>
      <c r="W1062" s="43">
        <f>$J1062+$K1062+$L1062</f>
      </c>
      <c r="X1062" s="43">
        <f>IF($O1062=0,0,$M1062/$O1062*100)</f>
      </c>
    </row>
    <row r="1063">
      <c r="A1063"/>
      <c r="B1063">
        <v>3</v>
      </c>
      <c r="C1063" s="43">
        <f>Jahr+9</f>
      </c>
      <c r="D1063">
        <v>9</v>
      </c>
      <c r="E1063" s="43">
        <f>IF(INDEX(ObjKaufJahr,3)=0,0,IF($C1063&lt;INDEX(ObjKaufJahr,3),0,IF($C1063&gt;INDEX(ObjKaufJahr,3),12,13-INDEX(ObjKaufMonat,3))))/12</f>
      </c>
      <c r="F1063" s="43">
        <f>SUMIFS(MlSumme,MlObj,3,MlJahr,$C1063)*(1-Leerstand/100)</f>
      </c>
      <c r="G1063" s="43">
        <f>INDEX(ObjLaufend,3)*(1+(Inflation)/100)^MAX(0,9)*$E1063</f>
      </c>
      <c r="H1063" s="43">
        <f>INDEX(ObjInstandBasis,3)*(1+(Inflation)/100)^MAX(0,9)*$E1063</f>
      </c>
      <c r="I1063" s="43">
        <f>SUMIFS(TilgZins,TilgObj,3,TilgJahr,$C1063)</f>
      </c>
      <c r="J1063" s="43">
        <f>SUMIFS(TilgTilgung,TilgObj,3,TilgJahr,$C1063)</f>
      </c>
      <c r="K1063" s="43">
        <f>SUMIFS(TilgSonder,TilgObj,3,TilgJahr,$C1063)</f>
      </c>
      <c r="L1063" s="43">
        <f>SUMIFS(TilgErsatz,TilgObj,3,TilgJahr,$C1063)</f>
      </c>
      <c r="M1063" s="43">
        <f>MAX(0,SUMIF(DarlObj,3,DarlBetrag)-SUMIFS(TilgTilgung,TilgObj,3,TilgJahr,"&lt;="&amp;$C1063)-SUMIFS(TilgSonder,TilgObj,3,TilgJahr,"&lt;="&amp;$C1063))</f>
      </c>
      <c r="N1063" s="43">
        <f>SUMIFS(TilgErsatz,TilgObj,3,TilgJahr,"&lt;="&amp;$C1063)+SUMIFS(TilgErtrag,TilgObj,3,TilgJahr,"&lt;="&amp;$C1063)</f>
      </c>
      <c r="O1063" s="43">
        <f>INDEX(ObjWertEff,3)*(1+(Wertsteigerung)/100)^MAX(0,9)</f>
      </c>
      <c r="P1063" s="43">
        <f>IF(OR(INDEX(ObjAfaDauer,3)=0,INDEX(ObjAfaJahr,3)=0,$C1063&lt;INDEX(ObjKaufJahr,3),$C1063&gt;=INDEX(ObjKaufJahr,3)+INDEX(ObjAfaDauer,3)),0,IF($C1063=INDEX(ObjKaufJahr,3),INDEX(ObjAfaJahr,3)*(13-INDEX(ObjKaufMonat,3))/12,INDEX(ObjAfaJahr,3)))</f>
      </c>
      <c r="Q1063" s="43">
        <f>$F1063-$G1063-$H1063-$I1063-$P1063</f>
      </c>
      <c r="R1063" s="43">
        <f>$Q1063*INDEX(ObjSteuersatz,3)/100</f>
      </c>
      <c r="S1063" s="43">
        <f>$I1063+$J1063+$K1063+$L1063</f>
      </c>
      <c r="T1063" s="43">
        <f>$F1063-$G1063-$H1063-$S1063</f>
      </c>
      <c r="U1063" s="43">
        <f>$T1063-$R1063</f>
      </c>
      <c r="V1063" s="43">
        <f>$O1063-$M1063</f>
      </c>
      <c r="W1063" s="43">
        <f>$J1063+$K1063+$L1063</f>
      </c>
      <c r="X1063" s="43">
        <f>IF($O1063=0,0,$M1063/$O1063*100)</f>
      </c>
    </row>
    <row r="1064">
      <c r="A1064"/>
      <c r="B1064">
        <v>3</v>
      </c>
      <c r="C1064" s="43">
        <f>Jahr+10</f>
      </c>
      <c r="D1064">
        <v>10</v>
      </c>
      <c r="E1064" s="43">
        <f>IF(INDEX(ObjKaufJahr,3)=0,0,IF($C1064&lt;INDEX(ObjKaufJahr,3),0,IF($C1064&gt;INDEX(ObjKaufJahr,3),12,13-INDEX(ObjKaufMonat,3))))/12</f>
      </c>
      <c r="F1064" s="43">
        <f>SUMIFS(MlSumme,MlObj,3,MlJahr,$C1064)*(1-Leerstand/100)</f>
      </c>
      <c r="G1064" s="43">
        <f>INDEX(ObjLaufend,3)*(1+(Inflation)/100)^MAX(0,10)*$E1064</f>
      </c>
      <c r="H1064" s="43">
        <f>INDEX(ObjInstandBasis,3)*(1+(Inflation)/100)^MAX(0,10)*$E1064</f>
      </c>
      <c r="I1064" s="43">
        <f>SUMIFS(TilgZins,TilgObj,3,TilgJahr,$C1064)</f>
      </c>
      <c r="J1064" s="43">
        <f>SUMIFS(TilgTilgung,TilgObj,3,TilgJahr,$C1064)</f>
      </c>
      <c r="K1064" s="43">
        <f>SUMIFS(TilgSonder,TilgObj,3,TilgJahr,$C1064)</f>
      </c>
      <c r="L1064" s="43">
        <f>SUMIFS(TilgErsatz,TilgObj,3,TilgJahr,$C1064)</f>
      </c>
      <c r="M1064" s="43">
        <f>MAX(0,SUMIF(DarlObj,3,DarlBetrag)-SUMIFS(TilgTilgung,TilgObj,3,TilgJahr,"&lt;="&amp;$C1064)-SUMIFS(TilgSonder,TilgObj,3,TilgJahr,"&lt;="&amp;$C1064))</f>
      </c>
      <c r="N1064" s="43">
        <f>SUMIFS(TilgErsatz,TilgObj,3,TilgJahr,"&lt;="&amp;$C1064)+SUMIFS(TilgErtrag,TilgObj,3,TilgJahr,"&lt;="&amp;$C1064)</f>
      </c>
      <c r="O1064" s="43">
        <f>INDEX(ObjWertEff,3)*(1+(Wertsteigerung)/100)^MAX(0,10)</f>
      </c>
      <c r="P1064" s="43">
        <f>IF(OR(INDEX(ObjAfaDauer,3)=0,INDEX(ObjAfaJahr,3)=0,$C1064&lt;INDEX(ObjKaufJahr,3),$C1064&gt;=INDEX(ObjKaufJahr,3)+INDEX(ObjAfaDauer,3)),0,IF($C1064=INDEX(ObjKaufJahr,3),INDEX(ObjAfaJahr,3)*(13-INDEX(ObjKaufMonat,3))/12,INDEX(ObjAfaJahr,3)))</f>
      </c>
      <c r="Q1064" s="43">
        <f>$F1064-$G1064-$H1064-$I1064-$P1064</f>
      </c>
      <c r="R1064" s="43">
        <f>$Q1064*INDEX(ObjSteuersatz,3)/100</f>
      </c>
      <c r="S1064" s="43">
        <f>$I1064+$J1064+$K1064+$L1064</f>
      </c>
      <c r="T1064" s="43">
        <f>$F1064-$G1064-$H1064-$S1064</f>
      </c>
      <c r="U1064" s="43">
        <f>$T1064-$R1064</f>
      </c>
      <c r="V1064" s="43">
        <f>$O1064-$M1064</f>
      </c>
      <c r="W1064" s="43">
        <f>$J1064+$K1064+$L1064</f>
      </c>
      <c r="X1064" s="43">
        <f>IF($O1064=0,0,$M1064/$O1064*100)</f>
      </c>
    </row>
    <row r="1065">
      <c r="A1065"/>
      <c r="B1065">
        <v>3</v>
      </c>
      <c r="C1065" s="43">
        <f>Jahr+11</f>
      </c>
      <c r="D1065">
        <v>11</v>
      </c>
      <c r="E1065" s="43">
        <f>IF(INDEX(ObjKaufJahr,3)=0,0,IF($C1065&lt;INDEX(ObjKaufJahr,3),0,IF($C1065&gt;INDEX(ObjKaufJahr,3),12,13-INDEX(ObjKaufMonat,3))))/12</f>
      </c>
      <c r="F1065" s="43">
        <f>SUMIFS(MlSumme,MlObj,3,MlJahr,$C1065)*(1-Leerstand/100)</f>
      </c>
      <c r="G1065" s="43">
        <f>INDEX(ObjLaufend,3)*(1+(Inflation)/100)^MAX(0,11)*$E1065</f>
      </c>
      <c r="H1065" s="43">
        <f>INDEX(ObjInstandBasis,3)*(1+(Inflation)/100)^MAX(0,11)*$E1065</f>
      </c>
      <c r="I1065" s="43">
        <f>SUMIFS(TilgZins,TilgObj,3,TilgJahr,$C1065)</f>
      </c>
      <c r="J1065" s="43">
        <f>SUMIFS(TilgTilgung,TilgObj,3,TilgJahr,$C1065)</f>
      </c>
      <c r="K1065" s="43">
        <f>SUMIFS(TilgSonder,TilgObj,3,TilgJahr,$C1065)</f>
      </c>
      <c r="L1065" s="43">
        <f>SUMIFS(TilgErsatz,TilgObj,3,TilgJahr,$C1065)</f>
      </c>
      <c r="M1065" s="43">
        <f>MAX(0,SUMIF(DarlObj,3,DarlBetrag)-SUMIFS(TilgTilgung,TilgObj,3,TilgJahr,"&lt;="&amp;$C1065)-SUMIFS(TilgSonder,TilgObj,3,TilgJahr,"&lt;="&amp;$C1065))</f>
      </c>
      <c r="N1065" s="43">
        <f>SUMIFS(TilgErsatz,TilgObj,3,TilgJahr,"&lt;="&amp;$C1065)+SUMIFS(TilgErtrag,TilgObj,3,TilgJahr,"&lt;="&amp;$C1065)</f>
      </c>
      <c r="O1065" s="43">
        <f>INDEX(ObjWertEff,3)*(1+(Wertsteigerung)/100)^MAX(0,11)</f>
      </c>
      <c r="P1065" s="43">
        <f>IF(OR(INDEX(ObjAfaDauer,3)=0,INDEX(ObjAfaJahr,3)=0,$C1065&lt;INDEX(ObjKaufJahr,3),$C1065&gt;=INDEX(ObjKaufJahr,3)+INDEX(ObjAfaDauer,3)),0,IF($C1065=INDEX(ObjKaufJahr,3),INDEX(ObjAfaJahr,3)*(13-INDEX(ObjKaufMonat,3))/12,INDEX(ObjAfaJahr,3)))</f>
      </c>
      <c r="Q1065" s="43">
        <f>$F1065-$G1065-$H1065-$I1065-$P1065</f>
      </c>
      <c r="R1065" s="43">
        <f>$Q1065*INDEX(ObjSteuersatz,3)/100</f>
      </c>
      <c r="S1065" s="43">
        <f>$I1065+$J1065+$K1065+$L1065</f>
      </c>
      <c r="T1065" s="43">
        <f>$F1065-$G1065-$H1065-$S1065</f>
      </c>
      <c r="U1065" s="43">
        <f>$T1065-$R1065</f>
      </c>
      <c r="V1065" s="43">
        <f>$O1065-$M1065</f>
      </c>
      <c r="W1065" s="43">
        <f>$J1065+$K1065+$L1065</f>
      </c>
      <c r="X1065" s="43">
        <f>IF($O1065=0,0,$M1065/$O1065*100)</f>
      </c>
    </row>
    <row r="1066">
      <c r="A1066"/>
      <c r="B1066">
        <v>3</v>
      </c>
      <c r="C1066" s="43">
        <f>Jahr+12</f>
      </c>
      <c r="D1066">
        <v>12</v>
      </c>
      <c r="E1066" s="43">
        <f>IF(INDEX(ObjKaufJahr,3)=0,0,IF($C1066&lt;INDEX(ObjKaufJahr,3),0,IF($C1066&gt;INDEX(ObjKaufJahr,3),12,13-INDEX(ObjKaufMonat,3))))/12</f>
      </c>
      <c r="F1066" s="43">
        <f>SUMIFS(MlSumme,MlObj,3,MlJahr,$C1066)*(1-Leerstand/100)</f>
      </c>
      <c r="G1066" s="43">
        <f>INDEX(ObjLaufend,3)*(1+(Inflation)/100)^MAX(0,12)*$E1066</f>
      </c>
      <c r="H1066" s="43">
        <f>INDEX(ObjInstandBasis,3)*(1+(Inflation)/100)^MAX(0,12)*$E1066</f>
      </c>
      <c r="I1066" s="43">
        <f>SUMIFS(TilgZins,TilgObj,3,TilgJahr,$C1066)</f>
      </c>
      <c r="J1066" s="43">
        <f>SUMIFS(TilgTilgung,TilgObj,3,TilgJahr,$C1066)</f>
      </c>
      <c r="K1066" s="43">
        <f>SUMIFS(TilgSonder,TilgObj,3,TilgJahr,$C1066)</f>
      </c>
      <c r="L1066" s="43">
        <f>SUMIFS(TilgErsatz,TilgObj,3,TilgJahr,$C1066)</f>
      </c>
      <c r="M1066" s="43">
        <f>MAX(0,SUMIF(DarlObj,3,DarlBetrag)-SUMIFS(TilgTilgung,TilgObj,3,TilgJahr,"&lt;="&amp;$C1066)-SUMIFS(TilgSonder,TilgObj,3,TilgJahr,"&lt;="&amp;$C1066))</f>
      </c>
      <c r="N1066" s="43">
        <f>SUMIFS(TilgErsatz,TilgObj,3,TilgJahr,"&lt;="&amp;$C1066)+SUMIFS(TilgErtrag,TilgObj,3,TilgJahr,"&lt;="&amp;$C1066)</f>
      </c>
      <c r="O1066" s="43">
        <f>INDEX(ObjWertEff,3)*(1+(Wertsteigerung)/100)^MAX(0,12)</f>
      </c>
      <c r="P1066" s="43">
        <f>IF(OR(INDEX(ObjAfaDauer,3)=0,INDEX(ObjAfaJahr,3)=0,$C1066&lt;INDEX(ObjKaufJahr,3),$C1066&gt;=INDEX(ObjKaufJahr,3)+INDEX(ObjAfaDauer,3)),0,IF($C1066=INDEX(ObjKaufJahr,3),INDEX(ObjAfaJahr,3)*(13-INDEX(ObjKaufMonat,3))/12,INDEX(ObjAfaJahr,3)))</f>
      </c>
      <c r="Q1066" s="43">
        <f>$F1066-$G1066-$H1066-$I1066-$P1066</f>
      </c>
      <c r="R1066" s="43">
        <f>$Q1066*INDEX(ObjSteuersatz,3)/100</f>
      </c>
      <c r="S1066" s="43">
        <f>$I1066+$J1066+$K1066+$L1066</f>
      </c>
      <c r="T1066" s="43">
        <f>$F1066-$G1066-$H1066-$S1066</f>
      </c>
      <c r="U1066" s="43">
        <f>$T1066-$R1066</f>
      </c>
      <c r="V1066" s="43">
        <f>$O1066-$M1066</f>
      </c>
      <c r="W1066" s="43">
        <f>$J1066+$K1066+$L1066</f>
      </c>
      <c r="X1066" s="43">
        <f>IF($O1066=0,0,$M1066/$O1066*100)</f>
      </c>
    </row>
    <row r="1067">
      <c r="A1067"/>
      <c r="B1067">
        <v>3</v>
      </c>
      <c r="C1067" s="43">
        <f>Jahr+13</f>
      </c>
      <c r="D1067">
        <v>13</v>
      </c>
      <c r="E1067" s="43">
        <f>IF(INDEX(ObjKaufJahr,3)=0,0,IF($C1067&lt;INDEX(ObjKaufJahr,3),0,IF($C1067&gt;INDEX(ObjKaufJahr,3),12,13-INDEX(ObjKaufMonat,3))))/12</f>
      </c>
      <c r="F1067" s="43">
        <f>SUMIFS(MlSumme,MlObj,3,MlJahr,$C1067)*(1-Leerstand/100)</f>
      </c>
      <c r="G1067" s="43">
        <f>INDEX(ObjLaufend,3)*(1+(Inflation)/100)^MAX(0,13)*$E1067</f>
      </c>
      <c r="H1067" s="43">
        <f>INDEX(ObjInstandBasis,3)*(1+(Inflation)/100)^MAX(0,13)*$E1067</f>
      </c>
      <c r="I1067" s="43">
        <f>SUMIFS(TilgZins,TilgObj,3,TilgJahr,$C1067)</f>
      </c>
      <c r="J1067" s="43">
        <f>SUMIFS(TilgTilgung,TilgObj,3,TilgJahr,$C1067)</f>
      </c>
      <c r="K1067" s="43">
        <f>SUMIFS(TilgSonder,TilgObj,3,TilgJahr,$C1067)</f>
      </c>
      <c r="L1067" s="43">
        <f>SUMIFS(TilgErsatz,TilgObj,3,TilgJahr,$C1067)</f>
      </c>
      <c r="M1067" s="43">
        <f>MAX(0,SUMIF(DarlObj,3,DarlBetrag)-SUMIFS(TilgTilgung,TilgObj,3,TilgJahr,"&lt;="&amp;$C1067)-SUMIFS(TilgSonder,TilgObj,3,TilgJahr,"&lt;="&amp;$C1067))</f>
      </c>
      <c r="N1067" s="43">
        <f>SUMIFS(TilgErsatz,TilgObj,3,TilgJahr,"&lt;="&amp;$C1067)+SUMIFS(TilgErtrag,TilgObj,3,TilgJahr,"&lt;="&amp;$C1067)</f>
      </c>
      <c r="O1067" s="43">
        <f>INDEX(ObjWertEff,3)*(1+(Wertsteigerung)/100)^MAX(0,13)</f>
      </c>
      <c r="P1067" s="43">
        <f>IF(OR(INDEX(ObjAfaDauer,3)=0,INDEX(ObjAfaJahr,3)=0,$C1067&lt;INDEX(ObjKaufJahr,3),$C1067&gt;=INDEX(ObjKaufJahr,3)+INDEX(ObjAfaDauer,3)),0,IF($C1067=INDEX(ObjKaufJahr,3),INDEX(ObjAfaJahr,3)*(13-INDEX(ObjKaufMonat,3))/12,INDEX(ObjAfaJahr,3)))</f>
      </c>
      <c r="Q1067" s="43">
        <f>$F1067-$G1067-$H1067-$I1067-$P1067</f>
      </c>
      <c r="R1067" s="43">
        <f>$Q1067*INDEX(ObjSteuersatz,3)/100</f>
      </c>
      <c r="S1067" s="43">
        <f>$I1067+$J1067+$K1067+$L1067</f>
      </c>
      <c r="T1067" s="43">
        <f>$F1067-$G1067-$H1067-$S1067</f>
      </c>
      <c r="U1067" s="43">
        <f>$T1067-$R1067</f>
      </c>
      <c r="V1067" s="43">
        <f>$O1067-$M1067</f>
      </c>
      <c r="W1067" s="43">
        <f>$J1067+$K1067+$L1067</f>
      </c>
      <c r="X1067" s="43">
        <f>IF($O1067=0,0,$M1067/$O1067*100)</f>
      </c>
    </row>
    <row r="1068">
      <c r="A1068"/>
      <c r="B1068">
        <v>3</v>
      </c>
      <c r="C1068" s="43">
        <f>Jahr+14</f>
      </c>
      <c r="D1068">
        <v>14</v>
      </c>
      <c r="E1068" s="43">
        <f>IF(INDEX(ObjKaufJahr,3)=0,0,IF($C1068&lt;INDEX(ObjKaufJahr,3),0,IF($C1068&gt;INDEX(ObjKaufJahr,3),12,13-INDEX(ObjKaufMonat,3))))/12</f>
      </c>
      <c r="F1068" s="43">
        <f>SUMIFS(MlSumme,MlObj,3,MlJahr,$C1068)*(1-Leerstand/100)</f>
      </c>
      <c r="G1068" s="43">
        <f>INDEX(ObjLaufend,3)*(1+(Inflation)/100)^MAX(0,14)*$E1068</f>
      </c>
      <c r="H1068" s="43">
        <f>INDEX(ObjInstandBasis,3)*(1+(Inflation)/100)^MAX(0,14)*$E1068</f>
      </c>
      <c r="I1068" s="43">
        <f>SUMIFS(TilgZins,TilgObj,3,TilgJahr,$C1068)</f>
      </c>
      <c r="J1068" s="43">
        <f>SUMIFS(TilgTilgung,TilgObj,3,TilgJahr,$C1068)</f>
      </c>
      <c r="K1068" s="43">
        <f>SUMIFS(TilgSonder,TilgObj,3,TilgJahr,$C1068)</f>
      </c>
      <c r="L1068" s="43">
        <f>SUMIFS(TilgErsatz,TilgObj,3,TilgJahr,$C1068)</f>
      </c>
      <c r="M1068" s="43">
        <f>MAX(0,SUMIF(DarlObj,3,DarlBetrag)-SUMIFS(TilgTilgung,TilgObj,3,TilgJahr,"&lt;="&amp;$C1068)-SUMIFS(TilgSonder,TilgObj,3,TilgJahr,"&lt;="&amp;$C1068))</f>
      </c>
      <c r="N1068" s="43">
        <f>SUMIFS(TilgErsatz,TilgObj,3,TilgJahr,"&lt;="&amp;$C1068)+SUMIFS(TilgErtrag,TilgObj,3,TilgJahr,"&lt;="&amp;$C1068)</f>
      </c>
      <c r="O1068" s="43">
        <f>INDEX(ObjWertEff,3)*(1+(Wertsteigerung)/100)^MAX(0,14)</f>
      </c>
      <c r="P1068" s="43">
        <f>IF(OR(INDEX(ObjAfaDauer,3)=0,INDEX(ObjAfaJahr,3)=0,$C1068&lt;INDEX(ObjKaufJahr,3),$C1068&gt;=INDEX(ObjKaufJahr,3)+INDEX(ObjAfaDauer,3)),0,IF($C1068=INDEX(ObjKaufJahr,3),INDEX(ObjAfaJahr,3)*(13-INDEX(ObjKaufMonat,3))/12,INDEX(ObjAfaJahr,3)))</f>
      </c>
      <c r="Q1068" s="43">
        <f>$F1068-$G1068-$H1068-$I1068-$P1068</f>
      </c>
      <c r="R1068" s="43">
        <f>$Q1068*INDEX(ObjSteuersatz,3)/100</f>
      </c>
      <c r="S1068" s="43">
        <f>$I1068+$J1068+$K1068+$L1068</f>
      </c>
      <c r="T1068" s="43">
        <f>$F1068-$G1068-$H1068-$S1068</f>
      </c>
      <c r="U1068" s="43">
        <f>$T1068-$R1068</f>
      </c>
      <c r="V1068" s="43">
        <f>$O1068-$M1068</f>
      </c>
      <c r="W1068" s="43">
        <f>$J1068+$K1068+$L1068</f>
      </c>
      <c r="X1068" s="43">
        <f>IF($O1068=0,0,$M1068/$O1068*100)</f>
      </c>
    </row>
    <row r="1069">
      <c r="A1069"/>
      <c r="B1069">
        <v>3</v>
      </c>
      <c r="C1069" s="43">
        <f>Jahr+15</f>
      </c>
      <c r="D1069">
        <v>15</v>
      </c>
      <c r="E1069" s="43">
        <f>IF(INDEX(ObjKaufJahr,3)=0,0,IF($C1069&lt;INDEX(ObjKaufJahr,3),0,IF($C1069&gt;INDEX(ObjKaufJahr,3),12,13-INDEX(ObjKaufMonat,3))))/12</f>
      </c>
      <c r="F1069" s="43">
        <f>SUMIFS(MlSumme,MlObj,3,MlJahr,$C1069)*(1-Leerstand/100)</f>
      </c>
      <c r="G1069" s="43">
        <f>INDEX(ObjLaufend,3)*(1+(Inflation)/100)^MAX(0,15)*$E1069</f>
      </c>
      <c r="H1069" s="43">
        <f>INDEX(ObjInstandBasis,3)*(1+(Inflation)/100)^MAX(0,15)*$E1069</f>
      </c>
      <c r="I1069" s="43">
        <f>SUMIFS(TilgZins,TilgObj,3,TilgJahr,$C1069)</f>
      </c>
      <c r="J1069" s="43">
        <f>SUMIFS(TilgTilgung,TilgObj,3,TilgJahr,$C1069)</f>
      </c>
      <c r="K1069" s="43">
        <f>SUMIFS(TilgSonder,TilgObj,3,TilgJahr,$C1069)</f>
      </c>
      <c r="L1069" s="43">
        <f>SUMIFS(TilgErsatz,TilgObj,3,TilgJahr,$C1069)</f>
      </c>
      <c r="M1069" s="43">
        <f>MAX(0,SUMIF(DarlObj,3,DarlBetrag)-SUMIFS(TilgTilgung,TilgObj,3,TilgJahr,"&lt;="&amp;$C1069)-SUMIFS(TilgSonder,TilgObj,3,TilgJahr,"&lt;="&amp;$C1069))</f>
      </c>
      <c r="N1069" s="43">
        <f>SUMIFS(TilgErsatz,TilgObj,3,TilgJahr,"&lt;="&amp;$C1069)+SUMIFS(TilgErtrag,TilgObj,3,TilgJahr,"&lt;="&amp;$C1069)</f>
      </c>
      <c r="O1069" s="43">
        <f>INDEX(ObjWertEff,3)*(1+(Wertsteigerung)/100)^MAX(0,15)</f>
      </c>
      <c r="P1069" s="43">
        <f>IF(OR(INDEX(ObjAfaDauer,3)=0,INDEX(ObjAfaJahr,3)=0,$C1069&lt;INDEX(ObjKaufJahr,3),$C1069&gt;=INDEX(ObjKaufJahr,3)+INDEX(ObjAfaDauer,3)),0,IF($C1069=INDEX(ObjKaufJahr,3),INDEX(ObjAfaJahr,3)*(13-INDEX(ObjKaufMonat,3))/12,INDEX(ObjAfaJahr,3)))</f>
      </c>
      <c r="Q1069" s="43">
        <f>$F1069-$G1069-$H1069-$I1069-$P1069</f>
      </c>
      <c r="R1069" s="43">
        <f>$Q1069*INDEX(ObjSteuersatz,3)/100</f>
      </c>
      <c r="S1069" s="43">
        <f>$I1069+$J1069+$K1069+$L1069</f>
      </c>
      <c r="T1069" s="43">
        <f>$F1069-$G1069-$H1069-$S1069</f>
      </c>
      <c r="U1069" s="43">
        <f>$T1069-$R1069</f>
      </c>
      <c r="V1069" s="43">
        <f>$O1069-$M1069</f>
      </c>
      <c r="W1069" s="43">
        <f>$J1069+$K1069+$L1069</f>
      </c>
      <c r="X1069" s="43">
        <f>IF($O1069=0,0,$M1069/$O1069*100)</f>
      </c>
    </row>
    <row r="1070">
      <c r="A1070"/>
      <c r="B1070">
        <v>3</v>
      </c>
      <c r="C1070" s="43">
        <f>Jahr+16</f>
      </c>
      <c r="D1070">
        <v>16</v>
      </c>
      <c r="E1070" s="43">
        <f>IF(INDEX(ObjKaufJahr,3)=0,0,IF($C1070&lt;INDEX(ObjKaufJahr,3),0,IF($C1070&gt;INDEX(ObjKaufJahr,3),12,13-INDEX(ObjKaufMonat,3))))/12</f>
      </c>
      <c r="F1070" s="43">
        <f>SUMIFS(MlSumme,MlObj,3,MlJahr,$C1070)*(1-Leerstand/100)</f>
      </c>
      <c r="G1070" s="43">
        <f>INDEX(ObjLaufend,3)*(1+(Inflation)/100)^MAX(0,16)*$E1070</f>
      </c>
      <c r="H1070" s="43">
        <f>INDEX(ObjInstandBasis,3)*(1+(Inflation)/100)^MAX(0,16)*$E1070</f>
      </c>
      <c r="I1070" s="43">
        <f>SUMIFS(TilgZins,TilgObj,3,TilgJahr,$C1070)</f>
      </c>
      <c r="J1070" s="43">
        <f>SUMIFS(TilgTilgung,TilgObj,3,TilgJahr,$C1070)</f>
      </c>
      <c r="K1070" s="43">
        <f>SUMIFS(TilgSonder,TilgObj,3,TilgJahr,$C1070)</f>
      </c>
      <c r="L1070" s="43">
        <f>SUMIFS(TilgErsatz,TilgObj,3,TilgJahr,$C1070)</f>
      </c>
      <c r="M1070" s="43">
        <f>MAX(0,SUMIF(DarlObj,3,DarlBetrag)-SUMIFS(TilgTilgung,TilgObj,3,TilgJahr,"&lt;="&amp;$C1070)-SUMIFS(TilgSonder,TilgObj,3,TilgJahr,"&lt;="&amp;$C1070))</f>
      </c>
      <c r="N1070" s="43">
        <f>SUMIFS(TilgErsatz,TilgObj,3,TilgJahr,"&lt;="&amp;$C1070)+SUMIFS(TilgErtrag,TilgObj,3,TilgJahr,"&lt;="&amp;$C1070)</f>
      </c>
      <c r="O1070" s="43">
        <f>INDEX(ObjWertEff,3)*(1+(Wertsteigerung)/100)^MAX(0,16)</f>
      </c>
      <c r="P1070" s="43">
        <f>IF(OR(INDEX(ObjAfaDauer,3)=0,INDEX(ObjAfaJahr,3)=0,$C1070&lt;INDEX(ObjKaufJahr,3),$C1070&gt;=INDEX(ObjKaufJahr,3)+INDEX(ObjAfaDauer,3)),0,IF($C1070=INDEX(ObjKaufJahr,3),INDEX(ObjAfaJahr,3)*(13-INDEX(ObjKaufMonat,3))/12,INDEX(ObjAfaJahr,3)))</f>
      </c>
      <c r="Q1070" s="43">
        <f>$F1070-$G1070-$H1070-$I1070-$P1070</f>
      </c>
      <c r="R1070" s="43">
        <f>$Q1070*INDEX(ObjSteuersatz,3)/100</f>
      </c>
      <c r="S1070" s="43">
        <f>$I1070+$J1070+$K1070+$L1070</f>
      </c>
      <c r="T1070" s="43">
        <f>$F1070-$G1070-$H1070-$S1070</f>
      </c>
      <c r="U1070" s="43">
        <f>$T1070-$R1070</f>
      </c>
      <c r="V1070" s="43">
        <f>$O1070-$M1070</f>
      </c>
      <c r="W1070" s="43">
        <f>$J1070+$K1070+$L1070</f>
      </c>
      <c r="X1070" s="43">
        <f>IF($O1070=0,0,$M1070/$O1070*100)</f>
      </c>
    </row>
    <row r="1071">
      <c r="A1071"/>
      <c r="B1071">
        <v>3</v>
      </c>
      <c r="C1071" s="43">
        <f>Jahr+17</f>
      </c>
      <c r="D1071">
        <v>17</v>
      </c>
      <c r="E1071" s="43">
        <f>IF(INDEX(ObjKaufJahr,3)=0,0,IF($C1071&lt;INDEX(ObjKaufJahr,3),0,IF($C1071&gt;INDEX(ObjKaufJahr,3),12,13-INDEX(ObjKaufMonat,3))))/12</f>
      </c>
      <c r="F1071" s="43">
        <f>SUMIFS(MlSumme,MlObj,3,MlJahr,$C1071)*(1-Leerstand/100)</f>
      </c>
      <c r="G1071" s="43">
        <f>INDEX(ObjLaufend,3)*(1+(Inflation)/100)^MAX(0,17)*$E1071</f>
      </c>
      <c r="H1071" s="43">
        <f>INDEX(ObjInstandBasis,3)*(1+(Inflation)/100)^MAX(0,17)*$E1071</f>
      </c>
      <c r="I1071" s="43">
        <f>SUMIFS(TilgZins,TilgObj,3,TilgJahr,$C1071)</f>
      </c>
      <c r="J1071" s="43">
        <f>SUMIFS(TilgTilgung,TilgObj,3,TilgJahr,$C1071)</f>
      </c>
      <c r="K1071" s="43">
        <f>SUMIFS(TilgSonder,TilgObj,3,TilgJahr,$C1071)</f>
      </c>
      <c r="L1071" s="43">
        <f>SUMIFS(TilgErsatz,TilgObj,3,TilgJahr,$C1071)</f>
      </c>
      <c r="M1071" s="43">
        <f>MAX(0,SUMIF(DarlObj,3,DarlBetrag)-SUMIFS(TilgTilgung,TilgObj,3,TilgJahr,"&lt;="&amp;$C1071)-SUMIFS(TilgSonder,TilgObj,3,TilgJahr,"&lt;="&amp;$C1071))</f>
      </c>
      <c r="N1071" s="43">
        <f>SUMIFS(TilgErsatz,TilgObj,3,TilgJahr,"&lt;="&amp;$C1071)+SUMIFS(TilgErtrag,TilgObj,3,TilgJahr,"&lt;="&amp;$C1071)</f>
      </c>
      <c r="O1071" s="43">
        <f>INDEX(ObjWertEff,3)*(1+(Wertsteigerung)/100)^MAX(0,17)</f>
      </c>
      <c r="P1071" s="43">
        <f>IF(OR(INDEX(ObjAfaDauer,3)=0,INDEX(ObjAfaJahr,3)=0,$C1071&lt;INDEX(ObjKaufJahr,3),$C1071&gt;=INDEX(ObjKaufJahr,3)+INDEX(ObjAfaDauer,3)),0,IF($C1071=INDEX(ObjKaufJahr,3),INDEX(ObjAfaJahr,3)*(13-INDEX(ObjKaufMonat,3))/12,INDEX(ObjAfaJahr,3)))</f>
      </c>
      <c r="Q1071" s="43">
        <f>$F1071-$G1071-$H1071-$I1071-$P1071</f>
      </c>
      <c r="R1071" s="43">
        <f>$Q1071*INDEX(ObjSteuersatz,3)/100</f>
      </c>
      <c r="S1071" s="43">
        <f>$I1071+$J1071+$K1071+$L1071</f>
      </c>
      <c r="T1071" s="43">
        <f>$F1071-$G1071-$H1071-$S1071</f>
      </c>
      <c r="U1071" s="43">
        <f>$T1071-$R1071</f>
      </c>
      <c r="V1071" s="43">
        <f>$O1071-$M1071</f>
      </c>
      <c r="W1071" s="43">
        <f>$J1071+$K1071+$L1071</f>
      </c>
      <c r="X1071" s="43">
        <f>IF($O1071=0,0,$M1071/$O1071*100)</f>
      </c>
    </row>
    <row r="1072">
      <c r="A1072"/>
      <c r="B1072">
        <v>3</v>
      </c>
      <c r="C1072" s="43">
        <f>Jahr+18</f>
      </c>
      <c r="D1072">
        <v>18</v>
      </c>
      <c r="E1072" s="43">
        <f>IF(INDEX(ObjKaufJahr,3)=0,0,IF($C1072&lt;INDEX(ObjKaufJahr,3),0,IF($C1072&gt;INDEX(ObjKaufJahr,3),12,13-INDEX(ObjKaufMonat,3))))/12</f>
      </c>
      <c r="F1072" s="43">
        <f>SUMIFS(MlSumme,MlObj,3,MlJahr,$C1072)*(1-Leerstand/100)</f>
      </c>
      <c r="G1072" s="43">
        <f>INDEX(ObjLaufend,3)*(1+(Inflation)/100)^MAX(0,18)*$E1072</f>
      </c>
      <c r="H1072" s="43">
        <f>INDEX(ObjInstandBasis,3)*(1+(Inflation)/100)^MAX(0,18)*$E1072</f>
      </c>
      <c r="I1072" s="43">
        <f>SUMIFS(TilgZins,TilgObj,3,TilgJahr,$C1072)</f>
      </c>
      <c r="J1072" s="43">
        <f>SUMIFS(TilgTilgung,TilgObj,3,TilgJahr,$C1072)</f>
      </c>
      <c r="K1072" s="43">
        <f>SUMIFS(TilgSonder,TilgObj,3,TilgJahr,$C1072)</f>
      </c>
      <c r="L1072" s="43">
        <f>SUMIFS(TilgErsatz,TilgObj,3,TilgJahr,$C1072)</f>
      </c>
      <c r="M1072" s="43">
        <f>MAX(0,SUMIF(DarlObj,3,DarlBetrag)-SUMIFS(TilgTilgung,TilgObj,3,TilgJahr,"&lt;="&amp;$C1072)-SUMIFS(TilgSonder,TilgObj,3,TilgJahr,"&lt;="&amp;$C1072))</f>
      </c>
      <c r="N1072" s="43">
        <f>SUMIFS(TilgErsatz,TilgObj,3,TilgJahr,"&lt;="&amp;$C1072)+SUMIFS(TilgErtrag,TilgObj,3,TilgJahr,"&lt;="&amp;$C1072)</f>
      </c>
      <c r="O1072" s="43">
        <f>INDEX(ObjWertEff,3)*(1+(Wertsteigerung)/100)^MAX(0,18)</f>
      </c>
      <c r="P1072" s="43">
        <f>IF(OR(INDEX(ObjAfaDauer,3)=0,INDEX(ObjAfaJahr,3)=0,$C1072&lt;INDEX(ObjKaufJahr,3),$C1072&gt;=INDEX(ObjKaufJahr,3)+INDEX(ObjAfaDauer,3)),0,IF($C1072=INDEX(ObjKaufJahr,3),INDEX(ObjAfaJahr,3)*(13-INDEX(ObjKaufMonat,3))/12,INDEX(ObjAfaJahr,3)))</f>
      </c>
      <c r="Q1072" s="43">
        <f>$F1072-$G1072-$H1072-$I1072-$P1072</f>
      </c>
      <c r="R1072" s="43">
        <f>$Q1072*INDEX(ObjSteuersatz,3)/100</f>
      </c>
      <c r="S1072" s="43">
        <f>$I1072+$J1072+$K1072+$L1072</f>
      </c>
      <c r="T1072" s="43">
        <f>$F1072-$G1072-$H1072-$S1072</f>
      </c>
      <c r="U1072" s="43">
        <f>$T1072-$R1072</f>
      </c>
      <c r="V1072" s="43">
        <f>$O1072-$M1072</f>
      </c>
      <c r="W1072" s="43">
        <f>$J1072+$K1072+$L1072</f>
      </c>
      <c r="X1072" s="43">
        <f>IF($O1072=0,0,$M1072/$O1072*100)</f>
      </c>
    </row>
    <row r="1073">
      <c r="A1073"/>
      <c r="B1073">
        <v>3</v>
      </c>
      <c r="C1073" s="43">
        <f>Jahr+19</f>
      </c>
      <c r="D1073">
        <v>19</v>
      </c>
      <c r="E1073" s="43">
        <f>IF(INDEX(ObjKaufJahr,3)=0,0,IF($C1073&lt;INDEX(ObjKaufJahr,3),0,IF($C1073&gt;INDEX(ObjKaufJahr,3),12,13-INDEX(ObjKaufMonat,3))))/12</f>
      </c>
      <c r="F1073" s="43">
        <f>SUMIFS(MlSumme,MlObj,3,MlJahr,$C1073)*(1-Leerstand/100)</f>
      </c>
      <c r="G1073" s="43">
        <f>INDEX(ObjLaufend,3)*(1+(Inflation)/100)^MAX(0,19)*$E1073</f>
      </c>
      <c r="H1073" s="43">
        <f>INDEX(ObjInstandBasis,3)*(1+(Inflation)/100)^MAX(0,19)*$E1073</f>
      </c>
      <c r="I1073" s="43">
        <f>SUMIFS(TilgZins,TilgObj,3,TilgJahr,$C1073)</f>
      </c>
      <c r="J1073" s="43">
        <f>SUMIFS(TilgTilgung,TilgObj,3,TilgJahr,$C1073)</f>
      </c>
      <c r="K1073" s="43">
        <f>SUMIFS(TilgSonder,TilgObj,3,TilgJahr,$C1073)</f>
      </c>
      <c r="L1073" s="43">
        <f>SUMIFS(TilgErsatz,TilgObj,3,TilgJahr,$C1073)</f>
      </c>
      <c r="M1073" s="43">
        <f>MAX(0,SUMIF(DarlObj,3,DarlBetrag)-SUMIFS(TilgTilgung,TilgObj,3,TilgJahr,"&lt;="&amp;$C1073)-SUMIFS(TilgSonder,TilgObj,3,TilgJahr,"&lt;="&amp;$C1073))</f>
      </c>
      <c r="N1073" s="43">
        <f>SUMIFS(TilgErsatz,TilgObj,3,TilgJahr,"&lt;="&amp;$C1073)+SUMIFS(TilgErtrag,TilgObj,3,TilgJahr,"&lt;="&amp;$C1073)</f>
      </c>
      <c r="O1073" s="43">
        <f>INDEX(ObjWertEff,3)*(1+(Wertsteigerung)/100)^MAX(0,19)</f>
      </c>
      <c r="P1073" s="43">
        <f>IF(OR(INDEX(ObjAfaDauer,3)=0,INDEX(ObjAfaJahr,3)=0,$C1073&lt;INDEX(ObjKaufJahr,3),$C1073&gt;=INDEX(ObjKaufJahr,3)+INDEX(ObjAfaDauer,3)),0,IF($C1073=INDEX(ObjKaufJahr,3),INDEX(ObjAfaJahr,3)*(13-INDEX(ObjKaufMonat,3))/12,INDEX(ObjAfaJahr,3)))</f>
      </c>
      <c r="Q1073" s="43">
        <f>$F1073-$G1073-$H1073-$I1073-$P1073</f>
      </c>
      <c r="R1073" s="43">
        <f>$Q1073*INDEX(ObjSteuersatz,3)/100</f>
      </c>
      <c r="S1073" s="43">
        <f>$I1073+$J1073+$K1073+$L1073</f>
      </c>
      <c r="T1073" s="43">
        <f>$F1073-$G1073-$H1073-$S1073</f>
      </c>
      <c r="U1073" s="43">
        <f>$T1073-$R1073</f>
      </c>
      <c r="V1073" s="43">
        <f>$O1073-$M1073</f>
      </c>
      <c r="W1073" s="43">
        <f>$J1073+$K1073+$L1073</f>
      </c>
      <c r="X1073" s="43">
        <f>IF($O1073=0,0,$M1073/$O1073*100)</f>
      </c>
    </row>
    <row r="1074">
      <c r="A1074"/>
      <c r="B1074">
        <v>3</v>
      </c>
      <c r="C1074" s="43">
        <f>Jahr+20</f>
      </c>
      <c r="D1074">
        <v>20</v>
      </c>
      <c r="E1074" s="43">
        <f>IF(INDEX(ObjKaufJahr,3)=0,0,IF($C1074&lt;INDEX(ObjKaufJahr,3),0,IF($C1074&gt;INDEX(ObjKaufJahr,3),12,13-INDEX(ObjKaufMonat,3))))/12</f>
      </c>
      <c r="F1074" s="43">
        <f>SUMIFS(MlSumme,MlObj,3,MlJahr,$C1074)*(1-Leerstand/100)</f>
      </c>
      <c r="G1074" s="43">
        <f>INDEX(ObjLaufend,3)*(1+(Inflation)/100)^MAX(0,20)*$E1074</f>
      </c>
      <c r="H1074" s="43">
        <f>INDEX(ObjInstandBasis,3)*(1+(Inflation)/100)^MAX(0,20)*$E1074</f>
      </c>
      <c r="I1074" s="43">
        <f>SUMIFS(TilgZins,TilgObj,3,TilgJahr,$C1074)</f>
      </c>
      <c r="J1074" s="43">
        <f>SUMIFS(TilgTilgung,TilgObj,3,TilgJahr,$C1074)</f>
      </c>
      <c r="K1074" s="43">
        <f>SUMIFS(TilgSonder,TilgObj,3,TilgJahr,$C1074)</f>
      </c>
      <c r="L1074" s="43">
        <f>SUMIFS(TilgErsatz,TilgObj,3,TilgJahr,$C1074)</f>
      </c>
      <c r="M1074" s="43">
        <f>MAX(0,SUMIF(DarlObj,3,DarlBetrag)-SUMIFS(TilgTilgung,TilgObj,3,TilgJahr,"&lt;="&amp;$C1074)-SUMIFS(TilgSonder,TilgObj,3,TilgJahr,"&lt;="&amp;$C1074))</f>
      </c>
      <c r="N1074" s="43">
        <f>SUMIFS(TilgErsatz,TilgObj,3,TilgJahr,"&lt;="&amp;$C1074)+SUMIFS(TilgErtrag,TilgObj,3,TilgJahr,"&lt;="&amp;$C1074)</f>
      </c>
      <c r="O1074" s="43">
        <f>INDEX(ObjWertEff,3)*(1+(Wertsteigerung)/100)^MAX(0,20)</f>
      </c>
      <c r="P1074" s="43">
        <f>IF(OR(INDEX(ObjAfaDauer,3)=0,INDEX(ObjAfaJahr,3)=0,$C1074&lt;INDEX(ObjKaufJahr,3),$C1074&gt;=INDEX(ObjKaufJahr,3)+INDEX(ObjAfaDauer,3)),0,IF($C1074=INDEX(ObjKaufJahr,3),INDEX(ObjAfaJahr,3)*(13-INDEX(ObjKaufMonat,3))/12,INDEX(ObjAfaJahr,3)))</f>
      </c>
      <c r="Q1074" s="43">
        <f>$F1074-$G1074-$H1074-$I1074-$P1074</f>
      </c>
      <c r="R1074" s="43">
        <f>$Q1074*INDEX(ObjSteuersatz,3)/100</f>
      </c>
      <c r="S1074" s="43">
        <f>$I1074+$J1074+$K1074+$L1074</f>
      </c>
      <c r="T1074" s="43">
        <f>$F1074-$G1074-$H1074-$S1074</f>
      </c>
      <c r="U1074" s="43">
        <f>$T1074-$R1074</f>
      </c>
      <c r="V1074" s="43">
        <f>$O1074-$M1074</f>
      </c>
      <c r="W1074" s="43">
        <f>$J1074+$K1074+$L1074</f>
      </c>
      <c r="X1074" s="43">
        <f>IF($O1074=0,0,$M1074/$O1074*100)</f>
      </c>
    </row>
    <row r="1075">
      <c r="A1075"/>
      <c r="B1075">
        <v>3</v>
      </c>
      <c r="C1075" s="43">
        <f>Jahr+21</f>
      </c>
      <c r="D1075">
        <v>21</v>
      </c>
      <c r="E1075" s="43">
        <f>IF(INDEX(ObjKaufJahr,3)=0,0,IF($C1075&lt;INDEX(ObjKaufJahr,3),0,IF($C1075&gt;INDEX(ObjKaufJahr,3),12,13-INDEX(ObjKaufMonat,3))))/12</f>
      </c>
      <c r="F1075" s="43">
        <f>SUMIFS(MlSumme,MlObj,3,MlJahr,$C1075)*(1-Leerstand/100)</f>
      </c>
      <c r="G1075" s="43">
        <f>INDEX(ObjLaufend,3)*(1+(Inflation)/100)^MAX(0,21)*$E1075</f>
      </c>
      <c r="H1075" s="43">
        <f>INDEX(ObjInstandBasis,3)*(1+(Inflation)/100)^MAX(0,21)*$E1075</f>
      </c>
      <c r="I1075" s="43">
        <f>SUMIFS(TilgZins,TilgObj,3,TilgJahr,$C1075)</f>
      </c>
      <c r="J1075" s="43">
        <f>SUMIFS(TilgTilgung,TilgObj,3,TilgJahr,$C1075)</f>
      </c>
      <c r="K1075" s="43">
        <f>SUMIFS(TilgSonder,TilgObj,3,TilgJahr,$C1075)</f>
      </c>
      <c r="L1075" s="43">
        <f>SUMIFS(TilgErsatz,TilgObj,3,TilgJahr,$C1075)</f>
      </c>
      <c r="M1075" s="43">
        <f>MAX(0,SUMIF(DarlObj,3,DarlBetrag)-SUMIFS(TilgTilgung,TilgObj,3,TilgJahr,"&lt;="&amp;$C1075)-SUMIFS(TilgSonder,TilgObj,3,TilgJahr,"&lt;="&amp;$C1075))</f>
      </c>
      <c r="N1075" s="43">
        <f>SUMIFS(TilgErsatz,TilgObj,3,TilgJahr,"&lt;="&amp;$C1075)+SUMIFS(TilgErtrag,TilgObj,3,TilgJahr,"&lt;="&amp;$C1075)</f>
      </c>
      <c r="O1075" s="43">
        <f>INDEX(ObjWertEff,3)*(1+(Wertsteigerung)/100)^MAX(0,21)</f>
      </c>
      <c r="P1075" s="43">
        <f>IF(OR(INDEX(ObjAfaDauer,3)=0,INDEX(ObjAfaJahr,3)=0,$C1075&lt;INDEX(ObjKaufJahr,3),$C1075&gt;=INDEX(ObjKaufJahr,3)+INDEX(ObjAfaDauer,3)),0,IF($C1075=INDEX(ObjKaufJahr,3),INDEX(ObjAfaJahr,3)*(13-INDEX(ObjKaufMonat,3))/12,INDEX(ObjAfaJahr,3)))</f>
      </c>
      <c r="Q1075" s="43">
        <f>$F1075-$G1075-$H1075-$I1075-$P1075</f>
      </c>
      <c r="R1075" s="43">
        <f>$Q1075*INDEX(ObjSteuersatz,3)/100</f>
      </c>
      <c r="S1075" s="43">
        <f>$I1075+$J1075+$K1075+$L1075</f>
      </c>
      <c r="T1075" s="43">
        <f>$F1075-$G1075-$H1075-$S1075</f>
      </c>
      <c r="U1075" s="43">
        <f>$T1075-$R1075</f>
      </c>
      <c r="V1075" s="43">
        <f>$O1075-$M1075</f>
      </c>
      <c r="W1075" s="43">
        <f>$J1075+$K1075+$L1075</f>
      </c>
      <c r="X1075" s="43">
        <f>IF($O1075=0,0,$M1075/$O1075*100)</f>
      </c>
    </row>
    <row r="1076">
      <c r="A1076"/>
      <c r="B1076">
        <v>3</v>
      </c>
      <c r="C1076" s="43">
        <f>Jahr+22</f>
      </c>
      <c r="D1076">
        <v>22</v>
      </c>
      <c r="E1076" s="43">
        <f>IF(INDEX(ObjKaufJahr,3)=0,0,IF($C1076&lt;INDEX(ObjKaufJahr,3),0,IF($C1076&gt;INDEX(ObjKaufJahr,3),12,13-INDEX(ObjKaufMonat,3))))/12</f>
      </c>
      <c r="F1076" s="43">
        <f>SUMIFS(MlSumme,MlObj,3,MlJahr,$C1076)*(1-Leerstand/100)</f>
      </c>
      <c r="G1076" s="43">
        <f>INDEX(ObjLaufend,3)*(1+(Inflation)/100)^MAX(0,22)*$E1076</f>
      </c>
      <c r="H1076" s="43">
        <f>INDEX(ObjInstandBasis,3)*(1+(Inflation)/100)^MAX(0,22)*$E1076</f>
      </c>
      <c r="I1076" s="43">
        <f>SUMIFS(TilgZins,TilgObj,3,TilgJahr,$C1076)</f>
      </c>
      <c r="J1076" s="43">
        <f>SUMIFS(TilgTilgung,TilgObj,3,TilgJahr,$C1076)</f>
      </c>
      <c r="K1076" s="43">
        <f>SUMIFS(TilgSonder,TilgObj,3,TilgJahr,$C1076)</f>
      </c>
      <c r="L1076" s="43">
        <f>SUMIFS(TilgErsatz,TilgObj,3,TilgJahr,$C1076)</f>
      </c>
      <c r="M1076" s="43">
        <f>MAX(0,SUMIF(DarlObj,3,DarlBetrag)-SUMIFS(TilgTilgung,TilgObj,3,TilgJahr,"&lt;="&amp;$C1076)-SUMIFS(TilgSonder,TilgObj,3,TilgJahr,"&lt;="&amp;$C1076))</f>
      </c>
      <c r="N1076" s="43">
        <f>SUMIFS(TilgErsatz,TilgObj,3,TilgJahr,"&lt;="&amp;$C1076)+SUMIFS(TilgErtrag,TilgObj,3,TilgJahr,"&lt;="&amp;$C1076)</f>
      </c>
      <c r="O1076" s="43">
        <f>INDEX(ObjWertEff,3)*(1+(Wertsteigerung)/100)^MAX(0,22)</f>
      </c>
      <c r="P1076" s="43">
        <f>IF(OR(INDEX(ObjAfaDauer,3)=0,INDEX(ObjAfaJahr,3)=0,$C1076&lt;INDEX(ObjKaufJahr,3),$C1076&gt;=INDEX(ObjKaufJahr,3)+INDEX(ObjAfaDauer,3)),0,IF($C1076=INDEX(ObjKaufJahr,3),INDEX(ObjAfaJahr,3)*(13-INDEX(ObjKaufMonat,3))/12,INDEX(ObjAfaJahr,3)))</f>
      </c>
      <c r="Q1076" s="43">
        <f>$F1076-$G1076-$H1076-$I1076-$P1076</f>
      </c>
      <c r="R1076" s="43">
        <f>$Q1076*INDEX(ObjSteuersatz,3)/100</f>
      </c>
      <c r="S1076" s="43">
        <f>$I1076+$J1076+$K1076+$L1076</f>
      </c>
      <c r="T1076" s="43">
        <f>$F1076-$G1076-$H1076-$S1076</f>
      </c>
      <c r="U1076" s="43">
        <f>$T1076-$R1076</f>
      </c>
      <c r="V1076" s="43">
        <f>$O1076-$M1076</f>
      </c>
      <c r="W1076" s="43">
        <f>$J1076+$K1076+$L1076</f>
      </c>
      <c r="X1076" s="43">
        <f>IF($O1076=0,0,$M1076/$O1076*100)</f>
      </c>
    </row>
    <row r="1077">
      <c r="A1077"/>
      <c r="B1077">
        <v>3</v>
      </c>
      <c r="C1077" s="43">
        <f>Jahr+23</f>
      </c>
      <c r="D1077">
        <v>23</v>
      </c>
      <c r="E1077" s="43">
        <f>IF(INDEX(ObjKaufJahr,3)=0,0,IF($C1077&lt;INDEX(ObjKaufJahr,3),0,IF($C1077&gt;INDEX(ObjKaufJahr,3),12,13-INDEX(ObjKaufMonat,3))))/12</f>
      </c>
      <c r="F1077" s="43">
        <f>SUMIFS(MlSumme,MlObj,3,MlJahr,$C1077)*(1-Leerstand/100)</f>
      </c>
      <c r="G1077" s="43">
        <f>INDEX(ObjLaufend,3)*(1+(Inflation)/100)^MAX(0,23)*$E1077</f>
      </c>
      <c r="H1077" s="43">
        <f>INDEX(ObjInstandBasis,3)*(1+(Inflation)/100)^MAX(0,23)*$E1077</f>
      </c>
      <c r="I1077" s="43">
        <f>SUMIFS(TilgZins,TilgObj,3,TilgJahr,$C1077)</f>
      </c>
      <c r="J1077" s="43">
        <f>SUMIFS(TilgTilgung,TilgObj,3,TilgJahr,$C1077)</f>
      </c>
      <c r="K1077" s="43">
        <f>SUMIFS(TilgSonder,TilgObj,3,TilgJahr,$C1077)</f>
      </c>
      <c r="L1077" s="43">
        <f>SUMIFS(TilgErsatz,TilgObj,3,TilgJahr,$C1077)</f>
      </c>
      <c r="M1077" s="43">
        <f>MAX(0,SUMIF(DarlObj,3,DarlBetrag)-SUMIFS(TilgTilgung,TilgObj,3,TilgJahr,"&lt;="&amp;$C1077)-SUMIFS(TilgSonder,TilgObj,3,TilgJahr,"&lt;="&amp;$C1077))</f>
      </c>
      <c r="N1077" s="43">
        <f>SUMIFS(TilgErsatz,TilgObj,3,TilgJahr,"&lt;="&amp;$C1077)+SUMIFS(TilgErtrag,TilgObj,3,TilgJahr,"&lt;="&amp;$C1077)</f>
      </c>
      <c r="O1077" s="43">
        <f>INDEX(ObjWertEff,3)*(1+(Wertsteigerung)/100)^MAX(0,23)</f>
      </c>
      <c r="P1077" s="43">
        <f>IF(OR(INDEX(ObjAfaDauer,3)=0,INDEX(ObjAfaJahr,3)=0,$C1077&lt;INDEX(ObjKaufJahr,3),$C1077&gt;=INDEX(ObjKaufJahr,3)+INDEX(ObjAfaDauer,3)),0,IF($C1077=INDEX(ObjKaufJahr,3),INDEX(ObjAfaJahr,3)*(13-INDEX(ObjKaufMonat,3))/12,INDEX(ObjAfaJahr,3)))</f>
      </c>
      <c r="Q1077" s="43">
        <f>$F1077-$G1077-$H1077-$I1077-$P1077</f>
      </c>
      <c r="R1077" s="43">
        <f>$Q1077*INDEX(ObjSteuersatz,3)/100</f>
      </c>
      <c r="S1077" s="43">
        <f>$I1077+$J1077+$K1077+$L1077</f>
      </c>
      <c r="T1077" s="43">
        <f>$F1077-$G1077-$H1077-$S1077</f>
      </c>
      <c r="U1077" s="43">
        <f>$T1077-$R1077</f>
      </c>
      <c r="V1077" s="43">
        <f>$O1077-$M1077</f>
      </c>
      <c r="W1077" s="43">
        <f>$J1077+$K1077+$L1077</f>
      </c>
      <c r="X1077" s="43">
        <f>IF($O1077=0,0,$M1077/$O1077*100)</f>
      </c>
    </row>
    <row r="1078">
      <c r="A1078"/>
      <c r="B1078">
        <v>3</v>
      </c>
      <c r="C1078" s="43">
        <f>Jahr+24</f>
      </c>
      <c r="D1078">
        <v>24</v>
      </c>
      <c r="E1078" s="43">
        <f>IF(INDEX(ObjKaufJahr,3)=0,0,IF($C1078&lt;INDEX(ObjKaufJahr,3),0,IF($C1078&gt;INDEX(ObjKaufJahr,3),12,13-INDEX(ObjKaufMonat,3))))/12</f>
      </c>
      <c r="F1078" s="43">
        <f>SUMIFS(MlSumme,MlObj,3,MlJahr,$C1078)*(1-Leerstand/100)</f>
      </c>
      <c r="G1078" s="43">
        <f>INDEX(ObjLaufend,3)*(1+(Inflation)/100)^MAX(0,24)*$E1078</f>
      </c>
      <c r="H1078" s="43">
        <f>INDEX(ObjInstandBasis,3)*(1+(Inflation)/100)^MAX(0,24)*$E1078</f>
      </c>
      <c r="I1078" s="43">
        <f>SUMIFS(TilgZins,TilgObj,3,TilgJahr,$C1078)</f>
      </c>
      <c r="J1078" s="43">
        <f>SUMIFS(TilgTilgung,TilgObj,3,TilgJahr,$C1078)</f>
      </c>
      <c r="K1078" s="43">
        <f>SUMIFS(TilgSonder,TilgObj,3,TilgJahr,$C1078)</f>
      </c>
      <c r="L1078" s="43">
        <f>SUMIFS(TilgErsatz,TilgObj,3,TilgJahr,$C1078)</f>
      </c>
      <c r="M1078" s="43">
        <f>MAX(0,SUMIF(DarlObj,3,DarlBetrag)-SUMIFS(TilgTilgung,TilgObj,3,TilgJahr,"&lt;="&amp;$C1078)-SUMIFS(TilgSonder,TilgObj,3,TilgJahr,"&lt;="&amp;$C1078))</f>
      </c>
      <c r="N1078" s="43">
        <f>SUMIFS(TilgErsatz,TilgObj,3,TilgJahr,"&lt;="&amp;$C1078)+SUMIFS(TilgErtrag,TilgObj,3,TilgJahr,"&lt;="&amp;$C1078)</f>
      </c>
      <c r="O1078" s="43">
        <f>INDEX(ObjWertEff,3)*(1+(Wertsteigerung)/100)^MAX(0,24)</f>
      </c>
      <c r="P1078" s="43">
        <f>IF(OR(INDEX(ObjAfaDauer,3)=0,INDEX(ObjAfaJahr,3)=0,$C1078&lt;INDEX(ObjKaufJahr,3),$C1078&gt;=INDEX(ObjKaufJahr,3)+INDEX(ObjAfaDauer,3)),0,IF($C1078=INDEX(ObjKaufJahr,3),INDEX(ObjAfaJahr,3)*(13-INDEX(ObjKaufMonat,3))/12,INDEX(ObjAfaJahr,3)))</f>
      </c>
      <c r="Q1078" s="43">
        <f>$F1078-$G1078-$H1078-$I1078-$P1078</f>
      </c>
      <c r="R1078" s="43">
        <f>$Q1078*INDEX(ObjSteuersatz,3)/100</f>
      </c>
      <c r="S1078" s="43">
        <f>$I1078+$J1078+$K1078+$L1078</f>
      </c>
      <c r="T1078" s="43">
        <f>$F1078-$G1078-$H1078-$S1078</f>
      </c>
      <c r="U1078" s="43">
        <f>$T1078-$R1078</f>
      </c>
      <c r="V1078" s="43">
        <f>$O1078-$M1078</f>
      </c>
      <c r="W1078" s="43">
        <f>$J1078+$K1078+$L1078</f>
      </c>
      <c r="X1078" s="43">
        <f>IF($O1078=0,0,$M1078/$O1078*100)</f>
      </c>
    </row>
    <row r="1079">
      <c r="A1079"/>
      <c r="B1079">
        <v>3</v>
      </c>
      <c r="C1079" s="43">
        <f>Jahr+25</f>
      </c>
      <c r="D1079">
        <v>25</v>
      </c>
      <c r="E1079" s="43">
        <f>IF(INDEX(ObjKaufJahr,3)=0,0,IF($C1079&lt;INDEX(ObjKaufJahr,3),0,IF($C1079&gt;INDEX(ObjKaufJahr,3),12,13-INDEX(ObjKaufMonat,3))))/12</f>
      </c>
      <c r="F1079" s="43">
        <f>SUMIFS(MlSumme,MlObj,3,MlJahr,$C1079)*(1-Leerstand/100)</f>
      </c>
      <c r="G1079" s="43">
        <f>INDEX(ObjLaufend,3)*(1+(Inflation)/100)^MAX(0,25)*$E1079</f>
      </c>
      <c r="H1079" s="43">
        <f>INDEX(ObjInstandBasis,3)*(1+(Inflation)/100)^MAX(0,25)*$E1079</f>
      </c>
      <c r="I1079" s="43">
        <f>SUMIFS(TilgZins,TilgObj,3,TilgJahr,$C1079)</f>
      </c>
      <c r="J1079" s="43">
        <f>SUMIFS(TilgTilgung,TilgObj,3,TilgJahr,$C1079)</f>
      </c>
      <c r="K1079" s="43">
        <f>SUMIFS(TilgSonder,TilgObj,3,TilgJahr,$C1079)</f>
      </c>
      <c r="L1079" s="43">
        <f>SUMIFS(TilgErsatz,TilgObj,3,TilgJahr,$C1079)</f>
      </c>
      <c r="M1079" s="43">
        <f>MAX(0,SUMIF(DarlObj,3,DarlBetrag)-SUMIFS(TilgTilgung,TilgObj,3,TilgJahr,"&lt;="&amp;$C1079)-SUMIFS(TilgSonder,TilgObj,3,TilgJahr,"&lt;="&amp;$C1079))</f>
      </c>
      <c r="N1079" s="43">
        <f>SUMIFS(TilgErsatz,TilgObj,3,TilgJahr,"&lt;="&amp;$C1079)+SUMIFS(TilgErtrag,TilgObj,3,TilgJahr,"&lt;="&amp;$C1079)</f>
      </c>
      <c r="O1079" s="43">
        <f>INDEX(ObjWertEff,3)*(1+(Wertsteigerung)/100)^MAX(0,25)</f>
      </c>
      <c r="P1079" s="43">
        <f>IF(OR(INDEX(ObjAfaDauer,3)=0,INDEX(ObjAfaJahr,3)=0,$C1079&lt;INDEX(ObjKaufJahr,3),$C1079&gt;=INDEX(ObjKaufJahr,3)+INDEX(ObjAfaDauer,3)),0,IF($C1079=INDEX(ObjKaufJahr,3),INDEX(ObjAfaJahr,3)*(13-INDEX(ObjKaufMonat,3))/12,INDEX(ObjAfaJahr,3)))</f>
      </c>
      <c r="Q1079" s="43">
        <f>$F1079-$G1079-$H1079-$I1079-$P1079</f>
      </c>
      <c r="R1079" s="43">
        <f>$Q1079*INDEX(ObjSteuersatz,3)/100</f>
      </c>
      <c r="S1079" s="43">
        <f>$I1079+$J1079+$K1079+$L1079</f>
      </c>
      <c r="T1079" s="43">
        <f>$F1079-$G1079-$H1079-$S1079</f>
      </c>
      <c r="U1079" s="43">
        <f>$T1079-$R1079</f>
      </c>
      <c r="V1079" s="43">
        <f>$O1079-$M1079</f>
      </c>
      <c r="W1079" s="43">
        <f>$J1079+$K1079+$L1079</f>
      </c>
      <c r="X1079" s="43">
        <f>IF($O1079=0,0,$M1079/$O1079*100)</f>
      </c>
    </row>
    <row r="1080">
      <c r="A1080"/>
      <c r="B1080">
        <v>3</v>
      </c>
      <c r="C1080" s="43">
        <f>Jahr+26</f>
      </c>
      <c r="D1080">
        <v>26</v>
      </c>
      <c r="E1080" s="43">
        <f>IF(INDEX(ObjKaufJahr,3)=0,0,IF($C1080&lt;INDEX(ObjKaufJahr,3),0,IF($C1080&gt;INDEX(ObjKaufJahr,3),12,13-INDEX(ObjKaufMonat,3))))/12</f>
      </c>
      <c r="F1080" s="43">
        <f>SUMIFS(MlSumme,MlObj,3,MlJahr,$C1080)*(1-Leerstand/100)</f>
      </c>
      <c r="G1080" s="43">
        <f>INDEX(ObjLaufend,3)*(1+(Inflation)/100)^MAX(0,26)*$E1080</f>
      </c>
      <c r="H1080" s="43">
        <f>INDEX(ObjInstandBasis,3)*(1+(Inflation)/100)^MAX(0,26)*$E1080</f>
      </c>
      <c r="I1080" s="43">
        <f>SUMIFS(TilgZins,TilgObj,3,TilgJahr,$C1080)</f>
      </c>
      <c r="J1080" s="43">
        <f>SUMIFS(TilgTilgung,TilgObj,3,TilgJahr,$C1080)</f>
      </c>
      <c r="K1080" s="43">
        <f>SUMIFS(TilgSonder,TilgObj,3,TilgJahr,$C1080)</f>
      </c>
      <c r="L1080" s="43">
        <f>SUMIFS(TilgErsatz,TilgObj,3,TilgJahr,$C1080)</f>
      </c>
      <c r="M1080" s="43">
        <f>MAX(0,SUMIF(DarlObj,3,DarlBetrag)-SUMIFS(TilgTilgung,TilgObj,3,TilgJahr,"&lt;="&amp;$C1080)-SUMIFS(TilgSonder,TilgObj,3,TilgJahr,"&lt;="&amp;$C1080))</f>
      </c>
      <c r="N1080" s="43">
        <f>SUMIFS(TilgErsatz,TilgObj,3,TilgJahr,"&lt;="&amp;$C1080)+SUMIFS(TilgErtrag,TilgObj,3,TilgJahr,"&lt;="&amp;$C1080)</f>
      </c>
      <c r="O1080" s="43">
        <f>INDEX(ObjWertEff,3)*(1+(Wertsteigerung)/100)^MAX(0,26)</f>
      </c>
      <c r="P1080" s="43">
        <f>IF(OR(INDEX(ObjAfaDauer,3)=0,INDEX(ObjAfaJahr,3)=0,$C1080&lt;INDEX(ObjKaufJahr,3),$C1080&gt;=INDEX(ObjKaufJahr,3)+INDEX(ObjAfaDauer,3)),0,IF($C1080=INDEX(ObjKaufJahr,3),INDEX(ObjAfaJahr,3)*(13-INDEX(ObjKaufMonat,3))/12,INDEX(ObjAfaJahr,3)))</f>
      </c>
      <c r="Q1080" s="43">
        <f>$F1080-$G1080-$H1080-$I1080-$P1080</f>
      </c>
      <c r="R1080" s="43">
        <f>$Q1080*INDEX(ObjSteuersatz,3)/100</f>
      </c>
      <c r="S1080" s="43">
        <f>$I1080+$J1080+$K1080+$L1080</f>
      </c>
      <c r="T1080" s="43">
        <f>$F1080-$G1080-$H1080-$S1080</f>
      </c>
      <c r="U1080" s="43">
        <f>$T1080-$R1080</f>
      </c>
      <c r="V1080" s="43">
        <f>$O1080-$M1080</f>
      </c>
      <c r="W1080" s="43">
        <f>$J1080+$K1080+$L1080</f>
      </c>
      <c r="X1080" s="43">
        <f>IF($O1080=0,0,$M1080/$O1080*100)</f>
      </c>
    </row>
    <row r="1081">
      <c r="A1081"/>
      <c r="B1081">
        <v>3</v>
      </c>
      <c r="C1081" s="43">
        <f>Jahr+27</f>
      </c>
      <c r="D1081">
        <v>27</v>
      </c>
      <c r="E1081" s="43">
        <f>IF(INDEX(ObjKaufJahr,3)=0,0,IF($C1081&lt;INDEX(ObjKaufJahr,3),0,IF($C1081&gt;INDEX(ObjKaufJahr,3),12,13-INDEX(ObjKaufMonat,3))))/12</f>
      </c>
      <c r="F1081" s="43">
        <f>SUMIFS(MlSumme,MlObj,3,MlJahr,$C1081)*(1-Leerstand/100)</f>
      </c>
      <c r="G1081" s="43">
        <f>INDEX(ObjLaufend,3)*(1+(Inflation)/100)^MAX(0,27)*$E1081</f>
      </c>
      <c r="H1081" s="43">
        <f>INDEX(ObjInstandBasis,3)*(1+(Inflation)/100)^MAX(0,27)*$E1081</f>
      </c>
      <c r="I1081" s="43">
        <f>SUMIFS(TilgZins,TilgObj,3,TilgJahr,$C1081)</f>
      </c>
      <c r="J1081" s="43">
        <f>SUMIFS(TilgTilgung,TilgObj,3,TilgJahr,$C1081)</f>
      </c>
      <c r="K1081" s="43">
        <f>SUMIFS(TilgSonder,TilgObj,3,TilgJahr,$C1081)</f>
      </c>
      <c r="L1081" s="43">
        <f>SUMIFS(TilgErsatz,TilgObj,3,TilgJahr,$C1081)</f>
      </c>
      <c r="M1081" s="43">
        <f>MAX(0,SUMIF(DarlObj,3,DarlBetrag)-SUMIFS(TilgTilgung,TilgObj,3,TilgJahr,"&lt;="&amp;$C1081)-SUMIFS(TilgSonder,TilgObj,3,TilgJahr,"&lt;="&amp;$C1081))</f>
      </c>
      <c r="N1081" s="43">
        <f>SUMIFS(TilgErsatz,TilgObj,3,TilgJahr,"&lt;="&amp;$C1081)+SUMIFS(TilgErtrag,TilgObj,3,TilgJahr,"&lt;="&amp;$C1081)</f>
      </c>
      <c r="O1081" s="43">
        <f>INDEX(ObjWertEff,3)*(1+(Wertsteigerung)/100)^MAX(0,27)</f>
      </c>
      <c r="P1081" s="43">
        <f>IF(OR(INDEX(ObjAfaDauer,3)=0,INDEX(ObjAfaJahr,3)=0,$C1081&lt;INDEX(ObjKaufJahr,3),$C1081&gt;=INDEX(ObjKaufJahr,3)+INDEX(ObjAfaDauer,3)),0,IF($C1081=INDEX(ObjKaufJahr,3),INDEX(ObjAfaJahr,3)*(13-INDEX(ObjKaufMonat,3))/12,INDEX(ObjAfaJahr,3)))</f>
      </c>
      <c r="Q1081" s="43">
        <f>$F1081-$G1081-$H1081-$I1081-$P1081</f>
      </c>
      <c r="R1081" s="43">
        <f>$Q1081*INDEX(ObjSteuersatz,3)/100</f>
      </c>
      <c r="S1081" s="43">
        <f>$I1081+$J1081+$K1081+$L1081</f>
      </c>
      <c r="T1081" s="43">
        <f>$F1081-$G1081-$H1081-$S1081</f>
      </c>
      <c r="U1081" s="43">
        <f>$T1081-$R1081</f>
      </c>
      <c r="V1081" s="43">
        <f>$O1081-$M1081</f>
      </c>
      <c r="W1081" s="43">
        <f>$J1081+$K1081+$L1081</f>
      </c>
      <c r="X1081" s="43">
        <f>IF($O1081=0,0,$M1081/$O1081*100)</f>
      </c>
    </row>
    <row r="1082">
      <c r="A1082"/>
      <c r="B1082">
        <v>3</v>
      </c>
      <c r="C1082" s="43">
        <f>Jahr+28</f>
      </c>
      <c r="D1082">
        <v>28</v>
      </c>
      <c r="E1082" s="43">
        <f>IF(INDEX(ObjKaufJahr,3)=0,0,IF($C1082&lt;INDEX(ObjKaufJahr,3),0,IF($C1082&gt;INDEX(ObjKaufJahr,3),12,13-INDEX(ObjKaufMonat,3))))/12</f>
      </c>
      <c r="F1082" s="43">
        <f>SUMIFS(MlSumme,MlObj,3,MlJahr,$C1082)*(1-Leerstand/100)</f>
      </c>
      <c r="G1082" s="43">
        <f>INDEX(ObjLaufend,3)*(1+(Inflation)/100)^MAX(0,28)*$E1082</f>
      </c>
      <c r="H1082" s="43">
        <f>INDEX(ObjInstandBasis,3)*(1+(Inflation)/100)^MAX(0,28)*$E1082</f>
      </c>
      <c r="I1082" s="43">
        <f>SUMIFS(TilgZins,TilgObj,3,TilgJahr,$C1082)</f>
      </c>
      <c r="J1082" s="43">
        <f>SUMIFS(TilgTilgung,TilgObj,3,TilgJahr,$C1082)</f>
      </c>
      <c r="K1082" s="43">
        <f>SUMIFS(TilgSonder,TilgObj,3,TilgJahr,$C1082)</f>
      </c>
      <c r="L1082" s="43">
        <f>SUMIFS(TilgErsatz,TilgObj,3,TilgJahr,$C1082)</f>
      </c>
      <c r="M1082" s="43">
        <f>MAX(0,SUMIF(DarlObj,3,DarlBetrag)-SUMIFS(TilgTilgung,TilgObj,3,TilgJahr,"&lt;="&amp;$C1082)-SUMIFS(TilgSonder,TilgObj,3,TilgJahr,"&lt;="&amp;$C1082))</f>
      </c>
      <c r="N1082" s="43">
        <f>SUMIFS(TilgErsatz,TilgObj,3,TilgJahr,"&lt;="&amp;$C1082)+SUMIFS(TilgErtrag,TilgObj,3,TilgJahr,"&lt;="&amp;$C1082)</f>
      </c>
      <c r="O1082" s="43">
        <f>INDEX(ObjWertEff,3)*(1+(Wertsteigerung)/100)^MAX(0,28)</f>
      </c>
      <c r="P1082" s="43">
        <f>IF(OR(INDEX(ObjAfaDauer,3)=0,INDEX(ObjAfaJahr,3)=0,$C1082&lt;INDEX(ObjKaufJahr,3),$C1082&gt;=INDEX(ObjKaufJahr,3)+INDEX(ObjAfaDauer,3)),0,IF($C1082=INDEX(ObjKaufJahr,3),INDEX(ObjAfaJahr,3)*(13-INDEX(ObjKaufMonat,3))/12,INDEX(ObjAfaJahr,3)))</f>
      </c>
      <c r="Q1082" s="43">
        <f>$F1082-$G1082-$H1082-$I1082-$P1082</f>
      </c>
      <c r="R1082" s="43">
        <f>$Q1082*INDEX(ObjSteuersatz,3)/100</f>
      </c>
      <c r="S1082" s="43">
        <f>$I1082+$J1082+$K1082+$L1082</f>
      </c>
      <c r="T1082" s="43">
        <f>$F1082-$G1082-$H1082-$S1082</f>
      </c>
      <c r="U1082" s="43">
        <f>$T1082-$R1082</f>
      </c>
      <c r="V1082" s="43">
        <f>$O1082-$M1082</f>
      </c>
      <c r="W1082" s="43">
        <f>$J1082+$K1082+$L1082</f>
      </c>
      <c r="X1082" s="43">
        <f>IF($O1082=0,0,$M1082/$O1082*100)</f>
      </c>
    </row>
    <row r="1083">
      <c r="A1083"/>
      <c r="B1083">
        <v>3</v>
      </c>
      <c r="C1083" s="43">
        <f>Jahr+29</f>
      </c>
      <c r="D1083">
        <v>29</v>
      </c>
      <c r="E1083" s="43">
        <f>IF(INDEX(ObjKaufJahr,3)=0,0,IF($C1083&lt;INDEX(ObjKaufJahr,3),0,IF($C1083&gt;INDEX(ObjKaufJahr,3),12,13-INDEX(ObjKaufMonat,3))))/12</f>
      </c>
      <c r="F1083" s="43">
        <f>SUMIFS(MlSumme,MlObj,3,MlJahr,$C1083)*(1-Leerstand/100)</f>
      </c>
      <c r="G1083" s="43">
        <f>INDEX(ObjLaufend,3)*(1+(Inflation)/100)^MAX(0,29)*$E1083</f>
      </c>
      <c r="H1083" s="43">
        <f>INDEX(ObjInstandBasis,3)*(1+(Inflation)/100)^MAX(0,29)*$E1083</f>
      </c>
      <c r="I1083" s="43">
        <f>SUMIFS(TilgZins,TilgObj,3,TilgJahr,$C1083)</f>
      </c>
      <c r="J1083" s="43">
        <f>SUMIFS(TilgTilgung,TilgObj,3,TilgJahr,$C1083)</f>
      </c>
      <c r="K1083" s="43">
        <f>SUMIFS(TilgSonder,TilgObj,3,TilgJahr,$C1083)</f>
      </c>
      <c r="L1083" s="43">
        <f>SUMIFS(TilgErsatz,TilgObj,3,TilgJahr,$C1083)</f>
      </c>
      <c r="M1083" s="43">
        <f>MAX(0,SUMIF(DarlObj,3,DarlBetrag)-SUMIFS(TilgTilgung,TilgObj,3,TilgJahr,"&lt;="&amp;$C1083)-SUMIFS(TilgSonder,TilgObj,3,TilgJahr,"&lt;="&amp;$C1083))</f>
      </c>
      <c r="N1083" s="43">
        <f>SUMIFS(TilgErsatz,TilgObj,3,TilgJahr,"&lt;="&amp;$C1083)+SUMIFS(TilgErtrag,TilgObj,3,TilgJahr,"&lt;="&amp;$C1083)</f>
      </c>
      <c r="O1083" s="43">
        <f>INDEX(ObjWertEff,3)*(1+(Wertsteigerung)/100)^MAX(0,29)</f>
      </c>
      <c r="P1083" s="43">
        <f>IF(OR(INDEX(ObjAfaDauer,3)=0,INDEX(ObjAfaJahr,3)=0,$C1083&lt;INDEX(ObjKaufJahr,3),$C1083&gt;=INDEX(ObjKaufJahr,3)+INDEX(ObjAfaDauer,3)),0,IF($C1083=INDEX(ObjKaufJahr,3),INDEX(ObjAfaJahr,3)*(13-INDEX(ObjKaufMonat,3))/12,INDEX(ObjAfaJahr,3)))</f>
      </c>
      <c r="Q1083" s="43">
        <f>$F1083-$G1083-$H1083-$I1083-$P1083</f>
      </c>
      <c r="R1083" s="43">
        <f>$Q1083*INDEX(ObjSteuersatz,3)/100</f>
      </c>
      <c r="S1083" s="43">
        <f>$I1083+$J1083+$K1083+$L1083</f>
      </c>
      <c r="T1083" s="43">
        <f>$F1083-$G1083-$H1083-$S1083</f>
      </c>
      <c r="U1083" s="43">
        <f>$T1083-$R1083</f>
      </c>
      <c r="V1083" s="43">
        <f>$O1083-$M1083</f>
      </c>
      <c r="W1083" s="43">
        <f>$J1083+$K1083+$L1083</f>
      </c>
      <c r="X1083" s="43">
        <f>IF($O1083=0,0,$M1083/$O1083*100)</f>
      </c>
    </row>
    <row r="1084">
      <c r="A1084"/>
      <c r="B1084">
        <v>3</v>
      </c>
      <c r="C1084" s="43">
        <f>Jahr+30</f>
      </c>
      <c r="D1084">
        <v>30</v>
      </c>
      <c r="E1084" s="43">
        <f>IF(INDEX(ObjKaufJahr,3)=0,0,IF($C1084&lt;INDEX(ObjKaufJahr,3),0,IF($C1084&gt;INDEX(ObjKaufJahr,3),12,13-INDEX(ObjKaufMonat,3))))/12</f>
      </c>
      <c r="F1084" s="43">
        <f>SUMIFS(MlSumme,MlObj,3,MlJahr,$C1084)*(1-Leerstand/100)</f>
      </c>
      <c r="G1084" s="43">
        <f>INDEX(ObjLaufend,3)*(1+(Inflation)/100)^MAX(0,30)*$E1084</f>
      </c>
      <c r="H1084" s="43">
        <f>INDEX(ObjInstandBasis,3)*(1+(Inflation)/100)^MAX(0,30)*$E1084</f>
      </c>
      <c r="I1084" s="43">
        <f>SUMIFS(TilgZins,TilgObj,3,TilgJahr,$C1084)</f>
      </c>
      <c r="J1084" s="43">
        <f>SUMIFS(TilgTilgung,TilgObj,3,TilgJahr,$C1084)</f>
      </c>
      <c r="K1084" s="43">
        <f>SUMIFS(TilgSonder,TilgObj,3,TilgJahr,$C1084)</f>
      </c>
      <c r="L1084" s="43">
        <f>SUMIFS(TilgErsatz,TilgObj,3,TilgJahr,$C1084)</f>
      </c>
      <c r="M1084" s="43">
        <f>MAX(0,SUMIF(DarlObj,3,DarlBetrag)-SUMIFS(TilgTilgung,TilgObj,3,TilgJahr,"&lt;="&amp;$C1084)-SUMIFS(TilgSonder,TilgObj,3,TilgJahr,"&lt;="&amp;$C1084))</f>
      </c>
      <c r="N1084" s="43">
        <f>SUMIFS(TilgErsatz,TilgObj,3,TilgJahr,"&lt;="&amp;$C1084)+SUMIFS(TilgErtrag,TilgObj,3,TilgJahr,"&lt;="&amp;$C1084)</f>
      </c>
      <c r="O1084" s="43">
        <f>INDEX(ObjWertEff,3)*(1+(Wertsteigerung)/100)^MAX(0,30)</f>
      </c>
      <c r="P1084" s="43">
        <f>IF(OR(INDEX(ObjAfaDauer,3)=0,INDEX(ObjAfaJahr,3)=0,$C1084&lt;INDEX(ObjKaufJahr,3),$C1084&gt;=INDEX(ObjKaufJahr,3)+INDEX(ObjAfaDauer,3)),0,IF($C1084=INDEX(ObjKaufJahr,3),INDEX(ObjAfaJahr,3)*(13-INDEX(ObjKaufMonat,3))/12,INDEX(ObjAfaJahr,3)))</f>
      </c>
      <c r="Q1084" s="43">
        <f>$F1084-$G1084-$H1084-$I1084-$P1084</f>
      </c>
      <c r="R1084" s="43">
        <f>$Q1084*INDEX(ObjSteuersatz,3)/100</f>
      </c>
      <c r="S1084" s="43">
        <f>$I1084+$J1084+$K1084+$L1084</f>
      </c>
      <c r="T1084" s="43">
        <f>$F1084-$G1084-$H1084-$S1084</f>
      </c>
      <c r="U1084" s="43">
        <f>$T1084-$R1084</f>
      </c>
      <c r="V1084" s="43">
        <f>$O1084-$M1084</f>
      </c>
      <c r="W1084" s="43">
        <f>$J1084+$K1084+$L1084</f>
      </c>
      <c r="X1084" s="43">
        <f>IF($O1084=0,0,$M1084/$O1084*100)</f>
      </c>
    </row>
    <row r="1085">
      <c r="A1085"/>
      <c r="B1085">
        <v>4</v>
      </c>
      <c r="C1085" s="43">
        <f>Jahr+0</f>
      </c>
      <c r="D1085">
        <v>0</v>
      </c>
      <c r="E1085" s="43">
        <f>IF(INDEX(ObjKaufJahr,4)=0,0,IF($C1085&lt;INDEX(ObjKaufJahr,4),0,IF($C1085&gt;INDEX(ObjKaufJahr,4),12,13-INDEX(ObjKaufMonat,4))))/12</f>
      </c>
      <c r="F1085" s="43">
        <f>SUMIFS(MlSumme,MlObj,4,MlJahr,$C1085)*(1-Leerstand/100)</f>
      </c>
      <c r="G1085" s="43">
        <f>INDEX(ObjLaufend,4)*(1+(Inflation)/100)^MAX(0,0)*$E1085</f>
      </c>
      <c r="H1085" s="43">
        <f>INDEX(ObjInstandBasis,4)*(1+(Inflation)/100)^MAX(0,0)*$E1085</f>
      </c>
      <c r="I1085" s="43">
        <f>SUMIFS(TilgZins,TilgObj,4,TilgJahr,$C1085)</f>
      </c>
      <c r="J1085" s="43">
        <f>SUMIFS(TilgTilgung,TilgObj,4,TilgJahr,$C1085)</f>
      </c>
      <c r="K1085" s="43">
        <f>SUMIFS(TilgSonder,TilgObj,4,TilgJahr,$C1085)</f>
      </c>
      <c r="L1085" s="43">
        <f>SUMIFS(TilgErsatz,TilgObj,4,TilgJahr,$C1085)</f>
      </c>
      <c r="M1085" s="43">
        <f>MAX(0,SUMIF(DarlObj,4,DarlBetrag)-SUMIFS(TilgTilgung,TilgObj,4,TilgJahr,"&lt;="&amp;$C1085)-SUMIFS(TilgSonder,TilgObj,4,TilgJahr,"&lt;="&amp;$C1085))</f>
      </c>
      <c r="N1085" s="43">
        <f>SUMIFS(TilgErsatz,TilgObj,4,TilgJahr,"&lt;="&amp;$C1085)+SUMIFS(TilgErtrag,TilgObj,4,TilgJahr,"&lt;="&amp;$C1085)</f>
      </c>
      <c r="O1085" s="43">
        <f>INDEX(ObjWertEff,4)*(1+(Wertsteigerung)/100)^MAX(0,0)</f>
      </c>
      <c r="P1085" s="43">
        <f>IF(OR(INDEX(ObjAfaDauer,4)=0,INDEX(ObjAfaJahr,4)=0,$C1085&lt;INDEX(ObjKaufJahr,4),$C1085&gt;=INDEX(ObjKaufJahr,4)+INDEX(ObjAfaDauer,4)),0,IF($C1085=INDEX(ObjKaufJahr,4),INDEX(ObjAfaJahr,4)*(13-INDEX(ObjKaufMonat,4))/12,INDEX(ObjAfaJahr,4)))</f>
      </c>
      <c r="Q1085" s="43">
        <f>$F1085-$G1085-$H1085-$I1085-$P1085</f>
      </c>
      <c r="R1085" s="43">
        <f>$Q1085*INDEX(ObjSteuersatz,4)/100</f>
      </c>
      <c r="S1085" s="43">
        <f>$I1085+$J1085+$K1085+$L1085</f>
      </c>
      <c r="T1085" s="43">
        <f>$F1085-$G1085-$H1085-$S1085</f>
      </c>
      <c r="U1085" s="43">
        <f>$T1085-$R1085</f>
      </c>
      <c r="V1085" s="43">
        <f>$O1085-$M1085</f>
      </c>
      <c r="W1085" s="43">
        <f>$J1085+$K1085+$L1085</f>
      </c>
      <c r="X1085" s="43">
        <f>IF($O1085=0,0,$M1085/$O1085*100)</f>
      </c>
    </row>
    <row r="1086">
      <c r="A1086"/>
      <c r="B1086">
        <v>4</v>
      </c>
      <c r="C1086" s="43">
        <f>Jahr+1</f>
      </c>
      <c r="D1086">
        <v>1</v>
      </c>
      <c r="E1086" s="43">
        <f>IF(INDEX(ObjKaufJahr,4)=0,0,IF($C1086&lt;INDEX(ObjKaufJahr,4),0,IF($C1086&gt;INDEX(ObjKaufJahr,4),12,13-INDEX(ObjKaufMonat,4))))/12</f>
      </c>
      <c r="F1086" s="43">
        <f>SUMIFS(MlSumme,MlObj,4,MlJahr,$C1086)*(1-Leerstand/100)</f>
      </c>
      <c r="G1086" s="43">
        <f>INDEX(ObjLaufend,4)*(1+(Inflation)/100)^MAX(0,1)*$E1086</f>
      </c>
      <c r="H1086" s="43">
        <f>INDEX(ObjInstandBasis,4)*(1+(Inflation)/100)^MAX(0,1)*$E1086</f>
      </c>
      <c r="I1086" s="43">
        <f>SUMIFS(TilgZins,TilgObj,4,TilgJahr,$C1086)</f>
      </c>
      <c r="J1086" s="43">
        <f>SUMIFS(TilgTilgung,TilgObj,4,TilgJahr,$C1086)</f>
      </c>
      <c r="K1086" s="43">
        <f>SUMIFS(TilgSonder,TilgObj,4,TilgJahr,$C1086)</f>
      </c>
      <c r="L1086" s="43">
        <f>SUMIFS(TilgErsatz,TilgObj,4,TilgJahr,$C1086)</f>
      </c>
      <c r="M1086" s="43">
        <f>MAX(0,SUMIF(DarlObj,4,DarlBetrag)-SUMIFS(TilgTilgung,TilgObj,4,TilgJahr,"&lt;="&amp;$C1086)-SUMIFS(TilgSonder,TilgObj,4,TilgJahr,"&lt;="&amp;$C1086))</f>
      </c>
      <c r="N1086" s="43">
        <f>SUMIFS(TilgErsatz,TilgObj,4,TilgJahr,"&lt;="&amp;$C1086)+SUMIFS(TilgErtrag,TilgObj,4,TilgJahr,"&lt;="&amp;$C1086)</f>
      </c>
      <c r="O1086" s="43">
        <f>INDEX(ObjWertEff,4)*(1+(Wertsteigerung)/100)^MAX(0,1)</f>
      </c>
      <c r="P1086" s="43">
        <f>IF(OR(INDEX(ObjAfaDauer,4)=0,INDEX(ObjAfaJahr,4)=0,$C1086&lt;INDEX(ObjKaufJahr,4),$C1086&gt;=INDEX(ObjKaufJahr,4)+INDEX(ObjAfaDauer,4)),0,IF($C1086=INDEX(ObjKaufJahr,4),INDEX(ObjAfaJahr,4)*(13-INDEX(ObjKaufMonat,4))/12,INDEX(ObjAfaJahr,4)))</f>
      </c>
      <c r="Q1086" s="43">
        <f>$F1086-$G1086-$H1086-$I1086-$P1086</f>
      </c>
      <c r="R1086" s="43">
        <f>$Q1086*INDEX(ObjSteuersatz,4)/100</f>
      </c>
      <c r="S1086" s="43">
        <f>$I1086+$J1086+$K1086+$L1086</f>
      </c>
      <c r="T1086" s="43">
        <f>$F1086-$G1086-$H1086-$S1086</f>
      </c>
      <c r="U1086" s="43">
        <f>$T1086-$R1086</f>
      </c>
      <c r="V1086" s="43">
        <f>$O1086-$M1086</f>
      </c>
      <c r="W1086" s="43">
        <f>$J1086+$K1086+$L1086</f>
      </c>
      <c r="X1086" s="43">
        <f>IF($O1086=0,0,$M1086/$O1086*100)</f>
      </c>
    </row>
    <row r="1087">
      <c r="A1087"/>
      <c r="B1087">
        <v>4</v>
      </c>
      <c r="C1087" s="43">
        <f>Jahr+2</f>
      </c>
      <c r="D1087">
        <v>2</v>
      </c>
      <c r="E1087" s="43">
        <f>IF(INDEX(ObjKaufJahr,4)=0,0,IF($C1087&lt;INDEX(ObjKaufJahr,4),0,IF($C1087&gt;INDEX(ObjKaufJahr,4),12,13-INDEX(ObjKaufMonat,4))))/12</f>
      </c>
      <c r="F1087" s="43">
        <f>SUMIFS(MlSumme,MlObj,4,MlJahr,$C1087)*(1-Leerstand/100)</f>
      </c>
      <c r="G1087" s="43">
        <f>INDEX(ObjLaufend,4)*(1+(Inflation)/100)^MAX(0,2)*$E1087</f>
      </c>
      <c r="H1087" s="43">
        <f>INDEX(ObjInstandBasis,4)*(1+(Inflation)/100)^MAX(0,2)*$E1087</f>
      </c>
      <c r="I1087" s="43">
        <f>SUMIFS(TilgZins,TilgObj,4,TilgJahr,$C1087)</f>
      </c>
      <c r="J1087" s="43">
        <f>SUMIFS(TilgTilgung,TilgObj,4,TilgJahr,$C1087)</f>
      </c>
      <c r="K1087" s="43">
        <f>SUMIFS(TilgSonder,TilgObj,4,TilgJahr,$C1087)</f>
      </c>
      <c r="L1087" s="43">
        <f>SUMIFS(TilgErsatz,TilgObj,4,TilgJahr,$C1087)</f>
      </c>
      <c r="M1087" s="43">
        <f>MAX(0,SUMIF(DarlObj,4,DarlBetrag)-SUMIFS(TilgTilgung,TilgObj,4,TilgJahr,"&lt;="&amp;$C1087)-SUMIFS(TilgSonder,TilgObj,4,TilgJahr,"&lt;="&amp;$C1087))</f>
      </c>
      <c r="N1087" s="43">
        <f>SUMIFS(TilgErsatz,TilgObj,4,TilgJahr,"&lt;="&amp;$C1087)+SUMIFS(TilgErtrag,TilgObj,4,TilgJahr,"&lt;="&amp;$C1087)</f>
      </c>
      <c r="O1087" s="43">
        <f>INDEX(ObjWertEff,4)*(1+(Wertsteigerung)/100)^MAX(0,2)</f>
      </c>
      <c r="P1087" s="43">
        <f>IF(OR(INDEX(ObjAfaDauer,4)=0,INDEX(ObjAfaJahr,4)=0,$C1087&lt;INDEX(ObjKaufJahr,4),$C1087&gt;=INDEX(ObjKaufJahr,4)+INDEX(ObjAfaDauer,4)),0,IF($C1087=INDEX(ObjKaufJahr,4),INDEX(ObjAfaJahr,4)*(13-INDEX(ObjKaufMonat,4))/12,INDEX(ObjAfaJahr,4)))</f>
      </c>
      <c r="Q1087" s="43">
        <f>$F1087-$G1087-$H1087-$I1087-$P1087</f>
      </c>
      <c r="R1087" s="43">
        <f>$Q1087*INDEX(ObjSteuersatz,4)/100</f>
      </c>
      <c r="S1087" s="43">
        <f>$I1087+$J1087+$K1087+$L1087</f>
      </c>
      <c r="T1087" s="43">
        <f>$F1087-$G1087-$H1087-$S1087</f>
      </c>
      <c r="U1087" s="43">
        <f>$T1087-$R1087</f>
      </c>
      <c r="V1087" s="43">
        <f>$O1087-$M1087</f>
      </c>
      <c r="W1087" s="43">
        <f>$J1087+$K1087+$L1087</f>
      </c>
      <c r="X1087" s="43">
        <f>IF($O1087=0,0,$M1087/$O1087*100)</f>
      </c>
    </row>
    <row r="1088">
      <c r="A1088"/>
      <c r="B1088">
        <v>4</v>
      </c>
      <c r="C1088" s="43">
        <f>Jahr+3</f>
      </c>
      <c r="D1088">
        <v>3</v>
      </c>
      <c r="E1088" s="43">
        <f>IF(INDEX(ObjKaufJahr,4)=0,0,IF($C1088&lt;INDEX(ObjKaufJahr,4),0,IF($C1088&gt;INDEX(ObjKaufJahr,4),12,13-INDEX(ObjKaufMonat,4))))/12</f>
      </c>
      <c r="F1088" s="43">
        <f>SUMIFS(MlSumme,MlObj,4,MlJahr,$C1088)*(1-Leerstand/100)</f>
      </c>
      <c r="G1088" s="43">
        <f>INDEX(ObjLaufend,4)*(1+(Inflation)/100)^MAX(0,3)*$E1088</f>
      </c>
      <c r="H1088" s="43">
        <f>INDEX(ObjInstandBasis,4)*(1+(Inflation)/100)^MAX(0,3)*$E1088</f>
      </c>
      <c r="I1088" s="43">
        <f>SUMIFS(TilgZins,TilgObj,4,TilgJahr,$C1088)</f>
      </c>
      <c r="J1088" s="43">
        <f>SUMIFS(TilgTilgung,TilgObj,4,TilgJahr,$C1088)</f>
      </c>
      <c r="K1088" s="43">
        <f>SUMIFS(TilgSonder,TilgObj,4,TilgJahr,$C1088)</f>
      </c>
      <c r="L1088" s="43">
        <f>SUMIFS(TilgErsatz,TilgObj,4,TilgJahr,$C1088)</f>
      </c>
      <c r="M1088" s="43">
        <f>MAX(0,SUMIF(DarlObj,4,DarlBetrag)-SUMIFS(TilgTilgung,TilgObj,4,TilgJahr,"&lt;="&amp;$C1088)-SUMIFS(TilgSonder,TilgObj,4,TilgJahr,"&lt;="&amp;$C1088))</f>
      </c>
      <c r="N1088" s="43">
        <f>SUMIFS(TilgErsatz,TilgObj,4,TilgJahr,"&lt;="&amp;$C1088)+SUMIFS(TilgErtrag,TilgObj,4,TilgJahr,"&lt;="&amp;$C1088)</f>
      </c>
      <c r="O1088" s="43">
        <f>INDEX(ObjWertEff,4)*(1+(Wertsteigerung)/100)^MAX(0,3)</f>
      </c>
      <c r="P1088" s="43">
        <f>IF(OR(INDEX(ObjAfaDauer,4)=0,INDEX(ObjAfaJahr,4)=0,$C1088&lt;INDEX(ObjKaufJahr,4),$C1088&gt;=INDEX(ObjKaufJahr,4)+INDEX(ObjAfaDauer,4)),0,IF($C1088=INDEX(ObjKaufJahr,4),INDEX(ObjAfaJahr,4)*(13-INDEX(ObjKaufMonat,4))/12,INDEX(ObjAfaJahr,4)))</f>
      </c>
      <c r="Q1088" s="43">
        <f>$F1088-$G1088-$H1088-$I1088-$P1088</f>
      </c>
      <c r="R1088" s="43">
        <f>$Q1088*INDEX(ObjSteuersatz,4)/100</f>
      </c>
      <c r="S1088" s="43">
        <f>$I1088+$J1088+$K1088+$L1088</f>
      </c>
      <c r="T1088" s="43">
        <f>$F1088-$G1088-$H1088-$S1088</f>
      </c>
      <c r="U1088" s="43">
        <f>$T1088-$R1088</f>
      </c>
      <c r="V1088" s="43">
        <f>$O1088-$M1088</f>
      </c>
      <c r="W1088" s="43">
        <f>$J1088+$K1088+$L1088</f>
      </c>
      <c r="X1088" s="43">
        <f>IF($O1088=0,0,$M1088/$O1088*100)</f>
      </c>
    </row>
    <row r="1089">
      <c r="A1089"/>
      <c r="B1089">
        <v>4</v>
      </c>
      <c r="C1089" s="43">
        <f>Jahr+4</f>
      </c>
      <c r="D1089">
        <v>4</v>
      </c>
      <c r="E1089" s="43">
        <f>IF(INDEX(ObjKaufJahr,4)=0,0,IF($C1089&lt;INDEX(ObjKaufJahr,4),0,IF($C1089&gt;INDEX(ObjKaufJahr,4),12,13-INDEX(ObjKaufMonat,4))))/12</f>
      </c>
      <c r="F1089" s="43">
        <f>SUMIFS(MlSumme,MlObj,4,MlJahr,$C1089)*(1-Leerstand/100)</f>
      </c>
      <c r="G1089" s="43">
        <f>INDEX(ObjLaufend,4)*(1+(Inflation)/100)^MAX(0,4)*$E1089</f>
      </c>
      <c r="H1089" s="43">
        <f>INDEX(ObjInstandBasis,4)*(1+(Inflation)/100)^MAX(0,4)*$E1089</f>
      </c>
      <c r="I1089" s="43">
        <f>SUMIFS(TilgZins,TilgObj,4,TilgJahr,$C1089)</f>
      </c>
      <c r="J1089" s="43">
        <f>SUMIFS(TilgTilgung,TilgObj,4,TilgJahr,$C1089)</f>
      </c>
      <c r="K1089" s="43">
        <f>SUMIFS(TilgSonder,TilgObj,4,TilgJahr,$C1089)</f>
      </c>
      <c r="L1089" s="43">
        <f>SUMIFS(TilgErsatz,TilgObj,4,TilgJahr,$C1089)</f>
      </c>
      <c r="M1089" s="43">
        <f>MAX(0,SUMIF(DarlObj,4,DarlBetrag)-SUMIFS(TilgTilgung,TilgObj,4,TilgJahr,"&lt;="&amp;$C1089)-SUMIFS(TilgSonder,TilgObj,4,TilgJahr,"&lt;="&amp;$C1089))</f>
      </c>
      <c r="N1089" s="43">
        <f>SUMIFS(TilgErsatz,TilgObj,4,TilgJahr,"&lt;="&amp;$C1089)+SUMIFS(TilgErtrag,TilgObj,4,TilgJahr,"&lt;="&amp;$C1089)</f>
      </c>
      <c r="O1089" s="43">
        <f>INDEX(ObjWertEff,4)*(1+(Wertsteigerung)/100)^MAX(0,4)</f>
      </c>
      <c r="P1089" s="43">
        <f>IF(OR(INDEX(ObjAfaDauer,4)=0,INDEX(ObjAfaJahr,4)=0,$C1089&lt;INDEX(ObjKaufJahr,4),$C1089&gt;=INDEX(ObjKaufJahr,4)+INDEX(ObjAfaDauer,4)),0,IF($C1089=INDEX(ObjKaufJahr,4),INDEX(ObjAfaJahr,4)*(13-INDEX(ObjKaufMonat,4))/12,INDEX(ObjAfaJahr,4)))</f>
      </c>
      <c r="Q1089" s="43">
        <f>$F1089-$G1089-$H1089-$I1089-$P1089</f>
      </c>
      <c r="R1089" s="43">
        <f>$Q1089*INDEX(ObjSteuersatz,4)/100</f>
      </c>
      <c r="S1089" s="43">
        <f>$I1089+$J1089+$K1089+$L1089</f>
      </c>
      <c r="T1089" s="43">
        <f>$F1089-$G1089-$H1089-$S1089</f>
      </c>
      <c r="U1089" s="43">
        <f>$T1089-$R1089</f>
      </c>
      <c r="V1089" s="43">
        <f>$O1089-$M1089</f>
      </c>
      <c r="W1089" s="43">
        <f>$J1089+$K1089+$L1089</f>
      </c>
      <c r="X1089" s="43">
        <f>IF($O1089=0,0,$M1089/$O1089*100)</f>
      </c>
    </row>
    <row r="1090">
      <c r="A1090"/>
      <c r="B1090">
        <v>4</v>
      </c>
      <c r="C1090" s="43">
        <f>Jahr+5</f>
      </c>
      <c r="D1090">
        <v>5</v>
      </c>
      <c r="E1090" s="43">
        <f>IF(INDEX(ObjKaufJahr,4)=0,0,IF($C1090&lt;INDEX(ObjKaufJahr,4),0,IF($C1090&gt;INDEX(ObjKaufJahr,4),12,13-INDEX(ObjKaufMonat,4))))/12</f>
      </c>
      <c r="F1090" s="43">
        <f>SUMIFS(MlSumme,MlObj,4,MlJahr,$C1090)*(1-Leerstand/100)</f>
      </c>
      <c r="G1090" s="43">
        <f>INDEX(ObjLaufend,4)*(1+(Inflation)/100)^MAX(0,5)*$E1090</f>
      </c>
      <c r="H1090" s="43">
        <f>INDEX(ObjInstandBasis,4)*(1+(Inflation)/100)^MAX(0,5)*$E1090</f>
      </c>
      <c r="I1090" s="43">
        <f>SUMIFS(TilgZins,TilgObj,4,TilgJahr,$C1090)</f>
      </c>
      <c r="J1090" s="43">
        <f>SUMIFS(TilgTilgung,TilgObj,4,TilgJahr,$C1090)</f>
      </c>
      <c r="K1090" s="43">
        <f>SUMIFS(TilgSonder,TilgObj,4,TilgJahr,$C1090)</f>
      </c>
      <c r="L1090" s="43">
        <f>SUMIFS(TilgErsatz,TilgObj,4,TilgJahr,$C1090)</f>
      </c>
      <c r="M1090" s="43">
        <f>MAX(0,SUMIF(DarlObj,4,DarlBetrag)-SUMIFS(TilgTilgung,TilgObj,4,TilgJahr,"&lt;="&amp;$C1090)-SUMIFS(TilgSonder,TilgObj,4,TilgJahr,"&lt;="&amp;$C1090))</f>
      </c>
      <c r="N1090" s="43">
        <f>SUMIFS(TilgErsatz,TilgObj,4,TilgJahr,"&lt;="&amp;$C1090)+SUMIFS(TilgErtrag,TilgObj,4,TilgJahr,"&lt;="&amp;$C1090)</f>
      </c>
      <c r="O1090" s="43">
        <f>INDEX(ObjWertEff,4)*(1+(Wertsteigerung)/100)^MAX(0,5)</f>
      </c>
      <c r="P1090" s="43">
        <f>IF(OR(INDEX(ObjAfaDauer,4)=0,INDEX(ObjAfaJahr,4)=0,$C1090&lt;INDEX(ObjKaufJahr,4),$C1090&gt;=INDEX(ObjKaufJahr,4)+INDEX(ObjAfaDauer,4)),0,IF($C1090=INDEX(ObjKaufJahr,4),INDEX(ObjAfaJahr,4)*(13-INDEX(ObjKaufMonat,4))/12,INDEX(ObjAfaJahr,4)))</f>
      </c>
      <c r="Q1090" s="43">
        <f>$F1090-$G1090-$H1090-$I1090-$P1090</f>
      </c>
      <c r="R1090" s="43">
        <f>$Q1090*INDEX(ObjSteuersatz,4)/100</f>
      </c>
      <c r="S1090" s="43">
        <f>$I1090+$J1090+$K1090+$L1090</f>
      </c>
      <c r="T1090" s="43">
        <f>$F1090-$G1090-$H1090-$S1090</f>
      </c>
      <c r="U1090" s="43">
        <f>$T1090-$R1090</f>
      </c>
      <c r="V1090" s="43">
        <f>$O1090-$M1090</f>
      </c>
      <c r="W1090" s="43">
        <f>$J1090+$K1090+$L1090</f>
      </c>
      <c r="X1090" s="43">
        <f>IF($O1090=0,0,$M1090/$O1090*100)</f>
      </c>
    </row>
    <row r="1091">
      <c r="A1091"/>
      <c r="B1091">
        <v>4</v>
      </c>
      <c r="C1091" s="43">
        <f>Jahr+6</f>
      </c>
      <c r="D1091">
        <v>6</v>
      </c>
      <c r="E1091" s="43">
        <f>IF(INDEX(ObjKaufJahr,4)=0,0,IF($C1091&lt;INDEX(ObjKaufJahr,4),0,IF($C1091&gt;INDEX(ObjKaufJahr,4),12,13-INDEX(ObjKaufMonat,4))))/12</f>
      </c>
      <c r="F1091" s="43">
        <f>SUMIFS(MlSumme,MlObj,4,MlJahr,$C1091)*(1-Leerstand/100)</f>
      </c>
      <c r="G1091" s="43">
        <f>INDEX(ObjLaufend,4)*(1+(Inflation)/100)^MAX(0,6)*$E1091</f>
      </c>
      <c r="H1091" s="43">
        <f>INDEX(ObjInstandBasis,4)*(1+(Inflation)/100)^MAX(0,6)*$E1091</f>
      </c>
      <c r="I1091" s="43">
        <f>SUMIFS(TilgZins,TilgObj,4,TilgJahr,$C1091)</f>
      </c>
      <c r="J1091" s="43">
        <f>SUMIFS(TilgTilgung,TilgObj,4,TilgJahr,$C1091)</f>
      </c>
      <c r="K1091" s="43">
        <f>SUMIFS(TilgSonder,TilgObj,4,TilgJahr,$C1091)</f>
      </c>
      <c r="L1091" s="43">
        <f>SUMIFS(TilgErsatz,TilgObj,4,TilgJahr,$C1091)</f>
      </c>
      <c r="M1091" s="43">
        <f>MAX(0,SUMIF(DarlObj,4,DarlBetrag)-SUMIFS(TilgTilgung,TilgObj,4,TilgJahr,"&lt;="&amp;$C1091)-SUMIFS(TilgSonder,TilgObj,4,TilgJahr,"&lt;="&amp;$C1091))</f>
      </c>
      <c r="N1091" s="43">
        <f>SUMIFS(TilgErsatz,TilgObj,4,TilgJahr,"&lt;="&amp;$C1091)+SUMIFS(TilgErtrag,TilgObj,4,TilgJahr,"&lt;="&amp;$C1091)</f>
      </c>
      <c r="O1091" s="43">
        <f>INDEX(ObjWertEff,4)*(1+(Wertsteigerung)/100)^MAX(0,6)</f>
      </c>
      <c r="P1091" s="43">
        <f>IF(OR(INDEX(ObjAfaDauer,4)=0,INDEX(ObjAfaJahr,4)=0,$C1091&lt;INDEX(ObjKaufJahr,4),$C1091&gt;=INDEX(ObjKaufJahr,4)+INDEX(ObjAfaDauer,4)),0,IF($C1091=INDEX(ObjKaufJahr,4),INDEX(ObjAfaJahr,4)*(13-INDEX(ObjKaufMonat,4))/12,INDEX(ObjAfaJahr,4)))</f>
      </c>
      <c r="Q1091" s="43">
        <f>$F1091-$G1091-$H1091-$I1091-$P1091</f>
      </c>
      <c r="R1091" s="43">
        <f>$Q1091*INDEX(ObjSteuersatz,4)/100</f>
      </c>
      <c r="S1091" s="43">
        <f>$I1091+$J1091+$K1091+$L1091</f>
      </c>
      <c r="T1091" s="43">
        <f>$F1091-$G1091-$H1091-$S1091</f>
      </c>
      <c r="U1091" s="43">
        <f>$T1091-$R1091</f>
      </c>
      <c r="V1091" s="43">
        <f>$O1091-$M1091</f>
      </c>
      <c r="W1091" s="43">
        <f>$J1091+$K1091+$L1091</f>
      </c>
      <c r="X1091" s="43">
        <f>IF($O1091=0,0,$M1091/$O1091*100)</f>
      </c>
    </row>
    <row r="1092">
      <c r="A1092"/>
      <c r="B1092">
        <v>4</v>
      </c>
      <c r="C1092" s="43">
        <f>Jahr+7</f>
      </c>
      <c r="D1092">
        <v>7</v>
      </c>
      <c r="E1092" s="43">
        <f>IF(INDEX(ObjKaufJahr,4)=0,0,IF($C1092&lt;INDEX(ObjKaufJahr,4),0,IF($C1092&gt;INDEX(ObjKaufJahr,4),12,13-INDEX(ObjKaufMonat,4))))/12</f>
      </c>
      <c r="F1092" s="43">
        <f>SUMIFS(MlSumme,MlObj,4,MlJahr,$C1092)*(1-Leerstand/100)</f>
      </c>
      <c r="G1092" s="43">
        <f>INDEX(ObjLaufend,4)*(1+(Inflation)/100)^MAX(0,7)*$E1092</f>
      </c>
      <c r="H1092" s="43">
        <f>INDEX(ObjInstandBasis,4)*(1+(Inflation)/100)^MAX(0,7)*$E1092</f>
      </c>
      <c r="I1092" s="43">
        <f>SUMIFS(TilgZins,TilgObj,4,TilgJahr,$C1092)</f>
      </c>
      <c r="J1092" s="43">
        <f>SUMIFS(TilgTilgung,TilgObj,4,TilgJahr,$C1092)</f>
      </c>
      <c r="K1092" s="43">
        <f>SUMIFS(TilgSonder,TilgObj,4,TilgJahr,$C1092)</f>
      </c>
      <c r="L1092" s="43">
        <f>SUMIFS(TilgErsatz,TilgObj,4,TilgJahr,$C1092)</f>
      </c>
      <c r="M1092" s="43">
        <f>MAX(0,SUMIF(DarlObj,4,DarlBetrag)-SUMIFS(TilgTilgung,TilgObj,4,TilgJahr,"&lt;="&amp;$C1092)-SUMIFS(TilgSonder,TilgObj,4,TilgJahr,"&lt;="&amp;$C1092))</f>
      </c>
      <c r="N1092" s="43">
        <f>SUMIFS(TilgErsatz,TilgObj,4,TilgJahr,"&lt;="&amp;$C1092)+SUMIFS(TilgErtrag,TilgObj,4,TilgJahr,"&lt;="&amp;$C1092)</f>
      </c>
      <c r="O1092" s="43">
        <f>INDEX(ObjWertEff,4)*(1+(Wertsteigerung)/100)^MAX(0,7)</f>
      </c>
      <c r="P1092" s="43">
        <f>IF(OR(INDEX(ObjAfaDauer,4)=0,INDEX(ObjAfaJahr,4)=0,$C1092&lt;INDEX(ObjKaufJahr,4),$C1092&gt;=INDEX(ObjKaufJahr,4)+INDEX(ObjAfaDauer,4)),0,IF($C1092=INDEX(ObjKaufJahr,4),INDEX(ObjAfaJahr,4)*(13-INDEX(ObjKaufMonat,4))/12,INDEX(ObjAfaJahr,4)))</f>
      </c>
      <c r="Q1092" s="43">
        <f>$F1092-$G1092-$H1092-$I1092-$P1092</f>
      </c>
      <c r="R1092" s="43">
        <f>$Q1092*INDEX(ObjSteuersatz,4)/100</f>
      </c>
      <c r="S1092" s="43">
        <f>$I1092+$J1092+$K1092+$L1092</f>
      </c>
      <c r="T1092" s="43">
        <f>$F1092-$G1092-$H1092-$S1092</f>
      </c>
      <c r="U1092" s="43">
        <f>$T1092-$R1092</f>
      </c>
      <c r="V1092" s="43">
        <f>$O1092-$M1092</f>
      </c>
      <c r="W1092" s="43">
        <f>$J1092+$K1092+$L1092</f>
      </c>
      <c r="X1092" s="43">
        <f>IF($O1092=0,0,$M1092/$O1092*100)</f>
      </c>
    </row>
    <row r="1093">
      <c r="A1093"/>
      <c r="B1093">
        <v>4</v>
      </c>
      <c r="C1093" s="43">
        <f>Jahr+8</f>
      </c>
      <c r="D1093">
        <v>8</v>
      </c>
      <c r="E1093" s="43">
        <f>IF(INDEX(ObjKaufJahr,4)=0,0,IF($C1093&lt;INDEX(ObjKaufJahr,4),0,IF($C1093&gt;INDEX(ObjKaufJahr,4),12,13-INDEX(ObjKaufMonat,4))))/12</f>
      </c>
      <c r="F1093" s="43">
        <f>SUMIFS(MlSumme,MlObj,4,MlJahr,$C1093)*(1-Leerstand/100)</f>
      </c>
      <c r="G1093" s="43">
        <f>INDEX(ObjLaufend,4)*(1+(Inflation)/100)^MAX(0,8)*$E1093</f>
      </c>
      <c r="H1093" s="43">
        <f>INDEX(ObjInstandBasis,4)*(1+(Inflation)/100)^MAX(0,8)*$E1093</f>
      </c>
      <c r="I1093" s="43">
        <f>SUMIFS(TilgZins,TilgObj,4,TilgJahr,$C1093)</f>
      </c>
      <c r="J1093" s="43">
        <f>SUMIFS(TilgTilgung,TilgObj,4,TilgJahr,$C1093)</f>
      </c>
      <c r="K1093" s="43">
        <f>SUMIFS(TilgSonder,TilgObj,4,TilgJahr,$C1093)</f>
      </c>
      <c r="L1093" s="43">
        <f>SUMIFS(TilgErsatz,TilgObj,4,TilgJahr,$C1093)</f>
      </c>
      <c r="M1093" s="43">
        <f>MAX(0,SUMIF(DarlObj,4,DarlBetrag)-SUMIFS(TilgTilgung,TilgObj,4,TilgJahr,"&lt;="&amp;$C1093)-SUMIFS(TilgSonder,TilgObj,4,TilgJahr,"&lt;="&amp;$C1093))</f>
      </c>
      <c r="N1093" s="43">
        <f>SUMIFS(TilgErsatz,TilgObj,4,TilgJahr,"&lt;="&amp;$C1093)+SUMIFS(TilgErtrag,TilgObj,4,TilgJahr,"&lt;="&amp;$C1093)</f>
      </c>
      <c r="O1093" s="43">
        <f>INDEX(ObjWertEff,4)*(1+(Wertsteigerung)/100)^MAX(0,8)</f>
      </c>
      <c r="P1093" s="43">
        <f>IF(OR(INDEX(ObjAfaDauer,4)=0,INDEX(ObjAfaJahr,4)=0,$C1093&lt;INDEX(ObjKaufJahr,4),$C1093&gt;=INDEX(ObjKaufJahr,4)+INDEX(ObjAfaDauer,4)),0,IF($C1093=INDEX(ObjKaufJahr,4),INDEX(ObjAfaJahr,4)*(13-INDEX(ObjKaufMonat,4))/12,INDEX(ObjAfaJahr,4)))</f>
      </c>
      <c r="Q1093" s="43">
        <f>$F1093-$G1093-$H1093-$I1093-$P1093</f>
      </c>
      <c r="R1093" s="43">
        <f>$Q1093*INDEX(ObjSteuersatz,4)/100</f>
      </c>
      <c r="S1093" s="43">
        <f>$I1093+$J1093+$K1093+$L1093</f>
      </c>
      <c r="T1093" s="43">
        <f>$F1093-$G1093-$H1093-$S1093</f>
      </c>
      <c r="U1093" s="43">
        <f>$T1093-$R1093</f>
      </c>
      <c r="V1093" s="43">
        <f>$O1093-$M1093</f>
      </c>
      <c r="W1093" s="43">
        <f>$J1093+$K1093+$L1093</f>
      </c>
      <c r="X1093" s="43">
        <f>IF($O1093=0,0,$M1093/$O1093*100)</f>
      </c>
    </row>
    <row r="1094">
      <c r="A1094"/>
      <c r="B1094">
        <v>4</v>
      </c>
      <c r="C1094" s="43">
        <f>Jahr+9</f>
      </c>
      <c r="D1094">
        <v>9</v>
      </c>
      <c r="E1094" s="43">
        <f>IF(INDEX(ObjKaufJahr,4)=0,0,IF($C1094&lt;INDEX(ObjKaufJahr,4),0,IF($C1094&gt;INDEX(ObjKaufJahr,4),12,13-INDEX(ObjKaufMonat,4))))/12</f>
      </c>
      <c r="F1094" s="43">
        <f>SUMIFS(MlSumme,MlObj,4,MlJahr,$C1094)*(1-Leerstand/100)</f>
      </c>
      <c r="G1094" s="43">
        <f>INDEX(ObjLaufend,4)*(1+(Inflation)/100)^MAX(0,9)*$E1094</f>
      </c>
      <c r="H1094" s="43">
        <f>INDEX(ObjInstandBasis,4)*(1+(Inflation)/100)^MAX(0,9)*$E1094</f>
      </c>
      <c r="I1094" s="43">
        <f>SUMIFS(TilgZins,TilgObj,4,TilgJahr,$C1094)</f>
      </c>
      <c r="J1094" s="43">
        <f>SUMIFS(TilgTilgung,TilgObj,4,TilgJahr,$C1094)</f>
      </c>
      <c r="K1094" s="43">
        <f>SUMIFS(TilgSonder,TilgObj,4,TilgJahr,$C1094)</f>
      </c>
      <c r="L1094" s="43">
        <f>SUMIFS(TilgErsatz,TilgObj,4,TilgJahr,$C1094)</f>
      </c>
      <c r="M1094" s="43">
        <f>MAX(0,SUMIF(DarlObj,4,DarlBetrag)-SUMIFS(TilgTilgung,TilgObj,4,TilgJahr,"&lt;="&amp;$C1094)-SUMIFS(TilgSonder,TilgObj,4,TilgJahr,"&lt;="&amp;$C1094))</f>
      </c>
      <c r="N1094" s="43">
        <f>SUMIFS(TilgErsatz,TilgObj,4,TilgJahr,"&lt;="&amp;$C1094)+SUMIFS(TilgErtrag,TilgObj,4,TilgJahr,"&lt;="&amp;$C1094)</f>
      </c>
      <c r="O1094" s="43">
        <f>INDEX(ObjWertEff,4)*(1+(Wertsteigerung)/100)^MAX(0,9)</f>
      </c>
      <c r="P1094" s="43">
        <f>IF(OR(INDEX(ObjAfaDauer,4)=0,INDEX(ObjAfaJahr,4)=0,$C1094&lt;INDEX(ObjKaufJahr,4),$C1094&gt;=INDEX(ObjKaufJahr,4)+INDEX(ObjAfaDauer,4)),0,IF($C1094=INDEX(ObjKaufJahr,4),INDEX(ObjAfaJahr,4)*(13-INDEX(ObjKaufMonat,4))/12,INDEX(ObjAfaJahr,4)))</f>
      </c>
      <c r="Q1094" s="43">
        <f>$F1094-$G1094-$H1094-$I1094-$P1094</f>
      </c>
      <c r="R1094" s="43">
        <f>$Q1094*INDEX(ObjSteuersatz,4)/100</f>
      </c>
      <c r="S1094" s="43">
        <f>$I1094+$J1094+$K1094+$L1094</f>
      </c>
      <c r="T1094" s="43">
        <f>$F1094-$G1094-$H1094-$S1094</f>
      </c>
      <c r="U1094" s="43">
        <f>$T1094-$R1094</f>
      </c>
      <c r="V1094" s="43">
        <f>$O1094-$M1094</f>
      </c>
      <c r="W1094" s="43">
        <f>$J1094+$K1094+$L1094</f>
      </c>
      <c r="X1094" s="43">
        <f>IF($O1094=0,0,$M1094/$O1094*100)</f>
      </c>
    </row>
    <row r="1095">
      <c r="A1095"/>
      <c r="B1095">
        <v>4</v>
      </c>
      <c r="C1095" s="43">
        <f>Jahr+10</f>
      </c>
      <c r="D1095">
        <v>10</v>
      </c>
      <c r="E1095" s="43">
        <f>IF(INDEX(ObjKaufJahr,4)=0,0,IF($C1095&lt;INDEX(ObjKaufJahr,4),0,IF($C1095&gt;INDEX(ObjKaufJahr,4),12,13-INDEX(ObjKaufMonat,4))))/12</f>
      </c>
      <c r="F1095" s="43">
        <f>SUMIFS(MlSumme,MlObj,4,MlJahr,$C1095)*(1-Leerstand/100)</f>
      </c>
      <c r="G1095" s="43">
        <f>INDEX(ObjLaufend,4)*(1+(Inflation)/100)^MAX(0,10)*$E1095</f>
      </c>
      <c r="H1095" s="43">
        <f>INDEX(ObjInstandBasis,4)*(1+(Inflation)/100)^MAX(0,10)*$E1095</f>
      </c>
      <c r="I1095" s="43">
        <f>SUMIFS(TilgZins,TilgObj,4,TilgJahr,$C1095)</f>
      </c>
      <c r="J1095" s="43">
        <f>SUMIFS(TilgTilgung,TilgObj,4,TilgJahr,$C1095)</f>
      </c>
      <c r="K1095" s="43">
        <f>SUMIFS(TilgSonder,TilgObj,4,TilgJahr,$C1095)</f>
      </c>
      <c r="L1095" s="43">
        <f>SUMIFS(TilgErsatz,TilgObj,4,TilgJahr,$C1095)</f>
      </c>
      <c r="M1095" s="43">
        <f>MAX(0,SUMIF(DarlObj,4,DarlBetrag)-SUMIFS(TilgTilgung,TilgObj,4,TilgJahr,"&lt;="&amp;$C1095)-SUMIFS(TilgSonder,TilgObj,4,TilgJahr,"&lt;="&amp;$C1095))</f>
      </c>
      <c r="N1095" s="43">
        <f>SUMIFS(TilgErsatz,TilgObj,4,TilgJahr,"&lt;="&amp;$C1095)+SUMIFS(TilgErtrag,TilgObj,4,TilgJahr,"&lt;="&amp;$C1095)</f>
      </c>
      <c r="O1095" s="43">
        <f>INDEX(ObjWertEff,4)*(1+(Wertsteigerung)/100)^MAX(0,10)</f>
      </c>
      <c r="P1095" s="43">
        <f>IF(OR(INDEX(ObjAfaDauer,4)=0,INDEX(ObjAfaJahr,4)=0,$C1095&lt;INDEX(ObjKaufJahr,4),$C1095&gt;=INDEX(ObjKaufJahr,4)+INDEX(ObjAfaDauer,4)),0,IF($C1095=INDEX(ObjKaufJahr,4),INDEX(ObjAfaJahr,4)*(13-INDEX(ObjKaufMonat,4))/12,INDEX(ObjAfaJahr,4)))</f>
      </c>
      <c r="Q1095" s="43">
        <f>$F1095-$G1095-$H1095-$I1095-$P1095</f>
      </c>
      <c r="R1095" s="43">
        <f>$Q1095*INDEX(ObjSteuersatz,4)/100</f>
      </c>
      <c r="S1095" s="43">
        <f>$I1095+$J1095+$K1095+$L1095</f>
      </c>
      <c r="T1095" s="43">
        <f>$F1095-$G1095-$H1095-$S1095</f>
      </c>
      <c r="U1095" s="43">
        <f>$T1095-$R1095</f>
      </c>
      <c r="V1095" s="43">
        <f>$O1095-$M1095</f>
      </c>
      <c r="W1095" s="43">
        <f>$J1095+$K1095+$L1095</f>
      </c>
      <c r="X1095" s="43">
        <f>IF($O1095=0,0,$M1095/$O1095*100)</f>
      </c>
    </row>
    <row r="1096">
      <c r="A1096"/>
      <c r="B1096">
        <v>4</v>
      </c>
      <c r="C1096" s="43">
        <f>Jahr+11</f>
      </c>
      <c r="D1096">
        <v>11</v>
      </c>
      <c r="E1096" s="43">
        <f>IF(INDEX(ObjKaufJahr,4)=0,0,IF($C1096&lt;INDEX(ObjKaufJahr,4),0,IF($C1096&gt;INDEX(ObjKaufJahr,4),12,13-INDEX(ObjKaufMonat,4))))/12</f>
      </c>
      <c r="F1096" s="43">
        <f>SUMIFS(MlSumme,MlObj,4,MlJahr,$C1096)*(1-Leerstand/100)</f>
      </c>
      <c r="G1096" s="43">
        <f>INDEX(ObjLaufend,4)*(1+(Inflation)/100)^MAX(0,11)*$E1096</f>
      </c>
      <c r="H1096" s="43">
        <f>INDEX(ObjInstandBasis,4)*(1+(Inflation)/100)^MAX(0,11)*$E1096</f>
      </c>
      <c r="I1096" s="43">
        <f>SUMIFS(TilgZins,TilgObj,4,TilgJahr,$C1096)</f>
      </c>
      <c r="J1096" s="43">
        <f>SUMIFS(TilgTilgung,TilgObj,4,TilgJahr,$C1096)</f>
      </c>
      <c r="K1096" s="43">
        <f>SUMIFS(TilgSonder,TilgObj,4,TilgJahr,$C1096)</f>
      </c>
      <c r="L1096" s="43">
        <f>SUMIFS(TilgErsatz,TilgObj,4,TilgJahr,$C1096)</f>
      </c>
      <c r="M1096" s="43">
        <f>MAX(0,SUMIF(DarlObj,4,DarlBetrag)-SUMIFS(TilgTilgung,TilgObj,4,TilgJahr,"&lt;="&amp;$C1096)-SUMIFS(TilgSonder,TilgObj,4,TilgJahr,"&lt;="&amp;$C1096))</f>
      </c>
      <c r="N1096" s="43">
        <f>SUMIFS(TilgErsatz,TilgObj,4,TilgJahr,"&lt;="&amp;$C1096)+SUMIFS(TilgErtrag,TilgObj,4,TilgJahr,"&lt;="&amp;$C1096)</f>
      </c>
      <c r="O1096" s="43">
        <f>INDEX(ObjWertEff,4)*(1+(Wertsteigerung)/100)^MAX(0,11)</f>
      </c>
      <c r="P1096" s="43">
        <f>IF(OR(INDEX(ObjAfaDauer,4)=0,INDEX(ObjAfaJahr,4)=0,$C1096&lt;INDEX(ObjKaufJahr,4),$C1096&gt;=INDEX(ObjKaufJahr,4)+INDEX(ObjAfaDauer,4)),0,IF($C1096=INDEX(ObjKaufJahr,4),INDEX(ObjAfaJahr,4)*(13-INDEX(ObjKaufMonat,4))/12,INDEX(ObjAfaJahr,4)))</f>
      </c>
      <c r="Q1096" s="43">
        <f>$F1096-$G1096-$H1096-$I1096-$P1096</f>
      </c>
      <c r="R1096" s="43">
        <f>$Q1096*INDEX(ObjSteuersatz,4)/100</f>
      </c>
      <c r="S1096" s="43">
        <f>$I1096+$J1096+$K1096+$L1096</f>
      </c>
      <c r="T1096" s="43">
        <f>$F1096-$G1096-$H1096-$S1096</f>
      </c>
      <c r="U1096" s="43">
        <f>$T1096-$R1096</f>
      </c>
      <c r="V1096" s="43">
        <f>$O1096-$M1096</f>
      </c>
      <c r="W1096" s="43">
        <f>$J1096+$K1096+$L1096</f>
      </c>
      <c r="X1096" s="43">
        <f>IF($O1096=0,0,$M1096/$O1096*100)</f>
      </c>
    </row>
    <row r="1097">
      <c r="A1097"/>
      <c r="B1097">
        <v>4</v>
      </c>
      <c r="C1097" s="43">
        <f>Jahr+12</f>
      </c>
      <c r="D1097">
        <v>12</v>
      </c>
      <c r="E1097" s="43">
        <f>IF(INDEX(ObjKaufJahr,4)=0,0,IF($C1097&lt;INDEX(ObjKaufJahr,4),0,IF($C1097&gt;INDEX(ObjKaufJahr,4),12,13-INDEX(ObjKaufMonat,4))))/12</f>
      </c>
      <c r="F1097" s="43">
        <f>SUMIFS(MlSumme,MlObj,4,MlJahr,$C1097)*(1-Leerstand/100)</f>
      </c>
      <c r="G1097" s="43">
        <f>INDEX(ObjLaufend,4)*(1+(Inflation)/100)^MAX(0,12)*$E1097</f>
      </c>
      <c r="H1097" s="43">
        <f>INDEX(ObjInstandBasis,4)*(1+(Inflation)/100)^MAX(0,12)*$E1097</f>
      </c>
      <c r="I1097" s="43">
        <f>SUMIFS(TilgZins,TilgObj,4,TilgJahr,$C1097)</f>
      </c>
      <c r="J1097" s="43">
        <f>SUMIFS(TilgTilgung,TilgObj,4,TilgJahr,$C1097)</f>
      </c>
      <c r="K1097" s="43">
        <f>SUMIFS(TilgSonder,TilgObj,4,TilgJahr,$C1097)</f>
      </c>
      <c r="L1097" s="43">
        <f>SUMIFS(TilgErsatz,TilgObj,4,TilgJahr,$C1097)</f>
      </c>
      <c r="M1097" s="43">
        <f>MAX(0,SUMIF(DarlObj,4,DarlBetrag)-SUMIFS(TilgTilgung,TilgObj,4,TilgJahr,"&lt;="&amp;$C1097)-SUMIFS(TilgSonder,TilgObj,4,TilgJahr,"&lt;="&amp;$C1097))</f>
      </c>
      <c r="N1097" s="43">
        <f>SUMIFS(TilgErsatz,TilgObj,4,TilgJahr,"&lt;="&amp;$C1097)+SUMIFS(TilgErtrag,TilgObj,4,TilgJahr,"&lt;="&amp;$C1097)</f>
      </c>
      <c r="O1097" s="43">
        <f>INDEX(ObjWertEff,4)*(1+(Wertsteigerung)/100)^MAX(0,12)</f>
      </c>
      <c r="P1097" s="43">
        <f>IF(OR(INDEX(ObjAfaDauer,4)=0,INDEX(ObjAfaJahr,4)=0,$C1097&lt;INDEX(ObjKaufJahr,4),$C1097&gt;=INDEX(ObjKaufJahr,4)+INDEX(ObjAfaDauer,4)),0,IF($C1097=INDEX(ObjKaufJahr,4),INDEX(ObjAfaJahr,4)*(13-INDEX(ObjKaufMonat,4))/12,INDEX(ObjAfaJahr,4)))</f>
      </c>
      <c r="Q1097" s="43">
        <f>$F1097-$G1097-$H1097-$I1097-$P1097</f>
      </c>
      <c r="R1097" s="43">
        <f>$Q1097*INDEX(ObjSteuersatz,4)/100</f>
      </c>
      <c r="S1097" s="43">
        <f>$I1097+$J1097+$K1097+$L1097</f>
      </c>
      <c r="T1097" s="43">
        <f>$F1097-$G1097-$H1097-$S1097</f>
      </c>
      <c r="U1097" s="43">
        <f>$T1097-$R1097</f>
      </c>
      <c r="V1097" s="43">
        <f>$O1097-$M1097</f>
      </c>
      <c r="W1097" s="43">
        <f>$J1097+$K1097+$L1097</f>
      </c>
      <c r="X1097" s="43">
        <f>IF($O1097=0,0,$M1097/$O1097*100)</f>
      </c>
    </row>
    <row r="1098">
      <c r="A1098"/>
      <c r="B1098">
        <v>4</v>
      </c>
      <c r="C1098" s="43">
        <f>Jahr+13</f>
      </c>
      <c r="D1098">
        <v>13</v>
      </c>
      <c r="E1098" s="43">
        <f>IF(INDEX(ObjKaufJahr,4)=0,0,IF($C1098&lt;INDEX(ObjKaufJahr,4),0,IF($C1098&gt;INDEX(ObjKaufJahr,4),12,13-INDEX(ObjKaufMonat,4))))/12</f>
      </c>
      <c r="F1098" s="43">
        <f>SUMIFS(MlSumme,MlObj,4,MlJahr,$C1098)*(1-Leerstand/100)</f>
      </c>
      <c r="G1098" s="43">
        <f>INDEX(ObjLaufend,4)*(1+(Inflation)/100)^MAX(0,13)*$E1098</f>
      </c>
      <c r="H1098" s="43">
        <f>INDEX(ObjInstandBasis,4)*(1+(Inflation)/100)^MAX(0,13)*$E1098</f>
      </c>
      <c r="I1098" s="43">
        <f>SUMIFS(TilgZins,TilgObj,4,TilgJahr,$C1098)</f>
      </c>
      <c r="J1098" s="43">
        <f>SUMIFS(TilgTilgung,TilgObj,4,TilgJahr,$C1098)</f>
      </c>
      <c r="K1098" s="43">
        <f>SUMIFS(TilgSonder,TilgObj,4,TilgJahr,$C1098)</f>
      </c>
      <c r="L1098" s="43">
        <f>SUMIFS(TilgErsatz,TilgObj,4,TilgJahr,$C1098)</f>
      </c>
      <c r="M1098" s="43">
        <f>MAX(0,SUMIF(DarlObj,4,DarlBetrag)-SUMIFS(TilgTilgung,TilgObj,4,TilgJahr,"&lt;="&amp;$C1098)-SUMIFS(TilgSonder,TilgObj,4,TilgJahr,"&lt;="&amp;$C1098))</f>
      </c>
      <c r="N1098" s="43">
        <f>SUMIFS(TilgErsatz,TilgObj,4,TilgJahr,"&lt;="&amp;$C1098)+SUMIFS(TilgErtrag,TilgObj,4,TilgJahr,"&lt;="&amp;$C1098)</f>
      </c>
      <c r="O1098" s="43">
        <f>INDEX(ObjWertEff,4)*(1+(Wertsteigerung)/100)^MAX(0,13)</f>
      </c>
      <c r="P1098" s="43">
        <f>IF(OR(INDEX(ObjAfaDauer,4)=0,INDEX(ObjAfaJahr,4)=0,$C1098&lt;INDEX(ObjKaufJahr,4),$C1098&gt;=INDEX(ObjKaufJahr,4)+INDEX(ObjAfaDauer,4)),0,IF($C1098=INDEX(ObjKaufJahr,4),INDEX(ObjAfaJahr,4)*(13-INDEX(ObjKaufMonat,4))/12,INDEX(ObjAfaJahr,4)))</f>
      </c>
      <c r="Q1098" s="43">
        <f>$F1098-$G1098-$H1098-$I1098-$P1098</f>
      </c>
      <c r="R1098" s="43">
        <f>$Q1098*INDEX(ObjSteuersatz,4)/100</f>
      </c>
      <c r="S1098" s="43">
        <f>$I1098+$J1098+$K1098+$L1098</f>
      </c>
      <c r="T1098" s="43">
        <f>$F1098-$G1098-$H1098-$S1098</f>
      </c>
      <c r="U1098" s="43">
        <f>$T1098-$R1098</f>
      </c>
      <c r="V1098" s="43">
        <f>$O1098-$M1098</f>
      </c>
      <c r="W1098" s="43">
        <f>$J1098+$K1098+$L1098</f>
      </c>
      <c r="X1098" s="43">
        <f>IF($O1098=0,0,$M1098/$O1098*100)</f>
      </c>
    </row>
    <row r="1099">
      <c r="A1099"/>
      <c r="B1099">
        <v>4</v>
      </c>
      <c r="C1099" s="43">
        <f>Jahr+14</f>
      </c>
      <c r="D1099">
        <v>14</v>
      </c>
      <c r="E1099" s="43">
        <f>IF(INDEX(ObjKaufJahr,4)=0,0,IF($C1099&lt;INDEX(ObjKaufJahr,4),0,IF($C1099&gt;INDEX(ObjKaufJahr,4),12,13-INDEX(ObjKaufMonat,4))))/12</f>
      </c>
      <c r="F1099" s="43">
        <f>SUMIFS(MlSumme,MlObj,4,MlJahr,$C1099)*(1-Leerstand/100)</f>
      </c>
      <c r="G1099" s="43">
        <f>INDEX(ObjLaufend,4)*(1+(Inflation)/100)^MAX(0,14)*$E1099</f>
      </c>
      <c r="H1099" s="43">
        <f>INDEX(ObjInstandBasis,4)*(1+(Inflation)/100)^MAX(0,14)*$E1099</f>
      </c>
      <c r="I1099" s="43">
        <f>SUMIFS(TilgZins,TilgObj,4,TilgJahr,$C1099)</f>
      </c>
      <c r="J1099" s="43">
        <f>SUMIFS(TilgTilgung,TilgObj,4,TilgJahr,$C1099)</f>
      </c>
      <c r="K1099" s="43">
        <f>SUMIFS(TilgSonder,TilgObj,4,TilgJahr,$C1099)</f>
      </c>
      <c r="L1099" s="43">
        <f>SUMIFS(TilgErsatz,TilgObj,4,TilgJahr,$C1099)</f>
      </c>
      <c r="M1099" s="43">
        <f>MAX(0,SUMIF(DarlObj,4,DarlBetrag)-SUMIFS(TilgTilgung,TilgObj,4,TilgJahr,"&lt;="&amp;$C1099)-SUMIFS(TilgSonder,TilgObj,4,TilgJahr,"&lt;="&amp;$C1099))</f>
      </c>
      <c r="N1099" s="43">
        <f>SUMIFS(TilgErsatz,TilgObj,4,TilgJahr,"&lt;="&amp;$C1099)+SUMIFS(TilgErtrag,TilgObj,4,TilgJahr,"&lt;="&amp;$C1099)</f>
      </c>
      <c r="O1099" s="43">
        <f>INDEX(ObjWertEff,4)*(1+(Wertsteigerung)/100)^MAX(0,14)</f>
      </c>
      <c r="P1099" s="43">
        <f>IF(OR(INDEX(ObjAfaDauer,4)=0,INDEX(ObjAfaJahr,4)=0,$C1099&lt;INDEX(ObjKaufJahr,4),$C1099&gt;=INDEX(ObjKaufJahr,4)+INDEX(ObjAfaDauer,4)),0,IF($C1099=INDEX(ObjKaufJahr,4),INDEX(ObjAfaJahr,4)*(13-INDEX(ObjKaufMonat,4))/12,INDEX(ObjAfaJahr,4)))</f>
      </c>
      <c r="Q1099" s="43">
        <f>$F1099-$G1099-$H1099-$I1099-$P1099</f>
      </c>
      <c r="R1099" s="43">
        <f>$Q1099*INDEX(ObjSteuersatz,4)/100</f>
      </c>
      <c r="S1099" s="43">
        <f>$I1099+$J1099+$K1099+$L1099</f>
      </c>
      <c r="T1099" s="43">
        <f>$F1099-$G1099-$H1099-$S1099</f>
      </c>
      <c r="U1099" s="43">
        <f>$T1099-$R1099</f>
      </c>
      <c r="V1099" s="43">
        <f>$O1099-$M1099</f>
      </c>
      <c r="W1099" s="43">
        <f>$J1099+$K1099+$L1099</f>
      </c>
      <c r="X1099" s="43">
        <f>IF($O1099=0,0,$M1099/$O1099*100)</f>
      </c>
    </row>
    <row r="1100">
      <c r="A1100"/>
      <c r="B1100">
        <v>4</v>
      </c>
      <c r="C1100" s="43">
        <f>Jahr+15</f>
      </c>
      <c r="D1100">
        <v>15</v>
      </c>
      <c r="E1100" s="43">
        <f>IF(INDEX(ObjKaufJahr,4)=0,0,IF($C1100&lt;INDEX(ObjKaufJahr,4),0,IF($C1100&gt;INDEX(ObjKaufJahr,4),12,13-INDEX(ObjKaufMonat,4))))/12</f>
      </c>
      <c r="F1100" s="43">
        <f>SUMIFS(MlSumme,MlObj,4,MlJahr,$C1100)*(1-Leerstand/100)</f>
      </c>
      <c r="G1100" s="43">
        <f>INDEX(ObjLaufend,4)*(1+(Inflation)/100)^MAX(0,15)*$E1100</f>
      </c>
      <c r="H1100" s="43">
        <f>INDEX(ObjInstandBasis,4)*(1+(Inflation)/100)^MAX(0,15)*$E1100</f>
      </c>
      <c r="I1100" s="43">
        <f>SUMIFS(TilgZins,TilgObj,4,TilgJahr,$C1100)</f>
      </c>
      <c r="J1100" s="43">
        <f>SUMIFS(TilgTilgung,TilgObj,4,TilgJahr,$C1100)</f>
      </c>
      <c r="K1100" s="43">
        <f>SUMIFS(TilgSonder,TilgObj,4,TilgJahr,$C1100)</f>
      </c>
      <c r="L1100" s="43">
        <f>SUMIFS(TilgErsatz,TilgObj,4,TilgJahr,$C1100)</f>
      </c>
      <c r="M1100" s="43">
        <f>MAX(0,SUMIF(DarlObj,4,DarlBetrag)-SUMIFS(TilgTilgung,TilgObj,4,TilgJahr,"&lt;="&amp;$C1100)-SUMIFS(TilgSonder,TilgObj,4,TilgJahr,"&lt;="&amp;$C1100))</f>
      </c>
      <c r="N1100" s="43">
        <f>SUMIFS(TilgErsatz,TilgObj,4,TilgJahr,"&lt;="&amp;$C1100)+SUMIFS(TilgErtrag,TilgObj,4,TilgJahr,"&lt;="&amp;$C1100)</f>
      </c>
      <c r="O1100" s="43">
        <f>INDEX(ObjWertEff,4)*(1+(Wertsteigerung)/100)^MAX(0,15)</f>
      </c>
      <c r="P1100" s="43">
        <f>IF(OR(INDEX(ObjAfaDauer,4)=0,INDEX(ObjAfaJahr,4)=0,$C1100&lt;INDEX(ObjKaufJahr,4),$C1100&gt;=INDEX(ObjKaufJahr,4)+INDEX(ObjAfaDauer,4)),0,IF($C1100=INDEX(ObjKaufJahr,4),INDEX(ObjAfaJahr,4)*(13-INDEX(ObjKaufMonat,4))/12,INDEX(ObjAfaJahr,4)))</f>
      </c>
      <c r="Q1100" s="43">
        <f>$F1100-$G1100-$H1100-$I1100-$P1100</f>
      </c>
      <c r="R1100" s="43">
        <f>$Q1100*INDEX(ObjSteuersatz,4)/100</f>
      </c>
      <c r="S1100" s="43">
        <f>$I1100+$J1100+$K1100+$L1100</f>
      </c>
      <c r="T1100" s="43">
        <f>$F1100-$G1100-$H1100-$S1100</f>
      </c>
      <c r="U1100" s="43">
        <f>$T1100-$R1100</f>
      </c>
      <c r="V1100" s="43">
        <f>$O1100-$M1100</f>
      </c>
      <c r="W1100" s="43">
        <f>$J1100+$K1100+$L1100</f>
      </c>
      <c r="X1100" s="43">
        <f>IF($O1100=0,0,$M1100/$O1100*100)</f>
      </c>
    </row>
    <row r="1101">
      <c r="A1101"/>
      <c r="B1101">
        <v>4</v>
      </c>
      <c r="C1101" s="43">
        <f>Jahr+16</f>
      </c>
      <c r="D1101">
        <v>16</v>
      </c>
      <c r="E1101" s="43">
        <f>IF(INDEX(ObjKaufJahr,4)=0,0,IF($C1101&lt;INDEX(ObjKaufJahr,4),0,IF($C1101&gt;INDEX(ObjKaufJahr,4),12,13-INDEX(ObjKaufMonat,4))))/12</f>
      </c>
      <c r="F1101" s="43">
        <f>SUMIFS(MlSumme,MlObj,4,MlJahr,$C1101)*(1-Leerstand/100)</f>
      </c>
      <c r="G1101" s="43">
        <f>INDEX(ObjLaufend,4)*(1+(Inflation)/100)^MAX(0,16)*$E1101</f>
      </c>
      <c r="H1101" s="43">
        <f>INDEX(ObjInstandBasis,4)*(1+(Inflation)/100)^MAX(0,16)*$E1101</f>
      </c>
      <c r="I1101" s="43">
        <f>SUMIFS(TilgZins,TilgObj,4,TilgJahr,$C1101)</f>
      </c>
      <c r="J1101" s="43">
        <f>SUMIFS(TilgTilgung,TilgObj,4,TilgJahr,$C1101)</f>
      </c>
      <c r="K1101" s="43">
        <f>SUMIFS(TilgSonder,TilgObj,4,TilgJahr,$C1101)</f>
      </c>
      <c r="L1101" s="43">
        <f>SUMIFS(TilgErsatz,TilgObj,4,TilgJahr,$C1101)</f>
      </c>
      <c r="M1101" s="43">
        <f>MAX(0,SUMIF(DarlObj,4,DarlBetrag)-SUMIFS(TilgTilgung,TilgObj,4,TilgJahr,"&lt;="&amp;$C1101)-SUMIFS(TilgSonder,TilgObj,4,TilgJahr,"&lt;="&amp;$C1101))</f>
      </c>
      <c r="N1101" s="43">
        <f>SUMIFS(TilgErsatz,TilgObj,4,TilgJahr,"&lt;="&amp;$C1101)+SUMIFS(TilgErtrag,TilgObj,4,TilgJahr,"&lt;="&amp;$C1101)</f>
      </c>
      <c r="O1101" s="43">
        <f>INDEX(ObjWertEff,4)*(1+(Wertsteigerung)/100)^MAX(0,16)</f>
      </c>
      <c r="P1101" s="43">
        <f>IF(OR(INDEX(ObjAfaDauer,4)=0,INDEX(ObjAfaJahr,4)=0,$C1101&lt;INDEX(ObjKaufJahr,4),$C1101&gt;=INDEX(ObjKaufJahr,4)+INDEX(ObjAfaDauer,4)),0,IF($C1101=INDEX(ObjKaufJahr,4),INDEX(ObjAfaJahr,4)*(13-INDEX(ObjKaufMonat,4))/12,INDEX(ObjAfaJahr,4)))</f>
      </c>
      <c r="Q1101" s="43">
        <f>$F1101-$G1101-$H1101-$I1101-$P1101</f>
      </c>
      <c r="R1101" s="43">
        <f>$Q1101*INDEX(ObjSteuersatz,4)/100</f>
      </c>
      <c r="S1101" s="43">
        <f>$I1101+$J1101+$K1101+$L1101</f>
      </c>
      <c r="T1101" s="43">
        <f>$F1101-$G1101-$H1101-$S1101</f>
      </c>
      <c r="U1101" s="43">
        <f>$T1101-$R1101</f>
      </c>
      <c r="V1101" s="43">
        <f>$O1101-$M1101</f>
      </c>
      <c r="W1101" s="43">
        <f>$J1101+$K1101+$L1101</f>
      </c>
      <c r="X1101" s="43">
        <f>IF($O1101=0,0,$M1101/$O1101*100)</f>
      </c>
    </row>
    <row r="1102">
      <c r="A1102"/>
      <c r="B1102">
        <v>4</v>
      </c>
      <c r="C1102" s="43">
        <f>Jahr+17</f>
      </c>
      <c r="D1102">
        <v>17</v>
      </c>
      <c r="E1102" s="43">
        <f>IF(INDEX(ObjKaufJahr,4)=0,0,IF($C1102&lt;INDEX(ObjKaufJahr,4),0,IF($C1102&gt;INDEX(ObjKaufJahr,4),12,13-INDEX(ObjKaufMonat,4))))/12</f>
      </c>
      <c r="F1102" s="43">
        <f>SUMIFS(MlSumme,MlObj,4,MlJahr,$C1102)*(1-Leerstand/100)</f>
      </c>
      <c r="G1102" s="43">
        <f>INDEX(ObjLaufend,4)*(1+(Inflation)/100)^MAX(0,17)*$E1102</f>
      </c>
      <c r="H1102" s="43">
        <f>INDEX(ObjInstandBasis,4)*(1+(Inflation)/100)^MAX(0,17)*$E1102</f>
      </c>
      <c r="I1102" s="43">
        <f>SUMIFS(TilgZins,TilgObj,4,TilgJahr,$C1102)</f>
      </c>
      <c r="J1102" s="43">
        <f>SUMIFS(TilgTilgung,TilgObj,4,TilgJahr,$C1102)</f>
      </c>
      <c r="K1102" s="43">
        <f>SUMIFS(TilgSonder,TilgObj,4,TilgJahr,$C1102)</f>
      </c>
      <c r="L1102" s="43">
        <f>SUMIFS(TilgErsatz,TilgObj,4,TilgJahr,$C1102)</f>
      </c>
      <c r="M1102" s="43">
        <f>MAX(0,SUMIF(DarlObj,4,DarlBetrag)-SUMIFS(TilgTilgung,TilgObj,4,TilgJahr,"&lt;="&amp;$C1102)-SUMIFS(TilgSonder,TilgObj,4,TilgJahr,"&lt;="&amp;$C1102))</f>
      </c>
      <c r="N1102" s="43">
        <f>SUMIFS(TilgErsatz,TilgObj,4,TilgJahr,"&lt;="&amp;$C1102)+SUMIFS(TilgErtrag,TilgObj,4,TilgJahr,"&lt;="&amp;$C1102)</f>
      </c>
      <c r="O1102" s="43">
        <f>INDEX(ObjWertEff,4)*(1+(Wertsteigerung)/100)^MAX(0,17)</f>
      </c>
      <c r="P1102" s="43">
        <f>IF(OR(INDEX(ObjAfaDauer,4)=0,INDEX(ObjAfaJahr,4)=0,$C1102&lt;INDEX(ObjKaufJahr,4),$C1102&gt;=INDEX(ObjKaufJahr,4)+INDEX(ObjAfaDauer,4)),0,IF($C1102=INDEX(ObjKaufJahr,4),INDEX(ObjAfaJahr,4)*(13-INDEX(ObjKaufMonat,4))/12,INDEX(ObjAfaJahr,4)))</f>
      </c>
      <c r="Q1102" s="43">
        <f>$F1102-$G1102-$H1102-$I1102-$P1102</f>
      </c>
      <c r="R1102" s="43">
        <f>$Q1102*INDEX(ObjSteuersatz,4)/100</f>
      </c>
      <c r="S1102" s="43">
        <f>$I1102+$J1102+$K1102+$L1102</f>
      </c>
      <c r="T1102" s="43">
        <f>$F1102-$G1102-$H1102-$S1102</f>
      </c>
      <c r="U1102" s="43">
        <f>$T1102-$R1102</f>
      </c>
      <c r="V1102" s="43">
        <f>$O1102-$M1102</f>
      </c>
      <c r="W1102" s="43">
        <f>$J1102+$K1102+$L1102</f>
      </c>
      <c r="X1102" s="43">
        <f>IF($O1102=0,0,$M1102/$O1102*100)</f>
      </c>
    </row>
    <row r="1103">
      <c r="A1103"/>
      <c r="B1103">
        <v>4</v>
      </c>
      <c r="C1103" s="43">
        <f>Jahr+18</f>
      </c>
      <c r="D1103">
        <v>18</v>
      </c>
      <c r="E1103" s="43">
        <f>IF(INDEX(ObjKaufJahr,4)=0,0,IF($C1103&lt;INDEX(ObjKaufJahr,4),0,IF($C1103&gt;INDEX(ObjKaufJahr,4),12,13-INDEX(ObjKaufMonat,4))))/12</f>
      </c>
      <c r="F1103" s="43">
        <f>SUMIFS(MlSumme,MlObj,4,MlJahr,$C1103)*(1-Leerstand/100)</f>
      </c>
      <c r="G1103" s="43">
        <f>INDEX(ObjLaufend,4)*(1+(Inflation)/100)^MAX(0,18)*$E1103</f>
      </c>
      <c r="H1103" s="43">
        <f>INDEX(ObjInstandBasis,4)*(1+(Inflation)/100)^MAX(0,18)*$E1103</f>
      </c>
      <c r="I1103" s="43">
        <f>SUMIFS(TilgZins,TilgObj,4,TilgJahr,$C1103)</f>
      </c>
      <c r="J1103" s="43">
        <f>SUMIFS(TilgTilgung,TilgObj,4,TilgJahr,$C1103)</f>
      </c>
      <c r="K1103" s="43">
        <f>SUMIFS(TilgSonder,TilgObj,4,TilgJahr,$C1103)</f>
      </c>
      <c r="L1103" s="43">
        <f>SUMIFS(TilgErsatz,TilgObj,4,TilgJahr,$C1103)</f>
      </c>
      <c r="M1103" s="43">
        <f>MAX(0,SUMIF(DarlObj,4,DarlBetrag)-SUMIFS(TilgTilgung,TilgObj,4,TilgJahr,"&lt;="&amp;$C1103)-SUMIFS(TilgSonder,TilgObj,4,TilgJahr,"&lt;="&amp;$C1103))</f>
      </c>
      <c r="N1103" s="43">
        <f>SUMIFS(TilgErsatz,TilgObj,4,TilgJahr,"&lt;="&amp;$C1103)+SUMIFS(TilgErtrag,TilgObj,4,TilgJahr,"&lt;="&amp;$C1103)</f>
      </c>
      <c r="O1103" s="43">
        <f>INDEX(ObjWertEff,4)*(1+(Wertsteigerung)/100)^MAX(0,18)</f>
      </c>
      <c r="P1103" s="43">
        <f>IF(OR(INDEX(ObjAfaDauer,4)=0,INDEX(ObjAfaJahr,4)=0,$C1103&lt;INDEX(ObjKaufJahr,4),$C1103&gt;=INDEX(ObjKaufJahr,4)+INDEX(ObjAfaDauer,4)),0,IF($C1103=INDEX(ObjKaufJahr,4),INDEX(ObjAfaJahr,4)*(13-INDEX(ObjKaufMonat,4))/12,INDEX(ObjAfaJahr,4)))</f>
      </c>
      <c r="Q1103" s="43">
        <f>$F1103-$G1103-$H1103-$I1103-$P1103</f>
      </c>
      <c r="R1103" s="43">
        <f>$Q1103*INDEX(ObjSteuersatz,4)/100</f>
      </c>
      <c r="S1103" s="43">
        <f>$I1103+$J1103+$K1103+$L1103</f>
      </c>
      <c r="T1103" s="43">
        <f>$F1103-$G1103-$H1103-$S1103</f>
      </c>
      <c r="U1103" s="43">
        <f>$T1103-$R1103</f>
      </c>
      <c r="V1103" s="43">
        <f>$O1103-$M1103</f>
      </c>
      <c r="W1103" s="43">
        <f>$J1103+$K1103+$L1103</f>
      </c>
      <c r="X1103" s="43">
        <f>IF($O1103=0,0,$M1103/$O1103*100)</f>
      </c>
    </row>
    <row r="1104">
      <c r="A1104"/>
      <c r="B1104">
        <v>4</v>
      </c>
      <c r="C1104" s="43">
        <f>Jahr+19</f>
      </c>
      <c r="D1104">
        <v>19</v>
      </c>
      <c r="E1104" s="43">
        <f>IF(INDEX(ObjKaufJahr,4)=0,0,IF($C1104&lt;INDEX(ObjKaufJahr,4),0,IF($C1104&gt;INDEX(ObjKaufJahr,4),12,13-INDEX(ObjKaufMonat,4))))/12</f>
      </c>
      <c r="F1104" s="43">
        <f>SUMIFS(MlSumme,MlObj,4,MlJahr,$C1104)*(1-Leerstand/100)</f>
      </c>
      <c r="G1104" s="43">
        <f>INDEX(ObjLaufend,4)*(1+(Inflation)/100)^MAX(0,19)*$E1104</f>
      </c>
      <c r="H1104" s="43">
        <f>INDEX(ObjInstandBasis,4)*(1+(Inflation)/100)^MAX(0,19)*$E1104</f>
      </c>
      <c r="I1104" s="43">
        <f>SUMIFS(TilgZins,TilgObj,4,TilgJahr,$C1104)</f>
      </c>
      <c r="J1104" s="43">
        <f>SUMIFS(TilgTilgung,TilgObj,4,TilgJahr,$C1104)</f>
      </c>
      <c r="K1104" s="43">
        <f>SUMIFS(TilgSonder,TilgObj,4,TilgJahr,$C1104)</f>
      </c>
      <c r="L1104" s="43">
        <f>SUMIFS(TilgErsatz,TilgObj,4,TilgJahr,$C1104)</f>
      </c>
      <c r="M1104" s="43">
        <f>MAX(0,SUMIF(DarlObj,4,DarlBetrag)-SUMIFS(TilgTilgung,TilgObj,4,TilgJahr,"&lt;="&amp;$C1104)-SUMIFS(TilgSonder,TilgObj,4,TilgJahr,"&lt;="&amp;$C1104))</f>
      </c>
      <c r="N1104" s="43">
        <f>SUMIFS(TilgErsatz,TilgObj,4,TilgJahr,"&lt;="&amp;$C1104)+SUMIFS(TilgErtrag,TilgObj,4,TilgJahr,"&lt;="&amp;$C1104)</f>
      </c>
      <c r="O1104" s="43">
        <f>INDEX(ObjWertEff,4)*(1+(Wertsteigerung)/100)^MAX(0,19)</f>
      </c>
      <c r="P1104" s="43">
        <f>IF(OR(INDEX(ObjAfaDauer,4)=0,INDEX(ObjAfaJahr,4)=0,$C1104&lt;INDEX(ObjKaufJahr,4),$C1104&gt;=INDEX(ObjKaufJahr,4)+INDEX(ObjAfaDauer,4)),0,IF($C1104=INDEX(ObjKaufJahr,4),INDEX(ObjAfaJahr,4)*(13-INDEX(ObjKaufMonat,4))/12,INDEX(ObjAfaJahr,4)))</f>
      </c>
      <c r="Q1104" s="43">
        <f>$F1104-$G1104-$H1104-$I1104-$P1104</f>
      </c>
      <c r="R1104" s="43">
        <f>$Q1104*INDEX(ObjSteuersatz,4)/100</f>
      </c>
      <c r="S1104" s="43">
        <f>$I1104+$J1104+$K1104+$L1104</f>
      </c>
      <c r="T1104" s="43">
        <f>$F1104-$G1104-$H1104-$S1104</f>
      </c>
      <c r="U1104" s="43">
        <f>$T1104-$R1104</f>
      </c>
      <c r="V1104" s="43">
        <f>$O1104-$M1104</f>
      </c>
      <c r="W1104" s="43">
        <f>$J1104+$K1104+$L1104</f>
      </c>
      <c r="X1104" s="43">
        <f>IF($O1104=0,0,$M1104/$O1104*100)</f>
      </c>
    </row>
    <row r="1105">
      <c r="A1105"/>
      <c r="B1105">
        <v>4</v>
      </c>
      <c r="C1105" s="43">
        <f>Jahr+20</f>
      </c>
      <c r="D1105">
        <v>20</v>
      </c>
      <c r="E1105" s="43">
        <f>IF(INDEX(ObjKaufJahr,4)=0,0,IF($C1105&lt;INDEX(ObjKaufJahr,4),0,IF($C1105&gt;INDEX(ObjKaufJahr,4),12,13-INDEX(ObjKaufMonat,4))))/12</f>
      </c>
      <c r="F1105" s="43">
        <f>SUMIFS(MlSumme,MlObj,4,MlJahr,$C1105)*(1-Leerstand/100)</f>
      </c>
      <c r="G1105" s="43">
        <f>INDEX(ObjLaufend,4)*(1+(Inflation)/100)^MAX(0,20)*$E1105</f>
      </c>
      <c r="H1105" s="43">
        <f>INDEX(ObjInstandBasis,4)*(1+(Inflation)/100)^MAX(0,20)*$E1105</f>
      </c>
      <c r="I1105" s="43">
        <f>SUMIFS(TilgZins,TilgObj,4,TilgJahr,$C1105)</f>
      </c>
      <c r="J1105" s="43">
        <f>SUMIFS(TilgTilgung,TilgObj,4,TilgJahr,$C1105)</f>
      </c>
      <c r="K1105" s="43">
        <f>SUMIFS(TilgSonder,TilgObj,4,TilgJahr,$C1105)</f>
      </c>
      <c r="L1105" s="43">
        <f>SUMIFS(TilgErsatz,TilgObj,4,TilgJahr,$C1105)</f>
      </c>
      <c r="M1105" s="43">
        <f>MAX(0,SUMIF(DarlObj,4,DarlBetrag)-SUMIFS(TilgTilgung,TilgObj,4,TilgJahr,"&lt;="&amp;$C1105)-SUMIFS(TilgSonder,TilgObj,4,TilgJahr,"&lt;="&amp;$C1105))</f>
      </c>
      <c r="N1105" s="43">
        <f>SUMIFS(TilgErsatz,TilgObj,4,TilgJahr,"&lt;="&amp;$C1105)+SUMIFS(TilgErtrag,TilgObj,4,TilgJahr,"&lt;="&amp;$C1105)</f>
      </c>
      <c r="O1105" s="43">
        <f>INDEX(ObjWertEff,4)*(1+(Wertsteigerung)/100)^MAX(0,20)</f>
      </c>
      <c r="P1105" s="43">
        <f>IF(OR(INDEX(ObjAfaDauer,4)=0,INDEX(ObjAfaJahr,4)=0,$C1105&lt;INDEX(ObjKaufJahr,4),$C1105&gt;=INDEX(ObjKaufJahr,4)+INDEX(ObjAfaDauer,4)),0,IF($C1105=INDEX(ObjKaufJahr,4),INDEX(ObjAfaJahr,4)*(13-INDEX(ObjKaufMonat,4))/12,INDEX(ObjAfaJahr,4)))</f>
      </c>
      <c r="Q1105" s="43">
        <f>$F1105-$G1105-$H1105-$I1105-$P1105</f>
      </c>
      <c r="R1105" s="43">
        <f>$Q1105*INDEX(ObjSteuersatz,4)/100</f>
      </c>
      <c r="S1105" s="43">
        <f>$I1105+$J1105+$K1105+$L1105</f>
      </c>
      <c r="T1105" s="43">
        <f>$F1105-$G1105-$H1105-$S1105</f>
      </c>
      <c r="U1105" s="43">
        <f>$T1105-$R1105</f>
      </c>
      <c r="V1105" s="43">
        <f>$O1105-$M1105</f>
      </c>
      <c r="W1105" s="43">
        <f>$J1105+$K1105+$L1105</f>
      </c>
      <c r="X1105" s="43">
        <f>IF($O1105=0,0,$M1105/$O1105*100)</f>
      </c>
    </row>
    <row r="1106">
      <c r="A1106"/>
      <c r="B1106">
        <v>4</v>
      </c>
      <c r="C1106" s="43">
        <f>Jahr+21</f>
      </c>
      <c r="D1106">
        <v>21</v>
      </c>
      <c r="E1106" s="43">
        <f>IF(INDEX(ObjKaufJahr,4)=0,0,IF($C1106&lt;INDEX(ObjKaufJahr,4),0,IF($C1106&gt;INDEX(ObjKaufJahr,4),12,13-INDEX(ObjKaufMonat,4))))/12</f>
      </c>
      <c r="F1106" s="43">
        <f>SUMIFS(MlSumme,MlObj,4,MlJahr,$C1106)*(1-Leerstand/100)</f>
      </c>
      <c r="G1106" s="43">
        <f>INDEX(ObjLaufend,4)*(1+(Inflation)/100)^MAX(0,21)*$E1106</f>
      </c>
      <c r="H1106" s="43">
        <f>INDEX(ObjInstandBasis,4)*(1+(Inflation)/100)^MAX(0,21)*$E1106</f>
      </c>
      <c r="I1106" s="43">
        <f>SUMIFS(TilgZins,TilgObj,4,TilgJahr,$C1106)</f>
      </c>
      <c r="J1106" s="43">
        <f>SUMIFS(TilgTilgung,TilgObj,4,TilgJahr,$C1106)</f>
      </c>
      <c r="K1106" s="43">
        <f>SUMIFS(TilgSonder,TilgObj,4,TilgJahr,$C1106)</f>
      </c>
      <c r="L1106" s="43">
        <f>SUMIFS(TilgErsatz,TilgObj,4,TilgJahr,$C1106)</f>
      </c>
      <c r="M1106" s="43">
        <f>MAX(0,SUMIF(DarlObj,4,DarlBetrag)-SUMIFS(TilgTilgung,TilgObj,4,TilgJahr,"&lt;="&amp;$C1106)-SUMIFS(TilgSonder,TilgObj,4,TilgJahr,"&lt;="&amp;$C1106))</f>
      </c>
      <c r="N1106" s="43">
        <f>SUMIFS(TilgErsatz,TilgObj,4,TilgJahr,"&lt;="&amp;$C1106)+SUMIFS(TilgErtrag,TilgObj,4,TilgJahr,"&lt;="&amp;$C1106)</f>
      </c>
      <c r="O1106" s="43">
        <f>INDEX(ObjWertEff,4)*(1+(Wertsteigerung)/100)^MAX(0,21)</f>
      </c>
      <c r="P1106" s="43">
        <f>IF(OR(INDEX(ObjAfaDauer,4)=0,INDEX(ObjAfaJahr,4)=0,$C1106&lt;INDEX(ObjKaufJahr,4),$C1106&gt;=INDEX(ObjKaufJahr,4)+INDEX(ObjAfaDauer,4)),0,IF($C1106=INDEX(ObjKaufJahr,4),INDEX(ObjAfaJahr,4)*(13-INDEX(ObjKaufMonat,4))/12,INDEX(ObjAfaJahr,4)))</f>
      </c>
      <c r="Q1106" s="43">
        <f>$F1106-$G1106-$H1106-$I1106-$P1106</f>
      </c>
      <c r="R1106" s="43">
        <f>$Q1106*INDEX(ObjSteuersatz,4)/100</f>
      </c>
      <c r="S1106" s="43">
        <f>$I1106+$J1106+$K1106+$L1106</f>
      </c>
      <c r="T1106" s="43">
        <f>$F1106-$G1106-$H1106-$S1106</f>
      </c>
      <c r="U1106" s="43">
        <f>$T1106-$R1106</f>
      </c>
      <c r="V1106" s="43">
        <f>$O1106-$M1106</f>
      </c>
      <c r="W1106" s="43">
        <f>$J1106+$K1106+$L1106</f>
      </c>
      <c r="X1106" s="43">
        <f>IF($O1106=0,0,$M1106/$O1106*100)</f>
      </c>
    </row>
    <row r="1107">
      <c r="A1107"/>
      <c r="B1107">
        <v>4</v>
      </c>
      <c r="C1107" s="43">
        <f>Jahr+22</f>
      </c>
      <c r="D1107">
        <v>22</v>
      </c>
      <c r="E1107" s="43">
        <f>IF(INDEX(ObjKaufJahr,4)=0,0,IF($C1107&lt;INDEX(ObjKaufJahr,4),0,IF($C1107&gt;INDEX(ObjKaufJahr,4),12,13-INDEX(ObjKaufMonat,4))))/12</f>
      </c>
      <c r="F1107" s="43">
        <f>SUMIFS(MlSumme,MlObj,4,MlJahr,$C1107)*(1-Leerstand/100)</f>
      </c>
      <c r="G1107" s="43">
        <f>INDEX(ObjLaufend,4)*(1+(Inflation)/100)^MAX(0,22)*$E1107</f>
      </c>
      <c r="H1107" s="43">
        <f>INDEX(ObjInstandBasis,4)*(1+(Inflation)/100)^MAX(0,22)*$E1107</f>
      </c>
      <c r="I1107" s="43">
        <f>SUMIFS(TilgZins,TilgObj,4,TilgJahr,$C1107)</f>
      </c>
      <c r="J1107" s="43">
        <f>SUMIFS(TilgTilgung,TilgObj,4,TilgJahr,$C1107)</f>
      </c>
      <c r="K1107" s="43">
        <f>SUMIFS(TilgSonder,TilgObj,4,TilgJahr,$C1107)</f>
      </c>
      <c r="L1107" s="43">
        <f>SUMIFS(TilgErsatz,TilgObj,4,TilgJahr,$C1107)</f>
      </c>
      <c r="M1107" s="43">
        <f>MAX(0,SUMIF(DarlObj,4,DarlBetrag)-SUMIFS(TilgTilgung,TilgObj,4,TilgJahr,"&lt;="&amp;$C1107)-SUMIFS(TilgSonder,TilgObj,4,TilgJahr,"&lt;="&amp;$C1107))</f>
      </c>
      <c r="N1107" s="43">
        <f>SUMIFS(TilgErsatz,TilgObj,4,TilgJahr,"&lt;="&amp;$C1107)+SUMIFS(TilgErtrag,TilgObj,4,TilgJahr,"&lt;="&amp;$C1107)</f>
      </c>
      <c r="O1107" s="43">
        <f>INDEX(ObjWertEff,4)*(1+(Wertsteigerung)/100)^MAX(0,22)</f>
      </c>
      <c r="P1107" s="43">
        <f>IF(OR(INDEX(ObjAfaDauer,4)=0,INDEX(ObjAfaJahr,4)=0,$C1107&lt;INDEX(ObjKaufJahr,4),$C1107&gt;=INDEX(ObjKaufJahr,4)+INDEX(ObjAfaDauer,4)),0,IF($C1107=INDEX(ObjKaufJahr,4),INDEX(ObjAfaJahr,4)*(13-INDEX(ObjKaufMonat,4))/12,INDEX(ObjAfaJahr,4)))</f>
      </c>
      <c r="Q1107" s="43">
        <f>$F1107-$G1107-$H1107-$I1107-$P1107</f>
      </c>
      <c r="R1107" s="43">
        <f>$Q1107*INDEX(ObjSteuersatz,4)/100</f>
      </c>
      <c r="S1107" s="43">
        <f>$I1107+$J1107+$K1107+$L1107</f>
      </c>
      <c r="T1107" s="43">
        <f>$F1107-$G1107-$H1107-$S1107</f>
      </c>
      <c r="U1107" s="43">
        <f>$T1107-$R1107</f>
      </c>
      <c r="V1107" s="43">
        <f>$O1107-$M1107</f>
      </c>
      <c r="W1107" s="43">
        <f>$J1107+$K1107+$L1107</f>
      </c>
      <c r="X1107" s="43">
        <f>IF($O1107=0,0,$M1107/$O1107*100)</f>
      </c>
    </row>
    <row r="1108">
      <c r="A1108"/>
      <c r="B1108">
        <v>4</v>
      </c>
      <c r="C1108" s="43">
        <f>Jahr+23</f>
      </c>
      <c r="D1108">
        <v>23</v>
      </c>
      <c r="E1108" s="43">
        <f>IF(INDEX(ObjKaufJahr,4)=0,0,IF($C1108&lt;INDEX(ObjKaufJahr,4),0,IF($C1108&gt;INDEX(ObjKaufJahr,4),12,13-INDEX(ObjKaufMonat,4))))/12</f>
      </c>
      <c r="F1108" s="43">
        <f>SUMIFS(MlSumme,MlObj,4,MlJahr,$C1108)*(1-Leerstand/100)</f>
      </c>
      <c r="G1108" s="43">
        <f>INDEX(ObjLaufend,4)*(1+(Inflation)/100)^MAX(0,23)*$E1108</f>
      </c>
      <c r="H1108" s="43">
        <f>INDEX(ObjInstandBasis,4)*(1+(Inflation)/100)^MAX(0,23)*$E1108</f>
      </c>
      <c r="I1108" s="43">
        <f>SUMIFS(TilgZins,TilgObj,4,TilgJahr,$C1108)</f>
      </c>
      <c r="J1108" s="43">
        <f>SUMIFS(TilgTilgung,TilgObj,4,TilgJahr,$C1108)</f>
      </c>
      <c r="K1108" s="43">
        <f>SUMIFS(TilgSonder,TilgObj,4,TilgJahr,$C1108)</f>
      </c>
      <c r="L1108" s="43">
        <f>SUMIFS(TilgErsatz,TilgObj,4,TilgJahr,$C1108)</f>
      </c>
      <c r="M1108" s="43">
        <f>MAX(0,SUMIF(DarlObj,4,DarlBetrag)-SUMIFS(TilgTilgung,TilgObj,4,TilgJahr,"&lt;="&amp;$C1108)-SUMIFS(TilgSonder,TilgObj,4,TilgJahr,"&lt;="&amp;$C1108))</f>
      </c>
      <c r="N1108" s="43">
        <f>SUMIFS(TilgErsatz,TilgObj,4,TilgJahr,"&lt;="&amp;$C1108)+SUMIFS(TilgErtrag,TilgObj,4,TilgJahr,"&lt;="&amp;$C1108)</f>
      </c>
      <c r="O1108" s="43">
        <f>INDEX(ObjWertEff,4)*(1+(Wertsteigerung)/100)^MAX(0,23)</f>
      </c>
      <c r="P1108" s="43">
        <f>IF(OR(INDEX(ObjAfaDauer,4)=0,INDEX(ObjAfaJahr,4)=0,$C1108&lt;INDEX(ObjKaufJahr,4),$C1108&gt;=INDEX(ObjKaufJahr,4)+INDEX(ObjAfaDauer,4)),0,IF($C1108=INDEX(ObjKaufJahr,4),INDEX(ObjAfaJahr,4)*(13-INDEX(ObjKaufMonat,4))/12,INDEX(ObjAfaJahr,4)))</f>
      </c>
      <c r="Q1108" s="43">
        <f>$F1108-$G1108-$H1108-$I1108-$P1108</f>
      </c>
      <c r="R1108" s="43">
        <f>$Q1108*INDEX(ObjSteuersatz,4)/100</f>
      </c>
      <c r="S1108" s="43">
        <f>$I1108+$J1108+$K1108+$L1108</f>
      </c>
      <c r="T1108" s="43">
        <f>$F1108-$G1108-$H1108-$S1108</f>
      </c>
      <c r="U1108" s="43">
        <f>$T1108-$R1108</f>
      </c>
      <c r="V1108" s="43">
        <f>$O1108-$M1108</f>
      </c>
      <c r="W1108" s="43">
        <f>$J1108+$K1108+$L1108</f>
      </c>
      <c r="X1108" s="43">
        <f>IF($O1108=0,0,$M1108/$O1108*100)</f>
      </c>
    </row>
    <row r="1109">
      <c r="A1109"/>
      <c r="B1109">
        <v>4</v>
      </c>
      <c r="C1109" s="43">
        <f>Jahr+24</f>
      </c>
      <c r="D1109">
        <v>24</v>
      </c>
      <c r="E1109" s="43">
        <f>IF(INDEX(ObjKaufJahr,4)=0,0,IF($C1109&lt;INDEX(ObjKaufJahr,4),0,IF($C1109&gt;INDEX(ObjKaufJahr,4),12,13-INDEX(ObjKaufMonat,4))))/12</f>
      </c>
      <c r="F1109" s="43">
        <f>SUMIFS(MlSumme,MlObj,4,MlJahr,$C1109)*(1-Leerstand/100)</f>
      </c>
      <c r="G1109" s="43">
        <f>INDEX(ObjLaufend,4)*(1+(Inflation)/100)^MAX(0,24)*$E1109</f>
      </c>
      <c r="H1109" s="43">
        <f>INDEX(ObjInstandBasis,4)*(1+(Inflation)/100)^MAX(0,24)*$E1109</f>
      </c>
      <c r="I1109" s="43">
        <f>SUMIFS(TilgZins,TilgObj,4,TilgJahr,$C1109)</f>
      </c>
      <c r="J1109" s="43">
        <f>SUMIFS(TilgTilgung,TilgObj,4,TilgJahr,$C1109)</f>
      </c>
      <c r="K1109" s="43">
        <f>SUMIFS(TilgSonder,TilgObj,4,TilgJahr,$C1109)</f>
      </c>
      <c r="L1109" s="43">
        <f>SUMIFS(TilgErsatz,TilgObj,4,TilgJahr,$C1109)</f>
      </c>
      <c r="M1109" s="43">
        <f>MAX(0,SUMIF(DarlObj,4,DarlBetrag)-SUMIFS(TilgTilgung,TilgObj,4,TilgJahr,"&lt;="&amp;$C1109)-SUMIFS(TilgSonder,TilgObj,4,TilgJahr,"&lt;="&amp;$C1109))</f>
      </c>
      <c r="N1109" s="43">
        <f>SUMIFS(TilgErsatz,TilgObj,4,TilgJahr,"&lt;="&amp;$C1109)+SUMIFS(TilgErtrag,TilgObj,4,TilgJahr,"&lt;="&amp;$C1109)</f>
      </c>
      <c r="O1109" s="43">
        <f>INDEX(ObjWertEff,4)*(1+(Wertsteigerung)/100)^MAX(0,24)</f>
      </c>
      <c r="P1109" s="43">
        <f>IF(OR(INDEX(ObjAfaDauer,4)=0,INDEX(ObjAfaJahr,4)=0,$C1109&lt;INDEX(ObjKaufJahr,4),$C1109&gt;=INDEX(ObjKaufJahr,4)+INDEX(ObjAfaDauer,4)),0,IF($C1109=INDEX(ObjKaufJahr,4),INDEX(ObjAfaJahr,4)*(13-INDEX(ObjKaufMonat,4))/12,INDEX(ObjAfaJahr,4)))</f>
      </c>
      <c r="Q1109" s="43">
        <f>$F1109-$G1109-$H1109-$I1109-$P1109</f>
      </c>
      <c r="R1109" s="43">
        <f>$Q1109*INDEX(ObjSteuersatz,4)/100</f>
      </c>
      <c r="S1109" s="43">
        <f>$I1109+$J1109+$K1109+$L1109</f>
      </c>
      <c r="T1109" s="43">
        <f>$F1109-$G1109-$H1109-$S1109</f>
      </c>
      <c r="U1109" s="43">
        <f>$T1109-$R1109</f>
      </c>
      <c r="V1109" s="43">
        <f>$O1109-$M1109</f>
      </c>
      <c r="W1109" s="43">
        <f>$J1109+$K1109+$L1109</f>
      </c>
      <c r="X1109" s="43">
        <f>IF($O1109=0,0,$M1109/$O1109*100)</f>
      </c>
    </row>
    <row r="1110">
      <c r="A1110"/>
      <c r="B1110">
        <v>4</v>
      </c>
      <c r="C1110" s="43">
        <f>Jahr+25</f>
      </c>
      <c r="D1110">
        <v>25</v>
      </c>
      <c r="E1110" s="43">
        <f>IF(INDEX(ObjKaufJahr,4)=0,0,IF($C1110&lt;INDEX(ObjKaufJahr,4),0,IF($C1110&gt;INDEX(ObjKaufJahr,4),12,13-INDEX(ObjKaufMonat,4))))/12</f>
      </c>
      <c r="F1110" s="43">
        <f>SUMIFS(MlSumme,MlObj,4,MlJahr,$C1110)*(1-Leerstand/100)</f>
      </c>
      <c r="G1110" s="43">
        <f>INDEX(ObjLaufend,4)*(1+(Inflation)/100)^MAX(0,25)*$E1110</f>
      </c>
      <c r="H1110" s="43">
        <f>INDEX(ObjInstandBasis,4)*(1+(Inflation)/100)^MAX(0,25)*$E1110</f>
      </c>
      <c r="I1110" s="43">
        <f>SUMIFS(TilgZins,TilgObj,4,TilgJahr,$C1110)</f>
      </c>
      <c r="J1110" s="43">
        <f>SUMIFS(TilgTilgung,TilgObj,4,TilgJahr,$C1110)</f>
      </c>
      <c r="K1110" s="43">
        <f>SUMIFS(TilgSonder,TilgObj,4,TilgJahr,$C1110)</f>
      </c>
      <c r="L1110" s="43">
        <f>SUMIFS(TilgErsatz,TilgObj,4,TilgJahr,$C1110)</f>
      </c>
      <c r="M1110" s="43">
        <f>MAX(0,SUMIF(DarlObj,4,DarlBetrag)-SUMIFS(TilgTilgung,TilgObj,4,TilgJahr,"&lt;="&amp;$C1110)-SUMIFS(TilgSonder,TilgObj,4,TilgJahr,"&lt;="&amp;$C1110))</f>
      </c>
      <c r="N1110" s="43">
        <f>SUMIFS(TilgErsatz,TilgObj,4,TilgJahr,"&lt;="&amp;$C1110)+SUMIFS(TilgErtrag,TilgObj,4,TilgJahr,"&lt;="&amp;$C1110)</f>
      </c>
      <c r="O1110" s="43">
        <f>INDEX(ObjWertEff,4)*(1+(Wertsteigerung)/100)^MAX(0,25)</f>
      </c>
      <c r="P1110" s="43">
        <f>IF(OR(INDEX(ObjAfaDauer,4)=0,INDEX(ObjAfaJahr,4)=0,$C1110&lt;INDEX(ObjKaufJahr,4),$C1110&gt;=INDEX(ObjKaufJahr,4)+INDEX(ObjAfaDauer,4)),0,IF($C1110=INDEX(ObjKaufJahr,4),INDEX(ObjAfaJahr,4)*(13-INDEX(ObjKaufMonat,4))/12,INDEX(ObjAfaJahr,4)))</f>
      </c>
      <c r="Q1110" s="43">
        <f>$F1110-$G1110-$H1110-$I1110-$P1110</f>
      </c>
      <c r="R1110" s="43">
        <f>$Q1110*INDEX(ObjSteuersatz,4)/100</f>
      </c>
      <c r="S1110" s="43">
        <f>$I1110+$J1110+$K1110+$L1110</f>
      </c>
      <c r="T1110" s="43">
        <f>$F1110-$G1110-$H1110-$S1110</f>
      </c>
      <c r="U1110" s="43">
        <f>$T1110-$R1110</f>
      </c>
      <c r="V1110" s="43">
        <f>$O1110-$M1110</f>
      </c>
      <c r="W1110" s="43">
        <f>$J1110+$K1110+$L1110</f>
      </c>
      <c r="X1110" s="43">
        <f>IF($O1110=0,0,$M1110/$O1110*100)</f>
      </c>
    </row>
    <row r="1111">
      <c r="A1111"/>
      <c r="B1111">
        <v>4</v>
      </c>
      <c r="C1111" s="43">
        <f>Jahr+26</f>
      </c>
      <c r="D1111">
        <v>26</v>
      </c>
      <c r="E1111" s="43">
        <f>IF(INDEX(ObjKaufJahr,4)=0,0,IF($C1111&lt;INDEX(ObjKaufJahr,4),0,IF($C1111&gt;INDEX(ObjKaufJahr,4),12,13-INDEX(ObjKaufMonat,4))))/12</f>
      </c>
      <c r="F1111" s="43">
        <f>SUMIFS(MlSumme,MlObj,4,MlJahr,$C1111)*(1-Leerstand/100)</f>
      </c>
      <c r="G1111" s="43">
        <f>INDEX(ObjLaufend,4)*(1+(Inflation)/100)^MAX(0,26)*$E1111</f>
      </c>
      <c r="H1111" s="43">
        <f>INDEX(ObjInstandBasis,4)*(1+(Inflation)/100)^MAX(0,26)*$E1111</f>
      </c>
      <c r="I1111" s="43">
        <f>SUMIFS(TilgZins,TilgObj,4,TilgJahr,$C1111)</f>
      </c>
      <c r="J1111" s="43">
        <f>SUMIFS(TilgTilgung,TilgObj,4,TilgJahr,$C1111)</f>
      </c>
      <c r="K1111" s="43">
        <f>SUMIFS(TilgSonder,TilgObj,4,TilgJahr,$C1111)</f>
      </c>
      <c r="L1111" s="43">
        <f>SUMIFS(TilgErsatz,TilgObj,4,TilgJahr,$C1111)</f>
      </c>
      <c r="M1111" s="43">
        <f>MAX(0,SUMIF(DarlObj,4,DarlBetrag)-SUMIFS(TilgTilgung,TilgObj,4,TilgJahr,"&lt;="&amp;$C1111)-SUMIFS(TilgSonder,TilgObj,4,TilgJahr,"&lt;="&amp;$C1111))</f>
      </c>
      <c r="N1111" s="43">
        <f>SUMIFS(TilgErsatz,TilgObj,4,TilgJahr,"&lt;="&amp;$C1111)+SUMIFS(TilgErtrag,TilgObj,4,TilgJahr,"&lt;="&amp;$C1111)</f>
      </c>
      <c r="O1111" s="43">
        <f>INDEX(ObjWertEff,4)*(1+(Wertsteigerung)/100)^MAX(0,26)</f>
      </c>
      <c r="P1111" s="43">
        <f>IF(OR(INDEX(ObjAfaDauer,4)=0,INDEX(ObjAfaJahr,4)=0,$C1111&lt;INDEX(ObjKaufJahr,4),$C1111&gt;=INDEX(ObjKaufJahr,4)+INDEX(ObjAfaDauer,4)),0,IF($C1111=INDEX(ObjKaufJahr,4),INDEX(ObjAfaJahr,4)*(13-INDEX(ObjKaufMonat,4))/12,INDEX(ObjAfaJahr,4)))</f>
      </c>
      <c r="Q1111" s="43">
        <f>$F1111-$G1111-$H1111-$I1111-$P1111</f>
      </c>
      <c r="R1111" s="43">
        <f>$Q1111*INDEX(ObjSteuersatz,4)/100</f>
      </c>
      <c r="S1111" s="43">
        <f>$I1111+$J1111+$K1111+$L1111</f>
      </c>
      <c r="T1111" s="43">
        <f>$F1111-$G1111-$H1111-$S1111</f>
      </c>
      <c r="U1111" s="43">
        <f>$T1111-$R1111</f>
      </c>
      <c r="V1111" s="43">
        <f>$O1111-$M1111</f>
      </c>
      <c r="W1111" s="43">
        <f>$J1111+$K1111+$L1111</f>
      </c>
      <c r="X1111" s="43">
        <f>IF($O1111=0,0,$M1111/$O1111*100)</f>
      </c>
    </row>
    <row r="1112">
      <c r="A1112"/>
      <c r="B1112">
        <v>4</v>
      </c>
      <c r="C1112" s="43">
        <f>Jahr+27</f>
      </c>
      <c r="D1112">
        <v>27</v>
      </c>
      <c r="E1112" s="43">
        <f>IF(INDEX(ObjKaufJahr,4)=0,0,IF($C1112&lt;INDEX(ObjKaufJahr,4),0,IF($C1112&gt;INDEX(ObjKaufJahr,4),12,13-INDEX(ObjKaufMonat,4))))/12</f>
      </c>
      <c r="F1112" s="43">
        <f>SUMIFS(MlSumme,MlObj,4,MlJahr,$C1112)*(1-Leerstand/100)</f>
      </c>
      <c r="G1112" s="43">
        <f>INDEX(ObjLaufend,4)*(1+(Inflation)/100)^MAX(0,27)*$E1112</f>
      </c>
      <c r="H1112" s="43">
        <f>INDEX(ObjInstandBasis,4)*(1+(Inflation)/100)^MAX(0,27)*$E1112</f>
      </c>
      <c r="I1112" s="43">
        <f>SUMIFS(TilgZins,TilgObj,4,TilgJahr,$C1112)</f>
      </c>
      <c r="J1112" s="43">
        <f>SUMIFS(TilgTilgung,TilgObj,4,TilgJahr,$C1112)</f>
      </c>
      <c r="K1112" s="43">
        <f>SUMIFS(TilgSonder,TilgObj,4,TilgJahr,$C1112)</f>
      </c>
      <c r="L1112" s="43">
        <f>SUMIFS(TilgErsatz,TilgObj,4,TilgJahr,$C1112)</f>
      </c>
      <c r="M1112" s="43">
        <f>MAX(0,SUMIF(DarlObj,4,DarlBetrag)-SUMIFS(TilgTilgung,TilgObj,4,TilgJahr,"&lt;="&amp;$C1112)-SUMIFS(TilgSonder,TilgObj,4,TilgJahr,"&lt;="&amp;$C1112))</f>
      </c>
      <c r="N1112" s="43">
        <f>SUMIFS(TilgErsatz,TilgObj,4,TilgJahr,"&lt;="&amp;$C1112)+SUMIFS(TilgErtrag,TilgObj,4,TilgJahr,"&lt;="&amp;$C1112)</f>
      </c>
      <c r="O1112" s="43">
        <f>INDEX(ObjWertEff,4)*(1+(Wertsteigerung)/100)^MAX(0,27)</f>
      </c>
      <c r="P1112" s="43">
        <f>IF(OR(INDEX(ObjAfaDauer,4)=0,INDEX(ObjAfaJahr,4)=0,$C1112&lt;INDEX(ObjKaufJahr,4),$C1112&gt;=INDEX(ObjKaufJahr,4)+INDEX(ObjAfaDauer,4)),0,IF($C1112=INDEX(ObjKaufJahr,4),INDEX(ObjAfaJahr,4)*(13-INDEX(ObjKaufMonat,4))/12,INDEX(ObjAfaJahr,4)))</f>
      </c>
      <c r="Q1112" s="43">
        <f>$F1112-$G1112-$H1112-$I1112-$P1112</f>
      </c>
      <c r="R1112" s="43">
        <f>$Q1112*INDEX(ObjSteuersatz,4)/100</f>
      </c>
      <c r="S1112" s="43">
        <f>$I1112+$J1112+$K1112+$L1112</f>
      </c>
      <c r="T1112" s="43">
        <f>$F1112-$G1112-$H1112-$S1112</f>
      </c>
      <c r="U1112" s="43">
        <f>$T1112-$R1112</f>
      </c>
      <c r="V1112" s="43">
        <f>$O1112-$M1112</f>
      </c>
      <c r="W1112" s="43">
        <f>$J1112+$K1112+$L1112</f>
      </c>
      <c r="X1112" s="43">
        <f>IF($O1112=0,0,$M1112/$O1112*100)</f>
      </c>
    </row>
    <row r="1113">
      <c r="A1113"/>
      <c r="B1113">
        <v>4</v>
      </c>
      <c r="C1113" s="43">
        <f>Jahr+28</f>
      </c>
      <c r="D1113">
        <v>28</v>
      </c>
      <c r="E1113" s="43">
        <f>IF(INDEX(ObjKaufJahr,4)=0,0,IF($C1113&lt;INDEX(ObjKaufJahr,4),0,IF($C1113&gt;INDEX(ObjKaufJahr,4),12,13-INDEX(ObjKaufMonat,4))))/12</f>
      </c>
      <c r="F1113" s="43">
        <f>SUMIFS(MlSumme,MlObj,4,MlJahr,$C1113)*(1-Leerstand/100)</f>
      </c>
      <c r="G1113" s="43">
        <f>INDEX(ObjLaufend,4)*(1+(Inflation)/100)^MAX(0,28)*$E1113</f>
      </c>
      <c r="H1113" s="43">
        <f>INDEX(ObjInstandBasis,4)*(1+(Inflation)/100)^MAX(0,28)*$E1113</f>
      </c>
      <c r="I1113" s="43">
        <f>SUMIFS(TilgZins,TilgObj,4,TilgJahr,$C1113)</f>
      </c>
      <c r="J1113" s="43">
        <f>SUMIFS(TilgTilgung,TilgObj,4,TilgJahr,$C1113)</f>
      </c>
      <c r="K1113" s="43">
        <f>SUMIFS(TilgSonder,TilgObj,4,TilgJahr,$C1113)</f>
      </c>
      <c r="L1113" s="43">
        <f>SUMIFS(TilgErsatz,TilgObj,4,TilgJahr,$C1113)</f>
      </c>
      <c r="M1113" s="43">
        <f>MAX(0,SUMIF(DarlObj,4,DarlBetrag)-SUMIFS(TilgTilgung,TilgObj,4,TilgJahr,"&lt;="&amp;$C1113)-SUMIFS(TilgSonder,TilgObj,4,TilgJahr,"&lt;="&amp;$C1113))</f>
      </c>
      <c r="N1113" s="43">
        <f>SUMIFS(TilgErsatz,TilgObj,4,TilgJahr,"&lt;="&amp;$C1113)+SUMIFS(TilgErtrag,TilgObj,4,TilgJahr,"&lt;="&amp;$C1113)</f>
      </c>
      <c r="O1113" s="43">
        <f>INDEX(ObjWertEff,4)*(1+(Wertsteigerung)/100)^MAX(0,28)</f>
      </c>
      <c r="P1113" s="43">
        <f>IF(OR(INDEX(ObjAfaDauer,4)=0,INDEX(ObjAfaJahr,4)=0,$C1113&lt;INDEX(ObjKaufJahr,4),$C1113&gt;=INDEX(ObjKaufJahr,4)+INDEX(ObjAfaDauer,4)),0,IF($C1113=INDEX(ObjKaufJahr,4),INDEX(ObjAfaJahr,4)*(13-INDEX(ObjKaufMonat,4))/12,INDEX(ObjAfaJahr,4)))</f>
      </c>
      <c r="Q1113" s="43">
        <f>$F1113-$G1113-$H1113-$I1113-$P1113</f>
      </c>
      <c r="R1113" s="43">
        <f>$Q1113*INDEX(ObjSteuersatz,4)/100</f>
      </c>
      <c r="S1113" s="43">
        <f>$I1113+$J1113+$K1113+$L1113</f>
      </c>
      <c r="T1113" s="43">
        <f>$F1113-$G1113-$H1113-$S1113</f>
      </c>
      <c r="U1113" s="43">
        <f>$T1113-$R1113</f>
      </c>
      <c r="V1113" s="43">
        <f>$O1113-$M1113</f>
      </c>
      <c r="W1113" s="43">
        <f>$J1113+$K1113+$L1113</f>
      </c>
      <c r="X1113" s="43">
        <f>IF($O1113=0,0,$M1113/$O1113*100)</f>
      </c>
    </row>
    <row r="1114">
      <c r="A1114"/>
      <c r="B1114">
        <v>4</v>
      </c>
      <c r="C1114" s="43">
        <f>Jahr+29</f>
      </c>
      <c r="D1114">
        <v>29</v>
      </c>
      <c r="E1114" s="43">
        <f>IF(INDEX(ObjKaufJahr,4)=0,0,IF($C1114&lt;INDEX(ObjKaufJahr,4),0,IF($C1114&gt;INDEX(ObjKaufJahr,4),12,13-INDEX(ObjKaufMonat,4))))/12</f>
      </c>
      <c r="F1114" s="43">
        <f>SUMIFS(MlSumme,MlObj,4,MlJahr,$C1114)*(1-Leerstand/100)</f>
      </c>
      <c r="G1114" s="43">
        <f>INDEX(ObjLaufend,4)*(1+(Inflation)/100)^MAX(0,29)*$E1114</f>
      </c>
      <c r="H1114" s="43">
        <f>INDEX(ObjInstandBasis,4)*(1+(Inflation)/100)^MAX(0,29)*$E1114</f>
      </c>
      <c r="I1114" s="43">
        <f>SUMIFS(TilgZins,TilgObj,4,TilgJahr,$C1114)</f>
      </c>
      <c r="J1114" s="43">
        <f>SUMIFS(TilgTilgung,TilgObj,4,TilgJahr,$C1114)</f>
      </c>
      <c r="K1114" s="43">
        <f>SUMIFS(TilgSonder,TilgObj,4,TilgJahr,$C1114)</f>
      </c>
      <c r="L1114" s="43">
        <f>SUMIFS(TilgErsatz,TilgObj,4,TilgJahr,$C1114)</f>
      </c>
      <c r="M1114" s="43">
        <f>MAX(0,SUMIF(DarlObj,4,DarlBetrag)-SUMIFS(TilgTilgung,TilgObj,4,TilgJahr,"&lt;="&amp;$C1114)-SUMIFS(TilgSonder,TilgObj,4,TilgJahr,"&lt;="&amp;$C1114))</f>
      </c>
      <c r="N1114" s="43">
        <f>SUMIFS(TilgErsatz,TilgObj,4,TilgJahr,"&lt;="&amp;$C1114)+SUMIFS(TilgErtrag,TilgObj,4,TilgJahr,"&lt;="&amp;$C1114)</f>
      </c>
      <c r="O1114" s="43">
        <f>INDEX(ObjWertEff,4)*(1+(Wertsteigerung)/100)^MAX(0,29)</f>
      </c>
      <c r="P1114" s="43">
        <f>IF(OR(INDEX(ObjAfaDauer,4)=0,INDEX(ObjAfaJahr,4)=0,$C1114&lt;INDEX(ObjKaufJahr,4),$C1114&gt;=INDEX(ObjKaufJahr,4)+INDEX(ObjAfaDauer,4)),0,IF($C1114=INDEX(ObjKaufJahr,4),INDEX(ObjAfaJahr,4)*(13-INDEX(ObjKaufMonat,4))/12,INDEX(ObjAfaJahr,4)))</f>
      </c>
      <c r="Q1114" s="43">
        <f>$F1114-$G1114-$H1114-$I1114-$P1114</f>
      </c>
      <c r="R1114" s="43">
        <f>$Q1114*INDEX(ObjSteuersatz,4)/100</f>
      </c>
      <c r="S1114" s="43">
        <f>$I1114+$J1114+$K1114+$L1114</f>
      </c>
      <c r="T1114" s="43">
        <f>$F1114-$G1114-$H1114-$S1114</f>
      </c>
      <c r="U1114" s="43">
        <f>$T1114-$R1114</f>
      </c>
      <c r="V1114" s="43">
        <f>$O1114-$M1114</f>
      </c>
      <c r="W1114" s="43">
        <f>$J1114+$K1114+$L1114</f>
      </c>
      <c r="X1114" s="43">
        <f>IF($O1114=0,0,$M1114/$O1114*100)</f>
      </c>
    </row>
    <row r="1115">
      <c r="A1115"/>
      <c r="B1115">
        <v>4</v>
      </c>
      <c r="C1115" s="43">
        <f>Jahr+30</f>
      </c>
      <c r="D1115">
        <v>30</v>
      </c>
      <c r="E1115" s="43">
        <f>IF(INDEX(ObjKaufJahr,4)=0,0,IF($C1115&lt;INDEX(ObjKaufJahr,4),0,IF($C1115&gt;INDEX(ObjKaufJahr,4),12,13-INDEX(ObjKaufMonat,4))))/12</f>
      </c>
      <c r="F1115" s="43">
        <f>SUMIFS(MlSumme,MlObj,4,MlJahr,$C1115)*(1-Leerstand/100)</f>
      </c>
      <c r="G1115" s="43">
        <f>INDEX(ObjLaufend,4)*(1+(Inflation)/100)^MAX(0,30)*$E1115</f>
      </c>
      <c r="H1115" s="43">
        <f>INDEX(ObjInstandBasis,4)*(1+(Inflation)/100)^MAX(0,30)*$E1115</f>
      </c>
      <c r="I1115" s="43">
        <f>SUMIFS(TilgZins,TilgObj,4,TilgJahr,$C1115)</f>
      </c>
      <c r="J1115" s="43">
        <f>SUMIFS(TilgTilgung,TilgObj,4,TilgJahr,$C1115)</f>
      </c>
      <c r="K1115" s="43">
        <f>SUMIFS(TilgSonder,TilgObj,4,TilgJahr,$C1115)</f>
      </c>
      <c r="L1115" s="43">
        <f>SUMIFS(TilgErsatz,TilgObj,4,TilgJahr,$C1115)</f>
      </c>
      <c r="M1115" s="43">
        <f>MAX(0,SUMIF(DarlObj,4,DarlBetrag)-SUMIFS(TilgTilgung,TilgObj,4,TilgJahr,"&lt;="&amp;$C1115)-SUMIFS(TilgSonder,TilgObj,4,TilgJahr,"&lt;="&amp;$C1115))</f>
      </c>
      <c r="N1115" s="43">
        <f>SUMIFS(TilgErsatz,TilgObj,4,TilgJahr,"&lt;="&amp;$C1115)+SUMIFS(TilgErtrag,TilgObj,4,TilgJahr,"&lt;="&amp;$C1115)</f>
      </c>
      <c r="O1115" s="43">
        <f>INDEX(ObjWertEff,4)*(1+(Wertsteigerung)/100)^MAX(0,30)</f>
      </c>
      <c r="P1115" s="43">
        <f>IF(OR(INDEX(ObjAfaDauer,4)=0,INDEX(ObjAfaJahr,4)=0,$C1115&lt;INDEX(ObjKaufJahr,4),$C1115&gt;=INDEX(ObjKaufJahr,4)+INDEX(ObjAfaDauer,4)),0,IF($C1115=INDEX(ObjKaufJahr,4),INDEX(ObjAfaJahr,4)*(13-INDEX(ObjKaufMonat,4))/12,INDEX(ObjAfaJahr,4)))</f>
      </c>
      <c r="Q1115" s="43">
        <f>$F1115-$G1115-$H1115-$I1115-$P1115</f>
      </c>
      <c r="R1115" s="43">
        <f>$Q1115*INDEX(ObjSteuersatz,4)/100</f>
      </c>
      <c r="S1115" s="43">
        <f>$I1115+$J1115+$K1115+$L1115</f>
      </c>
      <c r="T1115" s="43">
        <f>$F1115-$G1115-$H1115-$S1115</f>
      </c>
      <c r="U1115" s="43">
        <f>$T1115-$R1115</f>
      </c>
      <c r="V1115" s="43">
        <f>$O1115-$M1115</f>
      </c>
      <c r="W1115" s="43">
        <f>$J1115+$K1115+$L1115</f>
      </c>
      <c r="X1115" s="43">
        <f>IF($O1115=0,0,$M1115/$O1115*100)</f>
      </c>
    </row>
    <row r="1116">
      <c r="A1116"/>
      <c r="B1116">
        <v>5</v>
      </c>
      <c r="C1116" s="43">
        <f>Jahr+0</f>
      </c>
      <c r="D1116">
        <v>0</v>
      </c>
      <c r="E1116" s="43">
        <f>IF(INDEX(ObjKaufJahr,5)=0,0,IF($C1116&lt;INDEX(ObjKaufJahr,5),0,IF($C1116&gt;INDEX(ObjKaufJahr,5),12,13-INDEX(ObjKaufMonat,5))))/12</f>
      </c>
      <c r="F1116" s="43">
        <f>SUMIFS(MlSumme,MlObj,5,MlJahr,$C1116)*(1-Leerstand/100)</f>
      </c>
      <c r="G1116" s="43">
        <f>INDEX(ObjLaufend,5)*(1+(Inflation)/100)^MAX(0,0)*$E1116</f>
      </c>
      <c r="H1116" s="43">
        <f>INDEX(ObjInstandBasis,5)*(1+(Inflation)/100)^MAX(0,0)*$E1116</f>
      </c>
      <c r="I1116" s="43">
        <f>SUMIFS(TilgZins,TilgObj,5,TilgJahr,$C1116)</f>
      </c>
      <c r="J1116" s="43">
        <f>SUMIFS(TilgTilgung,TilgObj,5,TilgJahr,$C1116)</f>
      </c>
      <c r="K1116" s="43">
        <f>SUMIFS(TilgSonder,TilgObj,5,TilgJahr,$C1116)</f>
      </c>
      <c r="L1116" s="43">
        <f>SUMIFS(TilgErsatz,TilgObj,5,TilgJahr,$C1116)</f>
      </c>
      <c r="M1116" s="43">
        <f>MAX(0,SUMIF(DarlObj,5,DarlBetrag)-SUMIFS(TilgTilgung,TilgObj,5,TilgJahr,"&lt;="&amp;$C1116)-SUMIFS(TilgSonder,TilgObj,5,TilgJahr,"&lt;="&amp;$C1116))</f>
      </c>
      <c r="N1116" s="43">
        <f>SUMIFS(TilgErsatz,TilgObj,5,TilgJahr,"&lt;="&amp;$C1116)+SUMIFS(TilgErtrag,TilgObj,5,TilgJahr,"&lt;="&amp;$C1116)</f>
      </c>
      <c r="O1116" s="43">
        <f>INDEX(ObjWertEff,5)*(1+(Wertsteigerung)/100)^MAX(0,0)</f>
      </c>
      <c r="P1116" s="43">
        <f>IF(OR(INDEX(ObjAfaDauer,5)=0,INDEX(ObjAfaJahr,5)=0,$C1116&lt;INDEX(ObjKaufJahr,5),$C1116&gt;=INDEX(ObjKaufJahr,5)+INDEX(ObjAfaDauer,5)),0,IF($C1116=INDEX(ObjKaufJahr,5),INDEX(ObjAfaJahr,5)*(13-INDEX(ObjKaufMonat,5))/12,INDEX(ObjAfaJahr,5)))</f>
      </c>
      <c r="Q1116" s="43">
        <f>$F1116-$G1116-$H1116-$I1116-$P1116</f>
      </c>
      <c r="R1116" s="43">
        <f>$Q1116*INDEX(ObjSteuersatz,5)/100</f>
      </c>
      <c r="S1116" s="43">
        <f>$I1116+$J1116+$K1116+$L1116</f>
      </c>
      <c r="T1116" s="43">
        <f>$F1116-$G1116-$H1116-$S1116</f>
      </c>
      <c r="U1116" s="43">
        <f>$T1116-$R1116</f>
      </c>
      <c r="V1116" s="43">
        <f>$O1116-$M1116</f>
      </c>
      <c r="W1116" s="43">
        <f>$J1116+$K1116+$L1116</f>
      </c>
      <c r="X1116" s="43">
        <f>IF($O1116=0,0,$M1116/$O1116*100)</f>
      </c>
    </row>
    <row r="1117">
      <c r="A1117"/>
      <c r="B1117">
        <v>5</v>
      </c>
      <c r="C1117" s="43">
        <f>Jahr+1</f>
      </c>
      <c r="D1117">
        <v>1</v>
      </c>
      <c r="E1117" s="43">
        <f>IF(INDEX(ObjKaufJahr,5)=0,0,IF($C1117&lt;INDEX(ObjKaufJahr,5),0,IF($C1117&gt;INDEX(ObjKaufJahr,5),12,13-INDEX(ObjKaufMonat,5))))/12</f>
      </c>
      <c r="F1117" s="43">
        <f>SUMIFS(MlSumme,MlObj,5,MlJahr,$C1117)*(1-Leerstand/100)</f>
      </c>
      <c r="G1117" s="43">
        <f>INDEX(ObjLaufend,5)*(1+(Inflation)/100)^MAX(0,1)*$E1117</f>
      </c>
      <c r="H1117" s="43">
        <f>INDEX(ObjInstandBasis,5)*(1+(Inflation)/100)^MAX(0,1)*$E1117</f>
      </c>
      <c r="I1117" s="43">
        <f>SUMIFS(TilgZins,TilgObj,5,TilgJahr,$C1117)</f>
      </c>
      <c r="J1117" s="43">
        <f>SUMIFS(TilgTilgung,TilgObj,5,TilgJahr,$C1117)</f>
      </c>
      <c r="K1117" s="43">
        <f>SUMIFS(TilgSonder,TilgObj,5,TilgJahr,$C1117)</f>
      </c>
      <c r="L1117" s="43">
        <f>SUMIFS(TilgErsatz,TilgObj,5,TilgJahr,$C1117)</f>
      </c>
      <c r="M1117" s="43">
        <f>MAX(0,SUMIF(DarlObj,5,DarlBetrag)-SUMIFS(TilgTilgung,TilgObj,5,TilgJahr,"&lt;="&amp;$C1117)-SUMIFS(TilgSonder,TilgObj,5,TilgJahr,"&lt;="&amp;$C1117))</f>
      </c>
      <c r="N1117" s="43">
        <f>SUMIFS(TilgErsatz,TilgObj,5,TilgJahr,"&lt;="&amp;$C1117)+SUMIFS(TilgErtrag,TilgObj,5,TilgJahr,"&lt;="&amp;$C1117)</f>
      </c>
      <c r="O1117" s="43">
        <f>INDEX(ObjWertEff,5)*(1+(Wertsteigerung)/100)^MAX(0,1)</f>
      </c>
      <c r="P1117" s="43">
        <f>IF(OR(INDEX(ObjAfaDauer,5)=0,INDEX(ObjAfaJahr,5)=0,$C1117&lt;INDEX(ObjKaufJahr,5),$C1117&gt;=INDEX(ObjKaufJahr,5)+INDEX(ObjAfaDauer,5)),0,IF($C1117=INDEX(ObjKaufJahr,5),INDEX(ObjAfaJahr,5)*(13-INDEX(ObjKaufMonat,5))/12,INDEX(ObjAfaJahr,5)))</f>
      </c>
      <c r="Q1117" s="43">
        <f>$F1117-$G1117-$H1117-$I1117-$P1117</f>
      </c>
      <c r="R1117" s="43">
        <f>$Q1117*INDEX(ObjSteuersatz,5)/100</f>
      </c>
      <c r="S1117" s="43">
        <f>$I1117+$J1117+$K1117+$L1117</f>
      </c>
      <c r="T1117" s="43">
        <f>$F1117-$G1117-$H1117-$S1117</f>
      </c>
      <c r="U1117" s="43">
        <f>$T1117-$R1117</f>
      </c>
      <c r="V1117" s="43">
        <f>$O1117-$M1117</f>
      </c>
      <c r="W1117" s="43">
        <f>$J1117+$K1117+$L1117</f>
      </c>
      <c r="X1117" s="43">
        <f>IF($O1117=0,0,$M1117/$O1117*100)</f>
      </c>
    </row>
    <row r="1118">
      <c r="A1118"/>
      <c r="B1118">
        <v>5</v>
      </c>
      <c r="C1118" s="43">
        <f>Jahr+2</f>
      </c>
      <c r="D1118">
        <v>2</v>
      </c>
      <c r="E1118" s="43">
        <f>IF(INDEX(ObjKaufJahr,5)=0,0,IF($C1118&lt;INDEX(ObjKaufJahr,5),0,IF($C1118&gt;INDEX(ObjKaufJahr,5),12,13-INDEX(ObjKaufMonat,5))))/12</f>
      </c>
      <c r="F1118" s="43">
        <f>SUMIFS(MlSumme,MlObj,5,MlJahr,$C1118)*(1-Leerstand/100)</f>
      </c>
      <c r="G1118" s="43">
        <f>INDEX(ObjLaufend,5)*(1+(Inflation)/100)^MAX(0,2)*$E1118</f>
      </c>
      <c r="H1118" s="43">
        <f>INDEX(ObjInstandBasis,5)*(1+(Inflation)/100)^MAX(0,2)*$E1118</f>
      </c>
      <c r="I1118" s="43">
        <f>SUMIFS(TilgZins,TilgObj,5,TilgJahr,$C1118)</f>
      </c>
      <c r="J1118" s="43">
        <f>SUMIFS(TilgTilgung,TilgObj,5,TilgJahr,$C1118)</f>
      </c>
      <c r="K1118" s="43">
        <f>SUMIFS(TilgSonder,TilgObj,5,TilgJahr,$C1118)</f>
      </c>
      <c r="L1118" s="43">
        <f>SUMIFS(TilgErsatz,TilgObj,5,TilgJahr,$C1118)</f>
      </c>
      <c r="M1118" s="43">
        <f>MAX(0,SUMIF(DarlObj,5,DarlBetrag)-SUMIFS(TilgTilgung,TilgObj,5,TilgJahr,"&lt;="&amp;$C1118)-SUMIFS(TilgSonder,TilgObj,5,TilgJahr,"&lt;="&amp;$C1118))</f>
      </c>
      <c r="N1118" s="43">
        <f>SUMIFS(TilgErsatz,TilgObj,5,TilgJahr,"&lt;="&amp;$C1118)+SUMIFS(TilgErtrag,TilgObj,5,TilgJahr,"&lt;="&amp;$C1118)</f>
      </c>
      <c r="O1118" s="43">
        <f>INDEX(ObjWertEff,5)*(1+(Wertsteigerung)/100)^MAX(0,2)</f>
      </c>
      <c r="P1118" s="43">
        <f>IF(OR(INDEX(ObjAfaDauer,5)=0,INDEX(ObjAfaJahr,5)=0,$C1118&lt;INDEX(ObjKaufJahr,5),$C1118&gt;=INDEX(ObjKaufJahr,5)+INDEX(ObjAfaDauer,5)),0,IF($C1118=INDEX(ObjKaufJahr,5),INDEX(ObjAfaJahr,5)*(13-INDEX(ObjKaufMonat,5))/12,INDEX(ObjAfaJahr,5)))</f>
      </c>
      <c r="Q1118" s="43">
        <f>$F1118-$G1118-$H1118-$I1118-$P1118</f>
      </c>
      <c r="R1118" s="43">
        <f>$Q1118*INDEX(ObjSteuersatz,5)/100</f>
      </c>
      <c r="S1118" s="43">
        <f>$I1118+$J1118+$K1118+$L1118</f>
      </c>
      <c r="T1118" s="43">
        <f>$F1118-$G1118-$H1118-$S1118</f>
      </c>
      <c r="U1118" s="43">
        <f>$T1118-$R1118</f>
      </c>
      <c r="V1118" s="43">
        <f>$O1118-$M1118</f>
      </c>
      <c r="W1118" s="43">
        <f>$J1118+$K1118+$L1118</f>
      </c>
      <c r="X1118" s="43">
        <f>IF($O1118=0,0,$M1118/$O1118*100)</f>
      </c>
    </row>
    <row r="1119">
      <c r="A1119"/>
      <c r="B1119">
        <v>5</v>
      </c>
      <c r="C1119" s="43">
        <f>Jahr+3</f>
      </c>
      <c r="D1119">
        <v>3</v>
      </c>
      <c r="E1119" s="43">
        <f>IF(INDEX(ObjKaufJahr,5)=0,0,IF($C1119&lt;INDEX(ObjKaufJahr,5),0,IF($C1119&gt;INDEX(ObjKaufJahr,5),12,13-INDEX(ObjKaufMonat,5))))/12</f>
      </c>
      <c r="F1119" s="43">
        <f>SUMIFS(MlSumme,MlObj,5,MlJahr,$C1119)*(1-Leerstand/100)</f>
      </c>
      <c r="G1119" s="43">
        <f>INDEX(ObjLaufend,5)*(1+(Inflation)/100)^MAX(0,3)*$E1119</f>
      </c>
      <c r="H1119" s="43">
        <f>INDEX(ObjInstandBasis,5)*(1+(Inflation)/100)^MAX(0,3)*$E1119</f>
      </c>
      <c r="I1119" s="43">
        <f>SUMIFS(TilgZins,TilgObj,5,TilgJahr,$C1119)</f>
      </c>
      <c r="J1119" s="43">
        <f>SUMIFS(TilgTilgung,TilgObj,5,TilgJahr,$C1119)</f>
      </c>
      <c r="K1119" s="43">
        <f>SUMIFS(TilgSonder,TilgObj,5,TilgJahr,$C1119)</f>
      </c>
      <c r="L1119" s="43">
        <f>SUMIFS(TilgErsatz,TilgObj,5,TilgJahr,$C1119)</f>
      </c>
      <c r="M1119" s="43">
        <f>MAX(0,SUMIF(DarlObj,5,DarlBetrag)-SUMIFS(TilgTilgung,TilgObj,5,TilgJahr,"&lt;="&amp;$C1119)-SUMIFS(TilgSonder,TilgObj,5,TilgJahr,"&lt;="&amp;$C1119))</f>
      </c>
      <c r="N1119" s="43">
        <f>SUMIFS(TilgErsatz,TilgObj,5,TilgJahr,"&lt;="&amp;$C1119)+SUMIFS(TilgErtrag,TilgObj,5,TilgJahr,"&lt;="&amp;$C1119)</f>
      </c>
      <c r="O1119" s="43">
        <f>INDEX(ObjWertEff,5)*(1+(Wertsteigerung)/100)^MAX(0,3)</f>
      </c>
      <c r="P1119" s="43">
        <f>IF(OR(INDEX(ObjAfaDauer,5)=0,INDEX(ObjAfaJahr,5)=0,$C1119&lt;INDEX(ObjKaufJahr,5),$C1119&gt;=INDEX(ObjKaufJahr,5)+INDEX(ObjAfaDauer,5)),0,IF($C1119=INDEX(ObjKaufJahr,5),INDEX(ObjAfaJahr,5)*(13-INDEX(ObjKaufMonat,5))/12,INDEX(ObjAfaJahr,5)))</f>
      </c>
      <c r="Q1119" s="43">
        <f>$F1119-$G1119-$H1119-$I1119-$P1119</f>
      </c>
      <c r="R1119" s="43">
        <f>$Q1119*INDEX(ObjSteuersatz,5)/100</f>
      </c>
      <c r="S1119" s="43">
        <f>$I1119+$J1119+$K1119+$L1119</f>
      </c>
      <c r="T1119" s="43">
        <f>$F1119-$G1119-$H1119-$S1119</f>
      </c>
      <c r="U1119" s="43">
        <f>$T1119-$R1119</f>
      </c>
      <c r="V1119" s="43">
        <f>$O1119-$M1119</f>
      </c>
      <c r="W1119" s="43">
        <f>$J1119+$K1119+$L1119</f>
      </c>
      <c r="X1119" s="43">
        <f>IF($O1119=0,0,$M1119/$O1119*100)</f>
      </c>
    </row>
    <row r="1120">
      <c r="A1120"/>
      <c r="B1120">
        <v>5</v>
      </c>
      <c r="C1120" s="43">
        <f>Jahr+4</f>
      </c>
      <c r="D1120">
        <v>4</v>
      </c>
      <c r="E1120" s="43">
        <f>IF(INDEX(ObjKaufJahr,5)=0,0,IF($C1120&lt;INDEX(ObjKaufJahr,5),0,IF($C1120&gt;INDEX(ObjKaufJahr,5),12,13-INDEX(ObjKaufMonat,5))))/12</f>
      </c>
      <c r="F1120" s="43">
        <f>SUMIFS(MlSumme,MlObj,5,MlJahr,$C1120)*(1-Leerstand/100)</f>
      </c>
      <c r="G1120" s="43">
        <f>INDEX(ObjLaufend,5)*(1+(Inflation)/100)^MAX(0,4)*$E1120</f>
      </c>
      <c r="H1120" s="43">
        <f>INDEX(ObjInstandBasis,5)*(1+(Inflation)/100)^MAX(0,4)*$E1120</f>
      </c>
      <c r="I1120" s="43">
        <f>SUMIFS(TilgZins,TilgObj,5,TilgJahr,$C1120)</f>
      </c>
      <c r="J1120" s="43">
        <f>SUMIFS(TilgTilgung,TilgObj,5,TilgJahr,$C1120)</f>
      </c>
      <c r="K1120" s="43">
        <f>SUMIFS(TilgSonder,TilgObj,5,TilgJahr,$C1120)</f>
      </c>
      <c r="L1120" s="43">
        <f>SUMIFS(TilgErsatz,TilgObj,5,TilgJahr,$C1120)</f>
      </c>
      <c r="M1120" s="43">
        <f>MAX(0,SUMIF(DarlObj,5,DarlBetrag)-SUMIFS(TilgTilgung,TilgObj,5,TilgJahr,"&lt;="&amp;$C1120)-SUMIFS(TilgSonder,TilgObj,5,TilgJahr,"&lt;="&amp;$C1120))</f>
      </c>
      <c r="N1120" s="43">
        <f>SUMIFS(TilgErsatz,TilgObj,5,TilgJahr,"&lt;="&amp;$C1120)+SUMIFS(TilgErtrag,TilgObj,5,TilgJahr,"&lt;="&amp;$C1120)</f>
      </c>
      <c r="O1120" s="43">
        <f>INDEX(ObjWertEff,5)*(1+(Wertsteigerung)/100)^MAX(0,4)</f>
      </c>
      <c r="P1120" s="43">
        <f>IF(OR(INDEX(ObjAfaDauer,5)=0,INDEX(ObjAfaJahr,5)=0,$C1120&lt;INDEX(ObjKaufJahr,5),$C1120&gt;=INDEX(ObjKaufJahr,5)+INDEX(ObjAfaDauer,5)),0,IF($C1120=INDEX(ObjKaufJahr,5),INDEX(ObjAfaJahr,5)*(13-INDEX(ObjKaufMonat,5))/12,INDEX(ObjAfaJahr,5)))</f>
      </c>
      <c r="Q1120" s="43">
        <f>$F1120-$G1120-$H1120-$I1120-$P1120</f>
      </c>
      <c r="R1120" s="43">
        <f>$Q1120*INDEX(ObjSteuersatz,5)/100</f>
      </c>
      <c r="S1120" s="43">
        <f>$I1120+$J1120+$K1120+$L1120</f>
      </c>
      <c r="T1120" s="43">
        <f>$F1120-$G1120-$H1120-$S1120</f>
      </c>
      <c r="U1120" s="43">
        <f>$T1120-$R1120</f>
      </c>
      <c r="V1120" s="43">
        <f>$O1120-$M1120</f>
      </c>
      <c r="W1120" s="43">
        <f>$J1120+$K1120+$L1120</f>
      </c>
      <c r="X1120" s="43">
        <f>IF($O1120=0,0,$M1120/$O1120*100)</f>
      </c>
    </row>
    <row r="1121">
      <c r="A1121"/>
      <c r="B1121">
        <v>5</v>
      </c>
      <c r="C1121" s="43">
        <f>Jahr+5</f>
      </c>
      <c r="D1121">
        <v>5</v>
      </c>
      <c r="E1121" s="43">
        <f>IF(INDEX(ObjKaufJahr,5)=0,0,IF($C1121&lt;INDEX(ObjKaufJahr,5),0,IF($C1121&gt;INDEX(ObjKaufJahr,5),12,13-INDEX(ObjKaufMonat,5))))/12</f>
      </c>
      <c r="F1121" s="43">
        <f>SUMIFS(MlSumme,MlObj,5,MlJahr,$C1121)*(1-Leerstand/100)</f>
      </c>
      <c r="G1121" s="43">
        <f>INDEX(ObjLaufend,5)*(1+(Inflation)/100)^MAX(0,5)*$E1121</f>
      </c>
      <c r="H1121" s="43">
        <f>INDEX(ObjInstandBasis,5)*(1+(Inflation)/100)^MAX(0,5)*$E1121</f>
      </c>
      <c r="I1121" s="43">
        <f>SUMIFS(TilgZins,TilgObj,5,TilgJahr,$C1121)</f>
      </c>
      <c r="J1121" s="43">
        <f>SUMIFS(TilgTilgung,TilgObj,5,TilgJahr,$C1121)</f>
      </c>
      <c r="K1121" s="43">
        <f>SUMIFS(TilgSonder,TilgObj,5,TilgJahr,$C1121)</f>
      </c>
      <c r="L1121" s="43">
        <f>SUMIFS(TilgErsatz,TilgObj,5,TilgJahr,$C1121)</f>
      </c>
      <c r="M1121" s="43">
        <f>MAX(0,SUMIF(DarlObj,5,DarlBetrag)-SUMIFS(TilgTilgung,TilgObj,5,TilgJahr,"&lt;="&amp;$C1121)-SUMIFS(TilgSonder,TilgObj,5,TilgJahr,"&lt;="&amp;$C1121))</f>
      </c>
      <c r="N1121" s="43">
        <f>SUMIFS(TilgErsatz,TilgObj,5,TilgJahr,"&lt;="&amp;$C1121)+SUMIFS(TilgErtrag,TilgObj,5,TilgJahr,"&lt;="&amp;$C1121)</f>
      </c>
      <c r="O1121" s="43">
        <f>INDEX(ObjWertEff,5)*(1+(Wertsteigerung)/100)^MAX(0,5)</f>
      </c>
      <c r="P1121" s="43">
        <f>IF(OR(INDEX(ObjAfaDauer,5)=0,INDEX(ObjAfaJahr,5)=0,$C1121&lt;INDEX(ObjKaufJahr,5),$C1121&gt;=INDEX(ObjKaufJahr,5)+INDEX(ObjAfaDauer,5)),0,IF($C1121=INDEX(ObjKaufJahr,5),INDEX(ObjAfaJahr,5)*(13-INDEX(ObjKaufMonat,5))/12,INDEX(ObjAfaJahr,5)))</f>
      </c>
      <c r="Q1121" s="43">
        <f>$F1121-$G1121-$H1121-$I1121-$P1121</f>
      </c>
      <c r="R1121" s="43">
        <f>$Q1121*INDEX(ObjSteuersatz,5)/100</f>
      </c>
      <c r="S1121" s="43">
        <f>$I1121+$J1121+$K1121+$L1121</f>
      </c>
      <c r="T1121" s="43">
        <f>$F1121-$G1121-$H1121-$S1121</f>
      </c>
      <c r="U1121" s="43">
        <f>$T1121-$R1121</f>
      </c>
      <c r="V1121" s="43">
        <f>$O1121-$M1121</f>
      </c>
      <c r="W1121" s="43">
        <f>$J1121+$K1121+$L1121</f>
      </c>
      <c r="X1121" s="43">
        <f>IF($O1121=0,0,$M1121/$O1121*100)</f>
      </c>
    </row>
    <row r="1122">
      <c r="A1122"/>
      <c r="B1122">
        <v>5</v>
      </c>
      <c r="C1122" s="43">
        <f>Jahr+6</f>
      </c>
      <c r="D1122">
        <v>6</v>
      </c>
      <c r="E1122" s="43">
        <f>IF(INDEX(ObjKaufJahr,5)=0,0,IF($C1122&lt;INDEX(ObjKaufJahr,5),0,IF($C1122&gt;INDEX(ObjKaufJahr,5),12,13-INDEX(ObjKaufMonat,5))))/12</f>
      </c>
      <c r="F1122" s="43">
        <f>SUMIFS(MlSumme,MlObj,5,MlJahr,$C1122)*(1-Leerstand/100)</f>
      </c>
      <c r="G1122" s="43">
        <f>INDEX(ObjLaufend,5)*(1+(Inflation)/100)^MAX(0,6)*$E1122</f>
      </c>
      <c r="H1122" s="43">
        <f>INDEX(ObjInstandBasis,5)*(1+(Inflation)/100)^MAX(0,6)*$E1122</f>
      </c>
      <c r="I1122" s="43">
        <f>SUMIFS(TilgZins,TilgObj,5,TilgJahr,$C1122)</f>
      </c>
      <c r="J1122" s="43">
        <f>SUMIFS(TilgTilgung,TilgObj,5,TilgJahr,$C1122)</f>
      </c>
      <c r="K1122" s="43">
        <f>SUMIFS(TilgSonder,TilgObj,5,TilgJahr,$C1122)</f>
      </c>
      <c r="L1122" s="43">
        <f>SUMIFS(TilgErsatz,TilgObj,5,TilgJahr,$C1122)</f>
      </c>
      <c r="M1122" s="43">
        <f>MAX(0,SUMIF(DarlObj,5,DarlBetrag)-SUMIFS(TilgTilgung,TilgObj,5,TilgJahr,"&lt;="&amp;$C1122)-SUMIFS(TilgSonder,TilgObj,5,TilgJahr,"&lt;="&amp;$C1122))</f>
      </c>
      <c r="N1122" s="43">
        <f>SUMIFS(TilgErsatz,TilgObj,5,TilgJahr,"&lt;="&amp;$C1122)+SUMIFS(TilgErtrag,TilgObj,5,TilgJahr,"&lt;="&amp;$C1122)</f>
      </c>
      <c r="O1122" s="43">
        <f>INDEX(ObjWertEff,5)*(1+(Wertsteigerung)/100)^MAX(0,6)</f>
      </c>
      <c r="P1122" s="43">
        <f>IF(OR(INDEX(ObjAfaDauer,5)=0,INDEX(ObjAfaJahr,5)=0,$C1122&lt;INDEX(ObjKaufJahr,5),$C1122&gt;=INDEX(ObjKaufJahr,5)+INDEX(ObjAfaDauer,5)),0,IF($C1122=INDEX(ObjKaufJahr,5),INDEX(ObjAfaJahr,5)*(13-INDEX(ObjKaufMonat,5))/12,INDEX(ObjAfaJahr,5)))</f>
      </c>
      <c r="Q1122" s="43">
        <f>$F1122-$G1122-$H1122-$I1122-$P1122</f>
      </c>
      <c r="R1122" s="43">
        <f>$Q1122*INDEX(ObjSteuersatz,5)/100</f>
      </c>
      <c r="S1122" s="43">
        <f>$I1122+$J1122+$K1122+$L1122</f>
      </c>
      <c r="T1122" s="43">
        <f>$F1122-$G1122-$H1122-$S1122</f>
      </c>
      <c r="U1122" s="43">
        <f>$T1122-$R1122</f>
      </c>
      <c r="V1122" s="43">
        <f>$O1122-$M1122</f>
      </c>
      <c r="W1122" s="43">
        <f>$J1122+$K1122+$L1122</f>
      </c>
      <c r="X1122" s="43">
        <f>IF($O1122=0,0,$M1122/$O1122*100)</f>
      </c>
    </row>
    <row r="1123">
      <c r="A1123"/>
      <c r="B1123">
        <v>5</v>
      </c>
      <c r="C1123" s="43">
        <f>Jahr+7</f>
      </c>
      <c r="D1123">
        <v>7</v>
      </c>
      <c r="E1123" s="43">
        <f>IF(INDEX(ObjKaufJahr,5)=0,0,IF($C1123&lt;INDEX(ObjKaufJahr,5),0,IF($C1123&gt;INDEX(ObjKaufJahr,5),12,13-INDEX(ObjKaufMonat,5))))/12</f>
      </c>
      <c r="F1123" s="43">
        <f>SUMIFS(MlSumme,MlObj,5,MlJahr,$C1123)*(1-Leerstand/100)</f>
      </c>
      <c r="G1123" s="43">
        <f>INDEX(ObjLaufend,5)*(1+(Inflation)/100)^MAX(0,7)*$E1123</f>
      </c>
      <c r="H1123" s="43">
        <f>INDEX(ObjInstandBasis,5)*(1+(Inflation)/100)^MAX(0,7)*$E1123</f>
      </c>
      <c r="I1123" s="43">
        <f>SUMIFS(TilgZins,TilgObj,5,TilgJahr,$C1123)</f>
      </c>
      <c r="J1123" s="43">
        <f>SUMIFS(TilgTilgung,TilgObj,5,TilgJahr,$C1123)</f>
      </c>
      <c r="K1123" s="43">
        <f>SUMIFS(TilgSonder,TilgObj,5,TilgJahr,$C1123)</f>
      </c>
      <c r="L1123" s="43">
        <f>SUMIFS(TilgErsatz,TilgObj,5,TilgJahr,$C1123)</f>
      </c>
      <c r="M1123" s="43">
        <f>MAX(0,SUMIF(DarlObj,5,DarlBetrag)-SUMIFS(TilgTilgung,TilgObj,5,TilgJahr,"&lt;="&amp;$C1123)-SUMIFS(TilgSonder,TilgObj,5,TilgJahr,"&lt;="&amp;$C1123))</f>
      </c>
      <c r="N1123" s="43">
        <f>SUMIFS(TilgErsatz,TilgObj,5,TilgJahr,"&lt;="&amp;$C1123)+SUMIFS(TilgErtrag,TilgObj,5,TilgJahr,"&lt;="&amp;$C1123)</f>
      </c>
      <c r="O1123" s="43">
        <f>INDEX(ObjWertEff,5)*(1+(Wertsteigerung)/100)^MAX(0,7)</f>
      </c>
      <c r="P1123" s="43">
        <f>IF(OR(INDEX(ObjAfaDauer,5)=0,INDEX(ObjAfaJahr,5)=0,$C1123&lt;INDEX(ObjKaufJahr,5),$C1123&gt;=INDEX(ObjKaufJahr,5)+INDEX(ObjAfaDauer,5)),0,IF($C1123=INDEX(ObjKaufJahr,5),INDEX(ObjAfaJahr,5)*(13-INDEX(ObjKaufMonat,5))/12,INDEX(ObjAfaJahr,5)))</f>
      </c>
      <c r="Q1123" s="43">
        <f>$F1123-$G1123-$H1123-$I1123-$P1123</f>
      </c>
      <c r="R1123" s="43">
        <f>$Q1123*INDEX(ObjSteuersatz,5)/100</f>
      </c>
      <c r="S1123" s="43">
        <f>$I1123+$J1123+$K1123+$L1123</f>
      </c>
      <c r="T1123" s="43">
        <f>$F1123-$G1123-$H1123-$S1123</f>
      </c>
      <c r="U1123" s="43">
        <f>$T1123-$R1123</f>
      </c>
      <c r="V1123" s="43">
        <f>$O1123-$M1123</f>
      </c>
      <c r="W1123" s="43">
        <f>$J1123+$K1123+$L1123</f>
      </c>
      <c r="X1123" s="43">
        <f>IF($O1123=0,0,$M1123/$O1123*100)</f>
      </c>
    </row>
    <row r="1124">
      <c r="A1124"/>
      <c r="B1124">
        <v>5</v>
      </c>
      <c r="C1124" s="43">
        <f>Jahr+8</f>
      </c>
      <c r="D1124">
        <v>8</v>
      </c>
      <c r="E1124" s="43">
        <f>IF(INDEX(ObjKaufJahr,5)=0,0,IF($C1124&lt;INDEX(ObjKaufJahr,5),0,IF($C1124&gt;INDEX(ObjKaufJahr,5),12,13-INDEX(ObjKaufMonat,5))))/12</f>
      </c>
      <c r="F1124" s="43">
        <f>SUMIFS(MlSumme,MlObj,5,MlJahr,$C1124)*(1-Leerstand/100)</f>
      </c>
      <c r="G1124" s="43">
        <f>INDEX(ObjLaufend,5)*(1+(Inflation)/100)^MAX(0,8)*$E1124</f>
      </c>
      <c r="H1124" s="43">
        <f>INDEX(ObjInstandBasis,5)*(1+(Inflation)/100)^MAX(0,8)*$E1124</f>
      </c>
      <c r="I1124" s="43">
        <f>SUMIFS(TilgZins,TilgObj,5,TilgJahr,$C1124)</f>
      </c>
      <c r="J1124" s="43">
        <f>SUMIFS(TilgTilgung,TilgObj,5,TilgJahr,$C1124)</f>
      </c>
      <c r="K1124" s="43">
        <f>SUMIFS(TilgSonder,TilgObj,5,TilgJahr,$C1124)</f>
      </c>
      <c r="L1124" s="43">
        <f>SUMIFS(TilgErsatz,TilgObj,5,TilgJahr,$C1124)</f>
      </c>
      <c r="M1124" s="43">
        <f>MAX(0,SUMIF(DarlObj,5,DarlBetrag)-SUMIFS(TilgTilgung,TilgObj,5,TilgJahr,"&lt;="&amp;$C1124)-SUMIFS(TilgSonder,TilgObj,5,TilgJahr,"&lt;="&amp;$C1124))</f>
      </c>
      <c r="N1124" s="43">
        <f>SUMIFS(TilgErsatz,TilgObj,5,TilgJahr,"&lt;="&amp;$C1124)+SUMIFS(TilgErtrag,TilgObj,5,TilgJahr,"&lt;="&amp;$C1124)</f>
      </c>
      <c r="O1124" s="43">
        <f>INDEX(ObjWertEff,5)*(1+(Wertsteigerung)/100)^MAX(0,8)</f>
      </c>
      <c r="P1124" s="43">
        <f>IF(OR(INDEX(ObjAfaDauer,5)=0,INDEX(ObjAfaJahr,5)=0,$C1124&lt;INDEX(ObjKaufJahr,5),$C1124&gt;=INDEX(ObjKaufJahr,5)+INDEX(ObjAfaDauer,5)),0,IF($C1124=INDEX(ObjKaufJahr,5),INDEX(ObjAfaJahr,5)*(13-INDEX(ObjKaufMonat,5))/12,INDEX(ObjAfaJahr,5)))</f>
      </c>
      <c r="Q1124" s="43">
        <f>$F1124-$G1124-$H1124-$I1124-$P1124</f>
      </c>
      <c r="R1124" s="43">
        <f>$Q1124*INDEX(ObjSteuersatz,5)/100</f>
      </c>
      <c r="S1124" s="43">
        <f>$I1124+$J1124+$K1124+$L1124</f>
      </c>
      <c r="T1124" s="43">
        <f>$F1124-$G1124-$H1124-$S1124</f>
      </c>
      <c r="U1124" s="43">
        <f>$T1124-$R1124</f>
      </c>
      <c r="V1124" s="43">
        <f>$O1124-$M1124</f>
      </c>
      <c r="W1124" s="43">
        <f>$J1124+$K1124+$L1124</f>
      </c>
      <c r="X1124" s="43">
        <f>IF($O1124=0,0,$M1124/$O1124*100)</f>
      </c>
    </row>
    <row r="1125">
      <c r="A1125"/>
      <c r="B1125">
        <v>5</v>
      </c>
      <c r="C1125" s="43">
        <f>Jahr+9</f>
      </c>
      <c r="D1125">
        <v>9</v>
      </c>
      <c r="E1125" s="43">
        <f>IF(INDEX(ObjKaufJahr,5)=0,0,IF($C1125&lt;INDEX(ObjKaufJahr,5),0,IF($C1125&gt;INDEX(ObjKaufJahr,5),12,13-INDEX(ObjKaufMonat,5))))/12</f>
      </c>
      <c r="F1125" s="43">
        <f>SUMIFS(MlSumme,MlObj,5,MlJahr,$C1125)*(1-Leerstand/100)</f>
      </c>
      <c r="G1125" s="43">
        <f>INDEX(ObjLaufend,5)*(1+(Inflation)/100)^MAX(0,9)*$E1125</f>
      </c>
      <c r="H1125" s="43">
        <f>INDEX(ObjInstandBasis,5)*(1+(Inflation)/100)^MAX(0,9)*$E1125</f>
      </c>
      <c r="I1125" s="43">
        <f>SUMIFS(TilgZins,TilgObj,5,TilgJahr,$C1125)</f>
      </c>
      <c r="J1125" s="43">
        <f>SUMIFS(TilgTilgung,TilgObj,5,TilgJahr,$C1125)</f>
      </c>
      <c r="K1125" s="43">
        <f>SUMIFS(TilgSonder,TilgObj,5,TilgJahr,$C1125)</f>
      </c>
      <c r="L1125" s="43">
        <f>SUMIFS(TilgErsatz,TilgObj,5,TilgJahr,$C1125)</f>
      </c>
      <c r="M1125" s="43">
        <f>MAX(0,SUMIF(DarlObj,5,DarlBetrag)-SUMIFS(TilgTilgung,TilgObj,5,TilgJahr,"&lt;="&amp;$C1125)-SUMIFS(TilgSonder,TilgObj,5,TilgJahr,"&lt;="&amp;$C1125))</f>
      </c>
      <c r="N1125" s="43">
        <f>SUMIFS(TilgErsatz,TilgObj,5,TilgJahr,"&lt;="&amp;$C1125)+SUMIFS(TilgErtrag,TilgObj,5,TilgJahr,"&lt;="&amp;$C1125)</f>
      </c>
      <c r="O1125" s="43">
        <f>INDEX(ObjWertEff,5)*(1+(Wertsteigerung)/100)^MAX(0,9)</f>
      </c>
      <c r="P1125" s="43">
        <f>IF(OR(INDEX(ObjAfaDauer,5)=0,INDEX(ObjAfaJahr,5)=0,$C1125&lt;INDEX(ObjKaufJahr,5),$C1125&gt;=INDEX(ObjKaufJahr,5)+INDEX(ObjAfaDauer,5)),0,IF($C1125=INDEX(ObjKaufJahr,5),INDEX(ObjAfaJahr,5)*(13-INDEX(ObjKaufMonat,5))/12,INDEX(ObjAfaJahr,5)))</f>
      </c>
      <c r="Q1125" s="43">
        <f>$F1125-$G1125-$H1125-$I1125-$P1125</f>
      </c>
      <c r="R1125" s="43">
        <f>$Q1125*INDEX(ObjSteuersatz,5)/100</f>
      </c>
      <c r="S1125" s="43">
        <f>$I1125+$J1125+$K1125+$L1125</f>
      </c>
      <c r="T1125" s="43">
        <f>$F1125-$G1125-$H1125-$S1125</f>
      </c>
      <c r="U1125" s="43">
        <f>$T1125-$R1125</f>
      </c>
      <c r="V1125" s="43">
        <f>$O1125-$M1125</f>
      </c>
      <c r="W1125" s="43">
        <f>$J1125+$K1125+$L1125</f>
      </c>
      <c r="X1125" s="43">
        <f>IF($O1125=0,0,$M1125/$O1125*100)</f>
      </c>
    </row>
    <row r="1126">
      <c r="A1126"/>
      <c r="B1126">
        <v>5</v>
      </c>
      <c r="C1126" s="43">
        <f>Jahr+10</f>
      </c>
      <c r="D1126">
        <v>10</v>
      </c>
      <c r="E1126" s="43">
        <f>IF(INDEX(ObjKaufJahr,5)=0,0,IF($C1126&lt;INDEX(ObjKaufJahr,5),0,IF($C1126&gt;INDEX(ObjKaufJahr,5),12,13-INDEX(ObjKaufMonat,5))))/12</f>
      </c>
      <c r="F1126" s="43">
        <f>SUMIFS(MlSumme,MlObj,5,MlJahr,$C1126)*(1-Leerstand/100)</f>
      </c>
      <c r="G1126" s="43">
        <f>INDEX(ObjLaufend,5)*(1+(Inflation)/100)^MAX(0,10)*$E1126</f>
      </c>
      <c r="H1126" s="43">
        <f>INDEX(ObjInstandBasis,5)*(1+(Inflation)/100)^MAX(0,10)*$E1126</f>
      </c>
      <c r="I1126" s="43">
        <f>SUMIFS(TilgZins,TilgObj,5,TilgJahr,$C1126)</f>
      </c>
      <c r="J1126" s="43">
        <f>SUMIFS(TilgTilgung,TilgObj,5,TilgJahr,$C1126)</f>
      </c>
      <c r="K1126" s="43">
        <f>SUMIFS(TilgSonder,TilgObj,5,TilgJahr,$C1126)</f>
      </c>
      <c r="L1126" s="43">
        <f>SUMIFS(TilgErsatz,TilgObj,5,TilgJahr,$C1126)</f>
      </c>
      <c r="M1126" s="43">
        <f>MAX(0,SUMIF(DarlObj,5,DarlBetrag)-SUMIFS(TilgTilgung,TilgObj,5,TilgJahr,"&lt;="&amp;$C1126)-SUMIFS(TilgSonder,TilgObj,5,TilgJahr,"&lt;="&amp;$C1126))</f>
      </c>
      <c r="N1126" s="43">
        <f>SUMIFS(TilgErsatz,TilgObj,5,TilgJahr,"&lt;="&amp;$C1126)+SUMIFS(TilgErtrag,TilgObj,5,TilgJahr,"&lt;="&amp;$C1126)</f>
      </c>
      <c r="O1126" s="43">
        <f>INDEX(ObjWertEff,5)*(1+(Wertsteigerung)/100)^MAX(0,10)</f>
      </c>
      <c r="P1126" s="43">
        <f>IF(OR(INDEX(ObjAfaDauer,5)=0,INDEX(ObjAfaJahr,5)=0,$C1126&lt;INDEX(ObjKaufJahr,5),$C1126&gt;=INDEX(ObjKaufJahr,5)+INDEX(ObjAfaDauer,5)),0,IF($C1126=INDEX(ObjKaufJahr,5),INDEX(ObjAfaJahr,5)*(13-INDEX(ObjKaufMonat,5))/12,INDEX(ObjAfaJahr,5)))</f>
      </c>
      <c r="Q1126" s="43">
        <f>$F1126-$G1126-$H1126-$I1126-$P1126</f>
      </c>
      <c r="R1126" s="43">
        <f>$Q1126*INDEX(ObjSteuersatz,5)/100</f>
      </c>
      <c r="S1126" s="43">
        <f>$I1126+$J1126+$K1126+$L1126</f>
      </c>
      <c r="T1126" s="43">
        <f>$F1126-$G1126-$H1126-$S1126</f>
      </c>
      <c r="U1126" s="43">
        <f>$T1126-$R1126</f>
      </c>
      <c r="V1126" s="43">
        <f>$O1126-$M1126</f>
      </c>
      <c r="W1126" s="43">
        <f>$J1126+$K1126+$L1126</f>
      </c>
      <c r="X1126" s="43">
        <f>IF($O1126=0,0,$M1126/$O1126*100)</f>
      </c>
    </row>
    <row r="1127">
      <c r="A1127"/>
      <c r="B1127">
        <v>5</v>
      </c>
      <c r="C1127" s="43">
        <f>Jahr+11</f>
      </c>
      <c r="D1127">
        <v>11</v>
      </c>
      <c r="E1127" s="43">
        <f>IF(INDEX(ObjKaufJahr,5)=0,0,IF($C1127&lt;INDEX(ObjKaufJahr,5),0,IF($C1127&gt;INDEX(ObjKaufJahr,5),12,13-INDEX(ObjKaufMonat,5))))/12</f>
      </c>
      <c r="F1127" s="43">
        <f>SUMIFS(MlSumme,MlObj,5,MlJahr,$C1127)*(1-Leerstand/100)</f>
      </c>
      <c r="G1127" s="43">
        <f>INDEX(ObjLaufend,5)*(1+(Inflation)/100)^MAX(0,11)*$E1127</f>
      </c>
      <c r="H1127" s="43">
        <f>INDEX(ObjInstandBasis,5)*(1+(Inflation)/100)^MAX(0,11)*$E1127</f>
      </c>
      <c r="I1127" s="43">
        <f>SUMIFS(TilgZins,TilgObj,5,TilgJahr,$C1127)</f>
      </c>
      <c r="J1127" s="43">
        <f>SUMIFS(TilgTilgung,TilgObj,5,TilgJahr,$C1127)</f>
      </c>
      <c r="K1127" s="43">
        <f>SUMIFS(TilgSonder,TilgObj,5,TilgJahr,$C1127)</f>
      </c>
      <c r="L1127" s="43">
        <f>SUMIFS(TilgErsatz,TilgObj,5,TilgJahr,$C1127)</f>
      </c>
      <c r="M1127" s="43">
        <f>MAX(0,SUMIF(DarlObj,5,DarlBetrag)-SUMIFS(TilgTilgung,TilgObj,5,TilgJahr,"&lt;="&amp;$C1127)-SUMIFS(TilgSonder,TilgObj,5,TilgJahr,"&lt;="&amp;$C1127))</f>
      </c>
      <c r="N1127" s="43">
        <f>SUMIFS(TilgErsatz,TilgObj,5,TilgJahr,"&lt;="&amp;$C1127)+SUMIFS(TilgErtrag,TilgObj,5,TilgJahr,"&lt;="&amp;$C1127)</f>
      </c>
      <c r="O1127" s="43">
        <f>INDEX(ObjWertEff,5)*(1+(Wertsteigerung)/100)^MAX(0,11)</f>
      </c>
      <c r="P1127" s="43">
        <f>IF(OR(INDEX(ObjAfaDauer,5)=0,INDEX(ObjAfaJahr,5)=0,$C1127&lt;INDEX(ObjKaufJahr,5),$C1127&gt;=INDEX(ObjKaufJahr,5)+INDEX(ObjAfaDauer,5)),0,IF($C1127=INDEX(ObjKaufJahr,5),INDEX(ObjAfaJahr,5)*(13-INDEX(ObjKaufMonat,5))/12,INDEX(ObjAfaJahr,5)))</f>
      </c>
      <c r="Q1127" s="43">
        <f>$F1127-$G1127-$H1127-$I1127-$P1127</f>
      </c>
      <c r="R1127" s="43">
        <f>$Q1127*INDEX(ObjSteuersatz,5)/100</f>
      </c>
      <c r="S1127" s="43">
        <f>$I1127+$J1127+$K1127+$L1127</f>
      </c>
      <c r="T1127" s="43">
        <f>$F1127-$G1127-$H1127-$S1127</f>
      </c>
      <c r="U1127" s="43">
        <f>$T1127-$R1127</f>
      </c>
      <c r="V1127" s="43">
        <f>$O1127-$M1127</f>
      </c>
      <c r="W1127" s="43">
        <f>$J1127+$K1127+$L1127</f>
      </c>
      <c r="X1127" s="43">
        <f>IF($O1127=0,0,$M1127/$O1127*100)</f>
      </c>
    </row>
    <row r="1128">
      <c r="A1128"/>
      <c r="B1128">
        <v>5</v>
      </c>
      <c r="C1128" s="43">
        <f>Jahr+12</f>
      </c>
      <c r="D1128">
        <v>12</v>
      </c>
      <c r="E1128" s="43">
        <f>IF(INDEX(ObjKaufJahr,5)=0,0,IF($C1128&lt;INDEX(ObjKaufJahr,5),0,IF($C1128&gt;INDEX(ObjKaufJahr,5),12,13-INDEX(ObjKaufMonat,5))))/12</f>
      </c>
      <c r="F1128" s="43">
        <f>SUMIFS(MlSumme,MlObj,5,MlJahr,$C1128)*(1-Leerstand/100)</f>
      </c>
      <c r="G1128" s="43">
        <f>INDEX(ObjLaufend,5)*(1+(Inflation)/100)^MAX(0,12)*$E1128</f>
      </c>
      <c r="H1128" s="43">
        <f>INDEX(ObjInstandBasis,5)*(1+(Inflation)/100)^MAX(0,12)*$E1128</f>
      </c>
      <c r="I1128" s="43">
        <f>SUMIFS(TilgZins,TilgObj,5,TilgJahr,$C1128)</f>
      </c>
      <c r="J1128" s="43">
        <f>SUMIFS(TilgTilgung,TilgObj,5,TilgJahr,$C1128)</f>
      </c>
      <c r="K1128" s="43">
        <f>SUMIFS(TilgSonder,TilgObj,5,TilgJahr,$C1128)</f>
      </c>
      <c r="L1128" s="43">
        <f>SUMIFS(TilgErsatz,TilgObj,5,TilgJahr,$C1128)</f>
      </c>
      <c r="M1128" s="43">
        <f>MAX(0,SUMIF(DarlObj,5,DarlBetrag)-SUMIFS(TilgTilgung,TilgObj,5,TilgJahr,"&lt;="&amp;$C1128)-SUMIFS(TilgSonder,TilgObj,5,TilgJahr,"&lt;="&amp;$C1128))</f>
      </c>
      <c r="N1128" s="43">
        <f>SUMIFS(TilgErsatz,TilgObj,5,TilgJahr,"&lt;="&amp;$C1128)+SUMIFS(TilgErtrag,TilgObj,5,TilgJahr,"&lt;="&amp;$C1128)</f>
      </c>
      <c r="O1128" s="43">
        <f>INDEX(ObjWertEff,5)*(1+(Wertsteigerung)/100)^MAX(0,12)</f>
      </c>
      <c r="P1128" s="43">
        <f>IF(OR(INDEX(ObjAfaDauer,5)=0,INDEX(ObjAfaJahr,5)=0,$C1128&lt;INDEX(ObjKaufJahr,5),$C1128&gt;=INDEX(ObjKaufJahr,5)+INDEX(ObjAfaDauer,5)),0,IF($C1128=INDEX(ObjKaufJahr,5),INDEX(ObjAfaJahr,5)*(13-INDEX(ObjKaufMonat,5))/12,INDEX(ObjAfaJahr,5)))</f>
      </c>
      <c r="Q1128" s="43">
        <f>$F1128-$G1128-$H1128-$I1128-$P1128</f>
      </c>
      <c r="R1128" s="43">
        <f>$Q1128*INDEX(ObjSteuersatz,5)/100</f>
      </c>
      <c r="S1128" s="43">
        <f>$I1128+$J1128+$K1128+$L1128</f>
      </c>
      <c r="T1128" s="43">
        <f>$F1128-$G1128-$H1128-$S1128</f>
      </c>
      <c r="U1128" s="43">
        <f>$T1128-$R1128</f>
      </c>
      <c r="V1128" s="43">
        <f>$O1128-$M1128</f>
      </c>
      <c r="W1128" s="43">
        <f>$J1128+$K1128+$L1128</f>
      </c>
      <c r="X1128" s="43">
        <f>IF($O1128=0,0,$M1128/$O1128*100)</f>
      </c>
    </row>
    <row r="1129">
      <c r="A1129"/>
      <c r="B1129">
        <v>5</v>
      </c>
      <c r="C1129" s="43">
        <f>Jahr+13</f>
      </c>
      <c r="D1129">
        <v>13</v>
      </c>
      <c r="E1129" s="43">
        <f>IF(INDEX(ObjKaufJahr,5)=0,0,IF($C1129&lt;INDEX(ObjKaufJahr,5),0,IF($C1129&gt;INDEX(ObjKaufJahr,5),12,13-INDEX(ObjKaufMonat,5))))/12</f>
      </c>
      <c r="F1129" s="43">
        <f>SUMIFS(MlSumme,MlObj,5,MlJahr,$C1129)*(1-Leerstand/100)</f>
      </c>
      <c r="G1129" s="43">
        <f>INDEX(ObjLaufend,5)*(1+(Inflation)/100)^MAX(0,13)*$E1129</f>
      </c>
      <c r="H1129" s="43">
        <f>INDEX(ObjInstandBasis,5)*(1+(Inflation)/100)^MAX(0,13)*$E1129</f>
      </c>
      <c r="I1129" s="43">
        <f>SUMIFS(TilgZins,TilgObj,5,TilgJahr,$C1129)</f>
      </c>
      <c r="J1129" s="43">
        <f>SUMIFS(TilgTilgung,TilgObj,5,TilgJahr,$C1129)</f>
      </c>
      <c r="K1129" s="43">
        <f>SUMIFS(TilgSonder,TilgObj,5,TilgJahr,$C1129)</f>
      </c>
      <c r="L1129" s="43">
        <f>SUMIFS(TilgErsatz,TilgObj,5,TilgJahr,$C1129)</f>
      </c>
      <c r="M1129" s="43">
        <f>MAX(0,SUMIF(DarlObj,5,DarlBetrag)-SUMIFS(TilgTilgung,TilgObj,5,TilgJahr,"&lt;="&amp;$C1129)-SUMIFS(TilgSonder,TilgObj,5,TilgJahr,"&lt;="&amp;$C1129))</f>
      </c>
      <c r="N1129" s="43">
        <f>SUMIFS(TilgErsatz,TilgObj,5,TilgJahr,"&lt;="&amp;$C1129)+SUMIFS(TilgErtrag,TilgObj,5,TilgJahr,"&lt;="&amp;$C1129)</f>
      </c>
      <c r="O1129" s="43">
        <f>INDEX(ObjWertEff,5)*(1+(Wertsteigerung)/100)^MAX(0,13)</f>
      </c>
      <c r="P1129" s="43">
        <f>IF(OR(INDEX(ObjAfaDauer,5)=0,INDEX(ObjAfaJahr,5)=0,$C1129&lt;INDEX(ObjKaufJahr,5),$C1129&gt;=INDEX(ObjKaufJahr,5)+INDEX(ObjAfaDauer,5)),0,IF($C1129=INDEX(ObjKaufJahr,5),INDEX(ObjAfaJahr,5)*(13-INDEX(ObjKaufMonat,5))/12,INDEX(ObjAfaJahr,5)))</f>
      </c>
      <c r="Q1129" s="43">
        <f>$F1129-$G1129-$H1129-$I1129-$P1129</f>
      </c>
      <c r="R1129" s="43">
        <f>$Q1129*INDEX(ObjSteuersatz,5)/100</f>
      </c>
      <c r="S1129" s="43">
        <f>$I1129+$J1129+$K1129+$L1129</f>
      </c>
      <c r="T1129" s="43">
        <f>$F1129-$G1129-$H1129-$S1129</f>
      </c>
      <c r="U1129" s="43">
        <f>$T1129-$R1129</f>
      </c>
      <c r="V1129" s="43">
        <f>$O1129-$M1129</f>
      </c>
      <c r="W1129" s="43">
        <f>$J1129+$K1129+$L1129</f>
      </c>
      <c r="X1129" s="43">
        <f>IF($O1129=0,0,$M1129/$O1129*100)</f>
      </c>
    </row>
    <row r="1130">
      <c r="A1130"/>
      <c r="B1130">
        <v>5</v>
      </c>
      <c r="C1130" s="43">
        <f>Jahr+14</f>
      </c>
      <c r="D1130">
        <v>14</v>
      </c>
      <c r="E1130" s="43">
        <f>IF(INDEX(ObjKaufJahr,5)=0,0,IF($C1130&lt;INDEX(ObjKaufJahr,5),0,IF($C1130&gt;INDEX(ObjKaufJahr,5),12,13-INDEX(ObjKaufMonat,5))))/12</f>
      </c>
      <c r="F1130" s="43">
        <f>SUMIFS(MlSumme,MlObj,5,MlJahr,$C1130)*(1-Leerstand/100)</f>
      </c>
      <c r="G1130" s="43">
        <f>INDEX(ObjLaufend,5)*(1+(Inflation)/100)^MAX(0,14)*$E1130</f>
      </c>
      <c r="H1130" s="43">
        <f>INDEX(ObjInstandBasis,5)*(1+(Inflation)/100)^MAX(0,14)*$E1130</f>
      </c>
      <c r="I1130" s="43">
        <f>SUMIFS(TilgZins,TilgObj,5,TilgJahr,$C1130)</f>
      </c>
      <c r="J1130" s="43">
        <f>SUMIFS(TilgTilgung,TilgObj,5,TilgJahr,$C1130)</f>
      </c>
      <c r="K1130" s="43">
        <f>SUMIFS(TilgSonder,TilgObj,5,TilgJahr,$C1130)</f>
      </c>
      <c r="L1130" s="43">
        <f>SUMIFS(TilgErsatz,TilgObj,5,TilgJahr,$C1130)</f>
      </c>
      <c r="M1130" s="43">
        <f>MAX(0,SUMIF(DarlObj,5,DarlBetrag)-SUMIFS(TilgTilgung,TilgObj,5,TilgJahr,"&lt;="&amp;$C1130)-SUMIFS(TilgSonder,TilgObj,5,TilgJahr,"&lt;="&amp;$C1130))</f>
      </c>
      <c r="N1130" s="43">
        <f>SUMIFS(TilgErsatz,TilgObj,5,TilgJahr,"&lt;="&amp;$C1130)+SUMIFS(TilgErtrag,TilgObj,5,TilgJahr,"&lt;="&amp;$C1130)</f>
      </c>
      <c r="O1130" s="43">
        <f>INDEX(ObjWertEff,5)*(1+(Wertsteigerung)/100)^MAX(0,14)</f>
      </c>
      <c r="P1130" s="43">
        <f>IF(OR(INDEX(ObjAfaDauer,5)=0,INDEX(ObjAfaJahr,5)=0,$C1130&lt;INDEX(ObjKaufJahr,5),$C1130&gt;=INDEX(ObjKaufJahr,5)+INDEX(ObjAfaDauer,5)),0,IF($C1130=INDEX(ObjKaufJahr,5),INDEX(ObjAfaJahr,5)*(13-INDEX(ObjKaufMonat,5))/12,INDEX(ObjAfaJahr,5)))</f>
      </c>
      <c r="Q1130" s="43">
        <f>$F1130-$G1130-$H1130-$I1130-$P1130</f>
      </c>
      <c r="R1130" s="43">
        <f>$Q1130*INDEX(ObjSteuersatz,5)/100</f>
      </c>
      <c r="S1130" s="43">
        <f>$I1130+$J1130+$K1130+$L1130</f>
      </c>
      <c r="T1130" s="43">
        <f>$F1130-$G1130-$H1130-$S1130</f>
      </c>
      <c r="U1130" s="43">
        <f>$T1130-$R1130</f>
      </c>
      <c r="V1130" s="43">
        <f>$O1130-$M1130</f>
      </c>
      <c r="W1130" s="43">
        <f>$J1130+$K1130+$L1130</f>
      </c>
      <c r="X1130" s="43">
        <f>IF($O1130=0,0,$M1130/$O1130*100)</f>
      </c>
    </row>
    <row r="1131">
      <c r="A1131"/>
      <c r="B1131">
        <v>5</v>
      </c>
      <c r="C1131" s="43">
        <f>Jahr+15</f>
      </c>
      <c r="D1131">
        <v>15</v>
      </c>
      <c r="E1131" s="43">
        <f>IF(INDEX(ObjKaufJahr,5)=0,0,IF($C1131&lt;INDEX(ObjKaufJahr,5),0,IF($C1131&gt;INDEX(ObjKaufJahr,5),12,13-INDEX(ObjKaufMonat,5))))/12</f>
      </c>
      <c r="F1131" s="43">
        <f>SUMIFS(MlSumme,MlObj,5,MlJahr,$C1131)*(1-Leerstand/100)</f>
      </c>
      <c r="G1131" s="43">
        <f>INDEX(ObjLaufend,5)*(1+(Inflation)/100)^MAX(0,15)*$E1131</f>
      </c>
      <c r="H1131" s="43">
        <f>INDEX(ObjInstandBasis,5)*(1+(Inflation)/100)^MAX(0,15)*$E1131</f>
      </c>
      <c r="I1131" s="43">
        <f>SUMIFS(TilgZins,TilgObj,5,TilgJahr,$C1131)</f>
      </c>
      <c r="J1131" s="43">
        <f>SUMIFS(TilgTilgung,TilgObj,5,TilgJahr,$C1131)</f>
      </c>
      <c r="K1131" s="43">
        <f>SUMIFS(TilgSonder,TilgObj,5,TilgJahr,$C1131)</f>
      </c>
      <c r="L1131" s="43">
        <f>SUMIFS(TilgErsatz,TilgObj,5,TilgJahr,$C1131)</f>
      </c>
      <c r="M1131" s="43">
        <f>MAX(0,SUMIF(DarlObj,5,DarlBetrag)-SUMIFS(TilgTilgung,TilgObj,5,TilgJahr,"&lt;="&amp;$C1131)-SUMIFS(TilgSonder,TilgObj,5,TilgJahr,"&lt;="&amp;$C1131))</f>
      </c>
      <c r="N1131" s="43">
        <f>SUMIFS(TilgErsatz,TilgObj,5,TilgJahr,"&lt;="&amp;$C1131)+SUMIFS(TilgErtrag,TilgObj,5,TilgJahr,"&lt;="&amp;$C1131)</f>
      </c>
      <c r="O1131" s="43">
        <f>INDEX(ObjWertEff,5)*(1+(Wertsteigerung)/100)^MAX(0,15)</f>
      </c>
      <c r="P1131" s="43">
        <f>IF(OR(INDEX(ObjAfaDauer,5)=0,INDEX(ObjAfaJahr,5)=0,$C1131&lt;INDEX(ObjKaufJahr,5),$C1131&gt;=INDEX(ObjKaufJahr,5)+INDEX(ObjAfaDauer,5)),0,IF($C1131=INDEX(ObjKaufJahr,5),INDEX(ObjAfaJahr,5)*(13-INDEX(ObjKaufMonat,5))/12,INDEX(ObjAfaJahr,5)))</f>
      </c>
      <c r="Q1131" s="43">
        <f>$F1131-$G1131-$H1131-$I1131-$P1131</f>
      </c>
      <c r="R1131" s="43">
        <f>$Q1131*INDEX(ObjSteuersatz,5)/100</f>
      </c>
      <c r="S1131" s="43">
        <f>$I1131+$J1131+$K1131+$L1131</f>
      </c>
      <c r="T1131" s="43">
        <f>$F1131-$G1131-$H1131-$S1131</f>
      </c>
      <c r="U1131" s="43">
        <f>$T1131-$R1131</f>
      </c>
      <c r="V1131" s="43">
        <f>$O1131-$M1131</f>
      </c>
      <c r="W1131" s="43">
        <f>$J1131+$K1131+$L1131</f>
      </c>
      <c r="X1131" s="43">
        <f>IF($O1131=0,0,$M1131/$O1131*100)</f>
      </c>
    </row>
    <row r="1132">
      <c r="A1132"/>
      <c r="B1132">
        <v>5</v>
      </c>
      <c r="C1132" s="43">
        <f>Jahr+16</f>
      </c>
      <c r="D1132">
        <v>16</v>
      </c>
      <c r="E1132" s="43">
        <f>IF(INDEX(ObjKaufJahr,5)=0,0,IF($C1132&lt;INDEX(ObjKaufJahr,5),0,IF($C1132&gt;INDEX(ObjKaufJahr,5),12,13-INDEX(ObjKaufMonat,5))))/12</f>
      </c>
      <c r="F1132" s="43">
        <f>SUMIFS(MlSumme,MlObj,5,MlJahr,$C1132)*(1-Leerstand/100)</f>
      </c>
      <c r="G1132" s="43">
        <f>INDEX(ObjLaufend,5)*(1+(Inflation)/100)^MAX(0,16)*$E1132</f>
      </c>
      <c r="H1132" s="43">
        <f>INDEX(ObjInstandBasis,5)*(1+(Inflation)/100)^MAX(0,16)*$E1132</f>
      </c>
      <c r="I1132" s="43">
        <f>SUMIFS(TilgZins,TilgObj,5,TilgJahr,$C1132)</f>
      </c>
      <c r="J1132" s="43">
        <f>SUMIFS(TilgTilgung,TilgObj,5,TilgJahr,$C1132)</f>
      </c>
      <c r="K1132" s="43">
        <f>SUMIFS(TilgSonder,TilgObj,5,TilgJahr,$C1132)</f>
      </c>
      <c r="L1132" s="43">
        <f>SUMIFS(TilgErsatz,TilgObj,5,TilgJahr,$C1132)</f>
      </c>
      <c r="M1132" s="43">
        <f>MAX(0,SUMIF(DarlObj,5,DarlBetrag)-SUMIFS(TilgTilgung,TilgObj,5,TilgJahr,"&lt;="&amp;$C1132)-SUMIFS(TilgSonder,TilgObj,5,TilgJahr,"&lt;="&amp;$C1132))</f>
      </c>
      <c r="N1132" s="43">
        <f>SUMIFS(TilgErsatz,TilgObj,5,TilgJahr,"&lt;="&amp;$C1132)+SUMIFS(TilgErtrag,TilgObj,5,TilgJahr,"&lt;="&amp;$C1132)</f>
      </c>
      <c r="O1132" s="43">
        <f>INDEX(ObjWertEff,5)*(1+(Wertsteigerung)/100)^MAX(0,16)</f>
      </c>
      <c r="P1132" s="43">
        <f>IF(OR(INDEX(ObjAfaDauer,5)=0,INDEX(ObjAfaJahr,5)=0,$C1132&lt;INDEX(ObjKaufJahr,5),$C1132&gt;=INDEX(ObjKaufJahr,5)+INDEX(ObjAfaDauer,5)),0,IF($C1132=INDEX(ObjKaufJahr,5),INDEX(ObjAfaJahr,5)*(13-INDEX(ObjKaufMonat,5))/12,INDEX(ObjAfaJahr,5)))</f>
      </c>
      <c r="Q1132" s="43">
        <f>$F1132-$G1132-$H1132-$I1132-$P1132</f>
      </c>
      <c r="R1132" s="43">
        <f>$Q1132*INDEX(ObjSteuersatz,5)/100</f>
      </c>
      <c r="S1132" s="43">
        <f>$I1132+$J1132+$K1132+$L1132</f>
      </c>
      <c r="T1132" s="43">
        <f>$F1132-$G1132-$H1132-$S1132</f>
      </c>
      <c r="U1132" s="43">
        <f>$T1132-$R1132</f>
      </c>
      <c r="V1132" s="43">
        <f>$O1132-$M1132</f>
      </c>
      <c r="W1132" s="43">
        <f>$J1132+$K1132+$L1132</f>
      </c>
      <c r="X1132" s="43">
        <f>IF($O1132=0,0,$M1132/$O1132*100)</f>
      </c>
    </row>
    <row r="1133">
      <c r="A1133"/>
      <c r="B1133">
        <v>5</v>
      </c>
      <c r="C1133" s="43">
        <f>Jahr+17</f>
      </c>
      <c r="D1133">
        <v>17</v>
      </c>
      <c r="E1133" s="43">
        <f>IF(INDEX(ObjKaufJahr,5)=0,0,IF($C1133&lt;INDEX(ObjKaufJahr,5),0,IF($C1133&gt;INDEX(ObjKaufJahr,5),12,13-INDEX(ObjKaufMonat,5))))/12</f>
      </c>
      <c r="F1133" s="43">
        <f>SUMIFS(MlSumme,MlObj,5,MlJahr,$C1133)*(1-Leerstand/100)</f>
      </c>
      <c r="G1133" s="43">
        <f>INDEX(ObjLaufend,5)*(1+(Inflation)/100)^MAX(0,17)*$E1133</f>
      </c>
      <c r="H1133" s="43">
        <f>INDEX(ObjInstandBasis,5)*(1+(Inflation)/100)^MAX(0,17)*$E1133</f>
      </c>
      <c r="I1133" s="43">
        <f>SUMIFS(TilgZins,TilgObj,5,TilgJahr,$C1133)</f>
      </c>
      <c r="J1133" s="43">
        <f>SUMIFS(TilgTilgung,TilgObj,5,TilgJahr,$C1133)</f>
      </c>
      <c r="K1133" s="43">
        <f>SUMIFS(TilgSonder,TilgObj,5,TilgJahr,$C1133)</f>
      </c>
      <c r="L1133" s="43">
        <f>SUMIFS(TilgErsatz,TilgObj,5,TilgJahr,$C1133)</f>
      </c>
      <c r="M1133" s="43">
        <f>MAX(0,SUMIF(DarlObj,5,DarlBetrag)-SUMIFS(TilgTilgung,TilgObj,5,TilgJahr,"&lt;="&amp;$C1133)-SUMIFS(TilgSonder,TilgObj,5,TilgJahr,"&lt;="&amp;$C1133))</f>
      </c>
      <c r="N1133" s="43">
        <f>SUMIFS(TilgErsatz,TilgObj,5,TilgJahr,"&lt;="&amp;$C1133)+SUMIFS(TilgErtrag,TilgObj,5,TilgJahr,"&lt;="&amp;$C1133)</f>
      </c>
      <c r="O1133" s="43">
        <f>INDEX(ObjWertEff,5)*(1+(Wertsteigerung)/100)^MAX(0,17)</f>
      </c>
      <c r="P1133" s="43">
        <f>IF(OR(INDEX(ObjAfaDauer,5)=0,INDEX(ObjAfaJahr,5)=0,$C1133&lt;INDEX(ObjKaufJahr,5),$C1133&gt;=INDEX(ObjKaufJahr,5)+INDEX(ObjAfaDauer,5)),0,IF($C1133=INDEX(ObjKaufJahr,5),INDEX(ObjAfaJahr,5)*(13-INDEX(ObjKaufMonat,5))/12,INDEX(ObjAfaJahr,5)))</f>
      </c>
      <c r="Q1133" s="43">
        <f>$F1133-$G1133-$H1133-$I1133-$P1133</f>
      </c>
      <c r="R1133" s="43">
        <f>$Q1133*INDEX(ObjSteuersatz,5)/100</f>
      </c>
      <c r="S1133" s="43">
        <f>$I1133+$J1133+$K1133+$L1133</f>
      </c>
      <c r="T1133" s="43">
        <f>$F1133-$G1133-$H1133-$S1133</f>
      </c>
      <c r="U1133" s="43">
        <f>$T1133-$R1133</f>
      </c>
      <c r="V1133" s="43">
        <f>$O1133-$M1133</f>
      </c>
      <c r="W1133" s="43">
        <f>$J1133+$K1133+$L1133</f>
      </c>
      <c r="X1133" s="43">
        <f>IF($O1133=0,0,$M1133/$O1133*100)</f>
      </c>
    </row>
    <row r="1134">
      <c r="A1134"/>
      <c r="B1134">
        <v>5</v>
      </c>
      <c r="C1134" s="43">
        <f>Jahr+18</f>
      </c>
      <c r="D1134">
        <v>18</v>
      </c>
      <c r="E1134" s="43">
        <f>IF(INDEX(ObjKaufJahr,5)=0,0,IF($C1134&lt;INDEX(ObjKaufJahr,5),0,IF($C1134&gt;INDEX(ObjKaufJahr,5),12,13-INDEX(ObjKaufMonat,5))))/12</f>
      </c>
      <c r="F1134" s="43">
        <f>SUMIFS(MlSumme,MlObj,5,MlJahr,$C1134)*(1-Leerstand/100)</f>
      </c>
      <c r="G1134" s="43">
        <f>INDEX(ObjLaufend,5)*(1+(Inflation)/100)^MAX(0,18)*$E1134</f>
      </c>
      <c r="H1134" s="43">
        <f>INDEX(ObjInstandBasis,5)*(1+(Inflation)/100)^MAX(0,18)*$E1134</f>
      </c>
      <c r="I1134" s="43">
        <f>SUMIFS(TilgZins,TilgObj,5,TilgJahr,$C1134)</f>
      </c>
      <c r="J1134" s="43">
        <f>SUMIFS(TilgTilgung,TilgObj,5,TilgJahr,$C1134)</f>
      </c>
      <c r="K1134" s="43">
        <f>SUMIFS(TilgSonder,TilgObj,5,TilgJahr,$C1134)</f>
      </c>
      <c r="L1134" s="43">
        <f>SUMIFS(TilgErsatz,TilgObj,5,TilgJahr,$C1134)</f>
      </c>
      <c r="M1134" s="43">
        <f>MAX(0,SUMIF(DarlObj,5,DarlBetrag)-SUMIFS(TilgTilgung,TilgObj,5,TilgJahr,"&lt;="&amp;$C1134)-SUMIFS(TilgSonder,TilgObj,5,TilgJahr,"&lt;="&amp;$C1134))</f>
      </c>
      <c r="N1134" s="43">
        <f>SUMIFS(TilgErsatz,TilgObj,5,TilgJahr,"&lt;="&amp;$C1134)+SUMIFS(TilgErtrag,TilgObj,5,TilgJahr,"&lt;="&amp;$C1134)</f>
      </c>
      <c r="O1134" s="43">
        <f>INDEX(ObjWertEff,5)*(1+(Wertsteigerung)/100)^MAX(0,18)</f>
      </c>
      <c r="P1134" s="43">
        <f>IF(OR(INDEX(ObjAfaDauer,5)=0,INDEX(ObjAfaJahr,5)=0,$C1134&lt;INDEX(ObjKaufJahr,5),$C1134&gt;=INDEX(ObjKaufJahr,5)+INDEX(ObjAfaDauer,5)),0,IF($C1134=INDEX(ObjKaufJahr,5),INDEX(ObjAfaJahr,5)*(13-INDEX(ObjKaufMonat,5))/12,INDEX(ObjAfaJahr,5)))</f>
      </c>
      <c r="Q1134" s="43">
        <f>$F1134-$G1134-$H1134-$I1134-$P1134</f>
      </c>
      <c r="R1134" s="43">
        <f>$Q1134*INDEX(ObjSteuersatz,5)/100</f>
      </c>
      <c r="S1134" s="43">
        <f>$I1134+$J1134+$K1134+$L1134</f>
      </c>
      <c r="T1134" s="43">
        <f>$F1134-$G1134-$H1134-$S1134</f>
      </c>
      <c r="U1134" s="43">
        <f>$T1134-$R1134</f>
      </c>
      <c r="V1134" s="43">
        <f>$O1134-$M1134</f>
      </c>
      <c r="W1134" s="43">
        <f>$J1134+$K1134+$L1134</f>
      </c>
      <c r="X1134" s="43">
        <f>IF($O1134=0,0,$M1134/$O1134*100)</f>
      </c>
    </row>
    <row r="1135">
      <c r="A1135"/>
      <c r="B1135">
        <v>5</v>
      </c>
      <c r="C1135" s="43">
        <f>Jahr+19</f>
      </c>
      <c r="D1135">
        <v>19</v>
      </c>
      <c r="E1135" s="43">
        <f>IF(INDEX(ObjKaufJahr,5)=0,0,IF($C1135&lt;INDEX(ObjKaufJahr,5),0,IF($C1135&gt;INDEX(ObjKaufJahr,5),12,13-INDEX(ObjKaufMonat,5))))/12</f>
      </c>
      <c r="F1135" s="43">
        <f>SUMIFS(MlSumme,MlObj,5,MlJahr,$C1135)*(1-Leerstand/100)</f>
      </c>
      <c r="G1135" s="43">
        <f>INDEX(ObjLaufend,5)*(1+(Inflation)/100)^MAX(0,19)*$E1135</f>
      </c>
      <c r="H1135" s="43">
        <f>INDEX(ObjInstandBasis,5)*(1+(Inflation)/100)^MAX(0,19)*$E1135</f>
      </c>
      <c r="I1135" s="43">
        <f>SUMIFS(TilgZins,TilgObj,5,TilgJahr,$C1135)</f>
      </c>
      <c r="J1135" s="43">
        <f>SUMIFS(TilgTilgung,TilgObj,5,TilgJahr,$C1135)</f>
      </c>
      <c r="K1135" s="43">
        <f>SUMIFS(TilgSonder,TilgObj,5,TilgJahr,$C1135)</f>
      </c>
      <c r="L1135" s="43">
        <f>SUMIFS(TilgErsatz,TilgObj,5,TilgJahr,$C1135)</f>
      </c>
      <c r="M1135" s="43">
        <f>MAX(0,SUMIF(DarlObj,5,DarlBetrag)-SUMIFS(TilgTilgung,TilgObj,5,TilgJahr,"&lt;="&amp;$C1135)-SUMIFS(TilgSonder,TilgObj,5,TilgJahr,"&lt;="&amp;$C1135))</f>
      </c>
      <c r="N1135" s="43">
        <f>SUMIFS(TilgErsatz,TilgObj,5,TilgJahr,"&lt;="&amp;$C1135)+SUMIFS(TilgErtrag,TilgObj,5,TilgJahr,"&lt;="&amp;$C1135)</f>
      </c>
      <c r="O1135" s="43">
        <f>INDEX(ObjWertEff,5)*(1+(Wertsteigerung)/100)^MAX(0,19)</f>
      </c>
      <c r="P1135" s="43">
        <f>IF(OR(INDEX(ObjAfaDauer,5)=0,INDEX(ObjAfaJahr,5)=0,$C1135&lt;INDEX(ObjKaufJahr,5),$C1135&gt;=INDEX(ObjKaufJahr,5)+INDEX(ObjAfaDauer,5)),0,IF($C1135=INDEX(ObjKaufJahr,5),INDEX(ObjAfaJahr,5)*(13-INDEX(ObjKaufMonat,5))/12,INDEX(ObjAfaJahr,5)))</f>
      </c>
      <c r="Q1135" s="43">
        <f>$F1135-$G1135-$H1135-$I1135-$P1135</f>
      </c>
      <c r="R1135" s="43">
        <f>$Q1135*INDEX(ObjSteuersatz,5)/100</f>
      </c>
      <c r="S1135" s="43">
        <f>$I1135+$J1135+$K1135+$L1135</f>
      </c>
      <c r="T1135" s="43">
        <f>$F1135-$G1135-$H1135-$S1135</f>
      </c>
      <c r="U1135" s="43">
        <f>$T1135-$R1135</f>
      </c>
      <c r="V1135" s="43">
        <f>$O1135-$M1135</f>
      </c>
      <c r="W1135" s="43">
        <f>$J1135+$K1135+$L1135</f>
      </c>
      <c r="X1135" s="43">
        <f>IF($O1135=0,0,$M1135/$O1135*100)</f>
      </c>
    </row>
    <row r="1136">
      <c r="A1136"/>
      <c r="B1136">
        <v>5</v>
      </c>
      <c r="C1136" s="43">
        <f>Jahr+20</f>
      </c>
      <c r="D1136">
        <v>20</v>
      </c>
      <c r="E1136" s="43">
        <f>IF(INDEX(ObjKaufJahr,5)=0,0,IF($C1136&lt;INDEX(ObjKaufJahr,5),0,IF($C1136&gt;INDEX(ObjKaufJahr,5),12,13-INDEX(ObjKaufMonat,5))))/12</f>
      </c>
      <c r="F1136" s="43">
        <f>SUMIFS(MlSumme,MlObj,5,MlJahr,$C1136)*(1-Leerstand/100)</f>
      </c>
      <c r="G1136" s="43">
        <f>INDEX(ObjLaufend,5)*(1+(Inflation)/100)^MAX(0,20)*$E1136</f>
      </c>
      <c r="H1136" s="43">
        <f>INDEX(ObjInstandBasis,5)*(1+(Inflation)/100)^MAX(0,20)*$E1136</f>
      </c>
      <c r="I1136" s="43">
        <f>SUMIFS(TilgZins,TilgObj,5,TilgJahr,$C1136)</f>
      </c>
      <c r="J1136" s="43">
        <f>SUMIFS(TilgTilgung,TilgObj,5,TilgJahr,$C1136)</f>
      </c>
      <c r="K1136" s="43">
        <f>SUMIFS(TilgSonder,TilgObj,5,TilgJahr,$C1136)</f>
      </c>
      <c r="L1136" s="43">
        <f>SUMIFS(TilgErsatz,TilgObj,5,TilgJahr,$C1136)</f>
      </c>
      <c r="M1136" s="43">
        <f>MAX(0,SUMIF(DarlObj,5,DarlBetrag)-SUMIFS(TilgTilgung,TilgObj,5,TilgJahr,"&lt;="&amp;$C1136)-SUMIFS(TilgSonder,TilgObj,5,TilgJahr,"&lt;="&amp;$C1136))</f>
      </c>
      <c r="N1136" s="43">
        <f>SUMIFS(TilgErsatz,TilgObj,5,TilgJahr,"&lt;="&amp;$C1136)+SUMIFS(TilgErtrag,TilgObj,5,TilgJahr,"&lt;="&amp;$C1136)</f>
      </c>
      <c r="O1136" s="43">
        <f>INDEX(ObjWertEff,5)*(1+(Wertsteigerung)/100)^MAX(0,20)</f>
      </c>
      <c r="P1136" s="43">
        <f>IF(OR(INDEX(ObjAfaDauer,5)=0,INDEX(ObjAfaJahr,5)=0,$C1136&lt;INDEX(ObjKaufJahr,5),$C1136&gt;=INDEX(ObjKaufJahr,5)+INDEX(ObjAfaDauer,5)),0,IF($C1136=INDEX(ObjKaufJahr,5),INDEX(ObjAfaJahr,5)*(13-INDEX(ObjKaufMonat,5))/12,INDEX(ObjAfaJahr,5)))</f>
      </c>
      <c r="Q1136" s="43">
        <f>$F1136-$G1136-$H1136-$I1136-$P1136</f>
      </c>
      <c r="R1136" s="43">
        <f>$Q1136*INDEX(ObjSteuersatz,5)/100</f>
      </c>
      <c r="S1136" s="43">
        <f>$I1136+$J1136+$K1136+$L1136</f>
      </c>
      <c r="T1136" s="43">
        <f>$F1136-$G1136-$H1136-$S1136</f>
      </c>
      <c r="U1136" s="43">
        <f>$T1136-$R1136</f>
      </c>
      <c r="V1136" s="43">
        <f>$O1136-$M1136</f>
      </c>
      <c r="W1136" s="43">
        <f>$J1136+$K1136+$L1136</f>
      </c>
      <c r="X1136" s="43">
        <f>IF($O1136=0,0,$M1136/$O1136*100)</f>
      </c>
    </row>
    <row r="1137">
      <c r="A1137"/>
      <c r="B1137">
        <v>5</v>
      </c>
      <c r="C1137" s="43">
        <f>Jahr+21</f>
      </c>
      <c r="D1137">
        <v>21</v>
      </c>
      <c r="E1137" s="43">
        <f>IF(INDEX(ObjKaufJahr,5)=0,0,IF($C1137&lt;INDEX(ObjKaufJahr,5),0,IF($C1137&gt;INDEX(ObjKaufJahr,5),12,13-INDEX(ObjKaufMonat,5))))/12</f>
      </c>
      <c r="F1137" s="43">
        <f>SUMIFS(MlSumme,MlObj,5,MlJahr,$C1137)*(1-Leerstand/100)</f>
      </c>
      <c r="G1137" s="43">
        <f>INDEX(ObjLaufend,5)*(1+(Inflation)/100)^MAX(0,21)*$E1137</f>
      </c>
      <c r="H1137" s="43">
        <f>INDEX(ObjInstandBasis,5)*(1+(Inflation)/100)^MAX(0,21)*$E1137</f>
      </c>
      <c r="I1137" s="43">
        <f>SUMIFS(TilgZins,TilgObj,5,TilgJahr,$C1137)</f>
      </c>
      <c r="J1137" s="43">
        <f>SUMIFS(TilgTilgung,TilgObj,5,TilgJahr,$C1137)</f>
      </c>
      <c r="K1137" s="43">
        <f>SUMIFS(TilgSonder,TilgObj,5,TilgJahr,$C1137)</f>
      </c>
      <c r="L1137" s="43">
        <f>SUMIFS(TilgErsatz,TilgObj,5,TilgJahr,$C1137)</f>
      </c>
      <c r="M1137" s="43">
        <f>MAX(0,SUMIF(DarlObj,5,DarlBetrag)-SUMIFS(TilgTilgung,TilgObj,5,TilgJahr,"&lt;="&amp;$C1137)-SUMIFS(TilgSonder,TilgObj,5,TilgJahr,"&lt;="&amp;$C1137))</f>
      </c>
      <c r="N1137" s="43">
        <f>SUMIFS(TilgErsatz,TilgObj,5,TilgJahr,"&lt;="&amp;$C1137)+SUMIFS(TilgErtrag,TilgObj,5,TilgJahr,"&lt;="&amp;$C1137)</f>
      </c>
      <c r="O1137" s="43">
        <f>INDEX(ObjWertEff,5)*(1+(Wertsteigerung)/100)^MAX(0,21)</f>
      </c>
      <c r="P1137" s="43">
        <f>IF(OR(INDEX(ObjAfaDauer,5)=0,INDEX(ObjAfaJahr,5)=0,$C1137&lt;INDEX(ObjKaufJahr,5),$C1137&gt;=INDEX(ObjKaufJahr,5)+INDEX(ObjAfaDauer,5)),0,IF($C1137=INDEX(ObjKaufJahr,5),INDEX(ObjAfaJahr,5)*(13-INDEX(ObjKaufMonat,5))/12,INDEX(ObjAfaJahr,5)))</f>
      </c>
      <c r="Q1137" s="43">
        <f>$F1137-$G1137-$H1137-$I1137-$P1137</f>
      </c>
      <c r="R1137" s="43">
        <f>$Q1137*INDEX(ObjSteuersatz,5)/100</f>
      </c>
      <c r="S1137" s="43">
        <f>$I1137+$J1137+$K1137+$L1137</f>
      </c>
      <c r="T1137" s="43">
        <f>$F1137-$G1137-$H1137-$S1137</f>
      </c>
      <c r="U1137" s="43">
        <f>$T1137-$R1137</f>
      </c>
      <c r="V1137" s="43">
        <f>$O1137-$M1137</f>
      </c>
      <c r="W1137" s="43">
        <f>$J1137+$K1137+$L1137</f>
      </c>
      <c r="X1137" s="43">
        <f>IF($O1137=0,0,$M1137/$O1137*100)</f>
      </c>
    </row>
    <row r="1138">
      <c r="A1138"/>
      <c r="B1138">
        <v>5</v>
      </c>
      <c r="C1138" s="43">
        <f>Jahr+22</f>
      </c>
      <c r="D1138">
        <v>22</v>
      </c>
      <c r="E1138" s="43">
        <f>IF(INDEX(ObjKaufJahr,5)=0,0,IF($C1138&lt;INDEX(ObjKaufJahr,5),0,IF($C1138&gt;INDEX(ObjKaufJahr,5),12,13-INDEX(ObjKaufMonat,5))))/12</f>
      </c>
      <c r="F1138" s="43">
        <f>SUMIFS(MlSumme,MlObj,5,MlJahr,$C1138)*(1-Leerstand/100)</f>
      </c>
      <c r="G1138" s="43">
        <f>INDEX(ObjLaufend,5)*(1+(Inflation)/100)^MAX(0,22)*$E1138</f>
      </c>
      <c r="H1138" s="43">
        <f>INDEX(ObjInstandBasis,5)*(1+(Inflation)/100)^MAX(0,22)*$E1138</f>
      </c>
      <c r="I1138" s="43">
        <f>SUMIFS(TilgZins,TilgObj,5,TilgJahr,$C1138)</f>
      </c>
      <c r="J1138" s="43">
        <f>SUMIFS(TilgTilgung,TilgObj,5,TilgJahr,$C1138)</f>
      </c>
      <c r="K1138" s="43">
        <f>SUMIFS(TilgSonder,TilgObj,5,TilgJahr,$C1138)</f>
      </c>
      <c r="L1138" s="43">
        <f>SUMIFS(TilgErsatz,TilgObj,5,TilgJahr,$C1138)</f>
      </c>
      <c r="M1138" s="43">
        <f>MAX(0,SUMIF(DarlObj,5,DarlBetrag)-SUMIFS(TilgTilgung,TilgObj,5,TilgJahr,"&lt;="&amp;$C1138)-SUMIFS(TilgSonder,TilgObj,5,TilgJahr,"&lt;="&amp;$C1138))</f>
      </c>
      <c r="N1138" s="43">
        <f>SUMIFS(TilgErsatz,TilgObj,5,TilgJahr,"&lt;="&amp;$C1138)+SUMIFS(TilgErtrag,TilgObj,5,TilgJahr,"&lt;="&amp;$C1138)</f>
      </c>
      <c r="O1138" s="43">
        <f>INDEX(ObjWertEff,5)*(1+(Wertsteigerung)/100)^MAX(0,22)</f>
      </c>
      <c r="P1138" s="43">
        <f>IF(OR(INDEX(ObjAfaDauer,5)=0,INDEX(ObjAfaJahr,5)=0,$C1138&lt;INDEX(ObjKaufJahr,5),$C1138&gt;=INDEX(ObjKaufJahr,5)+INDEX(ObjAfaDauer,5)),0,IF($C1138=INDEX(ObjKaufJahr,5),INDEX(ObjAfaJahr,5)*(13-INDEX(ObjKaufMonat,5))/12,INDEX(ObjAfaJahr,5)))</f>
      </c>
      <c r="Q1138" s="43">
        <f>$F1138-$G1138-$H1138-$I1138-$P1138</f>
      </c>
      <c r="R1138" s="43">
        <f>$Q1138*INDEX(ObjSteuersatz,5)/100</f>
      </c>
      <c r="S1138" s="43">
        <f>$I1138+$J1138+$K1138+$L1138</f>
      </c>
      <c r="T1138" s="43">
        <f>$F1138-$G1138-$H1138-$S1138</f>
      </c>
      <c r="U1138" s="43">
        <f>$T1138-$R1138</f>
      </c>
      <c r="V1138" s="43">
        <f>$O1138-$M1138</f>
      </c>
      <c r="W1138" s="43">
        <f>$J1138+$K1138+$L1138</f>
      </c>
      <c r="X1138" s="43">
        <f>IF($O1138=0,0,$M1138/$O1138*100)</f>
      </c>
    </row>
    <row r="1139">
      <c r="A1139"/>
      <c r="B1139">
        <v>5</v>
      </c>
      <c r="C1139" s="43">
        <f>Jahr+23</f>
      </c>
      <c r="D1139">
        <v>23</v>
      </c>
      <c r="E1139" s="43">
        <f>IF(INDEX(ObjKaufJahr,5)=0,0,IF($C1139&lt;INDEX(ObjKaufJahr,5),0,IF($C1139&gt;INDEX(ObjKaufJahr,5),12,13-INDEX(ObjKaufMonat,5))))/12</f>
      </c>
      <c r="F1139" s="43">
        <f>SUMIFS(MlSumme,MlObj,5,MlJahr,$C1139)*(1-Leerstand/100)</f>
      </c>
      <c r="G1139" s="43">
        <f>INDEX(ObjLaufend,5)*(1+(Inflation)/100)^MAX(0,23)*$E1139</f>
      </c>
      <c r="H1139" s="43">
        <f>INDEX(ObjInstandBasis,5)*(1+(Inflation)/100)^MAX(0,23)*$E1139</f>
      </c>
      <c r="I1139" s="43">
        <f>SUMIFS(TilgZins,TilgObj,5,TilgJahr,$C1139)</f>
      </c>
      <c r="J1139" s="43">
        <f>SUMIFS(TilgTilgung,TilgObj,5,TilgJahr,$C1139)</f>
      </c>
      <c r="K1139" s="43">
        <f>SUMIFS(TilgSonder,TilgObj,5,TilgJahr,$C1139)</f>
      </c>
      <c r="L1139" s="43">
        <f>SUMIFS(TilgErsatz,TilgObj,5,TilgJahr,$C1139)</f>
      </c>
      <c r="M1139" s="43">
        <f>MAX(0,SUMIF(DarlObj,5,DarlBetrag)-SUMIFS(TilgTilgung,TilgObj,5,TilgJahr,"&lt;="&amp;$C1139)-SUMIFS(TilgSonder,TilgObj,5,TilgJahr,"&lt;="&amp;$C1139))</f>
      </c>
      <c r="N1139" s="43">
        <f>SUMIFS(TilgErsatz,TilgObj,5,TilgJahr,"&lt;="&amp;$C1139)+SUMIFS(TilgErtrag,TilgObj,5,TilgJahr,"&lt;="&amp;$C1139)</f>
      </c>
      <c r="O1139" s="43">
        <f>INDEX(ObjWertEff,5)*(1+(Wertsteigerung)/100)^MAX(0,23)</f>
      </c>
      <c r="P1139" s="43">
        <f>IF(OR(INDEX(ObjAfaDauer,5)=0,INDEX(ObjAfaJahr,5)=0,$C1139&lt;INDEX(ObjKaufJahr,5),$C1139&gt;=INDEX(ObjKaufJahr,5)+INDEX(ObjAfaDauer,5)),0,IF($C1139=INDEX(ObjKaufJahr,5),INDEX(ObjAfaJahr,5)*(13-INDEX(ObjKaufMonat,5))/12,INDEX(ObjAfaJahr,5)))</f>
      </c>
      <c r="Q1139" s="43">
        <f>$F1139-$G1139-$H1139-$I1139-$P1139</f>
      </c>
      <c r="R1139" s="43">
        <f>$Q1139*INDEX(ObjSteuersatz,5)/100</f>
      </c>
      <c r="S1139" s="43">
        <f>$I1139+$J1139+$K1139+$L1139</f>
      </c>
      <c r="T1139" s="43">
        <f>$F1139-$G1139-$H1139-$S1139</f>
      </c>
      <c r="U1139" s="43">
        <f>$T1139-$R1139</f>
      </c>
      <c r="V1139" s="43">
        <f>$O1139-$M1139</f>
      </c>
      <c r="W1139" s="43">
        <f>$J1139+$K1139+$L1139</f>
      </c>
      <c r="X1139" s="43">
        <f>IF($O1139=0,0,$M1139/$O1139*100)</f>
      </c>
    </row>
    <row r="1140">
      <c r="A1140"/>
      <c r="B1140">
        <v>5</v>
      </c>
      <c r="C1140" s="43">
        <f>Jahr+24</f>
      </c>
      <c r="D1140">
        <v>24</v>
      </c>
      <c r="E1140" s="43">
        <f>IF(INDEX(ObjKaufJahr,5)=0,0,IF($C1140&lt;INDEX(ObjKaufJahr,5),0,IF($C1140&gt;INDEX(ObjKaufJahr,5),12,13-INDEX(ObjKaufMonat,5))))/12</f>
      </c>
      <c r="F1140" s="43">
        <f>SUMIFS(MlSumme,MlObj,5,MlJahr,$C1140)*(1-Leerstand/100)</f>
      </c>
      <c r="G1140" s="43">
        <f>INDEX(ObjLaufend,5)*(1+(Inflation)/100)^MAX(0,24)*$E1140</f>
      </c>
      <c r="H1140" s="43">
        <f>INDEX(ObjInstandBasis,5)*(1+(Inflation)/100)^MAX(0,24)*$E1140</f>
      </c>
      <c r="I1140" s="43">
        <f>SUMIFS(TilgZins,TilgObj,5,TilgJahr,$C1140)</f>
      </c>
      <c r="J1140" s="43">
        <f>SUMIFS(TilgTilgung,TilgObj,5,TilgJahr,$C1140)</f>
      </c>
      <c r="K1140" s="43">
        <f>SUMIFS(TilgSonder,TilgObj,5,TilgJahr,$C1140)</f>
      </c>
      <c r="L1140" s="43">
        <f>SUMIFS(TilgErsatz,TilgObj,5,TilgJahr,$C1140)</f>
      </c>
      <c r="M1140" s="43">
        <f>MAX(0,SUMIF(DarlObj,5,DarlBetrag)-SUMIFS(TilgTilgung,TilgObj,5,TilgJahr,"&lt;="&amp;$C1140)-SUMIFS(TilgSonder,TilgObj,5,TilgJahr,"&lt;="&amp;$C1140))</f>
      </c>
      <c r="N1140" s="43">
        <f>SUMIFS(TilgErsatz,TilgObj,5,TilgJahr,"&lt;="&amp;$C1140)+SUMIFS(TilgErtrag,TilgObj,5,TilgJahr,"&lt;="&amp;$C1140)</f>
      </c>
      <c r="O1140" s="43">
        <f>INDEX(ObjWertEff,5)*(1+(Wertsteigerung)/100)^MAX(0,24)</f>
      </c>
      <c r="P1140" s="43">
        <f>IF(OR(INDEX(ObjAfaDauer,5)=0,INDEX(ObjAfaJahr,5)=0,$C1140&lt;INDEX(ObjKaufJahr,5),$C1140&gt;=INDEX(ObjKaufJahr,5)+INDEX(ObjAfaDauer,5)),0,IF($C1140=INDEX(ObjKaufJahr,5),INDEX(ObjAfaJahr,5)*(13-INDEX(ObjKaufMonat,5))/12,INDEX(ObjAfaJahr,5)))</f>
      </c>
      <c r="Q1140" s="43">
        <f>$F1140-$G1140-$H1140-$I1140-$P1140</f>
      </c>
      <c r="R1140" s="43">
        <f>$Q1140*INDEX(ObjSteuersatz,5)/100</f>
      </c>
      <c r="S1140" s="43">
        <f>$I1140+$J1140+$K1140+$L1140</f>
      </c>
      <c r="T1140" s="43">
        <f>$F1140-$G1140-$H1140-$S1140</f>
      </c>
      <c r="U1140" s="43">
        <f>$T1140-$R1140</f>
      </c>
      <c r="V1140" s="43">
        <f>$O1140-$M1140</f>
      </c>
      <c r="W1140" s="43">
        <f>$J1140+$K1140+$L1140</f>
      </c>
      <c r="X1140" s="43">
        <f>IF($O1140=0,0,$M1140/$O1140*100)</f>
      </c>
    </row>
    <row r="1141">
      <c r="A1141"/>
      <c r="B1141">
        <v>5</v>
      </c>
      <c r="C1141" s="43">
        <f>Jahr+25</f>
      </c>
      <c r="D1141">
        <v>25</v>
      </c>
      <c r="E1141" s="43">
        <f>IF(INDEX(ObjKaufJahr,5)=0,0,IF($C1141&lt;INDEX(ObjKaufJahr,5),0,IF($C1141&gt;INDEX(ObjKaufJahr,5),12,13-INDEX(ObjKaufMonat,5))))/12</f>
      </c>
      <c r="F1141" s="43">
        <f>SUMIFS(MlSumme,MlObj,5,MlJahr,$C1141)*(1-Leerstand/100)</f>
      </c>
      <c r="G1141" s="43">
        <f>INDEX(ObjLaufend,5)*(1+(Inflation)/100)^MAX(0,25)*$E1141</f>
      </c>
      <c r="H1141" s="43">
        <f>INDEX(ObjInstandBasis,5)*(1+(Inflation)/100)^MAX(0,25)*$E1141</f>
      </c>
      <c r="I1141" s="43">
        <f>SUMIFS(TilgZins,TilgObj,5,TilgJahr,$C1141)</f>
      </c>
      <c r="J1141" s="43">
        <f>SUMIFS(TilgTilgung,TilgObj,5,TilgJahr,$C1141)</f>
      </c>
      <c r="K1141" s="43">
        <f>SUMIFS(TilgSonder,TilgObj,5,TilgJahr,$C1141)</f>
      </c>
      <c r="L1141" s="43">
        <f>SUMIFS(TilgErsatz,TilgObj,5,TilgJahr,$C1141)</f>
      </c>
      <c r="M1141" s="43">
        <f>MAX(0,SUMIF(DarlObj,5,DarlBetrag)-SUMIFS(TilgTilgung,TilgObj,5,TilgJahr,"&lt;="&amp;$C1141)-SUMIFS(TilgSonder,TilgObj,5,TilgJahr,"&lt;="&amp;$C1141))</f>
      </c>
      <c r="N1141" s="43">
        <f>SUMIFS(TilgErsatz,TilgObj,5,TilgJahr,"&lt;="&amp;$C1141)+SUMIFS(TilgErtrag,TilgObj,5,TilgJahr,"&lt;="&amp;$C1141)</f>
      </c>
      <c r="O1141" s="43">
        <f>INDEX(ObjWertEff,5)*(1+(Wertsteigerung)/100)^MAX(0,25)</f>
      </c>
      <c r="P1141" s="43">
        <f>IF(OR(INDEX(ObjAfaDauer,5)=0,INDEX(ObjAfaJahr,5)=0,$C1141&lt;INDEX(ObjKaufJahr,5),$C1141&gt;=INDEX(ObjKaufJahr,5)+INDEX(ObjAfaDauer,5)),0,IF($C1141=INDEX(ObjKaufJahr,5),INDEX(ObjAfaJahr,5)*(13-INDEX(ObjKaufMonat,5))/12,INDEX(ObjAfaJahr,5)))</f>
      </c>
      <c r="Q1141" s="43">
        <f>$F1141-$G1141-$H1141-$I1141-$P1141</f>
      </c>
      <c r="R1141" s="43">
        <f>$Q1141*INDEX(ObjSteuersatz,5)/100</f>
      </c>
      <c r="S1141" s="43">
        <f>$I1141+$J1141+$K1141+$L1141</f>
      </c>
      <c r="T1141" s="43">
        <f>$F1141-$G1141-$H1141-$S1141</f>
      </c>
      <c r="U1141" s="43">
        <f>$T1141-$R1141</f>
      </c>
      <c r="V1141" s="43">
        <f>$O1141-$M1141</f>
      </c>
      <c r="W1141" s="43">
        <f>$J1141+$K1141+$L1141</f>
      </c>
      <c r="X1141" s="43">
        <f>IF($O1141=0,0,$M1141/$O1141*100)</f>
      </c>
    </row>
    <row r="1142">
      <c r="A1142"/>
      <c r="B1142">
        <v>5</v>
      </c>
      <c r="C1142" s="43">
        <f>Jahr+26</f>
      </c>
      <c r="D1142">
        <v>26</v>
      </c>
      <c r="E1142" s="43">
        <f>IF(INDEX(ObjKaufJahr,5)=0,0,IF($C1142&lt;INDEX(ObjKaufJahr,5),0,IF($C1142&gt;INDEX(ObjKaufJahr,5),12,13-INDEX(ObjKaufMonat,5))))/12</f>
      </c>
      <c r="F1142" s="43">
        <f>SUMIFS(MlSumme,MlObj,5,MlJahr,$C1142)*(1-Leerstand/100)</f>
      </c>
      <c r="G1142" s="43">
        <f>INDEX(ObjLaufend,5)*(1+(Inflation)/100)^MAX(0,26)*$E1142</f>
      </c>
      <c r="H1142" s="43">
        <f>INDEX(ObjInstandBasis,5)*(1+(Inflation)/100)^MAX(0,26)*$E1142</f>
      </c>
      <c r="I1142" s="43">
        <f>SUMIFS(TilgZins,TilgObj,5,TilgJahr,$C1142)</f>
      </c>
      <c r="J1142" s="43">
        <f>SUMIFS(TilgTilgung,TilgObj,5,TilgJahr,$C1142)</f>
      </c>
      <c r="K1142" s="43">
        <f>SUMIFS(TilgSonder,TilgObj,5,TilgJahr,$C1142)</f>
      </c>
      <c r="L1142" s="43">
        <f>SUMIFS(TilgErsatz,TilgObj,5,TilgJahr,$C1142)</f>
      </c>
      <c r="M1142" s="43">
        <f>MAX(0,SUMIF(DarlObj,5,DarlBetrag)-SUMIFS(TilgTilgung,TilgObj,5,TilgJahr,"&lt;="&amp;$C1142)-SUMIFS(TilgSonder,TilgObj,5,TilgJahr,"&lt;="&amp;$C1142))</f>
      </c>
      <c r="N1142" s="43">
        <f>SUMIFS(TilgErsatz,TilgObj,5,TilgJahr,"&lt;="&amp;$C1142)+SUMIFS(TilgErtrag,TilgObj,5,TilgJahr,"&lt;="&amp;$C1142)</f>
      </c>
      <c r="O1142" s="43">
        <f>INDEX(ObjWertEff,5)*(1+(Wertsteigerung)/100)^MAX(0,26)</f>
      </c>
      <c r="P1142" s="43">
        <f>IF(OR(INDEX(ObjAfaDauer,5)=0,INDEX(ObjAfaJahr,5)=0,$C1142&lt;INDEX(ObjKaufJahr,5),$C1142&gt;=INDEX(ObjKaufJahr,5)+INDEX(ObjAfaDauer,5)),0,IF($C1142=INDEX(ObjKaufJahr,5),INDEX(ObjAfaJahr,5)*(13-INDEX(ObjKaufMonat,5))/12,INDEX(ObjAfaJahr,5)))</f>
      </c>
      <c r="Q1142" s="43">
        <f>$F1142-$G1142-$H1142-$I1142-$P1142</f>
      </c>
      <c r="R1142" s="43">
        <f>$Q1142*INDEX(ObjSteuersatz,5)/100</f>
      </c>
      <c r="S1142" s="43">
        <f>$I1142+$J1142+$K1142+$L1142</f>
      </c>
      <c r="T1142" s="43">
        <f>$F1142-$G1142-$H1142-$S1142</f>
      </c>
      <c r="U1142" s="43">
        <f>$T1142-$R1142</f>
      </c>
      <c r="V1142" s="43">
        <f>$O1142-$M1142</f>
      </c>
      <c r="W1142" s="43">
        <f>$J1142+$K1142+$L1142</f>
      </c>
      <c r="X1142" s="43">
        <f>IF($O1142=0,0,$M1142/$O1142*100)</f>
      </c>
    </row>
    <row r="1143">
      <c r="A1143"/>
      <c r="B1143">
        <v>5</v>
      </c>
      <c r="C1143" s="43">
        <f>Jahr+27</f>
      </c>
      <c r="D1143">
        <v>27</v>
      </c>
      <c r="E1143" s="43">
        <f>IF(INDEX(ObjKaufJahr,5)=0,0,IF($C1143&lt;INDEX(ObjKaufJahr,5),0,IF($C1143&gt;INDEX(ObjKaufJahr,5),12,13-INDEX(ObjKaufMonat,5))))/12</f>
      </c>
      <c r="F1143" s="43">
        <f>SUMIFS(MlSumme,MlObj,5,MlJahr,$C1143)*(1-Leerstand/100)</f>
      </c>
      <c r="G1143" s="43">
        <f>INDEX(ObjLaufend,5)*(1+(Inflation)/100)^MAX(0,27)*$E1143</f>
      </c>
      <c r="H1143" s="43">
        <f>INDEX(ObjInstandBasis,5)*(1+(Inflation)/100)^MAX(0,27)*$E1143</f>
      </c>
      <c r="I1143" s="43">
        <f>SUMIFS(TilgZins,TilgObj,5,TilgJahr,$C1143)</f>
      </c>
      <c r="J1143" s="43">
        <f>SUMIFS(TilgTilgung,TilgObj,5,TilgJahr,$C1143)</f>
      </c>
      <c r="K1143" s="43">
        <f>SUMIFS(TilgSonder,TilgObj,5,TilgJahr,$C1143)</f>
      </c>
      <c r="L1143" s="43">
        <f>SUMIFS(TilgErsatz,TilgObj,5,TilgJahr,$C1143)</f>
      </c>
      <c r="M1143" s="43">
        <f>MAX(0,SUMIF(DarlObj,5,DarlBetrag)-SUMIFS(TilgTilgung,TilgObj,5,TilgJahr,"&lt;="&amp;$C1143)-SUMIFS(TilgSonder,TilgObj,5,TilgJahr,"&lt;="&amp;$C1143))</f>
      </c>
      <c r="N1143" s="43">
        <f>SUMIFS(TilgErsatz,TilgObj,5,TilgJahr,"&lt;="&amp;$C1143)+SUMIFS(TilgErtrag,TilgObj,5,TilgJahr,"&lt;="&amp;$C1143)</f>
      </c>
      <c r="O1143" s="43">
        <f>INDEX(ObjWertEff,5)*(1+(Wertsteigerung)/100)^MAX(0,27)</f>
      </c>
      <c r="P1143" s="43">
        <f>IF(OR(INDEX(ObjAfaDauer,5)=0,INDEX(ObjAfaJahr,5)=0,$C1143&lt;INDEX(ObjKaufJahr,5),$C1143&gt;=INDEX(ObjKaufJahr,5)+INDEX(ObjAfaDauer,5)),0,IF($C1143=INDEX(ObjKaufJahr,5),INDEX(ObjAfaJahr,5)*(13-INDEX(ObjKaufMonat,5))/12,INDEX(ObjAfaJahr,5)))</f>
      </c>
      <c r="Q1143" s="43">
        <f>$F1143-$G1143-$H1143-$I1143-$P1143</f>
      </c>
      <c r="R1143" s="43">
        <f>$Q1143*INDEX(ObjSteuersatz,5)/100</f>
      </c>
      <c r="S1143" s="43">
        <f>$I1143+$J1143+$K1143+$L1143</f>
      </c>
      <c r="T1143" s="43">
        <f>$F1143-$G1143-$H1143-$S1143</f>
      </c>
      <c r="U1143" s="43">
        <f>$T1143-$R1143</f>
      </c>
      <c r="V1143" s="43">
        <f>$O1143-$M1143</f>
      </c>
      <c r="W1143" s="43">
        <f>$J1143+$K1143+$L1143</f>
      </c>
      <c r="X1143" s="43">
        <f>IF($O1143=0,0,$M1143/$O1143*100)</f>
      </c>
    </row>
    <row r="1144">
      <c r="A1144"/>
      <c r="B1144">
        <v>5</v>
      </c>
      <c r="C1144" s="43">
        <f>Jahr+28</f>
      </c>
      <c r="D1144">
        <v>28</v>
      </c>
      <c r="E1144" s="43">
        <f>IF(INDEX(ObjKaufJahr,5)=0,0,IF($C1144&lt;INDEX(ObjKaufJahr,5),0,IF($C1144&gt;INDEX(ObjKaufJahr,5),12,13-INDEX(ObjKaufMonat,5))))/12</f>
      </c>
      <c r="F1144" s="43">
        <f>SUMIFS(MlSumme,MlObj,5,MlJahr,$C1144)*(1-Leerstand/100)</f>
      </c>
      <c r="G1144" s="43">
        <f>INDEX(ObjLaufend,5)*(1+(Inflation)/100)^MAX(0,28)*$E1144</f>
      </c>
      <c r="H1144" s="43">
        <f>INDEX(ObjInstandBasis,5)*(1+(Inflation)/100)^MAX(0,28)*$E1144</f>
      </c>
      <c r="I1144" s="43">
        <f>SUMIFS(TilgZins,TilgObj,5,TilgJahr,$C1144)</f>
      </c>
      <c r="J1144" s="43">
        <f>SUMIFS(TilgTilgung,TilgObj,5,TilgJahr,$C1144)</f>
      </c>
      <c r="K1144" s="43">
        <f>SUMIFS(TilgSonder,TilgObj,5,TilgJahr,$C1144)</f>
      </c>
      <c r="L1144" s="43">
        <f>SUMIFS(TilgErsatz,TilgObj,5,TilgJahr,$C1144)</f>
      </c>
      <c r="M1144" s="43">
        <f>MAX(0,SUMIF(DarlObj,5,DarlBetrag)-SUMIFS(TilgTilgung,TilgObj,5,TilgJahr,"&lt;="&amp;$C1144)-SUMIFS(TilgSonder,TilgObj,5,TilgJahr,"&lt;="&amp;$C1144))</f>
      </c>
      <c r="N1144" s="43">
        <f>SUMIFS(TilgErsatz,TilgObj,5,TilgJahr,"&lt;="&amp;$C1144)+SUMIFS(TilgErtrag,TilgObj,5,TilgJahr,"&lt;="&amp;$C1144)</f>
      </c>
      <c r="O1144" s="43">
        <f>INDEX(ObjWertEff,5)*(1+(Wertsteigerung)/100)^MAX(0,28)</f>
      </c>
      <c r="P1144" s="43">
        <f>IF(OR(INDEX(ObjAfaDauer,5)=0,INDEX(ObjAfaJahr,5)=0,$C1144&lt;INDEX(ObjKaufJahr,5),$C1144&gt;=INDEX(ObjKaufJahr,5)+INDEX(ObjAfaDauer,5)),0,IF($C1144=INDEX(ObjKaufJahr,5),INDEX(ObjAfaJahr,5)*(13-INDEX(ObjKaufMonat,5))/12,INDEX(ObjAfaJahr,5)))</f>
      </c>
      <c r="Q1144" s="43">
        <f>$F1144-$G1144-$H1144-$I1144-$P1144</f>
      </c>
      <c r="R1144" s="43">
        <f>$Q1144*INDEX(ObjSteuersatz,5)/100</f>
      </c>
      <c r="S1144" s="43">
        <f>$I1144+$J1144+$K1144+$L1144</f>
      </c>
      <c r="T1144" s="43">
        <f>$F1144-$G1144-$H1144-$S1144</f>
      </c>
      <c r="U1144" s="43">
        <f>$T1144-$R1144</f>
      </c>
      <c r="V1144" s="43">
        <f>$O1144-$M1144</f>
      </c>
      <c r="W1144" s="43">
        <f>$J1144+$K1144+$L1144</f>
      </c>
      <c r="X1144" s="43">
        <f>IF($O1144=0,0,$M1144/$O1144*100)</f>
      </c>
    </row>
    <row r="1145">
      <c r="A1145"/>
      <c r="B1145">
        <v>5</v>
      </c>
      <c r="C1145" s="43">
        <f>Jahr+29</f>
      </c>
      <c r="D1145">
        <v>29</v>
      </c>
      <c r="E1145" s="43">
        <f>IF(INDEX(ObjKaufJahr,5)=0,0,IF($C1145&lt;INDEX(ObjKaufJahr,5),0,IF($C1145&gt;INDEX(ObjKaufJahr,5),12,13-INDEX(ObjKaufMonat,5))))/12</f>
      </c>
      <c r="F1145" s="43">
        <f>SUMIFS(MlSumme,MlObj,5,MlJahr,$C1145)*(1-Leerstand/100)</f>
      </c>
      <c r="G1145" s="43">
        <f>INDEX(ObjLaufend,5)*(1+(Inflation)/100)^MAX(0,29)*$E1145</f>
      </c>
      <c r="H1145" s="43">
        <f>INDEX(ObjInstandBasis,5)*(1+(Inflation)/100)^MAX(0,29)*$E1145</f>
      </c>
      <c r="I1145" s="43">
        <f>SUMIFS(TilgZins,TilgObj,5,TilgJahr,$C1145)</f>
      </c>
      <c r="J1145" s="43">
        <f>SUMIFS(TilgTilgung,TilgObj,5,TilgJahr,$C1145)</f>
      </c>
      <c r="K1145" s="43">
        <f>SUMIFS(TilgSonder,TilgObj,5,TilgJahr,$C1145)</f>
      </c>
      <c r="L1145" s="43">
        <f>SUMIFS(TilgErsatz,TilgObj,5,TilgJahr,$C1145)</f>
      </c>
      <c r="M1145" s="43">
        <f>MAX(0,SUMIF(DarlObj,5,DarlBetrag)-SUMIFS(TilgTilgung,TilgObj,5,TilgJahr,"&lt;="&amp;$C1145)-SUMIFS(TilgSonder,TilgObj,5,TilgJahr,"&lt;="&amp;$C1145))</f>
      </c>
      <c r="N1145" s="43">
        <f>SUMIFS(TilgErsatz,TilgObj,5,TilgJahr,"&lt;="&amp;$C1145)+SUMIFS(TilgErtrag,TilgObj,5,TilgJahr,"&lt;="&amp;$C1145)</f>
      </c>
      <c r="O1145" s="43">
        <f>INDEX(ObjWertEff,5)*(1+(Wertsteigerung)/100)^MAX(0,29)</f>
      </c>
      <c r="P1145" s="43">
        <f>IF(OR(INDEX(ObjAfaDauer,5)=0,INDEX(ObjAfaJahr,5)=0,$C1145&lt;INDEX(ObjKaufJahr,5),$C1145&gt;=INDEX(ObjKaufJahr,5)+INDEX(ObjAfaDauer,5)),0,IF($C1145=INDEX(ObjKaufJahr,5),INDEX(ObjAfaJahr,5)*(13-INDEX(ObjKaufMonat,5))/12,INDEX(ObjAfaJahr,5)))</f>
      </c>
      <c r="Q1145" s="43">
        <f>$F1145-$G1145-$H1145-$I1145-$P1145</f>
      </c>
      <c r="R1145" s="43">
        <f>$Q1145*INDEX(ObjSteuersatz,5)/100</f>
      </c>
      <c r="S1145" s="43">
        <f>$I1145+$J1145+$K1145+$L1145</f>
      </c>
      <c r="T1145" s="43">
        <f>$F1145-$G1145-$H1145-$S1145</f>
      </c>
      <c r="U1145" s="43">
        <f>$T1145-$R1145</f>
      </c>
      <c r="V1145" s="43">
        <f>$O1145-$M1145</f>
      </c>
      <c r="W1145" s="43">
        <f>$J1145+$K1145+$L1145</f>
      </c>
      <c r="X1145" s="43">
        <f>IF($O1145=0,0,$M1145/$O1145*100)</f>
      </c>
    </row>
    <row r="1146">
      <c r="A1146"/>
      <c r="B1146">
        <v>5</v>
      </c>
      <c r="C1146" s="43">
        <f>Jahr+30</f>
      </c>
      <c r="D1146">
        <v>30</v>
      </c>
      <c r="E1146" s="43">
        <f>IF(INDEX(ObjKaufJahr,5)=0,0,IF($C1146&lt;INDEX(ObjKaufJahr,5),0,IF($C1146&gt;INDEX(ObjKaufJahr,5),12,13-INDEX(ObjKaufMonat,5))))/12</f>
      </c>
      <c r="F1146" s="43">
        <f>SUMIFS(MlSumme,MlObj,5,MlJahr,$C1146)*(1-Leerstand/100)</f>
      </c>
      <c r="G1146" s="43">
        <f>INDEX(ObjLaufend,5)*(1+(Inflation)/100)^MAX(0,30)*$E1146</f>
      </c>
      <c r="H1146" s="43">
        <f>INDEX(ObjInstandBasis,5)*(1+(Inflation)/100)^MAX(0,30)*$E1146</f>
      </c>
      <c r="I1146" s="43">
        <f>SUMIFS(TilgZins,TilgObj,5,TilgJahr,$C1146)</f>
      </c>
      <c r="J1146" s="43">
        <f>SUMIFS(TilgTilgung,TilgObj,5,TilgJahr,$C1146)</f>
      </c>
      <c r="K1146" s="43">
        <f>SUMIFS(TilgSonder,TilgObj,5,TilgJahr,$C1146)</f>
      </c>
      <c r="L1146" s="43">
        <f>SUMIFS(TilgErsatz,TilgObj,5,TilgJahr,$C1146)</f>
      </c>
      <c r="M1146" s="43">
        <f>MAX(0,SUMIF(DarlObj,5,DarlBetrag)-SUMIFS(TilgTilgung,TilgObj,5,TilgJahr,"&lt;="&amp;$C1146)-SUMIFS(TilgSonder,TilgObj,5,TilgJahr,"&lt;="&amp;$C1146))</f>
      </c>
      <c r="N1146" s="43">
        <f>SUMIFS(TilgErsatz,TilgObj,5,TilgJahr,"&lt;="&amp;$C1146)+SUMIFS(TilgErtrag,TilgObj,5,TilgJahr,"&lt;="&amp;$C1146)</f>
      </c>
      <c r="O1146" s="43">
        <f>INDEX(ObjWertEff,5)*(1+(Wertsteigerung)/100)^MAX(0,30)</f>
      </c>
      <c r="P1146" s="43">
        <f>IF(OR(INDEX(ObjAfaDauer,5)=0,INDEX(ObjAfaJahr,5)=0,$C1146&lt;INDEX(ObjKaufJahr,5),$C1146&gt;=INDEX(ObjKaufJahr,5)+INDEX(ObjAfaDauer,5)),0,IF($C1146=INDEX(ObjKaufJahr,5),INDEX(ObjAfaJahr,5)*(13-INDEX(ObjKaufMonat,5))/12,INDEX(ObjAfaJahr,5)))</f>
      </c>
      <c r="Q1146" s="43">
        <f>$F1146-$G1146-$H1146-$I1146-$P1146</f>
      </c>
      <c r="R1146" s="43">
        <f>$Q1146*INDEX(ObjSteuersatz,5)/100</f>
      </c>
      <c r="S1146" s="43">
        <f>$I1146+$J1146+$K1146+$L1146</f>
      </c>
      <c r="T1146" s="43">
        <f>$F1146-$G1146-$H1146-$S1146</f>
      </c>
      <c r="U1146" s="43">
        <f>$T1146-$R1146</f>
      </c>
      <c r="V1146" s="43">
        <f>$O1146-$M1146</f>
      </c>
      <c r="W1146" s="43">
        <f>$J1146+$K1146+$L1146</f>
      </c>
      <c r="X1146" s="43">
        <f>IF($O1146=0,0,$M1146/$O1146*100)</f>
      </c>
    </row>
    <row r="1147">
      <c r="A1147"/>
      <c r="B1147">
        <v>6</v>
      </c>
      <c r="C1147" s="43">
        <f>Jahr+0</f>
      </c>
      <c r="D1147">
        <v>0</v>
      </c>
      <c r="E1147" s="43">
        <f>IF(INDEX(ObjKaufJahr,6)=0,0,IF($C1147&lt;INDEX(ObjKaufJahr,6),0,IF($C1147&gt;INDEX(ObjKaufJahr,6),12,13-INDEX(ObjKaufMonat,6))))/12</f>
      </c>
      <c r="F1147" s="43">
        <f>SUMIFS(MlSumme,MlObj,6,MlJahr,$C1147)*(1-Leerstand/100)</f>
      </c>
      <c r="G1147" s="43">
        <f>INDEX(ObjLaufend,6)*(1+(Inflation)/100)^MAX(0,0)*$E1147</f>
      </c>
      <c r="H1147" s="43">
        <f>INDEX(ObjInstandBasis,6)*(1+(Inflation)/100)^MAX(0,0)*$E1147</f>
      </c>
      <c r="I1147" s="43">
        <f>SUMIFS(TilgZins,TilgObj,6,TilgJahr,$C1147)</f>
      </c>
      <c r="J1147" s="43">
        <f>SUMIFS(TilgTilgung,TilgObj,6,TilgJahr,$C1147)</f>
      </c>
      <c r="K1147" s="43">
        <f>SUMIFS(TilgSonder,TilgObj,6,TilgJahr,$C1147)</f>
      </c>
      <c r="L1147" s="43">
        <f>SUMIFS(TilgErsatz,TilgObj,6,TilgJahr,$C1147)</f>
      </c>
      <c r="M1147" s="43">
        <f>MAX(0,SUMIF(DarlObj,6,DarlBetrag)-SUMIFS(TilgTilgung,TilgObj,6,TilgJahr,"&lt;="&amp;$C1147)-SUMIFS(TilgSonder,TilgObj,6,TilgJahr,"&lt;="&amp;$C1147))</f>
      </c>
      <c r="N1147" s="43">
        <f>SUMIFS(TilgErsatz,TilgObj,6,TilgJahr,"&lt;="&amp;$C1147)+SUMIFS(TilgErtrag,TilgObj,6,TilgJahr,"&lt;="&amp;$C1147)</f>
      </c>
      <c r="O1147" s="43">
        <f>INDEX(ObjWertEff,6)*(1+(Wertsteigerung)/100)^MAX(0,0)</f>
      </c>
      <c r="P1147" s="43">
        <f>IF(OR(INDEX(ObjAfaDauer,6)=0,INDEX(ObjAfaJahr,6)=0,$C1147&lt;INDEX(ObjKaufJahr,6),$C1147&gt;=INDEX(ObjKaufJahr,6)+INDEX(ObjAfaDauer,6)),0,IF($C1147=INDEX(ObjKaufJahr,6),INDEX(ObjAfaJahr,6)*(13-INDEX(ObjKaufMonat,6))/12,INDEX(ObjAfaJahr,6)))</f>
      </c>
      <c r="Q1147" s="43">
        <f>$F1147-$G1147-$H1147-$I1147-$P1147</f>
      </c>
      <c r="R1147" s="43">
        <f>$Q1147*INDEX(ObjSteuersatz,6)/100</f>
      </c>
      <c r="S1147" s="43">
        <f>$I1147+$J1147+$K1147+$L1147</f>
      </c>
      <c r="T1147" s="43">
        <f>$F1147-$G1147-$H1147-$S1147</f>
      </c>
      <c r="U1147" s="43">
        <f>$T1147-$R1147</f>
      </c>
      <c r="V1147" s="43">
        <f>$O1147-$M1147</f>
      </c>
      <c r="W1147" s="43">
        <f>$J1147+$K1147+$L1147</f>
      </c>
      <c r="X1147" s="43">
        <f>IF($O1147=0,0,$M1147/$O1147*100)</f>
      </c>
    </row>
    <row r="1148">
      <c r="A1148"/>
      <c r="B1148">
        <v>6</v>
      </c>
      <c r="C1148" s="43">
        <f>Jahr+1</f>
      </c>
      <c r="D1148">
        <v>1</v>
      </c>
      <c r="E1148" s="43">
        <f>IF(INDEX(ObjKaufJahr,6)=0,0,IF($C1148&lt;INDEX(ObjKaufJahr,6),0,IF($C1148&gt;INDEX(ObjKaufJahr,6),12,13-INDEX(ObjKaufMonat,6))))/12</f>
      </c>
      <c r="F1148" s="43">
        <f>SUMIFS(MlSumme,MlObj,6,MlJahr,$C1148)*(1-Leerstand/100)</f>
      </c>
      <c r="G1148" s="43">
        <f>INDEX(ObjLaufend,6)*(1+(Inflation)/100)^MAX(0,1)*$E1148</f>
      </c>
      <c r="H1148" s="43">
        <f>INDEX(ObjInstandBasis,6)*(1+(Inflation)/100)^MAX(0,1)*$E1148</f>
      </c>
      <c r="I1148" s="43">
        <f>SUMIFS(TilgZins,TilgObj,6,TilgJahr,$C1148)</f>
      </c>
      <c r="J1148" s="43">
        <f>SUMIFS(TilgTilgung,TilgObj,6,TilgJahr,$C1148)</f>
      </c>
      <c r="K1148" s="43">
        <f>SUMIFS(TilgSonder,TilgObj,6,TilgJahr,$C1148)</f>
      </c>
      <c r="L1148" s="43">
        <f>SUMIFS(TilgErsatz,TilgObj,6,TilgJahr,$C1148)</f>
      </c>
      <c r="M1148" s="43">
        <f>MAX(0,SUMIF(DarlObj,6,DarlBetrag)-SUMIFS(TilgTilgung,TilgObj,6,TilgJahr,"&lt;="&amp;$C1148)-SUMIFS(TilgSonder,TilgObj,6,TilgJahr,"&lt;="&amp;$C1148))</f>
      </c>
      <c r="N1148" s="43">
        <f>SUMIFS(TilgErsatz,TilgObj,6,TilgJahr,"&lt;="&amp;$C1148)+SUMIFS(TilgErtrag,TilgObj,6,TilgJahr,"&lt;="&amp;$C1148)</f>
      </c>
      <c r="O1148" s="43">
        <f>INDEX(ObjWertEff,6)*(1+(Wertsteigerung)/100)^MAX(0,1)</f>
      </c>
      <c r="P1148" s="43">
        <f>IF(OR(INDEX(ObjAfaDauer,6)=0,INDEX(ObjAfaJahr,6)=0,$C1148&lt;INDEX(ObjKaufJahr,6),$C1148&gt;=INDEX(ObjKaufJahr,6)+INDEX(ObjAfaDauer,6)),0,IF($C1148=INDEX(ObjKaufJahr,6),INDEX(ObjAfaJahr,6)*(13-INDEX(ObjKaufMonat,6))/12,INDEX(ObjAfaJahr,6)))</f>
      </c>
      <c r="Q1148" s="43">
        <f>$F1148-$G1148-$H1148-$I1148-$P1148</f>
      </c>
      <c r="R1148" s="43">
        <f>$Q1148*INDEX(ObjSteuersatz,6)/100</f>
      </c>
      <c r="S1148" s="43">
        <f>$I1148+$J1148+$K1148+$L1148</f>
      </c>
      <c r="T1148" s="43">
        <f>$F1148-$G1148-$H1148-$S1148</f>
      </c>
      <c r="U1148" s="43">
        <f>$T1148-$R1148</f>
      </c>
      <c r="V1148" s="43">
        <f>$O1148-$M1148</f>
      </c>
      <c r="W1148" s="43">
        <f>$J1148+$K1148+$L1148</f>
      </c>
      <c r="X1148" s="43">
        <f>IF($O1148=0,0,$M1148/$O1148*100)</f>
      </c>
    </row>
    <row r="1149">
      <c r="A1149"/>
      <c r="B1149">
        <v>6</v>
      </c>
      <c r="C1149" s="43">
        <f>Jahr+2</f>
      </c>
      <c r="D1149">
        <v>2</v>
      </c>
      <c r="E1149" s="43">
        <f>IF(INDEX(ObjKaufJahr,6)=0,0,IF($C1149&lt;INDEX(ObjKaufJahr,6),0,IF($C1149&gt;INDEX(ObjKaufJahr,6),12,13-INDEX(ObjKaufMonat,6))))/12</f>
      </c>
      <c r="F1149" s="43">
        <f>SUMIFS(MlSumme,MlObj,6,MlJahr,$C1149)*(1-Leerstand/100)</f>
      </c>
      <c r="G1149" s="43">
        <f>INDEX(ObjLaufend,6)*(1+(Inflation)/100)^MAX(0,2)*$E1149</f>
      </c>
      <c r="H1149" s="43">
        <f>INDEX(ObjInstandBasis,6)*(1+(Inflation)/100)^MAX(0,2)*$E1149</f>
      </c>
      <c r="I1149" s="43">
        <f>SUMIFS(TilgZins,TilgObj,6,TilgJahr,$C1149)</f>
      </c>
      <c r="J1149" s="43">
        <f>SUMIFS(TilgTilgung,TilgObj,6,TilgJahr,$C1149)</f>
      </c>
      <c r="K1149" s="43">
        <f>SUMIFS(TilgSonder,TilgObj,6,TilgJahr,$C1149)</f>
      </c>
      <c r="L1149" s="43">
        <f>SUMIFS(TilgErsatz,TilgObj,6,TilgJahr,$C1149)</f>
      </c>
      <c r="M1149" s="43">
        <f>MAX(0,SUMIF(DarlObj,6,DarlBetrag)-SUMIFS(TilgTilgung,TilgObj,6,TilgJahr,"&lt;="&amp;$C1149)-SUMIFS(TilgSonder,TilgObj,6,TilgJahr,"&lt;="&amp;$C1149))</f>
      </c>
      <c r="N1149" s="43">
        <f>SUMIFS(TilgErsatz,TilgObj,6,TilgJahr,"&lt;="&amp;$C1149)+SUMIFS(TilgErtrag,TilgObj,6,TilgJahr,"&lt;="&amp;$C1149)</f>
      </c>
      <c r="O1149" s="43">
        <f>INDEX(ObjWertEff,6)*(1+(Wertsteigerung)/100)^MAX(0,2)</f>
      </c>
      <c r="P1149" s="43">
        <f>IF(OR(INDEX(ObjAfaDauer,6)=0,INDEX(ObjAfaJahr,6)=0,$C1149&lt;INDEX(ObjKaufJahr,6),$C1149&gt;=INDEX(ObjKaufJahr,6)+INDEX(ObjAfaDauer,6)),0,IF($C1149=INDEX(ObjKaufJahr,6),INDEX(ObjAfaJahr,6)*(13-INDEX(ObjKaufMonat,6))/12,INDEX(ObjAfaJahr,6)))</f>
      </c>
      <c r="Q1149" s="43">
        <f>$F1149-$G1149-$H1149-$I1149-$P1149</f>
      </c>
      <c r="R1149" s="43">
        <f>$Q1149*INDEX(ObjSteuersatz,6)/100</f>
      </c>
      <c r="S1149" s="43">
        <f>$I1149+$J1149+$K1149+$L1149</f>
      </c>
      <c r="T1149" s="43">
        <f>$F1149-$G1149-$H1149-$S1149</f>
      </c>
      <c r="U1149" s="43">
        <f>$T1149-$R1149</f>
      </c>
      <c r="V1149" s="43">
        <f>$O1149-$M1149</f>
      </c>
      <c r="W1149" s="43">
        <f>$J1149+$K1149+$L1149</f>
      </c>
      <c r="X1149" s="43">
        <f>IF($O1149=0,0,$M1149/$O1149*100)</f>
      </c>
    </row>
    <row r="1150">
      <c r="A1150"/>
      <c r="B1150">
        <v>6</v>
      </c>
      <c r="C1150" s="43">
        <f>Jahr+3</f>
      </c>
      <c r="D1150">
        <v>3</v>
      </c>
      <c r="E1150" s="43">
        <f>IF(INDEX(ObjKaufJahr,6)=0,0,IF($C1150&lt;INDEX(ObjKaufJahr,6),0,IF($C1150&gt;INDEX(ObjKaufJahr,6),12,13-INDEX(ObjKaufMonat,6))))/12</f>
      </c>
      <c r="F1150" s="43">
        <f>SUMIFS(MlSumme,MlObj,6,MlJahr,$C1150)*(1-Leerstand/100)</f>
      </c>
      <c r="G1150" s="43">
        <f>INDEX(ObjLaufend,6)*(1+(Inflation)/100)^MAX(0,3)*$E1150</f>
      </c>
      <c r="H1150" s="43">
        <f>INDEX(ObjInstandBasis,6)*(1+(Inflation)/100)^MAX(0,3)*$E1150</f>
      </c>
      <c r="I1150" s="43">
        <f>SUMIFS(TilgZins,TilgObj,6,TilgJahr,$C1150)</f>
      </c>
      <c r="J1150" s="43">
        <f>SUMIFS(TilgTilgung,TilgObj,6,TilgJahr,$C1150)</f>
      </c>
      <c r="K1150" s="43">
        <f>SUMIFS(TilgSonder,TilgObj,6,TilgJahr,$C1150)</f>
      </c>
      <c r="L1150" s="43">
        <f>SUMIFS(TilgErsatz,TilgObj,6,TilgJahr,$C1150)</f>
      </c>
      <c r="M1150" s="43">
        <f>MAX(0,SUMIF(DarlObj,6,DarlBetrag)-SUMIFS(TilgTilgung,TilgObj,6,TilgJahr,"&lt;="&amp;$C1150)-SUMIFS(TilgSonder,TilgObj,6,TilgJahr,"&lt;="&amp;$C1150))</f>
      </c>
      <c r="N1150" s="43">
        <f>SUMIFS(TilgErsatz,TilgObj,6,TilgJahr,"&lt;="&amp;$C1150)+SUMIFS(TilgErtrag,TilgObj,6,TilgJahr,"&lt;="&amp;$C1150)</f>
      </c>
      <c r="O1150" s="43">
        <f>INDEX(ObjWertEff,6)*(1+(Wertsteigerung)/100)^MAX(0,3)</f>
      </c>
      <c r="P1150" s="43">
        <f>IF(OR(INDEX(ObjAfaDauer,6)=0,INDEX(ObjAfaJahr,6)=0,$C1150&lt;INDEX(ObjKaufJahr,6),$C1150&gt;=INDEX(ObjKaufJahr,6)+INDEX(ObjAfaDauer,6)),0,IF($C1150=INDEX(ObjKaufJahr,6),INDEX(ObjAfaJahr,6)*(13-INDEX(ObjKaufMonat,6))/12,INDEX(ObjAfaJahr,6)))</f>
      </c>
      <c r="Q1150" s="43">
        <f>$F1150-$G1150-$H1150-$I1150-$P1150</f>
      </c>
      <c r="R1150" s="43">
        <f>$Q1150*INDEX(ObjSteuersatz,6)/100</f>
      </c>
      <c r="S1150" s="43">
        <f>$I1150+$J1150+$K1150+$L1150</f>
      </c>
      <c r="T1150" s="43">
        <f>$F1150-$G1150-$H1150-$S1150</f>
      </c>
      <c r="U1150" s="43">
        <f>$T1150-$R1150</f>
      </c>
      <c r="V1150" s="43">
        <f>$O1150-$M1150</f>
      </c>
      <c r="W1150" s="43">
        <f>$J1150+$K1150+$L1150</f>
      </c>
      <c r="X1150" s="43">
        <f>IF($O1150=0,0,$M1150/$O1150*100)</f>
      </c>
    </row>
    <row r="1151">
      <c r="A1151"/>
      <c r="B1151">
        <v>6</v>
      </c>
      <c r="C1151" s="43">
        <f>Jahr+4</f>
      </c>
      <c r="D1151">
        <v>4</v>
      </c>
      <c r="E1151" s="43">
        <f>IF(INDEX(ObjKaufJahr,6)=0,0,IF($C1151&lt;INDEX(ObjKaufJahr,6),0,IF($C1151&gt;INDEX(ObjKaufJahr,6),12,13-INDEX(ObjKaufMonat,6))))/12</f>
      </c>
      <c r="F1151" s="43">
        <f>SUMIFS(MlSumme,MlObj,6,MlJahr,$C1151)*(1-Leerstand/100)</f>
      </c>
      <c r="G1151" s="43">
        <f>INDEX(ObjLaufend,6)*(1+(Inflation)/100)^MAX(0,4)*$E1151</f>
      </c>
      <c r="H1151" s="43">
        <f>INDEX(ObjInstandBasis,6)*(1+(Inflation)/100)^MAX(0,4)*$E1151</f>
      </c>
      <c r="I1151" s="43">
        <f>SUMIFS(TilgZins,TilgObj,6,TilgJahr,$C1151)</f>
      </c>
      <c r="J1151" s="43">
        <f>SUMIFS(TilgTilgung,TilgObj,6,TilgJahr,$C1151)</f>
      </c>
      <c r="K1151" s="43">
        <f>SUMIFS(TilgSonder,TilgObj,6,TilgJahr,$C1151)</f>
      </c>
      <c r="L1151" s="43">
        <f>SUMIFS(TilgErsatz,TilgObj,6,TilgJahr,$C1151)</f>
      </c>
      <c r="M1151" s="43">
        <f>MAX(0,SUMIF(DarlObj,6,DarlBetrag)-SUMIFS(TilgTilgung,TilgObj,6,TilgJahr,"&lt;="&amp;$C1151)-SUMIFS(TilgSonder,TilgObj,6,TilgJahr,"&lt;="&amp;$C1151))</f>
      </c>
      <c r="N1151" s="43">
        <f>SUMIFS(TilgErsatz,TilgObj,6,TilgJahr,"&lt;="&amp;$C1151)+SUMIFS(TilgErtrag,TilgObj,6,TilgJahr,"&lt;="&amp;$C1151)</f>
      </c>
      <c r="O1151" s="43">
        <f>INDEX(ObjWertEff,6)*(1+(Wertsteigerung)/100)^MAX(0,4)</f>
      </c>
      <c r="P1151" s="43">
        <f>IF(OR(INDEX(ObjAfaDauer,6)=0,INDEX(ObjAfaJahr,6)=0,$C1151&lt;INDEX(ObjKaufJahr,6),$C1151&gt;=INDEX(ObjKaufJahr,6)+INDEX(ObjAfaDauer,6)),0,IF($C1151=INDEX(ObjKaufJahr,6),INDEX(ObjAfaJahr,6)*(13-INDEX(ObjKaufMonat,6))/12,INDEX(ObjAfaJahr,6)))</f>
      </c>
      <c r="Q1151" s="43">
        <f>$F1151-$G1151-$H1151-$I1151-$P1151</f>
      </c>
      <c r="R1151" s="43">
        <f>$Q1151*INDEX(ObjSteuersatz,6)/100</f>
      </c>
      <c r="S1151" s="43">
        <f>$I1151+$J1151+$K1151+$L1151</f>
      </c>
      <c r="T1151" s="43">
        <f>$F1151-$G1151-$H1151-$S1151</f>
      </c>
      <c r="U1151" s="43">
        <f>$T1151-$R1151</f>
      </c>
      <c r="V1151" s="43">
        <f>$O1151-$M1151</f>
      </c>
      <c r="W1151" s="43">
        <f>$J1151+$K1151+$L1151</f>
      </c>
      <c r="X1151" s="43">
        <f>IF($O1151=0,0,$M1151/$O1151*100)</f>
      </c>
    </row>
    <row r="1152">
      <c r="A1152"/>
      <c r="B1152">
        <v>6</v>
      </c>
      <c r="C1152" s="43">
        <f>Jahr+5</f>
      </c>
      <c r="D1152">
        <v>5</v>
      </c>
      <c r="E1152" s="43">
        <f>IF(INDEX(ObjKaufJahr,6)=0,0,IF($C1152&lt;INDEX(ObjKaufJahr,6),0,IF($C1152&gt;INDEX(ObjKaufJahr,6),12,13-INDEX(ObjKaufMonat,6))))/12</f>
      </c>
      <c r="F1152" s="43">
        <f>SUMIFS(MlSumme,MlObj,6,MlJahr,$C1152)*(1-Leerstand/100)</f>
      </c>
      <c r="G1152" s="43">
        <f>INDEX(ObjLaufend,6)*(1+(Inflation)/100)^MAX(0,5)*$E1152</f>
      </c>
      <c r="H1152" s="43">
        <f>INDEX(ObjInstandBasis,6)*(1+(Inflation)/100)^MAX(0,5)*$E1152</f>
      </c>
      <c r="I1152" s="43">
        <f>SUMIFS(TilgZins,TilgObj,6,TilgJahr,$C1152)</f>
      </c>
      <c r="J1152" s="43">
        <f>SUMIFS(TilgTilgung,TilgObj,6,TilgJahr,$C1152)</f>
      </c>
      <c r="K1152" s="43">
        <f>SUMIFS(TilgSonder,TilgObj,6,TilgJahr,$C1152)</f>
      </c>
      <c r="L1152" s="43">
        <f>SUMIFS(TilgErsatz,TilgObj,6,TilgJahr,$C1152)</f>
      </c>
      <c r="M1152" s="43">
        <f>MAX(0,SUMIF(DarlObj,6,DarlBetrag)-SUMIFS(TilgTilgung,TilgObj,6,TilgJahr,"&lt;="&amp;$C1152)-SUMIFS(TilgSonder,TilgObj,6,TilgJahr,"&lt;="&amp;$C1152))</f>
      </c>
      <c r="N1152" s="43">
        <f>SUMIFS(TilgErsatz,TilgObj,6,TilgJahr,"&lt;="&amp;$C1152)+SUMIFS(TilgErtrag,TilgObj,6,TilgJahr,"&lt;="&amp;$C1152)</f>
      </c>
      <c r="O1152" s="43">
        <f>INDEX(ObjWertEff,6)*(1+(Wertsteigerung)/100)^MAX(0,5)</f>
      </c>
      <c r="P1152" s="43">
        <f>IF(OR(INDEX(ObjAfaDauer,6)=0,INDEX(ObjAfaJahr,6)=0,$C1152&lt;INDEX(ObjKaufJahr,6),$C1152&gt;=INDEX(ObjKaufJahr,6)+INDEX(ObjAfaDauer,6)),0,IF($C1152=INDEX(ObjKaufJahr,6),INDEX(ObjAfaJahr,6)*(13-INDEX(ObjKaufMonat,6))/12,INDEX(ObjAfaJahr,6)))</f>
      </c>
      <c r="Q1152" s="43">
        <f>$F1152-$G1152-$H1152-$I1152-$P1152</f>
      </c>
      <c r="R1152" s="43">
        <f>$Q1152*INDEX(ObjSteuersatz,6)/100</f>
      </c>
      <c r="S1152" s="43">
        <f>$I1152+$J1152+$K1152+$L1152</f>
      </c>
      <c r="T1152" s="43">
        <f>$F1152-$G1152-$H1152-$S1152</f>
      </c>
      <c r="U1152" s="43">
        <f>$T1152-$R1152</f>
      </c>
      <c r="V1152" s="43">
        <f>$O1152-$M1152</f>
      </c>
      <c r="W1152" s="43">
        <f>$J1152+$K1152+$L1152</f>
      </c>
      <c r="X1152" s="43">
        <f>IF($O1152=0,0,$M1152/$O1152*100)</f>
      </c>
    </row>
    <row r="1153">
      <c r="A1153"/>
      <c r="B1153">
        <v>6</v>
      </c>
      <c r="C1153" s="43">
        <f>Jahr+6</f>
      </c>
      <c r="D1153">
        <v>6</v>
      </c>
      <c r="E1153" s="43">
        <f>IF(INDEX(ObjKaufJahr,6)=0,0,IF($C1153&lt;INDEX(ObjKaufJahr,6),0,IF($C1153&gt;INDEX(ObjKaufJahr,6),12,13-INDEX(ObjKaufMonat,6))))/12</f>
      </c>
      <c r="F1153" s="43">
        <f>SUMIFS(MlSumme,MlObj,6,MlJahr,$C1153)*(1-Leerstand/100)</f>
      </c>
      <c r="G1153" s="43">
        <f>INDEX(ObjLaufend,6)*(1+(Inflation)/100)^MAX(0,6)*$E1153</f>
      </c>
      <c r="H1153" s="43">
        <f>INDEX(ObjInstandBasis,6)*(1+(Inflation)/100)^MAX(0,6)*$E1153</f>
      </c>
      <c r="I1153" s="43">
        <f>SUMIFS(TilgZins,TilgObj,6,TilgJahr,$C1153)</f>
      </c>
      <c r="J1153" s="43">
        <f>SUMIFS(TilgTilgung,TilgObj,6,TilgJahr,$C1153)</f>
      </c>
      <c r="K1153" s="43">
        <f>SUMIFS(TilgSonder,TilgObj,6,TilgJahr,$C1153)</f>
      </c>
      <c r="L1153" s="43">
        <f>SUMIFS(TilgErsatz,TilgObj,6,TilgJahr,$C1153)</f>
      </c>
      <c r="M1153" s="43">
        <f>MAX(0,SUMIF(DarlObj,6,DarlBetrag)-SUMIFS(TilgTilgung,TilgObj,6,TilgJahr,"&lt;="&amp;$C1153)-SUMIFS(TilgSonder,TilgObj,6,TilgJahr,"&lt;="&amp;$C1153))</f>
      </c>
      <c r="N1153" s="43">
        <f>SUMIFS(TilgErsatz,TilgObj,6,TilgJahr,"&lt;="&amp;$C1153)+SUMIFS(TilgErtrag,TilgObj,6,TilgJahr,"&lt;="&amp;$C1153)</f>
      </c>
      <c r="O1153" s="43">
        <f>INDEX(ObjWertEff,6)*(1+(Wertsteigerung)/100)^MAX(0,6)</f>
      </c>
      <c r="P1153" s="43">
        <f>IF(OR(INDEX(ObjAfaDauer,6)=0,INDEX(ObjAfaJahr,6)=0,$C1153&lt;INDEX(ObjKaufJahr,6),$C1153&gt;=INDEX(ObjKaufJahr,6)+INDEX(ObjAfaDauer,6)),0,IF($C1153=INDEX(ObjKaufJahr,6),INDEX(ObjAfaJahr,6)*(13-INDEX(ObjKaufMonat,6))/12,INDEX(ObjAfaJahr,6)))</f>
      </c>
      <c r="Q1153" s="43">
        <f>$F1153-$G1153-$H1153-$I1153-$P1153</f>
      </c>
      <c r="R1153" s="43">
        <f>$Q1153*INDEX(ObjSteuersatz,6)/100</f>
      </c>
      <c r="S1153" s="43">
        <f>$I1153+$J1153+$K1153+$L1153</f>
      </c>
      <c r="T1153" s="43">
        <f>$F1153-$G1153-$H1153-$S1153</f>
      </c>
      <c r="U1153" s="43">
        <f>$T1153-$R1153</f>
      </c>
      <c r="V1153" s="43">
        <f>$O1153-$M1153</f>
      </c>
      <c r="W1153" s="43">
        <f>$J1153+$K1153+$L1153</f>
      </c>
      <c r="X1153" s="43">
        <f>IF($O1153=0,0,$M1153/$O1153*100)</f>
      </c>
    </row>
    <row r="1154">
      <c r="A1154"/>
      <c r="B1154">
        <v>6</v>
      </c>
      <c r="C1154" s="43">
        <f>Jahr+7</f>
      </c>
      <c r="D1154">
        <v>7</v>
      </c>
      <c r="E1154" s="43">
        <f>IF(INDEX(ObjKaufJahr,6)=0,0,IF($C1154&lt;INDEX(ObjKaufJahr,6),0,IF($C1154&gt;INDEX(ObjKaufJahr,6),12,13-INDEX(ObjKaufMonat,6))))/12</f>
      </c>
      <c r="F1154" s="43">
        <f>SUMIFS(MlSumme,MlObj,6,MlJahr,$C1154)*(1-Leerstand/100)</f>
      </c>
      <c r="G1154" s="43">
        <f>INDEX(ObjLaufend,6)*(1+(Inflation)/100)^MAX(0,7)*$E1154</f>
      </c>
      <c r="H1154" s="43">
        <f>INDEX(ObjInstandBasis,6)*(1+(Inflation)/100)^MAX(0,7)*$E1154</f>
      </c>
      <c r="I1154" s="43">
        <f>SUMIFS(TilgZins,TilgObj,6,TilgJahr,$C1154)</f>
      </c>
      <c r="J1154" s="43">
        <f>SUMIFS(TilgTilgung,TilgObj,6,TilgJahr,$C1154)</f>
      </c>
      <c r="K1154" s="43">
        <f>SUMIFS(TilgSonder,TilgObj,6,TilgJahr,$C1154)</f>
      </c>
      <c r="L1154" s="43">
        <f>SUMIFS(TilgErsatz,TilgObj,6,TilgJahr,$C1154)</f>
      </c>
      <c r="M1154" s="43">
        <f>MAX(0,SUMIF(DarlObj,6,DarlBetrag)-SUMIFS(TilgTilgung,TilgObj,6,TilgJahr,"&lt;="&amp;$C1154)-SUMIFS(TilgSonder,TilgObj,6,TilgJahr,"&lt;="&amp;$C1154))</f>
      </c>
      <c r="N1154" s="43">
        <f>SUMIFS(TilgErsatz,TilgObj,6,TilgJahr,"&lt;="&amp;$C1154)+SUMIFS(TilgErtrag,TilgObj,6,TilgJahr,"&lt;="&amp;$C1154)</f>
      </c>
      <c r="O1154" s="43">
        <f>INDEX(ObjWertEff,6)*(1+(Wertsteigerung)/100)^MAX(0,7)</f>
      </c>
      <c r="P1154" s="43">
        <f>IF(OR(INDEX(ObjAfaDauer,6)=0,INDEX(ObjAfaJahr,6)=0,$C1154&lt;INDEX(ObjKaufJahr,6),$C1154&gt;=INDEX(ObjKaufJahr,6)+INDEX(ObjAfaDauer,6)),0,IF($C1154=INDEX(ObjKaufJahr,6),INDEX(ObjAfaJahr,6)*(13-INDEX(ObjKaufMonat,6))/12,INDEX(ObjAfaJahr,6)))</f>
      </c>
      <c r="Q1154" s="43">
        <f>$F1154-$G1154-$H1154-$I1154-$P1154</f>
      </c>
      <c r="R1154" s="43">
        <f>$Q1154*INDEX(ObjSteuersatz,6)/100</f>
      </c>
      <c r="S1154" s="43">
        <f>$I1154+$J1154+$K1154+$L1154</f>
      </c>
      <c r="T1154" s="43">
        <f>$F1154-$G1154-$H1154-$S1154</f>
      </c>
      <c r="U1154" s="43">
        <f>$T1154-$R1154</f>
      </c>
      <c r="V1154" s="43">
        <f>$O1154-$M1154</f>
      </c>
      <c r="W1154" s="43">
        <f>$J1154+$K1154+$L1154</f>
      </c>
      <c r="X1154" s="43">
        <f>IF($O1154=0,0,$M1154/$O1154*100)</f>
      </c>
    </row>
    <row r="1155">
      <c r="A1155"/>
      <c r="B1155">
        <v>6</v>
      </c>
      <c r="C1155" s="43">
        <f>Jahr+8</f>
      </c>
      <c r="D1155">
        <v>8</v>
      </c>
      <c r="E1155" s="43">
        <f>IF(INDEX(ObjKaufJahr,6)=0,0,IF($C1155&lt;INDEX(ObjKaufJahr,6),0,IF($C1155&gt;INDEX(ObjKaufJahr,6),12,13-INDEX(ObjKaufMonat,6))))/12</f>
      </c>
      <c r="F1155" s="43">
        <f>SUMIFS(MlSumme,MlObj,6,MlJahr,$C1155)*(1-Leerstand/100)</f>
      </c>
      <c r="G1155" s="43">
        <f>INDEX(ObjLaufend,6)*(1+(Inflation)/100)^MAX(0,8)*$E1155</f>
      </c>
      <c r="H1155" s="43">
        <f>INDEX(ObjInstandBasis,6)*(1+(Inflation)/100)^MAX(0,8)*$E1155</f>
      </c>
      <c r="I1155" s="43">
        <f>SUMIFS(TilgZins,TilgObj,6,TilgJahr,$C1155)</f>
      </c>
      <c r="J1155" s="43">
        <f>SUMIFS(TilgTilgung,TilgObj,6,TilgJahr,$C1155)</f>
      </c>
      <c r="K1155" s="43">
        <f>SUMIFS(TilgSonder,TilgObj,6,TilgJahr,$C1155)</f>
      </c>
      <c r="L1155" s="43">
        <f>SUMIFS(TilgErsatz,TilgObj,6,TilgJahr,$C1155)</f>
      </c>
      <c r="M1155" s="43">
        <f>MAX(0,SUMIF(DarlObj,6,DarlBetrag)-SUMIFS(TilgTilgung,TilgObj,6,TilgJahr,"&lt;="&amp;$C1155)-SUMIFS(TilgSonder,TilgObj,6,TilgJahr,"&lt;="&amp;$C1155))</f>
      </c>
      <c r="N1155" s="43">
        <f>SUMIFS(TilgErsatz,TilgObj,6,TilgJahr,"&lt;="&amp;$C1155)+SUMIFS(TilgErtrag,TilgObj,6,TilgJahr,"&lt;="&amp;$C1155)</f>
      </c>
      <c r="O1155" s="43">
        <f>INDEX(ObjWertEff,6)*(1+(Wertsteigerung)/100)^MAX(0,8)</f>
      </c>
      <c r="P1155" s="43">
        <f>IF(OR(INDEX(ObjAfaDauer,6)=0,INDEX(ObjAfaJahr,6)=0,$C1155&lt;INDEX(ObjKaufJahr,6),$C1155&gt;=INDEX(ObjKaufJahr,6)+INDEX(ObjAfaDauer,6)),0,IF($C1155=INDEX(ObjKaufJahr,6),INDEX(ObjAfaJahr,6)*(13-INDEX(ObjKaufMonat,6))/12,INDEX(ObjAfaJahr,6)))</f>
      </c>
      <c r="Q1155" s="43">
        <f>$F1155-$G1155-$H1155-$I1155-$P1155</f>
      </c>
      <c r="R1155" s="43">
        <f>$Q1155*INDEX(ObjSteuersatz,6)/100</f>
      </c>
      <c r="S1155" s="43">
        <f>$I1155+$J1155+$K1155+$L1155</f>
      </c>
      <c r="T1155" s="43">
        <f>$F1155-$G1155-$H1155-$S1155</f>
      </c>
      <c r="U1155" s="43">
        <f>$T1155-$R1155</f>
      </c>
      <c r="V1155" s="43">
        <f>$O1155-$M1155</f>
      </c>
      <c r="W1155" s="43">
        <f>$J1155+$K1155+$L1155</f>
      </c>
      <c r="X1155" s="43">
        <f>IF($O1155=0,0,$M1155/$O1155*100)</f>
      </c>
    </row>
    <row r="1156">
      <c r="A1156"/>
      <c r="B1156">
        <v>6</v>
      </c>
      <c r="C1156" s="43">
        <f>Jahr+9</f>
      </c>
      <c r="D1156">
        <v>9</v>
      </c>
      <c r="E1156" s="43">
        <f>IF(INDEX(ObjKaufJahr,6)=0,0,IF($C1156&lt;INDEX(ObjKaufJahr,6),0,IF($C1156&gt;INDEX(ObjKaufJahr,6),12,13-INDEX(ObjKaufMonat,6))))/12</f>
      </c>
      <c r="F1156" s="43">
        <f>SUMIFS(MlSumme,MlObj,6,MlJahr,$C1156)*(1-Leerstand/100)</f>
      </c>
      <c r="G1156" s="43">
        <f>INDEX(ObjLaufend,6)*(1+(Inflation)/100)^MAX(0,9)*$E1156</f>
      </c>
      <c r="H1156" s="43">
        <f>INDEX(ObjInstandBasis,6)*(1+(Inflation)/100)^MAX(0,9)*$E1156</f>
      </c>
      <c r="I1156" s="43">
        <f>SUMIFS(TilgZins,TilgObj,6,TilgJahr,$C1156)</f>
      </c>
      <c r="J1156" s="43">
        <f>SUMIFS(TilgTilgung,TilgObj,6,TilgJahr,$C1156)</f>
      </c>
      <c r="K1156" s="43">
        <f>SUMIFS(TilgSonder,TilgObj,6,TilgJahr,$C1156)</f>
      </c>
      <c r="L1156" s="43">
        <f>SUMIFS(TilgErsatz,TilgObj,6,TilgJahr,$C1156)</f>
      </c>
      <c r="M1156" s="43">
        <f>MAX(0,SUMIF(DarlObj,6,DarlBetrag)-SUMIFS(TilgTilgung,TilgObj,6,TilgJahr,"&lt;="&amp;$C1156)-SUMIFS(TilgSonder,TilgObj,6,TilgJahr,"&lt;="&amp;$C1156))</f>
      </c>
      <c r="N1156" s="43">
        <f>SUMIFS(TilgErsatz,TilgObj,6,TilgJahr,"&lt;="&amp;$C1156)+SUMIFS(TilgErtrag,TilgObj,6,TilgJahr,"&lt;="&amp;$C1156)</f>
      </c>
      <c r="O1156" s="43">
        <f>INDEX(ObjWertEff,6)*(1+(Wertsteigerung)/100)^MAX(0,9)</f>
      </c>
      <c r="P1156" s="43">
        <f>IF(OR(INDEX(ObjAfaDauer,6)=0,INDEX(ObjAfaJahr,6)=0,$C1156&lt;INDEX(ObjKaufJahr,6),$C1156&gt;=INDEX(ObjKaufJahr,6)+INDEX(ObjAfaDauer,6)),0,IF($C1156=INDEX(ObjKaufJahr,6),INDEX(ObjAfaJahr,6)*(13-INDEX(ObjKaufMonat,6))/12,INDEX(ObjAfaJahr,6)))</f>
      </c>
      <c r="Q1156" s="43">
        <f>$F1156-$G1156-$H1156-$I1156-$P1156</f>
      </c>
      <c r="R1156" s="43">
        <f>$Q1156*INDEX(ObjSteuersatz,6)/100</f>
      </c>
      <c r="S1156" s="43">
        <f>$I1156+$J1156+$K1156+$L1156</f>
      </c>
      <c r="T1156" s="43">
        <f>$F1156-$G1156-$H1156-$S1156</f>
      </c>
      <c r="U1156" s="43">
        <f>$T1156-$R1156</f>
      </c>
      <c r="V1156" s="43">
        <f>$O1156-$M1156</f>
      </c>
      <c r="W1156" s="43">
        <f>$J1156+$K1156+$L1156</f>
      </c>
      <c r="X1156" s="43">
        <f>IF($O1156=0,0,$M1156/$O1156*100)</f>
      </c>
    </row>
    <row r="1157">
      <c r="A1157"/>
      <c r="B1157">
        <v>6</v>
      </c>
      <c r="C1157" s="43">
        <f>Jahr+10</f>
      </c>
      <c r="D1157">
        <v>10</v>
      </c>
      <c r="E1157" s="43">
        <f>IF(INDEX(ObjKaufJahr,6)=0,0,IF($C1157&lt;INDEX(ObjKaufJahr,6),0,IF($C1157&gt;INDEX(ObjKaufJahr,6),12,13-INDEX(ObjKaufMonat,6))))/12</f>
      </c>
      <c r="F1157" s="43">
        <f>SUMIFS(MlSumme,MlObj,6,MlJahr,$C1157)*(1-Leerstand/100)</f>
      </c>
      <c r="G1157" s="43">
        <f>INDEX(ObjLaufend,6)*(1+(Inflation)/100)^MAX(0,10)*$E1157</f>
      </c>
      <c r="H1157" s="43">
        <f>INDEX(ObjInstandBasis,6)*(1+(Inflation)/100)^MAX(0,10)*$E1157</f>
      </c>
      <c r="I1157" s="43">
        <f>SUMIFS(TilgZins,TilgObj,6,TilgJahr,$C1157)</f>
      </c>
      <c r="J1157" s="43">
        <f>SUMIFS(TilgTilgung,TilgObj,6,TilgJahr,$C1157)</f>
      </c>
      <c r="K1157" s="43">
        <f>SUMIFS(TilgSonder,TilgObj,6,TilgJahr,$C1157)</f>
      </c>
      <c r="L1157" s="43">
        <f>SUMIFS(TilgErsatz,TilgObj,6,TilgJahr,$C1157)</f>
      </c>
      <c r="M1157" s="43">
        <f>MAX(0,SUMIF(DarlObj,6,DarlBetrag)-SUMIFS(TilgTilgung,TilgObj,6,TilgJahr,"&lt;="&amp;$C1157)-SUMIFS(TilgSonder,TilgObj,6,TilgJahr,"&lt;="&amp;$C1157))</f>
      </c>
      <c r="N1157" s="43">
        <f>SUMIFS(TilgErsatz,TilgObj,6,TilgJahr,"&lt;="&amp;$C1157)+SUMIFS(TilgErtrag,TilgObj,6,TilgJahr,"&lt;="&amp;$C1157)</f>
      </c>
      <c r="O1157" s="43">
        <f>INDEX(ObjWertEff,6)*(1+(Wertsteigerung)/100)^MAX(0,10)</f>
      </c>
      <c r="P1157" s="43">
        <f>IF(OR(INDEX(ObjAfaDauer,6)=0,INDEX(ObjAfaJahr,6)=0,$C1157&lt;INDEX(ObjKaufJahr,6),$C1157&gt;=INDEX(ObjKaufJahr,6)+INDEX(ObjAfaDauer,6)),0,IF($C1157=INDEX(ObjKaufJahr,6),INDEX(ObjAfaJahr,6)*(13-INDEX(ObjKaufMonat,6))/12,INDEX(ObjAfaJahr,6)))</f>
      </c>
      <c r="Q1157" s="43">
        <f>$F1157-$G1157-$H1157-$I1157-$P1157</f>
      </c>
      <c r="R1157" s="43">
        <f>$Q1157*INDEX(ObjSteuersatz,6)/100</f>
      </c>
      <c r="S1157" s="43">
        <f>$I1157+$J1157+$K1157+$L1157</f>
      </c>
      <c r="T1157" s="43">
        <f>$F1157-$G1157-$H1157-$S1157</f>
      </c>
      <c r="U1157" s="43">
        <f>$T1157-$R1157</f>
      </c>
      <c r="V1157" s="43">
        <f>$O1157-$M1157</f>
      </c>
      <c r="W1157" s="43">
        <f>$J1157+$K1157+$L1157</f>
      </c>
      <c r="X1157" s="43">
        <f>IF($O1157=0,0,$M1157/$O1157*100)</f>
      </c>
    </row>
    <row r="1158">
      <c r="A1158"/>
      <c r="B1158">
        <v>6</v>
      </c>
      <c r="C1158" s="43">
        <f>Jahr+11</f>
      </c>
      <c r="D1158">
        <v>11</v>
      </c>
      <c r="E1158" s="43">
        <f>IF(INDEX(ObjKaufJahr,6)=0,0,IF($C1158&lt;INDEX(ObjKaufJahr,6),0,IF($C1158&gt;INDEX(ObjKaufJahr,6),12,13-INDEX(ObjKaufMonat,6))))/12</f>
      </c>
      <c r="F1158" s="43">
        <f>SUMIFS(MlSumme,MlObj,6,MlJahr,$C1158)*(1-Leerstand/100)</f>
      </c>
      <c r="G1158" s="43">
        <f>INDEX(ObjLaufend,6)*(1+(Inflation)/100)^MAX(0,11)*$E1158</f>
      </c>
      <c r="H1158" s="43">
        <f>INDEX(ObjInstandBasis,6)*(1+(Inflation)/100)^MAX(0,11)*$E1158</f>
      </c>
      <c r="I1158" s="43">
        <f>SUMIFS(TilgZins,TilgObj,6,TilgJahr,$C1158)</f>
      </c>
      <c r="J1158" s="43">
        <f>SUMIFS(TilgTilgung,TilgObj,6,TilgJahr,$C1158)</f>
      </c>
      <c r="K1158" s="43">
        <f>SUMIFS(TilgSonder,TilgObj,6,TilgJahr,$C1158)</f>
      </c>
      <c r="L1158" s="43">
        <f>SUMIFS(TilgErsatz,TilgObj,6,TilgJahr,$C1158)</f>
      </c>
      <c r="M1158" s="43">
        <f>MAX(0,SUMIF(DarlObj,6,DarlBetrag)-SUMIFS(TilgTilgung,TilgObj,6,TilgJahr,"&lt;="&amp;$C1158)-SUMIFS(TilgSonder,TilgObj,6,TilgJahr,"&lt;="&amp;$C1158))</f>
      </c>
      <c r="N1158" s="43">
        <f>SUMIFS(TilgErsatz,TilgObj,6,TilgJahr,"&lt;="&amp;$C1158)+SUMIFS(TilgErtrag,TilgObj,6,TilgJahr,"&lt;="&amp;$C1158)</f>
      </c>
      <c r="O1158" s="43">
        <f>INDEX(ObjWertEff,6)*(1+(Wertsteigerung)/100)^MAX(0,11)</f>
      </c>
      <c r="P1158" s="43">
        <f>IF(OR(INDEX(ObjAfaDauer,6)=0,INDEX(ObjAfaJahr,6)=0,$C1158&lt;INDEX(ObjKaufJahr,6),$C1158&gt;=INDEX(ObjKaufJahr,6)+INDEX(ObjAfaDauer,6)),0,IF($C1158=INDEX(ObjKaufJahr,6),INDEX(ObjAfaJahr,6)*(13-INDEX(ObjKaufMonat,6))/12,INDEX(ObjAfaJahr,6)))</f>
      </c>
      <c r="Q1158" s="43">
        <f>$F1158-$G1158-$H1158-$I1158-$P1158</f>
      </c>
      <c r="R1158" s="43">
        <f>$Q1158*INDEX(ObjSteuersatz,6)/100</f>
      </c>
      <c r="S1158" s="43">
        <f>$I1158+$J1158+$K1158+$L1158</f>
      </c>
      <c r="T1158" s="43">
        <f>$F1158-$G1158-$H1158-$S1158</f>
      </c>
      <c r="U1158" s="43">
        <f>$T1158-$R1158</f>
      </c>
      <c r="V1158" s="43">
        <f>$O1158-$M1158</f>
      </c>
      <c r="W1158" s="43">
        <f>$J1158+$K1158+$L1158</f>
      </c>
      <c r="X1158" s="43">
        <f>IF($O1158=0,0,$M1158/$O1158*100)</f>
      </c>
    </row>
    <row r="1159">
      <c r="A1159"/>
      <c r="B1159">
        <v>6</v>
      </c>
      <c r="C1159" s="43">
        <f>Jahr+12</f>
      </c>
      <c r="D1159">
        <v>12</v>
      </c>
      <c r="E1159" s="43">
        <f>IF(INDEX(ObjKaufJahr,6)=0,0,IF($C1159&lt;INDEX(ObjKaufJahr,6),0,IF($C1159&gt;INDEX(ObjKaufJahr,6),12,13-INDEX(ObjKaufMonat,6))))/12</f>
      </c>
      <c r="F1159" s="43">
        <f>SUMIFS(MlSumme,MlObj,6,MlJahr,$C1159)*(1-Leerstand/100)</f>
      </c>
      <c r="G1159" s="43">
        <f>INDEX(ObjLaufend,6)*(1+(Inflation)/100)^MAX(0,12)*$E1159</f>
      </c>
      <c r="H1159" s="43">
        <f>INDEX(ObjInstandBasis,6)*(1+(Inflation)/100)^MAX(0,12)*$E1159</f>
      </c>
      <c r="I1159" s="43">
        <f>SUMIFS(TilgZins,TilgObj,6,TilgJahr,$C1159)</f>
      </c>
      <c r="J1159" s="43">
        <f>SUMIFS(TilgTilgung,TilgObj,6,TilgJahr,$C1159)</f>
      </c>
      <c r="K1159" s="43">
        <f>SUMIFS(TilgSonder,TilgObj,6,TilgJahr,$C1159)</f>
      </c>
      <c r="L1159" s="43">
        <f>SUMIFS(TilgErsatz,TilgObj,6,TilgJahr,$C1159)</f>
      </c>
      <c r="M1159" s="43">
        <f>MAX(0,SUMIF(DarlObj,6,DarlBetrag)-SUMIFS(TilgTilgung,TilgObj,6,TilgJahr,"&lt;="&amp;$C1159)-SUMIFS(TilgSonder,TilgObj,6,TilgJahr,"&lt;="&amp;$C1159))</f>
      </c>
      <c r="N1159" s="43">
        <f>SUMIFS(TilgErsatz,TilgObj,6,TilgJahr,"&lt;="&amp;$C1159)+SUMIFS(TilgErtrag,TilgObj,6,TilgJahr,"&lt;="&amp;$C1159)</f>
      </c>
      <c r="O1159" s="43">
        <f>INDEX(ObjWertEff,6)*(1+(Wertsteigerung)/100)^MAX(0,12)</f>
      </c>
      <c r="P1159" s="43">
        <f>IF(OR(INDEX(ObjAfaDauer,6)=0,INDEX(ObjAfaJahr,6)=0,$C1159&lt;INDEX(ObjKaufJahr,6),$C1159&gt;=INDEX(ObjKaufJahr,6)+INDEX(ObjAfaDauer,6)),0,IF($C1159=INDEX(ObjKaufJahr,6),INDEX(ObjAfaJahr,6)*(13-INDEX(ObjKaufMonat,6))/12,INDEX(ObjAfaJahr,6)))</f>
      </c>
      <c r="Q1159" s="43">
        <f>$F1159-$G1159-$H1159-$I1159-$P1159</f>
      </c>
      <c r="R1159" s="43">
        <f>$Q1159*INDEX(ObjSteuersatz,6)/100</f>
      </c>
      <c r="S1159" s="43">
        <f>$I1159+$J1159+$K1159+$L1159</f>
      </c>
      <c r="T1159" s="43">
        <f>$F1159-$G1159-$H1159-$S1159</f>
      </c>
      <c r="U1159" s="43">
        <f>$T1159-$R1159</f>
      </c>
      <c r="V1159" s="43">
        <f>$O1159-$M1159</f>
      </c>
      <c r="W1159" s="43">
        <f>$J1159+$K1159+$L1159</f>
      </c>
      <c r="X1159" s="43">
        <f>IF($O1159=0,0,$M1159/$O1159*100)</f>
      </c>
    </row>
    <row r="1160">
      <c r="A1160"/>
      <c r="B1160">
        <v>6</v>
      </c>
      <c r="C1160" s="43">
        <f>Jahr+13</f>
      </c>
      <c r="D1160">
        <v>13</v>
      </c>
      <c r="E1160" s="43">
        <f>IF(INDEX(ObjKaufJahr,6)=0,0,IF($C1160&lt;INDEX(ObjKaufJahr,6),0,IF($C1160&gt;INDEX(ObjKaufJahr,6),12,13-INDEX(ObjKaufMonat,6))))/12</f>
      </c>
      <c r="F1160" s="43">
        <f>SUMIFS(MlSumme,MlObj,6,MlJahr,$C1160)*(1-Leerstand/100)</f>
      </c>
      <c r="G1160" s="43">
        <f>INDEX(ObjLaufend,6)*(1+(Inflation)/100)^MAX(0,13)*$E1160</f>
      </c>
      <c r="H1160" s="43">
        <f>INDEX(ObjInstandBasis,6)*(1+(Inflation)/100)^MAX(0,13)*$E1160</f>
      </c>
      <c r="I1160" s="43">
        <f>SUMIFS(TilgZins,TilgObj,6,TilgJahr,$C1160)</f>
      </c>
      <c r="J1160" s="43">
        <f>SUMIFS(TilgTilgung,TilgObj,6,TilgJahr,$C1160)</f>
      </c>
      <c r="K1160" s="43">
        <f>SUMIFS(TilgSonder,TilgObj,6,TilgJahr,$C1160)</f>
      </c>
      <c r="L1160" s="43">
        <f>SUMIFS(TilgErsatz,TilgObj,6,TilgJahr,$C1160)</f>
      </c>
      <c r="M1160" s="43">
        <f>MAX(0,SUMIF(DarlObj,6,DarlBetrag)-SUMIFS(TilgTilgung,TilgObj,6,TilgJahr,"&lt;="&amp;$C1160)-SUMIFS(TilgSonder,TilgObj,6,TilgJahr,"&lt;="&amp;$C1160))</f>
      </c>
      <c r="N1160" s="43">
        <f>SUMIFS(TilgErsatz,TilgObj,6,TilgJahr,"&lt;="&amp;$C1160)+SUMIFS(TilgErtrag,TilgObj,6,TilgJahr,"&lt;="&amp;$C1160)</f>
      </c>
      <c r="O1160" s="43">
        <f>INDEX(ObjWertEff,6)*(1+(Wertsteigerung)/100)^MAX(0,13)</f>
      </c>
      <c r="P1160" s="43">
        <f>IF(OR(INDEX(ObjAfaDauer,6)=0,INDEX(ObjAfaJahr,6)=0,$C1160&lt;INDEX(ObjKaufJahr,6),$C1160&gt;=INDEX(ObjKaufJahr,6)+INDEX(ObjAfaDauer,6)),0,IF($C1160=INDEX(ObjKaufJahr,6),INDEX(ObjAfaJahr,6)*(13-INDEX(ObjKaufMonat,6))/12,INDEX(ObjAfaJahr,6)))</f>
      </c>
      <c r="Q1160" s="43">
        <f>$F1160-$G1160-$H1160-$I1160-$P1160</f>
      </c>
      <c r="R1160" s="43">
        <f>$Q1160*INDEX(ObjSteuersatz,6)/100</f>
      </c>
      <c r="S1160" s="43">
        <f>$I1160+$J1160+$K1160+$L1160</f>
      </c>
      <c r="T1160" s="43">
        <f>$F1160-$G1160-$H1160-$S1160</f>
      </c>
      <c r="U1160" s="43">
        <f>$T1160-$R1160</f>
      </c>
      <c r="V1160" s="43">
        <f>$O1160-$M1160</f>
      </c>
      <c r="W1160" s="43">
        <f>$J1160+$K1160+$L1160</f>
      </c>
      <c r="X1160" s="43">
        <f>IF($O1160=0,0,$M1160/$O1160*100)</f>
      </c>
    </row>
    <row r="1161">
      <c r="A1161"/>
      <c r="B1161">
        <v>6</v>
      </c>
      <c r="C1161" s="43">
        <f>Jahr+14</f>
      </c>
      <c r="D1161">
        <v>14</v>
      </c>
      <c r="E1161" s="43">
        <f>IF(INDEX(ObjKaufJahr,6)=0,0,IF($C1161&lt;INDEX(ObjKaufJahr,6),0,IF($C1161&gt;INDEX(ObjKaufJahr,6),12,13-INDEX(ObjKaufMonat,6))))/12</f>
      </c>
      <c r="F1161" s="43">
        <f>SUMIFS(MlSumme,MlObj,6,MlJahr,$C1161)*(1-Leerstand/100)</f>
      </c>
      <c r="G1161" s="43">
        <f>INDEX(ObjLaufend,6)*(1+(Inflation)/100)^MAX(0,14)*$E1161</f>
      </c>
      <c r="H1161" s="43">
        <f>INDEX(ObjInstandBasis,6)*(1+(Inflation)/100)^MAX(0,14)*$E1161</f>
      </c>
      <c r="I1161" s="43">
        <f>SUMIFS(TilgZins,TilgObj,6,TilgJahr,$C1161)</f>
      </c>
      <c r="J1161" s="43">
        <f>SUMIFS(TilgTilgung,TilgObj,6,TilgJahr,$C1161)</f>
      </c>
      <c r="K1161" s="43">
        <f>SUMIFS(TilgSonder,TilgObj,6,TilgJahr,$C1161)</f>
      </c>
      <c r="L1161" s="43">
        <f>SUMIFS(TilgErsatz,TilgObj,6,TilgJahr,$C1161)</f>
      </c>
      <c r="M1161" s="43">
        <f>MAX(0,SUMIF(DarlObj,6,DarlBetrag)-SUMIFS(TilgTilgung,TilgObj,6,TilgJahr,"&lt;="&amp;$C1161)-SUMIFS(TilgSonder,TilgObj,6,TilgJahr,"&lt;="&amp;$C1161))</f>
      </c>
      <c r="N1161" s="43">
        <f>SUMIFS(TilgErsatz,TilgObj,6,TilgJahr,"&lt;="&amp;$C1161)+SUMIFS(TilgErtrag,TilgObj,6,TilgJahr,"&lt;="&amp;$C1161)</f>
      </c>
      <c r="O1161" s="43">
        <f>INDEX(ObjWertEff,6)*(1+(Wertsteigerung)/100)^MAX(0,14)</f>
      </c>
      <c r="P1161" s="43">
        <f>IF(OR(INDEX(ObjAfaDauer,6)=0,INDEX(ObjAfaJahr,6)=0,$C1161&lt;INDEX(ObjKaufJahr,6),$C1161&gt;=INDEX(ObjKaufJahr,6)+INDEX(ObjAfaDauer,6)),0,IF($C1161=INDEX(ObjKaufJahr,6),INDEX(ObjAfaJahr,6)*(13-INDEX(ObjKaufMonat,6))/12,INDEX(ObjAfaJahr,6)))</f>
      </c>
      <c r="Q1161" s="43">
        <f>$F1161-$G1161-$H1161-$I1161-$P1161</f>
      </c>
      <c r="R1161" s="43">
        <f>$Q1161*INDEX(ObjSteuersatz,6)/100</f>
      </c>
      <c r="S1161" s="43">
        <f>$I1161+$J1161+$K1161+$L1161</f>
      </c>
      <c r="T1161" s="43">
        <f>$F1161-$G1161-$H1161-$S1161</f>
      </c>
      <c r="U1161" s="43">
        <f>$T1161-$R1161</f>
      </c>
      <c r="V1161" s="43">
        <f>$O1161-$M1161</f>
      </c>
      <c r="W1161" s="43">
        <f>$J1161+$K1161+$L1161</f>
      </c>
      <c r="X1161" s="43">
        <f>IF($O1161=0,0,$M1161/$O1161*100)</f>
      </c>
    </row>
    <row r="1162">
      <c r="A1162"/>
      <c r="B1162">
        <v>6</v>
      </c>
      <c r="C1162" s="43">
        <f>Jahr+15</f>
      </c>
      <c r="D1162">
        <v>15</v>
      </c>
      <c r="E1162" s="43">
        <f>IF(INDEX(ObjKaufJahr,6)=0,0,IF($C1162&lt;INDEX(ObjKaufJahr,6),0,IF($C1162&gt;INDEX(ObjKaufJahr,6),12,13-INDEX(ObjKaufMonat,6))))/12</f>
      </c>
      <c r="F1162" s="43">
        <f>SUMIFS(MlSumme,MlObj,6,MlJahr,$C1162)*(1-Leerstand/100)</f>
      </c>
      <c r="G1162" s="43">
        <f>INDEX(ObjLaufend,6)*(1+(Inflation)/100)^MAX(0,15)*$E1162</f>
      </c>
      <c r="H1162" s="43">
        <f>INDEX(ObjInstandBasis,6)*(1+(Inflation)/100)^MAX(0,15)*$E1162</f>
      </c>
      <c r="I1162" s="43">
        <f>SUMIFS(TilgZins,TilgObj,6,TilgJahr,$C1162)</f>
      </c>
      <c r="J1162" s="43">
        <f>SUMIFS(TilgTilgung,TilgObj,6,TilgJahr,$C1162)</f>
      </c>
      <c r="K1162" s="43">
        <f>SUMIFS(TilgSonder,TilgObj,6,TilgJahr,$C1162)</f>
      </c>
      <c r="L1162" s="43">
        <f>SUMIFS(TilgErsatz,TilgObj,6,TilgJahr,$C1162)</f>
      </c>
      <c r="M1162" s="43">
        <f>MAX(0,SUMIF(DarlObj,6,DarlBetrag)-SUMIFS(TilgTilgung,TilgObj,6,TilgJahr,"&lt;="&amp;$C1162)-SUMIFS(TilgSonder,TilgObj,6,TilgJahr,"&lt;="&amp;$C1162))</f>
      </c>
      <c r="N1162" s="43">
        <f>SUMIFS(TilgErsatz,TilgObj,6,TilgJahr,"&lt;="&amp;$C1162)+SUMIFS(TilgErtrag,TilgObj,6,TilgJahr,"&lt;="&amp;$C1162)</f>
      </c>
      <c r="O1162" s="43">
        <f>INDEX(ObjWertEff,6)*(1+(Wertsteigerung)/100)^MAX(0,15)</f>
      </c>
      <c r="P1162" s="43">
        <f>IF(OR(INDEX(ObjAfaDauer,6)=0,INDEX(ObjAfaJahr,6)=0,$C1162&lt;INDEX(ObjKaufJahr,6),$C1162&gt;=INDEX(ObjKaufJahr,6)+INDEX(ObjAfaDauer,6)),0,IF($C1162=INDEX(ObjKaufJahr,6),INDEX(ObjAfaJahr,6)*(13-INDEX(ObjKaufMonat,6))/12,INDEX(ObjAfaJahr,6)))</f>
      </c>
      <c r="Q1162" s="43">
        <f>$F1162-$G1162-$H1162-$I1162-$P1162</f>
      </c>
      <c r="R1162" s="43">
        <f>$Q1162*INDEX(ObjSteuersatz,6)/100</f>
      </c>
      <c r="S1162" s="43">
        <f>$I1162+$J1162+$K1162+$L1162</f>
      </c>
      <c r="T1162" s="43">
        <f>$F1162-$G1162-$H1162-$S1162</f>
      </c>
      <c r="U1162" s="43">
        <f>$T1162-$R1162</f>
      </c>
      <c r="V1162" s="43">
        <f>$O1162-$M1162</f>
      </c>
      <c r="W1162" s="43">
        <f>$J1162+$K1162+$L1162</f>
      </c>
      <c r="X1162" s="43">
        <f>IF($O1162=0,0,$M1162/$O1162*100)</f>
      </c>
    </row>
    <row r="1163">
      <c r="A1163"/>
      <c r="B1163">
        <v>6</v>
      </c>
      <c r="C1163" s="43">
        <f>Jahr+16</f>
      </c>
      <c r="D1163">
        <v>16</v>
      </c>
      <c r="E1163" s="43">
        <f>IF(INDEX(ObjKaufJahr,6)=0,0,IF($C1163&lt;INDEX(ObjKaufJahr,6),0,IF($C1163&gt;INDEX(ObjKaufJahr,6),12,13-INDEX(ObjKaufMonat,6))))/12</f>
      </c>
      <c r="F1163" s="43">
        <f>SUMIFS(MlSumme,MlObj,6,MlJahr,$C1163)*(1-Leerstand/100)</f>
      </c>
      <c r="G1163" s="43">
        <f>INDEX(ObjLaufend,6)*(1+(Inflation)/100)^MAX(0,16)*$E1163</f>
      </c>
      <c r="H1163" s="43">
        <f>INDEX(ObjInstandBasis,6)*(1+(Inflation)/100)^MAX(0,16)*$E1163</f>
      </c>
      <c r="I1163" s="43">
        <f>SUMIFS(TilgZins,TilgObj,6,TilgJahr,$C1163)</f>
      </c>
      <c r="J1163" s="43">
        <f>SUMIFS(TilgTilgung,TilgObj,6,TilgJahr,$C1163)</f>
      </c>
      <c r="K1163" s="43">
        <f>SUMIFS(TilgSonder,TilgObj,6,TilgJahr,$C1163)</f>
      </c>
      <c r="L1163" s="43">
        <f>SUMIFS(TilgErsatz,TilgObj,6,TilgJahr,$C1163)</f>
      </c>
      <c r="M1163" s="43">
        <f>MAX(0,SUMIF(DarlObj,6,DarlBetrag)-SUMIFS(TilgTilgung,TilgObj,6,TilgJahr,"&lt;="&amp;$C1163)-SUMIFS(TilgSonder,TilgObj,6,TilgJahr,"&lt;="&amp;$C1163))</f>
      </c>
      <c r="N1163" s="43">
        <f>SUMIFS(TilgErsatz,TilgObj,6,TilgJahr,"&lt;="&amp;$C1163)+SUMIFS(TilgErtrag,TilgObj,6,TilgJahr,"&lt;="&amp;$C1163)</f>
      </c>
      <c r="O1163" s="43">
        <f>INDEX(ObjWertEff,6)*(1+(Wertsteigerung)/100)^MAX(0,16)</f>
      </c>
      <c r="P1163" s="43">
        <f>IF(OR(INDEX(ObjAfaDauer,6)=0,INDEX(ObjAfaJahr,6)=0,$C1163&lt;INDEX(ObjKaufJahr,6),$C1163&gt;=INDEX(ObjKaufJahr,6)+INDEX(ObjAfaDauer,6)),0,IF($C1163=INDEX(ObjKaufJahr,6),INDEX(ObjAfaJahr,6)*(13-INDEX(ObjKaufMonat,6))/12,INDEX(ObjAfaJahr,6)))</f>
      </c>
      <c r="Q1163" s="43">
        <f>$F1163-$G1163-$H1163-$I1163-$P1163</f>
      </c>
      <c r="R1163" s="43">
        <f>$Q1163*INDEX(ObjSteuersatz,6)/100</f>
      </c>
      <c r="S1163" s="43">
        <f>$I1163+$J1163+$K1163+$L1163</f>
      </c>
      <c r="T1163" s="43">
        <f>$F1163-$G1163-$H1163-$S1163</f>
      </c>
      <c r="U1163" s="43">
        <f>$T1163-$R1163</f>
      </c>
      <c r="V1163" s="43">
        <f>$O1163-$M1163</f>
      </c>
      <c r="W1163" s="43">
        <f>$J1163+$K1163+$L1163</f>
      </c>
      <c r="X1163" s="43">
        <f>IF($O1163=0,0,$M1163/$O1163*100)</f>
      </c>
    </row>
    <row r="1164">
      <c r="A1164"/>
      <c r="B1164">
        <v>6</v>
      </c>
      <c r="C1164" s="43">
        <f>Jahr+17</f>
      </c>
      <c r="D1164">
        <v>17</v>
      </c>
      <c r="E1164" s="43">
        <f>IF(INDEX(ObjKaufJahr,6)=0,0,IF($C1164&lt;INDEX(ObjKaufJahr,6),0,IF($C1164&gt;INDEX(ObjKaufJahr,6),12,13-INDEX(ObjKaufMonat,6))))/12</f>
      </c>
      <c r="F1164" s="43">
        <f>SUMIFS(MlSumme,MlObj,6,MlJahr,$C1164)*(1-Leerstand/100)</f>
      </c>
      <c r="G1164" s="43">
        <f>INDEX(ObjLaufend,6)*(1+(Inflation)/100)^MAX(0,17)*$E1164</f>
      </c>
      <c r="H1164" s="43">
        <f>INDEX(ObjInstandBasis,6)*(1+(Inflation)/100)^MAX(0,17)*$E1164</f>
      </c>
      <c r="I1164" s="43">
        <f>SUMIFS(TilgZins,TilgObj,6,TilgJahr,$C1164)</f>
      </c>
      <c r="J1164" s="43">
        <f>SUMIFS(TilgTilgung,TilgObj,6,TilgJahr,$C1164)</f>
      </c>
      <c r="K1164" s="43">
        <f>SUMIFS(TilgSonder,TilgObj,6,TilgJahr,$C1164)</f>
      </c>
      <c r="L1164" s="43">
        <f>SUMIFS(TilgErsatz,TilgObj,6,TilgJahr,$C1164)</f>
      </c>
      <c r="M1164" s="43">
        <f>MAX(0,SUMIF(DarlObj,6,DarlBetrag)-SUMIFS(TilgTilgung,TilgObj,6,TilgJahr,"&lt;="&amp;$C1164)-SUMIFS(TilgSonder,TilgObj,6,TilgJahr,"&lt;="&amp;$C1164))</f>
      </c>
      <c r="N1164" s="43">
        <f>SUMIFS(TilgErsatz,TilgObj,6,TilgJahr,"&lt;="&amp;$C1164)+SUMIFS(TilgErtrag,TilgObj,6,TilgJahr,"&lt;="&amp;$C1164)</f>
      </c>
      <c r="O1164" s="43">
        <f>INDEX(ObjWertEff,6)*(1+(Wertsteigerung)/100)^MAX(0,17)</f>
      </c>
      <c r="P1164" s="43">
        <f>IF(OR(INDEX(ObjAfaDauer,6)=0,INDEX(ObjAfaJahr,6)=0,$C1164&lt;INDEX(ObjKaufJahr,6),$C1164&gt;=INDEX(ObjKaufJahr,6)+INDEX(ObjAfaDauer,6)),0,IF($C1164=INDEX(ObjKaufJahr,6),INDEX(ObjAfaJahr,6)*(13-INDEX(ObjKaufMonat,6))/12,INDEX(ObjAfaJahr,6)))</f>
      </c>
      <c r="Q1164" s="43">
        <f>$F1164-$G1164-$H1164-$I1164-$P1164</f>
      </c>
      <c r="R1164" s="43">
        <f>$Q1164*INDEX(ObjSteuersatz,6)/100</f>
      </c>
      <c r="S1164" s="43">
        <f>$I1164+$J1164+$K1164+$L1164</f>
      </c>
      <c r="T1164" s="43">
        <f>$F1164-$G1164-$H1164-$S1164</f>
      </c>
      <c r="U1164" s="43">
        <f>$T1164-$R1164</f>
      </c>
      <c r="V1164" s="43">
        <f>$O1164-$M1164</f>
      </c>
      <c r="W1164" s="43">
        <f>$J1164+$K1164+$L1164</f>
      </c>
      <c r="X1164" s="43">
        <f>IF($O1164=0,0,$M1164/$O1164*100)</f>
      </c>
    </row>
    <row r="1165">
      <c r="A1165"/>
      <c r="B1165">
        <v>6</v>
      </c>
      <c r="C1165" s="43">
        <f>Jahr+18</f>
      </c>
      <c r="D1165">
        <v>18</v>
      </c>
      <c r="E1165" s="43">
        <f>IF(INDEX(ObjKaufJahr,6)=0,0,IF($C1165&lt;INDEX(ObjKaufJahr,6),0,IF($C1165&gt;INDEX(ObjKaufJahr,6),12,13-INDEX(ObjKaufMonat,6))))/12</f>
      </c>
      <c r="F1165" s="43">
        <f>SUMIFS(MlSumme,MlObj,6,MlJahr,$C1165)*(1-Leerstand/100)</f>
      </c>
      <c r="G1165" s="43">
        <f>INDEX(ObjLaufend,6)*(1+(Inflation)/100)^MAX(0,18)*$E1165</f>
      </c>
      <c r="H1165" s="43">
        <f>INDEX(ObjInstandBasis,6)*(1+(Inflation)/100)^MAX(0,18)*$E1165</f>
      </c>
      <c r="I1165" s="43">
        <f>SUMIFS(TilgZins,TilgObj,6,TilgJahr,$C1165)</f>
      </c>
      <c r="J1165" s="43">
        <f>SUMIFS(TilgTilgung,TilgObj,6,TilgJahr,$C1165)</f>
      </c>
      <c r="K1165" s="43">
        <f>SUMIFS(TilgSonder,TilgObj,6,TilgJahr,$C1165)</f>
      </c>
      <c r="L1165" s="43">
        <f>SUMIFS(TilgErsatz,TilgObj,6,TilgJahr,$C1165)</f>
      </c>
      <c r="M1165" s="43">
        <f>MAX(0,SUMIF(DarlObj,6,DarlBetrag)-SUMIFS(TilgTilgung,TilgObj,6,TilgJahr,"&lt;="&amp;$C1165)-SUMIFS(TilgSonder,TilgObj,6,TilgJahr,"&lt;="&amp;$C1165))</f>
      </c>
      <c r="N1165" s="43">
        <f>SUMIFS(TilgErsatz,TilgObj,6,TilgJahr,"&lt;="&amp;$C1165)+SUMIFS(TilgErtrag,TilgObj,6,TilgJahr,"&lt;="&amp;$C1165)</f>
      </c>
      <c r="O1165" s="43">
        <f>INDEX(ObjWertEff,6)*(1+(Wertsteigerung)/100)^MAX(0,18)</f>
      </c>
      <c r="P1165" s="43">
        <f>IF(OR(INDEX(ObjAfaDauer,6)=0,INDEX(ObjAfaJahr,6)=0,$C1165&lt;INDEX(ObjKaufJahr,6),$C1165&gt;=INDEX(ObjKaufJahr,6)+INDEX(ObjAfaDauer,6)),0,IF($C1165=INDEX(ObjKaufJahr,6),INDEX(ObjAfaJahr,6)*(13-INDEX(ObjKaufMonat,6))/12,INDEX(ObjAfaJahr,6)))</f>
      </c>
      <c r="Q1165" s="43">
        <f>$F1165-$G1165-$H1165-$I1165-$P1165</f>
      </c>
      <c r="R1165" s="43">
        <f>$Q1165*INDEX(ObjSteuersatz,6)/100</f>
      </c>
      <c r="S1165" s="43">
        <f>$I1165+$J1165+$K1165+$L1165</f>
      </c>
      <c r="T1165" s="43">
        <f>$F1165-$G1165-$H1165-$S1165</f>
      </c>
      <c r="U1165" s="43">
        <f>$T1165-$R1165</f>
      </c>
      <c r="V1165" s="43">
        <f>$O1165-$M1165</f>
      </c>
      <c r="W1165" s="43">
        <f>$J1165+$K1165+$L1165</f>
      </c>
      <c r="X1165" s="43">
        <f>IF($O1165=0,0,$M1165/$O1165*100)</f>
      </c>
    </row>
    <row r="1166">
      <c r="A1166"/>
      <c r="B1166">
        <v>6</v>
      </c>
      <c r="C1166" s="43">
        <f>Jahr+19</f>
      </c>
      <c r="D1166">
        <v>19</v>
      </c>
      <c r="E1166" s="43">
        <f>IF(INDEX(ObjKaufJahr,6)=0,0,IF($C1166&lt;INDEX(ObjKaufJahr,6),0,IF($C1166&gt;INDEX(ObjKaufJahr,6),12,13-INDEX(ObjKaufMonat,6))))/12</f>
      </c>
      <c r="F1166" s="43">
        <f>SUMIFS(MlSumme,MlObj,6,MlJahr,$C1166)*(1-Leerstand/100)</f>
      </c>
      <c r="G1166" s="43">
        <f>INDEX(ObjLaufend,6)*(1+(Inflation)/100)^MAX(0,19)*$E1166</f>
      </c>
      <c r="H1166" s="43">
        <f>INDEX(ObjInstandBasis,6)*(1+(Inflation)/100)^MAX(0,19)*$E1166</f>
      </c>
      <c r="I1166" s="43">
        <f>SUMIFS(TilgZins,TilgObj,6,TilgJahr,$C1166)</f>
      </c>
      <c r="J1166" s="43">
        <f>SUMIFS(TilgTilgung,TilgObj,6,TilgJahr,$C1166)</f>
      </c>
      <c r="K1166" s="43">
        <f>SUMIFS(TilgSonder,TilgObj,6,TilgJahr,$C1166)</f>
      </c>
      <c r="L1166" s="43">
        <f>SUMIFS(TilgErsatz,TilgObj,6,TilgJahr,$C1166)</f>
      </c>
      <c r="M1166" s="43">
        <f>MAX(0,SUMIF(DarlObj,6,DarlBetrag)-SUMIFS(TilgTilgung,TilgObj,6,TilgJahr,"&lt;="&amp;$C1166)-SUMIFS(TilgSonder,TilgObj,6,TilgJahr,"&lt;="&amp;$C1166))</f>
      </c>
      <c r="N1166" s="43">
        <f>SUMIFS(TilgErsatz,TilgObj,6,TilgJahr,"&lt;="&amp;$C1166)+SUMIFS(TilgErtrag,TilgObj,6,TilgJahr,"&lt;="&amp;$C1166)</f>
      </c>
      <c r="O1166" s="43">
        <f>INDEX(ObjWertEff,6)*(1+(Wertsteigerung)/100)^MAX(0,19)</f>
      </c>
      <c r="P1166" s="43">
        <f>IF(OR(INDEX(ObjAfaDauer,6)=0,INDEX(ObjAfaJahr,6)=0,$C1166&lt;INDEX(ObjKaufJahr,6),$C1166&gt;=INDEX(ObjKaufJahr,6)+INDEX(ObjAfaDauer,6)),0,IF($C1166=INDEX(ObjKaufJahr,6),INDEX(ObjAfaJahr,6)*(13-INDEX(ObjKaufMonat,6))/12,INDEX(ObjAfaJahr,6)))</f>
      </c>
      <c r="Q1166" s="43">
        <f>$F1166-$G1166-$H1166-$I1166-$P1166</f>
      </c>
      <c r="R1166" s="43">
        <f>$Q1166*INDEX(ObjSteuersatz,6)/100</f>
      </c>
      <c r="S1166" s="43">
        <f>$I1166+$J1166+$K1166+$L1166</f>
      </c>
      <c r="T1166" s="43">
        <f>$F1166-$G1166-$H1166-$S1166</f>
      </c>
      <c r="U1166" s="43">
        <f>$T1166-$R1166</f>
      </c>
      <c r="V1166" s="43">
        <f>$O1166-$M1166</f>
      </c>
      <c r="W1166" s="43">
        <f>$J1166+$K1166+$L1166</f>
      </c>
      <c r="X1166" s="43">
        <f>IF($O1166=0,0,$M1166/$O1166*100)</f>
      </c>
    </row>
    <row r="1167">
      <c r="A1167"/>
      <c r="B1167">
        <v>6</v>
      </c>
      <c r="C1167" s="43">
        <f>Jahr+20</f>
      </c>
      <c r="D1167">
        <v>20</v>
      </c>
      <c r="E1167" s="43">
        <f>IF(INDEX(ObjKaufJahr,6)=0,0,IF($C1167&lt;INDEX(ObjKaufJahr,6),0,IF($C1167&gt;INDEX(ObjKaufJahr,6),12,13-INDEX(ObjKaufMonat,6))))/12</f>
      </c>
      <c r="F1167" s="43">
        <f>SUMIFS(MlSumme,MlObj,6,MlJahr,$C1167)*(1-Leerstand/100)</f>
      </c>
      <c r="G1167" s="43">
        <f>INDEX(ObjLaufend,6)*(1+(Inflation)/100)^MAX(0,20)*$E1167</f>
      </c>
      <c r="H1167" s="43">
        <f>INDEX(ObjInstandBasis,6)*(1+(Inflation)/100)^MAX(0,20)*$E1167</f>
      </c>
      <c r="I1167" s="43">
        <f>SUMIFS(TilgZins,TilgObj,6,TilgJahr,$C1167)</f>
      </c>
      <c r="J1167" s="43">
        <f>SUMIFS(TilgTilgung,TilgObj,6,TilgJahr,$C1167)</f>
      </c>
      <c r="K1167" s="43">
        <f>SUMIFS(TilgSonder,TilgObj,6,TilgJahr,$C1167)</f>
      </c>
      <c r="L1167" s="43">
        <f>SUMIFS(TilgErsatz,TilgObj,6,TilgJahr,$C1167)</f>
      </c>
      <c r="M1167" s="43">
        <f>MAX(0,SUMIF(DarlObj,6,DarlBetrag)-SUMIFS(TilgTilgung,TilgObj,6,TilgJahr,"&lt;="&amp;$C1167)-SUMIFS(TilgSonder,TilgObj,6,TilgJahr,"&lt;="&amp;$C1167))</f>
      </c>
      <c r="N1167" s="43">
        <f>SUMIFS(TilgErsatz,TilgObj,6,TilgJahr,"&lt;="&amp;$C1167)+SUMIFS(TilgErtrag,TilgObj,6,TilgJahr,"&lt;="&amp;$C1167)</f>
      </c>
      <c r="O1167" s="43">
        <f>INDEX(ObjWertEff,6)*(1+(Wertsteigerung)/100)^MAX(0,20)</f>
      </c>
      <c r="P1167" s="43">
        <f>IF(OR(INDEX(ObjAfaDauer,6)=0,INDEX(ObjAfaJahr,6)=0,$C1167&lt;INDEX(ObjKaufJahr,6),$C1167&gt;=INDEX(ObjKaufJahr,6)+INDEX(ObjAfaDauer,6)),0,IF($C1167=INDEX(ObjKaufJahr,6),INDEX(ObjAfaJahr,6)*(13-INDEX(ObjKaufMonat,6))/12,INDEX(ObjAfaJahr,6)))</f>
      </c>
      <c r="Q1167" s="43">
        <f>$F1167-$G1167-$H1167-$I1167-$P1167</f>
      </c>
      <c r="R1167" s="43">
        <f>$Q1167*INDEX(ObjSteuersatz,6)/100</f>
      </c>
      <c r="S1167" s="43">
        <f>$I1167+$J1167+$K1167+$L1167</f>
      </c>
      <c r="T1167" s="43">
        <f>$F1167-$G1167-$H1167-$S1167</f>
      </c>
      <c r="U1167" s="43">
        <f>$T1167-$R1167</f>
      </c>
      <c r="V1167" s="43">
        <f>$O1167-$M1167</f>
      </c>
      <c r="W1167" s="43">
        <f>$J1167+$K1167+$L1167</f>
      </c>
      <c r="X1167" s="43">
        <f>IF($O1167=0,0,$M1167/$O1167*100)</f>
      </c>
    </row>
    <row r="1168">
      <c r="A1168"/>
      <c r="B1168">
        <v>6</v>
      </c>
      <c r="C1168" s="43">
        <f>Jahr+21</f>
      </c>
      <c r="D1168">
        <v>21</v>
      </c>
      <c r="E1168" s="43">
        <f>IF(INDEX(ObjKaufJahr,6)=0,0,IF($C1168&lt;INDEX(ObjKaufJahr,6),0,IF($C1168&gt;INDEX(ObjKaufJahr,6),12,13-INDEX(ObjKaufMonat,6))))/12</f>
      </c>
      <c r="F1168" s="43">
        <f>SUMIFS(MlSumme,MlObj,6,MlJahr,$C1168)*(1-Leerstand/100)</f>
      </c>
      <c r="G1168" s="43">
        <f>INDEX(ObjLaufend,6)*(1+(Inflation)/100)^MAX(0,21)*$E1168</f>
      </c>
      <c r="H1168" s="43">
        <f>INDEX(ObjInstandBasis,6)*(1+(Inflation)/100)^MAX(0,21)*$E1168</f>
      </c>
      <c r="I1168" s="43">
        <f>SUMIFS(TilgZins,TilgObj,6,TilgJahr,$C1168)</f>
      </c>
      <c r="J1168" s="43">
        <f>SUMIFS(TilgTilgung,TilgObj,6,TilgJahr,$C1168)</f>
      </c>
      <c r="K1168" s="43">
        <f>SUMIFS(TilgSonder,TilgObj,6,TilgJahr,$C1168)</f>
      </c>
      <c r="L1168" s="43">
        <f>SUMIFS(TilgErsatz,TilgObj,6,TilgJahr,$C1168)</f>
      </c>
      <c r="M1168" s="43">
        <f>MAX(0,SUMIF(DarlObj,6,DarlBetrag)-SUMIFS(TilgTilgung,TilgObj,6,TilgJahr,"&lt;="&amp;$C1168)-SUMIFS(TilgSonder,TilgObj,6,TilgJahr,"&lt;="&amp;$C1168))</f>
      </c>
      <c r="N1168" s="43">
        <f>SUMIFS(TilgErsatz,TilgObj,6,TilgJahr,"&lt;="&amp;$C1168)+SUMIFS(TilgErtrag,TilgObj,6,TilgJahr,"&lt;="&amp;$C1168)</f>
      </c>
      <c r="O1168" s="43">
        <f>INDEX(ObjWertEff,6)*(1+(Wertsteigerung)/100)^MAX(0,21)</f>
      </c>
      <c r="P1168" s="43">
        <f>IF(OR(INDEX(ObjAfaDauer,6)=0,INDEX(ObjAfaJahr,6)=0,$C1168&lt;INDEX(ObjKaufJahr,6),$C1168&gt;=INDEX(ObjKaufJahr,6)+INDEX(ObjAfaDauer,6)),0,IF($C1168=INDEX(ObjKaufJahr,6),INDEX(ObjAfaJahr,6)*(13-INDEX(ObjKaufMonat,6))/12,INDEX(ObjAfaJahr,6)))</f>
      </c>
      <c r="Q1168" s="43">
        <f>$F1168-$G1168-$H1168-$I1168-$P1168</f>
      </c>
      <c r="R1168" s="43">
        <f>$Q1168*INDEX(ObjSteuersatz,6)/100</f>
      </c>
      <c r="S1168" s="43">
        <f>$I1168+$J1168+$K1168+$L1168</f>
      </c>
      <c r="T1168" s="43">
        <f>$F1168-$G1168-$H1168-$S1168</f>
      </c>
      <c r="U1168" s="43">
        <f>$T1168-$R1168</f>
      </c>
      <c r="V1168" s="43">
        <f>$O1168-$M1168</f>
      </c>
      <c r="W1168" s="43">
        <f>$J1168+$K1168+$L1168</f>
      </c>
      <c r="X1168" s="43">
        <f>IF($O1168=0,0,$M1168/$O1168*100)</f>
      </c>
    </row>
    <row r="1169">
      <c r="A1169"/>
      <c r="B1169">
        <v>6</v>
      </c>
      <c r="C1169" s="43">
        <f>Jahr+22</f>
      </c>
      <c r="D1169">
        <v>22</v>
      </c>
      <c r="E1169" s="43">
        <f>IF(INDEX(ObjKaufJahr,6)=0,0,IF($C1169&lt;INDEX(ObjKaufJahr,6),0,IF($C1169&gt;INDEX(ObjKaufJahr,6),12,13-INDEX(ObjKaufMonat,6))))/12</f>
      </c>
      <c r="F1169" s="43">
        <f>SUMIFS(MlSumme,MlObj,6,MlJahr,$C1169)*(1-Leerstand/100)</f>
      </c>
      <c r="G1169" s="43">
        <f>INDEX(ObjLaufend,6)*(1+(Inflation)/100)^MAX(0,22)*$E1169</f>
      </c>
      <c r="H1169" s="43">
        <f>INDEX(ObjInstandBasis,6)*(1+(Inflation)/100)^MAX(0,22)*$E1169</f>
      </c>
      <c r="I1169" s="43">
        <f>SUMIFS(TilgZins,TilgObj,6,TilgJahr,$C1169)</f>
      </c>
      <c r="J1169" s="43">
        <f>SUMIFS(TilgTilgung,TilgObj,6,TilgJahr,$C1169)</f>
      </c>
      <c r="K1169" s="43">
        <f>SUMIFS(TilgSonder,TilgObj,6,TilgJahr,$C1169)</f>
      </c>
      <c r="L1169" s="43">
        <f>SUMIFS(TilgErsatz,TilgObj,6,TilgJahr,$C1169)</f>
      </c>
      <c r="M1169" s="43">
        <f>MAX(0,SUMIF(DarlObj,6,DarlBetrag)-SUMIFS(TilgTilgung,TilgObj,6,TilgJahr,"&lt;="&amp;$C1169)-SUMIFS(TilgSonder,TilgObj,6,TilgJahr,"&lt;="&amp;$C1169))</f>
      </c>
      <c r="N1169" s="43">
        <f>SUMIFS(TilgErsatz,TilgObj,6,TilgJahr,"&lt;="&amp;$C1169)+SUMIFS(TilgErtrag,TilgObj,6,TilgJahr,"&lt;="&amp;$C1169)</f>
      </c>
      <c r="O1169" s="43">
        <f>INDEX(ObjWertEff,6)*(1+(Wertsteigerung)/100)^MAX(0,22)</f>
      </c>
      <c r="P1169" s="43">
        <f>IF(OR(INDEX(ObjAfaDauer,6)=0,INDEX(ObjAfaJahr,6)=0,$C1169&lt;INDEX(ObjKaufJahr,6),$C1169&gt;=INDEX(ObjKaufJahr,6)+INDEX(ObjAfaDauer,6)),0,IF($C1169=INDEX(ObjKaufJahr,6),INDEX(ObjAfaJahr,6)*(13-INDEX(ObjKaufMonat,6))/12,INDEX(ObjAfaJahr,6)))</f>
      </c>
      <c r="Q1169" s="43">
        <f>$F1169-$G1169-$H1169-$I1169-$P1169</f>
      </c>
      <c r="R1169" s="43">
        <f>$Q1169*INDEX(ObjSteuersatz,6)/100</f>
      </c>
      <c r="S1169" s="43">
        <f>$I1169+$J1169+$K1169+$L1169</f>
      </c>
      <c r="T1169" s="43">
        <f>$F1169-$G1169-$H1169-$S1169</f>
      </c>
      <c r="U1169" s="43">
        <f>$T1169-$R1169</f>
      </c>
      <c r="V1169" s="43">
        <f>$O1169-$M1169</f>
      </c>
      <c r="W1169" s="43">
        <f>$J1169+$K1169+$L1169</f>
      </c>
      <c r="X1169" s="43">
        <f>IF($O1169=0,0,$M1169/$O1169*100)</f>
      </c>
    </row>
    <row r="1170">
      <c r="A1170"/>
      <c r="B1170">
        <v>6</v>
      </c>
      <c r="C1170" s="43">
        <f>Jahr+23</f>
      </c>
      <c r="D1170">
        <v>23</v>
      </c>
      <c r="E1170" s="43">
        <f>IF(INDEX(ObjKaufJahr,6)=0,0,IF($C1170&lt;INDEX(ObjKaufJahr,6),0,IF($C1170&gt;INDEX(ObjKaufJahr,6),12,13-INDEX(ObjKaufMonat,6))))/12</f>
      </c>
      <c r="F1170" s="43">
        <f>SUMIFS(MlSumme,MlObj,6,MlJahr,$C1170)*(1-Leerstand/100)</f>
      </c>
      <c r="G1170" s="43">
        <f>INDEX(ObjLaufend,6)*(1+(Inflation)/100)^MAX(0,23)*$E1170</f>
      </c>
      <c r="H1170" s="43">
        <f>INDEX(ObjInstandBasis,6)*(1+(Inflation)/100)^MAX(0,23)*$E1170</f>
      </c>
      <c r="I1170" s="43">
        <f>SUMIFS(TilgZins,TilgObj,6,TilgJahr,$C1170)</f>
      </c>
      <c r="J1170" s="43">
        <f>SUMIFS(TilgTilgung,TilgObj,6,TilgJahr,$C1170)</f>
      </c>
      <c r="K1170" s="43">
        <f>SUMIFS(TilgSonder,TilgObj,6,TilgJahr,$C1170)</f>
      </c>
      <c r="L1170" s="43">
        <f>SUMIFS(TilgErsatz,TilgObj,6,TilgJahr,$C1170)</f>
      </c>
      <c r="M1170" s="43">
        <f>MAX(0,SUMIF(DarlObj,6,DarlBetrag)-SUMIFS(TilgTilgung,TilgObj,6,TilgJahr,"&lt;="&amp;$C1170)-SUMIFS(TilgSonder,TilgObj,6,TilgJahr,"&lt;="&amp;$C1170))</f>
      </c>
      <c r="N1170" s="43">
        <f>SUMIFS(TilgErsatz,TilgObj,6,TilgJahr,"&lt;="&amp;$C1170)+SUMIFS(TilgErtrag,TilgObj,6,TilgJahr,"&lt;="&amp;$C1170)</f>
      </c>
      <c r="O1170" s="43">
        <f>INDEX(ObjWertEff,6)*(1+(Wertsteigerung)/100)^MAX(0,23)</f>
      </c>
      <c r="P1170" s="43">
        <f>IF(OR(INDEX(ObjAfaDauer,6)=0,INDEX(ObjAfaJahr,6)=0,$C1170&lt;INDEX(ObjKaufJahr,6),$C1170&gt;=INDEX(ObjKaufJahr,6)+INDEX(ObjAfaDauer,6)),0,IF($C1170=INDEX(ObjKaufJahr,6),INDEX(ObjAfaJahr,6)*(13-INDEX(ObjKaufMonat,6))/12,INDEX(ObjAfaJahr,6)))</f>
      </c>
      <c r="Q1170" s="43">
        <f>$F1170-$G1170-$H1170-$I1170-$P1170</f>
      </c>
      <c r="R1170" s="43">
        <f>$Q1170*INDEX(ObjSteuersatz,6)/100</f>
      </c>
      <c r="S1170" s="43">
        <f>$I1170+$J1170+$K1170+$L1170</f>
      </c>
      <c r="T1170" s="43">
        <f>$F1170-$G1170-$H1170-$S1170</f>
      </c>
      <c r="U1170" s="43">
        <f>$T1170-$R1170</f>
      </c>
      <c r="V1170" s="43">
        <f>$O1170-$M1170</f>
      </c>
      <c r="W1170" s="43">
        <f>$J1170+$K1170+$L1170</f>
      </c>
      <c r="X1170" s="43">
        <f>IF($O1170=0,0,$M1170/$O1170*100)</f>
      </c>
    </row>
    <row r="1171">
      <c r="A1171"/>
      <c r="B1171">
        <v>6</v>
      </c>
      <c r="C1171" s="43">
        <f>Jahr+24</f>
      </c>
      <c r="D1171">
        <v>24</v>
      </c>
      <c r="E1171" s="43">
        <f>IF(INDEX(ObjKaufJahr,6)=0,0,IF($C1171&lt;INDEX(ObjKaufJahr,6),0,IF($C1171&gt;INDEX(ObjKaufJahr,6),12,13-INDEX(ObjKaufMonat,6))))/12</f>
      </c>
      <c r="F1171" s="43">
        <f>SUMIFS(MlSumme,MlObj,6,MlJahr,$C1171)*(1-Leerstand/100)</f>
      </c>
      <c r="G1171" s="43">
        <f>INDEX(ObjLaufend,6)*(1+(Inflation)/100)^MAX(0,24)*$E1171</f>
      </c>
      <c r="H1171" s="43">
        <f>INDEX(ObjInstandBasis,6)*(1+(Inflation)/100)^MAX(0,24)*$E1171</f>
      </c>
      <c r="I1171" s="43">
        <f>SUMIFS(TilgZins,TilgObj,6,TilgJahr,$C1171)</f>
      </c>
      <c r="J1171" s="43">
        <f>SUMIFS(TilgTilgung,TilgObj,6,TilgJahr,$C1171)</f>
      </c>
      <c r="K1171" s="43">
        <f>SUMIFS(TilgSonder,TilgObj,6,TilgJahr,$C1171)</f>
      </c>
      <c r="L1171" s="43">
        <f>SUMIFS(TilgErsatz,TilgObj,6,TilgJahr,$C1171)</f>
      </c>
      <c r="M1171" s="43">
        <f>MAX(0,SUMIF(DarlObj,6,DarlBetrag)-SUMIFS(TilgTilgung,TilgObj,6,TilgJahr,"&lt;="&amp;$C1171)-SUMIFS(TilgSonder,TilgObj,6,TilgJahr,"&lt;="&amp;$C1171))</f>
      </c>
      <c r="N1171" s="43">
        <f>SUMIFS(TilgErsatz,TilgObj,6,TilgJahr,"&lt;="&amp;$C1171)+SUMIFS(TilgErtrag,TilgObj,6,TilgJahr,"&lt;="&amp;$C1171)</f>
      </c>
      <c r="O1171" s="43">
        <f>INDEX(ObjWertEff,6)*(1+(Wertsteigerung)/100)^MAX(0,24)</f>
      </c>
      <c r="P1171" s="43">
        <f>IF(OR(INDEX(ObjAfaDauer,6)=0,INDEX(ObjAfaJahr,6)=0,$C1171&lt;INDEX(ObjKaufJahr,6),$C1171&gt;=INDEX(ObjKaufJahr,6)+INDEX(ObjAfaDauer,6)),0,IF($C1171=INDEX(ObjKaufJahr,6),INDEX(ObjAfaJahr,6)*(13-INDEX(ObjKaufMonat,6))/12,INDEX(ObjAfaJahr,6)))</f>
      </c>
      <c r="Q1171" s="43">
        <f>$F1171-$G1171-$H1171-$I1171-$P1171</f>
      </c>
      <c r="R1171" s="43">
        <f>$Q1171*INDEX(ObjSteuersatz,6)/100</f>
      </c>
      <c r="S1171" s="43">
        <f>$I1171+$J1171+$K1171+$L1171</f>
      </c>
      <c r="T1171" s="43">
        <f>$F1171-$G1171-$H1171-$S1171</f>
      </c>
      <c r="U1171" s="43">
        <f>$T1171-$R1171</f>
      </c>
      <c r="V1171" s="43">
        <f>$O1171-$M1171</f>
      </c>
      <c r="W1171" s="43">
        <f>$J1171+$K1171+$L1171</f>
      </c>
      <c r="X1171" s="43">
        <f>IF($O1171=0,0,$M1171/$O1171*100)</f>
      </c>
    </row>
    <row r="1172">
      <c r="A1172"/>
      <c r="B1172">
        <v>6</v>
      </c>
      <c r="C1172" s="43">
        <f>Jahr+25</f>
      </c>
      <c r="D1172">
        <v>25</v>
      </c>
      <c r="E1172" s="43">
        <f>IF(INDEX(ObjKaufJahr,6)=0,0,IF($C1172&lt;INDEX(ObjKaufJahr,6),0,IF($C1172&gt;INDEX(ObjKaufJahr,6),12,13-INDEX(ObjKaufMonat,6))))/12</f>
      </c>
      <c r="F1172" s="43">
        <f>SUMIFS(MlSumme,MlObj,6,MlJahr,$C1172)*(1-Leerstand/100)</f>
      </c>
      <c r="G1172" s="43">
        <f>INDEX(ObjLaufend,6)*(1+(Inflation)/100)^MAX(0,25)*$E1172</f>
      </c>
      <c r="H1172" s="43">
        <f>INDEX(ObjInstandBasis,6)*(1+(Inflation)/100)^MAX(0,25)*$E1172</f>
      </c>
      <c r="I1172" s="43">
        <f>SUMIFS(TilgZins,TilgObj,6,TilgJahr,$C1172)</f>
      </c>
      <c r="J1172" s="43">
        <f>SUMIFS(TilgTilgung,TilgObj,6,TilgJahr,$C1172)</f>
      </c>
      <c r="K1172" s="43">
        <f>SUMIFS(TilgSonder,TilgObj,6,TilgJahr,$C1172)</f>
      </c>
      <c r="L1172" s="43">
        <f>SUMIFS(TilgErsatz,TilgObj,6,TilgJahr,$C1172)</f>
      </c>
      <c r="M1172" s="43">
        <f>MAX(0,SUMIF(DarlObj,6,DarlBetrag)-SUMIFS(TilgTilgung,TilgObj,6,TilgJahr,"&lt;="&amp;$C1172)-SUMIFS(TilgSonder,TilgObj,6,TilgJahr,"&lt;="&amp;$C1172))</f>
      </c>
      <c r="N1172" s="43">
        <f>SUMIFS(TilgErsatz,TilgObj,6,TilgJahr,"&lt;="&amp;$C1172)+SUMIFS(TilgErtrag,TilgObj,6,TilgJahr,"&lt;="&amp;$C1172)</f>
      </c>
      <c r="O1172" s="43">
        <f>INDEX(ObjWertEff,6)*(1+(Wertsteigerung)/100)^MAX(0,25)</f>
      </c>
      <c r="P1172" s="43">
        <f>IF(OR(INDEX(ObjAfaDauer,6)=0,INDEX(ObjAfaJahr,6)=0,$C1172&lt;INDEX(ObjKaufJahr,6),$C1172&gt;=INDEX(ObjKaufJahr,6)+INDEX(ObjAfaDauer,6)),0,IF($C1172=INDEX(ObjKaufJahr,6),INDEX(ObjAfaJahr,6)*(13-INDEX(ObjKaufMonat,6))/12,INDEX(ObjAfaJahr,6)))</f>
      </c>
      <c r="Q1172" s="43">
        <f>$F1172-$G1172-$H1172-$I1172-$P1172</f>
      </c>
      <c r="R1172" s="43">
        <f>$Q1172*INDEX(ObjSteuersatz,6)/100</f>
      </c>
      <c r="S1172" s="43">
        <f>$I1172+$J1172+$K1172+$L1172</f>
      </c>
      <c r="T1172" s="43">
        <f>$F1172-$G1172-$H1172-$S1172</f>
      </c>
      <c r="U1172" s="43">
        <f>$T1172-$R1172</f>
      </c>
      <c r="V1172" s="43">
        <f>$O1172-$M1172</f>
      </c>
      <c r="W1172" s="43">
        <f>$J1172+$K1172+$L1172</f>
      </c>
      <c r="X1172" s="43">
        <f>IF($O1172=0,0,$M1172/$O1172*100)</f>
      </c>
    </row>
    <row r="1173">
      <c r="A1173"/>
      <c r="B1173">
        <v>6</v>
      </c>
      <c r="C1173" s="43">
        <f>Jahr+26</f>
      </c>
      <c r="D1173">
        <v>26</v>
      </c>
      <c r="E1173" s="43">
        <f>IF(INDEX(ObjKaufJahr,6)=0,0,IF($C1173&lt;INDEX(ObjKaufJahr,6),0,IF($C1173&gt;INDEX(ObjKaufJahr,6),12,13-INDEX(ObjKaufMonat,6))))/12</f>
      </c>
      <c r="F1173" s="43">
        <f>SUMIFS(MlSumme,MlObj,6,MlJahr,$C1173)*(1-Leerstand/100)</f>
      </c>
      <c r="G1173" s="43">
        <f>INDEX(ObjLaufend,6)*(1+(Inflation)/100)^MAX(0,26)*$E1173</f>
      </c>
      <c r="H1173" s="43">
        <f>INDEX(ObjInstandBasis,6)*(1+(Inflation)/100)^MAX(0,26)*$E1173</f>
      </c>
      <c r="I1173" s="43">
        <f>SUMIFS(TilgZins,TilgObj,6,TilgJahr,$C1173)</f>
      </c>
      <c r="J1173" s="43">
        <f>SUMIFS(TilgTilgung,TilgObj,6,TilgJahr,$C1173)</f>
      </c>
      <c r="K1173" s="43">
        <f>SUMIFS(TilgSonder,TilgObj,6,TilgJahr,$C1173)</f>
      </c>
      <c r="L1173" s="43">
        <f>SUMIFS(TilgErsatz,TilgObj,6,TilgJahr,$C1173)</f>
      </c>
      <c r="M1173" s="43">
        <f>MAX(0,SUMIF(DarlObj,6,DarlBetrag)-SUMIFS(TilgTilgung,TilgObj,6,TilgJahr,"&lt;="&amp;$C1173)-SUMIFS(TilgSonder,TilgObj,6,TilgJahr,"&lt;="&amp;$C1173))</f>
      </c>
      <c r="N1173" s="43">
        <f>SUMIFS(TilgErsatz,TilgObj,6,TilgJahr,"&lt;="&amp;$C1173)+SUMIFS(TilgErtrag,TilgObj,6,TilgJahr,"&lt;="&amp;$C1173)</f>
      </c>
      <c r="O1173" s="43">
        <f>INDEX(ObjWertEff,6)*(1+(Wertsteigerung)/100)^MAX(0,26)</f>
      </c>
      <c r="P1173" s="43">
        <f>IF(OR(INDEX(ObjAfaDauer,6)=0,INDEX(ObjAfaJahr,6)=0,$C1173&lt;INDEX(ObjKaufJahr,6),$C1173&gt;=INDEX(ObjKaufJahr,6)+INDEX(ObjAfaDauer,6)),0,IF($C1173=INDEX(ObjKaufJahr,6),INDEX(ObjAfaJahr,6)*(13-INDEX(ObjKaufMonat,6))/12,INDEX(ObjAfaJahr,6)))</f>
      </c>
      <c r="Q1173" s="43">
        <f>$F1173-$G1173-$H1173-$I1173-$P1173</f>
      </c>
      <c r="R1173" s="43">
        <f>$Q1173*INDEX(ObjSteuersatz,6)/100</f>
      </c>
      <c r="S1173" s="43">
        <f>$I1173+$J1173+$K1173+$L1173</f>
      </c>
      <c r="T1173" s="43">
        <f>$F1173-$G1173-$H1173-$S1173</f>
      </c>
      <c r="U1173" s="43">
        <f>$T1173-$R1173</f>
      </c>
      <c r="V1173" s="43">
        <f>$O1173-$M1173</f>
      </c>
      <c r="W1173" s="43">
        <f>$J1173+$K1173+$L1173</f>
      </c>
      <c r="X1173" s="43">
        <f>IF($O1173=0,0,$M1173/$O1173*100)</f>
      </c>
    </row>
    <row r="1174">
      <c r="A1174"/>
      <c r="B1174">
        <v>6</v>
      </c>
      <c r="C1174" s="43">
        <f>Jahr+27</f>
      </c>
      <c r="D1174">
        <v>27</v>
      </c>
      <c r="E1174" s="43">
        <f>IF(INDEX(ObjKaufJahr,6)=0,0,IF($C1174&lt;INDEX(ObjKaufJahr,6),0,IF($C1174&gt;INDEX(ObjKaufJahr,6),12,13-INDEX(ObjKaufMonat,6))))/12</f>
      </c>
      <c r="F1174" s="43">
        <f>SUMIFS(MlSumme,MlObj,6,MlJahr,$C1174)*(1-Leerstand/100)</f>
      </c>
      <c r="G1174" s="43">
        <f>INDEX(ObjLaufend,6)*(1+(Inflation)/100)^MAX(0,27)*$E1174</f>
      </c>
      <c r="H1174" s="43">
        <f>INDEX(ObjInstandBasis,6)*(1+(Inflation)/100)^MAX(0,27)*$E1174</f>
      </c>
      <c r="I1174" s="43">
        <f>SUMIFS(TilgZins,TilgObj,6,TilgJahr,$C1174)</f>
      </c>
      <c r="J1174" s="43">
        <f>SUMIFS(TilgTilgung,TilgObj,6,TilgJahr,$C1174)</f>
      </c>
      <c r="K1174" s="43">
        <f>SUMIFS(TilgSonder,TilgObj,6,TilgJahr,$C1174)</f>
      </c>
      <c r="L1174" s="43">
        <f>SUMIFS(TilgErsatz,TilgObj,6,TilgJahr,$C1174)</f>
      </c>
      <c r="M1174" s="43">
        <f>MAX(0,SUMIF(DarlObj,6,DarlBetrag)-SUMIFS(TilgTilgung,TilgObj,6,TilgJahr,"&lt;="&amp;$C1174)-SUMIFS(TilgSonder,TilgObj,6,TilgJahr,"&lt;="&amp;$C1174))</f>
      </c>
      <c r="N1174" s="43">
        <f>SUMIFS(TilgErsatz,TilgObj,6,TilgJahr,"&lt;="&amp;$C1174)+SUMIFS(TilgErtrag,TilgObj,6,TilgJahr,"&lt;="&amp;$C1174)</f>
      </c>
      <c r="O1174" s="43">
        <f>INDEX(ObjWertEff,6)*(1+(Wertsteigerung)/100)^MAX(0,27)</f>
      </c>
      <c r="P1174" s="43">
        <f>IF(OR(INDEX(ObjAfaDauer,6)=0,INDEX(ObjAfaJahr,6)=0,$C1174&lt;INDEX(ObjKaufJahr,6),$C1174&gt;=INDEX(ObjKaufJahr,6)+INDEX(ObjAfaDauer,6)),0,IF($C1174=INDEX(ObjKaufJahr,6),INDEX(ObjAfaJahr,6)*(13-INDEX(ObjKaufMonat,6))/12,INDEX(ObjAfaJahr,6)))</f>
      </c>
      <c r="Q1174" s="43">
        <f>$F1174-$G1174-$H1174-$I1174-$P1174</f>
      </c>
      <c r="R1174" s="43">
        <f>$Q1174*INDEX(ObjSteuersatz,6)/100</f>
      </c>
      <c r="S1174" s="43">
        <f>$I1174+$J1174+$K1174+$L1174</f>
      </c>
      <c r="T1174" s="43">
        <f>$F1174-$G1174-$H1174-$S1174</f>
      </c>
      <c r="U1174" s="43">
        <f>$T1174-$R1174</f>
      </c>
      <c r="V1174" s="43">
        <f>$O1174-$M1174</f>
      </c>
      <c r="W1174" s="43">
        <f>$J1174+$K1174+$L1174</f>
      </c>
      <c r="X1174" s="43">
        <f>IF($O1174=0,0,$M1174/$O1174*100)</f>
      </c>
    </row>
    <row r="1175">
      <c r="A1175"/>
      <c r="B1175">
        <v>6</v>
      </c>
      <c r="C1175" s="43">
        <f>Jahr+28</f>
      </c>
      <c r="D1175">
        <v>28</v>
      </c>
      <c r="E1175" s="43">
        <f>IF(INDEX(ObjKaufJahr,6)=0,0,IF($C1175&lt;INDEX(ObjKaufJahr,6),0,IF($C1175&gt;INDEX(ObjKaufJahr,6),12,13-INDEX(ObjKaufMonat,6))))/12</f>
      </c>
      <c r="F1175" s="43">
        <f>SUMIFS(MlSumme,MlObj,6,MlJahr,$C1175)*(1-Leerstand/100)</f>
      </c>
      <c r="G1175" s="43">
        <f>INDEX(ObjLaufend,6)*(1+(Inflation)/100)^MAX(0,28)*$E1175</f>
      </c>
      <c r="H1175" s="43">
        <f>INDEX(ObjInstandBasis,6)*(1+(Inflation)/100)^MAX(0,28)*$E1175</f>
      </c>
      <c r="I1175" s="43">
        <f>SUMIFS(TilgZins,TilgObj,6,TilgJahr,$C1175)</f>
      </c>
      <c r="J1175" s="43">
        <f>SUMIFS(TilgTilgung,TilgObj,6,TilgJahr,$C1175)</f>
      </c>
      <c r="K1175" s="43">
        <f>SUMIFS(TilgSonder,TilgObj,6,TilgJahr,$C1175)</f>
      </c>
      <c r="L1175" s="43">
        <f>SUMIFS(TilgErsatz,TilgObj,6,TilgJahr,$C1175)</f>
      </c>
      <c r="M1175" s="43">
        <f>MAX(0,SUMIF(DarlObj,6,DarlBetrag)-SUMIFS(TilgTilgung,TilgObj,6,TilgJahr,"&lt;="&amp;$C1175)-SUMIFS(TilgSonder,TilgObj,6,TilgJahr,"&lt;="&amp;$C1175))</f>
      </c>
      <c r="N1175" s="43">
        <f>SUMIFS(TilgErsatz,TilgObj,6,TilgJahr,"&lt;="&amp;$C1175)+SUMIFS(TilgErtrag,TilgObj,6,TilgJahr,"&lt;="&amp;$C1175)</f>
      </c>
      <c r="O1175" s="43">
        <f>INDEX(ObjWertEff,6)*(1+(Wertsteigerung)/100)^MAX(0,28)</f>
      </c>
      <c r="P1175" s="43">
        <f>IF(OR(INDEX(ObjAfaDauer,6)=0,INDEX(ObjAfaJahr,6)=0,$C1175&lt;INDEX(ObjKaufJahr,6),$C1175&gt;=INDEX(ObjKaufJahr,6)+INDEX(ObjAfaDauer,6)),0,IF($C1175=INDEX(ObjKaufJahr,6),INDEX(ObjAfaJahr,6)*(13-INDEX(ObjKaufMonat,6))/12,INDEX(ObjAfaJahr,6)))</f>
      </c>
      <c r="Q1175" s="43">
        <f>$F1175-$G1175-$H1175-$I1175-$P1175</f>
      </c>
      <c r="R1175" s="43">
        <f>$Q1175*INDEX(ObjSteuersatz,6)/100</f>
      </c>
      <c r="S1175" s="43">
        <f>$I1175+$J1175+$K1175+$L1175</f>
      </c>
      <c r="T1175" s="43">
        <f>$F1175-$G1175-$H1175-$S1175</f>
      </c>
      <c r="U1175" s="43">
        <f>$T1175-$R1175</f>
      </c>
      <c r="V1175" s="43">
        <f>$O1175-$M1175</f>
      </c>
      <c r="W1175" s="43">
        <f>$J1175+$K1175+$L1175</f>
      </c>
      <c r="X1175" s="43">
        <f>IF($O1175=0,0,$M1175/$O1175*100)</f>
      </c>
    </row>
    <row r="1176">
      <c r="A1176"/>
      <c r="B1176">
        <v>6</v>
      </c>
      <c r="C1176" s="43">
        <f>Jahr+29</f>
      </c>
      <c r="D1176">
        <v>29</v>
      </c>
      <c r="E1176" s="43">
        <f>IF(INDEX(ObjKaufJahr,6)=0,0,IF($C1176&lt;INDEX(ObjKaufJahr,6),0,IF($C1176&gt;INDEX(ObjKaufJahr,6),12,13-INDEX(ObjKaufMonat,6))))/12</f>
      </c>
      <c r="F1176" s="43">
        <f>SUMIFS(MlSumme,MlObj,6,MlJahr,$C1176)*(1-Leerstand/100)</f>
      </c>
      <c r="G1176" s="43">
        <f>INDEX(ObjLaufend,6)*(1+(Inflation)/100)^MAX(0,29)*$E1176</f>
      </c>
      <c r="H1176" s="43">
        <f>INDEX(ObjInstandBasis,6)*(1+(Inflation)/100)^MAX(0,29)*$E1176</f>
      </c>
      <c r="I1176" s="43">
        <f>SUMIFS(TilgZins,TilgObj,6,TilgJahr,$C1176)</f>
      </c>
      <c r="J1176" s="43">
        <f>SUMIFS(TilgTilgung,TilgObj,6,TilgJahr,$C1176)</f>
      </c>
      <c r="K1176" s="43">
        <f>SUMIFS(TilgSonder,TilgObj,6,TilgJahr,$C1176)</f>
      </c>
      <c r="L1176" s="43">
        <f>SUMIFS(TilgErsatz,TilgObj,6,TilgJahr,$C1176)</f>
      </c>
      <c r="M1176" s="43">
        <f>MAX(0,SUMIF(DarlObj,6,DarlBetrag)-SUMIFS(TilgTilgung,TilgObj,6,TilgJahr,"&lt;="&amp;$C1176)-SUMIFS(TilgSonder,TilgObj,6,TilgJahr,"&lt;="&amp;$C1176))</f>
      </c>
      <c r="N1176" s="43">
        <f>SUMIFS(TilgErsatz,TilgObj,6,TilgJahr,"&lt;="&amp;$C1176)+SUMIFS(TilgErtrag,TilgObj,6,TilgJahr,"&lt;="&amp;$C1176)</f>
      </c>
      <c r="O1176" s="43">
        <f>INDEX(ObjWertEff,6)*(1+(Wertsteigerung)/100)^MAX(0,29)</f>
      </c>
      <c r="P1176" s="43">
        <f>IF(OR(INDEX(ObjAfaDauer,6)=0,INDEX(ObjAfaJahr,6)=0,$C1176&lt;INDEX(ObjKaufJahr,6),$C1176&gt;=INDEX(ObjKaufJahr,6)+INDEX(ObjAfaDauer,6)),0,IF($C1176=INDEX(ObjKaufJahr,6),INDEX(ObjAfaJahr,6)*(13-INDEX(ObjKaufMonat,6))/12,INDEX(ObjAfaJahr,6)))</f>
      </c>
      <c r="Q1176" s="43">
        <f>$F1176-$G1176-$H1176-$I1176-$P1176</f>
      </c>
      <c r="R1176" s="43">
        <f>$Q1176*INDEX(ObjSteuersatz,6)/100</f>
      </c>
      <c r="S1176" s="43">
        <f>$I1176+$J1176+$K1176+$L1176</f>
      </c>
      <c r="T1176" s="43">
        <f>$F1176-$G1176-$H1176-$S1176</f>
      </c>
      <c r="U1176" s="43">
        <f>$T1176-$R1176</f>
      </c>
      <c r="V1176" s="43">
        <f>$O1176-$M1176</f>
      </c>
      <c r="W1176" s="43">
        <f>$J1176+$K1176+$L1176</f>
      </c>
      <c r="X1176" s="43">
        <f>IF($O1176=0,0,$M1176/$O1176*100)</f>
      </c>
    </row>
    <row r="1177">
      <c r="A1177"/>
      <c r="B1177">
        <v>6</v>
      </c>
      <c r="C1177" s="43">
        <f>Jahr+30</f>
      </c>
      <c r="D1177">
        <v>30</v>
      </c>
      <c r="E1177" s="43">
        <f>IF(INDEX(ObjKaufJahr,6)=0,0,IF($C1177&lt;INDEX(ObjKaufJahr,6),0,IF($C1177&gt;INDEX(ObjKaufJahr,6),12,13-INDEX(ObjKaufMonat,6))))/12</f>
      </c>
      <c r="F1177" s="43">
        <f>SUMIFS(MlSumme,MlObj,6,MlJahr,$C1177)*(1-Leerstand/100)</f>
      </c>
      <c r="G1177" s="43">
        <f>INDEX(ObjLaufend,6)*(1+(Inflation)/100)^MAX(0,30)*$E1177</f>
      </c>
      <c r="H1177" s="43">
        <f>INDEX(ObjInstandBasis,6)*(1+(Inflation)/100)^MAX(0,30)*$E1177</f>
      </c>
      <c r="I1177" s="43">
        <f>SUMIFS(TilgZins,TilgObj,6,TilgJahr,$C1177)</f>
      </c>
      <c r="J1177" s="43">
        <f>SUMIFS(TilgTilgung,TilgObj,6,TilgJahr,$C1177)</f>
      </c>
      <c r="K1177" s="43">
        <f>SUMIFS(TilgSonder,TilgObj,6,TilgJahr,$C1177)</f>
      </c>
      <c r="L1177" s="43">
        <f>SUMIFS(TilgErsatz,TilgObj,6,TilgJahr,$C1177)</f>
      </c>
      <c r="M1177" s="43">
        <f>MAX(0,SUMIF(DarlObj,6,DarlBetrag)-SUMIFS(TilgTilgung,TilgObj,6,TilgJahr,"&lt;="&amp;$C1177)-SUMIFS(TilgSonder,TilgObj,6,TilgJahr,"&lt;="&amp;$C1177))</f>
      </c>
      <c r="N1177" s="43">
        <f>SUMIFS(TilgErsatz,TilgObj,6,TilgJahr,"&lt;="&amp;$C1177)+SUMIFS(TilgErtrag,TilgObj,6,TilgJahr,"&lt;="&amp;$C1177)</f>
      </c>
      <c r="O1177" s="43">
        <f>INDEX(ObjWertEff,6)*(1+(Wertsteigerung)/100)^MAX(0,30)</f>
      </c>
      <c r="P1177" s="43">
        <f>IF(OR(INDEX(ObjAfaDauer,6)=0,INDEX(ObjAfaJahr,6)=0,$C1177&lt;INDEX(ObjKaufJahr,6),$C1177&gt;=INDEX(ObjKaufJahr,6)+INDEX(ObjAfaDauer,6)),0,IF($C1177=INDEX(ObjKaufJahr,6),INDEX(ObjAfaJahr,6)*(13-INDEX(ObjKaufMonat,6))/12,INDEX(ObjAfaJahr,6)))</f>
      </c>
      <c r="Q1177" s="43">
        <f>$F1177-$G1177-$H1177-$I1177-$P1177</f>
      </c>
      <c r="R1177" s="43">
        <f>$Q1177*INDEX(ObjSteuersatz,6)/100</f>
      </c>
      <c r="S1177" s="43">
        <f>$I1177+$J1177+$K1177+$L1177</f>
      </c>
      <c r="T1177" s="43">
        <f>$F1177-$G1177-$H1177-$S1177</f>
      </c>
      <c r="U1177" s="43">
        <f>$T1177-$R1177</f>
      </c>
      <c r="V1177" s="43">
        <f>$O1177-$M1177</f>
      </c>
      <c r="W1177" s="43">
        <f>$J1177+$K1177+$L1177</f>
      </c>
      <c r="X1177" s="43">
        <f>IF($O1177=0,0,$M1177/$O1177*100)</f>
      </c>
    </row>
    <row r="1178">
      <c r="A1178"/>
      <c r="B1178">
        <v>7</v>
      </c>
      <c r="C1178" s="43">
        <f>Jahr+0</f>
      </c>
      <c r="D1178">
        <v>0</v>
      </c>
      <c r="E1178" s="43">
        <f>IF(INDEX(ObjKaufJahr,7)=0,0,IF($C1178&lt;INDEX(ObjKaufJahr,7),0,IF($C1178&gt;INDEX(ObjKaufJahr,7),12,13-INDEX(ObjKaufMonat,7))))/12</f>
      </c>
      <c r="F1178" s="43">
        <f>SUMIFS(MlSumme,MlObj,7,MlJahr,$C1178)*(1-Leerstand/100)</f>
      </c>
      <c r="G1178" s="43">
        <f>INDEX(ObjLaufend,7)*(1+(Inflation)/100)^MAX(0,0)*$E1178</f>
      </c>
      <c r="H1178" s="43">
        <f>INDEX(ObjInstandBasis,7)*(1+(Inflation)/100)^MAX(0,0)*$E1178</f>
      </c>
      <c r="I1178" s="43">
        <f>SUMIFS(TilgZins,TilgObj,7,TilgJahr,$C1178)</f>
      </c>
      <c r="J1178" s="43">
        <f>SUMIFS(TilgTilgung,TilgObj,7,TilgJahr,$C1178)</f>
      </c>
      <c r="K1178" s="43">
        <f>SUMIFS(TilgSonder,TilgObj,7,TilgJahr,$C1178)</f>
      </c>
      <c r="L1178" s="43">
        <f>SUMIFS(TilgErsatz,TilgObj,7,TilgJahr,$C1178)</f>
      </c>
      <c r="M1178" s="43">
        <f>MAX(0,SUMIF(DarlObj,7,DarlBetrag)-SUMIFS(TilgTilgung,TilgObj,7,TilgJahr,"&lt;="&amp;$C1178)-SUMIFS(TilgSonder,TilgObj,7,TilgJahr,"&lt;="&amp;$C1178))</f>
      </c>
      <c r="N1178" s="43">
        <f>SUMIFS(TilgErsatz,TilgObj,7,TilgJahr,"&lt;="&amp;$C1178)+SUMIFS(TilgErtrag,TilgObj,7,TilgJahr,"&lt;="&amp;$C1178)</f>
      </c>
      <c r="O1178" s="43">
        <f>INDEX(ObjWertEff,7)*(1+(Wertsteigerung)/100)^MAX(0,0)</f>
      </c>
      <c r="P1178" s="43">
        <f>IF(OR(INDEX(ObjAfaDauer,7)=0,INDEX(ObjAfaJahr,7)=0,$C1178&lt;INDEX(ObjKaufJahr,7),$C1178&gt;=INDEX(ObjKaufJahr,7)+INDEX(ObjAfaDauer,7)),0,IF($C1178=INDEX(ObjKaufJahr,7),INDEX(ObjAfaJahr,7)*(13-INDEX(ObjKaufMonat,7))/12,INDEX(ObjAfaJahr,7)))</f>
      </c>
      <c r="Q1178" s="43">
        <f>$F1178-$G1178-$H1178-$I1178-$P1178</f>
      </c>
      <c r="R1178" s="43">
        <f>$Q1178*INDEX(ObjSteuersatz,7)/100</f>
      </c>
      <c r="S1178" s="43">
        <f>$I1178+$J1178+$K1178+$L1178</f>
      </c>
      <c r="T1178" s="43">
        <f>$F1178-$G1178-$H1178-$S1178</f>
      </c>
      <c r="U1178" s="43">
        <f>$T1178-$R1178</f>
      </c>
      <c r="V1178" s="43">
        <f>$O1178-$M1178</f>
      </c>
      <c r="W1178" s="43">
        <f>$J1178+$K1178+$L1178</f>
      </c>
      <c r="X1178" s="43">
        <f>IF($O1178=0,0,$M1178/$O1178*100)</f>
      </c>
    </row>
    <row r="1179">
      <c r="A1179"/>
      <c r="B1179">
        <v>7</v>
      </c>
      <c r="C1179" s="43">
        <f>Jahr+1</f>
      </c>
      <c r="D1179">
        <v>1</v>
      </c>
      <c r="E1179" s="43">
        <f>IF(INDEX(ObjKaufJahr,7)=0,0,IF($C1179&lt;INDEX(ObjKaufJahr,7),0,IF($C1179&gt;INDEX(ObjKaufJahr,7),12,13-INDEX(ObjKaufMonat,7))))/12</f>
      </c>
      <c r="F1179" s="43">
        <f>SUMIFS(MlSumme,MlObj,7,MlJahr,$C1179)*(1-Leerstand/100)</f>
      </c>
      <c r="G1179" s="43">
        <f>INDEX(ObjLaufend,7)*(1+(Inflation)/100)^MAX(0,1)*$E1179</f>
      </c>
      <c r="H1179" s="43">
        <f>INDEX(ObjInstandBasis,7)*(1+(Inflation)/100)^MAX(0,1)*$E1179</f>
      </c>
      <c r="I1179" s="43">
        <f>SUMIFS(TilgZins,TilgObj,7,TilgJahr,$C1179)</f>
      </c>
      <c r="J1179" s="43">
        <f>SUMIFS(TilgTilgung,TilgObj,7,TilgJahr,$C1179)</f>
      </c>
      <c r="K1179" s="43">
        <f>SUMIFS(TilgSonder,TilgObj,7,TilgJahr,$C1179)</f>
      </c>
      <c r="L1179" s="43">
        <f>SUMIFS(TilgErsatz,TilgObj,7,TilgJahr,$C1179)</f>
      </c>
      <c r="M1179" s="43">
        <f>MAX(0,SUMIF(DarlObj,7,DarlBetrag)-SUMIFS(TilgTilgung,TilgObj,7,TilgJahr,"&lt;="&amp;$C1179)-SUMIFS(TilgSonder,TilgObj,7,TilgJahr,"&lt;="&amp;$C1179))</f>
      </c>
      <c r="N1179" s="43">
        <f>SUMIFS(TilgErsatz,TilgObj,7,TilgJahr,"&lt;="&amp;$C1179)+SUMIFS(TilgErtrag,TilgObj,7,TilgJahr,"&lt;="&amp;$C1179)</f>
      </c>
      <c r="O1179" s="43">
        <f>INDEX(ObjWertEff,7)*(1+(Wertsteigerung)/100)^MAX(0,1)</f>
      </c>
      <c r="P1179" s="43">
        <f>IF(OR(INDEX(ObjAfaDauer,7)=0,INDEX(ObjAfaJahr,7)=0,$C1179&lt;INDEX(ObjKaufJahr,7),$C1179&gt;=INDEX(ObjKaufJahr,7)+INDEX(ObjAfaDauer,7)),0,IF($C1179=INDEX(ObjKaufJahr,7),INDEX(ObjAfaJahr,7)*(13-INDEX(ObjKaufMonat,7))/12,INDEX(ObjAfaJahr,7)))</f>
      </c>
      <c r="Q1179" s="43">
        <f>$F1179-$G1179-$H1179-$I1179-$P1179</f>
      </c>
      <c r="R1179" s="43">
        <f>$Q1179*INDEX(ObjSteuersatz,7)/100</f>
      </c>
      <c r="S1179" s="43">
        <f>$I1179+$J1179+$K1179+$L1179</f>
      </c>
      <c r="T1179" s="43">
        <f>$F1179-$G1179-$H1179-$S1179</f>
      </c>
      <c r="U1179" s="43">
        <f>$T1179-$R1179</f>
      </c>
      <c r="V1179" s="43">
        <f>$O1179-$M1179</f>
      </c>
      <c r="W1179" s="43">
        <f>$J1179+$K1179+$L1179</f>
      </c>
      <c r="X1179" s="43">
        <f>IF($O1179=0,0,$M1179/$O1179*100)</f>
      </c>
    </row>
    <row r="1180">
      <c r="A1180"/>
      <c r="B1180">
        <v>7</v>
      </c>
      <c r="C1180" s="43">
        <f>Jahr+2</f>
      </c>
      <c r="D1180">
        <v>2</v>
      </c>
      <c r="E1180" s="43">
        <f>IF(INDEX(ObjKaufJahr,7)=0,0,IF($C1180&lt;INDEX(ObjKaufJahr,7),0,IF($C1180&gt;INDEX(ObjKaufJahr,7),12,13-INDEX(ObjKaufMonat,7))))/12</f>
      </c>
      <c r="F1180" s="43">
        <f>SUMIFS(MlSumme,MlObj,7,MlJahr,$C1180)*(1-Leerstand/100)</f>
      </c>
      <c r="G1180" s="43">
        <f>INDEX(ObjLaufend,7)*(1+(Inflation)/100)^MAX(0,2)*$E1180</f>
      </c>
      <c r="H1180" s="43">
        <f>INDEX(ObjInstandBasis,7)*(1+(Inflation)/100)^MAX(0,2)*$E1180</f>
      </c>
      <c r="I1180" s="43">
        <f>SUMIFS(TilgZins,TilgObj,7,TilgJahr,$C1180)</f>
      </c>
      <c r="J1180" s="43">
        <f>SUMIFS(TilgTilgung,TilgObj,7,TilgJahr,$C1180)</f>
      </c>
      <c r="K1180" s="43">
        <f>SUMIFS(TilgSonder,TilgObj,7,TilgJahr,$C1180)</f>
      </c>
      <c r="L1180" s="43">
        <f>SUMIFS(TilgErsatz,TilgObj,7,TilgJahr,$C1180)</f>
      </c>
      <c r="M1180" s="43">
        <f>MAX(0,SUMIF(DarlObj,7,DarlBetrag)-SUMIFS(TilgTilgung,TilgObj,7,TilgJahr,"&lt;="&amp;$C1180)-SUMIFS(TilgSonder,TilgObj,7,TilgJahr,"&lt;="&amp;$C1180))</f>
      </c>
      <c r="N1180" s="43">
        <f>SUMIFS(TilgErsatz,TilgObj,7,TilgJahr,"&lt;="&amp;$C1180)+SUMIFS(TilgErtrag,TilgObj,7,TilgJahr,"&lt;="&amp;$C1180)</f>
      </c>
      <c r="O1180" s="43">
        <f>INDEX(ObjWertEff,7)*(1+(Wertsteigerung)/100)^MAX(0,2)</f>
      </c>
      <c r="P1180" s="43">
        <f>IF(OR(INDEX(ObjAfaDauer,7)=0,INDEX(ObjAfaJahr,7)=0,$C1180&lt;INDEX(ObjKaufJahr,7),$C1180&gt;=INDEX(ObjKaufJahr,7)+INDEX(ObjAfaDauer,7)),0,IF($C1180=INDEX(ObjKaufJahr,7),INDEX(ObjAfaJahr,7)*(13-INDEX(ObjKaufMonat,7))/12,INDEX(ObjAfaJahr,7)))</f>
      </c>
      <c r="Q1180" s="43">
        <f>$F1180-$G1180-$H1180-$I1180-$P1180</f>
      </c>
      <c r="R1180" s="43">
        <f>$Q1180*INDEX(ObjSteuersatz,7)/100</f>
      </c>
      <c r="S1180" s="43">
        <f>$I1180+$J1180+$K1180+$L1180</f>
      </c>
      <c r="T1180" s="43">
        <f>$F1180-$G1180-$H1180-$S1180</f>
      </c>
      <c r="U1180" s="43">
        <f>$T1180-$R1180</f>
      </c>
      <c r="V1180" s="43">
        <f>$O1180-$M1180</f>
      </c>
      <c r="W1180" s="43">
        <f>$J1180+$K1180+$L1180</f>
      </c>
      <c r="X1180" s="43">
        <f>IF($O1180=0,0,$M1180/$O1180*100)</f>
      </c>
    </row>
    <row r="1181">
      <c r="A1181"/>
      <c r="B1181">
        <v>7</v>
      </c>
      <c r="C1181" s="43">
        <f>Jahr+3</f>
      </c>
      <c r="D1181">
        <v>3</v>
      </c>
      <c r="E1181" s="43">
        <f>IF(INDEX(ObjKaufJahr,7)=0,0,IF($C1181&lt;INDEX(ObjKaufJahr,7),0,IF($C1181&gt;INDEX(ObjKaufJahr,7),12,13-INDEX(ObjKaufMonat,7))))/12</f>
      </c>
      <c r="F1181" s="43">
        <f>SUMIFS(MlSumme,MlObj,7,MlJahr,$C1181)*(1-Leerstand/100)</f>
      </c>
      <c r="G1181" s="43">
        <f>INDEX(ObjLaufend,7)*(1+(Inflation)/100)^MAX(0,3)*$E1181</f>
      </c>
      <c r="H1181" s="43">
        <f>INDEX(ObjInstandBasis,7)*(1+(Inflation)/100)^MAX(0,3)*$E1181</f>
      </c>
      <c r="I1181" s="43">
        <f>SUMIFS(TilgZins,TilgObj,7,TilgJahr,$C1181)</f>
      </c>
      <c r="J1181" s="43">
        <f>SUMIFS(TilgTilgung,TilgObj,7,TilgJahr,$C1181)</f>
      </c>
      <c r="K1181" s="43">
        <f>SUMIFS(TilgSonder,TilgObj,7,TilgJahr,$C1181)</f>
      </c>
      <c r="L1181" s="43">
        <f>SUMIFS(TilgErsatz,TilgObj,7,TilgJahr,$C1181)</f>
      </c>
      <c r="M1181" s="43">
        <f>MAX(0,SUMIF(DarlObj,7,DarlBetrag)-SUMIFS(TilgTilgung,TilgObj,7,TilgJahr,"&lt;="&amp;$C1181)-SUMIFS(TilgSonder,TilgObj,7,TilgJahr,"&lt;="&amp;$C1181))</f>
      </c>
      <c r="N1181" s="43">
        <f>SUMIFS(TilgErsatz,TilgObj,7,TilgJahr,"&lt;="&amp;$C1181)+SUMIFS(TilgErtrag,TilgObj,7,TilgJahr,"&lt;="&amp;$C1181)</f>
      </c>
      <c r="O1181" s="43">
        <f>INDEX(ObjWertEff,7)*(1+(Wertsteigerung)/100)^MAX(0,3)</f>
      </c>
      <c r="P1181" s="43">
        <f>IF(OR(INDEX(ObjAfaDauer,7)=0,INDEX(ObjAfaJahr,7)=0,$C1181&lt;INDEX(ObjKaufJahr,7),$C1181&gt;=INDEX(ObjKaufJahr,7)+INDEX(ObjAfaDauer,7)),0,IF($C1181=INDEX(ObjKaufJahr,7),INDEX(ObjAfaJahr,7)*(13-INDEX(ObjKaufMonat,7))/12,INDEX(ObjAfaJahr,7)))</f>
      </c>
      <c r="Q1181" s="43">
        <f>$F1181-$G1181-$H1181-$I1181-$P1181</f>
      </c>
      <c r="R1181" s="43">
        <f>$Q1181*INDEX(ObjSteuersatz,7)/100</f>
      </c>
      <c r="S1181" s="43">
        <f>$I1181+$J1181+$K1181+$L1181</f>
      </c>
      <c r="T1181" s="43">
        <f>$F1181-$G1181-$H1181-$S1181</f>
      </c>
      <c r="U1181" s="43">
        <f>$T1181-$R1181</f>
      </c>
      <c r="V1181" s="43">
        <f>$O1181-$M1181</f>
      </c>
      <c r="W1181" s="43">
        <f>$J1181+$K1181+$L1181</f>
      </c>
      <c r="X1181" s="43">
        <f>IF($O1181=0,0,$M1181/$O1181*100)</f>
      </c>
    </row>
    <row r="1182">
      <c r="A1182"/>
      <c r="B1182">
        <v>7</v>
      </c>
      <c r="C1182" s="43">
        <f>Jahr+4</f>
      </c>
      <c r="D1182">
        <v>4</v>
      </c>
      <c r="E1182" s="43">
        <f>IF(INDEX(ObjKaufJahr,7)=0,0,IF($C1182&lt;INDEX(ObjKaufJahr,7),0,IF($C1182&gt;INDEX(ObjKaufJahr,7),12,13-INDEX(ObjKaufMonat,7))))/12</f>
      </c>
      <c r="F1182" s="43">
        <f>SUMIFS(MlSumme,MlObj,7,MlJahr,$C1182)*(1-Leerstand/100)</f>
      </c>
      <c r="G1182" s="43">
        <f>INDEX(ObjLaufend,7)*(1+(Inflation)/100)^MAX(0,4)*$E1182</f>
      </c>
      <c r="H1182" s="43">
        <f>INDEX(ObjInstandBasis,7)*(1+(Inflation)/100)^MAX(0,4)*$E1182</f>
      </c>
      <c r="I1182" s="43">
        <f>SUMIFS(TilgZins,TilgObj,7,TilgJahr,$C1182)</f>
      </c>
      <c r="J1182" s="43">
        <f>SUMIFS(TilgTilgung,TilgObj,7,TilgJahr,$C1182)</f>
      </c>
      <c r="K1182" s="43">
        <f>SUMIFS(TilgSonder,TilgObj,7,TilgJahr,$C1182)</f>
      </c>
      <c r="L1182" s="43">
        <f>SUMIFS(TilgErsatz,TilgObj,7,TilgJahr,$C1182)</f>
      </c>
      <c r="M1182" s="43">
        <f>MAX(0,SUMIF(DarlObj,7,DarlBetrag)-SUMIFS(TilgTilgung,TilgObj,7,TilgJahr,"&lt;="&amp;$C1182)-SUMIFS(TilgSonder,TilgObj,7,TilgJahr,"&lt;="&amp;$C1182))</f>
      </c>
      <c r="N1182" s="43">
        <f>SUMIFS(TilgErsatz,TilgObj,7,TilgJahr,"&lt;="&amp;$C1182)+SUMIFS(TilgErtrag,TilgObj,7,TilgJahr,"&lt;="&amp;$C1182)</f>
      </c>
      <c r="O1182" s="43">
        <f>INDEX(ObjWertEff,7)*(1+(Wertsteigerung)/100)^MAX(0,4)</f>
      </c>
      <c r="P1182" s="43">
        <f>IF(OR(INDEX(ObjAfaDauer,7)=0,INDEX(ObjAfaJahr,7)=0,$C1182&lt;INDEX(ObjKaufJahr,7),$C1182&gt;=INDEX(ObjKaufJahr,7)+INDEX(ObjAfaDauer,7)),0,IF($C1182=INDEX(ObjKaufJahr,7),INDEX(ObjAfaJahr,7)*(13-INDEX(ObjKaufMonat,7))/12,INDEX(ObjAfaJahr,7)))</f>
      </c>
      <c r="Q1182" s="43">
        <f>$F1182-$G1182-$H1182-$I1182-$P1182</f>
      </c>
      <c r="R1182" s="43">
        <f>$Q1182*INDEX(ObjSteuersatz,7)/100</f>
      </c>
      <c r="S1182" s="43">
        <f>$I1182+$J1182+$K1182+$L1182</f>
      </c>
      <c r="T1182" s="43">
        <f>$F1182-$G1182-$H1182-$S1182</f>
      </c>
      <c r="U1182" s="43">
        <f>$T1182-$R1182</f>
      </c>
      <c r="V1182" s="43">
        <f>$O1182-$M1182</f>
      </c>
      <c r="W1182" s="43">
        <f>$J1182+$K1182+$L1182</f>
      </c>
      <c r="X1182" s="43">
        <f>IF($O1182=0,0,$M1182/$O1182*100)</f>
      </c>
    </row>
    <row r="1183">
      <c r="A1183"/>
      <c r="B1183">
        <v>7</v>
      </c>
      <c r="C1183" s="43">
        <f>Jahr+5</f>
      </c>
      <c r="D1183">
        <v>5</v>
      </c>
      <c r="E1183" s="43">
        <f>IF(INDEX(ObjKaufJahr,7)=0,0,IF($C1183&lt;INDEX(ObjKaufJahr,7),0,IF($C1183&gt;INDEX(ObjKaufJahr,7),12,13-INDEX(ObjKaufMonat,7))))/12</f>
      </c>
      <c r="F1183" s="43">
        <f>SUMIFS(MlSumme,MlObj,7,MlJahr,$C1183)*(1-Leerstand/100)</f>
      </c>
      <c r="G1183" s="43">
        <f>INDEX(ObjLaufend,7)*(1+(Inflation)/100)^MAX(0,5)*$E1183</f>
      </c>
      <c r="H1183" s="43">
        <f>INDEX(ObjInstandBasis,7)*(1+(Inflation)/100)^MAX(0,5)*$E1183</f>
      </c>
      <c r="I1183" s="43">
        <f>SUMIFS(TilgZins,TilgObj,7,TilgJahr,$C1183)</f>
      </c>
      <c r="J1183" s="43">
        <f>SUMIFS(TilgTilgung,TilgObj,7,TilgJahr,$C1183)</f>
      </c>
      <c r="K1183" s="43">
        <f>SUMIFS(TilgSonder,TilgObj,7,TilgJahr,$C1183)</f>
      </c>
      <c r="L1183" s="43">
        <f>SUMIFS(TilgErsatz,TilgObj,7,TilgJahr,$C1183)</f>
      </c>
      <c r="M1183" s="43">
        <f>MAX(0,SUMIF(DarlObj,7,DarlBetrag)-SUMIFS(TilgTilgung,TilgObj,7,TilgJahr,"&lt;="&amp;$C1183)-SUMIFS(TilgSonder,TilgObj,7,TilgJahr,"&lt;="&amp;$C1183))</f>
      </c>
      <c r="N1183" s="43">
        <f>SUMIFS(TilgErsatz,TilgObj,7,TilgJahr,"&lt;="&amp;$C1183)+SUMIFS(TilgErtrag,TilgObj,7,TilgJahr,"&lt;="&amp;$C1183)</f>
      </c>
      <c r="O1183" s="43">
        <f>INDEX(ObjWertEff,7)*(1+(Wertsteigerung)/100)^MAX(0,5)</f>
      </c>
      <c r="P1183" s="43">
        <f>IF(OR(INDEX(ObjAfaDauer,7)=0,INDEX(ObjAfaJahr,7)=0,$C1183&lt;INDEX(ObjKaufJahr,7),$C1183&gt;=INDEX(ObjKaufJahr,7)+INDEX(ObjAfaDauer,7)),0,IF($C1183=INDEX(ObjKaufJahr,7),INDEX(ObjAfaJahr,7)*(13-INDEX(ObjKaufMonat,7))/12,INDEX(ObjAfaJahr,7)))</f>
      </c>
      <c r="Q1183" s="43">
        <f>$F1183-$G1183-$H1183-$I1183-$P1183</f>
      </c>
      <c r="R1183" s="43">
        <f>$Q1183*INDEX(ObjSteuersatz,7)/100</f>
      </c>
      <c r="S1183" s="43">
        <f>$I1183+$J1183+$K1183+$L1183</f>
      </c>
      <c r="T1183" s="43">
        <f>$F1183-$G1183-$H1183-$S1183</f>
      </c>
      <c r="U1183" s="43">
        <f>$T1183-$R1183</f>
      </c>
      <c r="V1183" s="43">
        <f>$O1183-$M1183</f>
      </c>
      <c r="W1183" s="43">
        <f>$J1183+$K1183+$L1183</f>
      </c>
      <c r="X1183" s="43">
        <f>IF($O1183=0,0,$M1183/$O1183*100)</f>
      </c>
    </row>
    <row r="1184">
      <c r="A1184"/>
      <c r="B1184">
        <v>7</v>
      </c>
      <c r="C1184" s="43">
        <f>Jahr+6</f>
      </c>
      <c r="D1184">
        <v>6</v>
      </c>
      <c r="E1184" s="43">
        <f>IF(INDEX(ObjKaufJahr,7)=0,0,IF($C1184&lt;INDEX(ObjKaufJahr,7),0,IF($C1184&gt;INDEX(ObjKaufJahr,7),12,13-INDEX(ObjKaufMonat,7))))/12</f>
      </c>
      <c r="F1184" s="43">
        <f>SUMIFS(MlSumme,MlObj,7,MlJahr,$C1184)*(1-Leerstand/100)</f>
      </c>
      <c r="G1184" s="43">
        <f>INDEX(ObjLaufend,7)*(1+(Inflation)/100)^MAX(0,6)*$E1184</f>
      </c>
      <c r="H1184" s="43">
        <f>INDEX(ObjInstandBasis,7)*(1+(Inflation)/100)^MAX(0,6)*$E1184</f>
      </c>
      <c r="I1184" s="43">
        <f>SUMIFS(TilgZins,TilgObj,7,TilgJahr,$C1184)</f>
      </c>
      <c r="J1184" s="43">
        <f>SUMIFS(TilgTilgung,TilgObj,7,TilgJahr,$C1184)</f>
      </c>
      <c r="K1184" s="43">
        <f>SUMIFS(TilgSonder,TilgObj,7,TilgJahr,$C1184)</f>
      </c>
      <c r="L1184" s="43">
        <f>SUMIFS(TilgErsatz,TilgObj,7,TilgJahr,$C1184)</f>
      </c>
      <c r="M1184" s="43">
        <f>MAX(0,SUMIF(DarlObj,7,DarlBetrag)-SUMIFS(TilgTilgung,TilgObj,7,TilgJahr,"&lt;="&amp;$C1184)-SUMIFS(TilgSonder,TilgObj,7,TilgJahr,"&lt;="&amp;$C1184))</f>
      </c>
      <c r="N1184" s="43">
        <f>SUMIFS(TilgErsatz,TilgObj,7,TilgJahr,"&lt;="&amp;$C1184)+SUMIFS(TilgErtrag,TilgObj,7,TilgJahr,"&lt;="&amp;$C1184)</f>
      </c>
      <c r="O1184" s="43">
        <f>INDEX(ObjWertEff,7)*(1+(Wertsteigerung)/100)^MAX(0,6)</f>
      </c>
      <c r="P1184" s="43">
        <f>IF(OR(INDEX(ObjAfaDauer,7)=0,INDEX(ObjAfaJahr,7)=0,$C1184&lt;INDEX(ObjKaufJahr,7),$C1184&gt;=INDEX(ObjKaufJahr,7)+INDEX(ObjAfaDauer,7)),0,IF($C1184=INDEX(ObjKaufJahr,7),INDEX(ObjAfaJahr,7)*(13-INDEX(ObjKaufMonat,7))/12,INDEX(ObjAfaJahr,7)))</f>
      </c>
      <c r="Q1184" s="43">
        <f>$F1184-$G1184-$H1184-$I1184-$P1184</f>
      </c>
      <c r="R1184" s="43">
        <f>$Q1184*INDEX(ObjSteuersatz,7)/100</f>
      </c>
      <c r="S1184" s="43">
        <f>$I1184+$J1184+$K1184+$L1184</f>
      </c>
      <c r="T1184" s="43">
        <f>$F1184-$G1184-$H1184-$S1184</f>
      </c>
      <c r="U1184" s="43">
        <f>$T1184-$R1184</f>
      </c>
      <c r="V1184" s="43">
        <f>$O1184-$M1184</f>
      </c>
      <c r="W1184" s="43">
        <f>$J1184+$K1184+$L1184</f>
      </c>
      <c r="X1184" s="43">
        <f>IF($O1184=0,0,$M1184/$O1184*100)</f>
      </c>
    </row>
    <row r="1185">
      <c r="A1185"/>
      <c r="B1185">
        <v>7</v>
      </c>
      <c r="C1185" s="43">
        <f>Jahr+7</f>
      </c>
      <c r="D1185">
        <v>7</v>
      </c>
      <c r="E1185" s="43">
        <f>IF(INDEX(ObjKaufJahr,7)=0,0,IF($C1185&lt;INDEX(ObjKaufJahr,7),0,IF($C1185&gt;INDEX(ObjKaufJahr,7),12,13-INDEX(ObjKaufMonat,7))))/12</f>
      </c>
      <c r="F1185" s="43">
        <f>SUMIFS(MlSumme,MlObj,7,MlJahr,$C1185)*(1-Leerstand/100)</f>
      </c>
      <c r="G1185" s="43">
        <f>INDEX(ObjLaufend,7)*(1+(Inflation)/100)^MAX(0,7)*$E1185</f>
      </c>
      <c r="H1185" s="43">
        <f>INDEX(ObjInstandBasis,7)*(1+(Inflation)/100)^MAX(0,7)*$E1185</f>
      </c>
      <c r="I1185" s="43">
        <f>SUMIFS(TilgZins,TilgObj,7,TilgJahr,$C1185)</f>
      </c>
      <c r="J1185" s="43">
        <f>SUMIFS(TilgTilgung,TilgObj,7,TilgJahr,$C1185)</f>
      </c>
      <c r="K1185" s="43">
        <f>SUMIFS(TilgSonder,TilgObj,7,TilgJahr,$C1185)</f>
      </c>
      <c r="L1185" s="43">
        <f>SUMIFS(TilgErsatz,TilgObj,7,TilgJahr,$C1185)</f>
      </c>
      <c r="M1185" s="43">
        <f>MAX(0,SUMIF(DarlObj,7,DarlBetrag)-SUMIFS(TilgTilgung,TilgObj,7,TilgJahr,"&lt;="&amp;$C1185)-SUMIFS(TilgSonder,TilgObj,7,TilgJahr,"&lt;="&amp;$C1185))</f>
      </c>
      <c r="N1185" s="43">
        <f>SUMIFS(TilgErsatz,TilgObj,7,TilgJahr,"&lt;="&amp;$C1185)+SUMIFS(TilgErtrag,TilgObj,7,TilgJahr,"&lt;="&amp;$C1185)</f>
      </c>
      <c r="O1185" s="43">
        <f>INDEX(ObjWertEff,7)*(1+(Wertsteigerung)/100)^MAX(0,7)</f>
      </c>
      <c r="P1185" s="43">
        <f>IF(OR(INDEX(ObjAfaDauer,7)=0,INDEX(ObjAfaJahr,7)=0,$C1185&lt;INDEX(ObjKaufJahr,7),$C1185&gt;=INDEX(ObjKaufJahr,7)+INDEX(ObjAfaDauer,7)),0,IF($C1185=INDEX(ObjKaufJahr,7),INDEX(ObjAfaJahr,7)*(13-INDEX(ObjKaufMonat,7))/12,INDEX(ObjAfaJahr,7)))</f>
      </c>
      <c r="Q1185" s="43">
        <f>$F1185-$G1185-$H1185-$I1185-$P1185</f>
      </c>
      <c r="R1185" s="43">
        <f>$Q1185*INDEX(ObjSteuersatz,7)/100</f>
      </c>
      <c r="S1185" s="43">
        <f>$I1185+$J1185+$K1185+$L1185</f>
      </c>
      <c r="T1185" s="43">
        <f>$F1185-$G1185-$H1185-$S1185</f>
      </c>
      <c r="U1185" s="43">
        <f>$T1185-$R1185</f>
      </c>
      <c r="V1185" s="43">
        <f>$O1185-$M1185</f>
      </c>
      <c r="W1185" s="43">
        <f>$J1185+$K1185+$L1185</f>
      </c>
      <c r="X1185" s="43">
        <f>IF($O1185=0,0,$M1185/$O1185*100)</f>
      </c>
    </row>
    <row r="1186">
      <c r="A1186"/>
      <c r="B1186">
        <v>7</v>
      </c>
      <c r="C1186" s="43">
        <f>Jahr+8</f>
      </c>
      <c r="D1186">
        <v>8</v>
      </c>
      <c r="E1186" s="43">
        <f>IF(INDEX(ObjKaufJahr,7)=0,0,IF($C1186&lt;INDEX(ObjKaufJahr,7),0,IF($C1186&gt;INDEX(ObjKaufJahr,7),12,13-INDEX(ObjKaufMonat,7))))/12</f>
      </c>
      <c r="F1186" s="43">
        <f>SUMIFS(MlSumme,MlObj,7,MlJahr,$C1186)*(1-Leerstand/100)</f>
      </c>
      <c r="G1186" s="43">
        <f>INDEX(ObjLaufend,7)*(1+(Inflation)/100)^MAX(0,8)*$E1186</f>
      </c>
      <c r="H1186" s="43">
        <f>INDEX(ObjInstandBasis,7)*(1+(Inflation)/100)^MAX(0,8)*$E1186</f>
      </c>
      <c r="I1186" s="43">
        <f>SUMIFS(TilgZins,TilgObj,7,TilgJahr,$C1186)</f>
      </c>
      <c r="J1186" s="43">
        <f>SUMIFS(TilgTilgung,TilgObj,7,TilgJahr,$C1186)</f>
      </c>
      <c r="K1186" s="43">
        <f>SUMIFS(TilgSonder,TilgObj,7,TilgJahr,$C1186)</f>
      </c>
      <c r="L1186" s="43">
        <f>SUMIFS(TilgErsatz,TilgObj,7,TilgJahr,$C1186)</f>
      </c>
      <c r="M1186" s="43">
        <f>MAX(0,SUMIF(DarlObj,7,DarlBetrag)-SUMIFS(TilgTilgung,TilgObj,7,TilgJahr,"&lt;="&amp;$C1186)-SUMIFS(TilgSonder,TilgObj,7,TilgJahr,"&lt;="&amp;$C1186))</f>
      </c>
      <c r="N1186" s="43">
        <f>SUMIFS(TilgErsatz,TilgObj,7,TilgJahr,"&lt;="&amp;$C1186)+SUMIFS(TilgErtrag,TilgObj,7,TilgJahr,"&lt;="&amp;$C1186)</f>
      </c>
      <c r="O1186" s="43">
        <f>INDEX(ObjWertEff,7)*(1+(Wertsteigerung)/100)^MAX(0,8)</f>
      </c>
      <c r="P1186" s="43">
        <f>IF(OR(INDEX(ObjAfaDauer,7)=0,INDEX(ObjAfaJahr,7)=0,$C1186&lt;INDEX(ObjKaufJahr,7),$C1186&gt;=INDEX(ObjKaufJahr,7)+INDEX(ObjAfaDauer,7)),0,IF($C1186=INDEX(ObjKaufJahr,7),INDEX(ObjAfaJahr,7)*(13-INDEX(ObjKaufMonat,7))/12,INDEX(ObjAfaJahr,7)))</f>
      </c>
      <c r="Q1186" s="43">
        <f>$F1186-$G1186-$H1186-$I1186-$P1186</f>
      </c>
      <c r="R1186" s="43">
        <f>$Q1186*INDEX(ObjSteuersatz,7)/100</f>
      </c>
      <c r="S1186" s="43">
        <f>$I1186+$J1186+$K1186+$L1186</f>
      </c>
      <c r="T1186" s="43">
        <f>$F1186-$G1186-$H1186-$S1186</f>
      </c>
      <c r="U1186" s="43">
        <f>$T1186-$R1186</f>
      </c>
      <c r="V1186" s="43">
        <f>$O1186-$M1186</f>
      </c>
      <c r="W1186" s="43">
        <f>$J1186+$K1186+$L1186</f>
      </c>
      <c r="X1186" s="43">
        <f>IF($O1186=0,0,$M1186/$O1186*100)</f>
      </c>
    </row>
    <row r="1187">
      <c r="A1187"/>
      <c r="B1187">
        <v>7</v>
      </c>
      <c r="C1187" s="43">
        <f>Jahr+9</f>
      </c>
      <c r="D1187">
        <v>9</v>
      </c>
      <c r="E1187" s="43">
        <f>IF(INDEX(ObjKaufJahr,7)=0,0,IF($C1187&lt;INDEX(ObjKaufJahr,7),0,IF($C1187&gt;INDEX(ObjKaufJahr,7),12,13-INDEX(ObjKaufMonat,7))))/12</f>
      </c>
      <c r="F1187" s="43">
        <f>SUMIFS(MlSumme,MlObj,7,MlJahr,$C1187)*(1-Leerstand/100)</f>
      </c>
      <c r="G1187" s="43">
        <f>INDEX(ObjLaufend,7)*(1+(Inflation)/100)^MAX(0,9)*$E1187</f>
      </c>
      <c r="H1187" s="43">
        <f>INDEX(ObjInstandBasis,7)*(1+(Inflation)/100)^MAX(0,9)*$E1187</f>
      </c>
      <c r="I1187" s="43">
        <f>SUMIFS(TilgZins,TilgObj,7,TilgJahr,$C1187)</f>
      </c>
      <c r="J1187" s="43">
        <f>SUMIFS(TilgTilgung,TilgObj,7,TilgJahr,$C1187)</f>
      </c>
      <c r="K1187" s="43">
        <f>SUMIFS(TilgSonder,TilgObj,7,TilgJahr,$C1187)</f>
      </c>
      <c r="L1187" s="43">
        <f>SUMIFS(TilgErsatz,TilgObj,7,TilgJahr,$C1187)</f>
      </c>
      <c r="M1187" s="43">
        <f>MAX(0,SUMIF(DarlObj,7,DarlBetrag)-SUMIFS(TilgTilgung,TilgObj,7,TilgJahr,"&lt;="&amp;$C1187)-SUMIFS(TilgSonder,TilgObj,7,TilgJahr,"&lt;="&amp;$C1187))</f>
      </c>
      <c r="N1187" s="43">
        <f>SUMIFS(TilgErsatz,TilgObj,7,TilgJahr,"&lt;="&amp;$C1187)+SUMIFS(TilgErtrag,TilgObj,7,TilgJahr,"&lt;="&amp;$C1187)</f>
      </c>
      <c r="O1187" s="43">
        <f>INDEX(ObjWertEff,7)*(1+(Wertsteigerung)/100)^MAX(0,9)</f>
      </c>
      <c r="P1187" s="43">
        <f>IF(OR(INDEX(ObjAfaDauer,7)=0,INDEX(ObjAfaJahr,7)=0,$C1187&lt;INDEX(ObjKaufJahr,7),$C1187&gt;=INDEX(ObjKaufJahr,7)+INDEX(ObjAfaDauer,7)),0,IF($C1187=INDEX(ObjKaufJahr,7),INDEX(ObjAfaJahr,7)*(13-INDEX(ObjKaufMonat,7))/12,INDEX(ObjAfaJahr,7)))</f>
      </c>
      <c r="Q1187" s="43">
        <f>$F1187-$G1187-$H1187-$I1187-$P1187</f>
      </c>
      <c r="R1187" s="43">
        <f>$Q1187*INDEX(ObjSteuersatz,7)/100</f>
      </c>
      <c r="S1187" s="43">
        <f>$I1187+$J1187+$K1187+$L1187</f>
      </c>
      <c r="T1187" s="43">
        <f>$F1187-$G1187-$H1187-$S1187</f>
      </c>
      <c r="U1187" s="43">
        <f>$T1187-$R1187</f>
      </c>
      <c r="V1187" s="43">
        <f>$O1187-$M1187</f>
      </c>
      <c r="W1187" s="43">
        <f>$J1187+$K1187+$L1187</f>
      </c>
      <c r="X1187" s="43">
        <f>IF($O1187=0,0,$M1187/$O1187*100)</f>
      </c>
    </row>
    <row r="1188">
      <c r="A1188"/>
      <c r="B1188">
        <v>7</v>
      </c>
      <c r="C1188" s="43">
        <f>Jahr+10</f>
      </c>
      <c r="D1188">
        <v>10</v>
      </c>
      <c r="E1188" s="43">
        <f>IF(INDEX(ObjKaufJahr,7)=0,0,IF($C1188&lt;INDEX(ObjKaufJahr,7),0,IF($C1188&gt;INDEX(ObjKaufJahr,7),12,13-INDEX(ObjKaufMonat,7))))/12</f>
      </c>
      <c r="F1188" s="43">
        <f>SUMIFS(MlSumme,MlObj,7,MlJahr,$C1188)*(1-Leerstand/100)</f>
      </c>
      <c r="G1188" s="43">
        <f>INDEX(ObjLaufend,7)*(1+(Inflation)/100)^MAX(0,10)*$E1188</f>
      </c>
      <c r="H1188" s="43">
        <f>INDEX(ObjInstandBasis,7)*(1+(Inflation)/100)^MAX(0,10)*$E1188</f>
      </c>
      <c r="I1188" s="43">
        <f>SUMIFS(TilgZins,TilgObj,7,TilgJahr,$C1188)</f>
      </c>
      <c r="J1188" s="43">
        <f>SUMIFS(TilgTilgung,TilgObj,7,TilgJahr,$C1188)</f>
      </c>
      <c r="K1188" s="43">
        <f>SUMIFS(TilgSonder,TilgObj,7,TilgJahr,$C1188)</f>
      </c>
      <c r="L1188" s="43">
        <f>SUMIFS(TilgErsatz,TilgObj,7,TilgJahr,$C1188)</f>
      </c>
      <c r="M1188" s="43">
        <f>MAX(0,SUMIF(DarlObj,7,DarlBetrag)-SUMIFS(TilgTilgung,TilgObj,7,TilgJahr,"&lt;="&amp;$C1188)-SUMIFS(TilgSonder,TilgObj,7,TilgJahr,"&lt;="&amp;$C1188))</f>
      </c>
      <c r="N1188" s="43">
        <f>SUMIFS(TilgErsatz,TilgObj,7,TilgJahr,"&lt;="&amp;$C1188)+SUMIFS(TilgErtrag,TilgObj,7,TilgJahr,"&lt;="&amp;$C1188)</f>
      </c>
      <c r="O1188" s="43">
        <f>INDEX(ObjWertEff,7)*(1+(Wertsteigerung)/100)^MAX(0,10)</f>
      </c>
      <c r="P1188" s="43">
        <f>IF(OR(INDEX(ObjAfaDauer,7)=0,INDEX(ObjAfaJahr,7)=0,$C1188&lt;INDEX(ObjKaufJahr,7),$C1188&gt;=INDEX(ObjKaufJahr,7)+INDEX(ObjAfaDauer,7)),0,IF($C1188=INDEX(ObjKaufJahr,7),INDEX(ObjAfaJahr,7)*(13-INDEX(ObjKaufMonat,7))/12,INDEX(ObjAfaJahr,7)))</f>
      </c>
      <c r="Q1188" s="43">
        <f>$F1188-$G1188-$H1188-$I1188-$P1188</f>
      </c>
      <c r="R1188" s="43">
        <f>$Q1188*INDEX(ObjSteuersatz,7)/100</f>
      </c>
      <c r="S1188" s="43">
        <f>$I1188+$J1188+$K1188+$L1188</f>
      </c>
      <c r="T1188" s="43">
        <f>$F1188-$G1188-$H1188-$S1188</f>
      </c>
      <c r="U1188" s="43">
        <f>$T1188-$R1188</f>
      </c>
      <c r="V1188" s="43">
        <f>$O1188-$M1188</f>
      </c>
      <c r="W1188" s="43">
        <f>$J1188+$K1188+$L1188</f>
      </c>
      <c r="X1188" s="43">
        <f>IF($O1188=0,0,$M1188/$O1188*100)</f>
      </c>
    </row>
    <row r="1189">
      <c r="A1189"/>
      <c r="B1189">
        <v>7</v>
      </c>
      <c r="C1189" s="43">
        <f>Jahr+11</f>
      </c>
      <c r="D1189">
        <v>11</v>
      </c>
      <c r="E1189" s="43">
        <f>IF(INDEX(ObjKaufJahr,7)=0,0,IF($C1189&lt;INDEX(ObjKaufJahr,7),0,IF($C1189&gt;INDEX(ObjKaufJahr,7),12,13-INDEX(ObjKaufMonat,7))))/12</f>
      </c>
      <c r="F1189" s="43">
        <f>SUMIFS(MlSumme,MlObj,7,MlJahr,$C1189)*(1-Leerstand/100)</f>
      </c>
      <c r="G1189" s="43">
        <f>INDEX(ObjLaufend,7)*(1+(Inflation)/100)^MAX(0,11)*$E1189</f>
      </c>
      <c r="H1189" s="43">
        <f>INDEX(ObjInstandBasis,7)*(1+(Inflation)/100)^MAX(0,11)*$E1189</f>
      </c>
      <c r="I1189" s="43">
        <f>SUMIFS(TilgZins,TilgObj,7,TilgJahr,$C1189)</f>
      </c>
      <c r="J1189" s="43">
        <f>SUMIFS(TilgTilgung,TilgObj,7,TilgJahr,$C1189)</f>
      </c>
      <c r="K1189" s="43">
        <f>SUMIFS(TilgSonder,TilgObj,7,TilgJahr,$C1189)</f>
      </c>
      <c r="L1189" s="43">
        <f>SUMIFS(TilgErsatz,TilgObj,7,TilgJahr,$C1189)</f>
      </c>
      <c r="M1189" s="43">
        <f>MAX(0,SUMIF(DarlObj,7,DarlBetrag)-SUMIFS(TilgTilgung,TilgObj,7,TilgJahr,"&lt;="&amp;$C1189)-SUMIFS(TilgSonder,TilgObj,7,TilgJahr,"&lt;="&amp;$C1189))</f>
      </c>
      <c r="N1189" s="43">
        <f>SUMIFS(TilgErsatz,TilgObj,7,TilgJahr,"&lt;="&amp;$C1189)+SUMIFS(TilgErtrag,TilgObj,7,TilgJahr,"&lt;="&amp;$C1189)</f>
      </c>
      <c r="O1189" s="43">
        <f>INDEX(ObjWertEff,7)*(1+(Wertsteigerung)/100)^MAX(0,11)</f>
      </c>
      <c r="P1189" s="43">
        <f>IF(OR(INDEX(ObjAfaDauer,7)=0,INDEX(ObjAfaJahr,7)=0,$C1189&lt;INDEX(ObjKaufJahr,7),$C1189&gt;=INDEX(ObjKaufJahr,7)+INDEX(ObjAfaDauer,7)),0,IF($C1189=INDEX(ObjKaufJahr,7),INDEX(ObjAfaJahr,7)*(13-INDEX(ObjKaufMonat,7))/12,INDEX(ObjAfaJahr,7)))</f>
      </c>
      <c r="Q1189" s="43">
        <f>$F1189-$G1189-$H1189-$I1189-$P1189</f>
      </c>
      <c r="R1189" s="43">
        <f>$Q1189*INDEX(ObjSteuersatz,7)/100</f>
      </c>
      <c r="S1189" s="43">
        <f>$I1189+$J1189+$K1189+$L1189</f>
      </c>
      <c r="T1189" s="43">
        <f>$F1189-$G1189-$H1189-$S1189</f>
      </c>
      <c r="U1189" s="43">
        <f>$T1189-$R1189</f>
      </c>
      <c r="V1189" s="43">
        <f>$O1189-$M1189</f>
      </c>
      <c r="W1189" s="43">
        <f>$J1189+$K1189+$L1189</f>
      </c>
      <c r="X1189" s="43">
        <f>IF($O1189=0,0,$M1189/$O1189*100)</f>
      </c>
    </row>
    <row r="1190">
      <c r="A1190"/>
      <c r="B1190">
        <v>7</v>
      </c>
      <c r="C1190" s="43">
        <f>Jahr+12</f>
      </c>
      <c r="D1190">
        <v>12</v>
      </c>
      <c r="E1190" s="43">
        <f>IF(INDEX(ObjKaufJahr,7)=0,0,IF($C1190&lt;INDEX(ObjKaufJahr,7),0,IF($C1190&gt;INDEX(ObjKaufJahr,7),12,13-INDEX(ObjKaufMonat,7))))/12</f>
      </c>
      <c r="F1190" s="43">
        <f>SUMIFS(MlSumme,MlObj,7,MlJahr,$C1190)*(1-Leerstand/100)</f>
      </c>
      <c r="G1190" s="43">
        <f>INDEX(ObjLaufend,7)*(1+(Inflation)/100)^MAX(0,12)*$E1190</f>
      </c>
      <c r="H1190" s="43">
        <f>INDEX(ObjInstandBasis,7)*(1+(Inflation)/100)^MAX(0,12)*$E1190</f>
      </c>
      <c r="I1190" s="43">
        <f>SUMIFS(TilgZins,TilgObj,7,TilgJahr,$C1190)</f>
      </c>
      <c r="J1190" s="43">
        <f>SUMIFS(TilgTilgung,TilgObj,7,TilgJahr,$C1190)</f>
      </c>
      <c r="K1190" s="43">
        <f>SUMIFS(TilgSonder,TilgObj,7,TilgJahr,$C1190)</f>
      </c>
      <c r="L1190" s="43">
        <f>SUMIFS(TilgErsatz,TilgObj,7,TilgJahr,$C1190)</f>
      </c>
      <c r="M1190" s="43">
        <f>MAX(0,SUMIF(DarlObj,7,DarlBetrag)-SUMIFS(TilgTilgung,TilgObj,7,TilgJahr,"&lt;="&amp;$C1190)-SUMIFS(TilgSonder,TilgObj,7,TilgJahr,"&lt;="&amp;$C1190))</f>
      </c>
      <c r="N1190" s="43">
        <f>SUMIFS(TilgErsatz,TilgObj,7,TilgJahr,"&lt;="&amp;$C1190)+SUMIFS(TilgErtrag,TilgObj,7,TilgJahr,"&lt;="&amp;$C1190)</f>
      </c>
      <c r="O1190" s="43">
        <f>INDEX(ObjWertEff,7)*(1+(Wertsteigerung)/100)^MAX(0,12)</f>
      </c>
      <c r="P1190" s="43">
        <f>IF(OR(INDEX(ObjAfaDauer,7)=0,INDEX(ObjAfaJahr,7)=0,$C1190&lt;INDEX(ObjKaufJahr,7),$C1190&gt;=INDEX(ObjKaufJahr,7)+INDEX(ObjAfaDauer,7)),0,IF($C1190=INDEX(ObjKaufJahr,7),INDEX(ObjAfaJahr,7)*(13-INDEX(ObjKaufMonat,7))/12,INDEX(ObjAfaJahr,7)))</f>
      </c>
      <c r="Q1190" s="43">
        <f>$F1190-$G1190-$H1190-$I1190-$P1190</f>
      </c>
      <c r="R1190" s="43">
        <f>$Q1190*INDEX(ObjSteuersatz,7)/100</f>
      </c>
      <c r="S1190" s="43">
        <f>$I1190+$J1190+$K1190+$L1190</f>
      </c>
      <c r="T1190" s="43">
        <f>$F1190-$G1190-$H1190-$S1190</f>
      </c>
      <c r="U1190" s="43">
        <f>$T1190-$R1190</f>
      </c>
      <c r="V1190" s="43">
        <f>$O1190-$M1190</f>
      </c>
      <c r="W1190" s="43">
        <f>$J1190+$K1190+$L1190</f>
      </c>
      <c r="X1190" s="43">
        <f>IF($O1190=0,0,$M1190/$O1190*100)</f>
      </c>
    </row>
    <row r="1191">
      <c r="A1191"/>
      <c r="B1191">
        <v>7</v>
      </c>
      <c r="C1191" s="43">
        <f>Jahr+13</f>
      </c>
      <c r="D1191">
        <v>13</v>
      </c>
      <c r="E1191" s="43">
        <f>IF(INDEX(ObjKaufJahr,7)=0,0,IF($C1191&lt;INDEX(ObjKaufJahr,7),0,IF($C1191&gt;INDEX(ObjKaufJahr,7),12,13-INDEX(ObjKaufMonat,7))))/12</f>
      </c>
      <c r="F1191" s="43">
        <f>SUMIFS(MlSumme,MlObj,7,MlJahr,$C1191)*(1-Leerstand/100)</f>
      </c>
      <c r="G1191" s="43">
        <f>INDEX(ObjLaufend,7)*(1+(Inflation)/100)^MAX(0,13)*$E1191</f>
      </c>
      <c r="H1191" s="43">
        <f>INDEX(ObjInstandBasis,7)*(1+(Inflation)/100)^MAX(0,13)*$E1191</f>
      </c>
      <c r="I1191" s="43">
        <f>SUMIFS(TilgZins,TilgObj,7,TilgJahr,$C1191)</f>
      </c>
      <c r="J1191" s="43">
        <f>SUMIFS(TilgTilgung,TilgObj,7,TilgJahr,$C1191)</f>
      </c>
      <c r="K1191" s="43">
        <f>SUMIFS(TilgSonder,TilgObj,7,TilgJahr,$C1191)</f>
      </c>
      <c r="L1191" s="43">
        <f>SUMIFS(TilgErsatz,TilgObj,7,TilgJahr,$C1191)</f>
      </c>
      <c r="M1191" s="43">
        <f>MAX(0,SUMIF(DarlObj,7,DarlBetrag)-SUMIFS(TilgTilgung,TilgObj,7,TilgJahr,"&lt;="&amp;$C1191)-SUMIFS(TilgSonder,TilgObj,7,TilgJahr,"&lt;="&amp;$C1191))</f>
      </c>
      <c r="N1191" s="43">
        <f>SUMIFS(TilgErsatz,TilgObj,7,TilgJahr,"&lt;="&amp;$C1191)+SUMIFS(TilgErtrag,TilgObj,7,TilgJahr,"&lt;="&amp;$C1191)</f>
      </c>
      <c r="O1191" s="43">
        <f>INDEX(ObjWertEff,7)*(1+(Wertsteigerung)/100)^MAX(0,13)</f>
      </c>
      <c r="P1191" s="43">
        <f>IF(OR(INDEX(ObjAfaDauer,7)=0,INDEX(ObjAfaJahr,7)=0,$C1191&lt;INDEX(ObjKaufJahr,7),$C1191&gt;=INDEX(ObjKaufJahr,7)+INDEX(ObjAfaDauer,7)),0,IF($C1191=INDEX(ObjKaufJahr,7),INDEX(ObjAfaJahr,7)*(13-INDEX(ObjKaufMonat,7))/12,INDEX(ObjAfaJahr,7)))</f>
      </c>
      <c r="Q1191" s="43">
        <f>$F1191-$G1191-$H1191-$I1191-$P1191</f>
      </c>
      <c r="R1191" s="43">
        <f>$Q1191*INDEX(ObjSteuersatz,7)/100</f>
      </c>
      <c r="S1191" s="43">
        <f>$I1191+$J1191+$K1191+$L1191</f>
      </c>
      <c r="T1191" s="43">
        <f>$F1191-$G1191-$H1191-$S1191</f>
      </c>
      <c r="U1191" s="43">
        <f>$T1191-$R1191</f>
      </c>
      <c r="V1191" s="43">
        <f>$O1191-$M1191</f>
      </c>
      <c r="W1191" s="43">
        <f>$J1191+$K1191+$L1191</f>
      </c>
      <c r="X1191" s="43">
        <f>IF($O1191=0,0,$M1191/$O1191*100)</f>
      </c>
    </row>
    <row r="1192">
      <c r="A1192"/>
      <c r="B1192">
        <v>7</v>
      </c>
      <c r="C1192" s="43">
        <f>Jahr+14</f>
      </c>
      <c r="D1192">
        <v>14</v>
      </c>
      <c r="E1192" s="43">
        <f>IF(INDEX(ObjKaufJahr,7)=0,0,IF($C1192&lt;INDEX(ObjKaufJahr,7),0,IF($C1192&gt;INDEX(ObjKaufJahr,7),12,13-INDEX(ObjKaufMonat,7))))/12</f>
      </c>
      <c r="F1192" s="43">
        <f>SUMIFS(MlSumme,MlObj,7,MlJahr,$C1192)*(1-Leerstand/100)</f>
      </c>
      <c r="G1192" s="43">
        <f>INDEX(ObjLaufend,7)*(1+(Inflation)/100)^MAX(0,14)*$E1192</f>
      </c>
      <c r="H1192" s="43">
        <f>INDEX(ObjInstandBasis,7)*(1+(Inflation)/100)^MAX(0,14)*$E1192</f>
      </c>
      <c r="I1192" s="43">
        <f>SUMIFS(TilgZins,TilgObj,7,TilgJahr,$C1192)</f>
      </c>
      <c r="J1192" s="43">
        <f>SUMIFS(TilgTilgung,TilgObj,7,TilgJahr,$C1192)</f>
      </c>
      <c r="K1192" s="43">
        <f>SUMIFS(TilgSonder,TilgObj,7,TilgJahr,$C1192)</f>
      </c>
      <c r="L1192" s="43">
        <f>SUMIFS(TilgErsatz,TilgObj,7,TilgJahr,$C1192)</f>
      </c>
      <c r="M1192" s="43">
        <f>MAX(0,SUMIF(DarlObj,7,DarlBetrag)-SUMIFS(TilgTilgung,TilgObj,7,TilgJahr,"&lt;="&amp;$C1192)-SUMIFS(TilgSonder,TilgObj,7,TilgJahr,"&lt;="&amp;$C1192))</f>
      </c>
      <c r="N1192" s="43">
        <f>SUMIFS(TilgErsatz,TilgObj,7,TilgJahr,"&lt;="&amp;$C1192)+SUMIFS(TilgErtrag,TilgObj,7,TilgJahr,"&lt;="&amp;$C1192)</f>
      </c>
      <c r="O1192" s="43">
        <f>INDEX(ObjWertEff,7)*(1+(Wertsteigerung)/100)^MAX(0,14)</f>
      </c>
      <c r="P1192" s="43">
        <f>IF(OR(INDEX(ObjAfaDauer,7)=0,INDEX(ObjAfaJahr,7)=0,$C1192&lt;INDEX(ObjKaufJahr,7),$C1192&gt;=INDEX(ObjKaufJahr,7)+INDEX(ObjAfaDauer,7)),0,IF($C1192=INDEX(ObjKaufJahr,7),INDEX(ObjAfaJahr,7)*(13-INDEX(ObjKaufMonat,7))/12,INDEX(ObjAfaJahr,7)))</f>
      </c>
      <c r="Q1192" s="43">
        <f>$F1192-$G1192-$H1192-$I1192-$P1192</f>
      </c>
      <c r="R1192" s="43">
        <f>$Q1192*INDEX(ObjSteuersatz,7)/100</f>
      </c>
      <c r="S1192" s="43">
        <f>$I1192+$J1192+$K1192+$L1192</f>
      </c>
      <c r="T1192" s="43">
        <f>$F1192-$G1192-$H1192-$S1192</f>
      </c>
      <c r="U1192" s="43">
        <f>$T1192-$R1192</f>
      </c>
      <c r="V1192" s="43">
        <f>$O1192-$M1192</f>
      </c>
      <c r="W1192" s="43">
        <f>$J1192+$K1192+$L1192</f>
      </c>
      <c r="X1192" s="43">
        <f>IF($O1192=0,0,$M1192/$O1192*100)</f>
      </c>
    </row>
    <row r="1193">
      <c r="A1193"/>
      <c r="B1193">
        <v>7</v>
      </c>
      <c r="C1193" s="43">
        <f>Jahr+15</f>
      </c>
      <c r="D1193">
        <v>15</v>
      </c>
      <c r="E1193" s="43">
        <f>IF(INDEX(ObjKaufJahr,7)=0,0,IF($C1193&lt;INDEX(ObjKaufJahr,7),0,IF($C1193&gt;INDEX(ObjKaufJahr,7),12,13-INDEX(ObjKaufMonat,7))))/12</f>
      </c>
      <c r="F1193" s="43">
        <f>SUMIFS(MlSumme,MlObj,7,MlJahr,$C1193)*(1-Leerstand/100)</f>
      </c>
      <c r="G1193" s="43">
        <f>INDEX(ObjLaufend,7)*(1+(Inflation)/100)^MAX(0,15)*$E1193</f>
      </c>
      <c r="H1193" s="43">
        <f>INDEX(ObjInstandBasis,7)*(1+(Inflation)/100)^MAX(0,15)*$E1193</f>
      </c>
      <c r="I1193" s="43">
        <f>SUMIFS(TilgZins,TilgObj,7,TilgJahr,$C1193)</f>
      </c>
      <c r="J1193" s="43">
        <f>SUMIFS(TilgTilgung,TilgObj,7,TilgJahr,$C1193)</f>
      </c>
      <c r="K1193" s="43">
        <f>SUMIFS(TilgSonder,TilgObj,7,TilgJahr,$C1193)</f>
      </c>
      <c r="L1193" s="43">
        <f>SUMIFS(TilgErsatz,TilgObj,7,TilgJahr,$C1193)</f>
      </c>
      <c r="M1193" s="43">
        <f>MAX(0,SUMIF(DarlObj,7,DarlBetrag)-SUMIFS(TilgTilgung,TilgObj,7,TilgJahr,"&lt;="&amp;$C1193)-SUMIFS(TilgSonder,TilgObj,7,TilgJahr,"&lt;="&amp;$C1193))</f>
      </c>
      <c r="N1193" s="43">
        <f>SUMIFS(TilgErsatz,TilgObj,7,TilgJahr,"&lt;="&amp;$C1193)+SUMIFS(TilgErtrag,TilgObj,7,TilgJahr,"&lt;="&amp;$C1193)</f>
      </c>
      <c r="O1193" s="43">
        <f>INDEX(ObjWertEff,7)*(1+(Wertsteigerung)/100)^MAX(0,15)</f>
      </c>
      <c r="P1193" s="43">
        <f>IF(OR(INDEX(ObjAfaDauer,7)=0,INDEX(ObjAfaJahr,7)=0,$C1193&lt;INDEX(ObjKaufJahr,7),$C1193&gt;=INDEX(ObjKaufJahr,7)+INDEX(ObjAfaDauer,7)),0,IF($C1193=INDEX(ObjKaufJahr,7),INDEX(ObjAfaJahr,7)*(13-INDEX(ObjKaufMonat,7))/12,INDEX(ObjAfaJahr,7)))</f>
      </c>
      <c r="Q1193" s="43">
        <f>$F1193-$G1193-$H1193-$I1193-$P1193</f>
      </c>
      <c r="R1193" s="43">
        <f>$Q1193*INDEX(ObjSteuersatz,7)/100</f>
      </c>
      <c r="S1193" s="43">
        <f>$I1193+$J1193+$K1193+$L1193</f>
      </c>
      <c r="T1193" s="43">
        <f>$F1193-$G1193-$H1193-$S1193</f>
      </c>
      <c r="U1193" s="43">
        <f>$T1193-$R1193</f>
      </c>
      <c r="V1193" s="43">
        <f>$O1193-$M1193</f>
      </c>
      <c r="W1193" s="43">
        <f>$J1193+$K1193+$L1193</f>
      </c>
      <c r="X1193" s="43">
        <f>IF($O1193=0,0,$M1193/$O1193*100)</f>
      </c>
    </row>
    <row r="1194">
      <c r="A1194"/>
      <c r="B1194">
        <v>7</v>
      </c>
      <c r="C1194" s="43">
        <f>Jahr+16</f>
      </c>
      <c r="D1194">
        <v>16</v>
      </c>
      <c r="E1194" s="43">
        <f>IF(INDEX(ObjKaufJahr,7)=0,0,IF($C1194&lt;INDEX(ObjKaufJahr,7),0,IF($C1194&gt;INDEX(ObjKaufJahr,7),12,13-INDEX(ObjKaufMonat,7))))/12</f>
      </c>
      <c r="F1194" s="43">
        <f>SUMIFS(MlSumme,MlObj,7,MlJahr,$C1194)*(1-Leerstand/100)</f>
      </c>
      <c r="G1194" s="43">
        <f>INDEX(ObjLaufend,7)*(1+(Inflation)/100)^MAX(0,16)*$E1194</f>
      </c>
      <c r="H1194" s="43">
        <f>INDEX(ObjInstandBasis,7)*(1+(Inflation)/100)^MAX(0,16)*$E1194</f>
      </c>
      <c r="I1194" s="43">
        <f>SUMIFS(TilgZins,TilgObj,7,TilgJahr,$C1194)</f>
      </c>
      <c r="J1194" s="43">
        <f>SUMIFS(TilgTilgung,TilgObj,7,TilgJahr,$C1194)</f>
      </c>
      <c r="K1194" s="43">
        <f>SUMIFS(TilgSonder,TilgObj,7,TilgJahr,$C1194)</f>
      </c>
      <c r="L1194" s="43">
        <f>SUMIFS(TilgErsatz,TilgObj,7,TilgJahr,$C1194)</f>
      </c>
      <c r="M1194" s="43">
        <f>MAX(0,SUMIF(DarlObj,7,DarlBetrag)-SUMIFS(TilgTilgung,TilgObj,7,TilgJahr,"&lt;="&amp;$C1194)-SUMIFS(TilgSonder,TilgObj,7,TilgJahr,"&lt;="&amp;$C1194))</f>
      </c>
      <c r="N1194" s="43">
        <f>SUMIFS(TilgErsatz,TilgObj,7,TilgJahr,"&lt;="&amp;$C1194)+SUMIFS(TilgErtrag,TilgObj,7,TilgJahr,"&lt;="&amp;$C1194)</f>
      </c>
      <c r="O1194" s="43">
        <f>INDEX(ObjWertEff,7)*(1+(Wertsteigerung)/100)^MAX(0,16)</f>
      </c>
      <c r="P1194" s="43">
        <f>IF(OR(INDEX(ObjAfaDauer,7)=0,INDEX(ObjAfaJahr,7)=0,$C1194&lt;INDEX(ObjKaufJahr,7),$C1194&gt;=INDEX(ObjKaufJahr,7)+INDEX(ObjAfaDauer,7)),0,IF($C1194=INDEX(ObjKaufJahr,7),INDEX(ObjAfaJahr,7)*(13-INDEX(ObjKaufMonat,7))/12,INDEX(ObjAfaJahr,7)))</f>
      </c>
      <c r="Q1194" s="43">
        <f>$F1194-$G1194-$H1194-$I1194-$P1194</f>
      </c>
      <c r="R1194" s="43">
        <f>$Q1194*INDEX(ObjSteuersatz,7)/100</f>
      </c>
      <c r="S1194" s="43">
        <f>$I1194+$J1194+$K1194+$L1194</f>
      </c>
      <c r="T1194" s="43">
        <f>$F1194-$G1194-$H1194-$S1194</f>
      </c>
      <c r="U1194" s="43">
        <f>$T1194-$R1194</f>
      </c>
      <c r="V1194" s="43">
        <f>$O1194-$M1194</f>
      </c>
      <c r="W1194" s="43">
        <f>$J1194+$K1194+$L1194</f>
      </c>
      <c r="X1194" s="43">
        <f>IF($O1194=0,0,$M1194/$O1194*100)</f>
      </c>
    </row>
    <row r="1195">
      <c r="A1195"/>
      <c r="B1195">
        <v>7</v>
      </c>
      <c r="C1195" s="43">
        <f>Jahr+17</f>
      </c>
      <c r="D1195">
        <v>17</v>
      </c>
      <c r="E1195" s="43">
        <f>IF(INDEX(ObjKaufJahr,7)=0,0,IF($C1195&lt;INDEX(ObjKaufJahr,7),0,IF($C1195&gt;INDEX(ObjKaufJahr,7),12,13-INDEX(ObjKaufMonat,7))))/12</f>
      </c>
      <c r="F1195" s="43">
        <f>SUMIFS(MlSumme,MlObj,7,MlJahr,$C1195)*(1-Leerstand/100)</f>
      </c>
      <c r="G1195" s="43">
        <f>INDEX(ObjLaufend,7)*(1+(Inflation)/100)^MAX(0,17)*$E1195</f>
      </c>
      <c r="H1195" s="43">
        <f>INDEX(ObjInstandBasis,7)*(1+(Inflation)/100)^MAX(0,17)*$E1195</f>
      </c>
      <c r="I1195" s="43">
        <f>SUMIFS(TilgZins,TilgObj,7,TilgJahr,$C1195)</f>
      </c>
      <c r="J1195" s="43">
        <f>SUMIFS(TilgTilgung,TilgObj,7,TilgJahr,$C1195)</f>
      </c>
      <c r="K1195" s="43">
        <f>SUMIFS(TilgSonder,TilgObj,7,TilgJahr,$C1195)</f>
      </c>
      <c r="L1195" s="43">
        <f>SUMIFS(TilgErsatz,TilgObj,7,TilgJahr,$C1195)</f>
      </c>
      <c r="M1195" s="43">
        <f>MAX(0,SUMIF(DarlObj,7,DarlBetrag)-SUMIFS(TilgTilgung,TilgObj,7,TilgJahr,"&lt;="&amp;$C1195)-SUMIFS(TilgSonder,TilgObj,7,TilgJahr,"&lt;="&amp;$C1195))</f>
      </c>
      <c r="N1195" s="43">
        <f>SUMIFS(TilgErsatz,TilgObj,7,TilgJahr,"&lt;="&amp;$C1195)+SUMIFS(TilgErtrag,TilgObj,7,TilgJahr,"&lt;="&amp;$C1195)</f>
      </c>
      <c r="O1195" s="43">
        <f>INDEX(ObjWertEff,7)*(1+(Wertsteigerung)/100)^MAX(0,17)</f>
      </c>
      <c r="P1195" s="43">
        <f>IF(OR(INDEX(ObjAfaDauer,7)=0,INDEX(ObjAfaJahr,7)=0,$C1195&lt;INDEX(ObjKaufJahr,7),$C1195&gt;=INDEX(ObjKaufJahr,7)+INDEX(ObjAfaDauer,7)),0,IF($C1195=INDEX(ObjKaufJahr,7),INDEX(ObjAfaJahr,7)*(13-INDEX(ObjKaufMonat,7))/12,INDEX(ObjAfaJahr,7)))</f>
      </c>
      <c r="Q1195" s="43">
        <f>$F1195-$G1195-$H1195-$I1195-$P1195</f>
      </c>
      <c r="R1195" s="43">
        <f>$Q1195*INDEX(ObjSteuersatz,7)/100</f>
      </c>
      <c r="S1195" s="43">
        <f>$I1195+$J1195+$K1195+$L1195</f>
      </c>
      <c r="T1195" s="43">
        <f>$F1195-$G1195-$H1195-$S1195</f>
      </c>
      <c r="U1195" s="43">
        <f>$T1195-$R1195</f>
      </c>
      <c r="V1195" s="43">
        <f>$O1195-$M1195</f>
      </c>
      <c r="W1195" s="43">
        <f>$J1195+$K1195+$L1195</f>
      </c>
      <c r="X1195" s="43">
        <f>IF($O1195=0,0,$M1195/$O1195*100)</f>
      </c>
    </row>
    <row r="1196">
      <c r="A1196"/>
      <c r="B1196">
        <v>7</v>
      </c>
      <c r="C1196" s="43">
        <f>Jahr+18</f>
      </c>
      <c r="D1196">
        <v>18</v>
      </c>
      <c r="E1196" s="43">
        <f>IF(INDEX(ObjKaufJahr,7)=0,0,IF($C1196&lt;INDEX(ObjKaufJahr,7),0,IF($C1196&gt;INDEX(ObjKaufJahr,7),12,13-INDEX(ObjKaufMonat,7))))/12</f>
      </c>
      <c r="F1196" s="43">
        <f>SUMIFS(MlSumme,MlObj,7,MlJahr,$C1196)*(1-Leerstand/100)</f>
      </c>
      <c r="G1196" s="43">
        <f>INDEX(ObjLaufend,7)*(1+(Inflation)/100)^MAX(0,18)*$E1196</f>
      </c>
      <c r="H1196" s="43">
        <f>INDEX(ObjInstandBasis,7)*(1+(Inflation)/100)^MAX(0,18)*$E1196</f>
      </c>
      <c r="I1196" s="43">
        <f>SUMIFS(TilgZins,TilgObj,7,TilgJahr,$C1196)</f>
      </c>
      <c r="J1196" s="43">
        <f>SUMIFS(TilgTilgung,TilgObj,7,TilgJahr,$C1196)</f>
      </c>
      <c r="K1196" s="43">
        <f>SUMIFS(TilgSonder,TilgObj,7,TilgJahr,$C1196)</f>
      </c>
      <c r="L1196" s="43">
        <f>SUMIFS(TilgErsatz,TilgObj,7,TilgJahr,$C1196)</f>
      </c>
      <c r="M1196" s="43">
        <f>MAX(0,SUMIF(DarlObj,7,DarlBetrag)-SUMIFS(TilgTilgung,TilgObj,7,TilgJahr,"&lt;="&amp;$C1196)-SUMIFS(TilgSonder,TilgObj,7,TilgJahr,"&lt;="&amp;$C1196))</f>
      </c>
      <c r="N1196" s="43">
        <f>SUMIFS(TilgErsatz,TilgObj,7,TilgJahr,"&lt;="&amp;$C1196)+SUMIFS(TilgErtrag,TilgObj,7,TilgJahr,"&lt;="&amp;$C1196)</f>
      </c>
      <c r="O1196" s="43">
        <f>INDEX(ObjWertEff,7)*(1+(Wertsteigerung)/100)^MAX(0,18)</f>
      </c>
      <c r="P1196" s="43">
        <f>IF(OR(INDEX(ObjAfaDauer,7)=0,INDEX(ObjAfaJahr,7)=0,$C1196&lt;INDEX(ObjKaufJahr,7),$C1196&gt;=INDEX(ObjKaufJahr,7)+INDEX(ObjAfaDauer,7)),0,IF($C1196=INDEX(ObjKaufJahr,7),INDEX(ObjAfaJahr,7)*(13-INDEX(ObjKaufMonat,7))/12,INDEX(ObjAfaJahr,7)))</f>
      </c>
      <c r="Q1196" s="43">
        <f>$F1196-$G1196-$H1196-$I1196-$P1196</f>
      </c>
      <c r="R1196" s="43">
        <f>$Q1196*INDEX(ObjSteuersatz,7)/100</f>
      </c>
      <c r="S1196" s="43">
        <f>$I1196+$J1196+$K1196+$L1196</f>
      </c>
      <c r="T1196" s="43">
        <f>$F1196-$G1196-$H1196-$S1196</f>
      </c>
      <c r="U1196" s="43">
        <f>$T1196-$R1196</f>
      </c>
      <c r="V1196" s="43">
        <f>$O1196-$M1196</f>
      </c>
      <c r="W1196" s="43">
        <f>$J1196+$K1196+$L1196</f>
      </c>
      <c r="X1196" s="43">
        <f>IF($O1196=0,0,$M1196/$O1196*100)</f>
      </c>
    </row>
    <row r="1197">
      <c r="A1197"/>
      <c r="B1197">
        <v>7</v>
      </c>
      <c r="C1197" s="43">
        <f>Jahr+19</f>
      </c>
      <c r="D1197">
        <v>19</v>
      </c>
      <c r="E1197" s="43">
        <f>IF(INDEX(ObjKaufJahr,7)=0,0,IF($C1197&lt;INDEX(ObjKaufJahr,7),0,IF($C1197&gt;INDEX(ObjKaufJahr,7),12,13-INDEX(ObjKaufMonat,7))))/12</f>
      </c>
      <c r="F1197" s="43">
        <f>SUMIFS(MlSumme,MlObj,7,MlJahr,$C1197)*(1-Leerstand/100)</f>
      </c>
      <c r="G1197" s="43">
        <f>INDEX(ObjLaufend,7)*(1+(Inflation)/100)^MAX(0,19)*$E1197</f>
      </c>
      <c r="H1197" s="43">
        <f>INDEX(ObjInstandBasis,7)*(1+(Inflation)/100)^MAX(0,19)*$E1197</f>
      </c>
      <c r="I1197" s="43">
        <f>SUMIFS(TilgZins,TilgObj,7,TilgJahr,$C1197)</f>
      </c>
      <c r="J1197" s="43">
        <f>SUMIFS(TilgTilgung,TilgObj,7,TilgJahr,$C1197)</f>
      </c>
      <c r="K1197" s="43">
        <f>SUMIFS(TilgSonder,TilgObj,7,TilgJahr,$C1197)</f>
      </c>
      <c r="L1197" s="43">
        <f>SUMIFS(TilgErsatz,TilgObj,7,TilgJahr,$C1197)</f>
      </c>
      <c r="M1197" s="43">
        <f>MAX(0,SUMIF(DarlObj,7,DarlBetrag)-SUMIFS(TilgTilgung,TilgObj,7,TilgJahr,"&lt;="&amp;$C1197)-SUMIFS(TilgSonder,TilgObj,7,TilgJahr,"&lt;="&amp;$C1197))</f>
      </c>
      <c r="N1197" s="43">
        <f>SUMIFS(TilgErsatz,TilgObj,7,TilgJahr,"&lt;="&amp;$C1197)+SUMIFS(TilgErtrag,TilgObj,7,TilgJahr,"&lt;="&amp;$C1197)</f>
      </c>
      <c r="O1197" s="43">
        <f>INDEX(ObjWertEff,7)*(1+(Wertsteigerung)/100)^MAX(0,19)</f>
      </c>
      <c r="P1197" s="43">
        <f>IF(OR(INDEX(ObjAfaDauer,7)=0,INDEX(ObjAfaJahr,7)=0,$C1197&lt;INDEX(ObjKaufJahr,7),$C1197&gt;=INDEX(ObjKaufJahr,7)+INDEX(ObjAfaDauer,7)),0,IF($C1197=INDEX(ObjKaufJahr,7),INDEX(ObjAfaJahr,7)*(13-INDEX(ObjKaufMonat,7))/12,INDEX(ObjAfaJahr,7)))</f>
      </c>
      <c r="Q1197" s="43">
        <f>$F1197-$G1197-$H1197-$I1197-$P1197</f>
      </c>
      <c r="R1197" s="43">
        <f>$Q1197*INDEX(ObjSteuersatz,7)/100</f>
      </c>
      <c r="S1197" s="43">
        <f>$I1197+$J1197+$K1197+$L1197</f>
      </c>
      <c r="T1197" s="43">
        <f>$F1197-$G1197-$H1197-$S1197</f>
      </c>
      <c r="U1197" s="43">
        <f>$T1197-$R1197</f>
      </c>
      <c r="V1197" s="43">
        <f>$O1197-$M1197</f>
      </c>
      <c r="W1197" s="43">
        <f>$J1197+$K1197+$L1197</f>
      </c>
      <c r="X1197" s="43">
        <f>IF($O1197=0,0,$M1197/$O1197*100)</f>
      </c>
    </row>
    <row r="1198">
      <c r="A1198"/>
      <c r="B1198">
        <v>7</v>
      </c>
      <c r="C1198" s="43">
        <f>Jahr+20</f>
      </c>
      <c r="D1198">
        <v>20</v>
      </c>
      <c r="E1198" s="43">
        <f>IF(INDEX(ObjKaufJahr,7)=0,0,IF($C1198&lt;INDEX(ObjKaufJahr,7),0,IF($C1198&gt;INDEX(ObjKaufJahr,7),12,13-INDEX(ObjKaufMonat,7))))/12</f>
      </c>
      <c r="F1198" s="43">
        <f>SUMIFS(MlSumme,MlObj,7,MlJahr,$C1198)*(1-Leerstand/100)</f>
      </c>
      <c r="G1198" s="43">
        <f>INDEX(ObjLaufend,7)*(1+(Inflation)/100)^MAX(0,20)*$E1198</f>
      </c>
      <c r="H1198" s="43">
        <f>INDEX(ObjInstandBasis,7)*(1+(Inflation)/100)^MAX(0,20)*$E1198</f>
      </c>
      <c r="I1198" s="43">
        <f>SUMIFS(TilgZins,TilgObj,7,TilgJahr,$C1198)</f>
      </c>
      <c r="J1198" s="43">
        <f>SUMIFS(TilgTilgung,TilgObj,7,TilgJahr,$C1198)</f>
      </c>
      <c r="K1198" s="43">
        <f>SUMIFS(TilgSonder,TilgObj,7,TilgJahr,$C1198)</f>
      </c>
      <c r="L1198" s="43">
        <f>SUMIFS(TilgErsatz,TilgObj,7,TilgJahr,$C1198)</f>
      </c>
      <c r="M1198" s="43">
        <f>MAX(0,SUMIF(DarlObj,7,DarlBetrag)-SUMIFS(TilgTilgung,TilgObj,7,TilgJahr,"&lt;="&amp;$C1198)-SUMIFS(TilgSonder,TilgObj,7,TilgJahr,"&lt;="&amp;$C1198))</f>
      </c>
      <c r="N1198" s="43">
        <f>SUMIFS(TilgErsatz,TilgObj,7,TilgJahr,"&lt;="&amp;$C1198)+SUMIFS(TilgErtrag,TilgObj,7,TilgJahr,"&lt;="&amp;$C1198)</f>
      </c>
      <c r="O1198" s="43">
        <f>INDEX(ObjWertEff,7)*(1+(Wertsteigerung)/100)^MAX(0,20)</f>
      </c>
      <c r="P1198" s="43">
        <f>IF(OR(INDEX(ObjAfaDauer,7)=0,INDEX(ObjAfaJahr,7)=0,$C1198&lt;INDEX(ObjKaufJahr,7),$C1198&gt;=INDEX(ObjKaufJahr,7)+INDEX(ObjAfaDauer,7)),0,IF($C1198=INDEX(ObjKaufJahr,7),INDEX(ObjAfaJahr,7)*(13-INDEX(ObjKaufMonat,7))/12,INDEX(ObjAfaJahr,7)))</f>
      </c>
      <c r="Q1198" s="43">
        <f>$F1198-$G1198-$H1198-$I1198-$P1198</f>
      </c>
      <c r="R1198" s="43">
        <f>$Q1198*INDEX(ObjSteuersatz,7)/100</f>
      </c>
      <c r="S1198" s="43">
        <f>$I1198+$J1198+$K1198+$L1198</f>
      </c>
      <c r="T1198" s="43">
        <f>$F1198-$G1198-$H1198-$S1198</f>
      </c>
      <c r="U1198" s="43">
        <f>$T1198-$R1198</f>
      </c>
      <c r="V1198" s="43">
        <f>$O1198-$M1198</f>
      </c>
      <c r="W1198" s="43">
        <f>$J1198+$K1198+$L1198</f>
      </c>
      <c r="X1198" s="43">
        <f>IF($O1198=0,0,$M1198/$O1198*100)</f>
      </c>
    </row>
    <row r="1199">
      <c r="A1199"/>
      <c r="B1199">
        <v>7</v>
      </c>
      <c r="C1199" s="43">
        <f>Jahr+21</f>
      </c>
      <c r="D1199">
        <v>21</v>
      </c>
      <c r="E1199" s="43">
        <f>IF(INDEX(ObjKaufJahr,7)=0,0,IF($C1199&lt;INDEX(ObjKaufJahr,7),0,IF($C1199&gt;INDEX(ObjKaufJahr,7),12,13-INDEX(ObjKaufMonat,7))))/12</f>
      </c>
      <c r="F1199" s="43">
        <f>SUMIFS(MlSumme,MlObj,7,MlJahr,$C1199)*(1-Leerstand/100)</f>
      </c>
      <c r="G1199" s="43">
        <f>INDEX(ObjLaufend,7)*(1+(Inflation)/100)^MAX(0,21)*$E1199</f>
      </c>
      <c r="H1199" s="43">
        <f>INDEX(ObjInstandBasis,7)*(1+(Inflation)/100)^MAX(0,21)*$E1199</f>
      </c>
      <c r="I1199" s="43">
        <f>SUMIFS(TilgZins,TilgObj,7,TilgJahr,$C1199)</f>
      </c>
      <c r="J1199" s="43">
        <f>SUMIFS(TilgTilgung,TilgObj,7,TilgJahr,$C1199)</f>
      </c>
      <c r="K1199" s="43">
        <f>SUMIFS(TilgSonder,TilgObj,7,TilgJahr,$C1199)</f>
      </c>
      <c r="L1199" s="43">
        <f>SUMIFS(TilgErsatz,TilgObj,7,TilgJahr,$C1199)</f>
      </c>
      <c r="M1199" s="43">
        <f>MAX(0,SUMIF(DarlObj,7,DarlBetrag)-SUMIFS(TilgTilgung,TilgObj,7,TilgJahr,"&lt;="&amp;$C1199)-SUMIFS(TilgSonder,TilgObj,7,TilgJahr,"&lt;="&amp;$C1199))</f>
      </c>
      <c r="N1199" s="43">
        <f>SUMIFS(TilgErsatz,TilgObj,7,TilgJahr,"&lt;="&amp;$C1199)+SUMIFS(TilgErtrag,TilgObj,7,TilgJahr,"&lt;="&amp;$C1199)</f>
      </c>
      <c r="O1199" s="43">
        <f>INDEX(ObjWertEff,7)*(1+(Wertsteigerung)/100)^MAX(0,21)</f>
      </c>
      <c r="P1199" s="43">
        <f>IF(OR(INDEX(ObjAfaDauer,7)=0,INDEX(ObjAfaJahr,7)=0,$C1199&lt;INDEX(ObjKaufJahr,7),$C1199&gt;=INDEX(ObjKaufJahr,7)+INDEX(ObjAfaDauer,7)),0,IF($C1199=INDEX(ObjKaufJahr,7),INDEX(ObjAfaJahr,7)*(13-INDEX(ObjKaufMonat,7))/12,INDEX(ObjAfaJahr,7)))</f>
      </c>
      <c r="Q1199" s="43">
        <f>$F1199-$G1199-$H1199-$I1199-$P1199</f>
      </c>
      <c r="R1199" s="43">
        <f>$Q1199*INDEX(ObjSteuersatz,7)/100</f>
      </c>
      <c r="S1199" s="43">
        <f>$I1199+$J1199+$K1199+$L1199</f>
      </c>
      <c r="T1199" s="43">
        <f>$F1199-$G1199-$H1199-$S1199</f>
      </c>
      <c r="U1199" s="43">
        <f>$T1199-$R1199</f>
      </c>
      <c r="V1199" s="43">
        <f>$O1199-$M1199</f>
      </c>
      <c r="W1199" s="43">
        <f>$J1199+$K1199+$L1199</f>
      </c>
      <c r="X1199" s="43">
        <f>IF($O1199=0,0,$M1199/$O1199*100)</f>
      </c>
    </row>
    <row r="1200">
      <c r="A1200"/>
      <c r="B1200">
        <v>7</v>
      </c>
      <c r="C1200" s="43">
        <f>Jahr+22</f>
      </c>
      <c r="D1200">
        <v>22</v>
      </c>
      <c r="E1200" s="43">
        <f>IF(INDEX(ObjKaufJahr,7)=0,0,IF($C1200&lt;INDEX(ObjKaufJahr,7),0,IF($C1200&gt;INDEX(ObjKaufJahr,7),12,13-INDEX(ObjKaufMonat,7))))/12</f>
      </c>
      <c r="F1200" s="43">
        <f>SUMIFS(MlSumme,MlObj,7,MlJahr,$C1200)*(1-Leerstand/100)</f>
      </c>
      <c r="G1200" s="43">
        <f>INDEX(ObjLaufend,7)*(1+(Inflation)/100)^MAX(0,22)*$E1200</f>
      </c>
      <c r="H1200" s="43">
        <f>INDEX(ObjInstandBasis,7)*(1+(Inflation)/100)^MAX(0,22)*$E1200</f>
      </c>
      <c r="I1200" s="43">
        <f>SUMIFS(TilgZins,TilgObj,7,TilgJahr,$C1200)</f>
      </c>
      <c r="J1200" s="43">
        <f>SUMIFS(TilgTilgung,TilgObj,7,TilgJahr,$C1200)</f>
      </c>
      <c r="K1200" s="43">
        <f>SUMIFS(TilgSonder,TilgObj,7,TilgJahr,$C1200)</f>
      </c>
      <c r="L1200" s="43">
        <f>SUMIFS(TilgErsatz,TilgObj,7,TilgJahr,$C1200)</f>
      </c>
      <c r="M1200" s="43">
        <f>MAX(0,SUMIF(DarlObj,7,DarlBetrag)-SUMIFS(TilgTilgung,TilgObj,7,TilgJahr,"&lt;="&amp;$C1200)-SUMIFS(TilgSonder,TilgObj,7,TilgJahr,"&lt;="&amp;$C1200))</f>
      </c>
      <c r="N1200" s="43">
        <f>SUMIFS(TilgErsatz,TilgObj,7,TilgJahr,"&lt;="&amp;$C1200)+SUMIFS(TilgErtrag,TilgObj,7,TilgJahr,"&lt;="&amp;$C1200)</f>
      </c>
      <c r="O1200" s="43">
        <f>INDEX(ObjWertEff,7)*(1+(Wertsteigerung)/100)^MAX(0,22)</f>
      </c>
      <c r="P1200" s="43">
        <f>IF(OR(INDEX(ObjAfaDauer,7)=0,INDEX(ObjAfaJahr,7)=0,$C1200&lt;INDEX(ObjKaufJahr,7),$C1200&gt;=INDEX(ObjKaufJahr,7)+INDEX(ObjAfaDauer,7)),0,IF($C1200=INDEX(ObjKaufJahr,7),INDEX(ObjAfaJahr,7)*(13-INDEX(ObjKaufMonat,7))/12,INDEX(ObjAfaJahr,7)))</f>
      </c>
      <c r="Q1200" s="43">
        <f>$F1200-$G1200-$H1200-$I1200-$P1200</f>
      </c>
      <c r="R1200" s="43">
        <f>$Q1200*INDEX(ObjSteuersatz,7)/100</f>
      </c>
      <c r="S1200" s="43">
        <f>$I1200+$J1200+$K1200+$L1200</f>
      </c>
      <c r="T1200" s="43">
        <f>$F1200-$G1200-$H1200-$S1200</f>
      </c>
      <c r="U1200" s="43">
        <f>$T1200-$R1200</f>
      </c>
      <c r="V1200" s="43">
        <f>$O1200-$M1200</f>
      </c>
      <c r="W1200" s="43">
        <f>$J1200+$K1200+$L1200</f>
      </c>
      <c r="X1200" s="43">
        <f>IF($O1200=0,0,$M1200/$O1200*100)</f>
      </c>
    </row>
    <row r="1201">
      <c r="A1201"/>
      <c r="B1201">
        <v>7</v>
      </c>
      <c r="C1201" s="43">
        <f>Jahr+23</f>
      </c>
      <c r="D1201">
        <v>23</v>
      </c>
      <c r="E1201" s="43">
        <f>IF(INDEX(ObjKaufJahr,7)=0,0,IF($C1201&lt;INDEX(ObjKaufJahr,7),0,IF($C1201&gt;INDEX(ObjKaufJahr,7),12,13-INDEX(ObjKaufMonat,7))))/12</f>
      </c>
      <c r="F1201" s="43">
        <f>SUMIFS(MlSumme,MlObj,7,MlJahr,$C1201)*(1-Leerstand/100)</f>
      </c>
      <c r="G1201" s="43">
        <f>INDEX(ObjLaufend,7)*(1+(Inflation)/100)^MAX(0,23)*$E1201</f>
      </c>
      <c r="H1201" s="43">
        <f>INDEX(ObjInstandBasis,7)*(1+(Inflation)/100)^MAX(0,23)*$E1201</f>
      </c>
      <c r="I1201" s="43">
        <f>SUMIFS(TilgZins,TilgObj,7,TilgJahr,$C1201)</f>
      </c>
      <c r="J1201" s="43">
        <f>SUMIFS(TilgTilgung,TilgObj,7,TilgJahr,$C1201)</f>
      </c>
      <c r="K1201" s="43">
        <f>SUMIFS(TilgSonder,TilgObj,7,TilgJahr,$C1201)</f>
      </c>
      <c r="L1201" s="43">
        <f>SUMIFS(TilgErsatz,TilgObj,7,TilgJahr,$C1201)</f>
      </c>
      <c r="M1201" s="43">
        <f>MAX(0,SUMIF(DarlObj,7,DarlBetrag)-SUMIFS(TilgTilgung,TilgObj,7,TilgJahr,"&lt;="&amp;$C1201)-SUMIFS(TilgSonder,TilgObj,7,TilgJahr,"&lt;="&amp;$C1201))</f>
      </c>
      <c r="N1201" s="43">
        <f>SUMIFS(TilgErsatz,TilgObj,7,TilgJahr,"&lt;="&amp;$C1201)+SUMIFS(TilgErtrag,TilgObj,7,TilgJahr,"&lt;="&amp;$C1201)</f>
      </c>
      <c r="O1201" s="43">
        <f>INDEX(ObjWertEff,7)*(1+(Wertsteigerung)/100)^MAX(0,23)</f>
      </c>
      <c r="P1201" s="43">
        <f>IF(OR(INDEX(ObjAfaDauer,7)=0,INDEX(ObjAfaJahr,7)=0,$C1201&lt;INDEX(ObjKaufJahr,7),$C1201&gt;=INDEX(ObjKaufJahr,7)+INDEX(ObjAfaDauer,7)),0,IF($C1201=INDEX(ObjKaufJahr,7),INDEX(ObjAfaJahr,7)*(13-INDEX(ObjKaufMonat,7))/12,INDEX(ObjAfaJahr,7)))</f>
      </c>
      <c r="Q1201" s="43">
        <f>$F1201-$G1201-$H1201-$I1201-$P1201</f>
      </c>
      <c r="R1201" s="43">
        <f>$Q1201*INDEX(ObjSteuersatz,7)/100</f>
      </c>
      <c r="S1201" s="43">
        <f>$I1201+$J1201+$K1201+$L1201</f>
      </c>
      <c r="T1201" s="43">
        <f>$F1201-$G1201-$H1201-$S1201</f>
      </c>
      <c r="U1201" s="43">
        <f>$T1201-$R1201</f>
      </c>
      <c r="V1201" s="43">
        <f>$O1201-$M1201</f>
      </c>
      <c r="W1201" s="43">
        <f>$J1201+$K1201+$L1201</f>
      </c>
      <c r="X1201" s="43">
        <f>IF($O1201=0,0,$M1201/$O1201*100)</f>
      </c>
    </row>
    <row r="1202">
      <c r="A1202"/>
      <c r="B1202">
        <v>7</v>
      </c>
      <c r="C1202" s="43">
        <f>Jahr+24</f>
      </c>
      <c r="D1202">
        <v>24</v>
      </c>
      <c r="E1202" s="43">
        <f>IF(INDEX(ObjKaufJahr,7)=0,0,IF($C1202&lt;INDEX(ObjKaufJahr,7),0,IF($C1202&gt;INDEX(ObjKaufJahr,7),12,13-INDEX(ObjKaufMonat,7))))/12</f>
      </c>
      <c r="F1202" s="43">
        <f>SUMIFS(MlSumme,MlObj,7,MlJahr,$C1202)*(1-Leerstand/100)</f>
      </c>
      <c r="G1202" s="43">
        <f>INDEX(ObjLaufend,7)*(1+(Inflation)/100)^MAX(0,24)*$E1202</f>
      </c>
      <c r="H1202" s="43">
        <f>INDEX(ObjInstandBasis,7)*(1+(Inflation)/100)^MAX(0,24)*$E1202</f>
      </c>
      <c r="I1202" s="43">
        <f>SUMIFS(TilgZins,TilgObj,7,TilgJahr,$C1202)</f>
      </c>
      <c r="J1202" s="43">
        <f>SUMIFS(TilgTilgung,TilgObj,7,TilgJahr,$C1202)</f>
      </c>
      <c r="K1202" s="43">
        <f>SUMIFS(TilgSonder,TilgObj,7,TilgJahr,$C1202)</f>
      </c>
      <c r="L1202" s="43">
        <f>SUMIFS(TilgErsatz,TilgObj,7,TilgJahr,$C1202)</f>
      </c>
      <c r="M1202" s="43">
        <f>MAX(0,SUMIF(DarlObj,7,DarlBetrag)-SUMIFS(TilgTilgung,TilgObj,7,TilgJahr,"&lt;="&amp;$C1202)-SUMIFS(TilgSonder,TilgObj,7,TilgJahr,"&lt;="&amp;$C1202))</f>
      </c>
      <c r="N1202" s="43">
        <f>SUMIFS(TilgErsatz,TilgObj,7,TilgJahr,"&lt;="&amp;$C1202)+SUMIFS(TilgErtrag,TilgObj,7,TilgJahr,"&lt;="&amp;$C1202)</f>
      </c>
      <c r="O1202" s="43">
        <f>INDEX(ObjWertEff,7)*(1+(Wertsteigerung)/100)^MAX(0,24)</f>
      </c>
      <c r="P1202" s="43">
        <f>IF(OR(INDEX(ObjAfaDauer,7)=0,INDEX(ObjAfaJahr,7)=0,$C1202&lt;INDEX(ObjKaufJahr,7),$C1202&gt;=INDEX(ObjKaufJahr,7)+INDEX(ObjAfaDauer,7)),0,IF($C1202=INDEX(ObjKaufJahr,7),INDEX(ObjAfaJahr,7)*(13-INDEX(ObjKaufMonat,7))/12,INDEX(ObjAfaJahr,7)))</f>
      </c>
      <c r="Q1202" s="43">
        <f>$F1202-$G1202-$H1202-$I1202-$P1202</f>
      </c>
      <c r="R1202" s="43">
        <f>$Q1202*INDEX(ObjSteuersatz,7)/100</f>
      </c>
      <c r="S1202" s="43">
        <f>$I1202+$J1202+$K1202+$L1202</f>
      </c>
      <c r="T1202" s="43">
        <f>$F1202-$G1202-$H1202-$S1202</f>
      </c>
      <c r="U1202" s="43">
        <f>$T1202-$R1202</f>
      </c>
      <c r="V1202" s="43">
        <f>$O1202-$M1202</f>
      </c>
      <c r="W1202" s="43">
        <f>$J1202+$K1202+$L1202</f>
      </c>
      <c r="X1202" s="43">
        <f>IF($O1202=0,0,$M1202/$O1202*100)</f>
      </c>
    </row>
    <row r="1203">
      <c r="A1203"/>
      <c r="B1203">
        <v>7</v>
      </c>
      <c r="C1203" s="43">
        <f>Jahr+25</f>
      </c>
      <c r="D1203">
        <v>25</v>
      </c>
      <c r="E1203" s="43">
        <f>IF(INDEX(ObjKaufJahr,7)=0,0,IF($C1203&lt;INDEX(ObjKaufJahr,7),0,IF($C1203&gt;INDEX(ObjKaufJahr,7),12,13-INDEX(ObjKaufMonat,7))))/12</f>
      </c>
      <c r="F1203" s="43">
        <f>SUMIFS(MlSumme,MlObj,7,MlJahr,$C1203)*(1-Leerstand/100)</f>
      </c>
      <c r="G1203" s="43">
        <f>INDEX(ObjLaufend,7)*(1+(Inflation)/100)^MAX(0,25)*$E1203</f>
      </c>
      <c r="H1203" s="43">
        <f>INDEX(ObjInstandBasis,7)*(1+(Inflation)/100)^MAX(0,25)*$E1203</f>
      </c>
      <c r="I1203" s="43">
        <f>SUMIFS(TilgZins,TilgObj,7,TilgJahr,$C1203)</f>
      </c>
      <c r="J1203" s="43">
        <f>SUMIFS(TilgTilgung,TilgObj,7,TilgJahr,$C1203)</f>
      </c>
      <c r="K1203" s="43">
        <f>SUMIFS(TilgSonder,TilgObj,7,TilgJahr,$C1203)</f>
      </c>
      <c r="L1203" s="43">
        <f>SUMIFS(TilgErsatz,TilgObj,7,TilgJahr,$C1203)</f>
      </c>
      <c r="M1203" s="43">
        <f>MAX(0,SUMIF(DarlObj,7,DarlBetrag)-SUMIFS(TilgTilgung,TilgObj,7,TilgJahr,"&lt;="&amp;$C1203)-SUMIFS(TilgSonder,TilgObj,7,TilgJahr,"&lt;="&amp;$C1203))</f>
      </c>
      <c r="N1203" s="43">
        <f>SUMIFS(TilgErsatz,TilgObj,7,TilgJahr,"&lt;="&amp;$C1203)+SUMIFS(TilgErtrag,TilgObj,7,TilgJahr,"&lt;="&amp;$C1203)</f>
      </c>
      <c r="O1203" s="43">
        <f>INDEX(ObjWertEff,7)*(1+(Wertsteigerung)/100)^MAX(0,25)</f>
      </c>
      <c r="P1203" s="43">
        <f>IF(OR(INDEX(ObjAfaDauer,7)=0,INDEX(ObjAfaJahr,7)=0,$C1203&lt;INDEX(ObjKaufJahr,7),$C1203&gt;=INDEX(ObjKaufJahr,7)+INDEX(ObjAfaDauer,7)),0,IF($C1203=INDEX(ObjKaufJahr,7),INDEX(ObjAfaJahr,7)*(13-INDEX(ObjKaufMonat,7))/12,INDEX(ObjAfaJahr,7)))</f>
      </c>
      <c r="Q1203" s="43">
        <f>$F1203-$G1203-$H1203-$I1203-$P1203</f>
      </c>
      <c r="R1203" s="43">
        <f>$Q1203*INDEX(ObjSteuersatz,7)/100</f>
      </c>
      <c r="S1203" s="43">
        <f>$I1203+$J1203+$K1203+$L1203</f>
      </c>
      <c r="T1203" s="43">
        <f>$F1203-$G1203-$H1203-$S1203</f>
      </c>
      <c r="U1203" s="43">
        <f>$T1203-$R1203</f>
      </c>
      <c r="V1203" s="43">
        <f>$O1203-$M1203</f>
      </c>
      <c r="W1203" s="43">
        <f>$J1203+$K1203+$L1203</f>
      </c>
      <c r="X1203" s="43">
        <f>IF($O1203=0,0,$M1203/$O1203*100)</f>
      </c>
    </row>
    <row r="1204">
      <c r="A1204"/>
      <c r="B1204">
        <v>7</v>
      </c>
      <c r="C1204" s="43">
        <f>Jahr+26</f>
      </c>
      <c r="D1204">
        <v>26</v>
      </c>
      <c r="E1204" s="43">
        <f>IF(INDEX(ObjKaufJahr,7)=0,0,IF($C1204&lt;INDEX(ObjKaufJahr,7),0,IF($C1204&gt;INDEX(ObjKaufJahr,7),12,13-INDEX(ObjKaufMonat,7))))/12</f>
      </c>
      <c r="F1204" s="43">
        <f>SUMIFS(MlSumme,MlObj,7,MlJahr,$C1204)*(1-Leerstand/100)</f>
      </c>
      <c r="G1204" s="43">
        <f>INDEX(ObjLaufend,7)*(1+(Inflation)/100)^MAX(0,26)*$E1204</f>
      </c>
      <c r="H1204" s="43">
        <f>INDEX(ObjInstandBasis,7)*(1+(Inflation)/100)^MAX(0,26)*$E1204</f>
      </c>
      <c r="I1204" s="43">
        <f>SUMIFS(TilgZins,TilgObj,7,TilgJahr,$C1204)</f>
      </c>
      <c r="J1204" s="43">
        <f>SUMIFS(TilgTilgung,TilgObj,7,TilgJahr,$C1204)</f>
      </c>
      <c r="K1204" s="43">
        <f>SUMIFS(TilgSonder,TilgObj,7,TilgJahr,$C1204)</f>
      </c>
      <c r="L1204" s="43">
        <f>SUMIFS(TilgErsatz,TilgObj,7,TilgJahr,$C1204)</f>
      </c>
      <c r="M1204" s="43">
        <f>MAX(0,SUMIF(DarlObj,7,DarlBetrag)-SUMIFS(TilgTilgung,TilgObj,7,TilgJahr,"&lt;="&amp;$C1204)-SUMIFS(TilgSonder,TilgObj,7,TilgJahr,"&lt;="&amp;$C1204))</f>
      </c>
      <c r="N1204" s="43">
        <f>SUMIFS(TilgErsatz,TilgObj,7,TilgJahr,"&lt;="&amp;$C1204)+SUMIFS(TilgErtrag,TilgObj,7,TilgJahr,"&lt;="&amp;$C1204)</f>
      </c>
      <c r="O1204" s="43">
        <f>INDEX(ObjWertEff,7)*(1+(Wertsteigerung)/100)^MAX(0,26)</f>
      </c>
      <c r="P1204" s="43">
        <f>IF(OR(INDEX(ObjAfaDauer,7)=0,INDEX(ObjAfaJahr,7)=0,$C1204&lt;INDEX(ObjKaufJahr,7),$C1204&gt;=INDEX(ObjKaufJahr,7)+INDEX(ObjAfaDauer,7)),0,IF($C1204=INDEX(ObjKaufJahr,7),INDEX(ObjAfaJahr,7)*(13-INDEX(ObjKaufMonat,7))/12,INDEX(ObjAfaJahr,7)))</f>
      </c>
      <c r="Q1204" s="43">
        <f>$F1204-$G1204-$H1204-$I1204-$P1204</f>
      </c>
      <c r="R1204" s="43">
        <f>$Q1204*INDEX(ObjSteuersatz,7)/100</f>
      </c>
      <c r="S1204" s="43">
        <f>$I1204+$J1204+$K1204+$L1204</f>
      </c>
      <c r="T1204" s="43">
        <f>$F1204-$G1204-$H1204-$S1204</f>
      </c>
      <c r="U1204" s="43">
        <f>$T1204-$R1204</f>
      </c>
      <c r="V1204" s="43">
        <f>$O1204-$M1204</f>
      </c>
      <c r="W1204" s="43">
        <f>$J1204+$K1204+$L1204</f>
      </c>
      <c r="X1204" s="43">
        <f>IF($O1204=0,0,$M1204/$O1204*100)</f>
      </c>
    </row>
    <row r="1205">
      <c r="A1205"/>
      <c r="B1205">
        <v>7</v>
      </c>
      <c r="C1205" s="43">
        <f>Jahr+27</f>
      </c>
      <c r="D1205">
        <v>27</v>
      </c>
      <c r="E1205" s="43">
        <f>IF(INDEX(ObjKaufJahr,7)=0,0,IF($C1205&lt;INDEX(ObjKaufJahr,7),0,IF($C1205&gt;INDEX(ObjKaufJahr,7),12,13-INDEX(ObjKaufMonat,7))))/12</f>
      </c>
      <c r="F1205" s="43">
        <f>SUMIFS(MlSumme,MlObj,7,MlJahr,$C1205)*(1-Leerstand/100)</f>
      </c>
      <c r="G1205" s="43">
        <f>INDEX(ObjLaufend,7)*(1+(Inflation)/100)^MAX(0,27)*$E1205</f>
      </c>
      <c r="H1205" s="43">
        <f>INDEX(ObjInstandBasis,7)*(1+(Inflation)/100)^MAX(0,27)*$E1205</f>
      </c>
      <c r="I1205" s="43">
        <f>SUMIFS(TilgZins,TilgObj,7,TilgJahr,$C1205)</f>
      </c>
      <c r="J1205" s="43">
        <f>SUMIFS(TilgTilgung,TilgObj,7,TilgJahr,$C1205)</f>
      </c>
      <c r="K1205" s="43">
        <f>SUMIFS(TilgSonder,TilgObj,7,TilgJahr,$C1205)</f>
      </c>
      <c r="L1205" s="43">
        <f>SUMIFS(TilgErsatz,TilgObj,7,TilgJahr,$C1205)</f>
      </c>
      <c r="M1205" s="43">
        <f>MAX(0,SUMIF(DarlObj,7,DarlBetrag)-SUMIFS(TilgTilgung,TilgObj,7,TilgJahr,"&lt;="&amp;$C1205)-SUMIFS(TilgSonder,TilgObj,7,TilgJahr,"&lt;="&amp;$C1205))</f>
      </c>
      <c r="N1205" s="43">
        <f>SUMIFS(TilgErsatz,TilgObj,7,TilgJahr,"&lt;="&amp;$C1205)+SUMIFS(TilgErtrag,TilgObj,7,TilgJahr,"&lt;="&amp;$C1205)</f>
      </c>
      <c r="O1205" s="43">
        <f>INDEX(ObjWertEff,7)*(1+(Wertsteigerung)/100)^MAX(0,27)</f>
      </c>
      <c r="P1205" s="43">
        <f>IF(OR(INDEX(ObjAfaDauer,7)=0,INDEX(ObjAfaJahr,7)=0,$C1205&lt;INDEX(ObjKaufJahr,7),$C1205&gt;=INDEX(ObjKaufJahr,7)+INDEX(ObjAfaDauer,7)),0,IF($C1205=INDEX(ObjKaufJahr,7),INDEX(ObjAfaJahr,7)*(13-INDEX(ObjKaufMonat,7))/12,INDEX(ObjAfaJahr,7)))</f>
      </c>
      <c r="Q1205" s="43">
        <f>$F1205-$G1205-$H1205-$I1205-$P1205</f>
      </c>
      <c r="R1205" s="43">
        <f>$Q1205*INDEX(ObjSteuersatz,7)/100</f>
      </c>
      <c r="S1205" s="43">
        <f>$I1205+$J1205+$K1205+$L1205</f>
      </c>
      <c r="T1205" s="43">
        <f>$F1205-$G1205-$H1205-$S1205</f>
      </c>
      <c r="U1205" s="43">
        <f>$T1205-$R1205</f>
      </c>
      <c r="V1205" s="43">
        <f>$O1205-$M1205</f>
      </c>
      <c r="W1205" s="43">
        <f>$J1205+$K1205+$L1205</f>
      </c>
      <c r="X1205" s="43">
        <f>IF($O1205=0,0,$M1205/$O1205*100)</f>
      </c>
    </row>
    <row r="1206">
      <c r="A1206"/>
      <c r="B1206">
        <v>7</v>
      </c>
      <c r="C1206" s="43">
        <f>Jahr+28</f>
      </c>
      <c r="D1206">
        <v>28</v>
      </c>
      <c r="E1206" s="43">
        <f>IF(INDEX(ObjKaufJahr,7)=0,0,IF($C1206&lt;INDEX(ObjKaufJahr,7),0,IF($C1206&gt;INDEX(ObjKaufJahr,7),12,13-INDEX(ObjKaufMonat,7))))/12</f>
      </c>
      <c r="F1206" s="43">
        <f>SUMIFS(MlSumme,MlObj,7,MlJahr,$C1206)*(1-Leerstand/100)</f>
      </c>
      <c r="G1206" s="43">
        <f>INDEX(ObjLaufend,7)*(1+(Inflation)/100)^MAX(0,28)*$E1206</f>
      </c>
      <c r="H1206" s="43">
        <f>INDEX(ObjInstandBasis,7)*(1+(Inflation)/100)^MAX(0,28)*$E1206</f>
      </c>
      <c r="I1206" s="43">
        <f>SUMIFS(TilgZins,TilgObj,7,TilgJahr,$C1206)</f>
      </c>
      <c r="J1206" s="43">
        <f>SUMIFS(TilgTilgung,TilgObj,7,TilgJahr,$C1206)</f>
      </c>
      <c r="K1206" s="43">
        <f>SUMIFS(TilgSonder,TilgObj,7,TilgJahr,$C1206)</f>
      </c>
      <c r="L1206" s="43">
        <f>SUMIFS(TilgErsatz,TilgObj,7,TilgJahr,$C1206)</f>
      </c>
      <c r="M1206" s="43">
        <f>MAX(0,SUMIF(DarlObj,7,DarlBetrag)-SUMIFS(TilgTilgung,TilgObj,7,TilgJahr,"&lt;="&amp;$C1206)-SUMIFS(TilgSonder,TilgObj,7,TilgJahr,"&lt;="&amp;$C1206))</f>
      </c>
      <c r="N1206" s="43">
        <f>SUMIFS(TilgErsatz,TilgObj,7,TilgJahr,"&lt;="&amp;$C1206)+SUMIFS(TilgErtrag,TilgObj,7,TilgJahr,"&lt;="&amp;$C1206)</f>
      </c>
      <c r="O1206" s="43">
        <f>INDEX(ObjWertEff,7)*(1+(Wertsteigerung)/100)^MAX(0,28)</f>
      </c>
      <c r="P1206" s="43">
        <f>IF(OR(INDEX(ObjAfaDauer,7)=0,INDEX(ObjAfaJahr,7)=0,$C1206&lt;INDEX(ObjKaufJahr,7),$C1206&gt;=INDEX(ObjKaufJahr,7)+INDEX(ObjAfaDauer,7)),0,IF($C1206=INDEX(ObjKaufJahr,7),INDEX(ObjAfaJahr,7)*(13-INDEX(ObjKaufMonat,7))/12,INDEX(ObjAfaJahr,7)))</f>
      </c>
      <c r="Q1206" s="43">
        <f>$F1206-$G1206-$H1206-$I1206-$P1206</f>
      </c>
      <c r="R1206" s="43">
        <f>$Q1206*INDEX(ObjSteuersatz,7)/100</f>
      </c>
      <c r="S1206" s="43">
        <f>$I1206+$J1206+$K1206+$L1206</f>
      </c>
      <c r="T1206" s="43">
        <f>$F1206-$G1206-$H1206-$S1206</f>
      </c>
      <c r="U1206" s="43">
        <f>$T1206-$R1206</f>
      </c>
      <c r="V1206" s="43">
        <f>$O1206-$M1206</f>
      </c>
      <c r="W1206" s="43">
        <f>$J1206+$K1206+$L1206</f>
      </c>
      <c r="X1206" s="43">
        <f>IF($O1206=0,0,$M1206/$O1206*100)</f>
      </c>
    </row>
    <row r="1207">
      <c r="A1207"/>
      <c r="B1207">
        <v>7</v>
      </c>
      <c r="C1207" s="43">
        <f>Jahr+29</f>
      </c>
      <c r="D1207">
        <v>29</v>
      </c>
      <c r="E1207" s="43">
        <f>IF(INDEX(ObjKaufJahr,7)=0,0,IF($C1207&lt;INDEX(ObjKaufJahr,7),0,IF($C1207&gt;INDEX(ObjKaufJahr,7),12,13-INDEX(ObjKaufMonat,7))))/12</f>
      </c>
      <c r="F1207" s="43">
        <f>SUMIFS(MlSumme,MlObj,7,MlJahr,$C1207)*(1-Leerstand/100)</f>
      </c>
      <c r="G1207" s="43">
        <f>INDEX(ObjLaufend,7)*(1+(Inflation)/100)^MAX(0,29)*$E1207</f>
      </c>
      <c r="H1207" s="43">
        <f>INDEX(ObjInstandBasis,7)*(1+(Inflation)/100)^MAX(0,29)*$E1207</f>
      </c>
      <c r="I1207" s="43">
        <f>SUMIFS(TilgZins,TilgObj,7,TilgJahr,$C1207)</f>
      </c>
      <c r="J1207" s="43">
        <f>SUMIFS(TilgTilgung,TilgObj,7,TilgJahr,$C1207)</f>
      </c>
      <c r="K1207" s="43">
        <f>SUMIFS(TilgSonder,TilgObj,7,TilgJahr,$C1207)</f>
      </c>
      <c r="L1207" s="43">
        <f>SUMIFS(TilgErsatz,TilgObj,7,TilgJahr,$C1207)</f>
      </c>
      <c r="M1207" s="43">
        <f>MAX(0,SUMIF(DarlObj,7,DarlBetrag)-SUMIFS(TilgTilgung,TilgObj,7,TilgJahr,"&lt;="&amp;$C1207)-SUMIFS(TilgSonder,TilgObj,7,TilgJahr,"&lt;="&amp;$C1207))</f>
      </c>
      <c r="N1207" s="43">
        <f>SUMIFS(TilgErsatz,TilgObj,7,TilgJahr,"&lt;="&amp;$C1207)+SUMIFS(TilgErtrag,TilgObj,7,TilgJahr,"&lt;="&amp;$C1207)</f>
      </c>
      <c r="O1207" s="43">
        <f>INDEX(ObjWertEff,7)*(1+(Wertsteigerung)/100)^MAX(0,29)</f>
      </c>
      <c r="P1207" s="43">
        <f>IF(OR(INDEX(ObjAfaDauer,7)=0,INDEX(ObjAfaJahr,7)=0,$C1207&lt;INDEX(ObjKaufJahr,7),$C1207&gt;=INDEX(ObjKaufJahr,7)+INDEX(ObjAfaDauer,7)),0,IF($C1207=INDEX(ObjKaufJahr,7),INDEX(ObjAfaJahr,7)*(13-INDEX(ObjKaufMonat,7))/12,INDEX(ObjAfaJahr,7)))</f>
      </c>
      <c r="Q1207" s="43">
        <f>$F1207-$G1207-$H1207-$I1207-$P1207</f>
      </c>
      <c r="R1207" s="43">
        <f>$Q1207*INDEX(ObjSteuersatz,7)/100</f>
      </c>
      <c r="S1207" s="43">
        <f>$I1207+$J1207+$K1207+$L1207</f>
      </c>
      <c r="T1207" s="43">
        <f>$F1207-$G1207-$H1207-$S1207</f>
      </c>
      <c r="U1207" s="43">
        <f>$T1207-$R1207</f>
      </c>
      <c r="V1207" s="43">
        <f>$O1207-$M1207</f>
      </c>
      <c r="W1207" s="43">
        <f>$J1207+$K1207+$L1207</f>
      </c>
      <c r="X1207" s="43">
        <f>IF($O1207=0,0,$M1207/$O1207*100)</f>
      </c>
    </row>
    <row r="1208">
      <c r="A1208"/>
      <c r="B1208">
        <v>7</v>
      </c>
      <c r="C1208" s="43">
        <f>Jahr+30</f>
      </c>
      <c r="D1208">
        <v>30</v>
      </c>
      <c r="E1208" s="43">
        <f>IF(INDEX(ObjKaufJahr,7)=0,0,IF($C1208&lt;INDEX(ObjKaufJahr,7),0,IF($C1208&gt;INDEX(ObjKaufJahr,7),12,13-INDEX(ObjKaufMonat,7))))/12</f>
      </c>
      <c r="F1208" s="43">
        <f>SUMIFS(MlSumme,MlObj,7,MlJahr,$C1208)*(1-Leerstand/100)</f>
      </c>
      <c r="G1208" s="43">
        <f>INDEX(ObjLaufend,7)*(1+(Inflation)/100)^MAX(0,30)*$E1208</f>
      </c>
      <c r="H1208" s="43">
        <f>INDEX(ObjInstandBasis,7)*(1+(Inflation)/100)^MAX(0,30)*$E1208</f>
      </c>
      <c r="I1208" s="43">
        <f>SUMIFS(TilgZins,TilgObj,7,TilgJahr,$C1208)</f>
      </c>
      <c r="J1208" s="43">
        <f>SUMIFS(TilgTilgung,TilgObj,7,TilgJahr,$C1208)</f>
      </c>
      <c r="K1208" s="43">
        <f>SUMIFS(TilgSonder,TilgObj,7,TilgJahr,$C1208)</f>
      </c>
      <c r="L1208" s="43">
        <f>SUMIFS(TilgErsatz,TilgObj,7,TilgJahr,$C1208)</f>
      </c>
      <c r="M1208" s="43">
        <f>MAX(0,SUMIF(DarlObj,7,DarlBetrag)-SUMIFS(TilgTilgung,TilgObj,7,TilgJahr,"&lt;="&amp;$C1208)-SUMIFS(TilgSonder,TilgObj,7,TilgJahr,"&lt;="&amp;$C1208))</f>
      </c>
      <c r="N1208" s="43">
        <f>SUMIFS(TilgErsatz,TilgObj,7,TilgJahr,"&lt;="&amp;$C1208)+SUMIFS(TilgErtrag,TilgObj,7,TilgJahr,"&lt;="&amp;$C1208)</f>
      </c>
      <c r="O1208" s="43">
        <f>INDEX(ObjWertEff,7)*(1+(Wertsteigerung)/100)^MAX(0,30)</f>
      </c>
      <c r="P1208" s="43">
        <f>IF(OR(INDEX(ObjAfaDauer,7)=0,INDEX(ObjAfaJahr,7)=0,$C1208&lt;INDEX(ObjKaufJahr,7),$C1208&gt;=INDEX(ObjKaufJahr,7)+INDEX(ObjAfaDauer,7)),0,IF($C1208=INDEX(ObjKaufJahr,7),INDEX(ObjAfaJahr,7)*(13-INDEX(ObjKaufMonat,7))/12,INDEX(ObjAfaJahr,7)))</f>
      </c>
      <c r="Q1208" s="43">
        <f>$F1208-$G1208-$H1208-$I1208-$P1208</f>
      </c>
      <c r="R1208" s="43">
        <f>$Q1208*INDEX(ObjSteuersatz,7)/100</f>
      </c>
      <c r="S1208" s="43">
        <f>$I1208+$J1208+$K1208+$L1208</f>
      </c>
      <c r="T1208" s="43">
        <f>$F1208-$G1208-$H1208-$S1208</f>
      </c>
      <c r="U1208" s="43">
        <f>$T1208-$R1208</f>
      </c>
      <c r="V1208" s="43">
        <f>$O1208-$M1208</f>
      </c>
      <c r="W1208" s="43">
        <f>$J1208+$K1208+$L1208</f>
      </c>
      <c r="X1208" s="43">
        <f>IF($O1208=0,0,$M1208/$O1208*100)</f>
      </c>
    </row>
    <row r="1209">
      <c r="A1209"/>
      <c r="B1209">
        <v>8</v>
      </c>
      <c r="C1209" s="43">
        <f>Jahr+0</f>
      </c>
      <c r="D1209">
        <v>0</v>
      </c>
      <c r="E1209" s="43">
        <f>IF(INDEX(ObjKaufJahr,8)=0,0,IF($C1209&lt;INDEX(ObjKaufJahr,8),0,IF($C1209&gt;INDEX(ObjKaufJahr,8),12,13-INDEX(ObjKaufMonat,8))))/12</f>
      </c>
      <c r="F1209" s="43">
        <f>SUMIFS(MlSumme,MlObj,8,MlJahr,$C1209)*(1-Leerstand/100)</f>
      </c>
      <c r="G1209" s="43">
        <f>INDEX(ObjLaufend,8)*(1+(Inflation)/100)^MAX(0,0)*$E1209</f>
      </c>
      <c r="H1209" s="43">
        <f>INDEX(ObjInstandBasis,8)*(1+(Inflation)/100)^MAX(0,0)*$E1209</f>
      </c>
      <c r="I1209" s="43">
        <f>SUMIFS(TilgZins,TilgObj,8,TilgJahr,$C1209)</f>
      </c>
      <c r="J1209" s="43">
        <f>SUMIFS(TilgTilgung,TilgObj,8,TilgJahr,$C1209)</f>
      </c>
      <c r="K1209" s="43">
        <f>SUMIFS(TilgSonder,TilgObj,8,TilgJahr,$C1209)</f>
      </c>
      <c r="L1209" s="43">
        <f>SUMIFS(TilgErsatz,TilgObj,8,TilgJahr,$C1209)</f>
      </c>
      <c r="M1209" s="43">
        <f>MAX(0,SUMIF(DarlObj,8,DarlBetrag)-SUMIFS(TilgTilgung,TilgObj,8,TilgJahr,"&lt;="&amp;$C1209)-SUMIFS(TilgSonder,TilgObj,8,TilgJahr,"&lt;="&amp;$C1209))</f>
      </c>
      <c r="N1209" s="43">
        <f>SUMIFS(TilgErsatz,TilgObj,8,TilgJahr,"&lt;="&amp;$C1209)+SUMIFS(TilgErtrag,TilgObj,8,TilgJahr,"&lt;="&amp;$C1209)</f>
      </c>
      <c r="O1209" s="43">
        <f>INDEX(ObjWertEff,8)*(1+(Wertsteigerung)/100)^MAX(0,0)</f>
      </c>
      <c r="P1209" s="43">
        <f>IF(OR(INDEX(ObjAfaDauer,8)=0,INDEX(ObjAfaJahr,8)=0,$C1209&lt;INDEX(ObjKaufJahr,8),$C1209&gt;=INDEX(ObjKaufJahr,8)+INDEX(ObjAfaDauer,8)),0,IF($C1209=INDEX(ObjKaufJahr,8),INDEX(ObjAfaJahr,8)*(13-INDEX(ObjKaufMonat,8))/12,INDEX(ObjAfaJahr,8)))</f>
      </c>
      <c r="Q1209" s="43">
        <f>$F1209-$G1209-$H1209-$I1209-$P1209</f>
      </c>
      <c r="R1209" s="43">
        <f>$Q1209*INDEX(ObjSteuersatz,8)/100</f>
      </c>
      <c r="S1209" s="43">
        <f>$I1209+$J1209+$K1209+$L1209</f>
      </c>
      <c r="T1209" s="43">
        <f>$F1209-$G1209-$H1209-$S1209</f>
      </c>
      <c r="U1209" s="43">
        <f>$T1209-$R1209</f>
      </c>
      <c r="V1209" s="43">
        <f>$O1209-$M1209</f>
      </c>
      <c r="W1209" s="43">
        <f>$J1209+$K1209+$L1209</f>
      </c>
      <c r="X1209" s="43">
        <f>IF($O1209=0,0,$M1209/$O1209*100)</f>
      </c>
    </row>
    <row r="1210">
      <c r="A1210"/>
      <c r="B1210">
        <v>8</v>
      </c>
      <c r="C1210" s="43">
        <f>Jahr+1</f>
      </c>
      <c r="D1210">
        <v>1</v>
      </c>
      <c r="E1210" s="43">
        <f>IF(INDEX(ObjKaufJahr,8)=0,0,IF($C1210&lt;INDEX(ObjKaufJahr,8),0,IF($C1210&gt;INDEX(ObjKaufJahr,8),12,13-INDEX(ObjKaufMonat,8))))/12</f>
      </c>
      <c r="F1210" s="43">
        <f>SUMIFS(MlSumme,MlObj,8,MlJahr,$C1210)*(1-Leerstand/100)</f>
      </c>
      <c r="G1210" s="43">
        <f>INDEX(ObjLaufend,8)*(1+(Inflation)/100)^MAX(0,1)*$E1210</f>
      </c>
      <c r="H1210" s="43">
        <f>INDEX(ObjInstandBasis,8)*(1+(Inflation)/100)^MAX(0,1)*$E1210</f>
      </c>
      <c r="I1210" s="43">
        <f>SUMIFS(TilgZins,TilgObj,8,TilgJahr,$C1210)</f>
      </c>
      <c r="J1210" s="43">
        <f>SUMIFS(TilgTilgung,TilgObj,8,TilgJahr,$C1210)</f>
      </c>
      <c r="K1210" s="43">
        <f>SUMIFS(TilgSonder,TilgObj,8,TilgJahr,$C1210)</f>
      </c>
      <c r="L1210" s="43">
        <f>SUMIFS(TilgErsatz,TilgObj,8,TilgJahr,$C1210)</f>
      </c>
      <c r="M1210" s="43">
        <f>MAX(0,SUMIF(DarlObj,8,DarlBetrag)-SUMIFS(TilgTilgung,TilgObj,8,TilgJahr,"&lt;="&amp;$C1210)-SUMIFS(TilgSonder,TilgObj,8,TilgJahr,"&lt;="&amp;$C1210))</f>
      </c>
      <c r="N1210" s="43">
        <f>SUMIFS(TilgErsatz,TilgObj,8,TilgJahr,"&lt;="&amp;$C1210)+SUMIFS(TilgErtrag,TilgObj,8,TilgJahr,"&lt;="&amp;$C1210)</f>
      </c>
      <c r="O1210" s="43">
        <f>INDEX(ObjWertEff,8)*(1+(Wertsteigerung)/100)^MAX(0,1)</f>
      </c>
      <c r="P1210" s="43">
        <f>IF(OR(INDEX(ObjAfaDauer,8)=0,INDEX(ObjAfaJahr,8)=0,$C1210&lt;INDEX(ObjKaufJahr,8),$C1210&gt;=INDEX(ObjKaufJahr,8)+INDEX(ObjAfaDauer,8)),0,IF($C1210=INDEX(ObjKaufJahr,8),INDEX(ObjAfaJahr,8)*(13-INDEX(ObjKaufMonat,8))/12,INDEX(ObjAfaJahr,8)))</f>
      </c>
      <c r="Q1210" s="43">
        <f>$F1210-$G1210-$H1210-$I1210-$P1210</f>
      </c>
      <c r="R1210" s="43">
        <f>$Q1210*INDEX(ObjSteuersatz,8)/100</f>
      </c>
      <c r="S1210" s="43">
        <f>$I1210+$J1210+$K1210+$L1210</f>
      </c>
      <c r="T1210" s="43">
        <f>$F1210-$G1210-$H1210-$S1210</f>
      </c>
      <c r="U1210" s="43">
        <f>$T1210-$R1210</f>
      </c>
      <c r="V1210" s="43">
        <f>$O1210-$M1210</f>
      </c>
      <c r="W1210" s="43">
        <f>$J1210+$K1210+$L1210</f>
      </c>
      <c r="X1210" s="43">
        <f>IF($O1210=0,0,$M1210/$O1210*100)</f>
      </c>
    </row>
    <row r="1211">
      <c r="A1211"/>
      <c r="B1211">
        <v>8</v>
      </c>
      <c r="C1211" s="43">
        <f>Jahr+2</f>
      </c>
      <c r="D1211">
        <v>2</v>
      </c>
      <c r="E1211" s="43">
        <f>IF(INDEX(ObjKaufJahr,8)=0,0,IF($C1211&lt;INDEX(ObjKaufJahr,8),0,IF($C1211&gt;INDEX(ObjKaufJahr,8),12,13-INDEX(ObjKaufMonat,8))))/12</f>
      </c>
      <c r="F1211" s="43">
        <f>SUMIFS(MlSumme,MlObj,8,MlJahr,$C1211)*(1-Leerstand/100)</f>
      </c>
      <c r="G1211" s="43">
        <f>INDEX(ObjLaufend,8)*(1+(Inflation)/100)^MAX(0,2)*$E1211</f>
      </c>
      <c r="H1211" s="43">
        <f>INDEX(ObjInstandBasis,8)*(1+(Inflation)/100)^MAX(0,2)*$E1211</f>
      </c>
      <c r="I1211" s="43">
        <f>SUMIFS(TilgZins,TilgObj,8,TilgJahr,$C1211)</f>
      </c>
      <c r="J1211" s="43">
        <f>SUMIFS(TilgTilgung,TilgObj,8,TilgJahr,$C1211)</f>
      </c>
      <c r="K1211" s="43">
        <f>SUMIFS(TilgSonder,TilgObj,8,TilgJahr,$C1211)</f>
      </c>
      <c r="L1211" s="43">
        <f>SUMIFS(TilgErsatz,TilgObj,8,TilgJahr,$C1211)</f>
      </c>
      <c r="M1211" s="43">
        <f>MAX(0,SUMIF(DarlObj,8,DarlBetrag)-SUMIFS(TilgTilgung,TilgObj,8,TilgJahr,"&lt;="&amp;$C1211)-SUMIFS(TilgSonder,TilgObj,8,TilgJahr,"&lt;="&amp;$C1211))</f>
      </c>
      <c r="N1211" s="43">
        <f>SUMIFS(TilgErsatz,TilgObj,8,TilgJahr,"&lt;="&amp;$C1211)+SUMIFS(TilgErtrag,TilgObj,8,TilgJahr,"&lt;="&amp;$C1211)</f>
      </c>
      <c r="O1211" s="43">
        <f>INDEX(ObjWertEff,8)*(1+(Wertsteigerung)/100)^MAX(0,2)</f>
      </c>
      <c r="P1211" s="43">
        <f>IF(OR(INDEX(ObjAfaDauer,8)=0,INDEX(ObjAfaJahr,8)=0,$C1211&lt;INDEX(ObjKaufJahr,8),$C1211&gt;=INDEX(ObjKaufJahr,8)+INDEX(ObjAfaDauer,8)),0,IF($C1211=INDEX(ObjKaufJahr,8),INDEX(ObjAfaJahr,8)*(13-INDEX(ObjKaufMonat,8))/12,INDEX(ObjAfaJahr,8)))</f>
      </c>
      <c r="Q1211" s="43">
        <f>$F1211-$G1211-$H1211-$I1211-$P1211</f>
      </c>
      <c r="R1211" s="43">
        <f>$Q1211*INDEX(ObjSteuersatz,8)/100</f>
      </c>
      <c r="S1211" s="43">
        <f>$I1211+$J1211+$K1211+$L1211</f>
      </c>
      <c r="T1211" s="43">
        <f>$F1211-$G1211-$H1211-$S1211</f>
      </c>
      <c r="U1211" s="43">
        <f>$T1211-$R1211</f>
      </c>
      <c r="V1211" s="43">
        <f>$O1211-$M1211</f>
      </c>
      <c r="W1211" s="43">
        <f>$J1211+$K1211+$L1211</f>
      </c>
      <c r="X1211" s="43">
        <f>IF($O1211=0,0,$M1211/$O1211*100)</f>
      </c>
    </row>
    <row r="1212">
      <c r="A1212"/>
      <c r="B1212">
        <v>8</v>
      </c>
      <c r="C1212" s="43">
        <f>Jahr+3</f>
      </c>
      <c r="D1212">
        <v>3</v>
      </c>
      <c r="E1212" s="43">
        <f>IF(INDEX(ObjKaufJahr,8)=0,0,IF($C1212&lt;INDEX(ObjKaufJahr,8),0,IF($C1212&gt;INDEX(ObjKaufJahr,8),12,13-INDEX(ObjKaufMonat,8))))/12</f>
      </c>
      <c r="F1212" s="43">
        <f>SUMIFS(MlSumme,MlObj,8,MlJahr,$C1212)*(1-Leerstand/100)</f>
      </c>
      <c r="G1212" s="43">
        <f>INDEX(ObjLaufend,8)*(1+(Inflation)/100)^MAX(0,3)*$E1212</f>
      </c>
      <c r="H1212" s="43">
        <f>INDEX(ObjInstandBasis,8)*(1+(Inflation)/100)^MAX(0,3)*$E1212</f>
      </c>
      <c r="I1212" s="43">
        <f>SUMIFS(TilgZins,TilgObj,8,TilgJahr,$C1212)</f>
      </c>
      <c r="J1212" s="43">
        <f>SUMIFS(TilgTilgung,TilgObj,8,TilgJahr,$C1212)</f>
      </c>
      <c r="K1212" s="43">
        <f>SUMIFS(TilgSonder,TilgObj,8,TilgJahr,$C1212)</f>
      </c>
      <c r="L1212" s="43">
        <f>SUMIFS(TilgErsatz,TilgObj,8,TilgJahr,$C1212)</f>
      </c>
      <c r="M1212" s="43">
        <f>MAX(0,SUMIF(DarlObj,8,DarlBetrag)-SUMIFS(TilgTilgung,TilgObj,8,TilgJahr,"&lt;="&amp;$C1212)-SUMIFS(TilgSonder,TilgObj,8,TilgJahr,"&lt;="&amp;$C1212))</f>
      </c>
      <c r="N1212" s="43">
        <f>SUMIFS(TilgErsatz,TilgObj,8,TilgJahr,"&lt;="&amp;$C1212)+SUMIFS(TilgErtrag,TilgObj,8,TilgJahr,"&lt;="&amp;$C1212)</f>
      </c>
      <c r="O1212" s="43">
        <f>INDEX(ObjWertEff,8)*(1+(Wertsteigerung)/100)^MAX(0,3)</f>
      </c>
      <c r="P1212" s="43">
        <f>IF(OR(INDEX(ObjAfaDauer,8)=0,INDEX(ObjAfaJahr,8)=0,$C1212&lt;INDEX(ObjKaufJahr,8),$C1212&gt;=INDEX(ObjKaufJahr,8)+INDEX(ObjAfaDauer,8)),0,IF($C1212=INDEX(ObjKaufJahr,8),INDEX(ObjAfaJahr,8)*(13-INDEX(ObjKaufMonat,8))/12,INDEX(ObjAfaJahr,8)))</f>
      </c>
      <c r="Q1212" s="43">
        <f>$F1212-$G1212-$H1212-$I1212-$P1212</f>
      </c>
      <c r="R1212" s="43">
        <f>$Q1212*INDEX(ObjSteuersatz,8)/100</f>
      </c>
      <c r="S1212" s="43">
        <f>$I1212+$J1212+$K1212+$L1212</f>
      </c>
      <c r="T1212" s="43">
        <f>$F1212-$G1212-$H1212-$S1212</f>
      </c>
      <c r="U1212" s="43">
        <f>$T1212-$R1212</f>
      </c>
      <c r="V1212" s="43">
        <f>$O1212-$M1212</f>
      </c>
      <c r="W1212" s="43">
        <f>$J1212+$K1212+$L1212</f>
      </c>
      <c r="X1212" s="43">
        <f>IF($O1212=0,0,$M1212/$O1212*100)</f>
      </c>
    </row>
    <row r="1213">
      <c r="A1213"/>
      <c r="B1213">
        <v>8</v>
      </c>
      <c r="C1213" s="43">
        <f>Jahr+4</f>
      </c>
      <c r="D1213">
        <v>4</v>
      </c>
      <c r="E1213" s="43">
        <f>IF(INDEX(ObjKaufJahr,8)=0,0,IF($C1213&lt;INDEX(ObjKaufJahr,8),0,IF($C1213&gt;INDEX(ObjKaufJahr,8),12,13-INDEX(ObjKaufMonat,8))))/12</f>
      </c>
      <c r="F1213" s="43">
        <f>SUMIFS(MlSumme,MlObj,8,MlJahr,$C1213)*(1-Leerstand/100)</f>
      </c>
      <c r="G1213" s="43">
        <f>INDEX(ObjLaufend,8)*(1+(Inflation)/100)^MAX(0,4)*$E1213</f>
      </c>
      <c r="H1213" s="43">
        <f>INDEX(ObjInstandBasis,8)*(1+(Inflation)/100)^MAX(0,4)*$E1213</f>
      </c>
      <c r="I1213" s="43">
        <f>SUMIFS(TilgZins,TilgObj,8,TilgJahr,$C1213)</f>
      </c>
      <c r="J1213" s="43">
        <f>SUMIFS(TilgTilgung,TilgObj,8,TilgJahr,$C1213)</f>
      </c>
      <c r="K1213" s="43">
        <f>SUMIFS(TilgSonder,TilgObj,8,TilgJahr,$C1213)</f>
      </c>
      <c r="L1213" s="43">
        <f>SUMIFS(TilgErsatz,TilgObj,8,TilgJahr,$C1213)</f>
      </c>
      <c r="M1213" s="43">
        <f>MAX(0,SUMIF(DarlObj,8,DarlBetrag)-SUMIFS(TilgTilgung,TilgObj,8,TilgJahr,"&lt;="&amp;$C1213)-SUMIFS(TilgSonder,TilgObj,8,TilgJahr,"&lt;="&amp;$C1213))</f>
      </c>
      <c r="N1213" s="43">
        <f>SUMIFS(TilgErsatz,TilgObj,8,TilgJahr,"&lt;="&amp;$C1213)+SUMIFS(TilgErtrag,TilgObj,8,TilgJahr,"&lt;="&amp;$C1213)</f>
      </c>
      <c r="O1213" s="43">
        <f>INDEX(ObjWertEff,8)*(1+(Wertsteigerung)/100)^MAX(0,4)</f>
      </c>
      <c r="P1213" s="43">
        <f>IF(OR(INDEX(ObjAfaDauer,8)=0,INDEX(ObjAfaJahr,8)=0,$C1213&lt;INDEX(ObjKaufJahr,8),$C1213&gt;=INDEX(ObjKaufJahr,8)+INDEX(ObjAfaDauer,8)),0,IF($C1213=INDEX(ObjKaufJahr,8),INDEX(ObjAfaJahr,8)*(13-INDEX(ObjKaufMonat,8))/12,INDEX(ObjAfaJahr,8)))</f>
      </c>
      <c r="Q1213" s="43">
        <f>$F1213-$G1213-$H1213-$I1213-$P1213</f>
      </c>
      <c r="R1213" s="43">
        <f>$Q1213*INDEX(ObjSteuersatz,8)/100</f>
      </c>
      <c r="S1213" s="43">
        <f>$I1213+$J1213+$K1213+$L1213</f>
      </c>
      <c r="T1213" s="43">
        <f>$F1213-$G1213-$H1213-$S1213</f>
      </c>
      <c r="U1213" s="43">
        <f>$T1213-$R1213</f>
      </c>
      <c r="V1213" s="43">
        <f>$O1213-$M1213</f>
      </c>
      <c r="W1213" s="43">
        <f>$J1213+$K1213+$L1213</f>
      </c>
      <c r="X1213" s="43">
        <f>IF($O1213=0,0,$M1213/$O1213*100)</f>
      </c>
    </row>
    <row r="1214">
      <c r="A1214"/>
      <c r="B1214">
        <v>8</v>
      </c>
      <c r="C1214" s="43">
        <f>Jahr+5</f>
      </c>
      <c r="D1214">
        <v>5</v>
      </c>
      <c r="E1214" s="43">
        <f>IF(INDEX(ObjKaufJahr,8)=0,0,IF($C1214&lt;INDEX(ObjKaufJahr,8),0,IF($C1214&gt;INDEX(ObjKaufJahr,8),12,13-INDEX(ObjKaufMonat,8))))/12</f>
      </c>
      <c r="F1214" s="43">
        <f>SUMIFS(MlSumme,MlObj,8,MlJahr,$C1214)*(1-Leerstand/100)</f>
      </c>
      <c r="G1214" s="43">
        <f>INDEX(ObjLaufend,8)*(1+(Inflation)/100)^MAX(0,5)*$E1214</f>
      </c>
      <c r="H1214" s="43">
        <f>INDEX(ObjInstandBasis,8)*(1+(Inflation)/100)^MAX(0,5)*$E1214</f>
      </c>
      <c r="I1214" s="43">
        <f>SUMIFS(TilgZins,TilgObj,8,TilgJahr,$C1214)</f>
      </c>
      <c r="J1214" s="43">
        <f>SUMIFS(TilgTilgung,TilgObj,8,TilgJahr,$C1214)</f>
      </c>
      <c r="K1214" s="43">
        <f>SUMIFS(TilgSonder,TilgObj,8,TilgJahr,$C1214)</f>
      </c>
      <c r="L1214" s="43">
        <f>SUMIFS(TilgErsatz,TilgObj,8,TilgJahr,$C1214)</f>
      </c>
      <c r="M1214" s="43">
        <f>MAX(0,SUMIF(DarlObj,8,DarlBetrag)-SUMIFS(TilgTilgung,TilgObj,8,TilgJahr,"&lt;="&amp;$C1214)-SUMIFS(TilgSonder,TilgObj,8,TilgJahr,"&lt;="&amp;$C1214))</f>
      </c>
      <c r="N1214" s="43">
        <f>SUMIFS(TilgErsatz,TilgObj,8,TilgJahr,"&lt;="&amp;$C1214)+SUMIFS(TilgErtrag,TilgObj,8,TilgJahr,"&lt;="&amp;$C1214)</f>
      </c>
      <c r="O1214" s="43">
        <f>INDEX(ObjWertEff,8)*(1+(Wertsteigerung)/100)^MAX(0,5)</f>
      </c>
      <c r="P1214" s="43">
        <f>IF(OR(INDEX(ObjAfaDauer,8)=0,INDEX(ObjAfaJahr,8)=0,$C1214&lt;INDEX(ObjKaufJahr,8),$C1214&gt;=INDEX(ObjKaufJahr,8)+INDEX(ObjAfaDauer,8)),0,IF($C1214=INDEX(ObjKaufJahr,8),INDEX(ObjAfaJahr,8)*(13-INDEX(ObjKaufMonat,8))/12,INDEX(ObjAfaJahr,8)))</f>
      </c>
      <c r="Q1214" s="43">
        <f>$F1214-$G1214-$H1214-$I1214-$P1214</f>
      </c>
      <c r="R1214" s="43">
        <f>$Q1214*INDEX(ObjSteuersatz,8)/100</f>
      </c>
      <c r="S1214" s="43">
        <f>$I1214+$J1214+$K1214+$L1214</f>
      </c>
      <c r="T1214" s="43">
        <f>$F1214-$G1214-$H1214-$S1214</f>
      </c>
      <c r="U1214" s="43">
        <f>$T1214-$R1214</f>
      </c>
      <c r="V1214" s="43">
        <f>$O1214-$M1214</f>
      </c>
      <c r="W1214" s="43">
        <f>$J1214+$K1214+$L1214</f>
      </c>
      <c r="X1214" s="43">
        <f>IF($O1214=0,0,$M1214/$O1214*100)</f>
      </c>
    </row>
    <row r="1215">
      <c r="A1215"/>
      <c r="B1215">
        <v>8</v>
      </c>
      <c r="C1215" s="43">
        <f>Jahr+6</f>
      </c>
      <c r="D1215">
        <v>6</v>
      </c>
      <c r="E1215" s="43">
        <f>IF(INDEX(ObjKaufJahr,8)=0,0,IF($C1215&lt;INDEX(ObjKaufJahr,8),0,IF($C1215&gt;INDEX(ObjKaufJahr,8),12,13-INDEX(ObjKaufMonat,8))))/12</f>
      </c>
      <c r="F1215" s="43">
        <f>SUMIFS(MlSumme,MlObj,8,MlJahr,$C1215)*(1-Leerstand/100)</f>
      </c>
      <c r="G1215" s="43">
        <f>INDEX(ObjLaufend,8)*(1+(Inflation)/100)^MAX(0,6)*$E1215</f>
      </c>
      <c r="H1215" s="43">
        <f>INDEX(ObjInstandBasis,8)*(1+(Inflation)/100)^MAX(0,6)*$E1215</f>
      </c>
      <c r="I1215" s="43">
        <f>SUMIFS(TilgZins,TilgObj,8,TilgJahr,$C1215)</f>
      </c>
      <c r="J1215" s="43">
        <f>SUMIFS(TilgTilgung,TilgObj,8,TilgJahr,$C1215)</f>
      </c>
      <c r="K1215" s="43">
        <f>SUMIFS(TilgSonder,TilgObj,8,TilgJahr,$C1215)</f>
      </c>
      <c r="L1215" s="43">
        <f>SUMIFS(TilgErsatz,TilgObj,8,TilgJahr,$C1215)</f>
      </c>
      <c r="M1215" s="43">
        <f>MAX(0,SUMIF(DarlObj,8,DarlBetrag)-SUMIFS(TilgTilgung,TilgObj,8,TilgJahr,"&lt;="&amp;$C1215)-SUMIFS(TilgSonder,TilgObj,8,TilgJahr,"&lt;="&amp;$C1215))</f>
      </c>
      <c r="N1215" s="43">
        <f>SUMIFS(TilgErsatz,TilgObj,8,TilgJahr,"&lt;="&amp;$C1215)+SUMIFS(TilgErtrag,TilgObj,8,TilgJahr,"&lt;="&amp;$C1215)</f>
      </c>
      <c r="O1215" s="43">
        <f>INDEX(ObjWertEff,8)*(1+(Wertsteigerung)/100)^MAX(0,6)</f>
      </c>
      <c r="P1215" s="43">
        <f>IF(OR(INDEX(ObjAfaDauer,8)=0,INDEX(ObjAfaJahr,8)=0,$C1215&lt;INDEX(ObjKaufJahr,8),$C1215&gt;=INDEX(ObjKaufJahr,8)+INDEX(ObjAfaDauer,8)),0,IF($C1215=INDEX(ObjKaufJahr,8),INDEX(ObjAfaJahr,8)*(13-INDEX(ObjKaufMonat,8))/12,INDEX(ObjAfaJahr,8)))</f>
      </c>
      <c r="Q1215" s="43">
        <f>$F1215-$G1215-$H1215-$I1215-$P1215</f>
      </c>
      <c r="R1215" s="43">
        <f>$Q1215*INDEX(ObjSteuersatz,8)/100</f>
      </c>
      <c r="S1215" s="43">
        <f>$I1215+$J1215+$K1215+$L1215</f>
      </c>
      <c r="T1215" s="43">
        <f>$F1215-$G1215-$H1215-$S1215</f>
      </c>
      <c r="U1215" s="43">
        <f>$T1215-$R1215</f>
      </c>
      <c r="V1215" s="43">
        <f>$O1215-$M1215</f>
      </c>
      <c r="W1215" s="43">
        <f>$J1215+$K1215+$L1215</f>
      </c>
      <c r="X1215" s="43">
        <f>IF($O1215=0,0,$M1215/$O1215*100)</f>
      </c>
    </row>
    <row r="1216">
      <c r="A1216"/>
      <c r="B1216">
        <v>8</v>
      </c>
      <c r="C1216" s="43">
        <f>Jahr+7</f>
      </c>
      <c r="D1216">
        <v>7</v>
      </c>
      <c r="E1216" s="43">
        <f>IF(INDEX(ObjKaufJahr,8)=0,0,IF($C1216&lt;INDEX(ObjKaufJahr,8),0,IF($C1216&gt;INDEX(ObjKaufJahr,8),12,13-INDEX(ObjKaufMonat,8))))/12</f>
      </c>
      <c r="F1216" s="43">
        <f>SUMIFS(MlSumme,MlObj,8,MlJahr,$C1216)*(1-Leerstand/100)</f>
      </c>
      <c r="G1216" s="43">
        <f>INDEX(ObjLaufend,8)*(1+(Inflation)/100)^MAX(0,7)*$E1216</f>
      </c>
      <c r="H1216" s="43">
        <f>INDEX(ObjInstandBasis,8)*(1+(Inflation)/100)^MAX(0,7)*$E1216</f>
      </c>
      <c r="I1216" s="43">
        <f>SUMIFS(TilgZins,TilgObj,8,TilgJahr,$C1216)</f>
      </c>
      <c r="J1216" s="43">
        <f>SUMIFS(TilgTilgung,TilgObj,8,TilgJahr,$C1216)</f>
      </c>
      <c r="K1216" s="43">
        <f>SUMIFS(TilgSonder,TilgObj,8,TilgJahr,$C1216)</f>
      </c>
      <c r="L1216" s="43">
        <f>SUMIFS(TilgErsatz,TilgObj,8,TilgJahr,$C1216)</f>
      </c>
      <c r="M1216" s="43">
        <f>MAX(0,SUMIF(DarlObj,8,DarlBetrag)-SUMIFS(TilgTilgung,TilgObj,8,TilgJahr,"&lt;="&amp;$C1216)-SUMIFS(TilgSonder,TilgObj,8,TilgJahr,"&lt;="&amp;$C1216))</f>
      </c>
      <c r="N1216" s="43">
        <f>SUMIFS(TilgErsatz,TilgObj,8,TilgJahr,"&lt;="&amp;$C1216)+SUMIFS(TilgErtrag,TilgObj,8,TilgJahr,"&lt;="&amp;$C1216)</f>
      </c>
      <c r="O1216" s="43">
        <f>INDEX(ObjWertEff,8)*(1+(Wertsteigerung)/100)^MAX(0,7)</f>
      </c>
      <c r="P1216" s="43">
        <f>IF(OR(INDEX(ObjAfaDauer,8)=0,INDEX(ObjAfaJahr,8)=0,$C1216&lt;INDEX(ObjKaufJahr,8),$C1216&gt;=INDEX(ObjKaufJahr,8)+INDEX(ObjAfaDauer,8)),0,IF($C1216=INDEX(ObjKaufJahr,8),INDEX(ObjAfaJahr,8)*(13-INDEX(ObjKaufMonat,8))/12,INDEX(ObjAfaJahr,8)))</f>
      </c>
      <c r="Q1216" s="43">
        <f>$F1216-$G1216-$H1216-$I1216-$P1216</f>
      </c>
      <c r="R1216" s="43">
        <f>$Q1216*INDEX(ObjSteuersatz,8)/100</f>
      </c>
      <c r="S1216" s="43">
        <f>$I1216+$J1216+$K1216+$L1216</f>
      </c>
      <c r="T1216" s="43">
        <f>$F1216-$G1216-$H1216-$S1216</f>
      </c>
      <c r="U1216" s="43">
        <f>$T1216-$R1216</f>
      </c>
      <c r="V1216" s="43">
        <f>$O1216-$M1216</f>
      </c>
      <c r="W1216" s="43">
        <f>$J1216+$K1216+$L1216</f>
      </c>
      <c r="X1216" s="43">
        <f>IF($O1216=0,0,$M1216/$O1216*100)</f>
      </c>
    </row>
    <row r="1217">
      <c r="A1217"/>
      <c r="B1217">
        <v>8</v>
      </c>
      <c r="C1217" s="43">
        <f>Jahr+8</f>
      </c>
      <c r="D1217">
        <v>8</v>
      </c>
      <c r="E1217" s="43">
        <f>IF(INDEX(ObjKaufJahr,8)=0,0,IF($C1217&lt;INDEX(ObjKaufJahr,8),0,IF($C1217&gt;INDEX(ObjKaufJahr,8),12,13-INDEX(ObjKaufMonat,8))))/12</f>
      </c>
      <c r="F1217" s="43">
        <f>SUMIFS(MlSumme,MlObj,8,MlJahr,$C1217)*(1-Leerstand/100)</f>
      </c>
      <c r="G1217" s="43">
        <f>INDEX(ObjLaufend,8)*(1+(Inflation)/100)^MAX(0,8)*$E1217</f>
      </c>
      <c r="H1217" s="43">
        <f>INDEX(ObjInstandBasis,8)*(1+(Inflation)/100)^MAX(0,8)*$E1217</f>
      </c>
      <c r="I1217" s="43">
        <f>SUMIFS(TilgZins,TilgObj,8,TilgJahr,$C1217)</f>
      </c>
      <c r="J1217" s="43">
        <f>SUMIFS(TilgTilgung,TilgObj,8,TilgJahr,$C1217)</f>
      </c>
      <c r="K1217" s="43">
        <f>SUMIFS(TilgSonder,TilgObj,8,TilgJahr,$C1217)</f>
      </c>
      <c r="L1217" s="43">
        <f>SUMIFS(TilgErsatz,TilgObj,8,TilgJahr,$C1217)</f>
      </c>
      <c r="M1217" s="43">
        <f>MAX(0,SUMIF(DarlObj,8,DarlBetrag)-SUMIFS(TilgTilgung,TilgObj,8,TilgJahr,"&lt;="&amp;$C1217)-SUMIFS(TilgSonder,TilgObj,8,TilgJahr,"&lt;="&amp;$C1217))</f>
      </c>
      <c r="N1217" s="43">
        <f>SUMIFS(TilgErsatz,TilgObj,8,TilgJahr,"&lt;="&amp;$C1217)+SUMIFS(TilgErtrag,TilgObj,8,TilgJahr,"&lt;="&amp;$C1217)</f>
      </c>
      <c r="O1217" s="43">
        <f>INDEX(ObjWertEff,8)*(1+(Wertsteigerung)/100)^MAX(0,8)</f>
      </c>
      <c r="P1217" s="43">
        <f>IF(OR(INDEX(ObjAfaDauer,8)=0,INDEX(ObjAfaJahr,8)=0,$C1217&lt;INDEX(ObjKaufJahr,8),$C1217&gt;=INDEX(ObjKaufJahr,8)+INDEX(ObjAfaDauer,8)),0,IF($C1217=INDEX(ObjKaufJahr,8),INDEX(ObjAfaJahr,8)*(13-INDEX(ObjKaufMonat,8))/12,INDEX(ObjAfaJahr,8)))</f>
      </c>
      <c r="Q1217" s="43">
        <f>$F1217-$G1217-$H1217-$I1217-$P1217</f>
      </c>
      <c r="R1217" s="43">
        <f>$Q1217*INDEX(ObjSteuersatz,8)/100</f>
      </c>
      <c r="S1217" s="43">
        <f>$I1217+$J1217+$K1217+$L1217</f>
      </c>
      <c r="T1217" s="43">
        <f>$F1217-$G1217-$H1217-$S1217</f>
      </c>
      <c r="U1217" s="43">
        <f>$T1217-$R1217</f>
      </c>
      <c r="V1217" s="43">
        <f>$O1217-$M1217</f>
      </c>
      <c r="W1217" s="43">
        <f>$J1217+$K1217+$L1217</f>
      </c>
      <c r="X1217" s="43">
        <f>IF($O1217=0,0,$M1217/$O1217*100)</f>
      </c>
    </row>
    <row r="1218">
      <c r="A1218"/>
      <c r="B1218">
        <v>8</v>
      </c>
      <c r="C1218" s="43">
        <f>Jahr+9</f>
      </c>
      <c r="D1218">
        <v>9</v>
      </c>
      <c r="E1218" s="43">
        <f>IF(INDEX(ObjKaufJahr,8)=0,0,IF($C1218&lt;INDEX(ObjKaufJahr,8),0,IF($C1218&gt;INDEX(ObjKaufJahr,8),12,13-INDEX(ObjKaufMonat,8))))/12</f>
      </c>
      <c r="F1218" s="43">
        <f>SUMIFS(MlSumme,MlObj,8,MlJahr,$C1218)*(1-Leerstand/100)</f>
      </c>
      <c r="G1218" s="43">
        <f>INDEX(ObjLaufend,8)*(1+(Inflation)/100)^MAX(0,9)*$E1218</f>
      </c>
      <c r="H1218" s="43">
        <f>INDEX(ObjInstandBasis,8)*(1+(Inflation)/100)^MAX(0,9)*$E1218</f>
      </c>
      <c r="I1218" s="43">
        <f>SUMIFS(TilgZins,TilgObj,8,TilgJahr,$C1218)</f>
      </c>
      <c r="J1218" s="43">
        <f>SUMIFS(TilgTilgung,TilgObj,8,TilgJahr,$C1218)</f>
      </c>
      <c r="K1218" s="43">
        <f>SUMIFS(TilgSonder,TilgObj,8,TilgJahr,$C1218)</f>
      </c>
      <c r="L1218" s="43">
        <f>SUMIFS(TilgErsatz,TilgObj,8,TilgJahr,$C1218)</f>
      </c>
      <c r="M1218" s="43">
        <f>MAX(0,SUMIF(DarlObj,8,DarlBetrag)-SUMIFS(TilgTilgung,TilgObj,8,TilgJahr,"&lt;="&amp;$C1218)-SUMIFS(TilgSonder,TilgObj,8,TilgJahr,"&lt;="&amp;$C1218))</f>
      </c>
      <c r="N1218" s="43">
        <f>SUMIFS(TilgErsatz,TilgObj,8,TilgJahr,"&lt;="&amp;$C1218)+SUMIFS(TilgErtrag,TilgObj,8,TilgJahr,"&lt;="&amp;$C1218)</f>
      </c>
      <c r="O1218" s="43">
        <f>INDEX(ObjWertEff,8)*(1+(Wertsteigerung)/100)^MAX(0,9)</f>
      </c>
      <c r="P1218" s="43">
        <f>IF(OR(INDEX(ObjAfaDauer,8)=0,INDEX(ObjAfaJahr,8)=0,$C1218&lt;INDEX(ObjKaufJahr,8),$C1218&gt;=INDEX(ObjKaufJahr,8)+INDEX(ObjAfaDauer,8)),0,IF($C1218=INDEX(ObjKaufJahr,8),INDEX(ObjAfaJahr,8)*(13-INDEX(ObjKaufMonat,8))/12,INDEX(ObjAfaJahr,8)))</f>
      </c>
      <c r="Q1218" s="43">
        <f>$F1218-$G1218-$H1218-$I1218-$P1218</f>
      </c>
      <c r="R1218" s="43">
        <f>$Q1218*INDEX(ObjSteuersatz,8)/100</f>
      </c>
      <c r="S1218" s="43">
        <f>$I1218+$J1218+$K1218+$L1218</f>
      </c>
      <c r="T1218" s="43">
        <f>$F1218-$G1218-$H1218-$S1218</f>
      </c>
      <c r="U1218" s="43">
        <f>$T1218-$R1218</f>
      </c>
      <c r="V1218" s="43">
        <f>$O1218-$M1218</f>
      </c>
      <c r="W1218" s="43">
        <f>$J1218+$K1218+$L1218</f>
      </c>
      <c r="X1218" s="43">
        <f>IF($O1218=0,0,$M1218/$O1218*100)</f>
      </c>
    </row>
    <row r="1219">
      <c r="A1219"/>
      <c r="B1219">
        <v>8</v>
      </c>
      <c r="C1219" s="43">
        <f>Jahr+10</f>
      </c>
      <c r="D1219">
        <v>10</v>
      </c>
      <c r="E1219" s="43">
        <f>IF(INDEX(ObjKaufJahr,8)=0,0,IF($C1219&lt;INDEX(ObjKaufJahr,8),0,IF($C1219&gt;INDEX(ObjKaufJahr,8),12,13-INDEX(ObjKaufMonat,8))))/12</f>
      </c>
      <c r="F1219" s="43">
        <f>SUMIFS(MlSumme,MlObj,8,MlJahr,$C1219)*(1-Leerstand/100)</f>
      </c>
      <c r="G1219" s="43">
        <f>INDEX(ObjLaufend,8)*(1+(Inflation)/100)^MAX(0,10)*$E1219</f>
      </c>
      <c r="H1219" s="43">
        <f>INDEX(ObjInstandBasis,8)*(1+(Inflation)/100)^MAX(0,10)*$E1219</f>
      </c>
      <c r="I1219" s="43">
        <f>SUMIFS(TilgZins,TilgObj,8,TilgJahr,$C1219)</f>
      </c>
      <c r="J1219" s="43">
        <f>SUMIFS(TilgTilgung,TilgObj,8,TilgJahr,$C1219)</f>
      </c>
      <c r="K1219" s="43">
        <f>SUMIFS(TilgSonder,TilgObj,8,TilgJahr,$C1219)</f>
      </c>
      <c r="L1219" s="43">
        <f>SUMIFS(TilgErsatz,TilgObj,8,TilgJahr,$C1219)</f>
      </c>
      <c r="M1219" s="43">
        <f>MAX(0,SUMIF(DarlObj,8,DarlBetrag)-SUMIFS(TilgTilgung,TilgObj,8,TilgJahr,"&lt;="&amp;$C1219)-SUMIFS(TilgSonder,TilgObj,8,TilgJahr,"&lt;="&amp;$C1219))</f>
      </c>
      <c r="N1219" s="43">
        <f>SUMIFS(TilgErsatz,TilgObj,8,TilgJahr,"&lt;="&amp;$C1219)+SUMIFS(TilgErtrag,TilgObj,8,TilgJahr,"&lt;="&amp;$C1219)</f>
      </c>
      <c r="O1219" s="43">
        <f>INDEX(ObjWertEff,8)*(1+(Wertsteigerung)/100)^MAX(0,10)</f>
      </c>
      <c r="P1219" s="43">
        <f>IF(OR(INDEX(ObjAfaDauer,8)=0,INDEX(ObjAfaJahr,8)=0,$C1219&lt;INDEX(ObjKaufJahr,8),$C1219&gt;=INDEX(ObjKaufJahr,8)+INDEX(ObjAfaDauer,8)),0,IF($C1219=INDEX(ObjKaufJahr,8),INDEX(ObjAfaJahr,8)*(13-INDEX(ObjKaufMonat,8))/12,INDEX(ObjAfaJahr,8)))</f>
      </c>
      <c r="Q1219" s="43">
        <f>$F1219-$G1219-$H1219-$I1219-$P1219</f>
      </c>
      <c r="R1219" s="43">
        <f>$Q1219*INDEX(ObjSteuersatz,8)/100</f>
      </c>
      <c r="S1219" s="43">
        <f>$I1219+$J1219+$K1219+$L1219</f>
      </c>
      <c r="T1219" s="43">
        <f>$F1219-$G1219-$H1219-$S1219</f>
      </c>
      <c r="U1219" s="43">
        <f>$T1219-$R1219</f>
      </c>
      <c r="V1219" s="43">
        <f>$O1219-$M1219</f>
      </c>
      <c r="W1219" s="43">
        <f>$J1219+$K1219+$L1219</f>
      </c>
      <c r="X1219" s="43">
        <f>IF($O1219=0,0,$M1219/$O1219*100)</f>
      </c>
    </row>
    <row r="1220">
      <c r="A1220"/>
      <c r="B1220">
        <v>8</v>
      </c>
      <c r="C1220" s="43">
        <f>Jahr+11</f>
      </c>
      <c r="D1220">
        <v>11</v>
      </c>
      <c r="E1220" s="43">
        <f>IF(INDEX(ObjKaufJahr,8)=0,0,IF($C1220&lt;INDEX(ObjKaufJahr,8),0,IF($C1220&gt;INDEX(ObjKaufJahr,8),12,13-INDEX(ObjKaufMonat,8))))/12</f>
      </c>
      <c r="F1220" s="43">
        <f>SUMIFS(MlSumme,MlObj,8,MlJahr,$C1220)*(1-Leerstand/100)</f>
      </c>
      <c r="G1220" s="43">
        <f>INDEX(ObjLaufend,8)*(1+(Inflation)/100)^MAX(0,11)*$E1220</f>
      </c>
      <c r="H1220" s="43">
        <f>INDEX(ObjInstandBasis,8)*(1+(Inflation)/100)^MAX(0,11)*$E1220</f>
      </c>
      <c r="I1220" s="43">
        <f>SUMIFS(TilgZins,TilgObj,8,TilgJahr,$C1220)</f>
      </c>
      <c r="J1220" s="43">
        <f>SUMIFS(TilgTilgung,TilgObj,8,TilgJahr,$C1220)</f>
      </c>
      <c r="K1220" s="43">
        <f>SUMIFS(TilgSonder,TilgObj,8,TilgJahr,$C1220)</f>
      </c>
      <c r="L1220" s="43">
        <f>SUMIFS(TilgErsatz,TilgObj,8,TilgJahr,$C1220)</f>
      </c>
      <c r="M1220" s="43">
        <f>MAX(0,SUMIF(DarlObj,8,DarlBetrag)-SUMIFS(TilgTilgung,TilgObj,8,TilgJahr,"&lt;="&amp;$C1220)-SUMIFS(TilgSonder,TilgObj,8,TilgJahr,"&lt;="&amp;$C1220))</f>
      </c>
      <c r="N1220" s="43">
        <f>SUMIFS(TilgErsatz,TilgObj,8,TilgJahr,"&lt;="&amp;$C1220)+SUMIFS(TilgErtrag,TilgObj,8,TilgJahr,"&lt;="&amp;$C1220)</f>
      </c>
      <c r="O1220" s="43">
        <f>INDEX(ObjWertEff,8)*(1+(Wertsteigerung)/100)^MAX(0,11)</f>
      </c>
      <c r="P1220" s="43">
        <f>IF(OR(INDEX(ObjAfaDauer,8)=0,INDEX(ObjAfaJahr,8)=0,$C1220&lt;INDEX(ObjKaufJahr,8),$C1220&gt;=INDEX(ObjKaufJahr,8)+INDEX(ObjAfaDauer,8)),0,IF($C1220=INDEX(ObjKaufJahr,8),INDEX(ObjAfaJahr,8)*(13-INDEX(ObjKaufMonat,8))/12,INDEX(ObjAfaJahr,8)))</f>
      </c>
      <c r="Q1220" s="43">
        <f>$F1220-$G1220-$H1220-$I1220-$P1220</f>
      </c>
      <c r="R1220" s="43">
        <f>$Q1220*INDEX(ObjSteuersatz,8)/100</f>
      </c>
      <c r="S1220" s="43">
        <f>$I1220+$J1220+$K1220+$L1220</f>
      </c>
      <c r="T1220" s="43">
        <f>$F1220-$G1220-$H1220-$S1220</f>
      </c>
      <c r="U1220" s="43">
        <f>$T1220-$R1220</f>
      </c>
      <c r="V1220" s="43">
        <f>$O1220-$M1220</f>
      </c>
      <c r="W1220" s="43">
        <f>$J1220+$K1220+$L1220</f>
      </c>
      <c r="X1220" s="43">
        <f>IF($O1220=0,0,$M1220/$O1220*100)</f>
      </c>
    </row>
    <row r="1221">
      <c r="A1221"/>
      <c r="B1221">
        <v>8</v>
      </c>
      <c r="C1221" s="43">
        <f>Jahr+12</f>
      </c>
      <c r="D1221">
        <v>12</v>
      </c>
      <c r="E1221" s="43">
        <f>IF(INDEX(ObjKaufJahr,8)=0,0,IF($C1221&lt;INDEX(ObjKaufJahr,8),0,IF($C1221&gt;INDEX(ObjKaufJahr,8),12,13-INDEX(ObjKaufMonat,8))))/12</f>
      </c>
      <c r="F1221" s="43">
        <f>SUMIFS(MlSumme,MlObj,8,MlJahr,$C1221)*(1-Leerstand/100)</f>
      </c>
      <c r="G1221" s="43">
        <f>INDEX(ObjLaufend,8)*(1+(Inflation)/100)^MAX(0,12)*$E1221</f>
      </c>
      <c r="H1221" s="43">
        <f>INDEX(ObjInstandBasis,8)*(1+(Inflation)/100)^MAX(0,12)*$E1221</f>
      </c>
      <c r="I1221" s="43">
        <f>SUMIFS(TilgZins,TilgObj,8,TilgJahr,$C1221)</f>
      </c>
      <c r="J1221" s="43">
        <f>SUMIFS(TilgTilgung,TilgObj,8,TilgJahr,$C1221)</f>
      </c>
      <c r="K1221" s="43">
        <f>SUMIFS(TilgSonder,TilgObj,8,TilgJahr,$C1221)</f>
      </c>
      <c r="L1221" s="43">
        <f>SUMIFS(TilgErsatz,TilgObj,8,TilgJahr,$C1221)</f>
      </c>
      <c r="M1221" s="43">
        <f>MAX(0,SUMIF(DarlObj,8,DarlBetrag)-SUMIFS(TilgTilgung,TilgObj,8,TilgJahr,"&lt;="&amp;$C1221)-SUMIFS(TilgSonder,TilgObj,8,TilgJahr,"&lt;="&amp;$C1221))</f>
      </c>
      <c r="N1221" s="43">
        <f>SUMIFS(TilgErsatz,TilgObj,8,TilgJahr,"&lt;="&amp;$C1221)+SUMIFS(TilgErtrag,TilgObj,8,TilgJahr,"&lt;="&amp;$C1221)</f>
      </c>
      <c r="O1221" s="43">
        <f>INDEX(ObjWertEff,8)*(1+(Wertsteigerung)/100)^MAX(0,12)</f>
      </c>
      <c r="P1221" s="43">
        <f>IF(OR(INDEX(ObjAfaDauer,8)=0,INDEX(ObjAfaJahr,8)=0,$C1221&lt;INDEX(ObjKaufJahr,8),$C1221&gt;=INDEX(ObjKaufJahr,8)+INDEX(ObjAfaDauer,8)),0,IF($C1221=INDEX(ObjKaufJahr,8),INDEX(ObjAfaJahr,8)*(13-INDEX(ObjKaufMonat,8))/12,INDEX(ObjAfaJahr,8)))</f>
      </c>
      <c r="Q1221" s="43">
        <f>$F1221-$G1221-$H1221-$I1221-$P1221</f>
      </c>
      <c r="R1221" s="43">
        <f>$Q1221*INDEX(ObjSteuersatz,8)/100</f>
      </c>
      <c r="S1221" s="43">
        <f>$I1221+$J1221+$K1221+$L1221</f>
      </c>
      <c r="T1221" s="43">
        <f>$F1221-$G1221-$H1221-$S1221</f>
      </c>
      <c r="U1221" s="43">
        <f>$T1221-$R1221</f>
      </c>
      <c r="V1221" s="43">
        <f>$O1221-$M1221</f>
      </c>
      <c r="W1221" s="43">
        <f>$J1221+$K1221+$L1221</f>
      </c>
      <c r="X1221" s="43">
        <f>IF($O1221=0,0,$M1221/$O1221*100)</f>
      </c>
    </row>
    <row r="1222">
      <c r="A1222"/>
      <c r="B1222">
        <v>8</v>
      </c>
      <c r="C1222" s="43">
        <f>Jahr+13</f>
      </c>
      <c r="D1222">
        <v>13</v>
      </c>
      <c r="E1222" s="43">
        <f>IF(INDEX(ObjKaufJahr,8)=0,0,IF($C1222&lt;INDEX(ObjKaufJahr,8),0,IF($C1222&gt;INDEX(ObjKaufJahr,8),12,13-INDEX(ObjKaufMonat,8))))/12</f>
      </c>
      <c r="F1222" s="43">
        <f>SUMIFS(MlSumme,MlObj,8,MlJahr,$C1222)*(1-Leerstand/100)</f>
      </c>
      <c r="G1222" s="43">
        <f>INDEX(ObjLaufend,8)*(1+(Inflation)/100)^MAX(0,13)*$E1222</f>
      </c>
      <c r="H1222" s="43">
        <f>INDEX(ObjInstandBasis,8)*(1+(Inflation)/100)^MAX(0,13)*$E1222</f>
      </c>
      <c r="I1222" s="43">
        <f>SUMIFS(TilgZins,TilgObj,8,TilgJahr,$C1222)</f>
      </c>
      <c r="J1222" s="43">
        <f>SUMIFS(TilgTilgung,TilgObj,8,TilgJahr,$C1222)</f>
      </c>
      <c r="K1222" s="43">
        <f>SUMIFS(TilgSonder,TilgObj,8,TilgJahr,$C1222)</f>
      </c>
      <c r="L1222" s="43">
        <f>SUMIFS(TilgErsatz,TilgObj,8,TilgJahr,$C1222)</f>
      </c>
      <c r="M1222" s="43">
        <f>MAX(0,SUMIF(DarlObj,8,DarlBetrag)-SUMIFS(TilgTilgung,TilgObj,8,TilgJahr,"&lt;="&amp;$C1222)-SUMIFS(TilgSonder,TilgObj,8,TilgJahr,"&lt;="&amp;$C1222))</f>
      </c>
      <c r="N1222" s="43">
        <f>SUMIFS(TilgErsatz,TilgObj,8,TilgJahr,"&lt;="&amp;$C1222)+SUMIFS(TilgErtrag,TilgObj,8,TilgJahr,"&lt;="&amp;$C1222)</f>
      </c>
      <c r="O1222" s="43">
        <f>INDEX(ObjWertEff,8)*(1+(Wertsteigerung)/100)^MAX(0,13)</f>
      </c>
      <c r="P1222" s="43">
        <f>IF(OR(INDEX(ObjAfaDauer,8)=0,INDEX(ObjAfaJahr,8)=0,$C1222&lt;INDEX(ObjKaufJahr,8),$C1222&gt;=INDEX(ObjKaufJahr,8)+INDEX(ObjAfaDauer,8)),0,IF($C1222=INDEX(ObjKaufJahr,8),INDEX(ObjAfaJahr,8)*(13-INDEX(ObjKaufMonat,8))/12,INDEX(ObjAfaJahr,8)))</f>
      </c>
      <c r="Q1222" s="43">
        <f>$F1222-$G1222-$H1222-$I1222-$P1222</f>
      </c>
      <c r="R1222" s="43">
        <f>$Q1222*INDEX(ObjSteuersatz,8)/100</f>
      </c>
      <c r="S1222" s="43">
        <f>$I1222+$J1222+$K1222+$L1222</f>
      </c>
      <c r="T1222" s="43">
        <f>$F1222-$G1222-$H1222-$S1222</f>
      </c>
      <c r="U1222" s="43">
        <f>$T1222-$R1222</f>
      </c>
      <c r="V1222" s="43">
        <f>$O1222-$M1222</f>
      </c>
      <c r="W1222" s="43">
        <f>$J1222+$K1222+$L1222</f>
      </c>
      <c r="X1222" s="43">
        <f>IF($O1222=0,0,$M1222/$O1222*100)</f>
      </c>
    </row>
    <row r="1223">
      <c r="A1223"/>
      <c r="B1223">
        <v>8</v>
      </c>
      <c r="C1223" s="43">
        <f>Jahr+14</f>
      </c>
      <c r="D1223">
        <v>14</v>
      </c>
      <c r="E1223" s="43">
        <f>IF(INDEX(ObjKaufJahr,8)=0,0,IF($C1223&lt;INDEX(ObjKaufJahr,8),0,IF($C1223&gt;INDEX(ObjKaufJahr,8),12,13-INDEX(ObjKaufMonat,8))))/12</f>
      </c>
      <c r="F1223" s="43">
        <f>SUMIFS(MlSumme,MlObj,8,MlJahr,$C1223)*(1-Leerstand/100)</f>
      </c>
      <c r="G1223" s="43">
        <f>INDEX(ObjLaufend,8)*(1+(Inflation)/100)^MAX(0,14)*$E1223</f>
      </c>
      <c r="H1223" s="43">
        <f>INDEX(ObjInstandBasis,8)*(1+(Inflation)/100)^MAX(0,14)*$E1223</f>
      </c>
      <c r="I1223" s="43">
        <f>SUMIFS(TilgZins,TilgObj,8,TilgJahr,$C1223)</f>
      </c>
      <c r="J1223" s="43">
        <f>SUMIFS(TilgTilgung,TilgObj,8,TilgJahr,$C1223)</f>
      </c>
      <c r="K1223" s="43">
        <f>SUMIFS(TilgSonder,TilgObj,8,TilgJahr,$C1223)</f>
      </c>
      <c r="L1223" s="43">
        <f>SUMIFS(TilgErsatz,TilgObj,8,TilgJahr,$C1223)</f>
      </c>
      <c r="M1223" s="43">
        <f>MAX(0,SUMIF(DarlObj,8,DarlBetrag)-SUMIFS(TilgTilgung,TilgObj,8,TilgJahr,"&lt;="&amp;$C1223)-SUMIFS(TilgSonder,TilgObj,8,TilgJahr,"&lt;="&amp;$C1223))</f>
      </c>
      <c r="N1223" s="43">
        <f>SUMIFS(TilgErsatz,TilgObj,8,TilgJahr,"&lt;="&amp;$C1223)+SUMIFS(TilgErtrag,TilgObj,8,TilgJahr,"&lt;="&amp;$C1223)</f>
      </c>
      <c r="O1223" s="43">
        <f>INDEX(ObjWertEff,8)*(1+(Wertsteigerung)/100)^MAX(0,14)</f>
      </c>
      <c r="P1223" s="43">
        <f>IF(OR(INDEX(ObjAfaDauer,8)=0,INDEX(ObjAfaJahr,8)=0,$C1223&lt;INDEX(ObjKaufJahr,8),$C1223&gt;=INDEX(ObjKaufJahr,8)+INDEX(ObjAfaDauer,8)),0,IF($C1223=INDEX(ObjKaufJahr,8),INDEX(ObjAfaJahr,8)*(13-INDEX(ObjKaufMonat,8))/12,INDEX(ObjAfaJahr,8)))</f>
      </c>
      <c r="Q1223" s="43">
        <f>$F1223-$G1223-$H1223-$I1223-$P1223</f>
      </c>
      <c r="R1223" s="43">
        <f>$Q1223*INDEX(ObjSteuersatz,8)/100</f>
      </c>
      <c r="S1223" s="43">
        <f>$I1223+$J1223+$K1223+$L1223</f>
      </c>
      <c r="T1223" s="43">
        <f>$F1223-$G1223-$H1223-$S1223</f>
      </c>
      <c r="U1223" s="43">
        <f>$T1223-$R1223</f>
      </c>
      <c r="V1223" s="43">
        <f>$O1223-$M1223</f>
      </c>
      <c r="W1223" s="43">
        <f>$J1223+$K1223+$L1223</f>
      </c>
      <c r="X1223" s="43">
        <f>IF($O1223=0,0,$M1223/$O1223*100)</f>
      </c>
    </row>
    <row r="1224">
      <c r="A1224"/>
      <c r="B1224">
        <v>8</v>
      </c>
      <c r="C1224" s="43">
        <f>Jahr+15</f>
      </c>
      <c r="D1224">
        <v>15</v>
      </c>
      <c r="E1224" s="43">
        <f>IF(INDEX(ObjKaufJahr,8)=0,0,IF($C1224&lt;INDEX(ObjKaufJahr,8),0,IF($C1224&gt;INDEX(ObjKaufJahr,8),12,13-INDEX(ObjKaufMonat,8))))/12</f>
      </c>
      <c r="F1224" s="43">
        <f>SUMIFS(MlSumme,MlObj,8,MlJahr,$C1224)*(1-Leerstand/100)</f>
      </c>
      <c r="G1224" s="43">
        <f>INDEX(ObjLaufend,8)*(1+(Inflation)/100)^MAX(0,15)*$E1224</f>
      </c>
      <c r="H1224" s="43">
        <f>INDEX(ObjInstandBasis,8)*(1+(Inflation)/100)^MAX(0,15)*$E1224</f>
      </c>
      <c r="I1224" s="43">
        <f>SUMIFS(TilgZins,TilgObj,8,TilgJahr,$C1224)</f>
      </c>
      <c r="J1224" s="43">
        <f>SUMIFS(TilgTilgung,TilgObj,8,TilgJahr,$C1224)</f>
      </c>
      <c r="K1224" s="43">
        <f>SUMIFS(TilgSonder,TilgObj,8,TilgJahr,$C1224)</f>
      </c>
      <c r="L1224" s="43">
        <f>SUMIFS(TilgErsatz,TilgObj,8,TilgJahr,$C1224)</f>
      </c>
      <c r="M1224" s="43">
        <f>MAX(0,SUMIF(DarlObj,8,DarlBetrag)-SUMIFS(TilgTilgung,TilgObj,8,TilgJahr,"&lt;="&amp;$C1224)-SUMIFS(TilgSonder,TilgObj,8,TilgJahr,"&lt;="&amp;$C1224))</f>
      </c>
      <c r="N1224" s="43">
        <f>SUMIFS(TilgErsatz,TilgObj,8,TilgJahr,"&lt;="&amp;$C1224)+SUMIFS(TilgErtrag,TilgObj,8,TilgJahr,"&lt;="&amp;$C1224)</f>
      </c>
      <c r="O1224" s="43">
        <f>INDEX(ObjWertEff,8)*(1+(Wertsteigerung)/100)^MAX(0,15)</f>
      </c>
      <c r="P1224" s="43">
        <f>IF(OR(INDEX(ObjAfaDauer,8)=0,INDEX(ObjAfaJahr,8)=0,$C1224&lt;INDEX(ObjKaufJahr,8),$C1224&gt;=INDEX(ObjKaufJahr,8)+INDEX(ObjAfaDauer,8)),0,IF($C1224=INDEX(ObjKaufJahr,8),INDEX(ObjAfaJahr,8)*(13-INDEX(ObjKaufMonat,8))/12,INDEX(ObjAfaJahr,8)))</f>
      </c>
      <c r="Q1224" s="43">
        <f>$F1224-$G1224-$H1224-$I1224-$P1224</f>
      </c>
      <c r="R1224" s="43">
        <f>$Q1224*INDEX(ObjSteuersatz,8)/100</f>
      </c>
      <c r="S1224" s="43">
        <f>$I1224+$J1224+$K1224+$L1224</f>
      </c>
      <c r="T1224" s="43">
        <f>$F1224-$G1224-$H1224-$S1224</f>
      </c>
      <c r="U1224" s="43">
        <f>$T1224-$R1224</f>
      </c>
      <c r="V1224" s="43">
        <f>$O1224-$M1224</f>
      </c>
      <c r="W1224" s="43">
        <f>$J1224+$K1224+$L1224</f>
      </c>
      <c r="X1224" s="43">
        <f>IF($O1224=0,0,$M1224/$O1224*100)</f>
      </c>
    </row>
    <row r="1225">
      <c r="A1225"/>
      <c r="B1225">
        <v>8</v>
      </c>
      <c r="C1225" s="43">
        <f>Jahr+16</f>
      </c>
      <c r="D1225">
        <v>16</v>
      </c>
      <c r="E1225" s="43">
        <f>IF(INDEX(ObjKaufJahr,8)=0,0,IF($C1225&lt;INDEX(ObjKaufJahr,8),0,IF($C1225&gt;INDEX(ObjKaufJahr,8),12,13-INDEX(ObjKaufMonat,8))))/12</f>
      </c>
      <c r="F1225" s="43">
        <f>SUMIFS(MlSumme,MlObj,8,MlJahr,$C1225)*(1-Leerstand/100)</f>
      </c>
      <c r="G1225" s="43">
        <f>INDEX(ObjLaufend,8)*(1+(Inflation)/100)^MAX(0,16)*$E1225</f>
      </c>
      <c r="H1225" s="43">
        <f>INDEX(ObjInstandBasis,8)*(1+(Inflation)/100)^MAX(0,16)*$E1225</f>
      </c>
      <c r="I1225" s="43">
        <f>SUMIFS(TilgZins,TilgObj,8,TilgJahr,$C1225)</f>
      </c>
      <c r="J1225" s="43">
        <f>SUMIFS(TilgTilgung,TilgObj,8,TilgJahr,$C1225)</f>
      </c>
      <c r="K1225" s="43">
        <f>SUMIFS(TilgSonder,TilgObj,8,TilgJahr,$C1225)</f>
      </c>
      <c r="L1225" s="43">
        <f>SUMIFS(TilgErsatz,TilgObj,8,TilgJahr,$C1225)</f>
      </c>
      <c r="M1225" s="43">
        <f>MAX(0,SUMIF(DarlObj,8,DarlBetrag)-SUMIFS(TilgTilgung,TilgObj,8,TilgJahr,"&lt;="&amp;$C1225)-SUMIFS(TilgSonder,TilgObj,8,TilgJahr,"&lt;="&amp;$C1225))</f>
      </c>
      <c r="N1225" s="43">
        <f>SUMIFS(TilgErsatz,TilgObj,8,TilgJahr,"&lt;="&amp;$C1225)+SUMIFS(TilgErtrag,TilgObj,8,TilgJahr,"&lt;="&amp;$C1225)</f>
      </c>
      <c r="O1225" s="43">
        <f>INDEX(ObjWertEff,8)*(1+(Wertsteigerung)/100)^MAX(0,16)</f>
      </c>
      <c r="P1225" s="43">
        <f>IF(OR(INDEX(ObjAfaDauer,8)=0,INDEX(ObjAfaJahr,8)=0,$C1225&lt;INDEX(ObjKaufJahr,8),$C1225&gt;=INDEX(ObjKaufJahr,8)+INDEX(ObjAfaDauer,8)),0,IF($C1225=INDEX(ObjKaufJahr,8),INDEX(ObjAfaJahr,8)*(13-INDEX(ObjKaufMonat,8))/12,INDEX(ObjAfaJahr,8)))</f>
      </c>
      <c r="Q1225" s="43">
        <f>$F1225-$G1225-$H1225-$I1225-$P1225</f>
      </c>
      <c r="R1225" s="43">
        <f>$Q1225*INDEX(ObjSteuersatz,8)/100</f>
      </c>
      <c r="S1225" s="43">
        <f>$I1225+$J1225+$K1225+$L1225</f>
      </c>
      <c r="T1225" s="43">
        <f>$F1225-$G1225-$H1225-$S1225</f>
      </c>
      <c r="U1225" s="43">
        <f>$T1225-$R1225</f>
      </c>
      <c r="V1225" s="43">
        <f>$O1225-$M1225</f>
      </c>
      <c r="W1225" s="43">
        <f>$J1225+$K1225+$L1225</f>
      </c>
      <c r="X1225" s="43">
        <f>IF($O1225=0,0,$M1225/$O1225*100)</f>
      </c>
    </row>
    <row r="1226">
      <c r="A1226"/>
      <c r="B1226">
        <v>8</v>
      </c>
      <c r="C1226" s="43">
        <f>Jahr+17</f>
      </c>
      <c r="D1226">
        <v>17</v>
      </c>
      <c r="E1226" s="43">
        <f>IF(INDEX(ObjKaufJahr,8)=0,0,IF($C1226&lt;INDEX(ObjKaufJahr,8),0,IF($C1226&gt;INDEX(ObjKaufJahr,8),12,13-INDEX(ObjKaufMonat,8))))/12</f>
      </c>
      <c r="F1226" s="43">
        <f>SUMIFS(MlSumme,MlObj,8,MlJahr,$C1226)*(1-Leerstand/100)</f>
      </c>
      <c r="G1226" s="43">
        <f>INDEX(ObjLaufend,8)*(1+(Inflation)/100)^MAX(0,17)*$E1226</f>
      </c>
      <c r="H1226" s="43">
        <f>INDEX(ObjInstandBasis,8)*(1+(Inflation)/100)^MAX(0,17)*$E1226</f>
      </c>
      <c r="I1226" s="43">
        <f>SUMIFS(TilgZins,TilgObj,8,TilgJahr,$C1226)</f>
      </c>
      <c r="J1226" s="43">
        <f>SUMIFS(TilgTilgung,TilgObj,8,TilgJahr,$C1226)</f>
      </c>
      <c r="K1226" s="43">
        <f>SUMIFS(TilgSonder,TilgObj,8,TilgJahr,$C1226)</f>
      </c>
      <c r="L1226" s="43">
        <f>SUMIFS(TilgErsatz,TilgObj,8,TilgJahr,$C1226)</f>
      </c>
      <c r="M1226" s="43">
        <f>MAX(0,SUMIF(DarlObj,8,DarlBetrag)-SUMIFS(TilgTilgung,TilgObj,8,TilgJahr,"&lt;="&amp;$C1226)-SUMIFS(TilgSonder,TilgObj,8,TilgJahr,"&lt;="&amp;$C1226))</f>
      </c>
      <c r="N1226" s="43">
        <f>SUMIFS(TilgErsatz,TilgObj,8,TilgJahr,"&lt;="&amp;$C1226)+SUMIFS(TilgErtrag,TilgObj,8,TilgJahr,"&lt;="&amp;$C1226)</f>
      </c>
      <c r="O1226" s="43">
        <f>INDEX(ObjWertEff,8)*(1+(Wertsteigerung)/100)^MAX(0,17)</f>
      </c>
      <c r="P1226" s="43">
        <f>IF(OR(INDEX(ObjAfaDauer,8)=0,INDEX(ObjAfaJahr,8)=0,$C1226&lt;INDEX(ObjKaufJahr,8),$C1226&gt;=INDEX(ObjKaufJahr,8)+INDEX(ObjAfaDauer,8)),0,IF($C1226=INDEX(ObjKaufJahr,8),INDEX(ObjAfaJahr,8)*(13-INDEX(ObjKaufMonat,8))/12,INDEX(ObjAfaJahr,8)))</f>
      </c>
      <c r="Q1226" s="43">
        <f>$F1226-$G1226-$H1226-$I1226-$P1226</f>
      </c>
      <c r="R1226" s="43">
        <f>$Q1226*INDEX(ObjSteuersatz,8)/100</f>
      </c>
      <c r="S1226" s="43">
        <f>$I1226+$J1226+$K1226+$L1226</f>
      </c>
      <c r="T1226" s="43">
        <f>$F1226-$G1226-$H1226-$S1226</f>
      </c>
      <c r="U1226" s="43">
        <f>$T1226-$R1226</f>
      </c>
      <c r="V1226" s="43">
        <f>$O1226-$M1226</f>
      </c>
      <c r="W1226" s="43">
        <f>$J1226+$K1226+$L1226</f>
      </c>
      <c r="X1226" s="43">
        <f>IF($O1226=0,0,$M1226/$O1226*100)</f>
      </c>
    </row>
    <row r="1227">
      <c r="A1227"/>
      <c r="B1227">
        <v>8</v>
      </c>
      <c r="C1227" s="43">
        <f>Jahr+18</f>
      </c>
      <c r="D1227">
        <v>18</v>
      </c>
      <c r="E1227" s="43">
        <f>IF(INDEX(ObjKaufJahr,8)=0,0,IF($C1227&lt;INDEX(ObjKaufJahr,8),0,IF($C1227&gt;INDEX(ObjKaufJahr,8),12,13-INDEX(ObjKaufMonat,8))))/12</f>
      </c>
      <c r="F1227" s="43">
        <f>SUMIFS(MlSumme,MlObj,8,MlJahr,$C1227)*(1-Leerstand/100)</f>
      </c>
      <c r="G1227" s="43">
        <f>INDEX(ObjLaufend,8)*(1+(Inflation)/100)^MAX(0,18)*$E1227</f>
      </c>
      <c r="H1227" s="43">
        <f>INDEX(ObjInstandBasis,8)*(1+(Inflation)/100)^MAX(0,18)*$E1227</f>
      </c>
      <c r="I1227" s="43">
        <f>SUMIFS(TilgZins,TilgObj,8,TilgJahr,$C1227)</f>
      </c>
      <c r="J1227" s="43">
        <f>SUMIFS(TilgTilgung,TilgObj,8,TilgJahr,$C1227)</f>
      </c>
      <c r="K1227" s="43">
        <f>SUMIFS(TilgSonder,TilgObj,8,TilgJahr,$C1227)</f>
      </c>
      <c r="L1227" s="43">
        <f>SUMIFS(TilgErsatz,TilgObj,8,TilgJahr,$C1227)</f>
      </c>
      <c r="M1227" s="43">
        <f>MAX(0,SUMIF(DarlObj,8,DarlBetrag)-SUMIFS(TilgTilgung,TilgObj,8,TilgJahr,"&lt;="&amp;$C1227)-SUMIFS(TilgSonder,TilgObj,8,TilgJahr,"&lt;="&amp;$C1227))</f>
      </c>
      <c r="N1227" s="43">
        <f>SUMIFS(TilgErsatz,TilgObj,8,TilgJahr,"&lt;="&amp;$C1227)+SUMIFS(TilgErtrag,TilgObj,8,TilgJahr,"&lt;="&amp;$C1227)</f>
      </c>
      <c r="O1227" s="43">
        <f>INDEX(ObjWertEff,8)*(1+(Wertsteigerung)/100)^MAX(0,18)</f>
      </c>
      <c r="P1227" s="43">
        <f>IF(OR(INDEX(ObjAfaDauer,8)=0,INDEX(ObjAfaJahr,8)=0,$C1227&lt;INDEX(ObjKaufJahr,8),$C1227&gt;=INDEX(ObjKaufJahr,8)+INDEX(ObjAfaDauer,8)),0,IF($C1227=INDEX(ObjKaufJahr,8),INDEX(ObjAfaJahr,8)*(13-INDEX(ObjKaufMonat,8))/12,INDEX(ObjAfaJahr,8)))</f>
      </c>
      <c r="Q1227" s="43">
        <f>$F1227-$G1227-$H1227-$I1227-$P1227</f>
      </c>
      <c r="R1227" s="43">
        <f>$Q1227*INDEX(ObjSteuersatz,8)/100</f>
      </c>
      <c r="S1227" s="43">
        <f>$I1227+$J1227+$K1227+$L1227</f>
      </c>
      <c r="T1227" s="43">
        <f>$F1227-$G1227-$H1227-$S1227</f>
      </c>
      <c r="U1227" s="43">
        <f>$T1227-$R1227</f>
      </c>
      <c r="V1227" s="43">
        <f>$O1227-$M1227</f>
      </c>
      <c r="W1227" s="43">
        <f>$J1227+$K1227+$L1227</f>
      </c>
      <c r="X1227" s="43">
        <f>IF($O1227=0,0,$M1227/$O1227*100)</f>
      </c>
    </row>
    <row r="1228">
      <c r="A1228"/>
      <c r="B1228">
        <v>8</v>
      </c>
      <c r="C1228" s="43">
        <f>Jahr+19</f>
      </c>
      <c r="D1228">
        <v>19</v>
      </c>
      <c r="E1228" s="43">
        <f>IF(INDEX(ObjKaufJahr,8)=0,0,IF($C1228&lt;INDEX(ObjKaufJahr,8),0,IF($C1228&gt;INDEX(ObjKaufJahr,8),12,13-INDEX(ObjKaufMonat,8))))/12</f>
      </c>
      <c r="F1228" s="43">
        <f>SUMIFS(MlSumme,MlObj,8,MlJahr,$C1228)*(1-Leerstand/100)</f>
      </c>
      <c r="G1228" s="43">
        <f>INDEX(ObjLaufend,8)*(1+(Inflation)/100)^MAX(0,19)*$E1228</f>
      </c>
      <c r="H1228" s="43">
        <f>INDEX(ObjInstandBasis,8)*(1+(Inflation)/100)^MAX(0,19)*$E1228</f>
      </c>
      <c r="I1228" s="43">
        <f>SUMIFS(TilgZins,TilgObj,8,TilgJahr,$C1228)</f>
      </c>
      <c r="J1228" s="43">
        <f>SUMIFS(TilgTilgung,TilgObj,8,TilgJahr,$C1228)</f>
      </c>
      <c r="K1228" s="43">
        <f>SUMIFS(TilgSonder,TilgObj,8,TilgJahr,$C1228)</f>
      </c>
      <c r="L1228" s="43">
        <f>SUMIFS(TilgErsatz,TilgObj,8,TilgJahr,$C1228)</f>
      </c>
      <c r="M1228" s="43">
        <f>MAX(0,SUMIF(DarlObj,8,DarlBetrag)-SUMIFS(TilgTilgung,TilgObj,8,TilgJahr,"&lt;="&amp;$C1228)-SUMIFS(TilgSonder,TilgObj,8,TilgJahr,"&lt;="&amp;$C1228))</f>
      </c>
      <c r="N1228" s="43">
        <f>SUMIFS(TilgErsatz,TilgObj,8,TilgJahr,"&lt;="&amp;$C1228)+SUMIFS(TilgErtrag,TilgObj,8,TilgJahr,"&lt;="&amp;$C1228)</f>
      </c>
      <c r="O1228" s="43">
        <f>INDEX(ObjWertEff,8)*(1+(Wertsteigerung)/100)^MAX(0,19)</f>
      </c>
      <c r="P1228" s="43">
        <f>IF(OR(INDEX(ObjAfaDauer,8)=0,INDEX(ObjAfaJahr,8)=0,$C1228&lt;INDEX(ObjKaufJahr,8),$C1228&gt;=INDEX(ObjKaufJahr,8)+INDEX(ObjAfaDauer,8)),0,IF($C1228=INDEX(ObjKaufJahr,8),INDEX(ObjAfaJahr,8)*(13-INDEX(ObjKaufMonat,8))/12,INDEX(ObjAfaJahr,8)))</f>
      </c>
      <c r="Q1228" s="43">
        <f>$F1228-$G1228-$H1228-$I1228-$P1228</f>
      </c>
      <c r="R1228" s="43">
        <f>$Q1228*INDEX(ObjSteuersatz,8)/100</f>
      </c>
      <c r="S1228" s="43">
        <f>$I1228+$J1228+$K1228+$L1228</f>
      </c>
      <c r="T1228" s="43">
        <f>$F1228-$G1228-$H1228-$S1228</f>
      </c>
      <c r="U1228" s="43">
        <f>$T1228-$R1228</f>
      </c>
      <c r="V1228" s="43">
        <f>$O1228-$M1228</f>
      </c>
      <c r="W1228" s="43">
        <f>$J1228+$K1228+$L1228</f>
      </c>
      <c r="X1228" s="43">
        <f>IF($O1228=0,0,$M1228/$O1228*100)</f>
      </c>
    </row>
    <row r="1229">
      <c r="A1229"/>
      <c r="B1229">
        <v>8</v>
      </c>
      <c r="C1229" s="43">
        <f>Jahr+20</f>
      </c>
      <c r="D1229">
        <v>20</v>
      </c>
      <c r="E1229" s="43">
        <f>IF(INDEX(ObjKaufJahr,8)=0,0,IF($C1229&lt;INDEX(ObjKaufJahr,8),0,IF($C1229&gt;INDEX(ObjKaufJahr,8),12,13-INDEX(ObjKaufMonat,8))))/12</f>
      </c>
      <c r="F1229" s="43">
        <f>SUMIFS(MlSumme,MlObj,8,MlJahr,$C1229)*(1-Leerstand/100)</f>
      </c>
      <c r="G1229" s="43">
        <f>INDEX(ObjLaufend,8)*(1+(Inflation)/100)^MAX(0,20)*$E1229</f>
      </c>
      <c r="H1229" s="43">
        <f>INDEX(ObjInstandBasis,8)*(1+(Inflation)/100)^MAX(0,20)*$E1229</f>
      </c>
      <c r="I1229" s="43">
        <f>SUMIFS(TilgZins,TilgObj,8,TilgJahr,$C1229)</f>
      </c>
      <c r="J1229" s="43">
        <f>SUMIFS(TilgTilgung,TilgObj,8,TilgJahr,$C1229)</f>
      </c>
      <c r="K1229" s="43">
        <f>SUMIFS(TilgSonder,TilgObj,8,TilgJahr,$C1229)</f>
      </c>
      <c r="L1229" s="43">
        <f>SUMIFS(TilgErsatz,TilgObj,8,TilgJahr,$C1229)</f>
      </c>
      <c r="M1229" s="43">
        <f>MAX(0,SUMIF(DarlObj,8,DarlBetrag)-SUMIFS(TilgTilgung,TilgObj,8,TilgJahr,"&lt;="&amp;$C1229)-SUMIFS(TilgSonder,TilgObj,8,TilgJahr,"&lt;="&amp;$C1229))</f>
      </c>
      <c r="N1229" s="43">
        <f>SUMIFS(TilgErsatz,TilgObj,8,TilgJahr,"&lt;="&amp;$C1229)+SUMIFS(TilgErtrag,TilgObj,8,TilgJahr,"&lt;="&amp;$C1229)</f>
      </c>
      <c r="O1229" s="43">
        <f>INDEX(ObjWertEff,8)*(1+(Wertsteigerung)/100)^MAX(0,20)</f>
      </c>
      <c r="P1229" s="43">
        <f>IF(OR(INDEX(ObjAfaDauer,8)=0,INDEX(ObjAfaJahr,8)=0,$C1229&lt;INDEX(ObjKaufJahr,8),$C1229&gt;=INDEX(ObjKaufJahr,8)+INDEX(ObjAfaDauer,8)),0,IF($C1229=INDEX(ObjKaufJahr,8),INDEX(ObjAfaJahr,8)*(13-INDEX(ObjKaufMonat,8))/12,INDEX(ObjAfaJahr,8)))</f>
      </c>
      <c r="Q1229" s="43">
        <f>$F1229-$G1229-$H1229-$I1229-$P1229</f>
      </c>
      <c r="R1229" s="43">
        <f>$Q1229*INDEX(ObjSteuersatz,8)/100</f>
      </c>
      <c r="S1229" s="43">
        <f>$I1229+$J1229+$K1229+$L1229</f>
      </c>
      <c r="T1229" s="43">
        <f>$F1229-$G1229-$H1229-$S1229</f>
      </c>
      <c r="U1229" s="43">
        <f>$T1229-$R1229</f>
      </c>
      <c r="V1229" s="43">
        <f>$O1229-$M1229</f>
      </c>
      <c r="W1229" s="43">
        <f>$J1229+$K1229+$L1229</f>
      </c>
      <c r="X1229" s="43">
        <f>IF($O1229=0,0,$M1229/$O1229*100)</f>
      </c>
    </row>
    <row r="1230">
      <c r="A1230"/>
      <c r="B1230">
        <v>8</v>
      </c>
      <c r="C1230" s="43">
        <f>Jahr+21</f>
      </c>
      <c r="D1230">
        <v>21</v>
      </c>
      <c r="E1230" s="43">
        <f>IF(INDEX(ObjKaufJahr,8)=0,0,IF($C1230&lt;INDEX(ObjKaufJahr,8),0,IF($C1230&gt;INDEX(ObjKaufJahr,8),12,13-INDEX(ObjKaufMonat,8))))/12</f>
      </c>
      <c r="F1230" s="43">
        <f>SUMIFS(MlSumme,MlObj,8,MlJahr,$C1230)*(1-Leerstand/100)</f>
      </c>
      <c r="G1230" s="43">
        <f>INDEX(ObjLaufend,8)*(1+(Inflation)/100)^MAX(0,21)*$E1230</f>
      </c>
      <c r="H1230" s="43">
        <f>INDEX(ObjInstandBasis,8)*(1+(Inflation)/100)^MAX(0,21)*$E1230</f>
      </c>
      <c r="I1230" s="43">
        <f>SUMIFS(TilgZins,TilgObj,8,TilgJahr,$C1230)</f>
      </c>
      <c r="J1230" s="43">
        <f>SUMIFS(TilgTilgung,TilgObj,8,TilgJahr,$C1230)</f>
      </c>
      <c r="K1230" s="43">
        <f>SUMIFS(TilgSonder,TilgObj,8,TilgJahr,$C1230)</f>
      </c>
      <c r="L1230" s="43">
        <f>SUMIFS(TilgErsatz,TilgObj,8,TilgJahr,$C1230)</f>
      </c>
      <c r="M1230" s="43">
        <f>MAX(0,SUMIF(DarlObj,8,DarlBetrag)-SUMIFS(TilgTilgung,TilgObj,8,TilgJahr,"&lt;="&amp;$C1230)-SUMIFS(TilgSonder,TilgObj,8,TilgJahr,"&lt;="&amp;$C1230))</f>
      </c>
      <c r="N1230" s="43">
        <f>SUMIFS(TilgErsatz,TilgObj,8,TilgJahr,"&lt;="&amp;$C1230)+SUMIFS(TilgErtrag,TilgObj,8,TilgJahr,"&lt;="&amp;$C1230)</f>
      </c>
      <c r="O1230" s="43">
        <f>INDEX(ObjWertEff,8)*(1+(Wertsteigerung)/100)^MAX(0,21)</f>
      </c>
      <c r="P1230" s="43">
        <f>IF(OR(INDEX(ObjAfaDauer,8)=0,INDEX(ObjAfaJahr,8)=0,$C1230&lt;INDEX(ObjKaufJahr,8),$C1230&gt;=INDEX(ObjKaufJahr,8)+INDEX(ObjAfaDauer,8)),0,IF($C1230=INDEX(ObjKaufJahr,8),INDEX(ObjAfaJahr,8)*(13-INDEX(ObjKaufMonat,8))/12,INDEX(ObjAfaJahr,8)))</f>
      </c>
      <c r="Q1230" s="43">
        <f>$F1230-$G1230-$H1230-$I1230-$P1230</f>
      </c>
      <c r="R1230" s="43">
        <f>$Q1230*INDEX(ObjSteuersatz,8)/100</f>
      </c>
      <c r="S1230" s="43">
        <f>$I1230+$J1230+$K1230+$L1230</f>
      </c>
      <c r="T1230" s="43">
        <f>$F1230-$G1230-$H1230-$S1230</f>
      </c>
      <c r="U1230" s="43">
        <f>$T1230-$R1230</f>
      </c>
      <c r="V1230" s="43">
        <f>$O1230-$M1230</f>
      </c>
      <c r="W1230" s="43">
        <f>$J1230+$K1230+$L1230</f>
      </c>
      <c r="X1230" s="43">
        <f>IF($O1230=0,0,$M1230/$O1230*100)</f>
      </c>
    </row>
    <row r="1231">
      <c r="A1231"/>
      <c r="B1231">
        <v>8</v>
      </c>
      <c r="C1231" s="43">
        <f>Jahr+22</f>
      </c>
      <c r="D1231">
        <v>22</v>
      </c>
      <c r="E1231" s="43">
        <f>IF(INDEX(ObjKaufJahr,8)=0,0,IF($C1231&lt;INDEX(ObjKaufJahr,8),0,IF($C1231&gt;INDEX(ObjKaufJahr,8),12,13-INDEX(ObjKaufMonat,8))))/12</f>
      </c>
      <c r="F1231" s="43">
        <f>SUMIFS(MlSumme,MlObj,8,MlJahr,$C1231)*(1-Leerstand/100)</f>
      </c>
      <c r="G1231" s="43">
        <f>INDEX(ObjLaufend,8)*(1+(Inflation)/100)^MAX(0,22)*$E1231</f>
      </c>
      <c r="H1231" s="43">
        <f>INDEX(ObjInstandBasis,8)*(1+(Inflation)/100)^MAX(0,22)*$E1231</f>
      </c>
      <c r="I1231" s="43">
        <f>SUMIFS(TilgZins,TilgObj,8,TilgJahr,$C1231)</f>
      </c>
      <c r="J1231" s="43">
        <f>SUMIFS(TilgTilgung,TilgObj,8,TilgJahr,$C1231)</f>
      </c>
      <c r="K1231" s="43">
        <f>SUMIFS(TilgSonder,TilgObj,8,TilgJahr,$C1231)</f>
      </c>
      <c r="L1231" s="43">
        <f>SUMIFS(TilgErsatz,TilgObj,8,TilgJahr,$C1231)</f>
      </c>
      <c r="M1231" s="43">
        <f>MAX(0,SUMIF(DarlObj,8,DarlBetrag)-SUMIFS(TilgTilgung,TilgObj,8,TilgJahr,"&lt;="&amp;$C1231)-SUMIFS(TilgSonder,TilgObj,8,TilgJahr,"&lt;="&amp;$C1231))</f>
      </c>
      <c r="N1231" s="43">
        <f>SUMIFS(TilgErsatz,TilgObj,8,TilgJahr,"&lt;="&amp;$C1231)+SUMIFS(TilgErtrag,TilgObj,8,TilgJahr,"&lt;="&amp;$C1231)</f>
      </c>
      <c r="O1231" s="43">
        <f>INDEX(ObjWertEff,8)*(1+(Wertsteigerung)/100)^MAX(0,22)</f>
      </c>
      <c r="P1231" s="43">
        <f>IF(OR(INDEX(ObjAfaDauer,8)=0,INDEX(ObjAfaJahr,8)=0,$C1231&lt;INDEX(ObjKaufJahr,8),$C1231&gt;=INDEX(ObjKaufJahr,8)+INDEX(ObjAfaDauer,8)),0,IF($C1231=INDEX(ObjKaufJahr,8),INDEX(ObjAfaJahr,8)*(13-INDEX(ObjKaufMonat,8))/12,INDEX(ObjAfaJahr,8)))</f>
      </c>
      <c r="Q1231" s="43">
        <f>$F1231-$G1231-$H1231-$I1231-$P1231</f>
      </c>
      <c r="R1231" s="43">
        <f>$Q1231*INDEX(ObjSteuersatz,8)/100</f>
      </c>
      <c r="S1231" s="43">
        <f>$I1231+$J1231+$K1231+$L1231</f>
      </c>
      <c r="T1231" s="43">
        <f>$F1231-$G1231-$H1231-$S1231</f>
      </c>
      <c r="U1231" s="43">
        <f>$T1231-$R1231</f>
      </c>
      <c r="V1231" s="43">
        <f>$O1231-$M1231</f>
      </c>
      <c r="W1231" s="43">
        <f>$J1231+$K1231+$L1231</f>
      </c>
      <c r="X1231" s="43">
        <f>IF($O1231=0,0,$M1231/$O1231*100)</f>
      </c>
    </row>
    <row r="1232">
      <c r="A1232"/>
      <c r="B1232">
        <v>8</v>
      </c>
      <c r="C1232" s="43">
        <f>Jahr+23</f>
      </c>
      <c r="D1232">
        <v>23</v>
      </c>
      <c r="E1232" s="43">
        <f>IF(INDEX(ObjKaufJahr,8)=0,0,IF($C1232&lt;INDEX(ObjKaufJahr,8),0,IF($C1232&gt;INDEX(ObjKaufJahr,8),12,13-INDEX(ObjKaufMonat,8))))/12</f>
      </c>
      <c r="F1232" s="43">
        <f>SUMIFS(MlSumme,MlObj,8,MlJahr,$C1232)*(1-Leerstand/100)</f>
      </c>
      <c r="G1232" s="43">
        <f>INDEX(ObjLaufend,8)*(1+(Inflation)/100)^MAX(0,23)*$E1232</f>
      </c>
      <c r="H1232" s="43">
        <f>INDEX(ObjInstandBasis,8)*(1+(Inflation)/100)^MAX(0,23)*$E1232</f>
      </c>
      <c r="I1232" s="43">
        <f>SUMIFS(TilgZins,TilgObj,8,TilgJahr,$C1232)</f>
      </c>
      <c r="J1232" s="43">
        <f>SUMIFS(TilgTilgung,TilgObj,8,TilgJahr,$C1232)</f>
      </c>
      <c r="K1232" s="43">
        <f>SUMIFS(TilgSonder,TilgObj,8,TilgJahr,$C1232)</f>
      </c>
      <c r="L1232" s="43">
        <f>SUMIFS(TilgErsatz,TilgObj,8,TilgJahr,$C1232)</f>
      </c>
      <c r="M1232" s="43">
        <f>MAX(0,SUMIF(DarlObj,8,DarlBetrag)-SUMIFS(TilgTilgung,TilgObj,8,TilgJahr,"&lt;="&amp;$C1232)-SUMIFS(TilgSonder,TilgObj,8,TilgJahr,"&lt;="&amp;$C1232))</f>
      </c>
      <c r="N1232" s="43">
        <f>SUMIFS(TilgErsatz,TilgObj,8,TilgJahr,"&lt;="&amp;$C1232)+SUMIFS(TilgErtrag,TilgObj,8,TilgJahr,"&lt;="&amp;$C1232)</f>
      </c>
      <c r="O1232" s="43">
        <f>INDEX(ObjWertEff,8)*(1+(Wertsteigerung)/100)^MAX(0,23)</f>
      </c>
      <c r="P1232" s="43">
        <f>IF(OR(INDEX(ObjAfaDauer,8)=0,INDEX(ObjAfaJahr,8)=0,$C1232&lt;INDEX(ObjKaufJahr,8),$C1232&gt;=INDEX(ObjKaufJahr,8)+INDEX(ObjAfaDauer,8)),0,IF($C1232=INDEX(ObjKaufJahr,8),INDEX(ObjAfaJahr,8)*(13-INDEX(ObjKaufMonat,8))/12,INDEX(ObjAfaJahr,8)))</f>
      </c>
      <c r="Q1232" s="43">
        <f>$F1232-$G1232-$H1232-$I1232-$P1232</f>
      </c>
      <c r="R1232" s="43">
        <f>$Q1232*INDEX(ObjSteuersatz,8)/100</f>
      </c>
      <c r="S1232" s="43">
        <f>$I1232+$J1232+$K1232+$L1232</f>
      </c>
      <c r="T1232" s="43">
        <f>$F1232-$G1232-$H1232-$S1232</f>
      </c>
      <c r="U1232" s="43">
        <f>$T1232-$R1232</f>
      </c>
      <c r="V1232" s="43">
        <f>$O1232-$M1232</f>
      </c>
      <c r="W1232" s="43">
        <f>$J1232+$K1232+$L1232</f>
      </c>
      <c r="X1232" s="43">
        <f>IF($O1232=0,0,$M1232/$O1232*100)</f>
      </c>
    </row>
    <row r="1233">
      <c r="A1233"/>
      <c r="B1233">
        <v>8</v>
      </c>
      <c r="C1233" s="43">
        <f>Jahr+24</f>
      </c>
      <c r="D1233">
        <v>24</v>
      </c>
      <c r="E1233" s="43">
        <f>IF(INDEX(ObjKaufJahr,8)=0,0,IF($C1233&lt;INDEX(ObjKaufJahr,8),0,IF($C1233&gt;INDEX(ObjKaufJahr,8),12,13-INDEX(ObjKaufMonat,8))))/12</f>
      </c>
      <c r="F1233" s="43">
        <f>SUMIFS(MlSumme,MlObj,8,MlJahr,$C1233)*(1-Leerstand/100)</f>
      </c>
      <c r="G1233" s="43">
        <f>INDEX(ObjLaufend,8)*(1+(Inflation)/100)^MAX(0,24)*$E1233</f>
      </c>
      <c r="H1233" s="43">
        <f>INDEX(ObjInstandBasis,8)*(1+(Inflation)/100)^MAX(0,24)*$E1233</f>
      </c>
      <c r="I1233" s="43">
        <f>SUMIFS(TilgZins,TilgObj,8,TilgJahr,$C1233)</f>
      </c>
      <c r="J1233" s="43">
        <f>SUMIFS(TilgTilgung,TilgObj,8,TilgJahr,$C1233)</f>
      </c>
      <c r="K1233" s="43">
        <f>SUMIFS(TilgSonder,TilgObj,8,TilgJahr,$C1233)</f>
      </c>
      <c r="L1233" s="43">
        <f>SUMIFS(TilgErsatz,TilgObj,8,TilgJahr,$C1233)</f>
      </c>
      <c r="M1233" s="43">
        <f>MAX(0,SUMIF(DarlObj,8,DarlBetrag)-SUMIFS(TilgTilgung,TilgObj,8,TilgJahr,"&lt;="&amp;$C1233)-SUMIFS(TilgSonder,TilgObj,8,TilgJahr,"&lt;="&amp;$C1233))</f>
      </c>
      <c r="N1233" s="43">
        <f>SUMIFS(TilgErsatz,TilgObj,8,TilgJahr,"&lt;="&amp;$C1233)+SUMIFS(TilgErtrag,TilgObj,8,TilgJahr,"&lt;="&amp;$C1233)</f>
      </c>
      <c r="O1233" s="43">
        <f>INDEX(ObjWertEff,8)*(1+(Wertsteigerung)/100)^MAX(0,24)</f>
      </c>
      <c r="P1233" s="43">
        <f>IF(OR(INDEX(ObjAfaDauer,8)=0,INDEX(ObjAfaJahr,8)=0,$C1233&lt;INDEX(ObjKaufJahr,8),$C1233&gt;=INDEX(ObjKaufJahr,8)+INDEX(ObjAfaDauer,8)),0,IF($C1233=INDEX(ObjKaufJahr,8),INDEX(ObjAfaJahr,8)*(13-INDEX(ObjKaufMonat,8))/12,INDEX(ObjAfaJahr,8)))</f>
      </c>
      <c r="Q1233" s="43">
        <f>$F1233-$G1233-$H1233-$I1233-$P1233</f>
      </c>
      <c r="R1233" s="43">
        <f>$Q1233*INDEX(ObjSteuersatz,8)/100</f>
      </c>
      <c r="S1233" s="43">
        <f>$I1233+$J1233+$K1233+$L1233</f>
      </c>
      <c r="T1233" s="43">
        <f>$F1233-$G1233-$H1233-$S1233</f>
      </c>
      <c r="U1233" s="43">
        <f>$T1233-$R1233</f>
      </c>
      <c r="V1233" s="43">
        <f>$O1233-$M1233</f>
      </c>
      <c r="W1233" s="43">
        <f>$J1233+$K1233+$L1233</f>
      </c>
      <c r="X1233" s="43">
        <f>IF($O1233=0,0,$M1233/$O1233*100)</f>
      </c>
    </row>
    <row r="1234">
      <c r="A1234"/>
      <c r="B1234">
        <v>8</v>
      </c>
      <c r="C1234" s="43">
        <f>Jahr+25</f>
      </c>
      <c r="D1234">
        <v>25</v>
      </c>
      <c r="E1234" s="43">
        <f>IF(INDEX(ObjKaufJahr,8)=0,0,IF($C1234&lt;INDEX(ObjKaufJahr,8),0,IF($C1234&gt;INDEX(ObjKaufJahr,8),12,13-INDEX(ObjKaufMonat,8))))/12</f>
      </c>
      <c r="F1234" s="43">
        <f>SUMIFS(MlSumme,MlObj,8,MlJahr,$C1234)*(1-Leerstand/100)</f>
      </c>
      <c r="G1234" s="43">
        <f>INDEX(ObjLaufend,8)*(1+(Inflation)/100)^MAX(0,25)*$E1234</f>
      </c>
      <c r="H1234" s="43">
        <f>INDEX(ObjInstandBasis,8)*(1+(Inflation)/100)^MAX(0,25)*$E1234</f>
      </c>
      <c r="I1234" s="43">
        <f>SUMIFS(TilgZins,TilgObj,8,TilgJahr,$C1234)</f>
      </c>
      <c r="J1234" s="43">
        <f>SUMIFS(TilgTilgung,TilgObj,8,TilgJahr,$C1234)</f>
      </c>
      <c r="K1234" s="43">
        <f>SUMIFS(TilgSonder,TilgObj,8,TilgJahr,$C1234)</f>
      </c>
      <c r="L1234" s="43">
        <f>SUMIFS(TilgErsatz,TilgObj,8,TilgJahr,$C1234)</f>
      </c>
      <c r="M1234" s="43">
        <f>MAX(0,SUMIF(DarlObj,8,DarlBetrag)-SUMIFS(TilgTilgung,TilgObj,8,TilgJahr,"&lt;="&amp;$C1234)-SUMIFS(TilgSonder,TilgObj,8,TilgJahr,"&lt;="&amp;$C1234))</f>
      </c>
      <c r="N1234" s="43">
        <f>SUMIFS(TilgErsatz,TilgObj,8,TilgJahr,"&lt;="&amp;$C1234)+SUMIFS(TilgErtrag,TilgObj,8,TilgJahr,"&lt;="&amp;$C1234)</f>
      </c>
      <c r="O1234" s="43">
        <f>INDEX(ObjWertEff,8)*(1+(Wertsteigerung)/100)^MAX(0,25)</f>
      </c>
      <c r="P1234" s="43">
        <f>IF(OR(INDEX(ObjAfaDauer,8)=0,INDEX(ObjAfaJahr,8)=0,$C1234&lt;INDEX(ObjKaufJahr,8),$C1234&gt;=INDEX(ObjKaufJahr,8)+INDEX(ObjAfaDauer,8)),0,IF($C1234=INDEX(ObjKaufJahr,8),INDEX(ObjAfaJahr,8)*(13-INDEX(ObjKaufMonat,8))/12,INDEX(ObjAfaJahr,8)))</f>
      </c>
      <c r="Q1234" s="43">
        <f>$F1234-$G1234-$H1234-$I1234-$P1234</f>
      </c>
      <c r="R1234" s="43">
        <f>$Q1234*INDEX(ObjSteuersatz,8)/100</f>
      </c>
      <c r="S1234" s="43">
        <f>$I1234+$J1234+$K1234+$L1234</f>
      </c>
      <c r="T1234" s="43">
        <f>$F1234-$G1234-$H1234-$S1234</f>
      </c>
      <c r="U1234" s="43">
        <f>$T1234-$R1234</f>
      </c>
      <c r="V1234" s="43">
        <f>$O1234-$M1234</f>
      </c>
      <c r="W1234" s="43">
        <f>$J1234+$K1234+$L1234</f>
      </c>
      <c r="X1234" s="43">
        <f>IF($O1234=0,0,$M1234/$O1234*100)</f>
      </c>
    </row>
    <row r="1235">
      <c r="A1235"/>
      <c r="B1235">
        <v>8</v>
      </c>
      <c r="C1235" s="43">
        <f>Jahr+26</f>
      </c>
      <c r="D1235">
        <v>26</v>
      </c>
      <c r="E1235" s="43">
        <f>IF(INDEX(ObjKaufJahr,8)=0,0,IF($C1235&lt;INDEX(ObjKaufJahr,8),0,IF($C1235&gt;INDEX(ObjKaufJahr,8),12,13-INDEX(ObjKaufMonat,8))))/12</f>
      </c>
      <c r="F1235" s="43">
        <f>SUMIFS(MlSumme,MlObj,8,MlJahr,$C1235)*(1-Leerstand/100)</f>
      </c>
      <c r="G1235" s="43">
        <f>INDEX(ObjLaufend,8)*(1+(Inflation)/100)^MAX(0,26)*$E1235</f>
      </c>
      <c r="H1235" s="43">
        <f>INDEX(ObjInstandBasis,8)*(1+(Inflation)/100)^MAX(0,26)*$E1235</f>
      </c>
      <c r="I1235" s="43">
        <f>SUMIFS(TilgZins,TilgObj,8,TilgJahr,$C1235)</f>
      </c>
      <c r="J1235" s="43">
        <f>SUMIFS(TilgTilgung,TilgObj,8,TilgJahr,$C1235)</f>
      </c>
      <c r="K1235" s="43">
        <f>SUMIFS(TilgSonder,TilgObj,8,TilgJahr,$C1235)</f>
      </c>
      <c r="L1235" s="43">
        <f>SUMIFS(TilgErsatz,TilgObj,8,TilgJahr,$C1235)</f>
      </c>
      <c r="M1235" s="43">
        <f>MAX(0,SUMIF(DarlObj,8,DarlBetrag)-SUMIFS(TilgTilgung,TilgObj,8,TilgJahr,"&lt;="&amp;$C1235)-SUMIFS(TilgSonder,TilgObj,8,TilgJahr,"&lt;="&amp;$C1235))</f>
      </c>
      <c r="N1235" s="43">
        <f>SUMIFS(TilgErsatz,TilgObj,8,TilgJahr,"&lt;="&amp;$C1235)+SUMIFS(TilgErtrag,TilgObj,8,TilgJahr,"&lt;="&amp;$C1235)</f>
      </c>
      <c r="O1235" s="43">
        <f>INDEX(ObjWertEff,8)*(1+(Wertsteigerung)/100)^MAX(0,26)</f>
      </c>
      <c r="P1235" s="43">
        <f>IF(OR(INDEX(ObjAfaDauer,8)=0,INDEX(ObjAfaJahr,8)=0,$C1235&lt;INDEX(ObjKaufJahr,8),$C1235&gt;=INDEX(ObjKaufJahr,8)+INDEX(ObjAfaDauer,8)),0,IF($C1235=INDEX(ObjKaufJahr,8),INDEX(ObjAfaJahr,8)*(13-INDEX(ObjKaufMonat,8))/12,INDEX(ObjAfaJahr,8)))</f>
      </c>
      <c r="Q1235" s="43">
        <f>$F1235-$G1235-$H1235-$I1235-$P1235</f>
      </c>
      <c r="R1235" s="43">
        <f>$Q1235*INDEX(ObjSteuersatz,8)/100</f>
      </c>
      <c r="S1235" s="43">
        <f>$I1235+$J1235+$K1235+$L1235</f>
      </c>
      <c r="T1235" s="43">
        <f>$F1235-$G1235-$H1235-$S1235</f>
      </c>
      <c r="U1235" s="43">
        <f>$T1235-$R1235</f>
      </c>
      <c r="V1235" s="43">
        <f>$O1235-$M1235</f>
      </c>
      <c r="W1235" s="43">
        <f>$J1235+$K1235+$L1235</f>
      </c>
      <c r="X1235" s="43">
        <f>IF($O1235=0,0,$M1235/$O1235*100)</f>
      </c>
    </row>
    <row r="1236">
      <c r="A1236"/>
      <c r="B1236">
        <v>8</v>
      </c>
      <c r="C1236" s="43">
        <f>Jahr+27</f>
      </c>
      <c r="D1236">
        <v>27</v>
      </c>
      <c r="E1236" s="43">
        <f>IF(INDEX(ObjKaufJahr,8)=0,0,IF($C1236&lt;INDEX(ObjKaufJahr,8),0,IF($C1236&gt;INDEX(ObjKaufJahr,8),12,13-INDEX(ObjKaufMonat,8))))/12</f>
      </c>
      <c r="F1236" s="43">
        <f>SUMIFS(MlSumme,MlObj,8,MlJahr,$C1236)*(1-Leerstand/100)</f>
      </c>
      <c r="G1236" s="43">
        <f>INDEX(ObjLaufend,8)*(1+(Inflation)/100)^MAX(0,27)*$E1236</f>
      </c>
      <c r="H1236" s="43">
        <f>INDEX(ObjInstandBasis,8)*(1+(Inflation)/100)^MAX(0,27)*$E1236</f>
      </c>
      <c r="I1236" s="43">
        <f>SUMIFS(TilgZins,TilgObj,8,TilgJahr,$C1236)</f>
      </c>
      <c r="J1236" s="43">
        <f>SUMIFS(TilgTilgung,TilgObj,8,TilgJahr,$C1236)</f>
      </c>
      <c r="K1236" s="43">
        <f>SUMIFS(TilgSonder,TilgObj,8,TilgJahr,$C1236)</f>
      </c>
      <c r="L1236" s="43">
        <f>SUMIFS(TilgErsatz,TilgObj,8,TilgJahr,$C1236)</f>
      </c>
      <c r="M1236" s="43">
        <f>MAX(0,SUMIF(DarlObj,8,DarlBetrag)-SUMIFS(TilgTilgung,TilgObj,8,TilgJahr,"&lt;="&amp;$C1236)-SUMIFS(TilgSonder,TilgObj,8,TilgJahr,"&lt;="&amp;$C1236))</f>
      </c>
      <c r="N1236" s="43">
        <f>SUMIFS(TilgErsatz,TilgObj,8,TilgJahr,"&lt;="&amp;$C1236)+SUMIFS(TilgErtrag,TilgObj,8,TilgJahr,"&lt;="&amp;$C1236)</f>
      </c>
      <c r="O1236" s="43">
        <f>INDEX(ObjWertEff,8)*(1+(Wertsteigerung)/100)^MAX(0,27)</f>
      </c>
      <c r="P1236" s="43">
        <f>IF(OR(INDEX(ObjAfaDauer,8)=0,INDEX(ObjAfaJahr,8)=0,$C1236&lt;INDEX(ObjKaufJahr,8),$C1236&gt;=INDEX(ObjKaufJahr,8)+INDEX(ObjAfaDauer,8)),0,IF($C1236=INDEX(ObjKaufJahr,8),INDEX(ObjAfaJahr,8)*(13-INDEX(ObjKaufMonat,8))/12,INDEX(ObjAfaJahr,8)))</f>
      </c>
      <c r="Q1236" s="43">
        <f>$F1236-$G1236-$H1236-$I1236-$P1236</f>
      </c>
      <c r="R1236" s="43">
        <f>$Q1236*INDEX(ObjSteuersatz,8)/100</f>
      </c>
      <c r="S1236" s="43">
        <f>$I1236+$J1236+$K1236+$L1236</f>
      </c>
      <c r="T1236" s="43">
        <f>$F1236-$G1236-$H1236-$S1236</f>
      </c>
      <c r="U1236" s="43">
        <f>$T1236-$R1236</f>
      </c>
      <c r="V1236" s="43">
        <f>$O1236-$M1236</f>
      </c>
      <c r="W1236" s="43">
        <f>$J1236+$K1236+$L1236</f>
      </c>
      <c r="X1236" s="43">
        <f>IF($O1236=0,0,$M1236/$O1236*100)</f>
      </c>
    </row>
    <row r="1237">
      <c r="A1237"/>
      <c r="B1237">
        <v>8</v>
      </c>
      <c r="C1237" s="43">
        <f>Jahr+28</f>
      </c>
      <c r="D1237">
        <v>28</v>
      </c>
      <c r="E1237" s="43">
        <f>IF(INDEX(ObjKaufJahr,8)=0,0,IF($C1237&lt;INDEX(ObjKaufJahr,8),0,IF($C1237&gt;INDEX(ObjKaufJahr,8),12,13-INDEX(ObjKaufMonat,8))))/12</f>
      </c>
      <c r="F1237" s="43">
        <f>SUMIFS(MlSumme,MlObj,8,MlJahr,$C1237)*(1-Leerstand/100)</f>
      </c>
      <c r="G1237" s="43">
        <f>INDEX(ObjLaufend,8)*(1+(Inflation)/100)^MAX(0,28)*$E1237</f>
      </c>
      <c r="H1237" s="43">
        <f>INDEX(ObjInstandBasis,8)*(1+(Inflation)/100)^MAX(0,28)*$E1237</f>
      </c>
      <c r="I1237" s="43">
        <f>SUMIFS(TilgZins,TilgObj,8,TilgJahr,$C1237)</f>
      </c>
      <c r="J1237" s="43">
        <f>SUMIFS(TilgTilgung,TilgObj,8,TilgJahr,$C1237)</f>
      </c>
      <c r="K1237" s="43">
        <f>SUMIFS(TilgSonder,TilgObj,8,TilgJahr,$C1237)</f>
      </c>
      <c r="L1237" s="43">
        <f>SUMIFS(TilgErsatz,TilgObj,8,TilgJahr,$C1237)</f>
      </c>
      <c r="M1237" s="43">
        <f>MAX(0,SUMIF(DarlObj,8,DarlBetrag)-SUMIFS(TilgTilgung,TilgObj,8,TilgJahr,"&lt;="&amp;$C1237)-SUMIFS(TilgSonder,TilgObj,8,TilgJahr,"&lt;="&amp;$C1237))</f>
      </c>
      <c r="N1237" s="43">
        <f>SUMIFS(TilgErsatz,TilgObj,8,TilgJahr,"&lt;="&amp;$C1237)+SUMIFS(TilgErtrag,TilgObj,8,TilgJahr,"&lt;="&amp;$C1237)</f>
      </c>
      <c r="O1237" s="43">
        <f>INDEX(ObjWertEff,8)*(1+(Wertsteigerung)/100)^MAX(0,28)</f>
      </c>
      <c r="P1237" s="43">
        <f>IF(OR(INDEX(ObjAfaDauer,8)=0,INDEX(ObjAfaJahr,8)=0,$C1237&lt;INDEX(ObjKaufJahr,8),$C1237&gt;=INDEX(ObjKaufJahr,8)+INDEX(ObjAfaDauer,8)),0,IF($C1237=INDEX(ObjKaufJahr,8),INDEX(ObjAfaJahr,8)*(13-INDEX(ObjKaufMonat,8))/12,INDEX(ObjAfaJahr,8)))</f>
      </c>
      <c r="Q1237" s="43">
        <f>$F1237-$G1237-$H1237-$I1237-$P1237</f>
      </c>
      <c r="R1237" s="43">
        <f>$Q1237*INDEX(ObjSteuersatz,8)/100</f>
      </c>
      <c r="S1237" s="43">
        <f>$I1237+$J1237+$K1237+$L1237</f>
      </c>
      <c r="T1237" s="43">
        <f>$F1237-$G1237-$H1237-$S1237</f>
      </c>
      <c r="U1237" s="43">
        <f>$T1237-$R1237</f>
      </c>
      <c r="V1237" s="43">
        <f>$O1237-$M1237</f>
      </c>
      <c r="W1237" s="43">
        <f>$J1237+$K1237+$L1237</f>
      </c>
      <c r="X1237" s="43">
        <f>IF($O1237=0,0,$M1237/$O1237*100)</f>
      </c>
    </row>
    <row r="1238">
      <c r="A1238"/>
      <c r="B1238">
        <v>8</v>
      </c>
      <c r="C1238" s="43">
        <f>Jahr+29</f>
      </c>
      <c r="D1238">
        <v>29</v>
      </c>
      <c r="E1238" s="43">
        <f>IF(INDEX(ObjKaufJahr,8)=0,0,IF($C1238&lt;INDEX(ObjKaufJahr,8),0,IF($C1238&gt;INDEX(ObjKaufJahr,8),12,13-INDEX(ObjKaufMonat,8))))/12</f>
      </c>
      <c r="F1238" s="43">
        <f>SUMIFS(MlSumme,MlObj,8,MlJahr,$C1238)*(1-Leerstand/100)</f>
      </c>
      <c r="G1238" s="43">
        <f>INDEX(ObjLaufend,8)*(1+(Inflation)/100)^MAX(0,29)*$E1238</f>
      </c>
      <c r="H1238" s="43">
        <f>INDEX(ObjInstandBasis,8)*(1+(Inflation)/100)^MAX(0,29)*$E1238</f>
      </c>
      <c r="I1238" s="43">
        <f>SUMIFS(TilgZins,TilgObj,8,TilgJahr,$C1238)</f>
      </c>
      <c r="J1238" s="43">
        <f>SUMIFS(TilgTilgung,TilgObj,8,TilgJahr,$C1238)</f>
      </c>
      <c r="K1238" s="43">
        <f>SUMIFS(TilgSonder,TilgObj,8,TilgJahr,$C1238)</f>
      </c>
      <c r="L1238" s="43">
        <f>SUMIFS(TilgErsatz,TilgObj,8,TilgJahr,$C1238)</f>
      </c>
      <c r="M1238" s="43">
        <f>MAX(0,SUMIF(DarlObj,8,DarlBetrag)-SUMIFS(TilgTilgung,TilgObj,8,TilgJahr,"&lt;="&amp;$C1238)-SUMIFS(TilgSonder,TilgObj,8,TilgJahr,"&lt;="&amp;$C1238))</f>
      </c>
      <c r="N1238" s="43">
        <f>SUMIFS(TilgErsatz,TilgObj,8,TilgJahr,"&lt;="&amp;$C1238)+SUMIFS(TilgErtrag,TilgObj,8,TilgJahr,"&lt;="&amp;$C1238)</f>
      </c>
      <c r="O1238" s="43">
        <f>INDEX(ObjWertEff,8)*(1+(Wertsteigerung)/100)^MAX(0,29)</f>
      </c>
      <c r="P1238" s="43">
        <f>IF(OR(INDEX(ObjAfaDauer,8)=0,INDEX(ObjAfaJahr,8)=0,$C1238&lt;INDEX(ObjKaufJahr,8),$C1238&gt;=INDEX(ObjKaufJahr,8)+INDEX(ObjAfaDauer,8)),0,IF($C1238=INDEX(ObjKaufJahr,8),INDEX(ObjAfaJahr,8)*(13-INDEX(ObjKaufMonat,8))/12,INDEX(ObjAfaJahr,8)))</f>
      </c>
      <c r="Q1238" s="43">
        <f>$F1238-$G1238-$H1238-$I1238-$P1238</f>
      </c>
      <c r="R1238" s="43">
        <f>$Q1238*INDEX(ObjSteuersatz,8)/100</f>
      </c>
      <c r="S1238" s="43">
        <f>$I1238+$J1238+$K1238+$L1238</f>
      </c>
      <c r="T1238" s="43">
        <f>$F1238-$G1238-$H1238-$S1238</f>
      </c>
      <c r="U1238" s="43">
        <f>$T1238-$R1238</f>
      </c>
      <c r="V1238" s="43">
        <f>$O1238-$M1238</f>
      </c>
      <c r="W1238" s="43">
        <f>$J1238+$K1238+$L1238</f>
      </c>
      <c r="X1238" s="43">
        <f>IF($O1238=0,0,$M1238/$O1238*100)</f>
      </c>
    </row>
    <row r="1239">
      <c r="A1239"/>
      <c r="B1239">
        <v>8</v>
      </c>
      <c r="C1239" s="43">
        <f>Jahr+30</f>
      </c>
      <c r="D1239">
        <v>30</v>
      </c>
      <c r="E1239" s="43">
        <f>IF(INDEX(ObjKaufJahr,8)=0,0,IF($C1239&lt;INDEX(ObjKaufJahr,8),0,IF($C1239&gt;INDEX(ObjKaufJahr,8),12,13-INDEX(ObjKaufMonat,8))))/12</f>
      </c>
      <c r="F1239" s="43">
        <f>SUMIFS(MlSumme,MlObj,8,MlJahr,$C1239)*(1-Leerstand/100)</f>
      </c>
      <c r="G1239" s="43">
        <f>INDEX(ObjLaufend,8)*(1+(Inflation)/100)^MAX(0,30)*$E1239</f>
      </c>
      <c r="H1239" s="43">
        <f>INDEX(ObjInstandBasis,8)*(1+(Inflation)/100)^MAX(0,30)*$E1239</f>
      </c>
      <c r="I1239" s="43">
        <f>SUMIFS(TilgZins,TilgObj,8,TilgJahr,$C1239)</f>
      </c>
      <c r="J1239" s="43">
        <f>SUMIFS(TilgTilgung,TilgObj,8,TilgJahr,$C1239)</f>
      </c>
      <c r="K1239" s="43">
        <f>SUMIFS(TilgSonder,TilgObj,8,TilgJahr,$C1239)</f>
      </c>
      <c r="L1239" s="43">
        <f>SUMIFS(TilgErsatz,TilgObj,8,TilgJahr,$C1239)</f>
      </c>
      <c r="M1239" s="43">
        <f>MAX(0,SUMIF(DarlObj,8,DarlBetrag)-SUMIFS(TilgTilgung,TilgObj,8,TilgJahr,"&lt;="&amp;$C1239)-SUMIFS(TilgSonder,TilgObj,8,TilgJahr,"&lt;="&amp;$C1239))</f>
      </c>
      <c r="N1239" s="43">
        <f>SUMIFS(TilgErsatz,TilgObj,8,TilgJahr,"&lt;="&amp;$C1239)+SUMIFS(TilgErtrag,TilgObj,8,TilgJahr,"&lt;="&amp;$C1239)</f>
      </c>
      <c r="O1239" s="43">
        <f>INDEX(ObjWertEff,8)*(1+(Wertsteigerung)/100)^MAX(0,30)</f>
      </c>
      <c r="P1239" s="43">
        <f>IF(OR(INDEX(ObjAfaDauer,8)=0,INDEX(ObjAfaJahr,8)=0,$C1239&lt;INDEX(ObjKaufJahr,8),$C1239&gt;=INDEX(ObjKaufJahr,8)+INDEX(ObjAfaDauer,8)),0,IF($C1239=INDEX(ObjKaufJahr,8),INDEX(ObjAfaJahr,8)*(13-INDEX(ObjKaufMonat,8))/12,INDEX(ObjAfaJahr,8)))</f>
      </c>
      <c r="Q1239" s="43">
        <f>$F1239-$G1239-$H1239-$I1239-$P1239</f>
      </c>
      <c r="R1239" s="43">
        <f>$Q1239*INDEX(ObjSteuersatz,8)/100</f>
      </c>
      <c r="S1239" s="43">
        <f>$I1239+$J1239+$K1239+$L1239</f>
      </c>
      <c r="T1239" s="43">
        <f>$F1239-$G1239-$H1239-$S1239</f>
      </c>
      <c r="U1239" s="43">
        <f>$T1239-$R1239</f>
      </c>
      <c r="V1239" s="43">
        <f>$O1239-$M1239</f>
      </c>
      <c r="W1239" s="43">
        <f>$J1239+$K1239+$L1239</f>
      </c>
      <c r="X1239" s="43">
        <f>IF($O1239=0,0,$M1239/$O1239*100)</f>
      </c>
    </row>
    <row r="1240">
      <c r="A1240"/>
      <c r="B1240">
        <v>9</v>
      </c>
      <c r="C1240" s="43">
        <f>Jahr+0</f>
      </c>
      <c r="D1240">
        <v>0</v>
      </c>
      <c r="E1240" s="43">
        <f>IF(INDEX(ObjKaufJahr,9)=0,0,IF($C1240&lt;INDEX(ObjKaufJahr,9),0,IF($C1240&gt;INDEX(ObjKaufJahr,9),12,13-INDEX(ObjKaufMonat,9))))/12</f>
      </c>
      <c r="F1240" s="43">
        <f>SUMIFS(MlSumme,MlObj,9,MlJahr,$C1240)*(1-Leerstand/100)</f>
      </c>
      <c r="G1240" s="43">
        <f>INDEX(ObjLaufend,9)*(1+(Inflation)/100)^MAX(0,0)*$E1240</f>
      </c>
      <c r="H1240" s="43">
        <f>INDEX(ObjInstandBasis,9)*(1+(Inflation)/100)^MAX(0,0)*$E1240</f>
      </c>
      <c r="I1240" s="43">
        <f>SUMIFS(TilgZins,TilgObj,9,TilgJahr,$C1240)</f>
      </c>
      <c r="J1240" s="43">
        <f>SUMIFS(TilgTilgung,TilgObj,9,TilgJahr,$C1240)</f>
      </c>
      <c r="K1240" s="43">
        <f>SUMIFS(TilgSonder,TilgObj,9,TilgJahr,$C1240)</f>
      </c>
      <c r="L1240" s="43">
        <f>SUMIFS(TilgErsatz,TilgObj,9,TilgJahr,$C1240)</f>
      </c>
      <c r="M1240" s="43">
        <f>MAX(0,SUMIF(DarlObj,9,DarlBetrag)-SUMIFS(TilgTilgung,TilgObj,9,TilgJahr,"&lt;="&amp;$C1240)-SUMIFS(TilgSonder,TilgObj,9,TilgJahr,"&lt;="&amp;$C1240))</f>
      </c>
      <c r="N1240" s="43">
        <f>SUMIFS(TilgErsatz,TilgObj,9,TilgJahr,"&lt;="&amp;$C1240)+SUMIFS(TilgErtrag,TilgObj,9,TilgJahr,"&lt;="&amp;$C1240)</f>
      </c>
      <c r="O1240" s="43">
        <f>INDEX(ObjWertEff,9)*(1+(Wertsteigerung)/100)^MAX(0,0)</f>
      </c>
      <c r="P1240" s="43">
        <f>IF(OR(INDEX(ObjAfaDauer,9)=0,INDEX(ObjAfaJahr,9)=0,$C1240&lt;INDEX(ObjKaufJahr,9),$C1240&gt;=INDEX(ObjKaufJahr,9)+INDEX(ObjAfaDauer,9)),0,IF($C1240=INDEX(ObjKaufJahr,9),INDEX(ObjAfaJahr,9)*(13-INDEX(ObjKaufMonat,9))/12,INDEX(ObjAfaJahr,9)))</f>
      </c>
      <c r="Q1240" s="43">
        <f>$F1240-$G1240-$H1240-$I1240-$P1240</f>
      </c>
      <c r="R1240" s="43">
        <f>$Q1240*INDEX(ObjSteuersatz,9)/100</f>
      </c>
      <c r="S1240" s="43">
        <f>$I1240+$J1240+$K1240+$L1240</f>
      </c>
      <c r="T1240" s="43">
        <f>$F1240-$G1240-$H1240-$S1240</f>
      </c>
      <c r="U1240" s="43">
        <f>$T1240-$R1240</f>
      </c>
      <c r="V1240" s="43">
        <f>$O1240-$M1240</f>
      </c>
      <c r="W1240" s="43">
        <f>$J1240+$K1240+$L1240</f>
      </c>
      <c r="X1240" s="43">
        <f>IF($O1240=0,0,$M1240/$O1240*100)</f>
      </c>
    </row>
    <row r="1241">
      <c r="A1241"/>
      <c r="B1241">
        <v>9</v>
      </c>
      <c r="C1241" s="43">
        <f>Jahr+1</f>
      </c>
      <c r="D1241">
        <v>1</v>
      </c>
      <c r="E1241" s="43">
        <f>IF(INDEX(ObjKaufJahr,9)=0,0,IF($C1241&lt;INDEX(ObjKaufJahr,9),0,IF($C1241&gt;INDEX(ObjKaufJahr,9),12,13-INDEX(ObjKaufMonat,9))))/12</f>
      </c>
      <c r="F1241" s="43">
        <f>SUMIFS(MlSumme,MlObj,9,MlJahr,$C1241)*(1-Leerstand/100)</f>
      </c>
      <c r="G1241" s="43">
        <f>INDEX(ObjLaufend,9)*(1+(Inflation)/100)^MAX(0,1)*$E1241</f>
      </c>
      <c r="H1241" s="43">
        <f>INDEX(ObjInstandBasis,9)*(1+(Inflation)/100)^MAX(0,1)*$E1241</f>
      </c>
      <c r="I1241" s="43">
        <f>SUMIFS(TilgZins,TilgObj,9,TilgJahr,$C1241)</f>
      </c>
      <c r="J1241" s="43">
        <f>SUMIFS(TilgTilgung,TilgObj,9,TilgJahr,$C1241)</f>
      </c>
      <c r="K1241" s="43">
        <f>SUMIFS(TilgSonder,TilgObj,9,TilgJahr,$C1241)</f>
      </c>
      <c r="L1241" s="43">
        <f>SUMIFS(TilgErsatz,TilgObj,9,TilgJahr,$C1241)</f>
      </c>
      <c r="M1241" s="43">
        <f>MAX(0,SUMIF(DarlObj,9,DarlBetrag)-SUMIFS(TilgTilgung,TilgObj,9,TilgJahr,"&lt;="&amp;$C1241)-SUMIFS(TilgSonder,TilgObj,9,TilgJahr,"&lt;="&amp;$C1241))</f>
      </c>
      <c r="N1241" s="43">
        <f>SUMIFS(TilgErsatz,TilgObj,9,TilgJahr,"&lt;="&amp;$C1241)+SUMIFS(TilgErtrag,TilgObj,9,TilgJahr,"&lt;="&amp;$C1241)</f>
      </c>
      <c r="O1241" s="43">
        <f>INDEX(ObjWertEff,9)*(1+(Wertsteigerung)/100)^MAX(0,1)</f>
      </c>
      <c r="P1241" s="43">
        <f>IF(OR(INDEX(ObjAfaDauer,9)=0,INDEX(ObjAfaJahr,9)=0,$C1241&lt;INDEX(ObjKaufJahr,9),$C1241&gt;=INDEX(ObjKaufJahr,9)+INDEX(ObjAfaDauer,9)),0,IF($C1241=INDEX(ObjKaufJahr,9),INDEX(ObjAfaJahr,9)*(13-INDEX(ObjKaufMonat,9))/12,INDEX(ObjAfaJahr,9)))</f>
      </c>
      <c r="Q1241" s="43">
        <f>$F1241-$G1241-$H1241-$I1241-$P1241</f>
      </c>
      <c r="R1241" s="43">
        <f>$Q1241*INDEX(ObjSteuersatz,9)/100</f>
      </c>
      <c r="S1241" s="43">
        <f>$I1241+$J1241+$K1241+$L1241</f>
      </c>
      <c r="T1241" s="43">
        <f>$F1241-$G1241-$H1241-$S1241</f>
      </c>
      <c r="U1241" s="43">
        <f>$T1241-$R1241</f>
      </c>
      <c r="V1241" s="43">
        <f>$O1241-$M1241</f>
      </c>
      <c r="W1241" s="43">
        <f>$J1241+$K1241+$L1241</f>
      </c>
      <c r="X1241" s="43">
        <f>IF($O1241=0,0,$M1241/$O1241*100)</f>
      </c>
    </row>
    <row r="1242">
      <c r="A1242"/>
      <c r="B1242">
        <v>9</v>
      </c>
      <c r="C1242" s="43">
        <f>Jahr+2</f>
      </c>
      <c r="D1242">
        <v>2</v>
      </c>
      <c r="E1242" s="43">
        <f>IF(INDEX(ObjKaufJahr,9)=0,0,IF($C1242&lt;INDEX(ObjKaufJahr,9),0,IF($C1242&gt;INDEX(ObjKaufJahr,9),12,13-INDEX(ObjKaufMonat,9))))/12</f>
      </c>
      <c r="F1242" s="43">
        <f>SUMIFS(MlSumme,MlObj,9,MlJahr,$C1242)*(1-Leerstand/100)</f>
      </c>
      <c r="G1242" s="43">
        <f>INDEX(ObjLaufend,9)*(1+(Inflation)/100)^MAX(0,2)*$E1242</f>
      </c>
      <c r="H1242" s="43">
        <f>INDEX(ObjInstandBasis,9)*(1+(Inflation)/100)^MAX(0,2)*$E1242</f>
      </c>
      <c r="I1242" s="43">
        <f>SUMIFS(TilgZins,TilgObj,9,TilgJahr,$C1242)</f>
      </c>
      <c r="J1242" s="43">
        <f>SUMIFS(TilgTilgung,TilgObj,9,TilgJahr,$C1242)</f>
      </c>
      <c r="K1242" s="43">
        <f>SUMIFS(TilgSonder,TilgObj,9,TilgJahr,$C1242)</f>
      </c>
      <c r="L1242" s="43">
        <f>SUMIFS(TilgErsatz,TilgObj,9,TilgJahr,$C1242)</f>
      </c>
      <c r="M1242" s="43">
        <f>MAX(0,SUMIF(DarlObj,9,DarlBetrag)-SUMIFS(TilgTilgung,TilgObj,9,TilgJahr,"&lt;="&amp;$C1242)-SUMIFS(TilgSonder,TilgObj,9,TilgJahr,"&lt;="&amp;$C1242))</f>
      </c>
      <c r="N1242" s="43">
        <f>SUMIFS(TilgErsatz,TilgObj,9,TilgJahr,"&lt;="&amp;$C1242)+SUMIFS(TilgErtrag,TilgObj,9,TilgJahr,"&lt;="&amp;$C1242)</f>
      </c>
      <c r="O1242" s="43">
        <f>INDEX(ObjWertEff,9)*(1+(Wertsteigerung)/100)^MAX(0,2)</f>
      </c>
      <c r="P1242" s="43">
        <f>IF(OR(INDEX(ObjAfaDauer,9)=0,INDEX(ObjAfaJahr,9)=0,$C1242&lt;INDEX(ObjKaufJahr,9),$C1242&gt;=INDEX(ObjKaufJahr,9)+INDEX(ObjAfaDauer,9)),0,IF($C1242=INDEX(ObjKaufJahr,9),INDEX(ObjAfaJahr,9)*(13-INDEX(ObjKaufMonat,9))/12,INDEX(ObjAfaJahr,9)))</f>
      </c>
      <c r="Q1242" s="43">
        <f>$F1242-$G1242-$H1242-$I1242-$P1242</f>
      </c>
      <c r="R1242" s="43">
        <f>$Q1242*INDEX(ObjSteuersatz,9)/100</f>
      </c>
      <c r="S1242" s="43">
        <f>$I1242+$J1242+$K1242+$L1242</f>
      </c>
      <c r="T1242" s="43">
        <f>$F1242-$G1242-$H1242-$S1242</f>
      </c>
      <c r="U1242" s="43">
        <f>$T1242-$R1242</f>
      </c>
      <c r="V1242" s="43">
        <f>$O1242-$M1242</f>
      </c>
      <c r="W1242" s="43">
        <f>$J1242+$K1242+$L1242</f>
      </c>
      <c r="X1242" s="43">
        <f>IF($O1242=0,0,$M1242/$O1242*100)</f>
      </c>
    </row>
    <row r="1243">
      <c r="A1243"/>
      <c r="B1243">
        <v>9</v>
      </c>
      <c r="C1243" s="43">
        <f>Jahr+3</f>
      </c>
      <c r="D1243">
        <v>3</v>
      </c>
      <c r="E1243" s="43">
        <f>IF(INDEX(ObjKaufJahr,9)=0,0,IF($C1243&lt;INDEX(ObjKaufJahr,9),0,IF($C1243&gt;INDEX(ObjKaufJahr,9),12,13-INDEX(ObjKaufMonat,9))))/12</f>
      </c>
      <c r="F1243" s="43">
        <f>SUMIFS(MlSumme,MlObj,9,MlJahr,$C1243)*(1-Leerstand/100)</f>
      </c>
      <c r="G1243" s="43">
        <f>INDEX(ObjLaufend,9)*(1+(Inflation)/100)^MAX(0,3)*$E1243</f>
      </c>
      <c r="H1243" s="43">
        <f>INDEX(ObjInstandBasis,9)*(1+(Inflation)/100)^MAX(0,3)*$E1243</f>
      </c>
      <c r="I1243" s="43">
        <f>SUMIFS(TilgZins,TilgObj,9,TilgJahr,$C1243)</f>
      </c>
      <c r="J1243" s="43">
        <f>SUMIFS(TilgTilgung,TilgObj,9,TilgJahr,$C1243)</f>
      </c>
      <c r="K1243" s="43">
        <f>SUMIFS(TilgSonder,TilgObj,9,TilgJahr,$C1243)</f>
      </c>
      <c r="L1243" s="43">
        <f>SUMIFS(TilgErsatz,TilgObj,9,TilgJahr,$C1243)</f>
      </c>
      <c r="M1243" s="43">
        <f>MAX(0,SUMIF(DarlObj,9,DarlBetrag)-SUMIFS(TilgTilgung,TilgObj,9,TilgJahr,"&lt;="&amp;$C1243)-SUMIFS(TilgSonder,TilgObj,9,TilgJahr,"&lt;="&amp;$C1243))</f>
      </c>
      <c r="N1243" s="43">
        <f>SUMIFS(TilgErsatz,TilgObj,9,TilgJahr,"&lt;="&amp;$C1243)+SUMIFS(TilgErtrag,TilgObj,9,TilgJahr,"&lt;="&amp;$C1243)</f>
      </c>
      <c r="O1243" s="43">
        <f>INDEX(ObjWertEff,9)*(1+(Wertsteigerung)/100)^MAX(0,3)</f>
      </c>
      <c r="P1243" s="43">
        <f>IF(OR(INDEX(ObjAfaDauer,9)=0,INDEX(ObjAfaJahr,9)=0,$C1243&lt;INDEX(ObjKaufJahr,9),$C1243&gt;=INDEX(ObjKaufJahr,9)+INDEX(ObjAfaDauer,9)),0,IF($C1243=INDEX(ObjKaufJahr,9),INDEX(ObjAfaJahr,9)*(13-INDEX(ObjKaufMonat,9))/12,INDEX(ObjAfaJahr,9)))</f>
      </c>
      <c r="Q1243" s="43">
        <f>$F1243-$G1243-$H1243-$I1243-$P1243</f>
      </c>
      <c r="R1243" s="43">
        <f>$Q1243*INDEX(ObjSteuersatz,9)/100</f>
      </c>
      <c r="S1243" s="43">
        <f>$I1243+$J1243+$K1243+$L1243</f>
      </c>
      <c r="T1243" s="43">
        <f>$F1243-$G1243-$H1243-$S1243</f>
      </c>
      <c r="U1243" s="43">
        <f>$T1243-$R1243</f>
      </c>
      <c r="V1243" s="43">
        <f>$O1243-$M1243</f>
      </c>
      <c r="W1243" s="43">
        <f>$J1243+$K1243+$L1243</f>
      </c>
      <c r="X1243" s="43">
        <f>IF($O1243=0,0,$M1243/$O1243*100)</f>
      </c>
    </row>
    <row r="1244">
      <c r="A1244"/>
      <c r="B1244">
        <v>9</v>
      </c>
      <c r="C1244" s="43">
        <f>Jahr+4</f>
      </c>
      <c r="D1244">
        <v>4</v>
      </c>
      <c r="E1244" s="43">
        <f>IF(INDEX(ObjKaufJahr,9)=0,0,IF($C1244&lt;INDEX(ObjKaufJahr,9),0,IF($C1244&gt;INDEX(ObjKaufJahr,9),12,13-INDEX(ObjKaufMonat,9))))/12</f>
      </c>
      <c r="F1244" s="43">
        <f>SUMIFS(MlSumme,MlObj,9,MlJahr,$C1244)*(1-Leerstand/100)</f>
      </c>
      <c r="G1244" s="43">
        <f>INDEX(ObjLaufend,9)*(1+(Inflation)/100)^MAX(0,4)*$E1244</f>
      </c>
      <c r="H1244" s="43">
        <f>INDEX(ObjInstandBasis,9)*(1+(Inflation)/100)^MAX(0,4)*$E1244</f>
      </c>
      <c r="I1244" s="43">
        <f>SUMIFS(TilgZins,TilgObj,9,TilgJahr,$C1244)</f>
      </c>
      <c r="J1244" s="43">
        <f>SUMIFS(TilgTilgung,TilgObj,9,TilgJahr,$C1244)</f>
      </c>
      <c r="K1244" s="43">
        <f>SUMIFS(TilgSonder,TilgObj,9,TilgJahr,$C1244)</f>
      </c>
      <c r="L1244" s="43">
        <f>SUMIFS(TilgErsatz,TilgObj,9,TilgJahr,$C1244)</f>
      </c>
      <c r="M1244" s="43">
        <f>MAX(0,SUMIF(DarlObj,9,DarlBetrag)-SUMIFS(TilgTilgung,TilgObj,9,TilgJahr,"&lt;="&amp;$C1244)-SUMIFS(TilgSonder,TilgObj,9,TilgJahr,"&lt;="&amp;$C1244))</f>
      </c>
      <c r="N1244" s="43">
        <f>SUMIFS(TilgErsatz,TilgObj,9,TilgJahr,"&lt;="&amp;$C1244)+SUMIFS(TilgErtrag,TilgObj,9,TilgJahr,"&lt;="&amp;$C1244)</f>
      </c>
      <c r="O1244" s="43">
        <f>INDEX(ObjWertEff,9)*(1+(Wertsteigerung)/100)^MAX(0,4)</f>
      </c>
      <c r="P1244" s="43">
        <f>IF(OR(INDEX(ObjAfaDauer,9)=0,INDEX(ObjAfaJahr,9)=0,$C1244&lt;INDEX(ObjKaufJahr,9),$C1244&gt;=INDEX(ObjKaufJahr,9)+INDEX(ObjAfaDauer,9)),0,IF($C1244=INDEX(ObjKaufJahr,9),INDEX(ObjAfaJahr,9)*(13-INDEX(ObjKaufMonat,9))/12,INDEX(ObjAfaJahr,9)))</f>
      </c>
      <c r="Q1244" s="43">
        <f>$F1244-$G1244-$H1244-$I1244-$P1244</f>
      </c>
      <c r="R1244" s="43">
        <f>$Q1244*INDEX(ObjSteuersatz,9)/100</f>
      </c>
      <c r="S1244" s="43">
        <f>$I1244+$J1244+$K1244+$L1244</f>
      </c>
      <c r="T1244" s="43">
        <f>$F1244-$G1244-$H1244-$S1244</f>
      </c>
      <c r="U1244" s="43">
        <f>$T1244-$R1244</f>
      </c>
      <c r="V1244" s="43">
        <f>$O1244-$M1244</f>
      </c>
      <c r="W1244" s="43">
        <f>$J1244+$K1244+$L1244</f>
      </c>
      <c r="X1244" s="43">
        <f>IF($O1244=0,0,$M1244/$O1244*100)</f>
      </c>
    </row>
    <row r="1245">
      <c r="A1245"/>
      <c r="B1245">
        <v>9</v>
      </c>
      <c r="C1245" s="43">
        <f>Jahr+5</f>
      </c>
      <c r="D1245">
        <v>5</v>
      </c>
      <c r="E1245" s="43">
        <f>IF(INDEX(ObjKaufJahr,9)=0,0,IF($C1245&lt;INDEX(ObjKaufJahr,9),0,IF($C1245&gt;INDEX(ObjKaufJahr,9),12,13-INDEX(ObjKaufMonat,9))))/12</f>
      </c>
      <c r="F1245" s="43">
        <f>SUMIFS(MlSumme,MlObj,9,MlJahr,$C1245)*(1-Leerstand/100)</f>
      </c>
      <c r="G1245" s="43">
        <f>INDEX(ObjLaufend,9)*(1+(Inflation)/100)^MAX(0,5)*$E1245</f>
      </c>
      <c r="H1245" s="43">
        <f>INDEX(ObjInstandBasis,9)*(1+(Inflation)/100)^MAX(0,5)*$E1245</f>
      </c>
      <c r="I1245" s="43">
        <f>SUMIFS(TilgZins,TilgObj,9,TilgJahr,$C1245)</f>
      </c>
      <c r="J1245" s="43">
        <f>SUMIFS(TilgTilgung,TilgObj,9,TilgJahr,$C1245)</f>
      </c>
      <c r="K1245" s="43">
        <f>SUMIFS(TilgSonder,TilgObj,9,TilgJahr,$C1245)</f>
      </c>
      <c r="L1245" s="43">
        <f>SUMIFS(TilgErsatz,TilgObj,9,TilgJahr,$C1245)</f>
      </c>
      <c r="M1245" s="43">
        <f>MAX(0,SUMIF(DarlObj,9,DarlBetrag)-SUMIFS(TilgTilgung,TilgObj,9,TilgJahr,"&lt;="&amp;$C1245)-SUMIFS(TilgSonder,TilgObj,9,TilgJahr,"&lt;="&amp;$C1245))</f>
      </c>
      <c r="N1245" s="43">
        <f>SUMIFS(TilgErsatz,TilgObj,9,TilgJahr,"&lt;="&amp;$C1245)+SUMIFS(TilgErtrag,TilgObj,9,TilgJahr,"&lt;="&amp;$C1245)</f>
      </c>
      <c r="O1245" s="43">
        <f>INDEX(ObjWertEff,9)*(1+(Wertsteigerung)/100)^MAX(0,5)</f>
      </c>
      <c r="P1245" s="43">
        <f>IF(OR(INDEX(ObjAfaDauer,9)=0,INDEX(ObjAfaJahr,9)=0,$C1245&lt;INDEX(ObjKaufJahr,9),$C1245&gt;=INDEX(ObjKaufJahr,9)+INDEX(ObjAfaDauer,9)),0,IF($C1245=INDEX(ObjKaufJahr,9),INDEX(ObjAfaJahr,9)*(13-INDEX(ObjKaufMonat,9))/12,INDEX(ObjAfaJahr,9)))</f>
      </c>
      <c r="Q1245" s="43">
        <f>$F1245-$G1245-$H1245-$I1245-$P1245</f>
      </c>
      <c r="R1245" s="43">
        <f>$Q1245*INDEX(ObjSteuersatz,9)/100</f>
      </c>
      <c r="S1245" s="43">
        <f>$I1245+$J1245+$K1245+$L1245</f>
      </c>
      <c r="T1245" s="43">
        <f>$F1245-$G1245-$H1245-$S1245</f>
      </c>
      <c r="U1245" s="43">
        <f>$T1245-$R1245</f>
      </c>
      <c r="V1245" s="43">
        <f>$O1245-$M1245</f>
      </c>
      <c r="W1245" s="43">
        <f>$J1245+$K1245+$L1245</f>
      </c>
      <c r="X1245" s="43">
        <f>IF($O1245=0,0,$M1245/$O1245*100)</f>
      </c>
    </row>
    <row r="1246">
      <c r="A1246"/>
      <c r="B1246">
        <v>9</v>
      </c>
      <c r="C1246" s="43">
        <f>Jahr+6</f>
      </c>
      <c r="D1246">
        <v>6</v>
      </c>
      <c r="E1246" s="43">
        <f>IF(INDEX(ObjKaufJahr,9)=0,0,IF($C1246&lt;INDEX(ObjKaufJahr,9),0,IF($C1246&gt;INDEX(ObjKaufJahr,9),12,13-INDEX(ObjKaufMonat,9))))/12</f>
      </c>
      <c r="F1246" s="43">
        <f>SUMIFS(MlSumme,MlObj,9,MlJahr,$C1246)*(1-Leerstand/100)</f>
      </c>
      <c r="G1246" s="43">
        <f>INDEX(ObjLaufend,9)*(1+(Inflation)/100)^MAX(0,6)*$E1246</f>
      </c>
      <c r="H1246" s="43">
        <f>INDEX(ObjInstandBasis,9)*(1+(Inflation)/100)^MAX(0,6)*$E1246</f>
      </c>
      <c r="I1246" s="43">
        <f>SUMIFS(TilgZins,TilgObj,9,TilgJahr,$C1246)</f>
      </c>
      <c r="J1246" s="43">
        <f>SUMIFS(TilgTilgung,TilgObj,9,TilgJahr,$C1246)</f>
      </c>
      <c r="K1246" s="43">
        <f>SUMIFS(TilgSonder,TilgObj,9,TilgJahr,$C1246)</f>
      </c>
      <c r="L1246" s="43">
        <f>SUMIFS(TilgErsatz,TilgObj,9,TilgJahr,$C1246)</f>
      </c>
      <c r="M1246" s="43">
        <f>MAX(0,SUMIF(DarlObj,9,DarlBetrag)-SUMIFS(TilgTilgung,TilgObj,9,TilgJahr,"&lt;="&amp;$C1246)-SUMIFS(TilgSonder,TilgObj,9,TilgJahr,"&lt;="&amp;$C1246))</f>
      </c>
      <c r="N1246" s="43">
        <f>SUMIFS(TilgErsatz,TilgObj,9,TilgJahr,"&lt;="&amp;$C1246)+SUMIFS(TilgErtrag,TilgObj,9,TilgJahr,"&lt;="&amp;$C1246)</f>
      </c>
      <c r="O1246" s="43">
        <f>INDEX(ObjWertEff,9)*(1+(Wertsteigerung)/100)^MAX(0,6)</f>
      </c>
      <c r="P1246" s="43">
        <f>IF(OR(INDEX(ObjAfaDauer,9)=0,INDEX(ObjAfaJahr,9)=0,$C1246&lt;INDEX(ObjKaufJahr,9),$C1246&gt;=INDEX(ObjKaufJahr,9)+INDEX(ObjAfaDauer,9)),0,IF($C1246=INDEX(ObjKaufJahr,9),INDEX(ObjAfaJahr,9)*(13-INDEX(ObjKaufMonat,9))/12,INDEX(ObjAfaJahr,9)))</f>
      </c>
      <c r="Q1246" s="43">
        <f>$F1246-$G1246-$H1246-$I1246-$P1246</f>
      </c>
      <c r="R1246" s="43">
        <f>$Q1246*INDEX(ObjSteuersatz,9)/100</f>
      </c>
      <c r="S1246" s="43">
        <f>$I1246+$J1246+$K1246+$L1246</f>
      </c>
      <c r="T1246" s="43">
        <f>$F1246-$G1246-$H1246-$S1246</f>
      </c>
      <c r="U1246" s="43">
        <f>$T1246-$R1246</f>
      </c>
      <c r="V1246" s="43">
        <f>$O1246-$M1246</f>
      </c>
      <c r="W1246" s="43">
        <f>$J1246+$K1246+$L1246</f>
      </c>
      <c r="X1246" s="43">
        <f>IF($O1246=0,0,$M1246/$O1246*100)</f>
      </c>
    </row>
    <row r="1247">
      <c r="A1247"/>
      <c r="B1247">
        <v>9</v>
      </c>
      <c r="C1247" s="43">
        <f>Jahr+7</f>
      </c>
      <c r="D1247">
        <v>7</v>
      </c>
      <c r="E1247" s="43">
        <f>IF(INDEX(ObjKaufJahr,9)=0,0,IF($C1247&lt;INDEX(ObjKaufJahr,9),0,IF($C1247&gt;INDEX(ObjKaufJahr,9),12,13-INDEX(ObjKaufMonat,9))))/12</f>
      </c>
      <c r="F1247" s="43">
        <f>SUMIFS(MlSumme,MlObj,9,MlJahr,$C1247)*(1-Leerstand/100)</f>
      </c>
      <c r="G1247" s="43">
        <f>INDEX(ObjLaufend,9)*(1+(Inflation)/100)^MAX(0,7)*$E1247</f>
      </c>
      <c r="H1247" s="43">
        <f>INDEX(ObjInstandBasis,9)*(1+(Inflation)/100)^MAX(0,7)*$E1247</f>
      </c>
      <c r="I1247" s="43">
        <f>SUMIFS(TilgZins,TilgObj,9,TilgJahr,$C1247)</f>
      </c>
      <c r="J1247" s="43">
        <f>SUMIFS(TilgTilgung,TilgObj,9,TilgJahr,$C1247)</f>
      </c>
      <c r="K1247" s="43">
        <f>SUMIFS(TilgSonder,TilgObj,9,TilgJahr,$C1247)</f>
      </c>
      <c r="L1247" s="43">
        <f>SUMIFS(TilgErsatz,TilgObj,9,TilgJahr,$C1247)</f>
      </c>
      <c r="M1247" s="43">
        <f>MAX(0,SUMIF(DarlObj,9,DarlBetrag)-SUMIFS(TilgTilgung,TilgObj,9,TilgJahr,"&lt;="&amp;$C1247)-SUMIFS(TilgSonder,TilgObj,9,TilgJahr,"&lt;="&amp;$C1247))</f>
      </c>
      <c r="N1247" s="43">
        <f>SUMIFS(TilgErsatz,TilgObj,9,TilgJahr,"&lt;="&amp;$C1247)+SUMIFS(TilgErtrag,TilgObj,9,TilgJahr,"&lt;="&amp;$C1247)</f>
      </c>
      <c r="O1247" s="43">
        <f>INDEX(ObjWertEff,9)*(1+(Wertsteigerung)/100)^MAX(0,7)</f>
      </c>
      <c r="P1247" s="43">
        <f>IF(OR(INDEX(ObjAfaDauer,9)=0,INDEX(ObjAfaJahr,9)=0,$C1247&lt;INDEX(ObjKaufJahr,9),$C1247&gt;=INDEX(ObjKaufJahr,9)+INDEX(ObjAfaDauer,9)),0,IF($C1247=INDEX(ObjKaufJahr,9),INDEX(ObjAfaJahr,9)*(13-INDEX(ObjKaufMonat,9))/12,INDEX(ObjAfaJahr,9)))</f>
      </c>
      <c r="Q1247" s="43">
        <f>$F1247-$G1247-$H1247-$I1247-$P1247</f>
      </c>
      <c r="R1247" s="43">
        <f>$Q1247*INDEX(ObjSteuersatz,9)/100</f>
      </c>
      <c r="S1247" s="43">
        <f>$I1247+$J1247+$K1247+$L1247</f>
      </c>
      <c r="T1247" s="43">
        <f>$F1247-$G1247-$H1247-$S1247</f>
      </c>
      <c r="U1247" s="43">
        <f>$T1247-$R1247</f>
      </c>
      <c r="V1247" s="43">
        <f>$O1247-$M1247</f>
      </c>
      <c r="W1247" s="43">
        <f>$J1247+$K1247+$L1247</f>
      </c>
      <c r="X1247" s="43">
        <f>IF($O1247=0,0,$M1247/$O1247*100)</f>
      </c>
    </row>
    <row r="1248">
      <c r="A1248"/>
      <c r="B1248">
        <v>9</v>
      </c>
      <c r="C1248" s="43">
        <f>Jahr+8</f>
      </c>
      <c r="D1248">
        <v>8</v>
      </c>
      <c r="E1248" s="43">
        <f>IF(INDEX(ObjKaufJahr,9)=0,0,IF($C1248&lt;INDEX(ObjKaufJahr,9),0,IF($C1248&gt;INDEX(ObjKaufJahr,9),12,13-INDEX(ObjKaufMonat,9))))/12</f>
      </c>
      <c r="F1248" s="43">
        <f>SUMIFS(MlSumme,MlObj,9,MlJahr,$C1248)*(1-Leerstand/100)</f>
      </c>
      <c r="G1248" s="43">
        <f>INDEX(ObjLaufend,9)*(1+(Inflation)/100)^MAX(0,8)*$E1248</f>
      </c>
      <c r="H1248" s="43">
        <f>INDEX(ObjInstandBasis,9)*(1+(Inflation)/100)^MAX(0,8)*$E1248</f>
      </c>
      <c r="I1248" s="43">
        <f>SUMIFS(TilgZins,TilgObj,9,TilgJahr,$C1248)</f>
      </c>
      <c r="J1248" s="43">
        <f>SUMIFS(TilgTilgung,TilgObj,9,TilgJahr,$C1248)</f>
      </c>
      <c r="K1248" s="43">
        <f>SUMIFS(TilgSonder,TilgObj,9,TilgJahr,$C1248)</f>
      </c>
      <c r="L1248" s="43">
        <f>SUMIFS(TilgErsatz,TilgObj,9,TilgJahr,$C1248)</f>
      </c>
      <c r="M1248" s="43">
        <f>MAX(0,SUMIF(DarlObj,9,DarlBetrag)-SUMIFS(TilgTilgung,TilgObj,9,TilgJahr,"&lt;="&amp;$C1248)-SUMIFS(TilgSonder,TilgObj,9,TilgJahr,"&lt;="&amp;$C1248))</f>
      </c>
      <c r="N1248" s="43">
        <f>SUMIFS(TilgErsatz,TilgObj,9,TilgJahr,"&lt;="&amp;$C1248)+SUMIFS(TilgErtrag,TilgObj,9,TilgJahr,"&lt;="&amp;$C1248)</f>
      </c>
      <c r="O1248" s="43">
        <f>INDEX(ObjWertEff,9)*(1+(Wertsteigerung)/100)^MAX(0,8)</f>
      </c>
      <c r="P1248" s="43">
        <f>IF(OR(INDEX(ObjAfaDauer,9)=0,INDEX(ObjAfaJahr,9)=0,$C1248&lt;INDEX(ObjKaufJahr,9),$C1248&gt;=INDEX(ObjKaufJahr,9)+INDEX(ObjAfaDauer,9)),0,IF($C1248=INDEX(ObjKaufJahr,9),INDEX(ObjAfaJahr,9)*(13-INDEX(ObjKaufMonat,9))/12,INDEX(ObjAfaJahr,9)))</f>
      </c>
      <c r="Q1248" s="43">
        <f>$F1248-$G1248-$H1248-$I1248-$P1248</f>
      </c>
      <c r="R1248" s="43">
        <f>$Q1248*INDEX(ObjSteuersatz,9)/100</f>
      </c>
      <c r="S1248" s="43">
        <f>$I1248+$J1248+$K1248+$L1248</f>
      </c>
      <c r="T1248" s="43">
        <f>$F1248-$G1248-$H1248-$S1248</f>
      </c>
      <c r="U1248" s="43">
        <f>$T1248-$R1248</f>
      </c>
      <c r="V1248" s="43">
        <f>$O1248-$M1248</f>
      </c>
      <c r="W1248" s="43">
        <f>$J1248+$K1248+$L1248</f>
      </c>
      <c r="X1248" s="43">
        <f>IF($O1248=0,0,$M1248/$O1248*100)</f>
      </c>
    </row>
    <row r="1249">
      <c r="A1249"/>
      <c r="B1249">
        <v>9</v>
      </c>
      <c r="C1249" s="43">
        <f>Jahr+9</f>
      </c>
      <c r="D1249">
        <v>9</v>
      </c>
      <c r="E1249" s="43">
        <f>IF(INDEX(ObjKaufJahr,9)=0,0,IF($C1249&lt;INDEX(ObjKaufJahr,9),0,IF($C1249&gt;INDEX(ObjKaufJahr,9),12,13-INDEX(ObjKaufMonat,9))))/12</f>
      </c>
      <c r="F1249" s="43">
        <f>SUMIFS(MlSumme,MlObj,9,MlJahr,$C1249)*(1-Leerstand/100)</f>
      </c>
      <c r="G1249" s="43">
        <f>INDEX(ObjLaufend,9)*(1+(Inflation)/100)^MAX(0,9)*$E1249</f>
      </c>
      <c r="H1249" s="43">
        <f>INDEX(ObjInstandBasis,9)*(1+(Inflation)/100)^MAX(0,9)*$E1249</f>
      </c>
      <c r="I1249" s="43">
        <f>SUMIFS(TilgZins,TilgObj,9,TilgJahr,$C1249)</f>
      </c>
      <c r="J1249" s="43">
        <f>SUMIFS(TilgTilgung,TilgObj,9,TilgJahr,$C1249)</f>
      </c>
      <c r="K1249" s="43">
        <f>SUMIFS(TilgSonder,TilgObj,9,TilgJahr,$C1249)</f>
      </c>
      <c r="L1249" s="43">
        <f>SUMIFS(TilgErsatz,TilgObj,9,TilgJahr,$C1249)</f>
      </c>
      <c r="M1249" s="43">
        <f>MAX(0,SUMIF(DarlObj,9,DarlBetrag)-SUMIFS(TilgTilgung,TilgObj,9,TilgJahr,"&lt;="&amp;$C1249)-SUMIFS(TilgSonder,TilgObj,9,TilgJahr,"&lt;="&amp;$C1249))</f>
      </c>
      <c r="N1249" s="43">
        <f>SUMIFS(TilgErsatz,TilgObj,9,TilgJahr,"&lt;="&amp;$C1249)+SUMIFS(TilgErtrag,TilgObj,9,TilgJahr,"&lt;="&amp;$C1249)</f>
      </c>
      <c r="O1249" s="43">
        <f>INDEX(ObjWertEff,9)*(1+(Wertsteigerung)/100)^MAX(0,9)</f>
      </c>
      <c r="P1249" s="43">
        <f>IF(OR(INDEX(ObjAfaDauer,9)=0,INDEX(ObjAfaJahr,9)=0,$C1249&lt;INDEX(ObjKaufJahr,9),$C1249&gt;=INDEX(ObjKaufJahr,9)+INDEX(ObjAfaDauer,9)),0,IF($C1249=INDEX(ObjKaufJahr,9),INDEX(ObjAfaJahr,9)*(13-INDEX(ObjKaufMonat,9))/12,INDEX(ObjAfaJahr,9)))</f>
      </c>
      <c r="Q1249" s="43">
        <f>$F1249-$G1249-$H1249-$I1249-$P1249</f>
      </c>
      <c r="R1249" s="43">
        <f>$Q1249*INDEX(ObjSteuersatz,9)/100</f>
      </c>
      <c r="S1249" s="43">
        <f>$I1249+$J1249+$K1249+$L1249</f>
      </c>
      <c r="T1249" s="43">
        <f>$F1249-$G1249-$H1249-$S1249</f>
      </c>
      <c r="U1249" s="43">
        <f>$T1249-$R1249</f>
      </c>
      <c r="V1249" s="43">
        <f>$O1249-$M1249</f>
      </c>
      <c r="W1249" s="43">
        <f>$J1249+$K1249+$L1249</f>
      </c>
      <c r="X1249" s="43">
        <f>IF($O1249=0,0,$M1249/$O1249*100)</f>
      </c>
    </row>
    <row r="1250">
      <c r="A1250"/>
      <c r="B1250">
        <v>9</v>
      </c>
      <c r="C1250" s="43">
        <f>Jahr+10</f>
      </c>
      <c r="D1250">
        <v>10</v>
      </c>
      <c r="E1250" s="43">
        <f>IF(INDEX(ObjKaufJahr,9)=0,0,IF($C1250&lt;INDEX(ObjKaufJahr,9),0,IF($C1250&gt;INDEX(ObjKaufJahr,9),12,13-INDEX(ObjKaufMonat,9))))/12</f>
      </c>
      <c r="F1250" s="43">
        <f>SUMIFS(MlSumme,MlObj,9,MlJahr,$C1250)*(1-Leerstand/100)</f>
      </c>
      <c r="G1250" s="43">
        <f>INDEX(ObjLaufend,9)*(1+(Inflation)/100)^MAX(0,10)*$E1250</f>
      </c>
      <c r="H1250" s="43">
        <f>INDEX(ObjInstandBasis,9)*(1+(Inflation)/100)^MAX(0,10)*$E1250</f>
      </c>
      <c r="I1250" s="43">
        <f>SUMIFS(TilgZins,TilgObj,9,TilgJahr,$C1250)</f>
      </c>
      <c r="J1250" s="43">
        <f>SUMIFS(TilgTilgung,TilgObj,9,TilgJahr,$C1250)</f>
      </c>
      <c r="K1250" s="43">
        <f>SUMIFS(TilgSonder,TilgObj,9,TilgJahr,$C1250)</f>
      </c>
      <c r="L1250" s="43">
        <f>SUMIFS(TilgErsatz,TilgObj,9,TilgJahr,$C1250)</f>
      </c>
      <c r="M1250" s="43">
        <f>MAX(0,SUMIF(DarlObj,9,DarlBetrag)-SUMIFS(TilgTilgung,TilgObj,9,TilgJahr,"&lt;="&amp;$C1250)-SUMIFS(TilgSonder,TilgObj,9,TilgJahr,"&lt;="&amp;$C1250))</f>
      </c>
      <c r="N1250" s="43">
        <f>SUMIFS(TilgErsatz,TilgObj,9,TilgJahr,"&lt;="&amp;$C1250)+SUMIFS(TilgErtrag,TilgObj,9,TilgJahr,"&lt;="&amp;$C1250)</f>
      </c>
      <c r="O1250" s="43">
        <f>INDEX(ObjWertEff,9)*(1+(Wertsteigerung)/100)^MAX(0,10)</f>
      </c>
      <c r="P1250" s="43">
        <f>IF(OR(INDEX(ObjAfaDauer,9)=0,INDEX(ObjAfaJahr,9)=0,$C1250&lt;INDEX(ObjKaufJahr,9),$C1250&gt;=INDEX(ObjKaufJahr,9)+INDEX(ObjAfaDauer,9)),0,IF($C1250=INDEX(ObjKaufJahr,9),INDEX(ObjAfaJahr,9)*(13-INDEX(ObjKaufMonat,9))/12,INDEX(ObjAfaJahr,9)))</f>
      </c>
      <c r="Q1250" s="43">
        <f>$F1250-$G1250-$H1250-$I1250-$P1250</f>
      </c>
      <c r="R1250" s="43">
        <f>$Q1250*INDEX(ObjSteuersatz,9)/100</f>
      </c>
      <c r="S1250" s="43">
        <f>$I1250+$J1250+$K1250+$L1250</f>
      </c>
      <c r="T1250" s="43">
        <f>$F1250-$G1250-$H1250-$S1250</f>
      </c>
      <c r="U1250" s="43">
        <f>$T1250-$R1250</f>
      </c>
      <c r="V1250" s="43">
        <f>$O1250-$M1250</f>
      </c>
      <c r="W1250" s="43">
        <f>$J1250+$K1250+$L1250</f>
      </c>
      <c r="X1250" s="43">
        <f>IF($O1250=0,0,$M1250/$O1250*100)</f>
      </c>
    </row>
    <row r="1251">
      <c r="A1251"/>
      <c r="B1251">
        <v>9</v>
      </c>
      <c r="C1251" s="43">
        <f>Jahr+11</f>
      </c>
      <c r="D1251">
        <v>11</v>
      </c>
      <c r="E1251" s="43">
        <f>IF(INDEX(ObjKaufJahr,9)=0,0,IF($C1251&lt;INDEX(ObjKaufJahr,9),0,IF($C1251&gt;INDEX(ObjKaufJahr,9),12,13-INDEX(ObjKaufMonat,9))))/12</f>
      </c>
      <c r="F1251" s="43">
        <f>SUMIFS(MlSumme,MlObj,9,MlJahr,$C1251)*(1-Leerstand/100)</f>
      </c>
      <c r="G1251" s="43">
        <f>INDEX(ObjLaufend,9)*(1+(Inflation)/100)^MAX(0,11)*$E1251</f>
      </c>
      <c r="H1251" s="43">
        <f>INDEX(ObjInstandBasis,9)*(1+(Inflation)/100)^MAX(0,11)*$E1251</f>
      </c>
      <c r="I1251" s="43">
        <f>SUMIFS(TilgZins,TilgObj,9,TilgJahr,$C1251)</f>
      </c>
      <c r="J1251" s="43">
        <f>SUMIFS(TilgTilgung,TilgObj,9,TilgJahr,$C1251)</f>
      </c>
      <c r="K1251" s="43">
        <f>SUMIFS(TilgSonder,TilgObj,9,TilgJahr,$C1251)</f>
      </c>
      <c r="L1251" s="43">
        <f>SUMIFS(TilgErsatz,TilgObj,9,TilgJahr,$C1251)</f>
      </c>
      <c r="M1251" s="43">
        <f>MAX(0,SUMIF(DarlObj,9,DarlBetrag)-SUMIFS(TilgTilgung,TilgObj,9,TilgJahr,"&lt;="&amp;$C1251)-SUMIFS(TilgSonder,TilgObj,9,TilgJahr,"&lt;="&amp;$C1251))</f>
      </c>
      <c r="N1251" s="43">
        <f>SUMIFS(TilgErsatz,TilgObj,9,TilgJahr,"&lt;="&amp;$C1251)+SUMIFS(TilgErtrag,TilgObj,9,TilgJahr,"&lt;="&amp;$C1251)</f>
      </c>
      <c r="O1251" s="43">
        <f>INDEX(ObjWertEff,9)*(1+(Wertsteigerung)/100)^MAX(0,11)</f>
      </c>
      <c r="P1251" s="43">
        <f>IF(OR(INDEX(ObjAfaDauer,9)=0,INDEX(ObjAfaJahr,9)=0,$C1251&lt;INDEX(ObjKaufJahr,9),$C1251&gt;=INDEX(ObjKaufJahr,9)+INDEX(ObjAfaDauer,9)),0,IF($C1251=INDEX(ObjKaufJahr,9),INDEX(ObjAfaJahr,9)*(13-INDEX(ObjKaufMonat,9))/12,INDEX(ObjAfaJahr,9)))</f>
      </c>
      <c r="Q1251" s="43">
        <f>$F1251-$G1251-$H1251-$I1251-$P1251</f>
      </c>
      <c r="R1251" s="43">
        <f>$Q1251*INDEX(ObjSteuersatz,9)/100</f>
      </c>
      <c r="S1251" s="43">
        <f>$I1251+$J1251+$K1251+$L1251</f>
      </c>
      <c r="T1251" s="43">
        <f>$F1251-$G1251-$H1251-$S1251</f>
      </c>
      <c r="U1251" s="43">
        <f>$T1251-$R1251</f>
      </c>
      <c r="V1251" s="43">
        <f>$O1251-$M1251</f>
      </c>
      <c r="W1251" s="43">
        <f>$J1251+$K1251+$L1251</f>
      </c>
      <c r="X1251" s="43">
        <f>IF($O1251=0,0,$M1251/$O1251*100)</f>
      </c>
    </row>
    <row r="1252">
      <c r="A1252"/>
      <c r="B1252">
        <v>9</v>
      </c>
      <c r="C1252" s="43">
        <f>Jahr+12</f>
      </c>
      <c r="D1252">
        <v>12</v>
      </c>
      <c r="E1252" s="43">
        <f>IF(INDEX(ObjKaufJahr,9)=0,0,IF($C1252&lt;INDEX(ObjKaufJahr,9),0,IF($C1252&gt;INDEX(ObjKaufJahr,9),12,13-INDEX(ObjKaufMonat,9))))/12</f>
      </c>
      <c r="F1252" s="43">
        <f>SUMIFS(MlSumme,MlObj,9,MlJahr,$C1252)*(1-Leerstand/100)</f>
      </c>
      <c r="G1252" s="43">
        <f>INDEX(ObjLaufend,9)*(1+(Inflation)/100)^MAX(0,12)*$E1252</f>
      </c>
      <c r="H1252" s="43">
        <f>INDEX(ObjInstandBasis,9)*(1+(Inflation)/100)^MAX(0,12)*$E1252</f>
      </c>
      <c r="I1252" s="43">
        <f>SUMIFS(TilgZins,TilgObj,9,TilgJahr,$C1252)</f>
      </c>
      <c r="J1252" s="43">
        <f>SUMIFS(TilgTilgung,TilgObj,9,TilgJahr,$C1252)</f>
      </c>
      <c r="K1252" s="43">
        <f>SUMIFS(TilgSonder,TilgObj,9,TilgJahr,$C1252)</f>
      </c>
      <c r="L1252" s="43">
        <f>SUMIFS(TilgErsatz,TilgObj,9,TilgJahr,$C1252)</f>
      </c>
      <c r="M1252" s="43">
        <f>MAX(0,SUMIF(DarlObj,9,DarlBetrag)-SUMIFS(TilgTilgung,TilgObj,9,TilgJahr,"&lt;="&amp;$C1252)-SUMIFS(TilgSonder,TilgObj,9,TilgJahr,"&lt;="&amp;$C1252))</f>
      </c>
      <c r="N1252" s="43">
        <f>SUMIFS(TilgErsatz,TilgObj,9,TilgJahr,"&lt;="&amp;$C1252)+SUMIFS(TilgErtrag,TilgObj,9,TilgJahr,"&lt;="&amp;$C1252)</f>
      </c>
      <c r="O1252" s="43">
        <f>INDEX(ObjWertEff,9)*(1+(Wertsteigerung)/100)^MAX(0,12)</f>
      </c>
      <c r="P1252" s="43">
        <f>IF(OR(INDEX(ObjAfaDauer,9)=0,INDEX(ObjAfaJahr,9)=0,$C1252&lt;INDEX(ObjKaufJahr,9),$C1252&gt;=INDEX(ObjKaufJahr,9)+INDEX(ObjAfaDauer,9)),0,IF($C1252=INDEX(ObjKaufJahr,9),INDEX(ObjAfaJahr,9)*(13-INDEX(ObjKaufMonat,9))/12,INDEX(ObjAfaJahr,9)))</f>
      </c>
      <c r="Q1252" s="43">
        <f>$F1252-$G1252-$H1252-$I1252-$P1252</f>
      </c>
      <c r="R1252" s="43">
        <f>$Q1252*INDEX(ObjSteuersatz,9)/100</f>
      </c>
      <c r="S1252" s="43">
        <f>$I1252+$J1252+$K1252+$L1252</f>
      </c>
      <c r="T1252" s="43">
        <f>$F1252-$G1252-$H1252-$S1252</f>
      </c>
      <c r="U1252" s="43">
        <f>$T1252-$R1252</f>
      </c>
      <c r="V1252" s="43">
        <f>$O1252-$M1252</f>
      </c>
      <c r="W1252" s="43">
        <f>$J1252+$K1252+$L1252</f>
      </c>
      <c r="X1252" s="43">
        <f>IF($O1252=0,0,$M1252/$O1252*100)</f>
      </c>
    </row>
    <row r="1253">
      <c r="A1253"/>
      <c r="B1253">
        <v>9</v>
      </c>
      <c r="C1253" s="43">
        <f>Jahr+13</f>
      </c>
      <c r="D1253">
        <v>13</v>
      </c>
      <c r="E1253" s="43">
        <f>IF(INDEX(ObjKaufJahr,9)=0,0,IF($C1253&lt;INDEX(ObjKaufJahr,9),0,IF($C1253&gt;INDEX(ObjKaufJahr,9),12,13-INDEX(ObjKaufMonat,9))))/12</f>
      </c>
      <c r="F1253" s="43">
        <f>SUMIFS(MlSumme,MlObj,9,MlJahr,$C1253)*(1-Leerstand/100)</f>
      </c>
      <c r="G1253" s="43">
        <f>INDEX(ObjLaufend,9)*(1+(Inflation)/100)^MAX(0,13)*$E1253</f>
      </c>
      <c r="H1253" s="43">
        <f>INDEX(ObjInstandBasis,9)*(1+(Inflation)/100)^MAX(0,13)*$E1253</f>
      </c>
      <c r="I1253" s="43">
        <f>SUMIFS(TilgZins,TilgObj,9,TilgJahr,$C1253)</f>
      </c>
      <c r="J1253" s="43">
        <f>SUMIFS(TilgTilgung,TilgObj,9,TilgJahr,$C1253)</f>
      </c>
      <c r="K1253" s="43">
        <f>SUMIFS(TilgSonder,TilgObj,9,TilgJahr,$C1253)</f>
      </c>
      <c r="L1253" s="43">
        <f>SUMIFS(TilgErsatz,TilgObj,9,TilgJahr,$C1253)</f>
      </c>
      <c r="M1253" s="43">
        <f>MAX(0,SUMIF(DarlObj,9,DarlBetrag)-SUMIFS(TilgTilgung,TilgObj,9,TilgJahr,"&lt;="&amp;$C1253)-SUMIFS(TilgSonder,TilgObj,9,TilgJahr,"&lt;="&amp;$C1253))</f>
      </c>
      <c r="N1253" s="43">
        <f>SUMIFS(TilgErsatz,TilgObj,9,TilgJahr,"&lt;="&amp;$C1253)+SUMIFS(TilgErtrag,TilgObj,9,TilgJahr,"&lt;="&amp;$C1253)</f>
      </c>
      <c r="O1253" s="43">
        <f>INDEX(ObjWertEff,9)*(1+(Wertsteigerung)/100)^MAX(0,13)</f>
      </c>
      <c r="P1253" s="43">
        <f>IF(OR(INDEX(ObjAfaDauer,9)=0,INDEX(ObjAfaJahr,9)=0,$C1253&lt;INDEX(ObjKaufJahr,9),$C1253&gt;=INDEX(ObjKaufJahr,9)+INDEX(ObjAfaDauer,9)),0,IF($C1253=INDEX(ObjKaufJahr,9),INDEX(ObjAfaJahr,9)*(13-INDEX(ObjKaufMonat,9))/12,INDEX(ObjAfaJahr,9)))</f>
      </c>
      <c r="Q1253" s="43">
        <f>$F1253-$G1253-$H1253-$I1253-$P1253</f>
      </c>
      <c r="R1253" s="43">
        <f>$Q1253*INDEX(ObjSteuersatz,9)/100</f>
      </c>
      <c r="S1253" s="43">
        <f>$I1253+$J1253+$K1253+$L1253</f>
      </c>
      <c r="T1253" s="43">
        <f>$F1253-$G1253-$H1253-$S1253</f>
      </c>
      <c r="U1253" s="43">
        <f>$T1253-$R1253</f>
      </c>
      <c r="V1253" s="43">
        <f>$O1253-$M1253</f>
      </c>
      <c r="W1253" s="43">
        <f>$J1253+$K1253+$L1253</f>
      </c>
      <c r="X1253" s="43">
        <f>IF($O1253=0,0,$M1253/$O1253*100)</f>
      </c>
    </row>
    <row r="1254">
      <c r="A1254"/>
      <c r="B1254">
        <v>9</v>
      </c>
      <c r="C1254" s="43">
        <f>Jahr+14</f>
      </c>
      <c r="D1254">
        <v>14</v>
      </c>
      <c r="E1254" s="43">
        <f>IF(INDEX(ObjKaufJahr,9)=0,0,IF($C1254&lt;INDEX(ObjKaufJahr,9),0,IF($C1254&gt;INDEX(ObjKaufJahr,9),12,13-INDEX(ObjKaufMonat,9))))/12</f>
      </c>
      <c r="F1254" s="43">
        <f>SUMIFS(MlSumme,MlObj,9,MlJahr,$C1254)*(1-Leerstand/100)</f>
      </c>
      <c r="G1254" s="43">
        <f>INDEX(ObjLaufend,9)*(1+(Inflation)/100)^MAX(0,14)*$E1254</f>
      </c>
      <c r="H1254" s="43">
        <f>INDEX(ObjInstandBasis,9)*(1+(Inflation)/100)^MAX(0,14)*$E1254</f>
      </c>
      <c r="I1254" s="43">
        <f>SUMIFS(TilgZins,TilgObj,9,TilgJahr,$C1254)</f>
      </c>
      <c r="J1254" s="43">
        <f>SUMIFS(TilgTilgung,TilgObj,9,TilgJahr,$C1254)</f>
      </c>
      <c r="K1254" s="43">
        <f>SUMIFS(TilgSonder,TilgObj,9,TilgJahr,$C1254)</f>
      </c>
      <c r="L1254" s="43">
        <f>SUMIFS(TilgErsatz,TilgObj,9,TilgJahr,$C1254)</f>
      </c>
      <c r="M1254" s="43">
        <f>MAX(0,SUMIF(DarlObj,9,DarlBetrag)-SUMIFS(TilgTilgung,TilgObj,9,TilgJahr,"&lt;="&amp;$C1254)-SUMIFS(TilgSonder,TilgObj,9,TilgJahr,"&lt;="&amp;$C1254))</f>
      </c>
      <c r="N1254" s="43">
        <f>SUMIFS(TilgErsatz,TilgObj,9,TilgJahr,"&lt;="&amp;$C1254)+SUMIFS(TilgErtrag,TilgObj,9,TilgJahr,"&lt;="&amp;$C1254)</f>
      </c>
      <c r="O1254" s="43">
        <f>INDEX(ObjWertEff,9)*(1+(Wertsteigerung)/100)^MAX(0,14)</f>
      </c>
      <c r="P1254" s="43">
        <f>IF(OR(INDEX(ObjAfaDauer,9)=0,INDEX(ObjAfaJahr,9)=0,$C1254&lt;INDEX(ObjKaufJahr,9),$C1254&gt;=INDEX(ObjKaufJahr,9)+INDEX(ObjAfaDauer,9)),0,IF($C1254=INDEX(ObjKaufJahr,9),INDEX(ObjAfaJahr,9)*(13-INDEX(ObjKaufMonat,9))/12,INDEX(ObjAfaJahr,9)))</f>
      </c>
      <c r="Q1254" s="43">
        <f>$F1254-$G1254-$H1254-$I1254-$P1254</f>
      </c>
      <c r="R1254" s="43">
        <f>$Q1254*INDEX(ObjSteuersatz,9)/100</f>
      </c>
      <c r="S1254" s="43">
        <f>$I1254+$J1254+$K1254+$L1254</f>
      </c>
      <c r="T1254" s="43">
        <f>$F1254-$G1254-$H1254-$S1254</f>
      </c>
      <c r="U1254" s="43">
        <f>$T1254-$R1254</f>
      </c>
      <c r="V1254" s="43">
        <f>$O1254-$M1254</f>
      </c>
      <c r="W1254" s="43">
        <f>$J1254+$K1254+$L1254</f>
      </c>
      <c r="X1254" s="43">
        <f>IF($O1254=0,0,$M1254/$O1254*100)</f>
      </c>
    </row>
    <row r="1255">
      <c r="A1255"/>
      <c r="B1255">
        <v>9</v>
      </c>
      <c r="C1255" s="43">
        <f>Jahr+15</f>
      </c>
      <c r="D1255">
        <v>15</v>
      </c>
      <c r="E1255" s="43">
        <f>IF(INDEX(ObjKaufJahr,9)=0,0,IF($C1255&lt;INDEX(ObjKaufJahr,9),0,IF($C1255&gt;INDEX(ObjKaufJahr,9),12,13-INDEX(ObjKaufMonat,9))))/12</f>
      </c>
      <c r="F1255" s="43">
        <f>SUMIFS(MlSumme,MlObj,9,MlJahr,$C1255)*(1-Leerstand/100)</f>
      </c>
      <c r="G1255" s="43">
        <f>INDEX(ObjLaufend,9)*(1+(Inflation)/100)^MAX(0,15)*$E1255</f>
      </c>
      <c r="H1255" s="43">
        <f>INDEX(ObjInstandBasis,9)*(1+(Inflation)/100)^MAX(0,15)*$E1255</f>
      </c>
      <c r="I1255" s="43">
        <f>SUMIFS(TilgZins,TilgObj,9,TilgJahr,$C1255)</f>
      </c>
      <c r="J1255" s="43">
        <f>SUMIFS(TilgTilgung,TilgObj,9,TilgJahr,$C1255)</f>
      </c>
      <c r="K1255" s="43">
        <f>SUMIFS(TilgSonder,TilgObj,9,TilgJahr,$C1255)</f>
      </c>
      <c r="L1255" s="43">
        <f>SUMIFS(TilgErsatz,TilgObj,9,TilgJahr,$C1255)</f>
      </c>
      <c r="M1255" s="43">
        <f>MAX(0,SUMIF(DarlObj,9,DarlBetrag)-SUMIFS(TilgTilgung,TilgObj,9,TilgJahr,"&lt;="&amp;$C1255)-SUMIFS(TilgSonder,TilgObj,9,TilgJahr,"&lt;="&amp;$C1255))</f>
      </c>
      <c r="N1255" s="43">
        <f>SUMIFS(TilgErsatz,TilgObj,9,TilgJahr,"&lt;="&amp;$C1255)+SUMIFS(TilgErtrag,TilgObj,9,TilgJahr,"&lt;="&amp;$C1255)</f>
      </c>
      <c r="O1255" s="43">
        <f>INDEX(ObjWertEff,9)*(1+(Wertsteigerung)/100)^MAX(0,15)</f>
      </c>
      <c r="P1255" s="43">
        <f>IF(OR(INDEX(ObjAfaDauer,9)=0,INDEX(ObjAfaJahr,9)=0,$C1255&lt;INDEX(ObjKaufJahr,9),$C1255&gt;=INDEX(ObjKaufJahr,9)+INDEX(ObjAfaDauer,9)),0,IF($C1255=INDEX(ObjKaufJahr,9),INDEX(ObjAfaJahr,9)*(13-INDEX(ObjKaufMonat,9))/12,INDEX(ObjAfaJahr,9)))</f>
      </c>
      <c r="Q1255" s="43">
        <f>$F1255-$G1255-$H1255-$I1255-$P1255</f>
      </c>
      <c r="R1255" s="43">
        <f>$Q1255*INDEX(ObjSteuersatz,9)/100</f>
      </c>
      <c r="S1255" s="43">
        <f>$I1255+$J1255+$K1255+$L1255</f>
      </c>
      <c r="T1255" s="43">
        <f>$F1255-$G1255-$H1255-$S1255</f>
      </c>
      <c r="U1255" s="43">
        <f>$T1255-$R1255</f>
      </c>
      <c r="V1255" s="43">
        <f>$O1255-$M1255</f>
      </c>
      <c r="W1255" s="43">
        <f>$J1255+$K1255+$L1255</f>
      </c>
      <c r="X1255" s="43">
        <f>IF($O1255=0,0,$M1255/$O1255*100)</f>
      </c>
    </row>
    <row r="1256">
      <c r="A1256"/>
      <c r="B1256">
        <v>9</v>
      </c>
      <c r="C1256" s="43">
        <f>Jahr+16</f>
      </c>
      <c r="D1256">
        <v>16</v>
      </c>
      <c r="E1256" s="43">
        <f>IF(INDEX(ObjKaufJahr,9)=0,0,IF($C1256&lt;INDEX(ObjKaufJahr,9),0,IF($C1256&gt;INDEX(ObjKaufJahr,9),12,13-INDEX(ObjKaufMonat,9))))/12</f>
      </c>
      <c r="F1256" s="43">
        <f>SUMIFS(MlSumme,MlObj,9,MlJahr,$C1256)*(1-Leerstand/100)</f>
      </c>
      <c r="G1256" s="43">
        <f>INDEX(ObjLaufend,9)*(1+(Inflation)/100)^MAX(0,16)*$E1256</f>
      </c>
      <c r="H1256" s="43">
        <f>INDEX(ObjInstandBasis,9)*(1+(Inflation)/100)^MAX(0,16)*$E1256</f>
      </c>
      <c r="I1256" s="43">
        <f>SUMIFS(TilgZins,TilgObj,9,TilgJahr,$C1256)</f>
      </c>
      <c r="J1256" s="43">
        <f>SUMIFS(TilgTilgung,TilgObj,9,TilgJahr,$C1256)</f>
      </c>
      <c r="K1256" s="43">
        <f>SUMIFS(TilgSonder,TilgObj,9,TilgJahr,$C1256)</f>
      </c>
      <c r="L1256" s="43">
        <f>SUMIFS(TilgErsatz,TilgObj,9,TilgJahr,$C1256)</f>
      </c>
      <c r="M1256" s="43">
        <f>MAX(0,SUMIF(DarlObj,9,DarlBetrag)-SUMIFS(TilgTilgung,TilgObj,9,TilgJahr,"&lt;="&amp;$C1256)-SUMIFS(TilgSonder,TilgObj,9,TilgJahr,"&lt;="&amp;$C1256))</f>
      </c>
      <c r="N1256" s="43">
        <f>SUMIFS(TilgErsatz,TilgObj,9,TilgJahr,"&lt;="&amp;$C1256)+SUMIFS(TilgErtrag,TilgObj,9,TilgJahr,"&lt;="&amp;$C1256)</f>
      </c>
      <c r="O1256" s="43">
        <f>INDEX(ObjWertEff,9)*(1+(Wertsteigerung)/100)^MAX(0,16)</f>
      </c>
      <c r="P1256" s="43">
        <f>IF(OR(INDEX(ObjAfaDauer,9)=0,INDEX(ObjAfaJahr,9)=0,$C1256&lt;INDEX(ObjKaufJahr,9),$C1256&gt;=INDEX(ObjKaufJahr,9)+INDEX(ObjAfaDauer,9)),0,IF($C1256=INDEX(ObjKaufJahr,9),INDEX(ObjAfaJahr,9)*(13-INDEX(ObjKaufMonat,9))/12,INDEX(ObjAfaJahr,9)))</f>
      </c>
      <c r="Q1256" s="43">
        <f>$F1256-$G1256-$H1256-$I1256-$P1256</f>
      </c>
      <c r="R1256" s="43">
        <f>$Q1256*INDEX(ObjSteuersatz,9)/100</f>
      </c>
      <c r="S1256" s="43">
        <f>$I1256+$J1256+$K1256+$L1256</f>
      </c>
      <c r="T1256" s="43">
        <f>$F1256-$G1256-$H1256-$S1256</f>
      </c>
      <c r="U1256" s="43">
        <f>$T1256-$R1256</f>
      </c>
      <c r="V1256" s="43">
        <f>$O1256-$M1256</f>
      </c>
      <c r="W1256" s="43">
        <f>$J1256+$K1256+$L1256</f>
      </c>
      <c r="X1256" s="43">
        <f>IF($O1256=0,0,$M1256/$O1256*100)</f>
      </c>
    </row>
    <row r="1257">
      <c r="A1257"/>
      <c r="B1257">
        <v>9</v>
      </c>
      <c r="C1257" s="43">
        <f>Jahr+17</f>
      </c>
      <c r="D1257">
        <v>17</v>
      </c>
      <c r="E1257" s="43">
        <f>IF(INDEX(ObjKaufJahr,9)=0,0,IF($C1257&lt;INDEX(ObjKaufJahr,9),0,IF($C1257&gt;INDEX(ObjKaufJahr,9),12,13-INDEX(ObjKaufMonat,9))))/12</f>
      </c>
      <c r="F1257" s="43">
        <f>SUMIFS(MlSumme,MlObj,9,MlJahr,$C1257)*(1-Leerstand/100)</f>
      </c>
      <c r="G1257" s="43">
        <f>INDEX(ObjLaufend,9)*(1+(Inflation)/100)^MAX(0,17)*$E1257</f>
      </c>
      <c r="H1257" s="43">
        <f>INDEX(ObjInstandBasis,9)*(1+(Inflation)/100)^MAX(0,17)*$E1257</f>
      </c>
      <c r="I1257" s="43">
        <f>SUMIFS(TilgZins,TilgObj,9,TilgJahr,$C1257)</f>
      </c>
      <c r="J1257" s="43">
        <f>SUMIFS(TilgTilgung,TilgObj,9,TilgJahr,$C1257)</f>
      </c>
      <c r="K1257" s="43">
        <f>SUMIFS(TilgSonder,TilgObj,9,TilgJahr,$C1257)</f>
      </c>
      <c r="L1257" s="43">
        <f>SUMIFS(TilgErsatz,TilgObj,9,TilgJahr,$C1257)</f>
      </c>
      <c r="M1257" s="43">
        <f>MAX(0,SUMIF(DarlObj,9,DarlBetrag)-SUMIFS(TilgTilgung,TilgObj,9,TilgJahr,"&lt;="&amp;$C1257)-SUMIFS(TilgSonder,TilgObj,9,TilgJahr,"&lt;="&amp;$C1257))</f>
      </c>
      <c r="N1257" s="43">
        <f>SUMIFS(TilgErsatz,TilgObj,9,TilgJahr,"&lt;="&amp;$C1257)+SUMIFS(TilgErtrag,TilgObj,9,TilgJahr,"&lt;="&amp;$C1257)</f>
      </c>
      <c r="O1257" s="43">
        <f>INDEX(ObjWertEff,9)*(1+(Wertsteigerung)/100)^MAX(0,17)</f>
      </c>
      <c r="P1257" s="43">
        <f>IF(OR(INDEX(ObjAfaDauer,9)=0,INDEX(ObjAfaJahr,9)=0,$C1257&lt;INDEX(ObjKaufJahr,9),$C1257&gt;=INDEX(ObjKaufJahr,9)+INDEX(ObjAfaDauer,9)),0,IF($C1257=INDEX(ObjKaufJahr,9),INDEX(ObjAfaJahr,9)*(13-INDEX(ObjKaufMonat,9))/12,INDEX(ObjAfaJahr,9)))</f>
      </c>
      <c r="Q1257" s="43">
        <f>$F1257-$G1257-$H1257-$I1257-$P1257</f>
      </c>
      <c r="R1257" s="43">
        <f>$Q1257*INDEX(ObjSteuersatz,9)/100</f>
      </c>
      <c r="S1257" s="43">
        <f>$I1257+$J1257+$K1257+$L1257</f>
      </c>
      <c r="T1257" s="43">
        <f>$F1257-$G1257-$H1257-$S1257</f>
      </c>
      <c r="U1257" s="43">
        <f>$T1257-$R1257</f>
      </c>
      <c r="V1257" s="43">
        <f>$O1257-$M1257</f>
      </c>
      <c r="W1257" s="43">
        <f>$J1257+$K1257+$L1257</f>
      </c>
      <c r="X1257" s="43">
        <f>IF($O1257=0,0,$M1257/$O1257*100)</f>
      </c>
    </row>
    <row r="1258">
      <c r="A1258"/>
      <c r="B1258">
        <v>9</v>
      </c>
      <c r="C1258" s="43">
        <f>Jahr+18</f>
      </c>
      <c r="D1258">
        <v>18</v>
      </c>
      <c r="E1258" s="43">
        <f>IF(INDEX(ObjKaufJahr,9)=0,0,IF($C1258&lt;INDEX(ObjKaufJahr,9),0,IF($C1258&gt;INDEX(ObjKaufJahr,9),12,13-INDEX(ObjKaufMonat,9))))/12</f>
      </c>
      <c r="F1258" s="43">
        <f>SUMIFS(MlSumme,MlObj,9,MlJahr,$C1258)*(1-Leerstand/100)</f>
      </c>
      <c r="G1258" s="43">
        <f>INDEX(ObjLaufend,9)*(1+(Inflation)/100)^MAX(0,18)*$E1258</f>
      </c>
      <c r="H1258" s="43">
        <f>INDEX(ObjInstandBasis,9)*(1+(Inflation)/100)^MAX(0,18)*$E1258</f>
      </c>
      <c r="I1258" s="43">
        <f>SUMIFS(TilgZins,TilgObj,9,TilgJahr,$C1258)</f>
      </c>
      <c r="J1258" s="43">
        <f>SUMIFS(TilgTilgung,TilgObj,9,TilgJahr,$C1258)</f>
      </c>
      <c r="K1258" s="43">
        <f>SUMIFS(TilgSonder,TilgObj,9,TilgJahr,$C1258)</f>
      </c>
      <c r="L1258" s="43">
        <f>SUMIFS(TilgErsatz,TilgObj,9,TilgJahr,$C1258)</f>
      </c>
      <c r="M1258" s="43">
        <f>MAX(0,SUMIF(DarlObj,9,DarlBetrag)-SUMIFS(TilgTilgung,TilgObj,9,TilgJahr,"&lt;="&amp;$C1258)-SUMIFS(TilgSonder,TilgObj,9,TilgJahr,"&lt;="&amp;$C1258))</f>
      </c>
      <c r="N1258" s="43">
        <f>SUMIFS(TilgErsatz,TilgObj,9,TilgJahr,"&lt;="&amp;$C1258)+SUMIFS(TilgErtrag,TilgObj,9,TilgJahr,"&lt;="&amp;$C1258)</f>
      </c>
      <c r="O1258" s="43">
        <f>INDEX(ObjWertEff,9)*(1+(Wertsteigerung)/100)^MAX(0,18)</f>
      </c>
      <c r="P1258" s="43">
        <f>IF(OR(INDEX(ObjAfaDauer,9)=0,INDEX(ObjAfaJahr,9)=0,$C1258&lt;INDEX(ObjKaufJahr,9),$C1258&gt;=INDEX(ObjKaufJahr,9)+INDEX(ObjAfaDauer,9)),0,IF($C1258=INDEX(ObjKaufJahr,9),INDEX(ObjAfaJahr,9)*(13-INDEX(ObjKaufMonat,9))/12,INDEX(ObjAfaJahr,9)))</f>
      </c>
      <c r="Q1258" s="43">
        <f>$F1258-$G1258-$H1258-$I1258-$P1258</f>
      </c>
      <c r="R1258" s="43">
        <f>$Q1258*INDEX(ObjSteuersatz,9)/100</f>
      </c>
      <c r="S1258" s="43">
        <f>$I1258+$J1258+$K1258+$L1258</f>
      </c>
      <c r="T1258" s="43">
        <f>$F1258-$G1258-$H1258-$S1258</f>
      </c>
      <c r="U1258" s="43">
        <f>$T1258-$R1258</f>
      </c>
      <c r="V1258" s="43">
        <f>$O1258-$M1258</f>
      </c>
      <c r="W1258" s="43">
        <f>$J1258+$K1258+$L1258</f>
      </c>
      <c r="X1258" s="43">
        <f>IF($O1258=0,0,$M1258/$O1258*100)</f>
      </c>
    </row>
    <row r="1259">
      <c r="A1259"/>
      <c r="B1259">
        <v>9</v>
      </c>
      <c r="C1259" s="43">
        <f>Jahr+19</f>
      </c>
      <c r="D1259">
        <v>19</v>
      </c>
      <c r="E1259" s="43">
        <f>IF(INDEX(ObjKaufJahr,9)=0,0,IF($C1259&lt;INDEX(ObjKaufJahr,9),0,IF($C1259&gt;INDEX(ObjKaufJahr,9),12,13-INDEX(ObjKaufMonat,9))))/12</f>
      </c>
      <c r="F1259" s="43">
        <f>SUMIFS(MlSumme,MlObj,9,MlJahr,$C1259)*(1-Leerstand/100)</f>
      </c>
      <c r="G1259" s="43">
        <f>INDEX(ObjLaufend,9)*(1+(Inflation)/100)^MAX(0,19)*$E1259</f>
      </c>
      <c r="H1259" s="43">
        <f>INDEX(ObjInstandBasis,9)*(1+(Inflation)/100)^MAX(0,19)*$E1259</f>
      </c>
      <c r="I1259" s="43">
        <f>SUMIFS(TilgZins,TilgObj,9,TilgJahr,$C1259)</f>
      </c>
      <c r="J1259" s="43">
        <f>SUMIFS(TilgTilgung,TilgObj,9,TilgJahr,$C1259)</f>
      </c>
      <c r="K1259" s="43">
        <f>SUMIFS(TilgSonder,TilgObj,9,TilgJahr,$C1259)</f>
      </c>
      <c r="L1259" s="43">
        <f>SUMIFS(TilgErsatz,TilgObj,9,TilgJahr,$C1259)</f>
      </c>
      <c r="M1259" s="43">
        <f>MAX(0,SUMIF(DarlObj,9,DarlBetrag)-SUMIFS(TilgTilgung,TilgObj,9,TilgJahr,"&lt;="&amp;$C1259)-SUMIFS(TilgSonder,TilgObj,9,TilgJahr,"&lt;="&amp;$C1259))</f>
      </c>
      <c r="N1259" s="43">
        <f>SUMIFS(TilgErsatz,TilgObj,9,TilgJahr,"&lt;="&amp;$C1259)+SUMIFS(TilgErtrag,TilgObj,9,TilgJahr,"&lt;="&amp;$C1259)</f>
      </c>
      <c r="O1259" s="43">
        <f>INDEX(ObjWertEff,9)*(1+(Wertsteigerung)/100)^MAX(0,19)</f>
      </c>
      <c r="P1259" s="43">
        <f>IF(OR(INDEX(ObjAfaDauer,9)=0,INDEX(ObjAfaJahr,9)=0,$C1259&lt;INDEX(ObjKaufJahr,9),$C1259&gt;=INDEX(ObjKaufJahr,9)+INDEX(ObjAfaDauer,9)),0,IF($C1259=INDEX(ObjKaufJahr,9),INDEX(ObjAfaJahr,9)*(13-INDEX(ObjKaufMonat,9))/12,INDEX(ObjAfaJahr,9)))</f>
      </c>
      <c r="Q1259" s="43">
        <f>$F1259-$G1259-$H1259-$I1259-$P1259</f>
      </c>
      <c r="R1259" s="43">
        <f>$Q1259*INDEX(ObjSteuersatz,9)/100</f>
      </c>
      <c r="S1259" s="43">
        <f>$I1259+$J1259+$K1259+$L1259</f>
      </c>
      <c r="T1259" s="43">
        <f>$F1259-$G1259-$H1259-$S1259</f>
      </c>
      <c r="U1259" s="43">
        <f>$T1259-$R1259</f>
      </c>
      <c r="V1259" s="43">
        <f>$O1259-$M1259</f>
      </c>
      <c r="W1259" s="43">
        <f>$J1259+$K1259+$L1259</f>
      </c>
      <c r="X1259" s="43">
        <f>IF($O1259=0,0,$M1259/$O1259*100)</f>
      </c>
    </row>
    <row r="1260">
      <c r="A1260"/>
      <c r="B1260">
        <v>9</v>
      </c>
      <c r="C1260" s="43">
        <f>Jahr+20</f>
      </c>
      <c r="D1260">
        <v>20</v>
      </c>
      <c r="E1260" s="43">
        <f>IF(INDEX(ObjKaufJahr,9)=0,0,IF($C1260&lt;INDEX(ObjKaufJahr,9),0,IF($C1260&gt;INDEX(ObjKaufJahr,9),12,13-INDEX(ObjKaufMonat,9))))/12</f>
      </c>
      <c r="F1260" s="43">
        <f>SUMIFS(MlSumme,MlObj,9,MlJahr,$C1260)*(1-Leerstand/100)</f>
      </c>
      <c r="G1260" s="43">
        <f>INDEX(ObjLaufend,9)*(1+(Inflation)/100)^MAX(0,20)*$E1260</f>
      </c>
      <c r="H1260" s="43">
        <f>INDEX(ObjInstandBasis,9)*(1+(Inflation)/100)^MAX(0,20)*$E1260</f>
      </c>
      <c r="I1260" s="43">
        <f>SUMIFS(TilgZins,TilgObj,9,TilgJahr,$C1260)</f>
      </c>
      <c r="J1260" s="43">
        <f>SUMIFS(TilgTilgung,TilgObj,9,TilgJahr,$C1260)</f>
      </c>
      <c r="K1260" s="43">
        <f>SUMIFS(TilgSonder,TilgObj,9,TilgJahr,$C1260)</f>
      </c>
      <c r="L1260" s="43">
        <f>SUMIFS(TilgErsatz,TilgObj,9,TilgJahr,$C1260)</f>
      </c>
      <c r="M1260" s="43">
        <f>MAX(0,SUMIF(DarlObj,9,DarlBetrag)-SUMIFS(TilgTilgung,TilgObj,9,TilgJahr,"&lt;="&amp;$C1260)-SUMIFS(TilgSonder,TilgObj,9,TilgJahr,"&lt;="&amp;$C1260))</f>
      </c>
      <c r="N1260" s="43">
        <f>SUMIFS(TilgErsatz,TilgObj,9,TilgJahr,"&lt;="&amp;$C1260)+SUMIFS(TilgErtrag,TilgObj,9,TilgJahr,"&lt;="&amp;$C1260)</f>
      </c>
      <c r="O1260" s="43">
        <f>INDEX(ObjWertEff,9)*(1+(Wertsteigerung)/100)^MAX(0,20)</f>
      </c>
      <c r="P1260" s="43">
        <f>IF(OR(INDEX(ObjAfaDauer,9)=0,INDEX(ObjAfaJahr,9)=0,$C1260&lt;INDEX(ObjKaufJahr,9),$C1260&gt;=INDEX(ObjKaufJahr,9)+INDEX(ObjAfaDauer,9)),0,IF($C1260=INDEX(ObjKaufJahr,9),INDEX(ObjAfaJahr,9)*(13-INDEX(ObjKaufMonat,9))/12,INDEX(ObjAfaJahr,9)))</f>
      </c>
      <c r="Q1260" s="43">
        <f>$F1260-$G1260-$H1260-$I1260-$P1260</f>
      </c>
      <c r="R1260" s="43">
        <f>$Q1260*INDEX(ObjSteuersatz,9)/100</f>
      </c>
      <c r="S1260" s="43">
        <f>$I1260+$J1260+$K1260+$L1260</f>
      </c>
      <c r="T1260" s="43">
        <f>$F1260-$G1260-$H1260-$S1260</f>
      </c>
      <c r="U1260" s="43">
        <f>$T1260-$R1260</f>
      </c>
      <c r="V1260" s="43">
        <f>$O1260-$M1260</f>
      </c>
      <c r="W1260" s="43">
        <f>$J1260+$K1260+$L1260</f>
      </c>
      <c r="X1260" s="43">
        <f>IF($O1260=0,0,$M1260/$O1260*100)</f>
      </c>
    </row>
    <row r="1261">
      <c r="A1261"/>
      <c r="B1261">
        <v>9</v>
      </c>
      <c r="C1261" s="43">
        <f>Jahr+21</f>
      </c>
      <c r="D1261">
        <v>21</v>
      </c>
      <c r="E1261" s="43">
        <f>IF(INDEX(ObjKaufJahr,9)=0,0,IF($C1261&lt;INDEX(ObjKaufJahr,9),0,IF($C1261&gt;INDEX(ObjKaufJahr,9),12,13-INDEX(ObjKaufMonat,9))))/12</f>
      </c>
      <c r="F1261" s="43">
        <f>SUMIFS(MlSumme,MlObj,9,MlJahr,$C1261)*(1-Leerstand/100)</f>
      </c>
      <c r="G1261" s="43">
        <f>INDEX(ObjLaufend,9)*(1+(Inflation)/100)^MAX(0,21)*$E1261</f>
      </c>
      <c r="H1261" s="43">
        <f>INDEX(ObjInstandBasis,9)*(1+(Inflation)/100)^MAX(0,21)*$E1261</f>
      </c>
      <c r="I1261" s="43">
        <f>SUMIFS(TilgZins,TilgObj,9,TilgJahr,$C1261)</f>
      </c>
      <c r="J1261" s="43">
        <f>SUMIFS(TilgTilgung,TilgObj,9,TilgJahr,$C1261)</f>
      </c>
      <c r="K1261" s="43">
        <f>SUMIFS(TilgSonder,TilgObj,9,TilgJahr,$C1261)</f>
      </c>
      <c r="L1261" s="43">
        <f>SUMIFS(TilgErsatz,TilgObj,9,TilgJahr,$C1261)</f>
      </c>
      <c r="M1261" s="43">
        <f>MAX(0,SUMIF(DarlObj,9,DarlBetrag)-SUMIFS(TilgTilgung,TilgObj,9,TilgJahr,"&lt;="&amp;$C1261)-SUMIFS(TilgSonder,TilgObj,9,TilgJahr,"&lt;="&amp;$C1261))</f>
      </c>
      <c r="N1261" s="43">
        <f>SUMIFS(TilgErsatz,TilgObj,9,TilgJahr,"&lt;="&amp;$C1261)+SUMIFS(TilgErtrag,TilgObj,9,TilgJahr,"&lt;="&amp;$C1261)</f>
      </c>
      <c r="O1261" s="43">
        <f>INDEX(ObjWertEff,9)*(1+(Wertsteigerung)/100)^MAX(0,21)</f>
      </c>
      <c r="P1261" s="43">
        <f>IF(OR(INDEX(ObjAfaDauer,9)=0,INDEX(ObjAfaJahr,9)=0,$C1261&lt;INDEX(ObjKaufJahr,9),$C1261&gt;=INDEX(ObjKaufJahr,9)+INDEX(ObjAfaDauer,9)),0,IF($C1261=INDEX(ObjKaufJahr,9),INDEX(ObjAfaJahr,9)*(13-INDEX(ObjKaufMonat,9))/12,INDEX(ObjAfaJahr,9)))</f>
      </c>
      <c r="Q1261" s="43">
        <f>$F1261-$G1261-$H1261-$I1261-$P1261</f>
      </c>
      <c r="R1261" s="43">
        <f>$Q1261*INDEX(ObjSteuersatz,9)/100</f>
      </c>
      <c r="S1261" s="43">
        <f>$I1261+$J1261+$K1261+$L1261</f>
      </c>
      <c r="T1261" s="43">
        <f>$F1261-$G1261-$H1261-$S1261</f>
      </c>
      <c r="U1261" s="43">
        <f>$T1261-$R1261</f>
      </c>
      <c r="V1261" s="43">
        <f>$O1261-$M1261</f>
      </c>
      <c r="W1261" s="43">
        <f>$J1261+$K1261+$L1261</f>
      </c>
      <c r="X1261" s="43">
        <f>IF($O1261=0,0,$M1261/$O1261*100)</f>
      </c>
    </row>
    <row r="1262">
      <c r="A1262"/>
      <c r="B1262">
        <v>9</v>
      </c>
      <c r="C1262" s="43">
        <f>Jahr+22</f>
      </c>
      <c r="D1262">
        <v>22</v>
      </c>
      <c r="E1262" s="43">
        <f>IF(INDEX(ObjKaufJahr,9)=0,0,IF($C1262&lt;INDEX(ObjKaufJahr,9),0,IF($C1262&gt;INDEX(ObjKaufJahr,9),12,13-INDEX(ObjKaufMonat,9))))/12</f>
      </c>
      <c r="F1262" s="43">
        <f>SUMIFS(MlSumme,MlObj,9,MlJahr,$C1262)*(1-Leerstand/100)</f>
      </c>
      <c r="G1262" s="43">
        <f>INDEX(ObjLaufend,9)*(1+(Inflation)/100)^MAX(0,22)*$E1262</f>
      </c>
      <c r="H1262" s="43">
        <f>INDEX(ObjInstandBasis,9)*(1+(Inflation)/100)^MAX(0,22)*$E1262</f>
      </c>
      <c r="I1262" s="43">
        <f>SUMIFS(TilgZins,TilgObj,9,TilgJahr,$C1262)</f>
      </c>
      <c r="J1262" s="43">
        <f>SUMIFS(TilgTilgung,TilgObj,9,TilgJahr,$C1262)</f>
      </c>
      <c r="K1262" s="43">
        <f>SUMIFS(TilgSonder,TilgObj,9,TilgJahr,$C1262)</f>
      </c>
      <c r="L1262" s="43">
        <f>SUMIFS(TilgErsatz,TilgObj,9,TilgJahr,$C1262)</f>
      </c>
      <c r="M1262" s="43">
        <f>MAX(0,SUMIF(DarlObj,9,DarlBetrag)-SUMIFS(TilgTilgung,TilgObj,9,TilgJahr,"&lt;="&amp;$C1262)-SUMIFS(TilgSonder,TilgObj,9,TilgJahr,"&lt;="&amp;$C1262))</f>
      </c>
      <c r="N1262" s="43">
        <f>SUMIFS(TilgErsatz,TilgObj,9,TilgJahr,"&lt;="&amp;$C1262)+SUMIFS(TilgErtrag,TilgObj,9,TilgJahr,"&lt;="&amp;$C1262)</f>
      </c>
      <c r="O1262" s="43">
        <f>INDEX(ObjWertEff,9)*(1+(Wertsteigerung)/100)^MAX(0,22)</f>
      </c>
      <c r="P1262" s="43">
        <f>IF(OR(INDEX(ObjAfaDauer,9)=0,INDEX(ObjAfaJahr,9)=0,$C1262&lt;INDEX(ObjKaufJahr,9),$C1262&gt;=INDEX(ObjKaufJahr,9)+INDEX(ObjAfaDauer,9)),0,IF($C1262=INDEX(ObjKaufJahr,9),INDEX(ObjAfaJahr,9)*(13-INDEX(ObjKaufMonat,9))/12,INDEX(ObjAfaJahr,9)))</f>
      </c>
      <c r="Q1262" s="43">
        <f>$F1262-$G1262-$H1262-$I1262-$P1262</f>
      </c>
      <c r="R1262" s="43">
        <f>$Q1262*INDEX(ObjSteuersatz,9)/100</f>
      </c>
      <c r="S1262" s="43">
        <f>$I1262+$J1262+$K1262+$L1262</f>
      </c>
      <c r="T1262" s="43">
        <f>$F1262-$G1262-$H1262-$S1262</f>
      </c>
      <c r="U1262" s="43">
        <f>$T1262-$R1262</f>
      </c>
      <c r="V1262" s="43">
        <f>$O1262-$M1262</f>
      </c>
      <c r="W1262" s="43">
        <f>$J1262+$K1262+$L1262</f>
      </c>
      <c r="X1262" s="43">
        <f>IF($O1262=0,0,$M1262/$O1262*100)</f>
      </c>
    </row>
    <row r="1263">
      <c r="A1263"/>
      <c r="B1263">
        <v>9</v>
      </c>
      <c r="C1263" s="43">
        <f>Jahr+23</f>
      </c>
      <c r="D1263">
        <v>23</v>
      </c>
      <c r="E1263" s="43">
        <f>IF(INDEX(ObjKaufJahr,9)=0,0,IF($C1263&lt;INDEX(ObjKaufJahr,9),0,IF($C1263&gt;INDEX(ObjKaufJahr,9),12,13-INDEX(ObjKaufMonat,9))))/12</f>
      </c>
      <c r="F1263" s="43">
        <f>SUMIFS(MlSumme,MlObj,9,MlJahr,$C1263)*(1-Leerstand/100)</f>
      </c>
      <c r="G1263" s="43">
        <f>INDEX(ObjLaufend,9)*(1+(Inflation)/100)^MAX(0,23)*$E1263</f>
      </c>
      <c r="H1263" s="43">
        <f>INDEX(ObjInstandBasis,9)*(1+(Inflation)/100)^MAX(0,23)*$E1263</f>
      </c>
      <c r="I1263" s="43">
        <f>SUMIFS(TilgZins,TilgObj,9,TilgJahr,$C1263)</f>
      </c>
      <c r="J1263" s="43">
        <f>SUMIFS(TilgTilgung,TilgObj,9,TilgJahr,$C1263)</f>
      </c>
      <c r="K1263" s="43">
        <f>SUMIFS(TilgSonder,TilgObj,9,TilgJahr,$C1263)</f>
      </c>
      <c r="L1263" s="43">
        <f>SUMIFS(TilgErsatz,TilgObj,9,TilgJahr,$C1263)</f>
      </c>
      <c r="M1263" s="43">
        <f>MAX(0,SUMIF(DarlObj,9,DarlBetrag)-SUMIFS(TilgTilgung,TilgObj,9,TilgJahr,"&lt;="&amp;$C1263)-SUMIFS(TilgSonder,TilgObj,9,TilgJahr,"&lt;="&amp;$C1263))</f>
      </c>
      <c r="N1263" s="43">
        <f>SUMIFS(TilgErsatz,TilgObj,9,TilgJahr,"&lt;="&amp;$C1263)+SUMIFS(TilgErtrag,TilgObj,9,TilgJahr,"&lt;="&amp;$C1263)</f>
      </c>
      <c r="O1263" s="43">
        <f>INDEX(ObjWertEff,9)*(1+(Wertsteigerung)/100)^MAX(0,23)</f>
      </c>
      <c r="P1263" s="43">
        <f>IF(OR(INDEX(ObjAfaDauer,9)=0,INDEX(ObjAfaJahr,9)=0,$C1263&lt;INDEX(ObjKaufJahr,9),$C1263&gt;=INDEX(ObjKaufJahr,9)+INDEX(ObjAfaDauer,9)),0,IF($C1263=INDEX(ObjKaufJahr,9),INDEX(ObjAfaJahr,9)*(13-INDEX(ObjKaufMonat,9))/12,INDEX(ObjAfaJahr,9)))</f>
      </c>
      <c r="Q1263" s="43">
        <f>$F1263-$G1263-$H1263-$I1263-$P1263</f>
      </c>
      <c r="R1263" s="43">
        <f>$Q1263*INDEX(ObjSteuersatz,9)/100</f>
      </c>
      <c r="S1263" s="43">
        <f>$I1263+$J1263+$K1263+$L1263</f>
      </c>
      <c r="T1263" s="43">
        <f>$F1263-$G1263-$H1263-$S1263</f>
      </c>
      <c r="U1263" s="43">
        <f>$T1263-$R1263</f>
      </c>
      <c r="V1263" s="43">
        <f>$O1263-$M1263</f>
      </c>
      <c r="W1263" s="43">
        <f>$J1263+$K1263+$L1263</f>
      </c>
      <c r="X1263" s="43">
        <f>IF($O1263=0,0,$M1263/$O1263*100)</f>
      </c>
    </row>
    <row r="1264">
      <c r="A1264"/>
      <c r="B1264">
        <v>9</v>
      </c>
      <c r="C1264" s="43">
        <f>Jahr+24</f>
      </c>
      <c r="D1264">
        <v>24</v>
      </c>
      <c r="E1264" s="43">
        <f>IF(INDEX(ObjKaufJahr,9)=0,0,IF($C1264&lt;INDEX(ObjKaufJahr,9),0,IF($C1264&gt;INDEX(ObjKaufJahr,9),12,13-INDEX(ObjKaufMonat,9))))/12</f>
      </c>
      <c r="F1264" s="43">
        <f>SUMIFS(MlSumme,MlObj,9,MlJahr,$C1264)*(1-Leerstand/100)</f>
      </c>
      <c r="G1264" s="43">
        <f>INDEX(ObjLaufend,9)*(1+(Inflation)/100)^MAX(0,24)*$E1264</f>
      </c>
      <c r="H1264" s="43">
        <f>INDEX(ObjInstandBasis,9)*(1+(Inflation)/100)^MAX(0,24)*$E1264</f>
      </c>
      <c r="I1264" s="43">
        <f>SUMIFS(TilgZins,TilgObj,9,TilgJahr,$C1264)</f>
      </c>
      <c r="J1264" s="43">
        <f>SUMIFS(TilgTilgung,TilgObj,9,TilgJahr,$C1264)</f>
      </c>
      <c r="K1264" s="43">
        <f>SUMIFS(TilgSonder,TilgObj,9,TilgJahr,$C1264)</f>
      </c>
      <c r="L1264" s="43">
        <f>SUMIFS(TilgErsatz,TilgObj,9,TilgJahr,$C1264)</f>
      </c>
      <c r="M1264" s="43">
        <f>MAX(0,SUMIF(DarlObj,9,DarlBetrag)-SUMIFS(TilgTilgung,TilgObj,9,TilgJahr,"&lt;="&amp;$C1264)-SUMIFS(TilgSonder,TilgObj,9,TilgJahr,"&lt;="&amp;$C1264))</f>
      </c>
      <c r="N1264" s="43">
        <f>SUMIFS(TilgErsatz,TilgObj,9,TilgJahr,"&lt;="&amp;$C1264)+SUMIFS(TilgErtrag,TilgObj,9,TilgJahr,"&lt;="&amp;$C1264)</f>
      </c>
      <c r="O1264" s="43">
        <f>INDEX(ObjWertEff,9)*(1+(Wertsteigerung)/100)^MAX(0,24)</f>
      </c>
      <c r="P1264" s="43">
        <f>IF(OR(INDEX(ObjAfaDauer,9)=0,INDEX(ObjAfaJahr,9)=0,$C1264&lt;INDEX(ObjKaufJahr,9),$C1264&gt;=INDEX(ObjKaufJahr,9)+INDEX(ObjAfaDauer,9)),0,IF($C1264=INDEX(ObjKaufJahr,9),INDEX(ObjAfaJahr,9)*(13-INDEX(ObjKaufMonat,9))/12,INDEX(ObjAfaJahr,9)))</f>
      </c>
      <c r="Q1264" s="43">
        <f>$F1264-$G1264-$H1264-$I1264-$P1264</f>
      </c>
      <c r="R1264" s="43">
        <f>$Q1264*INDEX(ObjSteuersatz,9)/100</f>
      </c>
      <c r="S1264" s="43">
        <f>$I1264+$J1264+$K1264+$L1264</f>
      </c>
      <c r="T1264" s="43">
        <f>$F1264-$G1264-$H1264-$S1264</f>
      </c>
      <c r="U1264" s="43">
        <f>$T1264-$R1264</f>
      </c>
      <c r="V1264" s="43">
        <f>$O1264-$M1264</f>
      </c>
      <c r="W1264" s="43">
        <f>$J1264+$K1264+$L1264</f>
      </c>
      <c r="X1264" s="43">
        <f>IF($O1264=0,0,$M1264/$O1264*100)</f>
      </c>
    </row>
    <row r="1265">
      <c r="A1265"/>
      <c r="B1265">
        <v>9</v>
      </c>
      <c r="C1265" s="43">
        <f>Jahr+25</f>
      </c>
      <c r="D1265">
        <v>25</v>
      </c>
      <c r="E1265" s="43">
        <f>IF(INDEX(ObjKaufJahr,9)=0,0,IF($C1265&lt;INDEX(ObjKaufJahr,9),0,IF($C1265&gt;INDEX(ObjKaufJahr,9),12,13-INDEX(ObjKaufMonat,9))))/12</f>
      </c>
      <c r="F1265" s="43">
        <f>SUMIFS(MlSumme,MlObj,9,MlJahr,$C1265)*(1-Leerstand/100)</f>
      </c>
      <c r="G1265" s="43">
        <f>INDEX(ObjLaufend,9)*(1+(Inflation)/100)^MAX(0,25)*$E1265</f>
      </c>
      <c r="H1265" s="43">
        <f>INDEX(ObjInstandBasis,9)*(1+(Inflation)/100)^MAX(0,25)*$E1265</f>
      </c>
      <c r="I1265" s="43">
        <f>SUMIFS(TilgZins,TilgObj,9,TilgJahr,$C1265)</f>
      </c>
      <c r="J1265" s="43">
        <f>SUMIFS(TilgTilgung,TilgObj,9,TilgJahr,$C1265)</f>
      </c>
      <c r="K1265" s="43">
        <f>SUMIFS(TilgSonder,TilgObj,9,TilgJahr,$C1265)</f>
      </c>
      <c r="L1265" s="43">
        <f>SUMIFS(TilgErsatz,TilgObj,9,TilgJahr,$C1265)</f>
      </c>
      <c r="M1265" s="43">
        <f>MAX(0,SUMIF(DarlObj,9,DarlBetrag)-SUMIFS(TilgTilgung,TilgObj,9,TilgJahr,"&lt;="&amp;$C1265)-SUMIFS(TilgSonder,TilgObj,9,TilgJahr,"&lt;="&amp;$C1265))</f>
      </c>
      <c r="N1265" s="43">
        <f>SUMIFS(TilgErsatz,TilgObj,9,TilgJahr,"&lt;="&amp;$C1265)+SUMIFS(TilgErtrag,TilgObj,9,TilgJahr,"&lt;="&amp;$C1265)</f>
      </c>
      <c r="O1265" s="43">
        <f>INDEX(ObjWertEff,9)*(1+(Wertsteigerung)/100)^MAX(0,25)</f>
      </c>
      <c r="P1265" s="43">
        <f>IF(OR(INDEX(ObjAfaDauer,9)=0,INDEX(ObjAfaJahr,9)=0,$C1265&lt;INDEX(ObjKaufJahr,9),$C1265&gt;=INDEX(ObjKaufJahr,9)+INDEX(ObjAfaDauer,9)),0,IF($C1265=INDEX(ObjKaufJahr,9),INDEX(ObjAfaJahr,9)*(13-INDEX(ObjKaufMonat,9))/12,INDEX(ObjAfaJahr,9)))</f>
      </c>
      <c r="Q1265" s="43">
        <f>$F1265-$G1265-$H1265-$I1265-$P1265</f>
      </c>
      <c r="R1265" s="43">
        <f>$Q1265*INDEX(ObjSteuersatz,9)/100</f>
      </c>
      <c r="S1265" s="43">
        <f>$I1265+$J1265+$K1265+$L1265</f>
      </c>
      <c r="T1265" s="43">
        <f>$F1265-$G1265-$H1265-$S1265</f>
      </c>
      <c r="U1265" s="43">
        <f>$T1265-$R1265</f>
      </c>
      <c r="V1265" s="43">
        <f>$O1265-$M1265</f>
      </c>
      <c r="W1265" s="43">
        <f>$J1265+$K1265+$L1265</f>
      </c>
      <c r="X1265" s="43">
        <f>IF($O1265=0,0,$M1265/$O1265*100)</f>
      </c>
    </row>
    <row r="1266">
      <c r="A1266"/>
      <c r="B1266">
        <v>9</v>
      </c>
      <c r="C1266" s="43">
        <f>Jahr+26</f>
      </c>
      <c r="D1266">
        <v>26</v>
      </c>
      <c r="E1266" s="43">
        <f>IF(INDEX(ObjKaufJahr,9)=0,0,IF($C1266&lt;INDEX(ObjKaufJahr,9),0,IF($C1266&gt;INDEX(ObjKaufJahr,9),12,13-INDEX(ObjKaufMonat,9))))/12</f>
      </c>
      <c r="F1266" s="43">
        <f>SUMIFS(MlSumme,MlObj,9,MlJahr,$C1266)*(1-Leerstand/100)</f>
      </c>
      <c r="G1266" s="43">
        <f>INDEX(ObjLaufend,9)*(1+(Inflation)/100)^MAX(0,26)*$E1266</f>
      </c>
      <c r="H1266" s="43">
        <f>INDEX(ObjInstandBasis,9)*(1+(Inflation)/100)^MAX(0,26)*$E1266</f>
      </c>
      <c r="I1266" s="43">
        <f>SUMIFS(TilgZins,TilgObj,9,TilgJahr,$C1266)</f>
      </c>
      <c r="J1266" s="43">
        <f>SUMIFS(TilgTilgung,TilgObj,9,TilgJahr,$C1266)</f>
      </c>
      <c r="K1266" s="43">
        <f>SUMIFS(TilgSonder,TilgObj,9,TilgJahr,$C1266)</f>
      </c>
      <c r="L1266" s="43">
        <f>SUMIFS(TilgErsatz,TilgObj,9,TilgJahr,$C1266)</f>
      </c>
      <c r="M1266" s="43">
        <f>MAX(0,SUMIF(DarlObj,9,DarlBetrag)-SUMIFS(TilgTilgung,TilgObj,9,TilgJahr,"&lt;="&amp;$C1266)-SUMIFS(TilgSonder,TilgObj,9,TilgJahr,"&lt;="&amp;$C1266))</f>
      </c>
      <c r="N1266" s="43">
        <f>SUMIFS(TilgErsatz,TilgObj,9,TilgJahr,"&lt;="&amp;$C1266)+SUMIFS(TilgErtrag,TilgObj,9,TilgJahr,"&lt;="&amp;$C1266)</f>
      </c>
      <c r="O1266" s="43">
        <f>INDEX(ObjWertEff,9)*(1+(Wertsteigerung)/100)^MAX(0,26)</f>
      </c>
      <c r="P1266" s="43">
        <f>IF(OR(INDEX(ObjAfaDauer,9)=0,INDEX(ObjAfaJahr,9)=0,$C1266&lt;INDEX(ObjKaufJahr,9),$C1266&gt;=INDEX(ObjKaufJahr,9)+INDEX(ObjAfaDauer,9)),0,IF($C1266=INDEX(ObjKaufJahr,9),INDEX(ObjAfaJahr,9)*(13-INDEX(ObjKaufMonat,9))/12,INDEX(ObjAfaJahr,9)))</f>
      </c>
      <c r="Q1266" s="43">
        <f>$F1266-$G1266-$H1266-$I1266-$P1266</f>
      </c>
      <c r="R1266" s="43">
        <f>$Q1266*INDEX(ObjSteuersatz,9)/100</f>
      </c>
      <c r="S1266" s="43">
        <f>$I1266+$J1266+$K1266+$L1266</f>
      </c>
      <c r="T1266" s="43">
        <f>$F1266-$G1266-$H1266-$S1266</f>
      </c>
      <c r="U1266" s="43">
        <f>$T1266-$R1266</f>
      </c>
      <c r="V1266" s="43">
        <f>$O1266-$M1266</f>
      </c>
      <c r="W1266" s="43">
        <f>$J1266+$K1266+$L1266</f>
      </c>
      <c r="X1266" s="43">
        <f>IF($O1266=0,0,$M1266/$O1266*100)</f>
      </c>
    </row>
    <row r="1267">
      <c r="A1267"/>
      <c r="B1267">
        <v>9</v>
      </c>
      <c r="C1267" s="43">
        <f>Jahr+27</f>
      </c>
      <c r="D1267">
        <v>27</v>
      </c>
      <c r="E1267" s="43">
        <f>IF(INDEX(ObjKaufJahr,9)=0,0,IF($C1267&lt;INDEX(ObjKaufJahr,9),0,IF($C1267&gt;INDEX(ObjKaufJahr,9),12,13-INDEX(ObjKaufMonat,9))))/12</f>
      </c>
      <c r="F1267" s="43">
        <f>SUMIFS(MlSumme,MlObj,9,MlJahr,$C1267)*(1-Leerstand/100)</f>
      </c>
      <c r="G1267" s="43">
        <f>INDEX(ObjLaufend,9)*(1+(Inflation)/100)^MAX(0,27)*$E1267</f>
      </c>
      <c r="H1267" s="43">
        <f>INDEX(ObjInstandBasis,9)*(1+(Inflation)/100)^MAX(0,27)*$E1267</f>
      </c>
      <c r="I1267" s="43">
        <f>SUMIFS(TilgZins,TilgObj,9,TilgJahr,$C1267)</f>
      </c>
      <c r="J1267" s="43">
        <f>SUMIFS(TilgTilgung,TilgObj,9,TilgJahr,$C1267)</f>
      </c>
      <c r="K1267" s="43">
        <f>SUMIFS(TilgSonder,TilgObj,9,TilgJahr,$C1267)</f>
      </c>
      <c r="L1267" s="43">
        <f>SUMIFS(TilgErsatz,TilgObj,9,TilgJahr,$C1267)</f>
      </c>
      <c r="M1267" s="43">
        <f>MAX(0,SUMIF(DarlObj,9,DarlBetrag)-SUMIFS(TilgTilgung,TilgObj,9,TilgJahr,"&lt;="&amp;$C1267)-SUMIFS(TilgSonder,TilgObj,9,TilgJahr,"&lt;="&amp;$C1267))</f>
      </c>
      <c r="N1267" s="43">
        <f>SUMIFS(TilgErsatz,TilgObj,9,TilgJahr,"&lt;="&amp;$C1267)+SUMIFS(TilgErtrag,TilgObj,9,TilgJahr,"&lt;="&amp;$C1267)</f>
      </c>
      <c r="O1267" s="43">
        <f>INDEX(ObjWertEff,9)*(1+(Wertsteigerung)/100)^MAX(0,27)</f>
      </c>
      <c r="P1267" s="43">
        <f>IF(OR(INDEX(ObjAfaDauer,9)=0,INDEX(ObjAfaJahr,9)=0,$C1267&lt;INDEX(ObjKaufJahr,9),$C1267&gt;=INDEX(ObjKaufJahr,9)+INDEX(ObjAfaDauer,9)),0,IF($C1267=INDEX(ObjKaufJahr,9),INDEX(ObjAfaJahr,9)*(13-INDEX(ObjKaufMonat,9))/12,INDEX(ObjAfaJahr,9)))</f>
      </c>
      <c r="Q1267" s="43">
        <f>$F1267-$G1267-$H1267-$I1267-$P1267</f>
      </c>
      <c r="R1267" s="43">
        <f>$Q1267*INDEX(ObjSteuersatz,9)/100</f>
      </c>
      <c r="S1267" s="43">
        <f>$I1267+$J1267+$K1267+$L1267</f>
      </c>
      <c r="T1267" s="43">
        <f>$F1267-$G1267-$H1267-$S1267</f>
      </c>
      <c r="U1267" s="43">
        <f>$T1267-$R1267</f>
      </c>
      <c r="V1267" s="43">
        <f>$O1267-$M1267</f>
      </c>
      <c r="W1267" s="43">
        <f>$J1267+$K1267+$L1267</f>
      </c>
      <c r="X1267" s="43">
        <f>IF($O1267=0,0,$M1267/$O1267*100)</f>
      </c>
    </row>
    <row r="1268">
      <c r="A1268"/>
      <c r="B1268">
        <v>9</v>
      </c>
      <c r="C1268" s="43">
        <f>Jahr+28</f>
      </c>
      <c r="D1268">
        <v>28</v>
      </c>
      <c r="E1268" s="43">
        <f>IF(INDEX(ObjKaufJahr,9)=0,0,IF($C1268&lt;INDEX(ObjKaufJahr,9),0,IF($C1268&gt;INDEX(ObjKaufJahr,9),12,13-INDEX(ObjKaufMonat,9))))/12</f>
      </c>
      <c r="F1268" s="43">
        <f>SUMIFS(MlSumme,MlObj,9,MlJahr,$C1268)*(1-Leerstand/100)</f>
      </c>
      <c r="G1268" s="43">
        <f>INDEX(ObjLaufend,9)*(1+(Inflation)/100)^MAX(0,28)*$E1268</f>
      </c>
      <c r="H1268" s="43">
        <f>INDEX(ObjInstandBasis,9)*(1+(Inflation)/100)^MAX(0,28)*$E1268</f>
      </c>
      <c r="I1268" s="43">
        <f>SUMIFS(TilgZins,TilgObj,9,TilgJahr,$C1268)</f>
      </c>
      <c r="J1268" s="43">
        <f>SUMIFS(TilgTilgung,TilgObj,9,TilgJahr,$C1268)</f>
      </c>
      <c r="K1268" s="43">
        <f>SUMIFS(TilgSonder,TilgObj,9,TilgJahr,$C1268)</f>
      </c>
      <c r="L1268" s="43">
        <f>SUMIFS(TilgErsatz,TilgObj,9,TilgJahr,$C1268)</f>
      </c>
      <c r="M1268" s="43">
        <f>MAX(0,SUMIF(DarlObj,9,DarlBetrag)-SUMIFS(TilgTilgung,TilgObj,9,TilgJahr,"&lt;="&amp;$C1268)-SUMIFS(TilgSonder,TilgObj,9,TilgJahr,"&lt;="&amp;$C1268))</f>
      </c>
      <c r="N1268" s="43">
        <f>SUMIFS(TilgErsatz,TilgObj,9,TilgJahr,"&lt;="&amp;$C1268)+SUMIFS(TilgErtrag,TilgObj,9,TilgJahr,"&lt;="&amp;$C1268)</f>
      </c>
      <c r="O1268" s="43">
        <f>INDEX(ObjWertEff,9)*(1+(Wertsteigerung)/100)^MAX(0,28)</f>
      </c>
      <c r="P1268" s="43">
        <f>IF(OR(INDEX(ObjAfaDauer,9)=0,INDEX(ObjAfaJahr,9)=0,$C1268&lt;INDEX(ObjKaufJahr,9),$C1268&gt;=INDEX(ObjKaufJahr,9)+INDEX(ObjAfaDauer,9)),0,IF($C1268=INDEX(ObjKaufJahr,9),INDEX(ObjAfaJahr,9)*(13-INDEX(ObjKaufMonat,9))/12,INDEX(ObjAfaJahr,9)))</f>
      </c>
      <c r="Q1268" s="43">
        <f>$F1268-$G1268-$H1268-$I1268-$P1268</f>
      </c>
      <c r="R1268" s="43">
        <f>$Q1268*INDEX(ObjSteuersatz,9)/100</f>
      </c>
      <c r="S1268" s="43">
        <f>$I1268+$J1268+$K1268+$L1268</f>
      </c>
      <c r="T1268" s="43">
        <f>$F1268-$G1268-$H1268-$S1268</f>
      </c>
      <c r="U1268" s="43">
        <f>$T1268-$R1268</f>
      </c>
      <c r="V1268" s="43">
        <f>$O1268-$M1268</f>
      </c>
      <c r="W1268" s="43">
        <f>$J1268+$K1268+$L1268</f>
      </c>
      <c r="X1268" s="43">
        <f>IF($O1268=0,0,$M1268/$O1268*100)</f>
      </c>
    </row>
    <row r="1269">
      <c r="A1269"/>
      <c r="B1269">
        <v>9</v>
      </c>
      <c r="C1269" s="43">
        <f>Jahr+29</f>
      </c>
      <c r="D1269">
        <v>29</v>
      </c>
      <c r="E1269" s="43">
        <f>IF(INDEX(ObjKaufJahr,9)=0,0,IF($C1269&lt;INDEX(ObjKaufJahr,9),0,IF($C1269&gt;INDEX(ObjKaufJahr,9),12,13-INDEX(ObjKaufMonat,9))))/12</f>
      </c>
      <c r="F1269" s="43">
        <f>SUMIFS(MlSumme,MlObj,9,MlJahr,$C1269)*(1-Leerstand/100)</f>
      </c>
      <c r="G1269" s="43">
        <f>INDEX(ObjLaufend,9)*(1+(Inflation)/100)^MAX(0,29)*$E1269</f>
      </c>
      <c r="H1269" s="43">
        <f>INDEX(ObjInstandBasis,9)*(1+(Inflation)/100)^MAX(0,29)*$E1269</f>
      </c>
      <c r="I1269" s="43">
        <f>SUMIFS(TilgZins,TilgObj,9,TilgJahr,$C1269)</f>
      </c>
      <c r="J1269" s="43">
        <f>SUMIFS(TilgTilgung,TilgObj,9,TilgJahr,$C1269)</f>
      </c>
      <c r="K1269" s="43">
        <f>SUMIFS(TilgSonder,TilgObj,9,TilgJahr,$C1269)</f>
      </c>
      <c r="L1269" s="43">
        <f>SUMIFS(TilgErsatz,TilgObj,9,TilgJahr,$C1269)</f>
      </c>
      <c r="M1269" s="43">
        <f>MAX(0,SUMIF(DarlObj,9,DarlBetrag)-SUMIFS(TilgTilgung,TilgObj,9,TilgJahr,"&lt;="&amp;$C1269)-SUMIFS(TilgSonder,TilgObj,9,TilgJahr,"&lt;="&amp;$C1269))</f>
      </c>
      <c r="N1269" s="43">
        <f>SUMIFS(TilgErsatz,TilgObj,9,TilgJahr,"&lt;="&amp;$C1269)+SUMIFS(TilgErtrag,TilgObj,9,TilgJahr,"&lt;="&amp;$C1269)</f>
      </c>
      <c r="O1269" s="43">
        <f>INDEX(ObjWertEff,9)*(1+(Wertsteigerung)/100)^MAX(0,29)</f>
      </c>
      <c r="P1269" s="43">
        <f>IF(OR(INDEX(ObjAfaDauer,9)=0,INDEX(ObjAfaJahr,9)=0,$C1269&lt;INDEX(ObjKaufJahr,9),$C1269&gt;=INDEX(ObjKaufJahr,9)+INDEX(ObjAfaDauer,9)),0,IF($C1269=INDEX(ObjKaufJahr,9),INDEX(ObjAfaJahr,9)*(13-INDEX(ObjKaufMonat,9))/12,INDEX(ObjAfaJahr,9)))</f>
      </c>
      <c r="Q1269" s="43">
        <f>$F1269-$G1269-$H1269-$I1269-$P1269</f>
      </c>
      <c r="R1269" s="43">
        <f>$Q1269*INDEX(ObjSteuersatz,9)/100</f>
      </c>
      <c r="S1269" s="43">
        <f>$I1269+$J1269+$K1269+$L1269</f>
      </c>
      <c r="T1269" s="43">
        <f>$F1269-$G1269-$H1269-$S1269</f>
      </c>
      <c r="U1269" s="43">
        <f>$T1269-$R1269</f>
      </c>
      <c r="V1269" s="43">
        <f>$O1269-$M1269</f>
      </c>
      <c r="W1269" s="43">
        <f>$J1269+$K1269+$L1269</f>
      </c>
      <c r="X1269" s="43">
        <f>IF($O1269=0,0,$M1269/$O1269*100)</f>
      </c>
    </row>
    <row r="1270">
      <c r="A1270"/>
      <c r="B1270">
        <v>9</v>
      </c>
      <c r="C1270" s="43">
        <f>Jahr+30</f>
      </c>
      <c r="D1270">
        <v>30</v>
      </c>
      <c r="E1270" s="43">
        <f>IF(INDEX(ObjKaufJahr,9)=0,0,IF($C1270&lt;INDEX(ObjKaufJahr,9),0,IF($C1270&gt;INDEX(ObjKaufJahr,9),12,13-INDEX(ObjKaufMonat,9))))/12</f>
      </c>
      <c r="F1270" s="43">
        <f>SUMIFS(MlSumme,MlObj,9,MlJahr,$C1270)*(1-Leerstand/100)</f>
      </c>
      <c r="G1270" s="43">
        <f>INDEX(ObjLaufend,9)*(1+(Inflation)/100)^MAX(0,30)*$E1270</f>
      </c>
      <c r="H1270" s="43">
        <f>INDEX(ObjInstandBasis,9)*(1+(Inflation)/100)^MAX(0,30)*$E1270</f>
      </c>
      <c r="I1270" s="43">
        <f>SUMIFS(TilgZins,TilgObj,9,TilgJahr,$C1270)</f>
      </c>
      <c r="J1270" s="43">
        <f>SUMIFS(TilgTilgung,TilgObj,9,TilgJahr,$C1270)</f>
      </c>
      <c r="K1270" s="43">
        <f>SUMIFS(TilgSonder,TilgObj,9,TilgJahr,$C1270)</f>
      </c>
      <c r="L1270" s="43">
        <f>SUMIFS(TilgErsatz,TilgObj,9,TilgJahr,$C1270)</f>
      </c>
      <c r="M1270" s="43">
        <f>MAX(0,SUMIF(DarlObj,9,DarlBetrag)-SUMIFS(TilgTilgung,TilgObj,9,TilgJahr,"&lt;="&amp;$C1270)-SUMIFS(TilgSonder,TilgObj,9,TilgJahr,"&lt;="&amp;$C1270))</f>
      </c>
      <c r="N1270" s="43">
        <f>SUMIFS(TilgErsatz,TilgObj,9,TilgJahr,"&lt;="&amp;$C1270)+SUMIFS(TilgErtrag,TilgObj,9,TilgJahr,"&lt;="&amp;$C1270)</f>
      </c>
      <c r="O1270" s="43">
        <f>INDEX(ObjWertEff,9)*(1+(Wertsteigerung)/100)^MAX(0,30)</f>
      </c>
      <c r="P1270" s="43">
        <f>IF(OR(INDEX(ObjAfaDauer,9)=0,INDEX(ObjAfaJahr,9)=0,$C1270&lt;INDEX(ObjKaufJahr,9),$C1270&gt;=INDEX(ObjKaufJahr,9)+INDEX(ObjAfaDauer,9)),0,IF($C1270=INDEX(ObjKaufJahr,9),INDEX(ObjAfaJahr,9)*(13-INDEX(ObjKaufMonat,9))/12,INDEX(ObjAfaJahr,9)))</f>
      </c>
      <c r="Q1270" s="43">
        <f>$F1270-$G1270-$H1270-$I1270-$P1270</f>
      </c>
      <c r="R1270" s="43">
        <f>$Q1270*INDEX(ObjSteuersatz,9)/100</f>
      </c>
      <c r="S1270" s="43">
        <f>$I1270+$J1270+$K1270+$L1270</f>
      </c>
      <c r="T1270" s="43">
        <f>$F1270-$G1270-$H1270-$S1270</f>
      </c>
      <c r="U1270" s="43">
        <f>$T1270-$R1270</f>
      </c>
      <c r="V1270" s="43">
        <f>$O1270-$M1270</f>
      </c>
      <c r="W1270" s="43">
        <f>$J1270+$K1270+$L1270</f>
      </c>
      <c r="X1270" s="43">
        <f>IF($O1270=0,0,$M1270/$O1270*100)</f>
      </c>
    </row>
    <row r="1271">
      <c r="A1271"/>
      <c r="B1271">
        <v>10</v>
      </c>
      <c r="C1271" s="43">
        <f>Jahr+0</f>
      </c>
      <c r="D1271">
        <v>0</v>
      </c>
      <c r="E1271" s="43">
        <f>IF(INDEX(ObjKaufJahr,10)=0,0,IF($C1271&lt;INDEX(ObjKaufJahr,10),0,IF($C1271&gt;INDEX(ObjKaufJahr,10),12,13-INDEX(ObjKaufMonat,10))))/12</f>
      </c>
      <c r="F1271" s="43">
        <f>SUMIFS(MlSumme,MlObj,10,MlJahr,$C1271)*(1-Leerstand/100)</f>
      </c>
      <c r="G1271" s="43">
        <f>INDEX(ObjLaufend,10)*(1+(Inflation)/100)^MAX(0,0)*$E1271</f>
      </c>
      <c r="H1271" s="43">
        <f>INDEX(ObjInstandBasis,10)*(1+(Inflation)/100)^MAX(0,0)*$E1271</f>
      </c>
      <c r="I1271" s="43">
        <f>SUMIFS(TilgZins,TilgObj,10,TilgJahr,$C1271)</f>
      </c>
      <c r="J1271" s="43">
        <f>SUMIFS(TilgTilgung,TilgObj,10,TilgJahr,$C1271)</f>
      </c>
      <c r="K1271" s="43">
        <f>SUMIFS(TilgSonder,TilgObj,10,TilgJahr,$C1271)</f>
      </c>
      <c r="L1271" s="43">
        <f>SUMIFS(TilgErsatz,TilgObj,10,TilgJahr,$C1271)</f>
      </c>
      <c r="M1271" s="43">
        <f>MAX(0,SUMIF(DarlObj,10,DarlBetrag)-SUMIFS(TilgTilgung,TilgObj,10,TilgJahr,"&lt;="&amp;$C1271)-SUMIFS(TilgSonder,TilgObj,10,TilgJahr,"&lt;="&amp;$C1271))</f>
      </c>
      <c r="N1271" s="43">
        <f>SUMIFS(TilgErsatz,TilgObj,10,TilgJahr,"&lt;="&amp;$C1271)+SUMIFS(TilgErtrag,TilgObj,10,TilgJahr,"&lt;="&amp;$C1271)</f>
      </c>
      <c r="O1271" s="43">
        <f>INDEX(ObjWertEff,10)*(1+(Wertsteigerung)/100)^MAX(0,0)</f>
      </c>
      <c r="P1271" s="43">
        <f>IF(OR(INDEX(ObjAfaDauer,10)=0,INDEX(ObjAfaJahr,10)=0,$C1271&lt;INDEX(ObjKaufJahr,10),$C1271&gt;=INDEX(ObjKaufJahr,10)+INDEX(ObjAfaDauer,10)),0,IF($C1271=INDEX(ObjKaufJahr,10),INDEX(ObjAfaJahr,10)*(13-INDEX(ObjKaufMonat,10))/12,INDEX(ObjAfaJahr,10)))</f>
      </c>
      <c r="Q1271" s="43">
        <f>$F1271-$G1271-$H1271-$I1271-$P1271</f>
      </c>
      <c r="R1271" s="43">
        <f>$Q1271*INDEX(ObjSteuersatz,10)/100</f>
      </c>
      <c r="S1271" s="43">
        <f>$I1271+$J1271+$K1271+$L1271</f>
      </c>
      <c r="T1271" s="43">
        <f>$F1271-$G1271-$H1271-$S1271</f>
      </c>
      <c r="U1271" s="43">
        <f>$T1271-$R1271</f>
      </c>
      <c r="V1271" s="43">
        <f>$O1271-$M1271</f>
      </c>
      <c r="W1271" s="43">
        <f>$J1271+$K1271+$L1271</f>
      </c>
      <c r="X1271" s="43">
        <f>IF($O1271=0,0,$M1271/$O1271*100)</f>
      </c>
    </row>
    <row r="1272">
      <c r="A1272"/>
      <c r="B1272">
        <v>10</v>
      </c>
      <c r="C1272" s="43">
        <f>Jahr+1</f>
      </c>
      <c r="D1272">
        <v>1</v>
      </c>
      <c r="E1272" s="43">
        <f>IF(INDEX(ObjKaufJahr,10)=0,0,IF($C1272&lt;INDEX(ObjKaufJahr,10),0,IF($C1272&gt;INDEX(ObjKaufJahr,10),12,13-INDEX(ObjKaufMonat,10))))/12</f>
      </c>
      <c r="F1272" s="43">
        <f>SUMIFS(MlSumme,MlObj,10,MlJahr,$C1272)*(1-Leerstand/100)</f>
      </c>
      <c r="G1272" s="43">
        <f>INDEX(ObjLaufend,10)*(1+(Inflation)/100)^MAX(0,1)*$E1272</f>
      </c>
      <c r="H1272" s="43">
        <f>INDEX(ObjInstandBasis,10)*(1+(Inflation)/100)^MAX(0,1)*$E1272</f>
      </c>
      <c r="I1272" s="43">
        <f>SUMIFS(TilgZins,TilgObj,10,TilgJahr,$C1272)</f>
      </c>
      <c r="J1272" s="43">
        <f>SUMIFS(TilgTilgung,TilgObj,10,TilgJahr,$C1272)</f>
      </c>
      <c r="K1272" s="43">
        <f>SUMIFS(TilgSonder,TilgObj,10,TilgJahr,$C1272)</f>
      </c>
      <c r="L1272" s="43">
        <f>SUMIFS(TilgErsatz,TilgObj,10,TilgJahr,$C1272)</f>
      </c>
      <c r="M1272" s="43">
        <f>MAX(0,SUMIF(DarlObj,10,DarlBetrag)-SUMIFS(TilgTilgung,TilgObj,10,TilgJahr,"&lt;="&amp;$C1272)-SUMIFS(TilgSonder,TilgObj,10,TilgJahr,"&lt;="&amp;$C1272))</f>
      </c>
      <c r="N1272" s="43">
        <f>SUMIFS(TilgErsatz,TilgObj,10,TilgJahr,"&lt;="&amp;$C1272)+SUMIFS(TilgErtrag,TilgObj,10,TilgJahr,"&lt;="&amp;$C1272)</f>
      </c>
      <c r="O1272" s="43">
        <f>INDEX(ObjWertEff,10)*(1+(Wertsteigerung)/100)^MAX(0,1)</f>
      </c>
      <c r="P1272" s="43">
        <f>IF(OR(INDEX(ObjAfaDauer,10)=0,INDEX(ObjAfaJahr,10)=0,$C1272&lt;INDEX(ObjKaufJahr,10),$C1272&gt;=INDEX(ObjKaufJahr,10)+INDEX(ObjAfaDauer,10)),0,IF($C1272=INDEX(ObjKaufJahr,10),INDEX(ObjAfaJahr,10)*(13-INDEX(ObjKaufMonat,10))/12,INDEX(ObjAfaJahr,10)))</f>
      </c>
      <c r="Q1272" s="43">
        <f>$F1272-$G1272-$H1272-$I1272-$P1272</f>
      </c>
      <c r="R1272" s="43">
        <f>$Q1272*INDEX(ObjSteuersatz,10)/100</f>
      </c>
      <c r="S1272" s="43">
        <f>$I1272+$J1272+$K1272+$L1272</f>
      </c>
      <c r="T1272" s="43">
        <f>$F1272-$G1272-$H1272-$S1272</f>
      </c>
      <c r="U1272" s="43">
        <f>$T1272-$R1272</f>
      </c>
      <c r="V1272" s="43">
        <f>$O1272-$M1272</f>
      </c>
      <c r="W1272" s="43">
        <f>$J1272+$K1272+$L1272</f>
      </c>
      <c r="X1272" s="43">
        <f>IF($O1272=0,0,$M1272/$O1272*100)</f>
      </c>
    </row>
    <row r="1273">
      <c r="A1273"/>
      <c r="B1273">
        <v>10</v>
      </c>
      <c r="C1273" s="43">
        <f>Jahr+2</f>
      </c>
      <c r="D1273">
        <v>2</v>
      </c>
      <c r="E1273" s="43">
        <f>IF(INDEX(ObjKaufJahr,10)=0,0,IF($C1273&lt;INDEX(ObjKaufJahr,10),0,IF($C1273&gt;INDEX(ObjKaufJahr,10),12,13-INDEX(ObjKaufMonat,10))))/12</f>
      </c>
      <c r="F1273" s="43">
        <f>SUMIFS(MlSumme,MlObj,10,MlJahr,$C1273)*(1-Leerstand/100)</f>
      </c>
      <c r="G1273" s="43">
        <f>INDEX(ObjLaufend,10)*(1+(Inflation)/100)^MAX(0,2)*$E1273</f>
      </c>
      <c r="H1273" s="43">
        <f>INDEX(ObjInstandBasis,10)*(1+(Inflation)/100)^MAX(0,2)*$E1273</f>
      </c>
      <c r="I1273" s="43">
        <f>SUMIFS(TilgZins,TilgObj,10,TilgJahr,$C1273)</f>
      </c>
      <c r="J1273" s="43">
        <f>SUMIFS(TilgTilgung,TilgObj,10,TilgJahr,$C1273)</f>
      </c>
      <c r="K1273" s="43">
        <f>SUMIFS(TilgSonder,TilgObj,10,TilgJahr,$C1273)</f>
      </c>
      <c r="L1273" s="43">
        <f>SUMIFS(TilgErsatz,TilgObj,10,TilgJahr,$C1273)</f>
      </c>
      <c r="M1273" s="43">
        <f>MAX(0,SUMIF(DarlObj,10,DarlBetrag)-SUMIFS(TilgTilgung,TilgObj,10,TilgJahr,"&lt;="&amp;$C1273)-SUMIFS(TilgSonder,TilgObj,10,TilgJahr,"&lt;="&amp;$C1273))</f>
      </c>
      <c r="N1273" s="43">
        <f>SUMIFS(TilgErsatz,TilgObj,10,TilgJahr,"&lt;="&amp;$C1273)+SUMIFS(TilgErtrag,TilgObj,10,TilgJahr,"&lt;="&amp;$C1273)</f>
      </c>
      <c r="O1273" s="43">
        <f>INDEX(ObjWertEff,10)*(1+(Wertsteigerung)/100)^MAX(0,2)</f>
      </c>
      <c r="P1273" s="43">
        <f>IF(OR(INDEX(ObjAfaDauer,10)=0,INDEX(ObjAfaJahr,10)=0,$C1273&lt;INDEX(ObjKaufJahr,10),$C1273&gt;=INDEX(ObjKaufJahr,10)+INDEX(ObjAfaDauer,10)),0,IF($C1273=INDEX(ObjKaufJahr,10),INDEX(ObjAfaJahr,10)*(13-INDEX(ObjKaufMonat,10))/12,INDEX(ObjAfaJahr,10)))</f>
      </c>
      <c r="Q1273" s="43">
        <f>$F1273-$G1273-$H1273-$I1273-$P1273</f>
      </c>
      <c r="R1273" s="43">
        <f>$Q1273*INDEX(ObjSteuersatz,10)/100</f>
      </c>
      <c r="S1273" s="43">
        <f>$I1273+$J1273+$K1273+$L1273</f>
      </c>
      <c r="T1273" s="43">
        <f>$F1273-$G1273-$H1273-$S1273</f>
      </c>
      <c r="U1273" s="43">
        <f>$T1273-$R1273</f>
      </c>
      <c r="V1273" s="43">
        <f>$O1273-$M1273</f>
      </c>
      <c r="W1273" s="43">
        <f>$J1273+$K1273+$L1273</f>
      </c>
      <c r="X1273" s="43">
        <f>IF($O1273=0,0,$M1273/$O1273*100)</f>
      </c>
    </row>
    <row r="1274">
      <c r="A1274"/>
      <c r="B1274">
        <v>10</v>
      </c>
      <c r="C1274" s="43">
        <f>Jahr+3</f>
      </c>
      <c r="D1274">
        <v>3</v>
      </c>
      <c r="E1274" s="43">
        <f>IF(INDEX(ObjKaufJahr,10)=0,0,IF($C1274&lt;INDEX(ObjKaufJahr,10),0,IF($C1274&gt;INDEX(ObjKaufJahr,10),12,13-INDEX(ObjKaufMonat,10))))/12</f>
      </c>
      <c r="F1274" s="43">
        <f>SUMIFS(MlSumme,MlObj,10,MlJahr,$C1274)*(1-Leerstand/100)</f>
      </c>
      <c r="G1274" s="43">
        <f>INDEX(ObjLaufend,10)*(1+(Inflation)/100)^MAX(0,3)*$E1274</f>
      </c>
      <c r="H1274" s="43">
        <f>INDEX(ObjInstandBasis,10)*(1+(Inflation)/100)^MAX(0,3)*$E1274</f>
      </c>
      <c r="I1274" s="43">
        <f>SUMIFS(TilgZins,TilgObj,10,TilgJahr,$C1274)</f>
      </c>
      <c r="J1274" s="43">
        <f>SUMIFS(TilgTilgung,TilgObj,10,TilgJahr,$C1274)</f>
      </c>
      <c r="K1274" s="43">
        <f>SUMIFS(TilgSonder,TilgObj,10,TilgJahr,$C1274)</f>
      </c>
      <c r="L1274" s="43">
        <f>SUMIFS(TilgErsatz,TilgObj,10,TilgJahr,$C1274)</f>
      </c>
      <c r="M1274" s="43">
        <f>MAX(0,SUMIF(DarlObj,10,DarlBetrag)-SUMIFS(TilgTilgung,TilgObj,10,TilgJahr,"&lt;="&amp;$C1274)-SUMIFS(TilgSonder,TilgObj,10,TilgJahr,"&lt;="&amp;$C1274))</f>
      </c>
      <c r="N1274" s="43">
        <f>SUMIFS(TilgErsatz,TilgObj,10,TilgJahr,"&lt;="&amp;$C1274)+SUMIFS(TilgErtrag,TilgObj,10,TilgJahr,"&lt;="&amp;$C1274)</f>
      </c>
      <c r="O1274" s="43">
        <f>INDEX(ObjWertEff,10)*(1+(Wertsteigerung)/100)^MAX(0,3)</f>
      </c>
      <c r="P1274" s="43">
        <f>IF(OR(INDEX(ObjAfaDauer,10)=0,INDEX(ObjAfaJahr,10)=0,$C1274&lt;INDEX(ObjKaufJahr,10),$C1274&gt;=INDEX(ObjKaufJahr,10)+INDEX(ObjAfaDauer,10)),0,IF($C1274=INDEX(ObjKaufJahr,10),INDEX(ObjAfaJahr,10)*(13-INDEX(ObjKaufMonat,10))/12,INDEX(ObjAfaJahr,10)))</f>
      </c>
      <c r="Q1274" s="43">
        <f>$F1274-$G1274-$H1274-$I1274-$P1274</f>
      </c>
      <c r="R1274" s="43">
        <f>$Q1274*INDEX(ObjSteuersatz,10)/100</f>
      </c>
      <c r="S1274" s="43">
        <f>$I1274+$J1274+$K1274+$L1274</f>
      </c>
      <c r="T1274" s="43">
        <f>$F1274-$G1274-$H1274-$S1274</f>
      </c>
      <c r="U1274" s="43">
        <f>$T1274-$R1274</f>
      </c>
      <c r="V1274" s="43">
        <f>$O1274-$M1274</f>
      </c>
      <c r="W1274" s="43">
        <f>$J1274+$K1274+$L1274</f>
      </c>
      <c r="X1274" s="43">
        <f>IF($O1274=0,0,$M1274/$O1274*100)</f>
      </c>
    </row>
    <row r="1275">
      <c r="A1275"/>
      <c r="B1275">
        <v>10</v>
      </c>
      <c r="C1275" s="43">
        <f>Jahr+4</f>
      </c>
      <c r="D1275">
        <v>4</v>
      </c>
      <c r="E1275" s="43">
        <f>IF(INDEX(ObjKaufJahr,10)=0,0,IF($C1275&lt;INDEX(ObjKaufJahr,10),0,IF($C1275&gt;INDEX(ObjKaufJahr,10),12,13-INDEX(ObjKaufMonat,10))))/12</f>
      </c>
      <c r="F1275" s="43">
        <f>SUMIFS(MlSumme,MlObj,10,MlJahr,$C1275)*(1-Leerstand/100)</f>
      </c>
      <c r="G1275" s="43">
        <f>INDEX(ObjLaufend,10)*(1+(Inflation)/100)^MAX(0,4)*$E1275</f>
      </c>
      <c r="H1275" s="43">
        <f>INDEX(ObjInstandBasis,10)*(1+(Inflation)/100)^MAX(0,4)*$E1275</f>
      </c>
      <c r="I1275" s="43">
        <f>SUMIFS(TilgZins,TilgObj,10,TilgJahr,$C1275)</f>
      </c>
      <c r="J1275" s="43">
        <f>SUMIFS(TilgTilgung,TilgObj,10,TilgJahr,$C1275)</f>
      </c>
      <c r="K1275" s="43">
        <f>SUMIFS(TilgSonder,TilgObj,10,TilgJahr,$C1275)</f>
      </c>
      <c r="L1275" s="43">
        <f>SUMIFS(TilgErsatz,TilgObj,10,TilgJahr,$C1275)</f>
      </c>
      <c r="M1275" s="43">
        <f>MAX(0,SUMIF(DarlObj,10,DarlBetrag)-SUMIFS(TilgTilgung,TilgObj,10,TilgJahr,"&lt;="&amp;$C1275)-SUMIFS(TilgSonder,TilgObj,10,TilgJahr,"&lt;="&amp;$C1275))</f>
      </c>
      <c r="N1275" s="43">
        <f>SUMIFS(TilgErsatz,TilgObj,10,TilgJahr,"&lt;="&amp;$C1275)+SUMIFS(TilgErtrag,TilgObj,10,TilgJahr,"&lt;="&amp;$C1275)</f>
      </c>
      <c r="O1275" s="43">
        <f>INDEX(ObjWertEff,10)*(1+(Wertsteigerung)/100)^MAX(0,4)</f>
      </c>
      <c r="P1275" s="43">
        <f>IF(OR(INDEX(ObjAfaDauer,10)=0,INDEX(ObjAfaJahr,10)=0,$C1275&lt;INDEX(ObjKaufJahr,10),$C1275&gt;=INDEX(ObjKaufJahr,10)+INDEX(ObjAfaDauer,10)),0,IF($C1275=INDEX(ObjKaufJahr,10),INDEX(ObjAfaJahr,10)*(13-INDEX(ObjKaufMonat,10))/12,INDEX(ObjAfaJahr,10)))</f>
      </c>
      <c r="Q1275" s="43">
        <f>$F1275-$G1275-$H1275-$I1275-$P1275</f>
      </c>
      <c r="R1275" s="43">
        <f>$Q1275*INDEX(ObjSteuersatz,10)/100</f>
      </c>
      <c r="S1275" s="43">
        <f>$I1275+$J1275+$K1275+$L1275</f>
      </c>
      <c r="T1275" s="43">
        <f>$F1275-$G1275-$H1275-$S1275</f>
      </c>
      <c r="U1275" s="43">
        <f>$T1275-$R1275</f>
      </c>
      <c r="V1275" s="43">
        <f>$O1275-$M1275</f>
      </c>
      <c r="W1275" s="43">
        <f>$J1275+$K1275+$L1275</f>
      </c>
      <c r="X1275" s="43">
        <f>IF($O1275=0,0,$M1275/$O1275*100)</f>
      </c>
    </row>
    <row r="1276">
      <c r="A1276"/>
      <c r="B1276">
        <v>10</v>
      </c>
      <c r="C1276" s="43">
        <f>Jahr+5</f>
      </c>
      <c r="D1276">
        <v>5</v>
      </c>
      <c r="E1276" s="43">
        <f>IF(INDEX(ObjKaufJahr,10)=0,0,IF($C1276&lt;INDEX(ObjKaufJahr,10),0,IF($C1276&gt;INDEX(ObjKaufJahr,10),12,13-INDEX(ObjKaufMonat,10))))/12</f>
      </c>
      <c r="F1276" s="43">
        <f>SUMIFS(MlSumme,MlObj,10,MlJahr,$C1276)*(1-Leerstand/100)</f>
      </c>
      <c r="G1276" s="43">
        <f>INDEX(ObjLaufend,10)*(1+(Inflation)/100)^MAX(0,5)*$E1276</f>
      </c>
      <c r="H1276" s="43">
        <f>INDEX(ObjInstandBasis,10)*(1+(Inflation)/100)^MAX(0,5)*$E1276</f>
      </c>
      <c r="I1276" s="43">
        <f>SUMIFS(TilgZins,TilgObj,10,TilgJahr,$C1276)</f>
      </c>
      <c r="J1276" s="43">
        <f>SUMIFS(TilgTilgung,TilgObj,10,TilgJahr,$C1276)</f>
      </c>
      <c r="K1276" s="43">
        <f>SUMIFS(TilgSonder,TilgObj,10,TilgJahr,$C1276)</f>
      </c>
      <c r="L1276" s="43">
        <f>SUMIFS(TilgErsatz,TilgObj,10,TilgJahr,$C1276)</f>
      </c>
      <c r="M1276" s="43">
        <f>MAX(0,SUMIF(DarlObj,10,DarlBetrag)-SUMIFS(TilgTilgung,TilgObj,10,TilgJahr,"&lt;="&amp;$C1276)-SUMIFS(TilgSonder,TilgObj,10,TilgJahr,"&lt;="&amp;$C1276))</f>
      </c>
      <c r="N1276" s="43">
        <f>SUMIFS(TilgErsatz,TilgObj,10,TilgJahr,"&lt;="&amp;$C1276)+SUMIFS(TilgErtrag,TilgObj,10,TilgJahr,"&lt;="&amp;$C1276)</f>
      </c>
      <c r="O1276" s="43">
        <f>INDEX(ObjWertEff,10)*(1+(Wertsteigerung)/100)^MAX(0,5)</f>
      </c>
      <c r="P1276" s="43">
        <f>IF(OR(INDEX(ObjAfaDauer,10)=0,INDEX(ObjAfaJahr,10)=0,$C1276&lt;INDEX(ObjKaufJahr,10),$C1276&gt;=INDEX(ObjKaufJahr,10)+INDEX(ObjAfaDauer,10)),0,IF($C1276=INDEX(ObjKaufJahr,10),INDEX(ObjAfaJahr,10)*(13-INDEX(ObjKaufMonat,10))/12,INDEX(ObjAfaJahr,10)))</f>
      </c>
      <c r="Q1276" s="43">
        <f>$F1276-$G1276-$H1276-$I1276-$P1276</f>
      </c>
      <c r="R1276" s="43">
        <f>$Q1276*INDEX(ObjSteuersatz,10)/100</f>
      </c>
      <c r="S1276" s="43">
        <f>$I1276+$J1276+$K1276+$L1276</f>
      </c>
      <c r="T1276" s="43">
        <f>$F1276-$G1276-$H1276-$S1276</f>
      </c>
      <c r="U1276" s="43">
        <f>$T1276-$R1276</f>
      </c>
      <c r="V1276" s="43">
        <f>$O1276-$M1276</f>
      </c>
      <c r="W1276" s="43">
        <f>$J1276+$K1276+$L1276</f>
      </c>
      <c r="X1276" s="43">
        <f>IF($O1276=0,0,$M1276/$O1276*100)</f>
      </c>
    </row>
    <row r="1277">
      <c r="A1277"/>
      <c r="B1277">
        <v>10</v>
      </c>
      <c r="C1277" s="43">
        <f>Jahr+6</f>
      </c>
      <c r="D1277">
        <v>6</v>
      </c>
      <c r="E1277" s="43">
        <f>IF(INDEX(ObjKaufJahr,10)=0,0,IF($C1277&lt;INDEX(ObjKaufJahr,10),0,IF($C1277&gt;INDEX(ObjKaufJahr,10),12,13-INDEX(ObjKaufMonat,10))))/12</f>
      </c>
      <c r="F1277" s="43">
        <f>SUMIFS(MlSumme,MlObj,10,MlJahr,$C1277)*(1-Leerstand/100)</f>
      </c>
      <c r="G1277" s="43">
        <f>INDEX(ObjLaufend,10)*(1+(Inflation)/100)^MAX(0,6)*$E1277</f>
      </c>
      <c r="H1277" s="43">
        <f>INDEX(ObjInstandBasis,10)*(1+(Inflation)/100)^MAX(0,6)*$E1277</f>
      </c>
      <c r="I1277" s="43">
        <f>SUMIFS(TilgZins,TilgObj,10,TilgJahr,$C1277)</f>
      </c>
      <c r="J1277" s="43">
        <f>SUMIFS(TilgTilgung,TilgObj,10,TilgJahr,$C1277)</f>
      </c>
      <c r="K1277" s="43">
        <f>SUMIFS(TilgSonder,TilgObj,10,TilgJahr,$C1277)</f>
      </c>
      <c r="L1277" s="43">
        <f>SUMIFS(TilgErsatz,TilgObj,10,TilgJahr,$C1277)</f>
      </c>
      <c r="M1277" s="43">
        <f>MAX(0,SUMIF(DarlObj,10,DarlBetrag)-SUMIFS(TilgTilgung,TilgObj,10,TilgJahr,"&lt;="&amp;$C1277)-SUMIFS(TilgSonder,TilgObj,10,TilgJahr,"&lt;="&amp;$C1277))</f>
      </c>
      <c r="N1277" s="43">
        <f>SUMIFS(TilgErsatz,TilgObj,10,TilgJahr,"&lt;="&amp;$C1277)+SUMIFS(TilgErtrag,TilgObj,10,TilgJahr,"&lt;="&amp;$C1277)</f>
      </c>
      <c r="O1277" s="43">
        <f>INDEX(ObjWertEff,10)*(1+(Wertsteigerung)/100)^MAX(0,6)</f>
      </c>
      <c r="P1277" s="43">
        <f>IF(OR(INDEX(ObjAfaDauer,10)=0,INDEX(ObjAfaJahr,10)=0,$C1277&lt;INDEX(ObjKaufJahr,10),$C1277&gt;=INDEX(ObjKaufJahr,10)+INDEX(ObjAfaDauer,10)),0,IF($C1277=INDEX(ObjKaufJahr,10),INDEX(ObjAfaJahr,10)*(13-INDEX(ObjKaufMonat,10))/12,INDEX(ObjAfaJahr,10)))</f>
      </c>
      <c r="Q1277" s="43">
        <f>$F1277-$G1277-$H1277-$I1277-$P1277</f>
      </c>
      <c r="R1277" s="43">
        <f>$Q1277*INDEX(ObjSteuersatz,10)/100</f>
      </c>
      <c r="S1277" s="43">
        <f>$I1277+$J1277+$K1277+$L1277</f>
      </c>
      <c r="T1277" s="43">
        <f>$F1277-$G1277-$H1277-$S1277</f>
      </c>
      <c r="U1277" s="43">
        <f>$T1277-$R1277</f>
      </c>
      <c r="V1277" s="43">
        <f>$O1277-$M1277</f>
      </c>
      <c r="W1277" s="43">
        <f>$J1277+$K1277+$L1277</f>
      </c>
      <c r="X1277" s="43">
        <f>IF($O1277=0,0,$M1277/$O1277*100)</f>
      </c>
    </row>
    <row r="1278">
      <c r="A1278"/>
      <c r="B1278">
        <v>10</v>
      </c>
      <c r="C1278" s="43">
        <f>Jahr+7</f>
      </c>
      <c r="D1278">
        <v>7</v>
      </c>
      <c r="E1278" s="43">
        <f>IF(INDEX(ObjKaufJahr,10)=0,0,IF($C1278&lt;INDEX(ObjKaufJahr,10),0,IF($C1278&gt;INDEX(ObjKaufJahr,10),12,13-INDEX(ObjKaufMonat,10))))/12</f>
      </c>
      <c r="F1278" s="43">
        <f>SUMIFS(MlSumme,MlObj,10,MlJahr,$C1278)*(1-Leerstand/100)</f>
      </c>
      <c r="G1278" s="43">
        <f>INDEX(ObjLaufend,10)*(1+(Inflation)/100)^MAX(0,7)*$E1278</f>
      </c>
      <c r="H1278" s="43">
        <f>INDEX(ObjInstandBasis,10)*(1+(Inflation)/100)^MAX(0,7)*$E1278</f>
      </c>
      <c r="I1278" s="43">
        <f>SUMIFS(TilgZins,TilgObj,10,TilgJahr,$C1278)</f>
      </c>
      <c r="J1278" s="43">
        <f>SUMIFS(TilgTilgung,TilgObj,10,TilgJahr,$C1278)</f>
      </c>
      <c r="K1278" s="43">
        <f>SUMIFS(TilgSonder,TilgObj,10,TilgJahr,$C1278)</f>
      </c>
      <c r="L1278" s="43">
        <f>SUMIFS(TilgErsatz,TilgObj,10,TilgJahr,$C1278)</f>
      </c>
      <c r="M1278" s="43">
        <f>MAX(0,SUMIF(DarlObj,10,DarlBetrag)-SUMIFS(TilgTilgung,TilgObj,10,TilgJahr,"&lt;="&amp;$C1278)-SUMIFS(TilgSonder,TilgObj,10,TilgJahr,"&lt;="&amp;$C1278))</f>
      </c>
      <c r="N1278" s="43">
        <f>SUMIFS(TilgErsatz,TilgObj,10,TilgJahr,"&lt;="&amp;$C1278)+SUMIFS(TilgErtrag,TilgObj,10,TilgJahr,"&lt;="&amp;$C1278)</f>
      </c>
      <c r="O1278" s="43">
        <f>INDEX(ObjWertEff,10)*(1+(Wertsteigerung)/100)^MAX(0,7)</f>
      </c>
      <c r="P1278" s="43">
        <f>IF(OR(INDEX(ObjAfaDauer,10)=0,INDEX(ObjAfaJahr,10)=0,$C1278&lt;INDEX(ObjKaufJahr,10),$C1278&gt;=INDEX(ObjKaufJahr,10)+INDEX(ObjAfaDauer,10)),0,IF($C1278=INDEX(ObjKaufJahr,10),INDEX(ObjAfaJahr,10)*(13-INDEX(ObjKaufMonat,10))/12,INDEX(ObjAfaJahr,10)))</f>
      </c>
      <c r="Q1278" s="43">
        <f>$F1278-$G1278-$H1278-$I1278-$P1278</f>
      </c>
      <c r="R1278" s="43">
        <f>$Q1278*INDEX(ObjSteuersatz,10)/100</f>
      </c>
      <c r="S1278" s="43">
        <f>$I1278+$J1278+$K1278+$L1278</f>
      </c>
      <c r="T1278" s="43">
        <f>$F1278-$G1278-$H1278-$S1278</f>
      </c>
      <c r="U1278" s="43">
        <f>$T1278-$R1278</f>
      </c>
      <c r="V1278" s="43">
        <f>$O1278-$M1278</f>
      </c>
      <c r="W1278" s="43">
        <f>$J1278+$K1278+$L1278</f>
      </c>
      <c r="X1278" s="43">
        <f>IF($O1278=0,0,$M1278/$O1278*100)</f>
      </c>
    </row>
    <row r="1279">
      <c r="A1279"/>
      <c r="B1279">
        <v>10</v>
      </c>
      <c r="C1279" s="43">
        <f>Jahr+8</f>
      </c>
      <c r="D1279">
        <v>8</v>
      </c>
      <c r="E1279" s="43">
        <f>IF(INDEX(ObjKaufJahr,10)=0,0,IF($C1279&lt;INDEX(ObjKaufJahr,10),0,IF($C1279&gt;INDEX(ObjKaufJahr,10),12,13-INDEX(ObjKaufMonat,10))))/12</f>
      </c>
      <c r="F1279" s="43">
        <f>SUMIFS(MlSumme,MlObj,10,MlJahr,$C1279)*(1-Leerstand/100)</f>
      </c>
      <c r="G1279" s="43">
        <f>INDEX(ObjLaufend,10)*(1+(Inflation)/100)^MAX(0,8)*$E1279</f>
      </c>
      <c r="H1279" s="43">
        <f>INDEX(ObjInstandBasis,10)*(1+(Inflation)/100)^MAX(0,8)*$E1279</f>
      </c>
      <c r="I1279" s="43">
        <f>SUMIFS(TilgZins,TilgObj,10,TilgJahr,$C1279)</f>
      </c>
      <c r="J1279" s="43">
        <f>SUMIFS(TilgTilgung,TilgObj,10,TilgJahr,$C1279)</f>
      </c>
      <c r="K1279" s="43">
        <f>SUMIFS(TilgSonder,TilgObj,10,TilgJahr,$C1279)</f>
      </c>
      <c r="L1279" s="43">
        <f>SUMIFS(TilgErsatz,TilgObj,10,TilgJahr,$C1279)</f>
      </c>
      <c r="M1279" s="43">
        <f>MAX(0,SUMIF(DarlObj,10,DarlBetrag)-SUMIFS(TilgTilgung,TilgObj,10,TilgJahr,"&lt;="&amp;$C1279)-SUMIFS(TilgSonder,TilgObj,10,TilgJahr,"&lt;="&amp;$C1279))</f>
      </c>
      <c r="N1279" s="43">
        <f>SUMIFS(TilgErsatz,TilgObj,10,TilgJahr,"&lt;="&amp;$C1279)+SUMIFS(TilgErtrag,TilgObj,10,TilgJahr,"&lt;="&amp;$C1279)</f>
      </c>
      <c r="O1279" s="43">
        <f>INDEX(ObjWertEff,10)*(1+(Wertsteigerung)/100)^MAX(0,8)</f>
      </c>
      <c r="P1279" s="43">
        <f>IF(OR(INDEX(ObjAfaDauer,10)=0,INDEX(ObjAfaJahr,10)=0,$C1279&lt;INDEX(ObjKaufJahr,10),$C1279&gt;=INDEX(ObjKaufJahr,10)+INDEX(ObjAfaDauer,10)),0,IF($C1279=INDEX(ObjKaufJahr,10),INDEX(ObjAfaJahr,10)*(13-INDEX(ObjKaufMonat,10))/12,INDEX(ObjAfaJahr,10)))</f>
      </c>
      <c r="Q1279" s="43">
        <f>$F1279-$G1279-$H1279-$I1279-$P1279</f>
      </c>
      <c r="R1279" s="43">
        <f>$Q1279*INDEX(ObjSteuersatz,10)/100</f>
      </c>
      <c r="S1279" s="43">
        <f>$I1279+$J1279+$K1279+$L1279</f>
      </c>
      <c r="T1279" s="43">
        <f>$F1279-$G1279-$H1279-$S1279</f>
      </c>
      <c r="U1279" s="43">
        <f>$T1279-$R1279</f>
      </c>
      <c r="V1279" s="43">
        <f>$O1279-$M1279</f>
      </c>
      <c r="W1279" s="43">
        <f>$J1279+$K1279+$L1279</f>
      </c>
      <c r="X1279" s="43">
        <f>IF($O1279=0,0,$M1279/$O1279*100)</f>
      </c>
    </row>
    <row r="1280">
      <c r="A1280"/>
      <c r="B1280">
        <v>10</v>
      </c>
      <c r="C1280" s="43">
        <f>Jahr+9</f>
      </c>
      <c r="D1280">
        <v>9</v>
      </c>
      <c r="E1280" s="43">
        <f>IF(INDEX(ObjKaufJahr,10)=0,0,IF($C1280&lt;INDEX(ObjKaufJahr,10),0,IF($C1280&gt;INDEX(ObjKaufJahr,10),12,13-INDEX(ObjKaufMonat,10))))/12</f>
      </c>
      <c r="F1280" s="43">
        <f>SUMIFS(MlSumme,MlObj,10,MlJahr,$C1280)*(1-Leerstand/100)</f>
      </c>
      <c r="G1280" s="43">
        <f>INDEX(ObjLaufend,10)*(1+(Inflation)/100)^MAX(0,9)*$E1280</f>
      </c>
      <c r="H1280" s="43">
        <f>INDEX(ObjInstandBasis,10)*(1+(Inflation)/100)^MAX(0,9)*$E1280</f>
      </c>
      <c r="I1280" s="43">
        <f>SUMIFS(TilgZins,TilgObj,10,TilgJahr,$C1280)</f>
      </c>
      <c r="J1280" s="43">
        <f>SUMIFS(TilgTilgung,TilgObj,10,TilgJahr,$C1280)</f>
      </c>
      <c r="K1280" s="43">
        <f>SUMIFS(TilgSonder,TilgObj,10,TilgJahr,$C1280)</f>
      </c>
      <c r="L1280" s="43">
        <f>SUMIFS(TilgErsatz,TilgObj,10,TilgJahr,$C1280)</f>
      </c>
      <c r="M1280" s="43">
        <f>MAX(0,SUMIF(DarlObj,10,DarlBetrag)-SUMIFS(TilgTilgung,TilgObj,10,TilgJahr,"&lt;="&amp;$C1280)-SUMIFS(TilgSonder,TilgObj,10,TilgJahr,"&lt;="&amp;$C1280))</f>
      </c>
      <c r="N1280" s="43">
        <f>SUMIFS(TilgErsatz,TilgObj,10,TilgJahr,"&lt;="&amp;$C1280)+SUMIFS(TilgErtrag,TilgObj,10,TilgJahr,"&lt;="&amp;$C1280)</f>
      </c>
      <c r="O1280" s="43">
        <f>INDEX(ObjWertEff,10)*(1+(Wertsteigerung)/100)^MAX(0,9)</f>
      </c>
      <c r="P1280" s="43">
        <f>IF(OR(INDEX(ObjAfaDauer,10)=0,INDEX(ObjAfaJahr,10)=0,$C1280&lt;INDEX(ObjKaufJahr,10),$C1280&gt;=INDEX(ObjKaufJahr,10)+INDEX(ObjAfaDauer,10)),0,IF($C1280=INDEX(ObjKaufJahr,10),INDEX(ObjAfaJahr,10)*(13-INDEX(ObjKaufMonat,10))/12,INDEX(ObjAfaJahr,10)))</f>
      </c>
      <c r="Q1280" s="43">
        <f>$F1280-$G1280-$H1280-$I1280-$P1280</f>
      </c>
      <c r="R1280" s="43">
        <f>$Q1280*INDEX(ObjSteuersatz,10)/100</f>
      </c>
      <c r="S1280" s="43">
        <f>$I1280+$J1280+$K1280+$L1280</f>
      </c>
      <c r="T1280" s="43">
        <f>$F1280-$G1280-$H1280-$S1280</f>
      </c>
      <c r="U1280" s="43">
        <f>$T1280-$R1280</f>
      </c>
      <c r="V1280" s="43">
        <f>$O1280-$M1280</f>
      </c>
      <c r="W1280" s="43">
        <f>$J1280+$K1280+$L1280</f>
      </c>
      <c r="X1280" s="43">
        <f>IF($O1280=0,0,$M1280/$O1280*100)</f>
      </c>
    </row>
    <row r="1281">
      <c r="A1281"/>
      <c r="B1281">
        <v>10</v>
      </c>
      <c r="C1281" s="43">
        <f>Jahr+10</f>
      </c>
      <c r="D1281">
        <v>10</v>
      </c>
      <c r="E1281" s="43">
        <f>IF(INDEX(ObjKaufJahr,10)=0,0,IF($C1281&lt;INDEX(ObjKaufJahr,10),0,IF($C1281&gt;INDEX(ObjKaufJahr,10),12,13-INDEX(ObjKaufMonat,10))))/12</f>
      </c>
      <c r="F1281" s="43">
        <f>SUMIFS(MlSumme,MlObj,10,MlJahr,$C1281)*(1-Leerstand/100)</f>
      </c>
      <c r="G1281" s="43">
        <f>INDEX(ObjLaufend,10)*(1+(Inflation)/100)^MAX(0,10)*$E1281</f>
      </c>
      <c r="H1281" s="43">
        <f>INDEX(ObjInstandBasis,10)*(1+(Inflation)/100)^MAX(0,10)*$E1281</f>
      </c>
      <c r="I1281" s="43">
        <f>SUMIFS(TilgZins,TilgObj,10,TilgJahr,$C1281)</f>
      </c>
      <c r="J1281" s="43">
        <f>SUMIFS(TilgTilgung,TilgObj,10,TilgJahr,$C1281)</f>
      </c>
      <c r="K1281" s="43">
        <f>SUMIFS(TilgSonder,TilgObj,10,TilgJahr,$C1281)</f>
      </c>
      <c r="L1281" s="43">
        <f>SUMIFS(TilgErsatz,TilgObj,10,TilgJahr,$C1281)</f>
      </c>
      <c r="M1281" s="43">
        <f>MAX(0,SUMIF(DarlObj,10,DarlBetrag)-SUMIFS(TilgTilgung,TilgObj,10,TilgJahr,"&lt;="&amp;$C1281)-SUMIFS(TilgSonder,TilgObj,10,TilgJahr,"&lt;="&amp;$C1281))</f>
      </c>
      <c r="N1281" s="43">
        <f>SUMIFS(TilgErsatz,TilgObj,10,TilgJahr,"&lt;="&amp;$C1281)+SUMIFS(TilgErtrag,TilgObj,10,TilgJahr,"&lt;="&amp;$C1281)</f>
      </c>
      <c r="O1281" s="43">
        <f>INDEX(ObjWertEff,10)*(1+(Wertsteigerung)/100)^MAX(0,10)</f>
      </c>
      <c r="P1281" s="43">
        <f>IF(OR(INDEX(ObjAfaDauer,10)=0,INDEX(ObjAfaJahr,10)=0,$C1281&lt;INDEX(ObjKaufJahr,10),$C1281&gt;=INDEX(ObjKaufJahr,10)+INDEX(ObjAfaDauer,10)),0,IF($C1281=INDEX(ObjKaufJahr,10),INDEX(ObjAfaJahr,10)*(13-INDEX(ObjKaufMonat,10))/12,INDEX(ObjAfaJahr,10)))</f>
      </c>
      <c r="Q1281" s="43">
        <f>$F1281-$G1281-$H1281-$I1281-$P1281</f>
      </c>
      <c r="R1281" s="43">
        <f>$Q1281*INDEX(ObjSteuersatz,10)/100</f>
      </c>
      <c r="S1281" s="43">
        <f>$I1281+$J1281+$K1281+$L1281</f>
      </c>
      <c r="T1281" s="43">
        <f>$F1281-$G1281-$H1281-$S1281</f>
      </c>
      <c r="U1281" s="43">
        <f>$T1281-$R1281</f>
      </c>
      <c r="V1281" s="43">
        <f>$O1281-$M1281</f>
      </c>
      <c r="W1281" s="43">
        <f>$J1281+$K1281+$L1281</f>
      </c>
      <c r="X1281" s="43">
        <f>IF($O1281=0,0,$M1281/$O1281*100)</f>
      </c>
    </row>
    <row r="1282">
      <c r="A1282"/>
      <c r="B1282">
        <v>10</v>
      </c>
      <c r="C1282" s="43">
        <f>Jahr+11</f>
      </c>
      <c r="D1282">
        <v>11</v>
      </c>
      <c r="E1282" s="43">
        <f>IF(INDEX(ObjKaufJahr,10)=0,0,IF($C1282&lt;INDEX(ObjKaufJahr,10),0,IF($C1282&gt;INDEX(ObjKaufJahr,10),12,13-INDEX(ObjKaufMonat,10))))/12</f>
      </c>
      <c r="F1282" s="43">
        <f>SUMIFS(MlSumme,MlObj,10,MlJahr,$C1282)*(1-Leerstand/100)</f>
      </c>
      <c r="G1282" s="43">
        <f>INDEX(ObjLaufend,10)*(1+(Inflation)/100)^MAX(0,11)*$E1282</f>
      </c>
      <c r="H1282" s="43">
        <f>INDEX(ObjInstandBasis,10)*(1+(Inflation)/100)^MAX(0,11)*$E1282</f>
      </c>
      <c r="I1282" s="43">
        <f>SUMIFS(TilgZins,TilgObj,10,TilgJahr,$C1282)</f>
      </c>
      <c r="J1282" s="43">
        <f>SUMIFS(TilgTilgung,TilgObj,10,TilgJahr,$C1282)</f>
      </c>
      <c r="K1282" s="43">
        <f>SUMIFS(TilgSonder,TilgObj,10,TilgJahr,$C1282)</f>
      </c>
      <c r="L1282" s="43">
        <f>SUMIFS(TilgErsatz,TilgObj,10,TilgJahr,$C1282)</f>
      </c>
      <c r="M1282" s="43">
        <f>MAX(0,SUMIF(DarlObj,10,DarlBetrag)-SUMIFS(TilgTilgung,TilgObj,10,TilgJahr,"&lt;="&amp;$C1282)-SUMIFS(TilgSonder,TilgObj,10,TilgJahr,"&lt;="&amp;$C1282))</f>
      </c>
      <c r="N1282" s="43">
        <f>SUMIFS(TilgErsatz,TilgObj,10,TilgJahr,"&lt;="&amp;$C1282)+SUMIFS(TilgErtrag,TilgObj,10,TilgJahr,"&lt;="&amp;$C1282)</f>
      </c>
      <c r="O1282" s="43">
        <f>INDEX(ObjWertEff,10)*(1+(Wertsteigerung)/100)^MAX(0,11)</f>
      </c>
      <c r="P1282" s="43">
        <f>IF(OR(INDEX(ObjAfaDauer,10)=0,INDEX(ObjAfaJahr,10)=0,$C1282&lt;INDEX(ObjKaufJahr,10),$C1282&gt;=INDEX(ObjKaufJahr,10)+INDEX(ObjAfaDauer,10)),0,IF($C1282=INDEX(ObjKaufJahr,10),INDEX(ObjAfaJahr,10)*(13-INDEX(ObjKaufMonat,10))/12,INDEX(ObjAfaJahr,10)))</f>
      </c>
      <c r="Q1282" s="43">
        <f>$F1282-$G1282-$H1282-$I1282-$P1282</f>
      </c>
      <c r="R1282" s="43">
        <f>$Q1282*INDEX(ObjSteuersatz,10)/100</f>
      </c>
      <c r="S1282" s="43">
        <f>$I1282+$J1282+$K1282+$L1282</f>
      </c>
      <c r="T1282" s="43">
        <f>$F1282-$G1282-$H1282-$S1282</f>
      </c>
      <c r="U1282" s="43">
        <f>$T1282-$R1282</f>
      </c>
      <c r="V1282" s="43">
        <f>$O1282-$M1282</f>
      </c>
      <c r="W1282" s="43">
        <f>$J1282+$K1282+$L1282</f>
      </c>
      <c r="X1282" s="43">
        <f>IF($O1282=0,0,$M1282/$O1282*100)</f>
      </c>
    </row>
    <row r="1283">
      <c r="A1283"/>
      <c r="B1283">
        <v>10</v>
      </c>
      <c r="C1283" s="43">
        <f>Jahr+12</f>
      </c>
      <c r="D1283">
        <v>12</v>
      </c>
      <c r="E1283" s="43">
        <f>IF(INDEX(ObjKaufJahr,10)=0,0,IF($C1283&lt;INDEX(ObjKaufJahr,10),0,IF($C1283&gt;INDEX(ObjKaufJahr,10),12,13-INDEX(ObjKaufMonat,10))))/12</f>
      </c>
      <c r="F1283" s="43">
        <f>SUMIFS(MlSumme,MlObj,10,MlJahr,$C1283)*(1-Leerstand/100)</f>
      </c>
      <c r="G1283" s="43">
        <f>INDEX(ObjLaufend,10)*(1+(Inflation)/100)^MAX(0,12)*$E1283</f>
      </c>
      <c r="H1283" s="43">
        <f>INDEX(ObjInstandBasis,10)*(1+(Inflation)/100)^MAX(0,12)*$E1283</f>
      </c>
      <c r="I1283" s="43">
        <f>SUMIFS(TilgZins,TilgObj,10,TilgJahr,$C1283)</f>
      </c>
      <c r="J1283" s="43">
        <f>SUMIFS(TilgTilgung,TilgObj,10,TilgJahr,$C1283)</f>
      </c>
      <c r="K1283" s="43">
        <f>SUMIFS(TilgSonder,TilgObj,10,TilgJahr,$C1283)</f>
      </c>
      <c r="L1283" s="43">
        <f>SUMIFS(TilgErsatz,TilgObj,10,TilgJahr,$C1283)</f>
      </c>
      <c r="M1283" s="43">
        <f>MAX(0,SUMIF(DarlObj,10,DarlBetrag)-SUMIFS(TilgTilgung,TilgObj,10,TilgJahr,"&lt;="&amp;$C1283)-SUMIFS(TilgSonder,TilgObj,10,TilgJahr,"&lt;="&amp;$C1283))</f>
      </c>
      <c r="N1283" s="43">
        <f>SUMIFS(TilgErsatz,TilgObj,10,TilgJahr,"&lt;="&amp;$C1283)+SUMIFS(TilgErtrag,TilgObj,10,TilgJahr,"&lt;="&amp;$C1283)</f>
      </c>
      <c r="O1283" s="43">
        <f>INDEX(ObjWertEff,10)*(1+(Wertsteigerung)/100)^MAX(0,12)</f>
      </c>
      <c r="P1283" s="43">
        <f>IF(OR(INDEX(ObjAfaDauer,10)=0,INDEX(ObjAfaJahr,10)=0,$C1283&lt;INDEX(ObjKaufJahr,10),$C1283&gt;=INDEX(ObjKaufJahr,10)+INDEX(ObjAfaDauer,10)),0,IF($C1283=INDEX(ObjKaufJahr,10),INDEX(ObjAfaJahr,10)*(13-INDEX(ObjKaufMonat,10))/12,INDEX(ObjAfaJahr,10)))</f>
      </c>
      <c r="Q1283" s="43">
        <f>$F1283-$G1283-$H1283-$I1283-$P1283</f>
      </c>
      <c r="R1283" s="43">
        <f>$Q1283*INDEX(ObjSteuersatz,10)/100</f>
      </c>
      <c r="S1283" s="43">
        <f>$I1283+$J1283+$K1283+$L1283</f>
      </c>
      <c r="T1283" s="43">
        <f>$F1283-$G1283-$H1283-$S1283</f>
      </c>
      <c r="U1283" s="43">
        <f>$T1283-$R1283</f>
      </c>
      <c r="V1283" s="43">
        <f>$O1283-$M1283</f>
      </c>
      <c r="W1283" s="43">
        <f>$J1283+$K1283+$L1283</f>
      </c>
      <c r="X1283" s="43">
        <f>IF($O1283=0,0,$M1283/$O1283*100)</f>
      </c>
    </row>
    <row r="1284">
      <c r="A1284"/>
      <c r="B1284">
        <v>10</v>
      </c>
      <c r="C1284" s="43">
        <f>Jahr+13</f>
      </c>
      <c r="D1284">
        <v>13</v>
      </c>
      <c r="E1284" s="43">
        <f>IF(INDEX(ObjKaufJahr,10)=0,0,IF($C1284&lt;INDEX(ObjKaufJahr,10),0,IF($C1284&gt;INDEX(ObjKaufJahr,10),12,13-INDEX(ObjKaufMonat,10))))/12</f>
      </c>
      <c r="F1284" s="43">
        <f>SUMIFS(MlSumme,MlObj,10,MlJahr,$C1284)*(1-Leerstand/100)</f>
      </c>
      <c r="G1284" s="43">
        <f>INDEX(ObjLaufend,10)*(1+(Inflation)/100)^MAX(0,13)*$E1284</f>
      </c>
      <c r="H1284" s="43">
        <f>INDEX(ObjInstandBasis,10)*(1+(Inflation)/100)^MAX(0,13)*$E1284</f>
      </c>
      <c r="I1284" s="43">
        <f>SUMIFS(TilgZins,TilgObj,10,TilgJahr,$C1284)</f>
      </c>
      <c r="J1284" s="43">
        <f>SUMIFS(TilgTilgung,TilgObj,10,TilgJahr,$C1284)</f>
      </c>
      <c r="K1284" s="43">
        <f>SUMIFS(TilgSonder,TilgObj,10,TilgJahr,$C1284)</f>
      </c>
      <c r="L1284" s="43">
        <f>SUMIFS(TilgErsatz,TilgObj,10,TilgJahr,$C1284)</f>
      </c>
      <c r="M1284" s="43">
        <f>MAX(0,SUMIF(DarlObj,10,DarlBetrag)-SUMIFS(TilgTilgung,TilgObj,10,TilgJahr,"&lt;="&amp;$C1284)-SUMIFS(TilgSonder,TilgObj,10,TilgJahr,"&lt;="&amp;$C1284))</f>
      </c>
      <c r="N1284" s="43">
        <f>SUMIFS(TilgErsatz,TilgObj,10,TilgJahr,"&lt;="&amp;$C1284)+SUMIFS(TilgErtrag,TilgObj,10,TilgJahr,"&lt;="&amp;$C1284)</f>
      </c>
      <c r="O1284" s="43">
        <f>INDEX(ObjWertEff,10)*(1+(Wertsteigerung)/100)^MAX(0,13)</f>
      </c>
      <c r="P1284" s="43">
        <f>IF(OR(INDEX(ObjAfaDauer,10)=0,INDEX(ObjAfaJahr,10)=0,$C1284&lt;INDEX(ObjKaufJahr,10),$C1284&gt;=INDEX(ObjKaufJahr,10)+INDEX(ObjAfaDauer,10)),0,IF($C1284=INDEX(ObjKaufJahr,10),INDEX(ObjAfaJahr,10)*(13-INDEX(ObjKaufMonat,10))/12,INDEX(ObjAfaJahr,10)))</f>
      </c>
      <c r="Q1284" s="43">
        <f>$F1284-$G1284-$H1284-$I1284-$P1284</f>
      </c>
      <c r="R1284" s="43">
        <f>$Q1284*INDEX(ObjSteuersatz,10)/100</f>
      </c>
      <c r="S1284" s="43">
        <f>$I1284+$J1284+$K1284+$L1284</f>
      </c>
      <c r="T1284" s="43">
        <f>$F1284-$G1284-$H1284-$S1284</f>
      </c>
      <c r="U1284" s="43">
        <f>$T1284-$R1284</f>
      </c>
      <c r="V1284" s="43">
        <f>$O1284-$M1284</f>
      </c>
      <c r="W1284" s="43">
        <f>$J1284+$K1284+$L1284</f>
      </c>
      <c r="X1284" s="43">
        <f>IF($O1284=0,0,$M1284/$O1284*100)</f>
      </c>
    </row>
    <row r="1285">
      <c r="A1285"/>
      <c r="B1285">
        <v>10</v>
      </c>
      <c r="C1285" s="43">
        <f>Jahr+14</f>
      </c>
      <c r="D1285">
        <v>14</v>
      </c>
      <c r="E1285" s="43">
        <f>IF(INDEX(ObjKaufJahr,10)=0,0,IF($C1285&lt;INDEX(ObjKaufJahr,10),0,IF($C1285&gt;INDEX(ObjKaufJahr,10),12,13-INDEX(ObjKaufMonat,10))))/12</f>
      </c>
      <c r="F1285" s="43">
        <f>SUMIFS(MlSumme,MlObj,10,MlJahr,$C1285)*(1-Leerstand/100)</f>
      </c>
      <c r="G1285" s="43">
        <f>INDEX(ObjLaufend,10)*(1+(Inflation)/100)^MAX(0,14)*$E1285</f>
      </c>
      <c r="H1285" s="43">
        <f>INDEX(ObjInstandBasis,10)*(1+(Inflation)/100)^MAX(0,14)*$E1285</f>
      </c>
      <c r="I1285" s="43">
        <f>SUMIFS(TilgZins,TilgObj,10,TilgJahr,$C1285)</f>
      </c>
      <c r="J1285" s="43">
        <f>SUMIFS(TilgTilgung,TilgObj,10,TilgJahr,$C1285)</f>
      </c>
      <c r="K1285" s="43">
        <f>SUMIFS(TilgSonder,TilgObj,10,TilgJahr,$C1285)</f>
      </c>
      <c r="L1285" s="43">
        <f>SUMIFS(TilgErsatz,TilgObj,10,TilgJahr,$C1285)</f>
      </c>
      <c r="M1285" s="43">
        <f>MAX(0,SUMIF(DarlObj,10,DarlBetrag)-SUMIFS(TilgTilgung,TilgObj,10,TilgJahr,"&lt;="&amp;$C1285)-SUMIFS(TilgSonder,TilgObj,10,TilgJahr,"&lt;="&amp;$C1285))</f>
      </c>
      <c r="N1285" s="43">
        <f>SUMIFS(TilgErsatz,TilgObj,10,TilgJahr,"&lt;="&amp;$C1285)+SUMIFS(TilgErtrag,TilgObj,10,TilgJahr,"&lt;="&amp;$C1285)</f>
      </c>
      <c r="O1285" s="43">
        <f>INDEX(ObjWertEff,10)*(1+(Wertsteigerung)/100)^MAX(0,14)</f>
      </c>
      <c r="P1285" s="43">
        <f>IF(OR(INDEX(ObjAfaDauer,10)=0,INDEX(ObjAfaJahr,10)=0,$C1285&lt;INDEX(ObjKaufJahr,10),$C1285&gt;=INDEX(ObjKaufJahr,10)+INDEX(ObjAfaDauer,10)),0,IF($C1285=INDEX(ObjKaufJahr,10),INDEX(ObjAfaJahr,10)*(13-INDEX(ObjKaufMonat,10))/12,INDEX(ObjAfaJahr,10)))</f>
      </c>
      <c r="Q1285" s="43">
        <f>$F1285-$G1285-$H1285-$I1285-$P1285</f>
      </c>
      <c r="R1285" s="43">
        <f>$Q1285*INDEX(ObjSteuersatz,10)/100</f>
      </c>
      <c r="S1285" s="43">
        <f>$I1285+$J1285+$K1285+$L1285</f>
      </c>
      <c r="T1285" s="43">
        <f>$F1285-$G1285-$H1285-$S1285</f>
      </c>
      <c r="U1285" s="43">
        <f>$T1285-$R1285</f>
      </c>
      <c r="V1285" s="43">
        <f>$O1285-$M1285</f>
      </c>
      <c r="W1285" s="43">
        <f>$J1285+$K1285+$L1285</f>
      </c>
      <c r="X1285" s="43">
        <f>IF($O1285=0,0,$M1285/$O1285*100)</f>
      </c>
    </row>
    <row r="1286">
      <c r="A1286"/>
      <c r="B1286">
        <v>10</v>
      </c>
      <c r="C1286" s="43">
        <f>Jahr+15</f>
      </c>
      <c r="D1286">
        <v>15</v>
      </c>
      <c r="E1286" s="43">
        <f>IF(INDEX(ObjKaufJahr,10)=0,0,IF($C1286&lt;INDEX(ObjKaufJahr,10),0,IF($C1286&gt;INDEX(ObjKaufJahr,10),12,13-INDEX(ObjKaufMonat,10))))/12</f>
      </c>
      <c r="F1286" s="43">
        <f>SUMIFS(MlSumme,MlObj,10,MlJahr,$C1286)*(1-Leerstand/100)</f>
      </c>
      <c r="G1286" s="43">
        <f>INDEX(ObjLaufend,10)*(1+(Inflation)/100)^MAX(0,15)*$E1286</f>
      </c>
      <c r="H1286" s="43">
        <f>INDEX(ObjInstandBasis,10)*(1+(Inflation)/100)^MAX(0,15)*$E1286</f>
      </c>
      <c r="I1286" s="43">
        <f>SUMIFS(TilgZins,TilgObj,10,TilgJahr,$C1286)</f>
      </c>
      <c r="J1286" s="43">
        <f>SUMIFS(TilgTilgung,TilgObj,10,TilgJahr,$C1286)</f>
      </c>
      <c r="K1286" s="43">
        <f>SUMIFS(TilgSonder,TilgObj,10,TilgJahr,$C1286)</f>
      </c>
      <c r="L1286" s="43">
        <f>SUMIFS(TilgErsatz,TilgObj,10,TilgJahr,$C1286)</f>
      </c>
      <c r="M1286" s="43">
        <f>MAX(0,SUMIF(DarlObj,10,DarlBetrag)-SUMIFS(TilgTilgung,TilgObj,10,TilgJahr,"&lt;="&amp;$C1286)-SUMIFS(TilgSonder,TilgObj,10,TilgJahr,"&lt;="&amp;$C1286))</f>
      </c>
      <c r="N1286" s="43">
        <f>SUMIFS(TilgErsatz,TilgObj,10,TilgJahr,"&lt;="&amp;$C1286)+SUMIFS(TilgErtrag,TilgObj,10,TilgJahr,"&lt;="&amp;$C1286)</f>
      </c>
      <c r="O1286" s="43">
        <f>INDEX(ObjWertEff,10)*(1+(Wertsteigerung)/100)^MAX(0,15)</f>
      </c>
      <c r="P1286" s="43">
        <f>IF(OR(INDEX(ObjAfaDauer,10)=0,INDEX(ObjAfaJahr,10)=0,$C1286&lt;INDEX(ObjKaufJahr,10),$C1286&gt;=INDEX(ObjKaufJahr,10)+INDEX(ObjAfaDauer,10)),0,IF($C1286=INDEX(ObjKaufJahr,10),INDEX(ObjAfaJahr,10)*(13-INDEX(ObjKaufMonat,10))/12,INDEX(ObjAfaJahr,10)))</f>
      </c>
      <c r="Q1286" s="43">
        <f>$F1286-$G1286-$H1286-$I1286-$P1286</f>
      </c>
      <c r="R1286" s="43">
        <f>$Q1286*INDEX(ObjSteuersatz,10)/100</f>
      </c>
      <c r="S1286" s="43">
        <f>$I1286+$J1286+$K1286+$L1286</f>
      </c>
      <c r="T1286" s="43">
        <f>$F1286-$G1286-$H1286-$S1286</f>
      </c>
      <c r="U1286" s="43">
        <f>$T1286-$R1286</f>
      </c>
      <c r="V1286" s="43">
        <f>$O1286-$M1286</f>
      </c>
      <c r="W1286" s="43">
        <f>$J1286+$K1286+$L1286</f>
      </c>
      <c r="X1286" s="43">
        <f>IF($O1286=0,0,$M1286/$O1286*100)</f>
      </c>
    </row>
    <row r="1287">
      <c r="A1287"/>
      <c r="B1287">
        <v>10</v>
      </c>
      <c r="C1287" s="43">
        <f>Jahr+16</f>
      </c>
      <c r="D1287">
        <v>16</v>
      </c>
      <c r="E1287" s="43">
        <f>IF(INDEX(ObjKaufJahr,10)=0,0,IF($C1287&lt;INDEX(ObjKaufJahr,10),0,IF($C1287&gt;INDEX(ObjKaufJahr,10),12,13-INDEX(ObjKaufMonat,10))))/12</f>
      </c>
      <c r="F1287" s="43">
        <f>SUMIFS(MlSumme,MlObj,10,MlJahr,$C1287)*(1-Leerstand/100)</f>
      </c>
      <c r="G1287" s="43">
        <f>INDEX(ObjLaufend,10)*(1+(Inflation)/100)^MAX(0,16)*$E1287</f>
      </c>
      <c r="H1287" s="43">
        <f>INDEX(ObjInstandBasis,10)*(1+(Inflation)/100)^MAX(0,16)*$E1287</f>
      </c>
      <c r="I1287" s="43">
        <f>SUMIFS(TilgZins,TilgObj,10,TilgJahr,$C1287)</f>
      </c>
      <c r="J1287" s="43">
        <f>SUMIFS(TilgTilgung,TilgObj,10,TilgJahr,$C1287)</f>
      </c>
      <c r="K1287" s="43">
        <f>SUMIFS(TilgSonder,TilgObj,10,TilgJahr,$C1287)</f>
      </c>
      <c r="L1287" s="43">
        <f>SUMIFS(TilgErsatz,TilgObj,10,TilgJahr,$C1287)</f>
      </c>
      <c r="M1287" s="43">
        <f>MAX(0,SUMIF(DarlObj,10,DarlBetrag)-SUMIFS(TilgTilgung,TilgObj,10,TilgJahr,"&lt;="&amp;$C1287)-SUMIFS(TilgSonder,TilgObj,10,TilgJahr,"&lt;="&amp;$C1287))</f>
      </c>
      <c r="N1287" s="43">
        <f>SUMIFS(TilgErsatz,TilgObj,10,TilgJahr,"&lt;="&amp;$C1287)+SUMIFS(TilgErtrag,TilgObj,10,TilgJahr,"&lt;="&amp;$C1287)</f>
      </c>
      <c r="O1287" s="43">
        <f>INDEX(ObjWertEff,10)*(1+(Wertsteigerung)/100)^MAX(0,16)</f>
      </c>
      <c r="P1287" s="43">
        <f>IF(OR(INDEX(ObjAfaDauer,10)=0,INDEX(ObjAfaJahr,10)=0,$C1287&lt;INDEX(ObjKaufJahr,10),$C1287&gt;=INDEX(ObjKaufJahr,10)+INDEX(ObjAfaDauer,10)),0,IF($C1287=INDEX(ObjKaufJahr,10),INDEX(ObjAfaJahr,10)*(13-INDEX(ObjKaufMonat,10))/12,INDEX(ObjAfaJahr,10)))</f>
      </c>
      <c r="Q1287" s="43">
        <f>$F1287-$G1287-$H1287-$I1287-$P1287</f>
      </c>
      <c r="R1287" s="43">
        <f>$Q1287*INDEX(ObjSteuersatz,10)/100</f>
      </c>
      <c r="S1287" s="43">
        <f>$I1287+$J1287+$K1287+$L1287</f>
      </c>
      <c r="T1287" s="43">
        <f>$F1287-$G1287-$H1287-$S1287</f>
      </c>
      <c r="U1287" s="43">
        <f>$T1287-$R1287</f>
      </c>
      <c r="V1287" s="43">
        <f>$O1287-$M1287</f>
      </c>
      <c r="W1287" s="43">
        <f>$J1287+$K1287+$L1287</f>
      </c>
      <c r="X1287" s="43">
        <f>IF($O1287=0,0,$M1287/$O1287*100)</f>
      </c>
    </row>
    <row r="1288">
      <c r="A1288"/>
      <c r="B1288">
        <v>10</v>
      </c>
      <c r="C1288" s="43">
        <f>Jahr+17</f>
      </c>
      <c r="D1288">
        <v>17</v>
      </c>
      <c r="E1288" s="43">
        <f>IF(INDEX(ObjKaufJahr,10)=0,0,IF($C1288&lt;INDEX(ObjKaufJahr,10),0,IF($C1288&gt;INDEX(ObjKaufJahr,10),12,13-INDEX(ObjKaufMonat,10))))/12</f>
      </c>
      <c r="F1288" s="43">
        <f>SUMIFS(MlSumme,MlObj,10,MlJahr,$C1288)*(1-Leerstand/100)</f>
      </c>
      <c r="G1288" s="43">
        <f>INDEX(ObjLaufend,10)*(1+(Inflation)/100)^MAX(0,17)*$E1288</f>
      </c>
      <c r="H1288" s="43">
        <f>INDEX(ObjInstandBasis,10)*(1+(Inflation)/100)^MAX(0,17)*$E1288</f>
      </c>
      <c r="I1288" s="43">
        <f>SUMIFS(TilgZins,TilgObj,10,TilgJahr,$C1288)</f>
      </c>
      <c r="J1288" s="43">
        <f>SUMIFS(TilgTilgung,TilgObj,10,TilgJahr,$C1288)</f>
      </c>
      <c r="K1288" s="43">
        <f>SUMIFS(TilgSonder,TilgObj,10,TilgJahr,$C1288)</f>
      </c>
      <c r="L1288" s="43">
        <f>SUMIFS(TilgErsatz,TilgObj,10,TilgJahr,$C1288)</f>
      </c>
      <c r="M1288" s="43">
        <f>MAX(0,SUMIF(DarlObj,10,DarlBetrag)-SUMIFS(TilgTilgung,TilgObj,10,TilgJahr,"&lt;="&amp;$C1288)-SUMIFS(TilgSonder,TilgObj,10,TilgJahr,"&lt;="&amp;$C1288))</f>
      </c>
      <c r="N1288" s="43">
        <f>SUMIFS(TilgErsatz,TilgObj,10,TilgJahr,"&lt;="&amp;$C1288)+SUMIFS(TilgErtrag,TilgObj,10,TilgJahr,"&lt;="&amp;$C1288)</f>
      </c>
      <c r="O1288" s="43">
        <f>INDEX(ObjWertEff,10)*(1+(Wertsteigerung)/100)^MAX(0,17)</f>
      </c>
      <c r="P1288" s="43">
        <f>IF(OR(INDEX(ObjAfaDauer,10)=0,INDEX(ObjAfaJahr,10)=0,$C1288&lt;INDEX(ObjKaufJahr,10),$C1288&gt;=INDEX(ObjKaufJahr,10)+INDEX(ObjAfaDauer,10)),0,IF($C1288=INDEX(ObjKaufJahr,10),INDEX(ObjAfaJahr,10)*(13-INDEX(ObjKaufMonat,10))/12,INDEX(ObjAfaJahr,10)))</f>
      </c>
      <c r="Q1288" s="43">
        <f>$F1288-$G1288-$H1288-$I1288-$P1288</f>
      </c>
      <c r="R1288" s="43">
        <f>$Q1288*INDEX(ObjSteuersatz,10)/100</f>
      </c>
      <c r="S1288" s="43">
        <f>$I1288+$J1288+$K1288+$L1288</f>
      </c>
      <c r="T1288" s="43">
        <f>$F1288-$G1288-$H1288-$S1288</f>
      </c>
      <c r="U1288" s="43">
        <f>$T1288-$R1288</f>
      </c>
      <c r="V1288" s="43">
        <f>$O1288-$M1288</f>
      </c>
      <c r="W1288" s="43">
        <f>$J1288+$K1288+$L1288</f>
      </c>
      <c r="X1288" s="43">
        <f>IF($O1288=0,0,$M1288/$O1288*100)</f>
      </c>
    </row>
    <row r="1289">
      <c r="A1289"/>
      <c r="B1289">
        <v>10</v>
      </c>
      <c r="C1289" s="43">
        <f>Jahr+18</f>
      </c>
      <c r="D1289">
        <v>18</v>
      </c>
      <c r="E1289" s="43">
        <f>IF(INDEX(ObjKaufJahr,10)=0,0,IF($C1289&lt;INDEX(ObjKaufJahr,10),0,IF($C1289&gt;INDEX(ObjKaufJahr,10),12,13-INDEX(ObjKaufMonat,10))))/12</f>
      </c>
      <c r="F1289" s="43">
        <f>SUMIFS(MlSumme,MlObj,10,MlJahr,$C1289)*(1-Leerstand/100)</f>
      </c>
      <c r="G1289" s="43">
        <f>INDEX(ObjLaufend,10)*(1+(Inflation)/100)^MAX(0,18)*$E1289</f>
      </c>
      <c r="H1289" s="43">
        <f>INDEX(ObjInstandBasis,10)*(1+(Inflation)/100)^MAX(0,18)*$E1289</f>
      </c>
      <c r="I1289" s="43">
        <f>SUMIFS(TilgZins,TilgObj,10,TilgJahr,$C1289)</f>
      </c>
      <c r="J1289" s="43">
        <f>SUMIFS(TilgTilgung,TilgObj,10,TilgJahr,$C1289)</f>
      </c>
      <c r="K1289" s="43">
        <f>SUMIFS(TilgSonder,TilgObj,10,TilgJahr,$C1289)</f>
      </c>
      <c r="L1289" s="43">
        <f>SUMIFS(TilgErsatz,TilgObj,10,TilgJahr,$C1289)</f>
      </c>
      <c r="M1289" s="43">
        <f>MAX(0,SUMIF(DarlObj,10,DarlBetrag)-SUMIFS(TilgTilgung,TilgObj,10,TilgJahr,"&lt;="&amp;$C1289)-SUMIFS(TilgSonder,TilgObj,10,TilgJahr,"&lt;="&amp;$C1289))</f>
      </c>
      <c r="N1289" s="43">
        <f>SUMIFS(TilgErsatz,TilgObj,10,TilgJahr,"&lt;="&amp;$C1289)+SUMIFS(TilgErtrag,TilgObj,10,TilgJahr,"&lt;="&amp;$C1289)</f>
      </c>
      <c r="O1289" s="43">
        <f>INDEX(ObjWertEff,10)*(1+(Wertsteigerung)/100)^MAX(0,18)</f>
      </c>
      <c r="P1289" s="43">
        <f>IF(OR(INDEX(ObjAfaDauer,10)=0,INDEX(ObjAfaJahr,10)=0,$C1289&lt;INDEX(ObjKaufJahr,10),$C1289&gt;=INDEX(ObjKaufJahr,10)+INDEX(ObjAfaDauer,10)),0,IF($C1289=INDEX(ObjKaufJahr,10),INDEX(ObjAfaJahr,10)*(13-INDEX(ObjKaufMonat,10))/12,INDEX(ObjAfaJahr,10)))</f>
      </c>
      <c r="Q1289" s="43">
        <f>$F1289-$G1289-$H1289-$I1289-$P1289</f>
      </c>
      <c r="R1289" s="43">
        <f>$Q1289*INDEX(ObjSteuersatz,10)/100</f>
      </c>
      <c r="S1289" s="43">
        <f>$I1289+$J1289+$K1289+$L1289</f>
      </c>
      <c r="T1289" s="43">
        <f>$F1289-$G1289-$H1289-$S1289</f>
      </c>
      <c r="U1289" s="43">
        <f>$T1289-$R1289</f>
      </c>
      <c r="V1289" s="43">
        <f>$O1289-$M1289</f>
      </c>
      <c r="W1289" s="43">
        <f>$J1289+$K1289+$L1289</f>
      </c>
      <c r="X1289" s="43">
        <f>IF($O1289=0,0,$M1289/$O1289*100)</f>
      </c>
    </row>
    <row r="1290">
      <c r="A1290"/>
      <c r="B1290">
        <v>10</v>
      </c>
      <c r="C1290" s="43">
        <f>Jahr+19</f>
      </c>
      <c r="D1290">
        <v>19</v>
      </c>
      <c r="E1290" s="43">
        <f>IF(INDEX(ObjKaufJahr,10)=0,0,IF($C1290&lt;INDEX(ObjKaufJahr,10),0,IF($C1290&gt;INDEX(ObjKaufJahr,10),12,13-INDEX(ObjKaufMonat,10))))/12</f>
      </c>
      <c r="F1290" s="43">
        <f>SUMIFS(MlSumme,MlObj,10,MlJahr,$C1290)*(1-Leerstand/100)</f>
      </c>
      <c r="G1290" s="43">
        <f>INDEX(ObjLaufend,10)*(1+(Inflation)/100)^MAX(0,19)*$E1290</f>
      </c>
      <c r="H1290" s="43">
        <f>INDEX(ObjInstandBasis,10)*(1+(Inflation)/100)^MAX(0,19)*$E1290</f>
      </c>
      <c r="I1290" s="43">
        <f>SUMIFS(TilgZins,TilgObj,10,TilgJahr,$C1290)</f>
      </c>
      <c r="J1290" s="43">
        <f>SUMIFS(TilgTilgung,TilgObj,10,TilgJahr,$C1290)</f>
      </c>
      <c r="K1290" s="43">
        <f>SUMIFS(TilgSonder,TilgObj,10,TilgJahr,$C1290)</f>
      </c>
      <c r="L1290" s="43">
        <f>SUMIFS(TilgErsatz,TilgObj,10,TilgJahr,$C1290)</f>
      </c>
      <c r="M1290" s="43">
        <f>MAX(0,SUMIF(DarlObj,10,DarlBetrag)-SUMIFS(TilgTilgung,TilgObj,10,TilgJahr,"&lt;="&amp;$C1290)-SUMIFS(TilgSonder,TilgObj,10,TilgJahr,"&lt;="&amp;$C1290))</f>
      </c>
      <c r="N1290" s="43">
        <f>SUMIFS(TilgErsatz,TilgObj,10,TilgJahr,"&lt;="&amp;$C1290)+SUMIFS(TilgErtrag,TilgObj,10,TilgJahr,"&lt;="&amp;$C1290)</f>
      </c>
      <c r="O1290" s="43">
        <f>INDEX(ObjWertEff,10)*(1+(Wertsteigerung)/100)^MAX(0,19)</f>
      </c>
      <c r="P1290" s="43">
        <f>IF(OR(INDEX(ObjAfaDauer,10)=0,INDEX(ObjAfaJahr,10)=0,$C1290&lt;INDEX(ObjKaufJahr,10),$C1290&gt;=INDEX(ObjKaufJahr,10)+INDEX(ObjAfaDauer,10)),0,IF($C1290=INDEX(ObjKaufJahr,10),INDEX(ObjAfaJahr,10)*(13-INDEX(ObjKaufMonat,10))/12,INDEX(ObjAfaJahr,10)))</f>
      </c>
      <c r="Q1290" s="43">
        <f>$F1290-$G1290-$H1290-$I1290-$P1290</f>
      </c>
      <c r="R1290" s="43">
        <f>$Q1290*INDEX(ObjSteuersatz,10)/100</f>
      </c>
      <c r="S1290" s="43">
        <f>$I1290+$J1290+$K1290+$L1290</f>
      </c>
      <c r="T1290" s="43">
        <f>$F1290-$G1290-$H1290-$S1290</f>
      </c>
      <c r="U1290" s="43">
        <f>$T1290-$R1290</f>
      </c>
      <c r="V1290" s="43">
        <f>$O1290-$M1290</f>
      </c>
      <c r="W1290" s="43">
        <f>$J1290+$K1290+$L1290</f>
      </c>
      <c r="X1290" s="43">
        <f>IF($O1290=0,0,$M1290/$O1290*100)</f>
      </c>
    </row>
    <row r="1291">
      <c r="A1291"/>
      <c r="B1291">
        <v>10</v>
      </c>
      <c r="C1291" s="43">
        <f>Jahr+20</f>
      </c>
      <c r="D1291">
        <v>20</v>
      </c>
      <c r="E1291" s="43">
        <f>IF(INDEX(ObjKaufJahr,10)=0,0,IF($C1291&lt;INDEX(ObjKaufJahr,10),0,IF($C1291&gt;INDEX(ObjKaufJahr,10),12,13-INDEX(ObjKaufMonat,10))))/12</f>
      </c>
      <c r="F1291" s="43">
        <f>SUMIFS(MlSumme,MlObj,10,MlJahr,$C1291)*(1-Leerstand/100)</f>
      </c>
      <c r="G1291" s="43">
        <f>INDEX(ObjLaufend,10)*(1+(Inflation)/100)^MAX(0,20)*$E1291</f>
      </c>
      <c r="H1291" s="43">
        <f>INDEX(ObjInstandBasis,10)*(1+(Inflation)/100)^MAX(0,20)*$E1291</f>
      </c>
      <c r="I1291" s="43">
        <f>SUMIFS(TilgZins,TilgObj,10,TilgJahr,$C1291)</f>
      </c>
      <c r="J1291" s="43">
        <f>SUMIFS(TilgTilgung,TilgObj,10,TilgJahr,$C1291)</f>
      </c>
      <c r="K1291" s="43">
        <f>SUMIFS(TilgSonder,TilgObj,10,TilgJahr,$C1291)</f>
      </c>
      <c r="L1291" s="43">
        <f>SUMIFS(TilgErsatz,TilgObj,10,TilgJahr,$C1291)</f>
      </c>
      <c r="M1291" s="43">
        <f>MAX(0,SUMIF(DarlObj,10,DarlBetrag)-SUMIFS(TilgTilgung,TilgObj,10,TilgJahr,"&lt;="&amp;$C1291)-SUMIFS(TilgSonder,TilgObj,10,TilgJahr,"&lt;="&amp;$C1291))</f>
      </c>
      <c r="N1291" s="43">
        <f>SUMIFS(TilgErsatz,TilgObj,10,TilgJahr,"&lt;="&amp;$C1291)+SUMIFS(TilgErtrag,TilgObj,10,TilgJahr,"&lt;="&amp;$C1291)</f>
      </c>
      <c r="O1291" s="43">
        <f>INDEX(ObjWertEff,10)*(1+(Wertsteigerung)/100)^MAX(0,20)</f>
      </c>
      <c r="P1291" s="43">
        <f>IF(OR(INDEX(ObjAfaDauer,10)=0,INDEX(ObjAfaJahr,10)=0,$C1291&lt;INDEX(ObjKaufJahr,10),$C1291&gt;=INDEX(ObjKaufJahr,10)+INDEX(ObjAfaDauer,10)),0,IF($C1291=INDEX(ObjKaufJahr,10),INDEX(ObjAfaJahr,10)*(13-INDEX(ObjKaufMonat,10))/12,INDEX(ObjAfaJahr,10)))</f>
      </c>
      <c r="Q1291" s="43">
        <f>$F1291-$G1291-$H1291-$I1291-$P1291</f>
      </c>
      <c r="R1291" s="43">
        <f>$Q1291*INDEX(ObjSteuersatz,10)/100</f>
      </c>
      <c r="S1291" s="43">
        <f>$I1291+$J1291+$K1291+$L1291</f>
      </c>
      <c r="T1291" s="43">
        <f>$F1291-$G1291-$H1291-$S1291</f>
      </c>
      <c r="U1291" s="43">
        <f>$T1291-$R1291</f>
      </c>
      <c r="V1291" s="43">
        <f>$O1291-$M1291</f>
      </c>
      <c r="W1291" s="43">
        <f>$J1291+$K1291+$L1291</f>
      </c>
      <c r="X1291" s="43">
        <f>IF($O1291=0,0,$M1291/$O1291*100)</f>
      </c>
    </row>
    <row r="1292">
      <c r="A1292"/>
      <c r="B1292">
        <v>10</v>
      </c>
      <c r="C1292" s="43">
        <f>Jahr+21</f>
      </c>
      <c r="D1292">
        <v>21</v>
      </c>
      <c r="E1292" s="43">
        <f>IF(INDEX(ObjKaufJahr,10)=0,0,IF($C1292&lt;INDEX(ObjKaufJahr,10),0,IF($C1292&gt;INDEX(ObjKaufJahr,10),12,13-INDEX(ObjKaufMonat,10))))/12</f>
      </c>
      <c r="F1292" s="43">
        <f>SUMIFS(MlSumme,MlObj,10,MlJahr,$C1292)*(1-Leerstand/100)</f>
      </c>
      <c r="G1292" s="43">
        <f>INDEX(ObjLaufend,10)*(1+(Inflation)/100)^MAX(0,21)*$E1292</f>
      </c>
      <c r="H1292" s="43">
        <f>INDEX(ObjInstandBasis,10)*(1+(Inflation)/100)^MAX(0,21)*$E1292</f>
      </c>
      <c r="I1292" s="43">
        <f>SUMIFS(TilgZins,TilgObj,10,TilgJahr,$C1292)</f>
      </c>
      <c r="J1292" s="43">
        <f>SUMIFS(TilgTilgung,TilgObj,10,TilgJahr,$C1292)</f>
      </c>
      <c r="K1292" s="43">
        <f>SUMIFS(TilgSonder,TilgObj,10,TilgJahr,$C1292)</f>
      </c>
      <c r="L1292" s="43">
        <f>SUMIFS(TilgErsatz,TilgObj,10,TilgJahr,$C1292)</f>
      </c>
      <c r="M1292" s="43">
        <f>MAX(0,SUMIF(DarlObj,10,DarlBetrag)-SUMIFS(TilgTilgung,TilgObj,10,TilgJahr,"&lt;="&amp;$C1292)-SUMIFS(TilgSonder,TilgObj,10,TilgJahr,"&lt;="&amp;$C1292))</f>
      </c>
      <c r="N1292" s="43">
        <f>SUMIFS(TilgErsatz,TilgObj,10,TilgJahr,"&lt;="&amp;$C1292)+SUMIFS(TilgErtrag,TilgObj,10,TilgJahr,"&lt;="&amp;$C1292)</f>
      </c>
      <c r="O1292" s="43">
        <f>INDEX(ObjWertEff,10)*(1+(Wertsteigerung)/100)^MAX(0,21)</f>
      </c>
      <c r="P1292" s="43">
        <f>IF(OR(INDEX(ObjAfaDauer,10)=0,INDEX(ObjAfaJahr,10)=0,$C1292&lt;INDEX(ObjKaufJahr,10),$C1292&gt;=INDEX(ObjKaufJahr,10)+INDEX(ObjAfaDauer,10)),0,IF($C1292=INDEX(ObjKaufJahr,10),INDEX(ObjAfaJahr,10)*(13-INDEX(ObjKaufMonat,10))/12,INDEX(ObjAfaJahr,10)))</f>
      </c>
      <c r="Q1292" s="43">
        <f>$F1292-$G1292-$H1292-$I1292-$P1292</f>
      </c>
      <c r="R1292" s="43">
        <f>$Q1292*INDEX(ObjSteuersatz,10)/100</f>
      </c>
      <c r="S1292" s="43">
        <f>$I1292+$J1292+$K1292+$L1292</f>
      </c>
      <c r="T1292" s="43">
        <f>$F1292-$G1292-$H1292-$S1292</f>
      </c>
      <c r="U1292" s="43">
        <f>$T1292-$R1292</f>
      </c>
      <c r="V1292" s="43">
        <f>$O1292-$M1292</f>
      </c>
      <c r="W1292" s="43">
        <f>$J1292+$K1292+$L1292</f>
      </c>
      <c r="X1292" s="43">
        <f>IF($O1292=0,0,$M1292/$O1292*100)</f>
      </c>
    </row>
    <row r="1293">
      <c r="A1293"/>
      <c r="B1293">
        <v>10</v>
      </c>
      <c r="C1293" s="43">
        <f>Jahr+22</f>
      </c>
      <c r="D1293">
        <v>22</v>
      </c>
      <c r="E1293" s="43">
        <f>IF(INDEX(ObjKaufJahr,10)=0,0,IF($C1293&lt;INDEX(ObjKaufJahr,10),0,IF($C1293&gt;INDEX(ObjKaufJahr,10),12,13-INDEX(ObjKaufMonat,10))))/12</f>
      </c>
      <c r="F1293" s="43">
        <f>SUMIFS(MlSumme,MlObj,10,MlJahr,$C1293)*(1-Leerstand/100)</f>
      </c>
      <c r="G1293" s="43">
        <f>INDEX(ObjLaufend,10)*(1+(Inflation)/100)^MAX(0,22)*$E1293</f>
      </c>
      <c r="H1293" s="43">
        <f>INDEX(ObjInstandBasis,10)*(1+(Inflation)/100)^MAX(0,22)*$E1293</f>
      </c>
      <c r="I1293" s="43">
        <f>SUMIFS(TilgZins,TilgObj,10,TilgJahr,$C1293)</f>
      </c>
      <c r="J1293" s="43">
        <f>SUMIFS(TilgTilgung,TilgObj,10,TilgJahr,$C1293)</f>
      </c>
      <c r="K1293" s="43">
        <f>SUMIFS(TilgSonder,TilgObj,10,TilgJahr,$C1293)</f>
      </c>
      <c r="L1293" s="43">
        <f>SUMIFS(TilgErsatz,TilgObj,10,TilgJahr,$C1293)</f>
      </c>
      <c r="M1293" s="43">
        <f>MAX(0,SUMIF(DarlObj,10,DarlBetrag)-SUMIFS(TilgTilgung,TilgObj,10,TilgJahr,"&lt;="&amp;$C1293)-SUMIFS(TilgSonder,TilgObj,10,TilgJahr,"&lt;="&amp;$C1293))</f>
      </c>
      <c r="N1293" s="43">
        <f>SUMIFS(TilgErsatz,TilgObj,10,TilgJahr,"&lt;="&amp;$C1293)+SUMIFS(TilgErtrag,TilgObj,10,TilgJahr,"&lt;="&amp;$C1293)</f>
      </c>
      <c r="O1293" s="43">
        <f>INDEX(ObjWertEff,10)*(1+(Wertsteigerung)/100)^MAX(0,22)</f>
      </c>
      <c r="P1293" s="43">
        <f>IF(OR(INDEX(ObjAfaDauer,10)=0,INDEX(ObjAfaJahr,10)=0,$C1293&lt;INDEX(ObjKaufJahr,10),$C1293&gt;=INDEX(ObjKaufJahr,10)+INDEX(ObjAfaDauer,10)),0,IF($C1293=INDEX(ObjKaufJahr,10),INDEX(ObjAfaJahr,10)*(13-INDEX(ObjKaufMonat,10))/12,INDEX(ObjAfaJahr,10)))</f>
      </c>
      <c r="Q1293" s="43">
        <f>$F1293-$G1293-$H1293-$I1293-$P1293</f>
      </c>
      <c r="R1293" s="43">
        <f>$Q1293*INDEX(ObjSteuersatz,10)/100</f>
      </c>
      <c r="S1293" s="43">
        <f>$I1293+$J1293+$K1293+$L1293</f>
      </c>
      <c r="T1293" s="43">
        <f>$F1293-$G1293-$H1293-$S1293</f>
      </c>
      <c r="U1293" s="43">
        <f>$T1293-$R1293</f>
      </c>
      <c r="V1293" s="43">
        <f>$O1293-$M1293</f>
      </c>
      <c r="W1293" s="43">
        <f>$J1293+$K1293+$L1293</f>
      </c>
      <c r="X1293" s="43">
        <f>IF($O1293=0,0,$M1293/$O1293*100)</f>
      </c>
    </row>
    <row r="1294">
      <c r="A1294"/>
      <c r="B1294">
        <v>10</v>
      </c>
      <c r="C1294" s="43">
        <f>Jahr+23</f>
      </c>
      <c r="D1294">
        <v>23</v>
      </c>
      <c r="E1294" s="43">
        <f>IF(INDEX(ObjKaufJahr,10)=0,0,IF($C1294&lt;INDEX(ObjKaufJahr,10),0,IF($C1294&gt;INDEX(ObjKaufJahr,10),12,13-INDEX(ObjKaufMonat,10))))/12</f>
      </c>
      <c r="F1294" s="43">
        <f>SUMIFS(MlSumme,MlObj,10,MlJahr,$C1294)*(1-Leerstand/100)</f>
      </c>
      <c r="G1294" s="43">
        <f>INDEX(ObjLaufend,10)*(1+(Inflation)/100)^MAX(0,23)*$E1294</f>
      </c>
      <c r="H1294" s="43">
        <f>INDEX(ObjInstandBasis,10)*(1+(Inflation)/100)^MAX(0,23)*$E1294</f>
      </c>
      <c r="I1294" s="43">
        <f>SUMIFS(TilgZins,TilgObj,10,TilgJahr,$C1294)</f>
      </c>
      <c r="J1294" s="43">
        <f>SUMIFS(TilgTilgung,TilgObj,10,TilgJahr,$C1294)</f>
      </c>
      <c r="K1294" s="43">
        <f>SUMIFS(TilgSonder,TilgObj,10,TilgJahr,$C1294)</f>
      </c>
      <c r="L1294" s="43">
        <f>SUMIFS(TilgErsatz,TilgObj,10,TilgJahr,$C1294)</f>
      </c>
      <c r="M1294" s="43">
        <f>MAX(0,SUMIF(DarlObj,10,DarlBetrag)-SUMIFS(TilgTilgung,TilgObj,10,TilgJahr,"&lt;="&amp;$C1294)-SUMIFS(TilgSonder,TilgObj,10,TilgJahr,"&lt;="&amp;$C1294))</f>
      </c>
      <c r="N1294" s="43">
        <f>SUMIFS(TilgErsatz,TilgObj,10,TilgJahr,"&lt;="&amp;$C1294)+SUMIFS(TilgErtrag,TilgObj,10,TilgJahr,"&lt;="&amp;$C1294)</f>
      </c>
      <c r="O1294" s="43">
        <f>INDEX(ObjWertEff,10)*(1+(Wertsteigerung)/100)^MAX(0,23)</f>
      </c>
      <c r="P1294" s="43">
        <f>IF(OR(INDEX(ObjAfaDauer,10)=0,INDEX(ObjAfaJahr,10)=0,$C1294&lt;INDEX(ObjKaufJahr,10),$C1294&gt;=INDEX(ObjKaufJahr,10)+INDEX(ObjAfaDauer,10)),0,IF($C1294=INDEX(ObjKaufJahr,10),INDEX(ObjAfaJahr,10)*(13-INDEX(ObjKaufMonat,10))/12,INDEX(ObjAfaJahr,10)))</f>
      </c>
      <c r="Q1294" s="43">
        <f>$F1294-$G1294-$H1294-$I1294-$P1294</f>
      </c>
      <c r="R1294" s="43">
        <f>$Q1294*INDEX(ObjSteuersatz,10)/100</f>
      </c>
      <c r="S1294" s="43">
        <f>$I1294+$J1294+$K1294+$L1294</f>
      </c>
      <c r="T1294" s="43">
        <f>$F1294-$G1294-$H1294-$S1294</f>
      </c>
      <c r="U1294" s="43">
        <f>$T1294-$R1294</f>
      </c>
      <c r="V1294" s="43">
        <f>$O1294-$M1294</f>
      </c>
      <c r="W1294" s="43">
        <f>$J1294+$K1294+$L1294</f>
      </c>
      <c r="X1294" s="43">
        <f>IF($O1294=0,0,$M1294/$O1294*100)</f>
      </c>
    </row>
    <row r="1295">
      <c r="A1295"/>
      <c r="B1295">
        <v>10</v>
      </c>
      <c r="C1295" s="43">
        <f>Jahr+24</f>
      </c>
      <c r="D1295">
        <v>24</v>
      </c>
      <c r="E1295" s="43">
        <f>IF(INDEX(ObjKaufJahr,10)=0,0,IF($C1295&lt;INDEX(ObjKaufJahr,10),0,IF($C1295&gt;INDEX(ObjKaufJahr,10),12,13-INDEX(ObjKaufMonat,10))))/12</f>
      </c>
      <c r="F1295" s="43">
        <f>SUMIFS(MlSumme,MlObj,10,MlJahr,$C1295)*(1-Leerstand/100)</f>
      </c>
      <c r="G1295" s="43">
        <f>INDEX(ObjLaufend,10)*(1+(Inflation)/100)^MAX(0,24)*$E1295</f>
      </c>
      <c r="H1295" s="43">
        <f>INDEX(ObjInstandBasis,10)*(1+(Inflation)/100)^MAX(0,24)*$E1295</f>
      </c>
      <c r="I1295" s="43">
        <f>SUMIFS(TilgZins,TilgObj,10,TilgJahr,$C1295)</f>
      </c>
      <c r="J1295" s="43">
        <f>SUMIFS(TilgTilgung,TilgObj,10,TilgJahr,$C1295)</f>
      </c>
      <c r="K1295" s="43">
        <f>SUMIFS(TilgSonder,TilgObj,10,TilgJahr,$C1295)</f>
      </c>
      <c r="L1295" s="43">
        <f>SUMIFS(TilgErsatz,TilgObj,10,TilgJahr,$C1295)</f>
      </c>
      <c r="M1295" s="43">
        <f>MAX(0,SUMIF(DarlObj,10,DarlBetrag)-SUMIFS(TilgTilgung,TilgObj,10,TilgJahr,"&lt;="&amp;$C1295)-SUMIFS(TilgSonder,TilgObj,10,TilgJahr,"&lt;="&amp;$C1295))</f>
      </c>
      <c r="N1295" s="43">
        <f>SUMIFS(TilgErsatz,TilgObj,10,TilgJahr,"&lt;="&amp;$C1295)+SUMIFS(TilgErtrag,TilgObj,10,TilgJahr,"&lt;="&amp;$C1295)</f>
      </c>
      <c r="O1295" s="43">
        <f>INDEX(ObjWertEff,10)*(1+(Wertsteigerung)/100)^MAX(0,24)</f>
      </c>
      <c r="P1295" s="43">
        <f>IF(OR(INDEX(ObjAfaDauer,10)=0,INDEX(ObjAfaJahr,10)=0,$C1295&lt;INDEX(ObjKaufJahr,10),$C1295&gt;=INDEX(ObjKaufJahr,10)+INDEX(ObjAfaDauer,10)),0,IF($C1295=INDEX(ObjKaufJahr,10),INDEX(ObjAfaJahr,10)*(13-INDEX(ObjKaufMonat,10))/12,INDEX(ObjAfaJahr,10)))</f>
      </c>
      <c r="Q1295" s="43">
        <f>$F1295-$G1295-$H1295-$I1295-$P1295</f>
      </c>
      <c r="R1295" s="43">
        <f>$Q1295*INDEX(ObjSteuersatz,10)/100</f>
      </c>
      <c r="S1295" s="43">
        <f>$I1295+$J1295+$K1295+$L1295</f>
      </c>
      <c r="T1295" s="43">
        <f>$F1295-$G1295-$H1295-$S1295</f>
      </c>
      <c r="U1295" s="43">
        <f>$T1295-$R1295</f>
      </c>
      <c r="V1295" s="43">
        <f>$O1295-$M1295</f>
      </c>
      <c r="W1295" s="43">
        <f>$J1295+$K1295+$L1295</f>
      </c>
      <c r="X1295" s="43">
        <f>IF($O1295=0,0,$M1295/$O1295*100)</f>
      </c>
    </row>
    <row r="1296">
      <c r="A1296"/>
      <c r="B1296">
        <v>10</v>
      </c>
      <c r="C1296" s="43">
        <f>Jahr+25</f>
      </c>
      <c r="D1296">
        <v>25</v>
      </c>
      <c r="E1296" s="43">
        <f>IF(INDEX(ObjKaufJahr,10)=0,0,IF($C1296&lt;INDEX(ObjKaufJahr,10),0,IF($C1296&gt;INDEX(ObjKaufJahr,10),12,13-INDEX(ObjKaufMonat,10))))/12</f>
      </c>
      <c r="F1296" s="43">
        <f>SUMIFS(MlSumme,MlObj,10,MlJahr,$C1296)*(1-Leerstand/100)</f>
      </c>
      <c r="G1296" s="43">
        <f>INDEX(ObjLaufend,10)*(1+(Inflation)/100)^MAX(0,25)*$E1296</f>
      </c>
      <c r="H1296" s="43">
        <f>INDEX(ObjInstandBasis,10)*(1+(Inflation)/100)^MAX(0,25)*$E1296</f>
      </c>
      <c r="I1296" s="43">
        <f>SUMIFS(TilgZins,TilgObj,10,TilgJahr,$C1296)</f>
      </c>
      <c r="J1296" s="43">
        <f>SUMIFS(TilgTilgung,TilgObj,10,TilgJahr,$C1296)</f>
      </c>
      <c r="K1296" s="43">
        <f>SUMIFS(TilgSonder,TilgObj,10,TilgJahr,$C1296)</f>
      </c>
      <c r="L1296" s="43">
        <f>SUMIFS(TilgErsatz,TilgObj,10,TilgJahr,$C1296)</f>
      </c>
      <c r="M1296" s="43">
        <f>MAX(0,SUMIF(DarlObj,10,DarlBetrag)-SUMIFS(TilgTilgung,TilgObj,10,TilgJahr,"&lt;="&amp;$C1296)-SUMIFS(TilgSonder,TilgObj,10,TilgJahr,"&lt;="&amp;$C1296))</f>
      </c>
      <c r="N1296" s="43">
        <f>SUMIFS(TilgErsatz,TilgObj,10,TilgJahr,"&lt;="&amp;$C1296)+SUMIFS(TilgErtrag,TilgObj,10,TilgJahr,"&lt;="&amp;$C1296)</f>
      </c>
      <c r="O1296" s="43">
        <f>INDEX(ObjWertEff,10)*(1+(Wertsteigerung)/100)^MAX(0,25)</f>
      </c>
      <c r="P1296" s="43">
        <f>IF(OR(INDEX(ObjAfaDauer,10)=0,INDEX(ObjAfaJahr,10)=0,$C1296&lt;INDEX(ObjKaufJahr,10),$C1296&gt;=INDEX(ObjKaufJahr,10)+INDEX(ObjAfaDauer,10)),0,IF($C1296=INDEX(ObjKaufJahr,10),INDEX(ObjAfaJahr,10)*(13-INDEX(ObjKaufMonat,10))/12,INDEX(ObjAfaJahr,10)))</f>
      </c>
      <c r="Q1296" s="43">
        <f>$F1296-$G1296-$H1296-$I1296-$P1296</f>
      </c>
      <c r="R1296" s="43">
        <f>$Q1296*INDEX(ObjSteuersatz,10)/100</f>
      </c>
      <c r="S1296" s="43">
        <f>$I1296+$J1296+$K1296+$L1296</f>
      </c>
      <c r="T1296" s="43">
        <f>$F1296-$G1296-$H1296-$S1296</f>
      </c>
      <c r="U1296" s="43">
        <f>$T1296-$R1296</f>
      </c>
      <c r="V1296" s="43">
        <f>$O1296-$M1296</f>
      </c>
      <c r="W1296" s="43">
        <f>$J1296+$K1296+$L1296</f>
      </c>
      <c r="X1296" s="43">
        <f>IF($O1296=0,0,$M1296/$O1296*100)</f>
      </c>
    </row>
    <row r="1297">
      <c r="A1297"/>
      <c r="B1297">
        <v>10</v>
      </c>
      <c r="C1297" s="43">
        <f>Jahr+26</f>
      </c>
      <c r="D1297">
        <v>26</v>
      </c>
      <c r="E1297" s="43">
        <f>IF(INDEX(ObjKaufJahr,10)=0,0,IF($C1297&lt;INDEX(ObjKaufJahr,10),0,IF($C1297&gt;INDEX(ObjKaufJahr,10),12,13-INDEX(ObjKaufMonat,10))))/12</f>
      </c>
      <c r="F1297" s="43">
        <f>SUMIFS(MlSumme,MlObj,10,MlJahr,$C1297)*(1-Leerstand/100)</f>
      </c>
      <c r="G1297" s="43">
        <f>INDEX(ObjLaufend,10)*(1+(Inflation)/100)^MAX(0,26)*$E1297</f>
      </c>
      <c r="H1297" s="43">
        <f>INDEX(ObjInstandBasis,10)*(1+(Inflation)/100)^MAX(0,26)*$E1297</f>
      </c>
      <c r="I1297" s="43">
        <f>SUMIFS(TilgZins,TilgObj,10,TilgJahr,$C1297)</f>
      </c>
      <c r="J1297" s="43">
        <f>SUMIFS(TilgTilgung,TilgObj,10,TilgJahr,$C1297)</f>
      </c>
      <c r="K1297" s="43">
        <f>SUMIFS(TilgSonder,TilgObj,10,TilgJahr,$C1297)</f>
      </c>
      <c r="L1297" s="43">
        <f>SUMIFS(TilgErsatz,TilgObj,10,TilgJahr,$C1297)</f>
      </c>
      <c r="M1297" s="43">
        <f>MAX(0,SUMIF(DarlObj,10,DarlBetrag)-SUMIFS(TilgTilgung,TilgObj,10,TilgJahr,"&lt;="&amp;$C1297)-SUMIFS(TilgSonder,TilgObj,10,TilgJahr,"&lt;="&amp;$C1297))</f>
      </c>
      <c r="N1297" s="43">
        <f>SUMIFS(TilgErsatz,TilgObj,10,TilgJahr,"&lt;="&amp;$C1297)+SUMIFS(TilgErtrag,TilgObj,10,TilgJahr,"&lt;="&amp;$C1297)</f>
      </c>
      <c r="O1297" s="43">
        <f>INDEX(ObjWertEff,10)*(1+(Wertsteigerung)/100)^MAX(0,26)</f>
      </c>
      <c r="P1297" s="43">
        <f>IF(OR(INDEX(ObjAfaDauer,10)=0,INDEX(ObjAfaJahr,10)=0,$C1297&lt;INDEX(ObjKaufJahr,10),$C1297&gt;=INDEX(ObjKaufJahr,10)+INDEX(ObjAfaDauer,10)),0,IF($C1297=INDEX(ObjKaufJahr,10),INDEX(ObjAfaJahr,10)*(13-INDEX(ObjKaufMonat,10))/12,INDEX(ObjAfaJahr,10)))</f>
      </c>
      <c r="Q1297" s="43">
        <f>$F1297-$G1297-$H1297-$I1297-$P1297</f>
      </c>
      <c r="R1297" s="43">
        <f>$Q1297*INDEX(ObjSteuersatz,10)/100</f>
      </c>
      <c r="S1297" s="43">
        <f>$I1297+$J1297+$K1297+$L1297</f>
      </c>
      <c r="T1297" s="43">
        <f>$F1297-$G1297-$H1297-$S1297</f>
      </c>
      <c r="U1297" s="43">
        <f>$T1297-$R1297</f>
      </c>
      <c r="V1297" s="43">
        <f>$O1297-$M1297</f>
      </c>
      <c r="W1297" s="43">
        <f>$J1297+$K1297+$L1297</f>
      </c>
      <c r="X1297" s="43">
        <f>IF($O1297=0,0,$M1297/$O1297*100)</f>
      </c>
    </row>
    <row r="1298">
      <c r="A1298"/>
      <c r="B1298">
        <v>10</v>
      </c>
      <c r="C1298" s="43">
        <f>Jahr+27</f>
      </c>
      <c r="D1298">
        <v>27</v>
      </c>
      <c r="E1298" s="43">
        <f>IF(INDEX(ObjKaufJahr,10)=0,0,IF($C1298&lt;INDEX(ObjKaufJahr,10),0,IF($C1298&gt;INDEX(ObjKaufJahr,10),12,13-INDEX(ObjKaufMonat,10))))/12</f>
      </c>
      <c r="F1298" s="43">
        <f>SUMIFS(MlSumme,MlObj,10,MlJahr,$C1298)*(1-Leerstand/100)</f>
      </c>
      <c r="G1298" s="43">
        <f>INDEX(ObjLaufend,10)*(1+(Inflation)/100)^MAX(0,27)*$E1298</f>
      </c>
      <c r="H1298" s="43">
        <f>INDEX(ObjInstandBasis,10)*(1+(Inflation)/100)^MAX(0,27)*$E1298</f>
      </c>
      <c r="I1298" s="43">
        <f>SUMIFS(TilgZins,TilgObj,10,TilgJahr,$C1298)</f>
      </c>
      <c r="J1298" s="43">
        <f>SUMIFS(TilgTilgung,TilgObj,10,TilgJahr,$C1298)</f>
      </c>
      <c r="K1298" s="43">
        <f>SUMIFS(TilgSonder,TilgObj,10,TilgJahr,$C1298)</f>
      </c>
      <c r="L1298" s="43">
        <f>SUMIFS(TilgErsatz,TilgObj,10,TilgJahr,$C1298)</f>
      </c>
      <c r="M1298" s="43">
        <f>MAX(0,SUMIF(DarlObj,10,DarlBetrag)-SUMIFS(TilgTilgung,TilgObj,10,TilgJahr,"&lt;="&amp;$C1298)-SUMIFS(TilgSonder,TilgObj,10,TilgJahr,"&lt;="&amp;$C1298))</f>
      </c>
      <c r="N1298" s="43">
        <f>SUMIFS(TilgErsatz,TilgObj,10,TilgJahr,"&lt;="&amp;$C1298)+SUMIFS(TilgErtrag,TilgObj,10,TilgJahr,"&lt;="&amp;$C1298)</f>
      </c>
      <c r="O1298" s="43">
        <f>INDEX(ObjWertEff,10)*(1+(Wertsteigerung)/100)^MAX(0,27)</f>
      </c>
      <c r="P1298" s="43">
        <f>IF(OR(INDEX(ObjAfaDauer,10)=0,INDEX(ObjAfaJahr,10)=0,$C1298&lt;INDEX(ObjKaufJahr,10),$C1298&gt;=INDEX(ObjKaufJahr,10)+INDEX(ObjAfaDauer,10)),0,IF($C1298=INDEX(ObjKaufJahr,10),INDEX(ObjAfaJahr,10)*(13-INDEX(ObjKaufMonat,10))/12,INDEX(ObjAfaJahr,10)))</f>
      </c>
      <c r="Q1298" s="43">
        <f>$F1298-$G1298-$H1298-$I1298-$P1298</f>
      </c>
      <c r="R1298" s="43">
        <f>$Q1298*INDEX(ObjSteuersatz,10)/100</f>
      </c>
      <c r="S1298" s="43">
        <f>$I1298+$J1298+$K1298+$L1298</f>
      </c>
      <c r="T1298" s="43">
        <f>$F1298-$G1298-$H1298-$S1298</f>
      </c>
      <c r="U1298" s="43">
        <f>$T1298-$R1298</f>
      </c>
      <c r="V1298" s="43">
        <f>$O1298-$M1298</f>
      </c>
      <c r="W1298" s="43">
        <f>$J1298+$K1298+$L1298</f>
      </c>
      <c r="X1298" s="43">
        <f>IF($O1298=0,0,$M1298/$O1298*100)</f>
      </c>
    </row>
    <row r="1299">
      <c r="A1299"/>
      <c r="B1299">
        <v>10</v>
      </c>
      <c r="C1299" s="43">
        <f>Jahr+28</f>
      </c>
      <c r="D1299">
        <v>28</v>
      </c>
      <c r="E1299" s="43">
        <f>IF(INDEX(ObjKaufJahr,10)=0,0,IF($C1299&lt;INDEX(ObjKaufJahr,10),0,IF($C1299&gt;INDEX(ObjKaufJahr,10),12,13-INDEX(ObjKaufMonat,10))))/12</f>
      </c>
      <c r="F1299" s="43">
        <f>SUMIFS(MlSumme,MlObj,10,MlJahr,$C1299)*(1-Leerstand/100)</f>
      </c>
      <c r="G1299" s="43">
        <f>INDEX(ObjLaufend,10)*(1+(Inflation)/100)^MAX(0,28)*$E1299</f>
      </c>
      <c r="H1299" s="43">
        <f>INDEX(ObjInstandBasis,10)*(1+(Inflation)/100)^MAX(0,28)*$E1299</f>
      </c>
      <c r="I1299" s="43">
        <f>SUMIFS(TilgZins,TilgObj,10,TilgJahr,$C1299)</f>
      </c>
      <c r="J1299" s="43">
        <f>SUMIFS(TilgTilgung,TilgObj,10,TilgJahr,$C1299)</f>
      </c>
      <c r="K1299" s="43">
        <f>SUMIFS(TilgSonder,TilgObj,10,TilgJahr,$C1299)</f>
      </c>
      <c r="L1299" s="43">
        <f>SUMIFS(TilgErsatz,TilgObj,10,TilgJahr,$C1299)</f>
      </c>
      <c r="M1299" s="43">
        <f>MAX(0,SUMIF(DarlObj,10,DarlBetrag)-SUMIFS(TilgTilgung,TilgObj,10,TilgJahr,"&lt;="&amp;$C1299)-SUMIFS(TilgSonder,TilgObj,10,TilgJahr,"&lt;="&amp;$C1299))</f>
      </c>
      <c r="N1299" s="43">
        <f>SUMIFS(TilgErsatz,TilgObj,10,TilgJahr,"&lt;="&amp;$C1299)+SUMIFS(TilgErtrag,TilgObj,10,TilgJahr,"&lt;="&amp;$C1299)</f>
      </c>
      <c r="O1299" s="43">
        <f>INDEX(ObjWertEff,10)*(1+(Wertsteigerung)/100)^MAX(0,28)</f>
      </c>
      <c r="P1299" s="43">
        <f>IF(OR(INDEX(ObjAfaDauer,10)=0,INDEX(ObjAfaJahr,10)=0,$C1299&lt;INDEX(ObjKaufJahr,10),$C1299&gt;=INDEX(ObjKaufJahr,10)+INDEX(ObjAfaDauer,10)),0,IF($C1299=INDEX(ObjKaufJahr,10),INDEX(ObjAfaJahr,10)*(13-INDEX(ObjKaufMonat,10))/12,INDEX(ObjAfaJahr,10)))</f>
      </c>
      <c r="Q1299" s="43">
        <f>$F1299-$G1299-$H1299-$I1299-$P1299</f>
      </c>
      <c r="R1299" s="43">
        <f>$Q1299*INDEX(ObjSteuersatz,10)/100</f>
      </c>
      <c r="S1299" s="43">
        <f>$I1299+$J1299+$K1299+$L1299</f>
      </c>
      <c r="T1299" s="43">
        <f>$F1299-$G1299-$H1299-$S1299</f>
      </c>
      <c r="U1299" s="43">
        <f>$T1299-$R1299</f>
      </c>
      <c r="V1299" s="43">
        <f>$O1299-$M1299</f>
      </c>
      <c r="W1299" s="43">
        <f>$J1299+$K1299+$L1299</f>
      </c>
      <c r="X1299" s="43">
        <f>IF($O1299=0,0,$M1299/$O1299*100)</f>
      </c>
    </row>
    <row r="1300">
      <c r="A1300"/>
      <c r="B1300">
        <v>10</v>
      </c>
      <c r="C1300" s="43">
        <f>Jahr+29</f>
      </c>
      <c r="D1300">
        <v>29</v>
      </c>
      <c r="E1300" s="43">
        <f>IF(INDEX(ObjKaufJahr,10)=0,0,IF($C1300&lt;INDEX(ObjKaufJahr,10),0,IF($C1300&gt;INDEX(ObjKaufJahr,10),12,13-INDEX(ObjKaufMonat,10))))/12</f>
      </c>
      <c r="F1300" s="43">
        <f>SUMIFS(MlSumme,MlObj,10,MlJahr,$C1300)*(1-Leerstand/100)</f>
      </c>
      <c r="G1300" s="43">
        <f>INDEX(ObjLaufend,10)*(1+(Inflation)/100)^MAX(0,29)*$E1300</f>
      </c>
      <c r="H1300" s="43">
        <f>INDEX(ObjInstandBasis,10)*(1+(Inflation)/100)^MAX(0,29)*$E1300</f>
      </c>
      <c r="I1300" s="43">
        <f>SUMIFS(TilgZins,TilgObj,10,TilgJahr,$C1300)</f>
      </c>
      <c r="J1300" s="43">
        <f>SUMIFS(TilgTilgung,TilgObj,10,TilgJahr,$C1300)</f>
      </c>
      <c r="K1300" s="43">
        <f>SUMIFS(TilgSonder,TilgObj,10,TilgJahr,$C1300)</f>
      </c>
      <c r="L1300" s="43">
        <f>SUMIFS(TilgErsatz,TilgObj,10,TilgJahr,$C1300)</f>
      </c>
      <c r="M1300" s="43">
        <f>MAX(0,SUMIF(DarlObj,10,DarlBetrag)-SUMIFS(TilgTilgung,TilgObj,10,TilgJahr,"&lt;="&amp;$C1300)-SUMIFS(TilgSonder,TilgObj,10,TilgJahr,"&lt;="&amp;$C1300))</f>
      </c>
      <c r="N1300" s="43">
        <f>SUMIFS(TilgErsatz,TilgObj,10,TilgJahr,"&lt;="&amp;$C1300)+SUMIFS(TilgErtrag,TilgObj,10,TilgJahr,"&lt;="&amp;$C1300)</f>
      </c>
      <c r="O1300" s="43">
        <f>INDEX(ObjWertEff,10)*(1+(Wertsteigerung)/100)^MAX(0,29)</f>
      </c>
      <c r="P1300" s="43">
        <f>IF(OR(INDEX(ObjAfaDauer,10)=0,INDEX(ObjAfaJahr,10)=0,$C1300&lt;INDEX(ObjKaufJahr,10),$C1300&gt;=INDEX(ObjKaufJahr,10)+INDEX(ObjAfaDauer,10)),0,IF($C1300=INDEX(ObjKaufJahr,10),INDEX(ObjAfaJahr,10)*(13-INDEX(ObjKaufMonat,10))/12,INDEX(ObjAfaJahr,10)))</f>
      </c>
      <c r="Q1300" s="43">
        <f>$F1300-$G1300-$H1300-$I1300-$P1300</f>
      </c>
      <c r="R1300" s="43">
        <f>$Q1300*INDEX(ObjSteuersatz,10)/100</f>
      </c>
      <c r="S1300" s="43">
        <f>$I1300+$J1300+$K1300+$L1300</f>
      </c>
      <c r="T1300" s="43">
        <f>$F1300-$G1300-$H1300-$S1300</f>
      </c>
      <c r="U1300" s="43">
        <f>$T1300-$R1300</f>
      </c>
      <c r="V1300" s="43">
        <f>$O1300-$M1300</f>
      </c>
      <c r="W1300" s="43">
        <f>$J1300+$K1300+$L1300</f>
      </c>
      <c r="X1300" s="43">
        <f>IF($O1300=0,0,$M1300/$O1300*100)</f>
      </c>
    </row>
    <row r="1301">
      <c r="A1301"/>
      <c r="B1301">
        <v>10</v>
      </c>
      <c r="C1301" s="43">
        <f>Jahr+30</f>
      </c>
      <c r="D1301">
        <v>30</v>
      </c>
      <c r="E1301" s="43">
        <f>IF(INDEX(ObjKaufJahr,10)=0,0,IF($C1301&lt;INDEX(ObjKaufJahr,10),0,IF($C1301&gt;INDEX(ObjKaufJahr,10),12,13-INDEX(ObjKaufMonat,10))))/12</f>
      </c>
      <c r="F1301" s="43">
        <f>SUMIFS(MlSumme,MlObj,10,MlJahr,$C1301)*(1-Leerstand/100)</f>
      </c>
      <c r="G1301" s="43">
        <f>INDEX(ObjLaufend,10)*(1+(Inflation)/100)^MAX(0,30)*$E1301</f>
      </c>
      <c r="H1301" s="43">
        <f>INDEX(ObjInstandBasis,10)*(1+(Inflation)/100)^MAX(0,30)*$E1301</f>
      </c>
      <c r="I1301" s="43">
        <f>SUMIFS(TilgZins,TilgObj,10,TilgJahr,$C1301)</f>
      </c>
      <c r="J1301" s="43">
        <f>SUMIFS(TilgTilgung,TilgObj,10,TilgJahr,$C1301)</f>
      </c>
      <c r="K1301" s="43">
        <f>SUMIFS(TilgSonder,TilgObj,10,TilgJahr,$C1301)</f>
      </c>
      <c r="L1301" s="43">
        <f>SUMIFS(TilgErsatz,TilgObj,10,TilgJahr,$C1301)</f>
      </c>
      <c r="M1301" s="43">
        <f>MAX(0,SUMIF(DarlObj,10,DarlBetrag)-SUMIFS(TilgTilgung,TilgObj,10,TilgJahr,"&lt;="&amp;$C1301)-SUMIFS(TilgSonder,TilgObj,10,TilgJahr,"&lt;="&amp;$C1301))</f>
      </c>
      <c r="N1301" s="43">
        <f>SUMIFS(TilgErsatz,TilgObj,10,TilgJahr,"&lt;="&amp;$C1301)+SUMIFS(TilgErtrag,TilgObj,10,TilgJahr,"&lt;="&amp;$C1301)</f>
      </c>
      <c r="O1301" s="43">
        <f>INDEX(ObjWertEff,10)*(1+(Wertsteigerung)/100)^MAX(0,30)</f>
      </c>
      <c r="P1301" s="43">
        <f>IF(OR(INDEX(ObjAfaDauer,10)=0,INDEX(ObjAfaJahr,10)=0,$C1301&lt;INDEX(ObjKaufJahr,10),$C1301&gt;=INDEX(ObjKaufJahr,10)+INDEX(ObjAfaDauer,10)),0,IF($C1301=INDEX(ObjKaufJahr,10),INDEX(ObjAfaJahr,10)*(13-INDEX(ObjKaufMonat,10))/12,INDEX(ObjAfaJahr,10)))</f>
      </c>
      <c r="Q1301" s="43">
        <f>$F1301-$G1301-$H1301-$I1301-$P1301</f>
      </c>
      <c r="R1301" s="43">
        <f>$Q1301*INDEX(ObjSteuersatz,10)/100</f>
      </c>
      <c r="S1301" s="43">
        <f>$I1301+$J1301+$K1301+$L1301</f>
      </c>
      <c r="T1301" s="43">
        <f>$F1301-$G1301-$H1301-$S1301</f>
      </c>
      <c r="U1301" s="43">
        <f>$T1301-$R1301</f>
      </c>
      <c r="V1301" s="43">
        <f>$O1301-$M1301</f>
      </c>
      <c r="W1301" s="43">
        <f>$J1301+$K1301+$L1301</f>
      </c>
      <c r="X1301" s="43">
        <f>IF($O1301=0,0,$M1301/$O1301*100)</f>
      </c>
    </row>
    <row r="1304">
      <c r="A1304"/>
      <c r="B1304" s="4" t="inlineStr">
        <is>
          <t xml:space="preserve">E · Ist-Kennzahlen je Objekt zum Stichtag</t>
        </is>
      </c>
    </row>
    <row r="1305">
      <c r="A1305"/>
      <c r="B1305" s="24" t="inlineStr">
        <is>
          <t xml:space="preserve">obj</t>
        </is>
      </c>
      <c r="C1305" s="24" t="inlineStr">
        <is>
          <t xml:space="preserve">invest</t>
        </is>
      </c>
      <c r="D1305" s="24" t="inlineStr">
        <is>
          <t xml:space="preserve">nkSumme</t>
        </is>
      </c>
      <c r="E1305" s="24" t="inlineStr">
        <is>
          <t xml:space="preserve">wert</t>
        </is>
      </c>
      <c r="F1305" s="24" t="inlineStr">
        <is>
          <t xml:space="preserve">flaeche</t>
        </is>
      </c>
      <c r="G1305" s="24" t="inlineStr">
        <is>
          <t xml:space="preserve">mieteMonat</t>
        </is>
      </c>
      <c r="H1305" s="24" t="inlineStr">
        <is>
          <t xml:space="preserve">runrate</t>
        </is>
      </c>
      <c r="I1305" s="24" t="inlineStr">
        <is>
          <t xml:space="preserve">nkMonat</t>
        </is>
      </c>
      <c r="J1305" s="24" t="inlineStr">
        <is>
          <t xml:space="preserve">einheiten</t>
        </is>
      </c>
      <c r="K1305" s="24" t="inlineStr">
        <is>
          <t xml:space="preserve">vermietet</t>
        </is>
      </c>
      <c r="L1305" s="24" t="inlineStr">
        <is>
          <t xml:space="preserve">leerstand</t>
        </is>
      </c>
      <c r="M1305" s="24" t="inlineStr">
        <is>
          <t xml:space="preserve">bewirtVoll</t>
        </is>
      </c>
      <c r="N1305" s="24" t="inlineStr">
        <is>
          <t xml:space="preserve">darlehen</t>
        </is>
      </c>
      <c r="O1305" s="24" t="inlineStr">
        <is>
          <t xml:space="preserve">rest</t>
        </is>
      </c>
      <c r="P1305" s="24" t="inlineStr">
        <is>
          <t xml:space="preserve">zins12</t>
        </is>
      </c>
      <c r="Q1305" s="24" t="inlineStr">
        <is>
          <t xml:space="preserve">tilgung12</t>
        </is>
      </c>
      <c r="R1305" s="24" t="inlineStr">
        <is>
          <t xml:space="preserve">sonder12</t>
        </is>
      </c>
      <c r="S1305" s="24" t="inlineStr">
        <is>
          <t xml:space="preserve">ersatz12</t>
        </is>
      </c>
      <c r="T1305" s="24" t="inlineStr">
        <is>
          <t xml:space="preserve">kapital12</t>
        </is>
      </c>
      <c r="U1305" s="24" t="inlineStr">
        <is>
          <t xml:space="preserve">rateMonat</t>
        </is>
      </c>
      <c r="V1305" s="24" t="inlineStr">
        <is>
          <t xml:space="preserve">istMiete</t>
        </is>
      </c>
      <c r="W1305" s="24" t="inlineStr">
        <is>
          <t xml:space="preserve">istNk</t>
        </is>
      </c>
      <c r="X1305" s="24" t="inlineStr">
        <is>
          <t xml:space="preserve">istHausgeld</t>
        </is>
      </c>
      <c r="Y1305" s="24" t="inlineStr">
        <is>
          <t xml:space="preserve">istVerwaltung</t>
        </is>
      </c>
      <c r="Z1305" s="24" t="inlineStr">
        <is>
          <t xml:space="preserve">istInstand</t>
        </is>
      </c>
      <c r="AA1305" s="24" t="inlineStr">
        <is>
          <t xml:space="preserve">istSonstige</t>
        </is>
      </c>
      <c r="AB1305" s="24" t="inlineStr">
        <is>
          <t xml:space="preserve">istBewirt</t>
        </is>
      </c>
      <c r="AC1305" s="24" t="inlineStr">
        <is>
          <t xml:space="preserve">istZins</t>
        </is>
      </c>
      <c r="AD1305" s="24" t="inlineStr">
        <is>
          <t xml:space="preserve">istTilgung</t>
        </is>
      </c>
      <c r="AE1305" s="24" t="inlineStr">
        <is>
          <t xml:space="preserve">istSonder</t>
        </is>
      </c>
      <c r="AF1305" s="24" t="inlineStr">
        <is>
          <t xml:space="preserve">istErsatz</t>
        </is>
      </c>
      <c r="AG1305" s="24" t="inlineStr">
        <is>
          <t xml:space="preserve">istKapital</t>
        </is>
      </c>
      <c r="AH1305" s="24" t="inlineStr">
        <is>
          <t xml:space="preserve">afaJahr</t>
        </is>
      </c>
      <c r="AI1305" s="24" t="inlineStr">
        <is>
          <t xml:space="preserve">afaVoll</t>
        </is>
      </c>
      <c r="AJ1305" s="24" t="inlineStr">
        <is>
          <t xml:space="preserve">werbung</t>
        </is>
      </c>
      <c r="AK1305" s="24" t="inlineStr">
        <is>
          <t xml:space="preserve">einkuenfte</t>
        </is>
      </c>
      <c r="AL1305" s="24" t="inlineStr">
        <is>
          <t xml:space="preserve">steuersatz</t>
        </is>
      </c>
      <c r="AM1305" s="24" t="inlineStr">
        <is>
          <t xml:space="preserve">steuer</t>
        </is>
      </c>
      <c r="AN1305" s="24" t="inlineStr">
        <is>
          <t xml:space="preserve">cfVor</t>
        </is>
      </c>
      <c r="AO1305" s="24" t="inlineStr">
        <is>
          <t xml:space="preserve">cfNach</t>
        </is>
      </c>
      <c r="AP1305" s="24" t="inlineStr">
        <is>
          <t xml:space="preserve">cfRunrate</t>
        </is>
      </c>
      <c r="AQ1305" s="24" t="inlineStr">
        <is>
          <t xml:space="preserve">einkRunrate</t>
        </is>
      </c>
      <c r="AR1305" s="24" t="inlineStr">
        <is>
          <t xml:space="preserve">steuerRunrate</t>
        </is>
      </c>
      <c r="AS1305" s="24" t="inlineStr">
        <is>
          <t xml:space="preserve">cfRunrateNach</t>
        </is>
      </c>
      <c r="AT1305" s="24" t="inlineStr">
        <is>
          <t xml:space="preserve">ekEingesetzt</t>
        </is>
      </c>
      <c r="AU1305" s="24" t="inlineStr">
        <is>
          <t xml:space="preserve">ek</t>
        </is>
      </c>
      <c r="AV1305" s="24" t="inlineStr">
        <is>
          <t xml:space="preserve">getilgt</t>
        </is>
      </c>
      <c r="AW1305" s="24" t="inlineStr">
        <is>
          <t xml:space="preserve">ersatzEin</t>
        </is>
      </c>
      <c r="AX1305" s="24" t="inlineStr">
        <is>
          <t xml:space="preserve">ersatzGut</t>
        </is>
      </c>
    </row>
    <row r="1306">
      <c r="A1306"/>
      <c r="B1306">
        <v>1</v>
      </c>
      <c r="C1306" s="43">
        <f>INDEX(ObjInvest,1)</f>
      </c>
      <c r="D1306" s="43">
        <f>INDEX(ObjNkSumme,1)</f>
      </c>
      <c r="E1306" s="43">
        <f>INDEX(ObjWertEff,1)</f>
      </c>
      <c r="F1306" s="43">
        <f>INDEX(ObjFlaeche,1)</f>
      </c>
      <c r="G1306" s="43">
        <f>SUMIF(MvObj,1,MvKalt)</f>
      </c>
      <c r="H1306" s="43">
        <f>$G1306*12</f>
      </c>
      <c r="I1306" s="43">
        <f>SUMIF(MvObj,1,MvNk)</f>
      </c>
      <c r="J1306" s="43">
        <f>COUNTIF(EhObj,1)</f>
      </c>
      <c r="K1306" s="43">
        <f>SUMIF(EhObj,1,EhVermietet)</f>
      </c>
      <c r="L1306" s="43">
        <f>$J1306-$K1306</f>
      </c>
      <c r="M1306" s="43">
        <f>INDEX(ObjBewirt,1)</f>
      </c>
      <c r="N1306" s="43">
        <f>SUMIF(DarlObj,1,DarlBetrag)</f>
      </c>
      <c r="O1306" s="43">
        <f>MAX(0,$N1306-SUMIFS(TilgTilgung,TilgObj,1,TilgDatum,"&lt;="&amp;Stichtag)-SUMIFS(TilgSonder,TilgObj,1,TilgDatum,"&lt;="&amp;Stichtag))</f>
      </c>
      <c r="P1306" s="43">
        <f>SUMIFS(TilgZins,TilgObj,1,TilgDatum,"&gt;"&amp;Stichtag,TilgDatum,"&lt;="&amp;DATE(YEAR(Stichtag)+1,MONTH(Stichtag),DAY(Stichtag)))</f>
      </c>
      <c r="Q1306" s="43">
        <f>SUMIFS(TilgTilgung,TilgObj,1,TilgDatum,"&gt;"&amp;Stichtag,TilgDatum,"&lt;="&amp;DATE(YEAR(Stichtag)+1,MONTH(Stichtag),DAY(Stichtag)))</f>
      </c>
      <c r="R1306" s="43">
        <f>SUMIFS(TilgSonder,TilgObj,1,TilgDatum,"&gt;"&amp;Stichtag,TilgDatum,"&lt;="&amp;DATE(YEAR(Stichtag)+1,MONTH(Stichtag),DAY(Stichtag)))</f>
      </c>
      <c r="S1306" s="43">
        <f>SUMIFS(TilgErsatz,TilgObj,1,TilgDatum,"&gt;"&amp;Stichtag,TilgDatum,"&lt;="&amp;DATE(YEAR(Stichtag)+1,MONTH(Stichtag),DAY(Stichtag)))</f>
      </c>
      <c r="T1306" s="43">
        <f>$P1306+$Q1306+$R1306+$S1306</f>
      </c>
      <c r="U1306" s="43">
        <f>SUMIFS(TilgZins,TilgObj,1,TilgDatum,EOMONTH(Stichtag,0)+1)+SUMIFS(TilgTilgung,TilgObj,1,TilgDatum,EOMONTH(Stichtag,0)+1)+SUMIFS(TilgErsatz,TilgObj,1,TilgDatum,EOMONTH(Stichtag,0)+1)</f>
      </c>
      <c r="V1306" s="43">
        <f>INDEX(ZahlSumme,1)</f>
      </c>
      <c r="W1306" s="43">
        <f>INDEX(ZahlSumme,2)</f>
      </c>
      <c r="X1306" s="43">
        <f>INDEX(ZahlSumme,3)</f>
      </c>
      <c r="Y1306" s="43">
        <f>INDEX(ZahlSumme,4)</f>
      </c>
      <c r="Z1306" s="43">
        <f>INDEX(ZahlSumme,5)</f>
      </c>
      <c r="AA1306" s="43">
        <f>INDEX(ZahlSumme,6)</f>
      </c>
      <c r="AB1306" s="43">
        <f>$X1306+$Y1306+$Z1306+$AA1306</f>
      </c>
      <c r="AC1306" s="43">
        <f>INDEX(ZahlSumme,7)</f>
      </c>
      <c r="AD1306" s="43">
        <f>INDEX(ZahlSumme,8)</f>
      </c>
      <c r="AE1306" s="43">
        <f>INDEX(ZahlSumme,9)</f>
      </c>
      <c r="AF1306" s="43">
        <f>INDEX(ZahlSumme,10)</f>
      </c>
      <c r="AG1306" s="43">
        <f>$AC1306+$AD1306+$AE1306+$AF1306</f>
      </c>
      <c r="AH1306" s="43">
        <f>INDEX(OjAfa,1)</f>
      </c>
      <c r="AI1306" s="43">
        <f>INDEX(ObjAfaJahr,1)</f>
      </c>
      <c r="AJ1306" s="43">
        <f>$AB1306+$AC1306+$AH1306</f>
      </c>
      <c r="AK1306" s="43">
        <f>$V1306-$AJ1306</f>
      </c>
      <c r="AL1306" s="43">
        <f>INDEX(ObjSteuersatz,1)</f>
      </c>
      <c r="AM1306" s="43">
        <f>$AK1306*$AL1306/100</f>
      </c>
      <c r="AN1306" s="43">
        <f>$V1306-$AB1306-$AG1306</f>
      </c>
      <c r="AO1306" s="43">
        <f>$AN1306-$AM1306</f>
      </c>
      <c r="AP1306" s="43">
        <f>$H1306-$M1306-$T1306</f>
      </c>
      <c r="AQ1306" s="43">
        <f>$H1306-$M1306-$P1306-$AI1306</f>
      </c>
      <c r="AR1306" s="43">
        <f>$AQ1306*$AL1306/100</f>
      </c>
      <c r="AS1306" s="43">
        <f>$AP1306-$AR1306</f>
      </c>
      <c r="AT1306" s="43">
        <f>MAX(0,$C1306-$N1306)</f>
      </c>
      <c r="AU1306" s="43">
        <f>$E1306-$O1306</f>
      </c>
      <c r="AV1306" s="43">
        <f>MAX(0,$N1306-$O1306)</f>
      </c>
      <c r="AW1306" s="43">
        <f>SUMIFS(TilgErsatz,TilgObj,1,TilgDatum,"&lt;="&amp;Stichtag)</f>
      </c>
      <c r="AX1306" s="43">
        <f>$AW1306+SUMIFS(TilgErtrag,TilgObj,1,TilgDatum,"&lt;="&amp;Stichtag)</f>
      </c>
    </row>
    <row r="1307">
      <c r="A1307"/>
      <c r="B1307">
        <v>2</v>
      </c>
      <c r="C1307" s="43">
        <f>INDEX(ObjInvest,2)</f>
      </c>
      <c r="D1307" s="43">
        <f>INDEX(ObjNkSumme,2)</f>
      </c>
      <c r="E1307" s="43">
        <f>INDEX(ObjWertEff,2)</f>
      </c>
      <c r="F1307" s="43">
        <f>INDEX(ObjFlaeche,2)</f>
      </c>
      <c r="G1307" s="43">
        <f>SUMIF(MvObj,2,MvKalt)</f>
      </c>
      <c r="H1307" s="43">
        <f>$G1307*12</f>
      </c>
      <c r="I1307" s="43">
        <f>SUMIF(MvObj,2,MvNk)</f>
      </c>
      <c r="J1307" s="43">
        <f>COUNTIF(EhObj,2)</f>
      </c>
      <c r="K1307" s="43">
        <f>SUMIF(EhObj,2,EhVermietet)</f>
      </c>
      <c r="L1307" s="43">
        <f>$J1307-$K1307</f>
      </c>
      <c r="M1307" s="43">
        <f>INDEX(ObjBewirt,2)</f>
      </c>
      <c r="N1307" s="43">
        <f>SUMIF(DarlObj,2,DarlBetrag)</f>
      </c>
      <c r="O1307" s="43">
        <f>MAX(0,$N1307-SUMIFS(TilgTilgung,TilgObj,2,TilgDatum,"&lt;="&amp;Stichtag)-SUMIFS(TilgSonder,TilgObj,2,TilgDatum,"&lt;="&amp;Stichtag))</f>
      </c>
      <c r="P1307" s="43">
        <f>SUMIFS(TilgZins,TilgObj,2,TilgDatum,"&gt;"&amp;Stichtag,TilgDatum,"&lt;="&amp;DATE(YEAR(Stichtag)+1,MONTH(Stichtag),DAY(Stichtag)))</f>
      </c>
      <c r="Q1307" s="43">
        <f>SUMIFS(TilgTilgung,TilgObj,2,TilgDatum,"&gt;"&amp;Stichtag,TilgDatum,"&lt;="&amp;DATE(YEAR(Stichtag)+1,MONTH(Stichtag),DAY(Stichtag)))</f>
      </c>
      <c r="R1307" s="43">
        <f>SUMIFS(TilgSonder,TilgObj,2,TilgDatum,"&gt;"&amp;Stichtag,TilgDatum,"&lt;="&amp;DATE(YEAR(Stichtag)+1,MONTH(Stichtag),DAY(Stichtag)))</f>
      </c>
      <c r="S1307" s="43">
        <f>SUMIFS(TilgErsatz,TilgObj,2,TilgDatum,"&gt;"&amp;Stichtag,TilgDatum,"&lt;="&amp;DATE(YEAR(Stichtag)+1,MONTH(Stichtag),DAY(Stichtag)))</f>
      </c>
      <c r="T1307" s="43">
        <f>$P1307+$Q1307+$R1307+$S1307</f>
      </c>
      <c r="U1307" s="43">
        <f>SUMIFS(TilgZins,TilgObj,2,TilgDatum,EOMONTH(Stichtag,0)+1)+SUMIFS(TilgTilgung,TilgObj,2,TilgDatum,EOMONTH(Stichtag,0)+1)+SUMIFS(TilgErsatz,TilgObj,2,TilgDatum,EOMONTH(Stichtag,0)+1)</f>
      </c>
      <c r="V1307" s="43">
        <f>INDEX(ZahlSumme,11)</f>
      </c>
      <c r="W1307" s="43">
        <f>INDEX(ZahlSumme,12)</f>
      </c>
      <c r="X1307" s="43">
        <f>INDEX(ZahlSumme,13)</f>
      </c>
      <c r="Y1307" s="43">
        <f>INDEX(ZahlSumme,14)</f>
      </c>
      <c r="Z1307" s="43">
        <f>INDEX(ZahlSumme,15)</f>
      </c>
      <c r="AA1307" s="43">
        <f>INDEX(ZahlSumme,16)</f>
      </c>
      <c r="AB1307" s="43">
        <f>$X1307+$Y1307+$Z1307+$AA1307</f>
      </c>
      <c r="AC1307" s="43">
        <f>INDEX(ZahlSumme,17)</f>
      </c>
      <c r="AD1307" s="43">
        <f>INDEX(ZahlSumme,18)</f>
      </c>
      <c r="AE1307" s="43">
        <f>INDEX(ZahlSumme,19)</f>
      </c>
      <c r="AF1307" s="43">
        <f>INDEX(ZahlSumme,20)</f>
      </c>
      <c r="AG1307" s="43">
        <f>$AC1307+$AD1307+$AE1307+$AF1307</f>
      </c>
      <c r="AH1307" s="43">
        <f>INDEX(OjAfa,32)</f>
      </c>
      <c r="AI1307" s="43">
        <f>INDEX(ObjAfaJahr,2)</f>
      </c>
      <c r="AJ1307" s="43">
        <f>$AB1307+$AC1307+$AH1307</f>
      </c>
      <c r="AK1307" s="43">
        <f>$V1307-$AJ1307</f>
      </c>
      <c r="AL1307" s="43">
        <f>INDEX(ObjSteuersatz,2)</f>
      </c>
      <c r="AM1307" s="43">
        <f>$AK1307*$AL1307/100</f>
      </c>
      <c r="AN1307" s="43">
        <f>$V1307-$AB1307-$AG1307</f>
      </c>
      <c r="AO1307" s="43">
        <f>$AN1307-$AM1307</f>
      </c>
      <c r="AP1307" s="43">
        <f>$H1307-$M1307-$T1307</f>
      </c>
      <c r="AQ1307" s="43">
        <f>$H1307-$M1307-$P1307-$AI1307</f>
      </c>
      <c r="AR1307" s="43">
        <f>$AQ1307*$AL1307/100</f>
      </c>
      <c r="AS1307" s="43">
        <f>$AP1307-$AR1307</f>
      </c>
      <c r="AT1307" s="43">
        <f>MAX(0,$C1307-$N1307)</f>
      </c>
      <c r="AU1307" s="43">
        <f>$E1307-$O1307</f>
      </c>
      <c r="AV1307" s="43">
        <f>MAX(0,$N1307-$O1307)</f>
      </c>
      <c r="AW1307" s="43">
        <f>SUMIFS(TilgErsatz,TilgObj,2,TilgDatum,"&lt;="&amp;Stichtag)</f>
      </c>
      <c r="AX1307" s="43">
        <f>$AW1307+SUMIFS(TilgErtrag,TilgObj,2,TilgDatum,"&lt;="&amp;Stichtag)</f>
      </c>
    </row>
    <row r="1308">
      <c r="A1308"/>
      <c r="B1308">
        <v>3</v>
      </c>
      <c r="C1308" s="43">
        <f>INDEX(ObjInvest,3)</f>
      </c>
      <c r="D1308" s="43">
        <f>INDEX(ObjNkSumme,3)</f>
      </c>
      <c r="E1308" s="43">
        <f>INDEX(ObjWertEff,3)</f>
      </c>
      <c r="F1308" s="43">
        <f>INDEX(ObjFlaeche,3)</f>
      </c>
      <c r="G1308" s="43">
        <f>SUMIF(MvObj,3,MvKalt)</f>
      </c>
      <c r="H1308" s="43">
        <f>$G1308*12</f>
      </c>
      <c r="I1308" s="43">
        <f>SUMIF(MvObj,3,MvNk)</f>
      </c>
      <c r="J1308" s="43">
        <f>COUNTIF(EhObj,3)</f>
      </c>
      <c r="K1308" s="43">
        <f>SUMIF(EhObj,3,EhVermietet)</f>
      </c>
      <c r="L1308" s="43">
        <f>$J1308-$K1308</f>
      </c>
      <c r="M1308" s="43">
        <f>INDEX(ObjBewirt,3)</f>
      </c>
      <c r="N1308" s="43">
        <f>SUMIF(DarlObj,3,DarlBetrag)</f>
      </c>
      <c r="O1308" s="43">
        <f>MAX(0,$N1308-SUMIFS(TilgTilgung,TilgObj,3,TilgDatum,"&lt;="&amp;Stichtag)-SUMIFS(TilgSonder,TilgObj,3,TilgDatum,"&lt;="&amp;Stichtag))</f>
      </c>
      <c r="P1308" s="43">
        <f>SUMIFS(TilgZins,TilgObj,3,TilgDatum,"&gt;"&amp;Stichtag,TilgDatum,"&lt;="&amp;DATE(YEAR(Stichtag)+1,MONTH(Stichtag),DAY(Stichtag)))</f>
      </c>
      <c r="Q1308" s="43">
        <f>SUMIFS(TilgTilgung,TilgObj,3,TilgDatum,"&gt;"&amp;Stichtag,TilgDatum,"&lt;="&amp;DATE(YEAR(Stichtag)+1,MONTH(Stichtag),DAY(Stichtag)))</f>
      </c>
      <c r="R1308" s="43">
        <f>SUMIFS(TilgSonder,TilgObj,3,TilgDatum,"&gt;"&amp;Stichtag,TilgDatum,"&lt;="&amp;DATE(YEAR(Stichtag)+1,MONTH(Stichtag),DAY(Stichtag)))</f>
      </c>
      <c r="S1308" s="43">
        <f>SUMIFS(TilgErsatz,TilgObj,3,TilgDatum,"&gt;"&amp;Stichtag,TilgDatum,"&lt;="&amp;DATE(YEAR(Stichtag)+1,MONTH(Stichtag),DAY(Stichtag)))</f>
      </c>
      <c r="T1308" s="43">
        <f>$P1308+$Q1308+$R1308+$S1308</f>
      </c>
      <c r="U1308" s="43">
        <f>SUMIFS(TilgZins,TilgObj,3,TilgDatum,EOMONTH(Stichtag,0)+1)+SUMIFS(TilgTilgung,TilgObj,3,TilgDatum,EOMONTH(Stichtag,0)+1)+SUMIFS(TilgErsatz,TilgObj,3,TilgDatum,EOMONTH(Stichtag,0)+1)</f>
      </c>
      <c r="V1308" s="43">
        <f>INDEX(ZahlSumme,21)</f>
      </c>
      <c r="W1308" s="43">
        <f>INDEX(ZahlSumme,22)</f>
      </c>
      <c r="X1308" s="43">
        <f>INDEX(ZahlSumme,23)</f>
      </c>
      <c r="Y1308" s="43">
        <f>INDEX(ZahlSumme,24)</f>
      </c>
      <c r="Z1308" s="43">
        <f>INDEX(ZahlSumme,25)</f>
      </c>
      <c r="AA1308" s="43">
        <f>INDEX(ZahlSumme,26)</f>
      </c>
      <c r="AB1308" s="43">
        <f>$X1308+$Y1308+$Z1308+$AA1308</f>
      </c>
      <c r="AC1308" s="43">
        <f>INDEX(ZahlSumme,27)</f>
      </c>
      <c r="AD1308" s="43">
        <f>INDEX(ZahlSumme,28)</f>
      </c>
      <c r="AE1308" s="43">
        <f>INDEX(ZahlSumme,29)</f>
      </c>
      <c r="AF1308" s="43">
        <f>INDEX(ZahlSumme,30)</f>
      </c>
      <c r="AG1308" s="43">
        <f>$AC1308+$AD1308+$AE1308+$AF1308</f>
      </c>
      <c r="AH1308" s="43">
        <f>INDEX(OjAfa,63)</f>
      </c>
      <c r="AI1308" s="43">
        <f>INDEX(ObjAfaJahr,3)</f>
      </c>
      <c r="AJ1308" s="43">
        <f>$AB1308+$AC1308+$AH1308</f>
      </c>
      <c r="AK1308" s="43">
        <f>$V1308-$AJ1308</f>
      </c>
      <c r="AL1308" s="43">
        <f>INDEX(ObjSteuersatz,3)</f>
      </c>
      <c r="AM1308" s="43">
        <f>$AK1308*$AL1308/100</f>
      </c>
      <c r="AN1308" s="43">
        <f>$V1308-$AB1308-$AG1308</f>
      </c>
      <c r="AO1308" s="43">
        <f>$AN1308-$AM1308</f>
      </c>
      <c r="AP1308" s="43">
        <f>$H1308-$M1308-$T1308</f>
      </c>
      <c r="AQ1308" s="43">
        <f>$H1308-$M1308-$P1308-$AI1308</f>
      </c>
      <c r="AR1308" s="43">
        <f>$AQ1308*$AL1308/100</f>
      </c>
      <c r="AS1308" s="43">
        <f>$AP1308-$AR1308</f>
      </c>
      <c r="AT1308" s="43">
        <f>MAX(0,$C1308-$N1308)</f>
      </c>
      <c r="AU1308" s="43">
        <f>$E1308-$O1308</f>
      </c>
      <c r="AV1308" s="43">
        <f>MAX(0,$N1308-$O1308)</f>
      </c>
      <c r="AW1308" s="43">
        <f>SUMIFS(TilgErsatz,TilgObj,3,TilgDatum,"&lt;="&amp;Stichtag)</f>
      </c>
      <c r="AX1308" s="43">
        <f>$AW1308+SUMIFS(TilgErtrag,TilgObj,3,TilgDatum,"&lt;="&amp;Stichtag)</f>
      </c>
    </row>
    <row r="1309">
      <c r="A1309"/>
      <c r="B1309">
        <v>4</v>
      </c>
      <c r="C1309" s="43">
        <f>INDEX(ObjInvest,4)</f>
      </c>
      <c r="D1309" s="43">
        <f>INDEX(ObjNkSumme,4)</f>
      </c>
      <c r="E1309" s="43">
        <f>INDEX(ObjWertEff,4)</f>
      </c>
      <c r="F1309" s="43">
        <f>INDEX(ObjFlaeche,4)</f>
      </c>
      <c r="G1309" s="43">
        <f>SUMIF(MvObj,4,MvKalt)</f>
      </c>
      <c r="H1309" s="43">
        <f>$G1309*12</f>
      </c>
      <c r="I1309" s="43">
        <f>SUMIF(MvObj,4,MvNk)</f>
      </c>
      <c r="J1309" s="43">
        <f>COUNTIF(EhObj,4)</f>
      </c>
      <c r="K1309" s="43">
        <f>SUMIF(EhObj,4,EhVermietet)</f>
      </c>
      <c r="L1309" s="43">
        <f>$J1309-$K1309</f>
      </c>
      <c r="M1309" s="43">
        <f>INDEX(ObjBewirt,4)</f>
      </c>
      <c r="N1309" s="43">
        <f>SUMIF(DarlObj,4,DarlBetrag)</f>
      </c>
      <c r="O1309" s="43">
        <f>MAX(0,$N1309-SUMIFS(TilgTilgung,TilgObj,4,TilgDatum,"&lt;="&amp;Stichtag)-SUMIFS(TilgSonder,TilgObj,4,TilgDatum,"&lt;="&amp;Stichtag))</f>
      </c>
      <c r="P1309" s="43">
        <f>SUMIFS(TilgZins,TilgObj,4,TilgDatum,"&gt;"&amp;Stichtag,TilgDatum,"&lt;="&amp;DATE(YEAR(Stichtag)+1,MONTH(Stichtag),DAY(Stichtag)))</f>
      </c>
      <c r="Q1309" s="43">
        <f>SUMIFS(TilgTilgung,TilgObj,4,TilgDatum,"&gt;"&amp;Stichtag,TilgDatum,"&lt;="&amp;DATE(YEAR(Stichtag)+1,MONTH(Stichtag),DAY(Stichtag)))</f>
      </c>
      <c r="R1309" s="43">
        <f>SUMIFS(TilgSonder,TilgObj,4,TilgDatum,"&gt;"&amp;Stichtag,TilgDatum,"&lt;="&amp;DATE(YEAR(Stichtag)+1,MONTH(Stichtag),DAY(Stichtag)))</f>
      </c>
      <c r="S1309" s="43">
        <f>SUMIFS(TilgErsatz,TilgObj,4,TilgDatum,"&gt;"&amp;Stichtag,TilgDatum,"&lt;="&amp;DATE(YEAR(Stichtag)+1,MONTH(Stichtag),DAY(Stichtag)))</f>
      </c>
      <c r="T1309" s="43">
        <f>$P1309+$Q1309+$R1309+$S1309</f>
      </c>
      <c r="U1309" s="43">
        <f>SUMIFS(TilgZins,TilgObj,4,TilgDatum,EOMONTH(Stichtag,0)+1)+SUMIFS(TilgTilgung,TilgObj,4,TilgDatum,EOMONTH(Stichtag,0)+1)+SUMIFS(TilgErsatz,TilgObj,4,TilgDatum,EOMONTH(Stichtag,0)+1)</f>
      </c>
      <c r="V1309" s="43">
        <f>INDEX(ZahlSumme,31)</f>
      </c>
      <c r="W1309" s="43">
        <f>INDEX(ZahlSumme,32)</f>
      </c>
      <c r="X1309" s="43">
        <f>INDEX(ZahlSumme,33)</f>
      </c>
      <c r="Y1309" s="43">
        <f>INDEX(ZahlSumme,34)</f>
      </c>
      <c r="Z1309" s="43">
        <f>INDEX(ZahlSumme,35)</f>
      </c>
      <c r="AA1309" s="43">
        <f>INDEX(ZahlSumme,36)</f>
      </c>
      <c r="AB1309" s="43">
        <f>$X1309+$Y1309+$Z1309+$AA1309</f>
      </c>
      <c r="AC1309" s="43">
        <f>INDEX(ZahlSumme,37)</f>
      </c>
      <c r="AD1309" s="43">
        <f>INDEX(ZahlSumme,38)</f>
      </c>
      <c r="AE1309" s="43">
        <f>INDEX(ZahlSumme,39)</f>
      </c>
      <c r="AF1309" s="43">
        <f>INDEX(ZahlSumme,40)</f>
      </c>
      <c r="AG1309" s="43">
        <f>$AC1309+$AD1309+$AE1309+$AF1309</f>
      </c>
      <c r="AH1309" s="43">
        <f>INDEX(OjAfa,94)</f>
      </c>
      <c r="AI1309" s="43">
        <f>INDEX(ObjAfaJahr,4)</f>
      </c>
      <c r="AJ1309" s="43">
        <f>$AB1309+$AC1309+$AH1309</f>
      </c>
      <c r="AK1309" s="43">
        <f>$V1309-$AJ1309</f>
      </c>
      <c r="AL1309" s="43">
        <f>INDEX(ObjSteuersatz,4)</f>
      </c>
      <c r="AM1309" s="43">
        <f>$AK1309*$AL1309/100</f>
      </c>
      <c r="AN1309" s="43">
        <f>$V1309-$AB1309-$AG1309</f>
      </c>
      <c r="AO1309" s="43">
        <f>$AN1309-$AM1309</f>
      </c>
      <c r="AP1309" s="43">
        <f>$H1309-$M1309-$T1309</f>
      </c>
      <c r="AQ1309" s="43">
        <f>$H1309-$M1309-$P1309-$AI1309</f>
      </c>
      <c r="AR1309" s="43">
        <f>$AQ1309*$AL1309/100</f>
      </c>
      <c r="AS1309" s="43">
        <f>$AP1309-$AR1309</f>
      </c>
      <c r="AT1309" s="43">
        <f>MAX(0,$C1309-$N1309)</f>
      </c>
      <c r="AU1309" s="43">
        <f>$E1309-$O1309</f>
      </c>
      <c r="AV1309" s="43">
        <f>MAX(0,$N1309-$O1309)</f>
      </c>
      <c r="AW1309" s="43">
        <f>SUMIFS(TilgErsatz,TilgObj,4,TilgDatum,"&lt;="&amp;Stichtag)</f>
      </c>
      <c r="AX1309" s="43">
        <f>$AW1309+SUMIFS(TilgErtrag,TilgObj,4,TilgDatum,"&lt;="&amp;Stichtag)</f>
      </c>
    </row>
    <row r="1310">
      <c r="A1310"/>
      <c r="B1310">
        <v>5</v>
      </c>
      <c r="C1310" s="43">
        <f>INDEX(ObjInvest,5)</f>
      </c>
      <c r="D1310" s="43">
        <f>INDEX(ObjNkSumme,5)</f>
      </c>
      <c r="E1310" s="43">
        <f>INDEX(ObjWertEff,5)</f>
      </c>
      <c r="F1310" s="43">
        <f>INDEX(ObjFlaeche,5)</f>
      </c>
      <c r="G1310" s="43">
        <f>SUMIF(MvObj,5,MvKalt)</f>
      </c>
      <c r="H1310" s="43">
        <f>$G1310*12</f>
      </c>
      <c r="I1310" s="43">
        <f>SUMIF(MvObj,5,MvNk)</f>
      </c>
      <c r="J1310" s="43">
        <f>COUNTIF(EhObj,5)</f>
      </c>
      <c r="K1310" s="43">
        <f>SUMIF(EhObj,5,EhVermietet)</f>
      </c>
      <c r="L1310" s="43">
        <f>$J1310-$K1310</f>
      </c>
      <c r="M1310" s="43">
        <f>INDEX(ObjBewirt,5)</f>
      </c>
      <c r="N1310" s="43">
        <f>SUMIF(DarlObj,5,DarlBetrag)</f>
      </c>
      <c r="O1310" s="43">
        <f>MAX(0,$N1310-SUMIFS(TilgTilgung,TilgObj,5,TilgDatum,"&lt;="&amp;Stichtag)-SUMIFS(TilgSonder,TilgObj,5,TilgDatum,"&lt;="&amp;Stichtag))</f>
      </c>
      <c r="P1310" s="43">
        <f>SUMIFS(TilgZins,TilgObj,5,TilgDatum,"&gt;"&amp;Stichtag,TilgDatum,"&lt;="&amp;DATE(YEAR(Stichtag)+1,MONTH(Stichtag),DAY(Stichtag)))</f>
      </c>
      <c r="Q1310" s="43">
        <f>SUMIFS(TilgTilgung,TilgObj,5,TilgDatum,"&gt;"&amp;Stichtag,TilgDatum,"&lt;="&amp;DATE(YEAR(Stichtag)+1,MONTH(Stichtag),DAY(Stichtag)))</f>
      </c>
      <c r="R1310" s="43">
        <f>SUMIFS(TilgSonder,TilgObj,5,TilgDatum,"&gt;"&amp;Stichtag,TilgDatum,"&lt;="&amp;DATE(YEAR(Stichtag)+1,MONTH(Stichtag),DAY(Stichtag)))</f>
      </c>
      <c r="S1310" s="43">
        <f>SUMIFS(TilgErsatz,TilgObj,5,TilgDatum,"&gt;"&amp;Stichtag,TilgDatum,"&lt;="&amp;DATE(YEAR(Stichtag)+1,MONTH(Stichtag),DAY(Stichtag)))</f>
      </c>
      <c r="T1310" s="43">
        <f>$P1310+$Q1310+$R1310+$S1310</f>
      </c>
      <c r="U1310" s="43">
        <f>SUMIFS(TilgZins,TilgObj,5,TilgDatum,EOMONTH(Stichtag,0)+1)+SUMIFS(TilgTilgung,TilgObj,5,TilgDatum,EOMONTH(Stichtag,0)+1)+SUMIFS(TilgErsatz,TilgObj,5,TilgDatum,EOMONTH(Stichtag,0)+1)</f>
      </c>
      <c r="V1310" s="43">
        <f>INDEX(ZahlSumme,41)</f>
      </c>
      <c r="W1310" s="43">
        <f>INDEX(ZahlSumme,42)</f>
      </c>
      <c r="X1310" s="43">
        <f>INDEX(ZahlSumme,43)</f>
      </c>
      <c r="Y1310" s="43">
        <f>INDEX(ZahlSumme,44)</f>
      </c>
      <c r="Z1310" s="43">
        <f>INDEX(ZahlSumme,45)</f>
      </c>
      <c r="AA1310" s="43">
        <f>INDEX(ZahlSumme,46)</f>
      </c>
      <c r="AB1310" s="43">
        <f>$X1310+$Y1310+$Z1310+$AA1310</f>
      </c>
      <c r="AC1310" s="43">
        <f>INDEX(ZahlSumme,47)</f>
      </c>
      <c r="AD1310" s="43">
        <f>INDEX(ZahlSumme,48)</f>
      </c>
      <c r="AE1310" s="43">
        <f>INDEX(ZahlSumme,49)</f>
      </c>
      <c r="AF1310" s="43">
        <f>INDEX(ZahlSumme,50)</f>
      </c>
      <c r="AG1310" s="43">
        <f>$AC1310+$AD1310+$AE1310+$AF1310</f>
      </c>
      <c r="AH1310" s="43">
        <f>INDEX(OjAfa,125)</f>
      </c>
      <c r="AI1310" s="43">
        <f>INDEX(ObjAfaJahr,5)</f>
      </c>
      <c r="AJ1310" s="43">
        <f>$AB1310+$AC1310+$AH1310</f>
      </c>
      <c r="AK1310" s="43">
        <f>$V1310-$AJ1310</f>
      </c>
      <c r="AL1310" s="43">
        <f>INDEX(ObjSteuersatz,5)</f>
      </c>
      <c r="AM1310" s="43">
        <f>$AK1310*$AL1310/100</f>
      </c>
      <c r="AN1310" s="43">
        <f>$V1310-$AB1310-$AG1310</f>
      </c>
      <c r="AO1310" s="43">
        <f>$AN1310-$AM1310</f>
      </c>
      <c r="AP1310" s="43">
        <f>$H1310-$M1310-$T1310</f>
      </c>
      <c r="AQ1310" s="43">
        <f>$H1310-$M1310-$P1310-$AI1310</f>
      </c>
      <c r="AR1310" s="43">
        <f>$AQ1310*$AL1310/100</f>
      </c>
      <c r="AS1310" s="43">
        <f>$AP1310-$AR1310</f>
      </c>
      <c r="AT1310" s="43">
        <f>MAX(0,$C1310-$N1310)</f>
      </c>
      <c r="AU1310" s="43">
        <f>$E1310-$O1310</f>
      </c>
      <c r="AV1310" s="43">
        <f>MAX(0,$N1310-$O1310)</f>
      </c>
      <c r="AW1310" s="43">
        <f>SUMIFS(TilgErsatz,TilgObj,5,TilgDatum,"&lt;="&amp;Stichtag)</f>
      </c>
      <c r="AX1310" s="43">
        <f>$AW1310+SUMIFS(TilgErtrag,TilgObj,5,TilgDatum,"&lt;="&amp;Stichtag)</f>
      </c>
    </row>
    <row r="1311">
      <c r="A1311"/>
      <c r="B1311">
        <v>6</v>
      </c>
      <c r="C1311" s="43">
        <f>INDEX(ObjInvest,6)</f>
      </c>
      <c r="D1311" s="43">
        <f>INDEX(ObjNkSumme,6)</f>
      </c>
      <c r="E1311" s="43">
        <f>INDEX(ObjWertEff,6)</f>
      </c>
      <c r="F1311" s="43">
        <f>INDEX(ObjFlaeche,6)</f>
      </c>
      <c r="G1311" s="43">
        <f>SUMIF(MvObj,6,MvKalt)</f>
      </c>
      <c r="H1311" s="43">
        <f>$G1311*12</f>
      </c>
      <c r="I1311" s="43">
        <f>SUMIF(MvObj,6,MvNk)</f>
      </c>
      <c r="J1311" s="43">
        <f>COUNTIF(EhObj,6)</f>
      </c>
      <c r="K1311" s="43">
        <f>SUMIF(EhObj,6,EhVermietet)</f>
      </c>
      <c r="L1311" s="43">
        <f>$J1311-$K1311</f>
      </c>
      <c r="M1311" s="43">
        <f>INDEX(ObjBewirt,6)</f>
      </c>
      <c r="N1311" s="43">
        <f>SUMIF(DarlObj,6,DarlBetrag)</f>
      </c>
      <c r="O1311" s="43">
        <f>MAX(0,$N1311-SUMIFS(TilgTilgung,TilgObj,6,TilgDatum,"&lt;="&amp;Stichtag)-SUMIFS(TilgSonder,TilgObj,6,TilgDatum,"&lt;="&amp;Stichtag))</f>
      </c>
      <c r="P1311" s="43">
        <f>SUMIFS(TilgZins,TilgObj,6,TilgDatum,"&gt;"&amp;Stichtag,TilgDatum,"&lt;="&amp;DATE(YEAR(Stichtag)+1,MONTH(Stichtag),DAY(Stichtag)))</f>
      </c>
      <c r="Q1311" s="43">
        <f>SUMIFS(TilgTilgung,TilgObj,6,TilgDatum,"&gt;"&amp;Stichtag,TilgDatum,"&lt;="&amp;DATE(YEAR(Stichtag)+1,MONTH(Stichtag),DAY(Stichtag)))</f>
      </c>
      <c r="R1311" s="43">
        <f>SUMIFS(TilgSonder,TilgObj,6,TilgDatum,"&gt;"&amp;Stichtag,TilgDatum,"&lt;="&amp;DATE(YEAR(Stichtag)+1,MONTH(Stichtag),DAY(Stichtag)))</f>
      </c>
      <c r="S1311" s="43">
        <f>SUMIFS(TilgErsatz,TilgObj,6,TilgDatum,"&gt;"&amp;Stichtag,TilgDatum,"&lt;="&amp;DATE(YEAR(Stichtag)+1,MONTH(Stichtag),DAY(Stichtag)))</f>
      </c>
      <c r="T1311" s="43">
        <f>$P1311+$Q1311+$R1311+$S1311</f>
      </c>
      <c r="U1311" s="43">
        <f>SUMIFS(TilgZins,TilgObj,6,TilgDatum,EOMONTH(Stichtag,0)+1)+SUMIFS(TilgTilgung,TilgObj,6,TilgDatum,EOMONTH(Stichtag,0)+1)+SUMIFS(TilgErsatz,TilgObj,6,TilgDatum,EOMONTH(Stichtag,0)+1)</f>
      </c>
      <c r="V1311" s="43">
        <f>INDEX(ZahlSumme,51)</f>
      </c>
      <c r="W1311" s="43">
        <f>INDEX(ZahlSumme,52)</f>
      </c>
      <c r="X1311" s="43">
        <f>INDEX(ZahlSumme,53)</f>
      </c>
      <c r="Y1311" s="43">
        <f>INDEX(ZahlSumme,54)</f>
      </c>
      <c r="Z1311" s="43">
        <f>INDEX(ZahlSumme,55)</f>
      </c>
      <c r="AA1311" s="43">
        <f>INDEX(ZahlSumme,56)</f>
      </c>
      <c r="AB1311" s="43">
        <f>$X1311+$Y1311+$Z1311+$AA1311</f>
      </c>
      <c r="AC1311" s="43">
        <f>INDEX(ZahlSumme,57)</f>
      </c>
      <c r="AD1311" s="43">
        <f>INDEX(ZahlSumme,58)</f>
      </c>
      <c r="AE1311" s="43">
        <f>INDEX(ZahlSumme,59)</f>
      </c>
      <c r="AF1311" s="43">
        <f>INDEX(ZahlSumme,60)</f>
      </c>
      <c r="AG1311" s="43">
        <f>$AC1311+$AD1311+$AE1311+$AF1311</f>
      </c>
      <c r="AH1311" s="43">
        <f>INDEX(OjAfa,156)</f>
      </c>
      <c r="AI1311" s="43">
        <f>INDEX(ObjAfaJahr,6)</f>
      </c>
      <c r="AJ1311" s="43">
        <f>$AB1311+$AC1311+$AH1311</f>
      </c>
      <c r="AK1311" s="43">
        <f>$V1311-$AJ1311</f>
      </c>
      <c r="AL1311" s="43">
        <f>INDEX(ObjSteuersatz,6)</f>
      </c>
      <c r="AM1311" s="43">
        <f>$AK1311*$AL1311/100</f>
      </c>
      <c r="AN1311" s="43">
        <f>$V1311-$AB1311-$AG1311</f>
      </c>
      <c r="AO1311" s="43">
        <f>$AN1311-$AM1311</f>
      </c>
      <c r="AP1311" s="43">
        <f>$H1311-$M1311-$T1311</f>
      </c>
      <c r="AQ1311" s="43">
        <f>$H1311-$M1311-$P1311-$AI1311</f>
      </c>
      <c r="AR1311" s="43">
        <f>$AQ1311*$AL1311/100</f>
      </c>
      <c r="AS1311" s="43">
        <f>$AP1311-$AR1311</f>
      </c>
      <c r="AT1311" s="43">
        <f>MAX(0,$C1311-$N1311)</f>
      </c>
      <c r="AU1311" s="43">
        <f>$E1311-$O1311</f>
      </c>
      <c r="AV1311" s="43">
        <f>MAX(0,$N1311-$O1311)</f>
      </c>
      <c r="AW1311" s="43">
        <f>SUMIFS(TilgErsatz,TilgObj,6,TilgDatum,"&lt;="&amp;Stichtag)</f>
      </c>
      <c r="AX1311" s="43">
        <f>$AW1311+SUMIFS(TilgErtrag,TilgObj,6,TilgDatum,"&lt;="&amp;Stichtag)</f>
      </c>
    </row>
    <row r="1312">
      <c r="A1312"/>
      <c r="B1312">
        <v>7</v>
      </c>
      <c r="C1312" s="43">
        <f>INDEX(ObjInvest,7)</f>
      </c>
      <c r="D1312" s="43">
        <f>INDEX(ObjNkSumme,7)</f>
      </c>
      <c r="E1312" s="43">
        <f>INDEX(ObjWertEff,7)</f>
      </c>
      <c r="F1312" s="43">
        <f>INDEX(ObjFlaeche,7)</f>
      </c>
      <c r="G1312" s="43">
        <f>SUMIF(MvObj,7,MvKalt)</f>
      </c>
      <c r="H1312" s="43">
        <f>$G1312*12</f>
      </c>
      <c r="I1312" s="43">
        <f>SUMIF(MvObj,7,MvNk)</f>
      </c>
      <c r="J1312" s="43">
        <f>COUNTIF(EhObj,7)</f>
      </c>
      <c r="K1312" s="43">
        <f>SUMIF(EhObj,7,EhVermietet)</f>
      </c>
      <c r="L1312" s="43">
        <f>$J1312-$K1312</f>
      </c>
      <c r="M1312" s="43">
        <f>INDEX(ObjBewirt,7)</f>
      </c>
      <c r="N1312" s="43">
        <f>SUMIF(DarlObj,7,DarlBetrag)</f>
      </c>
      <c r="O1312" s="43">
        <f>MAX(0,$N1312-SUMIFS(TilgTilgung,TilgObj,7,TilgDatum,"&lt;="&amp;Stichtag)-SUMIFS(TilgSonder,TilgObj,7,TilgDatum,"&lt;="&amp;Stichtag))</f>
      </c>
      <c r="P1312" s="43">
        <f>SUMIFS(TilgZins,TilgObj,7,TilgDatum,"&gt;"&amp;Stichtag,TilgDatum,"&lt;="&amp;DATE(YEAR(Stichtag)+1,MONTH(Stichtag),DAY(Stichtag)))</f>
      </c>
      <c r="Q1312" s="43">
        <f>SUMIFS(TilgTilgung,TilgObj,7,TilgDatum,"&gt;"&amp;Stichtag,TilgDatum,"&lt;="&amp;DATE(YEAR(Stichtag)+1,MONTH(Stichtag),DAY(Stichtag)))</f>
      </c>
      <c r="R1312" s="43">
        <f>SUMIFS(TilgSonder,TilgObj,7,TilgDatum,"&gt;"&amp;Stichtag,TilgDatum,"&lt;="&amp;DATE(YEAR(Stichtag)+1,MONTH(Stichtag),DAY(Stichtag)))</f>
      </c>
      <c r="S1312" s="43">
        <f>SUMIFS(TilgErsatz,TilgObj,7,TilgDatum,"&gt;"&amp;Stichtag,TilgDatum,"&lt;="&amp;DATE(YEAR(Stichtag)+1,MONTH(Stichtag),DAY(Stichtag)))</f>
      </c>
      <c r="T1312" s="43">
        <f>$P1312+$Q1312+$R1312+$S1312</f>
      </c>
      <c r="U1312" s="43">
        <f>SUMIFS(TilgZins,TilgObj,7,TilgDatum,EOMONTH(Stichtag,0)+1)+SUMIFS(TilgTilgung,TilgObj,7,TilgDatum,EOMONTH(Stichtag,0)+1)+SUMIFS(TilgErsatz,TilgObj,7,TilgDatum,EOMONTH(Stichtag,0)+1)</f>
      </c>
      <c r="V1312" s="43">
        <f>INDEX(ZahlSumme,61)</f>
      </c>
      <c r="W1312" s="43">
        <f>INDEX(ZahlSumme,62)</f>
      </c>
      <c r="X1312" s="43">
        <f>INDEX(ZahlSumme,63)</f>
      </c>
      <c r="Y1312" s="43">
        <f>INDEX(ZahlSumme,64)</f>
      </c>
      <c r="Z1312" s="43">
        <f>INDEX(ZahlSumme,65)</f>
      </c>
      <c r="AA1312" s="43">
        <f>INDEX(ZahlSumme,66)</f>
      </c>
      <c r="AB1312" s="43">
        <f>$X1312+$Y1312+$Z1312+$AA1312</f>
      </c>
      <c r="AC1312" s="43">
        <f>INDEX(ZahlSumme,67)</f>
      </c>
      <c r="AD1312" s="43">
        <f>INDEX(ZahlSumme,68)</f>
      </c>
      <c r="AE1312" s="43">
        <f>INDEX(ZahlSumme,69)</f>
      </c>
      <c r="AF1312" s="43">
        <f>INDEX(ZahlSumme,70)</f>
      </c>
      <c r="AG1312" s="43">
        <f>$AC1312+$AD1312+$AE1312+$AF1312</f>
      </c>
      <c r="AH1312" s="43">
        <f>INDEX(OjAfa,187)</f>
      </c>
      <c r="AI1312" s="43">
        <f>INDEX(ObjAfaJahr,7)</f>
      </c>
      <c r="AJ1312" s="43">
        <f>$AB1312+$AC1312+$AH1312</f>
      </c>
      <c r="AK1312" s="43">
        <f>$V1312-$AJ1312</f>
      </c>
      <c r="AL1312" s="43">
        <f>INDEX(ObjSteuersatz,7)</f>
      </c>
      <c r="AM1312" s="43">
        <f>$AK1312*$AL1312/100</f>
      </c>
      <c r="AN1312" s="43">
        <f>$V1312-$AB1312-$AG1312</f>
      </c>
      <c r="AO1312" s="43">
        <f>$AN1312-$AM1312</f>
      </c>
      <c r="AP1312" s="43">
        <f>$H1312-$M1312-$T1312</f>
      </c>
      <c r="AQ1312" s="43">
        <f>$H1312-$M1312-$P1312-$AI1312</f>
      </c>
      <c r="AR1312" s="43">
        <f>$AQ1312*$AL1312/100</f>
      </c>
      <c r="AS1312" s="43">
        <f>$AP1312-$AR1312</f>
      </c>
      <c r="AT1312" s="43">
        <f>MAX(0,$C1312-$N1312)</f>
      </c>
      <c r="AU1312" s="43">
        <f>$E1312-$O1312</f>
      </c>
      <c r="AV1312" s="43">
        <f>MAX(0,$N1312-$O1312)</f>
      </c>
      <c r="AW1312" s="43">
        <f>SUMIFS(TilgErsatz,TilgObj,7,TilgDatum,"&lt;="&amp;Stichtag)</f>
      </c>
      <c r="AX1312" s="43">
        <f>$AW1312+SUMIFS(TilgErtrag,TilgObj,7,TilgDatum,"&lt;="&amp;Stichtag)</f>
      </c>
    </row>
    <row r="1313">
      <c r="A1313"/>
      <c r="B1313">
        <v>8</v>
      </c>
      <c r="C1313" s="43">
        <f>INDEX(ObjInvest,8)</f>
      </c>
      <c r="D1313" s="43">
        <f>INDEX(ObjNkSumme,8)</f>
      </c>
      <c r="E1313" s="43">
        <f>INDEX(ObjWertEff,8)</f>
      </c>
      <c r="F1313" s="43">
        <f>INDEX(ObjFlaeche,8)</f>
      </c>
      <c r="G1313" s="43">
        <f>SUMIF(MvObj,8,MvKalt)</f>
      </c>
      <c r="H1313" s="43">
        <f>$G1313*12</f>
      </c>
      <c r="I1313" s="43">
        <f>SUMIF(MvObj,8,MvNk)</f>
      </c>
      <c r="J1313" s="43">
        <f>COUNTIF(EhObj,8)</f>
      </c>
      <c r="K1313" s="43">
        <f>SUMIF(EhObj,8,EhVermietet)</f>
      </c>
      <c r="L1313" s="43">
        <f>$J1313-$K1313</f>
      </c>
      <c r="M1313" s="43">
        <f>INDEX(ObjBewirt,8)</f>
      </c>
      <c r="N1313" s="43">
        <f>SUMIF(DarlObj,8,DarlBetrag)</f>
      </c>
      <c r="O1313" s="43">
        <f>MAX(0,$N1313-SUMIFS(TilgTilgung,TilgObj,8,TilgDatum,"&lt;="&amp;Stichtag)-SUMIFS(TilgSonder,TilgObj,8,TilgDatum,"&lt;="&amp;Stichtag))</f>
      </c>
      <c r="P1313" s="43">
        <f>SUMIFS(TilgZins,TilgObj,8,TilgDatum,"&gt;"&amp;Stichtag,TilgDatum,"&lt;="&amp;DATE(YEAR(Stichtag)+1,MONTH(Stichtag),DAY(Stichtag)))</f>
      </c>
      <c r="Q1313" s="43">
        <f>SUMIFS(TilgTilgung,TilgObj,8,TilgDatum,"&gt;"&amp;Stichtag,TilgDatum,"&lt;="&amp;DATE(YEAR(Stichtag)+1,MONTH(Stichtag),DAY(Stichtag)))</f>
      </c>
      <c r="R1313" s="43">
        <f>SUMIFS(TilgSonder,TilgObj,8,TilgDatum,"&gt;"&amp;Stichtag,TilgDatum,"&lt;="&amp;DATE(YEAR(Stichtag)+1,MONTH(Stichtag),DAY(Stichtag)))</f>
      </c>
      <c r="S1313" s="43">
        <f>SUMIFS(TilgErsatz,TilgObj,8,TilgDatum,"&gt;"&amp;Stichtag,TilgDatum,"&lt;="&amp;DATE(YEAR(Stichtag)+1,MONTH(Stichtag),DAY(Stichtag)))</f>
      </c>
      <c r="T1313" s="43">
        <f>$P1313+$Q1313+$R1313+$S1313</f>
      </c>
      <c r="U1313" s="43">
        <f>SUMIFS(TilgZins,TilgObj,8,TilgDatum,EOMONTH(Stichtag,0)+1)+SUMIFS(TilgTilgung,TilgObj,8,TilgDatum,EOMONTH(Stichtag,0)+1)+SUMIFS(TilgErsatz,TilgObj,8,TilgDatum,EOMONTH(Stichtag,0)+1)</f>
      </c>
      <c r="V1313" s="43">
        <f>INDEX(ZahlSumme,71)</f>
      </c>
      <c r="W1313" s="43">
        <f>INDEX(ZahlSumme,72)</f>
      </c>
      <c r="X1313" s="43">
        <f>INDEX(ZahlSumme,73)</f>
      </c>
      <c r="Y1313" s="43">
        <f>INDEX(ZahlSumme,74)</f>
      </c>
      <c r="Z1313" s="43">
        <f>INDEX(ZahlSumme,75)</f>
      </c>
      <c r="AA1313" s="43">
        <f>INDEX(ZahlSumme,76)</f>
      </c>
      <c r="AB1313" s="43">
        <f>$X1313+$Y1313+$Z1313+$AA1313</f>
      </c>
      <c r="AC1313" s="43">
        <f>INDEX(ZahlSumme,77)</f>
      </c>
      <c r="AD1313" s="43">
        <f>INDEX(ZahlSumme,78)</f>
      </c>
      <c r="AE1313" s="43">
        <f>INDEX(ZahlSumme,79)</f>
      </c>
      <c r="AF1313" s="43">
        <f>INDEX(ZahlSumme,80)</f>
      </c>
      <c r="AG1313" s="43">
        <f>$AC1313+$AD1313+$AE1313+$AF1313</f>
      </c>
      <c r="AH1313" s="43">
        <f>INDEX(OjAfa,218)</f>
      </c>
      <c r="AI1313" s="43">
        <f>INDEX(ObjAfaJahr,8)</f>
      </c>
      <c r="AJ1313" s="43">
        <f>$AB1313+$AC1313+$AH1313</f>
      </c>
      <c r="AK1313" s="43">
        <f>$V1313-$AJ1313</f>
      </c>
      <c r="AL1313" s="43">
        <f>INDEX(ObjSteuersatz,8)</f>
      </c>
      <c r="AM1313" s="43">
        <f>$AK1313*$AL1313/100</f>
      </c>
      <c r="AN1313" s="43">
        <f>$V1313-$AB1313-$AG1313</f>
      </c>
      <c r="AO1313" s="43">
        <f>$AN1313-$AM1313</f>
      </c>
      <c r="AP1313" s="43">
        <f>$H1313-$M1313-$T1313</f>
      </c>
      <c r="AQ1313" s="43">
        <f>$H1313-$M1313-$P1313-$AI1313</f>
      </c>
      <c r="AR1313" s="43">
        <f>$AQ1313*$AL1313/100</f>
      </c>
      <c r="AS1313" s="43">
        <f>$AP1313-$AR1313</f>
      </c>
      <c r="AT1313" s="43">
        <f>MAX(0,$C1313-$N1313)</f>
      </c>
      <c r="AU1313" s="43">
        <f>$E1313-$O1313</f>
      </c>
      <c r="AV1313" s="43">
        <f>MAX(0,$N1313-$O1313)</f>
      </c>
      <c r="AW1313" s="43">
        <f>SUMIFS(TilgErsatz,TilgObj,8,TilgDatum,"&lt;="&amp;Stichtag)</f>
      </c>
      <c r="AX1313" s="43">
        <f>$AW1313+SUMIFS(TilgErtrag,TilgObj,8,TilgDatum,"&lt;="&amp;Stichtag)</f>
      </c>
    </row>
    <row r="1314">
      <c r="A1314"/>
      <c r="B1314">
        <v>9</v>
      </c>
      <c r="C1314" s="43">
        <f>INDEX(ObjInvest,9)</f>
      </c>
      <c r="D1314" s="43">
        <f>INDEX(ObjNkSumme,9)</f>
      </c>
      <c r="E1314" s="43">
        <f>INDEX(ObjWertEff,9)</f>
      </c>
      <c r="F1314" s="43">
        <f>INDEX(ObjFlaeche,9)</f>
      </c>
      <c r="G1314" s="43">
        <f>SUMIF(MvObj,9,MvKalt)</f>
      </c>
      <c r="H1314" s="43">
        <f>$G1314*12</f>
      </c>
      <c r="I1314" s="43">
        <f>SUMIF(MvObj,9,MvNk)</f>
      </c>
      <c r="J1314" s="43">
        <f>COUNTIF(EhObj,9)</f>
      </c>
      <c r="K1314" s="43">
        <f>SUMIF(EhObj,9,EhVermietet)</f>
      </c>
      <c r="L1314" s="43">
        <f>$J1314-$K1314</f>
      </c>
      <c r="M1314" s="43">
        <f>INDEX(ObjBewirt,9)</f>
      </c>
      <c r="N1314" s="43">
        <f>SUMIF(DarlObj,9,DarlBetrag)</f>
      </c>
      <c r="O1314" s="43">
        <f>MAX(0,$N1314-SUMIFS(TilgTilgung,TilgObj,9,TilgDatum,"&lt;="&amp;Stichtag)-SUMIFS(TilgSonder,TilgObj,9,TilgDatum,"&lt;="&amp;Stichtag))</f>
      </c>
      <c r="P1314" s="43">
        <f>SUMIFS(TilgZins,TilgObj,9,TilgDatum,"&gt;"&amp;Stichtag,TilgDatum,"&lt;="&amp;DATE(YEAR(Stichtag)+1,MONTH(Stichtag),DAY(Stichtag)))</f>
      </c>
      <c r="Q1314" s="43">
        <f>SUMIFS(TilgTilgung,TilgObj,9,TilgDatum,"&gt;"&amp;Stichtag,TilgDatum,"&lt;="&amp;DATE(YEAR(Stichtag)+1,MONTH(Stichtag),DAY(Stichtag)))</f>
      </c>
      <c r="R1314" s="43">
        <f>SUMIFS(TilgSonder,TilgObj,9,TilgDatum,"&gt;"&amp;Stichtag,TilgDatum,"&lt;="&amp;DATE(YEAR(Stichtag)+1,MONTH(Stichtag),DAY(Stichtag)))</f>
      </c>
      <c r="S1314" s="43">
        <f>SUMIFS(TilgErsatz,TilgObj,9,TilgDatum,"&gt;"&amp;Stichtag,TilgDatum,"&lt;="&amp;DATE(YEAR(Stichtag)+1,MONTH(Stichtag),DAY(Stichtag)))</f>
      </c>
      <c r="T1314" s="43">
        <f>$P1314+$Q1314+$R1314+$S1314</f>
      </c>
      <c r="U1314" s="43">
        <f>SUMIFS(TilgZins,TilgObj,9,TilgDatum,EOMONTH(Stichtag,0)+1)+SUMIFS(TilgTilgung,TilgObj,9,TilgDatum,EOMONTH(Stichtag,0)+1)+SUMIFS(TilgErsatz,TilgObj,9,TilgDatum,EOMONTH(Stichtag,0)+1)</f>
      </c>
      <c r="V1314" s="43">
        <f>INDEX(ZahlSumme,81)</f>
      </c>
      <c r="W1314" s="43">
        <f>INDEX(ZahlSumme,82)</f>
      </c>
      <c r="X1314" s="43">
        <f>INDEX(ZahlSumme,83)</f>
      </c>
      <c r="Y1314" s="43">
        <f>INDEX(ZahlSumme,84)</f>
      </c>
      <c r="Z1314" s="43">
        <f>INDEX(ZahlSumme,85)</f>
      </c>
      <c r="AA1314" s="43">
        <f>INDEX(ZahlSumme,86)</f>
      </c>
      <c r="AB1314" s="43">
        <f>$X1314+$Y1314+$Z1314+$AA1314</f>
      </c>
      <c r="AC1314" s="43">
        <f>INDEX(ZahlSumme,87)</f>
      </c>
      <c r="AD1314" s="43">
        <f>INDEX(ZahlSumme,88)</f>
      </c>
      <c r="AE1314" s="43">
        <f>INDEX(ZahlSumme,89)</f>
      </c>
      <c r="AF1314" s="43">
        <f>INDEX(ZahlSumme,90)</f>
      </c>
      <c r="AG1314" s="43">
        <f>$AC1314+$AD1314+$AE1314+$AF1314</f>
      </c>
      <c r="AH1314" s="43">
        <f>INDEX(OjAfa,249)</f>
      </c>
      <c r="AI1314" s="43">
        <f>INDEX(ObjAfaJahr,9)</f>
      </c>
      <c r="AJ1314" s="43">
        <f>$AB1314+$AC1314+$AH1314</f>
      </c>
      <c r="AK1314" s="43">
        <f>$V1314-$AJ1314</f>
      </c>
      <c r="AL1314" s="43">
        <f>INDEX(ObjSteuersatz,9)</f>
      </c>
      <c r="AM1314" s="43">
        <f>$AK1314*$AL1314/100</f>
      </c>
      <c r="AN1314" s="43">
        <f>$V1314-$AB1314-$AG1314</f>
      </c>
      <c r="AO1314" s="43">
        <f>$AN1314-$AM1314</f>
      </c>
      <c r="AP1314" s="43">
        <f>$H1314-$M1314-$T1314</f>
      </c>
      <c r="AQ1314" s="43">
        <f>$H1314-$M1314-$P1314-$AI1314</f>
      </c>
      <c r="AR1314" s="43">
        <f>$AQ1314*$AL1314/100</f>
      </c>
      <c r="AS1314" s="43">
        <f>$AP1314-$AR1314</f>
      </c>
      <c r="AT1314" s="43">
        <f>MAX(0,$C1314-$N1314)</f>
      </c>
      <c r="AU1314" s="43">
        <f>$E1314-$O1314</f>
      </c>
      <c r="AV1314" s="43">
        <f>MAX(0,$N1314-$O1314)</f>
      </c>
      <c r="AW1314" s="43">
        <f>SUMIFS(TilgErsatz,TilgObj,9,TilgDatum,"&lt;="&amp;Stichtag)</f>
      </c>
      <c r="AX1314" s="43">
        <f>$AW1314+SUMIFS(TilgErtrag,TilgObj,9,TilgDatum,"&lt;="&amp;Stichtag)</f>
      </c>
    </row>
    <row r="1315">
      <c r="A1315"/>
      <c r="B1315">
        <v>10</v>
      </c>
      <c r="C1315" s="43">
        <f>INDEX(ObjInvest,10)</f>
      </c>
      <c r="D1315" s="43">
        <f>INDEX(ObjNkSumme,10)</f>
      </c>
      <c r="E1315" s="43">
        <f>INDEX(ObjWertEff,10)</f>
      </c>
      <c r="F1315" s="43">
        <f>INDEX(ObjFlaeche,10)</f>
      </c>
      <c r="G1315" s="43">
        <f>SUMIF(MvObj,10,MvKalt)</f>
      </c>
      <c r="H1315" s="43">
        <f>$G1315*12</f>
      </c>
      <c r="I1315" s="43">
        <f>SUMIF(MvObj,10,MvNk)</f>
      </c>
      <c r="J1315" s="43">
        <f>COUNTIF(EhObj,10)</f>
      </c>
      <c r="K1315" s="43">
        <f>SUMIF(EhObj,10,EhVermietet)</f>
      </c>
      <c r="L1315" s="43">
        <f>$J1315-$K1315</f>
      </c>
      <c r="M1315" s="43">
        <f>INDEX(ObjBewirt,10)</f>
      </c>
      <c r="N1315" s="43">
        <f>SUMIF(DarlObj,10,DarlBetrag)</f>
      </c>
      <c r="O1315" s="43">
        <f>MAX(0,$N1315-SUMIFS(TilgTilgung,TilgObj,10,TilgDatum,"&lt;="&amp;Stichtag)-SUMIFS(TilgSonder,TilgObj,10,TilgDatum,"&lt;="&amp;Stichtag))</f>
      </c>
      <c r="P1315" s="43">
        <f>SUMIFS(TilgZins,TilgObj,10,TilgDatum,"&gt;"&amp;Stichtag,TilgDatum,"&lt;="&amp;DATE(YEAR(Stichtag)+1,MONTH(Stichtag),DAY(Stichtag)))</f>
      </c>
      <c r="Q1315" s="43">
        <f>SUMIFS(TilgTilgung,TilgObj,10,TilgDatum,"&gt;"&amp;Stichtag,TilgDatum,"&lt;="&amp;DATE(YEAR(Stichtag)+1,MONTH(Stichtag),DAY(Stichtag)))</f>
      </c>
      <c r="R1315" s="43">
        <f>SUMIFS(TilgSonder,TilgObj,10,TilgDatum,"&gt;"&amp;Stichtag,TilgDatum,"&lt;="&amp;DATE(YEAR(Stichtag)+1,MONTH(Stichtag),DAY(Stichtag)))</f>
      </c>
      <c r="S1315" s="43">
        <f>SUMIFS(TilgErsatz,TilgObj,10,TilgDatum,"&gt;"&amp;Stichtag,TilgDatum,"&lt;="&amp;DATE(YEAR(Stichtag)+1,MONTH(Stichtag),DAY(Stichtag)))</f>
      </c>
      <c r="T1315" s="43">
        <f>$P1315+$Q1315+$R1315+$S1315</f>
      </c>
      <c r="U1315" s="43">
        <f>SUMIFS(TilgZins,TilgObj,10,TilgDatum,EOMONTH(Stichtag,0)+1)+SUMIFS(TilgTilgung,TilgObj,10,TilgDatum,EOMONTH(Stichtag,0)+1)+SUMIFS(TilgErsatz,TilgObj,10,TilgDatum,EOMONTH(Stichtag,0)+1)</f>
      </c>
      <c r="V1315" s="43">
        <f>INDEX(ZahlSumme,91)</f>
      </c>
      <c r="W1315" s="43">
        <f>INDEX(ZahlSumme,92)</f>
      </c>
      <c r="X1315" s="43">
        <f>INDEX(ZahlSumme,93)</f>
      </c>
      <c r="Y1315" s="43">
        <f>INDEX(ZahlSumme,94)</f>
      </c>
      <c r="Z1315" s="43">
        <f>INDEX(ZahlSumme,95)</f>
      </c>
      <c r="AA1315" s="43">
        <f>INDEX(ZahlSumme,96)</f>
      </c>
      <c r="AB1315" s="43">
        <f>$X1315+$Y1315+$Z1315+$AA1315</f>
      </c>
      <c r="AC1315" s="43">
        <f>INDEX(ZahlSumme,97)</f>
      </c>
      <c r="AD1315" s="43">
        <f>INDEX(ZahlSumme,98)</f>
      </c>
      <c r="AE1315" s="43">
        <f>INDEX(ZahlSumme,99)</f>
      </c>
      <c r="AF1315" s="43">
        <f>INDEX(ZahlSumme,100)</f>
      </c>
      <c r="AG1315" s="43">
        <f>$AC1315+$AD1315+$AE1315+$AF1315</f>
      </c>
      <c r="AH1315" s="43">
        <f>INDEX(OjAfa,280)</f>
      </c>
      <c r="AI1315" s="43">
        <f>INDEX(ObjAfaJahr,10)</f>
      </c>
      <c r="AJ1315" s="43">
        <f>$AB1315+$AC1315+$AH1315</f>
      </c>
      <c r="AK1315" s="43">
        <f>$V1315-$AJ1315</f>
      </c>
      <c r="AL1315" s="43">
        <f>INDEX(ObjSteuersatz,10)</f>
      </c>
      <c r="AM1315" s="43">
        <f>$AK1315*$AL1315/100</f>
      </c>
      <c r="AN1315" s="43">
        <f>$V1315-$AB1315-$AG1315</f>
      </c>
      <c r="AO1315" s="43">
        <f>$AN1315-$AM1315</f>
      </c>
      <c r="AP1315" s="43">
        <f>$H1315-$M1315-$T1315</f>
      </c>
      <c r="AQ1315" s="43">
        <f>$H1315-$M1315-$P1315-$AI1315</f>
      </c>
      <c r="AR1315" s="43">
        <f>$AQ1315*$AL1315/100</f>
      </c>
      <c r="AS1315" s="43">
        <f>$AP1315-$AR1315</f>
      </c>
      <c r="AT1315" s="43">
        <f>MAX(0,$C1315-$N1315)</f>
      </c>
      <c r="AU1315" s="43">
        <f>$E1315-$O1315</f>
      </c>
      <c r="AV1315" s="43">
        <f>MAX(0,$N1315-$O1315)</f>
      </c>
      <c r="AW1315" s="43">
        <f>SUMIFS(TilgErsatz,TilgObj,10,TilgDatum,"&lt;="&amp;Stichtag)</f>
      </c>
      <c r="AX1315" s="43">
        <f>$AW1315+SUMIFS(TilgErtrag,TilgObj,10,TilgDatum,"&lt;="&amp;Stichtag)</f>
      </c>
    </row>
    <row r="1318">
      <c r="A1318"/>
      <c r="B1318" s="4" t="inlineStr">
        <is>
          <t xml:space="preserve">F · Verkaufsrechnung je Objekt</t>
        </is>
      </c>
    </row>
    <row r="1319">
      <c r="A1319"/>
      <c r="B1319" s="24" t="inlineStr">
        <is>
          <t xml:space="preserve">obj</t>
        </is>
      </c>
      <c r="C1319" s="24" t="inlineStr">
        <is>
          <t xml:space="preserve">brutto</t>
        </is>
      </c>
      <c r="D1319" s="24" t="inlineStr">
        <is>
          <t xml:space="preserve">kosten</t>
        </is>
      </c>
      <c r="E1319" s="24" t="inlineStr">
        <is>
          <t xml:space="preserve">netto</t>
        </is>
      </c>
      <c r="F1319" s="24" t="inlineStr">
        <is>
          <t xml:space="preserve">kumAfa</t>
        </is>
      </c>
      <c r="G1319" s="24" t="inlineStr">
        <is>
          <t xml:space="preserve">buchwert</t>
        </is>
      </c>
      <c r="H1319" s="24" t="inlineStr">
        <is>
          <t xml:space="preserve">gewinn</t>
        </is>
      </c>
      <c r="I1319" s="24" t="inlineStr">
        <is>
          <t xml:space="preserve">steuer</t>
        </is>
      </c>
      <c r="J1319" s="24" t="inlineStr">
        <is>
          <t xml:space="preserve">rest</t>
        </is>
      </c>
    </row>
    <row r="1320">
      <c r="A1320"/>
      <c r="B1320">
        <v>1</v>
      </c>
      <c r="C1320" s="43">
        <f>IF(OR(VerkaufNach="",VerkaufNach=0),0,INDEX(OjWert,0+MIN(VerkaufNach,30)+1))</f>
      </c>
      <c r="D1320" s="43">
        <f>$C1320*Verkaufskosten/100</f>
      </c>
      <c r="E1320" s="43">
        <f>$C1320-$D1320</f>
      </c>
      <c r="F1320" s="43">
        <f>IF(OR(VerkaufNach="",VerkaufNach=0),0,IF(OR(INDEX(ObjKaufJahr,1)=0,INDEX(ObjAfaDauer,1)=0,MIN((Jahr+MIN(VerkaufNach,30))-1,INDEX(ObjKaufJahr,1)-INT(-INDEX(ObjAfaDauer,1))-1)&lt;INDEX(ObjKaufJahr,1)),0,INDEX(ObjAfaJahr,1)*((13-INDEX(ObjKaufMonat,1))/12+MAX(0,MIN((Jahr+MIN(VerkaufNach,30))-1,INDEX(ObjKaufJahr,1)-INT(-INDEX(ObjAfaDauer,1))-1)-INDEX(ObjKaufJahr,1)))))</f>
      </c>
      <c r="G1320" s="43">
        <f>MAX(0,INDEX(ObjInvest,1)-$F1320)</f>
      </c>
      <c r="H1320" s="43">
        <f>$E1320-$G1320</f>
      </c>
      <c r="I1320" s="43">
        <f>IF(OR(VerkaufNach="",VerkaufNach=0),0,IF(AND((Jahr+MIN(VerkaufNach,30))-INDEX(ObjKaufJahr,1)&lt;10,$H1320&gt;0),$H1320*INDEX(ObjSteuersatz,1)/100,0))</f>
      </c>
      <c r="J1320" s="43">
        <f>IF(OR(VerkaufNach="",VerkaufNach=0),0,INDEX(OjRest,0+MIN(VerkaufNach,30)+1))</f>
      </c>
    </row>
    <row r="1321">
      <c r="A1321"/>
      <c r="B1321">
        <v>2</v>
      </c>
      <c r="C1321" s="43">
        <f>IF(OR(VerkaufNach="",VerkaufNach=0),0,INDEX(OjWert,31+MIN(VerkaufNach,30)+1))</f>
      </c>
      <c r="D1321" s="43">
        <f>$C1321*Verkaufskosten/100</f>
      </c>
      <c r="E1321" s="43">
        <f>$C1321-$D1321</f>
      </c>
      <c r="F1321" s="43">
        <f>IF(OR(VerkaufNach="",VerkaufNach=0),0,IF(OR(INDEX(ObjKaufJahr,2)=0,INDEX(ObjAfaDauer,2)=0,MIN((Jahr+MIN(VerkaufNach,30))-1,INDEX(ObjKaufJahr,2)-INT(-INDEX(ObjAfaDauer,2))-1)&lt;INDEX(ObjKaufJahr,2)),0,INDEX(ObjAfaJahr,2)*((13-INDEX(ObjKaufMonat,2))/12+MAX(0,MIN((Jahr+MIN(VerkaufNach,30))-1,INDEX(ObjKaufJahr,2)-INT(-INDEX(ObjAfaDauer,2))-1)-INDEX(ObjKaufJahr,2)))))</f>
      </c>
      <c r="G1321" s="43">
        <f>MAX(0,INDEX(ObjInvest,2)-$F1321)</f>
      </c>
      <c r="H1321" s="43">
        <f>$E1321-$G1321</f>
      </c>
      <c r="I1321" s="43">
        <f>IF(OR(VerkaufNach="",VerkaufNach=0),0,IF(AND((Jahr+MIN(VerkaufNach,30))-INDEX(ObjKaufJahr,2)&lt;10,$H1321&gt;0),$H1321*INDEX(ObjSteuersatz,2)/100,0))</f>
      </c>
      <c r="J1321" s="43">
        <f>IF(OR(VerkaufNach="",VerkaufNach=0),0,INDEX(OjRest,31+MIN(VerkaufNach,30)+1))</f>
      </c>
    </row>
    <row r="1322">
      <c r="A1322"/>
      <c r="B1322">
        <v>3</v>
      </c>
      <c r="C1322" s="43">
        <f>IF(OR(VerkaufNach="",VerkaufNach=0),0,INDEX(OjWert,62+MIN(VerkaufNach,30)+1))</f>
      </c>
      <c r="D1322" s="43">
        <f>$C1322*Verkaufskosten/100</f>
      </c>
      <c r="E1322" s="43">
        <f>$C1322-$D1322</f>
      </c>
      <c r="F1322" s="43">
        <f>IF(OR(VerkaufNach="",VerkaufNach=0),0,IF(OR(INDEX(ObjKaufJahr,3)=0,INDEX(ObjAfaDauer,3)=0,MIN((Jahr+MIN(VerkaufNach,30))-1,INDEX(ObjKaufJahr,3)-INT(-INDEX(ObjAfaDauer,3))-1)&lt;INDEX(ObjKaufJahr,3)),0,INDEX(ObjAfaJahr,3)*((13-INDEX(ObjKaufMonat,3))/12+MAX(0,MIN((Jahr+MIN(VerkaufNach,30))-1,INDEX(ObjKaufJahr,3)-INT(-INDEX(ObjAfaDauer,3))-1)-INDEX(ObjKaufJahr,3)))))</f>
      </c>
      <c r="G1322" s="43">
        <f>MAX(0,INDEX(ObjInvest,3)-$F1322)</f>
      </c>
      <c r="H1322" s="43">
        <f>$E1322-$G1322</f>
      </c>
      <c r="I1322" s="43">
        <f>IF(OR(VerkaufNach="",VerkaufNach=0),0,IF(AND((Jahr+MIN(VerkaufNach,30))-INDEX(ObjKaufJahr,3)&lt;10,$H1322&gt;0),$H1322*INDEX(ObjSteuersatz,3)/100,0))</f>
      </c>
      <c r="J1322" s="43">
        <f>IF(OR(VerkaufNach="",VerkaufNach=0),0,INDEX(OjRest,62+MIN(VerkaufNach,30)+1))</f>
      </c>
    </row>
    <row r="1323">
      <c r="A1323"/>
      <c r="B1323">
        <v>4</v>
      </c>
      <c r="C1323" s="43">
        <f>IF(OR(VerkaufNach="",VerkaufNach=0),0,INDEX(OjWert,93+MIN(VerkaufNach,30)+1))</f>
      </c>
      <c r="D1323" s="43">
        <f>$C1323*Verkaufskosten/100</f>
      </c>
      <c r="E1323" s="43">
        <f>$C1323-$D1323</f>
      </c>
      <c r="F1323" s="43">
        <f>IF(OR(VerkaufNach="",VerkaufNach=0),0,IF(OR(INDEX(ObjKaufJahr,4)=0,INDEX(ObjAfaDauer,4)=0,MIN((Jahr+MIN(VerkaufNach,30))-1,INDEX(ObjKaufJahr,4)-INT(-INDEX(ObjAfaDauer,4))-1)&lt;INDEX(ObjKaufJahr,4)),0,INDEX(ObjAfaJahr,4)*((13-INDEX(ObjKaufMonat,4))/12+MAX(0,MIN((Jahr+MIN(VerkaufNach,30))-1,INDEX(ObjKaufJahr,4)-INT(-INDEX(ObjAfaDauer,4))-1)-INDEX(ObjKaufJahr,4)))))</f>
      </c>
      <c r="G1323" s="43">
        <f>MAX(0,INDEX(ObjInvest,4)-$F1323)</f>
      </c>
      <c r="H1323" s="43">
        <f>$E1323-$G1323</f>
      </c>
      <c r="I1323" s="43">
        <f>IF(OR(VerkaufNach="",VerkaufNach=0),0,IF(AND((Jahr+MIN(VerkaufNach,30))-INDEX(ObjKaufJahr,4)&lt;10,$H1323&gt;0),$H1323*INDEX(ObjSteuersatz,4)/100,0))</f>
      </c>
      <c r="J1323" s="43">
        <f>IF(OR(VerkaufNach="",VerkaufNach=0),0,INDEX(OjRest,93+MIN(VerkaufNach,30)+1))</f>
      </c>
    </row>
    <row r="1324">
      <c r="A1324"/>
      <c r="B1324">
        <v>5</v>
      </c>
      <c r="C1324" s="43">
        <f>IF(OR(VerkaufNach="",VerkaufNach=0),0,INDEX(OjWert,124+MIN(VerkaufNach,30)+1))</f>
      </c>
      <c r="D1324" s="43">
        <f>$C1324*Verkaufskosten/100</f>
      </c>
      <c r="E1324" s="43">
        <f>$C1324-$D1324</f>
      </c>
      <c r="F1324" s="43">
        <f>IF(OR(VerkaufNach="",VerkaufNach=0),0,IF(OR(INDEX(ObjKaufJahr,5)=0,INDEX(ObjAfaDauer,5)=0,MIN((Jahr+MIN(VerkaufNach,30))-1,INDEX(ObjKaufJahr,5)-INT(-INDEX(ObjAfaDauer,5))-1)&lt;INDEX(ObjKaufJahr,5)),0,INDEX(ObjAfaJahr,5)*((13-INDEX(ObjKaufMonat,5))/12+MAX(0,MIN((Jahr+MIN(VerkaufNach,30))-1,INDEX(ObjKaufJahr,5)-INT(-INDEX(ObjAfaDauer,5))-1)-INDEX(ObjKaufJahr,5)))))</f>
      </c>
      <c r="G1324" s="43">
        <f>MAX(0,INDEX(ObjInvest,5)-$F1324)</f>
      </c>
      <c r="H1324" s="43">
        <f>$E1324-$G1324</f>
      </c>
      <c r="I1324" s="43">
        <f>IF(OR(VerkaufNach="",VerkaufNach=0),0,IF(AND((Jahr+MIN(VerkaufNach,30))-INDEX(ObjKaufJahr,5)&lt;10,$H1324&gt;0),$H1324*INDEX(ObjSteuersatz,5)/100,0))</f>
      </c>
      <c r="J1324" s="43">
        <f>IF(OR(VerkaufNach="",VerkaufNach=0),0,INDEX(OjRest,124+MIN(VerkaufNach,30)+1))</f>
      </c>
    </row>
    <row r="1325">
      <c r="A1325"/>
      <c r="B1325">
        <v>6</v>
      </c>
      <c r="C1325" s="43">
        <f>IF(OR(VerkaufNach="",VerkaufNach=0),0,INDEX(OjWert,155+MIN(VerkaufNach,30)+1))</f>
      </c>
      <c r="D1325" s="43">
        <f>$C1325*Verkaufskosten/100</f>
      </c>
      <c r="E1325" s="43">
        <f>$C1325-$D1325</f>
      </c>
      <c r="F1325" s="43">
        <f>IF(OR(VerkaufNach="",VerkaufNach=0),0,IF(OR(INDEX(ObjKaufJahr,6)=0,INDEX(ObjAfaDauer,6)=0,MIN((Jahr+MIN(VerkaufNach,30))-1,INDEX(ObjKaufJahr,6)-INT(-INDEX(ObjAfaDauer,6))-1)&lt;INDEX(ObjKaufJahr,6)),0,INDEX(ObjAfaJahr,6)*((13-INDEX(ObjKaufMonat,6))/12+MAX(0,MIN((Jahr+MIN(VerkaufNach,30))-1,INDEX(ObjKaufJahr,6)-INT(-INDEX(ObjAfaDauer,6))-1)-INDEX(ObjKaufJahr,6)))))</f>
      </c>
      <c r="G1325" s="43">
        <f>MAX(0,INDEX(ObjInvest,6)-$F1325)</f>
      </c>
      <c r="H1325" s="43">
        <f>$E1325-$G1325</f>
      </c>
      <c r="I1325" s="43">
        <f>IF(OR(VerkaufNach="",VerkaufNach=0),0,IF(AND((Jahr+MIN(VerkaufNach,30))-INDEX(ObjKaufJahr,6)&lt;10,$H1325&gt;0),$H1325*INDEX(ObjSteuersatz,6)/100,0))</f>
      </c>
      <c r="J1325" s="43">
        <f>IF(OR(VerkaufNach="",VerkaufNach=0),0,INDEX(OjRest,155+MIN(VerkaufNach,30)+1))</f>
      </c>
    </row>
    <row r="1326">
      <c r="A1326"/>
      <c r="B1326">
        <v>7</v>
      </c>
      <c r="C1326" s="43">
        <f>IF(OR(VerkaufNach="",VerkaufNach=0),0,INDEX(OjWert,186+MIN(VerkaufNach,30)+1))</f>
      </c>
      <c r="D1326" s="43">
        <f>$C1326*Verkaufskosten/100</f>
      </c>
      <c r="E1326" s="43">
        <f>$C1326-$D1326</f>
      </c>
      <c r="F1326" s="43">
        <f>IF(OR(VerkaufNach="",VerkaufNach=0),0,IF(OR(INDEX(ObjKaufJahr,7)=0,INDEX(ObjAfaDauer,7)=0,MIN((Jahr+MIN(VerkaufNach,30))-1,INDEX(ObjKaufJahr,7)-INT(-INDEX(ObjAfaDauer,7))-1)&lt;INDEX(ObjKaufJahr,7)),0,INDEX(ObjAfaJahr,7)*((13-INDEX(ObjKaufMonat,7))/12+MAX(0,MIN((Jahr+MIN(VerkaufNach,30))-1,INDEX(ObjKaufJahr,7)-INT(-INDEX(ObjAfaDauer,7))-1)-INDEX(ObjKaufJahr,7)))))</f>
      </c>
      <c r="G1326" s="43">
        <f>MAX(0,INDEX(ObjInvest,7)-$F1326)</f>
      </c>
      <c r="H1326" s="43">
        <f>$E1326-$G1326</f>
      </c>
      <c r="I1326" s="43">
        <f>IF(OR(VerkaufNach="",VerkaufNach=0),0,IF(AND((Jahr+MIN(VerkaufNach,30))-INDEX(ObjKaufJahr,7)&lt;10,$H1326&gt;0),$H1326*INDEX(ObjSteuersatz,7)/100,0))</f>
      </c>
      <c r="J1326" s="43">
        <f>IF(OR(VerkaufNach="",VerkaufNach=0),0,INDEX(OjRest,186+MIN(VerkaufNach,30)+1))</f>
      </c>
    </row>
    <row r="1327">
      <c r="A1327"/>
      <c r="B1327">
        <v>8</v>
      </c>
      <c r="C1327" s="43">
        <f>IF(OR(VerkaufNach="",VerkaufNach=0),0,INDEX(OjWert,217+MIN(VerkaufNach,30)+1))</f>
      </c>
      <c r="D1327" s="43">
        <f>$C1327*Verkaufskosten/100</f>
      </c>
      <c r="E1327" s="43">
        <f>$C1327-$D1327</f>
      </c>
      <c r="F1327" s="43">
        <f>IF(OR(VerkaufNach="",VerkaufNach=0),0,IF(OR(INDEX(ObjKaufJahr,8)=0,INDEX(ObjAfaDauer,8)=0,MIN((Jahr+MIN(VerkaufNach,30))-1,INDEX(ObjKaufJahr,8)-INT(-INDEX(ObjAfaDauer,8))-1)&lt;INDEX(ObjKaufJahr,8)),0,INDEX(ObjAfaJahr,8)*((13-INDEX(ObjKaufMonat,8))/12+MAX(0,MIN((Jahr+MIN(VerkaufNach,30))-1,INDEX(ObjKaufJahr,8)-INT(-INDEX(ObjAfaDauer,8))-1)-INDEX(ObjKaufJahr,8)))))</f>
      </c>
      <c r="G1327" s="43">
        <f>MAX(0,INDEX(ObjInvest,8)-$F1327)</f>
      </c>
      <c r="H1327" s="43">
        <f>$E1327-$G1327</f>
      </c>
      <c r="I1327" s="43">
        <f>IF(OR(VerkaufNach="",VerkaufNach=0),0,IF(AND((Jahr+MIN(VerkaufNach,30))-INDEX(ObjKaufJahr,8)&lt;10,$H1327&gt;0),$H1327*INDEX(ObjSteuersatz,8)/100,0))</f>
      </c>
      <c r="J1327" s="43">
        <f>IF(OR(VerkaufNach="",VerkaufNach=0),0,INDEX(OjRest,217+MIN(VerkaufNach,30)+1))</f>
      </c>
    </row>
    <row r="1328">
      <c r="A1328"/>
      <c r="B1328">
        <v>9</v>
      </c>
      <c r="C1328" s="43">
        <f>IF(OR(VerkaufNach="",VerkaufNach=0),0,INDEX(OjWert,248+MIN(VerkaufNach,30)+1))</f>
      </c>
      <c r="D1328" s="43">
        <f>$C1328*Verkaufskosten/100</f>
      </c>
      <c r="E1328" s="43">
        <f>$C1328-$D1328</f>
      </c>
      <c r="F1328" s="43">
        <f>IF(OR(VerkaufNach="",VerkaufNach=0),0,IF(OR(INDEX(ObjKaufJahr,9)=0,INDEX(ObjAfaDauer,9)=0,MIN((Jahr+MIN(VerkaufNach,30))-1,INDEX(ObjKaufJahr,9)-INT(-INDEX(ObjAfaDauer,9))-1)&lt;INDEX(ObjKaufJahr,9)),0,INDEX(ObjAfaJahr,9)*((13-INDEX(ObjKaufMonat,9))/12+MAX(0,MIN((Jahr+MIN(VerkaufNach,30))-1,INDEX(ObjKaufJahr,9)-INT(-INDEX(ObjAfaDauer,9))-1)-INDEX(ObjKaufJahr,9)))))</f>
      </c>
      <c r="G1328" s="43">
        <f>MAX(0,INDEX(ObjInvest,9)-$F1328)</f>
      </c>
      <c r="H1328" s="43">
        <f>$E1328-$G1328</f>
      </c>
      <c r="I1328" s="43">
        <f>IF(OR(VerkaufNach="",VerkaufNach=0),0,IF(AND((Jahr+MIN(VerkaufNach,30))-INDEX(ObjKaufJahr,9)&lt;10,$H1328&gt;0),$H1328*INDEX(ObjSteuersatz,9)/100,0))</f>
      </c>
      <c r="J1328" s="43">
        <f>IF(OR(VerkaufNach="",VerkaufNach=0),0,INDEX(OjRest,248+MIN(VerkaufNach,30)+1))</f>
      </c>
    </row>
    <row r="1329">
      <c r="A1329"/>
      <c r="B1329">
        <v>10</v>
      </c>
      <c r="C1329" s="43">
        <f>IF(OR(VerkaufNach="",VerkaufNach=0),0,INDEX(OjWert,279+MIN(VerkaufNach,30)+1))</f>
      </c>
      <c r="D1329" s="43">
        <f>$C1329*Verkaufskosten/100</f>
      </c>
      <c r="E1329" s="43">
        <f>$C1329-$D1329</f>
      </c>
      <c r="F1329" s="43">
        <f>IF(OR(VerkaufNach="",VerkaufNach=0),0,IF(OR(INDEX(ObjKaufJahr,10)=0,INDEX(ObjAfaDauer,10)=0,MIN((Jahr+MIN(VerkaufNach,30))-1,INDEX(ObjKaufJahr,10)-INT(-INDEX(ObjAfaDauer,10))-1)&lt;INDEX(ObjKaufJahr,10)),0,INDEX(ObjAfaJahr,10)*((13-INDEX(ObjKaufMonat,10))/12+MAX(0,MIN((Jahr+MIN(VerkaufNach,30))-1,INDEX(ObjKaufJahr,10)-INT(-INDEX(ObjAfaDauer,10))-1)-INDEX(ObjKaufJahr,10)))))</f>
      </c>
      <c r="G1329" s="43">
        <f>MAX(0,INDEX(ObjInvest,10)-$F1329)</f>
      </c>
      <c r="H1329" s="43">
        <f>$E1329-$G1329</f>
      </c>
      <c r="I1329" s="43">
        <f>IF(OR(VerkaufNach="",VerkaufNach=0),0,IF(AND((Jahr+MIN(VerkaufNach,30))-INDEX(ObjKaufJahr,10)&lt;10,$H1329&gt;0),$H1329*INDEX(ObjSteuersatz,10)/100,0))</f>
      </c>
      <c r="J1329" s="43">
        <f>IF(OR(VerkaufNach="",VerkaufNach=0),0,INDEX(OjRest,279+MIN(VerkaufNach,30)+1))</f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Views>
    <sheetView showGridLines="0" workbookViewId="0">
      <pane ySplit="3" topLeftCell="A4" activePane="bottomRight" state="frozen"/>
    </sheetView>
  </sheetViews>
  <sheetFormatPr defaultRowHeight="15"/>
  <cols>
    <col min="1" max="1" width="2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</cols>
  <sheetData>
    <row r="1">
      <c r="A1"/>
      <c r="B1" s="4" t="inlineStr">
        <is>
          <t xml:space="preserve">Tilgung – Rechenkern, nicht bearbeiten</t>
        </is>
      </c>
    </row>
    <row r="3">
      <c r="A3"/>
      <c r="B3" s="24" t="inlineStr">
        <is>
          <t xml:space="preserve">Darl</t>
        </is>
      </c>
      <c r="C3" s="24" t="inlineStr">
        <is>
          <t xml:space="preserve">Obj</t>
        </is>
      </c>
      <c r="D3" s="24" t="inlineStr">
        <is>
          <t xml:space="preserve">Monat i</t>
        </is>
      </c>
      <c r="E3" s="24" t="inlineStr">
        <is>
          <t xml:space="preserve">Datum</t>
        </is>
      </c>
      <c r="F3" s="24" t="inlineStr">
        <is>
          <t xml:space="preserve">Jahr</t>
        </is>
      </c>
      <c r="G3" s="24" t="inlineStr">
        <is>
          <t xml:space="preserve">in Bindung</t>
        </is>
      </c>
      <c r="H3" s="24" t="inlineStr">
        <is>
          <t xml:space="preserve">Zinssatz</t>
        </is>
      </c>
      <c r="I3" s="24" t="inlineStr">
        <is>
          <t xml:space="preserve">aktiv</t>
        </is>
      </c>
      <c r="J3" s="24" t="inlineStr">
        <is>
          <t xml:space="preserve">Rest Anfang</t>
        </is>
      </c>
      <c r="K3" s="24" t="inlineStr">
        <is>
          <t xml:space="preserve">Rate</t>
        </is>
      </c>
      <c r="L3" s="24" t="inlineStr">
        <is>
          <t xml:space="preserve">Zins</t>
        </is>
      </c>
      <c r="M3" s="24" t="inlineStr">
        <is>
          <t xml:space="preserve">Tilgung</t>
        </is>
      </c>
      <c r="N3" s="24" t="inlineStr">
        <is>
          <t xml:space="preserve">Sondertilgung</t>
        </is>
      </c>
      <c r="O3" s="24" t="inlineStr">
        <is>
          <t xml:space="preserve">Ersatzrate</t>
        </is>
      </c>
      <c r="P3" s="24" t="inlineStr">
        <is>
          <t xml:space="preserve">Ertrag</t>
        </is>
      </c>
      <c r="Q3" s="24" t="inlineStr">
        <is>
          <t xml:space="preserve">Guthaben</t>
        </is>
      </c>
      <c r="R3" s="24" t="inlineStr">
        <is>
          <t xml:space="preserve">Rest Ende</t>
        </is>
      </c>
    </row>
    <row r="4">
      <c r="A4"/>
      <c r="B4">
        <v>1</v>
      </c>
      <c r="C4" s="43">
        <f>INDEX(DarlObj,1)</f>
      </c>
      <c r="D4">
        <v>1</v>
      </c>
      <c r="E4" s="51">
        <f>IF(INDEX(DarlBelegt,1)=0,0,EOMONTH(INDEX(DarlAuszahlung,1),0)+1)</f>
      </c>
      <c r="F4" s="43">
        <f>IF($E4=0,0,YEAR($E4))</f>
      </c>
      <c r="G4" s="43">
        <f>IF(INDEX(DarlBindung,1)="",1,IF($E4&lt;=INDEX(DarlBindung,1),1,0))</f>
      </c>
      <c r="H4" s="43">
        <f>IF($G4=1,INDEX(DarlSollzins,1),INDEX(DarlAnschluss,1))</f>
      </c>
      <c r="I4" s="43">
        <f>IF(INDEX(DarlBelegt,1)=0,0,IF(INDEX(DarlOhneTilgung,1)=1,IF(INDEX(DarlBindung,1)="",1,$G4),IF($J4&gt;0.005,1,0)))</f>
      </c>
      <c r="J4" s="43">
        <f>IF(INDEX(DarlBelegt,1)=0,0,INDEX(DarlBetrag,1))</f>
      </c>
      <c r="K4" s="43">
        <f>IF($I4=0,0,IF(INDEX(DarlOhneTilgung,1)=1,0,INDEX(DarlRate1,1)))</f>
      </c>
      <c r="L4" s="43">
        <f>IF($I4=0,0,$J4*$H4/100/12)</f>
      </c>
      <c r="M4" s="43">
        <f>IF($I4=0,0,IF(OR(INDEX(DarlOhneTilgung,1)=1,AND(INDEX(DarlTilgStart,1)&gt;0,$E4&lt;INDEX(DarlTilgStart,1))),0,MIN(MAX(0,$K4-$L4),$J4)))</f>
      </c>
      <c r="N4" s="43">
        <f>IF($I4=0,0,MIN(SUMIFS(SondBetrag,SondDarl,1,SondDatum,"&gt;="&amp;$E4,SondDatum,"&lt;="&amp;EOMONTH($E4,0)),$J4-$M4))</f>
      </c>
      <c r="O4" s="43">
        <f>IF($I4=0,0,INDEX(DarlErsatzRate,1))</f>
      </c>
      <c r="P4" s="43">
        <f>0</f>
      </c>
      <c r="Q4" s="43">
        <f>IF($I4=0,0,$P4+$O4)</f>
      </c>
      <c r="R4" s="43">
        <f>IF($I4=0,0,$J4-$M4-$N4)</f>
      </c>
    </row>
    <row r="5">
      <c r="A5"/>
      <c r="B5">
        <v>1</v>
      </c>
      <c r="C5" s="43">
        <f>INDEX(DarlObj,1)</f>
      </c>
      <c r="D5">
        <v>2</v>
      </c>
      <c r="E5" s="51">
        <f>IF(INDEX(DarlBelegt,1)=0,0,EOMONTH(INDEX(DarlAuszahlung,1),1)+1)</f>
      </c>
      <c r="F5" s="43">
        <f>IF($E5=0,0,YEAR($E5))</f>
      </c>
      <c r="G5" s="43">
        <f>IF(INDEX(DarlBindung,1)="",1,IF($E5&lt;=INDEX(DarlBindung,1),1,0))</f>
      </c>
      <c r="H5" s="43">
        <f>IF($G5=1,INDEX(DarlSollzins,1),INDEX(DarlAnschluss,1))</f>
      </c>
      <c r="I5" s="43">
        <f>IF(INDEX(DarlBelegt,1)=0,0,IF(INDEX(DarlOhneTilgung,1)=1,IF(INDEX(DarlBindung,1)="",1,$G5),IF($J5&gt;0.005,1,0)))</f>
      </c>
      <c r="J5" s="43">
        <f>IF($I4=0,0,$R4)</f>
      </c>
      <c r="K5" s="43">
        <f>IF($I5=0,0,IF(INDEX(DarlOhneTilgung,1)=1,0,IF(AND(INDEX(DarlTilgStart,1)&gt;0,$E5=INDEX(DarlTilgStart,1)),$J5*($H5+INDEX(DarlTilgung,1))/100/12,IF(AND($G5=0,$G4=1),MAX($K4,$J5*($H5+1)/100/12),$K4))))</f>
      </c>
      <c r="L5" s="43">
        <f>IF($I5=0,0,$J5*$H5/100/12)</f>
      </c>
      <c r="M5" s="43">
        <f>IF($I5=0,0,IF(OR(INDEX(DarlOhneTilgung,1)=1,AND(INDEX(DarlTilgStart,1)&gt;0,$E5&lt;INDEX(DarlTilgStart,1))),0,MIN(MAX(0,$K5-$L5),$J5)))</f>
      </c>
      <c r="N5" s="43">
        <f>IF($I5=0,0,MIN(SUMIFS(SondBetrag,SondDarl,1,SondDatum,"&gt;="&amp;$E5,SondDatum,"&lt;="&amp;EOMONTH($E5,0)),$J5-$M5))</f>
      </c>
      <c r="O5" s="43">
        <f>IF($I5=0,0,INDEX(DarlErsatzRate,1))</f>
      </c>
      <c r="P5" s="43">
        <f>IF($I5=0,0,$Q4*INDEX(DarlErsatzZins,1))</f>
      </c>
      <c r="Q5" s="43">
        <f>IF($I5=0,0,$Q4+$P5+$O5)</f>
      </c>
      <c r="R5" s="43">
        <f>IF($I5=0,0,$J5-$M5-$N5)</f>
      </c>
    </row>
    <row r="6">
      <c r="A6"/>
      <c r="B6">
        <v>1</v>
      </c>
      <c r="C6" s="43">
        <f>INDEX(DarlObj,1)</f>
      </c>
      <c r="D6">
        <v>3</v>
      </c>
      <c r="E6" s="51">
        <f>IF(INDEX(DarlBelegt,1)=0,0,EOMONTH(INDEX(DarlAuszahlung,1),2)+1)</f>
      </c>
      <c r="F6" s="43">
        <f>IF($E6=0,0,YEAR($E6))</f>
      </c>
      <c r="G6" s="43">
        <f>IF(INDEX(DarlBindung,1)="",1,IF($E6&lt;=INDEX(DarlBindung,1),1,0))</f>
      </c>
      <c r="H6" s="43">
        <f>IF($G6=1,INDEX(DarlSollzins,1),INDEX(DarlAnschluss,1))</f>
      </c>
      <c r="I6" s="43">
        <f>IF(INDEX(DarlBelegt,1)=0,0,IF(INDEX(DarlOhneTilgung,1)=1,IF(INDEX(DarlBindung,1)="",1,$G6),IF($J6&gt;0.005,1,0)))</f>
      </c>
      <c r="J6" s="43">
        <f>IF($I5=0,0,$R5)</f>
      </c>
      <c r="K6" s="43">
        <f>IF($I6=0,0,IF(INDEX(DarlOhneTilgung,1)=1,0,IF(AND(INDEX(DarlTilgStart,1)&gt;0,$E6=INDEX(DarlTilgStart,1)),$J6*($H6+INDEX(DarlTilgung,1))/100/12,IF(AND($G6=0,$G5=1),MAX($K5,$J6*($H6+1)/100/12),$K5))))</f>
      </c>
      <c r="L6" s="43">
        <f>IF($I6=0,0,$J6*$H6/100/12)</f>
      </c>
      <c r="M6" s="43">
        <f>IF($I6=0,0,IF(OR(INDEX(DarlOhneTilgung,1)=1,AND(INDEX(DarlTilgStart,1)&gt;0,$E6&lt;INDEX(DarlTilgStart,1))),0,MIN(MAX(0,$K6-$L6),$J6)))</f>
      </c>
      <c r="N6" s="43">
        <f>IF($I6=0,0,MIN(SUMIFS(SondBetrag,SondDarl,1,SondDatum,"&gt;="&amp;$E6,SondDatum,"&lt;="&amp;EOMONTH($E6,0)),$J6-$M6))</f>
      </c>
      <c r="O6" s="43">
        <f>IF($I6=0,0,INDEX(DarlErsatzRate,1))</f>
      </c>
      <c r="P6" s="43">
        <f>IF($I6=0,0,$Q5*INDEX(DarlErsatzZins,1))</f>
      </c>
      <c r="Q6" s="43">
        <f>IF($I6=0,0,$Q5+$P6+$O6)</f>
      </c>
      <c r="R6" s="43">
        <f>IF($I6=0,0,$J6-$M6-$N6)</f>
      </c>
    </row>
    <row r="7">
      <c r="A7"/>
      <c r="B7">
        <v>1</v>
      </c>
      <c r="C7" s="43">
        <f>INDEX(DarlObj,1)</f>
      </c>
      <c r="D7">
        <v>4</v>
      </c>
      <c r="E7" s="51">
        <f>IF(INDEX(DarlBelegt,1)=0,0,EOMONTH(INDEX(DarlAuszahlung,1),3)+1)</f>
      </c>
      <c r="F7" s="43">
        <f>IF($E7=0,0,YEAR($E7))</f>
      </c>
      <c r="G7" s="43">
        <f>IF(INDEX(DarlBindung,1)="",1,IF($E7&lt;=INDEX(DarlBindung,1),1,0))</f>
      </c>
      <c r="H7" s="43">
        <f>IF($G7=1,INDEX(DarlSollzins,1),INDEX(DarlAnschluss,1))</f>
      </c>
      <c r="I7" s="43">
        <f>IF(INDEX(DarlBelegt,1)=0,0,IF(INDEX(DarlOhneTilgung,1)=1,IF(INDEX(DarlBindung,1)="",1,$G7),IF($J7&gt;0.005,1,0)))</f>
      </c>
      <c r="J7" s="43">
        <f>IF($I6=0,0,$R6)</f>
      </c>
      <c r="K7" s="43">
        <f>IF($I7=0,0,IF(INDEX(DarlOhneTilgung,1)=1,0,IF(AND(INDEX(DarlTilgStart,1)&gt;0,$E7=INDEX(DarlTilgStart,1)),$J7*($H7+INDEX(DarlTilgung,1))/100/12,IF(AND($G7=0,$G6=1),MAX($K6,$J7*($H7+1)/100/12),$K6))))</f>
      </c>
      <c r="L7" s="43">
        <f>IF($I7=0,0,$J7*$H7/100/12)</f>
      </c>
      <c r="M7" s="43">
        <f>IF($I7=0,0,IF(OR(INDEX(DarlOhneTilgung,1)=1,AND(INDEX(DarlTilgStart,1)&gt;0,$E7&lt;INDEX(DarlTilgStart,1))),0,MIN(MAX(0,$K7-$L7),$J7)))</f>
      </c>
      <c r="N7" s="43">
        <f>IF($I7=0,0,MIN(SUMIFS(SondBetrag,SondDarl,1,SondDatum,"&gt;="&amp;$E7,SondDatum,"&lt;="&amp;EOMONTH($E7,0)),$J7-$M7))</f>
      </c>
      <c r="O7" s="43">
        <f>IF($I7=0,0,INDEX(DarlErsatzRate,1))</f>
      </c>
      <c r="P7" s="43">
        <f>IF($I7=0,0,$Q6*INDEX(DarlErsatzZins,1))</f>
      </c>
      <c r="Q7" s="43">
        <f>IF($I7=0,0,$Q6+$P7+$O7)</f>
      </c>
      <c r="R7" s="43">
        <f>IF($I7=0,0,$J7-$M7-$N7)</f>
      </c>
    </row>
    <row r="8">
      <c r="A8"/>
      <c r="B8">
        <v>1</v>
      </c>
      <c r="C8" s="43">
        <f>INDEX(DarlObj,1)</f>
      </c>
      <c r="D8">
        <v>5</v>
      </c>
      <c r="E8" s="51">
        <f>IF(INDEX(DarlBelegt,1)=0,0,EOMONTH(INDEX(DarlAuszahlung,1),4)+1)</f>
      </c>
      <c r="F8" s="43">
        <f>IF($E8=0,0,YEAR($E8))</f>
      </c>
      <c r="G8" s="43">
        <f>IF(INDEX(DarlBindung,1)="",1,IF($E8&lt;=INDEX(DarlBindung,1),1,0))</f>
      </c>
      <c r="H8" s="43">
        <f>IF($G8=1,INDEX(DarlSollzins,1),INDEX(DarlAnschluss,1))</f>
      </c>
      <c r="I8" s="43">
        <f>IF(INDEX(DarlBelegt,1)=0,0,IF(INDEX(DarlOhneTilgung,1)=1,IF(INDEX(DarlBindung,1)="",1,$G8),IF($J8&gt;0.005,1,0)))</f>
      </c>
      <c r="J8" s="43">
        <f>IF($I7=0,0,$R7)</f>
      </c>
      <c r="K8" s="43">
        <f>IF($I8=0,0,IF(INDEX(DarlOhneTilgung,1)=1,0,IF(AND(INDEX(DarlTilgStart,1)&gt;0,$E8=INDEX(DarlTilgStart,1)),$J8*($H8+INDEX(DarlTilgung,1))/100/12,IF(AND($G8=0,$G7=1),MAX($K7,$J8*($H8+1)/100/12),$K7))))</f>
      </c>
      <c r="L8" s="43">
        <f>IF($I8=0,0,$J8*$H8/100/12)</f>
      </c>
      <c r="M8" s="43">
        <f>IF($I8=0,0,IF(OR(INDEX(DarlOhneTilgung,1)=1,AND(INDEX(DarlTilgStart,1)&gt;0,$E8&lt;INDEX(DarlTilgStart,1))),0,MIN(MAX(0,$K8-$L8),$J8)))</f>
      </c>
      <c r="N8" s="43">
        <f>IF($I8=0,0,MIN(SUMIFS(SondBetrag,SondDarl,1,SondDatum,"&gt;="&amp;$E8,SondDatum,"&lt;="&amp;EOMONTH($E8,0)),$J8-$M8))</f>
      </c>
      <c r="O8" s="43">
        <f>IF($I8=0,0,INDEX(DarlErsatzRate,1))</f>
      </c>
      <c r="P8" s="43">
        <f>IF($I8=0,0,$Q7*INDEX(DarlErsatzZins,1))</f>
      </c>
      <c r="Q8" s="43">
        <f>IF($I8=0,0,$Q7+$P8+$O8)</f>
      </c>
      <c r="R8" s="43">
        <f>IF($I8=0,0,$J8-$M8-$N8)</f>
      </c>
    </row>
    <row r="9">
      <c r="A9"/>
      <c r="B9">
        <v>1</v>
      </c>
      <c r="C9" s="43">
        <f>INDEX(DarlObj,1)</f>
      </c>
      <c r="D9">
        <v>6</v>
      </c>
      <c r="E9" s="51">
        <f>IF(INDEX(DarlBelegt,1)=0,0,EOMONTH(INDEX(DarlAuszahlung,1),5)+1)</f>
      </c>
      <c r="F9" s="43">
        <f>IF($E9=0,0,YEAR($E9))</f>
      </c>
      <c r="G9" s="43">
        <f>IF(INDEX(DarlBindung,1)="",1,IF($E9&lt;=INDEX(DarlBindung,1),1,0))</f>
      </c>
      <c r="H9" s="43">
        <f>IF($G9=1,INDEX(DarlSollzins,1),INDEX(DarlAnschluss,1))</f>
      </c>
      <c r="I9" s="43">
        <f>IF(INDEX(DarlBelegt,1)=0,0,IF(INDEX(DarlOhneTilgung,1)=1,IF(INDEX(DarlBindung,1)="",1,$G9),IF($J9&gt;0.005,1,0)))</f>
      </c>
      <c r="J9" s="43">
        <f>IF($I8=0,0,$R8)</f>
      </c>
      <c r="K9" s="43">
        <f>IF($I9=0,0,IF(INDEX(DarlOhneTilgung,1)=1,0,IF(AND(INDEX(DarlTilgStart,1)&gt;0,$E9=INDEX(DarlTilgStart,1)),$J9*($H9+INDEX(DarlTilgung,1))/100/12,IF(AND($G9=0,$G8=1),MAX($K8,$J9*($H9+1)/100/12),$K8))))</f>
      </c>
      <c r="L9" s="43">
        <f>IF($I9=0,0,$J9*$H9/100/12)</f>
      </c>
      <c r="M9" s="43">
        <f>IF($I9=0,0,IF(OR(INDEX(DarlOhneTilgung,1)=1,AND(INDEX(DarlTilgStart,1)&gt;0,$E9&lt;INDEX(DarlTilgStart,1))),0,MIN(MAX(0,$K9-$L9),$J9)))</f>
      </c>
      <c r="N9" s="43">
        <f>IF($I9=0,0,MIN(SUMIFS(SondBetrag,SondDarl,1,SondDatum,"&gt;="&amp;$E9,SondDatum,"&lt;="&amp;EOMONTH($E9,0)),$J9-$M9))</f>
      </c>
      <c r="O9" s="43">
        <f>IF($I9=0,0,INDEX(DarlErsatzRate,1))</f>
      </c>
      <c r="P9" s="43">
        <f>IF($I9=0,0,$Q8*INDEX(DarlErsatzZins,1))</f>
      </c>
      <c r="Q9" s="43">
        <f>IF($I9=0,0,$Q8+$P9+$O9)</f>
      </c>
      <c r="R9" s="43">
        <f>IF($I9=0,0,$J9-$M9-$N9)</f>
      </c>
    </row>
    <row r="10">
      <c r="A10"/>
      <c r="B10">
        <v>1</v>
      </c>
      <c r="C10" s="43">
        <f>INDEX(DarlObj,1)</f>
      </c>
      <c r="D10">
        <v>7</v>
      </c>
      <c r="E10" s="51">
        <f>IF(INDEX(DarlBelegt,1)=0,0,EOMONTH(INDEX(DarlAuszahlung,1),6)+1)</f>
      </c>
      <c r="F10" s="43">
        <f>IF($E10=0,0,YEAR($E10))</f>
      </c>
      <c r="G10" s="43">
        <f>IF(INDEX(DarlBindung,1)="",1,IF($E10&lt;=INDEX(DarlBindung,1),1,0))</f>
      </c>
      <c r="H10" s="43">
        <f>IF($G10=1,INDEX(DarlSollzins,1),INDEX(DarlAnschluss,1))</f>
      </c>
      <c r="I10" s="43">
        <f>IF(INDEX(DarlBelegt,1)=0,0,IF(INDEX(DarlOhneTilgung,1)=1,IF(INDEX(DarlBindung,1)="",1,$G10),IF($J10&gt;0.005,1,0)))</f>
      </c>
      <c r="J10" s="43">
        <f>IF($I9=0,0,$R9)</f>
      </c>
      <c r="K10" s="43">
        <f>IF($I10=0,0,IF(INDEX(DarlOhneTilgung,1)=1,0,IF(AND(INDEX(DarlTilgStart,1)&gt;0,$E10=INDEX(DarlTilgStart,1)),$J10*($H10+INDEX(DarlTilgung,1))/100/12,IF(AND($G10=0,$G9=1),MAX($K9,$J10*($H10+1)/100/12),$K9))))</f>
      </c>
      <c r="L10" s="43">
        <f>IF($I10=0,0,$J10*$H10/100/12)</f>
      </c>
      <c r="M10" s="43">
        <f>IF($I10=0,0,IF(OR(INDEX(DarlOhneTilgung,1)=1,AND(INDEX(DarlTilgStart,1)&gt;0,$E10&lt;INDEX(DarlTilgStart,1))),0,MIN(MAX(0,$K10-$L10),$J10)))</f>
      </c>
      <c r="N10" s="43">
        <f>IF($I10=0,0,MIN(SUMIFS(SondBetrag,SondDarl,1,SondDatum,"&gt;="&amp;$E10,SondDatum,"&lt;="&amp;EOMONTH($E10,0)),$J10-$M10))</f>
      </c>
      <c r="O10" s="43">
        <f>IF($I10=0,0,INDEX(DarlErsatzRate,1))</f>
      </c>
      <c r="P10" s="43">
        <f>IF($I10=0,0,$Q9*INDEX(DarlErsatzZins,1))</f>
      </c>
      <c r="Q10" s="43">
        <f>IF($I10=0,0,$Q9+$P10+$O10)</f>
      </c>
      <c r="R10" s="43">
        <f>IF($I10=0,0,$J10-$M10-$N10)</f>
      </c>
    </row>
    <row r="11">
      <c r="A11"/>
      <c r="B11">
        <v>1</v>
      </c>
      <c r="C11" s="43">
        <f>INDEX(DarlObj,1)</f>
      </c>
      <c r="D11">
        <v>8</v>
      </c>
      <c r="E11" s="51">
        <f>IF(INDEX(DarlBelegt,1)=0,0,EOMONTH(INDEX(DarlAuszahlung,1),7)+1)</f>
      </c>
      <c r="F11" s="43">
        <f>IF($E11=0,0,YEAR($E11))</f>
      </c>
      <c r="G11" s="43">
        <f>IF(INDEX(DarlBindung,1)="",1,IF($E11&lt;=INDEX(DarlBindung,1),1,0))</f>
      </c>
      <c r="H11" s="43">
        <f>IF($G11=1,INDEX(DarlSollzins,1),INDEX(DarlAnschluss,1))</f>
      </c>
      <c r="I11" s="43">
        <f>IF(INDEX(DarlBelegt,1)=0,0,IF(INDEX(DarlOhneTilgung,1)=1,IF(INDEX(DarlBindung,1)="",1,$G11),IF($J11&gt;0.005,1,0)))</f>
      </c>
      <c r="J11" s="43">
        <f>IF($I10=0,0,$R10)</f>
      </c>
      <c r="K11" s="43">
        <f>IF($I11=0,0,IF(INDEX(DarlOhneTilgung,1)=1,0,IF(AND(INDEX(DarlTilgStart,1)&gt;0,$E11=INDEX(DarlTilgStart,1)),$J11*($H11+INDEX(DarlTilgung,1))/100/12,IF(AND($G11=0,$G10=1),MAX($K10,$J11*($H11+1)/100/12),$K10))))</f>
      </c>
      <c r="L11" s="43">
        <f>IF($I11=0,0,$J11*$H11/100/12)</f>
      </c>
      <c r="M11" s="43">
        <f>IF($I11=0,0,IF(OR(INDEX(DarlOhneTilgung,1)=1,AND(INDEX(DarlTilgStart,1)&gt;0,$E11&lt;INDEX(DarlTilgStart,1))),0,MIN(MAX(0,$K11-$L11),$J11)))</f>
      </c>
      <c r="N11" s="43">
        <f>IF($I11=0,0,MIN(SUMIFS(SondBetrag,SondDarl,1,SondDatum,"&gt;="&amp;$E11,SondDatum,"&lt;="&amp;EOMONTH($E11,0)),$J11-$M11))</f>
      </c>
      <c r="O11" s="43">
        <f>IF($I11=0,0,INDEX(DarlErsatzRate,1))</f>
      </c>
      <c r="P11" s="43">
        <f>IF($I11=0,0,$Q10*INDEX(DarlErsatzZins,1))</f>
      </c>
      <c r="Q11" s="43">
        <f>IF($I11=0,0,$Q10+$P11+$O11)</f>
      </c>
      <c r="R11" s="43">
        <f>IF($I11=0,0,$J11-$M11-$N11)</f>
      </c>
    </row>
    <row r="12">
      <c r="A12"/>
      <c r="B12">
        <v>1</v>
      </c>
      <c r="C12" s="43">
        <f>INDEX(DarlObj,1)</f>
      </c>
      <c r="D12">
        <v>9</v>
      </c>
      <c r="E12" s="51">
        <f>IF(INDEX(DarlBelegt,1)=0,0,EOMONTH(INDEX(DarlAuszahlung,1),8)+1)</f>
      </c>
      <c r="F12" s="43">
        <f>IF($E12=0,0,YEAR($E12))</f>
      </c>
      <c r="G12" s="43">
        <f>IF(INDEX(DarlBindung,1)="",1,IF($E12&lt;=INDEX(DarlBindung,1),1,0))</f>
      </c>
      <c r="H12" s="43">
        <f>IF($G12=1,INDEX(DarlSollzins,1),INDEX(DarlAnschluss,1))</f>
      </c>
      <c r="I12" s="43">
        <f>IF(INDEX(DarlBelegt,1)=0,0,IF(INDEX(DarlOhneTilgung,1)=1,IF(INDEX(DarlBindung,1)="",1,$G12),IF($J12&gt;0.005,1,0)))</f>
      </c>
      <c r="J12" s="43">
        <f>IF($I11=0,0,$R11)</f>
      </c>
      <c r="K12" s="43">
        <f>IF($I12=0,0,IF(INDEX(DarlOhneTilgung,1)=1,0,IF(AND(INDEX(DarlTilgStart,1)&gt;0,$E12=INDEX(DarlTilgStart,1)),$J12*($H12+INDEX(DarlTilgung,1))/100/12,IF(AND($G12=0,$G11=1),MAX($K11,$J12*($H12+1)/100/12),$K11))))</f>
      </c>
      <c r="L12" s="43">
        <f>IF($I12=0,0,$J12*$H12/100/12)</f>
      </c>
      <c r="M12" s="43">
        <f>IF($I12=0,0,IF(OR(INDEX(DarlOhneTilgung,1)=1,AND(INDEX(DarlTilgStart,1)&gt;0,$E12&lt;INDEX(DarlTilgStart,1))),0,MIN(MAX(0,$K12-$L12),$J12)))</f>
      </c>
      <c r="N12" s="43">
        <f>IF($I12=0,0,MIN(SUMIFS(SondBetrag,SondDarl,1,SondDatum,"&gt;="&amp;$E12,SondDatum,"&lt;="&amp;EOMONTH($E12,0)),$J12-$M12))</f>
      </c>
      <c r="O12" s="43">
        <f>IF($I12=0,0,INDEX(DarlErsatzRate,1))</f>
      </c>
      <c r="P12" s="43">
        <f>IF($I12=0,0,$Q11*INDEX(DarlErsatzZins,1))</f>
      </c>
      <c r="Q12" s="43">
        <f>IF($I12=0,0,$Q11+$P12+$O12)</f>
      </c>
      <c r="R12" s="43">
        <f>IF($I12=0,0,$J12-$M12-$N12)</f>
      </c>
    </row>
    <row r="13">
      <c r="A13"/>
      <c r="B13">
        <v>1</v>
      </c>
      <c r="C13" s="43">
        <f>INDEX(DarlObj,1)</f>
      </c>
      <c r="D13">
        <v>10</v>
      </c>
      <c r="E13" s="51">
        <f>IF(INDEX(DarlBelegt,1)=0,0,EOMONTH(INDEX(DarlAuszahlung,1),9)+1)</f>
      </c>
      <c r="F13" s="43">
        <f>IF($E13=0,0,YEAR($E13))</f>
      </c>
      <c r="G13" s="43">
        <f>IF(INDEX(DarlBindung,1)="",1,IF($E13&lt;=INDEX(DarlBindung,1),1,0))</f>
      </c>
      <c r="H13" s="43">
        <f>IF($G13=1,INDEX(DarlSollzins,1),INDEX(DarlAnschluss,1))</f>
      </c>
      <c r="I13" s="43">
        <f>IF(INDEX(DarlBelegt,1)=0,0,IF(INDEX(DarlOhneTilgung,1)=1,IF(INDEX(DarlBindung,1)="",1,$G13),IF($J13&gt;0.005,1,0)))</f>
      </c>
      <c r="J13" s="43">
        <f>IF($I12=0,0,$R12)</f>
      </c>
      <c r="K13" s="43">
        <f>IF($I13=0,0,IF(INDEX(DarlOhneTilgung,1)=1,0,IF(AND(INDEX(DarlTilgStart,1)&gt;0,$E13=INDEX(DarlTilgStart,1)),$J13*($H13+INDEX(DarlTilgung,1))/100/12,IF(AND($G13=0,$G12=1),MAX($K12,$J13*($H13+1)/100/12),$K12))))</f>
      </c>
      <c r="L13" s="43">
        <f>IF($I13=0,0,$J13*$H13/100/12)</f>
      </c>
      <c r="M13" s="43">
        <f>IF($I13=0,0,IF(OR(INDEX(DarlOhneTilgung,1)=1,AND(INDEX(DarlTilgStart,1)&gt;0,$E13&lt;INDEX(DarlTilgStart,1))),0,MIN(MAX(0,$K13-$L13),$J13)))</f>
      </c>
      <c r="N13" s="43">
        <f>IF($I13=0,0,MIN(SUMIFS(SondBetrag,SondDarl,1,SondDatum,"&gt;="&amp;$E13,SondDatum,"&lt;="&amp;EOMONTH($E13,0)),$J13-$M13))</f>
      </c>
      <c r="O13" s="43">
        <f>IF($I13=0,0,INDEX(DarlErsatzRate,1))</f>
      </c>
      <c r="P13" s="43">
        <f>IF($I13=0,0,$Q12*INDEX(DarlErsatzZins,1))</f>
      </c>
      <c r="Q13" s="43">
        <f>IF($I13=0,0,$Q12+$P13+$O13)</f>
      </c>
      <c r="R13" s="43">
        <f>IF($I13=0,0,$J13-$M13-$N13)</f>
      </c>
    </row>
    <row r="14">
      <c r="A14"/>
      <c r="B14">
        <v>1</v>
      </c>
      <c r="C14" s="43">
        <f>INDEX(DarlObj,1)</f>
      </c>
      <c r="D14">
        <v>11</v>
      </c>
      <c r="E14" s="51">
        <f>IF(INDEX(DarlBelegt,1)=0,0,EOMONTH(INDEX(DarlAuszahlung,1),10)+1)</f>
      </c>
      <c r="F14" s="43">
        <f>IF($E14=0,0,YEAR($E14))</f>
      </c>
      <c r="G14" s="43">
        <f>IF(INDEX(DarlBindung,1)="",1,IF($E14&lt;=INDEX(DarlBindung,1),1,0))</f>
      </c>
      <c r="H14" s="43">
        <f>IF($G14=1,INDEX(DarlSollzins,1),INDEX(DarlAnschluss,1))</f>
      </c>
      <c r="I14" s="43">
        <f>IF(INDEX(DarlBelegt,1)=0,0,IF(INDEX(DarlOhneTilgung,1)=1,IF(INDEX(DarlBindung,1)="",1,$G14),IF($J14&gt;0.005,1,0)))</f>
      </c>
      <c r="J14" s="43">
        <f>IF($I13=0,0,$R13)</f>
      </c>
      <c r="K14" s="43">
        <f>IF($I14=0,0,IF(INDEX(DarlOhneTilgung,1)=1,0,IF(AND(INDEX(DarlTilgStart,1)&gt;0,$E14=INDEX(DarlTilgStart,1)),$J14*($H14+INDEX(DarlTilgung,1))/100/12,IF(AND($G14=0,$G13=1),MAX($K13,$J14*($H14+1)/100/12),$K13))))</f>
      </c>
      <c r="L14" s="43">
        <f>IF($I14=0,0,$J14*$H14/100/12)</f>
      </c>
      <c r="M14" s="43">
        <f>IF($I14=0,0,IF(OR(INDEX(DarlOhneTilgung,1)=1,AND(INDEX(DarlTilgStart,1)&gt;0,$E14&lt;INDEX(DarlTilgStart,1))),0,MIN(MAX(0,$K14-$L14),$J14)))</f>
      </c>
      <c r="N14" s="43">
        <f>IF($I14=0,0,MIN(SUMIFS(SondBetrag,SondDarl,1,SondDatum,"&gt;="&amp;$E14,SondDatum,"&lt;="&amp;EOMONTH($E14,0)),$J14-$M14))</f>
      </c>
      <c r="O14" s="43">
        <f>IF($I14=0,0,INDEX(DarlErsatzRate,1))</f>
      </c>
      <c r="P14" s="43">
        <f>IF($I14=0,0,$Q13*INDEX(DarlErsatzZins,1))</f>
      </c>
      <c r="Q14" s="43">
        <f>IF($I14=0,0,$Q13+$P14+$O14)</f>
      </c>
      <c r="R14" s="43">
        <f>IF($I14=0,0,$J14-$M14-$N14)</f>
      </c>
    </row>
    <row r="15">
      <c r="A15"/>
      <c r="B15">
        <v>1</v>
      </c>
      <c r="C15" s="43">
        <f>INDEX(DarlObj,1)</f>
      </c>
      <c r="D15">
        <v>12</v>
      </c>
      <c r="E15" s="51">
        <f>IF(INDEX(DarlBelegt,1)=0,0,EOMONTH(INDEX(DarlAuszahlung,1),11)+1)</f>
      </c>
      <c r="F15" s="43">
        <f>IF($E15=0,0,YEAR($E15))</f>
      </c>
      <c r="G15" s="43">
        <f>IF(INDEX(DarlBindung,1)="",1,IF($E15&lt;=INDEX(DarlBindung,1),1,0))</f>
      </c>
      <c r="H15" s="43">
        <f>IF($G15=1,INDEX(DarlSollzins,1),INDEX(DarlAnschluss,1))</f>
      </c>
      <c r="I15" s="43">
        <f>IF(INDEX(DarlBelegt,1)=0,0,IF(INDEX(DarlOhneTilgung,1)=1,IF(INDEX(DarlBindung,1)="",1,$G15),IF($J15&gt;0.005,1,0)))</f>
      </c>
      <c r="J15" s="43">
        <f>IF($I14=0,0,$R14)</f>
      </c>
      <c r="K15" s="43">
        <f>IF($I15=0,0,IF(INDEX(DarlOhneTilgung,1)=1,0,IF(AND(INDEX(DarlTilgStart,1)&gt;0,$E15=INDEX(DarlTilgStart,1)),$J15*($H15+INDEX(DarlTilgung,1))/100/12,IF(AND($G15=0,$G14=1),MAX($K14,$J15*($H15+1)/100/12),$K14))))</f>
      </c>
      <c r="L15" s="43">
        <f>IF($I15=0,0,$J15*$H15/100/12)</f>
      </c>
      <c r="M15" s="43">
        <f>IF($I15=0,0,IF(OR(INDEX(DarlOhneTilgung,1)=1,AND(INDEX(DarlTilgStart,1)&gt;0,$E15&lt;INDEX(DarlTilgStart,1))),0,MIN(MAX(0,$K15-$L15),$J15)))</f>
      </c>
      <c r="N15" s="43">
        <f>IF($I15=0,0,MIN(SUMIFS(SondBetrag,SondDarl,1,SondDatum,"&gt;="&amp;$E15,SondDatum,"&lt;="&amp;EOMONTH($E15,0)),$J15-$M15))</f>
      </c>
      <c r="O15" s="43">
        <f>IF($I15=0,0,INDEX(DarlErsatzRate,1))</f>
      </c>
      <c r="P15" s="43">
        <f>IF($I15=0,0,$Q14*INDEX(DarlErsatzZins,1))</f>
      </c>
      <c r="Q15" s="43">
        <f>IF($I15=0,0,$Q14+$P15+$O15)</f>
      </c>
      <c r="R15" s="43">
        <f>IF($I15=0,0,$J15-$M15-$N15)</f>
      </c>
    </row>
    <row r="16">
      <c r="A16"/>
      <c r="B16">
        <v>1</v>
      </c>
      <c r="C16" s="43">
        <f>INDEX(DarlObj,1)</f>
      </c>
      <c r="D16">
        <v>13</v>
      </c>
      <c r="E16" s="51">
        <f>IF(INDEX(DarlBelegt,1)=0,0,EOMONTH(INDEX(DarlAuszahlung,1),12)+1)</f>
      </c>
      <c r="F16" s="43">
        <f>IF($E16=0,0,YEAR($E16))</f>
      </c>
      <c r="G16" s="43">
        <f>IF(INDEX(DarlBindung,1)="",1,IF($E16&lt;=INDEX(DarlBindung,1),1,0))</f>
      </c>
      <c r="H16" s="43">
        <f>IF($G16=1,INDEX(DarlSollzins,1),INDEX(DarlAnschluss,1))</f>
      </c>
      <c r="I16" s="43">
        <f>IF(INDEX(DarlBelegt,1)=0,0,IF(INDEX(DarlOhneTilgung,1)=1,IF(INDEX(DarlBindung,1)="",1,$G16),IF($J16&gt;0.005,1,0)))</f>
      </c>
      <c r="J16" s="43">
        <f>IF($I15=0,0,$R15)</f>
      </c>
      <c r="K16" s="43">
        <f>IF($I16=0,0,IF(INDEX(DarlOhneTilgung,1)=1,0,IF(AND(INDEX(DarlTilgStart,1)&gt;0,$E16=INDEX(DarlTilgStart,1)),$J16*($H16+INDEX(DarlTilgung,1))/100/12,IF(AND($G16=0,$G15=1),MAX($K15,$J16*($H16+1)/100/12),$K15))))</f>
      </c>
      <c r="L16" s="43">
        <f>IF($I16=0,0,$J16*$H16/100/12)</f>
      </c>
      <c r="M16" s="43">
        <f>IF($I16=0,0,IF(OR(INDEX(DarlOhneTilgung,1)=1,AND(INDEX(DarlTilgStart,1)&gt;0,$E16&lt;INDEX(DarlTilgStart,1))),0,MIN(MAX(0,$K16-$L16),$J16)))</f>
      </c>
      <c r="N16" s="43">
        <f>IF($I16=0,0,MIN(SUMIFS(SondBetrag,SondDarl,1,SondDatum,"&gt;="&amp;$E16,SondDatum,"&lt;="&amp;EOMONTH($E16,0)),$J16-$M16))</f>
      </c>
      <c r="O16" s="43">
        <f>IF($I16=0,0,INDEX(DarlErsatzRate,1))</f>
      </c>
      <c r="P16" s="43">
        <f>IF($I16=0,0,$Q15*INDEX(DarlErsatzZins,1))</f>
      </c>
      <c r="Q16" s="43">
        <f>IF($I16=0,0,$Q15+$P16+$O16)</f>
      </c>
      <c r="R16" s="43">
        <f>IF($I16=0,0,$J16-$M16-$N16)</f>
      </c>
    </row>
    <row r="17">
      <c r="A17"/>
      <c r="B17">
        <v>1</v>
      </c>
      <c r="C17" s="43">
        <f>INDEX(DarlObj,1)</f>
      </c>
      <c r="D17">
        <v>14</v>
      </c>
      <c r="E17" s="51">
        <f>IF(INDEX(DarlBelegt,1)=0,0,EOMONTH(INDEX(DarlAuszahlung,1),13)+1)</f>
      </c>
      <c r="F17" s="43">
        <f>IF($E17=0,0,YEAR($E17))</f>
      </c>
      <c r="G17" s="43">
        <f>IF(INDEX(DarlBindung,1)="",1,IF($E17&lt;=INDEX(DarlBindung,1),1,0))</f>
      </c>
      <c r="H17" s="43">
        <f>IF($G17=1,INDEX(DarlSollzins,1),INDEX(DarlAnschluss,1))</f>
      </c>
      <c r="I17" s="43">
        <f>IF(INDEX(DarlBelegt,1)=0,0,IF(INDEX(DarlOhneTilgung,1)=1,IF(INDEX(DarlBindung,1)="",1,$G17),IF($J17&gt;0.005,1,0)))</f>
      </c>
      <c r="J17" s="43">
        <f>IF($I16=0,0,$R16)</f>
      </c>
      <c r="K17" s="43">
        <f>IF($I17=0,0,IF(INDEX(DarlOhneTilgung,1)=1,0,IF(AND(INDEX(DarlTilgStart,1)&gt;0,$E17=INDEX(DarlTilgStart,1)),$J17*($H17+INDEX(DarlTilgung,1))/100/12,IF(AND($G17=0,$G16=1),MAX($K16,$J17*($H17+1)/100/12),$K16))))</f>
      </c>
      <c r="L17" s="43">
        <f>IF($I17=0,0,$J17*$H17/100/12)</f>
      </c>
      <c r="M17" s="43">
        <f>IF($I17=0,0,IF(OR(INDEX(DarlOhneTilgung,1)=1,AND(INDEX(DarlTilgStart,1)&gt;0,$E17&lt;INDEX(DarlTilgStart,1))),0,MIN(MAX(0,$K17-$L17),$J17)))</f>
      </c>
      <c r="N17" s="43">
        <f>IF($I17=0,0,MIN(SUMIFS(SondBetrag,SondDarl,1,SondDatum,"&gt;="&amp;$E17,SondDatum,"&lt;="&amp;EOMONTH($E17,0)),$J17-$M17))</f>
      </c>
      <c r="O17" s="43">
        <f>IF($I17=0,0,INDEX(DarlErsatzRate,1))</f>
      </c>
      <c r="P17" s="43">
        <f>IF($I17=0,0,$Q16*INDEX(DarlErsatzZins,1))</f>
      </c>
      <c r="Q17" s="43">
        <f>IF($I17=0,0,$Q16+$P17+$O17)</f>
      </c>
      <c r="R17" s="43">
        <f>IF($I17=0,0,$J17-$M17-$N17)</f>
      </c>
    </row>
    <row r="18">
      <c r="A18"/>
      <c r="B18">
        <v>1</v>
      </c>
      <c r="C18" s="43">
        <f>INDEX(DarlObj,1)</f>
      </c>
      <c r="D18">
        <v>15</v>
      </c>
      <c r="E18" s="51">
        <f>IF(INDEX(DarlBelegt,1)=0,0,EOMONTH(INDEX(DarlAuszahlung,1),14)+1)</f>
      </c>
      <c r="F18" s="43">
        <f>IF($E18=0,0,YEAR($E18))</f>
      </c>
      <c r="G18" s="43">
        <f>IF(INDEX(DarlBindung,1)="",1,IF($E18&lt;=INDEX(DarlBindung,1),1,0))</f>
      </c>
      <c r="H18" s="43">
        <f>IF($G18=1,INDEX(DarlSollzins,1),INDEX(DarlAnschluss,1))</f>
      </c>
      <c r="I18" s="43">
        <f>IF(INDEX(DarlBelegt,1)=0,0,IF(INDEX(DarlOhneTilgung,1)=1,IF(INDEX(DarlBindung,1)="",1,$G18),IF($J18&gt;0.005,1,0)))</f>
      </c>
      <c r="J18" s="43">
        <f>IF($I17=0,0,$R17)</f>
      </c>
      <c r="K18" s="43">
        <f>IF($I18=0,0,IF(INDEX(DarlOhneTilgung,1)=1,0,IF(AND(INDEX(DarlTilgStart,1)&gt;0,$E18=INDEX(DarlTilgStart,1)),$J18*($H18+INDEX(DarlTilgung,1))/100/12,IF(AND($G18=0,$G17=1),MAX($K17,$J18*($H18+1)/100/12),$K17))))</f>
      </c>
      <c r="L18" s="43">
        <f>IF($I18=0,0,$J18*$H18/100/12)</f>
      </c>
      <c r="M18" s="43">
        <f>IF($I18=0,0,IF(OR(INDEX(DarlOhneTilgung,1)=1,AND(INDEX(DarlTilgStart,1)&gt;0,$E18&lt;INDEX(DarlTilgStart,1))),0,MIN(MAX(0,$K18-$L18),$J18)))</f>
      </c>
      <c r="N18" s="43">
        <f>IF($I18=0,0,MIN(SUMIFS(SondBetrag,SondDarl,1,SondDatum,"&gt;="&amp;$E18,SondDatum,"&lt;="&amp;EOMONTH($E18,0)),$J18-$M18))</f>
      </c>
      <c r="O18" s="43">
        <f>IF($I18=0,0,INDEX(DarlErsatzRate,1))</f>
      </c>
      <c r="P18" s="43">
        <f>IF($I18=0,0,$Q17*INDEX(DarlErsatzZins,1))</f>
      </c>
      <c r="Q18" s="43">
        <f>IF($I18=0,0,$Q17+$P18+$O18)</f>
      </c>
      <c r="R18" s="43">
        <f>IF($I18=0,0,$J18-$M18-$N18)</f>
      </c>
    </row>
    <row r="19">
      <c r="A19"/>
      <c r="B19">
        <v>1</v>
      </c>
      <c r="C19" s="43">
        <f>INDEX(DarlObj,1)</f>
      </c>
      <c r="D19">
        <v>16</v>
      </c>
      <c r="E19" s="51">
        <f>IF(INDEX(DarlBelegt,1)=0,0,EOMONTH(INDEX(DarlAuszahlung,1),15)+1)</f>
      </c>
      <c r="F19" s="43">
        <f>IF($E19=0,0,YEAR($E19))</f>
      </c>
      <c r="G19" s="43">
        <f>IF(INDEX(DarlBindung,1)="",1,IF($E19&lt;=INDEX(DarlBindung,1),1,0))</f>
      </c>
      <c r="H19" s="43">
        <f>IF($G19=1,INDEX(DarlSollzins,1),INDEX(DarlAnschluss,1))</f>
      </c>
      <c r="I19" s="43">
        <f>IF(INDEX(DarlBelegt,1)=0,0,IF(INDEX(DarlOhneTilgung,1)=1,IF(INDEX(DarlBindung,1)="",1,$G19),IF($J19&gt;0.005,1,0)))</f>
      </c>
      <c r="J19" s="43">
        <f>IF($I18=0,0,$R18)</f>
      </c>
      <c r="K19" s="43">
        <f>IF($I19=0,0,IF(INDEX(DarlOhneTilgung,1)=1,0,IF(AND(INDEX(DarlTilgStart,1)&gt;0,$E19=INDEX(DarlTilgStart,1)),$J19*($H19+INDEX(DarlTilgung,1))/100/12,IF(AND($G19=0,$G18=1),MAX($K18,$J19*($H19+1)/100/12),$K18))))</f>
      </c>
      <c r="L19" s="43">
        <f>IF($I19=0,0,$J19*$H19/100/12)</f>
      </c>
      <c r="M19" s="43">
        <f>IF($I19=0,0,IF(OR(INDEX(DarlOhneTilgung,1)=1,AND(INDEX(DarlTilgStart,1)&gt;0,$E19&lt;INDEX(DarlTilgStart,1))),0,MIN(MAX(0,$K19-$L19),$J19)))</f>
      </c>
      <c r="N19" s="43">
        <f>IF($I19=0,0,MIN(SUMIFS(SondBetrag,SondDarl,1,SondDatum,"&gt;="&amp;$E19,SondDatum,"&lt;="&amp;EOMONTH($E19,0)),$J19-$M19))</f>
      </c>
      <c r="O19" s="43">
        <f>IF($I19=0,0,INDEX(DarlErsatzRate,1))</f>
      </c>
      <c r="P19" s="43">
        <f>IF($I19=0,0,$Q18*INDEX(DarlErsatzZins,1))</f>
      </c>
      <c r="Q19" s="43">
        <f>IF($I19=0,0,$Q18+$P19+$O19)</f>
      </c>
      <c r="R19" s="43">
        <f>IF($I19=0,0,$J19-$M19-$N19)</f>
      </c>
    </row>
    <row r="20">
      <c r="A20"/>
      <c r="B20">
        <v>1</v>
      </c>
      <c r="C20" s="43">
        <f>INDEX(DarlObj,1)</f>
      </c>
      <c r="D20">
        <v>17</v>
      </c>
      <c r="E20" s="51">
        <f>IF(INDEX(DarlBelegt,1)=0,0,EOMONTH(INDEX(DarlAuszahlung,1),16)+1)</f>
      </c>
      <c r="F20" s="43">
        <f>IF($E20=0,0,YEAR($E20))</f>
      </c>
      <c r="G20" s="43">
        <f>IF(INDEX(DarlBindung,1)="",1,IF($E20&lt;=INDEX(DarlBindung,1),1,0))</f>
      </c>
      <c r="H20" s="43">
        <f>IF($G20=1,INDEX(DarlSollzins,1),INDEX(DarlAnschluss,1))</f>
      </c>
      <c r="I20" s="43">
        <f>IF(INDEX(DarlBelegt,1)=0,0,IF(INDEX(DarlOhneTilgung,1)=1,IF(INDEX(DarlBindung,1)="",1,$G20),IF($J20&gt;0.005,1,0)))</f>
      </c>
      <c r="J20" s="43">
        <f>IF($I19=0,0,$R19)</f>
      </c>
      <c r="K20" s="43">
        <f>IF($I20=0,0,IF(INDEX(DarlOhneTilgung,1)=1,0,IF(AND(INDEX(DarlTilgStart,1)&gt;0,$E20=INDEX(DarlTilgStart,1)),$J20*($H20+INDEX(DarlTilgung,1))/100/12,IF(AND($G20=0,$G19=1),MAX($K19,$J20*($H20+1)/100/12),$K19))))</f>
      </c>
      <c r="L20" s="43">
        <f>IF($I20=0,0,$J20*$H20/100/12)</f>
      </c>
      <c r="M20" s="43">
        <f>IF($I20=0,0,IF(OR(INDEX(DarlOhneTilgung,1)=1,AND(INDEX(DarlTilgStart,1)&gt;0,$E20&lt;INDEX(DarlTilgStart,1))),0,MIN(MAX(0,$K20-$L20),$J20)))</f>
      </c>
      <c r="N20" s="43">
        <f>IF($I20=0,0,MIN(SUMIFS(SondBetrag,SondDarl,1,SondDatum,"&gt;="&amp;$E20,SondDatum,"&lt;="&amp;EOMONTH($E20,0)),$J20-$M20))</f>
      </c>
      <c r="O20" s="43">
        <f>IF($I20=0,0,INDEX(DarlErsatzRate,1))</f>
      </c>
      <c r="P20" s="43">
        <f>IF($I20=0,0,$Q19*INDEX(DarlErsatzZins,1))</f>
      </c>
      <c r="Q20" s="43">
        <f>IF($I20=0,0,$Q19+$P20+$O20)</f>
      </c>
      <c r="R20" s="43">
        <f>IF($I20=0,0,$J20-$M20-$N20)</f>
      </c>
    </row>
    <row r="21">
      <c r="A21"/>
      <c r="B21">
        <v>1</v>
      </c>
      <c r="C21" s="43">
        <f>INDEX(DarlObj,1)</f>
      </c>
      <c r="D21">
        <v>18</v>
      </c>
      <c r="E21" s="51">
        <f>IF(INDEX(DarlBelegt,1)=0,0,EOMONTH(INDEX(DarlAuszahlung,1),17)+1)</f>
      </c>
      <c r="F21" s="43">
        <f>IF($E21=0,0,YEAR($E21))</f>
      </c>
      <c r="G21" s="43">
        <f>IF(INDEX(DarlBindung,1)="",1,IF($E21&lt;=INDEX(DarlBindung,1),1,0))</f>
      </c>
      <c r="H21" s="43">
        <f>IF($G21=1,INDEX(DarlSollzins,1),INDEX(DarlAnschluss,1))</f>
      </c>
      <c r="I21" s="43">
        <f>IF(INDEX(DarlBelegt,1)=0,0,IF(INDEX(DarlOhneTilgung,1)=1,IF(INDEX(DarlBindung,1)="",1,$G21),IF($J21&gt;0.005,1,0)))</f>
      </c>
      <c r="J21" s="43">
        <f>IF($I20=0,0,$R20)</f>
      </c>
      <c r="K21" s="43">
        <f>IF($I21=0,0,IF(INDEX(DarlOhneTilgung,1)=1,0,IF(AND(INDEX(DarlTilgStart,1)&gt;0,$E21=INDEX(DarlTilgStart,1)),$J21*($H21+INDEX(DarlTilgung,1))/100/12,IF(AND($G21=0,$G20=1),MAX($K20,$J21*($H21+1)/100/12),$K20))))</f>
      </c>
      <c r="L21" s="43">
        <f>IF($I21=0,0,$J21*$H21/100/12)</f>
      </c>
      <c r="M21" s="43">
        <f>IF($I21=0,0,IF(OR(INDEX(DarlOhneTilgung,1)=1,AND(INDEX(DarlTilgStart,1)&gt;0,$E21&lt;INDEX(DarlTilgStart,1))),0,MIN(MAX(0,$K21-$L21),$J21)))</f>
      </c>
      <c r="N21" s="43">
        <f>IF($I21=0,0,MIN(SUMIFS(SondBetrag,SondDarl,1,SondDatum,"&gt;="&amp;$E21,SondDatum,"&lt;="&amp;EOMONTH($E21,0)),$J21-$M21))</f>
      </c>
      <c r="O21" s="43">
        <f>IF($I21=0,0,INDEX(DarlErsatzRate,1))</f>
      </c>
      <c r="P21" s="43">
        <f>IF($I21=0,0,$Q20*INDEX(DarlErsatzZins,1))</f>
      </c>
      <c r="Q21" s="43">
        <f>IF($I21=0,0,$Q20+$P21+$O21)</f>
      </c>
      <c r="R21" s="43">
        <f>IF($I21=0,0,$J21-$M21-$N21)</f>
      </c>
    </row>
    <row r="22">
      <c r="A22"/>
      <c r="B22">
        <v>1</v>
      </c>
      <c r="C22" s="43">
        <f>INDEX(DarlObj,1)</f>
      </c>
      <c r="D22">
        <v>19</v>
      </c>
      <c r="E22" s="51">
        <f>IF(INDEX(DarlBelegt,1)=0,0,EOMONTH(INDEX(DarlAuszahlung,1),18)+1)</f>
      </c>
      <c r="F22" s="43">
        <f>IF($E22=0,0,YEAR($E22))</f>
      </c>
      <c r="G22" s="43">
        <f>IF(INDEX(DarlBindung,1)="",1,IF($E22&lt;=INDEX(DarlBindung,1),1,0))</f>
      </c>
      <c r="H22" s="43">
        <f>IF($G22=1,INDEX(DarlSollzins,1),INDEX(DarlAnschluss,1))</f>
      </c>
      <c r="I22" s="43">
        <f>IF(INDEX(DarlBelegt,1)=0,0,IF(INDEX(DarlOhneTilgung,1)=1,IF(INDEX(DarlBindung,1)="",1,$G22),IF($J22&gt;0.005,1,0)))</f>
      </c>
      <c r="J22" s="43">
        <f>IF($I21=0,0,$R21)</f>
      </c>
      <c r="K22" s="43">
        <f>IF($I22=0,0,IF(INDEX(DarlOhneTilgung,1)=1,0,IF(AND(INDEX(DarlTilgStart,1)&gt;0,$E22=INDEX(DarlTilgStart,1)),$J22*($H22+INDEX(DarlTilgung,1))/100/12,IF(AND($G22=0,$G21=1),MAX($K21,$J22*($H22+1)/100/12),$K21))))</f>
      </c>
      <c r="L22" s="43">
        <f>IF($I22=0,0,$J22*$H22/100/12)</f>
      </c>
      <c r="M22" s="43">
        <f>IF($I22=0,0,IF(OR(INDEX(DarlOhneTilgung,1)=1,AND(INDEX(DarlTilgStart,1)&gt;0,$E22&lt;INDEX(DarlTilgStart,1))),0,MIN(MAX(0,$K22-$L22),$J22)))</f>
      </c>
      <c r="N22" s="43">
        <f>IF($I22=0,0,MIN(SUMIFS(SondBetrag,SondDarl,1,SondDatum,"&gt;="&amp;$E22,SondDatum,"&lt;="&amp;EOMONTH($E22,0)),$J22-$M22))</f>
      </c>
      <c r="O22" s="43">
        <f>IF($I22=0,0,INDEX(DarlErsatzRate,1))</f>
      </c>
      <c r="P22" s="43">
        <f>IF($I22=0,0,$Q21*INDEX(DarlErsatzZins,1))</f>
      </c>
      <c r="Q22" s="43">
        <f>IF($I22=0,0,$Q21+$P22+$O22)</f>
      </c>
      <c r="R22" s="43">
        <f>IF($I22=0,0,$J22-$M22-$N22)</f>
      </c>
    </row>
    <row r="23">
      <c r="A23"/>
      <c r="B23">
        <v>1</v>
      </c>
      <c r="C23" s="43">
        <f>INDEX(DarlObj,1)</f>
      </c>
      <c r="D23">
        <v>20</v>
      </c>
      <c r="E23" s="51">
        <f>IF(INDEX(DarlBelegt,1)=0,0,EOMONTH(INDEX(DarlAuszahlung,1),19)+1)</f>
      </c>
      <c r="F23" s="43">
        <f>IF($E23=0,0,YEAR($E23))</f>
      </c>
      <c r="G23" s="43">
        <f>IF(INDEX(DarlBindung,1)="",1,IF($E23&lt;=INDEX(DarlBindung,1),1,0))</f>
      </c>
      <c r="H23" s="43">
        <f>IF($G23=1,INDEX(DarlSollzins,1),INDEX(DarlAnschluss,1))</f>
      </c>
      <c r="I23" s="43">
        <f>IF(INDEX(DarlBelegt,1)=0,0,IF(INDEX(DarlOhneTilgung,1)=1,IF(INDEX(DarlBindung,1)="",1,$G23),IF($J23&gt;0.005,1,0)))</f>
      </c>
      <c r="J23" s="43">
        <f>IF($I22=0,0,$R22)</f>
      </c>
      <c r="K23" s="43">
        <f>IF($I23=0,0,IF(INDEX(DarlOhneTilgung,1)=1,0,IF(AND(INDEX(DarlTilgStart,1)&gt;0,$E23=INDEX(DarlTilgStart,1)),$J23*($H23+INDEX(DarlTilgung,1))/100/12,IF(AND($G23=0,$G22=1),MAX($K22,$J23*($H23+1)/100/12),$K22))))</f>
      </c>
      <c r="L23" s="43">
        <f>IF($I23=0,0,$J23*$H23/100/12)</f>
      </c>
      <c r="M23" s="43">
        <f>IF($I23=0,0,IF(OR(INDEX(DarlOhneTilgung,1)=1,AND(INDEX(DarlTilgStart,1)&gt;0,$E23&lt;INDEX(DarlTilgStart,1))),0,MIN(MAX(0,$K23-$L23),$J23)))</f>
      </c>
      <c r="N23" s="43">
        <f>IF($I23=0,0,MIN(SUMIFS(SondBetrag,SondDarl,1,SondDatum,"&gt;="&amp;$E23,SondDatum,"&lt;="&amp;EOMONTH($E23,0)),$J23-$M23))</f>
      </c>
      <c r="O23" s="43">
        <f>IF($I23=0,0,INDEX(DarlErsatzRate,1))</f>
      </c>
      <c r="P23" s="43">
        <f>IF($I23=0,0,$Q22*INDEX(DarlErsatzZins,1))</f>
      </c>
      <c r="Q23" s="43">
        <f>IF($I23=0,0,$Q22+$P23+$O23)</f>
      </c>
      <c r="R23" s="43">
        <f>IF($I23=0,0,$J23-$M23-$N23)</f>
      </c>
    </row>
    <row r="24">
      <c r="A24"/>
      <c r="B24">
        <v>1</v>
      </c>
      <c r="C24" s="43">
        <f>INDEX(DarlObj,1)</f>
      </c>
      <c r="D24">
        <v>21</v>
      </c>
      <c r="E24" s="51">
        <f>IF(INDEX(DarlBelegt,1)=0,0,EOMONTH(INDEX(DarlAuszahlung,1),20)+1)</f>
      </c>
      <c r="F24" s="43">
        <f>IF($E24=0,0,YEAR($E24))</f>
      </c>
      <c r="G24" s="43">
        <f>IF(INDEX(DarlBindung,1)="",1,IF($E24&lt;=INDEX(DarlBindung,1),1,0))</f>
      </c>
      <c r="H24" s="43">
        <f>IF($G24=1,INDEX(DarlSollzins,1),INDEX(DarlAnschluss,1))</f>
      </c>
      <c r="I24" s="43">
        <f>IF(INDEX(DarlBelegt,1)=0,0,IF(INDEX(DarlOhneTilgung,1)=1,IF(INDEX(DarlBindung,1)="",1,$G24),IF($J24&gt;0.005,1,0)))</f>
      </c>
      <c r="J24" s="43">
        <f>IF($I23=0,0,$R23)</f>
      </c>
      <c r="K24" s="43">
        <f>IF($I24=0,0,IF(INDEX(DarlOhneTilgung,1)=1,0,IF(AND(INDEX(DarlTilgStart,1)&gt;0,$E24=INDEX(DarlTilgStart,1)),$J24*($H24+INDEX(DarlTilgung,1))/100/12,IF(AND($G24=0,$G23=1),MAX($K23,$J24*($H24+1)/100/12),$K23))))</f>
      </c>
      <c r="L24" s="43">
        <f>IF($I24=0,0,$J24*$H24/100/12)</f>
      </c>
      <c r="M24" s="43">
        <f>IF($I24=0,0,IF(OR(INDEX(DarlOhneTilgung,1)=1,AND(INDEX(DarlTilgStart,1)&gt;0,$E24&lt;INDEX(DarlTilgStart,1))),0,MIN(MAX(0,$K24-$L24),$J24)))</f>
      </c>
      <c r="N24" s="43">
        <f>IF($I24=0,0,MIN(SUMIFS(SondBetrag,SondDarl,1,SondDatum,"&gt;="&amp;$E24,SondDatum,"&lt;="&amp;EOMONTH($E24,0)),$J24-$M24))</f>
      </c>
      <c r="O24" s="43">
        <f>IF($I24=0,0,INDEX(DarlErsatzRate,1))</f>
      </c>
      <c r="P24" s="43">
        <f>IF($I24=0,0,$Q23*INDEX(DarlErsatzZins,1))</f>
      </c>
      <c r="Q24" s="43">
        <f>IF($I24=0,0,$Q23+$P24+$O24)</f>
      </c>
      <c r="R24" s="43">
        <f>IF($I24=0,0,$J24-$M24-$N24)</f>
      </c>
    </row>
    <row r="25">
      <c r="A25"/>
      <c r="B25">
        <v>1</v>
      </c>
      <c r="C25" s="43">
        <f>INDEX(DarlObj,1)</f>
      </c>
      <c r="D25">
        <v>22</v>
      </c>
      <c r="E25" s="51">
        <f>IF(INDEX(DarlBelegt,1)=0,0,EOMONTH(INDEX(DarlAuszahlung,1),21)+1)</f>
      </c>
      <c r="F25" s="43">
        <f>IF($E25=0,0,YEAR($E25))</f>
      </c>
      <c r="G25" s="43">
        <f>IF(INDEX(DarlBindung,1)="",1,IF($E25&lt;=INDEX(DarlBindung,1),1,0))</f>
      </c>
      <c r="H25" s="43">
        <f>IF($G25=1,INDEX(DarlSollzins,1),INDEX(DarlAnschluss,1))</f>
      </c>
      <c r="I25" s="43">
        <f>IF(INDEX(DarlBelegt,1)=0,0,IF(INDEX(DarlOhneTilgung,1)=1,IF(INDEX(DarlBindung,1)="",1,$G25),IF($J25&gt;0.005,1,0)))</f>
      </c>
      <c r="J25" s="43">
        <f>IF($I24=0,0,$R24)</f>
      </c>
      <c r="K25" s="43">
        <f>IF($I25=0,0,IF(INDEX(DarlOhneTilgung,1)=1,0,IF(AND(INDEX(DarlTilgStart,1)&gt;0,$E25=INDEX(DarlTilgStart,1)),$J25*($H25+INDEX(DarlTilgung,1))/100/12,IF(AND($G25=0,$G24=1),MAX($K24,$J25*($H25+1)/100/12),$K24))))</f>
      </c>
      <c r="L25" s="43">
        <f>IF($I25=0,0,$J25*$H25/100/12)</f>
      </c>
      <c r="M25" s="43">
        <f>IF($I25=0,0,IF(OR(INDEX(DarlOhneTilgung,1)=1,AND(INDEX(DarlTilgStart,1)&gt;0,$E25&lt;INDEX(DarlTilgStart,1))),0,MIN(MAX(0,$K25-$L25),$J25)))</f>
      </c>
      <c r="N25" s="43">
        <f>IF($I25=0,0,MIN(SUMIFS(SondBetrag,SondDarl,1,SondDatum,"&gt;="&amp;$E25,SondDatum,"&lt;="&amp;EOMONTH($E25,0)),$J25-$M25))</f>
      </c>
      <c r="O25" s="43">
        <f>IF($I25=0,0,INDEX(DarlErsatzRate,1))</f>
      </c>
      <c r="P25" s="43">
        <f>IF($I25=0,0,$Q24*INDEX(DarlErsatzZins,1))</f>
      </c>
      <c r="Q25" s="43">
        <f>IF($I25=0,0,$Q24+$P25+$O25)</f>
      </c>
      <c r="R25" s="43">
        <f>IF($I25=0,0,$J25-$M25-$N25)</f>
      </c>
    </row>
    <row r="26">
      <c r="A26"/>
      <c r="B26">
        <v>1</v>
      </c>
      <c r="C26" s="43">
        <f>INDEX(DarlObj,1)</f>
      </c>
      <c r="D26">
        <v>23</v>
      </c>
      <c r="E26" s="51">
        <f>IF(INDEX(DarlBelegt,1)=0,0,EOMONTH(INDEX(DarlAuszahlung,1),22)+1)</f>
      </c>
      <c r="F26" s="43">
        <f>IF($E26=0,0,YEAR($E26))</f>
      </c>
      <c r="G26" s="43">
        <f>IF(INDEX(DarlBindung,1)="",1,IF($E26&lt;=INDEX(DarlBindung,1),1,0))</f>
      </c>
      <c r="H26" s="43">
        <f>IF($G26=1,INDEX(DarlSollzins,1),INDEX(DarlAnschluss,1))</f>
      </c>
      <c r="I26" s="43">
        <f>IF(INDEX(DarlBelegt,1)=0,0,IF(INDEX(DarlOhneTilgung,1)=1,IF(INDEX(DarlBindung,1)="",1,$G26),IF($J26&gt;0.005,1,0)))</f>
      </c>
      <c r="J26" s="43">
        <f>IF($I25=0,0,$R25)</f>
      </c>
      <c r="K26" s="43">
        <f>IF($I26=0,0,IF(INDEX(DarlOhneTilgung,1)=1,0,IF(AND(INDEX(DarlTilgStart,1)&gt;0,$E26=INDEX(DarlTilgStart,1)),$J26*($H26+INDEX(DarlTilgung,1))/100/12,IF(AND($G26=0,$G25=1),MAX($K25,$J26*($H26+1)/100/12),$K25))))</f>
      </c>
      <c r="L26" s="43">
        <f>IF($I26=0,0,$J26*$H26/100/12)</f>
      </c>
      <c r="M26" s="43">
        <f>IF($I26=0,0,IF(OR(INDEX(DarlOhneTilgung,1)=1,AND(INDEX(DarlTilgStart,1)&gt;0,$E26&lt;INDEX(DarlTilgStart,1))),0,MIN(MAX(0,$K26-$L26),$J26)))</f>
      </c>
      <c r="N26" s="43">
        <f>IF($I26=0,0,MIN(SUMIFS(SondBetrag,SondDarl,1,SondDatum,"&gt;="&amp;$E26,SondDatum,"&lt;="&amp;EOMONTH($E26,0)),$J26-$M26))</f>
      </c>
      <c r="O26" s="43">
        <f>IF($I26=0,0,INDEX(DarlErsatzRate,1))</f>
      </c>
      <c r="P26" s="43">
        <f>IF($I26=0,0,$Q25*INDEX(DarlErsatzZins,1))</f>
      </c>
      <c r="Q26" s="43">
        <f>IF($I26=0,0,$Q25+$P26+$O26)</f>
      </c>
      <c r="R26" s="43">
        <f>IF($I26=0,0,$J26-$M26-$N26)</f>
      </c>
    </row>
    <row r="27">
      <c r="A27"/>
      <c r="B27">
        <v>1</v>
      </c>
      <c r="C27" s="43">
        <f>INDEX(DarlObj,1)</f>
      </c>
      <c r="D27">
        <v>24</v>
      </c>
      <c r="E27" s="51">
        <f>IF(INDEX(DarlBelegt,1)=0,0,EOMONTH(INDEX(DarlAuszahlung,1),23)+1)</f>
      </c>
      <c r="F27" s="43">
        <f>IF($E27=0,0,YEAR($E27))</f>
      </c>
      <c r="G27" s="43">
        <f>IF(INDEX(DarlBindung,1)="",1,IF($E27&lt;=INDEX(DarlBindung,1),1,0))</f>
      </c>
      <c r="H27" s="43">
        <f>IF($G27=1,INDEX(DarlSollzins,1),INDEX(DarlAnschluss,1))</f>
      </c>
      <c r="I27" s="43">
        <f>IF(INDEX(DarlBelegt,1)=0,0,IF(INDEX(DarlOhneTilgung,1)=1,IF(INDEX(DarlBindung,1)="",1,$G27),IF($J27&gt;0.005,1,0)))</f>
      </c>
      <c r="J27" s="43">
        <f>IF($I26=0,0,$R26)</f>
      </c>
      <c r="K27" s="43">
        <f>IF($I27=0,0,IF(INDEX(DarlOhneTilgung,1)=1,0,IF(AND(INDEX(DarlTilgStart,1)&gt;0,$E27=INDEX(DarlTilgStart,1)),$J27*($H27+INDEX(DarlTilgung,1))/100/12,IF(AND($G27=0,$G26=1),MAX($K26,$J27*($H27+1)/100/12),$K26))))</f>
      </c>
      <c r="L27" s="43">
        <f>IF($I27=0,0,$J27*$H27/100/12)</f>
      </c>
      <c r="M27" s="43">
        <f>IF($I27=0,0,IF(OR(INDEX(DarlOhneTilgung,1)=1,AND(INDEX(DarlTilgStart,1)&gt;0,$E27&lt;INDEX(DarlTilgStart,1))),0,MIN(MAX(0,$K27-$L27),$J27)))</f>
      </c>
      <c r="N27" s="43">
        <f>IF($I27=0,0,MIN(SUMIFS(SondBetrag,SondDarl,1,SondDatum,"&gt;="&amp;$E27,SondDatum,"&lt;="&amp;EOMONTH($E27,0)),$J27-$M27))</f>
      </c>
      <c r="O27" s="43">
        <f>IF($I27=0,0,INDEX(DarlErsatzRate,1))</f>
      </c>
      <c r="P27" s="43">
        <f>IF($I27=0,0,$Q26*INDEX(DarlErsatzZins,1))</f>
      </c>
      <c r="Q27" s="43">
        <f>IF($I27=0,0,$Q26+$P27+$O27)</f>
      </c>
      <c r="R27" s="43">
        <f>IF($I27=0,0,$J27-$M27-$N27)</f>
      </c>
    </row>
    <row r="28">
      <c r="A28"/>
      <c r="B28">
        <v>1</v>
      </c>
      <c r="C28" s="43">
        <f>INDEX(DarlObj,1)</f>
      </c>
      <c r="D28">
        <v>25</v>
      </c>
      <c r="E28" s="51">
        <f>IF(INDEX(DarlBelegt,1)=0,0,EOMONTH(INDEX(DarlAuszahlung,1),24)+1)</f>
      </c>
      <c r="F28" s="43">
        <f>IF($E28=0,0,YEAR($E28))</f>
      </c>
      <c r="G28" s="43">
        <f>IF(INDEX(DarlBindung,1)="",1,IF($E28&lt;=INDEX(DarlBindung,1),1,0))</f>
      </c>
      <c r="H28" s="43">
        <f>IF($G28=1,INDEX(DarlSollzins,1),INDEX(DarlAnschluss,1))</f>
      </c>
      <c r="I28" s="43">
        <f>IF(INDEX(DarlBelegt,1)=0,0,IF(INDEX(DarlOhneTilgung,1)=1,IF(INDEX(DarlBindung,1)="",1,$G28),IF($J28&gt;0.005,1,0)))</f>
      </c>
      <c r="J28" s="43">
        <f>IF($I27=0,0,$R27)</f>
      </c>
      <c r="K28" s="43">
        <f>IF($I28=0,0,IF(INDEX(DarlOhneTilgung,1)=1,0,IF(AND(INDEX(DarlTilgStart,1)&gt;0,$E28=INDEX(DarlTilgStart,1)),$J28*($H28+INDEX(DarlTilgung,1))/100/12,IF(AND($G28=0,$G27=1),MAX($K27,$J28*($H28+1)/100/12),$K27))))</f>
      </c>
      <c r="L28" s="43">
        <f>IF($I28=0,0,$J28*$H28/100/12)</f>
      </c>
      <c r="M28" s="43">
        <f>IF($I28=0,0,IF(OR(INDEX(DarlOhneTilgung,1)=1,AND(INDEX(DarlTilgStart,1)&gt;0,$E28&lt;INDEX(DarlTilgStart,1))),0,MIN(MAX(0,$K28-$L28),$J28)))</f>
      </c>
      <c r="N28" s="43">
        <f>IF($I28=0,0,MIN(SUMIFS(SondBetrag,SondDarl,1,SondDatum,"&gt;="&amp;$E28,SondDatum,"&lt;="&amp;EOMONTH($E28,0)),$J28-$M28))</f>
      </c>
      <c r="O28" s="43">
        <f>IF($I28=0,0,INDEX(DarlErsatzRate,1))</f>
      </c>
      <c r="P28" s="43">
        <f>IF($I28=0,0,$Q27*INDEX(DarlErsatzZins,1))</f>
      </c>
      <c r="Q28" s="43">
        <f>IF($I28=0,0,$Q27+$P28+$O28)</f>
      </c>
      <c r="R28" s="43">
        <f>IF($I28=0,0,$J28-$M28-$N28)</f>
      </c>
    </row>
    <row r="29">
      <c r="A29"/>
      <c r="B29">
        <v>1</v>
      </c>
      <c r="C29" s="43">
        <f>INDEX(DarlObj,1)</f>
      </c>
      <c r="D29">
        <v>26</v>
      </c>
      <c r="E29" s="51">
        <f>IF(INDEX(DarlBelegt,1)=0,0,EOMONTH(INDEX(DarlAuszahlung,1),25)+1)</f>
      </c>
      <c r="F29" s="43">
        <f>IF($E29=0,0,YEAR($E29))</f>
      </c>
      <c r="G29" s="43">
        <f>IF(INDEX(DarlBindung,1)="",1,IF($E29&lt;=INDEX(DarlBindung,1),1,0))</f>
      </c>
      <c r="H29" s="43">
        <f>IF($G29=1,INDEX(DarlSollzins,1),INDEX(DarlAnschluss,1))</f>
      </c>
      <c r="I29" s="43">
        <f>IF(INDEX(DarlBelegt,1)=0,0,IF(INDEX(DarlOhneTilgung,1)=1,IF(INDEX(DarlBindung,1)="",1,$G29),IF($J29&gt;0.005,1,0)))</f>
      </c>
      <c r="J29" s="43">
        <f>IF($I28=0,0,$R28)</f>
      </c>
      <c r="K29" s="43">
        <f>IF($I29=0,0,IF(INDEX(DarlOhneTilgung,1)=1,0,IF(AND(INDEX(DarlTilgStart,1)&gt;0,$E29=INDEX(DarlTilgStart,1)),$J29*($H29+INDEX(DarlTilgung,1))/100/12,IF(AND($G29=0,$G28=1),MAX($K28,$J29*($H29+1)/100/12),$K28))))</f>
      </c>
      <c r="L29" s="43">
        <f>IF($I29=0,0,$J29*$H29/100/12)</f>
      </c>
      <c r="M29" s="43">
        <f>IF($I29=0,0,IF(OR(INDEX(DarlOhneTilgung,1)=1,AND(INDEX(DarlTilgStart,1)&gt;0,$E29&lt;INDEX(DarlTilgStart,1))),0,MIN(MAX(0,$K29-$L29),$J29)))</f>
      </c>
      <c r="N29" s="43">
        <f>IF($I29=0,0,MIN(SUMIFS(SondBetrag,SondDarl,1,SondDatum,"&gt;="&amp;$E29,SondDatum,"&lt;="&amp;EOMONTH($E29,0)),$J29-$M29))</f>
      </c>
      <c r="O29" s="43">
        <f>IF($I29=0,0,INDEX(DarlErsatzRate,1))</f>
      </c>
      <c r="P29" s="43">
        <f>IF($I29=0,0,$Q28*INDEX(DarlErsatzZins,1))</f>
      </c>
      <c r="Q29" s="43">
        <f>IF($I29=0,0,$Q28+$P29+$O29)</f>
      </c>
      <c r="R29" s="43">
        <f>IF($I29=0,0,$J29-$M29-$N29)</f>
      </c>
    </row>
    <row r="30">
      <c r="A30"/>
      <c r="B30">
        <v>1</v>
      </c>
      <c r="C30" s="43">
        <f>INDEX(DarlObj,1)</f>
      </c>
      <c r="D30">
        <v>27</v>
      </c>
      <c r="E30" s="51">
        <f>IF(INDEX(DarlBelegt,1)=0,0,EOMONTH(INDEX(DarlAuszahlung,1),26)+1)</f>
      </c>
      <c r="F30" s="43">
        <f>IF($E30=0,0,YEAR($E30))</f>
      </c>
      <c r="G30" s="43">
        <f>IF(INDEX(DarlBindung,1)="",1,IF($E30&lt;=INDEX(DarlBindung,1),1,0))</f>
      </c>
      <c r="H30" s="43">
        <f>IF($G30=1,INDEX(DarlSollzins,1),INDEX(DarlAnschluss,1))</f>
      </c>
      <c r="I30" s="43">
        <f>IF(INDEX(DarlBelegt,1)=0,0,IF(INDEX(DarlOhneTilgung,1)=1,IF(INDEX(DarlBindung,1)="",1,$G30),IF($J30&gt;0.005,1,0)))</f>
      </c>
      <c r="J30" s="43">
        <f>IF($I29=0,0,$R29)</f>
      </c>
      <c r="K30" s="43">
        <f>IF($I30=0,0,IF(INDEX(DarlOhneTilgung,1)=1,0,IF(AND(INDEX(DarlTilgStart,1)&gt;0,$E30=INDEX(DarlTilgStart,1)),$J30*($H30+INDEX(DarlTilgung,1))/100/12,IF(AND($G30=0,$G29=1),MAX($K29,$J30*($H30+1)/100/12),$K29))))</f>
      </c>
      <c r="L30" s="43">
        <f>IF($I30=0,0,$J30*$H30/100/12)</f>
      </c>
      <c r="M30" s="43">
        <f>IF($I30=0,0,IF(OR(INDEX(DarlOhneTilgung,1)=1,AND(INDEX(DarlTilgStart,1)&gt;0,$E30&lt;INDEX(DarlTilgStart,1))),0,MIN(MAX(0,$K30-$L30),$J30)))</f>
      </c>
      <c r="N30" s="43">
        <f>IF($I30=0,0,MIN(SUMIFS(SondBetrag,SondDarl,1,SondDatum,"&gt;="&amp;$E30,SondDatum,"&lt;="&amp;EOMONTH($E30,0)),$J30-$M30))</f>
      </c>
      <c r="O30" s="43">
        <f>IF($I30=0,0,INDEX(DarlErsatzRate,1))</f>
      </c>
      <c r="P30" s="43">
        <f>IF($I30=0,0,$Q29*INDEX(DarlErsatzZins,1))</f>
      </c>
      <c r="Q30" s="43">
        <f>IF($I30=0,0,$Q29+$P30+$O30)</f>
      </c>
      <c r="R30" s="43">
        <f>IF($I30=0,0,$J30-$M30-$N30)</f>
      </c>
    </row>
    <row r="31">
      <c r="A31"/>
      <c r="B31">
        <v>1</v>
      </c>
      <c r="C31" s="43">
        <f>INDEX(DarlObj,1)</f>
      </c>
      <c r="D31">
        <v>28</v>
      </c>
      <c r="E31" s="51">
        <f>IF(INDEX(DarlBelegt,1)=0,0,EOMONTH(INDEX(DarlAuszahlung,1),27)+1)</f>
      </c>
      <c r="F31" s="43">
        <f>IF($E31=0,0,YEAR($E31))</f>
      </c>
      <c r="G31" s="43">
        <f>IF(INDEX(DarlBindung,1)="",1,IF($E31&lt;=INDEX(DarlBindung,1),1,0))</f>
      </c>
      <c r="H31" s="43">
        <f>IF($G31=1,INDEX(DarlSollzins,1),INDEX(DarlAnschluss,1))</f>
      </c>
      <c r="I31" s="43">
        <f>IF(INDEX(DarlBelegt,1)=0,0,IF(INDEX(DarlOhneTilgung,1)=1,IF(INDEX(DarlBindung,1)="",1,$G31),IF($J31&gt;0.005,1,0)))</f>
      </c>
      <c r="J31" s="43">
        <f>IF($I30=0,0,$R30)</f>
      </c>
      <c r="K31" s="43">
        <f>IF($I31=0,0,IF(INDEX(DarlOhneTilgung,1)=1,0,IF(AND(INDEX(DarlTilgStart,1)&gt;0,$E31=INDEX(DarlTilgStart,1)),$J31*($H31+INDEX(DarlTilgung,1))/100/12,IF(AND($G31=0,$G30=1),MAX($K30,$J31*($H31+1)/100/12),$K30))))</f>
      </c>
      <c r="L31" s="43">
        <f>IF($I31=0,0,$J31*$H31/100/12)</f>
      </c>
      <c r="M31" s="43">
        <f>IF($I31=0,0,IF(OR(INDEX(DarlOhneTilgung,1)=1,AND(INDEX(DarlTilgStart,1)&gt;0,$E31&lt;INDEX(DarlTilgStart,1))),0,MIN(MAX(0,$K31-$L31),$J31)))</f>
      </c>
      <c r="N31" s="43">
        <f>IF($I31=0,0,MIN(SUMIFS(SondBetrag,SondDarl,1,SondDatum,"&gt;="&amp;$E31,SondDatum,"&lt;="&amp;EOMONTH($E31,0)),$J31-$M31))</f>
      </c>
      <c r="O31" s="43">
        <f>IF($I31=0,0,INDEX(DarlErsatzRate,1))</f>
      </c>
      <c r="P31" s="43">
        <f>IF($I31=0,0,$Q30*INDEX(DarlErsatzZins,1))</f>
      </c>
      <c r="Q31" s="43">
        <f>IF($I31=0,0,$Q30+$P31+$O31)</f>
      </c>
      <c r="R31" s="43">
        <f>IF($I31=0,0,$J31-$M31-$N31)</f>
      </c>
    </row>
    <row r="32">
      <c r="A32"/>
      <c r="B32">
        <v>1</v>
      </c>
      <c r="C32" s="43">
        <f>INDEX(DarlObj,1)</f>
      </c>
      <c r="D32">
        <v>29</v>
      </c>
      <c r="E32" s="51">
        <f>IF(INDEX(DarlBelegt,1)=0,0,EOMONTH(INDEX(DarlAuszahlung,1),28)+1)</f>
      </c>
      <c r="F32" s="43">
        <f>IF($E32=0,0,YEAR($E32))</f>
      </c>
      <c r="G32" s="43">
        <f>IF(INDEX(DarlBindung,1)="",1,IF($E32&lt;=INDEX(DarlBindung,1),1,0))</f>
      </c>
      <c r="H32" s="43">
        <f>IF($G32=1,INDEX(DarlSollzins,1),INDEX(DarlAnschluss,1))</f>
      </c>
      <c r="I32" s="43">
        <f>IF(INDEX(DarlBelegt,1)=0,0,IF(INDEX(DarlOhneTilgung,1)=1,IF(INDEX(DarlBindung,1)="",1,$G32),IF($J32&gt;0.005,1,0)))</f>
      </c>
      <c r="J32" s="43">
        <f>IF($I31=0,0,$R31)</f>
      </c>
      <c r="K32" s="43">
        <f>IF($I32=0,0,IF(INDEX(DarlOhneTilgung,1)=1,0,IF(AND(INDEX(DarlTilgStart,1)&gt;0,$E32=INDEX(DarlTilgStart,1)),$J32*($H32+INDEX(DarlTilgung,1))/100/12,IF(AND($G32=0,$G31=1),MAX($K31,$J32*($H32+1)/100/12),$K31))))</f>
      </c>
      <c r="L32" s="43">
        <f>IF($I32=0,0,$J32*$H32/100/12)</f>
      </c>
      <c r="M32" s="43">
        <f>IF($I32=0,0,IF(OR(INDEX(DarlOhneTilgung,1)=1,AND(INDEX(DarlTilgStart,1)&gt;0,$E32&lt;INDEX(DarlTilgStart,1))),0,MIN(MAX(0,$K32-$L32),$J32)))</f>
      </c>
      <c r="N32" s="43">
        <f>IF($I32=0,0,MIN(SUMIFS(SondBetrag,SondDarl,1,SondDatum,"&gt;="&amp;$E32,SondDatum,"&lt;="&amp;EOMONTH($E32,0)),$J32-$M32))</f>
      </c>
      <c r="O32" s="43">
        <f>IF($I32=0,0,INDEX(DarlErsatzRate,1))</f>
      </c>
      <c r="P32" s="43">
        <f>IF($I32=0,0,$Q31*INDEX(DarlErsatzZins,1))</f>
      </c>
      <c r="Q32" s="43">
        <f>IF($I32=0,0,$Q31+$P32+$O32)</f>
      </c>
      <c r="R32" s="43">
        <f>IF($I32=0,0,$J32-$M32-$N32)</f>
      </c>
    </row>
    <row r="33">
      <c r="A33"/>
      <c r="B33">
        <v>1</v>
      </c>
      <c r="C33" s="43">
        <f>INDEX(DarlObj,1)</f>
      </c>
      <c r="D33">
        <v>30</v>
      </c>
      <c r="E33" s="51">
        <f>IF(INDEX(DarlBelegt,1)=0,0,EOMONTH(INDEX(DarlAuszahlung,1),29)+1)</f>
      </c>
      <c r="F33" s="43">
        <f>IF($E33=0,0,YEAR($E33))</f>
      </c>
      <c r="G33" s="43">
        <f>IF(INDEX(DarlBindung,1)="",1,IF($E33&lt;=INDEX(DarlBindung,1),1,0))</f>
      </c>
      <c r="H33" s="43">
        <f>IF($G33=1,INDEX(DarlSollzins,1),INDEX(DarlAnschluss,1))</f>
      </c>
      <c r="I33" s="43">
        <f>IF(INDEX(DarlBelegt,1)=0,0,IF(INDEX(DarlOhneTilgung,1)=1,IF(INDEX(DarlBindung,1)="",1,$G33),IF($J33&gt;0.005,1,0)))</f>
      </c>
      <c r="J33" s="43">
        <f>IF($I32=0,0,$R32)</f>
      </c>
      <c r="K33" s="43">
        <f>IF($I33=0,0,IF(INDEX(DarlOhneTilgung,1)=1,0,IF(AND(INDEX(DarlTilgStart,1)&gt;0,$E33=INDEX(DarlTilgStart,1)),$J33*($H33+INDEX(DarlTilgung,1))/100/12,IF(AND($G33=0,$G32=1),MAX($K32,$J33*($H33+1)/100/12),$K32))))</f>
      </c>
      <c r="L33" s="43">
        <f>IF($I33=0,0,$J33*$H33/100/12)</f>
      </c>
      <c r="M33" s="43">
        <f>IF($I33=0,0,IF(OR(INDEX(DarlOhneTilgung,1)=1,AND(INDEX(DarlTilgStart,1)&gt;0,$E33&lt;INDEX(DarlTilgStart,1))),0,MIN(MAX(0,$K33-$L33),$J33)))</f>
      </c>
      <c r="N33" s="43">
        <f>IF($I33=0,0,MIN(SUMIFS(SondBetrag,SondDarl,1,SondDatum,"&gt;="&amp;$E33,SondDatum,"&lt;="&amp;EOMONTH($E33,0)),$J33-$M33))</f>
      </c>
      <c r="O33" s="43">
        <f>IF($I33=0,0,INDEX(DarlErsatzRate,1))</f>
      </c>
      <c r="P33" s="43">
        <f>IF($I33=0,0,$Q32*INDEX(DarlErsatzZins,1))</f>
      </c>
      <c r="Q33" s="43">
        <f>IF($I33=0,0,$Q32+$P33+$O33)</f>
      </c>
      <c r="R33" s="43">
        <f>IF($I33=0,0,$J33-$M33-$N33)</f>
      </c>
    </row>
    <row r="34">
      <c r="A34"/>
      <c r="B34">
        <v>1</v>
      </c>
      <c r="C34" s="43">
        <f>INDEX(DarlObj,1)</f>
      </c>
      <c r="D34">
        <v>31</v>
      </c>
      <c r="E34" s="51">
        <f>IF(INDEX(DarlBelegt,1)=0,0,EOMONTH(INDEX(DarlAuszahlung,1),30)+1)</f>
      </c>
      <c r="F34" s="43">
        <f>IF($E34=0,0,YEAR($E34))</f>
      </c>
      <c r="G34" s="43">
        <f>IF(INDEX(DarlBindung,1)="",1,IF($E34&lt;=INDEX(DarlBindung,1),1,0))</f>
      </c>
      <c r="H34" s="43">
        <f>IF($G34=1,INDEX(DarlSollzins,1),INDEX(DarlAnschluss,1))</f>
      </c>
      <c r="I34" s="43">
        <f>IF(INDEX(DarlBelegt,1)=0,0,IF(INDEX(DarlOhneTilgung,1)=1,IF(INDEX(DarlBindung,1)="",1,$G34),IF($J34&gt;0.005,1,0)))</f>
      </c>
      <c r="J34" s="43">
        <f>IF($I33=0,0,$R33)</f>
      </c>
      <c r="K34" s="43">
        <f>IF($I34=0,0,IF(INDEX(DarlOhneTilgung,1)=1,0,IF(AND(INDEX(DarlTilgStart,1)&gt;0,$E34=INDEX(DarlTilgStart,1)),$J34*($H34+INDEX(DarlTilgung,1))/100/12,IF(AND($G34=0,$G33=1),MAX($K33,$J34*($H34+1)/100/12),$K33))))</f>
      </c>
      <c r="L34" s="43">
        <f>IF($I34=0,0,$J34*$H34/100/12)</f>
      </c>
      <c r="M34" s="43">
        <f>IF($I34=0,0,IF(OR(INDEX(DarlOhneTilgung,1)=1,AND(INDEX(DarlTilgStart,1)&gt;0,$E34&lt;INDEX(DarlTilgStart,1))),0,MIN(MAX(0,$K34-$L34),$J34)))</f>
      </c>
      <c r="N34" s="43">
        <f>IF($I34=0,0,MIN(SUMIFS(SondBetrag,SondDarl,1,SondDatum,"&gt;="&amp;$E34,SondDatum,"&lt;="&amp;EOMONTH($E34,0)),$J34-$M34))</f>
      </c>
      <c r="O34" s="43">
        <f>IF($I34=0,0,INDEX(DarlErsatzRate,1))</f>
      </c>
      <c r="P34" s="43">
        <f>IF($I34=0,0,$Q33*INDEX(DarlErsatzZins,1))</f>
      </c>
      <c r="Q34" s="43">
        <f>IF($I34=0,0,$Q33+$P34+$O34)</f>
      </c>
      <c r="R34" s="43">
        <f>IF($I34=0,0,$J34-$M34-$N34)</f>
      </c>
    </row>
    <row r="35">
      <c r="A35"/>
      <c r="B35">
        <v>1</v>
      </c>
      <c r="C35" s="43">
        <f>INDEX(DarlObj,1)</f>
      </c>
      <c r="D35">
        <v>32</v>
      </c>
      <c r="E35" s="51">
        <f>IF(INDEX(DarlBelegt,1)=0,0,EOMONTH(INDEX(DarlAuszahlung,1),31)+1)</f>
      </c>
      <c r="F35" s="43">
        <f>IF($E35=0,0,YEAR($E35))</f>
      </c>
      <c r="G35" s="43">
        <f>IF(INDEX(DarlBindung,1)="",1,IF($E35&lt;=INDEX(DarlBindung,1),1,0))</f>
      </c>
      <c r="H35" s="43">
        <f>IF($G35=1,INDEX(DarlSollzins,1),INDEX(DarlAnschluss,1))</f>
      </c>
      <c r="I35" s="43">
        <f>IF(INDEX(DarlBelegt,1)=0,0,IF(INDEX(DarlOhneTilgung,1)=1,IF(INDEX(DarlBindung,1)="",1,$G35),IF($J35&gt;0.005,1,0)))</f>
      </c>
      <c r="J35" s="43">
        <f>IF($I34=0,0,$R34)</f>
      </c>
      <c r="K35" s="43">
        <f>IF($I35=0,0,IF(INDEX(DarlOhneTilgung,1)=1,0,IF(AND(INDEX(DarlTilgStart,1)&gt;0,$E35=INDEX(DarlTilgStart,1)),$J35*($H35+INDEX(DarlTilgung,1))/100/12,IF(AND($G35=0,$G34=1),MAX($K34,$J35*($H35+1)/100/12),$K34))))</f>
      </c>
      <c r="L35" s="43">
        <f>IF($I35=0,0,$J35*$H35/100/12)</f>
      </c>
      <c r="M35" s="43">
        <f>IF($I35=0,0,IF(OR(INDEX(DarlOhneTilgung,1)=1,AND(INDEX(DarlTilgStart,1)&gt;0,$E35&lt;INDEX(DarlTilgStart,1))),0,MIN(MAX(0,$K35-$L35),$J35)))</f>
      </c>
      <c r="N35" s="43">
        <f>IF($I35=0,0,MIN(SUMIFS(SondBetrag,SondDarl,1,SondDatum,"&gt;="&amp;$E35,SondDatum,"&lt;="&amp;EOMONTH($E35,0)),$J35-$M35))</f>
      </c>
      <c r="O35" s="43">
        <f>IF($I35=0,0,INDEX(DarlErsatzRate,1))</f>
      </c>
      <c r="P35" s="43">
        <f>IF($I35=0,0,$Q34*INDEX(DarlErsatzZins,1))</f>
      </c>
      <c r="Q35" s="43">
        <f>IF($I35=0,0,$Q34+$P35+$O35)</f>
      </c>
      <c r="R35" s="43">
        <f>IF($I35=0,0,$J35-$M35-$N35)</f>
      </c>
    </row>
    <row r="36">
      <c r="A36"/>
      <c r="B36">
        <v>1</v>
      </c>
      <c r="C36" s="43">
        <f>INDEX(DarlObj,1)</f>
      </c>
      <c r="D36">
        <v>33</v>
      </c>
      <c r="E36" s="51">
        <f>IF(INDEX(DarlBelegt,1)=0,0,EOMONTH(INDEX(DarlAuszahlung,1),32)+1)</f>
      </c>
      <c r="F36" s="43">
        <f>IF($E36=0,0,YEAR($E36))</f>
      </c>
      <c r="G36" s="43">
        <f>IF(INDEX(DarlBindung,1)="",1,IF($E36&lt;=INDEX(DarlBindung,1),1,0))</f>
      </c>
      <c r="H36" s="43">
        <f>IF($G36=1,INDEX(DarlSollzins,1),INDEX(DarlAnschluss,1))</f>
      </c>
      <c r="I36" s="43">
        <f>IF(INDEX(DarlBelegt,1)=0,0,IF(INDEX(DarlOhneTilgung,1)=1,IF(INDEX(DarlBindung,1)="",1,$G36),IF($J36&gt;0.005,1,0)))</f>
      </c>
      <c r="J36" s="43">
        <f>IF($I35=0,0,$R35)</f>
      </c>
      <c r="K36" s="43">
        <f>IF($I36=0,0,IF(INDEX(DarlOhneTilgung,1)=1,0,IF(AND(INDEX(DarlTilgStart,1)&gt;0,$E36=INDEX(DarlTilgStart,1)),$J36*($H36+INDEX(DarlTilgung,1))/100/12,IF(AND($G36=0,$G35=1),MAX($K35,$J36*($H36+1)/100/12),$K35))))</f>
      </c>
      <c r="L36" s="43">
        <f>IF($I36=0,0,$J36*$H36/100/12)</f>
      </c>
      <c r="M36" s="43">
        <f>IF($I36=0,0,IF(OR(INDEX(DarlOhneTilgung,1)=1,AND(INDEX(DarlTilgStart,1)&gt;0,$E36&lt;INDEX(DarlTilgStart,1))),0,MIN(MAX(0,$K36-$L36),$J36)))</f>
      </c>
      <c r="N36" s="43">
        <f>IF($I36=0,0,MIN(SUMIFS(SondBetrag,SondDarl,1,SondDatum,"&gt;="&amp;$E36,SondDatum,"&lt;="&amp;EOMONTH($E36,0)),$J36-$M36))</f>
      </c>
      <c r="O36" s="43">
        <f>IF($I36=0,0,INDEX(DarlErsatzRate,1))</f>
      </c>
      <c r="P36" s="43">
        <f>IF($I36=0,0,$Q35*INDEX(DarlErsatzZins,1))</f>
      </c>
      <c r="Q36" s="43">
        <f>IF($I36=0,0,$Q35+$P36+$O36)</f>
      </c>
      <c r="R36" s="43">
        <f>IF($I36=0,0,$J36-$M36-$N36)</f>
      </c>
    </row>
    <row r="37">
      <c r="A37"/>
      <c r="B37">
        <v>1</v>
      </c>
      <c r="C37" s="43">
        <f>INDEX(DarlObj,1)</f>
      </c>
      <c r="D37">
        <v>34</v>
      </c>
      <c r="E37" s="51">
        <f>IF(INDEX(DarlBelegt,1)=0,0,EOMONTH(INDEX(DarlAuszahlung,1),33)+1)</f>
      </c>
      <c r="F37" s="43">
        <f>IF($E37=0,0,YEAR($E37))</f>
      </c>
      <c r="G37" s="43">
        <f>IF(INDEX(DarlBindung,1)="",1,IF($E37&lt;=INDEX(DarlBindung,1),1,0))</f>
      </c>
      <c r="H37" s="43">
        <f>IF($G37=1,INDEX(DarlSollzins,1),INDEX(DarlAnschluss,1))</f>
      </c>
      <c r="I37" s="43">
        <f>IF(INDEX(DarlBelegt,1)=0,0,IF(INDEX(DarlOhneTilgung,1)=1,IF(INDEX(DarlBindung,1)="",1,$G37),IF($J37&gt;0.005,1,0)))</f>
      </c>
      <c r="J37" s="43">
        <f>IF($I36=0,0,$R36)</f>
      </c>
      <c r="K37" s="43">
        <f>IF($I37=0,0,IF(INDEX(DarlOhneTilgung,1)=1,0,IF(AND(INDEX(DarlTilgStart,1)&gt;0,$E37=INDEX(DarlTilgStart,1)),$J37*($H37+INDEX(DarlTilgung,1))/100/12,IF(AND($G37=0,$G36=1),MAX($K36,$J37*($H37+1)/100/12),$K36))))</f>
      </c>
      <c r="L37" s="43">
        <f>IF($I37=0,0,$J37*$H37/100/12)</f>
      </c>
      <c r="M37" s="43">
        <f>IF($I37=0,0,IF(OR(INDEX(DarlOhneTilgung,1)=1,AND(INDEX(DarlTilgStart,1)&gt;0,$E37&lt;INDEX(DarlTilgStart,1))),0,MIN(MAX(0,$K37-$L37),$J37)))</f>
      </c>
      <c r="N37" s="43">
        <f>IF($I37=0,0,MIN(SUMIFS(SondBetrag,SondDarl,1,SondDatum,"&gt;="&amp;$E37,SondDatum,"&lt;="&amp;EOMONTH($E37,0)),$J37-$M37))</f>
      </c>
      <c r="O37" s="43">
        <f>IF($I37=0,0,INDEX(DarlErsatzRate,1))</f>
      </c>
      <c r="P37" s="43">
        <f>IF($I37=0,0,$Q36*INDEX(DarlErsatzZins,1))</f>
      </c>
      <c r="Q37" s="43">
        <f>IF($I37=0,0,$Q36+$P37+$O37)</f>
      </c>
      <c r="R37" s="43">
        <f>IF($I37=0,0,$J37-$M37-$N37)</f>
      </c>
    </row>
    <row r="38">
      <c r="A38"/>
      <c r="B38">
        <v>1</v>
      </c>
      <c r="C38" s="43">
        <f>INDEX(DarlObj,1)</f>
      </c>
      <c r="D38">
        <v>35</v>
      </c>
      <c r="E38" s="51">
        <f>IF(INDEX(DarlBelegt,1)=0,0,EOMONTH(INDEX(DarlAuszahlung,1),34)+1)</f>
      </c>
      <c r="F38" s="43">
        <f>IF($E38=0,0,YEAR($E38))</f>
      </c>
      <c r="G38" s="43">
        <f>IF(INDEX(DarlBindung,1)="",1,IF($E38&lt;=INDEX(DarlBindung,1),1,0))</f>
      </c>
      <c r="H38" s="43">
        <f>IF($G38=1,INDEX(DarlSollzins,1),INDEX(DarlAnschluss,1))</f>
      </c>
      <c r="I38" s="43">
        <f>IF(INDEX(DarlBelegt,1)=0,0,IF(INDEX(DarlOhneTilgung,1)=1,IF(INDEX(DarlBindung,1)="",1,$G38),IF($J38&gt;0.005,1,0)))</f>
      </c>
      <c r="J38" s="43">
        <f>IF($I37=0,0,$R37)</f>
      </c>
      <c r="K38" s="43">
        <f>IF($I38=0,0,IF(INDEX(DarlOhneTilgung,1)=1,0,IF(AND(INDEX(DarlTilgStart,1)&gt;0,$E38=INDEX(DarlTilgStart,1)),$J38*($H38+INDEX(DarlTilgung,1))/100/12,IF(AND($G38=0,$G37=1),MAX($K37,$J38*($H38+1)/100/12),$K37))))</f>
      </c>
      <c r="L38" s="43">
        <f>IF($I38=0,0,$J38*$H38/100/12)</f>
      </c>
      <c r="M38" s="43">
        <f>IF($I38=0,0,IF(OR(INDEX(DarlOhneTilgung,1)=1,AND(INDEX(DarlTilgStart,1)&gt;0,$E38&lt;INDEX(DarlTilgStart,1))),0,MIN(MAX(0,$K38-$L38),$J38)))</f>
      </c>
      <c r="N38" s="43">
        <f>IF($I38=0,0,MIN(SUMIFS(SondBetrag,SondDarl,1,SondDatum,"&gt;="&amp;$E38,SondDatum,"&lt;="&amp;EOMONTH($E38,0)),$J38-$M38))</f>
      </c>
      <c r="O38" s="43">
        <f>IF($I38=0,0,INDEX(DarlErsatzRate,1))</f>
      </c>
      <c r="P38" s="43">
        <f>IF($I38=0,0,$Q37*INDEX(DarlErsatzZins,1))</f>
      </c>
      <c r="Q38" s="43">
        <f>IF($I38=0,0,$Q37+$P38+$O38)</f>
      </c>
      <c r="R38" s="43">
        <f>IF($I38=0,0,$J38-$M38-$N38)</f>
      </c>
    </row>
    <row r="39">
      <c r="A39"/>
      <c r="B39">
        <v>1</v>
      </c>
      <c r="C39" s="43">
        <f>INDEX(DarlObj,1)</f>
      </c>
      <c r="D39">
        <v>36</v>
      </c>
      <c r="E39" s="51">
        <f>IF(INDEX(DarlBelegt,1)=0,0,EOMONTH(INDEX(DarlAuszahlung,1),35)+1)</f>
      </c>
      <c r="F39" s="43">
        <f>IF($E39=0,0,YEAR($E39))</f>
      </c>
      <c r="G39" s="43">
        <f>IF(INDEX(DarlBindung,1)="",1,IF($E39&lt;=INDEX(DarlBindung,1),1,0))</f>
      </c>
      <c r="H39" s="43">
        <f>IF($G39=1,INDEX(DarlSollzins,1),INDEX(DarlAnschluss,1))</f>
      </c>
      <c r="I39" s="43">
        <f>IF(INDEX(DarlBelegt,1)=0,0,IF(INDEX(DarlOhneTilgung,1)=1,IF(INDEX(DarlBindung,1)="",1,$G39),IF($J39&gt;0.005,1,0)))</f>
      </c>
      <c r="J39" s="43">
        <f>IF($I38=0,0,$R38)</f>
      </c>
      <c r="K39" s="43">
        <f>IF($I39=0,0,IF(INDEX(DarlOhneTilgung,1)=1,0,IF(AND(INDEX(DarlTilgStart,1)&gt;0,$E39=INDEX(DarlTilgStart,1)),$J39*($H39+INDEX(DarlTilgung,1))/100/12,IF(AND($G39=0,$G38=1),MAX($K38,$J39*($H39+1)/100/12),$K38))))</f>
      </c>
      <c r="L39" s="43">
        <f>IF($I39=0,0,$J39*$H39/100/12)</f>
      </c>
      <c r="M39" s="43">
        <f>IF($I39=0,0,IF(OR(INDEX(DarlOhneTilgung,1)=1,AND(INDEX(DarlTilgStart,1)&gt;0,$E39&lt;INDEX(DarlTilgStart,1))),0,MIN(MAX(0,$K39-$L39),$J39)))</f>
      </c>
      <c r="N39" s="43">
        <f>IF($I39=0,0,MIN(SUMIFS(SondBetrag,SondDarl,1,SondDatum,"&gt;="&amp;$E39,SondDatum,"&lt;="&amp;EOMONTH($E39,0)),$J39-$M39))</f>
      </c>
      <c r="O39" s="43">
        <f>IF($I39=0,0,INDEX(DarlErsatzRate,1))</f>
      </c>
      <c r="P39" s="43">
        <f>IF($I39=0,0,$Q38*INDEX(DarlErsatzZins,1))</f>
      </c>
      <c r="Q39" s="43">
        <f>IF($I39=0,0,$Q38+$P39+$O39)</f>
      </c>
      <c r="R39" s="43">
        <f>IF($I39=0,0,$J39-$M39-$N39)</f>
      </c>
    </row>
    <row r="40">
      <c r="A40"/>
      <c r="B40">
        <v>1</v>
      </c>
      <c r="C40" s="43">
        <f>INDEX(DarlObj,1)</f>
      </c>
      <c r="D40">
        <v>37</v>
      </c>
      <c r="E40" s="51">
        <f>IF(INDEX(DarlBelegt,1)=0,0,EOMONTH(INDEX(DarlAuszahlung,1),36)+1)</f>
      </c>
      <c r="F40" s="43">
        <f>IF($E40=0,0,YEAR($E40))</f>
      </c>
      <c r="G40" s="43">
        <f>IF(INDEX(DarlBindung,1)="",1,IF($E40&lt;=INDEX(DarlBindung,1),1,0))</f>
      </c>
      <c r="H40" s="43">
        <f>IF($G40=1,INDEX(DarlSollzins,1),INDEX(DarlAnschluss,1))</f>
      </c>
      <c r="I40" s="43">
        <f>IF(INDEX(DarlBelegt,1)=0,0,IF(INDEX(DarlOhneTilgung,1)=1,IF(INDEX(DarlBindung,1)="",1,$G40),IF($J40&gt;0.005,1,0)))</f>
      </c>
      <c r="J40" s="43">
        <f>IF($I39=0,0,$R39)</f>
      </c>
      <c r="K40" s="43">
        <f>IF($I40=0,0,IF(INDEX(DarlOhneTilgung,1)=1,0,IF(AND(INDEX(DarlTilgStart,1)&gt;0,$E40=INDEX(DarlTilgStart,1)),$J40*($H40+INDEX(DarlTilgung,1))/100/12,IF(AND($G40=0,$G39=1),MAX($K39,$J40*($H40+1)/100/12),$K39))))</f>
      </c>
      <c r="L40" s="43">
        <f>IF($I40=0,0,$J40*$H40/100/12)</f>
      </c>
      <c r="M40" s="43">
        <f>IF($I40=0,0,IF(OR(INDEX(DarlOhneTilgung,1)=1,AND(INDEX(DarlTilgStart,1)&gt;0,$E40&lt;INDEX(DarlTilgStart,1))),0,MIN(MAX(0,$K40-$L40),$J40)))</f>
      </c>
      <c r="N40" s="43">
        <f>IF($I40=0,0,MIN(SUMIFS(SondBetrag,SondDarl,1,SondDatum,"&gt;="&amp;$E40,SondDatum,"&lt;="&amp;EOMONTH($E40,0)),$J40-$M40))</f>
      </c>
      <c r="O40" s="43">
        <f>IF($I40=0,0,INDEX(DarlErsatzRate,1))</f>
      </c>
      <c r="P40" s="43">
        <f>IF($I40=0,0,$Q39*INDEX(DarlErsatzZins,1))</f>
      </c>
      <c r="Q40" s="43">
        <f>IF($I40=0,0,$Q39+$P40+$O40)</f>
      </c>
      <c r="R40" s="43">
        <f>IF($I40=0,0,$J40-$M40-$N40)</f>
      </c>
    </row>
    <row r="41">
      <c r="A41"/>
      <c r="B41">
        <v>1</v>
      </c>
      <c r="C41" s="43">
        <f>INDEX(DarlObj,1)</f>
      </c>
      <c r="D41">
        <v>38</v>
      </c>
      <c r="E41" s="51">
        <f>IF(INDEX(DarlBelegt,1)=0,0,EOMONTH(INDEX(DarlAuszahlung,1),37)+1)</f>
      </c>
      <c r="F41" s="43">
        <f>IF($E41=0,0,YEAR($E41))</f>
      </c>
      <c r="G41" s="43">
        <f>IF(INDEX(DarlBindung,1)="",1,IF($E41&lt;=INDEX(DarlBindung,1),1,0))</f>
      </c>
      <c r="H41" s="43">
        <f>IF($G41=1,INDEX(DarlSollzins,1),INDEX(DarlAnschluss,1))</f>
      </c>
      <c r="I41" s="43">
        <f>IF(INDEX(DarlBelegt,1)=0,0,IF(INDEX(DarlOhneTilgung,1)=1,IF(INDEX(DarlBindung,1)="",1,$G41),IF($J41&gt;0.005,1,0)))</f>
      </c>
      <c r="J41" s="43">
        <f>IF($I40=0,0,$R40)</f>
      </c>
      <c r="K41" s="43">
        <f>IF($I41=0,0,IF(INDEX(DarlOhneTilgung,1)=1,0,IF(AND(INDEX(DarlTilgStart,1)&gt;0,$E41=INDEX(DarlTilgStart,1)),$J41*($H41+INDEX(DarlTilgung,1))/100/12,IF(AND($G41=0,$G40=1),MAX($K40,$J41*($H41+1)/100/12),$K40))))</f>
      </c>
      <c r="L41" s="43">
        <f>IF($I41=0,0,$J41*$H41/100/12)</f>
      </c>
      <c r="M41" s="43">
        <f>IF($I41=0,0,IF(OR(INDEX(DarlOhneTilgung,1)=1,AND(INDEX(DarlTilgStart,1)&gt;0,$E41&lt;INDEX(DarlTilgStart,1))),0,MIN(MAX(0,$K41-$L41),$J41)))</f>
      </c>
      <c r="N41" s="43">
        <f>IF($I41=0,0,MIN(SUMIFS(SondBetrag,SondDarl,1,SondDatum,"&gt;="&amp;$E41,SondDatum,"&lt;="&amp;EOMONTH($E41,0)),$J41-$M41))</f>
      </c>
      <c r="O41" s="43">
        <f>IF($I41=0,0,INDEX(DarlErsatzRate,1))</f>
      </c>
      <c r="P41" s="43">
        <f>IF($I41=0,0,$Q40*INDEX(DarlErsatzZins,1))</f>
      </c>
      <c r="Q41" s="43">
        <f>IF($I41=0,0,$Q40+$P41+$O41)</f>
      </c>
      <c r="R41" s="43">
        <f>IF($I41=0,0,$J41-$M41-$N41)</f>
      </c>
    </row>
    <row r="42">
      <c r="A42"/>
      <c r="B42">
        <v>1</v>
      </c>
      <c r="C42" s="43">
        <f>INDEX(DarlObj,1)</f>
      </c>
      <c r="D42">
        <v>39</v>
      </c>
      <c r="E42" s="51">
        <f>IF(INDEX(DarlBelegt,1)=0,0,EOMONTH(INDEX(DarlAuszahlung,1),38)+1)</f>
      </c>
      <c r="F42" s="43">
        <f>IF($E42=0,0,YEAR($E42))</f>
      </c>
      <c r="G42" s="43">
        <f>IF(INDEX(DarlBindung,1)="",1,IF($E42&lt;=INDEX(DarlBindung,1),1,0))</f>
      </c>
      <c r="H42" s="43">
        <f>IF($G42=1,INDEX(DarlSollzins,1),INDEX(DarlAnschluss,1))</f>
      </c>
      <c r="I42" s="43">
        <f>IF(INDEX(DarlBelegt,1)=0,0,IF(INDEX(DarlOhneTilgung,1)=1,IF(INDEX(DarlBindung,1)="",1,$G42),IF($J42&gt;0.005,1,0)))</f>
      </c>
      <c r="J42" s="43">
        <f>IF($I41=0,0,$R41)</f>
      </c>
      <c r="K42" s="43">
        <f>IF($I42=0,0,IF(INDEX(DarlOhneTilgung,1)=1,0,IF(AND(INDEX(DarlTilgStart,1)&gt;0,$E42=INDEX(DarlTilgStart,1)),$J42*($H42+INDEX(DarlTilgung,1))/100/12,IF(AND($G42=0,$G41=1),MAX($K41,$J42*($H42+1)/100/12),$K41))))</f>
      </c>
      <c r="L42" s="43">
        <f>IF($I42=0,0,$J42*$H42/100/12)</f>
      </c>
      <c r="M42" s="43">
        <f>IF($I42=0,0,IF(OR(INDEX(DarlOhneTilgung,1)=1,AND(INDEX(DarlTilgStart,1)&gt;0,$E42&lt;INDEX(DarlTilgStart,1))),0,MIN(MAX(0,$K42-$L42),$J42)))</f>
      </c>
      <c r="N42" s="43">
        <f>IF($I42=0,0,MIN(SUMIFS(SondBetrag,SondDarl,1,SondDatum,"&gt;="&amp;$E42,SondDatum,"&lt;="&amp;EOMONTH($E42,0)),$J42-$M42))</f>
      </c>
      <c r="O42" s="43">
        <f>IF($I42=0,0,INDEX(DarlErsatzRate,1))</f>
      </c>
      <c r="P42" s="43">
        <f>IF($I42=0,0,$Q41*INDEX(DarlErsatzZins,1))</f>
      </c>
      <c r="Q42" s="43">
        <f>IF($I42=0,0,$Q41+$P42+$O42)</f>
      </c>
      <c r="R42" s="43">
        <f>IF($I42=0,0,$J42-$M42-$N42)</f>
      </c>
    </row>
    <row r="43">
      <c r="A43"/>
      <c r="B43">
        <v>1</v>
      </c>
      <c r="C43" s="43">
        <f>INDEX(DarlObj,1)</f>
      </c>
      <c r="D43">
        <v>40</v>
      </c>
      <c r="E43" s="51">
        <f>IF(INDEX(DarlBelegt,1)=0,0,EOMONTH(INDEX(DarlAuszahlung,1),39)+1)</f>
      </c>
      <c r="F43" s="43">
        <f>IF($E43=0,0,YEAR($E43))</f>
      </c>
      <c r="G43" s="43">
        <f>IF(INDEX(DarlBindung,1)="",1,IF($E43&lt;=INDEX(DarlBindung,1),1,0))</f>
      </c>
      <c r="H43" s="43">
        <f>IF($G43=1,INDEX(DarlSollzins,1),INDEX(DarlAnschluss,1))</f>
      </c>
      <c r="I43" s="43">
        <f>IF(INDEX(DarlBelegt,1)=0,0,IF(INDEX(DarlOhneTilgung,1)=1,IF(INDEX(DarlBindung,1)="",1,$G43),IF($J43&gt;0.005,1,0)))</f>
      </c>
      <c r="J43" s="43">
        <f>IF($I42=0,0,$R42)</f>
      </c>
      <c r="K43" s="43">
        <f>IF($I43=0,0,IF(INDEX(DarlOhneTilgung,1)=1,0,IF(AND(INDEX(DarlTilgStart,1)&gt;0,$E43=INDEX(DarlTilgStart,1)),$J43*($H43+INDEX(DarlTilgung,1))/100/12,IF(AND($G43=0,$G42=1),MAX($K42,$J43*($H43+1)/100/12),$K42))))</f>
      </c>
      <c r="L43" s="43">
        <f>IF($I43=0,0,$J43*$H43/100/12)</f>
      </c>
      <c r="M43" s="43">
        <f>IF($I43=0,0,IF(OR(INDEX(DarlOhneTilgung,1)=1,AND(INDEX(DarlTilgStart,1)&gt;0,$E43&lt;INDEX(DarlTilgStart,1))),0,MIN(MAX(0,$K43-$L43),$J43)))</f>
      </c>
      <c r="N43" s="43">
        <f>IF($I43=0,0,MIN(SUMIFS(SondBetrag,SondDarl,1,SondDatum,"&gt;="&amp;$E43,SondDatum,"&lt;="&amp;EOMONTH($E43,0)),$J43-$M43))</f>
      </c>
      <c r="O43" s="43">
        <f>IF($I43=0,0,INDEX(DarlErsatzRate,1))</f>
      </c>
      <c r="P43" s="43">
        <f>IF($I43=0,0,$Q42*INDEX(DarlErsatzZins,1))</f>
      </c>
      <c r="Q43" s="43">
        <f>IF($I43=0,0,$Q42+$P43+$O43)</f>
      </c>
      <c r="R43" s="43">
        <f>IF($I43=0,0,$J43-$M43-$N43)</f>
      </c>
    </row>
    <row r="44">
      <c r="A44"/>
      <c r="B44">
        <v>1</v>
      </c>
      <c r="C44" s="43">
        <f>INDEX(DarlObj,1)</f>
      </c>
      <c r="D44">
        <v>41</v>
      </c>
      <c r="E44" s="51">
        <f>IF(INDEX(DarlBelegt,1)=0,0,EOMONTH(INDEX(DarlAuszahlung,1),40)+1)</f>
      </c>
      <c r="F44" s="43">
        <f>IF($E44=0,0,YEAR($E44))</f>
      </c>
      <c r="G44" s="43">
        <f>IF(INDEX(DarlBindung,1)="",1,IF($E44&lt;=INDEX(DarlBindung,1),1,0))</f>
      </c>
      <c r="H44" s="43">
        <f>IF($G44=1,INDEX(DarlSollzins,1),INDEX(DarlAnschluss,1))</f>
      </c>
      <c r="I44" s="43">
        <f>IF(INDEX(DarlBelegt,1)=0,0,IF(INDEX(DarlOhneTilgung,1)=1,IF(INDEX(DarlBindung,1)="",1,$G44),IF($J44&gt;0.005,1,0)))</f>
      </c>
      <c r="J44" s="43">
        <f>IF($I43=0,0,$R43)</f>
      </c>
      <c r="K44" s="43">
        <f>IF($I44=0,0,IF(INDEX(DarlOhneTilgung,1)=1,0,IF(AND(INDEX(DarlTilgStart,1)&gt;0,$E44=INDEX(DarlTilgStart,1)),$J44*($H44+INDEX(DarlTilgung,1))/100/12,IF(AND($G44=0,$G43=1),MAX($K43,$J44*($H44+1)/100/12),$K43))))</f>
      </c>
      <c r="L44" s="43">
        <f>IF($I44=0,0,$J44*$H44/100/12)</f>
      </c>
      <c r="M44" s="43">
        <f>IF($I44=0,0,IF(OR(INDEX(DarlOhneTilgung,1)=1,AND(INDEX(DarlTilgStart,1)&gt;0,$E44&lt;INDEX(DarlTilgStart,1))),0,MIN(MAX(0,$K44-$L44),$J44)))</f>
      </c>
      <c r="N44" s="43">
        <f>IF($I44=0,0,MIN(SUMIFS(SondBetrag,SondDarl,1,SondDatum,"&gt;="&amp;$E44,SondDatum,"&lt;="&amp;EOMONTH($E44,0)),$J44-$M44))</f>
      </c>
      <c r="O44" s="43">
        <f>IF($I44=0,0,INDEX(DarlErsatzRate,1))</f>
      </c>
      <c r="P44" s="43">
        <f>IF($I44=0,0,$Q43*INDEX(DarlErsatzZins,1))</f>
      </c>
      <c r="Q44" s="43">
        <f>IF($I44=0,0,$Q43+$P44+$O44)</f>
      </c>
      <c r="R44" s="43">
        <f>IF($I44=0,0,$J44-$M44-$N44)</f>
      </c>
    </row>
    <row r="45">
      <c r="A45"/>
      <c r="B45">
        <v>1</v>
      </c>
      <c r="C45" s="43">
        <f>INDEX(DarlObj,1)</f>
      </c>
      <c r="D45">
        <v>42</v>
      </c>
      <c r="E45" s="51">
        <f>IF(INDEX(DarlBelegt,1)=0,0,EOMONTH(INDEX(DarlAuszahlung,1),41)+1)</f>
      </c>
      <c r="F45" s="43">
        <f>IF($E45=0,0,YEAR($E45))</f>
      </c>
      <c r="G45" s="43">
        <f>IF(INDEX(DarlBindung,1)="",1,IF($E45&lt;=INDEX(DarlBindung,1),1,0))</f>
      </c>
      <c r="H45" s="43">
        <f>IF($G45=1,INDEX(DarlSollzins,1),INDEX(DarlAnschluss,1))</f>
      </c>
      <c r="I45" s="43">
        <f>IF(INDEX(DarlBelegt,1)=0,0,IF(INDEX(DarlOhneTilgung,1)=1,IF(INDEX(DarlBindung,1)="",1,$G45),IF($J45&gt;0.005,1,0)))</f>
      </c>
      <c r="J45" s="43">
        <f>IF($I44=0,0,$R44)</f>
      </c>
      <c r="K45" s="43">
        <f>IF($I45=0,0,IF(INDEX(DarlOhneTilgung,1)=1,0,IF(AND(INDEX(DarlTilgStart,1)&gt;0,$E45=INDEX(DarlTilgStart,1)),$J45*($H45+INDEX(DarlTilgung,1))/100/12,IF(AND($G45=0,$G44=1),MAX($K44,$J45*($H45+1)/100/12),$K44))))</f>
      </c>
      <c r="L45" s="43">
        <f>IF($I45=0,0,$J45*$H45/100/12)</f>
      </c>
      <c r="M45" s="43">
        <f>IF($I45=0,0,IF(OR(INDEX(DarlOhneTilgung,1)=1,AND(INDEX(DarlTilgStart,1)&gt;0,$E45&lt;INDEX(DarlTilgStart,1))),0,MIN(MAX(0,$K45-$L45),$J45)))</f>
      </c>
      <c r="N45" s="43">
        <f>IF($I45=0,0,MIN(SUMIFS(SondBetrag,SondDarl,1,SondDatum,"&gt;="&amp;$E45,SondDatum,"&lt;="&amp;EOMONTH($E45,0)),$J45-$M45))</f>
      </c>
      <c r="O45" s="43">
        <f>IF($I45=0,0,INDEX(DarlErsatzRate,1))</f>
      </c>
      <c r="P45" s="43">
        <f>IF($I45=0,0,$Q44*INDEX(DarlErsatzZins,1))</f>
      </c>
      <c r="Q45" s="43">
        <f>IF($I45=0,0,$Q44+$P45+$O45)</f>
      </c>
      <c r="R45" s="43">
        <f>IF($I45=0,0,$J45-$M45-$N45)</f>
      </c>
    </row>
    <row r="46">
      <c r="A46"/>
      <c r="B46">
        <v>1</v>
      </c>
      <c r="C46" s="43">
        <f>INDEX(DarlObj,1)</f>
      </c>
      <c r="D46">
        <v>43</v>
      </c>
      <c r="E46" s="51">
        <f>IF(INDEX(DarlBelegt,1)=0,0,EOMONTH(INDEX(DarlAuszahlung,1),42)+1)</f>
      </c>
      <c r="F46" s="43">
        <f>IF($E46=0,0,YEAR($E46))</f>
      </c>
      <c r="G46" s="43">
        <f>IF(INDEX(DarlBindung,1)="",1,IF($E46&lt;=INDEX(DarlBindung,1),1,0))</f>
      </c>
      <c r="H46" s="43">
        <f>IF($G46=1,INDEX(DarlSollzins,1),INDEX(DarlAnschluss,1))</f>
      </c>
      <c r="I46" s="43">
        <f>IF(INDEX(DarlBelegt,1)=0,0,IF(INDEX(DarlOhneTilgung,1)=1,IF(INDEX(DarlBindung,1)="",1,$G46),IF($J46&gt;0.005,1,0)))</f>
      </c>
      <c r="J46" s="43">
        <f>IF($I45=0,0,$R45)</f>
      </c>
      <c r="K46" s="43">
        <f>IF($I46=0,0,IF(INDEX(DarlOhneTilgung,1)=1,0,IF(AND(INDEX(DarlTilgStart,1)&gt;0,$E46=INDEX(DarlTilgStart,1)),$J46*($H46+INDEX(DarlTilgung,1))/100/12,IF(AND($G46=0,$G45=1),MAX($K45,$J46*($H46+1)/100/12),$K45))))</f>
      </c>
      <c r="L46" s="43">
        <f>IF($I46=0,0,$J46*$H46/100/12)</f>
      </c>
      <c r="M46" s="43">
        <f>IF($I46=0,0,IF(OR(INDEX(DarlOhneTilgung,1)=1,AND(INDEX(DarlTilgStart,1)&gt;0,$E46&lt;INDEX(DarlTilgStart,1))),0,MIN(MAX(0,$K46-$L46),$J46)))</f>
      </c>
      <c r="N46" s="43">
        <f>IF($I46=0,0,MIN(SUMIFS(SondBetrag,SondDarl,1,SondDatum,"&gt;="&amp;$E46,SondDatum,"&lt;="&amp;EOMONTH($E46,0)),$J46-$M46))</f>
      </c>
      <c r="O46" s="43">
        <f>IF($I46=0,0,INDEX(DarlErsatzRate,1))</f>
      </c>
      <c r="P46" s="43">
        <f>IF($I46=0,0,$Q45*INDEX(DarlErsatzZins,1))</f>
      </c>
      <c r="Q46" s="43">
        <f>IF($I46=0,0,$Q45+$P46+$O46)</f>
      </c>
      <c r="R46" s="43">
        <f>IF($I46=0,0,$J46-$M46-$N46)</f>
      </c>
    </row>
    <row r="47">
      <c r="A47"/>
      <c r="B47">
        <v>1</v>
      </c>
      <c r="C47" s="43">
        <f>INDEX(DarlObj,1)</f>
      </c>
      <c r="D47">
        <v>44</v>
      </c>
      <c r="E47" s="51">
        <f>IF(INDEX(DarlBelegt,1)=0,0,EOMONTH(INDEX(DarlAuszahlung,1),43)+1)</f>
      </c>
      <c r="F47" s="43">
        <f>IF($E47=0,0,YEAR($E47))</f>
      </c>
      <c r="G47" s="43">
        <f>IF(INDEX(DarlBindung,1)="",1,IF($E47&lt;=INDEX(DarlBindung,1),1,0))</f>
      </c>
      <c r="H47" s="43">
        <f>IF($G47=1,INDEX(DarlSollzins,1),INDEX(DarlAnschluss,1))</f>
      </c>
      <c r="I47" s="43">
        <f>IF(INDEX(DarlBelegt,1)=0,0,IF(INDEX(DarlOhneTilgung,1)=1,IF(INDEX(DarlBindung,1)="",1,$G47),IF($J47&gt;0.005,1,0)))</f>
      </c>
      <c r="J47" s="43">
        <f>IF($I46=0,0,$R46)</f>
      </c>
      <c r="K47" s="43">
        <f>IF($I47=0,0,IF(INDEX(DarlOhneTilgung,1)=1,0,IF(AND(INDEX(DarlTilgStart,1)&gt;0,$E47=INDEX(DarlTilgStart,1)),$J47*($H47+INDEX(DarlTilgung,1))/100/12,IF(AND($G47=0,$G46=1),MAX($K46,$J47*($H47+1)/100/12),$K46))))</f>
      </c>
      <c r="L47" s="43">
        <f>IF($I47=0,0,$J47*$H47/100/12)</f>
      </c>
      <c r="M47" s="43">
        <f>IF($I47=0,0,IF(OR(INDEX(DarlOhneTilgung,1)=1,AND(INDEX(DarlTilgStart,1)&gt;0,$E47&lt;INDEX(DarlTilgStart,1))),0,MIN(MAX(0,$K47-$L47),$J47)))</f>
      </c>
      <c r="N47" s="43">
        <f>IF($I47=0,0,MIN(SUMIFS(SondBetrag,SondDarl,1,SondDatum,"&gt;="&amp;$E47,SondDatum,"&lt;="&amp;EOMONTH($E47,0)),$J47-$M47))</f>
      </c>
      <c r="O47" s="43">
        <f>IF($I47=0,0,INDEX(DarlErsatzRate,1))</f>
      </c>
      <c r="P47" s="43">
        <f>IF($I47=0,0,$Q46*INDEX(DarlErsatzZins,1))</f>
      </c>
      <c r="Q47" s="43">
        <f>IF($I47=0,0,$Q46+$P47+$O47)</f>
      </c>
      <c r="R47" s="43">
        <f>IF($I47=0,0,$J47-$M47-$N47)</f>
      </c>
    </row>
    <row r="48">
      <c r="A48"/>
      <c r="B48">
        <v>1</v>
      </c>
      <c r="C48" s="43">
        <f>INDEX(DarlObj,1)</f>
      </c>
      <c r="D48">
        <v>45</v>
      </c>
      <c r="E48" s="51">
        <f>IF(INDEX(DarlBelegt,1)=0,0,EOMONTH(INDEX(DarlAuszahlung,1),44)+1)</f>
      </c>
      <c r="F48" s="43">
        <f>IF($E48=0,0,YEAR($E48))</f>
      </c>
      <c r="G48" s="43">
        <f>IF(INDEX(DarlBindung,1)="",1,IF($E48&lt;=INDEX(DarlBindung,1),1,0))</f>
      </c>
      <c r="H48" s="43">
        <f>IF($G48=1,INDEX(DarlSollzins,1),INDEX(DarlAnschluss,1))</f>
      </c>
      <c r="I48" s="43">
        <f>IF(INDEX(DarlBelegt,1)=0,0,IF(INDEX(DarlOhneTilgung,1)=1,IF(INDEX(DarlBindung,1)="",1,$G48),IF($J48&gt;0.005,1,0)))</f>
      </c>
      <c r="J48" s="43">
        <f>IF($I47=0,0,$R47)</f>
      </c>
      <c r="K48" s="43">
        <f>IF($I48=0,0,IF(INDEX(DarlOhneTilgung,1)=1,0,IF(AND(INDEX(DarlTilgStart,1)&gt;0,$E48=INDEX(DarlTilgStart,1)),$J48*($H48+INDEX(DarlTilgung,1))/100/12,IF(AND($G48=0,$G47=1),MAX($K47,$J48*($H48+1)/100/12),$K47))))</f>
      </c>
      <c r="L48" s="43">
        <f>IF($I48=0,0,$J48*$H48/100/12)</f>
      </c>
      <c r="M48" s="43">
        <f>IF($I48=0,0,IF(OR(INDEX(DarlOhneTilgung,1)=1,AND(INDEX(DarlTilgStart,1)&gt;0,$E48&lt;INDEX(DarlTilgStart,1))),0,MIN(MAX(0,$K48-$L48),$J48)))</f>
      </c>
      <c r="N48" s="43">
        <f>IF($I48=0,0,MIN(SUMIFS(SondBetrag,SondDarl,1,SondDatum,"&gt;="&amp;$E48,SondDatum,"&lt;="&amp;EOMONTH($E48,0)),$J48-$M48))</f>
      </c>
      <c r="O48" s="43">
        <f>IF($I48=0,0,INDEX(DarlErsatzRate,1))</f>
      </c>
      <c r="P48" s="43">
        <f>IF($I48=0,0,$Q47*INDEX(DarlErsatzZins,1))</f>
      </c>
      <c r="Q48" s="43">
        <f>IF($I48=0,0,$Q47+$P48+$O48)</f>
      </c>
      <c r="R48" s="43">
        <f>IF($I48=0,0,$J48-$M48-$N48)</f>
      </c>
    </row>
    <row r="49">
      <c r="A49"/>
      <c r="B49">
        <v>1</v>
      </c>
      <c r="C49" s="43">
        <f>INDEX(DarlObj,1)</f>
      </c>
      <c r="D49">
        <v>46</v>
      </c>
      <c r="E49" s="51">
        <f>IF(INDEX(DarlBelegt,1)=0,0,EOMONTH(INDEX(DarlAuszahlung,1),45)+1)</f>
      </c>
      <c r="F49" s="43">
        <f>IF($E49=0,0,YEAR($E49))</f>
      </c>
      <c r="G49" s="43">
        <f>IF(INDEX(DarlBindung,1)="",1,IF($E49&lt;=INDEX(DarlBindung,1),1,0))</f>
      </c>
      <c r="H49" s="43">
        <f>IF($G49=1,INDEX(DarlSollzins,1),INDEX(DarlAnschluss,1))</f>
      </c>
      <c r="I49" s="43">
        <f>IF(INDEX(DarlBelegt,1)=0,0,IF(INDEX(DarlOhneTilgung,1)=1,IF(INDEX(DarlBindung,1)="",1,$G49),IF($J49&gt;0.005,1,0)))</f>
      </c>
      <c r="J49" s="43">
        <f>IF($I48=0,0,$R48)</f>
      </c>
      <c r="K49" s="43">
        <f>IF($I49=0,0,IF(INDEX(DarlOhneTilgung,1)=1,0,IF(AND(INDEX(DarlTilgStart,1)&gt;0,$E49=INDEX(DarlTilgStart,1)),$J49*($H49+INDEX(DarlTilgung,1))/100/12,IF(AND($G49=0,$G48=1),MAX($K48,$J49*($H49+1)/100/12),$K48))))</f>
      </c>
      <c r="L49" s="43">
        <f>IF($I49=0,0,$J49*$H49/100/12)</f>
      </c>
      <c r="M49" s="43">
        <f>IF($I49=0,0,IF(OR(INDEX(DarlOhneTilgung,1)=1,AND(INDEX(DarlTilgStart,1)&gt;0,$E49&lt;INDEX(DarlTilgStart,1))),0,MIN(MAX(0,$K49-$L49),$J49)))</f>
      </c>
      <c r="N49" s="43">
        <f>IF($I49=0,0,MIN(SUMIFS(SondBetrag,SondDarl,1,SondDatum,"&gt;="&amp;$E49,SondDatum,"&lt;="&amp;EOMONTH($E49,0)),$J49-$M49))</f>
      </c>
      <c r="O49" s="43">
        <f>IF($I49=0,0,INDEX(DarlErsatzRate,1))</f>
      </c>
      <c r="P49" s="43">
        <f>IF($I49=0,0,$Q48*INDEX(DarlErsatzZins,1))</f>
      </c>
      <c r="Q49" s="43">
        <f>IF($I49=0,0,$Q48+$P49+$O49)</f>
      </c>
      <c r="R49" s="43">
        <f>IF($I49=0,0,$J49-$M49-$N49)</f>
      </c>
    </row>
    <row r="50">
      <c r="A50"/>
      <c r="B50">
        <v>1</v>
      </c>
      <c r="C50" s="43">
        <f>INDEX(DarlObj,1)</f>
      </c>
      <c r="D50">
        <v>47</v>
      </c>
      <c r="E50" s="51">
        <f>IF(INDEX(DarlBelegt,1)=0,0,EOMONTH(INDEX(DarlAuszahlung,1),46)+1)</f>
      </c>
      <c r="F50" s="43">
        <f>IF($E50=0,0,YEAR($E50))</f>
      </c>
      <c r="G50" s="43">
        <f>IF(INDEX(DarlBindung,1)="",1,IF($E50&lt;=INDEX(DarlBindung,1),1,0))</f>
      </c>
      <c r="H50" s="43">
        <f>IF($G50=1,INDEX(DarlSollzins,1),INDEX(DarlAnschluss,1))</f>
      </c>
      <c r="I50" s="43">
        <f>IF(INDEX(DarlBelegt,1)=0,0,IF(INDEX(DarlOhneTilgung,1)=1,IF(INDEX(DarlBindung,1)="",1,$G50),IF($J50&gt;0.005,1,0)))</f>
      </c>
      <c r="J50" s="43">
        <f>IF($I49=0,0,$R49)</f>
      </c>
      <c r="K50" s="43">
        <f>IF($I50=0,0,IF(INDEX(DarlOhneTilgung,1)=1,0,IF(AND(INDEX(DarlTilgStart,1)&gt;0,$E50=INDEX(DarlTilgStart,1)),$J50*($H50+INDEX(DarlTilgung,1))/100/12,IF(AND($G50=0,$G49=1),MAX($K49,$J50*($H50+1)/100/12),$K49))))</f>
      </c>
      <c r="L50" s="43">
        <f>IF($I50=0,0,$J50*$H50/100/12)</f>
      </c>
      <c r="M50" s="43">
        <f>IF($I50=0,0,IF(OR(INDEX(DarlOhneTilgung,1)=1,AND(INDEX(DarlTilgStart,1)&gt;0,$E50&lt;INDEX(DarlTilgStart,1))),0,MIN(MAX(0,$K50-$L50),$J50)))</f>
      </c>
      <c r="N50" s="43">
        <f>IF($I50=0,0,MIN(SUMIFS(SondBetrag,SondDarl,1,SondDatum,"&gt;="&amp;$E50,SondDatum,"&lt;="&amp;EOMONTH($E50,0)),$J50-$M50))</f>
      </c>
      <c r="O50" s="43">
        <f>IF($I50=0,0,INDEX(DarlErsatzRate,1))</f>
      </c>
      <c r="P50" s="43">
        <f>IF($I50=0,0,$Q49*INDEX(DarlErsatzZins,1))</f>
      </c>
      <c r="Q50" s="43">
        <f>IF($I50=0,0,$Q49+$P50+$O50)</f>
      </c>
      <c r="R50" s="43">
        <f>IF($I50=0,0,$J50-$M50-$N50)</f>
      </c>
    </row>
    <row r="51">
      <c r="A51"/>
      <c r="B51">
        <v>1</v>
      </c>
      <c r="C51" s="43">
        <f>INDEX(DarlObj,1)</f>
      </c>
      <c r="D51">
        <v>48</v>
      </c>
      <c r="E51" s="51">
        <f>IF(INDEX(DarlBelegt,1)=0,0,EOMONTH(INDEX(DarlAuszahlung,1),47)+1)</f>
      </c>
      <c r="F51" s="43">
        <f>IF($E51=0,0,YEAR($E51))</f>
      </c>
      <c r="G51" s="43">
        <f>IF(INDEX(DarlBindung,1)="",1,IF($E51&lt;=INDEX(DarlBindung,1),1,0))</f>
      </c>
      <c r="H51" s="43">
        <f>IF($G51=1,INDEX(DarlSollzins,1),INDEX(DarlAnschluss,1))</f>
      </c>
      <c r="I51" s="43">
        <f>IF(INDEX(DarlBelegt,1)=0,0,IF(INDEX(DarlOhneTilgung,1)=1,IF(INDEX(DarlBindung,1)="",1,$G51),IF($J51&gt;0.005,1,0)))</f>
      </c>
      <c r="J51" s="43">
        <f>IF($I50=0,0,$R50)</f>
      </c>
      <c r="K51" s="43">
        <f>IF($I51=0,0,IF(INDEX(DarlOhneTilgung,1)=1,0,IF(AND(INDEX(DarlTilgStart,1)&gt;0,$E51=INDEX(DarlTilgStart,1)),$J51*($H51+INDEX(DarlTilgung,1))/100/12,IF(AND($G51=0,$G50=1),MAX($K50,$J51*($H51+1)/100/12),$K50))))</f>
      </c>
      <c r="L51" s="43">
        <f>IF($I51=0,0,$J51*$H51/100/12)</f>
      </c>
      <c r="M51" s="43">
        <f>IF($I51=0,0,IF(OR(INDEX(DarlOhneTilgung,1)=1,AND(INDEX(DarlTilgStart,1)&gt;0,$E51&lt;INDEX(DarlTilgStart,1))),0,MIN(MAX(0,$K51-$L51),$J51)))</f>
      </c>
      <c r="N51" s="43">
        <f>IF($I51=0,0,MIN(SUMIFS(SondBetrag,SondDarl,1,SondDatum,"&gt;="&amp;$E51,SondDatum,"&lt;="&amp;EOMONTH($E51,0)),$J51-$M51))</f>
      </c>
      <c r="O51" s="43">
        <f>IF($I51=0,0,INDEX(DarlErsatzRate,1))</f>
      </c>
      <c r="P51" s="43">
        <f>IF($I51=0,0,$Q50*INDEX(DarlErsatzZins,1))</f>
      </c>
      <c r="Q51" s="43">
        <f>IF($I51=0,0,$Q50+$P51+$O51)</f>
      </c>
      <c r="R51" s="43">
        <f>IF($I51=0,0,$J51-$M51-$N51)</f>
      </c>
    </row>
    <row r="52">
      <c r="A52"/>
      <c r="B52">
        <v>1</v>
      </c>
      <c r="C52" s="43">
        <f>INDEX(DarlObj,1)</f>
      </c>
      <c r="D52">
        <v>49</v>
      </c>
      <c r="E52" s="51">
        <f>IF(INDEX(DarlBelegt,1)=0,0,EOMONTH(INDEX(DarlAuszahlung,1),48)+1)</f>
      </c>
      <c r="F52" s="43">
        <f>IF($E52=0,0,YEAR($E52))</f>
      </c>
      <c r="G52" s="43">
        <f>IF(INDEX(DarlBindung,1)="",1,IF($E52&lt;=INDEX(DarlBindung,1),1,0))</f>
      </c>
      <c r="H52" s="43">
        <f>IF($G52=1,INDEX(DarlSollzins,1),INDEX(DarlAnschluss,1))</f>
      </c>
      <c r="I52" s="43">
        <f>IF(INDEX(DarlBelegt,1)=0,0,IF(INDEX(DarlOhneTilgung,1)=1,IF(INDEX(DarlBindung,1)="",1,$G52),IF($J52&gt;0.005,1,0)))</f>
      </c>
      <c r="J52" s="43">
        <f>IF($I51=0,0,$R51)</f>
      </c>
      <c r="K52" s="43">
        <f>IF($I52=0,0,IF(INDEX(DarlOhneTilgung,1)=1,0,IF(AND(INDEX(DarlTilgStart,1)&gt;0,$E52=INDEX(DarlTilgStart,1)),$J52*($H52+INDEX(DarlTilgung,1))/100/12,IF(AND($G52=0,$G51=1),MAX($K51,$J52*($H52+1)/100/12),$K51))))</f>
      </c>
      <c r="L52" s="43">
        <f>IF($I52=0,0,$J52*$H52/100/12)</f>
      </c>
      <c r="M52" s="43">
        <f>IF($I52=0,0,IF(OR(INDEX(DarlOhneTilgung,1)=1,AND(INDEX(DarlTilgStart,1)&gt;0,$E52&lt;INDEX(DarlTilgStart,1))),0,MIN(MAX(0,$K52-$L52),$J52)))</f>
      </c>
      <c r="N52" s="43">
        <f>IF($I52=0,0,MIN(SUMIFS(SondBetrag,SondDarl,1,SondDatum,"&gt;="&amp;$E52,SondDatum,"&lt;="&amp;EOMONTH($E52,0)),$J52-$M52))</f>
      </c>
      <c r="O52" s="43">
        <f>IF($I52=0,0,INDEX(DarlErsatzRate,1))</f>
      </c>
      <c r="P52" s="43">
        <f>IF($I52=0,0,$Q51*INDEX(DarlErsatzZins,1))</f>
      </c>
      <c r="Q52" s="43">
        <f>IF($I52=0,0,$Q51+$P52+$O52)</f>
      </c>
      <c r="R52" s="43">
        <f>IF($I52=0,0,$J52-$M52-$N52)</f>
      </c>
    </row>
    <row r="53">
      <c r="A53"/>
      <c r="B53">
        <v>1</v>
      </c>
      <c r="C53" s="43">
        <f>INDEX(DarlObj,1)</f>
      </c>
      <c r="D53">
        <v>50</v>
      </c>
      <c r="E53" s="51">
        <f>IF(INDEX(DarlBelegt,1)=0,0,EOMONTH(INDEX(DarlAuszahlung,1),49)+1)</f>
      </c>
      <c r="F53" s="43">
        <f>IF($E53=0,0,YEAR($E53))</f>
      </c>
      <c r="G53" s="43">
        <f>IF(INDEX(DarlBindung,1)="",1,IF($E53&lt;=INDEX(DarlBindung,1),1,0))</f>
      </c>
      <c r="H53" s="43">
        <f>IF($G53=1,INDEX(DarlSollzins,1),INDEX(DarlAnschluss,1))</f>
      </c>
      <c r="I53" s="43">
        <f>IF(INDEX(DarlBelegt,1)=0,0,IF(INDEX(DarlOhneTilgung,1)=1,IF(INDEX(DarlBindung,1)="",1,$G53),IF($J53&gt;0.005,1,0)))</f>
      </c>
      <c r="J53" s="43">
        <f>IF($I52=0,0,$R52)</f>
      </c>
      <c r="K53" s="43">
        <f>IF($I53=0,0,IF(INDEX(DarlOhneTilgung,1)=1,0,IF(AND(INDEX(DarlTilgStart,1)&gt;0,$E53=INDEX(DarlTilgStart,1)),$J53*($H53+INDEX(DarlTilgung,1))/100/12,IF(AND($G53=0,$G52=1),MAX($K52,$J53*($H53+1)/100/12),$K52))))</f>
      </c>
      <c r="L53" s="43">
        <f>IF($I53=0,0,$J53*$H53/100/12)</f>
      </c>
      <c r="M53" s="43">
        <f>IF($I53=0,0,IF(OR(INDEX(DarlOhneTilgung,1)=1,AND(INDEX(DarlTilgStart,1)&gt;0,$E53&lt;INDEX(DarlTilgStart,1))),0,MIN(MAX(0,$K53-$L53),$J53)))</f>
      </c>
      <c r="N53" s="43">
        <f>IF($I53=0,0,MIN(SUMIFS(SondBetrag,SondDarl,1,SondDatum,"&gt;="&amp;$E53,SondDatum,"&lt;="&amp;EOMONTH($E53,0)),$J53-$M53))</f>
      </c>
      <c r="O53" s="43">
        <f>IF($I53=0,0,INDEX(DarlErsatzRate,1))</f>
      </c>
      <c r="P53" s="43">
        <f>IF($I53=0,0,$Q52*INDEX(DarlErsatzZins,1))</f>
      </c>
      <c r="Q53" s="43">
        <f>IF($I53=0,0,$Q52+$P53+$O53)</f>
      </c>
      <c r="R53" s="43">
        <f>IF($I53=0,0,$J53-$M53-$N53)</f>
      </c>
    </row>
    <row r="54">
      <c r="A54"/>
      <c r="B54">
        <v>1</v>
      </c>
      <c r="C54" s="43">
        <f>INDEX(DarlObj,1)</f>
      </c>
      <c r="D54">
        <v>51</v>
      </c>
      <c r="E54" s="51">
        <f>IF(INDEX(DarlBelegt,1)=0,0,EOMONTH(INDEX(DarlAuszahlung,1),50)+1)</f>
      </c>
      <c r="F54" s="43">
        <f>IF($E54=0,0,YEAR($E54))</f>
      </c>
      <c r="G54" s="43">
        <f>IF(INDEX(DarlBindung,1)="",1,IF($E54&lt;=INDEX(DarlBindung,1),1,0))</f>
      </c>
      <c r="H54" s="43">
        <f>IF($G54=1,INDEX(DarlSollzins,1),INDEX(DarlAnschluss,1))</f>
      </c>
      <c r="I54" s="43">
        <f>IF(INDEX(DarlBelegt,1)=0,0,IF(INDEX(DarlOhneTilgung,1)=1,IF(INDEX(DarlBindung,1)="",1,$G54),IF($J54&gt;0.005,1,0)))</f>
      </c>
      <c r="J54" s="43">
        <f>IF($I53=0,0,$R53)</f>
      </c>
      <c r="K54" s="43">
        <f>IF($I54=0,0,IF(INDEX(DarlOhneTilgung,1)=1,0,IF(AND(INDEX(DarlTilgStart,1)&gt;0,$E54=INDEX(DarlTilgStart,1)),$J54*($H54+INDEX(DarlTilgung,1))/100/12,IF(AND($G54=0,$G53=1),MAX($K53,$J54*($H54+1)/100/12),$K53))))</f>
      </c>
      <c r="L54" s="43">
        <f>IF($I54=0,0,$J54*$H54/100/12)</f>
      </c>
      <c r="M54" s="43">
        <f>IF($I54=0,0,IF(OR(INDEX(DarlOhneTilgung,1)=1,AND(INDEX(DarlTilgStart,1)&gt;0,$E54&lt;INDEX(DarlTilgStart,1))),0,MIN(MAX(0,$K54-$L54),$J54)))</f>
      </c>
      <c r="N54" s="43">
        <f>IF($I54=0,0,MIN(SUMIFS(SondBetrag,SondDarl,1,SondDatum,"&gt;="&amp;$E54,SondDatum,"&lt;="&amp;EOMONTH($E54,0)),$J54-$M54))</f>
      </c>
      <c r="O54" s="43">
        <f>IF($I54=0,0,INDEX(DarlErsatzRate,1))</f>
      </c>
      <c r="P54" s="43">
        <f>IF($I54=0,0,$Q53*INDEX(DarlErsatzZins,1))</f>
      </c>
      <c r="Q54" s="43">
        <f>IF($I54=0,0,$Q53+$P54+$O54)</f>
      </c>
      <c r="R54" s="43">
        <f>IF($I54=0,0,$J54-$M54-$N54)</f>
      </c>
    </row>
    <row r="55">
      <c r="A55"/>
      <c r="B55">
        <v>1</v>
      </c>
      <c r="C55" s="43">
        <f>INDEX(DarlObj,1)</f>
      </c>
      <c r="D55">
        <v>52</v>
      </c>
      <c r="E55" s="51">
        <f>IF(INDEX(DarlBelegt,1)=0,0,EOMONTH(INDEX(DarlAuszahlung,1),51)+1)</f>
      </c>
      <c r="F55" s="43">
        <f>IF($E55=0,0,YEAR($E55))</f>
      </c>
      <c r="G55" s="43">
        <f>IF(INDEX(DarlBindung,1)="",1,IF($E55&lt;=INDEX(DarlBindung,1),1,0))</f>
      </c>
      <c r="H55" s="43">
        <f>IF($G55=1,INDEX(DarlSollzins,1),INDEX(DarlAnschluss,1))</f>
      </c>
      <c r="I55" s="43">
        <f>IF(INDEX(DarlBelegt,1)=0,0,IF(INDEX(DarlOhneTilgung,1)=1,IF(INDEX(DarlBindung,1)="",1,$G55),IF($J55&gt;0.005,1,0)))</f>
      </c>
      <c r="J55" s="43">
        <f>IF($I54=0,0,$R54)</f>
      </c>
      <c r="K55" s="43">
        <f>IF($I55=0,0,IF(INDEX(DarlOhneTilgung,1)=1,0,IF(AND(INDEX(DarlTilgStart,1)&gt;0,$E55=INDEX(DarlTilgStart,1)),$J55*($H55+INDEX(DarlTilgung,1))/100/12,IF(AND($G55=0,$G54=1),MAX($K54,$J55*($H55+1)/100/12),$K54))))</f>
      </c>
      <c r="L55" s="43">
        <f>IF($I55=0,0,$J55*$H55/100/12)</f>
      </c>
      <c r="M55" s="43">
        <f>IF($I55=0,0,IF(OR(INDEX(DarlOhneTilgung,1)=1,AND(INDEX(DarlTilgStart,1)&gt;0,$E55&lt;INDEX(DarlTilgStart,1))),0,MIN(MAX(0,$K55-$L55),$J55)))</f>
      </c>
      <c r="N55" s="43">
        <f>IF($I55=0,0,MIN(SUMIFS(SondBetrag,SondDarl,1,SondDatum,"&gt;="&amp;$E55,SondDatum,"&lt;="&amp;EOMONTH($E55,0)),$J55-$M55))</f>
      </c>
      <c r="O55" s="43">
        <f>IF($I55=0,0,INDEX(DarlErsatzRate,1))</f>
      </c>
      <c r="P55" s="43">
        <f>IF($I55=0,0,$Q54*INDEX(DarlErsatzZins,1))</f>
      </c>
      <c r="Q55" s="43">
        <f>IF($I55=0,0,$Q54+$P55+$O55)</f>
      </c>
      <c r="R55" s="43">
        <f>IF($I55=0,0,$J55-$M55-$N55)</f>
      </c>
    </row>
    <row r="56">
      <c r="A56"/>
      <c r="B56">
        <v>1</v>
      </c>
      <c r="C56" s="43">
        <f>INDEX(DarlObj,1)</f>
      </c>
      <c r="D56">
        <v>53</v>
      </c>
      <c r="E56" s="51">
        <f>IF(INDEX(DarlBelegt,1)=0,0,EOMONTH(INDEX(DarlAuszahlung,1),52)+1)</f>
      </c>
      <c r="F56" s="43">
        <f>IF($E56=0,0,YEAR($E56))</f>
      </c>
      <c r="G56" s="43">
        <f>IF(INDEX(DarlBindung,1)="",1,IF($E56&lt;=INDEX(DarlBindung,1),1,0))</f>
      </c>
      <c r="H56" s="43">
        <f>IF($G56=1,INDEX(DarlSollzins,1),INDEX(DarlAnschluss,1))</f>
      </c>
      <c r="I56" s="43">
        <f>IF(INDEX(DarlBelegt,1)=0,0,IF(INDEX(DarlOhneTilgung,1)=1,IF(INDEX(DarlBindung,1)="",1,$G56),IF($J56&gt;0.005,1,0)))</f>
      </c>
      <c r="J56" s="43">
        <f>IF($I55=0,0,$R55)</f>
      </c>
      <c r="K56" s="43">
        <f>IF($I56=0,0,IF(INDEX(DarlOhneTilgung,1)=1,0,IF(AND(INDEX(DarlTilgStart,1)&gt;0,$E56=INDEX(DarlTilgStart,1)),$J56*($H56+INDEX(DarlTilgung,1))/100/12,IF(AND($G56=0,$G55=1),MAX($K55,$J56*($H56+1)/100/12),$K55))))</f>
      </c>
      <c r="L56" s="43">
        <f>IF($I56=0,0,$J56*$H56/100/12)</f>
      </c>
      <c r="M56" s="43">
        <f>IF($I56=0,0,IF(OR(INDEX(DarlOhneTilgung,1)=1,AND(INDEX(DarlTilgStart,1)&gt;0,$E56&lt;INDEX(DarlTilgStart,1))),0,MIN(MAX(0,$K56-$L56),$J56)))</f>
      </c>
      <c r="N56" s="43">
        <f>IF($I56=0,0,MIN(SUMIFS(SondBetrag,SondDarl,1,SondDatum,"&gt;="&amp;$E56,SondDatum,"&lt;="&amp;EOMONTH($E56,0)),$J56-$M56))</f>
      </c>
      <c r="O56" s="43">
        <f>IF($I56=0,0,INDEX(DarlErsatzRate,1))</f>
      </c>
      <c r="P56" s="43">
        <f>IF($I56=0,0,$Q55*INDEX(DarlErsatzZins,1))</f>
      </c>
      <c r="Q56" s="43">
        <f>IF($I56=0,0,$Q55+$P56+$O56)</f>
      </c>
      <c r="R56" s="43">
        <f>IF($I56=0,0,$J56-$M56-$N56)</f>
      </c>
    </row>
    <row r="57">
      <c r="A57"/>
      <c r="B57">
        <v>1</v>
      </c>
      <c r="C57" s="43">
        <f>INDEX(DarlObj,1)</f>
      </c>
      <c r="D57">
        <v>54</v>
      </c>
      <c r="E57" s="51">
        <f>IF(INDEX(DarlBelegt,1)=0,0,EOMONTH(INDEX(DarlAuszahlung,1),53)+1)</f>
      </c>
      <c r="F57" s="43">
        <f>IF($E57=0,0,YEAR($E57))</f>
      </c>
      <c r="G57" s="43">
        <f>IF(INDEX(DarlBindung,1)="",1,IF($E57&lt;=INDEX(DarlBindung,1),1,0))</f>
      </c>
      <c r="H57" s="43">
        <f>IF($G57=1,INDEX(DarlSollzins,1),INDEX(DarlAnschluss,1))</f>
      </c>
      <c r="I57" s="43">
        <f>IF(INDEX(DarlBelegt,1)=0,0,IF(INDEX(DarlOhneTilgung,1)=1,IF(INDEX(DarlBindung,1)="",1,$G57),IF($J57&gt;0.005,1,0)))</f>
      </c>
      <c r="J57" s="43">
        <f>IF($I56=0,0,$R56)</f>
      </c>
      <c r="K57" s="43">
        <f>IF($I57=0,0,IF(INDEX(DarlOhneTilgung,1)=1,0,IF(AND(INDEX(DarlTilgStart,1)&gt;0,$E57=INDEX(DarlTilgStart,1)),$J57*($H57+INDEX(DarlTilgung,1))/100/12,IF(AND($G57=0,$G56=1),MAX($K56,$J57*($H57+1)/100/12),$K56))))</f>
      </c>
      <c r="L57" s="43">
        <f>IF($I57=0,0,$J57*$H57/100/12)</f>
      </c>
      <c r="M57" s="43">
        <f>IF($I57=0,0,IF(OR(INDEX(DarlOhneTilgung,1)=1,AND(INDEX(DarlTilgStart,1)&gt;0,$E57&lt;INDEX(DarlTilgStart,1))),0,MIN(MAX(0,$K57-$L57),$J57)))</f>
      </c>
      <c r="N57" s="43">
        <f>IF($I57=0,0,MIN(SUMIFS(SondBetrag,SondDarl,1,SondDatum,"&gt;="&amp;$E57,SondDatum,"&lt;="&amp;EOMONTH($E57,0)),$J57-$M57))</f>
      </c>
      <c r="O57" s="43">
        <f>IF($I57=0,0,INDEX(DarlErsatzRate,1))</f>
      </c>
      <c r="P57" s="43">
        <f>IF($I57=0,0,$Q56*INDEX(DarlErsatzZins,1))</f>
      </c>
      <c r="Q57" s="43">
        <f>IF($I57=0,0,$Q56+$P57+$O57)</f>
      </c>
      <c r="R57" s="43">
        <f>IF($I57=0,0,$J57-$M57-$N57)</f>
      </c>
    </row>
    <row r="58">
      <c r="A58"/>
      <c r="B58">
        <v>1</v>
      </c>
      <c r="C58" s="43">
        <f>INDEX(DarlObj,1)</f>
      </c>
      <c r="D58">
        <v>55</v>
      </c>
      <c r="E58" s="51">
        <f>IF(INDEX(DarlBelegt,1)=0,0,EOMONTH(INDEX(DarlAuszahlung,1),54)+1)</f>
      </c>
      <c r="F58" s="43">
        <f>IF($E58=0,0,YEAR($E58))</f>
      </c>
      <c r="G58" s="43">
        <f>IF(INDEX(DarlBindung,1)="",1,IF($E58&lt;=INDEX(DarlBindung,1),1,0))</f>
      </c>
      <c r="H58" s="43">
        <f>IF($G58=1,INDEX(DarlSollzins,1),INDEX(DarlAnschluss,1))</f>
      </c>
      <c r="I58" s="43">
        <f>IF(INDEX(DarlBelegt,1)=0,0,IF(INDEX(DarlOhneTilgung,1)=1,IF(INDEX(DarlBindung,1)="",1,$G58),IF($J58&gt;0.005,1,0)))</f>
      </c>
      <c r="J58" s="43">
        <f>IF($I57=0,0,$R57)</f>
      </c>
      <c r="K58" s="43">
        <f>IF($I58=0,0,IF(INDEX(DarlOhneTilgung,1)=1,0,IF(AND(INDEX(DarlTilgStart,1)&gt;0,$E58=INDEX(DarlTilgStart,1)),$J58*($H58+INDEX(DarlTilgung,1))/100/12,IF(AND($G58=0,$G57=1),MAX($K57,$J58*($H58+1)/100/12),$K57))))</f>
      </c>
      <c r="L58" s="43">
        <f>IF($I58=0,0,$J58*$H58/100/12)</f>
      </c>
      <c r="M58" s="43">
        <f>IF($I58=0,0,IF(OR(INDEX(DarlOhneTilgung,1)=1,AND(INDEX(DarlTilgStart,1)&gt;0,$E58&lt;INDEX(DarlTilgStart,1))),0,MIN(MAX(0,$K58-$L58),$J58)))</f>
      </c>
      <c r="N58" s="43">
        <f>IF($I58=0,0,MIN(SUMIFS(SondBetrag,SondDarl,1,SondDatum,"&gt;="&amp;$E58,SondDatum,"&lt;="&amp;EOMONTH($E58,0)),$J58-$M58))</f>
      </c>
      <c r="O58" s="43">
        <f>IF($I58=0,0,INDEX(DarlErsatzRate,1))</f>
      </c>
      <c r="P58" s="43">
        <f>IF($I58=0,0,$Q57*INDEX(DarlErsatzZins,1))</f>
      </c>
      <c r="Q58" s="43">
        <f>IF($I58=0,0,$Q57+$P58+$O58)</f>
      </c>
      <c r="R58" s="43">
        <f>IF($I58=0,0,$J58-$M58-$N58)</f>
      </c>
    </row>
    <row r="59">
      <c r="A59"/>
      <c r="B59">
        <v>1</v>
      </c>
      <c r="C59" s="43">
        <f>INDEX(DarlObj,1)</f>
      </c>
      <c r="D59">
        <v>56</v>
      </c>
      <c r="E59" s="51">
        <f>IF(INDEX(DarlBelegt,1)=0,0,EOMONTH(INDEX(DarlAuszahlung,1),55)+1)</f>
      </c>
      <c r="F59" s="43">
        <f>IF($E59=0,0,YEAR($E59))</f>
      </c>
      <c r="G59" s="43">
        <f>IF(INDEX(DarlBindung,1)="",1,IF($E59&lt;=INDEX(DarlBindung,1),1,0))</f>
      </c>
      <c r="H59" s="43">
        <f>IF($G59=1,INDEX(DarlSollzins,1),INDEX(DarlAnschluss,1))</f>
      </c>
      <c r="I59" s="43">
        <f>IF(INDEX(DarlBelegt,1)=0,0,IF(INDEX(DarlOhneTilgung,1)=1,IF(INDEX(DarlBindung,1)="",1,$G59),IF($J59&gt;0.005,1,0)))</f>
      </c>
      <c r="J59" s="43">
        <f>IF($I58=0,0,$R58)</f>
      </c>
      <c r="K59" s="43">
        <f>IF($I59=0,0,IF(INDEX(DarlOhneTilgung,1)=1,0,IF(AND(INDEX(DarlTilgStart,1)&gt;0,$E59=INDEX(DarlTilgStart,1)),$J59*($H59+INDEX(DarlTilgung,1))/100/12,IF(AND($G59=0,$G58=1),MAX($K58,$J59*($H59+1)/100/12),$K58))))</f>
      </c>
      <c r="L59" s="43">
        <f>IF($I59=0,0,$J59*$H59/100/12)</f>
      </c>
      <c r="M59" s="43">
        <f>IF($I59=0,0,IF(OR(INDEX(DarlOhneTilgung,1)=1,AND(INDEX(DarlTilgStart,1)&gt;0,$E59&lt;INDEX(DarlTilgStart,1))),0,MIN(MAX(0,$K59-$L59),$J59)))</f>
      </c>
      <c r="N59" s="43">
        <f>IF($I59=0,0,MIN(SUMIFS(SondBetrag,SondDarl,1,SondDatum,"&gt;="&amp;$E59,SondDatum,"&lt;="&amp;EOMONTH($E59,0)),$J59-$M59))</f>
      </c>
      <c r="O59" s="43">
        <f>IF($I59=0,0,INDEX(DarlErsatzRate,1))</f>
      </c>
      <c r="P59" s="43">
        <f>IF($I59=0,0,$Q58*INDEX(DarlErsatzZins,1))</f>
      </c>
      <c r="Q59" s="43">
        <f>IF($I59=0,0,$Q58+$P59+$O59)</f>
      </c>
      <c r="R59" s="43">
        <f>IF($I59=0,0,$J59-$M59-$N59)</f>
      </c>
    </row>
    <row r="60">
      <c r="A60"/>
      <c r="B60">
        <v>1</v>
      </c>
      <c r="C60" s="43">
        <f>INDEX(DarlObj,1)</f>
      </c>
      <c r="D60">
        <v>57</v>
      </c>
      <c r="E60" s="51">
        <f>IF(INDEX(DarlBelegt,1)=0,0,EOMONTH(INDEX(DarlAuszahlung,1),56)+1)</f>
      </c>
      <c r="F60" s="43">
        <f>IF($E60=0,0,YEAR($E60))</f>
      </c>
      <c r="G60" s="43">
        <f>IF(INDEX(DarlBindung,1)="",1,IF($E60&lt;=INDEX(DarlBindung,1),1,0))</f>
      </c>
      <c r="H60" s="43">
        <f>IF($G60=1,INDEX(DarlSollzins,1),INDEX(DarlAnschluss,1))</f>
      </c>
      <c r="I60" s="43">
        <f>IF(INDEX(DarlBelegt,1)=0,0,IF(INDEX(DarlOhneTilgung,1)=1,IF(INDEX(DarlBindung,1)="",1,$G60),IF($J60&gt;0.005,1,0)))</f>
      </c>
      <c r="J60" s="43">
        <f>IF($I59=0,0,$R59)</f>
      </c>
      <c r="K60" s="43">
        <f>IF($I60=0,0,IF(INDEX(DarlOhneTilgung,1)=1,0,IF(AND(INDEX(DarlTilgStart,1)&gt;0,$E60=INDEX(DarlTilgStart,1)),$J60*($H60+INDEX(DarlTilgung,1))/100/12,IF(AND($G60=0,$G59=1),MAX($K59,$J60*($H60+1)/100/12),$K59))))</f>
      </c>
      <c r="L60" s="43">
        <f>IF($I60=0,0,$J60*$H60/100/12)</f>
      </c>
      <c r="M60" s="43">
        <f>IF($I60=0,0,IF(OR(INDEX(DarlOhneTilgung,1)=1,AND(INDEX(DarlTilgStart,1)&gt;0,$E60&lt;INDEX(DarlTilgStart,1))),0,MIN(MAX(0,$K60-$L60),$J60)))</f>
      </c>
      <c r="N60" s="43">
        <f>IF($I60=0,0,MIN(SUMIFS(SondBetrag,SondDarl,1,SondDatum,"&gt;="&amp;$E60,SondDatum,"&lt;="&amp;EOMONTH($E60,0)),$J60-$M60))</f>
      </c>
      <c r="O60" s="43">
        <f>IF($I60=0,0,INDEX(DarlErsatzRate,1))</f>
      </c>
      <c r="P60" s="43">
        <f>IF($I60=0,0,$Q59*INDEX(DarlErsatzZins,1))</f>
      </c>
      <c r="Q60" s="43">
        <f>IF($I60=0,0,$Q59+$P60+$O60)</f>
      </c>
      <c r="R60" s="43">
        <f>IF($I60=0,0,$J60-$M60-$N60)</f>
      </c>
    </row>
    <row r="61">
      <c r="A61"/>
      <c r="B61">
        <v>1</v>
      </c>
      <c r="C61" s="43">
        <f>INDEX(DarlObj,1)</f>
      </c>
      <c r="D61">
        <v>58</v>
      </c>
      <c r="E61" s="51">
        <f>IF(INDEX(DarlBelegt,1)=0,0,EOMONTH(INDEX(DarlAuszahlung,1),57)+1)</f>
      </c>
      <c r="F61" s="43">
        <f>IF($E61=0,0,YEAR($E61))</f>
      </c>
      <c r="G61" s="43">
        <f>IF(INDEX(DarlBindung,1)="",1,IF($E61&lt;=INDEX(DarlBindung,1),1,0))</f>
      </c>
      <c r="H61" s="43">
        <f>IF($G61=1,INDEX(DarlSollzins,1),INDEX(DarlAnschluss,1))</f>
      </c>
      <c r="I61" s="43">
        <f>IF(INDEX(DarlBelegt,1)=0,0,IF(INDEX(DarlOhneTilgung,1)=1,IF(INDEX(DarlBindung,1)="",1,$G61),IF($J61&gt;0.005,1,0)))</f>
      </c>
      <c r="J61" s="43">
        <f>IF($I60=0,0,$R60)</f>
      </c>
      <c r="K61" s="43">
        <f>IF($I61=0,0,IF(INDEX(DarlOhneTilgung,1)=1,0,IF(AND(INDEX(DarlTilgStart,1)&gt;0,$E61=INDEX(DarlTilgStart,1)),$J61*($H61+INDEX(DarlTilgung,1))/100/12,IF(AND($G61=0,$G60=1),MAX($K60,$J61*($H61+1)/100/12),$K60))))</f>
      </c>
      <c r="L61" s="43">
        <f>IF($I61=0,0,$J61*$H61/100/12)</f>
      </c>
      <c r="M61" s="43">
        <f>IF($I61=0,0,IF(OR(INDEX(DarlOhneTilgung,1)=1,AND(INDEX(DarlTilgStart,1)&gt;0,$E61&lt;INDEX(DarlTilgStart,1))),0,MIN(MAX(0,$K61-$L61),$J61)))</f>
      </c>
      <c r="N61" s="43">
        <f>IF($I61=0,0,MIN(SUMIFS(SondBetrag,SondDarl,1,SondDatum,"&gt;="&amp;$E61,SondDatum,"&lt;="&amp;EOMONTH($E61,0)),$J61-$M61))</f>
      </c>
      <c r="O61" s="43">
        <f>IF($I61=0,0,INDEX(DarlErsatzRate,1))</f>
      </c>
      <c r="P61" s="43">
        <f>IF($I61=0,0,$Q60*INDEX(DarlErsatzZins,1))</f>
      </c>
      <c r="Q61" s="43">
        <f>IF($I61=0,0,$Q60+$P61+$O61)</f>
      </c>
      <c r="R61" s="43">
        <f>IF($I61=0,0,$J61-$M61-$N61)</f>
      </c>
    </row>
    <row r="62">
      <c r="A62"/>
      <c r="B62">
        <v>1</v>
      </c>
      <c r="C62" s="43">
        <f>INDEX(DarlObj,1)</f>
      </c>
      <c r="D62">
        <v>59</v>
      </c>
      <c r="E62" s="51">
        <f>IF(INDEX(DarlBelegt,1)=0,0,EOMONTH(INDEX(DarlAuszahlung,1),58)+1)</f>
      </c>
      <c r="F62" s="43">
        <f>IF($E62=0,0,YEAR($E62))</f>
      </c>
      <c r="G62" s="43">
        <f>IF(INDEX(DarlBindung,1)="",1,IF($E62&lt;=INDEX(DarlBindung,1),1,0))</f>
      </c>
      <c r="H62" s="43">
        <f>IF($G62=1,INDEX(DarlSollzins,1),INDEX(DarlAnschluss,1))</f>
      </c>
      <c r="I62" s="43">
        <f>IF(INDEX(DarlBelegt,1)=0,0,IF(INDEX(DarlOhneTilgung,1)=1,IF(INDEX(DarlBindung,1)="",1,$G62),IF($J62&gt;0.005,1,0)))</f>
      </c>
      <c r="J62" s="43">
        <f>IF($I61=0,0,$R61)</f>
      </c>
      <c r="K62" s="43">
        <f>IF($I62=0,0,IF(INDEX(DarlOhneTilgung,1)=1,0,IF(AND(INDEX(DarlTilgStart,1)&gt;0,$E62=INDEX(DarlTilgStart,1)),$J62*($H62+INDEX(DarlTilgung,1))/100/12,IF(AND($G62=0,$G61=1),MAX($K61,$J62*($H62+1)/100/12),$K61))))</f>
      </c>
      <c r="L62" s="43">
        <f>IF($I62=0,0,$J62*$H62/100/12)</f>
      </c>
      <c r="M62" s="43">
        <f>IF($I62=0,0,IF(OR(INDEX(DarlOhneTilgung,1)=1,AND(INDEX(DarlTilgStart,1)&gt;0,$E62&lt;INDEX(DarlTilgStart,1))),0,MIN(MAX(0,$K62-$L62),$J62)))</f>
      </c>
      <c r="N62" s="43">
        <f>IF($I62=0,0,MIN(SUMIFS(SondBetrag,SondDarl,1,SondDatum,"&gt;="&amp;$E62,SondDatum,"&lt;="&amp;EOMONTH($E62,0)),$J62-$M62))</f>
      </c>
      <c r="O62" s="43">
        <f>IF($I62=0,0,INDEX(DarlErsatzRate,1))</f>
      </c>
      <c r="P62" s="43">
        <f>IF($I62=0,0,$Q61*INDEX(DarlErsatzZins,1))</f>
      </c>
      <c r="Q62" s="43">
        <f>IF($I62=0,0,$Q61+$P62+$O62)</f>
      </c>
      <c r="R62" s="43">
        <f>IF($I62=0,0,$J62-$M62-$N62)</f>
      </c>
    </row>
    <row r="63">
      <c r="A63"/>
      <c r="B63">
        <v>1</v>
      </c>
      <c r="C63" s="43">
        <f>INDEX(DarlObj,1)</f>
      </c>
      <c r="D63">
        <v>60</v>
      </c>
      <c r="E63" s="51">
        <f>IF(INDEX(DarlBelegt,1)=0,0,EOMONTH(INDEX(DarlAuszahlung,1),59)+1)</f>
      </c>
      <c r="F63" s="43">
        <f>IF($E63=0,0,YEAR($E63))</f>
      </c>
      <c r="G63" s="43">
        <f>IF(INDEX(DarlBindung,1)="",1,IF($E63&lt;=INDEX(DarlBindung,1),1,0))</f>
      </c>
      <c r="H63" s="43">
        <f>IF($G63=1,INDEX(DarlSollzins,1),INDEX(DarlAnschluss,1))</f>
      </c>
      <c r="I63" s="43">
        <f>IF(INDEX(DarlBelegt,1)=0,0,IF(INDEX(DarlOhneTilgung,1)=1,IF(INDEX(DarlBindung,1)="",1,$G63),IF($J63&gt;0.005,1,0)))</f>
      </c>
      <c r="J63" s="43">
        <f>IF($I62=0,0,$R62)</f>
      </c>
      <c r="K63" s="43">
        <f>IF($I63=0,0,IF(INDEX(DarlOhneTilgung,1)=1,0,IF(AND(INDEX(DarlTilgStart,1)&gt;0,$E63=INDEX(DarlTilgStart,1)),$J63*($H63+INDEX(DarlTilgung,1))/100/12,IF(AND($G63=0,$G62=1),MAX($K62,$J63*($H63+1)/100/12),$K62))))</f>
      </c>
      <c r="L63" s="43">
        <f>IF($I63=0,0,$J63*$H63/100/12)</f>
      </c>
      <c r="M63" s="43">
        <f>IF($I63=0,0,IF(OR(INDEX(DarlOhneTilgung,1)=1,AND(INDEX(DarlTilgStart,1)&gt;0,$E63&lt;INDEX(DarlTilgStart,1))),0,MIN(MAX(0,$K63-$L63),$J63)))</f>
      </c>
      <c r="N63" s="43">
        <f>IF($I63=0,0,MIN(SUMIFS(SondBetrag,SondDarl,1,SondDatum,"&gt;="&amp;$E63,SondDatum,"&lt;="&amp;EOMONTH($E63,0)),$J63-$M63))</f>
      </c>
      <c r="O63" s="43">
        <f>IF($I63=0,0,INDEX(DarlErsatzRate,1))</f>
      </c>
      <c r="P63" s="43">
        <f>IF($I63=0,0,$Q62*INDEX(DarlErsatzZins,1))</f>
      </c>
      <c r="Q63" s="43">
        <f>IF($I63=0,0,$Q62+$P63+$O63)</f>
      </c>
      <c r="R63" s="43">
        <f>IF($I63=0,0,$J63-$M63-$N63)</f>
      </c>
    </row>
    <row r="64">
      <c r="A64"/>
      <c r="B64">
        <v>1</v>
      </c>
      <c r="C64" s="43">
        <f>INDEX(DarlObj,1)</f>
      </c>
      <c r="D64">
        <v>61</v>
      </c>
      <c r="E64" s="51">
        <f>IF(INDEX(DarlBelegt,1)=0,0,EOMONTH(INDEX(DarlAuszahlung,1),60)+1)</f>
      </c>
      <c r="F64" s="43">
        <f>IF($E64=0,0,YEAR($E64))</f>
      </c>
      <c r="G64" s="43">
        <f>IF(INDEX(DarlBindung,1)="",1,IF($E64&lt;=INDEX(DarlBindung,1),1,0))</f>
      </c>
      <c r="H64" s="43">
        <f>IF($G64=1,INDEX(DarlSollzins,1),INDEX(DarlAnschluss,1))</f>
      </c>
      <c r="I64" s="43">
        <f>IF(INDEX(DarlBelegt,1)=0,0,IF(INDEX(DarlOhneTilgung,1)=1,IF(INDEX(DarlBindung,1)="",1,$G64),IF($J64&gt;0.005,1,0)))</f>
      </c>
      <c r="J64" s="43">
        <f>IF($I63=0,0,$R63)</f>
      </c>
      <c r="K64" s="43">
        <f>IF($I64=0,0,IF(INDEX(DarlOhneTilgung,1)=1,0,IF(AND(INDEX(DarlTilgStart,1)&gt;0,$E64=INDEX(DarlTilgStart,1)),$J64*($H64+INDEX(DarlTilgung,1))/100/12,IF(AND($G64=0,$G63=1),MAX($K63,$J64*($H64+1)/100/12),$K63))))</f>
      </c>
      <c r="L64" s="43">
        <f>IF($I64=0,0,$J64*$H64/100/12)</f>
      </c>
      <c r="M64" s="43">
        <f>IF($I64=0,0,IF(OR(INDEX(DarlOhneTilgung,1)=1,AND(INDEX(DarlTilgStart,1)&gt;0,$E64&lt;INDEX(DarlTilgStart,1))),0,MIN(MAX(0,$K64-$L64),$J64)))</f>
      </c>
      <c r="N64" s="43">
        <f>IF($I64=0,0,MIN(SUMIFS(SondBetrag,SondDarl,1,SondDatum,"&gt;="&amp;$E64,SondDatum,"&lt;="&amp;EOMONTH($E64,0)),$J64-$M64))</f>
      </c>
      <c r="O64" s="43">
        <f>IF($I64=0,0,INDEX(DarlErsatzRate,1))</f>
      </c>
      <c r="P64" s="43">
        <f>IF($I64=0,0,$Q63*INDEX(DarlErsatzZins,1))</f>
      </c>
      <c r="Q64" s="43">
        <f>IF($I64=0,0,$Q63+$P64+$O64)</f>
      </c>
      <c r="R64" s="43">
        <f>IF($I64=0,0,$J64-$M64-$N64)</f>
      </c>
    </row>
    <row r="65">
      <c r="A65"/>
      <c r="B65">
        <v>1</v>
      </c>
      <c r="C65" s="43">
        <f>INDEX(DarlObj,1)</f>
      </c>
      <c r="D65">
        <v>62</v>
      </c>
      <c r="E65" s="51">
        <f>IF(INDEX(DarlBelegt,1)=0,0,EOMONTH(INDEX(DarlAuszahlung,1),61)+1)</f>
      </c>
      <c r="F65" s="43">
        <f>IF($E65=0,0,YEAR($E65))</f>
      </c>
      <c r="G65" s="43">
        <f>IF(INDEX(DarlBindung,1)="",1,IF($E65&lt;=INDEX(DarlBindung,1),1,0))</f>
      </c>
      <c r="H65" s="43">
        <f>IF($G65=1,INDEX(DarlSollzins,1),INDEX(DarlAnschluss,1))</f>
      </c>
      <c r="I65" s="43">
        <f>IF(INDEX(DarlBelegt,1)=0,0,IF(INDEX(DarlOhneTilgung,1)=1,IF(INDEX(DarlBindung,1)="",1,$G65),IF($J65&gt;0.005,1,0)))</f>
      </c>
      <c r="J65" s="43">
        <f>IF($I64=0,0,$R64)</f>
      </c>
      <c r="K65" s="43">
        <f>IF($I65=0,0,IF(INDEX(DarlOhneTilgung,1)=1,0,IF(AND(INDEX(DarlTilgStart,1)&gt;0,$E65=INDEX(DarlTilgStart,1)),$J65*($H65+INDEX(DarlTilgung,1))/100/12,IF(AND($G65=0,$G64=1),MAX($K64,$J65*($H65+1)/100/12),$K64))))</f>
      </c>
      <c r="L65" s="43">
        <f>IF($I65=0,0,$J65*$H65/100/12)</f>
      </c>
      <c r="M65" s="43">
        <f>IF($I65=0,0,IF(OR(INDEX(DarlOhneTilgung,1)=1,AND(INDEX(DarlTilgStart,1)&gt;0,$E65&lt;INDEX(DarlTilgStart,1))),0,MIN(MAX(0,$K65-$L65),$J65)))</f>
      </c>
      <c r="N65" s="43">
        <f>IF($I65=0,0,MIN(SUMIFS(SondBetrag,SondDarl,1,SondDatum,"&gt;="&amp;$E65,SondDatum,"&lt;="&amp;EOMONTH($E65,0)),$J65-$M65))</f>
      </c>
      <c r="O65" s="43">
        <f>IF($I65=0,0,INDEX(DarlErsatzRate,1))</f>
      </c>
      <c r="P65" s="43">
        <f>IF($I65=0,0,$Q64*INDEX(DarlErsatzZins,1))</f>
      </c>
      <c r="Q65" s="43">
        <f>IF($I65=0,0,$Q64+$P65+$O65)</f>
      </c>
      <c r="R65" s="43">
        <f>IF($I65=0,0,$J65-$M65-$N65)</f>
      </c>
    </row>
    <row r="66">
      <c r="A66"/>
      <c r="B66">
        <v>1</v>
      </c>
      <c r="C66" s="43">
        <f>INDEX(DarlObj,1)</f>
      </c>
      <c r="D66">
        <v>63</v>
      </c>
      <c r="E66" s="51">
        <f>IF(INDEX(DarlBelegt,1)=0,0,EOMONTH(INDEX(DarlAuszahlung,1),62)+1)</f>
      </c>
      <c r="F66" s="43">
        <f>IF($E66=0,0,YEAR($E66))</f>
      </c>
      <c r="G66" s="43">
        <f>IF(INDEX(DarlBindung,1)="",1,IF($E66&lt;=INDEX(DarlBindung,1),1,0))</f>
      </c>
      <c r="H66" s="43">
        <f>IF($G66=1,INDEX(DarlSollzins,1),INDEX(DarlAnschluss,1))</f>
      </c>
      <c r="I66" s="43">
        <f>IF(INDEX(DarlBelegt,1)=0,0,IF(INDEX(DarlOhneTilgung,1)=1,IF(INDEX(DarlBindung,1)="",1,$G66),IF($J66&gt;0.005,1,0)))</f>
      </c>
      <c r="J66" s="43">
        <f>IF($I65=0,0,$R65)</f>
      </c>
      <c r="K66" s="43">
        <f>IF($I66=0,0,IF(INDEX(DarlOhneTilgung,1)=1,0,IF(AND(INDEX(DarlTilgStart,1)&gt;0,$E66=INDEX(DarlTilgStart,1)),$J66*($H66+INDEX(DarlTilgung,1))/100/12,IF(AND($G66=0,$G65=1),MAX($K65,$J66*($H66+1)/100/12),$K65))))</f>
      </c>
      <c r="L66" s="43">
        <f>IF($I66=0,0,$J66*$H66/100/12)</f>
      </c>
      <c r="M66" s="43">
        <f>IF($I66=0,0,IF(OR(INDEX(DarlOhneTilgung,1)=1,AND(INDEX(DarlTilgStart,1)&gt;0,$E66&lt;INDEX(DarlTilgStart,1))),0,MIN(MAX(0,$K66-$L66),$J66)))</f>
      </c>
      <c r="N66" s="43">
        <f>IF($I66=0,0,MIN(SUMIFS(SondBetrag,SondDarl,1,SondDatum,"&gt;="&amp;$E66,SondDatum,"&lt;="&amp;EOMONTH($E66,0)),$J66-$M66))</f>
      </c>
      <c r="O66" s="43">
        <f>IF($I66=0,0,INDEX(DarlErsatzRate,1))</f>
      </c>
      <c r="P66" s="43">
        <f>IF($I66=0,0,$Q65*INDEX(DarlErsatzZins,1))</f>
      </c>
      <c r="Q66" s="43">
        <f>IF($I66=0,0,$Q65+$P66+$O66)</f>
      </c>
      <c r="R66" s="43">
        <f>IF($I66=0,0,$J66-$M66-$N66)</f>
      </c>
    </row>
    <row r="67">
      <c r="A67"/>
      <c r="B67">
        <v>1</v>
      </c>
      <c r="C67" s="43">
        <f>INDEX(DarlObj,1)</f>
      </c>
      <c r="D67">
        <v>64</v>
      </c>
      <c r="E67" s="51">
        <f>IF(INDEX(DarlBelegt,1)=0,0,EOMONTH(INDEX(DarlAuszahlung,1),63)+1)</f>
      </c>
      <c r="F67" s="43">
        <f>IF($E67=0,0,YEAR($E67))</f>
      </c>
      <c r="G67" s="43">
        <f>IF(INDEX(DarlBindung,1)="",1,IF($E67&lt;=INDEX(DarlBindung,1),1,0))</f>
      </c>
      <c r="H67" s="43">
        <f>IF($G67=1,INDEX(DarlSollzins,1),INDEX(DarlAnschluss,1))</f>
      </c>
      <c r="I67" s="43">
        <f>IF(INDEX(DarlBelegt,1)=0,0,IF(INDEX(DarlOhneTilgung,1)=1,IF(INDEX(DarlBindung,1)="",1,$G67),IF($J67&gt;0.005,1,0)))</f>
      </c>
      <c r="J67" s="43">
        <f>IF($I66=0,0,$R66)</f>
      </c>
      <c r="K67" s="43">
        <f>IF($I67=0,0,IF(INDEX(DarlOhneTilgung,1)=1,0,IF(AND(INDEX(DarlTilgStart,1)&gt;0,$E67=INDEX(DarlTilgStart,1)),$J67*($H67+INDEX(DarlTilgung,1))/100/12,IF(AND($G67=0,$G66=1),MAX($K66,$J67*($H67+1)/100/12),$K66))))</f>
      </c>
      <c r="L67" s="43">
        <f>IF($I67=0,0,$J67*$H67/100/12)</f>
      </c>
      <c r="M67" s="43">
        <f>IF($I67=0,0,IF(OR(INDEX(DarlOhneTilgung,1)=1,AND(INDEX(DarlTilgStart,1)&gt;0,$E67&lt;INDEX(DarlTilgStart,1))),0,MIN(MAX(0,$K67-$L67),$J67)))</f>
      </c>
      <c r="N67" s="43">
        <f>IF($I67=0,0,MIN(SUMIFS(SondBetrag,SondDarl,1,SondDatum,"&gt;="&amp;$E67,SondDatum,"&lt;="&amp;EOMONTH($E67,0)),$J67-$M67))</f>
      </c>
      <c r="O67" s="43">
        <f>IF($I67=0,0,INDEX(DarlErsatzRate,1))</f>
      </c>
      <c r="P67" s="43">
        <f>IF($I67=0,0,$Q66*INDEX(DarlErsatzZins,1))</f>
      </c>
      <c r="Q67" s="43">
        <f>IF($I67=0,0,$Q66+$P67+$O67)</f>
      </c>
      <c r="R67" s="43">
        <f>IF($I67=0,0,$J67-$M67-$N67)</f>
      </c>
    </row>
    <row r="68">
      <c r="A68"/>
      <c r="B68">
        <v>1</v>
      </c>
      <c r="C68" s="43">
        <f>INDEX(DarlObj,1)</f>
      </c>
      <c r="D68">
        <v>65</v>
      </c>
      <c r="E68" s="51">
        <f>IF(INDEX(DarlBelegt,1)=0,0,EOMONTH(INDEX(DarlAuszahlung,1),64)+1)</f>
      </c>
      <c r="F68" s="43">
        <f>IF($E68=0,0,YEAR($E68))</f>
      </c>
      <c r="G68" s="43">
        <f>IF(INDEX(DarlBindung,1)="",1,IF($E68&lt;=INDEX(DarlBindung,1),1,0))</f>
      </c>
      <c r="H68" s="43">
        <f>IF($G68=1,INDEX(DarlSollzins,1),INDEX(DarlAnschluss,1))</f>
      </c>
      <c r="I68" s="43">
        <f>IF(INDEX(DarlBelegt,1)=0,0,IF(INDEX(DarlOhneTilgung,1)=1,IF(INDEX(DarlBindung,1)="",1,$G68),IF($J68&gt;0.005,1,0)))</f>
      </c>
      <c r="J68" s="43">
        <f>IF($I67=0,0,$R67)</f>
      </c>
      <c r="K68" s="43">
        <f>IF($I68=0,0,IF(INDEX(DarlOhneTilgung,1)=1,0,IF(AND(INDEX(DarlTilgStart,1)&gt;0,$E68=INDEX(DarlTilgStart,1)),$J68*($H68+INDEX(DarlTilgung,1))/100/12,IF(AND($G68=0,$G67=1),MAX($K67,$J68*($H68+1)/100/12),$K67))))</f>
      </c>
      <c r="L68" s="43">
        <f>IF($I68=0,0,$J68*$H68/100/12)</f>
      </c>
      <c r="M68" s="43">
        <f>IF($I68=0,0,IF(OR(INDEX(DarlOhneTilgung,1)=1,AND(INDEX(DarlTilgStart,1)&gt;0,$E68&lt;INDEX(DarlTilgStart,1))),0,MIN(MAX(0,$K68-$L68),$J68)))</f>
      </c>
      <c r="N68" s="43">
        <f>IF($I68=0,0,MIN(SUMIFS(SondBetrag,SondDarl,1,SondDatum,"&gt;="&amp;$E68,SondDatum,"&lt;="&amp;EOMONTH($E68,0)),$J68-$M68))</f>
      </c>
      <c r="O68" s="43">
        <f>IF($I68=0,0,INDEX(DarlErsatzRate,1))</f>
      </c>
      <c r="P68" s="43">
        <f>IF($I68=0,0,$Q67*INDEX(DarlErsatzZins,1))</f>
      </c>
      <c r="Q68" s="43">
        <f>IF($I68=0,0,$Q67+$P68+$O68)</f>
      </c>
      <c r="R68" s="43">
        <f>IF($I68=0,0,$J68-$M68-$N68)</f>
      </c>
    </row>
    <row r="69">
      <c r="A69"/>
      <c r="B69">
        <v>1</v>
      </c>
      <c r="C69" s="43">
        <f>INDEX(DarlObj,1)</f>
      </c>
      <c r="D69">
        <v>66</v>
      </c>
      <c r="E69" s="51">
        <f>IF(INDEX(DarlBelegt,1)=0,0,EOMONTH(INDEX(DarlAuszahlung,1),65)+1)</f>
      </c>
      <c r="F69" s="43">
        <f>IF($E69=0,0,YEAR($E69))</f>
      </c>
      <c r="G69" s="43">
        <f>IF(INDEX(DarlBindung,1)="",1,IF($E69&lt;=INDEX(DarlBindung,1),1,0))</f>
      </c>
      <c r="H69" s="43">
        <f>IF($G69=1,INDEX(DarlSollzins,1),INDEX(DarlAnschluss,1))</f>
      </c>
      <c r="I69" s="43">
        <f>IF(INDEX(DarlBelegt,1)=0,0,IF(INDEX(DarlOhneTilgung,1)=1,IF(INDEX(DarlBindung,1)="",1,$G69),IF($J69&gt;0.005,1,0)))</f>
      </c>
      <c r="J69" s="43">
        <f>IF($I68=0,0,$R68)</f>
      </c>
      <c r="K69" s="43">
        <f>IF($I69=0,0,IF(INDEX(DarlOhneTilgung,1)=1,0,IF(AND(INDEX(DarlTilgStart,1)&gt;0,$E69=INDEX(DarlTilgStart,1)),$J69*($H69+INDEX(DarlTilgung,1))/100/12,IF(AND($G69=0,$G68=1),MAX($K68,$J69*($H69+1)/100/12),$K68))))</f>
      </c>
      <c r="L69" s="43">
        <f>IF($I69=0,0,$J69*$H69/100/12)</f>
      </c>
      <c r="M69" s="43">
        <f>IF($I69=0,0,IF(OR(INDEX(DarlOhneTilgung,1)=1,AND(INDEX(DarlTilgStart,1)&gt;0,$E69&lt;INDEX(DarlTilgStart,1))),0,MIN(MAX(0,$K69-$L69),$J69)))</f>
      </c>
      <c r="N69" s="43">
        <f>IF($I69=0,0,MIN(SUMIFS(SondBetrag,SondDarl,1,SondDatum,"&gt;="&amp;$E69,SondDatum,"&lt;="&amp;EOMONTH($E69,0)),$J69-$M69))</f>
      </c>
      <c r="O69" s="43">
        <f>IF($I69=0,0,INDEX(DarlErsatzRate,1))</f>
      </c>
      <c r="P69" s="43">
        <f>IF($I69=0,0,$Q68*INDEX(DarlErsatzZins,1))</f>
      </c>
      <c r="Q69" s="43">
        <f>IF($I69=0,0,$Q68+$P69+$O69)</f>
      </c>
      <c r="R69" s="43">
        <f>IF($I69=0,0,$J69-$M69-$N69)</f>
      </c>
    </row>
    <row r="70">
      <c r="A70"/>
      <c r="B70">
        <v>1</v>
      </c>
      <c r="C70" s="43">
        <f>INDEX(DarlObj,1)</f>
      </c>
      <c r="D70">
        <v>67</v>
      </c>
      <c r="E70" s="51">
        <f>IF(INDEX(DarlBelegt,1)=0,0,EOMONTH(INDEX(DarlAuszahlung,1),66)+1)</f>
      </c>
      <c r="F70" s="43">
        <f>IF($E70=0,0,YEAR($E70))</f>
      </c>
      <c r="G70" s="43">
        <f>IF(INDEX(DarlBindung,1)="",1,IF($E70&lt;=INDEX(DarlBindung,1),1,0))</f>
      </c>
      <c r="H70" s="43">
        <f>IF($G70=1,INDEX(DarlSollzins,1),INDEX(DarlAnschluss,1))</f>
      </c>
      <c r="I70" s="43">
        <f>IF(INDEX(DarlBelegt,1)=0,0,IF(INDEX(DarlOhneTilgung,1)=1,IF(INDEX(DarlBindung,1)="",1,$G70),IF($J70&gt;0.005,1,0)))</f>
      </c>
      <c r="J70" s="43">
        <f>IF($I69=0,0,$R69)</f>
      </c>
      <c r="K70" s="43">
        <f>IF($I70=0,0,IF(INDEX(DarlOhneTilgung,1)=1,0,IF(AND(INDEX(DarlTilgStart,1)&gt;0,$E70=INDEX(DarlTilgStart,1)),$J70*($H70+INDEX(DarlTilgung,1))/100/12,IF(AND($G70=0,$G69=1),MAX($K69,$J70*($H70+1)/100/12),$K69))))</f>
      </c>
      <c r="L70" s="43">
        <f>IF($I70=0,0,$J70*$H70/100/12)</f>
      </c>
      <c r="M70" s="43">
        <f>IF($I70=0,0,IF(OR(INDEX(DarlOhneTilgung,1)=1,AND(INDEX(DarlTilgStart,1)&gt;0,$E70&lt;INDEX(DarlTilgStart,1))),0,MIN(MAX(0,$K70-$L70),$J70)))</f>
      </c>
      <c r="N70" s="43">
        <f>IF($I70=0,0,MIN(SUMIFS(SondBetrag,SondDarl,1,SondDatum,"&gt;="&amp;$E70,SondDatum,"&lt;="&amp;EOMONTH($E70,0)),$J70-$M70))</f>
      </c>
      <c r="O70" s="43">
        <f>IF($I70=0,0,INDEX(DarlErsatzRate,1))</f>
      </c>
      <c r="P70" s="43">
        <f>IF($I70=0,0,$Q69*INDEX(DarlErsatzZins,1))</f>
      </c>
      <c r="Q70" s="43">
        <f>IF($I70=0,0,$Q69+$P70+$O70)</f>
      </c>
      <c r="R70" s="43">
        <f>IF($I70=0,0,$J70-$M70-$N70)</f>
      </c>
    </row>
    <row r="71">
      <c r="A71"/>
      <c r="B71">
        <v>1</v>
      </c>
      <c r="C71" s="43">
        <f>INDEX(DarlObj,1)</f>
      </c>
      <c r="D71">
        <v>68</v>
      </c>
      <c r="E71" s="51">
        <f>IF(INDEX(DarlBelegt,1)=0,0,EOMONTH(INDEX(DarlAuszahlung,1),67)+1)</f>
      </c>
      <c r="F71" s="43">
        <f>IF($E71=0,0,YEAR($E71))</f>
      </c>
      <c r="G71" s="43">
        <f>IF(INDEX(DarlBindung,1)="",1,IF($E71&lt;=INDEX(DarlBindung,1),1,0))</f>
      </c>
      <c r="H71" s="43">
        <f>IF($G71=1,INDEX(DarlSollzins,1),INDEX(DarlAnschluss,1))</f>
      </c>
      <c r="I71" s="43">
        <f>IF(INDEX(DarlBelegt,1)=0,0,IF(INDEX(DarlOhneTilgung,1)=1,IF(INDEX(DarlBindung,1)="",1,$G71),IF($J71&gt;0.005,1,0)))</f>
      </c>
      <c r="J71" s="43">
        <f>IF($I70=0,0,$R70)</f>
      </c>
      <c r="K71" s="43">
        <f>IF($I71=0,0,IF(INDEX(DarlOhneTilgung,1)=1,0,IF(AND(INDEX(DarlTilgStart,1)&gt;0,$E71=INDEX(DarlTilgStart,1)),$J71*($H71+INDEX(DarlTilgung,1))/100/12,IF(AND($G71=0,$G70=1),MAX($K70,$J71*($H71+1)/100/12),$K70))))</f>
      </c>
      <c r="L71" s="43">
        <f>IF($I71=0,0,$J71*$H71/100/12)</f>
      </c>
      <c r="M71" s="43">
        <f>IF($I71=0,0,IF(OR(INDEX(DarlOhneTilgung,1)=1,AND(INDEX(DarlTilgStart,1)&gt;0,$E71&lt;INDEX(DarlTilgStart,1))),0,MIN(MAX(0,$K71-$L71),$J71)))</f>
      </c>
      <c r="N71" s="43">
        <f>IF($I71=0,0,MIN(SUMIFS(SondBetrag,SondDarl,1,SondDatum,"&gt;="&amp;$E71,SondDatum,"&lt;="&amp;EOMONTH($E71,0)),$J71-$M71))</f>
      </c>
      <c r="O71" s="43">
        <f>IF($I71=0,0,INDEX(DarlErsatzRate,1))</f>
      </c>
      <c r="P71" s="43">
        <f>IF($I71=0,0,$Q70*INDEX(DarlErsatzZins,1))</f>
      </c>
      <c r="Q71" s="43">
        <f>IF($I71=0,0,$Q70+$P71+$O71)</f>
      </c>
      <c r="R71" s="43">
        <f>IF($I71=0,0,$J71-$M71-$N71)</f>
      </c>
    </row>
    <row r="72">
      <c r="A72"/>
      <c r="B72">
        <v>1</v>
      </c>
      <c r="C72" s="43">
        <f>INDEX(DarlObj,1)</f>
      </c>
      <c r="D72">
        <v>69</v>
      </c>
      <c r="E72" s="51">
        <f>IF(INDEX(DarlBelegt,1)=0,0,EOMONTH(INDEX(DarlAuszahlung,1),68)+1)</f>
      </c>
      <c r="F72" s="43">
        <f>IF($E72=0,0,YEAR($E72))</f>
      </c>
      <c r="G72" s="43">
        <f>IF(INDEX(DarlBindung,1)="",1,IF($E72&lt;=INDEX(DarlBindung,1),1,0))</f>
      </c>
      <c r="H72" s="43">
        <f>IF($G72=1,INDEX(DarlSollzins,1),INDEX(DarlAnschluss,1))</f>
      </c>
      <c r="I72" s="43">
        <f>IF(INDEX(DarlBelegt,1)=0,0,IF(INDEX(DarlOhneTilgung,1)=1,IF(INDEX(DarlBindung,1)="",1,$G72),IF($J72&gt;0.005,1,0)))</f>
      </c>
      <c r="J72" s="43">
        <f>IF($I71=0,0,$R71)</f>
      </c>
      <c r="K72" s="43">
        <f>IF($I72=0,0,IF(INDEX(DarlOhneTilgung,1)=1,0,IF(AND(INDEX(DarlTilgStart,1)&gt;0,$E72=INDEX(DarlTilgStart,1)),$J72*($H72+INDEX(DarlTilgung,1))/100/12,IF(AND($G72=0,$G71=1),MAX($K71,$J72*($H72+1)/100/12),$K71))))</f>
      </c>
      <c r="L72" s="43">
        <f>IF($I72=0,0,$J72*$H72/100/12)</f>
      </c>
      <c r="M72" s="43">
        <f>IF($I72=0,0,IF(OR(INDEX(DarlOhneTilgung,1)=1,AND(INDEX(DarlTilgStart,1)&gt;0,$E72&lt;INDEX(DarlTilgStart,1))),0,MIN(MAX(0,$K72-$L72),$J72)))</f>
      </c>
      <c r="N72" s="43">
        <f>IF($I72=0,0,MIN(SUMIFS(SondBetrag,SondDarl,1,SondDatum,"&gt;="&amp;$E72,SondDatum,"&lt;="&amp;EOMONTH($E72,0)),$J72-$M72))</f>
      </c>
      <c r="O72" s="43">
        <f>IF($I72=0,0,INDEX(DarlErsatzRate,1))</f>
      </c>
      <c r="P72" s="43">
        <f>IF($I72=0,0,$Q71*INDEX(DarlErsatzZins,1))</f>
      </c>
      <c r="Q72" s="43">
        <f>IF($I72=0,0,$Q71+$P72+$O72)</f>
      </c>
      <c r="R72" s="43">
        <f>IF($I72=0,0,$J72-$M72-$N72)</f>
      </c>
    </row>
    <row r="73">
      <c r="A73"/>
      <c r="B73">
        <v>1</v>
      </c>
      <c r="C73" s="43">
        <f>INDEX(DarlObj,1)</f>
      </c>
      <c r="D73">
        <v>70</v>
      </c>
      <c r="E73" s="51">
        <f>IF(INDEX(DarlBelegt,1)=0,0,EOMONTH(INDEX(DarlAuszahlung,1),69)+1)</f>
      </c>
      <c r="F73" s="43">
        <f>IF($E73=0,0,YEAR($E73))</f>
      </c>
      <c r="G73" s="43">
        <f>IF(INDEX(DarlBindung,1)="",1,IF($E73&lt;=INDEX(DarlBindung,1),1,0))</f>
      </c>
      <c r="H73" s="43">
        <f>IF($G73=1,INDEX(DarlSollzins,1),INDEX(DarlAnschluss,1))</f>
      </c>
      <c r="I73" s="43">
        <f>IF(INDEX(DarlBelegt,1)=0,0,IF(INDEX(DarlOhneTilgung,1)=1,IF(INDEX(DarlBindung,1)="",1,$G73),IF($J73&gt;0.005,1,0)))</f>
      </c>
      <c r="J73" s="43">
        <f>IF($I72=0,0,$R72)</f>
      </c>
      <c r="K73" s="43">
        <f>IF($I73=0,0,IF(INDEX(DarlOhneTilgung,1)=1,0,IF(AND(INDEX(DarlTilgStart,1)&gt;0,$E73=INDEX(DarlTilgStart,1)),$J73*($H73+INDEX(DarlTilgung,1))/100/12,IF(AND($G73=0,$G72=1),MAX($K72,$J73*($H73+1)/100/12),$K72))))</f>
      </c>
      <c r="L73" s="43">
        <f>IF($I73=0,0,$J73*$H73/100/12)</f>
      </c>
      <c r="M73" s="43">
        <f>IF($I73=0,0,IF(OR(INDEX(DarlOhneTilgung,1)=1,AND(INDEX(DarlTilgStart,1)&gt;0,$E73&lt;INDEX(DarlTilgStart,1))),0,MIN(MAX(0,$K73-$L73),$J73)))</f>
      </c>
      <c r="N73" s="43">
        <f>IF($I73=0,0,MIN(SUMIFS(SondBetrag,SondDarl,1,SondDatum,"&gt;="&amp;$E73,SondDatum,"&lt;="&amp;EOMONTH($E73,0)),$J73-$M73))</f>
      </c>
      <c r="O73" s="43">
        <f>IF($I73=0,0,INDEX(DarlErsatzRate,1))</f>
      </c>
      <c r="P73" s="43">
        <f>IF($I73=0,0,$Q72*INDEX(DarlErsatzZins,1))</f>
      </c>
      <c r="Q73" s="43">
        <f>IF($I73=0,0,$Q72+$P73+$O73)</f>
      </c>
      <c r="R73" s="43">
        <f>IF($I73=0,0,$J73-$M73-$N73)</f>
      </c>
    </row>
    <row r="74">
      <c r="A74"/>
      <c r="B74">
        <v>1</v>
      </c>
      <c r="C74" s="43">
        <f>INDEX(DarlObj,1)</f>
      </c>
      <c r="D74">
        <v>71</v>
      </c>
      <c r="E74" s="51">
        <f>IF(INDEX(DarlBelegt,1)=0,0,EOMONTH(INDEX(DarlAuszahlung,1),70)+1)</f>
      </c>
      <c r="F74" s="43">
        <f>IF($E74=0,0,YEAR($E74))</f>
      </c>
      <c r="G74" s="43">
        <f>IF(INDEX(DarlBindung,1)="",1,IF($E74&lt;=INDEX(DarlBindung,1),1,0))</f>
      </c>
      <c r="H74" s="43">
        <f>IF($G74=1,INDEX(DarlSollzins,1),INDEX(DarlAnschluss,1))</f>
      </c>
      <c r="I74" s="43">
        <f>IF(INDEX(DarlBelegt,1)=0,0,IF(INDEX(DarlOhneTilgung,1)=1,IF(INDEX(DarlBindung,1)="",1,$G74),IF($J74&gt;0.005,1,0)))</f>
      </c>
      <c r="J74" s="43">
        <f>IF($I73=0,0,$R73)</f>
      </c>
      <c r="K74" s="43">
        <f>IF($I74=0,0,IF(INDEX(DarlOhneTilgung,1)=1,0,IF(AND(INDEX(DarlTilgStart,1)&gt;0,$E74=INDEX(DarlTilgStart,1)),$J74*($H74+INDEX(DarlTilgung,1))/100/12,IF(AND($G74=0,$G73=1),MAX($K73,$J74*($H74+1)/100/12),$K73))))</f>
      </c>
      <c r="L74" s="43">
        <f>IF($I74=0,0,$J74*$H74/100/12)</f>
      </c>
      <c r="M74" s="43">
        <f>IF($I74=0,0,IF(OR(INDEX(DarlOhneTilgung,1)=1,AND(INDEX(DarlTilgStart,1)&gt;0,$E74&lt;INDEX(DarlTilgStart,1))),0,MIN(MAX(0,$K74-$L74),$J74)))</f>
      </c>
      <c r="N74" s="43">
        <f>IF($I74=0,0,MIN(SUMIFS(SondBetrag,SondDarl,1,SondDatum,"&gt;="&amp;$E74,SondDatum,"&lt;="&amp;EOMONTH($E74,0)),$J74-$M74))</f>
      </c>
      <c r="O74" s="43">
        <f>IF($I74=0,0,INDEX(DarlErsatzRate,1))</f>
      </c>
      <c r="P74" s="43">
        <f>IF($I74=0,0,$Q73*INDEX(DarlErsatzZins,1))</f>
      </c>
      <c r="Q74" s="43">
        <f>IF($I74=0,0,$Q73+$P74+$O74)</f>
      </c>
      <c r="R74" s="43">
        <f>IF($I74=0,0,$J74-$M74-$N74)</f>
      </c>
    </row>
    <row r="75">
      <c r="A75"/>
      <c r="B75">
        <v>1</v>
      </c>
      <c r="C75" s="43">
        <f>INDEX(DarlObj,1)</f>
      </c>
      <c r="D75">
        <v>72</v>
      </c>
      <c r="E75" s="51">
        <f>IF(INDEX(DarlBelegt,1)=0,0,EOMONTH(INDEX(DarlAuszahlung,1),71)+1)</f>
      </c>
      <c r="F75" s="43">
        <f>IF($E75=0,0,YEAR($E75))</f>
      </c>
      <c r="G75" s="43">
        <f>IF(INDEX(DarlBindung,1)="",1,IF($E75&lt;=INDEX(DarlBindung,1),1,0))</f>
      </c>
      <c r="H75" s="43">
        <f>IF($G75=1,INDEX(DarlSollzins,1),INDEX(DarlAnschluss,1))</f>
      </c>
      <c r="I75" s="43">
        <f>IF(INDEX(DarlBelegt,1)=0,0,IF(INDEX(DarlOhneTilgung,1)=1,IF(INDEX(DarlBindung,1)="",1,$G75),IF($J75&gt;0.005,1,0)))</f>
      </c>
      <c r="J75" s="43">
        <f>IF($I74=0,0,$R74)</f>
      </c>
      <c r="K75" s="43">
        <f>IF($I75=0,0,IF(INDEX(DarlOhneTilgung,1)=1,0,IF(AND(INDEX(DarlTilgStart,1)&gt;0,$E75=INDEX(DarlTilgStart,1)),$J75*($H75+INDEX(DarlTilgung,1))/100/12,IF(AND($G75=0,$G74=1),MAX($K74,$J75*($H75+1)/100/12),$K74))))</f>
      </c>
      <c r="L75" s="43">
        <f>IF($I75=0,0,$J75*$H75/100/12)</f>
      </c>
      <c r="M75" s="43">
        <f>IF($I75=0,0,IF(OR(INDEX(DarlOhneTilgung,1)=1,AND(INDEX(DarlTilgStart,1)&gt;0,$E75&lt;INDEX(DarlTilgStart,1))),0,MIN(MAX(0,$K75-$L75),$J75)))</f>
      </c>
      <c r="N75" s="43">
        <f>IF($I75=0,0,MIN(SUMIFS(SondBetrag,SondDarl,1,SondDatum,"&gt;="&amp;$E75,SondDatum,"&lt;="&amp;EOMONTH($E75,0)),$J75-$M75))</f>
      </c>
      <c r="O75" s="43">
        <f>IF($I75=0,0,INDEX(DarlErsatzRate,1))</f>
      </c>
      <c r="P75" s="43">
        <f>IF($I75=0,0,$Q74*INDEX(DarlErsatzZins,1))</f>
      </c>
      <c r="Q75" s="43">
        <f>IF($I75=0,0,$Q74+$P75+$O75)</f>
      </c>
      <c r="R75" s="43">
        <f>IF($I75=0,0,$J75-$M75-$N75)</f>
      </c>
    </row>
    <row r="76">
      <c r="A76"/>
      <c r="B76">
        <v>1</v>
      </c>
      <c r="C76" s="43">
        <f>INDEX(DarlObj,1)</f>
      </c>
      <c r="D76">
        <v>73</v>
      </c>
      <c r="E76" s="51">
        <f>IF(INDEX(DarlBelegt,1)=0,0,EOMONTH(INDEX(DarlAuszahlung,1),72)+1)</f>
      </c>
      <c r="F76" s="43">
        <f>IF($E76=0,0,YEAR($E76))</f>
      </c>
      <c r="G76" s="43">
        <f>IF(INDEX(DarlBindung,1)="",1,IF($E76&lt;=INDEX(DarlBindung,1),1,0))</f>
      </c>
      <c r="H76" s="43">
        <f>IF($G76=1,INDEX(DarlSollzins,1),INDEX(DarlAnschluss,1))</f>
      </c>
      <c r="I76" s="43">
        <f>IF(INDEX(DarlBelegt,1)=0,0,IF(INDEX(DarlOhneTilgung,1)=1,IF(INDEX(DarlBindung,1)="",1,$G76),IF($J76&gt;0.005,1,0)))</f>
      </c>
      <c r="J76" s="43">
        <f>IF($I75=0,0,$R75)</f>
      </c>
      <c r="K76" s="43">
        <f>IF($I76=0,0,IF(INDEX(DarlOhneTilgung,1)=1,0,IF(AND(INDEX(DarlTilgStart,1)&gt;0,$E76=INDEX(DarlTilgStart,1)),$J76*($H76+INDEX(DarlTilgung,1))/100/12,IF(AND($G76=0,$G75=1),MAX($K75,$J76*($H76+1)/100/12),$K75))))</f>
      </c>
      <c r="L76" s="43">
        <f>IF($I76=0,0,$J76*$H76/100/12)</f>
      </c>
      <c r="M76" s="43">
        <f>IF($I76=0,0,IF(OR(INDEX(DarlOhneTilgung,1)=1,AND(INDEX(DarlTilgStart,1)&gt;0,$E76&lt;INDEX(DarlTilgStart,1))),0,MIN(MAX(0,$K76-$L76),$J76)))</f>
      </c>
      <c r="N76" s="43">
        <f>IF($I76=0,0,MIN(SUMIFS(SondBetrag,SondDarl,1,SondDatum,"&gt;="&amp;$E76,SondDatum,"&lt;="&amp;EOMONTH($E76,0)),$J76-$M76))</f>
      </c>
      <c r="O76" s="43">
        <f>IF($I76=0,0,INDEX(DarlErsatzRate,1))</f>
      </c>
      <c r="P76" s="43">
        <f>IF($I76=0,0,$Q75*INDEX(DarlErsatzZins,1))</f>
      </c>
      <c r="Q76" s="43">
        <f>IF($I76=0,0,$Q75+$P76+$O76)</f>
      </c>
      <c r="R76" s="43">
        <f>IF($I76=0,0,$J76-$M76-$N76)</f>
      </c>
    </row>
    <row r="77">
      <c r="A77"/>
      <c r="B77">
        <v>1</v>
      </c>
      <c r="C77" s="43">
        <f>INDEX(DarlObj,1)</f>
      </c>
      <c r="D77">
        <v>74</v>
      </c>
      <c r="E77" s="51">
        <f>IF(INDEX(DarlBelegt,1)=0,0,EOMONTH(INDEX(DarlAuszahlung,1),73)+1)</f>
      </c>
      <c r="F77" s="43">
        <f>IF($E77=0,0,YEAR($E77))</f>
      </c>
      <c r="G77" s="43">
        <f>IF(INDEX(DarlBindung,1)="",1,IF($E77&lt;=INDEX(DarlBindung,1),1,0))</f>
      </c>
      <c r="H77" s="43">
        <f>IF($G77=1,INDEX(DarlSollzins,1),INDEX(DarlAnschluss,1))</f>
      </c>
      <c r="I77" s="43">
        <f>IF(INDEX(DarlBelegt,1)=0,0,IF(INDEX(DarlOhneTilgung,1)=1,IF(INDEX(DarlBindung,1)="",1,$G77),IF($J77&gt;0.005,1,0)))</f>
      </c>
      <c r="J77" s="43">
        <f>IF($I76=0,0,$R76)</f>
      </c>
      <c r="K77" s="43">
        <f>IF($I77=0,0,IF(INDEX(DarlOhneTilgung,1)=1,0,IF(AND(INDEX(DarlTilgStart,1)&gt;0,$E77=INDEX(DarlTilgStart,1)),$J77*($H77+INDEX(DarlTilgung,1))/100/12,IF(AND($G77=0,$G76=1),MAX($K76,$J77*($H77+1)/100/12),$K76))))</f>
      </c>
      <c r="L77" s="43">
        <f>IF($I77=0,0,$J77*$H77/100/12)</f>
      </c>
      <c r="M77" s="43">
        <f>IF($I77=0,0,IF(OR(INDEX(DarlOhneTilgung,1)=1,AND(INDEX(DarlTilgStart,1)&gt;0,$E77&lt;INDEX(DarlTilgStart,1))),0,MIN(MAX(0,$K77-$L77),$J77)))</f>
      </c>
      <c r="N77" s="43">
        <f>IF($I77=0,0,MIN(SUMIFS(SondBetrag,SondDarl,1,SondDatum,"&gt;="&amp;$E77,SondDatum,"&lt;="&amp;EOMONTH($E77,0)),$J77-$M77))</f>
      </c>
      <c r="O77" s="43">
        <f>IF($I77=0,0,INDEX(DarlErsatzRate,1))</f>
      </c>
      <c r="P77" s="43">
        <f>IF($I77=0,0,$Q76*INDEX(DarlErsatzZins,1))</f>
      </c>
      <c r="Q77" s="43">
        <f>IF($I77=0,0,$Q76+$P77+$O77)</f>
      </c>
      <c r="R77" s="43">
        <f>IF($I77=0,0,$J77-$M77-$N77)</f>
      </c>
    </row>
    <row r="78">
      <c r="A78"/>
      <c r="B78">
        <v>1</v>
      </c>
      <c r="C78" s="43">
        <f>INDEX(DarlObj,1)</f>
      </c>
      <c r="D78">
        <v>75</v>
      </c>
      <c r="E78" s="51">
        <f>IF(INDEX(DarlBelegt,1)=0,0,EOMONTH(INDEX(DarlAuszahlung,1),74)+1)</f>
      </c>
      <c r="F78" s="43">
        <f>IF($E78=0,0,YEAR($E78))</f>
      </c>
      <c r="G78" s="43">
        <f>IF(INDEX(DarlBindung,1)="",1,IF($E78&lt;=INDEX(DarlBindung,1),1,0))</f>
      </c>
      <c r="H78" s="43">
        <f>IF($G78=1,INDEX(DarlSollzins,1),INDEX(DarlAnschluss,1))</f>
      </c>
      <c r="I78" s="43">
        <f>IF(INDEX(DarlBelegt,1)=0,0,IF(INDEX(DarlOhneTilgung,1)=1,IF(INDEX(DarlBindung,1)="",1,$G78),IF($J78&gt;0.005,1,0)))</f>
      </c>
      <c r="J78" s="43">
        <f>IF($I77=0,0,$R77)</f>
      </c>
      <c r="K78" s="43">
        <f>IF($I78=0,0,IF(INDEX(DarlOhneTilgung,1)=1,0,IF(AND(INDEX(DarlTilgStart,1)&gt;0,$E78=INDEX(DarlTilgStart,1)),$J78*($H78+INDEX(DarlTilgung,1))/100/12,IF(AND($G78=0,$G77=1),MAX($K77,$J78*($H78+1)/100/12),$K77))))</f>
      </c>
      <c r="L78" s="43">
        <f>IF($I78=0,0,$J78*$H78/100/12)</f>
      </c>
      <c r="M78" s="43">
        <f>IF($I78=0,0,IF(OR(INDEX(DarlOhneTilgung,1)=1,AND(INDEX(DarlTilgStart,1)&gt;0,$E78&lt;INDEX(DarlTilgStart,1))),0,MIN(MAX(0,$K78-$L78),$J78)))</f>
      </c>
      <c r="N78" s="43">
        <f>IF($I78=0,0,MIN(SUMIFS(SondBetrag,SondDarl,1,SondDatum,"&gt;="&amp;$E78,SondDatum,"&lt;="&amp;EOMONTH($E78,0)),$J78-$M78))</f>
      </c>
      <c r="O78" s="43">
        <f>IF($I78=0,0,INDEX(DarlErsatzRate,1))</f>
      </c>
      <c r="P78" s="43">
        <f>IF($I78=0,0,$Q77*INDEX(DarlErsatzZins,1))</f>
      </c>
      <c r="Q78" s="43">
        <f>IF($I78=0,0,$Q77+$P78+$O78)</f>
      </c>
      <c r="R78" s="43">
        <f>IF($I78=0,0,$J78-$M78-$N78)</f>
      </c>
    </row>
    <row r="79">
      <c r="A79"/>
      <c r="B79">
        <v>1</v>
      </c>
      <c r="C79" s="43">
        <f>INDEX(DarlObj,1)</f>
      </c>
      <c r="D79">
        <v>76</v>
      </c>
      <c r="E79" s="51">
        <f>IF(INDEX(DarlBelegt,1)=0,0,EOMONTH(INDEX(DarlAuszahlung,1),75)+1)</f>
      </c>
      <c r="F79" s="43">
        <f>IF($E79=0,0,YEAR($E79))</f>
      </c>
      <c r="G79" s="43">
        <f>IF(INDEX(DarlBindung,1)="",1,IF($E79&lt;=INDEX(DarlBindung,1),1,0))</f>
      </c>
      <c r="H79" s="43">
        <f>IF($G79=1,INDEX(DarlSollzins,1),INDEX(DarlAnschluss,1))</f>
      </c>
      <c r="I79" s="43">
        <f>IF(INDEX(DarlBelegt,1)=0,0,IF(INDEX(DarlOhneTilgung,1)=1,IF(INDEX(DarlBindung,1)="",1,$G79),IF($J79&gt;0.005,1,0)))</f>
      </c>
      <c r="J79" s="43">
        <f>IF($I78=0,0,$R78)</f>
      </c>
      <c r="K79" s="43">
        <f>IF($I79=0,0,IF(INDEX(DarlOhneTilgung,1)=1,0,IF(AND(INDEX(DarlTilgStart,1)&gt;0,$E79=INDEX(DarlTilgStart,1)),$J79*($H79+INDEX(DarlTilgung,1))/100/12,IF(AND($G79=0,$G78=1),MAX($K78,$J79*($H79+1)/100/12),$K78))))</f>
      </c>
      <c r="L79" s="43">
        <f>IF($I79=0,0,$J79*$H79/100/12)</f>
      </c>
      <c r="M79" s="43">
        <f>IF($I79=0,0,IF(OR(INDEX(DarlOhneTilgung,1)=1,AND(INDEX(DarlTilgStart,1)&gt;0,$E79&lt;INDEX(DarlTilgStart,1))),0,MIN(MAX(0,$K79-$L79),$J79)))</f>
      </c>
      <c r="N79" s="43">
        <f>IF($I79=0,0,MIN(SUMIFS(SondBetrag,SondDarl,1,SondDatum,"&gt;="&amp;$E79,SondDatum,"&lt;="&amp;EOMONTH($E79,0)),$J79-$M79))</f>
      </c>
      <c r="O79" s="43">
        <f>IF($I79=0,0,INDEX(DarlErsatzRate,1))</f>
      </c>
      <c r="P79" s="43">
        <f>IF($I79=0,0,$Q78*INDEX(DarlErsatzZins,1))</f>
      </c>
      <c r="Q79" s="43">
        <f>IF($I79=0,0,$Q78+$P79+$O79)</f>
      </c>
      <c r="R79" s="43">
        <f>IF($I79=0,0,$J79-$M79-$N79)</f>
      </c>
    </row>
    <row r="80">
      <c r="A80"/>
      <c r="B80">
        <v>1</v>
      </c>
      <c r="C80" s="43">
        <f>INDEX(DarlObj,1)</f>
      </c>
      <c r="D80">
        <v>77</v>
      </c>
      <c r="E80" s="51">
        <f>IF(INDEX(DarlBelegt,1)=0,0,EOMONTH(INDEX(DarlAuszahlung,1),76)+1)</f>
      </c>
      <c r="F80" s="43">
        <f>IF($E80=0,0,YEAR($E80))</f>
      </c>
      <c r="G80" s="43">
        <f>IF(INDEX(DarlBindung,1)="",1,IF($E80&lt;=INDEX(DarlBindung,1),1,0))</f>
      </c>
      <c r="H80" s="43">
        <f>IF($G80=1,INDEX(DarlSollzins,1),INDEX(DarlAnschluss,1))</f>
      </c>
      <c r="I80" s="43">
        <f>IF(INDEX(DarlBelegt,1)=0,0,IF(INDEX(DarlOhneTilgung,1)=1,IF(INDEX(DarlBindung,1)="",1,$G80),IF($J80&gt;0.005,1,0)))</f>
      </c>
      <c r="J80" s="43">
        <f>IF($I79=0,0,$R79)</f>
      </c>
      <c r="K80" s="43">
        <f>IF($I80=0,0,IF(INDEX(DarlOhneTilgung,1)=1,0,IF(AND(INDEX(DarlTilgStart,1)&gt;0,$E80=INDEX(DarlTilgStart,1)),$J80*($H80+INDEX(DarlTilgung,1))/100/12,IF(AND($G80=0,$G79=1),MAX($K79,$J80*($H80+1)/100/12),$K79))))</f>
      </c>
      <c r="L80" s="43">
        <f>IF($I80=0,0,$J80*$H80/100/12)</f>
      </c>
      <c r="M80" s="43">
        <f>IF($I80=0,0,IF(OR(INDEX(DarlOhneTilgung,1)=1,AND(INDEX(DarlTilgStart,1)&gt;0,$E80&lt;INDEX(DarlTilgStart,1))),0,MIN(MAX(0,$K80-$L80),$J80)))</f>
      </c>
      <c r="N80" s="43">
        <f>IF($I80=0,0,MIN(SUMIFS(SondBetrag,SondDarl,1,SondDatum,"&gt;="&amp;$E80,SondDatum,"&lt;="&amp;EOMONTH($E80,0)),$J80-$M80))</f>
      </c>
      <c r="O80" s="43">
        <f>IF($I80=0,0,INDEX(DarlErsatzRate,1))</f>
      </c>
      <c r="P80" s="43">
        <f>IF($I80=0,0,$Q79*INDEX(DarlErsatzZins,1))</f>
      </c>
      <c r="Q80" s="43">
        <f>IF($I80=0,0,$Q79+$P80+$O80)</f>
      </c>
      <c r="R80" s="43">
        <f>IF($I80=0,0,$J80-$M80-$N80)</f>
      </c>
    </row>
    <row r="81">
      <c r="A81"/>
      <c r="B81">
        <v>1</v>
      </c>
      <c r="C81" s="43">
        <f>INDEX(DarlObj,1)</f>
      </c>
      <c r="D81">
        <v>78</v>
      </c>
      <c r="E81" s="51">
        <f>IF(INDEX(DarlBelegt,1)=0,0,EOMONTH(INDEX(DarlAuszahlung,1),77)+1)</f>
      </c>
      <c r="F81" s="43">
        <f>IF($E81=0,0,YEAR($E81))</f>
      </c>
      <c r="G81" s="43">
        <f>IF(INDEX(DarlBindung,1)="",1,IF($E81&lt;=INDEX(DarlBindung,1),1,0))</f>
      </c>
      <c r="H81" s="43">
        <f>IF($G81=1,INDEX(DarlSollzins,1),INDEX(DarlAnschluss,1))</f>
      </c>
      <c r="I81" s="43">
        <f>IF(INDEX(DarlBelegt,1)=0,0,IF(INDEX(DarlOhneTilgung,1)=1,IF(INDEX(DarlBindung,1)="",1,$G81),IF($J81&gt;0.005,1,0)))</f>
      </c>
      <c r="J81" s="43">
        <f>IF($I80=0,0,$R80)</f>
      </c>
      <c r="K81" s="43">
        <f>IF($I81=0,0,IF(INDEX(DarlOhneTilgung,1)=1,0,IF(AND(INDEX(DarlTilgStart,1)&gt;0,$E81=INDEX(DarlTilgStart,1)),$J81*($H81+INDEX(DarlTilgung,1))/100/12,IF(AND($G81=0,$G80=1),MAX($K80,$J81*($H81+1)/100/12),$K80))))</f>
      </c>
      <c r="L81" s="43">
        <f>IF($I81=0,0,$J81*$H81/100/12)</f>
      </c>
      <c r="M81" s="43">
        <f>IF($I81=0,0,IF(OR(INDEX(DarlOhneTilgung,1)=1,AND(INDEX(DarlTilgStart,1)&gt;0,$E81&lt;INDEX(DarlTilgStart,1))),0,MIN(MAX(0,$K81-$L81),$J81)))</f>
      </c>
      <c r="N81" s="43">
        <f>IF($I81=0,0,MIN(SUMIFS(SondBetrag,SondDarl,1,SondDatum,"&gt;="&amp;$E81,SondDatum,"&lt;="&amp;EOMONTH($E81,0)),$J81-$M81))</f>
      </c>
      <c r="O81" s="43">
        <f>IF($I81=0,0,INDEX(DarlErsatzRate,1))</f>
      </c>
      <c r="P81" s="43">
        <f>IF($I81=0,0,$Q80*INDEX(DarlErsatzZins,1))</f>
      </c>
      <c r="Q81" s="43">
        <f>IF($I81=0,0,$Q80+$P81+$O81)</f>
      </c>
      <c r="R81" s="43">
        <f>IF($I81=0,0,$J81-$M81-$N81)</f>
      </c>
    </row>
    <row r="82">
      <c r="A82"/>
      <c r="B82">
        <v>1</v>
      </c>
      <c r="C82" s="43">
        <f>INDEX(DarlObj,1)</f>
      </c>
      <c r="D82">
        <v>79</v>
      </c>
      <c r="E82" s="51">
        <f>IF(INDEX(DarlBelegt,1)=0,0,EOMONTH(INDEX(DarlAuszahlung,1),78)+1)</f>
      </c>
      <c r="F82" s="43">
        <f>IF($E82=0,0,YEAR($E82))</f>
      </c>
      <c r="G82" s="43">
        <f>IF(INDEX(DarlBindung,1)="",1,IF($E82&lt;=INDEX(DarlBindung,1),1,0))</f>
      </c>
      <c r="H82" s="43">
        <f>IF($G82=1,INDEX(DarlSollzins,1),INDEX(DarlAnschluss,1))</f>
      </c>
      <c r="I82" s="43">
        <f>IF(INDEX(DarlBelegt,1)=0,0,IF(INDEX(DarlOhneTilgung,1)=1,IF(INDEX(DarlBindung,1)="",1,$G82),IF($J82&gt;0.005,1,0)))</f>
      </c>
      <c r="J82" s="43">
        <f>IF($I81=0,0,$R81)</f>
      </c>
      <c r="K82" s="43">
        <f>IF($I82=0,0,IF(INDEX(DarlOhneTilgung,1)=1,0,IF(AND(INDEX(DarlTilgStart,1)&gt;0,$E82=INDEX(DarlTilgStart,1)),$J82*($H82+INDEX(DarlTilgung,1))/100/12,IF(AND($G82=0,$G81=1),MAX($K81,$J82*($H82+1)/100/12),$K81))))</f>
      </c>
      <c r="L82" s="43">
        <f>IF($I82=0,0,$J82*$H82/100/12)</f>
      </c>
      <c r="M82" s="43">
        <f>IF($I82=0,0,IF(OR(INDEX(DarlOhneTilgung,1)=1,AND(INDEX(DarlTilgStart,1)&gt;0,$E82&lt;INDEX(DarlTilgStart,1))),0,MIN(MAX(0,$K82-$L82),$J82)))</f>
      </c>
      <c r="N82" s="43">
        <f>IF($I82=0,0,MIN(SUMIFS(SondBetrag,SondDarl,1,SondDatum,"&gt;="&amp;$E82,SondDatum,"&lt;="&amp;EOMONTH($E82,0)),$J82-$M82))</f>
      </c>
      <c r="O82" s="43">
        <f>IF($I82=0,0,INDEX(DarlErsatzRate,1))</f>
      </c>
      <c r="P82" s="43">
        <f>IF($I82=0,0,$Q81*INDEX(DarlErsatzZins,1))</f>
      </c>
      <c r="Q82" s="43">
        <f>IF($I82=0,0,$Q81+$P82+$O82)</f>
      </c>
      <c r="R82" s="43">
        <f>IF($I82=0,0,$J82-$M82-$N82)</f>
      </c>
    </row>
    <row r="83">
      <c r="A83"/>
      <c r="B83">
        <v>1</v>
      </c>
      <c r="C83" s="43">
        <f>INDEX(DarlObj,1)</f>
      </c>
      <c r="D83">
        <v>80</v>
      </c>
      <c r="E83" s="51">
        <f>IF(INDEX(DarlBelegt,1)=0,0,EOMONTH(INDEX(DarlAuszahlung,1),79)+1)</f>
      </c>
      <c r="F83" s="43">
        <f>IF($E83=0,0,YEAR($E83))</f>
      </c>
      <c r="G83" s="43">
        <f>IF(INDEX(DarlBindung,1)="",1,IF($E83&lt;=INDEX(DarlBindung,1),1,0))</f>
      </c>
      <c r="H83" s="43">
        <f>IF($G83=1,INDEX(DarlSollzins,1),INDEX(DarlAnschluss,1))</f>
      </c>
      <c r="I83" s="43">
        <f>IF(INDEX(DarlBelegt,1)=0,0,IF(INDEX(DarlOhneTilgung,1)=1,IF(INDEX(DarlBindung,1)="",1,$G83),IF($J83&gt;0.005,1,0)))</f>
      </c>
      <c r="J83" s="43">
        <f>IF($I82=0,0,$R82)</f>
      </c>
      <c r="K83" s="43">
        <f>IF($I83=0,0,IF(INDEX(DarlOhneTilgung,1)=1,0,IF(AND(INDEX(DarlTilgStart,1)&gt;0,$E83=INDEX(DarlTilgStart,1)),$J83*($H83+INDEX(DarlTilgung,1))/100/12,IF(AND($G83=0,$G82=1),MAX($K82,$J83*($H83+1)/100/12),$K82))))</f>
      </c>
      <c r="L83" s="43">
        <f>IF($I83=0,0,$J83*$H83/100/12)</f>
      </c>
      <c r="M83" s="43">
        <f>IF($I83=0,0,IF(OR(INDEX(DarlOhneTilgung,1)=1,AND(INDEX(DarlTilgStart,1)&gt;0,$E83&lt;INDEX(DarlTilgStart,1))),0,MIN(MAX(0,$K83-$L83),$J83)))</f>
      </c>
      <c r="N83" s="43">
        <f>IF($I83=0,0,MIN(SUMIFS(SondBetrag,SondDarl,1,SondDatum,"&gt;="&amp;$E83,SondDatum,"&lt;="&amp;EOMONTH($E83,0)),$J83-$M83))</f>
      </c>
      <c r="O83" s="43">
        <f>IF($I83=0,0,INDEX(DarlErsatzRate,1))</f>
      </c>
      <c r="P83" s="43">
        <f>IF($I83=0,0,$Q82*INDEX(DarlErsatzZins,1))</f>
      </c>
      <c r="Q83" s="43">
        <f>IF($I83=0,0,$Q82+$P83+$O83)</f>
      </c>
      <c r="R83" s="43">
        <f>IF($I83=0,0,$J83-$M83-$N83)</f>
      </c>
    </row>
    <row r="84">
      <c r="A84"/>
      <c r="B84">
        <v>1</v>
      </c>
      <c r="C84" s="43">
        <f>INDEX(DarlObj,1)</f>
      </c>
      <c r="D84">
        <v>81</v>
      </c>
      <c r="E84" s="51">
        <f>IF(INDEX(DarlBelegt,1)=0,0,EOMONTH(INDEX(DarlAuszahlung,1),80)+1)</f>
      </c>
      <c r="F84" s="43">
        <f>IF($E84=0,0,YEAR($E84))</f>
      </c>
      <c r="G84" s="43">
        <f>IF(INDEX(DarlBindung,1)="",1,IF($E84&lt;=INDEX(DarlBindung,1),1,0))</f>
      </c>
      <c r="H84" s="43">
        <f>IF($G84=1,INDEX(DarlSollzins,1),INDEX(DarlAnschluss,1))</f>
      </c>
      <c r="I84" s="43">
        <f>IF(INDEX(DarlBelegt,1)=0,0,IF(INDEX(DarlOhneTilgung,1)=1,IF(INDEX(DarlBindung,1)="",1,$G84),IF($J84&gt;0.005,1,0)))</f>
      </c>
      <c r="J84" s="43">
        <f>IF($I83=0,0,$R83)</f>
      </c>
      <c r="K84" s="43">
        <f>IF($I84=0,0,IF(INDEX(DarlOhneTilgung,1)=1,0,IF(AND(INDEX(DarlTilgStart,1)&gt;0,$E84=INDEX(DarlTilgStart,1)),$J84*($H84+INDEX(DarlTilgung,1))/100/12,IF(AND($G84=0,$G83=1),MAX($K83,$J84*($H84+1)/100/12),$K83))))</f>
      </c>
      <c r="L84" s="43">
        <f>IF($I84=0,0,$J84*$H84/100/12)</f>
      </c>
      <c r="M84" s="43">
        <f>IF($I84=0,0,IF(OR(INDEX(DarlOhneTilgung,1)=1,AND(INDEX(DarlTilgStart,1)&gt;0,$E84&lt;INDEX(DarlTilgStart,1))),0,MIN(MAX(0,$K84-$L84),$J84)))</f>
      </c>
      <c r="N84" s="43">
        <f>IF($I84=0,0,MIN(SUMIFS(SondBetrag,SondDarl,1,SondDatum,"&gt;="&amp;$E84,SondDatum,"&lt;="&amp;EOMONTH($E84,0)),$J84-$M84))</f>
      </c>
      <c r="O84" s="43">
        <f>IF($I84=0,0,INDEX(DarlErsatzRate,1))</f>
      </c>
      <c r="P84" s="43">
        <f>IF($I84=0,0,$Q83*INDEX(DarlErsatzZins,1))</f>
      </c>
      <c r="Q84" s="43">
        <f>IF($I84=0,0,$Q83+$P84+$O84)</f>
      </c>
      <c r="R84" s="43">
        <f>IF($I84=0,0,$J84-$M84-$N84)</f>
      </c>
    </row>
    <row r="85">
      <c r="A85"/>
      <c r="B85">
        <v>1</v>
      </c>
      <c r="C85" s="43">
        <f>INDEX(DarlObj,1)</f>
      </c>
      <c r="D85">
        <v>82</v>
      </c>
      <c r="E85" s="51">
        <f>IF(INDEX(DarlBelegt,1)=0,0,EOMONTH(INDEX(DarlAuszahlung,1),81)+1)</f>
      </c>
      <c r="F85" s="43">
        <f>IF($E85=0,0,YEAR($E85))</f>
      </c>
      <c r="G85" s="43">
        <f>IF(INDEX(DarlBindung,1)="",1,IF($E85&lt;=INDEX(DarlBindung,1),1,0))</f>
      </c>
      <c r="H85" s="43">
        <f>IF($G85=1,INDEX(DarlSollzins,1),INDEX(DarlAnschluss,1))</f>
      </c>
      <c r="I85" s="43">
        <f>IF(INDEX(DarlBelegt,1)=0,0,IF(INDEX(DarlOhneTilgung,1)=1,IF(INDEX(DarlBindung,1)="",1,$G85),IF($J85&gt;0.005,1,0)))</f>
      </c>
      <c r="J85" s="43">
        <f>IF($I84=0,0,$R84)</f>
      </c>
      <c r="K85" s="43">
        <f>IF($I85=0,0,IF(INDEX(DarlOhneTilgung,1)=1,0,IF(AND(INDEX(DarlTilgStart,1)&gt;0,$E85=INDEX(DarlTilgStart,1)),$J85*($H85+INDEX(DarlTilgung,1))/100/12,IF(AND($G85=0,$G84=1),MAX($K84,$J85*($H85+1)/100/12),$K84))))</f>
      </c>
      <c r="L85" s="43">
        <f>IF($I85=0,0,$J85*$H85/100/12)</f>
      </c>
      <c r="M85" s="43">
        <f>IF($I85=0,0,IF(OR(INDEX(DarlOhneTilgung,1)=1,AND(INDEX(DarlTilgStart,1)&gt;0,$E85&lt;INDEX(DarlTilgStart,1))),0,MIN(MAX(0,$K85-$L85),$J85)))</f>
      </c>
      <c r="N85" s="43">
        <f>IF($I85=0,0,MIN(SUMIFS(SondBetrag,SondDarl,1,SondDatum,"&gt;="&amp;$E85,SondDatum,"&lt;="&amp;EOMONTH($E85,0)),$J85-$M85))</f>
      </c>
      <c r="O85" s="43">
        <f>IF($I85=0,0,INDEX(DarlErsatzRate,1))</f>
      </c>
      <c r="P85" s="43">
        <f>IF($I85=0,0,$Q84*INDEX(DarlErsatzZins,1))</f>
      </c>
      <c r="Q85" s="43">
        <f>IF($I85=0,0,$Q84+$P85+$O85)</f>
      </c>
      <c r="R85" s="43">
        <f>IF($I85=0,0,$J85-$M85-$N85)</f>
      </c>
    </row>
    <row r="86">
      <c r="A86"/>
      <c r="B86">
        <v>1</v>
      </c>
      <c r="C86" s="43">
        <f>INDEX(DarlObj,1)</f>
      </c>
      <c r="D86">
        <v>83</v>
      </c>
      <c r="E86" s="51">
        <f>IF(INDEX(DarlBelegt,1)=0,0,EOMONTH(INDEX(DarlAuszahlung,1),82)+1)</f>
      </c>
      <c r="F86" s="43">
        <f>IF($E86=0,0,YEAR($E86))</f>
      </c>
      <c r="G86" s="43">
        <f>IF(INDEX(DarlBindung,1)="",1,IF($E86&lt;=INDEX(DarlBindung,1),1,0))</f>
      </c>
      <c r="H86" s="43">
        <f>IF($G86=1,INDEX(DarlSollzins,1),INDEX(DarlAnschluss,1))</f>
      </c>
      <c r="I86" s="43">
        <f>IF(INDEX(DarlBelegt,1)=0,0,IF(INDEX(DarlOhneTilgung,1)=1,IF(INDEX(DarlBindung,1)="",1,$G86),IF($J86&gt;0.005,1,0)))</f>
      </c>
      <c r="J86" s="43">
        <f>IF($I85=0,0,$R85)</f>
      </c>
      <c r="K86" s="43">
        <f>IF($I86=0,0,IF(INDEX(DarlOhneTilgung,1)=1,0,IF(AND(INDEX(DarlTilgStart,1)&gt;0,$E86=INDEX(DarlTilgStart,1)),$J86*($H86+INDEX(DarlTilgung,1))/100/12,IF(AND($G86=0,$G85=1),MAX($K85,$J86*($H86+1)/100/12),$K85))))</f>
      </c>
      <c r="L86" s="43">
        <f>IF($I86=0,0,$J86*$H86/100/12)</f>
      </c>
      <c r="M86" s="43">
        <f>IF($I86=0,0,IF(OR(INDEX(DarlOhneTilgung,1)=1,AND(INDEX(DarlTilgStart,1)&gt;0,$E86&lt;INDEX(DarlTilgStart,1))),0,MIN(MAX(0,$K86-$L86),$J86)))</f>
      </c>
      <c r="N86" s="43">
        <f>IF($I86=0,0,MIN(SUMIFS(SondBetrag,SondDarl,1,SondDatum,"&gt;="&amp;$E86,SondDatum,"&lt;="&amp;EOMONTH($E86,0)),$J86-$M86))</f>
      </c>
      <c r="O86" s="43">
        <f>IF($I86=0,0,INDEX(DarlErsatzRate,1))</f>
      </c>
      <c r="P86" s="43">
        <f>IF($I86=0,0,$Q85*INDEX(DarlErsatzZins,1))</f>
      </c>
      <c r="Q86" s="43">
        <f>IF($I86=0,0,$Q85+$P86+$O86)</f>
      </c>
      <c r="R86" s="43">
        <f>IF($I86=0,0,$J86-$M86-$N86)</f>
      </c>
    </row>
    <row r="87">
      <c r="A87"/>
      <c r="B87">
        <v>1</v>
      </c>
      <c r="C87" s="43">
        <f>INDEX(DarlObj,1)</f>
      </c>
      <c r="D87">
        <v>84</v>
      </c>
      <c r="E87" s="51">
        <f>IF(INDEX(DarlBelegt,1)=0,0,EOMONTH(INDEX(DarlAuszahlung,1),83)+1)</f>
      </c>
      <c r="F87" s="43">
        <f>IF($E87=0,0,YEAR($E87))</f>
      </c>
      <c r="G87" s="43">
        <f>IF(INDEX(DarlBindung,1)="",1,IF($E87&lt;=INDEX(DarlBindung,1),1,0))</f>
      </c>
      <c r="H87" s="43">
        <f>IF($G87=1,INDEX(DarlSollzins,1),INDEX(DarlAnschluss,1))</f>
      </c>
      <c r="I87" s="43">
        <f>IF(INDEX(DarlBelegt,1)=0,0,IF(INDEX(DarlOhneTilgung,1)=1,IF(INDEX(DarlBindung,1)="",1,$G87),IF($J87&gt;0.005,1,0)))</f>
      </c>
      <c r="J87" s="43">
        <f>IF($I86=0,0,$R86)</f>
      </c>
      <c r="K87" s="43">
        <f>IF($I87=0,0,IF(INDEX(DarlOhneTilgung,1)=1,0,IF(AND(INDEX(DarlTilgStart,1)&gt;0,$E87=INDEX(DarlTilgStart,1)),$J87*($H87+INDEX(DarlTilgung,1))/100/12,IF(AND($G87=0,$G86=1),MAX($K86,$J87*($H87+1)/100/12),$K86))))</f>
      </c>
      <c r="L87" s="43">
        <f>IF($I87=0,0,$J87*$H87/100/12)</f>
      </c>
      <c r="M87" s="43">
        <f>IF($I87=0,0,IF(OR(INDEX(DarlOhneTilgung,1)=1,AND(INDEX(DarlTilgStart,1)&gt;0,$E87&lt;INDEX(DarlTilgStart,1))),0,MIN(MAX(0,$K87-$L87),$J87)))</f>
      </c>
      <c r="N87" s="43">
        <f>IF($I87=0,0,MIN(SUMIFS(SondBetrag,SondDarl,1,SondDatum,"&gt;="&amp;$E87,SondDatum,"&lt;="&amp;EOMONTH($E87,0)),$J87-$M87))</f>
      </c>
      <c r="O87" s="43">
        <f>IF($I87=0,0,INDEX(DarlErsatzRate,1))</f>
      </c>
      <c r="P87" s="43">
        <f>IF($I87=0,0,$Q86*INDEX(DarlErsatzZins,1))</f>
      </c>
      <c r="Q87" s="43">
        <f>IF($I87=0,0,$Q86+$P87+$O87)</f>
      </c>
      <c r="R87" s="43">
        <f>IF($I87=0,0,$J87-$M87-$N87)</f>
      </c>
    </row>
    <row r="88">
      <c r="A88"/>
      <c r="B88">
        <v>1</v>
      </c>
      <c r="C88" s="43">
        <f>INDEX(DarlObj,1)</f>
      </c>
      <c r="D88">
        <v>85</v>
      </c>
      <c r="E88" s="51">
        <f>IF(INDEX(DarlBelegt,1)=0,0,EOMONTH(INDEX(DarlAuszahlung,1),84)+1)</f>
      </c>
      <c r="F88" s="43">
        <f>IF($E88=0,0,YEAR($E88))</f>
      </c>
      <c r="G88" s="43">
        <f>IF(INDEX(DarlBindung,1)="",1,IF($E88&lt;=INDEX(DarlBindung,1),1,0))</f>
      </c>
      <c r="H88" s="43">
        <f>IF($G88=1,INDEX(DarlSollzins,1),INDEX(DarlAnschluss,1))</f>
      </c>
      <c r="I88" s="43">
        <f>IF(INDEX(DarlBelegt,1)=0,0,IF(INDEX(DarlOhneTilgung,1)=1,IF(INDEX(DarlBindung,1)="",1,$G88),IF($J88&gt;0.005,1,0)))</f>
      </c>
      <c r="J88" s="43">
        <f>IF($I87=0,0,$R87)</f>
      </c>
      <c r="K88" s="43">
        <f>IF($I88=0,0,IF(INDEX(DarlOhneTilgung,1)=1,0,IF(AND(INDEX(DarlTilgStart,1)&gt;0,$E88=INDEX(DarlTilgStart,1)),$J88*($H88+INDEX(DarlTilgung,1))/100/12,IF(AND($G88=0,$G87=1),MAX($K87,$J88*($H88+1)/100/12),$K87))))</f>
      </c>
      <c r="L88" s="43">
        <f>IF($I88=0,0,$J88*$H88/100/12)</f>
      </c>
      <c r="M88" s="43">
        <f>IF($I88=0,0,IF(OR(INDEX(DarlOhneTilgung,1)=1,AND(INDEX(DarlTilgStart,1)&gt;0,$E88&lt;INDEX(DarlTilgStart,1))),0,MIN(MAX(0,$K88-$L88),$J88)))</f>
      </c>
      <c r="N88" s="43">
        <f>IF($I88=0,0,MIN(SUMIFS(SondBetrag,SondDarl,1,SondDatum,"&gt;="&amp;$E88,SondDatum,"&lt;="&amp;EOMONTH($E88,0)),$J88-$M88))</f>
      </c>
      <c r="O88" s="43">
        <f>IF($I88=0,0,INDEX(DarlErsatzRate,1))</f>
      </c>
      <c r="P88" s="43">
        <f>IF($I88=0,0,$Q87*INDEX(DarlErsatzZins,1))</f>
      </c>
      <c r="Q88" s="43">
        <f>IF($I88=0,0,$Q87+$P88+$O88)</f>
      </c>
      <c r="R88" s="43">
        <f>IF($I88=0,0,$J88-$M88-$N88)</f>
      </c>
    </row>
    <row r="89">
      <c r="A89"/>
      <c r="B89">
        <v>1</v>
      </c>
      <c r="C89" s="43">
        <f>INDEX(DarlObj,1)</f>
      </c>
      <c r="D89">
        <v>86</v>
      </c>
      <c r="E89" s="51">
        <f>IF(INDEX(DarlBelegt,1)=0,0,EOMONTH(INDEX(DarlAuszahlung,1),85)+1)</f>
      </c>
      <c r="F89" s="43">
        <f>IF($E89=0,0,YEAR($E89))</f>
      </c>
      <c r="G89" s="43">
        <f>IF(INDEX(DarlBindung,1)="",1,IF($E89&lt;=INDEX(DarlBindung,1),1,0))</f>
      </c>
      <c r="H89" s="43">
        <f>IF($G89=1,INDEX(DarlSollzins,1),INDEX(DarlAnschluss,1))</f>
      </c>
      <c r="I89" s="43">
        <f>IF(INDEX(DarlBelegt,1)=0,0,IF(INDEX(DarlOhneTilgung,1)=1,IF(INDEX(DarlBindung,1)="",1,$G89),IF($J89&gt;0.005,1,0)))</f>
      </c>
      <c r="J89" s="43">
        <f>IF($I88=0,0,$R88)</f>
      </c>
      <c r="K89" s="43">
        <f>IF($I89=0,0,IF(INDEX(DarlOhneTilgung,1)=1,0,IF(AND(INDEX(DarlTilgStart,1)&gt;0,$E89=INDEX(DarlTilgStart,1)),$J89*($H89+INDEX(DarlTilgung,1))/100/12,IF(AND($G89=0,$G88=1),MAX($K88,$J89*($H89+1)/100/12),$K88))))</f>
      </c>
      <c r="L89" s="43">
        <f>IF($I89=0,0,$J89*$H89/100/12)</f>
      </c>
      <c r="M89" s="43">
        <f>IF($I89=0,0,IF(OR(INDEX(DarlOhneTilgung,1)=1,AND(INDEX(DarlTilgStart,1)&gt;0,$E89&lt;INDEX(DarlTilgStart,1))),0,MIN(MAX(0,$K89-$L89),$J89)))</f>
      </c>
      <c r="N89" s="43">
        <f>IF($I89=0,0,MIN(SUMIFS(SondBetrag,SondDarl,1,SondDatum,"&gt;="&amp;$E89,SondDatum,"&lt;="&amp;EOMONTH($E89,0)),$J89-$M89))</f>
      </c>
      <c r="O89" s="43">
        <f>IF($I89=0,0,INDEX(DarlErsatzRate,1))</f>
      </c>
      <c r="P89" s="43">
        <f>IF($I89=0,0,$Q88*INDEX(DarlErsatzZins,1))</f>
      </c>
      <c r="Q89" s="43">
        <f>IF($I89=0,0,$Q88+$P89+$O89)</f>
      </c>
      <c r="R89" s="43">
        <f>IF($I89=0,0,$J89-$M89-$N89)</f>
      </c>
    </row>
    <row r="90">
      <c r="A90"/>
      <c r="B90">
        <v>1</v>
      </c>
      <c r="C90" s="43">
        <f>INDEX(DarlObj,1)</f>
      </c>
      <c r="D90">
        <v>87</v>
      </c>
      <c r="E90" s="51">
        <f>IF(INDEX(DarlBelegt,1)=0,0,EOMONTH(INDEX(DarlAuszahlung,1),86)+1)</f>
      </c>
      <c r="F90" s="43">
        <f>IF($E90=0,0,YEAR($E90))</f>
      </c>
      <c r="G90" s="43">
        <f>IF(INDEX(DarlBindung,1)="",1,IF($E90&lt;=INDEX(DarlBindung,1),1,0))</f>
      </c>
      <c r="H90" s="43">
        <f>IF($G90=1,INDEX(DarlSollzins,1),INDEX(DarlAnschluss,1))</f>
      </c>
      <c r="I90" s="43">
        <f>IF(INDEX(DarlBelegt,1)=0,0,IF(INDEX(DarlOhneTilgung,1)=1,IF(INDEX(DarlBindung,1)="",1,$G90),IF($J90&gt;0.005,1,0)))</f>
      </c>
      <c r="J90" s="43">
        <f>IF($I89=0,0,$R89)</f>
      </c>
      <c r="K90" s="43">
        <f>IF($I90=0,0,IF(INDEX(DarlOhneTilgung,1)=1,0,IF(AND(INDEX(DarlTilgStart,1)&gt;0,$E90=INDEX(DarlTilgStart,1)),$J90*($H90+INDEX(DarlTilgung,1))/100/12,IF(AND($G90=0,$G89=1),MAX($K89,$J90*($H90+1)/100/12),$K89))))</f>
      </c>
      <c r="L90" s="43">
        <f>IF($I90=0,0,$J90*$H90/100/12)</f>
      </c>
      <c r="M90" s="43">
        <f>IF($I90=0,0,IF(OR(INDEX(DarlOhneTilgung,1)=1,AND(INDEX(DarlTilgStart,1)&gt;0,$E90&lt;INDEX(DarlTilgStart,1))),0,MIN(MAX(0,$K90-$L90),$J90)))</f>
      </c>
      <c r="N90" s="43">
        <f>IF($I90=0,0,MIN(SUMIFS(SondBetrag,SondDarl,1,SondDatum,"&gt;="&amp;$E90,SondDatum,"&lt;="&amp;EOMONTH($E90,0)),$J90-$M90))</f>
      </c>
      <c r="O90" s="43">
        <f>IF($I90=0,0,INDEX(DarlErsatzRate,1))</f>
      </c>
      <c r="P90" s="43">
        <f>IF($I90=0,0,$Q89*INDEX(DarlErsatzZins,1))</f>
      </c>
      <c r="Q90" s="43">
        <f>IF($I90=0,0,$Q89+$P90+$O90)</f>
      </c>
      <c r="R90" s="43">
        <f>IF($I90=0,0,$J90-$M90-$N90)</f>
      </c>
    </row>
    <row r="91">
      <c r="A91"/>
      <c r="B91">
        <v>1</v>
      </c>
      <c r="C91" s="43">
        <f>INDEX(DarlObj,1)</f>
      </c>
      <c r="D91">
        <v>88</v>
      </c>
      <c r="E91" s="51">
        <f>IF(INDEX(DarlBelegt,1)=0,0,EOMONTH(INDEX(DarlAuszahlung,1),87)+1)</f>
      </c>
      <c r="F91" s="43">
        <f>IF($E91=0,0,YEAR($E91))</f>
      </c>
      <c r="G91" s="43">
        <f>IF(INDEX(DarlBindung,1)="",1,IF($E91&lt;=INDEX(DarlBindung,1),1,0))</f>
      </c>
      <c r="H91" s="43">
        <f>IF($G91=1,INDEX(DarlSollzins,1),INDEX(DarlAnschluss,1))</f>
      </c>
      <c r="I91" s="43">
        <f>IF(INDEX(DarlBelegt,1)=0,0,IF(INDEX(DarlOhneTilgung,1)=1,IF(INDEX(DarlBindung,1)="",1,$G91),IF($J91&gt;0.005,1,0)))</f>
      </c>
      <c r="J91" s="43">
        <f>IF($I90=0,0,$R90)</f>
      </c>
      <c r="K91" s="43">
        <f>IF($I91=0,0,IF(INDEX(DarlOhneTilgung,1)=1,0,IF(AND(INDEX(DarlTilgStart,1)&gt;0,$E91=INDEX(DarlTilgStart,1)),$J91*($H91+INDEX(DarlTilgung,1))/100/12,IF(AND($G91=0,$G90=1),MAX($K90,$J91*($H91+1)/100/12),$K90))))</f>
      </c>
      <c r="L91" s="43">
        <f>IF($I91=0,0,$J91*$H91/100/12)</f>
      </c>
      <c r="M91" s="43">
        <f>IF($I91=0,0,IF(OR(INDEX(DarlOhneTilgung,1)=1,AND(INDEX(DarlTilgStart,1)&gt;0,$E91&lt;INDEX(DarlTilgStart,1))),0,MIN(MAX(0,$K91-$L91),$J91)))</f>
      </c>
      <c r="N91" s="43">
        <f>IF($I91=0,0,MIN(SUMIFS(SondBetrag,SondDarl,1,SondDatum,"&gt;="&amp;$E91,SondDatum,"&lt;="&amp;EOMONTH($E91,0)),$J91-$M91))</f>
      </c>
      <c r="O91" s="43">
        <f>IF($I91=0,0,INDEX(DarlErsatzRate,1))</f>
      </c>
      <c r="P91" s="43">
        <f>IF($I91=0,0,$Q90*INDEX(DarlErsatzZins,1))</f>
      </c>
      <c r="Q91" s="43">
        <f>IF($I91=0,0,$Q90+$P91+$O91)</f>
      </c>
      <c r="R91" s="43">
        <f>IF($I91=0,0,$J91-$M91-$N91)</f>
      </c>
    </row>
    <row r="92">
      <c r="A92"/>
      <c r="B92">
        <v>1</v>
      </c>
      <c r="C92" s="43">
        <f>INDEX(DarlObj,1)</f>
      </c>
      <c r="D92">
        <v>89</v>
      </c>
      <c r="E92" s="51">
        <f>IF(INDEX(DarlBelegt,1)=0,0,EOMONTH(INDEX(DarlAuszahlung,1),88)+1)</f>
      </c>
      <c r="F92" s="43">
        <f>IF($E92=0,0,YEAR($E92))</f>
      </c>
      <c r="G92" s="43">
        <f>IF(INDEX(DarlBindung,1)="",1,IF($E92&lt;=INDEX(DarlBindung,1),1,0))</f>
      </c>
      <c r="H92" s="43">
        <f>IF($G92=1,INDEX(DarlSollzins,1),INDEX(DarlAnschluss,1))</f>
      </c>
      <c r="I92" s="43">
        <f>IF(INDEX(DarlBelegt,1)=0,0,IF(INDEX(DarlOhneTilgung,1)=1,IF(INDEX(DarlBindung,1)="",1,$G92),IF($J92&gt;0.005,1,0)))</f>
      </c>
      <c r="J92" s="43">
        <f>IF($I91=0,0,$R91)</f>
      </c>
      <c r="K92" s="43">
        <f>IF($I92=0,0,IF(INDEX(DarlOhneTilgung,1)=1,0,IF(AND(INDEX(DarlTilgStart,1)&gt;0,$E92=INDEX(DarlTilgStart,1)),$J92*($H92+INDEX(DarlTilgung,1))/100/12,IF(AND($G92=0,$G91=1),MAX($K91,$J92*($H92+1)/100/12),$K91))))</f>
      </c>
      <c r="L92" s="43">
        <f>IF($I92=0,0,$J92*$H92/100/12)</f>
      </c>
      <c r="M92" s="43">
        <f>IF($I92=0,0,IF(OR(INDEX(DarlOhneTilgung,1)=1,AND(INDEX(DarlTilgStart,1)&gt;0,$E92&lt;INDEX(DarlTilgStart,1))),0,MIN(MAX(0,$K92-$L92),$J92)))</f>
      </c>
      <c r="N92" s="43">
        <f>IF($I92=0,0,MIN(SUMIFS(SondBetrag,SondDarl,1,SondDatum,"&gt;="&amp;$E92,SondDatum,"&lt;="&amp;EOMONTH($E92,0)),$J92-$M92))</f>
      </c>
      <c r="O92" s="43">
        <f>IF($I92=0,0,INDEX(DarlErsatzRate,1))</f>
      </c>
      <c r="P92" s="43">
        <f>IF($I92=0,0,$Q91*INDEX(DarlErsatzZins,1))</f>
      </c>
      <c r="Q92" s="43">
        <f>IF($I92=0,0,$Q91+$P92+$O92)</f>
      </c>
      <c r="R92" s="43">
        <f>IF($I92=0,0,$J92-$M92-$N92)</f>
      </c>
    </row>
    <row r="93">
      <c r="A93"/>
      <c r="B93">
        <v>1</v>
      </c>
      <c r="C93" s="43">
        <f>INDEX(DarlObj,1)</f>
      </c>
      <c r="D93">
        <v>90</v>
      </c>
      <c r="E93" s="51">
        <f>IF(INDEX(DarlBelegt,1)=0,0,EOMONTH(INDEX(DarlAuszahlung,1),89)+1)</f>
      </c>
      <c r="F93" s="43">
        <f>IF($E93=0,0,YEAR($E93))</f>
      </c>
      <c r="G93" s="43">
        <f>IF(INDEX(DarlBindung,1)="",1,IF($E93&lt;=INDEX(DarlBindung,1),1,0))</f>
      </c>
      <c r="H93" s="43">
        <f>IF($G93=1,INDEX(DarlSollzins,1),INDEX(DarlAnschluss,1))</f>
      </c>
      <c r="I93" s="43">
        <f>IF(INDEX(DarlBelegt,1)=0,0,IF(INDEX(DarlOhneTilgung,1)=1,IF(INDEX(DarlBindung,1)="",1,$G93),IF($J93&gt;0.005,1,0)))</f>
      </c>
      <c r="J93" s="43">
        <f>IF($I92=0,0,$R92)</f>
      </c>
      <c r="K93" s="43">
        <f>IF($I93=0,0,IF(INDEX(DarlOhneTilgung,1)=1,0,IF(AND(INDEX(DarlTilgStart,1)&gt;0,$E93=INDEX(DarlTilgStart,1)),$J93*($H93+INDEX(DarlTilgung,1))/100/12,IF(AND($G93=0,$G92=1),MAX($K92,$J93*($H93+1)/100/12),$K92))))</f>
      </c>
      <c r="L93" s="43">
        <f>IF($I93=0,0,$J93*$H93/100/12)</f>
      </c>
      <c r="M93" s="43">
        <f>IF($I93=0,0,IF(OR(INDEX(DarlOhneTilgung,1)=1,AND(INDEX(DarlTilgStart,1)&gt;0,$E93&lt;INDEX(DarlTilgStart,1))),0,MIN(MAX(0,$K93-$L93),$J93)))</f>
      </c>
      <c r="N93" s="43">
        <f>IF($I93=0,0,MIN(SUMIFS(SondBetrag,SondDarl,1,SondDatum,"&gt;="&amp;$E93,SondDatum,"&lt;="&amp;EOMONTH($E93,0)),$J93-$M93))</f>
      </c>
      <c r="O93" s="43">
        <f>IF($I93=0,0,INDEX(DarlErsatzRate,1))</f>
      </c>
      <c r="P93" s="43">
        <f>IF($I93=0,0,$Q92*INDEX(DarlErsatzZins,1))</f>
      </c>
      <c r="Q93" s="43">
        <f>IF($I93=0,0,$Q92+$P93+$O93)</f>
      </c>
      <c r="R93" s="43">
        <f>IF($I93=0,0,$J93-$M93-$N93)</f>
      </c>
    </row>
    <row r="94">
      <c r="A94"/>
      <c r="B94">
        <v>1</v>
      </c>
      <c r="C94" s="43">
        <f>INDEX(DarlObj,1)</f>
      </c>
      <c r="D94">
        <v>91</v>
      </c>
      <c r="E94" s="51">
        <f>IF(INDEX(DarlBelegt,1)=0,0,EOMONTH(INDEX(DarlAuszahlung,1),90)+1)</f>
      </c>
      <c r="F94" s="43">
        <f>IF($E94=0,0,YEAR($E94))</f>
      </c>
      <c r="G94" s="43">
        <f>IF(INDEX(DarlBindung,1)="",1,IF($E94&lt;=INDEX(DarlBindung,1),1,0))</f>
      </c>
      <c r="H94" s="43">
        <f>IF($G94=1,INDEX(DarlSollzins,1),INDEX(DarlAnschluss,1))</f>
      </c>
      <c r="I94" s="43">
        <f>IF(INDEX(DarlBelegt,1)=0,0,IF(INDEX(DarlOhneTilgung,1)=1,IF(INDEX(DarlBindung,1)="",1,$G94),IF($J94&gt;0.005,1,0)))</f>
      </c>
      <c r="J94" s="43">
        <f>IF($I93=0,0,$R93)</f>
      </c>
      <c r="K94" s="43">
        <f>IF($I94=0,0,IF(INDEX(DarlOhneTilgung,1)=1,0,IF(AND(INDEX(DarlTilgStart,1)&gt;0,$E94=INDEX(DarlTilgStart,1)),$J94*($H94+INDEX(DarlTilgung,1))/100/12,IF(AND($G94=0,$G93=1),MAX($K93,$J94*($H94+1)/100/12),$K93))))</f>
      </c>
      <c r="L94" s="43">
        <f>IF($I94=0,0,$J94*$H94/100/12)</f>
      </c>
      <c r="M94" s="43">
        <f>IF($I94=0,0,IF(OR(INDEX(DarlOhneTilgung,1)=1,AND(INDEX(DarlTilgStart,1)&gt;0,$E94&lt;INDEX(DarlTilgStart,1))),0,MIN(MAX(0,$K94-$L94),$J94)))</f>
      </c>
      <c r="N94" s="43">
        <f>IF($I94=0,0,MIN(SUMIFS(SondBetrag,SondDarl,1,SondDatum,"&gt;="&amp;$E94,SondDatum,"&lt;="&amp;EOMONTH($E94,0)),$J94-$M94))</f>
      </c>
      <c r="O94" s="43">
        <f>IF($I94=0,0,INDEX(DarlErsatzRate,1))</f>
      </c>
      <c r="P94" s="43">
        <f>IF($I94=0,0,$Q93*INDEX(DarlErsatzZins,1))</f>
      </c>
      <c r="Q94" s="43">
        <f>IF($I94=0,0,$Q93+$P94+$O94)</f>
      </c>
      <c r="R94" s="43">
        <f>IF($I94=0,0,$J94-$M94-$N94)</f>
      </c>
    </row>
    <row r="95">
      <c r="A95"/>
      <c r="B95">
        <v>1</v>
      </c>
      <c r="C95" s="43">
        <f>INDEX(DarlObj,1)</f>
      </c>
      <c r="D95">
        <v>92</v>
      </c>
      <c r="E95" s="51">
        <f>IF(INDEX(DarlBelegt,1)=0,0,EOMONTH(INDEX(DarlAuszahlung,1),91)+1)</f>
      </c>
      <c r="F95" s="43">
        <f>IF($E95=0,0,YEAR($E95))</f>
      </c>
      <c r="G95" s="43">
        <f>IF(INDEX(DarlBindung,1)="",1,IF($E95&lt;=INDEX(DarlBindung,1),1,0))</f>
      </c>
      <c r="H95" s="43">
        <f>IF($G95=1,INDEX(DarlSollzins,1),INDEX(DarlAnschluss,1))</f>
      </c>
      <c r="I95" s="43">
        <f>IF(INDEX(DarlBelegt,1)=0,0,IF(INDEX(DarlOhneTilgung,1)=1,IF(INDEX(DarlBindung,1)="",1,$G95),IF($J95&gt;0.005,1,0)))</f>
      </c>
      <c r="J95" s="43">
        <f>IF($I94=0,0,$R94)</f>
      </c>
      <c r="K95" s="43">
        <f>IF($I95=0,0,IF(INDEX(DarlOhneTilgung,1)=1,0,IF(AND(INDEX(DarlTilgStart,1)&gt;0,$E95=INDEX(DarlTilgStart,1)),$J95*($H95+INDEX(DarlTilgung,1))/100/12,IF(AND($G95=0,$G94=1),MAX($K94,$J95*($H95+1)/100/12),$K94))))</f>
      </c>
      <c r="L95" s="43">
        <f>IF($I95=0,0,$J95*$H95/100/12)</f>
      </c>
      <c r="M95" s="43">
        <f>IF($I95=0,0,IF(OR(INDEX(DarlOhneTilgung,1)=1,AND(INDEX(DarlTilgStart,1)&gt;0,$E95&lt;INDEX(DarlTilgStart,1))),0,MIN(MAX(0,$K95-$L95),$J95)))</f>
      </c>
      <c r="N95" s="43">
        <f>IF($I95=0,0,MIN(SUMIFS(SondBetrag,SondDarl,1,SondDatum,"&gt;="&amp;$E95,SondDatum,"&lt;="&amp;EOMONTH($E95,0)),$J95-$M95))</f>
      </c>
      <c r="O95" s="43">
        <f>IF($I95=0,0,INDEX(DarlErsatzRate,1))</f>
      </c>
      <c r="P95" s="43">
        <f>IF($I95=0,0,$Q94*INDEX(DarlErsatzZins,1))</f>
      </c>
      <c r="Q95" s="43">
        <f>IF($I95=0,0,$Q94+$P95+$O95)</f>
      </c>
      <c r="R95" s="43">
        <f>IF($I95=0,0,$J95-$M95-$N95)</f>
      </c>
    </row>
    <row r="96">
      <c r="A96"/>
      <c r="B96">
        <v>1</v>
      </c>
      <c r="C96" s="43">
        <f>INDEX(DarlObj,1)</f>
      </c>
      <c r="D96">
        <v>93</v>
      </c>
      <c r="E96" s="51">
        <f>IF(INDEX(DarlBelegt,1)=0,0,EOMONTH(INDEX(DarlAuszahlung,1),92)+1)</f>
      </c>
      <c r="F96" s="43">
        <f>IF($E96=0,0,YEAR($E96))</f>
      </c>
      <c r="G96" s="43">
        <f>IF(INDEX(DarlBindung,1)="",1,IF($E96&lt;=INDEX(DarlBindung,1),1,0))</f>
      </c>
      <c r="H96" s="43">
        <f>IF($G96=1,INDEX(DarlSollzins,1),INDEX(DarlAnschluss,1))</f>
      </c>
      <c r="I96" s="43">
        <f>IF(INDEX(DarlBelegt,1)=0,0,IF(INDEX(DarlOhneTilgung,1)=1,IF(INDEX(DarlBindung,1)="",1,$G96),IF($J96&gt;0.005,1,0)))</f>
      </c>
      <c r="J96" s="43">
        <f>IF($I95=0,0,$R95)</f>
      </c>
      <c r="K96" s="43">
        <f>IF($I96=0,0,IF(INDEX(DarlOhneTilgung,1)=1,0,IF(AND(INDEX(DarlTilgStart,1)&gt;0,$E96=INDEX(DarlTilgStart,1)),$J96*($H96+INDEX(DarlTilgung,1))/100/12,IF(AND($G96=0,$G95=1),MAX($K95,$J96*($H96+1)/100/12),$K95))))</f>
      </c>
      <c r="L96" s="43">
        <f>IF($I96=0,0,$J96*$H96/100/12)</f>
      </c>
      <c r="M96" s="43">
        <f>IF($I96=0,0,IF(OR(INDEX(DarlOhneTilgung,1)=1,AND(INDEX(DarlTilgStart,1)&gt;0,$E96&lt;INDEX(DarlTilgStart,1))),0,MIN(MAX(0,$K96-$L96),$J96)))</f>
      </c>
      <c r="N96" s="43">
        <f>IF($I96=0,0,MIN(SUMIFS(SondBetrag,SondDarl,1,SondDatum,"&gt;="&amp;$E96,SondDatum,"&lt;="&amp;EOMONTH($E96,0)),$J96-$M96))</f>
      </c>
      <c r="O96" s="43">
        <f>IF($I96=0,0,INDEX(DarlErsatzRate,1))</f>
      </c>
      <c r="P96" s="43">
        <f>IF($I96=0,0,$Q95*INDEX(DarlErsatzZins,1))</f>
      </c>
      <c r="Q96" s="43">
        <f>IF($I96=0,0,$Q95+$P96+$O96)</f>
      </c>
      <c r="R96" s="43">
        <f>IF($I96=0,0,$J96-$M96-$N96)</f>
      </c>
    </row>
    <row r="97">
      <c r="A97"/>
      <c r="B97">
        <v>1</v>
      </c>
      <c r="C97" s="43">
        <f>INDEX(DarlObj,1)</f>
      </c>
      <c r="D97">
        <v>94</v>
      </c>
      <c r="E97" s="51">
        <f>IF(INDEX(DarlBelegt,1)=0,0,EOMONTH(INDEX(DarlAuszahlung,1),93)+1)</f>
      </c>
      <c r="F97" s="43">
        <f>IF($E97=0,0,YEAR($E97))</f>
      </c>
      <c r="G97" s="43">
        <f>IF(INDEX(DarlBindung,1)="",1,IF($E97&lt;=INDEX(DarlBindung,1),1,0))</f>
      </c>
      <c r="H97" s="43">
        <f>IF($G97=1,INDEX(DarlSollzins,1),INDEX(DarlAnschluss,1))</f>
      </c>
      <c r="I97" s="43">
        <f>IF(INDEX(DarlBelegt,1)=0,0,IF(INDEX(DarlOhneTilgung,1)=1,IF(INDEX(DarlBindung,1)="",1,$G97),IF($J97&gt;0.005,1,0)))</f>
      </c>
      <c r="J97" s="43">
        <f>IF($I96=0,0,$R96)</f>
      </c>
      <c r="K97" s="43">
        <f>IF($I97=0,0,IF(INDEX(DarlOhneTilgung,1)=1,0,IF(AND(INDEX(DarlTilgStart,1)&gt;0,$E97=INDEX(DarlTilgStart,1)),$J97*($H97+INDEX(DarlTilgung,1))/100/12,IF(AND($G97=0,$G96=1),MAX($K96,$J97*($H97+1)/100/12),$K96))))</f>
      </c>
      <c r="L97" s="43">
        <f>IF($I97=0,0,$J97*$H97/100/12)</f>
      </c>
      <c r="M97" s="43">
        <f>IF($I97=0,0,IF(OR(INDEX(DarlOhneTilgung,1)=1,AND(INDEX(DarlTilgStart,1)&gt;0,$E97&lt;INDEX(DarlTilgStart,1))),0,MIN(MAX(0,$K97-$L97),$J97)))</f>
      </c>
      <c r="N97" s="43">
        <f>IF($I97=0,0,MIN(SUMIFS(SondBetrag,SondDarl,1,SondDatum,"&gt;="&amp;$E97,SondDatum,"&lt;="&amp;EOMONTH($E97,0)),$J97-$M97))</f>
      </c>
      <c r="O97" s="43">
        <f>IF($I97=0,0,INDEX(DarlErsatzRate,1))</f>
      </c>
      <c r="P97" s="43">
        <f>IF($I97=0,0,$Q96*INDEX(DarlErsatzZins,1))</f>
      </c>
      <c r="Q97" s="43">
        <f>IF($I97=0,0,$Q96+$P97+$O97)</f>
      </c>
      <c r="R97" s="43">
        <f>IF($I97=0,0,$J97-$M97-$N97)</f>
      </c>
    </row>
    <row r="98">
      <c r="A98"/>
      <c r="B98">
        <v>1</v>
      </c>
      <c r="C98" s="43">
        <f>INDEX(DarlObj,1)</f>
      </c>
      <c r="D98">
        <v>95</v>
      </c>
      <c r="E98" s="51">
        <f>IF(INDEX(DarlBelegt,1)=0,0,EOMONTH(INDEX(DarlAuszahlung,1),94)+1)</f>
      </c>
      <c r="F98" s="43">
        <f>IF($E98=0,0,YEAR($E98))</f>
      </c>
      <c r="G98" s="43">
        <f>IF(INDEX(DarlBindung,1)="",1,IF($E98&lt;=INDEX(DarlBindung,1),1,0))</f>
      </c>
      <c r="H98" s="43">
        <f>IF($G98=1,INDEX(DarlSollzins,1),INDEX(DarlAnschluss,1))</f>
      </c>
      <c r="I98" s="43">
        <f>IF(INDEX(DarlBelegt,1)=0,0,IF(INDEX(DarlOhneTilgung,1)=1,IF(INDEX(DarlBindung,1)="",1,$G98),IF($J98&gt;0.005,1,0)))</f>
      </c>
      <c r="J98" s="43">
        <f>IF($I97=0,0,$R97)</f>
      </c>
      <c r="K98" s="43">
        <f>IF($I98=0,0,IF(INDEX(DarlOhneTilgung,1)=1,0,IF(AND(INDEX(DarlTilgStart,1)&gt;0,$E98=INDEX(DarlTilgStart,1)),$J98*($H98+INDEX(DarlTilgung,1))/100/12,IF(AND($G98=0,$G97=1),MAX($K97,$J98*($H98+1)/100/12),$K97))))</f>
      </c>
      <c r="L98" s="43">
        <f>IF($I98=0,0,$J98*$H98/100/12)</f>
      </c>
      <c r="M98" s="43">
        <f>IF($I98=0,0,IF(OR(INDEX(DarlOhneTilgung,1)=1,AND(INDEX(DarlTilgStart,1)&gt;0,$E98&lt;INDEX(DarlTilgStart,1))),0,MIN(MAX(0,$K98-$L98),$J98)))</f>
      </c>
      <c r="N98" s="43">
        <f>IF($I98=0,0,MIN(SUMIFS(SondBetrag,SondDarl,1,SondDatum,"&gt;="&amp;$E98,SondDatum,"&lt;="&amp;EOMONTH($E98,0)),$J98-$M98))</f>
      </c>
      <c r="O98" s="43">
        <f>IF($I98=0,0,INDEX(DarlErsatzRate,1))</f>
      </c>
      <c r="P98" s="43">
        <f>IF($I98=0,0,$Q97*INDEX(DarlErsatzZins,1))</f>
      </c>
      <c r="Q98" s="43">
        <f>IF($I98=0,0,$Q97+$P98+$O98)</f>
      </c>
      <c r="R98" s="43">
        <f>IF($I98=0,0,$J98-$M98-$N98)</f>
      </c>
    </row>
    <row r="99">
      <c r="A99"/>
      <c r="B99">
        <v>1</v>
      </c>
      <c r="C99" s="43">
        <f>INDEX(DarlObj,1)</f>
      </c>
      <c r="D99">
        <v>96</v>
      </c>
      <c r="E99" s="51">
        <f>IF(INDEX(DarlBelegt,1)=0,0,EOMONTH(INDEX(DarlAuszahlung,1),95)+1)</f>
      </c>
      <c r="F99" s="43">
        <f>IF($E99=0,0,YEAR($E99))</f>
      </c>
      <c r="G99" s="43">
        <f>IF(INDEX(DarlBindung,1)="",1,IF($E99&lt;=INDEX(DarlBindung,1),1,0))</f>
      </c>
      <c r="H99" s="43">
        <f>IF($G99=1,INDEX(DarlSollzins,1),INDEX(DarlAnschluss,1))</f>
      </c>
      <c r="I99" s="43">
        <f>IF(INDEX(DarlBelegt,1)=0,0,IF(INDEX(DarlOhneTilgung,1)=1,IF(INDEX(DarlBindung,1)="",1,$G99),IF($J99&gt;0.005,1,0)))</f>
      </c>
      <c r="J99" s="43">
        <f>IF($I98=0,0,$R98)</f>
      </c>
      <c r="K99" s="43">
        <f>IF($I99=0,0,IF(INDEX(DarlOhneTilgung,1)=1,0,IF(AND(INDEX(DarlTilgStart,1)&gt;0,$E99=INDEX(DarlTilgStart,1)),$J99*($H99+INDEX(DarlTilgung,1))/100/12,IF(AND($G99=0,$G98=1),MAX($K98,$J99*($H99+1)/100/12),$K98))))</f>
      </c>
      <c r="L99" s="43">
        <f>IF($I99=0,0,$J99*$H99/100/12)</f>
      </c>
      <c r="M99" s="43">
        <f>IF($I99=0,0,IF(OR(INDEX(DarlOhneTilgung,1)=1,AND(INDEX(DarlTilgStart,1)&gt;0,$E99&lt;INDEX(DarlTilgStart,1))),0,MIN(MAX(0,$K99-$L99),$J99)))</f>
      </c>
      <c r="N99" s="43">
        <f>IF($I99=0,0,MIN(SUMIFS(SondBetrag,SondDarl,1,SondDatum,"&gt;="&amp;$E99,SondDatum,"&lt;="&amp;EOMONTH($E99,0)),$J99-$M99))</f>
      </c>
      <c r="O99" s="43">
        <f>IF($I99=0,0,INDEX(DarlErsatzRate,1))</f>
      </c>
      <c r="P99" s="43">
        <f>IF($I99=0,0,$Q98*INDEX(DarlErsatzZins,1))</f>
      </c>
      <c r="Q99" s="43">
        <f>IF($I99=0,0,$Q98+$P99+$O99)</f>
      </c>
      <c r="R99" s="43">
        <f>IF($I99=0,0,$J99-$M99-$N99)</f>
      </c>
    </row>
    <row r="100">
      <c r="A100"/>
      <c r="B100">
        <v>1</v>
      </c>
      <c r="C100" s="43">
        <f>INDEX(DarlObj,1)</f>
      </c>
      <c r="D100">
        <v>97</v>
      </c>
      <c r="E100" s="51">
        <f>IF(INDEX(DarlBelegt,1)=0,0,EOMONTH(INDEX(DarlAuszahlung,1),96)+1)</f>
      </c>
      <c r="F100" s="43">
        <f>IF($E100=0,0,YEAR($E100))</f>
      </c>
      <c r="G100" s="43">
        <f>IF(INDEX(DarlBindung,1)="",1,IF($E100&lt;=INDEX(DarlBindung,1),1,0))</f>
      </c>
      <c r="H100" s="43">
        <f>IF($G100=1,INDEX(DarlSollzins,1),INDEX(DarlAnschluss,1))</f>
      </c>
      <c r="I100" s="43">
        <f>IF(INDEX(DarlBelegt,1)=0,0,IF(INDEX(DarlOhneTilgung,1)=1,IF(INDEX(DarlBindung,1)="",1,$G100),IF($J100&gt;0.005,1,0)))</f>
      </c>
      <c r="J100" s="43">
        <f>IF($I99=0,0,$R99)</f>
      </c>
      <c r="K100" s="43">
        <f>IF($I100=0,0,IF(INDEX(DarlOhneTilgung,1)=1,0,IF(AND(INDEX(DarlTilgStart,1)&gt;0,$E100=INDEX(DarlTilgStart,1)),$J100*($H100+INDEX(DarlTilgung,1))/100/12,IF(AND($G100=0,$G99=1),MAX($K99,$J100*($H100+1)/100/12),$K99))))</f>
      </c>
      <c r="L100" s="43">
        <f>IF($I100=0,0,$J100*$H100/100/12)</f>
      </c>
      <c r="M100" s="43">
        <f>IF($I100=0,0,IF(OR(INDEX(DarlOhneTilgung,1)=1,AND(INDEX(DarlTilgStart,1)&gt;0,$E100&lt;INDEX(DarlTilgStart,1))),0,MIN(MAX(0,$K100-$L100),$J100)))</f>
      </c>
      <c r="N100" s="43">
        <f>IF($I100=0,0,MIN(SUMIFS(SondBetrag,SondDarl,1,SondDatum,"&gt;="&amp;$E100,SondDatum,"&lt;="&amp;EOMONTH($E100,0)),$J100-$M100))</f>
      </c>
      <c r="O100" s="43">
        <f>IF($I100=0,0,INDEX(DarlErsatzRate,1))</f>
      </c>
      <c r="P100" s="43">
        <f>IF($I100=0,0,$Q99*INDEX(DarlErsatzZins,1))</f>
      </c>
      <c r="Q100" s="43">
        <f>IF($I100=0,0,$Q99+$P100+$O100)</f>
      </c>
      <c r="R100" s="43">
        <f>IF($I100=0,0,$J100-$M100-$N100)</f>
      </c>
    </row>
    <row r="101">
      <c r="A101"/>
      <c r="B101">
        <v>1</v>
      </c>
      <c r="C101" s="43">
        <f>INDEX(DarlObj,1)</f>
      </c>
      <c r="D101">
        <v>98</v>
      </c>
      <c r="E101" s="51">
        <f>IF(INDEX(DarlBelegt,1)=0,0,EOMONTH(INDEX(DarlAuszahlung,1),97)+1)</f>
      </c>
      <c r="F101" s="43">
        <f>IF($E101=0,0,YEAR($E101))</f>
      </c>
      <c r="G101" s="43">
        <f>IF(INDEX(DarlBindung,1)="",1,IF($E101&lt;=INDEX(DarlBindung,1),1,0))</f>
      </c>
      <c r="H101" s="43">
        <f>IF($G101=1,INDEX(DarlSollzins,1),INDEX(DarlAnschluss,1))</f>
      </c>
      <c r="I101" s="43">
        <f>IF(INDEX(DarlBelegt,1)=0,0,IF(INDEX(DarlOhneTilgung,1)=1,IF(INDEX(DarlBindung,1)="",1,$G101),IF($J101&gt;0.005,1,0)))</f>
      </c>
      <c r="J101" s="43">
        <f>IF($I100=0,0,$R100)</f>
      </c>
      <c r="K101" s="43">
        <f>IF($I101=0,0,IF(INDEX(DarlOhneTilgung,1)=1,0,IF(AND(INDEX(DarlTilgStart,1)&gt;0,$E101=INDEX(DarlTilgStart,1)),$J101*($H101+INDEX(DarlTilgung,1))/100/12,IF(AND($G101=0,$G100=1),MAX($K100,$J101*($H101+1)/100/12),$K100))))</f>
      </c>
      <c r="L101" s="43">
        <f>IF($I101=0,0,$J101*$H101/100/12)</f>
      </c>
      <c r="M101" s="43">
        <f>IF($I101=0,0,IF(OR(INDEX(DarlOhneTilgung,1)=1,AND(INDEX(DarlTilgStart,1)&gt;0,$E101&lt;INDEX(DarlTilgStart,1))),0,MIN(MAX(0,$K101-$L101),$J101)))</f>
      </c>
      <c r="N101" s="43">
        <f>IF($I101=0,0,MIN(SUMIFS(SondBetrag,SondDarl,1,SondDatum,"&gt;="&amp;$E101,SondDatum,"&lt;="&amp;EOMONTH($E101,0)),$J101-$M101))</f>
      </c>
      <c r="O101" s="43">
        <f>IF($I101=0,0,INDEX(DarlErsatzRate,1))</f>
      </c>
      <c r="P101" s="43">
        <f>IF($I101=0,0,$Q100*INDEX(DarlErsatzZins,1))</f>
      </c>
      <c r="Q101" s="43">
        <f>IF($I101=0,0,$Q100+$P101+$O101)</f>
      </c>
      <c r="R101" s="43">
        <f>IF($I101=0,0,$J101-$M101-$N101)</f>
      </c>
    </row>
    <row r="102">
      <c r="A102"/>
      <c r="B102">
        <v>1</v>
      </c>
      <c r="C102" s="43">
        <f>INDEX(DarlObj,1)</f>
      </c>
      <c r="D102">
        <v>99</v>
      </c>
      <c r="E102" s="51">
        <f>IF(INDEX(DarlBelegt,1)=0,0,EOMONTH(INDEX(DarlAuszahlung,1),98)+1)</f>
      </c>
      <c r="F102" s="43">
        <f>IF($E102=0,0,YEAR($E102))</f>
      </c>
      <c r="G102" s="43">
        <f>IF(INDEX(DarlBindung,1)="",1,IF($E102&lt;=INDEX(DarlBindung,1),1,0))</f>
      </c>
      <c r="H102" s="43">
        <f>IF($G102=1,INDEX(DarlSollzins,1),INDEX(DarlAnschluss,1))</f>
      </c>
      <c r="I102" s="43">
        <f>IF(INDEX(DarlBelegt,1)=0,0,IF(INDEX(DarlOhneTilgung,1)=1,IF(INDEX(DarlBindung,1)="",1,$G102),IF($J102&gt;0.005,1,0)))</f>
      </c>
      <c r="J102" s="43">
        <f>IF($I101=0,0,$R101)</f>
      </c>
      <c r="K102" s="43">
        <f>IF($I102=0,0,IF(INDEX(DarlOhneTilgung,1)=1,0,IF(AND(INDEX(DarlTilgStart,1)&gt;0,$E102=INDEX(DarlTilgStart,1)),$J102*($H102+INDEX(DarlTilgung,1))/100/12,IF(AND($G102=0,$G101=1),MAX($K101,$J102*($H102+1)/100/12),$K101))))</f>
      </c>
      <c r="L102" s="43">
        <f>IF($I102=0,0,$J102*$H102/100/12)</f>
      </c>
      <c r="M102" s="43">
        <f>IF($I102=0,0,IF(OR(INDEX(DarlOhneTilgung,1)=1,AND(INDEX(DarlTilgStart,1)&gt;0,$E102&lt;INDEX(DarlTilgStart,1))),0,MIN(MAX(0,$K102-$L102),$J102)))</f>
      </c>
      <c r="N102" s="43">
        <f>IF($I102=0,0,MIN(SUMIFS(SondBetrag,SondDarl,1,SondDatum,"&gt;="&amp;$E102,SondDatum,"&lt;="&amp;EOMONTH($E102,0)),$J102-$M102))</f>
      </c>
      <c r="O102" s="43">
        <f>IF($I102=0,0,INDEX(DarlErsatzRate,1))</f>
      </c>
      <c r="P102" s="43">
        <f>IF($I102=0,0,$Q101*INDEX(DarlErsatzZins,1))</f>
      </c>
      <c r="Q102" s="43">
        <f>IF($I102=0,0,$Q101+$P102+$O102)</f>
      </c>
      <c r="R102" s="43">
        <f>IF($I102=0,0,$J102-$M102-$N102)</f>
      </c>
    </row>
    <row r="103">
      <c r="A103"/>
      <c r="B103">
        <v>1</v>
      </c>
      <c r="C103" s="43">
        <f>INDEX(DarlObj,1)</f>
      </c>
      <c r="D103">
        <v>100</v>
      </c>
      <c r="E103" s="51">
        <f>IF(INDEX(DarlBelegt,1)=0,0,EOMONTH(INDEX(DarlAuszahlung,1),99)+1)</f>
      </c>
      <c r="F103" s="43">
        <f>IF($E103=0,0,YEAR($E103))</f>
      </c>
      <c r="G103" s="43">
        <f>IF(INDEX(DarlBindung,1)="",1,IF($E103&lt;=INDEX(DarlBindung,1),1,0))</f>
      </c>
      <c r="H103" s="43">
        <f>IF($G103=1,INDEX(DarlSollzins,1),INDEX(DarlAnschluss,1))</f>
      </c>
      <c r="I103" s="43">
        <f>IF(INDEX(DarlBelegt,1)=0,0,IF(INDEX(DarlOhneTilgung,1)=1,IF(INDEX(DarlBindung,1)="",1,$G103),IF($J103&gt;0.005,1,0)))</f>
      </c>
      <c r="J103" s="43">
        <f>IF($I102=0,0,$R102)</f>
      </c>
      <c r="K103" s="43">
        <f>IF($I103=0,0,IF(INDEX(DarlOhneTilgung,1)=1,0,IF(AND(INDEX(DarlTilgStart,1)&gt;0,$E103=INDEX(DarlTilgStart,1)),$J103*($H103+INDEX(DarlTilgung,1))/100/12,IF(AND($G103=0,$G102=1),MAX($K102,$J103*($H103+1)/100/12),$K102))))</f>
      </c>
      <c r="L103" s="43">
        <f>IF($I103=0,0,$J103*$H103/100/12)</f>
      </c>
      <c r="M103" s="43">
        <f>IF($I103=0,0,IF(OR(INDEX(DarlOhneTilgung,1)=1,AND(INDEX(DarlTilgStart,1)&gt;0,$E103&lt;INDEX(DarlTilgStart,1))),0,MIN(MAX(0,$K103-$L103),$J103)))</f>
      </c>
      <c r="N103" s="43">
        <f>IF($I103=0,0,MIN(SUMIFS(SondBetrag,SondDarl,1,SondDatum,"&gt;="&amp;$E103,SondDatum,"&lt;="&amp;EOMONTH($E103,0)),$J103-$M103))</f>
      </c>
      <c r="O103" s="43">
        <f>IF($I103=0,0,INDEX(DarlErsatzRate,1))</f>
      </c>
      <c r="P103" s="43">
        <f>IF($I103=0,0,$Q102*INDEX(DarlErsatzZins,1))</f>
      </c>
      <c r="Q103" s="43">
        <f>IF($I103=0,0,$Q102+$P103+$O103)</f>
      </c>
      <c r="R103" s="43">
        <f>IF($I103=0,0,$J103-$M103-$N103)</f>
      </c>
    </row>
    <row r="104">
      <c r="A104"/>
      <c r="B104">
        <v>1</v>
      </c>
      <c r="C104" s="43">
        <f>INDEX(DarlObj,1)</f>
      </c>
      <c r="D104">
        <v>101</v>
      </c>
      <c r="E104" s="51">
        <f>IF(INDEX(DarlBelegt,1)=0,0,EOMONTH(INDEX(DarlAuszahlung,1),100)+1)</f>
      </c>
      <c r="F104" s="43">
        <f>IF($E104=0,0,YEAR($E104))</f>
      </c>
      <c r="G104" s="43">
        <f>IF(INDEX(DarlBindung,1)="",1,IF($E104&lt;=INDEX(DarlBindung,1),1,0))</f>
      </c>
      <c r="H104" s="43">
        <f>IF($G104=1,INDEX(DarlSollzins,1),INDEX(DarlAnschluss,1))</f>
      </c>
      <c r="I104" s="43">
        <f>IF(INDEX(DarlBelegt,1)=0,0,IF(INDEX(DarlOhneTilgung,1)=1,IF(INDEX(DarlBindung,1)="",1,$G104),IF($J104&gt;0.005,1,0)))</f>
      </c>
      <c r="J104" s="43">
        <f>IF($I103=0,0,$R103)</f>
      </c>
      <c r="K104" s="43">
        <f>IF($I104=0,0,IF(INDEX(DarlOhneTilgung,1)=1,0,IF(AND(INDEX(DarlTilgStart,1)&gt;0,$E104=INDEX(DarlTilgStart,1)),$J104*($H104+INDEX(DarlTilgung,1))/100/12,IF(AND($G104=0,$G103=1),MAX($K103,$J104*($H104+1)/100/12),$K103))))</f>
      </c>
      <c r="L104" s="43">
        <f>IF($I104=0,0,$J104*$H104/100/12)</f>
      </c>
      <c r="M104" s="43">
        <f>IF($I104=0,0,IF(OR(INDEX(DarlOhneTilgung,1)=1,AND(INDEX(DarlTilgStart,1)&gt;0,$E104&lt;INDEX(DarlTilgStart,1))),0,MIN(MAX(0,$K104-$L104),$J104)))</f>
      </c>
      <c r="N104" s="43">
        <f>IF($I104=0,0,MIN(SUMIFS(SondBetrag,SondDarl,1,SondDatum,"&gt;="&amp;$E104,SondDatum,"&lt;="&amp;EOMONTH($E104,0)),$J104-$M104))</f>
      </c>
      <c r="O104" s="43">
        <f>IF($I104=0,0,INDEX(DarlErsatzRate,1))</f>
      </c>
      <c r="P104" s="43">
        <f>IF($I104=0,0,$Q103*INDEX(DarlErsatzZins,1))</f>
      </c>
      <c r="Q104" s="43">
        <f>IF($I104=0,0,$Q103+$P104+$O104)</f>
      </c>
      <c r="R104" s="43">
        <f>IF($I104=0,0,$J104-$M104-$N104)</f>
      </c>
    </row>
    <row r="105">
      <c r="A105"/>
      <c r="B105">
        <v>1</v>
      </c>
      <c r="C105" s="43">
        <f>INDEX(DarlObj,1)</f>
      </c>
      <c r="D105">
        <v>102</v>
      </c>
      <c r="E105" s="51">
        <f>IF(INDEX(DarlBelegt,1)=0,0,EOMONTH(INDEX(DarlAuszahlung,1),101)+1)</f>
      </c>
      <c r="F105" s="43">
        <f>IF($E105=0,0,YEAR($E105))</f>
      </c>
      <c r="G105" s="43">
        <f>IF(INDEX(DarlBindung,1)="",1,IF($E105&lt;=INDEX(DarlBindung,1),1,0))</f>
      </c>
      <c r="H105" s="43">
        <f>IF($G105=1,INDEX(DarlSollzins,1),INDEX(DarlAnschluss,1))</f>
      </c>
      <c r="I105" s="43">
        <f>IF(INDEX(DarlBelegt,1)=0,0,IF(INDEX(DarlOhneTilgung,1)=1,IF(INDEX(DarlBindung,1)="",1,$G105),IF($J105&gt;0.005,1,0)))</f>
      </c>
      <c r="J105" s="43">
        <f>IF($I104=0,0,$R104)</f>
      </c>
      <c r="K105" s="43">
        <f>IF($I105=0,0,IF(INDEX(DarlOhneTilgung,1)=1,0,IF(AND(INDEX(DarlTilgStart,1)&gt;0,$E105=INDEX(DarlTilgStart,1)),$J105*($H105+INDEX(DarlTilgung,1))/100/12,IF(AND($G105=0,$G104=1),MAX($K104,$J105*($H105+1)/100/12),$K104))))</f>
      </c>
      <c r="L105" s="43">
        <f>IF($I105=0,0,$J105*$H105/100/12)</f>
      </c>
      <c r="M105" s="43">
        <f>IF($I105=0,0,IF(OR(INDEX(DarlOhneTilgung,1)=1,AND(INDEX(DarlTilgStart,1)&gt;0,$E105&lt;INDEX(DarlTilgStart,1))),0,MIN(MAX(0,$K105-$L105),$J105)))</f>
      </c>
      <c r="N105" s="43">
        <f>IF($I105=0,0,MIN(SUMIFS(SondBetrag,SondDarl,1,SondDatum,"&gt;="&amp;$E105,SondDatum,"&lt;="&amp;EOMONTH($E105,0)),$J105-$M105))</f>
      </c>
      <c r="O105" s="43">
        <f>IF($I105=0,0,INDEX(DarlErsatzRate,1))</f>
      </c>
      <c r="P105" s="43">
        <f>IF($I105=0,0,$Q104*INDEX(DarlErsatzZins,1))</f>
      </c>
      <c r="Q105" s="43">
        <f>IF($I105=0,0,$Q104+$P105+$O105)</f>
      </c>
      <c r="R105" s="43">
        <f>IF($I105=0,0,$J105-$M105-$N105)</f>
      </c>
    </row>
    <row r="106">
      <c r="A106"/>
      <c r="B106">
        <v>1</v>
      </c>
      <c r="C106" s="43">
        <f>INDEX(DarlObj,1)</f>
      </c>
      <c r="D106">
        <v>103</v>
      </c>
      <c r="E106" s="51">
        <f>IF(INDEX(DarlBelegt,1)=0,0,EOMONTH(INDEX(DarlAuszahlung,1),102)+1)</f>
      </c>
      <c r="F106" s="43">
        <f>IF($E106=0,0,YEAR($E106))</f>
      </c>
      <c r="G106" s="43">
        <f>IF(INDEX(DarlBindung,1)="",1,IF($E106&lt;=INDEX(DarlBindung,1),1,0))</f>
      </c>
      <c r="H106" s="43">
        <f>IF($G106=1,INDEX(DarlSollzins,1),INDEX(DarlAnschluss,1))</f>
      </c>
      <c r="I106" s="43">
        <f>IF(INDEX(DarlBelegt,1)=0,0,IF(INDEX(DarlOhneTilgung,1)=1,IF(INDEX(DarlBindung,1)="",1,$G106),IF($J106&gt;0.005,1,0)))</f>
      </c>
      <c r="J106" s="43">
        <f>IF($I105=0,0,$R105)</f>
      </c>
      <c r="K106" s="43">
        <f>IF($I106=0,0,IF(INDEX(DarlOhneTilgung,1)=1,0,IF(AND(INDEX(DarlTilgStart,1)&gt;0,$E106=INDEX(DarlTilgStart,1)),$J106*($H106+INDEX(DarlTilgung,1))/100/12,IF(AND($G106=0,$G105=1),MAX($K105,$J106*($H106+1)/100/12),$K105))))</f>
      </c>
      <c r="L106" s="43">
        <f>IF($I106=0,0,$J106*$H106/100/12)</f>
      </c>
      <c r="M106" s="43">
        <f>IF($I106=0,0,IF(OR(INDEX(DarlOhneTilgung,1)=1,AND(INDEX(DarlTilgStart,1)&gt;0,$E106&lt;INDEX(DarlTilgStart,1))),0,MIN(MAX(0,$K106-$L106),$J106)))</f>
      </c>
      <c r="N106" s="43">
        <f>IF($I106=0,0,MIN(SUMIFS(SondBetrag,SondDarl,1,SondDatum,"&gt;="&amp;$E106,SondDatum,"&lt;="&amp;EOMONTH($E106,0)),$J106-$M106))</f>
      </c>
      <c r="O106" s="43">
        <f>IF($I106=0,0,INDEX(DarlErsatzRate,1))</f>
      </c>
      <c r="P106" s="43">
        <f>IF($I106=0,0,$Q105*INDEX(DarlErsatzZins,1))</f>
      </c>
      <c r="Q106" s="43">
        <f>IF($I106=0,0,$Q105+$P106+$O106)</f>
      </c>
      <c r="R106" s="43">
        <f>IF($I106=0,0,$J106-$M106-$N106)</f>
      </c>
    </row>
    <row r="107">
      <c r="A107"/>
      <c r="B107">
        <v>1</v>
      </c>
      <c r="C107" s="43">
        <f>INDEX(DarlObj,1)</f>
      </c>
      <c r="D107">
        <v>104</v>
      </c>
      <c r="E107" s="51">
        <f>IF(INDEX(DarlBelegt,1)=0,0,EOMONTH(INDEX(DarlAuszahlung,1),103)+1)</f>
      </c>
      <c r="F107" s="43">
        <f>IF($E107=0,0,YEAR($E107))</f>
      </c>
      <c r="G107" s="43">
        <f>IF(INDEX(DarlBindung,1)="",1,IF($E107&lt;=INDEX(DarlBindung,1),1,0))</f>
      </c>
      <c r="H107" s="43">
        <f>IF($G107=1,INDEX(DarlSollzins,1),INDEX(DarlAnschluss,1))</f>
      </c>
      <c r="I107" s="43">
        <f>IF(INDEX(DarlBelegt,1)=0,0,IF(INDEX(DarlOhneTilgung,1)=1,IF(INDEX(DarlBindung,1)="",1,$G107),IF($J107&gt;0.005,1,0)))</f>
      </c>
      <c r="J107" s="43">
        <f>IF($I106=0,0,$R106)</f>
      </c>
      <c r="K107" s="43">
        <f>IF($I107=0,0,IF(INDEX(DarlOhneTilgung,1)=1,0,IF(AND(INDEX(DarlTilgStart,1)&gt;0,$E107=INDEX(DarlTilgStart,1)),$J107*($H107+INDEX(DarlTilgung,1))/100/12,IF(AND($G107=0,$G106=1),MAX($K106,$J107*($H107+1)/100/12),$K106))))</f>
      </c>
      <c r="L107" s="43">
        <f>IF($I107=0,0,$J107*$H107/100/12)</f>
      </c>
      <c r="M107" s="43">
        <f>IF($I107=0,0,IF(OR(INDEX(DarlOhneTilgung,1)=1,AND(INDEX(DarlTilgStart,1)&gt;0,$E107&lt;INDEX(DarlTilgStart,1))),0,MIN(MAX(0,$K107-$L107),$J107)))</f>
      </c>
      <c r="N107" s="43">
        <f>IF($I107=0,0,MIN(SUMIFS(SondBetrag,SondDarl,1,SondDatum,"&gt;="&amp;$E107,SondDatum,"&lt;="&amp;EOMONTH($E107,0)),$J107-$M107))</f>
      </c>
      <c r="O107" s="43">
        <f>IF($I107=0,0,INDEX(DarlErsatzRate,1))</f>
      </c>
      <c r="P107" s="43">
        <f>IF($I107=0,0,$Q106*INDEX(DarlErsatzZins,1))</f>
      </c>
      <c r="Q107" s="43">
        <f>IF($I107=0,0,$Q106+$P107+$O107)</f>
      </c>
      <c r="R107" s="43">
        <f>IF($I107=0,0,$J107-$M107-$N107)</f>
      </c>
    </row>
    <row r="108">
      <c r="A108"/>
      <c r="B108">
        <v>1</v>
      </c>
      <c r="C108" s="43">
        <f>INDEX(DarlObj,1)</f>
      </c>
      <c r="D108">
        <v>105</v>
      </c>
      <c r="E108" s="51">
        <f>IF(INDEX(DarlBelegt,1)=0,0,EOMONTH(INDEX(DarlAuszahlung,1),104)+1)</f>
      </c>
      <c r="F108" s="43">
        <f>IF($E108=0,0,YEAR($E108))</f>
      </c>
      <c r="G108" s="43">
        <f>IF(INDEX(DarlBindung,1)="",1,IF($E108&lt;=INDEX(DarlBindung,1),1,0))</f>
      </c>
      <c r="H108" s="43">
        <f>IF($G108=1,INDEX(DarlSollzins,1),INDEX(DarlAnschluss,1))</f>
      </c>
      <c r="I108" s="43">
        <f>IF(INDEX(DarlBelegt,1)=0,0,IF(INDEX(DarlOhneTilgung,1)=1,IF(INDEX(DarlBindung,1)="",1,$G108),IF($J108&gt;0.005,1,0)))</f>
      </c>
      <c r="J108" s="43">
        <f>IF($I107=0,0,$R107)</f>
      </c>
      <c r="K108" s="43">
        <f>IF($I108=0,0,IF(INDEX(DarlOhneTilgung,1)=1,0,IF(AND(INDEX(DarlTilgStart,1)&gt;0,$E108=INDEX(DarlTilgStart,1)),$J108*($H108+INDEX(DarlTilgung,1))/100/12,IF(AND($G108=0,$G107=1),MAX($K107,$J108*($H108+1)/100/12),$K107))))</f>
      </c>
      <c r="L108" s="43">
        <f>IF($I108=0,0,$J108*$H108/100/12)</f>
      </c>
      <c r="M108" s="43">
        <f>IF($I108=0,0,IF(OR(INDEX(DarlOhneTilgung,1)=1,AND(INDEX(DarlTilgStart,1)&gt;0,$E108&lt;INDEX(DarlTilgStart,1))),0,MIN(MAX(0,$K108-$L108),$J108)))</f>
      </c>
      <c r="N108" s="43">
        <f>IF($I108=0,0,MIN(SUMIFS(SondBetrag,SondDarl,1,SondDatum,"&gt;="&amp;$E108,SondDatum,"&lt;="&amp;EOMONTH($E108,0)),$J108-$M108))</f>
      </c>
      <c r="O108" s="43">
        <f>IF($I108=0,0,INDEX(DarlErsatzRate,1))</f>
      </c>
      <c r="P108" s="43">
        <f>IF($I108=0,0,$Q107*INDEX(DarlErsatzZins,1))</f>
      </c>
      <c r="Q108" s="43">
        <f>IF($I108=0,0,$Q107+$P108+$O108)</f>
      </c>
      <c r="R108" s="43">
        <f>IF($I108=0,0,$J108-$M108-$N108)</f>
      </c>
    </row>
    <row r="109">
      <c r="A109"/>
      <c r="B109">
        <v>1</v>
      </c>
      <c r="C109" s="43">
        <f>INDEX(DarlObj,1)</f>
      </c>
      <c r="D109">
        <v>106</v>
      </c>
      <c r="E109" s="51">
        <f>IF(INDEX(DarlBelegt,1)=0,0,EOMONTH(INDEX(DarlAuszahlung,1),105)+1)</f>
      </c>
      <c r="F109" s="43">
        <f>IF($E109=0,0,YEAR($E109))</f>
      </c>
      <c r="G109" s="43">
        <f>IF(INDEX(DarlBindung,1)="",1,IF($E109&lt;=INDEX(DarlBindung,1),1,0))</f>
      </c>
      <c r="H109" s="43">
        <f>IF($G109=1,INDEX(DarlSollzins,1),INDEX(DarlAnschluss,1))</f>
      </c>
      <c r="I109" s="43">
        <f>IF(INDEX(DarlBelegt,1)=0,0,IF(INDEX(DarlOhneTilgung,1)=1,IF(INDEX(DarlBindung,1)="",1,$G109),IF($J109&gt;0.005,1,0)))</f>
      </c>
      <c r="J109" s="43">
        <f>IF($I108=0,0,$R108)</f>
      </c>
      <c r="K109" s="43">
        <f>IF($I109=0,0,IF(INDEX(DarlOhneTilgung,1)=1,0,IF(AND(INDEX(DarlTilgStart,1)&gt;0,$E109=INDEX(DarlTilgStart,1)),$J109*($H109+INDEX(DarlTilgung,1))/100/12,IF(AND($G109=0,$G108=1),MAX($K108,$J109*($H109+1)/100/12),$K108))))</f>
      </c>
      <c r="L109" s="43">
        <f>IF($I109=0,0,$J109*$H109/100/12)</f>
      </c>
      <c r="M109" s="43">
        <f>IF($I109=0,0,IF(OR(INDEX(DarlOhneTilgung,1)=1,AND(INDEX(DarlTilgStart,1)&gt;0,$E109&lt;INDEX(DarlTilgStart,1))),0,MIN(MAX(0,$K109-$L109),$J109)))</f>
      </c>
      <c r="N109" s="43">
        <f>IF($I109=0,0,MIN(SUMIFS(SondBetrag,SondDarl,1,SondDatum,"&gt;="&amp;$E109,SondDatum,"&lt;="&amp;EOMONTH($E109,0)),$J109-$M109))</f>
      </c>
      <c r="O109" s="43">
        <f>IF($I109=0,0,INDEX(DarlErsatzRate,1))</f>
      </c>
      <c r="P109" s="43">
        <f>IF($I109=0,0,$Q108*INDEX(DarlErsatzZins,1))</f>
      </c>
      <c r="Q109" s="43">
        <f>IF($I109=0,0,$Q108+$P109+$O109)</f>
      </c>
      <c r="R109" s="43">
        <f>IF($I109=0,0,$J109-$M109-$N109)</f>
      </c>
    </row>
    <row r="110">
      <c r="A110"/>
      <c r="B110">
        <v>1</v>
      </c>
      <c r="C110" s="43">
        <f>INDEX(DarlObj,1)</f>
      </c>
      <c r="D110">
        <v>107</v>
      </c>
      <c r="E110" s="51">
        <f>IF(INDEX(DarlBelegt,1)=0,0,EOMONTH(INDEX(DarlAuszahlung,1),106)+1)</f>
      </c>
      <c r="F110" s="43">
        <f>IF($E110=0,0,YEAR($E110))</f>
      </c>
      <c r="G110" s="43">
        <f>IF(INDEX(DarlBindung,1)="",1,IF($E110&lt;=INDEX(DarlBindung,1),1,0))</f>
      </c>
      <c r="H110" s="43">
        <f>IF($G110=1,INDEX(DarlSollzins,1),INDEX(DarlAnschluss,1))</f>
      </c>
      <c r="I110" s="43">
        <f>IF(INDEX(DarlBelegt,1)=0,0,IF(INDEX(DarlOhneTilgung,1)=1,IF(INDEX(DarlBindung,1)="",1,$G110),IF($J110&gt;0.005,1,0)))</f>
      </c>
      <c r="J110" s="43">
        <f>IF($I109=0,0,$R109)</f>
      </c>
      <c r="K110" s="43">
        <f>IF($I110=0,0,IF(INDEX(DarlOhneTilgung,1)=1,0,IF(AND(INDEX(DarlTilgStart,1)&gt;0,$E110=INDEX(DarlTilgStart,1)),$J110*($H110+INDEX(DarlTilgung,1))/100/12,IF(AND($G110=0,$G109=1),MAX($K109,$J110*($H110+1)/100/12),$K109))))</f>
      </c>
      <c r="L110" s="43">
        <f>IF($I110=0,0,$J110*$H110/100/12)</f>
      </c>
      <c r="M110" s="43">
        <f>IF($I110=0,0,IF(OR(INDEX(DarlOhneTilgung,1)=1,AND(INDEX(DarlTilgStart,1)&gt;0,$E110&lt;INDEX(DarlTilgStart,1))),0,MIN(MAX(0,$K110-$L110),$J110)))</f>
      </c>
      <c r="N110" s="43">
        <f>IF($I110=0,0,MIN(SUMIFS(SondBetrag,SondDarl,1,SondDatum,"&gt;="&amp;$E110,SondDatum,"&lt;="&amp;EOMONTH($E110,0)),$J110-$M110))</f>
      </c>
      <c r="O110" s="43">
        <f>IF($I110=0,0,INDEX(DarlErsatzRate,1))</f>
      </c>
      <c r="P110" s="43">
        <f>IF($I110=0,0,$Q109*INDEX(DarlErsatzZins,1))</f>
      </c>
      <c r="Q110" s="43">
        <f>IF($I110=0,0,$Q109+$P110+$O110)</f>
      </c>
      <c r="R110" s="43">
        <f>IF($I110=0,0,$J110-$M110-$N110)</f>
      </c>
    </row>
    <row r="111">
      <c r="A111"/>
      <c r="B111">
        <v>1</v>
      </c>
      <c r="C111" s="43">
        <f>INDEX(DarlObj,1)</f>
      </c>
      <c r="D111">
        <v>108</v>
      </c>
      <c r="E111" s="51">
        <f>IF(INDEX(DarlBelegt,1)=0,0,EOMONTH(INDEX(DarlAuszahlung,1),107)+1)</f>
      </c>
      <c r="F111" s="43">
        <f>IF($E111=0,0,YEAR($E111))</f>
      </c>
      <c r="G111" s="43">
        <f>IF(INDEX(DarlBindung,1)="",1,IF($E111&lt;=INDEX(DarlBindung,1),1,0))</f>
      </c>
      <c r="H111" s="43">
        <f>IF($G111=1,INDEX(DarlSollzins,1),INDEX(DarlAnschluss,1))</f>
      </c>
      <c r="I111" s="43">
        <f>IF(INDEX(DarlBelegt,1)=0,0,IF(INDEX(DarlOhneTilgung,1)=1,IF(INDEX(DarlBindung,1)="",1,$G111),IF($J111&gt;0.005,1,0)))</f>
      </c>
      <c r="J111" s="43">
        <f>IF($I110=0,0,$R110)</f>
      </c>
      <c r="K111" s="43">
        <f>IF($I111=0,0,IF(INDEX(DarlOhneTilgung,1)=1,0,IF(AND(INDEX(DarlTilgStart,1)&gt;0,$E111=INDEX(DarlTilgStart,1)),$J111*($H111+INDEX(DarlTilgung,1))/100/12,IF(AND($G111=0,$G110=1),MAX($K110,$J111*($H111+1)/100/12),$K110))))</f>
      </c>
      <c r="L111" s="43">
        <f>IF($I111=0,0,$J111*$H111/100/12)</f>
      </c>
      <c r="M111" s="43">
        <f>IF($I111=0,0,IF(OR(INDEX(DarlOhneTilgung,1)=1,AND(INDEX(DarlTilgStart,1)&gt;0,$E111&lt;INDEX(DarlTilgStart,1))),0,MIN(MAX(0,$K111-$L111),$J111)))</f>
      </c>
      <c r="N111" s="43">
        <f>IF($I111=0,0,MIN(SUMIFS(SondBetrag,SondDarl,1,SondDatum,"&gt;="&amp;$E111,SondDatum,"&lt;="&amp;EOMONTH($E111,0)),$J111-$M111))</f>
      </c>
      <c r="O111" s="43">
        <f>IF($I111=0,0,INDEX(DarlErsatzRate,1))</f>
      </c>
      <c r="P111" s="43">
        <f>IF($I111=0,0,$Q110*INDEX(DarlErsatzZins,1))</f>
      </c>
      <c r="Q111" s="43">
        <f>IF($I111=0,0,$Q110+$P111+$O111)</f>
      </c>
      <c r="R111" s="43">
        <f>IF($I111=0,0,$J111-$M111-$N111)</f>
      </c>
    </row>
    <row r="112">
      <c r="A112"/>
      <c r="B112">
        <v>1</v>
      </c>
      <c r="C112" s="43">
        <f>INDEX(DarlObj,1)</f>
      </c>
      <c r="D112">
        <v>109</v>
      </c>
      <c r="E112" s="51">
        <f>IF(INDEX(DarlBelegt,1)=0,0,EOMONTH(INDEX(DarlAuszahlung,1),108)+1)</f>
      </c>
      <c r="F112" s="43">
        <f>IF($E112=0,0,YEAR($E112))</f>
      </c>
      <c r="G112" s="43">
        <f>IF(INDEX(DarlBindung,1)="",1,IF($E112&lt;=INDEX(DarlBindung,1),1,0))</f>
      </c>
      <c r="H112" s="43">
        <f>IF($G112=1,INDEX(DarlSollzins,1),INDEX(DarlAnschluss,1))</f>
      </c>
      <c r="I112" s="43">
        <f>IF(INDEX(DarlBelegt,1)=0,0,IF(INDEX(DarlOhneTilgung,1)=1,IF(INDEX(DarlBindung,1)="",1,$G112),IF($J112&gt;0.005,1,0)))</f>
      </c>
      <c r="J112" s="43">
        <f>IF($I111=0,0,$R111)</f>
      </c>
      <c r="K112" s="43">
        <f>IF($I112=0,0,IF(INDEX(DarlOhneTilgung,1)=1,0,IF(AND(INDEX(DarlTilgStart,1)&gt;0,$E112=INDEX(DarlTilgStart,1)),$J112*($H112+INDEX(DarlTilgung,1))/100/12,IF(AND($G112=0,$G111=1),MAX($K111,$J112*($H112+1)/100/12),$K111))))</f>
      </c>
      <c r="L112" s="43">
        <f>IF($I112=0,0,$J112*$H112/100/12)</f>
      </c>
      <c r="M112" s="43">
        <f>IF($I112=0,0,IF(OR(INDEX(DarlOhneTilgung,1)=1,AND(INDEX(DarlTilgStart,1)&gt;0,$E112&lt;INDEX(DarlTilgStart,1))),0,MIN(MAX(0,$K112-$L112),$J112)))</f>
      </c>
      <c r="N112" s="43">
        <f>IF($I112=0,0,MIN(SUMIFS(SondBetrag,SondDarl,1,SondDatum,"&gt;="&amp;$E112,SondDatum,"&lt;="&amp;EOMONTH($E112,0)),$J112-$M112))</f>
      </c>
      <c r="O112" s="43">
        <f>IF($I112=0,0,INDEX(DarlErsatzRate,1))</f>
      </c>
      <c r="P112" s="43">
        <f>IF($I112=0,0,$Q111*INDEX(DarlErsatzZins,1))</f>
      </c>
      <c r="Q112" s="43">
        <f>IF($I112=0,0,$Q111+$P112+$O112)</f>
      </c>
      <c r="R112" s="43">
        <f>IF($I112=0,0,$J112-$M112-$N112)</f>
      </c>
    </row>
    <row r="113">
      <c r="A113"/>
      <c r="B113">
        <v>1</v>
      </c>
      <c r="C113" s="43">
        <f>INDEX(DarlObj,1)</f>
      </c>
      <c r="D113">
        <v>110</v>
      </c>
      <c r="E113" s="51">
        <f>IF(INDEX(DarlBelegt,1)=0,0,EOMONTH(INDEX(DarlAuszahlung,1),109)+1)</f>
      </c>
      <c r="F113" s="43">
        <f>IF($E113=0,0,YEAR($E113))</f>
      </c>
      <c r="G113" s="43">
        <f>IF(INDEX(DarlBindung,1)="",1,IF($E113&lt;=INDEX(DarlBindung,1),1,0))</f>
      </c>
      <c r="H113" s="43">
        <f>IF($G113=1,INDEX(DarlSollzins,1),INDEX(DarlAnschluss,1))</f>
      </c>
      <c r="I113" s="43">
        <f>IF(INDEX(DarlBelegt,1)=0,0,IF(INDEX(DarlOhneTilgung,1)=1,IF(INDEX(DarlBindung,1)="",1,$G113),IF($J113&gt;0.005,1,0)))</f>
      </c>
      <c r="J113" s="43">
        <f>IF($I112=0,0,$R112)</f>
      </c>
      <c r="K113" s="43">
        <f>IF($I113=0,0,IF(INDEX(DarlOhneTilgung,1)=1,0,IF(AND(INDEX(DarlTilgStart,1)&gt;0,$E113=INDEX(DarlTilgStart,1)),$J113*($H113+INDEX(DarlTilgung,1))/100/12,IF(AND($G113=0,$G112=1),MAX($K112,$J113*($H113+1)/100/12),$K112))))</f>
      </c>
      <c r="L113" s="43">
        <f>IF($I113=0,0,$J113*$H113/100/12)</f>
      </c>
      <c r="M113" s="43">
        <f>IF($I113=0,0,IF(OR(INDEX(DarlOhneTilgung,1)=1,AND(INDEX(DarlTilgStart,1)&gt;0,$E113&lt;INDEX(DarlTilgStart,1))),0,MIN(MAX(0,$K113-$L113),$J113)))</f>
      </c>
      <c r="N113" s="43">
        <f>IF($I113=0,0,MIN(SUMIFS(SondBetrag,SondDarl,1,SondDatum,"&gt;="&amp;$E113,SondDatum,"&lt;="&amp;EOMONTH($E113,0)),$J113-$M113))</f>
      </c>
      <c r="O113" s="43">
        <f>IF($I113=0,0,INDEX(DarlErsatzRate,1))</f>
      </c>
      <c r="P113" s="43">
        <f>IF($I113=0,0,$Q112*INDEX(DarlErsatzZins,1))</f>
      </c>
      <c r="Q113" s="43">
        <f>IF($I113=0,0,$Q112+$P113+$O113)</f>
      </c>
      <c r="R113" s="43">
        <f>IF($I113=0,0,$J113-$M113-$N113)</f>
      </c>
    </row>
    <row r="114">
      <c r="A114"/>
      <c r="B114">
        <v>1</v>
      </c>
      <c r="C114" s="43">
        <f>INDEX(DarlObj,1)</f>
      </c>
      <c r="D114">
        <v>111</v>
      </c>
      <c r="E114" s="51">
        <f>IF(INDEX(DarlBelegt,1)=0,0,EOMONTH(INDEX(DarlAuszahlung,1),110)+1)</f>
      </c>
      <c r="F114" s="43">
        <f>IF($E114=0,0,YEAR($E114))</f>
      </c>
      <c r="G114" s="43">
        <f>IF(INDEX(DarlBindung,1)="",1,IF($E114&lt;=INDEX(DarlBindung,1),1,0))</f>
      </c>
      <c r="H114" s="43">
        <f>IF($G114=1,INDEX(DarlSollzins,1),INDEX(DarlAnschluss,1))</f>
      </c>
      <c r="I114" s="43">
        <f>IF(INDEX(DarlBelegt,1)=0,0,IF(INDEX(DarlOhneTilgung,1)=1,IF(INDEX(DarlBindung,1)="",1,$G114),IF($J114&gt;0.005,1,0)))</f>
      </c>
      <c r="J114" s="43">
        <f>IF($I113=0,0,$R113)</f>
      </c>
      <c r="K114" s="43">
        <f>IF($I114=0,0,IF(INDEX(DarlOhneTilgung,1)=1,0,IF(AND(INDEX(DarlTilgStart,1)&gt;0,$E114=INDEX(DarlTilgStart,1)),$J114*($H114+INDEX(DarlTilgung,1))/100/12,IF(AND($G114=0,$G113=1),MAX($K113,$J114*($H114+1)/100/12),$K113))))</f>
      </c>
      <c r="L114" s="43">
        <f>IF($I114=0,0,$J114*$H114/100/12)</f>
      </c>
      <c r="M114" s="43">
        <f>IF($I114=0,0,IF(OR(INDEX(DarlOhneTilgung,1)=1,AND(INDEX(DarlTilgStart,1)&gt;0,$E114&lt;INDEX(DarlTilgStart,1))),0,MIN(MAX(0,$K114-$L114),$J114)))</f>
      </c>
      <c r="N114" s="43">
        <f>IF($I114=0,0,MIN(SUMIFS(SondBetrag,SondDarl,1,SondDatum,"&gt;="&amp;$E114,SondDatum,"&lt;="&amp;EOMONTH($E114,0)),$J114-$M114))</f>
      </c>
      <c r="O114" s="43">
        <f>IF($I114=0,0,INDEX(DarlErsatzRate,1))</f>
      </c>
      <c r="P114" s="43">
        <f>IF($I114=0,0,$Q113*INDEX(DarlErsatzZins,1))</f>
      </c>
      <c r="Q114" s="43">
        <f>IF($I114=0,0,$Q113+$P114+$O114)</f>
      </c>
      <c r="R114" s="43">
        <f>IF($I114=0,0,$J114-$M114-$N114)</f>
      </c>
    </row>
    <row r="115">
      <c r="A115"/>
      <c r="B115">
        <v>1</v>
      </c>
      <c r="C115" s="43">
        <f>INDEX(DarlObj,1)</f>
      </c>
      <c r="D115">
        <v>112</v>
      </c>
      <c r="E115" s="51">
        <f>IF(INDEX(DarlBelegt,1)=0,0,EOMONTH(INDEX(DarlAuszahlung,1),111)+1)</f>
      </c>
      <c r="F115" s="43">
        <f>IF($E115=0,0,YEAR($E115))</f>
      </c>
      <c r="G115" s="43">
        <f>IF(INDEX(DarlBindung,1)="",1,IF($E115&lt;=INDEX(DarlBindung,1),1,0))</f>
      </c>
      <c r="H115" s="43">
        <f>IF($G115=1,INDEX(DarlSollzins,1),INDEX(DarlAnschluss,1))</f>
      </c>
      <c r="I115" s="43">
        <f>IF(INDEX(DarlBelegt,1)=0,0,IF(INDEX(DarlOhneTilgung,1)=1,IF(INDEX(DarlBindung,1)="",1,$G115),IF($J115&gt;0.005,1,0)))</f>
      </c>
      <c r="J115" s="43">
        <f>IF($I114=0,0,$R114)</f>
      </c>
      <c r="K115" s="43">
        <f>IF($I115=0,0,IF(INDEX(DarlOhneTilgung,1)=1,0,IF(AND(INDEX(DarlTilgStart,1)&gt;0,$E115=INDEX(DarlTilgStart,1)),$J115*($H115+INDEX(DarlTilgung,1))/100/12,IF(AND($G115=0,$G114=1),MAX($K114,$J115*($H115+1)/100/12),$K114))))</f>
      </c>
      <c r="L115" s="43">
        <f>IF($I115=0,0,$J115*$H115/100/12)</f>
      </c>
      <c r="M115" s="43">
        <f>IF($I115=0,0,IF(OR(INDEX(DarlOhneTilgung,1)=1,AND(INDEX(DarlTilgStart,1)&gt;0,$E115&lt;INDEX(DarlTilgStart,1))),0,MIN(MAX(0,$K115-$L115),$J115)))</f>
      </c>
      <c r="N115" s="43">
        <f>IF($I115=0,0,MIN(SUMIFS(SondBetrag,SondDarl,1,SondDatum,"&gt;="&amp;$E115,SondDatum,"&lt;="&amp;EOMONTH($E115,0)),$J115-$M115))</f>
      </c>
      <c r="O115" s="43">
        <f>IF($I115=0,0,INDEX(DarlErsatzRate,1))</f>
      </c>
      <c r="P115" s="43">
        <f>IF($I115=0,0,$Q114*INDEX(DarlErsatzZins,1))</f>
      </c>
      <c r="Q115" s="43">
        <f>IF($I115=0,0,$Q114+$P115+$O115)</f>
      </c>
      <c r="R115" s="43">
        <f>IF($I115=0,0,$J115-$M115-$N115)</f>
      </c>
    </row>
    <row r="116">
      <c r="A116"/>
      <c r="B116">
        <v>1</v>
      </c>
      <c r="C116" s="43">
        <f>INDEX(DarlObj,1)</f>
      </c>
      <c r="D116">
        <v>113</v>
      </c>
      <c r="E116" s="51">
        <f>IF(INDEX(DarlBelegt,1)=0,0,EOMONTH(INDEX(DarlAuszahlung,1),112)+1)</f>
      </c>
      <c r="F116" s="43">
        <f>IF($E116=0,0,YEAR($E116))</f>
      </c>
      <c r="G116" s="43">
        <f>IF(INDEX(DarlBindung,1)="",1,IF($E116&lt;=INDEX(DarlBindung,1),1,0))</f>
      </c>
      <c r="H116" s="43">
        <f>IF($G116=1,INDEX(DarlSollzins,1),INDEX(DarlAnschluss,1))</f>
      </c>
      <c r="I116" s="43">
        <f>IF(INDEX(DarlBelegt,1)=0,0,IF(INDEX(DarlOhneTilgung,1)=1,IF(INDEX(DarlBindung,1)="",1,$G116),IF($J116&gt;0.005,1,0)))</f>
      </c>
      <c r="J116" s="43">
        <f>IF($I115=0,0,$R115)</f>
      </c>
      <c r="K116" s="43">
        <f>IF($I116=0,0,IF(INDEX(DarlOhneTilgung,1)=1,0,IF(AND(INDEX(DarlTilgStart,1)&gt;0,$E116=INDEX(DarlTilgStart,1)),$J116*($H116+INDEX(DarlTilgung,1))/100/12,IF(AND($G116=0,$G115=1),MAX($K115,$J116*($H116+1)/100/12),$K115))))</f>
      </c>
      <c r="L116" s="43">
        <f>IF($I116=0,0,$J116*$H116/100/12)</f>
      </c>
      <c r="M116" s="43">
        <f>IF($I116=0,0,IF(OR(INDEX(DarlOhneTilgung,1)=1,AND(INDEX(DarlTilgStart,1)&gt;0,$E116&lt;INDEX(DarlTilgStart,1))),0,MIN(MAX(0,$K116-$L116),$J116)))</f>
      </c>
      <c r="N116" s="43">
        <f>IF($I116=0,0,MIN(SUMIFS(SondBetrag,SondDarl,1,SondDatum,"&gt;="&amp;$E116,SondDatum,"&lt;="&amp;EOMONTH($E116,0)),$J116-$M116))</f>
      </c>
      <c r="O116" s="43">
        <f>IF($I116=0,0,INDEX(DarlErsatzRate,1))</f>
      </c>
      <c r="P116" s="43">
        <f>IF($I116=0,0,$Q115*INDEX(DarlErsatzZins,1))</f>
      </c>
      <c r="Q116" s="43">
        <f>IF($I116=0,0,$Q115+$P116+$O116)</f>
      </c>
      <c r="R116" s="43">
        <f>IF($I116=0,0,$J116-$M116-$N116)</f>
      </c>
    </row>
    <row r="117">
      <c r="A117"/>
      <c r="B117">
        <v>1</v>
      </c>
      <c r="C117" s="43">
        <f>INDEX(DarlObj,1)</f>
      </c>
      <c r="D117">
        <v>114</v>
      </c>
      <c r="E117" s="51">
        <f>IF(INDEX(DarlBelegt,1)=0,0,EOMONTH(INDEX(DarlAuszahlung,1),113)+1)</f>
      </c>
      <c r="F117" s="43">
        <f>IF($E117=0,0,YEAR($E117))</f>
      </c>
      <c r="G117" s="43">
        <f>IF(INDEX(DarlBindung,1)="",1,IF($E117&lt;=INDEX(DarlBindung,1),1,0))</f>
      </c>
      <c r="H117" s="43">
        <f>IF($G117=1,INDEX(DarlSollzins,1),INDEX(DarlAnschluss,1))</f>
      </c>
      <c r="I117" s="43">
        <f>IF(INDEX(DarlBelegt,1)=0,0,IF(INDEX(DarlOhneTilgung,1)=1,IF(INDEX(DarlBindung,1)="",1,$G117),IF($J117&gt;0.005,1,0)))</f>
      </c>
      <c r="J117" s="43">
        <f>IF($I116=0,0,$R116)</f>
      </c>
      <c r="K117" s="43">
        <f>IF($I117=0,0,IF(INDEX(DarlOhneTilgung,1)=1,0,IF(AND(INDEX(DarlTilgStart,1)&gt;0,$E117=INDEX(DarlTilgStart,1)),$J117*($H117+INDEX(DarlTilgung,1))/100/12,IF(AND($G117=0,$G116=1),MAX($K116,$J117*($H117+1)/100/12),$K116))))</f>
      </c>
      <c r="L117" s="43">
        <f>IF($I117=0,0,$J117*$H117/100/12)</f>
      </c>
      <c r="M117" s="43">
        <f>IF($I117=0,0,IF(OR(INDEX(DarlOhneTilgung,1)=1,AND(INDEX(DarlTilgStart,1)&gt;0,$E117&lt;INDEX(DarlTilgStart,1))),0,MIN(MAX(0,$K117-$L117),$J117)))</f>
      </c>
      <c r="N117" s="43">
        <f>IF($I117=0,0,MIN(SUMIFS(SondBetrag,SondDarl,1,SondDatum,"&gt;="&amp;$E117,SondDatum,"&lt;="&amp;EOMONTH($E117,0)),$J117-$M117))</f>
      </c>
      <c r="O117" s="43">
        <f>IF($I117=0,0,INDEX(DarlErsatzRate,1))</f>
      </c>
      <c r="P117" s="43">
        <f>IF($I117=0,0,$Q116*INDEX(DarlErsatzZins,1))</f>
      </c>
      <c r="Q117" s="43">
        <f>IF($I117=0,0,$Q116+$P117+$O117)</f>
      </c>
      <c r="R117" s="43">
        <f>IF($I117=0,0,$J117-$M117-$N117)</f>
      </c>
    </row>
    <row r="118">
      <c r="A118"/>
      <c r="B118">
        <v>1</v>
      </c>
      <c r="C118" s="43">
        <f>INDEX(DarlObj,1)</f>
      </c>
      <c r="D118">
        <v>115</v>
      </c>
      <c r="E118" s="51">
        <f>IF(INDEX(DarlBelegt,1)=0,0,EOMONTH(INDEX(DarlAuszahlung,1),114)+1)</f>
      </c>
      <c r="F118" s="43">
        <f>IF($E118=0,0,YEAR($E118))</f>
      </c>
      <c r="G118" s="43">
        <f>IF(INDEX(DarlBindung,1)="",1,IF($E118&lt;=INDEX(DarlBindung,1),1,0))</f>
      </c>
      <c r="H118" s="43">
        <f>IF($G118=1,INDEX(DarlSollzins,1),INDEX(DarlAnschluss,1))</f>
      </c>
      <c r="I118" s="43">
        <f>IF(INDEX(DarlBelegt,1)=0,0,IF(INDEX(DarlOhneTilgung,1)=1,IF(INDEX(DarlBindung,1)="",1,$G118),IF($J118&gt;0.005,1,0)))</f>
      </c>
      <c r="J118" s="43">
        <f>IF($I117=0,0,$R117)</f>
      </c>
      <c r="K118" s="43">
        <f>IF($I118=0,0,IF(INDEX(DarlOhneTilgung,1)=1,0,IF(AND(INDEX(DarlTilgStart,1)&gt;0,$E118=INDEX(DarlTilgStart,1)),$J118*($H118+INDEX(DarlTilgung,1))/100/12,IF(AND($G118=0,$G117=1),MAX($K117,$J118*($H118+1)/100/12),$K117))))</f>
      </c>
      <c r="L118" s="43">
        <f>IF($I118=0,0,$J118*$H118/100/12)</f>
      </c>
      <c r="M118" s="43">
        <f>IF($I118=0,0,IF(OR(INDEX(DarlOhneTilgung,1)=1,AND(INDEX(DarlTilgStart,1)&gt;0,$E118&lt;INDEX(DarlTilgStart,1))),0,MIN(MAX(0,$K118-$L118),$J118)))</f>
      </c>
      <c r="N118" s="43">
        <f>IF($I118=0,0,MIN(SUMIFS(SondBetrag,SondDarl,1,SondDatum,"&gt;="&amp;$E118,SondDatum,"&lt;="&amp;EOMONTH($E118,0)),$J118-$M118))</f>
      </c>
      <c r="O118" s="43">
        <f>IF($I118=0,0,INDEX(DarlErsatzRate,1))</f>
      </c>
      <c r="P118" s="43">
        <f>IF($I118=0,0,$Q117*INDEX(DarlErsatzZins,1))</f>
      </c>
      <c r="Q118" s="43">
        <f>IF($I118=0,0,$Q117+$P118+$O118)</f>
      </c>
      <c r="R118" s="43">
        <f>IF($I118=0,0,$J118-$M118-$N118)</f>
      </c>
    </row>
    <row r="119">
      <c r="A119"/>
      <c r="B119">
        <v>1</v>
      </c>
      <c r="C119" s="43">
        <f>INDEX(DarlObj,1)</f>
      </c>
      <c r="D119">
        <v>116</v>
      </c>
      <c r="E119" s="51">
        <f>IF(INDEX(DarlBelegt,1)=0,0,EOMONTH(INDEX(DarlAuszahlung,1),115)+1)</f>
      </c>
      <c r="F119" s="43">
        <f>IF($E119=0,0,YEAR($E119))</f>
      </c>
      <c r="G119" s="43">
        <f>IF(INDEX(DarlBindung,1)="",1,IF($E119&lt;=INDEX(DarlBindung,1),1,0))</f>
      </c>
      <c r="H119" s="43">
        <f>IF($G119=1,INDEX(DarlSollzins,1),INDEX(DarlAnschluss,1))</f>
      </c>
      <c r="I119" s="43">
        <f>IF(INDEX(DarlBelegt,1)=0,0,IF(INDEX(DarlOhneTilgung,1)=1,IF(INDEX(DarlBindung,1)="",1,$G119),IF($J119&gt;0.005,1,0)))</f>
      </c>
      <c r="J119" s="43">
        <f>IF($I118=0,0,$R118)</f>
      </c>
      <c r="K119" s="43">
        <f>IF($I119=0,0,IF(INDEX(DarlOhneTilgung,1)=1,0,IF(AND(INDEX(DarlTilgStart,1)&gt;0,$E119=INDEX(DarlTilgStart,1)),$J119*($H119+INDEX(DarlTilgung,1))/100/12,IF(AND($G119=0,$G118=1),MAX($K118,$J119*($H119+1)/100/12),$K118))))</f>
      </c>
      <c r="L119" s="43">
        <f>IF($I119=0,0,$J119*$H119/100/12)</f>
      </c>
      <c r="M119" s="43">
        <f>IF($I119=0,0,IF(OR(INDEX(DarlOhneTilgung,1)=1,AND(INDEX(DarlTilgStart,1)&gt;0,$E119&lt;INDEX(DarlTilgStart,1))),0,MIN(MAX(0,$K119-$L119),$J119)))</f>
      </c>
      <c r="N119" s="43">
        <f>IF($I119=0,0,MIN(SUMIFS(SondBetrag,SondDarl,1,SondDatum,"&gt;="&amp;$E119,SondDatum,"&lt;="&amp;EOMONTH($E119,0)),$J119-$M119))</f>
      </c>
      <c r="O119" s="43">
        <f>IF($I119=0,0,INDEX(DarlErsatzRate,1))</f>
      </c>
      <c r="P119" s="43">
        <f>IF($I119=0,0,$Q118*INDEX(DarlErsatzZins,1))</f>
      </c>
      <c r="Q119" s="43">
        <f>IF($I119=0,0,$Q118+$P119+$O119)</f>
      </c>
      <c r="R119" s="43">
        <f>IF($I119=0,0,$J119-$M119-$N119)</f>
      </c>
    </row>
    <row r="120">
      <c r="A120"/>
      <c r="B120">
        <v>1</v>
      </c>
      <c r="C120" s="43">
        <f>INDEX(DarlObj,1)</f>
      </c>
      <c r="D120">
        <v>117</v>
      </c>
      <c r="E120" s="51">
        <f>IF(INDEX(DarlBelegt,1)=0,0,EOMONTH(INDEX(DarlAuszahlung,1),116)+1)</f>
      </c>
      <c r="F120" s="43">
        <f>IF($E120=0,0,YEAR($E120))</f>
      </c>
      <c r="G120" s="43">
        <f>IF(INDEX(DarlBindung,1)="",1,IF($E120&lt;=INDEX(DarlBindung,1),1,0))</f>
      </c>
      <c r="H120" s="43">
        <f>IF($G120=1,INDEX(DarlSollzins,1),INDEX(DarlAnschluss,1))</f>
      </c>
      <c r="I120" s="43">
        <f>IF(INDEX(DarlBelegt,1)=0,0,IF(INDEX(DarlOhneTilgung,1)=1,IF(INDEX(DarlBindung,1)="",1,$G120),IF($J120&gt;0.005,1,0)))</f>
      </c>
      <c r="J120" s="43">
        <f>IF($I119=0,0,$R119)</f>
      </c>
      <c r="K120" s="43">
        <f>IF($I120=0,0,IF(INDEX(DarlOhneTilgung,1)=1,0,IF(AND(INDEX(DarlTilgStart,1)&gt;0,$E120=INDEX(DarlTilgStart,1)),$J120*($H120+INDEX(DarlTilgung,1))/100/12,IF(AND($G120=0,$G119=1),MAX($K119,$J120*($H120+1)/100/12),$K119))))</f>
      </c>
      <c r="L120" s="43">
        <f>IF($I120=0,0,$J120*$H120/100/12)</f>
      </c>
      <c r="M120" s="43">
        <f>IF($I120=0,0,IF(OR(INDEX(DarlOhneTilgung,1)=1,AND(INDEX(DarlTilgStart,1)&gt;0,$E120&lt;INDEX(DarlTilgStart,1))),0,MIN(MAX(0,$K120-$L120),$J120)))</f>
      </c>
      <c r="N120" s="43">
        <f>IF($I120=0,0,MIN(SUMIFS(SondBetrag,SondDarl,1,SondDatum,"&gt;="&amp;$E120,SondDatum,"&lt;="&amp;EOMONTH($E120,0)),$J120-$M120))</f>
      </c>
      <c r="O120" s="43">
        <f>IF($I120=0,0,INDEX(DarlErsatzRate,1))</f>
      </c>
      <c r="P120" s="43">
        <f>IF($I120=0,0,$Q119*INDEX(DarlErsatzZins,1))</f>
      </c>
      <c r="Q120" s="43">
        <f>IF($I120=0,0,$Q119+$P120+$O120)</f>
      </c>
      <c r="R120" s="43">
        <f>IF($I120=0,0,$J120-$M120-$N120)</f>
      </c>
    </row>
    <row r="121">
      <c r="A121"/>
      <c r="B121">
        <v>1</v>
      </c>
      <c r="C121" s="43">
        <f>INDEX(DarlObj,1)</f>
      </c>
      <c r="D121">
        <v>118</v>
      </c>
      <c r="E121" s="51">
        <f>IF(INDEX(DarlBelegt,1)=0,0,EOMONTH(INDEX(DarlAuszahlung,1),117)+1)</f>
      </c>
      <c r="F121" s="43">
        <f>IF($E121=0,0,YEAR($E121))</f>
      </c>
      <c r="G121" s="43">
        <f>IF(INDEX(DarlBindung,1)="",1,IF($E121&lt;=INDEX(DarlBindung,1),1,0))</f>
      </c>
      <c r="H121" s="43">
        <f>IF($G121=1,INDEX(DarlSollzins,1),INDEX(DarlAnschluss,1))</f>
      </c>
      <c r="I121" s="43">
        <f>IF(INDEX(DarlBelegt,1)=0,0,IF(INDEX(DarlOhneTilgung,1)=1,IF(INDEX(DarlBindung,1)="",1,$G121),IF($J121&gt;0.005,1,0)))</f>
      </c>
      <c r="J121" s="43">
        <f>IF($I120=0,0,$R120)</f>
      </c>
      <c r="K121" s="43">
        <f>IF($I121=0,0,IF(INDEX(DarlOhneTilgung,1)=1,0,IF(AND(INDEX(DarlTilgStart,1)&gt;0,$E121=INDEX(DarlTilgStart,1)),$J121*($H121+INDEX(DarlTilgung,1))/100/12,IF(AND($G121=0,$G120=1),MAX($K120,$J121*($H121+1)/100/12),$K120))))</f>
      </c>
      <c r="L121" s="43">
        <f>IF($I121=0,0,$J121*$H121/100/12)</f>
      </c>
      <c r="M121" s="43">
        <f>IF($I121=0,0,IF(OR(INDEX(DarlOhneTilgung,1)=1,AND(INDEX(DarlTilgStart,1)&gt;0,$E121&lt;INDEX(DarlTilgStart,1))),0,MIN(MAX(0,$K121-$L121),$J121)))</f>
      </c>
      <c r="N121" s="43">
        <f>IF($I121=0,0,MIN(SUMIFS(SondBetrag,SondDarl,1,SondDatum,"&gt;="&amp;$E121,SondDatum,"&lt;="&amp;EOMONTH($E121,0)),$J121-$M121))</f>
      </c>
      <c r="O121" s="43">
        <f>IF($I121=0,0,INDEX(DarlErsatzRate,1))</f>
      </c>
      <c r="P121" s="43">
        <f>IF($I121=0,0,$Q120*INDEX(DarlErsatzZins,1))</f>
      </c>
      <c r="Q121" s="43">
        <f>IF($I121=0,0,$Q120+$P121+$O121)</f>
      </c>
      <c r="R121" s="43">
        <f>IF($I121=0,0,$J121-$M121-$N121)</f>
      </c>
    </row>
    <row r="122">
      <c r="A122"/>
      <c r="B122">
        <v>1</v>
      </c>
      <c r="C122" s="43">
        <f>INDEX(DarlObj,1)</f>
      </c>
      <c r="D122">
        <v>119</v>
      </c>
      <c r="E122" s="51">
        <f>IF(INDEX(DarlBelegt,1)=0,0,EOMONTH(INDEX(DarlAuszahlung,1),118)+1)</f>
      </c>
      <c r="F122" s="43">
        <f>IF($E122=0,0,YEAR($E122))</f>
      </c>
      <c r="G122" s="43">
        <f>IF(INDEX(DarlBindung,1)="",1,IF($E122&lt;=INDEX(DarlBindung,1),1,0))</f>
      </c>
      <c r="H122" s="43">
        <f>IF($G122=1,INDEX(DarlSollzins,1),INDEX(DarlAnschluss,1))</f>
      </c>
      <c r="I122" s="43">
        <f>IF(INDEX(DarlBelegt,1)=0,0,IF(INDEX(DarlOhneTilgung,1)=1,IF(INDEX(DarlBindung,1)="",1,$G122),IF($J122&gt;0.005,1,0)))</f>
      </c>
      <c r="J122" s="43">
        <f>IF($I121=0,0,$R121)</f>
      </c>
      <c r="K122" s="43">
        <f>IF($I122=0,0,IF(INDEX(DarlOhneTilgung,1)=1,0,IF(AND(INDEX(DarlTilgStart,1)&gt;0,$E122=INDEX(DarlTilgStart,1)),$J122*($H122+INDEX(DarlTilgung,1))/100/12,IF(AND($G122=0,$G121=1),MAX($K121,$J122*($H122+1)/100/12),$K121))))</f>
      </c>
      <c r="L122" s="43">
        <f>IF($I122=0,0,$J122*$H122/100/12)</f>
      </c>
      <c r="M122" s="43">
        <f>IF($I122=0,0,IF(OR(INDEX(DarlOhneTilgung,1)=1,AND(INDEX(DarlTilgStart,1)&gt;0,$E122&lt;INDEX(DarlTilgStart,1))),0,MIN(MAX(0,$K122-$L122),$J122)))</f>
      </c>
      <c r="N122" s="43">
        <f>IF($I122=0,0,MIN(SUMIFS(SondBetrag,SondDarl,1,SondDatum,"&gt;="&amp;$E122,SondDatum,"&lt;="&amp;EOMONTH($E122,0)),$J122-$M122))</f>
      </c>
      <c r="O122" s="43">
        <f>IF($I122=0,0,INDEX(DarlErsatzRate,1))</f>
      </c>
      <c r="P122" s="43">
        <f>IF($I122=0,0,$Q121*INDEX(DarlErsatzZins,1))</f>
      </c>
      <c r="Q122" s="43">
        <f>IF($I122=0,0,$Q121+$P122+$O122)</f>
      </c>
      <c r="R122" s="43">
        <f>IF($I122=0,0,$J122-$M122-$N122)</f>
      </c>
    </row>
    <row r="123">
      <c r="A123"/>
      <c r="B123">
        <v>1</v>
      </c>
      <c r="C123" s="43">
        <f>INDEX(DarlObj,1)</f>
      </c>
      <c r="D123">
        <v>120</v>
      </c>
      <c r="E123" s="51">
        <f>IF(INDEX(DarlBelegt,1)=0,0,EOMONTH(INDEX(DarlAuszahlung,1),119)+1)</f>
      </c>
      <c r="F123" s="43">
        <f>IF($E123=0,0,YEAR($E123))</f>
      </c>
      <c r="G123" s="43">
        <f>IF(INDEX(DarlBindung,1)="",1,IF($E123&lt;=INDEX(DarlBindung,1),1,0))</f>
      </c>
      <c r="H123" s="43">
        <f>IF($G123=1,INDEX(DarlSollzins,1),INDEX(DarlAnschluss,1))</f>
      </c>
      <c r="I123" s="43">
        <f>IF(INDEX(DarlBelegt,1)=0,0,IF(INDEX(DarlOhneTilgung,1)=1,IF(INDEX(DarlBindung,1)="",1,$G123),IF($J123&gt;0.005,1,0)))</f>
      </c>
      <c r="J123" s="43">
        <f>IF($I122=0,0,$R122)</f>
      </c>
      <c r="K123" s="43">
        <f>IF($I123=0,0,IF(INDEX(DarlOhneTilgung,1)=1,0,IF(AND(INDEX(DarlTilgStart,1)&gt;0,$E123=INDEX(DarlTilgStart,1)),$J123*($H123+INDEX(DarlTilgung,1))/100/12,IF(AND($G123=0,$G122=1),MAX($K122,$J123*($H123+1)/100/12),$K122))))</f>
      </c>
      <c r="L123" s="43">
        <f>IF($I123=0,0,$J123*$H123/100/12)</f>
      </c>
      <c r="M123" s="43">
        <f>IF($I123=0,0,IF(OR(INDEX(DarlOhneTilgung,1)=1,AND(INDEX(DarlTilgStart,1)&gt;0,$E123&lt;INDEX(DarlTilgStart,1))),0,MIN(MAX(0,$K123-$L123),$J123)))</f>
      </c>
      <c r="N123" s="43">
        <f>IF($I123=0,0,MIN(SUMIFS(SondBetrag,SondDarl,1,SondDatum,"&gt;="&amp;$E123,SondDatum,"&lt;="&amp;EOMONTH($E123,0)),$J123-$M123))</f>
      </c>
      <c r="O123" s="43">
        <f>IF($I123=0,0,INDEX(DarlErsatzRate,1))</f>
      </c>
      <c r="P123" s="43">
        <f>IF($I123=0,0,$Q122*INDEX(DarlErsatzZins,1))</f>
      </c>
      <c r="Q123" s="43">
        <f>IF($I123=0,0,$Q122+$P123+$O123)</f>
      </c>
      <c r="R123" s="43">
        <f>IF($I123=0,0,$J123-$M123-$N123)</f>
      </c>
    </row>
    <row r="124">
      <c r="A124"/>
      <c r="B124">
        <v>1</v>
      </c>
      <c r="C124" s="43">
        <f>INDEX(DarlObj,1)</f>
      </c>
      <c r="D124">
        <v>121</v>
      </c>
      <c r="E124" s="51">
        <f>IF(INDEX(DarlBelegt,1)=0,0,EOMONTH(INDEX(DarlAuszahlung,1),120)+1)</f>
      </c>
      <c r="F124" s="43">
        <f>IF($E124=0,0,YEAR($E124))</f>
      </c>
      <c r="G124" s="43">
        <f>IF(INDEX(DarlBindung,1)="",1,IF($E124&lt;=INDEX(DarlBindung,1),1,0))</f>
      </c>
      <c r="H124" s="43">
        <f>IF($G124=1,INDEX(DarlSollzins,1),INDEX(DarlAnschluss,1))</f>
      </c>
      <c r="I124" s="43">
        <f>IF(INDEX(DarlBelegt,1)=0,0,IF(INDEX(DarlOhneTilgung,1)=1,IF(INDEX(DarlBindung,1)="",1,$G124),IF($J124&gt;0.005,1,0)))</f>
      </c>
      <c r="J124" s="43">
        <f>IF($I123=0,0,$R123)</f>
      </c>
      <c r="K124" s="43">
        <f>IF($I124=0,0,IF(INDEX(DarlOhneTilgung,1)=1,0,IF(AND(INDEX(DarlTilgStart,1)&gt;0,$E124=INDEX(DarlTilgStart,1)),$J124*($H124+INDEX(DarlTilgung,1))/100/12,IF(AND($G124=0,$G123=1),MAX($K123,$J124*($H124+1)/100/12),$K123))))</f>
      </c>
      <c r="L124" s="43">
        <f>IF($I124=0,0,$J124*$H124/100/12)</f>
      </c>
      <c r="M124" s="43">
        <f>IF($I124=0,0,IF(OR(INDEX(DarlOhneTilgung,1)=1,AND(INDEX(DarlTilgStart,1)&gt;0,$E124&lt;INDEX(DarlTilgStart,1))),0,MIN(MAX(0,$K124-$L124),$J124)))</f>
      </c>
      <c r="N124" s="43">
        <f>IF($I124=0,0,MIN(SUMIFS(SondBetrag,SondDarl,1,SondDatum,"&gt;="&amp;$E124,SondDatum,"&lt;="&amp;EOMONTH($E124,0)),$J124-$M124))</f>
      </c>
      <c r="O124" s="43">
        <f>IF($I124=0,0,INDEX(DarlErsatzRate,1))</f>
      </c>
      <c r="P124" s="43">
        <f>IF($I124=0,0,$Q123*INDEX(DarlErsatzZins,1))</f>
      </c>
      <c r="Q124" s="43">
        <f>IF($I124=0,0,$Q123+$P124+$O124)</f>
      </c>
      <c r="R124" s="43">
        <f>IF($I124=0,0,$J124-$M124-$N124)</f>
      </c>
    </row>
    <row r="125">
      <c r="A125"/>
      <c r="B125">
        <v>1</v>
      </c>
      <c r="C125" s="43">
        <f>INDEX(DarlObj,1)</f>
      </c>
      <c r="D125">
        <v>122</v>
      </c>
      <c r="E125" s="51">
        <f>IF(INDEX(DarlBelegt,1)=0,0,EOMONTH(INDEX(DarlAuszahlung,1),121)+1)</f>
      </c>
      <c r="F125" s="43">
        <f>IF($E125=0,0,YEAR($E125))</f>
      </c>
      <c r="G125" s="43">
        <f>IF(INDEX(DarlBindung,1)="",1,IF($E125&lt;=INDEX(DarlBindung,1),1,0))</f>
      </c>
      <c r="H125" s="43">
        <f>IF($G125=1,INDEX(DarlSollzins,1),INDEX(DarlAnschluss,1))</f>
      </c>
      <c r="I125" s="43">
        <f>IF(INDEX(DarlBelegt,1)=0,0,IF(INDEX(DarlOhneTilgung,1)=1,IF(INDEX(DarlBindung,1)="",1,$G125),IF($J125&gt;0.005,1,0)))</f>
      </c>
      <c r="J125" s="43">
        <f>IF($I124=0,0,$R124)</f>
      </c>
      <c r="K125" s="43">
        <f>IF($I125=0,0,IF(INDEX(DarlOhneTilgung,1)=1,0,IF(AND(INDEX(DarlTilgStart,1)&gt;0,$E125=INDEX(DarlTilgStart,1)),$J125*($H125+INDEX(DarlTilgung,1))/100/12,IF(AND($G125=0,$G124=1),MAX($K124,$J125*($H125+1)/100/12),$K124))))</f>
      </c>
      <c r="L125" s="43">
        <f>IF($I125=0,0,$J125*$H125/100/12)</f>
      </c>
      <c r="M125" s="43">
        <f>IF($I125=0,0,IF(OR(INDEX(DarlOhneTilgung,1)=1,AND(INDEX(DarlTilgStart,1)&gt;0,$E125&lt;INDEX(DarlTilgStart,1))),0,MIN(MAX(0,$K125-$L125),$J125)))</f>
      </c>
      <c r="N125" s="43">
        <f>IF($I125=0,0,MIN(SUMIFS(SondBetrag,SondDarl,1,SondDatum,"&gt;="&amp;$E125,SondDatum,"&lt;="&amp;EOMONTH($E125,0)),$J125-$M125))</f>
      </c>
      <c r="O125" s="43">
        <f>IF($I125=0,0,INDEX(DarlErsatzRate,1))</f>
      </c>
      <c r="P125" s="43">
        <f>IF($I125=0,0,$Q124*INDEX(DarlErsatzZins,1))</f>
      </c>
      <c r="Q125" s="43">
        <f>IF($I125=0,0,$Q124+$P125+$O125)</f>
      </c>
      <c r="R125" s="43">
        <f>IF($I125=0,0,$J125-$M125-$N125)</f>
      </c>
    </row>
    <row r="126">
      <c r="A126"/>
      <c r="B126">
        <v>1</v>
      </c>
      <c r="C126" s="43">
        <f>INDEX(DarlObj,1)</f>
      </c>
      <c r="D126">
        <v>123</v>
      </c>
      <c r="E126" s="51">
        <f>IF(INDEX(DarlBelegt,1)=0,0,EOMONTH(INDEX(DarlAuszahlung,1),122)+1)</f>
      </c>
      <c r="F126" s="43">
        <f>IF($E126=0,0,YEAR($E126))</f>
      </c>
      <c r="G126" s="43">
        <f>IF(INDEX(DarlBindung,1)="",1,IF($E126&lt;=INDEX(DarlBindung,1),1,0))</f>
      </c>
      <c r="H126" s="43">
        <f>IF($G126=1,INDEX(DarlSollzins,1),INDEX(DarlAnschluss,1))</f>
      </c>
      <c r="I126" s="43">
        <f>IF(INDEX(DarlBelegt,1)=0,0,IF(INDEX(DarlOhneTilgung,1)=1,IF(INDEX(DarlBindung,1)="",1,$G126),IF($J126&gt;0.005,1,0)))</f>
      </c>
      <c r="J126" s="43">
        <f>IF($I125=0,0,$R125)</f>
      </c>
      <c r="K126" s="43">
        <f>IF($I126=0,0,IF(INDEX(DarlOhneTilgung,1)=1,0,IF(AND(INDEX(DarlTilgStart,1)&gt;0,$E126=INDEX(DarlTilgStart,1)),$J126*($H126+INDEX(DarlTilgung,1))/100/12,IF(AND($G126=0,$G125=1),MAX($K125,$J126*($H126+1)/100/12),$K125))))</f>
      </c>
      <c r="L126" s="43">
        <f>IF($I126=0,0,$J126*$H126/100/12)</f>
      </c>
      <c r="M126" s="43">
        <f>IF($I126=0,0,IF(OR(INDEX(DarlOhneTilgung,1)=1,AND(INDEX(DarlTilgStart,1)&gt;0,$E126&lt;INDEX(DarlTilgStart,1))),0,MIN(MAX(0,$K126-$L126),$J126)))</f>
      </c>
      <c r="N126" s="43">
        <f>IF($I126=0,0,MIN(SUMIFS(SondBetrag,SondDarl,1,SondDatum,"&gt;="&amp;$E126,SondDatum,"&lt;="&amp;EOMONTH($E126,0)),$J126-$M126))</f>
      </c>
      <c r="O126" s="43">
        <f>IF($I126=0,0,INDEX(DarlErsatzRate,1))</f>
      </c>
      <c r="P126" s="43">
        <f>IF($I126=0,0,$Q125*INDEX(DarlErsatzZins,1))</f>
      </c>
      <c r="Q126" s="43">
        <f>IF($I126=0,0,$Q125+$P126+$O126)</f>
      </c>
      <c r="R126" s="43">
        <f>IF($I126=0,0,$J126-$M126-$N126)</f>
      </c>
    </row>
    <row r="127">
      <c r="A127"/>
      <c r="B127">
        <v>1</v>
      </c>
      <c r="C127" s="43">
        <f>INDEX(DarlObj,1)</f>
      </c>
      <c r="D127">
        <v>124</v>
      </c>
      <c r="E127" s="51">
        <f>IF(INDEX(DarlBelegt,1)=0,0,EOMONTH(INDEX(DarlAuszahlung,1),123)+1)</f>
      </c>
      <c r="F127" s="43">
        <f>IF($E127=0,0,YEAR($E127))</f>
      </c>
      <c r="G127" s="43">
        <f>IF(INDEX(DarlBindung,1)="",1,IF($E127&lt;=INDEX(DarlBindung,1),1,0))</f>
      </c>
      <c r="H127" s="43">
        <f>IF($G127=1,INDEX(DarlSollzins,1),INDEX(DarlAnschluss,1))</f>
      </c>
      <c r="I127" s="43">
        <f>IF(INDEX(DarlBelegt,1)=0,0,IF(INDEX(DarlOhneTilgung,1)=1,IF(INDEX(DarlBindung,1)="",1,$G127),IF($J127&gt;0.005,1,0)))</f>
      </c>
      <c r="J127" s="43">
        <f>IF($I126=0,0,$R126)</f>
      </c>
      <c r="K127" s="43">
        <f>IF($I127=0,0,IF(INDEX(DarlOhneTilgung,1)=1,0,IF(AND(INDEX(DarlTilgStart,1)&gt;0,$E127=INDEX(DarlTilgStart,1)),$J127*($H127+INDEX(DarlTilgung,1))/100/12,IF(AND($G127=0,$G126=1),MAX($K126,$J127*($H127+1)/100/12),$K126))))</f>
      </c>
      <c r="L127" s="43">
        <f>IF($I127=0,0,$J127*$H127/100/12)</f>
      </c>
      <c r="M127" s="43">
        <f>IF($I127=0,0,IF(OR(INDEX(DarlOhneTilgung,1)=1,AND(INDEX(DarlTilgStart,1)&gt;0,$E127&lt;INDEX(DarlTilgStart,1))),0,MIN(MAX(0,$K127-$L127),$J127)))</f>
      </c>
      <c r="N127" s="43">
        <f>IF($I127=0,0,MIN(SUMIFS(SondBetrag,SondDarl,1,SondDatum,"&gt;="&amp;$E127,SondDatum,"&lt;="&amp;EOMONTH($E127,0)),$J127-$M127))</f>
      </c>
      <c r="O127" s="43">
        <f>IF($I127=0,0,INDEX(DarlErsatzRate,1))</f>
      </c>
      <c r="P127" s="43">
        <f>IF($I127=0,0,$Q126*INDEX(DarlErsatzZins,1))</f>
      </c>
      <c r="Q127" s="43">
        <f>IF($I127=0,0,$Q126+$P127+$O127)</f>
      </c>
      <c r="R127" s="43">
        <f>IF($I127=0,0,$J127-$M127-$N127)</f>
      </c>
    </row>
    <row r="128">
      <c r="A128"/>
      <c r="B128">
        <v>1</v>
      </c>
      <c r="C128" s="43">
        <f>INDEX(DarlObj,1)</f>
      </c>
      <c r="D128">
        <v>125</v>
      </c>
      <c r="E128" s="51">
        <f>IF(INDEX(DarlBelegt,1)=0,0,EOMONTH(INDEX(DarlAuszahlung,1),124)+1)</f>
      </c>
      <c r="F128" s="43">
        <f>IF($E128=0,0,YEAR($E128))</f>
      </c>
      <c r="G128" s="43">
        <f>IF(INDEX(DarlBindung,1)="",1,IF($E128&lt;=INDEX(DarlBindung,1),1,0))</f>
      </c>
      <c r="H128" s="43">
        <f>IF($G128=1,INDEX(DarlSollzins,1),INDEX(DarlAnschluss,1))</f>
      </c>
      <c r="I128" s="43">
        <f>IF(INDEX(DarlBelegt,1)=0,0,IF(INDEX(DarlOhneTilgung,1)=1,IF(INDEX(DarlBindung,1)="",1,$G128),IF($J128&gt;0.005,1,0)))</f>
      </c>
      <c r="J128" s="43">
        <f>IF($I127=0,0,$R127)</f>
      </c>
      <c r="K128" s="43">
        <f>IF($I128=0,0,IF(INDEX(DarlOhneTilgung,1)=1,0,IF(AND(INDEX(DarlTilgStart,1)&gt;0,$E128=INDEX(DarlTilgStart,1)),$J128*($H128+INDEX(DarlTilgung,1))/100/12,IF(AND($G128=0,$G127=1),MAX($K127,$J128*($H128+1)/100/12),$K127))))</f>
      </c>
      <c r="L128" s="43">
        <f>IF($I128=0,0,$J128*$H128/100/12)</f>
      </c>
      <c r="M128" s="43">
        <f>IF($I128=0,0,IF(OR(INDEX(DarlOhneTilgung,1)=1,AND(INDEX(DarlTilgStart,1)&gt;0,$E128&lt;INDEX(DarlTilgStart,1))),0,MIN(MAX(0,$K128-$L128),$J128)))</f>
      </c>
      <c r="N128" s="43">
        <f>IF($I128=0,0,MIN(SUMIFS(SondBetrag,SondDarl,1,SondDatum,"&gt;="&amp;$E128,SondDatum,"&lt;="&amp;EOMONTH($E128,0)),$J128-$M128))</f>
      </c>
      <c r="O128" s="43">
        <f>IF($I128=0,0,INDEX(DarlErsatzRate,1))</f>
      </c>
      <c r="P128" s="43">
        <f>IF($I128=0,0,$Q127*INDEX(DarlErsatzZins,1))</f>
      </c>
      <c r="Q128" s="43">
        <f>IF($I128=0,0,$Q127+$P128+$O128)</f>
      </c>
      <c r="R128" s="43">
        <f>IF($I128=0,0,$J128-$M128-$N128)</f>
      </c>
    </row>
    <row r="129">
      <c r="A129"/>
      <c r="B129">
        <v>1</v>
      </c>
      <c r="C129" s="43">
        <f>INDEX(DarlObj,1)</f>
      </c>
      <c r="D129">
        <v>126</v>
      </c>
      <c r="E129" s="51">
        <f>IF(INDEX(DarlBelegt,1)=0,0,EOMONTH(INDEX(DarlAuszahlung,1),125)+1)</f>
      </c>
      <c r="F129" s="43">
        <f>IF($E129=0,0,YEAR($E129))</f>
      </c>
      <c r="G129" s="43">
        <f>IF(INDEX(DarlBindung,1)="",1,IF($E129&lt;=INDEX(DarlBindung,1),1,0))</f>
      </c>
      <c r="H129" s="43">
        <f>IF($G129=1,INDEX(DarlSollzins,1),INDEX(DarlAnschluss,1))</f>
      </c>
      <c r="I129" s="43">
        <f>IF(INDEX(DarlBelegt,1)=0,0,IF(INDEX(DarlOhneTilgung,1)=1,IF(INDEX(DarlBindung,1)="",1,$G129),IF($J129&gt;0.005,1,0)))</f>
      </c>
      <c r="J129" s="43">
        <f>IF($I128=0,0,$R128)</f>
      </c>
      <c r="K129" s="43">
        <f>IF($I129=0,0,IF(INDEX(DarlOhneTilgung,1)=1,0,IF(AND(INDEX(DarlTilgStart,1)&gt;0,$E129=INDEX(DarlTilgStart,1)),$J129*($H129+INDEX(DarlTilgung,1))/100/12,IF(AND($G129=0,$G128=1),MAX($K128,$J129*($H129+1)/100/12),$K128))))</f>
      </c>
      <c r="L129" s="43">
        <f>IF($I129=0,0,$J129*$H129/100/12)</f>
      </c>
      <c r="M129" s="43">
        <f>IF($I129=0,0,IF(OR(INDEX(DarlOhneTilgung,1)=1,AND(INDEX(DarlTilgStart,1)&gt;0,$E129&lt;INDEX(DarlTilgStart,1))),0,MIN(MAX(0,$K129-$L129),$J129)))</f>
      </c>
      <c r="N129" s="43">
        <f>IF($I129=0,0,MIN(SUMIFS(SondBetrag,SondDarl,1,SondDatum,"&gt;="&amp;$E129,SondDatum,"&lt;="&amp;EOMONTH($E129,0)),$J129-$M129))</f>
      </c>
      <c r="O129" s="43">
        <f>IF($I129=0,0,INDEX(DarlErsatzRate,1))</f>
      </c>
      <c r="P129" s="43">
        <f>IF($I129=0,0,$Q128*INDEX(DarlErsatzZins,1))</f>
      </c>
      <c r="Q129" s="43">
        <f>IF($I129=0,0,$Q128+$P129+$O129)</f>
      </c>
      <c r="R129" s="43">
        <f>IF($I129=0,0,$J129-$M129-$N129)</f>
      </c>
    </row>
    <row r="130">
      <c r="A130"/>
      <c r="B130">
        <v>1</v>
      </c>
      <c r="C130" s="43">
        <f>INDEX(DarlObj,1)</f>
      </c>
      <c r="D130">
        <v>127</v>
      </c>
      <c r="E130" s="51">
        <f>IF(INDEX(DarlBelegt,1)=0,0,EOMONTH(INDEX(DarlAuszahlung,1),126)+1)</f>
      </c>
      <c r="F130" s="43">
        <f>IF($E130=0,0,YEAR($E130))</f>
      </c>
      <c r="G130" s="43">
        <f>IF(INDEX(DarlBindung,1)="",1,IF($E130&lt;=INDEX(DarlBindung,1),1,0))</f>
      </c>
      <c r="H130" s="43">
        <f>IF($G130=1,INDEX(DarlSollzins,1),INDEX(DarlAnschluss,1))</f>
      </c>
      <c r="I130" s="43">
        <f>IF(INDEX(DarlBelegt,1)=0,0,IF(INDEX(DarlOhneTilgung,1)=1,IF(INDEX(DarlBindung,1)="",1,$G130),IF($J130&gt;0.005,1,0)))</f>
      </c>
      <c r="J130" s="43">
        <f>IF($I129=0,0,$R129)</f>
      </c>
      <c r="K130" s="43">
        <f>IF($I130=0,0,IF(INDEX(DarlOhneTilgung,1)=1,0,IF(AND(INDEX(DarlTilgStart,1)&gt;0,$E130=INDEX(DarlTilgStart,1)),$J130*($H130+INDEX(DarlTilgung,1))/100/12,IF(AND($G130=0,$G129=1),MAX($K129,$J130*($H130+1)/100/12),$K129))))</f>
      </c>
      <c r="L130" s="43">
        <f>IF($I130=0,0,$J130*$H130/100/12)</f>
      </c>
      <c r="M130" s="43">
        <f>IF($I130=0,0,IF(OR(INDEX(DarlOhneTilgung,1)=1,AND(INDEX(DarlTilgStart,1)&gt;0,$E130&lt;INDEX(DarlTilgStart,1))),0,MIN(MAX(0,$K130-$L130),$J130)))</f>
      </c>
      <c r="N130" s="43">
        <f>IF($I130=0,0,MIN(SUMIFS(SondBetrag,SondDarl,1,SondDatum,"&gt;="&amp;$E130,SondDatum,"&lt;="&amp;EOMONTH($E130,0)),$J130-$M130))</f>
      </c>
      <c r="O130" s="43">
        <f>IF($I130=0,0,INDEX(DarlErsatzRate,1))</f>
      </c>
      <c r="P130" s="43">
        <f>IF($I130=0,0,$Q129*INDEX(DarlErsatzZins,1))</f>
      </c>
      <c r="Q130" s="43">
        <f>IF($I130=0,0,$Q129+$P130+$O130)</f>
      </c>
      <c r="R130" s="43">
        <f>IF($I130=0,0,$J130-$M130-$N130)</f>
      </c>
    </row>
    <row r="131">
      <c r="A131"/>
      <c r="B131">
        <v>1</v>
      </c>
      <c r="C131" s="43">
        <f>INDEX(DarlObj,1)</f>
      </c>
      <c r="D131">
        <v>128</v>
      </c>
      <c r="E131" s="51">
        <f>IF(INDEX(DarlBelegt,1)=0,0,EOMONTH(INDEX(DarlAuszahlung,1),127)+1)</f>
      </c>
      <c r="F131" s="43">
        <f>IF($E131=0,0,YEAR($E131))</f>
      </c>
      <c r="G131" s="43">
        <f>IF(INDEX(DarlBindung,1)="",1,IF($E131&lt;=INDEX(DarlBindung,1),1,0))</f>
      </c>
      <c r="H131" s="43">
        <f>IF($G131=1,INDEX(DarlSollzins,1),INDEX(DarlAnschluss,1))</f>
      </c>
      <c r="I131" s="43">
        <f>IF(INDEX(DarlBelegt,1)=0,0,IF(INDEX(DarlOhneTilgung,1)=1,IF(INDEX(DarlBindung,1)="",1,$G131),IF($J131&gt;0.005,1,0)))</f>
      </c>
      <c r="J131" s="43">
        <f>IF($I130=0,0,$R130)</f>
      </c>
      <c r="K131" s="43">
        <f>IF($I131=0,0,IF(INDEX(DarlOhneTilgung,1)=1,0,IF(AND(INDEX(DarlTilgStart,1)&gt;0,$E131=INDEX(DarlTilgStart,1)),$J131*($H131+INDEX(DarlTilgung,1))/100/12,IF(AND($G131=0,$G130=1),MAX($K130,$J131*($H131+1)/100/12),$K130))))</f>
      </c>
      <c r="L131" s="43">
        <f>IF($I131=0,0,$J131*$H131/100/12)</f>
      </c>
      <c r="M131" s="43">
        <f>IF($I131=0,0,IF(OR(INDEX(DarlOhneTilgung,1)=1,AND(INDEX(DarlTilgStart,1)&gt;0,$E131&lt;INDEX(DarlTilgStart,1))),0,MIN(MAX(0,$K131-$L131),$J131)))</f>
      </c>
      <c r="N131" s="43">
        <f>IF($I131=0,0,MIN(SUMIFS(SondBetrag,SondDarl,1,SondDatum,"&gt;="&amp;$E131,SondDatum,"&lt;="&amp;EOMONTH($E131,0)),$J131-$M131))</f>
      </c>
      <c r="O131" s="43">
        <f>IF($I131=0,0,INDEX(DarlErsatzRate,1))</f>
      </c>
      <c r="P131" s="43">
        <f>IF($I131=0,0,$Q130*INDEX(DarlErsatzZins,1))</f>
      </c>
      <c r="Q131" s="43">
        <f>IF($I131=0,0,$Q130+$P131+$O131)</f>
      </c>
      <c r="R131" s="43">
        <f>IF($I131=0,0,$J131-$M131-$N131)</f>
      </c>
    </row>
    <row r="132">
      <c r="A132"/>
      <c r="B132">
        <v>1</v>
      </c>
      <c r="C132" s="43">
        <f>INDEX(DarlObj,1)</f>
      </c>
      <c r="D132">
        <v>129</v>
      </c>
      <c r="E132" s="51">
        <f>IF(INDEX(DarlBelegt,1)=0,0,EOMONTH(INDEX(DarlAuszahlung,1),128)+1)</f>
      </c>
      <c r="F132" s="43">
        <f>IF($E132=0,0,YEAR($E132))</f>
      </c>
      <c r="G132" s="43">
        <f>IF(INDEX(DarlBindung,1)="",1,IF($E132&lt;=INDEX(DarlBindung,1),1,0))</f>
      </c>
      <c r="H132" s="43">
        <f>IF($G132=1,INDEX(DarlSollzins,1),INDEX(DarlAnschluss,1))</f>
      </c>
      <c r="I132" s="43">
        <f>IF(INDEX(DarlBelegt,1)=0,0,IF(INDEX(DarlOhneTilgung,1)=1,IF(INDEX(DarlBindung,1)="",1,$G132),IF($J132&gt;0.005,1,0)))</f>
      </c>
      <c r="J132" s="43">
        <f>IF($I131=0,0,$R131)</f>
      </c>
      <c r="K132" s="43">
        <f>IF($I132=0,0,IF(INDEX(DarlOhneTilgung,1)=1,0,IF(AND(INDEX(DarlTilgStart,1)&gt;0,$E132=INDEX(DarlTilgStart,1)),$J132*($H132+INDEX(DarlTilgung,1))/100/12,IF(AND($G132=0,$G131=1),MAX($K131,$J132*($H132+1)/100/12),$K131))))</f>
      </c>
      <c r="L132" s="43">
        <f>IF($I132=0,0,$J132*$H132/100/12)</f>
      </c>
      <c r="M132" s="43">
        <f>IF($I132=0,0,IF(OR(INDEX(DarlOhneTilgung,1)=1,AND(INDEX(DarlTilgStart,1)&gt;0,$E132&lt;INDEX(DarlTilgStart,1))),0,MIN(MAX(0,$K132-$L132),$J132)))</f>
      </c>
      <c r="N132" s="43">
        <f>IF($I132=0,0,MIN(SUMIFS(SondBetrag,SondDarl,1,SondDatum,"&gt;="&amp;$E132,SondDatum,"&lt;="&amp;EOMONTH($E132,0)),$J132-$M132))</f>
      </c>
      <c r="O132" s="43">
        <f>IF($I132=0,0,INDEX(DarlErsatzRate,1))</f>
      </c>
      <c r="P132" s="43">
        <f>IF($I132=0,0,$Q131*INDEX(DarlErsatzZins,1))</f>
      </c>
      <c r="Q132" s="43">
        <f>IF($I132=0,0,$Q131+$P132+$O132)</f>
      </c>
      <c r="R132" s="43">
        <f>IF($I132=0,0,$J132-$M132-$N132)</f>
      </c>
    </row>
    <row r="133">
      <c r="A133"/>
      <c r="B133">
        <v>1</v>
      </c>
      <c r="C133" s="43">
        <f>INDEX(DarlObj,1)</f>
      </c>
      <c r="D133">
        <v>130</v>
      </c>
      <c r="E133" s="51">
        <f>IF(INDEX(DarlBelegt,1)=0,0,EOMONTH(INDEX(DarlAuszahlung,1),129)+1)</f>
      </c>
      <c r="F133" s="43">
        <f>IF($E133=0,0,YEAR($E133))</f>
      </c>
      <c r="G133" s="43">
        <f>IF(INDEX(DarlBindung,1)="",1,IF($E133&lt;=INDEX(DarlBindung,1),1,0))</f>
      </c>
      <c r="H133" s="43">
        <f>IF($G133=1,INDEX(DarlSollzins,1),INDEX(DarlAnschluss,1))</f>
      </c>
      <c r="I133" s="43">
        <f>IF(INDEX(DarlBelegt,1)=0,0,IF(INDEX(DarlOhneTilgung,1)=1,IF(INDEX(DarlBindung,1)="",1,$G133),IF($J133&gt;0.005,1,0)))</f>
      </c>
      <c r="J133" s="43">
        <f>IF($I132=0,0,$R132)</f>
      </c>
      <c r="K133" s="43">
        <f>IF($I133=0,0,IF(INDEX(DarlOhneTilgung,1)=1,0,IF(AND(INDEX(DarlTilgStart,1)&gt;0,$E133=INDEX(DarlTilgStart,1)),$J133*($H133+INDEX(DarlTilgung,1))/100/12,IF(AND($G133=0,$G132=1),MAX($K132,$J133*($H133+1)/100/12),$K132))))</f>
      </c>
      <c r="L133" s="43">
        <f>IF($I133=0,0,$J133*$H133/100/12)</f>
      </c>
      <c r="M133" s="43">
        <f>IF($I133=0,0,IF(OR(INDEX(DarlOhneTilgung,1)=1,AND(INDEX(DarlTilgStart,1)&gt;0,$E133&lt;INDEX(DarlTilgStart,1))),0,MIN(MAX(0,$K133-$L133),$J133)))</f>
      </c>
      <c r="N133" s="43">
        <f>IF($I133=0,0,MIN(SUMIFS(SondBetrag,SondDarl,1,SondDatum,"&gt;="&amp;$E133,SondDatum,"&lt;="&amp;EOMONTH($E133,0)),$J133-$M133))</f>
      </c>
      <c r="O133" s="43">
        <f>IF($I133=0,0,INDEX(DarlErsatzRate,1))</f>
      </c>
      <c r="P133" s="43">
        <f>IF($I133=0,0,$Q132*INDEX(DarlErsatzZins,1))</f>
      </c>
      <c r="Q133" s="43">
        <f>IF($I133=0,0,$Q132+$P133+$O133)</f>
      </c>
      <c r="R133" s="43">
        <f>IF($I133=0,0,$J133-$M133-$N133)</f>
      </c>
    </row>
    <row r="134">
      <c r="A134"/>
      <c r="B134">
        <v>1</v>
      </c>
      <c r="C134" s="43">
        <f>INDEX(DarlObj,1)</f>
      </c>
      <c r="D134">
        <v>131</v>
      </c>
      <c r="E134" s="51">
        <f>IF(INDEX(DarlBelegt,1)=0,0,EOMONTH(INDEX(DarlAuszahlung,1),130)+1)</f>
      </c>
      <c r="F134" s="43">
        <f>IF($E134=0,0,YEAR($E134))</f>
      </c>
      <c r="G134" s="43">
        <f>IF(INDEX(DarlBindung,1)="",1,IF($E134&lt;=INDEX(DarlBindung,1),1,0))</f>
      </c>
      <c r="H134" s="43">
        <f>IF($G134=1,INDEX(DarlSollzins,1),INDEX(DarlAnschluss,1))</f>
      </c>
      <c r="I134" s="43">
        <f>IF(INDEX(DarlBelegt,1)=0,0,IF(INDEX(DarlOhneTilgung,1)=1,IF(INDEX(DarlBindung,1)="",1,$G134),IF($J134&gt;0.005,1,0)))</f>
      </c>
      <c r="J134" s="43">
        <f>IF($I133=0,0,$R133)</f>
      </c>
      <c r="K134" s="43">
        <f>IF($I134=0,0,IF(INDEX(DarlOhneTilgung,1)=1,0,IF(AND(INDEX(DarlTilgStart,1)&gt;0,$E134=INDEX(DarlTilgStart,1)),$J134*($H134+INDEX(DarlTilgung,1))/100/12,IF(AND($G134=0,$G133=1),MAX($K133,$J134*($H134+1)/100/12),$K133))))</f>
      </c>
      <c r="L134" s="43">
        <f>IF($I134=0,0,$J134*$H134/100/12)</f>
      </c>
      <c r="M134" s="43">
        <f>IF($I134=0,0,IF(OR(INDEX(DarlOhneTilgung,1)=1,AND(INDEX(DarlTilgStart,1)&gt;0,$E134&lt;INDEX(DarlTilgStart,1))),0,MIN(MAX(0,$K134-$L134),$J134)))</f>
      </c>
      <c r="N134" s="43">
        <f>IF($I134=0,0,MIN(SUMIFS(SondBetrag,SondDarl,1,SondDatum,"&gt;="&amp;$E134,SondDatum,"&lt;="&amp;EOMONTH($E134,0)),$J134-$M134))</f>
      </c>
      <c r="O134" s="43">
        <f>IF($I134=0,0,INDEX(DarlErsatzRate,1))</f>
      </c>
      <c r="P134" s="43">
        <f>IF($I134=0,0,$Q133*INDEX(DarlErsatzZins,1))</f>
      </c>
      <c r="Q134" s="43">
        <f>IF($I134=0,0,$Q133+$P134+$O134)</f>
      </c>
      <c r="R134" s="43">
        <f>IF($I134=0,0,$J134-$M134-$N134)</f>
      </c>
    </row>
    <row r="135">
      <c r="A135"/>
      <c r="B135">
        <v>1</v>
      </c>
      <c r="C135" s="43">
        <f>INDEX(DarlObj,1)</f>
      </c>
      <c r="D135">
        <v>132</v>
      </c>
      <c r="E135" s="51">
        <f>IF(INDEX(DarlBelegt,1)=0,0,EOMONTH(INDEX(DarlAuszahlung,1),131)+1)</f>
      </c>
      <c r="F135" s="43">
        <f>IF($E135=0,0,YEAR($E135))</f>
      </c>
      <c r="G135" s="43">
        <f>IF(INDEX(DarlBindung,1)="",1,IF($E135&lt;=INDEX(DarlBindung,1),1,0))</f>
      </c>
      <c r="H135" s="43">
        <f>IF($G135=1,INDEX(DarlSollzins,1),INDEX(DarlAnschluss,1))</f>
      </c>
      <c r="I135" s="43">
        <f>IF(INDEX(DarlBelegt,1)=0,0,IF(INDEX(DarlOhneTilgung,1)=1,IF(INDEX(DarlBindung,1)="",1,$G135),IF($J135&gt;0.005,1,0)))</f>
      </c>
      <c r="J135" s="43">
        <f>IF($I134=0,0,$R134)</f>
      </c>
      <c r="K135" s="43">
        <f>IF($I135=0,0,IF(INDEX(DarlOhneTilgung,1)=1,0,IF(AND(INDEX(DarlTilgStart,1)&gt;0,$E135=INDEX(DarlTilgStart,1)),$J135*($H135+INDEX(DarlTilgung,1))/100/12,IF(AND($G135=0,$G134=1),MAX($K134,$J135*($H135+1)/100/12),$K134))))</f>
      </c>
      <c r="L135" s="43">
        <f>IF($I135=0,0,$J135*$H135/100/12)</f>
      </c>
      <c r="M135" s="43">
        <f>IF($I135=0,0,IF(OR(INDEX(DarlOhneTilgung,1)=1,AND(INDEX(DarlTilgStart,1)&gt;0,$E135&lt;INDEX(DarlTilgStart,1))),0,MIN(MAX(0,$K135-$L135),$J135)))</f>
      </c>
      <c r="N135" s="43">
        <f>IF($I135=0,0,MIN(SUMIFS(SondBetrag,SondDarl,1,SondDatum,"&gt;="&amp;$E135,SondDatum,"&lt;="&amp;EOMONTH($E135,0)),$J135-$M135))</f>
      </c>
      <c r="O135" s="43">
        <f>IF($I135=0,0,INDEX(DarlErsatzRate,1))</f>
      </c>
      <c r="P135" s="43">
        <f>IF($I135=0,0,$Q134*INDEX(DarlErsatzZins,1))</f>
      </c>
      <c r="Q135" s="43">
        <f>IF($I135=0,0,$Q134+$P135+$O135)</f>
      </c>
      <c r="R135" s="43">
        <f>IF($I135=0,0,$J135-$M135-$N135)</f>
      </c>
    </row>
    <row r="136">
      <c r="A136"/>
      <c r="B136">
        <v>1</v>
      </c>
      <c r="C136" s="43">
        <f>INDEX(DarlObj,1)</f>
      </c>
      <c r="D136">
        <v>133</v>
      </c>
      <c r="E136" s="51">
        <f>IF(INDEX(DarlBelegt,1)=0,0,EOMONTH(INDEX(DarlAuszahlung,1),132)+1)</f>
      </c>
      <c r="F136" s="43">
        <f>IF($E136=0,0,YEAR($E136))</f>
      </c>
      <c r="G136" s="43">
        <f>IF(INDEX(DarlBindung,1)="",1,IF($E136&lt;=INDEX(DarlBindung,1),1,0))</f>
      </c>
      <c r="H136" s="43">
        <f>IF($G136=1,INDEX(DarlSollzins,1),INDEX(DarlAnschluss,1))</f>
      </c>
      <c r="I136" s="43">
        <f>IF(INDEX(DarlBelegt,1)=0,0,IF(INDEX(DarlOhneTilgung,1)=1,IF(INDEX(DarlBindung,1)="",1,$G136),IF($J136&gt;0.005,1,0)))</f>
      </c>
      <c r="J136" s="43">
        <f>IF($I135=0,0,$R135)</f>
      </c>
      <c r="K136" s="43">
        <f>IF($I136=0,0,IF(INDEX(DarlOhneTilgung,1)=1,0,IF(AND(INDEX(DarlTilgStart,1)&gt;0,$E136=INDEX(DarlTilgStart,1)),$J136*($H136+INDEX(DarlTilgung,1))/100/12,IF(AND($G136=0,$G135=1),MAX($K135,$J136*($H136+1)/100/12),$K135))))</f>
      </c>
      <c r="L136" s="43">
        <f>IF($I136=0,0,$J136*$H136/100/12)</f>
      </c>
      <c r="M136" s="43">
        <f>IF($I136=0,0,IF(OR(INDEX(DarlOhneTilgung,1)=1,AND(INDEX(DarlTilgStart,1)&gt;0,$E136&lt;INDEX(DarlTilgStart,1))),0,MIN(MAX(0,$K136-$L136),$J136)))</f>
      </c>
      <c r="N136" s="43">
        <f>IF($I136=0,0,MIN(SUMIFS(SondBetrag,SondDarl,1,SondDatum,"&gt;="&amp;$E136,SondDatum,"&lt;="&amp;EOMONTH($E136,0)),$J136-$M136))</f>
      </c>
      <c r="O136" s="43">
        <f>IF($I136=0,0,INDEX(DarlErsatzRate,1))</f>
      </c>
      <c r="P136" s="43">
        <f>IF($I136=0,0,$Q135*INDEX(DarlErsatzZins,1))</f>
      </c>
      <c r="Q136" s="43">
        <f>IF($I136=0,0,$Q135+$P136+$O136)</f>
      </c>
      <c r="R136" s="43">
        <f>IF($I136=0,0,$J136-$M136-$N136)</f>
      </c>
    </row>
    <row r="137">
      <c r="A137"/>
      <c r="B137">
        <v>1</v>
      </c>
      <c r="C137" s="43">
        <f>INDEX(DarlObj,1)</f>
      </c>
      <c r="D137">
        <v>134</v>
      </c>
      <c r="E137" s="51">
        <f>IF(INDEX(DarlBelegt,1)=0,0,EOMONTH(INDEX(DarlAuszahlung,1),133)+1)</f>
      </c>
      <c r="F137" s="43">
        <f>IF($E137=0,0,YEAR($E137))</f>
      </c>
      <c r="G137" s="43">
        <f>IF(INDEX(DarlBindung,1)="",1,IF($E137&lt;=INDEX(DarlBindung,1),1,0))</f>
      </c>
      <c r="H137" s="43">
        <f>IF($G137=1,INDEX(DarlSollzins,1),INDEX(DarlAnschluss,1))</f>
      </c>
      <c r="I137" s="43">
        <f>IF(INDEX(DarlBelegt,1)=0,0,IF(INDEX(DarlOhneTilgung,1)=1,IF(INDEX(DarlBindung,1)="",1,$G137),IF($J137&gt;0.005,1,0)))</f>
      </c>
      <c r="J137" s="43">
        <f>IF($I136=0,0,$R136)</f>
      </c>
      <c r="K137" s="43">
        <f>IF($I137=0,0,IF(INDEX(DarlOhneTilgung,1)=1,0,IF(AND(INDEX(DarlTilgStart,1)&gt;0,$E137=INDEX(DarlTilgStart,1)),$J137*($H137+INDEX(DarlTilgung,1))/100/12,IF(AND($G137=0,$G136=1),MAX($K136,$J137*($H137+1)/100/12),$K136))))</f>
      </c>
      <c r="L137" s="43">
        <f>IF($I137=0,0,$J137*$H137/100/12)</f>
      </c>
      <c r="M137" s="43">
        <f>IF($I137=0,0,IF(OR(INDEX(DarlOhneTilgung,1)=1,AND(INDEX(DarlTilgStart,1)&gt;0,$E137&lt;INDEX(DarlTilgStart,1))),0,MIN(MAX(0,$K137-$L137),$J137)))</f>
      </c>
      <c r="N137" s="43">
        <f>IF($I137=0,0,MIN(SUMIFS(SondBetrag,SondDarl,1,SondDatum,"&gt;="&amp;$E137,SondDatum,"&lt;="&amp;EOMONTH($E137,0)),$J137-$M137))</f>
      </c>
      <c r="O137" s="43">
        <f>IF($I137=0,0,INDEX(DarlErsatzRate,1))</f>
      </c>
      <c r="P137" s="43">
        <f>IF($I137=0,0,$Q136*INDEX(DarlErsatzZins,1))</f>
      </c>
      <c r="Q137" s="43">
        <f>IF($I137=0,0,$Q136+$P137+$O137)</f>
      </c>
      <c r="R137" s="43">
        <f>IF($I137=0,0,$J137-$M137-$N137)</f>
      </c>
    </row>
    <row r="138">
      <c r="A138"/>
      <c r="B138">
        <v>1</v>
      </c>
      <c r="C138" s="43">
        <f>INDEX(DarlObj,1)</f>
      </c>
      <c r="D138">
        <v>135</v>
      </c>
      <c r="E138" s="51">
        <f>IF(INDEX(DarlBelegt,1)=0,0,EOMONTH(INDEX(DarlAuszahlung,1),134)+1)</f>
      </c>
      <c r="F138" s="43">
        <f>IF($E138=0,0,YEAR($E138))</f>
      </c>
      <c r="G138" s="43">
        <f>IF(INDEX(DarlBindung,1)="",1,IF($E138&lt;=INDEX(DarlBindung,1),1,0))</f>
      </c>
      <c r="H138" s="43">
        <f>IF($G138=1,INDEX(DarlSollzins,1),INDEX(DarlAnschluss,1))</f>
      </c>
      <c r="I138" s="43">
        <f>IF(INDEX(DarlBelegt,1)=0,0,IF(INDEX(DarlOhneTilgung,1)=1,IF(INDEX(DarlBindung,1)="",1,$G138),IF($J138&gt;0.005,1,0)))</f>
      </c>
      <c r="J138" s="43">
        <f>IF($I137=0,0,$R137)</f>
      </c>
      <c r="K138" s="43">
        <f>IF($I138=0,0,IF(INDEX(DarlOhneTilgung,1)=1,0,IF(AND(INDEX(DarlTilgStart,1)&gt;0,$E138=INDEX(DarlTilgStart,1)),$J138*($H138+INDEX(DarlTilgung,1))/100/12,IF(AND($G138=0,$G137=1),MAX($K137,$J138*($H138+1)/100/12),$K137))))</f>
      </c>
      <c r="L138" s="43">
        <f>IF($I138=0,0,$J138*$H138/100/12)</f>
      </c>
      <c r="M138" s="43">
        <f>IF($I138=0,0,IF(OR(INDEX(DarlOhneTilgung,1)=1,AND(INDEX(DarlTilgStart,1)&gt;0,$E138&lt;INDEX(DarlTilgStart,1))),0,MIN(MAX(0,$K138-$L138),$J138)))</f>
      </c>
      <c r="N138" s="43">
        <f>IF($I138=0,0,MIN(SUMIFS(SondBetrag,SondDarl,1,SondDatum,"&gt;="&amp;$E138,SondDatum,"&lt;="&amp;EOMONTH($E138,0)),$J138-$M138))</f>
      </c>
      <c r="O138" s="43">
        <f>IF($I138=0,0,INDEX(DarlErsatzRate,1))</f>
      </c>
      <c r="P138" s="43">
        <f>IF($I138=0,0,$Q137*INDEX(DarlErsatzZins,1))</f>
      </c>
      <c r="Q138" s="43">
        <f>IF($I138=0,0,$Q137+$P138+$O138)</f>
      </c>
      <c r="R138" s="43">
        <f>IF($I138=0,0,$J138-$M138-$N138)</f>
      </c>
    </row>
    <row r="139">
      <c r="A139"/>
      <c r="B139">
        <v>1</v>
      </c>
      <c r="C139" s="43">
        <f>INDEX(DarlObj,1)</f>
      </c>
      <c r="D139">
        <v>136</v>
      </c>
      <c r="E139" s="51">
        <f>IF(INDEX(DarlBelegt,1)=0,0,EOMONTH(INDEX(DarlAuszahlung,1),135)+1)</f>
      </c>
      <c r="F139" s="43">
        <f>IF($E139=0,0,YEAR($E139))</f>
      </c>
      <c r="G139" s="43">
        <f>IF(INDEX(DarlBindung,1)="",1,IF($E139&lt;=INDEX(DarlBindung,1),1,0))</f>
      </c>
      <c r="H139" s="43">
        <f>IF($G139=1,INDEX(DarlSollzins,1),INDEX(DarlAnschluss,1))</f>
      </c>
      <c r="I139" s="43">
        <f>IF(INDEX(DarlBelegt,1)=0,0,IF(INDEX(DarlOhneTilgung,1)=1,IF(INDEX(DarlBindung,1)="",1,$G139),IF($J139&gt;0.005,1,0)))</f>
      </c>
      <c r="J139" s="43">
        <f>IF($I138=0,0,$R138)</f>
      </c>
      <c r="K139" s="43">
        <f>IF($I139=0,0,IF(INDEX(DarlOhneTilgung,1)=1,0,IF(AND(INDEX(DarlTilgStart,1)&gt;0,$E139=INDEX(DarlTilgStart,1)),$J139*($H139+INDEX(DarlTilgung,1))/100/12,IF(AND($G139=0,$G138=1),MAX($K138,$J139*($H139+1)/100/12),$K138))))</f>
      </c>
      <c r="L139" s="43">
        <f>IF($I139=0,0,$J139*$H139/100/12)</f>
      </c>
      <c r="M139" s="43">
        <f>IF($I139=0,0,IF(OR(INDEX(DarlOhneTilgung,1)=1,AND(INDEX(DarlTilgStart,1)&gt;0,$E139&lt;INDEX(DarlTilgStart,1))),0,MIN(MAX(0,$K139-$L139),$J139)))</f>
      </c>
      <c r="N139" s="43">
        <f>IF($I139=0,0,MIN(SUMIFS(SondBetrag,SondDarl,1,SondDatum,"&gt;="&amp;$E139,SondDatum,"&lt;="&amp;EOMONTH($E139,0)),$J139-$M139))</f>
      </c>
      <c r="O139" s="43">
        <f>IF($I139=0,0,INDEX(DarlErsatzRate,1))</f>
      </c>
      <c r="P139" s="43">
        <f>IF($I139=0,0,$Q138*INDEX(DarlErsatzZins,1))</f>
      </c>
      <c r="Q139" s="43">
        <f>IF($I139=0,0,$Q138+$P139+$O139)</f>
      </c>
      <c r="R139" s="43">
        <f>IF($I139=0,0,$J139-$M139-$N139)</f>
      </c>
    </row>
    <row r="140">
      <c r="A140"/>
      <c r="B140">
        <v>1</v>
      </c>
      <c r="C140" s="43">
        <f>INDEX(DarlObj,1)</f>
      </c>
      <c r="D140">
        <v>137</v>
      </c>
      <c r="E140" s="51">
        <f>IF(INDEX(DarlBelegt,1)=0,0,EOMONTH(INDEX(DarlAuszahlung,1),136)+1)</f>
      </c>
      <c r="F140" s="43">
        <f>IF($E140=0,0,YEAR($E140))</f>
      </c>
      <c r="G140" s="43">
        <f>IF(INDEX(DarlBindung,1)="",1,IF($E140&lt;=INDEX(DarlBindung,1),1,0))</f>
      </c>
      <c r="H140" s="43">
        <f>IF($G140=1,INDEX(DarlSollzins,1),INDEX(DarlAnschluss,1))</f>
      </c>
      <c r="I140" s="43">
        <f>IF(INDEX(DarlBelegt,1)=0,0,IF(INDEX(DarlOhneTilgung,1)=1,IF(INDEX(DarlBindung,1)="",1,$G140),IF($J140&gt;0.005,1,0)))</f>
      </c>
      <c r="J140" s="43">
        <f>IF($I139=0,0,$R139)</f>
      </c>
      <c r="K140" s="43">
        <f>IF($I140=0,0,IF(INDEX(DarlOhneTilgung,1)=1,0,IF(AND(INDEX(DarlTilgStart,1)&gt;0,$E140=INDEX(DarlTilgStart,1)),$J140*($H140+INDEX(DarlTilgung,1))/100/12,IF(AND($G140=0,$G139=1),MAX($K139,$J140*($H140+1)/100/12),$K139))))</f>
      </c>
      <c r="L140" s="43">
        <f>IF($I140=0,0,$J140*$H140/100/12)</f>
      </c>
      <c r="M140" s="43">
        <f>IF($I140=0,0,IF(OR(INDEX(DarlOhneTilgung,1)=1,AND(INDEX(DarlTilgStart,1)&gt;0,$E140&lt;INDEX(DarlTilgStart,1))),0,MIN(MAX(0,$K140-$L140),$J140)))</f>
      </c>
      <c r="N140" s="43">
        <f>IF($I140=0,0,MIN(SUMIFS(SondBetrag,SondDarl,1,SondDatum,"&gt;="&amp;$E140,SondDatum,"&lt;="&amp;EOMONTH($E140,0)),$J140-$M140))</f>
      </c>
      <c r="O140" s="43">
        <f>IF($I140=0,0,INDEX(DarlErsatzRate,1))</f>
      </c>
      <c r="P140" s="43">
        <f>IF($I140=0,0,$Q139*INDEX(DarlErsatzZins,1))</f>
      </c>
      <c r="Q140" s="43">
        <f>IF($I140=0,0,$Q139+$P140+$O140)</f>
      </c>
      <c r="R140" s="43">
        <f>IF($I140=0,0,$J140-$M140-$N140)</f>
      </c>
    </row>
    <row r="141">
      <c r="A141"/>
      <c r="B141">
        <v>1</v>
      </c>
      <c r="C141" s="43">
        <f>INDEX(DarlObj,1)</f>
      </c>
      <c r="D141">
        <v>138</v>
      </c>
      <c r="E141" s="51">
        <f>IF(INDEX(DarlBelegt,1)=0,0,EOMONTH(INDEX(DarlAuszahlung,1),137)+1)</f>
      </c>
      <c r="F141" s="43">
        <f>IF($E141=0,0,YEAR($E141))</f>
      </c>
      <c r="G141" s="43">
        <f>IF(INDEX(DarlBindung,1)="",1,IF($E141&lt;=INDEX(DarlBindung,1),1,0))</f>
      </c>
      <c r="H141" s="43">
        <f>IF($G141=1,INDEX(DarlSollzins,1),INDEX(DarlAnschluss,1))</f>
      </c>
      <c r="I141" s="43">
        <f>IF(INDEX(DarlBelegt,1)=0,0,IF(INDEX(DarlOhneTilgung,1)=1,IF(INDEX(DarlBindung,1)="",1,$G141),IF($J141&gt;0.005,1,0)))</f>
      </c>
      <c r="J141" s="43">
        <f>IF($I140=0,0,$R140)</f>
      </c>
      <c r="K141" s="43">
        <f>IF($I141=0,0,IF(INDEX(DarlOhneTilgung,1)=1,0,IF(AND(INDEX(DarlTilgStart,1)&gt;0,$E141=INDEX(DarlTilgStart,1)),$J141*($H141+INDEX(DarlTilgung,1))/100/12,IF(AND($G141=0,$G140=1),MAX($K140,$J141*($H141+1)/100/12),$K140))))</f>
      </c>
      <c r="L141" s="43">
        <f>IF($I141=0,0,$J141*$H141/100/12)</f>
      </c>
      <c r="M141" s="43">
        <f>IF($I141=0,0,IF(OR(INDEX(DarlOhneTilgung,1)=1,AND(INDEX(DarlTilgStart,1)&gt;0,$E141&lt;INDEX(DarlTilgStart,1))),0,MIN(MAX(0,$K141-$L141),$J141)))</f>
      </c>
      <c r="N141" s="43">
        <f>IF($I141=0,0,MIN(SUMIFS(SondBetrag,SondDarl,1,SondDatum,"&gt;="&amp;$E141,SondDatum,"&lt;="&amp;EOMONTH($E141,0)),$J141-$M141))</f>
      </c>
      <c r="O141" s="43">
        <f>IF($I141=0,0,INDEX(DarlErsatzRate,1))</f>
      </c>
      <c r="P141" s="43">
        <f>IF($I141=0,0,$Q140*INDEX(DarlErsatzZins,1))</f>
      </c>
      <c r="Q141" s="43">
        <f>IF($I141=0,0,$Q140+$P141+$O141)</f>
      </c>
      <c r="R141" s="43">
        <f>IF($I141=0,0,$J141-$M141-$N141)</f>
      </c>
    </row>
    <row r="142">
      <c r="A142"/>
      <c r="B142">
        <v>1</v>
      </c>
      <c r="C142" s="43">
        <f>INDEX(DarlObj,1)</f>
      </c>
      <c r="D142">
        <v>139</v>
      </c>
      <c r="E142" s="51">
        <f>IF(INDEX(DarlBelegt,1)=0,0,EOMONTH(INDEX(DarlAuszahlung,1),138)+1)</f>
      </c>
      <c r="F142" s="43">
        <f>IF($E142=0,0,YEAR($E142))</f>
      </c>
      <c r="G142" s="43">
        <f>IF(INDEX(DarlBindung,1)="",1,IF($E142&lt;=INDEX(DarlBindung,1),1,0))</f>
      </c>
      <c r="H142" s="43">
        <f>IF($G142=1,INDEX(DarlSollzins,1),INDEX(DarlAnschluss,1))</f>
      </c>
      <c r="I142" s="43">
        <f>IF(INDEX(DarlBelegt,1)=0,0,IF(INDEX(DarlOhneTilgung,1)=1,IF(INDEX(DarlBindung,1)="",1,$G142),IF($J142&gt;0.005,1,0)))</f>
      </c>
      <c r="J142" s="43">
        <f>IF($I141=0,0,$R141)</f>
      </c>
      <c r="K142" s="43">
        <f>IF($I142=0,0,IF(INDEX(DarlOhneTilgung,1)=1,0,IF(AND(INDEX(DarlTilgStart,1)&gt;0,$E142=INDEX(DarlTilgStart,1)),$J142*($H142+INDEX(DarlTilgung,1))/100/12,IF(AND($G142=0,$G141=1),MAX($K141,$J142*($H142+1)/100/12),$K141))))</f>
      </c>
      <c r="L142" s="43">
        <f>IF($I142=0,0,$J142*$H142/100/12)</f>
      </c>
      <c r="M142" s="43">
        <f>IF($I142=0,0,IF(OR(INDEX(DarlOhneTilgung,1)=1,AND(INDEX(DarlTilgStart,1)&gt;0,$E142&lt;INDEX(DarlTilgStart,1))),0,MIN(MAX(0,$K142-$L142),$J142)))</f>
      </c>
      <c r="N142" s="43">
        <f>IF($I142=0,0,MIN(SUMIFS(SondBetrag,SondDarl,1,SondDatum,"&gt;="&amp;$E142,SondDatum,"&lt;="&amp;EOMONTH($E142,0)),$J142-$M142))</f>
      </c>
      <c r="O142" s="43">
        <f>IF($I142=0,0,INDEX(DarlErsatzRate,1))</f>
      </c>
      <c r="P142" s="43">
        <f>IF($I142=0,0,$Q141*INDEX(DarlErsatzZins,1))</f>
      </c>
      <c r="Q142" s="43">
        <f>IF($I142=0,0,$Q141+$P142+$O142)</f>
      </c>
      <c r="R142" s="43">
        <f>IF($I142=0,0,$J142-$M142-$N142)</f>
      </c>
    </row>
    <row r="143">
      <c r="A143"/>
      <c r="B143">
        <v>1</v>
      </c>
      <c r="C143" s="43">
        <f>INDEX(DarlObj,1)</f>
      </c>
      <c r="D143">
        <v>140</v>
      </c>
      <c r="E143" s="51">
        <f>IF(INDEX(DarlBelegt,1)=0,0,EOMONTH(INDEX(DarlAuszahlung,1),139)+1)</f>
      </c>
      <c r="F143" s="43">
        <f>IF($E143=0,0,YEAR($E143))</f>
      </c>
      <c r="G143" s="43">
        <f>IF(INDEX(DarlBindung,1)="",1,IF($E143&lt;=INDEX(DarlBindung,1),1,0))</f>
      </c>
      <c r="H143" s="43">
        <f>IF($G143=1,INDEX(DarlSollzins,1),INDEX(DarlAnschluss,1))</f>
      </c>
      <c r="I143" s="43">
        <f>IF(INDEX(DarlBelegt,1)=0,0,IF(INDEX(DarlOhneTilgung,1)=1,IF(INDEX(DarlBindung,1)="",1,$G143),IF($J143&gt;0.005,1,0)))</f>
      </c>
      <c r="J143" s="43">
        <f>IF($I142=0,0,$R142)</f>
      </c>
      <c r="K143" s="43">
        <f>IF($I143=0,0,IF(INDEX(DarlOhneTilgung,1)=1,0,IF(AND(INDEX(DarlTilgStart,1)&gt;0,$E143=INDEX(DarlTilgStart,1)),$J143*($H143+INDEX(DarlTilgung,1))/100/12,IF(AND($G143=0,$G142=1),MAX($K142,$J143*($H143+1)/100/12),$K142))))</f>
      </c>
      <c r="L143" s="43">
        <f>IF($I143=0,0,$J143*$H143/100/12)</f>
      </c>
      <c r="M143" s="43">
        <f>IF($I143=0,0,IF(OR(INDEX(DarlOhneTilgung,1)=1,AND(INDEX(DarlTilgStart,1)&gt;0,$E143&lt;INDEX(DarlTilgStart,1))),0,MIN(MAX(0,$K143-$L143),$J143)))</f>
      </c>
      <c r="N143" s="43">
        <f>IF($I143=0,0,MIN(SUMIFS(SondBetrag,SondDarl,1,SondDatum,"&gt;="&amp;$E143,SondDatum,"&lt;="&amp;EOMONTH($E143,0)),$J143-$M143))</f>
      </c>
      <c r="O143" s="43">
        <f>IF($I143=0,0,INDEX(DarlErsatzRate,1))</f>
      </c>
      <c r="P143" s="43">
        <f>IF($I143=0,0,$Q142*INDEX(DarlErsatzZins,1))</f>
      </c>
      <c r="Q143" s="43">
        <f>IF($I143=0,0,$Q142+$P143+$O143)</f>
      </c>
      <c r="R143" s="43">
        <f>IF($I143=0,0,$J143-$M143-$N143)</f>
      </c>
    </row>
    <row r="144">
      <c r="A144"/>
      <c r="B144">
        <v>1</v>
      </c>
      <c r="C144" s="43">
        <f>INDEX(DarlObj,1)</f>
      </c>
      <c r="D144">
        <v>141</v>
      </c>
      <c r="E144" s="51">
        <f>IF(INDEX(DarlBelegt,1)=0,0,EOMONTH(INDEX(DarlAuszahlung,1),140)+1)</f>
      </c>
      <c r="F144" s="43">
        <f>IF($E144=0,0,YEAR($E144))</f>
      </c>
      <c r="G144" s="43">
        <f>IF(INDEX(DarlBindung,1)="",1,IF($E144&lt;=INDEX(DarlBindung,1),1,0))</f>
      </c>
      <c r="H144" s="43">
        <f>IF($G144=1,INDEX(DarlSollzins,1),INDEX(DarlAnschluss,1))</f>
      </c>
      <c r="I144" s="43">
        <f>IF(INDEX(DarlBelegt,1)=0,0,IF(INDEX(DarlOhneTilgung,1)=1,IF(INDEX(DarlBindung,1)="",1,$G144),IF($J144&gt;0.005,1,0)))</f>
      </c>
      <c r="J144" s="43">
        <f>IF($I143=0,0,$R143)</f>
      </c>
      <c r="K144" s="43">
        <f>IF($I144=0,0,IF(INDEX(DarlOhneTilgung,1)=1,0,IF(AND(INDEX(DarlTilgStart,1)&gt;0,$E144=INDEX(DarlTilgStart,1)),$J144*($H144+INDEX(DarlTilgung,1))/100/12,IF(AND($G144=0,$G143=1),MAX($K143,$J144*($H144+1)/100/12),$K143))))</f>
      </c>
      <c r="L144" s="43">
        <f>IF($I144=0,0,$J144*$H144/100/12)</f>
      </c>
      <c r="M144" s="43">
        <f>IF($I144=0,0,IF(OR(INDEX(DarlOhneTilgung,1)=1,AND(INDEX(DarlTilgStart,1)&gt;0,$E144&lt;INDEX(DarlTilgStart,1))),0,MIN(MAX(0,$K144-$L144),$J144)))</f>
      </c>
      <c r="N144" s="43">
        <f>IF($I144=0,0,MIN(SUMIFS(SondBetrag,SondDarl,1,SondDatum,"&gt;="&amp;$E144,SondDatum,"&lt;="&amp;EOMONTH($E144,0)),$J144-$M144))</f>
      </c>
      <c r="O144" s="43">
        <f>IF($I144=0,0,INDEX(DarlErsatzRate,1))</f>
      </c>
      <c r="P144" s="43">
        <f>IF($I144=0,0,$Q143*INDEX(DarlErsatzZins,1))</f>
      </c>
      <c r="Q144" s="43">
        <f>IF($I144=0,0,$Q143+$P144+$O144)</f>
      </c>
      <c r="R144" s="43">
        <f>IF($I144=0,0,$J144-$M144-$N144)</f>
      </c>
    </row>
    <row r="145">
      <c r="A145"/>
      <c r="B145">
        <v>1</v>
      </c>
      <c r="C145" s="43">
        <f>INDEX(DarlObj,1)</f>
      </c>
      <c r="D145">
        <v>142</v>
      </c>
      <c r="E145" s="51">
        <f>IF(INDEX(DarlBelegt,1)=0,0,EOMONTH(INDEX(DarlAuszahlung,1),141)+1)</f>
      </c>
      <c r="F145" s="43">
        <f>IF($E145=0,0,YEAR($E145))</f>
      </c>
      <c r="G145" s="43">
        <f>IF(INDEX(DarlBindung,1)="",1,IF($E145&lt;=INDEX(DarlBindung,1),1,0))</f>
      </c>
      <c r="H145" s="43">
        <f>IF($G145=1,INDEX(DarlSollzins,1),INDEX(DarlAnschluss,1))</f>
      </c>
      <c r="I145" s="43">
        <f>IF(INDEX(DarlBelegt,1)=0,0,IF(INDEX(DarlOhneTilgung,1)=1,IF(INDEX(DarlBindung,1)="",1,$G145),IF($J145&gt;0.005,1,0)))</f>
      </c>
      <c r="J145" s="43">
        <f>IF($I144=0,0,$R144)</f>
      </c>
      <c r="K145" s="43">
        <f>IF($I145=0,0,IF(INDEX(DarlOhneTilgung,1)=1,0,IF(AND(INDEX(DarlTilgStart,1)&gt;0,$E145=INDEX(DarlTilgStart,1)),$J145*($H145+INDEX(DarlTilgung,1))/100/12,IF(AND($G145=0,$G144=1),MAX($K144,$J145*($H145+1)/100/12),$K144))))</f>
      </c>
      <c r="L145" s="43">
        <f>IF($I145=0,0,$J145*$H145/100/12)</f>
      </c>
      <c r="M145" s="43">
        <f>IF($I145=0,0,IF(OR(INDEX(DarlOhneTilgung,1)=1,AND(INDEX(DarlTilgStart,1)&gt;0,$E145&lt;INDEX(DarlTilgStart,1))),0,MIN(MAX(0,$K145-$L145),$J145)))</f>
      </c>
      <c r="N145" s="43">
        <f>IF($I145=0,0,MIN(SUMIFS(SondBetrag,SondDarl,1,SondDatum,"&gt;="&amp;$E145,SondDatum,"&lt;="&amp;EOMONTH($E145,0)),$J145-$M145))</f>
      </c>
      <c r="O145" s="43">
        <f>IF($I145=0,0,INDEX(DarlErsatzRate,1))</f>
      </c>
      <c r="P145" s="43">
        <f>IF($I145=0,0,$Q144*INDEX(DarlErsatzZins,1))</f>
      </c>
      <c r="Q145" s="43">
        <f>IF($I145=0,0,$Q144+$P145+$O145)</f>
      </c>
      <c r="R145" s="43">
        <f>IF($I145=0,0,$J145-$M145-$N145)</f>
      </c>
    </row>
    <row r="146">
      <c r="A146"/>
      <c r="B146">
        <v>1</v>
      </c>
      <c r="C146" s="43">
        <f>INDEX(DarlObj,1)</f>
      </c>
      <c r="D146">
        <v>143</v>
      </c>
      <c r="E146" s="51">
        <f>IF(INDEX(DarlBelegt,1)=0,0,EOMONTH(INDEX(DarlAuszahlung,1),142)+1)</f>
      </c>
      <c r="F146" s="43">
        <f>IF($E146=0,0,YEAR($E146))</f>
      </c>
      <c r="G146" s="43">
        <f>IF(INDEX(DarlBindung,1)="",1,IF($E146&lt;=INDEX(DarlBindung,1),1,0))</f>
      </c>
      <c r="H146" s="43">
        <f>IF($G146=1,INDEX(DarlSollzins,1),INDEX(DarlAnschluss,1))</f>
      </c>
      <c r="I146" s="43">
        <f>IF(INDEX(DarlBelegt,1)=0,0,IF(INDEX(DarlOhneTilgung,1)=1,IF(INDEX(DarlBindung,1)="",1,$G146),IF($J146&gt;0.005,1,0)))</f>
      </c>
      <c r="J146" s="43">
        <f>IF($I145=0,0,$R145)</f>
      </c>
      <c r="K146" s="43">
        <f>IF($I146=0,0,IF(INDEX(DarlOhneTilgung,1)=1,0,IF(AND(INDEX(DarlTilgStart,1)&gt;0,$E146=INDEX(DarlTilgStart,1)),$J146*($H146+INDEX(DarlTilgung,1))/100/12,IF(AND($G146=0,$G145=1),MAX($K145,$J146*($H146+1)/100/12),$K145))))</f>
      </c>
      <c r="L146" s="43">
        <f>IF($I146=0,0,$J146*$H146/100/12)</f>
      </c>
      <c r="M146" s="43">
        <f>IF($I146=0,0,IF(OR(INDEX(DarlOhneTilgung,1)=1,AND(INDEX(DarlTilgStart,1)&gt;0,$E146&lt;INDEX(DarlTilgStart,1))),0,MIN(MAX(0,$K146-$L146),$J146)))</f>
      </c>
      <c r="N146" s="43">
        <f>IF($I146=0,0,MIN(SUMIFS(SondBetrag,SondDarl,1,SondDatum,"&gt;="&amp;$E146,SondDatum,"&lt;="&amp;EOMONTH($E146,0)),$J146-$M146))</f>
      </c>
      <c r="O146" s="43">
        <f>IF($I146=0,0,INDEX(DarlErsatzRate,1))</f>
      </c>
      <c r="P146" s="43">
        <f>IF($I146=0,0,$Q145*INDEX(DarlErsatzZins,1))</f>
      </c>
      <c r="Q146" s="43">
        <f>IF($I146=0,0,$Q145+$P146+$O146)</f>
      </c>
      <c r="R146" s="43">
        <f>IF($I146=0,0,$J146-$M146-$N146)</f>
      </c>
    </row>
    <row r="147">
      <c r="A147"/>
      <c r="B147">
        <v>1</v>
      </c>
      <c r="C147" s="43">
        <f>INDEX(DarlObj,1)</f>
      </c>
      <c r="D147">
        <v>144</v>
      </c>
      <c r="E147" s="51">
        <f>IF(INDEX(DarlBelegt,1)=0,0,EOMONTH(INDEX(DarlAuszahlung,1),143)+1)</f>
      </c>
      <c r="F147" s="43">
        <f>IF($E147=0,0,YEAR($E147))</f>
      </c>
      <c r="G147" s="43">
        <f>IF(INDEX(DarlBindung,1)="",1,IF($E147&lt;=INDEX(DarlBindung,1),1,0))</f>
      </c>
      <c r="H147" s="43">
        <f>IF($G147=1,INDEX(DarlSollzins,1),INDEX(DarlAnschluss,1))</f>
      </c>
      <c r="I147" s="43">
        <f>IF(INDEX(DarlBelegt,1)=0,0,IF(INDEX(DarlOhneTilgung,1)=1,IF(INDEX(DarlBindung,1)="",1,$G147),IF($J147&gt;0.005,1,0)))</f>
      </c>
      <c r="J147" s="43">
        <f>IF($I146=0,0,$R146)</f>
      </c>
      <c r="K147" s="43">
        <f>IF($I147=0,0,IF(INDEX(DarlOhneTilgung,1)=1,0,IF(AND(INDEX(DarlTilgStart,1)&gt;0,$E147=INDEX(DarlTilgStart,1)),$J147*($H147+INDEX(DarlTilgung,1))/100/12,IF(AND($G147=0,$G146=1),MAX($K146,$J147*($H147+1)/100/12),$K146))))</f>
      </c>
      <c r="L147" s="43">
        <f>IF($I147=0,0,$J147*$H147/100/12)</f>
      </c>
      <c r="M147" s="43">
        <f>IF($I147=0,0,IF(OR(INDEX(DarlOhneTilgung,1)=1,AND(INDEX(DarlTilgStart,1)&gt;0,$E147&lt;INDEX(DarlTilgStart,1))),0,MIN(MAX(0,$K147-$L147),$J147)))</f>
      </c>
      <c r="N147" s="43">
        <f>IF($I147=0,0,MIN(SUMIFS(SondBetrag,SondDarl,1,SondDatum,"&gt;="&amp;$E147,SondDatum,"&lt;="&amp;EOMONTH($E147,0)),$J147-$M147))</f>
      </c>
      <c r="O147" s="43">
        <f>IF($I147=0,0,INDEX(DarlErsatzRate,1))</f>
      </c>
      <c r="P147" s="43">
        <f>IF($I147=0,0,$Q146*INDEX(DarlErsatzZins,1))</f>
      </c>
      <c r="Q147" s="43">
        <f>IF($I147=0,0,$Q146+$P147+$O147)</f>
      </c>
      <c r="R147" s="43">
        <f>IF($I147=0,0,$J147-$M147-$N147)</f>
      </c>
    </row>
    <row r="148">
      <c r="A148"/>
      <c r="B148">
        <v>1</v>
      </c>
      <c r="C148" s="43">
        <f>INDEX(DarlObj,1)</f>
      </c>
      <c r="D148">
        <v>145</v>
      </c>
      <c r="E148" s="51">
        <f>IF(INDEX(DarlBelegt,1)=0,0,EOMONTH(INDEX(DarlAuszahlung,1),144)+1)</f>
      </c>
      <c r="F148" s="43">
        <f>IF($E148=0,0,YEAR($E148))</f>
      </c>
      <c r="G148" s="43">
        <f>IF(INDEX(DarlBindung,1)="",1,IF($E148&lt;=INDEX(DarlBindung,1),1,0))</f>
      </c>
      <c r="H148" s="43">
        <f>IF($G148=1,INDEX(DarlSollzins,1),INDEX(DarlAnschluss,1))</f>
      </c>
      <c r="I148" s="43">
        <f>IF(INDEX(DarlBelegt,1)=0,0,IF(INDEX(DarlOhneTilgung,1)=1,IF(INDEX(DarlBindung,1)="",1,$G148),IF($J148&gt;0.005,1,0)))</f>
      </c>
      <c r="J148" s="43">
        <f>IF($I147=0,0,$R147)</f>
      </c>
      <c r="K148" s="43">
        <f>IF($I148=0,0,IF(INDEX(DarlOhneTilgung,1)=1,0,IF(AND(INDEX(DarlTilgStart,1)&gt;0,$E148=INDEX(DarlTilgStart,1)),$J148*($H148+INDEX(DarlTilgung,1))/100/12,IF(AND($G148=0,$G147=1),MAX($K147,$J148*($H148+1)/100/12),$K147))))</f>
      </c>
      <c r="L148" s="43">
        <f>IF($I148=0,0,$J148*$H148/100/12)</f>
      </c>
      <c r="M148" s="43">
        <f>IF($I148=0,0,IF(OR(INDEX(DarlOhneTilgung,1)=1,AND(INDEX(DarlTilgStart,1)&gt;0,$E148&lt;INDEX(DarlTilgStart,1))),0,MIN(MAX(0,$K148-$L148),$J148)))</f>
      </c>
      <c r="N148" s="43">
        <f>IF($I148=0,0,MIN(SUMIFS(SondBetrag,SondDarl,1,SondDatum,"&gt;="&amp;$E148,SondDatum,"&lt;="&amp;EOMONTH($E148,0)),$J148-$M148))</f>
      </c>
      <c r="O148" s="43">
        <f>IF($I148=0,0,INDEX(DarlErsatzRate,1))</f>
      </c>
      <c r="P148" s="43">
        <f>IF($I148=0,0,$Q147*INDEX(DarlErsatzZins,1))</f>
      </c>
      <c r="Q148" s="43">
        <f>IF($I148=0,0,$Q147+$P148+$O148)</f>
      </c>
      <c r="R148" s="43">
        <f>IF($I148=0,0,$J148-$M148-$N148)</f>
      </c>
    </row>
    <row r="149">
      <c r="A149"/>
      <c r="B149">
        <v>1</v>
      </c>
      <c r="C149" s="43">
        <f>INDEX(DarlObj,1)</f>
      </c>
      <c r="D149">
        <v>146</v>
      </c>
      <c r="E149" s="51">
        <f>IF(INDEX(DarlBelegt,1)=0,0,EOMONTH(INDEX(DarlAuszahlung,1),145)+1)</f>
      </c>
      <c r="F149" s="43">
        <f>IF($E149=0,0,YEAR($E149))</f>
      </c>
      <c r="G149" s="43">
        <f>IF(INDEX(DarlBindung,1)="",1,IF($E149&lt;=INDEX(DarlBindung,1),1,0))</f>
      </c>
      <c r="H149" s="43">
        <f>IF($G149=1,INDEX(DarlSollzins,1),INDEX(DarlAnschluss,1))</f>
      </c>
      <c r="I149" s="43">
        <f>IF(INDEX(DarlBelegt,1)=0,0,IF(INDEX(DarlOhneTilgung,1)=1,IF(INDEX(DarlBindung,1)="",1,$G149),IF($J149&gt;0.005,1,0)))</f>
      </c>
      <c r="J149" s="43">
        <f>IF($I148=0,0,$R148)</f>
      </c>
      <c r="K149" s="43">
        <f>IF($I149=0,0,IF(INDEX(DarlOhneTilgung,1)=1,0,IF(AND(INDEX(DarlTilgStart,1)&gt;0,$E149=INDEX(DarlTilgStart,1)),$J149*($H149+INDEX(DarlTilgung,1))/100/12,IF(AND($G149=0,$G148=1),MAX($K148,$J149*($H149+1)/100/12),$K148))))</f>
      </c>
      <c r="L149" s="43">
        <f>IF($I149=0,0,$J149*$H149/100/12)</f>
      </c>
      <c r="M149" s="43">
        <f>IF($I149=0,0,IF(OR(INDEX(DarlOhneTilgung,1)=1,AND(INDEX(DarlTilgStart,1)&gt;0,$E149&lt;INDEX(DarlTilgStart,1))),0,MIN(MAX(0,$K149-$L149),$J149)))</f>
      </c>
      <c r="N149" s="43">
        <f>IF($I149=0,0,MIN(SUMIFS(SondBetrag,SondDarl,1,SondDatum,"&gt;="&amp;$E149,SondDatum,"&lt;="&amp;EOMONTH($E149,0)),$J149-$M149))</f>
      </c>
      <c r="O149" s="43">
        <f>IF($I149=0,0,INDEX(DarlErsatzRate,1))</f>
      </c>
      <c r="P149" s="43">
        <f>IF($I149=0,0,$Q148*INDEX(DarlErsatzZins,1))</f>
      </c>
      <c r="Q149" s="43">
        <f>IF($I149=0,0,$Q148+$P149+$O149)</f>
      </c>
      <c r="R149" s="43">
        <f>IF($I149=0,0,$J149-$M149-$N149)</f>
      </c>
    </row>
    <row r="150">
      <c r="A150"/>
      <c r="B150">
        <v>1</v>
      </c>
      <c r="C150" s="43">
        <f>INDEX(DarlObj,1)</f>
      </c>
      <c r="D150">
        <v>147</v>
      </c>
      <c r="E150" s="51">
        <f>IF(INDEX(DarlBelegt,1)=0,0,EOMONTH(INDEX(DarlAuszahlung,1),146)+1)</f>
      </c>
      <c r="F150" s="43">
        <f>IF($E150=0,0,YEAR($E150))</f>
      </c>
      <c r="G150" s="43">
        <f>IF(INDEX(DarlBindung,1)="",1,IF($E150&lt;=INDEX(DarlBindung,1),1,0))</f>
      </c>
      <c r="H150" s="43">
        <f>IF($G150=1,INDEX(DarlSollzins,1),INDEX(DarlAnschluss,1))</f>
      </c>
      <c r="I150" s="43">
        <f>IF(INDEX(DarlBelegt,1)=0,0,IF(INDEX(DarlOhneTilgung,1)=1,IF(INDEX(DarlBindung,1)="",1,$G150),IF($J150&gt;0.005,1,0)))</f>
      </c>
      <c r="J150" s="43">
        <f>IF($I149=0,0,$R149)</f>
      </c>
      <c r="K150" s="43">
        <f>IF($I150=0,0,IF(INDEX(DarlOhneTilgung,1)=1,0,IF(AND(INDEX(DarlTilgStart,1)&gt;0,$E150=INDEX(DarlTilgStart,1)),$J150*($H150+INDEX(DarlTilgung,1))/100/12,IF(AND($G150=0,$G149=1),MAX($K149,$J150*($H150+1)/100/12),$K149))))</f>
      </c>
      <c r="L150" s="43">
        <f>IF($I150=0,0,$J150*$H150/100/12)</f>
      </c>
      <c r="M150" s="43">
        <f>IF($I150=0,0,IF(OR(INDEX(DarlOhneTilgung,1)=1,AND(INDEX(DarlTilgStart,1)&gt;0,$E150&lt;INDEX(DarlTilgStart,1))),0,MIN(MAX(0,$K150-$L150),$J150)))</f>
      </c>
      <c r="N150" s="43">
        <f>IF($I150=0,0,MIN(SUMIFS(SondBetrag,SondDarl,1,SondDatum,"&gt;="&amp;$E150,SondDatum,"&lt;="&amp;EOMONTH($E150,0)),$J150-$M150))</f>
      </c>
      <c r="O150" s="43">
        <f>IF($I150=0,0,INDEX(DarlErsatzRate,1))</f>
      </c>
      <c r="P150" s="43">
        <f>IF($I150=0,0,$Q149*INDEX(DarlErsatzZins,1))</f>
      </c>
      <c r="Q150" s="43">
        <f>IF($I150=0,0,$Q149+$P150+$O150)</f>
      </c>
      <c r="R150" s="43">
        <f>IF($I150=0,0,$J150-$M150-$N150)</f>
      </c>
    </row>
    <row r="151">
      <c r="A151"/>
      <c r="B151">
        <v>1</v>
      </c>
      <c r="C151" s="43">
        <f>INDEX(DarlObj,1)</f>
      </c>
      <c r="D151">
        <v>148</v>
      </c>
      <c r="E151" s="51">
        <f>IF(INDEX(DarlBelegt,1)=0,0,EOMONTH(INDEX(DarlAuszahlung,1),147)+1)</f>
      </c>
      <c r="F151" s="43">
        <f>IF($E151=0,0,YEAR($E151))</f>
      </c>
      <c r="G151" s="43">
        <f>IF(INDEX(DarlBindung,1)="",1,IF($E151&lt;=INDEX(DarlBindung,1),1,0))</f>
      </c>
      <c r="H151" s="43">
        <f>IF($G151=1,INDEX(DarlSollzins,1),INDEX(DarlAnschluss,1))</f>
      </c>
      <c r="I151" s="43">
        <f>IF(INDEX(DarlBelegt,1)=0,0,IF(INDEX(DarlOhneTilgung,1)=1,IF(INDEX(DarlBindung,1)="",1,$G151),IF($J151&gt;0.005,1,0)))</f>
      </c>
      <c r="J151" s="43">
        <f>IF($I150=0,0,$R150)</f>
      </c>
      <c r="K151" s="43">
        <f>IF($I151=0,0,IF(INDEX(DarlOhneTilgung,1)=1,0,IF(AND(INDEX(DarlTilgStart,1)&gt;0,$E151=INDEX(DarlTilgStart,1)),$J151*($H151+INDEX(DarlTilgung,1))/100/12,IF(AND($G151=0,$G150=1),MAX($K150,$J151*($H151+1)/100/12),$K150))))</f>
      </c>
      <c r="L151" s="43">
        <f>IF($I151=0,0,$J151*$H151/100/12)</f>
      </c>
      <c r="M151" s="43">
        <f>IF($I151=0,0,IF(OR(INDEX(DarlOhneTilgung,1)=1,AND(INDEX(DarlTilgStart,1)&gt;0,$E151&lt;INDEX(DarlTilgStart,1))),0,MIN(MAX(0,$K151-$L151),$J151)))</f>
      </c>
      <c r="N151" s="43">
        <f>IF($I151=0,0,MIN(SUMIFS(SondBetrag,SondDarl,1,SondDatum,"&gt;="&amp;$E151,SondDatum,"&lt;="&amp;EOMONTH($E151,0)),$J151-$M151))</f>
      </c>
      <c r="O151" s="43">
        <f>IF($I151=0,0,INDEX(DarlErsatzRate,1))</f>
      </c>
      <c r="P151" s="43">
        <f>IF($I151=0,0,$Q150*INDEX(DarlErsatzZins,1))</f>
      </c>
      <c r="Q151" s="43">
        <f>IF($I151=0,0,$Q150+$P151+$O151)</f>
      </c>
      <c r="R151" s="43">
        <f>IF($I151=0,0,$J151-$M151-$N151)</f>
      </c>
    </row>
    <row r="152">
      <c r="A152"/>
      <c r="B152">
        <v>1</v>
      </c>
      <c r="C152" s="43">
        <f>INDEX(DarlObj,1)</f>
      </c>
      <c r="D152">
        <v>149</v>
      </c>
      <c r="E152" s="51">
        <f>IF(INDEX(DarlBelegt,1)=0,0,EOMONTH(INDEX(DarlAuszahlung,1),148)+1)</f>
      </c>
      <c r="F152" s="43">
        <f>IF($E152=0,0,YEAR($E152))</f>
      </c>
      <c r="G152" s="43">
        <f>IF(INDEX(DarlBindung,1)="",1,IF($E152&lt;=INDEX(DarlBindung,1),1,0))</f>
      </c>
      <c r="H152" s="43">
        <f>IF($G152=1,INDEX(DarlSollzins,1),INDEX(DarlAnschluss,1))</f>
      </c>
      <c r="I152" s="43">
        <f>IF(INDEX(DarlBelegt,1)=0,0,IF(INDEX(DarlOhneTilgung,1)=1,IF(INDEX(DarlBindung,1)="",1,$G152),IF($J152&gt;0.005,1,0)))</f>
      </c>
      <c r="J152" s="43">
        <f>IF($I151=0,0,$R151)</f>
      </c>
      <c r="K152" s="43">
        <f>IF($I152=0,0,IF(INDEX(DarlOhneTilgung,1)=1,0,IF(AND(INDEX(DarlTilgStart,1)&gt;0,$E152=INDEX(DarlTilgStart,1)),$J152*($H152+INDEX(DarlTilgung,1))/100/12,IF(AND($G152=0,$G151=1),MAX($K151,$J152*($H152+1)/100/12),$K151))))</f>
      </c>
      <c r="L152" s="43">
        <f>IF($I152=0,0,$J152*$H152/100/12)</f>
      </c>
      <c r="M152" s="43">
        <f>IF($I152=0,0,IF(OR(INDEX(DarlOhneTilgung,1)=1,AND(INDEX(DarlTilgStart,1)&gt;0,$E152&lt;INDEX(DarlTilgStart,1))),0,MIN(MAX(0,$K152-$L152),$J152)))</f>
      </c>
      <c r="N152" s="43">
        <f>IF($I152=0,0,MIN(SUMIFS(SondBetrag,SondDarl,1,SondDatum,"&gt;="&amp;$E152,SondDatum,"&lt;="&amp;EOMONTH($E152,0)),$J152-$M152))</f>
      </c>
      <c r="O152" s="43">
        <f>IF($I152=0,0,INDEX(DarlErsatzRate,1))</f>
      </c>
      <c r="P152" s="43">
        <f>IF($I152=0,0,$Q151*INDEX(DarlErsatzZins,1))</f>
      </c>
      <c r="Q152" s="43">
        <f>IF($I152=0,0,$Q151+$P152+$O152)</f>
      </c>
      <c r="R152" s="43">
        <f>IF($I152=0,0,$J152-$M152-$N152)</f>
      </c>
    </row>
    <row r="153">
      <c r="A153"/>
      <c r="B153">
        <v>1</v>
      </c>
      <c r="C153" s="43">
        <f>INDEX(DarlObj,1)</f>
      </c>
      <c r="D153">
        <v>150</v>
      </c>
      <c r="E153" s="51">
        <f>IF(INDEX(DarlBelegt,1)=0,0,EOMONTH(INDEX(DarlAuszahlung,1),149)+1)</f>
      </c>
      <c r="F153" s="43">
        <f>IF($E153=0,0,YEAR($E153))</f>
      </c>
      <c r="G153" s="43">
        <f>IF(INDEX(DarlBindung,1)="",1,IF($E153&lt;=INDEX(DarlBindung,1),1,0))</f>
      </c>
      <c r="H153" s="43">
        <f>IF($G153=1,INDEX(DarlSollzins,1),INDEX(DarlAnschluss,1))</f>
      </c>
      <c r="I153" s="43">
        <f>IF(INDEX(DarlBelegt,1)=0,0,IF(INDEX(DarlOhneTilgung,1)=1,IF(INDEX(DarlBindung,1)="",1,$G153),IF($J153&gt;0.005,1,0)))</f>
      </c>
      <c r="J153" s="43">
        <f>IF($I152=0,0,$R152)</f>
      </c>
      <c r="K153" s="43">
        <f>IF($I153=0,0,IF(INDEX(DarlOhneTilgung,1)=1,0,IF(AND(INDEX(DarlTilgStart,1)&gt;0,$E153=INDEX(DarlTilgStart,1)),$J153*($H153+INDEX(DarlTilgung,1))/100/12,IF(AND($G153=0,$G152=1),MAX($K152,$J153*($H153+1)/100/12),$K152))))</f>
      </c>
      <c r="L153" s="43">
        <f>IF($I153=0,0,$J153*$H153/100/12)</f>
      </c>
      <c r="M153" s="43">
        <f>IF($I153=0,0,IF(OR(INDEX(DarlOhneTilgung,1)=1,AND(INDEX(DarlTilgStart,1)&gt;0,$E153&lt;INDEX(DarlTilgStart,1))),0,MIN(MAX(0,$K153-$L153),$J153)))</f>
      </c>
      <c r="N153" s="43">
        <f>IF($I153=0,0,MIN(SUMIFS(SondBetrag,SondDarl,1,SondDatum,"&gt;="&amp;$E153,SondDatum,"&lt;="&amp;EOMONTH($E153,0)),$J153-$M153))</f>
      </c>
      <c r="O153" s="43">
        <f>IF($I153=0,0,INDEX(DarlErsatzRate,1))</f>
      </c>
      <c r="P153" s="43">
        <f>IF($I153=0,0,$Q152*INDEX(DarlErsatzZins,1))</f>
      </c>
      <c r="Q153" s="43">
        <f>IF($I153=0,0,$Q152+$P153+$O153)</f>
      </c>
      <c r="R153" s="43">
        <f>IF($I153=0,0,$J153-$M153-$N153)</f>
      </c>
    </row>
    <row r="154">
      <c r="A154"/>
      <c r="B154">
        <v>1</v>
      </c>
      <c r="C154" s="43">
        <f>INDEX(DarlObj,1)</f>
      </c>
      <c r="D154">
        <v>151</v>
      </c>
      <c r="E154" s="51">
        <f>IF(INDEX(DarlBelegt,1)=0,0,EOMONTH(INDEX(DarlAuszahlung,1),150)+1)</f>
      </c>
      <c r="F154" s="43">
        <f>IF($E154=0,0,YEAR($E154))</f>
      </c>
      <c r="G154" s="43">
        <f>IF(INDEX(DarlBindung,1)="",1,IF($E154&lt;=INDEX(DarlBindung,1),1,0))</f>
      </c>
      <c r="H154" s="43">
        <f>IF($G154=1,INDEX(DarlSollzins,1),INDEX(DarlAnschluss,1))</f>
      </c>
      <c r="I154" s="43">
        <f>IF(INDEX(DarlBelegt,1)=0,0,IF(INDEX(DarlOhneTilgung,1)=1,IF(INDEX(DarlBindung,1)="",1,$G154),IF($J154&gt;0.005,1,0)))</f>
      </c>
      <c r="J154" s="43">
        <f>IF($I153=0,0,$R153)</f>
      </c>
      <c r="K154" s="43">
        <f>IF($I154=0,0,IF(INDEX(DarlOhneTilgung,1)=1,0,IF(AND(INDEX(DarlTilgStart,1)&gt;0,$E154=INDEX(DarlTilgStart,1)),$J154*($H154+INDEX(DarlTilgung,1))/100/12,IF(AND($G154=0,$G153=1),MAX($K153,$J154*($H154+1)/100/12),$K153))))</f>
      </c>
      <c r="L154" s="43">
        <f>IF($I154=0,0,$J154*$H154/100/12)</f>
      </c>
      <c r="M154" s="43">
        <f>IF($I154=0,0,IF(OR(INDEX(DarlOhneTilgung,1)=1,AND(INDEX(DarlTilgStart,1)&gt;0,$E154&lt;INDEX(DarlTilgStart,1))),0,MIN(MAX(0,$K154-$L154),$J154)))</f>
      </c>
      <c r="N154" s="43">
        <f>IF($I154=0,0,MIN(SUMIFS(SondBetrag,SondDarl,1,SondDatum,"&gt;="&amp;$E154,SondDatum,"&lt;="&amp;EOMONTH($E154,0)),$J154-$M154))</f>
      </c>
      <c r="O154" s="43">
        <f>IF($I154=0,0,INDEX(DarlErsatzRate,1))</f>
      </c>
      <c r="P154" s="43">
        <f>IF($I154=0,0,$Q153*INDEX(DarlErsatzZins,1))</f>
      </c>
      <c r="Q154" s="43">
        <f>IF($I154=0,0,$Q153+$P154+$O154)</f>
      </c>
      <c r="R154" s="43">
        <f>IF($I154=0,0,$J154-$M154-$N154)</f>
      </c>
    </row>
    <row r="155">
      <c r="A155"/>
      <c r="B155">
        <v>1</v>
      </c>
      <c r="C155" s="43">
        <f>INDEX(DarlObj,1)</f>
      </c>
      <c r="D155">
        <v>152</v>
      </c>
      <c r="E155" s="51">
        <f>IF(INDEX(DarlBelegt,1)=0,0,EOMONTH(INDEX(DarlAuszahlung,1),151)+1)</f>
      </c>
      <c r="F155" s="43">
        <f>IF($E155=0,0,YEAR($E155))</f>
      </c>
      <c r="G155" s="43">
        <f>IF(INDEX(DarlBindung,1)="",1,IF($E155&lt;=INDEX(DarlBindung,1),1,0))</f>
      </c>
      <c r="H155" s="43">
        <f>IF($G155=1,INDEX(DarlSollzins,1),INDEX(DarlAnschluss,1))</f>
      </c>
      <c r="I155" s="43">
        <f>IF(INDEX(DarlBelegt,1)=0,0,IF(INDEX(DarlOhneTilgung,1)=1,IF(INDEX(DarlBindung,1)="",1,$G155),IF($J155&gt;0.005,1,0)))</f>
      </c>
      <c r="J155" s="43">
        <f>IF($I154=0,0,$R154)</f>
      </c>
      <c r="K155" s="43">
        <f>IF($I155=0,0,IF(INDEX(DarlOhneTilgung,1)=1,0,IF(AND(INDEX(DarlTilgStart,1)&gt;0,$E155=INDEX(DarlTilgStart,1)),$J155*($H155+INDEX(DarlTilgung,1))/100/12,IF(AND($G155=0,$G154=1),MAX($K154,$J155*($H155+1)/100/12),$K154))))</f>
      </c>
      <c r="L155" s="43">
        <f>IF($I155=0,0,$J155*$H155/100/12)</f>
      </c>
      <c r="M155" s="43">
        <f>IF($I155=0,0,IF(OR(INDEX(DarlOhneTilgung,1)=1,AND(INDEX(DarlTilgStart,1)&gt;0,$E155&lt;INDEX(DarlTilgStart,1))),0,MIN(MAX(0,$K155-$L155),$J155)))</f>
      </c>
      <c r="N155" s="43">
        <f>IF($I155=0,0,MIN(SUMIFS(SondBetrag,SondDarl,1,SondDatum,"&gt;="&amp;$E155,SondDatum,"&lt;="&amp;EOMONTH($E155,0)),$J155-$M155))</f>
      </c>
      <c r="O155" s="43">
        <f>IF($I155=0,0,INDEX(DarlErsatzRate,1))</f>
      </c>
      <c r="P155" s="43">
        <f>IF($I155=0,0,$Q154*INDEX(DarlErsatzZins,1))</f>
      </c>
      <c r="Q155" s="43">
        <f>IF($I155=0,0,$Q154+$P155+$O155)</f>
      </c>
      <c r="R155" s="43">
        <f>IF($I155=0,0,$J155-$M155-$N155)</f>
      </c>
    </row>
    <row r="156">
      <c r="A156"/>
      <c r="B156">
        <v>1</v>
      </c>
      <c r="C156" s="43">
        <f>INDEX(DarlObj,1)</f>
      </c>
      <c r="D156">
        <v>153</v>
      </c>
      <c r="E156" s="51">
        <f>IF(INDEX(DarlBelegt,1)=0,0,EOMONTH(INDEX(DarlAuszahlung,1),152)+1)</f>
      </c>
      <c r="F156" s="43">
        <f>IF($E156=0,0,YEAR($E156))</f>
      </c>
      <c r="G156" s="43">
        <f>IF(INDEX(DarlBindung,1)="",1,IF($E156&lt;=INDEX(DarlBindung,1),1,0))</f>
      </c>
      <c r="H156" s="43">
        <f>IF($G156=1,INDEX(DarlSollzins,1),INDEX(DarlAnschluss,1))</f>
      </c>
      <c r="I156" s="43">
        <f>IF(INDEX(DarlBelegt,1)=0,0,IF(INDEX(DarlOhneTilgung,1)=1,IF(INDEX(DarlBindung,1)="",1,$G156),IF($J156&gt;0.005,1,0)))</f>
      </c>
      <c r="J156" s="43">
        <f>IF($I155=0,0,$R155)</f>
      </c>
      <c r="K156" s="43">
        <f>IF($I156=0,0,IF(INDEX(DarlOhneTilgung,1)=1,0,IF(AND(INDEX(DarlTilgStart,1)&gt;0,$E156=INDEX(DarlTilgStart,1)),$J156*($H156+INDEX(DarlTilgung,1))/100/12,IF(AND($G156=0,$G155=1),MAX($K155,$J156*($H156+1)/100/12),$K155))))</f>
      </c>
      <c r="L156" s="43">
        <f>IF($I156=0,0,$J156*$H156/100/12)</f>
      </c>
      <c r="M156" s="43">
        <f>IF($I156=0,0,IF(OR(INDEX(DarlOhneTilgung,1)=1,AND(INDEX(DarlTilgStart,1)&gt;0,$E156&lt;INDEX(DarlTilgStart,1))),0,MIN(MAX(0,$K156-$L156),$J156)))</f>
      </c>
      <c r="N156" s="43">
        <f>IF($I156=0,0,MIN(SUMIFS(SondBetrag,SondDarl,1,SondDatum,"&gt;="&amp;$E156,SondDatum,"&lt;="&amp;EOMONTH($E156,0)),$J156-$M156))</f>
      </c>
      <c r="O156" s="43">
        <f>IF($I156=0,0,INDEX(DarlErsatzRate,1))</f>
      </c>
      <c r="P156" s="43">
        <f>IF($I156=0,0,$Q155*INDEX(DarlErsatzZins,1))</f>
      </c>
      <c r="Q156" s="43">
        <f>IF($I156=0,0,$Q155+$P156+$O156)</f>
      </c>
      <c r="R156" s="43">
        <f>IF($I156=0,0,$J156-$M156-$N156)</f>
      </c>
    </row>
    <row r="157">
      <c r="A157"/>
      <c r="B157">
        <v>1</v>
      </c>
      <c r="C157" s="43">
        <f>INDEX(DarlObj,1)</f>
      </c>
      <c r="D157">
        <v>154</v>
      </c>
      <c r="E157" s="51">
        <f>IF(INDEX(DarlBelegt,1)=0,0,EOMONTH(INDEX(DarlAuszahlung,1),153)+1)</f>
      </c>
      <c r="F157" s="43">
        <f>IF($E157=0,0,YEAR($E157))</f>
      </c>
      <c r="G157" s="43">
        <f>IF(INDEX(DarlBindung,1)="",1,IF($E157&lt;=INDEX(DarlBindung,1),1,0))</f>
      </c>
      <c r="H157" s="43">
        <f>IF($G157=1,INDEX(DarlSollzins,1),INDEX(DarlAnschluss,1))</f>
      </c>
      <c r="I157" s="43">
        <f>IF(INDEX(DarlBelegt,1)=0,0,IF(INDEX(DarlOhneTilgung,1)=1,IF(INDEX(DarlBindung,1)="",1,$G157),IF($J157&gt;0.005,1,0)))</f>
      </c>
      <c r="J157" s="43">
        <f>IF($I156=0,0,$R156)</f>
      </c>
      <c r="K157" s="43">
        <f>IF($I157=0,0,IF(INDEX(DarlOhneTilgung,1)=1,0,IF(AND(INDEX(DarlTilgStart,1)&gt;0,$E157=INDEX(DarlTilgStart,1)),$J157*($H157+INDEX(DarlTilgung,1))/100/12,IF(AND($G157=0,$G156=1),MAX($K156,$J157*($H157+1)/100/12),$K156))))</f>
      </c>
      <c r="L157" s="43">
        <f>IF($I157=0,0,$J157*$H157/100/12)</f>
      </c>
      <c r="M157" s="43">
        <f>IF($I157=0,0,IF(OR(INDEX(DarlOhneTilgung,1)=1,AND(INDEX(DarlTilgStart,1)&gt;0,$E157&lt;INDEX(DarlTilgStart,1))),0,MIN(MAX(0,$K157-$L157),$J157)))</f>
      </c>
      <c r="N157" s="43">
        <f>IF($I157=0,0,MIN(SUMIFS(SondBetrag,SondDarl,1,SondDatum,"&gt;="&amp;$E157,SondDatum,"&lt;="&amp;EOMONTH($E157,0)),$J157-$M157))</f>
      </c>
      <c r="O157" s="43">
        <f>IF($I157=0,0,INDEX(DarlErsatzRate,1))</f>
      </c>
      <c r="P157" s="43">
        <f>IF($I157=0,0,$Q156*INDEX(DarlErsatzZins,1))</f>
      </c>
      <c r="Q157" s="43">
        <f>IF($I157=0,0,$Q156+$P157+$O157)</f>
      </c>
      <c r="R157" s="43">
        <f>IF($I157=0,0,$J157-$M157-$N157)</f>
      </c>
    </row>
    <row r="158">
      <c r="A158"/>
      <c r="B158">
        <v>1</v>
      </c>
      <c r="C158" s="43">
        <f>INDEX(DarlObj,1)</f>
      </c>
      <c r="D158">
        <v>155</v>
      </c>
      <c r="E158" s="51">
        <f>IF(INDEX(DarlBelegt,1)=0,0,EOMONTH(INDEX(DarlAuszahlung,1),154)+1)</f>
      </c>
      <c r="F158" s="43">
        <f>IF($E158=0,0,YEAR($E158))</f>
      </c>
      <c r="G158" s="43">
        <f>IF(INDEX(DarlBindung,1)="",1,IF($E158&lt;=INDEX(DarlBindung,1),1,0))</f>
      </c>
      <c r="H158" s="43">
        <f>IF($G158=1,INDEX(DarlSollzins,1),INDEX(DarlAnschluss,1))</f>
      </c>
      <c r="I158" s="43">
        <f>IF(INDEX(DarlBelegt,1)=0,0,IF(INDEX(DarlOhneTilgung,1)=1,IF(INDEX(DarlBindung,1)="",1,$G158),IF($J158&gt;0.005,1,0)))</f>
      </c>
      <c r="J158" s="43">
        <f>IF($I157=0,0,$R157)</f>
      </c>
      <c r="K158" s="43">
        <f>IF($I158=0,0,IF(INDEX(DarlOhneTilgung,1)=1,0,IF(AND(INDEX(DarlTilgStart,1)&gt;0,$E158=INDEX(DarlTilgStart,1)),$J158*($H158+INDEX(DarlTilgung,1))/100/12,IF(AND($G158=0,$G157=1),MAX($K157,$J158*($H158+1)/100/12),$K157))))</f>
      </c>
      <c r="L158" s="43">
        <f>IF($I158=0,0,$J158*$H158/100/12)</f>
      </c>
      <c r="M158" s="43">
        <f>IF($I158=0,0,IF(OR(INDEX(DarlOhneTilgung,1)=1,AND(INDEX(DarlTilgStart,1)&gt;0,$E158&lt;INDEX(DarlTilgStart,1))),0,MIN(MAX(0,$K158-$L158),$J158)))</f>
      </c>
      <c r="N158" s="43">
        <f>IF($I158=0,0,MIN(SUMIFS(SondBetrag,SondDarl,1,SondDatum,"&gt;="&amp;$E158,SondDatum,"&lt;="&amp;EOMONTH($E158,0)),$J158-$M158))</f>
      </c>
      <c r="O158" s="43">
        <f>IF($I158=0,0,INDEX(DarlErsatzRate,1))</f>
      </c>
      <c r="P158" s="43">
        <f>IF($I158=0,0,$Q157*INDEX(DarlErsatzZins,1))</f>
      </c>
      <c r="Q158" s="43">
        <f>IF($I158=0,0,$Q157+$P158+$O158)</f>
      </c>
      <c r="R158" s="43">
        <f>IF($I158=0,0,$J158-$M158-$N158)</f>
      </c>
    </row>
    <row r="159">
      <c r="A159"/>
      <c r="B159">
        <v>1</v>
      </c>
      <c r="C159" s="43">
        <f>INDEX(DarlObj,1)</f>
      </c>
      <c r="D159">
        <v>156</v>
      </c>
      <c r="E159" s="51">
        <f>IF(INDEX(DarlBelegt,1)=0,0,EOMONTH(INDEX(DarlAuszahlung,1),155)+1)</f>
      </c>
      <c r="F159" s="43">
        <f>IF($E159=0,0,YEAR($E159))</f>
      </c>
      <c r="G159" s="43">
        <f>IF(INDEX(DarlBindung,1)="",1,IF($E159&lt;=INDEX(DarlBindung,1),1,0))</f>
      </c>
      <c r="H159" s="43">
        <f>IF($G159=1,INDEX(DarlSollzins,1),INDEX(DarlAnschluss,1))</f>
      </c>
      <c r="I159" s="43">
        <f>IF(INDEX(DarlBelegt,1)=0,0,IF(INDEX(DarlOhneTilgung,1)=1,IF(INDEX(DarlBindung,1)="",1,$G159),IF($J159&gt;0.005,1,0)))</f>
      </c>
      <c r="J159" s="43">
        <f>IF($I158=0,0,$R158)</f>
      </c>
      <c r="K159" s="43">
        <f>IF($I159=0,0,IF(INDEX(DarlOhneTilgung,1)=1,0,IF(AND(INDEX(DarlTilgStart,1)&gt;0,$E159=INDEX(DarlTilgStart,1)),$J159*($H159+INDEX(DarlTilgung,1))/100/12,IF(AND($G159=0,$G158=1),MAX($K158,$J159*($H159+1)/100/12),$K158))))</f>
      </c>
      <c r="L159" s="43">
        <f>IF($I159=0,0,$J159*$H159/100/12)</f>
      </c>
      <c r="M159" s="43">
        <f>IF($I159=0,0,IF(OR(INDEX(DarlOhneTilgung,1)=1,AND(INDEX(DarlTilgStart,1)&gt;0,$E159&lt;INDEX(DarlTilgStart,1))),0,MIN(MAX(0,$K159-$L159),$J159)))</f>
      </c>
      <c r="N159" s="43">
        <f>IF($I159=0,0,MIN(SUMIFS(SondBetrag,SondDarl,1,SondDatum,"&gt;="&amp;$E159,SondDatum,"&lt;="&amp;EOMONTH($E159,0)),$J159-$M159))</f>
      </c>
      <c r="O159" s="43">
        <f>IF($I159=0,0,INDEX(DarlErsatzRate,1))</f>
      </c>
      <c r="P159" s="43">
        <f>IF($I159=0,0,$Q158*INDEX(DarlErsatzZins,1))</f>
      </c>
      <c r="Q159" s="43">
        <f>IF($I159=0,0,$Q158+$P159+$O159)</f>
      </c>
      <c r="R159" s="43">
        <f>IF($I159=0,0,$J159-$M159-$N159)</f>
      </c>
    </row>
    <row r="160">
      <c r="A160"/>
      <c r="B160">
        <v>1</v>
      </c>
      <c r="C160" s="43">
        <f>INDEX(DarlObj,1)</f>
      </c>
      <c r="D160">
        <v>157</v>
      </c>
      <c r="E160" s="51">
        <f>IF(INDEX(DarlBelegt,1)=0,0,EOMONTH(INDEX(DarlAuszahlung,1),156)+1)</f>
      </c>
      <c r="F160" s="43">
        <f>IF($E160=0,0,YEAR($E160))</f>
      </c>
      <c r="G160" s="43">
        <f>IF(INDEX(DarlBindung,1)="",1,IF($E160&lt;=INDEX(DarlBindung,1),1,0))</f>
      </c>
      <c r="H160" s="43">
        <f>IF($G160=1,INDEX(DarlSollzins,1),INDEX(DarlAnschluss,1))</f>
      </c>
      <c r="I160" s="43">
        <f>IF(INDEX(DarlBelegt,1)=0,0,IF(INDEX(DarlOhneTilgung,1)=1,IF(INDEX(DarlBindung,1)="",1,$G160),IF($J160&gt;0.005,1,0)))</f>
      </c>
      <c r="J160" s="43">
        <f>IF($I159=0,0,$R159)</f>
      </c>
      <c r="K160" s="43">
        <f>IF($I160=0,0,IF(INDEX(DarlOhneTilgung,1)=1,0,IF(AND(INDEX(DarlTilgStart,1)&gt;0,$E160=INDEX(DarlTilgStart,1)),$J160*($H160+INDEX(DarlTilgung,1))/100/12,IF(AND($G160=0,$G159=1),MAX($K159,$J160*($H160+1)/100/12),$K159))))</f>
      </c>
      <c r="L160" s="43">
        <f>IF($I160=0,0,$J160*$H160/100/12)</f>
      </c>
      <c r="M160" s="43">
        <f>IF($I160=0,0,IF(OR(INDEX(DarlOhneTilgung,1)=1,AND(INDEX(DarlTilgStart,1)&gt;0,$E160&lt;INDEX(DarlTilgStart,1))),0,MIN(MAX(0,$K160-$L160),$J160)))</f>
      </c>
      <c r="N160" s="43">
        <f>IF($I160=0,0,MIN(SUMIFS(SondBetrag,SondDarl,1,SondDatum,"&gt;="&amp;$E160,SondDatum,"&lt;="&amp;EOMONTH($E160,0)),$J160-$M160))</f>
      </c>
      <c r="O160" s="43">
        <f>IF($I160=0,0,INDEX(DarlErsatzRate,1))</f>
      </c>
      <c r="P160" s="43">
        <f>IF($I160=0,0,$Q159*INDEX(DarlErsatzZins,1))</f>
      </c>
      <c r="Q160" s="43">
        <f>IF($I160=0,0,$Q159+$P160+$O160)</f>
      </c>
      <c r="R160" s="43">
        <f>IF($I160=0,0,$J160-$M160-$N160)</f>
      </c>
    </row>
    <row r="161">
      <c r="A161"/>
      <c r="B161">
        <v>1</v>
      </c>
      <c r="C161" s="43">
        <f>INDEX(DarlObj,1)</f>
      </c>
      <c r="D161">
        <v>158</v>
      </c>
      <c r="E161" s="51">
        <f>IF(INDEX(DarlBelegt,1)=0,0,EOMONTH(INDEX(DarlAuszahlung,1),157)+1)</f>
      </c>
      <c r="F161" s="43">
        <f>IF($E161=0,0,YEAR($E161))</f>
      </c>
      <c r="G161" s="43">
        <f>IF(INDEX(DarlBindung,1)="",1,IF($E161&lt;=INDEX(DarlBindung,1),1,0))</f>
      </c>
      <c r="H161" s="43">
        <f>IF($G161=1,INDEX(DarlSollzins,1),INDEX(DarlAnschluss,1))</f>
      </c>
      <c r="I161" s="43">
        <f>IF(INDEX(DarlBelegt,1)=0,0,IF(INDEX(DarlOhneTilgung,1)=1,IF(INDEX(DarlBindung,1)="",1,$G161),IF($J161&gt;0.005,1,0)))</f>
      </c>
      <c r="J161" s="43">
        <f>IF($I160=0,0,$R160)</f>
      </c>
      <c r="K161" s="43">
        <f>IF($I161=0,0,IF(INDEX(DarlOhneTilgung,1)=1,0,IF(AND(INDEX(DarlTilgStart,1)&gt;0,$E161=INDEX(DarlTilgStart,1)),$J161*($H161+INDEX(DarlTilgung,1))/100/12,IF(AND($G161=0,$G160=1),MAX($K160,$J161*($H161+1)/100/12),$K160))))</f>
      </c>
      <c r="L161" s="43">
        <f>IF($I161=0,0,$J161*$H161/100/12)</f>
      </c>
      <c r="M161" s="43">
        <f>IF($I161=0,0,IF(OR(INDEX(DarlOhneTilgung,1)=1,AND(INDEX(DarlTilgStart,1)&gt;0,$E161&lt;INDEX(DarlTilgStart,1))),0,MIN(MAX(0,$K161-$L161),$J161)))</f>
      </c>
      <c r="N161" s="43">
        <f>IF($I161=0,0,MIN(SUMIFS(SondBetrag,SondDarl,1,SondDatum,"&gt;="&amp;$E161,SondDatum,"&lt;="&amp;EOMONTH($E161,0)),$J161-$M161))</f>
      </c>
      <c r="O161" s="43">
        <f>IF($I161=0,0,INDEX(DarlErsatzRate,1))</f>
      </c>
      <c r="P161" s="43">
        <f>IF($I161=0,0,$Q160*INDEX(DarlErsatzZins,1))</f>
      </c>
      <c r="Q161" s="43">
        <f>IF($I161=0,0,$Q160+$P161+$O161)</f>
      </c>
      <c r="R161" s="43">
        <f>IF($I161=0,0,$J161-$M161-$N161)</f>
      </c>
    </row>
    <row r="162">
      <c r="A162"/>
      <c r="B162">
        <v>1</v>
      </c>
      <c r="C162" s="43">
        <f>INDEX(DarlObj,1)</f>
      </c>
      <c r="D162">
        <v>159</v>
      </c>
      <c r="E162" s="51">
        <f>IF(INDEX(DarlBelegt,1)=0,0,EOMONTH(INDEX(DarlAuszahlung,1),158)+1)</f>
      </c>
      <c r="F162" s="43">
        <f>IF($E162=0,0,YEAR($E162))</f>
      </c>
      <c r="G162" s="43">
        <f>IF(INDEX(DarlBindung,1)="",1,IF($E162&lt;=INDEX(DarlBindung,1),1,0))</f>
      </c>
      <c r="H162" s="43">
        <f>IF($G162=1,INDEX(DarlSollzins,1),INDEX(DarlAnschluss,1))</f>
      </c>
      <c r="I162" s="43">
        <f>IF(INDEX(DarlBelegt,1)=0,0,IF(INDEX(DarlOhneTilgung,1)=1,IF(INDEX(DarlBindung,1)="",1,$G162),IF($J162&gt;0.005,1,0)))</f>
      </c>
      <c r="J162" s="43">
        <f>IF($I161=0,0,$R161)</f>
      </c>
      <c r="K162" s="43">
        <f>IF($I162=0,0,IF(INDEX(DarlOhneTilgung,1)=1,0,IF(AND(INDEX(DarlTilgStart,1)&gt;0,$E162=INDEX(DarlTilgStart,1)),$J162*($H162+INDEX(DarlTilgung,1))/100/12,IF(AND($G162=0,$G161=1),MAX($K161,$J162*($H162+1)/100/12),$K161))))</f>
      </c>
      <c r="L162" s="43">
        <f>IF($I162=0,0,$J162*$H162/100/12)</f>
      </c>
      <c r="M162" s="43">
        <f>IF($I162=0,0,IF(OR(INDEX(DarlOhneTilgung,1)=1,AND(INDEX(DarlTilgStart,1)&gt;0,$E162&lt;INDEX(DarlTilgStart,1))),0,MIN(MAX(0,$K162-$L162),$J162)))</f>
      </c>
      <c r="N162" s="43">
        <f>IF($I162=0,0,MIN(SUMIFS(SondBetrag,SondDarl,1,SondDatum,"&gt;="&amp;$E162,SondDatum,"&lt;="&amp;EOMONTH($E162,0)),$J162-$M162))</f>
      </c>
      <c r="O162" s="43">
        <f>IF($I162=0,0,INDEX(DarlErsatzRate,1))</f>
      </c>
      <c r="P162" s="43">
        <f>IF($I162=0,0,$Q161*INDEX(DarlErsatzZins,1))</f>
      </c>
      <c r="Q162" s="43">
        <f>IF($I162=0,0,$Q161+$P162+$O162)</f>
      </c>
      <c r="R162" s="43">
        <f>IF($I162=0,0,$J162-$M162-$N162)</f>
      </c>
    </row>
    <row r="163">
      <c r="A163"/>
      <c r="B163">
        <v>1</v>
      </c>
      <c r="C163" s="43">
        <f>INDEX(DarlObj,1)</f>
      </c>
      <c r="D163">
        <v>160</v>
      </c>
      <c r="E163" s="51">
        <f>IF(INDEX(DarlBelegt,1)=0,0,EOMONTH(INDEX(DarlAuszahlung,1),159)+1)</f>
      </c>
      <c r="F163" s="43">
        <f>IF($E163=0,0,YEAR($E163))</f>
      </c>
      <c r="G163" s="43">
        <f>IF(INDEX(DarlBindung,1)="",1,IF($E163&lt;=INDEX(DarlBindung,1),1,0))</f>
      </c>
      <c r="H163" s="43">
        <f>IF($G163=1,INDEX(DarlSollzins,1),INDEX(DarlAnschluss,1))</f>
      </c>
      <c r="I163" s="43">
        <f>IF(INDEX(DarlBelegt,1)=0,0,IF(INDEX(DarlOhneTilgung,1)=1,IF(INDEX(DarlBindung,1)="",1,$G163),IF($J163&gt;0.005,1,0)))</f>
      </c>
      <c r="J163" s="43">
        <f>IF($I162=0,0,$R162)</f>
      </c>
      <c r="K163" s="43">
        <f>IF($I163=0,0,IF(INDEX(DarlOhneTilgung,1)=1,0,IF(AND(INDEX(DarlTilgStart,1)&gt;0,$E163=INDEX(DarlTilgStart,1)),$J163*($H163+INDEX(DarlTilgung,1))/100/12,IF(AND($G163=0,$G162=1),MAX($K162,$J163*($H163+1)/100/12),$K162))))</f>
      </c>
      <c r="L163" s="43">
        <f>IF($I163=0,0,$J163*$H163/100/12)</f>
      </c>
      <c r="M163" s="43">
        <f>IF($I163=0,0,IF(OR(INDEX(DarlOhneTilgung,1)=1,AND(INDEX(DarlTilgStart,1)&gt;0,$E163&lt;INDEX(DarlTilgStart,1))),0,MIN(MAX(0,$K163-$L163),$J163)))</f>
      </c>
      <c r="N163" s="43">
        <f>IF($I163=0,0,MIN(SUMIFS(SondBetrag,SondDarl,1,SondDatum,"&gt;="&amp;$E163,SondDatum,"&lt;="&amp;EOMONTH($E163,0)),$J163-$M163))</f>
      </c>
      <c r="O163" s="43">
        <f>IF($I163=0,0,INDEX(DarlErsatzRate,1))</f>
      </c>
      <c r="P163" s="43">
        <f>IF($I163=0,0,$Q162*INDEX(DarlErsatzZins,1))</f>
      </c>
      <c r="Q163" s="43">
        <f>IF($I163=0,0,$Q162+$P163+$O163)</f>
      </c>
      <c r="R163" s="43">
        <f>IF($I163=0,0,$J163-$M163-$N163)</f>
      </c>
    </row>
    <row r="164">
      <c r="A164"/>
      <c r="B164">
        <v>1</v>
      </c>
      <c r="C164" s="43">
        <f>INDEX(DarlObj,1)</f>
      </c>
      <c r="D164">
        <v>161</v>
      </c>
      <c r="E164" s="51">
        <f>IF(INDEX(DarlBelegt,1)=0,0,EOMONTH(INDEX(DarlAuszahlung,1),160)+1)</f>
      </c>
      <c r="F164" s="43">
        <f>IF($E164=0,0,YEAR($E164))</f>
      </c>
      <c r="G164" s="43">
        <f>IF(INDEX(DarlBindung,1)="",1,IF($E164&lt;=INDEX(DarlBindung,1),1,0))</f>
      </c>
      <c r="H164" s="43">
        <f>IF($G164=1,INDEX(DarlSollzins,1),INDEX(DarlAnschluss,1))</f>
      </c>
      <c r="I164" s="43">
        <f>IF(INDEX(DarlBelegt,1)=0,0,IF(INDEX(DarlOhneTilgung,1)=1,IF(INDEX(DarlBindung,1)="",1,$G164),IF($J164&gt;0.005,1,0)))</f>
      </c>
      <c r="J164" s="43">
        <f>IF($I163=0,0,$R163)</f>
      </c>
      <c r="K164" s="43">
        <f>IF($I164=0,0,IF(INDEX(DarlOhneTilgung,1)=1,0,IF(AND(INDEX(DarlTilgStart,1)&gt;0,$E164=INDEX(DarlTilgStart,1)),$J164*($H164+INDEX(DarlTilgung,1))/100/12,IF(AND($G164=0,$G163=1),MAX($K163,$J164*($H164+1)/100/12),$K163))))</f>
      </c>
      <c r="L164" s="43">
        <f>IF($I164=0,0,$J164*$H164/100/12)</f>
      </c>
      <c r="M164" s="43">
        <f>IF($I164=0,0,IF(OR(INDEX(DarlOhneTilgung,1)=1,AND(INDEX(DarlTilgStart,1)&gt;0,$E164&lt;INDEX(DarlTilgStart,1))),0,MIN(MAX(0,$K164-$L164),$J164)))</f>
      </c>
      <c r="N164" s="43">
        <f>IF($I164=0,0,MIN(SUMIFS(SondBetrag,SondDarl,1,SondDatum,"&gt;="&amp;$E164,SondDatum,"&lt;="&amp;EOMONTH($E164,0)),$J164-$M164))</f>
      </c>
      <c r="O164" s="43">
        <f>IF($I164=0,0,INDEX(DarlErsatzRate,1))</f>
      </c>
      <c r="P164" s="43">
        <f>IF($I164=0,0,$Q163*INDEX(DarlErsatzZins,1))</f>
      </c>
      <c r="Q164" s="43">
        <f>IF($I164=0,0,$Q163+$P164+$O164)</f>
      </c>
      <c r="R164" s="43">
        <f>IF($I164=0,0,$J164-$M164-$N164)</f>
      </c>
    </row>
    <row r="165">
      <c r="A165"/>
      <c r="B165">
        <v>1</v>
      </c>
      <c r="C165" s="43">
        <f>INDEX(DarlObj,1)</f>
      </c>
      <c r="D165">
        <v>162</v>
      </c>
      <c r="E165" s="51">
        <f>IF(INDEX(DarlBelegt,1)=0,0,EOMONTH(INDEX(DarlAuszahlung,1),161)+1)</f>
      </c>
      <c r="F165" s="43">
        <f>IF($E165=0,0,YEAR($E165))</f>
      </c>
      <c r="G165" s="43">
        <f>IF(INDEX(DarlBindung,1)="",1,IF($E165&lt;=INDEX(DarlBindung,1),1,0))</f>
      </c>
      <c r="H165" s="43">
        <f>IF($G165=1,INDEX(DarlSollzins,1),INDEX(DarlAnschluss,1))</f>
      </c>
      <c r="I165" s="43">
        <f>IF(INDEX(DarlBelegt,1)=0,0,IF(INDEX(DarlOhneTilgung,1)=1,IF(INDEX(DarlBindung,1)="",1,$G165),IF($J165&gt;0.005,1,0)))</f>
      </c>
      <c r="J165" s="43">
        <f>IF($I164=0,0,$R164)</f>
      </c>
      <c r="K165" s="43">
        <f>IF($I165=0,0,IF(INDEX(DarlOhneTilgung,1)=1,0,IF(AND(INDEX(DarlTilgStart,1)&gt;0,$E165=INDEX(DarlTilgStart,1)),$J165*($H165+INDEX(DarlTilgung,1))/100/12,IF(AND($G165=0,$G164=1),MAX($K164,$J165*($H165+1)/100/12),$K164))))</f>
      </c>
      <c r="L165" s="43">
        <f>IF($I165=0,0,$J165*$H165/100/12)</f>
      </c>
      <c r="M165" s="43">
        <f>IF($I165=0,0,IF(OR(INDEX(DarlOhneTilgung,1)=1,AND(INDEX(DarlTilgStart,1)&gt;0,$E165&lt;INDEX(DarlTilgStart,1))),0,MIN(MAX(0,$K165-$L165),$J165)))</f>
      </c>
      <c r="N165" s="43">
        <f>IF($I165=0,0,MIN(SUMIFS(SondBetrag,SondDarl,1,SondDatum,"&gt;="&amp;$E165,SondDatum,"&lt;="&amp;EOMONTH($E165,0)),$J165-$M165))</f>
      </c>
      <c r="O165" s="43">
        <f>IF($I165=0,0,INDEX(DarlErsatzRate,1))</f>
      </c>
      <c r="P165" s="43">
        <f>IF($I165=0,0,$Q164*INDEX(DarlErsatzZins,1))</f>
      </c>
      <c r="Q165" s="43">
        <f>IF($I165=0,0,$Q164+$P165+$O165)</f>
      </c>
      <c r="R165" s="43">
        <f>IF($I165=0,0,$J165-$M165-$N165)</f>
      </c>
    </row>
    <row r="166">
      <c r="A166"/>
      <c r="B166">
        <v>1</v>
      </c>
      <c r="C166" s="43">
        <f>INDEX(DarlObj,1)</f>
      </c>
      <c r="D166">
        <v>163</v>
      </c>
      <c r="E166" s="51">
        <f>IF(INDEX(DarlBelegt,1)=0,0,EOMONTH(INDEX(DarlAuszahlung,1),162)+1)</f>
      </c>
      <c r="F166" s="43">
        <f>IF($E166=0,0,YEAR($E166))</f>
      </c>
      <c r="G166" s="43">
        <f>IF(INDEX(DarlBindung,1)="",1,IF($E166&lt;=INDEX(DarlBindung,1),1,0))</f>
      </c>
      <c r="H166" s="43">
        <f>IF($G166=1,INDEX(DarlSollzins,1),INDEX(DarlAnschluss,1))</f>
      </c>
      <c r="I166" s="43">
        <f>IF(INDEX(DarlBelegt,1)=0,0,IF(INDEX(DarlOhneTilgung,1)=1,IF(INDEX(DarlBindung,1)="",1,$G166),IF($J166&gt;0.005,1,0)))</f>
      </c>
      <c r="J166" s="43">
        <f>IF($I165=0,0,$R165)</f>
      </c>
      <c r="K166" s="43">
        <f>IF($I166=0,0,IF(INDEX(DarlOhneTilgung,1)=1,0,IF(AND(INDEX(DarlTilgStart,1)&gt;0,$E166=INDEX(DarlTilgStart,1)),$J166*($H166+INDEX(DarlTilgung,1))/100/12,IF(AND($G166=0,$G165=1),MAX($K165,$J166*($H166+1)/100/12),$K165))))</f>
      </c>
      <c r="L166" s="43">
        <f>IF($I166=0,0,$J166*$H166/100/12)</f>
      </c>
      <c r="M166" s="43">
        <f>IF($I166=0,0,IF(OR(INDEX(DarlOhneTilgung,1)=1,AND(INDEX(DarlTilgStart,1)&gt;0,$E166&lt;INDEX(DarlTilgStart,1))),0,MIN(MAX(0,$K166-$L166),$J166)))</f>
      </c>
      <c r="N166" s="43">
        <f>IF($I166=0,0,MIN(SUMIFS(SondBetrag,SondDarl,1,SondDatum,"&gt;="&amp;$E166,SondDatum,"&lt;="&amp;EOMONTH($E166,0)),$J166-$M166))</f>
      </c>
      <c r="O166" s="43">
        <f>IF($I166=0,0,INDEX(DarlErsatzRate,1))</f>
      </c>
      <c r="P166" s="43">
        <f>IF($I166=0,0,$Q165*INDEX(DarlErsatzZins,1))</f>
      </c>
      <c r="Q166" s="43">
        <f>IF($I166=0,0,$Q165+$P166+$O166)</f>
      </c>
      <c r="R166" s="43">
        <f>IF($I166=0,0,$J166-$M166-$N166)</f>
      </c>
    </row>
    <row r="167">
      <c r="A167"/>
      <c r="B167">
        <v>1</v>
      </c>
      <c r="C167" s="43">
        <f>INDEX(DarlObj,1)</f>
      </c>
      <c r="D167">
        <v>164</v>
      </c>
      <c r="E167" s="51">
        <f>IF(INDEX(DarlBelegt,1)=0,0,EOMONTH(INDEX(DarlAuszahlung,1),163)+1)</f>
      </c>
      <c r="F167" s="43">
        <f>IF($E167=0,0,YEAR($E167))</f>
      </c>
      <c r="G167" s="43">
        <f>IF(INDEX(DarlBindung,1)="",1,IF($E167&lt;=INDEX(DarlBindung,1),1,0))</f>
      </c>
      <c r="H167" s="43">
        <f>IF($G167=1,INDEX(DarlSollzins,1),INDEX(DarlAnschluss,1))</f>
      </c>
      <c r="I167" s="43">
        <f>IF(INDEX(DarlBelegt,1)=0,0,IF(INDEX(DarlOhneTilgung,1)=1,IF(INDEX(DarlBindung,1)="",1,$G167),IF($J167&gt;0.005,1,0)))</f>
      </c>
      <c r="J167" s="43">
        <f>IF($I166=0,0,$R166)</f>
      </c>
      <c r="K167" s="43">
        <f>IF($I167=0,0,IF(INDEX(DarlOhneTilgung,1)=1,0,IF(AND(INDEX(DarlTilgStart,1)&gt;0,$E167=INDEX(DarlTilgStart,1)),$J167*($H167+INDEX(DarlTilgung,1))/100/12,IF(AND($G167=0,$G166=1),MAX($K166,$J167*($H167+1)/100/12),$K166))))</f>
      </c>
      <c r="L167" s="43">
        <f>IF($I167=0,0,$J167*$H167/100/12)</f>
      </c>
      <c r="M167" s="43">
        <f>IF($I167=0,0,IF(OR(INDEX(DarlOhneTilgung,1)=1,AND(INDEX(DarlTilgStart,1)&gt;0,$E167&lt;INDEX(DarlTilgStart,1))),0,MIN(MAX(0,$K167-$L167),$J167)))</f>
      </c>
      <c r="N167" s="43">
        <f>IF($I167=0,0,MIN(SUMIFS(SondBetrag,SondDarl,1,SondDatum,"&gt;="&amp;$E167,SondDatum,"&lt;="&amp;EOMONTH($E167,0)),$J167-$M167))</f>
      </c>
      <c r="O167" s="43">
        <f>IF($I167=0,0,INDEX(DarlErsatzRate,1))</f>
      </c>
      <c r="P167" s="43">
        <f>IF($I167=0,0,$Q166*INDEX(DarlErsatzZins,1))</f>
      </c>
      <c r="Q167" s="43">
        <f>IF($I167=0,0,$Q166+$P167+$O167)</f>
      </c>
      <c r="R167" s="43">
        <f>IF($I167=0,0,$J167-$M167-$N167)</f>
      </c>
    </row>
    <row r="168">
      <c r="A168"/>
      <c r="B168">
        <v>1</v>
      </c>
      <c r="C168" s="43">
        <f>INDEX(DarlObj,1)</f>
      </c>
      <c r="D168">
        <v>165</v>
      </c>
      <c r="E168" s="51">
        <f>IF(INDEX(DarlBelegt,1)=0,0,EOMONTH(INDEX(DarlAuszahlung,1),164)+1)</f>
      </c>
      <c r="F168" s="43">
        <f>IF($E168=0,0,YEAR($E168))</f>
      </c>
      <c r="G168" s="43">
        <f>IF(INDEX(DarlBindung,1)="",1,IF($E168&lt;=INDEX(DarlBindung,1),1,0))</f>
      </c>
      <c r="H168" s="43">
        <f>IF($G168=1,INDEX(DarlSollzins,1),INDEX(DarlAnschluss,1))</f>
      </c>
      <c r="I168" s="43">
        <f>IF(INDEX(DarlBelegt,1)=0,0,IF(INDEX(DarlOhneTilgung,1)=1,IF(INDEX(DarlBindung,1)="",1,$G168),IF($J168&gt;0.005,1,0)))</f>
      </c>
      <c r="J168" s="43">
        <f>IF($I167=0,0,$R167)</f>
      </c>
      <c r="K168" s="43">
        <f>IF($I168=0,0,IF(INDEX(DarlOhneTilgung,1)=1,0,IF(AND(INDEX(DarlTilgStart,1)&gt;0,$E168=INDEX(DarlTilgStart,1)),$J168*($H168+INDEX(DarlTilgung,1))/100/12,IF(AND($G168=0,$G167=1),MAX($K167,$J168*($H168+1)/100/12),$K167))))</f>
      </c>
      <c r="L168" s="43">
        <f>IF($I168=0,0,$J168*$H168/100/12)</f>
      </c>
      <c r="M168" s="43">
        <f>IF($I168=0,0,IF(OR(INDEX(DarlOhneTilgung,1)=1,AND(INDEX(DarlTilgStart,1)&gt;0,$E168&lt;INDEX(DarlTilgStart,1))),0,MIN(MAX(0,$K168-$L168),$J168)))</f>
      </c>
      <c r="N168" s="43">
        <f>IF($I168=0,0,MIN(SUMIFS(SondBetrag,SondDarl,1,SondDatum,"&gt;="&amp;$E168,SondDatum,"&lt;="&amp;EOMONTH($E168,0)),$J168-$M168))</f>
      </c>
      <c r="O168" s="43">
        <f>IF($I168=0,0,INDEX(DarlErsatzRate,1))</f>
      </c>
      <c r="P168" s="43">
        <f>IF($I168=0,0,$Q167*INDEX(DarlErsatzZins,1))</f>
      </c>
      <c r="Q168" s="43">
        <f>IF($I168=0,0,$Q167+$P168+$O168)</f>
      </c>
      <c r="R168" s="43">
        <f>IF($I168=0,0,$J168-$M168-$N168)</f>
      </c>
    </row>
    <row r="169">
      <c r="A169"/>
      <c r="B169">
        <v>1</v>
      </c>
      <c r="C169" s="43">
        <f>INDEX(DarlObj,1)</f>
      </c>
      <c r="D169">
        <v>166</v>
      </c>
      <c r="E169" s="51">
        <f>IF(INDEX(DarlBelegt,1)=0,0,EOMONTH(INDEX(DarlAuszahlung,1),165)+1)</f>
      </c>
      <c r="F169" s="43">
        <f>IF($E169=0,0,YEAR($E169))</f>
      </c>
      <c r="G169" s="43">
        <f>IF(INDEX(DarlBindung,1)="",1,IF($E169&lt;=INDEX(DarlBindung,1),1,0))</f>
      </c>
      <c r="H169" s="43">
        <f>IF($G169=1,INDEX(DarlSollzins,1),INDEX(DarlAnschluss,1))</f>
      </c>
      <c r="I169" s="43">
        <f>IF(INDEX(DarlBelegt,1)=0,0,IF(INDEX(DarlOhneTilgung,1)=1,IF(INDEX(DarlBindung,1)="",1,$G169),IF($J169&gt;0.005,1,0)))</f>
      </c>
      <c r="J169" s="43">
        <f>IF($I168=0,0,$R168)</f>
      </c>
      <c r="K169" s="43">
        <f>IF($I169=0,0,IF(INDEX(DarlOhneTilgung,1)=1,0,IF(AND(INDEX(DarlTilgStart,1)&gt;0,$E169=INDEX(DarlTilgStart,1)),$J169*($H169+INDEX(DarlTilgung,1))/100/12,IF(AND($G169=0,$G168=1),MAX($K168,$J169*($H169+1)/100/12),$K168))))</f>
      </c>
      <c r="L169" s="43">
        <f>IF($I169=0,0,$J169*$H169/100/12)</f>
      </c>
      <c r="M169" s="43">
        <f>IF($I169=0,0,IF(OR(INDEX(DarlOhneTilgung,1)=1,AND(INDEX(DarlTilgStart,1)&gt;0,$E169&lt;INDEX(DarlTilgStart,1))),0,MIN(MAX(0,$K169-$L169),$J169)))</f>
      </c>
      <c r="N169" s="43">
        <f>IF($I169=0,0,MIN(SUMIFS(SondBetrag,SondDarl,1,SondDatum,"&gt;="&amp;$E169,SondDatum,"&lt;="&amp;EOMONTH($E169,0)),$J169-$M169))</f>
      </c>
      <c r="O169" s="43">
        <f>IF($I169=0,0,INDEX(DarlErsatzRate,1))</f>
      </c>
      <c r="P169" s="43">
        <f>IF($I169=0,0,$Q168*INDEX(DarlErsatzZins,1))</f>
      </c>
      <c r="Q169" s="43">
        <f>IF($I169=0,0,$Q168+$P169+$O169)</f>
      </c>
      <c r="R169" s="43">
        <f>IF($I169=0,0,$J169-$M169-$N169)</f>
      </c>
    </row>
    <row r="170">
      <c r="A170"/>
      <c r="B170">
        <v>1</v>
      </c>
      <c r="C170" s="43">
        <f>INDEX(DarlObj,1)</f>
      </c>
      <c r="D170">
        <v>167</v>
      </c>
      <c r="E170" s="51">
        <f>IF(INDEX(DarlBelegt,1)=0,0,EOMONTH(INDEX(DarlAuszahlung,1),166)+1)</f>
      </c>
      <c r="F170" s="43">
        <f>IF($E170=0,0,YEAR($E170))</f>
      </c>
      <c r="G170" s="43">
        <f>IF(INDEX(DarlBindung,1)="",1,IF($E170&lt;=INDEX(DarlBindung,1),1,0))</f>
      </c>
      <c r="H170" s="43">
        <f>IF($G170=1,INDEX(DarlSollzins,1),INDEX(DarlAnschluss,1))</f>
      </c>
      <c r="I170" s="43">
        <f>IF(INDEX(DarlBelegt,1)=0,0,IF(INDEX(DarlOhneTilgung,1)=1,IF(INDEX(DarlBindung,1)="",1,$G170),IF($J170&gt;0.005,1,0)))</f>
      </c>
      <c r="J170" s="43">
        <f>IF($I169=0,0,$R169)</f>
      </c>
      <c r="K170" s="43">
        <f>IF($I170=0,0,IF(INDEX(DarlOhneTilgung,1)=1,0,IF(AND(INDEX(DarlTilgStart,1)&gt;0,$E170=INDEX(DarlTilgStart,1)),$J170*($H170+INDEX(DarlTilgung,1))/100/12,IF(AND($G170=0,$G169=1),MAX($K169,$J170*($H170+1)/100/12),$K169))))</f>
      </c>
      <c r="L170" s="43">
        <f>IF($I170=0,0,$J170*$H170/100/12)</f>
      </c>
      <c r="M170" s="43">
        <f>IF($I170=0,0,IF(OR(INDEX(DarlOhneTilgung,1)=1,AND(INDEX(DarlTilgStart,1)&gt;0,$E170&lt;INDEX(DarlTilgStart,1))),0,MIN(MAX(0,$K170-$L170),$J170)))</f>
      </c>
      <c r="N170" s="43">
        <f>IF($I170=0,0,MIN(SUMIFS(SondBetrag,SondDarl,1,SondDatum,"&gt;="&amp;$E170,SondDatum,"&lt;="&amp;EOMONTH($E170,0)),$J170-$M170))</f>
      </c>
      <c r="O170" s="43">
        <f>IF($I170=0,0,INDEX(DarlErsatzRate,1))</f>
      </c>
      <c r="P170" s="43">
        <f>IF($I170=0,0,$Q169*INDEX(DarlErsatzZins,1))</f>
      </c>
      <c r="Q170" s="43">
        <f>IF($I170=0,0,$Q169+$P170+$O170)</f>
      </c>
      <c r="R170" s="43">
        <f>IF($I170=0,0,$J170-$M170-$N170)</f>
      </c>
    </row>
    <row r="171">
      <c r="A171"/>
      <c r="B171">
        <v>1</v>
      </c>
      <c r="C171" s="43">
        <f>INDEX(DarlObj,1)</f>
      </c>
      <c r="D171">
        <v>168</v>
      </c>
      <c r="E171" s="51">
        <f>IF(INDEX(DarlBelegt,1)=0,0,EOMONTH(INDEX(DarlAuszahlung,1),167)+1)</f>
      </c>
      <c r="F171" s="43">
        <f>IF($E171=0,0,YEAR($E171))</f>
      </c>
      <c r="G171" s="43">
        <f>IF(INDEX(DarlBindung,1)="",1,IF($E171&lt;=INDEX(DarlBindung,1),1,0))</f>
      </c>
      <c r="H171" s="43">
        <f>IF($G171=1,INDEX(DarlSollzins,1),INDEX(DarlAnschluss,1))</f>
      </c>
      <c r="I171" s="43">
        <f>IF(INDEX(DarlBelegt,1)=0,0,IF(INDEX(DarlOhneTilgung,1)=1,IF(INDEX(DarlBindung,1)="",1,$G171),IF($J171&gt;0.005,1,0)))</f>
      </c>
      <c r="J171" s="43">
        <f>IF($I170=0,0,$R170)</f>
      </c>
      <c r="K171" s="43">
        <f>IF($I171=0,0,IF(INDEX(DarlOhneTilgung,1)=1,0,IF(AND(INDEX(DarlTilgStart,1)&gt;0,$E171=INDEX(DarlTilgStart,1)),$J171*($H171+INDEX(DarlTilgung,1))/100/12,IF(AND($G171=0,$G170=1),MAX($K170,$J171*($H171+1)/100/12),$K170))))</f>
      </c>
      <c r="L171" s="43">
        <f>IF($I171=0,0,$J171*$H171/100/12)</f>
      </c>
      <c r="M171" s="43">
        <f>IF($I171=0,0,IF(OR(INDEX(DarlOhneTilgung,1)=1,AND(INDEX(DarlTilgStart,1)&gt;0,$E171&lt;INDEX(DarlTilgStart,1))),0,MIN(MAX(0,$K171-$L171),$J171)))</f>
      </c>
      <c r="N171" s="43">
        <f>IF($I171=0,0,MIN(SUMIFS(SondBetrag,SondDarl,1,SondDatum,"&gt;="&amp;$E171,SondDatum,"&lt;="&amp;EOMONTH($E171,0)),$J171-$M171))</f>
      </c>
      <c r="O171" s="43">
        <f>IF($I171=0,0,INDEX(DarlErsatzRate,1))</f>
      </c>
      <c r="P171" s="43">
        <f>IF($I171=0,0,$Q170*INDEX(DarlErsatzZins,1))</f>
      </c>
      <c r="Q171" s="43">
        <f>IF($I171=0,0,$Q170+$P171+$O171)</f>
      </c>
      <c r="R171" s="43">
        <f>IF($I171=0,0,$J171-$M171-$N171)</f>
      </c>
    </row>
    <row r="172">
      <c r="A172"/>
      <c r="B172">
        <v>1</v>
      </c>
      <c r="C172" s="43">
        <f>INDEX(DarlObj,1)</f>
      </c>
      <c r="D172">
        <v>169</v>
      </c>
      <c r="E172" s="51">
        <f>IF(INDEX(DarlBelegt,1)=0,0,EOMONTH(INDEX(DarlAuszahlung,1),168)+1)</f>
      </c>
      <c r="F172" s="43">
        <f>IF($E172=0,0,YEAR($E172))</f>
      </c>
      <c r="G172" s="43">
        <f>IF(INDEX(DarlBindung,1)="",1,IF($E172&lt;=INDEX(DarlBindung,1),1,0))</f>
      </c>
      <c r="H172" s="43">
        <f>IF($G172=1,INDEX(DarlSollzins,1),INDEX(DarlAnschluss,1))</f>
      </c>
      <c r="I172" s="43">
        <f>IF(INDEX(DarlBelegt,1)=0,0,IF(INDEX(DarlOhneTilgung,1)=1,IF(INDEX(DarlBindung,1)="",1,$G172),IF($J172&gt;0.005,1,0)))</f>
      </c>
      <c r="J172" s="43">
        <f>IF($I171=0,0,$R171)</f>
      </c>
      <c r="K172" s="43">
        <f>IF($I172=0,0,IF(INDEX(DarlOhneTilgung,1)=1,0,IF(AND(INDEX(DarlTilgStart,1)&gt;0,$E172=INDEX(DarlTilgStart,1)),$J172*($H172+INDEX(DarlTilgung,1))/100/12,IF(AND($G172=0,$G171=1),MAX($K171,$J172*($H172+1)/100/12),$K171))))</f>
      </c>
      <c r="L172" s="43">
        <f>IF($I172=0,0,$J172*$H172/100/12)</f>
      </c>
      <c r="M172" s="43">
        <f>IF($I172=0,0,IF(OR(INDEX(DarlOhneTilgung,1)=1,AND(INDEX(DarlTilgStart,1)&gt;0,$E172&lt;INDEX(DarlTilgStart,1))),0,MIN(MAX(0,$K172-$L172),$J172)))</f>
      </c>
      <c r="N172" s="43">
        <f>IF($I172=0,0,MIN(SUMIFS(SondBetrag,SondDarl,1,SondDatum,"&gt;="&amp;$E172,SondDatum,"&lt;="&amp;EOMONTH($E172,0)),$J172-$M172))</f>
      </c>
      <c r="O172" s="43">
        <f>IF($I172=0,0,INDEX(DarlErsatzRate,1))</f>
      </c>
      <c r="P172" s="43">
        <f>IF($I172=0,0,$Q171*INDEX(DarlErsatzZins,1))</f>
      </c>
      <c r="Q172" s="43">
        <f>IF($I172=0,0,$Q171+$P172+$O172)</f>
      </c>
      <c r="R172" s="43">
        <f>IF($I172=0,0,$J172-$M172-$N172)</f>
      </c>
    </row>
    <row r="173">
      <c r="A173"/>
      <c r="B173">
        <v>1</v>
      </c>
      <c r="C173" s="43">
        <f>INDEX(DarlObj,1)</f>
      </c>
      <c r="D173">
        <v>170</v>
      </c>
      <c r="E173" s="51">
        <f>IF(INDEX(DarlBelegt,1)=0,0,EOMONTH(INDEX(DarlAuszahlung,1),169)+1)</f>
      </c>
      <c r="F173" s="43">
        <f>IF($E173=0,0,YEAR($E173))</f>
      </c>
      <c r="G173" s="43">
        <f>IF(INDEX(DarlBindung,1)="",1,IF($E173&lt;=INDEX(DarlBindung,1),1,0))</f>
      </c>
      <c r="H173" s="43">
        <f>IF($G173=1,INDEX(DarlSollzins,1),INDEX(DarlAnschluss,1))</f>
      </c>
      <c r="I173" s="43">
        <f>IF(INDEX(DarlBelegt,1)=0,0,IF(INDEX(DarlOhneTilgung,1)=1,IF(INDEX(DarlBindung,1)="",1,$G173),IF($J173&gt;0.005,1,0)))</f>
      </c>
      <c r="J173" s="43">
        <f>IF($I172=0,0,$R172)</f>
      </c>
      <c r="K173" s="43">
        <f>IF($I173=0,0,IF(INDEX(DarlOhneTilgung,1)=1,0,IF(AND(INDEX(DarlTilgStart,1)&gt;0,$E173=INDEX(DarlTilgStart,1)),$J173*($H173+INDEX(DarlTilgung,1))/100/12,IF(AND($G173=0,$G172=1),MAX($K172,$J173*($H173+1)/100/12),$K172))))</f>
      </c>
      <c r="L173" s="43">
        <f>IF($I173=0,0,$J173*$H173/100/12)</f>
      </c>
      <c r="M173" s="43">
        <f>IF($I173=0,0,IF(OR(INDEX(DarlOhneTilgung,1)=1,AND(INDEX(DarlTilgStart,1)&gt;0,$E173&lt;INDEX(DarlTilgStart,1))),0,MIN(MAX(0,$K173-$L173),$J173)))</f>
      </c>
      <c r="N173" s="43">
        <f>IF($I173=0,0,MIN(SUMIFS(SondBetrag,SondDarl,1,SondDatum,"&gt;="&amp;$E173,SondDatum,"&lt;="&amp;EOMONTH($E173,0)),$J173-$M173))</f>
      </c>
      <c r="O173" s="43">
        <f>IF($I173=0,0,INDEX(DarlErsatzRate,1))</f>
      </c>
      <c r="P173" s="43">
        <f>IF($I173=0,0,$Q172*INDEX(DarlErsatzZins,1))</f>
      </c>
      <c r="Q173" s="43">
        <f>IF($I173=0,0,$Q172+$P173+$O173)</f>
      </c>
      <c r="R173" s="43">
        <f>IF($I173=0,0,$J173-$M173-$N173)</f>
      </c>
    </row>
    <row r="174">
      <c r="A174"/>
      <c r="B174">
        <v>1</v>
      </c>
      <c r="C174" s="43">
        <f>INDEX(DarlObj,1)</f>
      </c>
      <c r="D174">
        <v>171</v>
      </c>
      <c r="E174" s="51">
        <f>IF(INDEX(DarlBelegt,1)=0,0,EOMONTH(INDEX(DarlAuszahlung,1),170)+1)</f>
      </c>
      <c r="F174" s="43">
        <f>IF($E174=0,0,YEAR($E174))</f>
      </c>
      <c r="G174" s="43">
        <f>IF(INDEX(DarlBindung,1)="",1,IF($E174&lt;=INDEX(DarlBindung,1),1,0))</f>
      </c>
      <c r="H174" s="43">
        <f>IF($G174=1,INDEX(DarlSollzins,1),INDEX(DarlAnschluss,1))</f>
      </c>
      <c r="I174" s="43">
        <f>IF(INDEX(DarlBelegt,1)=0,0,IF(INDEX(DarlOhneTilgung,1)=1,IF(INDEX(DarlBindung,1)="",1,$G174),IF($J174&gt;0.005,1,0)))</f>
      </c>
      <c r="J174" s="43">
        <f>IF($I173=0,0,$R173)</f>
      </c>
      <c r="K174" s="43">
        <f>IF($I174=0,0,IF(INDEX(DarlOhneTilgung,1)=1,0,IF(AND(INDEX(DarlTilgStart,1)&gt;0,$E174=INDEX(DarlTilgStart,1)),$J174*($H174+INDEX(DarlTilgung,1))/100/12,IF(AND($G174=0,$G173=1),MAX($K173,$J174*($H174+1)/100/12),$K173))))</f>
      </c>
      <c r="L174" s="43">
        <f>IF($I174=0,0,$J174*$H174/100/12)</f>
      </c>
      <c r="M174" s="43">
        <f>IF($I174=0,0,IF(OR(INDEX(DarlOhneTilgung,1)=1,AND(INDEX(DarlTilgStart,1)&gt;0,$E174&lt;INDEX(DarlTilgStart,1))),0,MIN(MAX(0,$K174-$L174),$J174)))</f>
      </c>
      <c r="N174" s="43">
        <f>IF($I174=0,0,MIN(SUMIFS(SondBetrag,SondDarl,1,SondDatum,"&gt;="&amp;$E174,SondDatum,"&lt;="&amp;EOMONTH($E174,0)),$J174-$M174))</f>
      </c>
      <c r="O174" s="43">
        <f>IF($I174=0,0,INDEX(DarlErsatzRate,1))</f>
      </c>
      <c r="P174" s="43">
        <f>IF($I174=0,0,$Q173*INDEX(DarlErsatzZins,1))</f>
      </c>
      <c r="Q174" s="43">
        <f>IF($I174=0,0,$Q173+$P174+$O174)</f>
      </c>
      <c r="R174" s="43">
        <f>IF($I174=0,0,$J174-$M174-$N174)</f>
      </c>
    </row>
    <row r="175">
      <c r="A175"/>
      <c r="B175">
        <v>1</v>
      </c>
      <c r="C175" s="43">
        <f>INDEX(DarlObj,1)</f>
      </c>
      <c r="D175">
        <v>172</v>
      </c>
      <c r="E175" s="51">
        <f>IF(INDEX(DarlBelegt,1)=0,0,EOMONTH(INDEX(DarlAuszahlung,1),171)+1)</f>
      </c>
      <c r="F175" s="43">
        <f>IF($E175=0,0,YEAR($E175))</f>
      </c>
      <c r="G175" s="43">
        <f>IF(INDEX(DarlBindung,1)="",1,IF($E175&lt;=INDEX(DarlBindung,1),1,0))</f>
      </c>
      <c r="H175" s="43">
        <f>IF($G175=1,INDEX(DarlSollzins,1),INDEX(DarlAnschluss,1))</f>
      </c>
      <c r="I175" s="43">
        <f>IF(INDEX(DarlBelegt,1)=0,0,IF(INDEX(DarlOhneTilgung,1)=1,IF(INDEX(DarlBindung,1)="",1,$G175),IF($J175&gt;0.005,1,0)))</f>
      </c>
      <c r="J175" s="43">
        <f>IF($I174=0,0,$R174)</f>
      </c>
      <c r="K175" s="43">
        <f>IF($I175=0,0,IF(INDEX(DarlOhneTilgung,1)=1,0,IF(AND(INDEX(DarlTilgStart,1)&gt;0,$E175=INDEX(DarlTilgStart,1)),$J175*($H175+INDEX(DarlTilgung,1))/100/12,IF(AND($G175=0,$G174=1),MAX($K174,$J175*($H175+1)/100/12),$K174))))</f>
      </c>
      <c r="L175" s="43">
        <f>IF($I175=0,0,$J175*$H175/100/12)</f>
      </c>
      <c r="M175" s="43">
        <f>IF($I175=0,0,IF(OR(INDEX(DarlOhneTilgung,1)=1,AND(INDEX(DarlTilgStart,1)&gt;0,$E175&lt;INDEX(DarlTilgStart,1))),0,MIN(MAX(0,$K175-$L175),$J175)))</f>
      </c>
      <c r="N175" s="43">
        <f>IF($I175=0,0,MIN(SUMIFS(SondBetrag,SondDarl,1,SondDatum,"&gt;="&amp;$E175,SondDatum,"&lt;="&amp;EOMONTH($E175,0)),$J175-$M175))</f>
      </c>
      <c r="O175" s="43">
        <f>IF($I175=0,0,INDEX(DarlErsatzRate,1))</f>
      </c>
      <c r="P175" s="43">
        <f>IF($I175=0,0,$Q174*INDEX(DarlErsatzZins,1))</f>
      </c>
      <c r="Q175" s="43">
        <f>IF($I175=0,0,$Q174+$P175+$O175)</f>
      </c>
      <c r="R175" s="43">
        <f>IF($I175=0,0,$J175-$M175-$N175)</f>
      </c>
    </row>
    <row r="176">
      <c r="A176"/>
      <c r="B176">
        <v>1</v>
      </c>
      <c r="C176" s="43">
        <f>INDEX(DarlObj,1)</f>
      </c>
      <c r="D176">
        <v>173</v>
      </c>
      <c r="E176" s="51">
        <f>IF(INDEX(DarlBelegt,1)=0,0,EOMONTH(INDEX(DarlAuszahlung,1),172)+1)</f>
      </c>
      <c r="F176" s="43">
        <f>IF($E176=0,0,YEAR($E176))</f>
      </c>
      <c r="G176" s="43">
        <f>IF(INDEX(DarlBindung,1)="",1,IF($E176&lt;=INDEX(DarlBindung,1),1,0))</f>
      </c>
      <c r="H176" s="43">
        <f>IF($G176=1,INDEX(DarlSollzins,1),INDEX(DarlAnschluss,1))</f>
      </c>
      <c r="I176" s="43">
        <f>IF(INDEX(DarlBelegt,1)=0,0,IF(INDEX(DarlOhneTilgung,1)=1,IF(INDEX(DarlBindung,1)="",1,$G176),IF($J176&gt;0.005,1,0)))</f>
      </c>
      <c r="J176" s="43">
        <f>IF($I175=0,0,$R175)</f>
      </c>
      <c r="K176" s="43">
        <f>IF($I176=0,0,IF(INDEX(DarlOhneTilgung,1)=1,0,IF(AND(INDEX(DarlTilgStart,1)&gt;0,$E176=INDEX(DarlTilgStart,1)),$J176*($H176+INDEX(DarlTilgung,1))/100/12,IF(AND($G176=0,$G175=1),MAX($K175,$J176*($H176+1)/100/12),$K175))))</f>
      </c>
      <c r="L176" s="43">
        <f>IF($I176=0,0,$J176*$H176/100/12)</f>
      </c>
      <c r="M176" s="43">
        <f>IF($I176=0,0,IF(OR(INDEX(DarlOhneTilgung,1)=1,AND(INDEX(DarlTilgStart,1)&gt;0,$E176&lt;INDEX(DarlTilgStart,1))),0,MIN(MAX(0,$K176-$L176),$J176)))</f>
      </c>
      <c r="N176" s="43">
        <f>IF($I176=0,0,MIN(SUMIFS(SondBetrag,SondDarl,1,SondDatum,"&gt;="&amp;$E176,SondDatum,"&lt;="&amp;EOMONTH($E176,0)),$J176-$M176))</f>
      </c>
      <c r="O176" s="43">
        <f>IF($I176=0,0,INDEX(DarlErsatzRate,1))</f>
      </c>
      <c r="P176" s="43">
        <f>IF($I176=0,0,$Q175*INDEX(DarlErsatzZins,1))</f>
      </c>
      <c r="Q176" s="43">
        <f>IF($I176=0,0,$Q175+$P176+$O176)</f>
      </c>
      <c r="R176" s="43">
        <f>IF($I176=0,0,$J176-$M176-$N176)</f>
      </c>
    </row>
    <row r="177">
      <c r="A177"/>
      <c r="B177">
        <v>1</v>
      </c>
      <c r="C177" s="43">
        <f>INDEX(DarlObj,1)</f>
      </c>
      <c r="D177">
        <v>174</v>
      </c>
      <c r="E177" s="51">
        <f>IF(INDEX(DarlBelegt,1)=0,0,EOMONTH(INDEX(DarlAuszahlung,1),173)+1)</f>
      </c>
      <c r="F177" s="43">
        <f>IF($E177=0,0,YEAR($E177))</f>
      </c>
      <c r="G177" s="43">
        <f>IF(INDEX(DarlBindung,1)="",1,IF($E177&lt;=INDEX(DarlBindung,1),1,0))</f>
      </c>
      <c r="H177" s="43">
        <f>IF($G177=1,INDEX(DarlSollzins,1),INDEX(DarlAnschluss,1))</f>
      </c>
      <c r="I177" s="43">
        <f>IF(INDEX(DarlBelegt,1)=0,0,IF(INDEX(DarlOhneTilgung,1)=1,IF(INDEX(DarlBindung,1)="",1,$G177),IF($J177&gt;0.005,1,0)))</f>
      </c>
      <c r="J177" s="43">
        <f>IF($I176=0,0,$R176)</f>
      </c>
      <c r="K177" s="43">
        <f>IF($I177=0,0,IF(INDEX(DarlOhneTilgung,1)=1,0,IF(AND(INDEX(DarlTilgStart,1)&gt;0,$E177=INDEX(DarlTilgStart,1)),$J177*($H177+INDEX(DarlTilgung,1))/100/12,IF(AND($G177=0,$G176=1),MAX($K176,$J177*($H177+1)/100/12),$K176))))</f>
      </c>
      <c r="L177" s="43">
        <f>IF($I177=0,0,$J177*$H177/100/12)</f>
      </c>
      <c r="M177" s="43">
        <f>IF($I177=0,0,IF(OR(INDEX(DarlOhneTilgung,1)=1,AND(INDEX(DarlTilgStart,1)&gt;0,$E177&lt;INDEX(DarlTilgStart,1))),0,MIN(MAX(0,$K177-$L177),$J177)))</f>
      </c>
      <c r="N177" s="43">
        <f>IF($I177=0,0,MIN(SUMIFS(SondBetrag,SondDarl,1,SondDatum,"&gt;="&amp;$E177,SondDatum,"&lt;="&amp;EOMONTH($E177,0)),$J177-$M177))</f>
      </c>
      <c r="O177" s="43">
        <f>IF($I177=0,0,INDEX(DarlErsatzRate,1))</f>
      </c>
      <c r="P177" s="43">
        <f>IF($I177=0,0,$Q176*INDEX(DarlErsatzZins,1))</f>
      </c>
      <c r="Q177" s="43">
        <f>IF($I177=0,0,$Q176+$P177+$O177)</f>
      </c>
      <c r="R177" s="43">
        <f>IF($I177=0,0,$J177-$M177-$N177)</f>
      </c>
    </row>
    <row r="178">
      <c r="A178"/>
      <c r="B178">
        <v>1</v>
      </c>
      <c r="C178" s="43">
        <f>INDEX(DarlObj,1)</f>
      </c>
      <c r="D178">
        <v>175</v>
      </c>
      <c r="E178" s="51">
        <f>IF(INDEX(DarlBelegt,1)=0,0,EOMONTH(INDEX(DarlAuszahlung,1),174)+1)</f>
      </c>
      <c r="F178" s="43">
        <f>IF($E178=0,0,YEAR($E178))</f>
      </c>
      <c r="G178" s="43">
        <f>IF(INDEX(DarlBindung,1)="",1,IF($E178&lt;=INDEX(DarlBindung,1),1,0))</f>
      </c>
      <c r="H178" s="43">
        <f>IF($G178=1,INDEX(DarlSollzins,1),INDEX(DarlAnschluss,1))</f>
      </c>
      <c r="I178" s="43">
        <f>IF(INDEX(DarlBelegt,1)=0,0,IF(INDEX(DarlOhneTilgung,1)=1,IF(INDEX(DarlBindung,1)="",1,$G178),IF($J178&gt;0.005,1,0)))</f>
      </c>
      <c r="J178" s="43">
        <f>IF($I177=0,0,$R177)</f>
      </c>
      <c r="K178" s="43">
        <f>IF($I178=0,0,IF(INDEX(DarlOhneTilgung,1)=1,0,IF(AND(INDEX(DarlTilgStart,1)&gt;0,$E178=INDEX(DarlTilgStart,1)),$J178*($H178+INDEX(DarlTilgung,1))/100/12,IF(AND($G178=0,$G177=1),MAX($K177,$J178*($H178+1)/100/12),$K177))))</f>
      </c>
      <c r="L178" s="43">
        <f>IF($I178=0,0,$J178*$H178/100/12)</f>
      </c>
      <c r="M178" s="43">
        <f>IF($I178=0,0,IF(OR(INDEX(DarlOhneTilgung,1)=1,AND(INDEX(DarlTilgStart,1)&gt;0,$E178&lt;INDEX(DarlTilgStart,1))),0,MIN(MAX(0,$K178-$L178),$J178)))</f>
      </c>
      <c r="N178" s="43">
        <f>IF($I178=0,0,MIN(SUMIFS(SondBetrag,SondDarl,1,SondDatum,"&gt;="&amp;$E178,SondDatum,"&lt;="&amp;EOMONTH($E178,0)),$J178-$M178))</f>
      </c>
      <c r="O178" s="43">
        <f>IF($I178=0,0,INDEX(DarlErsatzRate,1))</f>
      </c>
      <c r="P178" s="43">
        <f>IF($I178=0,0,$Q177*INDEX(DarlErsatzZins,1))</f>
      </c>
      <c r="Q178" s="43">
        <f>IF($I178=0,0,$Q177+$P178+$O178)</f>
      </c>
      <c r="R178" s="43">
        <f>IF($I178=0,0,$J178-$M178-$N178)</f>
      </c>
    </row>
    <row r="179">
      <c r="A179"/>
      <c r="B179">
        <v>1</v>
      </c>
      <c r="C179" s="43">
        <f>INDEX(DarlObj,1)</f>
      </c>
      <c r="D179">
        <v>176</v>
      </c>
      <c r="E179" s="51">
        <f>IF(INDEX(DarlBelegt,1)=0,0,EOMONTH(INDEX(DarlAuszahlung,1),175)+1)</f>
      </c>
      <c r="F179" s="43">
        <f>IF($E179=0,0,YEAR($E179))</f>
      </c>
      <c r="G179" s="43">
        <f>IF(INDEX(DarlBindung,1)="",1,IF($E179&lt;=INDEX(DarlBindung,1),1,0))</f>
      </c>
      <c r="H179" s="43">
        <f>IF($G179=1,INDEX(DarlSollzins,1),INDEX(DarlAnschluss,1))</f>
      </c>
      <c r="I179" s="43">
        <f>IF(INDEX(DarlBelegt,1)=0,0,IF(INDEX(DarlOhneTilgung,1)=1,IF(INDEX(DarlBindung,1)="",1,$G179),IF($J179&gt;0.005,1,0)))</f>
      </c>
      <c r="J179" s="43">
        <f>IF($I178=0,0,$R178)</f>
      </c>
      <c r="K179" s="43">
        <f>IF($I179=0,0,IF(INDEX(DarlOhneTilgung,1)=1,0,IF(AND(INDEX(DarlTilgStart,1)&gt;0,$E179=INDEX(DarlTilgStart,1)),$J179*($H179+INDEX(DarlTilgung,1))/100/12,IF(AND($G179=0,$G178=1),MAX($K178,$J179*($H179+1)/100/12),$K178))))</f>
      </c>
      <c r="L179" s="43">
        <f>IF($I179=0,0,$J179*$H179/100/12)</f>
      </c>
      <c r="M179" s="43">
        <f>IF($I179=0,0,IF(OR(INDEX(DarlOhneTilgung,1)=1,AND(INDEX(DarlTilgStart,1)&gt;0,$E179&lt;INDEX(DarlTilgStart,1))),0,MIN(MAX(0,$K179-$L179),$J179)))</f>
      </c>
      <c r="N179" s="43">
        <f>IF($I179=0,0,MIN(SUMIFS(SondBetrag,SondDarl,1,SondDatum,"&gt;="&amp;$E179,SondDatum,"&lt;="&amp;EOMONTH($E179,0)),$J179-$M179))</f>
      </c>
      <c r="O179" s="43">
        <f>IF($I179=0,0,INDEX(DarlErsatzRate,1))</f>
      </c>
      <c r="P179" s="43">
        <f>IF($I179=0,0,$Q178*INDEX(DarlErsatzZins,1))</f>
      </c>
      <c r="Q179" s="43">
        <f>IF($I179=0,0,$Q178+$P179+$O179)</f>
      </c>
      <c r="R179" s="43">
        <f>IF($I179=0,0,$J179-$M179-$N179)</f>
      </c>
    </row>
    <row r="180">
      <c r="A180"/>
      <c r="B180">
        <v>1</v>
      </c>
      <c r="C180" s="43">
        <f>INDEX(DarlObj,1)</f>
      </c>
      <c r="D180">
        <v>177</v>
      </c>
      <c r="E180" s="51">
        <f>IF(INDEX(DarlBelegt,1)=0,0,EOMONTH(INDEX(DarlAuszahlung,1),176)+1)</f>
      </c>
      <c r="F180" s="43">
        <f>IF($E180=0,0,YEAR($E180))</f>
      </c>
      <c r="G180" s="43">
        <f>IF(INDEX(DarlBindung,1)="",1,IF($E180&lt;=INDEX(DarlBindung,1),1,0))</f>
      </c>
      <c r="H180" s="43">
        <f>IF($G180=1,INDEX(DarlSollzins,1),INDEX(DarlAnschluss,1))</f>
      </c>
      <c r="I180" s="43">
        <f>IF(INDEX(DarlBelegt,1)=0,0,IF(INDEX(DarlOhneTilgung,1)=1,IF(INDEX(DarlBindung,1)="",1,$G180),IF($J180&gt;0.005,1,0)))</f>
      </c>
      <c r="J180" s="43">
        <f>IF($I179=0,0,$R179)</f>
      </c>
      <c r="K180" s="43">
        <f>IF($I180=0,0,IF(INDEX(DarlOhneTilgung,1)=1,0,IF(AND(INDEX(DarlTilgStart,1)&gt;0,$E180=INDEX(DarlTilgStart,1)),$J180*($H180+INDEX(DarlTilgung,1))/100/12,IF(AND($G180=0,$G179=1),MAX($K179,$J180*($H180+1)/100/12),$K179))))</f>
      </c>
      <c r="L180" s="43">
        <f>IF($I180=0,0,$J180*$H180/100/12)</f>
      </c>
      <c r="M180" s="43">
        <f>IF($I180=0,0,IF(OR(INDEX(DarlOhneTilgung,1)=1,AND(INDEX(DarlTilgStart,1)&gt;0,$E180&lt;INDEX(DarlTilgStart,1))),0,MIN(MAX(0,$K180-$L180),$J180)))</f>
      </c>
      <c r="N180" s="43">
        <f>IF($I180=0,0,MIN(SUMIFS(SondBetrag,SondDarl,1,SondDatum,"&gt;="&amp;$E180,SondDatum,"&lt;="&amp;EOMONTH($E180,0)),$J180-$M180))</f>
      </c>
      <c r="O180" s="43">
        <f>IF($I180=0,0,INDEX(DarlErsatzRate,1))</f>
      </c>
      <c r="P180" s="43">
        <f>IF($I180=0,0,$Q179*INDEX(DarlErsatzZins,1))</f>
      </c>
      <c r="Q180" s="43">
        <f>IF($I180=0,0,$Q179+$P180+$O180)</f>
      </c>
      <c r="R180" s="43">
        <f>IF($I180=0,0,$J180-$M180-$N180)</f>
      </c>
    </row>
    <row r="181">
      <c r="A181"/>
      <c r="B181">
        <v>1</v>
      </c>
      <c r="C181" s="43">
        <f>INDEX(DarlObj,1)</f>
      </c>
      <c r="D181">
        <v>178</v>
      </c>
      <c r="E181" s="51">
        <f>IF(INDEX(DarlBelegt,1)=0,0,EOMONTH(INDEX(DarlAuszahlung,1),177)+1)</f>
      </c>
      <c r="F181" s="43">
        <f>IF($E181=0,0,YEAR($E181))</f>
      </c>
      <c r="G181" s="43">
        <f>IF(INDEX(DarlBindung,1)="",1,IF($E181&lt;=INDEX(DarlBindung,1),1,0))</f>
      </c>
      <c r="H181" s="43">
        <f>IF($G181=1,INDEX(DarlSollzins,1),INDEX(DarlAnschluss,1))</f>
      </c>
      <c r="I181" s="43">
        <f>IF(INDEX(DarlBelegt,1)=0,0,IF(INDEX(DarlOhneTilgung,1)=1,IF(INDEX(DarlBindung,1)="",1,$G181),IF($J181&gt;0.005,1,0)))</f>
      </c>
      <c r="J181" s="43">
        <f>IF($I180=0,0,$R180)</f>
      </c>
      <c r="K181" s="43">
        <f>IF($I181=0,0,IF(INDEX(DarlOhneTilgung,1)=1,0,IF(AND(INDEX(DarlTilgStart,1)&gt;0,$E181=INDEX(DarlTilgStart,1)),$J181*($H181+INDEX(DarlTilgung,1))/100/12,IF(AND($G181=0,$G180=1),MAX($K180,$J181*($H181+1)/100/12),$K180))))</f>
      </c>
      <c r="L181" s="43">
        <f>IF($I181=0,0,$J181*$H181/100/12)</f>
      </c>
      <c r="M181" s="43">
        <f>IF($I181=0,0,IF(OR(INDEX(DarlOhneTilgung,1)=1,AND(INDEX(DarlTilgStart,1)&gt;0,$E181&lt;INDEX(DarlTilgStart,1))),0,MIN(MAX(0,$K181-$L181),$J181)))</f>
      </c>
      <c r="N181" s="43">
        <f>IF($I181=0,0,MIN(SUMIFS(SondBetrag,SondDarl,1,SondDatum,"&gt;="&amp;$E181,SondDatum,"&lt;="&amp;EOMONTH($E181,0)),$J181-$M181))</f>
      </c>
      <c r="O181" s="43">
        <f>IF($I181=0,0,INDEX(DarlErsatzRate,1))</f>
      </c>
      <c r="P181" s="43">
        <f>IF($I181=0,0,$Q180*INDEX(DarlErsatzZins,1))</f>
      </c>
      <c r="Q181" s="43">
        <f>IF($I181=0,0,$Q180+$P181+$O181)</f>
      </c>
      <c r="R181" s="43">
        <f>IF($I181=0,0,$J181-$M181-$N181)</f>
      </c>
    </row>
    <row r="182">
      <c r="A182"/>
      <c r="B182">
        <v>1</v>
      </c>
      <c r="C182" s="43">
        <f>INDEX(DarlObj,1)</f>
      </c>
      <c r="D182">
        <v>179</v>
      </c>
      <c r="E182" s="51">
        <f>IF(INDEX(DarlBelegt,1)=0,0,EOMONTH(INDEX(DarlAuszahlung,1),178)+1)</f>
      </c>
      <c r="F182" s="43">
        <f>IF($E182=0,0,YEAR($E182))</f>
      </c>
      <c r="G182" s="43">
        <f>IF(INDEX(DarlBindung,1)="",1,IF($E182&lt;=INDEX(DarlBindung,1),1,0))</f>
      </c>
      <c r="H182" s="43">
        <f>IF($G182=1,INDEX(DarlSollzins,1),INDEX(DarlAnschluss,1))</f>
      </c>
      <c r="I182" s="43">
        <f>IF(INDEX(DarlBelegt,1)=0,0,IF(INDEX(DarlOhneTilgung,1)=1,IF(INDEX(DarlBindung,1)="",1,$G182),IF($J182&gt;0.005,1,0)))</f>
      </c>
      <c r="J182" s="43">
        <f>IF($I181=0,0,$R181)</f>
      </c>
      <c r="K182" s="43">
        <f>IF($I182=0,0,IF(INDEX(DarlOhneTilgung,1)=1,0,IF(AND(INDEX(DarlTilgStart,1)&gt;0,$E182=INDEX(DarlTilgStart,1)),$J182*($H182+INDEX(DarlTilgung,1))/100/12,IF(AND($G182=0,$G181=1),MAX($K181,$J182*($H182+1)/100/12),$K181))))</f>
      </c>
      <c r="L182" s="43">
        <f>IF($I182=0,0,$J182*$H182/100/12)</f>
      </c>
      <c r="M182" s="43">
        <f>IF($I182=0,0,IF(OR(INDEX(DarlOhneTilgung,1)=1,AND(INDEX(DarlTilgStart,1)&gt;0,$E182&lt;INDEX(DarlTilgStart,1))),0,MIN(MAX(0,$K182-$L182),$J182)))</f>
      </c>
      <c r="N182" s="43">
        <f>IF($I182=0,0,MIN(SUMIFS(SondBetrag,SondDarl,1,SondDatum,"&gt;="&amp;$E182,SondDatum,"&lt;="&amp;EOMONTH($E182,0)),$J182-$M182))</f>
      </c>
      <c r="O182" s="43">
        <f>IF($I182=0,0,INDEX(DarlErsatzRate,1))</f>
      </c>
      <c r="P182" s="43">
        <f>IF($I182=0,0,$Q181*INDEX(DarlErsatzZins,1))</f>
      </c>
      <c r="Q182" s="43">
        <f>IF($I182=0,0,$Q181+$P182+$O182)</f>
      </c>
      <c r="R182" s="43">
        <f>IF($I182=0,0,$J182-$M182-$N182)</f>
      </c>
    </row>
    <row r="183">
      <c r="A183"/>
      <c r="B183">
        <v>1</v>
      </c>
      <c r="C183" s="43">
        <f>INDEX(DarlObj,1)</f>
      </c>
      <c r="D183">
        <v>180</v>
      </c>
      <c r="E183" s="51">
        <f>IF(INDEX(DarlBelegt,1)=0,0,EOMONTH(INDEX(DarlAuszahlung,1),179)+1)</f>
      </c>
      <c r="F183" s="43">
        <f>IF($E183=0,0,YEAR($E183))</f>
      </c>
      <c r="G183" s="43">
        <f>IF(INDEX(DarlBindung,1)="",1,IF($E183&lt;=INDEX(DarlBindung,1),1,0))</f>
      </c>
      <c r="H183" s="43">
        <f>IF($G183=1,INDEX(DarlSollzins,1),INDEX(DarlAnschluss,1))</f>
      </c>
      <c r="I183" s="43">
        <f>IF(INDEX(DarlBelegt,1)=0,0,IF(INDEX(DarlOhneTilgung,1)=1,IF(INDEX(DarlBindung,1)="",1,$G183),IF($J183&gt;0.005,1,0)))</f>
      </c>
      <c r="J183" s="43">
        <f>IF($I182=0,0,$R182)</f>
      </c>
      <c r="K183" s="43">
        <f>IF($I183=0,0,IF(INDEX(DarlOhneTilgung,1)=1,0,IF(AND(INDEX(DarlTilgStart,1)&gt;0,$E183=INDEX(DarlTilgStart,1)),$J183*($H183+INDEX(DarlTilgung,1))/100/12,IF(AND($G183=0,$G182=1),MAX($K182,$J183*($H183+1)/100/12),$K182))))</f>
      </c>
      <c r="L183" s="43">
        <f>IF($I183=0,0,$J183*$H183/100/12)</f>
      </c>
      <c r="M183" s="43">
        <f>IF($I183=0,0,IF(OR(INDEX(DarlOhneTilgung,1)=1,AND(INDEX(DarlTilgStart,1)&gt;0,$E183&lt;INDEX(DarlTilgStart,1))),0,MIN(MAX(0,$K183-$L183),$J183)))</f>
      </c>
      <c r="N183" s="43">
        <f>IF($I183=0,0,MIN(SUMIFS(SondBetrag,SondDarl,1,SondDatum,"&gt;="&amp;$E183,SondDatum,"&lt;="&amp;EOMONTH($E183,0)),$J183-$M183))</f>
      </c>
      <c r="O183" s="43">
        <f>IF($I183=0,0,INDEX(DarlErsatzRate,1))</f>
      </c>
      <c r="P183" s="43">
        <f>IF($I183=0,0,$Q182*INDEX(DarlErsatzZins,1))</f>
      </c>
      <c r="Q183" s="43">
        <f>IF($I183=0,0,$Q182+$P183+$O183)</f>
      </c>
      <c r="R183" s="43">
        <f>IF($I183=0,0,$J183-$M183-$N183)</f>
      </c>
    </row>
    <row r="184">
      <c r="A184"/>
      <c r="B184">
        <v>1</v>
      </c>
      <c r="C184" s="43">
        <f>INDEX(DarlObj,1)</f>
      </c>
      <c r="D184">
        <v>181</v>
      </c>
      <c r="E184" s="51">
        <f>IF(INDEX(DarlBelegt,1)=0,0,EOMONTH(INDEX(DarlAuszahlung,1),180)+1)</f>
      </c>
      <c r="F184" s="43">
        <f>IF($E184=0,0,YEAR($E184))</f>
      </c>
      <c r="G184" s="43">
        <f>IF(INDEX(DarlBindung,1)="",1,IF($E184&lt;=INDEX(DarlBindung,1),1,0))</f>
      </c>
      <c r="H184" s="43">
        <f>IF($G184=1,INDEX(DarlSollzins,1),INDEX(DarlAnschluss,1))</f>
      </c>
      <c r="I184" s="43">
        <f>IF(INDEX(DarlBelegt,1)=0,0,IF(INDEX(DarlOhneTilgung,1)=1,IF(INDEX(DarlBindung,1)="",1,$G184),IF($J184&gt;0.005,1,0)))</f>
      </c>
      <c r="J184" s="43">
        <f>IF($I183=0,0,$R183)</f>
      </c>
      <c r="K184" s="43">
        <f>IF($I184=0,0,IF(INDEX(DarlOhneTilgung,1)=1,0,IF(AND(INDEX(DarlTilgStart,1)&gt;0,$E184=INDEX(DarlTilgStart,1)),$J184*($H184+INDEX(DarlTilgung,1))/100/12,IF(AND($G184=0,$G183=1),MAX($K183,$J184*($H184+1)/100/12),$K183))))</f>
      </c>
      <c r="L184" s="43">
        <f>IF($I184=0,0,$J184*$H184/100/12)</f>
      </c>
      <c r="M184" s="43">
        <f>IF($I184=0,0,IF(OR(INDEX(DarlOhneTilgung,1)=1,AND(INDEX(DarlTilgStart,1)&gt;0,$E184&lt;INDEX(DarlTilgStart,1))),0,MIN(MAX(0,$K184-$L184),$J184)))</f>
      </c>
      <c r="N184" s="43">
        <f>IF($I184=0,0,MIN(SUMIFS(SondBetrag,SondDarl,1,SondDatum,"&gt;="&amp;$E184,SondDatum,"&lt;="&amp;EOMONTH($E184,0)),$J184-$M184))</f>
      </c>
      <c r="O184" s="43">
        <f>IF($I184=0,0,INDEX(DarlErsatzRate,1))</f>
      </c>
      <c r="P184" s="43">
        <f>IF($I184=0,0,$Q183*INDEX(DarlErsatzZins,1))</f>
      </c>
      <c r="Q184" s="43">
        <f>IF($I184=0,0,$Q183+$P184+$O184)</f>
      </c>
      <c r="R184" s="43">
        <f>IF($I184=0,0,$J184-$M184-$N184)</f>
      </c>
    </row>
    <row r="185">
      <c r="A185"/>
      <c r="B185">
        <v>1</v>
      </c>
      <c r="C185" s="43">
        <f>INDEX(DarlObj,1)</f>
      </c>
      <c r="D185">
        <v>182</v>
      </c>
      <c r="E185" s="51">
        <f>IF(INDEX(DarlBelegt,1)=0,0,EOMONTH(INDEX(DarlAuszahlung,1),181)+1)</f>
      </c>
      <c r="F185" s="43">
        <f>IF($E185=0,0,YEAR($E185))</f>
      </c>
      <c r="G185" s="43">
        <f>IF(INDEX(DarlBindung,1)="",1,IF($E185&lt;=INDEX(DarlBindung,1),1,0))</f>
      </c>
      <c r="H185" s="43">
        <f>IF($G185=1,INDEX(DarlSollzins,1),INDEX(DarlAnschluss,1))</f>
      </c>
      <c r="I185" s="43">
        <f>IF(INDEX(DarlBelegt,1)=0,0,IF(INDEX(DarlOhneTilgung,1)=1,IF(INDEX(DarlBindung,1)="",1,$G185),IF($J185&gt;0.005,1,0)))</f>
      </c>
      <c r="J185" s="43">
        <f>IF($I184=0,0,$R184)</f>
      </c>
      <c r="K185" s="43">
        <f>IF($I185=0,0,IF(INDEX(DarlOhneTilgung,1)=1,0,IF(AND(INDEX(DarlTilgStart,1)&gt;0,$E185=INDEX(DarlTilgStart,1)),$J185*($H185+INDEX(DarlTilgung,1))/100/12,IF(AND($G185=0,$G184=1),MAX($K184,$J185*($H185+1)/100/12),$K184))))</f>
      </c>
      <c r="L185" s="43">
        <f>IF($I185=0,0,$J185*$H185/100/12)</f>
      </c>
      <c r="M185" s="43">
        <f>IF($I185=0,0,IF(OR(INDEX(DarlOhneTilgung,1)=1,AND(INDEX(DarlTilgStart,1)&gt;0,$E185&lt;INDEX(DarlTilgStart,1))),0,MIN(MAX(0,$K185-$L185),$J185)))</f>
      </c>
      <c r="N185" s="43">
        <f>IF($I185=0,0,MIN(SUMIFS(SondBetrag,SondDarl,1,SondDatum,"&gt;="&amp;$E185,SondDatum,"&lt;="&amp;EOMONTH($E185,0)),$J185-$M185))</f>
      </c>
      <c r="O185" s="43">
        <f>IF($I185=0,0,INDEX(DarlErsatzRate,1))</f>
      </c>
      <c r="P185" s="43">
        <f>IF($I185=0,0,$Q184*INDEX(DarlErsatzZins,1))</f>
      </c>
      <c r="Q185" s="43">
        <f>IF($I185=0,0,$Q184+$P185+$O185)</f>
      </c>
      <c r="R185" s="43">
        <f>IF($I185=0,0,$J185-$M185-$N185)</f>
      </c>
    </row>
    <row r="186">
      <c r="A186"/>
      <c r="B186">
        <v>1</v>
      </c>
      <c r="C186" s="43">
        <f>INDEX(DarlObj,1)</f>
      </c>
      <c r="D186">
        <v>183</v>
      </c>
      <c r="E186" s="51">
        <f>IF(INDEX(DarlBelegt,1)=0,0,EOMONTH(INDEX(DarlAuszahlung,1),182)+1)</f>
      </c>
      <c r="F186" s="43">
        <f>IF($E186=0,0,YEAR($E186))</f>
      </c>
      <c r="G186" s="43">
        <f>IF(INDEX(DarlBindung,1)="",1,IF($E186&lt;=INDEX(DarlBindung,1),1,0))</f>
      </c>
      <c r="H186" s="43">
        <f>IF($G186=1,INDEX(DarlSollzins,1),INDEX(DarlAnschluss,1))</f>
      </c>
      <c r="I186" s="43">
        <f>IF(INDEX(DarlBelegt,1)=0,0,IF(INDEX(DarlOhneTilgung,1)=1,IF(INDEX(DarlBindung,1)="",1,$G186),IF($J186&gt;0.005,1,0)))</f>
      </c>
      <c r="J186" s="43">
        <f>IF($I185=0,0,$R185)</f>
      </c>
      <c r="K186" s="43">
        <f>IF($I186=0,0,IF(INDEX(DarlOhneTilgung,1)=1,0,IF(AND(INDEX(DarlTilgStart,1)&gt;0,$E186=INDEX(DarlTilgStart,1)),$J186*($H186+INDEX(DarlTilgung,1))/100/12,IF(AND($G186=0,$G185=1),MAX($K185,$J186*($H186+1)/100/12),$K185))))</f>
      </c>
      <c r="L186" s="43">
        <f>IF($I186=0,0,$J186*$H186/100/12)</f>
      </c>
      <c r="M186" s="43">
        <f>IF($I186=0,0,IF(OR(INDEX(DarlOhneTilgung,1)=1,AND(INDEX(DarlTilgStart,1)&gt;0,$E186&lt;INDEX(DarlTilgStart,1))),0,MIN(MAX(0,$K186-$L186),$J186)))</f>
      </c>
      <c r="N186" s="43">
        <f>IF($I186=0,0,MIN(SUMIFS(SondBetrag,SondDarl,1,SondDatum,"&gt;="&amp;$E186,SondDatum,"&lt;="&amp;EOMONTH($E186,0)),$J186-$M186))</f>
      </c>
      <c r="O186" s="43">
        <f>IF($I186=0,0,INDEX(DarlErsatzRate,1))</f>
      </c>
      <c r="P186" s="43">
        <f>IF($I186=0,0,$Q185*INDEX(DarlErsatzZins,1))</f>
      </c>
      <c r="Q186" s="43">
        <f>IF($I186=0,0,$Q185+$P186+$O186)</f>
      </c>
      <c r="R186" s="43">
        <f>IF($I186=0,0,$J186-$M186-$N186)</f>
      </c>
    </row>
    <row r="187">
      <c r="A187"/>
      <c r="B187">
        <v>1</v>
      </c>
      <c r="C187" s="43">
        <f>INDEX(DarlObj,1)</f>
      </c>
      <c r="D187">
        <v>184</v>
      </c>
      <c r="E187" s="51">
        <f>IF(INDEX(DarlBelegt,1)=0,0,EOMONTH(INDEX(DarlAuszahlung,1),183)+1)</f>
      </c>
      <c r="F187" s="43">
        <f>IF($E187=0,0,YEAR($E187))</f>
      </c>
      <c r="G187" s="43">
        <f>IF(INDEX(DarlBindung,1)="",1,IF($E187&lt;=INDEX(DarlBindung,1),1,0))</f>
      </c>
      <c r="H187" s="43">
        <f>IF($G187=1,INDEX(DarlSollzins,1),INDEX(DarlAnschluss,1))</f>
      </c>
      <c r="I187" s="43">
        <f>IF(INDEX(DarlBelegt,1)=0,0,IF(INDEX(DarlOhneTilgung,1)=1,IF(INDEX(DarlBindung,1)="",1,$G187),IF($J187&gt;0.005,1,0)))</f>
      </c>
      <c r="J187" s="43">
        <f>IF($I186=0,0,$R186)</f>
      </c>
      <c r="K187" s="43">
        <f>IF($I187=0,0,IF(INDEX(DarlOhneTilgung,1)=1,0,IF(AND(INDEX(DarlTilgStart,1)&gt;0,$E187=INDEX(DarlTilgStart,1)),$J187*($H187+INDEX(DarlTilgung,1))/100/12,IF(AND($G187=0,$G186=1),MAX($K186,$J187*($H187+1)/100/12),$K186))))</f>
      </c>
      <c r="L187" s="43">
        <f>IF($I187=0,0,$J187*$H187/100/12)</f>
      </c>
      <c r="M187" s="43">
        <f>IF($I187=0,0,IF(OR(INDEX(DarlOhneTilgung,1)=1,AND(INDEX(DarlTilgStart,1)&gt;0,$E187&lt;INDEX(DarlTilgStart,1))),0,MIN(MAX(0,$K187-$L187),$J187)))</f>
      </c>
      <c r="N187" s="43">
        <f>IF($I187=0,0,MIN(SUMIFS(SondBetrag,SondDarl,1,SondDatum,"&gt;="&amp;$E187,SondDatum,"&lt;="&amp;EOMONTH($E187,0)),$J187-$M187))</f>
      </c>
      <c r="O187" s="43">
        <f>IF($I187=0,0,INDEX(DarlErsatzRate,1))</f>
      </c>
      <c r="P187" s="43">
        <f>IF($I187=0,0,$Q186*INDEX(DarlErsatzZins,1))</f>
      </c>
      <c r="Q187" s="43">
        <f>IF($I187=0,0,$Q186+$P187+$O187)</f>
      </c>
      <c r="R187" s="43">
        <f>IF($I187=0,0,$J187-$M187-$N187)</f>
      </c>
    </row>
    <row r="188">
      <c r="A188"/>
      <c r="B188">
        <v>1</v>
      </c>
      <c r="C188" s="43">
        <f>INDEX(DarlObj,1)</f>
      </c>
      <c r="D188">
        <v>185</v>
      </c>
      <c r="E188" s="51">
        <f>IF(INDEX(DarlBelegt,1)=0,0,EOMONTH(INDEX(DarlAuszahlung,1),184)+1)</f>
      </c>
      <c r="F188" s="43">
        <f>IF($E188=0,0,YEAR($E188))</f>
      </c>
      <c r="G188" s="43">
        <f>IF(INDEX(DarlBindung,1)="",1,IF($E188&lt;=INDEX(DarlBindung,1),1,0))</f>
      </c>
      <c r="H188" s="43">
        <f>IF($G188=1,INDEX(DarlSollzins,1),INDEX(DarlAnschluss,1))</f>
      </c>
      <c r="I188" s="43">
        <f>IF(INDEX(DarlBelegt,1)=0,0,IF(INDEX(DarlOhneTilgung,1)=1,IF(INDEX(DarlBindung,1)="",1,$G188),IF($J188&gt;0.005,1,0)))</f>
      </c>
      <c r="J188" s="43">
        <f>IF($I187=0,0,$R187)</f>
      </c>
      <c r="K188" s="43">
        <f>IF($I188=0,0,IF(INDEX(DarlOhneTilgung,1)=1,0,IF(AND(INDEX(DarlTilgStart,1)&gt;0,$E188=INDEX(DarlTilgStart,1)),$J188*($H188+INDEX(DarlTilgung,1))/100/12,IF(AND($G188=0,$G187=1),MAX($K187,$J188*($H188+1)/100/12),$K187))))</f>
      </c>
      <c r="L188" s="43">
        <f>IF($I188=0,0,$J188*$H188/100/12)</f>
      </c>
      <c r="M188" s="43">
        <f>IF($I188=0,0,IF(OR(INDEX(DarlOhneTilgung,1)=1,AND(INDEX(DarlTilgStart,1)&gt;0,$E188&lt;INDEX(DarlTilgStart,1))),0,MIN(MAX(0,$K188-$L188),$J188)))</f>
      </c>
      <c r="N188" s="43">
        <f>IF($I188=0,0,MIN(SUMIFS(SondBetrag,SondDarl,1,SondDatum,"&gt;="&amp;$E188,SondDatum,"&lt;="&amp;EOMONTH($E188,0)),$J188-$M188))</f>
      </c>
      <c r="O188" s="43">
        <f>IF($I188=0,0,INDEX(DarlErsatzRate,1))</f>
      </c>
      <c r="P188" s="43">
        <f>IF($I188=0,0,$Q187*INDEX(DarlErsatzZins,1))</f>
      </c>
      <c r="Q188" s="43">
        <f>IF($I188=0,0,$Q187+$P188+$O188)</f>
      </c>
      <c r="R188" s="43">
        <f>IF($I188=0,0,$J188-$M188-$N188)</f>
      </c>
    </row>
    <row r="189">
      <c r="A189"/>
      <c r="B189">
        <v>1</v>
      </c>
      <c r="C189" s="43">
        <f>INDEX(DarlObj,1)</f>
      </c>
      <c r="D189">
        <v>186</v>
      </c>
      <c r="E189" s="51">
        <f>IF(INDEX(DarlBelegt,1)=0,0,EOMONTH(INDEX(DarlAuszahlung,1),185)+1)</f>
      </c>
      <c r="F189" s="43">
        <f>IF($E189=0,0,YEAR($E189))</f>
      </c>
      <c r="G189" s="43">
        <f>IF(INDEX(DarlBindung,1)="",1,IF($E189&lt;=INDEX(DarlBindung,1),1,0))</f>
      </c>
      <c r="H189" s="43">
        <f>IF($G189=1,INDEX(DarlSollzins,1),INDEX(DarlAnschluss,1))</f>
      </c>
      <c r="I189" s="43">
        <f>IF(INDEX(DarlBelegt,1)=0,0,IF(INDEX(DarlOhneTilgung,1)=1,IF(INDEX(DarlBindung,1)="",1,$G189),IF($J189&gt;0.005,1,0)))</f>
      </c>
      <c r="J189" s="43">
        <f>IF($I188=0,0,$R188)</f>
      </c>
      <c r="K189" s="43">
        <f>IF($I189=0,0,IF(INDEX(DarlOhneTilgung,1)=1,0,IF(AND(INDEX(DarlTilgStart,1)&gt;0,$E189=INDEX(DarlTilgStart,1)),$J189*($H189+INDEX(DarlTilgung,1))/100/12,IF(AND($G189=0,$G188=1),MAX($K188,$J189*($H189+1)/100/12),$K188))))</f>
      </c>
      <c r="L189" s="43">
        <f>IF($I189=0,0,$J189*$H189/100/12)</f>
      </c>
      <c r="M189" s="43">
        <f>IF($I189=0,0,IF(OR(INDEX(DarlOhneTilgung,1)=1,AND(INDEX(DarlTilgStart,1)&gt;0,$E189&lt;INDEX(DarlTilgStart,1))),0,MIN(MAX(0,$K189-$L189),$J189)))</f>
      </c>
      <c r="N189" s="43">
        <f>IF($I189=0,0,MIN(SUMIFS(SondBetrag,SondDarl,1,SondDatum,"&gt;="&amp;$E189,SondDatum,"&lt;="&amp;EOMONTH($E189,0)),$J189-$M189))</f>
      </c>
      <c r="O189" s="43">
        <f>IF($I189=0,0,INDEX(DarlErsatzRate,1))</f>
      </c>
      <c r="P189" s="43">
        <f>IF($I189=0,0,$Q188*INDEX(DarlErsatzZins,1))</f>
      </c>
      <c r="Q189" s="43">
        <f>IF($I189=0,0,$Q188+$P189+$O189)</f>
      </c>
      <c r="R189" s="43">
        <f>IF($I189=0,0,$J189-$M189-$N189)</f>
      </c>
    </row>
    <row r="190">
      <c r="A190"/>
      <c r="B190">
        <v>1</v>
      </c>
      <c r="C190" s="43">
        <f>INDEX(DarlObj,1)</f>
      </c>
      <c r="D190">
        <v>187</v>
      </c>
      <c r="E190" s="51">
        <f>IF(INDEX(DarlBelegt,1)=0,0,EOMONTH(INDEX(DarlAuszahlung,1),186)+1)</f>
      </c>
      <c r="F190" s="43">
        <f>IF($E190=0,0,YEAR($E190))</f>
      </c>
      <c r="G190" s="43">
        <f>IF(INDEX(DarlBindung,1)="",1,IF($E190&lt;=INDEX(DarlBindung,1),1,0))</f>
      </c>
      <c r="H190" s="43">
        <f>IF($G190=1,INDEX(DarlSollzins,1),INDEX(DarlAnschluss,1))</f>
      </c>
      <c r="I190" s="43">
        <f>IF(INDEX(DarlBelegt,1)=0,0,IF(INDEX(DarlOhneTilgung,1)=1,IF(INDEX(DarlBindung,1)="",1,$G190),IF($J190&gt;0.005,1,0)))</f>
      </c>
      <c r="J190" s="43">
        <f>IF($I189=0,0,$R189)</f>
      </c>
      <c r="K190" s="43">
        <f>IF($I190=0,0,IF(INDEX(DarlOhneTilgung,1)=1,0,IF(AND(INDEX(DarlTilgStart,1)&gt;0,$E190=INDEX(DarlTilgStart,1)),$J190*($H190+INDEX(DarlTilgung,1))/100/12,IF(AND($G190=0,$G189=1),MAX($K189,$J190*($H190+1)/100/12),$K189))))</f>
      </c>
      <c r="L190" s="43">
        <f>IF($I190=0,0,$J190*$H190/100/12)</f>
      </c>
      <c r="M190" s="43">
        <f>IF($I190=0,0,IF(OR(INDEX(DarlOhneTilgung,1)=1,AND(INDEX(DarlTilgStart,1)&gt;0,$E190&lt;INDEX(DarlTilgStart,1))),0,MIN(MAX(0,$K190-$L190),$J190)))</f>
      </c>
      <c r="N190" s="43">
        <f>IF($I190=0,0,MIN(SUMIFS(SondBetrag,SondDarl,1,SondDatum,"&gt;="&amp;$E190,SondDatum,"&lt;="&amp;EOMONTH($E190,0)),$J190-$M190))</f>
      </c>
      <c r="O190" s="43">
        <f>IF($I190=0,0,INDEX(DarlErsatzRate,1))</f>
      </c>
      <c r="P190" s="43">
        <f>IF($I190=0,0,$Q189*INDEX(DarlErsatzZins,1))</f>
      </c>
      <c r="Q190" s="43">
        <f>IF($I190=0,0,$Q189+$P190+$O190)</f>
      </c>
      <c r="R190" s="43">
        <f>IF($I190=0,0,$J190-$M190-$N190)</f>
      </c>
    </row>
    <row r="191">
      <c r="A191"/>
      <c r="B191">
        <v>1</v>
      </c>
      <c r="C191" s="43">
        <f>INDEX(DarlObj,1)</f>
      </c>
      <c r="D191">
        <v>188</v>
      </c>
      <c r="E191" s="51">
        <f>IF(INDEX(DarlBelegt,1)=0,0,EOMONTH(INDEX(DarlAuszahlung,1),187)+1)</f>
      </c>
      <c r="F191" s="43">
        <f>IF($E191=0,0,YEAR($E191))</f>
      </c>
      <c r="G191" s="43">
        <f>IF(INDEX(DarlBindung,1)="",1,IF($E191&lt;=INDEX(DarlBindung,1),1,0))</f>
      </c>
      <c r="H191" s="43">
        <f>IF($G191=1,INDEX(DarlSollzins,1),INDEX(DarlAnschluss,1))</f>
      </c>
      <c r="I191" s="43">
        <f>IF(INDEX(DarlBelegt,1)=0,0,IF(INDEX(DarlOhneTilgung,1)=1,IF(INDEX(DarlBindung,1)="",1,$G191),IF($J191&gt;0.005,1,0)))</f>
      </c>
      <c r="J191" s="43">
        <f>IF($I190=0,0,$R190)</f>
      </c>
      <c r="K191" s="43">
        <f>IF($I191=0,0,IF(INDEX(DarlOhneTilgung,1)=1,0,IF(AND(INDEX(DarlTilgStart,1)&gt;0,$E191=INDEX(DarlTilgStart,1)),$J191*($H191+INDEX(DarlTilgung,1))/100/12,IF(AND($G191=0,$G190=1),MAX($K190,$J191*($H191+1)/100/12),$K190))))</f>
      </c>
      <c r="L191" s="43">
        <f>IF($I191=0,0,$J191*$H191/100/12)</f>
      </c>
      <c r="M191" s="43">
        <f>IF($I191=0,0,IF(OR(INDEX(DarlOhneTilgung,1)=1,AND(INDEX(DarlTilgStart,1)&gt;0,$E191&lt;INDEX(DarlTilgStart,1))),0,MIN(MAX(0,$K191-$L191),$J191)))</f>
      </c>
      <c r="N191" s="43">
        <f>IF($I191=0,0,MIN(SUMIFS(SondBetrag,SondDarl,1,SondDatum,"&gt;="&amp;$E191,SondDatum,"&lt;="&amp;EOMONTH($E191,0)),$J191-$M191))</f>
      </c>
      <c r="O191" s="43">
        <f>IF($I191=0,0,INDEX(DarlErsatzRate,1))</f>
      </c>
      <c r="P191" s="43">
        <f>IF($I191=0,0,$Q190*INDEX(DarlErsatzZins,1))</f>
      </c>
      <c r="Q191" s="43">
        <f>IF($I191=0,0,$Q190+$P191+$O191)</f>
      </c>
      <c r="R191" s="43">
        <f>IF($I191=0,0,$J191-$M191-$N191)</f>
      </c>
    </row>
    <row r="192">
      <c r="A192"/>
      <c r="B192">
        <v>1</v>
      </c>
      <c r="C192" s="43">
        <f>INDEX(DarlObj,1)</f>
      </c>
      <c r="D192">
        <v>189</v>
      </c>
      <c r="E192" s="51">
        <f>IF(INDEX(DarlBelegt,1)=0,0,EOMONTH(INDEX(DarlAuszahlung,1),188)+1)</f>
      </c>
      <c r="F192" s="43">
        <f>IF($E192=0,0,YEAR($E192))</f>
      </c>
      <c r="G192" s="43">
        <f>IF(INDEX(DarlBindung,1)="",1,IF($E192&lt;=INDEX(DarlBindung,1),1,0))</f>
      </c>
      <c r="H192" s="43">
        <f>IF($G192=1,INDEX(DarlSollzins,1),INDEX(DarlAnschluss,1))</f>
      </c>
      <c r="I192" s="43">
        <f>IF(INDEX(DarlBelegt,1)=0,0,IF(INDEX(DarlOhneTilgung,1)=1,IF(INDEX(DarlBindung,1)="",1,$G192),IF($J192&gt;0.005,1,0)))</f>
      </c>
      <c r="J192" s="43">
        <f>IF($I191=0,0,$R191)</f>
      </c>
      <c r="K192" s="43">
        <f>IF($I192=0,0,IF(INDEX(DarlOhneTilgung,1)=1,0,IF(AND(INDEX(DarlTilgStart,1)&gt;0,$E192=INDEX(DarlTilgStart,1)),$J192*($H192+INDEX(DarlTilgung,1))/100/12,IF(AND($G192=0,$G191=1),MAX($K191,$J192*($H192+1)/100/12),$K191))))</f>
      </c>
      <c r="L192" s="43">
        <f>IF($I192=0,0,$J192*$H192/100/12)</f>
      </c>
      <c r="M192" s="43">
        <f>IF($I192=0,0,IF(OR(INDEX(DarlOhneTilgung,1)=1,AND(INDEX(DarlTilgStart,1)&gt;0,$E192&lt;INDEX(DarlTilgStart,1))),0,MIN(MAX(0,$K192-$L192),$J192)))</f>
      </c>
      <c r="N192" s="43">
        <f>IF($I192=0,0,MIN(SUMIFS(SondBetrag,SondDarl,1,SondDatum,"&gt;="&amp;$E192,SondDatum,"&lt;="&amp;EOMONTH($E192,0)),$J192-$M192))</f>
      </c>
      <c r="O192" s="43">
        <f>IF($I192=0,0,INDEX(DarlErsatzRate,1))</f>
      </c>
      <c r="P192" s="43">
        <f>IF($I192=0,0,$Q191*INDEX(DarlErsatzZins,1))</f>
      </c>
      <c r="Q192" s="43">
        <f>IF($I192=0,0,$Q191+$P192+$O192)</f>
      </c>
      <c r="R192" s="43">
        <f>IF($I192=0,0,$J192-$M192-$N192)</f>
      </c>
    </row>
    <row r="193">
      <c r="A193"/>
      <c r="B193">
        <v>1</v>
      </c>
      <c r="C193" s="43">
        <f>INDEX(DarlObj,1)</f>
      </c>
      <c r="D193">
        <v>190</v>
      </c>
      <c r="E193" s="51">
        <f>IF(INDEX(DarlBelegt,1)=0,0,EOMONTH(INDEX(DarlAuszahlung,1),189)+1)</f>
      </c>
      <c r="F193" s="43">
        <f>IF($E193=0,0,YEAR($E193))</f>
      </c>
      <c r="G193" s="43">
        <f>IF(INDEX(DarlBindung,1)="",1,IF($E193&lt;=INDEX(DarlBindung,1),1,0))</f>
      </c>
      <c r="H193" s="43">
        <f>IF($G193=1,INDEX(DarlSollzins,1),INDEX(DarlAnschluss,1))</f>
      </c>
      <c r="I193" s="43">
        <f>IF(INDEX(DarlBelegt,1)=0,0,IF(INDEX(DarlOhneTilgung,1)=1,IF(INDEX(DarlBindung,1)="",1,$G193),IF($J193&gt;0.005,1,0)))</f>
      </c>
      <c r="J193" s="43">
        <f>IF($I192=0,0,$R192)</f>
      </c>
      <c r="K193" s="43">
        <f>IF($I193=0,0,IF(INDEX(DarlOhneTilgung,1)=1,0,IF(AND(INDEX(DarlTilgStart,1)&gt;0,$E193=INDEX(DarlTilgStart,1)),$J193*($H193+INDEX(DarlTilgung,1))/100/12,IF(AND($G193=0,$G192=1),MAX($K192,$J193*($H193+1)/100/12),$K192))))</f>
      </c>
      <c r="L193" s="43">
        <f>IF($I193=0,0,$J193*$H193/100/12)</f>
      </c>
      <c r="M193" s="43">
        <f>IF($I193=0,0,IF(OR(INDEX(DarlOhneTilgung,1)=1,AND(INDEX(DarlTilgStart,1)&gt;0,$E193&lt;INDEX(DarlTilgStart,1))),0,MIN(MAX(0,$K193-$L193),$J193)))</f>
      </c>
      <c r="N193" s="43">
        <f>IF($I193=0,0,MIN(SUMIFS(SondBetrag,SondDarl,1,SondDatum,"&gt;="&amp;$E193,SondDatum,"&lt;="&amp;EOMONTH($E193,0)),$J193-$M193))</f>
      </c>
      <c r="O193" s="43">
        <f>IF($I193=0,0,INDEX(DarlErsatzRate,1))</f>
      </c>
      <c r="P193" s="43">
        <f>IF($I193=0,0,$Q192*INDEX(DarlErsatzZins,1))</f>
      </c>
      <c r="Q193" s="43">
        <f>IF($I193=0,0,$Q192+$P193+$O193)</f>
      </c>
      <c r="R193" s="43">
        <f>IF($I193=0,0,$J193-$M193-$N193)</f>
      </c>
    </row>
    <row r="194">
      <c r="A194"/>
      <c r="B194">
        <v>1</v>
      </c>
      <c r="C194" s="43">
        <f>INDEX(DarlObj,1)</f>
      </c>
      <c r="D194">
        <v>191</v>
      </c>
      <c r="E194" s="51">
        <f>IF(INDEX(DarlBelegt,1)=0,0,EOMONTH(INDEX(DarlAuszahlung,1),190)+1)</f>
      </c>
      <c r="F194" s="43">
        <f>IF($E194=0,0,YEAR($E194))</f>
      </c>
      <c r="G194" s="43">
        <f>IF(INDEX(DarlBindung,1)="",1,IF($E194&lt;=INDEX(DarlBindung,1),1,0))</f>
      </c>
      <c r="H194" s="43">
        <f>IF($G194=1,INDEX(DarlSollzins,1),INDEX(DarlAnschluss,1))</f>
      </c>
      <c r="I194" s="43">
        <f>IF(INDEX(DarlBelegt,1)=0,0,IF(INDEX(DarlOhneTilgung,1)=1,IF(INDEX(DarlBindung,1)="",1,$G194),IF($J194&gt;0.005,1,0)))</f>
      </c>
      <c r="J194" s="43">
        <f>IF($I193=0,0,$R193)</f>
      </c>
      <c r="K194" s="43">
        <f>IF($I194=0,0,IF(INDEX(DarlOhneTilgung,1)=1,0,IF(AND(INDEX(DarlTilgStart,1)&gt;0,$E194=INDEX(DarlTilgStart,1)),$J194*($H194+INDEX(DarlTilgung,1))/100/12,IF(AND($G194=0,$G193=1),MAX($K193,$J194*($H194+1)/100/12),$K193))))</f>
      </c>
      <c r="L194" s="43">
        <f>IF($I194=0,0,$J194*$H194/100/12)</f>
      </c>
      <c r="M194" s="43">
        <f>IF($I194=0,0,IF(OR(INDEX(DarlOhneTilgung,1)=1,AND(INDEX(DarlTilgStart,1)&gt;0,$E194&lt;INDEX(DarlTilgStart,1))),0,MIN(MAX(0,$K194-$L194),$J194)))</f>
      </c>
      <c r="N194" s="43">
        <f>IF($I194=0,0,MIN(SUMIFS(SondBetrag,SondDarl,1,SondDatum,"&gt;="&amp;$E194,SondDatum,"&lt;="&amp;EOMONTH($E194,0)),$J194-$M194))</f>
      </c>
      <c r="O194" s="43">
        <f>IF($I194=0,0,INDEX(DarlErsatzRate,1))</f>
      </c>
      <c r="P194" s="43">
        <f>IF($I194=0,0,$Q193*INDEX(DarlErsatzZins,1))</f>
      </c>
      <c r="Q194" s="43">
        <f>IF($I194=0,0,$Q193+$P194+$O194)</f>
      </c>
      <c r="R194" s="43">
        <f>IF($I194=0,0,$J194-$M194-$N194)</f>
      </c>
    </row>
    <row r="195">
      <c r="A195"/>
      <c r="B195">
        <v>1</v>
      </c>
      <c r="C195" s="43">
        <f>INDEX(DarlObj,1)</f>
      </c>
      <c r="D195">
        <v>192</v>
      </c>
      <c r="E195" s="51">
        <f>IF(INDEX(DarlBelegt,1)=0,0,EOMONTH(INDEX(DarlAuszahlung,1),191)+1)</f>
      </c>
      <c r="F195" s="43">
        <f>IF($E195=0,0,YEAR($E195))</f>
      </c>
      <c r="G195" s="43">
        <f>IF(INDEX(DarlBindung,1)="",1,IF($E195&lt;=INDEX(DarlBindung,1),1,0))</f>
      </c>
      <c r="H195" s="43">
        <f>IF($G195=1,INDEX(DarlSollzins,1),INDEX(DarlAnschluss,1))</f>
      </c>
      <c r="I195" s="43">
        <f>IF(INDEX(DarlBelegt,1)=0,0,IF(INDEX(DarlOhneTilgung,1)=1,IF(INDEX(DarlBindung,1)="",1,$G195),IF($J195&gt;0.005,1,0)))</f>
      </c>
      <c r="J195" s="43">
        <f>IF($I194=0,0,$R194)</f>
      </c>
      <c r="K195" s="43">
        <f>IF($I195=0,0,IF(INDEX(DarlOhneTilgung,1)=1,0,IF(AND(INDEX(DarlTilgStart,1)&gt;0,$E195=INDEX(DarlTilgStart,1)),$J195*($H195+INDEX(DarlTilgung,1))/100/12,IF(AND($G195=0,$G194=1),MAX($K194,$J195*($H195+1)/100/12),$K194))))</f>
      </c>
      <c r="L195" s="43">
        <f>IF($I195=0,0,$J195*$H195/100/12)</f>
      </c>
      <c r="M195" s="43">
        <f>IF($I195=0,0,IF(OR(INDEX(DarlOhneTilgung,1)=1,AND(INDEX(DarlTilgStart,1)&gt;0,$E195&lt;INDEX(DarlTilgStart,1))),0,MIN(MAX(0,$K195-$L195),$J195)))</f>
      </c>
      <c r="N195" s="43">
        <f>IF($I195=0,0,MIN(SUMIFS(SondBetrag,SondDarl,1,SondDatum,"&gt;="&amp;$E195,SondDatum,"&lt;="&amp;EOMONTH($E195,0)),$J195-$M195))</f>
      </c>
      <c r="O195" s="43">
        <f>IF($I195=0,0,INDEX(DarlErsatzRate,1))</f>
      </c>
      <c r="P195" s="43">
        <f>IF($I195=0,0,$Q194*INDEX(DarlErsatzZins,1))</f>
      </c>
      <c r="Q195" s="43">
        <f>IF($I195=0,0,$Q194+$P195+$O195)</f>
      </c>
      <c r="R195" s="43">
        <f>IF($I195=0,0,$J195-$M195-$N195)</f>
      </c>
    </row>
    <row r="196">
      <c r="A196"/>
      <c r="B196">
        <v>1</v>
      </c>
      <c r="C196" s="43">
        <f>INDEX(DarlObj,1)</f>
      </c>
      <c r="D196">
        <v>193</v>
      </c>
      <c r="E196" s="51">
        <f>IF(INDEX(DarlBelegt,1)=0,0,EOMONTH(INDEX(DarlAuszahlung,1),192)+1)</f>
      </c>
      <c r="F196" s="43">
        <f>IF($E196=0,0,YEAR($E196))</f>
      </c>
      <c r="G196" s="43">
        <f>IF(INDEX(DarlBindung,1)="",1,IF($E196&lt;=INDEX(DarlBindung,1),1,0))</f>
      </c>
      <c r="H196" s="43">
        <f>IF($G196=1,INDEX(DarlSollzins,1),INDEX(DarlAnschluss,1))</f>
      </c>
      <c r="I196" s="43">
        <f>IF(INDEX(DarlBelegt,1)=0,0,IF(INDEX(DarlOhneTilgung,1)=1,IF(INDEX(DarlBindung,1)="",1,$G196),IF($J196&gt;0.005,1,0)))</f>
      </c>
      <c r="J196" s="43">
        <f>IF($I195=0,0,$R195)</f>
      </c>
      <c r="K196" s="43">
        <f>IF($I196=0,0,IF(INDEX(DarlOhneTilgung,1)=1,0,IF(AND(INDEX(DarlTilgStart,1)&gt;0,$E196=INDEX(DarlTilgStart,1)),$J196*($H196+INDEX(DarlTilgung,1))/100/12,IF(AND($G196=0,$G195=1),MAX($K195,$J196*($H196+1)/100/12),$K195))))</f>
      </c>
      <c r="L196" s="43">
        <f>IF($I196=0,0,$J196*$H196/100/12)</f>
      </c>
      <c r="M196" s="43">
        <f>IF($I196=0,0,IF(OR(INDEX(DarlOhneTilgung,1)=1,AND(INDEX(DarlTilgStart,1)&gt;0,$E196&lt;INDEX(DarlTilgStart,1))),0,MIN(MAX(0,$K196-$L196),$J196)))</f>
      </c>
      <c r="N196" s="43">
        <f>IF($I196=0,0,MIN(SUMIFS(SondBetrag,SondDarl,1,SondDatum,"&gt;="&amp;$E196,SondDatum,"&lt;="&amp;EOMONTH($E196,0)),$J196-$M196))</f>
      </c>
      <c r="O196" s="43">
        <f>IF($I196=0,0,INDEX(DarlErsatzRate,1))</f>
      </c>
      <c r="P196" s="43">
        <f>IF($I196=0,0,$Q195*INDEX(DarlErsatzZins,1))</f>
      </c>
      <c r="Q196" s="43">
        <f>IF($I196=0,0,$Q195+$P196+$O196)</f>
      </c>
      <c r="R196" s="43">
        <f>IF($I196=0,0,$J196-$M196-$N196)</f>
      </c>
    </row>
    <row r="197">
      <c r="A197"/>
      <c r="B197">
        <v>1</v>
      </c>
      <c r="C197" s="43">
        <f>INDEX(DarlObj,1)</f>
      </c>
      <c r="D197">
        <v>194</v>
      </c>
      <c r="E197" s="51">
        <f>IF(INDEX(DarlBelegt,1)=0,0,EOMONTH(INDEX(DarlAuszahlung,1),193)+1)</f>
      </c>
      <c r="F197" s="43">
        <f>IF($E197=0,0,YEAR($E197))</f>
      </c>
      <c r="G197" s="43">
        <f>IF(INDEX(DarlBindung,1)="",1,IF($E197&lt;=INDEX(DarlBindung,1),1,0))</f>
      </c>
      <c r="H197" s="43">
        <f>IF($G197=1,INDEX(DarlSollzins,1),INDEX(DarlAnschluss,1))</f>
      </c>
      <c r="I197" s="43">
        <f>IF(INDEX(DarlBelegt,1)=0,0,IF(INDEX(DarlOhneTilgung,1)=1,IF(INDEX(DarlBindung,1)="",1,$G197),IF($J197&gt;0.005,1,0)))</f>
      </c>
      <c r="J197" s="43">
        <f>IF($I196=0,0,$R196)</f>
      </c>
      <c r="K197" s="43">
        <f>IF($I197=0,0,IF(INDEX(DarlOhneTilgung,1)=1,0,IF(AND(INDEX(DarlTilgStart,1)&gt;0,$E197=INDEX(DarlTilgStart,1)),$J197*($H197+INDEX(DarlTilgung,1))/100/12,IF(AND($G197=0,$G196=1),MAX($K196,$J197*($H197+1)/100/12),$K196))))</f>
      </c>
      <c r="L197" s="43">
        <f>IF($I197=0,0,$J197*$H197/100/12)</f>
      </c>
      <c r="M197" s="43">
        <f>IF($I197=0,0,IF(OR(INDEX(DarlOhneTilgung,1)=1,AND(INDEX(DarlTilgStart,1)&gt;0,$E197&lt;INDEX(DarlTilgStart,1))),0,MIN(MAX(0,$K197-$L197),$J197)))</f>
      </c>
      <c r="N197" s="43">
        <f>IF($I197=0,0,MIN(SUMIFS(SondBetrag,SondDarl,1,SondDatum,"&gt;="&amp;$E197,SondDatum,"&lt;="&amp;EOMONTH($E197,0)),$J197-$M197))</f>
      </c>
      <c r="O197" s="43">
        <f>IF($I197=0,0,INDEX(DarlErsatzRate,1))</f>
      </c>
      <c r="P197" s="43">
        <f>IF($I197=0,0,$Q196*INDEX(DarlErsatzZins,1))</f>
      </c>
      <c r="Q197" s="43">
        <f>IF($I197=0,0,$Q196+$P197+$O197)</f>
      </c>
      <c r="R197" s="43">
        <f>IF($I197=0,0,$J197-$M197-$N197)</f>
      </c>
    </row>
    <row r="198">
      <c r="A198"/>
      <c r="B198">
        <v>1</v>
      </c>
      <c r="C198" s="43">
        <f>INDEX(DarlObj,1)</f>
      </c>
      <c r="D198">
        <v>195</v>
      </c>
      <c r="E198" s="51">
        <f>IF(INDEX(DarlBelegt,1)=0,0,EOMONTH(INDEX(DarlAuszahlung,1),194)+1)</f>
      </c>
      <c r="F198" s="43">
        <f>IF($E198=0,0,YEAR($E198))</f>
      </c>
      <c r="G198" s="43">
        <f>IF(INDEX(DarlBindung,1)="",1,IF($E198&lt;=INDEX(DarlBindung,1),1,0))</f>
      </c>
      <c r="H198" s="43">
        <f>IF($G198=1,INDEX(DarlSollzins,1),INDEX(DarlAnschluss,1))</f>
      </c>
      <c r="I198" s="43">
        <f>IF(INDEX(DarlBelegt,1)=0,0,IF(INDEX(DarlOhneTilgung,1)=1,IF(INDEX(DarlBindung,1)="",1,$G198),IF($J198&gt;0.005,1,0)))</f>
      </c>
      <c r="J198" s="43">
        <f>IF($I197=0,0,$R197)</f>
      </c>
      <c r="K198" s="43">
        <f>IF($I198=0,0,IF(INDEX(DarlOhneTilgung,1)=1,0,IF(AND(INDEX(DarlTilgStart,1)&gt;0,$E198=INDEX(DarlTilgStart,1)),$J198*($H198+INDEX(DarlTilgung,1))/100/12,IF(AND($G198=0,$G197=1),MAX($K197,$J198*($H198+1)/100/12),$K197))))</f>
      </c>
      <c r="L198" s="43">
        <f>IF($I198=0,0,$J198*$H198/100/12)</f>
      </c>
      <c r="M198" s="43">
        <f>IF($I198=0,0,IF(OR(INDEX(DarlOhneTilgung,1)=1,AND(INDEX(DarlTilgStart,1)&gt;0,$E198&lt;INDEX(DarlTilgStart,1))),0,MIN(MAX(0,$K198-$L198),$J198)))</f>
      </c>
      <c r="N198" s="43">
        <f>IF($I198=0,0,MIN(SUMIFS(SondBetrag,SondDarl,1,SondDatum,"&gt;="&amp;$E198,SondDatum,"&lt;="&amp;EOMONTH($E198,0)),$J198-$M198))</f>
      </c>
      <c r="O198" s="43">
        <f>IF($I198=0,0,INDEX(DarlErsatzRate,1))</f>
      </c>
      <c r="P198" s="43">
        <f>IF($I198=0,0,$Q197*INDEX(DarlErsatzZins,1))</f>
      </c>
      <c r="Q198" s="43">
        <f>IF($I198=0,0,$Q197+$P198+$O198)</f>
      </c>
      <c r="R198" s="43">
        <f>IF($I198=0,0,$J198-$M198-$N198)</f>
      </c>
    </row>
    <row r="199">
      <c r="A199"/>
      <c r="B199">
        <v>1</v>
      </c>
      <c r="C199" s="43">
        <f>INDEX(DarlObj,1)</f>
      </c>
      <c r="D199">
        <v>196</v>
      </c>
      <c r="E199" s="51">
        <f>IF(INDEX(DarlBelegt,1)=0,0,EOMONTH(INDEX(DarlAuszahlung,1),195)+1)</f>
      </c>
      <c r="F199" s="43">
        <f>IF($E199=0,0,YEAR($E199))</f>
      </c>
      <c r="G199" s="43">
        <f>IF(INDEX(DarlBindung,1)="",1,IF($E199&lt;=INDEX(DarlBindung,1),1,0))</f>
      </c>
      <c r="H199" s="43">
        <f>IF($G199=1,INDEX(DarlSollzins,1),INDEX(DarlAnschluss,1))</f>
      </c>
      <c r="I199" s="43">
        <f>IF(INDEX(DarlBelegt,1)=0,0,IF(INDEX(DarlOhneTilgung,1)=1,IF(INDEX(DarlBindung,1)="",1,$G199),IF($J199&gt;0.005,1,0)))</f>
      </c>
      <c r="J199" s="43">
        <f>IF($I198=0,0,$R198)</f>
      </c>
      <c r="K199" s="43">
        <f>IF($I199=0,0,IF(INDEX(DarlOhneTilgung,1)=1,0,IF(AND(INDEX(DarlTilgStart,1)&gt;0,$E199=INDEX(DarlTilgStart,1)),$J199*($H199+INDEX(DarlTilgung,1))/100/12,IF(AND($G199=0,$G198=1),MAX($K198,$J199*($H199+1)/100/12),$K198))))</f>
      </c>
      <c r="L199" s="43">
        <f>IF($I199=0,0,$J199*$H199/100/12)</f>
      </c>
      <c r="M199" s="43">
        <f>IF($I199=0,0,IF(OR(INDEX(DarlOhneTilgung,1)=1,AND(INDEX(DarlTilgStart,1)&gt;0,$E199&lt;INDEX(DarlTilgStart,1))),0,MIN(MAX(0,$K199-$L199),$J199)))</f>
      </c>
      <c r="N199" s="43">
        <f>IF($I199=0,0,MIN(SUMIFS(SondBetrag,SondDarl,1,SondDatum,"&gt;="&amp;$E199,SondDatum,"&lt;="&amp;EOMONTH($E199,0)),$J199-$M199))</f>
      </c>
      <c r="O199" s="43">
        <f>IF($I199=0,0,INDEX(DarlErsatzRate,1))</f>
      </c>
      <c r="P199" s="43">
        <f>IF($I199=0,0,$Q198*INDEX(DarlErsatzZins,1))</f>
      </c>
      <c r="Q199" s="43">
        <f>IF($I199=0,0,$Q198+$P199+$O199)</f>
      </c>
      <c r="R199" s="43">
        <f>IF($I199=0,0,$J199-$M199-$N199)</f>
      </c>
    </row>
    <row r="200">
      <c r="A200"/>
      <c r="B200">
        <v>1</v>
      </c>
      <c r="C200" s="43">
        <f>INDEX(DarlObj,1)</f>
      </c>
      <c r="D200">
        <v>197</v>
      </c>
      <c r="E200" s="51">
        <f>IF(INDEX(DarlBelegt,1)=0,0,EOMONTH(INDEX(DarlAuszahlung,1),196)+1)</f>
      </c>
      <c r="F200" s="43">
        <f>IF($E200=0,0,YEAR($E200))</f>
      </c>
      <c r="G200" s="43">
        <f>IF(INDEX(DarlBindung,1)="",1,IF($E200&lt;=INDEX(DarlBindung,1),1,0))</f>
      </c>
      <c r="H200" s="43">
        <f>IF($G200=1,INDEX(DarlSollzins,1),INDEX(DarlAnschluss,1))</f>
      </c>
      <c r="I200" s="43">
        <f>IF(INDEX(DarlBelegt,1)=0,0,IF(INDEX(DarlOhneTilgung,1)=1,IF(INDEX(DarlBindung,1)="",1,$G200),IF($J200&gt;0.005,1,0)))</f>
      </c>
      <c r="J200" s="43">
        <f>IF($I199=0,0,$R199)</f>
      </c>
      <c r="K200" s="43">
        <f>IF($I200=0,0,IF(INDEX(DarlOhneTilgung,1)=1,0,IF(AND(INDEX(DarlTilgStart,1)&gt;0,$E200=INDEX(DarlTilgStart,1)),$J200*($H200+INDEX(DarlTilgung,1))/100/12,IF(AND($G200=0,$G199=1),MAX($K199,$J200*($H200+1)/100/12),$K199))))</f>
      </c>
      <c r="L200" s="43">
        <f>IF($I200=0,0,$J200*$H200/100/12)</f>
      </c>
      <c r="M200" s="43">
        <f>IF($I200=0,0,IF(OR(INDEX(DarlOhneTilgung,1)=1,AND(INDEX(DarlTilgStart,1)&gt;0,$E200&lt;INDEX(DarlTilgStart,1))),0,MIN(MAX(0,$K200-$L200),$J200)))</f>
      </c>
      <c r="N200" s="43">
        <f>IF($I200=0,0,MIN(SUMIFS(SondBetrag,SondDarl,1,SondDatum,"&gt;="&amp;$E200,SondDatum,"&lt;="&amp;EOMONTH($E200,0)),$J200-$M200))</f>
      </c>
      <c r="O200" s="43">
        <f>IF($I200=0,0,INDEX(DarlErsatzRate,1))</f>
      </c>
      <c r="P200" s="43">
        <f>IF($I200=0,0,$Q199*INDEX(DarlErsatzZins,1))</f>
      </c>
      <c r="Q200" s="43">
        <f>IF($I200=0,0,$Q199+$P200+$O200)</f>
      </c>
      <c r="R200" s="43">
        <f>IF($I200=0,0,$J200-$M200-$N200)</f>
      </c>
    </row>
    <row r="201">
      <c r="A201"/>
      <c r="B201">
        <v>1</v>
      </c>
      <c r="C201" s="43">
        <f>INDEX(DarlObj,1)</f>
      </c>
      <c r="D201">
        <v>198</v>
      </c>
      <c r="E201" s="51">
        <f>IF(INDEX(DarlBelegt,1)=0,0,EOMONTH(INDEX(DarlAuszahlung,1),197)+1)</f>
      </c>
      <c r="F201" s="43">
        <f>IF($E201=0,0,YEAR($E201))</f>
      </c>
      <c r="G201" s="43">
        <f>IF(INDEX(DarlBindung,1)="",1,IF($E201&lt;=INDEX(DarlBindung,1),1,0))</f>
      </c>
      <c r="H201" s="43">
        <f>IF($G201=1,INDEX(DarlSollzins,1),INDEX(DarlAnschluss,1))</f>
      </c>
      <c r="I201" s="43">
        <f>IF(INDEX(DarlBelegt,1)=0,0,IF(INDEX(DarlOhneTilgung,1)=1,IF(INDEX(DarlBindung,1)="",1,$G201),IF($J201&gt;0.005,1,0)))</f>
      </c>
      <c r="J201" s="43">
        <f>IF($I200=0,0,$R200)</f>
      </c>
      <c r="K201" s="43">
        <f>IF($I201=0,0,IF(INDEX(DarlOhneTilgung,1)=1,0,IF(AND(INDEX(DarlTilgStart,1)&gt;0,$E201=INDEX(DarlTilgStart,1)),$J201*($H201+INDEX(DarlTilgung,1))/100/12,IF(AND($G201=0,$G200=1),MAX($K200,$J201*($H201+1)/100/12),$K200))))</f>
      </c>
      <c r="L201" s="43">
        <f>IF($I201=0,0,$J201*$H201/100/12)</f>
      </c>
      <c r="M201" s="43">
        <f>IF($I201=0,0,IF(OR(INDEX(DarlOhneTilgung,1)=1,AND(INDEX(DarlTilgStart,1)&gt;0,$E201&lt;INDEX(DarlTilgStart,1))),0,MIN(MAX(0,$K201-$L201),$J201)))</f>
      </c>
      <c r="N201" s="43">
        <f>IF($I201=0,0,MIN(SUMIFS(SondBetrag,SondDarl,1,SondDatum,"&gt;="&amp;$E201,SondDatum,"&lt;="&amp;EOMONTH($E201,0)),$J201-$M201))</f>
      </c>
      <c r="O201" s="43">
        <f>IF($I201=0,0,INDEX(DarlErsatzRate,1))</f>
      </c>
      <c r="P201" s="43">
        <f>IF($I201=0,0,$Q200*INDEX(DarlErsatzZins,1))</f>
      </c>
      <c r="Q201" s="43">
        <f>IF($I201=0,0,$Q200+$P201+$O201)</f>
      </c>
      <c r="R201" s="43">
        <f>IF($I201=0,0,$J201-$M201-$N201)</f>
      </c>
    </row>
    <row r="202">
      <c r="A202"/>
      <c r="B202">
        <v>1</v>
      </c>
      <c r="C202" s="43">
        <f>INDEX(DarlObj,1)</f>
      </c>
      <c r="D202">
        <v>199</v>
      </c>
      <c r="E202" s="51">
        <f>IF(INDEX(DarlBelegt,1)=0,0,EOMONTH(INDEX(DarlAuszahlung,1),198)+1)</f>
      </c>
      <c r="F202" s="43">
        <f>IF($E202=0,0,YEAR($E202))</f>
      </c>
      <c r="G202" s="43">
        <f>IF(INDEX(DarlBindung,1)="",1,IF($E202&lt;=INDEX(DarlBindung,1),1,0))</f>
      </c>
      <c r="H202" s="43">
        <f>IF($G202=1,INDEX(DarlSollzins,1),INDEX(DarlAnschluss,1))</f>
      </c>
      <c r="I202" s="43">
        <f>IF(INDEX(DarlBelegt,1)=0,0,IF(INDEX(DarlOhneTilgung,1)=1,IF(INDEX(DarlBindung,1)="",1,$G202),IF($J202&gt;0.005,1,0)))</f>
      </c>
      <c r="J202" s="43">
        <f>IF($I201=0,0,$R201)</f>
      </c>
      <c r="K202" s="43">
        <f>IF($I202=0,0,IF(INDEX(DarlOhneTilgung,1)=1,0,IF(AND(INDEX(DarlTilgStart,1)&gt;0,$E202=INDEX(DarlTilgStart,1)),$J202*($H202+INDEX(DarlTilgung,1))/100/12,IF(AND($G202=0,$G201=1),MAX($K201,$J202*($H202+1)/100/12),$K201))))</f>
      </c>
      <c r="L202" s="43">
        <f>IF($I202=0,0,$J202*$H202/100/12)</f>
      </c>
      <c r="M202" s="43">
        <f>IF($I202=0,0,IF(OR(INDEX(DarlOhneTilgung,1)=1,AND(INDEX(DarlTilgStart,1)&gt;0,$E202&lt;INDEX(DarlTilgStart,1))),0,MIN(MAX(0,$K202-$L202),$J202)))</f>
      </c>
      <c r="N202" s="43">
        <f>IF($I202=0,0,MIN(SUMIFS(SondBetrag,SondDarl,1,SondDatum,"&gt;="&amp;$E202,SondDatum,"&lt;="&amp;EOMONTH($E202,0)),$J202-$M202))</f>
      </c>
      <c r="O202" s="43">
        <f>IF($I202=0,0,INDEX(DarlErsatzRate,1))</f>
      </c>
      <c r="P202" s="43">
        <f>IF($I202=0,0,$Q201*INDEX(DarlErsatzZins,1))</f>
      </c>
      <c r="Q202" s="43">
        <f>IF($I202=0,0,$Q201+$P202+$O202)</f>
      </c>
      <c r="R202" s="43">
        <f>IF($I202=0,0,$J202-$M202-$N202)</f>
      </c>
    </row>
    <row r="203">
      <c r="A203"/>
      <c r="B203">
        <v>1</v>
      </c>
      <c r="C203" s="43">
        <f>INDEX(DarlObj,1)</f>
      </c>
      <c r="D203">
        <v>200</v>
      </c>
      <c r="E203" s="51">
        <f>IF(INDEX(DarlBelegt,1)=0,0,EOMONTH(INDEX(DarlAuszahlung,1),199)+1)</f>
      </c>
      <c r="F203" s="43">
        <f>IF($E203=0,0,YEAR($E203))</f>
      </c>
      <c r="G203" s="43">
        <f>IF(INDEX(DarlBindung,1)="",1,IF($E203&lt;=INDEX(DarlBindung,1),1,0))</f>
      </c>
      <c r="H203" s="43">
        <f>IF($G203=1,INDEX(DarlSollzins,1),INDEX(DarlAnschluss,1))</f>
      </c>
      <c r="I203" s="43">
        <f>IF(INDEX(DarlBelegt,1)=0,0,IF(INDEX(DarlOhneTilgung,1)=1,IF(INDEX(DarlBindung,1)="",1,$G203),IF($J203&gt;0.005,1,0)))</f>
      </c>
      <c r="J203" s="43">
        <f>IF($I202=0,0,$R202)</f>
      </c>
      <c r="K203" s="43">
        <f>IF($I203=0,0,IF(INDEX(DarlOhneTilgung,1)=1,0,IF(AND(INDEX(DarlTilgStart,1)&gt;0,$E203=INDEX(DarlTilgStart,1)),$J203*($H203+INDEX(DarlTilgung,1))/100/12,IF(AND($G203=0,$G202=1),MAX($K202,$J203*($H203+1)/100/12),$K202))))</f>
      </c>
      <c r="L203" s="43">
        <f>IF($I203=0,0,$J203*$H203/100/12)</f>
      </c>
      <c r="M203" s="43">
        <f>IF($I203=0,0,IF(OR(INDEX(DarlOhneTilgung,1)=1,AND(INDEX(DarlTilgStart,1)&gt;0,$E203&lt;INDEX(DarlTilgStart,1))),0,MIN(MAX(0,$K203-$L203),$J203)))</f>
      </c>
      <c r="N203" s="43">
        <f>IF($I203=0,0,MIN(SUMIFS(SondBetrag,SondDarl,1,SondDatum,"&gt;="&amp;$E203,SondDatum,"&lt;="&amp;EOMONTH($E203,0)),$J203-$M203))</f>
      </c>
      <c r="O203" s="43">
        <f>IF($I203=0,0,INDEX(DarlErsatzRate,1))</f>
      </c>
      <c r="P203" s="43">
        <f>IF($I203=0,0,$Q202*INDEX(DarlErsatzZins,1))</f>
      </c>
      <c r="Q203" s="43">
        <f>IF($I203=0,0,$Q202+$P203+$O203)</f>
      </c>
      <c r="R203" s="43">
        <f>IF($I203=0,0,$J203-$M203-$N203)</f>
      </c>
    </row>
    <row r="204">
      <c r="A204"/>
      <c r="B204">
        <v>1</v>
      </c>
      <c r="C204" s="43">
        <f>INDEX(DarlObj,1)</f>
      </c>
      <c r="D204">
        <v>201</v>
      </c>
      <c r="E204" s="51">
        <f>IF(INDEX(DarlBelegt,1)=0,0,EOMONTH(INDEX(DarlAuszahlung,1),200)+1)</f>
      </c>
      <c r="F204" s="43">
        <f>IF($E204=0,0,YEAR($E204))</f>
      </c>
      <c r="G204" s="43">
        <f>IF(INDEX(DarlBindung,1)="",1,IF($E204&lt;=INDEX(DarlBindung,1),1,0))</f>
      </c>
      <c r="H204" s="43">
        <f>IF($G204=1,INDEX(DarlSollzins,1),INDEX(DarlAnschluss,1))</f>
      </c>
      <c r="I204" s="43">
        <f>IF(INDEX(DarlBelegt,1)=0,0,IF(INDEX(DarlOhneTilgung,1)=1,IF(INDEX(DarlBindung,1)="",1,$G204),IF($J204&gt;0.005,1,0)))</f>
      </c>
      <c r="J204" s="43">
        <f>IF($I203=0,0,$R203)</f>
      </c>
      <c r="K204" s="43">
        <f>IF($I204=0,0,IF(INDEX(DarlOhneTilgung,1)=1,0,IF(AND(INDEX(DarlTilgStart,1)&gt;0,$E204=INDEX(DarlTilgStart,1)),$J204*($H204+INDEX(DarlTilgung,1))/100/12,IF(AND($G204=0,$G203=1),MAX($K203,$J204*($H204+1)/100/12),$K203))))</f>
      </c>
      <c r="L204" s="43">
        <f>IF($I204=0,0,$J204*$H204/100/12)</f>
      </c>
      <c r="M204" s="43">
        <f>IF($I204=0,0,IF(OR(INDEX(DarlOhneTilgung,1)=1,AND(INDEX(DarlTilgStart,1)&gt;0,$E204&lt;INDEX(DarlTilgStart,1))),0,MIN(MAX(0,$K204-$L204),$J204)))</f>
      </c>
      <c r="N204" s="43">
        <f>IF($I204=0,0,MIN(SUMIFS(SondBetrag,SondDarl,1,SondDatum,"&gt;="&amp;$E204,SondDatum,"&lt;="&amp;EOMONTH($E204,0)),$J204-$M204))</f>
      </c>
      <c r="O204" s="43">
        <f>IF($I204=0,0,INDEX(DarlErsatzRate,1))</f>
      </c>
      <c r="P204" s="43">
        <f>IF($I204=0,0,$Q203*INDEX(DarlErsatzZins,1))</f>
      </c>
      <c r="Q204" s="43">
        <f>IF($I204=0,0,$Q203+$P204+$O204)</f>
      </c>
      <c r="R204" s="43">
        <f>IF($I204=0,0,$J204-$M204-$N204)</f>
      </c>
    </row>
    <row r="205">
      <c r="A205"/>
      <c r="B205">
        <v>1</v>
      </c>
      <c r="C205" s="43">
        <f>INDEX(DarlObj,1)</f>
      </c>
      <c r="D205">
        <v>202</v>
      </c>
      <c r="E205" s="51">
        <f>IF(INDEX(DarlBelegt,1)=0,0,EOMONTH(INDEX(DarlAuszahlung,1),201)+1)</f>
      </c>
      <c r="F205" s="43">
        <f>IF($E205=0,0,YEAR($E205))</f>
      </c>
      <c r="G205" s="43">
        <f>IF(INDEX(DarlBindung,1)="",1,IF($E205&lt;=INDEX(DarlBindung,1),1,0))</f>
      </c>
      <c r="H205" s="43">
        <f>IF($G205=1,INDEX(DarlSollzins,1),INDEX(DarlAnschluss,1))</f>
      </c>
      <c r="I205" s="43">
        <f>IF(INDEX(DarlBelegt,1)=0,0,IF(INDEX(DarlOhneTilgung,1)=1,IF(INDEX(DarlBindung,1)="",1,$G205),IF($J205&gt;0.005,1,0)))</f>
      </c>
      <c r="J205" s="43">
        <f>IF($I204=0,0,$R204)</f>
      </c>
      <c r="K205" s="43">
        <f>IF($I205=0,0,IF(INDEX(DarlOhneTilgung,1)=1,0,IF(AND(INDEX(DarlTilgStart,1)&gt;0,$E205=INDEX(DarlTilgStart,1)),$J205*($H205+INDEX(DarlTilgung,1))/100/12,IF(AND($G205=0,$G204=1),MAX($K204,$J205*($H205+1)/100/12),$K204))))</f>
      </c>
      <c r="L205" s="43">
        <f>IF($I205=0,0,$J205*$H205/100/12)</f>
      </c>
      <c r="M205" s="43">
        <f>IF($I205=0,0,IF(OR(INDEX(DarlOhneTilgung,1)=1,AND(INDEX(DarlTilgStart,1)&gt;0,$E205&lt;INDEX(DarlTilgStart,1))),0,MIN(MAX(0,$K205-$L205),$J205)))</f>
      </c>
      <c r="N205" s="43">
        <f>IF($I205=0,0,MIN(SUMIFS(SondBetrag,SondDarl,1,SondDatum,"&gt;="&amp;$E205,SondDatum,"&lt;="&amp;EOMONTH($E205,0)),$J205-$M205))</f>
      </c>
      <c r="O205" s="43">
        <f>IF($I205=0,0,INDEX(DarlErsatzRate,1))</f>
      </c>
      <c r="P205" s="43">
        <f>IF($I205=0,0,$Q204*INDEX(DarlErsatzZins,1))</f>
      </c>
      <c r="Q205" s="43">
        <f>IF($I205=0,0,$Q204+$P205+$O205)</f>
      </c>
      <c r="R205" s="43">
        <f>IF($I205=0,0,$J205-$M205-$N205)</f>
      </c>
    </row>
    <row r="206">
      <c r="A206"/>
      <c r="B206">
        <v>1</v>
      </c>
      <c r="C206" s="43">
        <f>INDEX(DarlObj,1)</f>
      </c>
      <c r="D206">
        <v>203</v>
      </c>
      <c r="E206" s="51">
        <f>IF(INDEX(DarlBelegt,1)=0,0,EOMONTH(INDEX(DarlAuszahlung,1),202)+1)</f>
      </c>
      <c r="F206" s="43">
        <f>IF($E206=0,0,YEAR($E206))</f>
      </c>
      <c r="G206" s="43">
        <f>IF(INDEX(DarlBindung,1)="",1,IF($E206&lt;=INDEX(DarlBindung,1),1,0))</f>
      </c>
      <c r="H206" s="43">
        <f>IF($G206=1,INDEX(DarlSollzins,1),INDEX(DarlAnschluss,1))</f>
      </c>
      <c r="I206" s="43">
        <f>IF(INDEX(DarlBelegt,1)=0,0,IF(INDEX(DarlOhneTilgung,1)=1,IF(INDEX(DarlBindung,1)="",1,$G206),IF($J206&gt;0.005,1,0)))</f>
      </c>
      <c r="J206" s="43">
        <f>IF($I205=0,0,$R205)</f>
      </c>
      <c r="K206" s="43">
        <f>IF($I206=0,0,IF(INDEX(DarlOhneTilgung,1)=1,0,IF(AND(INDEX(DarlTilgStart,1)&gt;0,$E206=INDEX(DarlTilgStart,1)),$J206*($H206+INDEX(DarlTilgung,1))/100/12,IF(AND($G206=0,$G205=1),MAX($K205,$J206*($H206+1)/100/12),$K205))))</f>
      </c>
      <c r="L206" s="43">
        <f>IF($I206=0,0,$J206*$H206/100/12)</f>
      </c>
      <c r="M206" s="43">
        <f>IF($I206=0,0,IF(OR(INDEX(DarlOhneTilgung,1)=1,AND(INDEX(DarlTilgStart,1)&gt;0,$E206&lt;INDEX(DarlTilgStart,1))),0,MIN(MAX(0,$K206-$L206),$J206)))</f>
      </c>
      <c r="N206" s="43">
        <f>IF($I206=0,0,MIN(SUMIFS(SondBetrag,SondDarl,1,SondDatum,"&gt;="&amp;$E206,SondDatum,"&lt;="&amp;EOMONTH($E206,0)),$J206-$M206))</f>
      </c>
      <c r="O206" s="43">
        <f>IF($I206=0,0,INDEX(DarlErsatzRate,1))</f>
      </c>
      <c r="P206" s="43">
        <f>IF($I206=0,0,$Q205*INDEX(DarlErsatzZins,1))</f>
      </c>
      <c r="Q206" s="43">
        <f>IF($I206=0,0,$Q205+$P206+$O206)</f>
      </c>
      <c r="R206" s="43">
        <f>IF($I206=0,0,$J206-$M206-$N206)</f>
      </c>
    </row>
    <row r="207">
      <c r="A207"/>
      <c r="B207">
        <v>1</v>
      </c>
      <c r="C207" s="43">
        <f>INDEX(DarlObj,1)</f>
      </c>
      <c r="D207">
        <v>204</v>
      </c>
      <c r="E207" s="51">
        <f>IF(INDEX(DarlBelegt,1)=0,0,EOMONTH(INDEX(DarlAuszahlung,1),203)+1)</f>
      </c>
      <c r="F207" s="43">
        <f>IF($E207=0,0,YEAR($E207))</f>
      </c>
      <c r="G207" s="43">
        <f>IF(INDEX(DarlBindung,1)="",1,IF($E207&lt;=INDEX(DarlBindung,1),1,0))</f>
      </c>
      <c r="H207" s="43">
        <f>IF($G207=1,INDEX(DarlSollzins,1),INDEX(DarlAnschluss,1))</f>
      </c>
      <c r="I207" s="43">
        <f>IF(INDEX(DarlBelegt,1)=0,0,IF(INDEX(DarlOhneTilgung,1)=1,IF(INDEX(DarlBindung,1)="",1,$G207),IF($J207&gt;0.005,1,0)))</f>
      </c>
      <c r="J207" s="43">
        <f>IF($I206=0,0,$R206)</f>
      </c>
      <c r="K207" s="43">
        <f>IF($I207=0,0,IF(INDEX(DarlOhneTilgung,1)=1,0,IF(AND(INDEX(DarlTilgStart,1)&gt;0,$E207=INDEX(DarlTilgStart,1)),$J207*($H207+INDEX(DarlTilgung,1))/100/12,IF(AND($G207=0,$G206=1),MAX($K206,$J207*($H207+1)/100/12),$K206))))</f>
      </c>
      <c r="L207" s="43">
        <f>IF($I207=0,0,$J207*$H207/100/12)</f>
      </c>
      <c r="M207" s="43">
        <f>IF($I207=0,0,IF(OR(INDEX(DarlOhneTilgung,1)=1,AND(INDEX(DarlTilgStart,1)&gt;0,$E207&lt;INDEX(DarlTilgStart,1))),0,MIN(MAX(0,$K207-$L207),$J207)))</f>
      </c>
      <c r="N207" s="43">
        <f>IF($I207=0,0,MIN(SUMIFS(SondBetrag,SondDarl,1,SondDatum,"&gt;="&amp;$E207,SondDatum,"&lt;="&amp;EOMONTH($E207,0)),$J207-$M207))</f>
      </c>
      <c r="O207" s="43">
        <f>IF($I207=0,0,INDEX(DarlErsatzRate,1))</f>
      </c>
      <c r="P207" s="43">
        <f>IF($I207=0,0,$Q206*INDEX(DarlErsatzZins,1))</f>
      </c>
      <c r="Q207" s="43">
        <f>IF($I207=0,0,$Q206+$P207+$O207)</f>
      </c>
      <c r="R207" s="43">
        <f>IF($I207=0,0,$J207-$M207-$N207)</f>
      </c>
    </row>
    <row r="208">
      <c r="A208"/>
      <c r="B208">
        <v>1</v>
      </c>
      <c r="C208" s="43">
        <f>INDEX(DarlObj,1)</f>
      </c>
      <c r="D208">
        <v>205</v>
      </c>
      <c r="E208" s="51">
        <f>IF(INDEX(DarlBelegt,1)=0,0,EOMONTH(INDEX(DarlAuszahlung,1),204)+1)</f>
      </c>
      <c r="F208" s="43">
        <f>IF($E208=0,0,YEAR($E208))</f>
      </c>
      <c r="G208" s="43">
        <f>IF(INDEX(DarlBindung,1)="",1,IF($E208&lt;=INDEX(DarlBindung,1),1,0))</f>
      </c>
      <c r="H208" s="43">
        <f>IF($G208=1,INDEX(DarlSollzins,1),INDEX(DarlAnschluss,1))</f>
      </c>
      <c r="I208" s="43">
        <f>IF(INDEX(DarlBelegt,1)=0,0,IF(INDEX(DarlOhneTilgung,1)=1,IF(INDEX(DarlBindung,1)="",1,$G208),IF($J208&gt;0.005,1,0)))</f>
      </c>
      <c r="J208" s="43">
        <f>IF($I207=0,0,$R207)</f>
      </c>
      <c r="K208" s="43">
        <f>IF($I208=0,0,IF(INDEX(DarlOhneTilgung,1)=1,0,IF(AND(INDEX(DarlTilgStart,1)&gt;0,$E208=INDEX(DarlTilgStart,1)),$J208*($H208+INDEX(DarlTilgung,1))/100/12,IF(AND($G208=0,$G207=1),MAX($K207,$J208*($H208+1)/100/12),$K207))))</f>
      </c>
      <c r="L208" s="43">
        <f>IF($I208=0,0,$J208*$H208/100/12)</f>
      </c>
      <c r="M208" s="43">
        <f>IF($I208=0,0,IF(OR(INDEX(DarlOhneTilgung,1)=1,AND(INDEX(DarlTilgStart,1)&gt;0,$E208&lt;INDEX(DarlTilgStart,1))),0,MIN(MAX(0,$K208-$L208),$J208)))</f>
      </c>
      <c r="N208" s="43">
        <f>IF($I208=0,0,MIN(SUMIFS(SondBetrag,SondDarl,1,SondDatum,"&gt;="&amp;$E208,SondDatum,"&lt;="&amp;EOMONTH($E208,0)),$J208-$M208))</f>
      </c>
      <c r="O208" s="43">
        <f>IF($I208=0,0,INDEX(DarlErsatzRate,1))</f>
      </c>
      <c r="P208" s="43">
        <f>IF($I208=0,0,$Q207*INDEX(DarlErsatzZins,1))</f>
      </c>
      <c r="Q208" s="43">
        <f>IF($I208=0,0,$Q207+$P208+$O208)</f>
      </c>
      <c r="R208" s="43">
        <f>IF($I208=0,0,$J208-$M208-$N208)</f>
      </c>
    </row>
    <row r="209">
      <c r="A209"/>
      <c r="B209">
        <v>1</v>
      </c>
      <c r="C209" s="43">
        <f>INDEX(DarlObj,1)</f>
      </c>
      <c r="D209">
        <v>206</v>
      </c>
      <c r="E209" s="51">
        <f>IF(INDEX(DarlBelegt,1)=0,0,EOMONTH(INDEX(DarlAuszahlung,1),205)+1)</f>
      </c>
      <c r="F209" s="43">
        <f>IF($E209=0,0,YEAR($E209))</f>
      </c>
      <c r="G209" s="43">
        <f>IF(INDEX(DarlBindung,1)="",1,IF($E209&lt;=INDEX(DarlBindung,1),1,0))</f>
      </c>
      <c r="H209" s="43">
        <f>IF($G209=1,INDEX(DarlSollzins,1),INDEX(DarlAnschluss,1))</f>
      </c>
      <c r="I209" s="43">
        <f>IF(INDEX(DarlBelegt,1)=0,0,IF(INDEX(DarlOhneTilgung,1)=1,IF(INDEX(DarlBindung,1)="",1,$G209),IF($J209&gt;0.005,1,0)))</f>
      </c>
      <c r="J209" s="43">
        <f>IF($I208=0,0,$R208)</f>
      </c>
      <c r="K209" s="43">
        <f>IF($I209=0,0,IF(INDEX(DarlOhneTilgung,1)=1,0,IF(AND(INDEX(DarlTilgStart,1)&gt;0,$E209=INDEX(DarlTilgStart,1)),$J209*($H209+INDEX(DarlTilgung,1))/100/12,IF(AND($G209=0,$G208=1),MAX($K208,$J209*($H209+1)/100/12),$K208))))</f>
      </c>
      <c r="L209" s="43">
        <f>IF($I209=0,0,$J209*$H209/100/12)</f>
      </c>
      <c r="M209" s="43">
        <f>IF($I209=0,0,IF(OR(INDEX(DarlOhneTilgung,1)=1,AND(INDEX(DarlTilgStart,1)&gt;0,$E209&lt;INDEX(DarlTilgStart,1))),0,MIN(MAX(0,$K209-$L209),$J209)))</f>
      </c>
      <c r="N209" s="43">
        <f>IF($I209=0,0,MIN(SUMIFS(SondBetrag,SondDarl,1,SondDatum,"&gt;="&amp;$E209,SondDatum,"&lt;="&amp;EOMONTH($E209,0)),$J209-$M209))</f>
      </c>
      <c r="O209" s="43">
        <f>IF($I209=0,0,INDEX(DarlErsatzRate,1))</f>
      </c>
      <c r="P209" s="43">
        <f>IF($I209=0,0,$Q208*INDEX(DarlErsatzZins,1))</f>
      </c>
      <c r="Q209" s="43">
        <f>IF($I209=0,0,$Q208+$P209+$O209)</f>
      </c>
      <c r="R209" s="43">
        <f>IF($I209=0,0,$J209-$M209-$N209)</f>
      </c>
    </row>
    <row r="210">
      <c r="A210"/>
      <c r="B210">
        <v>1</v>
      </c>
      <c r="C210" s="43">
        <f>INDEX(DarlObj,1)</f>
      </c>
      <c r="D210">
        <v>207</v>
      </c>
      <c r="E210" s="51">
        <f>IF(INDEX(DarlBelegt,1)=0,0,EOMONTH(INDEX(DarlAuszahlung,1),206)+1)</f>
      </c>
      <c r="F210" s="43">
        <f>IF($E210=0,0,YEAR($E210))</f>
      </c>
      <c r="G210" s="43">
        <f>IF(INDEX(DarlBindung,1)="",1,IF($E210&lt;=INDEX(DarlBindung,1),1,0))</f>
      </c>
      <c r="H210" s="43">
        <f>IF($G210=1,INDEX(DarlSollzins,1),INDEX(DarlAnschluss,1))</f>
      </c>
      <c r="I210" s="43">
        <f>IF(INDEX(DarlBelegt,1)=0,0,IF(INDEX(DarlOhneTilgung,1)=1,IF(INDEX(DarlBindung,1)="",1,$G210),IF($J210&gt;0.005,1,0)))</f>
      </c>
      <c r="J210" s="43">
        <f>IF($I209=0,0,$R209)</f>
      </c>
      <c r="K210" s="43">
        <f>IF($I210=0,0,IF(INDEX(DarlOhneTilgung,1)=1,0,IF(AND(INDEX(DarlTilgStart,1)&gt;0,$E210=INDEX(DarlTilgStart,1)),$J210*($H210+INDEX(DarlTilgung,1))/100/12,IF(AND($G210=0,$G209=1),MAX($K209,$J210*($H210+1)/100/12),$K209))))</f>
      </c>
      <c r="L210" s="43">
        <f>IF($I210=0,0,$J210*$H210/100/12)</f>
      </c>
      <c r="M210" s="43">
        <f>IF($I210=0,0,IF(OR(INDEX(DarlOhneTilgung,1)=1,AND(INDEX(DarlTilgStart,1)&gt;0,$E210&lt;INDEX(DarlTilgStart,1))),0,MIN(MAX(0,$K210-$L210),$J210)))</f>
      </c>
      <c r="N210" s="43">
        <f>IF($I210=0,0,MIN(SUMIFS(SondBetrag,SondDarl,1,SondDatum,"&gt;="&amp;$E210,SondDatum,"&lt;="&amp;EOMONTH($E210,0)),$J210-$M210))</f>
      </c>
      <c r="O210" s="43">
        <f>IF($I210=0,0,INDEX(DarlErsatzRate,1))</f>
      </c>
      <c r="P210" s="43">
        <f>IF($I210=0,0,$Q209*INDEX(DarlErsatzZins,1))</f>
      </c>
      <c r="Q210" s="43">
        <f>IF($I210=0,0,$Q209+$P210+$O210)</f>
      </c>
      <c r="R210" s="43">
        <f>IF($I210=0,0,$J210-$M210-$N210)</f>
      </c>
    </row>
    <row r="211">
      <c r="A211"/>
      <c r="B211">
        <v>1</v>
      </c>
      <c r="C211" s="43">
        <f>INDEX(DarlObj,1)</f>
      </c>
      <c r="D211">
        <v>208</v>
      </c>
      <c r="E211" s="51">
        <f>IF(INDEX(DarlBelegt,1)=0,0,EOMONTH(INDEX(DarlAuszahlung,1),207)+1)</f>
      </c>
      <c r="F211" s="43">
        <f>IF($E211=0,0,YEAR($E211))</f>
      </c>
      <c r="G211" s="43">
        <f>IF(INDEX(DarlBindung,1)="",1,IF($E211&lt;=INDEX(DarlBindung,1),1,0))</f>
      </c>
      <c r="H211" s="43">
        <f>IF($G211=1,INDEX(DarlSollzins,1),INDEX(DarlAnschluss,1))</f>
      </c>
      <c r="I211" s="43">
        <f>IF(INDEX(DarlBelegt,1)=0,0,IF(INDEX(DarlOhneTilgung,1)=1,IF(INDEX(DarlBindung,1)="",1,$G211),IF($J211&gt;0.005,1,0)))</f>
      </c>
      <c r="J211" s="43">
        <f>IF($I210=0,0,$R210)</f>
      </c>
      <c r="K211" s="43">
        <f>IF($I211=0,0,IF(INDEX(DarlOhneTilgung,1)=1,0,IF(AND(INDEX(DarlTilgStart,1)&gt;0,$E211=INDEX(DarlTilgStart,1)),$J211*($H211+INDEX(DarlTilgung,1))/100/12,IF(AND($G211=0,$G210=1),MAX($K210,$J211*($H211+1)/100/12),$K210))))</f>
      </c>
      <c r="L211" s="43">
        <f>IF($I211=0,0,$J211*$H211/100/12)</f>
      </c>
      <c r="M211" s="43">
        <f>IF($I211=0,0,IF(OR(INDEX(DarlOhneTilgung,1)=1,AND(INDEX(DarlTilgStart,1)&gt;0,$E211&lt;INDEX(DarlTilgStart,1))),0,MIN(MAX(0,$K211-$L211),$J211)))</f>
      </c>
      <c r="N211" s="43">
        <f>IF($I211=0,0,MIN(SUMIFS(SondBetrag,SondDarl,1,SondDatum,"&gt;="&amp;$E211,SondDatum,"&lt;="&amp;EOMONTH($E211,0)),$J211-$M211))</f>
      </c>
      <c r="O211" s="43">
        <f>IF($I211=0,0,INDEX(DarlErsatzRate,1))</f>
      </c>
      <c r="P211" s="43">
        <f>IF($I211=0,0,$Q210*INDEX(DarlErsatzZins,1))</f>
      </c>
      <c r="Q211" s="43">
        <f>IF($I211=0,0,$Q210+$P211+$O211)</f>
      </c>
      <c r="R211" s="43">
        <f>IF($I211=0,0,$J211-$M211-$N211)</f>
      </c>
    </row>
    <row r="212">
      <c r="A212"/>
      <c r="B212">
        <v>1</v>
      </c>
      <c r="C212" s="43">
        <f>INDEX(DarlObj,1)</f>
      </c>
      <c r="D212">
        <v>209</v>
      </c>
      <c r="E212" s="51">
        <f>IF(INDEX(DarlBelegt,1)=0,0,EOMONTH(INDEX(DarlAuszahlung,1),208)+1)</f>
      </c>
      <c r="F212" s="43">
        <f>IF($E212=0,0,YEAR($E212))</f>
      </c>
      <c r="G212" s="43">
        <f>IF(INDEX(DarlBindung,1)="",1,IF($E212&lt;=INDEX(DarlBindung,1),1,0))</f>
      </c>
      <c r="H212" s="43">
        <f>IF($G212=1,INDEX(DarlSollzins,1),INDEX(DarlAnschluss,1))</f>
      </c>
      <c r="I212" s="43">
        <f>IF(INDEX(DarlBelegt,1)=0,0,IF(INDEX(DarlOhneTilgung,1)=1,IF(INDEX(DarlBindung,1)="",1,$G212),IF($J212&gt;0.005,1,0)))</f>
      </c>
      <c r="J212" s="43">
        <f>IF($I211=0,0,$R211)</f>
      </c>
      <c r="K212" s="43">
        <f>IF($I212=0,0,IF(INDEX(DarlOhneTilgung,1)=1,0,IF(AND(INDEX(DarlTilgStart,1)&gt;0,$E212=INDEX(DarlTilgStart,1)),$J212*($H212+INDEX(DarlTilgung,1))/100/12,IF(AND($G212=0,$G211=1),MAX($K211,$J212*($H212+1)/100/12),$K211))))</f>
      </c>
      <c r="L212" s="43">
        <f>IF($I212=0,0,$J212*$H212/100/12)</f>
      </c>
      <c r="M212" s="43">
        <f>IF($I212=0,0,IF(OR(INDEX(DarlOhneTilgung,1)=1,AND(INDEX(DarlTilgStart,1)&gt;0,$E212&lt;INDEX(DarlTilgStart,1))),0,MIN(MAX(0,$K212-$L212),$J212)))</f>
      </c>
      <c r="N212" s="43">
        <f>IF($I212=0,0,MIN(SUMIFS(SondBetrag,SondDarl,1,SondDatum,"&gt;="&amp;$E212,SondDatum,"&lt;="&amp;EOMONTH($E212,0)),$J212-$M212))</f>
      </c>
      <c r="O212" s="43">
        <f>IF($I212=0,0,INDEX(DarlErsatzRate,1))</f>
      </c>
      <c r="P212" s="43">
        <f>IF($I212=0,0,$Q211*INDEX(DarlErsatzZins,1))</f>
      </c>
      <c r="Q212" s="43">
        <f>IF($I212=0,0,$Q211+$P212+$O212)</f>
      </c>
      <c r="R212" s="43">
        <f>IF($I212=0,0,$J212-$M212-$N212)</f>
      </c>
    </row>
    <row r="213">
      <c r="A213"/>
      <c r="B213">
        <v>1</v>
      </c>
      <c r="C213" s="43">
        <f>INDEX(DarlObj,1)</f>
      </c>
      <c r="D213">
        <v>210</v>
      </c>
      <c r="E213" s="51">
        <f>IF(INDEX(DarlBelegt,1)=0,0,EOMONTH(INDEX(DarlAuszahlung,1),209)+1)</f>
      </c>
      <c r="F213" s="43">
        <f>IF($E213=0,0,YEAR($E213))</f>
      </c>
      <c r="G213" s="43">
        <f>IF(INDEX(DarlBindung,1)="",1,IF($E213&lt;=INDEX(DarlBindung,1),1,0))</f>
      </c>
      <c r="H213" s="43">
        <f>IF($G213=1,INDEX(DarlSollzins,1),INDEX(DarlAnschluss,1))</f>
      </c>
      <c r="I213" s="43">
        <f>IF(INDEX(DarlBelegt,1)=0,0,IF(INDEX(DarlOhneTilgung,1)=1,IF(INDEX(DarlBindung,1)="",1,$G213),IF($J213&gt;0.005,1,0)))</f>
      </c>
      <c r="J213" s="43">
        <f>IF($I212=0,0,$R212)</f>
      </c>
      <c r="K213" s="43">
        <f>IF($I213=0,0,IF(INDEX(DarlOhneTilgung,1)=1,0,IF(AND(INDEX(DarlTilgStart,1)&gt;0,$E213=INDEX(DarlTilgStart,1)),$J213*($H213+INDEX(DarlTilgung,1))/100/12,IF(AND($G213=0,$G212=1),MAX($K212,$J213*($H213+1)/100/12),$K212))))</f>
      </c>
      <c r="L213" s="43">
        <f>IF($I213=0,0,$J213*$H213/100/12)</f>
      </c>
      <c r="M213" s="43">
        <f>IF($I213=0,0,IF(OR(INDEX(DarlOhneTilgung,1)=1,AND(INDEX(DarlTilgStart,1)&gt;0,$E213&lt;INDEX(DarlTilgStart,1))),0,MIN(MAX(0,$K213-$L213),$J213)))</f>
      </c>
      <c r="N213" s="43">
        <f>IF($I213=0,0,MIN(SUMIFS(SondBetrag,SondDarl,1,SondDatum,"&gt;="&amp;$E213,SondDatum,"&lt;="&amp;EOMONTH($E213,0)),$J213-$M213))</f>
      </c>
      <c r="O213" s="43">
        <f>IF($I213=0,0,INDEX(DarlErsatzRate,1))</f>
      </c>
      <c r="P213" s="43">
        <f>IF($I213=0,0,$Q212*INDEX(DarlErsatzZins,1))</f>
      </c>
      <c r="Q213" s="43">
        <f>IF($I213=0,0,$Q212+$P213+$O213)</f>
      </c>
      <c r="R213" s="43">
        <f>IF($I213=0,0,$J213-$M213-$N213)</f>
      </c>
    </row>
    <row r="214">
      <c r="A214"/>
      <c r="B214">
        <v>1</v>
      </c>
      <c r="C214" s="43">
        <f>INDEX(DarlObj,1)</f>
      </c>
      <c r="D214">
        <v>211</v>
      </c>
      <c r="E214" s="51">
        <f>IF(INDEX(DarlBelegt,1)=0,0,EOMONTH(INDEX(DarlAuszahlung,1),210)+1)</f>
      </c>
      <c r="F214" s="43">
        <f>IF($E214=0,0,YEAR($E214))</f>
      </c>
      <c r="G214" s="43">
        <f>IF(INDEX(DarlBindung,1)="",1,IF($E214&lt;=INDEX(DarlBindung,1),1,0))</f>
      </c>
      <c r="H214" s="43">
        <f>IF($G214=1,INDEX(DarlSollzins,1),INDEX(DarlAnschluss,1))</f>
      </c>
      <c r="I214" s="43">
        <f>IF(INDEX(DarlBelegt,1)=0,0,IF(INDEX(DarlOhneTilgung,1)=1,IF(INDEX(DarlBindung,1)="",1,$G214),IF($J214&gt;0.005,1,0)))</f>
      </c>
      <c r="J214" s="43">
        <f>IF($I213=0,0,$R213)</f>
      </c>
      <c r="K214" s="43">
        <f>IF($I214=0,0,IF(INDEX(DarlOhneTilgung,1)=1,0,IF(AND(INDEX(DarlTilgStart,1)&gt;0,$E214=INDEX(DarlTilgStart,1)),$J214*($H214+INDEX(DarlTilgung,1))/100/12,IF(AND($G214=0,$G213=1),MAX($K213,$J214*($H214+1)/100/12),$K213))))</f>
      </c>
      <c r="L214" s="43">
        <f>IF($I214=0,0,$J214*$H214/100/12)</f>
      </c>
      <c r="M214" s="43">
        <f>IF($I214=0,0,IF(OR(INDEX(DarlOhneTilgung,1)=1,AND(INDEX(DarlTilgStart,1)&gt;0,$E214&lt;INDEX(DarlTilgStart,1))),0,MIN(MAX(0,$K214-$L214),$J214)))</f>
      </c>
      <c r="N214" s="43">
        <f>IF($I214=0,0,MIN(SUMIFS(SondBetrag,SondDarl,1,SondDatum,"&gt;="&amp;$E214,SondDatum,"&lt;="&amp;EOMONTH($E214,0)),$J214-$M214))</f>
      </c>
      <c r="O214" s="43">
        <f>IF($I214=0,0,INDEX(DarlErsatzRate,1))</f>
      </c>
      <c r="P214" s="43">
        <f>IF($I214=0,0,$Q213*INDEX(DarlErsatzZins,1))</f>
      </c>
      <c r="Q214" s="43">
        <f>IF($I214=0,0,$Q213+$P214+$O214)</f>
      </c>
      <c r="R214" s="43">
        <f>IF($I214=0,0,$J214-$M214-$N214)</f>
      </c>
    </row>
    <row r="215">
      <c r="A215"/>
      <c r="B215">
        <v>1</v>
      </c>
      <c r="C215" s="43">
        <f>INDEX(DarlObj,1)</f>
      </c>
      <c r="D215">
        <v>212</v>
      </c>
      <c r="E215" s="51">
        <f>IF(INDEX(DarlBelegt,1)=0,0,EOMONTH(INDEX(DarlAuszahlung,1),211)+1)</f>
      </c>
      <c r="F215" s="43">
        <f>IF($E215=0,0,YEAR($E215))</f>
      </c>
      <c r="G215" s="43">
        <f>IF(INDEX(DarlBindung,1)="",1,IF($E215&lt;=INDEX(DarlBindung,1),1,0))</f>
      </c>
      <c r="H215" s="43">
        <f>IF($G215=1,INDEX(DarlSollzins,1),INDEX(DarlAnschluss,1))</f>
      </c>
      <c r="I215" s="43">
        <f>IF(INDEX(DarlBelegt,1)=0,0,IF(INDEX(DarlOhneTilgung,1)=1,IF(INDEX(DarlBindung,1)="",1,$G215),IF($J215&gt;0.005,1,0)))</f>
      </c>
      <c r="J215" s="43">
        <f>IF($I214=0,0,$R214)</f>
      </c>
      <c r="K215" s="43">
        <f>IF($I215=0,0,IF(INDEX(DarlOhneTilgung,1)=1,0,IF(AND(INDEX(DarlTilgStart,1)&gt;0,$E215=INDEX(DarlTilgStart,1)),$J215*($H215+INDEX(DarlTilgung,1))/100/12,IF(AND($G215=0,$G214=1),MAX($K214,$J215*($H215+1)/100/12),$K214))))</f>
      </c>
      <c r="L215" s="43">
        <f>IF($I215=0,0,$J215*$H215/100/12)</f>
      </c>
      <c r="M215" s="43">
        <f>IF($I215=0,0,IF(OR(INDEX(DarlOhneTilgung,1)=1,AND(INDEX(DarlTilgStart,1)&gt;0,$E215&lt;INDEX(DarlTilgStart,1))),0,MIN(MAX(0,$K215-$L215),$J215)))</f>
      </c>
      <c r="N215" s="43">
        <f>IF($I215=0,0,MIN(SUMIFS(SondBetrag,SondDarl,1,SondDatum,"&gt;="&amp;$E215,SondDatum,"&lt;="&amp;EOMONTH($E215,0)),$J215-$M215))</f>
      </c>
      <c r="O215" s="43">
        <f>IF($I215=0,0,INDEX(DarlErsatzRate,1))</f>
      </c>
      <c r="P215" s="43">
        <f>IF($I215=0,0,$Q214*INDEX(DarlErsatzZins,1))</f>
      </c>
      <c r="Q215" s="43">
        <f>IF($I215=0,0,$Q214+$P215+$O215)</f>
      </c>
      <c r="R215" s="43">
        <f>IF($I215=0,0,$J215-$M215-$N215)</f>
      </c>
    </row>
    <row r="216">
      <c r="A216"/>
      <c r="B216">
        <v>1</v>
      </c>
      <c r="C216" s="43">
        <f>INDEX(DarlObj,1)</f>
      </c>
      <c r="D216">
        <v>213</v>
      </c>
      <c r="E216" s="51">
        <f>IF(INDEX(DarlBelegt,1)=0,0,EOMONTH(INDEX(DarlAuszahlung,1),212)+1)</f>
      </c>
      <c r="F216" s="43">
        <f>IF($E216=0,0,YEAR($E216))</f>
      </c>
      <c r="G216" s="43">
        <f>IF(INDEX(DarlBindung,1)="",1,IF($E216&lt;=INDEX(DarlBindung,1),1,0))</f>
      </c>
      <c r="H216" s="43">
        <f>IF($G216=1,INDEX(DarlSollzins,1),INDEX(DarlAnschluss,1))</f>
      </c>
      <c r="I216" s="43">
        <f>IF(INDEX(DarlBelegt,1)=0,0,IF(INDEX(DarlOhneTilgung,1)=1,IF(INDEX(DarlBindung,1)="",1,$G216),IF($J216&gt;0.005,1,0)))</f>
      </c>
      <c r="J216" s="43">
        <f>IF($I215=0,0,$R215)</f>
      </c>
      <c r="K216" s="43">
        <f>IF($I216=0,0,IF(INDEX(DarlOhneTilgung,1)=1,0,IF(AND(INDEX(DarlTilgStart,1)&gt;0,$E216=INDEX(DarlTilgStart,1)),$J216*($H216+INDEX(DarlTilgung,1))/100/12,IF(AND($G216=0,$G215=1),MAX($K215,$J216*($H216+1)/100/12),$K215))))</f>
      </c>
      <c r="L216" s="43">
        <f>IF($I216=0,0,$J216*$H216/100/12)</f>
      </c>
      <c r="M216" s="43">
        <f>IF($I216=0,0,IF(OR(INDEX(DarlOhneTilgung,1)=1,AND(INDEX(DarlTilgStart,1)&gt;0,$E216&lt;INDEX(DarlTilgStart,1))),0,MIN(MAX(0,$K216-$L216),$J216)))</f>
      </c>
      <c r="N216" s="43">
        <f>IF($I216=0,0,MIN(SUMIFS(SondBetrag,SondDarl,1,SondDatum,"&gt;="&amp;$E216,SondDatum,"&lt;="&amp;EOMONTH($E216,0)),$J216-$M216))</f>
      </c>
      <c r="O216" s="43">
        <f>IF($I216=0,0,INDEX(DarlErsatzRate,1))</f>
      </c>
      <c r="P216" s="43">
        <f>IF($I216=0,0,$Q215*INDEX(DarlErsatzZins,1))</f>
      </c>
      <c r="Q216" s="43">
        <f>IF($I216=0,0,$Q215+$P216+$O216)</f>
      </c>
      <c r="R216" s="43">
        <f>IF($I216=0,0,$J216-$M216-$N216)</f>
      </c>
    </row>
    <row r="217">
      <c r="A217"/>
      <c r="B217">
        <v>1</v>
      </c>
      <c r="C217" s="43">
        <f>INDEX(DarlObj,1)</f>
      </c>
      <c r="D217">
        <v>214</v>
      </c>
      <c r="E217" s="51">
        <f>IF(INDEX(DarlBelegt,1)=0,0,EOMONTH(INDEX(DarlAuszahlung,1),213)+1)</f>
      </c>
      <c r="F217" s="43">
        <f>IF($E217=0,0,YEAR($E217))</f>
      </c>
      <c r="G217" s="43">
        <f>IF(INDEX(DarlBindung,1)="",1,IF($E217&lt;=INDEX(DarlBindung,1),1,0))</f>
      </c>
      <c r="H217" s="43">
        <f>IF($G217=1,INDEX(DarlSollzins,1),INDEX(DarlAnschluss,1))</f>
      </c>
      <c r="I217" s="43">
        <f>IF(INDEX(DarlBelegt,1)=0,0,IF(INDEX(DarlOhneTilgung,1)=1,IF(INDEX(DarlBindung,1)="",1,$G217),IF($J217&gt;0.005,1,0)))</f>
      </c>
      <c r="J217" s="43">
        <f>IF($I216=0,0,$R216)</f>
      </c>
      <c r="K217" s="43">
        <f>IF($I217=0,0,IF(INDEX(DarlOhneTilgung,1)=1,0,IF(AND(INDEX(DarlTilgStart,1)&gt;0,$E217=INDEX(DarlTilgStart,1)),$J217*($H217+INDEX(DarlTilgung,1))/100/12,IF(AND($G217=0,$G216=1),MAX($K216,$J217*($H217+1)/100/12),$K216))))</f>
      </c>
      <c r="L217" s="43">
        <f>IF($I217=0,0,$J217*$H217/100/12)</f>
      </c>
      <c r="M217" s="43">
        <f>IF($I217=0,0,IF(OR(INDEX(DarlOhneTilgung,1)=1,AND(INDEX(DarlTilgStart,1)&gt;0,$E217&lt;INDEX(DarlTilgStart,1))),0,MIN(MAX(0,$K217-$L217),$J217)))</f>
      </c>
      <c r="N217" s="43">
        <f>IF($I217=0,0,MIN(SUMIFS(SondBetrag,SondDarl,1,SondDatum,"&gt;="&amp;$E217,SondDatum,"&lt;="&amp;EOMONTH($E217,0)),$J217-$M217))</f>
      </c>
      <c r="O217" s="43">
        <f>IF($I217=0,0,INDEX(DarlErsatzRate,1))</f>
      </c>
      <c r="P217" s="43">
        <f>IF($I217=0,0,$Q216*INDEX(DarlErsatzZins,1))</f>
      </c>
      <c r="Q217" s="43">
        <f>IF($I217=0,0,$Q216+$P217+$O217)</f>
      </c>
      <c r="R217" s="43">
        <f>IF($I217=0,0,$J217-$M217-$N217)</f>
      </c>
    </row>
    <row r="218">
      <c r="A218"/>
      <c r="B218">
        <v>1</v>
      </c>
      <c r="C218" s="43">
        <f>INDEX(DarlObj,1)</f>
      </c>
      <c r="D218">
        <v>215</v>
      </c>
      <c r="E218" s="51">
        <f>IF(INDEX(DarlBelegt,1)=0,0,EOMONTH(INDEX(DarlAuszahlung,1),214)+1)</f>
      </c>
      <c r="F218" s="43">
        <f>IF($E218=0,0,YEAR($E218))</f>
      </c>
      <c r="G218" s="43">
        <f>IF(INDEX(DarlBindung,1)="",1,IF($E218&lt;=INDEX(DarlBindung,1),1,0))</f>
      </c>
      <c r="H218" s="43">
        <f>IF($G218=1,INDEX(DarlSollzins,1),INDEX(DarlAnschluss,1))</f>
      </c>
      <c r="I218" s="43">
        <f>IF(INDEX(DarlBelegt,1)=0,0,IF(INDEX(DarlOhneTilgung,1)=1,IF(INDEX(DarlBindung,1)="",1,$G218),IF($J218&gt;0.005,1,0)))</f>
      </c>
      <c r="J218" s="43">
        <f>IF($I217=0,0,$R217)</f>
      </c>
      <c r="K218" s="43">
        <f>IF($I218=0,0,IF(INDEX(DarlOhneTilgung,1)=1,0,IF(AND(INDEX(DarlTilgStart,1)&gt;0,$E218=INDEX(DarlTilgStart,1)),$J218*($H218+INDEX(DarlTilgung,1))/100/12,IF(AND($G218=0,$G217=1),MAX($K217,$J218*($H218+1)/100/12),$K217))))</f>
      </c>
      <c r="L218" s="43">
        <f>IF($I218=0,0,$J218*$H218/100/12)</f>
      </c>
      <c r="M218" s="43">
        <f>IF($I218=0,0,IF(OR(INDEX(DarlOhneTilgung,1)=1,AND(INDEX(DarlTilgStart,1)&gt;0,$E218&lt;INDEX(DarlTilgStart,1))),0,MIN(MAX(0,$K218-$L218),$J218)))</f>
      </c>
      <c r="N218" s="43">
        <f>IF($I218=0,0,MIN(SUMIFS(SondBetrag,SondDarl,1,SondDatum,"&gt;="&amp;$E218,SondDatum,"&lt;="&amp;EOMONTH($E218,0)),$J218-$M218))</f>
      </c>
      <c r="O218" s="43">
        <f>IF($I218=0,0,INDEX(DarlErsatzRate,1))</f>
      </c>
      <c r="P218" s="43">
        <f>IF($I218=0,0,$Q217*INDEX(DarlErsatzZins,1))</f>
      </c>
      <c r="Q218" s="43">
        <f>IF($I218=0,0,$Q217+$P218+$O218)</f>
      </c>
      <c r="R218" s="43">
        <f>IF($I218=0,0,$J218-$M218-$N218)</f>
      </c>
    </row>
    <row r="219">
      <c r="A219"/>
      <c r="B219">
        <v>1</v>
      </c>
      <c r="C219" s="43">
        <f>INDEX(DarlObj,1)</f>
      </c>
      <c r="D219">
        <v>216</v>
      </c>
      <c r="E219" s="51">
        <f>IF(INDEX(DarlBelegt,1)=0,0,EOMONTH(INDEX(DarlAuszahlung,1),215)+1)</f>
      </c>
      <c r="F219" s="43">
        <f>IF($E219=0,0,YEAR($E219))</f>
      </c>
      <c r="G219" s="43">
        <f>IF(INDEX(DarlBindung,1)="",1,IF($E219&lt;=INDEX(DarlBindung,1),1,0))</f>
      </c>
      <c r="H219" s="43">
        <f>IF($G219=1,INDEX(DarlSollzins,1),INDEX(DarlAnschluss,1))</f>
      </c>
      <c r="I219" s="43">
        <f>IF(INDEX(DarlBelegt,1)=0,0,IF(INDEX(DarlOhneTilgung,1)=1,IF(INDEX(DarlBindung,1)="",1,$G219),IF($J219&gt;0.005,1,0)))</f>
      </c>
      <c r="J219" s="43">
        <f>IF($I218=0,0,$R218)</f>
      </c>
      <c r="K219" s="43">
        <f>IF($I219=0,0,IF(INDEX(DarlOhneTilgung,1)=1,0,IF(AND(INDEX(DarlTilgStart,1)&gt;0,$E219=INDEX(DarlTilgStart,1)),$J219*($H219+INDEX(DarlTilgung,1))/100/12,IF(AND($G219=0,$G218=1),MAX($K218,$J219*($H219+1)/100/12),$K218))))</f>
      </c>
      <c r="L219" s="43">
        <f>IF($I219=0,0,$J219*$H219/100/12)</f>
      </c>
      <c r="M219" s="43">
        <f>IF($I219=0,0,IF(OR(INDEX(DarlOhneTilgung,1)=1,AND(INDEX(DarlTilgStart,1)&gt;0,$E219&lt;INDEX(DarlTilgStart,1))),0,MIN(MAX(0,$K219-$L219),$J219)))</f>
      </c>
      <c r="N219" s="43">
        <f>IF($I219=0,0,MIN(SUMIFS(SondBetrag,SondDarl,1,SondDatum,"&gt;="&amp;$E219,SondDatum,"&lt;="&amp;EOMONTH($E219,0)),$J219-$M219))</f>
      </c>
      <c r="O219" s="43">
        <f>IF($I219=0,0,INDEX(DarlErsatzRate,1))</f>
      </c>
      <c r="P219" s="43">
        <f>IF($I219=0,0,$Q218*INDEX(DarlErsatzZins,1))</f>
      </c>
      <c r="Q219" s="43">
        <f>IF($I219=0,0,$Q218+$P219+$O219)</f>
      </c>
      <c r="R219" s="43">
        <f>IF($I219=0,0,$J219-$M219-$N219)</f>
      </c>
    </row>
    <row r="220">
      <c r="A220"/>
      <c r="B220">
        <v>1</v>
      </c>
      <c r="C220" s="43">
        <f>INDEX(DarlObj,1)</f>
      </c>
      <c r="D220">
        <v>217</v>
      </c>
      <c r="E220" s="51">
        <f>IF(INDEX(DarlBelegt,1)=0,0,EOMONTH(INDEX(DarlAuszahlung,1),216)+1)</f>
      </c>
      <c r="F220" s="43">
        <f>IF($E220=0,0,YEAR($E220))</f>
      </c>
      <c r="G220" s="43">
        <f>IF(INDEX(DarlBindung,1)="",1,IF($E220&lt;=INDEX(DarlBindung,1),1,0))</f>
      </c>
      <c r="H220" s="43">
        <f>IF($G220=1,INDEX(DarlSollzins,1),INDEX(DarlAnschluss,1))</f>
      </c>
      <c r="I220" s="43">
        <f>IF(INDEX(DarlBelegt,1)=0,0,IF(INDEX(DarlOhneTilgung,1)=1,IF(INDEX(DarlBindung,1)="",1,$G220),IF($J220&gt;0.005,1,0)))</f>
      </c>
      <c r="J220" s="43">
        <f>IF($I219=0,0,$R219)</f>
      </c>
      <c r="K220" s="43">
        <f>IF($I220=0,0,IF(INDEX(DarlOhneTilgung,1)=1,0,IF(AND(INDEX(DarlTilgStart,1)&gt;0,$E220=INDEX(DarlTilgStart,1)),$J220*($H220+INDEX(DarlTilgung,1))/100/12,IF(AND($G220=0,$G219=1),MAX($K219,$J220*($H220+1)/100/12),$K219))))</f>
      </c>
      <c r="L220" s="43">
        <f>IF($I220=0,0,$J220*$H220/100/12)</f>
      </c>
      <c r="M220" s="43">
        <f>IF($I220=0,0,IF(OR(INDEX(DarlOhneTilgung,1)=1,AND(INDEX(DarlTilgStart,1)&gt;0,$E220&lt;INDEX(DarlTilgStart,1))),0,MIN(MAX(0,$K220-$L220),$J220)))</f>
      </c>
      <c r="N220" s="43">
        <f>IF($I220=0,0,MIN(SUMIFS(SondBetrag,SondDarl,1,SondDatum,"&gt;="&amp;$E220,SondDatum,"&lt;="&amp;EOMONTH($E220,0)),$J220-$M220))</f>
      </c>
      <c r="O220" s="43">
        <f>IF($I220=0,0,INDEX(DarlErsatzRate,1))</f>
      </c>
      <c r="P220" s="43">
        <f>IF($I220=0,0,$Q219*INDEX(DarlErsatzZins,1))</f>
      </c>
      <c r="Q220" s="43">
        <f>IF($I220=0,0,$Q219+$P220+$O220)</f>
      </c>
      <c r="R220" s="43">
        <f>IF($I220=0,0,$J220-$M220-$N220)</f>
      </c>
    </row>
    <row r="221">
      <c r="A221"/>
      <c r="B221">
        <v>1</v>
      </c>
      <c r="C221" s="43">
        <f>INDEX(DarlObj,1)</f>
      </c>
      <c r="D221">
        <v>218</v>
      </c>
      <c r="E221" s="51">
        <f>IF(INDEX(DarlBelegt,1)=0,0,EOMONTH(INDEX(DarlAuszahlung,1),217)+1)</f>
      </c>
      <c r="F221" s="43">
        <f>IF($E221=0,0,YEAR($E221))</f>
      </c>
      <c r="G221" s="43">
        <f>IF(INDEX(DarlBindung,1)="",1,IF($E221&lt;=INDEX(DarlBindung,1),1,0))</f>
      </c>
      <c r="H221" s="43">
        <f>IF($G221=1,INDEX(DarlSollzins,1),INDEX(DarlAnschluss,1))</f>
      </c>
      <c r="I221" s="43">
        <f>IF(INDEX(DarlBelegt,1)=0,0,IF(INDEX(DarlOhneTilgung,1)=1,IF(INDEX(DarlBindung,1)="",1,$G221),IF($J221&gt;0.005,1,0)))</f>
      </c>
      <c r="J221" s="43">
        <f>IF($I220=0,0,$R220)</f>
      </c>
      <c r="K221" s="43">
        <f>IF($I221=0,0,IF(INDEX(DarlOhneTilgung,1)=1,0,IF(AND(INDEX(DarlTilgStart,1)&gt;0,$E221=INDEX(DarlTilgStart,1)),$J221*($H221+INDEX(DarlTilgung,1))/100/12,IF(AND($G221=0,$G220=1),MAX($K220,$J221*($H221+1)/100/12),$K220))))</f>
      </c>
      <c r="L221" s="43">
        <f>IF($I221=0,0,$J221*$H221/100/12)</f>
      </c>
      <c r="M221" s="43">
        <f>IF($I221=0,0,IF(OR(INDEX(DarlOhneTilgung,1)=1,AND(INDEX(DarlTilgStart,1)&gt;0,$E221&lt;INDEX(DarlTilgStart,1))),0,MIN(MAX(0,$K221-$L221),$J221)))</f>
      </c>
      <c r="N221" s="43">
        <f>IF($I221=0,0,MIN(SUMIFS(SondBetrag,SondDarl,1,SondDatum,"&gt;="&amp;$E221,SondDatum,"&lt;="&amp;EOMONTH($E221,0)),$J221-$M221))</f>
      </c>
      <c r="O221" s="43">
        <f>IF($I221=0,0,INDEX(DarlErsatzRate,1))</f>
      </c>
      <c r="P221" s="43">
        <f>IF($I221=0,0,$Q220*INDEX(DarlErsatzZins,1))</f>
      </c>
      <c r="Q221" s="43">
        <f>IF($I221=0,0,$Q220+$P221+$O221)</f>
      </c>
      <c r="R221" s="43">
        <f>IF($I221=0,0,$J221-$M221-$N221)</f>
      </c>
    </row>
    <row r="222">
      <c r="A222"/>
      <c r="B222">
        <v>1</v>
      </c>
      <c r="C222" s="43">
        <f>INDEX(DarlObj,1)</f>
      </c>
      <c r="D222">
        <v>219</v>
      </c>
      <c r="E222" s="51">
        <f>IF(INDEX(DarlBelegt,1)=0,0,EOMONTH(INDEX(DarlAuszahlung,1),218)+1)</f>
      </c>
      <c r="F222" s="43">
        <f>IF($E222=0,0,YEAR($E222))</f>
      </c>
      <c r="G222" s="43">
        <f>IF(INDEX(DarlBindung,1)="",1,IF($E222&lt;=INDEX(DarlBindung,1),1,0))</f>
      </c>
      <c r="H222" s="43">
        <f>IF($G222=1,INDEX(DarlSollzins,1),INDEX(DarlAnschluss,1))</f>
      </c>
      <c r="I222" s="43">
        <f>IF(INDEX(DarlBelegt,1)=0,0,IF(INDEX(DarlOhneTilgung,1)=1,IF(INDEX(DarlBindung,1)="",1,$G222),IF($J222&gt;0.005,1,0)))</f>
      </c>
      <c r="J222" s="43">
        <f>IF($I221=0,0,$R221)</f>
      </c>
      <c r="K222" s="43">
        <f>IF($I222=0,0,IF(INDEX(DarlOhneTilgung,1)=1,0,IF(AND(INDEX(DarlTilgStart,1)&gt;0,$E222=INDEX(DarlTilgStart,1)),$J222*($H222+INDEX(DarlTilgung,1))/100/12,IF(AND($G222=0,$G221=1),MAX($K221,$J222*($H222+1)/100/12),$K221))))</f>
      </c>
      <c r="L222" s="43">
        <f>IF($I222=0,0,$J222*$H222/100/12)</f>
      </c>
      <c r="M222" s="43">
        <f>IF($I222=0,0,IF(OR(INDEX(DarlOhneTilgung,1)=1,AND(INDEX(DarlTilgStart,1)&gt;0,$E222&lt;INDEX(DarlTilgStart,1))),0,MIN(MAX(0,$K222-$L222),$J222)))</f>
      </c>
      <c r="N222" s="43">
        <f>IF($I222=0,0,MIN(SUMIFS(SondBetrag,SondDarl,1,SondDatum,"&gt;="&amp;$E222,SondDatum,"&lt;="&amp;EOMONTH($E222,0)),$J222-$M222))</f>
      </c>
      <c r="O222" s="43">
        <f>IF($I222=0,0,INDEX(DarlErsatzRate,1))</f>
      </c>
      <c r="P222" s="43">
        <f>IF($I222=0,0,$Q221*INDEX(DarlErsatzZins,1))</f>
      </c>
      <c r="Q222" s="43">
        <f>IF($I222=0,0,$Q221+$P222+$O222)</f>
      </c>
      <c r="R222" s="43">
        <f>IF($I222=0,0,$J222-$M222-$N222)</f>
      </c>
    </row>
    <row r="223">
      <c r="A223"/>
      <c r="B223">
        <v>1</v>
      </c>
      <c r="C223" s="43">
        <f>INDEX(DarlObj,1)</f>
      </c>
      <c r="D223">
        <v>220</v>
      </c>
      <c r="E223" s="51">
        <f>IF(INDEX(DarlBelegt,1)=0,0,EOMONTH(INDEX(DarlAuszahlung,1),219)+1)</f>
      </c>
      <c r="F223" s="43">
        <f>IF($E223=0,0,YEAR($E223))</f>
      </c>
      <c r="G223" s="43">
        <f>IF(INDEX(DarlBindung,1)="",1,IF($E223&lt;=INDEX(DarlBindung,1),1,0))</f>
      </c>
      <c r="H223" s="43">
        <f>IF($G223=1,INDEX(DarlSollzins,1),INDEX(DarlAnschluss,1))</f>
      </c>
      <c r="I223" s="43">
        <f>IF(INDEX(DarlBelegt,1)=0,0,IF(INDEX(DarlOhneTilgung,1)=1,IF(INDEX(DarlBindung,1)="",1,$G223),IF($J223&gt;0.005,1,0)))</f>
      </c>
      <c r="J223" s="43">
        <f>IF($I222=0,0,$R222)</f>
      </c>
      <c r="K223" s="43">
        <f>IF($I223=0,0,IF(INDEX(DarlOhneTilgung,1)=1,0,IF(AND(INDEX(DarlTilgStart,1)&gt;0,$E223=INDEX(DarlTilgStart,1)),$J223*($H223+INDEX(DarlTilgung,1))/100/12,IF(AND($G223=0,$G222=1),MAX($K222,$J223*($H223+1)/100/12),$K222))))</f>
      </c>
      <c r="L223" s="43">
        <f>IF($I223=0,0,$J223*$H223/100/12)</f>
      </c>
      <c r="M223" s="43">
        <f>IF($I223=0,0,IF(OR(INDEX(DarlOhneTilgung,1)=1,AND(INDEX(DarlTilgStart,1)&gt;0,$E223&lt;INDEX(DarlTilgStart,1))),0,MIN(MAX(0,$K223-$L223),$J223)))</f>
      </c>
      <c r="N223" s="43">
        <f>IF($I223=0,0,MIN(SUMIFS(SondBetrag,SondDarl,1,SondDatum,"&gt;="&amp;$E223,SondDatum,"&lt;="&amp;EOMONTH($E223,0)),$J223-$M223))</f>
      </c>
      <c r="O223" s="43">
        <f>IF($I223=0,0,INDEX(DarlErsatzRate,1))</f>
      </c>
      <c r="P223" s="43">
        <f>IF($I223=0,0,$Q222*INDEX(DarlErsatzZins,1))</f>
      </c>
      <c r="Q223" s="43">
        <f>IF($I223=0,0,$Q222+$P223+$O223)</f>
      </c>
      <c r="R223" s="43">
        <f>IF($I223=0,0,$J223-$M223-$N223)</f>
      </c>
    </row>
    <row r="224">
      <c r="A224"/>
      <c r="B224">
        <v>1</v>
      </c>
      <c r="C224" s="43">
        <f>INDEX(DarlObj,1)</f>
      </c>
      <c r="D224">
        <v>221</v>
      </c>
      <c r="E224" s="51">
        <f>IF(INDEX(DarlBelegt,1)=0,0,EOMONTH(INDEX(DarlAuszahlung,1),220)+1)</f>
      </c>
      <c r="F224" s="43">
        <f>IF($E224=0,0,YEAR($E224))</f>
      </c>
      <c r="G224" s="43">
        <f>IF(INDEX(DarlBindung,1)="",1,IF($E224&lt;=INDEX(DarlBindung,1),1,0))</f>
      </c>
      <c r="H224" s="43">
        <f>IF($G224=1,INDEX(DarlSollzins,1),INDEX(DarlAnschluss,1))</f>
      </c>
      <c r="I224" s="43">
        <f>IF(INDEX(DarlBelegt,1)=0,0,IF(INDEX(DarlOhneTilgung,1)=1,IF(INDEX(DarlBindung,1)="",1,$G224),IF($J224&gt;0.005,1,0)))</f>
      </c>
      <c r="J224" s="43">
        <f>IF($I223=0,0,$R223)</f>
      </c>
      <c r="K224" s="43">
        <f>IF($I224=0,0,IF(INDEX(DarlOhneTilgung,1)=1,0,IF(AND(INDEX(DarlTilgStart,1)&gt;0,$E224=INDEX(DarlTilgStart,1)),$J224*($H224+INDEX(DarlTilgung,1))/100/12,IF(AND($G224=0,$G223=1),MAX($K223,$J224*($H224+1)/100/12),$K223))))</f>
      </c>
      <c r="L224" s="43">
        <f>IF($I224=0,0,$J224*$H224/100/12)</f>
      </c>
      <c r="M224" s="43">
        <f>IF($I224=0,0,IF(OR(INDEX(DarlOhneTilgung,1)=1,AND(INDEX(DarlTilgStart,1)&gt;0,$E224&lt;INDEX(DarlTilgStart,1))),0,MIN(MAX(0,$K224-$L224),$J224)))</f>
      </c>
      <c r="N224" s="43">
        <f>IF($I224=0,0,MIN(SUMIFS(SondBetrag,SondDarl,1,SondDatum,"&gt;="&amp;$E224,SondDatum,"&lt;="&amp;EOMONTH($E224,0)),$J224-$M224))</f>
      </c>
      <c r="O224" s="43">
        <f>IF($I224=0,0,INDEX(DarlErsatzRate,1))</f>
      </c>
      <c r="P224" s="43">
        <f>IF($I224=0,0,$Q223*INDEX(DarlErsatzZins,1))</f>
      </c>
      <c r="Q224" s="43">
        <f>IF($I224=0,0,$Q223+$P224+$O224)</f>
      </c>
      <c r="R224" s="43">
        <f>IF($I224=0,0,$J224-$M224-$N224)</f>
      </c>
    </row>
    <row r="225">
      <c r="A225"/>
      <c r="B225">
        <v>1</v>
      </c>
      <c r="C225" s="43">
        <f>INDEX(DarlObj,1)</f>
      </c>
      <c r="D225">
        <v>222</v>
      </c>
      <c r="E225" s="51">
        <f>IF(INDEX(DarlBelegt,1)=0,0,EOMONTH(INDEX(DarlAuszahlung,1),221)+1)</f>
      </c>
      <c r="F225" s="43">
        <f>IF($E225=0,0,YEAR($E225))</f>
      </c>
      <c r="G225" s="43">
        <f>IF(INDEX(DarlBindung,1)="",1,IF($E225&lt;=INDEX(DarlBindung,1),1,0))</f>
      </c>
      <c r="H225" s="43">
        <f>IF($G225=1,INDEX(DarlSollzins,1),INDEX(DarlAnschluss,1))</f>
      </c>
      <c r="I225" s="43">
        <f>IF(INDEX(DarlBelegt,1)=0,0,IF(INDEX(DarlOhneTilgung,1)=1,IF(INDEX(DarlBindung,1)="",1,$G225),IF($J225&gt;0.005,1,0)))</f>
      </c>
      <c r="J225" s="43">
        <f>IF($I224=0,0,$R224)</f>
      </c>
      <c r="K225" s="43">
        <f>IF($I225=0,0,IF(INDEX(DarlOhneTilgung,1)=1,0,IF(AND(INDEX(DarlTilgStart,1)&gt;0,$E225=INDEX(DarlTilgStart,1)),$J225*($H225+INDEX(DarlTilgung,1))/100/12,IF(AND($G225=0,$G224=1),MAX($K224,$J225*($H225+1)/100/12),$K224))))</f>
      </c>
      <c r="L225" s="43">
        <f>IF($I225=0,0,$J225*$H225/100/12)</f>
      </c>
      <c r="M225" s="43">
        <f>IF($I225=0,0,IF(OR(INDEX(DarlOhneTilgung,1)=1,AND(INDEX(DarlTilgStart,1)&gt;0,$E225&lt;INDEX(DarlTilgStart,1))),0,MIN(MAX(0,$K225-$L225),$J225)))</f>
      </c>
      <c r="N225" s="43">
        <f>IF($I225=0,0,MIN(SUMIFS(SondBetrag,SondDarl,1,SondDatum,"&gt;="&amp;$E225,SondDatum,"&lt;="&amp;EOMONTH($E225,0)),$J225-$M225))</f>
      </c>
      <c r="O225" s="43">
        <f>IF($I225=0,0,INDEX(DarlErsatzRate,1))</f>
      </c>
      <c r="P225" s="43">
        <f>IF($I225=0,0,$Q224*INDEX(DarlErsatzZins,1))</f>
      </c>
      <c r="Q225" s="43">
        <f>IF($I225=0,0,$Q224+$P225+$O225)</f>
      </c>
      <c r="R225" s="43">
        <f>IF($I225=0,0,$J225-$M225-$N225)</f>
      </c>
    </row>
    <row r="226">
      <c r="A226"/>
      <c r="B226">
        <v>1</v>
      </c>
      <c r="C226" s="43">
        <f>INDEX(DarlObj,1)</f>
      </c>
      <c r="D226">
        <v>223</v>
      </c>
      <c r="E226" s="51">
        <f>IF(INDEX(DarlBelegt,1)=0,0,EOMONTH(INDEX(DarlAuszahlung,1),222)+1)</f>
      </c>
      <c r="F226" s="43">
        <f>IF($E226=0,0,YEAR($E226))</f>
      </c>
      <c r="G226" s="43">
        <f>IF(INDEX(DarlBindung,1)="",1,IF($E226&lt;=INDEX(DarlBindung,1),1,0))</f>
      </c>
      <c r="H226" s="43">
        <f>IF($G226=1,INDEX(DarlSollzins,1),INDEX(DarlAnschluss,1))</f>
      </c>
      <c r="I226" s="43">
        <f>IF(INDEX(DarlBelegt,1)=0,0,IF(INDEX(DarlOhneTilgung,1)=1,IF(INDEX(DarlBindung,1)="",1,$G226),IF($J226&gt;0.005,1,0)))</f>
      </c>
      <c r="J226" s="43">
        <f>IF($I225=0,0,$R225)</f>
      </c>
      <c r="K226" s="43">
        <f>IF($I226=0,0,IF(INDEX(DarlOhneTilgung,1)=1,0,IF(AND(INDEX(DarlTilgStart,1)&gt;0,$E226=INDEX(DarlTilgStart,1)),$J226*($H226+INDEX(DarlTilgung,1))/100/12,IF(AND($G226=0,$G225=1),MAX($K225,$J226*($H226+1)/100/12),$K225))))</f>
      </c>
      <c r="L226" s="43">
        <f>IF($I226=0,0,$J226*$H226/100/12)</f>
      </c>
      <c r="M226" s="43">
        <f>IF($I226=0,0,IF(OR(INDEX(DarlOhneTilgung,1)=1,AND(INDEX(DarlTilgStart,1)&gt;0,$E226&lt;INDEX(DarlTilgStart,1))),0,MIN(MAX(0,$K226-$L226),$J226)))</f>
      </c>
      <c r="N226" s="43">
        <f>IF($I226=0,0,MIN(SUMIFS(SondBetrag,SondDarl,1,SondDatum,"&gt;="&amp;$E226,SondDatum,"&lt;="&amp;EOMONTH($E226,0)),$J226-$M226))</f>
      </c>
      <c r="O226" s="43">
        <f>IF($I226=0,0,INDEX(DarlErsatzRate,1))</f>
      </c>
      <c r="P226" s="43">
        <f>IF($I226=0,0,$Q225*INDEX(DarlErsatzZins,1))</f>
      </c>
      <c r="Q226" s="43">
        <f>IF($I226=0,0,$Q225+$P226+$O226)</f>
      </c>
      <c r="R226" s="43">
        <f>IF($I226=0,0,$J226-$M226-$N226)</f>
      </c>
    </row>
    <row r="227">
      <c r="A227"/>
      <c r="B227">
        <v>1</v>
      </c>
      <c r="C227" s="43">
        <f>INDEX(DarlObj,1)</f>
      </c>
      <c r="D227">
        <v>224</v>
      </c>
      <c r="E227" s="51">
        <f>IF(INDEX(DarlBelegt,1)=0,0,EOMONTH(INDEX(DarlAuszahlung,1),223)+1)</f>
      </c>
      <c r="F227" s="43">
        <f>IF($E227=0,0,YEAR($E227))</f>
      </c>
      <c r="G227" s="43">
        <f>IF(INDEX(DarlBindung,1)="",1,IF($E227&lt;=INDEX(DarlBindung,1),1,0))</f>
      </c>
      <c r="H227" s="43">
        <f>IF($G227=1,INDEX(DarlSollzins,1),INDEX(DarlAnschluss,1))</f>
      </c>
      <c r="I227" s="43">
        <f>IF(INDEX(DarlBelegt,1)=0,0,IF(INDEX(DarlOhneTilgung,1)=1,IF(INDEX(DarlBindung,1)="",1,$G227),IF($J227&gt;0.005,1,0)))</f>
      </c>
      <c r="J227" s="43">
        <f>IF($I226=0,0,$R226)</f>
      </c>
      <c r="K227" s="43">
        <f>IF($I227=0,0,IF(INDEX(DarlOhneTilgung,1)=1,0,IF(AND(INDEX(DarlTilgStart,1)&gt;0,$E227=INDEX(DarlTilgStart,1)),$J227*($H227+INDEX(DarlTilgung,1))/100/12,IF(AND($G227=0,$G226=1),MAX($K226,$J227*($H227+1)/100/12),$K226))))</f>
      </c>
      <c r="L227" s="43">
        <f>IF($I227=0,0,$J227*$H227/100/12)</f>
      </c>
      <c r="M227" s="43">
        <f>IF($I227=0,0,IF(OR(INDEX(DarlOhneTilgung,1)=1,AND(INDEX(DarlTilgStart,1)&gt;0,$E227&lt;INDEX(DarlTilgStart,1))),0,MIN(MAX(0,$K227-$L227),$J227)))</f>
      </c>
      <c r="N227" s="43">
        <f>IF($I227=0,0,MIN(SUMIFS(SondBetrag,SondDarl,1,SondDatum,"&gt;="&amp;$E227,SondDatum,"&lt;="&amp;EOMONTH($E227,0)),$J227-$M227))</f>
      </c>
      <c r="O227" s="43">
        <f>IF($I227=0,0,INDEX(DarlErsatzRate,1))</f>
      </c>
      <c r="P227" s="43">
        <f>IF($I227=0,0,$Q226*INDEX(DarlErsatzZins,1))</f>
      </c>
      <c r="Q227" s="43">
        <f>IF($I227=0,0,$Q226+$P227+$O227)</f>
      </c>
      <c r="R227" s="43">
        <f>IF($I227=0,0,$J227-$M227-$N227)</f>
      </c>
    </row>
    <row r="228">
      <c r="A228"/>
      <c r="B228">
        <v>1</v>
      </c>
      <c r="C228" s="43">
        <f>INDEX(DarlObj,1)</f>
      </c>
      <c r="D228">
        <v>225</v>
      </c>
      <c r="E228" s="51">
        <f>IF(INDEX(DarlBelegt,1)=0,0,EOMONTH(INDEX(DarlAuszahlung,1),224)+1)</f>
      </c>
      <c r="F228" s="43">
        <f>IF($E228=0,0,YEAR($E228))</f>
      </c>
      <c r="G228" s="43">
        <f>IF(INDEX(DarlBindung,1)="",1,IF($E228&lt;=INDEX(DarlBindung,1),1,0))</f>
      </c>
      <c r="H228" s="43">
        <f>IF($G228=1,INDEX(DarlSollzins,1),INDEX(DarlAnschluss,1))</f>
      </c>
      <c r="I228" s="43">
        <f>IF(INDEX(DarlBelegt,1)=0,0,IF(INDEX(DarlOhneTilgung,1)=1,IF(INDEX(DarlBindung,1)="",1,$G228),IF($J228&gt;0.005,1,0)))</f>
      </c>
      <c r="J228" s="43">
        <f>IF($I227=0,0,$R227)</f>
      </c>
      <c r="K228" s="43">
        <f>IF($I228=0,0,IF(INDEX(DarlOhneTilgung,1)=1,0,IF(AND(INDEX(DarlTilgStart,1)&gt;0,$E228=INDEX(DarlTilgStart,1)),$J228*($H228+INDEX(DarlTilgung,1))/100/12,IF(AND($G228=0,$G227=1),MAX($K227,$J228*($H228+1)/100/12),$K227))))</f>
      </c>
      <c r="L228" s="43">
        <f>IF($I228=0,0,$J228*$H228/100/12)</f>
      </c>
      <c r="M228" s="43">
        <f>IF($I228=0,0,IF(OR(INDEX(DarlOhneTilgung,1)=1,AND(INDEX(DarlTilgStart,1)&gt;0,$E228&lt;INDEX(DarlTilgStart,1))),0,MIN(MAX(0,$K228-$L228),$J228)))</f>
      </c>
      <c r="N228" s="43">
        <f>IF($I228=0,0,MIN(SUMIFS(SondBetrag,SondDarl,1,SondDatum,"&gt;="&amp;$E228,SondDatum,"&lt;="&amp;EOMONTH($E228,0)),$J228-$M228))</f>
      </c>
      <c r="O228" s="43">
        <f>IF($I228=0,0,INDEX(DarlErsatzRate,1))</f>
      </c>
      <c r="P228" s="43">
        <f>IF($I228=0,0,$Q227*INDEX(DarlErsatzZins,1))</f>
      </c>
      <c r="Q228" s="43">
        <f>IF($I228=0,0,$Q227+$P228+$O228)</f>
      </c>
      <c r="R228" s="43">
        <f>IF($I228=0,0,$J228-$M228-$N228)</f>
      </c>
    </row>
    <row r="229">
      <c r="A229"/>
      <c r="B229">
        <v>1</v>
      </c>
      <c r="C229" s="43">
        <f>INDEX(DarlObj,1)</f>
      </c>
      <c r="D229">
        <v>226</v>
      </c>
      <c r="E229" s="51">
        <f>IF(INDEX(DarlBelegt,1)=0,0,EOMONTH(INDEX(DarlAuszahlung,1),225)+1)</f>
      </c>
      <c r="F229" s="43">
        <f>IF($E229=0,0,YEAR($E229))</f>
      </c>
      <c r="G229" s="43">
        <f>IF(INDEX(DarlBindung,1)="",1,IF($E229&lt;=INDEX(DarlBindung,1),1,0))</f>
      </c>
      <c r="H229" s="43">
        <f>IF($G229=1,INDEX(DarlSollzins,1),INDEX(DarlAnschluss,1))</f>
      </c>
      <c r="I229" s="43">
        <f>IF(INDEX(DarlBelegt,1)=0,0,IF(INDEX(DarlOhneTilgung,1)=1,IF(INDEX(DarlBindung,1)="",1,$G229),IF($J229&gt;0.005,1,0)))</f>
      </c>
      <c r="J229" s="43">
        <f>IF($I228=0,0,$R228)</f>
      </c>
      <c r="K229" s="43">
        <f>IF($I229=0,0,IF(INDEX(DarlOhneTilgung,1)=1,0,IF(AND(INDEX(DarlTilgStart,1)&gt;0,$E229=INDEX(DarlTilgStart,1)),$J229*($H229+INDEX(DarlTilgung,1))/100/12,IF(AND($G229=0,$G228=1),MAX($K228,$J229*($H229+1)/100/12),$K228))))</f>
      </c>
      <c r="L229" s="43">
        <f>IF($I229=0,0,$J229*$H229/100/12)</f>
      </c>
      <c r="M229" s="43">
        <f>IF($I229=0,0,IF(OR(INDEX(DarlOhneTilgung,1)=1,AND(INDEX(DarlTilgStart,1)&gt;0,$E229&lt;INDEX(DarlTilgStart,1))),0,MIN(MAX(0,$K229-$L229),$J229)))</f>
      </c>
      <c r="N229" s="43">
        <f>IF($I229=0,0,MIN(SUMIFS(SondBetrag,SondDarl,1,SondDatum,"&gt;="&amp;$E229,SondDatum,"&lt;="&amp;EOMONTH($E229,0)),$J229-$M229))</f>
      </c>
      <c r="O229" s="43">
        <f>IF($I229=0,0,INDEX(DarlErsatzRate,1))</f>
      </c>
      <c r="P229" s="43">
        <f>IF($I229=0,0,$Q228*INDEX(DarlErsatzZins,1))</f>
      </c>
      <c r="Q229" s="43">
        <f>IF($I229=0,0,$Q228+$P229+$O229)</f>
      </c>
      <c r="R229" s="43">
        <f>IF($I229=0,0,$J229-$M229-$N229)</f>
      </c>
    </row>
    <row r="230">
      <c r="A230"/>
      <c r="B230">
        <v>1</v>
      </c>
      <c r="C230" s="43">
        <f>INDEX(DarlObj,1)</f>
      </c>
      <c r="D230">
        <v>227</v>
      </c>
      <c r="E230" s="51">
        <f>IF(INDEX(DarlBelegt,1)=0,0,EOMONTH(INDEX(DarlAuszahlung,1),226)+1)</f>
      </c>
      <c r="F230" s="43">
        <f>IF($E230=0,0,YEAR($E230))</f>
      </c>
      <c r="G230" s="43">
        <f>IF(INDEX(DarlBindung,1)="",1,IF($E230&lt;=INDEX(DarlBindung,1),1,0))</f>
      </c>
      <c r="H230" s="43">
        <f>IF($G230=1,INDEX(DarlSollzins,1),INDEX(DarlAnschluss,1))</f>
      </c>
      <c r="I230" s="43">
        <f>IF(INDEX(DarlBelegt,1)=0,0,IF(INDEX(DarlOhneTilgung,1)=1,IF(INDEX(DarlBindung,1)="",1,$G230),IF($J230&gt;0.005,1,0)))</f>
      </c>
      <c r="J230" s="43">
        <f>IF($I229=0,0,$R229)</f>
      </c>
      <c r="K230" s="43">
        <f>IF($I230=0,0,IF(INDEX(DarlOhneTilgung,1)=1,0,IF(AND(INDEX(DarlTilgStart,1)&gt;0,$E230=INDEX(DarlTilgStart,1)),$J230*($H230+INDEX(DarlTilgung,1))/100/12,IF(AND($G230=0,$G229=1),MAX($K229,$J230*($H230+1)/100/12),$K229))))</f>
      </c>
      <c r="L230" s="43">
        <f>IF($I230=0,0,$J230*$H230/100/12)</f>
      </c>
      <c r="M230" s="43">
        <f>IF($I230=0,0,IF(OR(INDEX(DarlOhneTilgung,1)=1,AND(INDEX(DarlTilgStart,1)&gt;0,$E230&lt;INDEX(DarlTilgStart,1))),0,MIN(MAX(0,$K230-$L230),$J230)))</f>
      </c>
      <c r="N230" s="43">
        <f>IF($I230=0,0,MIN(SUMIFS(SondBetrag,SondDarl,1,SondDatum,"&gt;="&amp;$E230,SondDatum,"&lt;="&amp;EOMONTH($E230,0)),$J230-$M230))</f>
      </c>
      <c r="O230" s="43">
        <f>IF($I230=0,0,INDEX(DarlErsatzRate,1))</f>
      </c>
      <c r="P230" s="43">
        <f>IF($I230=0,0,$Q229*INDEX(DarlErsatzZins,1))</f>
      </c>
      <c r="Q230" s="43">
        <f>IF($I230=0,0,$Q229+$P230+$O230)</f>
      </c>
      <c r="R230" s="43">
        <f>IF($I230=0,0,$J230-$M230-$N230)</f>
      </c>
    </row>
    <row r="231">
      <c r="A231"/>
      <c r="B231">
        <v>1</v>
      </c>
      <c r="C231" s="43">
        <f>INDEX(DarlObj,1)</f>
      </c>
      <c r="D231">
        <v>228</v>
      </c>
      <c r="E231" s="51">
        <f>IF(INDEX(DarlBelegt,1)=0,0,EOMONTH(INDEX(DarlAuszahlung,1),227)+1)</f>
      </c>
      <c r="F231" s="43">
        <f>IF($E231=0,0,YEAR($E231))</f>
      </c>
      <c r="G231" s="43">
        <f>IF(INDEX(DarlBindung,1)="",1,IF($E231&lt;=INDEX(DarlBindung,1),1,0))</f>
      </c>
      <c r="H231" s="43">
        <f>IF($G231=1,INDEX(DarlSollzins,1),INDEX(DarlAnschluss,1))</f>
      </c>
      <c r="I231" s="43">
        <f>IF(INDEX(DarlBelegt,1)=0,0,IF(INDEX(DarlOhneTilgung,1)=1,IF(INDEX(DarlBindung,1)="",1,$G231),IF($J231&gt;0.005,1,0)))</f>
      </c>
      <c r="J231" s="43">
        <f>IF($I230=0,0,$R230)</f>
      </c>
      <c r="K231" s="43">
        <f>IF($I231=0,0,IF(INDEX(DarlOhneTilgung,1)=1,0,IF(AND(INDEX(DarlTilgStart,1)&gt;0,$E231=INDEX(DarlTilgStart,1)),$J231*($H231+INDEX(DarlTilgung,1))/100/12,IF(AND($G231=0,$G230=1),MAX($K230,$J231*($H231+1)/100/12),$K230))))</f>
      </c>
      <c r="L231" s="43">
        <f>IF($I231=0,0,$J231*$H231/100/12)</f>
      </c>
      <c r="M231" s="43">
        <f>IF($I231=0,0,IF(OR(INDEX(DarlOhneTilgung,1)=1,AND(INDEX(DarlTilgStart,1)&gt;0,$E231&lt;INDEX(DarlTilgStart,1))),0,MIN(MAX(0,$K231-$L231),$J231)))</f>
      </c>
      <c r="N231" s="43">
        <f>IF($I231=0,0,MIN(SUMIFS(SondBetrag,SondDarl,1,SondDatum,"&gt;="&amp;$E231,SondDatum,"&lt;="&amp;EOMONTH($E231,0)),$J231-$M231))</f>
      </c>
      <c r="O231" s="43">
        <f>IF($I231=0,0,INDEX(DarlErsatzRate,1))</f>
      </c>
      <c r="P231" s="43">
        <f>IF($I231=0,0,$Q230*INDEX(DarlErsatzZins,1))</f>
      </c>
      <c r="Q231" s="43">
        <f>IF($I231=0,0,$Q230+$P231+$O231)</f>
      </c>
      <c r="R231" s="43">
        <f>IF($I231=0,0,$J231-$M231-$N231)</f>
      </c>
    </row>
    <row r="232">
      <c r="A232"/>
      <c r="B232">
        <v>1</v>
      </c>
      <c r="C232" s="43">
        <f>INDEX(DarlObj,1)</f>
      </c>
      <c r="D232">
        <v>229</v>
      </c>
      <c r="E232" s="51">
        <f>IF(INDEX(DarlBelegt,1)=0,0,EOMONTH(INDEX(DarlAuszahlung,1),228)+1)</f>
      </c>
      <c r="F232" s="43">
        <f>IF($E232=0,0,YEAR($E232))</f>
      </c>
      <c r="G232" s="43">
        <f>IF(INDEX(DarlBindung,1)="",1,IF($E232&lt;=INDEX(DarlBindung,1),1,0))</f>
      </c>
      <c r="H232" s="43">
        <f>IF($G232=1,INDEX(DarlSollzins,1),INDEX(DarlAnschluss,1))</f>
      </c>
      <c r="I232" s="43">
        <f>IF(INDEX(DarlBelegt,1)=0,0,IF(INDEX(DarlOhneTilgung,1)=1,IF(INDEX(DarlBindung,1)="",1,$G232),IF($J232&gt;0.005,1,0)))</f>
      </c>
      <c r="J232" s="43">
        <f>IF($I231=0,0,$R231)</f>
      </c>
      <c r="K232" s="43">
        <f>IF($I232=0,0,IF(INDEX(DarlOhneTilgung,1)=1,0,IF(AND(INDEX(DarlTilgStart,1)&gt;0,$E232=INDEX(DarlTilgStart,1)),$J232*($H232+INDEX(DarlTilgung,1))/100/12,IF(AND($G232=0,$G231=1),MAX($K231,$J232*($H232+1)/100/12),$K231))))</f>
      </c>
      <c r="L232" s="43">
        <f>IF($I232=0,0,$J232*$H232/100/12)</f>
      </c>
      <c r="M232" s="43">
        <f>IF($I232=0,0,IF(OR(INDEX(DarlOhneTilgung,1)=1,AND(INDEX(DarlTilgStart,1)&gt;0,$E232&lt;INDEX(DarlTilgStart,1))),0,MIN(MAX(0,$K232-$L232),$J232)))</f>
      </c>
      <c r="N232" s="43">
        <f>IF($I232=0,0,MIN(SUMIFS(SondBetrag,SondDarl,1,SondDatum,"&gt;="&amp;$E232,SondDatum,"&lt;="&amp;EOMONTH($E232,0)),$J232-$M232))</f>
      </c>
      <c r="O232" s="43">
        <f>IF($I232=0,0,INDEX(DarlErsatzRate,1))</f>
      </c>
      <c r="P232" s="43">
        <f>IF($I232=0,0,$Q231*INDEX(DarlErsatzZins,1))</f>
      </c>
      <c r="Q232" s="43">
        <f>IF($I232=0,0,$Q231+$P232+$O232)</f>
      </c>
      <c r="R232" s="43">
        <f>IF($I232=0,0,$J232-$M232-$N232)</f>
      </c>
    </row>
    <row r="233">
      <c r="A233"/>
      <c r="B233">
        <v>1</v>
      </c>
      <c r="C233" s="43">
        <f>INDEX(DarlObj,1)</f>
      </c>
      <c r="D233">
        <v>230</v>
      </c>
      <c r="E233" s="51">
        <f>IF(INDEX(DarlBelegt,1)=0,0,EOMONTH(INDEX(DarlAuszahlung,1),229)+1)</f>
      </c>
      <c r="F233" s="43">
        <f>IF($E233=0,0,YEAR($E233))</f>
      </c>
      <c r="G233" s="43">
        <f>IF(INDEX(DarlBindung,1)="",1,IF($E233&lt;=INDEX(DarlBindung,1),1,0))</f>
      </c>
      <c r="H233" s="43">
        <f>IF($G233=1,INDEX(DarlSollzins,1),INDEX(DarlAnschluss,1))</f>
      </c>
      <c r="I233" s="43">
        <f>IF(INDEX(DarlBelegt,1)=0,0,IF(INDEX(DarlOhneTilgung,1)=1,IF(INDEX(DarlBindung,1)="",1,$G233),IF($J233&gt;0.005,1,0)))</f>
      </c>
      <c r="J233" s="43">
        <f>IF($I232=0,0,$R232)</f>
      </c>
      <c r="K233" s="43">
        <f>IF($I233=0,0,IF(INDEX(DarlOhneTilgung,1)=1,0,IF(AND(INDEX(DarlTilgStart,1)&gt;0,$E233=INDEX(DarlTilgStart,1)),$J233*($H233+INDEX(DarlTilgung,1))/100/12,IF(AND($G233=0,$G232=1),MAX($K232,$J233*($H233+1)/100/12),$K232))))</f>
      </c>
      <c r="L233" s="43">
        <f>IF($I233=0,0,$J233*$H233/100/12)</f>
      </c>
      <c r="M233" s="43">
        <f>IF($I233=0,0,IF(OR(INDEX(DarlOhneTilgung,1)=1,AND(INDEX(DarlTilgStart,1)&gt;0,$E233&lt;INDEX(DarlTilgStart,1))),0,MIN(MAX(0,$K233-$L233),$J233)))</f>
      </c>
      <c r="N233" s="43">
        <f>IF($I233=0,0,MIN(SUMIFS(SondBetrag,SondDarl,1,SondDatum,"&gt;="&amp;$E233,SondDatum,"&lt;="&amp;EOMONTH($E233,0)),$J233-$M233))</f>
      </c>
      <c r="O233" s="43">
        <f>IF($I233=0,0,INDEX(DarlErsatzRate,1))</f>
      </c>
      <c r="P233" s="43">
        <f>IF($I233=0,0,$Q232*INDEX(DarlErsatzZins,1))</f>
      </c>
      <c r="Q233" s="43">
        <f>IF($I233=0,0,$Q232+$P233+$O233)</f>
      </c>
      <c r="R233" s="43">
        <f>IF($I233=0,0,$J233-$M233-$N233)</f>
      </c>
    </row>
    <row r="234">
      <c r="A234"/>
      <c r="B234">
        <v>1</v>
      </c>
      <c r="C234" s="43">
        <f>INDEX(DarlObj,1)</f>
      </c>
      <c r="D234">
        <v>231</v>
      </c>
      <c r="E234" s="51">
        <f>IF(INDEX(DarlBelegt,1)=0,0,EOMONTH(INDEX(DarlAuszahlung,1),230)+1)</f>
      </c>
      <c r="F234" s="43">
        <f>IF($E234=0,0,YEAR($E234))</f>
      </c>
      <c r="G234" s="43">
        <f>IF(INDEX(DarlBindung,1)="",1,IF($E234&lt;=INDEX(DarlBindung,1),1,0))</f>
      </c>
      <c r="H234" s="43">
        <f>IF($G234=1,INDEX(DarlSollzins,1),INDEX(DarlAnschluss,1))</f>
      </c>
      <c r="I234" s="43">
        <f>IF(INDEX(DarlBelegt,1)=0,0,IF(INDEX(DarlOhneTilgung,1)=1,IF(INDEX(DarlBindung,1)="",1,$G234),IF($J234&gt;0.005,1,0)))</f>
      </c>
      <c r="J234" s="43">
        <f>IF($I233=0,0,$R233)</f>
      </c>
      <c r="K234" s="43">
        <f>IF($I234=0,0,IF(INDEX(DarlOhneTilgung,1)=1,0,IF(AND(INDEX(DarlTilgStart,1)&gt;0,$E234=INDEX(DarlTilgStart,1)),$J234*($H234+INDEX(DarlTilgung,1))/100/12,IF(AND($G234=0,$G233=1),MAX($K233,$J234*($H234+1)/100/12),$K233))))</f>
      </c>
      <c r="L234" s="43">
        <f>IF($I234=0,0,$J234*$H234/100/12)</f>
      </c>
      <c r="M234" s="43">
        <f>IF($I234=0,0,IF(OR(INDEX(DarlOhneTilgung,1)=1,AND(INDEX(DarlTilgStart,1)&gt;0,$E234&lt;INDEX(DarlTilgStart,1))),0,MIN(MAX(0,$K234-$L234),$J234)))</f>
      </c>
      <c r="N234" s="43">
        <f>IF($I234=0,0,MIN(SUMIFS(SondBetrag,SondDarl,1,SondDatum,"&gt;="&amp;$E234,SondDatum,"&lt;="&amp;EOMONTH($E234,0)),$J234-$M234))</f>
      </c>
      <c r="O234" s="43">
        <f>IF($I234=0,0,INDEX(DarlErsatzRate,1))</f>
      </c>
      <c r="P234" s="43">
        <f>IF($I234=0,0,$Q233*INDEX(DarlErsatzZins,1))</f>
      </c>
      <c r="Q234" s="43">
        <f>IF($I234=0,0,$Q233+$P234+$O234)</f>
      </c>
      <c r="R234" s="43">
        <f>IF($I234=0,0,$J234-$M234-$N234)</f>
      </c>
    </row>
    <row r="235">
      <c r="A235"/>
      <c r="B235">
        <v>1</v>
      </c>
      <c r="C235" s="43">
        <f>INDEX(DarlObj,1)</f>
      </c>
      <c r="D235">
        <v>232</v>
      </c>
      <c r="E235" s="51">
        <f>IF(INDEX(DarlBelegt,1)=0,0,EOMONTH(INDEX(DarlAuszahlung,1),231)+1)</f>
      </c>
      <c r="F235" s="43">
        <f>IF($E235=0,0,YEAR($E235))</f>
      </c>
      <c r="G235" s="43">
        <f>IF(INDEX(DarlBindung,1)="",1,IF($E235&lt;=INDEX(DarlBindung,1),1,0))</f>
      </c>
      <c r="H235" s="43">
        <f>IF($G235=1,INDEX(DarlSollzins,1),INDEX(DarlAnschluss,1))</f>
      </c>
      <c r="I235" s="43">
        <f>IF(INDEX(DarlBelegt,1)=0,0,IF(INDEX(DarlOhneTilgung,1)=1,IF(INDEX(DarlBindung,1)="",1,$G235),IF($J235&gt;0.005,1,0)))</f>
      </c>
      <c r="J235" s="43">
        <f>IF($I234=0,0,$R234)</f>
      </c>
      <c r="K235" s="43">
        <f>IF($I235=0,0,IF(INDEX(DarlOhneTilgung,1)=1,0,IF(AND(INDEX(DarlTilgStart,1)&gt;0,$E235=INDEX(DarlTilgStart,1)),$J235*($H235+INDEX(DarlTilgung,1))/100/12,IF(AND($G235=0,$G234=1),MAX($K234,$J235*($H235+1)/100/12),$K234))))</f>
      </c>
      <c r="L235" s="43">
        <f>IF($I235=0,0,$J235*$H235/100/12)</f>
      </c>
      <c r="M235" s="43">
        <f>IF($I235=0,0,IF(OR(INDEX(DarlOhneTilgung,1)=1,AND(INDEX(DarlTilgStart,1)&gt;0,$E235&lt;INDEX(DarlTilgStart,1))),0,MIN(MAX(0,$K235-$L235),$J235)))</f>
      </c>
      <c r="N235" s="43">
        <f>IF($I235=0,0,MIN(SUMIFS(SondBetrag,SondDarl,1,SondDatum,"&gt;="&amp;$E235,SondDatum,"&lt;="&amp;EOMONTH($E235,0)),$J235-$M235))</f>
      </c>
      <c r="O235" s="43">
        <f>IF($I235=0,0,INDEX(DarlErsatzRate,1))</f>
      </c>
      <c r="P235" s="43">
        <f>IF($I235=0,0,$Q234*INDEX(DarlErsatzZins,1))</f>
      </c>
      <c r="Q235" s="43">
        <f>IF($I235=0,0,$Q234+$P235+$O235)</f>
      </c>
      <c r="R235" s="43">
        <f>IF($I235=0,0,$J235-$M235-$N235)</f>
      </c>
    </row>
    <row r="236">
      <c r="A236"/>
      <c r="B236">
        <v>1</v>
      </c>
      <c r="C236" s="43">
        <f>INDEX(DarlObj,1)</f>
      </c>
      <c r="D236">
        <v>233</v>
      </c>
      <c r="E236" s="51">
        <f>IF(INDEX(DarlBelegt,1)=0,0,EOMONTH(INDEX(DarlAuszahlung,1),232)+1)</f>
      </c>
      <c r="F236" s="43">
        <f>IF($E236=0,0,YEAR($E236))</f>
      </c>
      <c r="G236" s="43">
        <f>IF(INDEX(DarlBindung,1)="",1,IF($E236&lt;=INDEX(DarlBindung,1),1,0))</f>
      </c>
      <c r="H236" s="43">
        <f>IF($G236=1,INDEX(DarlSollzins,1),INDEX(DarlAnschluss,1))</f>
      </c>
      <c r="I236" s="43">
        <f>IF(INDEX(DarlBelegt,1)=0,0,IF(INDEX(DarlOhneTilgung,1)=1,IF(INDEX(DarlBindung,1)="",1,$G236),IF($J236&gt;0.005,1,0)))</f>
      </c>
      <c r="J236" s="43">
        <f>IF($I235=0,0,$R235)</f>
      </c>
      <c r="K236" s="43">
        <f>IF($I236=0,0,IF(INDEX(DarlOhneTilgung,1)=1,0,IF(AND(INDEX(DarlTilgStart,1)&gt;0,$E236=INDEX(DarlTilgStart,1)),$J236*($H236+INDEX(DarlTilgung,1))/100/12,IF(AND($G236=0,$G235=1),MAX($K235,$J236*($H236+1)/100/12),$K235))))</f>
      </c>
      <c r="L236" s="43">
        <f>IF($I236=0,0,$J236*$H236/100/12)</f>
      </c>
      <c r="M236" s="43">
        <f>IF($I236=0,0,IF(OR(INDEX(DarlOhneTilgung,1)=1,AND(INDEX(DarlTilgStart,1)&gt;0,$E236&lt;INDEX(DarlTilgStart,1))),0,MIN(MAX(0,$K236-$L236),$J236)))</f>
      </c>
      <c r="N236" s="43">
        <f>IF($I236=0,0,MIN(SUMIFS(SondBetrag,SondDarl,1,SondDatum,"&gt;="&amp;$E236,SondDatum,"&lt;="&amp;EOMONTH($E236,0)),$J236-$M236))</f>
      </c>
      <c r="O236" s="43">
        <f>IF($I236=0,0,INDEX(DarlErsatzRate,1))</f>
      </c>
      <c r="P236" s="43">
        <f>IF($I236=0,0,$Q235*INDEX(DarlErsatzZins,1))</f>
      </c>
      <c r="Q236" s="43">
        <f>IF($I236=0,0,$Q235+$P236+$O236)</f>
      </c>
      <c r="R236" s="43">
        <f>IF($I236=0,0,$J236-$M236-$N236)</f>
      </c>
    </row>
    <row r="237">
      <c r="A237"/>
      <c r="B237">
        <v>1</v>
      </c>
      <c r="C237" s="43">
        <f>INDEX(DarlObj,1)</f>
      </c>
      <c r="D237">
        <v>234</v>
      </c>
      <c r="E237" s="51">
        <f>IF(INDEX(DarlBelegt,1)=0,0,EOMONTH(INDEX(DarlAuszahlung,1),233)+1)</f>
      </c>
      <c r="F237" s="43">
        <f>IF($E237=0,0,YEAR($E237))</f>
      </c>
      <c r="G237" s="43">
        <f>IF(INDEX(DarlBindung,1)="",1,IF($E237&lt;=INDEX(DarlBindung,1),1,0))</f>
      </c>
      <c r="H237" s="43">
        <f>IF($G237=1,INDEX(DarlSollzins,1),INDEX(DarlAnschluss,1))</f>
      </c>
      <c r="I237" s="43">
        <f>IF(INDEX(DarlBelegt,1)=0,0,IF(INDEX(DarlOhneTilgung,1)=1,IF(INDEX(DarlBindung,1)="",1,$G237),IF($J237&gt;0.005,1,0)))</f>
      </c>
      <c r="J237" s="43">
        <f>IF($I236=0,0,$R236)</f>
      </c>
      <c r="K237" s="43">
        <f>IF($I237=0,0,IF(INDEX(DarlOhneTilgung,1)=1,0,IF(AND(INDEX(DarlTilgStart,1)&gt;0,$E237=INDEX(DarlTilgStart,1)),$J237*($H237+INDEX(DarlTilgung,1))/100/12,IF(AND($G237=0,$G236=1),MAX($K236,$J237*($H237+1)/100/12),$K236))))</f>
      </c>
      <c r="L237" s="43">
        <f>IF($I237=0,0,$J237*$H237/100/12)</f>
      </c>
      <c r="M237" s="43">
        <f>IF($I237=0,0,IF(OR(INDEX(DarlOhneTilgung,1)=1,AND(INDEX(DarlTilgStart,1)&gt;0,$E237&lt;INDEX(DarlTilgStart,1))),0,MIN(MAX(0,$K237-$L237),$J237)))</f>
      </c>
      <c r="N237" s="43">
        <f>IF($I237=0,0,MIN(SUMIFS(SondBetrag,SondDarl,1,SondDatum,"&gt;="&amp;$E237,SondDatum,"&lt;="&amp;EOMONTH($E237,0)),$J237-$M237))</f>
      </c>
      <c r="O237" s="43">
        <f>IF($I237=0,0,INDEX(DarlErsatzRate,1))</f>
      </c>
      <c r="P237" s="43">
        <f>IF($I237=0,0,$Q236*INDEX(DarlErsatzZins,1))</f>
      </c>
      <c r="Q237" s="43">
        <f>IF($I237=0,0,$Q236+$P237+$O237)</f>
      </c>
      <c r="R237" s="43">
        <f>IF($I237=0,0,$J237-$M237-$N237)</f>
      </c>
    </row>
    <row r="238">
      <c r="A238"/>
      <c r="B238">
        <v>1</v>
      </c>
      <c r="C238" s="43">
        <f>INDEX(DarlObj,1)</f>
      </c>
      <c r="D238">
        <v>235</v>
      </c>
      <c r="E238" s="51">
        <f>IF(INDEX(DarlBelegt,1)=0,0,EOMONTH(INDEX(DarlAuszahlung,1),234)+1)</f>
      </c>
      <c r="F238" s="43">
        <f>IF($E238=0,0,YEAR($E238))</f>
      </c>
      <c r="G238" s="43">
        <f>IF(INDEX(DarlBindung,1)="",1,IF($E238&lt;=INDEX(DarlBindung,1),1,0))</f>
      </c>
      <c r="H238" s="43">
        <f>IF($G238=1,INDEX(DarlSollzins,1),INDEX(DarlAnschluss,1))</f>
      </c>
      <c r="I238" s="43">
        <f>IF(INDEX(DarlBelegt,1)=0,0,IF(INDEX(DarlOhneTilgung,1)=1,IF(INDEX(DarlBindung,1)="",1,$G238),IF($J238&gt;0.005,1,0)))</f>
      </c>
      <c r="J238" s="43">
        <f>IF($I237=0,0,$R237)</f>
      </c>
      <c r="K238" s="43">
        <f>IF($I238=0,0,IF(INDEX(DarlOhneTilgung,1)=1,0,IF(AND(INDEX(DarlTilgStart,1)&gt;0,$E238=INDEX(DarlTilgStart,1)),$J238*($H238+INDEX(DarlTilgung,1))/100/12,IF(AND($G238=0,$G237=1),MAX($K237,$J238*($H238+1)/100/12),$K237))))</f>
      </c>
      <c r="L238" s="43">
        <f>IF($I238=0,0,$J238*$H238/100/12)</f>
      </c>
      <c r="M238" s="43">
        <f>IF($I238=0,0,IF(OR(INDEX(DarlOhneTilgung,1)=1,AND(INDEX(DarlTilgStart,1)&gt;0,$E238&lt;INDEX(DarlTilgStart,1))),0,MIN(MAX(0,$K238-$L238),$J238)))</f>
      </c>
      <c r="N238" s="43">
        <f>IF($I238=0,0,MIN(SUMIFS(SondBetrag,SondDarl,1,SondDatum,"&gt;="&amp;$E238,SondDatum,"&lt;="&amp;EOMONTH($E238,0)),$J238-$M238))</f>
      </c>
      <c r="O238" s="43">
        <f>IF($I238=0,0,INDEX(DarlErsatzRate,1))</f>
      </c>
      <c r="P238" s="43">
        <f>IF($I238=0,0,$Q237*INDEX(DarlErsatzZins,1))</f>
      </c>
      <c r="Q238" s="43">
        <f>IF($I238=0,0,$Q237+$P238+$O238)</f>
      </c>
      <c r="R238" s="43">
        <f>IF($I238=0,0,$J238-$M238-$N238)</f>
      </c>
    </row>
    <row r="239">
      <c r="A239"/>
      <c r="B239">
        <v>1</v>
      </c>
      <c r="C239" s="43">
        <f>INDEX(DarlObj,1)</f>
      </c>
      <c r="D239">
        <v>236</v>
      </c>
      <c r="E239" s="51">
        <f>IF(INDEX(DarlBelegt,1)=0,0,EOMONTH(INDEX(DarlAuszahlung,1),235)+1)</f>
      </c>
      <c r="F239" s="43">
        <f>IF($E239=0,0,YEAR($E239))</f>
      </c>
      <c r="G239" s="43">
        <f>IF(INDEX(DarlBindung,1)="",1,IF($E239&lt;=INDEX(DarlBindung,1),1,0))</f>
      </c>
      <c r="H239" s="43">
        <f>IF($G239=1,INDEX(DarlSollzins,1),INDEX(DarlAnschluss,1))</f>
      </c>
      <c r="I239" s="43">
        <f>IF(INDEX(DarlBelegt,1)=0,0,IF(INDEX(DarlOhneTilgung,1)=1,IF(INDEX(DarlBindung,1)="",1,$G239),IF($J239&gt;0.005,1,0)))</f>
      </c>
      <c r="J239" s="43">
        <f>IF($I238=0,0,$R238)</f>
      </c>
      <c r="K239" s="43">
        <f>IF($I239=0,0,IF(INDEX(DarlOhneTilgung,1)=1,0,IF(AND(INDEX(DarlTilgStart,1)&gt;0,$E239=INDEX(DarlTilgStart,1)),$J239*($H239+INDEX(DarlTilgung,1))/100/12,IF(AND($G239=0,$G238=1),MAX($K238,$J239*($H239+1)/100/12),$K238))))</f>
      </c>
      <c r="L239" s="43">
        <f>IF($I239=0,0,$J239*$H239/100/12)</f>
      </c>
      <c r="M239" s="43">
        <f>IF($I239=0,0,IF(OR(INDEX(DarlOhneTilgung,1)=1,AND(INDEX(DarlTilgStart,1)&gt;0,$E239&lt;INDEX(DarlTilgStart,1))),0,MIN(MAX(0,$K239-$L239),$J239)))</f>
      </c>
      <c r="N239" s="43">
        <f>IF($I239=0,0,MIN(SUMIFS(SondBetrag,SondDarl,1,SondDatum,"&gt;="&amp;$E239,SondDatum,"&lt;="&amp;EOMONTH($E239,0)),$J239-$M239))</f>
      </c>
      <c r="O239" s="43">
        <f>IF($I239=0,0,INDEX(DarlErsatzRate,1))</f>
      </c>
      <c r="P239" s="43">
        <f>IF($I239=0,0,$Q238*INDEX(DarlErsatzZins,1))</f>
      </c>
      <c r="Q239" s="43">
        <f>IF($I239=0,0,$Q238+$P239+$O239)</f>
      </c>
      <c r="R239" s="43">
        <f>IF($I239=0,0,$J239-$M239-$N239)</f>
      </c>
    </row>
    <row r="240">
      <c r="A240"/>
      <c r="B240">
        <v>1</v>
      </c>
      <c r="C240" s="43">
        <f>INDEX(DarlObj,1)</f>
      </c>
      <c r="D240">
        <v>237</v>
      </c>
      <c r="E240" s="51">
        <f>IF(INDEX(DarlBelegt,1)=0,0,EOMONTH(INDEX(DarlAuszahlung,1),236)+1)</f>
      </c>
      <c r="F240" s="43">
        <f>IF($E240=0,0,YEAR($E240))</f>
      </c>
      <c r="G240" s="43">
        <f>IF(INDEX(DarlBindung,1)="",1,IF($E240&lt;=INDEX(DarlBindung,1),1,0))</f>
      </c>
      <c r="H240" s="43">
        <f>IF($G240=1,INDEX(DarlSollzins,1),INDEX(DarlAnschluss,1))</f>
      </c>
      <c r="I240" s="43">
        <f>IF(INDEX(DarlBelegt,1)=0,0,IF(INDEX(DarlOhneTilgung,1)=1,IF(INDEX(DarlBindung,1)="",1,$G240),IF($J240&gt;0.005,1,0)))</f>
      </c>
      <c r="J240" s="43">
        <f>IF($I239=0,0,$R239)</f>
      </c>
      <c r="K240" s="43">
        <f>IF($I240=0,0,IF(INDEX(DarlOhneTilgung,1)=1,0,IF(AND(INDEX(DarlTilgStart,1)&gt;0,$E240=INDEX(DarlTilgStart,1)),$J240*($H240+INDEX(DarlTilgung,1))/100/12,IF(AND($G240=0,$G239=1),MAX($K239,$J240*($H240+1)/100/12),$K239))))</f>
      </c>
      <c r="L240" s="43">
        <f>IF($I240=0,0,$J240*$H240/100/12)</f>
      </c>
      <c r="M240" s="43">
        <f>IF($I240=0,0,IF(OR(INDEX(DarlOhneTilgung,1)=1,AND(INDEX(DarlTilgStart,1)&gt;0,$E240&lt;INDEX(DarlTilgStart,1))),0,MIN(MAX(0,$K240-$L240),$J240)))</f>
      </c>
      <c r="N240" s="43">
        <f>IF($I240=0,0,MIN(SUMIFS(SondBetrag,SondDarl,1,SondDatum,"&gt;="&amp;$E240,SondDatum,"&lt;="&amp;EOMONTH($E240,0)),$J240-$M240))</f>
      </c>
      <c r="O240" s="43">
        <f>IF($I240=0,0,INDEX(DarlErsatzRate,1))</f>
      </c>
      <c r="P240" s="43">
        <f>IF($I240=0,0,$Q239*INDEX(DarlErsatzZins,1))</f>
      </c>
      <c r="Q240" s="43">
        <f>IF($I240=0,0,$Q239+$P240+$O240)</f>
      </c>
      <c r="R240" s="43">
        <f>IF($I240=0,0,$J240-$M240-$N240)</f>
      </c>
    </row>
    <row r="241">
      <c r="A241"/>
      <c r="B241">
        <v>1</v>
      </c>
      <c r="C241" s="43">
        <f>INDEX(DarlObj,1)</f>
      </c>
      <c r="D241">
        <v>238</v>
      </c>
      <c r="E241" s="51">
        <f>IF(INDEX(DarlBelegt,1)=0,0,EOMONTH(INDEX(DarlAuszahlung,1),237)+1)</f>
      </c>
      <c r="F241" s="43">
        <f>IF($E241=0,0,YEAR($E241))</f>
      </c>
      <c r="G241" s="43">
        <f>IF(INDEX(DarlBindung,1)="",1,IF($E241&lt;=INDEX(DarlBindung,1),1,0))</f>
      </c>
      <c r="H241" s="43">
        <f>IF($G241=1,INDEX(DarlSollzins,1),INDEX(DarlAnschluss,1))</f>
      </c>
      <c r="I241" s="43">
        <f>IF(INDEX(DarlBelegt,1)=0,0,IF(INDEX(DarlOhneTilgung,1)=1,IF(INDEX(DarlBindung,1)="",1,$G241),IF($J241&gt;0.005,1,0)))</f>
      </c>
      <c r="J241" s="43">
        <f>IF($I240=0,0,$R240)</f>
      </c>
      <c r="K241" s="43">
        <f>IF($I241=0,0,IF(INDEX(DarlOhneTilgung,1)=1,0,IF(AND(INDEX(DarlTilgStart,1)&gt;0,$E241=INDEX(DarlTilgStart,1)),$J241*($H241+INDEX(DarlTilgung,1))/100/12,IF(AND($G241=0,$G240=1),MAX($K240,$J241*($H241+1)/100/12),$K240))))</f>
      </c>
      <c r="L241" s="43">
        <f>IF($I241=0,0,$J241*$H241/100/12)</f>
      </c>
      <c r="M241" s="43">
        <f>IF($I241=0,0,IF(OR(INDEX(DarlOhneTilgung,1)=1,AND(INDEX(DarlTilgStart,1)&gt;0,$E241&lt;INDEX(DarlTilgStart,1))),0,MIN(MAX(0,$K241-$L241),$J241)))</f>
      </c>
      <c r="N241" s="43">
        <f>IF($I241=0,0,MIN(SUMIFS(SondBetrag,SondDarl,1,SondDatum,"&gt;="&amp;$E241,SondDatum,"&lt;="&amp;EOMONTH($E241,0)),$J241-$M241))</f>
      </c>
      <c r="O241" s="43">
        <f>IF($I241=0,0,INDEX(DarlErsatzRate,1))</f>
      </c>
      <c r="P241" s="43">
        <f>IF($I241=0,0,$Q240*INDEX(DarlErsatzZins,1))</f>
      </c>
      <c r="Q241" s="43">
        <f>IF($I241=0,0,$Q240+$P241+$O241)</f>
      </c>
      <c r="R241" s="43">
        <f>IF($I241=0,0,$J241-$M241-$N241)</f>
      </c>
    </row>
    <row r="242">
      <c r="A242"/>
      <c r="B242">
        <v>1</v>
      </c>
      <c r="C242" s="43">
        <f>INDEX(DarlObj,1)</f>
      </c>
      <c r="D242">
        <v>239</v>
      </c>
      <c r="E242" s="51">
        <f>IF(INDEX(DarlBelegt,1)=0,0,EOMONTH(INDEX(DarlAuszahlung,1),238)+1)</f>
      </c>
      <c r="F242" s="43">
        <f>IF($E242=0,0,YEAR($E242))</f>
      </c>
      <c r="G242" s="43">
        <f>IF(INDEX(DarlBindung,1)="",1,IF($E242&lt;=INDEX(DarlBindung,1),1,0))</f>
      </c>
      <c r="H242" s="43">
        <f>IF($G242=1,INDEX(DarlSollzins,1),INDEX(DarlAnschluss,1))</f>
      </c>
      <c r="I242" s="43">
        <f>IF(INDEX(DarlBelegt,1)=0,0,IF(INDEX(DarlOhneTilgung,1)=1,IF(INDEX(DarlBindung,1)="",1,$G242),IF($J242&gt;0.005,1,0)))</f>
      </c>
      <c r="J242" s="43">
        <f>IF($I241=0,0,$R241)</f>
      </c>
      <c r="K242" s="43">
        <f>IF($I242=0,0,IF(INDEX(DarlOhneTilgung,1)=1,0,IF(AND(INDEX(DarlTilgStart,1)&gt;0,$E242=INDEX(DarlTilgStart,1)),$J242*($H242+INDEX(DarlTilgung,1))/100/12,IF(AND($G242=0,$G241=1),MAX($K241,$J242*($H242+1)/100/12),$K241))))</f>
      </c>
      <c r="L242" s="43">
        <f>IF($I242=0,0,$J242*$H242/100/12)</f>
      </c>
      <c r="M242" s="43">
        <f>IF($I242=0,0,IF(OR(INDEX(DarlOhneTilgung,1)=1,AND(INDEX(DarlTilgStart,1)&gt;0,$E242&lt;INDEX(DarlTilgStart,1))),0,MIN(MAX(0,$K242-$L242),$J242)))</f>
      </c>
      <c r="N242" s="43">
        <f>IF($I242=0,0,MIN(SUMIFS(SondBetrag,SondDarl,1,SondDatum,"&gt;="&amp;$E242,SondDatum,"&lt;="&amp;EOMONTH($E242,0)),$J242-$M242))</f>
      </c>
      <c r="O242" s="43">
        <f>IF($I242=0,0,INDEX(DarlErsatzRate,1))</f>
      </c>
      <c r="P242" s="43">
        <f>IF($I242=0,0,$Q241*INDEX(DarlErsatzZins,1))</f>
      </c>
      <c r="Q242" s="43">
        <f>IF($I242=0,0,$Q241+$P242+$O242)</f>
      </c>
      <c r="R242" s="43">
        <f>IF($I242=0,0,$J242-$M242-$N242)</f>
      </c>
    </row>
    <row r="243">
      <c r="A243"/>
      <c r="B243">
        <v>1</v>
      </c>
      <c r="C243" s="43">
        <f>INDEX(DarlObj,1)</f>
      </c>
      <c r="D243">
        <v>240</v>
      </c>
      <c r="E243" s="51">
        <f>IF(INDEX(DarlBelegt,1)=0,0,EOMONTH(INDEX(DarlAuszahlung,1),239)+1)</f>
      </c>
      <c r="F243" s="43">
        <f>IF($E243=0,0,YEAR($E243))</f>
      </c>
      <c r="G243" s="43">
        <f>IF(INDEX(DarlBindung,1)="",1,IF($E243&lt;=INDEX(DarlBindung,1),1,0))</f>
      </c>
      <c r="H243" s="43">
        <f>IF($G243=1,INDEX(DarlSollzins,1),INDEX(DarlAnschluss,1))</f>
      </c>
      <c r="I243" s="43">
        <f>IF(INDEX(DarlBelegt,1)=0,0,IF(INDEX(DarlOhneTilgung,1)=1,IF(INDEX(DarlBindung,1)="",1,$G243),IF($J243&gt;0.005,1,0)))</f>
      </c>
      <c r="J243" s="43">
        <f>IF($I242=0,0,$R242)</f>
      </c>
      <c r="K243" s="43">
        <f>IF($I243=0,0,IF(INDEX(DarlOhneTilgung,1)=1,0,IF(AND(INDEX(DarlTilgStart,1)&gt;0,$E243=INDEX(DarlTilgStart,1)),$J243*($H243+INDEX(DarlTilgung,1))/100/12,IF(AND($G243=0,$G242=1),MAX($K242,$J243*($H243+1)/100/12),$K242))))</f>
      </c>
      <c r="L243" s="43">
        <f>IF($I243=0,0,$J243*$H243/100/12)</f>
      </c>
      <c r="M243" s="43">
        <f>IF($I243=0,0,IF(OR(INDEX(DarlOhneTilgung,1)=1,AND(INDEX(DarlTilgStart,1)&gt;0,$E243&lt;INDEX(DarlTilgStart,1))),0,MIN(MAX(0,$K243-$L243),$J243)))</f>
      </c>
      <c r="N243" s="43">
        <f>IF($I243=0,0,MIN(SUMIFS(SondBetrag,SondDarl,1,SondDatum,"&gt;="&amp;$E243,SondDatum,"&lt;="&amp;EOMONTH($E243,0)),$J243-$M243))</f>
      </c>
      <c r="O243" s="43">
        <f>IF($I243=0,0,INDEX(DarlErsatzRate,1))</f>
      </c>
      <c r="P243" s="43">
        <f>IF($I243=0,0,$Q242*INDEX(DarlErsatzZins,1))</f>
      </c>
      <c r="Q243" s="43">
        <f>IF($I243=0,0,$Q242+$P243+$O243)</f>
      </c>
      <c r="R243" s="43">
        <f>IF($I243=0,0,$J243-$M243-$N243)</f>
      </c>
    </row>
    <row r="244">
      <c r="A244"/>
      <c r="B244">
        <v>1</v>
      </c>
      <c r="C244" s="43">
        <f>INDEX(DarlObj,1)</f>
      </c>
      <c r="D244">
        <v>241</v>
      </c>
      <c r="E244" s="51">
        <f>IF(INDEX(DarlBelegt,1)=0,0,EOMONTH(INDEX(DarlAuszahlung,1),240)+1)</f>
      </c>
      <c r="F244" s="43">
        <f>IF($E244=0,0,YEAR($E244))</f>
      </c>
      <c r="G244" s="43">
        <f>IF(INDEX(DarlBindung,1)="",1,IF($E244&lt;=INDEX(DarlBindung,1),1,0))</f>
      </c>
      <c r="H244" s="43">
        <f>IF($G244=1,INDEX(DarlSollzins,1),INDEX(DarlAnschluss,1))</f>
      </c>
      <c r="I244" s="43">
        <f>IF(INDEX(DarlBelegt,1)=0,0,IF(INDEX(DarlOhneTilgung,1)=1,IF(INDEX(DarlBindung,1)="",1,$G244),IF($J244&gt;0.005,1,0)))</f>
      </c>
      <c r="J244" s="43">
        <f>IF($I243=0,0,$R243)</f>
      </c>
      <c r="K244" s="43">
        <f>IF($I244=0,0,IF(INDEX(DarlOhneTilgung,1)=1,0,IF(AND(INDEX(DarlTilgStart,1)&gt;0,$E244=INDEX(DarlTilgStart,1)),$J244*($H244+INDEX(DarlTilgung,1))/100/12,IF(AND($G244=0,$G243=1),MAX($K243,$J244*($H244+1)/100/12),$K243))))</f>
      </c>
      <c r="L244" s="43">
        <f>IF($I244=0,0,$J244*$H244/100/12)</f>
      </c>
      <c r="M244" s="43">
        <f>IF($I244=0,0,IF(OR(INDEX(DarlOhneTilgung,1)=1,AND(INDEX(DarlTilgStart,1)&gt;0,$E244&lt;INDEX(DarlTilgStart,1))),0,MIN(MAX(0,$K244-$L244),$J244)))</f>
      </c>
      <c r="N244" s="43">
        <f>IF($I244=0,0,MIN(SUMIFS(SondBetrag,SondDarl,1,SondDatum,"&gt;="&amp;$E244,SondDatum,"&lt;="&amp;EOMONTH($E244,0)),$J244-$M244))</f>
      </c>
      <c r="O244" s="43">
        <f>IF($I244=0,0,INDEX(DarlErsatzRate,1))</f>
      </c>
      <c r="P244" s="43">
        <f>IF($I244=0,0,$Q243*INDEX(DarlErsatzZins,1))</f>
      </c>
      <c r="Q244" s="43">
        <f>IF($I244=0,0,$Q243+$P244+$O244)</f>
      </c>
      <c r="R244" s="43">
        <f>IF($I244=0,0,$J244-$M244-$N244)</f>
      </c>
    </row>
    <row r="245">
      <c r="A245"/>
      <c r="B245">
        <v>1</v>
      </c>
      <c r="C245" s="43">
        <f>INDEX(DarlObj,1)</f>
      </c>
      <c r="D245">
        <v>242</v>
      </c>
      <c r="E245" s="51">
        <f>IF(INDEX(DarlBelegt,1)=0,0,EOMONTH(INDEX(DarlAuszahlung,1),241)+1)</f>
      </c>
      <c r="F245" s="43">
        <f>IF($E245=0,0,YEAR($E245))</f>
      </c>
      <c r="G245" s="43">
        <f>IF(INDEX(DarlBindung,1)="",1,IF($E245&lt;=INDEX(DarlBindung,1),1,0))</f>
      </c>
      <c r="H245" s="43">
        <f>IF($G245=1,INDEX(DarlSollzins,1),INDEX(DarlAnschluss,1))</f>
      </c>
      <c r="I245" s="43">
        <f>IF(INDEX(DarlBelegt,1)=0,0,IF(INDEX(DarlOhneTilgung,1)=1,IF(INDEX(DarlBindung,1)="",1,$G245),IF($J245&gt;0.005,1,0)))</f>
      </c>
      <c r="J245" s="43">
        <f>IF($I244=0,0,$R244)</f>
      </c>
      <c r="K245" s="43">
        <f>IF($I245=0,0,IF(INDEX(DarlOhneTilgung,1)=1,0,IF(AND(INDEX(DarlTilgStart,1)&gt;0,$E245=INDEX(DarlTilgStart,1)),$J245*($H245+INDEX(DarlTilgung,1))/100/12,IF(AND($G245=0,$G244=1),MAX($K244,$J245*($H245+1)/100/12),$K244))))</f>
      </c>
      <c r="L245" s="43">
        <f>IF($I245=0,0,$J245*$H245/100/12)</f>
      </c>
      <c r="M245" s="43">
        <f>IF($I245=0,0,IF(OR(INDEX(DarlOhneTilgung,1)=1,AND(INDEX(DarlTilgStart,1)&gt;0,$E245&lt;INDEX(DarlTilgStart,1))),0,MIN(MAX(0,$K245-$L245),$J245)))</f>
      </c>
      <c r="N245" s="43">
        <f>IF($I245=0,0,MIN(SUMIFS(SondBetrag,SondDarl,1,SondDatum,"&gt;="&amp;$E245,SondDatum,"&lt;="&amp;EOMONTH($E245,0)),$J245-$M245))</f>
      </c>
      <c r="O245" s="43">
        <f>IF($I245=0,0,INDEX(DarlErsatzRate,1))</f>
      </c>
      <c r="P245" s="43">
        <f>IF($I245=0,0,$Q244*INDEX(DarlErsatzZins,1))</f>
      </c>
      <c r="Q245" s="43">
        <f>IF($I245=0,0,$Q244+$P245+$O245)</f>
      </c>
      <c r="R245" s="43">
        <f>IF($I245=0,0,$J245-$M245-$N245)</f>
      </c>
    </row>
    <row r="246">
      <c r="A246"/>
      <c r="B246">
        <v>1</v>
      </c>
      <c r="C246" s="43">
        <f>INDEX(DarlObj,1)</f>
      </c>
      <c r="D246">
        <v>243</v>
      </c>
      <c r="E246" s="51">
        <f>IF(INDEX(DarlBelegt,1)=0,0,EOMONTH(INDEX(DarlAuszahlung,1),242)+1)</f>
      </c>
      <c r="F246" s="43">
        <f>IF($E246=0,0,YEAR($E246))</f>
      </c>
      <c r="G246" s="43">
        <f>IF(INDEX(DarlBindung,1)="",1,IF($E246&lt;=INDEX(DarlBindung,1),1,0))</f>
      </c>
      <c r="H246" s="43">
        <f>IF($G246=1,INDEX(DarlSollzins,1),INDEX(DarlAnschluss,1))</f>
      </c>
      <c r="I246" s="43">
        <f>IF(INDEX(DarlBelegt,1)=0,0,IF(INDEX(DarlOhneTilgung,1)=1,IF(INDEX(DarlBindung,1)="",1,$G246),IF($J246&gt;0.005,1,0)))</f>
      </c>
      <c r="J246" s="43">
        <f>IF($I245=0,0,$R245)</f>
      </c>
      <c r="K246" s="43">
        <f>IF($I246=0,0,IF(INDEX(DarlOhneTilgung,1)=1,0,IF(AND(INDEX(DarlTilgStart,1)&gt;0,$E246=INDEX(DarlTilgStart,1)),$J246*($H246+INDEX(DarlTilgung,1))/100/12,IF(AND($G246=0,$G245=1),MAX($K245,$J246*($H246+1)/100/12),$K245))))</f>
      </c>
      <c r="L246" s="43">
        <f>IF($I246=0,0,$J246*$H246/100/12)</f>
      </c>
      <c r="M246" s="43">
        <f>IF($I246=0,0,IF(OR(INDEX(DarlOhneTilgung,1)=1,AND(INDEX(DarlTilgStart,1)&gt;0,$E246&lt;INDEX(DarlTilgStart,1))),0,MIN(MAX(0,$K246-$L246),$J246)))</f>
      </c>
      <c r="N246" s="43">
        <f>IF($I246=0,0,MIN(SUMIFS(SondBetrag,SondDarl,1,SondDatum,"&gt;="&amp;$E246,SondDatum,"&lt;="&amp;EOMONTH($E246,0)),$J246-$M246))</f>
      </c>
      <c r="O246" s="43">
        <f>IF($I246=0,0,INDEX(DarlErsatzRate,1))</f>
      </c>
      <c r="P246" s="43">
        <f>IF($I246=0,0,$Q245*INDEX(DarlErsatzZins,1))</f>
      </c>
      <c r="Q246" s="43">
        <f>IF($I246=0,0,$Q245+$P246+$O246)</f>
      </c>
      <c r="R246" s="43">
        <f>IF($I246=0,0,$J246-$M246-$N246)</f>
      </c>
    </row>
    <row r="247">
      <c r="A247"/>
      <c r="B247">
        <v>1</v>
      </c>
      <c r="C247" s="43">
        <f>INDEX(DarlObj,1)</f>
      </c>
      <c r="D247">
        <v>244</v>
      </c>
      <c r="E247" s="51">
        <f>IF(INDEX(DarlBelegt,1)=0,0,EOMONTH(INDEX(DarlAuszahlung,1),243)+1)</f>
      </c>
      <c r="F247" s="43">
        <f>IF($E247=0,0,YEAR($E247))</f>
      </c>
      <c r="G247" s="43">
        <f>IF(INDEX(DarlBindung,1)="",1,IF($E247&lt;=INDEX(DarlBindung,1),1,0))</f>
      </c>
      <c r="H247" s="43">
        <f>IF($G247=1,INDEX(DarlSollzins,1),INDEX(DarlAnschluss,1))</f>
      </c>
      <c r="I247" s="43">
        <f>IF(INDEX(DarlBelegt,1)=0,0,IF(INDEX(DarlOhneTilgung,1)=1,IF(INDEX(DarlBindung,1)="",1,$G247),IF($J247&gt;0.005,1,0)))</f>
      </c>
      <c r="J247" s="43">
        <f>IF($I246=0,0,$R246)</f>
      </c>
      <c r="K247" s="43">
        <f>IF($I247=0,0,IF(INDEX(DarlOhneTilgung,1)=1,0,IF(AND(INDEX(DarlTilgStart,1)&gt;0,$E247=INDEX(DarlTilgStart,1)),$J247*($H247+INDEX(DarlTilgung,1))/100/12,IF(AND($G247=0,$G246=1),MAX($K246,$J247*($H247+1)/100/12),$K246))))</f>
      </c>
      <c r="L247" s="43">
        <f>IF($I247=0,0,$J247*$H247/100/12)</f>
      </c>
      <c r="M247" s="43">
        <f>IF($I247=0,0,IF(OR(INDEX(DarlOhneTilgung,1)=1,AND(INDEX(DarlTilgStart,1)&gt;0,$E247&lt;INDEX(DarlTilgStart,1))),0,MIN(MAX(0,$K247-$L247),$J247)))</f>
      </c>
      <c r="N247" s="43">
        <f>IF($I247=0,0,MIN(SUMIFS(SondBetrag,SondDarl,1,SondDatum,"&gt;="&amp;$E247,SondDatum,"&lt;="&amp;EOMONTH($E247,0)),$J247-$M247))</f>
      </c>
      <c r="O247" s="43">
        <f>IF($I247=0,0,INDEX(DarlErsatzRate,1))</f>
      </c>
      <c r="P247" s="43">
        <f>IF($I247=0,0,$Q246*INDEX(DarlErsatzZins,1))</f>
      </c>
      <c r="Q247" s="43">
        <f>IF($I247=0,0,$Q246+$P247+$O247)</f>
      </c>
      <c r="R247" s="43">
        <f>IF($I247=0,0,$J247-$M247-$N247)</f>
      </c>
    </row>
    <row r="248">
      <c r="A248"/>
      <c r="B248">
        <v>1</v>
      </c>
      <c r="C248" s="43">
        <f>INDEX(DarlObj,1)</f>
      </c>
      <c r="D248">
        <v>245</v>
      </c>
      <c r="E248" s="51">
        <f>IF(INDEX(DarlBelegt,1)=0,0,EOMONTH(INDEX(DarlAuszahlung,1),244)+1)</f>
      </c>
      <c r="F248" s="43">
        <f>IF($E248=0,0,YEAR($E248))</f>
      </c>
      <c r="G248" s="43">
        <f>IF(INDEX(DarlBindung,1)="",1,IF($E248&lt;=INDEX(DarlBindung,1),1,0))</f>
      </c>
      <c r="H248" s="43">
        <f>IF($G248=1,INDEX(DarlSollzins,1),INDEX(DarlAnschluss,1))</f>
      </c>
      <c r="I248" s="43">
        <f>IF(INDEX(DarlBelegt,1)=0,0,IF(INDEX(DarlOhneTilgung,1)=1,IF(INDEX(DarlBindung,1)="",1,$G248),IF($J248&gt;0.005,1,0)))</f>
      </c>
      <c r="J248" s="43">
        <f>IF($I247=0,0,$R247)</f>
      </c>
      <c r="K248" s="43">
        <f>IF($I248=0,0,IF(INDEX(DarlOhneTilgung,1)=1,0,IF(AND(INDEX(DarlTilgStart,1)&gt;0,$E248=INDEX(DarlTilgStart,1)),$J248*($H248+INDEX(DarlTilgung,1))/100/12,IF(AND($G248=0,$G247=1),MAX($K247,$J248*($H248+1)/100/12),$K247))))</f>
      </c>
      <c r="L248" s="43">
        <f>IF($I248=0,0,$J248*$H248/100/12)</f>
      </c>
      <c r="M248" s="43">
        <f>IF($I248=0,0,IF(OR(INDEX(DarlOhneTilgung,1)=1,AND(INDEX(DarlTilgStart,1)&gt;0,$E248&lt;INDEX(DarlTilgStart,1))),0,MIN(MAX(0,$K248-$L248),$J248)))</f>
      </c>
      <c r="N248" s="43">
        <f>IF($I248=0,0,MIN(SUMIFS(SondBetrag,SondDarl,1,SondDatum,"&gt;="&amp;$E248,SondDatum,"&lt;="&amp;EOMONTH($E248,0)),$J248-$M248))</f>
      </c>
      <c r="O248" s="43">
        <f>IF($I248=0,0,INDEX(DarlErsatzRate,1))</f>
      </c>
      <c r="P248" s="43">
        <f>IF($I248=0,0,$Q247*INDEX(DarlErsatzZins,1))</f>
      </c>
      <c r="Q248" s="43">
        <f>IF($I248=0,0,$Q247+$P248+$O248)</f>
      </c>
      <c r="R248" s="43">
        <f>IF($I248=0,0,$J248-$M248-$N248)</f>
      </c>
    </row>
    <row r="249">
      <c r="A249"/>
      <c r="B249">
        <v>1</v>
      </c>
      <c r="C249" s="43">
        <f>INDEX(DarlObj,1)</f>
      </c>
      <c r="D249">
        <v>246</v>
      </c>
      <c r="E249" s="51">
        <f>IF(INDEX(DarlBelegt,1)=0,0,EOMONTH(INDEX(DarlAuszahlung,1),245)+1)</f>
      </c>
      <c r="F249" s="43">
        <f>IF($E249=0,0,YEAR($E249))</f>
      </c>
      <c r="G249" s="43">
        <f>IF(INDEX(DarlBindung,1)="",1,IF($E249&lt;=INDEX(DarlBindung,1),1,0))</f>
      </c>
      <c r="H249" s="43">
        <f>IF($G249=1,INDEX(DarlSollzins,1),INDEX(DarlAnschluss,1))</f>
      </c>
      <c r="I249" s="43">
        <f>IF(INDEX(DarlBelegt,1)=0,0,IF(INDEX(DarlOhneTilgung,1)=1,IF(INDEX(DarlBindung,1)="",1,$G249),IF($J249&gt;0.005,1,0)))</f>
      </c>
      <c r="J249" s="43">
        <f>IF($I248=0,0,$R248)</f>
      </c>
      <c r="K249" s="43">
        <f>IF($I249=0,0,IF(INDEX(DarlOhneTilgung,1)=1,0,IF(AND(INDEX(DarlTilgStart,1)&gt;0,$E249=INDEX(DarlTilgStart,1)),$J249*($H249+INDEX(DarlTilgung,1))/100/12,IF(AND($G249=0,$G248=1),MAX($K248,$J249*($H249+1)/100/12),$K248))))</f>
      </c>
      <c r="L249" s="43">
        <f>IF($I249=0,0,$J249*$H249/100/12)</f>
      </c>
      <c r="M249" s="43">
        <f>IF($I249=0,0,IF(OR(INDEX(DarlOhneTilgung,1)=1,AND(INDEX(DarlTilgStart,1)&gt;0,$E249&lt;INDEX(DarlTilgStart,1))),0,MIN(MAX(0,$K249-$L249),$J249)))</f>
      </c>
      <c r="N249" s="43">
        <f>IF($I249=0,0,MIN(SUMIFS(SondBetrag,SondDarl,1,SondDatum,"&gt;="&amp;$E249,SondDatum,"&lt;="&amp;EOMONTH($E249,0)),$J249-$M249))</f>
      </c>
      <c r="O249" s="43">
        <f>IF($I249=0,0,INDEX(DarlErsatzRate,1))</f>
      </c>
      <c r="P249" s="43">
        <f>IF($I249=0,0,$Q248*INDEX(DarlErsatzZins,1))</f>
      </c>
      <c r="Q249" s="43">
        <f>IF($I249=0,0,$Q248+$P249+$O249)</f>
      </c>
      <c r="R249" s="43">
        <f>IF($I249=0,0,$J249-$M249-$N249)</f>
      </c>
    </row>
    <row r="250">
      <c r="A250"/>
      <c r="B250">
        <v>1</v>
      </c>
      <c r="C250" s="43">
        <f>INDEX(DarlObj,1)</f>
      </c>
      <c r="D250">
        <v>247</v>
      </c>
      <c r="E250" s="51">
        <f>IF(INDEX(DarlBelegt,1)=0,0,EOMONTH(INDEX(DarlAuszahlung,1),246)+1)</f>
      </c>
      <c r="F250" s="43">
        <f>IF($E250=0,0,YEAR($E250))</f>
      </c>
      <c r="G250" s="43">
        <f>IF(INDEX(DarlBindung,1)="",1,IF($E250&lt;=INDEX(DarlBindung,1),1,0))</f>
      </c>
      <c r="H250" s="43">
        <f>IF($G250=1,INDEX(DarlSollzins,1),INDEX(DarlAnschluss,1))</f>
      </c>
      <c r="I250" s="43">
        <f>IF(INDEX(DarlBelegt,1)=0,0,IF(INDEX(DarlOhneTilgung,1)=1,IF(INDEX(DarlBindung,1)="",1,$G250),IF($J250&gt;0.005,1,0)))</f>
      </c>
      <c r="J250" s="43">
        <f>IF($I249=0,0,$R249)</f>
      </c>
      <c r="K250" s="43">
        <f>IF($I250=0,0,IF(INDEX(DarlOhneTilgung,1)=1,0,IF(AND(INDEX(DarlTilgStart,1)&gt;0,$E250=INDEX(DarlTilgStart,1)),$J250*($H250+INDEX(DarlTilgung,1))/100/12,IF(AND($G250=0,$G249=1),MAX($K249,$J250*($H250+1)/100/12),$K249))))</f>
      </c>
      <c r="L250" s="43">
        <f>IF($I250=0,0,$J250*$H250/100/12)</f>
      </c>
      <c r="M250" s="43">
        <f>IF($I250=0,0,IF(OR(INDEX(DarlOhneTilgung,1)=1,AND(INDEX(DarlTilgStart,1)&gt;0,$E250&lt;INDEX(DarlTilgStart,1))),0,MIN(MAX(0,$K250-$L250),$J250)))</f>
      </c>
      <c r="N250" s="43">
        <f>IF($I250=0,0,MIN(SUMIFS(SondBetrag,SondDarl,1,SondDatum,"&gt;="&amp;$E250,SondDatum,"&lt;="&amp;EOMONTH($E250,0)),$J250-$M250))</f>
      </c>
      <c r="O250" s="43">
        <f>IF($I250=0,0,INDEX(DarlErsatzRate,1))</f>
      </c>
      <c r="P250" s="43">
        <f>IF($I250=0,0,$Q249*INDEX(DarlErsatzZins,1))</f>
      </c>
      <c r="Q250" s="43">
        <f>IF($I250=0,0,$Q249+$P250+$O250)</f>
      </c>
      <c r="R250" s="43">
        <f>IF($I250=0,0,$J250-$M250-$N250)</f>
      </c>
    </row>
    <row r="251">
      <c r="A251"/>
      <c r="B251">
        <v>1</v>
      </c>
      <c r="C251" s="43">
        <f>INDEX(DarlObj,1)</f>
      </c>
      <c r="D251">
        <v>248</v>
      </c>
      <c r="E251" s="51">
        <f>IF(INDEX(DarlBelegt,1)=0,0,EOMONTH(INDEX(DarlAuszahlung,1),247)+1)</f>
      </c>
      <c r="F251" s="43">
        <f>IF($E251=0,0,YEAR($E251))</f>
      </c>
      <c r="G251" s="43">
        <f>IF(INDEX(DarlBindung,1)="",1,IF($E251&lt;=INDEX(DarlBindung,1),1,0))</f>
      </c>
      <c r="H251" s="43">
        <f>IF($G251=1,INDEX(DarlSollzins,1),INDEX(DarlAnschluss,1))</f>
      </c>
      <c r="I251" s="43">
        <f>IF(INDEX(DarlBelegt,1)=0,0,IF(INDEX(DarlOhneTilgung,1)=1,IF(INDEX(DarlBindung,1)="",1,$G251),IF($J251&gt;0.005,1,0)))</f>
      </c>
      <c r="J251" s="43">
        <f>IF($I250=0,0,$R250)</f>
      </c>
      <c r="K251" s="43">
        <f>IF($I251=0,0,IF(INDEX(DarlOhneTilgung,1)=1,0,IF(AND(INDEX(DarlTilgStart,1)&gt;0,$E251=INDEX(DarlTilgStart,1)),$J251*($H251+INDEX(DarlTilgung,1))/100/12,IF(AND($G251=0,$G250=1),MAX($K250,$J251*($H251+1)/100/12),$K250))))</f>
      </c>
      <c r="L251" s="43">
        <f>IF($I251=0,0,$J251*$H251/100/12)</f>
      </c>
      <c r="M251" s="43">
        <f>IF($I251=0,0,IF(OR(INDEX(DarlOhneTilgung,1)=1,AND(INDEX(DarlTilgStart,1)&gt;0,$E251&lt;INDEX(DarlTilgStart,1))),0,MIN(MAX(0,$K251-$L251),$J251)))</f>
      </c>
      <c r="N251" s="43">
        <f>IF($I251=0,0,MIN(SUMIFS(SondBetrag,SondDarl,1,SondDatum,"&gt;="&amp;$E251,SondDatum,"&lt;="&amp;EOMONTH($E251,0)),$J251-$M251))</f>
      </c>
      <c r="O251" s="43">
        <f>IF($I251=0,0,INDEX(DarlErsatzRate,1))</f>
      </c>
      <c r="P251" s="43">
        <f>IF($I251=0,0,$Q250*INDEX(DarlErsatzZins,1))</f>
      </c>
      <c r="Q251" s="43">
        <f>IF($I251=0,0,$Q250+$P251+$O251)</f>
      </c>
      <c r="R251" s="43">
        <f>IF($I251=0,0,$J251-$M251-$N251)</f>
      </c>
    </row>
    <row r="252">
      <c r="A252"/>
      <c r="B252">
        <v>1</v>
      </c>
      <c r="C252" s="43">
        <f>INDEX(DarlObj,1)</f>
      </c>
      <c r="D252">
        <v>249</v>
      </c>
      <c r="E252" s="51">
        <f>IF(INDEX(DarlBelegt,1)=0,0,EOMONTH(INDEX(DarlAuszahlung,1),248)+1)</f>
      </c>
      <c r="F252" s="43">
        <f>IF($E252=0,0,YEAR($E252))</f>
      </c>
      <c r="G252" s="43">
        <f>IF(INDEX(DarlBindung,1)="",1,IF($E252&lt;=INDEX(DarlBindung,1),1,0))</f>
      </c>
      <c r="H252" s="43">
        <f>IF($G252=1,INDEX(DarlSollzins,1),INDEX(DarlAnschluss,1))</f>
      </c>
      <c r="I252" s="43">
        <f>IF(INDEX(DarlBelegt,1)=0,0,IF(INDEX(DarlOhneTilgung,1)=1,IF(INDEX(DarlBindung,1)="",1,$G252),IF($J252&gt;0.005,1,0)))</f>
      </c>
      <c r="J252" s="43">
        <f>IF($I251=0,0,$R251)</f>
      </c>
      <c r="K252" s="43">
        <f>IF($I252=0,0,IF(INDEX(DarlOhneTilgung,1)=1,0,IF(AND(INDEX(DarlTilgStart,1)&gt;0,$E252=INDEX(DarlTilgStart,1)),$J252*($H252+INDEX(DarlTilgung,1))/100/12,IF(AND($G252=0,$G251=1),MAX($K251,$J252*($H252+1)/100/12),$K251))))</f>
      </c>
      <c r="L252" s="43">
        <f>IF($I252=0,0,$J252*$H252/100/12)</f>
      </c>
      <c r="M252" s="43">
        <f>IF($I252=0,0,IF(OR(INDEX(DarlOhneTilgung,1)=1,AND(INDEX(DarlTilgStart,1)&gt;0,$E252&lt;INDEX(DarlTilgStart,1))),0,MIN(MAX(0,$K252-$L252),$J252)))</f>
      </c>
      <c r="N252" s="43">
        <f>IF($I252=0,0,MIN(SUMIFS(SondBetrag,SondDarl,1,SondDatum,"&gt;="&amp;$E252,SondDatum,"&lt;="&amp;EOMONTH($E252,0)),$J252-$M252))</f>
      </c>
      <c r="O252" s="43">
        <f>IF($I252=0,0,INDEX(DarlErsatzRate,1))</f>
      </c>
      <c r="P252" s="43">
        <f>IF($I252=0,0,$Q251*INDEX(DarlErsatzZins,1))</f>
      </c>
      <c r="Q252" s="43">
        <f>IF($I252=0,0,$Q251+$P252+$O252)</f>
      </c>
      <c r="R252" s="43">
        <f>IF($I252=0,0,$J252-$M252-$N252)</f>
      </c>
    </row>
    <row r="253">
      <c r="A253"/>
      <c r="B253">
        <v>1</v>
      </c>
      <c r="C253" s="43">
        <f>INDEX(DarlObj,1)</f>
      </c>
      <c r="D253">
        <v>250</v>
      </c>
      <c r="E253" s="51">
        <f>IF(INDEX(DarlBelegt,1)=0,0,EOMONTH(INDEX(DarlAuszahlung,1),249)+1)</f>
      </c>
      <c r="F253" s="43">
        <f>IF($E253=0,0,YEAR($E253))</f>
      </c>
      <c r="G253" s="43">
        <f>IF(INDEX(DarlBindung,1)="",1,IF($E253&lt;=INDEX(DarlBindung,1),1,0))</f>
      </c>
      <c r="H253" s="43">
        <f>IF($G253=1,INDEX(DarlSollzins,1),INDEX(DarlAnschluss,1))</f>
      </c>
      <c r="I253" s="43">
        <f>IF(INDEX(DarlBelegt,1)=0,0,IF(INDEX(DarlOhneTilgung,1)=1,IF(INDEX(DarlBindung,1)="",1,$G253),IF($J253&gt;0.005,1,0)))</f>
      </c>
      <c r="J253" s="43">
        <f>IF($I252=0,0,$R252)</f>
      </c>
      <c r="K253" s="43">
        <f>IF($I253=0,0,IF(INDEX(DarlOhneTilgung,1)=1,0,IF(AND(INDEX(DarlTilgStart,1)&gt;0,$E253=INDEX(DarlTilgStart,1)),$J253*($H253+INDEX(DarlTilgung,1))/100/12,IF(AND($G253=0,$G252=1),MAX($K252,$J253*($H253+1)/100/12),$K252))))</f>
      </c>
      <c r="L253" s="43">
        <f>IF($I253=0,0,$J253*$H253/100/12)</f>
      </c>
      <c r="M253" s="43">
        <f>IF($I253=0,0,IF(OR(INDEX(DarlOhneTilgung,1)=1,AND(INDEX(DarlTilgStart,1)&gt;0,$E253&lt;INDEX(DarlTilgStart,1))),0,MIN(MAX(0,$K253-$L253),$J253)))</f>
      </c>
      <c r="N253" s="43">
        <f>IF($I253=0,0,MIN(SUMIFS(SondBetrag,SondDarl,1,SondDatum,"&gt;="&amp;$E253,SondDatum,"&lt;="&amp;EOMONTH($E253,0)),$J253-$M253))</f>
      </c>
      <c r="O253" s="43">
        <f>IF($I253=0,0,INDEX(DarlErsatzRate,1))</f>
      </c>
      <c r="P253" s="43">
        <f>IF($I253=0,0,$Q252*INDEX(DarlErsatzZins,1))</f>
      </c>
      <c r="Q253" s="43">
        <f>IF($I253=0,0,$Q252+$P253+$O253)</f>
      </c>
      <c r="R253" s="43">
        <f>IF($I253=0,0,$J253-$M253-$N253)</f>
      </c>
    </row>
    <row r="254">
      <c r="A254"/>
      <c r="B254">
        <v>1</v>
      </c>
      <c r="C254" s="43">
        <f>INDEX(DarlObj,1)</f>
      </c>
      <c r="D254">
        <v>251</v>
      </c>
      <c r="E254" s="51">
        <f>IF(INDEX(DarlBelegt,1)=0,0,EOMONTH(INDEX(DarlAuszahlung,1),250)+1)</f>
      </c>
      <c r="F254" s="43">
        <f>IF($E254=0,0,YEAR($E254))</f>
      </c>
      <c r="G254" s="43">
        <f>IF(INDEX(DarlBindung,1)="",1,IF($E254&lt;=INDEX(DarlBindung,1),1,0))</f>
      </c>
      <c r="H254" s="43">
        <f>IF($G254=1,INDEX(DarlSollzins,1),INDEX(DarlAnschluss,1))</f>
      </c>
      <c r="I254" s="43">
        <f>IF(INDEX(DarlBelegt,1)=0,0,IF(INDEX(DarlOhneTilgung,1)=1,IF(INDEX(DarlBindung,1)="",1,$G254),IF($J254&gt;0.005,1,0)))</f>
      </c>
      <c r="J254" s="43">
        <f>IF($I253=0,0,$R253)</f>
      </c>
      <c r="K254" s="43">
        <f>IF($I254=0,0,IF(INDEX(DarlOhneTilgung,1)=1,0,IF(AND(INDEX(DarlTilgStart,1)&gt;0,$E254=INDEX(DarlTilgStart,1)),$J254*($H254+INDEX(DarlTilgung,1))/100/12,IF(AND($G254=0,$G253=1),MAX($K253,$J254*($H254+1)/100/12),$K253))))</f>
      </c>
      <c r="L254" s="43">
        <f>IF($I254=0,0,$J254*$H254/100/12)</f>
      </c>
      <c r="M254" s="43">
        <f>IF($I254=0,0,IF(OR(INDEX(DarlOhneTilgung,1)=1,AND(INDEX(DarlTilgStart,1)&gt;0,$E254&lt;INDEX(DarlTilgStart,1))),0,MIN(MAX(0,$K254-$L254),$J254)))</f>
      </c>
      <c r="N254" s="43">
        <f>IF($I254=0,0,MIN(SUMIFS(SondBetrag,SondDarl,1,SondDatum,"&gt;="&amp;$E254,SondDatum,"&lt;="&amp;EOMONTH($E254,0)),$J254-$M254))</f>
      </c>
      <c r="O254" s="43">
        <f>IF($I254=0,0,INDEX(DarlErsatzRate,1))</f>
      </c>
      <c r="P254" s="43">
        <f>IF($I254=0,0,$Q253*INDEX(DarlErsatzZins,1))</f>
      </c>
      <c r="Q254" s="43">
        <f>IF($I254=0,0,$Q253+$P254+$O254)</f>
      </c>
      <c r="R254" s="43">
        <f>IF($I254=0,0,$J254-$M254-$N254)</f>
      </c>
    </row>
    <row r="255">
      <c r="A255"/>
      <c r="B255">
        <v>1</v>
      </c>
      <c r="C255" s="43">
        <f>INDEX(DarlObj,1)</f>
      </c>
      <c r="D255">
        <v>252</v>
      </c>
      <c r="E255" s="51">
        <f>IF(INDEX(DarlBelegt,1)=0,0,EOMONTH(INDEX(DarlAuszahlung,1),251)+1)</f>
      </c>
      <c r="F255" s="43">
        <f>IF($E255=0,0,YEAR($E255))</f>
      </c>
      <c r="G255" s="43">
        <f>IF(INDEX(DarlBindung,1)="",1,IF($E255&lt;=INDEX(DarlBindung,1),1,0))</f>
      </c>
      <c r="H255" s="43">
        <f>IF($G255=1,INDEX(DarlSollzins,1),INDEX(DarlAnschluss,1))</f>
      </c>
      <c r="I255" s="43">
        <f>IF(INDEX(DarlBelegt,1)=0,0,IF(INDEX(DarlOhneTilgung,1)=1,IF(INDEX(DarlBindung,1)="",1,$G255),IF($J255&gt;0.005,1,0)))</f>
      </c>
      <c r="J255" s="43">
        <f>IF($I254=0,0,$R254)</f>
      </c>
      <c r="K255" s="43">
        <f>IF($I255=0,0,IF(INDEX(DarlOhneTilgung,1)=1,0,IF(AND(INDEX(DarlTilgStart,1)&gt;0,$E255=INDEX(DarlTilgStart,1)),$J255*($H255+INDEX(DarlTilgung,1))/100/12,IF(AND($G255=0,$G254=1),MAX($K254,$J255*($H255+1)/100/12),$K254))))</f>
      </c>
      <c r="L255" s="43">
        <f>IF($I255=0,0,$J255*$H255/100/12)</f>
      </c>
      <c r="M255" s="43">
        <f>IF($I255=0,0,IF(OR(INDEX(DarlOhneTilgung,1)=1,AND(INDEX(DarlTilgStart,1)&gt;0,$E255&lt;INDEX(DarlTilgStart,1))),0,MIN(MAX(0,$K255-$L255),$J255)))</f>
      </c>
      <c r="N255" s="43">
        <f>IF($I255=0,0,MIN(SUMIFS(SondBetrag,SondDarl,1,SondDatum,"&gt;="&amp;$E255,SondDatum,"&lt;="&amp;EOMONTH($E255,0)),$J255-$M255))</f>
      </c>
      <c r="O255" s="43">
        <f>IF($I255=0,0,INDEX(DarlErsatzRate,1))</f>
      </c>
      <c r="P255" s="43">
        <f>IF($I255=0,0,$Q254*INDEX(DarlErsatzZins,1))</f>
      </c>
      <c r="Q255" s="43">
        <f>IF($I255=0,0,$Q254+$P255+$O255)</f>
      </c>
      <c r="R255" s="43">
        <f>IF($I255=0,0,$J255-$M255-$N255)</f>
      </c>
    </row>
    <row r="256">
      <c r="A256"/>
      <c r="B256">
        <v>1</v>
      </c>
      <c r="C256" s="43">
        <f>INDEX(DarlObj,1)</f>
      </c>
      <c r="D256">
        <v>253</v>
      </c>
      <c r="E256" s="51">
        <f>IF(INDEX(DarlBelegt,1)=0,0,EOMONTH(INDEX(DarlAuszahlung,1),252)+1)</f>
      </c>
      <c r="F256" s="43">
        <f>IF($E256=0,0,YEAR($E256))</f>
      </c>
      <c r="G256" s="43">
        <f>IF(INDEX(DarlBindung,1)="",1,IF($E256&lt;=INDEX(DarlBindung,1),1,0))</f>
      </c>
      <c r="H256" s="43">
        <f>IF($G256=1,INDEX(DarlSollzins,1),INDEX(DarlAnschluss,1))</f>
      </c>
      <c r="I256" s="43">
        <f>IF(INDEX(DarlBelegt,1)=0,0,IF(INDEX(DarlOhneTilgung,1)=1,IF(INDEX(DarlBindung,1)="",1,$G256),IF($J256&gt;0.005,1,0)))</f>
      </c>
      <c r="J256" s="43">
        <f>IF($I255=0,0,$R255)</f>
      </c>
      <c r="K256" s="43">
        <f>IF($I256=0,0,IF(INDEX(DarlOhneTilgung,1)=1,0,IF(AND(INDEX(DarlTilgStart,1)&gt;0,$E256=INDEX(DarlTilgStart,1)),$J256*($H256+INDEX(DarlTilgung,1))/100/12,IF(AND($G256=0,$G255=1),MAX($K255,$J256*($H256+1)/100/12),$K255))))</f>
      </c>
      <c r="L256" s="43">
        <f>IF($I256=0,0,$J256*$H256/100/12)</f>
      </c>
      <c r="M256" s="43">
        <f>IF($I256=0,0,IF(OR(INDEX(DarlOhneTilgung,1)=1,AND(INDEX(DarlTilgStart,1)&gt;0,$E256&lt;INDEX(DarlTilgStart,1))),0,MIN(MAX(0,$K256-$L256),$J256)))</f>
      </c>
      <c r="N256" s="43">
        <f>IF($I256=0,0,MIN(SUMIFS(SondBetrag,SondDarl,1,SondDatum,"&gt;="&amp;$E256,SondDatum,"&lt;="&amp;EOMONTH($E256,0)),$J256-$M256))</f>
      </c>
      <c r="O256" s="43">
        <f>IF($I256=0,0,INDEX(DarlErsatzRate,1))</f>
      </c>
      <c r="P256" s="43">
        <f>IF($I256=0,0,$Q255*INDEX(DarlErsatzZins,1))</f>
      </c>
      <c r="Q256" s="43">
        <f>IF($I256=0,0,$Q255+$P256+$O256)</f>
      </c>
      <c r="R256" s="43">
        <f>IF($I256=0,0,$J256-$M256-$N256)</f>
      </c>
    </row>
    <row r="257">
      <c r="A257"/>
      <c r="B257">
        <v>1</v>
      </c>
      <c r="C257" s="43">
        <f>INDEX(DarlObj,1)</f>
      </c>
      <c r="D257">
        <v>254</v>
      </c>
      <c r="E257" s="51">
        <f>IF(INDEX(DarlBelegt,1)=0,0,EOMONTH(INDEX(DarlAuszahlung,1),253)+1)</f>
      </c>
      <c r="F257" s="43">
        <f>IF($E257=0,0,YEAR($E257))</f>
      </c>
      <c r="G257" s="43">
        <f>IF(INDEX(DarlBindung,1)="",1,IF($E257&lt;=INDEX(DarlBindung,1),1,0))</f>
      </c>
      <c r="H257" s="43">
        <f>IF($G257=1,INDEX(DarlSollzins,1),INDEX(DarlAnschluss,1))</f>
      </c>
      <c r="I257" s="43">
        <f>IF(INDEX(DarlBelegt,1)=0,0,IF(INDEX(DarlOhneTilgung,1)=1,IF(INDEX(DarlBindung,1)="",1,$G257),IF($J257&gt;0.005,1,0)))</f>
      </c>
      <c r="J257" s="43">
        <f>IF($I256=0,0,$R256)</f>
      </c>
      <c r="K257" s="43">
        <f>IF($I257=0,0,IF(INDEX(DarlOhneTilgung,1)=1,0,IF(AND(INDEX(DarlTilgStart,1)&gt;0,$E257=INDEX(DarlTilgStart,1)),$J257*($H257+INDEX(DarlTilgung,1))/100/12,IF(AND($G257=0,$G256=1),MAX($K256,$J257*($H257+1)/100/12),$K256))))</f>
      </c>
      <c r="L257" s="43">
        <f>IF($I257=0,0,$J257*$H257/100/12)</f>
      </c>
      <c r="M257" s="43">
        <f>IF($I257=0,0,IF(OR(INDEX(DarlOhneTilgung,1)=1,AND(INDEX(DarlTilgStart,1)&gt;0,$E257&lt;INDEX(DarlTilgStart,1))),0,MIN(MAX(0,$K257-$L257),$J257)))</f>
      </c>
      <c r="N257" s="43">
        <f>IF($I257=0,0,MIN(SUMIFS(SondBetrag,SondDarl,1,SondDatum,"&gt;="&amp;$E257,SondDatum,"&lt;="&amp;EOMONTH($E257,0)),$J257-$M257))</f>
      </c>
      <c r="O257" s="43">
        <f>IF($I257=0,0,INDEX(DarlErsatzRate,1))</f>
      </c>
      <c r="P257" s="43">
        <f>IF($I257=0,0,$Q256*INDEX(DarlErsatzZins,1))</f>
      </c>
      <c r="Q257" s="43">
        <f>IF($I257=0,0,$Q256+$P257+$O257)</f>
      </c>
      <c r="R257" s="43">
        <f>IF($I257=0,0,$J257-$M257-$N257)</f>
      </c>
    </row>
    <row r="258">
      <c r="A258"/>
      <c r="B258">
        <v>1</v>
      </c>
      <c r="C258" s="43">
        <f>INDEX(DarlObj,1)</f>
      </c>
      <c r="D258">
        <v>255</v>
      </c>
      <c r="E258" s="51">
        <f>IF(INDEX(DarlBelegt,1)=0,0,EOMONTH(INDEX(DarlAuszahlung,1),254)+1)</f>
      </c>
      <c r="F258" s="43">
        <f>IF($E258=0,0,YEAR($E258))</f>
      </c>
      <c r="G258" s="43">
        <f>IF(INDEX(DarlBindung,1)="",1,IF($E258&lt;=INDEX(DarlBindung,1),1,0))</f>
      </c>
      <c r="H258" s="43">
        <f>IF($G258=1,INDEX(DarlSollzins,1),INDEX(DarlAnschluss,1))</f>
      </c>
      <c r="I258" s="43">
        <f>IF(INDEX(DarlBelegt,1)=0,0,IF(INDEX(DarlOhneTilgung,1)=1,IF(INDEX(DarlBindung,1)="",1,$G258),IF($J258&gt;0.005,1,0)))</f>
      </c>
      <c r="J258" s="43">
        <f>IF($I257=0,0,$R257)</f>
      </c>
      <c r="K258" s="43">
        <f>IF($I258=0,0,IF(INDEX(DarlOhneTilgung,1)=1,0,IF(AND(INDEX(DarlTilgStart,1)&gt;0,$E258=INDEX(DarlTilgStart,1)),$J258*($H258+INDEX(DarlTilgung,1))/100/12,IF(AND($G258=0,$G257=1),MAX($K257,$J258*($H258+1)/100/12),$K257))))</f>
      </c>
      <c r="L258" s="43">
        <f>IF($I258=0,0,$J258*$H258/100/12)</f>
      </c>
      <c r="M258" s="43">
        <f>IF($I258=0,0,IF(OR(INDEX(DarlOhneTilgung,1)=1,AND(INDEX(DarlTilgStart,1)&gt;0,$E258&lt;INDEX(DarlTilgStart,1))),0,MIN(MAX(0,$K258-$L258),$J258)))</f>
      </c>
      <c r="N258" s="43">
        <f>IF($I258=0,0,MIN(SUMIFS(SondBetrag,SondDarl,1,SondDatum,"&gt;="&amp;$E258,SondDatum,"&lt;="&amp;EOMONTH($E258,0)),$J258-$M258))</f>
      </c>
      <c r="O258" s="43">
        <f>IF($I258=0,0,INDEX(DarlErsatzRate,1))</f>
      </c>
      <c r="P258" s="43">
        <f>IF($I258=0,0,$Q257*INDEX(DarlErsatzZins,1))</f>
      </c>
      <c r="Q258" s="43">
        <f>IF($I258=0,0,$Q257+$P258+$O258)</f>
      </c>
      <c r="R258" s="43">
        <f>IF($I258=0,0,$J258-$M258-$N258)</f>
      </c>
    </row>
    <row r="259">
      <c r="A259"/>
      <c r="B259">
        <v>1</v>
      </c>
      <c r="C259" s="43">
        <f>INDEX(DarlObj,1)</f>
      </c>
      <c r="D259">
        <v>256</v>
      </c>
      <c r="E259" s="51">
        <f>IF(INDEX(DarlBelegt,1)=0,0,EOMONTH(INDEX(DarlAuszahlung,1),255)+1)</f>
      </c>
      <c r="F259" s="43">
        <f>IF($E259=0,0,YEAR($E259))</f>
      </c>
      <c r="G259" s="43">
        <f>IF(INDEX(DarlBindung,1)="",1,IF($E259&lt;=INDEX(DarlBindung,1),1,0))</f>
      </c>
      <c r="H259" s="43">
        <f>IF($G259=1,INDEX(DarlSollzins,1),INDEX(DarlAnschluss,1))</f>
      </c>
      <c r="I259" s="43">
        <f>IF(INDEX(DarlBelegt,1)=0,0,IF(INDEX(DarlOhneTilgung,1)=1,IF(INDEX(DarlBindung,1)="",1,$G259),IF($J259&gt;0.005,1,0)))</f>
      </c>
      <c r="J259" s="43">
        <f>IF($I258=0,0,$R258)</f>
      </c>
      <c r="K259" s="43">
        <f>IF($I259=0,0,IF(INDEX(DarlOhneTilgung,1)=1,0,IF(AND(INDEX(DarlTilgStart,1)&gt;0,$E259=INDEX(DarlTilgStart,1)),$J259*($H259+INDEX(DarlTilgung,1))/100/12,IF(AND($G259=0,$G258=1),MAX($K258,$J259*($H259+1)/100/12),$K258))))</f>
      </c>
      <c r="L259" s="43">
        <f>IF($I259=0,0,$J259*$H259/100/12)</f>
      </c>
      <c r="M259" s="43">
        <f>IF($I259=0,0,IF(OR(INDEX(DarlOhneTilgung,1)=1,AND(INDEX(DarlTilgStart,1)&gt;0,$E259&lt;INDEX(DarlTilgStart,1))),0,MIN(MAX(0,$K259-$L259),$J259)))</f>
      </c>
      <c r="N259" s="43">
        <f>IF($I259=0,0,MIN(SUMIFS(SondBetrag,SondDarl,1,SondDatum,"&gt;="&amp;$E259,SondDatum,"&lt;="&amp;EOMONTH($E259,0)),$J259-$M259))</f>
      </c>
      <c r="O259" s="43">
        <f>IF($I259=0,0,INDEX(DarlErsatzRate,1))</f>
      </c>
      <c r="P259" s="43">
        <f>IF($I259=0,0,$Q258*INDEX(DarlErsatzZins,1))</f>
      </c>
      <c r="Q259" s="43">
        <f>IF($I259=0,0,$Q258+$P259+$O259)</f>
      </c>
      <c r="R259" s="43">
        <f>IF($I259=0,0,$J259-$M259-$N259)</f>
      </c>
    </row>
    <row r="260">
      <c r="A260"/>
      <c r="B260">
        <v>1</v>
      </c>
      <c r="C260" s="43">
        <f>INDEX(DarlObj,1)</f>
      </c>
      <c r="D260">
        <v>257</v>
      </c>
      <c r="E260" s="51">
        <f>IF(INDEX(DarlBelegt,1)=0,0,EOMONTH(INDEX(DarlAuszahlung,1),256)+1)</f>
      </c>
      <c r="F260" s="43">
        <f>IF($E260=0,0,YEAR($E260))</f>
      </c>
      <c r="G260" s="43">
        <f>IF(INDEX(DarlBindung,1)="",1,IF($E260&lt;=INDEX(DarlBindung,1),1,0))</f>
      </c>
      <c r="H260" s="43">
        <f>IF($G260=1,INDEX(DarlSollzins,1),INDEX(DarlAnschluss,1))</f>
      </c>
      <c r="I260" s="43">
        <f>IF(INDEX(DarlBelegt,1)=0,0,IF(INDEX(DarlOhneTilgung,1)=1,IF(INDEX(DarlBindung,1)="",1,$G260),IF($J260&gt;0.005,1,0)))</f>
      </c>
      <c r="J260" s="43">
        <f>IF($I259=0,0,$R259)</f>
      </c>
      <c r="K260" s="43">
        <f>IF($I260=0,0,IF(INDEX(DarlOhneTilgung,1)=1,0,IF(AND(INDEX(DarlTilgStart,1)&gt;0,$E260=INDEX(DarlTilgStart,1)),$J260*($H260+INDEX(DarlTilgung,1))/100/12,IF(AND($G260=0,$G259=1),MAX($K259,$J260*($H260+1)/100/12),$K259))))</f>
      </c>
      <c r="L260" s="43">
        <f>IF($I260=0,0,$J260*$H260/100/12)</f>
      </c>
      <c r="M260" s="43">
        <f>IF($I260=0,0,IF(OR(INDEX(DarlOhneTilgung,1)=1,AND(INDEX(DarlTilgStart,1)&gt;0,$E260&lt;INDEX(DarlTilgStart,1))),0,MIN(MAX(0,$K260-$L260),$J260)))</f>
      </c>
      <c r="N260" s="43">
        <f>IF($I260=0,0,MIN(SUMIFS(SondBetrag,SondDarl,1,SondDatum,"&gt;="&amp;$E260,SondDatum,"&lt;="&amp;EOMONTH($E260,0)),$J260-$M260))</f>
      </c>
      <c r="O260" s="43">
        <f>IF($I260=0,0,INDEX(DarlErsatzRate,1))</f>
      </c>
      <c r="P260" s="43">
        <f>IF($I260=0,0,$Q259*INDEX(DarlErsatzZins,1))</f>
      </c>
      <c r="Q260" s="43">
        <f>IF($I260=0,0,$Q259+$P260+$O260)</f>
      </c>
      <c r="R260" s="43">
        <f>IF($I260=0,0,$J260-$M260-$N260)</f>
      </c>
    </row>
    <row r="261">
      <c r="A261"/>
      <c r="B261">
        <v>1</v>
      </c>
      <c r="C261" s="43">
        <f>INDEX(DarlObj,1)</f>
      </c>
      <c r="D261">
        <v>258</v>
      </c>
      <c r="E261" s="51">
        <f>IF(INDEX(DarlBelegt,1)=0,0,EOMONTH(INDEX(DarlAuszahlung,1),257)+1)</f>
      </c>
      <c r="F261" s="43">
        <f>IF($E261=0,0,YEAR($E261))</f>
      </c>
      <c r="G261" s="43">
        <f>IF(INDEX(DarlBindung,1)="",1,IF($E261&lt;=INDEX(DarlBindung,1),1,0))</f>
      </c>
      <c r="H261" s="43">
        <f>IF($G261=1,INDEX(DarlSollzins,1),INDEX(DarlAnschluss,1))</f>
      </c>
      <c r="I261" s="43">
        <f>IF(INDEX(DarlBelegt,1)=0,0,IF(INDEX(DarlOhneTilgung,1)=1,IF(INDEX(DarlBindung,1)="",1,$G261),IF($J261&gt;0.005,1,0)))</f>
      </c>
      <c r="J261" s="43">
        <f>IF($I260=0,0,$R260)</f>
      </c>
      <c r="K261" s="43">
        <f>IF($I261=0,0,IF(INDEX(DarlOhneTilgung,1)=1,0,IF(AND(INDEX(DarlTilgStart,1)&gt;0,$E261=INDEX(DarlTilgStart,1)),$J261*($H261+INDEX(DarlTilgung,1))/100/12,IF(AND($G261=0,$G260=1),MAX($K260,$J261*($H261+1)/100/12),$K260))))</f>
      </c>
      <c r="L261" s="43">
        <f>IF($I261=0,0,$J261*$H261/100/12)</f>
      </c>
      <c r="M261" s="43">
        <f>IF($I261=0,0,IF(OR(INDEX(DarlOhneTilgung,1)=1,AND(INDEX(DarlTilgStart,1)&gt;0,$E261&lt;INDEX(DarlTilgStart,1))),0,MIN(MAX(0,$K261-$L261),$J261)))</f>
      </c>
      <c r="N261" s="43">
        <f>IF($I261=0,0,MIN(SUMIFS(SondBetrag,SondDarl,1,SondDatum,"&gt;="&amp;$E261,SondDatum,"&lt;="&amp;EOMONTH($E261,0)),$J261-$M261))</f>
      </c>
      <c r="O261" s="43">
        <f>IF($I261=0,0,INDEX(DarlErsatzRate,1))</f>
      </c>
      <c r="P261" s="43">
        <f>IF($I261=0,0,$Q260*INDEX(DarlErsatzZins,1))</f>
      </c>
      <c r="Q261" s="43">
        <f>IF($I261=0,0,$Q260+$P261+$O261)</f>
      </c>
      <c r="R261" s="43">
        <f>IF($I261=0,0,$J261-$M261-$N261)</f>
      </c>
    </row>
    <row r="262">
      <c r="A262"/>
      <c r="B262">
        <v>1</v>
      </c>
      <c r="C262" s="43">
        <f>INDEX(DarlObj,1)</f>
      </c>
      <c r="D262">
        <v>259</v>
      </c>
      <c r="E262" s="51">
        <f>IF(INDEX(DarlBelegt,1)=0,0,EOMONTH(INDEX(DarlAuszahlung,1),258)+1)</f>
      </c>
      <c r="F262" s="43">
        <f>IF($E262=0,0,YEAR($E262))</f>
      </c>
      <c r="G262" s="43">
        <f>IF(INDEX(DarlBindung,1)="",1,IF($E262&lt;=INDEX(DarlBindung,1),1,0))</f>
      </c>
      <c r="H262" s="43">
        <f>IF($G262=1,INDEX(DarlSollzins,1),INDEX(DarlAnschluss,1))</f>
      </c>
      <c r="I262" s="43">
        <f>IF(INDEX(DarlBelegt,1)=0,0,IF(INDEX(DarlOhneTilgung,1)=1,IF(INDEX(DarlBindung,1)="",1,$G262),IF($J262&gt;0.005,1,0)))</f>
      </c>
      <c r="J262" s="43">
        <f>IF($I261=0,0,$R261)</f>
      </c>
      <c r="K262" s="43">
        <f>IF($I262=0,0,IF(INDEX(DarlOhneTilgung,1)=1,0,IF(AND(INDEX(DarlTilgStart,1)&gt;0,$E262=INDEX(DarlTilgStart,1)),$J262*($H262+INDEX(DarlTilgung,1))/100/12,IF(AND($G262=0,$G261=1),MAX($K261,$J262*($H262+1)/100/12),$K261))))</f>
      </c>
      <c r="L262" s="43">
        <f>IF($I262=0,0,$J262*$H262/100/12)</f>
      </c>
      <c r="M262" s="43">
        <f>IF($I262=0,0,IF(OR(INDEX(DarlOhneTilgung,1)=1,AND(INDEX(DarlTilgStart,1)&gt;0,$E262&lt;INDEX(DarlTilgStart,1))),0,MIN(MAX(0,$K262-$L262),$J262)))</f>
      </c>
      <c r="N262" s="43">
        <f>IF($I262=0,0,MIN(SUMIFS(SondBetrag,SondDarl,1,SondDatum,"&gt;="&amp;$E262,SondDatum,"&lt;="&amp;EOMONTH($E262,0)),$J262-$M262))</f>
      </c>
      <c r="O262" s="43">
        <f>IF($I262=0,0,INDEX(DarlErsatzRate,1))</f>
      </c>
      <c r="P262" s="43">
        <f>IF($I262=0,0,$Q261*INDEX(DarlErsatzZins,1))</f>
      </c>
      <c r="Q262" s="43">
        <f>IF($I262=0,0,$Q261+$P262+$O262)</f>
      </c>
      <c r="R262" s="43">
        <f>IF($I262=0,0,$J262-$M262-$N262)</f>
      </c>
    </row>
    <row r="263">
      <c r="A263"/>
      <c r="B263">
        <v>1</v>
      </c>
      <c r="C263" s="43">
        <f>INDEX(DarlObj,1)</f>
      </c>
      <c r="D263">
        <v>260</v>
      </c>
      <c r="E263" s="51">
        <f>IF(INDEX(DarlBelegt,1)=0,0,EOMONTH(INDEX(DarlAuszahlung,1),259)+1)</f>
      </c>
      <c r="F263" s="43">
        <f>IF($E263=0,0,YEAR($E263))</f>
      </c>
      <c r="G263" s="43">
        <f>IF(INDEX(DarlBindung,1)="",1,IF($E263&lt;=INDEX(DarlBindung,1),1,0))</f>
      </c>
      <c r="H263" s="43">
        <f>IF($G263=1,INDEX(DarlSollzins,1),INDEX(DarlAnschluss,1))</f>
      </c>
      <c r="I263" s="43">
        <f>IF(INDEX(DarlBelegt,1)=0,0,IF(INDEX(DarlOhneTilgung,1)=1,IF(INDEX(DarlBindung,1)="",1,$G263),IF($J263&gt;0.005,1,0)))</f>
      </c>
      <c r="J263" s="43">
        <f>IF($I262=0,0,$R262)</f>
      </c>
      <c r="K263" s="43">
        <f>IF($I263=0,0,IF(INDEX(DarlOhneTilgung,1)=1,0,IF(AND(INDEX(DarlTilgStart,1)&gt;0,$E263=INDEX(DarlTilgStart,1)),$J263*($H263+INDEX(DarlTilgung,1))/100/12,IF(AND($G263=0,$G262=1),MAX($K262,$J263*($H263+1)/100/12),$K262))))</f>
      </c>
      <c r="L263" s="43">
        <f>IF($I263=0,0,$J263*$H263/100/12)</f>
      </c>
      <c r="M263" s="43">
        <f>IF($I263=0,0,IF(OR(INDEX(DarlOhneTilgung,1)=1,AND(INDEX(DarlTilgStart,1)&gt;0,$E263&lt;INDEX(DarlTilgStart,1))),0,MIN(MAX(0,$K263-$L263),$J263)))</f>
      </c>
      <c r="N263" s="43">
        <f>IF($I263=0,0,MIN(SUMIFS(SondBetrag,SondDarl,1,SondDatum,"&gt;="&amp;$E263,SondDatum,"&lt;="&amp;EOMONTH($E263,0)),$J263-$M263))</f>
      </c>
      <c r="O263" s="43">
        <f>IF($I263=0,0,INDEX(DarlErsatzRate,1))</f>
      </c>
      <c r="P263" s="43">
        <f>IF($I263=0,0,$Q262*INDEX(DarlErsatzZins,1))</f>
      </c>
      <c r="Q263" s="43">
        <f>IF($I263=0,0,$Q262+$P263+$O263)</f>
      </c>
      <c r="R263" s="43">
        <f>IF($I263=0,0,$J263-$M263-$N263)</f>
      </c>
    </row>
    <row r="264">
      <c r="A264"/>
      <c r="B264">
        <v>1</v>
      </c>
      <c r="C264" s="43">
        <f>INDEX(DarlObj,1)</f>
      </c>
      <c r="D264">
        <v>261</v>
      </c>
      <c r="E264" s="51">
        <f>IF(INDEX(DarlBelegt,1)=0,0,EOMONTH(INDEX(DarlAuszahlung,1),260)+1)</f>
      </c>
      <c r="F264" s="43">
        <f>IF($E264=0,0,YEAR($E264))</f>
      </c>
      <c r="G264" s="43">
        <f>IF(INDEX(DarlBindung,1)="",1,IF($E264&lt;=INDEX(DarlBindung,1),1,0))</f>
      </c>
      <c r="H264" s="43">
        <f>IF($G264=1,INDEX(DarlSollzins,1),INDEX(DarlAnschluss,1))</f>
      </c>
      <c r="I264" s="43">
        <f>IF(INDEX(DarlBelegt,1)=0,0,IF(INDEX(DarlOhneTilgung,1)=1,IF(INDEX(DarlBindung,1)="",1,$G264),IF($J264&gt;0.005,1,0)))</f>
      </c>
      <c r="J264" s="43">
        <f>IF($I263=0,0,$R263)</f>
      </c>
      <c r="K264" s="43">
        <f>IF($I264=0,0,IF(INDEX(DarlOhneTilgung,1)=1,0,IF(AND(INDEX(DarlTilgStart,1)&gt;0,$E264=INDEX(DarlTilgStart,1)),$J264*($H264+INDEX(DarlTilgung,1))/100/12,IF(AND($G264=0,$G263=1),MAX($K263,$J264*($H264+1)/100/12),$K263))))</f>
      </c>
      <c r="L264" s="43">
        <f>IF($I264=0,0,$J264*$H264/100/12)</f>
      </c>
      <c r="M264" s="43">
        <f>IF($I264=0,0,IF(OR(INDEX(DarlOhneTilgung,1)=1,AND(INDEX(DarlTilgStart,1)&gt;0,$E264&lt;INDEX(DarlTilgStart,1))),0,MIN(MAX(0,$K264-$L264),$J264)))</f>
      </c>
      <c r="N264" s="43">
        <f>IF($I264=0,0,MIN(SUMIFS(SondBetrag,SondDarl,1,SondDatum,"&gt;="&amp;$E264,SondDatum,"&lt;="&amp;EOMONTH($E264,0)),$J264-$M264))</f>
      </c>
      <c r="O264" s="43">
        <f>IF($I264=0,0,INDEX(DarlErsatzRate,1))</f>
      </c>
      <c r="P264" s="43">
        <f>IF($I264=0,0,$Q263*INDEX(DarlErsatzZins,1))</f>
      </c>
      <c r="Q264" s="43">
        <f>IF($I264=0,0,$Q263+$P264+$O264)</f>
      </c>
      <c r="R264" s="43">
        <f>IF($I264=0,0,$J264-$M264-$N264)</f>
      </c>
    </row>
    <row r="265">
      <c r="A265"/>
      <c r="B265">
        <v>1</v>
      </c>
      <c r="C265" s="43">
        <f>INDEX(DarlObj,1)</f>
      </c>
      <c r="D265">
        <v>262</v>
      </c>
      <c r="E265" s="51">
        <f>IF(INDEX(DarlBelegt,1)=0,0,EOMONTH(INDEX(DarlAuszahlung,1),261)+1)</f>
      </c>
      <c r="F265" s="43">
        <f>IF($E265=0,0,YEAR($E265))</f>
      </c>
      <c r="G265" s="43">
        <f>IF(INDEX(DarlBindung,1)="",1,IF($E265&lt;=INDEX(DarlBindung,1),1,0))</f>
      </c>
      <c r="H265" s="43">
        <f>IF($G265=1,INDEX(DarlSollzins,1),INDEX(DarlAnschluss,1))</f>
      </c>
      <c r="I265" s="43">
        <f>IF(INDEX(DarlBelegt,1)=0,0,IF(INDEX(DarlOhneTilgung,1)=1,IF(INDEX(DarlBindung,1)="",1,$G265),IF($J265&gt;0.005,1,0)))</f>
      </c>
      <c r="J265" s="43">
        <f>IF($I264=0,0,$R264)</f>
      </c>
      <c r="K265" s="43">
        <f>IF($I265=0,0,IF(INDEX(DarlOhneTilgung,1)=1,0,IF(AND(INDEX(DarlTilgStart,1)&gt;0,$E265=INDEX(DarlTilgStart,1)),$J265*($H265+INDEX(DarlTilgung,1))/100/12,IF(AND($G265=0,$G264=1),MAX($K264,$J265*($H265+1)/100/12),$K264))))</f>
      </c>
      <c r="L265" s="43">
        <f>IF($I265=0,0,$J265*$H265/100/12)</f>
      </c>
      <c r="M265" s="43">
        <f>IF($I265=0,0,IF(OR(INDEX(DarlOhneTilgung,1)=1,AND(INDEX(DarlTilgStart,1)&gt;0,$E265&lt;INDEX(DarlTilgStart,1))),0,MIN(MAX(0,$K265-$L265),$J265)))</f>
      </c>
      <c r="N265" s="43">
        <f>IF($I265=0,0,MIN(SUMIFS(SondBetrag,SondDarl,1,SondDatum,"&gt;="&amp;$E265,SondDatum,"&lt;="&amp;EOMONTH($E265,0)),$J265-$M265))</f>
      </c>
      <c r="O265" s="43">
        <f>IF($I265=0,0,INDEX(DarlErsatzRate,1))</f>
      </c>
      <c r="P265" s="43">
        <f>IF($I265=0,0,$Q264*INDEX(DarlErsatzZins,1))</f>
      </c>
      <c r="Q265" s="43">
        <f>IF($I265=0,0,$Q264+$P265+$O265)</f>
      </c>
      <c r="R265" s="43">
        <f>IF($I265=0,0,$J265-$M265-$N265)</f>
      </c>
    </row>
    <row r="266">
      <c r="A266"/>
      <c r="B266">
        <v>1</v>
      </c>
      <c r="C266" s="43">
        <f>INDEX(DarlObj,1)</f>
      </c>
      <c r="D266">
        <v>263</v>
      </c>
      <c r="E266" s="51">
        <f>IF(INDEX(DarlBelegt,1)=0,0,EOMONTH(INDEX(DarlAuszahlung,1),262)+1)</f>
      </c>
      <c r="F266" s="43">
        <f>IF($E266=0,0,YEAR($E266))</f>
      </c>
      <c r="G266" s="43">
        <f>IF(INDEX(DarlBindung,1)="",1,IF($E266&lt;=INDEX(DarlBindung,1),1,0))</f>
      </c>
      <c r="H266" s="43">
        <f>IF($G266=1,INDEX(DarlSollzins,1),INDEX(DarlAnschluss,1))</f>
      </c>
      <c r="I266" s="43">
        <f>IF(INDEX(DarlBelegt,1)=0,0,IF(INDEX(DarlOhneTilgung,1)=1,IF(INDEX(DarlBindung,1)="",1,$G266),IF($J266&gt;0.005,1,0)))</f>
      </c>
      <c r="J266" s="43">
        <f>IF($I265=0,0,$R265)</f>
      </c>
      <c r="K266" s="43">
        <f>IF($I266=0,0,IF(INDEX(DarlOhneTilgung,1)=1,0,IF(AND(INDEX(DarlTilgStart,1)&gt;0,$E266=INDEX(DarlTilgStart,1)),$J266*($H266+INDEX(DarlTilgung,1))/100/12,IF(AND($G266=0,$G265=1),MAX($K265,$J266*($H266+1)/100/12),$K265))))</f>
      </c>
      <c r="L266" s="43">
        <f>IF($I266=0,0,$J266*$H266/100/12)</f>
      </c>
      <c r="M266" s="43">
        <f>IF($I266=0,0,IF(OR(INDEX(DarlOhneTilgung,1)=1,AND(INDEX(DarlTilgStart,1)&gt;0,$E266&lt;INDEX(DarlTilgStart,1))),0,MIN(MAX(0,$K266-$L266),$J266)))</f>
      </c>
      <c r="N266" s="43">
        <f>IF($I266=0,0,MIN(SUMIFS(SondBetrag,SondDarl,1,SondDatum,"&gt;="&amp;$E266,SondDatum,"&lt;="&amp;EOMONTH($E266,0)),$J266-$M266))</f>
      </c>
      <c r="O266" s="43">
        <f>IF($I266=0,0,INDEX(DarlErsatzRate,1))</f>
      </c>
      <c r="P266" s="43">
        <f>IF($I266=0,0,$Q265*INDEX(DarlErsatzZins,1))</f>
      </c>
      <c r="Q266" s="43">
        <f>IF($I266=0,0,$Q265+$P266+$O266)</f>
      </c>
      <c r="R266" s="43">
        <f>IF($I266=0,0,$J266-$M266-$N266)</f>
      </c>
    </row>
    <row r="267">
      <c r="A267"/>
      <c r="B267">
        <v>1</v>
      </c>
      <c r="C267" s="43">
        <f>INDEX(DarlObj,1)</f>
      </c>
      <c r="D267">
        <v>264</v>
      </c>
      <c r="E267" s="51">
        <f>IF(INDEX(DarlBelegt,1)=0,0,EOMONTH(INDEX(DarlAuszahlung,1),263)+1)</f>
      </c>
      <c r="F267" s="43">
        <f>IF($E267=0,0,YEAR($E267))</f>
      </c>
      <c r="G267" s="43">
        <f>IF(INDEX(DarlBindung,1)="",1,IF($E267&lt;=INDEX(DarlBindung,1),1,0))</f>
      </c>
      <c r="H267" s="43">
        <f>IF($G267=1,INDEX(DarlSollzins,1),INDEX(DarlAnschluss,1))</f>
      </c>
      <c r="I267" s="43">
        <f>IF(INDEX(DarlBelegt,1)=0,0,IF(INDEX(DarlOhneTilgung,1)=1,IF(INDEX(DarlBindung,1)="",1,$G267),IF($J267&gt;0.005,1,0)))</f>
      </c>
      <c r="J267" s="43">
        <f>IF($I266=0,0,$R266)</f>
      </c>
      <c r="K267" s="43">
        <f>IF($I267=0,0,IF(INDEX(DarlOhneTilgung,1)=1,0,IF(AND(INDEX(DarlTilgStart,1)&gt;0,$E267=INDEX(DarlTilgStart,1)),$J267*($H267+INDEX(DarlTilgung,1))/100/12,IF(AND($G267=0,$G266=1),MAX($K266,$J267*($H267+1)/100/12),$K266))))</f>
      </c>
      <c r="L267" s="43">
        <f>IF($I267=0,0,$J267*$H267/100/12)</f>
      </c>
      <c r="M267" s="43">
        <f>IF($I267=0,0,IF(OR(INDEX(DarlOhneTilgung,1)=1,AND(INDEX(DarlTilgStart,1)&gt;0,$E267&lt;INDEX(DarlTilgStart,1))),0,MIN(MAX(0,$K267-$L267),$J267)))</f>
      </c>
      <c r="N267" s="43">
        <f>IF($I267=0,0,MIN(SUMIFS(SondBetrag,SondDarl,1,SondDatum,"&gt;="&amp;$E267,SondDatum,"&lt;="&amp;EOMONTH($E267,0)),$J267-$M267))</f>
      </c>
      <c r="O267" s="43">
        <f>IF($I267=0,0,INDEX(DarlErsatzRate,1))</f>
      </c>
      <c r="P267" s="43">
        <f>IF($I267=0,0,$Q266*INDEX(DarlErsatzZins,1))</f>
      </c>
      <c r="Q267" s="43">
        <f>IF($I267=0,0,$Q266+$P267+$O267)</f>
      </c>
      <c r="R267" s="43">
        <f>IF($I267=0,0,$J267-$M267-$N267)</f>
      </c>
    </row>
    <row r="268">
      <c r="A268"/>
      <c r="B268">
        <v>1</v>
      </c>
      <c r="C268" s="43">
        <f>INDEX(DarlObj,1)</f>
      </c>
      <c r="D268">
        <v>265</v>
      </c>
      <c r="E268" s="51">
        <f>IF(INDEX(DarlBelegt,1)=0,0,EOMONTH(INDEX(DarlAuszahlung,1),264)+1)</f>
      </c>
      <c r="F268" s="43">
        <f>IF($E268=0,0,YEAR($E268))</f>
      </c>
      <c r="G268" s="43">
        <f>IF(INDEX(DarlBindung,1)="",1,IF($E268&lt;=INDEX(DarlBindung,1),1,0))</f>
      </c>
      <c r="H268" s="43">
        <f>IF($G268=1,INDEX(DarlSollzins,1),INDEX(DarlAnschluss,1))</f>
      </c>
      <c r="I268" s="43">
        <f>IF(INDEX(DarlBelegt,1)=0,0,IF(INDEX(DarlOhneTilgung,1)=1,IF(INDEX(DarlBindung,1)="",1,$G268),IF($J268&gt;0.005,1,0)))</f>
      </c>
      <c r="J268" s="43">
        <f>IF($I267=0,0,$R267)</f>
      </c>
      <c r="K268" s="43">
        <f>IF($I268=0,0,IF(INDEX(DarlOhneTilgung,1)=1,0,IF(AND(INDEX(DarlTilgStart,1)&gt;0,$E268=INDEX(DarlTilgStart,1)),$J268*($H268+INDEX(DarlTilgung,1))/100/12,IF(AND($G268=0,$G267=1),MAX($K267,$J268*($H268+1)/100/12),$K267))))</f>
      </c>
      <c r="L268" s="43">
        <f>IF($I268=0,0,$J268*$H268/100/12)</f>
      </c>
      <c r="M268" s="43">
        <f>IF($I268=0,0,IF(OR(INDEX(DarlOhneTilgung,1)=1,AND(INDEX(DarlTilgStart,1)&gt;0,$E268&lt;INDEX(DarlTilgStart,1))),0,MIN(MAX(0,$K268-$L268),$J268)))</f>
      </c>
      <c r="N268" s="43">
        <f>IF($I268=0,0,MIN(SUMIFS(SondBetrag,SondDarl,1,SondDatum,"&gt;="&amp;$E268,SondDatum,"&lt;="&amp;EOMONTH($E268,0)),$J268-$M268))</f>
      </c>
      <c r="O268" s="43">
        <f>IF($I268=0,0,INDEX(DarlErsatzRate,1))</f>
      </c>
      <c r="P268" s="43">
        <f>IF($I268=0,0,$Q267*INDEX(DarlErsatzZins,1))</f>
      </c>
      <c r="Q268" s="43">
        <f>IF($I268=0,0,$Q267+$P268+$O268)</f>
      </c>
      <c r="R268" s="43">
        <f>IF($I268=0,0,$J268-$M268-$N268)</f>
      </c>
    </row>
    <row r="269">
      <c r="A269"/>
      <c r="B269">
        <v>1</v>
      </c>
      <c r="C269" s="43">
        <f>INDEX(DarlObj,1)</f>
      </c>
      <c r="D269">
        <v>266</v>
      </c>
      <c r="E269" s="51">
        <f>IF(INDEX(DarlBelegt,1)=0,0,EOMONTH(INDEX(DarlAuszahlung,1),265)+1)</f>
      </c>
      <c r="F269" s="43">
        <f>IF($E269=0,0,YEAR($E269))</f>
      </c>
      <c r="G269" s="43">
        <f>IF(INDEX(DarlBindung,1)="",1,IF($E269&lt;=INDEX(DarlBindung,1),1,0))</f>
      </c>
      <c r="H269" s="43">
        <f>IF($G269=1,INDEX(DarlSollzins,1),INDEX(DarlAnschluss,1))</f>
      </c>
      <c r="I269" s="43">
        <f>IF(INDEX(DarlBelegt,1)=0,0,IF(INDEX(DarlOhneTilgung,1)=1,IF(INDEX(DarlBindung,1)="",1,$G269),IF($J269&gt;0.005,1,0)))</f>
      </c>
      <c r="J269" s="43">
        <f>IF($I268=0,0,$R268)</f>
      </c>
      <c r="K269" s="43">
        <f>IF($I269=0,0,IF(INDEX(DarlOhneTilgung,1)=1,0,IF(AND(INDEX(DarlTilgStart,1)&gt;0,$E269=INDEX(DarlTilgStart,1)),$J269*($H269+INDEX(DarlTilgung,1))/100/12,IF(AND($G269=0,$G268=1),MAX($K268,$J269*($H269+1)/100/12),$K268))))</f>
      </c>
      <c r="L269" s="43">
        <f>IF($I269=0,0,$J269*$H269/100/12)</f>
      </c>
      <c r="M269" s="43">
        <f>IF($I269=0,0,IF(OR(INDEX(DarlOhneTilgung,1)=1,AND(INDEX(DarlTilgStart,1)&gt;0,$E269&lt;INDEX(DarlTilgStart,1))),0,MIN(MAX(0,$K269-$L269),$J269)))</f>
      </c>
      <c r="N269" s="43">
        <f>IF($I269=0,0,MIN(SUMIFS(SondBetrag,SondDarl,1,SondDatum,"&gt;="&amp;$E269,SondDatum,"&lt;="&amp;EOMONTH($E269,0)),$J269-$M269))</f>
      </c>
      <c r="O269" s="43">
        <f>IF($I269=0,0,INDEX(DarlErsatzRate,1))</f>
      </c>
      <c r="P269" s="43">
        <f>IF($I269=0,0,$Q268*INDEX(DarlErsatzZins,1))</f>
      </c>
      <c r="Q269" s="43">
        <f>IF($I269=0,0,$Q268+$P269+$O269)</f>
      </c>
      <c r="R269" s="43">
        <f>IF($I269=0,0,$J269-$M269-$N269)</f>
      </c>
    </row>
    <row r="270">
      <c r="A270"/>
      <c r="B270">
        <v>1</v>
      </c>
      <c r="C270" s="43">
        <f>INDEX(DarlObj,1)</f>
      </c>
      <c r="D270">
        <v>267</v>
      </c>
      <c r="E270" s="51">
        <f>IF(INDEX(DarlBelegt,1)=0,0,EOMONTH(INDEX(DarlAuszahlung,1),266)+1)</f>
      </c>
      <c r="F270" s="43">
        <f>IF($E270=0,0,YEAR($E270))</f>
      </c>
      <c r="G270" s="43">
        <f>IF(INDEX(DarlBindung,1)="",1,IF($E270&lt;=INDEX(DarlBindung,1),1,0))</f>
      </c>
      <c r="H270" s="43">
        <f>IF($G270=1,INDEX(DarlSollzins,1),INDEX(DarlAnschluss,1))</f>
      </c>
      <c r="I270" s="43">
        <f>IF(INDEX(DarlBelegt,1)=0,0,IF(INDEX(DarlOhneTilgung,1)=1,IF(INDEX(DarlBindung,1)="",1,$G270),IF($J270&gt;0.005,1,0)))</f>
      </c>
      <c r="J270" s="43">
        <f>IF($I269=0,0,$R269)</f>
      </c>
      <c r="K270" s="43">
        <f>IF($I270=0,0,IF(INDEX(DarlOhneTilgung,1)=1,0,IF(AND(INDEX(DarlTilgStart,1)&gt;0,$E270=INDEX(DarlTilgStart,1)),$J270*($H270+INDEX(DarlTilgung,1))/100/12,IF(AND($G270=0,$G269=1),MAX($K269,$J270*($H270+1)/100/12),$K269))))</f>
      </c>
      <c r="L270" s="43">
        <f>IF($I270=0,0,$J270*$H270/100/12)</f>
      </c>
      <c r="M270" s="43">
        <f>IF($I270=0,0,IF(OR(INDEX(DarlOhneTilgung,1)=1,AND(INDEX(DarlTilgStart,1)&gt;0,$E270&lt;INDEX(DarlTilgStart,1))),0,MIN(MAX(0,$K270-$L270),$J270)))</f>
      </c>
      <c r="N270" s="43">
        <f>IF($I270=0,0,MIN(SUMIFS(SondBetrag,SondDarl,1,SondDatum,"&gt;="&amp;$E270,SondDatum,"&lt;="&amp;EOMONTH($E270,0)),$J270-$M270))</f>
      </c>
      <c r="O270" s="43">
        <f>IF($I270=0,0,INDEX(DarlErsatzRate,1))</f>
      </c>
      <c r="P270" s="43">
        <f>IF($I270=0,0,$Q269*INDEX(DarlErsatzZins,1))</f>
      </c>
      <c r="Q270" s="43">
        <f>IF($I270=0,0,$Q269+$P270+$O270)</f>
      </c>
      <c r="R270" s="43">
        <f>IF($I270=0,0,$J270-$M270-$N270)</f>
      </c>
    </row>
    <row r="271">
      <c r="A271"/>
      <c r="B271">
        <v>1</v>
      </c>
      <c r="C271" s="43">
        <f>INDEX(DarlObj,1)</f>
      </c>
      <c r="D271">
        <v>268</v>
      </c>
      <c r="E271" s="51">
        <f>IF(INDEX(DarlBelegt,1)=0,0,EOMONTH(INDEX(DarlAuszahlung,1),267)+1)</f>
      </c>
      <c r="F271" s="43">
        <f>IF($E271=0,0,YEAR($E271))</f>
      </c>
      <c r="G271" s="43">
        <f>IF(INDEX(DarlBindung,1)="",1,IF($E271&lt;=INDEX(DarlBindung,1),1,0))</f>
      </c>
      <c r="H271" s="43">
        <f>IF($G271=1,INDEX(DarlSollzins,1),INDEX(DarlAnschluss,1))</f>
      </c>
      <c r="I271" s="43">
        <f>IF(INDEX(DarlBelegt,1)=0,0,IF(INDEX(DarlOhneTilgung,1)=1,IF(INDEX(DarlBindung,1)="",1,$G271),IF($J271&gt;0.005,1,0)))</f>
      </c>
      <c r="J271" s="43">
        <f>IF($I270=0,0,$R270)</f>
      </c>
      <c r="K271" s="43">
        <f>IF($I271=0,0,IF(INDEX(DarlOhneTilgung,1)=1,0,IF(AND(INDEX(DarlTilgStart,1)&gt;0,$E271=INDEX(DarlTilgStart,1)),$J271*($H271+INDEX(DarlTilgung,1))/100/12,IF(AND($G271=0,$G270=1),MAX($K270,$J271*($H271+1)/100/12),$K270))))</f>
      </c>
      <c r="L271" s="43">
        <f>IF($I271=0,0,$J271*$H271/100/12)</f>
      </c>
      <c r="M271" s="43">
        <f>IF($I271=0,0,IF(OR(INDEX(DarlOhneTilgung,1)=1,AND(INDEX(DarlTilgStart,1)&gt;0,$E271&lt;INDEX(DarlTilgStart,1))),0,MIN(MAX(0,$K271-$L271),$J271)))</f>
      </c>
      <c r="N271" s="43">
        <f>IF($I271=0,0,MIN(SUMIFS(SondBetrag,SondDarl,1,SondDatum,"&gt;="&amp;$E271,SondDatum,"&lt;="&amp;EOMONTH($E271,0)),$J271-$M271))</f>
      </c>
      <c r="O271" s="43">
        <f>IF($I271=0,0,INDEX(DarlErsatzRate,1))</f>
      </c>
      <c r="P271" s="43">
        <f>IF($I271=0,0,$Q270*INDEX(DarlErsatzZins,1))</f>
      </c>
      <c r="Q271" s="43">
        <f>IF($I271=0,0,$Q270+$P271+$O271)</f>
      </c>
      <c r="R271" s="43">
        <f>IF($I271=0,0,$J271-$M271-$N271)</f>
      </c>
    </row>
    <row r="272">
      <c r="A272"/>
      <c r="B272">
        <v>1</v>
      </c>
      <c r="C272" s="43">
        <f>INDEX(DarlObj,1)</f>
      </c>
      <c r="D272">
        <v>269</v>
      </c>
      <c r="E272" s="51">
        <f>IF(INDEX(DarlBelegt,1)=0,0,EOMONTH(INDEX(DarlAuszahlung,1),268)+1)</f>
      </c>
      <c r="F272" s="43">
        <f>IF($E272=0,0,YEAR($E272))</f>
      </c>
      <c r="G272" s="43">
        <f>IF(INDEX(DarlBindung,1)="",1,IF($E272&lt;=INDEX(DarlBindung,1),1,0))</f>
      </c>
      <c r="H272" s="43">
        <f>IF($G272=1,INDEX(DarlSollzins,1),INDEX(DarlAnschluss,1))</f>
      </c>
      <c r="I272" s="43">
        <f>IF(INDEX(DarlBelegt,1)=0,0,IF(INDEX(DarlOhneTilgung,1)=1,IF(INDEX(DarlBindung,1)="",1,$G272),IF($J272&gt;0.005,1,0)))</f>
      </c>
      <c r="J272" s="43">
        <f>IF($I271=0,0,$R271)</f>
      </c>
      <c r="K272" s="43">
        <f>IF($I272=0,0,IF(INDEX(DarlOhneTilgung,1)=1,0,IF(AND(INDEX(DarlTilgStart,1)&gt;0,$E272=INDEX(DarlTilgStart,1)),$J272*($H272+INDEX(DarlTilgung,1))/100/12,IF(AND($G272=0,$G271=1),MAX($K271,$J272*($H272+1)/100/12),$K271))))</f>
      </c>
      <c r="L272" s="43">
        <f>IF($I272=0,0,$J272*$H272/100/12)</f>
      </c>
      <c r="M272" s="43">
        <f>IF($I272=0,0,IF(OR(INDEX(DarlOhneTilgung,1)=1,AND(INDEX(DarlTilgStart,1)&gt;0,$E272&lt;INDEX(DarlTilgStart,1))),0,MIN(MAX(0,$K272-$L272),$J272)))</f>
      </c>
      <c r="N272" s="43">
        <f>IF($I272=0,0,MIN(SUMIFS(SondBetrag,SondDarl,1,SondDatum,"&gt;="&amp;$E272,SondDatum,"&lt;="&amp;EOMONTH($E272,0)),$J272-$M272))</f>
      </c>
      <c r="O272" s="43">
        <f>IF($I272=0,0,INDEX(DarlErsatzRate,1))</f>
      </c>
      <c r="P272" s="43">
        <f>IF($I272=0,0,$Q271*INDEX(DarlErsatzZins,1))</f>
      </c>
      <c r="Q272" s="43">
        <f>IF($I272=0,0,$Q271+$P272+$O272)</f>
      </c>
      <c r="R272" s="43">
        <f>IF($I272=0,0,$J272-$M272-$N272)</f>
      </c>
    </row>
    <row r="273">
      <c r="A273"/>
      <c r="B273">
        <v>1</v>
      </c>
      <c r="C273" s="43">
        <f>INDEX(DarlObj,1)</f>
      </c>
      <c r="D273">
        <v>270</v>
      </c>
      <c r="E273" s="51">
        <f>IF(INDEX(DarlBelegt,1)=0,0,EOMONTH(INDEX(DarlAuszahlung,1),269)+1)</f>
      </c>
      <c r="F273" s="43">
        <f>IF($E273=0,0,YEAR($E273))</f>
      </c>
      <c r="G273" s="43">
        <f>IF(INDEX(DarlBindung,1)="",1,IF($E273&lt;=INDEX(DarlBindung,1),1,0))</f>
      </c>
      <c r="H273" s="43">
        <f>IF($G273=1,INDEX(DarlSollzins,1),INDEX(DarlAnschluss,1))</f>
      </c>
      <c r="I273" s="43">
        <f>IF(INDEX(DarlBelegt,1)=0,0,IF(INDEX(DarlOhneTilgung,1)=1,IF(INDEX(DarlBindung,1)="",1,$G273),IF($J273&gt;0.005,1,0)))</f>
      </c>
      <c r="J273" s="43">
        <f>IF($I272=0,0,$R272)</f>
      </c>
      <c r="K273" s="43">
        <f>IF($I273=0,0,IF(INDEX(DarlOhneTilgung,1)=1,0,IF(AND(INDEX(DarlTilgStart,1)&gt;0,$E273=INDEX(DarlTilgStart,1)),$J273*($H273+INDEX(DarlTilgung,1))/100/12,IF(AND($G273=0,$G272=1),MAX($K272,$J273*($H273+1)/100/12),$K272))))</f>
      </c>
      <c r="L273" s="43">
        <f>IF($I273=0,0,$J273*$H273/100/12)</f>
      </c>
      <c r="M273" s="43">
        <f>IF($I273=0,0,IF(OR(INDEX(DarlOhneTilgung,1)=1,AND(INDEX(DarlTilgStart,1)&gt;0,$E273&lt;INDEX(DarlTilgStart,1))),0,MIN(MAX(0,$K273-$L273),$J273)))</f>
      </c>
      <c r="N273" s="43">
        <f>IF($I273=0,0,MIN(SUMIFS(SondBetrag,SondDarl,1,SondDatum,"&gt;="&amp;$E273,SondDatum,"&lt;="&amp;EOMONTH($E273,0)),$J273-$M273))</f>
      </c>
      <c r="O273" s="43">
        <f>IF($I273=0,0,INDEX(DarlErsatzRate,1))</f>
      </c>
      <c r="P273" s="43">
        <f>IF($I273=0,0,$Q272*INDEX(DarlErsatzZins,1))</f>
      </c>
      <c r="Q273" s="43">
        <f>IF($I273=0,0,$Q272+$P273+$O273)</f>
      </c>
      <c r="R273" s="43">
        <f>IF($I273=0,0,$J273-$M273-$N273)</f>
      </c>
    </row>
    <row r="274">
      <c r="A274"/>
      <c r="B274">
        <v>1</v>
      </c>
      <c r="C274" s="43">
        <f>INDEX(DarlObj,1)</f>
      </c>
      <c r="D274">
        <v>271</v>
      </c>
      <c r="E274" s="51">
        <f>IF(INDEX(DarlBelegt,1)=0,0,EOMONTH(INDEX(DarlAuszahlung,1),270)+1)</f>
      </c>
      <c r="F274" s="43">
        <f>IF($E274=0,0,YEAR($E274))</f>
      </c>
      <c r="G274" s="43">
        <f>IF(INDEX(DarlBindung,1)="",1,IF($E274&lt;=INDEX(DarlBindung,1),1,0))</f>
      </c>
      <c r="H274" s="43">
        <f>IF($G274=1,INDEX(DarlSollzins,1),INDEX(DarlAnschluss,1))</f>
      </c>
      <c r="I274" s="43">
        <f>IF(INDEX(DarlBelegt,1)=0,0,IF(INDEX(DarlOhneTilgung,1)=1,IF(INDEX(DarlBindung,1)="",1,$G274),IF($J274&gt;0.005,1,0)))</f>
      </c>
      <c r="J274" s="43">
        <f>IF($I273=0,0,$R273)</f>
      </c>
      <c r="K274" s="43">
        <f>IF($I274=0,0,IF(INDEX(DarlOhneTilgung,1)=1,0,IF(AND(INDEX(DarlTilgStart,1)&gt;0,$E274=INDEX(DarlTilgStart,1)),$J274*($H274+INDEX(DarlTilgung,1))/100/12,IF(AND($G274=0,$G273=1),MAX($K273,$J274*($H274+1)/100/12),$K273))))</f>
      </c>
      <c r="L274" s="43">
        <f>IF($I274=0,0,$J274*$H274/100/12)</f>
      </c>
      <c r="M274" s="43">
        <f>IF($I274=0,0,IF(OR(INDEX(DarlOhneTilgung,1)=1,AND(INDEX(DarlTilgStart,1)&gt;0,$E274&lt;INDEX(DarlTilgStart,1))),0,MIN(MAX(0,$K274-$L274),$J274)))</f>
      </c>
      <c r="N274" s="43">
        <f>IF($I274=0,0,MIN(SUMIFS(SondBetrag,SondDarl,1,SondDatum,"&gt;="&amp;$E274,SondDatum,"&lt;="&amp;EOMONTH($E274,0)),$J274-$M274))</f>
      </c>
      <c r="O274" s="43">
        <f>IF($I274=0,0,INDEX(DarlErsatzRate,1))</f>
      </c>
      <c r="P274" s="43">
        <f>IF($I274=0,0,$Q273*INDEX(DarlErsatzZins,1))</f>
      </c>
      <c r="Q274" s="43">
        <f>IF($I274=0,0,$Q273+$P274+$O274)</f>
      </c>
      <c r="R274" s="43">
        <f>IF($I274=0,0,$J274-$M274-$N274)</f>
      </c>
    </row>
    <row r="275">
      <c r="A275"/>
      <c r="B275">
        <v>1</v>
      </c>
      <c r="C275" s="43">
        <f>INDEX(DarlObj,1)</f>
      </c>
      <c r="D275">
        <v>272</v>
      </c>
      <c r="E275" s="51">
        <f>IF(INDEX(DarlBelegt,1)=0,0,EOMONTH(INDEX(DarlAuszahlung,1),271)+1)</f>
      </c>
      <c r="F275" s="43">
        <f>IF($E275=0,0,YEAR($E275))</f>
      </c>
      <c r="G275" s="43">
        <f>IF(INDEX(DarlBindung,1)="",1,IF($E275&lt;=INDEX(DarlBindung,1),1,0))</f>
      </c>
      <c r="H275" s="43">
        <f>IF($G275=1,INDEX(DarlSollzins,1),INDEX(DarlAnschluss,1))</f>
      </c>
      <c r="I275" s="43">
        <f>IF(INDEX(DarlBelegt,1)=0,0,IF(INDEX(DarlOhneTilgung,1)=1,IF(INDEX(DarlBindung,1)="",1,$G275),IF($J275&gt;0.005,1,0)))</f>
      </c>
      <c r="J275" s="43">
        <f>IF($I274=0,0,$R274)</f>
      </c>
      <c r="K275" s="43">
        <f>IF($I275=0,0,IF(INDEX(DarlOhneTilgung,1)=1,0,IF(AND(INDEX(DarlTilgStart,1)&gt;0,$E275=INDEX(DarlTilgStart,1)),$J275*($H275+INDEX(DarlTilgung,1))/100/12,IF(AND($G275=0,$G274=1),MAX($K274,$J275*($H275+1)/100/12),$K274))))</f>
      </c>
      <c r="L275" s="43">
        <f>IF($I275=0,0,$J275*$H275/100/12)</f>
      </c>
      <c r="M275" s="43">
        <f>IF($I275=0,0,IF(OR(INDEX(DarlOhneTilgung,1)=1,AND(INDEX(DarlTilgStart,1)&gt;0,$E275&lt;INDEX(DarlTilgStart,1))),0,MIN(MAX(0,$K275-$L275),$J275)))</f>
      </c>
      <c r="N275" s="43">
        <f>IF($I275=0,0,MIN(SUMIFS(SondBetrag,SondDarl,1,SondDatum,"&gt;="&amp;$E275,SondDatum,"&lt;="&amp;EOMONTH($E275,0)),$J275-$M275))</f>
      </c>
      <c r="O275" s="43">
        <f>IF($I275=0,0,INDEX(DarlErsatzRate,1))</f>
      </c>
      <c r="P275" s="43">
        <f>IF($I275=0,0,$Q274*INDEX(DarlErsatzZins,1))</f>
      </c>
      <c r="Q275" s="43">
        <f>IF($I275=0,0,$Q274+$P275+$O275)</f>
      </c>
      <c r="R275" s="43">
        <f>IF($I275=0,0,$J275-$M275-$N275)</f>
      </c>
    </row>
    <row r="276">
      <c r="A276"/>
      <c r="B276">
        <v>1</v>
      </c>
      <c r="C276" s="43">
        <f>INDEX(DarlObj,1)</f>
      </c>
      <c r="D276">
        <v>273</v>
      </c>
      <c r="E276" s="51">
        <f>IF(INDEX(DarlBelegt,1)=0,0,EOMONTH(INDEX(DarlAuszahlung,1),272)+1)</f>
      </c>
      <c r="F276" s="43">
        <f>IF($E276=0,0,YEAR($E276))</f>
      </c>
      <c r="G276" s="43">
        <f>IF(INDEX(DarlBindung,1)="",1,IF($E276&lt;=INDEX(DarlBindung,1),1,0))</f>
      </c>
      <c r="H276" s="43">
        <f>IF($G276=1,INDEX(DarlSollzins,1),INDEX(DarlAnschluss,1))</f>
      </c>
      <c r="I276" s="43">
        <f>IF(INDEX(DarlBelegt,1)=0,0,IF(INDEX(DarlOhneTilgung,1)=1,IF(INDEX(DarlBindung,1)="",1,$G276),IF($J276&gt;0.005,1,0)))</f>
      </c>
      <c r="J276" s="43">
        <f>IF($I275=0,0,$R275)</f>
      </c>
      <c r="K276" s="43">
        <f>IF($I276=0,0,IF(INDEX(DarlOhneTilgung,1)=1,0,IF(AND(INDEX(DarlTilgStart,1)&gt;0,$E276=INDEX(DarlTilgStart,1)),$J276*($H276+INDEX(DarlTilgung,1))/100/12,IF(AND($G276=0,$G275=1),MAX($K275,$J276*($H276+1)/100/12),$K275))))</f>
      </c>
      <c r="L276" s="43">
        <f>IF($I276=0,0,$J276*$H276/100/12)</f>
      </c>
      <c r="M276" s="43">
        <f>IF($I276=0,0,IF(OR(INDEX(DarlOhneTilgung,1)=1,AND(INDEX(DarlTilgStart,1)&gt;0,$E276&lt;INDEX(DarlTilgStart,1))),0,MIN(MAX(0,$K276-$L276),$J276)))</f>
      </c>
      <c r="N276" s="43">
        <f>IF($I276=0,0,MIN(SUMIFS(SondBetrag,SondDarl,1,SondDatum,"&gt;="&amp;$E276,SondDatum,"&lt;="&amp;EOMONTH($E276,0)),$J276-$M276))</f>
      </c>
      <c r="O276" s="43">
        <f>IF($I276=0,0,INDEX(DarlErsatzRate,1))</f>
      </c>
      <c r="P276" s="43">
        <f>IF($I276=0,0,$Q275*INDEX(DarlErsatzZins,1))</f>
      </c>
      <c r="Q276" s="43">
        <f>IF($I276=0,0,$Q275+$P276+$O276)</f>
      </c>
      <c r="R276" s="43">
        <f>IF($I276=0,0,$J276-$M276-$N276)</f>
      </c>
    </row>
    <row r="277">
      <c r="A277"/>
      <c r="B277">
        <v>1</v>
      </c>
      <c r="C277" s="43">
        <f>INDEX(DarlObj,1)</f>
      </c>
      <c r="D277">
        <v>274</v>
      </c>
      <c r="E277" s="51">
        <f>IF(INDEX(DarlBelegt,1)=0,0,EOMONTH(INDEX(DarlAuszahlung,1),273)+1)</f>
      </c>
      <c r="F277" s="43">
        <f>IF($E277=0,0,YEAR($E277))</f>
      </c>
      <c r="G277" s="43">
        <f>IF(INDEX(DarlBindung,1)="",1,IF($E277&lt;=INDEX(DarlBindung,1),1,0))</f>
      </c>
      <c r="H277" s="43">
        <f>IF($G277=1,INDEX(DarlSollzins,1),INDEX(DarlAnschluss,1))</f>
      </c>
      <c r="I277" s="43">
        <f>IF(INDEX(DarlBelegt,1)=0,0,IF(INDEX(DarlOhneTilgung,1)=1,IF(INDEX(DarlBindung,1)="",1,$G277),IF($J277&gt;0.005,1,0)))</f>
      </c>
      <c r="J277" s="43">
        <f>IF($I276=0,0,$R276)</f>
      </c>
      <c r="K277" s="43">
        <f>IF($I277=0,0,IF(INDEX(DarlOhneTilgung,1)=1,0,IF(AND(INDEX(DarlTilgStart,1)&gt;0,$E277=INDEX(DarlTilgStart,1)),$J277*($H277+INDEX(DarlTilgung,1))/100/12,IF(AND($G277=0,$G276=1),MAX($K276,$J277*($H277+1)/100/12),$K276))))</f>
      </c>
      <c r="L277" s="43">
        <f>IF($I277=0,0,$J277*$H277/100/12)</f>
      </c>
      <c r="M277" s="43">
        <f>IF($I277=0,0,IF(OR(INDEX(DarlOhneTilgung,1)=1,AND(INDEX(DarlTilgStart,1)&gt;0,$E277&lt;INDEX(DarlTilgStart,1))),0,MIN(MAX(0,$K277-$L277),$J277)))</f>
      </c>
      <c r="N277" s="43">
        <f>IF($I277=0,0,MIN(SUMIFS(SondBetrag,SondDarl,1,SondDatum,"&gt;="&amp;$E277,SondDatum,"&lt;="&amp;EOMONTH($E277,0)),$J277-$M277))</f>
      </c>
      <c r="O277" s="43">
        <f>IF($I277=0,0,INDEX(DarlErsatzRate,1))</f>
      </c>
      <c r="P277" s="43">
        <f>IF($I277=0,0,$Q276*INDEX(DarlErsatzZins,1))</f>
      </c>
      <c r="Q277" s="43">
        <f>IF($I277=0,0,$Q276+$P277+$O277)</f>
      </c>
      <c r="R277" s="43">
        <f>IF($I277=0,0,$J277-$M277-$N277)</f>
      </c>
    </row>
    <row r="278">
      <c r="A278"/>
      <c r="B278">
        <v>1</v>
      </c>
      <c r="C278" s="43">
        <f>INDEX(DarlObj,1)</f>
      </c>
      <c r="D278">
        <v>275</v>
      </c>
      <c r="E278" s="51">
        <f>IF(INDEX(DarlBelegt,1)=0,0,EOMONTH(INDEX(DarlAuszahlung,1),274)+1)</f>
      </c>
      <c r="F278" s="43">
        <f>IF($E278=0,0,YEAR($E278))</f>
      </c>
      <c r="G278" s="43">
        <f>IF(INDEX(DarlBindung,1)="",1,IF($E278&lt;=INDEX(DarlBindung,1),1,0))</f>
      </c>
      <c r="H278" s="43">
        <f>IF($G278=1,INDEX(DarlSollzins,1),INDEX(DarlAnschluss,1))</f>
      </c>
      <c r="I278" s="43">
        <f>IF(INDEX(DarlBelegt,1)=0,0,IF(INDEX(DarlOhneTilgung,1)=1,IF(INDEX(DarlBindung,1)="",1,$G278),IF($J278&gt;0.005,1,0)))</f>
      </c>
      <c r="J278" s="43">
        <f>IF($I277=0,0,$R277)</f>
      </c>
      <c r="K278" s="43">
        <f>IF($I278=0,0,IF(INDEX(DarlOhneTilgung,1)=1,0,IF(AND(INDEX(DarlTilgStart,1)&gt;0,$E278=INDEX(DarlTilgStart,1)),$J278*($H278+INDEX(DarlTilgung,1))/100/12,IF(AND($G278=0,$G277=1),MAX($K277,$J278*($H278+1)/100/12),$K277))))</f>
      </c>
      <c r="L278" s="43">
        <f>IF($I278=0,0,$J278*$H278/100/12)</f>
      </c>
      <c r="M278" s="43">
        <f>IF($I278=0,0,IF(OR(INDEX(DarlOhneTilgung,1)=1,AND(INDEX(DarlTilgStart,1)&gt;0,$E278&lt;INDEX(DarlTilgStart,1))),0,MIN(MAX(0,$K278-$L278),$J278)))</f>
      </c>
      <c r="N278" s="43">
        <f>IF($I278=0,0,MIN(SUMIFS(SondBetrag,SondDarl,1,SondDatum,"&gt;="&amp;$E278,SondDatum,"&lt;="&amp;EOMONTH($E278,0)),$J278-$M278))</f>
      </c>
      <c r="O278" s="43">
        <f>IF($I278=0,0,INDEX(DarlErsatzRate,1))</f>
      </c>
      <c r="P278" s="43">
        <f>IF($I278=0,0,$Q277*INDEX(DarlErsatzZins,1))</f>
      </c>
      <c r="Q278" s="43">
        <f>IF($I278=0,0,$Q277+$P278+$O278)</f>
      </c>
      <c r="R278" s="43">
        <f>IF($I278=0,0,$J278-$M278-$N278)</f>
      </c>
    </row>
    <row r="279">
      <c r="A279"/>
      <c r="B279">
        <v>1</v>
      </c>
      <c r="C279" s="43">
        <f>INDEX(DarlObj,1)</f>
      </c>
      <c r="D279">
        <v>276</v>
      </c>
      <c r="E279" s="51">
        <f>IF(INDEX(DarlBelegt,1)=0,0,EOMONTH(INDEX(DarlAuszahlung,1),275)+1)</f>
      </c>
      <c r="F279" s="43">
        <f>IF($E279=0,0,YEAR($E279))</f>
      </c>
      <c r="G279" s="43">
        <f>IF(INDEX(DarlBindung,1)="",1,IF($E279&lt;=INDEX(DarlBindung,1),1,0))</f>
      </c>
      <c r="H279" s="43">
        <f>IF($G279=1,INDEX(DarlSollzins,1),INDEX(DarlAnschluss,1))</f>
      </c>
      <c r="I279" s="43">
        <f>IF(INDEX(DarlBelegt,1)=0,0,IF(INDEX(DarlOhneTilgung,1)=1,IF(INDEX(DarlBindung,1)="",1,$G279),IF($J279&gt;0.005,1,0)))</f>
      </c>
      <c r="J279" s="43">
        <f>IF($I278=0,0,$R278)</f>
      </c>
      <c r="K279" s="43">
        <f>IF($I279=0,0,IF(INDEX(DarlOhneTilgung,1)=1,0,IF(AND(INDEX(DarlTilgStart,1)&gt;0,$E279=INDEX(DarlTilgStart,1)),$J279*($H279+INDEX(DarlTilgung,1))/100/12,IF(AND($G279=0,$G278=1),MAX($K278,$J279*($H279+1)/100/12),$K278))))</f>
      </c>
      <c r="L279" s="43">
        <f>IF($I279=0,0,$J279*$H279/100/12)</f>
      </c>
      <c r="M279" s="43">
        <f>IF($I279=0,0,IF(OR(INDEX(DarlOhneTilgung,1)=1,AND(INDEX(DarlTilgStart,1)&gt;0,$E279&lt;INDEX(DarlTilgStart,1))),0,MIN(MAX(0,$K279-$L279),$J279)))</f>
      </c>
      <c r="N279" s="43">
        <f>IF($I279=0,0,MIN(SUMIFS(SondBetrag,SondDarl,1,SondDatum,"&gt;="&amp;$E279,SondDatum,"&lt;="&amp;EOMONTH($E279,0)),$J279-$M279))</f>
      </c>
      <c r="O279" s="43">
        <f>IF($I279=0,0,INDEX(DarlErsatzRate,1))</f>
      </c>
      <c r="P279" s="43">
        <f>IF($I279=0,0,$Q278*INDEX(DarlErsatzZins,1))</f>
      </c>
      <c r="Q279" s="43">
        <f>IF($I279=0,0,$Q278+$P279+$O279)</f>
      </c>
      <c r="R279" s="43">
        <f>IF($I279=0,0,$J279-$M279-$N279)</f>
      </c>
    </row>
    <row r="280">
      <c r="A280"/>
      <c r="B280">
        <v>1</v>
      </c>
      <c r="C280" s="43">
        <f>INDEX(DarlObj,1)</f>
      </c>
      <c r="D280">
        <v>277</v>
      </c>
      <c r="E280" s="51">
        <f>IF(INDEX(DarlBelegt,1)=0,0,EOMONTH(INDEX(DarlAuszahlung,1),276)+1)</f>
      </c>
      <c r="F280" s="43">
        <f>IF($E280=0,0,YEAR($E280))</f>
      </c>
      <c r="G280" s="43">
        <f>IF(INDEX(DarlBindung,1)="",1,IF($E280&lt;=INDEX(DarlBindung,1),1,0))</f>
      </c>
      <c r="H280" s="43">
        <f>IF($G280=1,INDEX(DarlSollzins,1),INDEX(DarlAnschluss,1))</f>
      </c>
      <c r="I280" s="43">
        <f>IF(INDEX(DarlBelegt,1)=0,0,IF(INDEX(DarlOhneTilgung,1)=1,IF(INDEX(DarlBindung,1)="",1,$G280),IF($J280&gt;0.005,1,0)))</f>
      </c>
      <c r="J280" s="43">
        <f>IF($I279=0,0,$R279)</f>
      </c>
      <c r="K280" s="43">
        <f>IF($I280=0,0,IF(INDEX(DarlOhneTilgung,1)=1,0,IF(AND(INDEX(DarlTilgStart,1)&gt;0,$E280=INDEX(DarlTilgStart,1)),$J280*($H280+INDEX(DarlTilgung,1))/100/12,IF(AND($G280=0,$G279=1),MAX($K279,$J280*($H280+1)/100/12),$K279))))</f>
      </c>
      <c r="L280" s="43">
        <f>IF($I280=0,0,$J280*$H280/100/12)</f>
      </c>
      <c r="M280" s="43">
        <f>IF($I280=0,0,IF(OR(INDEX(DarlOhneTilgung,1)=1,AND(INDEX(DarlTilgStart,1)&gt;0,$E280&lt;INDEX(DarlTilgStart,1))),0,MIN(MAX(0,$K280-$L280),$J280)))</f>
      </c>
      <c r="N280" s="43">
        <f>IF($I280=0,0,MIN(SUMIFS(SondBetrag,SondDarl,1,SondDatum,"&gt;="&amp;$E280,SondDatum,"&lt;="&amp;EOMONTH($E280,0)),$J280-$M280))</f>
      </c>
      <c r="O280" s="43">
        <f>IF($I280=0,0,INDEX(DarlErsatzRate,1))</f>
      </c>
      <c r="P280" s="43">
        <f>IF($I280=0,0,$Q279*INDEX(DarlErsatzZins,1))</f>
      </c>
      <c r="Q280" s="43">
        <f>IF($I280=0,0,$Q279+$P280+$O280)</f>
      </c>
      <c r="R280" s="43">
        <f>IF($I280=0,0,$J280-$M280-$N280)</f>
      </c>
    </row>
    <row r="281">
      <c r="A281"/>
      <c r="B281">
        <v>1</v>
      </c>
      <c r="C281" s="43">
        <f>INDEX(DarlObj,1)</f>
      </c>
      <c r="D281">
        <v>278</v>
      </c>
      <c r="E281" s="51">
        <f>IF(INDEX(DarlBelegt,1)=0,0,EOMONTH(INDEX(DarlAuszahlung,1),277)+1)</f>
      </c>
      <c r="F281" s="43">
        <f>IF($E281=0,0,YEAR($E281))</f>
      </c>
      <c r="G281" s="43">
        <f>IF(INDEX(DarlBindung,1)="",1,IF($E281&lt;=INDEX(DarlBindung,1),1,0))</f>
      </c>
      <c r="H281" s="43">
        <f>IF($G281=1,INDEX(DarlSollzins,1),INDEX(DarlAnschluss,1))</f>
      </c>
      <c r="I281" s="43">
        <f>IF(INDEX(DarlBelegt,1)=0,0,IF(INDEX(DarlOhneTilgung,1)=1,IF(INDEX(DarlBindung,1)="",1,$G281),IF($J281&gt;0.005,1,0)))</f>
      </c>
      <c r="J281" s="43">
        <f>IF($I280=0,0,$R280)</f>
      </c>
      <c r="K281" s="43">
        <f>IF($I281=0,0,IF(INDEX(DarlOhneTilgung,1)=1,0,IF(AND(INDEX(DarlTilgStart,1)&gt;0,$E281=INDEX(DarlTilgStart,1)),$J281*($H281+INDEX(DarlTilgung,1))/100/12,IF(AND($G281=0,$G280=1),MAX($K280,$J281*($H281+1)/100/12),$K280))))</f>
      </c>
      <c r="L281" s="43">
        <f>IF($I281=0,0,$J281*$H281/100/12)</f>
      </c>
      <c r="M281" s="43">
        <f>IF($I281=0,0,IF(OR(INDEX(DarlOhneTilgung,1)=1,AND(INDEX(DarlTilgStart,1)&gt;0,$E281&lt;INDEX(DarlTilgStart,1))),0,MIN(MAX(0,$K281-$L281),$J281)))</f>
      </c>
      <c r="N281" s="43">
        <f>IF($I281=0,0,MIN(SUMIFS(SondBetrag,SondDarl,1,SondDatum,"&gt;="&amp;$E281,SondDatum,"&lt;="&amp;EOMONTH($E281,0)),$J281-$M281))</f>
      </c>
      <c r="O281" s="43">
        <f>IF($I281=0,0,INDEX(DarlErsatzRate,1))</f>
      </c>
      <c r="P281" s="43">
        <f>IF($I281=0,0,$Q280*INDEX(DarlErsatzZins,1))</f>
      </c>
      <c r="Q281" s="43">
        <f>IF($I281=0,0,$Q280+$P281+$O281)</f>
      </c>
      <c r="R281" s="43">
        <f>IF($I281=0,0,$J281-$M281-$N281)</f>
      </c>
    </row>
    <row r="282">
      <c r="A282"/>
      <c r="B282">
        <v>1</v>
      </c>
      <c r="C282" s="43">
        <f>INDEX(DarlObj,1)</f>
      </c>
      <c r="D282">
        <v>279</v>
      </c>
      <c r="E282" s="51">
        <f>IF(INDEX(DarlBelegt,1)=0,0,EOMONTH(INDEX(DarlAuszahlung,1),278)+1)</f>
      </c>
      <c r="F282" s="43">
        <f>IF($E282=0,0,YEAR($E282))</f>
      </c>
      <c r="G282" s="43">
        <f>IF(INDEX(DarlBindung,1)="",1,IF($E282&lt;=INDEX(DarlBindung,1),1,0))</f>
      </c>
      <c r="H282" s="43">
        <f>IF($G282=1,INDEX(DarlSollzins,1),INDEX(DarlAnschluss,1))</f>
      </c>
      <c r="I282" s="43">
        <f>IF(INDEX(DarlBelegt,1)=0,0,IF(INDEX(DarlOhneTilgung,1)=1,IF(INDEX(DarlBindung,1)="",1,$G282),IF($J282&gt;0.005,1,0)))</f>
      </c>
      <c r="J282" s="43">
        <f>IF($I281=0,0,$R281)</f>
      </c>
      <c r="K282" s="43">
        <f>IF($I282=0,0,IF(INDEX(DarlOhneTilgung,1)=1,0,IF(AND(INDEX(DarlTilgStart,1)&gt;0,$E282=INDEX(DarlTilgStart,1)),$J282*($H282+INDEX(DarlTilgung,1))/100/12,IF(AND($G282=0,$G281=1),MAX($K281,$J282*($H282+1)/100/12),$K281))))</f>
      </c>
      <c r="L282" s="43">
        <f>IF($I282=0,0,$J282*$H282/100/12)</f>
      </c>
      <c r="M282" s="43">
        <f>IF($I282=0,0,IF(OR(INDEX(DarlOhneTilgung,1)=1,AND(INDEX(DarlTilgStart,1)&gt;0,$E282&lt;INDEX(DarlTilgStart,1))),0,MIN(MAX(0,$K282-$L282),$J282)))</f>
      </c>
      <c r="N282" s="43">
        <f>IF($I282=0,0,MIN(SUMIFS(SondBetrag,SondDarl,1,SondDatum,"&gt;="&amp;$E282,SondDatum,"&lt;="&amp;EOMONTH($E282,0)),$J282-$M282))</f>
      </c>
      <c r="O282" s="43">
        <f>IF($I282=0,0,INDEX(DarlErsatzRate,1))</f>
      </c>
      <c r="P282" s="43">
        <f>IF($I282=0,0,$Q281*INDEX(DarlErsatzZins,1))</f>
      </c>
      <c r="Q282" s="43">
        <f>IF($I282=0,0,$Q281+$P282+$O282)</f>
      </c>
      <c r="R282" s="43">
        <f>IF($I282=0,0,$J282-$M282-$N282)</f>
      </c>
    </row>
    <row r="283">
      <c r="A283"/>
      <c r="B283">
        <v>1</v>
      </c>
      <c r="C283" s="43">
        <f>INDEX(DarlObj,1)</f>
      </c>
      <c r="D283">
        <v>280</v>
      </c>
      <c r="E283" s="51">
        <f>IF(INDEX(DarlBelegt,1)=0,0,EOMONTH(INDEX(DarlAuszahlung,1),279)+1)</f>
      </c>
      <c r="F283" s="43">
        <f>IF($E283=0,0,YEAR($E283))</f>
      </c>
      <c r="G283" s="43">
        <f>IF(INDEX(DarlBindung,1)="",1,IF($E283&lt;=INDEX(DarlBindung,1),1,0))</f>
      </c>
      <c r="H283" s="43">
        <f>IF($G283=1,INDEX(DarlSollzins,1),INDEX(DarlAnschluss,1))</f>
      </c>
      <c r="I283" s="43">
        <f>IF(INDEX(DarlBelegt,1)=0,0,IF(INDEX(DarlOhneTilgung,1)=1,IF(INDEX(DarlBindung,1)="",1,$G283),IF($J283&gt;0.005,1,0)))</f>
      </c>
      <c r="J283" s="43">
        <f>IF($I282=0,0,$R282)</f>
      </c>
      <c r="K283" s="43">
        <f>IF($I283=0,0,IF(INDEX(DarlOhneTilgung,1)=1,0,IF(AND(INDEX(DarlTilgStart,1)&gt;0,$E283=INDEX(DarlTilgStart,1)),$J283*($H283+INDEX(DarlTilgung,1))/100/12,IF(AND($G283=0,$G282=1),MAX($K282,$J283*($H283+1)/100/12),$K282))))</f>
      </c>
      <c r="L283" s="43">
        <f>IF($I283=0,0,$J283*$H283/100/12)</f>
      </c>
      <c r="M283" s="43">
        <f>IF($I283=0,0,IF(OR(INDEX(DarlOhneTilgung,1)=1,AND(INDEX(DarlTilgStart,1)&gt;0,$E283&lt;INDEX(DarlTilgStart,1))),0,MIN(MAX(0,$K283-$L283),$J283)))</f>
      </c>
      <c r="N283" s="43">
        <f>IF($I283=0,0,MIN(SUMIFS(SondBetrag,SondDarl,1,SondDatum,"&gt;="&amp;$E283,SondDatum,"&lt;="&amp;EOMONTH($E283,0)),$J283-$M283))</f>
      </c>
      <c r="O283" s="43">
        <f>IF($I283=0,0,INDEX(DarlErsatzRate,1))</f>
      </c>
      <c r="P283" s="43">
        <f>IF($I283=0,0,$Q282*INDEX(DarlErsatzZins,1))</f>
      </c>
      <c r="Q283" s="43">
        <f>IF($I283=0,0,$Q282+$P283+$O283)</f>
      </c>
      <c r="R283" s="43">
        <f>IF($I283=0,0,$J283-$M283-$N283)</f>
      </c>
    </row>
    <row r="284">
      <c r="A284"/>
      <c r="B284">
        <v>1</v>
      </c>
      <c r="C284" s="43">
        <f>INDEX(DarlObj,1)</f>
      </c>
      <c r="D284">
        <v>281</v>
      </c>
      <c r="E284" s="51">
        <f>IF(INDEX(DarlBelegt,1)=0,0,EOMONTH(INDEX(DarlAuszahlung,1),280)+1)</f>
      </c>
      <c r="F284" s="43">
        <f>IF($E284=0,0,YEAR($E284))</f>
      </c>
      <c r="G284" s="43">
        <f>IF(INDEX(DarlBindung,1)="",1,IF($E284&lt;=INDEX(DarlBindung,1),1,0))</f>
      </c>
      <c r="H284" s="43">
        <f>IF($G284=1,INDEX(DarlSollzins,1),INDEX(DarlAnschluss,1))</f>
      </c>
      <c r="I284" s="43">
        <f>IF(INDEX(DarlBelegt,1)=0,0,IF(INDEX(DarlOhneTilgung,1)=1,IF(INDEX(DarlBindung,1)="",1,$G284),IF($J284&gt;0.005,1,0)))</f>
      </c>
      <c r="J284" s="43">
        <f>IF($I283=0,0,$R283)</f>
      </c>
      <c r="K284" s="43">
        <f>IF($I284=0,0,IF(INDEX(DarlOhneTilgung,1)=1,0,IF(AND(INDEX(DarlTilgStart,1)&gt;0,$E284=INDEX(DarlTilgStart,1)),$J284*($H284+INDEX(DarlTilgung,1))/100/12,IF(AND($G284=0,$G283=1),MAX($K283,$J284*($H284+1)/100/12),$K283))))</f>
      </c>
      <c r="L284" s="43">
        <f>IF($I284=0,0,$J284*$H284/100/12)</f>
      </c>
      <c r="M284" s="43">
        <f>IF($I284=0,0,IF(OR(INDEX(DarlOhneTilgung,1)=1,AND(INDEX(DarlTilgStart,1)&gt;0,$E284&lt;INDEX(DarlTilgStart,1))),0,MIN(MAX(0,$K284-$L284),$J284)))</f>
      </c>
      <c r="N284" s="43">
        <f>IF($I284=0,0,MIN(SUMIFS(SondBetrag,SondDarl,1,SondDatum,"&gt;="&amp;$E284,SondDatum,"&lt;="&amp;EOMONTH($E284,0)),$J284-$M284))</f>
      </c>
      <c r="O284" s="43">
        <f>IF($I284=0,0,INDEX(DarlErsatzRate,1))</f>
      </c>
      <c r="P284" s="43">
        <f>IF($I284=0,0,$Q283*INDEX(DarlErsatzZins,1))</f>
      </c>
      <c r="Q284" s="43">
        <f>IF($I284=0,0,$Q283+$P284+$O284)</f>
      </c>
      <c r="R284" s="43">
        <f>IF($I284=0,0,$J284-$M284-$N284)</f>
      </c>
    </row>
    <row r="285">
      <c r="A285"/>
      <c r="B285">
        <v>1</v>
      </c>
      <c r="C285" s="43">
        <f>INDEX(DarlObj,1)</f>
      </c>
      <c r="D285">
        <v>282</v>
      </c>
      <c r="E285" s="51">
        <f>IF(INDEX(DarlBelegt,1)=0,0,EOMONTH(INDEX(DarlAuszahlung,1),281)+1)</f>
      </c>
      <c r="F285" s="43">
        <f>IF($E285=0,0,YEAR($E285))</f>
      </c>
      <c r="G285" s="43">
        <f>IF(INDEX(DarlBindung,1)="",1,IF($E285&lt;=INDEX(DarlBindung,1),1,0))</f>
      </c>
      <c r="H285" s="43">
        <f>IF($G285=1,INDEX(DarlSollzins,1),INDEX(DarlAnschluss,1))</f>
      </c>
      <c r="I285" s="43">
        <f>IF(INDEX(DarlBelegt,1)=0,0,IF(INDEX(DarlOhneTilgung,1)=1,IF(INDEX(DarlBindung,1)="",1,$G285),IF($J285&gt;0.005,1,0)))</f>
      </c>
      <c r="J285" s="43">
        <f>IF($I284=0,0,$R284)</f>
      </c>
      <c r="K285" s="43">
        <f>IF($I285=0,0,IF(INDEX(DarlOhneTilgung,1)=1,0,IF(AND(INDEX(DarlTilgStart,1)&gt;0,$E285=INDEX(DarlTilgStart,1)),$J285*($H285+INDEX(DarlTilgung,1))/100/12,IF(AND($G285=0,$G284=1),MAX($K284,$J285*($H285+1)/100/12),$K284))))</f>
      </c>
      <c r="L285" s="43">
        <f>IF($I285=0,0,$J285*$H285/100/12)</f>
      </c>
      <c r="M285" s="43">
        <f>IF($I285=0,0,IF(OR(INDEX(DarlOhneTilgung,1)=1,AND(INDEX(DarlTilgStart,1)&gt;0,$E285&lt;INDEX(DarlTilgStart,1))),0,MIN(MAX(0,$K285-$L285),$J285)))</f>
      </c>
      <c r="N285" s="43">
        <f>IF($I285=0,0,MIN(SUMIFS(SondBetrag,SondDarl,1,SondDatum,"&gt;="&amp;$E285,SondDatum,"&lt;="&amp;EOMONTH($E285,0)),$J285-$M285))</f>
      </c>
      <c r="O285" s="43">
        <f>IF($I285=0,0,INDEX(DarlErsatzRate,1))</f>
      </c>
      <c r="P285" s="43">
        <f>IF($I285=0,0,$Q284*INDEX(DarlErsatzZins,1))</f>
      </c>
      <c r="Q285" s="43">
        <f>IF($I285=0,0,$Q284+$P285+$O285)</f>
      </c>
      <c r="R285" s="43">
        <f>IF($I285=0,0,$J285-$M285-$N285)</f>
      </c>
    </row>
    <row r="286">
      <c r="A286"/>
      <c r="B286">
        <v>1</v>
      </c>
      <c r="C286" s="43">
        <f>INDEX(DarlObj,1)</f>
      </c>
      <c r="D286">
        <v>283</v>
      </c>
      <c r="E286" s="51">
        <f>IF(INDEX(DarlBelegt,1)=0,0,EOMONTH(INDEX(DarlAuszahlung,1),282)+1)</f>
      </c>
      <c r="F286" s="43">
        <f>IF($E286=0,0,YEAR($E286))</f>
      </c>
      <c r="G286" s="43">
        <f>IF(INDEX(DarlBindung,1)="",1,IF($E286&lt;=INDEX(DarlBindung,1),1,0))</f>
      </c>
      <c r="H286" s="43">
        <f>IF($G286=1,INDEX(DarlSollzins,1),INDEX(DarlAnschluss,1))</f>
      </c>
      <c r="I286" s="43">
        <f>IF(INDEX(DarlBelegt,1)=0,0,IF(INDEX(DarlOhneTilgung,1)=1,IF(INDEX(DarlBindung,1)="",1,$G286),IF($J286&gt;0.005,1,0)))</f>
      </c>
      <c r="J286" s="43">
        <f>IF($I285=0,0,$R285)</f>
      </c>
      <c r="K286" s="43">
        <f>IF($I286=0,0,IF(INDEX(DarlOhneTilgung,1)=1,0,IF(AND(INDEX(DarlTilgStart,1)&gt;0,$E286=INDEX(DarlTilgStart,1)),$J286*($H286+INDEX(DarlTilgung,1))/100/12,IF(AND($G286=0,$G285=1),MAX($K285,$J286*($H286+1)/100/12),$K285))))</f>
      </c>
      <c r="L286" s="43">
        <f>IF($I286=0,0,$J286*$H286/100/12)</f>
      </c>
      <c r="M286" s="43">
        <f>IF($I286=0,0,IF(OR(INDEX(DarlOhneTilgung,1)=1,AND(INDEX(DarlTilgStart,1)&gt;0,$E286&lt;INDEX(DarlTilgStart,1))),0,MIN(MAX(0,$K286-$L286),$J286)))</f>
      </c>
      <c r="N286" s="43">
        <f>IF($I286=0,0,MIN(SUMIFS(SondBetrag,SondDarl,1,SondDatum,"&gt;="&amp;$E286,SondDatum,"&lt;="&amp;EOMONTH($E286,0)),$J286-$M286))</f>
      </c>
      <c r="O286" s="43">
        <f>IF($I286=0,0,INDEX(DarlErsatzRate,1))</f>
      </c>
      <c r="P286" s="43">
        <f>IF($I286=0,0,$Q285*INDEX(DarlErsatzZins,1))</f>
      </c>
      <c r="Q286" s="43">
        <f>IF($I286=0,0,$Q285+$P286+$O286)</f>
      </c>
      <c r="R286" s="43">
        <f>IF($I286=0,0,$J286-$M286-$N286)</f>
      </c>
    </row>
    <row r="287">
      <c r="A287"/>
      <c r="B287">
        <v>1</v>
      </c>
      <c r="C287" s="43">
        <f>INDEX(DarlObj,1)</f>
      </c>
      <c r="D287">
        <v>284</v>
      </c>
      <c r="E287" s="51">
        <f>IF(INDEX(DarlBelegt,1)=0,0,EOMONTH(INDEX(DarlAuszahlung,1),283)+1)</f>
      </c>
      <c r="F287" s="43">
        <f>IF($E287=0,0,YEAR($E287))</f>
      </c>
      <c r="G287" s="43">
        <f>IF(INDEX(DarlBindung,1)="",1,IF($E287&lt;=INDEX(DarlBindung,1),1,0))</f>
      </c>
      <c r="H287" s="43">
        <f>IF($G287=1,INDEX(DarlSollzins,1),INDEX(DarlAnschluss,1))</f>
      </c>
      <c r="I287" s="43">
        <f>IF(INDEX(DarlBelegt,1)=0,0,IF(INDEX(DarlOhneTilgung,1)=1,IF(INDEX(DarlBindung,1)="",1,$G287),IF($J287&gt;0.005,1,0)))</f>
      </c>
      <c r="J287" s="43">
        <f>IF($I286=0,0,$R286)</f>
      </c>
      <c r="K287" s="43">
        <f>IF($I287=0,0,IF(INDEX(DarlOhneTilgung,1)=1,0,IF(AND(INDEX(DarlTilgStart,1)&gt;0,$E287=INDEX(DarlTilgStart,1)),$J287*($H287+INDEX(DarlTilgung,1))/100/12,IF(AND($G287=0,$G286=1),MAX($K286,$J287*($H287+1)/100/12),$K286))))</f>
      </c>
      <c r="L287" s="43">
        <f>IF($I287=0,0,$J287*$H287/100/12)</f>
      </c>
      <c r="M287" s="43">
        <f>IF($I287=0,0,IF(OR(INDEX(DarlOhneTilgung,1)=1,AND(INDEX(DarlTilgStart,1)&gt;0,$E287&lt;INDEX(DarlTilgStart,1))),0,MIN(MAX(0,$K287-$L287),$J287)))</f>
      </c>
      <c r="N287" s="43">
        <f>IF($I287=0,0,MIN(SUMIFS(SondBetrag,SondDarl,1,SondDatum,"&gt;="&amp;$E287,SondDatum,"&lt;="&amp;EOMONTH($E287,0)),$J287-$M287))</f>
      </c>
      <c r="O287" s="43">
        <f>IF($I287=0,0,INDEX(DarlErsatzRate,1))</f>
      </c>
      <c r="P287" s="43">
        <f>IF($I287=0,0,$Q286*INDEX(DarlErsatzZins,1))</f>
      </c>
      <c r="Q287" s="43">
        <f>IF($I287=0,0,$Q286+$P287+$O287)</f>
      </c>
      <c r="R287" s="43">
        <f>IF($I287=0,0,$J287-$M287-$N287)</f>
      </c>
    </row>
    <row r="288">
      <c r="A288"/>
      <c r="B288">
        <v>1</v>
      </c>
      <c r="C288" s="43">
        <f>INDEX(DarlObj,1)</f>
      </c>
      <c r="D288">
        <v>285</v>
      </c>
      <c r="E288" s="51">
        <f>IF(INDEX(DarlBelegt,1)=0,0,EOMONTH(INDEX(DarlAuszahlung,1),284)+1)</f>
      </c>
      <c r="F288" s="43">
        <f>IF($E288=0,0,YEAR($E288))</f>
      </c>
      <c r="G288" s="43">
        <f>IF(INDEX(DarlBindung,1)="",1,IF($E288&lt;=INDEX(DarlBindung,1),1,0))</f>
      </c>
      <c r="H288" s="43">
        <f>IF($G288=1,INDEX(DarlSollzins,1),INDEX(DarlAnschluss,1))</f>
      </c>
      <c r="I288" s="43">
        <f>IF(INDEX(DarlBelegt,1)=0,0,IF(INDEX(DarlOhneTilgung,1)=1,IF(INDEX(DarlBindung,1)="",1,$G288),IF($J288&gt;0.005,1,0)))</f>
      </c>
      <c r="J288" s="43">
        <f>IF($I287=0,0,$R287)</f>
      </c>
      <c r="K288" s="43">
        <f>IF($I288=0,0,IF(INDEX(DarlOhneTilgung,1)=1,0,IF(AND(INDEX(DarlTilgStart,1)&gt;0,$E288=INDEX(DarlTilgStart,1)),$J288*($H288+INDEX(DarlTilgung,1))/100/12,IF(AND($G288=0,$G287=1),MAX($K287,$J288*($H288+1)/100/12),$K287))))</f>
      </c>
      <c r="L288" s="43">
        <f>IF($I288=0,0,$J288*$H288/100/12)</f>
      </c>
      <c r="M288" s="43">
        <f>IF($I288=0,0,IF(OR(INDEX(DarlOhneTilgung,1)=1,AND(INDEX(DarlTilgStart,1)&gt;0,$E288&lt;INDEX(DarlTilgStart,1))),0,MIN(MAX(0,$K288-$L288),$J288)))</f>
      </c>
      <c r="N288" s="43">
        <f>IF($I288=0,0,MIN(SUMIFS(SondBetrag,SondDarl,1,SondDatum,"&gt;="&amp;$E288,SondDatum,"&lt;="&amp;EOMONTH($E288,0)),$J288-$M288))</f>
      </c>
      <c r="O288" s="43">
        <f>IF($I288=0,0,INDEX(DarlErsatzRate,1))</f>
      </c>
      <c r="P288" s="43">
        <f>IF($I288=0,0,$Q287*INDEX(DarlErsatzZins,1))</f>
      </c>
      <c r="Q288" s="43">
        <f>IF($I288=0,0,$Q287+$P288+$O288)</f>
      </c>
      <c r="R288" s="43">
        <f>IF($I288=0,0,$J288-$M288-$N288)</f>
      </c>
    </row>
    <row r="289">
      <c r="A289"/>
      <c r="B289">
        <v>1</v>
      </c>
      <c r="C289" s="43">
        <f>INDEX(DarlObj,1)</f>
      </c>
      <c r="D289">
        <v>286</v>
      </c>
      <c r="E289" s="51">
        <f>IF(INDEX(DarlBelegt,1)=0,0,EOMONTH(INDEX(DarlAuszahlung,1),285)+1)</f>
      </c>
      <c r="F289" s="43">
        <f>IF($E289=0,0,YEAR($E289))</f>
      </c>
      <c r="G289" s="43">
        <f>IF(INDEX(DarlBindung,1)="",1,IF($E289&lt;=INDEX(DarlBindung,1),1,0))</f>
      </c>
      <c r="H289" s="43">
        <f>IF($G289=1,INDEX(DarlSollzins,1),INDEX(DarlAnschluss,1))</f>
      </c>
      <c r="I289" s="43">
        <f>IF(INDEX(DarlBelegt,1)=0,0,IF(INDEX(DarlOhneTilgung,1)=1,IF(INDEX(DarlBindung,1)="",1,$G289),IF($J289&gt;0.005,1,0)))</f>
      </c>
      <c r="J289" s="43">
        <f>IF($I288=0,0,$R288)</f>
      </c>
      <c r="K289" s="43">
        <f>IF($I289=0,0,IF(INDEX(DarlOhneTilgung,1)=1,0,IF(AND(INDEX(DarlTilgStart,1)&gt;0,$E289=INDEX(DarlTilgStart,1)),$J289*($H289+INDEX(DarlTilgung,1))/100/12,IF(AND($G289=0,$G288=1),MAX($K288,$J289*($H289+1)/100/12),$K288))))</f>
      </c>
      <c r="L289" s="43">
        <f>IF($I289=0,0,$J289*$H289/100/12)</f>
      </c>
      <c r="M289" s="43">
        <f>IF($I289=0,0,IF(OR(INDEX(DarlOhneTilgung,1)=1,AND(INDEX(DarlTilgStart,1)&gt;0,$E289&lt;INDEX(DarlTilgStart,1))),0,MIN(MAX(0,$K289-$L289),$J289)))</f>
      </c>
      <c r="N289" s="43">
        <f>IF($I289=0,0,MIN(SUMIFS(SondBetrag,SondDarl,1,SondDatum,"&gt;="&amp;$E289,SondDatum,"&lt;="&amp;EOMONTH($E289,0)),$J289-$M289))</f>
      </c>
      <c r="O289" s="43">
        <f>IF($I289=0,0,INDEX(DarlErsatzRate,1))</f>
      </c>
      <c r="P289" s="43">
        <f>IF($I289=0,0,$Q288*INDEX(DarlErsatzZins,1))</f>
      </c>
      <c r="Q289" s="43">
        <f>IF($I289=0,0,$Q288+$P289+$O289)</f>
      </c>
      <c r="R289" s="43">
        <f>IF($I289=0,0,$J289-$M289-$N289)</f>
      </c>
    </row>
    <row r="290">
      <c r="A290"/>
      <c r="B290">
        <v>1</v>
      </c>
      <c r="C290" s="43">
        <f>INDEX(DarlObj,1)</f>
      </c>
      <c r="D290">
        <v>287</v>
      </c>
      <c r="E290" s="51">
        <f>IF(INDEX(DarlBelegt,1)=0,0,EOMONTH(INDEX(DarlAuszahlung,1),286)+1)</f>
      </c>
      <c r="F290" s="43">
        <f>IF($E290=0,0,YEAR($E290))</f>
      </c>
      <c r="G290" s="43">
        <f>IF(INDEX(DarlBindung,1)="",1,IF($E290&lt;=INDEX(DarlBindung,1),1,0))</f>
      </c>
      <c r="H290" s="43">
        <f>IF($G290=1,INDEX(DarlSollzins,1),INDEX(DarlAnschluss,1))</f>
      </c>
      <c r="I290" s="43">
        <f>IF(INDEX(DarlBelegt,1)=0,0,IF(INDEX(DarlOhneTilgung,1)=1,IF(INDEX(DarlBindung,1)="",1,$G290),IF($J290&gt;0.005,1,0)))</f>
      </c>
      <c r="J290" s="43">
        <f>IF($I289=0,0,$R289)</f>
      </c>
      <c r="K290" s="43">
        <f>IF($I290=0,0,IF(INDEX(DarlOhneTilgung,1)=1,0,IF(AND(INDEX(DarlTilgStart,1)&gt;0,$E290=INDEX(DarlTilgStart,1)),$J290*($H290+INDEX(DarlTilgung,1))/100/12,IF(AND($G290=0,$G289=1),MAX($K289,$J290*($H290+1)/100/12),$K289))))</f>
      </c>
      <c r="L290" s="43">
        <f>IF($I290=0,0,$J290*$H290/100/12)</f>
      </c>
      <c r="M290" s="43">
        <f>IF($I290=0,0,IF(OR(INDEX(DarlOhneTilgung,1)=1,AND(INDEX(DarlTilgStart,1)&gt;0,$E290&lt;INDEX(DarlTilgStart,1))),0,MIN(MAX(0,$K290-$L290),$J290)))</f>
      </c>
      <c r="N290" s="43">
        <f>IF($I290=0,0,MIN(SUMIFS(SondBetrag,SondDarl,1,SondDatum,"&gt;="&amp;$E290,SondDatum,"&lt;="&amp;EOMONTH($E290,0)),$J290-$M290))</f>
      </c>
      <c r="O290" s="43">
        <f>IF($I290=0,0,INDEX(DarlErsatzRate,1))</f>
      </c>
      <c r="P290" s="43">
        <f>IF($I290=0,0,$Q289*INDEX(DarlErsatzZins,1))</f>
      </c>
      <c r="Q290" s="43">
        <f>IF($I290=0,0,$Q289+$P290+$O290)</f>
      </c>
      <c r="R290" s="43">
        <f>IF($I290=0,0,$J290-$M290-$N290)</f>
      </c>
    </row>
    <row r="291">
      <c r="A291"/>
      <c r="B291">
        <v>1</v>
      </c>
      <c r="C291" s="43">
        <f>INDEX(DarlObj,1)</f>
      </c>
      <c r="D291">
        <v>288</v>
      </c>
      <c r="E291" s="51">
        <f>IF(INDEX(DarlBelegt,1)=0,0,EOMONTH(INDEX(DarlAuszahlung,1),287)+1)</f>
      </c>
      <c r="F291" s="43">
        <f>IF($E291=0,0,YEAR($E291))</f>
      </c>
      <c r="G291" s="43">
        <f>IF(INDEX(DarlBindung,1)="",1,IF($E291&lt;=INDEX(DarlBindung,1),1,0))</f>
      </c>
      <c r="H291" s="43">
        <f>IF($G291=1,INDEX(DarlSollzins,1),INDEX(DarlAnschluss,1))</f>
      </c>
      <c r="I291" s="43">
        <f>IF(INDEX(DarlBelegt,1)=0,0,IF(INDEX(DarlOhneTilgung,1)=1,IF(INDEX(DarlBindung,1)="",1,$G291),IF($J291&gt;0.005,1,0)))</f>
      </c>
      <c r="J291" s="43">
        <f>IF($I290=0,0,$R290)</f>
      </c>
      <c r="K291" s="43">
        <f>IF($I291=0,0,IF(INDEX(DarlOhneTilgung,1)=1,0,IF(AND(INDEX(DarlTilgStart,1)&gt;0,$E291=INDEX(DarlTilgStart,1)),$J291*($H291+INDEX(DarlTilgung,1))/100/12,IF(AND($G291=0,$G290=1),MAX($K290,$J291*($H291+1)/100/12),$K290))))</f>
      </c>
      <c r="L291" s="43">
        <f>IF($I291=0,0,$J291*$H291/100/12)</f>
      </c>
      <c r="M291" s="43">
        <f>IF($I291=0,0,IF(OR(INDEX(DarlOhneTilgung,1)=1,AND(INDEX(DarlTilgStart,1)&gt;0,$E291&lt;INDEX(DarlTilgStart,1))),0,MIN(MAX(0,$K291-$L291),$J291)))</f>
      </c>
      <c r="N291" s="43">
        <f>IF($I291=0,0,MIN(SUMIFS(SondBetrag,SondDarl,1,SondDatum,"&gt;="&amp;$E291,SondDatum,"&lt;="&amp;EOMONTH($E291,0)),$J291-$M291))</f>
      </c>
      <c r="O291" s="43">
        <f>IF($I291=0,0,INDEX(DarlErsatzRate,1))</f>
      </c>
      <c r="P291" s="43">
        <f>IF($I291=0,0,$Q290*INDEX(DarlErsatzZins,1))</f>
      </c>
      <c r="Q291" s="43">
        <f>IF($I291=0,0,$Q290+$P291+$O291)</f>
      </c>
      <c r="R291" s="43">
        <f>IF($I291=0,0,$J291-$M291-$N291)</f>
      </c>
    </row>
    <row r="292">
      <c r="A292"/>
      <c r="B292">
        <v>1</v>
      </c>
      <c r="C292" s="43">
        <f>INDEX(DarlObj,1)</f>
      </c>
      <c r="D292">
        <v>289</v>
      </c>
      <c r="E292" s="51">
        <f>IF(INDEX(DarlBelegt,1)=0,0,EOMONTH(INDEX(DarlAuszahlung,1),288)+1)</f>
      </c>
      <c r="F292" s="43">
        <f>IF($E292=0,0,YEAR($E292))</f>
      </c>
      <c r="G292" s="43">
        <f>IF(INDEX(DarlBindung,1)="",1,IF($E292&lt;=INDEX(DarlBindung,1),1,0))</f>
      </c>
      <c r="H292" s="43">
        <f>IF($G292=1,INDEX(DarlSollzins,1),INDEX(DarlAnschluss,1))</f>
      </c>
      <c r="I292" s="43">
        <f>IF(INDEX(DarlBelegt,1)=0,0,IF(INDEX(DarlOhneTilgung,1)=1,IF(INDEX(DarlBindung,1)="",1,$G292),IF($J292&gt;0.005,1,0)))</f>
      </c>
      <c r="J292" s="43">
        <f>IF($I291=0,0,$R291)</f>
      </c>
      <c r="K292" s="43">
        <f>IF($I292=0,0,IF(INDEX(DarlOhneTilgung,1)=1,0,IF(AND(INDEX(DarlTilgStart,1)&gt;0,$E292=INDEX(DarlTilgStart,1)),$J292*($H292+INDEX(DarlTilgung,1))/100/12,IF(AND($G292=0,$G291=1),MAX($K291,$J292*($H292+1)/100/12),$K291))))</f>
      </c>
      <c r="L292" s="43">
        <f>IF($I292=0,0,$J292*$H292/100/12)</f>
      </c>
      <c r="M292" s="43">
        <f>IF($I292=0,0,IF(OR(INDEX(DarlOhneTilgung,1)=1,AND(INDEX(DarlTilgStart,1)&gt;0,$E292&lt;INDEX(DarlTilgStart,1))),0,MIN(MAX(0,$K292-$L292),$J292)))</f>
      </c>
      <c r="N292" s="43">
        <f>IF($I292=0,0,MIN(SUMIFS(SondBetrag,SondDarl,1,SondDatum,"&gt;="&amp;$E292,SondDatum,"&lt;="&amp;EOMONTH($E292,0)),$J292-$M292))</f>
      </c>
      <c r="O292" s="43">
        <f>IF($I292=0,0,INDEX(DarlErsatzRate,1))</f>
      </c>
      <c r="P292" s="43">
        <f>IF($I292=0,0,$Q291*INDEX(DarlErsatzZins,1))</f>
      </c>
      <c r="Q292" s="43">
        <f>IF($I292=0,0,$Q291+$P292+$O292)</f>
      </c>
      <c r="R292" s="43">
        <f>IF($I292=0,0,$J292-$M292-$N292)</f>
      </c>
    </row>
    <row r="293">
      <c r="A293"/>
      <c r="B293">
        <v>1</v>
      </c>
      <c r="C293" s="43">
        <f>INDEX(DarlObj,1)</f>
      </c>
      <c r="D293">
        <v>290</v>
      </c>
      <c r="E293" s="51">
        <f>IF(INDEX(DarlBelegt,1)=0,0,EOMONTH(INDEX(DarlAuszahlung,1),289)+1)</f>
      </c>
      <c r="F293" s="43">
        <f>IF($E293=0,0,YEAR($E293))</f>
      </c>
      <c r="G293" s="43">
        <f>IF(INDEX(DarlBindung,1)="",1,IF($E293&lt;=INDEX(DarlBindung,1),1,0))</f>
      </c>
      <c r="H293" s="43">
        <f>IF($G293=1,INDEX(DarlSollzins,1),INDEX(DarlAnschluss,1))</f>
      </c>
      <c r="I293" s="43">
        <f>IF(INDEX(DarlBelegt,1)=0,0,IF(INDEX(DarlOhneTilgung,1)=1,IF(INDEX(DarlBindung,1)="",1,$G293),IF($J293&gt;0.005,1,0)))</f>
      </c>
      <c r="J293" s="43">
        <f>IF($I292=0,0,$R292)</f>
      </c>
      <c r="K293" s="43">
        <f>IF($I293=0,0,IF(INDEX(DarlOhneTilgung,1)=1,0,IF(AND(INDEX(DarlTilgStart,1)&gt;0,$E293=INDEX(DarlTilgStart,1)),$J293*($H293+INDEX(DarlTilgung,1))/100/12,IF(AND($G293=0,$G292=1),MAX($K292,$J293*($H293+1)/100/12),$K292))))</f>
      </c>
      <c r="L293" s="43">
        <f>IF($I293=0,0,$J293*$H293/100/12)</f>
      </c>
      <c r="M293" s="43">
        <f>IF($I293=0,0,IF(OR(INDEX(DarlOhneTilgung,1)=1,AND(INDEX(DarlTilgStart,1)&gt;0,$E293&lt;INDEX(DarlTilgStart,1))),0,MIN(MAX(0,$K293-$L293),$J293)))</f>
      </c>
      <c r="N293" s="43">
        <f>IF($I293=0,0,MIN(SUMIFS(SondBetrag,SondDarl,1,SondDatum,"&gt;="&amp;$E293,SondDatum,"&lt;="&amp;EOMONTH($E293,0)),$J293-$M293))</f>
      </c>
      <c r="O293" s="43">
        <f>IF($I293=0,0,INDEX(DarlErsatzRate,1))</f>
      </c>
      <c r="P293" s="43">
        <f>IF($I293=0,0,$Q292*INDEX(DarlErsatzZins,1))</f>
      </c>
      <c r="Q293" s="43">
        <f>IF($I293=0,0,$Q292+$P293+$O293)</f>
      </c>
      <c r="R293" s="43">
        <f>IF($I293=0,0,$J293-$M293-$N293)</f>
      </c>
    </row>
    <row r="294">
      <c r="A294"/>
      <c r="B294">
        <v>1</v>
      </c>
      <c r="C294" s="43">
        <f>INDEX(DarlObj,1)</f>
      </c>
      <c r="D294">
        <v>291</v>
      </c>
      <c r="E294" s="51">
        <f>IF(INDEX(DarlBelegt,1)=0,0,EOMONTH(INDEX(DarlAuszahlung,1),290)+1)</f>
      </c>
      <c r="F294" s="43">
        <f>IF($E294=0,0,YEAR($E294))</f>
      </c>
      <c r="G294" s="43">
        <f>IF(INDEX(DarlBindung,1)="",1,IF($E294&lt;=INDEX(DarlBindung,1),1,0))</f>
      </c>
      <c r="H294" s="43">
        <f>IF($G294=1,INDEX(DarlSollzins,1),INDEX(DarlAnschluss,1))</f>
      </c>
      <c r="I294" s="43">
        <f>IF(INDEX(DarlBelegt,1)=0,0,IF(INDEX(DarlOhneTilgung,1)=1,IF(INDEX(DarlBindung,1)="",1,$G294),IF($J294&gt;0.005,1,0)))</f>
      </c>
      <c r="J294" s="43">
        <f>IF($I293=0,0,$R293)</f>
      </c>
      <c r="K294" s="43">
        <f>IF($I294=0,0,IF(INDEX(DarlOhneTilgung,1)=1,0,IF(AND(INDEX(DarlTilgStart,1)&gt;0,$E294=INDEX(DarlTilgStart,1)),$J294*($H294+INDEX(DarlTilgung,1))/100/12,IF(AND($G294=0,$G293=1),MAX($K293,$J294*($H294+1)/100/12),$K293))))</f>
      </c>
      <c r="L294" s="43">
        <f>IF($I294=0,0,$J294*$H294/100/12)</f>
      </c>
      <c r="M294" s="43">
        <f>IF($I294=0,0,IF(OR(INDEX(DarlOhneTilgung,1)=1,AND(INDEX(DarlTilgStart,1)&gt;0,$E294&lt;INDEX(DarlTilgStart,1))),0,MIN(MAX(0,$K294-$L294),$J294)))</f>
      </c>
      <c r="N294" s="43">
        <f>IF($I294=0,0,MIN(SUMIFS(SondBetrag,SondDarl,1,SondDatum,"&gt;="&amp;$E294,SondDatum,"&lt;="&amp;EOMONTH($E294,0)),$J294-$M294))</f>
      </c>
      <c r="O294" s="43">
        <f>IF($I294=0,0,INDEX(DarlErsatzRate,1))</f>
      </c>
      <c r="P294" s="43">
        <f>IF($I294=0,0,$Q293*INDEX(DarlErsatzZins,1))</f>
      </c>
      <c r="Q294" s="43">
        <f>IF($I294=0,0,$Q293+$P294+$O294)</f>
      </c>
      <c r="R294" s="43">
        <f>IF($I294=0,0,$J294-$M294-$N294)</f>
      </c>
    </row>
    <row r="295">
      <c r="A295"/>
      <c r="B295">
        <v>1</v>
      </c>
      <c r="C295" s="43">
        <f>INDEX(DarlObj,1)</f>
      </c>
      <c r="D295">
        <v>292</v>
      </c>
      <c r="E295" s="51">
        <f>IF(INDEX(DarlBelegt,1)=0,0,EOMONTH(INDEX(DarlAuszahlung,1),291)+1)</f>
      </c>
      <c r="F295" s="43">
        <f>IF($E295=0,0,YEAR($E295))</f>
      </c>
      <c r="G295" s="43">
        <f>IF(INDEX(DarlBindung,1)="",1,IF($E295&lt;=INDEX(DarlBindung,1),1,0))</f>
      </c>
      <c r="H295" s="43">
        <f>IF($G295=1,INDEX(DarlSollzins,1),INDEX(DarlAnschluss,1))</f>
      </c>
      <c r="I295" s="43">
        <f>IF(INDEX(DarlBelegt,1)=0,0,IF(INDEX(DarlOhneTilgung,1)=1,IF(INDEX(DarlBindung,1)="",1,$G295),IF($J295&gt;0.005,1,0)))</f>
      </c>
      <c r="J295" s="43">
        <f>IF($I294=0,0,$R294)</f>
      </c>
      <c r="K295" s="43">
        <f>IF($I295=0,0,IF(INDEX(DarlOhneTilgung,1)=1,0,IF(AND(INDEX(DarlTilgStart,1)&gt;0,$E295=INDEX(DarlTilgStart,1)),$J295*($H295+INDEX(DarlTilgung,1))/100/12,IF(AND($G295=0,$G294=1),MAX($K294,$J295*($H295+1)/100/12),$K294))))</f>
      </c>
      <c r="L295" s="43">
        <f>IF($I295=0,0,$J295*$H295/100/12)</f>
      </c>
      <c r="M295" s="43">
        <f>IF($I295=0,0,IF(OR(INDEX(DarlOhneTilgung,1)=1,AND(INDEX(DarlTilgStart,1)&gt;0,$E295&lt;INDEX(DarlTilgStart,1))),0,MIN(MAX(0,$K295-$L295),$J295)))</f>
      </c>
      <c r="N295" s="43">
        <f>IF($I295=0,0,MIN(SUMIFS(SondBetrag,SondDarl,1,SondDatum,"&gt;="&amp;$E295,SondDatum,"&lt;="&amp;EOMONTH($E295,0)),$J295-$M295))</f>
      </c>
      <c r="O295" s="43">
        <f>IF($I295=0,0,INDEX(DarlErsatzRate,1))</f>
      </c>
      <c r="P295" s="43">
        <f>IF($I295=0,0,$Q294*INDEX(DarlErsatzZins,1))</f>
      </c>
      <c r="Q295" s="43">
        <f>IF($I295=0,0,$Q294+$P295+$O295)</f>
      </c>
      <c r="R295" s="43">
        <f>IF($I295=0,0,$J295-$M295-$N295)</f>
      </c>
    </row>
    <row r="296">
      <c r="A296"/>
      <c r="B296">
        <v>1</v>
      </c>
      <c r="C296" s="43">
        <f>INDEX(DarlObj,1)</f>
      </c>
      <c r="D296">
        <v>293</v>
      </c>
      <c r="E296" s="51">
        <f>IF(INDEX(DarlBelegt,1)=0,0,EOMONTH(INDEX(DarlAuszahlung,1),292)+1)</f>
      </c>
      <c r="F296" s="43">
        <f>IF($E296=0,0,YEAR($E296))</f>
      </c>
      <c r="G296" s="43">
        <f>IF(INDEX(DarlBindung,1)="",1,IF($E296&lt;=INDEX(DarlBindung,1),1,0))</f>
      </c>
      <c r="H296" s="43">
        <f>IF($G296=1,INDEX(DarlSollzins,1),INDEX(DarlAnschluss,1))</f>
      </c>
      <c r="I296" s="43">
        <f>IF(INDEX(DarlBelegt,1)=0,0,IF(INDEX(DarlOhneTilgung,1)=1,IF(INDEX(DarlBindung,1)="",1,$G296),IF($J296&gt;0.005,1,0)))</f>
      </c>
      <c r="J296" s="43">
        <f>IF($I295=0,0,$R295)</f>
      </c>
      <c r="K296" s="43">
        <f>IF($I296=0,0,IF(INDEX(DarlOhneTilgung,1)=1,0,IF(AND(INDEX(DarlTilgStart,1)&gt;0,$E296=INDEX(DarlTilgStart,1)),$J296*($H296+INDEX(DarlTilgung,1))/100/12,IF(AND($G296=0,$G295=1),MAX($K295,$J296*($H296+1)/100/12),$K295))))</f>
      </c>
      <c r="L296" s="43">
        <f>IF($I296=0,0,$J296*$H296/100/12)</f>
      </c>
      <c r="M296" s="43">
        <f>IF($I296=0,0,IF(OR(INDEX(DarlOhneTilgung,1)=1,AND(INDEX(DarlTilgStart,1)&gt;0,$E296&lt;INDEX(DarlTilgStart,1))),0,MIN(MAX(0,$K296-$L296),$J296)))</f>
      </c>
      <c r="N296" s="43">
        <f>IF($I296=0,0,MIN(SUMIFS(SondBetrag,SondDarl,1,SondDatum,"&gt;="&amp;$E296,SondDatum,"&lt;="&amp;EOMONTH($E296,0)),$J296-$M296))</f>
      </c>
      <c r="O296" s="43">
        <f>IF($I296=0,0,INDEX(DarlErsatzRate,1))</f>
      </c>
      <c r="P296" s="43">
        <f>IF($I296=0,0,$Q295*INDEX(DarlErsatzZins,1))</f>
      </c>
      <c r="Q296" s="43">
        <f>IF($I296=0,0,$Q295+$P296+$O296)</f>
      </c>
      <c r="R296" s="43">
        <f>IF($I296=0,0,$J296-$M296-$N296)</f>
      </c>
    </row>
    <row r="297">
      <c r="A297"/>
      <c r="B297">
        <v>1</v>
      </c>
      <c r="C297" s="43">
        <f>INDEX(DarlObj,1)</f>
      </c>
      <c r="D297">
        <v>294</v>
      </c>
      <c r="E297" s="51">
        <f>IF(INDEX(DarlBelegt,1)=0,0,EOMONTH(INDEX(DarlAuszahlung,1),293)+1)</f>
      </c>
      <c r="F297" s="43">
        <f>IF($E297=0,0,YEAR($E297))</f>
      </c>
      <c r="G297" s="43">
        <f>IF(INDEX(DarlBindung,1)="",1,IF($E297&lt;=INDEX(DarlBindung,1),1,0))</f>
      </c>
      <c r="H297" s="43">
        <f>IF($G297=1,INDEX(DarlSollzins,1),INDEX(DarlAnschluss,1))</f>
      </c>
      <c r="I297" s="43">
        <f>IF(INDEX(DarlBelegt,1)=0,0,IF(INDEX(DarlOhneTilgung,1)=1,IF(INDEX(DarlBindung,1)="",1,$G297),IF($J297&gt;0.005,1,0)))</f>
      </c>
      <c r="J297" s="43">
        <f>IF($I296=0,0,$R296)</f>
      </c>
      <c r="K297" s="43">
        <f>IF($I297=0,0,IF(INDEX(DarlOhneTilgung,1)=1,0,IF(AND(INDEX(DarlTilgStart,1)&gt;0,$E297=INDEX(DarlTilgStart,1)),$J297*($H297+INDEX(DarlTilgung,1))/100/12,IF(AND($G297=0,$G296=1),MAX($K296,$J297*($H297+1)/100/12),$K296))))</f>
      </c>
      <c r="L297" s="43">
        <f>IF($I297=0,0,$J297*$H297/100/12)</f>
      </c>
      <c r="M297" s="43">
        <f>IF($I297=0,0,IF(OR(INDEX(DarlOhneTilgung,1)=1,AND(INDEX(DarlTilgStart,1)&gt;0,$E297&lt;INDEX(DarlTilgStart,1))),0,MIN(MAX(0,$K297-$L297),$J297)))</f>
      </c>
      <c r="N297" s="43">
        <f>IF($I297=0,0,MIN(SUMIFS(SondBetrag,SondDarl,1,SondDatum,"&gt;="&amp;$E297,SondDatum,"&lt;="&amp;EOMONTH($E297,0)),$J297-$M297))</f>
      </c>
      <c r="O297" s="43">
        <f>IF($I297=0,0,INDEX(DarlErsatzRate,1))</f>
      </c>
      <c r="P297" s="43">
        <f>IF($I297=0,0,$Q296*INDEX(DarlErsatzZins,1))</f>
      </c>
      <c r="Q297" s="43">
        <f>IF($I297=0,0,$Q296+$P297+$O297)</f>
      </c>
      <c r="R297" s="43">
        <f>IF($I297=0,0,$J297-$M297-$N297)</f>
      </c>
    </row>
    <row r="298">
      <c r="A298"/>
      <c r="B298">
        <v>1</v>
      </c>
      <c r="C298" s="43">
        <f>INDEX(DarlObj,1)</f>
      </c>
      <c r="D298">
        <v>295</v>
      </c>
      <c r="E298" s="51">
        <f>IF(INDEX(DarlBelegt,1)=0,0,EOMONTH(INDEX(DarlAuszahlung,1),294)+1)</f>
      </c>
      <c r="F298" s="43">
        <f>IF($E298=0,0,YEAR($E298))</f>
      </c>
      <c r="G298" s="43">
        <f>IF(INDEX(DarlBindung,1)="",1,IF($E298&lt;=INDEX(DarlBindung,1),1,0))</f>
      </c>
      <c r="H298" s="43">
        <f>IF($G298=1,INDEX(DarlSollzins,1),INDEX(DarlAnschluss,1))</f>
      </c>
      <c r="I298" s="43">
        <f>IF(INDEX(DarlBelegt,1)=0,0,IF(INDEX(DarlOhneTilgung,1)=1,IF(INDEX(DarlBindung,1)="",1,$G298),IF($J298&gt;0.005,1,0)))</f>
      </c>
      <c r="J298" s="43">
        <f>IF($I297=0,0,$R297)</f>
      </c>
      <c r="K298" s="43">
        <f>IF($I298=0,0,IF(INDEX(DarlOhneTilgung,1)=1,0,IF(AND(INDEX(DarlTilgStart,1)&gt;0,$E298=INDEX(DarlTilgStart,1)),$J298*($H298+INDEX(DarlTilgung,1))/100/12,IF(AND($G298=0,$G297=1),MAX($K297,$J298*($H298+1)/100/12),$K297))))</f>
      </c>
      <c r="L298" s="43">
        <f>IF($I298=0,0,$J298*$H298/100/12)</f>
      </c>
      <c r="M298" s="43">
        <f>IF($I298=0,0,IF(OR(INDEX(DarlOhneTilgung,1)=1,AND(INDEX(DarlTilgStart,1)&gt;0,$E298&lt;INDEX(DarlTilgStart,1))),0,MIN(MAX(0,$K298-$L298),$J298)))</f>
      </c>
      <c r="N298" s="43">
        <f>IF($I298=0,0,MIN(SUMIFS(SondBetrag,SondDarl,1,SondDatum,"&gt;="&amp;$E298,SondDatum,"&lt;="&amp;EOMONTH($E298,0)),$J298-$M298))</f>
      </c>
      <c r="O298" s="43">
        <f>IF($I298=0,0,INDEX(DarlErsatzRate,1))</f>
      </c>
      <c r="P298" s="43">
        <f>IF($I298=0,0,$Q297*INDEX(DarlErsatzZins,1))</f>
      </c>
      <c r="Q298" s="43">
        <f>IF($I298=0,0,$Q297+$P298+$O298)</f>
      </c>
      <c r="R298" s="43">
        <f>IF($I298=0,0,$J298-$M298-$N298)</f>
      </c>
    </row>
    <row r="299">
      <c r="A299"/>
      <c r="B299">
        <v>1</v>
      </c>
      <c r="C299" s="43">
        <f>INDEX(DarlObj,1)</f>
      </c>
      <c r="D299">
        <v>296</v>
      </c>
      <c r="E299" s="51">
        <f>IF(INDEX(DarlBelegt,1)=0,0,EOMONTH(INDEX(DarlAuszahlung,1),295)+1)</f>
      </c>
      <c r="F299" s="43">
        <f>IF($E299=0,0,YEAR($E299))</f>
      </c>
      <c r="G299" s="43">
        <f>IF(INDEX(DarlBindung,1)="",1,IF($E299&lt;=INDEX(DarlBindung,1),1,0))</f>
      </c>
      <c r="H299" s="43">
        <f>IF($G299=1,INDEX(DarlSollzins,1),INDEX(DarlAnschluss,1))</f>
      </c>
      <c r="I299" s="43">
        <f>IF(INDEX(DarlBelegt,1)=0,0,IF(INDEX(DarlOhneTilgung,1)=1,IF(INDEX(DarlBindung,1)="",1,$G299),IF($J299&gt;0.005,1,0)))</f>
      </c>
      <c r="J299" s="43">
        <f>IF($I298=0,0,$R298)</f>
      </c>
      <c r="K299" s="43">
        <f>IF($I299=0,0,IF(INDEX(DarlOhneTilgung,1)=1,0,IF(AND(INDEX(DarlTilgStart,1)&gt;0,$E299=INDEX(DarlTilgStart,1)),$J299*($H299+INDEX(DarlTilgung,1))/100/12,IF(AND($G299=0,$G298=1),MAX($K298,$J299*($H299+1)/100/12),$K298))))</f>
      </c>
      <c r="L299" s="43">
        <f>IF($I299=0,0,$J299*$H299/100/12)</f>
      </c>
      <c r="M299" s="43">
        <f>IF($I299=0,0,IF(OR(INDEX(DarlOhneTilgung,1)=1,AND(INDEX(DarlTilgStart,1)&gt;0,$E299&lt;INDEX(DarlTilgStart,1))),0,MIN(MAX(0,$K299-$L299),$J299)))</f>
      </c>
      <c r="N299" s="43">
        <f>IF($I299=0,0,MIN(SUMIFS(SondBetrag,SondDarl,1,SondDatum,"&gt;="&amp;$E299,SondDatum,"&lt;="&amp;EOMONTH($E299,0)),$J299-$M299))</f>
      </c>
      <c r="O299" s="43">
        <f>IF($I299=0,0,INDEX(DarlErsatzRate,1))</f>
      </c>
      <c r="P299" s="43">
        <f>IF($I299=0,0,$Q298*INDEX(DarlErsatzZins,1))</f>
      </c>
      <c r="Q299" s="43">
        <f>IF($I299=0,0,$Q298+$P299+$O299)</f>
      </c>
      <c r="R299" s="43">
        <f>IF($I299=0,0,$J299-$M299-$N299)</f>
      </c>
    </row>
    <row r="300">
      <c r="A300"/>
      <c r="B300">
        <v>1</v>
      </c>
      <c r="C300" s="43">
        <f>INDEX(DarlObj,1)</f>
      </c>
      <c r="D300">
        <v>297</v>
      </c>
      <c r="E300" s="51">
        <f>IF(INDEX(DarlBelegt,1)=0,0,EOMONTH(INDEX(DarlAuszahlung,1),296)+1)</f>
      </c>
      <c r="F300" s="43">
        <f>IF($E300=0,0,YEAR($E300))</f>
      </c>
      <c r="G300" s="43">
        <f>IF(INDEX(DarlBindung,1)="",1,IF($E300&lt;=INDEX(DarlBindung,1),1,0))</f>
      </c>
      <c r="H300" s="43">
        <f>IF($G300=1,INDEX(DarlSollzins,1),INDEX(DarlAnschluss,1))</f>
      </c>
      <c r="I300" s="43">
        <f>IF(INDEX(DarlBelegt,1)=0,0,IF(INDEX(DarlOhneTilgung,1)=1,IF(INDEX(DarlBindung,1)="",1,$G300),IF($J300&gt;0.005,1,0)))</f>
      </c>
      <c r="J300" s="43">
        <f>IF($I299=0,0,$R299)</f>
      </c>
      <c r="K300" s="43">
        <f>IF($I300=0,0,IF(INDEX(DarlOhneTilgung,1)=1,0,IF(AND(INDEX(DarlTilgStart,1)&gt;0,$E300=INDEX(DarlTilgStart,1)),$J300*($H300+INDEX(DarlTilgung,1))/100/12,IF(AND($G300=0,$G299=1),MAX($K299,$J300*($H300+1)/100/12),$K299))))</f>
      </c>
      <c r="L300" s="43">
        <f>IF($I300=0,0,$J300*$H300/100/12)</f>
      </c>
      <c r="M300" s="43">
        <f>IF($I300=0,0,IF(OR(INDEX(DarlOhneTilgung,1)=1,AND(INDEX(DarlTilgStart,1)&gt;0,$E300&lt;INDEX(DarlTilgStart,1))),0,MIN(MAX(0,$K300-$L300),$J300)))</f>
      </c>
      <c r="N300" s="43">
        <f>IF($I300=0,0,MIN(SUMIFS(SondBetrag,SondDarl,1,SondDatum,"&gt;="&amp;$E300,SondDatum,"&lt;="&amp;EOMONTH($E300,0)),$J300-$M300))</f>
      </c>
      <c r="O300" s="43">
        <f>IF($I300=0,0,INDEX(DarlErsatzRate,1))</f>
      </c>
      <c r="P300" s="43">
        <f>IF($I300=0,0,$Q299*INDEX(DarlErsatzZins,1))</f>
      </c>
      <c r="Q300" s="43">
        <f>IF($I300=0,0,$Q299+$P300+$O300)</f>
      </c>
      <c r="R300" s="43">
        <f>IF($I300=0,0,$J300-$M300-$N300)</f>
      </c>
    </row>
    <row r="301">
      <c r="A301"/>
      <c r="B301">
        <v>1</v>
      </c>
      <c r="C301" s="43">
        <f>INDEX(DarlObj,1)</f>
      </c>
      <c r="D301">
        <v>298</v>
      </c>
      <c r="E301" s="51">
        <f>IF(INDEX(DarlBelegt,1)=0,0,EOMONTH(INDEX(DarlAuszahlung,1),297)+1)</f>
      </c>
      <c r="F301" s="43">
        <f>IF($E301=0,0,YEAR($E301))</f>
      </c>
      <c r="G301" s="43">
        <f>IF(INDEX(DarlBindung,1)="",1,IF($E301&lt;=INDEX(DarlBindung,1),1,0))</f>
      </c>
      <c r="H301" s="43">
        <f>IF($G301=1,INDEX(DarlSollzins,1),INDEX(DarlAnschluss,1))</f>
      </c>
      <c r="I301" s="43">
        <f>IF(INDEX(DarlBelegt,1)=0,0,IF(INDEX(DarlOhneTilgung,1)=1,IF(INDEX(DarlBindung,1)="",1,$G301),IF($J301&gt;0.005,1,0)))</f>
      </c>
      <c r="J301" s="43">
        <f>IF($I300=0,0,$R300)</f>
      </c>
      <c r="K301" s="43">
        <f>IF($I301=0,0,IF(INDEX(DarlOhneTilgung,1)=1,0,IF(AND(INDEX(DarlTilgStart,1)&gt;0,$E301=INDEX(DarlTilgStart,1)),$J301*($H301+INDEX(DarlTilgung,1))/100/12,IF(AND($G301=0,$G300=1),MAX($K300,$J301*($H301+1)/100/12),$K300))))</f>
      </c>
      <c r="L301" s="43">
        <f>IF($I301=0,0,$J301*$H301/100/12)</f>
      </c>
      <c r="M301" s="43">
        <f>IF($I301=0,0,IF(OR(INDEX(DarlOhneTilgung,1)=1,AND(INDEX(DarlTilgStart,1)&gt;0,$E301&lt;INDEX(DarlTilgStart,1))),0,MIN(MAX(0,$K301-$L301),$J301)))</f>
      </c>
      <c r="N301" s="43">
        <f>IF($I301=0,0,MIN(SUMIFS(SondBetrag,SondDarl,1,SondDatum,"&gt;="&amp;$E301,SondDatum,"&lt;="&amp;EOMONTH($E301,0)),$J301-$M301))</f>
      </c>
      <c r="O301" s="43">
        <f>IF($I301=0,0,INDEX(DarlErsatzRate,1))</f>
      </c>
      <c r="P301" s="43">
        <f>IF($I301=0,0,$Q300*INDEX(DarlErsatzZins,1))</f>
      </c>
      <c r="Q301" s="43">
        <f>IF($I301=0,0,$Q300+$P301+$O301)</f>
      </c>
      <c r="R301" s="43">
        <f>IF($I301=0,0,$J301-$M301-$N301)</f>
      </c>
    </row>
    <row r="302">
      <c r="A302"/>
      <c r="B302">
        <v>1</v>
      </c>
      <c r="C302" s="43">
        <f>INDEX(DarlObj,1)</f>
      </c>
      <c r="D302">
        <v>299</v>
      </c>
      <c r="E302" s="51">
        <f>IF(INDEX(DarlBelegt,1)=0,0,EOMONTH(INDEX(DarlAuszahlung,1),298)+1)</f>
      </c>
      <c r="F302" s="43">
        <f>IF($E302=0,0,YEAR($E302))</f>
      </c>
      <c r="G302" s="43">
        <f>IF(INDEX(DarlBindung,1)="",1,IF($E302&lt;=INDEX(DarlBindung,1),1,0))</f>
      </c>
      <c r="H302" s="43">
        <f>IF($G302=1,INDEX(DarlSollzins,1),INDEX(DarlAnschluss,1))</f>
      </c>
      <c r="I302" s="43">
        <f>IF(INDEX(DarlBelegt,1)=0,0,IF(INDEX(DarlOhneTilgung,1)=1,IF(INDEX(DarlBindung,1)="",1,$G302),IF($J302&gt;0.005,1,0)))</f>
      </c>
      <c r="J302" s="43">
        <f>IF($I301=0,0,$R301)</f>
      </c>
      <c r="K302" s="43">
        <f>IF($I302=0,0,IF(INDEX(DarlOhneTilgung,1)=1,0,IF(AND(INDEX(DarlTilgStart,1)&gt;0,$E302=INDEX(DarlTilgStart,1)),$J302*($H302+INDEX(DarlTilgung,1))/100/12,IF(AND($G302=0,$G301=1),MAX($K301,$J302*($H302+1)/100/12),$K301))))</f>
      </c>
      <c r="L302" s="43">
        <f>IF($I302=0,0,$J302*$H302/100/12)</f>
      </c>
      <c r="M302" s="43">
        <f>IF($I302=0,0,IF(OR(INDEX(DarlOhneTilgung,1)=1,AND(INDEX(DarlTilgStart,1)&gt;0,$E302&lt;INDEX(DarlTilgStart,1))),0,MIN(MAX(0,$K302-$L302),$J302)))</f>
      </c>
      <c r="N302" s="43">
        <f>IF($I302=0,0,MIN(SUMIFS(SondBetrag,SondDarl,1,SondDatum,"&gt;="&amp;$E302,SondDatum,"&lt;="&amp;EOMONTH($E302,0)),$J302-$M302))</f>
      </c>
      <c r="O302" s="43">
        <f>IF($I302=0,0,INDEX(DarlErsatzRate,1))</f>
      </c>
      <c r="P302" s="43">
        <f>IF($I302=0,0,$Q301*INDEX(DarlErsatzZins,1))</f>
      </c>
      <c r="Q302" s="43">
        <f>IF($I302=0,0,$Q301+$P302+$O302)</f>
      </c>
      <c r="R302" s="43">
        <f>IF($I302=0,0,$J302-$M302-$N302)</f>
      </c>
    </row>
    <row r="303">
      <c r="A303"/>
      <c r="B303">
        <v>1</v>
      </c>
      <c r="C303" s="43">
        <f>INDEX(DarlObj,1)</f>
      </c>
      <c r="D303">
        <v>300</v>
      </c>
      <c r="E303" s="51">
        <f>IF(INDEX(DarlBelegt,1)=0,0,EOMONTH(INDEX(DarlAuszahlung,1),299)+1)</f>
      </c>
      <c r="F303" s="43">
        <f>IF($E303=0,0,YEAR($E303))</f>
      </c>
      <c r="G303" s="43">
        <f>IF(INDEX(DarlBindung,1)="",1,IF($E303&lt;=INDEX(DarlBindung,1),1,0))</f>
      </c>
      <c r="H303" s="43">
        <f>IF($G303=1,INDEX(DarlSollzins,1),INDEX(DarlAnschluss,1))</f>
      </c>
      <c r="I303" s="43">
        <f>IF(INDEX(DarlBelegt,1)=0,0,IF(INDEX(DarlOhneTilgung,1)=1,IF(INDEX(DarlBindung,1)="",1,$G303),IF($J303&gt;0.005,1,0)))</f>
      </c>
      <c r="J303" s="43">
        <f>IF($I302=0,0,$R302)</f>
      </c>
      <c r="K303" s="43">
        <f>IF($I303=0,0,IF(INDEX(DarlOhneTilgung,1)=1,0,IF(AND(INDEX(DarlTilgStart,1)&gt;0,$E303=INDEX(DarlTilgStart,1)),$J303*($H303+INDEX(DarlTilgung,1))/100/12,IF(AND($G303=0,$G302=1),MAX($K302,$J303*($H303+1)/100/12),$K302))))</f>
      </c>
      <c r="L303" s="43">
        <f>IF($I303=0,0,$J303*$H303/100/12)</f>
      </c>
      <c r="M303" s="43">
        <f>IF($I303=0,0,IF(OR(INDEX(DarlOhneTilgung,1)=1,AND(INDEX(DarlTilgStart,1)&gt;0,$E303&lt;INDEX(DarlTilgStart,1))),0,MIN(MAX(0,$K303-$L303),$J303)))</f>
      </c>
      <c r="N303" s="43">
        <f>IF($I303=0,0,MIN(SUMIFS(SondBetrag,SondDarl,1,SondDatum,"&gt;="&amp;$E303,SondDatum,"&lt;="&amp;EOMONTH($E303,0)),$J303-$M303))</f>
      </c>
      <c r="O303" s="43">
        <f>IF($I303=0,0,INDEX(DarlErsatzRate,1))</f>
      </c>
      <c r="P303" s="43">
        <f>IF($I303=0,0,$Q302*INDEX(DarlErsatzZins,1))</f>
      </c>
      <c r="Q303" s="43">
        <f>IF($I303=0,0,$Q302+$P303+$O303)</f>
      </c>
      <c r="R303" s="43">
        <f>IF($I303=0,0,$J303-$M303-$N303)</f>
      </c>
    </row>
    <row r="304">
      <c r="A304"/>
      <c r="B304">
        <v>1</v>
      </c>
      <c r="C304" s="43">
        <f>INDEX(DarlObj,1)</f>
      </c>
      <c r="D304">
        <v>301</v>
      </c>
      <c r="E304" s="51">
        <f>IF(INDEX(DarlBelegt,1)=0,0,EOMONTH(INDEX(DarlAuszahlung,1),300)+1)</f>
      </c>
      <c r="F304" s="43">
        <f>IF($E304=0,0,YEAR($E304))</f>
      </c>
      <c r="G304" s="43">
        <f>IF(INDEX(DarlBindung,1)="",1,IF($E304&lt;=INDEX(DarlBindung,1),1,0))</f>
      </c>
      <c r="H304" s="43">
        <f>IF($G304=1,INDEX(DarlSollzins,1),INDEX(DarlAnschluss,1))</f>
      </c>
      <c r="I304" s="43">
        <f>IF(INDEX(DarlBelegt,1)=0,0,IF(INDEX(DarlOhneTilgung,1)=1,IF(INDEX(DarlBindung,1)="",1,$G304),IF($J304&gt;0.005,1,0)))</f>
      </c>
      <c r="J304" s="43">
        <f>IF($I303=0,0,$R303)</f>
      </c>
      <c r="K304" s="43">
        <f>IF($I304=0,0,IF(INDEX(DarlOhneTilgung,1)=1,0,IF(AND(INDEX(DarlTilgStart,1)&gt;0,$E304=INDEX(DarlTilgStart,1)),$J304*($H304+INDEX(DarlTilgung,1))/100/12,IF(AND($G304=0,$G303=1),MAX($K303,$J304*($H304+1)/100/12),$K303))))</f>
      </c>
      <c r="L304" s="43">
        <f>IF($I304=0,0,$J304*$H304/100/12)</f>
      </c>
      <c r="M304" s="43">
        <f>IF($I304=0,0,IF(OR(INDEX(DarlOhneTilgung,1)=1,AND(INDEX(DarlTilgStart,1)&gt;0,$E304&lt;INDEX(DarlTilgStart,1))),0,MIN(MAX(0,$K304-$L304),$J304)))</f>
      </c>
      <c r="N304" s="43">
        <f>IF($I304=0,0,MIN(SUMIFS(SondBetrag,SondDarl,1,SondDatum,"&gt;="&amp;$E304,SondDatum,"&lt;="&amp;EOMONTH($E304,0)),$J304-$M304))</f>
      </c>
      <c r="O304" s="43">
        <f>IF($I304=0,0,INDEX(DarlErsatzRate,1))</f>
      </c>
      <c r="P304" s="43">
        <f>IF($I304=0,0,$Q303*INDEX(DarlErsatzZins,1))</f>
      </c>
      <c r="Q304" s="43">
        <f>IF($I304=0,0,$Q303+$P304+$O304)</f>
      </c>
      <c r="R304" s="43">
        <f>IF($I304=0,0,$J304-$M304-$N304)</f>
      </c>
    </row>
    <row r="305">
      <c r="A305"/>
      <c r="B305">
        <v>1</v>
      </c>
      <c r="C305" s="43">
        <f>INDEX(DarlObj,1)</f>
      </c>
      <c r="D305">
        <v>302</v>
      </c>
      <c r="E305" s="51">
        <f>IF(INDEX(DarlBelegt,1)=0,0,EOMONTH(INDEX(DarlAuszahlung,1),301)+1)</f>
      </c>
      <c r="F305" s="43">
        <f>IF($E305=0,0,YEAR($E305))</f>
      </c>
      <c r="G305" s="43">
        <f>IF(INDEX(DarlBindung,1)="",1,IF($E305&lt;=INDEX(DarlBindung,1),1,0))</f>
      </c>
      <c r="H305" s="43">
        <f>IF($G305=1,INDEX(DarlSollzins,1),INDEX(DarlAnschluss,1))</f>
      </c>
      <c r="I305" s="43">
        <f>IF(INDEX(DarlBelegt,1)=0,0,IF(INDEX(DarlOhneTilgung,1)=1,IF(INDEX(DarlBindung,1)="",1,$G305),IF($J305&gt;0.005,1,0)))</f>
      </c>
      <c r="J305" s="43">
        <f>IF($I304=0,0,$R304)</f>
      </c>
      <c r="K305" s="43">
        <f>IF($I305=0,0,IF(INDEX(DarlOhneTilgung,1)=1,0,IF(AND(INDEX(DarlTilgStart,1)&gt;0,$E305=INDEX(DarlTilgStart,1)),$J305*($H305+INDEX(DarlTilgung,1))/100/12,IF(AND($G305=0,$G304=1),MAX($K304,$J305*($H305+1)/100/12),$K304))))</f>
      </c>
      <c r="L305" s="43">
        <f>IF($I305=0,0,$J305*$H305/100/12)</f>
      </c>
      <c r="M305" s="43">
        <f>IF($I305=0,0,IF(OR(INDEX(DarlOhneTilgung,1)=1,AND(INDEX(DarlTilgStart,1)&gt;0,$E305&lt;INDEX(DarlTilgStart,1))),0,MIN(MAX(0,$K305-$L305),$J305)))</f>
      </c>
      <c r="N305" s="43">
        <f>IF($I305=0,0,MIN(SUMIFS(SondBetrag,SondDarl,1,SondDatum,"&gt;="&amp;$E305,SondDatum,"&lt;="&amp;EOMONTH($E305,0)),$J305-$M305))</f>
      </c>
      <c r="O305" s="43">
        <f>IF($I305=0,0,INDEX(DarlErsatzRate,1))</f>
      </c>
      <c r="P305" s="43">
        <f>IF($I305=0,0,$Q304*INDEX(DarlErsatzZins,1))</f>
      </c>
      <c r="Q305" s="43">
        <f>IF($I305=0,0,$Q304+$P305+$O305)</f>
      </c>
      <c r="R305" s="43">
        <f>IF($I305=0,0,$J305-$M305-$N305)</f>
      </c>
    </row>
    <row r="306">
      <c r="A306"/>
      <c r="B306">
        <v>1</v>
      </c>
      <c r="C306" s="43">
        <f>INDEX(DarlObj,1)</f>
      </c>
      <c r="D306">
        <v>303</v>
      </c>
      <c r="E306" s="51">
        <f>IF(INDEX(DarlBelegt,1)=0,0,EOMONTH(INDEX(DarlAuszahlung,1),302)+1)</f>
      </c>
      <c r="F306" s="43">
        <f>IF($E306=0,0,YEAR($E306))</f>
      </c>
      <c r="G306" s="43">
        <f>IF(INDEX(DarlBindung,1)="",1,IF($E306&lt;=INDEX(DarlBindung,1),1,0))</f>
      </c>
      <c r="H306" s="43">
        <f>IF($G306=1,INDEX(DarlSollzins,1),INDEX(DarlAnschluss,1))</f>
      </c>
      <c r="I306" s="43">
        <f>IF(INDEX(DarlBelegt,1)=0,0,IF(INDEX(DarlOhneTilgung,1)=1,IF(INDEX(DarlBindung,1)="",1,$G306),IF($J306&gt;0.005,1,0)))</f>
      </c>
      <c r="J306" s="43">
        <f>IF($I305=0,0,$R305)</f>
      </c>
      <c r="K306" s="43">
        <f>IF($I306=0,0,IF(INDEX(DarlOhneTilgung,1)=1,0,IF(AND(INDEX(DarlTilgStart,1)&gt;0,$E306=INDEX(DarlTilgStart,1)),$J306*($H306+INDEX(DarlTilgung,1))/100/12,IF(AND($G306=0,$G305=1),MAX($K305,$J306*($H306+1)/100/12),$K305))))</f>
      </c>
      <c r="L306" s="43">
        <f>IF($I306=0,0,$J306*$H306/100/12)</f>
      </c>
      <c r="M306" s="43">
        <f>IF($I306=0,0,IF(OR(INDEX(DarlOhneTilgung,1)=1,AND(INDEX(DarlTilgStart,1)&gt;0,$E306&lt;INDEX(DarlTilgStart,1))),0,MIN(MAX(0,$K306-$L306),$J306)))</f>
      </c>
      <c r="N306" s="43">
        <f>IF($I306=0,0,MIN(SUMIFS(SondBetrag,SondDarl,1,SondDatum,"&gt;="&amp;$E306,SondDatum,"&lt;="&amp;EOMONTH($E306,0)),$J306-$M306))</f>
      </c>
      <c r="O306" s="43">
        <f>IF($I306=0,0,INDEX(DarlErsatzRate,1))</f>
      </c>
      <c r="P306" s="43">
        <f>IF($I306=0,0,$Q305*INDEX(DarlErsatzZins,1))</f>
      </c>
      <c r="Q306" s="43">
        <f>IF($I306=0,0,$Q305+$P306+$O306)</f>
      </c>
      <c r="R306" s="43">
        <f>IF($I306=0,0,$J306-$M306-$N306)</f>
      </c>
    </row>
    <row r="307">
      <c r="A307"/>
      <c r="B307">
        <v>1</v>
      </c>
      <c r="C307" s="43">
        <f>INDEX(DarlObj,1)</f>
      </c>
      <c r="D307">
        <v>304</v>
      </c>
      <c r="E307" s="51">
        <f>IF(INDEX(DarlBelegt,1)=0,0,EOMONTH(INDEX(DarlAuszahlung,1),303)+1)</f>
      </c>
      <c r="F307" s="43">
        <f>IF($E307=0,0,YEAR($E307))</f>
      </c>
      <c r="G307" s="43">
        <f>IF(INDEX(DarlBindung,1)="",1,IF($E307&lt;=INDEX(DarlBindung,1),1,0))</f>
      </c>
      <c r="H307" s="43">
        <f>IF($G307=1,INDEX(DarlSollzins,1),INDEX(DarlAnschluss,1))</f>
      </c>
      <c r="I307" s="43">
        <f>IF(INDEX(DarlBelegt,1)=0,0,IF(INDEX(DarlOhneTilgung,1)=1,IF(INDEX(DarlBindung,1)="",1,$G307),IF($J307&gt;0.005,1,0)))</f>
      </c>
      <c r="J307" s="43">
        <f>IF($I306=0,0,$R306)</f>
      </c>
      <c r="K307" s="43">
        <f>IF($I307=0,0,IF(INDEX(DarlOhneTilgung,1)=1,0,IF(AND(INDEX(DarlTilgStart,1)&gt;0,$E307=INDEX(DarlTilgStart,1)),$J307*($H307+INDEX(DarlTilgung,1))/100/12,IF(AND($G307=0,$G306=1),MAX($K306,$J307*($H307+1)/100/12),$K306))))</f>
      </c>
      <c r="L307" s="43">
        <f>IF($I307=0,0,$J307*$H307/100/12)</f>
      </c>
      <c r="M307" s="43">
        <f>IF($I307=0,0,IF(OR(INDEX(DarlOhneTilgung,1)=1,AND(INDEX(DarlTilgStart,1)&gt;0,$E307&lt;INDEX(DarlTilgStart,1))),0,MIN(MAX(0,$K307-$L307),$J307)))</f>
      </c>
      <c r="N307" s="43">
        <f>IF($I307=0,0,MIN(SUMIFS(SondBetrag,SondDarl,1,SondDatum,"&gt;="&amp;$E307,SondDatum,"&lt;="&amp;EOMONTH($E307,0)),$J307-$M307))</f>
      </c>
      <c r="O307" s="43">
        <f>IF($I307=0,0,INDEX(DarlErsatzRate,1))</f>
      </c>
      <c r="P307" s="43">
        <f>IF($I307=0,0,$Q306*INDEX(DarlErsatzZins,1))</f>
      </c>
      <c r="Q307" s="43">
        <f>IF($I307=0,0,$Q306+$P307+$O307)</f>
      </c>
      <c r="R307" s="43">
        <f>IF($I307=0,0,$J307-$M307-$N307)</f>
      </c>
    </row>
    <row r="308">
      <c r="A308"/>
      <c r="B308">
        <v>1</v>
      </c>
      <c r="C308" s="43">
        <f>INDEX(DarlObj,1)</f>
      </c>
      <c r="D308">
        <v>305</v>
      </c>
      <c r="E308" s="51">
        <f>IF(INDEX(DarlBelegt,1)=0,0,EOMONTH(INDEX(DarlAuszahlung,1),304)+1)</f>
      </c>
      <c r="F308" s="43">
        <f>IF($E308=0,0,YEAR($E308))</f>
      </c>
      <c r="G308" s="43">
        <f>IF(INDEX(DarlBindung,1)="",1,IF($E308&lt;=INDEX(DarlBindung,1),1,0))</f>
      </c>
      <c r="H308" s="43">
        <f>IF($G308=1,INDEX(DarlSollzins,1),INDEX(DarlAnschluss,1))</f>
      </c>
      <c r="I308" s="43">
        <f>IF(INDEX(DarlBelegt,1)=0,0,IF(INDEX(DarlOhneTilgung,1)=1,IF(INDEX(DarlBindung,1)="",1,$G308),IF($J308&gt;0.005,1,0)))</f>
      </c>
      <c r="J308" s="43">
        <f>IF($I307=0,0,$R307)</f>
      </c>
      <c r="K308" s="43">
        <f>IF($I308=0,0,IF(INDEX(DarlOhneTilgung,1)=1,0,IF(AND(INDEX(DarlTilgStart,1)&gt;0,$E308=INDEX(DarlTilgStart,1)),$J308*($H308+INDEX(DarlTilgung,1))/100/12,IF(AND($G308=0,$G307=1),MAX($K307,$J308*($H308+1)/100/12),$K307))))</f>
      </c>
      <c r="L308" s="43">
        <f>IF($I308=0,0,$J308*$H308/100/12)</f>
      </c>
      <c r="M308" s="43">
        <f>IF($I308=0,0,IF(OR(INDEX(DarlOhneTilgung,1)=1,AND(INDEX(DarlTilgStart,1)&gt;0,$E308&lt;INDEX(DarlTilgStart,1))),0,MIN(MAX(0,$K308-$L308),$J308)))</f>
      </c>
      <c r="N308" s="43">
        <f>IF($I308=0,0,MIN(SUMIFS(SondBetrag,SondDarl,1,SondDatum,"&gt;="&amp;$E308,SondDatum,"&lt;="&amp;EOMONTH($E308,0)),$J308-$M308))</f>
      </c>
      <c r="O308" s="43">
        <f>IF($I308=0,0,INDEX(DarlErsatzRate,1))</f>
      </c>
      <c r="P308" s="43">
        <f>IF($I308=0,0,$Q307*INDEX(DarlErsatzZins,1))</f>
      </c>
      <c r="Q308" s="43">
        <f>IF($I308=0,0,$Q307+$P308+$O308)</f>
      </c>
      <c r="R308" s="43">
        <f>IF($I308=0,0,$J308-$M308-$N308)</f>
      </c>
    </row>
    <row r="309">
      <c r="A309"/>
      <c r="B309">
        <v>1</v>
      </c>
      <c r="C309" s="43">
        <f>INDEX(DarlObj,1)</f>
      </c>
      <c r="D309">
        <v>306</v>
      </c>
      <c r="E309" s="51">
        <f>IF(INDEX(DarlBelegt,1)=0,0,EOMONTH(INDEX(DarlAuszahlung,1),305)+1)</f>
      </c>
      <c r="F309" s="43">
        <f>IF($E309=0,0,YEAR($E309))</f>
      </c>
      <c r="G309" s="43">
        <f>IF(INDEX(DarlBindung,1)="",1,IF($E309&lt;=INDEX(DarlBindung,1),1,0))</f>
      </c>
      <c r="H309" s="43">
        <f>IF($G309=1,INDEX(DarlSollzins,1),INDEX(DarlAnschluss,1))</f>
      </c>
      <c r="I309" s="43">
        <f>IF(INDEX(DarlBelegt,1)=0,0,IF(INDEX(DarlOhneTilgung,1)=1,IF(INDEX(DarlBindung,1)="",1,$G309),IF($J309&gt;0.005,1,0)))</f>
      </c>
      <c r="J309" s="43">
        <f>IF($I308=0,0,$R308)</f>
      </c>
      <c r="K309" s="43">
        <f>IF($I309=0,0,IF(INDEX(DarlOhneTilgung,1)=1,0,IF(AND(INDEX(DarlTilgStart,1)&gt;0,$E309=INDEX(DarlTilgStart,1)),$J309*($H309+INDEX(DarlTilgung,1))/100/12,IF(AND($G309=0,$G308=1),MAX($K308,$J309*($H309+1)/100/12),$K308))))</f>
      </c>
      <c r="L309" s="43">
        <f>IF($I309=0,0,$J309*$H309/100/12)</f>
      </c>
      <c r="M309" s="43">
        <f>IF($I309=0,0,IF(OR(INDEX(DarlOhneTilgung,1)=1,AND(INDEX(DarlTilgStart,1)&gt;0,$E309&lt;INDEX(DarlTilgStart,1))),0,MIN(MAX(0,$K309-$L309),$J309)))</f>
      </c>
      <c r="N309" s="43">
        <f>IF($I309=0,0,MIN(SUMIFS(SondBetrag,SondDarl,1,SondDatum,"&gt;="&amp;$E309,SondDatum,"&lt;="&amp;EOMONTH($E309,0)),$J309-$M309))</f>
      </c>
      <c r="O309" s="43">
        <f>IF($I309=0,0,INDEX(DarlErsatzRate,1))</f>
      </c>
      <c r="P309" s="43">
        <f>IF($I309=0,0,$Q308*INDEX(DarlErsatzZins,1))</f>
      </c>
      <c r="Q309" s="43">
        <f>IF($I309=0,0,$Q308+$P309+$O309)</f>
      </c>
      <c r="R309" s="43">
        <f>IF($I309=0,0,$J309-$M309-$N309)</f>
      </c>
    </row>
    <row r="310">
      <c r="A310"/>
      <c r="B310">
        <v>1</v>
      </c>
      <c r="C310" s="43">
        <f>INDEX(DarlObj,1)</f>
      </c>
      <c r="D310">
        <v>307</v>
      </c>
      <c r="E310" s="51">
        <f>IF(INDEX(DarlBelegt,1)=0,0,EOMONTH(INDEX(DarlAuszahlung,1),306)+1)</f>
      </c>
      <c r="F310" s="43">
        <f>IF($E310=0,0,YEAR($E310))</f>
      </c>
      <c r="G310" s="43">
        <f>IF(INDEX(DarlBindung,1)="",1,IF($E310&lt;=INDEX(DarlBindung,1),1,0))</f>
      </c>
      <c r="H310" s="43">
        <f>IF($G310=1,INDEX(DarlSollzins,1),INDEX(DarlAnschluss,1))</f>
      </c>
      <c r="I310" s="43">
        <f>IF(INDEX(DarlBelegt,1)=0,0,IF(INDEX(DarlOhneTilgung,1)=1,IF(INDEX(DarlBindung,1)="",1,$G310),IF($J310&gt;0.005,1,0)))</f>
      </c>
      <c r="J310" s="43">
        <f>IF($I309=0,0,$R309)</f>
      </c>
      <c r="K310" s="43">
        <f>IF($I310=0,0,IF(INDEX(DarlOhneTilgung,1)=1,0,IF(AND(INDEX(DarlTilgStart,1)&gt;0,$E310=INDEX(DarlTilgStart,1)),$J310*($H310+INDEX(DarlTilgung,1))/100/12,IF(AND($G310=0,$G309=1),MAX($K309,$J310*($H310+1)/100/12),$K309))))</f>
      </c>
      <c r="L310" s="43">
        <f>IF($I310=0,0,$J310*$H310/100/12)</f>
      </c>
      <c r="M310" s="43">
        <f>IF($I310=0,0,IF(OR(INDEX(DarlOhneTilgung,1)=1,AND(INDEX(DarlTilgStart,1)&gt;0,$E310&lt;INDEX(DarlTilgStart,1))),0,MIN(MAX(0,$K310-$L310),$J310)))</f>
      </c>
      <c r="N310" s="43">
        <f>IF($I310=0,0,MIN(SUMIFS(SondBetrag,SondDarl,1,SondDatum,"&gt;="&amp;$E310,SondDatum,"&lt;="&amp;EOMONTH($E310,0)),$J310-$M310))</f>
      </c>
      <c r="O310" s="43">
        <f>IF($I310=0,0,INDEX(DarlErsatzRate,1))</f>
      </c>
      <c r="P310" s="43">
        <f>IF($I310=0,0,$Q309*INDEX(DarlErsatzZins,1))</f>
      </c>
      <c r="Q310" s="43">
        <f>IF($I310=0,0,$Q309+$P310+$O310)</f>
      </c>
      <c r="R310" s="43">
        <f>IF($I310=0,0,$J310-$M310-$N310)</f>
      </c>
    </row>
    <row r="311">
      <c r="A311"/>
      <c r="B311">
        <v>1</v>
      </c>
      <c r="C311" s="43">
        <f>INDEX(DarlObj,1)</f>
      </c>
      <c r="D311">
        <v>308</v>
      </c>
      <c r="E311" s="51">
        <f>IF(INDEX(DarlBelegt,1)=0,0,EOMONTH(INDEX(DarlAuszahlung,1),307)+1)</f>
      </c>
      <c r="F311" s="43">
        <f>IF($E311=0,0,YEAR($E311))</f>
      </c>
      <c r="G311" s="43">
        <f>IF(INDEX(DarlBindung,1)="",1,IF($E311&lt;=INDEX(DarlBindung,1),1,0))</f>
      </c>
      <c r="H311" s="43">
        <f>IF($G311=1,INDEX(DarlSollzins,1),INDEX(DarlAnschluss,1))</f>
      </c>
      <c r="I311" s="43">
        <f>IF(INDEX(DarlBelegt,1)=0,0,IF(INDEX(DarlOhneTilgung,1)=1,IF(INDEX(DarlBindung,1)="",1,$G311),IF($J311&gt;0.005,1,0)))</f>
      </c>
      <c r="J311" s="43">
        <f>IF($I310=0,0,$R310)</f>
      </c>
      <c r="K311" s="43">
        <f>IF($I311=0,0,IF(INDEX(DarlOhneTilgung,1)=1,0,IF(AND(INDEX(DarlTilgStart,1)&gt;0,$E311=INDEX(DarlTilgStart,1)),$J311*($H311+INDEX(DarlTilgung,1))/100/12,IF(AND($G311=0,$G310=1),MAX($K310,$J311*($H311+1)/100/12),$K310))))</f>
      </c>
      <c r="L311" s="43">
        <f>IF($I311=0,0,$J311*$H311/100/12)</f>
      </c>
      <c r="M311" s="43">
        <f>IF($I311=0,0,IF(OR(INDEX(DarlOhneTilgung,1)=1,AND(INDEX(DarlTilgStart,1)&gt;0,$E311&lt;INDEX(DarlTilgStart,1))),0,MIN(MAX(0,$K311-$L311),$J311)))</f>
      </c>
      <c r="N311" s="43">
        <f>IF($I311=0,0,MIN(SUMIFS(SondBetrag,SondDarl,1,SondDatum,"&gt;="&amp;$E311,SondDatum,"&lt;="&amp;EOMONTH($E311,0)),$J311-$M311))</f>
      </c>
      <c r="O311" s="43">
        <f>IF($I311=0,0,INDEX(DarlErsatzRate,1))</f>
      </c>
      <c r="P311" s="43">
        <f>IF($I311=0,0,$Q310*INDEX(DarlErsatzZins,1))</f>
      </c>
      <c r="Q311" s="43">
        <f>IF($I311=0,0,$Q310+$P311+$O311)</f>
      </c>
      <c r="R311" s="43">
        <f>IF($I311=0,0,$J311-$M311-$N311)</f>
      </c>
    </row>
    <row r="312">
      <c r="A312"/>
      <c r="B312">
        <v>1</v>
      </c>
      <c r="C312" s="43">
        <f>INDEX(DarlObj,1)</f>
      </c>
      <c r="D312">
        <v>309</v>
      </c>
      <c r="E312" s="51">
        <f>IF(INDEX(DarlBelegt,1)=0,0,EOMONTH(INDEX(DarlAuszahlung,1),308)+1)</f>
      </c>
      <c r="F312" s="43">
        <f>IF($E312=0,0,YEAR($E312))</f>
      </c>
      <c r="G312" s="43">
        <f>IF(INDEX(DarlBindung,1)="",1,IF($E312&lt;=INDEX(DarlBindung,1),1,0))</f>
      </c>
      <c r="H312" s="43">
        <f>IF($G312=1,INDEX(DarlSollzins,1),INDEX(DarlAnschluss,1))</f>
      </c>
      <c r="I312" s="43">
        <f>IF(INDEX(DarlBelegt,1)=0,0,IF(INDEX(DarlOhneTilgung,1)=1,IF(INDEX(DarlBindung,1)="",1,$G312),IF($J312&gt;0.005,1,0)))</f>
      </c>
      <c r="J312" s="43">
        <f>IF($I311=0,0,$R311)</f>
      </c>
      <c r="K312" s="43">
        <f>IF($I312=0,0,IF(INDEX(DarlOhneTilgung,1)=1,0,IF(AND(INDEX(DarlTilgStart,1)&gt;0,$E312=INDEX(DarlTilgStart,1)),$J312*($H312+INDEX(DarlTilgung,1))/100/12,IF(AND($G312=0,$G311=1),MAX($K311,$J312*($H312+1)/100/12),$K311))))</f>
      </c>
      <c r="L312" s="43">
        <f>IF($I312=0,0,$J312*$H312/100/12)</f>
      </c>
      <c r="M312" s="43">
        <f>IF($I312=0,0,IF(OR(INDEX(DarlOhneTilgung,1)=1,AND(INDEX(DarlTilgStart,1)&gt;0,$E312&lt;INDEX(DarlTilgStart,1))),0,MIN(MAX(0,$K312-$L312),$J312)))</f>
      </c>
      <c r="N312" s="43">
        <f>IF($I312=0,0,MIN(SUMIFS(SondBetrag,SondDarl,1,SondDatum,"&gt;="&amp;$E312,SondDatum,"&lt;="&amp;EOMONTH($E312,0)),$J312-$M312))</f>
      </c>
      <c r="O312" s="43">
        <f>IF($I312=0,0,INDEX(DarlErsatzRate,1))</f>
      </c>
      <c r="P312" s="43">
        <f>IF($I312=0,0,$Q311*INDEX(DarlErsatzZins,1))</f>
      </c>
      <c r="Q312" s="43">
        <f>IF($I312=0,0,$Q311+$P312+$O312)</f>
      </c>
      <c r="R312" s="43">
        <f>IF($I312=0,0,$J312-$M312-$N312)</f>
      </c>
    </row>
    <row r="313">
      <c r="A313"/>
      <c r="B313">
        <v>1</v>
      </c>
      <c r="C313" s="43">
        <f>INDEX(DarlObj,1)</f>
      </c>
      <c r="D313">
        <v>310</v>
      </c>
      <c r="E313" s="51">
        <f>IF(INDEX(DarlBelegt,1)=0,0,EOMONTH(INDEX(DarlAuszahlung,1),309)+1)</f>
      </c>
      <c r="F313" s="43">
        <f>IF($E313=0,0,YEAR($E313))</f>
      </c>
      <c r="G313" s="43">
        <f>IF(INDEX(DarlBindung,1)="",1,IF($E313&lt;=INDEX(DarlBindung,1),1,0))</f>
      </c>
      <c r="H313" s="43">
        <f>IF($G313=1,INDEX(DarlSollzins,1),INDEX(DarlAnschluss,1))</f>
      </c>
      <c r="I313" s="43">
        <f>IF(INDEX(DarlBelegt,1)=0,0,IF(INDEX(DarlOhneTilgung,1)=1,IF(INDEX(DarlBindung,1)="",1,$G313),IF($J313&gt;0.005,1,0)))</f>
      </c>
      <c r="J313" s="43">
        <f>IF($I312=0,0,$R312)</f>
      </c>
      <c r="K313" s="43">
        <f>IF($I313=0,0,IF(INDEX(DarlOhneTilgung,1)=1,0,IF(AND(INDEX(DarlTilgStart,1)&gt;0,$E313=INDEX(DarlTilgStart,1)),$J313*($H313+INDEX(DarlTilgung,1))/100/12,IF(AND($G313=0,$G312=1),MAX($K312,$J313*($H313+1)/100/12),$K312))))</f>
      </c>
      <c r="L313" s="43">
        <f>IF($I313=0,0,$J313*$H313/100/12)</f>
      </c>
      <c r="M313" s="43">
        <f>IF($I313=0,0,IF(OR(INDEX(DarlOhneTilgung,1)=1,AND(INDEX(DarlTilgStart,1)&gt;0,$E313&lt;INDEX(DarlTilgStart,1))),0,MIN(MAX(0,$K313-$L313),$J313)))</f>
      </c>
      <c r="N313" s="43">
        <f>IF($I313=0,0,MIN(SUMIFS(SondBetrag,SondDarl,1,SondDatum,"&gt;="&amp;$E313,SondDatum,"&lt;="&amp;EOMONTH($E313,0)),$J313-$M313))</f>
      </c>
      <c r="O313" s="43">
        <f>IF($I313=0,0,INDEX(DarlErsatzRate,1))</f>
      </c>
      <c r="P313" s="43">
        <f>IF($I313=0,0,$Q312*INDEX(DarlErsatzZins,1))</f>
      </c>
      <c r="Q313" s="43">
        <f>IF($I313=0,0,$Q312+$P313+$O313)</f>
      </c>
      <c r="R313" s="43">
        <f>IF($I313=0,0,$J313-$M313-$N313)</f>
      </c>
    </row>
    <row r="314">
      <c r="A314"/>
      <c r="B314">
        <v>1</v>
      </c>
      <c r="C314" s="43">
        <f>INDEX(DarlObj,1)</f>
      </c>
      <c r="D314">
        <v>311</v>
      </c>
      <c r="E314" s="51">
        <f>IF(INDEX(DarlBelegt,1)=0,0,EOMONTH(INDEX(DarlAuszahlung,1),310)+1)</f>
      </c>
      <c r="F314" s="43">
        <f>IF($E314=0,0,YEAR($E314))</f>
      </c>
      <c r="G314" s="43">
        <f>IF(INDEX(DarlBindung,1)="",1,IF($E314&lt;=INDEX(DarlBindung,1),1,0))</f>
      </c>
      <c r="H314" s="43">
        <f>IF($G314=1,INDEX(DarlSollzins,1),INDEX(DarlAnschluss,1))</f>
      </c>
      <c r="I314" s="43">
        <f>IF(INDEX(DarlBelegt,1)=0,0,IF(INDEX(DarlOhneTilgung,1)=1,IF(INDEX(DarlBindung,1)="",1,$G314),IF($J314&gt;0.005,1,0)))</f>
      </c>
      <c r="J314" s="43">
        <f>IF($I313=0,0,$R313)</f>
      </c>
      <c r="K314" s="43">
        <f>IF($I314=0,0,IF(INDEX(DarlOhneTilgung,1)=1,0,IF(AND(INDEX(DarlTilgStart,1)&gt;0,$E314=INDEX(DarlTilgStart,1)),$J314*($H314+INDEX(DarlTilgung,1))/100/12,IF(AND($G314=0,$G313=1),MAX($K313,$J314*($H314+1)/100/12),$K313))))</f>
      </c>
      <c r="L314" s="43">
        <f>IF($I314=0,0,$J314*$H314/100/12)</f>
      </c>
      <c r="M314" s="43">
        <f>IF($I314=0,0,IF(OR(INDEX(DarlOhneTilgung,1)=1,AND(INDEX(DarlTilgStart,1)&gt;0,$E314&lt;INDEX(DarlTilgStart,1))),0,MIN(MAX(0,$K314-$L314),$J314)))</f>
      </c>
      <c r="N314" s="43">
        <f>IF($I314=0,0,MIN(SUMIFS(SondBetrag,SondDarl,1,SondDatum,"&gt;="&amp;$E314,SondDatum,"&lt;="&amp;EOMONTH($E314,0)),$J314-$M314))</f>
      </c>
      <c r="O314" s="43">
        <f>IF($I314=0,0,INDEX(DarlErsatzRate,1))</f>
      </c>
      <c r="P314" s="43">
        <f>IF($I314=0,0,$Q313*INDEX(DarlErsatzZins,1))</f>
      </c>
      <c r="Q314" s="43">
        <f>IF($I314=0,0,$Q313+$P314+$O314)</f>
      </c>
      <c r="R314" s="43">
        <f>IF($I314=0,0,$J314-$M314-$N314)</f>
      </c>
    </row>
    <row r="315">
      <c r="A315"/>
      <c r="B315">
        <v>1</v>
      </c>
      <c r="C315" s="43">
        <f>INDEX(DarlObj,1)</f>
      </c>
      <c r="D315">
        <v>312</v>
      </c>
      <c r="E315" s="51">
        <f>IF(INDEX(DarlBelegt,1)=0,0,EOMONTH(INDEX(DarlAuszahlung,1),311)+1)</f>
      </c>
      <c r="F315" s="43">
        <f>IF($E315=0,0,YEAR($E315))</f>
      </c>
      <c r="G315" s="43">
        <f>IF(INDEX(DarlBindung,1)="",1,IF($E315&lt;=INDEX(DarlBindung,1),1,0))</f>
      </c>
      <c r="H315" s="43">
        <f>IF($G315=1,INDEX(DarlSollzins,1),INDEX(DarlAnschluss,1))</f>
      </c>
      <c r="I315" s="43">
        <f>IF(INDEX(DarlBelegt,1)=0,0,IF(INDEX(DarlOhneTilgung,1)=1,IF(INDEX(DarlBindung,1)="",1,$G315),IF($J315&gt;0.005,1,0)))</f>
      </c>
      <c r="J315" s="43">
        <f>IF($I314=0,0,$R314)</f>
      </c>
      <c r="K315" s="43">
        <f>IF($I315=0,0,IF(INDEX(DarlOhneTilgung,1)=1,0,IF(AND(INDEX(DarlTilgStart,1)&gt;0,$E315=INDEX(DarlTilgStart,1)),$J315*($H315+INDEX(DarlTilgung,1))/100/12,IF(AND($G315=0,$G314=1),MAX($K314,$J315*($H315+1)/100/12),$K314))))</f>
      </c>
      <c r="L315" s="43">
        <f>IF($I315=0,0,$J315*$H315/100/12)</f>
      </c>
      <c r="M315" s="43">
        <f>IF($I315=0,0,IF(OR(INDEX(DarlOhneTilgung,1)=1,AND(INDEX(DarlTilgStart,1)&gt;0,$E315&lt;INDEX(DarlTilgStart,1))),0,MIN(MAX(0,$K315-$L315),$J315)))</f>
      </c>
      <c r="N315" s="43">
        <f>IF($I315=0,0,MIN(SUMIFS(SondBetrag,SondDarl,1,SondDatum,"&gt;="&amp;$E315,SondDatum,"&lt;="&amp;EOMONTH($E315,0)),$J315-$M315))</f>
      </c>
      <c r="O315" s="43">
        <f>IF($I315=0,0,INDEX(DarlErsatzRate,1))</f>
      </c>
      <c r="P315" s="43">
        <f>IF($I315=0,0,$Q314*INDEX(DarlErsatzZins,1))</f>
      </c>
      <c r="Q315" s="43">
        <f>IF($I315=0,0,$Q314+$P315+$O315)</f>
      </c>
      <c r="R315" s="43">
        <f>IF($I315=0,0,$J315-$M315-$N315)</f>
      </c>
    </row>
    <row r="316">
      <c r="A316"/>
      <c r="B316">
        <v>1</v>
      </c>
      <c r="C316" s="43">
        <f>INDEX(DarlObj,1)</f>
      </c>
      <c r="D316">
        <v>313</v>
      </c>
      <c r="E316" s="51">
        <f>IF(INDEX(DarlBelegt,1)=0,0,EOMONTH(INDEX(DarlAuszahlung,1),312)+1)</f>
      </c>
      <c r="F316" s="43">
        <f>IF($E316=0,0,YEAR($E316))</f>
      </c>
      <c r="G316" s="43">
        <f>IF(INDEX(DarlBindung,1)="",1,IF($E316&lt;=INDEX(DarlBindung,1),1,0))</f>
      </c>
      <c r="H316" s="43">
        <f>IF($G316=1,INDEX(DarlSollzins,1),INDEX(DarlAnschluss,1))</f>
      </c>
      <c r="I316" s="43">
        <f>IF(INDEX(DarlBelegt,1)=0,0,IF(INDEX(DarlOhneTilgung,1)=1,IF(INDEX(DarlBindung,1)="",1,$G316),IF($J316&gt;0.005,1,0)))</f>
      </c>
      <c r="J316" s="43">
        <f>IF($I315=0,0,$R315)</f>
      </c>
      <c r="K316" s="43">
        <f>IF($I316=0,0,IF(INDEX(DarlOhneTilgung,1)=1,0,IF(AND(INDEX(DarlTilgStart,1)&gt;0,$E316=INDEX(DarlTilgStart,1)),$J316*($H316+INDEX(DarlTilgung,1))/100/12,IF(AND($G316=0,$G315=1),MAX($K315,$J316*($H316+1)/100/12),$K315))))</f>
      </c>
      <c r="L316" s="43">
        <f>IF($I316=0,0,$J316*$H316/100/12)</f>
      </c>
      <c r="M316" s="43">
        <f>IF($I316=0,0,IF(OR(INDEX(DarlOhneTilgung,1)=1,AND(INDEX(DarlTilgStart,1)&gt;0,$E316&lt;INDEX(DarlTilgStart,1))),0,MIN(MAX(0,$K316-$L316),$J316)))</f>
      </c>
      <c r="N316" s="43">
        <f>IF($I316=0,0,MIN(SUMIFS(SondBetrag,SondDarl,1,SondDatum,"&gt;="&amp;$E316,SondDatum,"&lt;="&amp;EOMONTH($E316,0)),$J316-$M316))</f>
      </c>
      <c r="O316" s="43">
        <f>IF($I316=0,0,INDEX(DarlErsatzRate,1))</f>
      </c>
      <c r="P316" s="43">
        <f>IF($I316=0,0,$Q315*INDEX(DarlErsatzZins,1))</f>
      </c>
      <c r="Q316" s="43">
        <f>IF($I316=0,0,$Q315+$P316+$O316)</f>
      </c>
      <c r="R316" s="43">
        <f>IF($I316=0,0,$J316-$M316-$N316)</f>
      </c>
    </row>
    <row r="317">
      <c r="A317"/>
      <c r="B317">
        <v>1</v>
      </c>
      <c r="C317" s="43">
        <f>INDEX(DarlObj,1)</f>
      </c>
      <c r="D317">
        <v>314</v>
      </c>
      <c r="E317" s="51">
        <f>IF(INDEX(DarlBelegt,1)=0,0,EOMONTH(INDEX(DarlAuszahlung,1),313)+1)</f>
      </c>
      <c r="F317" s="43">
        <f>IF($E317=0,0,YEAR($E317))</f>
      </c>
      <c r="G317" s="43">
        <f>IF(INDEX(DarlBindung,1)="",1,IF($E317&lt;=INDEX(DarlBindung,1),1,0))</f>
      </c>
      <c r="H317" s="43">
        <f>IF($G317=1,INDEX(DarlSollzins,1),INDEX(DarlAnschluss,1))</f>
      </c>
      <c r="I317" s="43">
        <f>IF(INDEX(DarlBelegt,1)=0,0,IF(INDEX(DarlOhneTilgung,1)=1,IF(INDEX(DarlBindung,1)="",1,$G317),IF($J317&gt;0.005,1,0)))</f>
      </c>
      <c r="J317" s="43">
        <f>IF($I316=0,0,$R316)</f>
      </c>
      <c r="K317" s="43">
        <f>IF($I317=0,0,IF(INDEX(DarlOhneTilgung,1)=1,0,IF(AND(INDEX(DarlTilgStart,1)&gt;0,$E317=INDEX(DarlTilgStart,1)),$J317*($H317+INDEX(DarlTilgung,1))/100/12,IF(AND($G317=0,$G316=1),MAX($K316,$J317*($H317+1)/100/12),$K316))))</f>
      </c>
      <c r="L317" s="43">
        <f>IF($I317=0,0,$J317*$H317/100/12)</f>
      </c>
      <c r="M317" s="43">
        <f>IF($I317=0,0,IF(OR(INDEX(DarlOhneTilgung,1)=1,AND(INDEX(DarlTilgStart,1)&gt;0,$E317&lt;INDEX(DarlTilgStart,1))),0,MIN(MAX(0,$K317-$L317),$J317)))</f>
      </c>
      <c r="N317" s="43">
        <f>IF($I317=0,0,MIN(SUMIFS(SondBetrag,SondDarl,1,SondDatum,"&gt;="&amp;$E317,SondDatum,"&lt;="&amp;EOMONTH($E317,0)),$J317-$M317))</f>
      </c>
      <c r="O317" s="43">
        <f>IF($I317=0,0,INDEX(DarlErsatzRate,1))</f>
      </c>
      <c r="P317" s="43">
        <f>IF($I317=0,0,$Q316*INDEX(DarlErsatzZins,1))</f>
      </c>
      <c r="Q317" s="43">
        <f>IF($I317=0,0,$Q316+$P317+$O317)</f>
      </c>
      <c r="R317" s="43">
        <f>IF($I317=0,0,$J317-$M317-$N317)</f>
      </c>
    </row>
    <row r="318">
      <c r="A318"/>
      <c r="B318">
        <v>1</v>
      </c>
      <c r="C318" s="43">
        <f>INDEX(DarlObj,1)</f>
      </c>
      <c r="D318">
        <v>315</v>
      </c>
      <c r="E318" s="51">
        <f>IF(INDEX(DarlBelegt,1)=0,0,EOMONTH(INDEX(DarlAuszahlung,1),314)+1)</f>
      </c>
      <c r="F318" s="43">
        <f>IF($E318=0,0,YEAR($E318))</f>
      </c>
      <c r="G318" s="43">
        <f>IF(INDEX(DarlBindung,1)="",1,IF($E318&lt;=INDEX(DarlBindung,1),1,0))</f>
      </c>
      <c r="H318" s="43">
        <f>IF($G318=1,INDEX(DarlSollzins,1),INDEX(DarlAnschluss,1))</f>
      </c>
      <c r="I318" s="43">
        <f>IF(INDEX(DarlBelegt,1)=0,0,IF(INDEX(DarlOhneTilgung,1)=1,IF(INDEX(DarlBindung,1)="",1,$G318),IF($J318&gt;0.005,1,0)))</f>
      </c>
      <c r="J318" s="43">
        <f>IF($I317=0,0,$R317)</f>
      </c>
      <c r="K318" s="43">
        <f>IF($I318=0,0,IF(INDEX(DarlOhneTilgung,1)=1,0,IF(AND(INDEX(DarlTilgStart,1)&gt;0,$E318=INDEX(DarlTilgStart,1)),$J318*($H318+INDEX(DarlTilgung,1))/100/12,IF(AND($G318=0,$G317=1),MAX($K317,$J318*($H318+1)/100/12),$K317))))</f>
      </c>
      <c r="L318" s="43">
        <f>IF($I318=0,0,$J318*$H318/100/12)</f>
      </c>
      <c r="M318" s="43">
        <f>IF($I318=0,0,IF(OR(INDEX(DarlOhneTilgung,1)=1,AND(INDEX(DarlTilgStart,1)&gt;0,$E318&lt;INDEX(DarlTilgStart,1))),0,MIN(MAX(0,$K318-$L318),$J318)))</f>
      </c>
      <c r="N318" s="43">
        <f>IF($I318=0,0,MIN(SUMIFS(SondBetrag,SondDarl,1,SondDatum,"&gt;="&amp;$E318,SondDatum,"&lt;="&amp;EOMONTH($E318,0)),$J318-$M318))</f>
      </c>
      <c r="O318" s="43">
        <f>IF($I318=0,0,INDEX(DarlErsatzRate,1))</f>
      </c>
      <c r="P318" s="43">
        <f>IF($I318=0,0,$Q317*INDEX(DarlErsatzZins,1))</f>
      </c>
      <c r="Q318" s="43">
        <f>IF($I318=0,0,$Q317+$P318+$O318)</f>
      </c>
      <c r="R318" s="43">
        <f>IF($I318=0,0,$J318-$M318-$N318)</f>
      </c>
    </row>
    <row r="319">
      <c r="A319"/>
      <c r="B319">
        <v>1</v>
      </c>
      <c r="C319" s="43">
        <f>INDEX(DarlObj,1)</f>
      </c>
      <c r="D319">
        <v>316</v>
      </c>
      <c r="E319" s="51">
        <f>IF(INDEX(DarlBelegt,1)=0,0,EOMONTH(INDEX(DarlAuszahlung,1),315)+1)</f>
      </c>
      <c r="F319" s="43">
        <f>IF($E319=0,0,YEAR($E319))</f>
      </c>
      <c r="G319" s="43">
        <f>IF(INDEX(DarlBindung,1)="",1,IF($E319&lt;=INDEX(DarlBindung,1),1,0))</f>
      </c>
      <c r="H319" s="43">
        <f>IF($G319=1,INDEX(DarlSollzins,1),INDEX(DarlAnschluss,1))</f>
      </c>
      <c r="I319" s="43">
        <f>IF(INDEX(DarlBelegt,1)=0,0,IF(INDEX(DarlOhneTilgung,1)=1,IF(INDEX(DarlBindung,1)="",1,$G319),IF($J319&gt;0.005,1,0)))</f>
      </c>
      <c r="J319" s="43">
        <f>IF($I318=0,0,$R318)</f>
      </c>
      <c r="K319" s="43">
        <f>IF($I319=0,0,IF(INDEX(DarlOhneTilgung,1)=1,0,IF(AND(INDEX(DarlTilgStart,1)&gt;0,$E319=INDEX(DarlTilgStart,1)),$J319*($H319+INDEX(DarlTilgung,1))/100/12,IF(AND($G319=0,$G318=1),MAX($K318,$J319*($H319+1)/100/12),$K318))))</f>
      </c>
      <c r="L319" s="43">
        <f>IF($I319=0,0,$J319*$H319/100/12)</f>
      </c>
      <c r="M319" s="43">
        <f>IF($I319=0,0,IF(OR(INDEX(DarlOhneTilgung,1)=1,AND(INDEX(DarlTilgStart,1)&gt;0,$E319&lt;INDEX(DarlTilgStart,1))),0,MIN(MAX(0,$K319-$L319),$J319)))</f>
      </c>
      <c r="N319" s="43">
        <f>IF($I319=0,0,MIN(SUMIFS(SondBetrag,SondDarl,1,SondDatum,"&gt;="&amp;$E319,SondDatum,"&lt;="&amp;EOMONTH($E319,0)),$J319-$M319))</f>
      </c>
      <c r="O319" s="43">
        <f>IF($I319=0,0,INDEX(DarlErsatzRate,1))</f>
      </c>
      <c r="P319" s="43">
        <f>IF($I319=0,0,$Q318*INDEX(DarlErsatzZins,1))</f>
      </c>
      <c r="Q319" s="43">
        <f>IF($I319=0,0,$Q318+$P319+$O319)</f>
      </c>
      <c r="R319" s="43">
        <f>IF($I319=0,0,$J319-$M319-$N319)</f>
      </c>
    </row>
    <row r="320">
      <c r="A320"/>
      <c r="B320">
        <v>1</v>
      </c>
      <c r="C320" s="43">
        <f>INDEX(DarlObj,1)</f>
      </c>
      <c r="D320">
        <v>317</v>
      </c>
      <c r="E320" s="51">
        <f>IF(INDEX(DarlBelegt,1)=0,0,EOMONTH(INDEX(DarlAuszahlung,1),316)+1)</f>
      </c>
      <c r="F320" s="43">
        <f>IF($E320=0,0,YEAR($E320))</f>
      </c>
      <c r="G320" s="43">
        <f>IF(INDEX(DarlBindung,1)="",1,IF($E320&lt;=INDEX(DarlBindung,1),1,0))</f>
      </c>
      <c r="H320" s="43">
        <f>IF($G320=1,INDEX(DarlSollzins,1),INDEX(DarlAnschluss,1))</f>
      </c>
      <c r="I320" s="43">
        <f>IF(INDEX(DarlBelegt,1)=0,0,IF(INDEX(DarlOhneTilgung,1)=1,IF(INDEX(DarlBindung,1)="",1,$G320),IF($J320&gt;0.005,1,0)))</f>
      </c>
      <c r="J320" s="43">
        <f>IF($I319=0,0,$R319)</f>
      </c>
      <c r="K320" s="43">
        <f>IF($I320=0,0,IF(INDEX(DarlOhneTilgung,1)=1,0,IF(AND(INDEX(DarlTilgStart,1)&gt;0,$E320=INDEX(DarlTilgStart,1)),$J320*($H320+INDEX(DarlTilgung,1))/100/12,IF(AND($G320=0,$G319=1),MAX($K319,$J320*($H320+1)/100/12),$K319))))</f>
      </c>
      <c r="L320" s="43">
        <f>IF($I320=0,0,$J320*$H320/100/12)</f>
      </c>
      <c r="M320" s="43">
        <f>IF($I320=0,0,IF(OR(INDEX(DarlOhneTilgung,1)=1,AND(INDEX(DarlTilgStart,1)&gt;0,$E320&lt;INDEX(DarlTilgStart,1))),0,MIN(MAX(0,$K320-$L320),$J320)))</f>
      </c>
      <c r="N320" s="43">
        <f>IF($I320=0,0,MIN(SUMIFS(SondBetrag,SondDarl,1,SondDatum,"&gt;="&amp;$E320,SondDatum,"&lt;="&amp;EOMONTH($E320,0)),$J320-$M320))</f>
      </c>
      <c r="O320" s="43">
        <f>IF($I320=0,0,INDEX(DarlErsatzRate,1))</f>
      </c>
      <c r="P320" s="43">
        <f>IF($I320=0,0,$Q319*INDEX(DarlErsatzZins,1))</f>
      </c>
      <c r="Q320" s="43">
        <f>IF($I320=0,0,$Q319+$P320+$O320)</f>
      </c>
      <c r="R320" s="43">
        <f>IF($I320=0,0,$J320-$M320-$N320)</f>
      </c>
    </row>
    <row r="321">
      <c r="A321"/>
      <c r="B321">
        <v>1</v>
      </c>
      <c r="C321" s="43">
        <f>INDEX(DarlObj,1)</f>
      </c>
      <c r="D321">
        <v>318</v>
      </c>
      <c r="E321" s="51">
        <f>IF(INDEX(DarlBelegt,1)=0,0,EOMONTH(INDEX(DarlAuszahlung,1),317)+1)</f>
      </c>
      <c r="F321" s="43">
        <f>IF($E321=0,0,YEAR($E321))</f>
      </c>
      <c r="G321" s="43">
        <f>IF(INDEX(DarlBindung,1)="",1,IF($E321&lt;=INDEX(DarlBindung,1),1,0))</f>
      </c>
      <c r="H321" s="43">
        <f>IF($G321=1,INDEX(DarlSollzins,1),INDEX(DarlAnschluss,1))</f>
      </c>
      <c r="I321" s="43">
        <f>IF(INDEX(DarlBelegt,1)=0,0,IF(INDEX(DarlOhneTilgung,1)=1,IF(INDEX(DarlBindung,1)="",1,$G321),IF($J321&gt;0.005,1,0)))</f>
      </c>
      <c r="J321" s="43">
        <f>IF($I320=0,0,$R320)</f>
      </c>
      <c r="K321" s="43">
        <f>IF($I321=0,0,IF(INDEX(DarlOhneTilgung,1)=1,0,IF(AND(INDEX(DarlTilgStart,1)&gt;0,$E321=INDEX(DarlTilgStart,1)),$J321*($H321+INDEX(DarlTilgung,1))/100/12,IF(AND($G321=0,$G320=1),MAX($K320,$J321*($H321+1)/100/12),$K320))))</f>
      </c>
      <c r="L321" s="43">
        <f>IF($I321=0,0,$J321*$H321/100/12)</f>
      </c>
      <c r="M321" s="43">
        <f>IF($I321=0,0,IF(OR(INDEX(DarlOhneTilgung,1)=1,AND(INDEX(DarlTilgStart,1)&gt;0,$E321&lt;INDEX(DarlTilgStart,1))),0,MIN(MAX(0,$K321-$L321),$J321)))</f>
      </c>
      <c r="N321" s="43">
        <f>IF($I321=0,0,MIN(SUMIFS(SondBetrag,SondDarl,1,SondDatum,"&gt;="&amp;$E321,SondDatum,"&lt;="&amp;EOMONTH($E321,0)),$J321-$M321))</f>
      </c>
      <c r="O321" s="43">
        <f>IF($I321=0,0,INDEX(DarlErsatzRate,1))</f>
      </c>
      <c r="P321" s="43">
        <f>IF($I321=0,0,$Q320*INDEX(DarlErsatzZins,1))</f>
      </c>
      <c r="Q321" s="43">
        <f>IF($I321=0,0,$Q320+$P321+$O321)</f>
      </c>
      <c r="R321" s="43">
        <f>IF($I321=0,0,$J321-$M321-$N321)</f>
      </c>
    </row>
    <row r="322">
      <c r="A322"/>
      <c r="B322">
        <v>1</v>
      </c>
      <c r="C322" s="43">
        <f>INDEX(DarlObj,1)</f>
      </c>
      <c r="D322">
        <v>319</v>
      </c>
      <c r="E322" s="51">
        <f>IF(INDEX(DarlBelegt,1)=0,0,EOMONTH(INDEX(DarlAuszahlung,1),318)+1)</f>
      </c>
      <c r="F322" s="43">
        <f>IF($E322=0,0,YEAR($E322))</f>
      </c>
      <c r="G322" s="43">
        <f>IF(INDEX(DarlBindung,1)="",1,IF($E322&lt;=INDEX(DarlBindung,1),1,0))</f>
      </c>
      <c r="H322" s="43">
        <f>IF($G322=1,INDEX(DarlSollzins,1),INDEX(DarlAnschluss,1))</f>
      </c>
      <c r="I322" s="43">
        <f>IF(INDEX(DarlBelegt,1)=0,0,IF(INDEX(DarlOhneTilgung,1)=1,IF(INDEX(DarlBindung,1)="",1,$G322),IF($J322&gt;0.005,1,0)))</f>
      </c>
      <c r="J322" s="43">
        <f>IF($I321=0,0,$R321)</f>
      </c>
      <c r="K322" s="43">
        <f>IF($I322=0,0,IF(INDEX(DarlOhneTilgung,1)=1,0,IF(AND(INDEX(DarlTilgStart,1)&gt;0,$E322=INDEX(DarlTilgStart,1)),$J322*($H322+INDEX(DarlTilgung,1))/100/12,IF(AND($G322=0,$G321=1),MAX($K321,$J322*($H322+1)/100/12),$K321))))</f>
      </c>
      <c r="L322" s="43">
        <f>IF($I322=0,0,$J322*$H322/100/12)</f>
      </c>
      <c r="M322" s="43">
        <f>IF($I322=0,0,IF(OR(INDEX(DarlOhneTilgung,1)=1,AND(INDEX(DarlTilgStart,1)&gt;0,$E322&lt;INDEX(DarlTilgStart,1))),0,MIN(MAX(0,$K322-$L322),$J322)))</f>
      </c>
      <c r="N322" s="43">
        <f>IF($I322=0,0,MIN(SUMIFS(SondBetrag,SondDarl,1,SondDatum,"&gt;="&amp;$E322,SondDatum,"&lt;="&amp;EOMONTH($E322,0)),$J322-$M322))</f>
      </c>
      <c r="O322" s="43">
        <f>IF($I322=0,0,INDEX(DarlErsatzRate,1))</f>
      </c>
      <c r="P322" s="43">
        <f>IF($I322=0,0,$Q321*INDEX(DarlErsatzZins,1))</f>
      </c>
      <c r="Q322" s="43">
        <f>IF($I322=0,0,$Q321+$P322+$O322)</f>
      </c>
      <c r="R322" s="43">
        <f>IF($I322=0,0,$J322-$M322-$N322)</f>
      </c>
    </row>
    <row r="323">
      <c r="A323"/>
      <c r="B323">
        <v>1</v>
      </c>
      <c r="C323" s="43">
        <f>INDEX(DarlObj,1)</f>
      </c>
      <c r="D323">
        <v>320</v>
      </c>
      <c r="E323" s="51">
        <f>IF(INDEX(DarlBelegt,1)=0,0,EOMONTH(INDEX(DarlAuszahlung,1),319)+1)</f>
      </c>
      <c r="F323" s="43">
        <f>IF($E323=0,0,YEAR($E323))</f>
      </c>
      <c r="G323" s="43">
        <f>IF(INDEX(DarlBindung,1)="",1,IF($E323&lt;=INDEX(DarlBindung,1),1,0))</f>
      </c>
      <c r="H323" s="43">
        <f>IF($G323=1,INDEX(DarlSollzins,1),INDEX(DarlAnschluss,1))</f>
      </c>
      <c r="I323" s="43">
        <f>IF(INDEX(DarlBelegt,1)=0,0,IF(INDEX(DarlOhneTilgung,1)=1,IF(INDEX(DarlBindung,1)="",1,$G323),IF($J323&gt;0.005,1,0)))</f>
      </c>
      <c r="J323" s="43">
        <f>IF($I322=0,0,$R322)</f>
      </c>
      <c r="K323" s="43">
        <f>IF($I323=0,0,IF(INDEX(DarlOhneTilgung,1)=1,0,IF(AND(INDEX(DarlTilgStart,1)&gt;0,$E323=INDEX(DarlTilgStart,1)),$J323*($H323+INDEX(DarlTilgung,1))/100/12,IF(AND($G323=0,$G322=1),MAX($K322,$J323*($H323+1)/100/12),$K322))))</f>
      </c>
      <c r="L323" s="43">
        <f>IF($I323=0,0,$J323*$H323/100/12)</f>
      </c>
      <c r="M323" s="43">
        <f>IF($I323=0,0,IF(OR(INDEX(DarlOhneTilgung,1)=1,AND(INDEX(DarlTilgStart,1)&gt;0,$E323&lt;INDEX(DarlTilgStart,1))),0,MIN(MAX(0,$K323-$L323),$J323)))</f>
      </c>
      <c r="N323" s="43">
        <f>IF($I323=0,0,MIN(SUMIFS(SondBetrag,SondDarl,1,SondDatum,"&gt;="&amp;$E323,SondDatum,"&lt;="&amp;EOMONTH($E323,0)),$J323-$M323))</f>
      </c>
      <c r="O323" s="43">
        <f>IF($I323=0,0,INDEX(DarlErsatzRate,1))</f>
      </c>
      <c r="P323" s="43">
        <f>IF($I323=0,0,$Q322*INDEX(DarlErsatzZins,1))</f>
      </c>
      <c r="Q323" s="43">
        <f>IF($I323=0,0,$Q322+$P323+$O323)</f>
      </c>
      <c r="R323" s="43">
        <f>IF($I323=0,0,$J323-$M323-$N323)</f>
      </c>
    </row>
    <row r="324">
      <c r="A324"/>
      <c r="B324">
        <v>1</v>
      </c>
      <c r="C324" s="43">
        <f>INDEX(DarlObj,1)</f>
      </c>
      <c r="D324">
        <v>321</v>
      </c>
      <c r="E324" s="51">
        <f>IF(INDEX(DarlBelegt,1)=0,0,EOMONTH(INDEX(DarlAuszahlung,1),320)+1)</f>
      </c>
      <c r="F324" s="43">
        <f>IF($E324=0,0,YEAR($E324))</f>
      </c>
      <c r="G324" s="43">
        <f>IF(INDEX(DarlBindung,1)="",1,IF($E324&lt;=INDEX(DarlBindung,1),1,0))</f>
      </c>
      <c r="H324" s="43">
        <f>IF($G324=1,INDEX(DarlSollzins,1),INDEX(DarlAnschluss,1))</f>
      </c>
      <c r="I324" s="43">
        <f>IF(INDEX(DarlBelegt,1)=0,0,IF(INDEX(DarlOhneTilgung,1)=1,IF(INDEX(DarlBindung,1)="",1,$G324),IF($J324&gt;0.005,1,0)))</f>
      </c>
      <c r="J324" s="43">
        <f>IF($I323=0,0,$R323)</f>
      </c>
      <c r="K324" s="43">
        <f>IF($I324=0,0,IF(INDEX(DarlOhneTilgung,1)=1,0,IF(AND(INDEX(DarlTilgStart,1)&gt;0,$E324=INDEX(DarlTilgStart,1)),$J324*($H324+INDEX(DarlTilgung,1))/100/12,IF(AND($G324=0,$G323=1),MAX($K323,$J324*($H324+1)/100/12),$K323))))</f>
      </c>
      <c r="L324" s="43">
        <f>IF($I324=0,0,$J324*$H324/100/12)</f>
      </c>
      <c r="M324" s="43">
        <f>IF($I324=0,0,IF(OR(INDEX(DarlOhneTilgung,1)=1,AND(INDEX(DarlTilgStart,1)&gt;0,$E324&lt;INDEX(DarlTilgStart,1))),0,MIN(MAX(0,$K324-$L324),$J324)))</f>
      </c>
      <c r="N324" s="43">
        <f>IF($I324=0,0,MIN(SUMIFS(SondBetrag,SondDarl,1,SondDatum,"&gt;="&amp;$E324,SondDatum,"&lt;="&amp;EOMONTH($E324,0)),$J324-$M324))</f>
      </c>
      <c r="O324" s="43">
        <f>IF($I324=0,0,INDEX(DarlErsatzRate,1))</f>
      </c>
      <c r="P324" s="43">
        <f>IF($I324=0,0,$Q323*INDEX(DarlErsatzZins,1))</f>
      </c>
      <c r="Q324" s="43">
        <f>IF($I324=0,0,$Q323+$P324+$O324)</f>
      </c>
      <c r="R324" s="43">
        <f>IF($I324=0,0,$J324-$M324-$N324)</f>
      </c>
    </row>
    <row r="325">
      <c r="A325"/>
      <c r="B325">
        <v>1</v>
      </c>
      <c r="C325" s="43">
        <f>INDEX(DarlObj,1)</f>
      </c>
      <c r="D325">
        <v>322</v>
      </c>
      <c r="E325" s="51">
        <f>IF(INDEX(DarlBelegt,1)=0,0,EOMONTH(INDEX(DarlAuszahlung,1),321)+1)</f>
      </c>
      <c r="F325" s="43">
        <f>IF($E325=0,0,YEAR($E325))</f>
      </c>
      <c r="G325" s="43">
        <f>IF(INDEX(DarlBindung,1)="",1,IF($E325&lt;=INDEX(DarlBindung,1),1,0))</f>
      </c>
      <c r="H325" s="43">
        <f>IF($G325=1,INDEX(DarlSollzins,1),INDEX(DarlAnschluss,1))</f>
      </c>
      <c r="I325" s="43">
        <f>IF(INDEX(DarlBelegt,1)=0,0,IF(INDEX(DarlOhneTilgung,1)=1,IF(INDEX(DarlBindung,1)="",1,$G325),IF($J325&gt;0.005,1,0)))</f>
      </c>
      <c r="J325" s="43">
        <f>IF($I324=0,0,$R324)</f>
      </c>
      <c r="K325" s="43">
        <f>IF($I325=0,0,IF(INDEX(DarlOhneTilgung,1)=1,0,IF(AND(INDEX(DarlTilgStart,1)&gt;0,$E325=INDEX(DarlTilgStart,1)),$J325*($H325+INDEX(DarlTilgung,1))/100/12,IF(AND($G325=0,$G324=1),MAX($K324,$J325*($H325+1)/100/12),$K324))))</f>
      </c>
      <c r="L325" s="43">
        <f>IF($I325=0,0,$J325*$H325/100/12)</f>
      </c>
      <c r="M325" s="43">
        <f>IF($I325=0,0,IF(OR(INDEX(DarlOhneTilgung,1)=1,AND(INDEX(DarlTilgStart,1)&gt;0,$E325&lt;INDEX(DarlTilgStart,1))),0,MIN(MAX(0,$K325-$L325),$J325)))</f>
      </c>
      <c r="N325" s="43">
        <f>IF($I325=0,0,MIN(SUMIFS(SondBetrag,SondDarl,1,SondDatum,"&gt;="&amp;$E325,SondDatum,"&lt;="&amp;EOMONTH($E325,0)),$J325-$M325))</f>
      </c>
      <c r="O325" s="43">
        <f>IF($I325=0,0,INDEX(DarlErsatzRate,1))</f>
      </c>
      <c r="P325" s="43">
        <f>IF($I325=0,0,$Q324*INDEX(DarlErsatzZins,1))</f>
      </c>
      <c r="Q325" s="43">
        <f>IF($I325=0,0,$Q324+$P325+$O325)</f>
      </c>
      <c r="R325" s="43">
        <f>IF($I325=0,0,$J325-$M325-$N325)</f>
      </c>
    </row>
    <row r="326">
      <c r="A326"/>
      <c r="B326">
        <v>1</v>
      </c>
      <c r="C326" s="43">
        <f>INDEX(DarlObj,1)</f>
      </c>
      <c r="D326">
        <v>323</v>
      </c>
      <c r="E326" s="51">
        <f>IF(INDEX(DarlBelegt,1)=0,0,EOMONTH(INDEX(DarlAuszahlung,1),322)+1)</f>
      </c>
      <c r="F326" s="43">
        <f>IF($E326=0,0,YEAR($E326))</f>
      </c>
      <c r="G326" s="43">
        <f>IF(INDEX(DarlBindung,1)="",1,IF($E326&lt;=INDEX(DarlBindung,1),1,0))</f>
      </c>
      <c r="H326" s="43">
        <f>IF($G326=1,INDEX(DarlSollzins,1),INDEX(DarlAnschluss,1))</f>
      </c>
      <c r="I326" s="43">
        <f>IF(INDEX(DarlBelegt,1)=0,0,IF(INDEX(DarlOhneTilgung,1)=1,IF(INDEX(DarlBindung,1)="",1,$G326),IF($J326&gt;0.005,1,0)))</f>
      </c>
      <c r="J326" s="43">
        <f>IF($I325=0,0,$R325)</f>
      </c>
      <c r="K326" s="43">
        <f>IF($I326=0,0,IF(INDEX(DarlOhneTilgung,1)=1,0,IF(AND(INDEX(DarlTilgStart,1)&gt;0,$E326=INDEX(DarlTilgStart,1)),$J326*($H326+INDEX(DarlTilgung,1))/100/12,IF(AND($G326=0,$G325=1),MAX($K325,$J326*($H326+1)/100/12),$K325))))</f>
      </c>
      <c r="L326" s="43">
        <f>IF($I326=0,0,$J326*$H326/100/12)</f>
      </c>
      <c r="M326" s="43">
        <f>IF($I326=0,0,IF(OR(INDEX(DarlOhneTilgung,1)=1,AND(INDEX(DarlTilgStart,1)&gt;0,$E326&lt;INDEX(DarlTilgStart,1))),0,MIN(MAX(0,$K326-$L326),$J326)))</f>
      </c>
      <c r="N326" s="43">
        <f>IF($I326=0,0,MIN(SUMIFS(SondBetrag,SondDarl,1,SondDatum,"&gt;="&amp;$E326,SondDatum,"&lt;="&amp;EOMONTH($E326,0)),$J326-$M326))</f>
      </c>
      <c r="O326" s="43">
        <f>IF($I326=0,0,INDEX(DarlErsatzRate,1))</f>
      </c>
      <c r="P326" s="43">
        <f>IF($I326=0,0,$Q325*INDEX(DarlErsatzZins,1))</f>
      </c>
      <c r="Q326" s="43">
        <f>IF($I326=0,0,$Q325+$P326+$O326)</f>
      </c>
      <c r="R326" s="43">
        <f>IF($I326=0,0,$J326-$M326-$N326)</f>
      </c>
    </row>
    <row r="327">
      <c r="A327"/>
      <c r="B327">
        <v>1</v>
      </c>
      <c r="C327" s="43">
        <f>INDEX(DarlObj,1)</f>
      </c>
      <c r="D327">
        <v>324</v>
      </c>
      <c r="E327" s="51">
        <f>IF(INDEX(DarlBelegt,1)=0,0,EOMONTH(INDEX(DarlAuszahlung,1),323)+1)</f>
      </c>
      <c r="F327" s="43">
        <f>IF($E327=0,0,YEAR($E327))</f>
      </c>
      <c r="G327" s="43">
        <f>IF(INDEX(DarlBindung,1)="",1,IF($E327&lt;=INDEX(DarlBindung,1),1,0))</f>
      </c>
      <c r="H327" s="43">
        <f>IF($G327=1,INDEX(DarlSollzins,1),INDEX(DarlAnschluss,1))</f>
      </c>
      <c r="I327" s="43">
        <f>IF(INDEX(DarlBelegt,1)=0,0,IF(INDEX(DarlOhneTilgung,1)=1,IF(INDEX(DarlBindung,1)="",1,$G327),IF($J327&gt;0.005,1,0)))</f>
      </c>
      <c r="J327" s="43">
        <f>IF($I326=0,0,$R326)</f>
      </c>
      <c r="K327" s="43">
        <f>IF($I327=0,0,IF(INDEX(DarlOhneTilgung,1)=1,0,IF(AND(INDEX(DarlTilgStart,1)&gt;0,$E327=INDEX(DarlTilgStart,1)),$J327*($H327+INDEX(DarlTilgung,1))/100/12,IF(AND($G327=0,$G326=1),MAX($K326,$J327*($H327+1)/100/12),$K326))))</f>
      </c>
      <c r="L327" s="43">
        <f>IF($I327=0,0,$J327*$H327/100/12)</f>
      </c>
      <c r="M327" s="43">
        <f>IF($I327=0,0,IF(OR(INDEX(DarlOhneTilgung,1)=1,AND(INDEX(DarlTilgStart,1)&gt;0,$E327&lt;INDEX(DarlTilgStart,1))),0,MIN(MAX(0,$K327-$L327),$J327)))</f>
      </c>
      <c r="N327" s="43">
        <f>IF($I327=0,0,MIN(SUMIFS(SondBetrag,SondDarl,1,SondDatum,"&gt;="&amp;$E327,SondDatum,"&lt;="&amp;EOMONTH($E327,0)),$J327-$M327))</f>
      </c>
      <c r="O327" s="43">
        <f>IF($I327=0,0,INDEX(DarlErsatzRate,1))</f>
      </c>
      <c r="P327" s="43">
        <f>IF($I327=0,0,$Q326*INDEX(DarlErsatzZins,1))</f>
      </c>
      <c r="Q327" s="43">
        <f>IF($I327=0,0,$Q326+$P327+$O327)</f>
      </c>
      <c r="R327" s="43">
        <f>IF($I327=0,0,$J327-$M327-$N327)</f>
      </c>
    </row>
    <row r="328">
      <c r="A328"/>
      <c r="B328">
        <v>1</v>
      </c>
      <c r="C328" s="43">
        <f>INDEX(DarlObj,1)</f>
      </c>
      <c r="D328">
        <v>325</v>
      </c>
      <c r="E328" s="51">
        <f>IF(INDEX(DarlBelegt,1)=0,0,EOMONTH(INDEX(DarlAuszahlung,1),324)+1)</f>
      </c>
      <c r="F328" s="43">
        <f>IF($E328=0,0,YEAR($E328))</f>
      </c>
      <c r="G328" s="43">
        <f>IF(INDEX(DarlBindung,1)="",1,IF($E328&lt;=INDEX(DarlBindung,1),1,0))</f>
      </c>
      <c r="H328" s="43">
        <f>IF($G328=1,INDEX(DarlSollzins,1),INDEX(DarlAnschluss,1))</f>
      </c>
      <c r="I328" s="43">
        <f>IF(INDEX(DarlBelegt,1)=0,0,IF(INDEX(DarlOhneTilgung,1)=1,IF(INDEX(DarlBindung,1)="",1,$G328),IF($J328&gt;0.005,1,0)))</f>
      </c>
      <c r="J328" s="43">
        <f>IF($I327=0,0,$R327)</f>
      </c>
      <c r="K328" s="43">
        <f>IF($I328=0,0,IF(INDEX(DarlOhneTilgung,1)=1,0,IF(AND(INDEX(DarlTilgStart,1)&gt;0,$E328=INDEX(DarlTilgStart,1)),$J328*($H328+INDEX(DarlTilgung,1))/100/12,IF(AND($G328=0,$G327=1),MAX($K327,$J328*($H328+1)/100/12),$K327))))</f>
      </c>
      <c r="L328" s="43">
        <f>IF($I328=0,0,$J328*$H328/100/12)</f>
      </c>
      <c r="M328" s="43">
        <f>IF($I328=0,0,IF(OR(INDEX(DarlOhneTilgung,1)=1,AND(INDEX(DarlTilgStart,1)&gt;0,$E328&lt;INDEX(DarlTilgStart,1))),0,MIN(MAX(0,$K328-$L328),$J328)))</f>
      </c>
      <c r="N328" s="43">
        <f>IF($I328=0,0,MIN(SUMIFS(SondBetrag,SondDarl,1,SondDatum,"&gt;="&amp;$E328,SondDatum,"&lt;="&amp;EOMONTH($E328,0)),$J328-$M328))</f>
      </c>
      <c r="O328" s="43">
        <f>IF($I328=0,0,INDEX(DarlErsatzRate,1))</f>
      </c>
      <c r="P328" s="43">
        <f>IF($I328=0,0,$Q327*INDEX(DarlErsatzZins,1))</f>
      </c>
      <c r="Q328" s="43">
        <f>IF($I328=0,0,$Q327+$P328+$O328)</f>
      </c>
      <c r="R328" s="43">
        <f>IF($I328=0,0,$J328-$M328-$N328)</f>
      </c>
    </row>
    <row r="329">
      <c r="A329"/>
      <c r="B329">
        <v>1</v>
      </c>
      <c r="C329" s="43">
        <f>INDEX(DarlObj,1)</f>
      </c>
      <c r="D329">
        <v>326</v>
      </c>
      <c r="E329" s="51">
        <f>IF(INDEX(DarlBelegt,1)=0,0,EOMONTH(INDEX(DarlAuszahlung,1),325)+1)</f>
      </c>
      <c r="F329" s="43">
        <f>IF($E329=0,0,YEAR($E329))</f>
      </c>
      <c r="G329" s="43">
        <f>IF(INDEX(DarlBindung,1)="",1,IF($E329&lt;=INDEX(DarlBindung,1),1,0))</f>
      </c>
      <c r="H329" s="43">
        <f>IF($G329=1,INDEX(DarlSollzins,1),INDEX(DarlAnschluss,1))</f>
      </c>
      <c r="I329" s="43">
        <f>IF(INDEX(DarlBelegt,1)=0,0,IF(INDEX(DarlOhneTilgung,1)=1,IF(INDEX(DarlBindung,1)="",1,$G329),IF($J329&gt;0.005,1,0)))</f>
      </c>
      <c r="J329" s="43">
        <f>IF($I328=0,0,$R328)</f>
      </c>
      <c r="K329" s="43">
        <f>IF($I329=0,0,IF(INDEX(DarlOhneTilgung,1)=1,0,IF(AND(INDEX(DarlTilgStart,1)&gt;0,$E329=INDEX(DarlTilgStart,1)),$J329*($H329+INDEX(DarlTilgung,1))/100/12,IF(AND($G329=0,$G328=1),MAX($K328,$J329*($H329+1)/100/12),$K328))))</f>
      </c>
      <c r="L329" s="43">
        <f>IF($I329=0,0,$J329*$H329/100/12)</f>
      </c>
      <c r="M329" s="43">
        <f>IF($I329=0,0,IF(OR(INDEX(DarlOhneTilgung,1)=1,AND(INDEX(DarlTilgStart,1)&gt;0,$E329&lt;INDEX(DarlTilgStart,1))),0,MIN(MAX(0,$K329-$L329),$J329)))</f>
      </c>
      <c r="N329" s="43">
        <f>IF($I329=0,0,MIN(SUMIFS(SondBetrag,SondDarl,1,SondDatum,"&gt;="&amp;$E329,SondDatum,"&lt;="&amp;EOMONTH($E329,0)),$J329-$M329))</f>
      </c>
      <c r="O329" s="43">
        <f>IF($I329=0,0,INDEX(DarlErsatzRate,1))</f>
      </c>
      <c r="P329" s="43">
        <f>IF($I329=0,0,$Q328*INDEX(DarlErsatzZins,1))</f>
      </c>
      <c r="Q329" s="43">
        <f>IF($I329=0,0,$Q328+$P329+$O329)</f>
      </c>
      <c r="R329" s="43">
        <f>IF($I329=0,0,$J329-$M329-$N329)</f>
      </c>
    </row>
    <row r="330">
      <c r="A330"/>
      <c r="B330">
        <v>1</v>
      </c>
      <c r="C330" s="43">
        <f>INDEX(DarlObj,1)</f>
      </c>
      <c r="D330">
        <v>327</v>
      </c>
      <c r="E330" s="51">
        <f>IF(INDEX(DarlBelegt,1)=0,0,EOMONTH(INDEX(DarlAuszahlung,1),326)+1)</f>
      </c>
      <c r="F330" s="43">
        <f>IF($E330=0,0,YEAR($E330))</f>
      </c>
      <c r="G330" s="43">
        <f>IF(INDEX(DarlBindung,1)="",1,IF($E330&lt;=INDEX(DarlBindung,1),1,0))</f>
      </c>
      <c r="H330" s="43">
        <f>IF($G330=1,INDEX(DarlSollzins,1),INDEX(DarlAnschluss,1))</f>
      </c>
      <c r="I330" s="43">
        <f>IF(INDEX(DarlBelegt,1)=0,0,IF(INDEX(DarlOhneTilgung,1)=1,IF(INDEX(DarlBindung,1)="",1,$G330),IF($J330&gt;0.005,1,0)))</f>
      </c>
      <c r="J330" s="43">
        <f>IF($I329=0,0,$R329)</f>
      </c>
      <c r="K330" s="43">
        <f>IF($I330=0,0,IF(INDEX(DarlOhneTilgung,1)=1,0,IF(AND(INDEX(DarlTilgStart,1)&gt;0,$E330=INDEX(DarlTilgStart,1)),$J330*($H330+INDEX(DarlTilgung,1))/100/12,IF(AND($G330=0,$G329=1),MAX($K329,$J330*($H330+1)/100/12),$K329))))</f>
      </c>
      <c r="L330" s="43">
        <f>IF($I330=0,0,$J330*$H330/100/12)</f>
      </c>
      <c r="M330" s="43">
        <f>IF($I330=0,0,IF(OR(INDEX(DarlOhneTilgung,1)=1,AND(INDEX(DarlTilgStart,1)&gt;0,$E330&lt;INDEX(DarlTilgStart,1))),0,MIN(MAX(0,$K330-$L330),$J330)))</f>
      </c>
      <c r="N330" s="43">
        <f>IF($I330=0,0,MIN(SUMIFS(SondBetrag,SondDarl,1,SondDatum,"&gt;="&amp;$E330,SondDatum,"&lt;="&amp;EOMONTH($E330,0)),$J330-$M330))</f>
      </c>
      <c r="O330" s="43">
        <f>IF($I330=0,0,INDEX(DarlErsatzRate,1))</f>
      </c>
      <c r="P330" s="43">
        <f>IF($I330=0,0,$Q329*INDEX(DarlErsatzZins,1))</f>
      </c>
      <c r="Q330" s="43">
        <f>IF($I330=0,0,$Q329+$P330+$O330)</f>
      </c>
      <c r="R330" s="43">
        <f>IF($I330=0,0,$J330-$M330-$N330)</f>
      </c>
    </row>
    <row r="331">
      <c r="A331"/>
      <c r="B331">
        <v>1</v>
      </c>
      <c r="C331" s="43">
        <f>INDEX(DarlObj,1)</f>
      </c>
      <c r="D331">
        <v>328</v>
      </c>
      <c r="E331" s="51">
        <f>IF(INDEX(DarlBelegt,1)=0,0,EOMONTH(INDEX(DarlAuszahlung,1),327)+1)</f>
      </c>
      <c r="F331" s="43">
        <f>IF($E331=0,0,YEAR($E331))</f>
      </c>
      <c r="G331" s="43">
        <f>IF(INDEX(DarlBindung,1)="",1,IF($E331&lt;=INDEX(DarlBindung,1),1,0))</f>
      </c>
      <c r="H331" s="43">
        <f>IF($G331=1,INDEX(DarlSollzins,1),INDEX(DarlAnschluss,1))</f>
      </c>
      <c r="I331" s="43">
        <f>IF(INDEX(DarlBelegt,1)=0,0,IF(INDEX(DarlOhneTilgung,1)=1,IF(INDEX(DarlBindung,1)="",1,$G331),IF($J331&gt;0.005,1,0)))</f>
      </c>
      <c r="J331" s="43">
        <f>IF($I330=0,0,$R330)</f>
      </c>
      <c r="K331" s="43">
        <f>IF($I331=0,0,IF(INDEX(DarlOhneTilgung,1)=1,0,IF(AND(INDEX(DarlTilgStart,1)&gt;0,$E331=INDEX(DarlTilgStart,1)),$J331*($H331+INDEX(DarlTilgung,1))/100/12,IF(AND($G331=0,$G330=1),MAX($K330,$J331*($H331+1)/100/12),$K330))))</f>
      </c>
      <c r="L331" s="43">
        <f>IF($I331=0,0,$J331*$H331/100/12)</f>
      </c>
      <c r="M331" s="43">
        <f>IF($I331=0,0,IF(OR(INDEX(DarlOhneTilgung,1)=1,AND(INDEX(DarlTilgStart,1)&gt;0,$E331&lt;INDEX(DarlTilgStart,1))),0,MIN(MAX(0,$K331-$L331),$J331)))</f>
      </c>
      <c r="N331" s="43">
        <f>IF($I331=0,0,MIN(SUMIFS(SondBetrag,SondDarl,1,SondDatum,"&gt;="&amp;$E331,SondDatum,"&lt;="&amp;EOMONTH($E331,0)),$J331-$M331))</f>
      </c>
      <c r="O331" s="43">
        <f>IF($I331=0,0,INDEX(DarlErsatzRate,1))</f>
      </c>
      <c r="P331" s="43">
        <f>IF($I331=0,0,$Q330*INDEX(DarlErsatzZins,1))</f>
      </c>
      <c r="Q331" s="43">
        <f>IF($I331=0,0,$Q330+$P331+$O331)</f>
      </c>
      <c r="R331" s="43">
        <f>IF($I331=0,0,$J331-$M331-$N331)</f>
      </c>
    </row>
    <row r="332">
      <c r="A332"/>
      <c r="B332">
        <v>1</v>
      </c>
      <c r="C332" s="43">
        <f>INDEX(DarlObj,1)</f>
      </c>
      <c r="D332">
        <v>329</v>
      </c>
      <c r="E332" s="51">
        <f>IF(INDEX(DarlBelegt,1)=0,0,EOMONTH(INDEX(DarlAuszahlung,1),328)+1)</f>
      </c>
      <c r="F332" s="43">
        <f>IF($E332=0,0,YEAR($E332))</f>
      </c>
      <c r="G332" s="43">
        <f>IF(INDEX(DarlBindung,1)="",1,IF($E332&lt;=INDEX(DarlBindung,1),1,0))</f>
      </c>
      <c r="H332" s="43">
        <f>IF($G332=1,INDEX(DarlSollzins,1),INDEX(DarlAnschluss,1))</f>
      </c>
      <c r="I332" s="43">
        <f>IF(INDEX(DarlBelegt,1)=0,0,IF(INDEX(DarlOhneTilgung,1)=1,IF(INDEX(DarlBindung,1)="",1,$G332),IF($J332&gt;0.005,1,0)))</f>
      </c>
      <c r="J332" s="43">
        <f>IF($I331=0,0,$R331)</f>
      </c>
      <c r="K332" s="43">
        <f>IF($I332=0,0,IF(INDEX(DarlOhneTilgung,1)=1,0,IF(AND(INDEX(DarlTilgStart,1)&gt;0,$E332=INDEX(DarlTilgStart,1)),$J332*($H332+INDEX(DarlTilgung,1))/100/12,IF(AND($G332=0,$G331=1),MAX($K331,$J332*($H332+1)/100/12),$K331))))</f>
      </c>
      <c r="L332" s="43">
        <f>IF($I332=0,0,$J332*$H332/100/12)</f>
      </c>
      <c r="M332" s="43">
        <f>IF($I332=0,0,IF(OR(INDEX(DarlOhneTilgung,1)=1,AND(INDEX(DarlTilgStart,1)&gt;0,$E332&lt;INDEX(DarlTilgStart,1))),0,MIN(MAX(0,$K332-$L332),$J332)))</f>
      </c>
      <c r="N332" s="43">
        <f>IF($I332=0,0,MIN(SUMIFS(SondBetrag,SondDarl,1,SondDatum,"&gt;="&amp;$E332,SondDatum,"&lt;="&amp;EOMONTH($E332,0)),$J332-$M332))</f>
      </c>
      <c r="O332" s="43">
        <f>IF($I332=0,0,INDEX(DarlErsatzRate,1))</f>
      </c>
      <c r="P332" s="43">
        <f>IF($I332=0,0,$Q331*INDEX(DarlErsatzZins,1))</f>
      </c>
      <c r="Q332" s="43">
        <f>IF($I332=0,0,$Q331+$P332+$O332)</f>
      </c>
      <c r="R332" s="43">
        <f>IF($I332=0,0,$J332-$M332-$N332)</f>
      </c>
    </row>
    <row r="333">
      <c r="A333"/>
      <c r="B333">
        <v>1</v>
      </c>
      <c r="C333" s="43">
        <f>INDEX(DarlObj,1)</f>
      </c>
      <c r="D333">
        <v>330</v>
      </c>
      <c r="E333" s="51">
        <f>IF(INDEX(DarlBelegt,1)=0,0,EOMONTH(INDEX(DarlAuszahlung,1),329)+1)</f>
      </c>
      <c r="F333" s="43">
        <f>IF($E333=0,0,YEAR($E333))</f>
      </c>
      <c r="G333" s="43">
        <f>IF(INDEX(DarlBindung,1)="",1,IF($E333&lt;=INDEX(DarlBindung,1),1,0))</f>
      </c>
      <c r="H333" s="43">
        <f>IF($G333=1,INDEX(DarlSollzins,1),INDEX(DarlAnschluss,1))</f>
      </c>
      <c r="I333" s="43">
        <f>IF(INDEX(DarlBelegt,1)=0,0,IF(INDEX(DarlOhneTilgung,1)=1,IF(INDEX(DarlBindung,1)="",1,$G333),IF($J333&gt;0.005,1,0)))</f>
      </c>
      <c r="J333" s="43">
        <f>IF($I332=0,0,$R332)</f>
      </c>
      <c r="K333" s="43">
        <f>IF($I333=0,0,IF(INDEX(DarlOhneTilgung,1)=1,0,IF(AND(INDEX(DarlTilgStart,1)&gt;0,$E333=INDEX(DarlTilgStart,1)),$J333*($H333+INDEX(DarlTilgung,1))/100/12,IF(AND($G333=0,$G332=1),MAX($K332,$J333*($H333+1)/100/12),$K332))))</f>
      </c>
      <c r="L333" s="43">
        <f>IF($I333=0,0,$J333*$H333/100/12)</f>
      </c>
      <c r="M333" s="43">
        <f>IF($I333=0,0,IF(OR(INDEX(DarlOhneTilgung,1)=1,AND(INDEX(DarlTilgStart,1)&gt;0,$E333&lt;INDEX(DarlTilgStart,1))),0,MIN(MAX(0,$K333-$L333),$J333)))</f>
      </c>
      <c r="N333" s="43">
        <f>IF($I333=0,0,MIN(SUMIFS(SondBetrag,SondDarl,1,SondDatum,"&gt;="&amp;$E333,SondDatum,"&lt;="&amp;EOMONTH($E333,0)),$J333-$M333))</f>
      </c>
      <c r="O333" s="43">
        <f>IF($I333=0,0,INDEX(DarlErsatzRate,1))</f>
      </c>
      <c r="P333" s="43">
        <f>IF($I333=0,0,$Q332*INDEX(DarlErsatzZins,1))</f>
      </c>
      <c r="Q333" s="43">
        <f>IF($I333=0,0,$Q332+$P333+$O333)</f>
      </c>
      <c r="R333" s="43">
        <f>IF($I333=0,0,$J333-$M333-$N333)</f>
      </c>
    </row>
    <row r="334">
      <c r="A334"/>
      <c r="B334">
        <v>1</v>
      </c>
      <c r="C334" s="43">
        <f>INDEX(DarlObj,1)</f>
      </c>
      <c r="D334">
        <v>331</v>
      </c>
      <c r="E334" s="51">
        <f>IF(INDEX(DarlBelegt,1)=0,0,EOMONTH(INDEX(DarlAuszahlung,1),330)+1)</f>
      </c>
      <c r="F334" s="43">
        <f>IF($E334=0,0,YEAR($E334))</f>
      </c>
      <c r="G334" s="43">
        <f>IF(INDEX(DarlBindung,1)="",1,IF($E334&lt;=INDEX(DarlBindung,1),1,0))</f>
      </c>
      <c r="H334" s="43">
        <f>IF($G334=1,INDEX(DarlSollzins,1),INDEX(DarlAnschluss,1))</f>
      </c>
      <c r="I334" s="43">
        <f>IF(INDEX(DarlBelegt,1)=0,0,IF(INDEX(DarlOhneTilgung,1)=1,IF(INDEX(DarlBindung,1)="",1,$G334),IF($J334&gt;0.005,1,0)))</f>
      </c>
      <c r="J334" s="43">
        <f>IF($I333=0,0,$R333)</f>
      </c>
      <c r="K334" s="43">
        <f>IF($I334=0,0,IF(INDEX(DarlOhneTilgung,1)=1,0,IF(AND(INDEX(DarlTilgStart,1)&gt;0,$E334=INDEX(DarlTilgStart,1)),$J334*($H334+INDEX(DarlTilgung,1))/100/12,IF(AND($G334=0,$G333=1),MAX($K333,$J334*($H334+1)/100/12),$K333))))</f>
      </c>
      <c r="L334" s="43">
        <f>IF($I334=0,0,$J334*$H334/100/12)</f>
      </c>
      <c r="M334" s="43">
        <f>IF($I334=0,0,IF(OR(INDEX(DarlOhneTilgung,1)=1,AND(INDEX(DarlTilgStart,1)&gt;0,$E334&lt;INDEX(DarlTilgStart,1))),0,MIN(MAX(0,$K334-$L334),$J334)))</f>
      </c>
      <c r="N334" s="43">
        <f>IF($I334=0,0,MIN(SUMIFS(SondBetrag,SondDarl,1,SondDatum,"&gt;="&amp;$E334,SondDatum,"&lt;="&amp;EOMONTH($E334,0)),$J334-$M334))</f>
      </c>
      <c r="O334" s="43">
        <f>IF($I334=0,0,INDEX(DarlErsatzRate,1))</f>
      </c>
      <c r="P334" s="43">
        <f>IF($I334=0,0,$Q333*INDEX(DarlErsatzZins,1))</f>
      </c>
      <c r="Q334" s="43">
        <f>IF($I334=0,0,$Q333+$P334+$O334)</f>
      </c>
      <c r="R334" s="43">
        <f>IF($I334=0,0,$J334-$M334-$N334)</f>
      </c>
    </row>
    <row r="335">
      <c r="A335"/>
      <c r="B335">
        <v>1</v>
      </c>
      <c r="C335" s="43">
        <f>INDEX(DarlObj,1)</f>
      </c>
      <c r="D335">
        <v>332</v>
      </c>
      <c r="E335" s="51">
        <f>IF(INDEX(DarlBelegt,1)=0,0,EOMONTH(INDEX(DarlAuszahlung,1),331)+1)</f>
      </c>
      <c r="F335" s="43">
        <f>IF($E335=0,0,YEAR($E335))</f>
      </c>
      <c r="G335" s="43">
        <f>IF(INDEX(DarlBindung,1)="",1,IF($E335&lt;=INDEX(DarlBindung,1),1,0))</f>
      </c>
      <c r="H335" s="43">
        <f>IF($G335=1,INDEX(DarlSollzins,1),INDEX(DarlAnschluss,1))</f>
      </c>
      <c r="I335" s="43">
        <f>IF(INDEX(DarlBelegt,1)=0,0,IF(INDEX(DarlOhneTilgung,1)=1,IF(INDEX(DarlBindung,1)="",1,$G335),IF($J335&gt;0.005,1,0)))</f>
      </c>
      <c r="J335" s="43">
        <f>IF($I334=0,0,$R334)</f>
      </c>
      <c r="K335" s="43">
        <f>IF($I335=0,0,IF(INDEX(DarlOhneTilgung,1)=1,0,IF(AND(INDEX(DarlTilgStart,1)&gt;0,$E335=INDEX(DarlTilgStart,1)),$J335*($H335+INDEX(DarlTilgung,1))/100/12,IF(AND($G335=0,$G334=1),MAX($K334,$J335*($H335+1)/100/12),$K334))))</f>
      </c>
      <c r="L335" s="43">
        <f>IF($I335=0,0,$J335*$H335/100/12)</f>
      </c>
      <c r="M335" s="43">
        <f>IF($I335=0,0,IF(OR(INDEX(DarlOhneTilgung,1)=1,AND(INDEX(DarlTilgStart,1)&gt;0,$E335&lt;INDEX(DarlTilgStart,1))),0,MIN(MAX(0,$K335-$L335),$J335)))</f>
      </c>
      <c r="N335" s="43">
        <f>IF($I335=0,0,MIN(SUMIFS(SondBetrag,SondDarl,1,SondDatum,"&gt;="&amp;$E335,SondDatum,"&lt;="&amp;EOMONTH($E335,0)),$J335-$M335))</f>
      </c>
      <c r="O335" s="43">
        <f>IF($I335=0,0,INDEX(DarlErsatzRate,1))</f>
      </c>
      <c r="P335" s="43">
        <f>IF($I335=0,0,$Q334*INDEX(DarlErsatzZins,1))</f>
      </c>
      <c r="Q335" s="43">
        <f>IF($I335=0,0,$Q334+$P335+$O335)</f>
      </c>
      <c r="R335" s="43">
        <f>IF($I335=0,0,$J335-$M335-$N335)</f>
      </c>
    </row>
    <row r="336">
      <c r="A336"/>
      <c r="B336">
        <v>1</v>
      </c>
      <c r="C336" s="43">
        <f>INDEX(DarlObj,1)</f>
      </c>
      <c r="D336">
        <v>333</v>
      </c>
      <c r="E336" s="51">
        <f>IF(INDEX(DarlBelegt,1)=0,0,EOMONTH(INDEX(DarlAuszahlung,1),332)+1)</f>
      </c>
      <c r="F336" s="43">
        <f>IF($E336=0,0,YEAR($E336))</f>
      </c>
      <c r="G336" s="43">
        <f>IF(INDEX(DarlBindung,1)="",1,IF($E336&lt;=INDEX(DarlBindung,1),1,0))</f>
      </c>
      <c r="H336" s="43">
        <f>IF($G336=1,INDEX(DarlSollzins,1),INDEX(DarlAnschluss,1))</f>
      </c>
      <c r="I336" s="43">
        <f>IF(INDEX(DarlBelegt,1)=0,0,IF(INDEX(DarlOhneTilgung,1)=1,IF(INDEX(DarlBindung,1)="",1,$G336),IF($J336&gt;0.005,1,0)))</f>
      </c>
      <c r="J336" s="43">
        <f>IF($I335=0,0,$R335)</f>
      </c>
      <c r="K336" s="43">
        <f>IF($I336=0,0,IF(INDEX(DarlOhneTilgung,1)=1,0,IF(AND(INDEX(DarlTilgStart,1)&gt;0,$E336=INDEX(DarlTilgStart,1)),$J336*($H336+INDEX(DarlTilgung,1))/100/12,IF(AND($G336=0,$G335=1),MAX($K335,$J336*($H336+1)/100/12),$K335))))</f>
      </c>
      <c r="L336" s="43">
        <f>IF($I336=0,0,$J336*$H336/100/12)</f>
      </c>
      <c r="M336" s="43">
        <f>IF($I336=0,0,IF(OR(INDEX(DarlOhneTilgung,1)=1,AND(INDEX(DarlTilgStart,1)&gt;0,$E336&lt;INDEX(DarlTilgStart,1))),0,MIN(MAX(0,$K336-$L336),$J336)))</f>
      </c>
      <c r="N336" s="43">
        <f>IF($I336=0,0,MIN(SUMIFS(SondBetrag,SondDarl,1,SondDatum,"&gt;="&amp;$E336,SondDatum,"&lt;="&amp;EOMONTH($E336,0)),$J336-$M336))</f>
      </c>
      <c r="O336" s="43">
        <f>IF($I336=0,0,INDEX(DarlErsatzRate,1))</f>
      </c>
      <c r="P336" s="43">
        <f>IF($I336=0,0,$Q335*INDEX(DarlErsatzZins,1))</f>
      </c>
      <c r="Q336" s="43">
        <f>IF($I336=0,0,$Q335+$P336+$O336)</f>
      </c>
      <c r="R336" s="43">
        <f>IF($I336=0,0,$J336-$M336-$N336)</f>
      </c>
    </row>
    <row r="337">
      <c r="A337"/>
      <c r="B337">
        <v>1</v>
      </c>
      <c r="C337" s="43">
        <f>INDEX(DarlObj,1)</f>
      </c>
      <c r="D337">
        <v>334</v>
      </c>
      <c r="E337" s="51">
        <f>IF(INDEX(DarlBelegt,1)=0,0,EOMONTH(INDEX(DarlAuszahlung,1),333)+1)</f>
      </c>
      <c r="F337" s="43">
        <f>IF($E337=0,0,YEAR($E337))</f>
      </c>
      <c r="G337" s="43">
        <f>IF(INDEX(DarlBindung,1)="",1,IF($E337&lt;=INDEX(DarlBindung,1),1,0))</f>
      </c>
      <c r="H337" s="43">
        <f>IF($G337=1,INDEX(DarlSollzins,1),INDEX(DarlAnschluss,1))</f>
      </c>
      <c r="I337" s="43">
        <f>IF(INDEX(DarlBelegt,1)=0,0,IF(INDEX(DarlOhneTilgung,1)=1,IF(INDEX(DarlBindung,1)="",1,$G337),IF($J337&gt;0.005,1,0)))</f>
      </c>
      <c r="J337" s="43">
        <f>IF($I336=0,0,$R336)</f>
      </c>
      <c r="K337" s="43">
        <f>IF($I337=0,0,IF(INDEX(DarlOhneTilgung,1)=1,0,IF(AND(INDEX(DarlTilgStart,1)&gt;0,$E337=INDEX(DarlTilgStart,1)),$J337*($H337+INDEX(DarlTilgung,1))/100/12,IF(AND($G337=0,$G336=1),MAX($K336,$J337*($H337+1)/100/12),$K336))))</f>
      </c>
      <c r="L337" s="43">
        <f>IF($I337=0,0,$J337*$H337/100/12)</f>
      </c>
      <c r="M337" s="43">
        <f>IF($I337=0,0,IF(OR(INDEX(DarlOhneTilgung,1)=1,AND(INDEX(DarlTilgStart,1)&gt;0,$E337&lt;INDEX(DarlTilgStart,1))),0,MIN(MAX(0,$K337-$L337),$J337)))</f>
      </c>
      <c r="N337" s="43">
        <f>IF($I337=0,0,MIN(SUMIFS(SondBetrag,SondDarl,1,SondDatum,"&gt;="&amp;$E337,SondDatum,"&lt;="&amp;EOMONTH($E337,0)),$J337-$M337))</f>
      </c>
      <c r="O337" s="43">
        <f>IF($I337=0,0,INDEX(DarlErsatzRate,1))</f>
      </c>
      <c r="P337" s="43">
        <f>IF($I337=0,0,$Q336*INDEX(DarlErsatzZins,1))</f>
      </c>
      <c r="Q337" s="43">
        <f>IF($I337=0,0,$Q336+$P337+$O337)</f>
      </c>
      <c r="R337" s="43">
        <f>IF($I337=0,0,$J337-$M337-$N337)</f>
      </c>
    </row>
    <row r="338">
      <c r="A338"/>
      <c r="B338">
        <v>1</v>
      </c>
      <c r="C338" s="43">
        <f>INDEX(DarlObj,1)</f>
      </c>
      <c r="D338">
        <v>335</v>
      </c>
      <c r="E338" s="51">
        <f>IF(INDEX(DarlBelegt,1)=0,0,EOMONTH(INDEX(DarlAuszahlung,1),334)+1)</f>
      </c>
      <c r="F338" s="43">
        <f>IF($E338=0,0,YEAR($E338))</f>
      </c>
      <c r="G338" s="43">
        <f>IF(INDEX(DarlBindung,1)="",1,IF($E338&lt;=INDEX(DarlBindung,1),1,0))</f>
      </c>
      <c r="H338" s="43">
        <f>IF($G338=1,INDEX(DarlSollzins,1),INDEX(DarlAnschluss,1))</f>
      </c>
      <c r="I338" s="43">
        <f>IF(INDEX(DarlBelegt,1)=0,0,IF(INDEX(DarlOhneTilgung,1)=1,IF(INDEX(DarlBindung,1)="",1,$G338),IF($J338&gt;0.005,1,0)))</f>
      </c>
      <c r="J338" s="43">
        <f>IF($I337=0,0,$R337)</f>
      </c>
      <c r="K338" s="43">
        <f>IF($I338=0,0,IF(INDEX(DarlOhneTilgung,1)=1,0,IF(AND(INDEX(DarlTilgStart,1)&gt;0,$E338=INDEX(DarlTilgStart,1)),$J338*($H338+INDEX(DarlTilgung,1))/100/12,IF(AND($G338=0,$G337=1),MAX($K337,$J338*($H338+1)/100/12),$K337))))</f>
      </c>
      <c r="L338" s="43">
        <f>IF($I338=0,0,$J338*$H338/100/12)</f>
      </c>
      <c r="M338" s="43">
        <f>IF($I338=0,0,IF(OR(INDEX(DarlOhneTilgung,1)=1,AND(INDEX(DarlTilgStart,1)&gt;0,$E338&lt;INDEX(DarlTilgStart,1))),0,MIN(MAX(0,$K338-$L338),$J338)))</f>
      </c>
      <c r="N338" s="43">
        <f>IF($I338=0,0,MIN(SUMIFS(SondBetrag,SondDarl,1,SondDatum,"&gt;="&amp;$E338,SondDatum,"&lt;="&amp;EOMONTH($E338,0)),$J338-$M338))</f>
      </c>
      <c r="O338" s="43">
        <f>IF($I338=0,0,INDEX(DarlErsatzRate,1))</f>
      </c>
      <c r="P338" s="43">
        <f>IF($I338=0,0,$Q337*INDEX(DarlErsatzZins,1))</f>
      </c>
      <c r="Q338" s="43">
        <f>IF($I338=0,0,$Q337+$P338+$O338)</f>
      </c>
      <c r="R338" s="43">
        <f>IF($I338=0,0,$J338-$M338-$N338)</f>
      </c>
    </row>
    <row r="339">
      <c r="A339"/>
      <c r="B339">
        <v>1</v>
      </c>
      <c r="C339" s="43">
        <f>INDEX(DarlObj,1)</f>
      </c>
      <c r="D339">
        <v>336</v>
      </c>
      <c r="E339" s="51">
        <f>IF(INDEX(DarlBelegt,1)=0,0,EOMONTH(INDEX(DarlAuszahlung,1),335)+1)</f>
      </c>
      <c r="F339" s="43">
        <f>IF($E339=0,0,YEAR($E339))</f>
      </c>
      <c r="G339" s="43">
        <f>IF(INDEX(DarlBindung,1)="",1,IF($E339&lt;=INDEX(DarlBindung,1),1,0))</f>
      </c>
      <c r="H339" s="43">
        <f>IF($G339=1,INDEX(DarlSollzins,1),INDEX(DarlAnschluss,1))</f>
      </c>
      <c r="I339" s="43">
        <f>IF(INDEX(DarlBelegt,1)=0,0,IF(INDEX(DarlOhneTilgung,1)=1,IF(INDEX(DarlBindung,1)="",1,$G339),IF($J339&gt;0.005,1,0)))</f>
      </c>
      <c r="J339" s="43">
        <f>IF($I338=0,0,$R338)</f>
      </c>
      <c r="K339" s="43">
        <f>IF($I339=0,0,IF(INDEX(DarlOhneTilgung,1)=1,0,IF(AND(INDEX(DarlTilgStart,1)&gt;0,$E339=INDEX(DarlTilgStart,1)),$J339*($H339+INDEX(DarlTilgung,1))/100/12,IF(AND($G339=0,$G338=1),MAX($K338,$J339*($H339+1)/100/12),$K338))))</f>
      </c>
      <c r="L339" s="43">
        <f>IF($I339=0,0,$J339*$H339/100/12)</f>
      </c>
      <c r="M339" s="43">
        <f>IF($I339=0,0,IF(OR(INDEX(DarlOhneTilgung,1)=1,AND(INDEX(DarlTilgStart,1)&gt;0,$E339&lt;INDEX(DarlTilgStart,1))),0,MIN(MAX(0,$K339-$L339),$J339)))</f>
      </c>
      <c r="N339" s="43">
        <f>IF($I339=0,0,MIN(SUMIFS(SondBetrag,SondDarl,1,SondDatum,"&gt;="&amp;$E339,SondDatum,"&lt;="&amp;EOMONTH($E339,0)),$J339-$M339))</f>
      </c>
      <c r="O339" s="43">
        <f>IF($I339=0,0,INDEX(DarlErsatzRate,1))</f>
      </c>
      <c r="P339" s="43">
        <f>IF($I339=0,0,$Q338*INDEX(DarlErsatzZins,1))</f>
      </c>
      <c r="Q339" s="43">
        <f>IF($I339=0,0,$Q338+$P339+$O339)</f>
      </c>
      <c r="R339" s="43">
        <f>IF($I339=0,0,$J339-$M339-$N339)</f>
      </c>
    </row>
    <row r="340">
      <c r="A340"/>
      <c r="B340">
        <v>1</v>
      </c>
      <c r="C340" s="43">
        <f>INDEX(DarlObj,1)</f>
      </c>
      <c r="D340">
        <v>337</v>
      </c>
      <c r="E340" s="51">
        <f>IF(INDEX(DarlBelegt,1)=0,0,EOMONTH(INDEX(DarlAuszahlung,1),336)+1)</f>
      </c>
      <c r="F340" s="43">
        <f>IF($E340=0,0,YEAR($E340))</f>
      </c>
      <c r="G340" s="43">
        <f>IF(INDEX(DarlBindung,1)="",1,IF($E340&lt;=INDEX(DarlBindung,1),1,0))</f>
      </c>
      <c r="H340" s="43">
        <f>IF($G340=1,INDEX(DarlSollzins,1),INDEX(DarlAnschluss,1))</f>
      </c>
      <c r="I340" s="43">
        <f>IF(INDEX(DarlBelegt,1)=0,0,IF(INDEX(DarlOhneTilgung,1)=1,IF(INDEX(DarlBindung,1)="",1,$G340),IF($J340&gt;0.005,1,0)))</f>
      </c>
      <c r="J340" s="43">
        <f>IF($I339=0,0,$R339)</f>
      </c>
      <c r="K340" s="43">
        <f>IF($I340=0,0,IF(INDEX(DarlOhneTilgung,1)=1,0,IF(AND(INDEX(DarlTilgStart,1)&gt;0,$E340=INDEX(DarlTilgStart,1)),$J340*($H340+INDEX(DarlTilgung,1))/100/12,IF(AND($G340=0,$G339=1),MAX($K339,$J340*($H340+1)/100/12),$K339))))</f>
      </c>
      <c r="L340" s="43">
        <f>IF($I340=0,0,$J340*$H340/100/12)</f>
      </c>
      <c r="M340" s="43">
        <f>IF($I340=0,0,IF(OR(INDEX(DarlOhneTilgung,1)=1,AND(INDEX(DarlTilgStart,1)&gt;0,$E340&lt;INDEX(DarlTilgStart,1))),0,MIN(MAX(0,$K340-$L340),$J340)))</f>
      </c>
      <c r="N340" s="43">
        <f>IF($I340=0,0,MIN(SUMIFS(SondBetrag,SondDarl,1,SondDatum,"&gt;="&amp;$E340,SondDatum,"&lt;="&amp;EOMONTH($E340,0)),$J340-$M340))</f>
      </c>
      <c r="O340" s="43">
        <f>IF($I340=0,0,INDEX(DarlErsatzRate,1))</f>
      </c>
      <c r="P340" s="43">
        <f>IF($I340=0,0,$Q339*INDEX(DarlErsatzZins,1))</f>
      </c>
      <c r="Q340" s="43">
        <f>IF($I340=0,0,$Q339+$P340+$O340)</f>
      </c>
      <c r="R340" s="43">
        <f>IF($I340=0,0,$J340-$M340-$N340)</f>
      </c>
    </row>
    <row r="341">
      <c r="A341"/>
      <c r="B341">
        <v>1</v>
      </c>
      <c r="C341" s="43">
        <f>INDEX(DarlObj,1)</f>
      </c>
      <c r="D341">
        <v>338</v>
      </c>
      <c r="E341" s="51">
        <f>IF(INDEX(DarlBelegt,1)=0,0,EOMONTH(INDEX(DarlAuszahlung,1),337)+1)</f>
      </c>
      <c r="F341" s="43">
        <f>IF($E341=0,0,YEAR($E341))</f>
      </c>
      <c r="G341" s="43">
        <f>IF(INDEX(DarlBindung,1)="",1,IF($E341&lt;=INDEX(DarlBindung,1),1,0))</f>
      </c>
      <c r="H341" s="43">
        <f>IF($G341=1,INDEX(DarlSollzins,1),INDEX(DarlAnschluss,1))</f>
      </c>
      <c r="I341" s="43">
        <f>IF(INDEX(DarlBelegt,1)=0,0,IF(INDEX(DarlOhneTilgung,1)=1,IF(INDEX(DarlBindung,1)="",1,$G341),IF($J341&gt;0.005,1,0)))</f>
      </c>
      <c r="J341" s="43">
        <f>IF($I340=0,0,$R340)</f>
      </c>
      <c r="K341" s="43">
        <f>IF($I341=0,0,IF(INDEX(DarlOhneTilgung,1)=1,0,IF(AND(INDEX(DarlTilgStart,1)&gt;0,$E341=INDEX(DarlTilgStart,1)),$J341*($H341+INDEX(DarlTilgung,1))/100/12,IF(AND($G341=0,$G340=1),MAX($K340,$J341*($H341+1)/100/12),$K340))))</f>
      </c>
      <c r="L341" s="43">
        <f>IF($I341=0,0,$J341*$H341/100/12)</f>
      </c>
      <c r="M341" s="43">
        <f>IF($I341=0,0,IF(OR(INDEX(DarlOhneTilgung,1)=1,AND(INDEX(DarlTilgStart,1)&gt;0,$E341&lt;INDEX(DarlTilgStart,1))),0,MIN(MAX(0,$K341-$L341),$J341)))</f>
      </c>
      <c r="N341" s="43">
        <f>IF($I341=0,0,MIN(SUMIFS(SondBetrag,SondDarl,1,SondDatum,"&gt;="&amp;$E341,SondDatum,"&lt;="&amp;EOMONTH($E341,0)),$J341-$M341))</f>
      </c>
      <c r="O341" s="43">
        <f>IF($I341=0,0,INDEX(DarlErsatzRate,1))</f>
      </c>
      <c r="P341" s="43">
        <f>IF($I341=0,0,$Q340*INDEX(DarlErsatzZins,1))</f>
      </c>
      <c r="Q341" s="43">
        <f>IF($I341=0,0,$Q340+$P341+$O341)</f>
      </c>
      <c r="R341" s="43">
        <f>IF($I341=0,0,$J341-$M341-$N341)</f>
      </c>
    </row>
    <row r="342">
      <c r="A342"/>
      <c r="B342">
        <v>1</v>
      </c>
      <c r="C342" s="43">
        <f>INDEX(DarlObj,1)</f>
      </c>
      <c r="D342">
        <v>339</v>
      </c>
      <c r="E342" s="51">
        <f>IF(INDEX(DarlBelegt,1)=0,0,EOMONTH(INDEX(DarlAuszahlung,1),338)+1)</f>
      </c>
      <c r="F342" s="43">
        <f>IF($E342=0,0,YEAR($E342))</f>
      </c>
      <c r="G342" s="43">
        <f>IF(INDEX(DarlBindung,1)="",1,IF($E342&lt;=INDEX(DarlBindung,1),1,0))</f>
      </c>
      <c r="H342" s="43">
        <f>IF($G342=1,INDEX(DarlSollzins,1),INDEX(DarlAnschluss,1))</f>
      </c>
      <c r="I342" s="43">
        <f>IF(INDEX(DarlBelegt,1)=0,0,IF(INDEX(DarlOhneTilgung,1)=1,IF(INDEX(DarlBindung,1)="",1,$G342),IF($J342&gt;0.005,1,0)))</f>
      </c>
      <c r="J342" s="43">
        <f>IF($I341=0,0,$R341)</f>
      </c>
      <c r="K342" s="43">
        <f>IF($I342=0,0,IF(INDEX(DarlOhneTilgung,1)=1,0,IF(AND(INDEX(DarlTilgStart,1)&gt;0,$E342=INDEX(DarlTilgStart,1)),$J342*($H342+INDEX(DarlTilgung,1))/100/12,IF(AND($G342=0,$G341=1),MAX($K341,$J342*($H342+1)/100/12),$K341))))</f>
      </c>
      <c r="L342" s="43">
        <f>IF($I342=0,0,$J342*$H342/100/12)</f>
      </c>
      <c r="M342" s="43">
        <f>IF($I342=0,0,IF(OR(INDEX(DarlOhneTilgung,1)=1,AND(INDEX(DarlTilgStart,1)&gt;0,$E342&lt;INDEX(DarlTilgStart,1))),0,MIN(MAX(0,$K342-$L342),$J342)))</f>
      </c>
      <c r="N342" s="43">
        <f>IF($I342=0,0,MIN(SUMIFS(SondBetrag,SondDarl,1,SondDatum,"&gt;="&amp;$E342,SondDatum,"&lt;="&amp;EOMONTH($E342,0)),$J342-$M342))</f>
      </c>
      <c r="O342" s="43">
        <f>IF($I342=0,0,INDEX(DarlErsatzRate,1))</f>
      </c>
      <c r="P342" s="43">
        <f>IF($I342=0,0,$Q341*INDEX(DarlErsatzZins,1))</f>
      </c>
      <c r="Q342" s="43">
        <f>IF($I342=0,0,$Q341+$P342+$O342)</f>
      </c>
      <c r="R342" s="43">
        <f>IF($I342=0,0,$J342-$M342-$N342)</f>
      </c>
    </row>
    <row r="343">
      <c r="A343"/>
      <c r="B343">
        <v>1</v>
      </c>
      <c r="C343" s="43">
        <f>INDEX(DarlObj,1)</f>
      </c>
      <c r="D343">
        <v>340</v>
      </c>
      <c r="E343" s="51">
        <f>IF(INDEX(DarlBelegt,1)=0,0,EOMONTH(INDEX(DarlAuszahlung,1),339)+1)</f>
      </c>
      <c r="F343" s="43">
        <f>IF($E343=0,0,YEAR($E343))</f>
      </c>
      <c r="G343" s="43">
        <f>IF(INDEX(DarlBindung,1)="",1,IF($E343&lt;=INDEX(DarlBindung,1),1,0))</f>
      </c>
      <c r="H343" s="43">
        <f>IF($G343=1,INDEX(DarlSollzins,1),INDEX(DarlAnschluss,1))</f>
      </c>
      <c r="I343" s="43">
        <f>IF(INDEX(DarlBelegt,1)=0,0,IF(INDEX(DarlOhneTilgung,1)=1,IF(INDEX(DarlBindung,1)="",1,$G343),IF($J343&gt;0.005,1,0)))</f>
      </c>
      <c r="J343" s="43">
        <f>IF($I342=0,0,$R342)</f>
      </c>
      <c r="K343" s="43">
        <f>IF($I343=0,0,IF(INDEX(DarlOhneTilgung,1)=1,0,IF(AND(INDEX(DarlTilgStart,1)&gt;0,$E343=INDEX(DarlTilgStart,1)),$J343*($H343+INDEX(DarlTilgung,1))/100/12,IF(AND($G343=0,$G342=1),MAX($K342,$J343*($H343+1)/100/12),$K342))))</f>
      </c>
      <c r="L343" s="43">
        <f>IF($I343=0,0,$J343*$H343/100/12)</f>
      </c>
      <c r="M343" s="43">
        <f>IF($I343=0,0,IF(OR(INDEX(DarlOhneTilgung,1)=1,AND(INDEX(DarlTilgStart,1)&gt;0,$E343&lt;INDEX(DarlTilgStart,1))),0,MIN(MAX(0,$K343-$L343),$J343)))</f>
      </c>
      <c r="N343" s="43">
        <f>IF($I343=0,0,MIN(SUMIFS(SondBetrag,SondDarl,1,SondDatum,"&gt;="&amp;$E343,SondDatum,"&lt;="&amp;EOMONTH($E343,0)),$J343-$M343))</f>
      </c>
      <c r="O343" s="43">
        <f>IF($I343=0,0,INDEX(DarlErsatzRate,1))</f>
      </c>
      <c r="P343" s="43">
        <f>IF($I343=0,0,$Q342*INDEX(DarlErsatzZins,1))</f>
      </c>
      <c r="Q343" s="43">
        <f>IF($I343=0,0,$Q342+$P343+$O343)</f>
      </c>
      <c r="R343" s="43">
        <f>IF($I343=0,0,$J343-$M343-$N343)</f>
      </c>
    </row>
    <row r="344">
      <c r="A344"/>
      <c r="B344">
        <v>1</v>
      </c>
      <c r="C344" s="43">
        <f>INDEX(DarlObj,1)</f>
      </c>
      <c r="D344">
        <v>341</v>
      </c>
      <c r="E344" s="51">
        <f>IF(INDEX(DarlBelegt,1)=0,0,EOMONTH(INDEX(DarlAuszahlung,1),340)+1)</f>
      </c>
      <c r="F344" s="43">
        <f>IF($E344=0,0,YEAR($E344))</f>
      </c>
      <c r="G344" s="43">
        <f>IF(INDEX(DarlBindung,1)="",1,IF($E344&lt;=INDEX(DarlBindung,1),1,0))</f>
      </c>
      <c r="H344" s="43">
        <f>IF($G344=1,INDEX(DarlSollzins,1),INDEX(DarlAnschluss,1))</f>
      </c>
      <c r="I344" s="43">
        <f>IF(INDEX(DarlBelegt,1)=0,0,IF(INDEX(DarlOhneTilgung,1)=1,IF(INDEX(DarlBindung,1)="",1,$G344),IF($J344&gt;0.005,1,0)))</f>
      </c>
      <c r="J344" s="43">
        <f>IF($I343=0,0,$R343)</f>
      </c>
      <c r="K344" s="43">
        <f>IF($I344=0,0,IF(INDEX(DarlOhneTilgung,1)=1,0,IF(AND(INDEX(DarlTilgStart,1)&gt;0,$E344=INDEX(DarlTilgStart,1)),$J344*($H344+INDEX(DarlTilgung,1))/100/12,IF(AND($G344=0,$G343=1),MAX($K343,$J344*($H344+1)/100/12),$K343))))</f>
      </c>
      <c r="L344" s="43">
        <f>IF($I344=0,0,$J344*$H344/100/12)</f>
      </c>
      <c r="M344" s="43">
        <f>IF($I344=0,0,IF(OR(INDEX(DarlOhneTilgung,1)=1,AND(INDEX(DarlTilgStart,1)&gt;0,$E344&lt;INDEX(DarlTilgStart,1))),0,MIN(MAX(0,$K344-$L344),$J344)))</f>
      </c>
      <c r="N344" s="43">
        <f>IF($I344=0,0,MIN(SUMIFS(SondBetrag,SondDarl,1,SondDatum,"&gt;="&amp;$E344,SondDatum,"&lt;="&amp;EOMONTH($E344,0)),$J344-$M344))</f>
      </c>
      <c r="O344" s="43">
        <f>IF($I344=0,0,INDEX(DarlErsatzRate,1))</f>
      </c>
      <c r="P344" s="43">
        <f>IF($I344=0,0,$Q343*INDEX(DarlErsatzZins,1))</f>
      </c>
      <c r="Q344" s="43">
        <f>IF($I344=0,0,$Q343+$P344+$O344)</f>
      </c>
      <c r="R344" s="43">
        <f>IF($I344=0,0,$J344-$M344-$N344)</f>
      </c>
    </row>
    <row r="345">
      <c r="A345"/>
      <c r="B345">
        <v>1</v>
      </c>
      <c r="C345" s="43">
        <f>INDEX(DarlObj,1)</f>
      </c>
      <c r="D345">
        <v>342</v>
      </c>
      <c r="E345" s="51">
        <f>IF(INDEX(DarlBelegt,1)=0,0,EOMONTH(INDEX(DarlAuszahlung,1),341)+1)</f>
      </c>
      <c r="F345" s="43">
        <f>IF($E345=0,0,YEAR($E345))</f>
      </c>
      <c r="G345" s="43">
        <f>IF(INDEX(DarlBindung,1)="",1,IF($E345&lt;=INDEX(DarlBindung,1),1,0))</f>
      </c>
      <c r="H345" s="43">
        <f>IF($G345=1,INDEX(DarlSollzins,1),INDEX(DarlAnschluss,1))</f>
      </c>
      <c r="I345" s="43">
        <f>IF(INDEX(DarlBelegt,1)=0,0,IF(INDEX(DarlOhneTilgung,1)=1,IF(INDEX(DarlBindung,1)="",1,$G345),IF($J345&gt;0.005,1,0)))</f>
      </c>
      <c r="J345" s="43">
        <f>IF($I344=0,0,$R344)</f>
      </c>
      <c r="K345" s="43">
        <f>IF($I345=0,0,IF(INDEX(DarlOhneTilgung,1)=1,0,IF(AND(INDEX(DarlTilgStart,1)&gt;0,$E345=INDEX(DarlTilgStart,1)),$J345*($H345+INDEX(DarlTilgung,1))/100/12,IF(AND($G345=0,$G344=1),MAX($K344,$J345*($H345+1)/100/12),$K344))))</f>
      </c>
      <c r="L345" s="43">
        <f>IF($I345=0,0,$J345*$H345/100/12)</f>
      </c>
      <c r="M345" s="43">
        <f>IF($I345=0,0,IF(OR(INDEX(DarlOhneTilgung,1)=1,AND(INDEX(DarlTilgStart,1)&gt;0,$E345&lt;INDEX(DarlTilgStart,1))),0,MIN(MAX(0,$K345-$L345),$J345)))</f>
      </c>
      <c r="N345" s="43">
        <f>IF($I345=0,0,MIN(SUMIFS(SondBetrag,SondDarl,1,SondDatum,"&gt;="&amp;$E345,SondDatum,"&lt;="&amp;EOMONTH($E345,0)),$J345-$M345))</f>
      </c>
      <c r="O345" s="43">
        <f>IF($I345=0,0,INDEX(DarlErsatzRate,1))</f>
      </c>
      <c r="P345" s="43">
        <f>IF($I345=0,0,$Q344*INDEX(DarlErsatzZins,1))</f>
      </c>
      <c r="Q345" s="43">
        <f>IF($I345=0,0,$Q344+$P345+$O345)</f>
      </c>
      <c r="R345" s="43">
        <f>IF($I345=0,0,$J345-$M345-$N345)</f>
      </c>
    </row>
    <row r="346">
      <c r="A346"/>
      <c r="B346">
        <v>1</v>
      </c>
      <c r="C346" s="43">
        <f>INDEX(DarlObj,1)</f>
      </c>
      <c r="D346">
        <v>343</v>
      </c>
      <c r="E346" s="51">
        <f>IF(INDEX(DarlBelegt,1)=0,0,EOMONTH(INDEX(DarlAuszahlung,1),342)+1)</f>
      </c>
      <c r="F346" s="43">
        <f>IF($E346=0,0,YEAR($E346))</f>
      </c>
      <c r="G346" s="43">
        <f>IF(INDEX(DarlBindung,1)="",1,IF($E346&lt;=INDEX(DarlBindung,1),1,0))</f>
      </c>
      <c r="H346" s="43">
        <f>IF($G346=1,INDEX(DarlSollzins,1),INDEX(DarlAnschluss,1))</f>
      </c>
      <c r="I346" s="43">
        <f>IF(INDEX(DarlBelegt,1)=0,0,IF(INDEX(DarlOhneTilgung,1)=1,IF(INDEX(DarlBindung,1)="",1,$G346),IF($J346&gt;0.005,1,0)))</f>
      </c>
      <c r="J346" s="43">
        <f>IF($I345=0,0,$R345)</f>
      </c>
      <c r="K346" s="43">
        <f>IF($I346=0,0,IF(INDEX(DarlOhneTilgung,1)=1,0,IF(AND(INDEX(DarlTilgStart,1)&gt;0,$E346=INDEX(DarlTilgStart,1)),$J346*($H346+INDEX(DarlTilgung,1))/100/12,IF(AND($G346=0,$G345=1),MAX($K345,$J346*($H346+1)/100/12),$K345))))</f>
      </c>
      <c r="L346" s="43">
        <f>IF($I346=0,0,$J346*$H346/100/12)</f>
      </c>
      <c r="M346" s="43">
        <f>IF($I346=0,0,IF(OR(INDEX(DarlOhneTilgung,1)=1,AND(INDEX(DarlTilgStart,1)&gt;0,$E346&lt;INDEX(DarlTilgStart,1))),0,MIN(MAX(0,$K346-$L346),$J346)))</f>
      </c>
      <c r="N346" s="43">
        <f>IF($I346=0,0,MIN(SUMIFS(SondBetrag,SondDarl,1,SondDatum,"&gt;="&amp;$E346,SondDatum,"&lt;="&amp;EOMONTH($E346,0)),$J346-$M346))</f>
      </c>
      <c r="O346" s="43">
        <f>IF($I346=0,0,INDEX(DarlErsatzRate,1))</f>
      </c>
      <c r="P346" s="43">
        <f>IF($I346=0,0,$Q345*INDEX(DarlErsatzZins,1))</f>
      </c>
      <c r="Q346" s="43">
        <f>IF($I346=0,0,$Q345+$P346+$O346)</f>
      </c>
      <c r="R346" s="43">
        <f>IF($I346=0,0,$J346-$M346-$N346)</f>
      </c>
    </row>
    <row r="347">
      <c r="A347"/>
      <c r="B347">
        <v>1</v>
      </c>
      <c r="C347" s="43">
        <f>INDEX(DarlObj,1)</f>
      </c>
      <c r="D347">
        <v>344</v>
      </c>
      <c r="E347" s="51">
        <f>IF(INDEX(DarlBelegt,1)=0,0,EOMONTH(INDEX(DarlAuszahlung,1),343)+1)</f>
      </c>
      <c r="F347" s="43">
        <f>IF($E347=0,0,YEAR($E347))</f>
      </c>
      <c r="G347" s="43">
        <f>IF(INDEX(DarlBindung,1)="",1,IF($E347&lt;=INDEX(DarlBindung,1),1,0))</f>
      </c>
      <c r="H347" s="43">
        <f>IF($G347=1,INDEX(DarlSollzins,1),INDEX(DarlAnschluss,1))</f>
      </c>
      <c r="I347" s="43">
        <f>IF(INDEX(DarlBelegt,1)=0,0,IF(INDEX(DarlOhneTilgung,1)=1,IF(INDEX(DarlBindung,1)="",1,$G347),IF($J347&gt;0.005,1,0)))</f>
      </c>
      <c r="J347" s="43">
        <f>IF($I346=0,0,$R346)</f>
      </c>
      <c r="K347" s="43">
        <f>IF($I347=0,0,IF(INDEX(DarlOhneTilgung,1)=1,0,IF(AND(INDEX(DarlTilgStart,1)&gt;0,$E347=INDEX(DarlTilgStart,1)),$J347*($H347+INDEX(DarlTilgung,1))/100/12,IF(AND($G347=0,$G346=1),MAX($K346,$J347*($H347+1)/100/12),$K346))))</f>
      </c>
      <c r="L347" s="43">
        <f>IF($I347=0,0,$J347*$H347/100/12)</f>
      </c>
      <c r="M347" s="43">
        <f>IF($I347=0,0,IF(OR(INDEX(DarlOhneTilgung,1)=1,AND(INDEX(DarlTilgStart,1)&gt;0,$E347&lt;INDEX(DarlTilgStart,1))),0,MIN(MAX(0,$K347-$L347),$J347)))</f>
      </c>
      <c r="N347" s="43">
        <f>IF($I347=0,0,MIN(SUMIFS(SondBetrag,SondDarl,1,SondDatum,"&gt;="&amp;$E347,SondDatum,"&lt;="&amp;EOMONTH($E347,0)),$J347-$M347))</f>
      </c>
      <c r="O347" s="43">
        <f>IF($I347=0,0,INDEX(DarlErsatzRate,1))</f>
      </c>
      <c r="P347" s="43">
        <f>IF($I347=0,0,$Q346*INDEX(DarlErsatzZins,1))</f>
      </c>
      <c r="Q347" s="43">
        <f>IF($I347=0,0,$Q346+$P347+$O347)</f>
      </c>
      <c r="R347" s="43">
        <f>IF($I347=0,0,$J347-$M347-$N347)</f>
      </c>
    </row>
    <row r="348">
      <c r="A348"/>
      <c r="B348">
        <v>1</v>
      </c>
      <c r="C348" s="43">
        <f>INDEX(DarlObj,1)</f>
      </c>
      <c r="D348">
        <v>345</v>
      </c>
      <c r="E348" s="51">
        <f>IF(INDEX(DarlBelegt,1)=0,0,EOMONTH(INDEX(DarlAuszahlung,1),344)+1)</f>
      </c>
      <c r="F348" s="43">
        <f>IF($E348=0,0,YEAR($E348))</f>
      </c>
      <c r="G348" s="43">
        <f>IF(INDEX(DarlBindung,1)="",1,IF($E348&lt;=INDEX(DarlBindung,1),1,0))</f>
      </c>
      <c r="H348" s="43">
        <f>IF($G348=1,INDEX(DarlSollzins,1),INDEX(DarlAnschluss,1))</f>
      </c>
      <c r="I348" s="43">
        <f>IF(INDEX(DarlBelegt,1)=0,0,IF(INDEX(DarlOhneTilgung,1)=1,IF(INDEX(DarlBindung,1)="",1,$G348),IF($J348&gt;0.005,1,0)))</f>
      </c>
      <c r="J348" s="43">
        <f>IF($I347=0,0,$R347)</f>
      </c>
      <c r="K348" s="43">
        <f>IF($I348=0,0,IF(INDEX(DarlOhneTilgung,1)=1,0,IF(AND(INDEX(DarlTilgStart,1)&gt;0,$E348=INDEX(DarlTilgStart,1)),$J348*($H348+INDEX(DarlTilgung,1))/100/12,IF(AND($G348=0,$G347=1),MAX($K347,$J348*($H348+1)/100/12),$K347))))</f>
      </c>
      <c r="L348" s="43">
        <f>IF($I348=0,0,$J348*$H348/100/12)</f>
      </c>
      <c r="M348" s="43">
        <f>IF($I348=0,0,IF(OR(INDEX(DarlOhneTilgung,1)=1,AND(INDEX(DarlTilgStart,1)&gt;0,$E348&lt;INDEX(DarlTilgStart,1))),0,MIN(MAX(0,$K348-$L348),$J348)))</f>
      </c>
      <c r="N348" s="43">
        <f>IF($I348=0,0,MIN(SUMIFS(SondBetrag,SondDarl,1,SondDatum,"&gt;="&amp;$E348,SondDatum,"&lt;="&amp;EOMONTH($E348,0)),$J348-$M348))</f>
      </c>
      <c r="O348" s="43">
        <f>IF($I348=0,0,INDEX(DarlErsatzRate,1))</f>
      </c>
      <c r="P348" s="43">
        <f>IF($I348=0,0,$Q347*INDEX(DarlErsatzZins,1))</f>
      </c>
      <c r="Q348" s="43">
        <f>IF($I348=0,0,$Q347+$P348+$O348)</f>
      </c>
      <c r="R348" s="43">
        <f>IF($I348=0,0,$J348-$M348-$N348)</f>
      </c>
    </row>
    <row r="349">
      <c r="A349"/>
      <c r="B349">
        <v>1</v>
      </c>
      <c r="C349" s="43">
        <f>INDEX(DarlObj,1)</f>
      </c>
      <c r="D349">
        <v>346</v>
      </c>
      <c r="E349" s="51">
        <f>IF(INDEX(DarlBelegt,1)=0,0,EOMONTH(INDEX(DarlAuszahlung,1),345)+1)</f>
      </c>
      <c r="F349" s="43">
        <f>IF($E349=0,0,YEAR($E349))</f>
      </c>
      <c r="G349" s="43">
        <f>IF(INDEX(DarlBindung,1)="",1,IF($E349&lt;=INDEX(DarlBindung,1),1,0))</f>
      </c>
      <c r="H349" s="43">
        <f>IF($G349=1,INDEX(DarlSollzins,1),INDEX(DarlAnschluss,1))</f>
      </c>
      <c r="I349" s="43">
        <f>IF(INDEX(DarlBelegt,1)=0,0,IF(INDEX(DarlOhneTilgung,1)=1,IF(INDEX(DarlBindung,1)="",1,$G349),IF($J349&gt;0.005,1,0)))</f>
      </c>
      <c r="J349" s="43">
        <f>IF($I348=0,0,$R348)</f>
      </c>
      <c r="K349" s="43">
        <f>IF($I349=0,0,IF(INDEX(DarlOhneTilgung,1)=1,0,IF(AND(INDEX(DarlTilgStart,1)&gt;0,$E349=INDEX(DarlTilgStart,1)),$J349*($H349+INDEX(DarlTilgung,1))/100/12,IF(AND($G349=0,$G348=1),MAX($K348,$J349*($H349+1)/100/12),$K348))))</f>
      </c>
      <c r="L349" s="43">
        <f>IF($I349=0,0,$J349*$H349/100/12)</f>
      </c>
      <c r="M349" s="43">
        <f>IF($I349=0,0,IF(OR(INDEX(DarlOhneTilgung,1)=1,AND(INDEX(DarlTilgStart,1)&gt;0,$E349&lt;INDEX(DarlTilgStart,1))),0,MIN(MAX(0,$K349-$L349),$J349)))</f>
      </c>
      <c r="N349" s="43">
        <f>IF($I349=0,0,MIN(SUMIFS(SondBetrag,SondDarl,1,SondDatum,"&gt;="&amp;$E349,SondDatum,"&lt;="&amp;EOMONTH($E349,0)),$J349-$M349))</f>
      </c>
      <c r="O349" s="43">
        <f>IF($I349=0,0,INDEX(DarlErsatzRate,1))</f>
      </c>
      <c r="P349" s="43">
        <f>IF($I349=0,0,$Q348*INDEX(DarlErsatzZins,1))</f>
      </c>
      <c r="Q349" s="43">
        <f>IF($I349=0,0,$Q348+$P349+$O349)</f>
      </c>
      <c r="R349" s="43">
        <f>IF($I349=0,0,$J349-$M349-$N349)</f>
      </c>
    </row>
    <row r="350">
      <c r="A350"/>
      <c r="B350">
        <v>1</v>
      </c>
      <c r="C350" s="43">
        <f>INDEX(DarlObj,1)</f>
      </c>
      <c r="D350">
        <v>347</v>
      </c>
      <c r="E350" s="51">
        <f>IF(INDEX(DarlBelegt,1)=0,0,EOMONTH(INDEX(DarlAuszahlung,1),346)+1)</f>
      </c>
      <c r="F350" s="43">
        <f>IF($E350=0,0,YEAR($E350))</f>
      </c>
      <c r="G350" s="43">
        <f>IF(INDEX(DarlBindung,1)="",1,IF($E350&lt;=INDEX(DarlBindung,1),1,0))</f>
      </c>
      <c r="H350" s="43">
        <f>IF($G350=1,INDEX(DarlSollzins,1),INDEX(DarlAnschluss,1))</f>
      </c>
      <c r="I350" s="43">
        <f>IF(INDEX(DarlBelegt,1)=0,0,IF(INDEX(DarlOhneTilgung,1)=1,IF(INDEX(DarlBindung,1)="",1,$G350),IF($J350&gt;0.005,1,0)))</f>
      </c>
      <c r="J350" s="43">
        <f>IF($I349=0,0,$R349)</f>
      </c>
      <c r="K350" s="43">
        <f>IF($I350=0,0,IF(INDEX(DarlOhneTilgung,1)=1,0,IF(AND(INDEX(DarlTilgStart,1)&gt;0,$E350=INDEX(DarlTilgStart,1)),$J350*($H350+INDEX(DarlTilgung,1))/100/12,IF(AND($G350=0,$G349=1),MAX($K349,$J350*($H350+1)/100/12),$K349))))</f>
      </c>
      <c r="L350" s="43">
        <f>IF($I350=0,0,$J350*$H350/100/12)</f>
      </c>
      <c r="M350" s="43">
        <f>IF($I350=0,0,IF(OR(INDEX(DarlOhneTilgung,1)=1,AND(INDEX(DarlTilgStart,1)&gt;0,$E350&lt;INDEX(DarlTilgStart,1))),0,MIN(MAX(0,$K350-$L350),$J350)))</f>
      </c>
      <c r="N350" s="43">
        <f>IF($I350=0,0,MIN(SUMIFS(SondBetrag,SondDarl,1,SondDatum,"&gt;="&amp;$E350,SondDatum,"&lt;="&amp;EOMONTH($E350,0)),$J350-$M350))</f>
      </c>
      <c r="O350" s="43">
        <f>IF($I350=0,0,INDEX(DarlErsatzRate,1))</f>
      </c>
      <c r="P350" s="43">
        <f>IF($I350=0,0,$Q349*INDEX(DarlErsatzZins,1))</f>
      </c>
      <c r="Q350" s="43">
        <f>IF($I350=0,0,$Q349+$P350+$O350)</f>
      </c>
      <c r="R350" s="43">
        <f>IF($I350=0,0,$J350-$M350-$N350)</f>
      </c>
    </row>
    <row r="351">
      <c r="A351"/>
      <c r="B351">
        <v>1</v>
      </c>
      <c r="C351" s="43">
        <f>INDEX(DarlObj,1)</f>
      </c>
      <c r="D351">
        <v>348</v>
      </c>
      <c r="E351" s="51">
        <f>IF(INDEX(DarlBelegt,1)=0,0,EOMONTH(INDEX(DarlAuszahlung,1),347)+1)</f>
      </c>
      <c r="F351" s="43">
        <f>IF($E351=0,0,YEAR($E351))</f>
      </c>
      <c r="G351" s="43">
        <f>IF(INDEX(DarlBindung,1)="",1,IF($E351&lt;=INDEX(DarlBindung,1),1,0))</f>
      </c>
      <c r="H351" s="43">
        <f>IF($G351=1,INDEX(DarlSollzins,1),INDEX(DarlAnschluss,1))</f>
      </c>
      <c r="I351" s="43">
        <f>IF(INDEX(DarlBelegt,1)=0,0,IF(INDEX(DarlOhneTilgung,1)=1,IF(INDEX(DarlBindung,1)="",1,$G351),IF($J351&gt;0.005,1,0)))</f>
      </c>
      <c r="J351" s="43">
        <f>IF($I350=0,0,$R350)</f>
      </c>
      <c r="K351" s="43">
        <f>IF($I351=0,0,IF(INDEX(DarlOhneTilgung,1)=1,0,IF(AND(INDEX(DarlTilgStart,1)&gt;0,$E351=INDEX(DarlTilgStart,1)),$J351*($H351+INDEX(DarlTilgung,1))/100/12,IF(AND($G351=0,$G350=1),MAX($K350,$J351*($H351+1)/100/12),$K350))))</f>
      </c>
      <c r="L351" s="43">
        <f>IF($I351=0,0,$J351*$H351/100/12)</f>
      </c>
      <c r="M351" s="43">
        <f>IF($I351=0,0,IF(OR(INDEX(DarlOhneTilgung,1)=1,AND(INDEX(DarlTilgStart,1)&gt;0,$E351&lt;INDEX(DarlTilgStart,1))),0,MIN(MAX(0,$K351-$L351),$J351)))</f>
      </c>
      <c r="N351" s="43">
        <f>IF($I351=0,0,MIN(SUMIFS(SondBetrag,SondDarl,1,SondDatum,"&gt;="&amp;$E351,SondDatum,"&lt;="&amp;EOMONTH($E351,0)),$J351-$M351))</f>
      </c>
      <c r="O351" s="43">
        <f>IF($I351=0,0,INDEX(DarlErsatzRate,1))</f>
      </c>
      <c r="P351" s="43">
        <f>IF($I351=0,0,$Q350*INDEX(DarlErsatzZins,1))</f>
      </c>
      <c r="Q351" s="43">
        <f>IF($I351=0,0,$Q350+$P351+$O351)</f>
      </c>
      <c r="R351" s="43">
        <f>IF($I351=0,0,$J351-$M351-$N351)</f>
      </c>
    </row>
    <row r="352">
      <c r="A352"/>
      <c r="B352">
        <v>1</v>
      </c>
      <c r="C352" s="43">
        <f>INDEX(DarlObj,1)</f>
      </c>
      <c r="D352">
        <v>349</v>
      </c>
      <c r="E352" s="51">
        <f>IF(INDEX(DarlBelegt,1)=0,0,EOMONTH(INDEX(DarlAuszahlung,1),348)+1)</f>
      </c>
      <c r="F352" s="43">
        <f>IF($E352=0,0,YEAR($E352))</f>
      </c>
      <c r="G352" s="43">
        <f>IF(INDEX(DarlBindung,1)="",1,IF($E352&lt;=INDEX(DarlBindung,1),1,0))</f>
      </c>
      <c r="H352" s="43">
        <f>IF($G352=1,INDEX(DarlSollzins,1),INDEX(DarlAnschluss,1))</f>
      </c>
      <c r="I352" s="43">
        <f>IF(INDEX(DarlBelegt,1)=0,0,IF(INDEX(DarlOhneTilgung,1)=1,IF(INDEX(DarlBindung,1)="",1,$G352),IF($J352&gt;0.005,1,0)))</f>
      </c>
      <c r="J352" s="43">
        <f>IF($I351=0,0,$R351)</f>
      </c>
      <c r="K352" s="43">
        <f>IF($I352=0,0,IF(INDEX(DarlOhneTilgung,1)=1,0,IF(AND(INDEX(DarlTilgStart,1)&gt;0,$E352=INDEX(DarlTilgStart,1)),$J352*($H352+INDEX(DarlTilgung,1))/100/12,IF(AND($G352=0,$G351=1),MAX($K351,$J352*($H352+1)/100/12),$K351))))</f>
      </c>
      <c r="L352" s="43">
        <f>IF($I352=0,0,$J352*$H352/100/12)</f>
      </c>
      <c r="M352" s="43">
        <f>IF($I352=0,0,IF(OR(INDEX(DarlOhneTilgung,1)=1,AND(INDEX(DarlTilgStart,1)&gt;0,$E352&lt;INDEX(DarlTilgStart,1))),0,MIN(MAX(0,$K352-$L352),$J352)))</f>
      </c>
      <c r="N352" s="43">
        <f>IF($I352=0,0,MIN(SUMIFS(SondBetrag,SondDarl,1,SondDatum,"&gt;="&amp;$E352,SondDatum,"&lt;="&amp;EOMONTH($E352,0)),$J352-$M352))</f>
      </c>
      <c r="O352" s="43">
        <f>IF($I352=0,0,INDEX(DarlErsatzRate,1))</f>
      </c>
      <c r="P352" s="43">
        <f>IF($I352=0,0,$Q351*INDEX(DarlErsatzZins,1))</f>
      </c>
      <c r="Q352" s="43">
        <f>IF($I352=0,0,$Q351+$P352+$O352)</f>
      </c>
      <c r="R352" s="43">
        <f>IF($I352=0,0,$J352-$M352-$N352)</f>
      </c>
    </row>
    <row r="353">
      <c r="A353"/>
      <c r="B353">
        <v>1</v>
      </c>
      <c r="C353" s="43">
        <f>INDEX(DarlObj,1)</f>
      </c>
      <c r="D353">
        <v>350</v>
      </c>
      <c r="E353" s="51">
        <f>IF(INDEX(DarlBelegt,1)=0,0,EOMONTH(INDEX(DarlAuszahlung,1),349)+1)</f>
      </c>
      <c r="F353" s="43">
        <f>IF($E353=0,0,YEAR($E353))</f>
      </c>
      <c r="G353" s="43">
        <f>IF(INDEX(DarlBindung,1)="",1,IF($E353&lt;=INDEX(DarlBindung,1),1,0))</f>
      </c>
      <c r="H353" s="43">
        <f>IF($G353=1,INDEX(DarlSollzins,1),INDEX(DarlAnschluss,1))</f>
      </c>
      <c r="I353" s="43">
        <f>IF(INDEX(DarlBelegt,1)=0,0,IF(INDEX(DarlOhneTilgung,1)=1,IF(INDEX(DarlBindung,1)="",1,$G353),IF($J353&gt;0.005,1,0)))</f>
      </c>
      <c r="J353" s="43">
        <f>IF($I352=0,0,$R352)</f>
      </c>
      <c r="K353" s="43">
        <f>IF($I353=0,0,IF(INDEX(DarlOhneTilgung,1)=1,0,IF(AND(INDEX(DarlTilgStart,1)&gt;0,$E353=INDEX(DarlTilgStart,1)),$J353*($H353+INDEX(DarlTilgung,1))/100/12,IF(AND($G353=0,$G352=1),MAX($K352,$J353*($H353+1)/100/12),$K352))))</f>
      </c>
      <c r="L353" s="43">
        <f>IF($I353=0,0,$J353*$H353/100/12)</f>
      </c>
      <c r="M353" s="43">
        <f>IF($I353=0,0,IF(OR(INDEX(DarlOhneTilgung,1)=1,AND(INDEX(DarlTilgStart,1)&gt;0,$E353&lt;INDEX(DarlTilgStart,1))),0,MIN(MAX(0,$K353-$L353),$J353)))</f>
      </c>
      <c r="N353" s="43">
        <f>IF($I353=0,0,MIN(SUMIFS(SondBetrag,SondDarl,1,SondDatum,"&gt;="&amp;$E353,SondDatum,"&lt;="&amp;EOMONTH($E353,0)),$J353-$M353))</f>
      </c>
      <c r="O353" s="43">
        <f>IF($I353=0,0,INDEX(DarlErsatzRate,1))</f>
      </c>
      <c r="P353" s="43">
        <f>IF($I353=0,0,$Q352*INDEX(DarlErsatzZins,1))</f>
      </c>
      <c r="Q353" s="43">
        <f>IF($I353=0,0,$Q352+$P353+$O353)</f>
      </c>
      <c r="R353" s="43">
        <f>IF($I353=0,0,$J353-$M353-$N353)</f>
      </c>
    </row>
    <row r="354">
      <c r="A354"/>
      <c r="B354">
        <v>1</v>
      </c>
      <c r="C354" s="43">
        <f>INDEX(DarlObj,1)</f>
      </c>
      <c r="D354">
        <v>351</v>
      </c>
      <c r="E354" s="51">
        <f>IF(INDEX(DarlBelegt,1)=0,0,EOMONTH(INDEX(DarlAuszahlung,1),350)+1)</f>
      </c>
      <c r="F354" s="43">
        <f>IF($E354=0,0,YEAR($E354))</f>
      </c>
      <c r="G354" s="43">
        <f>IF(INDEX(DarlBindung,1)="",1,IF($E354&lt;=INDEX(DarlBindung,1),1,0))</f>
      </c>
      <c r="H354" s="43">
        <f>IF($G354=1,INDEX(DarlSollzins,1),INDEX(DarlAnschluss,1))</f>
      </c>
      <c r="I354" s="43">
        <f>IF(INDEX(DarlBelegt,1)=0,0,IF(INDEX(DarlOhneTilgung,1)=1,IF(INDEX(DarlBindung,1)="",1,$G354),IF($J354&gt;0.005,1,0)))</f>
      </c>
      <c r="J354" s="43">
        <f>IF($I353=0,0,$R353)</f>
      </c>
      <c r="K354" s="43">
        <f>IF($I354=0,0,IF(INDEX(DarlOhneTilgung,1)=1,0,IF(AND(INDEX(DarlTilgStart,1)&gt;0,$E354=INDEX(DarlTilgStart,1)),$J354*($H354+INDEX(DarlTilgung,1))/100/12,IF(AND($G354=0,$G353=1),MAX($K353,$J354*($H354+1)/100/12),$K353))))</f>
      </c>
      <c r="L354" s="43">
        <f>IF($I354=0,0,$J354*$H354/100/12)</f>
      </c>
      <c r="M354" s="43">
        <f>IF($I354=0,0,IF(OR(INDEX(DarlOhneTilgung,1)=1,AND(INDEX(DarlTilgStart,1)&gt;0,$E354&lt;INDEX(DarlTilgStart,1))),0,MIN(MAX(0,$K354-$L354),$J354)))</f>
      </c>
      <c r="N354" s="43">
        <f>IF($I354=0,0,MIN(SUMIFS(SondBetrag,SondDarl,1,SondDatum,"&gt;="&amp;$E354,SondDatum,"&lt;="&amp;EOMONTH($E354,0)),$J354-$M354))</f>
      </c>
      <c r="O354" s="43">
        <f>IF($I354=0,0,INDEX(DarlErsatzRate,1))</f>
      </c>
      <c r="P354" s="43">
        <f>IF($I354=0,0,$Q353*INDEX(DarlErsatzZins,1))</f>
      </c>
      <c r="Q354" s="43">
        <f>IF($I354=0,0,$Q353+$P354+$O354)</f>
      </c>
      <c r="R354" s="43">
        <f>IF($I354=0,0,$J354-$M354-$N354)</f>
      </c>
    </row>
    <row r="355">
      <c r="A355"/>
      <c r="B355">
        <v>1</v>
      </c>
      <c r="C355" s="43">
        <f>INDEX(DarlObj,1)</f>
      </c>
      <c r="D355">
        <v>352</v>
      </c>
      <c r="E355" s="51">
        <f>IF(INDEX(DarlBelegt,1)=0,0,EOMONTH(INDEX(DarlAuszahlung,1),351)+1)</f>
      </c>
      <c r="F355" s="43">
        <f>IF($E355=0,0,YEAR($E355))</f>
      </c>
      <c r="G355" s="43">
        <f>IF(INDEX(DarlBindung,1)="",1,IF($E355&lt;=INDEX(DarlBindung,1),1,0))</f>
      </c>
      <c r="H355" s="43">
        <f>IF($G355=1,INDEX(DarlSollzins,1),INDEX(DarlAnschluss,1))</f>
      </c>
      <c r="I355" s="43">
        <f>IF(INDEX(DarlBelegt,1)=0,0,IF(INDEX(DarlOhneTilgung,1)=1,IF(INDEX(DarlBindung,1)="",1,$G355),IF($J355&gt;0.005,1,0)))</f>
      </c>
      <c r="J355" s="43">
        <f>IF($I354=0,0,$R354)</f>
      </c>
      <c r="K355" s="43">
        <f>IF($I355=0,0,IF(INDEX(DarlOhneTilgung,1)=1,0,IF(AND(INDEX(DarlTilgStart,1)&gt;0,$E355=INDEX(DarlTilgStart,1)),$J355*($H355+INDEX(DarlTilgung,1))/100/12,IF(AND($G355=0,$G354=1),MAX($K354,$J355*($H355+1)/100/12),$K354))))</f>
      </c>
      <c r="L355" s="43">
        <f>IF($I355=0,0,$J355*$H355/100/12)</f>
      </c>
      <c r="M355" s="43">
        <f>IF($I355=0,0,IF(OR(INDEX(DarlOhneTilgung,1)=1,AND(INDEX(DarlTilgStart,1)&gt;0,$E355&lt;INDEX(DarlTilgStart,1))),0,MIN(MAX(0,$K355-$L355),$J355)))</f>
      </c>
      <c r="N355" s="43">
        <f>IF($I355=0,0,MIN(SUMIFS(SondBetrag,SondDarl,1,SondDatum,"&gt;="&amp;$E355,SondDatum,"&lt;="&amp;EOMONTH($E355,0)),$J355-$M355))</f>
      </c>
      <c r="O355" s="43">
        <f>IF($I355=0,0,INDEX(DarlErsatzRate,1))</f>
      </c>
      <c r="P355" s="43">
        <f>IF($I355=0,0,$Q354*INDEX(DarlErsatzZins,1))</f>
      </c>
      <c r="Q355" s="43">
        <f>IF($I355=0,0,$Q354+$P355+$O355)</f>
      </c>
      <c r="R355" s="43">
        <f>IF($I355=0,0,$J355-$M355-$N355)</f>
      </c>
    </row>
    <row r="356">
      <c r="A356"/>
      <c r="B356">
        <v>1</v>
      </c>
      <c r="C356" s="43">
        <f>INDEX(DarlObj,1)</f>
      </c>
      <c r="D356">
        <v>353</v>
      </c>
      <c r="E356" s="51">
        <f>IF(INDEX(DarlBelegt,1)=0,0,EOMONTH(INDEX(DarlAuszahlung,1),352)+1)</f>
      </c>
      <c r="F356" s="43">
        <f>IF($E356=0,0,YEAR($E356))</f>
      </c>
      <c r="G356" s="43">
        <f>IF(INDEX(DarlBindung,1)="",1,IF($E356&lt;=INDEX(DarlBindung,1),1,0))</f>
      </c>
      <c r="H356" s="43">
        <f>IF($G356=1,INDEX(DarlSollzins,1),INDEX(DarlAnschluss,1))</f>
      </c>
      <c r="I356" s="43">
        <f>IF(INDEX(DarlBelegt,1)=0,0,IF(INDEX(DarlOhneTilgung,1)=1,IF(INDEX(DarlBindung,1)="",1,$G356),IF($J356&gt;0.005,1,0)))</f>
      </c>
      <c r="J356" s="43">
        <f>IF($I355=0,0,$R355)</f>
      </c>
      <c r="K356" s="43">
        <f>IF($I356=0,0,IF(INDEX(DarlOhneTilgung,1)=1,0,IF(AND(INDEX(DarlTilgStart,1)&gt;0,$E356=INDEX(DarlTilgStart,1)),$J356*($H356+INDEX(DarlTilgung,1))/100/12,IF(AND($G356=0,$G355=1),MAX($K355,$J356*($H356+1)/100/12),$K355))))</f>
      </c>
      <c r="L356" s="43">
        <f>IF($I356=0,0,$J356*$H356/100/12)</f>
      </c>
      <c r="M356" s="43">
        <f>IF($I356=0,0,IF(OR(INDEX(DarlOhneTilgung,1)=1,AND(INDEX(DarlTilgStart,1)&gt;0,$E356&lt;INDEX(DarlTilgStart,1))),0,MIN(MAX(0,$K356-$L356),$J356)))</f>
      </c>
      <c r="N356" s="43">
        <f>IF($I356=0,0,MIN(SUMIFS(SondBetrag,SondDarl,1,SondDatum,"&gt;="&amp;$E356,SondDatum,"&lt;="&amp;EOMONTH($E356,0)),$J356-$M356))</f>
      </c>
      <c r="O356" s="43">
        <f>IF($I356=0,0,INDEX(DarlErsatzRate,1))</f>
      </c>
      <c r="P356" s="43">
        <f>IF($I356=0,0,$Q355*INDEX(DarlErsatzZins,1))</f>
      </c>
      <c r="Q356" s="43">
        <f>IF($I356=0,0,$Q355+$P356+$O356)</f>
      </c>
      <c r="R356" s="43">
        <f>IF($I356=0,0,$J356-$M356-$N356)</f>
      </c>
    </row>
    <row r="357">
      <c r="A357"/>
      <c r="B357">
        <v>1</v>
      </c>
      <c r="C357" s="43">
        <f>INDEX(DarlObj,1)</f>
      </c>
      <c r="D357">
        <v>354</v>
      </c>
      <c r="E357" s="51">
        <f>IF(INDEX(DarlBelegt,1)=0,0,EOMONTH(INDEX(DarlAuszahlung,1),353)+1)</f>
      </c>
      <c r="F357" s="43">
        <f>IF($E357=0,0,YEAR($E357))</f>
      </c>
      <c r="G357" s="43">
        <f>IF(INDEX(DarlBindung,1)="",1,IF($E357&lt;=INDEX(DarlBindung,1),1,0))</f>
      </c>
      <c r="H357" s="43">
        <f>IF($G357=1,INDEX(DarlSollzins,1),INDEX(DarlAnschluss,1))</f>
      </c>
      <c r="I357" s="43">
        <f>IF(INDEX(DarlBelegt,1)=0,0,IF(INDEX(DarlOhneTilgung,1)=1,IF(INDEX(DarlBindung,1)="",1,$G357),IF($J357&gt;0.005,1,0)))</f>
      </c>
      <c r="J357" s="43">
        <f>IF($I356=0,0,$R356)</f>
      </c>
      <c r="K357" s="43">
        <f>IF($I357=0,0,IF(INDEX(DarlOhneTilgung,1)=1,0,IF(AND(INDEX(DarlTilgStart,1)&gt;0,$E357=INDEX(DarlTilgStart,1)),$J357*($H357+INDEX(DarlTilgung,1))/100/12,IF(AND($G357=0,$G356=1),MAX($K356,$J357*($H357+1)/100/12),$K356))))</f>
      </c>
      <c r="L357" s="43">
        <f>IF($I357=0,0,$J357*$H357/100/12)</f>
      </c>
      <c r="M357" s="43">
        <f>IF($I357=0,0,IF(OR(INDEX(DarlOhneTilgung,1)=1,AND(INDEX(DarlTilgStart,1)&gt;0,$E357&lt;INDEX(DarlTilgStart,1))),0,MIN(MAX(0,$K357-$L357),$J357)))</f>
      </c>
      <c r="N357" s="43">
        <f>IF($I357=0,0,MIN(SUMIFS(SondBetrag,SondDarl,1,SondDatum,"&gt;="&amp;$E357,SondDatum,"&lt;="&amp;EOMONTH($E357,0)),$J357-$M357))</f>
      </c>
      <c r="O357" s="43">
        <f>IF($I357=0,0,INDEX(DarlErsatzRate,1))</f>
      </c>
      <c r="P357" s="43">
        <f>IF($I357=0,0,$Q356*INDEX(DarlErsatzZins,1))</f>
      </c>
      <c r="Q357" s="43">
        <f>IF($I357=0,0,$Q356+$P357+$O357)</f>
      </c>
      <c r="R357" s="43">
        <f>IF($I357=0,0,$J357-$M357-$N357)</f>
      </c>
    </row>
    <row r="358">
      <c r="A358"/>
      <c r="B358">
        <v>1</v>
      </c>
      <c r="C358" s="43">
        <f>INDEX(DarlObj,1)</f>
      </c>
      <c r="D358">
        <v>355</v>
      </c>
      <c r="E358" s="51">
        <f>IF(INDEX(DarlBelegt,1)=0,0,EOMONTH(INDEX(DarlAuszahlung,1),354)+1)</f>
      </c>
      <c r="F358" s="43">
        <f>IF($E358=0,0,YEAR($E358))</f>
      </c>
      <c r="G358" s="43">
        <f>IF(INDEX(DarlBindung,1)="",1,IF($E358&lt;=INDEX(DarlBindung,1),1,0))</f>
      </c>
      <c r="H358" s="43">
        <f>IF($G358=1,INDEX(DarlSollzins,1),INDEX(DarlAnschluss,1))</f>
      </c>
      <c r="I358" s="43">
        <f>IF(INDEX(DarlBelegt,1)=0,0,IF(INDEX(DarlOhneTilgung,1)=1,IF(INDEX(DarlBindung,1)="",1,$G358),IF($J358&gt;0.005,1,0)))</f>
      </c>
      <c r="J358" s="43">
        <f>IF($I357=0,0,$R357)</f>
      </c>
      <c r="K358" s="43">
        <f>IF($I358=0,0,IF(INDEX(DarlOhneTilgung,1)=1,0,IF(AND(INDEX(DarlTilgStart,1)&gt;0,$E358=INDEX(DarlTilgStart,1)),$J358*($H358+INDEX(DarlTilgung,1))/100/12,IF(AND($G358=0,$G357=1),MAX($K357,$J358*($H358+1)/100/12),$K357))))</f>
      </c>
      <c r="L358" s="43">
        <f>IF($I358=0,0,$J358*$H358/100/12)</f>
      </c>
      <c r="M358" s="43">
        <f>IF($I358=0,0,IF(OR(INDEX(DarlOhneTilgung,1)=1,AND(INDEX(DarlTilgStart,1)&gt;0,$E358&lt;INDEX(DarlTilgStart,1))),0,MIN(MAX(0,$K358-$L358),$J358)))</f>
      </c>
      <c r="N358" s="43">
        <f>IF($I358=0,0,MIN(SUMIFS(SondBetrag,SondDarl,1,SondDatum,"&gt;="&amp;$E358,SondDatum,"&lt;="&amp;EOMONTH($E358,0)),$J358-$M358))</f>
      </c>
      <c r="O358" s="43">
        <f>IF($I358=0,0,INDEX(DarlErsatzRate,1))</f>
      </c>
      <c r="P358" s="43">
        <f>IF($I358=0,0,$Q357*INDEX(DarlErsatzZins,1))</f>
      </c>
      <c r="Q358" s="43">
        <f>IF($I358=0,0,$Q357+$P358+$O358)</f>
      </c>
      <c r="R358" s="43">
        <f>IF($I358=0,0,$J358-$M358-$N358)</f>
      </c>
    </row>
    <row r="359">
      <c r="A359"/>
      <c r="B359">
        <v>1</v>
      </c>
      <c r="C359" s="43">
        <f>INDEX(DarlObj,1)</f>
      </c>
      <c r="D359">
        <v>356</v>
      </c>
      <c r="E359" s="51">
        <f>IF(INDEX(DarlBelegt,1)=0,0,EOMONTH(INDEX(DarlAuszahlung,1),355)+1)</f>
      </c>
      <c r="F359" s="43">
        <f>IF($E359=0,0,YEAR($E359))</f>
      </c>
      <c r="G359" s="43">
        <f>IF(INDEX(DarlBindung,1)="",1,IF($E359&lt;=INDEX(DarlBindung,1),1,0))</f>
      </c>
      <c r="H359" s="43">
        <f>IF($G359=1,INDEX(DarlSollzins,1),INDEX(DarlAnschluss,1))</f>
      </c>
      <c r="I359" s="43">
        <f>IF(INDEX(DarlBelegt,1)=0,0,IF(INDEX(DarlOhneTilgung,1)=1,IF(INDEX(DarlBindung,1)="",1,$G359),IF($J359&gt;0.005,1,0)))</f>
      </c>
      <c r="J359" s="43">
        <f>IF($I358=0,0,$R358)</f>
      </c>
      <c r="K359" s="43">
        <f>IF($I359=0,0,IF(INDEX(DarlOhneTilgung,1)=1,0,IF(AND(INDEX(DarlTilgStart,1)&gt;0,$E359=INDEX(DarlTilgStart,1)),$J359*($H359+INDEX(DarlTilgung,1))/100/12,IF(AND($G359=0,$G358=1),MAX($K358,$J359*($H359+1)/100/12),$K358))))</f>
      </c>
      <c r="L359" s="43">
        <f>IF($I359=0,0,$J359*$H359/100/12)</f>
      </c>
      <c r="M359" s="43">
        <f>IF($I359=0,0,IF(OR(INDEX(DarlOhneTilgung,1)=1,AND(INDEX(DarlTilgStart,1)&gt;0,$E359&lt;INDEX(DarlTilgStart,1))),0,MIN(MAX(0,$K359-$L359),$J359)))</f>
      </c>
      <c r="N359" s="43">
        <f>IF($I359=0,0,MIN(SUMIFS(SondBetrag,SondDarl,1,SondDatum,"&gt;="&amp;$E359,SondDatum,"&lt;="&amp;EOMONTH($E359,0)),$J359-$M359))</f>
      </c>
      <c r="O359" s="43">
        <f>IF($I359=0,0,INDEX(DarlErsatzRate,1))</f>
      </c>
      <c r="P359" s="43">
        <f>IF($I359=0,0,$Q358*INDEX(DarlErsatzZins,1))</f>
      </c>
      <c r="Q359" s="43">
        <f>IF($I359=0,0,$Q358+$P359+$O359)</f>
      </c>
      <c r="R359" s="43">
        <f>IF($I359=0,0,$J359-$M359-$N359)</f>
      </c>
    </row>
    <row r="360">
      <c r="A360"/>
      <c r="B360">
        <v>1</v>
      </c>
      <c r="C360" s="43">
        <f>INDEX(DarlObj,1)</f>
      </c>
      <c r="D360">
        <v>357</v>
      </c>
      <c r="E360" s="51">
        <f>IF(INDEX(DarlBelegt,1)=0,0,EOMONTH(INDEX(DarlAuszahlung,1),356)+1)</f>
      </c>
      <c r="F360" s="43">
        <f>IF($E360=0,0,YEAR($E360))</f>
      </c>
      <c r="G360" s="43">
        <f>IF(INDEX(DarlBindung,1)="",1,IF($E360&lt;=INDEX(DarlBindung,1),1,0))</f>
      </c>
      <c r="H360" s="43">
        <f>IF($G360=1,INDEX(DarlSollzins,1),INDEX(DarlAnschluss,1))</f>
      </c>
      <c r="I360" s="43">
        <f>IF(INDEX(DarlBelegt,1)=0,0,IF(INDEX(DarlOhneTilgung,1)=1,IF(INDEX(DarlBindung,1)="",1,$G360),IF($J360&gt;0.005,1,0)))</f>
      </c>
      <c r="J360" s="43">
        <f>IF($I359=0,0,$R359)</f>
      </c>
      <c r="K360" s="43">
        <f>IF($I360=0,0,IF(INDEX(DarlOhneTilgung,1)=1,0,IF(AND(INDEX(DarlTilgStart,1)&gt;0,$E360=INDEX(DarlTilgStart,1)),$J360*($H360+INDEX(DarlTilgung,1))/100/12,IF(AND($G360=0,$G359=1),MAX($K359,$J360*($H360+1)/100/12),$K359))))</f>
      </c>
      <c r="L360" s="43">
        <f>IF($I360=0,0,$J360*$H360/100/12)</f>
      </c>
      <c r="M360" s="43">
        <f>IF($I360=0,0,IF(OR(INDEX(DarlOhneTilgung,1)=1,AND(INDEX(DarlTilgStart,1)&gt;0,$E360&lt;INDEX(DarlTilgStart,1))),0,MIN(MAX(0,$K360-$L360),$J360)))</f>
      </c>
      <c r="N360" s="43">
        <f>IF($I360=0,0,MIN(SUMIFS(SondBetrag,SondDarl,1,SondDatum,"&gt;="&amp;$E360,SondDatum,"&lt;="&amp;EOMONTH($E360,0)),$J360-$M360))</f>
      </c>
      <c r="O360" s="43">
        <f>IF($I360=0,0,INDEX(DarlErsatzRate,1))</f>
      </c>
      <c r="P360" s="43">
        <f>IF($I360=0,0,$Q359*INDEX(DarlErsatzZins,1))</f>
      </c>
      <c r="Q360" s="43">
        <f>IF($I360=0,0,$Q359+$P360+$O360)</f>
      </c>
      <c r="R360" s="43">
        <f>IF($I360=0,0,$J360-$M360-$N360)</f>
      </c>
    </row>
    <row r="361">
      <c r="A361"/>
      <c r="B361">
        <v>1</v>
      </c>
      <c r="C361" s="43">
        <f>INDEX(DarlObj,1)</f>
      </c>
      <c r="D361">
        <v>358</v>
      </c>
      <c r="E361" s="51">
        <f>IF(INDEX(DarlBelegt,1)=0,0,EOMONTH(INDEX(DarlAuszahlung,1),357)+1)</f>
      </c>
      <c r="F361" s="43">
        <f>IF($E361=0,0,YEAR($E361))</f>
      </c>
      <c r="G361" s="43">
        <f>IF(INDEX(DarlBindung,1)="",1,IF($E361&lt;=INDEX(DarlBindung,1),1,0))</f>
      </c>
      <c r="H361" s="43">
        <f>IF($G361=1,INDEX(DarlSollzins,1),INDEX(DarlAnschluss,1))</f>
      </c>
      <c r="I361" s="43">
        <f>IF(INDEX(DarlBelegt,1)=0,0,IF(INDEX(DarlOhneTilgung,1)=1,IF(INDEX(DarlBindung,1)="",1,$G361),IF($J361&gt;0.005,1,0)))</f>
      </c>
      <c r="J361" s="43">
        <f>IF($I360=0,0,$R360)</f>
      </c>
      <c r="K361" s="43">
        <f>IF($I361=0,0,IF(INDEX(DarlOhneTilgung,1)=1,0,IF(AND(INDEX(DarlTilgStart,1)&gt;0,$E361=INDEX(DarlTilgStart,1)),$J361*($H361+INDEX(DarlTilgung,1))/100/12,IF(AND($G361=0,$G360=1),MAX($K360,$J361*($H361+1)/100/12),$K360))))</f>
      </c>
      <c r="L361" s="43">
        <f>IF($I361=0,0,$J361*$H361/100/12)</f>
      </c>
      <c r="M361" s="43">
        <f>IF($I361=0,0,IF(OR(INDEX(DarlOhneTilgung,1)=1,AND(INDEX(DarlTilgStart,1)&gt;0,$E361&lt;INDEX(DarlTilgStart,1))),0,MIN(MAX(0,$K361-$L361),$J361)))</f>
      </c>
      <c r="N361" s="43">
        <f>IF($I361=0,0,MIN(SUMIFS(SondBetrag,SondDarl,1,SondDatum,"&gt;="&amp;$E361,SondDatum,"&lt;="&amp;EOMONTH($E361,0)),$J361-$M361))</f>
      </c>
      <c r="O361" s="43">
        <f>IF($I361=0,0,INDEX(DarlErsatzRate,1))</f>
      </c>
      <c r="P361" s="43">
        <f>IF($I361=0,0,$Q360*INDEX(DarlErsatzZins,1))</f>
      </c>
      <c r="Q361" s="43">
        <f>IF($I361=0,0,$Q360+$P361+$O361)</f>
      </c>
      <c r="R361" s="43">
        <f>IF($I361=0,0,$J361-$M361-$N361)</f>
      </c>
    </row>
    <row r="362">
      <c r="A362"/>
      <c r="B362">
        <v>1</v>
      </c>
      <c r="C362" s="43">
        <f>INDEX(DarlObj,1)</f>
      </c>
      <c r="D362">
        <v>359</v>
      </c>
      <c r="E362" s="51">
        <f>IF(INDEX(DarlBelegt,1)=0,0,EOMONTH(INDEX(DarlAuszahlung,1),358)+1)</f>
      </c>
      <c r="F362" s="43">
        <f>IF($E362=0,0,YEAR($E362))</f>
      </c>
      <c r="G362" s="43">
        <f>IF(INDEX(DarlBindung,1)="",1,IF($E362&lt;=INDEX(DarlBindung,1),1,0))</f>
      </c>
      <c r="H362" s="43">
        <f>IF($G362=1,INDEX(DarlSollzins,1),INDEX(DarlAnschluss,1))</f>
      </c>
      <c r="I362" s="43">
        <f>IF(INDEX(DarlBelegt,1)=0,0,IF(INDEX(DarlOhneTilgung,1)=1,IF(INDEX(DarlBindung,1)="",1,$G362),IF($J362&gt;0.005,1,0)))</f>
      </c>
      <c r="J362" s="43">
        <f>IF($I361=0,0,$R361)</f>
      </c>
      <c r="K362" s="43">
        <f>IF($I362=0,0,IF(INDEX(DarlOhneTilgung,1)=1,0,IF(AND(INDEX(DarlTilgStart,1)&gt;0,$E362=INDEX(DarlTilgStart,1)),$J362*($H362+INDEX(DarlTilgung,1))/100/12,IF(AND($G362=0,$G361=1),MAX($K361,$J362*($H362+1)/100/12),$K361))))</f>
      </c>
      <c r="L362" s="43">
        <f>IF($I362=0,0,$J362*$H362/100/12)</f>
      </c>
      <c r="M362" s="43">
        <f>IF($I362=0,0,IF(OR(INDEX(DarlOhneTilgung,1)=1,AND(INDEX(DarlTilgStart,1)&gt;0,$E362&lt;INDEX(DarlTilgStart,1))),0,MIN(MAX(0,$K362-$L362),$J362)))</f>
      </c>
      <c r="N362" s="43">
        <f>IF($I362=0,0,MIN(SUMIFS(SondBetrag,SondDarl,1,SondDatum,"&gt;="&amp;$E362,SondDatum,"&lt;="&amp;EOMONTH($E362,0)),$J362-$M362))</f>
      </c>
      <c r="O362" s="43">
        <f>IF($I362=0,0,INDEX(DarlErsatzRate,1))</f>
      </c>
      <c r="P362" s="43">
        <f>IF($I362=0,0,$Q361*INDEX(DarlErsatzZins,1))</f>
      </c>
      <c r="Q362" s="43">
        <f>IF($I362=0,0,$Q361+$P362+$O362)</f>
      </c>
      <c r="R362" s="43">
        <f>IF($I362=0,0,$J362-$M362-$N362)</f>
      </c>
    </row>
    <row r="363">
      <c r="A363"/>
      <c r="B363">
        <v>1</v>
      </c>
      <c r="C363" s="43">
        <f>INDEX(DarlObj,1)</f>
      </c>
      <c r="D363">
        <v>360</v>
      </c>
      <c r="E363" s="51">
        <f>IF(INDEX(DarlBelegt,1)=0,0,EOMONTH(INDEX(DarlAuszahlung,1),359)+1)</f>
      </c>
      <c r="F363" s="43">
        <f>IF($E363=0,0,YEAR($E363))</f>
      </c>
      <c r="G363" s="43">
        <f>IF(INDEX(DarlBindung,1)="",1,IF($E363&lt;=INDEX(DarlBindung,1),1,0))</f>
      </c>
      <c r="H363" s="43">
        <f>IF($G363=1,INDEX(DarlSollzins,1),INDEX(DarlAnschluss,1))</f>
      </c>
      <c r="I363" s="43">
        <f>IF(INDEX(DarlBelegt,1)=0,0,IF(INDEX(DarlOhneTilgung,1)=1,IF(INDEX(DarlBindung,1)="",1,$G363),IF($J363&gt;0.005,1,0)))</f>
      </c>
      <c r="J363" s="43">
        <f>IF($I362=0,0,$R362)</f>
      </c>
      <c r="K363" s="43">
        <f>IF($I363=0,0,IF(INDEX(DarlOhneTilgung,1)=1,0,IF(AND(INDEX(DarlTilgStart,1)&gt;0,$E363=INDEX(DarlTilgStart,1)),$J363*($H363+INDEX(DarlTilgung,1))/100/12,IF(AND($G363=0,$G362=1),MAX($K362,$J363*($H363+1)/100/12),$K362))))</f>
      </c>
      <c r="L363" s="43">
        <f>IF($I363=0,0,$J363*$H363/100/12)</f>
      </c>
      <c r="M363" s="43">
        <f>IF($I363=0,0,IF(OR(INDEX(DarlOhneTilgung,1)=1,AND(INDEX(DarlTilgStart,1)&gt;0,$E363&lt;INDEX(DarlTilgStart,1))),0,MIN(MAX(0,$K363-$L363),$J363)))</f>
      </c>
      <c r="N363" s="43">
        <f>IF($I363=0,0,MIN(SUMIFS(SondBetrag,SondDarl,1,SondDatum,"&gt;="&amp;$E363,SondDatum,"&lt;="&amp;EOMONTH($E363,0)),$J363-$M363))</f>
      </c>
      <c r="O363" s="43">
        <f>IF($I363=0,0,INDEX(DarlErsatzRate,1))</f>
      </c>
      <c r="P363" s="43">
        <f>IF($I363=0,0,$Q362*INDEX(DarlErsatzZins,1))</f>
      </c>
      <c r="Q363" s="43">
        <f>IF($I363=0,0,$Q362+$P363+$O363)</f>
      </c>
      <c r="R363" s="43">
        <f>IF($I363=0,0,$J363-$M363-$N363)</f>
      </c>
    </row>
    <row r="364">
      <c r="A364"/>
      <c r="B364">
        <v>1</v>
      </c>
      <c r="C364" s="43">
        <f>INDEX(DarlObj,1)</f>
      </c>
      <c r="D364">
        <v>361</v>
      </c>
      <c r="E364" s="51">
        <f>IF(INDEX(DarlBelegt,1)=0,0,EOMONTH(INDEX(DarlAuszahlung,1),360)+1)</f>
      </c>
      <c r="F364" s="43">
        <f>IF($E364=0,0,YEAR($E364))</f>
      </c>
      <c r="G364" s="43">
        <f>IF(INDEX(DarlBindung,1)="",1,IF($E364&lt;=INDEX(DarlBindung,1),1,0))</f>
      </c>
      <c r="H364" s="43">
        <f>IF($G364=1,INDEX(DarlSollzins,1),INDEX(DarlAnschluss,1))</f>
      </c>
      <c r="I364" s="43">
        <f>IF(INDEX(DarlBelegt,1)=0,0,IF(INDEX(DarlOhneTilgung,1)=1,IF(INDEX(DarlBindung,1)="",1,$G364),IF($J364&gt;0.005,1,0)))</f>
      </c>
      <c r="J364" s="43">
        <f>IF($I363=0,0,$R363)</f>
      </c>
      <c r="K364" s="43">
        <f>IF($I364=0,0,IF(INDEX(DarlOhneTilgung,1)=1,0,IF(AND(INDEX(DarlTilgStart,1)&gt;0,$E364=INDEX(DarlTilgStart,1)),$J364*($H364+INDEX(DarlTilgung,1))/100/12,IF(AND($G364=0,$G363=1),MAX($K363,$J364*($H364+1)/100/12),$K363))))</f>
      </c>
      <c r="L364" s="43">
        <f>IF($I364=0,0,$J364*$H364/100/12)</f>
      </c>
      <c r="M364" s="43">
        <f>IF($I364=0,0,IF(OR(INDEX(DarlOhneTilgung,1)=1,AND(INDEX(DarlTilgStart,1)&gt;0,$E364&lt;INDEX(DarlTilgStart,1))),0,MIN(MAX(0,$K364-$L364),$J364)))</f>
      </c>
      <c r="N364" s="43">
        <f>IF($I364=0,0,MIN(SUMIFS(SondBetrag,SondDarl,1,SondDatum,"&gt;="&amp;$E364,SondDatum,"&lt;="&amp;EOMONTH($E364,0)),$J364-$M364))</f>
      </c>
      <c r="O364" s="43">
        <f>IF($I364=0,0,INDEX(DarlErsatzRate,1))</f>
      </c>
      <c r="P364" s="43">
        <f>IF($I364=0,0,$Q363*INDEX(DarlErsatzZins,1))</f>
      </c>
      <c r="Q364" s="43">
        <f>IF($I364=0,0,$Q363+$P364+$O364)</f>
      </c>
      <c r="R364" s="43">
        <f>IF($I364=0,0,$J364-$M364-$N364)</f>
      </c>
    </row>
    <row r="365">
      <c r="A365"/>
      <c r="B365">
        <v>1</v>
      </c>
      <c r="C365" s="43">
        <f>INDEX(DarlObj,1)</f>
      </c>
      <c r="D365">
        <v>362</v>
      </c>
      <c r="E365" s="51">
        <f>IF(INDEX(DarlBelegt,1)=0,0,EOMONTH(INDEX(DarlAuszahlung,1),361)+1)</f>
      </c>
      <c r="F365" s="43">
        <f>IF($E365=0,0,YEAR($E365))</f>
      </c>
      <c r="G365" s="43">
        <f>IF(INDEX(DarlBindung,1)="",1,IF($E365&lt;=INDEX(DarlBindung,1),1,0))</f>
      </c>
      <c r="H365" s="43">
        <f>IF($G365=1,INDEX(DarlSollzins,1),INDEX(DarlAnschluss,1))</f>
      </c>
      <c r="I365" s="43">
        <f>IF(INDEX(DarlBelegt,1)=0,0,IF(INDEX(DarlOhneTilgung,1)=1,IF(INDEX(DarlBindung,1)="",1,$G365),IF($J365&gt;0.005,1,0)))</f>
      </c>
      <c r="J365" s="43">
        <f>IF($I364=0,0,$R364)</f>
      </c>
      <c r="K365" s="43">
        <f>IF($I365=0,0,IF(INDEX(DarlOhneTilgung,1)=1,0,IF(AND(INDEX(DarlTilgStart,1)&gt;0,$E365=INDEX(DarlTilgStart,1)),$J365*($H365+INDEX(DarlTilgung,1))/100/12,IF(AND($G365=0,$G364=1),MAX($K364,$J365*($H365+1)/100/12),$K364))))</f>
      </c>
      <c r="L365" s="43">
        <f>IF($I365=0,0,$J365*$H365/100/12)</f>
      </c>
      <c r="M365" s="43">
        <f>IF($I365=0,0,IF(OR(INDEX(DarlOhneTilgung,1)=1,AND(INDEX(DarlTilgStart,1)&gt;0,$E365&lt;INDEX(DarlTilgStart,1))),0,MIN(MAX(0,$K365-$L365),$J365)))</f>
      </c>
      <c r="N365" s="43">
        <f>IF($I365=0,0,MIN(SUMIFS(SondBetrag,SondDarl,1,SondDatum,"&gt;="&amp;$E365,SondDatum,"&lt;="&amp;EOMONTH($E365,0)),$J365-$M365))</f>
      </c>
      <c r="O365" s="43">
        <f>IF($I365=0,0,INDEX(DarlErsatzRate,1))</f>
      </c>
      <c r="P365" s="43">
        <f>IF($I365=0,0,$Q364*INDEX(DarlErsatzZins,1))</f>
      </c>
      <c r="Q365" s="43">
        <f>IF($I365=0,0,$Q364+$P365+$O365)</f>
      </c>
      <c r="R365" s="43">
        <f>IF($I365=0,0,$J365-$M365-$N365)</f>
      </c>
    </row>
    <row r="366">
      <c r="A366"/>
      <c r="B366">
        <v>1</v>
      </c>
      <c r="C366" s="43">
        <f>INDEX(DarlObj,1)</f>
      </c>
      <c r="D366">
        <v>363</v>
      </c>
      <c r="E366" s="51">
        <f>IF(INDEX(DarlBelegt,1)=0,0,EOMONTH(INDEX(DarlAuszahlung,1),362)+1)</f>
      </c>
      <c r="F366" s="43">
        <f>IF($E366=0,0,YEAR($E366))</f>
      </c>
      <c r="G366" s="43">
        <f>IF(INDEX(DarlBindung,1)="",1,IF($E366&lt;=INDEX(DarlBindung,1),1,0))</f>
      </c>
      <c r="H366" s="43">
        <f>IF($G366=1,INDEX(DarlSollzins,1),INDEX(DarlAnschluss,1))</f>
      </c>
      <c r="I366" s="43">
        <f>IF(INDEX(DarlBelegt,1)=0,0,IF(INDEX(DarlOhneTilgung,1)=1,IF(INDEX(DarlBindung,1)="",1,$G366),IF($J366&gt;0.005,1,0)))</f>
      </c>
      <c r="J366" s="43">
        <f>IF($I365=0,0,$R365)</f>
      </c>
      <c r="K366" s="43">
        <f>IF($I366=0,0,IF(INDEX(DarlOhneTilgung,1)=1,0,IF(AND(INDEX(DarlTilgStart,1)&gt;0,$E366=INDEX(DarlTilgStart,1)),$J366*($H366+INDEX(DarlTilgung,1))/100/12,IF(AND($G366=0,$G365=1),MAX($K365,$J366*($H366+1)/100/12),$K365))))</f>
      </c>
      <c r="L366" s="43">
        <f>IF($I366=0,0,$J366*$H366/100/12)</f>
      </c>
      <c r="M366" s="43">
        <f>IF($I366=0,0,IF(OR(INDEX(DarlOhneTilgung,1)=1,AND(INDEX(DarlTilgStart,1)&gt;0,$E366&lt;INDEX(DarlTilgStart,1))),0,MIN(MAX(0,$K366-$L366),$J366)))</f>
      </c>
      <c r="N366" s="43">
        <f>IF($I366=0,0,MIN(SUMIFS(SondBetrag,SondDarl,1,SondDatum,"&gt;="&amp;$E366,SondDatum,"&lt;="&amp;EOMONTH($E366,0)),$J366-$M366))</f>
      </c>
      <c r="O366" s="43">
        <f>IF($I366=0,0,INDEX(DarlErsatzRate,1))</f>
      </c>
      <c r="P366" s="43">
        <f>IF($I366=0,0,$Q365*INDEX(DarlErsatzZins,1))</f>
      </c>
      <c r="Q366" s="43">
        <f>IF($I366=0,0,$Q365+$P366+$O366)</f>
      </c>
      <c r="R366" s="43">
        <f>IF($I366=0,0,$J366-$M366-$N366)</f>
      </c>
    </row>
    <row r="367">
      <c r="A367"/>
      <c r="B367">
        <v>1</v>
      </c>
      <c r="C367" s="43">
        <f>INDEX(DarlObj,1)</f>
      </c>
      <c r="D367">
        <v>364</v>
      </c>
      <c r="E367" s="51">
        <f>IF(INDEX(DarlBelegt,1)=0,0,EOMONTH(INDEX(DarlAuszahlung,1),363)+1)</f>
      </c>
      <c r="F367" s="43">
        <f>IF($E367=0,0,YEAR($E367))</f>
      </c>
      <c r="G367" s="43">
        <f>IF(INDEX(DarlBindung,1)="",1,IF($E367&lt;=INDEX(DarlBindung,1),1,0))</f>
      </c>
      <c r="H367" s="43">
        <f>IF($G367=1,INDEX(DarlSollzins,1),INDEX(DarlAnschluss,1))</f>
      </c>
      <c r="I367" s="43">
        <f>IF(INDEX(DarlBelegt,1)=0,0,IF(INDEX(DarlOhneTilgung,1)=1,IF(INDEX(DarlBindung,1)="",1,$G367),IF($J367&gt;0.005,1,0)))</f>
      </c>
      <c r="J367" s="43">
        <f>IF($I366=0,0,$R366)</f>
      </c>
      <c r="K367" s="43">
        <f>IF($I367=0,0,IF(INDEX(DarlOhneTilgung,1)=1,0,IF(AND(INDEX(DarlTilgStart,1)&gt;0,$E367=INDEX(DarlTilgStart,1)),$J367*($H367+INDEX(DarlTilgung,1))/100/12,IF(AND($G367=0,$G366=1),MAX($K366,$J367*($H367+1)/100/12),$K366))))</f>
      </c>
      <c r="L367" s="43">
        <f>IF($I367=0,0,$J367*$H367/100/12)</f>
      </c>
      <c r="M367" s="43">
        <f>IF($I367=0,0,IF(OR(INDEX(DarlOhneTilgung,1)=1,AND(INDEX(DarlTilgStart,1)&gt;0,$E367&lt;INDEX(DarlTilgStart,1))),0,MIN(MAX(0,$K367-$L367),$J367)))</f>
      </c>
      <c r="N367" s="43">
        <f>IF($I367=0,0,MIN(SUMIFS(SondBetrag,SondDarl,1,SondDatum,"&gt;="&amp;$E367,SondDatum,"&lt;="&amp;EOMONTH($E367,0)),$J367-$M367))</f>
      </c>
      <c r="O367" s="43">
        <f>IF($I367=0,0,INDEX(DarlErsatzRate,1))</f>
      </c>
      <c r="P367" s="43">
        <f>IF($I367=0,0,$Q366*INDEX(DarlErsatzZins,1))</f>
      </c>
      <c r="Q367" s="43">
        <f>IF($I367=0,0,$Q366+$P367+$O367)</f>
      </c>
      <c r="R367" s="43">
        <f>IF($I367=0,0,$J367-$M367-$N367)</f>
      </c>
    </row>
    <row r="368">
      <c r="A368"/>
      <c r="B368">
        <v>1</v>
      </c>
      <c r="C368" s="43">
        <f>INDEX(DarlObj,1)</f>
      </c>
      <c r="D368">
        <v>365</v>
      </c>
      <c r="E368" s="51">
        <f>IF(INDEX(DarlBelegt,1)=0,0,EOMONTH(INDEX(DarlAuszahlung,1),364)+1)</f>
      </c>
      <c r="F368" s="43">
        <f>IF($E368=0,0,YEAR($E368))</f>
      </c>
      <c r="G368" s="43">
        <f>IF(INDEX(DarlBindung,1)="",1,IF($E368&lt;=INDEX(DarlBindung,1),1,0))</f>
      </c>
      <c r="H368" s="43">
        <f>IF($G368=1,INDEX(DarlSollzins,1),INDEX(DarlAnschluss,1))</f>
      </c>
      <c r="I368" s="43">
        <f>IF(INDEX(DarlBelegt,1)=0,0,IF(INDEX(DarlOhneTilgung,1)=1,IF(INDEX(DarlBindung,1)="",1,$G368),IF($J368&gt;0.005,1,0)))</f>
      </c>
      <c r="J368" s="43">
        <f>IF($I367=0,0,$R367)</f>
      </c>
      <c r="K368" s="43">
        <f>IF($I368=0,0,IF(INDEX(DarlOhneTilgung,1)=1,0,IF(AND(INDEX(DarlTilgStart,1)&gt;0,$E368=INDEX(DarlTilgStart,1)),$J368*($H368+INDEX(DarlTilgung,1))/100/12,IF(AND($G368=0,$G367=1),MAX($K367,$J368*($H368+1)/100/12),$K367))))</f>
      </c>
      <c r="L368" s="43">
        <f>IF($I368=0,0,$J368*$H368/100/12)</f>
      </c>
      <c r="M368" s="43">
        <f>IF($I368=0,0,IF(OR(INDEX(DarlOhneTilgung,1)=1,AND(INDEX(DarlTilgStart,1)&gt;0,$E368&lt;INDEX(DarlTilgStart,1))),0,MIN(MAX(0,$K368-$L368),$J368)))</f>
      </c>
      <c r="N368" s="43">
        <f>IF($I368=0,0,MIN(SUMIFS(SondBetrag,SondDarl,1,SondDatum,"&gt;="&amp;$E368,SondDatum,"&lt;="&amp;EOMONTH($E368,0)),$J368-$M368))</f>
      </c>
      <c r="O368" s="43">
        <f>IF($I368=0,0,INDEX(DarlErsatzRate,1))</f>
      </c>
      <c r="P368" s="43">
        <f>IF($I368=0,0,$Q367*INDEX(DarlErsatzZins,1))</f>
      </c>
      <c r="Q368" s="43">
        <f>IF($I368=0,0,$Q367+$P368+$O368)</f>
      </c>
      <c r="R368" s="43">
        <f>IF($I368=0,0,$J368-$M368-$N368)</f>
      </c>
    </row>
    <row r="369">
      <c r="A369"/>
      <c r="B369">
        <v>1</v>
      </c>
      <c r="C369" s="43">
        <f>INDEX(DarlObj,1)</f>
      </c>
      <c r="D369">
        <v>366</v>
      </c>
      <c r="E369" s="51">
        <f>IF(INDEX(DarlBelegt,1)=0,0,EOMONTH(INDEX(DarlAuszahlung,1),365)+1)</f>
      </c>
      <c r="F369" s="43">
        <f>IF($E369=0,0,YEAR($E369))</f>
      </c>
      <c r="G369" s="43">
        <f>IF(INDEX(DarlBindung,1)="",1,IF($E369&lt;=INDEX(DarlBindung,1),1,0))</f>
      </c>
      <c r="H369" s="43">
        <f>IF($G369=1,INDEX(DarlSollzins,1),INDEX(DarlAnschluss,1))</f>
      </c>
      <c r="I369" s="43">
        <f>IF(INDEX(DarlBelegt,1)=0,0,IF(INDEX(DarlOhneTilgung,1)=1,IF(INDEX(DarlBindung,1)="",1,$G369),IF($J369&gt;0.005,1,0)))</f>
      </c>
      <c r="J369" s="43">
        <f>IF($I368=0,0,$R368)</f>
      </c>
      <c r="K369" s="43">
        <f>IF($I369=0,0,IF(INDEX(DarlOhneTilgung,1)=1,0,IF(AND(INDEX(DarlTilgStart,1)&gt;0,$E369=INDEX(DarlTilgStart,1)),$J369*($H369+INDEX(DarlTilgung,1))/100/12,IF(AND($G369=0,$G368=1),MAX($K368,$J369*($H369+1)/100/12),$K368))))</f>
      </c>
      <c r="L369" s="43">
        <f>IF($I369=0,0,$J369*$H369/100/12)</f>
      </c>
      <c r="M369" s="43">
        <f>IF($I369=0,0,IF(OR(INDEX(DarlOhneTilgung,1)=1,AND(INDEX(DarlTilgStart,1)&gt;0,$E369&lt;INDEX(DarlTilgStart,1))),0,MIN(MAX(0,$K369-$L369),$J369)))</f>
      </c>
      <c r="N369" s="43">
        <f>IF($I369=0,0,MIN(SUMIFS(SondBetrag,SondDarl,1,SondDatum,"&gt;="&amp;$E369,SondDatum,"&lt;="&amp;EOMONTH($E369,0)),$J369-$M369))</f>
      </c>
      <c r="O369" s="43">
        <f>IF($I369=0,0,INDEX(DarlErsatzRate,1))</f>
      </c>
      <c r="P369" s="43">
        <f>IF($I369=0,0,$Q368*INDEX(DarlErsatzZins,1))</f>
      </c>
      <c r="Q369" s="43">
        <f>IF($I369=0,0,$Q368+$P369+$O369)</f>
      </c>
      <c r="R369" s="43">
        <f>IF($I369=0,0,$J369-$M369-$N369)</f>
      </c>
    </row>
    <row r="370">
      <c r="A370"/>
      <c r="B370">
        <v>1</v>
      </c>
      <c r="C370" s="43">
        <f>INDEX(DarlObj,1)</f>
      </c>
      <c r="D370">
        <v>367</v>
      </c>
      <c r="E370" s="51">
        <f>IF(INDEX(DarlBelegt,1)=0,0,EOMONTH(INDEX(DarlAuszahlung,1),366)+1)</f>
      </c>
      <c r="F370" s="43">
        <f>IF($E370=0,0,YEAR($E370))</f>
      </c>
      <c r="G370" s="43">
        <f>IF(INDEX(DarlBindung,1)="",1,IF($E370&lt;=INDEX(DarlBindung,1),1,0))</f>
      </c>
      <c r="H370" s="43">
        <f>IF($G370=1,INDEX(DarlSollzins,1),INDEX(DarlAnschluss,1))</f>
      </c>
      <c r="I370" s="43">
        <f>IF(INDEX(DarlBelegt,1)=0,0,IF(INDEX(DarlOhneTilgung,1)=1,IF(INDEX(DarlBindung,1)="",1,$G370),IF($J370&gt;0.005,1,0)))</f>
      </c>
      <c r="J370" s="43">
        <f>IF($I369=0,0,$R369)</f>
      </c>
      <c r="K370" s="43">
        <f>IF($I370=0,0,IF(INDEX(DarlOhneTilgung,1)=1,0,IF(AND(INDEX(DarlTilgStart,1)&gt;0,$E370=INDEX(DarlTilgStart,1)),$J370*($H370+INDEX(DarlTilgung,1))/100/12,IF(AND($G370=0,$G369=1),MAX($K369,$J370*($H370+1)/100/12),$K369))))</f>
      </c>
      <c r="L370" s="43">
        <f>IF($I370=0,0,$J370*$H370/100/12)</f>
      </c>
      <c r="M370" s="43">
        <f>IF($I370=0,0,IF(OR(INDEX(DarlOhneTilgung,1)=1,AND(INDEX(DarlTilgStart,1)&gt;0,$E370&lt;INDEX(DarlTilgStart,1))),0,MIN(MAX(0,$K370-$L370),$J370)))</f>
      </c>
      <c r="N370" s="43">
        <f>IF($I370=0,0,MIN(SUMIFS(SondBetrag,SondDarl,1,SondDatum,"&gt;="&amp;$E370,SondDatum,"&lt;="&amp;EOMONTH($E370,0)),$J370-$M370))</f>
      </c>
      <c r="O370" s="43">
        <f>IF($I370=0,0,INDEX(DarlErsatzRate,1))</f>
      </c>
      <c r="P370" s="43">
        <f>IF($I370=0,0,$Q369*INDEX(DarlErsatzZins,1))</f>
      </c>
      <c r="Q370" s="43">
        <f>IF($I370=0,0,$Q369+$P370+$O370)</f>
      </c>
      <c r="R370" s="43">
        <f>IF($I370=0,0,$J370-$M370-$N370)</f>
      </c>
    </row>
    <row r="371">
      <c r="A371"/>
      <c r="B371">
        <v>1</v>
      </c>
      <c r="C371" s="43">
        <f>INDEX(DarlObj,1)</f>
      </c>
      <c r="D371">
        <v>368</v>
      </c>
      <c r="E371" s="51">
        <f>IF(INDEX(DarlBelegt,1)=0,0,EOMONTH(INDEX(DarlAuszahlung,1),367)+1)</f>
      </c>
      <c r="F371" s="43">
        <f>IF($E371=0,0,YEAR($E371))</f>
      </c>
      <c r="G371" s="43">
        <f>IF(INDEX(DarlBindung,1)="",1,IF($E371&lt;=INDEX(DarlBindung,1),1,0))</f>
      </c>
      <c r="H371" s="43">
        <f>IF($G371=1,INDEX(DarlSollzins,1),INDEX(DarlAnschluss,1))</f>
      </c>
      <c r="I371" s="43">
        <f>IF(INDEX(DarlBelegt,1)=0,0,IF(INDEX(DarlOhneTilgung,1)=1,IF(INDEX(DarlBindung,1)="",1,$G371),IF($J371&gt;0.005,1,0)))</f>
      </c>
      <c r="J371" s="43">
        <f>IF($I370=0,0,$R370)</f>
      </c>
      <c r="K371" s="43">
        <f>IF($I371=0,0,IF(INDEX(DarlOhneTilgung,1)=1,0,IF(AND(INDEX(DarlTilgStart,1)&gt;0,$E371=INDEX(DarlTilgStart,1)),$J371*($H371+INDEX(DarlTilgung,1))/100/12,IF(AND($G371=0,$G370=1),MAX($K370,$J371*($H371+1)/100/12),$K370))))</f>
      </c>
      <c r="L371" s="43">
        <f>IF($I371=0,0,$J371*$H371/100/12)</f>
      </c>
      <c r="M371" s="43">
        <f>IF($I371=0,0,IF(OR(INDEX(DarlOhneTilgung,1)=1,AND(INDEX(DarlTilgStart,1)&gt;0,$E371&lt;INDEX(DarlTilgStart,1))),0,MIN(MAX(0,$K371-$L371),$J371)))</f>
      </c>
      <c r="N371" s="43">
        <f>IF($I371=0,0,MIN(SUMIFS(SondBetrag,SondDarl,1,SondDatum,"&gt;="&amp;$E371,SondDatum,"&lt;="&amp;EOMONTH($E371,0)),$J371-$M371))</f>
      </c>
      <c r="O371" s="43">
        <f>IF($I371=0,0,INDEX(DarlErsatzRate,1))</f>
      </c>
      <c r="P371" s="43">
        <f>IF($I371=0,0,$Q370*INDEX(DarlErsatzZins,1))</f>
      </c>
      <c r="Q371" s="43">
        <f>IF($I371=0,0,$Q370+$P371+$O371)</f>
      </c>
      <c r="R371" s="43">
        <f>IF($I371=0,0,$J371-$M371-$N371)</f>
      </c>
    </row>
    <row r="372">
      <c r="A372"/>
      <c r="B372">
        <v>1</v>
      </c>
      <c r="C372" s="43">
        <f>INDEX(DarlObj,1)</f>
      </c>
      <c r="D372">
        <v>369</v>
      </c>
      <c r="E372" s="51">
        <f>IF(INDEX(DarlBelegt,1)=0,0,EOMONTH(INDEX(DarlAuszahlung,1),368)+1)</f>
      </c>
      <c r="F372" s="43">
        <f>IF($E372=0,0,YEAR($E372))</f>
      </c>
      <c r="G372" s="43">
        <f>IF(INDEX(DarlBindung,1)="",1,IF($E372&lt;=INDEX(DarlBindung,1),1,0))</f>
      </c>
      <c r="H372" s="43">
        <f>IF($G372=1,INDEX(DarlSollzins,1),INDEX(DarlAnschluss,1))</f>
      </c>
      <c r="I372" s="43">
        <f>IF(INDEX(DarlBelegt,1)=0,0,IF(INDEX(DarlOhneTilgung,1)=1,IF(INDEX(DarlBindung,1)="",1,$G372),IF($J372&gt;0.005,1,0)))</f>
      </c>
      <c r="J372" s="43">
        <f>IF($I371=0,0,$R371)</f>
      </c>
      <c r="K372" s="43">
        <f>IF($I372=0,0,IF(INDEX(DarlOhneTilgung,1)=1,0,IF(AND(INDEX(DarlTilgStart,1)&gt;0,$E372=INDEX(DarlTilgStart,1)),$J372*($H372+INDEX(DarlTilgung,1))/100/12,IF(AND($G372=0,$G371=1),MAX($K371,$J372*($H372+1)/100/12),$K371))))</f>
      </c>
      <c r="L372" s="43">
        <f>IF($I372=0,0,$J372*$H372/100/12)</f>
      </c>
      <c r="M372" s="43">
        <f>IF($I372=0,0,IF(OR(INDEX(DarlOhneTilgung,1)=1,AND(INDEX(DarlTilgStart,1)&gt;0,$E372&lt;INDEX(DarlTilgStart,1))),0,MIN(MAX(0,$K372-$L372),$J372)))</f>
      </c>
      <c r="N372" s="43">
        <f>IF($I372=0,0,MIN(SUMIFS(SondBetrag,SondDarl,1,SondDatum,"&gt;="&amp;$E372,SondDatum,"&lt;="&amp;EOMONTH($E372,0)),$J372-$M372))</f>
      </c>
      <c r="O372" s="43">
        <f>IF($I372=0,0,INDEX(DarlErsatzRate,1))</f>
      </c>
      <c r="P372" s="43">
        <f>IF($I372=0,0,$Q371*INDEX(DarlErsatzZins,1))</f>
      </c>
      <c r="Q372" s="43">
        <f>IF($I372=0,0,$Q371+$P372+$O372)</f>
      </c>
      <c r="R372" s="43">
        <f>IF($I372=0,0,$J372-$M372-$N372)</f>
      </c>
    </row>
    <row r="373">
      <c r="A373"/>
      <c r="B373">
        <v>1</v>
      </c>
      <c r="C373" s="43">
        <f>INDEX(DarlObj,1)</f>
      </c>
      <c r="D373">
        <v>370</v>
      </c>
      <c r="E373" s="51">
        <f>IF(INDEX(DarlBelegt,1)=0,0,EOMONTH(INDEX(DarlAuszahlung,1),369)+1)</f>
      </c>
      <c r="F373" s="43">
        <f>IF($E373=0,0,YEAR($E373))</f>
      </c>
      <c r="G373" s="43">
        <f>IF(INDEX(DarlBindung,1)="",1,IF($E373&lt;=INDEX(DarlBindung,1),1,0))</f>
      </c>
      <c r="H373" s="43">
        <f>IF($G373=1,INDEX(DarlSollzins,1),INDEX(DarlAnschluss,1))</f>
      </c>
      <c r="I373" s="43">
        <f>IF(INDEX(DarlBelegt,1)=0,0,IF(INDEX(DarlOhneTilgung,1)=1,IF(INDEX(DarlBindung,1)="",1,$G373),IF($J373&gt;0.005,1,0)))</f>
      </c>
      <c r="J373" s="43">
        <f>IF($I372=0,0,$R372)</f>
      </c>
      <c r="K373" s="43">
        <f>IF($I373=0,0,IF(INDEX(DarlOhneTilgung,1)=1,0,IF(AND(INDEX(DarlTilgStart,1)&gt;0,$E373=INDEX(DarlTilgStart,1)),$J373*($H373+INDEX(DarlTilgung,1))/100/12,IF(AND($G373=0,$G372=1),MAX($K372,$J373*($H373+1)/100/12),$K372))))</f>
      </c>
      <c r="L373" s="43">
        <f>IF($I373=0,0,$J373*$H373/100/12)</f>
      </c>
      <c r="M373" s="43">
        <f>IF($I373=0,0,IF(OR(INDEX(DarlOhneTilgung,1)=1,AND(INDEX(DarlTilgStart,1)&gt;0,$E373&lt;INDEX(DarlTilgStart,1))),0,MIN(MAX(0,$K373-$L373),$J373)))</f>
      </c>
      <c r="N373" s="43">
        <f>IF($I373=0,0,MIN(SUMIFS(SondBetrag,SondDarl,1,SondDatum,"&gt;="&amp;$E373,SondDatum,"&lt;="&amp;EOMONTH($E373,0)),$J373-$M373))</f>
      </c>
      <c r="O373" s="43">
        <f>IF($I373=0,0,INDEX(DarlErsatzRate,1))</f>
      </c>
      <c r="P373" s="43">
        <f>IF($I373=0,0,$Q372*INDEX(DarlErsatzZins,1))</f>
      </c>
      <c r="Q373" s="43">
        <f>IF($I373=0,0,$Q372+$P373+$O373)</f>
      </c>
      <c r="R373" s="43">
        <f>IF($I373=0,0,$J373-$M373-$N373)</f>
      </c>
    </row>
    <row r="374">
      <c r="A374"/>
      <c r="B374">
        <v>1</v>
      </c>
      <c r="C374" s="43">
        <f>INDEX(DarlObj,1)</f>
      </c>
      <c r="D374">
        <v>371</v>
      </c>
      <c r="E374" s="51">
        <f>IF(INDEX(DarlBelegt,1)=0,0,EOMONTH(INDEX(DarlAuszahlung,1),370)+1)</f>
      </c>
      <c r="F374" s="43">
        <f>IF($E374=0,0,YEAR($E374))</f>
      </c>
      <c r="G374" s="43">
        <f>IF(INDEX(DarlBindung,1)="",1,IF($E374&lt;=INDEX(DarlBindung,1),1,0))</f>
      </c>
      <c r="H374" s="43">
        <f>IF($G374=1,INDEX(DarlSollzins,1),INDEX(DarlAnschluss,1))</f>
      </c>
      <c r="I374" s="43">
        <f>IF(INDEX(DarlBelegt,1)=0,0,IF(INDEX(DarlOhneTilgung,1)=1,IF(INDEX(DarlBindung,1)="",1,$G374),IF($J374&gt;0.005,1,0)))</f>
      </c>
      <c r="J374" s="43">
        <f>IF($I373=0,0,$R373)</f>
      </c>
      <c r="K374" s="43">
        <f>IF($I374=0,0,IF(INDEX(DarlOhneTilgung,1)=1,0,IF(AND(INDEX(DarlTilgStart,1)&gt;0,$E374=INDEX(DarlTilgStart,1)),$J374*($H374+INDEX(DarlTilgung,1))/100/12,IF(AND($G374=0,$G373=1),MAX($K373,$J374*($H374+1)/100/12),$K373))))</f>
      </c>
      <c r="L374" s="43">
        <f>IF($I374=0,0,$J374*$H374/100/12)</f>
      </c>
      <c r="M374" s="43">
        <f>IF($I374=0,0,IF(OR(INDEX(DarlOhneTilgung,1)=1,AND(INDEX(DarlTilgStart,1)&gt;0,$E374&lt;INDEX(DarlTilgStart,1))),0,MIN(MAX(0,$K374-$L374),$J374)))</f>
      </c>
      <c r="N374" s="43">
        <f>IF($I374=0,0,MIN(SUMIFS(SondBetrag,SondDarl,1,SondDatum,"&gt;="&amp;$E374,SondDatum,"&lt;="&amp;EOMONTH($E374,0)),$J374-$M374))</f>
      </c>
      <c r="O374" s="43">
        <f>IF($I374=0,0,INDEX(DarlErsatzRate,1))</f>
      </c>
      <c r="P374" s="43">
        <f>IF($I374=0,0,$Q373*INDEX(DarlErsatzZins,1))</f>
      </c>
      <c r="Q374" s="43">
        <f>IF($I374=0,0,$Q373+$P374+$O374)</f>
      </c>
      <c r="R374" s="43">
        <f>IF($I374=0,0,$J374-$M374-$N374)</f>
      </c>
    </row>
    <row r="375">
      <c r="A375"/>
      <c r="B375">
        <v>1</v>
      </c>
      <c r="C375" s="43">
        <f>INDEX(DarlObj,1)</f>
      </c>
      <c r="D375">
        <v>372</v>
      </c>
      <c r="E375" s="51">
        <f>IF(INDEX(DarlBelegt,1)=0,0,EOMONTH(INDEX(DarlAuszahlung,1),371)+1)</f>
      </c>
      <c r="F375" s="43">
        <f>IF($E375=0,0,YEAR($E375))</f>
      </c>
      <c r="G375" s="43">
        <f>IF(INDEX(DarlBindung,1)="",1,IF($E375&lt;=INDEX(DarlBindung,1),1,0))</f>
      </c>
      <c r="H375" s="43">
        <f>IF($G375=1,INDEX(DarlSollzins,1),INDEX(DarlAnschluss,1))</f>
      </c>
      <c r="I375" s="43">
        <f>IF(INDEX(DarlBelegt,1)=0,0,IF(INDEX(DarlOhneTilgung,1)=1,IF(INDEX(DarlBindung,1)="",1,$G375),IF($J375&gt;0.005,1,0)))</f>
      </c>
      <c r="J375" s="43">
        <f>IF($I374=0,0,$R374)</f>
      </c>
      <c r="K375" s="43">
        <f>IF($I375=0,0,IF(INDEX(DarlOhneTilgung,1)=1,0,IF(AND(INDEX(DarlTilgStart,1)&gt;0,$E375=INDEX(DarlTilgStart,1)),$J375*($H375+INDEX(DarlTilgung,1))/100/12,IF(AND($G375=0,$G374=1),MAX($K374,$J375*($H375+1)/100/12),$K374))))</f>
      </c>
      <c r="L375" s="43">
        <f>IF($I375=0,0,$J375*$H375/100/12)</f>
      </c>
      <c r="M375" s="43">
        <f>IF($I375=0,0,IF(OR(INDEX(DarlOhneTilgung,1)=1,AND(INDEX(DarlTilgStart,1)&gt;0,$E375&lt;INDEX(DarlTilgStart,1))),0,MIN(MAX(0,$K375-$L375),$J375)))</f>
      </c>
      <c r="N375" s="43">
        <f>IF($I375=0,0,MIN(SUMIFS(SondBetrag,SondDarl,1,SondDatum,"&gt;="&amp;$E375,SondDatum,"&lt;="&amp;EOMONTH($E375,0)),$J375-$M375))</f>
      </c>
      <c r="O375" s="43">
        <f>IF($I375=0,0,INDEX(DarlErsatzRate,1))</f>
      </c>
      <c r="P375" s="43">
        <f>IF($I375=0,0,$Q374*INDEX(DarlErsatzZins,1))</f>
      </c>
      <c r="Q375" s="43">
        <f>IF($I375=0,0,$Q374+$P375+$O375)</f>
      </c>
      <c r="R375" s="43">
        <f>IF($I375=0,0,$J375-$M375-$N375)</f>
      </c>
    </row>
    <row r="376">
      <c r="A376"/>
      <c r="B376">
        <v>1</v>
      </c>
      <c r="C376" s="43">
        <f>INDEX(DarlObj,1)</f>
      </c>
      <c r="D376">
        <v>373</v>
      </c>
      <c r="E376" s="51">
        <f>IF(INDEX(DarlBelegt,1)=0,0,EOMONTH(INDEX(DarlAuszahlung,1),372)+1)</f>
      </c>
      <c r="F376" s="43">
        <f>IF($E376=0,0,YEAR($E376))</f>
      </c>
      <c r="G376" s="43">
        <f>IF(INDEX(DarlBindung,1)="",1,IF($E376&lt;=INDEX(DarlBindung,1),1,0))</f>
      </c>
      <c r="H376" s="43">
        <f>IF($G376=1,INDEX(DarlSollzins,1),INDEX(DarlAnschluss,1))</f>
      </c>
      <c r="I376" s="43">
        <f>IF(INDEX(DarlBelegt,1)=0,0,IF(INDEX(DarlOhneTilgung,1)=1,IF(INDEX(DarlBindung,1)="",1,$G376),IF($J376&gt;0.005,1,0)))</f>
      </c>
      <c r="J376" s="43">
        <f>IF($I375=0,0,$R375)</f>
      </c>
      <c r="K376" s="43">
        <f>IF($I376=0,0,IF(INDEX(DarlOhneTilgung,1)=1,0,IF(AND(INDEX(DarlTilgStart,1)&gt;0,$E376=INDEX(DarlTilgStart,1)),$J376*($H376+INDEX(DarlTilgung,1))/100/12,IF(AND($G376=0,$G375=1),MAX($K375,$J376*($H376+1)/100/12),$K375))))</f>
      </c>
      <c r="L376" s="43">
        <f>IF($I376=0,0,$J376*$H376/100/12)</f>
      </c>
      <c r="M376" s="43">
        <f>IF($I376=0,0,IF(OR(INDEX(DarlOhneTilgung,1)=1,AND(INDEX(DarlTilgStart,1)&gt;0,$E376&lt;INDEX(DarlTilgStart,1))),0,MIN(MAX(0,$K376-$L376),$J376)))</f>
      </c>
      <c r="N376" s="43">
        <f>IF($I376=0,0,MIN(SUMIFS(SondBetrag,SondDarl,1,SondDatum,"&gt;="&amp;$E376,SondDatum,"&lt;="&amp;EOMONTH($E376,0)),$J376-$M376))</f>
      </c>
      <c r="O376" s="43">
        <f>IF($I376=0,0,INDEX(DarlErsatzRate,1))</f>
      </c>
      <c r="P376" s="43">
        <f>IF($I376=0,0,$Q375*INDEX(DarlErsatzZins,1))</f>
      </c>
      <c r="Q376" s="43">
        <f>IF($I376=0,0,$Q375+$P376+$O376)</f>
      </c>
      <c r="R376" s="43">
        <f>IF($I376=0,0,$J376-$M376-$N376)</f>
      </c>
    </row>
    <row r="377">
      <c r="A377"/>
      <c r="B377">
        <v>1</v>
      </c>
      <c r="C377" s="43">
        <f>INDEX(DarlObj,1)</f>
      </c>
      <c r="D377">
        <v>374</v>
      </c>
      <c r="E377" s="51">
        <f>IF(INDEX(DarlBelegt,1)=0,0,EOMONTH(INDEX(DarlAuszahlung,1),373)+1)</f>
      </c>
      <c r="F377" s="43">
        <f>IF($E377=0,0,YEAR($E377))</f>
      </c>
      <c r="G377" s="43">
        <f>IF(INDEX(DarlBindung,1)="",1,IF($E377&lt;=INDEX(DarlBindung,1),1,0))</f>
      </c>
      <c r="H377" s="43">
        <f>IF($G377=1,INDEX(DarlSollzins,1),INDEX(DarlAnschluss,1))</f>
      </c>
      <c r="I377" s="43">
        <f>IF(INDEX(DarlBelegt,1)=0,0,IF(INDEX(DarlOhneTilgung,1)=1,IF(INDEX(DarlBindung,1)="",1,$G377),IF($J377&gt;0.005,1,0)))</f>
      </c>
      <c r="J377" s="43">
        <f>IF($I376=0,0,$R376)</f>
      </c>
      <c r="K377" s="43">
        <f>IF($I377=0,0,IF(INDEX(DarlOhneTilgung,1)=1,0,IF(AND(INDEX(DarlTilgStart,1)&gt;0,$E377=INDEX(DarlTilgStart,1)),$J377*($H377+INDEX(DarlTilgung,1))/100/12,IF(AND($G377=0,$G376=1),MAX($K376,$J377*($H377+1)/100/12),$K376))))</f>
      </c>
      <c r="L377" s="43">
        <f>IF($I377=0,0,$J377*$H377/100/12)</f>
      </c>
      <c r="M377" s="43">
        <f>IF($I377=0,0,IF(OR(INDEX(DarlOhneTilgung,1)=1,AND(INDEX(DarlTilgStart,1)&gt;0,$E377&lt;INDEX(DarlTilgStart,1))),0,MIN(MAX(0,$K377-$L377),$J377)))</f>
      </c>
      <c r="N377" s="43">
        <f>IF($I377=0,0,MIN(SUMIFS(SondBetrag,SondDarl,1,SondDatum,"&gt;="&amp;$E377,SondDatum,"&lt;="&amp;EOMONTH($E377,0)),$J377-$M377))</f>
      </c>
      <c r="O377" s="43">
        <f>IF($I377=0,0,INDEX(DarlErsatzRate,1))</f>
      </c>
      <c r="P377" s="43">
        <f>IF($I377=0,0,$Q376*INDEX(DarlErsatzZins,1))</f>
      </c>
      <c r="Q377" s="43">
        <f>IF($I377=0,0,$Q376+$P377+$O377)</f>
      </c>
      <c r="R377" s="43">
        <f>IF($I377=0,0,$J377-$M377-$N377)</f>
      </c>
    </row>
    <row r="378">
      <c r="A378"/>
      <c r="B378">
        <v>1</v>
      </c>
      <c r="C378" s="43">
        <f>INDEX(DarlObj,1)</f>
      </c>
      <c r="D378">
        <v>375</v>
      </c>
      <c r="E378" s="51">
        <f>IF(INDEX(DarlBelegt,1)=0,0,EOMONTH(INDEX(DarlAuszahlung,1),374)+1)</f>
      </c>
      <c r="F378" s="43">
        <f>IF($E378=0,0,YEAR($E378))</f>
      </c>
      <c r="G378" s="43">
        <f>IF(INDEX(DarlBindung,1)="",1,IF($E378&lt;=INDEX(DarlBindung,1),1,0))</f>
      </c>
      <c r="H378" s="43">
        <f>IF($G378=1,INDEX(DarlSollzins,1),INDEX(DarlAnschluss,1))</f>
      </c>
      <c r="I378" s="43">
        <f>IF(INDEX(DarlBelegt,1)=0,0,IF(INDEX(DarlOhneTilgung,1)=1,IF(INDEX(DarlBindung,1)="",1,$G378),IF($J378&gt;0.005,1,0)))</f>
      </c>
      <c r="J378" s="43">
        <f>IF($I377=0,0,$R377)</f>
      </c>
      <c r="K378" s="43">
        <f>IF($I378=0,0,IF(INDEX(DarlOhneTilgung,1)=1,0,IF(AND(INDEX(DarlTilgStart,1)&gt;0,$E378=INDEX(DarlTilgStart,1)),$J378*($H378+INDEX(DarlTilgung,1))/100/12,IF(AND($G378=0,$G377=1),MAX($K377,$J378*($H378+1)/100/12),$K377))))</f>
      </c>
      <c r="L378" s="43">
        <f>IF($I378=0,0,$J378*$H378/100/12)</f>
      </c>
      <c r="M378" s="43">
        <f>IF($I378=0,0,IF(OR(INDEX(DarlOhneTilgung,1)=1,AND(INDEX(DarlTilgStart,1)&gt;0,$E378&lt;INDEX(DarlTilgStart,1))),0,MIN(MAX(0,$K378-$L378),$J378)))</f>
      </c>
      <c r="N378" s="43">
        <f>IF($I378=0,0,MIN(SUMIFS(SondBetrag,SondDarl,1,SondDatum,"&gt;="&amp;$E378,SondDatum,"&lt;="&amp;EOMONTH($E378,0)),$J378-$M378))</f>
      </c>
      <c r="O378" s="43">
        <f>IF($I378=0,0,INDEX(DarlErsatzRate,1))</f>
      </c>
      <c r="P378" s="43">
        <f>IF($I378=0,0,$Q377*INDEX(DarlErsatzZins,1))</f>
      </c>
      <c r="Q378" s="43">
        <f>IF($I378=0,0,$Q377+$P378+$O378)</f>
      </c>
      <c r="R378" s="43">
        <f>IF($I378=0,0,$J378-$M378-$N378)</f>
      </c>
    </row>
    <row r="379">
      <c r="A379"/>
      <c r="B379">
        <v>1</v>
      </c>
      <c r="C379" s="43">
        <f>INDEX(DarlObj,1)</f>
      </c>
      <c r="D379">
        <v>376</v>
      </c>
      <c r="E379" s="51">
        <f>IF(INDEX(DarlBelegt,1)=0,0,EOMONTH(INDEX(DarlAuszahlung,1),375)+1)</f>
      </c>
      <c r="F379" s="43">
        <f>IF($E379=0,0,YEAR($E379))</f>
      </c>
      <c r="G379" s="43">
        <f>IF(INDEX(DarlBindung,1)="",1,IF($E379&lt;=INDEX(DarlBindung,1),1,0))</f>
      </c>
      <c r="H379" s="43">
        <f>IF($G379=1,INDEX(DarlSollzins,1),INDEX(DarlAnschluss,1))</f>
      </c>
      <c r="I379" s="43">
        <f>IF(INDEX(DarlBelegt,1)=0,0,IF(INDEX(DarlOhneTilgung,1)=1,IF(INDEX(DarlBindung,1)="",1,$G379),IF($J379&gt;0.005,1,0)))</f>
      </c>
      <c r="J379" s="43">
        <f>IF($I378=0,0,$R378)</f>
      </c>
      <c r="K379" s="43">
        <f>IF($I379=0,0,IF(INDEX(DarlOhneTilgung,1)=1,0,IF(AND(INDEX(DarlTilgStart,1)&gt;0,$E379=INDEX(DarlTilgStart,1)),$J379*($H379+INDEX(DarlTilgung,1))/100/12,IF(AND($G379=0,$G378=1),MAX($K378,$J379*($H379+1)/100/12),$K378))))</f>
      </c>
      <c r="L379" s="43">
        <f>IF($I379=0,0,$J379*$H379/100/12)</f>
      </c>
      <c r="M379" s="43">
        <f>IF($I379=0,0,IF(OR(INDEX(DarlOhneTilgung,1)=1,AND(INDEX(DarlTilgStart,1)&gt;0,$E379&lt;INDEX(DarlTilgStart,1))),0,MIN(MAX(0,$K379-$L379),$J379)))</f>
      </c>
      <c r="N379" s="43">
        <f>IF($I379=0,0,MIN(SUMIFS(SondBetrag,SondDarl,1,SondDatum,"&gt;="&amp;$E379,SondDatum,"&lt;="&amp;EOMONTH($E379,0)),$J379-$M379))</f>
      </c>
      <c r="O379" s="43">
        <f>IF($I379=0,0,INDEX(DarlErsatzRate,1))</f>
      </c>
      <c r="P379" s="43">
        <f>IF($I379=0,0,$Q378*INDEX(DarlErsatzZins,1))</f>
      </c>
      <c r="Q379" s="43">
        <f>IF($I379=0,0,$Q378+$P379+$O379)</f>
      </c>
      <c r="R379" s="43">
        <f>IF($I379=0,0,$J379-$M379-$N379)</f>
      </c>
    </row>
    <row r="380">
      <c r="A380"/>
      <c r="B380">
        <v>1</v>
      </c>
      <c r="C380" s="43">
        <f>INDEX(DarlObj,1)</f>
      </c>
      <c r="D380">
        <v>377</v>
      </c>
      <c r="E380" s="51">
        <f>IF(INDEX(DarlBelegt,1)=0,0,EOMONTH(INDEX(DarlAuszahlung,1),376)+1)</f>
      </c>
      <c r="F380" s="43">
        <f>IF($E380=0,0,YEAR($E380))</f>
      </c>
      <c r="G380" s="43">
        <f>IF(INDEX(DarlBindung,1)="",1,IF($E380&lt;=INDEX(DarlBindung,1),1,0))</f>
      </c>
      <c r="H380" s="43">
        <f>IF($G380=1,INDEX(DarlSollzins,1),INDEX(DarlAnschluss,1))</f>
      </c>
      <c r="I380" s="43">
        <f>IF(INDEX(DarlBelegt,1)=0,0,IF(INDEX(DarlOhneTilgung,1)=1,IF(INDEX(DarlBindung,1)="",1,$G380),IF($J380&gt;0.005,1,0)))</f>
      </c>
      <c r="J380" s="43">
        <f>IF($I379=0,0,$R379)</f>
      </c>
      <c r="K380" s="43">
        <f>IF($I380=0,0,IF(INDEX(DarlOhneTilgung,1)=1,0,IF(AND(INDEX(DarlTilgStart,1)&gt;0,$E380=INDEX(DarlTilgStart,1)),$J380*($H380+INDEX(DarlTilgung,1))/100/12,IF(AND($G380=0,$G379=1),MAX($K379,$J380*($H380+1)/100/12),$K379))))</f>
      </c>
      <c r="L380" s="43">
        <f>IF($I380=0,0,$J380*$H380/100/12)</f>
      </c>
      <c r="M380" s="43">
        <f>IF($I380=0,0,IF(OR(INDEX(DarlOhneTilgung,1)=1,AND(INDEX(DarlTilgStart,1)&gt;0,$E380&lt;INDEX(DarlTilgStart,1))),0,MIN(MAX(0,$K380-$L380),$J380)))</f>
      </c>
      <c r="N380" s="43">
        <f>IF($I380=0,0,MIN(SUMIFS(SondBetrag,SondDarl,1,SondDatum,"&gt;="&amp;$E380,SondDatum,"&lt;="&amp;EOMONTH($E380,0)),$J380-$M380))</f>
      </c>
      <c r="O380" s="43">
        <f>IF($I380=0,0,INDEX(DarlErsatzRate,1))</f>
      </c>
      <c r="P380" s="43">
        <f>IF($I380=0,0,$Q379*INDEX(DarlErsatzZins,1))</f>
      </c>
      <c r="Q380" s="43">
        <f>IF($I380=0,0,$Q379+$P380+$O380)</f>
      </c>
      <c r="R380" s="43">
        <f>IF($I380=0,0,$J380-$M380-$N380)</f>
      </c>
    </row>
    <row r="381">
      <c r="A381"/>
      <c r="B381">
        <v>1</v>
      </c>
      <c r="C381" s="43">
        <f>INDEX(DarlObj,1)</f>
      </c>
      <c r="D381">
        <v>378</v>
      </c>
      <c r="E381" s="51">
        <f>IF(INDEX(DarlBelegt,1)=0,0,EOMONTH(INDEX(DarlAuszahlung,1),377)+1)</f>
      </c>
      <c r="F381" s="43">
        <f>IF($E381=0,0,YEAR($E381))</f>
      </c>
      <c r="G381" s="43">
        <f>IF(INDEX(DarlBindung,1)="",1,IF($E381&lt;=INDEX(DarlBindung,1),1,0))</f>
      </c>
      <c r="H381" s="43">
        <f>IF($G381=1,INDEX(DarlSollzins,1),INDEX(DarlAnschluss,1))</f>
      </c>
      <c r="I381" s="43">
        <f>IF(INDEX(DarlBelegt,1)=0,0,IF(INDEX(DarlOhneTilgung,1)=1,IF(INDEX(DarlBindung,1)="",1,$G381),IF($J381&gt;0.005,1,0)))</f>
      </c>
      <c r="J381" s="43">
        <f>IF($I380=0,0,$R380)</f>
      </c>
      <c r="K381" s="43">
        <f>IF($I381=0,0,IF(INDEX(DarlOhneTilgung,1)=1,0,IF(AND(INDEX(DarlTilgStart,1)&gt;0,$E381=INDEX(DarlTilgStart,1)),$J381*($H381+INDEX(DarlTilgung,1))/100/12,IF(AND($G381=0,$G380=1),MAX($K380,$J381*($H381+1)/100/12),$K380))))</f>
      </c>
      <c r="L381" s="43">
        <f>IF($I381=0,0,$J381*$H381/100/12)</f>
      </c>
      <c r="M381" s="43">
        <f>IF($I381=0,0,IF(OR(INDEX(DarlOhneTilgung,1)=1,AND(INDEX(DarlTilgStart,1)&gt;0,$E381&lt;INDEX(DarlTilgStart,1))),0,MIN(MAX(0,$K381-$L381),$J381)))</f>
      </c>
      <c r="N381" s="43">
        <f>IF($I381=0,0,MIN(SUMIFS(SondBetrag,SondDarl,1,SondDatum,"&gt;="&amp;$E381,SondDatum,"&lt;="&amp;EOMONTH($E381,0)),$J381-$M381))</f>
      </c>
      <c r="O381" s="43">
        <f>IF($I381=0,0,INDEX(DarlErsatzRate,1))</f>
      </c>
      <c r="P381" s="43">
        <f>IF($I381=0,0,$Q380*INDEX(DarlErsatzZins,1))</f>
      </c>
      <c r="Q381" s="43">
        <f>IF($I381=0,0,$Q380+$P381+$O381)</f>
      </c>
      <c r="R381" s="43">
        <f>IF($I381=0,0,$J381-$M381-$N381)</f>
      </c>
    </row>
    <row r="382">
      <c r="A382"/>
      <c r="B382">
        <v>1</v>
      </c>
      <c r="C382" s="43">
        <f>INDEX(DarlObj,1)</f>
      </c>
      <c r="D382">
        <v>379</v>
      </c>
      <c r="E382" s="51">
        <f>IF(INDEX(DarlBelegt,1)=0,0,EOMONTH(INDEX(DarlAuszahlung,1),378)+1)</f>
      </c>
      <c r="F382" s="43">
        <f>IF($E382=0,0,YEAR($E382))</f>
      </c>
      <c r="G382" s="43">
        <f>IF(INDEX(DarlBindung,1)="",1,IF($E382&lt;=INDEX(DarlBindung,1),1,0))</f>
      </c>
      <c r="H382" s="43">
        <f>IF($G382=1,INDEX(DarlSollzins,1),INDEX(DarlAnschluss,1))</f>
      </c>
      <c r="I382" s="43">
        <f>IF(INDEX(DarlBelegt,1)=0,0,IF(INDEX(DarlOhneTilgung,1)=1,IF(INDEX(DarlBindung,1)="",1,$G382),IF($J382&gt;0.005,1,0)))</f>
      </c>
      <c r="J382" s="43">
        <f>IF($I381=0,0,$R381)</f>
      </c>
      <c r="K382" s="43">
        <f>IF($I382=0,0,IF(INDEX(DarlOhneTilgung,1)=1,0,IF(AND(INDEX(DarlTilgStart,1)&gt;0,$E382=INDEX(DarlTilgStart,1)),$J382*($H382+INDEX(DarlTilgung,1))/100/12,IF(AND($G382=0,$G381=1),MAX($K381,$J382*($H382+1)/100/12),$K381))))</f>
      </c>
      <c r="L382" s="43">
        <f>IF($I382=0,0,$J382*$H382/100/12)</f>
      </c>
      <c r="M382" s="43">
        <f>IF($I382=0,0,IF(OR(INDEX(DarlOhneTilgung,1)=1,AND(INDEX(DarlTilgStart,1)&gt;0,$E382&lt;INDEX(DarlTilgStart,1))),0,MIN(MAX(0,$K382-$L382),$J382)))</f>
      </c>
      <c r="N382" s="43">
        <f>IF($I382=0,0,MIN(SUMIFS(SondBetrag,SondDarl,1,SondDatum,"&gt;="&amp;$E382,SondDatum,"&lt;="&amp;EOMONTH($E382,0)),$J382-$M382))</f>
      </c>
      <c r="O382" s="43">
        <f>IF($I382=0,0,INDEX(DarlErsatzRate,1))</f>
      </c>
      <c r="P382" s="43">
        <f>IF($I382=0,0,$Q381*INDEX(DarlErsatzZins,1))</f>
      </c>
      <c r="Q382" s="43">
        <f>IF($I382=0,0,$Q381+$P382+$O382)</f>
      </c>
      <c r="R382" s="43">
        <f>IF($I382=0,0,$J382-$M382-$N382)</f>
      </c>
    </row>
    <row r="383">
      <c r="A383"/>
      <c r="B383">
        <v>1</v>
      </c>
      <c r="C383" s="43">
        <f>INDEX(DarlObj,1)</f>
      </c>
      <c r="D383">
        <v>380</v>
      </c>
      <c r="E383" s="51">
        <f>IF(INDEX(DarlBelegt,1)=0,0,EOMONTH(INDEX(DarlAuszahlung,1),379)+1)</f>
      </c>
      <c r="F383" s="43">
        <f>IF($E383=0,0,YEAR($E383))</f>
      </c>
      <c r="G383" s="43">
        <f>IF(INDEX(DarlBindung,1)="",1,IF($E383&lt;=INDEX(DarlBindung,1),1,0))</f>
      </c>
      <c r="H383" s="43">
        <f>IF($G383=1,INDEX(DarlSollzins,1),INDEX(DarlAnschluss,1))</f>
      </c>
      <c r="I383" s="43">
        <f>IF(INDEX(DarlBelegt,1)=0,0,IF(INDEX(DarlOhneTilgung,1)=1,IF(INDEX(DarlBindung,1)="",1,$G383),IF($J383&gt;0.005,1,0)))</f>
      </c>
      <c r="J383" s="43">
        <f>IF($I382=0,0,$R382)</f>
      </c>
      <c r="K383" s="43">
        <f>IF($I383=0,0,IF(INDEX(DarlOhneTilgung,1)=1,0,IF(AND(INDEX(DarlTilgStart,1)&gt;0,$E383=INDEX(DarlTilgStart,1)),$J383*($H383+INDEX(DarlTilgung,1))/100/12,IF(AND($G383=0,$G382=1),MAX($K382,$J383*($H383+1)/100/12),$K382))))</f>
      </c>
      <c r="L383" s="43">
        <f>IF($I383=0,0,$J383*$H383/100/12)</f>
      </c>
      <c r="M383" s="43">
        <f>IF($I383=0,0,IF(OR(INDEX(DarlOhneTilgung,1)=1,AND(INDEX(DarlTilgStart,1)&gt;0,$E383&lt;INDEX(DarlTilgStart,1))),0,MIN(MAX(0,$K383-$L383),$J383)))</f>
      </c>
      <c r="N383" s="43">
        <f>IF($I383=0,0,MIN(SUMIFS(SondBetrag,SondDarl,1,SondDatum,"&gt;="&amp;$E383,SondDatum,"&lt;="&amp;EOMONTH($E383,0)),$J383-$M383))</f>
      </c>
      <c r="O383" s="43">
        <f>IF($I383=0,0,INDEX(DarlErsatzRate,1))</f>
      </c>
      <c r="P383" s="43">
        <f>IF($I383=0,0,$Q382*INDEX(DarlErsatzZins,1))</f>
      </c>
      <c r="Q383" s="43">
        <f>IF($I383=0,0,$Q382+$P383+$O383)</f>
      </c>
      <c r="R383" s="43">
        <f>IF($I383=0,0,$J383-$M383-$N383)</f>
      </c>
    </row>
    <row r="384">
      <c r="A384"/>
      <c r="B384">
        <v>1</v>
      </c>
      <c r="C384" s="43">
        <f>INDEX(DarlObj,1)</f>
      </c>
      <c r="D384">
        <v>381</v>
      </c>
      <c r="E384" s="51">
        <f>IF(INDEX(DarlBelegt,1)=0,0,EOMONTH(INDEX(DarlAuszahlung,1),380)+1)</f>
      </c>
      <c r="F384" s="43">
        <f>IF($E384=0,0,YEAR($E384))</f>
      </c>
      <c r="G384" s="43">
        <f>IF(INDEX(DarlBindung,1)="",1,IF($E384&lt;=INDEX(DarlBindung,1),1,0))</f>
      </c>
      <c r="H384" s="43">
        <f>IF($G384=1,INDEX(DarlSollzins,1),INDEX(DarlAnschluss,1))</f>
      </c>
      <c r="I384" s="43">
        <f>IF(INDEX(DarlBelegt,1)=0,0,IF(INDEX(DarlOhneTilgung,1)=1,IF(INDEX(DarlBindung,1)="",1,$G384),IF($J384&gt;0.005,1,0)))</f>
      </c>
      <c r="J384" s="43">
        <f>IF($I383=0,0,$R383)</f>
      </c>
      <c r="K384" s="43">
        <f>IF($I384=0,0,IF(INDEX(DarlOhneTilgung,1)=1,0,IF(AND(INDEX(DarlTilgStart,1)&gt;0,$E384=INDEX(DarlTilgStart,1)),$J384*($H384+INDEX(DarlTilgung,1))/100/12,IF(AND($G384=0,$G383=1),MAX($K383,$J384*($H384+1)/100/12),$K383))))</f>
      </c>
      <c r="L384" s="43">
        <f>IF($I384=0,0,$J384*$H384/100/12)</f>
      </c>
      <c r="M384" s="43">
        <f>IF($I384=0,0,IF(OR(INDEX(DarlOhneTilgung,1)=1,AND(INDEX(DarlTilgStart,1)&gt;0,$E384&lt;INDEX(DarlTilgStart,1))),0,MIN(MAX(0,$K384-$L384),$J384)))</f>
      </c>
      <c r="N384" s="43">
        <f>IF($I384=0,0,MIN(SUMIFS(SondBetrag,SondDarl,1,SondDatum,"&gt;="&amp;$E384,SondDatum,"&lt;="&amp;EOMONTH($E384,0)),$J384-$M384))</f>
      </c>
      <c r="O384" s="43">
        <f>IF($I384=0,0,INDEX(DarlErsatzRate,1))</f>
      </c>
      <c r="P384" s="43">
        <f>IF($I384=0,0,$Q383*INDEX(DarlErsatzZins,1))</f>
      </c>
      <c r="Q384" s="43">
        <f>IF($I384=0,0,$Q383+$P384+$O384)</f>
      </c>
      <c r="R384" s="43">
        <f>IF($I384=0,0,$J384-$M384-$N384)</f>
      </c>
    </row>
    <row r="385">
      <c r="A385"/>
      <c r="B385">
        <v>1</v>
      </c>
      <c r="C385" s="43">
        <f>INDEX(DarlObj,1)</f>
      </c>
      <c r="D385">
        <v>382</v>
      </c>
      <c r="E385" s="51">
        <f>IF(INDEX(DarlBelegt,1)=0,0,EOMONTH(INDEX(DarlAuszahlung,1),381)+1)</f>
      </c>
      <c r="F385" s="43">
        <f>IF($E385=0,0,YEAR($E385))</f>
      </c>
      <c r="G385" s="43">
        <f>IF(INDEX(DarlBindung,1)="",1,IF($E385&lt;=INDEX(DarlBindung,1),1,0))</f>
      </c>
      <c r="H385" s="43">
        <f>IF($G385=1,INDEX(DarlSollzins,1),INDEX(DarlAnschluss,1))</f>
      </c>
      <c r="I385" s="43">
        <f>IF(INDEX(DarlBelegt,1)=0,0,IF(INDEX(DarlOhneTilgung,1)=1,IF(INDEX(DarlBindung,1)="",1,$G385),IF($J385&gt;0.005,1,0)))</f>
      </c>
      <c r="J385" s="43">
        <f>IF($I384=0,0,$R384)</f>
      </c>
      <c r="K385" s="43">
        <f>IF($I385=0,0,IF(INDEX(DarlOhneTilgung,1)=1,0,IF(AND(INDEX(DarlTilgStart,1)&gt;0,$E385=INDEX(DarlTilgStart,1)),$J385*($H385+INDEX(DarlTilgung,1))/100/12,IF(AND($G385=0,$G384=1),MAX($K384,$J385*($H385+1)/100/12),$K384))))</f>
      </c>
      <c r="L385" s="43">
        <f>IF($I385=0,0,$J385*$H385/100/12)</f>
      </c>
      <c r="M385" s="43">
        <f>IF($I385=0,0,IF(OR(INDEX(DarlOhneTilgung,1)=1,AND(INDEX(DarlTilgStart,1)&gt;0,$E385&lt;INDEX(DarlTilgStart,1))),0,MIN(MAX(0,$K385-$L385),$J385)))</f>
      </c>
      <c r="N385" s="43">
        <f>IF($I385=0,0,MIN(SUMIFS(SondBetrag,SondDarl,1,SondDatum,"&gt;="&amp;$E385,SondDatum,"&lt;="&amp;EOMONTH($E385,0)),$J385-$M385))</f>
      </c>
      <c r="O385" s="43">
        <f>IF($I385=0,0,INDEX(DarlErsatzRate,1))</f>
      </c>
      <c r="P385" s="43">
        <f>IF($I385=0,0,$Q384*INDEX(DarlErsatzZins,1))</f>
      </c>
      <c r="Q385" s="43">
        <f>IF($I385=0,0,$Q384+$P385+$O385)</f>
      </c>
      <c r="R385" s="43">
        <f>IF($I385=0,0,$J385-$M385-$N385)</f>
      </c>
    </row>
    <row r="386">
      <c r="A386"/>
      <c r="B386">
        <v>1</v>
      </c>
      <c r="C386" s="43">
        <f>INDEX(DarlObj,1)</f>
      </c>
      <c r="D386">
        <v>383</v>
      </c>
      <c r="E386" s="51">
        <f>IF(INDEX(DarlBelegt,1)=0,0,EOMONTH(INDEX(DarlAuszahlung,1),382)+1)</f>
      </c>
      <c r="F386" s="43">
        <f>IF($E386=0,0,YEAR($E386))</f>
      </c>
      <c r="G386" s="43">
        <f>IF(INDEX(DarlBindung,1)="",1,IF($E386&lt;=INDEX(DarlBindung,1),1,0))</f>
      </c>
      <c r="H386" s="43">
        <f>IF($G386=1,INDEX(DarlSollzins,1),INDEX(DarlAnschluss,1))</f>
      </c>
      <c r="I386" s="43">
        <f>IF(INDEX(DarlBelegt,1)=0,0,IF(INDEX(DarlOhneTilgung,1)=1,IF(INDEX(DarlBindung,1)="",1,$G386),IF($J386&gt;0.005,1,0)))</f>
      </c>
      <c r="J386" s="43">
        <f>IF($I385=0,0,$R385)</f>
      </c>
      <c r="K386" s="43">
        <f>IF($I386=0,0,IF(INDEX(DarlOhneTilgung,1)=1,0,IF(AND(INDEX(DarlTilgStart,1)&gt;0,$E386=INDEX(DarlTilgStart,1)),$J386*($H386+INDEX(DarlTilgung,1))/100/12,IF(AND($G386=0,$G385=1),MAX($K385,$J386*($H386+1)/100/12),$K385))))</f>
      </c>
      <c r="L386" s="43">
        <f>IF($I386=0,0,$J386*$H386/100/12)</f>
      </c>
      <c r="M386" s="43">
        <f>IF($I386=0,0,IF(OR(INDEX(DarlOhneTilgung,1)=1,AND(INDEX(DarlTilgStart,1)&gt;0,$E386&lt;INDEX(DarlTilgStart,1))),0,MIN(MAX(0,$K386-$L386),$J386)))</f>
      </c>
      <c r="N386" s="43">
        <f>IF($I386=0,0,MIN(SUMIFS(SondBetrag,SondDarl,1,SondDatum,"&gt;="&amp;$E386,SondDatum,"&lt;="&amp;EOMONTH($E386,0)),$J386-$M386))</f>
      </c>
      <c r="O386" s="43">
        <f>IF($I386=0,0,INDEX(DarlErsatzRate,1))</f>
      </c>
      <c r="P386" s="43">
        <f>IF($I386=0,0,$Q385*INDEX(DarlErsatzZins,1))</f>
      </c>
      <c r="Q386" s="43">
        <f>IF($I386=0,0,$Q385+$P386+$O386)</f>
      </c>
      <c r="R386" s="43">
        <f>IF($I386=0,0,$J386-$M386-$N386)</f>
      </c>
    </row>
    <row r="387">
      <c r="A387"/>
      <c r="B387">
        <v>1</v>
      </c>
      <c r="C387" s="43">
        <f>INDEX(DarlObj,1)</f>
      </c>
      <c r="D387">
        <v>384</v>
      </c>
      <c r="E387" s="51">
        <f>IF(INDEX(DarlBelegt,1)=0,0,EOMONTH(INDEX(DarlAuszahlung,1),383)+1)</f>
      </c>
      <c r="F387" s="43">
        <f>IF($E387=0,0,YEAR($E387))</f>
      </c>
      <c r="G387" s="43">
        <f>IF(INDEX(DarlBindung,1)="",1,IF($E387&lt;=INDEX(DarlBindung,1),1,0))</f>
      </c>
      <c r="H387" s="43">
        <f>IF($G387=1,INDEX(DarlSollzins,1),INDEX(DarlAnschluss,1))</f>
      </c>
      <c r="I387" s="43">
        <f>IF(INDEX(DarlBelegt,1)=0,0,IF(INDEX(DarlOhneTilgung,1)=1,IF(INDEX(DarlBindung,1)="",1,$G387),IF($J387&gt;0.005,1,0)))</f>
      </c>
      <c r="J387" s="43">
        <f>IF($I386=0,0,$R386)</f>
      </c>
      <c r="K387" s="43">
        <f>IF($I387=0,0,IF(INDEX(DarlOhneTilgung,1)=1,0,IF(AND(INDEX(DarlTilgStart,1)&gt;0,$E387=INDEX(DarlTilgStart,1)),$J387*($H387+INDEX(DarlTilgung,1))/100/12,IF(AND($G387=0,$G386=1),MAX($K386,$J387*($H387+1)/100/12),$K386))))</f>
      </c>
      <c r="L387" s="43">
        <f>IF($I387=0,0,$J387*$H387/100/12)</f>
      </c>
      <c r="M387" s="43">
        <f>IF($I387=0,0,IF(OR(INDEX(DarlOhneTilgung,1)=1,AND(INDEX(DarlTilgStart,1)&gt;0,$E387&lt;INDEX(DarlTilgStart,1))),0,MIN(MAX(0,$K387-$L387),$J387)))</f>
      </c>
      <c r="N387" s="43">
        <f>IF($I387=0,0,MIN(SUMIFS(SondBetrag,SondDarl,1,SondDatum,"&gt;="&amp;$E387,SondDatum,"&lt;="&amp;EOMONTH($E387,0)),$J387-$M387))</f>
      </c>
      <c r="O387" s="43">
        <f>IF($I387=0,0,INDEX(DarlErsatzRate,1))</f>
      </c>
      <c r="P387" s="43">
        <f>IF($I387=0,0,$Q386*INDEX(DarlErsatzZins,1))</f>
      </c>
      <c r="Q387" s="43">
        <f>IF($I387=0,0,$Q386+$P387+$O387)</f>
      </c>
      <c r="R387" s="43">
        <f>IF($I387=0,0,$J387-$M387-$N387)</f>
      </c>
    </row>
    <row r="388">
      <c r="A388"/>
      <c r="B388">
        <v>1</v>
      </c>
      <c r="C388" s="43">
        <f>INDEX(DarlObj,1)</f>
      </c>
      <c r="D388">
        <v>385</v>
      </c>
      <c r="E388" s="51">
        <f>IF(INDEX(DarlBelegt,1)=0,0,EOMONTH(INDEX(DarlAuszahlung,1),384)+1)</f>
      </c>
      <c r="F388" s="43">
        <f>IF($E388=0,0,YEAR($E388))</f>
      </c>
      <c r="G388" s="43">
        <f>IF(INDEX(DarlBindung,1)="",1,IF($E388&lt;=INDEX(DarlBindung,1),1,0))</f>
      </c>
      <c r="H388" s="43">
        <f>IF($G388=1,INDEX(DarlSollzins,1),INDEX(DarlAnschluss,1))</f>
      </c>
      <c r="I388" s="43">
        <f>IF(INDEX(DarlBelegt,1)=0,0,IF(INDEX(DarlOhneTilgung,1)=1,IF(INDEX(DarlBindung,1)="",1,$G388),IF($J388&gt;0.005,1,0)))</f>
      </c>
      <c r="J388" s="43">
        <f>IF($I387=0,0,$R387)</f>
      </c>
      <c r="K388" s="43">
        <f>IF($I388=0,0,IF(INDEX(DarlOhneTilgung,1)=1,0,IF(AND(INDEX(DarlTilgStart,1)&gt;0,$E388=INDEX(DarlTilgStart,1)),$J388*($H388+INDEX(DarlTilgung,1))/100/12,IF(AND($G388=0,$G387=1),MAX($K387,$J388*($H388+1)/100/12),$K387))))</f>
      </c>
      <c r="L388" s="43">
        <f>IF($I388=0,0,$J388*$H388/100/12)</f>
      </c>
      <c r="M388" s="43">
        <f>IF($I388=0,0,IF(OR(INDEX(DarlOhneTilgung,1)=1,AND(INDEX(DarlTilgStart,1)&gt;0,$E388&lt;INDEX(DarlTilgStart,1))),0,MIN(MAX(0,$K388-$L388),$J388)))</f>
      </c>
      <c r="N388" s="43">
        <f>IF($I388=0,0,MIN(SUMIFS(SondBetrag,SondDarl,1,SondDatum,"&gt;="&amp;$E388,SondDatum,"&lt;="&amp;EOMONTH($E388,0)),$J388-$M388))</f>
      </c>
      <c r="O388" s="43">
        <f>IF($I388=0,0,INDEX(DarlErsatzRate,1))</f>
      </c>
      <c r="P388" s="43">
        <f>IF($I388=0,0,$Q387*INDEX(DarlErsatzZins,1))</f>
      </c>
      <c r="Q388" s="43">
        <f>IF($I388=0,0,$Q387+$P388+$O388)</f>
      </c>
      <c r="R388" s="43">
        <f>IF($I388=0,0,$J388-$M388-$N388)</f>
      </c>
    </row>
    <row r="389">
      <c r="A389"/>
      <c r="B389">
        <v>1</v>
      </c>
      <c r="C389" s="43">
        <f>INDEX(DarlObj,1)</f>
      </c>
      <c r="D389">
        <v>386</v>
      </c>
      <c r="E389" s="51">
        <f>IF(INDEX(DarlBelegt,1)=0,0,EOMONTH(INDEX(DarlAuszahlung,1),385)+1)</f>
      </c>
      <c r="F389" s="43">
        <f>IF($E389=0,0,YEAR($E389))</f>
      </c>
      <c r="G389" s="43">
        <f>IF(INDEX(DarlBindung,1)="",1,IF($E389&lt;=INDEX(DarlBindung,1),1,0))</f>
      </c>
      <c r="H389" s="43">
        <f>IF($G389=1,INDEX(DarlSollzins,1),INDEX(DarlAnschluss,1))</f>
      </c>
      <c r="I389" s="43">
        <f>IF(INDEX(DarlBelegt,1)=0,0,IF(INDEX(DarlOhneTilgung,1)=1,IF(INDEX(DarlBindung,1)="",1,$G389),IF($J389&gt;0.005,1,0)))</f>
      </c>
      <c r="J389" s="43">
        <f>IF($I388=0,0,$R388)</f>
      </c>
      <c r="K389" s="43">
        <f>IF($I389=0,0,IF(INDEX(DarlOhneTilgung,1)=1,0,IF(AND(INDEX(DarlTilgStart,1)&gt;0,$E389=INDEX(DarlTilgStart,1)),$J389*($H389+INDEX(DarlTilgung,1))/100/12,IF(AND($G389=0,$G388=1),MAX($K388,$J389*($H389+1)/100/12),$K388))))</f>
      </c>
      <c r="L389" s="43">
        <f>IF($I389=0,0,$J389*$H389/100/12)</f>
      </c>
      <c r="M389" s="43">
        <f>IF($I389=0,0,IF(OR(INDEX(DarlOhneTilgung,1)=1,AND(INDEX(DarlTilgStart,1)&gt;0,$E389&lt;INDEX(DarlTilgStart,1))),0,MIN(MAX(0,$K389-$L389),$J389)))</f>
      </c>
      <c r="N389" s="43">
        <f>IF($I389=0,0,MIN(SUMIFS(SondBetrag,SondDarl,1,SondDatum,"&gt;="&amp;$E389,SondDatum,"&lt;="&amp;EOMONTH($E389,0)),$J389-$M389))</f>
      </c>
      <c r="O389" s="43">
        <f>IF($I389=0,0,INDEX(DarlErsatzRate,1))</f>
      </c>
      <c r="P389" s="43">
        <f>IF($I389=0,0,$Q388*INDEX(DarlErsatzZins,1))</f>
      </c>
      <c r="Q389" s="43">
        <f>IF($I389=0,0,$Q388+$P389+$O389)</f>
      </c>
      <c r="R389" s="43">
        <f>IF($I389=0,0,$J389-$M389-$N389)</f>
      </c>
    </row>
    <row r="390">
      <c r="A390"/>
      <c r="B390">
        <v>1</v>
      </c>
      <c r="C390" s="43">
        <f>INDEX(DarlObj,1)</f>
      </c>
      <c r="D390">
        <v>387</v>
      </c>
      <c r="E390" s="51">
        <f>IF(INDEX(DarlBelegt,1)=0,0,EOMONTH(INDEX(DarlAuszahlung,1),386)+1)</f>
      </c>
      <c r="F390" s="43">
        <f>IF($E390=0,0,YEAR($E390))</f>
      </c>
      <c r="G390" s="43">
        <f>IF(INDEX(DarlBindung,1)="",1,IF($E390&lt;=INDEX(DarlBindung,1),1,0))</f>
      </c>
      <c r="H390" s="43">
        <f>IF($G390=1,INDEX(DarlSollzins,1),INDEX(DarlAnschluss,1))</f>
      </c>
      <c r="I390" s="43">
        <f>IF(INDEX(DarlBelegt,1)=0,0,IF(INDEX(DarlOhneTilgung,1)=1,IF(INDEX(DarlBindung,1)="",1,$G390),IF($J390&gt;0.005,1,0)))</f>
      </c>
      <c r="J390" s="43">
        <f>IF($I389=0,0,$R389)</f>
      </c>
      <c r="K390" s="43">
        <f>IF($I390=0,0,IF(INDEX(DarlOhneTilgung,1)=1,0,IF(AND(INDEX(DarlTilgStart,1)&gt;0,$E390=INDEX(DarlTilgStart,1)),$J390*($H390+INDEX(DarlTilgung,1))/100/12,IF(AND($G390=0,$G389=1),MAX($K389,$J390*($H390+1)/100/12),$K389))))</f>
      </c>
      <c r="L390" s="43">
        <f>IF($I390=0,0,$J390*$H390/100/12)</f>
      </c>
      <c r="M390" s="43">
        <f>IF($I390=0,0,IF(OR(INDEX(DarlOhneTilgung,1)=1,AND(INDEX(DarlTilgStart,1)&gt;0,$E390&lt;INDEX(DarlTilgStart,1))),0,MIN(MAX(0,$K390-$L390),$J390)))</f>
      </c>
      <c r="N390" s="43">
        <f>IF($I390=0,0,MIN(SUMIFS(SondBetrag,SondDarl,1,SondDatum,"&gt;="&amp;$E390,SondDatum,"&lt;="&amp;EOMONTH($E390,0)),$J390-$M390))</f>
      </c>
      <c r="O390" s="43">
        <f>IF($I390=0,0,INDEX(DarlErsatzRate,1))</f>
      </c>
      <c r="P390" s="43">
        <f>IF($I390=0,0,$Q389*INDEX(DarlErsatzZins,1))</f>
      </c>
      <c r="Q390" s="43">
        <f>IF($I390=0,0,$Q389+$P390+$O390)</f>
      </c>
      <c r="R390" s="43">
        <f>IF($I390=0,0,$J390-$M390-$N390)</f>
      </c>
    </row>
    <row r="391">
      <c r="A391"/>
      <c r="B391">
        <v>1</v>
      </c>
      <c r="C391" s="43">
        <f>INDEX(DarlObj,1)</f>
      </c>
      <c r="D391">
        <v>388</v>
      </c>
      <c r="E391" s="51">
        <f>IF(INDEX(DarlBelegt,1)=0,0,EOMONTH(INDEX(DarlAuszahlung,1),387)+1)</f>
      </c>
      <c r="F391" s="43">
        <f>IF($E391=0,0,YEAR($E391))</f>
      </c>
      <c r="G391" s="43">
        <f>IF(INDEX(DarlBindung,1)="",1,IF($E391&lt;=INDEX(DarlBindung,1),1,0))</f>
      </c>
      <c r="H391" s="43">
        <f>IF($G391=1,INDEX(DarlSollzins,1),INDEX(DarlAnschluss,1))</f>
      </c>
      <c r="I391" s="43">
        <f>IF(INDEX(DarlBelegt,1)=0,0,IF(INDEX(DarlOhneTilgung,1)=1,IF(INDEX(DarlBindung,1)="",1,$G391),IF($J391&gt;0.005,1,0)))</f>
      </c>
      <c r="J391" s="43">
        <f>IF($I390=0,0,$R390)</f>
      </c>
      <c r="K391" s="43">
        <f>IF($I391=0,0,IF(INDEX(DarlOhneTilgung,1)=1,0,IF(AND(INDEX(DarlTilgStart,1)&gt;0,$E391=INDEX(DarlTilgStart,1)),$J391*($H391+INDEX(DarlTilgung,1))/100/12,IF(AND($G391=0,$G390=1),MAX($K390,$J391*($H391+1)/100/12),$K390))))</f>
      </c>
      <c r="L391" s="43">
        <f>IF($I391=0,0,$J391*$H391/100/12)</f>
      </c>
      <c r="M391" s="43">
        <f>IF($I391=0,0,IF(OR(INDEX(DarlOhneTilgung,1)=1,AND(INDEX(DarlTilgStart,1)&gt;0,$E391&lt;INDEX(DarlTilgStart,1))),0,MIN(MAX(0,$K391-$L391),$J391)))</f>
      </c>
      <c r="N391" s="43">
        <f>IF($I391=0,0,MIN(SUMIFS(SondBetrag,SondDarl,1,SondDatum,"&gt;="&amp;$E391,SondDatum,"&lt;="&amp;EOMONTH($E391,0)),$J391-$M391))</f>
      </c>
      <c r="O391" s="43">
        <f>IF($I391=0,0,INDEX(DarlErsatzRate,1))</f>
      </c>
      <c r="P391" s="43">
        <f>IF($I391=0,0,$Q390*INDEX(DarlErsatzZins,1))</f>
      </c>
      <c r="Q391" s="43">
        <f>IF($I391=0,0,$Q390+$P391+$O391)</f>
      </c>
      <c r="R391" s="43">
        <f>IF($I391=0,0,$J391-$M391-$N391)</f>
      </c>
    </row>
    <row r="392">
      <c r="A392"/>
      <c r="B392">
        <v>1</v>
      </c>
      <c r="C392" s="43">
        <f>INDEX(DarlObj,1)</f>
      </c>
      <c r="D392">
        <v>389</v>
      </c>
      <c r="E392" s="51">
        <f>IF(INDEX(DarlBelegt,1)=0,0,EOMONTH(INDEX(DarlAuszahlung,1),388)+1)</f>
      </c>
      <c r="F392" s="43">
        <f>IF($E392=0,0,YEAR($E392))</f>
      </c>
      <c r="G392" s="43">
        <f>IF(INDEX(DarlBindung,1)="",1,IF($E392&lt;=INDEX(DarlBindung,1),1,0))</f>
      </c>
      <c r="H392" s="43">
        <f>IF($G392=1,INDEX(DarlSollzins,1),INDEX(DarlAnschluss,1))</f>
      </c>
      <c r="I392" s="43">
        <f>IF(INDEX(DarlBelegt,1)=0,0,IF(INDEX(DarlOhneTilgung,1)=1,IF(INDEX(DarlBindung,1)="",1,$G392),IF($J392&gt;0.005,1,0)))</f>
      </c>
      <c r="J392" s="43">
        <f>IF($I391=0,0,$R391)</f>
      </c>
      <c r="K392" s="43">
        <f>IF($I392=0,0,IF(INDEX(DarlOhneTilgung,1)=1,0,IF(AND(INDEX(DarlTilgStart,1)&gt;0,$E392=INDEX(DarlTilgStart,1)),$J392*($H392+INDEX(DarlTilgung,1))/100/12,IF(AND($G392=0,$G391=1),MAX($K391,$J392*($H392+1)/100/12),$K391))))</f>
      </c>
      <c r="L392" s="43">
        <f>IF($I392=0,0,$J392*$H392/100/12)</f>
      </c>
      <c r="M392" s="43">
        <f>IF($I392=0,0,IF(OR(INDEX(DarlOhneTilgung,1)=1,AND(INDEX(DarlTilgStart,1)&gt;0,$E392&lt;INDEX(DarlTilgStart,1))),0,MIN(MAX(0,$K392-$L392),$J392)))</f>
      </c>
      <c r="N392" s="43">
        <f>IF($I392=0,0,MIN(SUMIFS(SondBetrag,SondDarl,1,SondDatum,"&gt;="&amp;$E392,SondDatum,"&lt;="&amp;EOMONTH($E392,0)),$J392-$M392))</f>
      </c>
      <c r="O392" s="43">
        <f>IF($I392=0,0,INDEX(DarlErsatzRate,1))</f>
      </c>
      <c r="P392" s="43">
        <f>IF($I392=0,0,$Q391*INDEX(DarlErsatzZins,1))</f>
      </c>
      <c r="Q392" s="43">
        <f>IF($I392=0,0,$Q391+$P392+$O392)</f>
      </c>
      <c r="R392" s="43">
        <f>IF($I392=0,0,$J392-$M392-$N392)</f>
      </c>
    </row>
    <row r="393">
      <c r="A393"/>
      <c r="B393">
        <v>1</v>
      </c>
      <c r="C393" s="43">
        <f>INDEX(DarlObj,1)</f>
      </c>
      <c r="D393">
        <v>390</v>
      </c>
      <c r="E393" s="51">
        <f>IF(INDEX(DarlBelegt,1)=0,0,EOMONTH(INDEX(DarlAuszahlung,1),389)+1)</f>
      </c>
      <c r="F393" s="43">
        <f>IF($E393=0,0,YEAR($E393))</f>
      </c>
      <c r="G393" s="43">
        <f>IF(INDEX(DarlBindung,1)="",1,IF($E393&lt;=INDEX(DarlBindung,1),1,0))</f>
      </c>
      <c r="H393" s="43">
        <f>IF($G393=1,INDEX(DarlSollzins,1),INDEX(DarlAnschluss,1))</f>
      </c>
      <c r="I393" s="43">
        <f>IF(INDEX(DarlBelegt,1)=0,0,IF(INDEX(DarlOhneTilgung,1)=1,IF(INDEX(DarlBindung,1)="",1,$G393),IF($J393&gt;0.005,1,0)))</f>
      </c>
      <c r="J393" s="43">
        <f>IF($I392=0,0,$R392)</f>
      </c>
      <c r="K393" s="43">
        <f>IF($I393=0,0,IF(INDEX(DarlOhneTilgung,1)=1,0,IF(AND(INDEX(DarlTilgStart,1)&gt;0,$E393=INDEX(DarlTilgStart,1)),$J393*($H393+INDEX(DarlTilgung,1))/100/12,IF(AND($G393=0,$G392=1),MAX($K392,$J393*($H393+1)/100/12),$K392))))</f>
      </c>
      <c r="L393" s="43">
        <f>IF($I393=0,0,$J393*$H393/100/12)</f>
      </c>
      <c r="M393" s="43">
        <f>IF($I393=0,0,IF(OR(INDEX(DarlOhneTilgung,1)=1,AND(INDEX(DarlTilgStart,1)&gt;0,$E393&lt;INDEX(DarlTilgStart,1))),0,MIN(MAX(0,$K393-$L393),$J393)))</f>
      </c>
      <c r="N393" s="43">
        <f>IF($I393=0,0,MIN(SUMIFS(SondBetrag,SondDarl,1,SondDatum,"&gt;="&amp;$E393,SondDatum,"&lt;="&amp;EOMONTH($E393,0)),$J393-$M393))</f>
      </c>
      <c r="O393" s="43">
        <f>IF($I393=0,0,INDEX(DarlErsatzRate,1))</f>
      </c>
      <c r="P393" s="43">
        <f>IF($I393=0,0,$Q392*INDEX(DarlErsatzZins,1))</f>
      </c>
      <c r="Q393" s="43">
        <f>IF($I393=0,0,$Q392+$P393+$O393)</f>
      </c>
      <c r="R393" s="43">
        <f>IF($I393=0,0,$J393-$M393-$N393)</f>
      </c>
    </row>
    <row r="394">
      <c r="A394"/>
      <c r="B394">
        <v>1</v>
      </c>
      <c r="C394" s="43">
        <f>INDEX(DarlObj,1)</f>
      </c>
      <c r="D394">
        <v>391</v>
      </c>
      <c r="E394" s="51">
        <f>IF(INDEX(DarlBelegt,1)=0,0,EOMONTH(INDEX(DarlAuszahlung,1),390)+1)</f>
      </c>
      <c r="F394" s="43">
        <f>IF($E394=0,0,YEAR($E394))</f>
      </c>
      <c r="G394" s="43">
        <f>IF(INDEX(DarlBindung,1)="",1,IF($E394&lt;=INDEX(DarlBindung,1),1,0))</f>
      </c>
      <c r="H394" s="43">
        <f>IF($G394=1,INDEX(DarlSollzins,1),INDEX(DarlAnschluss,1))</f>
      </c>
      <c r="I394" s="43">
        <f>IF(INDEX(DarlBelegt,1)=0,0,IF(INDEX(DarlOhneTilgung,1)=1,IF(INDEX(DarlBindung,1)="",1,$G394),IF($J394&gt;0.005,1,0)))</f>
      </c>
      <c r="J394" s="43">
        <f>IF($I393=0,0,$R393)</f>
      </c>
      <c r="K394" s="43">
        <f>IF($I394=0,0,IF(INDEX(DarlOhneTilgung,1)=1,0,IF(AND(INDEX(DarlTilgStart,1)&gt;0,$E394=INDEX(DarlTilgStart,1)),$J394*($H394+INDEX(DarlTilgung,1))/100/12,IF(AND($G394=0,$G393=1),MAX($K393,$J394*($H394+1)/100/12),$K393))))</f>
      </c>
      <c r="L394" s="43">
        <f>IF($I394=0,0,$J394*$H394/100/12)</f>
      </c>
      <c r="M394" s="43">
        <f>IF($I394=0,0,IF(OR(INDEX(DarlOhneTilgung,1)=1,AND(INDEX(DarlTilgStart,1)&gt;0,$E394&lt;INDEX(DarlTilgStart,1))),0,MIN(MAX(0,$K394-$L394),$J394)))</f>
      </c>
      <c r="N394" s="43">
        <f>IF($I394=0,0,MIN(SUMIFS(SondBetrag,SondDarl,1,SondDatum,"&gt;="&amp;$E394,SondDatum,"&lt;="&amp;EOMONTH($E394,0)),$J394-$M394))</f>
      </c>
      <c r="O394" s="43">
        <f>IF($I394=0,0,INDEX(DarlErsatzRate,1))</f>
      </c>
      <c r="P394" s="43">
        <f>IF($I394=0,0,$Q393*INDEX(DarlErsatzZins,1))</f>
      </c>
      <c r="Q394" s="43">
        <f>IF($I394=0,0,$Q393+$P394+$O394)</f>
      </c>
      <c r="R394" s="43">
        <f>IF($I394=0,0,$J394-$M394-$N394)</f>
      </c>
    </row>
    <row r="395">
      <c r="A395"/>
      <c r="B395">
        <v>1</v>
      </c>
      <c r="C395" s="43">
        <f>INDEX(DarlObj,1)</f>
      </c>
      <c r="D395">
        <v>392</v>
      </c>
      <c r="E395" s="51">
        <f>IF(INDEX(DarlBelegt,1)=0,0,EOMONTH(INDEX(DarlAuszahlung,1),391)+1)</f>
      </c>
      <c r="F395" s="43">
        <f>IF($E395=0,0,YEAR($E395))</f>
      </c>
      <c r="G395" s="43">
        <f>IF(INDEX(DarlBindung,1)="",1,IF($E395&lt;=INDEX(DarlBindung,1),1,0))</f>
      </c>
      <c r="H395" s="43">
        <f>IF($G395=1,INDEX(DarlSollzins,1),INDEX(DarlAnschluss,1))</f>
      </c>
      <c r="I395" s="43">
        <f>IF(INDEX(DarlBelegt,1)=0,0,IF(INDEX(DarlOhneTilgung,1)=1,IF(INDEX(DarlBindung,1)="",1,$G395),IF($J395&gt;0.005,1,0)))</f>
      </c>
      <c r="J395" s="43">
        <f>IF($I394=0,0,$R394)</f>
      </c>
      <c r="K395" s="43">
        <f>IF($I395=0,0,IF(INDEX(DarlOhneTilgung,1)=1,0,IF(AND(INDEX(DarlTilgStart,1)&gt;0,$E395=INDEX(DarlTilgStart,1)),$J395*($H395+INDEX(DarlTilgung,1))/100/12,IF(AND($G395=0,$G394=1),MAX($K394,$J395*($H395+1)/100/12),$K394))))</f>
      </c>
      <c r="L395" s="43">
        <f>IF($I395=0,0,$J395*$H395/100/12)</f>
      </c>
      <c r="M395" s="43">
        <f>IF($I395=0,0,IF(OR(INDEX(DarlOhneTilgung,1)=1,AND(INDEX(DarlTilgStart,1)&gt;0,$E395&lt;INDEX(DarlTilgStart,1))),0,MIN(MAX(0,$K395-$L395),$J395)))</f>
      </c>
      <c r="N395" s="43">
        <f>IF($I395=0,0,MIN(SUMIFS(SondBetrag,SondDarl,1,SondDatum,"&gt;="&amp;$E395,SondDatum,"&lt;="&amp;EOMONTH($E395,0)),$J395-$M395))</f>
      </c>
      <c r="O395" s="43">
        <f>IF($I395=0,0,INDEX(DarlErsatzRate,1))</f>
      </c>
      <c r="P395" s="43">
        <f>IF($I395=0,0,$Q394*INDEX(DarlErsatzZins,1))</f>
      </c>
      <c r="Q395" s="43">
        <f>IF($I395=0,0,$Q394+$P395+$O395)</f>
      </c>
      <c r="R395" s="43">
        <f>IF($I395=0,0,$J395-$M395-$N395)</f>
      </c>
    </row>
    <row r="396">
      <c r="A396"/>
      <c r="B396">
        <v>1</v>
      </c>
      <c r="C396" s="43">
        <f>INDEX(DarlObj,1)</f>
      </c>
      <c r="D396">
        <v>393</v>
      </c>
      <c r="E396" s="51">
        <f>IF(INDEX(DarlBelegt,1)=0,0,EOMONTH(INDEX(DarlAuszahlung,1),392)+1)</f>
      </c>
      <c r="F396" s="43">
        <f>IF($E396=0,0,YEAR($E396))</f>
      </c>
      <c r="G396" s="43">
        <f>IF(INDEX(DarlBindung,1)="",1,IF($E396&lt;=INDEX(DarlBindung,1),1,0))</f>
      </c>
      <c r="H396" s="43">
        <f>IF($G396=1,INDEX(DarlSollzins,1),INDEX(DarlAnschluss,1))</f>
      </c>
      <c r="I396" s="43">
        <f>IF(INDEX(DarlBelegt,1)=0,0,IF(INDEX(DarlOhneTilgung,1)=1,IF(INDEX(DarlBindung,1)="",1,$G396),IF($J396&gt;0.005,1,0)))</f>
      </c>
      <c r="J396" s="43">
        <f>IF($I395=0,0,$R395)</f>
      </c>
      <c r="K396" s="43">
        <f>IF($I396=0,0,IF(INDEX(DarlOhneTilgung,1)=1,0,IF(AND(INDEX(DarlTilgStart,1)&gt;0,$E396=INDEX(DarlTilgStart,1)),$J396*($H396+INDEX(DarlTilgung,1))/100/12,IF(AND($G396=0,$G395=1),MAX($K395,$J396*($H396+1)/100/12),$K395))))</f>
      </c>
      <c r="L396" s="43">
        <f>IF($I396=0,0,$J396*$H396/100/12)</f>
      </c>
      <c r="M396" s="43">
        <f>IF($I396=0,0,IF(OR(INDEX(DarlOhneTilgung,1)=1,AND(INDEX(DarlTilgStart,1)&gt;0,$E396&lt;INDEX(DarlTilgStart,1))),0,MIN(MAX(0,$K396-$L396),$J396)))</f>
      </c>
      <c r="N396" s="43">
        <f>IF($I396=0,0,MIN(SUMIFS(SondBetrag,SondDarl,1,SondDatum,"&gt;="&amp;$E396,SondDatum,"&lt;="&amp;EOMONTH($E396,0)),$J396-$M396))</f>
      </c>
      <c r="O396" s="43">
        <f>IF($I396=0,0,INDEX(DarlErsatzRate,1))</f>
      </c>
      <c r="P396" s="43">
        <f>IF($I396=0,0,$Q395*INDEX(DarlErsatzZins,1))</f>
      </c>
      <c r="Q396" s="43">
        <f>IF($I396=0,0,$Q395+$P396+$O396)</f>
      </c>
      <c r="R396" s="43">
        <f>IF($I396=0,0,$J396-$M396-$N396)</f>
      </c>
    </row>
    <row r="397">
      <c r="A397"/>
      <c r="B397">
        <v>1</v>
      </c>
      <c r="C397" s="43">
        <f>INDEX(DarlObj,1)</f>
      </c>
      <c r="D397">
        <v>394</v>
      </c>
      <c r="E397" s="51">
        <f>IF(INDEX(DarlBelegt,1)=0,0,EOMONTH(INDEX(DarlAuszahlung,1),393)+1)</f>
      </c>
      <c r="F397" s="43">
        <f>IF($E397=0,0,YEAR($E397))</f>
      </c>
      <c r="G397" s="43">
        <f>IF(INDEX(DarlBindung,1)="",1,IF($E397&lt;=INDEX(DarlBindung,1),1,0))</f>
      </c>
      <c r="H397" s="43">
        <f>IF($G397=1,INDEX(DarlSollzins,1),INDEX(DarlAnschluss,1))</f>
      </c>
      <c r="I397" s="43">
        <f>IF(INDEX(DarlBelegt,1)=0,0,IF(INDEX(DarlOhneTilgung,1)=1,IF(INDEX(DarlBindung,1)="",1,$G397),IF($J397&gt;0.005,1,0)))</f>
      </c>
      <c r="J397" s="43">
        <f>IF($I396=0,0,$R396)</f>
      </c>
      <c r="K397" s="43">
        <f>IF($I397=0,0,IF(INDEX(DarlOhneTilgung,1)=1,0,IF(AND(INDEX(DarlTilgStart,1)&gt;0,$E397=INDEX(DarlTilgStart,1)),$J397*($H397+INDEX(DarlTilgung,1))/100/12,IF(AND($G397=0,$G396=1),MAX($K396,$J397*($H397+1)/100/12),$K396))))</f>
      </c>
      <c r="L397" s="43">
        <f>IF($I397=0,0,$J397*$H397/100/12)</f>
      </c>
      <c r="M397" s="43">
        <f>IF($I397=0,0,IF(OR(INDEX(DarlOhneTilgung,1)=1,AND(INDEX(DarlTilgStart,1)&gt;0,$E397&lt;INDEX(DarlTilgStart,1))),0,MIN(MAX(0,$K397-$L397),$J397)))</f>
      </c>
      <c r="N397" s="43">
        <f>IF($I397=0,0,MIN(SUMIFS(SondBetrag,SondDarl,1,SondDatum,"&gt;="&amp;$E397,SondDatum,"&lt;="&amp;EOMONTH($E397,0)),$J397-$M397))</f>
      </c>
      <c r="O397" s="43">
        <f>IF($I397=0,0,INDEX(DarlErsatzRate,1))</f>
      </c>
      <c r="P397" s="43">
        <f>IF($I397=0,0,$Q396*INDEX(DarlErsatzZins,1))</f>
      </c>
      <c r="Q397" s="43">
        <f>IF($I397=0,0,$Q396+$P397+$O397)</f>
      </c>
      <c r="R397" s="43">
        <f>IF($I397=0,0,$J397-$M397-$N397)</f>
      </c>
    </row>
    <row r="398">
      <c r="A398"/>
      <c r="B398">
        <v>1</v>
      </c>
      <c r="C398" s="43">
        <f>INDEX(DarlObj,1)</f>
      </c>
      <c r="D398">
        <v>395</v>
      </c>
      <c r="E398" s="51">
        <f>IF(INDEX(DarlBelegt,1)=0,0,EOMONTH(INDEX(DarlAuszahlung,1),394)+1)</f>
      </c>
      <c r="F398" s="43">
        <f>IF($E398=0,0,YEAR($E398))</f>
      </c>
      <c r="G398" s="43">
        <f>IF(INDEX(DarlBindung,1)="",1,IF($E398&lt;=INDEX(DarlBindung,1),1,0))</f>
      </c>
      <c r="H398" s="43">
        <f>IF($G398=1,INDEX(DarlSollzins,1),INDEX(DarlAnschluss,1))</f>
      </c>
      <c r="I398" s="43">
        <f>IF(INDEX(DarlBelegt,1)=0,0,IF(INDEX(DarlOhneTilgung,1)=1,IF(INDEX(DarlBindung,1)="",1,$G398),IF($J398&gt;0.005,1,0)))</f>
      </c>
      <c r="J398" s="43">
        <f>IF($I397=0,0,$R397)</f>
      </c>
      <c r="K398" s="43">
        <f>IF($I398=0,0,IF(INDEX(DarlOhneTilgung,1)=1,0,IF(AND(INDEX(DarlTilgStart,1)&gt;0,$E398=INDEX(DarlTilgStart,1)),$J398*($H398+INDEX(DarlTilgung,1))/100/12,IF(AND($G398=0,$G397=1),MAX($K397,$J398*($H398+1)/100/12),$K397))))</f>
      </c>
      <c r="L398" s="43">
        <f>IF($I398=0,0,$J398*$H398/100/12)</f>
      </c>
      <c r="M398" s="43">
        <f>IF($I398=0,0,IF(OR(INDEX(DarlOhneTilgung,1)=1,AND(INDEX(DarlTilgStart,1)&gt;0,$E398&lt;INDEX(DarlTilgStart,1))),0,MIN(MAX(0,$K398-$L398),$J398)))</f>
      </c>
      <c r="N398" s="43">
        <f>IF($I398=0,0,MIN(SUMIFS(SondBetrag,SondDarl,1,SondDatum,"&gt;="&amp;$E398,SondDatum,"&lt;="&amp;EOMONTH($E398,0)),$J398-$M398))</f>
      </c>
      <c r="O398" s="43">
        <f>IF($I398=0,0,INDEX(DarlErsatzRate,1))</f>
      </c>
      <c r="P398" s="43">
        <f>IF($I398=0,0,$Q397*INDEX(DarlErsatzZins,1))</f>
      </c>
      <c r="Q398" s="43">
        <f>IF($I398=0,0,$Q397+$P398+$O398)</f>
      </c>
      <c r="R398" s="43">
        <f>IF($I398=0,0,$J398-$M398-$N398)</f>
      </c>
    </row>
    <row r="399">
      <c r="A399"/>
      <c r="B399">
        <v>1</v>
      </c>
      <c r="C399" s="43">
        <f>INDEX(DarlObj,1)</f>
      </c>
      <c r="D399">
        <v>396</v>
      </c>
      <c r="E399" s="51">
        <f>IF(INDEX(DarlBelegt,1)=0,0,EOMONTH(INDEX(DarlAuszahlung,1),395)+1)</f>
      </c>
      <c r="F399" s="43">
        <f>IF($E399=0,0,YEAR($E399))</f>
      </c>
      <c r="G399" s="43">
        <f>IF(INDEX(DarlBindung,1)="",1,IF($E399&lt;=INDEX(DarlBindung,1),1,0))</f>
      </c>
      <c r="H399" s="43">
        <f>IF($G399=1,INDEX(DarlSollzins,1),INDEX(DarlAnschluss,1))</f>
      </c>
      <c r="I399" s="43">
        <f>IF(INDEX(DarlBelegt,1)=0,0,IF(INDEX(DarlOhneTilgung,1)=1,IF(INDEX(DarlBindung,1)="",1,$G399),IF($J399&gt;0.005,1,0)))</f>
      </c>
      <c r="J399" s="43">
        <f>IF($I398=0,0,$R398)</f>
      </c>
      <c r="K399" s="43">
        <f>IF($I399=0,0,IF(INDEX(DarlOhneTilgung,1)=1,0,IF(AND(INDEX(DarlTilgStart,1)&gt;0,$E399=INDEX(DarlTilgStart,1)),$J399*($H399+INDEX(DarlTilgung,1))/100/12,IF(AND($G399=0,$G398=1),MAX($K398,$J399*($H399+1)/100/12),$K398))))</f>
      </c>
      <c r="L399" s="43">
        <f>IF($I399=0,0,$J399*$H399/100/12)</f>
      </c>
      <c r="M399" s="43">
        <f>IF($I399=0,0,IF(OR(INDEX(DarlOhneTilgung,1)=1,AND(INDEX(DarlTilgStart,1)&gt;0,$E399&lt;INDEX(DarlTilgStart,1))),0,MIN(MAX(0,$K399-$L399),$J399)))</f>
      </c>
      <c r="N399" s="43">
        <f>IF($I399=0,0,MIN(SUMIFS(SondBetrag,SondDarl,1,SondDatum,"&gt;="&amp;$E399,SondDatum,"&lt;="&amp;EOMONTH($E399,0)),$J399-$M399))</f>
      </c>
      <c r="O399" s="43">
        <f>IF($I399=0,0,INDEX(DarlErsatzRate,1))</f>
      </c>
      <c r="P399" s="43">
        <f>IF($I399=0,0,$Q398*INDEX(DarlErsatzZins,1))</f>
      </c>
      <c r="Q399" s="43">
        <f>IF($I399=0,0,$Q398+$P399+$O399)</f>
      </c>
      <c r="R399" s="43">
        <f>IF($I399=0,0,$J399-$M399-$N399)</f>
      </c>
    </row>
    <row r="400">
      <c r="A400"/>
      <c r="B400">
        <v>1</v>
      </c>
      <c r="C400" s="43">
        <f>INDEX(DarlObj,1)</f>
      </c>
      <c r="D400">
        <v>397</v>
      </c>
      <c r="E400" s="51">
        <f>IF(INDEX(DarlBelegt,1)=0,0,EOMONTH(INDEX(DarlAuszahlung,1),396)+1)</f>
      </c>
      <c r="F400" s="43">
        <f>IF($E400=0,0,YEAR($E400))</f>
      </c>
      <c r="G400" s="43">
        <f>IF(INDEX(DarlBindung,1)="",1,IF($E400&lt;=INDEX(DarlBindung,1),1,0))</f>
      </c>
      <c r="H400" s="43">
        <f>IF($G400=1,INDEX(DarlSollzins,1),INDEX(DarlAnschluss,1))</f>
      </c>
      <c r="I400" s="43">
        <f>IF(INDEX(DarlBelegt,1)=0,0,IF(INDEX(DarlOhneTilgung,1)=1,IF(INDEX(DarlBindung,1)="",1,$G400),IF($J400&gt;0.005,1,0)))</f>
      </c>
      <c r="J400" s="43">
        <f>IF($I399=0,0,$R399)</f>
      </c>
      <c r="K400" s="43">
        <f>IF($I400=0,0,IF(INDEX(DarlOhneTilgung,1)=1,0,IF(AND(INDEX(DarlTilgStart,1)&gt;0,$E400=INDEX(DarlTilgStart,1)),$J400*($H400+INDEX(DarlTilgung,1))/100/12,IF(AND($G400=0,$G399=1),MAX($K399,$J400*($H400+1)/100/12),$K399))))</f>
      </c>
      <c r="L400" s="43">
        <f>IF($I400=0,0,$J400*$H400/100/12)</f>
      </c>
      <c r="M400" s="43">
        <f>IF($I400=0,0,IF(OR(INDEX(DarlOhneTilgung,1)=1,AND(INDEX(DarlTilgStart,1)&gt;0,$E400&lt;INDEX(DarlTilgStart,1))),0,MIN(MAX(0,$K400-$L400),$J400)))</f>
      </c>
      <c r="N400" s="43">
        <f>IF($I400=0,0,MIN(SUMIFS(SondBetrag,SondDarl,1,SondDatum,"&gt;="&amp;$E400,SondDatum,"&lt;="&amp;EOMONTH($E400,0)),$J400-$M400))</f>
      </c>
      <c r="O400" s="43">
        <f>IF($I400=0,0,INDEX(DarlErsatzRate,1))</f>
      </c>
      <c r="P400" s="43">
        <f>IF($I400=0,0,$Q399*INDEX(DarlErsatzZins,1))</f>
      </c>
      <c r="Q400" s="43">
        <f>IF($I400=0,0,$Q399+$P400+$O400)</f>
      </c>
      <c r="R400" s="43">
        <f>IF($I400=0,0,$J400-$M400-$N400)</f>
      </c>
    </row>
    <row r="401">
      <c r="A401"/>
      <c r="B401">
        <v>1</v>
      </c>
      <c r="C401" s="43">
        <f>INDEX(DarlObj,1)</f>
      </c>
      <c r="D401">
        <v>398</v>
      </c>
      <c r="E401" s="51">
        <f>IF(INDEX(DarlBelegt,1)=0,0,EOMONTH(INDEX(DarlAuszahlung,1),397)+1)</f>
      </c>
      <c r="F401" s="43">
        <f>IF($E401=0,0,YEAR($E401))</f>
      </c>
      <c r="G401" s="43">
        <f>IF(INDEX(DarlBindung,1)="",1,IF($E401&lt;=INDEX(DarlBindung,1),1,0))</f>
      </c>
      <c r="H401" s="43">
        <f>IF($G401=1,INDEX(DarlSollzins,1),INDEX(DarlAnschluss,1))</f>
      </c>
      <c r="I401" s="43">
        <f>IF(INDEX(DarlBelegt,1)=0,0,IF(INDEX(DarlOhneTilgung,1)=1,IF(INDEX(DarlBindung,1)="",1,$G401),IF($J401&gt;0.005,1,0)))</f>
      </c>
      <c r="J401" s="43">
        <f>IF($I400=0,0,$R400)</f>
      </c>
      <c r="K401" s="43">
        <f>IF($I401=0,0,IF(INDEX(DarlOhneTilgung,1)=1,0,IF(AND(INDEX(DarlTilgStart,1)&gt;0,$E401=INDEX(DarlTilgStart,1)),$J401*($H401+INDEX(DarlTilgung,1))/100/12,IF(AND($G401=0,$G400=1),MAX($K400,$J401*($H401+1)/100/12),$K400))))</f>
      </c>
      <c r="L401" s="43">
        <f>IF($I401=0,0,$J401*$H401/100/12)</f>
      </c>
      <c r="M401" s="43">
        <f>IF($I401=0,0,IF(OR(INDEX(DarlOhneTilgung,1)=1,AND(INDEX(DarlTilgStart,1)&gt;0,$E401&lt;INDEX(DarlTilgStart,1))),0,MIN(MAX(0,$K401-$L401),$J401)))</f>
      </c>
      <c r="N401" s="43">
        <f>IF($I401=0,0,MIN(SUMIFS(SondBetrag,SondDarl,1,SondDatum,"&gt;="&amp;$E401,SondDatum,"&lt;="&amp;EOMONTH($E401,0)),$J401-$M401))</f>
      </c>
      <c r="O401" s="43">
        <f>IF($I401=0,0,INDEX(DarlErsatzRate,1))</f>
      </c>
      <c r="P401" s="43">
        <f>IF($I401=0,0,$Q400*INDEX(DarlErsatzZins,1))</f>
      </c>
      <c r="Q401" s="43">
        <f>IF($I401=0,0,$Q400+$P401+$O401)</f>
      </c>
      <c r="R401" s="43">
        <f>IF($I401=0,0,$J401-$M401-$N401)</f>
      </c>
    </row>
    <row r="402">
      <c r="A402"/>
      <c r="B402">
        <v>1</v>
      </c>
      <c r="C402" s="43">
        <f>INDEX(DarlObj,1)</f>
      </c>
      <c r="D402">
        <v>399</v>
      </c>
      <c r="E402" s="51">
        <f>IF(INDEX(DarlBelegt,1)=0,0,EOMONTH(INDEX(DarlAuszahlung,1),398)+1)</f>
      </c>
      <c r="F402" s="43">
        <f>IF($E402=0,0,YEAR($E402))</f>
      </c>
      <c r="G402" s="43">
        <f>IF(INDEX(DarlBindung,1)="",1,IF($E402&lt;=INDEX(DarlBindung,1),1,0))</f>
      </c>
      <c r="H402" s="43">
        <f>IF($G402=1,INDEX(DarlSollzins,1),INDEX(DarlAnschluss,1))</f>
      </c>
      <c r="I402" s="43">
        <f>IF(INDEX(DarlBelegt,1)=0,0,IF(INDEX(DarlOhneTilgung,1)=1,IF(INDEX(DarlBindung,1)="",1,$G402),IF($J402&gt;0.005,1,0)))</f>
      </c>
      <c r="J402" s="43">
        <f>IF($I401=0,0,$R401)</f>
      </c>
      <c r="K402" s="43">
        <f>IF($I402=0,0,IF(INDEX(DarlOhneTilgung,1)=1,0,IF(AND(INDEX(DarlTilgStart,1)&gt;0,$E402=INDEX(DarlTilgStart,1)),$J402*($H402+INDEX(DarlTilgung,1))/100/12,IF(AND($G402=0,$G401=1),MAX($K401,$J402*($H402+1)/100/12),$K401))))</f>
      </c>
      <c r="L402" s="43">
        <f>IF($I402=0,0,$J402*$H402/100/12)</f>
      </c>
      <c r="M402" s="43">
        <f>IF($I402=0,0,IF(OR(INDEX(DarlOhneTilgung,1)=1,AND(INDEX(DarlTilgStart,1)&gt;0,$E402&lt;INDEX(DarlTilgStart,1))),0,MIN(MAX(0,$K402-$L402),$J402)))</f>
      </c>
      <c r="N402" s="43">
        <f>IF($I402=0,0,MIN(SUMIFS(SondBetrag,SondDarl,1,SondDatum,"&gt;="&amp;$E402,SondDatum,"&lt;="&amp;EOMONTH($E402,0)),$J402-$M402))</f>
      </c>
      <c r="O402" s="43">
        <f>IF($I402=0,0,INDEX(DarlErsatzRate,1))</f>
      </c>
      <c r="P402" s="43">
        <f>IF($I402=0,0,$Q401*INDEX(DarlErsatzZins,1))</f>
      </c>
      <c r="Q402" s="43">
        <f>IF($I402=0,0,$Q401+$P402+$O402)</f>
      </c>
      <c r="R402" s="43">
        <f>IF($I402=0,0,$J402-$M402-$N402)</f>
      </c>
    </row>
    <row r="403">
      <c r="A403"/>
      <c r="B403">
        <v>1</v>
      </c>
      <c r="C403" s="43">
        <f>INDEX(DarlObj,1)</f>
      </c>
      <c r="D403">
        <v>400</v>
      </c>
      <c r="E403" s="51">
        <f>IF(INDEX(DarlBelegt,1)=0,0,EOMONTH(INDEX(DarlAuszahlung,1),399)+1)</f>
      </c>
      <c r="F403" s="43">
        <f>IF($E403=0,0,YEAR($E403))</f>
      </c>
      <c r="G403" s="43">
        <f>IF(INDEX(DarlBindung,1)="",1,IF($E403&lt;=INDEX(DarlBindung,1),1,0))</f>
      </c>
      <c r="H403" s="43">
        <f>IF($G403=1,INDEX(DarlSollzins,1),INDEX(DarlAnschluss,1))</f>
      </c>
      <c r="I403" s="43">
        <f>IF(INDEX(DarlBelegt,1)=0,0,IF(INDEX(DarlOhneTilgung,1)=1,IF(INDEX(DarlBindung,1)="",1,$G403),IF($J403&gt;0.005,1,0)))</f>
      </c>
      <c r="J403" s="43">
        <f>IF($I402=0,0,$R402)</f>
      </c>
      <c r="K403" s="43">
        <f>IF($I403=0,0,IF(INDEX(DarlOhneTilgung,1)=1,0,IF(AND(INDEX(DarlTilgStart,1)&gt;0,$E403=INDEX(DarlTilgStart,1)),$J403*($H403+INDEX(DarlTilgung,1))/100/12,IF(AND($G403=0,$G402=1),MAX($K402,$J403*($H403+1)/100/12),$K402))))</f>
      </c>
      <c r="L403" s="43">
        <f>IF($I403=0,0,$J403*$H403/100/12)</f>
      </c>
      <c r="M403" s="43">
        <f>IF($I403=0,0,IF(OR(INDEX(DarlOhneTilgung,1)=1,AND(INDEX(DarlTilgStart,1)&gt;0,$E403&lt;INDEX(DarlTilgStart,1))),0,MIN(MAX(0,$K403-$L403),$J403)))</f>
      </c>
      <c r="N403" s="43">
        <f>IF($I403=0,0,MIN(SUMIFS(SondBetrag,SondDarl,1,SondDatum,"&gt;="&amp;$E403,SondDatum,"&lt;="&amp;EOMONTH($E403,0)),$J403-$M403))</f>
      </c>
      <c r="O403" s="43">
        <f>IF($I403=0,0,INDEX(DarlErsatzRate,1))</f>
      </c>
      <c r="P403" s="43">
        <f>IF($I403=0,0,$Q402*INDEX(DarlErsatzZins,1))</f>
      </c>
      <c r="Q403" s="43">
        <f>IF($I403=0,0,$Q402+$P403+$O403)</f>
      </c>
      <c r="R403" s="43">
        <f>IF($I403=0,0,$J403-$M403-$N403)</f>
      </c>
    </row>
    <row r="404">
      <c r="A404"/>
      <c r="B404">
        <v>1</v>
      </c>
      <c r="C404" s="43">
        <f>INDEX(DarlObj,1)</f>
      </c>
      <c r="D404">
        <v>401</v>
      </c>
      <c r="E404" s="51">
        <f>IF(INDEX(DarlBelegt,1)=0,0,EOMONTH(INDEX(DarlAuszahlung,1),400)+1)</f>
      </c>
      <c r="F404" s="43">
        <f>IF($E404=0,0,YEAR($E404))</f>
      </c>
      <c r="G404" s="43">
        <f>IF(INDEX(DarlBindung,1)="",1,IF($E404&lt;=INDEX(DarlBindung,1),1,0))</f>
      </c>
      <c r="H404" s="43">
        <f>IF($G404=1,INDEX(DarlSollzins,1),INDEX(DarlAnschluss,1))</f>
      </c>
      <c r="I404" s="43">
        <f>IF(INDEX(DarlBelegt,1)=0,0,IF(INDEX(DarlOhneTilgung,1)=1,IF(INDEX(DarlBindung,1)="",1,$G404),IF($J404&gt;0.005,1,0)))</f>
      </c>
      <c r="J404" s="43">
        <f>IF($I403=0,0,$R403)</f>
      </c>
      <c r="K404" s="43">
        <f>IF($I404=0,0,IF(INDEX(DarlOhneTilgung,1)=1,0,IF(AND(INDEX(DarlTilgStart,1)&gt;0,$E404=INDEX(DarlTilgStart,1)),$J404*($H404+INDEX(DarlTilgung,1))/100/12,IF(AND($G404=0,$G403=1),MAX($K403,$J404*($H404+1)/100/12),$K403))))</f>
      </c>
      <c r="L404" s="43">
        <f>IF($I404=0,0,$J404*$H404/100/12)</f>
      </c>
      <c r="M404" s="43">
        <f>IF($I404=0,0,IF(OR(INDEX(DarlOhneTilgung,1)=1,AND(INDEX(DarlTilgStart,1)&gt;0,$E404&lt;INDEX(DarlTilgStart,1))),0,MIN(MAX(0,$K404-$L404),$J404)))</f>
      </c>
      <c r="N404" s="43">
        <f>IF($I404=0,0,MIN(SUMIFS(SondBetrag,SondDarl,1,SondDatum,"&gt;="&amp;$E404,SondDatum,"&lt;="&amp;EOMONTH($E404,0)),$J404-$M404))</f>
      </c>
      <c r="O404" s="43">
        <f>IF($I404=0,0,INDEX(DarlErsatzRate,1))</f>
      </c>
      <c r="P404" s="43">
        <f>IF($I404=0,0,$Q403*INDEX(DarlErsatzZins,1))</f>
      </c>
      <c r="Q404" s="43">
        <f>IF($I404=0,0,$Q403+$P404+$O404)</f>
      </c>
      <c r="R404" s="43">
        <f>IF($I404=0,0,$J404-$M404-$N404)</f>
      </c>
    </row>
    <row r="405">
      <c r="A405"/>
      <c r="B405">
        <v>1</v>
      </c>
      <c r="C405" s="43">
        <f>INDEX(DarlObj,1)</f>
      </c>
      <c r="D405">
        <v>402</v>
      </c>
      <c r="E405" s="51">
        <f>IF(INDEX(DarlBelegt,1)=0,0,EOMONTH(INDEX(DarlAuszahlung,1),401)+1)</f>
      </c>
      <c r="F405" s="43">
        <f>IF($E405=0,0,YEAR($E405))</f>
      </c>
      <c r="G405" s="43">
        <f>IF(INDEX(DarlBindung,1)="",1,IF($E405&lt;=INDEX(DarlBindung,1),1,0))</f>
      </c>
      <c r="H405" s="43">
        <f>IF($G405=1,INDEX(DarlSollzins,1),INDEX(DarlAnschluss,1))</f>
      </c>
      <c r="I405" s="43">
        <f>IF(INDEX(DarlBelegt,1)=0,0,IF(INDEX(DarlOhneTilgung,1)=1,IF(INDEX(DarlBindung,1)="",1,$G405),IF($J405&gt;0.005,1,0)))</f>
      </c>
      <c r="J405" s="43">
        <f>IF($I404=0,0,$R404)</f>
      </c>
      <c r="K405" s="43">
        <f>IF($I405=0,0,IF(INDEX(DarlOhneTilgung,1)=1,0,IF(AND(INDEX(DarlTilgStart,1)&gt;0,$E405=INDEX(DarlTilgStart,1)),$J405*($H405+INDEX(DarlTilgung,1))/100/12,IF(AND($G405=0,$G404=1),MAX($K404,$J405*($H405+1)/100/12),$K404))))</f>
      </c>
      <c r="L405" s="43">
        <f>IF($I405=0,0,$J405*$H405/100/12)</f>
      </c>
      <c r="M405" s="43">
        <f>IF($I405=0,0,IF(OR(INDEX(DarlOhneTilgung,1)=1,AND(INDEX(DarlTilgStart,1)&gt;0,$E405&lt;INDEX(DarlTilgStart,1))),0,MIN(MAX(0,$K405-$L405),$J405)))</f>
      </c>
      <c r="N405" s="43">
        <f>IF($I405=0,0,MIN(SUMIFS(SondBetrag,SondDarl,1,SondDatum,"&gt;="&amp;$E405,SondDatum,"&lt;="&amp;EOMONTH($E405,0)),$J405-$M405))</f>
      </c>
      <c r="O405" s="43">
        <f>IF($I405=0,0,INDEX(DarlErsatzRate,1))</f>
      </c>
      <c r="P405" s="43">
        <f>IF($I405=0,0,$Q404*INDEX(DarlErsatzZins,1))</f>
      </c>
      <c r="Q405" s="43">
        <f>IF($I405=0,0,$Q404+$P405+$O405)</f>
      </c>
      <c r="R405" s="43">
        <f>IF($I405=0,0,$J405-$M405-$N405)</f>
      </c>
    </row>
    <row r="406">
      <c r="A406"/>
      <c r="B406">
        <v>1</v>
      </c>
      <c r="C406" s="43">
        <f>INDEX(DarlObj,1)</f>
      </c>
      <c r="D406">
        <v>403</v>
      </c>
      <c r="E406" s="51">
        <f>IF(INDEX(DarlBelegt,1)=0,0,EOMONTH(INDEX(DarlAuszahlung,1),402)+1)</f>
      </c>
      <c r="F406" s="43">
        <f>IF($E406=0,0,YEAR($E406))</f>
      </c>
      <c r="G406" s="43">
        <f>IF(INDEX(DarlBindung,1)="",1,IF($E406&lt;=INDEX(DarlBindung,1),1,0))</f>
      </c>
      <c r="H406" s="43">
        <f>IF($G406=1,INDEX(DarlSollzins,1),INDEX(DarlAnschluss,1))</f>
      </c>
      <c r="I406" s="43">
        <f>IF(INDEX(DarlBelegt,1)=0,0,IF(INDEX(DarlOhneTilgung,1)=1,IF(INDEX(DarlBindung,1)="",1,$G406),IF($J406&gt;0.005,1,0)))</f>
      </c>
      <c r="J406" s="43">
        <f>IF($I405=0,0,$R405)</f>
      </c>
      <c r="K406" s="43">
        <f>IF($I406=0,0,IF(INDEX(DarlOhneTilgung,1)=1,0,IF(AND(INDEX(DarlTilgStart,1)&gt;0,$E406=INDEX(DarlTilgStart,1)),$J406*($H406+INDEX(DarlTilgung,1))/100/12,IF(AND($G406=0,$G405=1),MAX($K405,$J406*($H406+1)/100/12),$K405))))</f>
      </c>
      <c r="L406" s="43">
        <f>IF($I406=0,0,$J406*$H406/100/12)</f>
      </c>
      <c r="M406" s="43">
        <f>IF($I406=0,0,IF(OR(INDEX(DarlOhneTilgung,1)=1,AND(INDEX(DarlTilgStart,1)&gt;0,$E406&lt;INDEX(DarlTilgStart,1))),0,MIN(MAX(0,$K406-$L406),$J406)))</f>
      </c>
      <c r="N406" s="43">
        <f>IF($I406=0,0,MIN(SUMIFS(SondBetrag,SondDarl,1,SondDatum,"&gt;="&amp;$E406,SondDatum,"&lt;="&amp;EOMONTH($E406,0)),$J406-$M406))</f>
      </c>
      <c r="O406" s="43">
        <f>IF($I406=0,0,INDEX(DarlErsatzRate,1))</f>
      </c>
      <c r="P406" s="43">
        <f>IF($I406=0,0,$Q405*INDEX(DarlErsatzZins,1))</f>
      </c>
      <c r="Q406" s="43">
        <f>IF($I406=0,0,$Q405+$P406+$O406)</f>
      </c>
      <c r="R406" s="43">
        <f>IF($I406=0,0,$J406-$M406-$N406)</f>
      </c>
    </row>
    <row r="407">
      <c r="A407"/>
      <c r="B407">
        <v>1</v>
      </c>
      <c r="C407" s="43">
        <f>INDEX(DarlObj,1)</f>
      </c>
      <c r="D407">
        <v>404</v>
      </c>
      <c r="E407" s="51">
        <f>IF(INDEX(DarlBelegt,1)=0,0,EOMONTH(INDEX(DarlAuszahlung,1),403)+1)</f>
      </c>
      <c r="F407" s="43">
        <f>IF($E407=0,0,YEAR($E407))</f>
      </c>
      <c r="G407" s="43">
        <f>IF(INDEX(DarlBindung,1)="",1,IF($E407&lt;=INDEX(DarlBindung,1),1,0))</f>
      </c>
      <c r="H407" s="43">
        <f>IF($G407=1,INDEX(DarlSollzins,1),INDEX(DarlAnschluss,1))</f>
      </c>
      <c r="I407" s="43">
        <f>IF(INDEX(DarlBelegt,1)=0,0,IF(INDEX(DarlOhneTilgung,1)=1,IF(INDEX(DarlBindung,1)="",1,$G407),IF($J407&gt;0.005,1,0)))</f>
      </c>
      <c r="J407" s="43">
        <f>IF($I406=0,0,$R406)</f>
      </c>
      <c r="K407" s="43">
        <f>IF($I407=0,0,IF(INDEX(DarlOhneTilgung,1)=1,0,IF(AND(INDEX(DarlTilgStart,1)&gt;0,$E407=INDEX(DarlTilgStart,1)),$J407*($H407+INDEX(DarlTilgung,1))/100/12,IF(AND($G407=0,$G406=1),MAX($K406,$J407*($H407+1)/100/12),$K406))))</f>
      </c>
      <c r="L407" s="43">
        <f>IF($I407=0,0,$J407*$H407/100/12)</f>
      </c>
      <c r="M407" s="43">
        <f>IF($I407=0,0,IF(OR(INDEX(DarlOhneTilgung,1)=1,AND(INDEX(DarlTilgStart,1)&gt;0,$E407&lt;INDEX(DarlTilgStart,1))),0,MIN(MAX(0,$K407-$L407),$J407)))</f>
      </c>
      <c r="N407" s="43">
        <f>IF($I407=0,0,MIN(SUMIFS(SondBetrag,SondDarl,1,SondDatum,"&gt;="&amp;$E407,SondDatum,"&lt;="&amp;EOMONTH($E407,0)),$J407-$M407))</f>
      </c>
      <c r="O407" s="43">
        <f>IF($I407=0,0,INDEX(DarlErsatzRate,1))</f>
      </c>
      <c r="P407" s="43">
        <f>IF($I407=0,0,$Q406*INDEX(DarlErsatzZins,1))</f>
      </c>
      <c r="Q407" s="43">
        <f>IF($I407=0,0,$Q406+$P407+$O407)</f>
      </c>
      <c r="R407" s="43">
        <f>IF($I407=0,0,$J407-$M407-$N407)</f>
      </c>
    </row>
    <row r="408">
      <c r="A408"/>
      <c r="B408">
        <v>1</v>
      </c>
      <c r="C408" s="43">
        <f>INDEX(DarlObj,1)</f>
      </c>
      <c r="D408">
        <v>405</v>
      </c>
      <c r="E408" s="51">
        <f>IF(INDEX(DarlBelegt,1)=0,0,EOMONTH(INDEX(DarlAuszahlung,1),404)+1)</f>
      </c>
      <c r="F408" s="43">
        <f>IF($E408=0,0,YEAR($E408))</f>
      </c>
      <c r="G408" s="43">
        <f>IF(INDEX(DarlBindung,1)="",1,IF($E408&lt;=INDEX(DarlBindung,1),1,0))</f>
      </c>
      <c r="H408" s="43">
        <f>IF($G408=1,INDEX(DarlSollzins,1),INDEX(DarlAnschluss,1))</f>
      </c>
      <c r="I408" s="43">
        <f>IF(INDEX(DarlBelegt,1)=0,0,IF(INDEX(DarlOhneTilgung,1)=1,IF(INDEX(DarlBindung,1)="",1,$G408),IF($J408&gt;0.005,1,0)))</f>
      </c>
      <c r="J408" s="43">
        <f>IF($I407=0,0,$R407)</f>
      </c>
      <c r="K408" s="43">
        <f>IF($I408=0,0,IF(INDEX(DarlOhneTilgung,1)=1,0,IF(AND(INDEX(DarlTilgStart,1)&gt;0,$E408=INDEX(DarlTilgStart,1)),$J408*($H408+INDEX(DarlTilgung,1))/100/12,IF(AND($G408=0,$G407=1),MAX($K407,$J408*($H408+1)/100/12),$K407))))</f>
      </c>
      <c r="L408" s="43">
        <f>IF($I408=0,0,$J408*$H408/100/12)</f>
      </c>
      <c r="M408" s="43">
        <f>IF($I408=0,0,IF(OR(INDEX(DarlOhneTilgung,1)=1,AND(INDEX(DarlTilgStart,1)&gt;0,$E408&lt;INDEX(DarlTilgStart,1))),0,MIN(MAX(0,$K408-$L408),$J408)))</f>
      </c>
      <c r="N408" s="43">
        <f>IF($I408=0,0,MIN(SUMIFS(SondBetrag,SondDarl,1,SondDatum,"&gt;="&amp;$E408,SondDatum,"&lt;="&amp;EOMONTH($E408,0)),$J408-$M408))</f>
      </c>
      <c r="O408" s="43">
        <f>IF($I408=0,0,INDEX(DarlErsatzRate,1))</f>
      </c>
      <c r="P408" s="43">
        <f>IF($I408=0,0,$Q407*INDEX(DarlErsatzZins,1))</f>
      </c>
      <c r="Q408" s="43">
        <f>IF($I408=0,0,$Q407+$P408+$O408)</f>
      </c>
      <c r="R408" s="43">
        <f>IF($I408=0,0,$J408-$M408-$N408)</f>
      </c>
    </row>
    <row r="409">
      <c r="A409"/>
      <c r="B409">
        <v>1</v>
      </c>
      <c r="C409" s="43">
        <f>INDEX(DarlObj,1)</f>
      </c>
      <c r="D409">
        <v>406</v>
      </c>
      <c r="E409" s="51">
        <f>IF(INDEX(DarlBelegt,1)=0,0,EOMONTH(INDEX(DarlAuszahlung,1),405)+1)</f>
      </c>
      <c r="F409" s="43">
        <f>IF($E409=0,0,YEAR($E409))</f>
      </c>
      <c r="G409" s="43">
        <f>IF(INDEX(DarlBindung,1)="",1,IF($E409&lt;=INDEX(DarlBindung,1),1,0))</f>
      </c>
      <c r="H409" s="43">
        <f>IF($G409=1,INDEX(DarlSollzins,1),INDEX(DarlAnschluss,1))</f>
      </c>
      <c r="I409" s="43">
        <f>IF(INDEX(DarlBelegt,1)=0,0,IF(INDEX(DarlOhneTilgung,1)=1,IF(INDEX(DarlBindung,1)="",1,$G409),IF($J409&gt;0.005,1,0)))</f>
      </c>
      <c r="J409" s="43">
        <f>IF($I408=0,0,$R408)</f>
      </c>
      <c r="K409" s="43">
        <f>IF($I409=0,0,IF(INDEX(DarlOhneTilgung,1)=1,0,IF(AND(INDEX(DarlTilgStart,1)&gt;0,$E409=INDEX(DarlTilgStart,1)),$J409*($H409+INDEX(DarlTilgung,1))/100/12,IF(AND($G409=0,$G408=1),MAX($K408,$J409*($H409+1)/100/12),$K408))))</f>
      </c>
      <c r="L409" s="43">
        <f>IF($I409=0,0,$J409*$H409/100/12)</f>
      </c>
      <c r="M409" s="43">
        <f>IF($I409=0,0,IF(OR(INDEX(DarlOhneTilgung,1)=1,AND(INDEX(DarlTilgStart,1)&gt;0,$E409&lt;INDEX(DarlTilgStart,1))),0,MIN(MAX(0,$K409-$L409),$J409)))</f>
      </c>
      <c r="N409" s="43">
        <f>IF($I409=0,0,MIN(SUMIFS(SondBetrag,SondDarl,1,SondDatum,"&gt;="&amp;$E409,SondDatum,"&lt;="&amp;EOMONTH($E409,0)),$J409-$M409))</f>
      </c>
      <c r="O409" s="43">
        <f>IF($I409=0,0,INDEX(DarlErsatzRate,1))</f>
      </c>
      <c r="P409" s="43">
        <f>IF($I409=0,0,$Q408*INDEX(DarlErsatzZins,1))</f>
      </c>
      <c r="Q409" s="43">
        <f>IF($I409=0,0,$Q408+$P409+$O409)</f>
      </c>
      <c r="R409" s="43">
        <f>IF($I409=0,0,$J409-$M409-$N409)</f>
      </c>
    </row>
    <row r="410">
      <c r="A410"/>
      <c r="B410">
        <v>1</v>
      </c>
      <c r="C410" s="43">
        <f>INDEX(DarlObj,1)</f>
      </c>
      <c r="D410">
        <v>407</v>
      </c>
      <c r="E410" s="51">
        <f>IF(INDEX(DarlBelegt,1)=0,0,EOMONTH(INDEX(DarlAuszahlung,1),406)+1)</f>
      </c>
      <c r="F410" s="43">
        <f>IF($E410=0,0,YEAR($E410))</f>
      </c>
      <c r="G410" s="43">
        <f>IF(INDEX(DarlBindung,1)="",1,IF($E410&lt;=INDEX(DarlBindung,1),1,0))</f>
      </c>
      <c r="H410" s="43">
        <f>IF($G410=1,INDEX(DarlSollzins,1),INDEX(DarlAnschluss,1))</f>
      </c>
      <c r="I410" s="43">
        <f>IF(INDEX(DarlBelegt,1)=0,0,IF(INDEX(DarlOhneTilgung,1)=1,IF(INDEX(DarlBindung,1)="",1,$G410),IF($J410&gt;0.005,1,0)))</f>
      </c>
      <c r="J410" s="43">
        <f>IF($I409=0,0,$R409)</f>
      </c>
      <c r="K410" s="43">
        <f>IF($I410=0,0,IF(INDEX(DarlOhneTilgung,1)=1,0,IF(AND(INDEX(DarlTilgStart,1)&gt;0,$E410=INDEX(DarlTilgStart,1)),$J410*($H410+INDEX(DarlTilgung,1))/100/12,IF(AND($G410=0,$G409=1),MAX($K409,$J410*($H410+1)/100/12),$K409))))</f>
      </c>
      <c r="L410" s="43">
        <f>IF($I410=0,0,$J410*$H410/100/12)</f>
      </c>
      <c r="M410" s="43">
        <f>IF($I410=0,0,IF(OR(INDEX(DarlOhneTilgung,1)=1,AND(INDEX(DarlTilgStart,1)&gt;0,$E410&lt;INDEX(DarlTilgStart,1))),0,MIN(MAX(0,$K410-$L410),$J410)))</f>
      </c>
      <c r="N410" s="43">
        <f>IF($I410=0,0,MIN(SUMIFS(SondBetrag,SondDarl,1,SondDatum,"&gt;="&amp;$E410,SondDatum,"&lt;="&amp;EOMONTH($E410,0)),$J410-$M410))</f>
      </c>
      <c r="O410" s="43">
        <f>IF($I410=0,0,INDEX(DarlErsatzRate,1))</f>
      </c>
      <c r="P410" s="43">
        <f>IF($I410=0,0,$Q409*INDEX(DarlErsatzZins,1))</f>
      </c>
      <c r="Q410" s="43">
        <f>IF($I410=0,0,$Q409+$P410+$O410)</f>
      </c>
      <c r="R410" s="43">
        <f>IF($I410=0,0,$J410-$M410-$N410)</f>
      </c>
    </row>
    <row r="411">
      <c r="A411"/>
      <c r="B411">
        <v>1</v>
      </c>
      <c r="C411" s="43">
        <f>INDEX(DarlObj,1)</f>
      </c>
      <c r="D411">
        <v>408</v>
      </c>
      <c r="E411" s="51">
        <f>IF(INDEX(DarlBelegt,1)=0,0,EOMONTH(INDEX(DarlAuszahlung,1),407)+1)</f>
      </c>
      <c r="F411" s="43">
        <f>IF($E411=0,0,YEAR($E411))</f>
      </c>
      <c r="G411" s="43">
        <f>IF(INDEX(DarlBindung,1)="",1,IF($E411&lt;=INDEX(DarlBindung,1),1,0))</f>
      </c>
      <c r="H411" s="43">
        <f>IF($G411=1,INDEX(DarlSollzins,1),INDEX(DarlAnschluss,1))</f>
      </c>
      <c r="I411" s="43">
        <f>IF(INDEX(DarlBelegt,1)=0,0,IF(INDEX(DarlOhneTilgung,1)=1,IF(INDEX(DarlBindung,1)="",1,$G411),IF($J411&gt;0.005,1,0)))</f>
      </c>
      <c r="J411" s="43">
        <f>IF($I410=0,0,$R410)</f>
      </c>
      <c r="K411" s="43">
        <f>IF($I411=0,0,IF(INDEX(DarlOhneTilgung,1)=1,0,IF(AND(INDEX(DarlTilgStart,1)&gt;0,$E411=INDEX(DarlTilgStart,1)),$J411*($H411+INDEX(DarlTilgung,1))/100/12,IF(AND($G411=0,$G410=1),MAX($K410,$J411*($H411+1)/100/12),$K410))))</f>
      </c>
      <c r="L411" s="43">
        <f>IF($I411=0,0,$J411*$H411/100/12)</f>
      </c>
      <c r="M411" s="43">
        <f>IF($I411=0,0,IF(OR(INDEX(DarlOhneTilgung,1)=1,AND(INDEX(DarlTilgStart,1)&gt;0,$E411&lt;INDEX(DarlTilgStart,1))),0,MIN(MAX(0,$K411-$L411),$J411)))</f>
      </c>
      <c r="N411" s="43">
        <f>IF($I411=0,0,MIN(SUMIFS(SondBetrag,SondDarl,1,SondDatum,"&gt;="&amp;$E411,SondDatum,"&lt;="&amp;EOMONTH($E411,0)),$J411-$M411))</f>
      </c>
      <c r="O411" s="43">
        <f>IF($I411=0,0,INDEX(DarlErsatzRate,1))</f>
      </c>
      <c r="P411" s="43">
        <f>IF($I411=0,0,$Q410*INDEX(DarlErsatzZins,1))</f>
      </c>
      <c r="Q411" s="43">
        <f>IF($I411=0,0,$Q410+$P411+$O411)</f>
      </c>
      <c r="R411" s="43">
        <f>IF($I411=0,0,$J411-$M411-$N411)</f>
      </c>
    </row>
    <row r="412">
      <c r="A412"/>
      <c r="B412">
        <v>1</v>
      </c>
      <c r="C412" s="43">
        <f>INDEX(DarlObj,1)</f>
      </c>
      <c r="D412">
        <v>409</v>
      </c>
      <c r="E412" s="51">
        <f>IF(INDEX(DarlBelegt,1)=0,0,EOMONTH(INDEX(DarlAuszahlung,1),408)+1)</f>
      </c>
      <c r="F412" s="43">
        <f>IF($E412=0,0,YEAR($E412))</f>
      </c>
      <c r="G412" s="43">
        <f>IF(INDEX(DarlBindung,1)="",1,IF($E412&lt;=INDEX(DarlBindung,1),1,0))</f>
      </c>
      <c r="H412" s="43">
        <f>IF($G412=1,INDEX(DarlSollzins,1),INDEX(DarlAnschluss,1))</f>
      </c>
      <c r="I412" s="43">
        <f>IF(INDEX(DarlBelegt,1)=0,0,IF(INDEX(DarlOhneTilgung,1)=1,IF(INDEX(DarlBindung,1)="",1,$G412),IF($J412&gt;0.005,1,0)))</f>
      </c>
      <c r="J412" s="43">
        <f>IF($I411=0,0,$R411)</f>
      </c>
      <c r="K412" s="43">
        <f>IF($I412=0,0,IF(INDEX(DarlOhneTilgung,1)=1,0,IF(AND(INDEX(DarlTilgStart,1)&gt;0,$E412=INDEX(DarlTilgStart,1)),$J412*($H412+INDEX(DarlTilgung,1))/100/12,IF(AND($G412=0,$G411=1),MAX($K411,$J412*($H412+1)/100/12),$K411))))</f>
      </c>
      <c r="L412" s="43">
        <f>IF($I412=0,0,$J412*$H412/100/12)</f>
      </c>
      <c r="M412" s="43">
        <f>IF($I412=0,0,IF(OR(INDEX(DarlOhneTilgung,1)=1,AND(INDEX(DarlTilgStart,1)&gt;0,$E412&lt;INDEX(DarlTilgStart,1))),0,MIN(MAX(0,$K412-$L412),$J412)))</f>
      </c>
      <c r="N412" s="43">
        <f>IF($I412=0,0,MIN(SUMIFS(SondBetrag,SondDarl,1,SondDatum,"&gt;="&amp;$E412,SondDatum,"&lt;="&amp;EOMONTH($E412,0)),$J412-$M412))</f>
      </c>
      <c r="O412" s="43">
        <f>IF($I412=0,0,INDEX(DarlErsatzRate,1))</f>
      </c>
      <c r="P412" s="43">
        <f>IF($I412=0,0,$Q411*INDEX(DarlErsatzZins,1))</f>
      </c>
      <c r="Q412" s="43">
        <f>IF($I412=0,0,$Q411+$P412+$O412)</f>
      </c>
      <c r="R412" s="43">
        <f>IF($I412=0,0,$J412-$M412-$N412)</f>
      </c>
    </row>
    <row r="413">
      <c r="A413"/>
      <c r="B413">
        <v>1</v>
      </c>
      <c r="C413" s="43">
        <f>INDEX(DarlObj,1)</f>
      </c>
      <c r="D413">
        <v>410</v>
      </c>
      <c r="E413" s="51">
        <f>IF(INDEX(DarlBelegt,1)=0,0,EOMONTH(INDEX(DarlAuszahlung,1),409)+1)</f>
      </c>
      <c r="F413" s="43">
        <f>IF($E413=0,0,YEAR($E413))</f>
      </c>
      <c r="G413" s="43">
        <f>IF(INDEX(DarlBindung,1)="",1,IF($E413&lt;=INDEX(DarlBindung,1),1,0))</f>
      </c>
      <c r="H413" s="43">
        <f>IF($G413=1,INDEX(DarlSollzins,1),INDEX(DarlAnschluss,1))</f>
      </c>
      <c r="I413" s="43">
        <f>IF(INDEX(DarlBelegt,1)=0,0,IF(INDEX(DarlOhneTilgung,1)=1,IF(INDEX(DarlBindung,1)="",1,$G413),IF($J413&gt;0.005,1,0)))</f>
      </c>
      <c r="J413" s="43">
        <f>IF($I412=0,0,$R412)</f>
      </c>
      <c r="K413" s="43">
        <f>IF($I413=0,0,IF(INDEX(DarlOhneTilgung,1)=1,0,IF(AND(INDEX(DarlTilgStart,1)&gt;0,$E413=INDEX(DarlTilgStart,1)),$J413*($H413+INDEX(DarlTilgung,1))/100/12,IF(AND($G413=0,$G412=1),MAX($K412,$J413*($H413+1)/100/12),$K412))))</f>
      </c>
      <c r="L413" s="43">
        <f>IF($I413=0,0,$J413*$H413/100/12)</f>
      </c>
      <c r="M413" s="43">
        <f>IF($I413=0,0,IF(OR(INDEX(DarlOhneTilgung,1)=1,AND(INDEX(DarlTilgStart,1)&gt;0,$E413&lt;INDEX(DarlTilgStart,1))),0,MIN(MAX(0,$K413-$L413),$J413)))</f>
      </c>
      <c r="N413" s="43">
        <f>IF($I413=0,0,MIN(SUMIFS(SondBetrag,SondDarl,1,SondDatum,"&gt;="&amp;$E413,SondDatum,"&lt;="&amp;EOMONTH($E413,0)),$J413-$M413))</f>
      </c>
      <c r="O413" s="43">
        <f>IF($I413=0,0,INDEX(DarlErsatzRate,1))</f>
      </c>
      <c r="P413" s="43">
        <f>IF($I413=0,0,$Q412*INDEX(DarlErsatzZins,1))</f>
      </c>
      <c r="Q413" s="43">
        <f>IF($I413=0,0,$Q412+$P413+$O413)</f>
      </c>
      <c r="R413" s="43">
        <f>IF($I413=0,0,$J413-$M413-$N413)</f>
      </c>
    </row>
    <row r="414">
      <c r="A414"/>
      <c r="B414">
        <v>1</v>
      </c>
      <c r="C414" s="43">
        <f>INDEX(DarlObj,1)</f>
      </c>
      <c r="D414">
        <v>411</v>
      </c>
      <c r="E414" s="51">
        <f>IF(INDEX(DarlBelegt,1)=0,0,EOMONTH(INDEX(DarlAuszahlung,1),410)+1)</f>
      </c>
      <c r="F414" s="43">
        <f>IF($E414=0,0,YEAR($E414))</f>
      </c>
      <c r="G414" s="43">
        <f>IF(INDEX(DarlBindung,1)="",1,IF($E414&lt;=INDEX(DarlBindung,1),1,0))</f>
      </c>
      <c r="H414" s="43">
        <f>IF($G414=1,INDEX(DarlSollzins,1),INDEX(DarlAnschluss,1))</f>
      </c>
      <c r="I414" s="43">
        <f>IF(INDEX(DarlBelegt,1)=0,0,IF(INDEX(DarlOhneTilgung,1)=1,IF(INDEX(DarlBindung,1)="",1,$G414),IF($J414&gt;0.005,1,0)))</f>
      </c>
      <c r="J414" s="43">
        <f>IF($I413=0,0,$R413)</f>
      </c>
      <c r="K414" s="43">
        <f>IF($I414=0,0,IF(INDEX(DarlOhneTilgung,1)=1,0,IF(AND(INDEX(DarlTilgStart,1)&gt;0,$E414=INDEX(DarlTilgStart,1)),$J414*($H414+INDEX(DarlTilgung,1))/100/12,IF(AND($G414=0,$G413=1),MAX($K413,$J414*($H414+1)/100/12),$K413))))</f>
      </c>
      <c r="L414" s="43">
        <f>IF($I414=0,0,$J414*$H414/100/12)</f>
      </c>
      <c r="M414" s="43">
        <f>IF($I414=0,0,IF(OR(INDEX(DarlOhneTilgung,1)=1,AND(INDEX(DarlTilgStart,1)&gt;0,$E414&lt;INDEX(DarlTilgStart,1))),0,MIN(MAX(0,$K414-$L414),$J414)))</f>
      </c>
      <c r="N414" s="43">
        <f>IF($I414=0,0,MIN(SUMIFS(SondBetrag,SondDarl,1,SondDatum,"&gt;="&amp;$E414,SondDatum,"&lt;="&amp;EOMONTH($E414,0)),$J414-$M414))</f>
      </c>
      <c r="O414" s="43">
        <f>IF($I414=0,0,INDEX(DarlErsatzRate,1))</f>
      </c>
      <c r="P414" s="43">
        <f>IF($I414=0,0,$Q413*INDEX(DarlErsatzZins,1))</f>
      </c>
      <c r="Q414" s="43">
        <f>IF($I414=0,0,$Q413+$P414+$O414)</f>
      </c>
      <c r="R414" s="43">
        <f>IF($I414=0,0,$J414-$M414-$N414)</f>
      </c>
    </row>
    <row r="415">
      <c r="A415"/>
      <c r="B415">
        <v>1</v>
      </c>
      <c r="C415" s="43">
        <f>INDEX(DarlObj,1)</f>
      </c>
      <c r="D415">
        <v>412</v>
      </c>
      <c r="E415" s="51">
        <f>IF(INDEX(DarlBelegt,1)=0,0,EOMONTH(INDEX(DarlAuszahlung,1),411)+1)</f>
      </c>
      <c r="F415" s="43">
        <f>IF($E415=0,0,YEAR($E415))</f>
      </c>
      <c r="G415" s="43">
        <f>IF(INDEX(DarlBindung,1)="",1,IF($E415&lt;=INDEX(DarlBindung,1),1,0))</f>
      </c>
      <c r="H415" s="43">
        <f>IF($G415=1,INDEX(DarlSollzins,1),INDEX(DarlAnschluss,1))</f>
      </c>
      <c r="I415" s="43">
        <f>IF(INDEX(DarlBelegt,1)=0,0,IF(INDEX(DarlOhneTilgung,1)=1,IF(INDEX(DarlBindung,1)="",1,$G415),IF($J415&gt;0.005,1,0)))</f>
      </c>
      <c r="J415" s="43">
        <f>IF($I414=0,0,$R414)</f>
      </c>
      <c r="K415" s="43">
        <f>IF($I415=0,0,IF(INDEX(DarlOhneTilgung,1)=1,0,IF(AND(INDEX(DarlTilgStart,1)&gt;0,$E415=INDEX(DarlTilgStart,1)),$J415*($H415+INDEX(DarlTilgung,1))/100/12,IF(AND($G415=0,$G414=1),MAX($K414,$J415*($H415+1)/100/12),$K414))))</f>
      </c>
      <c r="L415" s="43">
        <f>IF($I415=0,0,$J415*$H415/100/12)</f>
      </c>
      <c r="M415" s="43">
        <f>IF($I415=0,0,IF(OR(INDEX(DarlOhneTilgung,1)=1,AND(INDEX(DarlTilgStart,1)&gt;0,$E415&lt;INDEX(DarlTilgStart,1))),0,MIN(MAX(0,$K415-$L415),$J415)))</f>
      </c>
      <c r="N415" s="43">
        <f>IF($I415=0,0,MIN(SUMIFS(SondBetrag,SondDarl,1,SondDatum,"&gt;="&amp;$E415,SondDatum,"&lt;="&amp;EOMONTH($E415,0)),$J415-$M415))</f>
      </c>
      <c r="O415" s="43">
        <f>IF($I415=0,0,INDEX(DarlErsatzRate,1))</f>
      </c>
      <c r="P415" s="43">
        <f>IF($I415=0,0,$Q414*INDEX(DarlErsatzZins,1))</f>
      </c>
      <c r="Q415" s="43">
        <f>IF($I415=0,0,$Q414+$P415+$O415)</f>
      </c>
      <c r="R415" s="43">
        <f>IF($I415=0,0,$J415-$M415-$N415)</f>
      </c>
    </row>
    <row r="416">
      <c r="A416"/>
      <c r="B416">
        <v>1</v>
      </c>
      <c r="C416" s="43">
        <f>INDEX(DarlObj,1)</f>
      </c>
      <c r="D416">
        <v>413</v>
      </c>
      <c r="E416" s="51">
        <f>IF(INDEX(DarlBelegt,1)=0,0,EOMONTH(INDEX(DarlAuszahlung,1),412)+1)</f>
      </c>
      <c r="F416" s="43">
        <f>IF($E416=0,0,YEAR($E416))</f>
      </c>
      <c r="G416" s="43">
        <f>IF(INDEX(DarlBindung,1)="",1,IF($E416&lt;=INDEX(DarlBindung,1),1,0))</f>
      </c>
      <c r="H416" s="43">
        <f>IF($G416=1,INDEX(DarlSollzins,1),INDEX(DarlAnschluss,1))</f>
      </c>
      <c r="I416" s="43">
        <f>IF(INDEX(DarlBelegt,1)=0,0,IF(INDEX(DarlOhneTilgung,1)=1,IF(INDEX(DarlBindung,1)="",1,$G416),IF($J416&gt;0.005,1,0)))</f>
      </c>
      <c r="J416" s="43">
        <f>IF($I415=0,0,$R415)</f>
      </c>
      <c r="K416" s="43">
        <f>IF($I416=0,0,IF(INDEX(DarlOhneTilgung,1)=1,0,IF(AND(INDEX(DarlTilgStart,1)&gt;0,$E416=INDEX(DarlTilgStart,1)),$J416*($H416+INDEX(DarlTilgung,1))/100/12,IF(AND($G416=0,$G415=1),MAX($K415,$J416*($H416+1)/100/12),$K415))))</f>
      </c>
      <c r="L416" s="43">
        <f>IF($I416=0,0,$J416*$H416/100/12)</f>
      </c>
      <c r="M416" s="43">
        <f>IF($I416=0,0,IF(OR(INDEX(DarlOhneTilgung,1)=1,AND(INDEX(DarlTilgStart,1)&gt;0,$E416&lt;INDEX(DarlTilgStart,1))),0,MIN(MAX(0,$K416-$L416),$J416)))</f>
      </c>
      <c r="N416" s="43">
        <f>IF($I416=0,0,MIN(SUMIFS(SondBetrag,SondDarl,1,SondDatum,"&gt;="&amp;$E416,SondDatum,"&lt;="&amp;EOMONTH($E416,0)),$J416-$M416))</f>
      </c>
      <c r="O416" s="43">
        <f>IF($I416=0,0,INDEX(DarlErsatzRate,1))</f>
      </c>
      <c r="P416" s="43">
        <f>IF($I416=0,0,$Q415*INDEX(DarlErsatzZins,1))</f>
      </c>
      <c r="Q416" s="43">
        <f>IF($I416=0,0,$Q415+$P416+$O416)</f>
      </c>
      <c r="R416" s="43">
        <f>IF($I416=0,0,$J416-$M416-$N416)</f>
      </c>
    </row>
    <row r="417">
      <c r="A417"/>
      <c r="B417">
        <v>1</v>
      </c>
      <c r="C417" s="43">
        <f>INDEX(DarlObj,1)</f>
      </c>
      <c r="D417">
        <v>414</v>
      </c>
      <c r="E417" s="51">
        <f>IF(INDEX(DarlBelegt,1)=0,0,EOMONTH(INDEX(DarlAuszahlung,1),413)+1)</f>
      </c>
      <c r="F417" s="43">
        <f>IF($E417=0,0,YEAR($E417))</f>
      </c>
      <c r="G417" s="43">
        <f>IF(INDEX(DarlBindung,1)="",1,IF($E417&lt;=INDEX(DarlBindung,1),1,0))</f>
      </c>
      <c r="H417" s="43">
        <f>IF($G417=1,INDEX(DarlSollzins,1),INDEX(DarlAnschluss,1))</f>
      </c>
      <c r="I417" s="43">
        <f>IF(INDEX(DarlBelegt,1)=0,0,IF(INDEX(DarlOhneTilgung,1)=1,IF(INDEX(DarlBindung,1)="",1,$G417),IF($J417&gt;0.005,1,0)))</f>
      </c>
      <c r="J417" s="43">
        <f>IF($I416=0,0,$R416)</f>
      </c>
      <c r="K417" s="43">
        <f>IF($I417=0,0,IF(INDEX(DarlOhneTilgung,1)=1,0,IF(AND(INDEX(DarlTilgStart,1)&gt;0,$E417=INDEX(DarlTilgStart,1)),$J417*($H417+INDEX(DarlTilgung,1))/100/12,IF(AND($G417=0,$G416=1),MAX($K416,$J417*($H417+1)/100/12),$K416))))</f>
      </c>
      <c r="L417" s="43">
        <f>IF($I417=0,0,$J417*$H417/100/12)</f>
      </c>
      <c r="M417" s="43">
        <f>IF($I417=0,0,IF(OR(INDEX(DarlOhneTilgung,1)=1,AND(INDEX(DarlTilgStart,1)&gt;0,$E417&lt;INDEX(DarlTilgStart,1))),0,MIN(MAX(0,$K417-$L417),$J417)))</f>
      </c>
      <c r="N417" s="43">
        <f>IF($I417=0,0,MIN(SUMIFS(SondBetrag,SondDarl,1,SondDatum,"&gt;="&amp;$E417,SondDatum,"&lt;="&amp;EOMONTH($E417,0)),$J417-$M417))</f>
      </c>
      <c r="O417" s="43">
        <f>IF($I417=0,0,INDEX(DarlErsatzRate,1))</f>
      </c>
      <c r="P417" s="43">
        <f>IF($I417=0,0,$Q416*INDEX(DarlErsatzZins,1))</f>
      </c>
      <c r="Q417" s="43">
        <f>IF($I417=0,0,$Q416+$P417+$O417)</f>
      </c>
      <c r="R417" s="43">
        <f>IF($I417=0,0,$J417-$M417-$N417)</f>
      </c>
    </row>
    <row r="418">
      <c r="A418"/>
      <c r="B418">
        <v>1</v>
      </c>
      <c r="C418" s="43">
        <f>INDEX(DarlObj,1)</f>
      </c>
      <c r="D418">
        <v>415</v>
      </c>
      <c r="E418" s="51">
        <f>IF(INDEX(DarlBelegt,1)=0,0,EOMONTH(INDEX(DarlAuszahlung,1),414)+1)</f>
      </c>
      <c r="F418" s="43">
        <f>IF($E418=0,0,YEAR($E418))</f>
      </c>
      <c r="G418" s="43">
        <f>IF(INDEX(DarlBindung,1)="",1,IF($E418&lt;=INDEX(DarlBindung,1),1,0))</f>
      </c>
      <c r="H418" s="43">
        <f>IF($G418=1,INDEX(DarlSollzins,1),INDEX(DarlAnschluss,1))</f>
      </c>
      <c r="I418" s="43">
        <f>IF(INDEX(DarlBelegt,1)=0,0,IF(INDEX(DarlOhneTilgung,1)=1,IF(INDEX(DarlBindung,1)="",1,$G418),IF($J418&gt;0.005,1,0)))</f>
      </c>
      <c r="J418" s="43">
        <f>IF($I417=0,0,$R417)</f>
      </c>
      <c r="K418" s="43">
        <f>IF($I418=0,0,IF(INDEX(DarlOhneTilgung,1)=1,0,IF(AND(INDEX(DarlTilgStart,1)&gt;0,$E418=INDEX(DarlTilgStart,1)),$J418*($H418+INDEX(DarlTilgung,1))/100/12,IF(AND($G418=0,$G417=1),MAX($K417,$J418*($H418+1)/100/12),$K417))))</f>
      </c>
      <c r="L418" s="43">
        <f>IF($I418=0,0,$J418*$H418/100/12)</f>
      </c>
      <c r="M418" s="43">
        <f>IF($I418=0,0,IF(OR(INDEX(DarlOhneTilgung,1)=1,AND(INDEX(DarlTilgStart,1)&gt;0,$E418&lt;INDEX(DarlTilgStart,1))),0,MIN(MAX(0,$K418-$L418),$J418)))</f>
      </c>
      <c r="N418" s="43">
        <f>IF($I418=0,0,MIN(SUMIFS(SondBetrag,SondDarl,1,SondDatum,"&gt;="&amp;$E418,SondDatum,"&lt;="&amp;EOMONTH($E418,0)),$J418-$M418))</f>
      </c>
      <c r="O418" s="43">
        <f>IF($I418=0,0,INDEX(DarlErsatzRate,1))</f>
      </c>
      <c r="P418" s="43">
        <f>IF($I418=0,0,$Q417*INDEX(DarlErsatzZins,1))</f>
      </c>
      <c r="Q418" s="43">
        <f>IF($I418=0,0,$Q417+$P418+$O418)</f>
      </c>
      <c r="R418" s="43">
        <f>IF($I418=0,0,$J418-$M418-$N418)</f>
      </c>
    </row>
    <row r="419">
      <c r="A419"/>
      <c r="B419">
        <v>1</v>
      </c>
      <c r="C419" s="43">
        <f>INDEX(DarlObj,1)</f>
      </c>
      <c r="D419">
        <v>416</v>
      </c>
      <c r="E419" s="51">
        <f>IF(INDEX(DarlBelegt,1)=0,0,EOMONTH(INDEX(DarlAuszahlung,1),415)+1)</f>
      </c>
      <c r="F419" s="43">
        <f>IF($E419=0,0,YEAR($E419))</f>
      </c>
      <c r="G419" s="43">
        <f>IF(INDEX(DarlBindung,1)="",1,IF($E419&lt;=INDEX(DarlBindung,1),1,0))</f>
      </c>
      <c r="H419" s="43">
        <f>IF($G419=1,INDEX(DarlSollzins,1),INDEX(DarlAnschluss,1))</f>
      </c>
      <c r="I419" s="43">
        <f>IF(INDEX(DarlBelegt,1)=0,0,IF(INDEX(DarlOhneTilgung,1)=1,IF(INDEX(DarlBindung,1)="",1,$G419),IF($J419&gt;0.005,1,0)))</f>
      </c>
      <c r="J419" s="43">
        <f>IF($I418=0,0,$R418)</f>
      </c>
      <c r="K419" s="43">
        <f>IF($I419=0,0,IF(INDEX(DarlOhneTilgung,1)=1,0,IF(AND(INDEX(DarlTilgStart,1)&gt;0,$E419=INDEX(DarlTilgStart,1)),$J419*($H419+INDEX(DarlTilgung,1))/100/12,IF(AND($G419=0,$G418=1),MAX($K418,$J419*($H419+1)/100/12),$K418))))</f>
      </c>
      <c r="L419" s="43">
        <f>IF($I419=0,0,$J419*$H419/100/12)</f>
      </c>
      <c r="M419" s="43">
        <f>IF($I419=0,0,IF(OR(INDEX(DarlOhneTilgung,1)=1,AND(INDEX(DarlTilgStart,1)&gt;0,$E419&lt;INDEX(DarlTilgStart,1))),0,MIN(MAX(0,$K419-$L419),$J419)))</f>
      </c>
      <c r="N419" s="43">
        <f>IF($I419=0,0,MIN(SUMIFS(SondBetrag,SondDarl,1,SondDatum,"&gt;="&amp;$E419,SondDatum,"&lt;="&amp;EOMONTH($E419,0)),$J419-$M419))</f>
      </c>
      <c r="O419" s="43">
        <f>IF($I419=0,0,INDEX(DarlErsatzRate,1))</f>
      </c>
      <c r="P419" s="43">
        <f>IF($I419=0,0,$Q418*INDEX(DarlErsatzZins,1))</f>
      </c>
      <c r="Q419" s="43">
        <f>IF($I419=0,0,$Q418+$P419+$O419)</f>
      </c>
      <c r="R419" s="43">
        <f>IF($I419=0,0,$J419-$M419-$N419)</f>
      </c>
    </row>
    <row r="420">
      <c r="A420"/>
      <c r="B420">
        <v>1</v>
      </c>
      <c r="C420" s="43">
        <f>INDEX(DarlObj,1)</f>
      </c>
      <c r="D420">
        <v>417</v>
      </c>
      <c r="E420" s="51">
        <f>IF(INDEX(DarlBelegt,1)=0,0,EOMONTH(INDEX(DarlAuszahlung,1),416)+1)</f>
      </c>
      <c r="F420" s="43">
        <f>IF($E420=0,0,YEAR($E420))</f>
      </c>
      <c r="G420" s="43">
        <f>IF(INDEX(DarlBindung,1)="",1,IF($E420&lt;=INDEX(DarlBindung,1),1,0))</f>
      </c>
      <c r="H420" s="43">
        <f>IF($G420=1,INDEX(DarlSollzins,1),INDEX(DarlAnschluss,1))</f>
      </c>
      <c r="I420" s="43">
        <f>IF(INDEX(DarlBelegt,1)=0,0,IF(INDEX(DarlOhneTilgung,1)=1,IF(INDEX(DarlBindung,1)="",1,$G420),IF($J420&gt;0.005,1,0)))</f>
      </c>
      <c r="J420" s="43">
        <f>IF($I419=0,0,$R419)</f>
      </c>
      <c r="K420" s="43">
        <f>IF($I420=0,0,IF(INDEX(DarlOhneTilgung,1)=1,0,IF(AND(INDEX(DarlTilgStart,1)&gt;0,$E420=INDEX(DarlTilgStart,1)),$J420*($H420+INDEX(DarlTilgung,1))/100/12,IF(AND($G420=0,$G419=1),MAX($K419,$J420*($H420+1)/100/12),$K419))))</f>
      </c>
      <c r="L420" s="43">
        <f>IF($I420=0,0,$J420*$H420/100/12)</f>
      </c>
      <c r="M420" s="43">
        <f>IF($I420=0,0,IF(OR(INDEX(DarlOhneTilgung,1)=1,AND(INDEX(DarlTilgStart,1)&gt;0,$E420&lt;INDEX(DarlTilgStart,1))),0,MIN(MAX(0,$K420-$L420),$J420)))</f>
      </c>
      <c r="N420" s="43">
        <f>IF($I420=0,0,MIN(SUMIFS(SondBetrag,SondDarl,1,SondDatum,"&gt;="&amp;$E420,SondDatum,"&lt;="&amp;EOMONTH($E420,0)),$J420-$M420))</f>
      </c>
      <c r="O420" s="43">
        <f>IF($I420=0,0,INDEX(DarlErsatzRate,1))</f>
      </c>
      <c r="P420" s="43">
        <f>IF($I420=0,0,$Q419*INDEX(DarlErsatzZins,1))</f>
      </c>
      <c r="Q420" s="43">
        <f>IF($I420=0,0,$Q419+$P420+$O420)</f>
      </c>
      <c r="R420" s="43">
        <f>IF($I420=0,0,$J420-$M420-$N420)</f>
      </c>
    </row>
    <row r="421">
      <c r="A421"/>
      <c r="B421">
        <v>1</v>
      </c>
      <c r="C421" s="43">
        <f>INDEX(DarlObj,1)</f>
      </c>
      <c r="D421">
        <v>418</v>
      </c>
      <c r="E421" s="51">
        <f>IF(INDEX(DarlBelegt,1)=0,0,EOMONTH(INDEX(DarlAuszahlung,1),417)+1)</f>
      </c>
      <c r="F421" s="43">
        <f>IF($E421=0,0,YEAR($E421))</f>
      </c>
      <c r="G421" s="43">
        <f>IF(INDEX(DarlBindung,1)="",1,IF($E421&lt;=INDEX(DarlBindung,1),1,0))</f>
      </c>
      <c r="H421" s="43">
        <f>IF($G421=1,INDEX(DarlSollzins,1),INDEX(DarlAnschluss,1))</f>
      </c>
      <c r="I421" s="43">
        <f>IF(INDEX(DarlBelegt,1)=0,0,IF(INDEX(DarlOhneTilgung,1)=1,IF(INDEX(DarlBindung,1)="",1,$G421),IF($J421&gt;0.005,1,0)))</f>
      </c>
      <c r="J421" s="43">
        <f>IF($I420=0,0,$R420)</f>
      </c>
      <c r="K421" s="43">
        <f>IF($I421=0,0,IF(INDEX(DarlOhneTilgung,1)=1,0,IF(AND(INDEX(DarlTilgStart,1)&gt;0,$E421=INDEX(DarlTilgStart,1)),$J421*($H421+INDEX(DarlTilgung,1))/100/12,IF(AND($G421=0,$G420=1),MAX($K420,$J421*($H421+1)/100/12),$K420))))</f>
      </c>
      <c r="L421" s="43">
        <f>IF($I421=0,0,$J421*$H421/100/12)</f>
      </c>
      <c r="M421" s="43">
        <f>IF($I421=0,0,IF(OR(INDEX(DarlOhneTilgung,1)=1,AND(INDEX(DarlTilgStart,1)&gt;0,$E421&lt;INDEX(DarlTilgStart,1))),0,MIN(MAX(0,$K421-$L421),$J421)))</f>
      </c>
      <c r="N421" s="43">
        <f>IF($I421=0,0,MIN(SUMIFS(SondBetrag,SondDarl,1,SondDatum,"&gt;="&amp;$E421,SondDatum,"&lt;="&amp;EOMONTH($E421,0)),$J421-$M421))</f>
      </c>
      <c r="O421" s="43">
        <f>IF($I421=0,0,INDEX(DarlErsatzRate,1))</f>
      </c>
      <c r="P421" s="43">
        <f>IF($I421=0,0,$Q420*INDEX(DarlErsatzZins,1))</f>
      </c>
      <c r="Q421" s="43">
        <f>IF($I421=0,0,$Q420+$P421+$O421)</f>
      </c>
      <c r="R421" s="43">
        <f>IF($I421=0,0,$J421-$M421-$N421)</f>
      </c>
    </row>
    <row r="422">
      <c r="A422"/>
      <c r="B422">
        <v>1</v>
      </c>
      <c r="C422" s="43">
        <f>INDEX(DarlObj,1)</f>
      </c>
      <c r="D422">
        <v>419</v>
      </c>
      <c r="E422" s="51">
        <f>IF(INDEX(DarlBelegt,1)=0,0,EOMONTH(INDEX(DarlAuszahlung,1),418)+1)</f>
      </c>
      <c r="F422" s="43">
        <f>IF($E422=0,0,YEAR($E422))</f>
      </c>
      <c r="G422" s="43">
        <f>IF(INDEX(DarlBindung,1)="",1,IF($E422&lt;=INDEX(DarlBindung,1),1,0))</f>
      </c>
      <c r="H422" s="43">
        <f>IF($G422=1,INDEX(DarlSollzins,1),INDEX(DarlAnschluss,1))</f>
      </c>
      <c r="I422" s="43">
        <f>IF(INDEX(DarlBelegt,1)=0,0,IF(INDEX(DarlOhneTilgung,1)=1,IF(INDEX(DarlBindung,1)="",1,$G422),IF($J422&gt;0.005,1,0)))</f>
      </c>
      <c r="J422" s="43">
        <f>IF($I421=0,0,$R421)</f>
      </c>
      <c r="K422" s="43">
        <f>IF($I422=0,0,IF(INDEX(DarlOhneTilgung,1)=1,0,IF(AND(INDEX(DarlTilgStart,1)&gt;0,$E422=INDEX(DarlTilgStart,1)),$J422*($H422+INDEX(DarlTilgung,1))/100/12,IF(AND($G422=0,$G421=1),MAX($K421,$J422*($H422+1)/100/12),$K421))))</f>
      </c>
      <c r="L422" s="43">
        <f>IF($I422=0,0,$J422*$H422/100/12)</f>
      </c>
      <c r="M422" s="43">
        <f>IF($I422=0,0,IF(OR(INDEX(DarlOhneTilgung,1)=1,AND(INDEX(DarlTilgStart,1)&gt;0,$E422&lt;INDEX(DarlTilgStart,1))),0,MIN(MAX(0,$K422-$L422),$J422)))</f>
      </c>
      <c r="N422" s="43">
        <f>IF($I422=0,0,MIN(SUMIFS(SondBetrag,SondDarl,1,SondDatum,"&gt;="&amp;$E422,SondDatum,"&lt;="&amp;EOMONTH($E422,0)),$J422-$M422))</f>
      </c>
      <c r="O422" s="43">
        <f>IF($I422=0,0,INDEX(DarlErsatzRate,1))</f>
      </c>
      <c r="P422" s="43">
        <f>IF($I422=0,0,$Q421*INDEX(DarlErsatzZins,1))</f>
      </c>
      <c r="Q422" s="43">
        <f>IF($I422=0,0,$Q421+$P422+$O422)</f>
      </c>
      <c r="R422" s="43">
        <f>IF($I422=0,0,$J422-$M422-$N422)</f>
      </c>
    </row>
    <row r="423">
      <c r="A423"/>
      <c r="B423">
        <v>1</v>
      </c>
      <c r="C423" s="43">
        <f>INDEX(DarlObj,1)</f>
      </c>
      <c r="D423">
        <v>420</v>
      </c>
      <c r="E423" s="51">
        <f>IF(INDEX(DarlBelegt,1)=0,0,EOMONTH(INDEX(DarlAuszahlung,1),419)+1)</f>
      </c>
      <c r="F423" s="43">
        <f>IF($E423=0,0,YEAR($E423))</f>
      </c>
      <c r="G423" s="43">
        <f>IF(INDEX(DarlBindung,1)="",1,IF($E423&lt;=INDEX(DarlBindung,1),1,0))</f>
      </c>
      <c r="H423" s="43">
        <f>IF($G423=1,INDEX(DarlSollzins,1),INDEX(DarlAnschluss,1))</f>
      </c>
      <c r="I423" s="43">
        <f>IF(INDEX(DarlBelegt,1)=0,0,IF(INDEX(DarlOhneTilgung,1)=1,IF(INDEX(DarlBindung,1)="",1,$G423),IF($J423&gt;0.005,1,0)))</f>
      </c>
      <c r="J423" s="43">
        <f>IF($I422=0,0,$R422)</f>
      </c>
      <c r="K423" s="43">
        <f>IF($I423=0,0,IF(INDEX(DarlOhneTilgung,1)=1,0,IF(AND(INDEX(DarlTilgStart,1)&gt;0,$E423=INDEX(DarlTilgStart,1)),$J423*($H423+INDEX(DarlTilgung,1))/100/12,IF(AND($G423=0,$G422=1),MAX($K422,$J423*($H423+1)/100/12),$K422))))</f>
      </c>
      <c r="L423" s="43">
        <f>IF($I423=0,0,$J423*$H423/100/12)</f>
      </c>
      <c r="M423" s="43">
        <f>IF($I423=0,0,IF(OR(INDEX(DarlOhneTilgung,1)=1,AND(INDEX(DarlTilgStart,1)&gt;0,$E423&lt;INDEX(DarlTilgStart,1))),0,MIN(MAX(0,$K423-$L423),$J423)))</f>
      </c>
      <c r="N423" s="43">
        <f>IF($I423=0,0,MIN(SUMIFS(SondBetrag,SondDarl,1,SondDatum,"&gt;="&amp;$E423,SondDatum,"&lt;="&amp;EOMONTH($E423,0)),$J423-$M423))</f>
      </c>
      <c r="O423" s="43">
        <f>IF($I423=0,0,INDEX(DarlErsatzRate,1))</f>
      </c>
      <c r="P423" s="43">
        <f>IF($I423=0,0,$Q422*INDEX(DarlErsatzZins,1))</f>
      </c>
      <c r="Q423" s="43">
        <f>IF($I423=0,0,$Q422+$P423+$O423)</f>
      </c>
      <c r="R423" s="43">
        <f>IF($I423=0,0,$J423-$M423-$N423)</f>
      </c>
    </row>
    <row r="424">
      <c r="A424"/>
      <c r="B424">
        <v>1</v>
      </c>
      <c r="C424" s="43">
        <f>INDEX(DarlObj,1)</f>
      </c>
      <c r="D424">
        <v>421</v>
      </c>
      <c r="E424" s="51">
        <f>IF(INDEX(DarlBelegt,1)=0,0,EOMONTH(INDEX(DarlAuszahlung,1),420)+1)</f>
      </c>
      <c r="F424" s="43">
        <f>IF($E424=0,0,YEAR($E424))</f>
      </c>
      <c r="G424" s="43">
        <f>IF(INDEX(DarlBindung,1)="",1,IF($E424&lt;=INDEX(DarlBindung,1),1,0))</f>
      </c>
      <c r="H424" s="43">
        <f>IF($G424=1,INDEX(DarlSollzins,1),INDEX(DarlAnschluss,1))</f>
      </c>
      <c r="I424" s="43">
        <f>IF(INDEX(DarlBelegt,1)=0,0,IF(INDEX(DarlOhneTilgung,1)=1,IF(INDEX(DarlBindung,1)="",1,$G424),IF($J424&gt;0.005,1,0)))</f>
      </c>
      <c r="J424" s="43">
        <f>IF($I423=0,0,$R423)</f>
      </c>
      <c r="K424" s="43">
        <f>IF($I424=0,0,IF(INDEX(DarlOhneTilgung,1)=1,0,IF(AND(INDEX(DarlTilgStart,1)&gt;0,$E424=INDEX(DarlTilgStart,1)),$J424*($H424+INDEX(DarlTilgung,1))/100/12,IF(AND($G424=0,$G423=1),MAX($K423,$J424*($H424+1)/100/12),$K423))))</f>
      </c>
      <c r="L424" s="43">
        <f>IF($I424=0,0,$J424*$H424/100/12)</f>
      </c>
      <c r="M424" s="43">
        <f>IF($I424=0,0,IF(OR(INDEX(DarlOhneTilgung,1)=1,AND(INDEX(DarlTilgStart,1)&gt;0,$E424&lt;INDEX(DarlTilgStart,1))),0,MIN(MAX(0,$K424-$L424),$J424)))</f>
      </c>
      <c r="N424" s="43">
        <f>IF($I424=0,0,MIN(SUMIFS(SondBetrag,SondDarl,1,SondDatum,"&gt;="&amp;$E424,SondDatum,"&lt;="&amp;EOMONTH($E424,0)),$J424-$M424))</f>
      </c>
      <c r="O424" s="43">
        <f>IF($I424=0,0,INDEX(DarlErsatzRate,1))</f>
      </c>
      <c r="P424" s="43">
        <f>IF($I424=0,0,$Q423*INDEX(DarlErsatzZins,1))</f>
      </c>
      <c r="Q424" s="43">
        <f>IF($I424=0,0,$Q423+$P424+$O424)</f>
      </c>
      <c r="R424" s="43">
        <f>IF($I424=0,0,$J424-$M424-$N424)</f>
      </c>
    </row>
    <row r="425">
      <c r="A425"/>
      <c r="B425">
        <v>1</v>
      </c>
      <c r="C425" s="43">
        <f>INDEX(DarlObj,1)</f>
      </c>
      <c r="D425">
        <v>422</v>
      </c>
      <c r="E425" s="51">
        <f>IF(INDEX(DarlBelegt,1)=0,0,EOMONTH(INDEX(DarlAuszahlung,1),421)+1)</f>
      </c>
      <c r="F425" s="43">
        <f>IF($E425=0,0,YEAR($E425))</f>
      </c>
      <c r="G425" s="43">
        <f>IF(INDEX(DarlBindung,1)="",1,IF($E425&lt;=INDEX(DarlBindung,1),1,0))</f>
      </c>
      <c r="H425" s="43">
        <f>IF($G425=1,INDEX(DarlSollzins,1),INDEX(DarlAnschluss,1))</f>
      </c>
      <c r="I425" s="43">
        <f>IF(INDEX(DarlBelegt,1)=0,0,IF(INDEX(DarlOhneTilgung,1)=1,IF(INDEX(DarlBindung,1)="",1,$G425),IF($J425&gt;0.005,1,0)))</f>
      </c>
      <c r="J425" s="43">
        <f>IF($I424=0,0,$R424)</f>
      </c>
      <c r="K425" s="43">
        <f>IF($I425=0,0,IF(INDEX(DarlOhneTilgung,1)=1,0,IF(AND(INDEX(DarlTilgStart,1)&gt;0,$E425=INDEX(DarlTilgStart,1)),$J425*($H425+INDEX(DarlTilgung,1))/100/12,IF(AND($G425=0,$G424=1),MAX($K424,$J425*($H425+1)/100/12),$K424))))</f>
      </c>
      <c r="L425" s="43">
        <f>IF($I425=0,0,$J425*$H425/100/12)</f>
      </c>
      <c r="M425" s="43">
        <f>IF($I425=0,0,IF(OR(INDEX(DarlOhneTilgung,1)=1,AND(INDEX(DarlTilgStart,1)&gt;0,$E425&lt;INDEX(DarlTilgStart,1))),0,MIN(MAX(0,$K425-$L425),$J425)))</f>
      </c>
      <c r="N425" s="43">
        <f>IF($I425=0,0,MIN(SUMIFS(SondBetrag,SondDarl,1,SondDatum,"&gt;="&amp;$E425,SondDatum,"&lt;="&amp;EOMONTH($E425,0)),$J425-$M425))</f>
      </c>
      <c r="O425" s="43">
        <f>IF($I425=0,0,INDEX(DarlErsatzRate,1))</f>
      </c>
      <c r="P425" s="43">
        <f>IF($I425=0,0,$Q424*INDEX(DarlErsatzZins,1))</f>
      </c>
      <c r="Q425" s="43">
        <f>IF($I425=0,0,$Q424+$P425+$O425)</f>
      </c>
      <c r="R425" s="43">
        <f>IF($I425=0,0,$J425-$M425-$N425)</f>
      </c>
    </row>
    <row r="426">
      <c r="A426"/>
      <c r="B426">
        <v>1</v>
      </c>
      <c r="C426" s="43">
        <f>INDEX(DarlObj,1)</f>
      </c>
      <c r="D426">
        <v>423</v>
      </c>
      <c r="E426" s="51">
        <f>IF(INDEX(DarlBelegt,1)=0,0,EOMONTH(INDEX(DarlAuszahlung,1),422)+1)</f>
      </c>
      <c r="F426" s="43">
        <f>IF($E426=0,0,YEAR($E426))</f>
      </c>
      <c r="G426" s="43">
        <f>IF(INDEX(DarlBindung,1)="",1,IF($E426&lt;=INDEX(DarlBindung,1),1,0))</f>
      </c>
      <c r="H426" s="43">
        <f>IF($G426=1,INDEX(DarlSollzins,1),INDEX(DarlAnschluss,1))</f>
      </c>
      <c r="I426" s="43">
        <f>IF(INDEX(DarlBelegt,1)=0,0,IF(INDEX(DarlOhneTilgung,1)=1,IF(INDEX(DarlBindung,1)="",1,$G426),IF($J426&gt;0.005,1,0)))</f>
      </c>
      <c r="J426" s="43">
        <f>IF($I425=0,0,$R425)</f>
      </c>
      <c r="K426" s="43">
        <f>IF($I426=0,0,IF(INDEX(DarlOhneTilgung,1)=1,0,IF(AND(INDEX(DarlTilgStart,1)&gt;0,$E426=INDEX(DarlTilgStart,1)),$J426*($H426+INDEX(DarlTilgung,1))/100/12,IF(AND($G426=0,$G425=1),MAX($K425,$J426*($H426+1)/100/12),$K425))))</f>
      </c>
      <c r="L426" s="43">
        <f>IF($I426=0,0,$J426*$H426/100/12)</f>
      </c>
      <c r="M426" s="43">
        <f>IF($I426=0,0,IF(OR(INDEX(DarlOhneTilgung,1)=1,AND(INDEX(DarlTilgStart,1)&gt;0,$E426&lt;INDEX(DarlTilgStart,1))),0,MIN(MAX(0,$K426-$L426),$J426)))</f>
      </c>
      <c r="N426" s="43">
        <f>IF($I426=0,0,MIN(SUMIFS(SondBetrag,SondDarl,1,SondDatum,"&gt;="&amp;$E426,SondDatum,"&lt;="&amp;EOMONTH($E426,0)),$J426-$M426))</f>
      </c>
      <c r="O426" s="43">
        <f>IF($I426=0,0,INDEX(DarlErsatzRate,1))</f>
      </c>
      <c r="P426" s="43">
        <f>IF($I426=0,0,$Q425*INDEX(DarlErsatzZins,1))</f>
      </c>
      <c r="Q426" s="43">
        <f>IF($I426=0,0,$Q425+$P426+$O426)</f>
      </c>
      <c r="R426" s="43">
        <f>IF($I426=0,0,$J426-$M426-$N426)</f>
      </c>
    </row>
    <row r="427">
      <c r="A427"/>
      <c r="B427">
        <v>1</v>
      </c>
      <c r="C427" s="43">
        <f>INDEX(DarlObj,1)</f>
      </c>
      <c r="D427">
        <v>424</v>
      </c>
      <c r="E427" s="51">
        <f>IF(INDEX(DarlBelegt,1)=0,0,EOMONTH(INDEX(DarlAuszahlung,1),423)+1)</f>
      </c>
      <c r="F427" s="43">
        <f>IF($E427=0,0,YEAR($E427))</f>
      </c>
      <c r="G427" s="43">
        <f>IF(INDEX(DarlBindung,1)="",1,IF($E427&lt;=INDEX(DarlBindung,1),1,0))</f>
      </c>
      <c r="H427" s="43">
        <f>IF($G427=1,INDEX(DarlSollzins,1),INDEX(DarlAnschluss,1))</f>
      </c>
      <c r="I427" s="43">
        <f>IF(INDEX(DarlBelegt,1)=0,0,IF(INDEX(DarlOhneTilgung,1)=1,IF(INDEX(DarlBindung,1)="",1,$G427),IF($J427&gt;0.005,1,0)))</f>
      </c>
      <c r="J427" s="43">
        <f>IF($I426=0,0,$R426)</f>
      </c>
      <c r="K427" s="43">
        <f>IF($I427=0,0,IF(INDEX(DarlOhneTilgung,1)=1,0,IF(AND(INDEX(DarlTilgStart,1)&gt;0,$E427=INDEX(DarlTilgStart,1)),$J427*($H427+INDEX(DarlTilgung,1))/100/12,IF(AND($G427=0,$G426=1),MAX($K426,$J427*($H427+1)/100/12),$K426))))</f>
      </c>
      <c r="L427" s="43">
        <f>IF($I427=0,0,$J427*$H427/100/12)</f>
      </c>
      <c r="M427" s="43">
        <f>IF($I427=0,0,IF(OR(INDEX(DarlOhneTilgung,1)=1,AND(INDEX(DarlTilgStart,1)&gt;0,$E427&lt;INDEX(DarlTilgStart,1))),0,MIN(MAX(0,$K427-$L427),$J427)))</f>
      </c>
      <c r="N427" s="43">
        <f>IF($I427=0,0,MIN(SUMIFS(SondBetrag,SondDarl,1,SondDatum,"&gt;="&amp;$E427,SondDatum,"&lt;="&amp;EOMONTH($E427,0)),$J427-$M427))</f>
      </c>
      <c r="O427" s="43">
        <f>IF($I427=0,0,INDEX(DarlErsatzRate,1))</f>
      </c>
      <c r="P427" s="43">
        <f>IF($I427=0,0,$Q426*INDEX(DarlErsatzZins,1))</f>
      </c>
      <c r="Q427" s="43">
        <f>IF($I427=0,0,$Q426+$P427+$O427)</f>
      </c>
      <c r="R427" s="43">
        <f>IF($I427=0,0,$J427-$M427-$N427)</f>
      </c>
    </row>
    <row r="428">
      <c r="A428"/>
      <c r="B428">
        <v>1</v>
      </c>
      <c r="C428" s="43">
        <f>INDEX(DarlObj,1)</f>
      </c>
      <c r="D428">
        <v>425</v>
      </c>
      <c r="E428" s="51">
        <f>IF(INDEX(DarlBelegt,1)=0,0,EOMONTH(INDEX(DarlAuszahlung,1),424)+1)</f>
      </c>
      <c r="F428" s="43">
        <f>IF($E428=0,0,YEAR($E428))</f>
      </c>
      <c r="G428" s="43">
        <f>IF(INDEX(DarlBindung,1)="",1,IF($E428&lt;=INDEX(DarlBindung,1),1,0))</f>
      </c>
      <c r="H428" s="43">
        <f>IF($G428=1,INDEX(DarlSollzins,1),INDEX(DarlAnschluss,1))</f>
      </c>
      <c r="I428" s="43">
        <f>IF(INDEX(DarlBelegt,1)=0,0,IF(INDEX(DarlOhneTilgung,1)=1,IF(INDEX(DarlBindung,1)="",1,$G428),IF($J428&gt;0.005,1,0)))</f>
      </c>
      <c r="J428" s="43">
        <f>IF($I427=0,0,$R427)</f>
      </c>
      <c r="K428" s="43">
        <f>IF($I428=0,0,IF(INDEX(DarlOhneTilgung,1)=1,0,IF(AND(INDEX(DarlTilgStart,1)&gt;0,$E428=INDEX(DarlTilgStart,1)),$J428*($H428+INDEX(DarlTilgung,1))/100/12,IF(AND($G428=0,$G427=1),MAX($K427,$J428*($H428+1)/100/12),$K427))))</f>
      </c>
      <c r="L428" s="43">
        <f>IF($I428=0,0,$J428*$H428/100/12)</f>
      </c>
      <c r="M428" s="43">
        <f>IF($I428=0,0,IF(OR(INDEX(DarlOhneTilgung,1)=1,AND(INDEX(DarlTilgStart,1)&gt;0,$E428&lt;INDEX(DarlTilgStart,1))),0,MIN(MAX(0,$K428-$L428),$J428)))</f>
      </c>
      <c r="N428" s="43">
        <f>IF($I428=0,0,MIN(SUMIFS(SondBetrag,SondDarl,1,SondDatum,"&gt;="&amp;$E428,SondDatum,"&lt;="&amp;EOMONTH($E428,0)),$J428-$M428))</f>
      </c>
      <c r="O428" s="43">
        <f>IF($I428=0,0,INDEX(DarlErsatzRate,1))</f>
      </c>
      <c r="P428" s="43">
        <f>IF($I428=0,0,$Q427*INDEX(DarlErsatzZins,1))</f>
      </c>
      <c r="Q428" s="43">
        <f>IF($I428=0,0,$Q427+$P428+$O428)</f>
      </c>
      <c r="R428" s="43">
        <f>IF($I428=0,0,$J428-$M428-$N428)</f>
      </c>
    </row>
    <row r="429">
      <c r="A429"/>
      <c r="B429">
        <v>1</v>
      </c>
      <c r="C429" s="43">
        <f>INDEX(DarlObj,1)</f>
      </c>
      <c r="D429">
        <v>426</v>
      </c>
      <c r="E429" s="51">
        <f>IF(INDEX(DarlBelegt,1)=0,0,EOMONTH(INDEX(DarlAuszahlung,1),425)+1)</f>
      </c>
      <c r="F429" s="43">
        <f>IF($E429=0,0,YEAR($E429))</f>
      </c>
      <c r="G429" s="43">
        <f>IF(INDEX(DarlBindung,1)="",1,IF($E429&lt;=INDEX(DarlBindung,1),1,0))</f>
      </c>
      <c r="H429" s="43">
        <f>IF($G429=1,INDEX(DarlSollzins,1),INDEX(DarlAnschluss,1))</f>
      </c>
      <c r="I429" s="43">
        <f>IF(INDEX(DarlBelegt,1)=0,0,IF(INDEX(DarlOhneTilgung,1)=1,IF(INDEX(DarlBindung,1)="",1,$G429),IF($J429&gt;0.005,1,0)))</f>
      </c>
      <c r="J429" s="43">
        <f>IF($I428=0,0,$R428)</f>
      </c>
      <c r="K429" s="43">
        <f>IF($I429=0,0,IF(INDEX(DarlOhneTilgung,1)=1,0,IF(AND(INDEX(DarlTilgStart,1)&gt;0,$E429=INDEX(DarlTilgStart,1)),$J429*($H429+INDEX(DarlTilgung,1))/100/12,IF(AND($G429=0,$G428=1),MAX($K428,$J429*($H429+1)/100/12),$K428))))</f>
      </c>
      <c r="L429" s="43">
        <f>IF($I429=0,0,$J429*$H429/100/12)</f>
      </c>
      <c r="M429" s="43">
        <f>IF($I429=0,0,IF(OR(INDEX(DarlOhneTilgung,1)=1,AND(INDEX(DarlTilgStart,1)&gt;0,$E429&lt;INDEX(DarlTilgStart,1))),0,MIN(MAX(0,$K429-$L429),$J429)))</f>
      </c>
      <c r="N429" s="43">
        <f>IF($I429=0,0,MIN(SUMIFS(SondBetrag,SondDarl,1,SondDatum,"&gt;="&amp;$E429,SondDatum,"&lt;="&amp;EOMONTH($E429,0)),$J429-$M429))</f>
      </c>
      <c r="O429" s="43">
        <f>IF($I429=0,0,INDEX(DarlErsatzRate,1))</f>
      </c>
      <c r="P429" s="43">
        <f>IF($I429=0,0,$Q428*INDEX(DarlErsatzZins,1))</f>
      </c>
      <c r="Q429" s="43">
        <f>IF($I429=0,0,$Q428+$P429+$O429)</f>
      </c>
      <c r="R429" s="43">
        <f>IF($I429=0,0,$J429-$M429-$N429)</f>
      </c>
    </row>
    <row r="430">
      <c r="A430"/>
      <c r="B430">
        <v>1</v>
      </c>
      <c r="C430" s="43">
        <f>INDEX(DarlObj,1)</f>
      </c>
      <c r="D430">
        <v>427</v>
      </c>
      <c r="E430" s="51">
        <f>IF(INDEX(DarlBelegt,1)=0,0,EOMONTH(INDEX(DarlAuszahlung,1),426)+1)</f>
      </c>
      <c r="F430" s="43">
        <f>IF($E430=0,0,YEAR($E430))</f>
      </c>
      <c r="G430" s="43">
        <f>IF(INDEX(DarlBindung,1)="",1,IF($E430&lt;=INDEX(DarlBindung,1),1,0))</f>
      </c>
      <c r="H430" s="43">
        <f>IF($G430=1,INDEX(DarlSollzins,1),INDEX(DarlAnschluss,1))</f>
      </c>
      <c r="I430" s="43">
        <f>IF(INDEX(DarlBelegt,1)=0,0,IF(INDEX(DarlOhneTilgung,1)=1,IF(INDEX(DarlBindung,1)="",1,$G430),IF($J430&gt;0.005,1,0)))</f>
      </c>
      <c r="J430" s="43">
        <f>IF($I429=0,0,$R429)</f>
      </c>
      <c r="K430" s="43">
        <f>IF($I430=0,0,IF(INDEX(DarlOhneTilgung,1)=1,0,IF(AND(INDEX(DarlTilgStart,1)&gt;0,$E430=INDEX(DarlTilgStart,1)),$J430*($H430+INDEX(DarlTilgung,1))/100/12,IF(AND($G430=0,$G429=1),MAX($K429,$J430*($H430+1)/100/12),$K429))))</f>
      </c>
      <c r="L430" s="43">
        <f>IF($I430=0,0,$J430*$H430/100/12)</f>
      </c>
      <c r="M430" s="43">
        <f>IF($I430=0,0,IF(OR(INDEX(DarlOhneTilgung,1)=1,AND(INDEX(DarlTilgStart,1)&gt;0,$E430&lt;INDEX(DarlTilgStart,1))),0,MIN(MAX(0,$K430-$L430),$J430)))</f>
      </c>
      <c r="N430" s="43">
        <f>IF($I430=0,0,MIN(SUMIFS(SondBetrag,SondDarl,1,SondDatum,"&gt;="&amp;$E430,SondDatum,"&lt;="&amp;EOMONTH($E430,0)),$J430-$M430))</f>
      </c>
      <c r="O430" s="43">
        <f>IF($I430=0,0,INDEX(DarlErsatzRate,1))</f>
      </c>
      <c r="P430" s="43">
        <f>IF($I430=0,0,$Q429*INDEX(DarlErsatzZins,1))</f>
      </c>
      <c r="Q430" s="43">
        <f>IF($I430=0,0,$Q429+$P430+$O430)</f>
      </c>
      <c r="R430" s="43">
        <f>IF($I430=0,0,$J430-$M430-$N430)</f>
      </c>
    </row>
    <row r="431">
      <c r="A431"/>
      <c r="B431">
        <v>1</v>
      </c>
      <c r="C431" s="43">
        <f>INDEX(DarlObj,1)</f>
      </c>
      <c r="D431">
        <v>428</v>
      </c>
      <c r="E431" s="51">
        <f>IF(INDEX(DarlBelegt,1)=0,0,EOMONTH(INDEX(DarlAuszahlung,1),427)+1)</f>
      </c>
      <c r="F431" s="43">
        <f>IF($E431=0,0,YEAR($E431))</f>
      </c>
      <c r="G431" s="43">
        <f>IF(INDEX(DarlBindung,1)="",1,IF($E431&lt;=INDEX(DarlBindung,1),1,0))</f>
      </c>
      <c r="H431" s="43">
        <f>IF($G431=1,INDEX(DarlSollzins,1),INDEX(DarlAnschluss,1))</f>
      </c>
      <c r="I431" s="43">
        <f>IF(INDEX(DarlBelegt,1)=0,0,IF(INDEX(DarlOhneTilgung,1)=1,IF(INDEX(DarlBindung,1)="",1,$G431),IF($J431&gt;0.005,1,0)))</f>
      </c>
      <c r="J431" s="43">
        <f>IF($I430=0,0,$R430)</f>
      </c>
      <c r="K431" s="43">
        <f>IF($I431=0,0,IF(INDEX(DarlOhneTilgung,1)=1,0,IF(AND(INDEX(DarlTilgStart,1)&gt;0,$E431=INDEX(DarlTilgStart,1)),$J431*($H431+INDEX(DarlTilgung,1))/100/12,IF(AND($G431=0,$G430=1),MAX($K430,$J431*($H431+1)/100/12),$K430))))</f>
      </c>
      <c r="L431" s="43">
        <f>IF($I431=0,0,$J431*$H431/100/12)</f>
      </c>
      <c r="M431" s="43">
        <f>IF($I431=0,0,IF(OR(INDEX(DarlOhneTilgung,1)=1,AND(INDEX(DarlTilgStart,1)&gt;0,$E431&lt;INDEX(DarlTilgStart,1))),0,MIN(MAX(0,$K431-$L431),$J431)))</f>
      </c>
      <c r="N431" s="43">
        <f>IF($I431=0,0,MIN(SUMIFS(SondBetrag,SondDarl,1,SondDatum,"&gt;="&amp;$E431,SondDatum,"&lt;="&amp;EOMONTH($E431,0)),$J431-$M431))</f>
      </c>
      <c r="O431" s="43">
        <f>IF($I431=0,0,INDEX(DarlErsatzRate,1))</f>
      </c>
      <c r="P431" s="43">
        <f>IF($I431=0,0,$Q430*INDEX(DarlErsatzZins,1))</f>
      </c>
      <c r="Q431" s="43">
        <f>IF($I431=0,0,$Q430+$P431+$O431)</f>
      </c>
      <c r="R431" s="43">
        <f>IF($I431=0,0,$J431-$M431-$N431)</f>
      </c>
    </row>
    <row r="432">
      <c r="A432"/>
      <c r="B432">
        <v>1</v>
      </c>
      <c r="C432" s="43">
        <f>INDEX(DarlObj,1)</f>
      </c>
      <c r="D432">
        <v>429</v>
      </c>
      <c r="E432" s="51">
        <f>IF(INDEX(DarlBelegt,1)=0,0,EOMONTH(INDEX(DarlAuszahlung,1),428)+1)</f>
      </c>
      <c r="F432" s="43">
        <f>IF($E432=0,0,YEAR($E432))</f>
      </c>
      <c r="G432" s="43">
        <f>IF(INDEX(DarlBindung,1)="",1,IF($E432&lt;=INDEX(DarlBindung,1),1,0))</f>
      </c>
      <c r="H432" s="43">
        <f>IF($G432=1,INDEX(DarlSollzins,1),INDEX(DarlAnschluss,1))</f>
      </c>
      <c r="I432" s="43">
        <f>IF(INDEX(DarlBelegt,1)=0,0,IF(INDEX(DarlOhneTilgung,1)=1,IF(INDEX(DarlBindung,1)="",1,$G432),IF($J432&gt;0.005,1,0)))</f>
      </c>
      <c r="J432" s="43">
        <f>IF($I431=0,0,$R431)</f>
      </c>
      <c r="K432" s="43">
        <f>IF($I432=0,0,IF(INDEX(DarlOhneTilgung,1)=1,0,IF(AND(INDEX(DarlTilgStart,1)&gt;0,$E432=INDEX(DarlTilgStart,1)),$J432*($H432+INDEX(DarlTilgung,1))/100/12,IF(AND($G432=0,$G431=1),MAX($K431,$J432*($H432+1)/100/12),$K431))))</f>
      </c>
      <c r="L432" s="43">
        <f>IF($I432=0,0,$J432*$H432/100/12)</f>
      </c>
      <c r="M432" s="43">
        <f>IF($I432=0,0,IF(OR(INDEX(DarlOhneTilgung,1)=1,AND(INDEX(DarlTilgStart,1)&gt;0,$E432&lt;INDEX(DarlTilgStart,1))),0,MIN(MAX(0,$K432-$L432),$J432)))</f>
      </c>
      <c r="N432" s="43">
        <f>IF($I432=0,0,MIN(SUMIFS(SondBetrag,SondDarl,1,SondDatum,"&gt;="&amp;$E432,SondDatum,"&lt;="&amp;EOMONTH($E432,0)),$J432-$M432))</f>
      </c>
      <c r="O432" s="43">
        <f>IF($I432=0,0,INDEX(DarlErsatzRate,1))</f>
      </c>
      <c r="P432" s="43">
        <f>IF($I432=0,0,$Q431*INDEX(DarlErsatzZins,1))</f>
      </c>
      <c r="Q432" s="43">
        <f>IF($I432=0,0,$Q431+$P432+$O432)</f>
      </c>
      <c r="R432" s="43">
        <f>IF($I432=0,0,$J432-$M432-$N432)</f>
      </c>
    </row>
    <row r="433">
      <c r="A433"/>
      <c r="B433">
        <v>1</v>
      </c>
      <c r="C433" s="43">
        <f>INDEX(DarlObj,1)</f>
      </c>
      <c r="D433">
        <v>430</v>
      </c>
      <c r="E433" s="51">
        <f>IF(INDEX(DarlBelegt,1)=0,0,EOMONTH(INDEX(DarlAuszahlung,1),429)+1)</f>
      </c>
      <c r="F433" s="43">
        <f>IF($E433=0,0,YEAR($E433))</f>
      </c>
      <c r="G433" s="43">
        <f>IF(INDEX(DarlBindung,1)="",1,IF($E433&lt;=INDEX(DarlBindung,1),1,0))</f>
      </c>
      <c r="H433" s="43">
        <f>IF($G433=1,INDEX(DarlSollzins,1),INDEX(DarlAnschluss,1))</f>
      </c>
      <c r="I433" s="43">
        <f>IF(INDEX(DarlBelegt,1)=0,0,IF(INDEX(DarlOhneTilgung,1)=1,IF(INDEX(DarlBindung,1)="",1,$G433),IF($J433&gt;0.005,1,0)))</f>
      </c>
      <c r="J433" s="43">
        <f>IF($I432=0,0,$R432)</f>
      </c>
      <c r="K433" s="43">
        <f>IF($I433=0,0,IF(INDEX(DarlOhneTilgung,1)=1,0,IF(AND(INDEX(DarlTilgStart,1)&gt;0,$E433=INDEX(DarlTilgStart,1)),$J433*($H433+INDEX(DarlTilgung,1))/100/12,IF(AND($G433=0,$G432=1),MAX($K432,$J433*($H433+1)/100/12),$K432))))</f>
      </c>
      <c r="L433" s="43">
        <f>IF($I433=0,0,$J433*$H433/100/12)</f>
      </c>
      <c r="M433" s="43">
        <f>IF($I433=0,0,IF(OR(INDEX(DarlOhneTilgung,1)=1,AND(INDEX(DarlTilgStart,1)&gt;0,$E433&lt;INDEX(DarlTilgStart,1))),0,MIN(MAX(0,$K433-$L433),$J433)))</f>
      </c>
      <c r="N433" s="43">
        <f>IF($I433=0,0,MIN(SUMIFS(SondBetrag,SondDarl,1,SondDatum,"&gt;="&amp;$E433,SondDatum,"&lt;="&amp;EOMONTH($E433,0)),$J433-$M433))</f>
      </c>
      <c r="O433" s="43">
        <f>IF($I433=0,0,INDEX(DarlErsatzRate,1))</f>
      </c>
      <c r="P433" s="43">
        <f>IF($I433=0,0,$Q432*INDEX(DarlErsatzZins,1))</f>
      </c>
      <c r="Q433" s="43">
        <f>IF($I433=0,0,$Q432+$P433+$O433)</f>
      </c>
      <c r="R433" s="43">
        <f>IF($I433=0,0,$J433-$M433-$N433)</f>
      </c>
    </row>
    <row r="434">
      <c r="A434"/>
      <c r="B434">
        <v>1</v>
      </c>
      <c r="C434" s="43">
        <f>INDEX(DarlObj,1)</f>
      </c>
      <c r="D434">
        <v>431</v>
      </c>
      <c r="E434" s="51">
        <f>IF(INDEX(DarlBelegt,1)=0,0,EOMONTH(INDEX(DarlAuszahlung,1),430)+1)</f>
      </c>
      <c r="F434" s="43">
        <f>IF($E434=0,0,YEAR($E434))</f>
      </c>
      <c r="G434" s="43">
        <f>IF(INDEX(DarlBindung,1)="",1,IF($E434&lt;=INDEX(DarlBindung,1),1,0))</f>
      </c>
      <c r="H434" s="43">
        <f>IF($G434=1,INDEX(DarlSollzins,1),INDEX(DarlAnschluss,1))</f>
      </c>
      <c r="I434" s="43">
        <f>IF(INDEX(DarlBelegt,1)=0,0,IF(INDEX(DarlOhneTilgung,1)=1,IF(INDEX(DarlBindung,1)="",1,$G434),IF($J434&gt;0.005,1,0)))</f>
      </c>
      <c r="J434" s="43">
        <f>IF($I433=0,0,$R433)</f>
      </c>
      <c r="K434" s="43">
        <f>IF($I434=0,0,IF(INDEX(DarlOhneTilgung,1)=1,0,IF(AND(INDEX(DarlTilgStart,1)&gt;0,$E434=INDEX(DarlTilgStart,1)),$J434*($H434+INDEX(DarlTilgung,1))/100/12,IF(AND($G434=0,$G433=1),MAX($K433,$J434*($H434+1)/100/12),$K433))))</f>
      </c>
      <c r="L434" s="43">
        <f>IF($I434=0,0,$J434*$H434/100/12)</f>
      </c>
      <c r="M434" s="43">
        <f>IF($I434=0,0,IF(OR(INDEX(DarlOhneTilgung,1)=1,AND(INDEX(DarlTilgStart,1)&gt;0,$E434&lt;INDEX(DarlTilgStart,1))),0,MIN(MAX(0,$K434-$L434),$J434)))</f>
      </c>
      <c r="N434" s="43">
        <f>IF($I434=0,0,MIN(SUMIFS(SondBetrag,SondDarl,1,SondDatum,"&gt;="&amp;$E434,SondDatum,"&lt;="&amp;EOMONTH($E434,0)),$J434-$M434))</f>
      </c>
      <c r="O434" s="43">
        <f>IF($I434=0,0,INDEX(DarlErsatzRate,1))</f>
      </c>
      <c r="P434" s="43">
        <f>IF($I434=0,0,$Q433*INDEX(DarlErsatzZins,1))</f>
      </c>
      <c r="Q434" s="43">
        <f>IF($I434=0,0,$Q433+$P434+$O434)</f>
      </c>
      <c r="R434" s="43">
        <f>IF($I434=0,0,$J434-$M434-$N434)</f>
      </c>
    </row>
    <row r="435">
      <c r="A435"/>
      <c r="B435">
        <v>1</v>
      </c>
      <c r="C435" s="43">
        <f>INDEX(DarlObj,1)</f>
      </c>
      <c r="D435">
        <v>432</v>
      </c>
      <c r="E435" s="51">
        <f>IF(INDEX(DarlBelegt,1)=0,0,EOMONTH(INDEX(DarlAuszahlung,1),431)+1)</f>
      </c>
      <c r="F435" s="43">
        <f>IF($E435=0,0,YEAR($E435))</f>
      </c>
      <c r="G435" s="43">
        <f>IF(INDEX(DarlBindung,1)="",1,IF($E435&lt;=INDEX(DarlBindung,1),1,0))</f>
      </c>
      <c r="H435" s="43">
        <f>IF($G435=1,INDEX(DarlSollzins,1),INDEX(DarlAnschluss,1))</f>
      </c>
      <c r="I435" s="43">
        <f>IF(INDEX(DarlBelegt,1)=0,0,IF(INDEX(DarlOhneTilgung,1)=1,IF(INDEX(DarlBindung,1)="",1,$G435),IF($J435&gt;0.005,1,0)))</f>
      </c>
      <c r="J435" s="43">
        <f>IF($I434=0,0,$R434)</f>
      </c>
      <c r="K435" s="43">
        <f>IF($I435=0,0,IF(INDEX(DarlOhneTilgung,1)=1,0,IF(AND(INDEX(DarlTilgStart,1)&gt;0,$E435=INDEX(DarlTilgStart,1)),$J435*($H435+INDEX(DarlTilgung,1))/100/12,IF(AND($G435=0,$G434=1),MAX($K434,$J435*($H435+1)/100/12),$K434))))</f>
      </c>
      <c r="L435" s="43">
        <f>IF($I435=0,0,$J435*$H435/100/12)</f>
      </c>
      <c r="M435" s="43">
        <f>IF($I435=0,0,IF(OR(INDEX(DarlOhneTilgung,1)=1,AND(INDEX(DarlTilgStart,1)&gt;0,$E435&lt;INDEX(DarlTilgStart,1))),0,MIN(MAX(0,$K435-$L435),$J435)))</f>
      </c>
      <c r="N435" s="43">
        <f>IF($I435=0,0,MIN(SUMIFS(SondBetrag,SondDarl,1,SondDatum,"&gt;="&amp;$E435,SondDatum,"&lt;="&amp;EOMONTH($E435,0)),$J435-$M435))</f>
      </c>
      <c r="O435" s="43">
        <f>IF($I435=0,0,INDEX(DarlErsatzRate,1))</f>
      </c>
      <c r="P435" s="43">
        <f>IF($I435=0,0,$Q434*INDEX(DarlErsatzZins,1))</f>
      </c>
      <c r="Q435" s="43">
        <f>IF($I435=0,0,$Q434+$P435+$O435)</f>
      </c>
      <c r="R435" s="43">
        <f>IF($I435=0,0,$J435-$M435-$N435)</f>
      </c>
    </row>
    <row r="436">
      <c r="A436"/>
      <c r="B436">
        <v>1</v>
      </c>
      <c r="C436" s="43">
        <f>INDEX(DarlObj,1)</f>
      </c>
      <c r="D436">
        <v>433</v>
      </c>
      <c r="E436" s="51">
        <f>IF(INDEX(DarlBelegt,1)=0,0,EOMONTH(INDEX(DarlAuszahlung,1),432)+1)</f>
      </c>
      <c r="F436" s="43">
        <f>IF($E436=0,0,YEAR($E436))</f>
      </c>
      <c r="G436" s="43">
        <f>IF(INDEX(DarlBindung,1)="",1,IF($E436&lt;=INDEX(DarlBindung,1),1,0))</f>
      </c>
      <c r="H436" s="43">
        <f>IF($G436=1,INDEX(DarlSollzins,1),INDEX(DarlAnschluss,1))</f>
      </c>
      <c r="I436" s="43">
        <f>IF(INDEX(DarlBelegt,1)=0,0,IF(INDEX(DarlOhneTilgung,1)=1,IF(INDEX(DarlBindung,1)="",1,$G436),IF($J436&gt;0.005,1,0)))</f>
      </c>
      <c r="J436" s="43">
        <f>IF($I435=0,0,$R435)</f>
      </c>
      <c r="K436" s="43">
        <f>IF($I436=0,0,IF(INDEX(DarlOhneTilgung,1)=1,0,IF(AND(INDEX(DarlTilgStart,1)&gt;0,$E436=INDEX(DarlTilgStart,1)),$J436*($H436+INDEX(DarlTilgung,1))/100/12,IF(AND($G436=0,$G435=1),MAX($K435,$J436*($H436+1)/100/12),$K435))))</f>
      </c>
      <c r="L436" s="43">
        <f>IF($I436=0,0,$J436*$H436/100/12)</f>
      </c>
      <c r="M436" s="43">
        <f>IF($I436=0,0,IF(OR(INDEX(DarlOhneTilgung,1)=1,AND(INDEX(DarlTilgStart,1)&gt;0,$E436&lt;INDEX(DarlTilgStart,1))),0,MIN(MAX(0,$K436-$L436),$J436)))</f>
      </c>
      <c r="N436" s="43">
        <f>IF($I436=0,0,MIN(SUMIFS(SondBetrag,SondDarl,1,SondDatum,"&gt;="&amp;$E436,SondDatum,"&lt;="&amp;EOMONTH($E436,0)),$J436-$M436))</f>
      </c>
      <c r="O436" s="43">
        <f>IF($I436=0,0,INDEX(DarlErsatzRate,1))</f>
      </c>
      <c r="P436" s="43">
        <f>IF($I436=0,0,$Q435*INDEX(DarlErsatzZins,1))</f>
      </c>
      <c r="Q436" s="43">
        <f>IF($I436=0,0,$Q435+$P436+$O436)</f>
      </c>
      <c r="R436" s="43">
        <f>IF($I436=0,0,$J436-$M436-$N436)</f>
      </c>
    </row>
    <row r="437">
      <c r="A437"/>
      <c r="B437">
        <v>1</v>
      </c>
      <c r="C437" s="43">
        <f>INDEX(DarlObj,1)</f>
      </c>
      <c r="D437">
        <v>434</v>
      </c>
      <c r="E437" s="51">
        <f>IF(INDEX(DarlBelegt,1)=0,0,EOMONTH(INDEX(DarlAuszahlung,1),433)+1)</f>
      </c>
      <c r="F437" s="43">
        <f>IF($E437=0,0,YEAR($E437))</f>
      </c>
      <c r="G437" s="43">
        <f>IF(INDEX(DarlBindung,1)="",1,IF($E437&lt;=INDEX(DarlBindung,1),1,0))</f>
      </c>
      <c r="H437" s="43">
        <f>IF($G437=1,INDEX(DarlSollzins,1),INDEX(DarlAnschluss,1))</f>
      </c>
      <c r="I437" s="43">
        <f>IF(INDEX(DarlBelegt,1)=0,0,IF(INDEX(DarlOhneTilgung,1)=1,IF(INDEX(DarlBindung,1)="",1,$G437),IF($J437&gt;0.005,1,0)))</f>
      </c>
      <c r="J437" s="43">
        <f>IF($I436=0,0,$R436)</f>
      </c>
      <c r="K437" s="43">
        <f>IF($I437=0,0,IF(INDEX(DarlOhneTilgung,1)=1,0,IF(AND(INDEX(DarlTilgStart,1)&gt;0,$E437=INDEX(DarlTilgStart,1)),$J437*($H437+INDEX(DarlTilgung,1))/100/12,IF(AND($G437=0,$G436=1),MAX($K436,$J437*($H437+1)/100/12),$K436))))</f>
      </c>
      <c r="L437" s="43">
        <f>IF($I437=0,0,$J437*$H437/100/12)</f>
      </c>
      <c r="M437" s="43">
        <f>IF($I437=0,0,IF(OR(INDEX(DarlOhneTilgung,1)=1,AND(INDEX(DarlTilgStart,1)&gt;0,$E437&lt;INDEX(DarlTilgStart,1))),0,MIN(MAX(0,$K437-$L437),$J437)))</f>
      </c>
      <c r="N437" s="43">
        <f>IF($I437=0,0,MIN(SUMIFS(SondBetrag,SondDarl,1,SondDatum,"&gt;="&amp;$E437,SondDatum,"&lt;="&amp;EOMONTH($E437,0)),$J437-$M437))</f>
      </c>
      <c r="O437" s="43">
        <f>IF($I437=0,0,INDEX(DarlErsatzRate,1))</f>
      </c>
      <c r="P437" s="43">
        <f>IF($I437=0,0,$Q436*INDEX(DarlErsatzZins,1))</f>
      </c>
      <c r="Q437" s="43">
        <f>IF($I437=0,0,$Q436+$P437+$O437)</f>
      </c>
      <c r="R437" s="43">
        <f>IF($I437=0,0,$J437-$M437-$N437)</f>
      </c>
    </row>
    <row r="438">
      <c r="A438"/>
      <c r="B438">
        <v>1</v>
      </c>
      <c r="C438" s="43">
        <f>INDEX(DarlObj,1)</f>
      </c>
      <c r="D438">
        <v>435</v>
      </c>
      <c r="E438" s="51">
        <f>IF(INDEX(DarlBelegt,1)=0,0,EOMONTH(INDEX(DarlAuszahlung,1),434)+1)</f>
      </c>
      <c r="F438" s="43">
        <f>IF($E438=0,0,YEAR($E438))</f>
      </c>
      <c r="G438" s="43">
        <f>IF(INDEX(DarlBindung,1)="",1,IF($E438&lt;=INDEX(DarlBindung,1),1,0))</f>
      </c>
      <c r="H438" s="43">
        <f>IF($G438=1,INDEX(DarlSollzins,1),INDEX(DarlAnschluss,1))</f>
      </c>
      <c r="I438" s="43">
        <f>IF(INDEX(DarlBelegt,1)=0,0,IF(INDEX(DarlOhneTilgung,1)=1,IF(INDEX(DarlBindung,1)="",1,$G438),IF($J438&gt;0.005,1,0)))</f>
      </c>
      <c r="J438" s="43">
        <f>IF($I437=0,0,$R437)</f>
      </c>
      <c r="K438" s="43">
        <f>IF($I438=0,0,IF(INDEX(DarlOhneTilgung,1)=1,0,IF(AND(INDEX(DarlTilgStart,1)&gt;0,$E438=INDEX(DarlTilgStart,1)),$J438*($H438+INDEX(DarlTilgung,1))/100/12,IF(AND($G438=0,$G437=1),MAX($K437,$J438*($H438+1)/100/12),$K437))))</f>
      </c>
      <c r="L438" s="43">
        <f>IF($I438=0,0,$J438*$H438/100/12)</f>
      </c>
      <c r="M438" s="43">
        <f>IF($I438=0,0,IF(OR(INDEX(DarlOhneTilgung,1)=1,AND(INDEX(DarlTilgStart,1)&gt;0,$E438&lt;INDEX(DarlTilgStart,1))),0,MIN(MAX(0,$K438-$L438),$J438)))</f>
      </c>
      <c r="N438" s="43">
        <f>IF($I438=0,0,MIN(SUMIFS(SondBetrag,SondDarl,1,SondDatum,"&gt;="&amp;$E438,SondDatum,"&lt;="&amp;EOMONTH($E438,0)),$J438-$M438))</f>
      </c>
      <c r="O438" s="43">
        <f>IF($I438=0,0,INDEX(DarlErsatzRate,1))</f>
      </c>
      <c r="P438" s="43">
        <f>IF($I438=0,0,$Q437*INDEX(DarlErsatzZins,1))</f>
      </c>
      <c r="Q438" s="43">
        <f>IF($I438=0,0,$Q437+$P438+$O438)</f>
      </c>
      <c r="R438" s="43">
        <f>IF($I438=0,0,$J438-$M438-$N438)</f>
      </c>
    </row>
    <row r="439">
      <c r="A439"/>
      <c r="B439">
        <v>1</v>
      </c>
      <c r="C439" s="43">
        <f>INDEX(DarlObj,1)</f>
      </c>
      <c r="D439">
        <v>436</v>
      </c>
      <c r="E439" s="51">
        <f>IF(INDEX(DarlBelegt,1)=0,0,EOMONTH(INDEX(DarlAuszahlung,1),435)+1)</f>
      </c>
      <c r="F439" s="43">
        <f>IF($E439=0,0,YEAR($E439))</f>
      </c>
      <c r="G439" s="43">
        <f>IF(INDEX(DarlBindung,1)="",1,IF($E439&lt;=INDEX(DarlBindung,1),1,0))</f>
      </c>
      <c r="H439" s="43">
        <f>IF($G439=1,INDEX(DarlSollzins,1),INDEX(DarlAnschluss,1))</f>
      </c>
      <c r="I439" s="43">
        <f>IF(INDEX(DarlBelegt,1)=0,0,IF(INDEX(DarlOhneTilgung,1)=1,IF(INDEX(DarlBindung,1)="",1,$G439),IF($J439&gt;0.005,1,0)))</f>
      </c>
      <c r="J439" s="43">
        <f>IF($I438=0,0,$R438)</f>
      </c>
      <c r="K439" s="43">
        <f>IF($I439=0,0,IF(INDEX(DarlOhneTilgung,1)=1,0,IF(AND(INDEX(DarlTilgStart,1)&gt;0,$E439=INDEX(DarlTilgStart,1)),$J439*($H439+INDEX(DarlTilgung,1))/100/12,IF(AND($G439=0,$G438=1),MAX($K438,$J439*($H439+1)/100/12),$K438))))</f>
      </c>
      <c r="L439" s="43">
        <f>IF($I439=0,0,$J439*$H439/100/12)</f>
      </c>
      <c r="M439" s="43">
        <f>IF($I439=0,0,IF(OR(INDEX(DarlOhneTilgung,1)=1,AND(INDEX(DarlTilgStart,1)&gt;0,$E439&lt;INDEX(DarlTilgStart,1))),0,MIN(MAX(0,$K439-$L439),$J439)))</f>
      </c>
      <c r="N439" s="43">
        <f>IF($I439=0,0,MIN(SUMIFS(SondBetrag,SondDarl,1,SondDatum,"&gt;="&amp;$E439,SondDatum,"&lt;="&amp;EOMONTH($E439,0)),$J439-$M439))</f>
      </c>
      <c r="O439" s="43">
        <f>IF($I439=0,0,INDEX(DarlErsatzRate,1))</f>
      </c>
      <c r="P439" s="43">
        <f>IF($I439=0,0,$Q438*INDEX(DarlErsatzZins,1))</f>
      </c>
      <c r="Q439" s="43">
        <f>IF($I439=0,0,$Q438+$P439+$O439)</f>
      </c>
      <c r="R439" s="43">
        <f>IF($I439=0,0,$J439-$M439-$N439)</f>
      </c>
    </row>
    <row r="440">
      <c r="A440"/>
      <c r="B440">
        <v>1</v>
      </c>
      <c r="C440" s="43">
        <f>INDEX(DarlObj,1)</f>
      </c>
      <c r="D440">
        <v>437</v>
      </c>
      <c r="E440" s="51">
        <f>IF(INDEX(DarlBelegt,1)=0,0,EOMONTH(INDEX(DarlAuszahlung,1),436)+1)</f>
      </c>
      <c r="F440" s="43">
        <f>IF($E440=0,0,YEAR($E440))</f>
      </c>
      <c r="G440" s="43">
        <f>IF(INDEX(DarlBindung,1)="",1,IF($E440&lt;=INDEX(DarlBindung,1),1,0))</f>
      </c>
      <c r="H440" s="43">
        <f>IF($G440=1,INDEX(DarlSollzins,1),INDEX(DarlAnschluss,1))</f>
      </c>
      <c r="I440" s="43">
        <f>IF(INDEX(DarlBelegt,1)=0,0,IF(INDEX(DarlOhneTilgung,1)=1,IF(INDEX(DarlBindung,1)="",1,$G440),IF($J440&gt;0.005,1,0)))</f>
      </c>
      <c r="J440" s="43">
        <f>IF($I439=0,0,$R439)</f>
      </c>
      <c r="K440" s="43">
        <f>IF($I440=0,0,IF(INDEX(DarlOhneTilgung,1)=1,0,IF(AND(INDEX(DarlTilgStart,1)&gt;0,$E440=INDEX(DarlTilgStart,1)),$J440*($H440+INDEX(DarlTilgung,1))/100/12,IF(AND($G440=0,$G439=1),MAX($K439,$J440*($H440+1)/100/12),$K439))))</f>
      </c>
      <c r="L440" s="43">
        <f>IF($I440=0,0,$J440*$H440/100/12)</f>
      </c>
      <c r="M440" s="43">
        <f>IF($I440=0,0,IF(OR(INDEX(DarlOhneTilgung,1)=1,AND(INDEX(DarlTilgStart,1)&gt;0,$E440&lt;INDEX(DarlTilgStart,1))),0,MIN(MAX(0,$K440-$L440),$J440)))</f>
      </c>
      <c r="N440" s="43">
        <f>IF($I440=0,0,MIN(SUMIFS(SondBetrag,SondDarl,1,SondDatum,"&gt;="&amp;$E440,SondDatum,"&lt;="&amp;EOMONTH($E440,0)),$J440-$M440))</f>
      </c>
      <c r="O440" s="43">
        <f>IF($I440=0,0,INDEX(DarlErsatzRate,1))</f>
      </c>
      <c r="P440" s="43">
        <f>IF($I440=0,0,$Q439*INDEX(DarlErsatzZins,1))</f>
      </c>
      <c r="Q440" s="43">
        <f>IF($I440=0,0,$Q439+$P440+$O440)</f>
      </c>
      <c r="R440" s="43">
        <f>IF($I440=0,0,$J440-$M440-$N440)</f>
      </c>
    </row>
    <row r="441">
      <c r="A441"/>
      <c r="B441">
        <v>1</v>
      </c>
      <c r="C441" s="43">
        <f>INDEX(DarlObj,1)</f>
      </c>
      <c r="D441">
        <v>438</v>
      </c>
      <c r="E441" s="51">
        <f>IF(INDEX(DarlBelegt,1)=0,0,EOMONTH(INDEX(DarlAuszahlung,1),437)+1)</f>
      </c>
      <c r="F441" s="43">
        <f>IF($E441=0,0,YEAR($E441))</f>
      </c>
      <c r="G441" s="43">
        <f>IF(INDEX(DarlBindung,1)="",1,IF($E441&lt;=INDEX(DarlBindung,1),1,0))</f>
      </c>
      <c r="H441" s="43">
        <f>IF($G441=1,INDEX(DarlSollzins,1),INDEX(DarlAnschluss,1))</f>
      </c>
      <c r="I441" s="43">
        <f>IF(INDEX(DarlBelegt,1)=0,0,IF(INDEX(DarlOhneTilgung,1)=1,IF(INDEX(DarlBindung,1)="",1,$G441),IF($J441&gt;0.005,1,0)))</f>
      </c>
      <c r="J441" s="43">
        <f>IF($I440=0,0,$R440)</f>
      </c>
      <c r="K441" s="43">
        <f>IF($I441=0,0,IF(INDEX(DarlOhneTilgung,1)=1,0,IF(AND(INDEX(DarlTilgStart,1)&gt;0,$E441=INDEX(DarlTilgStart,1)),$J441*($H441+INDEX(DarlTilgung,1))/100/12,IF(AND($G441=0,$G440=1),MAX($K440,$J441*($H441+1)/100/12),$K440))))</f>
      </c>
      <c r="L441" s="43">
        <f>IF($I441=0,0,$J441*$H441/100/12)</f>
      </c>
      <c r="M441" s="43">
        <f>IF($I441=0,0,IF(OR(INDEX(DarlOhneTilgung,1)=1,AND(INDEX(DarlTilgStart,1)&gt;0,$E441&lt;INDEX(DarlTilgStart,1))),0,MIN(MAX(0,$K441-$L441),$J441)))</f>
      </c>
      <c r="N441" s="43">
        <f>IF($I441=0,0,MIN(SUMIFS(SondBetrag,SondDarl,1,SondDatum,"&gt;="&amp;$E441,SondDatum,"&lt;="&amp;EOMONTH($E441,0)),$J441-$M441))</f>
      </c>
      <c r="O441" s="43">
        <f>IF($I441=0,0,INDEX(DarlErsatzRate,1))</f>
      </c>
      <c r="P441" s="43">
        <f>IF($I441=0,0,$Q440*INDEX(DarlErsatzZins,1))</f>
      </c>
      <c r="Q441" s="43">
        <f>IF($I441=0,0,$Q440+$P441+$O441)</f>
      </c>
      <c r="R441" s="43">
        <f>IF($I441=0,0,$J441-$M441-$N441)</f>
      </c>
    </row>
    <row r="442">
      <c r="A442"/>
      <c r="B442">
        <v>1</v>
      </c>
      <c r="C442" s="43">
        <f>INDEX(DarlObj,1)</f>
      </c>
      <c r="D442">
        <v>439</v>
      </c>
      <c r="E442" s="51">
        <f>IF(INDEX(DarlBelegt,1)=0,0,EOMONTH(INDEX(DarlAuszahlung,1),438)+1)</f>
      </c>
      <c r="F442" s="43">
        <f>IF($E442=0,0,YEAR($E442))</f>
      </c>
      <c r="G442" s="43">
        <f>IF(INDEX(DarlBindung,1)="",1,IF($E442&lt;=INDEX(DarlBindung,1),1,0))</f>
      </c>
      <c r="H442" s="43">
        <f>IF($G442=1,INDEX(DarlSollzins,1),INDEX(DarlAnschluss,1))</f>
      </c>
      <c r="I442" s="43">
        <f>IF(INDEX(DarlBelegt,1)=0,0,IF(INDEX(DarlOhneTilgung,1)=1,IF(INDEX(DarlBindung,1)="",1,$G442),IF($J442&gt;0.005,1,0)))</f>
      </c>
      <c r="J442" s="43">
        <f>IF($I441=0,0,$R441)</f>
      </c>
      <c r="K442" s="43">
        <f>IF($I442=0,0,IF(INDEX(DarlOhneTilgung,1)=1,0,IF(AND(INDEX(DarlTilgStart,1)&gt;0,$E442=INDEX(DarlTilgStart,1)),$J442*($H442+INDEX(DarlTilgung,1))/100/12,IF(AND($G442=0,$G441=1),MAX($K441,$J442*($H442+1)/100/12),$K441))))</f>
      </c>
      <c r="L442" s="43">
        <f>IF($I442=0,0,$J442*$H442/100/12)</f>
      </c>
      <c r="M442" s="43">
        <f>IF($I442=0,0,IF(OR(INDEX(DarlOhneTilgung,1)=1,AND(INDEX(DarlTilgStart,1)&gt;0,$E442&lt;INDEX(DarlTilgStart,1))),0,MIN(MAX(0,$K442-$L442),$J442)))</f>
      </c>
      <c r="N442" s="43">
        <f>IF($I442=0,0,MIN(SUMIFS(SondBetrag,SondDarl,1,SondDatum,"&gt;="&amp;$E442,SondDatum,"&lt;="&amp;EOMONTH($E442,0)),$J442-$M442))</f>
      </c>
      <c r="O442" s="43">
        <f>IF($I442=0,0,INDEX(DarlErsatzRate,1))</f>
      </c>
      <c r="P442" s="43">
        <f>IF($I442=0,0,$Q441*INDEX(DarlErsatzZins,1))</f>
      </c>
      <c r="Q442" s="43">
        <f>IF($I442=0,0,$Q441+$P442+$O442)</f>
      </c>
      <c r="R442" s="43">
        <f>IF($I442=0,0,$J442-$M442-$N442)</f>
      </c>
    </row>
    <row r="443">
      <c r="A443"/>
      <c r="B443">
        <v>1</v>
      </c>
      <c r="C443" s="43">
        <f>INDEX(DarlObj,1)</f>
      </c>
      <c r="D443">
        <v>440</v>
      </c>
      <c r="E443" s="51">
        <f>IF(INDEX(DarlBelegt,1)=0,0,EOMONTH(INDEX(DarlAuszahlung,1),439)+1)</f>
      </c>
      <c r="F443" s="43">
        <f>IF($E443=0,0,YEAR($E443))</f>
      </c>
      <c r="G443" s="43">
        <f>IF(INDEX(DarlBindung,1)="",1,IF($E443&lt;=INDEX(DarlBindung,1),1,0))</f>
      </c>
      <c r="H443" s="43">
        <f>IF($G443=1,INDEX(DarlSollzins,1),INDEX(DarlAnschluss,1))</f>
      </c>
      <c r="I443" s="43">
        <f>IF(INDEX(DarlBelegt,1)=0,0,IF(INDEX(DarlOhneTilgung,1)=1,IF(INDEX(DarlBindung,1)="",1,$G443),IF($J443&gt;0.005,1,0)))</f>
      </c>
      <c r="J443" s="43">
        <f>IF($I442=0,0,$R442)</f>
      </c>
      <c r="K443" s="43">
        <f>IF($I443=0,0,IF(INDEX(DarlOhneTilgung,1)=1,0,IF(AND(INDEX(DarlTilgStart,1)&gt;0,$E443=INDEX(DarlTilgStart,1)),$J443*($H443+INDEX(DarlTilgung,1))/100/12,IF(AND($G443=0,$G442=1),MAX($K442,$J443*($H443+1)/100/12),$K442))))</f>
      </c>
      <c r="L443" s="43">
        <f>IF($I443=0,0,$J443*$H443/100/12)</f>
      </c>
      <c r="M443" s="43">
        <f>IF($I443=0,0,IF(OR(INDEX(DarlOhneTilgung,1)=1,AND(INDEX(DarlTilgStart,1)&gt;0,$E443&lt;INDEX(DarlTilgStart,1))),0,MIN(MAX(0,$K443-$L443),$J443)))</f>
      </c>
      <c r="N443" s="43">
        <f>IF($I443=0,0,MIN(SUMIFS(SondBetrag,SondDarl,1,SondDatum,"&gt;="&amp;$E443,SondDatum,"&lt;="&amp;EOMONTH($E443,0)),$J443-$M443))</f>
      </c>
      <c r="O443" s="43">
        <f>IF($I443=0,0,INDEX(DarlErsatzRate,1))</f>
      </c>
      <c r="P443" s="43">
        <f>IF($I443=0,0,$Q442*INDEX(DarlErsatzZins,1))</f>
      </c>
      <c r="Q443" s="43">
        <f>IF($I443=0,0,$Q442+$P443+$O443)</f>
      </c>
      <c r="R443" s="43">
        <f>IF($I443=0,0,$J443-$M443-$N443)</f>
      </c>
    </row>
    <row r="444">
      <c r="A444"/>
      <c r="B444">
        <v>1</v>
      </c>
      <c r="C444" s="43">
        <f>INDEX(DarlObj,1)</f>
      </c>
      <c r="D444">
        <v>441</v>
      </c>
      <c r="E444" s="51">
        <f>IF(INDEX(DarlBelegt,1)=0,0,EOMONTH(INDEX(DarlAuszahlung,1),440)+1)</f>
      </c>
      <c r="F444" s="43">
        <f>IF($E444=0,0,YEAR($E444))</f>
      </c>
      <c r="G444" s="43">
        <f>IF(INDEX(DarlBindung,1)="",1,IF($E444&lt;=INDEX(DarlBindung,1),1,0))</f>
      </c>
      <c r="H444" s="43">
        <f>IF($G444=1,INDEX(DarlSollzins,1),INDEX(DarlAnschluss,1))</f>
      </c>
      <c r="I444" s="43">
        <f>IF(INDEX(DarlBelegt,1)=0,0,IF(INDEX(DarlOhneTilgung,1)=1,IF(INDEX(DarlBindung,1)="",1,$G444),IF($J444&gt;0.005,1,0)))</f>
      </c>
      <c r="J444" s="43">
        <f>IF($I443=0,0,$R443)</f>
      </c>
      <c r="K444" s="43">
        <f>IF($I444=0,0,IF(INDEX(DarlOhneTilgung,1)=1,0,IF(AND(INDEX(DarlTilgStart,1)&gt;0,$E444=INDEX(DarlTilgStart,1)),$J444*($H444+INDEX(DarlTilgung,1))/100/12,IF(AND($G444=0,$G443=1),MAX($K443,$J444*($H444+1)/100/12),$K443))))</f>
      </c>
      <c r="L444" s="43">
        <f>IF($I444=0,0,$J444*$H444/100/12)</f>
      </c>
      <c r="M444" s="43">
        <f>IF($I444=0,0,IF(OR(INDEX(DarlOhneTilgung,1)=1,AND(INDEX(DarlTilgStart,1)&gt;0,$E444&lt;INDEX(DarlTilgStart,1))),0,MIN(MAX(0,$K444-$L444),$J444)))</f>
      </c>
      <c r="N444" s="43">
        <f>IF($I444=0,0,MIN(SUMIFS(SondBetrag,SondDarl,1,SondDatum,"&gt;="&amp;$E444,SondDatum,"&lt;="&amp;EOMONTH($E444,0)),$J444-$M444))</f>
      </c>
      <c r="O444" s="43">
        <f>IF($I444=0,0,INDEX(DarlErsatzRate,1))</f>
      </c>
      <c r="P444" s="43">
        <f>IF($I444=0,0,$Q443*INDEX(DarlErsatzZins,1))</f>
      </c>
      <c r="Q444" s="43">
        <f>IF($I444=0,0,$Q443+$P444+$O444)</f>
      </c>
      <c r="R444" s="43">
        <f>IF($I444=0,0,$J444-$M444-$N444)</f>
      </c>
    </row>
    <row r="445">
      <c r="A445"/>
      <c r="B445">
        <v>1</v>
      </c>
      <c r="C445" s="43">
        <f>INDEX(DarlObj,1)</f>
      </c>
      <c r="D445">
        <v>442</v>
      </c>
      <c r="E445" s="51">
        <f>IF(INDEX(DarlBelegt,1)=0,0,EOMONTH(INDEX(DarlAuszahlung,1),441)+1)</f>
      </c>
      <c r="F445" s="43">
        <f>IF($E445=0,0,YEAR($E445))</f>
      </c>
      <c r="G445" s="43">
        <f>IF(INDEX(DarlBindung,1)="",1,IF($E445&lt;=INDEX(DarlBindung,1),1,0))</f>
      </c>
      <c r="H445" s="43">
        <f>IF($G445=1,INDEX(DarlSollzins,1),INDEX(DarlAnschluss,1))</f>
      </c>
      <c r="I445" s="43">
        <f>IF(INDEX(DarlBelegt,1)=0,0,IF(INDEX(DarlOhneTilgung,1)=1,IF(INDEX(DarlBindung,1)="",1,$G445),IF($J445&gt;0.005,1,0)))</f>
      </c>
      <c r="J445" s="43">
        <f>IF($I444=0,0,$R444)</f>
      </c>
      <c r="K445" s="43">
        <f>IF($I445=0,0,IF(INDEX(DarlOhneTilgung,1)=1,0,IF(AND(INDEX(DarlTilgStart,1)&gt;0,$E445=INDEX(DarlTilgStart,1)),$J445*($H445+INDEX(DarlTilgung,1))/100/12,IF(AND($G445=0,$G444=1),MAX($K444,$J445*($H445+1)/100/12),$K444))))</f>
      </c>
      <c r="L445" s="43">
        <f>IF($I445=0,0,$J445*$H445/100/12)</f>
      </c>
      <c r="M445" s="43">
        <f>IF($I445=0,0,IF(OR(INDEX(DarlOhneTilgung,1)=1,AND(INDEX(DarlTilgStart,1)&gt;0,$E445&lt;INDEX(DarlTilgStart,1))),0,MIN(MAX(0,$K445-$L445),$J445)))</f>
      </c>
      <c r="N445" s="43">
        <f>IF($I445=0,0,MIN(SUMIFS(SondBetrag,SondDarl,1,SondDatum,"&gt;="&amp;$E445,SondDatum,"&lt;="&amp;EOMONTH($E445,0)),$J445-$M445))</f>
      </c>
      <c r="O445" s="43">
        <f>IF($I445=0,0,INDEX(DarlErsatzRate,1))</f>
      </c>
      <c r="P445" s="43">
        <f>IF($I445=0,0,$Q444*INDEX(DarlErsatzZins,1))</f>
      </c>
      <c r="Q445" s="43">
        <f>IF($I445=0,0,$Q444+$P445+$O445)</f>
      </c>
      <c r="R445" s="43">
        <f>IF($I445=0,0,$J445-$M445-$N445)</f>
      </c>
    </row>
    <row r="446">
      <c r="A446"/>
      <c r="B446">
        <v>1</v>
      </c>
      <c r="C446" s="43">
        <f>INDEX(DarlObj,1)</f>
      </c>
      <c r="D446">
        <v>443</v>
      </c>
      <c r="E446" s="51">
        <f>IF(INDEX(DarlBelegt,1)=0,0,EOMONTH(INDEX(DarlAuszahlung,1),442)+1)</f>
      </c>
      <c r="F446" s="43">
        <f>IF($E446=0,0,YEAR($E446))</f>
      </c>
      <c r="G446" s="43">
        <f>IF(INDEX(DarlBindung,1)="",1,IF($E446&lt;=INDEX(DarlBindung,1),1,0))</f>
      </c>
      <c r="H446" s="43">
        <f>IF($G446=1,INDEX(DarlSollzins,1),INDEX(DarlAnschluss,1))</f>
      </c>
      <c r="I446" s="43">
        <f>IF(INDEX(DarlBelegt,1)=0,0,IF(INDEX(DarlOhneTilgung,1)=1,IF(INDEX(DarlBindung,1)="",1,$G446),IF($J446&gt;0.005,1,0)))</f>
      </c>
      <c r="J446" s="43">
        <f>IF($I445=0,0,$R445)</f>
      </c>
      <c r="K446" s="43">
        <f>IF($I446=0,0,IF(INDEX(DarlOhneTilgung,1)=1,0,IF(AND(INDEX(DarlTilgStart,1)&gt;0,$E446=INDEX(DarlTilgStart,1)),$J446*($H446+INDEX(DarlTilgung,1))/100/12,IF(AND($G446=0,$G445=1),MAX($K445,$J446*($H446+1)/100/12),$K445))))</f>
      </c>
      <c r="L446" s="43">
        <f>IF($I446=0,0,$J446*$H446/100/12)</f>
      </c>
      <c r="M446" s="43">
        <f>IF($I446=0,0,IF(OR(INDEX(DarlOhneTilgung,1)=1,AND(INDEX(DarlTilgStart,1)&gt;0,$E446&lt;INDEX(DarlTilgStart,1))),0,MIN(MAX(0,$K446-$L446),$J446)))</f>
      </c>
      <c r="N446" s="43">
        <f>IF($I446=0,0,MIN(SUMIFS(SondBetrag,SondDarl,1,SondDatum,"&gt;="&amp;$E446,SondDatum,"&lt;="&amp;EOMONTH($E446,0)),$J446-$M446))</f>
      </c>
      <c r="O446" s="43">
        <f>IF($I446=0,0,INDEX(DarlErsatzRate,1))</f>
      </c>
      <c r="P446" s="43">
        <f>IF($I446=0,0,$Q445*INDEX(DarlErsatzZins,1))</f>
      </c>
      <c r="Q446" s="43">
        <f>IF($I446=0,0,$Q445+$P446+$O446)</f>
      </c>
      <c r="R446" s="43">
        <f>IF($I446=0,0,$J446-$M446-$N446)</f>
      </c>
    </row>
    <row r="447">
      <c r="A447"/>
      <c r="B447">
        <v>1</v>
      </c>
      <c r="C447" s="43">
        <f>INDEX(DarlObj,1)</f>
      </c>
      <c r="D447">
        <v>444</v>
      </c>
      <c r="E447" s="51">
        <f>IF(INDEX(DarlBelegt,1)=0,0,EOMONTH(INDEX(DarlAuszahlung,1),443)+1)</f>
      </c>
      <c r="F447" s="43">
        <f>IF($E447=0,0,YEAR($E447))</f>
      </c>
      <c r="G447" s="43">
        <f>IF(INDEX(DarlBindung,1)="",1,IF($E447&lt;=INDEX(DarlBindung,1),1,0))</f>
      </c>
      <c r="H447" s="43">
        <f>IF($G447=1,INDEX(DarlSollzins,1),INDEX(DarlAnschluss,1))</f>
      </c>
      <c r="I447" s="43">
        <f>IF(INDEX(DarlBelegt,1)=0,0,IF(INDEX(DarlOhneTilgung,1)=1,IF(INDEX(DarlBindung,1)="",1,$G447),IF($J447&gt;0.005,1,0)))</f>
      </c>
      <c r="J447" s="43">
        <f>IF($I446=0,0,$R446)</f>
      </c>
      <c r="K447" s="43">
        <f>IF($I447=0,0,IF(INDEX(DarlOhneTilgung,1)=1,0,IF(AND(INDEX(DarlTilgStart,1)&gt;0,$E447=INDEX(DarlTilgStart,1)),$J447*($H447+INDEX(DarlTilgung,1))/100/12,IF(AND($G447=0,$G446=1),MAX($K446,$J447*($H447+1)/100/12),$K446))))</f>
      </c>
      <c r="L447" s="43">
        <f>IF($I447=0,0,$J447*$H447/100/12)</f>
      </c>
      <c r="M447" s="43">
        <f>IF($I447=0,0,IF(OR(INDEX(DarlOhneTilgung,1)=1,AND(INDEX(DarlTilgStart,1)&gt;0,$E447&lt;INDEX(DarlTilgStart,1))),0,MIN(MAX(0,$K447-$L447),$J447)))</f>
      </c>
      <c r="N447" s="43">
        <f>IF($I447=0,0,MIN(SUMIFS(SondBetrag,SondDarl,1,SondDatum,"&gt;="&amp;$E447,SondDatum,"&lt;="&amp;EOMONTH($E447,0)),$J447-$M447))</f>
      </c>
      <c r="O447" s="43">
        <f>IF($I447=0,0,INDEX(DarlErsatzRate,1))</f>
      </c>
      <c r="P447" s="43">
        <f>IF($I447=0,0,$Q446*INDEX(DarlErsatzZins,1))</f>
      </c>
      <c r="Q447" s="43">
        <f>IF($I447=0,0,$Q446+$P447+$O447)</f>
      </c>
      <c r="R447" s="43">
        <f>IF($I447=0,0,$J447-$M447-$N447)</f>
      </c>
    </row>
    <row r="448">
      <c r="A448"/>
      <c r="B448">
        <v>1</v>
      </c>
      <c r="C448" s="43">
        <f>INDEX(DarlObj,1)</f>
      </c>
      <c r="D448">
        <v>445</v>
      </c>
      <c r="E448" s="51">
        <f>IF(INDEX(DarlBelegt,1)=0,0,EOMONTH(INDEX(DarlAuszahlung,1),444)+1)</f>
      </c>
      <c r="F448" s="43">
        <f>IF($E448=0,0,YEAR($E448))</f>
      </c>
      <c r="G448" s="43">
        <f>IF(INDEX(DarlBindung,1)="",1,IF($E448&lt;=INDEX(DarlBindung,1),1,0))</f>
      </c>
      <c r="H448" s="43">
        <f>IF($G448=1,INDEX(DarlSollzins,1),INDEX(DarlAnschluss,1))</f>
      </c>
      <c r="I448" s="43">
        <f>IF(INDEX(DarlBelegt,1)=0,0,IF(INDEX(DarlOhneTilgung,1)=1,IF(INDEX(DarlBindung,1)="",1,$G448),IF($J448&gt;0.005,1,0)))</f>
      </c>
      <c r="J448" s="43">
        <f>IF($I447=0,0,$R447)</f>
      </c>
      <c r="K448" s="43">
        <f>IF($I448=0,0,IF(INDEX(DarlOhneTilgung,1)=1,0,IF(AND(INDEX(DarlTilgStart,1)&gt;0,$E448=INDEX(DarlTilgStart,1)),$J448*($H448+INDEX(DarlTilgung,1))/100/12,IF(AND($G448=0,$G447=1),MAX($K447,$J448*($H448+1)/100/12),$K447))))</f>
      </c>
      <c r="L448" s="43">
        <f>IF($I448=0,0,$J448*$H448/100/12)</f>
      </c>
      <c r="M448" s="43">
        <f>IF($I448=0,0,IF(OR(INDEX(DarlOhneTilgung,1)=1,AND(INDEX(DarlTilgStart,1)&gt;0,$E448&lt;INDEX(DarlTilgStart,1))),0,MIN(MAX(0,$K448-$L448),$J448)))</f>
      </c>
      <c r="N448" s="43">
        <f>IF($I448=0,0,MIN(SUMIFS(SondBetrag,SondDarl,1,SondDatum,"&gt;="&amp;$E448,SondDatum,"&lt;="&amp;EOMONTH($E448,0)),$J448-$M448))</f>
      </c>
      <c r="O448" s="43">
        <f>IF($I448=0,0,INDEX(DarlErsatzRate,1))</f>
      </c>
      <c r="P448" s="43">
        <f>IF($I448=0,0,$Q447*INDEX(DarlErsatzZins,1))</f>
      </c>
      <c r="Q448" s="43">
        <f>IF($I448=0,0,$Q447+$P448+$O448)</f>
      </c>
      <c r="R448" s="43">
        <f>IF($I448=0,0,$J448-$M448-$N448)</f>
      </c>
    </row>
    <row r="449">
      <c r="A449"/>
      <c r="B449">
        <v>1</v>
      </c>
      <c r="C449" s="43">
        <f>INDEX(DarlObj,1)</f>
      </c>
      <c r="D449">
        <v>446</v>
      </c>
      <c r="E449" s="51">
        <f>IF(INDEX(DarlBelegt,1)=0,0,EOMONTH(INDEX(DarlAuszahlung,1),445)+1)</f>
      </c>
      <c r="F449" s="43">
        <f>IF($E449=0,0,YEAR($E449))</f>
      </c>
      <c r="G449" s="43">
        <f>IF(INDEX(DarlBindung,1)="",1,IF($E449&lt;=INDEX(DarlBindung,1),1,0))</f>
      </c>
      <c r="H449" s="43">
        <f>IF($G449=1,INDEX(DarlSollzins,1),INDEX(DarlAnschluss,1))</f>
      </c>
      <c r="I449" s="43">
        <f>IF(INDEX(DarlBelegt,1)=0,0,IF(INDEX(DarlOhneTilgung,1)=1,IF(INDEX(DarlBindung,1)="",1,$G449),IF($J449&gt;0.005,1,0)))</f>
      </c>
      <c r="J449" s="43">
        <f>IF($I448=0,0,$R448)</f>
      </c>
      <c r="K449" s="43">
        <f>IF($I449=0,0,IF(INDEX(DarlOhneTilgung,1)=1,0,IF(AND(INDEX(DarlTilgStart,1)&gt;0,$E449=INDEX(DarlTilgStart,1)),$J449*($H449+INDEX(DarlTilgung,1))/100/12,IF(AND($G449=0,$G448=1),MAX($K448,$J449*($H449+1)/100/12),$K448))))</f>
      </c>
      <c r="L449" s="43">
        <f>IF($I449=0,0,$J449*$H449/100/12)</f>
      </c>
      <c r="M449" s="43">
        <f>IF($I449=0,0,IF(OR(INDEX(DarlOhneTilgung,1)=1,AND(INDEX(DarlTilgStart,1)&gt;0,$E449&lt;INDEX(DarlTilgStart,1))),0,MIN(MAX(0,$K449-$L449),$J449)))</f>
      </c>
      <c r="N449" s="43">
        <f>IF($I449=0,0,MIN(SUMIFS(SondBetrag,SondDarl,1,SondDatum,"&gt;="&amp;$E449,SondDatum,"&lt;="&amp;EOMONTH($E449,0)),$J449-$M449))</f>
      </c>
      <c r="O449" s="43">
        <f>IF($I449=0,0,INDEX(DarlErsatzRate,1))</f>
      </c>
      <c r="P449" s="43">
        <f>IF($I449=0,0,$Q448*INDEX(DarlErsatzZins,1))</f>
      </c>
      <c r="Q449" s="43">
        <f>IF($I449=0,0,$Q448+$P449+$O449)</f>
      </c>
      <c r="R449" s="43">
        <f>IF($I449=0,0,$J449-$M449-$N449)</f>
      </c>
    </row>
    <row r="450">
      <c r="A450"/>
      <c r="B450">
        <v>1</v>
      </c>
      <c r="C450" s="43">
        <f>INDEX(DarlObj,1)</f>
      </c>
      <c r="D450">
        <v>447</v>
      </c>
      <c r="E450" s="51">
        <f>IF(INDEX(DarlBelegt,1)=0,0,EOMONTH(INDEX(DarlAuszahlung,1),446)+1)</f>
      </c>
      <c r="F450" s="43">
        <f>IF($E450=0,0,YEAR($E450))</f>
      </c>
      <c r="G450" s="43">
        <f>IF(INDEX(DarlBindung,1)="",1,IF($E450&lt;=INDEX(DarlBindung,1),1,0))</f>
      </c>
      <c r="H450" s="43">
        <f>IF($G450=1,INDEX(DarlSollzins,1),INDEX(DarlAnschluss,1))</f>
      </c>
      <c r="I450" s="43">
        <f>IF(INDEX(DarlBelegt,1)=0,0,IF(INDEX(DarlOhneTilgung,1)=1,IF(INDEX(DarlBindung,1)="",1,$G450),IF($J450&gt;0.005,1,0)))</f>
      </c>
      <c r="J450" s="43">
        <f>IF($I449=0,0,$R449)</f>
      </c>
      <c r="K450" s="43">
        <f>IF($I450=0,0,IF(INDEX(DarlOhneTilgung,1)=1,0,IF(AND(INDEX(DarlTilgStart,1)&gt;0,$E450=INDEX(DarlTilgStart,1)),$J450*($H450+INDEX(DarlTilgung,1))/100/12,IF(AND($G450=0,$G449=1),MAX($K449,$J450*($H450+1)/100/12),$K449))))</f>
      </c>
      <c r="L450" s="43">
        <f>IF($I450=0,0,$J450*$H450/100/12)</f>
      </c>
      <c r="M450" s="43">
        <f>IF($I450=0,0,IF(OR(INDEX(DarlOhneTilgung,1)=1,AND(INDEX(DarlTilgStart,1)&gt;0,$E450&lt;INDEX(DarlTilgStart,1))),0,MIN(MAX(0,$K450-$L450),$J450)))</f>
      </c>
      <c r="N450" s="43">
        <f>IF($I450=0,0,MIN(SUMIFS(SondBetrag,SondDarl,1,SondDatum,"&gt;="&amp;$E450,SondDatum,"&lt;="&amp;EOMONTH($E450,0)),$J450-$M450))</f>
      </c>
      <c r="O450" s="43">
        <f>IF($I450=0,0,INDEX(DarlErsatzRate,1))</f>
      </c>
      <c r="P450" s="43">
        <f>IF($I450=0,0,$Q449*INDEX(DarlErsatzZins,1))</f>
      </c>
      <c r="Q450" s="43">
        <f>IF($I450=0,0,$Q449+$P450+$O450)</f>
      </c>
      <c r="R450" s="43">
        <f>IF($I450=0,0,$J450-$M450-$N450)</f>
      </c>
    </row>
    <row r="451">
      <c r="A451"/>
      <c r="B451">
        <v>1</v>
      </c>
      <c r="C451" s="43">
        <f>INDEX(DarlObj,1)</f>
      </c>
      <c r="D451">
        <v>448</v>
      </c>
      <c r="E451" s="51">
        <f>IF(INDEX(DarlBelegt,1)=0,0,EOMONTH(INDEX(DarlAuszahlung,1),447)+1)</f>
      </c>
      <c r="F451" s="43">
        <f>IF($E451=0,0,YEAR($E451))</f>
      </c>
      <c r="G451" s="43">
        <f>IF(INDEX(DarlBindung,1)="",1,IF($E451&lt;=INDEX(DarlBindung,1),1,0))</f>
      </c>
      <c r="H451" s="43">
        <f>IF($G451=1,INDEX(DarlSollzins,1),INDEX(DarlAnschluss,1))</f>
      </c>
      <c r="I451" s="43">
        <f>IF(INDEX(DarlBelegt,1)=0,0,IF(INDEX(DarlOhneTilgung,1)=1,IF(INDEX(DarlBindung,1)="",1,$G451),IF($J451&gt;0.005,1,0)))</f>
      </c>
      <c r="J451" s="43">
        <f>IF($I450=0,0,$R450)</f>
      </c>
      <c r="K451" s="43">
        <f>IF($I451=0,0,IF(INDEX(DarlOhneTilgung,1)=1,0,IF(AND(INDEX(DarlTilgStart,1)&gt;0,$E451=INDEX(DarlTilgStart,1)),$J451*($H451+INDEX(DarlTilgung,1))/100/12,IF(AND($G451=0,$G450=1),MAX($K450,$J451*($H451+1)/100/12),$K450))))</f>
      </c>
      <c r="L451" s="43">
        <f>IF($I451=0,0,$J451*$H451/100/12)</f>
      </c>
      <c r="M451" s="43">
        <f>IF($I451=0,0,IF(OR(INDEX(DarlOhneTilgung,1)=1,AND(INDEX(DarlTilgStart,1)&gt;0,$E451&lt;INDEX(DarlTilgStart,1))),0,MIN(MAX(0,$K451-$L451),$J451)))</f>
      </c>
      <c r="N451" s="43">
        <f>IF($I451=0,0,MIN(SUMIFS(SondBetrag,SondDarl,1,SondDatum,"&gt;="&amp;$E451,SondDatum,"&lt;="&amp;EOMONTH($E451,0)),$J451-$M451))</f>
      </c>
      <c r="O451" s="43">
        <f>IF($I451=0,0,INDEX(DarlErsatzRate,1))</f>
      </c>
      <c r="P451" s="43">
        <f>IF($I451=0,0,$Q450*INDEX(DarlErsatzZins,1))</f>
      </c>
      <c r="Q451" s="43">
        <f>IF($I451=0,0,$Q450+$P451+$O451)</f>
      </c>
      <c r="R451" s="43">
        <f>IF($I451=0,0,$J451-$M451-$N451)</f>
      </c>
    </row>
    <row r="452">
      <c r="A452"/>
      <c r="B452">
        <v>1</v>
      </c>
      <c r="C452" s="43">
        <f>INDEX(DarlObj,1)</f>
      </c>
      <c r="D452">
        <v>449</v>
      </c>
      <c r="E452" s="51">
        <f>IF(INDEX(DarlBelegt,1)=0,0,EOMONTH(INDEX(DarlAuszahlung,1),448)+1)</f>
      </c>
      <c r="F452" s="43">
        <f>IF($E452=0,0,YEAR($E452))</f>
      </c>
      <c r="G452" s="43">
        <f>IF(INDEX(DarlBindung,1)="",1,IF($E452&lt;=INDEX(DarlBindung,1),1,0))</f>
      </c>
      <c r="H452" s="43">
        <f>IF($G452=1,INDEX(DarlSollzins,1),INDEX(DarlAnschluss,1))</f>
      </c>
      <c r="I452" s="43">
        <f>IF(INDEX(DarlBelegt,1)=0,0,IF(INDEX(DarlOhneTilgung,1)=1,IF(INDEX(DarlBindung,1)="",1,$G452),IF($J452&gt;0.005,1,0)))</f>
      </c>
      <c r="J452" s="43">
        <f>IF($I451=0,0,$R451)</f>
      </c>
      <c r="K452" s="43">
        <f>IF($I452=0,0,IF(INDEX(DarlOhneTilgung,1)=1,0,IF(AND(INDEX(DarlTilgStart,1)&gt;0,$E452=INDEX(DarlTilgStart,1)),$J452*($H452+INDEX(DarlTilgung,1))/100/12,IF(AND($G452=0,$G451=1),MAX($K451,$J452*($H452+1)/100/12),$K451))))</f>
      </c>
      <c r="L452" s="43">
        <f>IF($I452=0,0,$J452*$H452/100/12)</f>
      </c>
      <c r="M452" s="43">
        <f>IF($I452=0,0,IF(OR(INDEX(DarlOhneTilgung,1)=1,AND(INDEX(DarlTilgStart,1)&gt;0,$E452&lt;INDEX(DarlTilgStart,1))),0,MIN(MAX(0,$K452-$L452),$J452)))</f>
      </c>
      <c r="N452" s="43">
        <f>IF($I452=0,0,MIN(SUMIFS(SondBetrag,SondDarl,1,SondDatum,"&gt;="&amp;$E452,SondDatum,"&lt;="&amp;EOMONTH($E452,0)),$J452-$M452))</f>
      </c>
      <c r="O452" s="43">
        <f>IF($I452=0,0,INDEX(DarlErsatzRate,1))</f>
      </c>
      <c r="P452" s="43">
        <f>IF($I452=0,0,$Q451*INDEX(DarlErsatzZins,1))</f>
      </c>
      <c r="Q452" s="43">
        <f>IF($I452=0,0,$Q451+$P452+$O452)</f>
      </c>
      <c r="R452" s="43">
        <f>IF($I452=0,0,$J452-$M452-$N452)</f>
      </c>
    </row>
    <row r="453">
      <c r="A453"/>
      <c r="B453">
        <v>1</v>
      </c>
      <c r="C453" s="43">
        <f>INDEX(DarlObj,1)</f>
      </c>
      <c r="D453">
        <v>450</v>
      </c>
      <c r="E453" s="51">
        <f>IF(INDEX(DarlBelegt,1)=0,0,EOMONTH(INDEX(DarlAuszahlung,1),449)+1)</f>
      </c>
      <c r="F453" s="43">
        <f>IF($E453=0,0,YEAR($E453))</f>
      </c>
      <c r="G453" s="43">
        <f>IF(INDEX(DarlBindung,1)="",1,IF($E453&lt;=INDEX(DarlBindung,1),1,0))</f>
      </c>
      <c r="H453" s="43">
        <f>IF($G453=1,INDEX(DarlSollzins,1),INDEX(DarlAnschluss,1))</f>
      </c>
      <c r="I453" s="43">
        <f>IF(INDEX(DarlBelegt,1)=0,0,IF(INDEX(DarlOhneTilgung,1)=1,IF(INDEX(DarlBindung,1)="",1,$G453),IF($J453&gt;0.005,1,0)))</f>
      </c>
      <c r="J453" s="43">
        <f>IF($I452=0,0,$R452)</f>
      </c>
      <c r="K453" s="43">
        <f>IF($I453=0,0,IF(INDEX(DarlOhneTilgung,1)=1,0,IF(AND(INDEX(DarlTilgStart,1)&gt;0,$E453=INDEX(DarlTilgStart,1)),$J453*($H453+INDEX(DarlTilgung,1))/100/12,IF(AND($G453=0,$G452=1),MAX($K452,$J453*($H453+1)/100/12),$K452))))</f>
      </c>
      <c r="L453" s="43">
        <f>IF($I453=0,0,$J453*$H453/100/12)</f>
      </c>
      <c r="M453" s="43">
        <f>IF($I453=0,0,IF(OR(INDEX(DarlOhneTilgung,1)=1,AND(INDEX(DarlTilgStart,1)&gt;0,$E453&lt;INDEX(DarlTilgStart,1))),0,MIN(MAX(0,$K453-$L453),$J453)))</f>
      </c>
      <c r="N453" s="43">
        <f>IF($I453=0,0,MIN(SUMIFS(SondBetrag,SondDarl,1,SondDatum,"&gt;="&amp;$E453,SondDatum,"&lt;="&amp;EOMONTH($E453,0)),$J453-$M453))</f>
      </c>
      <c r="O453" s="43">
        <f>IF($I453=0,0,INDEX(DarlErsatzRate,1))</f>
      </c>
      <c r="P453" s="43">
        <f>IF($I453=0,0,$Q452*INDEX(DarlErsatzZins,1))</f>
      </c>
      <c r="Q453" s="43">
        <f>IF($I453=0,0,$Q452+$P453+$O453)</f>
      </c>
      <c r="R453" s="43">
        <f>IF($I453=0,0,$J453-$M453-$N453)</f>
      </c>
    </row>
    <row r="454">
      <c r="A454"/>
      <c r="B454">
        <v>1</v>
      </c>
      <c r="C454" s="43">
        <f>INDEX(DarlObj,1)</f>
      </c>
      <c r="D454">
        <v>451</v>
      </c>
      <c r="E454" s="51">
        <f>IF(INDEX(DarlBelegt,1)=0,0,EOMONTH(INDEX(DarlAuszahlung,1),450)+1)</f>
      </c>
      <c r="F454" s="43">
        <f>IF($E454=0,0,YEAR($E454))</f>
      </c>
      <c r="G454" s="43">
        <f>IF(INDEX(DarlBindung,1)="",1,IF($E454&lt;=INDEX(DarlBindung,1),1,0))</f>
      </c>
      <c r="H454" s="43">
        <f>IF($G454=1,INDEX(DarlSollzins,1),INDEX(DarlAnschluss,1))</f>
      </c>
      <c r="I454" s="43">
        <f>IF(INDEX(DarlBelegt,1)=0,0,IF(INDEX(DarlOhneTilgung,1)=1,IF(INDEX(DarlBindung,1)="",1,$G454),IF($J454&gt;0.005,1,0)))</f>
      </c>
      <c r="J454" s="43">
        <f>IF($I453=0,0,$R453)</f>
      </c>
      <c r="K454" s="43">
        <f>IF($I454=0,0,IF(INDEX(DarlOhneTilgung,1)=1,0,IF(AND(INDEX(DarlTilgStart,1)&gt;0,$E454=INDEX(DarlTilgStart,1)),$J454*($H454+INDEX(DarlTilgung,1))/100/12,IF(AND($G454=0,$G453=1),MAX($K453,$J454*($H454+1)/100/12),$K453))))</f>
      </c>
      <c r="L454" s="43">
        <f>IF($I454=0,0,$J454*$H454/100/12)</f>
      </c>
      <c r="M454" s="43">
        <f>IF($I454=0,0,IF(OR(INDEX(DarlOhneTilgung,1)=1,AND(INDEX(DarlTilgStart,1)&gt;0,$E454&lt;INDEX(DarlTilgStart,1))),0,MIN(MAX(0,$K454-$L454),$J454)))</f>
      </c>
      <c r="N454" s="43">
        <f>IF($I454=0,0,MIN(SUMIFS(SondBetrag,SondDarl,1,SondDatum,"&gt;="&amp;$E454,SondDatum,"&lt;="&amp;EOMONTH($E454,0)),$J454-$M454))</f>
      </c>
      <c r="O454" s="43">
        <f>IF($I454=0,0,INDEX(DarlErsatzRate,1))</f>
      </c>
      <c r="P454" s="43">
        <f>IF($I454=0,0,$Q453*INDEX(DarlErsatzZins,1))</f>
      </c>
      <c r="Q454" s="43">
        <f>IF($I454=0,0,$Q453+$P454+$O454)</f>
      </c>
      <c r="R454" s="43">
        <f>IF($I454=0,0,$J454-$M454-$N454)</f>
      </c>
    </row>
    <row r="455">
      <c r="A455"/>
      <c r="B455">
        <v>1</v>
      </c>
      <c r="C455" s="43">
        <f>INDEX(DarlObj,1)</f>
      </c>
      <c r="D455">
        <v>452</v>
      </c>
      <c r="E455" s="51">
        <f>IF(INDEX(DarlBelegt,1)=0,0,EOMONTH(INDEX(DarlAuszahlung,1),451)+1)</f>
      </c>
      <c r="F455" s="43">
        <f>IF($E455=0,0,YEAR($E455))</f>
      </c>
      <c r="G455" s="43">
        <f>IF(INDEX(DarlBindung,1)="",1,IF($E455&lt;=INDEX(DarlBindung,1),1,0))</f>
      </c>
      <c r="H455" s="43">
        <f>IF($G455=1,INDEX(DarlSollzins,1),INDEX(DarlAnschluss,1))</f>
      </c>
      <c r="I455" s="43">
        <f>IF(INDEX(DarlBelegt,1)=0,0,IF(INDEX(DarlOhneTilgung,1)=1,IF(INDEX(DarlBindung,1)="",1,$G455),IF($J455&gt;0.005,1,0)))</f>
      </c>
      <c r="J455" s="43">
        <f>IF($I454=0,0,$R454)</f>
      </c>
      <c r="K455" s="43">
        <f>IF($I455=0,0,IF(INDEX(DarlOhneTilgung,1)=1,0,IF(AND(INDEX(DarlTilgStart,1)&gt;0,$E455=INDEX(DarlTilgStart,1)),$J455*($H455+INDEX(DarlTilgung,1))/100/12,IF(AND($G455=0,$G454=1),MAX($K454,$J455*($H455+1)/100/12),$K454))))</f>
      </c>
      <c r="L455" s="43">
        <f>IF($I455=0,0,$J455*$H455/100/12)</f>
      </c>
      <c r="M455" s="43">
        <f>IF($I455=0,0,IF(OR(INDEX(DarlOhneTilgung,1)=1,AND(INDEX(DarlTilgStart,1)&gt;0,$E455&lt;INDEX(DarlTilgStart,1))),0,MIN(MAX(0,$K455-$L455),$J455)))</f>
      </c>
      <c r="N455" s="43">
        <f>IF($I455=0,0,MIN(SUMIFS(SondBetrag,SondDarl,1,SondDatum,"&gt;="&amp;$E455,SondDatum,"&lt;="&amp;EOMONTH($E455,0)),$J455-$M455))</f>
      </c>
      <c r="O455" s="43">
        <f>IF($I455=0,0,INDEX(DarlErsatzRate,1))</f>
      </c>
      <c r="P455" s="43">
        <f>IF($I455=0,0,$Q454*INDEX(DarlErsatzZins,1))</f>
      </c>
      <c r="Q455" s="43">
        <f>IF($I455=0,0,$Q454+$P455+$O455)</f>
      </c>
      <c r="R455" s="43">
        <f>IF($I455=0,0,$J455-$M455-$N455)</f>
      </c>
    </row>
    <row r="456">
      <c r="A456"/>
      <c r="B456">
        <v>1</v>
      </c>
      <c r="C456" s="43">
        <f>INDEX(DarlObj,1)</f>
      </c>
      <c r="D456">
        <v>453</v>
      </c>
      <c r="E456" s="51">
        <f>IF(INDEX(DarlBelegt,1)=0,0,EOMONTH(INDEX(DarlAuszahlung,1),452)+1)</f>
      </c>
      <c r="F456" s="43">
        <f>IF($E456=0,0,YEAR($E456))</f>
      </c>
      <c r="G456" s="43">
        <f>IF(INDEX(DarlBindung,1)="",1,IF($E456&lt;=INDEX(DarlBindung,1),1,0))</f>
      </c>
      <c r="H456" s="43">
        <f>IF($G456=1,INDEX(DarlSollzins,1),INDEX(DarlAnschluss,1))</f>
      </c>
      <c r="I456" s="43">
        <f>IF(INDEX(DarlBelegt,1)=0,0,IF(INDEX(DarlOhneTilgung,1)=1,IF(INDEX(DarlBindung,1)="",1,$G456),IF($J456&gt;0.005,1,0)))</f>
      </c>
      <c r="J456" s="43">
        <f>IF($I455=0,0,$R455)</f>
      </c>
      <c r="K456" s="43">
        <f>IF($I456=0,0,IF(INDEX(DarlOhneTilgung,1)=1,0,IF(AND(INDEX(DarlTilgStart,1)&gt;0,$E456=INDEX(DarlTilgStart,1)),$J456*($H456+INDEX(DarlTilgung,1))/100/12,IF(AND($G456=0,$G455=1),MAX($K455,$J456*($H456+1)/100/12),$K455))))</f>
      </c>
      <c r="L456" s="43">
        <f>IF($I456=0,0,$J456*$H456/100/12)</f>
      </c>
      <c r="M456" s="43">
        <f>IF($I456=0,0,IF(OR(INDEX(DarlOhneTilgung,1)=1,AND(INDEX(DarlTilgStart,1)&gt;0,$E456&lt;INDEX(DarlTilgStart,1))),0,MIN(MAX(0,$K456-$L456),$J456)))</f>
      </c>
      <c r="N456" s="43">
        <f>IF($I456=0,0,MIN(SUMIFS(SondBetrag,SondDarl,1,SondDatum,"&gt;="&amp;$E456,SondDatum,"&lt;="&amp;EOMONTH($E456,0)),$J456-$M456))</f>
      </c>
      <c r="O456" s="43">
        <f>IF($I456=0,0,INDEX(DarlErsatzRate,1))</f>
      </c>
      <c r="P456" s="43">
        <f>IF($I456=0,0,$Q455*INDEX(DarlErsatzZins,1))</f>
      </c>
      <c r="Q456" s="43">
        <f>IF($I456=0,0,$Q455+$P456+$O456)</f>
      </c>
      <c r="R456" s="43">
        <f>IF($I456=0,0,$J456-$M456-$N456)</f>
      </c>
    </row>
    <row r="457">
      <c r="A457"/>
      <c r="B457">
        <v>1</v>
      </c>
      <c r="C457" s="43">
        <f>INDEX(DarlObj,1)</f>
      </c>
      <c r="D457">
        <v>454</v>
      </c>
      <c r="E457" s="51">
        <f>IF(INDEX(DarlBelegt,1)=0,0,EOMONTH(INDEX(DarlAuszahlung,1),453)+1)</f>
      </c>
      <c r="F457" s="43">
        <f>IF($E457=0,0,YEAR($E457))</f>
      </c>
      <c r="G457" s="43">
        <f>IF(INDEX(DarlBindung,1)="",1,IF($E457&lt;=INDEX(DarlBindung,1),1,0))</f>
      </c>
      <c r="H457" s="43">
        <f>IF($G457=1,INDEX(DarlSollzins,1),INDEX(DarlAnschluss,1))</f>
      </c>
      <c r="I457" s="43">
        <f>IF(INDEX(DarlBelegt,1)=0,0,IF(INDEX(DarlOhneTilgung,1)=1,IF(INDEX(DarlBindung,1)="",1,$G457),IF($J457&gt;0.005,1,0)))</f>
      </c>
      <c r="J457" s="43">
        <f>IF($I456=0,0,$R456)</f>
      </c>
      <c r="K457" s="43">
        <f>IF($I457=0,0,IF(INDEX(DarlOhneTilgung,1)=1,0,IF(AND(INDEX(DarlTilgStart,1)&gt;0,$E457=INDEX(DarlTilgStart,1)),$J457*($H457+INDEX(DarlTilgung,1))/100/12,IF(AND($G457=0,$G456=1),MAX($K456,$J457*($H457+1)/100/12),$K456))))</f>
      </c>
      <c r="L457" s="43">
        <f>IF($I457=0,0,$J457*$H457/100/12)</f>
      </c>
      <c r="M457" s="43">
        <f>IF($I457=0,0,IF(OR(INDEX(DarlOhneTilgung,1)=1,AND(INDEX(DarlTilgStart,1)&gt;0,$E457&lt;INDEX(DarlTilgStart,1))),0,MIN(MAX(0,$K457-$L457),$J457)))</f>
      </c>
      <c r="N457" s="43">
        <f>IF($I457=0,0,MIN(SUMIFS(SondBetrag,SondDarl,1,SondDatum,"&gt;="&amp;$E457,SondDatum,"&lt;="&amp;EOMONTH($E457,0)),$J457-$M457))</f>
      </c>
      <c r="O457" s="43">
        <f>IF($I457=0,0,INDEX(DarlErsatzRate,1))</f>
      </c>
      <c r="P457" s="43">
        <f>IF($I457=0,0,$Q456*INDEX(DarlErsatzZins,1))</f>
      </c>
      <c r="Q457" s="43">
        <f>IF($I457=0,0,$Q456+$P457+$O457)</f>
      </c>
      <c r="R457" s="43">
        <f>IF($I457=0,0,$J457-$M457-$N457)</f>
      </c>
    </row>
    <row r="458">
      <c r="A458"/>
      <c r="B458">
        <v>1</v>
      </c>
      <c r="C458" s="43">
        <f>INDEX(DarlObj,1)</f>
      </c>
      <c r="D458">
        <v>455</v>
      </c>
      <c r="E458" s="51">
        <f>IF(INDEX(DarlBelegt,1)=0,0,EOMONTH(INDEX(DarlAuszahlung,1),454)+1)</f>
      </c>
      <c r="F458" s="43">
        <f>IF($E458=0,0,YEAR($E458))</f>
      </c>
      <c r="G458" s="43">
        <f>IF(INDEX(DarlBindung,1)="",1,IF($E458&lt;=INDEX(DarlBindung,1),1,0))</f>
      </c>
      <c r="H458" s="43">
        <f>IF($G458=1,INDEX(DarlSollzins,1),INDEX(DarlAnschluss,1))</f>
      </c>
      <c r="I458" s="43">
        <f>IF(INDEX(DarlBelegt,1)=0,0,IF(INDEX(DarlOhneTilgung,1)=1,IF(INDEX(DarlBindung,1)="",1,$G458),IF($J458&gt;0.005,1,0)))</f>
      </c>
      <c r="J458" s="43">
        <f>IF($I457=0,0,$R457)</f>
      </c>
      <c r="K458" s="43">
        <f>IF($I458=0,0,IF(INDEX(DarlOhneTilgung,1)=1,0,IF(AND(INDEX(DarlTilgStart,1)&gt;0,$E458=INDEX(DarlTilgStart,1)),$J458*($H458+INDEX(DarlTilgung,1))/100/12,IF(AND($G458=0,$G457=1),MAX($K457,$J458*($H458+1)/100/12),$K457))))</f>
      </c>
      <c r="L458" s="43">
        <f>IF($I458=0,0,$J458*$H458/100/12)</f>
      </c>
      <c r="M458" s="43">
        <f>IF($I458=0,0,IF(OR(INDEX(DarlOhneTilgung,1)=1,AND(INDEX(DarlTilgStart,1)&gt;0,$E458&lt;INDEX(DarlTilgStart,1))),0,MIN(MAX(0,$K458-$L458),$J458)))</f>
      </c>
      <c r="N458" s="43">
        <f>IF($I458=0,0,MIN(SUMIFS(SondBetrag,SondDarl,1,SondDatum,"&gt;="&amp;$E458,SondDatum,"&lt;="&amp;EOMONTH($E458,0)),$J458-$M458))</f>
      </c>
      <c r="O458" s="43">
        <f>IF($I458=0,0,INDEX(DarlErsatzRate,1))</f>
      </c>
      <c r="P458" s="43">
        <f>IF($I458=0,0,$Q457*INDEX(DarlErsatzZins,1))</f>
      </c>
      <c r="Q458" s="43">
        <f>IF($I458=0,0,$Q457+$P458+$O458)</f>
      </c>
      <c r="R458" s="43">
        <f>IF($I458=0,0,$J458-$M458-$N458)</f>
      </c>
    </row>
    <row r="459">
      <c r="A459"/>
      <c r="B459">
        <v>1</v>
      </c>
      <c r="C459" s="43">
        <f>INDEX(DarlObj,1)</f>
      </c>
      <c r="D459">
        <v>456</v>
      </c>
      <c r="E459" s="51">
        <f>IF(INDEX(DarlBelegt,1)=0,0,EOMONTH(INDEX(DarlAuszahlung,1),455)+1)</f>
      </c>
      <c r="F459" s="43">
        <f>IF($E459=0,0,YEAR($E459))</f>
      </c>
      <c r="G459" s="43">
        <f>IF(INDEX(DarlBindung,1)="",1,IF($E459&lt;=INDEX(DarlBindung,1),1,0))</f>
      </c>
      <c r="H459" s="43">
        <f>IF($G459=1,INDEX(DarlSollzins,1),INDEX(DarlAnschluss,1))</f>
      </c>
      <c r="I459" s="43">
        <f>IF(INDEX(DarlBelegt,1)=0,0,IF(INDEX(DarlOhneTilgung,1)=1,IF(INDEX(DarlBindung,1)="",1,$G459),IF($J459&gt;0.005,1,0)))</f>
      </c>
      <c r="J459" s="43">
        <f>IF($I458=0,0,$R458)</f>
      </c>
      <c r="K459" s="43">
        <f>IF($I459=0,0,IF(INDEX(DarlOhneTilgung,1)=1,0,IF(AND(INDEX(DarlTilgStart,1)&gt;0,$E459=INDEX(DarlTilgStart,1)),$J459*($H459+INDEX(DarlTilgung,1))/100/12,IF(AND($G459=0,$G458=1),MAX($K458,$J459*($H459+1)/100/12),$K458))))</f>
      </c>
      <c r="L459" s="43">
        <f>IF($I459=0,0,$J459*$H459/100/12)</f>
      </c>
      <c r="M459" s="43">
        <f>IF($I459=0,0,IF(OR(INDEX(DarlOhneTilgung,1)=1,AND(INDEX(DarlTilgStart,1)&gt;0,$E459&lt;INDEX(DarlTilgStart,1))),0,MIN(MAX(0,$K459-$L459),$J459)))</f>
      </c>
      <c r="N459" s="43">
        <f>IF($I459=0,0,MIN(SUMIFS(SondBetrag,SondDarl,1,SondDatum,"&gt;="&amp;$E459,SondDatum,"&lt;="&amp;EOMONTH($E459,0)),$J459-$M459))</f>
      </c>
      <c r="O459" s="43">
        <f>IF($I459=0,0,INDEX(DarlErsatzRate,1))</f>
      </c>
      <c r="P459" s="43">
        <f>IF($I459=0,0,$Q458*INDEX(DarlErsatzZins,1))</f>
      </c>
      <c r="Q459" s="43">
        <f>IF($I459=0,0,$Q458+$P459+$O459)</f>
      </c>
      <c r="R459" s="43">
        <f>IF($I459=0,0,$J459-$M459-$N459)</f>
      </c>
    </row>
    <row r="460">
      <c r="A460"/>
      <c r="B460">
        <v>1</v>
      </c>
      <c r="C460" s="43">
        <f>INDEX(DarlObj,1)</f>
      </c>
      <c r="D460">
        <v>457</v>
      </c>
      <c r="E460" s="51">
        <f>IF(INDEX(DarlBelegt,1)=0,0,EOMONTH(INDEX(DarlAuszahlung,1),456)+1)</f>
      </c>
      <c r="F460" s="43">
        <f>IF($E460=0,0,YEAR($E460))</f>
      </c>
      <c r="G460" s="43">
        <f>IF(INDEX(DarlBindung,1)="",1,IF($E460&lt;=INDEX(DarlBindung,1),1,0))</f>
      </c>
      <c r="H460" s="43">
        <f>IF($G460=1,INDEX(DarlSollzins,1),INDEX(DarlAnschluss,1))</f>
      </c>
      <c r="I460" s="43">
        <f>IF(INDEX(DarlBelegt,1)=0,0,IF(INDEX(DarlOhneTilgung,1)=1,IF(INDEX(DarlBindung,1)="",1,$G460),IF($J460&gt;0.005,1,0)))</f>
      </c>
      <c r="J460" s="43">
        <f>IF($I459=0,0,$R459)</f>
      </c>
      <c r="K460" s="43">
        <f>IF($I460=0,0,IF(INDEX(DarlOhneTilgung,1)=1,0,IF(AND(INDEX(DarlTilgStart,1)&gt;0,$E460=INDEX(DarlTilgStart,1)),$J460*($H460+INDEX(DarlTilgung,1))/100/12,IF(AND($G460=0,$G459=1),MAX($K459,$J460*($H460+1)/100/12),$K459))))</f>
      </c>
      <c r="L460" s="43">
        <f>IF($I460=0,0,$J460*$H460/100/12)</f>
      </c>
      <c r="M460" s="43">
        <f>IF($I460=0,0,IF(OR(INDEX(DarlOhneTilgung,1)=1,AND(INDEX(DarlTilgStart,1)&gt;0,$E460&lt;INDEX(DarlTilgStart,1))),0,MIN(MAX(0,$K460-$L460),$J460)))</f>
      </c>
      <c r="N460" s="43">
        <f>IF($I460=0,0,MIN(SUMIFS(SondBetrag,SondDarl,1,SondDatum,"&gt;="&amp;$E460,SondDatum,"&lt;="&amp;EOMONTH($E460,0)),$J460-$M460))</f>
      </c>
      <c r="O460" s="43">
        <f>IF($I460=0,0,INDEX(DarlErsatzRate,1))</f>
      </c>
      <c r="P460" s="43">
        <f>IF($I460=0,0,$Q459*INDEX(DarlErsatzZins,1))</f>
      </c>
      <c r="Q460" s="43">
        <f>IF($I460=0,0,$Q459+$P460+$O460)</f>
      </c>
      <c r="R460" s="43">
        <f>IF($I460=0,0,$J460-$M460-$N460)</f>
      </c>
    </row>
    <row r="461">
      <c r="A461"/>
      <c r="B461">
        <v>1</v>
      </c>
      <c r="C461" s="43">
        <f>INDEX(DarlObj,1)</f>
      </c>
      <c r="D461">
        <v>458</v>
      </c>
      <c r="E461" s="51">
        <f>IF(INDEX(DarlBelegt,1)=0,0,EOMONTH(INDEX(DarlAuszahlung,1),457)+1)</f>
      </c>
      <c r="F461" s="43">
        <f>IF($E461=0,0,YEAR($E461))</f>
      </c>
      <c r="G461" s="43">
        <f>IF(INDEX(DarlBindung,1)="",1,IF($E461&lt;=INDEX(DarlBindung,1),1,0))</f>
      </c>
      <c r="H461" s="43">
        <f>IF($G461=1,INDEX(DarlSollzins,1),INDEX(DarlAnschluss,1))</f>
      </c>
      <c r="I461" s="43">
        <f>IF(INDEX(DarlBelegt,1)=0,0,IF(INDEX(DarlOhneTilgung,1)=1,IF(INDEX(DarlBindung,1)="",1,$G461),IF($J461&gt;0.005,1,0)))</f>
      </c>
      <c r="J461" s="43">
        <f>IF($I460=0,0,$R460)</f>
      </c>
      <c r="K461" s="43">
        <f>IF($I461=0,0,IF(INDEX(DarlOhneTilgung,1)=1,0,IF(AND(INDEX(DarlTilgStart,1)&gt;0,$E461=INDEX(DarlTilgStart,1)),$J461*($H461+INDEX(DarlTilgung,1))/100/12,IF(AND($G461=0,$G460=1),MAX($K460,$J461*($H461+1)/100/12),$K460))))</f>
      </c>
      <c r="L461" s="43">
        <f>IF($I461=0,0,$J461*$H461/100/12)</f>
      </c>
      <c r="M461" s="43">
        <f>IF($I461=0,0,IF(OR(INDEX(DarlOhneTilgung,1)=1,AND(INDEX(DarlTilgStart,1)&gt;0,$E461&lt;INDEX(DarlTilgStart,1))),0,MIN(MAX(0,$K461-$L461),$J461)))</f>
      </c>
      <c r="N461" s="43">
        <f>IF($I461=0,0,MIN(SUMIFS(SondBetrag,SondDarl,1,SondDatum,"&gt;="&amp;$E461,SondDatum,"&lt;="&amp;EOMONTH($E461,0)),$J461-$M461))</f>
      </c>
      <c r="O461" s="43">
        <f>IF($I461=0,0,INDEX(DarlErsatzRate,1))</f>
      </c>
      <c r="P461" s="43">
        <f>IF($I461=0,0,$Q460*INDEX(DarlErsatzZins,1))</f>
      </c>
      <c r="Q461" s="43">
        <f>IF($I461=0,0,$Q460+$P461+$O461)</f>
      </c>
      <c r="R461" s="43">
        <f>IF($I461=0,0,$J461-$M461-$N461)</f>
      </c>
    </row>
    <row r="462">
      <c r="A462"/>
      <c r="B462">
        <v>1</v>
      </c>
      <c r="C462" s="43">
        <f>INDEX(DarlObj,1)</f>
      </c>
      <c r="D462">
        <v>459</v>
      </c>
      <c r="E462" s="51">
        <f>IF(INDEX(DarlBelegt,1)=0,0,EOMONTH(INDEX(DarlAuszahlung,1),458)+1)</f>
      </c>
      <c r="F462" s="43">
        <f>IF($E462=0,0,YEAR($E462))</f>
      </c>
      <c r="G462" s="43">
        <f>IF(INDEX(DarlBindung,1)="",1,IF($E462&lt;=INDEX(DarlBindung,1),1,0))</f>
      </c>
      <c r="H462" s="43">
        <f>IF($G462=1,INDEX(DarlSollzins,1),INDEX(DarlAnschluss,1))</f>
      </c>
      <c r="I462" s="43">
        <f>IF(INDEX(DarlBelegt,1)=0,0,IF(INDEX(DarlOhneTilgung,1)=1,IF(INDEX(DarlBindung,1)="",1,$G462),IF($J462&gt;0.005,1,0)))</f>
      </c>
      <c r="J462" s="43">
        <f>IF($I461=0,0,$R461)</f>
      </c>
      <c r="K462" s="43">
        <f>IF($I462=0,0,IF(INDEX(DarlOhneTilgung,1)=1,0,IF(AND(INDEX(DarlTilgStart,1)&gt;0,$E462=INDEX(DarlTilgStart,1)),$J462*($H462+INDEX(DarlTilgung,1))/100/12,IF(AND($G462=0,$G461=1),MAX($K461,$J462*($H462+1)/100/12),$K461))))</f>
      </c>
      <c r="L462" s="43">
        <f>IF($I462=0,0,$J462*$H462/100/12)</f>
      </c>
      <c r="M462" s="43">
        <f>IF($I462=0,0,IF(OR(INDEX(DarlOhneTilgung,1)=1,AND(INDEX(DarlTilgStart,1)&gt;0,$E462&lt;INDEX(DarlTilgStart,1))),0,MIN(MAX(0,$K462-$L462),$J462)))</f>
      </c>
      <c r="N462" s="43">
        <f>IF($I462=0,0,MIN(SUMIFS(SondBetrag,SondDarl,1,SondDatum,"&gt;="&amp;$E462,SondDatum,"&lt;="&amp;EOMONTH($E462,0)),$J462-$M462))</f>
      </c>
      <c r="O462" s="43">
        <f>IF($I462=0,0,INDEX(DarlErsatzRate,1))</f>
      </c>
      <c r="P462" s="43">
        <f>IF($I462=0,0,$Q461*INDEX(DarlErsatzZins,1))</f>
      </c>
      <c r="Q462" s="43">
        <f>IF($I462=0,0,$Q461+$P462+$O462)</f>
      </c>
      <c r="R462" s="43">
        <f>IF($I462=0,0,$J462-$M462-$N462)</f>
      </c>
    </row>
    <row r="463">
      <c r="A463"/>
      <c r="B463">
        <v>1</v>
      </c>
      <c r="C463" s="43">
        <f>INDEX(DarlObj,1)</f>
      </c>
      <c r="D463">
        <v>460</v>
      </c>
      <c r="E463" s="51">
        <f>IF(INDEX(DarlBelegt,1)=0,0,EOMONTH(INDEX(DarlAuszahlung,1),459)+1)</f>
      </c>
      <c r="F463" s="43">
        <f>IF($E463=0,0,YEAR($E463))</f>
      </c>
      <c r="G463" s="43">
        <f>IF(INDEX(DarlBindung,1)="",1,IF($E463&lt;=INDEX(DarlBindung,1),1,0))</f>
      </c>
      <c r="H463" s="43">
        <f>IF($G463=1,INDEX(DarlSollzins,1),INDEX(DarlAnschluss,1))</f>
      </c>
      <c r="I463" s="43">
        <f>IF(INDEX(DarlBelegt,1)=0,0,IF(INDEX(DarlOhneTilgung,1)=1,IF(INDEX(DarlBindung,1)="",1,$G463),IF($J463&gt;0.005,1,0)))</f>
      </c>
      <c r="J463" s="43">
        <f>IF($I462=0,0,$R462)</f>
      </c>
      <c r="K463" s="43">
        <f>IF($I463=0,0,IF(INDEX(DarlOhneTilgung,1)=1,0,IF(AND(INDEX(DarlTilgStart,1)&gt;0,$E463=INDEX(DarlTilgStart,1)),$J463*($H463+INDEX(DarlTilgung,1))/100/12,IF(AND($G463=0,$G462=1),MAX($K462,$J463*($H463+1)/100/12),$K462))))</f>
      </c>
      <c r="L463" s="43">
        <f>IF($I463=0,0,$J463*$H463/100/12)</f>
      </c>
      <c r="M463" s="43">
        <f>IF($I463=0,0,IF(OR(INDEX(DarlOhneTilgung,1)=1,AND(INDEX(DarlTilgStart,1)&gt;0,$E463&lt;INDEX(DarlTilgStart,1))),0,MIN(MAX(0,$K463-$L463),$J463)))</f>
      </c>
      <c r="N463" s="43">
        <f>IF($I463=0,0,MIN(SUMIFS(SondBetrag,SondDarl,1,SondDatum,"&gt;="&amp;$E463,SondDatum,"&lt;="&amp;EOMONTH($E463,0)),$J463-$M463))</f>
      </c>
      <c r="O463" s="43">
        <f>IF($I463=0,0,INDEX(DarlErsatzRate,1))</f>
      </c>
      <c r="P463" s="43">
        <f>IF($I463=0,0,$Q462*INDEX(DarlErsatzZins,1))</f>
      </c>
      <c r="Q463" s="43">
        <f>IF($I463=0,0,$Q462+$P463+$O463)</f>
      </c>
      <c r="R463" s="43">
        <f>IF($I463=0,0,$J463-$M463-$N463)</f>
      </c>
    </row>
    <row r="464">
      <c r="A464"/>
      <c r="B464">
        <v>1</v>
      </c>
      <c r="C464" s="43">
        <f>INDEX(DarlObj,1)</f>
      </c>
      <c r="D464">
        <v>461</v>
      </c>
      <c r="E464" s="51">
        <f>IF(INDEX(DarlBelegt,1)=0,0,EOMONTH(INDEX(DarlAuszahlung,1),460)+1)</f>
      </c>
      <c r="F464" s="43">
        <f>IF($E464=0,0,YEAR($E464))</f>
      </c>
      <c r="G464" s="43">
        <f>IF(INDEX(DarlBindung,1)="",1,IF($E464&lt;=INDEX(DarlBindung,1),1,0))</f>
      </c>
      <c r="H464" s="43">
        <f>IF($G464=1,INDEX(DarlSollzins,1),INDEX(DarlAnschluss,1))</f>
      </c>
      <c r="I464" s="43">
        <f>IF(INDEX(DarlBelegt,1)=0,0,IF(INDEX(DarlOhneTilgung,1)=1,IF(INDEX(DarlBindung,1)="",1,$G464),IF($J464&gt;0.005,1,0)))</f>
      </c>
      <c r="J464" s="43">
        <f>IF($I463=0,0,$R463)</f>
      </c>
      <c r="K464" s="43">
        <f>IF($I464=0,0,IF(INDEX(DarlOhneTilgung,1)=1,0,IF(AND(INDEX(DarlTilgStart,1)&gt;0,$E464=INDEX(DarlTilgStart,1)),$J464*($H464+INDEX(DarlTilgung,1))/100/12,IF(AND($G464=0,$G463=1),MAX($K463,$J464*($H464+1)/100/12),$K463))))</f>
      </c>
      <c r="L464" s="43">
        <f>IF($I464=0,0,$J464*$H464/100/12)</f>
      </c>
      <c r="M464" s="43">
        <f>IF($I464=0,0,IF(OR(INDEX(DarlOhneTilgung,1)=1,AND(INDEX(DarlTilgStart,1)&gt;0,$E464&lt;INDEX(DarlTilgStart,1))),0,MIN(MAX(0,$K464-$L464),$J464)))</f>
      </c>
      <c r="N464" s="43">
        <f>IF($I464=0,0,MIN(SUMIFS(SondBetrag,SondDarl,1,SondDatum,"&gt;="&amp;$E464,SondDatum,"&lt;="&amp;EOMONTH($E464,0)),$J464-$M464))</f>
      </c>
      <c r="O464" s="43">
        <f>IF($I464=0,0,INDEX(DarlErsatzRate,1))</f>
      </c>
      <c r="P464" s="43">
        <f>IF($I464=0,0,$Q463*INDEX(DarlErsatzZins,1))</f>
      </c>
      <c r="Q464" s="43">
        <f>IF($I464=0,0,$Q463+$P464+$O464)</f>
      </c>
      <c r="R464" s="43">
        <f>IF($I464=0,0,$J464-$M464-$N464)</f>
      </c>
    </row>
    <row r="465">
      <c r="A465"/>
      <c r="B465">
        <v>1</v>
      </c>
      <c r="C465" s="43">
        <f>INDEX(DarlObj,1)</f>
      </c>
      <c r="D465">
        <v>462</v>
      </c>
      <c r="E465" s="51">
        <f>IF(INDEX(DarlBelegt,1)=0,0,EOMONTH(INDEX(DarlAuszahlung,1),461)+1)</f>
      </c>
      <c r="F465" s="43">
        <f>IF($E465=0,0,YEAR($E465))</f>
      </c>
      <c r="G465" s="43">
        <f>IF(INDEX(DarlBindung,1)="",1,IF($E465&lt;=INDEX(DarlBindung,1),1,0))</f>
      </c>
      <c r="H465" s="43">
        <f>IF($G465=1,INDEX(DarlSollzins,1),INDEX(DarlAnschluss,1))</f>
      </c>
      <c r="I465" s="43">
        <f>IF(INDEX(DarlBelegt,1)=0,0,IF(INDEX(DarlOhneTilgung,1)=1,IF(INDEX(DarlBindung,1)="",1,$G465),IF($J465&gt;0.005,1,0)))</f>
      </c>
      <c r="J465" s="43">
        <f>IF($I464=0,0,$R464)</f>
      </c>
      <c r="K465" s="43">
        <f>IF($I465=0,0,IF(INDEX(DarlOhneTilgung,1)=1,0,IF(AND(INDEX(DarlTilgStart,1)&gt;0,$E465=INDEX(DarlTilgStart,1)),$J465*($H465+INDEX(DarlTilgung,1))/100/12,IF(AND($G465=0,$G464=1),MAX($K464,$J465*($H465+1)/100/12),$K464))))</f>
      </c>
      <c r="L465" s="43">
        <f>IF($I465=0,0,$J465*$H465/100/12)</f>
      </c>
      <c r="M465" s="43">
        <f>IF($I465=0,0,IF(OR(INDEX(DarlOhneTilgung,1)=1,AND(INDEX(DarlTilgStart,1)&gt;0,$E465&lt;INDEX(DarlTilgStart,1))),0,MIN(MAX(0,$K465-$L465),$J465)))</f>
      </c>
      <c r="N465" s="43">
        <f>IF($I465=0,0,MIN(SUMIFS(SondBetrag,SondDarl,1,SondDatum,"&gt;="&amp;$E465,SondDatum,"&lt;="&amp;EOMONTH($E465,0)),$J465-$M465))</f>
      </c>
      <c r="O465" s="43">
        <f>IF($I465=0,0,INDEX(DarlErsatzRate,1))</f>
      </c>
      <c r="P465" s="43">
        <f>IF($I465=0,0,$Q464*INDEX(DarlErsatzZins,1))</f>
      </c>
      <c r="Q465" s="43">
        <f>IF($I465=0,0,$Q464+$P465+$O465)</f>
      </c>
      <c r="R465" s="43">
        <f>IF($I465=0,0,$J465-$M465-$N465)</f>
      </c>
    </row>
    <row r="466">
      <c r="A466"/>
      <c r="B466">
        <v>1</v>
      </c>
      <c r="C466" s="43">
        <f>INDEX(DarlObj,1)</f>
      </c>
      <c r="D466">
        <v>463</v>
      </c>
      <c r="E466" s="51">
        <f>IF(INDEX(DarlBelegt,1)=0,0,EOMONTH(INDEX(DarlAuszahlung,1),462)+1)</f>
      </c>
      <c r="F466" s="43">
        <f>IF($E466=0,0,YEAR($E466))</f>
      </c>
      <c r="G466" s="43">
        <f>IF(INDEX(DarlBindung,1)="",1,IF($E466&lt;=INDEX(DarlBindung,1),1,0))</f>
      </c>
      <c r="H466" s="43">
        <f>IF($G466=1,INDEX(DarlSollzins,1),INDEX(DarlAnschluss,1))</f>
      </c>
      <c r="I466" s="43">
        <f>IF(INDEX(DarlBelegt,1)=0,0,IF(INDEX(DarlOhneTilgung,1)=1,IF(INDEX(DarlBindung,1)="",1,$G466),IF($J466&gt;0.005,1,0)))</f>
      </c>
      <c r="J466" s="43">
        <f>IF($I465=0,0,$R465)</f>
      </c>
      <c r="K466" s="43">
        <f>IF($I466=0,0,IF(INDEX(DarlOhneTilgung,1)=1,0,IF(AND(INDEX(DarlTilgStart,1)&gt;0,$E466=INDEX(DarlTilgStart,1)),$J466*($H466+INDEX(DarlTilgung,1))/100/12,IF(AND($G466=0,$G465=1),MAX($K465,$J466*($H466+1)/100/12),$K465))))</f>
      </c>
      <c r="L466" s="43">
        <f>IF($I466=0,0,$J466*$H466/100/12)</f>
      </c>
      <c r="M466" s="43">
        <f>IF($I466=0,0,IF(OR(INDEX(DarlOhneTilgung,1)=1,AND(INDEX(DarlTilgStart,1)&gt;0,$E466&lt;INDEX(DarlTilgStart,1))),0,MIN(MAX(0,$K466-$L466),$J466)))</f>
      </c>
      <c r="N466" s="43">
        <f>IF($I466=0,0,MIN(SUMIFS(SondBetrag,SondDarl,1,SondDatum,"&gt;="&amp;$E466,SondDatum,"&lt;="&amp;EOMONTH($E466,0)),$J466-$M466))</f>
      </c>
      <c r="O466" s="43">
        <f>IF($I466=0,0,INDEX(DarlErsatzRate,1))</f>
      </c>
      <c r="P466" s="43">
        <f>IF($I466=0,0,$Q465*INDEX(DarlErsatzZins,1))</f>
      </c>
      <c r="Q466" s="43">
        <f>IF($I466=0,0,$Q465+$P466+$O466)</f>
      </c>
      <c r="R466" s="43">
        <f>IF($I466=0,0,$J466-$M466-$N466)</f>
      </c>
    </row>
    <row r="467">
      <c r="A467"/>
      <c r="B467">
        <v>1</v>
      </c>
      <c r="C467" s="43">
        <f>INDEX(DarlObj,1)</f>
      </c>
      <c r="D467">
        <v>464</v>
      </c>
      <c r="E467" s="51">
        <f>IF(INDEX(DarlBelegt,1)=0,0,EOMONTH(INDEX(DarlAuszahlung,1),463)+1)</f>
      </c>
      <c r="F467" s="43">
        <f>IF($E467=0,0,YEAR($E467))</f>
      </c>
      <c r="G467" s="43">
        <f>IF(INDEX(DarlBindung,1)="",1,IF($E467&lt;=INDEX(DarlBindung,1),1,0))</f>
      </c>
      <c r="H467" s="43">
        <f>IF($G467=1,INDEX(DarlSollzins,1),INDEX(DarlAnschluss,1))</f>
      </c>
      <c r="I467" s="43">
        <f>IF(INDEX(DarlBelegt,1)=0,0,IF(INDEX(DarlOhneTilgung,1)=1,IF(INDEX(DarlBindung,1)="",1,$G467),IF($J467&gt;0.005,1,0)))</f>
      </c>
      <c r="J467" s="43">
        <f>IF($I466=0,0,$R466)</f>
      </c>
      <c r="K467" s="43">
        <f>IF($I467=0,0,IF(INDEX(DarlOhneTilgung,1)=1,0,IF(AND(INDEX(DarlTilgStart,1)&gt;0,$E467=INDEX(DarlTilgStart,1)),$J467*($H467+INDEX(DarlTilgung,1))/100/12,IF(AND($G467=0,$G466=1),MAX($K466,$J467*($H467+1)/100/12),$K466))))</f>
      </c>
      <c r="L467" s="43">
        <f>IF($I467=0,0,$J467*$H467/100/12)</f>
      </c>
      <c r="M467" s="43">
        <f>IF($I467=0,0,IF(OR(INDEX(DarlOhneTilgung,1)=1,AND(INDEX(DarlTilgStart,1)&gt;0,$E467&lt;INDEX(DarlTilgStart,1))),0,MIN(MAX(0,$K467-$L467),$J467)))</f>
      </c>
      <c r="N467" s="43">
        <f>IF($I467=0,0,MIN(SUMIFS(SondBetrag,SondDarl,1,SondDatum,"&gt;="&amp;$E467,SondDatum,"&lt;="&amp;EOMONTH($E467,0)),$J467-$M467))</f>
      </c>
      <c r="O467" s="43">
        <f>IF($I467=0,0,INDEX(DarlErsatzRate,1))</f>
      </c>
      <c r="P467" s="43">
        <f>IF($I467=0,0,$Q466*INDEX(DarlErsatzZins,1))</f>
      </c>
      <c r="Q467" s="43">
        <f>IF($I467=0,0,$Q466+$P467+$O467)</f>
      </c>
      <c r="R467" s="43">
        <f>IF($I467=0,0,$J467-$M467-$N467)</f>
      </c>
    </row>
    <row r="468">
      <c r="A468"/>
      <c r="B468">
        <v>1</v>
      </c>
      <c r="C468" s="43">
        <f>INDEX(DarlObj,1)</f>
      </c>
      <c r="D468">
        <v>465</v>
      </c>
      <c r="E468" s="51">
        <f>IF(INDEX(DarlBelegt,1)=0,0,EOMONTH(INDEX(DarlAuszahlung,1),464)+1)</f>
      </c>
      <c r="F468" s="43">
        <f>IF($E468=0,0,YEAR($E468))</f>
      </c>
      <c r="G468" s="43">
        <f>IF(INDEX(DarlBindung,1)="",1,IF($E468&lt;=INDEX(DarlBindung,1),1,0))</f>
      </c>
      <c r="H468" s="43">
        <f>IF($G468=1,INDEX(DarlSollzins,1),INDEX(DarlAnschluss,1))</f>
      </c>
      <c r="I468" s="43">
        <f>IF(INDEX(DarlBelegt,1)=0,0,IF(INDEX(DarlOhneTilgung,1)=1,IF(INDEX(DarlBindung,1)="",1,$G468),IF($J468&gt;0.005,1,0)))</f>
      </c>
      <c r="J468" s="43">
        <f>IF($I467=0,0,$R467)</f>
      </c>
      <c r="K468" s="43">
        <f>IF($I468=0,0,IF(INDEX(DarlOhneTilgung,1)=1,0,IF(AND(INDEX(DarlTilgStart,1)&gt;0,$E468=INDEX(DarlTilgStart,1)),$J468*($H468+INDEX(DarlTilgung,1))/100/12,IF(AND($G468=0,$G467=1),MAX($K467,$J468*($H468+1)/100/12),$K467))))</f>
      </c>
      <c r="L468" s="43">
        <f>IF($I468=0,0,$J468*$H468/100/12)</f>
      </c>
      <c r="M468" s="43">
        <f>IF($I468=0,0,IF(OR(INDEX(DarlOhneTilgung,1)=1,AND(INDEX(DarlTilgStart,1)&gt;0,$E468&lt;INDEX(DarlTilgStart,1))),0,MIN(MAX(0,$K468-$L468),$J468)))</f>
      </c>
      <c r="N468" s="43">
        <f>IF($I468=0,0,MIN(SUMIFS(SondBetrag,SondDarl,1,SondDatum,"&gt;="&amp;$E468,SondDatum,"&lt;="&amp;EOMONTH($E468,0)),$J468-$M468))</f>
      </c>
      <c r="O468" s="43">
        <f>IF($I468=0,0,INDEX(DarlErsatzRate,1))</f>
      </c>
      <c r="P468" s="43">
        <f>IF($I468=0,0,$Q467*INDEX(DarlErsatzZins,1))</f>
      </c>
      <c r="Q468" s="43">
        <f>IF($I468=0,0,$Q467+$P468+$O468)</f>
      </c>
      <c r="R468" s="43">
        <f>IF($I468=0,0,$J468-$M468-$N468)</f>
      </c>
    </row>
    <row r="469">
      <c r="A469"/>
      <c r="B469">
        <v>1</v>
      </c>
      <c r="C469" s="43">
        <f>INDEX(DarlObj,1)</f>
      </c>
      <c r="D469">
        <v>466</v>
      </c>
      <c r="E469" s="51">
        <f>IF(INDEX(DarlBelegt,1)=0,0,EOMONTH(INDEX(DarlAuszahlung,1),465)+1)</f>
      </c>
      <c r="F469" s="43">
        <f>IF($E469=0,0,YEAR($E469))</f>
      </c>
      <c r="G469" s="43">
        <f>IF(INDEX(DarlBindung,1)="",1,IF($E469&lt;=INDEX(DarlBindung,1),1,0))</f>
      </c>
      <c r="H469" s="43">
        <f>IF($G469=1,INDEX(DarlSollzins,1),INDEX(DarlAnschluss,1))</f>
      </c>
      <c r="I469" s="43">
        <f>IF(INDEX(DarlBelegt,1)=0,0,IF(INDEX(DarlOhneTilgung,1)=1,IF(INDEX(DarlBindung,1)="",1,$G469),IF($J469&gt;0.005,1,0)))</f>
      </c>
      <c r="J469" s="43">
        <f>IF($I468=0,0,$R468)</f>
      </c>
      <c r="K469" s="43">
        <f>IF($I469=0,0,IF(INDEX(DarlOhneTilgung,1)=1,0,IF(AND(INDEX(DarlTilgStart,1)&gt;0,$E469=INDEX(DarlTilgStart,1)),$J469*($H469+INDEX(DarlTilgung,1))/100/12,IF(AND($G469=0,$G468=1),MAX($K468,$J469*($H469+1)/100/12),$K468))))</f>
      </c>
      <c r="L469" s="43">
        <f>IF($I469=0,0,$J469*$H469/100/12)</f>
      </c>
      <c r="M469" s="43">
        <f>IF($I469=0,0,IF(OR(INDEX(DarlOhneTilgung,1)=1,AND(INDEX(DarlTilgStart,1)&gt;0,$E469&lt;INDEX(DarlTilgStart,1))),0,MIN(MAX(0,$K469-$L469),$J469)))</f>
      </c>
      <c r="N469" s="43">
        <f>IF($I469=0,0,MIN(SUMIFS(SondBetrag,SondDarl,1,SondDatum,"&gt;="&amp;$E469,SondDatum,"&lt;="&amp;EOMONTH($E469,0)),$J469-$M469))</f>
      </c>
      <c r="O469" s="43">
        <f>IF($I469=0,0,INDEX(DarlErsatzRate,1))</f>
      </c>
      <c r="P469" s="43">
        <f>IF($I469=0,0,$Q468*INDEX(DarlErsatzZins,1))</f>
      </c>
      <c r="Q469" s="43">
        <f>IF($I469=0,0,$Q468+$P469+$O469)</f>
      </c>
      <c r="R469" s="43">
        <f>IF($I469=0,0,$J469-$M469-$N469)</f>
      </c>
    </row>
    <row r="470">
      <c r="A470"/>
      <c r="B470">
        <v>1</v>
      </c>
      <c r="C470" s="43">
        <f>INDEX(DarlObj,1)</f>
      </c>
      <c r="D470">
        <v>467</v>
      </c>
      <c r="E470" s="51">
        <f>IF(INDEX(DarlBelegt,1)=0,0,EOMONTH(INDEX(DarlAuszahlung,1),466)+1)</f>
      </c>
      <c r="F470" s="43">
        <f>IF($E470=0,0,YEAR($E470))</f>
      </c>
      <c r="G470" s="43">
        <f>IF(INDEX(DarlBindung,1)="",1,IF($E470&lt;=INDEX(DarlBindung,1),1,0))</f>
      </c>
      <c r="H470" s="43">
        <f>IF($G470=1,INDEX(DarlSollzins,1),INDEX(DarlAnschluss,1))</f>
      </c>
      <c r="I470" s="43">
        <f>IF(INDEX(DarlBelegt,1)=0,0,IF(INDEX(DarlOhneTilgung,1)=1,IF(INDEX(DarlBindung,1)="",1,$G470),IF($J470&gt;0.005,1,0)))</f>
      </c>
      <c r="J470" s="43">
        <f>IF($I469=0,0,$R469)</f>
      </c>
      <c r="K470" s="43">
        <f>IF($I470=0,0,IF(INDEX(DarlOhneTilgung,1)=1,0,IF(AND(INDEX(DarlTilgStart,1)&gt;0,$E470=INDEX(DarlTilgStart,1)),$J470*($H470+INDEX(DarlTilgung,1))/100/12,IF(AND($G470=0,$G469=1),MAX($K469,$J470*($H470+1)/100/12),$K469))))</f>
      </c>
      <c r="L470" s="43">
        <f>IF($I470=0,0,$J470*$H470/100/12)</f>
      </c>
      <c r="M470" s="43">
        <f>IF($I470=0,0,IF(OR(INDEX(DarlOhneTilgung,1)=1,AND(INDEX(DarlTilgStart,1)&gt;0,$E470&lt;INDEX(DarlTilgStart,1))),0,MIN(MAX(0,$K470-$L470),$J470)))</f>
      </c>
      <c r="N470" s="43">
        <f>IF($I470=0,0,MIN(SUMIFS(SondBetrag,SondDarl,1,SondDatum,"&gt;="&amp;$E470,SondDatum,"&lt;="&amp;EOMONTH($E470,0)),$J470-$M470))</f>
      </c>
      <c r="O470" s="43">
        <f>IF($I470=0,0,INDEX(DarlErsatzRate,1))</f>
      </c>
      <c r="P470" s="43">
        <f>IF($I470=0,0,$Q469*INDEX(DarlErsatzZins,1))</f>
      </c>
      <c r="Q470" s="43">
        <f>IF($I470=0,0,$Q469+$P470+$O470)</f>
      </c>
      <c r="R470" s="43">
        <f>IF($I470=0,0,$J470-$M470-$N470)</f>
      </c>
    </row>
    <row r="471">
      <c r="A471"/>
      <c r="B471">
        <v>1</v>
      </c>
      <c r="C471" s="43">
        <f>INDEX(DarlObj,1)</f>
      </c>
      <c r="D471">
        <v>468</v>
      </c>
      <c r="E471" s="51">
        <f>IF(INDEX(DarlBelegt,1)=0,0,EOMONTH(INDEX(DarlAuszahlung,1),467)+1)</f>
      </c>
      <c r="F471" s="43">
        <f>IF($E471=0,0,YEAR($E471))</f>
      </c>
      <c r="G471" s="43">
        <f>IF(INDEX(DarlBindung,1)="",1,IF($E471&lt;=INDEX(DarlBindung,1),1,0))</f>
      </c>
      <c r="H471" s="43">
        <f>IF($G471=1,INDEX(DarlSollzins,1),INDEX(DarlAnschluss,1))</f>
      </c>
      <c r="I471" s="43">
        <f>IF(INDEX(DarlBelegt,1)=0,0,IF(INDEX(DarlOhneTilgung,1)=1,IF(INDEX(DarlBindung,1)="",1,$G471),IF($J471&gt;0.005,1,0)))</f>
      </c>
      <c r="J471" s="43">
        <f>IF($I470=0,0,$R470)</f>
      </c>
      <c r="K471" s="43">
        <f>IF($I471=0,0,IF(INDEX(DarlOhneTilgung,1)=1,0,IF(AND(INDEX(DarlTilgStart,1)&gt;0,$E471=INDEX(DarlTilgStart,1)),$J471*($H471+INDEX(DarlTilgung,1))/100/12,IF(AND($G471=0,$G470=1),MAX($K470,$J471*($H471+1)/100/12),$K470))))</f>
      </c>
      <c r="L471" s="43">
        <f>IF($I471=0,0,$J471*$H471/100/12)</f>
      </c>
      <c r="M471" s="43">
        <f>IF($I471=0,0,IF(OR(INDEX(DarlOhneTilgung,1)=1,AND(INDEX(DarlTilgStart,1)&gt;0,$E471&lt;INDEX(DarlTilgStart,1))),0,MIN(MAX(0,$K471-$L471),$J471)))</f>
      </c>
      <c r="N471" s="43">
        <f>IF($I471=0,0,MIN(SUMIFS(SondBetrag,SondDarl,1,SondDatum,"&gt;="&amp;$E471,SondDatum,"&lt;="&amp;EOMONTH($E471,0)),$J471-$M471))</f>
      </c>
      <c r="O471" s="43">
        <f>IF($I471=0,0,INDEX(DarlErsatzRate,1))</f>
      </c>
      <c r="P471" s="43">
        <f>IF($I471=0,0,$Q470*INDEX(DarlErsatzZins,1))</f>
      </c>
      <c r="Q471" s="43">
        <f>IF($I471=0,0,$Q470+$P471+$O471)</f>
      </c>
      <c r="R471" s="43">
        <f>IF($I471=0,0,$J471-$M471-$N471)</f>
      </c>
    </row>
    <row r="472">
      <c r="A472"/>
      <c r="B472">
        <v>1</v>
      </c>
      <c r="C472" s="43">
        <f>INDEX(DarlObj,1)</f>
      </c>
      <c r="D472">
        <v>469</v>
      </c>
      <c r="E472" s="51">
        <f>IF(INDEX(DarlBelegt,1)=0,0,EOMONTH(INDEX(DarlAuszahlung,1),468)+1)</f>
      </c>
      <c r="F472" s="43">
        <f>IF($E472=0,0,YEAR($E472))</f>
      </c>
      <c r="G472" s="43">
        <f>IF(INDEX(DarlBindung,1)="",1,IF($E472&lt;=INDEX(DarlBindung,1),1,0))</f>
      </c>
      <c r="H472" s="43">
        <f>IF($G472=1,INDEX(DarlSollzins,1),INDEX(DarlAnschluss,1))</f>
      </c>
      <c r="I472" s="43">
        <f>IF(INDEX(DarlBelegt,1)=0,0,IF(INDEX(DarlOhneTilgung,1)=1,IF(INDEX(DarlBindung,1)="",1,$G472),IF($J472&gt;0.005,1,0)))</f>
      </c>
      <c r="J472" s="43">
        <f>IF($I471=0,0,$R471)</f>
      </c>
      <c r="K472" s="43">
        <f>IF($I472=0,0,IF(INDEX(DarlOhneTilgung,1)=1,0,IF(AND(INDEX(DarlTilgStart,1)&gt;0,$E472=INDEX(DarlTilgStart,1)),$J472*($H472+INDEX(DarlTilgung,1))/100/12,IF(AND($G472=0,$G471=1),MAX($K471,$J472*($H472+1)/100/12),$K471))))</f>
      </c>
      <c r="L472" s="43">
        <f>IF($I472=0,0,$J472*$H472/100/12)</f>
      </c>
      <c r="M472" s="43">
        <f>IF($I472=0,0,IF(OR(INDEX(DarlOhneTilgung,1)=1,AND(INDEX(DarlTilgStart,1)&gt;0,$E472&lt;INDEX(DarlTilgStart,1))),0,MIN(MAX(0,$K472-$L472),$J472)))</f>
      </c>
      <c r="N472" s="43">
        <f>IF($I472=0,0,MIN(SUMIFS(SondBetrag,SondDarl,1,SondDatum,"&gt;="&amp;$E472,SondDatum,"&lt;="&amp;EOMONTH($E472,0)),$J472-$M472))</f>
      </c>
      <c r="O472" s="43">
        <f>IF($I472=0,0,INDEX(DarlErsatzRate,1))</f>
      </c>
      <c r="P472" s="43">
        <f>IF($I472=0,0,$Q471*INDEX(DarlErsatzZins,1))</f>
      </c>
      <c r="Q472" s="43">
        <f>IF($I472=0,0,$Q471+$P472+$O472)</f>
      </c>
      <c r="R472" s="43">
        <f>IF($I472=0,0,$J472-$M472-$N472)</f>
      </c>
    </row>
    <row r="473">
      <c r="A473"/>
      <c r="B473">
        <v>1</v>
      </c>
      <c r="C473" s="43">
        <f>INDEX(DarlObj,1)</f>
      </c>
      <c r="D473">
        <v>470</v>
      </c>
      <c r="E473" s="51">
        <f>IF(INDEX(DarlBelegt,1)=0,0,EOMONTH(INDEX(DarlAuszahlung,1),469)+1)</f>
      </c>
      <c r="F473" s="43">
        <f>IF($E473=0,0,YEAR($E473))</f>
      </c>
      <c r="G473" s="43">
        <f>IF(INDEX(DarlBindung,1)="",1,IF($E473&lt;=INDEX(DarlBindung,1),1,0))</f>
      </c>
      <c r="H473" s="43">
        <f>IF($G473=1,INDEX(DarlSollzins,1),INDEX(DarlAnschluss,1))</f>
      </c>
      <c r="I473" s="43">
        <f>IF(INDEX(DarlBelegt,1)=0,0,IF(INDEX(DarlOhneTilgung,1)=1,IF(INDEX(DarlBindung,1)="",1,$G473),IF($J473&gt;0.005,1,0)))</f>
      </c>
      <c r="J473" s="43">
        <f>IF($I472=0,0,$R472)</f>
      </c>
      <c r="K473" s="43">
        <f>IF($I473=0,0,IF(INDEX(DarlOhneTilgung,1)=1,0,IF(AND(INDEX(DarlTilgStart,1)&gt;0,$E473=INDEX(DarlTilgStart,1)),$J473*($H473+INDEX(DarlTilgung,1))/100/12,IF(AND($G473=0,$G472=1),MAX($K472,$J473*($H473+1)/100/12),$K472))))</f>
      </c>
      <c r="L473" s="43">
        <f>IF($I473=0,0,$J473*$H473/100/12)</f>
      </c>
      <c r="M473" s="43">
        <f>IF($I473=0,0,IF(OR(INDEX(DarlOhneTilgung,1)=1,AND(INDEX(DarlTilgStart,1)&gt;0,$E473&lt;INDEX(DarlTilgStart,1))),0,MIN(MAX(0,$K473-$L473),$J473)))</f>
      </c>
      <c r="N473" s="43">
        <f>IF($I473=0,0,MIN(SUMIFS(SondBetrag,SondDarl,1,SondDatum,"&gt;="&amp;$E473,SondDatum,"&lt;="&amp;EOMONTH($E473,0)),$J473-$M473))</f>
      </c>
      <c r="O473" s="43">
        <f>IF($I473=0,0,INDEX(DarlErsatzRate,1))</f>
      </c>
      <c r="P473" s="43">
        <f>IF($I473=0,0,$Q472*INDEX(DarlErsatzZins,1))</f>
      </c>
      <c r="Q473" s="43">
        <f>IF($I473=0,0,$Q472+$P473+$O473)</f>
      </c>
      <c r="R473" s="43">
        <f>IF($I473=0,0,$J473-$M473-$N473)</f>
      </c>
    </row>
    <row r="474">
      <c r="A474"/>
      <c r="B474">
        <v>1</v>
      </c>
      <c r="C474" s="43">
        <f>INDEX(DarlObj,1)</f>
      </c>
      <c r="D474">
        <v>471</v>
      </c>
      <c r="E474" s="51">
        <f>IF(INDEX(DarlBelegt,1)=0,0,EOMONTH(INDEX(DarlAuszahlung,1),470)+1)</f>
      </c>
      <c r="F474" s="43">
        <f>IF($E474=0,0,YEAR($E474))</f>
      </c>
      <c r="G474" s="43">
        <f>IF(INDEX(DarlBindung,1)="",1,IF($E474&lt;=INDEX(DarlBindung,1),1,0))</f>
      </c>
      <c r="H474" s="43">
        <f>IF($G474=1,INDEX(DarlSollzins,1),INDEX(DarlAnschluss,1))</f>
      </c>
      <c r="I474" s="43">
        <f>IF(INDEX(DarlBelegt,1)=0,0,IF(INDEX(DarlOhneTilgung,1)=1,IF(INDEX(DarlBindung,1)="",1,$G474),IF($J474&gt;0.005,1,0)))</f>
      </c>
      <c r="J474" s="43">
        <f>IF($I473=0,0,$R473)</f>
      </c>
      <c r="K474" s="43">
        <f>IF($I474=0,0,IF(INDEX(DarlOhneTilgung,1)=1,0,IF(AND(INDEX(DarlTilgStart,1)&gt;0,$E474=INDEX(DarlTilgStart,1)),$J474*($H474+INDEX(DarlTilgung,1))/100/12,IF(AND($G474=0,$G473=1),MAX($K473,$J474*($H474+1)/100/12),$K473))))</f>
      </c>
      <c r="L474" s="43">
        <f>IF($I474=0,0,$J474*$H474/100/12)</f>
      </c>
      <c r="M474" s="43">
        <f>IF($I474=0,0,IF(OR(INDEX(DarlOhneTilgung,1)=1,AND(INDEX(DarlTilgStart,1)&gt;0,$E474&lt;INDEX(DarlTilgStart,1))),0,MIN(MAX(0,$K474-$L474),$J474)))</f>
      </c>
      <c r="N474" s="43">
        <f>IF($I474=0,0,MIN(SUMIFS(SondBetrag,SondDarl,1,SondDatum,"&gt;="&amp;$E474,SondDatum,"&lt;="&amp;EOMONTH($E474,0)),$J474-$M474))</f>
      </c>
      <c r="O474" s="43">
        <f>IF($I474=0,0,INDEX(DarlErsatzRate,1))</f>
      </c>
      <c r="P474" s="43">
        <f>IF($I474=0,0,$Q473*INDEX(DarlErsatzZins,1))</f>
      </c>
      <c r="Q474" s="43">
        <f>IF($I474=0,0,$Q473+$P474+$O474)</f>
      </c>
      <c r="R474" s="43">
        <f>IF($I474=0,0,$J474-$M474-$N474)</f>
      </c>
    </row>
    <row r="475">
      <c r="A475"/>
      <c r="B475">
        <v>1</v>
      </c>
      <c r="C475" s="43">
        <f>INDEX(DarlObj,1)</f>
      </c>
      <c r="D475">
        <v>472</v>
      </c>
      <c r="E475" s="51">
        <f>IF(INDEX(DarlBelegt,1)=0,0,EOMONTH(INDEX(DarlAuszahlung,1),471)+1)</f>
      </c>
      <c r="F475" s="43">
        <f>IF($E475=0,0,YEAR($E475))</f>
      </c>
      <c r="G475" s="43">
        <f>IF(INDEX(DarlBindung,1)="",1,IF($E475&lt;=INDEX(DarlBindung,1),1,0))</f>
      </c>
      <c r="H475" s="43">
        <f>IF($G475=1,INDEX(DarlSollzins,1),INDEX(DarlAnschluss,1))</f>
      </c>
      <c r="I475" s="43">
        <f>IF(INDEX(DarlBelegt,1)=0,0,IF(INDEX(DarlOhneTilgung,1)=1,IF(INDEX(DarlBindung,1)="",1,$G475),IF($J475&gt;0.005,1,0)))</f>
      </c>
      <c r="J475" s="43">
        <f>IF($I474=0,0,$R474)</f>
      </c>
      <c r="K475" s="43">
        <f>IF($I475=0,0,IF(INDEX(DarlOhneTilgung,1)=1,0,IF(AND(INDEX(DarlTilgStart,1)&gt;0,$E475=INDEX(DarlTilgStart,1)),$J475*($H475+INDEX(DarlTilgung,1))/100/12,IF(AND($G475=0,$G474=1),MAX($K474,$J475*($H475+1)/100/12),$K474))))</f>
      </c>
      <c r="L475" s="43">
        <f>IF($I475=0,0,$J475*$H475/100/12)</f>
      </c>
      <c r="M475" s="43">
        <f>IF($I475=0,0,IF(OR(INDEX(DarlOhneTilgung,1)=1,AND(INDEX(DarlTilgStart,1)&gt;0,$E475&lt;INDEX(DarlTilgStart,1))),0,MIN(MAX(0,$K475-$L475),$J475)))</f>
      </c>
      <c r="N475" s="43">
        <f>IF($I475=0,0,MIN(SUMIFS(SondBetrag,SondDarl,1,SondDatum,"&gt;="&amp;$E475,SondDatum,"&lt;="&amp;EOMONTH($E475,0)),$J475-$M475))</f>
      </c>
      <c r="O475" s="43">
        <f>IF($I475=0,0,INDEX(DarlErsatzRate,1))</f>
      </c>
      <c r="P475" s="43">
        <f>IF($I475=0,0,$Q474*INDEX(DarlErsatzZins,1))</f>
      </c>
      <c r="Q475" s="43">
        <f>IF($I475=0,0,$Q474+$P475+$O475)</f>
      </c>
      <c r="R475" s="43">
        <f>IF($I475=0,0,$J475-$M475-$N475)</f>
      </c>
    </row>
    <row r="476">
      <c r="A476"/>
      <c r="B476">
        <v>1</v>
      </c>
      <c r="C476" s="43">
        <f>INDEX(DarlObj,1)</f>
      </c>
      <c r="D476">
        <v>473</v>
      </c>
      <c r="E476" s="51">
        <f>IF(INDEX(DarlBelegt,1)=0,0,EOMONTH(INDEX(DarlAuszahlung,1),472)+1)</f>
      </c>
      <c r="F476" s="43">
        <f>IF($E476=0,0,YEAR($E476))</f>
      </c>
      <c r="G476" s="43">
        <f>IF(INDEX(DarlBindung,1)="",1,IF($E476&lt;=INDEX(DarlBindung,1),1,0))</f>
      </c>
      <c r="H476" s="43">
        <f>IF($G476=1,INDEX(DarlSollzins,1),INDEX(DarlAnschluss,1))</f>
      </c>
      <c r="I476" s="43">
        <f>IF(INDEX(DarlBelegt,1)=0,0,IF(INDEX(DarlOhneTilgung,1)=1,IF(INDEX(DarlBindung,1)="",1,$G476),IF($J476&gt;0.005,1,0)))</f>
      </c>
      <c r="J476" s="43">
        <f>IF($I475=0,0,$R475)</f>
      </c>
      <c r="K476" s="43">
        <f>IF($I476=0,0,IF(INDEX(DarlOhneTilgung,1)=1,0,IF(AND(INDEX(DarlTilgStart,1)&gt;0,$E476=INDEX(DarlTilgStart,1)),$J476*($H476+INDEX(DarlTilgung,1))/100/12,IF(AND($G476=0,$G475=1),MAX($K475,$J476*($H476+1)/100/12),$K475))))</f>
      </c>
      <c r="L476" s="43">
        <f>IF($I476=0,0,$J476*$H476/100/12)</f>
      </c>
      <c r="M476" s="43">
        <f>IF($I476=0,0,IF(OR(INDEX(DarlOhneTilgung,1)=1,AND(INDEX(DarlTilgStart,1)&gt;0,$E476&lt;INDEX(DarlTilgStart,1))),0,MIN(MAX(0,$K476-$L476),$J476)))</f>
      </c>
      <c r="N476" s="43">
        <f>IF($I476=0,0,MIN(SUMIFS(SondBetrag,SondDarl,1,SondDatum,"&gt;="&amp;$E476,SondDatum,"&lt;="&amp;EOMONTH($E476,0)),$J476-$M476))</f>
      </c>
      <c r="O476" s="43">
        <f>IF($I476=0,0,INDEX(DarlErsatzRate,1))</f>
      </c>
      <c r="P476" s="43">
        <f>IF($I476=0,0,$Q475*INDEX(DarlErsatzZins,1))</f>
      </c>
      <c r="Q476" s="43">
        <f>IF($I476=0,0,$Q475+$P476+$O476)</f>
      </c>
      <c r="R476" s="43">
        <f>IF($I476=0,0,$J476-$M476-$N476)</f>
      </c>
    </row>
    <row r="477">
      <c r="A477"/>
      <c r="B477">
        <v>1</v>
      </c>
      <c r="C477" s="43">
        <f>INDEX(DarlObj,1)</f>
      </c>
      <c r="D477">
        <v>474</v>
      </c>
      <c r="E477" s="51">
        <f>IF(INDEX(DarlBelegt,1)=0,0,EOMONTH(INDEX(DarlAuszahlung,1),473)+1)</f>
      </c>
      <c r="F477" s="43">
        <f>IF($E477=0,0,YEAR($E477))</f>
      </c>
      <c r="G477" s="43">
        <f>IF(INDEX(DarlBindung,1)="",1,IF($E477&lt;=INDEX(DarlBindung,1),1,0))</f>
      </c>
      <c r="H477" s="43">
        <f>IF($G477=1,INDEX(DarlSollzins,1),INDEX(DarlAnschluss,1))</f>
      </c>
      <c r="I477" s="43">
        <f>IF(INDEX(DarlBelegt,1)=0,0,IF(INDEX(DarlOhneTilgung,1)=1,IF(INDEX(DarlBindung,1)="",1,$G477),IF($J477&gt;0.005,1,0)))</f>
      </c>
      <c r="J477" s="43">
        <f>IF($I476=0,0,$R476)</f>
      </c>
      <c r="K477" s="43">
        <f>IF($I477=0,0,IF(INDEX(DarlOhneTilgung,1)=1,0,IF(AND(INDEX(DarlTilgStart,1)&gt;0,$E477=INDEX(DarlTilgStart,1)),$J477*($H477+INDEX(DarlTilgung,1))/100/12,IF(AND($G477=0,$G476=1),MAX($K476,$J477*($H477+1)/100/12),$K476))))</f>
      </c>
      <c r="L477" s="43">
        <f>IF($I477=0,0,$J477*$H477/100/12)</f>
      </c>
      <c r="M477" s="43">
        <f>IF($I477=0,0,IF(OR(INDEX(DarlOhneTilgung,1)=1,AND(INDEX(DarlTilgStart,1)&gt;0,$E477&lt;INDEX(DarlTilgStart,1))),0,MIN(MAX(0,$K477-$L477),$J477)))</f>
      </c>
      <c r="N477" s="43">
        <f>IF($I477=0,0,MIN(SUMIFS(SondBetrag,SondDarl,1,SondDatum,"&gt;="&amp;$E477,SondDatum,"&lt;="&amp;EOMONTH($E477,0)),$J477-$M477))</f>
      </c>
      <c r="O477" s="43">
        <f>IF($I477=0,0,INDEX(DarlErsatzRate,1))</f>
      </c>
      <c r="P477" s="43">
        <f>IF($I477=0,0,$Q476*INDEX(DarlErsatzZins,1))</f>
      </c>
      <c r="Q477" s="43">
        <f>IF($I477=0,0,$Q476+$P477+$O477)</f>
      </c>
      <c r="R477" s="43">
        <f>IF($I477=0,0,$J477-$M477-$N477)</f>
      </c>
    </row>
    <row r="478">
      <c r="A478"/>
      <c r="B478">
        <v>1</v>
      </c>
      <c r="C478" s="43">
        <f>INDEX(DarlObj,1)</f>
      </c>
      <c r="D478">
        <v>475</v>
      </c>
      <c r="E478" s="51">
        <f>IF(INDEX(DarlBelegt,1)=0,0,EOMONTH(INDEX(DarlAuszahlung,1),474)+1)</f>
      </c>
      <c r="F478" s="43">
        <f>IF($E478=0,0,YEAR($E478))</f>
      </c>
      <c r="G478" s="43">
        <f>IF(INDEX(DarlBindung,1)="",1,IF($E478&lt;=INDEX(DarlBindung,1),1,0))</f>
      </c>
      <c r="H478" s="43">
        <f>IF($G478=1,INDEX(DarlSollzins,1),INDEX(DarlAnschluss,1))</f>
      </c>
      <c r="I478" s="43">
        <f>IF(INDEX(DarlBelegt,1)=0,0,IF(INDEX(DarlOhneTilgung,1)=1,IF(INDEX(DarlBindung,1)="",1,$G478),IF($J478&gt;0.005,1,0)))</f>
      </c>
      <c r="J478" s="43">
        <f>IF($I477=0,0,$R477)</f>
      </c>
      <c r="K478" s="43">
        <f>IF($I478=0,0,IF(INDEX(DarlOhneTilgung,1)=1,0,IF(AND(INDEX(DarlTilgStart,1)&gt;0,$E478=INDEX(DarlTilgStart,1)),$J478*($H478+INDEX(DarlTilgung,1))/100/12,IF(AND($G478=0,$G477=1),MAX($K477,$J478*($H478+1)/100/12),$K477))))</f>
      </c>
      <c r="L478" s="43">
        <f>IF($I478=0,0,$J478*$H478/100/12)</f>
      </c>
      <c r="M478" s="43">
        <f>IF($I478=0,0,IF(OR(INDEX(DarlOhneTilgung,1)=1,AND(INDEX(DarlTilgStart,1)&gt;0,$E478&lt;INDEX(DarlTilgStart,1))),0,MIN(MAX(0,$K478-$L478),$J478)))</f>
      </c>
      <c r="N478" s="43">
        <f>IF($I478=0,0,MIN(SUMIFS(SondBetrag,SondDarl,1,SondDatum,"&gt;="&amp;$E478,SondDatum,"&lt;="&amp;EOMONTH($E478,0)),$J478-$M478))</f>
      </c>
      <c r="O478" s="43">
        <f>IF($I478=0,0,INDEX(DarlErsatzRate,1))</f>
      </c>
      <c r="P478" s="43">
        <f>IF($I478=0,0,$Q477*INDEX(DarlErsatzZins,1))</f>
      </c>
      <c r="Q478" s="43">
        <f>IF($I478=0,0,$Q477+$P478+$O478)</f>
      </c>
      <c r="R478" s="43">
        <f>IF($I478=0,0,$J478-$M478-$N478)</f>
      </c>
    </row>
    <row r="479">
      <c r="A479"/>
      <c r="B479">
        <v>1</v>
      </c>
      <c r="C479" s="43">
        <f>INDEX(DarlObj,1)</f>
      </c>
      <c r="D479">
        <v>476</v>
      </c>
      <c r="E479" s="51">
        <f>IF(INDEX(DarlBelegt,1)=0,0,EOMONTH(INDEX(DarlAuszahlung,1),475)+1)</f>
      </c>
      <c r="F479" s="43">
        <f>IF($E479=0,0,YEAR($E479))</f>
      </c>
      <c r="G479" s="43">
        <f>IF(INDEX(DarlBindung,1)="",1,IF($E479&lt;=INDEX(DarlBindung,1),1,0))</f>
      </c>
      <c r="H479" s="43">
        <f>IF($G479=1,INDEX(DarlSollzins,1),INDEX(DarlAnschluss,1))</f>
      </c>
      <c r="I479" s="43">
        <f>IF(INDEX(DarlBelegt,1)=0,0,IF(INDEX(DarlOhneTilgung,1)=1,IF(INDEX(DarlBindung,1)="",1,$G479),IF($J479&gt;0.005,1,0)))</f>
      </c>
      <c r="J479" s="43">
        <f>IF($I478=0,0,$R478)</f>
      </c>
      <c r="K479" s="43">
        <f>IF($I479=0,0,IF(INDEX(DarlOhneTilgung,1)=1,0,IF(AND(INDEX(DarlTilgStart,1)&gt;0,$E479=INDEX(DarlTilgStart,1)),$J479*($H479+INDEX(DarlTilgung,1))/100/12,IF(AND($G479=0,$G478=1),MAX($K478,$J479*($H479+1)/100/12),$K478))))</f>
      </c>
      <c r="L479" s="43">
        <f>IF($I479=0,0,$J479*$H479/100/12)</f>
      </c>
      <c r="M479" s="43">
        <f>IF($I479=0,0,IF(OR(INDEX(DarlOhneTilgung,1)=1,AND(INDEX(DarlTilgStart,1)&gt;0,$E479&lt;INDEX(DarlTilgStart,1))),0,MIN(MAX(0,$K479-$L479),$J479)))</f>
      </c>
      <c r="N479" s="43">
        <f>IF($I479=0,0,MIN(SUMIFS(SondBetrag,SondDarl,1,SondDatum,"&gt;="&amp;$E479,SondDatum,"&lt;="&amp;EOMONTH($E479,0)),$J479-$M479))</f>
      </c>
      <c r="O479" s="43">
        <f>IF($I479=0,0,INDEX(DarlErsatzRate,1))</f>
      </c>
      <c r="P479" s="43">
        <f>IF($I479=0,0,$Q478*INDEX(DarlErsatzZins,1))</f>
      </c>
      <c r="Q479" s="43">
        <f>IF($I479=0,0,$Q478+$P479+$O479)</f>
      </c>
      <c r="R479" s="43">
        <f>IF($I479=0,0,$J479-$M479-$N479)</f>
      </c>
    </row>
    <row r="480">
      <c r="A480"/>
      <c r="B480">
        <v>1</v>
      </c>
      <c r="C480" s="43">
        <f>INDEX(DarlObj,1)</f>
      </c>
      <c r="D480">
        <v>477</v>
      </c>
      <c r="E480" s="51">
        <f>IF(INDEX(DarlBelegt,1)=0,0,EOMONTH(INDEX(DarlAuszahlung,1),476)+1)</f>
      </c>
      <c r="F480" s="43">
        <f>IF($E480=0,0,YEAR($E480))</f>
      </c>
      <c r="G480" s="43">
        <f>IF(INDEX(DarlBindung,1)="",1,IF($E480&lt;=INDEX(DarlBindung,1),1,0))</f>
      </c>
      <c r="H480" s="43">
        <f>IF($G480=1,INDEX(DarlSollzins,1),INDEX(DarlAnschluss,1))</f>
      </c>
      <c r="I480" s="43">
        <f>IF(INDEX(DarlBelegt,1)=0,0,IF(INDEX(DarlOhneTilgung,1)=1,IF(INDEX(DarlBindung,1)="",1,$G480),IF($J480&gt;0.005,1,0)))</f>
      </c>
      <c r="J480" s="43">
        <f>IF($I479=0,0,$R479)</f>
      </c>
      <c r="K480" s="43">
        <f>IF($I480=0,0,IF(INDEX(DarlOhneTilgung,1)=1,0,IF(AND(INDEX(DarlTilgStart,1)&gt;0,$E480=INDEX(DarlTilgStart,1)),$J480*($H480+INDEX(DarlTilgung,1))/100/12,IF(AND($G480=0,$G479=1),MAX($K479,$J480*($H480+1)/100/12),$K479))))</f>
      </c>
      <c r="L480" s="43">
        <f>IF($I480=0,0,$J480*$H480/100/12)</f>
      </c>
      <c r="M480" s="43">
        <f>IF($I480=0,0,IF(OR(INDEX(DarlOhneTilgung,1)=1,AND(INDEX(DarlTilgStart,1)&gt;0,$E480&lt;INDEX(DarlTilgStart,1))),0,MIN(MAX(0,$K480-$L480),$J480)))</f>
      </c>
      <c r="N480" s="43">
        <f>IF($I480=0,0,MIN(SUMIFS(SondBetrag,SondDarl,1,SondDatum,"&gt;="&amp;$E480,SondDatum,"&lt;="&amp;EOMONTH($E480,0)),$J480-$M480))</f>
      </c>
      <c r="O480" s="43">
        <f>IF($I480=0,0,INDEX(DarlErsatzRate,1))</f>
      </c>
      <c r="P480" s="43">
        <f>IF($I480=0,0,$Q479*INDEX(DarlErsatzZins,1))</f>
      </c>
      <c r="Q480" s="43">
        <f>IF($I480=0,0,$Q479+$P480+$O480)</f>
      </c>
      <c r="R480" s="43">
        <f>IF($I480=0,0,$J480-$M480-$N480)</f>
      </c>
    </row>
    <row r="481">
      <c r="A481"/>
      <c r="B481">
        <v>1</v>
      </c>
      <c r="C481" s="43">
        <f>INDEX(DarlObj,1)</f>
      </c>
      <c r="D481">
        <v>478</v>
      </c>
      <c r="E481" s="51">
        <f>IF(INDEX(DarlBelegt,1)=0,0,EOMONTH(INDEX(DarlAuszahlung,1),477)+1)</f>
      </c>
      <c r="F481" s="43">
        <f>IF($E481=0,0,YEAR($E481))</f>
      </c>
      <c r="G481" s="43">
        <f>IF(INDEX(DarlBindung,1)="",1,IF($E481&lt;=INDEX(DarlBindung,1),1,0))</f>
      </c>
      <c r="H481" s="43">
        <f>IF($G481=1,INDEX(DarlSollzins,1),INDEX(DarlAnschluss,1))</f>
      </c>
      <c r="I481" s="43">
        <f>IF(INDEX(DarlBelegt,1)=0,0,IF(INDEX(DarlOhneTilgung,1)=1,IF(INDEX(DarlBindung,1)="",1,$G481),IF($J481&gt;0.005,1,0)))</f>
      </c>
      <c r="J481" s="43">
        <f>IF($I480=0,0,$R480)</f>
      </c>
      <c r="K481" s="43">
        <f>IF($I481=0,0,IF(INDEX(DarlOhneTilgung,1)=1,0,IF(AND(INDEX(DarlTilgStart,1)&gt;0,$E481=INDEX(DarlTilgStart,1)),$J481*($H481+INDEX(DarlTilgung,1))/100/12,IF(AND($G481=0,$G480=1),MAX($K480,$J481*($H481+1)/100/12),$K480))))</f>
      </c>
      <c r="L481" s="43">
        <f>IF($I481=0,0,$J481*$H481/100/12)</f>
      </c>
      <c r="M481" s="43">
        <f>IF($I481=0,0,IF(OR(INDEX(DarlOhneTilgung,1)=1,AND(INDEX(DarlTilgStart,1)&gt;0,$E481&lt;INDEX(DarlTilgStart,1))),0,MIN(MAX(0,$K481-$L481),$J481)))</f>
      </c>
      <c r="N481" s="43">
        <f>IF($I481=0,0,MIN(SUMIFS(SondBetrag,SondDarl,1,SondDatum,"&gt;="&amp;$E481,SondDatum,"&lt;="&amp;EOMONTH($E481,0)),$J481-$M481))</f>
      </c>
      <c r="O481" s="43">
        <f>IF($I481=0,0,INDEX(DarlErsatzRate,1))</f>
      </c>
      <c r="P481" s="43">
        <f>IF($I481=0,0,$Q480*INDEX(DarlErsatzZins,1))</f>
      </c>
      <c r="Q481" s="43">
        <f>IF($I481=0,0,$Q480+$P481+$O481)</f>
      </c>
      <c r="R481" s="43">
        <f>IF($I481=0,0,$J481-$M481-$N481)</f>
      </c>
    </row>
    <row r="482">
      <c r="A482"/>
      <c r="B482">
        <v>1</v>
      </c>
      <c r="C482" s="43">
        <f>INDEX(DarlObj,1)</f>
      </c>
      <c r="D482">
        <v>479</v>
      </c>
      <c r="E482" s="51">
        <f>IF(INDEX(DarlBelegt,1)=0,0,EOMONTH(INDEX(DarlAuszahlung,1),478)+1)</f>
      </c>
      <c r="F482" s="43">
        <f>IF($E482=0,0,YEAR($E482))</f>
      </c>
      <c r="G482" s="43">
        <f>IF(INDEX(DarlBindung,1)="",1,IF($E482&lt;=INDEX(DarlBindung,1),1,0))</f>
      </c>
      <c r="H482" s="43">
        <f>IF($G482=1,INDEX(DarlSollzins,1),INDEX(DarlAnschluss,1))</f>
      </c>
      <c r="I482" s="43">
        <f>IF(INDEX(DarlBelegt,1)=0,0,IF(INDEX(DarlOhneTilgung,1)=1,IF(INDEX(DarlBindung,1)="",1,$G482),IF($J482&gt;0.005,1,0)))</f>
      </c>
      <c r="J482" s="43">
        <f>IF($I481=0,0,$R481)</f>
      </c>
      <c r="K482" s="43">
        <f>IF($I482=0,0,IF(INDEX(DarlOhneTilgung,1)=1,0,IF(AND(INDEX(DarlTilgStart,1)&gt;0,$E482=INDEX(DarlTilgStart,1)),$J482*($H482+INDEX(DarlTilgung,1))/100/12,IF(AND($G482=0,$G481=1),MAX($K481,$J482*($H482+1)/100/12),$K481))))</f>
      </c>
      <c r="L482" s="43">
        <f>IF($I482=0,0,$J482*$H482/100/12)</f>
      </c>
      <c r="M482" s="43">
        <f>IF($I482=0,0,IF(OR(INDEX(DarlOhneTilgung,1)=1,AND(INDEX(DarlTilgStart,1)&gt;0,$E482&lt;INDEX(DarlTilgStart,1))),0,MIN(MAX(0,$K482-$L482),$J482)))</f>
      </c>
      <c r="N482" s="43">
        <f>IF($I482=0,0,MIN(SUMIFS(SondBetrag,SondDarl,1,SondDatum,"&gt;="&amp;$E482,SondDatum,"&lt;="&amp;EOMONTH($E482,0)),$J482-$M482))</f>
      </c>
      <c r="O482" s="43">
        <f>IF($I482=0,0,INDEX(DarlErsatzRate,1))</f>
      </c>
      <c r="P482" s="43">
        <f>IF($I482=0,0,$Q481*INDEX(DarlErsatzZins,1))</f>
      </c>
      <c r="Q482" s="43">
        <f>IF($I482=0,0,$Q481+$P482+$O482)</f>
      </c>
      <c r="R482" s="43">
        <f>IF($I482=0,0,$J482-$M482-$N482)</f>
      </c>
    </row>
    <row r="483">
      <c r="A483"/>
      <c r="B483">
        <v>1</v>
      </c>
      <c r="C483" s="43">
        <f>INDEX(DarlObj,1)</f>
      </c>
      <c r="D483">
        <v>480</v>
      </c>
      <c r="E483" s="51">
        <f>IF(INDEX(DarlBelegt,1)=0,0,EOMONTH(INDEX(DarlAuszahlung,1),479)+1)</f>
      </c>
      <c r="F483" s="43">
        <f>IF($E483=0,0,YEAR($E483))</f>
      </c>
      <c r="G483" s="43">
        <f>IF(INDEX(DarlBindung,1)="",1,IF($E483&lt;=INDEX(DarlBindung,1),1,0))</f>
      </c>
      <c r="H483" s="43">
        <f>IF($G483=1,INDEX(DarlSollzins,1),INDEX(DarlAnschluss,1))</f>
      </c>
      <c r="I483" s="43">
        <f>IF(INDEX(DarlBelegt,1)=0,0,IF(INDEX(DarlOhneTilgung,1)=1,IF(INDEX(DarlBindung,1)="",1,$G483),IF($J483&gt;0.005,1,0)))</f>
      </c>
      <c r="J483" s="43">
        <f>IF($I482=0,0,$R482)</f>
      </c>
      <c r="K483" s="43">
        <f>IF($I483=0,0,IF(INDEX(DarlOhneTilgung,1)=1,0,IF(AND(INDEX(DarlTilgStart,1)&gt;0,$E483=INDEX(DarlTilgStart,1)),$J483*($H483+INDEX(DarlTilgung,1))/100/12,IF(AND($G483=0,$G482=1),MAX($K482,$J483*($H483+1)/100/12),$K482))))</f>
      </c>
      <c r="L483" s="43">
        <f>IF($I483=0,0,$J483*$H483/100/12)</f>
      </c>
      <c r="M483" s="43">
        <f>IF($I483=0,0,IF(OR(INDEX(DarlOhneTilgung,1)=1,AND(INDEX(DarlTilgStart,1)&gt;0,$E483&lt;INDEX(DarlTilgStart,1))),0,MIN(MAX(0,$K483-$L483),$J483)))</f>
      </c>
      <c r="N483" s="43">
        <f>IF($I483=0,0,MIN(SUMIFS(SondBetrag,SondDarl,1,SondDatum,"&gt;="&amp;$E483,SondDatum,"&lt;="&amp;EOMONTH($E483,0)),$J483-$M483))</f>
      </c>
      <c r="O483" s="43">
        <f>IF($I483=0,0,INDEX(DarlErsatzRate,1))</f>
      </c>
      <c r="P483" s="43">
        <f>IF($I483=0,0,$Q482*INDEX(DarlErsatzZins,1))</f>
      </c>
      <c r="Q483" s="43">
        <f>IF($I483=0,0,$Q482+$P483+$O483)</f>
      </c>
      <c r="R483" s="43">
        <f>IF($I483=0,0,$J483-$M483-$N483)</f>
      </c>
    </row>
    <row r="484">
      <c r="A484"/>
      <c r="B484">
        <v>2</v>
      </c>
      <c r="C484" s="43">
        <f>INDEX(DarlObj,2)</f>
      </c>
      <c r="D484">
        <v>1</v>
      </c>
      <c r="E484" s="51">
        <f>IF(INDEX(DarlBelegt,2)=0,0,EOMONTH(INDEX(DarlAuszahlung,2),0)+1)</f>
      </c>
      <c r="F484" s="43">
        <f>IF($E484=0,0,YEAR($E484))</f>
      </c>
      <c r="G484" s="43">
        <f>IF(INDEX(DarlBindung,2)="",1,IF($E484&lt;=INDEX(DarlBindung,2),1,0))</f>
      </c>
      <c r="H484" s="43">
        <f>IF($G484=1,INDEX(DarlSollzins,2),INDEX(DarlAnschluss,2))</f>
      </c>
      <c r="I484" s="43">
        <f>IF(INDEX(DarlBelegt,2)=0,0,IF(INDEX(DarlOhneTilgung,2)=1,IF(INDEX(DarlBindung,2)="",1,$G484),IF($J484&gt;0.005,1,0)))</f>
      </c>
      <c r="J484" s="43">
        <f>IF(INDEX(DarlBelegt,2)=0,0,INDEX(DarlBetrag,2))</f>
      </c>
      <c r="K484" s="43">
        <f>IF($I484=0,0,IF(INDEX(DarlOhneTilgung,2)=1,0,INDEX(DarlRate1,2)))</f>
      </c>
      <c r="L484" s="43">
        <f>IF($I484=0,0,$J484*$H484/100/12)</f>
      </c>
      <c r="M484" s="43">
        <f>IF($I484=0,0,IF(OR(INDEX(DarlOhneTilgung,2)=1,AND(INDEX(DarlTilgStart,2)&gt;0,$E484&lt;INDEX(DarlTilgStart,2))),0,MIN(MAX(0,$K484-$L484),$J484)))</f>
      </c>
      <c r="N484" s="43">
        <f>IF($I484=0,0,MIN(SUMIFS(SondBetrag,SondDarl,2,SondDatum,"&gt;="&amp;$E484,SondDatum,"&lt;="&amp;EOMONTH($E484,0)),$J484-$M484))</f>
      </c>
      <c r="O484" s="43">
        <f>IF($I484=0,0,INDEX(DarlErsatzRate,2))</f>
      </c>
      <c r="P484" s="43">
        <f>0</f>
      </c>
      <c r="Q484" s="43">
        <f>IF($I484=0,0,$P484+$O484)</f>
      </c>
      <c r="R484" s="43">
        <f>IF($I484=0,0,$J484-$M484-$N484)</f>
      </c>
    </row>
    <row r="485">
      <c r="A485"/>
      <c r="B485">
        <v>2</v>
      </c>
      <c r="C485" s="43">
        <f>INDEX(DarlObj,2)</f>
      </c>
      <c r="D485">
        <v>2</v>
      </c>
      <c r="E485" s="51">
        <f>IF(INDEX(DarlBelegt,2)=0,0,EOMONTH(INDEX(DarlAuszahlung,2),1)+1)</f>
      </c>
      <c r="F485" s="43">
        <f>IF($E485=0,0,YEAR($E485))</f>
      </c>
      <c r="G485" s="43">
        <f>IF(INDEX(DarlBindung,2)="",1,IF($E485&lt;=INDEX(DarlBindung,2),1,0))</f>
      </c>
      <c r="H485" s="43">
        <f>IF($G485=1,INDEX(DarlSollzins,2),INDEX(DarlAnschluss,2))</f>
      </c>
      <c r="I485" s="43">
        <f>IF(INDEX(DarlBelegt,2)=0,0,IF(INDEX(DarlOhneTilgung,2)=1,IF(INDEX(DarlBindung,2)="",1,$G485),IF($J485&gt;0.005,1,0)))</f>
      </c>
      <c r="J485" s="43">
        <f>IF($I484=0,0,$R484)</f>
      </c>
      <c r="K485" s="43">
        <f>IF($I485=0,0,IF(INDEX(DarlOhneTilgung,2)=1,0,IF(AND(INDEX(DarlTilgStart,2)&gt;0,$E485=INDEX(DarlTilgStart,2)),$J485*($H485+INDEX(DarlTilgung,2))/100/12,IF(AND($G485=0,$G484=1),MAX($K484,$J485*($H485+1)/100/12),$K484))))</f>
      </c>
      <c r="L485" s="43">
        <f>IF($I485=0,0,$J485*$H485/100/12)</f>
      </c>
      <c r="M485" s="43">
        <f>IF($I485=0,0,IF(OR(INDEX(DarlOhneTilgung,2)=1,AND(INDEX(DarlTilgStart,2)&gt;0,$E485&lt;INDEX(DarlTilgStart,2))),0,MIN(MAX(0,$K485-$L485),$J485)))</f>
      </c>
      <c r="N485" s="43">
        <f>IF($I485=0,0,MIN(SUMIFS(SondBetrag,SondDarl,2,SondDatum,"&gt;="&amp;$E485,SondDatum,"&lt;="&amp;EOMONTH($E485,0)),$J485-$M485))</f>
      </c>
      <c r="O485" s="43">
        <f>IF($I485=0,0,INDEX(DarlErsatzRate,2))</f>
      </c>
      <c r="P485" s="43">
        <f>IF($I485=0,0,$Q484*INDEX(DarlErsatzZins,2))</f>
      </c>
      <c r="Q485" s="43">
        <f>IF($I485=0,0,$Q484+$P485+$O485)</f>
      </c>
      <c r="R485" s="43">
        <f>IF($I485=0,0,$J485-$M485-$N485)</f>
      </c>
    </row>
    <row r="486">
      <c r="A486"/>
      <c r="B486">
        <v>2</v>
      </c>
      <c r="C486" s="43">
        <f>INDEX(DarlObj,2)</f>
      </c>
      <c r="D486">
        <v>3</v>
      </c>
      <c r="E486" s="51">
        <f>IF(INDEX(DarlBelegt,2)=0,0,EOMONTH(INDEX(DarlAuszahlung,2),2)+1)</f>
      </c>
      <c r="F486" s="43">
        <f>IF($E486=0,0,YEAR($E486))</f>
      </c>
      <c r="G486" s="43">
        <f>IF(INDEX(DarlBindung,2)="",1,IF($E486&lt;=INDEX(DarlBindung,2),1,0))</f>
      </c>
      <c r="H486" s="43">
        <f>IF($G486=1,INDEX(DarlSollzins,2),INDEX(DarlAnschluss,2))</f>
      </c>
      <c r="I486" s="43">
        <f>IF(INDEX(DarlBelegt,2)=0,0,IF(INDEX(DarlOhneTilgung,2)=1,IF(INDEX(DarlBindung,2)="",1,$G486),IF($J486&gt;0.005,1,0)))</f>
      </c>
      <c r="J486" s="43">
        <f>IF($I485=0,0,$R485)</f>
      </c>
      <c r="K486" s="43">
        <f>IF($I486=0,0,IF(INDEX(DarlOhneTilgung,2)=1,0,IF(AND(INDEX(DarlTilgStart,2)&gt;0,$E486=INDEX(DarlTilgStart,2)),$J486*($H486+INDEX(DarlTilgung,2))/100/12,IF(AND($G486=0,$G485=1),MAX($K485,$J486*($H486+1)/100/12),$K485))))</f>
      </c>
      <c r="L486" s="43">
        <f>IF($I486=0,0,$J486*$H486/100/12)</f>
      </c>
      <c r="M486" s="43">
        <f>IF($I486=0,0,IF(OR(INDEX(DarlOhneTilgung,2)=1,AND(INDEX(DarlTilgStart,2)&gt;0,$E486&lt;INDEX(DarlTilgStart,2))),0,MIN(MAX(0,$K486-$L486),$J486)))</f>
      </c>
      <c r="N486" s="43">
        <f>IF($I486=0,0,MIN(SUMIFS(SondBetrag,SondDarl,2,SondDatum,"&gt;="&amp;$E486,SondDatum,"&lt;="&amp;EOMONTH($E486,0)),$J486-$M486))</f>
      </c>
      <c r="O486" s="43">
        <f>IF($I486=0,0,INDEX(DarlErsatzRate,2))</f>
      </c>
      <c r="P486" s="43">
        <f>IF($I486=0,0,$Q485*INDEX(DarlErsatzZins,2))</f>
      </c>
      <c r="Q486" s="43">
        <f>IF($I486=0,0,$Q485+$P486+$O486)</f>
      </c>
      <c r="R486" s="43">
        <f>IF($I486=0,0,$J486-$M486-$N486)</f>
      </c>
    </row>
    <row r="487">
      <c r="A487"/>
      <c r="B487">
        <v>2</v>
      </c>
      <c r="C487" s="43">
        <f>INDEX(DarlObj,2)</f>
      </c>
      <c r="D487">
        <v>4</v>
      </c>
      <c r="E487" s="51">
        <f>IF(INDEX(DarlBelegt,2)=0,0,EOMONTH(INDEX(DarlAuszahlung,2),3)+1)</f>
      </c>
      <c r="F487" s="43">
        <f>IF($E487=0,0,YEAR($E487))</f>
      </c>
      <c r="G487" s="43">
        <f>IF(INDEX(DarlBindung,2)="",1,IF($E487&lt;=INDEX(DarlBindung,2),1,0))</f>
      </c>
      <c r="H487" s="43">
        <f>IF($G487=1,INDEX(DarlSollzins,2),INDEX(DarlAnschluss,2))</f>
      </c>
      <c r="I487" s="43">
        <f>IF(INDEX(DarlBelegt,2)=0,0,IF(INDEX(DarlOhneTilgung,2)=1,IF(INDEX(DarlBindung,2)="",1,$G487),IF($J487&gt;0.005,1,0)))</f>
      </c>
      <c r="J487" s="43">
        <f>IF($I486=0,0,$R486)</f>
      </c>
      <c r="K487" s="43">
        <f>IF($I487=0,0,IF(INDEX(DarlOhneTilgung,2)=1,0,IF(AND(INDEX(DarlTilgStart,2)&gt;0,$E487=INDEX(DarlTilgStart,2)),$J487*($H487+INDEX(DarlTilgung,2))/100/12,IF(AND($G487=0,$G486=1),MAX($K486,$J487*($H487+1)/100/12),$K486))))</f>
      </c>
      <c r="L487" s="43">
        <f>IF($I487=0,0,$J487*$H487/100/12)</f>
      </c>
      <c r="M487" s="43">
        <f>IF($I487=0,0,IF(OR(INDEX(DarlOhneTilgung,2)=1,AND(INDEX(DarlTilgStart,2)&gt;0,$E487&lt;INDEX(DarlTilgStart,2))),0,MIN(MAX(0,$K487-$L487),$J487)))</f>
      </c>
      <c r="N487" s="43">
        <f>IF($I487=0,0,MIN(SUMIFS(SondBetrag,SondDarl,2,SondDatum,"&gt;="&amp;$E487,SondDatum,"&lt;="&amp;EOMONTH($E487,0)),$J487-$M487))</f>
      </c>
      <c r="O487" s="43">
        <f>IF($I487=0,0,INDEX(DarlErsatzRate,2))</f>
      </c>
      <c r="P487" s="43">
        <f>IF($I487=0,0,$Q486*INDEX(DarlErsatzZins,2))</f>
      </c>
      <c r="Q487" s="43">
        <f>IF($I487=0,0,$Q486+$P487+$O487)</f>
      </c>
      <c r="R487" s="43">
        <f>IF($I487=0,0,$J487-$M487-$N487)</f>
      </c>
    </row>
    <row r="488">
      <c r="A488"/>
      <c r="B488">
        <v>2</v>
      </c>
      <c r="C488" s="43">
        <f>INDEX(DarlObj,2)</f>
      </c>
      <c r="D488">
        <v>5</v>
      </c>
      <c r="E488" s="51">
        <f>IF(INDEX(DarlBelegt,2)=0,0,EOMONTH(INDEX(DarlAuszahlung,2),4)+1)</f>
      </c>
      <c r="F488" s="43">
        <f>IF($E488=0,0,YEAR($E488))</f>
      </c>
      <c r="G488" s="43">
        <f>IF(INDEX(DarlBindung,2)="",1,IF($E488&lt;=INDEX(DarlBindung,2),1,0))</f>
      </c>
      <c r="H488" s="43">
        <f>IF($G488=1,INDEX(DarlSollzins,2),INDEX(DarlAnschluss,2))</f>
      </c>
      <c r="I488" s="43">
        <f>IF(INDEX(DarlBelegt,2)=0,0,IF(INDEX(DarlOhneTilgung,2)=1,IF(INDEX(DarlBindung,2)="",1,$G488),IF($J488&gt;0.005,1,0)))</f>
      </c>
      <c r="J488" s="43">
        <f>IF($I487=0,0,$R487)</f>
      </c>
      <c r="K488" s="43">
        <f>IF($I488=0,0,IF(INDEX(DarlOhneTilgung,2)=1,0,IF(AND(INDEX(DarlTilgStart,2)&gt;0,$E488=INDEX(DarlTilgStart,2)),$J488*($H488+INDEX(DarlTilgung,2))/100/12,IF(AND($G488=0,$G487=1),MAX($K487,$J488*($H488+1)/100/12),$K487))))</f>
      </c>
      <c r="L488" s="43">
        <f>IF($I488=0,0,$J488*$H488/100/12)</f>
      </c>
      <c r="M488" s="43">
        <f>IF($I488=0,0,IF(OR(INDEX(DarlOhneTilgung,2)=1,AND(INDEX(DarlTilgStart,2)&gt;0,$E488&lt;INDEX(DarlTilgStart,2))),0,MIN(MAX(0,$K488-$L488),$J488)))</f>
      </c>
      <c r="N488" s="43">
        <f>IF($I488=0,0,MIN(SUMIFS(SondBetrag,SondDarl,2,SondDatum,"&gt;="&amp;$E488,SondDatum,"&lt;="&amp;EOMONTH($E488,0)),$J488-$M488))</f>
      </c>
      <c r="O488" s="43">
        <f>IF($I488=0,0,INDEX(DarlErsatzRate,2))</f>
      </c>
      <c r="P488" s="43">
        <f>IF($I488=0,0,$Q487*INDEX(DarlErsatzZins,2))</f>
      </c>
      <c r="Q488" s="43">
        <f>IF($I488=0,0,$Q487+$P488+$O488)</f>
      </c>
      <c r="R488" s="43">
        <f>IF($I488=0,0,$J488-$M488-$N488)</f>
      </c>
    </row>
    <row r="489">
      <c r="A489"/>
      <c r="B489">
        <v>2</v>
      </c>
      <c r="C489" s="43">
        <f>INDEX(DarlObj,2)</f>
      </c>
      <c r="D489">
        <v>6</v>
      </c>
      <c r="E489" s="51">
        <f>IF(INDEX(DarlBelegt,2)=0,0,EOMONTH(INDEX(DarlAuszahlung,2),5)+1)</f>
      </c>
      <c r="F489" s="43">
        <f>IF($E489=0,0,YEAR($E489))</f>
      </c>
      <c r="G489" s="43">
        <f>IF(INDEX(DarlBindung,2)="",1,IF($E489&lt;=INDEX(DarlBindung,2),1,0))</f>
      </c>
      <c r="H489" s="43">
        <f>IF($G489=1,INDEX(DarlSollzins,2),INDEX(DarlAnschluss,2))</f>
      </c>
      <c r="I489" s="43">
        <f>IF(INDEX(DarlBelegt,2)=0,0,IF(INDEX(DarlOhneTilgung,2)=1,IF(INDEX(DarlBindung,2)="",1,$G489),IF($J489&gt;0.005,1,0)))</f>
      </c>
      <c r="J489" s="43">
        <f>IF($I488=0,0,$R488)</f>
      </c>
      <c r="K489" s="43">
        <f>IF($I489=0,0,IF(INDEX(DarlOhneTilgung,2)=1,0,IF(AND(INDEX(DarlTilgStart,2)&gt;0,$E489=INDEX(DarlTilgStart,2)),$J489*($H489+INDEX(DarlTilgung,2))/100/12,IF(AND($G489=0,$G488=1),MAX($K488,$J489*($H489+1)/100/12),$K488))))</f>
      </c>
      <c r="L489" s="43">
        <f>IF($I489=0,0,$J489*$H489/100/12)</f>
      </c>
      <c r="M489" s="43">
        <f>IF($I489=0,0,IF(OR(INDEX(DarlOhneTilgung,2)=1,AND(INDEX(DarlTilgStart,2)&gt;0,$E489&lt;INDEX(DarlTilgStart,2))),0,MIN(MAX(0,$K489-$L489),$J489)))</f>
      </c>
      <c r="N489" s="43">
        <f>IF($I489=0,0,MIN(SUMIFS(SondBetrag,SondDarl,2,SondDatum,"&gt;="&amp;$E489,SondDatum,"&lt;="&amp;EOMONTH($E489,0)),$J489-$M489))</f>
      </c>
      <c r="O489" s="43">
        <f>IF($I489=0,0,INDEX(DarlErsatzRate,2))</f>
      </c>
      <c r="P489" s="43">
        <f>IF($I489=0,0,$Q488*INDEX(DarlErsatzZins,2))</f>
      </c>
      <c r="Q489" s="43">
        <f>IF($I489=0,0,$Q488+$P489+$O489)</f>
      </c>
      <c r="R489" s="43">
        <f>IF($I489=0,0,$J489-$M489-$N489)</f>
      </c>
    </row>
    <row r="490">
      <c r="A490"/>
      <c r="B490">
        <v>2</v>
      </c>
      <c r="C490" s="43">
        <f>INDEX(DarlObj,2)</f>
      </c>
      <c r="D490">
        <v>7</v>
      </c>
      <c r="E490" s="51">
        <f>IF(INDEX(DarlBelegt,2)=0,0,EOMONTH(INDEX(DarlAuszahlung,2),6)+1)</f>
      </c>
      <c r="F490" s="43">
        <f>IF($E490=0,0,YEAR($E490))</f>
      </c>
      <c r="G490" s="43">
        <f>IF(INDEX(DarlBindung,2)="",1,IF($E490&lt;=INDEX(DarlBindung,2),1,0))</f>
      </c>
      <c r="H490" s="43">
        <f>IF($G490=1,INDEX(DarlSollzins,2),INDEX(DarlAnschluss,2))</f>
      </c>
      <c r="I490" s="43">
        <f>IF(INDEX(DarlBelegt,2)=0,0,IF(INDEX(DarlOhneTilgung,2)=1,IF(INDEX(DarlBindung,2)="",1,$G490),IF($J490&gt;0.005,1,0)))</f>
      </c>
      <c r="J490" s="43">
        <f>IF($I489=0,0,$R489)</f>
      </c>
      <c r="K490" s="43">
        <f>IF($I490=0,0,IF(INDEX(DarlOhneTilgung,2)=1,0,IF(AND(INDEX(DarlTilgStart,2)&gt;0,$E490=INDEX(DarlTilgStart,2)),$J490*($H490+INDEX(DarlTilgung,2))/100/12,IF(AND($G490=0,$G489=1),MAX($K489,$J490*($H490+1)/100/12),$K489))))</f>
      </c>
      <c r="L490" s="43">
        <f>IF($I490=0,0,$J490*$H490/100/12)</f>
      </c>
      <c r="M490" s="43">
        <f>IF($I490=0,0,IF(OR(INDEX(DarlOhneTilgung,2)=1,AND(INDEX(DarlTilgStart,2)&gt;0,$E490&lt;INDEX(DarlTilgStart,2))),0,MIN(MAX(0,$K490-$L490),$J490)))</f>
      </c>
      <c r="N490" s="43">
        <f>IF($I490=0,0,MIN(SUMIFS(SondBetrag,SondDarl,2,SondDatum,"&gt;="&amp;$E490,SondDatum,"&lt;="&amp;EOMONTH($E490,0)),$J490-$M490))</f>
      </c>
      <c r="O490" s="43">
        <f>IF($I490=0,0,INDEX(DarlErsatzRate,2))</f>
      </c>
      <c r="P490" s="43">
        <f>IF($I490=0,0,$Q489*INDEX(DarlErsatzZins,2))</f>
      </c>
      <c r="Q490" s="43">
        <f>IF($I490=0,0,$Q489+$P490+$O490)</f>
      </c>
      <c r="R490" s="43">
        <f>IF($I490=0,0,$J490-$M490-$N490)</f>
      </c>
    </row>
    <row r="491">
      <c r="A491"/>
      <c r="B491">
        <v>2</v>
      </c>
      <c r="C491" s="43">
        <f>INDEX(DarlObj,2)</f>
      </c>
      <c r="D491">
        <v>8</v>
      </c>
      <c r="E491" s="51">
        <f>IF(INDEX(DarlBelegt,2)=0,0,EOMONTH(INDEX(DarlAuszahlung,2),7)+1)</f>
      </c>
      <c r="F491" s="43">
        <f>IF($E491=0,0,YEAR($E491))</f>
      </c>
      <c r="G491" s="43">
        <f>IF(INDEX(DarlBindung,2)="",1,IF($E491&lt;=INDEX(DarlBindung,2),1,0))</f>
      </c>
      <c r="H491" s="43">
        <f>IF($G491=1,INDEX(DarlSollzins,2),INDEX(DarlAnschluss,2))</f>
      </c>
      <c r="I491" s="43">
        <f>IF(INDEX(DarlBelegt,2)=0,0,IF(INDEX(DarlOhneTilgung,2)=1,IF(INDEX(DarlBindung,2)="",1,$G491),IF($J491&gt;0.005,1,0)))</f>
      </c>
      <c r="J491" s="43">
        <f>IF($I490=0,0,$R490)</f>
      </c>
      <c r="K491" s="43">
        <f>IF($I491=0,0,IF(INDEX(DarlOhneTilgung,2)=1,0,IF(AND(INDEX(DarlTilgStart,2)&gt;0,$E491=INDEX(DarlTilgStart,2)),$J491*($H491+INDEX(DarlTilgung,2))/100/12,IF(AND($G491=0,$G490=1),MAX($K490,$J491*($H491+1)/100/12),$K490))))</f>
      </c>
      <c r="L491" s="43">
        <f>IF($I491=0,0,$J491*$H491/100/12)</f>
      </c>
      <c r="M491" s="43">
        <f>IF($I491=0,0,IF(OR(INDEX(DarlOhneTilgung,2)=1,AND(INDEX(DarlTilgStart,2)&gt;0,$E491&lt;INDEX(DarlTilgStart,2))),0,MIN(MAX(0,$K491-$L491),$J491)))</f>
      </c>
      <c r="N491" s="43">
        <f>IF($I491=0,0,MIN(SUMIFS(SondBetrag,SondDarl,2,SondDatum,"&gt;="&amp;$E491,SondDatum,"&lt;="&amp;EOMONTH($E491,0)),$J491-$M491))</f>
      </c>
      <c r="O491" s="43">
        <f>IF($I491=0,0,INDEX(DarlErsatzRate,2))</f>
      </c>
      <c r="P491" s="43">
        <f>IF($I491=0,0,$Q490*INDEX(DarlErsatzZins,2))</f>
      </c>
      <c r="Q491" s="43">
        <f>IF($I491=0,0,$Q490+$P491+$O491)</f>
      </c>
      <c r="R491" s="43">
        <f>IF($I491=0,0,$J491-$M491-$N491)</f>
      </c>
    </row>
    <row r="492">
      <c r="A492"/>
      <c r="B492">
        <v>2</v>
      </c>
      <c r="C492" s="43">
        <f>INDEX(DarlObj,2)</f>
      </c>
      <c r="D492">
        <v>9</v>
      </c>
      <c r="E492" s="51">
        <f>IF(INDEX(DarlBelegt,2)=0,0,EOMONTH(INDEX(DarlAuszahlung,2),8)+1)</f>
      </c>
      <c r="F492" s="43">
        <f>IF($E492=0,0,YEAR($E492))</f>
      </c>
      <c r="G492" s="43">
        <f>IF(INDEX(DarlBindung,2)="",1,IF($E492&lt;=INDEX(DarlBindung,2),1,0))</f>
      </c>
      <c r="H492" s="43">
        <f>IF($G492=1,INDEX(DarlSollzins,2),INDEX(DarlAnschluss,2))</f>
      </c>
      <c r="I492" s="43">
        <f>IF(INDEX(DarlBelegt,2)=0,0,IF(INDEX(DarlOhneTilgung,2)=1,IF(INDEX(DarlBindung,2)="",1,$G492),IF($J492&gt;0.005,1,0)))</f>
      </c>
      <c r="J492" s="43">
        <f>IF($I491=0,0,$R491)</f>
      </c>
      <c r="K492" s="43">
        <f>IF($I492=0,0,IF(INDEX(DarlOhneTilgung,2)=1,0,IF(AND(INDEX(DarlTilgStart,2)&gt;0,$E492=INDEX(DarlTilgStart,2)),$J492*($H492+INDEX(DarlTilgung,2))/100/12,IF(AND($G492=0,$G491=1),MAX($K491,$J492*($H492+1)/100/12),$K491))))</f>
      </c>
      <c r="L492" s="43">
        <f>IF($I492=0,0,$J492*$H492/100/12)</f>
      </c>
      <c r="M492" s="43">
        <f>IF($I492=0,0,IF(OR(INDEX(DarlOhneTilgung,2)=1,AND(INDEX(DarlTilgStart,2)&gt;0,$E492&lt;INDEX(DarlTilgStart,2))),0,MIN(MAX(0,$K492-$L492),$J492)))</f>
      </c>
      <c r="N492" s="43">
        <f>IF($I492=0,0,MIN(SUMIFS(SondBetrag,SondDarl,2,SondDatum,"&gt;="&amp;$E492,SondDatum,"&lt;="&amp;EOMONTH($E492,0)),$J492-$M492))</f>
      </c>
      <c r="O492" s="43">
        <f>IF($I492=0,0,INDEX(DarlErsatzRate,2))</f>
      </c>
      <c r="P492" s="43">
        <f>IF($I492=0,0,$Q491*INDEX(DarlErsatzZins,2))</f>
      </c>
      <c r="Q492" s="43">
        <f>IF($I492=0,0,$Q491+$P492+$O492)</f>
      </c>
      <c r="R492" s="43">
        <f>IF($I492=0,0,$J492-$M492-$N492)</f>
      </c>
    </row>
    <row r="493">
      <c r="A493"/>
      <c r="B493">
        <v>2</v>
      </c>
      <c r="C493" s="43">
        <f>INDEX(DarlObj,2)</f>
      </c>
      <c r="D493">
        <v>10</v>
      </c>
      <c r="E493" s="51">
        <f>IF(INDEX(DarlBelegt,2)=0,0,EOMONTH(INDEX(DarlAuszahlung,2),9)+1)</f>
      </c>
      <c r="F493" s="43">
        <f>IF($E493=0,0,YEAR($E493))</f>
      </c>
      <c r="G493" s="43">
        <f>IF(INDEX(DarlBindung,2)="",1,IF($E493&lt;=INDEX(DarlBindung,2),1,0))</f>
      </c>
      <c r="H493" s="43">
        <f>IF($G493=1,INDEX(DarlSollzins,2),INDEX(DarlAnschluss,2))</f>
      </c>
      <c r="I493" s="43">
        <f>IF(INDEX(DarlBelegt,2)=0,0,IF(INDEX(DarlOhneTilgung,2)=1,IF(INDEX(DarlBindung,2)="",1,$G493),IF($J493&gt;0.005,1,0)))</f>
      </c>
      <c r="J493" s="43">
        <f>IF($I492=0,0,$R492)</f>
      </c>
      <c r="K493" s="43">
        <f>IF($I493=0,0,IF(INDEX(DarlOhneTilgung,2)=1,0,IF(AND(INDEX(DarlTilgStart,2)&gt;0,$E493=INDEX(DarlTilgStart,2)),$J493*($H493+INDEX(DarlTilgung,2))/100/12,IF(AND($G493=0,$G492=1),MAX($K492,$J493*($H493+1)/100/12),$K492))))</f>
      </c>
      <c r="L493" s="43">
        <f>IF($I493=0,0,$J493*$H493/100/12)</f>
      </c>
      <c r="M493" s="43">
        <f>IF($I493=0,0,IF(OR(INDEX(DarlOhneTilgung,2)=1,AND(INDEX(DarlTilgStart,2)&gt;0,$E493&lt;INDEX(DarlTilgStart,2))),0,MIN(MAX(0,$K493-$L493),$J493)))</f>
      </c>
      <c r="N493" s="43">
        <f>IF($I493=0,0,MIN(SUMIFS(SondBetrag,SondDarl,2,SondDatum,"&gt;="&amp;$E493,SondDatum,"&lt;="&amp;EOMONTH($E493,0)),$J493-$M493))</f>
      </c>
      <c r="O493" s="43">
        <f>IF($I493=0,0,INDEX(DarlErsatzRate,2))</f>
      </c>
      <c r="P493" s="43">
        <f>IF($I493=0,0,$Q492*INDEX(DarlErsatzZins,2))</f>
      </c>
      <c r="Q493" s="43">
        <f>IF($I493=0,0,$Q492+$P493+$O493)</f>
      </c>
      <c r="R493" s="43">
        <f>IF($I493=0,0,$J493-$M493-$N493)</f>
      </c>
    </row>
    <row r="494">
      <c r="A494"/>
      <c r="B494">
        <v>2</v>
      </c>
      <c r="C494" s="43">
        <f>INDEX(DarlObj,2)</f>
      </c>
      <c r="D494">
        <v>11</v>
      </c>
      <c r="E494" s="51">
        <f>IF(INDEX(DarlBelegt,2)=0,0,EOMONTH(INDEX(DarlAuszahlung,2),10)+1)</f>
      </c>
      <c r="F494" s="43">
        <f>IF($E494=0,0,YEAR($E494))</f>
      </c>
      <c r="G494" s="43">
        <f>IF(INDEX(DarlBindung,2)="",1,IF($E494&lt;=INDEX(DarlBindung,2),1,0))</f>
      </c>
      <c r="H494" s="43">
        <f>IF($G494=1,INDEX(DarlSollzins,2),INDEX(DarlAnschluss,2))</f>
      </c>
      <c r="I494" s="43">
        <f>IF(INDEX(DarlBelegt,2)=0,0,IF(INDEX(DarlOhneTilgung,2)=1,IF(INDEX(DarlBindung,2)="",1,$G494),IF($J494&gt;0.005,1,0)))</f>
      </c>
      <c r="J494" s="43">
        <f>IF($I493=0,0,$R493)</f>
      </c>
      <c r="K494" s="43">
        <f>IF($I494=0,0,IF(INDEX(DarlOhneTilgung,2)=1,0,IF(AND(INDEX(DarlTilgStart,2)&gt;0,$E494=INDEX(DarlTilgStart,2)),$J494*($H494+INDEX(DarlTilgung,2))/100/12,IF(AND($G494=0,$G493=1),MAX($K493,$J494*($H494+1)/100/12),$K493))))</f>
      </c>
      <c r="L494" s="43">
        <f>IF($I494=0,0,$J494*$H494/100/12)</f>
      </c>
      <c r="M494" s="43">
        <f>IF($I494=0,0,IF(OR(INDEX(DarlOhneTilgung,2)=1,AND(INDEX(DarlTilgStart,2)&gt;0,$E494&lt;INDEX(DarlTilgStart,2))),0,MIN(MAX(0,$K494-$L494),$J494)))</f>
      </c>
      <c r="N494" s="43">
        <f>IF($I494=0,0,MIN(SUMIFS(SondBetrag,SondDarl,2,SondDatum,"&gt;="&amp;$E494,SondDatum,"&lt;="&amp;EOMONTH($E494,0)),$J494-$M494))</f>
      </c>
      <c r="O494" s="43">
        <f>IF($I494=0,0,INDEX(DarlErsatzRate,2))</f>
      </c>
      <c r="P494" s="43">
        <f>IF($I494=0,0,$Q493*INDEX(DarlErsatzZins,2))</f>
      </c>
      <c r="Q494" s="43">
        <f>IF($I494=0,0,$Q493+$P494+$O494)</f>
      </c>
      <c r="R494" s="43">
        <f>IF($I494=0,0,$J494-$M494-$N494)</f>
      </c>
    </row>
    <row r="495">
      <c r="A495"/>
      <c r="B495">
        <v>2</v>
      </c>
      <c r="C495" s="43">
        <f>INDEX(DarlObj,2)</f>
      </c>
      <c r="D495">
        <v>12</v>
      </c>
      <c r="E495" s="51">
        <f>IF(INDEX(DarlBelegt,2)=0,0,EOMONTH(INDEX(DarlAuszahlung,2),11)+1)</f>
      </c>
      <c r="F495" s="43">
        <f>IF($E495=0,0,YEAR($E495))</f>
      </c>
      <c r="G495" s="43">
        <f>IF(INDEX(DarlBindung,2)="",1,IF($E495&lt;=INDEX(DarlBindung,2),1,0))</f>
      </c>
      <c r="H495" s="43">
        <f>IF($G495=1,INDEX(DarlSollzins,2),INDEX(DarlAnschluss,2))</f>
      </c>
      <c r="I495" s="43">
        <f>IF(INDEX(DarlBelegt,2)=0,0,IF(INDEX(DarlOhneTilgung,2)=1,IF(INDEX(DarlBindung,2)="",1,$G495),IF($J495&gt;0.005,1,0)))</f>
      </c>
      <c r="J495" s="43">
        <f>IF($I494=0,0,$R494)</f>
      </c>
      <c r="K495" s="43">
        <f>IF($I495=0,0,IF(INDEX(DarlOhneTilgung,2)=1,0,IF(AND(INDEX(DarlTilgStart,2)&gt;0,$E495=INDEX(DarlTilgStart,2)),$J495*($H495+INDEX(DarlTilgung,2))/100/12,IF(AND($G495=0,$G494=1),MAX($K494,$J495*($H495+1)/100/12),$K494))))</f>
      </c>
      <c r="L495" s="43">
        <f>IF($I495=0,0,$J495*$H495/100/12)</f>
      </c>
      <c r="M495" s="43">
        <f>IF($I495=0,0,IF(OR(INDEX(DarlOhneTilgung,2)=1,AND(INDEX(DarlTilgStart,2)&gt;0,$E495&lt;INDEX(DarlTilgStart,2))),0,MIN(MAX(0,$K495-$L495),$J495)))</f>
      </c>
      <c r="N495" s="43">
        <f>IF($I495=0,0,MIN(SUMIFS(SondBetrag,SondDarl,2,SondDatum,"&gt;="&amp;$E495,SondDatum,"&lt;="&amp;EOMONTH($E495,0)),$J495-$M495))</f>
      </c>
      <c r="O495" s="43">
        <f>IF($I495=0,0,INDEX(DarlErsatzRate,2))</f>
      </c>
      <c r="P495" s="43">
        <f>IF($I495=0,0,$Q494*INDEX(DarlErsatzZins,2))</f>
      </c>
      <c r="Q495" s="43">
        <f>IF($I495=0,0,$Q494+$P495+$O495)</f>
      </c>
      <c r="R495" s="43">
        <f>IF($I495=0,0,$J495-$M495-$N495)</f>
      </c>
    </row>
    <row r="496">
      <c r="A496"/>
      <c r="B496">
        <v>2</v>
      </c>
      <c r="C496" s="43">
        <f>INDEX(DarlObj,2)</f>
      </c>
      <c r="D496">
        <v>13</v>
      </c>
      <c r="E496" s="51">
        <f>IF(INDEX(DarlBelegt,2)=0,0,EOMONTH(INDEX(DarlAuszahlung,2),12)+1)</f>
      </c>
      <c r="F496" s="43">
        <f>IF($E496=0,0,YEAR($E496))</f>
      </c>
      <c r="G496" s="43">
        <f>IF(INDEX(DarlBindung,2)="",1,IF($E496&lt;=INDEX(DarlBindung,2),1,0))</f>
      </c>
      <c r="H496" s="43">
        <f>IF($G496=1,INDEX(DarlSollzins,2),INDEX(DarlAnschluss,2))</f>
      </c>
      <c r="I496" s="43">
        <f>IF(INDEX(DarlBelegt,2)=0,0,IF(INDEX(DarlOhneTilgung,2)=1,IF(INDEX(DarlBindung,2)="",1,$G496),IF($J496&gt;0.005,1,0)))</f>
      </c>
      <c r="J496" s="43">
        <f>IF($I495=0,0,$R495)</f>
      </c>
      <c r="K496" s="43">
        <f>IF($I496=0,0,IF(INDEX(DarlOhneTilgung,2)=1,0,IF(AND(INDEX(DarlTilgStart,2)&gt;0,$E496=INDEX(DarlTilgStart,2)),$J496*($H496+INDEX(DarlTilgung,2))/100/12,IF(AND($G496=0,$G495=1),MAX($K495,$J496*($H496+1)/100/12),$K495))))</f>
      </c>
      <c r="L496" s="43">
        <f>IF($I496=0,0,$J496*$H496/100/12)</f>
      </c>
      <c r="M496" s="43">
        <f>IF($I496=0,0,IF(OR(INDEX(DarlOhneTilgung,2)=1,AND(INDEX(DarlTilgStart,2)&gt;0,$E496&lt;INDEX(DarlTilgStart,2))),0,MIN(MAX(0,$K496-$L496),$J496)))</f>
      </c>
      <c r="N496" s="43">
        <f>IF($I496=0,0,MIN(SUMIFS(SondBetrag,SondDarl,2,SondDatum,"&gt;="&amp;$E496,SondDatum,"&lt;="&amp;EOMONTH($E496,0)),$J496-$M496))</f>
      </c>
      <c r="O496" s="43">
        <f>IF($I496=0,0,INDEX(DarlErsatzRate,2))</f>
      </c>
      <c r="P496" s="43">
        <f>IF($I496=0,0,$Q495*INDEX(DarlErsatzZins,2))</f>
      </c>
      <c r="Q496" s="43">
        <f>IF($I496=0,0,$Q495+$P496+$O496)</f>
      </c>
      <c r="R496" s="43">
        <f>IF($I496=0,0,$J496-$M496-$N496)</f>
      </c>
    </row>
    <row r="497">
      <c r="A497"/>
      <c r="B497">
        <v>2</v>
      </c>
      <c r="C497" s="43">
        <f>INDEX(DarlObj,2)</f>
      </c>
      <c r="D497">
        <v>14</v>
      </c>
      <c r="E497" s="51">
        <f>IF(INDEX(DarlBelegt,2)=0,0,EOMONTH(INDEX(DarlAuszahlung,2),13)+1)</f>
      </c>
      <c r="F497" s="43">
        <f>IF($E497=0,0,YEAR($E497))</f>
      </c>
      <c r="G497" s="43">
        <f>IF(INDEX(DarlBindung,2)="",1,IF($E497&lt;=INDEX(DarlBindung,2),1,0))</f>
      </c>
      <c r="H497" s="43">
        <f>IF($G497=1,INDEX(DarlSollzins,2),INDEX(DarlAnschluss,2))</f>
      </c>
      <c r="I497" s="43">
        <f>IF(INDEX(DarlBelegt,2)=0,0,IF(INDEX(DarlOhneTilgung,2)=1,IF(INDEX(DarlBindung,2)="",1,$G497),IF($J497&gt;0.005,1,0)))</f>
      </c>
      <c r="J497" s="43">
        <f>IF($I496=0,0,$R496)</f>
      </c>
      <c r="K497" s="43">
        <f>IF($I497=0,0,IF(INDEX(DarlOhneTilgung,2)=1,0,IF(AND(INDEX(DarlTilgStart,2)&gt;0,$E497=INDEX(DarlTilgStart,2)),$J497*($H497+INDEX(DarlTilgung,2))/100/12,IF(AND($G497=0,$G496=1),MAX($K496,$J497*($H497+1)/100/12),$K496))))</f>
      </c>
      <c r="L497" s="43">
        <f>IF($I497=0,0,$J497*$H497/100/12)</f>
      </c>
      <c r="M497" s="43">
        <f>IF($I497=0,0,IF(OR(INDEX(DarlOhneTilgung,2)=1,AND(INDEX(DarlTilgStart,2)&gt;0,$E497&lt;INDEX(DarlTilgStart,2))),0,MIN(MAX(0,$K497-$L497),$J497)))</f>
      </c>
      <c r="N497" s="43">
        <f>IF($I497=0,0,MIN(SUMIFS(SondBetrag,SondDarl,2,SondDatum,"&gt;="&amp;$E497,SondDatum,"&lt;="&amp;EOMONTH($E497,0)),$J497-$M497))</f>
      </c>
      <c r="O497" s="43">
        <f>IF($I497=0,0,INDEX(DarlErsatzRate,2))</f>
      </c>
      <c r="P497" s="43">
        <f>IF($I497=0,0,$Q496*INDEX(DarlErsatzZins,2))</f>
      </c>
      <c r="Q497" s="43">
        <f>IF($I497=0,0,$Q496+$P497+$O497)</f>
      </c>
      <c r="R497" s="43">
        <f>IF($I497=0,0,$J497-$M497-$N497)</f>
      </c>
    </row>
    <row r="498">
      <c r="A498"/>
      <c r="B498">
        <v>2</v>
      </c>
      <c r="C498" s="43">
        <f>INDEX(DarlObj,2)</f>
      </c>
      <c r="D498">
        <v>15</v>
      </c>
      <c r="E498" s="51">
        <f>IF(INDEX(DarlBelegt,2)=0,0,EOMONTH(INDEX(DarlAuszahlung,2),14)+1)</f>
      </c>
      <c r="F498" s="43">
        <f>IF($E498=0,0,YEAR($E498))</f>
      </c>
      <c r="G498" s="43">
        <f>IF(INDEX(DarlBindung,2)="",1,IF($E498&lt;=INDEX(DarlBindung,2),1,0))</f>
      </c>
      <c r="H498" s="43">
        <f>IF($G498=1,INDEX(DarlSollzins,2),INDEX(DarlAnschluss,2))</f>
      </c>
      <c r="I498" s="43">
        <f>IF(INDEX(DarlBelegt,2)=0,0,IF(INDEX(DarlOhneTilgung,2)=1,IF(INDEX(DarlBindung,2)="",1,$G498),IF($J498&gt;0.005,1,0)))</f>
      </c>
      <c r="J498" s="43">
        <f>IF($I497=0,0,$R497)</f>
      </c>
      <c r="K498" s="43">
        <f>IF($I498=0,0,IF(INDEX(DarlOhneTilgung,2)=1,0,IF(AND(INDEX(DarlTilgStart,2)&gt;0,$E498=INDEX(DarlTilgStart,2)),$J498*($H498+INDEX(DarlTilgung,2))/100/12,IF(AND($G498=0,$G497=1),MAX($K497,$J498*($H498+1)/100/12),$K497))))</f>
      </c>
      <c r="L498" s="43">
        <f>IF($I498=0,0,$J498*$H498/100/12)</f>
      </c>
      <c r="M498" s="43">
        <f>IF($I498=0,0,IF(OR(INDEX(DarlOhneTilgung,2)=1,AND(INDEX(DarlTilgStart,2)&gt;0,$E498&lt;INDEX(DarlTilgStart,2))),0,MIN(MAX(0,$K498-$L498),$J498)))</f>
      </c>
      <c r="N498" s="43">
        <f>IF($I498=0,0,MIN(SUMIFS(SondBetrag,SondDarl,2,SondDatum,"&gt;="&amp;$E498,SondDatum,"&lt;="&amp;EOMONTH($E498,0)),$J498-$M498))</f>
      </c>
      <c r="O498" s="43">
        <f>IF($I498=0,0,INDEX(DarlErsatzRate,2))</f>
      </c>
      <c r="P498" s="43">
        <f>IF($I498=0,0,$Q497*INDEX(DarlErsatzZins,2))</f>
      </c>
      <c r="Q498" s="43">
        <f>IF($I498=0,0,$Q497+$P498+$O498)</f>
      </c>
      <c r="R498" s="43">
        <f>IF($I498=0,0,$J498-$M498-$N498)</f>
      </c>
    </row>
    <row r="499">
      <c r="A499"/>
      <c r="B499">
        <v>2</v>
      </c>
      <c r="C499" s="43">
        <f>INDEX(DarlObj,2)</f>
      </c>
      <c r="D499">
        <v>16</v>
      </c>
      <c r="E499" s="51">
        <f>IF(INDEX(DarlBelegt,2)=0,0,EOMONTH(INDEX(DarlAuszahlung,2),15)+1)</f>
      </c>
      <c r="F499" s="43">
        <f>IF($E499=0,0,YEAR($E499))</f>
      </c>
      <c r="G499" s="43">
        <f>IF(INDEX(DarlBindung,2)="",1,IF($E499&lt;=INDEX(DarlBindung,2),1,0))</f>
      </c>
      <c r="H499" s="43">
        <f>IF($G499=1,INDEX(DarlSollzins,2),INDEX(DarlAnschluss,2))</f>
      </c>
      <c r="I499" s="43">
        <f>IF(INDEX(DarlBelegt,2)=0,0,IF(INDEX(DarlOhneTilgung,2)=1,IF(INDEX(DarlBindung,2)="",1,$G499),IF($J499&gt;0.005,1,0)))</f>
      </c>
      <c r="J499" s="43">
        <f>IF($I498=0,0,$R498)</f>
      </c>
      <c r="K499" s="43">
        <f>IF($I499=0,0,IF(INDEX(DarlOhneTilgung,2)=1,0,IF(AND(INDEX(DarlTilgStart,2)&gt;0,$E499=INDEX(DarlTilgStart,2)),$J499*($H499+INDEX(DarlTilgung,2))/100/12,IF(AND($G499=0,$G498=1),MAX($K498,$J499*($H499+1)/100/12),$K498))))</f>
      </c>
      <c r="L499" s="43">
        <f>IF($I499=0,0,$J499*$H499/100/12)</f>
      </c>
      <c r="M499" s="43">
        <f>IF($I499=0,0,IF(OR(INDEX(DarlOhneTilgung,2)=1,AND(INDEX(DarlTilgStart,2)&gt;0,$E499&lt;INDEX(DarlTilgStart,2))),0,MIN(MAX(0,$K499-$L499),$J499)))</f>
      </c>
      <c r="N499" s="43">
        <f>IF($I499=0,0,MIN(SUMIFS(SondBetrag,SondDarl,2,SondDatum,"&gt;="&amp;$E499,SondDatum,"&lt;="&amp;EOMONTH($E499,0)),$J499-$M499))</f>
      </c>
      <c r="O499" s="43">
        <f>IF($I499=0,0,INDEX(DarlErsatzRate,2))</f>
      </c>
      <c r="P499" s="43">
        <f>IF($I499=0,0,$Q498*INDEX(DarlErsatzZins,2))</f>
      </c>
      <c r="Q499" s="43">
        <f>IF($I499=0,0,$Q498+$P499+$O499)</f>
      </c>
      <c r="R499" s="43">
        <f>IF($I499=0,0,$J499-$M499-$N499)</f>
      </c>
    </row>
    <row r="500">
      <c r="A500"/>
      <c r="B500">
        <v>2</v>
      </c>
      <c r="C500" s="43">
        <f>INDEX(DarlObj,2)</f>
      </c>
      <c r="D500">
        <v>17</v>
      </c>
      <c r="E500" s="51">
        <f>IF(INDEX(DarlBelegt,2)=0,0,EOMONTH(INDEX(DarlAuszahlung,2),16)+1)</f>
      </c>
      <c r="F500" s="43">
        <f>IF($E500=0,0,YEAR($E500))</f>
      </c>
      <c r="G500" s="43">
        <f>IF(INDEX(DarlBindung,2)="",1,IF($E500&lt;=INDEX(DarlBindung,2),1,0))</f>
      </c>
      <c r="H500" s="43">
        <f>IF($G500=1,INDEX(DarlSollzins,2),INDEX(DarlAnschluss,2))</f>
      </c>
      <c r="I500" s="43">
        <f>IF(INDEX(DarlBelegt,2)=0,0,IF(INDEX(DarlOhneTilgung,2)=1,IF(INDEX(DarlBindung,2)="",1,$G500),IF($J500&gt;0.005,1,0)))</f>
      </c>
      <c r="J500" s="43">
        <f>IF($I499=0,0,$R499)</f>
      </c>
      <c r="K500" s="43">
        <f>IF($I500=0,0,IF(INDEX(DarlOhneTilgung,2)=1,0,IF(AND(INDEX(DarlTilgStart,2)&gt;0,$E500=INDEX(DarlTilgStart,2)),$J500*($H500+INDEX(DarlTilgung,2))/100/12,IF(AND($G500=0,$G499=1),MAX($K499,$J500*($H500+1)/100/12),$K499))))</f>
      </c>
      <c r="L500" s="43">
        <f>IF($I500=0,0,$J500*$H500/100/12)</f>
      </c>
      <c r="M500" s="43">
        <f>IF($I500=0,0,IF(OR(INDEX(DarlOhneTilgung,2)=1,AND(INDEX(DarlTilgStart,2)&gt;0,$E500&lt;INDEX(DarlTilgStart,2))),0,MIN(MAX(0,$K500-$L500),$J500)))</f>
      </c>
      <c r="N500" s="43">
        <f>IF($I500=0,0,MIN(SUMIFS(SondBetrag,SondDarl,2,SondDatum,"&gt;="&amp;$E500,SondDatum,"&lt;="&amp;EOMONTH($E500,0)),$J500-$M500))</f>
      </c>
      <c r="O500" s="43">
        <f>IF($I500=0,0,INDEX(DarlErsatzRate,2))</f>
      </c>
      <c r="P500" s="43">
        <f>IF($I500=0,0,$Q499*INDEX(DarlErsatzZins,2))</f>
      </c>
      <c r="Q500" s="43">
        <f>IF($I500=0,0,$Q499+$P500+$O500)</f>
      </c>
      <c r="R500" s="43">
        <f>IF($I500=0,0,$J500-$M500-$N500)</f>
      </c>
    </row>
    <row r="501">
      <c r="A501"/>
      <c r="B501">
        <v>2</v>
      </c>
      <c r="C501" s="43">
        <f>INDEX(DarlObj,2)</f>
      </c>
      <c r="D501">
        <v>18</v>
      </c>
      <c r="E501" s="51">
        <f>IF(INDEX(DarlBelegt,2)=0,0,EOMONTH(INDEX(DarlAuszahlung,2),17)+1)</f>
      </c>
      <c r="F501" s="43">
        <f>IF($E501=0,0,YEAR($E501))</f>
      </c>
      <c r="G501" s="43">
        <f>IF(INDEX(DarlBindung,2)="",1,IF($E501&lt;=INDEX(DarlBindung,2),1,0))</f>
      </c>
      <c r="H501" s="43">
        <f>IF($G501=1,INDEX(DarlSollzins,2),INDEX(DarlAnschluss,2))</f>
      </c>
      <c r="I501" s="43">
        <f>IF(INDEX(DarlBelegt,2)=0,0,IF(INDEX(DarlOhneTilgung,2)=1,IF(INDEX(DarlBindung,2)="",1,$G501),IF($J501&gt;0.005,1,0)))</f>
      </c>
      <c r="J501" s="43">
        <f>IF($I500=0,0,$R500)</f>
      </c>
      <c r="K501" s="43">
        <f>IF($I501=0,0,IF(INDEX(DarlOhneTilgung,2)=1,0,IF(AND(INDEX(DarlTilgStart,2)&gt;0,$E501=INDEX(DarlTilgStart,2)),$J501*($H501+INDEX(DarlTilgung,2))/100/12,IF(AND($G501=0,$G500=1),MAX($K500,$J501*($H501+1)/100/12),$K500))))</f>
      </c>
      <c r="L501" s="43">
        <f>IF($I501=0,0,$J501*$H501/100/12)</f>
      </c>
      <c r="M501" s="43">
        <f>IF($I501=0,0,IF(OR(INDEX(DarlOhneTilgung,2)=1,AND(INDEX(DarlTilgStart,2)&gt;0,$E501&lt;INDEX(DarlTilgStart,2))),0,MIN(MAX(0,$K501-$L501),$J501)))</f>
      </c>
      <c r="N501" s="43">
        <f>IF($I501=0,0,MIN(SUMIFS(SondBetrag,SondDarl,2,SondDatum,"&gt;="&amp;$E501,SondDatum,"&lt;="&amp;EOMONTH($E501,0)),$J501-$M501))</f>
      </c>
      <c r="O501" s="43">
        <f>IF($I501=0,0,INDEX(DarlErsatzRate,2))</f>
      </c>
      <c r="P501" s="43">
        <f>IF($I501=0,0,$Q500*INDEX(DarlErsatzZins,2))</f>
      </c>
      <c r="Q501" s="43">
        <f>IF($I501=0,0,$Q500+$P501+$O501)</f>
      </c>
      <c r="R501" s="43">
        <f>IF($I501=0,0,$J501-$M501-$N501)</f>
      </c>
    </row>
    <row r="502">
      <c r="A502"/>
      <c r="B502">
        <v>2</v>
      </c>
      <c r="C502" s="43">
        <f>INDEX(DarlObj,2)</f>
      </c>
      <c r="D502">
        <v>19</v>
      </c>
      <c r="E502" s="51">
        <f>IF(INDEX(DarlBelegt,2)=0,0,EOMONTH(INDEX(DarlAuszahlung,2),18)+1)</f>
      </c>
      <c r="F502" s="43">
        <f>IF($E502=0,0,YEAR($E502))</f>
      </c>
      <c r="G502" s="43">
        <f>IF(INDEX(DarlBindung,2)="",1,IF($E502&lt;=INDEX(DarlBindung,2),1,0))</f>
      </c>
      <c r="H502" s="43">
        <f>IF($G502=1,INDEX(DarlSollzins,2),INDEX(DarlAnschluss,2))</f>
      </c>
      <c r="I502" s="43">
        <f>IF(INDEX(DarlBelegt,2)=0,0,IF(INDEX(DarlOhneTilgung,2)=1,IF(INDEX(DarlBindung,2)="",1,$G502),IF($J502&gt;0.005,1,0)))</f>
      </c>
      <c r="J502" s="43">
        <f>IF($I501=0,0,$R501)</f>
      </c>
      <c r="K502" s="43">
        <f>IF($I502=0,0,IF(INDEX(DarlOhneTilgung,2)=1,0,IF(AND(INDEX(DarlTilgStart,2)&gt;0,$E502=INDEX(DarlTilgStart,2)),$J502*($H502+INDEX(DarlTilgung,2))/100/12,IF(AND($G502=0,$G501=1),MAX($K501,$J502*($H502+1)/100/12),$K501))))</f>
      </c>
      <c r="L502" s="43">
        <f>IF($I502=0,0,$J502*$H502/100/12)</f>
      </c>
      <c r="M502" s="43">
        <f>IF($I502=0,0,IF(OR(INDEX(DarlOhneTilgung,2)=1,AND(INDEX(DarlTilgStart,2)&gt;0,$E502&lt;INDEX(DarlTilgStart,2))),0,MIN(MAX(0,$K502-$L502),$J502)))</f>
      </c>
      <c r="N502" s="43">
        <f>IF($I502=0,0,MIN(SUMIFS(SondBetrag,SondDarl,2,SondDatum,"&gt;="&amp;$E502,SondDatum,"&lt;="&amp;EOMONTH($E502,0)),$J502-$M502))</f>
      </c>
      <c r="O502" s="43">
        <f>IF($I502=0,0,INDEX(DarlErsatzRate,2))</f>
      </c>
      <c r="P502" s="43">
        <f>IF($I502=0,0,$Q501*INDEX(DarlErsatzZins,2))</f>
      </c>
      <c r="Q502" s="43">
        <f>IF($I502=0,0,$Q501+$P502+$O502)</f>
      </c>
      <c r="R502" s="43">
        <f>IF($I502=0,0,$J502-$M502-$N502)</f>
      </c>
    </row>
    <row r="503">
      <c r="A503"/>
      <c r="B503">
        <v>2</v>
      </c>
      <c r="C503" s="43">
        <f>INDEX(DarlObj,2)</f>
      </c>
      <c r="D503">
        <v>20</v>
      </c>
      <c r="E503" s="51">
        <f>IF(INDEX(DarlBelegt,2)=0,0,EOMONTH(INDEX(DarlAuszahlung,2),19)+1)</f>
      </c>
      <c r="F503" s="43">
        <f>IF($E503=0,0,YEAR($E503))</f>
      </c>
      <c r="G503" s="43">
        <f>IF(INDEX(DarlBindung,2)="",1,IF($E503&lt;=INDEX(DarlBindung,2),1,0))</f>
      </c>
      <c r="H503" s="43">
        <f>IF($G503=1,INDEX(DarlSollzins,2),INDEX(DarlAnschluss,2))</f>
      </c>
      <c r="I503" s="43">
        <f>IF(INDEX(DarlBelegt,2)=0,0,IF(INDEX(DarlOhneTilgung,2)=1,IF(INDEX(DarlBindung,2)="",1,$G503),IF($J503&gt;0.005,1,0)))</f>
      </c>
      <c r="J503" s="43">
        <f>IF($I502=0,0,$R502)</f>
      </c>
      <c r="K503" s="43">
        <f>IF($I503=0,0,IF(INDEX(DarlOhneTilgung,2)=1,0,IF(AND(INDEX(DarlTilgStart,2)&gt;0,$E503=INDEX(DarlTilgStart,2)),$J503*($H503+INDEX(DarlTilgung,2))/100/12,IF(AND($G503=0,$G502=1),MAX($K502,$J503*($H503+1)/100/12),$K502))))</f>
      </c>
      <c r="L503" s="43">
        <f>IF($I503=0,0,$J503*$H503/100/12)</f>
      </c>
      <c r="M503" s="43">
        <f>IF($I503=0,0,IF(OR(INDEX(DarlOhneTilgung,2)=1,AND(INDEX(DarlTilgStart,2)&gt;0,$E503&lt;INDEX(DarlTilgStart,2))),0,MIN(MAX(0,$K503-$L503),$J503)))</f>
      </c>
      <c r="N503" s="43">
        <f>IF($I503=0,0,MIN(SUMIFS(SondBetrag,SondDarl,2,SondDatum,"&gt;="&amp;$E503,SondDatum,"&lt;="&amp;EOMONTH($E503,0)),$J503-$M503))</f>
      </c>
      <c r="O503" s="43">
        <f>IF($I503=0,0,INDEX(DarlErsatzRate,2))</f>
      </c>
      <c r="P503" s="43">
        <f>IF($I503=0,0,$Q502*INDEX(DarlErsatzZins,2))</f>
      </c>
      <c r="Q503" s="43">
        <f>IF($I503=0,0,$Q502+$P503+$O503)</f>
      </c>
      <c r="R503" s="43">
        <f>IF($I503=0,0,$J503-$M503-$N503)</f>
      </c>
    </row>
    <row r="504">
      <c r="A504"/>
      <c r="B504">
        <v>2</v>
      </c>
      <c r="C504" s="43">
        <f>INDEX(DarlObj,2)</f>
      </c>
      <c r="D504">
        <v>21</v>
      </c>
      <c r="E504" s="51">
        <f>IF(INDEX(DarlBelegt,2)=0,0,EOMONTH(INDEX(DarlAuszahlung,2),20)+1)</f>
      </c>
      <c r="F504" s="43">
        <f>IF($E504=0,0,YEAR($E504))</f>
      </c>
      <c r="G504" s="43">
        <f>IF(INDEX(DarlBindung,2)="",1,IF($E504&lt;=INDEX(DarlBindung,2),1,0))</f>
      </c>
      <c r="H504" s="43">
        <f>IF($G504=1,INDEX(DarlSollzins,2),INDEX(DarlAnschluss,2))</f>
      </c>
      <c r="I504" s="43">
        <f>IF(INDEX(DarlBelegt,2)=0,0,IF(INDEX(DarlOhneTilgung,2)=1,IF(INDEX(DarlBindung,2)="",1,$G504),IF($J504&gt;0.005,1,0)))</f>
      </c>
      <c r="J504" s="43">
        <f>IF($I503=0,0,$R503)</f>
      </c>
      <c r="K504" s="43">
        <f>IF($I504=0,0,IF(INDEX(DarlOhneTilgung,2)=1,0,IF(AND(INDEX(DarlTilgStart,2)&gt;0,$E504=INDEX(DarlTilgStart,2)),$J504*($H504+INDEX(DarlTilgung,2))/100/12,IF(AND($G504=0,$G503=1),MAX($K503,$J504*($H504+1)/100/12),$K503))))</f>
      </c>
      <c r="L504" s="43">
        <f>IF($I504=0,0,$J504*$H504/100/12)</f>
      </c>
      <c r="M504" s="43">
        <f>IF($I504=0,0,IF(OR(INDEX(DarlOhneTilgung,2)=1,AND(INDEX(DarlTilgStart,2)&gt;0,$E504&lt;INDEX(DarlTilgStart,2))),0,MIN(MAX(0,$K504-$L504),$J504)))</f>
      </c>
      <c r="N504" s="43">
        <f>IF($I504=0,0,MIN(SUMIFS(SondBetrag,SondDarl,2,SondDatum,"&gt;="&amp;$E504,SondDatum,"&lt;="&amp;EOMONTH($E504,0)),$J504-$M504))</f>
      </c>
      <c r="O504" s="43">
        <f>IF($I504=0,0,INDEX(DarlErsatzRate,2))</f>
      </c>
      <c r="P504" s="43">
        <f>IF($I504=0,0,$Q503*INDEX(DarlErsatzZins,2))</f>
      </c>
      <c r="Q504" s="43">
        <f>IF($I504=0,0,$Q503+$P504+$O504)</f>
      </c>
      <c r="R504" s="43">
        <f>IF($I504=0,0,$J504-$M504-$N504)</f>
      </c>
    </row>
    <row r="505">
      <c r="A505"/>
      <c r="B505">
        <v>2</v>
      </c>
      <c r="C505" s="43">
        <f>INDEX(DarlObj,2)</f>
      </c>
      <c r="D505">
        <v>22</v>
      </c>
      <c r="E505" s="51">
        <f>IF(INDEX(DarlBelegt,2)=0,0,EOMONTH(INDEX(DarlAuszahlung,2),21)+1)</f>
      </c>
      <c r="F505" s="43">
        <f>IF($E505=0,0,YEAR($E505))</f>
      </c>
      <c r="G505" s="43">
        <f>IF(INDEX(DarlBindung,2)="",1,IF($E505&lt;=INDEX(DarlBindung,2),1,0))</f>
      </c>
      <c r="H505" s="43">
        <f>IF($G505=1,INDEX(DarlSollzins,2),INDEX(DarlAnschluss,2))</f>
      </c>
      <c r="I505" s="43">
        <f>IF(INDEX(DarlBelegt,2)=0,0,IF(INDEX(DarlOhneTilgung,2)=1,IF(INDEX(DarlBindung,2)="",1,$G505),IF($J505&gt;0.005,1,0)))</f>
      </c>
      <c r="J505" s="43">
        <f>IF($I504=0,0,$R504)</f>
      </c>
      <c r="K505" s="43">
        <f>IF($I505=0,0,IF(INDEX(DarlOhneTilgung,2)=1,0,IF(AND(INDEX(DarlTilgStart,2)&gt;0,$E505=INDEX(DarlTilgStart,2)),$J505*($H505+INDEX(DarlTilgung,2))/100/12,IF(AND($G505=0,$G504=1),MAX($K504,$J505*($H505+1)/100/12),$K504))))</f>
      </c>
      <c r="L505" s="43">
        <f>IF($I505=0,0,$J505*$H505/100/12)</f>
      </c>
      <c r="M505" s="43">
        <f>IF($I505=0,0,IF(OR(INDEX(DarlOhneTilgung,2)=1,AND(INDEX(DarlTilgStart,2)&gt;0,$E505&lt;INDEX(DarlTilgStart,2))),0,MIN(MAX(0,$K505-$L505),$J505)))</f>
      </c>
      <c r="N505" s="43">
        <f>IF($I505=0,0,MIN(SUMIFS(SondBetrag,SondDarl,2,SondDatum,"&gt;="&amp;$E505,SondDatum,"&lt;="&amp;EOMONTH($E505,0)),$J505-$M505))</f>
      </c>
      <c r="O505" s="43">
        <f>IF($I505=0,0,INDEX(DarlErsatzRate,2))</f>
      </c>
      <c r="P505" s="43">
        <f>IF($I505=0,0,$Q504*INDEX(DarlErsatzZins,2))</f>
      </c>
      <c r="Q505" s="43">
        <f>IF($I505=0,0,$Q504+$P505+$O505)</f>
      </c>
      <c r="R505" s="43">
        <f>IF($I505=0,0,$J505-$M505-$N505)</f>
      </c>
    </row>
    <row r="506">
      <c r="A506"/>
      <c r="B506">
        <v>2</v>
      </c>
      <c r="C506" s="43">
        <f>INDEX(DarlObj,2)</f>
      </c>
      <c r="D506">
        <v>23</v>
      </c>
      <c r="E506" s="51">
        <f>IF(INDEX(DarlBelegt,2)=0,0,EOMONTH(INDEX(DarlAuszahlung,2),22)+1)</f>
      </c>
      <c r="F506" s="43">
        <f>IF($E506=0,0,YEAR($E506))</f>
      </c>
      <c r="G506" s="43">
        <f>IF(INDEX(DarlBindung,2)="",1,IF($E506&lt;=INDEX(DarlBindung,2),1,0))</f>
      </c>
      <c r="H506" s="43">
        <f>IF($G506=1,INDEX(DarlSollzins,2),INDEX(DarlAnschluss,2))</f>
      </c>
      <c r="I506" s="43">
        <f>IF(INDEX(DarlBelegt,2)=0,0,IF(INDEX(DarlOhneTilgung,2)=1,IF(INDEX(DarlBindung,2)="",1,$G506),IF($J506&gt;0.005,1,0)))</f>
      </c>
      <c r="J506" s="43">
        <f>IF($I505=0,0,$R505)</f>
      </c>
      <c r="K506" s="43">
        <f>IF($I506=0,0,IF(INDEX(DarlOhneTilgung,2)=1,0,IF(AND(INDEX(DarlTilgStart,2)&gt;0,$E506=INDEX(DarlTilgStart,2)),$J506*($H506+INDEX(DarlTilgung,2))/100/12,IF(AND($G506=0,$G505=1),MAX($K505,$J506*($H506+1)/100/12),$K505))))</f>
      </c>
      <c r="L506" s="43">
        <f>IF($I506=0,0,$J506*$H506/100/12)</f>
      </c>
      <c r="M506" s="43">
        <f>IF($I506=0,0,IF(OR(INDEX(DarlOhneTilgung,2)=1,AND(INDEX(DarlTilgStart,2)&gt;0,$E506&lt;INDEX(DarlTilgStart,2))),0,MIN(MAX(0,$K506-$L506),$J506)))</f>
      </c>
      <c r="N506" s="43">
        <f>IF($I506=0,0,MIN(SUMIFS(SondBetrag,SondDarl,2,SondDatum,"&gt;="&amp;$E506,SondDatum,"&lt;="&amp;EOMONTH($E506,0)),$J506-$M506))</f>
      </c>
      <c r="O506" s="43">
        <f>IF($I506=0,0,INDEX(DarlErsatzRate,2))</f>
      </c>
      <c r="P506" s="43">
        <f>IF($I506=0,0,$Q505*INDEX(DarlErsatzZins,2))</f>
      </c>
      <c r="Q506" s="43">
        <f>IF($I506=0,0,$Q505+$P506+$O506)</f>
      </c>
      <c r="R506" s="43">
        <f>IF($I506=0,0,$J506-$M506-$N506)</f>
      </c>
    </row>
    <row r="507">
      <c r="A507"/>
      <c r="B507">
        <v>2</v>
      </c>
      <c r="C507" s="43">
        <f>INDEX(DarlObj,2)</f>
      </c>
      <c r="D507">
        <v>24</v>
      </c>
      <c r="E507" s="51">
        <f>IF(INDEX(DarlBelegt,2)=0,0,EOMONTH(INDEX(DarlAuszahlung,2),23)+1)</f>
      </c>
      <c r="F507" s="43">
        <f>IF($E507=0,0,YEAR($E507))</f>
      </c>
      <c r="G507" s="43">
        <f>IF(INDEX(DarlBindung,2)="",1,IF($E507&lt;=INDEX(DarlBindung,2),1,0))</f>
      </c>
      <c r="H507" s="43">
        <f>IF($G507=1,INDEX(DarlSollzins,2),INDEX(DarlAnschluss,2))</f>
      </c>
      <c r="I507" s="43">
        <f>IF(INDEX(DarlBelegt,2)=0,0,IF(INDEX(DarlOhneTilgung,2)=1,IF(INDEX(DarlBindung,2)="",1,$G507),IF($J507&gt;0.005,1,0)))</f>
      </c>
      <c r="J507" s="43">
        <f>IF($I506=0,0,$R506)</f>
      </c>
      <c r="K507" s="43">
        <f>IF($I507=0,0,IF(INDEX(DarlOhneTilgung,2)=1,0,IF(AND(INDEX(DarlTilgStart,2)&gt;0,$E507=INDEX(DarlTilgStart,2)),$J507*($H507+INDEX(DarlTilgung,2))/100/12,IF(AND($G507=0,$G506=1),MAX($K506,$J507*($H507+1)/100/12),$K506))))</f>
      </c>
      <c r="L507" s="43">
        <f>IF($I507=0,0,$J507*$H507/100/12)</f>
      </c>
      <c r="M507" s="43">
        <f>IF($I507=0,0,IF(OR(INDEX(DarlOhneTilgung,2)=1,AND(INDEX(DarlTilgStart,2)&gt;0,$E507&lt;INDEX(DarlTilgStart,2))),0,MIN(MAX(0,$K507-$L507),$J507)))</f>
      </c>
      <c r="N507" s="43">
        <f>IF($I507=0,0,MIN(SUMIFS(SondBetrag,SondDarl,2,SondDatum,"&gt;="&amp;$E507,SondDatum,"&lt;="&amp;EOMONTH($E507,0)),$J507-$M507))</f>
      </c>
      <c r="O507" s="43">
        <f>IF($I507=0,0,INDEX(DarlErsatzRate,2))</f>
      </c>
      <c r="P507" s="43">
        <f>IF($I507=0,0,$Q506*INDEX(DarlErsatzZins,2))</f>
      </c>
      <c r="Q507" s="43">
        <f>IF($I507=0,0,$Q506+$P507+$O507)</f>
      </c>
      <c r="R507" s="43">
        <f>IF($I507=0,0,$J507-$M507-$N507)</f>
      </c>
    </row>
    <row r="508">
      <c r="A508"/>
      <c r="B508">
        <v>2</v>
      </c>
      <c r="C508" s="43">
        <f>INDEX(DarlObj,2)</f>
      </c>
      <c r="D508">
        <v>25</v>
      </c>
      <c r="E508" s="51">
        <f>IF(INDEX(DarlBelegt,2)=0,0,EOMONTH(INDEX(DarlAuszahlung,2),24)+1)</f>
      </c>
      <c r="F508" s="43">
        <f>IF($E508=0,0,YEAR($E508))</f>
      </c>
      <c r="G508" s="43">
        <f>IF(INDEX(DarlBindung,2)="",1,IF($E508&lt;=INDEX(DarlBindung,2),1,0))</f>
      </c>
      <c r="H508" s="43">
        <f>IF($G508=1,INDEX(DarlSollzins,2),INDEX(DarlAnschluss,2))</f>
      </c>
      <c r="I508" s="43">
        <f>IF(INDEX(DarlBelegt,2)=0,0,IF(INDEX(DarlOhneTilgung,2)=1,IF(INDEX(DarlBindung,2)="",1,$G508),IF($J508&gt;0.005,1,0)))</f>
      </c>
      <c r="J508" s="43">
        <f>IF($I507=0,0,$R507)</f>
      </c>
      <c r="K508" s="43">
        <f>IF($I508=0,0,IF(INDEX(DarlOhneTilgung,2)=1,0,IF(AND(INDEX(DarlTilgStart,2)&gt;0,$E508=INDEX(DarlTilgStart,2)),$J508*($H508+INDEX(DarlTilgung,2))/100/12,IF(AND($G508=0,$G507=1),MAX($K507,$J508*($H508+1)/100/12),$K507))))</f>
      </c>
      <c r="L508" s="43">
        <f>IF($I508=0,0,$J508*$H508/100/12)</f>
      </c>
      <c r="M508" s="43">
        <f>IF($I508=0,0,IF(OR(INDEX(DarlOhneTilgung,2)=1,AND(INDEX(DarlTilgStart,2)&gt;0,$E508&lt;INDEX(DarlTilgStart,2))),0,MIN(MAX(0,$K508-$L508),$J508)))</f>
      </c>
      <c r="N508" s="43">
        <f>IF($I508=0,0,MIN(SUMIFS(SondBetrag,SondDarl,2,SondDatum,"&gt;="&amp;$E508,SondDatum,"&lt;="&amp;EOMONTH($E508,0)),$J508-$M508))</f>
      </c>
      <c r="O508" s="43">
        <f>IF($I508=0,0,INDEX(DarlErsatzRate,2))</f>
      </c>
      <c r="P508" s="43">
        <f>IF($I508=0,0,$Q507*INDEX(DarlErsatzZins,2))</f>
      </c>
      <c r="Q508" s="43">
        <f>IF($I508=0,0,$Q507+$P508+$O508)</f>
      </c>
      <c r="R508" s="43">
        <f>IF($I508=0,0,$J508-$M508-$N508)</f>
      </c>
    </row>
    <row r="509">
      <c r="A509"/>
      <c r="B509">
        <v>2</v>
      </c>
      <c r="C509" s="43">
        <f>INDEX(DarlObj,2)</f>
      </c>
      <c r="D509">
        <v>26</v>
      </c>
      <c r="E509" s="51">
        <f>IF(INDEX(DarlBelegt,2)=0,0,EOMONTH(INDEX(DarlAuszahlung,2),25)+1)</f>
      </c>
      <c r="F509" s="43">
        <f>IF($E509=0,0,YEAR($E509))</f>
      </c>
      <c r="G509" s="43">
        <f>IF(INDEX(DarlBindung,2)="",1,IF($E509&lt;=INDEX(DarlBindung,2),1,0))</f>
      </c>
      <c r="H509" s="43">
        <f>IF($G509=1,INDEX(DarlSollzins,2),INDEX(DarlAnschluss,2))</f>
      </c>
      <c r="I509" s="43">
        <f>IF(INDEX(DarlBelegt,2)=0,0,IF(INDEX(DarlOhneTilgung,2)=1,IF(INDEX(DarlBindung,2)="",1,$G509),IF($J509&gt;0.005,1,0)))</f>
      </c>
      <c r="J509" s="43">
        <f>IF($I508=0,0,$R508)</f>
      </c>
      <c r="K509" s="43">
        <f>IF($I509=0,0,IF(INDEX(DarlOhneTilgung,2)=1,0,IF(AND(INDEX(DarlTilgStart,2)&gt;0,$E509=INDEX(DarlTilgStart,2)),$J509*($H509+INDEX(DarlTilgung,2))/100/12,IF(AND($G509=0,$G508=1),MAX($K508,$J509*($H509+1)/100/12),$K508))))</f>
      </c>
      <c r="L509" s="43">
        <f>IF($I509=0,0,$J509*$H509/100/12)</f>
      </c>
      <c r="M509" s="43">
        <f>IF($I509=0,0,IF(OR(INDEX(DarlOhneTilgung,2)=1,AND(INDEX(DarlTilgStart,2)&gt;0,$E509&lt;INDEX(DarlTilgStart,2))),0,MIN(MAX(0,$K509-$L509),$J509)))</f>
      </c>
      <c r="N509" s="43">
        <f>IF($I509=0,0,MIN(SUMIFS(SondBetrag,SondDarl,2,SondDatum,"&gt;="&amp;$E509,SondDatum,"&lt;="&amp;EOMONTH($E509,0)),$J509-$M509))</f>
      </c>
      <c r="O509" s="43">
        <f>IF($I509=0,0,INDEX(DarlErsatzRate,2))</f>
      </c>
      <c r="P509" s="43">
        <f>IF($I509=0,0,$Q508*INDEX(DarlErsatzZins,2))</f>
      </c>
      <c r="Q509" s="43">
        <f>IF($I509=0,0,$Q508+$P509+$O509)</f>
      </c>
      <c r="R509" s="43">
        <f>IF($I509=0,0,$J509-$M509-$N509)</f>
      </c>
    </row>
    <row r="510">
      <c r="A510"/>
      <c r="B510">
        <v>2</v>
      </c>
      <c r="C510" s="43">
        <f>INDEX(DarlObj,2)</f>
      </c>
      <c r="D510">
        <v>27</v>
      </c>
      <c r="E510" s="51">
        <f>IF(INDEX(DarlBelegt,2)=0,0,EOMONTH(INDEX(DarlAuszahlung,2),26)+1)</f>
      </c>
      <c r="F510" s="43">
        <f>IF($E510=0,0,YEAR($E510))</f>
      </c>
      <c r="G510" s="43">
        <f>IF(INDEX(DarlBindung,2)="",1,IF($E510&lt;=INDEX(DarlBindung,2),1,0))</f>
      </c>
      <c r="H510" s="43">
        <f>IF($G510=1,INDEX(DarlSollzins,2),INDEX(DarlAnschluss,2))</f>
      </c>
      <c r="I510" s="43">
        <f>IF(INDEX(DarlBelegt,2)=0,0,IF(INDEX(DarlOhneTilgung,2)=1,IF(INDEX(DarlBindung,2)="",1,$G510),IF($J510&gt;0.005,1,0)))</f>
      </c>
      <c r="J510" s="43">
        <f>IF($I509=0,0,$R509)</f>
      </c>
      <c r="K510" s="43">
        <f>IF($I510=0,0,IF(INDEX(DarlOhneTilgung,2)=1,0,IF(AND(INDEX(DarlTilgStart,2)&gt;0,$E510=INDEX(DarlTilgStart,2)),$J510*($H510+INDEX(DarlTilgung,2))/100/12,IF(AND($G510=0,$G509=1),MAX($K509,$J510*($H510+1)/100/12),$K509))))</f>
      </c>
      <c r="L510" s="43">
        <f>IF($I510=0,0,$J510*$H510/100/12)</f>
      </c>
      <c r="M510" s="43">
        <f>IF($I510=0,0,IF(OR(INDEX(DarlOhneTilgung,2)=1,AND(INDEX(DarlTilgStart,2)&gt;0,$E510&lt;INDEX(DarlTilgStart,2))),0,MIN(MAX(0,$K510-$L510),$J510)))</f>
      </c>
      <c r="N510" s="43">
        <f>IF($I510=0,0,MIN(SUMIFS(SondBetrag,SondDarl,2,SondDatum,"&gt;="&amp;$E510,SondDatum,"&lt;="&amp;EOMONTH($E510,0)),$J510-$M510))</f>
      </c>
      <c r="O510" s="43">
        <f>IF($I510=0,0,INDEX(DarlErsatzRate,2))</f>
      </c>
      <c r="P510" s="43">
        <f>IF($I510=0,0,$Q509*INDEX(DarlErsatzZins,2))</f>
      </c>
      <c r="Q510" s="43">
        <f>IF($I510=0,0,$Q509+$P510+$O510)</f>
      </c>
      <c r="R510" s="43">
        <f>IF($I510=0,0,$J510-$M510-$N510)</f>
      </c>
    </row>
    <row r="511">
      <c r="A511"/>
      <c r="B511">
        <v>2</v>
      </c>
      <c r="C511" s="43">
        <f>INDEX(DarlObj,2)</f>
      </c>
      <c r="D511">
        <v>28</v>
      </c>
      <c r="E511" s="51">
        <f>IF(INDEX(DarlBelegt,2)=0,0,EOMONTH(INDEX(DarlAuszahlung,2),27)+1)</f>
      </c>
      <c r="F511" s="43">
        <f>IF($E511=0,0,YEAR($E511))</f>
      </c>
      <c r="G511" s="43">
        <f>IF(INDEX(DarlBindung,2)="",1,IF($E511&lt;=INDEX(DarlBindung,2),1,0))</f>
      </c>
      <c r="H511" s="43">
        <f>IF($G511=1,INDEX(DarlSollzins,2),INDEX(DarlAnschluss,2))</f>
      </c>
      <c r="I511" s="43">
        <f>IF(INDEX(DarlBelegt,2)=0,0,IF(INDEX(DarlOhneTilgung,2)=1,IF(INDEX(DarlBindung,2)="",1,$G511),IF($J511&gt;0.005,1,0)))</f>
      </c>
      <c r="J511" s="43">
        <f>IF($I510=0,0,$R510)</f>
      </c>
      <c r="K511" s="43">
        <f>IF($I511=0,0,IF(INDEX(DarlOhneTilgung,2)=1,0,IF(AND(INDEX(DarlTilgStart,2)&gt;0,$E511=INDEX(DarlTilgStart,2)),$J511*($H511+INDEX(DarlTilgung,2))/100/12,IF(AND($G511=0,$G510=1),MAX($K510,$J511*($H511+1)/100/12),$K510))))</f>
      </c>
      <c r="L511" s="43">
        <f>IF($I511=0,0,$J511*$H511/100/12)</f>
      </c>
      <c r="M511" s="43">
        <f>IF($I511=0,0,IF(OR(INDEX(DarlOhneTilgung,2)=1,AND(INDEX(DarlTilgStart,2)&gt;0,$E511&lt;INDEX(DarlTilgStart,2))),0,MIN(MAX(0,$K511-$L511),$J511)))</f>
      </c>
      <c r="N511" s="43">
        <f>IF($I511=0,0,MIN(SUMIFS(SondBetrag,SondDarl,2,SondDatum,"&gt;="&amp;$E511,SondDatum,"&lt;="&amp;EOMONTH($E511,0)),$J511-$M511))</f>
      </c>
      <c r="O511" s="43">
        <f>IF($I511=0,0,INDEX(DarlErsatzRate,2))</f>
      </c>
      <c r="P511" s="43">
        <f>IF($I511=0,0,$Q510*INDEX(DarlErsatzZins,2))</f>
      </c>
      <c r="Q511" s="43">
        <f>IF($I511=0,0,$Q510+$P511+$O511)</f>
      </c>
      <c r="R511" s="43">
        <f>IF($I511=0,0,$J511-$M511-$N511)</f>
      </c>
    </row>
    <row r="512">
      <c r="A512"/>
      <c r="B512">
        <v>2</v>
      </c>
      <c r="C512" s="43">
        <f>INDEX(DarlObj,2)</f>
      </c>
      <c r="D512">
        <v>29</v>
      </c>
      <c r="E512" s="51">
        <f>IF(INDEX(DarlBelegt,2)=0,0,EOMONTH(INDEX(DarlAuszahlung,2),28)+1)</f>
      </c>
      <c r="F512" s="43">
        <f>IF($E512=0,0,YEAR($E512))</f>
      </c>
      <c r="G512" s="43">
        <f>IF(INDEX(DarlBindung,2)="",1,IF($E512&lt;=INDEX(DarlBindung,2),1,0))</f>
      </c>
      <c r="H512" s="43">
        <f>IF($G512=1,INDEX(DarlSollzins,2),INDEX(DarlAnschluss,2))</f>
      </c>
      <c r="I512" s="43">
        <f>IF(INDEX(DarlBelegt,2)=0,0,IF(INDEX(DarlOhneTilgung,2)=1,IF(INDEX(DarlBindung,2)="",1,$G512),IF($J512&gt;0.005,1,0)))</f>
      </c>
      <c r="J512" s="43">
        <f>IF($I511=0,0,$R511)</f>
      </c>
      <c r="K512" s="43">
        <f>IF($I512=0,0,IF(INDEX(DarlOhneTilgung,2)=1,0,IF(AND(INDEX(DarlTilgStart,2)&gt;0,$E512=INDEX(DarlTilgStart,2)),$J512*($H512+INDEX(DarlTilgung,2))/100/12,IF(AND($G512=0,$G511=1),MAX($K511,$J512*($H512+1)/100/12),$K511))))</f>
      </c>
      <c r="L512" s="43">
        <f>IF($I512=0,0,$J512*$H512/100/12)</f>
      </c>
      <c r="M512" s="43">
        <f>IF($I512=0,0,IF(OR(INDEX(DarlOhneTilgung,2)=1,AND(INDEX(DarlTilgStart,2)&gt;0,$E512&lt;INDEX(DarlTilgStart,2))),0,MIN(MAX(0,$K512-$L512),$J512)))</f>
      </c>
      <c r="N512" s="43">
        <f>IF($I512=0,0,MIN(SUMIFS(SondBetrag,SondDarl,2,SondDatum,"&gt;="&amp;$E512,SondDatum,"&lt;="&amp;EOMONTH($E512,0)),$J512-$M512))</f>
      </c>
      <c r="O512" s="43">
        <f>IF($I512=0,0,INDEX(DarlErsatzRate,2))</f>
      </c>
      <c r="P512" s="43">
        <f>IF($I512=0,0,$Q511*INDEX(DarlErsatzZins,2))</f>
      </c>
      <c r="Q512" s="43">
        <f>IF($I512=0,0,$Q511+$P512+$O512)</f>
      </c>
      <c r="R512" s="43">
        <f>IF($I512=0,0,$J512-$M512-$N512)</f>
      </c>
    </row>
    <row r="513">
      <c r="A513"/>
      <c r="B513">
        <v>2</v>
      </c>
      <c r="C513" s="43">
        <f>INDEX(DarlObj,2)</f>
      </c>
      <c r="D513">
        <v>30</v>
      </c>
      <c r="E513" s="51">
        <f>IF(INDEX(DarlBelegt,2)=0,0,EOMONTH(INDEX(DarlAuszahlung,2),29)+1)</f>
      </c>
      <c r="F513" s="43">
        <f>IF($E513=0,0,YEAR($E513))</f>
      </c>
      <c r="G513" s="43">
        <f>IF(INDEX(DarlBindung,2)="",1,IF($E513&lt;=INDEX(DarlBindung,2),1,0))</f>
      </c>
      <c r="H513" s="43">
        <f>IF($G513=1,INDEX(DarlSollzins,2),INDEX(DarlAnschluss,2))</f>
      </c>
      <c r="I513" s="43">
        <f>IF(INDEX(DarlBelegt,2)=0,0,IF(INDEX(DarlOhneTilgung,2)=1,IF(INDEX(DarlBindung,2)="",1,$G513),IF($J513&gt;0.005,1,0)))</f>
      </c>
      <c r="J513" s="43">
        <f>IF($I512=0,0,$R512)</f>
      </c>
      <c r="K513" s="43">
        <f>IF($I513=0,0,IF(INDEX(DarlOhneTilgung,2)=1,0,IF(AND(INDEX(DarlTilgStart,2)&gt;0,$E513=INDEX(DarlTilgStart,2)),$J513*($H513+INDEX(DarlTilgung,2))/100/12,IF(AND($G513=0,$G512=1),MAX($K512,$J513*($H513+1)/100/12),$K512))))</f>
      </c>
      <c r="L513" s="43">
        <f>IF($I513=0,0,$J513*$H513/100/12)</f>
      </c>
      <c r="M513" s="43">
        <f>IF($I513=0,0,IF(OR(INDEX(DarlOhneTilgung,2)=1,AND(INDEX(DarlTilgStart,2)&gt;0,$E513&lt;INDEX(DarlTilgStart,2))),0,MIN(MAX(0,$K513-$L513),$J513)))</f>
      </c>
      <c r="N513" s="43">
        <f>IF($I513=0,0,MIN(SUMIFS(SondBetrag,SondDarl,2,SondDatum,"&gt;="&amp;$E513,SondDatum,"&lt;="&amp;EOMONTH($E513,0)),$J513-$M513))</f>
      </c>
      <c r="O513" s="43">
        <f>IF($I513=0,0,INDEX(DarlErsatzRate,2))</f>
      </c>
      <c r="P513" s="43">
        <f>IF($I513=0,0,$Q512*INDEX(DarlErsatzZins,2))</f>
      </c>
      <c r="Q513" s="43">
        <f>IF($I513=0,0,$Q512+$P513+$O513)</f>
      </c>
      <c r="R513" s="43">
        <f>IF($I513=0,0,$J513-$M513-$N513)</f>
      </c>
    </row>
    <row r="514">
      <c r="A514"/>
      <c r="B514">
        <v>2</v>
      </c>
      <c r="C514" s="43">
        <f>INDEX(DarlObj,2)</f>
      </c>
      <c r="D514">
        <v>31</v>
      </c>
      <c r="E514" s="51">
        <f>IF(INDEX(DarlBelegt,2)=0,0,EOMONTH(INDEX(DarlAuszahlung,2),30)+1)</f>
      </c>
      <c r="F514" s="43">
        <f>IF($E514=0,0,YEAR($E514))</f>
      </c>
      <c r="G514" s="43">
        <f>IF(INDEX(DarlBindung,2)="",1,IF($E514&lt;=INDEX(DarlBindung,2),1,0))</f>
      </c>
      <c r="H514" s="43">
        <f>IF($G514=1,INDEX(DarlSollzins,2),INDEX(DarlAnschluss,2))</f>
      </c>
      <c r="I514" s="43">
        <f>IF(INDEX(DarlBelegt,2)=0,0,IF(INDEX(DarlOhneTilgung,2)=1,IF(INDEX(DarlBindung,2)="",1,$G514),IF($J514&gt;0.005,1,0)))</f>
      </c>
      <c r="J514" s="43">
        <f>IF($I513=0,0,$R513)</f>
      </c>
      <c r="K514" s="43">
        <f>IF($I514=0,0,IF(INDEX(DarlOhneTilgung,2)=1,0,IF(AND(INDEX(DarlTilgStart,2)&gt;0,$E514=INDEX(DarlTilgStart,2)),$J514*($H514+INDEX(DarlTilgung,2))/100/12,IF(AND($G514=0,$G513=1),MAX($K513,$J514*($H514+1)/100/12),$K513))))</f>
      </c>
      <c r="L514" s="43">
        <f>IF($I514=0,0,$J514*$H514/100/12)</f>
      </c>
      <c r="M514" s="43">
        <f>IF($I514=0,0,IF(OR(INDEX(DarlOhneTilgung,2)=1,AND(INDEX(DarlTilgStart,2)&gt;0,$E514&lt;INDEX(DarlTilgStart,2))),0,MIN(MAX(0,$K514-$L514),$J514)))</f>
      </c>
      <c r="N514" s="43">
        <f>IF($I514=0,0,MIN(SUMIFS(SondBetrag,SondDarl,2,SondDatum,"&gt;="&amp;$E514,SondDatum,"&lt;="&amp;EOMONTH($E514,0)),$J514-$M514))</f>
      </c>
      <c r="O514" s="43">
        <f>IF($I514=0,0,INDEX(DarlErsatzRate,2))</f>
      </c>
      <c r="P514" s="43">
        <f>IF($I514=0,0,$Q513*INDEX(DarlErsatzZins,2))</f>
      </c>
      <c r="Q514" s="43">
        <f>IF($I514=0,0,$Q513+$P514+$O514)</f>
      </c>
      <c r="R514" s="43">
        <f>IF($I514=0,0,$J514-$M514-$N514)</f>
      </c>
    </row>
    <row r="515">
      <c r="A515"/>
      <c r="B515">
        <v>2</v>
      </c>
      <c r="C515" s="43">
        <f>INDEX(DarlObj,2)</f>
      </c>
      <c r="D515">
        <v>32</v>
      </c>
      <c r="E515" s="51">
        <f>IF(INDEX(DarlBelegt,2)=0,0,EOMONTH(INDEX(DarlAuszahlung,2),31)+1)</f>
      </c>
      <c r="F515" s="43">
        <f>IF($E515=0,0,YEAR($E515))</f>
      </c>
      <c r="G515" s="43">
        <f>IF(INDEX(DarlBindung,2)="",1,IF($E515&lt;=INDEX(DarlBindung,2),1,0))</f>
      </c>
      <c r="H515" s="43">
        <f>IF($G515=1,INDEX(DarlSollzins,2),INDEX(DarlAnschluss,2))</f>
      </c>
      <c r="I515" s="43">
        <f>IF(INDEX(DarlBelegt,2)=0,0,IF(INDEX(DarlOhneTilgung,2)=1,IF(INDEX(DarlBindung,2)="",1,$G515),IF($J515&gt;0.005,1,0)))</f>
      </c>
      <c r="J515" s="43">
        <f>IF($I514=0,0,$R514)</f>
      </c>
      <c r="K515" s="43">
        <f>IF($I515=0,0,IF(INDEX(DarlOhneTilgung,2)=1,0,IF(AND(INDEX(DarlTilgStart,2)&gt;0,$E515=INDEX(DarlTilgStart,2)),$J515*($H515+INDEX(DarlTilgung,2))/100/12,IF(AND($G515=0,$G514=1),MAX($K514,$J515*($H515+1)/100/12),$K514))))</f>
      </c>
      <c r="L515" s="43">
        <f>IF($I515=0,0,$J515*$H515/100/12)</f>
      </c>
      <c r="M515" s="43">
        <f>IF($I515=0,0,IF(OR(INDEX(DarlOhneTilgung,2)=1,AND(INDEX(DarlTilgStart,2)&gt;0,$E515&lt;INDEX(DarlTilgStart,2))),0,MIN(MAX(0,$K515-$L515),$J515)))</f>
      </c>
      <c r="N515" s="43">
        <f>IF($I515=0,0,MIN(SUMIFS(SondBetrag,SondDarl,2,SondDatum,"&gt;="&amp;$E515,SondDatum,"&lt;="&amp;EOMONTH($E515,0)),$J515-$M515))</f>
      </c>
      <c r="O515" s="43">
        <f>IF($I515=0,0,INDEX(DarlErsatzRate,2))</f>
      </c>
      <c r="P515" s="43">
        <f>IF($I515=0,0,$Q514*INDEX(DarlErsatzZins,2))</f>
      </c>
      <c r="Q515" s="43">
        <f>IF($I515=0,0,$Q514+$P515+$O515)</f>
      </c>
      <c r="R515" s="43">
        <f>IF($I515=0,0,$J515-$M515-$N515)</f>
      </c>
    </row>
    <row r="516">
      <c r="A516"/>
      <c r="B516">
        <v>2</v>
      </c>
      <c r="C516" s="43">
        <f>INDEX(DarlObj,2)</f>
      </c>
      <c r="D516">
        <v>33</v>
      </c>
      <c r="E516" s="51">
        <f>IF(INDEX(DarlBelegt,2)=0,0,EOMONTH(INDEX(DarlAuszahlung,2),32)+1)</f>
      </c>
      <c r="F516" s="43">
        <f>IF($E516=0,0,YEAR($E516))</f>
      </c>
      <c r="G516" s="43">
        <f>IF(INDEX(DarlBindung,2)="",1,IF($E516&lt;=INDEX(DarlBindung,2),1,0))</f>
      </c>
      <c r="H516" s="43">
        <f>IF($G516=1,INDEX(DarlSollzins,2),INDEX(DarlAnschluss,2))</f>
      </c>
      <c r="I516" s="43">
        <f>IF(INDEX(DarlBelegt,2)=0,0,IF(INDEX(DarlOhneTilgung,2)=1,IF(INDEX(DarlBindung,2)="",1,$G516),IF($J516&gt;0.005,1,0)))</f>
      </c>
      <c r="J516" s="43">
        <f>IF($I515=0,0,$R515)</f>
      </c>
      <c r="K516" s="43">
        <f>IF($I516=0,0,IF(INDEX(DarlOhneTilgung,2)=1,0,IF(AND(INDEX(DarlTilgStart,2)&gt;0,$E516=INDEX(DarlTilgStart,2)),$J516*($H516+INDEX(DarlTilgung,2))/100/12,IF(AND($G516=0,$G515=1),MAX($K515,$J516*($H516+1)/100/12),$K515))))</f>
      </c>
      <c r="L516" s="43">
        <f>IF($I516=0,0,$J516*$H516/100/12)</f>
      </c>
      <c r="M516" s="43">
        <f>IF($I516=0,0,IF(OR(INDEX(DarlOhneTilgung,2)=1,AND(INDEX(DarlTilgStart,2)&gt;0,$E516&lt;INDEX(DarlTilgStart,2))),0,MIN(MAX(0,$K516-$L516),$J516)))</f>
      </c>
      <c r="N516" s="43">
        <f>IF($I516=0,0,MIN(SUMIFS(SondBetrag,SondDarl,2,SondDatum,"&gt;="&amp;$E516,SondDatum,"&lt;="&amp;EOMONTH($E516,0)),$J516-$M516))</f>
      </c>
      <c r="O516" s="43">
        <f>IF($I516=0,0,INDEX(DarlErsatzRate,2))</f>
      </c>
      <c r="P516" s="43">
        <f>IF($I516=0,0,$Q515*INDEX(DarlErsatzZins,2))</f>
      </c>
      <c r="Q516" s="43">
        <f>IF($I516=0,0,$Q515+$P516+$O516)</f>
      </c>
      <c r="R516" s="43">
        <f>IF($I516=0,0,$J516-$M516-$N516)</f>
      </c>
    </row>
    <row r="517">
      <c r="A517"/>
      <c r="B517">
        <v>2</v>
      </c>
      <c r="C517" s="43">
        <f>INDEX(DarlObj,2)</f>
      </c>
      <c r="D517">
        <v>34</v>
      </c>
      <c r="E517" s="51">
        <f>IF(INDEX(DarlBelegt,2)=0,0,EOMONTH(INDEX(DarlAuszahlung,2),33)+1)</f>
      </c>
      <c r="F517" s="43">
        <f>IF($E517=0,0,YEAR($E517))</f>
      </c>
      <c r="G517" s="43">
        <f>IF(INDEX(DarlBindung,2)="",1,IF($E517&lt;=INDEX(DarlBindung,2),1,0))</f>
      </c>
      <c r="H517" s="43">
        <f>IF($G517=1,INDEX(DarlSollzins,2),INDEX(DarlAnschluss,2))</f>
      </c>
      <c r="I517" s="43">
        <f>IF(INDEX(DarlBelegt,2)=0,0,IF(INDEX(DarlOhneTilgung,2)=1,IF(INDEX(DarlBindung,2)="",1,$G517),IF($J517&gt;0.005,1,0)))</f>
      </c>
      <c r="J517" s="43">
        <f>IF($I516=0,0,$R516)</f>
      </c>
      <c r="K517" s="43">
        <f>IF($I517=0,0,IF(INDEX(DarlOhneTilgung,2)=1,0,IF(AND(INDEX(DarlTilgStart,2)&gt;0,$E517=INDEX(DarlTilgStart,2)),$J517*($H517+INDEX(DarlTilgung,2))/100/12,IF(AND($G517=0,$G516=1),MAX($K516,$J517*($H517+1)/100/12),$K516))))</f>
      </c>
      <c r="L517" s="43">
        <f>IF($I517=0,0,$J517*$H517/100/12)</f>
      </c>
      <c r="M517" s="43">
        <f>IF($I517=0,0,IF(OR(INDEX(DarlOhneTilgung,2)=1,AND(INDEX(DarlTilgStart,2)&gt;0,$E517&lt;INDEX(DarlTilgStart,2))),0,MIN(MAX(0,$K517-$L517),$J517)))</f>
      </c>
      <c r="N517" s="43">
        <f>IF($I517=0,0,MIN(SUMIFS(SondBetrag,SondDarl,2,SondDatum,"&gt;="&amp;$E517,SondDatum,"&lt;="&amp;EOMONTH($E517,0)),$J517-$M517))</f>
      </c>
      <c r="O517" s="43">
        <f>IF($I517=0,0,INDEX(DarlErsatzRate,2))</f>
      </c>
      <c r="P517" s="43">
        <f>IF($I517=0,0,$Q516*INDEX(DarlErsatzZins,2))</f>
      </c>
      <c r="Q517" s="43">
        <f>IF($I517=0,0,$Q516+$P517+$O517)</f>
      </c>
      <c r="R517" s="43">
        <f>IF($I517=0,0,$J517-$M517-$N517)</f>
      </c>
    </row>
    <row r="518">
      <c r="A518"/>
      <c r="B518">
        <v>2</v>
      </c>
      <c r="C518" s="43">
        <f>INDEX(DarlObj,2)</f>
      </c>
      <c r="D518">
        <v>35</v>
      </c>
      <c r="E518" s="51">
        <f>IF(INDEX(DarlBelegt,2)=0,0,EOMONTH(INDEX(DarlAuszahlung,2),34)+1)</f>
      </c>
      <c r="F518" s="43">
        <f>IF($E518=0,0,YEAR($E518))</f>
      </c>
      <c r="G518" s="43">
        <f>IF(INDEX(DarlBindung,2)="",1,IF($E518&lt;=INDEX(DarlBindung,2),1,0))</f>
      </c>
      <c r="H518" s="43">
        <f>IF($G518=1,INDEX(DarlSollzins,2),INDEX(DarlAnschluss,2))</f>
      </c>
      <c r="I518" s="43">
        <f>IF(INDEX(DarlBelegt,2)=0,0,IF(INDEX(DarlOhneTilgung,2)=1,IF(INDEX(DarlBindung,2)="",1,$G518),IF($J518&gt;0.005,1,0)))</f>
      </c>
      <c r="J518" s="43">
        <f>IF($I517=0,0,$R517)</f>
      </c>
      <c r="K518" s="43">
        <f>IF($I518=0,0,IF(INDEX(DarlOhneTilgung,2)=1,0,IF(AND(INDEX(DarlTilgStart,2)&gt;0,$E518=INDEX(DarlTilgStart,2)),$J518*($H518+INDEX(DarlTilgung,2))/100/12,IF(AND($G518=0,$G517=1),MAX($K517,$J518*($H518+1)/100/12),$K517))))</f>
      </c>
      <c r="L518" s="43">
        <f>IF($I518=0,0,$J518*$H518/100/12)</f>
      </c>
      <c r="M518" s="43">
        <f>IF($I518=0,0,IF(OR(INDEX(DarlOhneTilgung,2)=1,AND(INDEX(DarlTilgStart,2)&gt;0,$E518&lt;INDEX(DarlTilgStart,2))),0,MIN(MAX(0,$K518-$L518),$J518)))</f>
      </c>
      <c r="N518" s="43">
        <f>IF($I518=0,0,MIN(SUMIFS(SondBetrag,SondDarl,2,SondDatum,"&gt;="&amp;$E518,SondDatum,"&lt;="&amp;EOMONTH($E518,0)),$J518-$M518))</f>
      </c>
      <c r="O518" s="43">
        <f>IF($I518=0,0,INDEX(DarlErsatzRate,2))</f>
      </c>
      <c r="P518" s="43">
        <f>IF($I518=0,0,$Q517*INDEX(DarlErsatzZins,2))</f>
      </c>
      <c r="Q518" s="43">
        <f>IF($I518=0,0,$Q517+$P518+$O518)</f>
      </c>
      <c r="R518" s="43">
        <f>IF($I518=0,0,$J518-$M518-$N518)</f>
      </c>
    </row>
    <row r="519">
      <c r="A519"/>
      <c r="B519">
        <v>2</v>
      </c>
      <c r="C519" s="43">
        <f>INDEX(DarlObj,2)</f>
      </c>
      <c r="D519">
        <v>36</v>
      </c>
      <c r="E519" s="51">
        <f>IF(INDEX(DarlBelegt,2)=0,0,EOMONTH(INDEX(DarlAuszahlung,2),35)+1)</f>
      </c>
      <c r="F519" s="43">
        <f>IF($E519=0,0,YEAR($E519))</f>
      </c>
      <c r="G519" s="43">
        <f>IF(INDEX(DarlBindung,2)="",1,IF($E519&lt;=INDEX(DarlBindung,2),1,0))</f>
      </c>
      <c r="H519" s="43">
        <f>IF($G519=1,INDEX(DarlSollzins,2),INDEX(DarlAnschluss,2))</f>
      </c>
      <c r="I519" s="43">
        <f>IF(INDEX(DarlBelegt,2)=0,0,IF(INDEX(DarlOhneTilgung,2)=1,IF(INDEX(DarlBindung,2)="",1,$G519),IF($J519&gt;0.005,1,0)))</f>
      </c>
      <c r="J519" s="43">
        <f>IF($I518=0,0,$R518)</f>
      </c>
      <c r="K519" s="43">
        <f>IF($I519=0,0,IF(INDEX(DarlOhneTilgung,2)=1,0,IF(AND(INDEX(DarlTilgStart,2)&gt;0,$E519=INDEX(DarlTilgStart,2)),$J519*($H519+INDEX(DarlTilgung,2))/100/12,IF(AND($G519=0,$G518=1),MAX($K518,$J519*($H519+1)/100/12),$K518))))</f>
      </c>
      <c r="L519" s="43">
        <f>IF($I519=0,0,$J519*$H519/100/12)</f>
      </c>
      <c r="M519" s="43">
        <f>IF($I519=0,0,IF(OR(INDEX(DarlOhneTilgung,2)=1,AND(INDEX(DarlTilgStart,2)&gt;0,$E519&lt;INDEX(DarlTilgStart,2))),0,MIN(MAX(0,$K519-$L519),$J519)))</f>
      </c>
      <c r="N519" s="43">
        <f>IF($I519=0,0,MIN(SUMIFS(SondBetrag,SondDarl,2,SondDatum,"&gt;="&amp;$E519,SondDatum,"&lt;="&amp;EOMONTH($E519,0)),$J519-$M519))</f>
      </c>
      <c r="O519" s="43">
        <f>IF($I519=0,0,INDEX(DarlErsatzRate,2))</f>
      </c>
      <c r="P519" s="43">
        <f>IF($I519=0,0,$Q518*INDEX(DarlErsatzZins,2))</f>
      </c>
      <c r="Q519" s="43">
        <f>IF($I519=0,0,$Q518+$P519+$O519)</f>
      </c>
      <c r="R519" s="43">
        <f>IF($I519=0,0,$J519-$M519-$N519)</f>
      </c>
    </row>
    <row r="520">
      <c r="A520"/>
      <c r="B520">
        <v>2</v>
      </c>
      <c r="C520" s="43">
        <f>INDEX(DarlObj,2)</f>
      </c>
      <c r="D520">
        <v>37</v>
      </c>
      <c r="E520" s="51">
        <f>IF(INDEX(DarlBelegt,2)=0,0,EOMONTH(INDEX(DarlAuszahlung,2),36)+1)</f>
      </c>
      <c r="F520" s="43">
        <f>IF($E520=0,0,YEAR($E520))</f>
      </c>
      <c r="G520" s="43">
        <f>IF(INDEX(DarlBindung,2)="",1,IF($E520&lt;=INDEX(DarlBindung,2),1,0))</f>
      </c>
      <c r="H520" s="43">
        <f>IF($G520=1,INDEX(DarlSollzins,2),INDEX(DarlAnschluss,2))</f>
      </c>
      <c r="I520" s="43">
        <f>IF(INDEX(DarlBelegt,2)=0,0,IF(INDEX(DarlOhneTilgung,2)=1,IF(INDEX(DarlBindung,2)="",1,$G520),IF($J520&gt;0.005,1,0)))</f>
      </c>
      <c r="J520" s="43">
        <f>IF($I519=0,0,$R519)</f>
      </c>
      <c r="K520" s="43">
        <f>IF($I520=0,0,IF(INDEX(DarlOhneTilgung,2)=1,0,IF(AND(INDEX(DarlTilgStart,2)&gt;0,$E520=INDEX(DarlTilgStart,2)),$J520*($H520+INDEX(DarlTilgung,2))/100/12,IF(AND($G520=0,$G519=1),MAX($K519,$J520*($H520+1)/100/12),$K519))))</f>
      </c>
      <c r="L520" s="43">
        <f>IF($I520=0,0,$J520*$H520/100/12)</f>
      </c>
      <c r="M520" s="43">
        <f>IF($I520=0,0,IF(OR(INDEX(DarlOhneTilgung,2)=1,AND(INDEX(DarlTilgStart,2)&gt;0,$E520&lt;INDEX(DarlTilgStart,2))),0,MIN(MAX(0,$K520-$L520),$J520)))</f>
      </c>
      <c r="N520" s="43">
        <f>IF($I520=0,0,MIN(SUMIFS(SondBetrag,SondDarl,2,SondDatum,"&gt;="&amp;$E520,SondDatum,"&lt;="&amp;EOMONTH($E520,0)),$J520-$M520))</f>
      </c>
      <c r="O520" s="43">
        <f>IF($I520=0,0,INDEX(DarlErsatzRate,2))</f>
      </c>
      <c r="P520" s="43">
        <f>IF($I520=0,0,$Q519*INDEX(DarlErsatzZins,2))</f>
      </c>
      <c r="Q520" s="43">
        <f>IF($I520=0,0,$Q519+$P520+$O520)</f>
      </c>
      <c r="R520" s="43">
        <f>IF($I520=0,0,$J520-$M520-$N520)</f>
      </c>
    </row>
    <row r="521">
      <c r="A521"/>
      <c r="B521">
        <v>2</v>
      </c>
      <c r="C521" s="43">
        <f>INDEX(DarlObj,2)</f>
      </c>
      <c r="D521">
        <v>38</v>
      </c>
      <c r="E521" s="51">
        <f>IF(INDEX(DarlBelegt,2)=0,0,EOMONTH(INDEX(DarlAuszahlung,2),37)+1)</f>
      </c>
      <c r="F521" s="43">
        <f>IF($E521=0,0,YEAR($E521))</f>
      </c>
      <c r="G521" s="43">
        <f>IF(INDEX(DarlBindung,2)="",1,IF($E521&lt;=INDEX(DarlBindung,2),1,0))</f>
      </c>
      <c r="H521" s="43">
        <f>IF($G521=1,INDEX(DarlSollzins,2),INDEX(DarlAnschluss,2))</f>
      </c>
      <c r="I521" s="43">
        <f>IF(INDEX(DarlBelegt,2)=0,0,IF(INDEX(DarlOhneTilgung,2)=1,IF(INDEX(DarlBindung,2)="",1,$G521),IF($J521&gt;0.005,1,0)))</f>
      </c>
      <c r="J521" s="43">
        <f>IF($I520=0,0,$R520)</f>
      </c>
      <c r="K521" s="43">
        <f>IF($I521=0,0,IF(INDEX(DarlOhneTilgung,2)=1,0,IF(AND(INDEX(DarlTilgStart,2)&gt;0,$E521=INDEX(DarlTilgStart,2)),$J521*($H521+INDEX(DarlTilgung,2))/100/12,IF(AND($G521=0,$G520=1),MAX($K520,$J521*($H521+1)/100/12),$K520))))</f>
      </c>
      <c r="L521" s="43">
        <f>IF($I521=0,0,$J521*$H521/100/12)</f>
      </c>
      <c r="M521" s="43">
        <f>IF($I521=0,0,IF(OR(INDEX(DarlOhneTilgung,2)=1,AND(INDEX(DarlTilgStart,2)&gt;0,$E521&lt;INDEX(DarlTilgStart,2))),0,MIN(MAX(0,$K521-$L521),$J521)))</f>
      </c>
      <c r="N521" s="43">
        <f>IF($I521=0,0,MIN(SUMIFS(SondBetrag,SondDarl,2,SondDatum,"&gt;="&amp;$E521,SondDatum,"&lt;="&amp;EOMONTH($E521,0)),$J521-$M521))</f>
      </c>
      <c r="O521" s="43">
        <f>IF($I521=0,0,INDEX(DarlErsatzRate,2))</f>
      </c>
      <c r="P521" s="43">
        <f>IF($I521=0,0,$Q520*INDEX(DarlErsatzZins,2))</f>
      </c>
      <c r="Q521" s="43">
        <f>IF($I521=0,0,$Q520+$P521+$O521)</f>
      </c>
      <c r="R521" s="43">
        <f>IF($I521=0,0,$J521-$M521-$N521)</f>
      </c>
    </row>
    <row r="522">
      <c r="A522"/>
      <c r="B522">
        <v>2</v>
      </c>
      <c r="C522" s="43">
        <f>INDEX(DarlObj,2)</f>
      </c>
      <c r="D522">
        <v>39</v>
      </c>
      <c r="E522" s="51">
        <f>IF(INDEX(DarlBelegt,2)=0,0,EOMONTH(INDEX(DarlAuszahlung,2),38)+1)</f>
      </c>
      <c r="F522" s="43">
        <f>IF($E522=0,0,YEAR($E522))</f>
      </c>
      <c r="G522" s="43">
        <f>IF(INDEX(DarlBindung,2)="",1,IF($E522&lt;=INDEX(DarlBindung,2),1,0))</f>
      </c>
      <c r="H522" s="43">
        <f>IF($G522=1,INDEX(DarlSollzins,2),INDEX(DarlAnschluss,2))</f>
      </c>
      <c r="I522" s="43">
        <f>IF(INDEX(DarlBelegt,2)=0,0,IF(INDEX(DarlOhneTilgung,2)=1,IF(INDEX(DarlBindung,2)="",1,$G522),IF($J522&gt;0.005,1,0)))</f>
      </c>
      <c r="J522" s="43">
        <f>IF($I521=0,0,$R521)</f>
      </c>
      <c r="K522" s="43">
        <f>IF($I522=0,0,IF(INDEX(DarlOhneTilgung,2)=1,0,IF(AND(INDEX(DarlTilgStart,2)&gt;0,$E522=INDEX(DarlTilgStart,2)),$J522*($H522+INDEX(DarlTilgung,2))/100/12,IF(AND($G522=0,$G521=1),MAX($K521,$J522*($H522+1)/100/12),$K521))))</f>
      </c>
      <c r="L522" s="43">
        <f>IF($I522=0,0,$J522*$H522/100/12)</f>
      </c>
      <c r="M522" s="43">
        <f>IF($I522=0,0,IF(OR(INDEX(DarlOhneTilgung,2)=1,AND(INDEX(DarlTilgStart,2)&gt;0,$E522&lt;INDEX(DarlTilgStart,2))),0,MIN(MAX(0,$K522-$L522),$J522)))</f>
      </c>
      <c r="N522" s="43">
        <f>IF($I522=0,0,MIN(SUMIFS(SondBetrag,SondDarl,2,SondDatum,"&gt;="&amp;$E522,SondDatum,"&lt;="&amp;EOMONTH($E522,0)),$J522-$M522))</f>
      </c>
      <c r="O522" s="43">
        <f>IF($I522=0,0,INDEX(DarlErsatzRate,2))</f>
      </c>
      <c r="P522" s="43">
        <f>IF($I522=0,0,$Q521*INDEX(DarlErsatzZins,2))</f>
      </c>
      <c r="Q522" s="43">
        <f>IF($I522=0,0,$Q521+$P522+$O522)</f>
      </c>
      <c r="R522" s="43">
        <f>IF($I522=0,0,$J522-$M522-$N522)</f>
      </c>
    </row>
    <row r="523">
      <c r="A523"/>
      <c r="B523">
        <v>2</v>
      </c>
      <c r="C523" s="43">
        <f>INDEX(DarlObj,2)</f>
      </c>
      <c r="D523">
        <v>40</v>
      </c>
      <c r="E523" s="51">
        <f>IF(INDEX(DarlBelegt,2)=0,0,EOMONTH(INDEX(DarlAuszahlung,2),39)+1)</f>
      </c>
      <c r="F523" s="43">
        <f>IF($E523=0,0,YEAR($E523))</f>
      </c>
      <c r="G523" s="43">
        <f>IF(INDEX(DarlBindung,2)="",1,IF($E523&lt;=INDEX(DarlBindung,2),1,0))</f>
      </c>
      <c r="H523" s="43">
        <f>IF($G523=1,INDEX(DarlSollzins,2),INDEX(DarlAnschluss,2))</f>
      </c>
      <c r="I523" s="43">
        <f>IF(INDEX(DarlBelegt,2)=0,0,IF(INDEX(DarlOhneTilgung,2)=1,IF(INDEX(DarlBindung,2)="",1,$G523),IF($J523&gt;0.005,1,0)))</f>
      </c>
      <c r="J523" s="43">
        <f>IF($I522=0,0,$R522)</f>
      </c>
      <c r="K523" s="43">
        <f>IF($I523=0,0,IF(INDEX(DarlOhneTilgung,2)=1,0,IF(AND(INDEX(DarlTilgStart,2)&gt;0,$E523=INDEX(DarlTilgStart,2)),$J523*($H523+INDEX(DarlTilgung,2))/100/12,IF(AND($G523=0,$G522=1),MAX($K522,$J523*($H523+1)/100/12),$K522))))</f>
      </c>
      <c r="L523" s="43">
        <f>IF($I523=0,0,$J523*$H523/100/12)</f>
      </c>
      <c r="M523" s="43">
        <f>IF($I523=0,0,IF(OR(INDEX(DarlOhneTilgung,2)=1,AND(INDEX(DarlTilgStart,2)&gt;0,$E523&lt;INDEX(DarlTilgStart,2))),0,MIN(MAX(0,$K523-$L523),$J523)))</f>
      </c>
      <c r="N523" s="43">
        <f>IF($I523=0,0,MIN(SUMIFS(SondBetrag,SondDarl,2,SondDatum,"&gt;="&amp;$E523,SondDatum,"&lt;="&amp;EOMONTH($E523,0)),$J523-$M523))</f>
      </c>
      <c r="O523" s="43">
        <f>IF($I523=0,0,INDEX(DarlErsatzRate,2))</f>
      </c>
      <c r="P523" s="43">
        <f>IF($I523=0,0,$Q522*INDEX(DarlErsatzZins,2))</f>
      </c>
      <c r="Q523" s="43">
        <f>IF($I523=0,0,$Q522+$P523+$O523)</f>
      </c>
      <c r="R523" s="43">
        <f>IF($I523=0,0,$J523-$M523-$N523)</f>
      </c>
    </row>
    <row r="524">
      <c r="A524"/>
      <c r="B524">
        <v>2</v>
      </c>
      <c r="C524" s="43">
        <f>INDEX(DarlObj,2)</f>
      </c>
      <c r="D524">
        <v>41</v>
      </c>
      <c r="E524" s="51">
        <f>IF(INDEX(DarlBelegt,2)=0,0,EOMONTH(INDEX(DarlAuszahlung,2),40)+1)</f>
      </c>
      <c r="F524" s="43">
        <f>IF($E524=0,0,YEAR($E524))</f>
      </c>
      <c r="G524" s="43">
        <f>IF(INDEX(DarlBindung,2)="",1,IF($E524&lt;=INDEX(DarlBindung,2),1,0))</f>
      </c>
      <c r="H524" s="43">
        <f>IF($G524=1,INDEX(DarlSollzins,2),INDEX(DarlAnschluss,2))</f>
      </c>
      <c r="I524" s="43">
        <f>IF(INDEX(DarlBelegt,2)=0,0,IF(INDEX(DarlOhneTilgung,2)=1,IF(INDEX(DarlBindung,2)="",1,$G524),IF($J524&gt;0.005,1,0)))</f>
      </c>
      <c r="J524" s="43">
        <f>IF($I523=0,0,$R523)</f>
      </c>
      <c r="K524" s="43">
        <f>IF($I524=0,0,IF(INDEX(DarlOhneTilgung,2)=1,0,IF(AND(INDEX(DarlTilgStart,2)&gt;0,$E524=INDEX(DarlTilgStart,2)),$J524*($H524+INDEX(DarlTilgung,2))/100/12,IF(AND($G524=0,$G523=1),MAX($K523,$J524*($H524+1)/100/12),$K523))))</f>
      </c>
      <c r="L524" s="43">
        <f>IF($I524=0,0,$J524*$H524/100/12)</f>
      </c>
      <c r="M524" s="43">
        <f>IF($I524=0,0,IF(OR(INDEX(DarlOhneTilgung,2)=1,AND(INDEX(DarlTilgStart,2)&gt;0,$E524&lt;INDEX(DarlTilgStart,2))),0,MIN(MAX(0,$K524-$L524),$J524)))</f>
      </c>
      <c r="N524" s="43">
        <f>IF($I524=0,0,MIN(SUMIFS(SondBetrag,SondDarl,2,SondDatum,"&gt;="&amp;$E524,SondDatum,"&lt;="&amp;EOMONTH($E524,0)),$J524-$M524))</f>
      </c>
      <c r="O524" s="43">
        <f>IF($I524=0,0,INDEX(DarlErsatzRate,2))</f>
      </c>
      <c r="P524" s="43">
        <f>IF($I524=0,0,$Q523*INDEX(DarlErsatzZins,2))</f>
      </c>
      <c r="Q524" s="43">
        <f>IF($I524=0,0,$Q523+$P524+$O524)</f>
      </c>
      <c r="R524" s="43">
        <f>IF($I524=0,0,$J524-$M524-$N524)</f>
      </c>
    </row>
    <row r="525">
      <c r="A525"/>
      <c r="B525">
        <v>2</v>
      </c>
      <c r="C525" s="43">
        <f>INDEX(DarlObj,2)</f>
      </c>
      <c r="D525">
        <v>42</v>
      </c>
      <c r="E525" s="51">
        <f>IF(INDEX(DarlBelegt,2)=0,0,EOMONTH(INDEX(DarlAuszahlung,2),41)+1)</f>
      </c>
      <c r="F525" s="43">
        <f>IF($E525=0,0,YEAR($E525))</f>
      </c>
      <c r="G525" s="43">
        <f>IF(INDEX(DarlBindung,2)="",1,IF($E525&lt;=INDEX(DarlBindung,2),1,0))</f>
      </c>
      <c r="H525" s="43">
        <f>IF($G525=1,INDEX(DarlSollzins,2),INDEX(DarlAnschluss,2))</f>
      </c>
      <c r="I525" s="43">
        <f>IF(INDEX(DarlBelegt,2)=0,0,IF(INDEX(DarlOhneTilgung,2)=1,IF(INDEX(DarlBindung,2)="",1,$G525),IF($J525&gt;0.005,1,0)))</f>
      </c>
      <c r="J525" s="43">
        <f>IF($I524=0,0,$R524)</f>
      </c>
      <c r="K525" s="43">
        <f>IF($I525=0,0,IF(INDEX(DarlOhneTilgung,2)=1,0,IF(AND(INDEX(DarlTilgStart,2)&gt;0,$E525=INDEX(DarlTilgStart,2)),$J525*($H525+INDEX(DarlTilgung,2))/100/12,IF(AND($G525=0,$G524=1),MAX($K524,$J525*($H525+1)/100/12),$K524))))</f>
      </c>
      <c r="L525" s="43">
        <f>IF($I525=0,0,$J525*$H525/100/12)</f>
      </c>
      <c r="M525" s="43">
        <f>IF($I525=0,0,IF(OR(INDEX(DarlOhneTilgung,2)=1,AND(INDEX(DarlTilgStart,2)&gt;0,$E525&lt;INDEX(DarlTilgStart,2))),0,MIN(MAX(0,$K525-$L525),$J525)))</f>
      </c>
      <c r="N525" s="43">
        <f>IF($I525=0,0,MIN(SUMIFS(SondBetrag,SondDarl,2,SondDatum,"&gt;="&amp;$E525,SondDatum,"&lt;="&amp;EOMONTH($E525,0)),$J525-$M525))</f>
      </c>
      <c r="O525" s="43">
        <f>IF($I525=0,0,INDEX(DarlErsatzRate,2))</f>
      </c>
      <c r="P525" s="43">
        <f>IF($I525=0,0,$Q524*INDEX(DarlErsatzZins,2))</f>
      </c>
      <c r="Q525" s="43">
        <f>IF($I525=0,0,$Q524+$P525+$O525)</f>
      </c>
      <c r="R525" s="43">
        <f>IF($I525=0,0,$J525-$M525-$N525)</f>
      </c>
    </row>
    <row r="526">
      <c r="A526"/>
      <c r="B526">
        <v>2</v>
      </c>
      <c r="C526" s="43">
        <f>INDEX(DarlObj,2)</f>
      </c>
      <c r="D526">
        <v>43</v>
      </c>
      <c r="E526" s="51">
        <f>IF(INDEX(DarlBelegt,2)=0,0,EOMONTH(INDEX(DarlAuszahlung,2),42)+1)</f>
      </c>
      <c r="F526" s="43">
        <f>IF($E526=0,0,YEAR($E526))</f>
      </c>
      <c r="G526" s="43">
        <f>IF(INDEX(DarlBindung,2)="",1,IF($E526&lt;=INDEX(DarlBindung,2),1,0))</f>
      </c>
      <c r="H526" s="43">
        <f>IF($G526=1,INDEX(DarlSollzins,2),INDEX(DarlAnschluss,2))</f>
      </c>
      <c r="I526" s="43">
        <f>IF(INDEX(DarlBelegt,2)=0,0,IF(INDEX(DarlOhneTilgung,2)=1,IF(INDEX(DarlBindung,2)="",1,$G526),IF($J526&gt;0.005,1,0)))</f>
      </c>
      <c r="J526" s="43">
        <f>IF($I525=0,0,$R525)</f>
      </c>
      <c r="K526" s="43">
        <f>IF($I526=0,0,IF(INDEX(DarlOhneTilgung,2)=1,0,IF(AND(INDEX(DarlTilgStart,2)&gt;0,$E526=INDEX(DarlTilgStart,2)),$J526*($H526+INDEX(DarlTilgung,2))/100/12,IF(AND($G526=0,$G525=1),MAX($K525,$J526*($H526+1)/100/12),$K525))))</f>
      </c>
      <c r="L526" s="43">
        <f>IF($I526=0,0,$J526*$H526/100/12)</f>
      </c>
      <c r="M526" s="43">
        <f>IF($I526=0,0,IF(OR(INDEX(DarlOhneTilgung,2)=1,AND(INDEX(DarlTilgStart,2)&gt;0,$E526&lt;INDEX(DarlTilgStart,2))),0,MIN(MAX(0,$K526-$L526),$J526)))</f>
      </c>
      <c r="N526" s="43">
        <f>IF($I526=0,0,MIN(SUMIFS(SondBetrag,SondDarl,2,SondDatum,"&gt;="&amp;$E526,SondDatum,"&lt;="&amp;EOMONTH($E526,0)),$J526-$M526))</f>
      </c>
      <c r="O526" s="43">
        <f>IF($I526=0,0,INDEX(DarlErsatzRate,2))</f>
      </c>
      <c r="P526" s="43">
        <f>IF($I526=0,0,$Q525*INDEX(DarlErsatzZins,2))</f>
      </c>
      <c r="Q526" s="43">
        <f>IF($I526=0,0,$Q525+$P526+$O526)</f>
      </c>
      <c r="R526" s="43">
        <f>IF($I526=0,0,$J526-$M526-$N526)</f>
      </c>
    </row>
    <row r="527">
      <c r="A527"/>
      <c r="B527">
        <v>2</v>
      </c>
      <c r="C527" s="43">
        <f>INDEX(DarlObj,2)</f>
      </c>
      <c r="D527">
        <v>44</v>
      </c>
      <c r="E527" s="51">
        <f>IF(INDEX(DarlBelegt,2)=0,0,EOMONTH(INDEX(DarlAuszahlung,2),43)+1)</f>
      </c>
      <c r="F527" s="43">
        <f>IF($E527=0,0,YEAR($E527))</f>
      </c>
      <c r="G527" s="43">
        <f>IF(INDEX(DarlBindung,2)="",1,IF($E527&lt;=INDEX(DarlBindung,2),1,0))</f>
      </c>
      <c r="H527" s="43">
        <f>IF($G527=1,INDEX(DarlSollzins,2),INDEX(DarlAnschluss,2))</f>
      </c>
      <c r="I527" s="43">
        <f>IF(INDEX(DarlBelegt,2)=0,0,IF(INDEX(DarlOhneTilgung,2)=1,IF(INDEX(DarlBindung,2)="",1,$G527),IF($J527&gt;0.005,1,0)))</f>
      </c>
      <c r="J527" s="43">
        <f>IF($I526=0,0,$R526)</f>
      </c>
      <c r="K527" s="43">
        <f>IF($I527=0,0,IF(INDEX(DarlOhneTilgung,2)=1,0,IF(AND(INDEX(DarlTilgStart,2)&gt;0,$E527=INDEX(DarlTilgStart,2)),$J527*($H527+INDEX(DarlTilgung,2))/100/12,IF(AND($G527=0,$G526=1),MAX($K526,$J527*($H527+1)/100/12),$K526))))</f>
      </c>
      <c r="L527" s="43">
        <f>IF($I527=0,0,$J527*$H527/100/12)</f>
      </c>
      <c r="M527" s="43">
        <f>IF($I527=0,0,IF(OR(INDEX(DarlOhneTilgung,2)=1,AND(INDEX(DarlTilgStart,2)&gt;0,$E527&lt;INDEX(DarlTilgStart,2))),0,MIN(MAX(0,$K527-$L527),$J527)))</f>
      </c>
      <c r="N527" s="43">
        <f>IF($I527=0,0,MIN(SUMIFS(SondBetrag,SondDarl,2,SondDatum,"&gt;="&amp;$E527,SondDatum,"&lt;="&amp;EOMONTH($E527,0)),$J527-$M527))</f>
      </c>
      <c r="O527" s="43">
        <f>IF($I527=0,0,INDEX(DarlErsatzRate,2))</f>
      </c>
      <c r="P527" s="43">
        <f>IF($I527=0,0,$Q526*INDEX(DarlErsatzZins,2))</f>
      </c>
      <c r="Q527" s="43">
        <f>IF($I527=0,0,$Q526+$P527+$O527)</f>
      </c>
      <c r="R527" s="43">
        <f>IF($I527=0,0,$J527-$M527-$N527)</f>
      </c>
    </row>
    <row r="528">
      <c r="A528"/>
      <c r="B528">
        <v>2</v>
      </c>
      <c r="C528" s="43">
        <f>INDEX(DarlObj,2)</f>
      </c>
      <c r="D528">
        <v>45</v>
      </c>
      <c r="E528" s="51">
        <f>IF(INDEX(DarlBelegt,2)=0,0,EOMONTH(INDEX(DarlAuszahlung,2),44)+1)</f>
      </c>
      <c r="F528" s="43">
        <f>IF($E528=0,0,YEAR($E528))</f>
      </c>
      <c r="G528" s="43">
        <f>IF(INDEX(DarlBindung,2)="",1,IF($E528&lt;=INDEX(DarlBindung,2),1,0))</f>
      </c>
      <c r="H528" s="43">
        <f>IF($G528=1,INDEX(DarlSollzins,2),INDEX(DarlAnschluss,2))</f>
      </c>
      <c r="I528" s="43">
        <f>IF(INDEX(DarlBelegt,2)=0,0,IF(INDEX(DarlOhneTilgung,2)=1,IF(INDEX(DarlBindung,2)="",1,$G528),IF($J528&gt;0.005,1,0)))</f>
      </c>
      <c r="J528" s="43">
        <f>IF($I527=0,0,$R527)</f>
      </c>
      <c r="K528" s="43">
        <f>IF($I528=0,0,IF(INDEX(DarlOhneTilgung,2)=1,0,IF(AND(INDEX(DarlTilgStart,2)&gt;0,$E528=INDEX(DarlTilgStart,2)),$J528*($H528+INDEX(DarlTilgung,2))/100/12,IF(AND($G528=0,$G527=1),MAX($K527,$J528*($H528+1)/100/12),$K527))))</f>
      </c>
      <c r="L528" s="43">
        <f>IF($I528=0,0,$J528*$H528/100/12)</f>
      </c>
      <c r="M528" s="43">
        <f>IF($I528=0,0,IF(OR(INDEX(DarlOhneTilgung,2)=1,AND(INDEX(DarlTilgStart,2)&gt;0,$E528&lt;INDEX(DarlTilgStart,2))),0,MIN(MAX(0,$K528-$L528),$J528)))</f>
      </c>
      <c r="N528" s="43">
        <f>IF($I528=0,0,MIN(SUMIFS(SondBetrag,SondDarl,2,SondDatum,"&gt;="&amp;$E528,SondDatum,"&lt;="&amp;EOMONTH($E528,0)),$J528-$M528))</f>
      </c>
      <c r="O528" s="43">
        <f>IF($I528=0,0,INDEX(DarlErsatzRate,2))</f>
      </c>
      <c r="P528" s="43">
        <f>IF($I528=0,0,$Q527*INDEX(DarlErsatzZins,2))</f>
      </c>
      <c r="Q528" s="43">
        <f>IF($I528=0,0,$Q527+$P528+$O528)</f>
      </c>
      <c r="R528" s="43">
        <f>IF($I528=0,0,$J528-$M528-$N528)</f>
      </c>
    </row>
    <row r="529">
      <c r="A529"/>
      <c r="B529">
        <v>2</v>
      </c>
      <c r="C529" s="43">
        <f>INDEX(DarlObj,2)</f>
      </c>
      <c r="D529">
        <v>46</v>
      </c>
      <c r="E529" s="51">
        <f>IF(INDEX(DarlBelegt,2)=0,0,EOMONTH(INDEX(DarlAuszahlung,2),45)+1)</f>
      </c>
      <c r="F529" s="43">
        <f>IF($E529=0,0,YEAR($E529))</f>
      </c>
      <c r="G529" s="43">
        <f>IF(INDEX(DarlBindung,2)="",1,IF($E529&lt;=INDEX(DarlBindung,2),1,0))</f>
      </c>
      <c r="H529" s="43">
        <f>IF($G529=1,INDEX(DarlSollzins,2),INDEX(DarlAnschluss,2))</f>
      </c>
      <c r="I529" s="43">
        <f>IF(INDEX(DarlBelegt,2)=0,0,IF(INDEX(DarlOhneTilgung,2)=1,IF(INDEX(DarlBindung,2)="",1,$G529),IF($J529&gt;0.005,1,0)))</f>
      </c>
      <c r="J529" s="43">
        <f>IF($I528=0,0,$R528)</f>
      </c>
      <c r="K529" s="43">
        <f>IF($I529=0,0,IF(INDEX(DarlOhneTilgung,2)=1,0,IF(AND(INDEX(DarlTilgStart,2)&gt;0,$E529=INDEX(DarlTilgStart,2)),$J529*($H529+INDEX(DarlTilgung,2))/100/12,IF(AND($G529=0,$G528=1),MAX($K528,$J529*($H529+1)/100/12),$K528))))</f>
      </c>
      <c r="L529" s="43">
        <f>IF($I529=0,0,$J529*$H529/100/12)</f>
      </c>
      <c r="M529" s="43">
        <f>IF($I529=0,0,IF(OR(INDEX(DarlOhneTilgung,2)=1,AND(INDEX(DarlTilgStart,2)&gt;0,$E529&lt;INDEX(DarlTilgStart,2))),0,MIN(MAX(0,$K529-$L529),$J529)))</f>
      </c>
      <c r="N529" s="43">
        <f>IF($I529=0,0,MIN(SUMIFS(SondBetrag,SondDarl,2,SondDatum,"&gt;="&amp;$E529,SondDatum,"&lt;="&amp;EOMONTH($E529,0)),$J529-$M529))</f>
      </c>
      <c r="O529" s="43">
        <f>IF($I529=0,0,INDEX(DarlErsatzRate,2))</f>
      </c>
      <c r="P529" s="43">
        <f>IF($I529=0,0,$Q528*INDEX(DarlErsatzZins,2))</f>
      </c>
      <c r="Q529" s="43">
        <f>IF($I529=0,0,$Q528+$P529+$O529)</f>
      </c>
      <c r="R529" s="43">
        <f>IF($I529=0,0,$J529-$M529-$N529)</f>
      </c>
    </row>
    <row r="530">
      <c r="A530"/>
      <c r="B530">
        <v>2</v>
      </c>
      <c r="C530" s="43">
        <f>INDEX(DarlObj,2)</f>
      </c>
      <c r="D530">
        <v>47</v>
      </c>
      <c r="E530" s="51">
        <f>IF(INDEX(DarlBelegt,2)=0,0,EOMONTH(INDEX(DarlAuszahlung,2),46)+1)</f>
      </c>
      <c r="F530" s="43">
        <f>IF($E530=0,0,YEAR($E530))</f>
      </c>
      <c r="G530" s="43">
        <f>IF(INDEX(DarlBindung,2)="",1,IF($E530&lt;=INDEX(DarlBindung,2),1,0))</f>
      </c>
      <c r="H530" s="43">
        <f>IF($G530=1,INDEX(DarlSollzins,2),INDEX(DarlAnschluss,2))</f>
      </c>
      <c r="I530" s="43">
        <f>IF(INDEX(DarlBelegt,2)=0,0,IF(INDEX(DarlOhneTilgung,2)=1,IF(INDEX(DarlBindung,2)="",1,$G530),IF($J530&gt;0.005,1,0)))</f>
      </c>
      <c r="J530" s="43">
        <f>IF($I529=0,0,$R529)</f>
      </c>
      <c r="K530" s="43">
        <f>IF($I530=0,0,IF(INDEX(DarlOhneTilgung,2)=1,0,IF(AND(INDEX(DarlTilgStart,2)&gt;0,$E530=INDEX(DarlTilgStart,2)),$J530*($H530+INDEX(DarlTilgung,2))/100/12,IF(AND($G530=0,$G529=1),MAX($K529,$J530*($H530+1)/100/12),$K529))))</f>
      </c>
      <c r="L530" s="43">
        <f>IF($I530=0,0,$J530*$H530/100/12)</f>
      </c>
      <c r="M530" s="43">
        <f>IF($I530=0,0,IF(OR(INDEX(DarlOhneTilgung,2)=1,AND(INDEX(DarlTilgStart,2)&gt;0,$E530&lt;INDEX(DarlTilgStart,2))),0,MIN(MAX(0,$K530-$L530),$J530)))</f>
      </c>
      <c r="N530" s="43">
        <f>IF($I530=0,0,MIN(SUMIFS(SondBetrag,SondDarl,2,SondDatum,"&gt;="&amp;$E530,SondDatum,"&lt;="&amp;EOMONTH($E530,0)),$J530-$M530))</f>
      </c>
      <c r="O530" s="43">
        <f>IF($I530=0,0,INDEX(DarlErsatzRate,2))</f>
      </c>
      <c r="P530" s="43">
        <f>IF($I530=0,0,$Q529*INDEX(DarlErsatzZins,2))</f>
      </c>
      <c r="Q530" s="43">
        <f>IF($I530=0,0,$Q529+$P530+$O530)</f>
      </c>
      <c r="R530" s="43">
        <f>IF($I530=0,0,$J530-$M530-$N530)</f>
      </c>
    </row>
    <row r="531">
      <c r="A531"/>
      <c r="B531">
        <v>2</v>
      </c>
      <c r="C531" s="43">
        <f>INDEX(DarlObj,2)</f>
      </c>
      <c r="D531">
        <v>48</v>
      </c>
      <c r="E531" s="51">
        <f>IF(INDEX(DarlBelegt,2)=0,0,EOMONTH(INDEX(DarlAuszahlung,2),47)+1)</f>
      </c>
      <c r="F531" s="43">
        <f>IF($E531=0,0,YEAR($E531))</f>
      </c>
      <c r="G531" s="43">
        <f>IF(INDEX(DarlBindung,2)="",1,IF($E531&lt;=INDEX(DarlBindung,2),1,0))</f>
      </c>
      <c r="H531" s="43">
        <f>IF($G531=1,INDEX(DarlSollzins,2),INDEX(DarlAnschluss,2))</f>
      </c>
      <c r="I531" s="43">
        <f>IF(INDEX(DarlBelegt,2)=0,0,IF(INDEX(DarlOhneTilgung,2)=1,IF(INDEX(DarlBindung,2)="",1,$G531),IF($J531&gt;0.005,1,0)))</f>
      </c>
      <c r="J531" s="43">
        <f>IF($I530=0,0,$R530)</f>
      </c>
      <c r="K531" s="43">
        <f>IF($I531=0,0,IF(INDEX(DarlOhneTilgung,2)=1,0,IF(AND(INDEX(DarlTilgStart,2)&gt;0,$E531=INDEX(DarlTilgStart,2)),$J531*($H531+INDEX(DarlTilgung,2))/100/12,IF(AND($G531=0,$G530=1),MAX($K530,$J531*($H531+1)/100/12),$K530))))</f>
      </c>
      <c r="L531" s="43">
        <f>IF($I531=0,0,$J531*$H531/100/12)</f>
      </c>
      <c r="M531" s="43">
        <f>IF($I531=0,0,IF(OR(INDEX(DarlOhneTilgung,2)=1,AND(INDEX(DarlTilgStart,2)&gt;0,$E531&lt;INDEX(DarlTilgStart,2))),0,MIN(MAX(0,$K531-$L531),$J531)))</f>
      </c>
      <c r="N531" s="43">
        <f>IF($I531=0,0,MIN(SUMIFS(SondBetrag,SondDarl,2,SondDatum,"&gt;="&amp;$E531,SondDatum,"&lt;="&amp;EOMONTH($E531,0)),$J531-$M531))</f>
      </c>
      <c r="O531" s="43">
        <f>IF($I531=0,0,INDEX(DarlErsatzRate,2))</f>
      </c>
      <c r="P531" s="43">
        <f>IF($I531=0,0,$Q530*INDEX(DarlErsatzZins,2))</f>
      </c>
      <c r="Q531" s="43">
        <f>IF($I531=0,0,$Q530+$P531+$O531)</f>
      </c>
      <c r="R531" s="43">
        <f>IF($I531=0,0,$J531-$M531-$N531)</f>
      </c>
    </row>
    <row r="532">
      <c r="A532"/>
      <c r="B532">
        <v>2</v>
      </c>
      <c r="C532" s="43">
        <f>INDEX(DarlObj,2)</f>
      </c>
      <c r="D532">
        <v>49</v>
      </c>
      <c r="E532" s="51">
        <f>IF(INDEX(DarlBelegt,2)=0,0,EOMONTH(INDEX(DarlAuszahlung,2),48)+1)</f>
      </c>
      <c r="F532" s="43">
        <f>IF($E532=0,0,YEAR($E532))</f>
      </c>
      <c r="G532" s="43">
        <f>IF(INDEX(DarlBindung,2)="",1,IF($E532&lt;=INDEX(DarlBindung,2),1,0))</f>
      </c>
      <c r="H532" s="43">
        <f>IF($G532=1,INDEX(DarlSollzins,2),INDEX(DarlAnschluss,2))</f>
      </c>
      <c r="I532" s="43">
        <f>IF(INDEX(DarlBelegt,2)=0,0,IF(INDEX(DarlOhneTilgung,2)=1,IF(INDEX(DarlBindung,2)="",1,$G532),IF($J532&gt;0.005,1,0)))</f>
      </c>
      <c r="J532" s="43">
        <f>IF($I531=0,0,$R531)</f>
      </c>
      <c r="K532" s="43">
        <f>IF($I532=0,0,IF(INDEX(DarlOhneTilgung,2)=1,0,IF(AND(INDEX(DarlTilgStart,2)&gt;0,$E532=INDEX(DarlTilgStart,2)),$J532*($H532+INDEX(DarlTilgung,2))/100/12,IF(AND($G532=0,$G531=1),MAX($K531,$J532*($H532+1)/100/12),$K531))))</f>
      </c>
      <c r="L532" s="43">
        <f>IF($I532=0,0,$J532*$H532/100/12)</f>
      </c>
      <c r="M532" s="43">
        <f>IF($I532=0,0,IF(OR(INDEX(DarlOhneTilgung,2)=1,AND(INDEX(DarlTilgStart,2)&gt;0,$E532&lt;INDEX(DarlTilgStart,2))),0,MIN(MAX(0,$K532-$L532),$J532)))</f>
      </c>
      <c r="N532" s="43">
        <f>IF($I532=0,0,MIN(SUMIFS(SondBetrag,SondDarl,2,SondDatum,"&gt;="&amp;$E532,SondDatum,"&lt;="&amp;EOMONTH($E532,0)),$J532-$M532))</f>
      </c>
      <c r="O532" s="43">
        <f>IF($I532=0,0,INDEX(DarlErsatzRate,2))</f>
      </c>
      <c r="P532" s="43">
        <f>IF($I532=0,0,$Q531*INDEX(DarlErsatzZins,2))</f>
      </c>
      <c r="Q532" s="43">
        <f>IF($I532=0,0,$Q531+$P532+$O532)</f>
      </c>
      <c r="R532" s="43">
        <f>IF($I532=0,0,$J532-$M532-$N532)</f>
      </c>
    </row>
    <row r="533">
      <c r="A533"/>
      <c r="B533">
        <v>2</v>
      </c>
      <c r="C533" s="43">
        <f>INDEX(DarlObj,2)</f>
      </c>
      <c r="D533">
        <v>50</v>
      </c>
      <c r="E533" s="51">
        <f>IF(INDEX(DarlBelegt,2)=0,0,EOMONTH(INDEX(DarlAuszahlung,2),49)+1)</f>
      </c>
      <c r="F533" s="43">
        <f>IF($E533=0,0,YEAR($E533))</f>
      </c>
      <c r="G533" s="43">
        <f>IF(INDEX(DarlBindung,2)="",1,IF($E533&lt;=INDEX(DarlBindung,2),1,0))</f>
      </c>
      <c r="H533" s="43">
        <f>IF($G533=1,INDEX(DarlSollzins,2),INDEX(DarlAnschluss,2))</f>
      </c>
      <c r="I533" s="43">
        <f>IF(INDEX(DarlBelegt,2)=0,0,IF(INDEX(DarlOhneTilgung,2)=1,IF(INDEX(DarlBindung,2)="",1,$G533),IF($J533&gt;0.005,1,0)))</f>
      </c>
      <c r="J533" s="43">
        <f>IF($I532=0,0,$R532)</f>
      </c>
      <c r="K533" s="43">
        <f>IF($I533=0,0,IF(INDEX(DarlOhneTilgung,2)=1,0,IF(AND(INDEX(DarlTilgStart,2)&gt;0,$E533=INDEX(DarlTilgStart,2)),$J533*($H533+INDEX(DarlTilgung,2))/100/12,IF(AND($G533=0,$G532=1),MAX($K532,$J533*($H533+1)/100/12),$K532))))</f>
      </c>
      <c r="L533" s="43">
        <f>IF($I533=0,0,$J533*$H533/100/12)</f>
      </c>
      <c r="M533" s="43">
        <f>IF($I533=0,0,IF(OR(INDEX(DarlOhneTilgung,2)=1,AND(INDEX(DarlTilgStart,2)&gt;0,$E533&lt;INDEX(DarlTilgStart,2))),0,MIN(MAX(0,$K533-$L533),$J533)))</f>
      </c>
      <c r="N533" s="43">
        <f>IF($I533=0,0,MIN(SUMIFS(SondBetrag,SondDarl,2,SondDatum,"&gt;="&amp;$E533,SondDatum,"&lt;="&amp;EOMONTH($E533,0)),$J533-$M533))</f>
      </c>
      <c r="O533" s="43">
        <f>IF($I533=0,0,INDEX(DarlErsatzRate,2))</f>
      </c>
      <c r="P533" s="43">
        <f>IF($I533=0,0,$Q532*INDEX(DarlErsatzZins,2))</f>
      </c>
      <c r="Q533" s="43">
        <f>IF($I533=0,0,$Q532+$P533+$O533)</f>
      </c>
      <c r="R533" s="43">
        <f>IF($I533=0,0,$J533-$M533-$N533)</f>
      </c>
    </row>
    <row r="534">
      <c r="A534"/>
      <c r="B534">
        <v>2</v>
      </c>
      <c r="C534" s="43">
        <f>INDEX(DarlObj,2)</f>
      </c>
      <c r="D534">
        <v>51</v>
      </c>
      <c r="E534" s="51">
        <f>IF(INDEX(DarlBelegt,2)=0,0,EOMONTH(INDEX(DarlAuszahlung,2),50)+1)</f>
      </c>
      <c r="F534" s="43">
        <f>IF($E534=0,0,YEAR($E534))</f>
      </c>
      <c r="G534" s="43">
        <f>IF(INDEX(DarlBindung,2)="",1,IF($E534&lt;=INDEX(DarlBindung,2),1,0))</f>
      </c>
      <c r="H534" s="43">
        <f>IF($G534=1,INDEX(DarlSollzins,2),INDEX(DarlAnschluss,2))</f>
      </c>
      <c r="I534" s="43">
        <f>IF(INDEX(DarlBelegt,2)=0,0,IF(INDEX(DarlOhneTilgung,2)=1,IF(INDEX(DarlBindung,2)="",1,$G534),IF($J534&gt;0.005,1,0)))</f>
      </c>
      <c r="J534" s="43">
        <f>IF($I533=0,0,$R533)</f>
      </c>
      <c r="K534" s="43">
        <f>IF($I534=0,0,IF(INDEX(DarlOhneTilgung,2)=1,0,IF(AND(INDEX(DarlTilgStart,2)&gt;0,$E534=INDEX(DarlTilgStart,2)),$J534*($H534+INDEX(DarlTilgung,2))/100/12,IF(AND($G534=0,$G533=1),MAX($K533,$J534*($H534+1)/100/12),$K533))))</f>
      </c>
      <c r="L534" s="43">
        <f>IF($I534=0,0,$J534*$H534/100/12)</f>
      </c>
      <c r="M534" s="43">
        <f>IF($I534=0,0,IF(OR(INDEX(DarlOhneTilgung,2)=1,AND(INDEX(DarlTilgStart,2)&gt;0,$E534&lt;INDEX(DarlTilgStart,2))),0,MIN(MAX(0,$K534-$L534),$J534)))</f>
      </c>
      <c r="N534" s="43">
        <f>IF($I534=0,0,MIN(SUMIFS(SondBetrag,SondDarl,2,SondDatum,"&gt;="&amp;$E534,SondDatum,"&lt;="&amp;EOMONTH($E534,0)),$J534-$M534))</f>
      </c>
      <c r="O534" s="43">
        <f>IF($I534=0,0,INDEX(DarlErsatzRate,2))</f>
      </c>
      <c r="P534" s="43">
        <f>IF($I534=0,0,$Q533*INDEX(DarlErsatzZins,2))</f>
      </c>
      <c r="Q534" s="43">
        <f>IF($I534=0,0,$Q533+$P534+$O534)</f>
      </c>
      <c r="R534" s="43">
        <f>IF($I534=0,0,$J534-$M534-$N534)</f>
      </c>
    </row>
    <row r="535">
      <c r="A535"/>
      <c r="B535">
        <v>2</v>
      </c>
      <c r="C535" s="43">
        <f>INDEX(DarlObj,2)</f>
      </c>
      <c r="D535">
        <v>52</v>
      </c>
      <c r="E535" s="51">
        <f>IF(INDEX(DarlBelegt,2)=0,0,EOMONTH(INDEX(DarlAuszahlung,2),51)+1)</f>
      </c>
      <c r="F535" s="43">
        <f>IF($E535=0,0,YEAR($E535))</f>
      </c>
      <c r="G535" s="43">
        <f>IF(INDEX(DarlBindung,2)="",1,IF($E535&lt;=INDEX(DarlBindung,2),1,0))</f>
      </c>
      <c r="H535" s="43">
        <f>IF($G535=1,INDEX(DarlSollzins,2),INDEX(DarlAnschluss,2))</f>
      </c>
      <c r="I535" s="43">
        <f>IF(INDEX(DarlBelegt,2)=0,0,IF(INDEX(DarlOhneTilgung,2)=1,IF(INDEX(DarlBindung,2)="",1,$G535),IF($J535&gt;0.005,1,0)))</f>
      </c>
      <c r="J535" s="43">
        <f>IF($I534=0,0,$R534)</f>
      </c>
      <c r="K535" s="43">
        <f>IF($I535=0,0,IF(INDEX(DarlOhneTilgung,2)=1,0,IF(AND(INDEX(DarlTilgStart,2)&gt;0,$E535=INDEX(DarlTilgStart,2)),$J535*($H535+INDEX(DarlTilgung,2))/100/12,IF(AND($G535=0,$G534=1),MAX($K534,$J535*($H535+1)/100/12),$K534))))</f>
      </c>
      <c r="L535" s="43">
        <f>IF($I535=0,0,$J535*$H535/100/12)</f>
      </c>
      <c r="M535" s="43">
        <f>IF($I535=0,0,IF(OR(INDEX(DarlOhneTilgung,2)=1,AND(INDEX(DarlTilgStart,2)&gt;0,$E535&lt;INDEX(DarlTilgStart,2))),0,MIN(MAX(0,$K535-$L535),$J535)))</f>
      </c>
      <c r="N535" s="43">
        <f>IF($I535=0,0,MIN(SUMIFS(SondBetrag,SondDarl,2,SondDatum,"&gt;="&amp;$E535,SondDatum,"&lt;="&amp;EOMONTH($E535,0)),$J535-$M535))</f>
      </c>
      <c r="O535" s="43">
        <f>IF($I535=0,0,INDEX(DarlErsatzRate,2))</f>
      </c>
      <c r="P535" s="43">
        <f>IF($I535=0,0,$Q534*INDEX(DarlErsatzZins,2))</f>
      </c>
      <c r="Q535" s="43">
        <f>IF($I535=0,0,$Q534+$P535+$O535)</f>
      </c>
      <c r="R535" s="43">
        <f>IF($I535=0,0,$J535-$M535-$N535)</f>
      </c>
    </row>
    <row r="536">
      <c r="A536"/>
      <c r="B536">
        <v>2</v>
      </c>
      <c r="C536" s="43">
        <f>INDEX(DarlObj,2)</f>
      </c>
      <c r="D536">
        <v>53</v>
      </c>
      <c r="E536" s="51">
        <f>IF(INDEX(DarlBelegt,2)=0,0,EOMONTH(INDEX(DarlAuszahlung,2),52)+1)</f>
      </c>
      <c r="F536" s="43">
        <f>IF($E536=0,0,YEAR($E536))</f>
      </c>
      <c r="G536" s="43">
        <f>IF(INDEX(DarlBindung,2)="",1,IF($E536&lt;=INDEX(DarlBindung,2),1,0))</f>
      </c>
      <c r="H536" s="43">
        <f>IF($G536=1,INDEX(DarlSollzins,2),INDEX(DarlAnschluss,2))</f>
      </c>
      <c r="I536" s="43">
        <f>IF(INDEX(DarlBelegt,2)=0,0,IF(INDEX(DarlOhneTilgung,2)=1,IF(INDEX(DarlBindung,2)="",1,$G536),IF($J536&gt;0.005,1,0)))</f>
      </c>
      <c r="J536" s="43">
        <f>IF($I535=0,0,$R535)</f>
      </c>
      <c r="K536" s="43">
        <f>IF($I536=0,0,IF(INDEX(DarlOhneTilgung,2)=1,0,IF(AND(INDEX(DarlTilgStart,2)&gt;0,$E536=INDEX(DarlTilgStart,2)),$J536*($H536+INDEX(DarlTilgung,2))/100/12,IF(AND($G536=0,$G535=1),MAX($K535,$J536*($H536+1)/100/12),$K535))))</f>
      </c>
      <c r="L536" s="43">
        <f>IF($I536=0,0,$J536*$H536/100/12)</f>
      </c>
      <c r="M536" s="43">
        <f>IF($I536=0,0,IF(OR(INDEX(DarlOhneTilgung,2)=1,AND(INDEX(DarlTilgStart,2)&gt;0,$E536&lt;INDEX(DarlTilgStart,2))),0,MIN(MAX(0,$K536-$L536),$J536)))</f>
      </c>
      <c r="N536" s="43">
        <f>IF($I536=0,0,MIN(SUMIFS(SondBetrag,SondDarl,2,SondDatum,"&gt;="&amp;$E536,SondDatum,"&lt;="&amp;EOMONTH($E536,0)),$J536-$M536))</f>
      </c>
      <c r="O536" s="43">
        <f>IF($I536=0,0,INDEX(DarlErsatzRate,2))</f>
      </c>
      <c r="P536" s="43">
        <f>IF($I536=0,0,$Q535*INDEX(DarlErsatzZins,2))</f>
      </c>
      <c r="Q536" s="43">
        <f>IF($I536=0,0,$Q535+$P536+$O536)</f>
      </c>
      <c r="R536" s="43">
        <f>IF($I536=0,0,$J536-$M536-$N536)</f>
      </c>
    </row>
    <row r="537">
      <c r="A537"/>
      <c r="B537">
        <v>2</v>
      </c>
      <c r="C537" s="43">
        <f>INDEX(DarlObj,2)</f>
      </c>
      <c r="D537">
        <v>54</v>
      </c>
      <c r="E537" s="51">
        <f>IF(INDEX(DarlBelegt,2)=0,0,EOMONTH(INDEX(DarlAuszahlung,2),53)+1)</f>
      </c>
      <c r="F537" s="43">
        <f>IF($E537=0,0,YEAR($E537))</f>
      </c>
      <c r="G537" s="43">
        <f>IF(INDEX(DarlBindung,2)="",1,IF($E537&lt;=INDEX(DarlBindung,2),1,0))</f>
      </c>
      <c r="H537" s="43">
        <f>IF($G537=1,INDEX(DarlSollzins,2),INDEX(DarlAnschluss,2))</f>
      </c>
      <c r="I537" s="43">
        <f>IF(INDEX(DarlBelegt,2)=0,0,IF(INDEX(DarlOhneTilgung,2)=1,IF(INDEX(DarlBindung,2)="",1,$G537),IF($J537&gt;0.005,1,0)))</f>
      </c>
      <c r="J537" s="43">
        <f>IF($I536=0,0,$R536)</f>
      </c>
      <c r="K537" s="43">
        <f>IF($I537=0,0,IF(INDEX(DarlOhneTilgung,2)=1,0,IF(AND(INDEX(DarlTilgStart,2)&gt;0,$E537=INDEX(DarlTilgStart,2)),$J537*($H537+INDEX(DarlTilgung,2))/100/12,IF(AND($G537=0,$G536=1),MAX($K536,$J537*($H537+1)/100/12),$K536))))</f>
      </c>
      <c r="L537" s="43">
        <f>IF($I537=0,0,$J537*$H537/100/12)</f>
      </c>
      <c r="M537" s="43">
        <f>IF($I537=0,0,IF(OR(INDEX(DarlOhneTilgung,2)=1,AND(INDEX(DarlTilgStart,2)&gt;0,$E537&lt;INDEX(DarlTilgStart,2))),0,MIN(MAX(0,$K537-$L537),$J537)))</f>
      </c>
      <c r="N537" s="43">
        <f>IF($I537=0,0,MIN(SUMIFS(SondBetrag,SondDarl,2,SondDatum,"&gt;="&amp;$E537,SondDatum,"&lt;="&amp;EOMONTH($E537,0)),$J537-$M537))</f>
      </c>
      <c r="O537" s="43">
        <f>IF($I537=0,0,INDEX(DarlErsatzRate,2))</f>
      </c>
      <c r="P537" s="43">
        <f>IF($I537=0,0,$Q536*INDEX(DarlErsatzZins,2))</f>
      </c>
      <c r="Q537" s="43">
        <f>IF($I537=0,0,$Q536+$P537+$O537)</f>
      </c>
      <c r="R537" s="43">
        <f>IF($I537=0,0,$J537-$M537-$N537)</f>
      </c>
    </row>
    <row r="538">
      <c r="A538"/>
      <c r="B538">
        <v>2</v>
      </c>
      <c r="C538" s="43">
        <f>INDEX(DarlObj,2)</f>
      </c>
      <c r="D538">
        <v>55</v>
      </c>
      <c r="E538" s="51">
        <f>IF(INDEX(DarlBelegt,2)=0,0,EOMONTH(INDEX(DarlAuszahlung,2),54)+1)</f>
      </c>
      <c r="F538" s="43">
        <f>IF($E538=0,0,YEAR($E538))</f>
      </c>
      <c r="G538" s="43">
        <f>IF(INDEX(DarlBindung,2)="",1,IF($E538&lt;=INDEX(DarlBindung,2),1,0))</f>
      </c>
      <c r="H538" s="43">
        <f>IF($G538=1,INDEX(DarlSollzins,2),INDEX(DarlAnschluss,2))</f>
      </c>
      <c r="I538" s="43">
        <f>IF(INDEX(DarlBelegt,2)=0,0,IF(INDEX(DarlOhneTilgung,2)=1,IF(INDEX(DarlBindung,2)="",1,$G538),IF($J538&gt;0.005,1,0)))</f>
      </c>
      <c r="J538" s="43">
        <f>IF($I537=0,0,$R537)</f>
      </c>
      <c r="K538" s="43">
        <f>IF($I538=0,0,IF(INDEX(DarlOhneTilgung,2)=1,0,IF(AND(INDEX(DarlTilgStart,2)&gt;0,$E538=INDEX(DarlTilgStart,2)),$J538*($H538+INDEX(DarlTilgung,2))/100/12,IF(AND($G538=0,$G537=1),MAX($K537,$J538*($H538+1)/100/12),$K537))))</f>
      </c>
      <c r="L538" s="43">
        <f>IF($I538=0,0,$J538*$H538/100/12)</f>
      </c>
      <c r="M538" s="43">
        <f>IF($I538=0,0,IF(OR(INDEX(DarlOhneTilgung,2)=1,AND(INDEX(DarlTilgStart,2)&gt;0,$E538&lt;INDEX(DarlTilgStart,2))),0,MIN(MAX(0,$K538-$L538),$J538)))</f>
      </c>
      <c r="N538" s="43">
        <f>IF($I538=0,0,MIN(SUMIFS(SondBetrag,SondDarl,2,SondDatum,"&gt;="&amp;$E538,SondDatum,"&lt;="&amp;EOMONTH($E538,0)),$J538-$M538))</f>
      </c>
      <c r="O538" s="43">
        <f>IF($I538=0,0,INDEX(DarlErsatzRate,2))</f>
      </c>
      <c r="P538" s="43">
        <f>IF($I538=0,0,$Q537*INDEX(DarlErsatzZins,2))</f>
      </c>
      <c r="Q538" s="43">
        <f>IF($I538=0,0,$Q537+$P538+$O538)</f>
      </c>
      <c r="R538" s="43">
        <f>IF($I538=0,0,$J538-$M538-$N538)</f>
      </c>
    </row>
    <row r="539">
      <c r="A539"/>
      <c r="B539">
        <v>2</v>
      </c>
      <c r="C539" s="43">
        <f>INDEX(DarlObj,2)</f>
      </c>
      <c r="D539">
        <v>56</v>
      </c>
      <c r="E539" s="51">
        <f>IF(INDEX(DarlBelegt,2)=0,0,EOMONTH(INDEX(DarlAuszahlung,2),55)+1)</f>
      </c>
      <c r="F539" s="43">
        <f>IF($E539=0,0,YEAR($E539))</f>
      </c>
      <c r="G539" s="43">
        <f>IF(INDEX(DarlBindung,2)="",1,IF($E539&lt;=INDEX(DarlBindung,2),1,0))</f>
      </c>
      <c r="H539" s="43">
        <f>IF($G539=1,INDEX(DarlSollzins,2),INDEX(DarlAnschluss,2))</f>
      </c>
      <c r="I539" s="43">
        <f>IF(INDEX(DarlBelegt,2)=0,0,IF(INDEX(DarlOhneTilgung,2)=1,IF(INDEX(DarlBindung,2)="",1,$G539),IF($J539&gt;0.005,1,0)))</f>
      </c>
      <c r="J539" s="43">
        <f>IF($I538=0,0,$R538)</f>
      </c>
      <c r="K539" s="43">
        <f>IF($I539=0,0,IF(INDEX(DarlOhneTilgung,2)=1,0,IF(AND(INDEX(DarlTilgStart,2)&gt;0,$E539=INDEX(DarlTilgStart,2)),$J539*($H539+INDEX(DarlTilgung,2))/100/12,IF(AND($G539=0,$G538=1),MAX($K538,$J539*($H539+1)/100/12),$K538))))</f>
      </c>
      <c r="L539" s="43">
        <f>IF($I539=0,0,$J539*$H539/100/12)</f>
      </c>
      <c r="M539" s="43">
        <f>IF($I539=0,0,IF(OR(INDEX(DarlOhneTilgung,2)=1,AND(INDEX(DarlTilgStart,2)&gt;0,$E539&lt;INDEX(DarlTilgStart,2))),0,MIN(MAX(0,$K539-$L539),$J539)))</f>
      </c>
      <c r="N539" s="43">
        <f>IF($I539=0,0,MIN(SUMIFS(SondBetrag,SondDarl,2,SondDatum,"&gt;="&amp;$E539,SondDatum,"&lt;="&amp;EOMONTH($E539,0)),$J539-$M539))</f>
      </c>
      <c r="O539" s="43">
        <f>IF($I539=0,0,INDEX(DarlErsatzRate,2))</f>
      </c>
      <c r="P539" s="43">
        <f>IF($I539=0,0,$Q538*INDEX(DarlErsatzZins,2))</f>
      </c>
      <c r="Q539" s="43">
        <f>IF($I539=0,0,$Q538+$P539+$O539)</f>
      </c>
      <c r="R539" s="43">
        <f>IF($I539=0,0,$J539-$M539-$N539)</f>
      </c>
    </row>
    <row r="540">
      <c r="A540"/>
      <c r="B540">
        <v>2</v>
      </c>
      <c r="C540" s="43">
        <f>INDEX(DarlObj,2)</f>
      </c>
      <c r="D540">
        <v>57</v>
      </c>
      <c r="E540" s="51">
        <f>IF(INDEX(DarlBelegt,2)=0,0,EOMONTH(INDEX(DarlAuszahlung,2),56)+1)</f>
      </c>
      <c r="F540" s="43">
        <f>IF($E540=0,0,YEAR($E540))</f>
      </c>
      <c r="G540" s="43">
        <f>IF(INDEX(DarlBindung,2)="",1,IF($E540&lt;=INDEX(DarlBindung,2),1,0))</f>
      </c>
      <c r="H540" s="43">
        <f>IF($G540=1,INDEX(DarlSollzins,2),INDEX(DarlAnschluss,2))</f>
      </c>
      <c r="I540" s="43">
        <f>IF(INDEX(DarlBelegt,2)=0,0,IF(INDEX(DarlOhneTilgung,2)=1,IF(INDEX(DarlBindung,2)="",1,$G540),IF($J540&gt;0.005,1,0)))</f>
      </c>
      <c r="J540" s="43">
        <f>IF($I539=0,0,$R539)</f>
      </c>
      <c r="K540" s="43">
        <f>IF($I540=0,0,IF(INDEX(DarlOhneTilgung,2)=1,0,IF(AND(INDEX(DarlTilgStart,2)&gt;0,$E540=INDEX(DarlTilgStart,2)),$J540*($H540+INDEX(DarlTilgung,2))/100/12,IF(AND($G540=0,$G539=1),MAX($K539,$J540*($H540+1)/100/12),$K539))))</f>
      </c>
      <c r="L540" s="43">
        <f>IF($I540=0,0,$J540*$H540/100/12)</f>
      </c>
      <c r="M540" s="43">
        <f>IF($I540=0,0,IF(OR(INDEX(DarlOhneTilgung,2)=1,AND(INDEX(DarlTilgStart,2)&gt;0,$E540&lt;INDEX(DarlTilgStart,2))),0,MIN(MAX(0,$K540-$L540),$J540)))</f>
      </c>
      <c r="N540" s="43">
        <f>IF($I540=0,0,MIN(SUMIFS(SondBetrag,SondDarl,2,SondDatum,"&gt;="&amp;$E540,SondDatum,"&lt;="&amp;EOMONTH($E540,0)),$J540-$M540))</f>
      </c>
      <c r="O540" s="43">
        <f>IF($I540=0,0,INDEX(DarlErsatzRate,2))</f>
      </c>
      <c r="P540" s="43">
        <f>IF($I540=0,0,$Q539*INDEX(DarlErsatzZins,2))</f>
      </c>
      <c r="Q540" s="43">
        <f>IF($I540=0,0,$Q539+$P540+$O540)</f>
      </c>
      <c r="R540" s="43">
        <f>IF($I540=0,0,$J540-$M540-$N540)</f>
      </c>
    </row>
    <row r="541">
      <c r="A541"/>
      <c r="B541">
        <v>2</v>
      </c>
      <c r="C541" s="43">
        <f>INDEX(DarlObj,2)</f>
      </c>
      <c r="D541">
        <v>58</v>
      </c>
      <c r="E541" s="51">
        <f>IF(INDEX(DarlBelegt,2)=0,0,EOMONTH(INDEX(DarlAuszahlung,2),57)+1)</f>
      </c>
      <c r="F541" s="43">
        <f>IF($E541=0,0,YEAR($E541))</f>
      </c>
      <c r="G541" s="43">
        <f>IF(INDEX(DarlBindung,2)="",1,IF($E541&lt;=INDEX(DarlBindung,2),1,0))</f>
      </c>
      <c r="H541" s="43">
        <f>IF($G541=1,INDEX(DarlSollzins,2),INDEX(DarlAnschluss,2))</f>
      </c>
      <c r="I541" s="43">
        <f>IF(INDEX(DarlBelegt,2)=0,0,IF(INDEX(DarlOhneTilgung,2)=1,IF(INDEX(DarlBindung,2)="",1,$G541),IF($J541&gt;0.005,1,0)))</f>
      </c>
      <c r="J541" s="43">
        <f>IF($I540=0,0,$R540)</f>
      </c>
      <c r="K541" s="43">
        <f>IF($I541=0,0,IF(INDEX(DarlOhneTilgung,2)=1,0,IF(AND(INDEX(DarlTilgStart,2)&gt;0,$E541=INDEX(DarlTilgStart,2)),$J541*($H541+INDEX(DarlTilgung,2))/100/12,IF(AND($G541=0,$G540=1),MAX($K540,$J541*($H541+1)/100/12),$K540))))</f>
      </c>
      <c r="L541" s="43">
        <f>IF($I541=0,0,$J541*$H541/100/12)</f>
      </c>
      <c r="M541" s="43">
        <f>IF($I541=0,0,IF(OR(INDEX(DarlOhneTilgung,2)=1,AND(INDEX(DarlTilgStart,2)&gt;0,$E541&lt;INDEX(DarlTilgStart,2))),0,MIN(MAX(0,$K541-$L541),$J541)))</f>
      </c>
      <c r="N541" s="43">
        <f>IF($I541=0,0,MIN(SUMIFS(SondBetrag,SondDarl,2,SondDatum,"&gt;="&amp;$E541,SondDatum,"&lt;="&amp;EOMONTH($E541,0)),$J541-$M541))</f>
      </c>
      <c r="O541" s="43">
        <f>IF($I541=0,0,INDEX(DarlErsatzRate,2))</f>
      </c>
      <c r="P541" s="43">
        <f>IF($I541=0,0,$Q540*INDEX(DarlErsatzZins,2))</f>
      </c>
      <c r="Q541" s="43">
        <f>IF($I541=0,0,$Q540+$P541+$O541)</f>
      </c>
      <c r="R541" s="43">
        <f>IF($I541=0,0,$J541-$M541-$N541)</f>
      </c>
    </row>
    <row r="542">
      <c r="A542"/>
      <c r="B542">
        <v>2</v>
      </c>
      <c r="C542" s="43">
        <f>INDEX(DarlObj,2)</f>
      </c>
      <c r="D542">
        <v>59</v>
      </c>
      <c r="E542" s="51">
        <f>IF(INDEX(DarlBelegt,2)=0,0,EOMONTH(INDEX(DarlAuszahlung,2),58)+1)</f>
      </c>
      <c r="F542" s="43">
        <f>IF($E542=0,0,YEAR($E542))</f>
      </c>
      <c r="G542" s="43">
        <f>IF(INDEX(DarlBindung,2)="",1,IF($E542&lt;=INDEX(DarlBindung,2),1,0))</f>
      </c>
      <c r="H542" s="43">
        <f>IF($G542=1,INDEX(DarlSollzins,2),INDEX(DarlAnschluss,2))</f>
      </c>
      <c r="I542" s="43">
        <f>IF(INDEX(DarlBelegt,2)=0,0,IF(INDEX(DarlOhneTilgung,2)=1,IF(INDEX(DarlBindung,2)="",1,$G542),IF($J542&gt;0.005,1,0)))</f>
      </c>
      <c r="J542" s="43">
        <f>IF($I541=0,0,$R541)</f>
      </c>
      <c r="K542" s="43">
        <f>IF($I542=0,0,IF(INDEX(DarlOhneTilgung,2)=1,0,IF(AND(INDEX(DarlTilgStart,2)&gt;0,$E542=INDEX(DarlTilgStart,2)),$J542*($H542+INDEX(DarlTilgung,2))/100/12,IF(AND($G542=0,$G541=1),MAX($K541,$J542*($H542+1)/100/12),$K541))))</f>
      </c>
      <c r="L542" s="43">
        <f>IF($I542=0,0,$J542*$H542/100/12)</f>
      </c>
      <c r="M542" s="43">
        <f>IF($I542=0,0,IF(OR(INDEX(DarlOhneTilgung,2)=1,AND(INDEX(DarlTilgStart,2)&gt;0,$E542&lt;INDEX(DarlTilgStart,2))),0,MIN(MAX(0,$K542-$L542),$J542)))</f>
      </c>
      <c r="N542" s="43">
        <f>IF($I542=0,0,MIN(SUMIFS(SondBetrag,SondDarl,2,SondDatum,"&gt;="&amp;$E542,SondDatum,"&lt;="&amp;EOMONTH($E542,0)),$J542-$M542))</f>
      </c>
      <c r="O542" s="43">
        <f>IF($I542=0,0,INDEX(DarlErsatzRate,2))</f>
      </c>
      <c r="P542" s="43">
        <f>IF($I542=0,0,$Q541*INDEX(DarlErsatzZins,2))</f>
      </c>
      <c r="Q542" s="43">
        <f>IF($I542=0,0,$Q541+$P542+$O542)</f>
      </c>
      <c r="R542" s="43">
        <f>IF($I542=0,0,$J542-$M542-$N542)</f>
      </c>
    </row>
    <row r="543">
      <c r="A543"/>
      <c r="B543">
        <v>2</v>
      </c>
      <c r="C543" s="43">
        <f>INDEX(DarlObj,2)</f>
      </c>
      <c r="D543">
        <v>60</v>
      </c>
      <c r="E543" s="51">
        <f>IF(INDEX(DarlBelegt,2)=0,0,EOMONTH(INDEX(DarlAuszahlung,2),59)+1)</f>
      </c>
      <c r="F543" s="43">
        <f>IF($E543=0,0,YEAR($E543))</f>
      </c>
      <c r="G543" s="43">
        <f>IF(INDEX(DarlBindung,2)="",1,IF($E543&lt;=INDEX(DarlBindung,2),1,0))</f>
      </c>
      <c r="H543" s="43">
        <f>IF($G543=1,INDEX(DarlSollzins,2),INDEX(DarlAnschluss,2))</f>
      </c>
      <c r="I543" s="43">
        <f>IF(INDEX(DarlBelegt,2)=0,0,IF(INDEX(DarlOhneTilgung,2)=1,IF(INDEX(DarlBindung,2)="",1,$G543),IF($J543&gt;0.005,1,0)))</f>
      </c>
      <c r="J543" s="43">
        <f>IF($I542=0,0,$R542)</f>
      </c>
      <c r="K543" s="43">
        <f>IF($I543=0,0,IF(INDEX(DarlOhneTilgung,2)=1,0,IF(AND(INDEX(DarlTilgStart,2)&gt;0,$E543=INDEX(DarlTilgStart,2)),$J543*($H543+INDEX(DarlTilgung,2))/100/12,IF(AND($G543=0,$G542=1),MAX($K542,$J543*($H543+1)/100/12),$K542))))</f>
      </c>
      <c r="L543" s="43">
        <f>IF($I543=0,0,$J543*$H543/100/12)</f>
      </c>
      <c r="M543" s="43">
        <f>IF($I543=0,0,IF(OR(INDEX(DarlOhneTilgung,2)=1,AND(INDEX(DarlTilgStart,2)&gt;0,$E543&lt;INDEX(DarlTilgStart,2))),0,MIN(MAX(0,$K543-$L543),$J543)))</f>
      </c>
      <c r="N543" s="43">
        <f>IF($I543=0,0,MIN(SUMIFS(SondBetrag,SondDarl,2,SondDatum,"&gt;="&amp;$E543,SondDatum,"&lt;="&amp;EOMONTH($E543,0)),$J543-$M543))</f>
      </c>
      <c r="O543" s="43">
        <f>IF($I543=0,0,INDEX(DarlErsatzRate,2))</f>
      </c>
      <c r="P543" s="43">
        <f>IF($I543=0,0,$Q542*INDEX(DarlErsatzZins,2))</f>
      </c>
      <c r="Q543" s="43">
        <f>IF($I543=0,0,$Q542+$P543+$O543)</f>
      </c>
      <c r="R543" s="43">
        <f>IF($I543=0,0,$J543-$M543-$N543)</f>
      </c>
    </row>
    <row r="544">
      <c r="A544"/>
      <c r="B544">
        <v>2</v>
      </c>
      <c r="C544" s="43">
        <f>INDEX(DarlObj,2)</f>
      </c>
      <c r="D544">
        <v>61</v>
      </c>
      <c r="E544" s="51">
        <f>IF(INDEX(DarlBelegt,2)=0,0,EOMONTH(INDEX(DarlAuszahlung,2),60)+1)</f>
      </c>
      <c r="F544" s="43">
        <f>IF($E544=0,0,YEAR($E544))</f>
      </c>
      <c r="G544" s="43">
        <f>IF(INDEX(DarlBindung,2)="",1,IF($E544&lt;=INDEX(DarlBindung,2),1,0))</f>
      </c>
      <c r="H544" s="43">
        <f>IF($G544=1,INDEX(DarlSollzins,2),INDEX(DarlAnschluss,2))</f>
      </c>
      <c r="I544" s="43">
        <f>IF(INDEX(DarlBelegt,2)=0,0,IF(INDEX(DarlOhneTilgung,2)=1,IF(INDEX(DarlBindung,2)="",1,$G544),IF($J544&gt;0.005,1,0)))</f>
      </c>
      <c r="J544" s="43">
        <f>IF($I543=0,0,$R543)</f>
      </c>
      <c r="K544" s="43">
        <f>IF($I544=0,0,IF(INDEX(DarlOhneTilgung,2)=1,0,IF(AND(INDEX(DarlTilgStart,2)&gt;0,$E544=INDEX(DarlTilgStart,2)),$J544*($H544+INDEX(DarlTilgung,2))/100/12,IF(AND($G544=0,$G543=1),MAX($K543,$J544*($H544+1)/100/12),$K543))))</f>
      </c>
      <c r="L544" s="43">
        <f>IF($I544=0,0,$J544*$H544/100/12)</f>
      </c>
      <c r="M544" s="43">
        <f>IF($I544=0,0,IF(OR(INDEX(DarlOhneTilgung,2)=1,AND(INDEX(DarlTilgStart,2)&gt;0,$E544&lt;INDEX(DarlTilgStart,2))),0,MIN(MAX(0,$K544-$L544),$J544)))</f>
      </c>
      <c r="N544" s="43">
        <f>IF($I544=0,0,MIN(SUMIFS(SondBetrag,SondDarl,2,SondDatum,"&gt;="&amp;$E544,SondDatum,"&lt;="&amp;EOMONTH($E544,0)),$J544-$M544))</f>
      </c>
      <c r="O544" s="43">
        <f>IF($I544=0,0,INDEX(DarlErsatzRate,2))</f>
      </c>
      <c r="P544" s="43">
        <f>IF($I544=0,0,$Q543*INDEX(DarlErsatzZins,2))</f>
      </c>
      <c r="Q544" s="43">
        <f>IF($I544=0,0,$Q543+$P544+$O544)</f>
      </c>
      <c r="R544" s="43">
        <f>IF($I544=0,0,$J544-$M544-$N544)</f>
      </c>
    </row>
    <row r="545">
      <c r="A545"/>
      <c r="B545">
        <v>2</v>
      </c>
      <c r="C545" s="43">
        <f>INDEX(DarlObj,2)</f>
      </c>
      <c r="D545">
        <v>62</v>
      </c>
      <c r="E545" s="51">
        <f>IF(INDEX(DarlBelegt,2)=0,0,EOMONTH(INDEX(DarlAuszahlung,2),61)+1)</f>
      </c>
      <c r="F545" s="43">
        <f>IF($E545=0,0,YEAR($E545))</f>
      </c>
      <c r="G545" s="43">
        <f>IF(INDEX(DarlBindung,2)="",1,IF($E545&lt;=INDEX(DarlBindung,2),1,0))</f>
      </c>
      <c r="H545" s="43">
        <f>IF($G545=1,INDEX(DarlSollzins,2),INDEX(DarlAnschluss,2))</f>
      </c>
      <c r="I545" s="43">
        <f>IF(INDEX(DarlBelegt,2)=0,0,IF(INDEX(DarlOhneTilgung,2)=1,IF(INDEX(DarlBindung,2)="",1,$G545),IF($J545&gt;0.005,1,0)))</f>
      </c>
      <c r="J545" s="43">
        <f>IF($I544=0,0,$R544)</f>
      </c>
      <c r="K545" s="43">
        <f>IF($I545=0,0,IF(INDEX(DarlOhneTilgung,2)=1,0,IF(AND(INDEX(DarlTilgStart,2)&gt;0,$E545=INDEX(DarlTilgStart,2)),$J545*($H545+INDEX(DarlTilgung,2))/100/12,IF(AND($G545=0,$G544=1),MAX($K544,$J545*($H545+1)/100/12),$K544))))</f>
      </c>
      <c r="L545" s="43">
        <f>IF($I545=0,0,$J545*$H545/100/12)</f>
      </c>
      <c r="M545" s="43">
        <f>IF($I545=0,0,IF(OR(INDEX(DarlOhneTilgung,2)=1,AND(INDEX(DarlTilgStart,2)&gt;0,$E545&lt;INDEX(DarlTilgStart,2))),0,MIN(MAX(0,$K545-$L545),$J545)))</f>
      </c>
      <c r="N545" s="43">
        <f>IF($I545=0,0,MIN(SUMIFS(SondBetrag,SondDarl,2,SondDatum,"&gt;="&amp;$E545,SondDatum,"&lt;="&amp;EOMONTH($E545,0)),$J545-$M545))</f>
      </c>
      <c r="O545" s="43">
        <f>IF($I545=0,0,INDEX(DarlErsatzRate,2))</f>
      </c>
      <c r="P545" s="43">
        <f>IF($I545=0,0,$Q544*INDEX(DarlErsatzZins,2))</f>
      </c>
      <c r="Q545" s="43">
        <f>IF($I545=0,0,$Q544+$P545+$O545)</f>
      </c>
      <c r="R545" s="43">
        <f>IF($I545=0,0,$J545-$M545-$N545)</f>
      </c>
    </row>
    <row r="546">
      <c r="A546"/>
      <c r="B546">
        <v>2</v>
      </c>
      <c r="C546" s="43">
        <f>INDEX(DarlObj,2)</f>
      </c>
      <c r="D546">
        <v>63</v>
      </c>
      <c r="E546" s="51">
        <f>IF(INDEX(DarlBelegt,2)=0,0,EOMONTH(INDEX(DarlAuszahlung,2),62)+1)</f>
      </c>
      <c r="F546" s="43">
        <f>IF($E546=0,0,YEAR($E546))</f>
      </c>
      <c r="G546" s="43">
        <f>IF(INDEX(DarlBindung,2)="",1,IF($E546&lt;=INDEX(DarlBindung,2),1,0))</f>
      </c>
      <c r="H546" s="43">
        <f>IF($G546=1,INDEX(DarlSollzins,2),INDEX(DarlAnschluss,2))</f>
      </c>
      <c r="I546" s="43">
        <f>IF(INDEX(DarlBelegt,2)=0,0,IF(INDEX(DarlOhneTilgung,2)=1,IF(INDEX(DarlBindung,2)="",1,$G546),IF($J546&gt;0.005,1,0)))</f>
      </c>
      <c r="J546" s="43">
        <f>IF($I545=0,0,$R545)</f>
      </c>
      <c r="K546" s="43">
        <f>IF($I546=0,0,IF(INDEX(DarlOhneTilgung,2)=1,0,IF(AND(INDEX(DarlTilgStart,2)&gt;0,$E546=INDEX(DarlTilgStart,2)),$J546*($H546+INDEX(DarlTilgung,2))/100/12,IF(AND($G546=0,$G545=1),MAX($K545,$J546*($H546+1)/100/12),$K545))))</f>
      </c>
      <c r="L546" s="43">
        <f>IF($I546=0,0,$J546*$H546/100/12)</f>
      </c>
      <c r="M546" s="43">
        <f>IF($I546=0,0,IF(OR(INDEX(DarlOhneTilgung,2)=1,AND(INDEX(DarlTilgStart,2)&gt;0,$E546&lt;INDEX(DarlTilgStart,2))),0,MIN(MAX(0,$K546-$L546),$J546)))</f>
      </c>
      <c r="N546" s="43">
        <f>IF($I546=0,0,MIN(SUMIFS(SondBetrag,SondDarl,2,SondDatum,"&gt;="&amp;$E546,SondDatum,"&lt;="&amp;EOMONTH($E546,0)),$J546-$M546))</f>
      </c>
      <c r="O546" s="43">
        <f>IF($I546=0,0,INDEX(DarlErsatzRate,2))</f>
      </c>
      <c r="P546" s="43">
        <f>IF($I546=0,0,$Q545*INDEX(DarlErsatzZins,2))</f>
      </c>
      <c r="Q546" s="43">
        <f>IF($I546=0,0,$Q545+$P546+$O546)</f>
      </c>
      <c r="R546" s="43">
        <f>IF($I546=0,0,$J546-$M546-$N546)</f>
      </c>
    </row>
    <row r="547">
      <c r="A547"/>
      <c r="B547">
        <v>2</v>
      </c>
      <c r="C547" s="43">
        <f>INDEX(DarlObj,2)</f>
      </c>
      <c r="D547">
        <v>64</v>
      </c>
      <c r="E547" s="51">
        <f>IF(INDEX(DarlBelegt,2)=0,0,EOMONTH(INDEX(DarlAuszahlung,2),63)+1)</f>
      </c>
      <c r="F547" s="43">
        <f>IF($E547=0,0,YEAR($E547))</f>
      </c>
      <c r="G547" s="43">
        <f>IF(INDEX(DarlBindung,2)="",1,IF($E547&lt;=INDEX(DarlBindung,2),1,0))</f>
      </c>
      <c r="H547" s="43">
        <f>IF($G547=1,INDEX(DarlSollzins,2),INDEX(DarlAnschluss,2))</f>
      </c>
      <c r="I547" s="43">
        <f>IF(INDEX(DarlBelegt,2)=0,0,IF(INDEX(DarlOhneTilgung,2)=1,IF(INDEX(DarlBindung,2)="",1,$G547),IF($J547&gt;0.005,1,0)))</f>
      </c>
      <c r="J547" s="43">
        <f>IF($I546=0,0,$R546)</f>
      </c>
      <c r="K547" s="43">
        <f>IF($I547=0,0,IF(INDEX(DarlOhneTilgung,2)=1,0,IF(AND(INDEX(DarlTilgStart,2)&gt;0,$E547=INDEX(DarlTilgStart,2)),$J547*($H547+INDEX(DarlTilgung,2))/100/12,IF(AND($G547=0,$G546=1),MAX($K546,$J547*($H547+1)/100/12),$K546))))</f>
      </c>
      <c r="L547" s="43">
        <f>IF($I547=0,0,$J547*$H547/100/12)</f>
      </c>
      <c r="M547" s="43">
        <f>IF($I547=0,0,IF(OR(INDEX(DarlOhneTilgung,2)=1,AND(INDEX(DarlTilgStart,2)&gt;0,$E547&lt;INDEX(DarlTilgStart,2))),0,MIN(MAX(0,$K547-$L547),$J547)))</f>
      </c>
      <c r="N547" s="43">
        <f>IF($I547=0,0,MIN(SUMIFS(SondBetrag,SondDarl,2,SondDatum,"&gt;="&amp;$E547,SondDatum,"&lt;="&amp;EOMONTH($E547,0)),$J547-$M547))</f>
      </c>
      <c r="O547" s="43">
        <f>IF($I547=0,0,INDEX(DarlErsatzRate,2))</f>
      </c>
      <c r="P547" s="43">
        <f>IF($I547=0,0,$Q546*INDEX(DarlErsatzZins,2))</f>
      </c>
      <c r="Q547" s="43">
        <f>IF($I547=0,0,$Q546+$P547+$O547)</f>
      </c>
      <c r="R547" s="43">
        <f>IF($I547=0,0,$J547-$M547-$N547)</f>
      </c>
    </row>
    <row r="548">
      <c r="A548"/>
      <c r="B548">
        <v>2</v>
      </c>
      <c r="C548" s="43">
        <f>INDEX(DarlObj,2)</f>
      </c>
      <c r="D548">
        <v>65</v>
      </c>
      <c r="E548" s="51">
        <f>IF(INDEX(DarlBelegt,2)=0,0,EOMONTH(INDEX(DarlAuszahlung,2),64)+1)</f>
      </c>
      <c r="F548" s="43">
        <f>IF($E548=0,0,YEAR($E548))</f>
      </c>
      <c r="G548" s="43">
        <f>IF(INDEX(DarlBindung,2)="",1,IF($E548&lt;=INDEX(DarlBindung,2),1,0))</f>
      </c>
      <c r="H548" s="43">
        <f>IF($G548=1,INDEX(DarlSollzins,2),INDEX(DarlAnschluss,2))</f>
      </c>
      <c r="I548" s="43">
        <f>IF(INDEX(DarlBelegt,2)=0,0,IF(INDEX(DarlOhneTilgung,2)=1,IF(INDEX(DarlBindung,2)="",1,$G548),IF($J548&gt;0.005,1,0)))</f>
      </c>
      <c r="J548" s="43">
        <f>IF($I547=0,0,$R547)</f>
      </c>
      <c r="K548" s="43">
        <f>IF($I548=0,0,IF(INDEX(DarlOhneTilgung,2)=1,0,IF(AND(INDEX(DarlTilgStart,2)&gt;0,$E548=INDEX(DarlTilgStart,2)),$J548*($H548+INDEX(DarlTilgung,2))/100/12,IF(AND($G548=0,$G547=1),MAX($K547,$J548*($H548+1)/100/12),$K547))))</f>
      </c>
      <c r="L548" s="43">
        <f>IF($I548=0,0,$J548*$H548/100/12)</f>
      </c>
      <c r="M548" s="43">
        <f>IF($I548=0,0,IF(OR(INDEX(DarlOhneTilgung,2)=1,AND(INDEX(DarlTilgStart,2)&gt;0,$E548&lt;INDEX(DarlTilgStart,2))),0,MIN(MAX(0,$K548-$L548),$J548)))</f>
      </c>
      <c r="N548" s="43">
        <f>IF($I548=0,0,MIN(SUMIFS(SondBetrag,SondDarl,2,SondDatum,"&gt;="&amp;$E548,SondDatum,"&lt;="&amp;EOMONTH($E548,0)),$J548-$M548))</f>
      </c>
      <c r="O548" s="43">
        <f>IF($I548=0,0,INDEX(DarlErsatzRate,2))</f>
      </c>
      <c r="P548" s="43">
        <f>IF($I548=0,0,$Q547*INDEX(DarlErsatzZins,2))</f>
      </c>
      <c r="Q548" s="43">
        <f>IF($I548=0,0,$Q547+$P548+$O548)</f>
      </c>
      <c r="R548" s="43">
        <f>IF($I548=0,0,$J548-$M548-$N548)</f>
      </c>
    </row>
    <row r="549">
      <c r="A549"/>
      <c r="B549">
        <v>2</v>
      </c>
      <c r="C549" s="43">
        <f>INDEX(DarlObj,2)</f>
      </c>
      <c r="D549">
        <v>66</v>
      </c>
      <c r="E549" s="51">
        <f>IF(INDEX(DarlBelegt,2)=0,0,EOMONTH(INDEX(DarlAuszahlung,2),65)+1)</f>
      </c>
      <c r="F549" s="43">
        <f>IF($E549=0,0,YEAR($E549))</f>
      </c>
      <c r="G549" s="43">
        <f>IF(INDEX(DarlBindung,2)="",1,IF($E549&lt;=INDEX(DarlBindung,2),1,0))</f>
      </c>
      <c r="H549" s="43">
        <f>IF($G549=1,INDEX(DarlSollzins,2),INDEX(DarlAnschluss,2))</f>
      </c>
      <c r="I549" s="43">
        <f>IF(INDEX(DarlBelegt,2)=0,0,IF(INDEX(DarlOhneTilgung,2)=1,IF(INDEX(DarlBindung,2)="",1,$G549),IF($J549&gt;0.005,1,0)))</f>
      </c>
      <c r="J549" s="43">
        <f>IF($I548=0,0,$R548)</f>
      </c>
      <c r="K549" s="43">
        <f>IF($I549=0,0,IF(INDEX(DarlOhneTilgung,2)=1,0,IF(AND(INDEX(DarlTilgStart,2)&gt;0,$E549=INDEX(DarlTilgStart,2)),$J549*($H549+INDEX(DarlTilgung,2))/100/12,IF(AND($G549=0,$G548=1),MAX($K548,$J549*($H549+1)/100/12),$K548))))</f>
      </c>
      <c r="L549" s="43">
        <f>IF($I549=0,0,$J549*$H549/100/12)</f>
      </c>
      <c r="M549" s="43">
        <f>IF($I549=0,0,IF(OR(INDEX(DarlOhneTilgung,2)=1,AND(INDEX(DarlTilgStart,2)&gt;0,$E549&lt;INDEX(DarlTilgStart,2))),0,MIN(MAX(0,$K549-$L549),$J549)))</f>
      </c>
      <c r="N549" s="43">
        <f>IF($I549=0,0,MIN(SUMIFS(SondBetrag,SondDarl,2,SondDatum,"&gt;="&amp;$E549,SondDatum,"&lt;="&amp;EOMONTH($E549,0)),$J549-$M549))</f>
      </c>
      <c r="O549" s="43">
        <f>IF($I549=0,0,INDEX(DarlErsatzRate,2))</f>
      </c>
      <c r="P549" s="43">
        <f>IF($I549=0,0,$Q548*INDEX(DarlErsatzZins,2))</f>
      </c>
      <c r="Q549" s="43">
        <f>IF($I549=0,0,$Q548+$P549+$O549)</f>
      </c>
      <c r="R549" s="43">
        <f>IF($I549=0,0,$J549-$M549-$N549)</f>
      </c>
    </row>
    <row r="550">
      <c r="A550"/>
      <c r="B550">
        <v>2</v>
      </c>
      <c r="C550" s="43">
        <f>INDEX(DarlObj,2)</f>
      </c>
      <c r="D550">
        <v>67</v>
      </c>
      <c r="E550" s="51">
        <f>IF(INDEX(DarlBelegt,2)=0,0,EOMONTH(INDEX(DarlAuszahlung,2),66)+1)</f>
      </c>
      <c r="F550" s="43">
        <f>IF($E550=0,0,YEAR($E550))</f>
      </c>
      <c r="G550" s="43">
        <f>IF(INDEX(DarlBindung,2)="",1,IF($E550&lt;=INDEX(DarlBindung,2),1,0))</f>
      </c>
      <c r="H550" s="43">
        <f>IF($G550=1,INDEX(DarlSollzins,2),INDEX(DarlAnschluss,2))</f>
      </c>
      <c r="I550" s="43">
        <f>IF(INDEX(DarlBelegt,2)=0,0,IF(INDEX(DarlOhneTilgung,2)=1,IF(INDEX(DarlBindung,2)="",1,$G550),IF($J550&gt;0.005,1,0)))</f>
      </c>
      <c r="J550" s="43">
        <f>IF($I549=0,0,$R549)</f>
      </c>
      <c r="K550" s="43">
        <f>IF($I550=0,0,IF(INDEX(DarlOhneTilgung,2)=1,0,IF(AND(INDEX(DarlTilgStart,2)&gt;0,$E550=INDEX(DarlTilgStart,2)),$J550*($H550+INDEX(DarlTilgung,2))/100/12,IF(AND($G550=0,$G549=1),MAX($K549,$J550*($H550+1)/100/12),$K549))))</f>
      </c>
      <c r="L550" s="43">
        <f>IF($I550=0,0,$J550*$H550/100/12)</f>
      </c>
      <c r="M550" s="43">
        <f>IF($I550=0,0,IF(OR(INDEX(DarlOhneTilgung,2)=1,AND(INDEX(DarlTilgStart,2)&gt;0,$E550&lt;INDEX(DarlTilgStart,2))),0,MIN(MAX(0,$K550-$L550),$J550)))</f>
      </c>
      <c r="N550" s="43">
        <f>IF($I550=0,0,MIN(SUMIFS(SondBetrag,SondDarl,2,SondDatum,"&gt;="&amp;$E550,SondDatum,"&lt;="&amp;EOMONTH($E550,0)),$J550-$M550))</f>
      </c>
      <c r="O550" s="43">
        <f>IF($I550=0,0,INDEX(DarlErsatzRate,2))</f>
      </c>
      <c r="P550" s="43">
        <f>IF($I550=0,0,$Q549*INDEX(DarlErsatzZins,2))</f>
      </c>
      <c r="Q550" s="43">
        <f>IF($I550=0,0,$Q549+$P550+$O550)</f>
      </c>
      <c r="R550" s="43">
        <f>IF($I550=0,0,$J550-$M550-$N550)</f>
      </c>
    </row>
    <row r="551">
      <c r="A551"/>
      <c r="B551">
        <v>2</v>
      </c>
      <c r="C551" s="43">
        <f>INDEX(DarlObj,2)</f>
      </c>
      <c r="D551">
        <v>68</v>
      </c>
      <c r="E551" s="51">
        <f>IF(INDEX(DarlBelegt,2)=0,0,EOMONTH(INDEX(DarlAuszahlung,2),67)+1)</f>
      </c>
      <c r="F551" s="43">
        <f>IF($E551=0,0,YEAR($E551))</f>
      </c>
      <c r="G551" s="43">
        <f>IF(INDEX(DarlBindung,2)="",1,IF($E551&lt;=INDEX(DarlBindung,2),1,0))</f>
      </c>
      <c r="H551" s="43">
        <f>IF($G551=1,INDEX(DarlSollzins,2),INDEX(DarlAnschluss,2))</f>
      </c>
      <c r="I551" s="43">
        <f>IF(INDEX(DarlBelegt,2)=0,0,IF(INDEX(DarlOhneTilgung,2)=1,IF(INDEX(DarlBindung,2)="",1,$G551),IF($J551&gt;0.005,1,0)))</f>
      </c>
      <c r="J551" s="43">
        <f>IF($I550=0,0,$R550)</f>
      </c>
      <c r="K551" s="43">
        <f>IF($I551=0,0,IF(INDEX(DarlOhneTilgung,2)=1,0,IF(AND(INDEX(DarlTilgStart,2)&gt;0,$E551=INDEX(DarlTilgStart,2)),$J551*($H551+INDEX(DarlTilgung,2))/100/12,IF(AND($G551=0,$G550=1),MAX($K550,$J551*($H551+1)/100/12),$K550))))</f>
      </c>
      <c r="L551" s="43">
        <f>IF($I551=0,0,$J551*$H551/100/12)</f>
      </c>
      <c r="M551" s="43">
        <f>IF($I551=0,0,IF(OR(INDEX(DarlOhneTilgung,2)=1,AND(INDEX(DarlTilgStart,2)&gt;0,$E551&lt;INDEX(DarlTilgStart,2))),0,MIN(MAX(0,$K551-$L551),$J551)))</f>
      </c>
      <c r="N551" s="43">
        <f>IF($I551=0,0,MIN(SUMIFS(SondBetrag,SondDarl,2,SondDatum,"&gt;="&amp;$E551,SondDatum,"&lt;="&amp;EOMONTH($E551,0)),$J551-$M551))</f>
      </c>
      <c r="O551" s="43">
        <f>IF($I551=0,0,INDEX(DarlErsatzRate,2))</f>
      </c>
      <c r="P551" s="43">
        <f>IF($I551=0,0,$Q550*INDEX(DarlErsatzZins,2))</f>
      </c>
      <c r="Q551" s="43">
        <f>IF($I551=0,0,$Q550+$P551+$O551)</f>
      </c>
      <c r="R551" s="43">
        <f>IF($I551=0,0,$J551-$M551-$N551)</f>
      </c>
    </row>
    <row r="552">
      <c r="A552"/>
      <c r="B552">
        <v>2</v>
      </c>
      <c r="C552" s="43">
        <f>INDEX(DarlObj,2)</f>
      </c>
      <c r="D552">
        <v>69</v>
      </c>
      <c r="E552" s="51">
        <f>IF(INDEX(DarlBelegt,2)=0,0,EOMONTH(INDEX(DarlAuszahlung,2),68)+1)</f>
      </c>
      <c r="F552" s="43">
        <f>IF($E552=0,0,YEAR($E552))</f>
      </c>
      <c r="G552" s="43">
        <f>IF(INDEX(DarlBindung,2)="",1,IF($E552&lt;=INDEX(DarlBindung,2),1,0))</f>
      </c>
      <c r="H552" s="43">
        <f>IF($G552=1,INDEX(DarlSollzins,2),INDEX(DarlAnschluss,2))</f>
      </c>
      <c r="I552" s="43">
        <f>IF(INDEX(DarlBelegt,2)=0,0,IF(INDEX(DarlOhneTilgung,2)=1,IF(INDEX(DarlBindung,2)="",1,$G552),IF($J552&gt;0.005,1,0)))</f>
      </c>
      <c r="J552" s="43">
        <f>IF($I551=0,0,$R551)</f>
      </c>
      <c r="K552" s="43">
        <f>IF($I552=0,0,IF(INDEX(DarlOhneTilgung,2)=1,0,IF(AND(INDEX(DarlTilgStart,2)&gt;0,$E552=INDEX(DarlTilgStart,2)),$J552*($H552+INDEX(DarlTilgung,2))/100/12,IF(AND($G552=0,$G551=1),MAX($K551,$J552*($H552+1)/100/12),$K551))))</f>
      </c>
      <c r="L552" s="43">
        <f>IF($I552=0,0,$J552*$H552/100/12)</f>
      </c>
      <c r="M552" s="43">
        <f>IF($I552=0,0,IF(OR(INDEX(DarlOhneTilgung,2)=1,AND(INDEX(DarlTilgStart,2)&gt;0,$E552&lt;INDEX(DarlTilgStart,2))),0,MIN(MAX(0,$K552-$L552),$J552)))</f>
      </c>
      <c r="N552" s="43">
        <f>IF($I552=0,0,MIN(SUMIFS(SondBetrag,SondDarl,2,SondDatum,"&gt;="&amp;$E552,SondDatum,"&lt;="&amp;EOMONTH($E552,0)),$J552-$M552))</f>
      </c>
      <c r="O552" s="43">
        <f>IF($I552=0,0,INDEX(DarlErsatzRate,2))</f>
      </c>
      <c r="P552" s="43">
        <f>IF($I552=0,0,$Q551*INDEX(DarlErsatzZins,2))</f>
      </c>
      <c r="Q552" s="43">
        <f>IF($I552=0,0,$Q551+$P552+$O552)</f>
      </c>
      <c r="R552" s="43">
        <f>IF($I552=0,0,$J552-$M552-$N552)</f>
      </c>
    </row>
    <row r="553">
      <c r="A553"/>
      <c r="B553">
        <v>2</v>
      </c>
      <c r="C553" s="43">
        <f>INDEX(DarlObj,2)</f>
      </c>
      <c r="D553">
        <v>70</v>
      </c>
      <c r="E553" s="51">
        <f>IF(INDEX(DarlBelegt,2)=0,0,EOMONTH(INDEX(DarlAuszahlung,2),69)+1)</f>
      </c>
      <c r="F553" s="43">
        <f>IF($E553=0,0,YEAR($E553))</f>
      </c>
      <c r="G553" s="43">
        <f>IF(INDEX(DarlBindung,2)="",1,IF($E553&lt;=INDEX(DarlBindung,2),1,0))</f>
      </c>
      <c r="H553" s="43">
        <f>IF($G553=1,INDEX(DarlSollzins,2),INDEX(DarlAnschluss,2))</f>
      </c>
      <c r="I553" s="43">
        <f>IF(INDEX(DarlBelegt,2)=0,0,IF(INDEX(DarlOhneTilgung,2)=1,IF(INDEX(DarlBindung,2)="",1,$G553),IF($J553&gt;0.005,1,0)))</f>
      </c>
      <c r="J553" s="43">
        <f>IF($I552=0,0,$R552)</f>
      </c>
      <c r="K553" s="43">
        <f>IF($I553=0,0,IF(INDEX(DarlOhneTilgung,2)=1,0,IF(AND(INDEX(DarlTilgStart,2)&gt;0,$E553=INDEX(DarlTilgStart,2)),$J553*($H553+INDEX(DarlTilgung,2))/100/12,IF(AND($G553=0,$G552=1),MAX($K552,$J553*($H553+1)/100/12),$K552))))</f>
      </c>
      <c r="L553" s="43">
        <f>IF($I553=0,0,$J553*$H553/100/12)</f>
      </c>
      <c r="M553" s="43">
        <f>IF($I553=0,0,IF(OR(INDEX(DarlOhneTilgung,2)=1,AND(INDEX(DarlTilgStart,2)&gt;0,$E553&lt;INDEX(DarlTilgStart,2))),0,MIN(MAX(0,$K553-$L553),$J553)))</f>
      </c>
      <c r="N553" s="43">
        <f>IF($I553=0,0,MIN(SUMIFS(SondBetrag,SondDarl,2,SondDatum,"&gt;="&amp;$E553,SondDatum,"&lt;="&amp;EOMONTH($E553,0)),$J553-$M553))</f>
      </c>
      <c r="O553" s="43">
        <f>IF($I553=0,0,INDEX(DarlErsatzRate,2))</f>
      </c>
      <c r="P553" s="43">
        <f>IF($I553=0,0,$Q552*INDEX(DarlErsatzZins,2))</f>
      </c>
      <c r="Q553" s="43">
        <f>IF($I553=0,0,$Q552+$P553+$O553)</f>
      </c>
      <c r="R553" s="43">
        <f>IF($I553=0,0,$J553-$M553-$N553)</f>
      </c>
    </row>
    <row r="554">
      <c r="A554"/>
      <c r="B554">
        <v>2</v>
      </c>
      <c r="C554" s="43">
        <f>INDEX(DarlObj,2)</f>
      </c>
      <c r="D554">
        <v>71</v>
      </c>
      <c r="E554" s="51">
        <f>IF(INDEX(DarlBelegt,2)=0,0,EOMONTH(INDEX(DarlAuszahlung,2),70)+1)</f>
      </c>
      <c r="F554" s="43">
        <f>IF($E554=0,0,YEAR($E554))</f>
      </c>
      <c r="G554" s="43">
        <f>IF(INDEX(DarlBindung,2)="",1,IF($E554&lt;=INDEX(DarlBindung,2),1,0))</f>
      </c>
      <c r="H554" s="43">
        <f>IF($G554=1,INDEX(DarlSollzins,2),INDEX(DarlAnschluss,2))</f>
      </c>
      <c r="I554" s="43">
        <f>IF(INDEX(DarlBelegt,2)=0,0,IF(INDEX(DarlOhneTilgung,2)=1,IF(INDEX(DarlBindung,2)="",1,$G554),IF($J554&gt;0.005,1,0)))</f>
      </c>
      <c r="J554" s="43">
        <f>IF($I553=0,0,$R553)</f>
      </c>
      <c r="K554" s="43">
        <f>IF($I554=0,0,IF(INDEX(DarlOhneTilgung,2)=1,0,IF(AND(INDEX(DarlTilgStart,2)&gt;0,$E554=INDEX(DarlTilgStart,2)),$J554*($H554+INDEX(DarlTilgung,2))/100/12,IF(AND($G554=0,$G553=1),MAX($K553,$J554*($H554+1)/100/12),$K553))))</f>
      </c>
      <c r="L554" s="43">
        <f>IF($I554=0,0,$J554*$H554/100/12)</f>
      </c>
      <c r="M554" s="43">
        <f>IF($I554=0,0,IF(OR(INDEX(DarlOhneTilgung,2)=1,AND(INDEX(DarlTilgStart,2)&gt;0,$E554&lt;INDEX(DarlTilgStart,2))),0,MIN(MAX(0,$K554-$L554),$J554)))</f>
      </c>
      <c r="N554" s="43">
        <f>IF($I554=0,0,MIN(SUMIFS(SondBetrag,SondDarl,2,SondDatum,"&gt;="&amp;$E554,SondDatum,"&lt;="&amp;EOMONTH($E554,0)),$J554-$M554))</f>
      </c>
      <c r="O554" s="43">
        <f>IF($I554=0,0,INDEX(DarlErsatzRate,2))</f>
      </c>
      <c r="P554" s="43">
        <f>IF($I554=0,0,$Q553*INDEX(DarlErsatzZins,2))</f>
      </c>
      <c r="Q554" s="43">
        <f>IF($I554=0,0,$Q553+$P554+$O554)</f>
      </c>
      <c r="R554" s="43">
        <f>IF($I554=0,0,$J554-$M554-$N554)</f>
      </c>
    </row>
    <row r="555">
      <c r="A555"/>
      <c r="B555">
        <v>2</v>
      </c>
      <c r="C555" s="43">
        <f>INDEX(DarlObj,2)</f>
      </c>
      <c r="D555">
        <v>72</v>
      </c>
      <c r="E555" s="51">
        <f>IF(INDEX(DarlBelegt,2)=0,0,EOMONTH(INDEX(DarlAuszahlung,2),71)+1)</f>
      </c>
      <c r="F555" s="43">
        <f>IF($E555=0,0,YEAR($E555))</f>
      </c>
      <c r="G555" s="43">
        <f>IF(INDEX(DarlBindung,2)="",1,IF($E555&lt;=INDEX(DarlBindung,2),1,0))</f>
      </c>
      <c r="H555" s="43">
        <f>IF($G555=1,INDEX(DarlSollzins,2),INDEX(DarlAnschluss,2))</f>
      </c>
      <c r="I555" s="43">
        <f>IF(INDEX(DarlBelegt,2)=0,0,IF(INDEX(DarlOhneTilgung,2)=1,IF(INDEX(DarlBindung,2)="",1,$G555),IF($J555&gt;0.005,1,0)))</f>
      </c>
      <c r="J555" s="43">
        <f>IF($I554=0,0,$R554)</f>
      </c>
      <c r="K555" s="43">
        <f>IF($I555=0,0,IF(INDEX(DarlOhneTilgung,2)=1,0,IF(AND(INDEX(DarlTilgStart,2)&gt;0,$E555=INDEX(DarlTilgStart,2)),$J555*($H555+INDEX(DarlTilgung,2))/100/12,IF(AND($G555=0,$G554=1),MAX($K554,$J555*($H555+1)/100/12),$K554))))</f>
      </c>
      <c r="L555" s="43">
        <f>IF($I555=0,0,$J555*$H555/100/12)</f>
      </c>
      <c r="M555" s="43">
        <f>IF($I555=0,0,IF(OR(INDEX(DarlOhneTilgung,2)=1,AND(INDEX(DarlTilgStart,2)&gt;0,$E555&lt;INDEX(DarlTilgStart,2))),0,MIN(MAX(0,$K555-$L555),$J555)))</f>
      </c>
      <c r="N555" s="43">
        <f>IF($I555=0,0,MIN(SUMIFS(SondBetrag,SondDarl,2,SondDatum,"&gt;="&amp;$E555,SondDatum,"&lt;="&amp;EOMONTH($E555,0)),$J555-$M555))</f>
      </c>
      <c r="O555" s="43">
        <f>IF($I555=0,0,INDEX(DarlErsatzRate,2))</f>
      </c>
      <c r="P555" s="43">
        <f>IF($I555=0,0,$Q554*INDEX(DarlErsatzZins,2))</f>
      </c>
      <c r="Q555" s="43">
        <f>IF($I555=0,0,$Q554+$P555+$O555)</f>
      </c>
      <c r="R555" s="43">
        <f>IF($I555=0,0,$J555-$M555-$N555)</f>
      </c>
    </row>
    <row r="556">
      <c r="A556"/>
      <c r="B556">
        <v>2</v>
      </c>
      <c r="C556" s="43">
        <f>INDEX(DarlObj,2)</f>
      </c>
      <c r="D556">
        <v>73</v>
      </c>
      <c r="E556" s="51">
        <f>IF(INDEX(DarlBelegt,2)=0,0,EOMONTH(INDEX(DarlAuszahlung,2),72)+1)</f>
      </c>
      <c r="F556" s="43">
        <f>IF($E556=0,0,YEAR($E556))</f>
      </c>
      <c r="G556" s="43">
        <f>IF(INDEX(DarlBindung,2)="",1,IF($E556&lt;=INDEX(DarlBindung,2),1,0))</f>
      </c>
      <c r="H556" s="43">
        <f>IF($G556=1,INDEX(DarlSollzins,2),INDEX(DarlAnschluss,2))</f>
      </c>
      <c r="I556" s="43">
        <f>IF(INDEX(DarlBelegt,2)=0,0,IF(INDEX(DarlOhneTilgung,2)=1,IF(INDEX(DarlBindung,2)="",1,$G556),IF($J556&gt;0.005,1,0)))</f>
      </c>
      <c r="J556" s="43">
        <f>IF($I555=0,0,$R555)</f>
      </c>
      <c r="K556" s="43">
        <f>IF($I556=0,0,IF(INDEX(DarlOhneTilgung,2)=1,0,IF(AND(INDEX(DarlTilgStart,2)&gt;0,$E556=INDEX(DarlTilgStart,2)),$J556*($H556+INDEX(DarlTilgung,2))/100/12,IF(AND($G556=0,$G555=1),MAX($K555,$J556*($H556+1)/100/12),$K555))))</f>
      </c>
      <c r="L556" s="43">
        <f>IF($I556=0,0,$J556*$H556/100/12)</f>
      </c>
      <c r="M556" s="43">
        <f>IF($I556=0,0,IF(OR(INDEX(DarlOhneTilgung,2)=1,AND(INDEX(DarlTilgStart,2)&gt;0,$E556&lt;INDEX(DarlTilgStart,2))),0,MIN(MAX(0,$K556-$L556),$J556)))</f>
      </c>
      <c r="N556" s="43">
        <f>IF($I556=0,0,MIN(SUMIFS(SondBetrag,SondDarl,2,SondDatum,"&gt;="&amp;$E556,SondDatum,"&lt;="&amp;EOMONTH($E556,0)),$J556-$M556))</f>
      </c>
      <c r="O556" s="43">
        <f>IF($I556=0,0,INDEX(DarlErsatzRate,2))</f>
      </c>
      <c r="P556" s="43">
        <f>IF($I556=0,0,$Q555*INDEX(DarlErsatzZins,2))</f>
      </c>
      <c r="Q556" s="43">
        <f>IF($I556=0,0,$Q555+$P556+$O556)</f>
      </c>
      <c r="R556" s="43">
        <f>IF($I556=0,0,$J556-$M556-$N556)</f>
      </c>
    </row>
    <row r="557">
      <c r="A557"/>
      <c r="B557">
        <v>2</v>
      </c>
      <c r="C557" s="43">
        <f>INDEX(DarlObj,2)</f>
      </c>
      <c r="D557">
        <v>74</v>
      </c>
      <c r="E557" s="51">
        <f>IF(INDEX(DarlBelegt,2)=0,0,EOMONTH(INDEX(DarlAuszahlung,2),73)+1)</f>
      </c>
      <c r="F557" s="43">
        <f>IF($E557=0,0,YEAR($E557))</f>
      </c>
      <c r="G557" s="43">
        <f>IF(INDEX(DarlBindung,2)="",1,IF($E557&lt;=INDEX(DarlBindung,2),1,0))</f>
      </c>
      <c r="H557" s="43">
        <f>IF($G557=1,INDEX(DarlSollzins,2),INDEX(DarlAnschluss,2))</f>
      </c>
      <c r="I557" s="43">
        <f>IF(INDEX(DarlBelegt,2)=0,0,IF(INDEX(DarlOhneTilgung,2)=1,IF(INDEX(DarlBindung,2)="",1,$G557),IF($J557&gt;0.005,1,0)))</f>
      </c>
      <c r="J557" s="43">
        <f>IF($I556=0,0,$R556)</f>
      </c>
      <c r="K557" s="43">
        <f>IF($I557=0,0,IF(INDEX(DarlOhneTilgung,2)=1,0,IF(AND(INDEX(DarlTilgStart,2)&gt;0,$E557=INDEX(DarlTilgStart,2)),$J557*($H557+INDEX(DarlTilgung,2))/100/12,IF(AND($G557=0,$G556=1),MAX($K556,$J557*($H557+1)/100/12),$K556))))</f>
      </c>
      <c r="L557" s="43">
        <f>IF($I557=0,0,$J557*$H557/100/12)</f>
      </c>
      <c r="M557" s="43">
        <f>IF($I557=0,0,IF(OR(INDEX(DarlOhneTilgung,2)=1,AND(INDEX(DarlTilgStart,2)&gt;0,$E557&lt;INDEX(DarlTilgStart,2))),0,MIN(MAX(0,$K557-$L557),$J557)))</f>
      </c>
      <c r="N557" s="43">
        <f>IF($I557=0,0,MIN(SUMIFS(SondBetrag,SondDarl,2,SondDatum,"&gt;="&amp;$E557,SondDatum,"&lt;="&amp;EOMONTH($E557,0)),$J557-$M557))</f>
      </c>
      <c r="O557" s="43">
        <f>IF($I557=0,0,INDEX(DarlErsatzRate,2))</f>
      </c>
      <c r="P557" s="43">
        <f>IF($I557=0,0,$Q556*INDEX(DarlErsatzZins,2))</f>
      </c>
      <c r="Q557" s="43">
        <f>IF($I557=0,0,$Q556+$P557+$O557)</f>
      </c>
      <c r="R557" s="43">
        <f>IF($I557=0,0,$J557-$M557-$N557)</f>
      </c>
    </row>
    <row r="558">
      <c r="A558"/>
      <c r="B558">
        <v>2</v>
      </c>
      <c r="C558" s="43">
        <f>INDEX(DarlObj,2)</f>
      </c>
      <c r="D558">
        <v>75</v>
      </c>
      <c r="E558" s="51">
        <f>IF(INDEX(DarlBelegt,2)=0,0,EOMONTH(INDEX(DarlAuszahlung,2),74)+1)</f>
      </c>
      <c r="F558" s="43">
        <f>IF($E558=0,0,YEAR($E558))</f>
      </c>
      <c r="G558" s="43">
        <f>IF(INDEX(DarlBindung,2)="",1,IF($E558&lt;=INDEX(DarlBindung,2),1,0))</f>
      </c>
      <c r="H558" s="43">
        <f>IF($G558=1,INDEX(DarlSollzins,2),INDEX(DarlAnschluss,2))</f>
      </c>
      <c r="I558" s="43">
        <f>IF(INDEX(DarlBelegt,2)=0,0,IF(INDEX(DarlOhneTilgung,2)=1,IF(INDEX(DarlBindung,2)="",1,$G558),IF($J558&gt;0.005,1,0)))</f>
      </c>
      <c r="J558" s="43">
        <f>IF($I557=0,0,$R557)</f>
      </c>
      <c r="K558" s="43">
        <f>IF($I558=0,0,IF(INDEX(DarlOhneTilgung,2)=1,0,IF(AND(INDEX(DarlTilgStart,2)&gt;0,$E558=INDEX(DarlTilgStart,2)),$J558*($H558+INDEX(DarlTilgung,2))/100/12,IF(AND($G558=0,$G557=1),MAX($K557,$J558*($H558+1)/100/12),$K557))))</f>
      </c>
      <c r="L558" s="43">
        <f>IF($I558=0,0,$J558*$H558/100/12)</f>
      </c>
      <c r="M558" s="43">
        <f>IF($I558=0,0,IF(OR(INDEX(DarlOhneTilgung,2)=1,AND(INDEX(DarlTilgStart,2)&gt;0,$E558&lt;INDEX(DarlTilgStart,2))),0,MIN(MAX(0,$K558-$L558),$J558)))</f>
      </c>
      <c r="N558" s="43">
        <f>IF($I558=0,0,MIN(SUMIFS(SondBetrag,SondDarl,2,SondDatum,"&gt;="&amp;$E558,SondDatum,"&lt;="&amp;EOMONTH($E558,0)),$J558-$M558))</f>
      </c>
      <c r="O558" s="43">
        <f>IF($I558=0,0,INDEX(DarlErsatzRate,2))</f>
      </c>
      <c r="P558" s="43">
        <f>IF($I558=0,0,$Q557*INDEX(DarlErsatzZins,2))</f>
      </c>
      <c r="Q558" s="43">
        <f>IF($I558=0,0,$Q557+$P558+$O558)</f>
      </c>
      <c r="R558" s="43">
        <f>IF($I558=0,0,$J558-$M558-$N558)</f>
      </c>
    </row>
    <row r="559">
      <c r="A559"/>
      <c r="B559">
        <v>2</v>
      </c>
      <c r="C559" s="43">
        <f>INDEX(DarlObj,2)</f>
      </c>
      <c r="D559">
        <v>76</v>
      </c>
      <c r="E559" s="51">
        <f>IF(INDEX(DarlBelegt,2)=0,0,EOMONTH(INDEX(DarlAuszahlung,2),75)+1)</f>
      </c>
      <c r="F559" s="43">
        <f>IF($E559=0,0,YEAR($E559))</f>
      </c>
      <c r="G559" s="43">
        <f>IF(INDEX(DarlBindung,2)="",1,IF($E559&lt;=INDEX(DarlBindung,2),1,0))</f>
      </c>
      <c r="H559" s="43">
        <f>IF($G559=1,INDEX(DarlSollzins,2),INDEX(DarlAnschluss,2))</f>
      </c>
      <c r="I559" s="43">
        <f>IF(INDEX(DarlBelegt,2)=0,0,IF(INDEX(DarlOhneTilgung,2)=1,IF(INDEX(DarlBindung,2)="",1,$G559),IF($J559&gt;0.005,1,0)))</f>
      </c>
      <c r="J559" s="43">
        <f>IF($I558=0,0,$R558)</f>
      </c>
      <c r="K559" s="43">
        <f>IF($I559=0,0,IF(INDEX(DarlOhneTilgung,2)=1,0,IF(AND(INDEX(DarlTilgStart,2)&gt;0,$E559=INDEX(DarlTilgStart,2)),$J559*($H559+INDEX(DarlTilgung,2))/100/12,IF(AND($G559=0,$G558=1),MAX($K558,$J559*($H559+1)/100/12),$K558))))</f>
      </c>
      <c r="L559" s="43">
        <f>IF($I559=0,0,$J559*$H559/100/12)</f>
      </c>
      <c r="M559" s="43">
        <f>IF($I559=0,0,IF(OR(INDEX(DarlOhneTilgung,2)=1,AND(INDEX(DarlTilgStart,2)&gt;0,$E559&lt;INDEX(DarlTilgStart,2))),0,MIN(MAX(0,$K559-$L559),$J559)))</f>
      </c>
      <c r="N559" s="43">
        <f>IF($I559=0,0,MIN(SUMIFS(SondBetrag,SondDarl,2,SondDatum,"&gt;="&amp;$E559,SondDatum,"&lt;="&amp;EOMONTH($E559,0)),$J559-$M559))</f>
      </c>
      <c r="O559" s="43">
        <f>IF($I559=0,0,INDEX(DarlErsatzRate,2))</f>
      </c>
      <c r="P559" s="43">
        <f>IF($I559=0,0,$Q558*INDEX(DarlErsatzZins,2))</f>
      </c>
      <c r="Q559" s="43">
        <f>IF($I559=0,0,$Q558+$P559+$O559)</f>
      </c>
      <c r="R559" s="43">
        <f>IF($I559=0,0,$J559-$M559-$N559)</f>
      </c>
    </row>
    <row r="560">
      <c r="A560"/>
      <c r="B560">
        <v>2</v>
      </c>
      <c r="C560" s="43">
        <f>INDEX(DarlObj,2)</f>
      </c>
      <c r="D560">
        <v>77</v>
      </c>
      <c r="E560" s="51">
        <f>IF(INDEX(DarlBelegt,2)=0,0,EOMONTH(INDEX(DarlAuszahlung,2),76)+1)</f>
      </c>
      <c r="F560" s="43">
        <f>IF($E560=0,0,YEAR($E560))</f>
      </c>
      <c r="G560" s="43">
        <f>IF(INDEX(DarlBindung,2)="",1,IF($E560&lt;=INDEX(DarlBindung,2),1,0))</f>
      </c>
      <c r="H560" s="43">
        <f>IF($G560=1,INDEX(DarlSollzins,2),INDEX(DarlAnschluss,2))</f>
      </c>
      <c r="I560" s="43">
        <f>IF(INDEX(DarlBelegt,2)=0,0,IF(INDEX(DarlOhneTilgung,2)=1,IF(INDEX(DarlBindung,2)="",1,$G560),IF($J560&gt;0.005,1,0)))</f>
      </c>
      <c r="J560" s="43">
        <f>IF($I559=0,0,$R559)</f>
      </c>
      <c r="K560" s="43">
        <f>IF($I560=0,0,IF(INDEX(DarlOhneTilgung,2)=1,0,IF(AND(INDEX(DarlTilgStart,2)&gt;0,$E560=INDEX(DarlTilgStart,2)),$J560*($H560+INDEX(DarlTilgung,2))/100/12,IF(AND($G560=0,$G559=1),MAX($K559,$J560*($H560+1)/100/12),$K559))))</f>
      </c>
      <c r="L560" s="43">
        <f>IF($I560=0,0,$J560*$H560/100/12)</f>
      </c>
      <c r="M560" s="43">
        <f>IF($I560=0,0,IF(OR(INDEX(DarlOhneTilgung,2)=1,AND(INDEX(DarlTilgStart,2)&gt;0,$E560&lt;INDEX(DarlTilgStart,2))),0,MIN(MAX(0,$K560-$L560),$J560)))</f>
      </c>
      <c r="N560" s="43">
        <f>IF($I560=0,0,MIN(SUMIFS(SondBetrag,SondDarl,2,SondDatum,"&gt;="&amp;$E560,SondDatum,"&lt;="&amp;EOMONTH($E560,0)),$J560-$M560))</f>
      </c>
      <c r="O560" s="43">
        <f>IF($I560=0,0,INDEX(DarlErsatzRate,2))</f>
      </c>
      <c r="P560" s="43">
        <f>IF($I560=0,0,$Q559*INDEX(DarlErsatzZins,2))</f>
      </c>
      <c r="Q560" s="43">
        <f>IF($I560=0,0,$Q559+$P560+$O560)</f>
      </c>
      <c r="R560" s="43">
        <f>IF($I560=0,0,$J560-$M560-$N560)</f>
      </c>
    </row>
    <row r="561">
      <c r="A561"/>
      <c r="B561">
        <v>2</v>
      </c>
      <c r="C561" s="43">
        <f>INDEX(DarlObj,2)</f>
      </c>
      <c r="D561">
        <v>78</v>
      </c>
      <c r="E561" s="51">
        <f>IF(INDEX(DarlBelegt,2)=0,0,EOMONTH(INDEX(DarlAuszahlung,2),77)+1)</f>
      </c>
      <c r="F561" s="43">
        <f>IF($E561=0,0,YEAR($E561))</f>
      </c>
      <c r="G561" s="43">
        <f>IF(INDEX(DarlBindung,2)="",1,IF($E561&lt;=INDEX(DarlBindung,2),1,0))</f>
      </c>
      <c r="H561" s="43">
        <f>IF($G561=1,INDEX(DarlSollzins,2),INDEX(DarlAnschluss,2))</f>
      </c>
      <c r="I561" s="43">
        <f>IF(INDEX(DarlBelegt,2)=0,0,IF(INDEX(DarlOhneTilgung,2)=1,IF(INDEX(DarlBindung,2)="",1,$G561),IF($J561&gt;0.005,1,0)))</f>
      </c>
      <c r="J561" s="43">
        <f>IF($I560=0,0,$R560)</f>
      </c>
      <c r="K561" s="43">
        <f>IF($I561=0,0,IF(INDEX(DarlOhneTilgung,2)=1,0,IF(AND(INDEX(DarlTilgStart,2)&gt;0,$E561=INDEX(DarlTilgStart,2)),$J561*($H561+INDEX(DarlTilgung,2))/100/12,IF(AND($G561=0,$G560=1),MAX($K560,$J561*($H561+1)/100/12),$K560))))</f>
      </c>
      <c r="L561" s="43">
        <f>IF($I561=0,0,$J561*$H561/100/12)</f>
      </c>
      <c r="M561" s="43">
        <f>IF($I561=0,0,IF(OR(INDEX(DarlOhneTilgung,2)=1,AND(INDEX(DarlTilgStart,2)&gt;0,$E561&lt;INDEX(DarlTilgStart,2))),0,MIN(MAX(0,$K561-$L561),$J561)))</f>
      </c>
      <c r="N561" s="43">
        <f>IF($I561=0,0,MIN(SUMIFS(SondBetrag,SondDarl,2,SondDatum,"&gt;="&amp;$E561,SondDatum,"&lt;="&amp;EOMONTH($E561,0)),$J561-$M561))</f>
      </c>
      <c r="O561" s="43">
        <f>IF($I561=0,0,INDEX(DarlErsatzRate,2))</f>
      </c>
      <c r="P561" s="43">
        <f>IF($I561=0,0,$Q560*INDEX(DarlErsatzZins,2))</f>
      </c>
      <c r="Q561" s="43">
        <f>IF($I561=0,0,$Q560+$P561+$O561)</f>
      </c>
      <c r="R561" s="43">
        <f>IF($I561=0,0,$J561-$M561-$N561)</f>
      </c>
    </row>
    <row r="562">
      <c r="A562"/>
      <c r="B562">
        <v>2</v>
      </c>
      <c r="C562" s="43">
        <f>INDEX(DarlObj,2)</f>
      </c>
      <c r="D562">
        <v>79</v>
      </c>
      <c r="E562" s="51">
        <f>IF(INDEX(DarlBelegt,2)=0,0,EOMONTH(INDEX(DarlAuszahlung,2),78)+1)</f>
      </c>
      <c r="F562" s="43">
        <f>IF($E562=0,0,YEAR($E562))</f>
      </c>
      <c r="G562" s="43">
        <f>IF(INDEX(DarlBindung,2)="",1,IF($E562&lt;=INDEX(DarlBindung,2),1,0))</f>
      </c>
      <c r="H562" s="43">
        <f>IF($G562=1,INDEX(DarlSollzins,2),INDEX(DarlAnschluss,2))</f>
      </c>
      <c r="I562" s="43">
        <f>IF(INDEX(DarlBelegt,2)=0,0,IF(INDEX(DarlOhneTilgung,2)=1,IF(INDEX(DarlBindung,2)="",1,$G562),IF($J562&gt;0.005,1,0)))</f>
      </c>
      <c r="J562" s="43">
        <f>IF($I561=0,0,$R561)</f>
      </c>
      <c r="K562" s="43">
        <f>IF($I562=0,0,IF(INDEX(DarlOhneTilgung,2)=1,0,IF(AND(INDEX(DarlTilgStart,2)&gt;0,$E562=INDEX(DarlTilgStart,2)),$J562*($H562+INDEX(DarlTilgung,2))/100/12,IF(AND($G562=0,$G561=1),MAX($K561,$J562*($H562+1)/100/12),$K561))))</f>
      </c>
      <c r="L562" s="43">
        <f>IF($I562=0,0,$J562*$H562/100/12)</f>
      </c>
      <c r="M562" s="43">
        <f>IF($I562=0,0,IF(OR(INDEX(DarlOhneTilgung,2)=1,AND(INDEX(DarlTilgStart,2)&gt;0,$E562&lt;INDEX(DarlTilgStart,2))),0,MIN(MAX(0,$K562-$L562),$J562)))</f>
      </c>
      <c r="N562" s="43">
        <f>IF($I562=0,0,MIN(SUMIFS(SondBetrag,SondDarl,2,SondDatum,"&gt;="&amp;$E562,SondDatum,"&lt;="&amp;EOMONTH($E562,0)),$J562-$M562))</f>
      </c>
      <c r="O562" s="43">
        <f>IF($I562=0,0,INDEX(DarlErsatzRate,2))</f>
      </c>
      <c r="P562" s="43">
        <f>IF($I562=0,0,$Q561*INDEX(DarlErsatzZins,2))</f>
      </c>
      <c r="Q562" s="43">
        <f>IF($I562=0,0,$Q561+$P562+$O562)</f>
      </c>
      <c r="R562" s="43">
        <f>IF($I562=0,0,$J562-$M562-$N562)</f>
      </c>
    </row>
    <row r="563">
      <c r="A563"/>
      <c r="B563">
        <v>2</v>
      </c>
      <c r="C563" s="43">
        <f>INDEX(DarlObj,2)</f>
      </c>
      <c r="D563">
        <v>80</v>
      </c>
      <c r="E563" s="51">
        <f>IF(INDEX(DarlBelegt,2)=0,0,EOMONTH(INDEX(DarlAuszahlung,2),79)+1)</f>
      </c>
      <c r="F563" s="43">
        <f>IF($E563=0,0,YEAR($E563))</f>
      </c>
      <c r="G563" s="43">
        <f>IF(INDEX(DarlBindung,2)="",1,IF($E563&lt;=INDEX(DarlBindung,2),1,0))</f>
      </c>
      <c r="H563" s="43">
        <f>IF($G563=1,INDEX(DarlSollzins,2),INDEX(DarlAnschluss,2))</f>
      </c>
      <c r="I563" s="43">
        <f>IF(INDEX(DarlBelegt,2)=0,0,IF(INDEX(DarlOhneTilgung,2)=1,IF(INDEX(DarlBindung,2)="",1,$G563),IF($J563&gt;0.005,1,0)))</f>
      </c>
      <c r="J563" s="43">
        <f>IF($I562=0,0,$R562)</f>
      </c>
      <c r="K563" s="43">
        <f>IF($I563=0,0,IF(INDEX(DarlOhneTilgung,2)=1,0,IF(AND(INDEX(DarlTilgStart,2)&gt;0,$E563=INDEX(DarlTilgStart,2)),$J563*($H563+INDEX(DarlTilgung,2))/100/12,IF(AND($G563=0,$G562=1),MAX($K562,$J563*($H563+1)/100/12),$K562))))</f>
      </c>
      <c r="L563" s="43">
        <f>IF($I563=0,0,$J563*$H563/100/12)</f>
      </c>
      <c r="M563" s="43">
        <f>IF($I563=0,0,IF(OR(INDEX(DarlOhneTilgung,2)=1,AND(INDEX(DarlTilgStart,2)&gt;0,$E563&lt;INDEX(DarlTilgStart,2))),0,MIN(MAX(0,$K563-$L563),$J563)))</f>
      </c>
      <c r="N563" s="43">
        <f>IF($I563=0,0,MIN(SUMIFS(SondBetrag,SondDarl,2,SondDatum,"&gt;="&amp;$E563,SondDatum,"&lt;="&amp;EOMONTH($E563,0)),$J563-$M563))</f>
      </c>
      <c r="O563" s="43">
        <f>IF($I563=0,0,INDEX(DarlErsatzRate,2))</f>
      </c>
      <c r="P563" s="43">
        <f>IF($I563=0,0,$Q562*INDEX(DarlErsatzZins,2))</f>
      </c>
      <c r="Q563" s="43">
        <f>IF($I563=0,0,$Q562+$P563+$O563)</f>
      </c>
      <c r="R563" s="43">
        <f>IF($I563=0,0,$J563-$M563-$N563)</f>
      </c>
    </row>
    <row r="564">
      <c r="A564"/>
      <c r="B564">
        <v>2</v>
      </c>
      <c r="C564" s="43">
        <f>INDEX(DarlObj,2)</f>
      </c>
      <c r="D564">
        <v>81</v>
      </c>
      <c r="E564" s="51">
        <f>IF(INDEX(DarlBelegt,2)=0,0,EOMONTH(INDEX(DarlAuszahlung,2),80)+1)</f>
      </c>
      <c r="F564" s="43">
        <f>IF($E564=0,0,YEAR($E564))</f>
      </c>
      <c r="G564" s="43">
        <f>IF(INDEX(DarlBindung,2)="",1,IF($E564&lt;=INDEX(DarlBindung,2),1,0))</f>
      </c>
      <c r="H564" s="43">
        <f>IF($G564=1,INDEX(DarlSollzins,2),INDEX(DarlAnschluss,2))</f>
      </c>
      <c r="I564" s="43">
        <f>IF(INDEX(DarlBelegt,2)=0,0,IF(INDEX(DarlOhneTilgung,2)=1,IF(INDEX(DarlBindung,2)="",1,$G564),IF($J564&gt;0.005,1,0)))</f>
      </c>
      <c r="J564" s="43">
        <f>IF($I563=0,0,$R563)</f>
      </c>
      <c r="K564" s="43">
        <f>IF($I564=0,0,IF(INDEX(DarlOhneTilgung,2)=1,0,IF(AND(INDEX(DarlTilgStart,2)&gt;0,$E564=INDEX(DarlTilgStart,2)),$J564*($H564+INDEX(DarlTilgung,2))/100/12,IF(AND($G564=0,$G563=1),MAX($K563,$J564*($H564+1)/100/12),$K563))))</f>
      </c>
      <c r="L564" s="43">
        <f>IF($I564=0,0,$J564*$H564/100/12)</f>
      </c>
      <c r="M564" s="43">
        <f>IF($I564=0,0,IF(OR(INDEX(DarlOhneTilgung,2)=1,AND(INDEX(DarlTilgStart,2)&gt;0,$E564&lt;INDEX(DarlTilgStart,2))),0,MIN(MAX(0,$K564-$L564),$J564)))</f>
      </c>
      <c r="N564" s="43">
        <f>IF($I564=0,0,MIN(SUMIFS(SondBetrag,SondDarl,2,SondDatum,"&gt;="&amp;$E564,SondDatum,"&lt;="&amp;EOMONTH($E564,0)),$J564-$M564))</f>
      </c>
      <c r="O564" s="43">
        <f>IF($I564=0,0,INDEX(DarlErsatzRate,2))</f>
      </c>
      <c r="P564" s="43">
        <f>IF($I564=0,0,$Q563*INDEX(DarlErsatzZins,2))</f>
      </c>
      <c r="Q564" s="43">
        <f>IF($I564=0,0,$Q563+$P564+$O564)</f>
      </c>
      <c r="R564" s="43">
        <f>IF($I564=0,0,$J564-$M564-$N564)</f>
      </c>
    </row>
    <row r="565">
      <c r="A565"/>
      <c r="B565">
        <v>2</v>
      </c>
      <c r="C565" s="43">
        <f>INDEX(DarlObj,2)</f>
      </c>
      <c r="D565">
        <v>82</v>
      </c>
      <c r="E565" s="51">
        <f>IF(INDEX(DarlBelegt,2)=0,0,EOMONTH(INDEX(DarlAuszahlung,2),81)+1)</f>
      </c>
      <c r="F565" s="43">
        <f>IF($E565=0,0,YEAR($E565))</f>
      </c>
      <c r="G565" s="43">
        <f>IF(INDEX(DarlBindung,2)="",1,IF($E565&lt;=INDEX(DarlBindung,2),1,0))</f>
      </c>
      <c r="H565" s="43">
        <f>IF($G565=1,INDEX(DarlSollzins,2),INDEX(DarlAnschluss,2))</f>
      </c>
      <c r="I565" s="43">
        <f>IF(INDEX(DarlBelegt,2)=0,0,IF(INDEX(DarlOhneTilgung,2)=1,IF(INDEX(DarlBindung,2)="",1,$G565),IF($J565&gt;0.005,1,0)))</f>
      </c>
      <c r="J565" s="43">
        <f>IF($I564=0,0,$R564)</f>
      </c>
      <c r="K565" s="43">
        <f>IF($I565=0,0,IF(INDEX(DarlOhneTilgung,2)=1,0,IF(AND(INDEX(DarlTilgStart,2)&gt;0,$E565=INDEX(DarlTilgStart,2)),$J565*($H565+INDEX(DarlTilgung,2))/100/12,IF(AND($G565=0,$G564=1),MAX($K564,$J565*($H565+1)/100/12),$K564))))</f>
      </c>
      <c r="L565" s="43">
        <f>IF($I565=0,0,$J565*$H565/100/12)</f>
      </c>
      <c r="M565" s="43">
        <f>IF($I565=0,0,IF(OR(INDEX(DarlOhneTilgung,2)=1,AND(INDEX(DarlTilgStart,2)&gt;0,$E565&lt;INDEX(DarlTilgStart,2))),0,MIN(MAX(0,$K565-$L565),$J565)))</f>
      </c>
      <c r="N565" s="43">
        <f>IF($I565=0,0,MIN(SUMIFS(SondBetrag,SondDarl,2,SondDatum,"&gt;="&amp;$E565,SondDatum,"&lt;="&amp;EOMONTH($E565,0)),$J565-$M565))</f>
      </c>
      <c r="O565" s="43">
        <f>IF($I565=0,0,INDEX(DarlErsatzRate,2))</f>
      </c>
      <c r="P565" s="43">
        <f>IF($I565=0,0,$Q564*INDEX(DarlErsatzZins,2))</f>
      </c>
      <c r="Q565" s="43">
        <f>IF($I565=0,0,$Q564+$P565+$O565)</f>
      </c>
      <c r="R565" s="43">
        <f>IF($I565=0,0,$J565-$M565-$N565)</f>
      </c>
    </row>
    <row r="566">
      <c r="A566"/>
      <c r="B566">
        <v>2</v>
      </c>
      <c r="C566" s="43">
        <f>INDEX(DarlObj,2)</f>
      </c>
      <c r="D566">
        <v>83</v>
      </c>
      <c r="E566" s="51">
        <f>IF(INDEX(DarlBelegt,2)=0,0,EOMONTH(INDEX(DarlAuszahlung,2),82)+1)</f>
      </c>
      <c r="F566" s="43">
        <f>IF($E566=0,0,YEAR($E566))</f>
      </c>
      <c r="G566" s="43">
        <f>IF(INDEX(DarlBindung,2)="",1,IF($E566&lt;=INDEX(DarlBindung,2),1,0))</f>
      </c>
      <c r="H566" s="43">
        <f>IF($G566=1,INDEX(DarlSollzins,2),INDEX(DarlAnschluss,2))</f>
      </c>
      <c r="I566" s="43">
        <f>IF(INDEX(DarlBelegt,2)=0,0,IF(INDEX(DarlOhneTilgung,2)=1,IF(INDEX(DarlBindung,2)="",1,$G566),IF($J566&gt;0.005,1,0)))</f>
      </c>
      <c r="J566" s="43">
        <f>IF($I565=0,0,$R565)</f>
      </c>
      <c r="K566" s="43">
        <f>IF($I566=0,0,IF(INDEX(DarlOhneTilgung,2)=1,0,IF(AND(INDEX(DarlTilgStart,2)&gt;0,$E566=INDEX(DarlTilgStart,2)),$J566*($H566+INDEX(DarlTilgung,2))/100/12,IF(AND($G566=0,$G565=1),MAX($K565,$J566*($H566+1)/100/12),$K565))))</f>
      </c>
      <c r="L566" s="43">
        <f>IF($I566=0,0,$J566*$H566/100/12)</f>
      </c>
      <c r="M566" s="43">
        <f>IF($I566=0,0,IF(OR(INDEX(DarlOhneTilgung,2)=1,AND(INDEX(DarlTilgStart,2)&gt;0,$E566&lt;INDEX(DarlTilgStart,2))),0,MIN(MAX(0,$K566-$L566),$J566)))</f>
      </c>
      <c r="N566" s="43">
        <f>IF($I566=0,0,MIN(SUMIFS(SondBetrag,SondDarl,2,SondDatum,"&gt;="&amp;$E566,SondDatum,"&lt;="&amp;EOMONTH($E566,0)),$J566-$M566))</f>
      </c>
      <c r="O566" s="43">
        <f>IF($I566=0,0,INDEX(DarlErsatzRate,2))</f>
      </c>
      <c r="P566" s="43">
        <f>IF($I566=0,0,$Q565*INDEX(DarlErsatzZins,2))</f>
      </c>
      <c r="Q566" s="43">
        <f>IF($I566=0,0,$Q565+$P566+$O566)</f>
      </c>
      <c r="R566" s="43">
        <f>IF($I566=0,0,$J566-$M566-$N566)</f>
      </c>
    </row>
    <row r="567">
      <c r="A567"/>
      <c r="B567">
        <v>2</v>
      </c>
      <c r="C567" s="43">
        <f>INDEX(DarlObj,2)</f>
      </c>
      <c r="D567">
        <v>84</v>
      </c>
      <c r="E567" s="51">
        <f>IF(INDEX(DarlBelegt,2)=0,0,EOMONTH(INDEX(DarlAuszahlung,2),83)+1)</f>
      </c>
      <c r="F567" s="43">
        <f>IF($E567=0,0,YEAR($E567))</f>
      </c>
      <c r="G567" s="43">
        <f>IF(INDEX(DarlBindung,2)="",1,IF($E567&lt;=INDEX(DarlBindung,2),1,0))</f>
      </c>
      <c r="H567" s="43">
        <f>IF($G567=1,INDEX(DarlSollzins,2),INDEX(DarlAnschluss,2))</f>
      </c>
      <c r="I567" s="43">
        <f>IF(INDEX(DarlBelegt,2)=0,0,IF(INDEX(DarlOhneTilgung,2)=1,IF(INDEX(DarlBindung,2)="",1,$G567),IF($J567&gt;0.005,1,0)))</f>
      </c>
      <c r="J567" s="43">
        <f>IF($I566=0,0,$R566)</f>
      </c>
      <c r="K567" s="43">
        <f>IF($I567=0,0,IF(INDEX(DarlOhneTilgung,2)=1,0,IF(AND(INDEX(DarlTilgStart,2)&gt;0,$E567=INDEX(DarlTilgStart,2)),$J567*($H567+INDEX(DarlTilgung,2))/100/12,IF(AND($G567=0,$G566=1),MAX($K566,$J567*($H567+1)/100/12),$K566))))</f>
      </c>
      <c r="L567" s="43">
        <f>IF($I567=0,0,$J567*$H567/100/12)</f>
      </c>
      <c r="M567" s="43">
        <f>IF($I567=0,0,IF(OR(INDEX(DarlOhneTilgung,2)=1,AND(INDEX(DarlTilgStart,2)&gt;0,$E567&lt;INDEX(DarlTilgStart,2))),0,MIN(MAX(0,$K567-$L567),$J567)))</f>
      </c>
      <c r="N567" s="43">
        <f>IF($I567=0,0,MIN(SUMIFS(SondBetrag,SondDarl,2,SondDatum,"&gt;="&amp;$E567,SondDatum,"&lt;="&amp;EOMONTH($E567,0)),$J567-$M567))</f>
      </c>
      <c r="O567" s="43">
        <f>IF($I567=0,0,INDEX(DarlErsatzRate,2))</f>
      </c>
      <c r="P567" s="43">
        <f>IF($I567=0,0,$Q566*INDEX(DarlErsatzZins,2))</f>
      </c>
      <c r="Q567" s="43">
        <f>IF($I567=0,0,$Q566+$P567+$O567)</f>
      </c>
      <c r="R567" s="43">
        <f>IF($I567=0,0,$J567-$M567-$N567)</f>
      </c>
    </row>
    <row r="568">
      <c r="A568"/>
      <c r="B568">
        <v>2</v>
      </c>
      <c r="C568" s="43">
        <f>INDEX(DarlObj,2)</f>
      </c>
      <c r="D568">
        <v>85</v>
      </c>
      <c r="E568" s="51">
        <f>IF(INDEX(DarlBelegt,2)=0,0,EOMONTH(INDEX(DarlAuszahlung,2),84)+1)</f>
      </c>
      <c r="F568" s="43">
        <f>IF($E568=0,0,YEAR($E568))</f>
      </c>
      <c r="G568" s="43">
        <f>IF(INDEX(DarlBindung,2)="",1,IF($E568&lt;=INDEX(DarlBindung,2),1,0))</f>
      </c>
      <c r="H568" s="43">
        <f>IF($G568=1,INDEX(DarlSollzins,2),INDEX(DarlAnschluss,2))</f>
      </c>
      <c r="I568" s="43">
        <f>IF(INDEX(DarlBelegt,2)=0,0,IF(INDEX(DarlOhneTilgung,2)=1,IF(INDEX(DarlBindung,2)="",1,$G568),IF($J568&gt;0.005,1,0)))</f>
      </c>
      <c r="J568" s="43">
        <f>IF($I567=0,0,$R567)</f>
      </c>
      <c r="K568" s="43">
        <f>IF($I568=0,0,IF(INDEX(DarlOhneTilgung,2)=1,0,IF(AND(INDEX(DarlTilgStart,2)&gt;0,$E568=INDEX(DarlTilgStart,2)),$J568*($H568+INDEX(DarlTilgung,2))/100/12,IF(AND($G568=0,$G567=1),MAX($K567,$J568*($H568+1)/100/12),$K567))))</f>
      </c>
      <c r="L568" s="43">
        <f>IF($I568=0,0,$J568*$H568/100/12)</f>
      </c>
      <c r="M568" s="43">
        <f>IF($I568=0,0,IF(OR(INDEX(DarlOhneTilgung,2)=1,AND(INDEX(DarlTilgStart,2)&gt;0,$E568&lt;INDEX(DarlTilgStart,2))),0,MIN(MAX(0,$K568-$L568),$J568)))</f>
      </c>
      <c r="N568" s="43">
        <f>IF($I568=0,0,MIN(SUMIFS(SondBetrag,SondDarl,2,SondDatum,"&gt;="&amp;$E568,SondDatum,"&lt;="&amp;EOMONTH($E568,0)),$J568-$M568))</f>
      </c>
      <c r="O568" s="43">
        <f>IF($I568=0,0,INDEX(DarlErsatzRate,2))</f>
      </c>
      <c r="P568" s="43">
        <f>IF($I568=0,0,$Q567*INDEX(DarlErsatzZins,2))</f>
      </c>
      <c r="Q568" s="43">
        <f>IF($I568=0,0,$Q567+$P568+$O568)</f>
      </c>
      <c r="R568" s="43">
        <f>IF($I568=0,0,$J568-$M568-$N568)</f>
      </c>
    </row>
    <row r="569">
      <c r="A569"/>
      <c r="B569">
        <v>2</v>
      </c>
      <c r="C569" s="43">
        <f>INDEX(DarlObj,2)</f>
      </c>
      <c r="D569">
        <v>86</v>
      </c>
      <c r="E569" s="51">
        <f>IF(INDEX(DarlBelegt,2)=0,0,EOMONTH(INDEX(DarlAuszahlung,2),85)+1)</f>
      </c>
      <c r="F569" s="43">
        <f>IF($E569=0,0,YEAR($E569))</f>
      </c>
      <c r="G569" s="43">
        <f>IF(INDEX(DarlBindung,2)="",1,IF($E569&lt;=INDEX(DarlBindung,2),1,0))</f>
      </c>
      <c r="H569" s="43">
        <f>IF($G569=1,INDEX(DarlSollzins,2),INDEX(DarlAnschluss,2))</f>
      </c>
      <c r="I569" s="43">
        <f>IF(INDEX(DarlBelegt,2)=0,0,IF(INDEX(DarlOhneTilgung,2)=1,IF(INDEX(DarlBindung,2)="",1,$G569),IF($J569&gt;0.005,1,0)))</f>
      </c>
      <c r="J569" s="43">
        <f>IF($I568=0,0,$R568)</f>
      </c>
      <c r="K569" s="43">
        <f>IF($I569=0,0,IF(INDEX(DarlOhneTilgung,2)=1,0,IF(AND(INDEX(DarlTilgStart,2)&gt;0,$E569=INDEX(DarlTilgStart,2)),$J569*($H569+INDEX(DarlTilgung,2))/100/12,IF(AND($G569=0,$G568=1),MAX($K568,$J569*($H569+1)/100/12),$K568))))</f>
      </c>
      <c r="L569" s="43">
        <f>IF($I569=0,0,$J569*$H569/100/12)</f>
      </c>
      <c r="M569" s="43">
        <f>IF($I569=0,0,IF(OR(INDEX(DarlOhneTilgung,2)=1,AND(INDEX(DarlTilgStart,2)&gt;0,$E569&lt;INDEX(DarlTilgStart,2))),0,MIN(MAX(0,$K569-$L569),$J569)))</f>
      </c>
      <c r="N569" s="43">
        <f>IF($I569=0,0,MIN(SUMIFS(SondBetrag,SondDarl,2,SondDatum,"&gt;="&amp;$E569,SondDatum,"&lt;="&amp;EOMONTH($E569,0)),$J569-$M569))</f>
      </c>
      <c r="O569" s="43">
        <f>IF($I569=0,0,INDEX(DarlErsatzRate,2))</f>
      </c>
      <c r="P569" s="43">
        <f>IF($I569=0,0,$Q568*INDEX(DarlErsatzZins,2))</f>
      </c>
      <c r="Q569" s="43">
        <f>IF($I569=0,0,$Q568+$P569+$O569)</f>
      </c>
      <c r="R569" s="43">
        <f>IF($I569=0,0,$J569-$M569-$N569)</f>
      </c>
    </row>
    <row r="570">
      <c r="A570"/>
      <c r="B570">
        <v>2</v>
      </c>
      <c r="C570" s="43">
        <f>INDEX(DarlObj,2)</f>
      </c>
      <c r="D570">
        <v>87</v>
      </c>
      <c r="E570" s="51">
        <f>IF(INDEX(DarlBelegt,2)=0,0,EOMONTH(INDEX(DarlAuszahlung,2),86)+1)</f>
      </c>
      <c r="F570" s="43">
        <f>IF($E570=0,0,YEAR($E570))</f>
      </c>
      <c r="G570" s="43">
        <f>IF(INDEX(DarlBindung,2)="",1,IF($E570&lt;=INDEX(DarlBindung,2),1,0))</f>
      </c>
      <c r="H570" s="43">
        <f>IF($G570=1,INDEX(DarlSollzins,2),INDEX(DarlAnschluss,2))</f>
      </c>
      <c r="I570" s="43">
        <f>IF(INDEX(DarlBelegt,2)=0,0,IF(INDEX(DarlOhneTilgung,2)=1,IF(INDEX(DarlBindung,2)="",1,$G570),IF($J570&gt;0.005,1,0)))</f>
      </c>
      <c r="J570" s="43">
        <f>IF($I569=0,0,$R569)</f>
      </c>
      <c r="K570" s="43">
        <f>IF($I570=0,0,IF(INDEX(DarlOhneTilgung,2)=1,0,IF(AND(INDEX(DarlTilgStart,2)&gt;0,$E570=INDEX(DarlTilgStart,2)),$J570*($H570+INDEX(DarlTilgung,2))/100/12,IF(AND($G570=0,$G569=1),MAX($K569,$J570*($H570+1)/100/12),$K569))))</f>
      </c>
      <c r="L570" s="43">
        <f>IF($I570=0,0,$J570*$H570/100/12)</f>
      </c>
      <c r="M570" s="43">
        <f>IF($I570=0,0,IF(OR(INDEX(DarlOhneTilgung,2)=1,AND(INDEX(DarlTilgStart,2)&gt;0,$E570&lt;INDEX(DarlTilgStart,2))),0,MIN(MAX(0,$K570-$L570),$J570)))</f>
      </c>
      <c r="N570" s="43">
        <f>IF($I570=0,0,MIN(SUMIFS(SondBetrag,SondDarl,2,SondDatum,"&gt;="&amp;$E570,SondDatum,"&lt;="&amp;EOMONTH($E570,0)),$J570-$M570))</f>
      </c>
      <c r="O570" s="43">
        <f>IF($I570=0,0,INDEX(DarlErsatzRate,2))</f>
      </c>
      <c r="P570" s="43">
        <f>IF($I570=0,0,$Q569*INDEX(DarlErsatzZins,2))</f>
      </c>
      <c r="Q570" s="43">
        <f>IF($I570=0,0,$Q569+$P570+$O570)</f>
      </c>
      <c r="R570" s="43">
        <f>IF($I570=0,0,$J570-$M570-$N570)</f>
      </c>
    </row>
    <row r="571">
      <c r="A571"/>
      <c r="B571">
        <v>2</v>
      </c>
      <c r="C571" s="43">
        <f>INDEX(DarlObj,2)</f>
      </c>
      <c r="D571">
        <v>88</v>
      </c>
      <c r="E571" s="51">
        <f>IF(INDEX(DarlBelegt,2)=0,0,EOMONTH(INDEX(DarlAuszahlung,2),87)+1)</f>
      </c>
      <c r="F571" s="43">
        <f>IF($E571=0,0,YEAR($E571))</f>
      </c>
      <c r="G571" s="43">
        <f>IF(INDEX(DarlBindung,2)="",1,IF($E571&lt;=INDEX(DarlBindung,2),1,0))</f>
      </c>
      <c r="H571" s="43">
        <f>IF($G571=1,INDEX(DarlSollzins,2),INDEX(DarlAnschluss,2))</f>
      </c>
      <c r="I571" s="43">
        <f>IF(INDEX(DarlBelegt,2)=0,0,IF(INDEX(DarlOhneTilgung,2)=1,IF(INDEX(DarlBindung,2)="",1,$G571),IF($J571&gt;0.005,1,0)))</f>
      </c>
      <c r="J571" s="43">
        <f>IF($I570=0,0,$R570)</f>
      </c>
      <c r="K571" s="43">
        <f>IF($I571=0,0,IF(INDEX(DarlOhneTilgung,2)=1,0,IF(AND(INDEX(DarlTilgStart,2)&gt;0,$E571=INDEX(DarlTilgStart,2)),$J571*($H571+INDEX(DarlTilgung,2))/100/12,IF(AND($G571=0,$G570=1),MAX($K570,$J571*($H571+1)/100/12),$K570))))</f>
      </c>
      <c r="L571" s="43">
        <f>IF($I571=0,0,$J571*$H571/100/12)</f>
      </c>
      <c r="M571" s="43">
        <f>IF($I571=0,0,IF(OR(INDEX(DarlOhneTilgung,2)=1,AND(INDEX(DarlTilgStart,2)&gt;0,$E571&lt;INDEX(DarlTilgStart,2))),0,MIN(MAX(0,$K571-$L571),$J571)))</f>
      </c>
      <c r="N571" s="43">
        <f>IF($I571=0,0,MIN(SUMIFS(SondBetrag,SondDarl,2,SondDatum,"&gt;="&amp;$E571,SondDatum,"&lt;="&amp;EOMONTH($E571,0)),$J571-$M571))</f>
      </c>
      <c r="O571" s="43">
        <f>IF($I571=0,0,INDEX(DarlErsatzRate,2))</f>
      </c>
      <c r="P571" s="43">
        <f>IF($I571=0,0,$Q570*INDEX(DarlErsatzZins,2))</f>
      </c>
      <c r="Q571" s="43">
        <f>IF($I571=0,0,$Q570+$P571+$O571)</f>
      </c>
      <c r="R571" s="43">
        <f>IF($I571=0,0,$J571-$M571-$N571)</f>
      </c>
    </row>
    <row r="572">
      <c r="A572"/>
      <c r="B572">
        <v>2</v>
      </c>
      <c r="C572" s="43">
        <f>INDEX(DarlObj,2)</f>
      </c>
      <c r="D572">
        <v>89</v>
      </c>
      <c r="E572" s="51">
        <f>IF(INDEX(DarlBelegt,2)=0,0,EOMONTH(INDEX(DarlAuszahlung,2),88)+1)</f>
      </c>
      <c r="F572" s="43">
        <f>IF($E572=0,0,YEAR($E572))</f>
      </c>
      <c r="G572" s="43">
        <f>IF(INDEX(DarlBindung,2)="",1,IF($E572&lt;=INDEX(DarlBindung,2),1,0))</f>
      </c>
      <c r="H572" s="43">
        <f>IF($G572=1,INDEX(DarlSollzins,2),INDEX(DarlAnschluss,2))</f>
      </c>
      <c r="I572" s="43">
        <f>IF(INDEX(DarlBelegt,2)=0,0,IF(INDEX(DarlOhneTilgung,2)=1,IF(INDEX(DarlBindung,2)="",1,$G572),IF($J572&gt;0.005,1,0)))</f>
      </c>
      <c r="J572" s="43">
        <f>IF($I571=0,0,$R571)</f>
      </c>
      <c r="K572" s="43">
        <f>IF($I572=0,0,IF(INDEX(DarlOhneTilgung,2)=1,0,IF(AND(INDEX(DarlTilgStart,2)&gt;0,$E572=INDEX(DarlTilgStart,2)),$J572*($H572+INDEX(DarlTilgung,2))/100/12,IF(AND($G572=0,$G571=1),MAX($K571,$J572*($H572+1)/100/12),$K571))))</f>
      </c>
      <c r="L572" s="43">
        <f>IF($I572=0,0,$J572*$H572/100/12)</f>
      </c>
      <c r="M572" s="43">
        <f>IF($I572=0,0,IF(OR(INDEX(DarlOhneTilgung,2)=1,AND(INDEX(DarlTilgStart,2)&gt;0,$E572&lt;INDEX(DarlTilgStart,2))),0,MIN(MAX(0,$K572-$L572),$J572)))</f>
      </c>
      <c r="N572" s="43">
        <f>IF($I572=0,0,MIN(SUMIFS(SondBetrag,SondDarl,2,SondDatum,"&gt;="&amp;$E572,SondDatum,"&lt;="&amp;EOMONTH($E572,0)),$J572-$M572))</f>
      </c>
      <c r="O572" s="43">
        <f>IF($I572=0,0,INDEX(DarlErsatzRate,2))</f>
      </c>
      <c r="P572" s="43">
        <f>IF($I572=0,0,$Q571*INDEX(DarlErsatzZins,2))</f>
      </c>
      <c r="Q572" s="43">
        <f>IF($I572=0,0,$Q571+$P572+$O572)</f>
      </c>
      <c r="R572" s="43">
        <f>IF($I572=0,0,$J572-$M572-$N572)</f>
      </c>
    </row>
    <row r="573">
      <c r="A573"/>
      <c r="B573">
        <v>2</v>
      </c>
      <c r="C573" s="43">
        <f>INDEX(DarlObj,2)</f>
      </c>
      <c r="D573">
        <v>90</v>
      </c>
      <c r="E573" s="51">
        <f>IF(INDEX(DarlBelegt,2)=0,0,EOMONTH(INDEX(DarlAuszahlung,2),89)+1)</f>
      </c>
      <c r="F573" s="43">
        <f>IF($E573=0,0,YEAR($E573))</f>
      </c>
      <c r="G573" s="43">
        <f>IF(INDEX(DarlBindung,2)="",1,IF($E573&lt;=INDEX(DarlBindung,2),1,0))</f>
      </c>
      <c r="H573" s="43">
        <f>IF($G573=1,INDEX(DarlSollzins,2),INDEX(DarlAnschluss,2))</f>
      </c>
      <c r="I573" s="43">
        <f>IF(INDEX(DarlBelegt,2)=0,0,IF(INDEX(DarlOhneTilgung,2)=1,IF(INDEX(DarlBindung,2)="",1,$G573),IF($J573&gt;0.005,1,0)))</f>
      </c>
      <c r="J573" s="43">
        <f>IF($I572=0,0,$R572)</f>
      </c>
      <c r="K573" s="43">
        <f>IF($I573=0,0,IF(INDEX(DarlOhneTilgung,2)=1,0,IF(AND(INDEX(DarlTilgStart,2)&gt;0,$E573=INDEX(DarlTilgStart,2)),$J573*($H573+INDEX(DarlTilgung,2))/100/12,IF(AND($G573=0,$G572=1),MAX($K572,$J573*($H573+1)/100/12),$K572))))</f>
      </c>
      <c r="L573" s="43">
        <f>IF($I573=0,0,$J573*$H573/100/12)</f>
      </c>
      <c r="M573" s="43">
        <f>IF($I573=0,0,IF(OR(INDEX(DarlOhneTilgung,2)=1,AND(INDEX(DarlTilgStart,2)&gt;0,$E573&lt;INDEX(DarlTilgStart,2))),0,MIN(MAX(0,$K573-$L573),$J573)))</f>
      </c>
      <c r="N573" s="43">
        <f>IF($I573=0,0,MIN(SUMIFS(SondBetrag,SondDarl,2,SondDatum,"&gt;="&amp;$E573,SondDatum,"&lt;="&amp;EOMONTH($E573,0)),$J573-$M573))</f>
      </c>
      <c r="O573" s="43">
        <f>IF($I573=0,0,INDEX(DarlErsatzRate,2))</f>
      </c>
      <c r="P573" s="43">
        <f>IF($I573=0,0,$Q572*INDEX(DarlErsatzZins,2))</f>
      </c>
      <c r="Q573" s="43">
        <f>IF($I573=0,0,$Q572+$P573+$O573)</f>
      </c>
      <c r="R573" s="43">
        <f>IF($I573=0,0,$J573-$M573-$N573)</f>
      </c>
    </row>
    <row r="574">
      <c r="A574"/>
      <c r="B574">
        <v>2</v>
      </c>
      <c r="C574" s="43">
        <f>INDEX(DarlObj,2)</f>
      </c>
      <c r="D574">
        <v>91</v>
      </c>
      <c r="E574" s="51">
        <f>IF(INDEX(DarlBelegt,2)=0,0,EOMONTH(INDEX(DarlAuszahlung,2),90)+1)</f>
      </c>
      <c r="F574" s="43">
        <f>IF($E574=0,0,YEAR($E574))</f>
      </c>
      <c r="G574" s="43">
        <f>IF(INDEX(DarlBindung,2)="",1,IF($E574&lt;=INDEX(DarlBindung,2),1,0))</f>
      </c>
      <c r="H574" s="43">
        <f>IF($G574=1,INDEX(DarlSollzins,2),INDEX(DarlAnschluss,2))</f>
      </c>
      <c r="I574" s="43">
        <f>IF(INDEX(DarlBelegt,2)=0,0,IF(INDEX(DarlOhneTilgung,2)=1,IF(INDEX(DarlBindung,2)="",1,$G574),IF($J574&gt;0.005,1,0)))</f>
      </c>
      <c r="J574" s="43">
        <f>IF($I573=0,0,$R573)</f>
      </c>
      <c r="K574" s="43">
        <f>IF($I574=0,0,IF(INDEX(DarlOhneTilgung,2)=1,0,IF(AND(INDEX(DarlTilgStart,2)&gt;0,$E574=INDEX(DarlTilgStart,2)),$J574*($H574+INDEX(DarlTilgung,2))/100/12,IF(AND($G574=0,$G573=1),MAX($K573,$J574*($H574+1)/100/12),$K573))))</f>
      </c>
      <c r="L574" s="43">
        <f>IF($I574=0,0,$J574*$H574/100/12)</f>
      </c>
      <c r="M574" s="43">
        <f>IF($I574=0,0,IF(OR(INDEX(DarlOhneTilgung,2)=1,AND(INDEX(DarlTilgStart,2)&gt;0,$E574&lt;INDEX(DarlTilgStart,2))),0,MIN(MAX(0,$K574-$L574),$J574)))</f>
      </c>
      <c r="N574" s="43">
        <f>IF($I574=0,0,MIN(SUMIFS(SondBetrag,SondDarl,2,SondDatum,"&gt;="&amp;$E574,SondDatum,"&lt;="&amp;EOMONTH($E574,0)),$J574-$M574))</f>
      </c>
      <c r="O574" s="43">
        <f>IF($I574=0,0,INDEX(DarlErsatzRate,2))</f>
      </c>
      <c r="P574" s="43">
        <f>IF($I574=0,0,$Q573*INDEX(DarlErsatzZins,2))</f>
      </c>
      <c r="Q574" s="43">
        <f>IF($I574=0,0,$Q573+$P574+$O574)</f>
      </c>
      <c r="R574" s="43">
        <f>IF($I574=0,0,$J574-$M574-$N574)</f>
      </c>
    </row>
    <row r="575">
      <c r="A575"/>
      <c r="B575">
        <v>2</v>
      </c>
      <c r="C575" s="43">
        <f>INDEX(DarlObj,2)</f>
      </c>
      <c r="D575">
        <v>92</v>
      </c>
      <c r="E575" s="51">
        <f>IF(INDEX(DarlBelegt,2)=0,0,EOMONTH(INDEX(DarlAuszahlung,2),91)+1)</f>
      </c>
      <c r="F575" s="43">
        <f>IF($E575=0,0,YEAR($E575))</f>
      </c>
      <c r="G575" s="43">
        <f>IF(INDEX(DarlBindung,2)="",1,IF($E575&lt;=INDEX(DarlBindung,2),1,0))</f>
      </c>
      <c r="H575" s="43">
        <f>IF($G575=1,INDEX(DarlSollzins,2),INDEX(DarlAnschluss,2))</f>
      </c>
      <c r="I575" s="43">
        <f>IF(INDEX(DarlBelegt,2)=0,0,IF(INDEX(DarlOhneTilgung,2)=1,IF(INDEX(DarlBindung,2)="",1,$G575),IF($J575&gt;0.005,1,0)))</f>
      </c>
      <c r="J575" s="43">
        <f>IF($I574=0,0,$R574)</f>
      </c>
      <c r="K575" s="43">
        <f>IF($I575=0,0,IF(INDEX(DarlOhneTilgung,2)=1,0,IF(AND(INDEX(DarlTilgStart,2)&gt;0,$E575=INDEX(DarlTilgStart,2)),$J575*($H575+INDEX(DarlTilgung,2))/100/12,IF(AND($G575=0,$G574=1),MAX($K574,$J575*($H575+1)/100/12),$K574))))</f>
      </c>
      <c r="L575" s="43">
        <f>IF($I575=0,0,$J575*$H575/100/12)</f>
      </c>
      <c r="M575" s="43">
        <f>IF($I575=0,0,IF(OR(INDEX(DarlOhneTilgung,2)=1,AND(INDEX(DarlTilgStart,2)&gt;0,$E575&lt;INDEX(DarlTilgStart,2))),0,MIN(MAX(0,$K575-$L575),$J575)))</f>
      </c>
      <c r="N575" s="43">
        <f>IF($I575=0,0,MIN(SUMIFS(SondBetrag,SondDarl,2,SondDatum,"&gt;="&amp;$E575,SondDatum,"&lt;="&amp;EOMONTH($E575,0)),$J575-$M575))</f>
      </c>
      <c r="O575" s="43">
        <f>IF($I575=0,0,INDEX(DarlErsatzRate,2))</f>
      </c>
      <c r="P575" s="43">
        <f>IF($I575=0,0,$Q574*INDEX(DarlErsatzZins,2))</f>
      </c>
      <c r="Q575" s="43">
        <f>IF($I575=0,0,$Q574+$P575+$O575)</f>
      </c>
      <c r="R575" s="43">
        <f>IF($I575=0,0,$J575-$M575-$N575)</f>
      </c>
    </row>
    <row r="576">
      <c r="A576"/>
      <c r="B576">
        <v>2</v>
      </c>
      <c r="C576" s="43">
        <f>INDEX(DarlObj,2)</f>
      </c>
      <c r="D576">
        <v>93</v>
      </c>
      <c r="E576" s="51">
        <f>IF(INDEX(DarlBelegt,2)=0,0,EOMONTH(INDEX(DarlAuszahlung,2),92)+1)</f>
      </c>
      <c r="F576" s="43">
        <f>IF($E576=0,0,YEAR($E576))</f>
      </c>
      <c r="G576" s="43">
        <f>IF(INDEX(DarlBindung,2)="",1,IF($E576&lt;=INDEX(DarlBindung,2),1,0))</f>
      </c>
      <c r="H576" s="43">
        <f>IF($G576=1,INDEX(DarlSollzins,2),INDEX(DarlAnschluss,2))</f>
      </c>
      <c r="I576" s="43">
        <f>IF(INDEX(DarlBelegt,2)=0,0,IF(INDEX(DarlOhneTilgung,2)=1,IF(INDEX(DarlBindung,2)="",1,$G576),IF($J576&gt;0.005,1,0)))</f>
      </c>
      <c r="J576" s="43">
        <f>IF($I575=0,0,$R575)</f>
      </c>
      <c r="K576" s="43">
        <f>IF($I576=0,0,IF(INDEX(DarlOhneTilgung,2)=1,0,IF(AND(INDEX(DarlTilgStart,2)&gt;0,$E576=INDEX(DarlTilgStart,2)),$J576*($H576+INDEX(DarlTilgung,2))/100/12,IF(AND($G576=0,$G575=1),MAX($K575,$J576*($H576+1)/100/12),$K575))))</f>
      </c>
      <c r="L576" s="43">
        <f>IF($I576=0,0,$J576*$H576/100/12)</f>
      </c>
      <c r="M576" s="43">
        <f>IF($I576=0,0,IF(OR(INDEX(DarlOhneTilgung,2)=1,AND(INDEX(DarlTilgStart,2)&gt;0,$E576&lt;INDEX(DarlTilgStart,2))),0,MIN(MAX(0,$K576-$L576),$J576)))</f>
      </c>
      <c r="N576" s="43">
        <f>IF($I576=0,0,MIN(SUMIFS(SondBetrag,SondDarl,2,SondDatum,"&gt;="&amp;$E576,SondDatum,"&lt;="&amp;EOMONTH($E576,0)),$J576-$M576))</f>
      </c>
      <c r="O576" s="43">
        <f>IF($I576=0,0,INDEX(DarlErsatzRate,2))</f>
      </c>
      <c r="P576" s="43">
        <f>IF($I576=0,0,$Q575*INDEX(DarlErsatzZins,2))</f>
      </c>
      <c r="Q576" s="43">
        <f>IF($I576=0,0,$Q575+$P576+$O576)</f>
      </c>
      <c r="R576" s="43">
        <f>IF($I576=0,0,$J576-$M576-$N576)</f>
      </c>
    </row>
    <row r="577">
      <c r="A577"/>
      <c r="B577">
        <v>2</v>
      </c>
      <c r="C577" s="43">
        <f>INDEX(DarlObj,2)</f>
      </c>
      <c r="D577">
        <v>94</v>
      </c>
      <c r="E577" s="51">
        <f>IF(INDEX(DarlBelegt,2)=0,0,EOMONTH(INDEX(DarlAuszahlung,2),93)+1)</f>
      </c>
      <c r="F577" s="43">
        <f>IF($E577=0,0,YEAR($E577))</f>
      </c>
      <c r="G577" s="43">
        <f>IF(INDEX(DarlBindung,2)="",1,IF($E577&lt;=INDEX(DarlBindung,2),1,0))</f>
      </c>
      <c r="H577" s="43">
        <f>IF($G577=1,INDEX(DarlSollzins,2),INDEX(DarlAnschluss,2))</f>
      </c>
      <c r="I577" s="43">
        <f>IF(INDEX(DarlBelegt,2)=0,0,IF(INDEX(DarlOhneTilgung,2)=1,IF(INDEX(DarlBindung,2)="",1,$G577),IF($J577&gt;0.005,1,0)))</f>
      </c>
      <c r="J577" s="43">
        <f>IF($I576=0,0,$R576)</f>
      </c>
      <c r="K577" s="43">
        <f>IF($I577=0,0,IF(INDEX(DarlOhneTilgung,2)=1,0,IF(AND(INDEX(DarlTilgStart,2)&gt;0,$E577=INDEX(DarlTilgStart,2)),$J577*($H577+INDEX(DarlTilgung,2))/100/12,IF(AND($G577=0,$G576=1),MAX($K576,$J577*($H577+1)/100/12),$K576))))</f>
      </c>
      <c r="L577" s="43">
        <f>IF($I577=0,0,$J577*$H577/100/12)</f>
      </c>
      <c r="M577" s="43">
        <f>IF($I577=0,0,IF(OR(INDEX(DarlOhneTilgung,2)=1,AND(INDEX(DarlTilgStart,2)&gt;0,$E577&lt;INDEX(DarlTilgStart,2))),0,MIN(MAX(0,$K577-$L577),$J577)))</f>
      </c>
      <c r="N577" s="43">
        <f>IF($I577=0,0,MIN(SUMIFS(SondBetrag,SondDarl,2,SondDatum,"&gt;="&amp;$E577,SondDatum,"&lt;="&amp;EOMONTH($E577,0)),$J577-$M577))</f>
      </c>
      <c r="O577" s="43">
        <f>IF($I577=0,0,INDEX(DarlErsatzRate,2))</f>
      </c>
      <c r="P577" s="43">
        <f>IF($I577=0,0,$Q576*INDEX(DarlErsatzZins,2))</f>
      </c>
      <c r="Q577" s="43">
        <f>IF($I577=0,0,$Q576+$P577+$O577)</f>
      </c>
      <c r="R577" s="43">
        <f>IF($I577=0,0,$J577-$M577-$N577)</f>
      </c>
    </row>
    <row r="578">
      <c r="A578"/>
      <c r="B578">
        <v>2</v>
      </c>
      <c r="C578" s="43">
        <f>INDEX(DarlObj,2)</f>
      </c>
      <c r="D578">
        <v>95</v>
      </c>
      <c r="E578" s="51">
        <f>IF(INDEX(DarlBelegt,2)=0,0,EOMONTH(INDEX(DarlAuszahlung,2),94)+1)</f>
      </c>
      <c r="F578" s="43">
        <f>IF($E578=0,0,YEAR($E578))</f>
      </c>
      <c r="G578" s="43">
        <f>IF(INDEX(DarlBindung,2)="",1,IF($E578&lt;=INDEX(DarlBindung,2),1,0))</f>
      </c>
      <c r="H578" s="43">
        <f>IF($G578=1,INDEX(DarlSollzins,2),INDEX(DarlAnschluss,2))</f>
      </c>
      <c r="I578" s="43">
        <f>IF(INDEX(DarlBelegt,2)=0,0,IF(INDEX(DarlOhneTilgung,2)=1,IF(INDEX(DarlBindung,2)="",1,$G578),IF($J578&gt;0.005,1,0)))</f>
      </c>
      <c r="J578" s="43">
        <f>IF($I577=0,0,$R577)</f>
      </c>
      <c r="K578" s="43">
        <f>IF($I578=0,0,IF(INDEX(DarlOhneTilgung,2)=1,0,IF(AND(INDEX(DarlTilgStart,2)&gt;0,$E578=INDEX(DarlTilgStart,2)),$J578*($H578+INDEX(DarlTilgung,2))/100/12,IF(AND($G578=0,$G577=1),MAX($K577,$J578*($H578+1)/100/12),$K577))))</f>
      </c>
      <c r="L578" s="43">
        <f>IF($I578=0,0,$J578*$H578/100/12)</f>
      </c>
      <c r="M578" s="43">
        <f>IF($I578=0,0,IF(OR(INDEX(DarlOhneTilgung,2)=1,AND(INDEX(DarlTilgStart,2)&gt;0,$E578&lt;INDEX(DarlTilgStart,2))),0,MIN(MAX(0,$K578-$L578),$J578)))</f>
      </c>
      <c r="N578" s="43">
        <f>IF($I578=0,0,MIN(SUMIFS(SondBetrag,SondDarl,2,SondDatum,"&gt;="&amp;$E578,SondDatum,"&lt;="&amp;EOMONTH($E578,0)),$J578-$M578))</f>
      </c>
      <c r="O578" s="43">
        <f>IF($I578=0,0,INDEX(DarlErsatzRate,2))</f>
      </c>
      <c r="P578" s="43">
        <f>IF($I578=0,0,$Q577*INDEX(DarlErsatzZins,2))</f>
      </c>
      <c r="Q578" s="43">
        <f>IF($I578=0,0,$Q577+$P578+$O578)</f>
      </c>
      <c r="R578" s="43">
        <f>IF($I578=0,0,$J578-$M578-$N578)</f>
      </c>
    </row>
    <row r="579">
      <c r="A579"/>
      <c r="B579">
        <v>2</v>
      </c>
      <c r="C579" s="43">
        <f>INDEX(DarlObj,2)</f>
      </c>
      <c r="D579">
        <v>96</v>
      </c>
      <c r="E579" s="51">
        <f>IF(INDEX(DarlBelegt,2)=0,0,EOMONTH(INDEX(DarlAuszahlung,2),95)+1)</f>
      </c>
      <c r="F579" s="43">
        <f>IF($E579=0,0,YEAR($E579))</f>
      </c>
      <c r="G579" s="43">
        <f>IF(INDEX(DarlBindung,2)="",1,IF($E579&lt;=INDEX(DarlBindung,2),1,0))</f>
      </c>
      <c r="H579" s="43">
        <f>IF($G579=1,INDEX(DarlSollzins,2),INDEX(DarlAnschluss,2))</f>
      </c>
      <c r="I579" s="43">
        <f>IF(INDEX(DarlBelegt,2)=0,0,IF(INDEX(DarlOhneTilgung,2)=1,IF(INDEX(DarlBindung,2)="",1,$G579),IF($J579&gt;0.005,1,0)))</f>
      </c>
      <c r="J579" s="43">
        <f>IF($I578=0,0,$R578)</f>
      </c>
      <c r="K579" s="43">
        <f>IF($I579=0,0,IF(INDEX(DarlOhneTilgung,2)=1,0,IF(AND(INDEX(DarlTilgStart,2)&gt;0,$E579=INDEX(DarlTilgStart,2)),$J579*($H579+INDEX(DarlTilgung,2))/100/12,IF(AND($G579=0,$G578=1),MAX($K578,$J579*($H579+1)/100/12),$K578))))</f>
      </c>
      <c r="L579" s="43">
        <f>IF($I579=0,0,$J579*$H579/100/12)</f>
      </c>
      <c r="M579" s="43">
        <f>IF($I579=0,0,IF(OR(INDEX(DarlOhneTilgung,2)=1,AND(INDEX(DarlTilgStart,2)&gt;0,$E579&lt;INDEX(DarlTilgStart,2))),0,MIN(MAX(0,$K579-$L579),$J579)))</f>
      </c>
      <c r="N579" s="43">
        <f>IF($I579=0,0,MIN(SUMIFS(SondBetrag,SondDarl,2,SondDatum,"&gt;="&amp;$E579,SondDatum,"&lt;="&amp;EOMONTH($E579,0)),$J579-$M579))</f>
      </c>
      <c r="O579" s="43">
        <f>IF($I579=0,0,INDEX(DarlErsatzRate,2))</f>
      </c>
      <c r="P579" s="43">
        <f>IF($I579=0,0,$Q578*INDEX(DarlErsatzZins,2))</f>
      </c>
      <c r="Q579" s="43">
        <f>IF($I579=0,0,$Q578+$P579+$O579)</f>
      </c>
      <c r="R579" s="43">
        <f>IF($I579=0,0,$J579-$M579-$N579)</f>
      </c>
    </row>
    <row r="580">
      <c r="A580"/>
      <c r="B580">
        <v>2</v>
      </c>
      <c r="C580" s="43">
        <f>INDEX(DarlObj,2)</f>
      </c>
      <c r="D580">
        <v>97</v>
      </c>
      <c r="E580" s="51">
        <f>IF(INDEX(DarlBelegt,2)=0,0,EOMONTH(INDEX(DarlAuszahlung,2),96)+1)</f>
      </c>
      <c r="F580" s="43">
        <f>IF($E580=0,0,YEAR($E580))</f>
      </c>
      <c r="G580" s="43">
        <f>IF(INDEX(DarlBindung,2)="",1,IF($E580&lt;=INDEX(DarlBindung,2),1,0))</f>
      </c>
      <c r="H580" s="43">
        <f>IF($G580=1,INDEX(DarlSollzins,2),INDEX(DarlAnschluss,2))</f>
      </c>
      <c r="I580" s="43">
        <f>IF(INDEX(DarlBelegt,2)=0,0,IF(INDEX(DarlOhneTilgung,2)=1,IF(INDEX(DarlBindung,2)="",1,$G580),IF($J580&gt;0.005,1,0)))</f>
      </c>
      <c r="J580" s="43">
        <f>IF($I579=0,0,$R579)</f>
      </c>
      <c r="K580" s="43">
        <f>IF($I580=0,0,IF(INDEX(DarlOhneTilgung,2)=1,0,IF(AND(INDEX(DarlTilgStart,2)&gt;0,$E580=INDEX(DarlTilgStart,2)),$J580*($H580+INDEX(DarlTilgung,2))/100/12,IF(AND($G580=0,$G579=1),MAX($K579,$J580*($H580+1)/100/12),$K579))))</f>
      </c>
      <c r="L580" s="43">
        <f>IF($I580=0,0,$J580*$H580/100/12)</f>
      </c>
      <c r="M580" s="43">
        <f>IF($I580=0,0,IF(OR(INDEX(DarlOhneTilgung,2)=1,AND(INDEX(DarlTilgStart,2)&gt;0,$E580&lt;INDEX(DarlTilgStart,2))),0,MIN(MAX(0,$K580-$L580),$J580)))</f>
      </c>
      <c r="N580" s="43">
        <f>IF($I580=0,0,MIN(SUMIFS(SondBetrag,SondDarl,2,SondDatum,"&gt;="&amp;$E580,SondDatum,"&lt;="&amp;EOMONTH($E580,0)),$J580-$M580))</f>
      </c>
      <c r="O580" s="43">
        <f>IF($I580=0,0,INDEX(DarlErsatzRate,2))</f>
      </c>
      <c r="P580" s="43">
        <f>IF($I580=0,0,$Q579*INDEX(DarlErsatzZins,2))</f>
      </c>
      <c r="Q580" s="43">
        <f>IF($I580=0,0,$Q579+$P580+$O580)</f>
      </c>
      <c r="R580" s="43">
        <f>IF($I580=0,0,$J580-$M580-$N580)</f>
      </c>
    </row>
    <row r="581">
      <c r="A581"/>
      <c r="B581">
        <v>2</v>
      </c>
      <c r="C581" s="43">
        <f>INDEX(DarlObj,2)</f>
      </c>
      <c r="D581">
        <v>98</v>
      </c>
      <c r="E581" s="51">
        <f>IF(INDEX(DarlBelegt,2)=0,0,EOMONTH(INDEX(DarlAuszahlung,2),97)+1)</f>
      </c>
      <c r="F581" s="43">
        <f>IF($E581=0,0,YEAR($E581))</f>
      </c>
      <c r="G581" s="43">
        <f>IF(INDEX(DarlBindung,2)="",1,IF($E581&lt;=INDEX(DarlBindung,2),1,0))</f>
      </c>
      <c r="H581" s="43">
        <f>IF($G581=1,INDEX(DarlSollzins,2),INDEX(DarlAnschluss,2))</f>
      </c>
      <c r="I581" s="43">
        <f>IF(INDEX(DarlBelegt,2)=0,0,IF(INDEX(DarlOhneTilgung,2)=1,IF(INDEX(DarlBindung,2)="",1,$G581),IF($J581&gt;0.005,1,0)))</f>
      </c>
      <c r="J581" s="43">
        <f>IF($I580=0,0,$R580)</f>
      </c>
      <c r="K581" s="43">
        <f>IF($I581=0,0,IF(INDEX(DarlOhneTilgung,2)=1,0,IF(AND(INDEX(DarlTilgStart,2)&gt;0,$E581=INDEX(DarlTilgStart,2)),$J581*($H581+INDEX(DarlTilgung,2))/100/12,IF(AND($G581=0,$G580=1),MAX($K580,$J581*($H581+1)/100/12),$K580))))</f>
      </c>
      <c r="L581" s="43">
        <f>IF($I581=0,0,$J581*$H581/100/12)</f>
      </c>
      <c r="M581" s="43">
        <f>IF($I581=0,0,IF(OR(INDEX(DarlOhneTilgung,2)=1,AND(INDEX(DarlTilgStart,2)&gt;0,$E581&lt;INDEX(DarlTilgStart,2))),0,MIN(MAX(0,$K581-$L581),$J581)))</f>
      </c>
      <c r="N581" s="43">
        <f>IF($I581=0,0,MIN(SUMIFS(SondBetrag,SondDarl,2,SondDatum,"&gt;="&amp;$E581,SondDatum,"&lt;="&amp;EOMONTH($E581,0)),$J581-$M581))</f>
      </c>
      <c r="O581" s="43">
        <f>IF($I581=0,0,INDEX(DarlErsatzRate,2))</f>
      </c>
      <c r="P581" s="43">
        <f>IF($I581=0,0,$Q580*INDEX(DarlErsatzZins,2))</f>
      </c>
      <c r="Q581" s="43">
        <f>IF($I581=0,0,$Q580+$P581+$O581)</f>
      </c>
      <c r="R581" s="43">
        <f>IF($I581=0,0,$J581-$M581-$N581)</f>
      </c>
    </row>
    <row r="582">
      <c r="A582"/>
      <c r="B582">
        <v>2</v>
      </c>
      <c r="C582" s="43">
        <f>INDEX(DarlObj,2)</f>
      </c>
      <c r="D582">
        <v>99</v>
      </c>
      <c r="E582" s="51">
        <f>IF(INDEX(DarlBelegt,2)=0,0,EOMONTH(INDEX(DarlAuszahlung,2),98)+1)</f>
      </c>
      <c r="F582" s="43">
        <f>IF($E582=0,0,YEAR($E582))</f>
      </c>
      <c r="G582" s="43">
        <f>IF(INDEX(DarlBindung,2)="",1,IF($E582&lt;=INDEX(DarlBindung,2),1,0))</f>
      </c>
      <c r="H582" s="43">
        <f>IF($G582=1,INDEX(DarlSollzins,2),INDEX(DarlAnschluss,2))</f>
      </c>
      <c r="I582" s="43">
        <f>IF(INDEX(DarlBelegt,2)=0,0,IF(INDEX(DarlOhneTilgung,2)=1,IF(INDEX(DarlBindung,2)="",1,$G582),IF($J582&gt;0.005,1,0)))</f>
      </c>
      <c r="J582" s="43">
        <f>IF($I581=0,0,$R581)</f>
      </c>
      <c r="K582" s="43">
        <f>IF($I582=0,0,IF(INDEX(DarlOhneTilgung,2)=1,0,IF(AND(INDEX(DarlTilgStart,2)&gt;0,$E582=INDEX(DarlTilgStart,2)),$J582*($H582+INDEX(DarlTilgung,2))/100/12,IF(AND($G582=0,$G581=1),MAX($K581,$J582*($H582+1)/100/12),$K581))))</f>
      </c>
      <c r="L582" s="43">
        <f>IF($I582=0,0,$J582*$H582/100/12)</f>
      </c>
      <c r="M582" s="43">
        <f>IF($I582=0,0,IF(OR(INDEX(DarlOhneTilgung,2)=1,AND(INDEX(DarlTilgStart,2)&gt;0,$E582&lt;INDEX(DarlTilgStart,2))),0,MIN(MAX(0,$K582-$L582),$J582)))</f>
      </c>
      <c r="N582" s="43">
        <f>IF($I582=0,0,MIN(SUMIFS(SondBetrag,SondDarl,2,SondDatum,"&gt;="&amp;$E582,SondDatum,"&lt;="&amp;EOMONTH($E582,0)),$J582-$M582))</f>
      </c>
      <c r="O582" s="43">
        <f>IF($I582=0,0,INDEX(DarlErsatzRate,2))</f>
      </c>
      <c r="P582" s="43">
        <f>IF($I582=0,0,$Q581*INDEX(DarlErsatzZins,2))</f>
      </c>
      <c r="Q582" s="43">
        <f>IF($I582=0,0,$Q581+$P582+$O582)</f>
      </c>
      <c r="R582" s="43">
        <f>IF($I582=0,0,$J582-$M582-$N582)</f>
      </c>
    </row>
    <row r="583">
      <c r="A583"/>
      <c r="B583">
        <v>2</v>
      </c>
      <c r="C583" s="43">
        <f>INDEX(DarlObj,2)</f>
      </c>
      <c r="D583">
        <v>100</v>
      </c>
      <c r="E583" s="51">
        <f>IF(INDEX(DarlBelegt,2)=0,0,EOMONTH(INDEX(DarlAuszahlung,2),99)+1)</f>
      </c>
      <c r="F583" s="43">
        <f>IF($E583=0,0,YEAR($E583))</f>
      </c>
      <c r="G583" s="43">
        <f>IF(INDEX(DarlBindung,2)="",1,IF($E583&lt;=INDEX(DarlBindung,2),1,0))</f>
      </c>
      <c r="H583" s="43">
        <f>IF($G583=1,INDEX(DarlSollzins,2),INDEX(DarlAnschluss,2))</f>
      </c>
      <c r="I583" s="43">
        <f>IF(INDEX(DarlBelegt,2)=0,0,IF(INDEX(DarlOhneTilgung,2)=1,IF(INDEX(DarlBindung,2)="",1,$G583),IF($J583&gt;0.005,1,0)))</f>
      </c>
      <c r="J583" s="43">
        <f>IF($I582=0,0,$R582)</f>
      </c>
      <c r="K583" s="43">
        <f>IF($I583=0,0,IF(INDEX(DarlOhneTilgung,2)=1,0,IF(AND(INDEX(DarlTilgStart,2)&gt;0,$E583=INDEX(DarlTilgStart,2)),$J583*($H583+INDEX(DarlTilgung,2))/100/12,IF(AND($G583=0,$G582=1),MAX($K582,$J583*($H583+1)/100/12),$K582))))</f>
      </c>
      <c r="L583" s="43">
        <f>IF($I583=0,0,$J583*$H583/100/12)</f>
      </c>
      <c r="M583" s="43">
        <f>IF($I583=0,0,IF(OR(INDEX(DarlOhneTilgung,2)=1,AND(INDEX(DarlTilgStart,2)&gt;0,$E583&lt;INDEX(DarlTilgStart,2))),0,MIN(MAX(0,$K583-$L583),$J583)))</f>
      </c>
      <c r="N583" s="43">
        <f>IF($I583=0,0,MIN(SUMIFS(SondBetrag,SondDarl,2,SondDatum,"&gt;="&amp;$E583,SondDatum,"&lt;="&amp;EOMONTH($E583,0)),$J583-$M583))</f>
      </c>
      <c r="O583" s="43">
        <f>IF($I583=0,0,INDEX(DarlErsatzRate,2))</f>
      </c>
      <c r="P583" s="43">
        <f>IF($I583=0,0,$Q582*INDEX(DarlErsatzZins,2))</f>
      </c>
      <c r="Q583" s="43">
        <f>IF($I583=0,0,$Q582+$P583+$O583)</f>
      </c>
      <c r="R583" s="43">
        <f>IF($I583=0,0,$J583-$M583-$N583)</f>
      </c>
    </row>
    <row r="584">
      <c r="A584"/>
      <c r="B584">
        <v>2</v>
      </c>
      <c r="C584" s="43">
        <f>INDEX(DarlObj,2)</f>
      </c>
      <c r="D584">
        <v>101</v>
      </c>
      <c r="E584" s="51">
        <f>IF(INDEX(DarlBelegt,2)=0,0,EOMONTH(INDEX(DarlAuszahlung,2),100)+1)</f>
      </c>
      <c r="F584" s="43">
        <f>IF($E584=0,0,YEAR($E584))</f>
      </c>
      <c r="G584" s="43">
        <f>IF(INDEX(DarlBindung,2)="",1,IF($E584&lt;=INDEX(DarlBindung,2),1,0))</f>
      </c>
      <c r="H584" s="43">
        <f>IF($G584=1,INDEX(DarlSollzins,2),INDEX(DarlAnschluss,2))</f>
      </c>
      <c r="I584" s="43">
        <f>IF(INDEX(DarlBelegt,2)=0,0,IF(INDEX(DarlOhneTilgung,2)=1,IF(INDEX(DarlBindung,2)="",1,$G584),IF($J584&gt;0.005,1,0)))</f>
      </c>
      <c r="J584" s="43">
        <f>IF($I583=0,0,$R583)</f>
      </c>
      <c r="K584" s="43">
        <f>IF($I584=0,0,IF(INDEX(DarlOhneTilgung,2)=1,0,IF(AND(INDEX(DarlTilgStart,2)&gt;0,$E584=INDEX(DarlTilgStart,2)),$J584*($H584+INDEX(DarlTilgung,2))/100/12,IF(AND($G584=0,$G583=1),MAX($K583,$J584*($H584+1)/100/12),$K583))))</f>
      </c>
      <c r="L584" s="43">
        <f>IF($I584=0,0,$J584*$H584/100/12)</f>
      </c>
      <c r="M584" s="43">
        <f>IF($I584=0,0,IF(OR(INDEX(DarlOhneTilgung,2)=1,AND(INDEX(DarlTilgStart,2)&gt;0,$E584&lt;INDEX(DarlTilgStart,2))),0,MIN(MAX(0,$K584-$L584),$J584)))</f>
      </c>
      <c r="N584" s="43">
        <f>IF($I584=0,0,MIN(SUMIFS(SondBetrag,SondDarl,2,SondDatum,"&gt;="&amp;$E584,SondDatum,"&lt;="&amp;EOMONTH($E584,0)),$J584-$M584))</f>
      </c>
      <c r="O584" s="43">
        <f>IF($I584=0,0,INDEX(DarlErsatzRate,2))</f>
      </c>
      <c r="P584" s="43">
        <f>IF($I584=0,0,$Q583*INDEX(DarlErsatzZins,2))</f>
      </c>
      <c r="Q584" s="43">
        <f>IF($I584=0,0,$Q583+$P584+$O584)</f>
      </c>
      <c r="R584" s="43">
        <f>IF($I584=0,0,$J584-$M584-$N584)</f>
      </c>
    </row>
    <row r="585">
      <c r="A585"/>
      <c r="B585">
        <v>2</v>
      </c>
      <c r="C585" s="43">
        <f>INDEX(DarlObj,2)</f>
      </c>
      <c r="D585">
        <v>102</v>
      </c>
      <c r="E585" s="51">
        <f>IF(INDEX(DarlBelegt,2)=0,0,EOMONTH(INDEX(DarlAuszahlung,2),101)+1)</f>
      </c>
      <c r="F585" s="43">
        <f>IF($E585=0,0,YEAR($E585))</f>
      </c>
      <c r="G585" s="43">
        <f>IF(INDEX(DarlBindung,2)="",1,IF($E585&lt;=INDEX(DarlBindung,2),1,0))</f>
      </c>
      <c r="H585" s="43">
        <f>IF($G585=1,INDEX(DarlSollzins,2),INDEX(DarlAnschluss,2))</f>
      </c>
      <c r="I585" s="43">
        <f>IF(INDEX(DarlBelegt,2)=0,0,IF(INDEX(DarlOhneTilgung,2)=1,IF(INDEX(DarlBindung,2)="",1,$G585),IF($J585&gt;0.005,1,0)))</f>
      </c>
      <c r="J585" s="43">
        <f>IF($I584=0,0,$R584)</f>
      </c>
      <c r="K585" s="43">
        <f>IF($I585=0,0,IF(INDEX(DarlOhneTilgung,2)=1,0,IF(AND(INDEX(DarlTilgStart,2)&gt;0,$E585=INDEX(DarlTilgStart,2)),$J585*($H585+INDEX(DarlTilgung,2))/100/12,IF(AND($G585=0,$G584=1),MAX($K584,$J585*($H585+1)/100/12),$K584))))</f>
      </c>
      <c r="L585" s="43">
        <f>IF($I585=0,0,$J585*$H585/100/12)</f>
      </c>
      <c r="M585" s="43">
        <f>IF($I585=0,0,IF(OR(INDEX(DarlOhneTilgung,2)=1,AND(INDEX(DarlTilgStart,2)&gt;0,$E585&lt;INDEX(DarlTilgStart,2))),0,MIN(MAX(0,$K585-$L585),$J585)))</f>
      </c>
      <c r="N585" s="43">
        <f>IF($I585=0,0,MIN(SUMIFS(SondBetrag,SondDarl,2,SondDatum,"&gt;="&amp;$E585,SondDatum,"&lt;="&amp;EOMONTH($E585,0)),$J585-$M585))</f>
      </c>
      <c r="O585" s="43">
        <f>IF($I585=0,0,INDEX(DarlErsatzRate,2))</f>
      </c>
      <c r="P585" s="43">
        <f>IF($I585=0,0,$Q584*INDEX(DarlErsatzZins,2))</f>
      </c>
      <c r="Q585" s="43">
        <f>IF($I585=0,0,$Q584+$P585+$O585)</f>
      </c>
      <c r="R585" s="43">
        <f>IF($I585=0,0,$J585-$M585-$N585)</f>
      </c>
    </row>
    <row r="586">
      <c r="A586"/>
      <c r="B586">
        <v>2</v>
      </c>
      <c r="C586" s="43">
        <f>INDEX(DarlObj,2)</f>
      </c>
      <c r="D586">
        <v>103</v>
      </c>
      <c r="E586" s="51">
        <f>IF(INDEX(DarlBelegt,2)=0,0,EOMONTH(INDEX(DarlAuszahlung,2),102)+1)</f>
      </c>
      <c r="F586" s="43">
        <f>IF($E586=0,0,YEAR($E586))</f>
      </c>
      <c r="G586" s="43">
        <f>IF(INDEX(DarlBindung,2)="",1,IF($E586&lt;=INDEX(DarlBindung,2),1,0))</f>
      </c>
      <c r="H586" s="43">
        <f>IF($G586=1,INDEX(DarlSollzins,2),INDEX(DarlAnschluss,2))</f>
      </c>
      <c r="I586" s="43">
        <f>IF(INDEX(DarlBelegt,2)=0,0,IF(INDEX(DarlOhneTilgung,2)=1,IF(INDEX(DarlBindung,2)="",1,$G586),IF($J586&gt;0.005,1,0)))</f>
      </c>
      <c r="J586" s="43">
        <f>IF($I585=0,0,$R585)</f>
      </c>
      <c r="K586" s="43">
        <f>IF($I586=0,0,IF(INDEX(DarlOhneTilgung,2)=1,0,IF(AND(INDEX(DarlTilgStart,2)&gt;0,$E586=INDEX(DarlTilgStart,2)),$J586*($H586+INDEX(DarlTilgung,2))/100/12,IF(AND($G586=0,$G585=1),MAX($K585,$J586*($H586+1)/100/12),$K585))))</f>
      </c>
      <c r="L586" s="43">
        <f>IF($I586=0,0,$J586*$H586/100/12)</f>
      </c>
      <c r="M586" s="43">
        <f>IF($I586=0,0,IF(OR(INDEX(DarlOhneTilgung,2)=1,AND(INDEX(DarlTilgStart,2)&gt;0,$E586&lt;INDEX(DarlTilgStart,2))),0,MIN(MAX(0,$K586-$L586),$J586)))</f>
      </c>
      <c r="N586" s="43">
        <f>IF($I586=0,0,MIN(SUMIFS(SondBetrag,SondDarl,2,SondDatum,"&gt;="&amp;$E586,SondDatum,"&lt;="&amp;EOMONTH($E586,0)),$J586-$M586))</f>
      </c>
      <c r="O586" s="43">
        <f>IF($I586=0,0,INDEX(DarlErsatzRate,2))</f>
      </c>
      <c r="P586" s="43">
        <f>IF($I586=0,0,$Q585*INDEX(DarlErsatzZins,2))</f>
      </c>
      <c r="Q586" s="43">
        <f>IF($I586=0,0,$Q585+$P586+$O586)</f>
      </c>
      <c r="R586" s="43">
        <f>IF($I586=0,0,$J586-$M586-$N586)</f>
      </c>
    </row>
    <row r="587">
      <c r="A587"/>
      <c r="B587">
        <v>2</v>
      </c>
      <c r="C587" s="43">
        <f>INDEX(DarlObj,2)</f>
      </c>
      <c r="D587">
        <v>104</v>
      </c>
      <c r="E587" s="51">
        <f>IF(INDEX(DarlBelegt,2)=0,0,EOMONTH(INDEX(DarlAuszahlung,2),103)+1)</f>
      </c>
      <c r="F587" s="43">
        <f>IF($E587=0,0,YEAR($E587))</f>
      </c>
      <c r="G587" s="43">
        <f>IF(INDEX(DarlBindung,2)="",1,IF($E587&lt;=INDEX(DarlBindung,2),1,0))</f>
      </c>
      <c r="H587" s="43">
        <f>IF($G587=1,INDEX(DarlSollzins,2),INDEX(DarlAnschluss,2))</f>
      </c>
      <c r="I587" s="43">
        <f>IF(INDEX(DarlBelegt,2)=0,0,IF(INDEX(DarlOhneTilgung,2)=1,IF(INDEX(DarlBindung,2)="",1,$G587),IF($J587&gt;0.005,1,0)))</f>
      </c>
      <c r="J587" s="43">
        <f>IF($I586=0,0,$R586)</f>
      </c>
      <c r="K587" s="43">
        <f>IF($I587=0,0,IF(INDEX(DarlOhneTilgung,2)=1,0,IF(AND(INDEX(DarlTilgStart,2)&gt;0,$E587=INDEX(DarlTilgStart,2)),$J587*($H587+INDEX(DarlTilgung,2))/100/12,IF(AND($G587=0,$G586=1),MAX($K586,$J587*($H587+1)/100/12),$K586))))</f>
      </c>
      <c r="L587" s="43">
        <f>IF($I587=0,0,$J587*$H587/100/12)</f>
      </c>
      <c r="M587" s="43">
        <f>IF($I587=0,0,IF(OR(INDEX(DarlOhneTilgung,2)=1,AND(INDEX(DarlTilgStart,2)&gt;0,$E587&lt;INDEX(DarlTilgStart,2))),0,MIN(MAX(0,$K587-$L587),$J587)))</f>
      </c>
      <c r="N587" s="43">
        <f>IF($I587=0,0,MIN(SUMIFS(SondBetrag,SondDarl,2,SondDatum,"&gt;="&amp;$E587,SondDatum,"&lt;="&amp;EOMONTH($E587,0)),$J587-$M587))</f>
      </c>
      <c r="O587" s="43">
        <f>IF($I587=0,0,INDEX(DarlErsatzRate,2))</f>
      </c>
      <c r="P587" s="43">
        <f>IF($I587=0,0,$Q586*INDEX(DarlErsatzZins,2))</f>
      </c>
      <c r="Q587" s="43">
        <f>IF($I587=0,0,$Q586+$P587+$O587)</f>
      </c>
      <c r="R587" s="43">
        <f>IF($I587=0,0,$J587-$M587-$N587)</f>
      </c>
    </row>
    <row r="588">
      <c r="A588"/>
      <c r="B588">
        <v>2</v>
      </c>
      <c r="C588" s="43">
        <f>INDEX(DarlObj,2)</f>
      </c>
      <c r="D588">
        <v>105</v>
      </c>
      <c r="E588" s="51">
        <f>IF(INDEX(DarlBelegt,2)=0,0,EOMONTH(INDEX(DarlAuszahlung,2),104)+1)</f>
      </c>
      <c r="F588" s="43">
        <f>IF($E588=0,0,YEAR($E588))</f>
      </c>
      <c r="G588" s="43">
        <f>IF(INDEX(DarlBindung,2)="",1,IF($E588&lt;=INDEX(DarlBindung,2),1,0))</f>
      </c>
      <c r="H588" s="43">
        <f>IF($G588=1,INDEX(DarlSollzins,2),INDEX(DarlAnschluss,2))</f>
      </c>
      <c r="I588" s="43">
        <f>IF(INDEX(DarlBelegt,2)=0,0,IF(INDEX(DarlOhneTilgung,2)=1,IF(INDEX(DarlBindung,2)="",1,$G588),IF($J588&gt;0.005,1,0)))</f>
      </c>
      <c r="J588" s="43">
        <f>IF($I587=0,0,$R587)</f>
      </c>
      <c r="K588" s="43">
        <f>IF($I588=0,0,IF(INDEX(DarlOhneTilgung,2)=1,0,IF(AND(INDEX(DarlTilgStart,2)&gt;0,$E588=INDEX(DarlTilgStart,2)),$J588*($H588+INDEX(DarlTilgung,2))/100/12,IF(AND($G588=0,$G587=1),MAX($K587,$J588*($H588+1)/100/12),$K587))))</f>
      </c>
      <c r="L588" s="43">
        <f>IF($I588=0,0,$J588*$H588/100/12)</f>
      </c>
      <c r="M588" s="43">
        <f>IF($I588=0,0,IF(OR(INDEX(DarlOhneTilgung,2)=1,AND(INDEX(DarlTilgStart,2)&gt;0,$E588&lt;INDEX(DarlTilgStart,2))),0,MIN(MAX(0,$K588-$L588),$J588)))</f>
      </c>
      <c r="N588" s="43">
        <f>IF($I588=0,0,MIN(SUMIFS(SondBetrag,SondDarl,2,SondDatum,"&gt;="&amp;$E588,SondDatum,"&lt;="&amp;EOMONTH($E588,0)),$J588-$M588))</f>
      </c>
      <c r="O588" s="43">
        <f>IF($I588=0,0,INDEX(DarlErsatzRate,2))</f>
      </c>
      <c r="P588" s="43">
        <f>IF($I588=0,0,$Q587*INDEX(DarlErsatzZins,2))</f>
      </c>
      <c r="Q588" s="43">
        <f>IF($I588=0,0,$Q587+$P588+$O588)</f>
      </c>
      <c r="R588" s="43">
        <f>IF($I588=0,0,$J588-$M588-$N588)</f>
      </c>
    </row>
    <row r="589">
      <c r="A589"/>
      <c r="B589">
        <v>2</v>
      </c>
      <c r="C589" s="43">
        <f>INDEX(DarlObj,2)</f>
      </c>
      <c r="D589">
        <v>106</v>
      </c>
      <c r="E589" s="51">
        <f>IF(INDEX(DarlBelegt,2)=0,0,EOMONTH(INDEX(DarlAuszahlung,2),105)+1)</f>
      </c>
      <c r="F589" s="43">
        <f>IF($E589=0,0,YEAR($E589))</f>
      </c>
      <c r="G589" s="43">
        <f>IF(INDEX(DarlBindung,2)="",1,IF($E589&lt;=INDEX(DarlBindung,2),1,0))</f>
      </c>
      <c r="H589" s="43">
        <f>IF($G589=1,INDEX(DarlSollzins,2),INDEX(DarlAnschluss,2))</f>
      </c>
      <c r="I589" s="43">
        <f>IF(INDEX(DarlBelegt,2)=0,0,IF(INDEX(DarlOhneTilgung,2)=1,IF(INDEX(DarlBindung,2)="",1,$G589),IF($J589&gt;0.005,1,0)))</f>
      </c>
      <c r="J589" s="43">
        <f>IF($I588=0,0,$R588)</f>
      </c>
      <c r="K589" s="43">
        <f>IF($I589=0,0,IF(INDEX(DarlOhneTilgung,2)=1,0,IF(AND(INDEX(DarlTilgStart,2)&gt;0,$E589=INDEX(DarlTilgStart,2)),$J589*($H589+INDEX(DarlTilgung,2))/100/12,IF(AND($G589=0,$G588=1),MAX($K588,$J589*($H589+1)/100/12),$K588))))</f>
      </c>
      <c r="L589" s="43">
        <f>IF($I589=0,0,$J589*$H589/100/12)</f>
      </c>
      <c r="M589" s="43">
        <f>IF($I589=0,0,IF(OR(INDEX(DarlOhneTilgung,2)=1,AND(INDEX(DarlTilgStart,2)&gt;0,$E589&lt;INDEX(DarlTilgStart,2))),0,MIN(MAX(0,$K589-$L589),$J589)))</f>
      </c>
      <c r="N589" s="43">
        <f>IF($I589=0,0,MIN(SUMIFS(SondBetrag,SondDarl,2,SondDatum,"&gt;="&amp;$E589,SondDatum,"&lt;="&amp;EOMONTH($E589,0)),$J589-$M589))</f>
      </c>
      <c r="O589" s="43">
        <f>IF($I589=0,0,INDEX(DarlErsatzRate,2))</f>
      </c>
      <c r="P589" s="43">
        <f>IF($I589=0,0,$Q588*INDEX(DarlErsatzZins,2))</f>
      </c>
      <c r="Q589" s="43">
        <f>IF($I589=0,0,$Q588+$P589+$O589)</f>
      </c>
      <c r="R589" s="43">
        <f>IF($I589=0,0,$J589-$M589-$N589)</f>
      </c>
    </row>
    <row r="590">
      <c r="A590"/>
      <c r="B590">
        <v>2</v>
      </c>
      <c r="C590" s="43">
        <f>INDEX(DarlObj,2)</f>
      </c>
      <c r="D590">
        <v>107</v>
      </c>
      <c r="E590" s="51">
        <f>IF(INDEX(DarlBelegt,2)=0,0,EOMONTH(INDEX(DarlAuszahlung,2),106)+1)</f>
      </c>
      <c r="F590" s="43">
        <f>IF($E590=0,0,YEAR($E590))</f>
      </c>
      <c r="G590" s="43">
        <f>IF(INDEX(DarlBindung,2)="",1,IF($E590&lt;=INDEX(DarlBindung,2),1,0))</f>
      </c>
      <c r="H590" s="43">
        <f>IF($G590=1,INDEX(DarlSollzins,2),INDEX(DarlAnschluss,2))</f>
      </c>
      <c r="I590" s="43">
        <f>IF(INDEX(DarlBelegt,2)=0,0,IF(INDEX(DarlOhneTilgung,2)=1,IF(INDEX(DarlBindung,2)="",1,$G590),IF($J590&gt;0.005,1,0)))</f>
      </c>
      <c r="J590" s="43">
        <f>IF($I589=0,0,$R589)</f>
      </c>
      <c r="K590" s="43">
        <f>IF($I590=0,0,IF(INDEX(DarlOhneTilgung,2)=1,0,IF(AND(INDEX(DarlTilgStart,2)&gt;0,$E590=INDEX(DarlTilgStart,2)),$J590*($H590+INDEX(DarlTilgung,2))/100/12,IF(AND($G590=0,$G589=1),MAX($K589,$J590*($H590+1)/100/12),$K589))))</f>
      </c>
      <c r="L590" s="43">
        <f>IF($I590=0,0,$J590*$H590/100/12)</f>
      </c>
      <c r="M590" s="43">
        <f>IF($I590=0,0,IF(OR(INDEX(DarlOhneTilgung,2)=1,AND(INDEX(DarlTilgStart,2)&gt;0,$E590&lt;INDEX(DarlTilgStart,2))),0,MIN(MAX(0,$K590-$L590),$J590)))</f>
      </c>
      <c r="N590" s="43">
        <f>IF($I590=0,0,MIN(SUMIFS(SondBetrag,SondDarl,2,SondDatum,"&gt;="&amp;$E590,SondDatum,"&lt;="&amp;EOMONTH($E590,0)),$J590-$M590))</f>
      </c>
      <c r="O590" s="43">
        <f>IF($I590=0,0,INDEX(DarlErsatzRate,2))</f>
      </c>
      <c r="P590" s="43">
        <f>IF($I590=0,0,$Q589*INDEX(DarlErsatzZins,2))</f>
      </c>
      <c r="Q590" s="43">
        <f>IF($I590=0,0,$Q589+$P590+$O590)</f>
      </c>
      <c r="R590" s="43">
        <f>IF($I590=0,0,$J590-$M590-$N590)</f>
      </c>
    </row>
    <row r="591">
      <c r="A591"/>
      <c r="B591">
        <v>2</v>
      </c>
      <c r="C591" s="43">
        <f>INDEX(DarlObj,2)</f>
      </c>
      <c r="D591">
        <v>108</v>
      </c>
      <c r="E591" s="51">
        <f>IF(INDEX(DarlBelegt,2)=0,0,EOMONTH(INDEX(DarlAuszahlung,2),107)+1)</f>
      </c>
      <c r="F591" s="43">
        <f>IF($E591=0,0,YEAR($E591))</f>
      </c>
      <c r="G591" s="43">
        <f>IF(INDEX(DarlBindung,2)="",1,IF($E591&lt;=INDEX(DarlBindung,2),1,0))</f>
      </c>
      <c r="H591" s="43">
        <f>IF($G591=1,INDEX(DarlSollzins,2),INDEX(DarlAnschluss,2))</f>
      </c>
      <c r="I591" s="43">
        <f>IF(INDEX(DarlBelegt,2)=0,0,IF(INDEX(DarlOhneTilgung,2)=1,IF(INDEX(DarlBindung,2)="",1,$G591),IF($J591&gt;0.005,1,0)))</f>
      </c>
      <c r="J591" s="43">
        <f>IF($I590=0,0,$R590)</f>
      </c>
      <c r="K591" s="43">
        <f>IF($I591=0,0,IF(INDEX(DarlOhneTilgung,2)=1,0,IF(AND(INDEX(DarlTilgStart,2)&gt;0,$E591=INDEX(DarlTilgStart,2)),$J591*($H591+INDEX(DarlTilgung,2))/100/12,IF(AND($G591=0,$G590=1),MAX($K590,$J591*($H591+1)/100/12),$K590))))</f>
      </c>
      <c r="L591" s="43">
        <f>IF($I591=0,0,$J591*$H591/100/12)</f>
      </c>
      <c r="M591" s="43">
        <f>IF($I591=0,0,IF(OR(INDEX(DarlOhneTilgung,2)=1,AND(INDEX(DarlTilgStart,2)&gt;0,$E591&lt;INDEX(DarlTilgStart,2))),0,MIN(MAX(0,$K591-$L591),$J591)))</f>
      </c>
      <c r="N591" s="43">
        <f>IF($I591=0,0,MIN(SUMIFS(SondBetrag,SondDarl,2,SondDatum,"&gt;="&amp;$E591,SondDatum,"&lt;="&amp;EOMONTH($E591,0)),$J591-$M591))</f>
      </c>
      <c r="O591" s="43">
        <f>IF($I591=0,0,INDEX(DarlErsatzRate,2))</f>
      </c>
      <c r="P591" s="43">
        <f>IF($I591=0,0,$Q590*INDEX(DarlErsatzZins,2))</f>
      </c>
      <c r="Q591" s="43">
        <f>IF($I591=0,0,$Q590+$P591+$O591)</f>
      </c>
      <c r="R591" s="43">
        <f>IF($I591=0,0,$J591-$M591-$N591)</f>
      </c>
    </row>
    <row r="592">
      <c r="A592"/>
      <c r="B592">
        <v>2</v>
      </c>
      <c r="C592" s="43">
        <f>INDEX(DarlObj,2)</f>
      </c>
      <c r="D592">
        <v>109</v>
      </c>
      <c r="E592" s="51">
        <f>IF(INDEX(DarlBelegt,2)=0,0,EOMONTH(INDEX(DarlAuszahlung,2),108)+1)</f>
      </c>
      <c r="F592" s="43">
        <f>IF($E592=0,0,YEAR($E592))</f>
      </c>
      <c r="G592" s="43">
        <f>IF(INDEX(DarlBindung,2)="",1,IF($E592&lt;=INDEX(DarlBindung,2),1,0))</f>
      </c>
      <c r="H592" s="43">
        <f>IF($G592=1,INDEX(DarlSollzins,2),INDEX(DarlAnschluss,2))</f>
      </c>
      <c r="I592" s="43">
        <f>IF(INDEX(DarlBelegt,2)=0,0,IF(INDEX(DarlOhneTilgung,2)=1,IF(INDEX(DarlBindung,2)="",1,$G592),IF($J592&gt;0.005,1,0)))</f>
      </c>
      <c r="J592" s="43">
        <f>IF($I591=0,0,$R591)</f>
      </c>
      <c r="K592" s="43">
        <f>IF($I592=0,0,IF(INDEX(DarlOhneTilgung,2)=1,0,IF(AND(INDEX(DarlTilgStart,2)&gt;0,$E592=INDEX(DarlTilgStart,2)),$J592*($H592+INDEX(DarlTilgung,2))/100/12,IF(AND($G592=0,$G591=1),MAX($K591,$J592*($H592+1)/100/12),$K591))))</f>
      </c>
      <c r="L592" s="43">
        <f>IF($I592=0,0,$J592*$H592/100/12)</f>
      </c>
      <c r="M592" s="43">
        <f>IF($I592=0,0,IF(OR(INDEX(DarlOhneTilgung,2)=1,AND(INDEX(DarlTilgStart,2)&gt;0,$E592&lt;INDEX(DarlTilgStart,2))),0,MIN(MAX(0,$K592-$L592),$J592)))</f>
      </c>
      <c r="N592" s="43">
        <f>IF($I592=0,0,MIN(SUMIFS(SondBetrag,SondDarl,2,SondDatum,"&gt;="&amp;$E592,SondDatum,"&lt;="&amp;EOMONTH($E592,0)),$J592-$M592))</f>
      </c>
      <c r="O592" s="43">
        <f>IF($I592=0,0,INDEX(DarlErsatzRate,2))</f>
      </c>
      <c r="P592" s="43">
        <f>IF($I592=0,0,$Q591*INDEX(DarlErsatzZins,2))</f>
      </c>
      <c r="Q592" s="43">
        <f>IF($I592=0,0,$Q591+$P592+$O592)</f>
      </c>
      <c r="R592" s="43">
        <f>IF($I592=0,0,$J592-$M592-$N592)</f>
      </c>
    </row>
    <row r="593">
      <c r="A593"/>
      <c r="B593">
        <v>2</v>
      </c>
      <c r="C593" s="43">
        <f>INDEX(DarlObj,2)</f>
      </c>
      <c r="D593">
        <v>110</v>
      </c>
      <c r="E593" s="51">
        <f>IF(INDEX(DarlBelegt,2)=0,0,EOMONTH(INDEX(DarlAuszahlung,2),109)+1)</f>
      </c>
      <c r="F593" s="43">
        <f>IF($E593=0,0,YEAR($E593))</f>
      </c>
      <c r="G593" s="43">
        <f>IF(INDEX(DarlBindung,2)="",1,IF($E593&lt;=INDEX(DarlBindung,2),1,0))</f>
      </c>
      <c r="H593" s="43">
        <f>IF($G593=1,INDEX(DarlSollzins,2),INDEX(DarlAnschluss,2))</f>
      </c>
      <c r="I593" s="43">
        <f>IF(INDEX(DarlBelegt,2)=0,0,IF(INDEX(DarlOhneTilgung,2)=1,IF(INDEX(DarlBindung,2)="",1,$G593),IF($J593&gt;0.005,1,0)))</f>
      </c>
      <c r="J593" s="43">
        <f>IF($I592=0,0,$R592)</f>
      </c>
      <c r="K593" s="43">
        <f>IF($I593=0,0,IF(INDEX(DarlOhneTilgung,2)=1,0,IF(AND(INDEX(DarlTilgStart,2)&gt;0,$E593=INDEX(DarlTilgStart,2)),$J593*($H593+INDEX(DarlTilgung,2))/100/12,IF(AND($G593=0,$G592=1),MAX($K592,$J593*($H593+1)/100/12),$K592))))</f>
      </c>
      <c r="L593" s="43">
        <f>IF($I593=0,0,$J593*$H593/100/12)</f>
      </c>
      <c r="M593" s="43">
        <f>IF($I593=0,0,IF(OR(INDEX(DarlOhneTilgung,2)=1,AND(INDEX(DarlTilgStart,2)&gt;0,$E593&lt;INDEX(DarlTilgStart,2))),0,MIN(MAX(0,$K593-$L593),$J593)))</f>
      </c>
      <c r="N593" s="43">
        <f>IF($I593=0,0,MIN(SUMIFS(SondBetrag,SondDarl,2,SondDatum,"&gt;="&amp;$E593,SondDatum,"&lt;="&amp;EOMONTH($E593,0)),$J593-$M593))</f>
      </c>
      <c r="O593" s="43">
        <f>IF($I593=0,0,INDEX(DarlErsatzRate,2))</f>
      </c>
      <c r="P593" s="43">
        <f>IF($I593=0,0,$Q592*INDEX(DarlErsatzZins,2))</f>
      </c>
      <c r="Q593" s="43">
        <f>IF($I593=0,0,$Q592+$P593+$O593)</f>
      </c>
      <c r="R593" s="43">
        <f>IF($I593=0,0,$J593-$M593-$N593)</f>
      </c>
    </row>
    <row r="594">
      <c r="A594"/>
      <c r="B594">
        <v>2</v>
      </c>
      <c r="C594" s="43">
        <f>INDEX(DarlObj,2)</f>
      </c>
      <c r="D594">
        <v>111</v>
      </c>
      <c r="E594" s="51">
        <f>IF(INDEX(DarlBelegt,2)=0,0,EOMONTH(INDEX(DarlAuszahlung,2),110)+1)</f>
      </c>
      <c r="F594" s="43">
        <f>IF($E594=0,0,YEAR($E594))</f>
      </c>
      <c r="G594" s="43">
        <f>IF(INDEX(DarlBindung,2)="",1,IF($E594&lt;=INDEX(DarlBindung,2),1,0))</f>
      </c>
      <c r="H594" s="43">
        <f>IF($G594=1,INDEX(DarlSollzins,2),INDEX(DarlAnschluss,2))</f>
      </c>
      <c r="I594" s="43">
        <f>IF(INDEX(DarlBelegt,2)=0,0,IF(INDEX(DarlOhneTilgung,2)=1,IF(INDEX(DarlBindung,2)="",1,$G594),IF($J594&gt;0.005,1,0)))</f>
      </c>
      <c r="J594" s="43">
        <f>IF($I593=0,0,$R593)</f>
      </c>
      <c r="K594" s="43">
        <f>IF($I594=0,0,IF(INDEX(DarlOhneTilgung,2)=1,0,IF(AND(INDEX(DarlTilgStart,2)&gt;0,$E594=INDEX(DarlTilgStart,2)),$J594*($H594+INDEX(DarlTilgung,2))/100/12,IF(AND($G594=0,$G593=1),MAX($K593,$J594*($H594+1)/100/12),$K593))))</f>
      </c>
      <c r="L594" s="43">
        <f>IF($I594=0,0,$J594*$H594/100/12)</f>
      </c>
      <c r="M594" s="43">
        <f>IF($I594=0,0,IF(OR(INDEX(DarlOhneTilgung,2)=1,AND(INDEX(DarlTilgStart,2)&gt;0,$E594&lt;INDEX(DarlTilgStart,2))),0,MIN(MAX(0,$K594-$L594),$J594)))</f>
      </c>
      <c r="N594" s="43">
        <f>IF($I594=0,0,MIN(SUMIFS(SondBetrag,SondDarl,2,SondDatum,"&gt;="&amp;$E594,SondDatum,"&lt;="&amp;EOMONTH($E594,0)),$J594-$M594))</f>
      </c>
      <c r="O594" s="43">
        <f>IF($I594=0,0,INDEX(DarlErsatzRate,2))</f>
      </c>
      <c r="P594" s="43">
        <f>IF($I594=0,0,$Q593*INDEX(DarlErsatzZins,2))</f>
      </c>
      <c r="Q594" s="43">
        <f>IF($I594=0,0,$Q593+$P594+$O594)</f>
      </c>
      <c r="R594" s="43">
        <f>IF($I594=0,0,$J594-$M594-$N594)</f>
      </c>
    </row>
    <row r="595">
      <c r="A595"/>
      <c r="B595">
        <v>2</v>
      </c>
      <c r="C595" s="43">
        <f>INDEX(DarlObj,2)</f>
      </c>
      <c r="D595">
        <v>112</v>
      </c>
      <c r="E595" s="51">
        <f>IF(INDEX(DarlBelegt,2)=0,0,EOMONTH(INDEX(DarlAuszahlung,2),111)+1)</f>
      </c>
      <c r="F595" s="43">
        <f>IF($E595=0,0,YEAR($E595))</f>
      </c>
      <c r="G595" s="43">
        <f>IF(INDEX(DarlBindung,2)="",1,IF($E595&lt;=INDEX(DarlBindung,2),1,0))</f>
      </c>
      <c r="H595" s="43">
        <f>IF($G595=1,INDEX(DarlSollzins,2),INDEX(DarlAnschluss,2))</f>
      </c>
      <c r="I595" s="43">
        <f>IF(INDEX(DarlBelegt,2)=0,0,IF(INDEX(DarlOhneTilgung,2)=1,IF(INDEX(DarlBindung,2)="",1,$G595),IF($J595&gt;0.005,1,0)))</f>
      </c>
      <c r="J595" s="43">
        <f>IF($I594=0,0,$R594)</f>
      </c>
      <c r="K595" s="43">
        <f>IF($I595=0,0,IF(INDEX(DarlOhneTilgung,2)=1,0,IF(AND(INDEX(DarlTilgStart,2)&gt;0,$E595=INDEX(DarlTilgStart,2)),$J595*($H595+INDEX(DarlTilgung,2))/100/12,IF(AND($G595=0,$G594=1),MAX($K594,$J595*($H595+1)/100/12),$K594))))</f>
      </c>
      <c r="L595" s="43">
        <f>IF($I595=0,0,$J595*$H595/100/12)</f>
      </c>
      <c r="M595" s="43">
        <f>IF($I595=0,0,IF(OR(INDEX(DarlOhneTilgung,2)=1,AND(INDEX(DarlTilgStart,2)&gt;0,$E595&lt;INDEX(DarlTilgStart,2))),0,MIN(MAX(0,$K595-$L595),$J595)))</f>
      </c>
      <c r="N595" s="43">
        <f>IF($I595=0,0,MIN(SUMIFS(SondBetrag,SondDarl,2,SondDatum,"&gt;="&amp;$E595,SondDatum,"&lt;="&amp;EOMONTH($E595,0)),$J595-$M595))</f>
      </c>
      <c r="O595" s="43">
        <f>IF($I595=0,0,INDEX(DarlErsatzRate,2))</f>
      </c>
      <c r="P595" s="43">
        <f>IF($I595=0,0,$Q594*INDEX(DarlErsatzZins,2))</f>
      </c>
      <c r="Q595" s="43">
        <f>IF($I595=0,0,$Q594+$P595+$O595)</f>
      </c>
      <c r="R595" s="43">
        <f>IF($I595=0,0,$J595-$M595-$N595)</f>
      </c>
    </row>
    <row r="596">
      <c r="A596"/>
      <c r="B596">
        <v>2</v>
      </c>
      <c r="C596" s="43">
        <f>INDEX(DarlObj,2)</f>
      </c>
      <c r="D596">
        <v>113</v>
      </c>
      <c r="E596" s="51">
        <f>IF(INDEX(DarlBelegt,2)=0,0,EOMONTH(INDEX(DarlAuszahlung,2),112)+1)</f>
      </c>
      <c r="F596" s="43">
        <f>IF($E596=0,0,YEAR($E596))</f>
      </c>
      <c r="G596" s="43">
        <f>IF(INDEX(DarlBindung,2)="",1,IF($E596&lt;=INDEX(DarlBindung,2),1,0))</f>
      </c>
      <c r="H596" s="43">
        <f>IF($G596=1,INDEX(DarlSollzins,2),INDEX(DarlAnschluss,2))</f>
      </c>
      <c r="I596" s="43">
        <f>IF(INDEX(DarlBelegt,2)=0,0,IF(INDEX(DarlOhneTilgung,2)=1,IF(INDEX(DarlBindung,2)="",1,$G596),IF($J596&gt;0.005,1,0)))</f>
      </c>
      <c r="J596" s="43">
        <f>IF($I595=0,0,$R595)</f>
      </c>
      <c r="K596" s="43">
        <f>IF($I596=0,0,IF(INDEX(DarlOhneTilgung,2)=1,0,IF(AND(INDEX(DarlTilgStart,2)&gt;0,$E596=INDEX(DarlTilgStart,2)),$J596*($H596+INDEX(DarlTilgung,2))/100/12,IF(AND($G596=0,$G595=1),MAX($K595,$J596*($H596+1)/100/12),$K595))))</f>
      </c>
      <c r="L596" s="43">
        <f>IF($I596=0,0,$J596*$H596/100/12)</f>
      </c>
      <c r="M596" s="43">
        <f>IF($I596=0,0,IF(OR(INDEX(DarlOhneTilgung,2)=1,AND(INDEX(DarlTilgStart,2)&gt;0,$E596&lt;INDEX(DarlTilgStart,2))),0,MIN(MAX(0,$K596-$L596),$J596)))</f>
      </c>
      <c r="N596" s="43">
        <f>IF($I596=0,0,MIN(SUMIFS(SondBetrag,SondDarl,2,SondDatum,"&gt;="&amp;$E596,SondDatum,"&lt;="&amp;EOMONTH($E596,0)),$J596-$M596))</f>
      </c>
      <c r="O596" s="43">
        <f>IF($I596=0,0,INDEX(DarlErsatzRate,2))</f>
      </c>
      <c r="P596" s="43">
        <f>IF($I596=0,0,$Q595*INDEX(DarlErsatzZins,2))</f>
      </c>
      <c r="Q596" s="43">
        <f>IF($I596=0,0,$Q595+$P596+$O596)</f>
      </c>
      <c r="R596" s="43">
        <f>IF($I596=0,0,$J596-$M596-$N596)</f>
      </c>
    </row>
    <row r="597">
      <c r="A597"/>
      <c r="B597">
        <v>2</v>
      </c>
      <c r="C597" s="43">
        <f>INDEX(DarlObj,2)</f>
      </c>
      <c r="D597">
        <v>114</v>
      </c>
      <c r="E597" s="51">
        <f>IF(INDEX(DarlBelegt,2)=0,0,EOMONTH(INDEX(DarlAuszahlung,2),113)+1)</f>
      </c>
      <c r="F597" s="43">
        <f>IF($E597=0,0,YEAR($E597))</f>
      </c>
      <c r="G597" s="43">
        <f>IF(INDEX(DarlBindung,2)="",1,IF($E597&lt;=INDEX(DarlBindung,2),1,0))</f>
      </c>
      <c r="H597" s="43">
        <f>IF($G597=1,INDEX(DarlSollzins,2),INDEX(DarlAnschluss,2))</f>
      </c>
      <c r="I597" s="43">
        <f>IF(INDEX(DarlBelegt,2)=0,0,IF(INDEX(DarlOhneTilgung,2)=1,IF(INDEX(DarlBindung,2)="",1,$G597),IF($J597&gt;0.005,1,0)))</f>
      </c>
      <c r="J597" s="43">
        <f>IF($I596=0,0,$R596)</f>
      </c>
      <c r="K597" s="43">
        <f>IF($I597=0,0,IF(INDEX(DarlOhneTilgung,2)=1,0,IF(AND(INDEX(DarlTilgStart,2)&gt;0,$E597=INDEX(DarlTilgStart,2)),$J597*($H597+INDEX(DarlTilgung,2))/100/12,IF(AND($G597=0,$G596=1),MAX($K596,$J597*($H597+1)/100/12),$K596))))</f>
      </c>
      <c r="L597" s="43">
        <f>IF($I597=0,0,$J597*$H597/100/12)</f>
      </c>
      <c r="M597" s="43">
        <f>IF($I597=0,0,IF(OR(INDEX(DarlOhneTilgung,2)=1,AND(INDEX(DarlTilgStart,2)&gt;0,$E597&lt;INDEX(DarlTilgStart,2))),0,MIN(MAX(0,$K597-$L597),$J597)))</f>
      </c>
      <c r="N597" s="43">
        <f>IF($I597=0,0,MIN(SUMIFS(SondBetrag,SondDarl,2,SondDatum,"&gt;="&amp;$E597,SondDatum,"&lt;="&amp;EOMONTH($E597,0)),$J597-$M597))</f>
      </c>
      <c r="O597" s="43">
        <f>IF($I597=0,0,INDEX(DarlErsatzRate,2))</f>
      </c>
      <c r="P597" s="43">
        <f>IF($I597=0,0,$Q596*INDEX(DarlErsatzZins,2))</f>
      </c>
      <c r="Q597" s="43">
        <f>IF($I597=0,0,$Q596+$P597+$O597)</f>
      </c>
      <c r="R597" s="43">
        <f>IF($I597=0,0,$J597-$M597-$N597)</f>
      </c>
    </row>
    <row r="598">
      <c r="A598"/>
      <c r="B598">
        <v>2</v>
      </c>
      <c r="C598" s="43">
        <f>INDEX(DarlObj,2)</f>
      </c>
      <c r="D598">
        <v>115</v>
      </c>
      <c r="E598" s="51">
        <f>IF(INDEX(DarlBelegt,2)=0,0,EOMONTH(INDEX(DarlAuszahlung,2),114)+1)</f>
      </c>
      <c r="F598" s="43">
        <f>IF($E598=0,0,YEAR($E598))</f>
      </c>
      <c r="G598" s="43">
        <f>IF(INDEX(DarlBindung,2)="",1,IF($E598&lt;=INDEX(DarlBindung,2),1,0))</f>
      </c>
      <c r="H598" s="43">
        <f>IF($G598=1,INDEX(DarlSollzins,2),INDEX(DarlAnschluss,2))</f>
      </c>
      <c r="I598" s="43">
        <f>IF(INDEX(DarlBelegt,2)=0,0,IF(INDEX(DarlOhneTilgung,2)=1,IF(INDEX(DarlBindung,2)="",1,$G598),IF($J598&gt;0.005,1,0)))</f>
      </c>
      <c r="J598" s="43">
        <f>IF($I597=0,0,$R597)</f>
      </c>
      <c r="K598" s="43">
        <f>IF($I598=0,0,IF(INDEX(DarlOhneTilgung,2)=1,0,IF(AND(INDEX(DarlTilgStart,2)&gt;0,$E598=INDEX(DarlTilgStart,2)),$J598*($H598+INDEX(DarlTilgung,2))/100/12,IF(AND($G598=0,$G597=1),MAX($K597,$J598*($H598+1)/100/12),$K597))))</f>
      </c>
      <c r="L598" s="43">
        <f>IF($I598=0,0,$J598*$H598/100/12)</f>
      </c>
      <c r="M598" s="43">
        <f>IF($I598=0,0,IF(OR(INDEX(DarlOhneTilgung,2)=1,AND(INDEX(DarlTilgStart,2)&gt;0,$E598&lt;INDEX(DarlTilgStart,2))),0,MIN(MAX(0,$K598-$L598),$J598)))</f>
      </c>
      <c r="N598" s="43">
        <f>IF($I598=0,0,MIN(SUMIFS(SondBetrag,SondDarl,2,SondDatum,"&gt;="&amp;$E598,SondDatum,"&lt;="&amp;EOMONTH($E598,0)),$J598-$M598))</f>
      </c>
      <c r="O598" s="43">
        <f>IF($I598=0,0,INDEX(DarlErsatzRate,2))</f>
      </c>
      <c r="P598" s="43">
        <f>IF($I598=0,0,$Q597*INDEX(DarlErsatzZins,2))</f>
      </c>
      <c r="Q598" s="43">
        <f>IF($I598=0,0,$Q597+$P598+$O598)</f>
      </c>
      <c r="R598" s="43">
        <f>IF($I598=0,0,$J598-$M598-$N598)</f>
      </c>
    </row>
    <row r="599">
      <c r="A599"/>
      <c r="B599">
        <v>2</v>
      </c>
      <c r="C599" s="43">
        <f>INDEX(DarlObj,2)</f>
      </c>
      <c r="D599">
        <v>116</v>
      </c>
      <c r="E599" s="51">
        <f>IF(INDEX(DarlBelegt,2)=0,0,EOMONTH(INDEX(DarlAuszahlung,2),115)+1)</f>
      </c>
      <c r="F599" s="43">
        <f>IF($E599=0,0,YEAR($E599))</f>
      </c>
      <c r="G599" s="43">
        <f>IF(INDEX(DarlBindung,2)="",1,IF($E599&lt;=INDEX(DarlBindung,2),1,0))</f>
      </c>
      <c r="H599" s="43">
        <f>IF($G599=1,INDEX(DarlSollzins,2),INDEX(DarlAnschluss,2))</f>
      </c>
      <c r="I599" s="43">
        <f>IF(INDEX(DarlBelegt,2)=0,0,IF(INDEX(DarlOhneTilgung,2)=1,IF(INDEX(DarlBindung,2)="",1,$G599),IF($J599&gt;0.005,1,0)))</f>
      </c>
      <c r="J599" s="43">
        <f>IF($I598=0,0,$R598)</f>
      </c>
      <c r="K599" s="43">
        <f>IF($I599=0,0,IF(INDEX(DarlOhneTilgung,2)=1,0,IF(AND(INDEX(DarlTilgStart,2)&gt;0,$E599=INDEX(DarlTilgStart,2)),$J599*($H599+INDEX(DarlTilgung,2))/100/12,IF(AND($G599=0,$G598=1),MAX($K598,$J599*($H599+1)/100/12),$K598))))</f>
      </c>
      <c r="L599" s="43">
        <f>IF($I599=0,0,$J599*$H599/100/12)</f>
      </c>
      <c r="M599" s="43">
        <f>IF($I599=0,0,IF(OR(INDEX(DarlOhneTilgung,2)=1,AND(INDEX(DarlTilgStart,2)&gt;0,$E599&lt;INDEX(DarlTilgStart,2))),0,MIN(MAX(0,$K599-$L599),$J599)))</f>
      </c>
      <c r="N599" s="43">
        <f>IF($I599=0,0,MIN(SUMIFS(SondBetrag,SondDarl,2,SondDatum,"&gt;="&amp;$E599,SondDatum,"&lt;="&amp;EOMONTH($E599,0)),$J599-$M599))</f>
      </c>
      <c r="O599" s="43">
        <f>IF($I599=0,0,INDEX(DarlErsatzRate,2))</f>
      </c>
      <c r="P599" s="43">
        <f>IF($I599=0,0,$Q598*INDEX(DarlErsatzZins,2))</f>
      </c>
      <c r="Q599" s="43">
        <f>IF($I599=0,0,$Q598+$P599+$O599)</f>
      </c>
      <c r="R599" s="43">
        <f>IF($I599=0,0,$J599-$M599-$N599)</f>
      </c>
    </row>
    <row r="600">
      <c r="A600"/>
      <c r="B600">
        <v>2</v>
      </c>
      <c r="C600" s="43">
        <f>INDEX(DarlObj,2)</f>
      </c>
      <c r="D600">
        <v>117</v>
      </c>
      <c r="E600" s="51">
        <f>IF(INDEX(DarlBelegt,2)=0,0,EOMONTH(INDEX(DarlAuszahlung,2),116)+1)</f>
      </c>
      <c r="F600" s="43">
        <f>IF($E600=0,0,YEAR($E600))</f>
      </c>
      <c r="G600" s="43">
        <f>IF(INDEX(DarlBindung,2)="",1,IF($E600&lt;=INDEX(DarlBindung,2),1,0))</f>
      </c>
      <c r="H600" s="43">
        <f>IF($G600=1,INDEX(DarlSollzins,2),INDEX(DarlAnschluss,2))</f>
      </c>
      <c r="I600" s="43">
        <f>IF(INDEX(DarlBelegt,2)=0,0,IF(INDEX(DarlOhneTilgung,2)=1,IF(INDEX(DarlBindung,2)="",1,$G600),IF($J600&gt;0.005,1,0)))</f>
      </c>
      <c r="J600" s="43">
        <f>IF($I599=0,0,$R599)</f>
      </c>
      <c r="K600" s="43">
        <f>IF($I600=0,0,IF(INDEX(DarlOhneTilgung,2)=1,0,IF(AND(INDEX(DarlTilgStart,2)&gt;0,$E600=INDEX(DarlTilgStart,2)),$J600*($H600+INDEX(DarlTilgung,2))/100/12,IF(AND($G600=0,$G599=1),MAX($K599,$J600*($H600+1)/100/12),$K599))))</f>
      </c>
      <c r="L600" s="43">
        <f>IF($I600=0,0,$J600*$H600/100/12)</f>
      </c>
      <c r="M600" s="43">
        <f>IF($I600=0,0,IF(OR(INDEX(DarlOhneTilgung,2)=1,AND(INDEX(DarlTilgStart,2)&gt;0,$E600&lt;INDEX(DarlTilgStart,2))),0,MIN(MAX(0,$K600-$L600),$J600)))</f>
      </c>
      <c r="N600" s="43">
        <f>IF($I600=0,0,MIN(SUMIFS(SondBetrag,SondDarl,2,SondDatum,"&gt;="&amp;$E600,SondDatum,"&lt;="&amp;EOMONTH($E600,0)),$J600-$M600))</f>
      </c>
      <c r="O600" s="43">
        <f>IF($I600=0,0,INDEX(DarlErsatzRate,2))</f>
      </c>
      <c r="P600" s="43">
        <f>IF($I600=0,0,$Q599*INDEX(DarlErsatzZins,2))</f>
      </c>
      <c r="Q600" s="43">
        <f>IF($I600=0,0,$Q599+$P600+$O600)</f>
      </c>
      <c r="R600" s="43">
        <f>IF($I600=0,0,$J600-$M600-$N600)</f>
      </c>
    </row>
    <row r="601">
      <c r="A601"/>
      <c r="B601">
        <v>2</v>
      </c>
      <c r="C601" s="43">
        <f>INDEX(DarlObj,2)</f>
      </c>
      <c r="D601">
        <v>118</v>
      </c>
      <c r="E601" s="51">
        <f>IF(INDEX(DarlBelegt,2)=0,0,EOMONTH(INDEX(DarlAuszahlung,2),117)+1)</f>
      </c>
      <c r="F601" s="43">
        <f>IF($E601=0,0,YEAR($E601))</f>
      </c>
      <c r="G601" s="43">
        <f>IF(INDEX(DarlBindung,2)="",1,IF($E601&lt;=INDEX(DarlBindung,2),1,0))</f>
      </c>
      <c r="H601" s="43">
        <f>IF($G601=1,INDEX(DarlSollzins,2),INDEX(DarlAnschluss,2))</f>
      </c>
      <c r="I601" s="43">
        <f>IF(INDEX(DarlBelegt,2)=0,0,IF(INDEX(DarlOhneTilgung,2)=1,IF(INDEX(DarlBindung,2)="",1,$G601),IF($J601&gt;0.005,1,0)))</f>
      </c>
      <c r="J601" s="43">
        <f>IF($I600=0,0,$R600)</f>
      </c>
      <c r="K601" s="43">
        <f>IF($I601=0,0,IF(INDEX(DarlOhneTilgung,2)=1,0,IF(AND(INDEX(DarlTilgStart,2)&gt;0,$E601=INDEX(DarlTilgStart,2)),$J601*($H601+INDEX(DarlTilgung,2))/100/12,IF(AND($G601=0,$G600=1),MAX($K600,$J601*($H601+1)/100/12),$K600))))</f>
      </c>
      <c r="L601" s="43">
        <f>IF($I601=0,0,$J601*$H601/100/12)</f>
      </c>
      <c r="M601" s="43">
        <f>IF($I601=0,0,IF(OR(INDEX(DarlOhneTilgung,2)=1,AND(INDEX(DarlTilgStart,2)&gt;0,$E601&lt;INDEX(DarlTilgStart,2))),0,MIN(MAX(0,$K601-$L601),$J601)))</f>
      </c>
      <c r="N601" s="43">
        <f>IF($I601=0,0,MIN(SUMIFS(SondBetrag,SondDarl,2,SondDatum,"&gt;="&amp;$E601,SondDatum,"&lt;="&amp;EOMONTH($E601,0)),$J601-$M601))</f>
      </c>
      <c r="O601" s="43">
        <f>IF($I601=0,0,INDEX(DarlErsatzRate,2))</f>
      </c>
      <c r="P601" s="43">
        <f>IF($I601=0,0,$Q600*INDEX(DarlErsatzZins,2))</f>
      </c>
      <c r="Q601" s="43">
        <f>IF($I601=0,0,$Q600+$P601+$O601)</f>
      </c>
      <c r="R601" s="43">
        <f>IF($I601=0,0,$J601-$M601-$N601)</f>
      </c>
    </row>
    <row r="602">
      <c r="A602"/>
      <c r="B602">
        <v>2</v>
      </c>
      <c r="C602" s="43">
        <f>INDEX(DarlObj,2)</f>
      </c>
      <c r="D602">
        <v>119</v>
      </c>
      <c r="E602" s="51">
        <f>IF(INDEX(DarlBelegt,2)=0,0,EOMONTH(INDEX(DarlAuszahlung,2),118)+1)</f>
      </c>
      <c r="F602" s="43">
        <f>IF($E602=0,0,YEAR($E602))</f>
      </c>
      <c r="G602" s="43">
        <f>IF(INDEX(DarlBindung,2)="",1,IF($E602&lt;=INDEX(DarlBindung,2),1,0))</f>
      </c>
      <c r="H602" s="43">
        <f>IF($G602=1,INDEX(DarlSollzins,2),INDEX(DarlAnschluss,2))</f>
      </c>
      <c r="I602" s="43">
        <f>IF(INDEX(DarlBelegt,2)=0,0,IF(INDEX(DarlOhneTilgung,2)=1,IF(INDEX(DarlBindung,2)="",1,$G602),IF($J602&gt;0.005,1,0)))</f>
      </c>
      <c r="J602" s="43">
        <f>IF($I601=0,0,$R601)</f>
      </c>
      <c r="K602" s="43">
        <f>IF($I602=0,0,IF(INDEX(DarlOhneTilgung,2)=1,0,IF(AND(INDEX(DarlTilgStart,2)&gt;0,$E602=INDEX(DarlTilgStart,2)),$J602*($H602+INDEX(DarlTilgung,2))/100/12,IF(AND($G602=0,$G601=1),MAX($K601,$J602*($H602+1)/100/12),$K601))))</f>
      </c>
      <c r="L602" s="43">
        <f>IF($I602=0,0,$J602*$H602/100/12)</f>
      </c>
      <c r="M602" s="43">
        <f>IF($I602=0,0,IF(OR(INDEX(DarlOhneTilgung,2)=1,AND(INDEX(DarlTilgStart,2)&gt;0,$E602&lt;INDEX(DarlTilgStart,2))),0,MIN(MAX(0,$K602-$L602),$J602)))</f>
      </c>
      <c r="N602" s="43">
        <f>IF($I602=0,0,MIN(SUMIFS(SondBetrag,SondDarl,2,SondDatum,"&gt;="&amp;$E602,SondDatum,"&lt;="&amp;EOMONTH($E602,0)),$J602-$M602))</f>
      </c>
      <c r="O602" s="43">
        <f>IF($I602=0,0,INDEX(DarlErsatzRate,2))</f>
      </c>
      <c r="P602" s="43">
        <f>IF($I602=0,0,$Q601*INDEX(DarlErsatzZins,2))</f>
      </c>
      <c r="Q602" s="43">
        <f>IF($I602=0,0,$Q601+$P602+$O602)</f>
      </c>
      <c r="R602" s="43">
        <f>IF($I602=0,0,$J602-$M602-$N602)</f>
      </c>
    </row>
    <row r="603">
      <c r="A603"/>
      <c r="B603">
        <v>2</v>
      </c>
      <c r="C603" s="43">
        <f>INDEX(DarlObj,2)</f>
      </c>
      <c r="D603">
        <v>120</v>
      </c>
      <c r="E603" s="51">
        <f>IF(INDEX(DarlBelegt,2)=0,0,EOMONTH(INDEX(DarlAuszahlung,2),119)+1)</f>
      </c>
      <c r="F603" s="43">
        <f>IF($E603=0,0,YEAR($E603))</f>
      </c>
      <c r="G603" s="43">
        <f>IF(INDEX(DarlBindung,2)="",1,IF($E603&lt;=INDEX(DarlBindung,2),1,0))</f>
      </c>
      <c r="H603" s="43">
        <f>IF($G603=1,INDEX(DarlSollzins,2),INDEX(DarlAnschluss,2))</f>
      </c>
      <c r="I603" s="43">
        <f>IF(INDEX(DarlBelegt,2)=0,0,IF(INDEX(DarlOhneTilgung,2)=1,IF(INDEX(DarlBindung,2)="",1,$G603),IF($J603&gt;0.005,1,0)))</f>
      </c>
      <c r="J603" s="43">
        <f>IF($I602=0,0,$R602)</f>
      </c>
      <c r="K603" s="43">
        <f>IF($I603=0,0,IF(INDEX(DarlOhneTilgung,2)=1,0,IF(AND(INDEX(DarlTilgStart,2)&gt;0,$E603=INDEX(DarlTilgStart,2)),$J603*($H603+INDEX(DarlTilgung,2))/100/12,IF(AND($G603=0,$G602=1),MAX($K602,$J603*($H603+1)/100/12),$K602))))</f>
      </c>
      <c r="L603" s="43">
        <f>IF($I603=0,0,$J603*$H603/100/12)</f>
      </c>
      <c r="M603" s="43">
        <f>IF($I603=0,0,IF(OR(INDEX(DarlOhneTilgung,2)=1,AND(INDEX(DarlTilgStart,2)&gt;0,$E603&lt;INDEX(DarlTilgStart,2))),0,MIN(MAX(0,$K603-$L603),$J603)))</f>
      </c>
      <c r="N603" s="43">
        <f>IF($I603=0,0,MIN(SUMIFS(SondBetrag,SondDarl,2,SondDatum,"&gt;="&amp;$E603,SondDatum,"&lt;="&amp;EOMONTH($E603,0)),$J603-$M603))</f>
      </c>
      <c r="O603" s="43">
        <f>IF($I603=0,0,INDEX(DarlErsatzRate,2))</f>
      </c>
      <c r="P603" s="43">
        <f>IF($I603=0,0,$Q602*INDEX(DarlErsatzZins,2))</f>
      </c>
      <c r="Q603" s="43">
        <f>IF($I603=0,0,$Q602+$P603+$O603)</f>
      </c>
      <c r="R603" s="43">
        <f>IF($I603=0,0,$J603-$M603-$N603)</f>
      </c>
    </row>
    <row r="604">
      <c r="A604"/>
      <c r="B604">
        <v>2</v>
      </c>
      <c r="C604" s="43">
        <f>INDEX(DarlObj,2)</f>
      </c>
      <c r="D604">
        <v>121</v>
      </c>
      <c r="E604" s="51">
        <f>IF(INDEX(DarlBelegt,2)=0,0,EOMONTH(INDEX(DarlAuszahlung,2),120)+1)</f>
      </c>
      <c r="F604" s="43">
        <f>IF($E604=0,0,YEAR($E604))</f>
      </c>
      <c r="G604" s="43">
        <f>IF(INDEX(DarlBindung,2)="",1,IF($E604&lt;=INDEX(DarlBindung,2),1,0))</f>
      </c>
      <c r="H604" s="43">
        <f>IF($G604=1,INDEX(DarlSollzins,2),INDEX(DarlAnschluss,2))</f>
      </c>
      <c r="I604" s="43">
        <f>IF(INDEX(DarlBelegt,2)=0,0,IF(INDEX(DarlOhneTilgung,2)=1,IF(INDEX(DarlBindung,2)="",1,$G604),IF($J604&gt;0.005,1,0)))</f>
      </c>
      <c r="J604" s="43">
        <f>IF($I603=0,0,$R603)</f>
      </c>
      <c r="K604" s="43">
        <f>IF($I604=0,0,IF(INDEX(DarlOhneTilgung,2)=1,0,IF(AND(INDEX(DarlTilgStart,2)&gt;0,$E604=INDEX(DarlTilgStart,2)),$J604*($H604+INDEX(DarlTilgung,2))/100/12,IF(AND($G604=0,$G603=1),MAX($K603,$J604*($H604+1)/100/12),$K603))))</f>
      </c>
      <c r="L604" s="43">
        <f>IF($I604=0,0,$J604*$H604/100/12)</f>
      </c>
      <c r="M604" s="43">
        <f>IF($I604=0,0,IF(OR(INDEX(DarlOhneTilgung,2)=1,AND(INDEX(DarlTilgStart,2)&gt;0,$E604&lt;INDEX(DarlTilgStart,2))),0,MIN(MAX(0,$K604-$L604),$J604)))</f>
      </c>
      <c r="N604" s="43">
        <f>IF($I604=0,0,MIN(SUMIFS(SondBetrag,SondDarl,2,SondDatum,"&gt;="&amp;$E604,SondDatum,"&lt;="&amp;EOMONTH($E604,0)),$J604-$M604))</f>
      </c>
      <c r="O604" s="43">
        <f>IF($I604=0,0,INDEX(DarlErsatzRate,2))</f>
      </c>
      <c r="P604" s="43">
        <f>IF($I604=0,0,$Q603*INDEX(DarlErsatzZins,2))</f>
      </c>
      <c r="Q604" s="43">
        <f>IF($I604=0,0,$Q603+$P604+$O604)</f>
      </c>
      <c r="R604" s="43">
        <f>IF($I604=0,0,$J604-$M604-$N604)</f>
      </c>
    </row>
    <row r="605">
      <c r="A605"/>
      <c r="B605">
        <v>2</v>
      </c>
      <c r="C605" s="43">
        <f>INDEX(DarlObj,2)</f>
      </c>
      <c r="D605">
        <v>122</v>
      </c>
      <c r="E605" s="51">
        <f>IF(INDEX(DarlBelegt,2)=0,0,EOMONTH(INDEX(DarlAuszahlung,2),121)+1)</f>
      </c>
      <c r="F605" s="43">
        <f>IF($E605=0,0,YEAR($E605))</f>
      </c>
      <c r="G605" s="43">
        <f>IF(INDEX(DarlBindung,2)="",1,IF($E605&lt;=INDEX(DarlBindung,2),1,0))</f>
      </c>
      <c r="H605" s="43">
        <f>IF($G605=1,INDEX(DarlSollzins,2),INDEX(DarlAnschluss,2))</f>
      </c>
      <c r="I605" s="43">
        <f>IF(INDEX(DarlBelegt,2)=0,0,IF(INDEX(DarlOhneTilgung,2)=1,IF(INDEX(DarlBindung,2)="",1,$G605),IF($J605&gt;0.005,1,0)))</f>
      </c>
      <c r="J605" s="43">
        <f>IF($I604=0,0,$R604)</f>
      </c>
      <c r="K605" s="43">
        <f>IF($I605=0,0,IF(INDEX(DarlOhneTilgung,2)=1,0,IF(AND(INDEX(DarlTilgStart,2)&gt;0,$E605=INDEX(DarlTilgStart,2)),$J605*($H605+INDEX(DarlTilgung,2))/100/12,IF(AND($G605=0,$G604=1),MAX($K604,$J605*($H605+1)/100/12),$K604))))</f>
      </c>
      <c r="L605" s="43">
        <f>IF($I605=0,0,$J605*$H605/100/12)</f>
      </c>
      <c r="M605" s="43">
        <f>IF($I605=0,0,IF(OR(INDEX(DarlOhneTilgung,2)=1,AND(INDEX(DarlTilgStart,2)&gt;0,$E605&lt;INDEX(DarlTilgStart,2))),0,MIN(MAX(0,$K605-$L605),$J605)))</f>
      </c>
      <c r="N605" s="43">
        <f>IF($I605=0,0,MIN(SUMIFS(SondBetrag,SondDarl,2,SondDatum,"&gt;="&amp;$E605,SondDatum,"&lt;="&amp;EOMONTH($E605,0)),$J605-$M605))</f>
      </c>
      <c r="O605" s="43">
        <f>IF($I605=0,0,INDEX(DarlErsatzRate,2))</f>
      </c>
      <c r="P605" s="43">
        <f>IF($I605=0,0,$Q604*INDEX(DarlErsatzZins,2))</f>
      </c>
      <c r="Q605" s="43">
        <f>IF($I605=0,0,$Q604+$P605+$O605)</f>
      </c>
      <c r="R605" s="43">
        <f>IF($I605=0,0,$J605-$M605-$N605)</f>
      </c>
    </row>
    <row r="606">
      <c r="A606"/>
      <c r="B606">
        <v>2</v>
      </c>
      <c r="C606" s="43">
        <f>INDEX(DarlObj,2)</f>
      </c>
      <c r="D606">
        <v>123</v>
      </c>
      <c r="E606" s="51">
        <f>IF(INDEX(DarlBelegt,2)=0,0,EOMONTH(INDEX(DarlAuszahlung,2),122)+1)</f>
      </c>
      <c r="F606" s="43">
        <f>IF($E606=0,0,YEAR($E606))</f>
      </c>
      <c r="G606" s="43">
        <f>IF(INDEX(DarlBindung,2)="",1,IF($E606&lt;=INDEX(DarlBindung,2),1,0))</f>
      </c>
      <c r="H606" s="43">
        <f>IF($G606=1,INDEX(DarlSollzins,2),INDEX(DarlAnschluss,2))</f>
      </c>
      <c r="I606" s="43">
        <f>IF(INDEX(DarlBelegt,2)=0,0,IF(INDEX(DarlOhneTilgung,2)=1,IF(INDEX(DarlBindung,2)="",1,$G606),IF($J606&gt;0.005,1,0)))</f>
      </c>
      <c r="J606" s="43">
        <f>IF($I605=0,0,$R605)</f>
      </c>
      <c r="K606" s="43">
        <f>IF($I606=0,0,IF(INDEX(DarlOhneTilgung,2)=1,0,IF(AND(INDEX(DarlTilgStart,2)&gt;0,$E606=INDEX(DarlTilgStart,2)),$J606*($H606+INDEX(DarlTilgung,2))/100/12,IF(AND($G606=0,$G605=1),MAX($K605,$J606*($H606+1)/100/12),$K605))))</f>
      </c>
      <c r="L606" s="43">
        <f>IF($I606=0,0,$J606*$H606/100/12)</f>
      </c>
      <c r="M606" s="43">
        <f>IF($I606=0,0,IF(OR(INDEX(DarlOhneTilgung,2)=1,AND(INDEX(DarlTilgStart,2)&gt;0,$E606&lt;INDEX(DarlTilgStart,2))),0,MIN(MAX(0,$K606-$L606),$J606)))</f>
      </c>
      <c r="N606" s="43">
        <f>IF($I606=0,0,MIN(SUMIFS(SondBetrag,SondDarl,2,SondDatum,"&gt;="&amp;$E606,SondDatum,"&lt;="&amp;EOMONTH($E606,0)),$J606-$M606))</f>
      </c>
      <c r="O606" s="43">
        <f>IF($I606=0,0,INDEX(DarlErsatzRate,2))</f>
      </c>
      <c r="P606" s="43">
        <f>IF($I606=0,0,$Q605*INDEX(DarlErsatzZins,2))</f>
      </c>
      <c r="Q606" s="43">
        <f>IF($I606=0,0,$Q605+$P606+$O606)</f>
      </c>
      <c r="R606" s="43">
        <f>IF($I606=0,0,$J606-$M606-$N606)</f>
      </c>
    </row>
    <row r="607">
      <c r="A607"/>
      <c r="B607">
        <v>2</v>
      </c>
      <c r="C607" s="43">
        <f>INDEX(DarlObj,2)</f>
      </c>
      <c r="D607">
        <v>124</v>
      </c>
      <c r="E607" s="51">
        <f>IF(INDEX(DarlBelegt,2)=0,0,EOMONTH(INDEX(DarlAuszahlung,2),123)+1)</f>
      </c>
      <c r="F607" s="43">
        <f>IF($E607=0,0,YEAR($E607))</f>
      </c>
      <c r="G607" s="43">
        <f>IF(INDEX(DarlBindung,2)="",1,IF($E607&lt;=INDEX(DarlBindung,2),1,0))</f>
      </c>
      <c r="H607" s="43">
        <f>IF($G607=1,INDEX(DarlSollzins,2),INDEX(DarlAnschluss,2))</f>
      </c>
      <c r="I607" s="43">
        <f>IF(INDEX(DarlBelegt,2)=0,0,IF(INDEX(DarlOhneTilgung,2)=1,IF(INDEX(DarlBindung,2)="",1,$G607),IF($J607&gt;0.005,1,0)))</f>
      </c>
      <c r="J607" s="43">
        <f>IF($I606=0,0,$R606)</f>
      </c>
      <c r="K607" s="43">
        <f>IF($I607=0,0,IF(INDEX(DarlOhneTilgung,2)=1,0,IF(AND(INDEX(DarlTilgStart,2)&gt;0,$E607=INDEX(DarlTilgStart,2)),$J607*($H607+INDEX(DarlTilgung,2))/100/12,IF(AND($G607=0,$G606=1),MAX($K606,$J607*($H607+1)/100/12),$K606))))</f>
      </c>
      <c r="L607" s="43">
        <f>IF($I607=0,0,$J607*$H607/100/12)</f>
      </c>
      <c r="M607" s="43">
        <f>IF($I607=0,0,IF(OR(INDEX(DarlOhneTilgung,2)=1,AND(INDEX(DarlTilgStart,2)&gt;0,$E607&lt;INDEX(DarlTilgStart,2))),0,MIN(MAX(0,$K607-$L607),$J607)))</f>
      </c>
      <c r="N607" s="43">
        <f>IF($I607=0,0,MIN(SUMIFS(SondBetrag,SondDarl,2,SondDatum,"&gt;="&amp;$E607,SondDatum,"&lt;="&amp;EOMONTH($E607,0)),$J607-$M607))</f>
      </c>
      <c r="O607" s="43">
        <f>IF($I607=0,0,INDEX(DarlErsatzRate,2))</f>
      </c>
      <c r="P607" s="43">
        <f>IF($I607=0,0,$Q606*INDEX(DarlErsatzZins,2))</f>
      </c>
      <c r="Q607" s="43">
        <f>IF($I607=0,0,$Q606+$P607+$O607)</f>
      </c>
      <c r="R607" s="43">
        <f>IF($I607=0,0,$J607-$M607-$N607)</f>
      </c>
    </row>
    <row r="608">
      <c r="A608"/>
      <c r="B608">
        <v>2</v>
      </c>
      <c r="C608" s="43">
        <f>INDEX(DarlObj,2)</f>
      </c>
      <c r="D608">
        <v>125</v>
      </c>
      <c r="E608" s="51">
        <f>IF(INDEX(DarlBelegt,2)=0,0,EOMONTH(INDEX(DarlAuszahlung,2),124)+1)</f>
      </c>
      <c r="F608" s="43">
        <f>IF($E608=0,0,YEAR($E608))</f>
      </c>
      <c r="G608" s="43">
        <f>IF(INDEX(DarlBindung,2)="",1,IF($E608&lt;=INDEX(DarlBindung,2),1,0))</f>
      </c>
      <c r="H608" s="43">
        <f>IF($G608=1,INDEX(DarlSollzins,2),INDEX(DarlAnschluss,2))</f>
      </c>
      <c r="I608" s="43">
        <f>IF(INDEX(DarlBelegt,2)=0,0,IF(INDEX(DarlOhneTilgung,2)=1,IF(INDEX(DarlBindung,2)="",1,$G608),IF($J608&gt;0.005,1,0)))</f>
      </c>
      <c r="J608" s="43">
        <f>IF($I607=0,0,$R607)</f>
      </c>
      <c r="K608" s="43">
        <f>IF($I608=0,0,IF(INDEX(DarlOhneTilgung,2)=1,0,IF(AND(INDEX(DarlTilgStart,2)&gt;0,$E608=INDEX(DarlTilgStart,2)),$J608*($H608+INDEX(DarlTilgung,2))/100/12,IF(AND($G608=0,$G607=1),MAX($K607,$J608*($H608+1)/100/12),$K607))))</f>
      </c>
      <c r="L608" s="43">
        <f>IF($I608=0,0,$J608*$H608/100/12)</f>
      </c>
      <c r="M608" s="43">
        <f>IF($I608=0,0,IF(OR(INDEX(DarlOhneTilgung,2)=1,AND(INDEX(DarlTilgStart,2)&gt;0,$E608&lt;INDEX(DarlTilgStart,2))),0,MIN(MAX(0,$K608-$L608),$J608)))</f>
      </c>
      <c r="N608" s="43">
        <f>IF($I608=0,0,MIN(SUMIFS(SondBetrag,SondDarl,2,SondDatum,"&gt;="&amp;$E608,SondDatum,"&lt;="&amp;EOMONTH($E608,0)),$J608-$M608))</f>
      </c>
      <c r="O608" s="43">
        <f>IF($I608=0,0,INDEX(DarlErsatzRate,2))</f>
      </c>
      <c r="P608" s="43">
        <f>IF($I608=0,0,$Q607*INDEX(DarlErsatzZins,2))</f>
      </c>
      <c r="Q608" s="43">
        <f>IF($I608=0,0,$Q607+$P608+$O608)</f>
      </c>
      <c r="R608" s="43">
        <f>IF($I608=0,0,$J608-$M608-$N608)</f>
      </c>
    </row>
    <row r="609">
      <c r="A609"/>
      <c r="B609">
        <v>2</v>
      </c>
      <c r="C609" s="43">
        <f>INDEX(DarlObj,2)</f>
      </c>
      <c r="D609">
        <v>126</v>
      </c>
      <c r="E609" s="51">
        <f>IF(INDEX(DarlBelegt,2)=0,0,EOMONTH(INDEX(DarlAuszahlung,2),125)+1)</f>
      </c>
      <c r="F609" s="43">
        <f>IF($E609=0,0,YEAR($E609))</f>
      </c>
      <c r="G609" s="43">
        <f>IF(INDEX(DarlBindung,2)="",1,IF($E609&lt;=INDEX(DarlBindung,2),1,0))</f>
      </c>
      <c r="H609" s="43">
        <f>IF($G609=1,INDEX(DarlSollzins,2),INDEX(DarlAnschluss,2))</f>
      </c>
      <c r="I609" s="43">
        <f>IF(INDEX(DarlBelegt,2)=0,0,IF(INDEX(DarlOhneTilgung,2)=1,IF(INDEX(DarlBindung,2)="",1,$G609),IF($J609&gt;0.005,1,0)))</f>
      </c>
      <c r="J609" s="43">
        <f>IF($I608=0,0,$R608)</f>
      </c>
      <c r="K609" s="43">
        <f>IF($I609=0,0,IF(INDEX(DarlOhneTilgung,2)=1,0,IF(AND(INDEX(DarlTilgStart,2)&gt;0,$E609=INDEX(DarlTilgStart,2)),$J609*($H609+INDEX(DarlTilgung,2))/100/12,IF(AND($G609=0,$G608=1),MAX($K608,$J609*($H609+1)/100/12),$K608))))</f>
      </c>
      <c r="L609" s="43">
        <f>IF($I609=0,0,$J609*$H609/100/12)</f>
      </c>
      <c r="M609" s="43">
        <f>IF($I609=0,0,IF(OR(INDEX(DarlOhneTilgung,2)=1,AND(INDEX(DarlTilgStart,2)&gt;0,$E609&lt;INDEX(DarlTilgStart,2))),0,MIN(MAX(0,$K609-$L609),$J609)))</f>
      </c>
      <c r="N609" s="43">
        <f>IF($I609=0,0,MIN(SUMIFS(SondBetrag,SondDarl,2,SondDatum,"&gt;="&amp;$E609,SondDatum,"&lt;="&amp;EOMONTH($E609,0)),$J609-$M609))</f>
      </c>
      <c r="O609" s="43">
        <f>IF($I609=0,0,INDEX(DarlErsatzRate,2))</f>
      </c>
      <c r="P609" s="43">
        <f>IF($I609=0,0,$Q608*INDEX(DarlErsatzZins,2))</f>
      </c>
      <c r="Q609" s="43">
        <f>IF($I609=0,0,$Q608+$P609+$O609)</f>
      </c>
      <c r="R609" s="43">
        <f>IF($I609=0,0,$J609-$M609-$N609)</f>
      </c>
    </row>
    <row r="610">
      <c r="A610"/>
      <c r="B610">
        <v>2</v>
      </c>
      <c r="C610" s="43">
        <f>INDEX(DarlObj,2)</f>
      </c>
      <c r="D610">
        <v>127</v>
      </c>
      <c r="E610" s="51">
        <f>IF(INDEX(DarlBelegt,2)=0,0,EOMONTH(INDEX(DarlAuszahlung,2),126)+1)</f>
      </c>
      <c r="F610" s="43">
        <f>IF($E610=0,0,YEAR($E610))</f>
      </c>
      <c r="G610" s="43">
        <f>IF(INDEX(DarlBindung,2)="",1,IF($E610&lt;=INDEX(DarlBindung,2),1,0))</f>
      </c>
      <c r="H610" s="43">
        <f>IF($G610=1,INDEX(DarlSollzins,2),INDEX(DarlAnschluss,2))</f>
      </c>
      <c r="I610" s="43">
        <f>IF(INDEX(DarlBelegt,2)=0,0,IF(INDEX(DarlOhneTilgung,2)=1,IF(INDEX(DarlBindung,2)="",1,$G610),IF($J610&gt;0.005,1,0)))</f>
      </c>
      <c r="J610" s="43">
        <f>IF($I609=0,0,$R609)</f>
      </c>
      <c r="K610" s="43">
        <f>IF($I610=0,0,IF(INDEX(DarlOhneTilgung,2)=1,0,IF(AND(INDEX(DarlTilgStart,2)&gt;0,$E610=INDEX(DarlTilgStart,2)),$J610*($H610+INDEX(DarlTilgung,2))/100/12,IF(AND($G610=0,$G609=1),MAX($K609,$J610*($H610+1)/100/12),$K609))))</f>
      </c>
      <c r="L610" s="43">
        <f>IF($I610=0,0,$J610*$H610/100/12)</f>
      </c>
      <c r="M610" s="43">
        <f>IF($I610=0,0,IF(OR(INDEX(DarlOhneTilgung,2)=1,AND(INDEX(DarlTilgStart,2)&gt;0,$E610&lt;INDEX(DarlTilgStart,2))),0,MIN(MAX(0,$K610-$L610),$J610)))</f>
      </c>
      <c r="N610" s="43">
        <f>IF($I610=0,0,MIN(SUMIFS(SondBetrag,SondDarl,2,SondDatum,"&gt;="&amp;$E610,SondDatum,"&lt;="&amp;EOMONTH($E610,0)),$J610-$M610))</f>
      </c>
      <c r="O610" s="43">
        <f>IF($I610=0,0,INDEX(DarlErsatzRate,2))</f>
      </c>
      <c r="P610" s="43">
        <f>IF($I610=0,0,$Q609*INDEX(DarlErsatzZins,2))</f>
      </c>
      <c r="Q610" s="43">
        <f>IF($I610=0,0,$Q609+$P610+$O610)</f>
      </c>
      <c r="R610" s="43">
        <f>IF($I610=0,0,$J610-$M610-$N610)</f>
      </c>
    </row>
    <row r="611">
      <c r="A611"/>
      <c r="B611">
        <v>2</v>
      </c>
      <c r="C611" s="43">
        <f>INDEX(DarlObj,2)</f>
      </c>
      <c r="D611">
        <v>128</v>
      </c>
      <c r="E611" s="51">
        <f>IF(INDEX(DarlBelegt,2)=0,0,EOMONTH(INDEX(DarlAuszahlung,2),127)+1)</f>
      </c>
      <c r="F611" s="43">
        <f>IF($E611=0,0,YEAR($E611))</f>
      </c>
      <c r="G611" s="43">
        <f>IF(INDEX(DarlBindung,2)="",1,IF($E611&lt;=INDEX(DarlBindung,2),1,0))</f>
      </c>
      <c r="H611" s="43">
        <f>IF($G611=1,INDEX(DarlSollzins,2),INDEX(DarlAnschluss,2))</f>
      </c>
      <c r="I611" s="43">
        <f>IF(INDEX(DarlBelegt,2)=0,0,IF(INDEX(DarlOhneTilgung,2)=1,IF(INDEX(DarlBindung,2)="",1,$G611),IF($J611&gt;0.005,1,0)))</f>
      </c>
      <c r="J611" s="43">
        <f>IF($I610=0,0,$R610)</f>
      </c>
      <c r="K611" s="43">
        <f>IF($I611=0,0,IF(INDEX(DarlOhneTilgung,2)=1,0,IF(AND(INDEX(DarlTilgStart,2)&gt;0,$E611=INDEX(DarlTilgStart,2)),$J611*($H611+INDEX(DarlTilgung,2))/100/12,IF(AND($G611=0,$G610=1),MAX($K610,$J611*($H611+1)/100/12),$K610))))</f>
      </c>
      <c r="L611" s="43">
        <f>IF($I611=0,0,$J611*$H611/100/12)</f>
      </c>
      <c r="M611" s="43">
        <f>IF($I611=0,0,IF(OR(INDEX(DarlOhneTilgung,2)=1,AND(INDEX(DarlTilgStart,2)&gt;0,$E611&lt;INDEX(DarlTilgStart,2))),0,MIN(MAX(0,$K611-$L611),$J611)))</f>
      </c>
      <c r="N611" s="43">
        <f>IF($I611=0,0,MIN(SUMIFS(SondBetrag,SondDarl,2,SondDatum,"&gt;="&amp;$E611,SondDatum,"&lt;="&amp;EOMONTH($E611,0)),$J611-$M611))</f>
      </c>
      <c r="O611" s="43">
        <f>IF($I611=0,0,INDEX(DarlErsatzRate,2))</f>
      </c>
      <c r="P611" s="43">
        <f>IF($I611=0,0,$Q610*INDEX(DarlErsatzZins,2))</f>
      </c>
      <c r="Q611" s="43">
        <f>IF($I611=0,0,$Q610+$P611+$O611)</f>
      </c>
      <c r="R611" s="43">
        <f>IF($I611=0,0,$J611-$M611-$N611)</f>
      </c>
    </row>
    <row r="612">
      <c r="A612"/>
      <c r="B612">
        <v>2</v>
      </c>
      <c r="C612" s="43">
        <f>INDEX(DarlObj,2)</f>
      </c>
      <c r="D612">
        <v>129</v>
      </c>
      <c r="E612" s="51">
        <f>IF(INDEX(DarlBelegt,2)=0,0,EOMONTH(INDEX(DarlAuszahlung,2),128)+1)</f>
      </c>
      <c r="F612" s="43">
        <f>IF($E612=0,0,YEAR($E612))</f>
      </c>
      <c r="G612" s="43">
        <f>IF(INDEX(DarlBindung,2)="",1,IF($E612&lt;=INDEX(DarlBindung,2),1,0))</f>
      </c>
      <c r="H612" s="43">
        <f>IF($G612=1,INDEX(DarlSollzins,2),INDEX(DarlAnschluss,2))</f>
      </c>
      <c r="I612" s="43">
        <f>IF(INDEX(DarlBelegt,2)=0,0,IF(INDEX(DarlOhneTilgung,2)=1,IF(INDEX(DarlBindung,2)="",1,$G612),IF($J612&gt;0.005,1,0)))</f>
      </c>
      <c r="J612" s="43">
        <f>IF($I611=0,0,$R611)</f>
      </c>
      <c r="K612" s="43">
        <f>IF($I612=0,0,IF(INDEX(DarlOhneTilgung,2)=1,0,IF(AND(INDEX(DarlTilgStart,2)&gt;0,$E612=INDEX(DarlTilgStart,2)),$J612*($H612+INDEX(DarlTilgung,2))/100/12,IF(AND($G612=0,$G611=1),MAX($K611,$J612*($H612+1)/100/12),$K611))))</f>
      </c>
      <c r="L612" s="43">
        <f>IF($I612=0,0,$J612*$H612/100/12)</f>
      </c>
      <c r="M612" s="43">
        <f>IF($I612=0,0,IF(OR(INDEX(DarlOhneTilgung,2)=1,AND(INDEX(DarlTilgStart,2)&gt;0,$E612&lt;INDEX(DarlTilgStart,2))),0,MIN(MAX(0,$K612-$L612),$J612)))</f>
      </c>
      <c r="N612" s="43">
        <f>IF($I612=0,0,MIN(SUMIFS(SondBetrag,SondDarl,2,SondDatum,"&gt;="&amp;$E612,SondDatum,"&lt;="&amp;EOMONTH($E612,0)),$J612-$M612))</f>
      </c>
      <c r="O612" s="43">
        <f>IF($I612=0,0,INDEX(DarlErsatzRate,2))</f>
      </c>
      <c r="P612" s="43">
        <f>IF($I612=0,0,$Q611*INDEX(DarlErsatzZins,2))</f>
      </c>
      <c r="Q612" s="43">
        <f>IF($I612=0,0,$Q611+$P612+$O612)</f>
      </c>
      <c r="R612" s="43">
        <f>IF($I612=0,0,$J612-$M612-$N612)</f>
      </c>
    </row>
    <row r="613">
      <c r="A613"/>
      <c r="B613">
        <v>2</v>
      </c>
      <c r="C613" s="43">
        <f>INDEX(DarlObj,2)</f>
      </c>
      <c r="D613">
        <v>130</v>
      </c>
      <c r="E613" s="51">
        <f>IF(INDEX(DarlBelegt,2)=0,0,EOMONTH(INDEX(DarlAuszahlung,2),129)+1)</f>
      </c>
      <c r="F613" s="43">
        <f>IF($E613=0,0,YEAR($E613))</f>
      </c>
      <c r="G613" s="43">
        <f>IF(INDEX(DarlBindung,2)="",1,IF($E613&lt;=INDEX(DarlBindung,2),1,0))</f>
      </c>
      <c r="H613" s="43">
        <f>IF($G613=1,INDEX(DarlSollzins,2),INDEX(DarlAnschluss,2))</f>
      </c>
      <c r="I613" s="43">
        <f>IF(INDEX(DarlBelegt,2)=0,0,IF(INDEX(DarlOhneTilgung,2)=1,IF(INDEX(DarlBindung,2)="",1,$G613),IF($J613&gt;0.005,1,0)))</f>
      </c>
      <c r="J613" s="43">
        <f>IF($I612=0,0,$R612)</f>
      </c>
      <c r="K613" s="43">
        <f>IF($I613=0,0,IF(INDEX(DarlOhneTilgung,2)=1,0,IF(AND(INDEX(DarlTilgStart,2)&gt;0,$E613=INDEX(DarlTilgStart,2)),$J613*($H613+INDEX(DarlTilgung,2))/100/12,IF(AND($G613=0,$G612=1),MAX($K612,$J613*($H613+1)/100/12),$K612))))</f>
      </c>
      <c r="L613" s="43">
        <f>IF($I613=0,0,$J613*$H613/100/12)</f>
      </c>
      <c r="M613" s="43">
        <f>IF($I613=0,0,IF(OR(INDEX(DarlOhneTilgung,2)=1,AND(INDEX(DarlTilgStart,2)&gt;0,$E613&lt;INDEX(DarlTilgStart,2))),0,MIN(MAX(0,$K613-$L613),$J613)))</f>
      </c>
      <c r="N613" s="43">
        <f>IF($I613=0,0,MIN(SUMIFS(SondBetrag,SondDarl,2,SondDatum,"&gt;="&amp;$E613,SondDatum,"&lt;="&amp;EOMONTH($E613,0)),$J613-$M613))</f>
      </c>
      <c r="O613" s="43">
        <f>IF($I613=0,0,INDEX(DarlErsatzRate,2))</f>
      </c>
      <c r="P613" s="43">
        <f>IF($I613=0,0,$Q612*INDEX(DarlErsatzZins,2))</f>
      </c>
      <c r="Q613" s="43">
        <f>IF($I613=0,0,$Q612+$P613+$O613)</f>
      </c>
      <c r="R613" s="43">
        <f>IF($I613=0,0,$J613-$M613-$N613)</f>
      </c>
    </row>
    <row r="614">
      <c r="A614"/>
      <c r="B614">
        <v>2</v>
      </c>
      <c r="C614" s="43">
        <f>INDEX(DarlObj,2)</f>
      </c>
      <c r="D614">
        <v>131</v>
      </c>
      <c r="E614" s="51">
        <f>IF(INDEX(DarlBelegt,2)=0,0,EOMONTH(INDEX(DarlAuszahlung,2),130)+1)</f>
      </c>
      <c r="F614" s="43">
        <f>IF($E614=0,0,YEAR($E614))</f>
      </c>
      <c r="G614" s="43">
        <f>IF(INDEX(DarlBindung,2)="",1,IF($E614&lt;=INDEX(DarlBindung,2),1,0))</f>
      </c>
      <c r="H614" s="43">
        <f>IF($G614=1,INDEX(DarlSollzins,2),INDEX(DarlAnschluss,2))</f>
      </c>
      <c r="I614" s="43">
        <f>IF(INDEX(DarlBelegt,2)=0,0,IF(INDEX(DarlOhneTilgung,2)=1,IF(INDEX(DarlBindung,2)="",1,$G614),IF($J614&gt;0.005,1,0)))</f>
      </c>
      <c r="J614" s="43">
        <f>IF($I613=0,0,$R613)</f>
      </c>
      <c r="K614" s="43">
        <f>IF($I614=0,0,IF(INDEX(DarlOhneTilgung,2)=1,0,IF(AND(INDEX(DarlTilgStart,2)&gt;0,$E614=INDEX(DarlTilgStart,2)),$J614*($H614+INDEX(DarlTilgung,2))/100/12,IF(AND($G614=0,$G613=1),MAX($K613,$J614*($H614+1)/100/12),$K613))))</f>
      </c>
      <c r="L614" s="43">
        <f>IF($I614=0,0,$J614*$H614/100/12)</f>
      </c>
      <c r="M614" s="43">
        <f>IF($I614=0,0,IF(OR(INDEX(DarlOhneTilgung,2)=1,AND(INDEX(DarlTilgStart,2)&gt;0,$E614&lt;INDEX(DarlTilgStart,2))),0,MIN(MAX(0,$K614-$L614),$J614)))</f>
      </c>
      <c r="N614" s="43">
        <f>IF($I614=0,0,MIN(SUMIFS(SondBetrag,SondDarl,2,SondDatum,"&gt;="&amp;$E614,SondDatum,"&lt;="&amp;EOMONTH($E614,0)),$J614-$M614))</f>
      </c>
      <c r="O614" s="43">
        <f>IF($I614=0,0,INDEX(DarlErsatzRate,2))</f>
      </c>
      <c r="P614" s="43">
        <f>IF($I614=0,0,$Q613*INDEX(DarlErsatzZins,2))</f>
      </c>
      <c r="Q614" s="43">
        <f>IF($I614=0,0,$Q613+$P614+$O614)</f>
      </c>
      <c r="R614" s="43">
        <f>IF($I614=0,0,$J614-$M614-$N614)</f>
      </c>
    </row>
    <row r="615">
      <c r="A615"/>
      <c r="B615">
        <v>2</v>
      </c>
      <c r="C615" s="43">
        <f>INDEX(DarlObj,2)</f>
      </c>
      <c r="D615">
        <v>132</v>
      </c>
      <c r="E615" s="51">
        <f>IF(INDEX(DarlBelegt,2)=0,0,EOMONTH(INDEX(DarlAuszahlung,2),131)+1)</f>
      </c>
      <c r="F615" s="43">
        <f>IF($E615=0,0,YEAR($E615))</f>
      </c>
      <c r="G615" s="43">
        <f>IF(INDEX(DarlBindung,2)="",1,IF($E615&lt;=INDEX(DarlBindung,2),1,0))</f>
      </c>
      <c r="H615" s="43">
        <f>IF($G615=1,INDEX(DarlSollzins,2),INDEX(DarlAnschluss,2))</f>
      </c>
      <c r="I615" s="43">
        <f>IF(INDEX(DarlBelegt,2)=0,0,IF(INDEX(DarlOhneTilgung,2)=1,IF(INDEX(DarlBindung,2)="",1,$G615),IF($J615&gt;0.005,1,0)))</f>
      </c>
      <c r="J615" s="43">
        <f>IF($I614=0,0,$R614)</f>
      </c>
      <c r="K615" s="43">
        <f>IF($I615=0,0,IF(INDEX(DarlOhneTilgung,2)=1,0,IF(AND(INDEX(DarlTilgStart,2)&gt;0,$E615=INDEX(DarlTilgStart,2)),$J615*($H615+INDEX(DarlTilgung,2))/100/12,IF(AND($G615=0,$G614=1),MAX($K614,$J615*($H615+1)/100/12),$K614))))</f>
      </c>
      <c r="L615" s="43">
        <f>IF($I615=0,0,$J615*$H615/100/12)</f>
      </c>
      <c r="M615" s="43">
        <f>IF($I615=0,0,IF(OR(INDEX(DarlOhneTilgung,2)=1,AND(INDEX(DarlTilgStart,2)&gt;0,$E615&lt;INDEX(DarlTilgStart,2))),0,MIN(MAX(0,$K615-$L615),$J615)))</f>
      </c>
      <c r="N615" s="43">
        <f>IF($I615=0,0,MIN(SUMIFS(SondBetrag,SondDarl,2,SondDatum,"&gt;="&amp;$E615,SondDatum,"&lt;="&amp;EOMONTH($E615,0)),$J615-$M615))</f>
      </c>
      <c r="O615" s="43">
        <f>IF($I615=0,0,INDEX(DarlErsatzRate,2))</f>
      </c>
      <c r="P615" s="43">
        <f>IF($I615=0,0,$Q614*INDEX(DarlErsatzZins,2))</f>
      </c>
      <c r="Q615" s="43">
        <f>IF($I615=0,0,$Q614+$P615+$O615)</f>
      </c>
      <c r="R615" s="43">
        <f>IF($I615=0,0,$J615-$M615-$N615)</f>
      </c>
    </row>
    <row r="616">
      <c r="A616"/>
      <c r="B616">
        <v>2</v>
      </c>
      <c r="C616" s="43">
        <f>INDEX(DarlObj,2)</f>
      </c>
      <c r="D616">
        <v>133</v>
      </c>
      <c r="E616" s="51">
        <f>IF(INDEX(DarlBelegt,2)=0,0,EOMONTH(INDEX(DarlAuszahlung,2),132)+1)</f>
      </c>
      <c r="F616" s="43">
        <f>IF($E616=0,0,YEAR($E616))</f>
      </c>
      <c r="G616" s="43">
        <f>IF(INDEX(DarlBindung,2)="",1,IF($E616&lt;=INDEX(DarlBindung,2),1,0))</f>
      </c>
      <c r="H616" s="43">
        <f>IF($G616=1,INDEX(DarlSollzins,2),INDEX(DarlAnschluss,2))</f>
      </c>
      <c r="I616" s="43">
        <f>IF(INDEX(DarlBelegt,2)=0,0,IF(INDEX(DarlOhneTilgung,2)=1,IF(INDEX(DarlBindung,2)="",1,$G616),IF($J616&gt;0.005,1,0)))</f>
      </c>
      <c r="J616" s="43">
        <f>IF($I615=0,0,$R615)</f>
      </c>
      <c r="K616" s="43">
        <f>IF($I616=0,0,IF(INDEX(DarlOhneTilgung,2)=1,0,IF(AND(INDEX(DarlTilgStart,2)&gt;0,$E616=INDEX(DarlTilgStart,2)),$J616*($H616+INDEX(DarlTilgung,2))/100/12,IF(AND($G616=0,$G615=1),MAX($K615,$J616*($H616+1)/100/12),$K615))))</f>
      </c>
      <c r="L616" s="43">
        <f>IF($I616=0,0,$J616*$H616/100/12)</f>
      </c>
      <c r="M616" s="43">
        <f>IF($I616=0,0,IF(OR(INDEX(DarlOhneTilgung,2)=1,AND(INDEX(DarlTilgStart,2)&gt;0,$E616&lt;INDEX(DarlTilgStart,2))),0,MIN(MAX(0,$K616-$L616),$J616)))</f>
      </c>
      <c r="N616" s="43">
        <f>IF($I616=0,0,MIN(SUMIFS(SondBetrag,SondDarl,2,SondDatum,"&gt;="&amp;$E616,SondDatum,"&lt;="&amp;EOMONTH($E616,0)),$J616-$M616))</f>
      </c>
      <c r="O616" s="43">
        <f>IF($I616=0,0,INDEX(DarlErsatzRate,2))</f>
      </c>
      <c r="P616" s="43">
        <f>IF($I616=0,0,$Q615*INDEX(DarlErsatzZins,2))</f>
      </c>
      <c r="Q616" s="43">
        <f>IF($I616=0,0,$Q615+$P616+$O616)</f>
      </c>
      <c r="R616" s="43">
        <f>IF($I616=0,0,$J616-$M616-$N616)</f>
      </c>
    </row>
    <row r="617">
      <c r="A617"/>
      <c r="B617">
        <v>2</v>
      </c>
      <c r="C617" s="43">
        <f>INDEX(DarlObj,2)</f>
      </c>
      <c r="D617">
        <v>134</v>
      </c>
      <c r="E617" s="51">
        <f>IF(INDEX(DarlBelegt,2)=0,0,EOMONTH(INDEX(DarlAuszahlung,2),133)+1)</f>
      </c>
      <c r="F617" s="43">
        <f>IF($E617=0,0,YEAR($E617))</f>
      </c>
      <c r="G617" s="43">
        <f>IF(INDEX(DarlBindung,2)="",1,IF($E617&lt;=INDEX(DarlBindung,2),1,0))</f>
      </c>
      <c r="H617" s="43">
        <f>IF($G617=1,INDEX(DarlSollzins,2),INDEX(DarlAnschluss,2))</f>
      </c>
      <c r="I617" s="43">
        <f>IF(INDEX(DarlBelegt,2)=0,0,IF(INDEX(DarlOhneTilgung,2)=1,IF(INDEX(DarlBindung,2)="",1,$G617),IF($J617&gt;0.005,1,0)))</f>
      </c>
      <c r="J617" s="43">
        <f>IF($I616=0,0,$R616)</f>
      </c>
      <c r="K617" s="43">
        <f>IF($I617=0,0,IF(INDEX(DarlOhneTilgung,2)=1,0,IF(AND(INDEX(DarlTilgStart,2)&gt;0,$E617=INDEX(DarlTilgStart,2)),$J617*($H617+INDEX(DarlTilgung,2))/100/12,IF(AND($G617=0,$G616=1),MAX($K616,$J617*($H617+1)/100/12),$K616))))</f>
      </c>
      <c r="L617" s="43">
        <f>IF($I617=0,0,$J617*$H617/100/12)</f>
      </c>
      <c r="M617" s="43">
        <f>IF($I617=0,0,IF(OR(INDEX(DarlOhneTilgung,2)=1,AND(INDEX(DarlTilgStart,2)&gt;0,$E617&lt;INDEX(DarlTilgStart,2))),0,MIN(MAX(0,$K617-$L617),$J617)))</f>
      </c>
      <c r="N617" s="43">
        <f>IF($I617=0,0,MIN(SUMIFS(SondBetrag,SondDarl,2,SondDatum,"&gt;="&amp;$E617,SondDatum,"&lt;="&amp;EOMONTH($E617,0)),$J617-$M617))</f>
      </c>
      <c r="O617" s="43">
        <f>IF($I617=0,0,INDEX(DarlErsatzRate,2))</f>
      </c>
      <c r="P617" s="43">
        <f>IF($I617=0,0,$Q616*INDEX(DarlErsatzZins,2))</f>
      </c>
      <c r="Q617" s="43">
        <f>IF($I617=0,0,$Q616+$P617+$O617)</f>
      </c>
      <c r="R617" s="43">
        <f>IF($I617=0,0,$J617-$M617-$N617)</f>
      </c>
    </row>
    <row r="618">
      <c r="A618"/>
      <c r="B618">
        <v>2</v>
      </c>
      <c r="C618" s="43">
        <f>INDEX(DarlObj,2)</f>
      </c>
      <c r="D618">
        <v>135</v>
      </c>
      <c r="E618" s="51">
        <f>IF(INDEX(DarlBelegt,2)=0,0,EOMONTH(INDEX(DarlAuszahlung,2),134)+1)</f>
      </c>
      <c r="F618" s="43">
        <f>IF($E618=0,0,YEAR($E618))</f>
      </c>
      <c r="G618" s="43">
        <f>IF(INDEX(DarlBindung,2)="",1,IF($E618&lt;=INDEX(DarlBindung,2),1,0))</f>
      </c>
      <c r="H618" s="43">
        <f>IF($G618=1,INDEX(DarlSollzins,2),INDEX(DarlAnschluss,2))</f>
      </c>
      <c r="I618" s="43">
        <f>IF(INDEX(DarlBelegt,2)=0,0,IF(INDEX(DarlOhneTilgung,2)=1,IF(INDEX(DarlBindung,2)="",1,$G618),IF($J618&gt;0.005,1,0)))</f>
      </c>
      <c r="J618" s="43">
        <f>IF($I617=0,0,$R617)</f>
      </c>
      <c r="K618" s="43">
        <f>IF($I618=0,0,IF(INDEX(DarlOhneTilgung,2)=1,0,IF(AND(INDEX(DarlTilgStart,2)&gt;0,$E618=INDEX(DarlTilgStart,2)),$J618*($H618+INDEX(DarlTilgung,2))/100/12,IF(AND($G618=0,$G617=1),MAX($K617,$J618*($H618+1)/100/12),$K617))))</f>
      </c>
      <c r="L618" s="43">
        <f>IF($I618=0,0,$J618*$H618/100/12)</f>
      </c>
      <c r="M618" s="43">
        <f>IF($I618=0,0,IF(OR(INDEX(DarlOhneTilgung,2)=1,AND(INDEX(DarlTilgStart,2)&gt;0,$E618&lt;INDEX(DarlTilgStart,2))),0,MIN(MAX(0,$K618-$L618),$J618)))</f>
      </c>
      <c r="N618" s="43">
        <f>IF($I618=0,0,MIN(SUMIFS(SondBetrag,SondDarl,2,SondDatum,"&gt;="&amp;$E618,SondDatum,"&lt;="&amp;EOMONTH($E618,0)),$J618-$M618))</f>
      </c>
      <c r="O618" s="43">
        <f>IF($I618=0,0,INDEX(DarlErsatzRate,2))</f>
      </c>
      <c r="P618" s="43">
        <f>IF($I618=0,0,$Q617*INDEX(DarlErsatzZins,2))</f>
      </c>
      <c r="Q618" s="43">
        <f>IF($I618=0,0,$Q617+$P618+$O618)</f>
      </c>
      <c r="R618" s="43">
        <f>IF($I618=0,0,$J618-$M618-$N618)</f>
      </c>
    </row>
    <row r="619">
      <c r="A619"/>
      <c r="B619">
        <v>2</v>
      </c>
      <c r="C619" s="43">
        <f>INDEX(DarlObj,2)</f>
      </c>
      <c r="D619">
        <v>136</v>
      </c>
      <c r="E619" s="51">
        <f>IF(INDEX(DarlBelegt,2)=0,0,EOMONTH(INDEX(DarlAuszahlung,2),135)+1)</f>
      </c>
      <c r="F619" s="43">
        <f>IF($E619=0,0,YEAR($E619))</f>
      </c>
      <c r="G619" s="43">
        <f>IF(INDEX(DarlBindung,2)="",1,IF($E619&lt;=INDEX(DarlBindung,2),1,0))</f>
      </c>
      <c r="H619" s="43">
        <f>IF($G619=1,INDEX(DarlSollzins,2),INDEX(DarlAnschluss,2))</f>
      </c>
      <c r="I619" s="43">
        <f>IF(INDEX(DarlBelegt,2)=0,0,IF(INDEX(DarlOhneTilgung,2)=1,IF(INDEX(DarlBindung,2)="",1,$G619),IF($J619&gt;0.005,1,0)))</f>
      </c>
      <c r="J619" s="43">
        <f>IF($I618=0,0,$R618)</f>
      </c>
      <c r="K619" s="43">
        <f>IF($I619=0,0,IF(INDEX(DarlOhneTilgung,2)=1,0,IF(AND(INDEX(DarlTilgStart,2)&gt;0,$E619=INDEX(DarlTilgStart,2)),$J619*($H619+INDEX(DarlTilgung,2))/100/12,IF(AND($G619=0,$G618=1),MAX($K618,$J619*($H619+1)/100/12),$K618))))</f>
      </c>
      <c r="L619" s="43">
        <f>IF($I619=0,0,$J619*$H619/100/12)</f>
      </c>
      <c r="M619" s="43">
        <f>IF($I619=0,0,IF(OR(INDEX(DarlOhneTilgung,2)=1,AND(INDEX(DarlTilgStart,2)&gt;0,$E619&lt;INDEX(DarlTilgStart,2))),0,MIN(MAX(0,$K619-$L619),$J619)))</f>
      </c>
      <c r="N619" s="43">
        <f>IF($I619=0,0,MIN(SUMIFS(SondBetrag,SondDarl,2,SondDatum,"&gt;="&amp;$E619,SondDatum,"&lt;="&amp;EOMONTH($E619,0)),$J619-$M619))</f>
      </c>
      <c r="O619" s="43">
        <f>IF($I619=0,0,INDEX(DarlErsatzRate,2))</f>
      </c>
      <c r="P619" s="43">
        <f>IF($I619=0,0,$Q618*INDEX(DarlErsatzZins,2))</f>
      </c>
      <c r="Q619" s="43">
        <f>IF($I619=0,0,$Q618+$P619+$O619)</f>
      </c>
      <c r="R619" s="43">
        <f>IF($I619=0,0,$J619-$M619-$N619)</f>
      </c>
    </row>
    <row r="620">
      <c r="A620"/>
      <c r="B620">
        <v>2</v>
      </c>
      <c r="C620" s="43">
        <f>INDEX(DarlObj,2)</f>
      </c>
      <c r="D620">
        <v>137</v>
      </c>
      <c r="E620" s="51">
        <f>IF(INDEX(DarlBelegt,2)=0,0,EOMONTH(INDEX(DarlAuszahlung,2),136)+1)</f>
      </c>
      <c r="F620" s="43">
        <f>IF($E620=0,0,YEAR($E620))</f>
      </c>
      <c r="G620" s="43">
        <f>IF(INDEX(DarlBindung,2)="",1,IF($E620&lt;=INDEX(DarlBindung,2),1,0))</f>
      </c>
      <c r="H620" s="43">
        <f>IF($G620=1,INDEX(DarlSollzins,2),INDEX(DarlAnschluss,2))</f>
      </c>
      <c r="I620" s="43">
        <f>IF(INDEX(DarlBelegt,2)=0,0,IF(INDEX(DarlOhneTilgung,2)=1,IF(INDEX(DarlBindung,2)="",1,$G620),IF($J620&gt;0.005,1,0)))</f>
      </c>
      <c r="J620" s="43">
        <f>IF($I619=0,0,$R619)</f>
      </c>
      <c r="K620" s="43">
        <f>IF($I620=0,0,IF(INDEX(DarlOhneTilgung,2)=1,0,IF(AND(INDEX(DarlTilgStart,2)&gt;0,$E620=INDEX(DarlTilgStart,2)),$J620*($H620+INDEX(DarlTilgung,2))/100/12,IF(AND($G620=0,$G619=1),MAX($K619,$J620*($H620+1)/100/12),$K619))))</f>
      </c>
      <c r="L620" s="43">
        <f>IF($I620=0,0,$J620*$H620/100/12)</f>
      </c>
      <c r="M620" s="43">
        <f>IF($I620=0,0,IF(OR(INDEX(DarlOhneTilgung,2)=1,AND(INDEX(DarlTilgStart,2)&gt;0,$E620&lt;INDEX(DarlTilgStart,2))),0,MIN(MAX(0,$K620-$L620),$J620)))</f>
      </c>
      <c r="N620" s="43">
        <f>IF($I620=0,0,MIN(SUMIFS(SondBetrag,SondDarl,2,SondDatum,"&gt;="&amp;$E620,SondDatum,"&lt;="&amp;EOMONTH($E620,0)),$J620-$M620))</f>
      </c>
      <c r="O620" s="43">
        <f>IF($I620=0,0,INDEX(DarlErsatzRate,2))</f>
      </c>
      <c r="P620" s="43">
        <f>IF($I620=0,0,$Q619*INDEX(DarlErsatzZins,2))</f>
      </c>
      <c r="Q620" s="43">
        <f>IF($I620=0,0,$Q619+$P620+$O620)</f>
      </c>
      <c r="R620" s="43">
        <f>IF($I620=0,0,$J620-$M620-$N620)</f>
      </c>
    </row>
    <row r="621">
      <c r="A621"/>
      <c r="B621">
        <v>2</v>
      </c>
      <c r="C621" s="43">
        <f>INDEX(DarlObj,2)</f>
      </c>
      <c r="D621">
        <v>138</v>
      </c>
      <c r="E621" s="51">
        <f>IF(INDEX(DarlBelegt,2)=0,0,EOMONTH(INDEX(DarlAuszahlung,2),137)+1)</f>
      </c>
      <c r="F621" s="43">
        <f>IF($E621=0,0,YEAR($E621))</f>
      </c>
      <c r="G621" s="43">
        <f>IF(INDEX(DarlBindung,2)="",1,IF($E621&lt;=INDEX(DarlBindung,2),1,0))</f>
      </c>
      <c r="H621" s="43">
        <f>IF($G621=1,INDEX(DarlSollzins,2),INDEX(DarlAnschluss,2))</f>
      </c>
      <c r="I621" s="43">
        <f>IF(INDEX(DarlBelegt,2)=0,0,IF(INDEX(DarlOhneTilgung,2)=1,IF(INDEX(DarlBindung,2)="",1,$G621),IF($J621&gt;0.005,1,0)))</f>
      </c>
      <c r="J621" s="43">
        <f>IF($I620=0,0,$R620)</f>
      </c>
      <c r="K621" s="43">
        <f>IF($I621=0,0,IF(INDEX(DarlOhneTilgung,2)=1,0,IF(AND(INDEX(DarlTilgStart,2)&gt;0,$E621=INDEX(DarlTilgStart,2)),$J621*($H621+INDEX(DarlTilgung,2))/100/12,IF(AND($G621=0,$G620=1),MAX($K620,$J621*($H621+1)/100/12),$K620))))</f>
      </c>
      <c r="L621" s="43">
        <f>IF($I621=0,0,$J621*$H621/100/12)</f>
      </c>
      <c r="M621" s="43">
        <f>IF($I621=0,0,IF(OR(INDEX(DarlOhneTilgung,2)=1,AND(INDEX(DarlTilgStart,2)&gt;0,$E621&lt;INDEX(DarlTilgStart,2))),0,MIN(MAX(0,$K621-$L621),$J621)))</f>
      </c>
      <c r="N621" s="43">
        <f>IF($I621=0,0,MIN(SUMIFS(SondBetrag,SondDarl,2,SondDatum,"&gt;="&amp;$E621,SondDatum,"&lt;="&amp;EOMONTH($E621,0)),$J621-$M621))</f>
      </c>
      <c r="O621" s="43">
        <f>IF($I621=0,0,INDEX(DarlErsatzRate,2))</f>
      </c>
      <c r="P621" s="43">
        <f>IF($I621=0,0,$Q620*INDEX(DarlErsatzZins,2))</f>
      </c>
      <c r="Q621" s="43">
        <f>IF($I621=0,0,$Q620+$P621+$O621)</f>
      </c>
      <c r="R621" s="43">
        <f>IF($I621=0,0,$J621-$M621-$N621)</f>
      </c>
    </row>
    <row r="622">
      <c r="A622"/>
      <c r="B622">
        <v>2</v>
      </c>
      <c r="C622" s="43">
        <f>INDEX(DarlObj,2)</f>
      </c>
      <c r="D622">
        <v>139</v>
      </c>
      <c r="E622" s="51">
        <f>IF(INDEX(DarlBelegt,2)=0,0,EOMONTH(INDEX(DarlAuszahlung,2),138)+1)</f>
      </c>
      <c r="F622" s="43">
        <f>IF($E622=0,0,YEAR($E622))</f>
      </c>
      <c r="G622" s="43">
        <f>IF(INDEX(DarlBindung,2)="",1,IF($E622&lt;=INDEX(DarlBindung,2),1,0))</f>
      </c>
      <c r="H622" s="43">
        <f>IF($G622=1,INDEX(DarlSollzins,2),INDEX(DarlAnschluss,2))</f>
      </c>
      <c r="I622" s="43">
        <f>IF(INDEX(DarlBelegt,2)=0,0,IF(INDEX(DarlOhneTilgung,2)=1,IF(INDEX(DarlBindung,2)="",1,$G622),IF($J622&gt;0.005,1,0)))</f>
      </c>
      <c r="J622" s="43">
        <f>IF($I621=0,0,$R621)</f>
      </c>
      <c r="K622" s="43">
        <f>IF($I622=0,0,IF(INDEX(DarlOhneTilgung,2)=1,0,IF(AND(INDEX(DarlTilgStart,2)&gt;0,$E622=INDEX(DarlTilgStart,2)),$J622*($H622+INDEX(DarlTilgung,2))/100/12,IF(AND($G622=0,$G621=1),MAX($K621,$J622*($H622+1)/100/12),$K621))))</f>
      </c>
      <c r="L622" s="43">
        <f>IF($I622=0,0,$J622*$H622/100/12)</f>
      </c>
      <c r="M622" s="43">
        <f>IF($I622=0,0,IF(OR(INDEX(DarlOhneTilgung,2)=1,AND(INDEX(DarlTilgStart,2)&gt;0,$E622&lt;INDEX(DarlTilgStart,2))),0,MIN(MAX(0,$K622-$L622),$J622)))</f>
      </c>
      <c r="N622" s="43">
        <f>IF($I622=0,0,MIN(SUMIFS(SondBetrag,SondDarl,2,SondDatum,"&gt;="&amp;$E622,SondDatum,"&lt;="&amp;EOMONTH($E622,0)),$J622-$M622))</f>
      </c>
      <c r="O622" s="43">
        <f>IF($I622=0,0,INDEX(DarlErsatzRate,2))</f>
      </c>
      <c r="P622" s="43">
        <f>IF($I622=0,0,$Q621*INDEX(DarlErsatzZins,2))</f>
      </c>
      <c r="Q622" s="43">
        <f>IF($I622=0,0,$Q621+$P622+$O622)</f>
      </c>
      <c r="R622" s="43">
        <f>IF($I622=0,0,$J622-$M622-$N622)</f>
      </c>
    </row>
    <row r="623">
      <c r="A623"/>
      <c r="B623">
        <v>2</v>
      </c>
      <c r="C623" s="43">
        <f>INDEX(DarlObj,2)</f>
      </c>
      <c r="D623">
        <v>140</v>
      </c>
      <c r="E623" s="51">
        <f>IF(INDEX(DarlBelegt,2)=0,0,EOMONTH(INDEX(DarlAuszahlung,2),139)+1)</f>
      </c>
      <c r="F623" s="43">
        <f>IF($E623=0,0,YEAR($E623))</f>
      </c>
      <c r="G623" s="43">
        <f>IF(INDEX(DarlBindung,2)="",1,IF($E623&lt;=INDEX(DarlBindung,2),1,0))</f>
      </c>
      <c r="H623" s="43">
        <f>IF($G623=1,INDEX(DarlSollzins,2),INDEX(DarlAnschluss,2))</f>
      </c>
      <c r="I623" s="43">
        <f>IF(INDEX(DarlBelegt,2)=0,0,IF(INDEX(DarlOhneTilgung,2)=1,IF(INDEX(DarlBindung,2)="",1,$G623),IF($J623&gt;0.005,1,0)))</f>
      </c>
      <c r="J623" s="43">
        <f>IF($I622=0,0,$R622)</f>
      </c>
      <c r="K623" s="43">
        <f>IF($I623=0,0,IF(INDEX(DarlOhneTilgung,2)=1,0,IF(AND(INDEX(DarlTilgStart,2)&gt;0,$E623=INDEX(DarlTilgStart,2)),$J623*($H623+INDEX(DarlTilgung,2))/100/12,IF(AND($G623=0,$G622=1),MAX($K622,$J623*($H623+1)/100/12),$K622))))</f>
      </c>
      <c r="L623" s="43">
        <f>IF($I623=0,0,$J623*$H623/100/12)</f>
      </c>
      <c r="M623" s="43">
        <f>IF($I623=0,0,IF(OR(INDEX(DarlOhneTilgung,2)=1,AND(INDEX(DarlTilgStart,2)&gt;0,$E623&lt;INDEX(DarlTilgStart,2))),0,MIN(MAX(0,$K623-$L623),$J623)))</f>
      </c>
      <c r="N623" s="43">
        <f>IF($I623=0,0,MIN(SUMIFS(SondBetrag,SondDarl,2,SondDatum,"&gt;="&amp;$E623,SondDatum,"&lt;="&amp;EOMONTH($E623,0)),$J623-$M623))</f>
      </c>
      <c r="O623" s="43">
        <f>IF($I623=0,0,INDEX(DarlErsatzRate,2))</f>
      </c>
      <c r="P623" s="43">
        <f>IF($I623=0,0,$Q622*INDEX(DarlErsatzZins,2))</f>
      </c>
      <c r="Q623" s="43">
        <f>IF($I623=0,0,$Q622+$P623+$O623)</f>
      </c>
      <c r="R623" s="43">
        <f>IF($I623=0,0,$J623-$M623-$N623)</f>
      </c>
    </row>
    <row r="624">
      <c r="A624"/>
      <c r="B624">
        <v>2</v>
      </c>
      <c r="C624" s="43">
        <f>INDEX(DarlObj,2)</f>
      </c>
      <c r="D624">
        <v>141</v>
      </c>
      <c r="E624" s="51">
        <f>IF(INDEX(DarlBelegt,2)=0,0,EOMONTH(INDEX(DarlAuszahlung,2),140)+1)</f>
      </c>
      <c r="F624" s="43">
        <f>IF($E624=0,0,YEAR($E624))</f>
      </c>
      <c r="G624" s="43">
        <f>IF(INDEX(DarlBindung,2)="",1,IF($E624&lt;=INDEX(DarlBindung,2),1,0))</f>
      </c>
      <c r="H624" s="43">
        <f>IF($G624=1,INDEX(DarlSollzins,2),INDEX(DarlAnschluss,2))</f>
      </c>
      <c r="I624" s="43">
        <f>IF(INDEX(DarlBelegt,2)=0,0,IF(INDEX(DarlOhneTilgung,2)=1,IF(INDEX(DarlBindung,2)="",1,$G624),IF($J624&gt;0.005,1,0)))</f>
      </c>
      <c r="J624" s="43">
        <f>IF($I623=0,0,$R623)</f>
      </c>
      <c r="K624" s="43">
        <f>IF($I624=0,0,IF(INDEX(DarlOhneTilgung,2)=1,0,IF(AND(INDEX(DarlTilgStart,2)&gt;0,$E624=INDEX(DarlTilgStart,2)),$J624*($H624+INDEX(DarlTilgung,2))/100/12,IF(AND($G624=0,$G623=1),MAX($K623,$J624*($H624+1)/100/12),$K623))))</f>
      </c>
      <c r="L624" s="43">
        <f>IF($I624=0,0,$J624*$H624/100/12)</f>
      </c>
      <c r="M624" s="43">
        <f>IF($I624=0,0,IF(OR(INDEX(DarlOhneTilgung,2)=1,AND(INDEX(DarlTilgStart,2)&gt;0,$E624&lt;INDEX(DarlTilgStart,2))),0,MIN(MAX(0,$K624-$L624),$J624)))</f>
      </c>
      <c r="N624" s="43">
        <f>IF($I624=0,0,MIN(SUMIFS(SondBetrag,SondDarl,2,SondDatum,"&gt;="&amp;$E624,SondDatum,"&lt;="&amp;EOMONTH($E624,0)),$J624-$M624))</f>
      </c>
      <c r="O624" s="43">
        <f>IF($I624=0,0,INDEX(DarlErsatzRate,2))</f>
      </c>
      <c r="P624" s="43">
        <f>IF($I624=0,0,$Q623*INDEX(DarlErsatzZins,2))</f>
      </c>
      <c r="Q624" s="43">
        <f>IF($I624=0,0,$Q623+$P624+$O624)</f>
      </c>
      <c r="R624" s="43">
        <f>IF($I624=0,0,$J624-$M624-$N624)</f>
      </c>
    </row>
    <row r="625">
      <c r="A625"/>
      <c r="B625">
        <v>2</v>
      </c>
      <c r="C625" s="43">
        <f>INDEX(DarlObj,2)</f>
      </c>
      <c r="D625">
        <v>142</v>
      </c>
      <c r="E625" s="51">
        <f>IF(INDEX(DarlBelegt,2)=0,0,EOMONTH(INDEX(DarlAuszahlung,2),141)+1)</f>
      </c>
      <c r="F625" s="43">
        <f>IF($E625=0,0,YEAR($E625))</f>
      </c>
      <c r="G625" s="43">
        <f>IF(INDEX(DarlBindung,2)="",1,IF($E625&lt;=INDEX(DarlBindung,2),1,0))</f>
      </c>
      <c r="H625" s="43">
        <f>IF($G625=1,INDEX(DarlSollzins,2),INDEX(DarlAnschluss,2))</f>
      </c>
      <c r="I625" s="43">
        <f>IF(INDEX(DarlBelegt,2)=0,0,IF(INDEX(DarlOhneTilgung,2)=1,IF(INDEX(DarlBindung,2)="",1,$G625),IF($J625&gt;0.005,1,0)))</f>
      </c>
      <c r="J625" s="43">
        <f>IF($I624=0,0,$R624)</f>
      </c>
      <c r="K625" s="43">
        <f>IF($I625=0,0,IF(INDEX(DarlOhneTilgung,2)=1,0,IF(AND(INDEX(DarlTilgStart,2)&gt;0,$E625=INDEX(DarlTilgStart,2)),$J625*($H625+INDEX(DarlTilgung,2))/100/12,IF(AND($G625=0,$G624=1),MAX($K624,$J625*($H625+1)/100/12),$K624))))</f>
      </c>
      <c r="L625" s="43">
        <f>IF($I625=0,0,$J625*$H625/100/12)</f>
      </c>
      <c r="M625" s="43">
        <f>IF($I625=0,0,IF(OR(INDEX(DarlOhneTilgung,2)=1,AND(INDEX(DarlTilgStart,2)&gt;0,$E625&lt;INDEX(DarlTilgStart,2))),0,MIN(MAX(0,$K625-$L625),$J625)))</f>
      </c>
      <c r="N625" s="43">
        <f>IF($I625=0,0,MIN(SUMIFS(SondBetrag,SondDarl,2,SondDatum,"&gt;="&amp;$E625,SondDatum,"&lt;="&amp;EOMONTH($E625,0)),$J625-$M625))</f>
      </c>
      <c r="O625" s="43">
        <f>IF($I625=0,0,INDEX(DarlErsatzRate,2))</f>
      </c>
      <c r="P625" s="43">
        <f>IF($I625=0,0,$Q624*INDEX(DarlErsatzZins,2))</f>
      </c>
      <c r="Q625" s="43">
        <f>IF($I625=0,0,$Q624+$P625+$O625)</f>
      </c>
      <c r="R625" s="43">
        <f>IF($I625=0,0,$J625-$M625-$N625)</f>
      </c>
    </row>
    <row r="626">
      <c r="A626"/>
      <c r="B626">
        <v>2</v>
      </c>
      <c r="C626" s="43">
        <f>INDEX(DarlObj,2)</f>
      </c>
      <c r="D626">
        <v>143</v>
      </c>
      <c r="E626" s="51">
        <f>IF(INDEX(DarlBelegt,2)=0,0,EOMONTH(INDEX(DarlAuszahlung,2),142)+1)</f>
      </c>
      <c r="F626" s="43">
        <f>IF($E626=0,0,YEAR($E626))</f>
      </c>
      <c r="G626" s="43">
        <f>IF(INDEX(DarlBindung,2)="",1,IF($E626&lt;=INDEX(DarlBindung,2),1,0))</f>
      </c>
      <c r="H626" s="43">
        <f>IF($G626=1,INDEX(DarlSollzins,2),INDEX(DarlAnschluss,2))</f>
      </c>
      <c r="I626" s="43">
        <f>IF(INDEX(DarlBelegt,2)=0,0,IF(INDEX(DarlOhneTilgung,2)=1,IF(INDEX(DarlBindung,2)="",1,$G626),IF($J626&gt;0.005,1,0)))</f>
      </c>
      <c r="J626" s="43">
        <f>IF($I625=0,0,$R625)</f>
      </c>
      <c r="K626" s="43">
        <f>IF($I626=0,0,IF(INDEX(DarlOhneTilgung,2)=1,0,IF(AND(INDEX(DarlTilgStart,2)&gt;0,$E626=INDEX(DarlTilgStart,2)),$J626*($H626+INDEX(DarlTilgung,2))/100/12,IF(AND($G626=0,$G625=1),MAX($K625,$J626*($H626+1)/100/12),$K625))))</f>
      </c>
      <c r="L626" s="43">
        <f>IF($I626=0,0,$J626*$H626/100/12)</f>
      </c>
      <c r="M626" s="43">
        <f>IF($I626=0,0,IF(OR(INDEX(DarlOhneTilgung,2)=1,AND(INDEX(DarlTilgStart,2)&gt;0,$E626&lt;INDEX(DarlTilgStart,2))),0,MIN(MAX(0,$K626-$L626),$J626)))</f>
      </c>
      <c r="N626" s="43">
        <f>IF($I626=0,0,MIN(SUMIFS(SondBetrag,SondDarl,2,SondDatum,"&gt;="&amp;$E626,SondDatum,"&lt;="&amp;EOMONTH($E626,0)),$J626-$M626))</f>
      </c>
      <c r="O626" s="43">
        <f>IF($I626=0,0,INDEX(DarlErsatzRate,2))</f>
      </c>
      <c r="P626" s="43">
        <f>IF($I626=0,0,$Q625*INDEX(DarlErsatzZins,2))</f>
      </c>
      <c r="Q626" s="43">
        <f>IF($I626=0,0,$Q625+$P626+$O626)</f>
      </c>
      <c r="R626" s="43">
        <f>IF($I626=0,0,$J626-$M626-$N626)</f>
      </c>
    </row>
    <row r="627">
      <c r="A627"/>
      <c r="B627">
        <v>2</v>
      </c>
      <c r="C627" s="43">
        <f>INDEX(DarlObj,2)</f>
      </c>
      <c r="D627">
        <v>144</v>
      </c>
      <c r="E627" s="51">
        <f>IF(INDEX(DarlBelegt,2)=0,0,EOMONTH(INDEX(DarlAuszahlung,2),143)+1)</f>
      </c>
      <c r="F627" s="43">
        <f>IF($E627=0,0,YEAR($E627))</f>
      </c>
      <c r="G627" s="43">
        <f>IF(INDEX(DarlBindung,2)="",1,IF($E627&lt;=INDEX(DarlBindung,2),1,0))</f>
      </c>
      <c r="H627" s="43">
        <f>IF($G627=1,INDEX(DarlSollzins,2),INDEX(DarlAnschluss,2))</f>
      </c>
      <c r="I627" s="43">
        <f>IF(INDEX(DarlBelegt,2)=0,0,IF(INDEX(DarlOhneTilgung,2)=1,IF(INDEX(DarlBindung,2)="",1,$G627),IF($J627&gt;0.005,1,0)))</f>
      </c>
      <c r="J627" s="43">
        <f>IF($I626=0,0,$R626)</f>
      </c>
      <c r="K627" s="43">
        <f>IF($I627=0,0,IF(INDEX(DarlOhneTilgung,2)=1,0,IF(AND(INDEX(DarlTilgStart,2)&gt;0,$E627=INDEX(DarlTilgStart,2)),$J627*($H627+INDEX(DarlTilgung,2))/100/12,IF(AND($G627=0,$G626=1),MAX($K626,$J627*($H627+1)/100/12),$K626))))</f>
      </c>
      <c r="L627" s="43">
        <f>IF($I627=0,0,$J627*$H627/100/12)</f>
      </c>
      <c r="M627" s="43">
        <f>IF($I627=0,0,IF(OR(INDEX(DarlOhneTilgung,2)=1,AND(INDEX(DarlTilgStart,2)&gt;0,$E627&lt;INDEX(DarlTilgStart,2))),0,MIN(MAX(0,$K627-$L627),$J627)))</f>
      </c>
      <c r="N627" s="43">
        <f>IF($I627=0,0,MIN(SUMIFS(SondBetrag,SondDarl,2,SondDatum,"&gt;="&amp;$E627,SondDatum,"&lt;="&amp;EOMONTH($E627,0)),$J627-$M627))</f>
      </c>
      <c r="O627" s="43">
        <f>IF($I627=0,0,INDEX(DarlErsatzRate,2))</f>
      </c>
      <c r="P627" s="43">
        <f>IF($I627=0,0,$Q626*INDEX(DarlErsatzZins,2))</f>
      </c>
      <c r="Q627" s="43">
        <f>IF($I627=0,0,$Q626+$P627+$O627)</f>
      </c>
      <c r="R627" s="43">
        <f>IF($I627=0,0,$J627-$M627-$N627)</f>
      </c>
    </row>
    <row r="628">
      <c r="A628"/>
      <c r="B628">
        <v>2</v>
      </c>
      <c r="C628" s="43">
        <f>INDEX(DarlObj,2)</f>
      </c>
      <c r="D628">
        <v>145</v>
      </c>
      <c r="E628" s="51">
        <f>IF(INDEX(DarlBelegt,2)=0,0,EOMONTH(INDEX(DarlAuszahlung,2),144)+1)</f>
      </c>
      <c r="F628" s="43">
        <f>IF($E628=0,0,YEAR($E628))</f>
      </c>
      <c r="G628" s="43">
        <f>IF(INDEX(DarlBindung,2)="",1,IF($E628&lt;=INDEX(DarlBindung,2),1,0))</f>
      </c>
      <c r="H628" s="43">
        <f>IF($G628=1,INDEX(DarlSollzins,2),INDEX(DarlAnschluss,2))</f>
      </c>
      <c r="I628" s="43">
        <f>IF(INDEX(DarlBelegt,2)=0,0,IF(INDEX(DarlOhneTilgung,2)=1,IF(INDEX(DarlBindung,2)="",1,$G628),IF($J628&gt;0.005,1,0)))</f>
      </c>
      <c r="J628" s="43">
        <f>IF($I627=0,0,$R627)</f>
      </c>
      <c r="K628" s="43">
        <f>IF($I628=0,0,IF(INDEX(DarlOhneTilgung,2)=1,0,IF(AND(INDEX(DarlTilgStart,2)&gt;0,$E628=INDEX(DarlTilgStart,2)),$J628*($H628+INDEX(DarlTilgung,2))/100/12,IF(AND($G628=0,$G627=1),MAX($K627,$J628*($H628+1)/100/12),$K627))))</f>
      </c>
      <c r="L628" s="43">
        <f>IF($I628=0,0,$J628*$H628/100/12)</f>
      </c>
      <c r="M628" s="43">
        <f>IF($I628=0,0,IF(OR(INDEX(DarlOhneTilgung,2)=1,AND(INDEX(DarlTilgStart,2)&gt;0,$E628&lt;INDEX(DarlTilgStart,2))),0,MIN(MAX(0,$K628-$L628),$J628)))</f>
      </c>
      <c r="N628" s="43">
        <f>IF($I628=0,0,MIN(SUMIFS(SondBetrag,SondDarl,2,SondDatum,"&gt;="&amp;$E628,SondDatum,"&lt;="&amp;EOMONTH($E628,0)),$J628-$M628))</f>
      </c>
      <c r="O628" s="43">
        <f>IF($I628=0,0,INDEX(DarlErsatzRate,2))</f>
      </c>
      <c r="P628" s="43">
        <f>IF($I628=0,0,$Q627*INDEX(DarlErsatzZins,2))</f>
      </c>
      <c r="Q628" s="43">
        <f>IF($I628=0,0,$Q627+$P628+$O628)</f>
      </c>
      <c r="R628" s="43">
        <f>IF($I628=0,0,$J628-$M628-$N628)</f>
      </c>
    </row>
    <row r="629">
      <c r="A629"/>
      <c r="B629">
        <v>2</v>
      </c>
      <c r="C629" s="43">
        <f>INDEX(DarlObj,2)</f>
      </c>
      <c r="D629">
        <v>146</v>
      </c>
      <c r="E629" s="51">
        <f>IF(INDEX(DarlBelegt,2)=0,0,EOMONTH(INDEX(DarlAuszahlung,2),145)+1)</f>
      </c>
      <c r="F629" s="43">
        <f>IF($E629=0,0,YEAR($E629))</f>
      </c>
      <c r="G629" s="43">
        <f>IF(INDEX(DarlBindung,2)="",1,IF($E629&lt;=INDEX(DarlBindung,2),1,0))</f>
      </c>
      <c r="H629" s="43">
        <f>IF($G629=1,INDEX(DarlSollzins,2),INDEX(DarlAnschluss,2))</f>
      </c>
      <c r="I629" s="43">
        <f>IF(INDEX(DarlBelegt,2)=0,0,IF(INDEX(DarlOhneTilgung,2)=1,IF(INDEX(DarlBindung,2)="",1,$G629),IF($J629&gt;0.005,1,0)))</f>
      </c>
      <c r="J629" s="43">
        <f>IF($I628=0,0,$R628)</f>
      </c>
      <c r="K629" s="43">
        <f>IF($I629=0,0,IF(INDEX(DarlOhneTilgung,2)=1,0,IF(AND(INDEX(DarlTilgStart,2)&gt;0,$E629=INDEX(DarlTilgStart,2)),$J629*($H629+INDEX(DarlTilgung,2))/100/12,IF(AND($G629=0,$G628=1),MAX($K628,$J629*($H629+1)/100/12),$K628))))</f>
      </c>
      <c r="L629" s="43">
        <f>IF($I629=0,0,$J629*$H629/100/12)</f>
      </c>
      <c r="M629" s="43">
        <f>IF($I629=0,0,IF(OR(INDEX(DarlOhneTilgung,2)=1,AND(INDEX(DarlTilgStart,2)&gt;0,$E629&lt;INDEX(DarlTilgStart,2))),0,MIN(MAX(0,$K629-$L629),$J629)))</f>
      </c>
      <c r="N629" s="43">
        <f>IF($I629=0,0,MIN(SUMIFS(SondBetrag,SondDarl,2,SondDatum,"&gt;="&amp;$E629,SondDatum,"&lt;="&amp;EOMONTH($E629,0)),$J629-$M629))</f>
      </c>
      <c r="O629" s="43">
        <f>IF($I629=0,0,INDEX(DarlErsatzRate,2))</f>
      </c>
      <c r="P629" s="43">
        <f>IF($I629=0,0,$Q628*INDEX(DarlErsatzZins,2))</f>
      </c>
      <c r="Q629" s="43">
        <f>IF($I629=0,0,$Q628+$P629+$O629)</f>
      </c>
      <c r="R629" s="43">
        <f>IF($I629=0,0,$J629-$M629-$N629)</f>
      </c>
    </row>
    <row r="630">
      <c r="A630"/>
      <c r="B630">
        <v>2</v>
      </c>
      <c r="C630" s="43">
        <f>INDEX(DarlObj,2)</f>
      </c>
      <c r="D630">
        <v>147</v>
      </c>
      <c r="E630" s="51">
        <f>IF(INDEX(DarlBelegt,2)=0,0,EOMONTH(INDEX(DarlAuszahlung,2),146)+1)</f>
      </c>
      <c r="F630" s="43">
        <f>IF($E630=0,0,YEAR($E630))</f>
      </c>
      <c r="G630" s="43">
        <f>IF(INDEX(DarlBindung,2)="",1,IF($E630&lt;=INDEX(DarlBindung,2),1,0))</f>
      </c>
      <c r="H630" s="43">
        <f>IF($G630=1,INDEX(DarlSollzins,2),INDEX(DarlAnschluss,2))</f>
      </c>
      <c r="I630" s="43">
        <f>IF(INDEX(DarlBelegt,2)=0,0,IF(INDEX(DarlOhneTilgung,2)=1,IF(INDEX(DarlBindung,2)="",1,$G630),IF($J630&gt;0.005,1,0)))</f>
      </c>
      <c r="J630" s="43">
        <f>IF($I629=0,0,$R629)</f>
      </c>
      <c r="K630" s="43">
        <f>IF($I630=0,0,IF(INDEX(DarlOhneTilgung,2)=1,0,IF(AND(INDEX(DarlTilgStart,2)&gt;0,$E630=INDEX(DarlTilgStart,2)),$J630*($H630+INDEX(DarlTilgung,2))/100/12,IF(AND($G630=0,$G629=1),MAX($K629,$J630*($H630+1)/100/12),$K629))))</f>
      </c>
      <c r="L630" s="43">
        <f>IF($I630=0,0,$J630*$H630/100/12)</f>
      </c>
      <c r="M630" s="43">
        <f>IF($I630=0,0,IF(OR(INDEX(DarlOhneTilgung,2)=1,AND(INDEX(DarlTilgStart,2)&gt;0,$E630&lt;INDEX(DarlTilgStart,2))),0,MIN(MAX(0,$K630-$L630),$J630)))</f>
      </c>
      <c r="N630" s="43">
        <f>IF($I630=0,0,MIN(SUMIFS(SondBetrag,SondDarl,2,SondDatum,"&gt;="&amp;$E630,SondDatum,"&lt;="&amp;EOMONTH($E630,0)),$J630-$M630))</f>
      </c>
      <c r="O630" s="43">
        <f>IF($I630=0,0,INDEX(DarlErsatzRate,2))</f>
      </c>
      <c r="P630" s="43">
        <f>IF($I630=0,0,$Q629*INDEX(DarlErsatzZins,2))</f>
      </c>
      <c r="Q630" s="43">
        <f>IF($I630=0,0,$Q629+$P630+$O630)</f>
      </c>
      <c r="R630" s="43">
        <f>IF($I630=0,0,$J630-$M630-$N630)</f>
      </c>
    </row>
    <row r="631">
      <c r="A631"/>
      <c r="B631">
        <v>2</v>
      </c>
      <c r="C631" s="43">
        <f>INDEX(DarlObj,2)</f>
      </c>
      <c r="D631">
        <v>148</v>
      </c>
      <c r="E631" s="51">
        <f>IF(INDEX(DarlBelegt,2)=0,0,EOMONTH(INDEX(DarlAuszahlung,2),147)+1)</f>
      </c>
      <c r="F631" s="43">
        <f>IF($E631=0,0,YEAR($E631))</f>
      </c>
      <c r="G631" s="43">
        <f>IF(INDEX(DarlBindung,2)="",1,IF($E631&lt;=INDEX(DarlBindung,2),1,0))</f>
      </c>
      <c r="H631" s="43">
        <f>IF($G631=1,INDEX(DarlSollzins,2),INDEX(DarlAnschluss,2))</f>
      </c>
      <c r="I631" s="43">
        <f>IF(INDEX(DarlBelegt,2)=0,0,IF(INDEX(DarlOhneTilgung,2)=1,IF(INDEX(DarlBindung,2)="",1,$G631),IF($J631&gt;0.005,1,0)))</f>
      </c>
      <c r="J631" s="43">
        <f>IF($I630=0,0,$R630)</f>
      </c>
      <c r="K631" s="43">
        <f>IF($I631=0,0,IF(INDEX(DarlOhneTilgung,2)=1,0,IF(AND(INDEX(DarlTilgStart,2)&gt;0,$E631=INDEX(DarlTilgStart,2)),$J631*($H631+INDEX(DarlTilgung,2))/100/12,IF(AND($G631=0,$G630=1),MAX($K630,$J631*($H631+1)/100/12),$K630))))</f>
      </c>
      <c r="L631" s="43">
        <f>IF($I631=0,0,$J631*$H631/100/12)</f>
      </c>
      <c r="M631" s="43">
        <f>IF($I631=0,0,IF(OR(INDEX(DarlOhneTilgung,2)=1,AND(INDEX(DarlTilgStart,2)&gt;0,$E631&lt;INDEX(DarlTilgStart,2))),0,MIN(MAX(0,$K631-$L631),$J631)))</f>
      </c>
      <c r="N631" s="43">
        <f>IF($I631=0,0,MIN(SUMIFS(SondBetrag,SondDarl,2,SondDatum,"&gt;="&amp;$E631,SondDatum,"&lt;="&amp;EOMONTH($E631,0)),$J631-$M631))</f>
      </c>
      <c r="O631" s="43">
        <f>IF($I631=0,0,INDEX(DarlErsatzRate,2))</f>
      </c>
      <c r="P631" s="43">
        <f>IF($I631=0,0,$Q630*INDEX(DarlErsatzZins,2))</f>
      </c>
      <c r="Q631" s="43">
        <f>IF($I631=0,0,$Q630+$P631+$O631)</f>
      </c>
      <c r="R631" s="43">
        <f>IF($I631=0,0,$J631-$M631-$N631)</f>
      </c>
    </row>
    <row r="632">
      <c r="A632"/>
      <c r="B632">
        <v>2</v>
      </c>
      <c r="C632" s="43">
        <f>INDEX(DarlObj,2)</f>
      </c>
      <c r="D632">
        <v>149</v>
      </c>
      <c r="E632" s="51">
        <f>IF(INDEX(DarlBelegt,2)=0,0,EOMONTH(INDEX(DarlAuszahlung,2),148)+1)</f>
      </c>
      <c r="F632" s="43">
        <f>IF($E632=0,0,YEAR($E632))</f>
      </c>
      <c r="G632" s="43">
        <f>IF(INDEX(DarlBindung,2)="",1,IF($E632&lt;=INDEX(DarlBindung,2),1,0))</f>
      </c>
      <c r="H632" s="43">
        <f>IF($G632=1,INDEX(DarlSollzins,2),INDEX(DarlAnschluss,2))</f>
      </c>
      <c r="I632" s="43">
        <f>IF(INDEX(DarlBelegt,2)=0,0,IF(INDEX(DarlOhneTilgung,2)=1,IF(INDEX(DarlBindung,2)="",1,$G632),IF($J632&gt;0.005,1,0)))</f>
      </c>
      <c r="J632" s="43">
        <f>IF($I631=0,0,$R631)</f>
      </c>
      <c r="K632" s="43">
        <f>IF($I632=0,0,IF(INDEX(DarlOhneTilgung,2)=1,0,IF(AND(INDEX(DarlTilgStart,2)&gt;0,$E632=INDEX(DarlTilgStart,2)),$J632*($H632+INDEX(DarlTilgung,2))/100/12,IF(AND($G632=0,$G631=1),MAX($K631,$J632*($H632+1)/100/12),$K631))))</f>
      </c>
      <c r="L632" s="43">
        <f>IF($I632=0,0,$J632*$H632/100/12)</f>
      </c>
      <c r="M632" s="43">
        <f>IF($I632=0,0,IF(OR(INDEX(DarlOhneTilgung,2)=1,AND(INDEX(DarlTilgStart,2)&gt;0,$E632&lt;INDEX(DarlTilgStart,2))),0,MIN(MAX(0,$K632-$L632),$J632)))</f>
      </c>
      <c r="N632" s="43">
        <f>IF($I632=0,0,MIN(SUMIFS(SondBetrag,SondDarl,2,SondDatum,"&gt;="&amp;$E632,SondDatum,"&lt;="&amp;EOMONTH($E632,0)),$J632-$M632))</f>
      </c>
      <c r="O632" s="43">
        <f>IF($I632=0,0,INDEX(DarlErsatzRate,2))</f>
      </c>
      <c r="P632" s="43">
        <f>IF($I632=0,0,$Q631*INDEX(DarlErsatzZins,2))</f>
      </c>
      <c r="Q632" s="43">
        <f>IF($I632=0,0,$Q631+$P632+$O632)</f>
      </c>
      <c r="R632" s="43">
        <f>IF($I632=0,0,$J632-$M632-$N632)</f>
      </c>
    </row>
    <row r="633">
      <c r="A633"/>
      <c r="B633">
        <v>2</v>
      </c>
      <c r="C633" s="43">
        <f>INDEX(DarlObj,2)</f>
      </c>
      <c r="D633">
        <v>150</v>
      </c>
      <c r="E633" s="51">
        <f>IF(INDEX(DarlBelegt,2)=0,0,EOMONTH(INDEX(DarlAuszahlung,2),149)+1)</f>
      </c>
      <c r="F633" s="43">
        <f>IF($E633=0,0,YEAR($E633))</f>
      </c>
      <c r="G633" s="43">
        <f>IF(INDEX(DarlBindung,2)="",1,IF($E633&lt;=INDEX(DarlBindung,2),1,0))</f>
      </c>
      <c r="H633" s="43">
        <f>IF($G633=1,INDEX(DarlSollzins,2),INDEX(DarlAnschluss,2))</f>
      </c>
      <c r="I633" s="43">
        <f>IF(INDEX(DarlBelegt,2)=0,0,IF(INDEX(DarlOhneTilgung,2)=1,IF(INDEX(DarlBindung,2)="",1,$G633),IF($J633&gt;0.005,1,0)))</f>
      </c>
      <c r="J633" s="43">
        <f>IF($I632=0,0,$R632)</f>
      </c>
      <c r="K633" s="43">
        <f>IF($I633=0,0,IF(INDEX(DarlOhneTilgung,2)=1,0,IF(AND(INDEX(DarlTilgStart,2)&gt;0,$E633=INDEX(DarlTilgStart,2)),$J633*($H633+INDEX(DarlTilgung,2))/100/12,IF(AND($G633=0,$G632=1),MAX($K632,$J633*($H633+1)/100/12),$K632))))</f>
      </c>
      <c r="L633" s="43">
        <f>IF($I633=0,0,$J633*$H633/100/12)</f>
      </c>
      <c r="M633" s="43">
        <f>IF($I633=0,0,IF(OR(INDEX(DarlOhneTilgung,2)=1,AND(INDEX(DarlTilgStart,2)&gt;0,$E633&lt;INDEX(DarlTilgStart,2))),0,MIN(MAX(0,$K633-$L633),$J633)))</f>
      </c>
      <c r="N633" s="43">
        <f>IF($I633=0,0,MIN(SUMIFS(SondBetrag,SondDarl,2,SondDatum,"&gt;="&amp;$E633,SondDatum,"&lt;="&amp;EOMONTH($E633,0)),$J633-$M633))</f>
      </c>
      <c r="O633" s="43">
        <f>IF($I633=0,0,INDEX(DarlErsatzRate,2))</f>
      </c>
      <c r="P633" s="43">
        <f>IF($I633=0,0,$Q632*INDEX(DarlErsatzZins,2))</f>
      </c>
      <c r="Q633" s="43">
        <f>IF($I633=0,0,$Q632+$P633+$O633)</f>
      </c>
      <c r="R633" s="43">
        <f>IF($I633=0,0,$J633-$M633-$N633)</f>
      </c>
    </row>
    <row r="634">
      <c r="A634"/>
      <c r="B634">
        <v>2</v>
      </c>
      <c r="C634" s="43">
        <f>INDEX(DarlObj,2)</f>
      </c>
      <c r="D634">
        <v>151</v>
      </c>
      <c r="E634" s="51">
        <f>IF(INDEX(DarlBelegt,2)=0,0,EOMONTH(INDEX(DarlAuszahlung,2),150)+1)</f>
      </c>
      <c r="F634" s="43">
        <f>IF($E634=0,0,YEAR($E634))</f>
      </c>
      <c r="G634" s="43">
        <f>IF(INDEX(DarlBindung,2)="",1,IF($E634&lt;=INDEX(DarlBindung,2),1,0))</f>
      </c>
      <c r="H634" s="43">
        <f>IF($G634=1,INDEX(DarlSollzins,2),INDEX(DarlAnschluss,2))</f>
      </c>
      <c r="I634" s="43">
        <f>IF(INDEX(DarlBelegt,2)=0,0,IF(INDEX(DarlOhneTilgung,2)=1,IF(INDEX(DarlBindung,2)="",1,$G634),IF($J634&gt;0.005,1,0)))</f>
      </c>
      <c r="J634" s="43">
        <f>IF($I633=0,0,$R633)</f>
      </c>
      <c r="K634" s="43">
        <f>IF($I634=0,0,IF(INDEX(DarlOhneTilgung,2)=1,0,IF(AND(INDEX(DarlTilgStart,2)&gt;0,$E634=INDEX(DarlTilgStart,2)),$J634*($H634+INDEX(DarlTilgung,2))/100/12,IF(AND($G634=0,$G633=1),MAX($K633,$J634*($H634+1)/100/12),$K633))))</f>
      </c>
      <c r="L634" s="43">
        <f>IF($I634=0,0,$J634*$H634/100/12)</f>
      </c>
      <c r="M634" s="43">
        <f>IF($I634=0,0,IF(OR(INDEX(DarlOhneTilgung,2)=1,AND(INDEX(DarlTilgStart,2)&gt;0,$E634&lt;INDEX(DarlTilgStart,2))),0,MIN(MAX(0,$K634-$L634),$J634)))</f>
      </c>
      <c r="N634" s="43">
        <f>IF($I634=0,0,MIN(SUMIFS(SondBetrag,SondDarl,2,SondDatum,"&gt;="&amp;$E634,SondDatum,"&lt;="&amp;EOMONTH($E634,0)),$J634-$M634))</f>
      </c>
      <c r="O634" s="43">
        <f>IF($I634=0,0,INDEX(DarlErsatzRate,2))</f>
      </c>
      <c r="P634" s="43">
        <f>IF($I634=0,0,$Q633*INDEX(DarlErsatzZins,2))</f>
      </c>
      <c r="Q634" s="43">
        <f>IF($I634=0,0,$Q633+$P634+$O634)</f>
      </c>
      <c r="R634" s="43">
        <f>IF($I634=0,0,$J634-$M634-$N634)</f>
      </c>
    </row>
    <row r="635">
      <c r="A635"/>
      <c r="B635">
        <v>2</v>
      </c>
      <c r="C635" s="43">
        <f>INDEX(DarlObj,2)</f>
      </c>
      <c r="D635">
        <v>152</v>
      </c>
      <c r="E635" s="51">
        <f>IF(INDEX(DarlBelegt,2)=0,0,EOMONTH(INDEX(DarlAuszahlung,2),151)+1)</f>
      </c>
      <c r="F635" s="43">
        <f>IF($E635=0,0,YEAR($E635))</f>
      </c>
      <c r="G635" s="43">
        <f>IF(INDEX(DarlBindung,2)="",1,IF($E635&lt;=INDEX(DarlBindung,2),1,0))</f>
      </c>
      <c r="H635" s="43">
        <f>IF($G635=1,INDEX(DarlSollzins,2),INDEX(DarlAnschluss,2))</f>
      </c>
      <c r="I635" s="43">
        <f>IF(INDEX(DarlBelegt,2)=0,0,IF(INDEX(DarlOhneTilgung,2)=1,IF(INDEX(DarlBindung,2)="",1,$G635),IF($J635&gt;0.005,1,0)))</f>
      </c>
      <c r="J635" s="43">
        <f>IF($I634=0,0,$R634)</f>
      </c>
      <c r="K635" s="43">
        <f>IF($I635=0,0,IF(INDEX(DarlOhneTilgung,2)=1,0,IF(AND(INDEX(DarlTilgStart,2)&gt;0,$E635=INDEX(DarlTilgStart,2)),$J635*($H635+INDEX(DarlTilgung,2))/100/12,IF(AND($G635=0,$G634=1),MAX($K634,$J635*($H635+1)/100/12),$K634))))</f>
      </c>
      <c r="L635" s="43">
        <f>IF($I635=0,0,$J635*$H635/100/12)</f>
      </c>
      <c r="M635" s="43">
        <f>IF($I635=0,0,IF(OR(INDEX(DarlOhneTilgung,2)=1,AND(INDEX(DarlTilgStart,2)&gt;0,$E635&lt;INDEX(DarlTilgStart,2))),0,MIN(MAX(0,$K635-$L635),$J635)))</f>
      </c>
      <c r="N635" s="43">
        <f>IF($I635=0,0,MIN(SUMIFS(SondBetrag,SondDarl,2,SondDatum,"&gt;="&amp;$E635,SondDatum,"&lt;="&amp;EOMONTH($E635,0)),$J635-$M635))</f>
      </c>
      <c r="O635" s="43">
        <f>IF($I635=0,0,INDEX(DarlErsatzRate,2))</f>
      </c>
      <c r="P635" s="43">
        <f>IF($I635=0,0,$Q634*INDEX(DarlErsatzZins,2))</f>
      </c>
      <c r="Q635" s="43">
        <f>IF($I635=0,0,$Q634+$P635+$O635)</f>
      </c>
      <c r="R635" s="43">
        <f>IF($I635=0,0,$J635-$M635-$N635)</f>
      </c>
    </row>
    <row r="636">
      <c r="A636"/>
      <c r="B636">
        <v>2</v>
      </c>
      <c r="C636" s="43">
        <f>INDEX(DarlObj,2)</f>
      </c>
      <c r="D636">
        <v>153</v>
      </c>
      <c r="E636" s="51">
        <f>IF(INDEX(DarlBelegt,2)=0,0,EOMONTH(INDEX(DarlAuszahlung,2),152)+1)</f>
      </c>
      <c r="F636" s="43">
        <f>IF($E636=0,0,YEAR($E636))</f>
      </c>
      <c r="G636" s="43">
        <f>IF(INDEX(DarlBindung,2)="",1,IF($E636&lt;=INDEX(DarlBindung,2),1,0))</f>
      </c>
      <c r="H636" s="43">
        <f>IF($G636=1,INDEX(DarlSollzins,2),INDEX(DarlAnschluss,2))</f>
      </c>
      <c r="I636" s="43">
        <f>IF(INDEX(DarlBelegt,2)=0,0,IF(INDEX(DarlOhneTilgung,2)=1,IF(INDEX(DarlBindung,2)="",1,$G636),IF($J636&gt;0.005,1,0)))</f>
      </c>
      <c r="J636" s="43">
        <f>IF($I635=0,0,$R635)</f>
      </c>
      <c r="K636" s="43">
        <f>IF($I636=0,0,IF(INDEX(DarlOhneTilgung,2)=1,0,IF(AND(INDEX(DarlTilgStart,2)&gt;0,$E636=INDEX(DarlTilgStart,2)),$J636*($H636+INDEX(DarlTilgung,2))/100/12,IF(AND($G636=0,$G635=1),MAX($K635,$J636*($H636+1)/100/12),$K635))))</f>
      </c>
      <c r="L636" s="43">
        <f>IF($I636=0,0,$J636*$H636/100/12)</f>
      </c>
      <c r="M636" s="43">
        <f>IF($I636=0,0,IF(OR(INDEX(DarlOhneTilgung,2)=1,AND(INDEX(DarlTilgStart,2)&gt;0,$E636&lt;INDEX(DarlTilgStart,2))),0,MIN(MAX(0,$K636-$L636),$J636)))</f>
      </c>
      <c r="N636" s="43">
        <f>IF($I636=0,0,MIN(SUMIFS(SondBetrag,SondDarl,2,SondDatum,"&gt;="&amp;$E636,SondDatum,"&lt;="&amp;EOMONTH($E636,0)),$J636-$M636))</f>
      </c>
      <c r="O636" s="43">
        <f>IF($I636=0,0,INDEX(DarlErsatzRate,2))</f>
      </c>
      <c r="P636" s="43">
        <f>IF($I636=0,0,$Q635*INDEX(DarlErsatzZins,2))</f>
      </c>
      <c r="Q636" s="43">
        <f>IF($I636=0,0,$Q635+$P636+$O636)</f>
      </c>
      <c r="R636" s="43">
        <f>IF($I636=0,0,$J636-$M636-$N636)</f>
      </c>
    </row>
    <row r="637">
      <c r="A637"/>
      <c r="B637">
        <v>2</v>
      </c>
      <c r="C637" s="43">
        <f>INDEX(DarlObj,2)</f>
      </c>
      <c r="D637">
        <v>154</v>
      </c>
      <c r="E637" s="51">
        <f>IF(INDEX(DarlBelegt,2)=0,0,EOMONTH(INDEX(DarlAuszahlung,2),153)+1)</f>
      </c>
      <c r="F637" s="43">
        <f>IF($E637=0,0,YEAR($E637))</f>
      </c>
      <c r="G637" s="43">
        <f>IF(INDEX(DarlBindung,2)="",1,IF($E637&lt;=INDEX(DarlBindung,2),1,0))</f>
      </c>
      <c r="H637" s="43">
        <f>IF($G637=1,INDEX(DarlSollzins,2),INDEX(DarlAnschluss,2))</f>
      </c>
      <c r="I637" s="43">
        <f>IF(INDEX(DarlBelegt,2)=0,0,IF(INDEX(DarlOhneTilgung,2)=1,IF(INDEX(DarlBindung,2)="",1,$G637),IF($J637&gt;0.005,1,0)))</f>
      </c>
      <c r="J637" s="43">
        <f>IF($I636=0,0,$R636)</f>
      </c>
      <c r="K637" s="43">
        <f>IF($I637=0,0,IF(INDEX(DarlOhneTilgung,2)=1,0,IF(AND(INDEX(DarlTilgStart,2)&gt;0,$E637=INDEX(DarlTilgStart,2)),$J637*($H637+INDEX(DarlTilgung,2))/100/12,IF(AND($G637=0,$G636=1),MAX($K636,$J637*($H637+1)/100/12),$K636))))</f>
      </c>
      <c r="L637" s="43">
        <f>IF($I637=0,0,$J637*$H637/100/12)</f>
      </c>
      <c r="M637" s="43">
        <f>IF($I637=0,0,IF(OR(INDEX(DarlOhneTilgung,2)=1,AND(INDEX(DarlTilgStart,2)&gt;0,$E637&lt;INDEX(DarlTilgStart,2))),0,MIN(MAX(0,$K637-$L637),$J637)))</f>
      </c>
      <c r="N637" s="43">
        <f>IF($I637=0,0,MIN(SUMIFS(SondBetrag,SondDarl,2,SondDatum,"&gt;="&amp;$E637,SondDatum,"&lt;="&amp;EOMONTH($E637,0)),$J637-$M637))</f>
      </c>
      <c r="O637" s="43">
        <f>IF($I637=0,0,INDEX(DarlErsatzRate,2))</f>
      </c>
      <c r="P637" s="43">
        <f>IF($I637=0,0,$Q636*INDEX(DarlErsatzZins,2))</f>
      </c>
      <c r="Q637" s="43">
        <f>IF($I637=0,0,$Q636+$P637+$O637)</f>
      </c>
      <c r="R637" s="43">
        <f>IF($I637=0,0,$J637-$M637-$N637)</f>
      </c>
    </row>
    <row r="638">
      <c r="A638"/>
      <c r="B638">
        <v>2</v>
      </c>
      <c r="C638" s="43">
        <f>INDEX(DarlObj,2)</f>
      </c>
      <c r="D638">
        <v>155</v>
      </c>
      <c r="E638" s="51">
        <f>IF(INDEX(DarlBelegt,2)=0,0,EOMONTH(INDEX(DarlAuszahlung,2),154)+1)</f>
      </c>
      <c r="F638" s="43">
        <f>IF($E638=0,0,YEAR($E638))</f>
      </c>
      <c r="G638" s="43">
        <f>IF(INDEX(DarlBindung,2)="",1,IF($E638&lt;=INDEX(DarlBindung,2),1,0))</f>
      </c>
      <c r="H638" s="43">
        <f>IF($G638=1,INDEX(DarlSollzins,2),INDEX(DarlAnschluss,2))</f>
      </c>
      <c r="I638" s="43">
        <f>IF(INDEX(DarlBelegt,2)=0,0,IF(INDEX(DarlOhneTilgung,2)=1,IF(INDEX(DarlBindung,2)="",1,$G638),IF($J638&gt;0.005,1,0)))</f>
      </c>
      <c r="J638" s="43">
        <f>IF($I637=0,0,$R637)</f>
      </c>
      <c r="K638" s="43">
        <f>IF($I638=0,0,IF(INDEX(DarlOhneTilgung,2)=1,0,IF(AND(INDEX(DarlTilgStart,2)&gt;0,$E638=INDEX(DarlTilgStart,2)),$J638*($H638+INDEX(DarlTilgung,2))/100/12,IF(AND($G638=0,$G637=1),MAX($K637,$J638*($H638+1)/100/12),$K637))))</f>
      </c>
      <c r="L638" s="43">
        <f>IF($I638=0,0,$J638*$H638/100/12)</f>
      </c>
      <c r="M638" s="43">
        <f>IF($I638=0,0,IF(OR(INDEX(DarlOhneTilgung,2)=1,AND(INDEX(DarlTilgStart,2)&gt;0,$E638&lt;INDEX(DarlTilgStart,2))),0,MIN(MAX(0,$K638-$L638),$J638)))</f>
      </c>
      <c r="N638" s="43">
        <f>IF($I638=0,0,MIN(SUMIFS(SondBetrag,SondDarl,2,SondDatum,"&gt;="&amp;$E638,SondDatum,"&lt;="&amp;EOMONTH($E638,0)),$J638-$M638))</f>
      </c>
      <c r="O638" s="43">
        <f>IF($I638=0,0,INDEX(DarlErsatzRate,2))</f>
      </c>
      <c r="P638" s="43">
        <f>IF($I638=0,0,$Q637*INDEX(DarlErsatzZins,2))</f>
      </c>
      <c r="Q638" s="43">
        <f>IF($I638=0,0,$Q637+$P638+$O638)</f>
      </c>
      <c r="R638" s="43">
        <f>IF($I638=0,0,$J638-$M638-$N638)</f>
      </c>
    </row>
    <row r="639">
      <c r="A639"/>
      <c r="B639">
        <v>2</v>
      </c>
      <c r="C639" s="43">
        <f>INDEX(DarlObj,2)</f>
      </c>
      <c r="D639">
        <v>156</v>
      </c>
      <c r="E639" s="51">
        <f>IF(INDEX(DarlBelegt,2)=0,0,EOMONTH(INDEX(DarlAuszahlung,2),155)+1)</f>
      </c>
      <c r="F639" s="43">
        <f>IF($E639=0,0,YEAR($E639))</f>
      </c>
      <c r="G639" s="43">
        <f>IF(INDEX(DarlBindung,2)="",1,IF($E639&lt;=INDEX(DarlBindung,2),1,0))</f>
      </c>
      <c r="H639" s="43">
        <f>IF($G639=1,INDEX(DarlSollzins,2),INDEX(DarlAnschluss,2))</f>
      </c>
      <c r="I639" s="43">
        <f>IF(INDEX(DarlBelegt,2)=0,0,IF(INDEX(DarlOhneTilgung,2)=1,IF(INDEX(DarlBindung,2)="",1,$G639),IF($J639&gt;0.005,1,0)))</f>
      </c>
      <c r="J639" s="43">
        <f>IF($I638=0,0,$R638)</f>
      </c>
      <c r="K639" s="43">
        <f>IF($I639=0,0,IF(INDEX(DarlOhneTilgung,2)=1,0,IF(AND(INDEX(DarlTilgStart,2)&gt;0,$E639=INDEX(DarlTilgStart,2)),$J639*($H639+INDEX(DarlTilgung,2))/100/12,IF(AND($G639=0,$G638=1),MAX($K638,$J639*($H639+1)/100/12),$K638))))</f>
      </c>
      <c r="L639" s="43">
        <f>IF($I639=0,0,$J639*$H639/100/12)</f>
      </c>
      <c r="M639" s="43">
        <f>IF($I639=0,0,IF(OR(INDEX(DarlOhneTilgung,2)=1,AND(INDEX(DarlTilgStart,2)&gt;0,$E639&lt;INDEX(DarlTilgStart,2))),0,MIN(MAX(0,$K639-$L639),$J639)))</f>
      </c>
      <c r="N639" s="43">
        <f>IF($I639=0,0,MIN(SUMIFS(SondBetrag,SondDarl,2,SondDatum,"&gt;="&amp;$E639,SondDatum,"&lt;="&amp;EOMONTH($E639,0)),$J639-$M639))</f>
      </c>
      <c r="O639" s="43">
        <f>IF($I639=0,0,INDEX(DarlErsatzRate,2))</f>
      </c>
      <c r="P639" s="43">
        <f>IF($I639=0,0,$Q638*INDEX(DarlErsatzZins,2))</f>
      </c>
      <c r="Q639" s="43">
        <f>IF($I639=0,0,$Q638+$P639+$O639)</f>
      </c>
      <c r="R639" s="43">
        <f>IF($I639=0,0,$J639-$M639-$N639)</f>
      </c>
    </row>
    <row r="640">
      <c r="A640"/>
      <c r="B640">
        <v>2</v>
      </c>
      <c r="C640" s="43">
        <f>INDEX(DarlObj,2)</f>
      </c>
      <c r="D640">
        <v>157</v>
      </c>
      <c r="E640" s="51">
        <f>IF(INDEX(DarlBelegt,2)=0,0,EOMONTH(INDEX(DarlAuszahlung,2),156)+1)</f>
      </c>
      <c r="F640" s="43">
        <f>IF($E640=0,0,YEAR($E640))</f>
      </c>
      <c r="G640" s="43">
        <f>IF(INDEX(DarlBindung,2)="",1,IF($E640&lt;=INDEX(DarlBindung,2),1,0))</f>
      </c>
      <c r="H640" s="43">
        <f>IF($G640=1,INDEX(DarlSollzins,2),INDEX(DarlAnschluss,2))</f>
      </c>
      <c r="I640" s="43">
        <f>IF(INDEX(DarlBelegt,2)=0,0,IF(INDEX(DarlOhneTilgung,2)=1,IF(INDEX(DarlBindung,2)="",1,$G640),IF($J640&gt;0.005,1,0)))</f>
      </c>
      <c r="J640" s="43">
        <f>IF($I639=0,0,$R639)</f>
      </c>
      <c r="K640" s="43">
        <f>IF($I640=0,0,IF(INDEX(DarlOhneTilgung,2)=1,0,IF(AND(INDEX(DarlTilgStart,2)&gt;0,$E640=INDEX(DarlTilgStart,2)),$J640*($H640+INDEX(DarlTilgung,2))/100/12,IF(AND($G640=0,$G639=1),MAX($K639,$J640*($H640+1)/100/12),$K639))))</f>
      </c>
      <c r="L640" s="43">
        <f>IF($I640=0,0,$J640*$H640/100/12)</f>
      </c>
      <c r="M640" s="43">
        <f>IF($I640=0,0,IF(OR(INDEX(DarlOhneTilgung,2)=1,AND(INDEX(DarlTilgStart,2)&gt;0,$E640&lt;INDEX(DarlTilgStart,2))),0,MIN(MAX(0,$K640-$L640),$J640)))</f>
      </c>
      <c r="N640" s="43">
        <f>IF($I640=0,0,MIN(SUMIFS(SondBetrag,SondDarl,2,SondDatum,"&gt;="&amp;$E640,SondDatum,"&lt;="&amp;EOMONTH($E640,0)),$J640-$M640))</f>
      </c>
      <c r="O640" s="43">
        <f>IF($I640=0,0,INDEX(DarlErsatzRate,2))</f>
      </c>
      <c r="P640" s="43">
        <f>IF($I640=0,0,$Q639*INDEX(DarlErsatzZins,2))</f>
      </c>
      <c r="Q640" s="43">
        <f>IF($I640=0,0,$Q639+$P640+$O640)</f>
      </c>
      <c r="R640" s="43">
        <f>IF($I640=0,0,$J640-$M640-$N640)</f>
      </c>
    </row>
    <row r="641">
      <c r="A641"/>
      <c r="B641">
        <v>2</v>
      </c>
      <c r="C641" s="43">
        <f>INDEX(DarlObj,2)</f>
      </c>
      <c r="D641">
        <v>158</v>
      </c>
      <c r="E641" s="51">
        <f>IF(INDEX(DarlBelegt,2)=0,0,EOMONTH(INDEX(DarlAuszahlung,2),157)+1)</f>
      </c>
      <c r="F641" s="43">
        <f>IF($E641=0,0,YEAR($E641))</f>
      </c>
      <c r="G641" s="43">
        <f>IF(INDEX(DarlBindung,2)="",1,IF($E641&lt;=INDEX(DarlBindung,2),1,0))</f>
      </c>
      <c r="H641" s="43">
        <f>IF($G641=1,INDEX(DarlSollzins,2),INDEX(DarlAnschluss,2))</f>
      </c>
      <c r="I641" s="43">
        <f>IF(INDEX(DarlBelegt,2)=0,0,IF(INDEX(DarlOhneTilgung,2)=1,IF(INDEX(DarlBindung,2)="",1,$G641),IF($J641&gt;0.005,1,0)))</f>
      </c>
      <c r="J641" s="43">
        <f>IF($I640=0,0,$R640)</f>
      </c>
      <c r="K641" s="43">
        <f>IF($I641=0,0,IF(INDEX(DarlOhneTilgung,2)=1,0,IF(AND(INDEX(DarlTilgStart,2)&gt;0,$E641=INDEX(DarlTilgStart,2)),$J641*($H641+INDEX(DarlTilgung,2))/100/12,IF(AND($G641=0,$G640=1),MAX($K640,$J641*($H641+1)/100/12),$K640))))</f>
      </c>
      <c r="L641" s="43">
        <f>IF($I641=0,0,$J641*$H641/100/12)</f>
      </c>
      <c r="M641" s="43">
        <f>IF($I641=0,0,IF(OR(INDEX(DarlOhneTilgung,2)=1,AND(INDEX(DarlTilgStart,2)&gt;0,$E641&lt;INDEX(DarlTilgStart,2))),0,MIN(MAX(0,$K641-$L641),$J641)))</f>
      </c>
      <c r="N641" s="43">
        <f>IF($I641=0,0,MIN(SUMIFS(SondBetrag,SondDarl,2,SondDatum,"&gt;="&amp;$E641,SondDatum,"&lt;="&amp;EOMONTH($E641,0)),$J641-$M641))</f>
      </c>
      <c r="O641" s="43">
        <f>IF($I641=0,0,INDEX(DarlErsatzRate,2))</f>
      </c>
      <c r="P641" s="43">
        <f>IF($I641=0,0,$Q640*INDEX(DarlErsatzZins,2))</f>
      </c>
      <c r="Q641" s="43">
        <f>IF($I641=0,0,$Q640+$P641+$O641)</f>
      </c>
      <c r="R641" s="43">
        <f>IF($I641=0,0,$J641-$M641-$N641)</f>
      </c>
    </row>
    <row r="642">
      <c r="A642"/>
      <c r="B642">
        <v>2</v>
      </c>
      <c r="C642" s="43">
        <f>INDEX(DarlObj,2)</f>
      </c>
      <c r="D642">
        <v>159</v>
      </c>
      <c r="E642" s="51">
        <f>IF(INDEX(DarlBelegt,2)=0,0,EOMONTH(INDEX(DarlAuszahlung,2),158)+1)</f>
      </c>
      <c r="F642" s="43">
        <f>IF($E642=0,0,YEAR($E642))</f>
      </c>
      <c r="G642" s="43">
        <f>IF(INDEX(DarlBindung,2)="",1,IF($E642&lt;=INDEX(DarlBindung,2),1,0))</f>
      </c>
      <c r="H642" s="43">
        <f>IF($G642=1,INDEX(DarlSollzins,2),INDEX(DarlAnschluss,2))</f>
      </c>
      <c r="I642" s="43">
        <f>IF(INDEX(DarlBelegt,2)=0,0,IF(INDEX(DarlOhneTilgung,2)=1,IF(INDEX(DarlBindung,2)="",1,$G642),IF($J642&gt;0.005,1,0)))</f>
      </c>
      <c r="J642" s="43">
        <f>IF($I641=0,0,$R641)</f>
      </c>
      <c r="K642" s="43">
        <f>IF($I642=0,0,IF(INDEX(DarlOhneTilgung,2)=1,0,IF(AND(INDEX(DarlTilgStart,2)&gt;0,$E642=INDEX(DarlTilgStart,2)),$J642*($H642+INDEX(DarlTilgung,2))/100/12,IF(AND($G642=0,$G641=1),MAX($K641,$J642*($H642+1)/100/12),$K641))))</f>
      </c>
      <c r="L642" s="43">
        <f>IF($I642=0,0,$J642*$H642/100/12)</f>
      </c>
      <c r="M642" s="43">
        <f>IF($I642=0,0,IF(OR(INDEX(DarlOhneTilgung,2)=1,AND(INDEX(DarlTilgStart,2)&gt;0,$E642&lt;INDEX(DarlTilgStart,2))),0,MIN(MAX(0,$K642-$L642),$J642)))</f>
      </c>
      <c r="N642" s="43">
        <f>IF($I642=0,0,MIN(SUMIFS(SondBetrag,SondDarl,2,SondDatum,"&gt;="&amp;$E642,SondDatum,"&lt;="&amp;EOMONTH($E642,0)),$J642-$M642))</f>
      </c>
      <c r="O642" s="43">
        <f>IF($I642=0,0,INDEX(DarlErsatzRate,2))</f>
      </c>
      <c r="P642" s="43">
        <f>IF($I642=0,0,$Q641*INDEX(DarlErsatzZins,2))</f>
      </c>
      <c r="Q642" s="43">
        <f>IF($I642=0,0,$Q641+$P642+$O642)</f>
      </c>
      <c r="R642" s="43">
        <f>IF($I642=0,0,$J642-$M642-$N642)</f>
      </c>
    </row>
    <row r="643">
      <c r="A643"/>
      <c r="B643">
        <v>2</v>
      </c>
      <c r="C643" s="43">
        <f>INDEX(DarlObj,2)</f>
      </c>
      <c r="D643">
        <v>160</v>
      </c>
      <c r="E643" s="51">
        <f>IF(INDEX(DarlBelegt,2)=0,0,EOMONTH(INDEX(DarlAuszahlung,2),159)+1)</f>
      </c>
      <c r="F643" s="43">
        <f>IF($E643=0,0,YEAR($E643))</f>
      </c>
      <c r="G643" s="43">
        <f>IF(INDEX(DarlBindung,2)="",1,IF($E643&lt;=INDEX(DarlBindung,2),1,0))</f>
      </c>
      <c r="H643" s="43">
        <f>IF($G643=1,INDEX(DarlSollzins,2),INDEX(DarlAnschluss,2))</f>
      </c>
      <c r="I643" s="43">
        <f>IF(INDEX(DarlBelegt,2)=0,0,IF(INDEX(DarlOhneTilgung,2)=1,IF(INDEX(DarlBindung,2)="",1,$G643),IF($J643&gt;0.005,1,0)))</f>
      </c>
      <c r="J643" s="43">
        <f>IF($I642=0,0,$R642)</f>
      </c>
      <c r="K643" s="43">
        <f>IF($I643=0,0,IF(INDEX(DarlOhneTilgung,2)=1,0,IF(AND(INDEX(DarlTilgStart,2)&gt;0,$E643=INDEX(DarlTilgStart,2)),$J643*($H643+INDEX(DarlTilgung,2))/100/12,IF(AND($G643=0,$G642=1),MAX($K642,$J643*($H643+1)/100/12),$K642))))</f>
      </c>
      <c r="L643" s="43">
        <f>IF($I643=0,0,$J643*$H643/100/12)</f>
      </c>
      <c r="M643" s="43">
        <f>IF($I643=0,0,IF(OR(INDEX(DarlOhneTilgung,2)=1,AND(INDEX(DarlTilgStart,2)&gt;0,$E643&lt;INDEX(DarlTilgStart,2))),0,MIN(MAX(0,$K643-$L643),$J643)))</f>
      </c>
      <c r="N643" s="43">
        <f>IF($I643=0,0,MIN(SUMIFS(SondBetrag,SondDarl,2,SondDatum,"&gt;="&amp;$E643,SondDatum,"&lt;="&amp;EOMONTH($E643,0)),$J643-$M643))</f>
      </c>
      <c r="O643" s="43">
        <f>IF($I643=0,0,INDEX(DarlErsatzRate,2))</f>
      </c>
      <c r="P643" s="43">
        <f>IF($I643=0,0,$Q642*INDEX(DarlErsatzZins,2))</f>
      </c>
      <c r="Q643" s="43">
        <f>IF($I643=0,0,$Q642+$P643+$O643)</f>
      </c>
      <c r="R643" s="43">
        <f>IF($I643=0,0,$J643-$M643-$N643)</f>
      </c>
    </row>
    <row r="644">
      <c r="A644"/>
      <c r="B644">
        <v>2</v>
      </c>
      <c r="C644" s="43">
        <f>INDEX(DarlObj,2)</f>
      </c>
      <c r="D644">
        <v>161</v>
      </c>
      <c r="E644" s="51">
        <f>IF(INDEX(DarlBelegt,2)=0,0,EOMONTH(INDEX(DarlAuszahlung,2),160)+1)</f>
      </c>
      <c r="F644" s="43">
        <f>IF($E644=0,0,YEAR($E644))</f>
      </c>
      <c r="G644" s="43">
        <f>IF(INDEX(DarlBindung,2)="",1,IF($E644&lt;=INDEX(DarlBindung,2),1,0))</f>
      </c>
      <c r="H644" s="43">
        <f>IF($G644=1,INDEX(DarlSollzins,2),INDEX(DarlAnschluss,2))</f>
      </c>
      <c r="I644" s="43">
        <f>IF(INDEX(DarlBelegt,2)=0,0,IF(INDEX(DarlOhneTilgung,2)=1,IF(INDEX(DarlBindung,2)="",1,$G644),IF($J644&gt;0.005,1,0)))</f>
      </c>
      <c r="J644" s="43">
        <f>IF($I643=0,0,$R643)</f>
      </c>
      <c r="K644" s="43">
        <f>IF($I644=0,0,IF(INDEX(DarlOhneTilgung,2)=1,0,IF(AND(INDEX(DarlTilgStart,2)&gt;0,$E644=INDEX(DarlTilgStart,2)),$J644*($H644+INDEX(DarlTilgung,2))/100/12,IF(AND($G644=0,$G643=1),MAX($K643,$J644*($H644+1)/100/12),$K643))))</f>
      </c>
      <c r="L644" s="43">
        <f>IF($I644=0,0,$J644*$H644/100/12)</f>
      </c>
      <c r="M644" s="43">
        <f>IF($I644=0,0,IF(OR(INDEX(DarlOhneTilgung,2)=1,AND(INDEX(DarlTilgStart,2)&gt;0,$E644&lt;INDEX(DarlTilgStart,2))),0,MIN(MAX(0,$K644-$L644),$J644)))</f>
      </c>
      <c r="N644" s="43">
        <f>IF($I644=0,0,MIN(SUMIFS(SondBetrag,SondDarl,2,SondDatum,"&gt;="&amp;$E644,SondDatum,"&lt;="&amp;EOMONTH($E644,0)),$J644-$M644))</f>
      </c>
      <c r="O644" s="43">
        <f>IF($I644=0,0,INDEX(DarlErsatzRate,2))</f>
      </c>
      <c r="P644" s="43">
        <f>IF($I644=0,0,$Q643*INDEX(DarlErsatzZins,2))</f>
      </c>
      <c r="Q644" s="43">
        <f>IF($I644=0,0,$Q643+$P644+$O644)</f>
      </c>
      <c r="R644" s="43">
        <f>IF($I644=0,0,$J644-$M644-$N644)</f>
      </c>
    </row>
    <row r="645">
      <c r="A645"/>
      <c r="B645">
        <v>2</v>
      </c>
      <c r="C645" s="43">
        <f>INDEX(DarlObj,2)</f>
      </c>
      <c r="D645">
        <v>162</v>
      </c>
      <c r="E645" s="51">
        <f>IF(INDEX(DarlBelegt,2)=0,0,EOMONTH(INDEX(DarlAuszahlung,2),161)+1)</f>
      </c>
      <c r="F645" s="43">
        <f>IF($E645=0,0,YEAR($E645))</f>
      </c>
      <c r="G645" s="43">
        <f>IF(INDEX(DarlBindung,2)="",1,IF($E645&lt;=INDEX(DarlBindung,2),1,0))</f>
      </c>
      <c r="H645" s="43">
        <f>IF($G645=1,INDEX(DarlSollzins,2),INDEX(DarlAnschluss,2))</f>
      </c>
      <c r="I645" s="43">
        <f>IF(INDEX(DarlBelegt,2)=0,0,IF(INDEX(DarlOhneTilgung,2)=1,IF(INDEX(DarlBindung,2)="",1,$G645),IF($J645&gt;0.005,1,0)))</f>
      </c>
      <c r="J645" s="43">
        <f>IF($I644=0,0,$R644)</f>
      </c>
      <c r="K645" s="43">
        <f>IF($I645=0,0,IF(INDEX(DarlOhneTilgung,2)=1,0,IF(AND(INDEX(DarlTilgStart,2)&gt;0,$E645=INDEX(DarlTilgStart,2)),$J645*($H645+INDEX(DarlTilgung,2))/100/12,IF(AND($G645=0,$G644=1),MAX($K644,$J645*($H645+1)/100/12),$K644))))</f>
      </c>
      <c r="L645" s="43">
        <f>IF($I645=0,0,$J645*$H645/100/12)</f>
      </c>
      <c r="M645" s="43">
        <f>IF($I645=0,0,IF(OR(INDEX(DarlOhneTilgung,2)=1,AND(INDEX(DarlTilgStart,2)&gt;0,$E645&lt;INDEX(DarlTilgStart,2))),0,MIN(MAX(0,$K645-$L645),$J645)))</f>
      </c>
      <c r="N645" s="43">
        <f>IF($I645=0,0,MIN(SUMIFS(SondBetrag,SondDarl,2,SondDatum,"&gt;="&amp;$E645,SondDatum,"&lt;="&amp;EOMONTH($E645,0)),$J645-$M645))</f>
      </c>
      <c r="O645" s="43">
        <f>IF($I645=0,0,INDEX(DarlErsatzRate,2))</f>
      </c>
      <c r="P645" s="43">
        <f>IF($I645=0,0,$Q644*INDEX(DarlErsatzZins,2))</f>
      </c>
      <c r="Q645" s="43">
        <f>IF($I645=0,0,$Q644+$P645+$O645)</f>
      </c>
      <c r="R645" s="43">
        <f>IF($I645=0,0,$J645-$M645-$N645)</f>
      </c>
    </row>
    <row r="646">
      <c r="A646"/>
      <c r="B646">
        <v>2</v>
      </c>
      <c r="C646" s="43">
        <f>INDEX(DarlObj,2)</f>
      </c>
      <c r="D646">
        <v>163</v>
      </c>
      <c r="E646" s="51">
        <f>IF(INDEX(DarlBelegt,2)=0,0,EOMONTH(INDEX(DarlAuszahlung,2),162)+1)</f>
      </c>
      <c r="F646" s="43">
        <f>IF($E646=0,0,YEAR($E646))</f>
      </c>
      <c r="G646" s="43">
        <f>IF(INDEX(DarlBindung,2)="",1,IF($E646&lt;=INDEX(DarlBindung,2),1,0))</f>
      </c>
      <c r="H646" s="43">
        <f>IF($G646=1,INDEX(DarlSollzins,2),INDEX(DarlAnschluss,2))</f>
      </c>
      <c r="I646" s="43">
        <f>IF(INDEX(DarlBelegt,2)=0,0,IF(INDEX(DarlOhneTilgung,2)=1,IF(INDEX(DarlBindung,2)="",1,$G646),IF($J646&gt;0.005,1,0)))</f>
      </c>
      <c r="J646" s="43">
        <f>IF($I645=0,0,$R645)</f>
      </c>
      <c r="K646" s="43">
        <f>IF($I646=0,0,IF(INDEX(DarlOhneTilgung,2)=1,0,IF(AND(INDEX(DarlTilgStart,2)&gt;0,$E646=INDEX(DarlTilgStart,2)),$J646*($H646+INDEX(DarlTilgung,2))/100/12,IF(AND($G646=0,$G645=1),MAX($K645,$J646*($H646+1)/100/12),$K645))))</f>
      </c>
      <c r="L646" s="43">
        <f>IF($I646=0,0,$J646*$H646/100/12)</f>
      </c>
      <c r="M646" s="43">
        <f>IF($I646=0,0,IF(OR(INDEX(DarlOhneTilgung,2)=1,AND(INDEX(DarlTilgStart,2)&gt;0,$E646&lt;INDEX(DarlTilgStart,2))),0,MIN(MAX(0,$K646-$L646),$J646)))</f>
      </c>
      <c r="N646" s="43">
        <f>IF($I646=0,0,MIN(SUMIFS(SondBetrag,SondDarl,2,SondDatum,"&gt;="&amp;$E646,SondDatum,"&lt;="&amp;EOMONTH($E646,0)),$J646-$M646))</f>
      </c>
      <c r="O646" s="43">
        <f>IF($I646=0,0,INDEX(DarlErsatzRate,2))</f>
      </c>
      <c r="P646" s="43">
        <f>IF($I646=0,0,$Q645*INDEX(DarlErsatzZins,2))</f>
      </c>
      <c r="Q646" s="43">
        <f>IF($I646=0,0,$Q645+$P646+$O646)</f>
      </c>
      <c r="R646" s="43">
        <f>IF($I646=0,0,$J646-$M646-$N646)</f>
      </c>
    </row>
    <row r="647">
      <c r="A647"/>
      <c r="B647">
        <v>2</v>
      </c>
      <c r="C647" s="43">
        <f>INDEX(DarlObj,2)</f>
      </c>
      <c r="D647">
        <v>164</v>
      </c>
      <c r="E647" s="51">
        <f>IF(INDEX(DarlBelegt,2)=0,0,EOMONTH(INDEX(DarlAuszahlung,2),163)+1)</f>
      </c>
      <c r="F647" s="43">
        <f>IF($E647=0,0,YEAR($E647))</f>
      </c>
      <c r="G647" s="43">
        <f>IF(INDEX(DarlBindung,2)="",1,IF($E647&lt;=INDEX(DarlBindung,2),1,0))</f>
      </c>
      <c r="H647" s="43">
        <f>IF($G647=1,INDEX(DarlSollzins,2),INDEX(DarlAnschluss,2))</f>
      </c>
      <c r="I647" s="43">
        <f>IF(INDEX(DarlBelegt,2)=0,0,IF(INDEX(DarlOhneTilgung,2)=1,IF(INDEX(DarlBindung,2)="",1,$G647),IF($J647&gt;0.005,1,0)))</f>
      </c>
      <c r="J647" s="43">
        <f>IF($I646=0,0,$R646)</f>
      </c>
      <c r="K647" s="43">
        <f>IF($I647=0,0,IF(INDEX(DarlOhneTilgung,2)=1,0,IF(AND(INDEX(DarlTilgStart,2)&gt;0,$E647=INDEX(DarlTilgStart,2)),$J647*($H647+INDEX(DarlTilgung,2))/100/12,IF(AND($G647=0,$G646=1),MAX($K646,$J647*($H647+1)/100/12),$K646))))</f>
      </c>
      <c r="L647" s="43">
        <f>IF($I647=0,0,$J647*$H647/100/12)</f>
      </c>
      <c r="M647" s="43">
        <f>IF($I647=0,0,IF(OR(INDEX(DarlOhneTilgung,2)=1,AND(INDEX(DarlTilgStart,2)&gt;0,$E647&lt;INDEX(DarlTilgStart,2))),0,MIN(MAX(0,$K647-$L647),$J647)))</f>
      </c>
      <c r="N647" s="43">
        <f>IF($I647=0,0,MIN(SUMIFS(SondBetrag,SondDarl,2,SondDatum,"&gt;="&amp;$E647,SondDatum,"&lt;="&amp;EOMONTH($E647,0)),$J647-$M647))</f>
      </c>
      <c r="O647" s="43">
        <f>IF($I647=0,0,INDEX(DarlErsatzRate,2))</f>
      </c>
      <c r="P647" s="43">
        <f>IF($I647=0,0,$Q646*INDEX(DarlErsatzZins,2))</f>
      </c>
      <c r="Q647" s="43">
        <f>IF($I647=0,0,$Q646+$P647+$O647)</f>
      </c>
      <c r="R647" s="43">
        <f>IF($I647=0,0,$J647-$M647-$N647)</f>
      </c>
    </row>
    <row r="648">
      <c r="A648"/>
      <c r="B648">
        <v>2</v>
      </c>
      <c r="C648" s="43">
        <f>INDEX(DarlObj,2)</f>
      </c>
      <c r="D648">
        <v>165</v>
      </c>
      <c r="E648" s="51">
        <f>IF(INDEX(DarlBelegt,2)=0,0,EOMONTH(INDEX(DarlAuszahlung,2),164)+1)</f>
      </c>
      <c r="F648" s="43">
        <f>IF($E648=0,0,YEAR($E648))</f>
      </c>
      <c r="G648" s="43">
        <f>IF(INDEX(DarlBindung,2)="",1,IF($E648&lt;=INDEX(DarlBindung,2),1,0))</f>
      </c>
      <c r="H648" s="43">
        <f>IF($G648=1,INDEX(DarlSollzins,2),INDEX(DarlAnschluss,2))</f>
      </c>
      <c r="I648" s="43">
        <f>IF(INDEX(DarlBelegt,2)=0,0,IF(INDEX(DarlOhneTilgung,2)=1,IF(INDEX(DarlBindung,2)="",1,$G648),IF($J648&gt;0.005,1,0)))</f>
      </c>
      <c r="J648" s="43">
        <f>IF($I647=0,0,$R647)</f>
      </c>
      <c r="K648" s="43">
        <f>IF($I648=0,0,IF(INDEX(DarlOhneTilgung,2)=1,0,IF(AND(INDEX(DarlTilgStart,2)&gt;0,$E648=INDEX(DarlTilgStart,2)),$J648*($H648+INDEX(DarlTilgung,2))/100/12,IF(AND($G648=0,$G647=1),MAX($K647,$J648*($H648+1)/100/12),$K647))))</f>
      </c>
      <c r="L648" s="43">
        <f>IF($I648=0,0,$J648*$H648/100/12)</f>
      </c>
      <c r="M648" s="43">
        <f>IF($I648=0,0,IF(OR(INDEX(DarlOhneTilgung,2)=1,AND(INDEX(DarlTilgStart,2)&gt;0,$E648&lt;INDEX(DarlTilgStart,2))),0,MIN(MAX(0,$K648-$L648),$J648)))</f>
      </c>
      <c r="N648" s="43">
        <f>IF($I648=0,0,MIN(SUMIFS(SondBetrag,SondDarl,2,SondDatum,"&gt;="&amp;$E648,SondDatum,"&lt;="&amp;EOMONTH($E648,0)),$J648-$M648))</f>
      </c>
      <c r="O648" s="43">
        <f>IF($I648=0,0,INDEX(DarlErsatzRate,2))</f>
      </c>
      <c r="P648" s="43">
        <f>IF($I648=0,0,$Q647*INDEX(DarlErsatzZins,2))</f>
      </c>
      <c r="Q648" s="43">
        <f>IF($I648=0,0,$Q647+$P648+$O648)</f>
      </c>
      <c r="R648" s="43">
        <f>IF($I648=0,0,$J648-$M648-$N648)</f>
      </c>
    </row>
    <row r="649">
      <c r="A649"/>
      <c r="B649">
        <v>2</v>
      </c>
      <c r="C649" s="43">
        <f>INDEX(DarlObj,2)</f>
      </c>
      <c r="D649">
        <v>166</v>
      </c>
      <c r="E649" s="51">
        <f>IF(INDEX(DarlBelegt,2)=0,0,EOMONTH(INDEX(DarlAuszahlung,2),165)+1)</f>
      </c>
      <c r="F649" s="43">
        <f>IF($E649=0,0,YEAR($E649))</f>
      </c>
      <c r="G649" s="43">
        <f>IF(INDEX(DarlBindung,2)="",1,IF($E649&lt;=INDEX(DarlBindung,2),1,0))</f>
      </c>
      <c r="H649" s="43">
        <f>IF($G649=1,INDEX(DarlSollzins,2),INDEX(DarlAnschluss,2))</f>
      </c>
      <c r="I649" s="43">
        <f>IF(INDEX(DarlBelegt,2)=0,0,IF(INDEX(DarlOhneTilgung,2)=1,IF(INDEX(DarlBindung,2)="",1,$G649),IF($J649&gt;0.005,1,0)))</f>
      </c>
      <c r="J649" s="43">
        <f>IF($I648=0,0,$R648)</f>
      </c>
      <c r="K649" s="43">
        <f>IF($I649=0,0,IF(INDEX(DarlOhneTilgung,2)=1,0,IF(AND(INDEX(DarlTilgStart,2)&gt;0,$E649=INDEX(DarlTilgStart,2)),$J649*($H649+INDEX(DarlTilgung,2))/100/12,IF(AND($G649=0,$G648=1),MAX($K648,$J649*($H649+1)/100/12),$K648))))</f>
      </c>
      <c r="L649" s="43">
        <f>IF($I649=0,0,$J649*$H649/100/12)</f>
      </c>
      <c r="M649" s="43">
        <f>IF($I649=0,0,IF(OR(INDEX(DarlOhneTilgung,2)=1,AND(INDEX(DarlTilgStart,2)&gt;0,$E649&lt;INDEX(DarlTilgStart,2))),0,MIN(MAX(0,$K649-$L649),$J649)))</f>
      </c>
      <c r="N649" s="43">
        <f>IF($I649=0,0,MIN(SUMIFS(SondBetrag,SondDarl,2,SondDatum,"&gt;="&amp;$E649,SondDatum,"&lt;="&amp;EOMONTH($E649,0)),$J649-$M649))</f>
      </c>
      <c r="O649" s="43">
        <f>IF($I649=0,0,INDEX(DarlErsatzRate,2))</f>
      </c>
      <c r="P649" s="43">
        <f>IF($I649=0,0,$Q648*INDEX(DarlErsatzZins,2))</f>
      </c>
      <c r="Q649" s="43">
        <f>IF($I649=0,0,$Q648+$P649+$O649)</f>
      </c>
      <c r="R649" s="43">
        <f>IF($I649=0,0,$J649-$M649-$N649)</f>
      </c>
    </row>
    <row r="650">
      <c r="A650"/>
      <c r="B650">
        <v>2</v>
      </c>
      <c r="C650" s="43">
        <f>INDEX(DarlObj,2)</f>
      </c>
      <c r="D650">
        <v>167</v>
      </c>
      <c r="E650" s="51">
        <f>IF(INDEX(DarlBelegt,2)=0,0,EOMONTH(INDEX(DarlAuszahlung,2),166)+1)</f>
      </c>
      <c r="F650" s="43">
        <f>IF($E650=0,0,YEAR($E650))</f>
      </c>
      <c r="G650" s="43">
        <f>IF(INDEX(DarlBindung,2)="",1,IF($E650&lt;=INDEX(DarlBindung,2),1,0))</f>
      </c>
      <c r="H650" s="43">
        <f>IF($G650=1,INDEX(DarlSollzins,2),INDEX(DarlAnschluss,2))</f>
      </c>
      <c r="I650" s="43">
        <f>IF(INDEX(DarlBelegt,2)=0,0,IF(INDEX(DarlOhneTilgung,2)=1,IF(INDEX(DarlBindung,2)="",1,$G650),IF($J650&gt;0.005,1,0)))</f>
      </c>
      <c r="J650" s="43">
        <f>IF($I649=0,0,$R649)</f>
      </c>
      <c r="K650" s="43">
        <f>IF($I650=0,0,IF(INDEX(DarlOhneTilgung,2)=1,0,IF(AND(INDEX(DarlTilgStart,2)&gt;0,$E650=INDEX(DarlTilgStart,2)),$J650*($H650+INDEX(DarlTilgung,2))/100/12,IF(AND($G650=0,$G649=1),MAX($K649,$J650*($H650+1)/100/12),$K649))))</f>
      </c>
      <c r="L650" s="43">
        <f>IF($I650=0,0,$J650*$H650/100/12)</f>
      </c>
      <c r="M650" s="43">
        <f>IF($I650=0,0,IF(OR(INDEX(DarlOhneTilgung,2)=1,AND(INDEX(DarlTilgStart,2)&gt;0,$E650&lt;INDEX(DarlTilgStart,2))),0,MIN(MAX(0,$K650-$L650),$J650)))</f>
      </c>
      <c r="N650" s="43">
        <f>IF($I650=0,0,MIN(SUMIFS(SondBetrag,SondDarl,2,SondDatum,"&gt;="&amp;$E650,SondDatum,"&lt;="&amp;EOMONTH($E650,0)),$J650-$M650))</f>
      </c>
      <c r="O650" s="43">
        <f>IF($I650=0,0,INDEX(DarlErsatzRate,2))</f>
      </c>
      <c r="P650" s="43">
        <f>IF($I650=0,0,$Q649*INDEX(DarlErsatzZins,2))</f>
      </c>
      <c r="Q650" s="43">
        <f>IF($I650=0,0,$Q649+$P650+$O650)</f>
      </c>
      <c r="R650" s="43">
        <f>IF($I650=0,0,$J650-$M650-$N650)</f>
      </c>
    </row>
    <row r="651">
      <c r="A651"/>
      <c r="B651">
        <v>2</v>
      </c>
      <c r="C651" s="43">
        <f>INDEX(DarlObj,2)</f>
      </c>
      <c r="D651">
        <v>168</v>
      </c>
      <c r="E651" s="51">
        <f>IF(INDEX(DarlBelegt,2)=0,0,EOMONTH(INDEX(DarlAuszahlung,2),167)+1)</f>
      </c>
      <c r="F651" s="43">
        <f>IF($E651=0,0,YEAR($E651))</f>
      </c>
      <c r="G651" s="43">
        <f>IF(INDEX(DarlBindung,2)="",1,IF($E651&lt;=INDEX(DarlBindung,2),1,0))</f>
      </c>
      <c r="H651" s="43">
        <f>IF($G651=1,INDEX(DarlSollzins,2),INDEX(DarlAnschluss,2))</f>
      </c>
      <c r="I651" s="43">
        <f>IF(INDEX(DarlBelegt,2)=0,0,IF(INDEX(DarlOhneTilgung,2)=1,IF(INDEX(DarlBindung,2)="",1,$G651),IF($J651&gt;0.005,1,0)))</f>
      </c>
      <c r="J651" s="43">
        <f>IF($I650=0,0,$R650)</f>
      </c>
      <c r="K651" s="43">
        <f>IF($I651=0,0,IF(INDEX(DarlOhneTilgung,2)=1,0,IF(AND(INDEX(DarlTilgStart,2)&gt;0,$E651=INDEX(DarlTilgStart,2)),$J651*($H651+INDEX(DarlTilgung,2))/100/12,IF(AND($G651=0,$G650=1),MAX($K650,$J651*($H651+1)/100/12),$K650))))</f>
      </c>
      <c r="L651" s="43">
        <f>IF($I651=0,0,$J651*$H651/100/12)</f>
      </c>
      <c r="M651" s="43">
        <f>IF($I651=0,0,IF(OR(INDEX(DarlOhneTilgung,2)=1,AND(INDEX(DarlTilgStart,2)&gt;0,$E651&lt;INDEX(DarlTilgStart,2))),0,MIN(MAX(0,$K651-$L651),$J651)))</f>
      </c>
      <c r="N651" s="43">
        <f>IF($I651=0,0,MIN(SUMIFS(SondBetrag,SondDarl,2,SondDatum,"&gt;="&amp;$E651,SondDatum,"&lt;="&amp;EOMONTH($E651,0)),$J651-$M651))</f>
      </c>
      <c r="O651" s="43">
        <f>IF($I651=0,0,INDEX(DarlErsatzRate,2))</f>
      </c>
      <c r="P651" s="43">
        <f>IF($I651=0,0,$Q650*INDEX(DarlErsatzZins,2))</f>
      </c>
      <c r="Q651" s="43">
        <f>IF($I651=0,0,$Q650+$P651+$O651)</f>
      </c>
      <c r="R651" s="43">
        <f>IF($I651=0,0,$J651-$M651-$N651)</f>
      </c>
    </row>
    <row r="652">
      <c r="A652"/>
      <c r="B652">
        <v>2</v>
      </c>
      <c r="C652" s="43">
        <f>INDEX(DarlObj,2)</f>
      </c>
      <c r="D652">
        <v>169</v>
      </c>
      <c r="E652" s="51">
        <f>IF(INDEX(DarlBelegt,2)=0,0,EOMONTH(INDEX(DarlAuszahlung,2),168)+1)</f>
      </c>
      <c r="F652" s="43">
        <f>IF($E652=0,0,YEAR($E652))</f>
      </c>
      <c r="G652" s="43">
        <f>IF(INDEX(DarlBindung,2)="",1,IF($E652&lt;=INDEX(DarlBindung,2),1,0))</f>
      </c>
      <c r="H652" s="43">
        <f>IF($G652=1,INDEX(DarlSollzins,2),INDEX(DarlAnschluss,2))</f>
      </c>
      <c r="I652" s="43">
        <f>IF(INDEX(DarlBelegt,2)=0,0,IF(INDEX(DarlOhneTilgung,2)=1,IF(INDEX(DarlBindung,2)="",1,$G652),IF($J652&gt;0.005,1,0)))</f>
      </c>
      <c r="J652" s="43">
        <f>IF($I651=0,0,$R651)</f>
      </c>
      <c r="K652" s="43">
        <f>IF($I652=0,0,IF(INDEX(DarlOhneTilgung,2)=1,0,IF(AND(INDEX(DarlTilgStart,2)&gt;0,$E652=INDEX(DarlTilgStart,2)),$J652*($H652+INDEX(DarlTilgung,2))/100/12,IF(AND($G652=0,$G651=1),MAX($K651,$J652*($H652+1)/100/12),$K651))))</f>
      </c>
      <c r="L652" s="43">
        <f>IF($I652=0,0,$J652*$H652/100/12)</f>
      </c>
      <c r="M652" s="43">
        <f>IF($I652=0,0,IF(OR(INDEX(DarlOhneTilgung,2)=1,AND(INDEX(DarlTilgStart,2)&gt;0,$E652&lt;INDEX(DarlTilgStart,2))),0,MIN(MAX(0,$K652-$L652),$J652)))</f>
      </c>
      <c r="N652" s="43">
        <f>IF($I652=0,0,MIN(SUMIFS(SondBetrag,SondDarl,2,SondDatum,"&gt;="&amp;$E652,SondDatum,"&lt;="&amp;EOMONTH($E652,0)),$J652-$M652))</f>
      </c>
      <c r="O652" s="43">
        <f>IF($I652=0,0,INDEX(DarlErsatzRate,2))</f>
      </c>
      <c r="P652" s="43">
        <f>IF($I652=0,0,$Q651*INDEX(DarlErsatzZins,2))</f>
      </c>
      <c r="Q652" s="43">
        <f>IF($I652=0,0,$Q651+$P652+$O652)</f>
      </c>
      <c r="R652" s="43">
        <f>IF($I652=0,0,$J652-$M652-$N652)</f>
      </c>
    </row>
    <row r="653">
      <c r="A653"/>
      <c r="B653">
        <v>2</v>
      </c>
      <c r="C653" s="43">
        <f>INDEX(DarlObj,2)</f>
      </c>
      <c r="D653">
        <v>170</v>
      </c>
      <c r="E653" s="51">
        <f>IF(INDEX(DarlBelegt,2)=0,0,EOMONTH(INDEX(DarlAuszahlung,2),169)+1)</f>
      </c>
      <c r="F653" s="43">
        <f>IF($E653=0,0,YEAR($E653))</f>
      </c>
      <c r="G653" s="43">
        <f>IF(INDEX(DarlBindung,2)="",1,IF($E653&lt;=INDEX(DarlBindung,2),1,0))</f>
      </c>
      <c r="H653" s="43">
        <f>IF($G653=1,INDEX(DarlSollzins,2),INDEX(DarlAnschluss,2))</f>
      </c>
      <c r="I653" s="43">
        <f>IF(INDEX(DarlBelegt,2)=0,0,IF(INDEX(DarlOhneTilgung,2)=1,IF(INDEX(DarlBindung,2)="",1,$G653),IF($J653&gt;0.005,1,0)))</f>
      </c>
      <c r="J653" s="43">
        <f>IF($I652=0,0,$R652)</f>
      </c>
      <c r="K653" s="43">
        <f>IF($I653=0,0,IF(INDEX(DarlOhneTilgung,2)=1,0,IF(AND(INDEX(DarlTilgStart,2)&gt;0,$E653=INDEX(DarlTilgStart,2)),$J653*($H653+INDEX(DarlTilgung,2))/100/12,IF(AND($G653=0,$G652=1),MAX($K652,$J653*($H653+1)/100/12),$K652))))</f>
      </c>
      <c r="L653" s="43">
        <f>IF($I653=0,0,$J653*$H653/100/12)</f>
      </c>
      <c r="M653" s="43">
        <f>IF($I653=0,0,IF(OR(INDEX(DarlOhneTilgung,2)=1,AND(INDEX(DarlTilgStart,2)&gt;0,$E653&lt;INDEX(DarlTilgStart,2))),0,MIN(MAX(0,$K653-$L653),$J653)))</f>
      </c>
      <c r="N653" s="43">
        <f>IF($I653=0,0,MIN(SUMIFS(SondBetrag,SondDarl,2,SondDatum,"&gt;="&amp;$E653,SondDatum,"&lt;="&amp;EOMONTH($E653,0)),$J653-$M653))</f>
      </c>
      <c r="O653" s="43">
        <f>IF($I653=0,0,INDEX(DarlErsatzRate,2))</f>
      </c>
      <c r="P653" s="43">
        <f>IF($I653=0,0,$Q652*INDEX(DarlErsatzZins,2))</f>
      </c>
      <c r="Q653" s="43">
        <f>IF($I653=0,0,$Q652+$P653+$O653)</f>
      </c>
      <c r="R653" s="43">
        <f>IF($I653=0,0,$J653-$M653-$N653)</f>
      </c>
    </row>
    <row r="654">
      <c r="A654"/>
      <c r="B654">
        <v>2</v>
      </c>
      <c r="C654" s="43">
        <f>INDEX(DarlObj,2)</f>
      </c>
      <c r="D654">
        <v>171</v>
      </c>
      <c r="E654" s="51">
        <f>IF(INDEX(DarlBelegt,2)=0,0,EOMONTH(INDEX(DarlAuszahlung,2),170)+1)</f>
      </c>
      <c r="F654" s="43">
        <f>IF($E654=0,0,YEAR($E654))</f>
      </c>
      <c r="G654" s="43">
        <f>IF(INDEX(DarlBindung,2)="",1,IF($E654&lt;=INDEX(DarlBindung,2),1,0))</f>
      </c>
      <c r="H654" s="43">
        <f>IF($G654=1,INDEX(DarlSollzins,2),INDEX(DarlAnschluss,2))</f>
      </c>
      <c r="I654" s="43">
        <f>IF(INDEX(DarlBelegt,2)=0,0,IF(INDEX(DarlOhneTilgung,2)=1,IF(INDEX(DarlBindung,2)="",1,$G654),IF($J654&gt;0.005,1,0)))</f>
      </c>
      <c r="J654" s="43">
        <f>IF($I653=0,0,$R653)</f>
      </c>
      <c r="K654" s="43">
        <f>IF($I654=0,0,IF(INDEX(DarlOhneTilgung,2)=1,0,IF(AND(INDEX(DarlTilgStart,2)&gt;0,$E654=INDEX(DarlTilgStart,2)),$J654*($H654+INDEX(DarlTilgung,2))/100/12,IF(AND($G654=0,$G653=1),MAX($K653,$J654*($H654+1)/100/12),$K653))))</f>
      </c>
      <c r="L654" s="43">
        <f>IF($I654=0,0,$J654*$H654/100/12)</f>
      </c>
      <c r="M654" s="43">
        <f>IF($I654=0,0,IF(OR(INDEX(DarlOhneTilgung,2)=1,AND(INDEX(DarlTilgStart,2)&gt;0,$E654&lt;INDEX(DarlTilgStart,2))),0,MIN(MAX(0,$K654-$L654),$J654)))</f>
      </c>
      <c r="N654" s="43">
        <f>IF($I654=0,0,MIN(SUMIFS(SondBetrag,SondDarl,2,SondDatum,"&gt;="&amp;$E654,SondDatum,"&lt;="&amp;EOMONTH($E654,0)),$J654-$M654))</f>
      </c>
      <c r="O654" s="43">
        <f>IF($I654=0,0,INDEX(DarlErsatzRate,2))</f>
      </c>
      <c r="P654" s="43">
        <f>IF($I654=0,0,$Q653*INDEX(DarlErsatzZins,2))</f>
      </c>
      <c r="Q654" s="43">
        <f>IF($I654=0,0,$Q653+$P654+$O654)</f>
      </c>
      <c r="R654" s="43">
        <f>IF($I654=0,0,$J654-$M654-$N654)</f>
      </c>
    </row>
    <row r="655">
      <c r="A655"/>
      <c r="B655">
        <v>2</v>
      </c>
      <c r="C655" s="43">
        <f>INDEX(DarlObj,2)</f>
      </c>
      <c r="D655">
        <v>172</v>
      </c>
      <c r="E655" s="51">
        <f>IF(INDEX(DarlBelegt,2)=0,0,EOMONTH(INDEX(DarlAuszahlung,2),171)+1)</f>
      </c>
      <c r="F655" s="43">
        <f>IF($E655=0,0,YEAR($E655))</f>
      </c>
      <c r="G655" s="43">
        <f>IF(INDEX(DarlBindung,2)="",1,IF($E655&lt;=INDEX(DarlBindung,2),1,0))</f>
      </c>
      <c r="H655" s="43">
        <f>IF($G655=1,INDEX(DarlSollzins,2),INDEX(DarlAnschluss,2))</f>
      </c>
      <c r="I655" s="43">
        <f>IF(INDEX(DarlBelegt,2)=0,0,IF(INDEX(DarlOhneTilgung,2)=1,IF(INDEX(DarlBindung,2)="",1,$G655),IF($J655&gt;0.005,1,0)))</f>
      </c>
      <c r="J655" s="43">
        <f>IF($I654=0,0,$R654)</f>
      </c>
      <c r="K655" s="43">
        <f>IF($I655=0,0,IF(INDEX(DarlOhneTilgung,2)=1,0,IF(AND(INDEX(DarlTilgStart,2)&gt;0,$E655=INDEX(DarlTilgStart,2)),$J655*($H655+INDEX(DarlTilgung,2))/100/12,IF(AND($G655=0,$G654=1),MAX($K654,$J655*($H655+1)/100/12),$K654))))</f>
      </c>
      <c r="L655" s="43">
        <f>IF($I655=0,0,$J655*$H655/100/12)</f>
      </c>
      <c r="M655" s="43">
        <f>IF($I655=0,0,IF(OR(INDEX(DarlOhneTilgung,2)=1,AND(INDEX(DarlTilgStart,2)&gt;0,$E655&lt;INDEX(DarlTilgStart,2))),0,MIN(MAX(0,$K655-$L655),$J655)))</f>
      </c>
      <c r="N655" s="43">
        <f>IF($I655=0,0,MIN(SUMIFS(SondBetrag,SondDarl,2,SondDatum,"&gt;="&amp;$E655,SondDatum,"&lt;="&amp;EOMONTH($E655,0)),$J655-$M655))</f>
      </c>
      <c r="O655" s="43">
        <f>IF($I655=0,0,INDEX(DarlErsatzRate,2))</f>
      </c>
      <c r="P655" s="43">
        <f>IF($I655=0,0,$Q654*INDEX(DarlErsatzZins,2))</f>
      </c>
      <c r="Q655" s="43">
        <f>IF($I655=0,0,$Q654+$P655+$O655)</f>
      </c>
      <c r="R655" s="43">
        <f>IF($I655=0,0,$J655-$M655-$N655)</f>
      </c>
    </row>
    <row r="656">
      <c r="A656"/>
      <c r="B656">
        <v>2</v>
      </c>
      <c r="C656" s="43">
        <f>INDEX(DarlObj,2)</f>
      </c>
      <c r="D656">
        <v>173</v>
      </c>
      <c r="E656" s="51">
        <f>IF(INDEX(DarlBelegt,2)=0,0,EOMONTH(INDEX(DarlAuszahlung,2),172)+1)</f>
      </c>
      <c r="F656" s="43">
        <f>IF($E656=0,0,YEAR($E656))</f>
      </c>
      <c r="G656" s="43">
        <f>IF(INDEX(DarlBindung,2)="",1,IF($E656&lt;=INDEX(DarlBindung,2),1,0))</f>
      </c>
      <c r="H656" s="43">
        <f>IF($G656=1,INDEX(DarlSollzins,2),INDEX(DarlAnschluss,2))</f>
      </c>
      <c r="I656" s="43">
        <f>IF(INDEX(DarlBelegt,2)=0,0,IF(INDEX(DarlOhneTilgung,2)=1,IF(INDEX(DarlBindung,2)="",1,$G656),IF($J656&gt;0.005,1,0)))</f>
      </c>
      <c r="J656" s="43">
        <f>IF($I655=0,0,$R655)</f>
      </c>
      <c r="K656" s="43">
        <f>IF($I656=0,0,IF(INDEX(DarlOhneTilgung,2)=1,0,IF(AND(INDEX(DarlTilgStart,2)&gt;0,$E656=INDEX(DarlTilgStart,2)),$J656*($H656+INDEX(DarlTilgung,2))/100/12,IF(AND($G656=0,$G655=1),MAX($K655,$J656*($H656+1)/100/12),$K655))))</f>
      </c>
      <c r="L656" s="43">
        <f>IF($I656=0,0,$J656*$H656/100/12)</f>
      </c>
      <c r="M656" s="43">
        <f>IF($I656=0,0,IF(OR(INDEX(DarlOhneTilgung,2)=1,AND(INDEX(DarlTilgStart,2)&gt;0,$E656&lt;INDEX(DarlTilgStart,2))),0,MIN(MAX(0,$K656-$L656),$J656)))</f>
      </c>
      <c r="N656" s="43">
        <f>IF($I656=0,0,MIN(SUMIFS(SondBetrag,SondDarl,2,SondDatum,"&gt;="&amp;$E656,SondDatum,"&lt;="&amp;EOMONTH($E656,0)),$J656-$M656))</f>
      </c>
      <c r="O656" s="43">
        <f>IF($I656=0,0,INDEX(DarlErsatzRate,2))</f>
      </c>
      <c r="P656" s="43">
        <f>IF($I656=0,0,$Q655*INDEX(DarlErsatzZins,2))</f>
      </c>
      <c r="Q656" s="43">
        <f>IF($I656=0,0,$Q655+$P656+$O656)</f>
      </c>
      <c r="R656" s="43">
        <f>IF($I656=0,0,$J656-$M656-$N656)</f>
      </c>
    </row>
    <row r="657">
      <c r="A657"/>
      <c r="B657">
        <v>2</v>
      </c>
      <c r="C657" s="43">
        <f>INDEX(DarlObj,2)</f>
      </c>
      <c r="D657">
        <v>174</v>
      </c>
      <c r="E657" s="51">
        <f>IF(INDEX(DarlBelegt,2)=0,0,EOMONTH(INDEX(DarlAuszahlung,2),173)+1)</f>
      </c>
      <c r="F657" s="43">
        <f>IF($E657=0,0,YEAR($E657))</f>
      </c>
      <c r="G657" s="43">
        <f>IF(INDEX(DarlBindung,2)="",1,IF($E657&lt;=INDEX(DarlBindung,2),1,0))</f>
      </c>
      <c r="H657" s="43">
        <f>IF($G657=1,INDEX(DarlSollzins,2),INDEX(DarlAnschluss,2))</f>
      </c>
      <c r="I657" s="43">
        <f>IF(INDEX(DarlBelegt,2)=0,0,IF(INDEX(DarlOhneTilgung,2)=1,IF(INDEX(DarlBindung,2)="",1,$G657),IF($J657&gt;0.005,1,0)))</f>
      </c>
      <c r="J657" s="43">
        <f>IF($I656=0,0,$R656)</f>
      </c>
      <c r="K657" s="43">
        <f>IF($I657=0,0,IF(INDEX(DarlOhneTilgung,2)=1,0,IF(AND(INDEX(DarlTilgStart,2)&gt;0,$E657=INDEX(DarlTilgStart,2)),$J657*($H657+INDEX(DarlTilgung,2))/100/12,IF(AND($G657=0,$G656=1),MAX($K656,$J657*($H657+1)/100/12),$K656))))</f>
      </c>
      <c r="L657" s="43">
        <f>IF($I657=0,0,$J657*$H657/100/12)</f>
      </c>
      <c r="M657" s="43">
        <f>IF($I657=0,0,IF(OR(INDEX(DarlOhneTilgung,2)=1,AND(INDEX(DarlTilgStart,2)&gt;0,$E657&lt;INDEX(DarlTilgStart,2))),0,MIN(MAX(0,$K657-$L657),$J657)))</f>
      </c>
      <c r="N657" s="43">
        <f>IF($I657=0,0,MIN(SUMIFS(SondBetrag,SondDarl,2,SondDatum,"&gt;="&amp;$E657,SondDatum,"&lt;="&amp;EOMONTH($E657,0)),$J657-$M657))</f>
      </c>
      <c r="O657" s="43">
        <f>IF($I657=0,0,INDEX(DarlErsatzRate,2))</f>
      </c>
      <c r="P657" s="43">
        <f>IF($I657=0,0,$Q656*INDEX(DarlErsatzZins,2))</f>
      </c>
      <c r="Q657" s="43">
        <f>IF($I657=0,0,$Q656+$P657+$O657)</f>
      </c>
      <c r="R657" s="43">
        <f>IF($I657=0,0,$J657-$M657-$N657)</f>
      </c>
    </row>
    <row r="658">
      <c r="A658"/>
      <c r="B658">
        <v>2</v>
      </c>
      <c r="C658" s="43">
        <f>INDEX(DarlObj,2)</f>
      </c>
      <c r="D658">
        <v>175</v>
      </c>
      <c r="E658" s="51">
        <f>IF(INDEX(DarlBelegt,2)=0,0,EOMONTH(INDEX(DarlAuszahlung,2),174)+1)</f>
      </c>
      <c r="F658" s="43">
        <f>IF($E658=0,0,YEAR($E658))</f>
      </c>
      <c r="G658" s="43">
        <f>IF(INDEX(DarlBindung,2)="",1,IF($E658&lt;=INDEX(DarlBindung,2),1,0))</f>
      </c>
      <c r="H658" s="43">
        <f>IF($G658=1,INDEX(DarlSollzins,2),INDEX(DarlAnschluss,2))</f>
      </c>
      <c r="I658" s="43">
        <f>IF(INDEX(DarlBelegt,2)=0,0,IF(INDEX(DarlOhneTilgung,2)=1,IF(INDEX(DarlBindung,2)="",1,$G658),IF($J658&gt;0.005,1,0)))</f>
      </c>
      <c r="J658" s="43">
        <f>IF($I657=0,0,$R657)</f>
      </c>
      <c r="K658" s="43">
        <f>IF($I658=0,0,IF(INDEX(DarlOhneTilgung,2)=1,0,IF(AND(INDEX(DarlTilgStart,2)&gt;0,$E658=INDEX(DarlTilgStart,2)),$J658*($H658+INDEX(DarlTilgung,2))/100/12,IF(AND($G658=0,$G657=1),MAX($K657,$J658*($H658+1)/100/12),$K657))))</f>
      </c>
      <c r="L658" s="43">
        <f>IF($I658=0,0,$J658*$H658/100/12)</f>
      </c>
      <c r="M658" s="43">
        <f>IF($I658=0,0,IF(OR(INDEX(DarlOhneTilgung,2)=1,AND(INDEX(DarlTilgStart,2)&gt;0,$E658&lt;INDEX(DarlTilgStart,2))),0,MIN(MAX(0,$K658-$L658),$J658)))</f>
      </c>
      <c r="N658" s="43">
        <f>IF($I658=0,0,MIN(SUMIFS(SondBetrag,SondDarl,2,SondDatum,"&gt;="&amp;$E658,SondDatum,"&lt;="&amp;EOMONTH($E658,0)),$J658-$M658))</f>
      </c>
      <c r="O658" s="43">
        <f>IF($I658=0,0,INDEX(DarlErsatzRate,2))</f>
      </c>
      <c r="P658" s="43">
        <f>IF($I658=0,0,$Q657*INDEX(DarlErsatzZins,2))</f>
      </c>
      <c r="Q658" s="43">
        <f>IF($I658=0,0,$Q657+$P658+$O658)</f>
      </c>
      <c r="R658" s="43">
        <f>IF($I658=0,0,$J658-$M658-$N658)</f>
      </c>
    </row>
    <row r="659">
      <c r="A659"/>
      <c r="B659">
        <v>2</v>
      </c>
      <c r="C659" s="43">
        <f>INDEX(DarlObj,2)</f>
      </c>
      <c r="D659">
        <v>176</v>
      </c>
      <c r="E659" s="51">
        <f>IF(INDEX(DarlBelegt,2)=0,0,EOMONTH(INDEX(DarlAuszahlung,2),175)+1)</f>
      </c>
      <c r="F659" s="43">
        <f>IF($E659=0,0,YEAR($E659))</f>
      </c>
      <c r="G659" s="43">
        <f>IF(INDEX(DarlBindung,2)="",1,IF($E659&lt;=INDEX(DarlBindung,2),1,0))</f>
      </c>
      <c r="H659" s="43">
        <f>IF($G659=1,INDEX(DarlSollzins,2),INDEX(DarlAnschluss,2))</f>
      </c>
      <c r="I659" s="43">
        <f>IF(INDEX(DarlBelegt,2)=0,0,IF(INDEX(DarlOhneTilgung,2)=1,IF(INDEX(DarlBindung,2)="",1,$G659),IF($J659&gt;0.005,1,0)))</f>
      </c>
      <c r="J659" s="43">
        <f>IF($I658=0,0,$R658)</f>
      </c>
      <c r="K659" s="43">
        <f>IF($I659=0,0,IF(INDEX(DarlOhneTilgung,2)=1,0,IF(AND(INDEX(DarlTilgStart,2)&gt;0,$E659=INDEX(DarlTilgStart,2)),$J659*($H659+INDEX(DarlTilgung,2))/100/12,IF(AND($G659=0,$G658=1),MAX($K658,$J659*($H659+1)/100/12),$K658))))</f>
      </c>
      <c r="L659" s="43">
        <f>IF($I659=0,0,$J659*$H659/100/12)</f>
      </c>
      <c r="M659" s="43">
        <f>IF($I659=0,0,IF(OR(INDEX(DarlOhneTilgung,2)=1,AND(INDEX(DarlTilgStart,2)&gt;0,$E659&lt;INDEX(DarlTilgStart,2))),0,MIN(MAX(0,$K659-$L659),$J659)))</f>
      </c>
      <c r="N659" s="43">
        <f>IF($I659=0,0,MIN(SUMIFS(SondBetrag,SondDarl,2,SondDatum,"&gt;="&amp;$E659,SondDatum,"&lt;="&amp;EOMONTH($E659,0)),$J659-$M659))</f>
      </c>
      <c r="O659" s="43">
        <f>IF($I659=0,0,INDEX(DarlErsatzRate,2))</f>
      </c>
      <c r="P659" s="43">
        <f>IF($I659=0,0,$Q658*INDEX(DarlErsatzZins,2))</f>
      </c>
      <c r="Q659" s="43">
        <f>IF($I659=0,0,$Q658+$P659+$O659)</f>
      </c>
      <c r="R659" s="43">
        <f>IF($I659=0,0,$J659-$M659-$N659)</f>
      </c>
    </row>
    <row r="660">
      <c r="A660"/>
      <c r="B660">
        <v>2</v>
      </c>
      <c r="C660" s="43">
        <f>INDEX(DarlObj,2)</f>
      </c>
      <c r="D660">
        <v>177</v>
      </c>
      <c r="E660" s="51">
        <f>IF(INDEX(DarlBelegt,2)=0,0,EOMONTH(INDEX(DarlAuszahlung,2),176)+1)</f>
      </c>
      <c r="F660" s="43">
        <f>IF($E660=0,0,YEAR($E660))</f>
      </c>
      <c r="G660" s="43">
        <f>IF(INDEX(DarlBindung,2)="",1,IF($E660&lt;=INDEX(DarlBindung,2),1,0))</f>
      </c>
      <c r="H660" s="43">
        <f>IF($G660=1,INDEX(DarlSollzins,2),INDEX(DarlAnschluss,2))</f>
      </c>
      <c r="I660" s="43">
        <f>IF(INDEX(DarlBelegt,2)=0,0,IF(INDEX(DarlOhneTilgung,2)=1,IF(INDEX(DarlBindung,2)="",1,$G660),IF($J660&gt;0.005,1,0)))</f>
      </c>
      <c r="J660" s="43">
        <f>IF($I659=0,0,$R659)</f>
      </c>
      <c r="K660" s="43">
        <f>IF($I660=0,0,IF(INDEX(DarlOhneTilgung,2)=1,0,IF(AND(INDEX(DarlTilgStart,2)&gt;0,$E660=INDEX(DarlTilgStart,2)),$J660*($H660+INDEX(DarlTilgung,2))/100/12,IF(AND($G660=0,$G659=1),MAX($K659,$J660*($H660+1)/100/12),$K659))))</f>
      </c>
      <c r="L660" s="43">
        <f>IF($I660=0,0,$J660*$H660/100/12)</f>
      </c>
      <c r="M660" s="43">
        <f>IF($I660=0,0,IF(OR(INDEX(DarlOhneTilgung,2)=1,AND(INDEX(DarlTilgStart,2)&gt;0,$E660&lt;INDEX(DarlTilgStart,2))),0,MIN(MAX(0,$K660-$L660),$J660)))</f>
      </c>
      <c r="N660" s="43">
        <f>IF($I660=0,0,MIN(SUMIFS(SondBetrag,SondDarl,2,SondDatum,"&gt;="&amp;$E660,SondDatum,"&lt;="&amp;EOMONTH($E660,0)),$J660-$M660))</f>
      </c>
      <c r="O660" s="43">
        <f>IF($I660=0,0,INDEX(DarlErsatzRate,2))</f>
      </c>
      <c r="P660" s="43">
        <f>IF($I660=0,0,$Q659*INDEX(DarlErsatzZins,2))</f>
      </c>
      <c r="Q660" s="43">
        <f>IF($I660=0,0,$Q659+$P660+$O660)</f>
      </c>
      <c r="R660" s="43">
        <f>IF($I660=0,0,$J660-$M660-$N660)</f>
      </c>
    </row>
    <row r="661">
      <c r="A661"/>
      <c r="B661">
        <v>2</v>
      </c>
      <c r="C661" s="43">
        <f>INDEX(DarlObj,2)</f>
      </c>
      <c r="D661">
        <v>178</v>
      </c>
      <c r="E661" s="51">
        <f>IF(INDEX(DarlBelegt,2)=0,0,EOMONTH(INDEX(DarlAuszahlung,2),177)+1)</f>
      </c>
      <c r="F661" s="43">
        <f>IF($E661=0,0,YEAR($E661))</f>
      </c>
      <c r="G661" s="43">
        <f>IF(INDEX(DarlBindung,2)="",1,IF($E661&lt;=INDEX(DarlBindung,2),1,0))</f>
      </c>
      <c r="H661" s="43">
        <f>IF($G661=1,INDEX(DarlSollzins,2),INDEX(DarlAnschluss,2))</f>
      </c>
      <c r="I661" s="43">
        <f>IF(INDEX(DarlBelegt,2)=0,0,IF(INDEX(DarlOhneTilgung,2)=1,IF(INDEX(DarlBindung,2)="",1,$G661),IF($J661&gt;0.005,1,0)))</f>
      </c>
      <c r="J661" s="43">
        <f>IF($I660=0,0,$R660)</f>
      </c>
      <c r="K661" s="43">
        <f>IF($I661=0,0,IF(INDEX(DarlOhneTilgung,2)=1,0,IF(AND(INDEX(DarlTilgStart,2)&gt;0,$E661=INDEX(DarlTilgStart,2)),$J661*($H661+INDEX(DarlTilgung,2))/100/12,IF(AND($G661=0,$G660=1),MAX($K660,$J661*($H661+1)/100/12),$K660))))</f>
      </c>
      <c r="L661" s="43">
        <f>IF($I661=0,0,$J661*$H661/100/12)</f>
      </c>
      <c r="M661" s="43">
        <f>IF($I661=0,0,IF(OR(INDEX(DarlOhneTilgung,2)=1,AND(INDEX(DarlTilgStart,2)&gt;0,$E661&lt;INDEX(DarlTilgStart,2))),0,MIN(MAX(0,$K661-$L661),$J661)))</f>
      </c>
      <c r="N661" s="43">
        <f>IF($I661=0,0,MIN(SUMIFS(SondBetrag,SondDarl,2,SondDatum,"&gt;="&amp;$E661,SondDatum,"&lt;="&amp;EOMONTH($E661,0)),$J661-$M661))</f>
      </c>
      <c r="O661" s="43">
        <f>IF($I661=0,0,INDEX(DarlErsatzRate,2))</f>
      </c>
      <c r="P661" s="43">
        <f>IF($I661=0,0,$Q660*INDEX(DarlErsatzZins,2))</f>
      </c>
      <c r="Q661" s="43">
        <f>IF($I661=0,0,$Q660+$P661+$O661)</f>
      </c>
      <c r="R661" s="43">
        <f>IF($I661=0,0,$J661-$M661-$N661)</f>
      </c>
    </row>
    <row r="662">
      <c r="A662"/>
      <c r="B662">
        <v>2</v>
      </c>
      <c r="C662" s="43">
        <f>INDEX(DarlObj,2)</f>
      </c>
      <c r="D662">
        <v>179</v>
      </c>
      <c r="E662" s="51">
        <f>IF(INDEX(DarlBelegt,2)=0,0,EOMONTH(INDEX(DarlAuszahlung,2),178)+1)</f>
      </c>
      <c r="F662" s="43">
        <f>IF($E662=0,0,YEAR($E662))</f>
      </c>
      <c r="G662" s="43">
        <f>IF(INDEX(DarlBindung,2)="",1,IF($E662&lt;=INDEX(DarlBindung,2),1,0))</f>
      </c>
      <c r="H662" s="43">
        <f>IF($G662=1,INDEX(DarlSollzins,2),INDEX(DarlAnschluss,2))</f>
      </c>
      <c r="I662" s="43">
        <f>IF(INDEX(DarlBelegt,2)=0,0,IF(INDEX(DarlOhneTilgung,2)=1,IF(INDEX(DarlBindung,2)="",1,$G662),IF($J662&gt;0.005,1,0)))</f>
      </c>
      <c r="J662" s="43">
        <f>IF($I661=0,0,$R661)</f>
      </c>
      <c r="K662" s="43">
        <f>IF($I662=0,0,IF(INDEX(DarlOhneTilgung,2)=1,0,IF(AND(INDEX(DarlTilgStart,2)&gt;0,$E662=INDEX(DarlTilgStart,2)),$J662*($H662+INDEX(DarlTilgung,2))/100/12,IF(AND($G662=0,$G661=1),MAX($K661,$J662*($H662+1)/100/12),$K661))))</f>
      </c>
      <c r="L662" s="43">
        <f>IF($I662=0,0,$J662*$H662/100/12)</f>
      </c>
      <c r="M662" s="43">
        <f>IF($I662=0,0,IF(OR(INDEX(DarlOhneTilgung,2)=1,AND(INDEX(DarlTilgStart,2)&gt;0,$E662&lt;INDEX(DarlTilgStart,2))),0,MIN(MAX(0,$K662-$L662),$J662)))</f>
      </c>
      <c r="N662" s="43">
        <f>IF($I662=0,0,MIN(SUMIFS(SondBetrag,SondDarl,2,SondDatum,"&gt;="&amp;$E662,SondDatum,"&lt;="&amp;EOMONTH($E662,0)),$J662-$M662))</f>
      </c>
      <c r="O662" s="43">
        <f>IF($I662=0,0,INDEX(DarlErsatzRate,2))</f>
      </c>
      <c r="P662" s="43">
        <f>IF($I662=0,0,$Q661*INDEX(DarlErsatzZins,2))</f>
      </c>
      <c r="Q662" s="43">
        <f>IF($I662=0,0,$Q661+$P662+$O662)</f>
      </c>
      <c r="R662" s="43">
        <f>IF($I662=0,0,$J662-$M662-$N662)</f>
      </c>
    </row>
    <row r="663">
      <c r="A663"/>
      <c r="B663">
        <v>2</v>
      </c>
      <c r="C663" s="43">
        <f>INDEX(DarlObj,2)</f>
      </c>
      <c r="D663">
        <v>180</v>
      </c>
      <c r="E663" s="51">
        <f>IF(INDEX(DarlBelegt,2)=0,0,EOMONTH(INDEX(DarlAuszahlung,2),179)+1)</f>
      </c>
      <c r="F663" s="43">
        <f>IF($E663=0,0,YEAR($E663))</f>
      </c>
      <c r="G663" s="43">
        <f>IF(INDEX(DarlBindung,2)="",1,IF($E663&lt;=INDEX(DarlBindung,2),1,0))</f>
      </c>
      <c r="H663" s="43">
        <f>IF($G663=1,INDEX(DarlSollzins,2),INDEX(DarlAnschluss,2))</f>
      </c>
      <c r="I663" s="43">
        <f>IF(INDEX(DarlBelegt,2)=0,0,IF(INDEX(DarlOhneTilgung,2)=1,IF(INDEX(DarlBindung,2)="",1,$G663),IF($J663&gt;0.005,1,0)))</f>
      </c>
      <c r="J663" s="43">
        <f>IF($I662=0,0,$R662)</f>
      </c>
      <c r="K663" s="43">
        <f>IF($I663=0,0,IF(INDEX(DarlOhneTilgung,2)=1,0,IF(AND(INDEX(DarlTilgStart,2)&gt;0,$E663=INDEX(DarlTilgStart,2)),$J663*($H663+INDEX(DarlTilgung,2))/100/12,IF(AND($G663=0,$G662=1),MAX($K662,$J663*($H663+1)/100/12),$K662))))</f>
      </c>
      <c r="L663" s="43">
        <f>IF($I663=0,0,$J663*$H663/100/12)</f>
      </c>
      <c r="M663" s="43">
        <f>IF($I663=0,0,IF(OR(INDEX(DarlOhneTilgung,2)=1,AND(INDEX(DarlTilgStart,2)&gt;0,$E663&lt;INDEX(DarlTilgStart,2))),0,MIN(MAX(0,$K663-$L663),$J663)))</f>
      </c>
      <c r="N663" s="43">
        <f>IF($I663=0,0,MIN(SUMIFS(SondBetrag,SondDarl,2,SondDatum,"&gt;="&amp;$E663,SondDatum,"&lt;="&amp;EOMONTH($E663,0)),$J663-$M663))</f>
      </c>
      <c r="O663" s="43">
        <f>IF($I663=0,0,INDEX(DarlErsatzRate,2))</f>
      </c>
      <c r="P663" s="43">
        <f>IF($I663=0,0,$Q662*INDEX(DarlErsatzZins,2))</f>
      </c>
      <c r="Q663" s="43">
        <f>IF($I663=0,0,$Q662+$P663+$O663)</f>
      </c>
      <c r="R663" s="43">
        <f>IF($I663=0,0,$J663-$M663-$N663)</f>
      </c>
    </row>
    <row r="664">
      <c r="A664"/>
      <c r="B664">
        <v>2</v>
      </c>
      <c r="C664" s="43">
        <f>INDEX(DarlObj,2)</f>
      </c>
      <c r="D664">
        <v>181</v>
      </c>
      <c r="E664" s="51">
        <f>IF(INDEX(DarlBelegt,2)=0,0,EOMONTH(INDEX(DarlAuszahlung,2),180)+1)</f>
      </c>
      <c r="F664" s="43">
        <f>IF($E664=0,0,YEAR($E664))</f>
      </c>
      <c r="G664" s="43">
        <f>IF(INDEX(DarlBindung,2)="",1,IF($E664&lt;=INDEX(DarlBindung,2),1,0))</f>
      </c>
      <c r="H664" s="43">
        <f>IF($G664=1,INDEX(DarlSollzins,2),INDEX(DarlAnschluss,2))</f>
      </c>
      <c r="I664" s="43">
        <f>IF(INDEX(DarlBelegt,2)=0,0,IF(INDEX(DarlOhneTilgung,2)=1,IF(INDEX(DarlBindung,2)="",1,$G664),IF($J664&gt;0.005,1,0)))</f>
      </c>
      <c r="J664" s="43">
        <f>IF($I663=0,0,$R663)</f>
      </c>
      <c r="K664" s="43">
        <f>IF($I664=0,0,IF(INDEX(DarlOhneTilgung,2)=1,0,IF(AND(INDEX(DarlTilgStart,2)&gt;0,$E664=INDEX(DarlTilgStart,2)),$J664*($H664+INDEX(DarlTilgung,2))/100/12,IF(AND($G664=0,$G663=1),MAX($K663,$J664*($H664+1)/100/12),$K663))))</f>
      </c>
      <c r="L664" s="43">
        <f>IF($I664=0,0,$J664*$H664/100/12)</f>
      </c>
      <c r="M664" s="43">
        <f>IF($I664=0,0,IF(OR(INDEX(DarlOhneTilgung,2)=1,AND(INDEX(DarlTilgStart,2)&gt;0,$E664&lt;INDEX(DarlTilgStart,2))),0,MIN(MAX(0,$K664-$L664),$J664)))</f>
      </c>
      <c r="N664" s="43">
        <f>IF($I664=0,0,MIN(SUMIFS(SondBetrag,SondDarl,2,SondDatum,"&gt;="&amp;$E664,SondDatum,"&lt;="&amp;EOMONTH($E664,0)),$J664-$M664))</f>
      </c>
      <c r="O664" s="43">
        <f>IF($I664=0,0,INDEX(DarlErsatzRate,2))</f>
      </c>
      <c r="P664" s="43">
        <f>IF($I664=0,0,$Q663*INDEX(DarlErsatzZins,2))</f>
      </c>
      <c r="Q664" s="43">
        <f>IF($I664=0,0,$Q663+$P664+$O664)</f>
      </c>
      <c r="R664" s="43">
        <f>IF($I664=0,0,$J664-$M664-$N664)</f>
      </c>
    </row>
    <row r="665">
      <c r="A665"/>
      <c r="B665">
        <v>2</v>
      </c>
      <c r="C665" s="43">
        <f>INDEX(DarlObj,2)</f>
      </c>
      <c r="D665">
        <v>182</v>
      </c>
      <c r="E665" s="51">
        <f>IF(INDEX(DarlBelegt,2)=0,0,EOMONTH(INDEX(DarlAuszahlung,2),181)+1)</f>
      </c>
      <c r="F665" s="43">
        <f>IF($E665=0,0,YEAR($E665))</f>
      </c>
      <c r="G665" s="43">
        <f>IF(INDEX(DarlBindung,2)="",1,IF($E665&lt;=INDEX(DarlBindung,2),1,0))</f>
      </c>
      <c r="H665" s="43">
        <f>IF($G665=1,INDEX(DarlSollzins,2),INDEX(DarlAnschluss,2))</f>
      </c>
      <c r="I665" s="43">
        <f>IF(INDEX(DarlBelegt,2)=0,0,IF(INDEX(DarlOhneTilgung,2)=1,IF(INDEX(DarlBindung,2)="",1,$G665),IF($J665&gt;0.005,1,0)))</f>
      </c>
      <c r="J665" s="43">
        <f>IF($I664=0,0,$R664)</f>
      </c>
      <c r="K665" s="43">
        <f>IF($I665=0,0,IF(INDEX(DarlOhneTilgung,2)=1,0,IF(AND(INDEX(DarlTilgStart,2)&gt;0,$E665=INDEX(DarlTilgStart,2)),$J665*($H665+INDEX(DarlTilgung,2))/100/12,IF(AND($G665=0,$G664=1),MAX($K664,$J665*($H665+1)/100/12),$K664))))</f>
      </c>
      <c r="L665" s="43">
        <f>IF($I665=0,0,$J665*$H665/100/12)</f>
      </c>
      <c r="M665" s="43">
        <f>IF($I665=0,0,IF(OR(INDEX(DarlOhneTilgung,2)=1,AND(INDEX(DarlTilgStart,2)&gt;0,$E665&lt;INDEX(DarlTilgStart,2))),0,MIN(MAX(0,$K665-$L665),$J665)))</f>
      </c>
      <c r="N665" s="43">
        <f>IF($I665=0,0,MIN(SUMIFS(SondBetrag,SondDarl,2,SondDatum,"&gt;="&amp;$E665,SondDatum,"&lt;="&amp;EOMONTH($E665,0)),$J665-$M665))</f>
      </c>
      <c r="O665" s="43">
        <f>IF($I665=0,0,INDEX(DarlErsatzRate,2))</f>
      </c>
      <c r="P665" s="43">
        <f>IF($I665=0,0,$Q664*INDEX(DarlErsatzZins,2))</f>
      </c>
      <c r="Q665" s="43">
        <f>IF($I665=0,0,$Q664+$P665+$O665)</f>
      </c>
      <c r="R665" s="43">
        <f>IF($I665=0,0,$J665-$M665-$N665)</f>
      </c>
    </row>
    <row r="666">
      <c r="A666"/>
      <c r="B666">
        <v>2</v>
      </c>
      <c r="C666" s="43">
        <f>INDEX(DarlObj,2)</f>
      </c>
      <c r="D666">
        <v>183</v>
      </c>
      <c r="E666" s="51">
        <f>IF(INDEX(DarlBelegt,2)=0,0,EOMONTH(INDEX(DarlAuszahlung,2),182)+1)</f>
      </c>
      <c r="F666" s="43">
        <f>IF($E666=0,0,YEAR($E666))</f>
      </c>
      <c r="G666" s="43">
        <f>IF(INDEX(DarlBindung,2)="",1,IF($E666&lt;=INDEX(DarlBindung,2),1,0))</f>
      </c>
      <c r="H666" s="43">
        <f>IF($G666=1,INDEX(DarlSollzins,2),INDEX(DarlAnschluss,2))</f>
      </c>
      <c r="I666" s="43">
        <f>IF(INDEX(DarlBelegt,2)=0,0,IF(INDEX(DarlOhneTilgung,2)=1,IF(INDEX(DarlBindung,2)="",1,$G666),IF($J666&gt;0.005,1,0)))</f>
      </c>
      <c r="J666" s="43">
        <f>IF($I665=0,0,$R665)</f>
      </c>
      <c r="K666" s="43">
        <f>IF($I666=0,0,IF(INDEX(DarlOhneTilgung,2)=1,0,IF(AND(INDEX(DarlTilgStart,2)&gt;0,$E666=INDEX(DarlTilgStart,2)),$J666*($H666+INDEX(DarlTilgung,2))/100/12,IF(AND($G666=0,$G665=1),MAX($K665,$J666*($H666+1)/100/12),$K665))))</f>
      </c>
      <c r="L666" s="43">
        <f>IF($I666=0,0,$J666*$H666/100/12)</f>
      </c>
      <c r="M666" s="43">
        <f>IF($I666=0,0,IF(OR(INDEX(DarlOhneTilgung,2)=1,AND(INDEX(DarlTilgStart,2)&gt;0,$E666&lt;INDEX(DarlTilgStart,2))),0,MIN(MAX(0,$K666-$L666),$J666)))</f>
      </c>
      <c r="N666" s="43">
        <f>IF($I666=0,0,MIN(SUMIFS(SondBetrag,SondDarl,2,SondDatum,"&gt;="&amp;$E666,SondDatum,"&lt;="&amp;EOMONTH($E666,0)),$J666-$M666))</f>
      </c>
      <c r="O666" s="43">
        <f>IF($I666=0,0,INDEX(DarlErsatzRate,2))</f>
      </c>
      <c r="P666" s="43">
        <f>IF($I666=0,0,$Q665*INDEX(DarlErsatzZins,2))</f>
      </c>
      <c r="Q666" s="43">
        <f>IF($I666=0,0,$Q665+$P666+$O666)</f>
      </c>
      <c r="R666" s="43">
        <f>IF($I666=0,0,$J666-$M666-$N666)</f>
      </c>
    </row>
    <row r="667">
      <c r="A667"/>
      <c r="B667">
        <v>2</v>
      </c>
      <c r="C667" s="43">
        <f>INDEX(DarlObj,2)</f>
      </c>
      <c r="D667">
        <v>184</v>
      </c>
      <c r="E667" s="51">
        <f>IF(INDEX(DarlBelegt,2)=0,0,EOMONTH(INDEX(DarlAuszahlung,2),183)+1)</f>
      </c>
      <c r="F667" s="43">
        <f>IF($E667=0,0,YEAR($E667))</f>
      </c>
      <c r="G667" s="43">
        <f>IF(INDEX(DarlBindung,2)="",1,IF($E667&lt;=INDEX(DarlBindung,2),1,0))</f>
      </c>
      <c r="H667" s="43">
        <f>IF($G667=1,INDEX(DarlSollzins,2),INDEX(DarlAnschluss,2))</f>
      </c>
      <c r="I667" s="43">
        <f>IF(INDEX(DarlBelegt,2)=0,0,IF(INDEX(DarlOhneTilgung,2)=1,IF(INDEX(DarlBindung,2)="",1,$G667),IF($J667&gt;0.005,1,0)))</f>
      </c>
      <c r="J667" s="43">
        <f>IF($I666=0,0,$R666)</f>
      </c>
      <c r="K667" s="43">
        <f>IF($I667=0,0,IF(INDEX(DarlOhneTilgung,2)=1,0,IF(AND(INDEX(DarlTilgStart,2)&gt;0,$E667=INDEX(DarlTilgStart,2)),$J667*($H667+INDEX(DarlTilgung,2))/100/12,IF(AND($G667=0,$G666=1),MAX($K666,$J667*($H667+1)/100/12),$K666))))</f>
      </c>
      <c r="L667" s="43">
        <f>IF($I667=0,0,$J667*$H667/100/12)</f>
      </c>
      <c r="M667" s="43">
        <f>IF($I667=0,0,IF(OR(INDEX(DarlOhneTilgung,2)=1,AND(INDEX(DarlTilgStart,2)&gt;0,$E667&lt;INDEX(DarlTilgStart,2))),0,MIN(MAX(0,$K667-$L667),$J667)))</f>
      </c>
      <c r="N667" s="43">
        <f>IF($I667=0,0,MIN(SUMIFS(SondBetrag,SondDarl,2,SondDatum,"&gt;="&amp;$E667,SondDatum,"&lt;="&amp;EOMONTH($E667,0)),$J667-$M667))</f>
      </c>
      <c r="O667" s="43">
        <f>IF($I667=0,0,INDEX(DarlErsatzRate,2))</f>
      </c>
      <c r="P667" s="43">
        <f>IF($I667=0,0,$Q666*INDEX(DarlErsatzZins,2))</f>
      </c>
      <c r="Q667" s="43">
        <f>IF($I667=0,0,$Q666+$P667+$O667)</f>
      </c>
      <c r="R667" s="43">
        <f>IF($I667=0,0,$J667-$M667-$N667)</f>
      </c>
    </row>
    <row r="668">
      <c r="A668"/>
      <c r="B668">
        <v>2</v>
      </c>
      <c r="C668" s="43">
        <f>INDEX(DarlObj,2)</f>
      </c>
      <c r="D668">
        <v>185</v>
      </c>
      <c r="E668" s="51">
        <f>IF(INDEX(DarlBelegt,2)=0,0,EOMONTH(INDEX(DarlAuszahlung,2),184)+1)</f>
      </c>
      <c r="F668" s="43">
        <f>IF($E668=0,0,YEAR($E668))</f>
      </c>
      <c r="G668" s="43">
        <f>IF(INDEX(DarlBindung,2)="",1,IF($E668&lt;=INDEX(DarlBindung,2),1,0))</f>
      </c>
      <c r="H668" s="43">
        <f>IF($G668=1,INDEX(DarlSollzins,2),INDEX(DarlAnschluss,2))</f>
      </c>
      <c r="I668" s="43">
        <f>IF(INDEX(DarlBelegt,2)=0,0,IF(INDEX(DarlOhneTilgung,2)=1,IF(INDEX(DarlBindung,2)="",1,$G668),IF($J668&gt;0.005,1,0)))</f>
      </c>
      <c r="J668" s="43">
        <f>IF($I667=0,0,$R667)</f>
      </c>
      <c r="K668" s="43">
        <f>IF($I668=0,0,IF(INDEX(DarlOhneTilgung,2)=1,0,IF(AND(INDEX(DarlTilgStart,2)&gt;0,$E668=INDEX(DarlTilgStart,2)),$J668*($H668+INDEX(DarlTilgung,2))/100/12,IF(AND($G668=0,$G667=1),MAX($K667,$J668*($H668+1)/100/12),$K667))))</f>
      </c>
      <c r="L668" s="43">
        <f>IF($I668=0,0,$J668*$H668/100/12)</f>
      </c>
      <c r="M668" s="43">
        <f>IF($I668=0,0,IF(OR(INDEX(DarlOhneTilgung,2)=1,AND(INDEX(DarlTilgStart,2)&gt;0,$E668&lt;INDEX(DarlTilgStart,2))),0,MIN(MAX(0,$K668-$L668),$J668)))</f>
      </c>
      <c r="N668" s="43">
        <f>IF($I668=0,0,MIN(SUMIFS(SondBetrag,SondDarl,2,SondDatum,"&gt;="&amp;$E668,SondDatum,"&lt;="&amp;EOMONTH($E668,0)),$J668-$M668))</f>
      </c>
      <c r="O668" s="43">
        <f>IF($I668=0,0,INDEX(DarlErsatzRate,2))</f>
      </c>
      <c r="P668" s="43">
        <f>IF($I668=0,0,$Q667*INDEX(DarlErsatzZins,2))</f>
      </c>
      <c r="Q668" s="43">
        <f>IF($I668=0,0,$Q667+$P668+$O668)</f>
      </c>
      <c r="R668" s="43">
        <f>IF($I668=0,0,$J668-$M668-$N668)</f>
      </c>
    </row>
    <row r="669">
      <c r="A669"/>
      <c r="B669">
        <v>2</v>
      </c>
      <c r="C669" s="43">
        <f>INDEX(DarlObj,2)</f>
      </c>
      <c r="D669">
        <v>186</v>
      </c>
      <c r="E669" s="51">
        <f>IF(INDEX(DarlBelegt,2)=0,0,EOMONTH(INDEX(DarlAuszahlung,2),185)+1)</f>
      </c>
      <c r="F669" s="43">
        <f>IF($E669=0,0,YEAR($E669))</f>
      </c>
      <c r="G669" s="43">
        <f>IF(INDEX(DarlBindung,2)="",1,IF($E669&lt;=INDEX(DarlBindung,2),1,0))</f>
      </c>
      <c r="H669" s="43">
        <f>IF($G669=1,INDEX(DarlSollzins,2),INDEX(DarlAnschluss,2))</f>
      </c>
      <c r="I669" s="43">
        <f>IF(INDEX(DarlBelegt,2)=0,0,IF(INDEX(DarlOhneTilgung,2)=1,IF(INDEX(DarlBindung,2)="",1,$G669),IF($J669&gt;0.005,1,0)))</f>
      </c>
      <c r="J669" s="43">
        <f>IF($I668=0,0,$R668)</f>
      </c>
      <c r="K669" s="43">
        <f>IF($I669=0,0,IF(INDEX(DarlOhneTilgung,2)=1,0,IF(AND(INDEX(DarlTilgStart,2)&gt;0,$E669=INDEX(DarlTilgStart,2)),$J669*($H669+INDEX(DarlTilgung,2))/100/12,IF(AND($G669=0,$G668=1),MAX($K668,$J669*($H669+1)/100/12),$K668))))</f>
      </c>
      <c r="L669" s="43">
        <f>IF($I669=0,0,$J669*$H669/100/12)</f>
      </c>
      <c r="M669" s="43">
        <f>IF($I669=0,0,IF(OR(INDEX(DarlOhneTilgung,2)=1,AND(INDEX(DarlTilgStart,2)&gt;0,$E669&lt;INDEX(DarlTilgStart,2))),0,MIN(MAX(0,$K669-$L669),$J669)))</f>
      </c>
      <c r="N669" s="43">
        <f>IF($I669=0,0,MIN(SUMIFS(SondBetrag,SondDarl,2,SondDatum,"&gt;="&amp;$E669,SondDatum,"&lt;="&amp;EOMONTH($E669,0)),$J669-$M669))</f>
      </c>
      <c r="O669" s="43">
        <f>IF($I669=0,0,INDEX(DarlErsatzRate,2))</f>
      </c>
      <c r="P669" s="43">
        <f>IF($I669=0,0,$Q668*INDEX(DarlErsatzZins,2))</f>
      </c>
      <c r="Q669" s="43">
        <f>IF($I669=0,0,$Q668+$P669+$O669)</f>
      </c>
      <c r="R669" s="43">
        <f>IF($I669=0,0,$J669-$M669-$N669)</f>
      </c>
    </row>
    <row r="670">
      <c r="A670"/>
      <c r="B670">
        <v>2</v>
      </c>
      <c r="C670" s="43">
        <f>INDEX(DarlObj,2)</f>
      </c>
      <c r="D670">
        <v>187</v>
      </c>
      <c r="E670" s="51">
        <f>IF(INDEX(DarlBelegt,2)=0,0,EOMONTH(INDEX(DarlAuszahlung,2),186)+1)</f>
      </c>
      <c r="F670" s="43">
        <f>IF($E670=0,0,YEAR($E670))</f>
      </c>
      <c r="G670" s="43">
        <f>IF(INDEX(DarlBindung,2)="",1,IF($E670&lt;=INDEX(DarlBindung,2),1,0))</f>
      </c>
      <c r="H670" s="43">
        <f>IF($G670=1,INDEX(DarlSollzins,2),INDEX(DarlAnschluss,2))</f>
      </c>
      <c r="I670" s="43">
        <f>IF(INDEX(DarlBelegt,2)=0,0,IF(INDEX(DarlOhneTilgung,2)=1,IF(INDEX(DarlBindung,2)="",1,$G670),IF($J670&gt;0.005,1,0)))</f>
      </c>
      <c r="J670" s="43">
        <f>IF($I669=0,0,$R669)</f>
      </c>
      <c r="K670" s="43">
        <f>IF($I670=0,0,IF(INDEX(DarlOhneTilgung,2)=1,0,IF(AND(INDEX(DarlTilgStart,2)&gt;0,$E670=INDEX(DarlTilgStart,2)),$J670*($H670+INDEX(DarlTilgung,2))/100/12,IF(AND($G670=0,$G669=1),MAX($K669,$J670*($H670+1)/100/12),$K669))))</f>
      </c>
      <c r="L670" s="43">
        <f>IF($I670=0,0,$J670*$H670/100/12)</f>
      </c>
      <c r="M670" s="43">
        <f>IF($I670=0,0,IF(OR(INDEX(DarlOhneTilgung,2)=1,AND(INDEX(DarlTilgStart,2)&gt;0,$E670&lt;INDEX(DarlTilgStart,2))),0,MIN(MAX(0,$K670-$L670),$J670)))</f>
      </c>
      <c r="N670" s="43">
        <f>IF($I670=0,0,MIN(SUMIFS(SondBetrag,SondDarl,2,SondDatum,"&gt;="&amp;$E670,SondDatum,"&lt;="&amp;EOMONTH($E670,0)),$J670-$M670))</f>
      </c>
      <c r="O670" s="43">
        <f>IF($I670=0,0,INDEX(DarlErsatzRate,2))</f>
      </c>
      <c r="P670" s="43">
        <f>IF($I670=0,0,$Q669*INDEX(DarlErsatzZins,2))</f>
      </c>
      <c r="Q670" s="43">
        <f>IF($I670=0,0,$Q669+$P670+$O670)</f>
      </c>
      <c r="R670" s="43">
        <f>IF($I670=0,0,$J670-$M670-$N670)</f>
      </c>
    </row>
    <row r="671">
      <c r="A671"/>
      <c r="B671">
        <v>2</v>
      </c>
      <c r="C671" s="43">
        <f>INDEX(DarlObj,2)</f>
      </c>
      <c r="D671">
        <v>188</v>
      </c>
      <c r="E671" s="51">
        <f>IF(INDEX(DarlBelegt,2)=0,0,EOMONTH(INDEX(DarlAuszahlung,2),187)+1)</f>
      </c>
      <c r="F671" s="43">
        <f>IF($E671=0,0,YEAR($E671))</f>
      </c>
      <c r="G671" s="43">
        <f>IF(INDEX(DarlBindung,2)="",1,IF($E671&lt;=INDEX(DarlBindung,2),1,0))</f>
      </c>
      <c r="H671" s="43">
        <f>IF($G671=1,INDEX(DarlSollzins,2),INDEX(DarlAnschluss,2))</f>
      </c>
      <c r="I671" s="43">
        <f>IF(INDEX(DarlBelegt,2)=0,0,IF(INDEX(DarlOhneTilgung,2)=1,IF(INDEX(DarlBindung,2)="",1,$G671),IF($J671&gt;0.005,1,0)))</f>
      </c>
      <c r="J671" s="43">
        <f>IF($I670=0,0,$R670)</f>
      </c>
      <c r="K671" s="43">
        <f>IF($I671=0,0,IF(INDEX(DarlOhneTilgung,2)=1,0,IF(AND(INDEX(DarlTilgStart,2)&gt;0,$E671=INDEX(DarlTilgStart,2)),$J671*($H671+INDEX(DarlTilgung,2))/100/12,IF(AND($G671=0,$G670=1),MAX($K670,$J671*($H671+1)/100/12),$K670))))</f>
      </c>
      <c r="L671" s="43">
        <f>IF($I671=0,0,$J671*$H671/100/12)</f>
      </c>
      <c r="M671" s="43">
        <f>IF($I671=0,0,IF(OR(INDEX(DarlOhneTilgung,2)=1,AND(INDEX(DarlTilgStart,2)&gt;0,$E671&lt;INDEX(DarlTilgStart,2))),0,MIN(MAX(0,$K671-$L671),$J671)))</f>
      </c>
      <c r="N671" s="43">
        <f>IF($I671=0,0,MIN(SUMIFS(SondBetrag,SondDarl,2,SondDatum,"&gt;="&amp;$E671,SondDatum,"&lt;="&amp;EOMONTH($E671,0)),$J671-$M671))</f>
      </c>
      <c r="O671" s="43">
        <f>IF($I671=0,0,INDEX(DarlErsatzRate,2))</f>
      </c>
      <c r="P671" s="43">
        <f>IF($I671=0,0,$Q670*INDEX(DarlErsatzZins,2))</f>
      </c>
      <c r="Q671" s="43">
        <f>IF($I671=0,0,$Q670+$P671+$O671)</f>
      </c>
      <c r="R671" s="43">
        <f>IF($I671=0,0,$J671-$M671-$N671)</f>
      </c>
    </row>
    <row r="672">
      <c r="A672"/>
      <c r="B672">
        <v>2</v>
      </c>
      <c r="C672" s="43">
        <f>INDEX(DarlObj,2)</f>
      </c>
      <c r="D672">
        <v>189</v>
      </c>
      <c r="E672" s="51">
        <f>IF(INDEX(DarlBelegt,2)=0,0,EOMONTH(INDEX(DarlAuszahlung,2),188)+1)</f>
      </c>
      <c r="F672" s="43">
        <f>IF($E672=0,0,YEAR($E672))</f>
      </c>
      <c r="G672" s="43">
        <f>IF(INDEX(DarlBindung,2)="",1,IF($E672&lt;=INDEX(DarlBindung,2),1,0))</f>
      </c>
      <c r="H672" s="43">
        <f>IF($G672=1,INDEX(DarlSollzins,2),INDEX(DarlAnschluss,2))</f>
      </c>
      <c r="I672" s="43">
        <f>IF(INDEX(DarlBelegt,2)=0,0,IF(INDEX(DarlOhneTilgung,2)=1,IF(INDEX(DarlBindung,2)="",1,$G672),IF($J672&gt;0.005,1,0)))</f>
      </c>
      <c r="J672" s="43">
        <f>IF($I671=0,0,$R671)</f>
      </c>
      <c r="K672" s="43">
        <f>IF($I672=0,0,IF(INDEX(DarlOhneTilgung,2)=1,0,IF(AND(INDEX(DarlTilgStart,2)&gt;0,$E672=INDEX(DarlTilgStart,2)),$J672*($H672+INDEX(DarlTilgung,2))/100/12,IF(AND($G672=0,$G671=1),MAX($K671,$J672*($H672+1)/100/12),$K671))))</f>
      </c>
      <c r="L672" s="43">
        <f>IF($I672=0,0,$J672*$H672/100/12)</f>
      </c>
      <c r="M672" s="43">
        <f>IF($I672=0,0,IF(OR(INDEX(DarlOhneTilgung,2)=1,AND(INDEX(DarlTilgStart,2)&gt;0,$E672&lt;INDEX(DarlTilgStart,2))),0,MIN(MAX(0,$K672-$L672),$J672)))</f>
      </c>
      <c r="N672" s="43">
        <f>IF($I672=0,0,MIN(SUMIFS(SondBetrag,SondDarl,2,SondDatum,"&gt;="&amp;$E672,SondDatum,"&lt;="&amp;EOMONTH($E672,0)),$J672-$M672))</f>
      </c>
      <c r="O672" s="43">
        <f>IF($I672=0,0,INDEX(DarlErsatzRate,2))</f>
      </c>
      <c r="P672" s="43">
        <f>IF($I672=0,0,$Q671*INDEX(DarlErsatzZins,2))</f>
      </c>
      <c r="Q672" s="43">
        <f>IF($I672=0,0,$Q671+$P672+$O672)</f>
      </c>
      <c r="R672" s="43">
        <f>IF($I672=0,0,$J672-$M672-$N672)</f>
      </c>
    </row>
    <row r="673">
      <c r="A673"/>
      <c r="B673">
        <v>2</v>
      </c>
      <c r="C673" s="43">
        <f>INDEX(DarlObj,2)</f>
      </c>
      <c r="D673">
        <v>190</v>
      </c>
      <c r="E673" s="51">
        <f>IF(INDEX(DarlBelegt,2)=0,0,EOMONTH(INDEX(DarlAuszahlung,2),189)+1)</f>
      </c>
      <c r="F673" s="43">
        <f>IF($E673=0,0,YEAR($E673))</f>
      </c>
      <c r="G673" s="43">
        <f>IF(INDEX(DarlBindung,2)="",1,IF($E673&lt;=INDEX(DarlBindung,2),1,0))</f>
      </c>
      <c r="H673" s="43">
        <f>IF($G673=1,INDEX(DarlSollzins,2),INDEX(DarlAnschluss,2))</f>
      </c>
      <c r="I673" s="43">
        <f>IF(INDEX(DarlBelegt,2)=0,0,IF(INDEX(DarlOhneTilgung,2)=1,IF(INDEX(DarlBindung,2)="",1,$G673),IF($J673&gt;0.005,1,0)))</f>
      </c>
      <c r="J673" s="43">
        <f>IF($I672=0,0,$R672)</f>
      </c>
      <c r="K673" s="43">
        <f>IF($I673=0,0,IF(INDEX(DarlOhneTilgung,2)=1,0,IF(AND(INDEX(DarlTilgStart,2)&gt;0,$E673=INDEX(DarlTilgStart,2)),$J673*($H673+INDEX(DarlTilgung,2))/100/12,IF(AND($G673=0,$G672=1),MAX($K672,$J673*($H673+1)/100/12),$K672))))</f>
      </c>
      <c r="L673" s="43">
        <f>IF($I673=0,0,$J673*$H673/100/12)</f>
      </c>
      <c r="M673" s="43">
        <f>IF($I673=0,0,IF(OR(INDEX(DarlOhneTilgung,2)=1,AND(INDEX(DarlTilgStart,2)&gt;0,$E673&lt;INDEX(DarlTilgStart,2))),0,MIN(MAX(0,$K673-$L673),$J673)))</f>
      </c>
      <c r="N673" s="43">
        <f>IF($I673=0,0,MIN(SUMIFS(SondBetrag,SondDarl,2,SondDatum,"&gt;="&amp;$E673,SondDatum,"&lt;="&amp;EOMONTH($E673,0)),$J673-$M673))</f>
      </c>
      <c r="O673" s="43">
        <f>IF($I673=0,0,INDEX(DarlErsatzRate,2))</f>
      </c>
      <c r="P673" s="43">
        <f>IF($I673=0,0,$Q672*INDEX(DarlErsatzZins,2))</f>
      </c>
      <c r="Q673" s="43">
        <f>IF($I673=0,0,$Q672+$P673+$O673)</f>
      </c>
      <c r="R673" s="43">
        <f>IF($I673=0,0,$J673-$M673-$N673)</f>
      </c>
    </row>
    <row r="674">
      <c r="A674"/>
      <c r="B674">
        <v>2</v>
      </c>
      <c r="C674" s="43">
        <f>INDEX(DarlObj,2)</f>
      </c>
      <c r="D674">
        <v>191</v>
      </c>
      <c r="E674" s="51">
        <f>IF(INDEX(DarlBelegt,2)=0,0,EOMONTH(INDEX(DarlAuszahlung,2),190)+1)</f>
      </c>
      <c r="F674" s="43">
        <f>IF($E674=0,0,YEAR($E674))</f>
      </c>
      <c r="G674" s="43">
        <f>IF(INDEX(DarlBindung,2)="",1,IF($E674&lt;=INDEX(DarlBindung,2),1,0))</f>
      </c>
      <c r="H674" s="43">
        <f>IF($G674=1,INDEX(DarlSollzins,2),INDEX(DarlAnschluss,2))</f>
      </c>
      <c r="I674" s="43">
        <f>IF(INDEX(DarlBelegt,2)=0,0,IF(INDEX(DarlOhneTilgung,2)=1,IF(INDEX(DarlBindung,2)="",1,$G674),IF($J674&gt;0.005,1,0)))</f>
      </c>
      <c r="J674" s="43">
        <f>IF($I673=0,0,$R673)</f>
      </c>
      <c r="K674" s="43">
        <f>IF($I674=0,0,IF(INDEX(DarlOhneTilgung,2)=1,0,IF(AND(INDEX(DarlTilgStart,2)&gt;0,$E674=INDEX(DarlTilgStart,2)),$J674*($H674+INDEX(DarlTilgung,2))/100/12,IF(AND($G674=0,$G673=1),MAX($K673,$J674*($H674+1)/100/12),$K673))))</f>
      </c>
      <c r="L674" s="43">
        <f>IF($I674=0,0,$J674*$H674/100/12)</f>
      </c>
      <c r="M674" s="43">
        <f>IF($I674=0,0,IF(OR(INDEX(DarlOhneTilgung,2)=1,AND(INDEX(DarlTilgStart,2)&gt;0,$E674&lt;INDEX(DarlTilgStart,2))),0,MIN(MAX(0,$K674-$L674),$J674)))</f>
      </c>
      <c r="N674" s="43">
        <f>IF($I674=0,0,MIN(SUMIFS(SondBetrag,SondDarl,2,SondDatum,"&gt;="&amp;$E674,SondDatum,"&lt;="&amp;EOMONTH($E674,0)),$J674-$M674))</f>
      </c>
      <c r="O674" s="43">
        <f>IF($I674=0,0,INDEX(DarlErsatzRate,2))</f>
      </c>
      <c r="P674" s="43">
        <f>IF($I674=0,0,$Q673*INDEX(DarlErsatzZins,2))</f>
      </c>
      <c r="Q674" s="43">
        <f>IF($I674=0,0,$Q673+$P674+$O674)</f>
      </c>
      <c r="R674" s="43">
        <f>IF($I674=0,0,$J674-$M674-$N674)</f>
      </c>
    </row>
    <row r="675">
      <c r="A675"/>
      <c r="B675">
        <v>2</v>
      </c>
      <c r="C675" s="43">
        <f>INDEX(DarlObj,2)</f>
      </c>
      <c r="D675">
        <v>192</v>
      </c>
      <c r="E675" s="51">
        <f>IF(INDEX(DarlBelegt,2)=0,0,EOMONTH(INDEX(DarlAuszahlung,2),191)+1)</f>
      </c>
      <c r="F675" s="43">
        <f>IF($E675=0,0,YEAR($E675))</f>
      </c>
      <c r="G675" s="43">
        <f>IF(INDEX(DarlBindung,2)="",1,IF($E675&lt;=INDEX(DarlBindung,2),1,0))</f>
      </c>
      <c r="H675" s="43">
        <f>IF($G675=1,INDEX(DarlSollzins,2),INDEX(DarlAnschluss,2))</f>
      </c>
      <c r="I675" s="43">
        <f>IF(INDEX(DarlBelegt,2)=0,0,IF(INDEX(DarlOhneTilgung,2)=1,IF(INDEX(DarlBindung,2)="",1,$G675),IF($J675&gt;0.005,1,0)))</f>
      </c>
      <c r="J675" s="43">
        <f>IF($I674=0,0,$R674)</f>
      </c>
      <c r="K675" s="43">
        <f>IF($I675=0,0,IF(INDEX(DarlOhneTilgung,2)=1,0,IF(AND(INDEX(DarlTilgStart,2)&gt;0,$E675=INDEX(DarlTilgStart,2)),$J675*($H675+INDEX(DarlTilgung,2))/100/12,IF(AND($G675=0,$G674=1),MAX($K674,$J675*($H675+1)/100/12),$K674))))</f>
      </c>
      <c r="L675" s="43">
        <f>IF($I675=0,0,$J675*$H675/100/12)</f>
      </c>
      <c r="M675" s="43">
        <f>IF($I675=0,0,IF(OR(INDEX(DarlOhneTilgung,2)=1,AND(INDEX(DarlTilgStart,2)&gt;0,$E675&lt;INDEX(DarlTilgStart,2))),0,MIN(MAX(0,$K675-$L675),$J675)))</f>
      </c>
      <c r="N675" s="43">
        <f>IF($I675=0,0,MIN(SUMIFS(SondBetrag,SondDarl,2,SondDatum,"&gt;="&amp;$E675,SondDatum,"&lt;="&amp;EOMONTH($E675,0)),$J675-$M675))</f>
      </c>
      <c r="O675" s="43">
        <f>IF($I675=0,0,INDEX(DarlErsatzRate,2))</f>
      </c>
      <c r="P675" s="43">
        <f>IF($I675=0,0,$Q674*INDEX(DarlErsatzZins,2))</f>
      </c>
      <c r="Q675" s="43">
        <f>IF($I675=0,0,$Q674+$P675+$O675)</f>
      </c>
      <c r="R675" s="43">
        <f>IF($I675=0,0,$J675-$M675-$N675)</f>
      </c>
    </row>
    <row r="676">
      <c r="A676"/>
      <c r="B676">
        <v>2</v>
      </c>
      <c r="C676" s="43">
        <f>INDEX(DarlObj,2)</f>
      </c>
      <c r="D676">
        <v>193</v>
      </c>
      <c r="E676" s="51">
        <f>IF(INDEX(DarlBelegt,2)=0,0,EOMONTH(INDEX(DarlAuszahlung,2),192)+1)</f>
      </c>
      <c r="F676" s="43">
        <f>IF($E676=0,0,YEAR($E676))</f>
      </c>
      <c r="G676" s="43">
        <f>IF(INDEX(DarlBindung,2)="",1,IF($E676&lt;=INDEX(DarlBindung,2),1,0))</f>
      </c>
      <c r="H676" s="43">
        <f>IF($G676=1,INDEX(DarlSollzins,2),INDEX(DarlAnschluss,2))</f>
      </c>
      <c r="I676" s="43">
        <f>IF(INDEX(DarlBelegt,2)=0,0,IF(INDEX(DarlOhneTilgung,2)=1,IF(INDEX(DarlBindung,2)="",1,$G676),IF($J676&gt;0.005,1,0)))</f>
      </c>
      <c r="J676" s="43">
        <f>IF($I675=0,0,$R675)</f>
      </c>
      <c r="K676" s="43">
        <f>IF($I676=0,0,IF(INDEX(DarlOhneTilgung,2)=1,0,IF(AND(INDEX(DarlTilgStart,2)&gt;0,$E676=INDEX(DarlTilgStart,2)),$J676*($H676+INDEX(DarlTilgung,2))/100/12,IF(AND($G676=0,$G675=1),MAX($K675,$J676*($H676+1)/100/12),$K675))))</f>
      </c>
      <c r="L676" s="43">
        <f>IF($I676=0,0,$J676*$H676/100/12)</f>
      </c>
      <c r="M676" s="43">
        <f>IF($I676=0,0,IF(OR(INDEX(DarlOhneTilgung,2)=1,AND(INDEX(DarlTilgStart,2)&gt;0,$E676&lt;INDEX(DarlTilgStart,2))),0,MIN(MAX(0,$K676-$L676),$J676)))</f>
      </c>
      <c r="N676" s="43">
        <f>IF($I676=0,0,MIN(SUMIFS(SondBetrag,SondDarl,2,SondDatum,"&gt;="&amp;$E676,SondDatum,"&lt;="&amp;EOMONTH($E676,0)),$J676-$M676))</f>
      </c>
      <c r="O676" s="43">
        <f>IF($I676=0,0,INDEX(DarlErsatzRate,2))</f>
      </c>
      <c r="P676" s="43">
        <f>IF($I676=0,0,$Q675*INDEX(DarlErsatzZins,2))</f>
      </c>
      <c r="Q676" s="43">
        <f>IF($I676=0,0,$Q675+$P676+$O676)</f>
      </c>
      <c r="R676" s="43">
        <f>IF($I676=0,0,$J676-$M676-$N676)</f>
      </c>
    </row>
    <row r="677">
      <c r="A677"/>
      <c r="B677">
        <v>2</v>
      </c>
      <c r="C677" s="43">
        <f>INDEX(DarlObj,2)</f>
      </c>
      <c r="D677">
        <v>194</v>
      </c>
      <c r="E677" s="51">
        <f>IF(INDEX(DarlBelegt,2)=0,0,EOMONTH(INDEX(DarlAuszahlung,2),193)+1)</f>
      </c>
      <c r="F677" s="43">
        <f>IF($E677=0,0,YEAR($E677))</f>
      </c>
      <c r="G677" s="43">
        <f>IF(INDEX(DarlBindung,2)="",1,IF($E677&lt;=INDEX(DarlBindung,2),1,0))</f>
      </c>
      <c r="H677" s="43">
        <f>IF($G677=1,INDEX(DarlSollzins,2),INDEX(DarlAnschluss,2))</f>
      </c>
      <c r="I677" s="43">
        <f>IF(INDEX(DarlBelegt,2)=0,0,IF(INDEX(DarlOhneTilgung,2)=1,IF(INDEX(DarlBindung,2)="",1,$G677),IF($J677&gt;0.005,1,0)))</f>
      </c>
      <c r="J677" s="43">
        <f>IF($I676=0,0,$R676)</f>
      </c>
      <c r="K677" s="43">
        <f>IF($I677=0,0,IF(INDEX(DarlOhneTilgung,2)=1,0,IF(AND(INDEX(DarlTilgStart,2)&gt;0,$E677=INDEX(DarlTilgStart,2)),$J677*($H677+INDEX(DarlTilgung,2))/100/12,IF(AND($G677=0,$G676=1),MAX($K676,$J677*($H677+1)/100/12),$K676))))</f>
      </c>
      <c r="L677" s="43">
        <f>IF($I677=0,0,$J677*$H677/100/12)</f>
      </c>
      <c r="M677" s="43">
        <f>IF($I677=0,0,IF(OR(INDEX(DarlOhneTilgung,2)=1,AND(INDEX(DarlTilgStart,2)&gt;0,$E677&lt;INDEX(DarlTilgStart,2))),0,MIN(MAX(0,$K677-$L677),$J677)))</f>
      </c>
      <c r="N677" s="43">
        <f>IF($I677=0,0,MIN(SUMIFS(SondBetrag,SondDarl,2,SondDatum,"&gt;="&amp;$E677,SondDatum,"&lt;="&amp;EOMONTH($E677,0)),$J677-$M677))</f>
      </c>
      <c r="O677" s="43">
        <f>IF($I677=0,0,INDEX(DarlErsatzRate,2))</f>
      </c>
      <c r="P677" s="43">
        <f>IF($I677=0,0,$Q676*INDEX(DarlErsatzZins,2))</f>
      </c>
      <c r="Q677" s="43">
        <f>IF($I677=0,0,$Q676+$P677+$O677)</f>
      </c>
      <c r="R677" s="43">
        <f>IF($I677=0,0,$J677-$M677-$N677)</f>
      </c>
    </row>
    <row r="678">
      <c r="A678"/>
      <c r="B678">
        <v>2</v>
      </c>
      <c r="C678" s="43">
        <f>INDEX(DarlObj,2)</f>
      </c>
      <c r="D678">
        <v>195</v>
      </c>
      <c r="E678" s="51">
        <f>IF(INDEX(DarlBelegt,2)=0,0,EOMONTH(INDEX(DarlAuszahlung,2),194)+1)</f>
      </c>
      <c r="F678" s="43">
        <f>IF($E678=0,0,YEAR($E678))</f>
      </c>
      <c r="G678" s="43">
        <f>IF(INDEX(DarlBindung,2)="",1,IF($E678&lt;=INDEX(DarlBindung,2),1,0))</f>
      </c>
      <c r="H678" s="43">
        <f>IF($G678=1,INDEX(DarlSollzins,2),INDEX(DarlAnschluss,2))</f>
      </c>
      <c r="I678" s="43">
        <f>IF(INDEX(DarlBelegt,2)=0,0,IF(INDEX(DarlOhneTilgung,2)=1,IF(INDEX(DarlBindung,2)="",1,$G678),IF($J678&gt;0.005,1,0)))</f>
      </c>
      <c r="J678" s="43">
        <f>IF($I677=0,0,$R677)</f>
      </c>
      <c r="K678" s="43">
        <f>IF($I678=0,0,IF(INDEX(DarlOhneTilgung,2)=1,0,IF(AND(INDEX(DarlTilgStart,2)&gt;0,$E678=INDEX(DarlTilgStart,2)),$J678*($H678+INDEX(DarlTilgung,2))/100/12,IF(AND($G678=0,$G677=1),MAX($K677,$J678*($H678+1)/100/12),$K677))))</f>
      </c>
      <c r="L678" s="43">
        <f>IF($I678=0,0,$J678*$H678/100/12)</f>
      </c>
      <c r="M678" s="43">
        <f>IF($I678=0,0,IF(OR(INDEX(DarlOhneTilgung,2)=1,AND(INDEX(DarlTilgStart,2)&gt;0,$E678&lt;INDEX(DarlTilgStart,2))),0,MIN(MAX(0,$K678-$L678),$J678)))</f>
      </c>
      <c r="N678" s="43">
        <f>IF($I678=0,0,MIN(SUMIFS(SondBetrag,SondDarl,2,SondDatum,"&gt;="&amp;$E678,SondDatum,"&lt;="&amp;EOMONTH($E678,0)),$J678-$M678))</f>
      </c>
      <c r="O678" s="43">
        <f>IF($I678=0,0,INDEX(DarlErsatzRate,2))</f>
      </c>
      <c r="P678" s="43">
        <f>IF($I678=0,0,$Q677*INDEX(DarlErsatzZins,2))</f>
      </c>
      <c r="Q678" s="43">
        <f>IF($I678=0,0,$Q677+$P678+$O678)</f>
      </c>
      <c r="R678" s="43">
        <f>IF($I678=0,0,$J678-$M678-$N678)</f>
      </c>
    </row>
    <row r="679">
      <c r="A679"/>
      <c r="B679">
        <v>2</v>
      </c>
      <c r="C679" s="43">
        <f>INDEX(DarlObj,2)</f>
      </c>
      <c r="D679">
        <v>196</v>
      </c>
      <c r="E679" s="51">
        <f>IF(INDEX(DarlBelegt,2)=0,0,EOMONTH(INDEX(DarlAuszahlung,2),195)+1)</f>
      </c>
      <c r="F679" s="43">
        <f>IF($E679=0,0,YEAR($E679))</f>
      </c>
      <c r="G679" s="43">
        <f>IF(INDEX(DarlBindung,2)="",1,IF($E679&lt;=INDEX(DarlBindung,2),1,0))</f>
      </c>
      <c r="H679" s="43">
        <f>IF($G679=1,INDEX(DarlSollzins,2),INDEX(DarlAnschluss,2))</f>
      </c>
      <c r="I679" s="43">
        <f>IF(INDEX(DarlBelegt,2)=0,0,IF(INDEX(DarlOhneTilgung,2)=1,IF(INDEX(DarlBindung,2)="",1,$G679),IF($J679&gt;0.005,1,0)))</f>
      </c>
      <c r="J679" s="43">
        <f>IF($I678=0,0,$R678)</f>
      </c>
      <c r="K679" s="43">
        <f>IF($I679=0,0,IF(INDEX(DarlOhneTilgung,2)=1,0,IF(AND(INDEX(DarlTilgStart,2)&gt;0,$E679=INDEX(DarlTilgStart,2)),$J679*($H679+INDEX(DarlTilgung,2))/100/12,IF(AND($G679=0,$G678=1),MAX($K678,$J679*($H679+1)/100/12),$K678))))</f>
      </c>
      <c r="L679" s="43">
        <f>IF($I679=0,0,$J679*$H679/100/12)</f>
      </c>
      <c r="M679" s="43">
        <f>IF($I679=0,0,IF(OR(INDEX(DarlOhneTilgung,2)=1,AND(INDEX(DarlTilgStart,2)&gt;0,$E679&lt;INDEX(DarlTilgStart,2))),0,MIN(MAX(0,$K679-$L679),$J679)))</f>
      </c>
      <c r="N679" s="43">
        <f>IF($I679=0,0,MIN(SUMIFS(SondBetrag,SondDarl,2,SondDatum,"&gt;="&amp;$E679,SondDatum,"&lt;="&amp;EOMONTH($E679,0)),$J679-$M679))</f>
      </c>
      <c r="O679" s="43">
        <f>IF($I679=0,0,INDEX(DarlErsatzRate,2))</f>
      </c>
      <c r="P679" s="43">
        <f>IF($I679=0,0,$Q678*INDEX(DarlErsatzZins,2))</f>
      </c>
      <c r="Q679" s="43">
        <f>IF($I679=0,0,$Q678+$P679+$O679)</f>
      </c>
      <c r="R679" s="43">
        <f>IF($I679=0,0,$J679-$M679-$N679)</f>
      </c>
    </row>
    <row r="680">
      <c r="A680"/>
      <c r="B680">
        <v>2</v>
      </c>
      <c r="C680" s="43">
        <f>INDEX(DarlObj,2)</f>
      </c>
      <c r="D680">
        <v>197</v>
      </c>
      <c r="E680" s="51">
        <f>IF(INDEX(DarlBelegt,2)=0,0,EOMONTH(INDEX(DarlAuszahlung,2),196)+1)</f>
      </c>
      <c r="F680" s="43">
        <f>IF($E680=0,0,YEAR($E680))</f>
      </c>
      <c r="G680" s="43">
        <f>IF(INDEX(DarlBindung,2)="",1,IF($E680&lt;=INDEX(DarlBindung,2),1,0))</f>
      </c>
      <c r="H680" s="43">
        <f>IF($G680=1,INDEX(DarlSollzins,2),INDEX(DarlAnschluss,2))</f>
      </c>
      <c r="I680" s="43">
        <f>IF(INDEX(DarlBelegt,2)=0,0,IF(INDEX(DarlOhneTilgung,2)=1,IF(INDEX(DarlBindung,2)="",1,$G680),IF($J680&gt;0.005,1,0)))</f>
      </c>
      <c r="J680" s="43">
        <f>IF($I679=0,0,$R679)</f>
      </c>
      <c r="K680" s="43">
        <f>IF($I680=0,0,IF(INDEX(DarlOhneTilgung,2)=1,0,IF(AND(INDEX(DarlTilgStart,2)&gt;0,$E680=INDEX(DarlTilgStart,2)),$J680*($H680+INDEX(DarlTilgung,2))/100/12,IF(AND($G680=0,$G679=1),MAX($K679,$J680*($H680+1)/100/12),$K679))))</f>
      </c>
      <c r="L680" s="43">
        <f>IF($I680=0,0,$J680*$H680/100/12)</f>
      </c>
      <c r="M680" s="43">
        <f>IF($I680=0,0,IF(OR(INDEX(DarlOhneTilgung,2)=1,AND(INDEX(DarlTilgStart,2)&gt;0,$E680&lt;INDEX(DarlTilgStart,2))),0,MIN(MAX(0,$K680-$L680),$J680)))</f>
      </c>
      <c r="N680" s="43">
        <f>IF($I680=0,0,MIN(SUMIFS(SondBetrag,SondDarl,2,SondDatum,"&gt;="&amp;$E680,SondDatum,"&lt;="&amp;EOMONTH($E680,0)),$J680-$M680))</f>
      </c>
      <c r="O680" s="43">
        <f>IF($I680=0,0,INDEX(DarlErsatzRate,2))</f>
      </c>
      <c r="P680" s="43">
        <f>IF($I680=0,0,$Q679*INDEX(DarlErsatzZins,2))</f>
      </c>
      <c r="Q680" s="43">
        <f>IF($I680=0,0,$Q679+$P680+$O680)</f>
      </c>
      <c r="R680" s="43">
        <f>IF($I680=0,0,$J680-$M680-$N680)</f>
      </c>
    </row>
    <row r="681">
      <c r="A681"/>
      <c r="B681">
        <v>2</v>
      </c>
      <c r="C681" s="43">
        <f>INDEX(DarlObj,2)</f>
      </c>
      <c r="D681">
        <v>198</v>
      </c>
      <c r="E681" s="51">
        <f>IF(INDEX(DarlBelegt,2)=0,0,EOMONTH(INDEX(DarlAuszahlung,2),197)+1)</f>
      </c>
      <c r="F681" s="43">
        <f>IF($E681=0,0,YEAR($E681))</f>
      </c>
      <c r="G681" s="43">
        <f>IF(INDEX(DarlBindung,2)="",1,IF($E681&lt;=INDEX(DarlBindung,2),1,0))</f>
      </c>
      <c r="H681" s="43">
        <f>IF($G681=1,INDEX(DarlSollzins,2),INDEX(DarlAnschluss,2))</f>
      </c>
      <c r="I681" s="43">
        <f>IF(INDEX(DarlBelegt,2)=0,0,IF(INDEX(DarlOhneTilgung,2)=1,IF(INDEX(DarlBindung,2)="",1,$G681),IF($J681&gt;0.005,1,0)))</f>
      </c>
      <c r="J681" s="43">
        <f>IF($I680=0,0,$R680)</f>
      </c>
      <c r="K681" s="43">
        <f>IF($I681=0,0,IF(INDEX(DarlOhneTilgung,2)=1,0,IF(AND(INDEX(DarlTilgStart,2)&gt;0,$E681=INDEX(DarlTilgStart,2)),$J681*($H681+INDEX(DarlTilgung,2))/100/12,IF(AND($G681=0,$G680=1),MAX($K680,$J681*($H681+1)/100/12),$K680))))</f>
      </c>
      <c r="L681" s="43">
        <f>IF($I681=0,0,$J681*$H681/100/12)</f>
      </c>
      <c r="M681" s="43">
        <f>IF($I681=0,0,IF(OR(INDEX(DarlOhneTilgung,2)=1,AND(INDEX(DarlTilgStart,2)&gt;0,$E681&lt;INDEX(DarlTilgStart,2))),0,MIN(MAX(0,$K681-$L681),$J681)))</f>
      </c>
      <c r="N681" s="43">
        <f>IF($I681=0,0,MIN(SUMIFS(SondBetrag,SondDarl,2,SondDatum,"&gt;="&amp;$E681,SondDatum,"&lt;="&amp;EOMONTH($E681,0)),$J681-$M681))</f>
      </c>
      <c r="O681" s="43">
        <f>IF($I681=0,0,INDEX(DarlErsatzRate,2))</f>
      </c>
      <c r="P681" s="43">
        <f>IF($I681=0,0,$Q680*INDEX(DarlErsatzZins,2))</f>
      </c>
      <c r="Q681" s="43">
        <f>IF($I681=0,0,$Q680+$P681+$O681)</f>
      </c>
      <c r="R681" s="43">
        <f>IF($I681=0,0,$J681-$M681-$N681)</f>
      </c>
    </row>
    <row r="682">
      <c r="A682"/>
      <c r="B682">
        <v>2</v>
      </c>
      <c r="C682" s="43">
        <f>INDEX(DarlObj,2)</f>
      </c>
      <c r="D682">
        <v>199</v>
      </c>
      <c r="E682" s="51">
        <f>IF(INDEX(DarlBelegt,2)=0,0,EOMONTH(INDEX(DarlAuszahlung,2),198)+1)</f>
      </c>
      <c r="F682" s="43">
        <f>IF($E682=0,0,YEAR($E682))</f>
      </c>
      <c r="G682" s="43">
        <f>IF(INDEX(DarlBindung,2)="",1,IF($E682&lt;=INDEX(DarlBindung,2),1,0))</f>
      </c>
      <c r="H682" s="43">
        <f>IF($G682=1,INDEX(DarlSollzins,2),INDEX(DarlAnschluss,2))</f>
      </c>
      <c r="I682" s="43">
        <f>IF(INDEX(DarlBelegt,2)=0,0,IF(INDEX(DarlOhneTilgung,2)=1,IF(INDEX(DarlBindung,2)="",1,$G682),IF($J682&gt;0.005,1,0)))</f>
      </c>
      <c r="J682" s="43">
        <f>IF($I681=0,0,$R681)</f>
      </c>
      <c r="K682" s="43">
        <f>IF($I682=0,0,IF(INDEX(DarlOhneTilgung,2)=1,0,IF(AND(INDEX(DarlTilgStart,2)&gt;0,$E682=INDEX(DarlTilgStart,2)),$J682*($H682+INDEX(DarlTilgung,2))/100/12,IF(AND($G682=0,$G681=1),MAX($K681,$J682*($H682+1)/100/12),$K681))))</f>
      </c>
      <c r="L682" s="43">
        <f>IF($I682=0,0,$J682*$H682/100/12)</f>
      </c>
      <c r="M682" s="43">
        <f>IF($I682=0,0,IF(OR(INDEX(DarlOhneTilgung,2)=1,AND(INDEX(DarlTilgStart,2)&gt;0,$E682&lt;INDEX(DarlTilgStart,2))),0,MIN(MAX(0,$K682-$L682),$J682)))</f>
      </c>
      <c r="N682" s="43">
        <f>IF($I682=0,0,MIN(SUMIFS(SondBetrag,SondDarl,2,SondDatum,"&gt;="&amp;$E682,SondDatum,"&lt;="&amp;EOMONTH($E682,0)),$J682-$M682))</f>
      </c>
      <c r="O682" s="43">
        <f>IF($I682=0,0,INDEX(DarlErsatzRate,2))</f>
      </c>
      <c r="P682" s="43">
        <f>IF($I682=0,0,$Q681*INDEX(DarlErsatzZins,2))</f>
      </c>
      <c r="Q682" s="43">
        <f>IF($I682=0,0,$Q681+$P682+$O682)</f>
      </c>
      <c r="R682" s="43">
        <f>IF($I682=0,0,$J682-$M682-$N682)</f>
      </c>
    </row>
    <row r="683">
      <c r="A683"/>
      <c r="B683">
        <v>2</v>
      </c>
      <c r="C683" s="43">
        <f>INDEX(DarlObj,2)</f>
      </c>
      <c r="D683">
        <v>200</v>
      </c>
      <c r="E683" s="51">
        <f>IF(INDEX(DarlBelegt,2)=0,0,EOMONTH(INDEX(DarlAuszahlung,2),199)+1)</f>
      </c>
      <c r="F683" s="43">
        <f>IF($E683=0,0,YEAR($E683))</f>
      </c>
      <c r="G683" s="43">
        <f>IF(INDEX(DarlBindung,2)="",1,IF($E683&lt;=INDEX(DarlBindung,2),1,0))</f>
      </c>
      <c r="H683" s="43">
        <f>IF($G683=1,INDEX(DarlSollzins,2),INDEX(DarlAnschluss,2))</f>
      </c>
      <c r="I683" s="43">
        <f>IF(INDEX(DarlBelegt,2)=0,0,IF(INDEX(DarlOhneTilgung,2)=1,IF(INDEX(DarlBindung,2)="",1,$G683),IF($J683&gt;0.005,1,0)))</f>
      </c>
      <c r="J683" s="43">
        <f>IF($I682=0,0,$R682)</f>
      </c>
      <c r="K683" s="43">
        <f>IF($I683=0,0,IF(INDEX(DarlOhneTilgung,2)=1,0,IF(AND(INDEX(DarlTilgStart,2)&gt;0,$E683=INDEX(DarlTilgStart,2)),$J683*($H683+INDEX(DarlTilgung,2))/100/12,IF(AND($G683=0,$G682=1),MAX($K682,$J683*($H683+1)/100/12),$K682))))</f>
      </c>
      <c r="L683" s="43">
        <f>IF($I683=0,0,$J683*$H683/100/12)</f>
      </c>
      <c r="M683" s="43">
        <f>IF($I683=0,0,IF(OR(INDEX(DarlOhneTilgung,2)=1,AND(INDEX(DarlTilgStart,2)&gt;0,$E683&lt;INDEX(DarlTilgStart,2))),0,MIN(MAX(0,$K683-$L683),$J683)))</f>
      </c>
      <c r="N683" s="43">
        <f>IF($I683=0,0,MIN(SUMIFS(SondBetrag,SondDarl,2,SondDatum,"&gt;="&amp;$E683,SondDatum,"&lt;="&amp;EOMONTH($E683,0)),$J683-$M683))</f>
      </c>
      <c r="O683" s="43">
        <f>IF($I683=0,0,INDEX(DarlErsatzRate,2))</f>
      </c>
      <c r="P683" s="43">
        <f>IF($I683=0,0,$Q682*INDEX(DarlErsatzZins,2))</f>
      </c>
      <c r="Q683" s="43">
        <f>IF($I683=0,0,$Q682+$P683+$O683)</f>
      </c>
      <c r="R683" s="43">
        <f>IF($I683=0,0,$J683-$M683-$N683)</f>
      </c>
    </row>
    <row r="684">
      <c r="A684"/>
      <c r="B684">
        <v>2</v>
      </c>
      <c r="C684" s="43">
        <f>INDEX(DarlObj,2)</f>
      </c>
      <c r="D684">
        <v>201</v>
      </c>
      <c r="E684" s="51">
        <f>IF(INDEX(DarlBelegt,2)=0,0,EOMONTH(INDEX(DarlAuszahlung,2),200)+1)</f>
      </c>
      <c r="F684" s="43">
        <f>IF($E684=0,0,YEAR($E684))</f>
      </c>
      <c r="G684" s="43">
        <f>IF(INDEX(DarlBindung,2)="",1,IF($E684&lt;=INDEX(DarlBindung,2),1,0))</f>
      </c>
      <c r="H684" s="43">
        <f>IF($G684=1,INDEX(DarlSollzins,2),INDEX(DarlAnschluss,2))</f>
      </c>
      <c r="I684" s="43">
        <f>IF(INDEX(DarlBelegt,2)=0,0,IF(INDEX(DarlOhneTilgung,2)=1,IF(INDEX(DarlBindung,2)="",1,$G684),IF($J684&gt;0.005,1,0)))</f>
      </c>
      <c r="J684" s="43">
        <f>IF($I683=0,0,$R683)</f>
      </c>
      <c r="K684" s="43">
        <f>IF($I684=0,0,IF(INDEX(DarlOhneTilgung,2)=1,0,IF(AND(INDEX(DarlTilgStart,2)&gt;0,$E684=INDEX(DarlTilgStart,2)),$J684*($H684+INDEX(DarlTilgung,2))/100/12,IF(AND($G684=0,$G683=1),MAX($K683,$J684*($H684+1)/100/12),$K683))))</f>
      </c>
      <c r="L684" s="43">
        <f>IF($I684=0,0,$J684*$H684/100/12)</f>
      </c>
      <c r="M684" s="43">
        <f>IF($I684=0,0,IF(OR(INDEX(DarlOhneTilgung,2)=1,AND(INDEX(DarlTilgStart,2)&gt;0,$E684&lt;INDEX(DarlTilgStart,2))),0,MIN(MAX(0,$K684-$L684),$J684)))</f>
      </c>
      <c r="N684" s="43">
        <f>IF($I684=0,0,MIN(SUMIFS(SondBetrag,SondDarl,2,SondDatum,"&gt;="&amp;$E684,SondDatum,"&lt;="&amp;EOMONTH($E684,0)),$J684-$M684))</f>
      </c>
      <c r="O684" s="43">
        <f>IF($I684=0,0,INDEX(DarlErsatzRate,2))</f>
      </c>
      <c r="P684" s="43">
        <f>IF($I684=0,0,$Q683*INDEX(DarlErsatzZins,2))</f>
      </c>
      <c r="Q684" s="43">
        <f>IF($I684=0,0,$Q683+$P684+$O684)</f>
      </c>
      <c r="R684" s="43">
        <f>IF($I684=0,0,$J684-$M684-$N684)</f>
      </c>
    </row>
    <row r="685">
      <c r="A685"/>
      <c r="B685">
        <v>2</v>
      </c>
      <c r="C685" s="43">
        <f>INDEX(DarlObj,2)</f>
      </c>
      <c r="D685">
        <v>202</v>
      </c>
      <c r="E685" s="51">
        <f>IF(INDEX(DarlBelegt,2)=0,0,EOMONTH(INDEX(DarlAuszahlung,2),201)+1)</f>
      </c>
      <c r="F685" s="43">
        <f>IF($E685=0,0,YEAR($E685))</f>
      </c>
      <c r="G685" s="43">
        <f>IF(INDEX(DarlBindung,2)="",1,IF($E685&lt;=INDEX(DarlBindung,2),1,0))</f>
      </c>
      <c r="H685" s="43">
        <f>IF($G685=1,INDEX(DarlSollzins,2),INDEX(DarlAnschluss,2))</f>
      </c>
      <c r="I685" s="43">
        <f>IF(INDEX(DarlBelegt,2)=0,0,IF(INDEX(DarlOhneTilgung,2)=1,IF(INDEX(DarlBindung,2)="",1,$G685),IF($J685&gt;0.005,1,0)))</f>
      </c>
      <c r="J685" s="43">
        <f>IF($I684=0,0,$R684)</f>
      </c>
      <c r="K685" s="43">
        <f>IF($I685=0,0,IF(INDEX(DarlOhneTilgung,2)=1,0,IF(AND(INDEX(DarlTilgStart,2)&gt;0,$E685=INDEX(DarlTilgStart,2)),$J685*($H685+INDEX(DarlTilgung,2))/100/12,IF(AND($G685=0,$G684=1),MAX($K684,$J685*($H685+1)/100/12),$K684))))</f>
      </c>
      <c r="L685" s="43">
        <f>IF($I685=0,0,$J685*$H685/100/12)</f>
      </c>
      <c r="M685" s="43">
        <f>IF($I685=0,0,IF(OR(INDEX(DarlOhneTilgung,2)=1,AND(INDEX(DarlTilgStart,2)&gt;0,$E685&lt;INDEX(DarlTilgStart,2))),0,MIN(MAX(0,$K685-$L685),$J685)))</f>
      </c>
      <c r="N685" s="43">
        <f>IF($I685=0,0,MIN(SUMIFS(SondBetrag,SondDarl,2,SondDatum,"&gt;="&amp;$E685,SondDatum,"&lt;="&amp;EOMONTH($E685,0)),$J685-$M685))</f>
      </c>
      <c r="O685" s="43">
        <f>IF($I685=0,0,INDEX(DarlErsatzRate,2))</f>
      </c>
      <c r="P685" s="43">
        <f>IF($I685=0,0,$Q684*INDEX(DarlErsatzZins,2))</f>
      </c>
      <c r="Q685" s="43">
        <f>IF($I685=0,0,$Q684+$P685+$O685)</f>
      </c>
      <c r="R685" s="43">
        <f>IF($I685=0,0,$J685-$M685-$N685)</f>
      </c>
    </row>
    <row r="686">
      <c r="A686"/>
      <c r="B686">
        <v>2</v>
      </c>
      <c r="C686" s="43">
        <f>INDEX(DarlObj,2)</f>
      </c>
      <c r="D686">
        <v>203</v>
      </c>
      <c r="E686" s="51">
        <f>IF(INDEX(DarlBelegt,2)=0,0,EOMONTH(INDEX(DarlAuszahlung,2),202)+1)</f>
      </c>
      <c r="F686" s="43">
        <f>IF($E686=0,0,YEAR($E686))</f>
      </c>
      <c r="G686" s="43">
        <f>IF(INDEX(DarlBindung,2)="",1,IF($E686&lt;=INDEX(DarlBindung,2),1,0))</f>
      </c>
      <c r="H686" s="43">
        <f>IF($G686=1,INDEX(DarlSollzins,2),INDEX(DarlAnschluss,2))</f>
      </c>
      <c r="I686" s="43">
        <f>IF(INDEX(DarlBelegt,2)=0,0,IF(INDEX(DarlOhneTilgung,2)=1,IF(INDEX(DarlBindung,2)="",1,$G686),IF($J686&gt;0.005,1,0)))</f>
      </c>
      <c r="J686" s="43">
        <f>IF($I685=0,0,$R685)</f>
      </c>
      <c r="K686" s="43">
        <f>IF($I686=0,0,IF(INDEX(DarlOhneTilgung,2)=1,0,IF(AND(INDEX(DarlTilgStart,2)&gt;0,$E686=INDEX(DarlTilgStart,2)),$J686*($H686+INDEX(DarlTilgung,2))/100/12,IF(AND($G686=0,$G685=1),MAX($K685,$J686*($H686+1)/100/12),$K685))))</f>
      </c>
      <c r="L686" s="43">
        <f>IF($I686=0,0,$J686*$H686/100/12)</f>
      </c>
      <c r="M686" s="43">
        <f>IF($I686=0,0,IF(OR(INDEX(DarlOhneTilgung,2)=1,AND(INDEX(DarlTilgStart,2)&gt;0,$E686&lt;INDEX(DarlTilgStart,2))),0,MIN(MAX(0,$K686-$L686),$J686)))</f>
      </c>
      <c r="N686" s="43">
        <f>IF($I686=0,0,MIN(SUMIFS(SondBetrag,SondDarl,2,SondDatum,"&gt;="&amp;$E686,SondDatum,"&lt;="&amp;EOMONTH($E686,0)),$J686-$M686))</f>
      </c>
      <c r="O686" s="43">
        <f>IF($I686=0,0,INDEX(DarlErsatzRate,2))</f>
      </c>
      <c r="P686" s="43">
        <f>IF($I686=0,0,$Q685*INDEX(DarlErsatzZins,2))</f>
      </c>
      <c r="Q686" s="43">
        <f>IF($I686=0,0,$Q685+$P686+$O686)</f>
      </c>
      <c r="R686" s="43">
        <f>IF($I686=0,0,$J686-$M686-$N686)</f>
      </c>
    </row>
    <row r="687">
      <c r="A687"/>
      <c r="B687">
        <v>2</v>
      </c>
      <c r="C687" s="43">
        <f>INDEX(DarlObj,2)</f>
      </c>
      <c r="D687">
        <v>204</v>
      </c>
      <c r="E687" s="51">
        <f>IF(INDEX(DarlBelegt,2)=0,0,EOMONTH(INDEX(DarlAuszahlung,2),203)+1)</f>
      </c>
      <c r="F687" s="43">
        <f>IF($E687=0,0,YEAR($E687))</f>
      </c>
      <c r="G687" s="43">
        <f>IF(INDEX(DarlBindung,2)="",1,IF($E687&lt;=INDEX(DarlBindung,2),1,0))</f>
      </c>
      <c r="H687" s="43">
        <f>IF($G687=1,INDEX(DarlSollzins,2),INDEX(DarlAnschluss,2))</f>
      </c>
      <c r="I687" s="43">
        <f>IF(INDEX(DarlBelegt,2)=0,0,IF(INDEX(DarlOhneTilgung,2)=1,IF(INDEX(DarlBindung,2)="",1,$G687),IF($J687&gt;0.005,1,0)))</f>
      </c>
      <c r="J687" s="43">
        <f>IF($I686=0,0,$R686)</f>
      </c>
      <c r="K687" s="43">
        <f>IF($I687=0,0,IF(INDEX(DarlOhneTilgung,2)=1,0,IF(AND(INDEX(DarlTilgStart,2)&gt;0,$E687=INDEX(DarlTilgStart,2)),$J687*($H687+INDEX(DarlTilgung,2))/100/12,IF(AND($G687=0,$G686=1),MAX($K686,$J687*($H687+1)/100/12),$K686))))</f>
      </c>
      <c r="L687" s="43">
        <f>IF($I687=0,0,$J687*$H687/100/12)</f>
      </c>
      <c r="M687" s="43">
        <f>IF($I687=0,0,IF(OR(INDEX(DarlOhneTilgung,2)=1,AND(INDEX(DarlTilgStart,2)&gt;0,$E687&lt;INDEX(DarlTilgStart,2))),0,MIN(MAX(0,$K687-$L687),$J687)))</f>
      </c>
      <c r="N687" s="43">
        <f>IF($I687=0,0,MIN(SUMIFS(SondBetrag,SondDarl,2,SondDatum,"&gt;="&amp;$E687,SondDatum,"&lt;="&amp;EOMONTH($E687,0)),$J687-$M687))</f>
      </c>
      <c r="O687" s="43">
        <f>IF($I687=0,0,INDEX(DarlErsatzRate,2))</f>
      </c>
      <c r="P687" s="43">
        <f>IF($I687=0,0,$Q686*INDEX(DarlErsatzZins,2))</f>
      </c>
      <c r="Q687" s="43">
        <f>IF($I687=0,0,$Q686+$P687+$O687)</f>
      </c>
      <c r="R687" s="43">
        <f>IF($I687=0,0,$J687-$M687-$N687)</f>
      </c>
    </row>
    <row r="688">
      <c r="A688"/>
      <c r="B688">
        <v>2</v>
      </c>
      <c r="C688" s="43">
        <f>INDEX(DarlObj,2)</f>
      </c>
      <c r="D688">
        <v>205</v>
      </c>
      <c r="E688" s="51">
        <f>IF(INDEX(DarlBelegt,2)=0,0,EOMONTH(INDEX(DarlAuszahlung,2),204)+1)</f>
      </c>
      <c r="F688" s="43">
        <f>IF($E688=0,0,YEAR($E688))</f>
      </c>
      <c r="G688" s="43">
        <f>IF(INDEX(DarlBindung,2)="",1,IF($E688&lt;=INDEX(DarlBindung,2),1,0))</f>
      </c>
      <c r="H688" s="43">
        <f>IF($G688=1,INDEX(DarlSollzins,2),INDEX(DarlAnschluss,2))</f>
      </c>
      <c r="I688" s="43">
        <f>IF(INDEX(DarlBelegt,2)=0,0,IF(INDEX(DarlOhneTilgung,2)=1,IF(INDEX(DarlBindung,2)="",1,$G688),IF($J688&gt;0.005,1,0)))</f>
      </c>
      <c r="J688" s="43">
        <f>IF($I687=0,0,$R687)</f>
      </c>
      <c r="K688" s="43">
        <f>IF($I688=0,0,IF(INDEX(DarlOhneTilgung,2)=1,0,IF(AND(INDEX(DarlTilgStart,2)&gt;0,$E688=INDEX(DarlTilgStart,2)),$J688*($H688+INDEX(DarlTilgung,2))/100/12,IF(AND($G688=0,$G687=1),MAX($K687,$J688*($H688+1)/100/12),$K687))))</f>
      </c>
      <c r="L688" s="43">
        <f>IF($I688=0,0,$J688*$H688/100/12)</f>
      </c>
      <c r="M688" s="43">
        <f>IF($I688=0,0,IF(OR(INDEX(DarlOhneTilgung,2)=1,AND(INDEX(DarlTilgStart,2)&gt;0,$E688&lt;INDEX(DarlTilgStart,2))),0,MIN(MAX(0,$K688-$L688),$J688)))</f>
      </c>
      <c r="N688" s="43">
        <f>IF($I688=0,0,MIN(SUMIFS(SondBetrag,SondDarl,2,SondDatum,"&gt;="&amp;$E688,SondDatum,"&lt;="&amp;EOMONTH($E688,0)),$J688-$M688))</f>
      </c>
      <c r="O688" s="43">
        <f>IF($I688=0,0,INDEX(DarlErsatzRate,2))</f>
      </c>
      <c r="P688" s="43">
        <f>IF($I688=0,0,$Q687*INDEX(DarlErsatzZins,2))</f>
      </c>
      <c r="Q688" s="43">
        <f>IF($I688=0,0,$Q687+$P688+$O688)</f>
      </c>
      <c r="R688" s="43">
        <f>IF($I688=0,0,$J688-$M688-$N688)</f>
      </c>
    </row>
    <row r="689">
      <c r="A689"/>
      <c r="B689">
        <v>2</v>
      </c>
      <c r="C689" s="43">
        <f>INDEX(DarlObj,2)</f>
      </c>
      <c r="D689">
        <v>206</v>
      </c>
      <c r="E689" s="51">
        <f>IF(INDEX(DarlBelegt,2)=0,0,EOMONTH(INDEX(DarlAuszahlung,2),205)+1)</f>
      </c>
      <c r="F689" s="43">
        <f>IF($E689=0,0,YEAR($E689))</f>
      </c>
      <c r="G689" s="43">
        <f>IF(INDEX(DarlBindung,2)="",1,IF($E689&lt;=INDEX(DarlBindung,2),1,0))</f>
      </c>
      <c r="H689" s="43">
        <f>IF($G689=1,INDEX(DarlSollzins,2),INDEX(DarlAnschluss,2))</f>
      </c>
      <c r="I689" s="43">
        <f>IF(INDEX(DarlBelegt,2)=0,0,IF(INDEX(DarlOhneTilgung,2)=1,IF(INDEX(DarlBindung,2)="",1,$G689),IF($J689&gt;0.005,1,0)))</f>
      </c>
      <c r="J689" s="43">
        <f>IF($I688=0,0,$R688)</f>
      </c>
      <c r="K689" s="43">
        <f>IF($I689=0,0,IF(INDEX(DarlOhneTilgung,2)=1,0,IF(AND(INDEX(DarlTilgStart,2)&gt;0,$E689=INDEX(DarlTilgStart,2)),$J689*($H689+INDEX(DarlTilgung,2))/100/12,IF(AND($G689=0,$G688=1),MAX($K688,$J689*($H689+1)/100/12),$K688))))</f>
      </c>
      <c r="L689" s="43">
        <f>IF($I689=0,0,$J689*$H689/100/12)</f>
      </c>
      <c r="M689" s="43">
        <f>IF($I689=0,0,IF(OR(INDEX(DarlOhneTilgung,2)=1,AND(INDEX(DarlTilgStart,2)&gt;0,$E689&lt;INDEX(DarlTilgStart,2))),0,MIN(MAX(0,$K689-$L689),$J689)))</f>
      </c>
      <c r="N689" s="43">
        <f>IF($I689=0,0,MIN(SUMIFS(SondBetrag,SondDarl,2,SondDatum,"&gt;="&amp;$E689,SondDatum,"&lt;="&amp;EOMONTH($E689,0)),$J689-$M689))</f>
      </c>
      <c r="O689" s="43">
        <f>IF($I689=0,0,INDEX(DarlErsatzRate,2))</f>
      </c>
      <c r="P689" s="43">
        <f>IF($I689=0,0,$Q688*INDEX(DarlErsatzZins,2))</f>
      </c>
      <c r="Q689" s="43">
        <f>IF($I689=0,0,$Q688+$P689+$O689)</f>
      </c>
      <c r="R689" s="43">
        <f>IF($I689=0,0,$J689-$M689-$N689)</f>
      </c>
    </row>
    <row r="690">
      <c r="A690"/>
      <c r="B690">
        <v>2</v>
      </c>
      <c r="C690" s="43">
        <f>INDEX(DarlObj,2)</f>
      </c>
      <c r="D690">
        <v>207</v>
      </c>
      <c r="E690" s="51">
        <f>IF(INDEX(DarlBelegt,2)=0,0,EOMONTH(INDEX(DarlAuszahlung,2),206)+1)</f>
      </c>
      <c r="F690" s="43">
        <f>IF($E690=0,0,YEAR($E690))</f>
      </c>
      <c r="G690" s="43">
        <f>IF(INDEX(DarlBindung,2)="",1,IF($E690&lt;=INDEX(DarlBindung,2),1,0))</f>
      </c>
      <c r="H690" s="43">
        <f>IF($G690=1,INDEX(DarlSollzins,2),INDEX(DarlAnschluss,2))</f>
      </c>
      <c r="I690" s="43">
        <f>IF(INDEX(DarlBelegt,2)=0,0,IF(INDEX(DarlOhneTilgung,2)=1,IF(INDEX(DarlBindung,2)="",1,$G690),IF($J690&gt;0.005,1,0)))</f>
      </c>
      <c r="J690" s="43">
        <f>IF($I689=0,0,$R689)</f>
      </c>
      <c r="K690" s="43">
        <f>IF($I690=0,0,IF(INDEX(DarlOhneTilgung,2)=1,0,IF(AND(INDEX(DarlTilgStart,2)&gt;0,$E690=INDEX(DarlTilgStart,2)),$J690*($H690+INDEX(DarlTilgung,2))/100/12,IF(AND($G690=0,$G689=1),MAX($K689,$J690*($H690+1)/100/12),$K689))))</f>
      </c>
      <c r="L690" s="43">
        <f>IF($I690=0,0,$J690*$H690/100/12)</f>
      </c>
      <c r="M690" s="43">
        <f>IF($I690=0,0,IF(OR(INDEX(DarlOhneTilgung,2)=1,AND(INDEX(DarlTilgStart,2)&gt;0,$E690&lt;INDEX(DarlTilgStart,2))),0,MIN(MAX(0,$K690-$L690),$J690)))</f>
      </c>
      <c r="N690" s="43">
        <f>IF($I690=0,0,MIN(SUMIFS(SondBetrag,SondDarl,2,SondDatum,"&gt;="&amp;$E690,SondDatum,"&lt;="&amp;EOMONTH($E690,0)),$J690-$M690))</f>
      </c>
      <c r="O690" s="43">
        <f>IF($I690=0,0,INDEX(DarlErsatzRate,2))</f>
      </c>
      <c r="P690" s="43">
        <f>IF($I690=0,0,$Q689*INDEX(DarlErsatzZins,2))</f>
      </c>
      <c r="Q690" s="43">
        <f>IF($I690=0,0,$Q689+$P690+$O690)</f>
      </c>
      <c r="R690" s="43">
        <f>IF($I690=0,0,$J690-$M690-$N690)</f>
      </c>
    </row>
    <row r="691">
      <c r="A691"/>
      <c r="B691">
        <v>2</v>
      </c>
      <c r="C691" s="43">
        <f>INDEX(DarlObj,2)</f>
      </c>
      <c r="D691">
        <v>208</v>
      </c>
      <c r="E691" s="51">
        <f>IF(INDEX(DarlBelegt,2)=0,0,EOMONTH(INDEX(DarlAuszahlung,2),207)+1)</f>
      </c>
      <c r="F691" s="43">
        <f>IF($E691=0,0,YEAR($E691))</f>
      </c>
      <c r="G691" s="43">
        <f>IF(INDEX(DarlBindung,2)="",1,IF($E691&lt;=INDEX(DarlBindung,2),1,0))</f>
      </c>
      <c r="H691" s="43">
        <f>IF($G691=1,INDEX(DarlSollzins,2),INDEX(DarlAnschluss,2))</f>
      </c>
      <c r="I691" s="43">
        <f>IF(INDEX(DarlBelegt,2)=0,0,IF(INDEX(DarlOhneTilgung,2)=1,IF(INDEX(DarlBindung,2)="",1,$G691),IF($J691&gt;0.005,1,0)))</f>
      </c>
      <c r="J691" s="43">
        <f>IF($I690=0,0,$R690)</f>
      </c>
      <c r="K691" s="43">
        <f>IF($I691=0,0,IF(INDEX(DarlOhneTilgung,2)=1,0,IF(AND(INDEX(DarlTilgStart,2)&gt;0,$E691=INDEX(DarlTilgStart,2)),$J691*($H691+INDEX(DarlTilgung,2))/100/12,IF(AND($G691=0,$G690=1),MAX($K690,$J691*($H691+1)/100/12),$K690))))</f>
      </c>
      <c r="L691" s="43">
        <f>IF($I691=0,0,$J691*$H691/100/12)</f>
      </c>
      <c r="M691" s="43">
        <f>IF($I691=0,0,IF(OR(INDEX(DarlOhneTilgung,2)=1,AND(INDEX(DarlTilgStart,2)&gt;0,$E691&lt;INDEX(DarlTilgStart,2))),0,MIN(MAX(0,$K691-$L691),$J691)))</f>
      </c>
      <c r="N691" s="43">
        <f>IF($I691=0,0,MIN(SUMIFS(SondBetrag,SondDarl,2,SondDatum,"&gt;="&amp;$E691,SondDatum,"&lt;="&amp;EOMONTH($E691,0)),$J691-$M691))</f>
      </c>
      <c r="O691" s="43">
        <f>IF($I691=0,0,INDEX(DarlErsatzRate,2))</f>
      </c>
      <c r="P691" s="43">
        <f>IF($I691=0,0,$Q690*INDEX(DarlErsatzZins,2))</f>
      </c>
      <c r="Q691" s="43">
        <f>IF($I691=0,0,$Q690+$P691+$O691)</f>
      </c>
      <c r="R691" s="43">
        <f>IF($I691=0,0,$J691-$M691-$N691)</f>
      </c>
    </row>
    <row r="692">
      <c r="A692"/>
      <c r="B692">
        <v>2</v>
      </c>
      <c r="C692" s="43">
        <f>INDEX(DarlObj,2)</f>
      </c>
      <c r="D692">
        <v>209</v>
      </c>
      <c r="E692" s="51">
        <f>IF(INDEX(DarlBelegt,2)=0,0,EOMONTH(INDEX(DarlAuszahlung,2),208)+1)</f>
      </c>
      <c r="F692" s="43">
        <f>IF($E692=0,0,YEAR($E692))</f>
      </c>
      <c r="G692" s="43">
        <f>IF(INDEX(DarlBindung,2)="",1,IF($E692&lt;=INDEX(DarlBindung,2),1,0))</f>
      </c>
      <c r="H692" s="43">
        <f>IF($G692=1,INDEX(DarlSollzins,2),INDEX(DarlAnschluss,2))</f>
      </c>
      <c r="I692" s="43">
        <f>IF(INDEX(DarlBelegt,2)=0,0,IF(INDEX(DarlOhneTilgung,2)=1,IF(INDEX(DarlBindung,2)="",1,$G692),IF($J692&gt;0.005,1,0)))</f>
      </c>
      <c r="J692" s="43">
        <f>IF($I691=0,0,$R691)</f>
      </c>
      <c r="K692" s="43">
        <f>IF($I692=0,0,IF(INDEX(DarlOhneTilgung,2)=1,0,IF(AND(INDEX(DarlTilgStart,2)&gt;0,$E692=INDEX(DarlTilgStart,2)),$J692*($H692+INDEX(DarlTilgung,2))/100/12,IF(AND($G692=0,$G691=1),MAX($K691,$J692*($H692+1)/100/12),$K691))))</f>
      </c>
      <c r="L692" s="43">
        <f>IF($I692=0,0,$J692*$H692/100/12)</f>
      </c>
      <c r="M692" s="43">
        <f>IF($I692=0,0,IF(OR(INDEX(DarlOhneTilgung,2)=1,AND(INDEX(DarlTilgStart,2)&gt;0,$E692&lt;INDEX(DarlTilgStart,2))),0,MIN(MAX(0,$K692-$L692),$J692)))</f>
      </c>
      <c r="N692" s="43">
        <f>IF($I692=0,0,MIN(SUMIFS(SondBetrag,SondDarl,2,SondDatum,"&gt;="&amp;$E692,SondDatum,"&lt;="&amp;EOMONTH($E692,0)),$J692-$M692))</f>
      </c>
      <c r="O692" s="43">
        <f>IF($I692=0,0,INDEX(DarlErsatzRate,2))</f>
      </c>
      <c r="P692" s="43">
        <f>IF($I692=0,0,$Q691*INDEX(DarlErsatzZins,2))</f>
      </c>
      <c r="Q692" s="43">
        <f>IF($I692=0,0,$Q691+$P692+$O692)</f>
      </c>
      <c r="R692" s="43">
        <f>IF($I692=0,0,$J692-$M692-$N692)</f>
      </c>
    </row>
    <row r="693">
      <c r="A693"/>
      <c r="B693">
        <v>2</v>
      </c>
      <c r="C693" s="43">
        <f>INDEX(DarlObj,2)</f>
      </c>
      <c r="D693">
        <v>210</v>
      </c>
      <c r="E693" s="51">
        <f>IF(INDEX(DarlBelegt,2)=0,0,EOMONTH(INDEX(DarlAuszahlung,2),209)+1)</f>
      </c>
      <c r="F693" s="43">
        <f>IF($E693=0,0,YEAR($E693))</f>
      </c>
      <c r="G693" s="43">
        <f>IF(INDEX(DarlBindung,2)="",1,IF($E693&lt;=INDEX(DarlBindung,2),1,0))</f>
      </c>
      <c r="H693" s="43">
        <f>IF($G693=1,INDEX(DarlSollzins,2),INDEX(DarlAnschluss,2))</f>
      </c>
      <c r="I693" s="43">
        <f>IF(INDEX(DarlBelegt,2)=0,0,IF(INDEX(DarlOhneTilgung,2)=1,IF(INDEX(DarlBindung,2)="",1,$G693),IF($J693&gt;0.005,1,0)))</f>
      </c>
      <c r="J693" s="43">
        <f>IF($I692=0,0,$R692)</f>
      </c>
      <c r="K693" s="43">
        <f>IF($I693=0,0,IF(INDEX(DarlOhneTilgung,2)=1,0,IF(AND(INDEX(DarlTilgStart,2)&gt;0,$E693=INDEX(DarlTilgStart,2)),$J693*($H693+INDEX(DarlTilgung,2))/100/12,IF(AND($G693=0,$G692=1),MAX($K692,$J693*($H693+1)/100/12),$K692))))</f>
      </c>
      <c r="L693" s="43">
        <f>IF($I693=0,0,$J693*$H693/100/12)</f>
      </c>
      <c r="M693" s="43">
        <f>IF($I693=0,0,IF(OR(INDEX(DarlOhneTilgung,2)=1,AND(INDEX(DarlTilgStart,2)&gt;0,$E693&lt;INDEX(DarlTilgStart,2))),0,MIN(MAX(0,$K693-$L693),$J693)))</f>
      </c>
      <c r="N693" s="43">
        <f>IF($I693=0,0,MIN(SUMIFS(SondBetrag,SondDarl,2,SondDatum,"&gt;="&amp;$E693,SondDatum,"&lt;="&amp;EOMONTH($E693,0)),$J693-$M693))</f>
      </c>
      <c r="O693" s="43">
        <f>IF($I693=0,0,INDEX(DarlErsatzRate,2))</f>
      </c>
      <c r="P693" s="43">
        <f>IF($I693=0,0,$Q692*INDEX(DarlErsatzZins,2))</f>
      </c>
      <c r="Q693" s="43">
        <f>IF($I693=0,0,$Q692+$P693+$O693)</f>
      </c>
      <c r="R693" s="43">
        <f>IF($I693=0,0,$J693-$M693-$N693)</f>
      </c>
    </row>
    <row r="694">
      <c r="A694"/>
      <c r="B694">
        <v>2</v>
      </c>
      <c r="C694" s="43">
        <f>INDEX(DarlObj,2)</f>
      </c>
      <c r="D694">
        <v>211</v>
      </c>
      <c r="E694" s="51">
        <f>IF(INDEX(DarlBelegt,2)=0,0,EOMONTH(INDEX(DarlAuszahlung,2),210)+1)</f>
      </c>
      <c r="F694" s="43">
        <f>IF($E694=0,0,YEAR($E694))</f>
      </c>
      <c r="G694" s="43">
        <f>IF(INDEX(DarlBindung,2)="",1,IF($E694&lt;=INDEX(DarlBindung,2),1,0))</f>
      </c>
      <c r="H694" s="43">
        <f>IF($G694=1,INDEX(DarlSollzins,2),INDEX(DarlAnschluss,2))</f>
      </c>
      <c r="I694" s="43">
        <f>IF(INDEX(DarlBelegt,2)=0,0,IF(INDEX(DarlOhneTilgung,2)=1,IF(INDEX(DarlBindung,2)="",1,$G694),IF($J694&gt;0.005,1,0)))</f>
      </c>
      <c r="J694" s="43">
        <f>IF($I693=0,0,$R693)</f>
      </c>
      <c r="K694" s="43">
        <f>IF($I694=0,0,IF(INDEX(DarlOhneTilgung,2)=1,0,IF(AND(INDEX(DarlTilgStart,2)&gt;0,$E694=INDEX(DarlTilgStart,2)),$J694*($H694+INDEX(DarlTilgung,2))/100/12,IF(AND($G694=0,$G693=1),MAX($K693,$J694*($H694+1)/100/12),$K693))))</f>
      </c>
      <c r="L694" s="43">
        <f>IF($I694=0,0,$J694*$H694/100/12)</f>
      </c>
      <c r="M694" s="43">
        <f>IF($I694=0,0,IF(OR(INDEX(DarlOhneTilgung,2)=1,AND(INDEX(DarlTilgStart,2)&gt;0,$E694&lt;INDEX(DarlTilgStart,2))),0,MIN(MAX(0,$K694-$L694),$J694)))</f>
      </c>
      <c r="N694" s="43">
        <f>IF($I694=0,0,MIN(SUMIFS(SondBetrag,SondDarl,2,SondDatum,"&gt;="&amp;$E694,SondDatum,"&lt;="&amp;EOMONTH($E694,0)),$J694-$M694))</f>
      </c>
      <c r="O694" s="43">
        <f>IF($I694=0,0,INDEX(DarlErsatzRate,2))</f>
      </c>
      <c r="P694" s="43">
        <f>IF($I694=0,0,$Q693*INDEX(DarlErsatzZins,2))</f>
      </c>
      <c r="Q694" s="43">
        <f>IF($I694=0,0,$Q693+$P694+$O694)</f>
      </c>
      <c r="R694" s="43">
        <f>IF($I694=0,0,$J694-$M694-$N694)</f>
      </c>
    </row>
    <row r="695">
      <c r="A695"/>
      <c r="B695">
        <v>2</v>
      </c>
      <c r="C695" s="43">
        <f>INDEX(DarlObj,2)</f>
      </c>
      <c r="D695">
        <v>212</v>
      </c>
      <c r="E695" s="51">
        <f>IF(INDEX(DarlBelegt,2)=0,0,EOMONTH(INDEX(DarlAuszahlung,2),211)+1)</f>
      </c>
      <c r="F695" s="43">
        <f>IF($E695=0,0,YEAR($E695))</f>
      </c>
      <c r="G695" s="43">
        <f>IF(INDEX(DarlBindung,2)="",1,IF($E695&lt;=INDEX(DarlBindung,2),1,0))</f>
      </c>
      <c r="H695" s="43">
        <f>IF($G695=1,INDEX(DarlSollzins,2),INDEX(DarlAnschluss,2))</f>
      </c>
      <c r="I695" s="43">
        <f>IF(INDEX(DarlBelegt,2)=0,0,IF(INDEX(DarlOhneTilgung,2)=1,IF(INDEX(DarlBindung,2)="",1,$G695),IF($J695&gt;0.005,1,0)))</f>
      </c>
      <c r="J695" s="43">
        <f>IF($I694=0,0,$R694)</f>
      </c>
      <c r="K695" s="43">
        <f>IF($I695=0,0,IF(INDEX(DarlOhneTilgung,2)=1,0,IF(AND(INDEX(DarlTilgStart,2)&gt;0,$E695=INDEX(DarlTilgStart,2)),$J695*($H695+INDEX(DarlTilgung,2))/100/12,IF(AND($G695=0,$G694=1),MAX($K694,$J695*($H695+1)/100/12),$K694))))</f>
      </c>
      <c r="L695" s="43">
        <f>IF($I695=0,0,$J695*$H695/100/12)</f>
      </c>
      <c r="M695" s="43">
        <f>IF($I695=0,0,IF(OR(INDEX(DarlOhneTilgung,2)=1,AND(INDEX(DarlTilgStart,2)&gt;0,$E695&lt;INDEX(DarlTilgStart,2))),0,MIN(MAX(0,$K695-$L695),$J695)))</f>
      </c>
      <c r="N695" s="43">
        <f>IF($I695=0,0,MIN(SUMIFS(SondBetrag,SondDarl,2,SondDatum,"&gt;="&amp;$E695,SondDatum,"&lt;="&amp;EOMONTH($E695,0)),$J695-$M695))</f>
      </c>
      <c r="O695" s="43">
        <f>IF($I695=0,0,INDEX(DarlErsatzRate,2))</f>
      </c>
      <c r="P695" s="43">
        <f>IF($I695=0,0,$Q694*INDEX(DarlErsatzZins,2))</f>
      </c>
      <c r="Q695" s="43">
        <f>IF($I695=0,0,$Q694+$P695+$O695)</f>
      </c>
      <c r="R695" s="43">
        <f>IF($I695=0,0,$J695-$M695-$N695)</f>
      </c>
    </row>
    <row r="696">
      <c r="A696"/>
      <c r="B696">
        <v>2</v>
      </c>
      <c r="C696" s="43">
        <f>INDEX(DarlObj,2)</f>
      </c>
      <c r="D696">
        <v>213</v>
      </c>
      <c r="E696" s="51">
        <f>IF(INDEX(DarlBelegt,2)=0,0,EOMONTH(INDEX(DarlAuszahlung,2),212)+1)</f>
      </c>
      <c r="F696" s="43">
        <f>IF($E696=0,0,YEAR($E696))</f>
      </c>
      <c r="G696" s="43">
        <f>IF(INDEX(DarlBindung,2)="",1,IF($E696&lt;=INDEX(DarlBindung,2),1,0))</f>
      </c>
      <c r="H696" s="43">
        <f>IF($G696=1,INDEX(DarlSollzins,2),INDEX(DarlAnschluss,2))</f>
      </c>
      <c r="I696" s="43">
        <f>IF(INDEX(DarlBelegt,2)=0,0,IF(INDEX(DarlOhneTilgung,2)=1,IF(INDEX(DarlBindung,2)="",1,$G696),IF($J696&gt;0.005,1,0)))</f>
      </c>
      <c r="J696" s="43">
        <f>IF($I695=0,0,$R695)</f>
      </c>
      <c r="K696" s="43">
        <f>IF($I696=0,0,IF(INDEX(DarlOhneTilgung,2)=1,0,IF(AND(INDEX(DarlTilgStart,2)&gt;0,$E696=INDEX(DarlTilgStart,2)),$J696*($H696+INDEX(DarlTilgung,2))/100/12,IF(AND($G696=0,$G695=1),MAX($K695,$J696*($H696+1)/100/12),$K695))))</f>
      </c>
      <c r="L696" s="43">
        <f>IF($I696=0,0,$J696*$H696/100/12)</f>
      </c>
      <c r="M696" s="43">
        <f>IF($I696=0,0,IF(OR(INDEX(DarlOhneTilgung,2)=1,AND(INDEX(DarlTilgStart,2)&gt;0,$E696&lt;INDEX(DarlTilgStart,2))),0,MIN(MAX(0,$K696-$L696),$J696)))</f>
      </c>
      <c r="N696" s="43">
        <f>IF($I696=0,0,MIN(SUMIFS(SondBetrag,SondDarl,2,SondDatum,"&gt;="&amp;$E696,SondDatum,"&lt;="&amp;EOMONTH($E696,0)),$J696-$M696))</f>
      </c>
      <c r="O696" s="43">
        <f>IF($I696=0,0,INDEX(DarlErsatzRate,2))</f>
      </c>
      <c r="P696" s="43">
        <f>IF($I696=0,0,$Q695*INDEX(DarlErsatzZins,2))</f>
      </c>
      <c r="Q696" s="43">
        <f>IF($I696=0,0,$Q695+$P696+$O696)</f>
      </c>
      <c r="R696" s="43">
        <f>IF($I696=0,0,$J696-$M696-$N696)</f>
      </c>
    </row>
    <row r="697">
      <c r="A697"/>
      <c r="B697">
        <v>2</v>
      </c>
      <c r="C697" s="43">
        <f>INDEX(DarlObj,2)</f>
      </c>
      <c r="D697">
        <v>214</v>
      </c>
      <c r="E697" s="51">
        <f>IF(INDEX(DarlBelegt,2)=0,0,EOMONTH(INDEX(DarlAuszahlung,2),213)+1)</f>
      </c>
      <c r="F697" s="43">
        <f>IF($E697=0,0,YEAR($E697))</f>
      </c>
      <c r="G697" s="43">
        <f>IF(INDEX(DarlBindung,2)="",1,IF($E697&lt;=INDEX(DarlBindung,2),1,0))</f>
      </c>
      <c r="H697" s="43">
        <f>IF($G697=1,INDEX(DarlSollzins,2),INDEX(DarlAnschluss,2))</f>
      </c>
      <c r="I697" s="43">
        <f>IF(INDEX(DarlBelegt,2)=0,0,IF(INDEX(DarlOhneTilgung,2)=1,IF(INDEX(DarlBindung,2)="",1,$G697),IF($J697&gt;0.005,1,0)))</f>
      </c>
      <c r="J697" s="43">
        <f>IF($I696=0,0,$R696)</f>
      </c>
      <c r="K697" s="43">
        <f>IF($I697=0,0,IF(INDEX(DarlOhneTilgung,2)=1,0,IF(AND(INDEX(DarlTilgStart,2)&gt;0,$E697=INDEX(DarlTilgStart,2)),$J697*($H697+INDEX(DarlTilgung,2))/100/12,IF(AND($G697=0,$G696=1),MAX($K696,$J697*($H697+1)/100/12),$K696))))</f>
      </c>
      <c r="L697" s="43">
        <f>IF($I697=0,0,$J697*$H697/100/12)</f>
      </c>
      <c r="M697" s="43">
        <f>IF($I697=0,0,IF(OR(INDEX(DarlOhneTilgung,2)=1,AND(INDEX(DarlTilgStart,2)&gt;0,$E697&lt;INDEX(DarlTilgStart,2))),0,MIN(MAX(0,$K697-$L697),$J697)))</f>
      </c>
      <c r="N697" s="43">
        <f>IF($I697=0,0,MIN(SUMIFS(SondBetrag,SondDarl,2,SondDatum,"&gt;="&amp;$E697,SondDatum,"&lt;="&amp;EOMONTH($E697,0)),$J697-$M697))</f>
      </c>
      <c r="O697" s="43">
        <f>IF($I697=0,0,INDEX(DarlErsatzRate,2))</f>
      </c>
      <c r="P697" s="43">
        <f>IF($I697=0,0,$Q696*INDEX(DarlErsatzZins,2))</f>
      </c>
      <c r="Q697" s="43">
        <f>IF($I697=0,0,$Q696+$P697+$O697)</f>
      </c>
      <c r="R697" s="43">
        <f>IF($I697=0,0,$J697-$M697-$N697)</f>
      </c>
    </row>
    <row r="698">
      <c r="A698"/>
      <c r="B698">
        <v>2</v>
      </c>
      <c r="C698" s="43">
        <f>INDEX(DarlObj,2)</f>
      </c>
      <c r="D698">
        <v>215</v>
      </c>
      <c r="E698" s="51">
        <f>IF(INDEX(DarlBelegt,2)=0,0,EOMONTH(INDEX(DarlAuszahlung,2),214)+1)</f>
      </c>
      <c r="F698" s="43">
        <f>IF($E698=0,0,YEAR($E698))</f>
      </c>
      <c r="G698" s="43">
        <f>IF(INDEX(DarlBindung,2)="",1,IF($E698&lt;=INDEX(DarlBindung,2),1,0))</f>
      </c>
      <c r="H698" s="43">
        <f>IF($G698=1,INDEX(DarlSollzins,2),INDEX(DarlAnschluss,2))</f>
      </c>
      <c r="I698" s="43">
        <f>IF(INDEX(DarlBelegt,2)=0,0,IF(INDEX(DarlOhneTilgung,2)=1,IF(INDEX(DarlBindung,2)="",1,$G698),IF($J698&gt;0.005,1,0)))</f>
      </c>
      <c r="J698" s="43">
        <f>IF($I697=0,0,$R697)</f>
      </c>
      <c r="K698" s="43">
        <f>IF($I698=0,0,IF(INDEX(DarlOhneTilgung,2)=1,0,IF(AND(INDEX(DarlTilgStart,2)&gt;0,$E698=INDEX(DarlTilgStart,2)),$J698*($H698+INDEX(DarlTilgung,2))/100/12,IF(AND($G698=0,$G697=1),MAX($K697,$J698*($H698+1)/100/12),$K697))))</f>
      </c>
      <c r="L698" s="43">
        <f>IF($I698=0,0,$J698*$H698/100/12)</f>
      </c>
      <c r="M698" s="43">
        <f>IF($I698=0,0,IF(OR(INDEX(DarlOhneTilgung,2)=1,AND(INDEX(DarlTilgStart,2)&gt;0,$E698&lt;INDEX(DarlTilgStart,2))),0,MIN(MAX(0,$K698-$L698),$J698)))</f>
      </c>
      <c r="N698" s="43">
        <f>IF($I698=0,0,MIN(SUMIFS(SondBetrag,SondDarl,2,SondDatum,"&gt;="&amp;$E698,SondDatum,"&lt;="&amp;EOMONTH($E698,0)),$J698-$M698))</f>
      </c>
      <c r="O698" s="43">
        <f>IF($I698=0,0,INDEX(DarlErsatzRate,2))</f>
      </c>
      <c r="P698" s="43">
        <f>IF($I698=0,0,$Q697*INDEX(DarlErsatzZins,2))</f>
      </c>
      <c r="Q698" s="43">
        <f>IF($I698=0,0,$Q697+$P698+$O698)</f>
      </c>
      <c r="R698" s="43">
        <f>IF($I698=0,0,$J698-$M698-$N698)</f>
      </c>
    </row>
    <row r="699">
      <c r="A699"/>
      <c r="B699">
        <v>2</v>
      </c>
      <c r="C699" s="43">
        <f>INDEX(DarlObj,2)</f>
      </c>
      <c r="D699">
        <v>216</v>
      </c>
      <c r="E699" s="51">
        <f>IF(INDEX(DarlBelegt,2)=0,0,EOMONTH(INDEX(DarlAuszahlung,2),215)+1)</f>
      </c>
      <c r="F699" s="43">
        <f>IF($E699=0,0,YEAR($E699))</f>
      </c>
      <c r="G699" s="43">
        <f>IF(INDEX(DarlBindung,2)="",1,IF($E699&lt;=INDEX(DarlBindung,2),1,0))</f>
      </c>
      <c r="H699" s="43">
        <f>IF($G699=1,INDEX(DarlSollzins,2),INDEX(DarlAnschluss,2))</f>
      </c>
      <c r="I699" s="43">
        <f>IF(INDEX(DarlBelegt,2)=0,0,IF(INDEX(DarlOhneTilgung,2)=1,IF(INDEX(DarlBindung,2)="",1,$G699),IF($J699&gt;0.005,1,0)))</f>
      </c>
      <c r="J699" s="43">
        <f>IF($I698=0,0,$R698)</f>
      </c>
      <c r="K699" s="43">
        <f>IF($I699=0,0,IF(INDEX(DarlOhneTilgung,2)=1,0,IF(AND(INDEX(DarlTilgStart,2)&gt;0,$E699=INDEX(DarlTilgStart,2)),$J699*($H699+INDEX(DarlTilgung,2))/100/12,IF(AND($G699=0,$G698=1),MAX($K698,$J699*($H699+1)/100/12),$K698))))</f>
      </c>
      <c r="L699" s="43">
        <f>IF($I699=0,0,$J699*$H699/100/12)</f>
      </c>
      <c r="M699" s="43">
        <f>IF($I699=0,0,IF(OR(INDEX(DarlOhneTilgung,2)=1,AND(INDEX(DarlTilgStart,2)&gt;0,$E699&lt;INDEX(DarlTilgStart,2))),0,MIN(MAX(0,$K699-$L699),$J699)))</f>
      </c>
      <c r="N699" s="43">
        <f>IF($I699=0,0,MIN(SUMIFS(SondBetrag,SondDarl,2,SondDatum,"&gt;="&amp;$E699,SondDatum,"&lt;="&amp;EOMONTH($E699,0)),$J699-$M699))</f>
      </c>
      <c r="O699" s="43">
        <f>IF($I699=0,0,INDEX(DarlErsatzRate,2))</f>
      </c>
      <c r="P699" s="43">
        <f>IF($I699=0,0,$Q698*INDEX(DarlErsatzZins,2))</f>
      </c>
      <c r="Q699" s="43">
        <f>IF($I699=0,0,$Q698+$P699+$O699)</f>
      </c>
      <c r="R699" s="43">
        <f>IF($I699=0,0,$J699-$M699-$N699)</f>
      </c>
    </row>
    <row r="700">
      <c r="A700"/>
      <c r="B700">
        <v>2</v>
      </c>
      <c r="C700" s="43">
        <f>INDEX(DarlObj,2)</f>
      </c>
      <c r="D700">
        <v>217</v>
      </c>
      <c r="E700" s="51">
        <f>IF(INDEX(DarlBelegt,2)=0,0,EOMONTH(INDEX(DarlAuszahlung,2),216)+1)</f>
      </c>
      <c r="F700" s="43">
        <f>IF($E700=0,0,YEAR($E700))</f>
      </c>
      <c r="G700" s="43">
        <f>IF(INDEX(DarlBindung,2)="",1,IF($E700&lt;=INDEX(DarlBindung,2),1,0))</f>
      </c>
      <c r="H700" s="43">
        <f>IF($G700=1,INDEX(DarlSollzins,2),INDEX(DarlAnschluss,2))</f>
      </c>
      <c r="I700" s="43">
        <f>IF(INDEX(DarlBelegt,2)=0,0,IF(INDEX(DarlOhneTilgung,2)=1,IF(INDEX(DarlBindung,2)="",1,$G700),IF($J700&gt;0.005,1,0)))</f>
      </c>
      <c r="J700" s="43">
        <f>IF($I699=0,0,$R699)</f>
      </c>
      <c r="K700" s="43">
        <f>IF($I700=0,0,IF(INDEX(DarlOhneTilgung,2)=1,0,IF(AND(INDEX(DarlTilgStart,2)&gt;0,$E700=INDEX(DarlTilgStart,2)),$J700*($H700+INDEX(DarlTilgung,2))/100/12,IF(AND($G700=0,$G699=1),MAX($K699,$J700*($H700+1)/100/12),$K699))))</f>
      </c>
      <c r="L700" s="43">
        <f>IF($I700=0,0,$J700*$H700/100/12)</f>
      </c>
      <c r="M700" s="43">
        <f>IF($I700=0,0,IF(OR(INDEX(DarlOhneTilgung,2)=1,AND(INDEX(DarlTilgStart,2)&gt;0,$E700&lt;INDEX(DarlTilgStart,2))),0,MIN(MAX(0,$K700-$L700),$J700)))</f>
      </c>
      <c r="N700" s="43">
        <f>IF($I700=0,0,MIN(SUMIFS(SondBetrag,SondDarl,2,SondDatum,"&gt;="&amp;$E700,SondDatum,"&lt;="&amp;EOMONTH($E700,0)),$J700-$M700))</f>
      </c>
      <c r="O700" s="43">
        <f>IF($I700=0,0,INDEX(DarlErsatzRate,2))</f>
      </c>
      <c r="P700" s="43">
        <f>IF($I700=0,0,$Q699*INDEX(DarlErsatzZins,2))</f>
      </c>
      <c r="Q700" s="43">
        <f>IF($I700=0,0,$Q699+$P700+$O700)</f>
      </c>
      <c r="R700" s="43">
        <f>IF($I700=0,0,$J700-$M700-$N700)</f>
      </c>
    </row>
    <row r="701">
      <c r="A701"/>
      <c r="B701">
        <v>2</v>
      </c>
      <c r="C701" s="43">
        <f>INDEX(DarlObj,2)</f>
      </c>
      <c r="D701">
        <v>218</v>
      </c>
      <c r="E701" s="51">
        <f>IF(INDEX(DarlBelegt,2)=0,0,EOMONTH(INDEX(DarlAuszahlung,2),217)+1)</f>
      </c>
      <c r="F701" s="43">
        <f>IF($E701=0,0,YEAR($E701))</f>
      </c>
      <c r="G701" s="43">
        <f>IF(INDEX(DarlBindung,2)="",1,IF($E701&lt;=INDEX(DarlBindung,2),1,0))</f>
      </c>
      <c r="H701" s="43">
        <f>IF($G701=1,INDEX(DarlSollzins,2),INDEX(DarlAnschluss,2))</f>
      </c>
      <c r="I701" s="43">
        <f>IF(INDEX(DarlBelegt,2)=0,0,IF(INDEX(DarlOhneTilgung,2)=1,IF(INDEX(DarlBindung,2)="",1,$G701),IF($J701&gt;0.005,1,0)))</f>
      </c>
      <c r="J701" s="43">
        <f>IF($I700=0,0,$R700)</f>
      </c>
      <c r="K701" s="43">
        <f>IF($I701=0,0,IF(INDEX(DarlOhneTilgung,2)=1,0,IF(AND(INDEX(DarlTilgStart,2)&gt;0,$E701=INDEX(DarlTilgStart,2)),$J701*($H701+INDEX(DarlTilgung,2))/100/12,IF(AND($G701=0,$G700=1),MAX($K700,$J701*($H701+1)/100/12),$K700))))</f>
      </c>
      <c r="L701" s="43">
        <f>IF($I701=0,0,$J701*$H701/100/12)</f>
      </c>
      <c r="M701" s="43">
        <f>IF($I701=0,0,IF(OR(INDEX(DarlOhneTilgung,2)=1,AND(INDEX(DarlTilgStart,2)&gt;0,$E701&lt;INDEX(DarlTilgStart,2))),0,MIN(MAX(0,$K701-$L701),$J701)))</f>
      </c>
      <c r="N701" s="43">
        <f>IF($I701=0,0,MIN(SUMIFS(SondBetrag,SondDarl,2,SondDatum,"&gt;="&amp;$E701,SondDatum,"&lt;="&amp;EOMONTH($E701,0)),$J701-$M701))</f>
      </c>
      <c r="O701" s="43">
        <f>IF($I701=0,0,INDEX(DarlErsatzRate,2))</f>
      </c>
      <c r="P701" s="43">
        <f>IF($I701=0,0,$Q700*INDEX(DarlErsatzZins,2))</f>
      </c>
      <c r="Q701" s="43">
        <f>IF($I701=0,0,$Q700+$P701+$O701)</f>
      </c>
      <c r="R701" s="43">
        <f>IF($I701=0,0,$J701-$M701-$N701)</f>
      </c>
    </row>
    <row r="702">
      <c r="A702"/>
      <c r="B702">
        <v>2</v>
      </c>
      <c r="C702" s="43">
        <f>INDEX(DarlObj,2)</f>
      </c>
      <c r="D702">
        <v>219</v>
      </c>
      <c r="E702" s="51">
        <f>IF(INDEX(DarlBelegt,2)=0,0,EOMONTH(INDEX(DarlAuszahlung,2),218)+1)</f>
      </c>
      <c r="F702" s="43">
        <f>IF($E702=0,0,YEAR($E702))</f>
      </c>
      <c r="G702" s="43">
        <f>IF(INDEX(DarlBindung,2)="",1,IF($E702&lt;=INDEX(DarlBindung,2),1,0))</f>
      </c>
      <c r="H702" s="43">
        <f>IF($G702=1,INDEX(DarlSollzins,2),INDEX(DarlAnschluss,2))</f>
      </c>
      <c r="I702" s="43">
        <f>IF(INDEX(DarlBelegt,2)=0,0,IF(INDEX(DarlOhneTilgung,2)=1,IF(INDEX(DarlBindung,2)="",1,$G702),IF($J702&gt;0.005,1,0)))</f>
      </c>
      <c r="J702" s="43">
        <f>IF($I701=0,0,$R701)</f>
      </c>
      <c r="K702" s="43">
        <f>IF($I702=0,0,IF(INDEX(DarlOhneTilgung,2)=1,0,IF(AND(INDEX(DarlTilgStart,2)&gt;0,$E702=INDEX(DarlTilgStart,2)),$J702*($H702+INDEX(DarlTilgung,2))/100/12,IF(AND($G702=0,$G701=1),MAX($K701,$J702*($H702+1)/100/12),$K701))))</f>
      </c>
      <c r="L702" s="43">
        <f>IF($I702=0,0,$J702*$H702/100/12)</f>
      </c>
      <c r="M702" s="43">
        <f>IF($I702=0,0,IF(OR(INDEX(DarlOhneTilgung,2)=1,AND(INDEX(DarlTilgStart,2)&gt;0,$E702&lt;INDEX(DarlTilgStart,2))),0,MIN(MAX(0,$K702-$L702),$J702)))</f>
      </c>
      <c r="N702" s="43">
        <f>IF($I702=0,0,MIN(SUMIFS(SondBetrag,SondDarl,2,SondDatum,"&gt;="&amp;$E702,SondDatum,"&lt;="&amp;EOMONTH($E702,0)),$J702-$M702))</f>
      </c>
      <c r="O702" s="43">
        <f>IF($I702=0,0,INDEX(DarlErsatzRate,2))</f>
      </c>
      <c r="P702" s="43">
        <f>IF($I702=0,0,$Q701*INDEX(DarlErsatzZins,2))</f>
      </c>
      <c r="Q702" s="43">
        <f>IF($I702=0,0,$Q701+$P702+$O702)</f>
      </c>
      <c r="R702" s="43">
        <f>IF($I702=0,0,$J702-$M702-$N702)</f>
      </c>
    </row>
    <row r="703">
      <c r="A703"/>
      <c r="B703">
        <v>2</v>
      </c>
      <c r="C703" s="43">
        <f>INDEX(DarlObj,2)</f>
      </c>
      <c r="D703">
        <v>220</v>
      </c>
      <c r="E703" s="51">
        <f>IF(INDEX(DarlBelegt,2)=0,0,EOMONTH(INDEX(DarlAuszahlung,2),219)+1)</f>
      </c>
      <c r="F703" s="43">
        <f>IF($E703=0,0,YEAR($E703))</f>
      </c>
      <c r="G703" s="43">
        <f>IF(INDEX(DarlBindung,2)="",1,IF($E703&lt;=INDEX(DarlBindung,2),1,0))</f>
      </c>
      <c r="H703" s="43">
        <f>IF($G703=1,INDEX(DarlSollzins,2),INDEX(DarlAnschluss,2))</f>
      </c>
      <c r="I703" s="43">
        <f>IF(INDEX(DarlBelegt,2)=0,0,IF(INDEX(DarlOhneTilgung,2)=1,IF(INDEX(DarlBindung,2)="",1,$G703),IF($J703&gt;0.005,1,0)))</f>
      </c>
      <c r="J703" s="43">
        <f>IF($I702=0,0,$R702)</f>
      </c>
      <c r="K703" s="43">
        <f>IF($I703=0,0,IF(INDEX(DarlOhneTilgung,2)=1,0,IF(AND(INDEX(DarlTilgStart,2)&gt;0,$E703=INDEX(DarlTilgStart,2)),$J703*($H703+INDEX(DarlTilgung,2))/100/12,IF(AND($G703=0,$G702=1),MAX($K702,$J703*($H703+1)/100/12),$K702))))</f>
      </c>
      <c r="L703" s="43">
        <f>IF($I703=0,0,$J703*$H703/100/12)</f>
      </c>
      <c r="M703" s="43">
        <f>IF($I703=0,0,IF(OR(INDEX(DarlOhneTilgung,2)=1,AND(INDEX(DarlTilgStart,2)&gt;0,$E703&lt;INDEX(DarlTilgStart,2))),0,MIN(MAX(0,$K703-$L703),$J703)))</f>
      </c>
      <c r="N703" s="43">
        <f>IF($I703=0,0,MIN(SUMIFS(SondBetrag,SondDarl,2,SondDatum,"&gt;="&amp;$E703,SondDatum,"&lt;="&amp;EOMONTH($E703,0)),$J703-$M703))</f>
      </c>
      <c r="O703" s="43">
        <f>IF($I703=0,0,INDEX(DarlErsatzRate,2))</f>
      </c>
      <c r="P703" s="43">
        <f>IF($I703=0,0,$Q702*INDEX(DarlErsatzZins,2))</f>
      </c>
      <c r="Q703" s="43">
        <f>IF($I703=0,0,$Q702+$P703+$O703)</f>
      </c>
      <c r="R703" s="43">
        <f>IF($I703=0,0,$J703-$M703-$N703)</f>
      </c>
    </row>
    <row r="704">
      <c r="A704"/>
      <c r="B704">
        <v>2</v>
      </c>
      <c r="C704" s="43">
        <f>INDEX(DarlObj,2)</f>
      </c>
      <c r="D704">
        <v>221</v>
      </c>
      <c r="E704" s="51">
        <f>IF(INDEX(DarlBelegt,2)=0,0,EOMONTH(INDEX(DarlAuszahlung,2),220)+1)</f>
      </c>
      <c r="F704" s="43">
        <f>IF($E704=0,0,YEAR($E704))</f>
      </c>
      <c r="G704" s="43">
        <f>IF(INDEX(DarlBindung,2)="",1,IF($E704&lt;=INDEX(DarlBindung,2),1,0))</f>
      </c>
      <c r="H704" s="43">
        <f>IF($G704=1,INDEX(DarlSollzins,2),INDEX(DarlAnschluss,2))</f>
      </c>
      <c r="I704" s="43">
        <f>IF(INDEX(DarlBelegt,2)=0,0,IF(INDEX(DarlOhneTilgung,2)=1,IF(INDEX(DarlBindung,2)="",1,$G704),IF($J704&gt;0.005,1,0)))</f>
      </c>
      <c r="J704" s="43">
        <f>IF($I703=0,0,$R703)</f>
      </c>
      <c r="K704" s="43">
        <f>IF($I704=0,0,IF(INDEX(DarlOhneTilgung,2)=1,0,IF(AND(INDEX(DarlTilgStart,2)&gt;0,$E704=INDEX(DarlTilgStart,2)),$J704*($H704+INDEX(DarlTilgung,2))/100/12,IF(AND($G704=0,$G703=1),MAX($K703,$J704*($H704+1)/100/12),$K703))))</f>
      </c>
      <c r="L704" s="43">
        <f>IF($I704=0,0,$J704*$H704/100/12)</f>
      </c>
      <c r="M704" s="43">
        <f>IF($I704=0,0,IF(OR(INDEX(DarlOhneTilgung,2)=1,AND(INDEX(DarlTilgStart,2)&gt;0,$E704&lt;INDEX(DarlTilgStart,2))),0,MIN(MAX(0,$K704-$L704),$J704)))</f>
      </c>
      <c r="N704" s="43">
        <f>IF($I704=0,0,MIN(SUMIFS(SondBetrag,SondDarl,2,SondDatum,"&gt;="&amp;$E704,SondDatum,"&lt;="&amp;EOMONTH($E704,0)),$J704-$M704))</f>
      </c>
      <c r="O704" s="43">
        <f>IF($I704=0,0,INDEX(DarlErsatzRate,2))</f>
      </c>
      <c r="P704" s="43">
        <f>IF($I704=0,0,$Q703*INDEX(DarlErsatzZins,2))</f>
      </c>
      <c r="Q704" s="43">
        <f>IF($I704=0,0,$Q703+$P704+$O704)</f>
      </c>
      <c r="R704" s="43">
        <f>IF($I704=0,0,$J704-$M704-$N704)</f>
      </c>
    </row>
    <row r="705">
      <c r="A705"/>
      <c r="B705">
        <v>2</v>
      </c>
      <c r="C705" s="43">
        <f>INDEX(DarlObj,2)</f>
      </c>
      <c r="D705">
        <v>222</v>
      </c>
      <c r="E705" s="51">
        <f>IF(INDEX(DarlBelegt,2)=0,0,EOMONTH(INDEX(DarlAuszahlung,2),221)+1)</f>
      </c>
      <c r="F705" s="43">
        <f>IF($E705=0,0,YEAR($E705))</f>
      </c>
      <c r="G705" s="43">
        <f>IF(INDEX(DarlBindung,2)="",1,IF($E705&lt;=INDEX(DarlBindung,2),1,0))</f>
      </c>
      <c r="H705" s="43">
        <f>IF($G705=1,INDEX(DarlSollzins,2),INDEX(DarlAnschluss,2))</f>
      </c>
      <c r="I705" s="43">
        <f>IF(INDEX(DarlBelegt,2)=0,0,IF(INDEX(DarlOhneTilgung,2)=1,IF(INDEX(DarlBindung,2)="",1,$G705),IF($J705&gt;0.005,1,0)))</f>
      </c>
      <c r="J705" s="43">
        <f>IF($I704=0,0,$R704)</f>
      </c>
      <c r="K705" s="43">
        <f>IF($I705=0,0,IF(INDEX(DarlOhneTilgung,2)=1,0,IF(AND(INDEX(DarlTilgStart,2)&gt;0,$E705=INDEX(DarlTilgStart,2)),$J705*($H705+INDEX(DarlTilgung,2))/100/12,IF(AND($G705=0,$G704=1),MAX($K704,$J705*($H705+1)/100/12),$K704))))</f>
      </c>
      <c r="L705" s="43">
        <f>IF($I705=0,0,$J705*$H705/100/12)</f>
      </c>
      <c r="M705" s="43">
        <f>IF($I705=0,0,IF(OR(INDEX(DarlOhneTilgung,2)=1,AND(INDEX(DarlTilgStart,2)&gt;0,$E705&lt;INDEX(DarlTilgStart,2))),0,MIN(MAX(0,$K705-$L705),$J705)))</f>
      </c>
      <c r="N705" s="43">
        <f>IF($I705=0,0,MIN(SUMIFS(SondBetrag,SondDarl,2,SondDatum,"&gt;="&amp;$E705,SondDatum,"&lt;="&amp;EOMONTH($E705,0)),$J705-$M705))</f>
      </c>
      <c r="O705" s="43">
        <f>IF($I705=0,0,INDEX(DarlErsatzRate,2))</f>
      </c>
      <c r="P705" s="43">
        <f>IF($I705=0,0,$Q704*INDEX(DarlErsatzZins,2))</f>
      </c>
      <c r="Q705" s="43">
        <f>IF($I705=0,0,$Q704+$P705+$O705)</f>
      </c>
      <c r="R705" s="43">
        <f>IF($I705=0,0,$J705-$M705-$N705)</f>
      </c>
    </row>
    <row r="706">
      <c r="A706"/>
      <c r="B706">
        <v>2</v>
      </c>
      <c r="C706" s="43">
        <f>INDEX(DarlObj,2)</f>
      </c>
      <c r="D706">
        <v>223</v>
      </c>
      <c r="E706" s="51">
        <f>IF(INDEX(DarlBelegt,2)=0,0,EOMONTH(INDEX(DarlAuszahlung,2),222)+1)</f>
      </c>
      <c r="F706" s="43">
        <f>IF($E706=0,0,YEAR($E706))</f>
      </c>
      <c r="G706" s="43">
        <f>IF(INDEX(DarlBindung,2)="",1,IF($E706&lt;=INDEX(DarlBindung,2),1,0))</f>
      </c>
      <c r="H706" s="43">
        <f>IF($G706=1,INDEX(DarlSollzins,2),INDEX(DarlAnschluss,2))</f>
      </c>
      <c r="I706" s="43">
        <f>IF(INDEX(DarlBelegt,2)=0,0,IF(INDEX(DarlOhneTilgung,2)=1,IF(INDEX(DarlBindung,2)="",1,$G706),IF($J706&gt;0.005,1,0)))</f>
      </c>
      <c r="J706" s="43">
        <f>IF($I705=0,0,$R705)</f>
      </c>
      <c r="K706" s="43">
        <f>IF($I706=0,0,IF(INDEX(DarlOhneTilgung,2)=1,0,IF(AND(INDEX(DarlTilgStart,2)&gt;0,$E706=INDEX(DarlTilgStart,2)),$J706*($H706+INDEX(DarlTilgung,2))/100/12,IF(AND($G706=0,$G705=1),MAX($K705,$J706*($H706+1)/100/12),$K705))))</f>
      </c>
      <c r="L706" s="43">
        <f>IF($I706=0,0,$J706*$H706/100/12)</f>
      </c>
      <c r="M706" s="43">
        <f>IF($I706=0,0,IF(OR(INDEX(DarlOhneTilgung,2)=1,AND(INDEX(DarlTilgStart,2)&gt;0,$E706&lt;INDEX(DarlTilgStart,2))),0,MIN(MAX(0,$K706-$L706),$J706)))</f>
      </c>
      <c r="N706" s="43">
        <f>IF($I706=0,0,MIN(SUMIFS(SondBetrag,SondDarl,2,SondDatum,"&gt;="&amp;$E706,SondDatum,"&lt;="&amp;EOMONTH($E706,0)),$J706-$M706))</f>
      </c>
      <c r="O706" s="43">
        <f>IF($I706=0,0,INDEX(DarlErsatzRate,2))</f>
      </c>
      <c r="P706" s="43">
        <f>IF($I706=0,0,$Q705*INDEX(DarlErsatzZins,2))</f>
      </c>
      <c r="Q706" s="43">
        <f>IF($I706=0,0,$Q705+$P706+$O706)</f>
      </c>
      <c r="R706" s="43">
        <f>IF($I706=0,0,$J706-$M706-$N706)</f>
      </c>
    </row>
    <row r="707">
      <c r="A707"/>
      <c r="B707">
        <v>2</v>
      </c>
      <c r="C707" s="43">
        <f>INDEX(DarlObj,2)</f>
      </c>
      <c r="D707">
        <v>224</v>
      </c>
      <c r="E707" s="51">
        <f>IF(INDEX(DarlBelegt,2)=0,0,EOMONTH(INDEX(DarlAuszahlung,2),223)+1)</f>
      </c>
      <c r="F707" s="43">
        <f>IF($E707=0,0,YEAR($E707))</f>
      </c>
      <c r="G707" s="43">
        <f>IF(INDEX(DarlBindung,2)="",1,IF($E707&lt;=INDEX(DarlBindung,2),1,0))</f>
      </c>
      <c r="H707" s="43">
        <f>IF($G707=1,INDEX(DarlSollzins,2),INDEX(DarlAnschluss,2))</f>
      </c>
      <c r="I707" s="43">
        <f>IF(INDEX(DarlBelegt,2)=0,0,IF(INDEX(DarlOhneTilgung,2)=1,IF(INDEX(DarlBindung,2)="",1,$G707),IF($J707&gt;0.005,1,0)))</f>
      </c>
      <c r="J707" s="43">
        <f>IF($I706=0,0,$R706)</f>
      </c>
      <c r="K707" s="43">
        <f>IF($I707=0,0,IF(INDEX(DarlOhneTilgung,2)=1,0,IF(AND(INDEX(DarlTilgStart,2)&gt;0,$E707=INDEX(DarlTilgStart,2)),$J707*($H707+INDEX(DarlTilgung,2))/100/12,IF(AND($G707=0,$G706=1),MAX($K706,$J707*($H707+1)/100/12),$K706))))</f>
      </c>
      <c r="L707" s="43">
        <f>IF($I707=0,0,$J707*$H707/100/12)</f>
      </c>
      <c r="M707" s="43">
        <f>IF($I707=0,0,IF(OR(INDEX(DarlOhneTilgung,2)=1,AND(INDEX(DarlTilgStart,2)&gt;0,$E707&lt;INDEX(DarlTilgStart,2))),0,MIN(MAX(0,$K707-$L707),$J707)))</f>
      </c>
      <c r="N707" s="43">
        <f>IF($I707=0,0,MIN(SUMIFS(SondBetrag,SondDarl,2,SondDatum,"&gt;="&amp;$E707,SondDatum,"&lt;="&amp;EOMONTH($E707,0)),$J707-$M707))</f>
      </c>
      <c r="O707" s="43">
        <f>IF($I707=0,0,INDEX(DarlErsatzRate,2))</f>
      </c>
      <c r="P707" s="43">
        <f>IF($I707=0,0,$Q706*INDEX(DarlErsatzZins,2))</f>
      </c>
      <c r="Q707" s="43">
        <f>IF($I707=0,0,$Q706+$P707+$O707)</f>
      </c>
      <c r="R707" s="43">
        <f>IF($I707=0,0,$J707-$M707-$N707)</f>
      </c>
    </row>
    <row r="708">
      <c r="A708"/>
      <c r="B708">
        <v>2</v>
      </c>
      <c r="C708" s="43">
        <f>INDEX(DarlObj,2)</f>
      </c>
      <c r="D708">
        <v>225</v>
      </c>
      <c r="E708" s="51">
        <f>IF(INDEX(DarlBelegt,2)=0,0,EOMONTH(INDEX(DarlAuszahlung,2),224)+1)</f>
      </c>
      <c r="F708" s="43">
        <f>IF($E708=0,0,YEAR($E708))</f>
      </c>
      <c r="G708" s="43">
        <f>IF(INDEX(DarlBindung,2)="",1,IF($E708&lt;=INDEX(DarlBindung,2),1,0))</f>
      </c>
      <c r="H708" s="43">
        <f>IF($G708=1,INDEX(DarlSollzins,2),INDEX(DarlAnschluss,2))</f>
      </c>
      <c r="I708" s="43">
        <f>IF(INDEX(DarlBelegt,2)=0,0,IF(INDEX(DarlOhneTilgung,2)=1,IF(INDEX(DarlBindung,2)="",1,$G708),IF($J708&gt;0.005,1,0)))</f>
      </c>
      <c r="J708" s="43">
        <f>IF($I707=0,0,$R707)</f>
      </c>
      <c r="K708" s="43">
        <f>IF($I708=0,0,IF(INDEX(DarlOhneTilgung,2)=1,0,IF(AND(INDEX(DarlTilgStart,2)&gt;0,$E708=INDEX(DarlTilgStart,2)),$J708*($H708+INDEX(DarlTilgung,2))/100/12,IF(AND($G708=0,$G707=1),MAX($K707,$J708*($H708+1)/100/12),$K707))))</f>
      </c>
      <c r="L708" s="43">
        <f>IF($I708=0,0,$J708*$H708/100/12)</f>
      </c>
      <c r="M708" s="43">
        <f>IF($I708=0,0,IF(OR(INDEX(DarlOhneTilgung,2)=1,AND(INDEX(DarlTilgStart,2)&gt;0,$E708&lt;INDEX(DarlTilgStart,2))),0,MIN(MAX(0,$K708-$L708),$J708)))</f>
      </c>
      <c r="N708" s="43">
        <f>IF($I708=0,0,MIN(SUMIFS(SondBetrag,SondDarl,2,SondDatum,"&gt;="&amp;$E708,SondDatum,"&lt;="&amp;EOMONTH($E708,0)),$J708-$M708))</f>
      </c>
      <c r="O708" s="43">
        <f>IF($I708=0,0,INDEX(DarlErsatzRate,2))</f>
      </c>
      <c r="P708" s="43">
        <f>IF($I708=0,0,$Q707*INDEX(DarlErsatzZins,2))</f>
      </c>
      <c r="Q708" s="43">
        <f>IF($I708=0,0,$Q707+$P708+$O708)</f>
      </c>
      <c r="R708" s="43">
        <f>IF($I708=0,0,$J708-$M708-$N708)</f>
      </c>
    </row>
    <row r="709">
      <c r="A709"/>
      <c r="B709">
        <v>2</v>
      </c>
      <c r="C709" s="43">
        <f>INDEX(DarlObj,2)</f>
      </c>
      <c r="D709">
        <v>226</v>
      </c>
      <c r="E709" s="51">
        <f>IF(INDEX(DarlBelegt,2)=0,0,EOMONTH(INDEX(DarlAuszahlung,2),225)+1)</f>
      </c>
      <c r="F709" s="43">
        <f>IF($E709=0,0,YEAR($E709))</f>
      </c>
      <c r="G709" s="43">
        <f>IF(INDEX(DarlBindung,2)="",1,IF($E709&lt;=INDEX(DarlBindung,2),1,0))</f>
      </c>
      <c r="H709" s="43">
        <f>IF($G709=1,INDEX(DarlSollzins,2),INDEX(DarlAnschluss,2))</f>
      </c>
      <c r="I709" s="43">
        <f>IF(INDEX(DarlBelegt,2)=0,0,IF(INDEX(DarlOhneTilgung,2)=1,IF(INDEX(DarlBindung,2)="",1,$G709),IF($J709&gt;0.005,1,0)))</f>
      </c>
      <c r="J709" s="43">
        <f>IF($I708=0,0,$R708)</f>
      </c>
      <c r="K709" s="43">
        <f>IF($I709=0,0,IF(INDEX(DarlOhneTilgung,2)=1,0,IF(AND(INDEX(DarlTilgStart,2)&gt;0,$E709=INDEX(DarlTilgStart,2)),$J709*($H709+INDEX(DarlTilgung,2))/100/12,IF(AND($G709=0,$G708=1),MAX($K708,$J709*($H709+1)/100/12),$K708))))</f>
      </c>
      <c r="L709" s="43">
        <f>IF($I709=0,0,$J709*$H709/100/12)</f>
      </c>
      <c r="M709" s="43">
        <f>IF($I709=0,0,IF(OR(INDEX(DarlOhneTilgung,2)=1,AND(INDEX(DarlTilgStart,2)&gt;0,$E709&lt;INDEX(DarlTilgStart,2))),0,MIN(MAX(0,$K709-$L709),$J709)))</f>
      </c>
      <c r="N709" s="43">
        <f>IF($I709=0,0,MIN(SUMIFS(SondBetrag,SondDarl,2,SondDatum,"&gt;="&amp;$E709,SondDatum,"&lt;="&amp;EOMONTH($E709,0)),$J709-$M709))</f>
      </c>
      <c r="O709" s="43">
        <f>IF($I709=0,0,INDEX(DarlErsatzRate,2))</f>
      </c>
      <c r="P709" s="43">
        <f>IF($I709=0,0,$Q708*INDEX(DarlErsatzZins,2))</f>
      </c>
      <c r="Q709" s="43">
        <f>IF($I709=0,0,$Q708+$P709+$O709)</f>
      </c>
      <c r="R709" s="43">
        <f>IF($I709=0,0,$J709-$M709-$N709)</f>
      </c>
    </row>
    <row r="710">
      <c r="A710"/>
      <c r="B710">
        <v>2</v>
      </c>
      <c r="C710" s="43">
        <f>INDEX(DarlObj,2)</f>
      </c>
      <c r="D710">
        <v>227</v>
      </c>
      <c r="E710" s="51">
        <f>IF(INDEX(DarlBelegt,2)=0,0,EOMONTH(INDEX(DarlAuszahlung,2),226)+1)</f>
      </c>
      <c r="F710" s="43">
        <f>IF($E710=0,0,YEAR($E710))</f>
      </c>
      <c r="G710" s="43">
        <f>IF(INDEX(DarlBindung,2)="",1,IF($E710&lt;=INDEX(DarlBindung,2),1,0))</f>
      </c>
      <c r="H710" s="43">
        <f>IF($G710=1,INDEX(DarlSollzins,2),INDEX(DarlAnschluss,2))</f>
      </c>
      <c r="I710" s="43">
        <f>IF(INDEX(DarlBelegt,2)=0,0,IF(INDEX(DarlOhneTilgung,2)=1,IF(INDEX(DarlBindung,2)="",1,$G710),IF($J710&gt;0.005,1,0)))</f>
      </c>
      <c r="J710" s="43">
        <f>IF($I709=0,0,$R709)</f>
      </c>
      <c r="K710" s="43">
        <f>IF($I710=0,0,IF(INDEX(DarlOhneTilgung,2)=1,0,IF(AND(INDEX(DarlTilgStart,2)&gt;0,$E710=INDEX(DarlTilgStart,2)),$J710*($H710+INDEX(DarlTilgung,2))/100/12,IF(AND($G710=0,$G709=1),MAX($K709,$J710*($H710+1)/100/12),$K709))))</f>
      </c>
      <c r="L710" s="43">
        <f>IF($I710=0,0,$J710*$H710/100/12)</f>
      </c>
      <c r="M710" s="43">
        <f>IF($I710=0,0,IF(OR(INDEX(DarlOhneTilgung,2)=1,AND(INDEX(DarlTilgStart,2)&gt;0,$E710&lt;INDEX(DarlTilgStart,2))),0,MIN(MAX(0,$K710-$L710),$J710)))</f>
      </c>
      <c r="N710" s="43">
        <f>IF($I710=0,0,MIN(SUMIFS(SondBetrag,SondDarl,2,SondDatum,"&gt;="&amp;$E710,SondDatum,"&lt;="&amp;EOMONTH($E710,0)),$J710-$M710))</f>
      </c>
      <c r="O710" s="43">
        <f>IF($I710=0,0,INDEX(DarlErsatzRate,2))</f>
      </c>
      <c r="P710" s="43">
        <f>IF($I710=0,0,$Q709*INDEX(DarlErsatzZins,2))</f>
      </c>
      <c r="Q710" s="43">
        <f>IF($I710=0,0,$Q709+$P710+$O710)</f>
      </c>
      <c r="R710" s="43">
        <f>IF($I710=0,0,$J710-$M710-$N710)</f>
      </c>
    </row>
    <row r="711">
      <c r="A711"/>
      <c r="B711">
        <v>2</v>
      </c>
      <c r="C711" s="43">
        <f>INDEX(DarlObj,2)</f>
      </c>
      <c r="D711">
        <v>228</v>
      </c>
      <c r="E711" s="51">
        <f>IF(INDEX(DarlBelegt,2)=0,0,EOMONTH(INDEX(DarlAuszahlung,2),227)+1)</f>
      </c>
      <c r="F711" s="43">
        <f>IF($E711=0,0,YEAR($E711))</f>
      </c>
      <c r="G711" s="43">
        <f>IF(INDEX(DarlBindung,2)="",1,IF($E711&lt;=INDEX(DarlBindung,2),1,0))</f>
      </c>
      <c r="H711" s="43">
        <f>IF($G711=1,INDEX(DarlSollzins,2),INDEX(DarlAnschluss,2))</f>
      </c>
      <c r="I711" s="43">
        <f>IF(INDEX(DarlBelegt,2)=0,0,IF(INDEX(DarlOhneTilgung,2)=1,IF(INDEX(DarlBindung,2)="",1,$G711),IF($J711&gt;0.005,1,0)))</f>
      </c>
      <c r="J711" s="43">
        <f>IF($I710=0,0,$R710)</f>
      </c>
      <c r="K711" s="43">
        <f>IF($I711=0,0,IF(INDEX(DarlOhneTilgung,2)=1,0,IF(AND(INDEX(DarlTilgStart,2)&gt;0,$E711=INDEX(DarlTilgStart,2)),$J711*($H711+INDEX(DarlTilgung,2))/100/12,IF(AND($G711=0,$G710=1),MAX($K710,$J711*($H711+1)/100/12),$K710))))</f>
      </c>
      <c r="L711" s="43">
        <f>IF($I711=0,0,$J711*$H711/100/12)</f>
      </c>
      <c r="M711" s="43">
        <f>IF($I711=0,0,IF(OR(INDEX(DarlOhneTilgung,2)=1,AND(INDEX(DarlTilgStart,2)&gt;0,$E711&lt;INDEX(DarlTilgStart,2))),0,MIN(MAX(0,$K711-$L711),$J711)))</f>
      </c>
      <c r="N711" s="43">
        <f>IF($I711=0,0,MIN(SUMIFS(SondBetrag,SondDarl,2,SondDatum,"&gt;="&amp;$E711,SondDatum,"&lt;="&amp;EOMONTH($E711,0)),$J711-$M711))</f>
      </c>
      <c r="O711" s="43">
        <f>IF($I711=0,0,INDEX(DarlErsatzRate,2))</f>
      </c>
      <c r="P711" s="43">
        <f>IF($I711=0,0,$Q710*INDEX(DarlErsatzZins,2))</f>
      </c>
      <c r="Q711" s="43">
        <f>IF($I711=0,0,$Q710+$P711+$O711)</f>
      </c>
      <c r="R711" s="43">
        <f>IF($I711=0,0,$J711-$M711-$N711)</f>
      </c>
    </row>
    <row r="712">
      <c r="A712"/>
      <c r="B712">
        <v>2</v>
      </c>
      <c r="C712" s="43">
        <f>INDEX(DarlObj,2)</f>
      </c>
      <c r="D712">
        <v>229</v>
      </c>
      <c r="E712" s="51">
        <f>IF(INDEX(DarlBelegt,2)=0,0,EOMONTH(INDEX(DarlAuszahlung,2),228)+1)</f>
      </c>
      <c r="F712" s="43">
        <f>IF($E712=0,0,YEAR($E712))</f>
      </c>
      <c r="G712" s="43">
        <f>IF(INDEX(DarlBindung,2)="",1,IF($E712&lt;=INDEX(DarlBindung,2),1,0))</f>
      </c>
      <c r="H712" s="43">
        <f>IF($G712=1,INDEX(DarlSollzins,2),INDEX(DarlAnschluss,2))</f>
      </c>
      <c r="I712" s="43">
        <f>IF(INDEX(DarlBelegt,2)=0,0,IF(INDEX(DarlOhneTilgung,2)=1,IF(INDEX(DarlBindung,2)="",1,$G712),IF($J712&gt;0.005,1,0)))</f>
      </c>
      <c r="J712" s="43">
        <f>IF($I711=0,0,$R711)</f>
      </c>
      <c r="K712" s="43">
        <f>IF($I712=0,0,IF(INDEX(DarlOhneTilgung,2)=1,0,IF(AND(INDEX(DarlTilgStart,2)&gt;0,$E712=INDEX(DarlTilgStart,2)),$J712*($H712+INDEX(DarlTilgung,2))/100/12,IF(AND($G712=0,$G711=1),MAX($K711,$J712*($H712+1)/100/12),$K711))))</f>
      </c>
      <c r="L712" s="43">
        <f>IF($I712=0,0,$J712*$H712/100/12)</f>
      </c>
      <c r="M712" s="43">
        <f>IF($I712=0,0,IF(OR(INDEX(DarlOhneTilgung,2)=1,AND(INDEX(DarlTilgStart,2)&gt;0,$E712&lt;INDEX(DarlTilgStart,2))),0,MIN(MAX(0,$K712-$L712),$J712)))</f>
      </c>
      <c r="N712" s="43">
        <f>IF($I712=0,0,MIN(SUMIFS(SondBetrag,SondDarl,2,SondDatum,"&gt;="&amp;$E712,SondDatum,"&lt;="&amp;EOMONTH($E712,0)),$J712-$M712))</f>
      </c>
      <c r="O712" s="43">
        <f>IF($I712=0,0,INDEX(DarlErsatzRate,2))</f>
      </c>
      <c r="P712" s="43">
        <f>IF($I712=0,0,$Q711*INDEX(DarlErsatzZins,2))</f>
      </c>
      <c r="Q712" s="43">
        <f>IF($I712=0,0,$Q711+$P712+$O712)</f>
      </c>
      <c r="R712" s="43">
        <f>IF($I712=0,0,$J712-$M712-$N712)</f>
      </c>
    </row>
    <row r="713">
      <c r="A713"/>
      <c r="B713">
        <v>2</v>
      </c>
      <c r="C713" s="43">
        <f>INDEX(DarlObj,2)</f>
      </c>
      <c r="D713">
        <v>230</v>
      </c>
      <c r="E713" s="51">
        <f>IF(INDEX(DarlBelegt,2)=0,0,EOMONTH(INDEX(DarlAuszahlung,2),229)+1)</f>
      </c>
      <c r="F713" s="43">
        <f>IF($E713=0,0,YEAR($E713))</f>
      </c>
      <c r="G713" s="43">
        <f>IF(INDEX(DarlBindung,2)="",1,IF($E713&lt;=INDEX(DarlBindung,2),1,0))</f>
      </c>
      <c r="H713" s="43">
        <f>IF($G713=1,INDEX(DarlSollzins,2),INDEX(DarlAnschluss,2))</f>
      </c>
      <c r="I713" s="43">
        <f>IF(INDEX(DarlBelegt,2)=0,0,IF(INDEX(DarlOhneTilgung,2)=1,IF(INDEX(DarlBindung,2)="",1,$G713),IF($J713&gt;0.005,1,0)))</f>
      </c>
      <c r="J713" s="43">
        <f>IF($I712=0,0,$R712)</f>
      </c>
      <c r="K713" s="43">
        <f>IF($I713=0,0,IF(INDEX(DarlOhneTilgung,2)=1,0,IF(AND(INDEX(DarlTilgStart,2)&gt;0,$E713=INDEX(DarlTilgStart,2)),$J713*($H713+INDEX(DarlTilgung,2))/100/12,IF(AND($G713=0,$G712=1),MAX($K712,$J713*($H713+1)/100/12),$K712))))</f>
      </c>
      <c r="L713" s="43">
        <f>IF($I713=0,0,$J713*$H713/100/12)</f>
      </c>
      <c r="M713" s="43">
        <f>IF($I713=0,0,IF(OR(INDEX(DarlOhneTilgung,2)=1,AND(INDEX(DarlTilgStart,2)&gt;0,$E713&lt;INDEX(DarlTilgStart,2))),0,MIN(MAX(0,$K713-$L713),$J713)))</f>
      </c>
      <c r="N713" s="43">
        <f>IF($I713=0,0,MIN(SUMIFS(SondBetrag,SondDarl,2,SondDatum,"&gt;="&amp;$E713,SondDatum,"&lt;="&amp;EOMONTH($E713,0)),$J713-$M713))</f>
      </c>
      <c r="O713" s="43">
        <f>IF($I713=0,0,INDEX(DarlErsatzRate,2))</f>
      </c>
      <c r="P713" s="43">
        <f>IF($I713=0,0,$Q712*INDEX(DarlErsatzZins,2))</f>
      </c>
      <c r="Q713" s="43">
        <f>IF($I713=0,0,$Q712+$P713+$O713)</f>
      </c>
      <c r="R713" s="43">
        <f>IF($I713=0,0,$J713-$M713-$N713)</f>
      </c>
    </row>
    <row r="714">
      <c r="A714"/>
      <c r="B714">
        <v>2</v>
      </c>
      <c r="C714" s="43">
        <f>INDEX(DarlObj,2)</f>
      </c>
      <c r="D714">
        <v>231</v>
      </c>
      <c r="E714" s="51">
        <f>IF(INDEX(DarlBelegt,2)=0,0,EOMONTH(INDEX(DarlAuszahlung,2),230)+1)</f>
      </c>
      <c r="F714" s="43">
        <f>IF($E714=0,0,YEAR($E714))</f>
      </c>
      <c r="G714" s="43">
        <f>IF(INDEX(DarlBindung,2)="",1,IF($E714&lt;=INDEX(DarlBindung,2),1,0))</f>
      </c>
      <c r="H714" s="43">
        <f>IF($G714=1,INDEX(DarlSollzins,2),INDEX(DarlAnschluss,2))</f>
      </c>
      <c r="I714" s="43">
        <f>IF(INDEX(DarlBelegt,2)=0,0,IF(INDEX(DarlOhneTilgung,2)=1,IF(INDEX(DarlBindung,2)="",1,$G714),IF($J714&gt;0.005,1,0)))</f>
      </c>
      <c r="J714" s="43">
        <f>IF($I713=0,0,$R713)</f>
      </c>
      <c r="K714" s="43">
        <f>IF($I714=0,0,IF(INDEX(DarlOhneTilgung,2)=1,0,IF(AND(INDEX(DarlTilgStart,2)&gt;0,$E714=INDEX(DarlTilgStart,2)),$J714*($H714+INDEX(DarlTilgung,2))/100/12,IF(AND($G714=0,$G713=1),MAX($K713,$J714*($H714+1)/100/12),$K713))))</f>
      </c>
      <c r="L714" s="43">
        <f>IF($I714=0,0,$J714*$H714/100/12)</f>
      </c>
      <c r="M714" s="43">
        <f>IF($I714=0,0,IF(OR(INDEX(DarlOhneTilgung,2)=1,AND(INDEX(DarlTilgStart,2)&gt;0,$E714&lt;INDEX(DarlTilgStart,2))),0,MIN(MAX(0,$K714-$L714),$J714)))</f>
      </c>
      <c r="N714" s="43">
        <f>IF($I714=0,0,MIN(SUMIFS(SondBetrag,SondDarl,2,SondDatum,"&gt;="&amp;$E714,SondDatum,"&lt;="&amp;EOMONTH($E714,0)),$J714-$M714))</f>
      </c>
      <c r="O714" s="43">
        <f>IF($I714=0,0,INDEX(DarlErsatzRate,2))</f>
      </c>
      <c r="P714" s="43">
        <f>IF($I714=0,0,$Q713*INDEX(DarlErsatzZins,2))</f>
      </c>
      <c r="Q714" s="43">
        <f>IF($I714=0,0,$Q713+$P714+$O714)</f>
      </c>
      <c r="R714" s="43">
        <f>IF($I714=0,0,$J714-$M714-$N714)</f>
      </c>
    </row>
    <row r="715">
      <c r="A715"/>
      <c r="B715">
        <v>2</v>
      </c>
      <c r="C715" s="43">
        <f>INDEX(DarlObj,2)</f>
      </c>
      <c r="D715">
        <v>232</v>
      </c>
      <c r="E715" s="51">
        <f>IF(INDEX(DarlBelegt,2)=0,0,EOMONTH(INDEX(DarlAuszahlung,2),231)+1)</f>
      </c>
      <c r="F715" s="43">
        <f>IF($E715=0,0,YEAR($E715))</f>
      </c>
      <c r="G715" s="43">
        <f>IF(INDEX(DarlBindung,2)="",1,IF($E715&lt;=INDEX(DarlBindung,2),1,0))</f>
      </c>
      <c r="H715" s="43">
        <f>IF($G715=1,INDEX(DarlSollzins,2),INDEX(DarlAnschluss,2))</f>
      </c>
      <c r="I715" s="43">
        <f>IF(INDEX(DarlBelegt,2)=0,0,IF(INDEX(DarlOhneTilgung,2)=1,IF(INDEX(DarlBindung,2)="",1,$G715),IF($J715&gt;0.005,1,0)))</f>
      </c>
      <c r="J715" s="43">
        <f>IF($I714=0,0,$R714)</f>
      </c>
      <c r="K715" s="43">
        <f>IF($I715=0,0,IF(INDEX(DarlOhneTilgung,2)=1,0,IF(AND(INDEX(DarlTilgStart,2)&gt;0,$E715=INDEX(DarlTilgStart,2)),$J715*($H715+INDEX(DarlTilgung,2))/100/12,IF(AND($G715=0,$G714=1),MAX($K714,$J715*($H715+1)/100/12),$K714))))</f>
      </c>
      <c r="L715" s="43">
        <f>IF($I715=0,0,$J715*$H715/100/12)</f>
      </c>
      <c r="M715" s="43">
        <f>IF($I715=0,0,IF(OR(INDEX(DarlOhneTilgung,2)=1,AND(INDEX(DarlTilgStart,2)&gt;0,$E715&lt;INDEX(DarlTilgStart,2))),0,MIN(MAX(0,$K715-$L715),$J715)))</f>
      </c>
      <c r="N715" s="43">
        <f>IF($I715=0,0,MIN(SUMIFS(SondBetrag,SondDarl,2,SondDatum,"&gt;="&amp;$E715,SondDatum,"&lt;="&amp;EOMONTH($E715,0)),$J715-$M715))</f>
      </c>
      <c r="O715" s="43">
        <f>IF($I715=0,0,INDEX(DarlErsatzRate,2))</f>
      </c>
      <c r="P715" s="43">
        <f>IF($I715=0,0,$Q714*INDEX(DarlErsatzZins,2))</f>
      </c>
      <c r="Q715" s="43">
        <f>IF($I715=0,0,$Q714+$P715+$O715)</f>
      </c>
      <c r="R715" s="43">
        <f>IF($I715=0,0,$J715-$M715-$N715)</f>
      </c>
    </row>
    <row r="716">
      <c r="A716"/>
      <c r="B716">
        <v>2</v>
      </c>
      <c r="C716" s="43">
        <f>INDEX(DarlObj,2)</f>
      </c>
      <c r="D716">
        <v>233</v>
      </c>
      <c r="E716" s="51">
        <f>IF(INDEX(DarlBelegt,2)=0,0,EOMONTH(INDEX(DarlAuszahlung,2),232)+1)</f>
      </c>
      <c r="F716" s="43">
        <f>IF($E716=0,0,YEAR($E716))</f>
      </c>
      <c r="G716" s="43">
        <f>IF(INDEX(DarlBindung,2)="",1,IF($E716&lt;=INDEX(DarlBindung,2),1,0))</f>
      </c>
      <c r="H716" s="43">
        <f>IF($G716=1,INDEX(DarlSollzins,2),INDEX(DarlAnschluss,2))</f>
      </c>
      <c r="I716" s="43">
        <f>IF(INDEX(DarlBelegt,2)=0,0,IF(INDEX(DarlOhneTilgung,2)=1,IF(INDEX(DarlBindung,2)="",1,$G716),IF($J716&gt;0.005,1,0)))</f>
      </c>
      <c r="J716" s="43">
        <f>IF($I715=0,0,$R715)</f>
      </c>
      <c r="K716" s="43">
        <f>IF($I716=0,0,IF(INDEX(DarlOhneTilgung,2)=1,0,IF(AND(INDEX(DarlTilgStart,2)&gt;0,$E716=INDEX(DarlTilgStart,2)),$J716*($H716+INDEX(DarlTilgung,2))/100/12,IF(AND($G716=0,$G715=1),MAX($K715,$J716*($H716+1)/100/12),$K715))))</f>
      </c>
      <c r="L716" s="43">
        <f>IF($I716=0,0,$J716*$H716/100/12)</f>
      </c>
      <c r="M716" s="43">
        <f>IF($I716=0,0,IF(OR(INDEX(DarlOhneTilgung,2)=1,AND(INDEX(DarlTilgStart,2)&gt;0,$E716&lt;INDEX(DarlTilgStart,2))),0,MIN(MAX(0,$K716-$L716),$J716)))</f>
      </c>
      <c r="N716" s="43">
        <f>IF($I716=0,0,MIN(SUMIFS(SondBetrag,SondDarl,2,SondDatum,"&gt;="&amp;$E716,SondDatum,"&lt;="&amp;EOMONTH($E716,0)),$J716-$M716))</f>
      </c>
      <c r="O716" s="43">
        <f>IF($I716=0,0,INDEX(DarlErsatzRate,2))</f>
      </c>
      <c r="P716" s="43">
        <f>IF($I716=0,0,$Q715*INDEX(DarlErsatzZins,2))</f>
      </c>
      <c r="Q716" s="43">
        <f>IF($I716=0,0,$Q715+$P716+$O716)</f>
      </c>
      <c r="R716" s="43">
        <f>IF($I716=0,0,$J716-$M716-$N716)</f>
      </c>
    </row>
    <row r="717">
      <c r="A717"/>
      <c r="B717">
        <v>2</v>
      </c>
      <c r="C717" s="43">
        <f>INDEX(DarlObj,2)</f>
      </c>
      <c r="D717">
        <v>234</v>
      </c>
      <c r="E717" s="51">
        <f>IF(INDEX(DarlBelegt,2)=0,0,EOMONTH(INDEX(DarlAuszahlung,2),233)+1)</f>
      </c>
      <c r="F717" s="43">
        <f>IF($E717=0,0,YEAR($E717))</f>
      </c>
      <c r="G717" s="43">
        <f>IF(INDEX(DarlBindung,2)="",1,IF($E717&lt;=INDEX(DarlBindung,2),1,0))</f>
      </c>
      <c r="H717" s="43">
        <f>IF($G717=1,INDEX(DarlSollzins,2),INDEX(DarlAnschluss,2))</f>
      </c>
      <c r="I717" s="43">
        <f>IF(INDEX(DarlBelegt,2)=0,0,IF(INDEX(DarlOhneTilgung,2)=1,IF(INDEX(DarlBindung,2)="",1,$G717),IF($J717&gt;0.005,1,0)))</f>
      </c>
      <c r="J717" s="43">
        <f>IF($I716=0,0,$R716)</f>
      </c>
      <c r="K717" s="43">
        <f>IF($I717=0,0,IF(INDEX(DarlOhneTilgung,2)=1,0,IF(AND(INDEX(DarlTilgStart,2)&gt;0,$E717=INDEX(DarlTilgStart,2)),$J717*($H717+INDEX(DarlTilgung,2))/100/12,IF(AND($G717=0,$G716=1),MAX($K716,$J717*($H717+1)/100/12),$K716))))</f>
      </c>
      <c r="L717" s="43">
        <f>IF($I717=0,0,$J717*$H717/100/12)</f>
      </c>
      <c r="M717" s="43">
        <f>IF($I717=0,0,IF(OR(INDEX(DarlOhneTilgung,2)=1,AND(INDEX(DarlTilgStart,2)&gt;0,$E717&lt;INDEX(DarlTilgStart,2))),0,MIN(MAX(0,$K717-$L717),$J717)))</f>
      </c>
      <c r="N717" s="43">
        <f>IF($I717=0,0,MIN(SUMIFS(SondBetrag,SondDarl,2,SondDatum,"&gt;="&amp;$E717,SondDatum,"&lt;="&amp;EOMONTH($E717,0)),$J717-$M717))</f>
      </c>
      <c r="O717" s="43">
        <f>IF($I717=0,0,INDEX(DarlErsatzRate,2))</f>
      </c>
      <c r="P717" s="43">
        <f>IF($I717=0,0,$Q716*INDEX(DarlErsatzZins,2))</f>
      </c>
      <c r="Q717" s="43">
        <f>IF($I717=0,0,$Q716+$P717+$O717)</f>
      </c>
      <c r="R717" s="43">
        <f>IF($I717=0,0,$J717-$M717-$N717)</f>
      </c>
    </row>
    <row r="718">
      <c r="A718"/>
      <c r="B718">
        <v>2</v>
      </c>
      <c r="C718" s="43">
        <f>INDEX(DarlObj,2)</f>
      </c>
      <c r="D718">
        <v>235</v>
      </c>
      <c r="E718" s="51">
        <f>IF(INDEX(DarlBelegt,2)=0,0,EOMONTH(INDEX(DarlAuszahlung,2),234)+1)</f>
      </c>
      <c r="F718" s="43">
        <f>IF($E718=0,0,YEAR($E718))</f>
      </c>
      <c r="G718" s="43">
        <f>IF(INDEX(DarlBindung,2)="",1,IF($E718&lt;=INDEX(DarlBindung,2),1,0))</f>
      </c>
      <c r="H718" s="43">
        <f>IF($G718=1,INDEX(DarlSollzins,2),INDEX(DarlAnschluss,2))</f>
      </c>
      <c r="I718" s="43">
        <f>IF(INDEX(DarlBelegt,2)=0,0,IF(INDEX(DarlOhneTilgung,2)=1,IF(INDEX(DarlBindung,2)="",1,$G718),IF($J718&gt;0.005,1,0)))</f>
      </c>
      <c r="J718" s="43">
        <f>IF($I717=0,0,$R717)</f>
      </c>
      <c r="K718" s="43">
        <f>IF($I718=0,0,IF(INDEX(DarlOhneTilgung,2)=1,0,IF(AND(INDEX(DarlTilgStart,2)&gt;0,$E718=INDEX(DarlTilgStart,2)),$J718*($H718+INDEX(DarlTilgung,2))/100/12,IF(AND($G718=0,$G717=1),MAX($K717,$J718*($H718+1)/100/12),$K717))))</f>
      </c>
      <c r="L718" s="43">
        <f>IF($I718=0,0,$J718*$H718/100/12)</f>
      </c>
      <c r="M718" s="43">
        <f>IF($I718=0,0,IF(OR(INDEX(DarlOhneTilgung,2)=1,AND(INDEX(DarlTilgStart,2)&gt;0,$E718&lt;INDEX(DarlTilgStart,2))),0,MIN(MAX(0,$K718-$L718),$J718)))</f>
      </c>
      <c r="N718" s="43">
        <f>IF($I718=0,0,MIN(SUMIFS(SondBetrag,SondDarl,2,SondDatum,"&gt;="&amp;$E718,SondDatum,"&lt;="&amp;EOMONTH($E718,0)),$J718-$M718))</f>
      </c>
      <c r="O718" s="43">
        <f>IF($I718=0,0,INDEX(DarlErsatzRate,2))</f>
      </c>
      <c r="P718" s="43">
        <f>IF($I718=0,0,$Q717*INDEX(DarlErsatzZins,2))</f>
      </c>
      <c r="Q718" s="43">
        <f>IF($I718=0,0,$Q717+$P718+$O718)</f>
      </c>
      <c r="R718" s="43">
        <f>IF($I718=0,0,$J718-$M718-$N718)</f>
      </c>
    </row>
    <row r="719">
      <c r="A719"/>
      <c r="B719">
        <v>2</v>
      </c>
      <c r="C719" s="43">
        <f>INDEX(DarlObj,2)</f>
      </c>
      <c r="D719">
        <v>236</v>
      </c>
      <c r="E719" s="51">
        <f>IF(INDEX(DarlBelegt,2)=0,0,EOMONTH(INDEX(DarlAuszahlung,2),235)+1)</f>
      </c>
      <c r="F719" s="43">
        <f>IF($E719=0,0,YEAR($E719))</f>
      </c>
      <c r="G719" s="43">
        <f>IF(INDEX(DarlBindung,2)="",1,IF($E719&lt;=INDEX(DarlBindung,2),1,0))</f>
      </c>
      <c r="H719" s="43">
        <f>IF($G719=1,INDEX(DarlSollzins,2),INDEX(DarlAnschluss,2))</f>
      </c>
      <c r="I719" s="43">
        <f>IF(INDEX(DarlBelegt,2)=0,0,IF(INDEX(DarlOhneTilgung,2)=1,IF(INDEX(DarlBindung,2)="",1,$G719),IF($J719&gt;0.005,1,0)))</f>
      </c>
      <c r="J719" s="43">
        <f>IF($I718=0,0,$R718)</f>
      </c>
      <c r="K719" s="43">
        <f>IF($I719=0,0,IF(INDEX(DarlOhneTilgung,2)=1,0,IF(AND(INDEX(DarlTilgStart,2)&gt;0,$E719=INDEX(DarlTilgStart,2)),$J719*($H719+INDEX(DarlTilgung,2))/100/12,IF(AND($G719=0,$G718=1),MAX($K718,$J719*($H719+1)/100/12),$K718))))</f>
      </c>
      <c r="L719" s="43">
        <f>IF($I719=0,0,$J719*$H719/100/12)</f>
      </c>
      <c r="M719" s="43">
        <f>IF($I719=0,0,IF(OR(INDEX(DarlOhneTilgung,2)=1,AND(INDEX(DarlTilgStart,2)&gt;0,$E719&lt;INDEX(DarlTilgStart,2))),0,MIN(MAX(0,$K719-$L719),$J719)))</f>
      </c>
      <c r="N719" s="43">
        <f>IF($I719=0,0,MIN(SUMIFS(SondBetrag,SondDarl,2,SondDatum,"&gt;="&amp;$E719,SondDatum,"&lt;="&amp;EOMONTH($E719,0)),$J719-$M719))</f>
      </c>
      <c r="O719" s="43">
        <f>IF($I719=0,0,INDEX(DarlErsatzRate,2))</f>
      </c>
      <c r="P719" s="43">
        <f>IF($I719=0,0,$Q718*INDEX(DarlErsatzZins,2))</f>
      </c>
      <c r="Q719" s="43">
        <f>IF($I719=0,0,$Q718+$P719+$O719)</f>
      </c>
      <c r="R719" s="43">
        <f>IF($I719=0,0,$J719-$M719-$N719)</f>
      </c>
    </row>
    <row r="720">
      <c r="A720"/>
      <c r="B720">
        <v>2</v>
      </c>
      <c r="C720" s="43">
        <f>INDEX(DarlObj,2)</f>
      </c>
      <c r="D720">
        <v>237</v>
      </c>
      <c r="E720" s="51">
        <f>IF(INDEX(DarlBelegt,2)=0,0,EOMONTH(INDEX(DarlAuszahlung,2),236)+1)</f>
      </c>
      <c r="F720" s="43">
        <f>IF($E720=0,0,YEAR($E720))</f>
      </c>
      <c r="G720" s="43">
        <f>IF(INDEX(DarlBindung,2)="",1,IF($E720&lt;=INDEX(DarlBindung,2),1,0))</f>
      </c>
      <c r="H720" s="43">
        <f>IF($G720=1,INDEX(DarlSollzins,2),INDEX(DarlAnschluss,2))</f>
      </c>
      <c r="I720" s="43">
        <f>IF(INDEX(DarlBelegt,2)=0,0,IF(INDEX(DarlOhneTilgung,2)=1,IF(INDEX(DarlBindung,2)="",1,$G720),IF($J720&gt;0.005,1,0)))</f>
      </c>
      <c r="J720" s="43">
        <f>IF($I719=0,0,$R719)</f>
      </c>
      <c r="K720" s="43">
        <f>IF($I720=0,0,IF(INDEX(DarlOhneTilgung,2)=1,0,IF(AND(INDEX(DarlTilgStart,2)&gt;0,$E720=INDEX(DarlTilgStart,2)),$J720*($H720+INDEX(DarlTilgung,2))/100/12,IF(AND($G720=0,$G719=1),MAX($K719,$J720*($H720+1)/100/12),$K719))))</f>
      </c>
      <c r="L720" s="43">
        <f>IF($I720=0,0,$J720*$H720/100/12)</f>
      </c>
      <c r="M720" s="43">
        <f>IF($I720=0,0,IF(OR(INDEX(DarlOhneTilgung,2)=1,AND(INDEX(DarlTilgStart,2)&gt;0,$E720&lt;INDEX(DarlTilgStart,2))),0,MIN(MAX(0,$K720-$L720),$J720)))</f>
      </c>
      <c r="N720" s="43">
        <f>IF($I720=0,0,MIN(SUMIFS(SondBetrag,SondDarl,2,SondDatum,"&gt;="&amp;$E720,SondDatum,"&lt;="&amp;EOMONTH($E720,0)),$J720-$M720))</f>
      </c>
      <c r="O720" s="43">
        <f>IF($I720=0,0,INDEX(DarlErsatzRate,2))</f>
      </c>
      <c r="P720" s="43">
        <f>IF($I720=0,0,$Q719*INDEX(DarlErsatzZins,2))</f>
      </c>
      <c r="Q720" s="43">
        <f>IF($I720=0,0,$Q719+$P720+$O720)</f>
      </c>
      <c r="R720" s="43">
        <f>IF($I720=0,0,$J720-$M720-$N720)</f>
      </c>
    </row>
    <row r="721">
      <c r="A721"/>
      <c r="B721">
        <v>2</v>
      </c>
      <c r="C721" s="43">
        <f>INDEX(DarlObj,2)</f>
      </c>
      <c r="D721">
        <v>238</v>
      </c>
      <c r="E721" s="51">
        <f>IF(INDEX(DarlBelegt,2)=0,0,EOMONTH(INDEX(DarlAuszahlung,2),237)+1)</f>
      </c>
      <c r="F721" s="43">
        <f>IF($E721=0,0,YEAR($E721))</f>
      </c>
      <c r="G721" s="43">
        <f>IF(INDEX(DarlBindung,2)="",1,IF($E721&lt;=INDEX(DarlBindung,2),1,0))</f>
      </c>
      <c r="H721" s="43">
        <f>IF($G721=1,INDEX(DarlSollzins,2),INDEX(DarlAnschluss,2))</f>
      </c>
      <c r="I721" s="43">
        <f>IF(INDEX(DarlBelegt,2)=0,0,IF(INDEX(DarlOhneTilgung,2)=1,IF(INDEX(DarlBindung,2)="",1,$G721),IF($J721&gt;0.005,1,0)))</f>
      </c>
      <c r="J721" s="43">
        <f>IF($I720=0,0,$R720)</f>
      </c>
      <c r="K721" s="43">
        <f>IF($I721=0,0,IF(INDEX(DarlOhneTilgung,2)=1,0,IF(AND(INDEX(DarlTilgStart,2)&gt;0,$E721=INDEX(DarlTilgStart,2)),$J721*($H721+INDEX(DarlTilgung,2))/100/12,IF(AND($G721=0,$G720=1),MAX($K720,$J721*($H721+1)/100/12),$K720))))</f>
      </c>
      <c r="L721" s="43">
        <f>IF($I721=0,0,$J721*$H721/100/12)</f>
      </c>
      <c r="M721" s="43">
        <f>IF($I721=0,0,IF(OR(INDEX(DarlOhneTilgung,2)=1,AND(INDEX(DarlTilgStart,2)&gt;0,$E721&lt;INDEX(DarlTilgStart,2))),0,MIN(MAX(0,$K721-$L721),$J721)))</f>
      </c>
      <c r="N721" s="43">
        <f>IF($I721=0,0,MIN(SUMIFS(SondBetrag,SondDarl,2,SondDatum,"&gt;="&amp;$E721,SondDatum,"&lt;="&amp;EOMONTH($E721,0)),$J721-$M721))</f>
      </c>
      <c r="O721" s="43">
        <f>IF($I721=0,0,INDEX(DarlErsatzRate,2))</f>
      </c>
      <c r="P721" s="43">
        <f>IF($I721=0,0,$Q720*INDEX(DarlErsatzZins,2))</f>
      </c>
      <c r="Q721" s="43">
        <f>IF($I721=0,0,$Q720+$P721+$O721)</f>
      </c>
      <c r="R721" s="43">
        <f>IF($I721=0,0,$J721-$M721-$N721)</f>
      </c>
    </row>
    <row r="722">
      <c r="A722"/>
      <c r="B722">
        <v>2</v>
      </c>
      <c r="C722" s="43">
        <f>INDEX(DarlObj,2)</f>
      </c>
      <c r="D722">
        <v>239</v>
      </c>
      <c r="E722" s="51">
        <f>IF(INDEX(DarlBelegt,2)=0,0,EOMONTH(INDEX(DarlAuszahlung,2),238)+1)</f>
      </c>
      <c r="F722" s="43">
        <f>IF($E722=0,0,YEAR($E722))</f>
      </c>
      <c r="G722" s="43">
        <f>IF(INDEX(DarlBindung,2)="",1,IF($E722&lt;=INDEX(DarlBindung,2),1,0))</f>
      </c>
      <c r="H722" s="43">
        <f>IF($G722=1,INDEX(DarlSollzins,2),INDEX(DarlAnschluss,2))</f>
      </c>
      <c r="I722" s="43">
        <f>IF(INDEX(DarlBelegt,2)=0,0,IF(INDEX(DarlOhneTilgung,2)=1,IF(INDEX(DarlBindung,2)="",1,$G722),IF($J722&gt;0.005,1,0)))</f>
      </c>
      <c r="J722" s="43">
        <f>IF($I721=0,0,$R721)</f>
      </c>
      <c r="K722" s="43">
        <f>IF($I722=0,0,IF(INDEX(DarlOhneTilgung,2)=1,0,IF(AND(INDEX(DarlTilgStart,2)&gt;0,$E722=INDEX(DarlTilgStart,2)),$J722*($H722+INDEX(DarlTilgung,2))/100/12,IF(AND($G722=0,$G721=1),MAX($K721,$J722*($H722+1)/100/12),$K721))))</f>
      </c>
      <c r="L722" s="43">
        <f>IF($I722=0,0,$J722*$H722/100/12)</f>
      </c>
      <c r="M722" s="43">
        <f>IF($I722=0,0,IF(OR(INDEX(DarlOhneTilgung,2)=1,AND(INDEX(DarlTilgStart,2)&gt;0,$E722&lt;INDEX(DarlTilgStart,2))),0,MIN(MAX(0,$K722-$L722),$J722)))</f>
      </c>
      <c r="N722" s="43">
        <f>IF($I722=0,0,MIN(SUMIFS(SondBetrag,SondDarl,2,SondDatum,"&gt;="&amp;$E722,SondDatum,"&lt;="&amp;EOMONTH($E722,0)),$J722-$M722))</f>
      </c>
      <c r="O722" s="43">
        <f>IF($I722=0,0,INDEX(DarlErsatzRate,2))</f>
      </c>
      <c r="P722" s="43">
        <f>IF($I722=0,0,$Q721*INDEX(DarlErsatzZins,2))</f>
      </c>
      <c r="Q722" s="43">
        <f>IF($I722=0,0,$Q721+$P722+$O722)</f>
      </c>
      <c r="R722" s="43">
        <f>IF($I722=0,0,$J722-$M722-$N722)</f>
      </c>
    </row>
    <row r="723">
      <c r="A723"/>
      <c r="B723">
        <v>2</v>
      </c>
      <c r="C723" s="43">
        <f>INDEX(DarlObj,2)</f>
      </c>
      <c r="D723">
        <v>240</v>
      </c>
      <c r="E723" s="51">
        <f>IF(INDEX(DarlBelegt,2)=0,0,EOMONTH(INDEX(DarlAuszahlung,2),239)+1)</f>
      </c>
      <c r="F723" s="43">
        <f>IF($E723=0,0,YEAR($E723))</f>
      </c>
      <c r="G723" s="43">
        <f>IF(INDEX(DarlBindung,2)="",1,IF($E723&lt;=INDEX(DarlBindung,2),1,0))</f>
      </c>
      <c r="H723" s="43">
        <f>IF($G723=1,INDEX(DarlSollzins,2),INDEX(DarlAnschluss,2))</f>
      </c>
      <c r="I723" s="43">
        <f>IF(INDEX(DarlBelegt,2)=0,0,IF(INDEX(DarlOhneTilgung,2)=1,IF(INDEX(DarlBindung,2)="",1,$G723),IF($J723&gt;0.005,1,0)))</f>
      </c>
      <c r="J723" s="43">
        <f>IF($I722=0,0,$R722)</f>
      </c>
      <c r="K723" s="43">
        <f>IF($I723=0,0,IF(INDEX(DarlOhneTilgung,2)=1,0,IF(AND(INDEX(DarlTilgStart,2)&gt;0,$E723=INDEX(DarlTilgStart,2)),$J723*($H723+INDEX(DarlTilgung,2))/100/12,IF(AND($G723=0,$G722=1),MAX($K722,$J723*($H723+1)/100/12),$K722))))</f>
      </c>
      <c r="L723" s="43">
        <f>IF($I723=0,0,$J723*$H723/100/12)</f>
      </c>
      <c r="M723" s="43">
        <f>IF($I723=0,0,IF(OR(INDEX(DarlOhneTilgung,2)=1,AND(INDEX(DarlTilgStart,2)&gt;0,$E723&lt;INDEX(DarlTilgStart,2))),0,MIN(MAX(0,$K723-$L723),$J723)))</f>
      </c>
      <c r="N723" s="43">
        <f>IF($I723=0,0,MIN(SUMIFS(SondBetrag,SondDarl,2,SondDatum,"&gt;="&amp;$E723,SondDatum,"&lt;="&amp;EOMONTH($E723,0)),$J723-$M723))</f>
      </c>
      <c r="O723" s="43">
        <f>IF($I723=0,0,INDEX(DarlErsatzRate,2))</f>
      </c>
      <c r="P723" s="43">
        <f>IF($I723=0,0,$Q722*INDEX(DarlErsatzZins,2))</f>
      </c>
      <c r="Q723" s="43">
        <f>IF($I723=0,0,$Q722+$P723+$O723)</f>
      </c>
      <c r="R723" s="43">
        <f>IF($I723=0,0,$J723-$M723-$N723)</f>
      </c>
    </row>
    <row r="724">
      <c r="A724"/>
      <c r="B724">
        <v>2</v>
      </c>
      <c r="C724" s="43">
        <f>INDEX(DarlObj,2)</f>
      </c>
      <c r="D724">
        <v>241</v>
      </c>
      <c r="E724" s="51">
        <f>IF(INDEX(DarlBelegt,2)=0,0,EOMONTH(INDEX(DarlAuszahlung,2),240)+1)</f>
      </c>
      <c r="F724" s="43">
        <f>IF($E724=0,0,YEAR($E724))</f>
      </c>
      <c r="G724" s="43">
        <f>IF(INDEX(DarlBindung,2)="",1,IF($E724&lt;=INDEX(DarlBindung,2),1,0))</f>
      </c>
      <c r="H724" s="43">
        <f>IF($G724=1,INDEX(DarlSollzins,2),INDEX(DarlAnschluss,2))</f>
      </c>
      <c r="I724" s="43">
        <f>IF(INDEX(DarlBelegt,2)=0,0,IF(INDEX(DarlOhneTilgung,2)=1,IF(INDEX(DarlBindung,2)="",1,$G724),IF($J724&gt;0.005,1,0)))</f>
      </c>
      <c r="J724" s="43">
        <f>IF($I723=0,0,$R723)</f>
      </c>
      <c r="K724" s="43">
        <f>IF($I724=0,0,IF(INDEX(DarlOhneTilgung,2)=1,0,IF(AND(INDEX(DarlTilgStart,2)&gt;0,$E724=INDEX(DarlTilgStart,2)),$J724*($H724+INDEX(DarlTilgung,2))/100/12,IF(AND($G724=0,$G723=1),MAX($K723,$J724*($H724+1)/100/12),$K723))))</f>
      </c>
      <c r="L724" s="43">
        <f>IF($I724=0,0,$J724*$H724/100/12)</f>
      </c>
      <c r="M724" s="43">
        <f>IF($I724=0,0,IF(OR(INDEX(DarlOhneTilgung,2)=1,AND(INDEX(DarlTilgStart,2)&gt;0,$E724&lt;INDEX(DarlTilgStart,2))),0,MIN(MAX(0,$K724-$L724),$J724)))</f>
      </c>
      <c r="N724" s="43">
        <f>IF($I724=0,0,MIN(SUMIFS(SondBetrag,SondDarl,2,SondDatum,"&gt;="&amp;$E724,SondDatum,"&lt;="&amp;EOMONTH($E724,0)),$J724-$M724))</f>
      </c>
      <c r="O724" s="43">
        <f>IF($I724=0,0,INDEX(DarlErsatzRate,2))</f>
      </c>
      <c r="P724" s="43">
        <f>IF($I724=0,0,$Q723*INDEX(DarlErsatzZins,2))</f>
      </c>
      <c r="Q724" s="43">
        <f>IF($I724=0,0,$Q723+$P724+$O724)</f>
      </c>
      <c r="R724" s="43">
        <f>IF($I724=0,0,$J724-$M724-$N724)</f>
      </c>
    </row>
    <row r="725">
      <c r="A725"/>
      <c r="B725">
        <v>2</v>
      </c>
      <c r="C725" s="43">
        <f>INDEX(DarlObj,2)</f>
      </c>
      <c r="D725">
        <v>242</v>
      </c>
      <c r="E725" s="51">
        <f>IF(INDEX(DarlBelegt,2)=0,0,EOMONTH(INDEX(DarlAuszahlung,2),241)+1)</f>
      </c>
      <c r="F725" s="43">
        <f>IF($E725=0,0,YEAR($E725))</f>
      </c>
      <c r="G725" s="43">
        <f>IF(INDEX(DarlBindung,2)="",1,IF($E725&lt;=INDEX(DarlBindung,2),1,0))</f>
      </c>
      <c r="H725" s="43">
        <f>IF($G725=1,INDEX(DarlSollzins,2),INDEX(DarlAnschluss,2))</f>
      </c>
      <c r="I725" s="43">
        <f>IF(INDEX(DarlBelegt,2)=0,0,IF(INDEX(DarlOhneTilgung,2)=1,IF(INDEX(DarlBindung,2)="",1,$G725),IF($J725&gt;0.005,1,0)))</f>
      </c>
      <c r="J725" s="43">
        <f>IF($I724=0,0,$R724)</f>
      </c>
      <c r="K725" s="43">
        <f>IF($I725=0,0,IF(INDEX(DarlOhneTilgung,2)=1,0,IF(AND(INDEX(DarlTilgStart,2)&gt;0,$E725=INDEX(DarlTilgStart,2)),$J725*($H725+INDEX(DarlTilgung,2))/100/12,IF(AND($G725=0,$G724=1),MAX($K724,$J725*($H725+1)/100/12),$K724))))</f>
      </c>
      <c r="L725" s="43">
        <f>IF($I725=0,0,$J725*$H725/100/12)</f>
      </c>
      <c r="M725" s="43">
        <f>IF($I725=0,0,IF(OR(INDEX(DarlOhneTilgung,2)=1,AND(INDEX(DarlTilgStart,2)&gt;0,$E725&lt;INDEX(DarlTilgStart,2))),0,MIN(MAX(0,$K725-$L725),$J725)))</f>
      </c>
      <c r="N725" s="43">
        <f>IF($I725=0,0,MIN(SUMIFS(SondBetrag,SondDarl,2,SondDatum,"&gt;="&amp;$E725,SondDatum,"&lt;="&amp;EOMONTH($E725,0)),$J725-$M725))</f>
      </c>
      <c r="O725" s="43">
        <f>IF($I725=0,0,INDEX(DarlErsatzRate,2))</f>
      </c>
      <c r="P725" s="43">
        <f>IF($I725=0,0,$Q724*INDEX(DarlErsatzZins,2))</f>
      </c>
      <c r="Q725" s="43">
        <f>IF($I725=0,0,$Q724+$P725+$O725)</f>
      </c>
      <c r="R725" s="43">
        <f>IF($I725=0,0,$J725-$M725-$N725)</f>
      </c>
    </row>
    <row r="726">
      <c r="A726"/>
      <c r="B726">
        <v>2</v>
      </c>
      <c r="C726" s="43">
        <f>INDEX(DarlObj,2)</f>
      </c>
      <c r="D726">
        <v>243</v>
      </c>
      <c r="E726" s="51">
        <f>IF(INDEX(DarlBelegt,2)=0,0,EOMONTH(INDEX(DarlAuszahlung,2),242)+1)</f>
      </c>
      <c r="F726" s="43">
        <f>IF($E726=0,0,YEAR($E726))</f>
      </c>
      <c r="G726" s="43">
        <f>IF(INDEX(DarlBindung,2)="",1,IF($E726&lt;=INDEX(DarlBindung,2),1,0))</f>
      </c>
      <c r="H726" s="43">
        <f>IF($G726=1,INDEX(DarlSollzins,2),INDEX(DarlAnschluss,2))</f>
      </c>
      <c r="I726" s="43">
        <f>IF(INDEX(DarlBelegt,2)=0,0,IF(INDEX(DarlOhneTilgung,2)=1,IF(INDEX(DarlBindung,2)="",1,$G726),IF($J726&gt;0.005,1,0)))</f>
      </c>
      <c r="J726" s="43">
        <f>IF($I725=0,0,$R725)</f>
      </c>
      <c r="K726" s="43">
        <f>IF($I726=0,0,IF(INDEX(DarlOhneTilgung,2)=1,0,IF(AND(INDEX(DarlTilgStart,2)&gt;0,$E726=INDEX(DarlTilgStart,2)),$J726*($H726+INDEX(DarlTilgung,2))/100/12,IF(AND($G726=0,$G725=1),MAX($K725,$J726*($H726+1)/100/12),$K725))))</f>
      </c>
      <c r="L726" s="43">
        <f>IF($I726=0,0,$J726*$H726/100/12)</f>
      </c>
      <c r="M726" s="43">
        <f>IF($I726=0,0,IF(OR(INDEX(DarlOhneTilgung,2)=1,AND(INDEX(DarlTilgStart,2)&gt;0,$E726&lt;INDEX(DarlTilgStart,2))),0,MIN(MAX(0,$K726-$L726),$J726)))</f>
      </c>
      <c r="N726" s="43">
        <f>IF($I726=0,0,MIN(SUMIFS(SondBetrag,SondDarl,2,SondDatum,"&gt;="&amp;$E726,SondDatum,"&lt;="&amp;EOMONTH($E726,0)),$J726-$M726))</f>
      </c>
      <c r="O726" s="43">
        <f>IF($I726=0,0,INDEX(DarlErsatzRate,2))</f>
      </c>
      <c r="P726" s="43">
        <f>IF($I726=0,0,$Q725*INDEX(DarlErsatzZins,2))</f>
      </c>
      <c r="Q726" s="43">
        <f>IF($I726=0,0,$Q725+$P726+$O726)</f>
      </c>
      <c r="R726" s="43">
        <f>IF($I726=0,0,$J726-$M726-$N726)</f>
      </c>
    </row>
    <row r="727">
      <c r="A727"/>
      <c r="B727">
        <v>2</v>
      </c>
      <c r="C727" s="43">
        <f>INDEX(DarlObj,2)</f>
      </c>
      <c r="D727">
        <v>244</v>
      </c>
      <c r="E727" s="51">
        <f>IF(INDEX(DarlBelegt,2)=0,0,EOMONTH(INDEX(DarlAuszahlung,2),243)+1)</f>
      </c>
      <c r="F727" s="43">
        <f>IF($E727=0,0,YEAR($E727))</f>
      </c>
      <c r="G727" s="43">
        <f>IF(INDEX(DarlBindung,2)="",1,IF($E727&lt;=INDEX(DarlBindung,2),1,0))</f>
      </c>
      <c r="H727" s="43">
        <f>IF($G727=1,INDEX(DarlSollzins,2),INDEX(DarlAnschluss,2))</f>
      </c>
      <c r="I727" s="43">
        <f>IF(INDEX(DarlBelegt,2)=0,0,IF(INDEX(DarlOhneTilgung,2)=1,IF(INDEX(DarlBindung,2)="",1,$G727),IF($J727&gt;0.005,1,0)))</f>
      </c>
      <c r="J727" s="43">
        <f>IF($I726=0,0,$R726)</f>
      </c>
      <c r="K727" s="43">
        <f>IF($I727=0,0,IF(INDEX(DarlOhneTilgung,2)=1,0,IF(AND(INDEX(DarlTilgStart,2)&gt;0,$E727=INDEX(DarlTilgStart,2)),$J727*($H727+INDEX(DarlTilgung,2))/100/12,IF(AND($G727=0,$G726=1),MAX($K726,$J727*($H727+1)/100/12),$K726))))</f>
      </c>
      <c r="L727" s="43">
        <f>IF($I727=0,0,$J727*$H727/100/12)</f>
      </c>
      <c r="M727" s="43">
        <f>IF($I727=0,0,IF(OR(INDEX(DarlOhneTilgung,2)=1,AND(INDEX(DarlTilgStart,2)&gt;0,$E727&lt;INDEX(DarlTilgStart,2))),0,MIN(MAX(0,$K727-$L727),$J727)))</f>
      </c>
      <c r="N727" s="43">
        <f>IF($I727=0,0,MIN(SUMIFS(SondBetrag,SondDarl,2,SondDatum,"&gt;="&amp;$E727,SondDatum,"&lt;="&amp;EOMONTH($E727,0)),$J727-$M727))</f>
      </c>
      <c r="O727" s="43">
        <f>IF($I727=0,0,INDEX(DarlErsatzRate,2))</f>
      </c>
      <c r="P727" s="43">
        <f>IF($I727=0,0,$Q726*INDEX(DarlErsatzZins,2))</f>
      </c>
      <c r="Q727" s="43">
        <f>IF($I727=0,0,$Q726+$P727+$O727)</f>
      </c>
      <c r="R727" s="43">
        <f>IF($I727=0,0,$J727-$M727-$N727)</f>
      </c>
    </row>
    <row r="728">
      <c r="A728"/>
      <c r="B728">
        <v>2</v>
      </c>
      <c r="C728" s="43">
        <f>INDEX(DarlObj,2)</f>
      </c>
      <c r="D728">
        <v>245</v>
      </c>
      <c r="E728" s="51">
        <f>IF(INDEX(DarlBelegt,2)=0,0,EOMONTH(INDEX(DarlAuszahlung,2),244)+1)</f>
      </c>
      <c r="F728" s="43">
        <f>IF($E728=0,0,YEAR($E728))</f>
      </c>
      <c r="G728" s="43">
        <f>IF(INDEX(DarlBindung,2)="",1,IF($E728&lt;=INDEX(DarlBindung,2),1,0))</f>
      </c>
      <c r="H728" s="43">
        <f>IF($G728=1,INDEX(DarlSollzins,2),INDEX(DarlAnschluss,2))</f>
      </c>
      <c r="I728" s="43">
        <f>IF(INDEX(DarlBelegt,2)=0,0,IF(INDEX(DarlOhneTilgung,2)=1,IF(INDEX(DarlBindung,2)="",1,$G728),IF($J728&gt;0.005,1,0)))</f>
      </c>
      <c r="J728" s="43">
        <f>IF($I727=0,0,$R727)</f>
      </c>
      <c r="K728" s="43">
        <f>IF($I728=0,0,IF(INDEX(DarlOhneTilgung,2)=1,0,IF(AND(INDEX(DarlTilgStart,2)&gt;0,$E728=INDEX(DarlTilgStart,2)),$J728*($H728+INDEX(DarlTilgung,2))/100/12,IF(AND($G728=0,$G727=1),MAX($K727,$J728*($H728+1)/100/12),$K727))))</f>
      </c>
      <c r="L728" s="43">
        <f>IF($I728=0,0,$J728*$H728/100/12)</f>
      </c>
      <c r="M728" s="43">
        <f>IF($I728=0,0,IF(OR(INDEX(DarlOhneTilgung,2)=1,AND(INDEX(DarlTilgStart,2)&gt;0,$E728&lt;INDEX(DarlTilgStart,2))),0,MIN(MAX(0,$K728-$L728),$J728)))</f>
      </c>
      <c r="N728" s="43">
        <f>IF($I728=0,0,MIN(SUMIFS(SondBetrag,SondDarl,2,SondDatum,"&gt;="&amp;$E728,SondDatum,"&lt;="&amp;EOMONTH($E728,0)),$J728-$M728))</f>
      </c>
      <c r="O728" s="43">
        <f>IF($I728=0,0,INDEX(DarlErsatzRate,2))</f>
      </c>
      <c r="P728" s="43">
        <f>IF($I728=0,0,$Q727*INDEX(DarlErsatzZins,2))</f>
      </c>
      <c r="Q728" s="43">
        <f>IF($I728=0,0,$Q727+$P728+$O728)</f>
      </c>
      <c r="R728" s="43">
        <f>IF($I728=0,0,$J728-$M728-$N728)</f>
      </c>
    </row>
    <row r="729">
      <c r="A729"/>
      <c r="B729">
        <v>2</v>
      </c>
      <c r="C729" s="43">
        <f>INDEX(DarlObj,2)</f>
      </c>
      <c r="D729">
        <v>246</v>
      </c>
      <c r="E729" s="51">
        <f>IF(INDEX(DarlBelegt,2)=0,0,EOMONTH(INDEX(DarlAuszahlung,2),245)+1)</f>
      </c>
      <c r="F729" s="43">
        <f>IF($E729=0,0,YEAR($E729))</f>
      </c>
      <c r="G729" s="43">
        <f>IF(INDEX(DarlBindung,2)="",1,IF($E729&lt;=INDEX(DarlBindung,2),1,0))</f>
      </c>
      <c r="H729" s="43">
        <f>IF($G729=1,INDEX(DarlSollzins,2),INDEX(DarlAnschluss,2))</f>
      </c>
      <c r="I729" s="43">
        <f>IF(INDEX(DarlBelegt,2)=0,0,IF(INDEX(DarlOhneTilgung,2)=1,IF(INDEX(DarlBindung,2)="",1,$G729),IF($J729&gt;0.005,1,0)))</f>
      </c>
      <c r="J729" s="43">
        <f>IF($I728=0,0,$R728)</f>
      </c>
      <c r="K729" s="43">
        <f>IF($I729=0,0,IF(INDEX(DarlOhneTilgung,2)=1,0,IF(AND(INDEX(DarlTilgStart,2)&gt;0,$E729=INDEX(DarlTilgStart,2)),$J729*($H729+INDEX(DarlTilgung,2))/100/12,IF(AND($G729=0,$G728=1),MAX($K728,$J729*($H729+1)/100/12),$K728))))</f>
      </c>
      <c r="L729" s="43">
        <f>IF($I729=0,0,$J729*$H729/100/12)</f>
      </c>
      <c r="M729" s="43">
        <f>IF($I729=0,0,IF(OR(INDEX(DarlOhneTilgung,2)=1,AND(INDEX(DarlTilgStart,2)&gt;0,$E729&lt;INDEX(DarlTilgStart,2))),0,MIN(MAX(0,$K729-$L729),$J729)))</f>
      </c>
      <c r="N729" s="43">
        <f>IF($I729=0,0,MIN(SUMIFS(SondBetrag,SondDarl,2,SondDatum,"&gt;="&amp;$E729,SondDatum,"&lt;="&amp;EOMONTH($E729,0)),$J729-$M729))</f>
      </c>
      <c r="O729" s="43">
        <f>IF($I729=0,0,INDEX(DarlErsatzRate,2))</f>
      </c>
      <c r="P729" s="43">
        <f>IF($I729=0,0,$Q728*INDEX(DarlErsatzZins,2))</f>
      </c>
      <c r="Q729" s="43">
        <f>IF($I729=0,0,$Q728+$P729+$O729)</f>
      </c>
      <c r="R729" s="43">
        <f>IF($I729=0,0,$J729-$M729-$N729)</f>
      </c>
    </row>
    <row r="730">
      <c r="A730"/>
      <c r="B730">
        <v>2</v>
      </c>
      <c r="C730" s="43">
        <f>INDEX(DarlObj,2)</f>
      </c>
      <c r="D730">
        <v>247</v>
      </c>
      <c r="E730" s="51">
        <f>IF(INDEX(DarlBelegt,2)=0,0,EOMONTH(INDEX(DarlAuszahlung,2),246)+1)</f>
      </c>
      <c r="F730" s="43">
        <f>IF($E730=0,0,YEAR($E730))</f>
      </c>
      <c r="G730" s="43">
        <f>IF(INDEX(DarlBindung,2)="",1,IF($E730&lt;=INDEX(DarlBindung,2),1,0))</f>
      </c>
      <c r="H730" s="43">
        <f>IF($G730=1,INDEX(DarlSollzins,2),INDEX(DarlAnschluss,2))</f>
      </c>
      <c r="I730" s="43">
        <f>IF(INDEX(DarlBelegt,2)=0,0,IF(INDEX(DarlOhneTilgung,2)=1,IF(INDEX(DarlBindung,2)="",1,$G730),IF($J730&gt;0.005,1,0)))</f>
      </c>
      <c r="J730" s="43">
        <f>IF($I729=0,0,$R729)</f>
      </c>
      <c r="K730" s="43">
        <f>IF($I730=0,0,IF(INDEX(DarlOhneTilgung,2)=1,0,IF(AND(INDEX(DarlTilgStart,2)&gt;0,$E730=INDEX(DarlTilgStart,2)),$J730*($H730+INDEX(DarlTilgung,2))/100/12,IF(AND($G730=0,$G729=1),MAX($K729,$J730*($H730+1)/100/12),$K729))))</f>
      </c>
      <c r="L730" s="43">
        <f>IF($I730=0,0,$J730*$H730/100/12)</f>
      </c>
      <c r="M730" s="43">
        <f>IF($I730=0,0,IF(OR(INDEX(DarlOhneTilgung,2)=1,AND(INDEX(DarlTilgStart,2)&gt;0,$E730&lt;INDEX(DarlTilgStart,2))),0,MIN(MAX(0,$K730-$L730),$J730)))</f>
      </c>
      <c r="N730" s="43">
        <f>IF($I730=0,0,MIN(SUMIFS(SondBetrag,SondDarl,2,SondDatum,"&gt;="&amp;$E730,SondDatum,"&lt;="&amp;EOMONTH($E730,0)),$J730-$M730))</f>
      </c>
      <c r="O730" s="43">
        <f>IF($I730=0,0,INDEX(DarlErsatzRate,2))</f>
      </c>
      <c r="P730" s="43">
        <f>IF($I730=0,0,$Q729*INDEX(DarlErsatzZins,2))</f>
      </c>
      <c r="Q730" s="43">
        <f>IF($I730=0,0,$Q729+$P730+$O730)</f>
      </c>
      <c r="R730" s="43">
        <f>IF($I730=0,0,$J730-$M730-$N730)</f>
      </c>
    </row>
    <row r="731">
      <c r="A731"/>
      <c r="B731">
        <v>2</v>
      </c>
      <c r="C731" s="43">
        <f>INDEX(DarlObj,2)</f>
      </c>
      <c r="D731">
        <v>248</v>
      </c>
      <c r="E731" s="51">
        <f>IF(INDEX(DarlBelegt,2)=0,0,EOMONTH(INDEX(DarlAuszahlung,2),247)+1)</f>
      </c>
      <c r="F731" s="43">
        <f>IF($E731=0,0,YEAR($E731))</f>
      </c>
      <c r="G731" s="43">
        <f>IF(INDEX(DarlBindung,2)="",1,IF($E731&lt;=INDEX(DarlBindung,2),1,0))</f>
      </c>
      <c r="H731" s="43">
        <f>IF($G731=1,INDEX(DarlSollzins,2),INDEX(DarlAnschluss,2))</f>
      </c>
      <c r="I731" s="43">
        <f>IF(INDEX(DarlBelegt,2)=0,0,IF(INDEX(DarlOhneTilgung,2)=1,IF(INDEX(DarlBindung,2)="",1,$G731),IF($J731&gt;0.005,1,0)))</f>
      </c>
      <c r="J731" s="43">
        <f>IF($I730=0,0,$R730)</f>
      </c>
      <c r="K731" s="43">
        <f>IF($I731=0,0,IF(INDEX(DarlOhneTilgung,2)=1,0,IF(AND(INDEX(DarlTilgStart,2)&gt;0,$E731=INDEX(DarlTilgStart,2)),$J731*($H731+INDEX(DarlTilgung,2))/100/12,IF(AND($G731=0,$G730=1),MAX($K730,$J731*($H731+1)/100/12),$K730))))</f>
      </c>
      <c r="L731" s="43">
        <f>IF($I731=0,0,$J731*$H731/100/12)</f>
      </c>
      <c r="M731" s="43">
        <f>IF($I731=0,0,IF(OR(INDEX(DarlOhneTilgung,2)=1,AND(INDEX(DarlTilgStart,2)&gt;0,$E731&lt;INDEX(DarlTilgStart,2))),0,MIN(MAX(0,$K731-$L731),$J731)))</f>
      </c>
      <c r="N731" s="43">
        <f>IF($I731=0,0,MIN(SUMIFS(SondBetrag,SondDarl,2,SondDatum,"&gt;="&amp;$E731,SondDatum,"&lt;="&amp;EOMONTH($E731,0)),$J731-$M731))</f>
      </c>
      <c r="O731" s="43">
        <f>IF($I731=0,0,INDEX(DarlErsatzRate,2))</f>
      </c>
      <c r="P731" s="43">
        <f>IF($I731=0,0,$Q730*INDEX(DarlErsatzZins,2))</f>
      </c>
      <c r="Q731" s="43">
        <f>IF($I731=0,0,$Q730+$P731+$O731)</f>
      </c>
      <c r="R731" s="43">
        <f>IF($I731=0,0,$J731-$M731-$N731)</f>
      </c>
    </row>
    <row r="732">
      <c r="A732"/>
      <c r="B732">
        <v>2</v>
      </c>
      <c r="C732" s="43">
        <f>INDEX(DarlObj,2)</f>
      </c>
      <c r="D732">
        <v>249</v>
      </c>
      <c r="E732" s="51">
        <f>IF(INDEX(DarlBelegt,2)=0,0,EOMONTH(INDEX(DarlAuszahlung,2),248)+1)</f>
      </c>
      <c r="F732" s="43">
        <f>IF($E732=0,0,YEAR($E732))</f>
      </c>
      <c r="G732" s="43">
        <f>IF(INDEX(DarlBindung,2)="",1,IF($E732&lt;=INDEX(DarlBindung,2),1,0))</f>
      </c>
      <c r="H732" s="43">
        <f>IF($G732=1,INDEX(DarlSollzins,2),INDEX(DarlAnschluss,2))</f>
      </c>
      <c r="I732" s="43">
        <f>IF(INDEX(DarlBelegt,2)=0,0,IF(INDEX(DarlOhneTilgung,2)=1,IF(INDEX(DarlBindung,2)="",1,$G732),IF($J732&gt;0.005,1,0)))</f>
      </c>
      <c r="J732" s="43">
        <f>IF($I731=0,0,$R731)</f>
      </c>
      <c r="K732" s="43">
        <f>IF($I732=0,0,IF(INDEX(DarlOhneTilgung,2)=1,0,IF(AND(INDEX(DarlTilgStart,2)&gt;0,$E732=INDEX(DarlTilgStart,2)),$J732*($H732+INDEX(DarlTilgung,2))/100/12,IF(AND($G732=0,$G731=1),MAX($K731,$J732*($H732+1)/100/12),$K731))))</f>
      </c>
      <c r="L732" s="43">
        <f>IF($I732=0,0,$J732*$H732/100/12)</f>
      </c>
      <c r="M732" s="43">
        <f>IF($I732=0,0,IF(OR(INDEX(DarlOhneTilgung,2)=1,AND(INDEX(DarlTilgStart,2)&gt;0,$E732&lt;INDEX(DarlTilgStart,2))),0,MIN(MAX(0,$K732-$L732),$J732)))</f>
      </c>
      <c r="N732" s="43">
        <f>IF($I732=0,0,MIN(SUMIFS(SondBetrag,SondDarl,2,SondDatum,"&gt;="&amp;$E732,SondDatum,"&lt;="&amp;EOMONTH($E732,0)),$J732-$M732))</f>
      </c>
      <c r="O732" s="43">
        <f>IF($I732=0,0,INDEX(DarlErsatzRate,2))</f>
      </c>
      <c r="P732" s="43">
        <f>IF($I732=0,0,$Q731*INDEX(DarlErsatzZins,2))</f>
      </c>
      <c r="Q732" s="43">
        <f>IF($I732=0,0,$Q731+$P732+$O732)</f>
      </c>
      <c r="R732" s="43">
        <f>IF($I732=0,0,$J732-$M732-$N732)</f>
      </c>
    </row>
    <row r="733">
      <c r="A733"/>
      <c r="B733">
        <v>2</v>
      </c>
      <c r="C733" s="43">
        <f>INDEX(DarlObj,2)</f>
      </c>
      <c r="D733">
        <v>250</v>
      </c>
      <c r="E733" s="51">
        <f>IF(INDEX(DarlBelegt,2)=0,0,EOMONTH(INDEX(DarlAuszahlung,2),249)+1)</f>
      </c>
      <c r="F733" s="43">
        <f>IF($E733=0,0,YEAR($E733))</f>
      </c>
      <c r="G733" s="43">
        <f>IF(INDEX(DarlBindung,2)="",1,IF($E733&lt;=INDEX(DarlBindung,2),1,0))</f>
      </c>
      <c r="H733" s="43">
        <f>IF($G733=1,INDEX(DarlSollzins,2),INDEX(DarlAnschluss,2))</f>
      </c>
      <c r="I733" s="43">
        <f>IF(INDEX(DarlBelegt,2)=0,0,IF(INDEX(DarlOhneTilgung,2)=1,IF(INDEX(DarlBindung,2)="",1,$G733),IF($J733&gt;0.005,1,0)))</f>
      </c>
      <c r="J733" s="43">
        <f>IF($I732=0,0,$R732)</f>
      </c>
      <c r="K733" s="43">
        <f>IF($I733=0,0,IF(INDEX(DarlOhneTilgung,2)=1,0,IF(AND(INDEX(DarlTilgStart,2)&gt;0,$E733=INDEX(DarlTilgStart,2)),$J733*($H733+INDEX(DarlTilgung,2))/100/12,IF(AND($G733=0,$G732=1),MAX($K732,$J733*($H733+1)/100/12),$K732))))</f>
      </c>
      <c r="L733" s="43">
        <f>IF($I733=0,0,$J733*$H733/100/12)</f>
      </c>
      <c r="M733" s="43">
        <f>IF($I733=0,0,IF(OR(INDEX(DarlOhneTilgung,2)=1,AND(INDEX(DarlTilgStart,2)&gt;0,$E733&lt;INDEX(DarlTilgStart,2))),0,MIN(MAX(0,$K733-$L733),$J733)))</f>
      </c>
      <c r="N733" s="43">
        <f>IF($I733=0,0,MIN(SUMIFS(SondBetrag,SondDarl,2,SondDatum,"&gt;="&amp;$E733,SondDatum,"&lt;="&amp;EOMONTH($E733,0)),$J733-$M733))</f>
      </c>
      <c r="O733" s="43">
        <f>IF($I733=0,0,INDEX(DarlErsatzRate,2))</f>
      </c>
      <c r="P733" s="43">
        <f>IF($I733=0,0,$Q732*INDEX(DarlErsatzZins,2))</f>
      </c>
      <c r="Q733" s="43">
        <f>IF($I733=0,0,$Q732+$P733+$O733)</f>
      </c>
      <c r="R733" s="43">
        <f>IF($I733=0,0,$J733-$M733-$N733)</f>
      </c>
    </row>
    <row r="734">
      <c r="A734"/>
      <c r="B734">
        <v>2</v>
      </c>
      <c r="C734" s="43">
        <f>INDEX(DarlObj,2)</f>
      </c>
      <c r="D734">
        <v>251</v>
      </c>
      <c r="E734" s="51">
        <f>IF(INDEX(DarlBelegt,2)=0,0,EOMONTH(INDEX(DarlAuszahlung,2),250)+1)</f>
      </c>
      <c r="F734" s="43">
        <f>IF($E734=0,0,YEAR($E734))</f>
      </c>
      <c r="G734" s="43">
        <f>IF(INDEX(DarlBindung,2)="",1,IF($E734&lt;=INDEX(DarlBindung,2),1,0))</f>
      </c>
      <c r="H734" s="43">
        <f>IF($G734=1,INDEX(DarlSollzins,2),INDEX(DarlAnschluss,2))</f>
      </c>
      <c r="I734" s="43">
        <f>IF(INDEX(DarlBelegt,2)=0,0,IF(INDEX(DarlOhneTilgung,2)=1,IF(INDEX(DarlBindung,2)="",1,$G734),IF($J734&gt;0.005,1,0)))</f>
      </c>
      <c r="J734" s="43">
        <f>IF($I733=0,0,$R733)</f>
      </c>
      <c r="K734" s="43">
        <f>IF($I734=0,0,IF(INDEX(DarlOhneTilgung,2)=1,0,IF(AND(INDEX(DarlTilgStart,2)&gt;0,$E734=INDEX(DarlTilgStart,2)),$J734*($H734+INDEX(DarlTilgung,2))/100/12,IF(AND($G734=0,$G733=1),MAX($K733,$J734*($H734+1)/100/12),$K733))))</f>
      </c>
      <c r="L734" s="43">
        <f>IF($I734=0,0,$J734*$H734/100/12)</f>
      </c>
      <c r="M734" s="43">
        <f>IF($I734=0,0,IF(OR(INDEX(DarlOhneTilgung,2)=1,AND(INDEX(DarlTilgStart,2)&gt;0,$E734&lt;INDEX(DarlTilgStart,2))),0,MIN(MAX(0,$K734-$L734),$J734)))</f>
      </c>
      <c r="N734" s="43">
        <f>IF($I734=0,0,MIN(SUMIFS(SondBetrag,SondDarl,2,SondDatum,"&gt;="&amp;$E734,SondDatum,"&lt;="&amp;EOMONTH($E734,0)),$J734-$M734))</f>
      </c>
      <c r="O734" s="43">
        <f>IF($I734=0,0,INDEX(DarlErsatzRate,2))</f>
      </c>
      <c r="P734" s="43">
        <f>IF($I734=0,0,$Q733*INDEX(DarlErsatzZins,2))</f>
      </c>
      <c r="Q734" s="43">
        <f>IF($I734=0,0,$Q733+$P734+$O734)</f>
      </c>
      <c r="R734" s="43">
        <f>IF($I734=0,0,$J734-$M734-$N734)</f>
      </c>
    </row>
    <row r="735">
      <c r="A735"/>
      <c r="B735">
        <v>2</v>
      </c>
      <c r="C735" s="43">
        <f>INDEX(DarlObj,2)</f>
      </c>
      <c r="D735">
        <v>252</v>
      </c>
      <c r="E735" s="51">
        <f>IF(INDEX(DarlBelegt,2)=0,0,EOMONTH(INDEX(DarlAuszahlung,2),251)+1)</f>
      </c>
      <c r="F735" s="43">
        <f>IF($E735=0,0,YEAR($E735))</f>
      </c>
      <c r="G735" s="43">
        <f>IF(INDEX(DarlBindung,2)="",1,IF($E735&lt;=INDEX(DarlBindung,2),1,0))</f>
      </c>
      <c r="H735" s="43">
        <f>IF($G735=1,INDEX(DarlSollzins,2),INDEX(DarlAnschluss,2))</f>
      </c>
      <c r="I735" s="43">
        <f>IF(INDEX(DarlBelegt,2)=0,0,IF(INDEX(DarlOhneTilgung,2)=1,IF(INDEX(DarlBindung,2)="",1,$G735),IF($J735&gt;0.005,1,0)))</f>
      </c>
      <c r="J735" s="43">
        <f>IF($I734=0,0,$R734)</f>
      </c>
      <c r="K735" s="43">
        <f>IF($I735=0,0,IF(INDEX(DarlOhneTilgung,2)=1,0,IF(AND(INDEX(DarlTilgStart,2)&gt;0,$E735=INDEX(DarlTilgStart,2)),$J735*($H735+INDEX(DarlTilgung,2))/100/12,IF(AND($G735=0,$G734=1),MAX($K734,$J735*($H735+1)/100/12),$K734))))</f>
      </c>
      <c r="L735" s="43">
        <f>IF($I735=0,0,$J735*$H735/100/12)</f>
      </c>
      <c r="M735" s="43">
        <f>IF($I735=0,0,IF(OR(INDEX(DarlOhneTilgung,2)=1,AND(INDEX(DarlTilgStart,2)&gt;0,$E735&lt;INDEX(DarlTilgStart,2))),0,MIN(MAX(0,$K735-$L735),$J735)))</f>
      </c>
      <c r="N735" s="43">
        <f>IF($I735=0,0,MIN(SUMIFS(SondBetrag,SondDarl,2,SondDatum,"&gt;="&amp;$E735,SondDatum,"&lt;="&amp;EOMONTH($E735,0)),$J735-$M735))</f>
      </c>
      <c r="O735" s="43">
        <f>IF($I735=0,0,INDEX(DarlErsatzRate,2))</f>
      </c>
      <c r="P735" s="43">
        <f>IF($I735=0,0,$Q734*INDEX(DarlErsatzZins,2))</f>
      </c>
      <c r="Q735" s="43">
        <f>IF($I735=0,0,$Q734+$P735+$O735)</f>
      </c>
      <c r="R735" s="43">
        <f>IF($I735=0,0,$J735-$M735-$N735)</f>
      </c>
    </row>
    <row r="736">
      <c r="A736"/>
      <c r="B736">
        <v>2</v>
      </c>
      <c r="C736" s="43">
        <f>INDEX(DarlObj,2)</f>
      </c>
      <c r="D736">
        <v>253</v>
      </c>
      <c r="E736" s="51">
        <f>IF(INDEX(DarlBelegt,2)=0,0,EOMONTH(INDEX(DarlAuszahlung,2),252)+1)</f>
      </c>
      <c r="F736" s="43">
        <f>IF($E736=0,0,YEAR($E736))</f>
      </c>
      <c r="G736" s="43">
        <f>IF(INDEX(DarlBindung,2)="",1,IF($E736&lt;=INDEX(DarlBindung,2),1,0))</f>
      </c>
      <c r="H736" s="43">
        <f>IF($G736=1,INDEX(DarlSollzins,2),INDEX(DarlAnschluss,2))</f>
      </c>
      <c r="I736" s="43">
        <f>IF(INDEX(DarlBelegt,2)=0,0,IF(INDEX(DarlOhneTilgung,2)=1,IF(INDEX(DarlBindung,2)="",1,$G736),IF($J736&gt;0.005,1,0)))</f>
      </c>
      <c r="J736" s="43">
        <f>IF($I735=0,0,$R735)</f>
      </c>
      <c r="K736" s="43">
        <f>IF($I736=0,0,IF(INDEX(DarlOhneTilgung,2)=1,0,IF(AND(INDEX(DarlTilgStart,2)&gt;0,$E736=INDEX(DarlTilgStart,2)),$J736*($H736+INDEX(DarlTilgung,2))/100/12,IF(AND($G736=0,$G735=1),MAX($K735,$J736*($H736+1)/100/12),$K735))))</f>
      </c>
      <c r="L736" s="43">
        <f>IF($I736=0,0,$J736*$H736/100/12)</f>
      </c>
      <c r="M736" s="43">
        <f>IF($I736=0,0,IF(OR(INDEX(DarlOhneTilgung,2)=1,AND(INDEX(DarlTilgStart,2)&gt;0,$E736&lt;INDEX(DarlTilgStart,2))),0,MIN(MAX(0,$K736-$L736),$J736)))</f>
      </c>
      <c r="N736" s="43">
        <f>IF($I736=0,0,MIN(SUMIFS(SondBetrag,SondDarl,2,SondDatum,"&gt;="&amp;$E736,SondDatum,"&lt;="&amp;EOMONTH($E736,0)),$J736-$M736))</f>
      </c>
      <c r="O736" s="43">
        <f>IF($I736=0,0,INDEX(DarlErsatzRate,2))</f>
      </c>
      <c r="P736" s="43">
        <f>IF($I736=0,0,$Q735*INDEX(DarlErsatzZins,2))</f>
      </c>
      <c r="Q736" s="43">
        <f>IF($I736=0,0,$Q735+$P736+$O736)</f>
      </c>
      <c r="R736" s="43">
        <f>IF($I736=0,0,$J736-$M736-$N736)</f>
      </c>
    </row>
    <row r="737">
      <c r="A737"/>
      <c r="B737">
        <v>2</v>
      </c>
      <c r="C737" s="43">
        <f>INDEX(DarlObj,2)</f>
      </c>
      <c r="D737">
        <v>254</v>
      </c>
      <c r="E737" s="51">
        <f>IF(INDEX(DarlBelegt,2)=0,0,EOMONTH(INDEX(DarlAuszahlung,2),253)+1)</f>
      </c>
      <c r="F737" s="43">
        <f>IF($E737=0,0,YEAR($E737))</f>
      </c>
      <c r="G737" s="43">
        <f>IF(INDEX(DarlBindung,2)="",1,IF($E737&lt;=INDEX(DarlBindung,2),1,0))</f>
      </c>
      <c r="H737" s="43">
        <f>IF($G737=1,INDEX(DarlSollzins,2),INDEX(DarlAnschluss,2))</f>
      </c>
      <c r="I737" s="43">
        <f>IF(INDEX(DarlBelegt,2)=0,0,IF(INDEX(DarlOhneTilgung,2)=1,IF(INDEX(DarlBindung,2)="",1,$G737),IF($J737&gt;0.005,1,0)))</f>
      </c>
      <c r="J737" s="43">
        <f>IF($I736=0,0,$R736)</f>
      </c>
      <c r="K737" s="43">
        <f>IF($I737=0,0,IF(INDEX(DarlOhneTilgung,2)=1,0,IF(AND(INDEX(DarlTilgStart,2)&gt;0,$E737=INDEX(DarlTilgStart,2)),$J737*($H737+INDEX(DarlTilgung,2))/100/12,IF(AND($G737=0,$G736=1),MAX($K736,$J737*($H737+1)/100/12),$K736))))</f>
      </c>
      <c r="L737" s="43">
        <f>IF($I737=0,0,$J737*$H737/100/12)</f>
      </c>
      <c r="M737" s="43">
        <f>IF($I737=0,0,IF(OR(INDEX(DarlOhneTilgung,2)=1,AND(INDEX(DarlTilgStart,2)&gt;0,$E737&lt;INDEX(DarlTilgStart,2))),0,MIN(MAX(0,$K737-$L737),$J737)))</f>
      </c>
      <c r="N737" s="43">
        <f>IF($I737=0,0,MIN(SUMIFS(SondBetrag,SondDarl,2,SondDatum,"&gt;="&amp;$E737,SondDatum,"&lt;="&amp;EOMONTH($E737,0)),$J737-$M737))</f>
      </c>
      <c r="O737" s="43">
        <f>IF($I737=0,0,INDEX(DarlErsatzRate,2))</f>
      </c>
      <c r="P737" s="43">
        <f>IF($I737=0,0,$Q736*INDEX(DarlErsatzZins,2))</f>
      </c>
      <c r="Q737" s="43">
        <f>IF($I737=0,0,$Q736+$P737+$O737)</f>
      </c>
      <c r="R737" s="43">
        <f>IF($I737=0,0,$J737-$M737-$N737)</f>
      </c>
    </row>
    <row r="738">
      <c r="A738"/>
      <c r="B738">
        <v>2</v>
      </c>
      <c r="C738" s="43">
        <f>INDEX(DarlObj,2)</f>
      </c>
      <c r="D738">
        <v>255</v>
      </c>
      <c r="E738" s="51">
        <f>IF(INDEX(DarlBelegt,2)=0,0,EOMONTH(INDEX(DarlAuszahlung,2),254)+1)</f>
      </c>
      <c r="F738" s="43">
        <f>IF($E738=0,0,YEAR($E738))</f>
      </c>
      <c r="G738" s="43">
        <f>IF(INDEX(DarlBindung,2)="",1,IF($E738&lt;=INDEX(DarlBindung,2),1,0))</f>
      </c>
      <c r="H738" s="43">
        <f>IF($G738=1,INDEX(DarlSollzins,2),INDEX(DarlAnschluss,2))</f>
      </c>
      <c r="I738" s="43">
        <f>IF(INDEX(DarlBelegt,2)=0,0,IF(INDEX(DarlOhneTilgung,2)=1,IF(INDEX(DarlBindung,2)="",1,$G738),IF($J738&gt;0.005,1,0)))</f>
      </c>
      <c r="J738" s="43">
        <f>IF($I737=0,0,$R737)</f>
      </c>
      <c r="K738" s="43">
        <f>IF($I738=0,0,IF(INDEX(DarlOhneTilgung,2)=1,0,IF(AND(INDEX(DarlTilgStart,2)&gt;0,$E738=INDEX(DarlTilgStart,2)),$J738*($H738+INDEX(DarlTilgung,2))/100/12,IF(AND($G738=0,$G737=1),MAX($K737,$J738*($H738+1)/100/12),$K737))))</f>
      </c>
      <c r="L738" s="43">
        <f>IF($I738=0,0,$J738*$H738/100/12)</f>
      </c>
      <c r="M738" s="43">
        <f>IF($I738=0,0,IF(OR(INDEX(DarlOhneTilgung,2)=1,AND(INDEX(DarlTilgStart,2)&gt;0,$E738&lt;INDEX(DarlTilgStart,2))),0,MIN(MAX(0,$K738-$L738),$J738)))</f>
      </c>
      <c r="N738" s="43">
        <f>IF($I738=0,0,MIN(SUMIFS(SondBetrag,SondDarl,2,SondDatum,"&gt;="&amp;$E738,SondDatum,"&lt;="&amp;EOMONTH($E738,0)),$J738-$M738))</f>
      </c>
      <c r="O738" s="43">
        <f>IF($I738=0,0,INDEX(DarlErsatzRate,2))</f>
      </c>
      <c r="P738" s="43">
        <f>IF($I738=0,0,$Q737*INDEX(DarlErsatzZins,2))</f>
      </c>
      <c r="Q738" s="43">
        <f>IF($I738=0,0,$Q737+$P738+$O738)</f>
      </c>
      <c r="R738" s="43">
        <f>IF($I738=0,0,$J738-$M738-$N738)</f>
      </c>
    </row>
    <row r="739">
      <c r="A739"/>
      <c r="B739">
        <v>2</v>
      </c>
      <c r="C739" s="43">
        <f>INDEX(DarlObj,2)</f>
      </c>
      <c r="D739">
        <v>256</v>
      </c>
      <c r="E739" s="51">
        <f>IF(INDEX(DarlBelegt,2)=0,0,EOMONTH(INDEX(DarlAuszahlung,2),255)+1)</f>
      </c>
      <c r="F739" s="43">
        <f>IF($E739=0,0,YEAR($E739))</f>
      </c>
      <c r="G739" s="43">
        <f>IF(INDEX(DarlBindung,2)="",1,IF($E739&lt;=INDEX(DarlBindung,2),1,0))</f>
      </c>
      <c r="H739" s="43">
        <f>IF($G739=1,INDEX(DarlSollzins,2),INDEX(DarlAnschluss,2))</f>
      </c>
      <c r="I739" s="43">
        <f>IF(INDEX(DarlBelegt,2)=0,0,IF(INDEX(DarlOhneTilgung,2)=1,IF(INDEX(DarlBindung,2)="",1,$G739),IF($J739&gt;0.005,1,0)))</f>
      </c>
      <c r="J739" s="43">
        <f>IF($I738=0,0,$R738)</f>
      </c>
      <c r="K739" s="43">
        <f>IF($I739=0,0,IF(INDEX(DarlOhneTilgung,2)=1,0,IF(AND(INDEX(DarlTilgStart,2)&gt;0,$E739=INDEX(DarlTilgStart,2)),$J739*($H739+INDEX(DarlTilgung,2))/100/12,IF(AND($G739=0,$G738=1),MAX($K738,$J739*($H739+1)/100/12),$K738))))</f>
      </c>
      <c r="L739" s="43">
        <f>IF($I739=0,0,$J739*$H739/100/12)</f>
      </c>
      <c r="M739" s="43">
        <f>IF($I739=0,0,IF(OR(INDEX(DarlOhneTilgung,2)=1,AND(INDEX(DarlTilgStart,2)&gt;0,$E739&lt;INDEX(DarlTilgStart,2))),0,MIN(MAX(0,$K739-$L739),$J739)))</f>
      </c>
      <c r="N739" s="43">
        <f>IF($I739=0,0,MIN(SUMIFS(SondBetrag,SondDarl,2,SondDatum,"&gt;="&amp;$E739,SondDatum,"&lt;="&amp;EOMONTH($E739,0)),$J739-$M739))</f>
      </c>
      <c r="O739" s="43">
        <f>IF($I739=0,0,INDEX(DarlErsatzRate,2))</f>
      </c>
      <c r="P739" s="43">
        <f>IF($I739=0,0,$Q738*INDEX(DarlErsatzZins,2))</f>
      </c>
      <c r="Q739" s="43">
        <f>IF($I739=0,0,$Q738+$P739+$O739)</f>
      </c>
      <c r="R739" s="43">
        <f>IF($I739=0,0,$J739-$M739-$N739)</f>
      </c>
    </row>
    <row r="740">
      <c r="A740"/>
      <c r="B740">
        <v>2</v>
      </c>
      <c r="C740" s="43">
        <f>INDEX(DarlObj,2)</f>
      </c>
      <c r="D740">
        <v>257</v>
      </c>
      <c r="E740" s="51">
        <f>IF(INDEX(DarlBelegt,2)=0,0,EOMONTH(INDEX(DarlAuszahlung,2),256)+1)</f>
      </c>
      <c r="F740" s="43">
        <f>IF($E740=0,0,YEAR($E740))</f>
      </c>
      <c r="G740" s="43">
        <f>IF(INDEX(DarlBindung,2)="",1,IF($E740&lt;=INDEX(DarlBindung,2),1,0))</f>
      </c>
      <c r="H740" s="43">
        <f>IF($G740=1,INDEX(DarlSollzins,2),INDEX(DarlAnschluss,2))</f>
      </c>
      <c r="I740" s="43">
        <f>IF(INDEX(DarlBelegt,2)=0,0,IF(INDEX(DarlOhneTilgung,2)=1,IF(INDEX(DarlBindung,2)="",1,$G740),IF($J740&gt;0.005,1,0)))</f>
      </c>
      <c r="J740" s="43">
        <f>IF($I739=0,0,$R739)</f>
      </c>
      <c r="K740" s="43">
        <f>IF($I740=0,0,IF(INDEX(DarlOhneTilgung,2)=1,0,IF(AND(INDEX(DarlTilgStart,2)&gt;0,$E740=INDEX(DarlTilgStart,2)),$J740*($H740+INDEX(DarlTilgung,2))/100/12,IF(AND($G740=0,$G739=1),MAX($K739,$J740*($H740+1)/100/12),$K739))))</f>
      </c>
      <c r="L740" s="43">
        <f>IF($I740=0,0,$J740*$H740/100/12)</f>
      </c>
      <c r="M740" s="43">
        <f>IF($I740=0,0,IF(OR(INDEX(DarlOhneTilgung,2)=1,AND(INDEX(DarlTilgStart,2)&gt;0,$E740&lt;INDEX(DarlTilgStart,2))),0,MIN(MAX(0,$K740-$L740),$J740)))</f>
      </c>
      <c r="N740" s="43">
        <f>IF($I740=0,0,MIN(SUMIFS(SondBetrag,SondDarl,2,SondDatum,"&gt;="&amp;$E740,SondDatum,"&lt;="&amp;EOMONTH($E740,0)),$J740-$M740))</f>
      </c>
      <c r="O740" s="43">
        <f>IF($I740=0,0,INDEX(DarlErsatzRate,2))</f>
      </c>
      <c r="P740" s="43">
        <f>IF($I740=0,0,$Q739*INDEX(DarlErsatzZins,2))</f>
      </c>
      <c r="Q740" s="43">
        <f>IF($I740=0,0,$Q739+$P740+$O740)</f>
      </c>
      <c r="R740" s="43">
        <f>IF($I740=0,0,$J740-$M740-$N740)</f>
      </c>
    </row>
    <row r="741">
      <c r="A741"/>
      <c r="B741">
        <v>2</v>
      </c>
      <c r="C741" s="43">
        <f>INDEX(DarlObj,2)</f>
      </c>
      <c r="D741">
        <v>258</v>
      </c>
      <c r="E741" s="51">
        <f>IF(INDEX(DarlBelegt,2)=0,0,EOMONTH(INDEX(DarlAuszahlung,2),257)+1)</f>
      </c>
      <c r="F741" s="43">
        <f>IF($E741=0,0,YEAR($E741))</f>
      </c>
      <c r="G741" s="43">
        <f>IF(INDEX(DarlBindung,2)="",1,IF($E741&lt;=INDEX(DarlBindung,2),1,0))</f>
      </c>
      <c r="H741" s="43">
        <f>IF($G741=1,INDEX(DarlSollzins,2),INDEX(DarlAnschluss,2))</f>
      </c>
      <c r="I741" s="43">
        <f>IF(INDEX(DarlBelegt,2)=0,0,IF(INDEX(DarlOhneTilgung,2)=1,IF(INDEX(DarlBindung,2)="",1,$G741),IF($J741&gt;0.005,1,0)))</f>
      </c>
      <c r="J741" s="43">
        <f>IF($I740=0,0,$R740)</f>
      </c>
      <c r="K741" s="43">
        <f>IF($I741=0,0,IF(INDEX(DarlOhneTilgung,2)=1,0,IF(AND(INDEX(DarlTilgStart,2)&gt;0,$E741=INDEX(DarlTilgStart,2)),$J741*($H741+INDEX(DarlTilgung,2))/100/12,IF(AND($G741=0,$G740=1),MAX($K740,$J741*($H741+1)/100/12),$K740))))</f>
      </c>
      <c r="L741" s="43">
        <f>IF($I741=0,0,$J741*$H741/100/12)</f>
      </c>
      <c r="M741" s="43">
        <f>IF($I741=0,0,IF(OR(INDEX(DarlOhneTilgung,2)=1,AND(INDEX(DarlTilgStart,2)&gt;0,$E741&lt;INDEX(DarlTilgStart,2))),0,MIN(MAX(0,$K741-$L741),$J741)))</f>
      </c>
      <c r="N741" s="43">
        <f>IF($I741=0,0,MIN(SUMIFS(SondBetrag,SondDarl,2,SondDatum,"&gt;="&amp;$E741,SondDatum,"&lt;="&amp;EOMONTH($E741,0)),$J741-$M741))</f>
      </c>
      <c r="O741" s="43">
        <f>IF($I741=0,0,INDEX(DarlErsatzRate,2))</f>
      </c>
      <c r="P741" s="43">
        <f>IF($I741=0,0,$Q740*INDEX(DarlErsatzZins,2))</f>
      </c>
      <c r="Q741" s="43">
        <f>IF($I741=0,0,$Q740+$P741+$O741)</f>
      </c>
      <c r="R741" s="43">
        <f>IF($I741=0,0,$J741-$M741-$N741)</f>
      </c>
    </row>
    <row r="742">
      <c r="A742"/>
      <c r="B742">
        <v>2</v>
      </c>
      <c r="C742" s="43">
        <f>INDEX(DarlObj,2)</f>
      </c>
      <c r="D742">
        <v>259</v>
      </c>
      <c r="E742" s="51">
        <f>IF(INDEX(DarlBelegt,2)=0,0,EOMONTH(INDEX(DarlAuszahlung,2),258)+1)</f>
      </c>
      <c r="F742" s="43">
        <f>IF($E742=0,0,YEAR($E742))</f>
      </c>
      <c r="G742" s="43">
        <f>IF(INDEX(DarlBindung,2)="",1,IF($E742&lt;=INDEX(DarlBindung,2),1,0))</f>
      </c>
      <c r="H742" s="43">
        <f>IF($G742=1,INDEX(DarlSollzins,2),INDEX(DarlAnschluss,2))</f>
      </c>
      <c r="I742" s="43">
        <f>IF(INDEX(DarlBelegt,2)=0,0,IF(INDEX(DarlOhneTilgung,2)=1,IF(INDEX(DarlBindung,2)="",1,$G742),IF($J742&gt;0.005,1,0)))</f>
      </c>
      <c r="J742" s="43">
        <f>IF($I741=0,0,$R741)</f>
      </c>
      <c r="K742" s="43">
        <f>IF($I742=0,0,IF(INDEX(DarlOhneTilgung,2)=1,0,IF(AND(INDEX(DarlTilgStart,2)&gt;0,$E742=INDEX(DarlTilgStart,2)),$J742*($H742+INDEX(DarlTilgung,2))/100/12,IF(AND($G742=0,$G741=1),MAX($K741,$J742*($H742+1)/100/12),$K741))))</f>
      </c>
      <c r="L742" s="43">
        <f>IF($I742=0,0,$J742*$H742/100/12)</f>
      </c>
      <c r="M742" s="43">
        <f>IF($I742=0,0,IF(OR(INDEX(DarlOhneTilgung,2)=1,AND(INDEX(DarlTilgStart,2)&gt;0,$E742&lt;INDEX(DarlTilgStart,2))),0,MIN(MAX(0,$K742-$L742),$J742)))</f>
      </c>
      <c r="N742" s="43">
        <f>IF($I742=0,0,MIN(SUMIFS(SondBetrag,SondDarl,2,SondDatum,"&gt;="&amp;$E742,SondDatum,"&lt;="&amp;EOMONTH($E742,0)),$J742-$M742))</f>
      </c>
      <c r="O742" s="43">
        <f>IF($I742=0,0,INDEX(DarlErsatzRate,2))</f>
      </c>
      <c r="P742" s="43">
        <f>IF($I742=0,0,$Q741*INDEX(DarlErsatzZins,2))</f>
      </c>
      <c r="Q742" s="43">
        <f>IF($I742=0,0,$Q741+$P742+$O742)</f>
      </c>
      <c r="R742" s="43">
        <f>IF($I742=0,0,$J742-$M742-$N742)</f>
      </c>
    </row>
    <row r="743">
      <c r="A743"/>
      <c r="B743">
        <v>2</v>
      </c>
      <c r="C743" s="43">
        <f>INDEX(DarlObj,2)</f>
      </c>
      <c r="D743">
        <v>260</v>
      </c>
      <c r="E743" s="51">
        <f>IF(INDEX(DarlBelegt,2)=0,0,EOMONTH(INDEX(DarlAuszahlung,2),259)+1)</f>
      </c>
      <c r="F743" s="43">
        <f>IF($E743=0,0,YEAR($E743))</f>
      </c>
      <c r="G743" s="43">
        <f>IF(INDEX(DarlBindung,2)="",1,IF($E743&lt;=INDEX(DarlBindung,2),1,0))</f>
      </c>
      <c r="H743" s="43">
        <f>IF($G743=1,INDEX(DarlSollzins,2),INDEX(DarlAnschluss,2))</f>
      </c>
      <c r="I743" s="43">
        <f>IF(INDEX(DarlBelegt,2)=0,0,IF(INDEX(DarlOhneTilgung,2)=1,IF(INDEX(DarlBindung,2)="",1,$G743),IF($J743&gt;0.005,1,0)))</f>
      </c>
      <c r="J743" s="43">
        <f>IF($I742=0,0,$R742)</f>
      </c>
      <c r="K743" s="43">
        <f>IF($I743=0,0,IF(INDEX(DarlOhneTilgung,2)=1,0,IF(AND(INDEX(DarlTilgStart,2)&gt;0,$E743=INDEX(DarlTilgStart,2)),$J743*($H743+INDEX(DarlTilgung,2))/100/12,IF(AND($G743=0,$G742=1),MAX($K742,$J743*($H743+1)/100/12),$K742))))</f>
      </c>
      <c r="L743" s="43">
        <f>IF($I743=0,0,$J743*$H743/100/12)</f>
      </c>
      <c r="M743" s="43">
        <f>IF($I743=0,0,IF(OR(INDEX(DarlOhneTilgung,2)=1,AND(INDEX(DarlTilgStart,2)&gt;0,$E743&lt;INDEX(DarlTilgStart,2))),0,MIN(MAX(0,$K743-$L743),$J743)))</f>
      </c>
      <c r="N743" s="43">
        <f>IF($I743=0,0,MIN(SUMIFS(SondBetrag,SondDarl,2,SondDatum,"&gt;="&amp;$E743,SondDatum,"&lt;="&amp;EOMONTH($E743,0)),$J743-$M743))</f>
      </c>
      <c r="O743" s="43">
        <f>IF($I743=0,0,INDEX(DarlErsatzRate,2))</f>
      </c>
      <c r="P743" s="43">
        <f>IF($I743=0,0,$Q742*INDEX(DarlErsatzZins,2))</f>
      </c>
      <c r="Q743" s="43">
        <f>IF($I743=0,0,$Q742+$P743+$O743)</f>
      </c>
      <c r="R743" s="43">
        <f>IF($I743=0,0,$J743-$M743-$N743)</f>
      </c>
    </row>
    <row r="744">
      <c r="A744"/>
      <c r="B744">
        <v>2</v>
      </c>
      <c r="C744" s="43">
        <f>INDEX(DarlObj,2)</f>
      </c>
      <c r="D744">
        <v>261</v>
      </c>
      <c r="E744" s="51">
        <f>IF(INDEX(DarlBelegt,2)=0,0,EOMONTH(INDEX(DarlAuszahlung,2),260)+1)</f>
      </c>
      <c r="F744" s="43">
        <f>IF($E744=0,0,YEAR($E744))</f>
      </c>
      <c r="G744" s="43">
        <f>IF(INDEX(DarlBindung,2)="",1,IF($E744&lt;=INDEX(DarlBindung,2),1,0))</f>
      </c>
      <c r="H744" s="43">
        <f>IF($G744=1,INDEX(DarlSollzins,2),INDEX(DarlAnschluss,2))</f>
      </c>
      <c r="I744" s="43">
        <f>IF(INDEX(DarlBelegt,2)=0,0,IF(INDEX(DarlOhneTilgung,2)=1,IF(INDEX(DarlBindung,2)="",1,$G744),IF($J744&gt;0.005,1,0)))</f>
      </c>
      <c r="J744" s="43">
        <f>IF($I743=0,0,$R743)</f>
      </c>
      <c r="K744" s="43">
        <f>IF($I744=0,0,IF(INDEX(DarlOhneTilgung,2)=1,0,IF(AND(INDEX(DarlTilgStart,2)&gt;0,$E744=INDEX(DarlTilgStart,2)),$J744*($H744+INDEX(DarlTilgung,2))/100/12,IF(AND($G744=0,$G743=1),MAX($K743,$J744*($H744+1)/100/12),$K743))))</f>
      </c>
      <c r="L744" s="43">
        <f>IF($I744=0,0,$J744*$H744/100/12)</f>
      </c>
      <c r="M744" s="43">
        <f>IF($I744=0,0,IF(OR(INDEX(DarlOhneTilgung,2)=1,AND(INDEX(DarlTilgStart,2)&gt;0,$E744&lt;INDEX(DarlTilgStart,2))),0,MIN(MAX(0,$K744-$L744),$J744)))</f>
      </c>
      <c r="N744" s="43">
        <f>IF($I744=0,0,MIN(SUMIFS(SondBetrag,SondDarl,2,SondDatum,"&gt;="&amp;$E744,SondDatum,"&lt;="&amp;EOMONTH($E744,0)),$J744-$M744))</f>
      </c>
      <c r="O744" s="43">
        <f>IF($I744=0,0,INDEX(DarlErsatzRate,2))</f>
      </c>
      <c r="P744" s="43">
        <f>IF($I744=0,0,$Q743*INDEX(DarlErsatzZins,2))</f>
      </c>
      <c r="Q744" s="43">
        <f>IF($I744=0,0,$Q743+$P744+$O744)</f>
      </c>
      <c r="R744" s="43">
        <f>IF($I744=0,0,$J744-$M744-$N744)</f>
      </c>
    </row>
    <row r="745">
      <c r="A745"/>
      <c r="B745">
        <v>2</v>
      </c>
      <c r="C745" s="43">
        <f>INDEX(DarlObj,2)</f>
      </c>
      <c r="D745">
        <v>262</v>
      </c>
      <c r="E745" s="51">
        <f>IF(INDEX(DarlBelegt,2)=0,0,EOMONTH(INDEX(DarlAuszahlung,2),261)+1)</f>
      </c>
      <c r="F745" s="43">
        <f>IF($E745=0,0,YEAR($E745))</f>
      </c>
      <c r="G745" s="43">
        <f>IF(INDEX(DarlBindung,2)="",1,IF($E745&lt;=INDEX(DarlBindung,2),1,0))</f>
      </c>
      <c r="H745" s="43">
        <f>IF($G745=1,INDEX(DarlSollzins,2),INDEX(DarlAnschluss,2))</f>
      </c>
      <c r="I745" s="43">
        <f>IF(INDEX(DarlBelegt,2)=0,0,IF(INDEX(DarlOhneTilgung,2)=1,IF(INDEX(DarlBindung,2)="",1,$G745),IF($J745&gt;0.005,1,0)))</f>
      </c>
      <c r="J745" s="43">
        <f>IF($I744=0,0,$R744)</f>
      </c>
      <c r="K745" s="43">
        <f>IF($I745=0,0,IF(INDEX(DarlOhneTilgung,2)=1,0,IF(AND(INDEX(DarlTilgStart,2)&gt;0,$E745=INDEX(DarlTilgStart,2)),$J745*($H745+INDEX(DarlTilgung,2))/100/12,IF(AND($G745=0,$G744=1),MAX($K744,$J745*($H745+1)/100/12),$K744))))</f>
      </c>
      <c r="L745" s="43">
        <f>IF($I745=0,0,$J745*$H745/100/12)</f>
      </c>
      <c r="M745" s="43">
        <f>IF($I745=0,0,IF(OR(INDEX(DarlOhneTilgung,2)=1,AND(INDEX(DarlTilgStart,2)&gt;0,$E745&lt;INDEX(DarlTilgStart,2))),0,MIN(MAX(0,$K745-$L745),$J745)))</f>
      </c>
      <c r="N745" s="43">
        <f>IF($I745=0,0,MIN(SUMIFS(SondBetrag,SondDarl,2,SondDatum,"&gt;="&amp;$E745,SondDatum,"&lt;="&amp;EOMONTH($E745,0)),$J745-$M745))</f>
      </c>
      <c r="O745" s="43">
        <f>IF($I745=0,0,INDEX(DarlErsatzRate,2))</f>
      </c>
      <c r="P745" s="43">
        <f>IF($I745=0,0,$Q744*INDEX(DarlErsatzZins,2))</f>
      </c>
      <c r="Q745" s="43">
        <f>IF($I745=0,0,$Q744+$P745+$O745)</f>
      </c>
      <c r="R745" s="43">
        <f>IF($I745=0,0,$J745-$M745-$N745)</f>
      </c>
    </row>
    <row r="746">
      <c r="A746"/>
      <c r="B746">
        <v>2</v>
      </c>
      <c r="C746" s="43">
        <f>INDEX(DarlObj,2)</f>
      </c>
      <c r="D746">
        <v>263</v>
      </c>
      <c r="E746" s="51">
        <f>IF(INDEX(DarlBelegt,2)=0,0,EOMONTH(INDEX(DarlAuszahlung,2),262)+1)</f>
      </c>
      <c r="F746" s="43">
        <f>IF($E746=0,0,YEAR($E746))</f>
      </c>
      <c r="G746" s="43">
        <f>IF(INDEX(DarlBindung,2)="",1,IF($E746&lt;=INDEX(DarlBindung,2),1,0))</f>
      </c>
      <c r="H746" s="43">
        <f>IF($G746=1,INDEX(DarlSollzins,2),INDEX(DarlAnschluss,2))</f>
      </c>
      <c r="I746" s="43">
        <f>IF(INDEX(DarlBelegt,2)=0,0,IF(INDEX(DarlOhneTilgung,2)=1,IF(INDEX(DarlBindung,2)="",1,$G746),IF($J746&gt;0.005,1,0)))</f>
      </c>
      <c r="J746" s="43">
        <f>IF($I745=0,0,$R745)</f>
      </c>
      <c r="K746" s="43">
        <f>IF($I746=0,0,IF(INDEX(DarlOhneTilgung,2)=1,0,IF(AND(INDEX(DarlTilgStart,2)&gt;0,$E746=INDEX(DarlTilgStart,2)),$J746*($H746+INDEX(DarlTilgung,2))/100/12,IF(AND($G746=0,$G745=1),MAX($K745,$J746*($H746+1)/100/12),$K745))))</f>
      </c>
      <c r="L746" s="43">
        <f>IF($I746=0,0,$J746*$H746/100/12)</f>
      </c>
      <c r="M746" s="43">
        <f>IF($I746=0,0,IF(OR(INDEX(DarlOhneTilgung,2)=1,AND(INDEX(DarlTilgStart,2)&gt;0,$E746&lt;INDEX(DarlTilgStart,2))),0,MIN(MAX(0,$K746-$L746),$J746)))</f>
      </c>
      <c r="N746" s="43">
        <f>IF($I746=0,0,MIN(SUMIFS(SondBetrag,SondDarl,2,SondDatum,"&gt;="&amp;$E746,SondDatum,"&lt;="&amp;EOMONTH($E746,0)),$J746-$M746))</f>
      </c>
      <c r="O746" s="43">
        <f>IF($I746=0,0,INDEX(DarlErsatzRate,2))</f>
      </c>
      <c r="P746" s="43">
        <f>IF($I746=0,0,$Q745*INDEX(DarlErsatzZins,2))</f>
      </c>
      <c r="Q746" s="43">
        <f>IF($I746=0,0,$Q745+$P746+$O746)</f>
      </c>
      <c r="R746" s="43">
        <f>IF($I746=0,0,$J746-$M746-$N746)</f>
      </c>
    </row>
    <row r="747">
      <c r="A747"/>
      <c r="B747">
        <v>2</v>
      </c>
      <c r="C747" s="43">
        <f>INDEX(DarlObj,2)</f>
      </c>
      <c r="D747">
        <v>264</v>
      </c>
      <c r="E747" s="51">
        <f>IF(INDEX(DarlBelegt,2)=0,0,EOMONTH(INDEX(DarlAuszahlung,2),263)+1)</f>
      </c>
      <c r="F747" s="43">
        <f>IF($E747=0,0,YEAR($E747))</f>
      </c>
      <c r="G747" s="43">
        <f>IF(INDEX(DarlBindung,2)="",1,IF($E747&lt;=INDEX(DarlBindung,2),1,0))</f>
      </c>
      <c r="H747" s="43">
        <f>IF($G747=1,INDEX(DarlSollzins,2),INDEX(DarlAnschluss,2))</f>
      </c>
      <c r="I747" s="43">
        <f>IF(INDEX(DarlBelegt,2)=0,0,IF(INDEX(DarlOhneTilgung,2)=1,IF(INDEX(DarlBindung,2)="",1,$G747),IF($J747&gt;0.005,1,0)))</f>
      </c>
      <c r="J747" s="43">
        <f>IF($I746=0,0,$R746)</f>
      </c>
      <c r="K747" s="43">
        <f>IF($I747=0,0,IF(INDEX(DarlOhneTilgung,2)=1,0,IF(AND(INDEX(DarlTilgStart,2)&gt;0,$E747=INDEX(DarlTilgStart,2)),$J747*($H747+INDEX(DarlTilgung,2))/100/12,IF(AND($G747=0,$G746=1),MAX($K746,$J747*($H747+1)/100/12),$K746))))</f>
      </c>
      <c r="L747" s="43">
        <f>IF($I747=0,0,$J747*$H747/100/12)</f>
      </c>
      <c r="M747" s="43">
        <f>IF($I747=0,0,IF(OR(INDEX(DarlOhneTilgung,2)=1,AND(INDEX(DarlTilgStart,2)&gt;0,$E747&lt;INDEX(DarlTilgStart,2))),0,MIN(MAX(0,$K747-$L747),$J747)))</f>
      </c>
      <c r="N747" s="43">
        <f>IF($I747=0,0,MIN(SUMIFS(SondBetrag,SondDarl,2,SondDatum,"&gt;="&amp;$E747,SondDatum,"&lt;="&amp;EOMONTH($E747,0)),$J747-$M747))</f>
      </c>
      <c r="O747" s="43">
        <f>IF($I747=0,0,INDEX(DarlErsatzRate,2))</f>
      </c>
      <c r="P747" s="43">
        <f>IF($I747=0,0,$Q746*INDEX(DarlErsatzZins,2))</f>
      </c>
      <c r="Q747" s="43">
        <f>IF($I747=0,0,$Q746+$P747+$O747)</f>
      </c>
      <c r="R747" s="43">
        <f>IF($I747=0,0,$J747-$M747-$N747)</f>
      </c>
    </row>
    <row r="748">
      <c r="A748"/>
      <c r="B748">
        <v>2</v>
      </c>
      <c r="C748" s="43">
        <f>INDEX(DarlObj,2)</f>
      </c>
      <c r="D748">
        <v>265</v>
      </c>
      <c r="E748" s="51">
        <f>IF(INDEX(DarlBelegt,2)=0,0,EOMONTH(INDEX(DarlAuszahlung,2),264)+1)</f>
      </c>
      <c r="F748" s="43">
        <f>IF($E748=0,0,YEAR($E748))</f>
      </c>
      <c r="G748" s="43">
        <f>IF(INDEX(DarlBindung,2)="",1,IF($E748&lt;=INDEX(DarlBindung,2),1,0))</f>
      </c>
      <c r="H748" s="43">
        <f>IF($G748=1,INDEX(DarlSollzins,2),INDEX(DarlAnschluss,2))</f>
      </c>
      <c r="I748" s="43">
        <f>IF(INDEX(DarlBelegt,2)=0,0,IF(INDEX(DarlOhneTilgung,2)=1,IF(INDEX(DarlBindung,2)="",1,$G748),IF($J748&gt;0.005,1,0)))</f>
      </c>
      <c r="J748" s="43">
        <f>IF($I747=0,0,$R747)</f>
      </c>
      <c r="K748" s="43">
        <f>IF($I748=0,0,IF(INDEX(DarlOhneTilgung,2)=1,0,IF(AND(INDEX(DarlTilgStart,2)&gt;0,$E748=INDEX(DarlTilgStart,2)),$J748*($H748+INDEX(DarlTilgung,2))/100/12,IF(AND($G748=0,$G747=1),MAX($K747,$J748*($H748+1)/100/12),$K747))))</f>
      </c>
      <c r="L748" s="43">
        <f>IF($I748=0,0,$J748*$H748/100/12)</f>
      </c>
      <c r="M748" s="43">
        <f>IF($I748=0,0,IF(OR(INDEX(DarlOhneTilgung,2)=1,AND(INDEX(DarlTilgStart,2)&gt;0,$E748&lt;INDEX(DarlTilgStart,2))),0,MIN(MAX(0,$K748-$L748),$J748)))</f>
      </c>
      <c r="N748" s="43">
        <f>IF($I748=0,0,MIN(SUMIFS(SondBetrag,SondDarl,2,SondDatum,"&gt;="&amp;$E748,SondDatum,"&lt;="&amp;EOMONTH($E748,0)),$J748-$M748))</f>
      </c>
      <c r="O748" s="43">
        <f>IF($I748=0,0,INDEX(DarlErsatzRate,2))</f>
      </c>
      <c r="P748" s="43">
        <f>IF($I748=0,0,$Q747*INDEX(DarlErsatzZins,2))</f>
      </c>
      <c r="Q748" s="43">
        <f>IF($I748=0,0,$Q747+$P748+$O748)</f>
      </c>
      <c r="R748" s="43">
        <f>IF($I748=0,0,$J748-$M748-$N748)</f>
      </c>
    </row>
    <row r="749">
      <c r="A749"/>
      <c r="B749">
        <v>2</v>
      </c>
      <c r="C749" s="43">
        <f>INDEX(DarlObj,2)</f>
      </c>
      <c r="D749">
        <v>266</v>
      </c>
      <c r="E749" s="51">
        <f>IF(INDEX(DarlBelegt,2)=0,0,EOMONTH(INDEX(DarlAuszahlung,2),265)+1)</f>
      </c>
      <c r="F749" s="43">
        <f>IF($E749=0,0,YEAR($E749))</f>
      </c>
      <c r="G749" s="43">
        <f>IF(INDEX(DarlBindung,2)="",1,IF($E749&lt;=INDEX(DarlBindung,2),1,0))</f>
      </c>
      <c r="H749" s="43">
        <f>IF($G749=1,INDEX(DarlSollzins,2),INDEX(DarlAnschluss,2))</f>
      </c>
      <c r="I749" s="43">
        <f>IF(INDEX(DarlBelegt,2)=0,0,IF(INDEX(DarlOhneTilgung,2)=1,IF(INDEX(DarlBindung,2)="",1,$G749),IF($J749&gt;0.005,1,0)))</f>
      </c>
      <c r="J749" s="43">
        <f>IF($I748=0,0,$R748)</f>
      </c>
      <c r="K749" s="43">
        <f>IF($I749=0,0,IF(INDEX(DarlOhneTilgung,2)=1,0,IF(AND(INDEX(DarlTilgStart,2)&gt;0,$E749=INDEX(DarlTilgStart,2)),$J749*($H749+INDEX(DarlTilgung,2))/100/12,IF(AND($G749=0,$G748=1),MAX($K748,$J749*($H749+1)/100/12),$K748))))</f>
      </c>
      <c r="L749" s="43">
        <f>IF($I749=0,0,$J749*$H749/100/12)</f>
      </c>
      <c r="M749" s="43">
        <f>IF($I749=0,0,IF(OR(INDEX(DarlOhneTilgung,2)=1,AND(INDEX(DarlTilgStart,2)&gt;0,$E749&lt;INDEX(DarlTilgStart,2))),0,MIN(MAX(0,$K749-$L749),$J749)))</f>
      </c>
      <c r="N749" s="43">
        <f>IF($I749=0,0,MIN(SUMIFS(SondBetrag,SondDarl,2,SondDatum,"&gt;="&amp;$E749,SondDatum,"&lt;="&amp;EOMONTH($E749,0)),$J749-$M749))</f>
      </c>
      <c r="O749" s="43">
        <f>IF($I749=0,0,INDEX(DarlErsatzRate,2))</f>
      </c>
      <c r="P749" s="43">
        <f>IF($I749=0,0,$Q748*INDEX(DarlErsatzZins,2))</f>
      </c>
      <c r="Q749" s="43">
        <f>IF($I749=0,0,$Q748+$P749+$O749)</f>
      </c>
      <c r="R749" s="43">
        <f>IF($I749=0,0,$J749-$M749-$N749)</f>
      </c>
    </row>
    <row r="750">
      <c r="A750"/>
      <c r="B750">
        <v>2</v>
      </c>
      <c r="C750" s="43">
        <f>INDEX(DarlObj,2)</f>
      </c>
      <c r="D750">
        <v>267</v>
      </c>
      <c r="E750" s="51">
        <f>IF(INDEX(DarlBelegt,2)=0,0,EOMONTH(INDEX(DarlAuszahlung,2),266)+1)</f>
      </c>
      <c r="F750" s="43">
        <f>IF($E750=0,0,YEAR($E750))</f>
      </c>
      <c r="G750" s="43">
        <f>IF(INDEX(DarlBindung,2)="",1,IF($E750&lt;=INDEX(DarlBindung,2),1,0))</f>
      </c>
      <c r="H750" s="43">
        <f>IF($G750=1,INDEX(DarlSollzins,2),INDEX(DarlAnschluss,2))</f>
      </c>
      <c r="I750" s="43">
        <f>IF(INDEX(DarlBelegt,2)=0,0,IF(INDEX(DarlOhneTilgung,2)=1,IF(INDEX(DarlBindung,2)="",1,$G750),IF($J750&gt;0.005,1,0)))</f>
      </c>
      <c r="J750" s="43">
        <f>IF($I749=0,0,$R749)</f>
      </c>
      <c r="K750" s="43">
        <f>IF($I750=0,0,IF(INDEX(DarlOhneTilgung,2)=1,0,IF(AND(INDEX(DarlTilgStart,2)&gt;0,$E750=INDEX(DarlTilgStart,2)),$J750*($H750+INDEX(DarlTilgung,2))/100/12,IF(AND($G750=0,$G749=1),MAX($K749,$J750*($H750+1)/100/12),$K749))))</f>
      </c>
      <c r="L750" s="43">
        <f>IF($I750=0,0,$J750*$H750/100/12)</f>
      </c>
      <c r="M750" s="43">
        <f>IF($I750=0,0,IF(OR(INDEX(DarlOhneTilgung,2)=1,AND(INDEX(DarlTilgStart,2)&gt;0,$E750&lt;INDEX(DarlTilgStart,2))),0,MIN(MAX(0,$K750-$L750),$J750)))</f>
      </c>
      <c r="N750" s="43">
        <f>IF($I750=0,0,MIN(SUMIFS(SondBetrag,SondDarl,2,SondDatum,"&gt;="&amp;$E750,SondDatum,"&lt;="&amp;EOMONTH($E750,0)),$J750-$M750))</f>
      </c>
      <c r="O750" s="43">
        <f>IF($I750=0,0,INDEX(DarlErsatzRate,2))</f>
      </c>
      <c r="P750" s="43">
        <f>IF($I750=0,0,$Q749*INDEX(DarlErsatzZins,2))</f>
      </c>
      <c r="Q750" s="43">
        <f>IF($I750=0,0,$Q749+$P750+$O750)</f>
      </c>
      <c r="R750" s="43">
        <f>IF($I750=0,0,$J750-$M750-$N750)</f>
      </c>
    </row>
    <row r="751">
      <c r="A751"/>
      <c r="B751">
        <v>2</v>
      </c>
      <c r="C751" s="43">
        <f>INDEX(DarlObj,2)</f>
      </c>
      <c r="D751">
        <v>268</v>
      </c>
      <c r="E751" s="51">
        <f>IF(INDEX(DarlBelegt,2)=0,0,EOMONTH(INDEX(DarlAuszahlung,2),267)+1)</f>
      </c>
      <c r="F751" s="43">
        <f>IF($E751=0,0,YEAR($E751))</f>
      </c>
      <c r="G751" s="43">
        <f>IF(INDEX(DarlBindung,2)="",1,IF($E751&lt;=INDEX(DarlBindung,2),1,0))</f>
      </c>
      <c r="H751" s="43">
        <f>IF($G751=1,INDEX(DarlSollzins,2),INDEX(DarlAnschluss,2))</f>
      </c>
      <c r="I751" s="43">
        <f>IF(INDEX(DarlBelegt,2)=0,0,IF(INDEX(DarlOhneTilgung,2)=1,IF(INDEX(DarlBindung,2)="",1,$G751),IF($J751&gt;0.005,1,0)))</f>
      </c>
      <c r="J751" s="43">
        <f>IF($I750=0,0,$R750)</f>
      </c>
      <c r="K751" s="43">
        <f>IF($I751=0,0,IF(INDEX(DarlOhneTilgung,2)=1,0,IF(AND(INDEX(DarlTilgStart,2)&gt;0,$E751=INDEX(DarlTilgStart,2)),$J751*($H751+INDEX(DarlTilgung,2))/100/12,IF(AND($G751=0,$G750=1),MAX($K750,$J751*($H751+1)/100/12),$K750))))</f>
      </c>
      <c r="L751" s="43">
        <f>IF($I751=0,0,$J751*$H751/100/12)</f>
      </c>
      <c r="M751" s="43">
        <f>IF($I751=0,0,IF(OR(INDEX(DarlOhneTilgung,2)=1,AND(INDEX(DarlTilgStart,2)&gt;0,$E751&lt;INDEX(DarlTilgStart,2))),0,MIN(MAX(0,$K751-$L751),$J751)))</f>
      </c>
      <c r="N751" s="43">
        <f>IF($I751=0,0,MIN(SUMIFS(SondBetrag,SondDarl,2,SondDatum,"&gt;="&amp;$E751,SondDatum,"&lt;="&amp;EOMONTH($E751,0)),$J751-$M751))</f>
      </c>
      <c r="O751" s="43">
        <f>IF($I751=0,0,INDEX(DarlErsatzRate,2))</f>
      </c>
      <c r="P751" s="43">
        <f>IF($I751=0,0,$Q750*INDEX(DarlErsatzZins,2))</f>
      </c>
      <c r="Q751" s="43">
        <f>IF($I751=0,0,$Q750+$P751+$O751)</f>
      </c>
      <c r="R751" s="43">
        <f>IF($I751=0,0,$J751-$M751-$N751)</f>
      </c>
    </row>
    <row r="752">
      <c r="A752"/>
      <c r="B752">
        <v>2</v>
      </c>
      <c r="C752" s="43">
        <f>INDEX(DarlObj,2)</f>
      </c>
      <c r="D752">
        <v>269</v>
      </c>
      <c r="E752" s="51">
        <f>IF(INDEX(DarlBelegt,2)=0,0,EOMONTH(INDEX(DarlAuszahlung,2),268)+1)</f>
      </c>
      <c r="F752" s="43">
        <f>IF($E752=0,0,YEAR($E752))</f>
      </c>
      <c r="G752" s="43">
        <f>IF(INDEX(DarlBindung,2)="",1,IF($E752&lt;=INDEX(DarlBindung,2),1,0))</f>
      </c>
      <c r="H752" s="43">
        <f>IF($G752=1,INDEX(DarlSollzins,2),INDEX(DarlAnschluss,2))</f>
      </c>
      <c r="I752" s="43">
        <f>IF(INDEX(DarlBelegt,2)=0,0,IF(INDEX(DarlOhneTilgung,2)=1,IF(INDEX(DarlBindung,2)="",1,$G752),IF($J752&gt;0.005,1,0)))</f>
      </c>
      <c r="J752" s="43">
        <f>IF($I751=0,0,$R751)</f>
      </c>
      <c r="K752" s="43">
        <f>IF($I752=0,0,IF(INDEX(DarlOhneTilgung,2)=1,0,IF(AND(INDEX(DarlTilgStart,2)&gt;0,$E752=INDEX(DarlTilgStart,2)),$J752*($H752+INDEX(DarlTilgung,2))/100/12,IF(AND($G752=0,$G751=1),MAX($K751,$J752*($H752+1)/100/12),$K751))))</f>
      </c>
      <c r="L752" s="43">
        <f>IF($I752=0,0,$J752*$H752/100/12)</f>
      </c>
      <c r="M752" s="43">
        <f>IF($I752=0,0,IF(OR(INDEX(DarlOhneTilgung,2)=1,AND(INDEX(DarlTilgStart,2)&gt;0,$E752&lt;INDEX(DarlTilgStart,2))),0,MIN(MAX(0,$K752-$L752),$J752)))</f>
      </c>
      <c r="N752" s="43">
        <f>IF($I752=0,0,MIN(SUMIFS(SondBetrag,SondDarl,2,SondDatum,"&gt;="&amp;$E752,SondDatum,"&lt;="&amp;EOMONTH($E752,0)),$J752-$M752))</f>
      </c>
      <c r="O752" s="43">
        <f>IF($I752=0,0,INDEX(DarlErsatzRate,2))</f>
      </c>
      <c r="P752" s="43">
        <f>IF($I752=0,0,$Q751*INDEX(DarlErsatzZins,2))</f>
      </c>
      <c r="Q752" s="43">
        <f>IF($I752=0,0,$Q751+$P752+$O752)</f>
      </c>
      <c r="R752" s="43">
        <f>IF($I752=0,0,$J752-$M752-$N752)</f>
      </c>
    </row>
    <row r="753">
      <c r="A753"/>
      <c r="B753">
        <v>2</v>
      </c>
      <c r="C753" s="43">
        <f>INDEX(DarlObj,2)</f>
      </c>
      <c r="D753">
        <v>270</v>
      </c>
      <c r="E753" s="51">
        <f>IF(INDEX(DarlBelegt,2)=0,0,EOMONTH(INDEX(DarlAuszahlung,2),269)+1)</f>
      </c>
      <c r="F753" s="43">
        <f>IF($E753=0,0,YEAR($E753))</f>
      </c>
      <c r="G753" s="43">
        <f>IF(INDEX(DarlBindung,2)="",1,IF($E753&lt;=INDEX(DarlBindung,2),1,0))</f>
      </c>
      <c r="H753" s="43">
        <f>IF($G753=1,INDEX(DarlSollzins,2),INDEX(DarlAnschluss,2))</f>
      </c>
      <c r="I753" s="43">
        <f>IF(INDEX(DarlBelegt,2)=0,0,IF(INDEX(DarlOhneTilgung,2)=1,IF(INDEX(DarlBindung,2)="",1,$G753),IF($J753&gt;0.005,1,0)))</f>
      </c>
      <c r="J753" s="43">
        <f>IF($I752=0,0,$R752)</f>
      </c>
      <c r="K753" s="43">
        <f>IF($I753=0,0,IF(INDEX(DarlOhneTilgung,2)=1,0,IF(AND(INDEX(DarlTilgStart,2)&gt;0,$E753=INDEX(DarlTilgStart,2)),$J753*($H753+INDEX(DarlTilgung,2))/100/12,IF(AND($G753=0,$G752=1),MAX($K752,$J753*($H753+1)/100/12),$K752))))</f>
      </c>
      <c r="L753" s="43">
        <f>IF($I753=0,0,$J753*$H753/100/12)</f>
      </c>
      <c r="M753" s="43">
        <f>IF($I753=0,0,IF(OR(INDEX(DarlOhneTilgung,2)=1,AND(INDEX(DarlTilgStart,2)&gt;0,$E753&lt;INDEX(DarlTilgStart,2))),0,MIN(MAX(0,$K753-$L753),$J753)))</f>
      </c>
      <c r="N753" s="43">
        <f>IF($I753=0,0,MIN(SUMIFS(SondBetrag,SondDarl,2,SondDatum,"&gt;="&amp;$E753,SondDatum,"&lt;="&amp;EOMONTH($E753,0)),$J753-$M753))</f>
      </c>
      <c r="O753" s="43">
        <f>IF($I753=0,0,INDEX(DarlErsatzRate,2))</f>
      </c>
      <c r="P753" s="43">
        <f>IF($I753=0,0,$Q752*INDEX(DarlErsatzZins,2))</f>
      </c>
      <c r="Q753" s="43">
        <f>IF($I753=0,0,$Q752+$P753+$O753)</f>
      </c>
      <c r="R753" s="43">
        <f>IF($I753=0,0,$J753-$M753-$N753)</f>
      </c>
    </row>
    <row r="754">
      <c r="A754"/>
      <c r="B754">
        <v>2</v>
      </c>
      <c r="C754" s="43">
        <f>INDEX(DarlObj,2)</f>
      </c>
      <c r="D754">
        <v>271</v>
      </c>
      <c r="E754" s="51">
        <f>IF(INDEX(DarlBelegt,2)=0,0,EOMONTH(INDEX(DarlAuszahlung,2),270)+1)</f>
      </c>
      <c r="F754" s="43">
        <f>IF($E754=0,0,YEAR($E754))</f>
      </c>
      <c r="G754" s="43">
        <f>IF(INDEX(DarlBindung,2)="",1,IF($E754&lt;=INDEX(DarlBindung,2),1,0))</f>
      </c>
      <c r="H754" s="43">
        <f>IF($G754=1,INDEX(DarlSollzins,2),INDEX(DarlAnschluss,2))</f>
      </c>
      <c r="I754" s="43">
        <f>IF(INDEX(DarlBelegt,2)=0,0,IF(INDEX(DarlOhneTilgung,2)=1,IF(INDEX(DarlBindung,2)="",1,$G754),IF($J754&gt;0.005,1,0)))</f>
      </c>
      <c r="J754" s="43">
        <f>IF($I753=0,0,$R753)</f>
      </c>
      <c r="K754" s="43">
        <f>IF($I754=0,0,IF(INDEX(DarlOhneTilgung,2)=1,0,IF(AND(INDEX(DarlTilgStart,2)&gt;0,$E754=INDEX(DarlTilgStart,2)),$J754*($H754+INDEX(DarlTilgung,2))/100/12,IF(AND($G754=0,$G753=1),MAX($K753,$J754*($H754+1)/100/12),$K753))))</f>
      </c>
      <c r="L754" s="43">
        <f>IF($I754=0,0,$J754*$H754/100/12)</f>
      </c>
      <c r="M754" s="43">
        <f>IF($I754=0,0,IF(OR(INDEX(DarlOhneTilgung,2)=1,AND(INDEX(DarlTilgStart,2)&gt;0,$E754&lt;INDEX(DarlTilgStart,2))),0,MIN(MAX(0,$K754-$L754),$J754)))</f>
      </c>
      <c r="N754" s="43">
        <f>IF($I754=0,0,MIN(SUMIFS(SondBetrag,SondDarl,2,SondDatum,"&gt;="&amp;$E754,SondDatum,"&lt;="&amp;EOMONTH($E754,0)),$J754-$M754))</f>
      </c>
      <c r="O754" s="43">
        <f>IF($I754=0,0,INDEX(DarlErsatzRate,2))</f>
      </c>
      <c r="P754" s="43">
        <f>IF($I754=0,0,$Q753*INDEX(DarlErsatzZins,2))</f>
      </c>
      <c r="Q754" s="43">
        <f>IF($I754=0,0,$Q753+$P754+$O754)</f>
      </c>
      <c r="R754" s="43">
        <f>IF($I754=0,0,$J754-$M754-$N754)</f>
      </c>
    </row>
    <row r="755">
      <c r="A755"/>
      <c r="B755">
        <v>2</v>
      </c>
      <c r="C755" s="43">
        <f>INDEX(DarlObj,2)</f>
      </c>
      <c r="D755">
        <v>272</v>
      </c>
      <c r="E755" s="51">
        <f>IF(INDEX(DarlBelegt,2)=0,0,EOMONTH(INDEX(DarlAuszahlung,2),271)+1)</f>
      </c>
      <c r="F755" s="43">
        <f>IF($E755=0,0,YEAR($E755))</f>
      </c>
      <c r="G755" s="43">
        <f>IF(INDEX(DarlBindung,2)="",1,IF($E755&lt;=INDEX(DarlBindung,2),1,0))</f>
      </c>
      <c r="H755" s="43">
        <f>IF($G755=1,INDEX(DarlSollzins,2),INDEX(DarlAnschluss,2))</f>
      </c>
      <c r="I755" s="43">
        <f>IF(INDEX(DarlBelegt,2)=0,0,IF(INDEX(DarlOhneTilgung,2)=1,IF(INDEX(DarlBindung,2)="",1,$G755),IF($J755&gt;0.005,1,0)))</f>
      </c>
      <c r="J755" s="43">
        <f>IF($I754=0,0,$R754)</f>
      </c>
      <c r="K755" s="43">
        <f>IF($I755=0,0,IF(INDEX(DarlOhneTilgung,2)=1,0,IF(AND(INDEX(DarlTilgStart,2)&gt;0,$E755=INDEX(DarlTilgStart,2)),$J755*($H755+INDEX(DarlTilgung,2))/100/12,IF(AND($G755=0,$G754=1),MAX($K754,$J755*($H755+1)/100/12),$K754))))</f>
      </c>
      <c r="L755" s="43">
        <f>IF($I755=0,0,$J755*$H755/100/12)</f>
      </c>
      <c r="M755" s="43">
        <f>IF($I755=0,0,IF(OR(INDEX(DarlOhneTilgung,2)=1,AND(INDEX(DarlTilgStart,2)&gt;0,$E755&lt;INDEX(DarlTilgStart,2))),0,MIN(MAX(0,$K755-$L755),$J755)))</f>
      </c>
      <c r="N755" s="43">
        <f>IF($I755=0,0,MIN(SUMIFS(SondBetrag,SondDarl,2,SondDatum,"&gt;="&amp;$E755,SondDatum,"&lt;="&amp;EOMONTH($E755,0)),$J755-$M755))</f>
      </c>
      <c r="O755" s="43">
        <f>IF($I755=0,0,INDEX(DarlErsatzRate,2))</f>
      </c>
      <c r="P755" s="43">
        <f>IF($I755=0,0,$Q754*INDEX(DarlErsatzZins,2))</f>
      </c>
      <c r="Q755" s="43">
        <f>IF($I755=0,0,$Q754+$P755+$O755)</f>
      </c>
      <c r="R755" s="43">
        <f>IF($I755=0,0,$J755-$M755-$N755)</f>
      </c>
    </row>
    <row r="756">
      <c r="A756"/>
      <c r="B756">
        <v>2</v>
      </c>
      <c r="C756" s="43">
        <f>INDEX(DarlObj,2)</f>
      </c>
      <c r="D756">
        <v>273</v>
      </c>
      <c r="E756" s="51">
        <f>IF(INDEX(DarlBelegt,2)=0,0,EOMONTH(INDEX(DarlAuszahlung,2),272)+1)</f>
      </c>
      <c r="F756" s="43">
        <f>IF($E756=0,0,YEAR($E756))</f>
      </c>
      <c r="G756" s="43">
        <f>IF(INDEX(DarlBindung,2)="",1,IF($E756&lt;=INDEX(DarlBindung,2),1,0))</f>
      </c>
      <c r="H756" s="43">
        <f>IF($G756=1,INDEX(DarlSollzins,2),INDEX(DarlAnschluss,2))</f>
      </c>
      <c r="I756" s="43">
        <f>IF(INDEX(DarlBelegt,2)=0,0,IF(INDEX(DarlOhneTilgung,2)=1,IF(INDEX(DarlBindung,2)="",1,$G756),IF($J756&gt;0.005,1,0)))</f>
      </c>
      <c r="J756" s="43">
        <f>IF($I755=0,0,$R755)</f>
      </c>
      <c r="K756" s="43">
        <f>IF($I756=0,0,IF(INDEX(DarlOhneTilgung,2)=1,0,IF(AND(INDEX(DarlTilgStart,2)&gt;0,$E756=INDEX(DarlTilgStart,2)),$J756*($H756+INDEX(DarlTilgung,2))/100/12,IF(AND($G756=0,$G755=1),MAX($K755,$J756*($H756+1)/100/12),$K755))))</f>
      </c>
      <c r="L756" s="43">
        <f>IF($I756=0,0,$J756*$H756/100/12)</f>
      </c>
      <c r="M756" s="43">
        <f>IF($I756=0,0,IF(OR(INDEX(DarlOhneTilgung,2)=1,AND(INDEX(DarlTilgStart,2)&gt;0,$E756&lt;INDEX(DarlTilgStart,2))),0,MIN(MAX(0,$K756-$L756),$J756)))</f>
      </c>
      <c r="N756" s="43">
        <f>IF($I756=0,0,MIN(SUMIFS(SondBetrag,SondDarl,2,SondDatum,"&gt;="&amp;$E756,SondDatum,"&lt;="&amp;EOMONTH($E756,0)),$J756-$M756))</f>
      </c>
      <c r="O756" s="43">
        <f>IF($I756=0,0,INDEX(DarlErsatzRate,2))</f>
      </c>
      <c r="P756" s="43">
        <f>IF($I756=0,0,$Q755*INDEX(DarlErsatzZins,2))</f>
      </c>
      <c r="Q756" s="43">
        <f>IF($I756=0,0,$Q755+$P756+$O756)</f>
      </c>
      <c r="R756" s="43">
        <f>IF($I756=0,0,$J756-$M756-$N756)</f>
      </c>
    </row>
    <row r="757">
      <c r="A757"/>
      <c r="B757">
        <v>2</v>
      </c>
      <c r="C757" s="43">
        <f>INDEX(DarlObj,2)</f>
      </c>
      <c r="D757">
        <v>274</v>
      </c>
      <c r="E757" s="51">
        <f>IF(INDEX(DarlBelegt,2)=0,0,EOMONTH(INDEX(DarlAuszahlung,2),273)+1)</f>
      </c>
      <c r="F757" s="43">
        <f>IF($E757=0,0,YEAR($E757))</f>
      </c>
      <c r="G757" s="43">
        <f>IF(INDEX(DarlBindung,2)="",1,IF($E757&lt;=INDEX(DarlBindung,2),1,0))</f>
      </c>
      <c r="H757" s="43">
        <f>IF($G757=1,INDEX(DarlSollzins,2),INDEX(DarlAnschluss,2))</f>
      </c>
      <c r="I757" s="43">
        <f>IF(INDEX(DarlBelegt,2)=0,0,IF(INDEX(DarlOhneTilgung,2)=1,IF(INDEX(DarlBindung,2)="",1,$G757),IF($J757&gt;0.005,1,0)))</f>
      </c>
      <c r="J757" s="43">
        <f>IF($I756=0,0,$R756)</f>
      </c>
      <c r="K757" s="43">
        <f>IF($I757=0,0,IF(INDEX(DarlOhneTilgung,2)=1,0,IF(AND(INDEX(DarlTilgStart,2)&gt;0,$E757=INDEX(DarlTilgStart,2)),$J757*($H757+INDEX(DarlTilgung,2))/100/12,IF(AND($G757=0,$G756=1),MAX($K756,$J757*($H757+1)/100/12),$K756))))</f>
      </c>
      <c r="L757" s="43">
        <f>IF($I757=0,0,$J757*$H757/100/12)</f>
      </c>
      <c r="M757" s="43">
        <f>IF($I757=0,0,IF(OR(INDEX(DarlOhneTilgung,2)=1,AND(INDEX(DarlTilgStart,2)&gt;0,$E757&lt;INDEX(DarlTilgStart,2))),0,MIN(MAX(0,$K757-$L757),$J757)))</f>
      </c>
      <c r="N757" s="43">
        <f>IF($I757=0,0,MIN(SUMIFS(SondBetrag,SondDarl,2,SondDatum,"&gt;="&amp;$E757,SondDatum,"&lt;="&amp;EOMONTH($E757,0)),$J757-$M757))</f>
      </c>
      <c r="O757" s="43">
        <f>IF($I757=0,0,INDEX(DarlErsatzRate,2))</f>
      </c>
      <c r="P757" s="43">
        <f>IF($I757=0,0,$Q756*INDEX(DarlErsatzZins,2))</f>
      </c>
      <c r="Q757" s="43">
        <f>IF($I757=0,0,$Q756+$P757+$O757)</f>
      </c>
      <c r="R757" s="43">
        <f>IF($I757=0,0,$J757-$M757-$N757)</f>
      </c>
    </row>
    <row r="758">
      <c r="A758"/>
      <c r="B758">
        <v>2</v>
      </c>
      <c r="C758" s="43">
        <f>INDEX(DarlObj,2)</f>
      </c>
      <c r="D758">
        <v>275</v>
      </c>
      <c r="E758" s="51">
        <f>IF(INDEX(DarlBelegt,2)=0,0,EOMONTH(INDEX(DarlAuszahlung,2),274)+1)</f>
      </c>
      <c r="F758" s="43">
        <f>IF($E758=0,0,YEAR($E758))</f>
      </c>
      <c r="G758" s="43">
        <f>IF(INDEX(DarlBindung,2)="",1,IF($E758&lt;=INDEX(DarlBindung,2),1,0))</f>
      </c>
      <c r="H758" s="43">
        <f>IF($G758=1,INDEX(DarlSollzins,2),INDEX(DarlAnschluss,2))</f>
      </c>
      <c r="I758" s="43">
        <f>IF(INDEX(DarlBelegt,2)=0,0,IF(INDEX(DarlOhneTilgung,2)=1,IF(INDEX(DarlBindung,2)="",1,$G758),IF($J758&gt;0.005,1,0)))</f>
      </c>
      <c r="J758" s="43">
        <f>IF($I757=0,0,$R757)</f>
      </c>
      <c r="K758" s="43">
        <f>IF($I758=0,0,IF(INDEX(DarlOhneTilgung,2)=1,0,IF(AND(INDEX(DarlTilgStart,2)&gt;0,$E758=INDEX(DarlTilgStart,2)),$J758*($H758+INDEX(DarlTilgung,2))/100/12,IF(AND($G758=0,$G757=1),MAX($K757,$J758*($H758+1)/100/12),$K757))))</f>
      </c>
      <c r="L758" s="43">
        <f>IF($I758=0,0,$J758*$H758/100/12)</f>
      </c>
      <c r="M758" s="43">
        <f>IF($I758=0,0,IF(OR(INDEX(DarlOhneTilgung,2)=1,AND(INDEX(DarlTilgStart,2)&gt;0,$E758&lt;INDEX(DarlTilgStart,2))),0,MIN(MAX(0,$K758-$L758),$J758)))</f>
      </c>
      <c r="N758" s="43">
        <f>IF($I758=0,0,MIN(SUMIFS(SondBetrag,SondDarl,2,SondDatum,"&gt;="&amp;$E758,SondDatum,"&lt;="&amp;EOMONTH($E758,0)),$J758-$M758))</f>
      </c>
      <c r="O758" s="43">
        <f>IF($I758=0,0,INDEX(DarlErsatzRate,2))</f>
      </c>
      <c r="P758" s="43">
        <f>IF($I758=0,0,$Q757*INDEX(DarlErsatzZins,2))</f>
      </c>
      <c r="Q758" s="43">
        <f>IF($I758=0,0,$Q757+$P758+$O758)</f>
      </c>
      <c r="R758" s="43">
        <f>IF($I758=0,0,$J758-$M758-$N758)</f>
      </c>
    </row>
    <row r="759">
      <c r="A759"/>
      <c r="B759">
        <v>2</v>
      </c>
      <c r="C759" s="43">
        <f>INDEX(DarlObj,2)</f>
      </c>
      <c r="D759">
        <v>276</v>
      </c>
      <c r="E759" s="51">
        <f>IF(INDEX(DarlBelegt,2)=0,0,EOMONTH(INDEX(DarlAuszahlung,2),275)+1)</f>
      </c>
      <c r="F759" s="43">
        <f>IF($E759=0,0,YEAR($E759))</f>
      </c>
      <c r="G759" s="43">
        <f>IF(INDEX(DarlBindung,2)="",1,IF($E759&lt;=INDEX(DarlBindung,2),1,0))</f>
      </c>
      <c r="H759" s="43">
        <f>IF($G759=1,INDEX(DarlSollzins,2),INDEX(DarlAnschluss,2))</f>
      </c>
      <c r="I759" s="43">
        <f>IF(INDEX(DarlBelegt,2)=0,0,IF(INDEX(DarlOhneTilgung,2)=1,IF(INDEX(DarlBindung,2)="",1,$G759),IF($J759&gt;0.005,1,0)))</f>
      </c>
      <c r="J759" s="43">
        <f>IF($I758=0,0,$R758)</f>
      </c>
      <c r="K759" s="43">
        <f>IF($I759=0,0,IF(INDEX(DarlOhneTilgung,2)=1,0,IF(AND(INDEX(DarlTilgStart,2)&gt;0,$E759=INDEX(DarlTilgStart,2)),$J759*($H759+INDEX(DarlTilgung,2))/100/12,IF(AND($G759=0,$G758=1),MAX($K758,$J759*($H759+1)/100/12),$K758))))</f>
      </c>
      <c r="L759" s="43">
        <f>IF($I759=0,0,$J759*$H759/100/12)</f>
      </c>
      <c r="M759" s="43">
        <f>IF($I759=0,0,IF(OR(INDEX(DarlOhneTilgung,2)=1,AND(INDEX(DarlTilgStart,2)&gt;0,$E759&lt;INDEX(DarlTilgStart,2))),0,MIN(MAX(0,$K759-$L759),$J759)))</f>
      </c>
      <c r="N759" s="43">
        <f>IF($I759=0,0,MIN(SUMIFS(SondBetrag,SondDarl,2,SondDatum,"&gt;="&amp;$E759,SondDatum,"&lt;="&amp;EOMONTH($E759,0)),$J759-$M759))</f>
      </c>
      <c r="O759" s="43">
        <f>IF($I759=0,0,INDEX(DarlErsatzRate,2))</f>
      </c>
      <c r="P759" s="43">
        <f>IF($I759=0,0,$Q758*INDEX(DarlErsatzZins,2))</f>
      </c>
      <c r="Q759" s="43">
        <f>IF($I759=0,0,$Q758+$P759+$O759)</f>
      </c>
      <c r="R759" s="43">
        <f>IF($I759=0,0,$J759-$M759-$N759)</f>
      </c>
    </row>
    <row r="760">
      <c r="A760"/>
      <c r="B760">
        <v>2</v>
      </c>
      <c r="C760" s="43">
        <f>INDEX(DarlObj,2)</f>
      </c>
      <c r="D760">
        <v>277</v>
      </c>
      <c r="E760" s="51">
        <f>IF(INDEX(DarlBelegt,2)=0,0,EOMONTH(INDEX(DarlAuszahlung,2),276)+1)</f>
      </c>
      <c r="F760" s="43">
        <f>IF($E760=0,0,YEAR($E760))</f>
      </c>
      <c r="G760" s="43">
        <f>IF(INDEX(DarlBindung,2)="",1,IF($E760&lt;=INDEX(DarlBindung,2),1,0))</f>
      </c>
      <c r="H760" s="43">
        <f>IF($G760=1,INDEX(DarlSollzins,2),INDEX(DarlAnschluss,2))</f>
      </c>
      <c r="I760" s="43">
        <f>IF(INDEX(DarlBelegt,2)=0,0,IF(INDEX(DarlOhneTilgung,2)=1,IF(INDEX(DarlBindung,2)="",1,$G760),IF($J760&gt;0.005,1,0)))</f>
      </c>
      <c r="J760" s="43">
        <f>IF($I759=0,0,$R759)</f>
      </c>
      <c r="K760" s="43">
        <f>IF($I760=0,0,IF(INDEX(DarlOhneTilgung,2)=1,0,IF(AND(INDEX(DarlTilgStart,2)&gt;0,$E760=INDEX(DarlTilgStart,2)),$J760*($H760+INDEX(DarlTilgung,2))/100/12,IF(AND($G760=0,$G759=1),MAX($K759,$J760*($H760+1)/100/12),$K759))))</f>
      </c>
      <c r="L760" s="43">
        <f>IF($I760=0,0,$J760*$H760/100/12)</f>
      </c>
      <c r="M760" s="43">
        <f>IF($I760=0,0,IF(OR(INDEX(DarlOhneTilgung,2)=1,AND(INDEX(DarlTilgStart,2)&gt;0,$E760&lt;INDEX(DarlTilgStart,2))),0,MIN(MAX(0,$K760-$L760),$J760)))</f>
      </c>
      <c r="N760" s="43">
        <f>IF($I760=0,0,MIN(SUMIFS(SondBetrag,SondDarl,2,SondDatum,"&gt;="&amp;$E760,SondDatum,"&lt;="&amp;EOMONTH($E760,0)),$J760-$M760))</f>
      </c>
      <c r="O760" s="43">
        <f>IF($I760=0,0,INDEX(DarlErsatzRate,2))</f>
      </c>
      <c r="P760" s="43">
        <f>IF($I760=0,0,$Q759*INDEX(DarlErsatzZins,2))</f>
      </c>
      <c r="Q760" s="43">
        <f>IF($I760=0,0,$Q759+$P760+$O760)</f>
      </c>
      <c r="R760" s="43">
        <f>IF($I760=0,0,$J760-$M760-$N760)</f>
      </c>
    </row>
    <row r="761">
      <c r="A761"/>
      <c r="B761">
        <v>2</v>
      </c>
      <c r="C761" s="43">
        <f>INDEX(DarlObj,2)</f>
      </c>
      <c r="D761">
        <v>278</v>
      </c>
      <c r="E761" s="51">
        <f>IF(INDEX(DarlBelegt,2)=0,0,EOMONTH(INDEX(DarlAuszahlung,2),277)+1)</f>
      </c>
      <c r="F761" s="43">
        <f>IF($E761=0,0,YEAR($E761))</f>
      </c>
      <c r="G761" s="43">
        <f>IF(INDEX(DarlBindung,2)="",1,IF($E761&lt;=INDEX(DarlBindung,2),1,0))</f>
      </c>
      <c r="H761" s="43">
        <f>IF($G761=1,INDEX(DarlSollzins,2),INDEX(DarlAnschluss,2))</f>
      </c>
      <c r="I761" s="43">
        <f>IF(INDEX(DarlBelegt,2)=0,0,IF(INDEX(DarlOhneTilgung,2)=1,IF(INDEX(DarlBindung,2)="",1,$G761),IF($J761&gt;0.005,1,0)))</f>
      </c>
      <c r="J761" s="43">
        <f>IF($I760=0,0,$R760)</f>
      </c>
      <c r="K761" s="43">
        <f>IF($I761=0,0,IF(INDEX(DarlOhneTilgung,2)=1,0,IF(AND(INDEX(DarlTilgStart,2)&gt;0,$E761=INDEX(DarlTilgStart,2)),$J761*($H761+INDEX(DarlTilgung,2))/100/12,IF(AND($G761=0,$G760=1),MAX($K760,$J761*($H761+1)/100/12),$K760))))</f>
      </c>
      <c r="L761" s="43">
        <f>IF($I761=0,0,$J761*$H761/100/12)</f>
      </c>
      <c r="M761" s="43">
        <f>IF($I761=0,0,IF(OR(INDEX(DarlOhneTilgung,2)=1,AND(INDEX(DarlTilgStart,2)&gt;0,$E761&lt;INDEX(DarlTilgStart,2))),0,MIN(MAX(0,$K761-$L761),$J761)))</f>
      </c>
      <c r="N761" s="43">
        <f>IF($I761=0,0,MIN(SUMIFS(SondBetrag,SondDarl,2,SondDatum,"&gt;="&amp;$E761,SondDatum,"&lt;="&amp;EOMONTH($E761,0)),$J761-$M761))</f>
      </c>
      <c r="O761" s="43">
        <f>IF($I761=0,0,INDEX(DarlErsatzRate,2))</f>
      </c>
      <c r="P761" s="43">
        <f>IF($I761=0,0,$Q760*INDEX(DarlErsatzZins,2))</f>
      </c>
      <c r="Q761" s="43">
        <f>IF($I761=0,0,$Q760+$P761+$O761)</f>
      </c>
      <c r="R761" s="43">
        <f>IF($I761=0,0,$J761-$M761-$N761)</f>
      </c>
    </row>
    <row r="762">
      <c r="A762"/>
      <c r="B762">
        <v>2</v>
      </c>
      <c r="C762" s="43">
        <f>INDEX(DarlObj,2)</f>
      </c>
      <c r="D762">
        <v>279</v>
      </c>
      <c r="E762" s="51">
        <f>IF(INDEX(DarlBelegt,2)=0,0,EOMONTH(INDEX(DarlAuszahlung,2),278)+1)</f>
      </c>
      <c r="F762" s="43">
        <f>IF($E762=0,0,YEAR($E762))</f>
      </c>
      <c r="G762" s="43">
        <f>IF(INDEX(DarlBindung,2)="",1,IF($E762&lt;=INDEX(DarlBindung,2),1,0))</f>
      </c>
      <c r="H762" s="43">
        <f>IF($G762=1,INDEX(DarlSollzins,2),INDEX(DarlAnschluss,2))</f>
      </c>
      <c r="I762" s="43">
        <f>IF(INDEX(DarlBelegt,2)=0,0,IF(INDEX(DarlOhneTilgung,2)=1,IF(INDEX(DarlBindung,2)="",1,$G762),IF($J762&gt;0.005,1,0)))</f>
      </c>
      <c r="J762" s="43">
        <f>IF($I761=0,0,$R761)</f>
      </c>
      <c r="K762" s="43">
        <f>IF($I762=0,0,IF(INDEX(DarlOhneTilgung,2)=1,0,IF(AND(INDEX(DarlTilgStart,2)&gt;0,$E762=INDEX(DarlTilgStart,2)),$J762*($H762+INDEX(DarlTilgung,2))/100/12,IF(AND($G762=0,$G761=1),MAX($K761,$J762*($H762+1)/100/12),$K761))))</f>
      </c>
      <c r="L762" s="43">
        <f>IF($I762=0,0,$J762*$H762/100/12)</f>
      </c>
      <c r="M762" s="43">
        <f>IF($I762=0,0,IF(OR(INDEX(DarlOhneTilgung,2)=1,AND(INDEX(DarlTilgStart,2)&gt;0,$E762&lt;INDEX(DarlTilgStart,2))),0,MIN(MAX(0,$K762-$L762),$J762)))</f>
      </c>
      <c r="N762" s="43">
        <f>IF($I762=0,0,MIN(SUMIFS(SondBetrag,SondDarl,2,SondDatum,"&gt;="&amp;$E762,SondDatum,"&lt;="&amp;EOMONTH($E762,0)),$J762-$M762))</f>
      </c>
      <c r="O762" s="43">
        <f>IF($I762=0,0,INDEX(DarlErsatzRate,2))</f>
      </c>
      <c r="P762" s="43">
        <f>IF($I762=0,0,$Q761*INDEX(DarlErsatzZins,2))</f>
      </c>
      <c r="Q762" s="43">
        <f>IF($I762=0,0,$Q761+$P762+$O762)</f>
      </c>
      <c r="R762" s="43">
        <f>IF($I762=0,0,$J762-$M762-$N762)</f>
      </c>
    </row>
    <row r="763">
      <c r="A763"/>
      <c r="B763">
        <v>2</v>
      </c>
      <c r="C763" s="43">
        <f>INDEX(DarlObj,2)</f>
      </c>
      <c r="D763">
        <v>280</v>
      </c>
      <c r="E763" s="51">
        <f>IF(INDEX(DarlBelegt,2)=0,0,EOMONTH(INDEX(DarlAuszahlung,2),279)+1)</f>
      </c>
      <c r="F763" s="43">
        <f>IF($E763=0,0,YEAR($E763))</f>
      </c>
      <c r="G763" s="43">
        <f>IF(INDEX(DarlBindung,2)="",1,IF($E763&lt;=INDEX(DarlBindung,2),1,0))</f>
      </c>
      <c r="H763" s="43">
        <f>IF($G763=1,INDEX(DarlSollzins,2),INDEX(DarlAnschluss,2))</f>
      </c>
      <c r="I763" s="43">
        <f>IF(INDEX(DarlBelegt,2)=0,0,IF(INDEX(DarlOhneTilgung,2)=1,IF(INDEX(DarlBindung,2)="",1,$G763),IF($J763&gt;0.005,1,0)))</f>
      </c>
      <c r="J763" s="43">
        <f>IF($I762=0,0,$R762)</f>
      </c>
      <c r="K763" s="43">
        <f>IF($I763=0,0,IF(INDEX(DarlOhneTilgung,2)=1,0,IF(AND(INDEX(DarlTilgStart,2)&gt;0,$E763=INDEX(DarlTilgStart,2)),$J763*($H763+INDEX(DarlTilgung,2))/100/12,IF(AND($G763=0,$G762=1),MAX($K762,$J763*($H763+1)/100/12),$K762))))</f>
      </c>
      <c r="L763" s="43">
        <f>IF($I763=0,0,$J763*$H763/100/12)</f>
      </c>
      <c r="M763" s="43">
        <f>IF($I763=0,0,IF(OR(INDEX(DarlOhneTilgung,2)=1,AND(INDEX(DarlTilgStart,2)&gt;0,$E763&lt;INDEX(DarlTilgStart,2))),0,MIN(MAX(0,$K763-$L763),$J763)))</f>
      </c>
      <c r="N763" s="43">
        <f>IF($I763=0,0,MIN(SUMIFS(SondBetrag,SondDarl,2,SondDatum,"&gt;="&amp;$E763,SondDatum,"&lt;="&amp;EOMONTH($E763,0)),$J763-$M763))</f>
      </c>
      <c r="O763" s="43">
        <f>IF($I763=0,0,INDEX(DarlErsatzRate,2))</f>
      </c>
      <c r="P763" s="43">
        <f>IF($I763=0,0,$Q762*INDEX(DarlErsatzZins,2))</f>
      </c>
      <c r="Q763" s="43">
        <f>IF($I763=0,0,$Q762+$P763+$O763)</f>
      </c>
      <c r="R763" s="43">
        <f>IF($I763=0,0,$J763-$M763-$N763)</f>
      </c>
    </row>
    <row r="764">
      <c r="A764"/>
      <c r="B764">
        <v>2</v>
      </c>
      <c r="C764" s="43">
        <f>INDEX(DarlObj,2)</f>
      </c>
      <c r="D764">
        <v>281</v>
      </c>
      <c r="E764" s="51">
        <f>IF(INDEX(DarlBelegt,2)=0,0,EOMONTH(INDEX(DarlAuszahlung,2),280)+1)</f>
      </c>
      <c r="F764" s="43">
        <f>IF($E764=0,0,YEAR($E764))</f>
      </c>
      <c r="G764" s="43">
        <f>IF(INDEX(DarlBindung,2)="",1,IF($E764&lt;=INDEX(DarlBindung,2),1,0))</f>
      </c>
      <c r="H764" s="43">
        <f>IF($G764=1,INDEX(DarlSollzins,2),INDEX(DarlAnschluss,2))</f>
      </c>
      <c r="I764" s="43">
        <f>IF(INDEX(DarlBelegt,2)=0,0,IF(INDEX(DarlOhneTilgung,2)=1,IF(INDEX(DarlBindung,2)="",1,$G764),IF($J764&gt;0.005,1,0)))</f>
      </c>
      <c r="J764" s="43">
        <f>IF($I763=0,0,$R763)</f>
      </c>
      <c r="K764" s="43">
        <f>IF($I764=0,0,IF(INDEX(DarlOhneTilgung,2)=1,0,IF(AND(INDEX(DarlTilgStart,2)&gt;0,$E764=INDEX(DarlTilgStart,2)),$J764*($H764+INDEX(DarlTilgung,2))/100/12,IF(AND($G764=0,$G763=1),MAX($K763,$J764*($H764+1)/100/12),$K763))))</f>
      </c>
      <c r="L764" s="43">
        <f>IF($I764=0,0,$J764*$H764/100/12)</f>
      </c>
      <c r="M764" s="43">
        <f>IF($I764=0,0,IF(OR(INDEX(DarlOhneTilgung,2)=1,AND(INDEX(DarlTilgStart,2)&gt;0,$E764&lt;INDEX(DarlTilgStart,2))),0,MIN(MAX(0,$K764-$L764),$J764)))</f>
      </c>
      <c r="N764" s="43">
        <f>IF($I764=0,0,MIN(SUMIFS(SondBetrag,SondDarl,2,SondDatum,"&gt;="&amp;$E764,SondDatum,"&lt;="&amp;EOMONTH($E764,0)),$J764-$M764))</f>
      </c>
      <c r="O764" s="43">
        <f>IF($I764=0,0,INDEX(DarlErsatzRate,2))</f>
      </c>
      <c r="P764" s="43">
        <f>IF($I764=0,0,$Q763*INDEX(DarlErsatzZins,2))</f>
      </c>
      <c r="Q764" s="43">
        <f>IF($I764=0,0,$Q763+$P764+$O764)</f>
      </c>
      <c r="R764" s="43">
        <f>IF($I764=0,0,$J764-$M764-$N764)</f>
      </c>
    </row>
    <row r="765">
      <c r="A765"/>
      <c r="B765">
        <v>2</v>
      </c>
      <c r="C765" s="43">
        <f>INDEX(DarlObj,2)</f>
      </c>
      <c r="D765">
        <v>282</v>
      </c>
      <c r="E765" s="51">
        <f>IF(INDEX(DarlBelegt,2)=0,0,EOMONTH(INDEX(DarlAuszahlung,2),281)+1)</f>
      </c>
      <c r="F765" s="43">
        <f>IF($E765=0,0,YEAR($E765))</f>
      </c>
      <c r="G765" s="43">
        <f>IF(INDEX(DarlBindung,2)="",1,IF($E765&lt;=INDEX(DarlBindung,2),1,0))</f>
      </c>
      <c r="H765" s="43">
        <f>IF($G765=1,INDEX(DarlSollzins,2),INDEX(DarlAnschluss,2))</f>
      </c>
      <c r="I765" s="43">
        <f>IF(INDEX(DarlBelegt,2)=0,0,IF(INDEX(DarlOhneTilgung,2)=1,IF(INDEX(DarlBindung,2)="",1,$G765),IF($J765&gt;0.005,1,0)))</f>
      </c>
      <c r="J765" s="43">
        <f>IF($I764=0,0,$R764)</f>
      </c>
      <c r="K765" s="43">
        <f>IF($I765=0,0,IF(INDEX(DarlOhneTilgung,2)=1,0,IF(AND(INDEX(DarlTilgStart,2)&gt;0,$E765=INDEX(DarlTilgStart,2)),$J765*($H765+INDEX(DarlTilgung,2))/100/12,IF(AND($G765=0,$G764=1),MAX($K764,$J765*($H765+1)/100/12),$K764))))</f>
      </c>
      <c r="L765" s="43">
        <f>IF($I765=0,0,$J765*$H765/100/12)</f>
      </c>
      <c r="M765" s="43">
        <f>IF($I765=0,0,IF(OR(INDEX(DarlOhneTilgung,2)=1,AND(INDEX(DarlTilgStart,2)&gt;0,$E765&lt;INDEX(DarlTilgStart,2))),0,MIN(MAX(0,$K765-$L765),$J765)))</f>
      </c>
      <c r="N765" s="43">
        <f>IF($I765=0,0,MIN(SUMIFS(SondBetrag,SondDarl,2,SondDatum,"&gt;="&amp;$E765,SondDatum,"&lt;="&amp;EOMONTH($E765,0)),$J765-$M765))</f>
      </c>
      <c r="O765" s="43">
        <f>IF($I765=0,0,INDEX(DarlErsatzRate,2))</f>
      </c>
      <c r="P765" s="43">
        <f>IF($I765=0,0,$Q764*INDEX(DarlErsatzZins,2))</f>
      </c>
      <c r="Q765" s="43">
        <f>IF($I765=0,0,$Q764+$P765+$O765)</f>
      </c>
      <c r="R765" s="43">
        <f>IF($I765=0,0,$J765-$M765-$N765)</f>
      </c>
    </row>
    <row r="766">
      <c r="A766"/>
      <c r="B766">
        <v>2</v>
      </c>
      <c r="C766" s="43">
        <f>INDEX(DarlObj,2)</f>
      </c>
      <c r="D766">
        <v>283</v>
      </c>
      <c r="E766" s="51">
        <f>IF(INDEX(DarlBelegt,2)=0,0,EOMONTH(INDEX(DarlAuszahlung,2),282)+1)</f>
      </c>
      <c r="F766" s="43">
        <f>IF($E766=0,0,YEAR($E766))</f>
      </c>
      <c r="G766" s="43">
        <f>IF(INDEX(DarlBindung,2)="",1,IF($E766&lt;=INDEX(DarlBindung,2),1,0))</f>
      </c>
      <c r="H766" s="43">
        <f>IF($G766=1,INDEX(DarlSollzins,2),INDEX(DarlAnschluss,2))</f>
      </c>
      <c r="I766" s="43">
        <f>IF(INDEX(DarlBelegt,2)=0,0,IF(INDEX(DarlOhneTilgung,2)=1,IF(INDEX(DarlBindung,2)="",1,$G766),IF($J766&gt;0.005,1,0)))</f>
      </c>
      <c r="J766" s="43">
        <f>IF($I765=0,0,$R765)</f>
      </c>
      <c r="K766" s="43">
        <f>IF($I766=0,0,IF(INDEX(DarlOhneTilgung,2)=1,0,IF(AND(INDEX(DarlTilgStart,2)&gt;0,$E766=INDEX(DarlTilgStart,2)),$J766*($H766+INDEX(DarlTilgung,2))/100/12,IF(AND($G766=0,$G765=1),MAX($K765,$J766*($H766+1)/100/12),$K765))))</f>
      </c>
      <c r="L766" s="43">
        <f>IF($I766=0,0,$J766*$H766/100/12)</f>
      </c>
      <c r="M766" s="43">
        <f>IF($I766=0,0,IF(OR(INDEX(DarlOhneTilgung,2)=1,AND(INDEX(DarlTilgStart,2)&gt;0,$E766&lt;INDEX(DarlTilgStart,2))),0,MIN(MAX(0,$K766-$L766),$J766)))</f>
      </c>
      <c r="N766" s="43">
        <f>IF($I766=0,0,MIN(SUMIFS(SondBetrag,SondDarl,2,SondDatum,"&gt;="&amp;$E766,SondDatum,"&lt;="&amp;EOMONTH($E766,0)),$J766-$M766))</f>
      </c>
      <c r="O766" s="43">
        <f>IF($I766=0,0,INDEX(DarlErsatzRate,2))</f>
      </c>
      <c r="P766" s="43">
        <f>IF($I766=0,0,$Q765*INDEX(DarlErsatzZins,2))</f>
      </c>
      <c r="Q766" s="43">
        <f>IF($I766=0,0,$Q765+$P766+$O766)</f>
      </c>
      <c r="R766" s="43">
        <f>IF($I766=0,0,$J766-$M766-$N766)</f>
      </c>
    </row>
    <row r="767">
      <c r="A767"/>
      <c r="B767">
        <v>2</v>
      </c>
      <c r="C767" s="43">
        <f>INDEX(DarlObj,2)</f>
      </c>
      <c r="D767">
        <v>284</v>
      </c>
      <c r="E767" s="51">
        <f>IF(INDEX(DarlBelegt,2)=0,0,EOMONTH(INDEX(DarlAuszahlung,2),283)+1)</f>
      </c>
      <c r="F767" s="43">
        <f>IF($E767=0,0,YEAR($E767))</f>
      </c>
      <c r="G767" s="43">
        <f>IF(INDEX(DarlBindung,2)="",1,IF($E767&lt;=INDEX(DarlBindung,2),1,0))</f>
      </c>
      <c r="H767" s="43">
        <f>IF($G767=1,INDEX(DarlSollzins,2),INDEX(DarlAnschluss,2))</f>
      </c>
      <c r="I767" s="43">
        <f>IF(INDEX(DarlBelegt,2)=0,0,IF(INDEX(DarlOhneTilgung,2)=1,IF(INDEX(DarlBindung,2)="",1,$G767),IF($J767&gt;0.005,1,0)))</f>
      </c>
      <c r="J767" s="43">
        <f>IF($I766=0,0,$R766)</f>
      </c>
      <c r="K767" s="43">
        <f>IF($I767=0,0,IF(INDEX(DarlOhneTilgung,2)=1,0,IF(AND(INDEX(DarlTilgStart,2)&gt;0,$E767=INDEX(DarlTilgStart,2)),$J767*($H767+INDEX(DarlTilgung,2))/100/12,IF(AND($G767=0,$G766=1),MAX($K766,$J767*($H767+1)/100/12),$K766))))</f>
      </c>
      <c r="L767" s="43">
        <f>IF($I767=0,0,$J767*$H767/100/12)</f>
      </c>
      <c r="M767" s="43">
        <f>IF($I767=0,0,IF(OR(INDEX(DarlOhneTilgung,2)=1,AND(INDEX(DarlTilgStart,2)&gt;0,$E767&lt;INDEX(DarlTilgStart,2))),0,MIN(MAX(0,$K767-$L767),$J767)))</f>
      </c>
      <c r="N767" s="43">
        <f>IF($I767=0,0,MIN(SUMIFS(SondBetrag,SondDarl,2,SondDatum,"&gt;="&amp;$E767,SondDatum,"&lt;="&amp;EOMONTH($E767,0)),$J767-$M767))</f>
      </c>
      <c r="O767" s="43">
        <f>IF($I767=0,0,INDEX(DarlErsatzRate,2))</f>
      </c>
      <c r="P767" s="43">
        <f>IF($I767=0,0,$Q766*INDEX(DarlErsatzZins,2))</f>
      </c>
      <c r="Q767" s="43">
        <f>IF($I767=0,0,$Q766+$P767+$O767)</f>
      </c>
      <c r="R767" s="43">
        <f>IF($I767=0,0,$J767-$M767-$N767)</f>
      </c>
    </row>
    <row r="768">
      <c r="A768"/>
      <c r="B768">
        <v>2</v>
      </c>
      <c r="C768" s="43">
        <f>INDEX(DarlObj,2)</f>
      </c>
      <c r="D768">
        <v>285</v>
      </c>
      <c r="E768" s="51">
        <f>IF(INDEX(DarlBelegt,2)=0,0,EOMONTH(INDEX(DarlAuszahlung,2),284)+1)</f>
      </c>
      <c r="F768" s="43">
        <f>IF($E768=0,0,YEAR($E768))</f>
      </c>
      <c r="G768" s="43">
        <f>IF(INDEX(DarlBindung,2)="",1,IF($E768&lt;=INDEX(DarlBindung,2),1,0))</f>
      </c>
      <c r="H768" s="43">
        <f>IF($G768=1,INDEX(DarlSollzins,2),INDEX(DarlAnschluss,2))</f>
      </c>
      <c r="I768" s="43">
        <f>IF(INDEX(DarlBelegt,2)=0,0,IF(INDEX(DarlOhneTilgung,2)=1,IF(INDEX(DarlBindung,2)="",1,$G768),IF($J768&gt;0.005,1,0)))</f>
      </c>
      <c r="J768" s="43">
        <f>IF($I767=0,0,$R767)</f>
      </c>
      <c r="K768" s="43">
        <f>IF($I768=0,0,IF(INDEX(DarlOhneTilgung,2)=1,0,IF(AND(INDEX(DarlTilgStart,2)&gt;0,$E768=INDEX(DarlTilgStart,2)),$J768*($H768+INDEX(DarlTilgung,2))/100/12,IF(AND($G768=0,$G767=1),MAX($K767,$J768*($H768+1)/100/12),$K767))))</f>
      </c>
      <c r="L768" s="43">
        <f>IF($I768=0,0,$J768*$H768/100/12)</f>
      </c>
      <c r="M768" s="43">
        <f>IF($I768=0,0,IF(OR(INDEX(DarlOhneTilgung,2)=1,AND(INDEX(DarlTilgStart,2)&gt;0,$E768&lt;INDEX(DarlTilgStart,2))),0,MIN(MAX(0,$K768-$L768),$J768)))</f>
      </c>
      <c r="N768" s="43">
        <f>IF($I768=0,0,MIN(SUMIFS(SondBetrag,SondDarl,2,SondDatum,"&gt;="&amp;$E768,SondDatum,"&lt;="&amp;EOMONTH($E768,0)),$J768-$M768))</f>
      </c>
      <c r="O768" s="43">
        <f>IF($I768=0,0,INDEX(DarlErsatzRate,2))</f>
      </c>
      <c r="P768" s="43">
        <f>IF($I768=0,0,$Q767*INDEX(DarlErsatzZins,2))</f>
      </c>
      <c r="Q768" s="43">
        <f>IF($I768=0,0,$Q767+$P768+$O768)</f>
      </c>
      <c r="R768" s="43">
        <f>IF($I768=0,0,$J768-$M768-$N768)</f>
      </c>
    </row>
    <row r="769">
      <c r="A769"/>
      <c r="B769">
        <v>2</v>
      </c>
      <c r="C769" s="43">
        <f>INDEX(DarlObj,2)</f>
      </c>
      <c r="D769">
        <v>286</v>
      </c>
      <c r="E769" s="51">
        <f>IF(INDEX(DarlBelegt,2)=0,0,EOMONTH(INDEX(DarlAuszahlung,2),285)+1)</f>
      </c>
      <c r="F769" s="43">
        <f>IF($E769=0,0,YEAR($E769))</f>
      </c>
      <c r="G769" s="43">
        <f>IF(INDEX(DarlBindung,2)="",1,IF($E769&lt;=INDEX(DarlBindung,2),1,0))</f>
      </c>
      <c r="H769" s="43">
        <f>IF($G769=1,INDEX(DarlSollzins,2),INDEX(DarlAnschluss,2))</f>
      </c>
      <c r="I769" s="43">
        <f>IF(INDEX(DarlBelegt,2)=0,0,IF(INDEX(DarlOhneTilgung,2)=1,IF(INDEX(DarlBindung,2)="",1,$G769),IF($J769&gt;0.005,1,0)))</f>
      </c>
      <c r="J769" s="43">
        <f>IF($I768=0,0,$R768)</f>
      </c>
      <c r="K769" s="43">
        <f>IF($I769=0,0,IF(INDEX(DarlOhneTilgung,2)=1,0,IF(AND(INDEX(DarlTilgStart,2)&gt;0,$E769=INDEX(DarlTilgStart,2)),$J769*($H769+INDEX(DarlTilgung,2))/100/12,IF(AND($G769=0,$G768=1),MAX($K768,$J769*($H769+1)/100/12),$K768))))</f>
      </c>
      <c r="L769" s="43">
        <f>IF($I769=0,0,$J769*$H769/100/12)</f>
      </c>
      <c r="M769" s="43">
        <f>IF($I769=0,0,IF(OR(INDEX(DarlOhneTilgung,2)=1,AND(INDEX(DarlTilgStart,2)&gt;0,$E769&lt;INDEX(DarlTilgStart,2))),0,MIN(MAX(0,$K769-$L769),$J769)))</f>
      </c>
      <c r="N769" s="43">
        <f>IF($I769=0,0,MIN(SUMIFS(SondBetrag,SondDarl,2,SondDatum,"&gt;="&amp;$E769,SondDatum,"&lt;="&amp;EOMONTH($E769,0)),$J769-$M769))</f>
      </c>
      <c r="O769" s="43">
        <f>IF($I769=0,0,INDEX(DarlErsatzRate,2))</f>
      </c>
      <c r="P769" s="43">
        <f>IF($I769=0,0,$Q768*INDEX(DarlErsatzZins,2))</f>
      </c>
      <c r="Q769" s="43">
        <f>IF($I769=0,0,$Q768+$P769+$O769)</f>
      </c>
      <c r="R769" s="43">
        <f>IF($I769=0,0,$J769-$M769-$N769)</f>
      </c>
    </row>
    <row r="770">
      <c r="A770"/>
      <c r="B770">
        <v>2</v>
      </c>
      <c r="C770" s="43">
        <f>INDEX(DarlObj,2)</f>
      </c>
      <c r="D770">
        <v>287</v>
      </c>
      <c r="E770" s="51">
        <f>IF(INDEX(DarlBelegt,2)=0,0,EOMONTH(INDEX(DarlAuszahlung,2),286)+1)</f>
      </c>
      <c r="F770" s="43">
        <f>IF($E770=0,0,YEAR($E770))</f>
      </c>
      <c r="G770" s="43">
        <f>IF(INDEX(DarlBindung,2)="",1,IF($E770&lt;=INDEX(DarlBindung,2),1,0))</f>
      </c>
      <c r="H770" s="43">
        <f>IF($G770=1,INDEX(DarlSollzins,2),INDEX(DarlAnschluss,2))</f>
      </c>
      <c r="I770" s="43">
        <f>IF(INDEX(DarlBelegt,2)=0,0,IF(INDEX(DarlOhneTilgung,2)=1,IF(INDEX(DarlBindung,2)="",1,$G770),IF($J770&gt;0.005,1,0)))</f>
      </c>
      <c r="J770" s="43">
        <f>IF($I769=0,0,$R769)</f>
      </c>
      <c r="K770" s="43">
        <f>IF($I770=0,0,IF(INDEX(DarlOhneTilgung,2)=1,0,IF(AND(INDEX(DarlTilgStart,2)&gt;0,$E770=INDEX(DarlTilgStart,2)),$J770*($H770+INDEX(DarlTilgung,2))/100/12,IF(AND($G770=0,$G769=1),MAX($K769,$J770*($H770+1)/100/12),$K769))))</f>
      </c>
      <c r="L770" s="43">
        <f>IF($I770=0,0,$J770*$H770/100/12)</f>
      </c>
      <c r="M770" s="43">
        <f>IF($I770=0,0,IF(OR(INDEX(DarlOhneTilgung,2)=1,AND(INDEX(DarlTilgStart,2)&gt;0,$E770&lt;INDEX(DarlTilgStart,2))),0,MIN(MAX(0,$K770-$L770),$J770)))</f>
      </c>
      <c r="N770" s="43">
        <f>IF($I770=0,0,MIN(SUMIFS(SondBetrag,SondDarl,2,SondDatum,"&gt;="&amp;$E770,SondDatum,"&lt;="&amp;EOMONTH($E770,0)),$J770-$M770))</f>
      </c>
      <c r="O770" s="43">
        <f>IF($I770=0,0,INDEX(DarlErsatzRate,2))</f>
      </c>
      <c r="P770" s="43">
        <f>IF($I770=0,0,$Q769*INDEX(DarlErsatzZins,2))</f>
      </c>
      <c r="Q770" s="43">
        <f>IF($I770=0,0,$Q769+$P770+$O770)</f>
      </c>
      <c r="R770" s="43">
        <f>IF($I770=0,0,$J770-$M770-$N770)</f>
      </c>
    </row>
    <row r="771">
      <c r="A771"/>
      <c r="B771">
        <v>2</v>
      </c>
      <c r="C771" s="43">
        <f>INDEX(DarlObj,2)</f>
      </c>
      <c r="D771">
        <v>288</v>
      </c>
      <c r="E771" s="51">
        <f>IF(INDEX(DarlBelegt,2)=0,0,EOMONTH(INDEX(DarlAuszahlung,2),287)+1)</f>
      </c>
      <c r="F771" s="43">
        <f>IF($E771=0,0,YEAR($E771))</f>
      </c>
      <c r="G771" s="43">
        <f>IF(INDEX(DarlBindung,2)="",1,IF($E771&lt;=INDEX(DarlBindung,2),1,0))</f>
      </c>
      <c r="H771" s="43">
        <f>IF($G771=1,INDEX(DarlSollzins,2),INDEX(DarlAnschluss,2))</f>
      </c>
      <c r="I771" s="43">
        <f>IF(INDEX(DarlBelegt,2)=0,0,IF(INDEX(DarlOhneTilgung,2)=1,IF(INDEX(DarlBindung,2)="",1,$G771),IF($J771&gt;0.005,1,0)))</f>
      </c>
      <c r="J771" s="43">
        <f>IF($I770=0,0,$R770)</f>
      </c>
      <c r="K771" s="43">
        <f>IF($I771=0,0,IF(INDEX(DarlOhneTilgung,2)=1,0,IF(AND(INDEX(DarlTilgStart,2)&gt;0,$E771=INDEX(DarlTilgStart,2)),$J771*($H771+INDEX(DarlTilgung,2))/100/12,IF(AND($G771=0,$G770=1),MAX($K770,$J771*($H771+1)/100/12),$K770))))</f>
      </c>
      <c r="L771" s="43">
        <f>IF($I771=0,0,$J771*$H771/100/12)</f>
      </c>
      <c r="M771" s="43">
        <f>IF($I771=0,0,IF(OR(INDEX(DarlOhneTilgung,2)=1,AND(INDEX(DarlTilgStart,2)&gt;0,$E771&lt;INDEX(DarlTilgStart,2))),0,MIN(MAX(0,$K771-$L771),$J771)))</f>
      </c>
      <c r="N771" s="43">
        <f>IF($I771=0,0,MIN(SUMIFS(SondBetrag,SondDarl,2,SondDatum,"&gt;="&amp;$E771,SondDatum,"&lt;="&amp;EOMONTH($E771,0)),$J771-$M771))</f>
      </c>
      <c r="O771" s="43">
        <f>IF($I771=0,0,INDEX(DarlErsatzRate,2))</f>
      </c>
      <c r="P771" s="43">
        <f>IF($I771=0,0,$Q770*INDEX(DarlErsatzZins,2))</f>
      </c>
      <c r="Q771" s="43">
        <f>IF($I771=0,0,$Q770+$P771+$O771)</f>
      </c>
      <c r="R771" s="43">
        <f>IF($I771=0,0,$J771-$M771-$N771)</f>
      </c>
    </row>
    <row r="772">
      <c r="A772"/>
      <c r="B772">
        <v>2</v>
      </c>
      <c r="C772" s="43">
        <f>INDEX(DarlObj,2)</f>
      </c>
      <c r="D772">
        <v>289</v>
      </c>
      <c r="E772" s="51">
        <f>IF(INDEX(DarlBelegt,2)=0,0,EOMONTH(INDEX(DarlAuszahlung,2),288)+1)</f>
      </c>
      <c r="F772" s="43">
        <f>IF($E772=0,0,YEAR($E772))</f>
      </c>
      <c r="G772" s="43">
        <f>IF(INDEX(DarlBindung,2)="",1,IF($E772&lt;=INDEX(DarlBindung,2),1,0))</f>
      </c>
      <c r="H772" s="43">
        <f>IF($G772=1,INDEX(DarlSollzins,2),INDEX(DarlAnschluss,2))</f>
      </c>
      <c r="I772" s="43">
        <f>IF(INDEX(DarlBelegt,2)=0,0,IF(INDEX(DarlOhneTilgung,2)=1,IF(INDEX(DarlBindung,2)="",1,$G772),IF($J772&gt;0.005,1,0)))</f>
      </c>
      <c r="J772" s="43">
        <f>IF($I771=0,0,$R771)</f>
      </c>
      <c r="K772" s="43">
        <f>IF($I772=0,0,IF(INDEX(DarlOhneTilgung,2)=1,0,IF(AND(INDEX(DarlTilgStart,2)&gt;0,$E772=INDEX(DarlTilgStart,2)),$J772*($H772+INDEX(DarlTilgung,2))/100/12,IF(AND($G772=0,$G771=1),MAX($K771,$J772*($H772+1)/100/12),$K771))))</f>
      </c>
      <c r="L772" s="43">
        <f>IF($I772=0,0,$J772*$H772/100/12)</f>
      </c>
      <c r="M772" s="43">
        <f>IF($I772=0,0,IF(OR(INDEX(DarlOhneTilgung,2)=1,AND(INDEX(DarlTilgStart,2)&gt;0,$E772&lt;INDEX(DarlTilgStart,2))),0,MIN(MAX(0,$K772-$L772),$J772)))</f>
      </c>
      <c r="N772" s="43">
        <f>IF($I772=0,0,MIN(SUMIFS(SondBetrag,SondDarl,2,SondDatum,"&gt;="&amp;$E772,SondDatum,"&lt;="&amp;EOMONTH($E772,0)),$J772-$M772))</f>
      </c>
      <c r="O772" s="43">
        <f>IF($I772=0,0,INDEX(DarlErsatzRate,2))</f>
      </c>
      <c r="P772" s="43">
        <f>IF($I772=0,0,$Q771*INDEX(DarlErsatzZins,2))</f>
      </c>
      <c r="Q772" s="43">
        <f>IF($I772=0,0,$Q771+$P772+$O772)</f>
      </c>
      <c r="R772" s="43">
        <f>IF($I772=0,0,$J772-$M772-$N772)</f>
      </c>
    </row>
    <row r="773">
      <c r="A773"/>
      <c r="B773">
        <v>2</v>
      </c>
      <c r="C773" s="43">
        <f>INDEX(DarlObj,2)</f>
      </c>
      <c r="D773">
        <v>290</v>
      </c>
      <c r="E773" s="51">
        <f>IF(INDEX(DarlBelegt,2)=0,0,EOMONTH(INDEX(DarlAuszahlung,2),289)+1)</f>
      </c>
      <c r="F773" s="43">
        <f>IF($E773=0,0,YEAR($E773))</f>
      </c>
      <c r="G773" s="43">
        <f>IF(INDEX(DarlBindung,2)="",1,IF($E773&lt;=INDEX(DarlBindung,2),1,0))</f>
      </c>
      <c r="H773" s="43">
        <f>IF($G773=1,INDEX(DarlSollzins,2),INDEX(DarlAnschluss,2))</f>
      </c>
      <c r="I773" s="43">
        <f>IF(INDEX(DarlBelegt,2)=0,0,IF(INDEX(DarlOhneTilgung,2)=1,IF(INDEX(DarlBindung,2)="",1,$G773),IF($J773&gt;0.005,1,0)))</f>
      </c>
      <c r="J773" s="43">
        <f>IF($I772=0,0,$R772)</f>
      </c>
      <c r="K773" s="43">
        <f>IF($I773=0,0,IF(INDEX(DarlOhneTilgung,2)=1,0,IF(AND(INDEX(DarlTilgStart,2)&gt;0,$E773=INDEX(DarlTilgStart,2)),$J773*($H773+INDEX(DarlTilgung,2))/100/12,IF(AND($G773=0,$G772=1),MAX($K772,$J773*($H773+1)/100/12),$K772))))</f>
      </c>
      <c r="L773" s="43">
        <f>IF($I773=0,0,$J773*$H773/100/12)</f>
      </c>
      <c r="M773" s="43">
        <f>IF($I773=0,0,IF(OR(INDEX(DarlOhneTilgung,2)=1,AND(INDEX(DarlTilgStart,2)&gt;0,$E773&lt;INDEX(DarlTilgStart,2))),0,MIN(MAX(0,$K773-$L773),$J773)))</f>
      </c>
      <c r="N773" s="43">
        <f>IF($I773=0,0,MIN(SUMIFS(SondBetrag,SondDarl,2,SondDatum,"&gt;="&amp;$E773,SondDatum,"&lt;="&amp;EOMONTH($E773,0)),$J773-$M773))</f>
      </c>
      <c r="O773" s="43">
        <f>IF($I773=0,0,INDEX(DarlErsatzRate,2))</f>
      </c>
      <c r="P773" s="43">
        <f>IF($I773=0,0,$Q772*INDEX(DarlErsatzZins,2))</f>
      </c>
      <c r="Q773" s="43">
        <f>IF($I773=0,0,$Q772+$P773+$O773)</f>
      </c>
      <c r="R773" s="43">
        <f>IF($I773=0,0,$J773-$M773-$N773)</f>
      </c>
    </row>
    <row r="774">
      <c r="A774"/>
      <c r="B774">
        <v>2</v>
      </c>
      <c r="C774" s="43">
        <f>INDEX(DarlObj,2)</f>
      </c>
      <c r="D774">
        <v>291</v>
      </c>
      <c r="E774" s="51">
        <f>IF(INDEX(DarlBelegt,2)=0,0,EOMONTH(INDEX(DarlAuszahlung,2),290)+1)</f>
      </c>
      <c r="F774" s="43">
        <f>IF($E774=0,0,YEAR($E774))</f>
      </c>
      <c r="G774" s="43">
        <f>IF(INDEX(DarlBindung,2)="",1,IF($E774&lt;=INDEX(DarlBindung,2),1,0))</f>
      </c>
      <c r="H774" s="43">
        <f>IF($G774=1,INDEX(DarlSollzins,2),INDEX(DarlAnschluss,2))</f>
      </c>
      <c r="I774" s="43">
        <f>IF(INDEX(DarlBelegt,2)=0,0,IF(INDEX(DarlOhneTilgung,2)=1,IF(INDEX(DarlBindung,2)="",1,$G774),IF($J774&gt;0.005,1,0)))</f>
      </c>
      <c r="J774" s="43">
        <f>IF($I773=0,0,$R773)</f>
      </c>
      <c r="K774" s="43">
        <f>IF($I774=0,0,IF(INDEX(DarlOhneTilgung,2)=1,0,IF(AND(INDEX(DarlTilgStart,2)&gt;0,$E774=INDEX(DarlTilgStart,2)),$J774*($H774+INDEX(DarlTilgung,2))/100/12,IF(AND($G774=0,$G773=1),MAX($K773,$J774*($H774+1)/100/12),$K773))))</f>
      </c>
      <c r="L774" s="43">
        <f>IF($I774=0,0,$J774*$H774/100/12)</f>
      </c>
      <c r="M774" s="43">
        <f>IF($I774=0,0,IF(OR(INDEX(DarlOhneTilgung,2)=1,AND(INDEX(DarlTilgStart,2)&gt;0,$E774&lt;INDEX(DarlTilgStart,2))),0,MIN(MAX(0,$K774-$L774),$J774)))</f>
      </c>
      <c r="N774" s="43">
        <f>IF($I774=0,0,MIN(SUMIFS(SondBetrag,SondDarl,2,SondDatum,"&gt;="&amp;$E774,SondDatum,"&lt;="&amp;EOMONTH($E774,0)),$J774-$M774))</f>
      </c>
      <c r="O774" s="43">
        <f>IF($I774=0,0,INDEX(DarlErsatzRate,2))</f>
      </c>
      <c r="P774" s="43">
        <f>IF($I774=0,0,$Q773*INDEX(DarlErsatzZins,2))</f>
      </c>
      <c r="Q774" s="43">
        <f>IF($I774=0,0,$Q773+$P774+$O774)</f>
      </c>
      <c r="R774" s="43">
        <f>IF($I774=0,0,$J774-$M774-$N774)</f>
      </c>
    </row>
    <row r="775">
      <c r="A775"/>
      <c r="B775">
        <v>2</v>
      </c>
      <c r="C775" s="43">
        <f>INDEX(DarlObj,2)</f>
      </c>
      <c r="D775">
        <v>292</v>
      </c>
      <c r="E775" s="51">
        <f>IF(INDEX(DarlBelegt,2)=0,0,EOMONTH(INDEX(DarlAuszahlung,2),291)+1)</f>
      </c>
      <c r="F775" s="43">
        <f>IF($E775=0,0,YEAR($E775))</f>
      </c>
      <c r="G775" s="43">
        <f>IF(INDEX(DarlBindung,2)="",1,IF($E775&lt;=INDEX(DarlBindung,2),1,0))</f>
      </c>
      <c r="H775" s="43">
        <f>IF($G775=1,INDEX(DarlSollzins,2),INDEX(DarlAnschluss,2))</f>
      </c>
      <c r="I775" s="43">
        <f>IF(INDEX(DarlBelegt,2)=0,0,IF(INDEX(DarlOhneTilgung,2)=1,IF(INDEX(DarlBindung,2)="",1,$G775),IF($J775&gt;0.005,1,0)))</f>
      </c>
      <c r="J775" s="43">
        <f>IF($I774=0,0,$R774)</f>
      </c>
      <c r="K775" s="43">
        <f>IF($I775=0,0,IF(INDEX(DarlOhneTilgung,2)=1,0,IF(AND(INDEX(DarlTilgStart,2)&gt;0,$E775=INDEX(DarlTilgStart,2)),$J775*($H775+INDEX(DarlTilgung,2))/100/12,IF(AND($G775=0,$G774=1),MAX($K774,$J775*($H775+1)/100/12),$K774))))</f>
      </c>
      <c r="L775" s="43">
        <f>IF($I775=0,0,$J775*$H775/100/12)</f>
      </c>
      <c r="M775" s="43">
        <f>IF($I775=0,0,IF(OR(INDEX(DarlOhneTilgung,2)=1,AND(INDEX(DarlTilgStart,2)&gt;0,$E775&lt;INDEX(DarlTilgStart,2))),0,MIN(MAX(0,$K775-$L775),$J775)))</f>
      </c>
      <c r="N775" s="43">
        <f>IF($I775=0,0,MIN(SUMIFS(SondBetrag,SondDarl,2,SondDatum,"&gt;="&amp;$E775,SondDatum,"&lt;="&amp;EOMONTH($E775,0)),$J775-$M775))</f>
      </c>
      <c r="O775" s="43">
        <f>IF($I775=0,0,INDEX(DarlErsatzRate,2))</f>
      </c>
      <c r="P775" s="43">
        <f>IF($I775=0,0,$Q774*INDEX(DarlErsatzZins,2))</f>
      </c>
      <c r="Q775" s="43">
        <f>IF($I775=0,0,$Q774+$P775+$O775)</f>
      </c>
      <c r="R775" s="43">
        <f>IF($I775=0,0,$J775-$M775-$N775)</f>
      </c>
    </row>
    <row r="776">
      <c r="A776"/>
      <c r="B776">
        <v>2</v>
      </c>
      <c r="C776" s="43">
        <f>INDEX(DarlObj,2)</f>
      </c>
      <c r="D776">
        <v>293</v>
      </c>
      <c r="E776" s="51">
        <f>IF(INDEX(DarlBelegt,2)=0,0,EOMONTH(INDEX(DarlAuszahlung,2),292)+1)</f>
      </c>
      <c r="F776" s="43">
        <f>IF($E776=0,0,YEAR($E776))</f>
      </c>
      <c r="G776" s="43">
        <f>IF(INDEX(DarlBindung,2)="",1,IF($E776&lt;=INDEX(DarlBindung,2),1,0))</f>
      </c>
      <c r="H776" s="43">
        <f>IF($G776=1,INDEX(DarlSollzins,2),INDEX(DarlAnschluss,2))</f>
      </c>
      <c r="I776" s="43">
        <f>IF(INDEX(DarlBelegt,2)=0,0,IF(INDEX(DarlOhneTilgung,2)=1,IF(INDEX(DarlBindung,2)="",1,$G776),IF($J776&gt;0.005,1,0)))</f>
      </c>
      <c r="J776" s="43">
        <f>IF($I775=0,0,$R775)</f>
      </c>
      <c r="K776" s="43">
        <f>IF($I776=0,0,IF(INDEX(DarlOhneTilgung,2)=1,0,IF(AND(INDEX(DarlTilgStart,2)&gt;0,$E776=INDEX(DarlTilgStart,2)),$J776*($H776+INDEX(DarlTilgung,2))/100/12,IF(AND($G776=0,$G775=1),MAX($K775,$J776*($H776+1)/100/12),$K775))))</f>
      </c>
      <c r="L776" s="43">
        <f>IF($I776=0,0,$J776*$H776/100/12)</f>
      </c>
      <c r="M776" s="43">
        <f>IF($I776=0,0,IF(OR(INDEX(DarlOhneTilgung,2)=1,AND(INDEX(DarlTilgStart,2)&gt;0,$E776&lt;INDEX(DarlTilgStart,2))),0,MIN(MAX(0,$K776-$L776),$J776)))</f>
      </c>
      <c r="N776" s="43">
        <f>IF($I776=0,0,MIN(SUMIFS(SondBetrag,SondDarl,2,SondDatum,"&gt;="&amp;$E776,SondDatum,"&lt;="&amp;EOMONTH($E776,0)),$J776-$M776))</f>
      </c>
      <c r="O776" s="43">
        <f>IF($I776=0,0,INDEX(DarlErsatzRate,2))</f>
      </c>
      <c r="P776" s="43">
        <f>IF($I776=0,0,$Q775*INDEX(DarlErsatzZins,2))</f>
      </c>
      <c r="Q776" s="43">
        <f>IF($I776=0,0,$Q775+$P776+$O776)</f>
      </c>
      <c r="R776" s="43">
        <f>IF($I776=0,0,$J776-$M776-$N776)</f>
      </c>
    </row>
    <row r="777">
      <c r="A777"/>
      <c r="B777">
        <v>2</v>
      </c>
      <c r="C777" s="43">
        <f>INDEX(DarlObj,2)</f>
      </c>
      <c r="D777">
        <v>294</v>
      </c>
      <c r="E777" s="51">
        <f>IF(INDEX(DarlBelegt,2)=0,0,EOMONTH(INDEX(DarlAuszahlung,2),293)+1)</f>
      </c>
      <c r="F777" s="43">
        <f>IF($E777=0,0,YEAR($E777))</f>
      </c>
      <c r="G777" s="43">
        <f>IF(INDEX(DarlBindung,2)="",1,IF($E777&lt;=INDEX(DarlBindung,2),1,0))</f>
      </c>
      <c r="H777" s="43">
        <f>IF($G777=1,INDEX(DarlSollzins,2),INDEX(DarlAnschluss,2))</f>
      </c>
      <c r="I777" s="43">
        <f>IF(INDEX(DarlBelegt,2)=0,0,IF(INDEX(DarlOhneTilgung,2)=1,IF(INDEX(DarlBindung,2)="",1,$G777),IF($J777&gt;0.005,1,0)))</f>
      </c>
      <c r="J777" s="43">
        <f>IF($I776=0,0,$R776)</f>
      </c>
      <c r="K777" s="43">
        <f>IF($I777=0,0,IF(INDEX(DarlOhneTilgung,2)=1,0,IF(AND(INDEX(DarlTilgStart,2)&gt;0,$E777=INDEX(DarlTilgStart,2)),$J777*($H777+INDEX(DarlTilgung,2))/100/12,IF(AND($G777=0,$G776=1),MAX($K776,$J777*($H777+1)/100/12),$K776))))</f>
      </c>
      <c r="L777" s="43">
        <f>IF($I777=0,0,$J777*$H777/100/12)</f>
      </c>
      <c r="M777" s="43">
        <f>IF($I777=0,0,IF(OR(INDEX(DarlOhneTilgung,2)=1,AND(INDEX(DarlTilgStart,2)&gt;0,$E777&lt;INDEX(DarlTilgStart,2))),0,MIN(MAX(0,$K777-$L777),$J777)))</f>
      </c>
      <c r="N777" s="43">
        <f>IF($I777=0,0,MIN(SUMIFS(SondBetrag,SondDarl,2,SondDatum,"&gt;="&amp;$E777,SondDatum,"&lt;="&amp;EOMONTH($E777,0)),$J777-$M777))</f>
      </c>
      <c r="O777" s="43">
        <f>IF($I777=0,0,INDEX(DarlErsatzRate,2))</f>
      </c>
      <c r="P777" s="43">
        <f>IF($I777=0,0,$Q776*INDEX(DarlErsatzZins,2))</f>
      </c>
      <c r="Q777" s="43">
        <f>IF($I777=0,0,$Q776+$P777+$O777)</f>
      </c>
      <c r="R777" s="43">
        <f>IF($I777=0,0,$J777-$M777-$N777)</f>
      </c>
    </row>
    <row r="778">
      <c r="A778"/>
      <c r="B778">
        <v>2</v>
      </c>
      <c r="C778" s="43">
        <f>INDEX(DarlObj,2)</f>
      </c>
      <c r="D778">
        <v>295</v>
      </c>
      <c r="E778" s="51">
        <f>IF(INDEX(DarlBelegt,2)=0,0,EOMONTH(INDEX(DarlAuszahlung,2),294)+1)</f>
      </c>
      <c r="F778" s="43">
        <f>IF($E778=0,0,YEAR($E778))</f>
      </c>
      <c r="G778" s="43">
        <f>IF(INDEX(DarlBindung,2)="",1,IF($E778&lt;=INDEX(DarlBindung,2),1,0))</f>
      </c>
      <c r="H778" s="43">
        <f>IF($G778=1,INDEX(DarlSollzins,2),INDEX(DarlAnschluss,2))</f>
      </c>
      <c r="I778" s="43">
        <f>IF(INDEX(DarlBelegt,2)=0,0,IF(INDEX(DarlOhneTilgung,2)=1,IF(INDEX(DarlBindung,2)="",1,$G778),IF($J778&gt;0.005,1,0)))</f>
      </c>
      <c r="J778" s="43">
        <f>IF($I777=0,0,$R777)</f>
      </c>
      <c r="K778" s="43">
        <f>IF($I778=0,0,IF(INDEX(DarlOhneTilgung,2)=1,0,IF(AND(INDEX(DarlTilgStart,2)&gt;0,$E778=INDEX(DarlTilgStart,2)),$J778*($H778+INDEX(DarlTilgung,2))/100/12,IF(AND($G778=0,$G777=1),MAX($K777,$J778*($H778+1)/100/12),$K777))))</f>
      </c>
      <c r="L778" s="43">
        <f>IF($I778=0,0,$J778*$H778/100/12)</f>
      </c>
      <c r="M778" s="43">
        <f>IF($I778=0,0,IF(OR(INDEX(DarlOhneTilgung,2)=1,AND(INDEX(DarlTilgStart,2)&gt;0,$E778&lt;INDEX(DarlTilgStart,2))),0,MIN(MAX(0,$K778-$L778),$J778)))</f>
      </c>
      <c r="N778" s="43">
        <f>IF($I778=0,0,MIN(SUMIFS(SondBetrag,SondDarl,2,SondDatum,"&gt;="&amp;$E778,SondDatum,"&lt;="&amp;EOMONTH($E778,0)),$J778-$M778))</f>
      </c>
      <c r="O778" s="43">
        <f>IF($I778=0,0,INDEX(DarlErsatzRate,2))</f>
      </c>
      <c r="P778" s="43">
        <f>IF($I778=0,0,$Q777*INDEX(DarlErsatzZins,2))</f>
      </c>
      <c r="Q778" s="43">
        <f>IF($I778=0,0,$Q777+$P778+$O778)</f>
      </c>
      <c r="R778" s="43">
        <f>IF($I778=0,0,$J778-$M778-$N778)</f>
      </c>
    </row>
    <row r="779">
      <c r="A779"/>
      <c r="B779">
        <v>2</v>
      </c>
      <c r="C779" s="43">
        <f>INDEX(DarlObj,2)</f>
      </c>
      <c r="D779">
        <v>296</v>
      </c>
      <c r="E779" s="51">
        <f>IF(INDEX(DarlBelegt,2)=0,0,EOMONTH(INDEX(DarlAuszahlung,2),295)+1)</f>
      </c>
      <c r="F779" s="43">
        <f>IF($E779=0,0,YEAR($E779))</f>
      </c>
      <c r="G779" s="43">
        <f>IF(INDEX(DarlBindung,2)="",1,IF($E779&lt;=INDEX(DarlBindung,2),1,0))</f>
      </c>
      <c r="H779" s="43">
        <f>IF($G779=1,INDEX(DarlSollzins,2),INDEX(DarlAnschluss,2))</f>
      </c>
      <c r="I779" s="43">
        <f>IF(INDEX(DarlBelegt,2)=0,0,IF(INDEX(DarlOhneTilgung,2)=1,IF(INDEX(DarlBindung,2)="",1,$G779),IF($J779&gt;0.005,1,0)))</f>
      </c>
      <c r="J779" s="43">
        <f>IF($I778=0,0,$R778)</f>
      </c>
      <c r="K779" s="43">
        <f>IF($I779=0,0,IF(INDEX(DarlOhneTilgung,2)=1,0,IF(AND(INDEX(DarlTilgStart,2)&gt;0,$E779=INDEX(DarlTilgStart,2)),$J779*($H779+INDEX(DarlTilgung,2))/100/12,IF(AND($G779=0,$G778=1),MAX($K778,$J779*($H779+1)/100/12),$K778))))</f>
      </c>
      <c r="L779" s="43">
        <f>IF($I779=0,0,$J779*$H779/100/12)</f>
      </c>
      <c r="M779" s="43">
        <f>IF($I779=0,0,IF(OR(INDEX(DarlOhneTilgung,2)=1,AND(INDEX(DarlTilgStart,2)&gt;0,$E779&lt;INDEX(DarlTilgStart,2))),0,MIN(MAX(0,$K779-$L779),$J779)))</f>
      </c>
      <c r="N779" s="43">
        <f>IF($I779=0,0,MIN(SUMIFS(SondBetrag,SondDarl,2,SondDatum,"&gt;="&amp;$E779,SondDatum,"&lt;="&amp;EOMONTH($E779,0)),$J779-$M779))</f>
      </c>
      <c r="O779" s="43">
        <f>IF($I779=0,0,INDEX(DarlErsatzRate,2))</f>
      </c>
      <c r="P779" s="43">
        <f>IF($I779=0,0,$Q778*INDEX(DarlErsatzZins,2))</f>
      </c>
      <c r="Q779" s="43">
        <f>IF($I779=0,0,$Q778+$P779+$O779)</f>
      </c>
      <c r="R779" s="43">
        <f>IF($I779=0,0,$J779-$M779-$N779)</f>
      </c>
    </row>
    <row r="780">
      <c r="A780"/>
      <c r="B780">
        <v>2</v>
      </c>
      <c r="C780" s="43">
        <f>INDEX(DarlObj,2)</f>
      </c>
      <c r="D780">
        <v>297</v>
      </c>
      <c r="E780" s="51">
        <f>IF(INDEX(DarlBelegt,2)=0,0,EOMONTH(INDEX(DarlAuszahlung,2),296)+1)</f>
      </c>
      <c r="F780" s="43">
        <f>IF($E780=0,0,YEAR($E780))</f>
      </c>
      <c r="G780" s="43">
        <f>IF(INDEX(DarlBindung,2)="",1,IF($E780&lt;=INDEX(DarlBindung,2),1,0))</f>
      </c>
      <c r="H780" s="43">
        <f>IF($G780=1,INDEX(DarlSollzins,2),INDEX(DarlAnschluss,2))</f>
      </c>
      <c r="I780" s="43">
        <f>IF(INDEX(DarlBelegt,2)=0,0,IF(INDEX(DarlOhneTilgung,2)=1,IF(INDEX(DarlBindung,2)="",1,$G780),IF($J780&gt;0.005,1,0)))</f>
      </c>
      <c r="J780" s="43">
        <f>IF($I779=0,0,$R779)</f>
      </c>
      <c r="K780" s="43">
        <f>IF($I780=0,0,IF(INDEX(DarlOhneTilgung,2)=1,0,IF(AND(INDEX(DarlTilgStart,2)&gt;0,$E780=INDEX(DarlTilgStart,2)),$J780*($H780+INDEX(DarlTilgung,2))/100/12,IF(AND($G780=0,$G779=1),MAX($K779,$J780*($H780+1)/100/12),$K779))))</f>
      </c>
      <c r="L780" s="43">
        <f>IF($I780=0,0,$J780*$H780/100/12)</f>
      </c>
      <c r="M780" s="43">
        <f>IF($I780=0,0,IF(OR(INDEX(DarlOhneTilgung,2)=1,AND(INDEX(DarlTilgStart,2)&gt;0,$E780&lt;INDEX(DarlTilgStart,2))),0,MIN(MAX(0,$K780-$L780),$J780)))</f>
      </c>
      <c r="N780" s="43">
        <f>IF($I780=0,0,MIN(SUMIFS(SondBetrag,SondDarl,2,SondDatum,"&gt;="&amp;$E780,SondDatum,"&lt;="&amp;EOMONTH($E780,0)),$J780-$M780))</f>
      </c>
      <c r="O780" s="43">
        <f>IF($I780=0,0,INDEX(DarlErsatzRate,2))</f>
      </c>
      <c r="P780" s="43">
        <f>IF($I780=0,0,$Q779*INDEX(DarlErsatzZins,2))</f>
      </c>
      <c r="Q780" s="43">
        <f>IF($I780=0,0,$Q779+$P780+$O780)</f>
      </c>
      <c r="R780" s="43">
        <f>IF($I780=0,0,$J780-$M780-$N780)</f>
      </c>
    </row>
    <row r="781">
      <c r="A781"/>
      <c r="B781">
        <v>2</v>
      </c>
      <c r="C781" s="43">
        <f>INDEX(DarlObj,2)</f>
      </c>
      <c r="D781">
        <v>298</v>
      </c>
      <c r="E781" s="51">
        <f>IF(INDEX(DarlBelegt,2)=0,0,EOMONTH(INDEX(DarlAuszahlung,2),297)+1)</f>
      </c>
      <c r="F781" s="43">
        <f>IF($E781=0,0,YEAR($E781))</f>
      </c>
      <c r="G781" s="43">
        <f>IF(INDEX(DarlBindung,2)="",1,IF($E781&lt;=INDEX(DarlBindung,2),1,0))</f>
      </c>
      <c r="H781" s="43">
        <f>IF($G781=1,INDEX(DarlSollzins,2),INDEX(DarlAnschluss,2))</f>
      </c>
      <c r="I781" s="43">
        <f>IF(INDEX(DarlBelegt,2)=0,0,IF(INDEX(DarlOhneTilgung,2)=1,IF(INDEX(DarlBindung,2)="",1,$G781),IF($J781&gt;0.005,1,0)))</f>
      </c>
      <c r="J781" s="43">
        <f>IF($I780=0,0,$R780)</f>
      </c>
      <c r="K781" s="43">
        <f>IF($I781=0,0,IF(INDEX(DarlOhneTilgung,2)=1,0,IF(AND(INDEX(DarlTilgStart,2)&gt;0,$E781=INDEX(DarlTilgStart,2)),$J781*($H781+INDEX(DarlTilgung,2))/100/12,IF(AND($G781=0,$G780=1),MAX($K780,$J781*($H781+1)/100/12),$K780))))</f>
      </c>
      <c r="L781" s="43">
        <f>IF($I781=0,0,$J781*$H781/100/12)</f>
      </c>
      <c r="M781" s="43">
        <f>IF($I781=0,0,IF(OR(INDEX(DarlOhneTilgung,2)=1,AND(INDEX(DarlTilgStart,2)&gt;0,$E781&lt;INDEX(DarlTilgStart,2))),0,MIN(MAX(0,$K781-$L781),$J781)))</f>
      </c>
      <c r="N781" s="43">
        <f>IF($I781=0,0,MIN(SUMIFS(SondBetrag,SondDarl,2,SondDatum,"&gt;="&amp;$E781,SondDatum,"&lt;="&amp;EOMONTH($E781,0)),$J781-$M781))</f>
      </c>
      <c r="O781" s="43">
        <f>IF($I781=0,0,INDEX(DarlErsatzRate,2))</f>
      </c>
      <c r="P781" s="43">
        <f>IF($I781=0,0,$Q780*INDEX(DarlErsatzZins,2))</f>
      </c>
      <c r="Q781" s="43">
        <f>IF($I781=0,0,$Q780+$P781+$O781)</f>
      </c>
      <c r="R781" s="43">
        <f>IF($I781=0,0,$J781-$M781-$N781)</f>
      </c>
    </row>
    <row r="782">
      <c r="A782"/>
      <c r="B782">
        <v>2</v>
      </c>
      <c r="C782" s="43">
        <f>INDEX(DarlObj,2)</f>
      </c>
      <c r="D782">
        <v>299</v>
      </c>
      <c r="E782" s="51">
        <f>IF(INDEX(DarlBelegt,2)=0,0,EOMONTH(INDEX(DarlAuszahlung,2),298)+1)</f>
      </c>
      <c r="F782" s="43">
        <f>IF($E782=0,0,YEAR($E782))</f>
      </c>
      <c r="G782" s="43">
        <f>IF(INDEX(DarlBindung,2)="",1,IF($E782&lt;=INDEX(DarlBindung,2),1,0))</f>
      </c>
      <c r="H782" s="43">
        <f>IF($G782=1,INDEX(DarlSollzins,2),INDEX(DarlAnschluss,2))</f>
      </c>
      <c r="I782" s="43">
        <f>IF(INDEX(DarlBelegt,2)=0,0,IF(INDEX(DarlOhneTilgung,2)=1,IF(INDEX(DarlBindung,2)="",1,$G782),IF($J782&gt;0.005,1,0)))</f>
      </c>
      <c r="J782" s="43">
        <f>IF($I781=0,0,$R781)</f>
      </c>
      <c r="K782" s="43">
        <f>IF($I782=0,0,IF(INDEX(DarlOhneTilgung,2)=1,0,IF(AND(INDEX(DarlTilgStart,2)&gt;0,$E782=INDEX(DarlTilgStart,2)),$J782*($H782+INDEX(DarlTilgung,2))/100/12,IF(AND($G782=0,$G781=1),MAX($K781,$J782*($H782+1)/100/12),$K781))))</f>
      </c>
      <c r="L782" s="43">
        <f>IF($I782=0,0,$J782*$H782/100/12)</f>
      </c>
      <c r="M782" s="43">
        <f>IF($I782=0,0,IF(OR(INDEX(DarlOhneTilgung,2)=1,AND(INDEX(DarlTilgStart,2)&gt;0,$E782&lt;INDEX(DarlTilgStart,2))),0,MIN(MAX(0,$K782-$L782),$J782)))</f>
      </c>
      <c r="N782" s="43">
        <f>IF($I782=0,0,MIN(SUMIFS(SondBetrag,SondDarl,2,SondDatum,"&gt;="&amp;$E782,SondDatum,"&lt;="&amp;EOMONTH($E782,0)),$J782-$M782))</f>
      </c>
      <c r="O782" s="43">
        <f>IF($I782=0,0,INDEX(DarlErsatzRate,2))</f>
      </c>
      <c r="P782" s="43">
        <f>IF($I782=0,0,$Q781*INDEX(DarlErsatzZins,2))</f>
      </c>
      <c r="Q782" s="43">
        <f>IF($I782=0,0,$Q781+$P782+$O782)</f>
      </c>
      <c r="R782" s="43">
        <f>IF($I782=0,0,$J782-$M782-$N782)</f>
      </c>
    </row>
    <row r="783">
      <c r="A783"/>
      <c r="B783">
        <v>2</v>
      </c>
      <c r="C783" s="43">
        <f>INDEX(DarlObj,2)</f>
      </c>
      <c r="D783">
        <v>300</v>
      </c>
      <c r="E783" s="51">
        <f>IF(INDEX(DarlBelegt,2)=0,0,EOMONTH(INDEX(DarlAuszahlung,2),299)+1)</f>
      </c>
      <c r="F783" s="43">
        <f>IF($E783=0,0,YEAR($E783))</f>
      </c>
      <c r="G783" s="43">
        <f>IF(INDEX(DarlBindung,2)="",1,IF($E783&lt;=INDEX(DarlBindung,2),1,0))</f>
      </c>
      <c r="H783" s="43">
        <f>IF($G783=1,INDEX(DarlSollzins,2),INDEX(DarlAnschluss,2))</f>
      </c>
      <c r="I783" s="43">
        <f>IF(INDEX(DarlBelegt,2)=0,0,IF(INDEX(DarlOhneTilgung,2)=1,IF(INDEX(DarlBindung,2)="",1,$G783),IF($J783&gt;0.005,1,0)))</f>
      </c>
      <c r="J783" s="43">
        <f>IF($I782=0,0,$R782)</f>
      </c>
      <c r="K783" s="43">
        <f>IF($I783=0,0,IF(INDEX(DarlOhneTilgung,2)=1,0,IF(AND(INDEX(DarlTilgStart,2)&gt;0,$E783=INDEX(DarlTilgStart,2)),$J783*($H783+INDEX(DarlTilgung,2))/100/12,IF(AND($G783=0,$G782=1),MAX($K782,$J783*($H783+1)/100/12),$K782))))</f>
      </c>
      <c r="L783" s="43">
        <f>IF($I783=0,0,$J783*$H783/100/12)</f>
      </c>
      <c r="M783" s="43">
        <f>IF($I783=0,0,IF(OR(INDEX(DarlOhneTilgung,2)=1,AND(INDEX(DarlTilgStart,2)&gt;0,$E783&lt;INDEX(DarlTilgStart,2))),0,MIN(MAX(0,$K783-$L783),$J783)))</f>
      </c>
      <c r="N783" s="43">
        <f>IF($I783=0,0,MIN(SUMIFS(SondBetrag,SondDarl,2,SondDatum,"&gt;="&amp;$E783,SondDatum,"&lt;="&amp;EOMONTH($E783,0)),$J783-$M783))</f>
      </c>
      <c r="O783" s="43">
        <f>IF($I783=0,0,INDEX(DarlErsatzRate,2))</f>
      </c>
      <c r="P783" s="43">
        <f>IF($I783=0,0,$Q782*INDEX(DarlErsatzZins,2))</f>
      </c>
      <c r="Q783" s="43">
        <f>IF($I783=0,0,$Q782+$P783+$O783)</f>
      </c>
      <c r="R783" s="43">
        <f>IF($I783=0,0,$J783-$M783-$N783)</f>
      </c>
    </row>
    <row r="784">
      <c r="A784"/>
      <c r="B784">
        <v>2</v>
      </c>
      <c r="C784" s="43">
        <f>INDEX(DarlObj,2)</f>
      </c>
      <c r="D784">
        <v>301</v>
      </c>
      <c r="E784" s="51">
        <f>IF(INDEX(DarlBelegt,2)=0,0,EOMONTH(INDEX(DarlAuszahlung,2),300)+1)</f>
      </c>
      <c r="F784" s="43">
        <f>IF($E784=0,0,YEAR($E784))</f>
      </c>
      <c r="G784" s="43">
        <f>IF(INDEX(DarlBindung,2)="",1,IF($E784&lt;=INDEX(DarlBindung,2),1,0))</f>
      </c>
      <c r="H784" s="43">
        <f>IF($G784=1,INDEX(DarlSollzins,2),INDEX(DarlAnschluss,2))</f>
      </c>
      <c r="I784" s="43">
        <f>IF(INDEX(DarlBelegt,2)=0,0,IF(INDEX(DarlOhneTilgung,2)=1,IF(INDEX(DarlBindung,2)="",1,$G784),IF($J784&gt;0.005,1,0)))</f>
      </c>
      <c r="J784" s="43">
        <f>IF($I783=0,0,$R783)</f>
      </c>
      <c r="K784" s="43">
        <f>IF($I784=0,0,IF(INDEX(DarlOhneTilgung,2)=1,0,IF(AND(INDEX(DarlTilgStart,2)&gt;0,$E784=INDEX(DarlTilgStart,2)),$J784*($H784+INDEX(DarlTilgung,2))/100/12,IF(AND($G784=0,$G783=1),MAX($K783,$J784*($H784+1)/100/12),$K783))))</f>
      </c>
      <c r="L784" s="43">
        <f>IF($I784=0,0,$J784*$H784/100/12)</f>
      </c>
      <c r="M784" s="43">
        <f>IF($I784=0,0,IF(OR(INDEX(DarlOhneTilgung,2)=1,AND(INDEX(DarlTilgStart,2)&gt;0,$E784&lt;INDEX(DarlTilgStart,2))),0,MIN(MAX(0,$K784-$L784),$J784)))</f>
      </c>
      <c r="N784" s="43">
        <f>IF($I784=0,0,MIN(SUMIFS(SondBetrag,SondDarl,2,SondDatum,"&gt;="&amp;$E784,SondDatum,"&lt;="&amp;EOMONTH($E784,0)),$J784-$M784))</f>
      </c>
      <c r="O784" s="43">
        <f>IF($I784=0,0,INDEX(DarlErsatzRate,2))</f>
      </c>
      <c r="P784" s="43">
        <f>IF($I784=0,0,$Q783*INDEX(DarlErsatzZins,2))</f>
      </c>
      <c r="Q784" s="43">
        <f>IF($I784=0,0,$Q783+$P784+$O784)</f>
      </c>
      <c r="R784" s="43">
        <f>IF($I784=0,0,$J784-$M784-$N784)</f>
      </c>
    </row>
    <row r="785">
      <c r="A785"/>
      <c r="B785">
        <v>2</v>
      </c>
      <c r="C785" s="43">
        <f>INDEX(DarlObj,2)</f>
      </c>
      <c r="D785">
        <v>302</v>
      </c>
      <c r="E785" s="51">
        <f>IF(INDEX(DarlBelegt,2)=0,0,EOMONTH(INDEX(DarlAuszahlung,2),301)+1)</f>
      </c>
      <c r="F785" s="43">
        <f>IF($E785=0,0,YEAR($E785))</f>
      </c>
      <c r="G785" s="43">
        <f>IF(INDEX(DarlBindung,2)="",1,IF($E785&lt;=INDEX(DarlBindung,2),1,0))</f>
      </c>
      <c r="H785" s="43">
        <f>IF($G785=1,INDEX(DarlSollzins,2),INDEX(DarlAnschluss,2))</f>
      </c>
      <c r="I785" s="43">
        <f>IF(INDEX(DarlBelegt,2)=0,0,IF(INDEX(DarlOhneTilgung,2)=1,IF(INDEX(DarlBindung,2)="",1,$G785),IF($J785&gt;0.005,1,0)))</f>
      </c>
      <c r="J785" s="43">
        <f>IF($I784=0,0,$R784)</f>
      </c>
      <c r="K785" s="43">
        <f>IF($I785=0,0,IF(INDEX(DarlOhneTilgung,2)=1,0,IF(AND(INDEX(DarlTilgStart,2)&gt;0,$E785=INDEX(DarlTilgStart,2)),$J785*($H785+INDEX(DarlTilgung,2))/100/12,IF(AND($G785=0,$G784=1),MAX($K784,$J785*($H785+1)/100/12),$K784))))</f>
      </c>
      <c r="L785" s="43">
        <f>IF($I785=0,0,$J785*$H785/100/12)</f>
      </c>
      <c r="M785" s="43">
        <f>IF($I785=0,0,IF(OR(INDEX(DarlOhneTilgung,2)=1,AND(INDEX(DarlTilgStart,2)&gt;0,$E785&lt;INDEX(DarlTilgStart,2))),0,MIN(MAX(0,$K785-$L785),$J785)))</f>
      </c>
      <c r="N785" s="43">
        <f>IF($I785=0,0,MIN(SUMIFS(SondBetrag,SondDarl,2,SondDatum,"&gt;="&amp;$E785,SondDatum,"&lt;="&amp;EOMONTH($E785,0)),$J785-$M785))</f>
      </c>
      <c r="O785" s="43">
        <f>IF($I785=0,0,INDEX(DarlErsatzRate,2))</f>
      </c>
      <c r="P785" s="43">
        <f>IF($I785=0,0,$Q784*INDEX(DarlErsatzZins,2))</f>
      </c>
      <c r="Q785" s="43">
        <f>IF($I785=0,0,$Q784+$P785+$O785)</f>
      </c>
      <c r="R785" s="43">
        <f>IF($I785=0,0,$J785-$M785-$N785)</f>
      </c>
    </row>
    <row r="786">
      <c r="A786"/>
      <c r="B786">
        <v>2</v>
      </c>
      <c r="C786" s="43">
        <f>INDEX(DarlObj,2)</f>
      </c>
      <c r="D786">
        <v>303</v>
      </c>
      <c r="E786" s="51">
        <f>IF(INDEX(DarlBelegt,2)=0,0,EOMONTH(INDEX(DarlAuszahlung,2),302)+1)</f>
      </c>
      <c r="F786" s="43">
        <f>IF($E786=0,0,YEAR($E786))</f>
      </c>
      <c r="G786" s="43">
        <f>IF(INDEX(DarlBindung,2)="",1,IF($E786&lt;=INDEX(DarlBindung,2),1,0))</f>
      </c>
      <c r="H786" s="43">
        <f>IF($G786=1,INDEX(DarlSollzins,2),INDEX(DarlAnschluss,2))</f>
      </c>
      <c r="I786" s="43">
        <f>IF(INDEX(DarlBelegt,2)=0,0,IF(INDEX(DarlOhneTilgung,2)=1,IF(INDEX(DarlBindung,2)="",1,$G786),IF($J786&gt;0.005,1,0)))</f>
      </c>
      <c r="J786" s="43">
        <f>IF($I785=0,0,$R785)</f>
      </c>
      <c r="K786" s="43">
        <f>IF($I786=0,0,IF(INDEX(DarlOhneTilgung,2)=1,0,IF(AND(INDEX(DarlTilgStart,2)&gt;0,$E786=INDEX(DarlTilgStart,2)),$J786*($H786+INDEX(DarlTilgung,2))/100/12,IF(AND($G786=0,$G785=1),MAX($K785,$J786*($H786+1)/100/12),$K785))))</f>
      </c>
      <c r="L786" s="43">
        <f>IF($I786=0,0,$J786*$H786/100/12)</f>
      </c>
      <c r="M786" s="43">
        <f>IF($I786=0,0,IF(OR(INDEX(DarlOhneTilgung,2)=1,AND(INDEX(DarlTilgStart,2)&gt;0,$E786&lt;INDEX(DarlTilgStart,2))),0,MIN(MAX(0,$K786-$L786),$J786)))</f>
      </c>
      <c r="N786" s="43">
        <f>IF($I786=0,0,MIN(SUMIFS(SondBetrag,SondDarl,2,SondDatum,"&gt;="&amp;$E786,SondDatum,"&lt;="&amp;EOMONTH($E786,0)),$J786-$M786))</f>
      </c>
      <c r="O786" s="43">
        <f>IF($I786=0,0,INDEX(DarlErsatzRate,2))</f>
      </c>
      <c r="P786" s="43">
        <f>IF($I786=0,0,$Q785*INDEX(DarlErsatzZins,2))</f>
      </c>
      <c r="Q786" s="43">
        <f>IF($I786=0,0,$Q785+$P786+$O786)</f>
      </c>
      <c r="R786" s="43">
        <f>IF($I786=0,0,$J786-$M786-$N786)</f>
      </c>
    </row>
    <row r="787">
      <c r="A787"/>
      <c r="B787">
        <v>2</v>
      </c>
      <c r="C787" s="43">
        <f>INDEX(DarlObj,2)</f>
      </c>
      <c r="D787">
        <v>304</v>
      </c>
      <c r="E787" s="51">
        <f>IF(INDEX(DarlBelegt,2)=0,0,EOMONTH(INDEX(DarlAuszahlung,2),303)+1)</f>
      </c>
      <c r="F787" s="43">
        <f>IF($E787=0,0,YEAR($E787))</f>
      </c>
      <c r="G787" s="43">
        <f>IF(INDEX(DarlBindung,2)="",1,IF($E787&lt;=INDEX(DarlBindung,2),1,0))</f>
      </c>
      <c r="H787" s="43">
        <f>IF($G787=1,INDEX(DarlSollzins,2),INDEX(DarlAnschluss,2))</f>
      </c>
      <c r="I787" s="43">
        <f>IF(INDEX(DarlBelegt,2)=0,0,IF(INDEX(DarlOhneTilgung,2)=1,IF(INDEX(DarlBindung,2)="",1,$G787),IF($J787&gt;0.005,1,0)))</f>
      </c>
      <c r="J787" s="43">
        <f>IF($I786=0,0,$R786)</f>
      </c>
      <c r="K787" s="43">
        <f>IF($I787=0,0,IF(INDEX(DarlOhneTilgung,2)=1,0,IF(AND(INDEX(DarlTilgStart,2)&gt;0,$E787=INDEX(DarlTilgStart,2)),$J787*($H787+INDEX(DarlTilgung,2))/100/12,IF(AND($G787=0,$G786=1),MAX($K786,$J787*($H787+1)/100/12),$K786))))</f>
      </c>
      <c r="L787" s="43">
        <f>IF($I787=0,0,$J787*$H787/100/12)</f>
      </c>
      <c r="M787" s="43">
        <f>IF($I787=0,0,IF(OR(INDEX(DarlOhneTilgung,2)=1,AND(INDEX(DarlTilgStart,2)&gt;0,$E787&lt;INDEX(DarlTilgStart,2))),0,MIN(MAX(0,$K787-$L787),$J787)))</f>
      </c>
      <c r="N787" s="43">
        <f>IF($I787=0,0,MIN(SUMIFS(SondBetrag,SondDarl,2,SondDatum,"&gt;="&amp;$E787,SondDatum,"&lt;="&amp;EOMONTH($E787,0)),$J787-$M787))</f>
      </c>
      <c r="O787" s="43">
        <f>IF($I787=0,0,INDEX(DarlErsatzRate,2))</f>
      </c>
      <c r="P787" s="43">
        <f>IF($I787=0,0,$Q786*INDEX(DarlErsatzZins,2))</f>
      </c>
      <c r="Q787" s="43">
        <f>IF($I787=0,0,$Q786+$P787+$O787)</f>
      </c>
      <c r="R787" s="43">
        <f>IF($I787=0,0,$J787-$M787-$N787)</f>
      </c>
    </row>
    <row r="788">
      <c r="A788"/>
      <c r="B788">
        <v>2</v>
      </c>
      <c r="C788" s="43">
        <f>INDEX(DarlObj,2)</f>
      </c>
      <c r="D788">
        <v>305</v>
      </c>
      <c r="E788" s="51">
        <f>IF(INDEX(DarlBelegt,2)=0,0,EOMONTH(INDEX(DarlAuszahlung,2),304)+1)</f>
      </c>
      <c r="F788" s="43">
        <f>IF($E788=0,0,YEAR($E788))</f>
      </c>
      <c r="G788" s="43">
        <f>IF(INDEX(DarlBindung,2)="",1,IF($E788&lt;=INDEX(DarlBindung,2),1,0))</f>
      </c>
      <c r="H788" s="43">
        <f>IF($G788=1,INDEX(DarlSollzins,2),INDEX(DarlAnschluss,2))</f>
      </c>
      <c r="I788" s="43">
        <f>IF(INDEX(DarlBelegt,2)=0,0,IF(INDEX(DarlOhneTilgung,2)=1,IF(INDEX(DarlBindung,2)="",1,$G788),IF($J788&gt;0.005,1,0)))</f>
      </c>
      <c r="J788" s="43">
        <f>IF($I787=0,0,$R787)</f>
      </c>
      <c r="K788" s="43">
        <f>IF($I788=0,0,IF(INDEX(DarlOhneTilgung,2)=1,0,IF(AND(INDEX(DarlTilgStart,2)&gt;0,$E788=INDEX(DarlTilgStart,2)),$J788*($H788+INDEX(DarlTilgung,2))/100/12,IF(AND($G788=0,$G787=1),MAX($K787,$J788*($H788+1)/100/12),$K787))))</f>
      </c>
      <c r="L788" s="43">
        <f>IF($I788=0,0,$J788*$H788/100/12)</f>
      </c>
      <c r="M788" s="43">
        <f>IF($I788=0,0,IF(OR(INDEX(DarlOhneTilgung,2)=1,AND(INDEX(DarlTilgStart,2)&gt;0,$E788&lt;INDEX(DarlTilgStart,2))),0,MIN(MAX(0,$K788-$L788),$J788)))</f>
      </c>
      <c r="N788" s="43">
        <f>IF($I788=0,0,MIN(SUMIFS(SondBetrag,SondDarl,2,SondDatum,"&gt;="&amp;$E788,SondDatum,"&lt;="&amp;EOMONTH($E788,0)),$J788-$M788))</f>
      </c>
      <c r="O788" s="43">
        <f>IF($I788=0,0,INDEX(DarlErsatzRate,2))</f>
      </c>
      <c r="P788" s="43">
        <f>IF($I788=0,0,$Q787*INDEX(DarlErsatzZins,2))</f>
      </c>
      <c r="Q788" s="43">
        <f>IF($I788=0,0,$Q787+$P788+$O788)</f>
      </c>
      <c r="R788" s="43">
        <f>IF($I788=0,0,$J788-$M788-$N788)</f>
      </c>
    </row>
    <row r="789">
      <c r="A789"/>
      <c r="B789">
        <v>2</v>
      </c>
      <c r="C789" s="43">
        <f>INDEX(DarlObj,2)</f>
      </c>
      <c r="D789">
        <v>306</v>
      </c>
      <c r="E789" s="51">
        <f>IF(INDEX(DarlBelegt,2)=0,0,EOMONTH(INDEX(DarlAuszahlung,2),305)+1)</f>
      </c>
      <c r="F789" s="43">
        <f>IF($E789=0,0,YEAR($E789))</f>
      </c>
      <c r="G789" s="43">
        <f>IF(INDEX(DarlBindung,2)="",1,IF($E789&lt;=INDEX(DarlBindung,2),1,0))</f>
      </c>
      <c r="H789" s="43">
        <f>IF($G789=1,INDEX(DarlSollzins,2),INDEX(DarlAnschluss,2))</f>
      </c>
      <c r="I789" s="43">
        <f>IF(INDEX(DarlBelegt,2)=0,0,IF(INDEX(DarlOhneTilgung,2)=1,IF(INDEX(DarlBindung,2)="",1,$G789),IF($J789&gt;0.005,1,0)))</f>
      </c>
      <c r="J789" s="43">
        <f>IF($I788=0,0,$R788)</f>
      </c>
      <c r="K789" s="43">
        <f>IF($I789=0,0,IF(INDEX(DarlOhneTilgung,2)=1,0,IF(AND(INDEX(DarlTilgStart,2)&gt;0,$E789=INDEX(DarlTilgStart,2)),$J789*($H789+INDEX(DarlTilgung,2))/100/12,IF(AND($G789=0,$G788=1),MAX($K788,$J789*($H789+1)/100/12),$K788))))</f>
      </c>
      <c r="L789" s="43">
        <f>IF($I789=0,0,$J789*$H789/100/12)</f>
      </c>
      <c r="M789" s="43">
        <f>IF($I789=0,0,IF(OR(INDEX(DarlOhneTilgung,2)=1,AND(INDEX(DarlTilgStart,2)&gt;0,$E789&lt;INDEX(DarlTilgStart,2))),0,MIN(MAX(0,$K789-$L789),$J789)))</f>
      </c>
      <c r="N789" s="43">
        <f>IF($I789=0,0,MIN(SUMIFS(SondBetrag,SondDarl,2,SondDatum,"&gt;="&amp;$E789,SondDatum,"&lt;="&amp;EOMONTH($E789,0)),$J789-$M789))</f>
      </c>
      <c r="O789" s="43">
        <f>IF($I789=0,0,INDEX(DarlErsatzRate,2))</f>
      </c>
      <c r="P789" s="43">
        <f>IF($I789=0,0,$Q788*INDEX(DarlErsatzZins,2))</f>
      </c>
      <c r="Q789" s="43">
        <f>IF($I789=0,0,$Q788+$P789+$O789)</f>
      </c>
      <c r="R789" s="43">
        <f>IF($I789=0,0,$J789-$M789-$N789)</f>
      </c>
    </row>
    <row r="790">
      <c r="A790"/>
      <c r="B790">
        <v>2</v>
      </c>
      <c r="C790" s="43">
        <f>INDEX(DarlObj,2)</f>
      </c>
      <c r="D790">
        <v>307</v>
      </c>
      <c r="E790" s="51">
        <f>IF(INDEX(DarlBelegt,2)=0,0,EOMONTH(INDEX(DarlAuszahlung,2),306)+1)</f>
      </c>
      <c r="F790" s="43">
        <f>IF($E790=0,0,YEAR($E790))</f>
      </c>
      <c r="G790" s="43">
        <f>IF(INDEX(DarlBindung,2)="",1,IF($E790&lt;=INDEX(DarlBindung,2),1,0))</f>
      </c>
      <c r="H790" s="43">
        <f>IF($G790=1,INDEX(DarlSollzins,2),INDEX(DarlAnschluss,2))</f>
      </c>
      <c r="I790" s="43">
        <f>IF(INDEX(DarlBelegt,2)=0,0,IF(INDEX(DarlOhneTilgung,2)=1,IF(INDEX(DarlBindung,2)="",1,$G790),IF($J790&gt;0.005,1,0)))</f>
      </c>
      <c r="J790" s="43">
        <f>IF($I789=0,0,$R789)</f>
      </c>
      <c r="K790" s="43">
        <f>IF($I790=0,0,IF(INDEX(DarlOhneTilgung,2)=1,0,IF(AND(INDEX(DarlTilgStart,2)&gt;0,$E790=INDEX(DarlTilgStart,2)),$J790*($H790+INDEX(DarlTilgung,2))/100/12,IF(AND($G790=0,$G789=1),MAX($K789,$J790*($H790+1)/100/12),$K789))))</f>
      </c>
      <c r="L790" s="43">
        <f>IF($I790=0,0,$J790*$H790/100/12)</f>
      </c>
      <c r="M790" s="43">
        <f>IF($I790=0,0,IF(OR(INDEX(DarlOhneTilgung,2)=1,AND(INDEX(DarlTilgStart,2)&gt;0,$E790&lt;INDEX(DarlTilgStart,2))),0,MIN(MAX(0,$K790-$L790),$J790)))</f>
      </c>
      <c r="N790" s="43">
        <f>IF($I790=0,0,MIN(SUMIFS(SondBetrag,SondDarl,2,SondDatum,"&gt;="&amp;$E790,SondDatum,"&lt;="&amp;EOMONTH($E790,0)),$J790-$M790))</f>
      </c>
      <c r="O790" s="43">
        <f>IF($I790=0,0,INDEX(DarlErsatzRate,2))</f>
      </c>
      <c r="P790" s="43">
        <f>IF($I790=0,0,$Q789*INDEX(DarlErsatzZins,2))</f>
      </c>
      <c r="Q790" s="43">
        <f>IF($I790=0,0,$Q789+$P790+$O790)</f>
      </c>
      <c r="R790" s="43">
        <f>IF($I790=0,0,$J790-$M790-$N790)</f>
      </c>
    </row>
    <row r="791">
      <c r="A791"/>
      <c r="B791">
        <v>2</v>
      </c>
      <c r="C791" s="43">
        <f>INDEX(DarlObj,2)</f>
      </c>
      <c r="D791">
        <v>308</v>
      </c>
      <c r="E791" s="51">
        <f>IF(INDEX(DarlBelegt,2)=0,0,EOMONTH(INDEX(DarlAuszahlung,2),307)+1)</f>
      </c>
      <c r="F791" s="43">
        <f>IF($E791=0,0,YEAR($E791))</f>
      </c>
      <c r="G791" s="43">
        <f>IF(INDEX(DarlBindung,2)="",1,IF($E791&lt;=INDEX(DarlBindung,2),1,0))</f>
      </c>
      <c r="H791" s="43">
        <f>IF($G791=1,INDEX(DarlSollzins,2),INDEX(DarlAnschluss,2))</f>
      </c>
      <c r="I791" s="43">
        <f>IF(INDEX(DarlBelegt,2)=0,0,IF(INDEX(DarlOhneTilgung,2)=1,IF(INDEX(DarlBindung,2)="",1,$G791),IF($J791&gt;0.005,1,0)))</f>
      </c>
      <c r="J791" s="43">
        <f>IF($I790=0,0,$R790)</f>
      </c>
      <c r="K791" s="43">
        <f>IF($I791=0,0,IF(INDEX(DarlOhneTilgung,2)=1,0,IF(AND(INDEX(DarlTilgStart,2)&gt;0,$E791=INDEX(DarlTilgStart,2)),$J791*($H791+INDEX(DarlTilgung,2))/100/12,IF(AND($G791=0,$G790=1),MAX($K790,$J791*($H791+1)/100/12),$K790))))</f>
      </c>
      <c r="L791" s="43">
        <f>IF($I791=0,0,$J791*$H791/100/12)</f>
      </c>
      <c r="M791" s="43">
        <f>IF($I791=0,0,IF(OR(INDEX(DarlOhneTilgung,2)=1,AND(INDEX(DarlTilgStart,2)&gt;0,$E791&lt;INDEX(DarlTilgStart,2))),0,MIN(MAX(0,$K791-$L791),$J791)))</f>
      </c>
      <c r="N791" s="43">
        <f>IF($I791=0,0,MIN(SUMIFS(SondBetrag,SondDarl,2,SondDatum,"&gt;="&amp;$E791,SondDatum,"&lt;="&amp;EOMONTH($E791,0)),$J791-$M791))</f>
      </c>
      <c r="O791" s="43">
        <f>IF($I791=0,0,INDEX(DarlErsatzRate,2))</f>
      </c>
      <c r="P791" s="43">
        <f>IF($I791=0,0,$Q790*INDEX(DarlErsatzZins,2))</f>
      </c>
      <c r="Q791" s="43">
        <f>IF($I791=0,0,$Q790+$P791+$O791)</f>
      </c>
      <c r="R791" s="43">
        <f>IF($I791=0,0,$J791-$M791-$N791)</f>
      </c>
    </row>
    <row r="792">
      <c r="A792"/>
      <c r="B792">
        <v>2</v>
      </c>
      <c r="C792" s="43">
        <f>INDEX(DarlObj,2)</f>
      </c>
      <c r="D792">
        <v>309</v>
      </c>
      <c r="E792" s="51">
        <f>IF(INDEX(DarlBelegt,2)=0,0,EOMONTH(INDEX(DarlAuszahlung,2),308)+1)</f>
      </c>
      <c r="F792" s="43">
        <f>IF($E792=0,0,YEAR($E792))</f>
      </c>
      <c r="G792" s="43">
        <f>IF(INDEX(DarlBindung,2)="",1,IF($E792&lt;=INDEX(DarlBindung,2),1,0))</f>
      </c>
      <c r="H792" s="43">
        <f>IF($G792=1,INDEX(DarlSollzins,2),INDEX(DarlAnschluss,2))</f>
      </c>
      <c r="I792" s="43">
        <f>IF(INDEX(DarlBelegt,2)=0,0,IF(INDEX(DarlOhneTilgung,2)=1,IF(INDEX(DarlBindung,2)="",1,$G792),IF($J792&gt;0.005,1,0)))</f>
      </c>
      <c r="J792" s="43">
        <f>IF($I791=0,0,$R791)</f>
      </c>
      <c r="K792" s="43">
        <f>IF($I792=0,0,IF(INDEX(DarlOhneTilgung,2)=1,0,IF(AND(INDEX(DarlTilgStart,2)&gt;0,$E792=INDEX(DarlTilgStart,2)),$J792*($H792+INDEX(DarlTilgung,2))/100/12,IF(AND($G792=0,$G791=1),MAX($K791,$J792*($H792+1)/100/12),$K791))))</f>
      </c>
      <c r="L792" s="43">
        <f>IF($I792=0,0,$J792*$H792/100/12)</f>
      </c>
      <c r="M792" s="43">
        <f>IF($I792=0,0,IF(OR(INDEX(DarlOhneTilgung,2)=1,AND(INDEX(DarlTilgStart,2)&gt;0,$E792&lt;INDEX(DarlTilgStart,2))),0,MIN(MAX(0,$K792-$L792),$J792)))</f>
      </c>
      <c r="N792" s="43">
        <f>IF($I792=0,0,MIN(SUMIFS(SondBetrag,SondDarl,2,SondDatum,"&gt;="&amp;$E792,SondDatum,"&lt;="&amp;EOMONTH($E792,0)),$J792-$M792))</f>
      </c>
      <c r="O792" s="43">
        <f>IF($I792=0,0,INDEX(DarlErsatzRate,2))</f>
      </c>
      <c r="P792" s="43">
        <f>IF($I792=0,0,$Q791*INDEX(DarlErsatzZins,2))</f>
      </c>
      <c r="Q792" s="43">
        <f>IF($I792=0,0,$Q791+$P792+$O792)</f>
      </c>
      <c r="R792" s="43">
        <f>IF($I792=0,0,$J792-$M792-$N792)</f>
      </c>
    </row>
    <row r="793">
      <c r="A793"/>
      <c r="B793">
        <v>2</v>
      </c>
      <c r="C793" s="43">
        <f>INDEX(DarlObj,2)</f>
      </c>
      <c r="D793">
        <v>310</v>
      </c>
      <c r="E793" s="51">
        <f>IF(INDEX(DarlBelegt,2)=0,0,EOMONTH(INDEX(DarlAuszahlung,2),309)+1)</f>
      </c>
      <c r="F793" s="43">
        <f>IF($E793=0,0,YEAR($E793))</f>
      </c>
      <c r="G793" s="43">
        <f>IF(INDEX(DarlBindung,2)="",1,IF($E793&lt;=INDEX(DarlBindung,2),1,0))</f>
      </c>
      <c r="H793" s="43">
        <f>IF($G793=1,INDEX(DarlSollzins,2),INDEX(DarlAnschluss,2))</f>
      </c>
      <c r="I793" s="43">
        <f>IF(INDEX(DarlBelegt,2)=0,0,IF(INDEX(DarlOhneTilgung,2)=1,IF(INDEX(DarlBindung,2)="",1,$G793),IF($J793&gt;0.005,1,0)))</f>
      </c>
      <c r="J793" s="43">
        <f>IF($I792=0,0,$R792)</f>
      </c>
      <c r="K793" s="43">
        <f>IF($I793=0,0,IF(INDEX(DarlOhneTilgung,2)=1,0,IF(AND(INDEX(DarlTilgStart,2)&gt;0,$E793=INDEX(DarlTilgStart,2)),$J793*($H793+INDEX(DarlTilgung,2))/100/12,IF(AND($G793=0,$G792=1),MAX($K792,$J793*($H793+1)/100/12),$K792))))</f>
      </c>
      <c r="L793" s="43">
        <f>IF($I793=0,0,$J793*$H793/100/12)</f>
      </c>
      <c r="M793" s="43">
        <f>IF($I793=0,0,IF(OR(INDEX(DarlOhneTilgung,2)=1,AND(INDEX(DarlTilgStart,2)&gt;0,$E793&lt;INDEX(DarlTilgStart,2))),0,MIN(MAX(0,$K793-$L793),$J793)))</f>
      </c>
      <c r="N793" s="43">
        <f>IF($I793=0,0,MIN(SUMIFS(SondBetrag,SondDarl,2,SondDatum,"&gt;="&amp;$E793,SondDatum,"&lt;="&amp;EOMONTH($E793,0)),$J793-$M793))</f>
      </c>
      <c r="O793" s="43">
        <f>IF($I793=0,0,INDEX(DarlErsatzRate,2))</f>
      </c>
      <c r="P793" s="43">
        <f>IF($I793=0,0,$Q792*INDEX(DarlErsatzZins,2))</f>
      </c>
      <c r="Q793" s="43">
        <f>IF($I793=0,0,$Q792+$P793+$O793)</f>
      </c>
      <c r="R793" s="43">
        <f>IF($I793=0,0,$J793-$M793-$N793)</f>
      </c>
    </row>
    <row r="794">
      <c r="A794"/>
      <c r="B794">
        <v>2</v>
      </c>
      <c r="C794" s="43">
        <f>INDEX(DarlObj,2)</f>
      </c>
      <c r="D794">
        <v>311</v>
      </c>
      <c r="E794" s="51">
        <f>IF(INDEX(DarlBelegt,2)=0,0,EOMONTH(INDEX(DarlAuszahlung,2),310)+1)</f>
      </c>
      <c r="F794" s="43">
        <f>IF($E794=0,0,YEAR($E794))</f>
      </c>
      <c r="G794" s="43">
        <f>IF(INDEX(DarlBindung,2)="",1,IF($E794&lt;=INDEX(DarlBindung,2),1,0))</f>
      </c>
      <c r="H794" s="43">
        <f>IF($G794=1,INDEX(DarlSollzins,2),INDEX(DarlAnschluss,2))</f>
      </c>
      <c r="I794" s="43">
        <f>IF(INDEX(DarlBelegt,2)=0,0,IF(INDEX(DarlOhneTilgung,2)=1,IF(INDEX(DarlBindung,2)="",1,$G794),IF($J794&gt;0.005,1,0)))</f>
      </c>
      <c r="J794" s="43">
        <f>IF($I793=0,0,$R793)</f>
      </c>
      <c r="K794" s="43">
        <f>IF($I794=0,0,IF(INDEX(DarlOhneTilgung,2)=1,0,IF(AND(INDEX(DarlTilgStart,2)&gt;0,$E794=INDEX(DarlTilgStart,2)),$J794*($H794+INDEX(DarlTilgung,2))/100/12,IF(AND($G794=0,$G793=1),MAX($K793,$J794*($H794+1)/100/12),$K793))))</f>
      </c>
      <c r="L794" s="43">
        <f>IF($I794=0,0,$J794*$H794/100/12)</f>
      </c>
      <c r="M794" s="43">
        <f>IF($I794=0,0,IF(OR(INDEX(DarlOhneTilgung,2)=1,AND(INDEX(DarlTilgStart,2)&gt;0,$E794&lt;INDEX(DarlTilgStart,2))),0,MIN(MAX(0,$K794-$L794),$J794)))</f>
      </c>
      <c r="N794" s="43">
        <f>IF($I794=0,0,MIN(SUMIFS(SondBetrag,SondDarl,2,SondDatum,"&gt;="&amp;$E794,SondDatum,"&lt;="&amp;EOMONTH($E794,0)),$J794-$M794))</f>
      </c>
      <c r="O794" s="43">
        <f>IF($I794=0,0,INDEX(DarlErsatzRate,2))</f>
      </c>
      <c r="P794" s="43">
        <f>IF($I794=0,0,$Q793*INDEX(DarlErsatzZins,2))</f>
      </c>
      <c r="Q794" s="43">
        <f>IF($I794=0,0,$Q793+$P794+$O794)</f>
      </c>
      <c r="R794" s="43">
        <f>IF($I794=0,0,$J794-$M794-$N794)</f>
      </c>
    </row>
    <row r="795">
      <c r="A795"/>
      <c r="B795">
        <v>2</v>
      </c>
      <c r="C795" s="43">
        <f>INDEX(DarlObj,2)</f>
      </c>
      <c r="D795">
        <v>312</v>
      </c>
      <c r="E795" s="51">
        <f>IF(INDEX(DarlBelegt,2)=0,0,EOMONTH(INDEX(DarlAuszahlung,2),311)+1)</f>
      </c>
      <c r="F795" s="43">
        <f>IF($E795=0,0,YEAR($E795))</f>
      </c>
      <c r="G795" s="43">
        <f>IF(INDEX(DarlBindung,2)="",1,IF($E795&lt;=INDEX(DarlBindung,2),1,0))</f>
      </c>
      <c r="H795" s="43">
        <f>IF($G795=1,INDEX(DarlSollzins,2),INDEX(DarlAnschluss,2))</f>
      </c>
      <c r="I795" s="43">
        <f>IF(INDEX(DarlBelegt,2)=0,0,IF(INDEX(DarlOhneTilgung,2)=1,IF(INDEX(DarlBindung,2)="",1,$G795),IF($J795&gt;0.005,1,0)))</f>
      </c>
      <c r="J795" s="43">
        <f>IF($I794=0,0,$R794)</f>
      </c>
      <c r="K795" s="43">
        <f>IF($I795=0,0,IF(INDEX(DarlOhneTilgung,2)=1,0,IF(AND(INDEX(DarlTilgStart,2)&gt;0,$E795=INDEX(DarlTilgStart,2)),$J795*($H795+INDEX(DarlTilgung,2))/100/12,IF(AND($G795=0,$G794=1),MAX($K794,$J795*($H795+1)/100/12),$K794))))</f>
      </c>
      <c r="L795" s="43">
        <f>IF($I795=0,0,$J795*$H795/100/12)</f>
      </c>
      <c r="M795" s="43">
        <f>IF($I795=0,0,IF(OR(INDEX(DarlOhneTilgung,2)=1,AND(INDEX(DarlTilgStart,2)&gt;0,$E795&lt;INDEX(DarlTilgStart,2))),0,MIN(MAX(0,$K795-$L795),$J795)))</f>
      </c>
      <c r="N795" s="43">
        <f>IF($I795=0,0,MIN(SUMIFS(SondBetrag,SondDarl,2,SondDatum,"&gt;="&amp;$E795,SondDatum,"&lt;="&amp;EOMONTH($E795,0)),$J795-$M795))</f>
      </c>
      <c r="O795" s="43">
        <f>IF($I795=0,0,INDEX(DarlErsatzRate,2))</f>
      </c>
      <c r="P795" s="43">
        <f>IF($I795=0,0,$Q794*INDEX(DarlErsatzZins,2))</f>
      </c>
      <c r="Q795" s="43">
        <f>IF($I795=0,0,$Q794+$P795+$O795)</f>
      </c>
      <c r="R795" s="43">
        <f>IF($I795=0,0,$J795-$M795-$N795)</f>
      </c>
    </row>
    <row r="796">
      <c r="A796"/>
      <c r="B796">
        <v>2</v>
      </c>
      <c r="C796" s="43">
        <f>INDEX(DarlObj,2)</f>
      </c>
      <c r="D796">
        <v>313</v>
      </c>
      <c r="E796" s="51">
        <f>IF(INDEX(DarlBelegt,2)=0,0,EOMONTH(INDEX(DarlAuszahlung,2),312)+1)</f>
      </c>
      <c r="F796" s="43">
        <f>IF($E796=0,0,YEAR($E796))</f>
      </c>
      <c r="G796" s="43">
        <f>IF(INDEX(DarlBindung,2)="",1,IF($E796&lt;=INDEX(DarlBindung,2),1,0))</f>
      </c>
      <c r="H796" s="43">
        <f>IF($G796=1,INDEX(DarlSollzins,2),INDEX(DarlAnschluss,2))</f>
      </c>
      <c r="I796" s="43">
        <f>IF(INDEX(DarlBelegt,2)=0,0,IF(INDEX(DarlOhneTilgung,2)=1,IF(INDEX(DarlBindung,2)="",1,$G796),IF($J796&gt;0.005,1,0)))</f>
      </c>
      <c r="J796" s="43">
        <f>IF($I795=0,0,$R795)</f>
      </c>
      <c r="K796" s="43">
        <f>IF($I796=0,0,IF(INDEX(DarlOhneTilgung,2)=1,0,IF(AND(INDEX(DarlTilgStart,2)&gt;0,$E796=INDEX(DarlTilgStart,2)),$J796*($H796+INDEX(DarlTilgung,2))/100/12,IF(AND($G796=0,$G795=1),MAX($K795,$J796*($H796+1)/100/12),$K795))))</f>
      </c>
      <c r="L796" s="43">
        <f>IF($I796=0,0,$J796*$H796/100/12)</f>
      </c>
      <c r="M796" s="43">
        <f>IF($I796=0,0,IF(OR(INDEX(DarlOhneTilgung,2)=1,AND(INDEX(DarlTilgStart,2)&gt;0,$E796&lt;INDEX(DarlTilgStart,2))),0,MIN(MAX(0,$K796-$L796),$J796)))</f>
      </c>
      <c r="N796" s="43">
        <f>IF($I796=0,0,MIN(SUMIFS(SondBetrag,SondDarl,2,SondDatum,"&gt;="&amp;$E796,SondDatum,"&lt;="&amp;EOMONTH($E796,0)),$J796-$M796))</f>
      </c>
      <c r="O796" s="43">
        <f>IF($I796=0,0,INDEX(DarlErsatzRate,2))</f>
      </c>
      <c r="P796" s="43">
        <f>IF($I796=0,0,$Q795*INDEX(DarlErsatzZins,2))</f>
      </c>
      <c r="Q796" s="43">
        <f>IF($I796=0,0,$Q795+$P796+$O796)</f>
      </c>
      <c r="R796" s="43">
        <f>IF($I796=0,0,$J796-$M796-$N796)</f>
      </c>
    </row>
    <row r="797">
      <c r="A797"/>
      <c r="B797">
        <v>2</v>
      </c>
      <c r="C797" s="43">
        <f>INDEX(DarlObj,2)</f>
      </c>
      <c r="D797">
        <v>314</v>
      </c>
      <c r="E797" s="51">
        <f>IF(INDEX(DarlBelegt,2)=0,0,EOMONTH(INDEX(DarlAuszahlung,2),313)+1)</f>
      </c>
      <c r="F797" s="43">
        <f>IF($E797=0,0,YEAR($E797))</f>
      </c>
      <c r="G797" s="43">
        <f>IF(INDEX(DarlBindung,2)="",1,IF($E797&lt;=INDEX(DarlBindung,2),1,0))</f>
      </c>
      <c r="H797" s="43">
        <f>IF($G797=1,INDEX(DarlSollzins,2),INDEX(DarlAnschluss,2))</f>
      </c>
      <c r="I797" s="43">
        <f>IF(INDEX(DarlBelegt,2)=0,0,IF(INDEX(DarlOhneTilgung,2)=1,IF(INDEX(DarlBindung,2)="",1,$G797),IF($J797&gt;0.005,1,0)))</f>
      </c>
      <c r="J797" s="43">
        <f>IF($I796=0,0,$R796)</f>
      </c>
      <c r="K797" s="43">
        <f>IF($I797=0,0,IF(INDEX(DarlOhneTilgung,2)=1,0,IF(AND(INDEX(DarlTilgStart,2)&gt;0,$E797=INDEX(DarlTilgStart,2)),$J797*($H797+INDEX(DarlTilgung,2))/100/12,IF(AND($G797=0,$G796=1),MAX($K796,$J797*($H797+1)/100/12),$K796))))</f>
      </c>
      <c r="L797" s="43">
        <f>IF($I797=0,0,$J797*$H797/100/12)</f>
      </c>
      <c r="M797" s="43">
        <f>IF($I797=0,0,IF(OR(INDEX(DarlOhneTilgung,2)=1,AND(INDEX(DarlTilgStart,2)&gt;0,$E797&lt;INDEX(DarlTilgStart,2))),0,MIN(MAX(0,$K797-$L797),$J797)))</f>
      </c>
      <c r="N797" s="43">
        <f>IF($I797=0,0,MIN(SUMIFS(SondBetrag,SondDarl,2,SondDatum,"&gt;="&amp;$E797,SondDatum,"&lt;="&amp;EOMONTH($E797,0)),$J797-$M797))</f>
      </c>
      <c r="O797" s="43">
        <f>IF($I797=0,0,INDEX(DarlErsatzRate,2))</f>
      </c>
      <c r="P797" s="43">
        <f>IF($I797=0,0,$Q796*INDEX(DarlErsatzZins,2))</f>
      </c>
      <c r="Q797" s="43">
        <f>IF($I797=0,0,$Q796+$P797+$O797)</f>
      </c>
      <c r="R797" s="43">
        <f>IF($I797=0,0,$J797-$M797-$N797)</f>
      </c>
    </row>
    <row r="798">
      <c r="A798"/>
      <c r="B798">
        <v>2</v>
      </c>
      <c r="C798" s="43">
        <f>INDEX(DarlObj,2)</f>
      </c>
      <c r="D798">
        <v>315</v>
      </c>
      <c r="E798" s="51">
        <f>IF(INDEX(DarlBelegt,2)=0,0,EOMONTH(INDEX(DarlAuszahlung,2),314)+1)</f>
      </c>
      <c r="F798" s="43">
        <f>IF($E798=0,0,YEAR($E798))</f>
      </c>
      <c r="G798" s="43">
        <f>IF(INDEX(DarlBindung,2)="",1,IF($E798&lt;=INDEX(DarlBindung,2),1,0))</f>
      </c>
      <c r="H798" s="43">
        <f>IF($G798=1,INDEX(DarlSollzins,2),INDEX(DarlAnschluss,2))</f>
      </c>
      <c r="I798" s="43">
        <f>IF(INDEX(DarlBelegt,2)=0,0,IF(INDEX(DarlOhneTilgung,2)=1,IF(INDEX(DarlBindung,2)="",1,$G798),IF($J798&gt;0.005,1,0)))</f>
      </c>
      <c r="J798" s="43">
        <f>IF($I797=0,0,$R797)</f>
      </c>
      <c r="K798" s="43">
        <f>IF($I798=0,0,IF(INDEX(DarlOhneTilgung,2)=1,0,IF(AND(INDEX(DarlTilgStart,2)&gt;0,$E798=INDEX(DarlTilgStart,2)),$J798*($H798+INDEX(DarlTilgung,2))/100/12,IF(AND($G798=0,$G797=1),MAX($K797,$J798*($H798+1)/100/12),$K797))))</f>
      </c>
      <c r="L798" s="43">
        <f>IF($I798=0,0,$J798*$H798/100/12)</f>
      </c>
      <c r="M798" s="43">
        <f>IF($I798=0,0,IF(OR(INDEX(DarlOhneTilgung,2)=1,AND(INDEX(DarlTilgStart,2)&gt;0,$E798&lt;INDEX(DarlTilgStart,2))),0,MIN(MAX(0,$K798-$L798),$J798)))</f>
      </c>
      <c r="N798" s="43">
        <f>IF($I798=0,0,MIN(SUMIFS(SondBetrag,SondDarl,2,SondDatum,"&gt;="&amp;$E798,SondDatum,"&lt;="&amp;EOMONTH($E798,0)),$J798-$M798))</f>
      </c>
      <c r="O798" s="43">
        <f>IF($I798=0,0,INDEX(DarlErsatzRate,2))</f>
      </c>
      <c r="P798" s="43">
        <f>IF($I798=0,0,$Q797*INDEX(DarlErsatzZins,2))</f>
      </c>
      <c r="Q798" s="43">
        <f>IF($I798=0,0,$Q797+$P798+$O798)</f>
      </c>
      <c r="R798" s="43">
        <f>IF($I798=0,0,$J798-$M798-$N798)</f>
      </c>
    </row>
    <row r="799">
      <c r="A799"/>
      <c r="B799">
        <v>2</v>
      </c>
      <c r="C799" s="43">
        <f>INDEX(DarlObj,2)</f>
      </c>
      <c r="D799">
        <v>316</v>
      </c>
      <c r="E799" s="51">
        <f>IF(INDEX(DarlBelegt,2)=0,0,EOMONTH(INDEX(DarlAuszahlung,2),315)+1)</f>
      </c>
      <c r="F799" s="43">
        <f>IF($E799=0,0,YEAR($E799))</f>
      </c>
      <c r="G799" s="43">
        <f>IF(INDEX(DarlBindung,2)="",1,IF($E799&lt;=INDEX(DarlBindung,2),1,0))</f>
      </c>
      <c r="H799" s="43">
        <f>IF($G799=1,INDEX(DarlSollzins,2),INDEX(DarlAnschluss,2))</f>
      </c>
      <c r="I799" s="43">
        <f>IF(INDEX(DarlBelegt,2)=0,0,IF(INDEX(DarlOhneTilgung,2)=1,IF(INDEX(DarlBindung,2)="",1,$G799),IF($J799&gt;0.005,1,0)))</f>
      </c>
      <c r="J799" s="43">
        <f>IF($I798=0,0,$R798)</f>
      </c>
      <c r="K799" s="43">
        <f>IF($I799=0,0,IF(INDEX(DarlOhneTilgung,2)=1,0,IF(AND(INDEX(DarlTilgStart,2)&gt;0,$E799=INDEX(DarlTilgStart,2)),$J799*($H799+INDEX(DarlTilgung,2))/100/12,IF(AND($G799=0,$G798=1),MAX($K798,$J799*($H799+1)/100/12),$K798))))</f>
      </c>
      <c r="L799" s="43">
        <f>IF($I799=0,0,$J799*$H799/100/12)</f>
      </c>
      <c r="M799" s="43">
        <f>IF($I799=0,0,IF(OR(INDEX(DarlOhneTilgung,2)=1,AND(INDEX(DarlTilgStart,2)&gt;0,$E799&lt;INDEX(DarlTilgStart,2))),0,MIN(MAX(0,$K799-$L799),$J799)))</f>
      </c>
      <c r="N799" s="43">
        <f>IF($I799=0,0,MIN(SUMIFS(SondBetrag,SondDarl,2,SondDatum,"&gt;="&amp;$E799,SondDatum,"&lt;="&amp;EOMONTH($E799,0)),$J799-$M799))</f>
      </c>
      <c r="O799" s="43">
        <f>IF($I799=0,0,INDEX(DarlErsatzRate,2))</f>
      </c>
      <c r="P799" s="43">
        <f>IF($I799=0,0,$Q798*INDEX(DarlErsatzZins,2))</f>
      </c>
      <c r="Q799" s="43">
        <f>IF($I799=0,0,$Q798+$P799+$O799)</f>
      </c>
      <c r="R799" s="43">
        <f>IF($I799=0,0,$J799-$M799-$N799)</f>
      </c>
    </row>
    <row r="800">
      <c r="A800"/>
      <c r="B800">
        <v>2</v>
      </c>
      <c r="C800" s="43">
        <f>INDEX(DarlObj,2)</f>
      </c>
      <c r="D800">
        <v>317</v>
      </c>
      <c r="E800" s="51">
        <f>IF(INDEX(DarlBelegt,2)=0,0,EOMONTH(INDEX(DarlAuszahlung,2),316)+1)</f>
      </c>
      <c r="F800" s="43">
        <f>IF($E800=0,0,YEAR($E800))</f>
      </c>
      <c r="G800" s="43">
        <f>IF(INDEX(DarlBindung,2)="",1,IF($E800&lt;=INDEX(DarlBindung,2),1,0))</f>
      </c>
      <c r="H800" s="43">
        <f>IF($G800=1,INDEX(DarlSollzins,2),INDEX(DarlAnschluss,2))</f>
      </c>
      <c r="I800" s="43">
        <f>IF(INDEX(DarlBelegt,2)=0,0,IF(INDEX(DarlOhneTilgung,2)=1,IF(INDEX(DarlBindung,2)="",1,$G800),IF($J800&gt;0.005,1,0)))</f>
      </c>
      <c r="J800" s="43">
        <f>IF($I799=0,0,$R799)</f>
      </c>
      <c r="K800" s="43">
        <f>IF($I800=0,0,IF(INDEX(DarlOhneTilgung,2)=1,0,IF(AND(INDEX(DarlTilgStart,2)&gt;0,$E800=INDEX(DarlTilgStart,2)),$J800*($H800+INDEX(DarlTilgung,2))/100/12,IF(AND($G800=0,$G799=1),MAX($K799,$J800*($H800+1)/100/12),$K799))))</f>
      </c>
      <c r="L800" s="43">
        <f>IF($I800=0,0,$J800*$H800/100/12)</f>
      </c>
      <c r="M800" s="43">
        <f>IF($I800=0,0,IF(OR(INDEX(DarlOhneTilgung,2)=1,AND(INDEX(DarlTilgStart,2)&gt;0,$E800&lt;INDEX(DarlTilgStart,2))),0,MIN(MAX(0,$K800-$L800),$J800)))</f>
      </c>
      <c r="N800" s="43">
        <f>IF($I800=0,0,MIN(SUMIFS(SondBetrag,SondDarl,2,SondDatum,"&gt;="&amp;$E800,SondDatum,"&lt;="&amp;EOMONTH($E800,0)),$J800-$M800))</f>
      </c>
      <c r="O800" s="43">
        <f>IF($I800=0,0,INDEX(DarlErsatzRate,2))</f>
      </c>
      <c r="P800" s="43">
        <f>IF($I800=0,0,$Q799*INDEX(DarlErsatzZins,2))</f>
      </c>
      <c r="Q800" s="43">
        <f>IF($I800=0,0,$Q799+$P800+$O800)</f>
      </c>
      <c r="R800" s="43">
        <f>IF($I800=0,0,$J800-$M800-$N800)</f>
      </c>
    </row>
    <row r="801">
      <c r="A801"/>
      <c r="B801">
        <v>2</v>
      </c>
      <c r="C801" s="43">
        <f>INDEX(DarlObj,2)</f>
      </c>
      <c r="D801">
        <v>318</v>
      </c>
      <c r="E801" s="51">
        <f>IF(INDEX(DarlBelegt,2)=0,0,EOMONTH(INDEX(DarlAuszahlung,2),317)+1)</f>
      </c>
      <c r="F801" s="43">
        <f>IF($E801=0,0,YEAR($E801))</f>
      </c>
      <c r="G801" s="43">
        <f>IF(INDEX(DarlBindung,2)="",1,IF($E801&lt;=INDEX(DarlBindung,2),1,0))</f>
      </c>
      <c r="H801" s="43">
        <f>IF($G801=1,INDEX(DarlSollzins,2),INDEX(DarlAnschluss,2))</f>
      </c>
      <c r="I801" s="43">
        <f>IF(INDEX(DarlBelegt,2)=0,0,IF(INDEX(DarlOhneTilgung,2)=1,IF(INDEX(DarlBindung,2)="",1,$G801),IF($J801&gt;0.005,1,0)))</f>
      </c>
      <c r="J801" s="43">
        <f>IF($I800=0,0,$R800)</f>
      </c>
      <c r="K801" s="43">
        <f>IF($I801=0,0,IF(INDEX(DarlOhneTilgung,2)=1,0,IF(AND(INDEX(DarlTilgStart,2)&gt;0,$E801=INDEX(DarlTilgStart,2)),$J801*($H801+INDEX(DarlTilgung,2))/100/12,IF(AND($G801=0,$G800=1),MAX($K800,$J801*($H801+1)/100/12),$K800))))</f>
      </c>
      <c r="L801" s="43">
        <f>IF($I801=0,0,$J801*$H801/100/12)</f>
      </c>
      <c r="M801" s="43">
        <f>IF($I801=0,0,IF(OR(INDEX(DarlOhneTilgung,2)=1,AND(INDEX(DarlTilgStart,2)&gt;0,$E801&lt;INDEX(DarlTilgStart,2))),0,MIN(MAX(0,$K801-$L801),$J801)))</f>
      </c>
      <c r="N801" s="43">
        <f>IF($I801=0,0,MIN(SUMIFS(SondBetrag,SondDarl,2,SondDatum,"&gt;="&amp;$E801,SondDatum,"&lt;="&amp;EOMONTH($E801,0)),$J801-$M801))</f>
      </c>
      <c r="O801" s="43">
        <f>IF($I801=0,0,INDEX(DarlErsatzRate,2))</f>
      </c>
      <c r="P801" s="43">
        <f>IF($I801=0,0,$Q800*INDEX(DarlErsatzZins,2))</f>
      </c>
      <c r="Q801" s="43">
        <f>IF($I801=0,0,$Q800+$P801+$O801)</f>
      </c>
      <c r="R801" s="43">
        <f>IF($I801=0,0,$J801-$M801-$N801)</f>
      </c>
    </row>
    <row r="802">
      <c r="A802"/>
      <c r="B802">
        <v>2</v>
      </c>
      <c r="C802" s="43">
        <f>INDEX(DarlObj,2)</f>
      </c>
      <c r="D802">
        <v>319</v>
      </c>
      <c r="E802" s="51">
        <f>IF(INDEX(DarlBelegt,2)=0,0,EOMONTH(INDEX(DarlAuszahlung,2),318)+1)</f>
      </c>
      <c r="F802" s="43">
        <f>IF($E802=0,0,YEAR($E802))</f>
      </c>
      <c r="G802" s="43">
        <f>IF(INDEX(DarlBindung,2)="",1,IF($E802&lt;=INDEX(DarlBindung,2),1,0))</f>
      </c>
      <c r="H802" s="43">
        <f>IF($G802=1,INDEX(DarlSollzins,2),INDEX(DarlAnschluss,2))</f>
      </c>
      <c r="I802" s="43">
        <f>IF(INDEX(DarlBelegt,2)=0,0,IF(INDEX(DarlOhneTilgung,2)=1,IF(INDEX(DarlBindung,2)="",1,$G802),IF($J802&gt;0.005,1,0)))</f>
      </c>
      <c r="J802" s="43">
        <f>IF($I801=0,0,$R801)</f>
      </c>
      <c r="K802" s="43">
        <f>IF($I802=0,0,IF(INDEX(DarlOhneTilgung,2)=1,0,IF(AND(INDEX(DarlTilgStart,2)&gt;0,$E802=INDEX(DarlTilgStart,2)),$J802*($H802+INDEX(DarlTilgung,2))/100/12,IF(AND($G802=0,$G801=1),MAX($K801,$J802*($H802+1)/100/12),$K801))))</f>
      </c>
      <c r="L802" s="43">
        <f>IF($I802=0,0,$J802*$H802/100/12)</f>
      </c>
      <c r="M802" s="43">
        <f>IF($I802=0,0,IF(OR(INDEX(DarlOhneTilgung,2)=1,AND(INDEX(DarlTilgStart,2)&gt;0,$E802&lt;INDEX(DarlTilgStart,2))),0,MIN(MAX(0,$K802-$L802),$J802)))</f>
      </c>
      <c r="N802" s="43">
        <f>IF($I802=0,0,MIN(SUMIFS(SondBetrag,SondDarl,2,SondDatum,"&gt;="&amp;$E802,SondDatum,"&lt;="&amp;EOMONTH($E802,0)),$J802-$M802))</f>
      </c>
      <c r="O802" s="43">
        <f>IF($I802=0,0,INDEX(DarlErsatzRate,2))</f>
      </c>
      <c r="P802" s="43">
        <f>IF($I802=0,0,$Q801*INDEX(DarlErsatzZins,2))</f>
      </c>
      <c r="Q802" s="43">
        <f>IF($I802=0,0,$Q801+$P802+$O802)</f>
      </c>
      <c r="R802" s="43">
        <f>IF($I802=0,0,$J802-$M802-$N802)</f>
      </c>
    </row>
    <row r="803">
      <c r="A803"/>
      <c r="B803">
        <v>2</v>
      </c>
      <c r="C803" s="43">
        <f>INDEX(DarlObj,2)</f>
      </c>
      <c r="D803">
        <v>320</v>
      </c>
      <c r="E803" s="51">
        <f>IF(INDEX(DarlBelegt,2)=0,0,EOMONTH(INDEX(DarlAuszahlung,2),319)+1)</f>
      </c>
      <c r="F803" s="43">
        <f>IF($E803=0,0,YEAR($E803))</f>
      </c>
      <c r="G803" s="43">
        <f>IF(INDEX(DarlBindung,2)="",1,IF($E803&lt;=INDEX(DarlBindung,2),1,0))</f>
      </c>
      <c r="H803" s="43">
        <f>IF($G803=1,INDEX(DarlSollzins,2),INDEX(DarlAnschluss,2))</f>
      </c>
      <c r="I803" s="43">
        <f>IF(INDEX(DarlBelegt,2)=0,0,IF(INDEX(DarlOhneTilgung,2)=1,IF(INDEX(DarlBindung,2)="",1,$G803),IF($J803&gt;0.005,1,0)))</f>
      </c>
      <c r="J803" s="43">
        <f>IF($I802=0,0,$R802)</f>
      </c>
      <c r="K803" s="43">
        <f>IF($I803=0,0,IF(INDEX(DarlOhneTilgung,2)=1,0,IF(AND(INDEX(DarlTilgStart,2)&gt;0,$E803=INDEX(DarlTilgStart,2)),$J803*($H803+INDEX(DarlTilgung,2))/100/12,IF(AND($G803=0,$G802=1),MAX($K802,$J803*($H803+1)/100/12),$K802))))</f>
      </c>
      <c r="L803" s="43">
        <f>IF($I803=0,0,$J803*$H803/100/12)</f>
      </c>
      <c r="M803" s="43">
        <f>IF($I803=0,0,IF(OR(INDEX(DarlOhneTilgung,2)=1,AND(INDEX(DarlTilgStart,2)&gt;0,$E803&lt;INDEX(DarlTilgStart,2))),0,MIN(MAX(0,$K803-$L803),$J803)))</f>
      </c>
      <c r="N803" s="43">
        <f>IF($I803=0,0,MIN(SUMIFS(SondBetrag,SondDarl,2,SondDatum,"&gt;="&amp;$E803,SondDatum,"&lt;="&amp;EOMONTH($E803,0)),$J803-$M803))</f>
      </c>
      <c r="O803" s="43">
        <f>IF($I803=0,0,INDEX(DarlErsatzRate,2))</f>
      </c>
      <c r="P803" s="43">
        <f>IF($I803=0,0,$Q802*INDEX(DarlErsatzZins,2))</f>
      </c>
      <c r="Q803" s="43">
        <f>IF($I803=0,0,$Q802+$P803+$O803)</f>
      </c>
      <c r="R803" s="43">
        <f>IF($I803=0,0,$J803-$M803-$N803)</f>
      </c>
    </row>
    <row r="804">
      <c r="A804"/>
      <c r="B804">
        <v>2</v>
      </c>
      <c r="C804" s="43">
        <f>INDEX(DarlObj,2)</f>
      </c>
      <c r="D804">
        <v>321</v>
      </c>
      <c r="E804" s="51">
        <f>IF(INDEX(DarlBelegt,2)=0,0,EOMONTH(INDEX(DarlAuszahlung,2),320)+1)</f>
      </c>
      <c r="F804" s="43">
        <f>IF($E804=0,0,YEAR($E804))</f>
      </c>
      <c r="G804" s="43">
        <f>IF(INDEX(DarlBindung,2)="",1,IF($E804&lt;=INDEX(DarlBindung,2),1,0))</f>
      </c>
      <c r="H804" s="43">
        <f>IF($G804=1,INDEX(DarlSollzins,2),INDEX(DarlAnschluss,2))</f>
      </c>
      <c r="I804" s="43">
        <f>IF(INDEX(DarlBelegt,2)=0,0,IF(INDEX(DarlOhneTilgung,2)=1,IF(INDEX(DarlBindung,2)="",1,$G804),IF($J804&gt;0.005,1,0)))</f>
      </c>
      <c r="J804" s="43">
        <f>IF($I803=0,0,$R803)</f>
      </c>
      <c r="K804" s="43">
        <f>IF($I804=0,0,IF(INDEX(DarlOhneTilgung,2)=1,0,IF(AND(INDEX(DarlTilgStart,2)&gt;0,$E804=INDEX(DarlTilgStart,2)),$J804*($H804+INDEX(DarlTilgung,2))/100/12,IF(AND($G804=0,$G803=1),MAX($K803,$J804*($H804+1)/100/12),$K803))))</f>
      </c>
      <c r="L804" s="43">
        <f>IF($I804=0,0,$J804*$H804/100/12)</f>
      </c>
      <c r="M804" s="43">
        <f>IF($I804=0,0,IF(OR(INDEX(DarlOhneTilgung,2)=1,AND(INDEX(DarlTilgStart,2)&gt;0,$E804&lt;INDEX(DarlTilgStart,2))),0,MIN(MAX(0,$K804-$L804),$J804)))</f>
      </c>
      <c r="N804" s="43">
        <f>IF($I804=0,0,MIN(SUMIFS(SondBetrag,SondDarl,2,SondDatum,"&gt;="&amp;$E804,SondDatum,"&lt;="&amp;EOMONTH($E804,0)),$J804-$M804))</f>
      </c>
      <c r="O804" s="43">
        <f>IF($I804=0,0,INDEX(DarlErsatzRate,2))</f>
      </c>
      <c r="P804" s="43">
        <f>IF($I804=0,0,$Q803*INDEX(DarlErsatzZins,2))</f>
      </c>
      <c r="Q804" s="43">
        <f>IF($I804=0,0,$Q803+$P804+$O804)</f>
      </c>
      <c r="R804" s="43">
        <f>IF($I804=0,0,$J804-$M804-$N804)</f>
      </c>
    </row>
    <row r="805">
      <c r="A805"/>
      <c r="B805">
        <v>2</v>
      </c>
      <c r="C805" s="43">
        <f>INDEX(DarlObj,2)</f>
      </c>
      <c r="D805">
        <v>322</v>
      </c>
      <c r="E805" s="51">
        <f>IF(INDEX(DarlBelegt,2)=0,0,EOMONTH(INDEX(DarlAuszahlung,2),321)+1)</f>
      </c>
      <c r="F805" s="43">
        <f>IF($E805=0,0,YEAR($E805))</f>
      </c>
      <c r="G805" s="43">
        <f>IF(INDEX(DarlBindung,2)="",1,IF($E805&lt;=INDEX(DarlBindung,2),1,0))</f>
      </c>
      <c r="H805" s="43">
        <f>IF($G805=1,INDEX(DarlSollzins,2),INDEX(DarlAnschluss,2))</f>
      </c>
      <c r="I805" s="43">
        <f>IF(INDEX(DarlBelegt,2)=0,0,IF(INDEX(DarlOhneTilgung,2)=1,IF(INDEX(DarlBindung,2)="",1,$G805),IF($J805&gt;0.005,1,0)))</f>
      </c>
      <c r="J805" s="43">
        <f>IF($I804=0,0,$R804)</f>
      </c>
      <c r="K805" s="43">
        <f>IF($I805=0,0,IF(INDEX(DarlOhneTilgung,2)=1,0,IF(AND(INDEX(DarlTilgStart,2)&gt;0,$E805=INDEX(DarlTilgStart,2)),$J805*($H805+INDEX(DarlTilgung,2))/100/12,IF(AND($G805=0,$G804=1),MAX($K804,$J805*($H805+1)/100/12),$K804))))</f>
      </c>
      <c r="L805" s="43">
        <f>IF($I805=0,0,$J805*$H805/100/12)</f>
      </c>
      <c r="M805" s="43">
        <f>IF($I805=0,0,IF(OR(INDEX(DarlOhneTilgung,2)=1,AND(INDEX(DarlTilgStart,2)&gt;0,$E805&lt;INDEX(DarlTilgStart,2))),0,MIN(MAX(0,$K805-$L805),$J805)))</f>
      </c>
      <c r="N805" s="43">
        <f>IF($I805=0,0,MIN(SUMIFS(SondBetrag,SondDarl,2,SondDatum,"&gt;="&amp;$E805,SondDatum,"&lt;="&amp;EOMONTH($E805,0)),$J805-$M805))</f>
      </c>
      <c r="O805" s="43">
        <f>IF($I805=0,0,INDEX(DarlErsatzRate,2))</f>
      </c>
      <c r="P805" s="43">
        <f>IF($I805=0,0,$Q804*INDEX(DarlErsatzZins,2))</f>
      </c>
      <c r="Q805" s="43">
        <f>IF($I805=0,0,$Q804+$P805+$O805)</f>
      </c>
      <c r="R805" s="43">
        <f>IF($I805=0,0,$J805-$M805-$N805)</f>
      </c>
    </row>
    <row r="806">
      <c r="A806"/>
      <c r="B806">
        <v>2</v>
      </c>
      <c r="C806" s="43">
        <f>INDEX(DarlObj,2)</f>
      </c>
      <c r="D806">
        <v>323</v>
      </c>
      <c r="E806" s="51">
        <f>IF(INDEX(DarlBelegt,2)=0,0,EOMONTH(INDEX(DarlAuszahlung,2),322)+1)</f>
      </c>
      <c r="F806" s="43">
        <f>IF($E806=0,0,YEAR($E806))</f>
      </c>
      <c r="G806" s="43">
        <f>IF(INDEX(DarlBindung,2)="",1,IF($E806&lt;=INDEX(DarlBindung,2),1,0))</f>
      </c>
      <c r="H806" s="43">
        <f>IF($G806=1,INDEX(DarlSollzins,2),INDEX(DarlAnschluss,2))</f>
      </c>
      <c r="I806" s="43">
        <f>IF(INDEX(DarlBelegt,2)=0,0,IF(INDEX(DarlOhneTilgung,2)=1,IF(INDEX(DarlBindung,2)="",1,$G806),IF($J806&gt;0.005,1,0)))</f>
      </c>
      <c r="J806" s="43">
        <f>IF($I805=0,0,$R805)</f>
      </c>
      <c r="K806" s="43">
        <f>IF($I806=0,0,IF(INDEX(DarlOhneTilgung,2)=1,0,IF(AND(INDEX(DarlTilgStart,2)&gt;0,$E806=INDEX(DarlTilgStart,2)),$J806*($H806+INDEX(DarlTilgung,2))/100/12,IF(AND($G806=0,$G805=1),MAX($K805,$J806*($H806+1)/100/12),$K805))))</f>
      </c>
      <c r="L806" s="43">
        <f>IF($I806=0,0,$J806*$H806/100/12)</f>
      </c>
      <c r="M806" s="43">
        <f>IF($I806=0,0,IF(OR(INDEX(DarlOhneTilgung,2)=1,AND(INDEX(DarlTilgStart,2)&gt;0,$E806&lt;INDEX(DarlTilgStart,2))),0,MIN(MAX(0,$K806-$L806),$J806)))</f>
      </c>
      <c r="N806" s="43">
        <f>IF($I806=0,0,MIN(SUMIFS(SondBetrag,SondDarl,2,SondDatum,"&gt;="&amp;$E806,SondDatum,"&lt;="&amp;EOMONTH($E806,0)),$J806-$M806))</f>
      </c>
      <c r="O806" s="43">
        <f>IF($I806=0,0,INDEX(DarlErsatzRate,2))</f>
      </c>
      <c r="P806" s="43">
        <f>IF($I806=0,0,$Q805*INDEX(DarlErsatzZins,2))</f>
      </c>
      <c r="Q806" s="43">
        <f>IF($I806=0,0,$Q805+$P806+$O806)</f>
      </c>
      <c r="R806" s="43">
        <f>IF($I806=0,0,$J806-$M806-$N806)</f>
      </c>
    </row>
    <row r="807">
      <c r="A807"/>
      <c r="B807">
        <v>2</v>
      </c>
      <c r="C807" s="43">
        <f>INDEX(DarlObj,2)</f>
      </c>
      <c r="D807">
        <v>324</v>
      </c>
      <c r="E807" s="51">
        <f>IF(INDEX(DarlBelegt,2)=0,0,EOMONTH(INDEX(DarlAuszahlung,2),323)+1)</f>
      </c>
      <c r="F807" s="43">
        <f>IF($E807=0,0,YEAR($E807))</f>
      </c>
      <c r="G807" s="43">
        <f>IF(INDEX(DarlBindung,2)="",1,IF($E807&lt;=INDEX(DarlBindung,2),1,0))</f>
      </c>
      <c r="H807" s="43">
        <f>IF($G807=1,INDEX(DarlSollzins,2),INDEX(DarlAnschluss,2))</f>
      </c>
      <c r="I807" s="43">
        <f>IF(INDEX(DarlBelegt,2)=0,0,IF(INDEX(DarlOhneTilgung,2)=1,IF(INDEX(DarlBindung,2)="",1,$G807),IF($J807&gt;0.005,1,0)))</f>
      </c>
      <c r="J807" s="43">
        <f>IF($I806=0,0,$R806)</f>
      </c>
      <c r="K807" s="43">
        <f>IF($I807=0,0,IF(INDEX(DarlOhneTilgung,2)=1,0,IF(AND(INDEX(DarlTilgStart,2)&gt;0,$E807=INDEX(DarlTilgStart,2)),$J807*($H807+INDEX(DarlTilgung,2))/100/12,IF(AND($G807=0,$G806=1),MAX($K806,$J807*($H807+1)/100/12),$K806))))</f>
      </c>
      <c r="L807" s="43">
        <f>IF($I807=0,0,$J807*$H807/100/12)</f>
      </c>
      <c r="M807" s="43">
        <f>IF($I807=0,0,IF(OR(INDEX(DarlOhneTilgung,2)=1,AND(INDEX(DarlTilgStart,2)&gt;0,$E807&lt;INDEX(DarlTilgStart,2))),0,MIN(MAX(0,$K807-$L807),$J807)))</f>
      </c>
      <c r="N807" s="43">
        <f>IF($I807=0,0,MIN(SUMIFS(SondBetrag,SondDarl,2,SondDatum,"&gt;="&amp;$E807,SondDatum,"&lt;="&amp;EOMONTH($E807,0)),$J807-$M807))</f>
      </c>
      <c r="O807" s="43">
        <f>IF($I807=0,0,INDEX(DarlErsatzRate,2))</f>
      </c>
      <c r="P807" s="43">
        <f>IF($I807=0,0,$Q806*INDEX(DarlErsatzZins,2))</f>
      </c>
      <c r="Q807" s="43">
        <f>IF($I807=0,0,$Q806+$P807+$O807)</f>
      </c>
      <c r="R807" s="43">
        <f>IF($I807=0,0,$J807-$M807-$N807)</f>
      </c>
    </row>
    <row r="808">
      <c r="A808"/>
      <c r="B808">
        <v>2</v>
      </c>
      <c r="C808" s="43">
        <f>INDEX(DarlObj,2)</f>
      </c>
      <c r="D808">
        <v>325</v>
      </c>
      <c r="E808" s="51">
        <f>IF(INDEX(DarlBelegt,2)=0,0,EOMONTH(INDEX(DarlAuszahlung,2),324)+1)</f>
      </c>
      <c r="F808" s="43">
        <f>IF($E808=0,0,YEAR($E808))</f>
      </c>
      <c r="G808" s="43">
        <f>IF(INDEX(DarlBindung,2)="",1,IF($E808&lt;=INDEX(DarlBindung,2),1,0))</f>
      </c>
      <c r="H808" s="43">
        <f>IF($G808=1,INDEX(DarlSollzins,2),INDEX(DarlAnschluss,2))</f>
      </c>
      <c r="I808" s="43">
        <f>IF(INDEX(DarlBelegt,2)=0,0,IF(INDEX(DarlOhneTilgung,2)=1,IF(INDEX(DarlBindung,2)="",1,$G808),IF($J808&gt;0.005,1,0)))</f>
      </c>
      <c r="J808" s="43">
        <f>IF($I807=0,0,$R807)</f>
      </c>
      <c r="K808" s="43">
        <f>IF($I808=0,0,IF(INDEX(DarlOhneTilgung,2)=1,0,IF(AND(INDEX(DarlTilgStart,2)&gt;0,$E808=INDEX(DarlTilgStart,2)),$J808*($H808+INDEX(DarlTilgung,2))/100/12,IF(AND($G808=0,$G807=1),MAX($K807,$J808*($H808+1)/100/12),$K807))))</f>
      </c>
      <c r="L808" s="43">
        <f>IF($I808=0,0,$J808*$H808/100/12)</f>
      </c>
      <c r="M808" s="43">
        <f>IF($I808=0,0,IF(OR(INDEX(DarlOhneTilgung,2)=1,AND(INDEX(DarlTilgStart,2)&gt;0,$E808&lt;INDEX(DarlTilgStart,2))),0,MIN(MAX(0,$K808-$L808),$J808)))</f>
      </c>
      <c r="N808" s="43">
        <f>IF($I808=0,0,MIN(SUMIFS(SondBetrag,SondDarl,2,SondDatum,"&gt;="&amp;$E808,SondDatum,"&lt;="&amp;EOMONTH($E808,0)),$J808-$M808))</f>
      </c>
      <c r="O808" s="43">
        <f>IF($I808=0,0,INDEX(DarlErsatzRate,2))</f>
      </c>
      <c r="P808" s="43">
        <f>IF($I808=0,0,$Q807*INDEX(DarlErsatzZins,2))</f>
      </c>
      <c r="Q808" s="43">
        <f>IF($I808=0,0,$Q807+$P808+$O808)</f>
      </c>
      <c r="R808" s="43">
        <f>IF($I808=0,0,$J808-$M808-$N808)</f>
      </c>
    </row>
    <row r="809">
      <c r="A809"/>
      <c r="B809">
        <v>2</v>
      </c>
      <c r="C809" s="43">
        <f>INDEX(DarlObj,2)</f>
      </c>
      <c r="D809">
        <v>326</v>
      </c>
      <c r="E809" s="51">
        <f>IF(INDEX(DarlBelegt,2)=0,0,EOMONTH(INDEX(DarlAuszahlung,2),325)+1)</f>
      </c>
      <c r="F809" s="43">
        <f>IF($E809=0,0,YEAR($E809))</f>
      </c>
      <c r="G809" s="43">
        <f>IF(INDEX(DarlBindung,2)="",1,IF($E809&lt;=INDEX(DarlBindung,2),1,0))</f>
      </c>
      <c r="H809" s="43">
        <f>IF($G809=1,INDEX(DarlSollzins,2),INDEX(DarlAnschluss,2))</f>
      </c>
      <c r="I809" s="43">
        <f>IF(INDEX(DarlBelegt,2)=0,0,IF(INDEX(DarlOhneTilgung,2)=1,IF(INDEX(DarlBindung,2)="",1,$G809),IF($J809&gt;0.005,1,0)))</f>
      </c>
      <c r="J809" s="43">
        <f>IF($I808=0,0,$R808)</f>
      </c>
      <c r="K809" s="43">
        <f>IF($I809=0,0,IF(INDEX(DarlOhneTilgung,2)=1,0,IF(AND(INDEX(DarlTilgStart,2)&gt;0,$E809=INDEX(DarlTilgStart,2)),$J809*($H809+INDEX(DarlTilgung,2))/100/12,IF(AND($G809=0,$G808=1),MAX($K808,$J809*($H809+1)/100/12),$K808))))</f>
      </c>
      <c r="L809" s="43">
        <f>IF($I809=0,0,$J809*$H809/100/12)</f>
      </c>
      <c r="M809" s="43">
        <f>IF($I809=0,0,IF(OR(INDEX(DarlOhneTilgung,2)=1,AND(INDEX(DarlTilgStart,2)&gt;0,$E809&lt;INDEX(DarlTilgStart,2))),0,MIN(MAX(0,$K809-$L809),$J809)))</f>
      </c>
      <c r="N809" s="43">
        <f>IF($I809=0,0,MIN(SUMIFS(SondBetrag,SondDarl,2,SondDatum,"&gt;="&amp;$E809,SondDatum,"&lt;="&amp;EOMONTH($E809,0)),$J809-$M809))</f>
      </c>
      <c r="O809" s="43">
        <f>IF($I809=0,0,INDEX(DarlErsatzRate,2))</f>
      </c>
      <c r="P809" s="43">
        <f>IF($I809=0,0,$Q808*INDEX(DarlErsatzZins,2))</f>
      </c>
      <c r="Q809" s="43">
        <f>IF($I809=0,0,$Q808+$P809+$O809)</f>
      </c>
      <c r="R809" s="43">
        <f>IF($I809=0,0,$J809-$M809-$N809)</f>
      </c>
    </row>
    <row r="810">
      <c r="A810"/>
      <c r="B810">
        <v>2</v>
      </c>
      <c r="C810" s="43">
        <f>INDEX(DarlObj,2)</f>
      </c>
      <c r="D810">
        <v>327</v>
      </c>
      <c r="E810" s="51">
        <f>IF(INDEX(DarlBelegt,2)=0,0,EOMONTH(INDEX(DarlAuszahlung,2),326)+1)</f>
      </c>
      <c r="F810" s="43">
        <f>IF($E810=0,0,YEAR($E810))</f>
      </c>
      <c r="G810" s="43">
        <f>IF(INDEX(DarlBindung,2)="",1,IF($E810&lt;=INDEX(DarlBindung,2),1,0))</f>
      </c>
      <c r="H810" s="43">
        <f>IF($G810=1,INDEX(DarlSollzins,2),INDEX(DarlAnschluss,2))</f>
      </c>
      <c r="I810" s="43">
        <f>IF(INDEX(DarlBelegt,2)=0,0,IF(INDEX(DarlOhneTilgung,2)=1,IF(INDEX(DarlBindung,2)="",1,$G810),IF($J810&gt;0.005,1,0)))</f>
      </c>
      <c r="J810" s="43">
        <f>IF($I809=0,0,$R809)</f>
      </c>
      <c r="K810" s="43">
        <f>IF($I810=0,0,IF(INDEX(DarlOhneTilgung,2)=1,0,IF(AND(INDEX(DarlTilgStart,2)&gt;0,$E810=INDEX(DarlTilgStart,2)),$J810*($H810+INDEX(DarlTilgung,2))/100/12,IF(AND($G810=0,$G809=1),MAX($K809,$J810*($H810+1)/100/12),$K809))))</f>
      </c>
      <c r="L810" s="43">
        <f>IF($I810=0,0,$J810*$H810/100/12)</f>
      </c>
      <c r="M810" s="43">
        <f>IF($I810=0,0,IF(OR(INDEX(DarlOhneTilgung,2)=1,AND(INDEX(DarlTilgStart,2)&gt;0,$E810&lt;INDEX(DarlTilgStart,2))),0,MIN(MAX(0,$K810-$L810),$J810)))</f>
      </c>
      <c r="N810" s="43">
        <f>IF($I810=0,0,MIN(SUMIFS(SondBetrag,SondDarl,2,SondDatum,"&gt;="&amp;$E810,SondDatum,"&lt;="&amp;EOMONTH($E810,0)),$J810-$M810))</f>
      </c>
      <c r="O810" s="43">
        <f>IF($I810=0,0,INDEX(DarlErsatzRate,2))</f>
      </c>
      <c r="P810" s="43">
        <f>IF($I810=0,0,$Q809*INDEX(DarlErsatzZins,2))</f>
      </c>
      <c r="Q810" s="43">
        <f>IF($I810=0,0,$Q809+$P810+$O810)</f>
      </c>
      <c r="R810" s="43">
        <f>IF($I810=0,0,$J810-$M810-$N810)</f>
      </c>
    </row>
    <row r="811">
      <c r="A811"/>
      <c r="B811">
        <v>2</v>
      </c>
      <c r="C811" s="43">
        <f>INDEX(DarlObj,2)</f>
      </c>
      <c r="D811">
        <v>328</v>
      </c>
      <c r="E811" s="51">
        <f>IF(INDEX(DarlBelegt,2)=0,0,EOMONTH(INDEX(DarlAuszahlung,2),327)+1)</f>
      </c>
      <c r="F811" s="43">
        <f>IF($E811=0,0,YEAR($E811))</f>
      </c>
      <c r="G811" s="43">
        <f>IF(INDEX(DarlBindung,2)="",1,IF($E811&lt;=INDEX(DarlBindung,2),1,0))</f>
      </c>
      <c r="H811" s="43">
        <f>IF($G811=1,INDEX(DarlSollzins,2),INDEX(DarlAnschluss,2))</f>
      </c>
      <c r="I811" s="43">
        <f>IF(INDEX(DarlBelegt,2)=0,0,IF(INDEX(DarlOhneTilgung,2)=1,IF(INDEX(DarlBindung,2)="",1,$G811),IF($J811&gt;0.005,1,0)))</f>
      </c>
      <c r="J811" s="43">
        <f>IF($I810=0,0,$R810)</f>
      </c>
      <c r="K811" s="43">
        <f>IF($I811=0,0,IF(INDEX(DarlOhneTilgung,2)=1,0,IF(AND(INDEX(DarlTilgStart,2)&gt;0,$E811=INDEX(DarlTilgStart,2)),$J811*($H811+INDEX(DarlTilgung,2))/100/12,IF(AND($G811=0,$G810=1),MAX($K810,$J811*($H811+1)/100/12),$K810))))</f>
      </c>
      <c r="L811" s="43">
        <f>IF($I811=0,0,$J811*$H811/100/12)</f>
      </c>
      <c r="M811" s="43">
        <f>IF($I811=0,0,IF(OR(INDEX(DarlOhneTilgung,2)=1,AND(INDEX(DarlTilgStart,2)&gt;0,$E811&lt;INDEX(DarlTilgStart,2))),0,MIN(MAX(0,$K811-$L811),$J811)))</f>
      </c>
      <c r="N811" s="43">
        <f>IF($I811=0,0,MIN(SUMIFS(SondBetrag,SondDarl,2,SondDatum,"&gt;="&amp;$E811,SondDatum,"&lt;="&amp;EOMONTH($E811,0)),$J811-$M811))</f>
      </c>
      <c r="O811" s="43">
        <f>IF($I811=0,0,INDEX(DarlErsatzRate,2))</f>
      </c>
      <c r="P811" s="43">
        <f>IF($I811=0,0,$Q810*INDEX(DarlErsatzZins,2))</f>
      </c>
      <c r="Q811" s="43">
        <f>IF($I811=0,0,$Q810+$P811+$O811)</f>
      </c>
      <c r="R811" s="43">
        <f>IF($I811=0,0,$J811-$M811-$N811)</f>
      </c>
    </row>
    <row r="812">
      <c r="A812"/>
      <c r="B812">
        <v>2</v>
      </c>
      <c r="C812" s="43">
        <f>INDEX(DarlObj,2)</f>
      </c>
      <c r="D812">
        <v>329</v>
      </c>
      <c r="E812" s="51">
        <f>IF(INDEX(DarlBelegt,2)=0,0,EOMONTH(INDEX(DarlAuszahlung,2),328)+1)</f>
      </c>
      <c r="F812" s="43">
        <f>IF($E812=0,0,YEAR($E812))</f>
      </c>
      <c r="G812" s="43">
        <f>IF(INDEX(DarlBindung,2)="",1,IF($E812&lt;=INDEX(DarlBindung,2),1,0))</f>
      </c>
      <c r="H812" s="43">
        <f>IF($G812=1,INDEX(DarlSollzins,2),INDEX(DarlAnschluss,2))</f>
      </c>
      <c r="I812" s="43">
        <f>IF(INDEX(DarlBelegt,2)=0,0,IF(INDEX(DarlOhneTilgung,2)=1,IF(INDEX(DarlBindung,2)="",1,$G812),IF($J812&gt;0.005,1,0)))</f>
      </c>
      <c r="J812" s="43">
        <f>IF($I811=0,0,$R811)</f>
      </c>
      <c r="K812" s="43">
        <f>IF($I812=0,0,IF(INDEX(DarlOhneTilgung,2)=1,0,IF(AND(INDEX(DarlTilgStart,2)&gt;0,$E812=INDEX(DarlTilgStart,2)),$J812*($H812+INDEX(DarlTilgung,2))/100/12,IF(AND($G812=0,$G811=1),MAX($K811,$J812*($H812+1)/100/12),$K811))))</f>
      </c>
      <c r="L812" s="43">
        <f>IF($I812=0,0,$J812*$H812/100/12)</f>
      </c>
      <c r="M812" s="43">
        <f>IF($I812=0,0,IF(OR(INDEX(DarlOhneTilgung,2)=1,AND(INDEX(DarlTilgStart,2)&gt;0,$E812&lt;INDEX(DarlTilgStart,2))),0,MIN(MAX(0,$K812-$L812),$J812)))</f>
      </c>
      <c r="N812" s="43">
        <f>IF($I812=0,0,MIN(SUMIFS(SondBetrag,SondDarl,2,SondDatum,"&gt;="&amp;$E812,SondDatum,"&lt;="&amp;EOMONTH($E812,0)),$J812-$M812))</f>
      </c>
      <c r="O812" s="43">
        <f>IF($I812=0,0,INDEX(DarlErsatzRate,2))</f>
      </c>
      <c r="P812" s="43">
        <f>IF($I812=0,0,$Q811*INDEX(DarlErsatzZins,2))</f>
      </c>
      <c r="Q812" s="43">
        <f>IF($I812=0,0,$Q811+$P812+$O812)</f>
      </c>
      <c r="R812" s="43">
        <f>IF($I812=0,0,$J812-$M812-$N812)</f>
      </c>
    </row>
    <row r="813">
      <c r="A813"/>
      <c r="B813">
        <v>2</v>
      </c>
      <c r="C813" s="43">
        <f>INDEX(DarlObj,2)</f>
      </c>
      <c r="D813">
        <v>330</v>
      </c>
      <c r="E813" s="51">
        <f>IF(INDEX(DarlBelegt,2)=0,0,EOMONTH(INDEX(DarlAuszahlung,2),329)+1)</f>
      </c>
      <c r="F813" s="43">
        <f>IF($E813=0,0,YEAR($E813))</f>
      </c>
      <c r="G813" s="43">
        <f>IF(INDEX(DarlBindung,2)="",1,IF($E813&lt;=INDEX(DarlBindung,2),1,0))</f>
      </c>
      <c r="H813" s="43">
        <f>IF($G813=1,INDEX(DarlSollzins,2),INDEX(DarlAnschluss,2))</f>
      </c>
      <c r="I813" s="43">
        <f>IF(INDEX(DarlBelegt,2)=0,0,IF(INDEX(DarlOhneTilgung,2)=1,IF(INDEX(DarlBindung,2)="",1,$G813),IF($J813&gt;0.005,1,0)))</f>
      </c>
      <c r="J813" s="43">
        <f>IF($I812=0,0,$R812)</f>
      </c>
      <c r="K813" s="43">
        <f>IF($I813=0,0,IF(INDEX(DarlOhneTilgung,2)=1,0,IF(AND(INDEX(DarlTilgStart,2)&gt;0,$E813=INDEX(DarlTilgStart,2)),$J813*($H813+INDEX(DarlTilgung,2))/100/12,IF(AND($G813=0,$G812=1),MAX($K812,$J813*($H813+1)/100/12),$K812))))</f>
      </c>
      <c r="L813" s="43">
        <f>IF($I813=0,0,$J813*$H813/100/12)</f>
      </c>
      <c r="M813" s="43">
        <f>IF($I813=0,0,IF(OR(INDEX(DarlOhneTilgung,2)=1,AND(INDEX(DarlTilgStart,2)&gt;0,$E813&lt;INDEX(DarlTilgStart,2))),0,MIN(MAX(0,$K813-$L813),$J813)))</f>
      </c>
      <c r="N813" s="43">
        <f>IF($I813=0,0,MIN(SUMIFS(SondBetrag,SondDarl,2,SondDatum,"&gt;="&amp;$E813,SondDatum,"&lt;="&amp;EOMONTH($E813,0)),$J813-$M813))</f>
      </c>
      <c r="O813" s="43">
        <f>IF($I813=0,0,INDEX(DarlErsatzRate,2))</f>
      </c>
      <c r="P813" s="43">
        <f>IF($I813=0,0,$Q812*INDEX(DarlErsatzZins,2))</f>
      </c>
      <c r="Q813" s="43">
        <f>IF($I813=0,0,$Q812+$P813+$O813)</f>
      </c>
      <c r="R813" s="43">
        <f>IF($I813=0,0,$J813-$M813-$N813)</f>
      </c>
    </row>
    <row r="814">
      <c r="A814"/>
      <c r="B814">
        <v>2</v>
      </c>
      <c r="C814" s="43">
        <f>INDEX(DarlObj,2)</f>
      </c>
      <c r="D814">
        <v>331</v>
      </c>
      <c r="E814" s="51">
        <f>IF(INDEX(DarlBelegt,2)=0,0,EOMONTH(INDEX(DarlAuszahlung,2),330)+1)</f>
      </c>
      <c r="F814" s="43">
        <f>IF($E814=0,0,YEAR($E814))</f>
      </c>
      <c r="G814" s="43">
        <f>IF(INDEX(DarlBindung,2)="",1,IF($E814&lt;=INDEX(DarlBindung,2),1,0))</f>
      </c>
      <c r="H814" s="43">
        <f>IF($G814=1,INDEX(DarlSollzins,2),INDEX(DarlAnschluss,2))</f>
      </c>
      <c r="I814" s="43">
        <f>IF(INDEX(DarlBelegt,2)=0,0,IF(INDEX(DarlOhneTilgung,2)=1,IF(INDEX(DarlBindung,2)="",1,$G814),IF($J814&gt;0.005,1,0)))</f>
      </c>
      <c r="J814" s="43">
        <f>IF($I813=0,0,$R813)</f>
      </c>
      <c r="K814" s="43">
        <f>IF($I814=0,0,IF(INDEX(DarlOhneTilgung,2)=1,0,IF(AND(INDEX(DarlTilgStart,2)&gt;0,$E814=INDEX(DarlTilgStart,2)),$J814*($H814+INDEX(DarlTilgung,2))/100/12,IF(AND($G814=0,$G813=1),MAX($K813,$J814*($H814+1)/100/12),$K813))))</f>
      </c>
      <c r="L814" s="43">
        <f>IF($I814=0,0,$J814*$H814/100/12)</f>
      </c>
      <c r="M814" s="43">
        <f>IF($I814=0,0,IF(OR(INDEX(DarlOhneTilgung,2)=1,AND(INDEX(DarlTilgStart,2)&gt;0,$E814&lt;INDEX(DarlTilgStart,2))),0,MIN(MAX(0,$K814-$L814),$J814)))</f>
      </c>
      <c r="N814" s="43">
        <f>IF($I814=0,0,MIN(SUMIFS(SondBetrag,SondDarl,2,SondDatum,"&gt;="&amp;$E814,SondDatum,"&lt;="&amp;EOMONTH($E814,0)),$J814-$M814))</f>
      </c>
      <c r="O814" s="43">
        <f>IF($I814=0,0,INDEX(DarlErsatzRate,2))</f>
      </c>
      <c r="P814" s="43">
        <f>IF($I814=0,0,$Q813*INDEX(DarlErsatzZins,2))</f>
      </c>
      <c r="Q814" s="43">
        <f>IF($I814=0,0,$Q813+$P814+$O814)</f>
      </c>
      <c r="R814" s="43">
        <f>IF($I814=0,0,$J814-$M814-$N814)</f>
      </c>
    </row>
    <row r="815">
      <c r="A815"/>
      <c r="B815">
        <v>2</v>
      </c>
      <c r="C815" s="43">
        <f>INDEX(DarlObj,2)</f>
      </c>
      <c r="D815">
        <v>332</v>
      </c>
      <c r="E815" s="51">
        <f>IF(INDEX(DarlBelegt,2)=0,0,EOMONTH(INDEX(DarlAuszahlung,2),331)+1)</f>
      </c>
      <c r="F815" s="43">
        <f>IF($E815=0,0,YEAR($E815))</f>
      </c>
      <c r="G815" s="43">
        <f>IF(INDEX(DarlBindung,2)="",1,IF($E815&lt;=INDEX(DarlBindung,2),1,0))</f>
      </c>
      <c r="H815" s="43">
        <f>IF($G815=1,INDEX(DarlSollzins,2),INDEX(DarlAnschluss,2))</f>
      </c>
      <c r="I815" s="43">
        <f>IF(INDEX(DarlBelegt,2)=0,0,IF(INDEX(DarlOhneTilgung,2)=1,IF(INDEX(DarlBindung,2)="",1,$G815),IF($J815&gt;0.005,1,0)))</f>
      </c>
      <c r="J815" s="43">
        <f>IF($I814=0,0,$R814)</f>
      </c>
      <c r="K815" s="43">
        <f>IF($I815=0,0,IF(INDEX(DarlOhneTilgung,2)=1,0,IF(AND(INDEX(DarlTilgStart,2)&gt;0,$E815=INDEX(DarlTilgStart,2)),$J815*($H815+INDEX(DarlTilgung,2))/100/12,IF(AND($G815=0,$G814=1),MAX($K814,$J815*($H815+1)/100/12),$K814))))</f>
      </c>
      <c r="L815" s="43">
        <f>IF($I815=0,0,$J815*$H815/100/12)</f>
      </c>
      <c r="M815" s="43">
        <f>IF($I815=0,0,IF(OR(INDEX(DarlOhneTilgung,2)=1,AND(INDEX(DarlTilgStart,2)&gt;0,$E815&lt;INDEX(DarlTilgStart,2))),0,MIN(MAX(0,$K815-$L815),$J815)))</f>
      </c>
      <c r="N815" s="43">
        <f>IF($I815=0,0,MIN(SUMIFS(SondBetrag,SondDarl,2,SondDatum,"&gt;="&amp;$E815,SondDatum,"&lt;="&amp;EOMONTH($E815,0)),$J815-$M815))</f>
      </c>
      <c r="O815" s="43">
        <f>IF($I815=0,0,INDEX(DarlErsatzRate,2))</f>
      </c>
      <c r="P815" s="43">
        <f>IF($I815=0,0,$Q814*INDEX(DarlErsatzZins,2))</f>
      </c>
      <c r="Q815" s="43">
        <f>IF($I815=0,0,$Q814+$P815+$O815)</f>
      </c>
      <c r="R815" s="43">
        <f>IF($I815=0,0,$J815-$M815-$N815)</f>
      </c>
    </row>
    <row r="816">
      <c r="A816"/>
      <c r="B816">
        <v>2</v>
      </c>
      <c r="C816" s="43">
        <f>INDEX(DarlObj,2)</f>
      </c>
      <c r="D816">
        <v>333</v>
      </c>
      <c r="E816" s="51">
        <f>IF(INDEX(DarlBelegt,2)=0,0,EOMONTH(INDEX(DarlAuszahlung,2),332)+1)</f>
      </c>
      <c r="F816" s="43">
        <f>IF($E816=0,0,YEAR($E816))</f>
      </c>
      <c r="G816" s="43">
        <f>IF(INDEX(DarlBindung,2)="",1,IF($E816&lt;=INDEX(DarlBindung,2),1,0))</f>
      </c>
      <c r="H816" s="43">
        <f>IF($G816=1,INDEX(DarlSollzins,2),INDEX(DarlAnschluss,2))</f>
      </c>
      <c r="I816" s="43">
        <f>IF(INDEX(DarlBelegt,2)=0,0,IF(INDEX(DarlOhneTilgung,2)=1,IF(INDEX(DarlBindung,2)="",1,$G816),IF($J816&gt;0.005,1,0)))</f>
      </c>
      <c r="J816" s="43">
        <f>IF($I815=0,0,$R815)</f>
      </c>
      <c r="K816" s="43">
        <f>IF($I816=0,0,IF(INDEX(DarlOhneTilgung,2)=1,0,IF(AND(INDEX(DarlTilgStart,2)&gt;0,$E816=INDEX(DarlTilgStart,2)),$J816*($H816+INDEX(DarlTilgung,2))/100/12,IF(AND($G816=0,$G815=1),MAX($K815,$J816*($H816+1)/100/12),$K815))))</f>
      </c>
      <c r="L816" s="43">
        <f>IF($I816=0,0,$J816*$H816/100/12)</f>
      </c>
      <c r="M816" s="43">
        <f>IF($I816=0,0,IF(OR(INDEX(DarlOhneTilgung,2)=1,AND(INDEX(DarlTilgStart,2)&gt;0,$E816&lt;INDEX(DarlTilgStart,2))),0,MIN(MAX(0,$K816-$L816),$J816)))</f>
      </c>
      <c r="N816" s="43">
        <f>IF($I816=0,0,MIN(SUMIFS(SondBetrag,SondDarl,2,SondDatum,"&gt;="&amp;$E816,SondDatum,"&lt;="&amp;EOMONTH($E816,0)),$J816-$M816))</f>
      </c>
      <c r="O816" s="43">
        <f>IF($I816=0,0,INDEX(DarlErsatzRate,2))</f>
      </c>
      <c r="P816" s="43">
        <f>IF($I816=0,0,$Q815*INDEX(DarlErsatzZins,2))</f>
      </c>
      <c r="Q816" s="43">
        <f>IF($I816=0,0,$Q815+$P816+$O816)</f>
      </c>
      <c r="R816" s="43">
        <f>IF($I816=0,0,$J816-$M816-$N816)</f>
      </c>
    </row>
    <row r="817">
      <c r="A817"/>
      <c r="B817">
        <v>2</v>
      </c>
      <c r="C817" s="43">
        <f>INDEX(DarlObj,2)</f>
      </c>
      <c r="D817">
        <v>334</v>
      </c>
      <c r="E817" s="51">
        <f>IF(INDEX(DarlBelegt,2)=0,0,EOMONTH(INDEX(DarlAuszahlung,2),333)+1)</f>
      </c>
      <c r="F817" s="43">
        <f>IF($E817=0,0,YEAR($E817))</f>
      </c>
      <c r="G817" s="43">
        <f>IF(INDEX(DarlBindung,2)="",1,IF($E817&lt;=INDEX(DarlBindung,2),1,0))</f>
      </c>
      <c r="H817" s="43">
        <f>IF($G817=1,INDEX(DarlSollzins,2),INDEX(DarlAnschluss,2))</f>
      </c>
      <c r="I817" s="43">
        <f>IF(INDEX(DarlBelegt,2)=0,0,IF(INDEX(DarlOhneTilgung,2)=1,IF(INDEX(DarlBindung,2)="",1,$G817),IF($J817&gt;0.005,1,0)))</f>
      </c>
      <c r="J817" s="43">
        <f>IF($I816=0,0,$R816)</f>
      </c>
      <c r="K817" s="43">
        <f>IF($I817=0,0,IF(INDEX(DarlOhneTilgung,2)=1,0,IF(AND(INDEX(DarlTilgStart,2)&gt;0,$E817=INDEX(DarlTilgStart,2)),$J817*($H817+INDEX(DarlTilgung,2))/100/12,IF(AND($G817=0,$G816=1),MAX($K816,$J817*($H817+1)/100/12),$K816))))</f>
      </c>
      <c r="L817" s="43">
        <f>IF($I817=0,0,$J817*$H817/100/12)</f>
      </c>
      <c r="M817" s="43">
        <f>IF($I817=0,0,IF(OR(INDEX(DarlOhneTilgung,2)=1,AND(INDEX(DarlTilgStart,2)&gt;0,$E817&lt;INDEX(DarlTilgStart,2))),0,MIN(MAX(0,$K817-$L817),$J817)))</f>
      </c>
      <c r="N817" s="43">
        <f>IF($I817=0,0,MIN(SUMIFS(SondBetrag,SondDarl,2,SondDatum,"&gt;="&amp;$E817,SondDatum,"&lt;="&amp;EOMONTH($E817,0)),$J817-$M817))</f>
      </c>
      <c r="O817" s="43">
        <f>IF($I817=0,0,INDEX(DarlErsatzRate,2))</f>
      </c>
      <c r="P817" s="43">
        <f>IF($I817=0,0,$Q816*INDEX(DarlErsatzZins,2))</f>
      </c>
      <c r="Q817" s="43">
        <f>IF($I817=0,0,$Q816+$P817+$O817)</f>
      </c>
      <c r="R817" s="43">
        <f>IF($I817=0,0,$J817-$M817-$N817)</f>
      </c>
    </row>
    <row r="818">
      <c r="A818"/>
      <c r="B818">
        <v>2</v>
      </c>
      <c r="C818" s="43">
        <f>INDEX(DarlObj,2)</f>
      </c>
      <c r="D818">
        <v>335</v>
      </c>
      <c r="E818" s="51">
        <f>IF(INDEX(DarlBelegt,2)=0,0,EOMONTH(INDEX(DarlAuszahlung,2),334)+1)</f>
      </c>
      <c r="F818" s="43">
        <f>IF($E818=0,0,YEAR($E818))</f>
      </c>
      <c r="G818" s="43">
        <f>IF(INDEX(DarlBindung,2)="",1,IF($E818&lt;=INDEX(DarlBindung,2),1,0))</f>
      </c>
      <c r="H818" s="43">
        <f>IF($G818=1,INDEX(DarlSollzins,2),INDEX(DarlAnschluss,2))</f>
      </c>
      <c r="I818" s="43">
        <f>IF(INDEX(DarlBelegt,2)=0,0,IF(INDEX(DarlOhneTilgung,2)=1,IF(INDEX(DarlBindung,2)="",1,$G818),IF($J818&gt;0.005,1,0)))</f>
      </c>
      <c r="J818" s="43">
        <f>IF($I817=0,0,$R817)</f>
      </c>
      <c r="K818" s="43">
        <f>IF($I818=0,0,IF(INDEX(DarlOhneTilgung,2)=1,0,IF(AND(INDEX(DarlTilgStart,2)&gt;0,$E818=INDEX(DarlTilgStart,2)),$J818*($H818+INDEX(DarlTilgung,2))/100/12,IF(AND($G818=0,$G817=1),MAX($K817,$J818*($H818+1)/100/12),$K817))))</f>
      </c>
      <c r="L818" s="43">
        <f>IF($I818=0,0,$J818*$H818/100/12)</f>
      </c>
      <c r="M818" s="43">
        <f>IF($I818=0,0,IF(OR(INDEX(DarlOhneTilgung,2)=1,AND(INDEX(DarlTilgStart,2)&gt;0,$E818&lt;INDEX(DarlTilgStart,2))),0,MIN(MAX(0,$K818-$L818),$J818)))</f>
      </c>
      <c r="N818" s="43">
        <f>IF($I818=0,0,MIN(SUMIFS(SondBetrag,SondDarl,2,SondDatum,"&gt;="&amp;$E818,SondDatum,"&lt;="&amp;EOMONTH($E818,0)),$J818-$M818))</f>
      </c>
      <c r="O818" s="43">
        <f>IF($I818=0,0,INDEX(DarlErsatzRate,2))</f>
      </c>
      <c r="P818" s="43">
        <f>IF($I818=0,0,$Q817*INDEX(DarlErsatzZins,2))</f>
      </c>
      <c r="Q818" s="43">
        <f>IF($I818=0,0,$Q817+$P818+$O818)</f>
      </c>
      <c r="R818" s="43">
        <f>IF($I818=0,0,$J818-$M818-$N818)</f>
      </c>
    </row>
    <row r="819">
      <c r="A819"/>
      <c r="B819">
        <v>2</v>
      </c>
      <c r="C819" s="43">
        <f>INDEX(DarlObj,2)</f>
      </c>
      <c r="D819">
        <v>336</v>
      </c>
      <c r="E819" s="51">
        <f>IF(INDEX(DarlBelegt,2)=0,0,EOMONTH(INDEX(DarlAuszahlung,2),335)+1)</f>
      </c>
      <c r="F819" s="43">
        <f>IF($E819=0,0,YEAR($E819))</f>
      </c>
      <c r="G819" s="43">
        <f>IF(INDEX(DarlBindung,2)="",1,IF($E819&lt;=INDEX(DarlBindung,2),1,0))</f>
      </c>
      <c r="H819" s="43">
        <f>IF($G819=1,INDEX(DarlSollzins,2),INDEX(DarlAnschluss,2))</f>
      </c>
      <c r="I819" s="43">
        <f>IF(INDEX(DarlBelegt,2)=0,0,IF(INDEX(DarlOhneTilgung,2)=1,IF(INDEX(DarlBindung,2)="",1,$G819),IF($J819&gt;0.005,1,0)))</f>
      </c>
      <c r="J819" s="43">
        <f>IF($I818=0,0,$R818)</f>
      </c>
      <c r="K819" s="43">
        <f>IF($I819=0,0,IF(INDEX(DarlOhneTilgung,2)=1,0,IF(AND(INDEX(DarlTilgStart,2)&gt;0,$E819=INDEX(DarlTilgStart,2)),$J819*($H819+INDEX(DarlTilgung,2))/100/12,IF(AND($G819=0,$G818=1),MAX($K818,$J819*($H819+1)/100/12),$K818))))</f>
      </c>
      <c r="L819" s="43">
        <f>IF($I819=0,0,$J819*$H819/100/12)</f>
      </c>
      <c r="M819" s="43">
        <f>IF($I819=0,0,IF(OR(INDEX(DarlOhneTilgung,2)=1,AND(INDEX(DarlTilgStart,2)&gt;0,$E819&lt;INDEX(DarlTilgStart,2))),0,MIN(MAX(0,$K819-$L819),$J819)))</f>
      </c>
      <c r="N819" s="43">
        <f>IF($I819=0,0,MIN(SUMIFS(SondBetrag,SondDarl,2,SondDatum,"&gt;="&amp;$E819,SondDatum,"&lt;="&amp;EOMONTH($E819,0)),$J819-$M819))</f>
      </c>
      <c r="O819" s="43">
        <f>IF($I819=0,0,INDEX(DarlErsatzRate,2))</f>
      </c>
      <c r="P819" s="43">
        <f>IF($I819=0,0,$Q818*INDEX(DarlErsatzZins,2))</f>
      </c>
      <c r="Q819" s="43">
        <f>IF($I819=0,0,$Q818+$P819+$O819)</f>
      </c>
      <c r="R819" s="43">
        <f>IF($I819=0,0,$J819-$M819-$N819)</f>
      </c>
    </row>
    <row r="820">
      <c r="A820"/>
      <c r="B820">
        <v>2</v>
      </c>
      <c r="C820" s="43">
        <f>INDEX(DarlObj,2)</f>
      </c>
      <c r="D820">
        <v>337</v>
      </c>
      <c r="E820" s="51">
        <f>IF(INDEX(DarlBelegt,2)=0,0,EOMONTH(INDEX(DarlAuszahlung,2),336)+1)</f>
      </c>
      <c r="F820" s="43">
        <f>IF($E820=0,0,YEAR($E820))</f>
      </c>
      <c r="G820" s="43">
        <f>IF(INDEX(DarlBindung,2)="",1,IF($E820&lt;=INDEX(DarlBindung,2),1,0))</f>
      </c>
      <c r="H820" s="43">
        <f>IF($G820=1,INDEX(DarlSollzins,2),INDEX(DarlAnschluss,2))</f>
      </c>
      <c r="I820" s="43">
        <f>IF(INDEX(DarlBelegt,2)=0,0,IF(INDEX(DarlOhneTilgung,2)=1,IF(INDEX(DarlBindung,2)="",1,$G820),IF($J820&gt;0.005,1,0)))</f>
      </c>
      <c r="J820" s="43">
        <f>IF($I819=0,0,$R819)</f>
      </c>
      <c r="K820" s="43">
        <f>IF($I820=0,0,IF(INDEX(DarlOhneTilgung,2)=1,0,IF(AND(INDEX(DarlTilgStart,2)&gt;0,$E820=INDEX(DarlTilgStart,2)),$J820*($H820+INDEX(DarlTilgung,2))/100/12,IF(AND($G820=0,$G819=1),MAX($K819,$J820*($H820+1)/100/12),$K819))))</f>
      </c>
      <c r="L820" s="43">
        <f>IF($I820=0,0,$J820*$H820/100/12)</f>
      </c>
      <c r="M820" s="43">
        <f>IF($I820=0,0,IF(OR(INDEX(DarlOhneTilgung,2)=1,AND(INDEX(DarlTilgStart,2)&gt;0,$E820&lt;INDEX(DarlTilgStart,2))),0,MIN(MAX(0,$K820-$L820),$J820)))</f>
      </c>
      <c r="N820" s="43">
        <f>IF($I820=0,0,MIN(SUMIFS(SondBetrag,SondDarl,2,SondDatum,"&gt;="&amp;$E820,SondDatum,"&lt;="&amp;EOMONTH($E820,0)),$J820-$M820))</f>
      </c>
      <c r="O820" s="43">
        <f>IF($I820=0,0,INDEX(DarlErsatzRate,2))</f>
      </c>
      <c r="P820" s="43">
        <f>IF($I820=0,0,$Q819*INDEX(DarlErsatzZins,2))</f>
      </c>
      <c r="Q820" s="43">
        <f>IF($I820=0,0,$Q819+$P820+$O820)</f>
      </c>
      <c r="R820" s="43">
        <f>IF($I820=0,0,$J820-$M820-$N820)</f>
      </c>
    </row>
    <row r="821">
      <c r="A821"/>
      <c r="B821">
        <v>2</v>
      </c>
      <c r="C821" s="43">
        <f>INDEX(DarlObj,2)</f>
      </c>
      <c r="D821">
        <v>338</v>
      </c>
      <c r="E821" s="51">
        <f>IF(INDEX(DarlBelegt,2)=0,0,EOMONTH(INDEX(DarlAuszahlung,2),337)+1)</f>
      </c>
      <c r="F821" s="43">
        <f>IF($E821=0,0,YEAR($E821))</f>
      </c>
      <c r="G821" s="43">
        <f>IF(INDEX(DarlBindung,2)="",1,IF($E821&lt;=INDEX(DarlBindung,2),1,0))</f>
      </c>
      <c r="H821" s="43">
        <f>IF($G821=1,INDEX(DarlSollzins,2),INDEX(DarlAnschluss,2))</f>
      </c>
      <c r="I821" s="43">
        <f>IF(INDEX(DarlBelegt,2)=0,0,IF(INDEX(DarlOhneTilgung,2)=1,IF(INDEX(DarlBindung,2)="",1,$G821),IF($J821&gt;0.005,1,0)))</f>
      </c>
      <c r="J821" s="43">
        <f>IF($I820=0,0,$R820)</f>
      </c>
      <c r="K821" s="43">
        <f>IF($I821=0,0,IF(INDEX(DarlOhneTilgung,2)=1,0,IF(AND(INDEX(DarlTilgStart,2)&gt;0,$E821=INDEX(DarlTilgStart,2)),$J821*($H821+INDEX(DarlTilgung,2))/100/12,IF(AND($G821=0,$G820=1),MAX($K820,$J821*($H821+1)/100/12),$K820))))</f>
      </c>
      <c r="L821" s="43">
        <f>IF($I821=0,0,$J821*$H821/100/12)</f>
      </c>
      <c r="M821" s="43">
        <f>IF($I821=0,0,IF(OR(INDEX(DarlOhneTilgung,2)=1,AND(INDEX(DarlTilgStart,2)&gt;0,$E821&lt;INDEX(DarlTilgStart,2))),0,MIN(MAX(0,$K821-$L821),$J821)))</f>
      </c>
      <c r="N821" s="43">
        <f>IF($I821=0,0,MIN(SUMIFS(SondBetrag,SondDarl,2,SondDatum,"&gt;="&amp;$E821,SondDatum,"&lt;="&amp;EOMONTH($E821,0)),$J821-$M821))</f>
      </c>
      <c r="O821" s="43">
        <f>IF($I821=0,0,INDEX(DarlErsatzRate,2))</f>
      </c>
      <c r="P821" s="43">
        <f>IF($I821=0,0,$Q820*INDEX(DarlErsatzZins,2))</f>
      </c>
      <c r="Q821" s="43">
        <f>IF($I821=0,0,$Q820+$P821+$O821)</f>
      </c>
      <c r="R821" s="43">
        <f>IF($I821=0,0,$J821-$M821-$N821)</f>
      </c>
    </row>
    <row r="822">
      <c r="A822"/>
      <c r="B822">
        <v>2</v>
      </c>
      <c r="C822" s="43">
        <f>INDEX(DarlObj,2)</f>
      </c>
      <c r="D822">
        <v>339</v>
      </c>
      <c r="E822" s="51">
        <f>IF(INDEX(DarlBelegt,2)=0,0,EOMONTH(INDEX(DarlAuszahlung,2),338)+1)</f>
      </c>
      <c r="F822" s="43">
        <f>IF($E822=0,0,YEAR($E822))</f>
      </c>
      <c r="G822" s="43">
        <f>IF(INDEX(DarlBindung,2)="",1,IF($E822&lt;=INDEX(DarlBindung,2),1,0))</f>
      </c>
      <c r="H822" s="43">
        <f>IF($G822=1,INDEX(DarlSollzins,2),INDEX(DarlAnschluss,2))</f>
      </c>
      <c r="I822" s="43">
        <f>IF(INDEX(DarlBelegt,2)=0,0,IF(INDEX(DarlOhneTilgung,2)=1,IF(INDEX(DarlBindung,2)="",1,$G822),IF($J822&gt;0.005,1,0)))</f>
      </c>
      <c r="J822" s="43">
        <f>IF($I821=0,0,$R821)</f>
      </c>
      <c r="K822" s="43">
        <f>IF($I822=0,0,IF(INDEX(DarlOhneTilgung,2)=1,0,IF(AND(INDEX(DarlTilgStart,2)&gt;0,$E822=INDEX(DarlTilgStart,2)),$J822*($H822+INDEX(DarlTilgung,2))/100/12,IF(AND($G822=0,$G821=1),MAX($K821,$J822*($H822+1)/100/12),$K821))))</f>
      </c>
      <c r="L822" s="43">
        <f>IF($I822=0,0,$J822*$H822/100/12)</f>
      </c>
      <c r="M822" s="43">
        <f>IF($I822=0,0,IF(OR(INDEX(DarlOhneTilgung,2)=1,AND(INDEX(DarlTilgStart,2)&gt;0,$E822&lt;INDEX(DarlTilgStart,2))),0,MIN(MAX(0,$K822-$L822),$J822)))</f>
      </c>
      <c r="N822" s="43">
        <f>IF($I822=0,0,MIN(SUMIFS(SondBetrag,SondDarl,2,SondDatum,"&gt;="&amp;$E822,SondDatum,"&lt;="&amp;EOMONTH($E822,0)),$J822-$M822))</f>
      </c>
      <c r="O822" s="43">
        <f>IF($I822=0,0,INDEX(DarlErsatzRate,2))</f>
      </c>
      <c r="P822" s="43">
        <f>IF($I822=0,0,$Q821*INDEX(DarlErsatzZins,2))</f>
      </c>
      <c r="Q822" s="43">
        <f>IF($I822=0,0,$Q821+$P822+$O822)</f>
      </c>
      <c r="R822" s="43">
        <f>IF($I822=0,0,$J822-$M822-$N822)</f>
      </c>
    </row>
    <row r="823">
      <c r="A823"/>
      <c r="B823">
        <v>2</v>
      </c>
      <c r="C823" s="43">
        <f>INDEX(DarlObj,2)</f>
      </c>
      <c r="D823">
        <v>340</v>
      </c>
      <c r="E823" s="51">
        <f>IF(INDEX(DarlBelegt,2)=0,0,EOMONTH(INDEX(DarlAuszahlung,2),339)+1)</f>
      </c>
      <c r="F823" s="43">
        <f>IF($E823=0,0,YEAR($E823))</f>
      </c>
      <c r="G823" s="43">
        <f>IF(INDEX(DarlBindung,2)="",1,IF($E823&lt;=INDEX(DarlBindung,2),1,0))</f>
      </c>
      <c r="H823" s="43">
        <f>IF($G823=1,INDEX(DarlSollzins,2),INDEX(DarlAnschluss,2))</f>
      </c>
      <c r="I823" s="43">
        <f>IF(INDEX(DarlBelegt,2)=0,0,IF(INDEX(DarlOhneTilgung,2)=1,IF(INDEX(DarlBindung,2)="",1,$G823),IF($J823&gt;0.005,1,0)))</f>
      </c>
      <c r="J823" s="43">
        <f>IF($I822=0,0,$R822)</f>
      </c>
      <c r="K823" s="43">
        <f>IF($I823=0,0,IF(INDEX(DarlOhneTilgung,2)=1,0,IF(AND(INDEX(DarlTilgStart,2)&gt;0,$E823=INDEX(DarlTilgStart,2)),$J823*($H823+INDEX(DarlTilgung,2))/100/12,IF(AND($G823=0,$G822=1),MAX($K822,$J823*($H823+1)/100/12),$K822))))</f>
      </c>
      <c r="L823" s="43">
        <f>IF($I823=0,0,$J823*$H823/100/12)</f>
      </c>
      <c r="M823" s="43">
        <f>IF($I823=0,0,IF(OR(INDEX(DarlOhneTilgung,2)=1,AND(INDEX(DarlTilgStart,2)&gt;0,$E823&lt;INDEX(DarlTilgStart,2))),0,MIN(MAX(0,$K823-$L823),$J823)))</f>
      </c>
      <c r="N823" s="43">
        <f>IF($I823=0,0,MIN(SUMIFS(SondBetrag,SondDarl,2,SondDatum,"&gt;="&amp;$E823,SondDatum,"&lt;="&amp;EOMONTH($E823,0)),$J823-$M823))</f>
      </c>
      <c r="O823" s="43">
        <f>IF($I823=0,0,INDEX(DarlErsatzRate,2))</f>
      </c>
      <c r="P823" s="43">
        <f>IF($I823=0,0,$Q822*INDEX(DarlErsatzZins,2))</f>
      </c>
      <c r="Q823" s="43">
        <f>IF($I823=0,0,$Q822+$P823+$O823)</f>
      </c>
      <c r="R823" s="43">
        <f>IF($I823=0,0,$J823-$M823-$N823)</f>
      </c>
    </row>
    <row r="824">
      <c r="A824"/>
      <c r="B824">
        <v>2</v>
      </c>
      <c r="C824" s="43">
        <f>INDEX(DarlObj,2)</f>
      </c>
      <c r="D824">
        <v>341</v>
      </c>
      <c r="E824" s="51">
        <f>IF(INDEX(DarlBelegt,2)=0,0,EOMONTH(INDEX(DarlAuszahlung,2),340)+1)</f>
      </c>
      <c r="F824" s="43">
        <f>IF($E824=0,0,YEAR($E824))</f>
      </c>
      <c r="G824" s="43">
        <f>IF(INDEX(DarlBindung,2)="",1,IF($E824&lt;=INDEX(DarlBindung,2),1,0))</f>
      </c>
      <c r="H824" s="43">
        <f>IF($G824=1,INDEX(DarlSollzins,2),INDEX(DarlAnschluss,2))</f>
      </c>
      <c r="I824" s="43">
        <f>IF(INDEX(DarlBelegt,2)=0,0,IF(INDEX(DarlOhneTilgung,2)=1,IF(INDEX(DarlBindung,2)="",1,$G824),IF($J824&gt;0.005,1,0)))</f>
      </c>
      <c r="J824" s="43">
        <f>IF($I823=0,0,$R823)</f>
      </c>
      <c r="K824" s="43">
        <f>IF($I824=0,0,IF(INDEX(DarlOhneTilgung,2)=1,0,IF(AND(INDEX(DarlTilgStart,2)&gt;0,$E824=INDEX(DarlTilgStart,2)),$J824*($H824+INDEX(DarlTilgung,2))/100/12,IF(AND($G824=0,$G823=1),MAX($K823,$J824*($H824+1)/100/12),$K823))))</f>
      </c>
      <c r="L824" s="43">
        <f>IF($I824=0,0,$J824*$H824/100/12)</f>
      </c>
      <c r="M824" s="43">
        <f>IF($I824=0,0,IF(OR(INDEX(DarlOhneTilgung,2)=1,AND(INDEX(DarlTilgStart,2)&gt;0,$E824&lt;INDEX(DarlTilgStart,2))),0,MIN(MAX(0,$K824-$L824),$J824)))</f>
      </c>
      <c r="N824" s="43">
        <f>IF($I824=0,0,MIN(SUMIFS(SondBetrag,SondDarl,2,SondDatum,"&gt;="&amp;$E824,SondDatum,"&lt;="&amp;EOMONTH($E824,0)),$J824-$M824))</f>
      </c>
      <c r="O824" s="43">
        <f>IF($I824=0,0,INDEX(DarlErsatzRate,2))</f>
      </c>
      <c r="P824" s="43">
        <f>IF($I824=0,0,$Q823*INDEX(DarlErsatzZins,2))</f>
      </c>
      <c r="Q824" s="43">
        <f>IF($I824=0,0,$Q823+$P824+$O824)</f>
      </c>
      <c r="R824" s="43">
        <f>IF($I824=0,0,$J824-$M824-$N824)</f>
      </c>
    </row>
    <row r="825">
      <c r="A825"/>
      <c r="B825">
        <v>2</v>
      </c>
      <c r="C825" s="43">
        <f>INDEX(DarlObj,2)</f>
      </c>
      <c r="D825">
        <v>342</v>
      </c>
      <c r="E825" s="51">
        <f>IF(INDEX(DarlBelegt,2)=0,0,EOMONTH(INDEX(DarlAuszahlung,2),341)+1)</f>
      </c>
      <c r="F825" s="43">
        <f>IF($E825=0,0,YEAR($E825))</f>
      </c>
      <c r="G825" s="43">
        <f>IF(INDEX(DarlBindung,2)="",1,IF($E825&lt;=INDEX(DarlBindung,2),1,0))</f>
      </c>
      <c r="H825" s="43">
        <f>IF($G825=1,INDEX(DarlSollzins,2),INDEX(DarlAnschluss,2))</f>
      </c>
      <c r="I825" s="43">
        <f>IF(INDEX(DarlBelegt,2)=0,0,IF(INDEX(DarlOhneTilgung,2)=1,IF(INDEX(DarlBindung,2)="",1,$G825),IF($J825&gt;0.005,1,0)))</f>
      </c>
      <c r="J825" s="43">
        <f>IF($I824=0,0,$R824)</f>
      </c>
      <c r="K825" s="43">
        <f>IF($I825=0,0,IF(INDEX(DarlOhneTilgung,2)=1,0,IF(AND(INDEX(DarlTilgStart,2)&gt;0,$E825=INDEX(DarlTilgStart,2)),$J825*($H825+INDEX(DarlTilgung,2))/100/12,IF(AND($G825=0,$G824=1),MAX($K824,$J825*($H825+1)/100/12),$K824))))</f>
      </c>
      <c r="L825" s="43">
        <f>IF($I825=0,0,$J825*$H825/100/12)</f>
      </c>
      <c r="M825" s="43">
        <f>IF($I825=0,0,IF(OR(INDEX(DarlOhneTilgung,2)=1,AND(INDEX(DarlTilgStart,2)&gt;0,$E825&lt;INDEX(DarlTilgStart,2))),0,MIN(MAX(0,$K825-$L825),$J825)))</f>
      </c>
      <c r="N825" s="43">
        <f>IF($I825=0,0,MIN(SUMIFS(SondBetrag,SondDarl,2,SondDatum,"&gt;="&amp;$E825,SondDatum,"&lt;="&amp;EOMONTH($E825,0)),$J825-$M825))</f>
      </c>
      <c r="O825" s="43">
        <f>IF($I825=0,0,INDEX(DarlErsatzRate,2))</f>
      </c>
      <c r="P825" s="43">
        <f>IF($I825=0,0,$Q824*INDEX(DarlErsatzZins,2))</f>
      </c>
      <c r="Q825" s="43">
        <f>IF($I825=0,0,$Q824+$P825+$O825)</f>
      </c>
      <c r="R825" s="43">
        <f>IF($I825=0,0,$J825-$M825-$N825)</f>
      </c>
    </row>
    <row r="826">
      <c r="A826"/>
      <c r="B826">
        <v>2</v>
      </c>
      <c r="C826" s="43">
        <f>INDEX(DarlObj,2)</f>
      </c>
      <c r="D826">
        <v>343</v>
      </c>
      <c r="E826" s="51">
        <f>IF(INDEX(DarlBelegt,2)=0,0,EOMONTH(INDEX(DarlAuszahlung,2),342)+1)</f>
      </c>
      <c r="F826" s="43">
        <f>IF($E826=0,0,YEAR($E826))</f>
      </c>
      <c r="G826" s="43">
        <f>IF(INDEX(DarlBindung,2)="",1,IF($E826&lt;=INDEX(DarlBindung,2),1,0))</f>
      </c>
      <c r="H826" s="43">
        <f>IF($G826=1,INDEX(DarlSollzins,2),INDEX(DarlAnschluss,2))</f>
      </c>
      <c r="I826" s="43">
        <f>IF(INDEX(DarlBelegt,2)=0,0,IF(INDEX(DarlOhneTilgung,2)=1,IF(INDEX(DarlBindung,2)="",1,$G826),IF($J826&gt;0.005,1,0)))</f>
      </c>
      <c r="J826" s="43">
        <f>IF($I825=0,0,$R825)</f>
      </c>
      <c r="K826" s="43">
        <f>IF($I826=0,0,IF(INDEX(DarlOhneTilgung,2)=1,0,IF(AND(INDEX(DarlTilgStart,2)&gt;0,$E826=INDEX(DarlTilgStart,2)),$J826*($H826+INDEX(DarlTilgung,2))/100/12,IF(AND($G826=0,$G825=1),MAX($K825,$J826*($H826+1)/100/12),$K825))))</f>
      </c>
      <c r="L826" s="43">
        <f>IF($I826=0,0,$J826*$H826/100/12)</f>
      </c>
      <c r="M826" s="43">
        <f>IF($I826=0,0,IF(OR(INDEX(DarlOhneTilgung,2)=1,AND(INDEX(DarlTilgStart,2)&gt;0,$E826&lt;INDEX(DarlTilgStart,2))),0,MIN(MAX(0,$K826-$L826),$J826)))</f>
      </c>
      <c r="N826" s="43">
        <f>IF($I826=0,0,MIN(SUMIFS(SondBetrag,SondDarl,2,SondDatum,"&gt;="&amp;$E826,SondDatum,"&lt;="&amp;EOMONTH($E826,0)),$J826-$M826))</f>
      </c>
      <c r="O826" s="43">
        <f>IF($I826=0,0,INDEX(DarlErsatzRate,2))</f>
      </c>
      <c r="P826" s="43">
        <f>IF($I826=0,0,$Q825*INDEX(DarlErsatzZins,2))</f>
      </c>
      <c r="Q826" s="43">
        <f>IF($I826=0,0,$Q825+$P826+$O826)</f>
      </c>
      <c r="R826" s="43">
        <f>IF($I826=0,0,$J826-$M826-$N826)</f>
      </c>
    </row>
    <row r="827">
      <c r="A827"/>
      <c r="B827">
        <v>2</v>
      </c>
      <c r="C827" s="43">
        <f>INDEX(DarlObj,2)</f>
      </c>
      <c r="D827">
        <v>344</v>
      </c>
      <c r="E827" s="51">
        <f>IF(INDEX(DarlBelegt,2)=0,0,EOMONTH(INDEX(DarlAuszahlung,2),343)+1)</f>
      </c>
      <c r="F827" s="43">
        <f>IF($E827=0,0,YEAR($E827))</f>
      </c>
      <c r="G827" s="43">
        <f>IF(INDEX(DarlBindung,2)="",1,IF($E827&lt;=INDEX(DarlBindung,2),1,0))</f>
      </c>
      <c r="H827" s="43">
        <f>IF($G827=1,INDEX(DarlSollzins,2),INDEX(DarlAnschluss,2))</f>
      </c>
      <c r="I827" s="43">
        <f>IF(INDEX(DarlBelegt,2)=0,0,IF(INDEX(DarlOhneTilgung,2)=1,IF(INDEX(DarlBindung,2)="",1,$G827),IF($J827&gt;0.005,1,0)))</f>
      </c>
      <c r="J827" s="43">
        <f>IF($I826=0,0,$R826)</f>
      </c>
      <c r="K827" s="43">
        <f>IF($I827=0,0,IF(INDEX(DarlOhneTilgung,2)=1,0,IF(AND(INDEX(DarlTilgStart,2)&gt;0,$E827=INDEX(DarlTilgStart,2)),$J827*($H827+INDEX(DarlTilgung,2))/100/12,IF(AND($G827=0,$G826=1),MAX($K826,$J827*($H827+1)/100/12),$K826))))</f>
      </c>
      <c r="L827" s="43">
        <f>IF($I827=0,0,$J827*$H827/100/12)</f>
      </c>
      <c r="M827" s="43">
        <f>IF($I827=0,0,IF(OR(INDEX(DarlOhneTilgung,2)=1,AND(INDEX(DarlTilgStart,2)&gt;0,$E827&lt;INDEX(DarlTilgStart,2))),0,MIN(MAX(0,$K827-$L827),$J827)))</f>
      </c>
      <c r="N827" s="43">
        <f>IF($I827=0,0,MIN(SUMIFS(SondBetrag,SondDarl,2,SondDatum,"&gt;="&amp;$E827,SondDatum,"&lt;="&amp;EOMONTH($E827,0)),$J827-$M827))</f>
      </c>
      <c r="O827" s="43">
        <f>IF($I827=0,0,INDEX(DarlErsatzRate,2))</f>
      </c>
      <c r="P827" s="43">
        <f>IF($I827=0,0,$Q826*INDEX(DarlErsatzZins,2))</f>
      </c>
      <c r="Q827" s="43">
        <f>IF($I827=0,0,$Q826+$P827+$O827)</f>
      </c>
      <c r="R827" s="43">
        <f>IF($I827=0,0,$J827-$M827-$N827)</f>
      </c>
    </row>
    <row r="828">
      <c r="A828"/>
      <c r="B828">
        <v>2</v>
      </c>
      <c r="C828" s="43">
        <f>INDEX(DarlObj,2)</f>
      </c>
      <c r="D828">
        <v>345</v>
      </c>
      <c r="E828" s="51">
        <f>IF(INDEX(DarlBelegt,2)=0,0,EOMONTH(INDEX(DarlAuszahlung,2),344)+1)</f>
      </c>
      <c r="F828" s="43">
        <f>IF($E828=0,0,YEAR($E828))</f>
      </c>
      <c r="G828" s="43">
        <f>IF(INDEX(DarlBindung,2)="",1,IF($E828&lt;=INDEX(DarlBindung,2),1,0))</f>
      </c>
      <c r="H828" s="43">
        <f>IF($G828=1,INDEX(DarlSollzins,2),INDEX(DarlAnschluss,2))</f>
      </c>
      <c r="I828" s="43">
        <f>IF(INDEX(DarlBelegt,2)=0,0,IF(INDEX(DarlOhneTilgung,2)=1,IF(INDEX(DarlBindung,2)="",1,$G828),IF($J828&gt;0.005,1,0)))</f>
      </c>
      <c r="J828" s="43">
        <f>IF($I827=0,0,$R827)</f>
      </c>
      <c r="K828" s="43">
        <f>IF($I828=0,0,IF(INDEX(DarlOhneTilgung,2)=1,0,IF(AND(INDEX(DarlTilgStart,2)&gt;0,$E828=INDEX(DarlTilgStart,2)),$J828*($H828+INDEX(DarlTilgung,2))/100/12,IF(AND($G828=0,$G827=1),MAX($K827,$J828*($H828+1)/100/12),$K827))))</f>
      </c>
      <c r="L828" s="43">
        <f>IF($I828=0,0,$J828*$H828/100/12)</f>
      </c>
      <c r="M828" s="43">
        <f>IF($I828=0,0,IF(OR(INDEX(DarlOhneTilgung,2)=1,AND(INDEX(DarlTilgStart,2)&gt;0,$E828&lt;INDEX(DarlTilgStart,2))),0,MIN(MAX(0,$K828-$L828),$J828)))</f>
      </c>
      <c r="N828" s="43">
        <f>IF($I828=0,0,MIN(SUMIFS(SondBetrag,SondDarl,2,SondDatum,"&gt;="&amp;$E828,SondDatum,"&lt;="&amp;EOMONTH($E828,0)),$J828-$M828))</f>
      </c>
      <c r="O828" s="43">
        <f>IF($I828=0,0,INDEX(DarlErsatzRate,2))</f>
      </c>
      <c r="P828" s="43">
        <f>IF($I828=0,0,$Q827*INDEX(DarlErsatzZins,2))</f>
      </c>
      <c r="Q828" s="43">
        <f>IF($I828=0,0,$Q827+$P828+$O828)</f>
      </c>
      <c r="R828" s="43">
        <f>IF($I828=0,0,$J828-$M828-$N828)</f>
      </c>
    </row>
    <row r="829">
      <c r="A829"/>
      <c r="B829">
        <v>2</v>
      </c>
      <c r="C829" s="43">
        <f>INDEX(DarlObj,2)</f>
      </c>
      <c r="D829">
        <v>346</v>
      </c>
      <c r="E829" s="51">
        <f>IF(INDEX(DarlBelegt,2)=0,0,EOMONTH(INDEX(DarlAuszahlung,2),345)+1)</f>
      </c>
      <c r="F829" s="43">
        <f>IF($E829=0,0,YEAR($E829))</f>
      </c>
      <c r="G829" s="43">
        <f>IF(INDEX(DarlBindung,2)="",1,IF($E829&lt;=INDEX(DarlBindung,2),1,0))</f>
      </c>
      <c r="H829" s="43">
        <f>IF($G829=1,INDEX(DarlSollzins,2),INDEX(DarlAnschluss,2))</f>
      </c>
      <c r="I829" s="43">
        <f>IF(INDEX(DarlBelegt,2)=0,0,IF(INDEX(DarlOhneTilgung,2)=1,IF(INDEX(DarlBindung,2)="",1,$G829),IF($J829&gt;0.005,1,0)))</f>
      </c>
      <c r="J829" s="43">
        <f>IF($I828=0,0,$R828)</f>
      </c>
      <c r="K829" s="43">
        <f>IF($I829=0,0,IF(INDEX(DarlOhneTilgung,2)=1,0,IF(AND(INDEX(DarlTilgStart,2)&gt;0,$E829=INDEX(DarlTilgStart,2)),$J829*($H829+INDEX(DarlTilgung,2))/100/12,IF(AND($G829=0,$G828=1),MAX($K828,$J829*($H829+1)/100/12),$K828))))</f>
      </c>
      <c r="L829" s="43">
        <f>IF($I829=0,0,$J829*$H829/100/12)</f>
      </c>
      <c r="M829" s="43">
        <f>IF($I829=0,0,IF(OR(INDEX(DarlOhneTilgung,2)=1,AND(INDEX(DarlTilgStart,2)&gt;0,$E829&lt;INDEX(DarlTilgStart,2))),0,MIN(MAX(0,$K829-$L829),$J829)))</f>
      </c>
      <c r="N829" s="43">
        <f>IF($I829=0,0,MIN(SUMIFS(SondBetrag,SondDarl,2,SondDatum,"&gt;="&amp;$E829,SondDatum,"&lt;="&amp;EOMONTH($E829,0)),$J829-$M829))</f>
      </c>
      <c r="O829" s="43">
        <f>IF($I829=0,0,INDEX(DarlErsatzRate,2))</f>
      </c>
      <c r="P829" s="43">
        <f>IF($I829=0,0,$Q828*INDEX(DarlErsatzZins,2))</f>
      </c>
      <c r="Q829" s="43">
        <f>IF($I829=0,0,$Q828+$P829+$O829)</f>
      </c>
      <c r="R829" s="43">
        <f>IF($I829=0,0,$J829-$M829-$N829)</f>
      </c>
    </row>
    <row r="830">
      <c r="A830"/>
      <c r="B830">
        <v>2</v>
      </c>
      <c r="C830" s="43">
        <f>INDEX(DarlObj,2)</f>
      </c>
      <c r="D830">
        <v>347</v>
      </c>
      <c r="E830" s="51">
        <f>IF(INDEX(DarlBelegt,2)=0,0,EOMONTH(INDEX(DarlAuszahlung,2),346)+1)</f>
      </c>
      <c r="F830" s="43">
        <f>IF($E830=0,0,YEAR($E830))</f>
      </c>
      <c r="G830" s="43">
        <f>IF(INDEX(DarlBindung,2)="",1,IF($E830&lt;=INDEX(DarlBindung,2),1,0))</f>
      </c>
      <c r="H830" s="43">
        <f>IF($G830=1,INDEX(DarlSollzins,2),INDEX(DarlAnschluss,2))</f>
      </c>
      <c r="I830" s="43">
        <f>IF(INDEX(DarlBelegt,2)=0,0,IF(INDEX(DarlOhneTilgung,2)=1,IF(INDEX(DarlBindung,2)="",1,$G830),IF($J830&gt;0.005,1,0)))</f>
      </c>
      <c r="J830" s="43">
        <f>IF($I829=0,0,$R829)</f>
      </c>
      <c r="K830" s="43">
        <f>IF($I830=0,0,IF(INDEX(DarlOhneTilgung,2)=1,0,IF(AND(INDEX(DarlTilgStart,2)&gt;0,$E830=INDEX(DarlTilgStart,2)),$J830*($H830+INDEX(DarlTilgung,2))/100/12,IF(AND($G830=0,$G829=1),MAX($K829,$J830*($H830+1)/100/12),$K829))))</f>
      </c>
      <c r="L830" s="43">
        <f>IF($I830=0,0,$J830*$H830/100/12)</f>
      </c>
      <c r="M830" s="43">
        <f>IF($I830=0,0,IF(OR(INDEX(DarlOhneTilgung,2)=1,AND(INDEX(DarlTilgStart,2)&gt;0,$E830&lt;INDEX(DarlTilgStart,2))),0,MIN(MAX(0,$K830-$L830),$J830)))</f>
      </c>
      <c r="N830" s="43">
        <f>IF($I830=0,0,MIN(SUMIFS(SondBetrag,SondDarl,2,SondDatum,"&gt;="&amp;$E830,SondDatum,"&lt;="&amp;EOMONTH($E830,0)),$J830-$M830))</f>
      </c>
      <c r="O830" s="43">
        <f>IF($I830=0,0,INDEX(DarlErsatzRate,2))</f>
      </c>
      <c r="P830" s="43">
        <f>IF($I830=0,0,$Q829*INDEX(DarlErsatzZins,2))</f>
      </c>
      <c r="Q830" s="43">
        <f>IF($I830=0,0,$Q829+$P830+$O830)</f>
      </c>
      <c r="R830" s="43">
        <f>IF($I830=0,0,$J830-$M830-$N830)</f>
      </c>
    </row>
    <row r="831">
      <c r="A831"/>
      <c r="B831">
        <v>2</v>
      </c>
      <c r="C831" s="43">
        <f>INDEX(DarlObj,2)</f>
      </c>
      <c r="D831">
        <v>348</v>
      </c>
      <c r="E831" s="51">
        <f>IF(INDEX(DarlBelegt,2)=0,0,EOMONTH(INDEX(DarlAuszahlung,2),347)+1)</f>
      </c>
      <c r="F831" s="43">
        <f>IF($E831=0,0,YEAR($E831))</f>
      </c>
      <c r="G831" s="43">
        <f>IF(INDEX(DarlBindung,2)="",1,IF($E831&lt;=INDEX(DarlBindung,2),1,0))</f>
      </c>
      <c r="H831" s="43">
        <f>IF($G831=1,INDEX(DarlSollzins,2),INDEX(DarlAnschluss,2))</f>
      </c>
      <c r="I831" s="43">
        <f>IF(INDEX(DarlBelegt,2)=0,0,IF(INDEX(DarlOhneTilgung,2)=1,IF(INDEX(DarlBindung,2)="",1,$G831),IF($J831&gt;0.005,1,0)))</f>
      </c>
      <c r="J831" s="43">
        <f>IF($I830=0,0,$R830)</f>
      </c>
      <c r="K831" s="43">
        <f>IF($I831=0,0,IF(INDEX(DarlOhneTilgung,2)=1,0,IF(AND(INDEX(DarlTilgStart,2)&gt;0,$E831=INDEX(DarlTilgStart,2)),$J831*($H831+INDEX(DarlTilgung,2))/100/12,IF(AND($G831=0,$G830=1),MAX($K830,$J831*($H831+1)/100/12),$K830))))</f>
      </c>
      <c r="L831" s="43">
        <f>IF($I831=0,0,$J831*$H831/100/12)</f>
      </c>
      <c r="M831" s="43">
        <f>IF($I831=0,0,IF(OR(INDEX(DarlOhneTilgung,2)=1,AND(INDEX(DarlTilgStart,2)&gt;0,$E831&lt;INDEX(DarlTilgStart,2))),0,MIN(MAX(0,$K831-$L831),$J831)))</f>
      </c>
      <c r="N831" s="43">
        <f>IF($I831=0,0,MIN(SUMIFS(SondBetrag,SondDarl,2,SondDatum,"&gt;="&amp;$E831,SondDatum,"&lt;="&amp;EOMONTH($E831,0)),$J831-$M831))</f>
      </c>
      <c r="O831" s="43">
        <f>IF($I831=0,0,INDEX(DarlErsatzRate,2))</f>
      </c>
      <c r="P831" s="43">
        <f>IF($I831=0,0,$Q830*INDEX(DarlErsatzZins,2))</f>
      </c>
      <c r="Q831" s="43">
        <f>IF($I831=0,0,$Q830+$P831+$O831)</f>
      </c>
      <c r="R831" s="43">
        <f>IF($I831=0,0,$J831-$M831-$N831)</f>
      </c>
    </row>
    <row r="832">
      <c r="A832"/>
      <c r="B832">
        <v>2</v>
      </c>
      <c r="C832" s="43">
        <f>INDEX(DarlObj,2)</f>
      </c>
      <c r="D832">
        <v>349</v>
      </c>
      <c r="E832" s="51">
        <f>IF(INDEX(DarlBelegt,2)=0,0,EOMONTH(INDEX(DarlAuszahlung,2),348)+1)</f>
      </c>
      <c r="F832" s="43">
        <f>IF($E832=0,0,YEAR($E832))</f>
      </c>
      <c r="G832" s="43">
        <f>IF(INDEX(DarlBindung,2)="",1,IF($E832&lt;=INDEX(DarlBindung,2),1,0))</f>
      </c>
      <c r="H832" s="43">
        <f>IF($G832=1,INDEX(DarlSollzins,2),INDEX(DarlAnschluss,2))</f>
      </c>
      <c r="I832" s="43">
        <f>IF(INDEX(DarlBelegt,2)=0,0,IF(INDEX(DarlOhneTilgung,2)=1,IF(INDEX(DarlBindung,2)="",1,$G832),IF($J832&gt;0.005,1,0)))</f>
      </c>
      <c r="J832" s="43">
        <f>IF($I831=0,0,$R831)</f>
      </c>
      <c r="K832" s="43">
        <f>IF($I832=0,0,IF(INDEX(DarlOhneTilgung,2)=1,0,IF(AND(INDEX(DarlTilgStart,2)&gt;0,$E832=INDEX(DarlTilgStart,2)),$J832*($H832+INDEX(DarlTilgung,2))/100/12,IF(AND($G832=0,$G831=1),MAX($K831,$J832*($H832+1)/100/12),$K831))))</f>
      </c>
      <c r="L832" s="43">
        <f>IF($I832=0,0,$J832*$H832/100/12)</f>
      </c>
      <c r="M832" s="43">
        <f>IF($I832=0,0,IF(OR(INDEX(DarlOhneTilgung,2)=1,AND(INDEX(DarlTilgStart,2)&gt;0,$E832&lt;INDEX(DarlTilgStart,2))),0,MIN(MAX(0,$K832-$L832),$J832)))</f>
      </c>
      <c r="N832" s="43">
        <f>IF($I832=0,0,MIN(SUMIFS(SondBetrag,SondDarl,2,SondDatum,"&gt;="&amp;$E832,SondDatum,"&lt;="&amp;EOMONTH($E832,0)),$J832-$M832))</f>
      </c>
      <c r="O832" s="43">
        <f>IF($I832=0,0,INDEX(DarlErsatzRate,2))</f>
      </c>
      <c r="P832" s="43">
        <f>IF($I832=0,0,$Q831*INDEX(DarlErsatzZins,2))</f>
      </c>
      <c r="Q832" s="43">
        <f>IF($I832=0,0,$Q831+$P832+$O832)</f>
      </c>
      <c r="R832" s="43">
        <f>IF($I832=0,0,$J832-$M832-$N832)</f>
      </c>
    </row>
    <row r="833">
      <c r="A833"/>
      <c r="B833">
        <v>2</v>
      </c>
      <c r="C833" s="43">
        <f>INDEX(DarlObj,2)</f>
      </c>
      <c r="D833">
        <v>350</v>
      </c>
      <c r="E833" s="51">
        <f>IF(INDEX(DarlBelegt,2)=0,0,EOMONTH(INDEX(DarlAuszahlung,2),349)+1)</f>
      </c>
      <c r="F833" s="43">
        <f>IF($E833=0,0,YEAR($E833))</f>
      </c>
      <c r="G833" s="43">
        <f>IF(INDEX(DarlBindung,2)="",1,IF($E833&lt;=INDEX(DarlBindung,2),1,0))</f>
      </c>
      <c r="H833" s="43">
        <f>IF($G833=1,INDEX(DarlSollzins,2),INDEX(DarlAnschluss,2))</f>
      </c>
      <c r="I833" s="43">
        <f>IF(INDEX(DarlBelegt,2)=0,0,IF(INDEX(DarlOhneTilgung,2)=1,IF(INDEX(DarlBindung,2)="",1,$G833),IF($J833&gt;0.005,1,0)))</f>
      </c>
      <c r="J833" s="43">
        <f>IF($I832=0,0,$R832)</f>
      </c>
      <c r="K833" s="43">
        <f>IF($I833=0,0,IF(INDEX(DarlOhneTilgung,2)=1,0,IF(AND(INDEX(DarlTilgStart,2)&gt;0,$E833=INDEX(DarlTilgStart,2)),$J833*($H833+INDEX(DarlTilgung,2))/100/12,IF(AND($G833=0,$G832=1),MAX($K832,$J833*($H833+1)/100/12),$K832))))</f>
      </c>
      <c r="L833" s="43">
        <f>IF($I833=0,0,$J833*$H833/100/12)</f>
      </c>
      <c r="M833" s="43">
        <f>IF($I833=0,0,IF(OR(INDEX(DarlOhneTilgung,2)=1,AND(INDEX(DarlTilgStart,2)&gt;0,$E833&lt;INDEX(DarlTilgStart,2))),0,MIN(MAX(0,$K833-$L833),$J833)))</f>
      </c>
      <c r="N833" s="43">
        <f>IF($I833=0,0,MIN(SUMIFS(SondBetrag,SondDarl,2,SondDatum,"&gt;="&amp;$E833,SondDatum,"&lt;="&amp;EOMONTH($E833,0)),$J833-$M833))</f>
      </c>
      <c r="O833" s="43">
        <f>IF($I833=0,0,INDEX(DarlErsatzRate,2))</f>
      </c>
      <c r="P833" s="43">
        <f>IF($I833=0,0,$Q832*INDEX(DarlErsatzZins,2))</f>
      </c>
      <c r="Q833" s="43">
        <f>IF($I833=0,0,$Q832+$P833+$O833)</f>
      </c>
      <c r="R833" s="43">
        <f>IF($I833=0,0,$J833-$M833-$N833)</f>
      </c>
    </row>
    <row r="834">
      <c r="A834"/>
      <c r="B834">
        <v>2</v>
      </c>
      <c r="C834" s="43">
        <f>INDEX(DarlObj,2)</f>
      </c>
      <c r="D834">
        <v>351</v>
      </c>
      <c r="E834" s="51">
        <f>IF(INDEX(DarlBelegt,2)=0,0,EOMONTH(INDEX(DarlAuszahlung,2),350)+1)</f>
      </c>
      <c r="F834" s="43">
        <f>IF($E834=0,0,YEAR($E834))</f>
      </c>
      <c r="G834" s="43">
        <f>IF(INDEX(DarlBindung,2)="",1,IF($E834&lt;=INDEX(DarlBindung,2),1,0))</f>
      </c>
      <c r="H834" s="43">
        <f>IF($G834=1,INDEX(DarlSollzins,2),INDEX(DarlAnschluss,2))</f>
      </c>
      <c r="I834" s="43">
        <f>IF(INDEX(DarlBelegt,2)=0,0,IF(INDEX(DarlOhneTilgung,2)=1,IF(INDEX(DarlBindung,2)="",1,$G834),IF($J834&gt;0.005,1,0)))</f>
      </c>
      <c r="J834" s="43">
        <f>IF($I833=0,0,$R833)</f>
      </c>
      <c r="K834" s="43">
        <f>IF($I834=0,0,IF(INDEX(DarlOhneTilgung,2)=1,0,IF(AND(INDEX(DarlTilgStart,2)&gt;0,$E834=INDEX(DarlTilgStart,2)),$J834*($H834+INDEX(DarlTilgung,2))/100/12,IF(AND($G834=0,$G833=1),MAX($K833,$J834*($H834+1)/100/12),$K833))))</f>
      </c>
      <c r="L834" s="43">
        <f>IF($I834=0,0,$J834*$H834/100/12)</f>
      </c>
      <c r="M834" s="43">
        <f>IF($I834=0,0,IF(OR(INDEX(DarlOhneTilgung,2)=1,AND(INDEX(DarlTilgStart,2)&gt;0,$E834&lt;INDEX(DarlTilgStart,2))),0,MIN(MAX(0,$K834-$L834),$J834)))</f>
      </c>
      <c r="N834" s="43">
        <f>IF($I834=0,0,MIN(SUMIFS(SondBetrag,SondDarl,2,SondDatum,"&gt;="&amp;$E834,SondDatum,"&lt;="&amp;EOMONTH($E834,0)),$J834-$M834))</f>
      </c>
      <c r="O834" s="43">
        <f>IF($I834=0,0,INDEX(DarlErsatzRate,2))</f>
      </c>
      <c r="P834" s="43">
        <f>IF($I834=0,0,$Q833*INDEX(DarlErsatzZins,2))</f>
      </c>
      <c r="Q834" s="43">
        <f>IF($I834=0,0,$Q833+$P834+$O834)</f>
      </c>
      <c r="R834" s="43">
        <f>IF($I834=0,0,$J834-$M834-$N834)</f>
      </c>
    </row>
    <row r="835">
      <c r="A835"/>
      <c r="B835">
        <v>2</v>
      </c>
      <c r="C835" s="43">
        <f>INDEX(DarlObj,2)</f>
      </c>
      <c r="D835">
        <v>352</v>
      </c>
      <c r="E835" s="51">
        <f>IF(INDEX(DarlBelegt,2)=0,0,EOMONTH(INDEX(DarlAuszahlung,2),351)+1)</f>
      </c>
      <c r="F835" s="43">
        <f>IF($E835=0,0,YEAR($E835))</f>
      </c>
      <c r="G835" s="43">
        <f>IF(INDEX(DarlBindung,2)="",1,IF($E835&lt;=INDEX(DarlBindung,2),1,0))</f>
      </c>
      <c r="H835" s="43">
        <f>IF($G835=1,INDEX(DarlSollzins,2),INDEX(DarlAnschluss,2))</f>
      </c>
      <c r="I835" s="43">
        <f>IF(INDEX(DarlBelegt,2)=0,0,IF(INDEX(DarlOhneTilgung,2)=1,IF(INDEX(DarlBindung,2)="",1,$G835),IF($J835&gt;0.005,1,0)))</f>
      </c>
      <c r="J835" s="43">
        <f>IF($I834=0,0,$R834)</f>
      </c>
      <c r="K835" s="43">
        <f>IF($I835=0,0,IF(INDEX(DarlOhneTilgung,2)=1,0,IF(AND(INDEX(DarlTilgStart,2)&gt;0,$E835=INDEX(DarlTilgStart,2)),$J835*($H835+INDEX(DarlTilgung,2))/100/12,IF(AND($G835=0,$G834=1),MAX($K834,$J835*($H835+1)/100/12),$K834))))</f>
      </c>
      <c r="L835" s="43">
        <f>IF($I835=0,0,$J835*$H835/100/12)</f>
      </c>
      <c r="M835" s="43">
        <f>IF($I835=0,0,IF(OR(INDEX(DarlOhneTilgung,2)=1,AND(INDEX(DarlTilgStart,2)&gt;0,$E835&lt;INDEX(DarlTilgStart,2))),0,MIN(MAX(0,$K835-$L835),$J835)))</f>
      </c>
      <c r="N835" s="43">
        <f>IF($I835=0,0,MIN(SUMIFS(SondBetrag,SondDarl,2,SondDatum,"&gt;="&amp;$E835,SondDatum,"&lt;="&amp;EOMONTH($E835,0)),$J835-$M835))</f>
      </c>
      <c r="O835" s="43">
        <f>IF($I835=0,0,INDEX(DarlErsatzRate,2))</f>
      </c>
      <c r="P835" s="43">
        <f>IF($I835=0,0,$Q834*INDEX(DarlErsatzZins,2))</f>
      </c>
      <c r="Q835" s="43">
        <f>IF($I835=0,0,$Q834+$P835+$O835)</f>
      </c>
      <c r="R835" s="43">
        <f>IF($I835=0,0,$J835-$M835-$N835)</f>
      </c>
    </row>
    <row r="836">
      <c r="A836"/>
      <c r="B836">
        <v>2</v>
      </c>
      <c r="C836" s="43">
        <f>INDEX(DarlObj,2)</f>
      </c>
      <c r="D836">
        <v>353</v>
      </c>
      <c r="E836" s="51">
        <f>IF(INDEX(DarlBelegt,2)=0,0,EOMONTH(INDEX(DarlAuszahlung,2),352)+1)</f>
      </c>
      <c r="F836" s="43">
        <f>IF($E836=0,0,YEAR($E836))</f>
      </c>
      <c r="G836" s="43">
        <f>IF(INDEX(DarlBindung,2)="",1,IF($E836&lt;=INDEX(DarlBindung,2),1,0))</f>
      </c>
      <c r="H836" s="43">
        <f>IF($G836=1,INDEX(DarlSollzins,2),INDEX(DarlAnschluss,2))</f>
      </c>
      <c r="I836" s="43">
        <f>IF(INDEX(DarlBelegt,2)=0,0,IF(INDEX(DarlOhneTilgung,2)=1,IF(INDEX(DarlBindung,2)="",1,$G836),IF($J836&gt;0.005,1,0)))</f>
      </c>
      <c r="J836" s="43">
        <f>IF($I835=0,0,$R835)</f>
      </c>
      <c r="K836" s="43">
        <f>IF($I836=0,0,IF(INDEX(DarlOhneTilgung,2)=1,0,IF(AND(INDEX(DarlTilgStart,2)&gt;0,$E836=INDEX(DarlTilgStart,2)),$J836*($H836+INDEX(DarlTilgung,2))/100/12,IF(AND($G836=0,$G835=1),MAX($K835,$J836*($H836+1)/100/12),$K835))))</f>
      </c>
      <c r="L836" s="43">
        <f>IF($I836=0,0,$J836*$H836/100/12)</f>
      </c>
      <c r="M836" s="43">
        <f>IF($I836=0,0,IF(OR(INDEX(DarlOhneTilgung,2)=1,AND(INDEX(DarlTilgStart,2)&gt;0,$E836&lt;INDEX(DarlTilgStart,2))),0,MIN(MAX(0,$K836-$L836),$J836)))</f>
      </c>
      <c r="N836" s="43">
        <f>IF($I836=0,0,MIN(SUMIFS(SondBetrag,SondDarl,2,SondDatum,"&gt;="&amp;$E836,SondDatum,"&lt;="&amp;EOMONTH($E836,0)),$J836-$M836))</f>
      </c>
      <c r="O836" s="43">
        <f>IF($I836=0,0,INDEX(DarlErsatzRate,2))</f>
      </c>
      <c r="P836" s="43">
        <f>IF($I836=0,0,$Q835*INDEX(DarlErsatzZins,2))</f>
      </c>
      <c r="Q836" s="43">
        <f>IF($I836=0,0,$Q835+$P836+$O836)</f>
      </c>
      <c r="R836" s="43">
        <f>IF($I836=0,0,$J836-$M836-$N836)</f>
      </c>
    </row>
    <row r="837">
      <c r="A837"/>
      <c r="B837">
        <v>2</v>
      </c>
      <c r="C837" s="43">
        <f>INDEX(DarlObj,2)</f>
      </c>
      <c r="D837">
        <v>354</v>
      </c>
      <c r="E837" s="51">
        <f>IF(INDEX(DarlBelegt,2)=0,0,EOMONTH(INDEX(DarlAuszahlung,2),353)+1)</f>
      </c>
      <c r="F837" s="43">
        <f>IF($E837=0,0,YEAR($E837))</f>
      </c>
      <c r="G837" s="43">
        <f>IF(INDEX(DarlBindung,2)="",1,IF($E837&lt;=INDEX(DarlBindung,2),1,0))</f>
      </c>
      <c r="H837" s="43">
        <f>IF($G837=1,INDEX(DarlSollzins,2),INDEX(DarlAnschluss,2))</f>
      </c>
      <c r="I837" s="43">
        <f>IF(INDEX(DarlBelegt,2)=0,0,IF(INDEX(DarlOhneTilgung,2)=1,IF(INDEX(DarlBindung,2)="",1,$G837),IF($J837&gt;0.005,1,0)))</f>
      </c>
      <c r="J837" s="43">
        <f>IF($I836=0,0,$R836)</f>
      </c>
      <c r="K837" s="43">
        <f>IF($I837=0,0,IF(INDEX(DarlOhneTilgung,2)=1,0,IF(AND(INDEX(DarlTilgStart,2)&gt;0,$E837=INDEX(DarlTilgStart,2)),$J837*($H837+INDEX(DarlTilgung,2))/100/12,IF(AND($G837=0,$G836=1),MAX($K836,$J837*($H837+1)/100/12),$K836))))</f>
      </c>
      <c r="L837" s="43">
        <f>IF($I837=0,0,$J837*$H837/100/12)</f>
      </c>
      <c r="M837" s="43">
        <f>IF($I837=0,0,IF(OR(INDEX(DarlOhneTilgung,2)=1,AND(INDEX(DarlTilgStart,2)&gt;0,$E837&lt;INDEX(DarlTilgStart,2))),0,MIN(MAX(0,$K837-$L837),$J837)))</f>
      </c>
      <c r="N837" s="43">
        <f>IF($I837=0,0,MIN(SUMIFS(SondBetrag,SondDarl,2,SondDatum,"&gt;="&amp;$E837,SondDatum,"&lt;="&amp;EOMONTH($E837,0)),$J837-$M837))</f>
      </c>
      <c r="O837" s="43">
        <f>IF($I837=0,0,INDEX(DarlErsatzRate,2))</f>
      </c>
      <c r="P837" s="43">
        <f>IF($I837=0,0,$Q836*INDEX(DarlErsatzZins,2))</f>
      </c>
      <c r="Q837" s="43">
        <f>IF($I837=0,0,$Q836+$P837+$O837)</f>
      </c>
      <c r="R837" s="43">
        <f>IF($I837=0,0,$J837-$M837-$N837)</f>
      </c>
    </row>
    <row r="838">
      <c r="A838"/>
      <c r="B838">
        <v>2</v>
      </c>
      <c r="C838" s="43">
        <f>INDEX(DarlObj,2)</f>
      </c>
      <c r="D838">
        <v>355</v>
      </c>
      <c r="E838" s="51">
        <f>IF(INDEX(DarlBelegt,2)=0,0,EOMONTH(INDEX(DarlAuszahlung,2),354)+1)</f>
      </c>
      <c r="F838" s="43">
        <f>IF($E838=0,0,YEAR($E838))</f>
      </c>
      <c r="G838" s="43">
        <f>IF(INDEX(DarlBindung,2)="",1,IF($E838&lt;=INDEX(DarlBindung,2),1,0))</f>
      </c>
      <c r="H838" s="43">
        <f>IF($G838=1,INDEX(DarlSollzins,2),INDEX(DarlAnschluss,2))</f>
      </c>
      <c r="I838" s="43">
        <f>IF(INDEX(DarlBelegt,2)=0,0,IF(INDEX(DarlOhneTilgung,2)=1,IF(INDEX(DarlBindung,2)="",1,$G838),IF($J838&gt;0.005,1,0)))</f>
      </c>
      <c r="J838" s="43">
        <f>IF($I837=0,0,$R837)</f>
      </c>
      <c r="K838" s="43">
        <f>IF($I838=0,0,IF(INDEX(DarlOhneTilgung,2)=1,0,IF(AND(INDEX(DarlTilgStart,2)&gt;0,$E838=INDEX(DarlTilgStart,2)),$J838*($H838+INDEX(DarlTilgung,2))/100/12,IF(AND($G838=0,$G837=1),MAX($K837,$J838*($H838+1)/100/12),$K837))))</f>
      </c>
      <c r="L838" s="43">
        <f>IF($I838=0,0,$J838*$H838/100/12)</f>
      </c>
      <c r="M838" s="43">
        <f>IF($I838=0,0,IF(OR(INDEX(DarlOhneTilgung,2)=1,AND(INDEX(DarlTilgStart,2)&gt;0,$E838&lt;INDEX(DarlTilgStart,2))),0,MIN(MAX(0,$K838-$L838),$J838)))</f>
      </c>
      <c r="N838" s="43">
        <f>IF($I838=0,0,MIN(SUMIFS(SondBetrag,SondDarl,2,SondDatum,"&gt;="&amp;$E838,SondDatum,"&lt;="&amp;EOMONTH($E838,0)),$J838-$M838))</f>
      </c>
      <c r="O838" s="43">
        <f>IF($I838=0,0,INDEX(DarlErsatzRate,2))</f>
      </c>
      <c r="P838" s="43">
        <f>IF($I838=0,0,$Q837*INDEX(DarlErsatzZins,2))</f>
      </c>
      <c r="Q838" s="43">
        <f>IF($I838=0,0,$Q837+$P838+$O838)</f>
      </c>
      <c r="R838" s="43">
        <f>IF($I838=0,0,$J838-$M838-$N838)</f>
      </c>
    </row>
    <row r="839">
      <c r="A839"/>
      <c r="B839">
        <v>2</v>
      </c>
      <c r="C839" s="43">
        <f>INDEX(DarlObj,2)</f>
      </c>
      <c r="D839">
        <v>356</v>
      </c>
      <c r="E839" s="51">
        <f>IF(INDEX(DarlBelegt,2)=0,0,EOMONTH(INDEX(DarlAuszahlung,2),355)+1)</f>
      </c>
      <c r="F839" s="43">
        <f>IF($E839=0,0,YEAR($E839))</f>
      </c>
      <c r="G839" s="43">
        <f>IF(INDEX(DarlBindung,2)="",1,IF($E839&lt;=INDEX(DarlBindung,2),1,0))</f>
      </c>
      <c r="H839" s="43">
        <f>IF($G839=1,INDEX(DarlSollzins,2),INDEX(DarlAnschluss,2))</f>
      </c>
      <c r="I839" s="43">
        <f>IF(INDEX(DarlBelegt,2)=0,0,IF(INDEX(DarlOhneTilgung,2)=1,IF(INDEX(DarlBindung,2)="",1,$G839),IF($J839&gt;0.005,1,0)))</f>
      </c>
      <c r="J839" s="43">
        <f>IF($I838=0,0,$R838)</f>
      </c>
      <c r="K839" s="43">
        <f>IF($I839=0,0,IF(INDEX(DarlOhneTilgung,2)=1,0,IF(AND(INDEX(DarlTilgStart,2)&gt;0,$E839=INDEX(DarlTilgStart,2)),$J839*($H839+INDEX(DarlTilgung,2))/100/12,IF(AND($G839=0,$G838=1),MAX($K838,$J839*($H839+1)/100/12),$K838))))</f>
      </c>
      <c r="L839" s="43">
        <f>IF($I839=0,0,$J839*$H839/100/12)</f>
      </c>
      <c r="M839" s="43">
        <f>IF($I839=0,0,IF(OR(INDEX(DarlOhneTilgung,2)=1,AND(INDEX(DarlTilgStart,2)&gt;0,$E839&lt;INDEX(DarlTilgStart,2))),0,MIN(MAX(0,$K839-$L839),$J839)))</f>
      </c>
      <c r="N839" s="43">
        <f>IF($I839=0,0,MIN(SUMIFS(SondBetrag,SondDarl,2,SondDatum,"&gt;="&amp;$E839,SondDatum,"&lt;="&amp;EOMONTH($E839,0)),$J839-$M839))</f>
      </c>
      <c r="O839" s="43">
        <f>IF($I839=0,0,INDEX(DarlErsatzRate,2))</f>
      </c>
      <c r="P839" s="43">
        <f>IF($I839=0,0,$Q838*INDEX(DarlErsatzZins,2))</f>
      </c>
      <c r="Q839" s="43">
        <f>IF($I839=0,0,$Q838+$P839+$O839)</f>
      </c>
      <c r="R839" s="43">
        <f>IF($I839=0,0,$J839-$M839-$N839)</f>
      </c>
    </row>
    <row r="840">
      <c r="A840"/>
      <c r="B840">
        <v>2</v>
      </c>
      <c r="C840" s="43">
        <f>INDEX(DarlObj,2)</f>
      </c>
      <c r="D840">
        <v>357</v>
      </c>
      <c r="E840" s="51">
        <f>IF(INDEX(DarlBelegt,2)=0,0,EOMONTH(INDEX(DarlAuszahlung,2),356)+1)</f>
      </c>
      <c r="F840" s="43">
        <f>IF($E840=0,0,YEAR($E840))</f>
      </c>
      <c r="G840" s="43">
        <f>IF(INDEX(DarlBindung,2)="",1,IF($E840&lt;=INDEX(DarlBindung,2),1,0))</f>
      </c>
      <c r="H840" s="43">
        <f>IF($G840=1,INDEX(DarlSollzins,2),INDEX(DarlAnschluss,2))</f>
      </c>
      <c r="I840" s="43">
        <f>IF(INDEX(DarlBelegt,2)=0,0,IF(INDEX(DarlOhneTilgung,2)=1,IF(INDEX(DarlBindung,2)="",1,$G840),IF($J840&gt;0.005,1,0)))</f>
      </c>
      <c r="J840" s="43">
        <f>IF($I839=0,0,$R839)</f>
      </c>
      <c r="K840" s="43">
        <f>IF($I840=0,0,IF(INDEX(DarlOhneTilgung,2)=1,0,IF(AND(INDEX(DarlTilgStart,2)&gt;0,$E840=INDEX(DarlTilgStart,2)),$J840*($H840+INDEX(DarlTilgung,2))/100/12,IF(AND($G840=0,$G839=1),MAX($K839,$J840*($H840+1)/100/12),$K839))))</f>
      </c>
      <c r="L840" s="43">
        <f>IF($I840=0,0,$J840*$H840/100/12)</f>
      </c>
      <c r="M840" s="43">
        <f>IF($I840=0,0,IF(OR(INDEX(DarlOhneTilgung,2)=1,AND(INDEX(DarlTilgStart,2)&gt;0,$E840&lt;INDEX(DarlTilgStart,2))),0,MIN(MAX(0,$K840-$L840),$J840)))</f>
      </c>
      <c r="N840" s="43">
        <f>IF($I840=0,0,MIN(SUMIFS(SondBetrag,SondDarl,2,SondDatum,"&gt;="&amp;$E840,SondDatum,"&lt;="&amp;EOMONTH($E840,0)),$J840-$M840))</f>
      </c>
      <c r="O840" s="43">
        <f>IF($I840=0,0,INDEX(DarlErsatzRate,2))</f>
      </c>
      <c r="P840" s="43">
        <f>IF($I840=0,0,$Q839*INDEX(DarlErsatzZins,2))</f>
      </c>
      <c r="Q840" s="43">
        <f>IF($I840=0,0,$Q839+$P840+$O840)</f>
      </c>
      <c r="R840" s="43">
        <f>IF($I840=0,0,$J840-$M840-$N840)</f>
      </c>
    </row>
    <row r="841">
      <c r="A841"/>
      <c r="B841">
        <v>2</v>
      </c>
      <c r="C841" s="43">
        <f>INDEX(DarlObj,2)</f>
      </c>
      <c r="D841">
        <v>358</v>
      </c>
      <c r="E841" s="51">
        <f>IF(INDEX(DarlBelegt,2)=0,0,EOMONTH(INDEX(DarlAuszahlung,2),357)+1)</f>
      </c>
      <c r="F841" s="43">
        <f>IF($E841=0,0,YEAR($E841))</f>
      </c>
      <c r="G841" s="43">
        <f>IF(INDEX(DarlBindung,2)="",1,IF($E841&lt;=INDEX(DarlBindung,2),1,0))</f>
      </c>
      <c r="H841" s="43">
        <f>IF($G841=1,INDEX(DarlSollzins,2),INDEX(DarlAnschluss,2))</f>
      </c>
      <c r="I841" s="43">
        <f>IF(INDEX(DarlBelegt,2)=0,0,IF(INDEX(DarlOhneTilgung,2)=1,IF(INDEX(DarlBindung,2)="",1,$G841),IF($J841&gt;0.005,1,0)))</f>
      </c>
      <c r="J841" s="43">
        <f>IF($I840=0,0,$R840)</f>
      </c>
      <c r="K841" s="43">
        <f>IF($I841=0,0,IF(INDEX(DarlOhneTilgung,2)=1,0,IF(AND(INDEX(DarlTilgStart,2)&gt;0,$E841=INDEX(DarlTilgStart,2)),$J841*($H841+INDEX(DarlTilgung,2))/100/12,IF(AND($G841=0,$G840=1),MAX($K840,$J841*($H841+1)/100/12),$K840))))</f>
      </c>
      <c r="L841" s="43">
        <f>IF($I841=0,0,$J841*$H841/100/12)</f>
      </c>
      <c r="M841" s="43">
        <f>IF($I841=0,0,IF(OR(INDEX(DarlOhneTilgung,2)=1,AND(INDEX(DarlTilgStart,2)&gt;0,$E841&lt;INDEX(DarlTilgStart,2))),0,MIN(MAX(0,$K841-$L841),$J841)))</f>
      </c>
      <c r="N841" s="43">
        <f>IF($I841=0,0,MIN(SUMIFS(SondBetrag,SondDarl,2,SondDatum,"&gt;="&amp;$E841,SondDatum,"&lt;="&amp;EOMONTH($E841,0)),$J841-$M841))</f>
      </c>
      <c r="O841" s="43">
        <f>IF($I841=0,0,INDEX(DarlErsatzRate,2))</f>
      </c>
      <c r="P841" s="43">
        <f>IF($I841=0,0,$Q840*INDEX(DarlErsatzZins,2))</f>
      </c>
      <c r="Q841" s="43">
        <f>IF($I841=0,0,$Q840+$P841+$O841)</f>
      </c>
      <c r="R841" s="43">
        <f>IF($I841=0,0,$J841-$M841-$N841)</f>
      </c>
    </row>
    <row r="842">
      <c r="A842"/>
      <c r="B842">
        <v>2</v>
      </c>
      <c r="C842" s="43">
        <f>INDEX(DarlObj,2)</f>
      </c>
      <c r="D842">
        <v>359</v>
      </c>
      <c r="E842" s="51">
        <f>IF(INDEX(DarlBelegt,2)=0,0,EOMONTH(INDEX(DarlAuszahlung,2),358)+1)</f>
      </c>
      <c r="F842" s="43">
        <f>IF($E842=0,0,YEAR($E842))</f>
      </c>
      <c r="G842" s="43">
        <f>IF(INDEX(DarlBindung,2)="",1,IF($E842&lt;=INDEX(DarlBindung,2),1,0))</f>
      </c>
      <c r="H842" s="43">
        <f>IF($G842=1,INDEX(DarlSollzins,2),INDEX(DarlAnschluss,2))</f>
      </c>
      <c r="I842" s="43">
        <f>IF(INDEX(DarlBelegt,2)=0,0,IF(INDEX(DarlOhneTilgung,2)=1,IF(INDEX(DarlBindung,2)="",1,$G842),IF($J842&gt;0.005,1,0)))</f>
      </c>
      <c r="J842" s="43">
        <f>IF($I841=0,0,$R841)</f>
      </c>
      <c r="K842" s="43">
        <f>IF($I842=0,0,IF(INDEX(DarlOhneTilgung,2)=1,0,IF(AND(INDEX(DarlTilgStart,2)&gt;0,$E842=INDEX(DarlTilgStart,2)),$J842*($H842+INDEX(DarlTilgung,2))/100/12,IF(AND($G842=0,$G841=1),MAX($K841,$J842*($H842+1)/100/12),$K841))))</f>
      </c>
      <c r="L842" s="43">
        <f>IF($I842=0,0,$J842*$H842/100/12)</f>
      </c>
      <c r="M842" s="43">
        <f>IF($I842=0,0,IF(OR(INDEX(DarlOhneTilgung,2)=1,AND(INDEX(DarlTilgStart,2)&gt;0,$E842&lt;INDEX(DarlTilgStart,2))),0,MIN(MAX(0,$K842-$L842),$J842)))</f>
      </c>
      <c r="N842" s="43">
        <f>IF($I842=0,0,MIN(SUMIFS(SondBetrag,SondDarl,2,SondDatum,"&gt;="&amp;$E842,SondDatum,"&lt;="&amp;EOMONTH($E842,0)),$J842-$M842))</f>
      </c>
      <c r="O842" s="43">
        <f>IF($I842=0,0,INDEX(DarlErsatzRate,2))</f>
      </c>
      <c r="P842" s="43">
        <f>IF($I842=0,0,$Q841*INDEX(DarlErsatzZins,2))</f>
      </c>
      <c r="Q842" s="43">
        <f>IF($I842=0,0,$Q841+$P842+$O842)</f>
      </c>
      <c r="R842" s="43">
        <f>IF($I842=0,0,$J842-$M842-$N842)</f>
      </c>
    </row>
    <row r="843">
      <c r="A843"/>
      <c r="B843">
        <v>2</v>
      </c>
      <c r="C843" s="43">
        <f>INDEX(DarlObj,2)</f>
      </c>
      <c r="D843">
        <v>360</v>
      </c>
      <c r="E843" s="51">
        <f>IF(INDEX(DarlBelegt,2)=0,0,EOMONTH(INDEX(DarlAuszahlung,2),359)+1)</f>
      </c>
      <c r="F843" s="43">
        <f>IF($E843=0,0,YEAR($E843))</f>
      </c>
      <c r="G843" s="43">
        <f>IF(INDEX(DarlBindung,2)="",1,IF($E843&lt;=INDEX(DarlBindung,2),1,0))</f>
      </c>
      <c r="H843" s="43">
        <f>IF($G843=1,INDEX(DarlSollzins,2),INDEX(DarlAnschluss,2))</f>
      </c>
      <c r="I843" s="43">
        <f>IF(INDEX(DarlBelegt,2)=0,0,IF(INDEX(DarlOhneTilgung,2)=1,IF(INDEX(DarlBindung,2)="",1,$G843),IF($J843&gt;0.005,1,0)))</f>
      </c>
      <c r="J843" s="43">
        <f>IF($I842=0,0,$R842)</f>
      </c>
      <c r="K843" s="43">
        <f>IF($I843=0,0,IF(INDEX(DarlOhneTilgung,2)=1,0,IF(AND(INDEX(DarlTilgStart,2)&gt;0,$E843=INDEX(DarlTilgStart,2)),$J843*($H843+INDEX(DarlTilgung,2))/100/12,IF(AND($G843=0,$G842=1),MAX($K842,$J843*($H843+1)/100/12),$K842))))</f>
      </c>
      <c r="L843" s="43">
        <f>IF($I843=0,0,$J843*$H843/100/12)</f>
      </c>
      <c r="M843" s="43">
        <f>IF($I843=0,0,IF(OR(INDEX(DarlOhneTilgung,2)=1,AND(INDEX(DarlTilgStart,2)&gt;0,$E843&lt;INDEX(DarlTilgStart,2))),0,MIN(MAX(0,$K843-$L843),$J843)))</f>
      </c>
      <c r="N843" s="43">
        <f>IF($I843=0,0,MIN(SUMIFS(SondBetrag,SondDarl,2,SondDatum,"&gt;="&amp;$E843,SondDatum,"&lt;="&amp;EOMONTH($E843,0)),$J843-$M843))</f>
      </c>
      <c r="O843" s="43">
        <f>IF($I843=0,0,INDEX(DarlErsatzRate,2))</f>
      </c>
      <c r="P843" s="43">
        <f>IF($I843=0,0,$Q842*INDEX(DarlErsatzZins,2))</f>
      </c>
      <c r="Q843" s="43">
        <f>IF($I843=0,0,$Q842+$P843+$O843)</f>
      </c>
      <c r="R843" s="43">
        <f>IF($I843=0,0,$J843-$M843-$N843)</f>
      </c>
    </row>
    <row r="844">
      <c r="A844"/>
      <c r="B844">
        <v>2</v>
      </c>
      <c r="C844" s="43">
        <f>INDEX(DarlObj,2)</f>
      </c>
      <c r="D844">
        <v>361</v>
      </c>
      <c r="E844" s="51">
        <f>IF(INDEX(DarlBelegt,2)=0,0,EOMONTH(INDEX(DarlAuszahlung,2),360)+1)</f>
      </c>
      <c r="F844" s="43">
        <f>IF($E844=0,0,YEAR($E844))</f>
      </c>
      <c r="G844" s="43">
        <f>IF(INDEX(DarlBindung,2)="",1,IF($E844&lt;=INDEX(DarlBindung,2),1,0))</f>
      </c>
      <c r="H844" s="43">
        <f>IF($G844=1,INDEX(DarlSollzins,2),INDEX(DarlAnschluss,2))</f>
      </c>
      <c r="I844" s="43">
        <f>IF(INDEX(DarlBelegt,2)=0,0,IF(INDEX(DarlOhneTilgung,2)=1,IF(INDEX(DarlBindung,2)="",1,$G844),IF($J844&gt;0.005,1,0)))</f>
      </c>
      <c r="J844" s="43">
        <f>IF($I843=0,0,$R843)</f>
      </c>
      <c r="K844" s="43">
        <f>IF($I844=0,0,IF(INDEX(DarlOhneTilgung,2)=1,0,IF(AND(INDEX(DarlTilgStart,2)&gt;0,$E844=INDEX(DarlTilgStart,2)),$J844*($H844+INDEX(DarlTilgung,2))/100/12,IF(AND($G844=0,$G843=1),MAX($K843,$J844*($H844+1)/100/12),$K843))))</f>
      </c>
      <c r="L844" s="43">
        <f>IF($I844=0,0,$J844*$H844/100/12)</f>
      </c>
      <c r="M844" s="43">
        <f>IF($I844=0,0,IF(OR(INDEX(DarlOhneTilgung,2)=1,AND(INDEX(DarlTilgStart,2)&gt;0,$E844&lt;INDEX(DarlTilgStart,2))),0,MIN(MAX(0,$K844-$L844),$J844)))</f>
      </c>
      <c r="N844" s="43">
        <f>IF($I844=0,0,MIN(SUMIFS(SondBetrag,SondDarl,2,SondDatum,"&gt;="&amp;$E844,SondDatum,"&lt;="&amp;EOMONTH($E844,0)),$J844-$M844))</f>
      </c>
      <c r="O844" s="43">
        <f>IF($I844=0,0,INDEX(DarlErsatzRate,2))</f>
      </c>
      <c r="P844" s="43">
        <f>IF($I844=0,0,$Q843*INDEX(DarlErsatzZins,2))</f>
      </c>
      <c r="Q844" s="43">
        <f>IF($I844=0,0,$Q843+$P844+$O844)</f>
      </c>
      <c r="R844" s="43">
        <f>IF($I844=0,0,$J844-$M844-$N844)</f>
      </c>
    </row>
    <row r="845">
      <c r="A845"/>
      <c r="B845">
        <v>2</v>
      </c>
      <c r="C845" s="43">
        <f>INDEX(DarlObj,2)</f>
      </c>
      <c r="D845">
        <v>362</v>
      </c>
      <c r="E845" s="51">
        <f>IF(INDEX(DarlBelegt,2)=0,0,EOMONTH(INDEX(DarlAuszahlung,2),361)+1)</f>
      </c>
      <c r="F845" s="43">
        <f>IF($E845=0,0,YEAR($E845))</f>
      </c>
      <c r="G845" s="43">
        <f>IF(INDEX(DarlBindung,2)="",1,IF($E845&lt;=INDEX(DarlBindung,2),1,0))</f>
      </c>
      <c r="H845" s="43">
        <f>IF($G845=1,INDEX(DarlSollzins,2),INDEX(DarlAnschluss,2))</f>
      </c>
      <c r="I845" s="43">
        <f>IF(INDEX(DarlBelegt,2)=0,0,IF(INDEX(DarlOhneTilgung,2)=1,IF(INDEX(DarlBindung,2)="",1,$G845),IF($J845&gt;0.005,1,0)))</f>
      </c>
      <c r="J845" s="43">
        <f>IF($I844=0,0,$R844)</f>
      </c>
      <c r="K845" s="43">
        <f>IF($I845=0,0,IF(INDEX(DarlOhneTilgung,2)=1,0,IF(AND(INDEX(DarlTilgStart,2)&gt;0,$E845=INDEX(DarlTilgStart,2)),$J845*($H845+INDEX(DarlTilgung,2))/100/12,IF(AND($G845=0,$G844=1),MAX($K844,$J845*($H845+1)/100/12),$K844))))</f>
      </c>
      <c r="L845" s="43">
        <f>IF($I845=0,0,$J845*$H845/100/12)</f>
      </c>
      <c r="M845" s="43">
        <f>IF($I845=0,0,IF(OR(INDEX(DarlOhneTilgung,2)=1,AND(INDEX(DarlTilgStart,2)&gt;0,$E845&lt;INDEX(DarlTilgStart,2))),0,MIN(MAX(0,$K845-$L845),$J845)))</f>
      </c>
      <c r="N845" s="43">
        <f>IF($I845=0,0,MIN(SUMIFS(SondBetrag,SondDarl,2,SondDatum,"&gt;="&amp;$E845,SondDatum,"&lt;="&amp;EOMONTH($E845,0)),$J845-$M845))</f>
      </c>
      <c r="O845" s="43">
        <f>IF($I845=0,0,INDEX(DarlErsatzRate,2))</f>
      </c>
      <c r="P845" s="43">
        <f>IF($I845=0,0,$Q844*INDEX(DarlErsatzZins,2))</f>
      </c>
      <c r="Q845" s="43">
        <f>IF($I845=0,0,$Q844+$P845+$O845)</f>
      </c>
      <c r="R845" s="43">
        <f>IF($I845=0,0,$J845-$M845-$N845)</f>
      </c>
    </row>
    <row r="846">
      <c r="A846"/>
      <c r="B846">
        <v>2</v>
      </c>
      <c r="C846" s="43">
        <f>INDEX(DarlObj,2)</f>
      </c>
      <c r="D846">
        <v>363</v>
      </c>
      <c r="E846" s="51">
        <f>IF(INDEX(DarlBelegt,2)=0,0,EOMONTH(INDEX(DarlAuszahlung,2),362)+1)</f>
      </c>
      <c r="F846" s="43">
        <f>IF($E846=0,0,YEAR($E846))</f>
      </c>
      <c r="G846" s="43">
        <f>IF(INDEX(DarlBindung,2)="",1,IF($E846&lt;=INDEX(DarlBindung,2),1,0))</f>
      </c>
      <c r="H846" s="43">
        <f>IF($G846=1,INDEX(DarlSollzins,2),INDEX(DarlAnschluss,2))</f>
      </c>
      <c r="I846" s="43">
        <f>IF(INDEX(DarlBelegt,2)=0,0,IF(INDEX(DarlOhneTilgung,2)=1,IF(INDEX(DarlBindung,2)="",1,$G846),IF($J846&gt;0.005,1,0)))</f>
      </c>
      <c r="J846" s="43">
        <f>IF($I845=0,0,$R845)</f>
      </c>
      <c r="K846" s="43">
        <f>IF($I846=0,0,IF(INDEX(DarlOhneTilgung,2)=1,0,IF(AND(INDEX(DarlTilgStart,2)&gt;0,$E846=INDEX(DarlTilgStart,2)),$J846*($H846+INDEX(DarlTilgung,2))/100/12,IF(AND($G846=0,$G845=1),MAX($K845,$J846*($H846+1)/100/12),$K845))))</f>
      </c>
      <c r="L846" s="43">
        <f>IF($I846=0,0,$J846*$H846/100/12)</f>
      </c>
      <c r="M846" s="43">
        <f>IF($I846=0,0,IF(OR(INDEX(DarlOhneTilgung,2)=1,AND(INDEX(DarlTilgStart,2)&gt;0,$E846&lt;INDEX(DarlTilgStart,2))),0,MIN(MAX(0,$K846-$L846),$J846)))</f>
      </c>
      <c r="N846" s="43">
        <f>IF($I846=0,0,MIN(SUMIFS(SondBetrag,SondDarl,2,SondDatum,"&gt;="&amp;$E846,SondDatum,"&lt;="&amp;EOMONTH($E846,0)),$J846-$M846))</f>
      </c>
      <c r="O846" s="43">
        <f>IF($I846=0,0,INDEX(DarlErsatzRate,2))</f>
      </c>
      <c r="P846" s="43">
        <f>IF($I846=0,0,$Q845*INDEX(DarlErsatzZins,2))</f>
      </c>
      <c r="Q846" s="43">
        <f>IF($I846=0,0,$Q845+$P846+$O846)</f>
      </c>
      <c r="R846" s="43">
        <f>IF($I846=0,0,$J846-$M846-$N846)</f>
      </c>
    </row>
    <row r="847">
      <c r="A847"/>
      <c r="B847">
        <v>2</v>
      </c>
      <c r="C847" s="43">
        <f>INDEX(DarlObj,2)</f>
      </c>
      <c r="D847">
        <v>364</v>
      </c>
      <c r="E847" s="51">
        <f>IF(INDEX(DarlBelegt,2)=0,0,EOMONTH(INDEX(DarlAuszahlung,2),363)+1)</f>
      </c>
      <c r="F847" s="43">
        <f>IF($E847=0,0,YEAR($E847))</f>
      </c>
      <c r="G847" s="43">
        <f>IF(INDEX(DarlBindung,2)="",1,IF($E847&lt;=INDEX(DarlBindung,2),1,0))</f>
      </c>
      <c r="H847" s="43">
        <f>IF($G847=1,INDEX(DarlSollzins,2),INDEX(DarlAnschluss,2))</f>
      </c>
      <c r="I847" s="43">
        <f>IF(INDEX(DarlBelegt,2)=0,0,IF(INDEX(DarlOhneTilgung,2)=1,IF(INDEX(DarlBindung,2)="",1,$G847),IF($J847&gt;0.005,1,0)))</f>
      </c>
      <c r="J847" s="43">
        <f>IF($I846=0,0,$R846)</f>
      </c>
      <c r="K847" s="43">
        <f>IF($I847=0,0,IF(INDEX(DarlOhneTilgung,2)=1,0,IF(AND(INDEX(DarlTilgStart,2)&gt;0,$E847=INDEX(DarlTilgStart,2)),$J847*($H847+INDEX(DarlTilgung,2))/100/12,IF(AND($G847=0,$G846=1),MAX($K846,$J847*($H847+1)/100/12),$K846))))</f>
      </c>
      <c r="L847" s="43">
        <f>IF($I847=0,0,$J847*$H847/100/12)</f>
      </c>
      <c r="M847" s="43">
        <f>IF($I847=0,0,IF(OR(INDEX(DarlOhneTilgung,2)=1,AND(INDEX(DarlTilgStart,2)&gt;0,$E847&lt;INDEX(DarlTilgStart,2))),0,MIN(MAX(0,$K847-$L847),$J847)))</f>
      </c>
      <c r="N847" s="43">
        <f>IF($I847=0,0,MIN(SUMIFS(SondBetrag,SondDarl,2,SondDatum,"&gt;="&amp;$E847,SondDatum,"&lt;="&amp;EOMONTH($E847,0)),$J847-$M847))</f>
      </c>
      <c r="O847" s="43">
        <f>IF($I847=0,0,INDEX(DarlErsatzRate,2))</f>
      </c>
      <c r="P847" s="43">
        <f>IF($I847=0,0,$Q846*INDEX(DarlErsatzZins,2))</f>
      </c>
      <c r="Q847" s="43">
        <f>IF($I847=0,0,$Q846+$P847+$O847)</f>
      </c>
      <c r="R847" s="43">
        <f>IF($I847=0,0,$J847-$M847-$N847)</f>
      </c>
    </row>
    <row r="848">
      <c r="A848"/>
      <c r="B848">
        <v>2</v>
      </c>
      <c r="C848" s="43">
        <f>INDEX(DarlObj,2)</f>
      </c>
      <c r="D848">
        <v>365</v>
      </c>
      <c r="E848" s="51">
        <f>IF(INDEX(DarlBelegt,2)=0,0,EOMONTH(INDEX(DarlAuszahlung,2),364)+1)</f>
      </c>
      <c r="F848" s="43">
        <f>IF($E848=0,0,YEAR($E848))</f>
      </c>
      <c r="G848" s="43">
        <f>IF(INDEX(DarlBindung,2)="",1,IF($E848&lt;=INDEX(DarlBindung,2),1,0))</f>
      </c>
      <c r="H848" s="43">
        <f>IF($G848=1,INDEX(DarlSollzins,2),INDEX(DarlAnschluss,2))</f>
      </c>
      <c r="I848" s="43">
        <f>IF(INDEX(DarlBelegt,2)=0,0,IF(INDEX(DarlOhneTilgung,2)=1,IF(INDEX(DarlBindung,2)="",1,$G848),IF($J848&gt;0.005,1,0)))</f>
      </c>
      <c r="J848" s="43">
        <f>IF($I847=0,0,$R847)</f>
      </c>
      <c r="K848" s="43">
        <f>IF($I848=0,0,IF(INDEX(DarlOhneTilgung,2)=1,0,IF(AND(INDEX(DarlTilgStart,2)&gt;0,$E848=INDEX(DarlTilgStart,2)),$J848*($H848+INDEX(DarlTilgung,2))/100/12,IF(AND($G848=0,$G847=1),MAX($K847,$J848*($H848+1)/100/12),$K847))))</f>
      </c>
      <c r="L848" s="43">
        <f>IF($I848=0,0,$J848*$H848/100/12)</f>
      </c>
      <c r="M848" s="43">
        <f>IF($I848=0,0,IF(OR(INDEX(DarlOhneTilgung,2)=1,AND(INDEX(DarlTilgStart,2)&gt;0,$E848&lt;INDEX(DarlTilgStart,2))),0,MIN(MAX(0,$K848-$L848),$J848)))</f>
      </c>
      <c r="N848" s="43">
        <f>IF($I848=0,0,MIN(SUMIFS(SondBetrag,SondDarl,2,SondDatum,"&gt;="&amp;$E848,SondDatum,"&lt;="&amp;EOMONTH($E848,0)),$J848-$M848))</f>
      </c>
      <c r="O848" s="43">
        <f>IF($I848=0,0,INDEX(DarlErsatzRate,2))</f>
      </c>
      <c r="P848" s="43">
        <f>IF($I848=0,0,$Q847*INDEX(DarlErsatzZins,2))</f>
      </c>
      <c r="Q848" s="43">
        <f>IF($I848=0,0,$Q847+$P848+$O848)</f>
      </c>
      <c r="R848" s="43">
        <f>IF($I848=0,0,$J848-$M848-$N848)</f>
      </c>
    </row>
    <row r="849">
      <c r="A849"/>
      <c r="B849">
        <v>2</v>
      </c>
      <c r="C849" s="43">
        <f>INDEX(DarlObj,2)</f>
      </c>
      <c r="D849">
        <v>366</v>
      </c>
      <c r="E849" s="51">
        <f>IF(INDEX(DarlBelegt,2)=0,0,EOMONTH(INDEX(DarlAuszahlung,2),365)+1)</f>
      </c>
      <c r="F849" s="43">
        <f>IF($E849=0,0,YEAR($E849))</f>
      </c>
      <c r="G849" s="43">
        <f>IF(INDEX(DarlBindung,2)="",1,IF($E849&lt;=INDEX(DarlBindung,2),1,0))</f>
      </c>
      <c r="H849" s="43">
        <f>IF($G849=1,INDEX(DarlSollzins,2),INDEX(DarlAnschluss,2))</f>
      </c>
      <c r="I849" s="43">
        <f>IF(INDEX(DarlBelegt,2)=0,0,IF(INDEX(DarlOhneTilgung,2)=1,IF(INDEX(DarlBindung,2)="",1,$G849),IF($J849&gt;0.005,1,0)))</f>
      </c>
      <c r="J849" s="43">
        <f>IF($I848=0,0,$R848)</f>
      </c>
      <c r="K849" s="43">
        <f>IF($I849=0,0,IF(INDEX(DarlOhneTilgung,2)=1,0,IF(AND(INDEX(DarlTilgStart,2)&gt;0,$E849=INDEX(DarlTilgStart,2)),$J849*($H849+INDEX(DarlTilgung,2))/100/12,IF(AND($G849=0,$G848=1),MAX($K848,$J849*($H849+1)/100/12),$K848))))</f>
      </c>
      <c r="L849" s="43">
        <f>IF($I849=0,0,$J849*$H849/100/12)</f>
      </c>
      <c r="M849" s="43">
        <f>IF($I849=0,0,IF(OR(INDEX(DarlOhneTilgung,2)=1,AND(INDEX(DarlTilgStart,2)&gt;0,$E849&lt;INDEX(DarlTilgStart,2))),0,MIN(MAX(0,$K849-$L849),$J849)))</f>
      </c>
      <c r="N849" s="43">
        <f>IF($I849=0,0,MIN(SUMIFS(SondBetrag,SondDarl,2,SondDatum,"&gt;="&amp;$E849,SondDatum,"&lt;="&amp;EOMONTH($E849,0)),$J849-$M849))</f>
      </c>
      <c r="O849" s="43">
        <f>IF($I849=0,0,INDEX(DarlErsatzRate,2))</f>
      </c>
      <c r="P849" s="43">
        <f>IF($I849=0,0,$Q848*INDEX(DarlErsatzZins,2))</f>
      </c>
      <c r="Q849" s="43">
        <f>IF($I849=0,0,$Q848+$P849+$O849)</f>
      </c>
      <c r="R849" s="43">
        <f>IF($I849=0,0,$J849-$M849-$N849)</f>
      </c>
    </row>
    <row r="850">
      <c r="A850"/>
      <c r="B850">
        <v>2</v>
      </c>
      <c r="C850" s="43">
        <f>INDEX(DarlObj,2)</f>
      </c>
      <c r="D850">
        <v>367</v>
      </c>
      <c r="E850" s="51">
        <f>IF(INDEX(DarlBelegt,2)=0,0,EOMONTH(INDEX(DarlAuszahlung,2),366)+1)</f>
      </c>
      <c r="F850" s="43">
        <f>IF($E850=0,0,YEAR($E850))</f>
      </c>
      <c r="G850" s="43">
        <f>IF(INDEX(DarlBindung,2)="",1,IF($E850&lt;=INDEX(DarlBindung,2),1,0))</f>
      </c>
      <c r="H850" s="43">
        <f>IF($G850=1,INDEX(DarlSollzins,2),INDEX(DarlAnschluss,2))</f>
      </c>
      <c r="I850" s="43">
        <f>IF(INDEX(DarlBelegt,2)=0,0,IF(INDEX(DarlOhneTilgung,2)=1,IF(INDEX(DarlBindung,2)="",1,$G850),IF($J850&gt;0.005,1,0)))</f>
      </c>
      <c r="J850" s="43">
        <f>IF($I849=0,0,$R849)</f>
      </c>
      <c r="K850" s="43">
        <f>IF($I850=0,0,IF(INDEX(DarlOhneTilgung,2)=1,0,IF(AND(INDEX(DarlTilgStart,2)&gt;0,$E850=INDEX(DarlTilgStart,2)),$J850*($H850+INDEX(DarlTilgung,2))/100/12,IF(AND($G850=0,$G849=1),MAX($K849,$J850*($H850+1)/100/12),$K849))))</f>
      </c>
      <c r="L850" s="43">
        <f>IF($I850=0,0,$J850*$H850/100/12)</f>
      </c>
      <c r="M850" s="43">
        <f>IF($I850=0,0,IF(OR(INDEX(DarlOhneTilgung,2)=1,AND(INDEX(DarlTilgStart,2)&gt;0,$E850&lt;INDEX(DarlTilgStart,2))),0,MIN(MAX(0,$K850-$L850),$J850)))</f>
      </c>
      <c r="N850" s="43">
        <f>IF($I850=0,0,MIN(SUMIFS(SondBetrag,SondDarl,2,SondDatum,"&gt;="&amp;$E850,SondDatum,"&lt;="&amp;EOMONTH($E850,0)),$J850-$M850))</f>
      </c>
      <c r="O850" s="43">
        <f>IF($I850=0,0,INDEX(DarlErsatzRate,2))</f>
      </c>
      <c r="P850" s="43">
        <f>IF($I850=0,0,$Q849*INDEX(DarlErsatzZins,2))</f>
      </c>
      <c r="Q850" s="43">
        <f>IF($I850=0,0,$Q849+$P850+$O850)</f>
      </c>
      <c r="R850" s="43">
        <f>IF($I850=0,0,$J850-$M850-$N850)</f>
      </c>
    </row>
    <row r="851">
      <c r="A851"/>
      <c r="B851">
        <v>2</v>
      </c>
      <c r="C851" s="43">
        <f>INDEX(DarlObj,2)</f>
      </c>
      <c r="D851">
        <v>368</v>
      </c>
      <c r="E851" s="51">
        <f>IF(INDEX(DarlBelegt,2)=0,0,EOMONTH(INDEX(DarlAuszahlung,2),367)+1)</f>
      </c>
      <c r="F851" s="43">
        <f>IF($E851=0,0,YEAR($E851))</f>
      </c>
      <c r="G851" s="43">
        <f>IF(INDEX(DarlBindung,2)="",1,IF($E851&lt;=INDEX(DarlBindung,2),1,0))</f>
      </c>
      <c r="H851" s="43">
        <f>IF($G851=1,INDEX(DarlSollzins,2),INDEX(DarlAnschluss,2))</f>
      </c>
      <c r="I851" s="43">
        <f>IF(INDEX(DarlBelegt,2)=0,0,IF(INDEX(DarlOhneTilgung,2)=1,IF(INDEX(DarlBindung,2)="",1,$G851),IF($J851&gt;0.005,1,0)))</f>
      </c>
      <c r="J851" s="43">
        <f>IF($I850=0,0,$R850)</f>
      </c>
      <c r="K851" s="43">
        <f>IF($I851=0,0,IF(INDEX(DarlOhneTilgung,2)=1,0,IF(AND(INDEX(DarlTilgStart,2)&gt;0,$E851=INDEX(DarlTilgStart,2)),$J851*($H851+INDEX(DarlTilgung,2))/100/12,IF(AND($G851=0,$G850=1),MAX($K850,$J851*($H851+1)/100/12),$K850))))</f>
      </c>
      <c r="L851" s="43">
        <f>IF($I851=0,0,$J851*$H851/100/12)</f>
      </c>
      <c r="M851" s="43">
        <f>IF($I851=0,0,IF(OR(INDEX(DarlOhneTilgung,2)=1,AND(INDEX(DarlTilgStart,2)&gt;0,$E851&lt;INDEX(DarlTilgStart,2))),0,MIN(MAX(0,$K851-$L851),$J851)))</f>
      </c>
      <c r="N851" s="43">
        <f>IF($I851=0,0,MIN(SUMIFS(SondBetrag,SondDarl,2,SondDatum,"&gt;="&amp;$E851,SondDatum,"&lt;="&amp;EOMONTH($E851,0)),$J851-$M851))</f>
      </c>
      <c r="O851" s="43">
        <f>IF($I851=0,0,INDEX(DarlErsatzRate,2))</f>
      </c>
      <c r="P851" s="43">
        <f>IF($I851=0,0,$Q850*INDEX(DarlErsatzZins,2))</f>
      </c>
      <c r="Q851" s="43">
        <f>IF($I851=0,0,$Q850+$P851+$O851)</f>
      </c>
      <c r="R851" s="43">
        <f>IF($I851=0,0,$J851-$M851-$N851)</f>
      </c>
    </row>
    <row r="852">
      <c r="A852"/>
      <c r="B852">
        <v>2</v>
      </c>
      <c r="C852" s="43">
        <f>INDEX(DarlObj,2)</f>
      </c>
      <c r="D852">
        <v>369</v>
      </c>
      <c r="E852" s="51">
        <f>IF(INDEX(DarlBelegt,2)=0,0,EOMONTH(INDEX(DarlAuszahlung,2),368)+1)</f>
      </c>
      <c r="F852" s="43">
        <f>IF($E852=0,0,YEAR($E852))</f>
      </c>
      <c r="G852" s="43">
        <f>IF(INDEX(DarlBindung,2)="",1,IF($E852&lt;=INDEX(DarlBindung,2),1,0))</f>
      </c>
      <c r="H852" s="43">
        <f>IF($G852=1,INDEX(DarlSollzins,2),INDEX(DarlAnschluss,2))</f>
      </c>
      <c r="I852" s="43">
        <f>IF(INDEX(DarlBelegt,2)=0,0,IF(INDEX(DarlOhneTilgung,2)=1,IF(INDEX(DarlBindung,2)="",1,$G852),IF($J852&gt;0.005,1,0)))</f>
      </c>
      <c r="J852" s="43">
        <f>IF($I851=0,0,$R851)</f>
      </c>
      <c r="K852" s="43">
        <f>IF($I852=0,0,IF(INDEX(DarlOhneTilgung,2)=1,0,IF(AND(INDEX(DarlTilgStart,2)&gt;0,$E852=INDEX(DarlTilgStart,2)),$J852*($H852+INDEX(DarlTilgung,2))/100/12,IF(AND($G852=0,$G851=1),MAX($K851,$J852*($H852+1)/100/12),$K851))))</f>
      </c>
      <c r="L852" s="43">
        <f>IF($I852=0,0,$J852*$H852/100/12)</f>
      </c>
      <c r="M852" s="43">
        <f>IF($I852=0,0,IF(OR(INDEX(DarlOhneTilgung,2)=1,AND(INDEX(DarlTilgStart,2)&gt;0,$E852&lt;INDEX(DarlTilgStart,2))),0,MIN(MAX(0,$K852-$L852),$J852)))</f>
      </c>
      <c r="N852" s="43">
        <f>IF($I852=0,0,MIN(SUMIFS(SondBetrag,SondDarl,2,SondDatum,"&gt;="&amp;$E852,SondDatum,"&lt;="&amp;EOMONTH($E852,0)),$J852-$M852))</f>
      </c>
      <c r="O852" s="43">
        <f>IF($I852=0,0,INDEX(DarlErsatzRate,2))</f>
      </c>
      <c r="P852" s="43">
        <f>IF($I852=0,0,$Q851*INDEX(DarlErsatzZins,2))</f>
      </c>
      <c r="Q852" s="43">
        <f>IF($I852=0,0,$Q851+$P852+$O852)</f>
      </c>
      <c r="R852" s="43">
        <f>IF($I852=0,0,$J852-$M852-$N852)</f>
      </c>
    </row>
    <row r="853">
      <c r="A853"/>
      <c r="B853">
        <v>2</v>
      </c>
      <c r="C853" s="43">
        <f>INDEX(DarlObj,2)</f>
      </c>
      <c r="D853">
        <v>370</v>
      </c>
      <c r="E853" s="51">
        <f>IF(INDEX(DarlBelegt,2)=0,0,EOMONTH(INDEX(DarlAuszahlung,2),369)+1)</f>
      </c>
      <c r="F853" s="43">
        <f>IF($E853=0,0,YEAR($E853))</f>
      </c>
      <c r="G853" s="43">
        <f>IF(INDEX(DarlBindung,2)="",1,IF($E853&lt;=INDEX(DarlBindung,2),1,0))</f>
      </c>
      <c r="H853" s="43">
        <f>IF($G853=1,INDEX(DarlSollzins,2),INDEX(DarlAnschluss,2))</f>
      </c>
      <c r="I853" s="43">
        <f>IF(INDEX(DarlBelegt,2)=0,0,IF(INDEX(DarlOhneTilgung,2)=1,IF(INDEX(DarlBindung,2)="",1,$G853),IF($J853&gt;0.005,1,0)))</f>
      </c>
      <c r="J853" s="43">
        <f>IF($I852=0,0,$R852)</f>
      </c>
      <c r="K853" s="43">
        <f>IF($I853=0,0,IF(INDEX(DarlOhneTilgung,2)=1,0,IF(AND(INDEX(DarlTilgStart,2)&gt;0,$E853=INDEX(DarlTilgStart,2)),$J853*($H853+INDEX(DarlTilgung,2))/100/12,IF(AND($G853=0,$G852=1),MAX($K852,$J853*($H853+1)/100/12),$K852))))</f>
      </c>
      <c r="L853" s="43">
        <f>IF($I853=0,0,$J853*$H853/100/12)</f>
      </c>
      <c r="M853" s="43">
        <f>IF($I853=0,0,IF(OR(INDEX(DarlOhneTilgung,2)=1,AND(INDEX(DarlTilgStart,2)&gt;0,$E853&lt;INDEX(DarlTilgStart,2))),0,MIN(MAX(0,$K853-$L853),$J853)))</f>
      </c>
      <c r="N853" s="43">
        <f>IF($I853=0,0,MIN(SUMIFS(SondBetrag,SondDarl,2,SondDatum,"&gt;="&amp;$E853,SondDatum,"&lt;="&amp;EOMONTH($E853,0)),$J853-$M853))</f>
      </c>
      <c r="O853" s="43">
        <f>IF($I853=0,0,INDEX(DarlErsatzRate,2))</f>
      </c>
      <c r="P853" s="43">
        <f>IF($I853=0,0,$Q852*INDEX(DarlErsatzZins,2))</f>
      </c>
      <c r="Q853" s="43">
        <f>IF($I853=0,0,$Q852+$P853+$O853)</f>
      </c>
      <c r="R853" s="43">
        <f>IF($I853=0,0,$J853-$M853-$N853)</f>
      </c>
    </row>
    <row r="854">
      <c r="A854"/>
      <c r="B854">
        <v>2</v>
      </c>
      <c r="C854" s="43">
        <f>INDEX(DarlObj,2)</f>
      </c>
      <c r="D854">
        <v>371</v>
      </c>
      <c r="E854" s="51">
        <f>IF(INDEX(DarlBelegt,2)=0,0,EOMONTH(INDEX(DarlAuszahlung,2),370)+1)</f>
      </c>
      <c r="F854" s="43">
        <f>IF($E854=0,0,YEAR($E854))</f>
      </c>
      <c r="G854" s="43">
        <f>IF(INDEX(DarlBindung,2)="",1,IF($E854&lt;=INDEX(DarlBindung,2),1,0))</f>
      </c>
      <c r="H854" s="43">
        <f>IF($G854=1,INDEX(DarlSollzins,2),INDEX(DarlAnschluss,2))</f>
      </c>
      <c r="I854" s="43">
        <f>IF(INDEX(DarlBelegt,2)=0,0,IF(INDEX(DarlOhneTilgung,2)=1,IF(INDEX(DarlBindung,2)="",1,$G854),IF($J854&gt;0.005,1,0)))</f>
      </c>
      <c r="J854" s="43">
        <f>IF($I853=0,0,$R853)</f>
      </c>
      <c r="K854" s="43">
        <f>IF($I854=0,0,IF(INDEX(DarlOhneTilgung,2)=1,0,IF(AND(INDEX(DarlTilgStart,2)&gt;0,$E854=INDEX(DarlTilgStart,2)),$J854*($H854+INDEX(DarlTilgung,2))/100/12,IF(AND($G854=0,$G853=1),MAX($K853,$J854*($H854+1)/100/12),$K853))))</f>
      </c>
      <c r="L854" s="43">
        <f>IF($I854=0,0,$J854*$H854/100/12)</f>
      </c>
      <c r="M854" s="43">
        <f>IF($I854=0,0,IF(OR(INDEX(DarlOhneTilgung,2)=1,AND(INDEX(DarlTilgStart,2)&gt;0,$E854&lt;INDEX(DarlTilgStart,2))),0,MIN(MAX(0,$K854-$L854),$J854)))</f>
      </c>
      <c r="N854" s="43">
        <f>IF($I854=0,0,MIN(SUMIFS(SondBetrag,SondDarl,2,SondDatum,"&gt;="&amp;$E854,SondDatum,"&lt;="&amp;EOMONTH($E854,0)),$J854-$M854))</f>
      </c>
      <c r="O854" s="43">
        <f>IF($I854=0,0,INDEX(DarlErsatzRate,2))</f>
      </c>
      <c r="P854" s="43">
        <f>IF($I854=0,0,$Q853*INDEX(DarlErsatzZins,2))</f>
      </c>
      <c r="Q854" s="43">
        <f>IF($I854=0,0,$Q853+$P854+$O854)</f>
      </c>
      <c r="R854" s="43">
        <f>IF($I854=0,0,$J854-$M854-$N854)</f>
      </c>
    </row>
    <row r="855">
      <c r="A855"/>
      <c r="B855">
        <v>2</v>
      </c>
      <c r="C855" s="43">
        <f>INDEX(DarlObj,2)</f>
      </c>
      <c r="D855">
        <v>372</v>
      </c>
      <c r="E855" s="51">
        <f>IF(INDEX(DarlBelegt,2)=0,0,EOMONTH(INDEX(DarlAuszahlung,2),371)+1)</f>
      </c>
      <c r="F855" s="43">
        <f>IF($E855=0,0,YEAR($E855))</f>
      </c>
      <c r="G855" s="43">
        <f>IF(INDEX(DarlBindung,2)="",1,IF($E855&lt;=INDEX(DarlBindung,2),1,0))</f>
      </c>
      <c r="H855" s="43">
        <f>IF($G855=1,INDEX(DarlSollzins,2),INDEX(DarlAnschluss,2))</f>
      </c>
      <c r="I855" s="43">
        <f>IF(INDEX(DarlBelegt,2)=0,0,IF(INDEX(DarlOhneTilgung,2)=1,IF(INDEX(DarlBindung,2)="",1,$G855),IF($J855&gt;0.005,1,0)))</f>
      </c>
      <c r="J855" s="43">
        <f>IF($I854=0,0,$R854)</f>
      </c>
      <c r="K855" s="43">
        <f>IF($I855=0,0,IF(INDEX(DarlOhneTilgung,2)=1,0,IF(AND(INDEX(DarlTilgStart,2)&gt;0,$E855=INDEX(DarlTilgStart,2)),$J855*($H855+INDEX(DarlTilgung,2))/100/12,IF(AND($G855=0,$G854=1),MAX($K854,$J855*($H855+1)/100/12),$K854))))</f>
      </c>
      <c r="L855" s="43">
        <f>IF($I855=0,0,$J855*$H855/100/12)</f>
      </c>
      <c r="M855" s="43">
        <f>IF($I855=0,0,IF(OR(INDEX(DarlOhneTilgung,2)=1,AND(INDEX(DarlTilgStart,2)&gt;0,$E855&lt;INDEX(DarlTilgStart,2))),0,MIN(MAX(0,$K855-$L855),$J855)))</f>
      </c>
      <c r="N855" s="43">
        <f>IF($I855=0,0,MIN(SUMIFS(SondBetrag,SondDarl,2,SondDatum,"&gt;="&amp;$E855,SondDatum,"&lt;="&amp;EOMONTH($E855,0)),$J855-$M855))</f>
      </c>
      <c r="O855" s="43">
        <f>IF($I855=0,0,INDEX(DarlErsatzRate,2))</f>
      </c>
      <c r="P855" s="43">
        <f>IF($I855=0,0,$Q854*INDEX(DarlErsatzZins,2))</f>
      </c>
      <c r="Q855" s="43">
        <f>IF($I855=0,0,$Q854+$P855+$O855)</f>
      </c>
      <c r="R855" s="43">
        <f>IF($I855=0,0,$J855-$M855-$N855)</f>
      </c>
    </row>
    <row r="856">
      <c r="A856"/>
      <c r="B856">
        <v>2</v>
      </c>
      <c r="C856" s="43">
        <f>INDEX(DarlObj,2)</f>
      </c>
      <c r="D856">
        <v>373</v>
      </c>
      <c r="E856" s="51">
        <f>IF(INDEX(DarlBelegt,2)=0,0,EOMONTH(INDEX(DarlAuszahlung,2),372)+1)</f>
      </c>
      <c r="F856" s="43">
        <f>IF($E856=0,0,YEAR($E856))</f>
      </c>
      <c r="G856" s="43">
        <f>IF(INDEX(DarlBindung,2)="",1,IF($E856&lt;=INDEX(DarlBindung,2),1,0))</f>
      </c>
      <c r="H856" s="43">
        <f>IF($G856=1,INDEX(DarlSollzins,2),INDEX(DarlAnschluss,2))</f>
      </c>
      <c r="I856" s="43">
        <f>IF(INDEX(DarlBelegt,2)=0,0,IF(INDEX(DarlOhneTilgung,2)=1,IF(INDEX(DarlBindung,2)="",1,$G856),IF($J856&gt;0.005,1,0)))</f>
      </c>
      <c r="J856" s="43">
        <f>IF($I855=0,0,$R855)</f>
      </c>
      <c r="K856" s="43">
        <f>IF($I856=0,0,IF(INDEX(DarlOhneTilgung,2)=1,0,IF(AND(INDEX(DarlTilgStart,2)&gt;0,$E856=INDEX(DarlTilgStart,2)),$J856*($H856+INDEX(DarlTilgung,2))/100/12,IF(AND($G856=0,$G855=1),MAX($K855,$J856*($H856+1)/100/12),$K855))))</f>
      </c>
      <c r="L856" s="43">
        <f>IF($I856=0,0,$J856*$H856/100/12)</f>
      </c>
      <c r="M856" s="43">
        <f>IF($I856=0,0,IF(OR(INDEX(DarlOhneTilgung,2)=1,AND(INDEX(DarlTilgStart,2)&gt;0,$E856&lt;INDEX(DarlTilgStart,2))),0,MIN(MAX(0,$K856-$L856),$J856)))</f>
      </c>
      <c r="N856" s="43">
        <f>IF($I856=0,0,MIN(SUMIFS(SondBetrag,SondDarl,2,SondDatum,"&gt;="&amp;$E856,SondDatum,"&lt;="&amp;EOMONTH($E856,0)),$J856-$M856))</f>
      </c>
      <c r="O856" s="43">
        <f>IF($I856=0,0,INDEX(DarlErsatzRate,2))</f>
      </c>
      <c r="P856" s="43">
        <f>IF($I856=0,0,$Q855*INDEX(DarlErsatzZins,2))</f>
      </c>
      <c r="Q856" s="43">
        <f>IF($I856=0,0,$Q855+$P856+$O856)</f>
      </c>
      <c r="R856" s="43">
        <f>IF($I856=0,0,$J856-$M856-$N856)</f>
      </c>
    </row>
    <row r="857">
      <c r="A857"/>
      <c r="B857">
        <v>2</v>
      </c>
      <c r="C857" s="43">
        <f>INDEX(DarlObj,2)</f>
      </c>
      <c r="D857">
        <v>374</v>
      </c>
      <c r="E857" s="51">
        <f>IF(INDEX(DarlBelegt,2)=0,0,EOMONTH(INDEX(DarlAuszahlung,2),373)+1)</f>
      </c>
      <c r="F857" s="43">
        <f>IF($E857=0,0,YEAR($E857))</f>
      </c>
      <c r="G857" s="43">
        <f>IF(INDEX(DarlBindung,2)="",1,IF($E857&lt;=INDEX(DarlBindung,2),1,0))</f>
      </c>
      <c r="H857" s="43">
        <f>IF($G857=1,INDEX(DarlSollzins,2),INDEX(DarlAnschluss,2))</f>
      </c>
      <c r="I857" s="43">
        <f>IF(INDEX(DarlBelegt,2)=0,0,IF(INDEX(DarlOhneTilgung,2)=1,IF(INDEX(DarlBindung,2)="",1,$G857),IF($J857&gt;0.005,1,0)))</f>
      </c>
      <c r="J857" s="43">
        <f>IF($I856=0,0,$R856)</f>
      </c>
      <c r="K857" s="43">
        <f>IF($I857=0,0,IF(INDEX(DarlOhneTilgung,2)=1,0,IF(AND(INDEX(DarlTilgStart,2)&gt;0,$E857=INDEX(DarlTilgStart,2)),$J857*($H857+INDEX(DarlTilgung,2))/100/12,IF(AND($G857=0,$G856=1),MAX($K856,$J857*($H857+1)/100/12),$K856))))</f>
      </c>
      <c r="L857" s="43">
        <f>IF($I857=0,0,$J857*$H857/100/12)</f>
      </c>
      <c r="M857" s="43">
        <f>IF($I857=0,0,IF(OR(INDEX(DarlOhneTilgung,2)=1,AND(INDEX(DarlTilgStart,2)&gt;0,$E857&lt;INDEX(DarlTilgStart,2))),0,MIN(MAX(0,$K857-$L857),$J857)))</f>
      </c>
      <c r="N857" s="43">
        <f>IF($I857=0,0,MIN(SUMIFS(SondBetrag,SondDarl,2,SondDatum,"&gt;="&amp;$E857,SondDatum,"&lt;="&amp;EOMONTH($E857,0)),$J857-$M857))</f>
      </c>
      <c r="O857" s="43">
        <f>IF($I857=0,0,INDEX(DarlErsatzRate,2))</f>
      </c>
      <c r="P857" s="43">
        <f>IF($I857=0,0,$Q856*INDEX(DarlErsatzZins,2))</f>
      </c>
      <c r="Q857" s="43">
        <f>IF($I857=0,0,$Q856+$P857+$O857)</f>
      </c>
      <c r="R857" s="43">
        <f>IF($I857=0,0,$J857-$M857-$N857)</f>
      </c>
    </row>
    <row r="858">
      <c r="A858"/>
      <c r="B858">
        <v>2</v>
      </c>
      <c r="C858" s="43">
        <f>INDEX(DarlObj,2)</f>
      </c>
      <c r="D858">
        <v>375</v>
      </c>
      <c r="E858" s="51">
        <f>IF(INDEX(DarlBelegt,2)=0,0,EOMONTH(INDEX(DarlAuszahlung,2),374)+1)</f>
      </c>
      <c r="F858" s="43">
        <f>IF($E858=0,0,YEAR($E858))</f>
      </c>
      <c r="G858" s="43">
        <f>IF(INDEX(DarlBindung,2)="",1,IF($E858&lt;=INDEX(DarlBindung,2),1,0))</f>
      </c>
      <c r="H858" s="43">
        <f>IF($G858=1,INDEX(DarlSollzins,2),INDEX(DarlAnschluss,2))</f>
      </c>
      <c r="I858" s="43">
        <f>IF(INDEX(DarlBelegt,2)=0,0,IF(INDEX(DarlOhneTilgung,2)=1,IF(INDEX(DarlBindung,2)="",1,$G858),IF($J858&gt;0.005,1,0)))</f>
      </c>
      <c r="J858" s="43">
        <f>IF($I857=0,0,$R857)</f>
      </c>
      <c r="K858" s="43">
        <f>IF($I858=0,0,IF(INDEX(DarlOhneTilgung,2)=1,0,IF(AND(INDEX(DarlTilgStart,2)&gt;0,$E858=INDEX(DarlTilgStart,2)),$J858*($H858+INDEX(DarlTilgung,2))/100/12,IF(AND($G858=0,$G857=1),MAX($K857,$J858*($H858+1)/100/12),$K857))))</f>
      </c>
      <c r="L858" s="43">
        <f>IF($I858=0,0,$J858*$H858/100/12)</f>
      </c>
      <c r="M858" s="43">
        <f>IF($I858=0,0,IF(OR(INDEX(DarlOhneTilgung,2)=1,AND(INDEX(DarlTilgStart,2)&gt;0,$E858&lt;INDEX(DarlTilgStart,2))),0,MIN(MAX(0,$K858-$L858),$J858)))</f>
      </c>
      <c r="N858" s="43">
        <f>IF($I858=0,0,MIN(SUMIFS(SondBetrag,SondDarl,2,SondDatum,"&gt;="&amp;$E858,SondDatum,"&lt;="&amp;EOMONTH($E858,0)),$J858-$M858))</f>
      </c>
      <c r="O858" s="43">
        <f>IF($I858=0,0,INDEX(DarlErsatzRate,2))</f>
      </c>
      <c r="P858" s="43">
        <f>IF($I858=0,0,$Q857*INDEX(DarlErsatzZins,2))</f>
      </c>
      <c r="Q858" s="43">
        <f>IF($I858=0,0,$Q857+$P858+$O858)</f>
      </c>
      <c r="R858" s="43">
        <f>IF($I858=0,0,$J858-$M858-$N858)</f>
      </c>
    </row>
    <row r="859">
      <c r="A859"/>
      <c r="B859">
        <v>2</v>
      </c>
      <c r="C859" s="43">
        <f>INDEX(DarlObj,2)</f>
      </c>
      <c r="D859">
        <v>376</v>
      </c>
      <c r="E859" s="51">
        <f>IF(INDEX(DarlBelegt,2)=0,0,EOMONTH(INDEX(DarlAuszahlung,2),375)+1)</f>
      </c>
      <c r="F859" s="43">
        <f>IF($E859=0,0,YEAR($E859))</f>
      </c>
      <c r="G859" s="43">
        <f>IF(INDEX(DarlBindung,2)="",1,IF($E859&lt;=INDEX(DarlBindung,2),1,0))</f>
      </c>
      <c r="H859" s="43">
        <f>IF($G859=1,INDEX(DarlSollzins,2),INDEX(DarlAnschluss,2))</f>
      </c>
      <c r="I859" s="43">
        <f>IF(INDEX(DarlBelegt,2)=0,0,IF(INDEX(DarlOhneTilgung,2)=1,IF(INDEX(DarlBindung,2)="",1,$G859),IF($J859&gt;0.005,1,0)))</f>
      </c>
      <c r="J859" s="43">
        <f>IF($I858=0,0,$R858)</f>
      </c>
      <c r="K859" s="43">
        <f>IF($I859=0,0,IF(INDEX(DarlOhneTilgung,2)=1,0,IF(AND(INDEX(DarlTilgStart,2)&gt;0,$E859=INDEX(DarlTilgStart,2)),$J859*($H859+INDEX(DarlTilgung,2))/100/12,IF(AND($G859=0,$G858=1),MAX($K858,$J859*($H859+1)/100/12),$K858))))</f>
      </c>
      <c r="L859" s="43">
        <f>IF($I859=0,0,$J859*$H859/100/12)</f>
      </c>
      <c r="M859" s="43">
        <f>IF($I859=0,0,IF(OR(INDEX(DarlOhneTilgung,2)=1,AND(INDEX(DarlTilgStart,2)&gt;0,$E859&lt;INDEX(DarlTilgStart,2))),0,MIN(MAX(0,$K859-$L859),$J859)))</f>
      </c>
      <c r="N859" s="43">
        <f>IF($I859=0,0,MIN(SUMIFS(SondBetrag,SondDarl,2,SondDatum,"&gt;="&amp;$E859,SondDatum,"&lt;="&amp;EOMONTH($E859,0)),$J859-$M859))</f>
      </c>
      <c r="O859" s="43">
        <f>IF($I859=0,0,INDEX(DarlErsatzRate,2))</f>
      </c>
      <c r="P859" s="43">
        <f>IF($I859=0,0,$Q858*INDEX(DarlErsatzZins,2))</f>
      </c>
      <c r="Q859" s="43">
        <f>IF($I859=0,0,$Q858+$P859+$O859)</f>
      </c>
      <c r="R859" s="43">
        <f>IF($I859=0,0,$J859-$M859-$N859)</f>
      </c>
    </row>
    <row r="860">
      <c r="A860"/>
      <c r="B860">
        <v>2</v>
      </c>
      <c r="C860" s="43">
        <f>INDEX(DarlObj,2)</f>
      </c>
      <c r="D860">
        <v>377</v>
      </c>
      <c r="E860" s="51">
        <f>IF(INDEX(DarlBelegt,2)=0,0,EOMONTH(INDEX(DarlAuszahlung,2),376)+1)</f>
      </c>
      <c r="F860" s="43">
        <f>IF($E860=0,0,YEAR($E860))</f>
      </c>
      <c r="G860" s="43">
        <f>IF(INDEX(DarlBindung,2)="",1,IF($E860&lt;=INDEX(DarlBindung,2),1,0))</f>
      </c>
      <c r="H860" s="43">
        <f>IF($G860=1,INDEX(DarlSollzins,2),INDEX(DarlAnschluss,2))</f>
      </c>
      <c r="I860" s="43">
        <f>IF(INDEX(DarlBelegt,2)=0,0,IF(INDEX(DarlOhneTilgung,2)=1,IF(INDEX(DarlBindung,2)="",1,$G860),IF($J860&gt;0.005,1,0)))</f>
      </c>
      <c r="J860" s="43">
        <f>IF($I859=0,0,$R859)</f>
      </c>
      <c r="K860" s="43">
        <f>IF($I860=0,0,IF(INDEX(DarlOhneTilgung,2)=1,0,IF(AND(INDEX(DarlTilgStart,2)&gt;0,$E860=INDEX(DarlTilgStart,2)),$J860*($H860+INDEX(DarlTilgung,2))/100/12,IF(AND($G860=0,$G859=1),MAX($K859,$J860*($H860+1)/100/12),$K859))))</f>
      </c>
      <c r="L860" s="43">
        <f>IF($I860=0,0,$J860*$H860/100/12)</f>
      </c>
      <c r="M860" s="43">
        <f>IF($I860=0,0,IF(OR(INDEX(DarlOhneTilgung,2)=1,AND(INDEX(DarlTilgStart,2)&gt;0,$E860&lt;INDEX(DarlTilgStart,2))),0,MIN(MAX(0,$K860-$L860),$J860)))</f>
      </c>
      <c r="N860" s="43">
        <f>IF($I860=0,0,MIN(SUMIFS(SondBetrag,SondDarl,2,SondDatum,"&gt;="&amp;$E860,SondDatum,"&lt;="&amp;EOMONTH($E860,0)),$J860-$M860))</f>
      </c>
      <c r="O860" s="43">
        <f>IF($I860=0,0,INDEX(DarlErsatzRate,2))</f>
      </c>
      <c r="P860" s="43">
        <f>IF($I860=0,0,$Q859*INDEX(DarlErsatzZins,2))</f>
      </c>
      <c r="Q860" s="43">
        <f>IF($I860=0,0,$Q859+$P860+$O860)</f>
      </c>
      <c r="R860" s="43">
        <f>IF($I860=0,0,$J860-$M860-$N860)</f>
      </c>
    </row>
    <row r="861">
      <c r="A861"/>
      <c r="B861">
        <v>2</v>
      </c>
      <c r="C861" s="43">
        <f>INDEX(DarlObj,2)</f>
      </c>
      <c r="D861">
        <v>378</v>
      </c>
      <c r="E861" s="51">
        <f>IF(INDEX(DarlBelegt,2)=0,0,EOMONTH(INDEX(DarlAuszahlung,2),377)+1)</f>
      </c>
      <c r="F861" s="43">
        <f>IF($E861=0,0,YEAR($E861))</f>
      </c>
      <c r="G861" s="43">
        <f>IF(INDEX(DarlBindung,2)="",1,IF($E861&lt;=INDEX(DarlBindung,2),1,0))</f>
      </c>
      <c r="H861" s="43">
        <f>IF($G861=1,INDEX(DarlSollzins,2),INDEX(DarlAnschluss,2))</f>
      </c>
      <c r="I861" s="43">
        <f>IF(INDEX(DarlBelegt,2)=0,0,IF(INDEX(DarlOhneTilgung,2)=1,IF(INDEX(DarlBindung,2)="",1,$G861),IF($J861&gt;0.005,1,0)))</f>
      </c>
      <c r="J861" s="43">
        <f>IF($I860=0,0,$R860)</f>
      </c>
      <c r="K861" s="43">
        <f>IF($I861=0,0,IF(INDEX(DarlOhneTilgung,2)=1,0,IF(AND(INDEX(DarlTilgStart,2)&gt;0,$E861=INDEX(DarlTilgStart,2)),$J861*($H861+INDEX(DarlTilgung,2))/100/12,IF(AND($G861=0,$G860=1),MAX($K860,$J861*($H861+1)/100/12),$K860))))</f>
      </c>
      <c r="L861" s="43">
        <f>IF($I861=0,0,$J861*$H861/100/12)</f>
      </c>
      <c r="M861" s="43">
        <f>IF($I861=0,0,IF(OR(INDEX(DarlOhneTilgung,2)=1,AND(INDEX(DarlTilgStart,2)&gt;0,$E861&lt;INDEX(DarlTilgStart,2))),0,MIN(MAX(0,$K861-$L861),$J861)))</f>
      </c>
      <c r="N861" s="43">
        <f>IF($I861=0,0,MIN(SUMIFS(SondBetrag,SondDarl,2,SondDatum,"&gt;="&amp;$E861,SondDatum,"&lt;="&amp;EOMONTH($E861,0)),$J861-$M861))</f>
      </c>
      <c r="O861" s="43">
        <f>IF($I861=0,0,INDEX(DarlErsatzRate,2))</f>
      </c>
      <c r="P861" s="43">
        <f>IF($I861=0,0,$Q860*INDEX(DarlErsatzZins,2))</f>
      </c>
      <c r="Q861" s="43">
        <f>IF($I861=0,0,$Q860+$P861+$O861)</f>
      </c>
      <c r="R861" s="43">
        <f>IF($I861=0,0,$J861-$M861-$N861)</f>
      </c>
    </row>
    <row r="862">
      <c r="A862"/>
      <c r="B862">
        <v>2</v>
      </c>
      <c r="C862" s="43">
        <f>INDEX(DarlObj,2)</f>
      </c>
      <c r="D862">
        <v>379</v>
      </c>
      <c r="E862" s="51">
        <f>IF(INDEX(DarlBelegt,2)=0,0,EOMONTH(INDEX(DarlAuszahlung,2),378)+1)</f>
      </c>
      <c r="F862" s="43">
        <f>IF($E862=0,0,YEAR($E862))</f>
      </c>
      <c r="G862" s="43">
        <f>IF(INDEX(DarlBindung,2)="",1,IF($E862&lt;=INDEX(DarlBindung,2),1,0))</f>
      </c>
      <c r="H862" s="43">
        <f>IF($G862=1,INDEX(DarlSollzins,2),INDEX(DarlAnschluss,2))</f>
      </c>
      <c r="I862" s="43">
        <f>IF(INDEX(DarlBelegt,2)=0,0,IF(INDEX(DarlOhneTilgung,2)=1,IF(INDEX(DarlBindung,2)="",1,$G862),IF($J862&gt;0.005,1,0)))</f>
      </c>
      <c r="J862" s="43">
        <f>IF($I861=0,0,$R861)</f>
      </c>
      <c r="K862" s="43">
        <f>IF($I862=0,0,IF(INDEX(DarlOhneTilgung,2)=1,0,IF(AND(INDEX(DarlTilgStart,2)&gt;0,$E862=INDEX(DarlTilgStart,2)),$J862*($H862+INDEX(DarlTilgung,2))/100/12,IF(AND($G862=0,$G861=1),MAX($K861,$J862*($H862+1)/100/12),$K861))))</f>
      </c>
      <c r="L862" s="43">
        <f>IF($I862=0,0,$J862*$H862/100/12)</f>
      </c>
      <c r="M862" s="43">
        <f>IF($I862=0,0,IF(OR(INDEX(DarlOhneTilgung,2)=1,AND(INDEX(DarlTilgStart,2)&gt;0,$E862&lt;INDEX(DarlTilgStart,2))),0,MIN(MAX(0,$K862-$L862),$J862)))</f>
      </c>
      <c r="N862" s="43">
        <f>IF($I862=0,0,MIN(SUMIFS(SondBetrag,SondDarl,2,SondDatum,"&gt;="&amp;$E862,SondDatum,"&lt;="&amp;EOMONTH($E862,0)),$J862-$M862))</f>
      </c>
      <c r="O862" s="43">
        <f>IF($I862=0,0,INDEX(DarlErsatzRate,2))</f>
      </c>
      <c r="P862" s="43">
        <f>IF($I862=0,0,$Q861*INDEX(DarlErsatzZins,2))</f>
      </c>
      <c r="Q862" s="43">
        <f>IF($I862=0,0,$Q861+$P862+$O862)</f>
      </c>
      <c r="R862" s="43">
        <f>IF($I862=0,0,$J862-$M862-$N862)</f>
      </c>
    </row>
    <row r="863">
      <c r="A863"/>
      <c r="B863">
        <v>2</v>
      </c>
      <c r="C863" s="43">
        <f>INDEX(DarlObj,2)</f>
      </c>
      <c r="D863">
        <v>380</v>
      </c>
      <c r="E863" s="51">
        <f>IF(INDEX(DarlBelegt,2)=0,0,EOMONTH(INDEX(DarlAuszahlung,2),379)+1)</f>
      </c>
      <c r="F863" s="43">
        <f>IF($E863=0,0,YEAR($E863))</f>
      </c>
      <c r="G863" s="43">
        <f>IF(INDEX(DarlBindung,2)="",1,IF($E863&lt;=INDEX(DarlBindung,2),1,0))</f>
      </c>
      <c r="H863" s="43">
        <f>IF($G863=1,INDEX(DarlSollzins,2),INDEX(DarlAnschluss,2))</f>
      </c>
      <c r="I863" s="43">
        <f>IF(INDEX(DarlBelegt,2)=0,0,IF(INDEX(DarlOhneTilgung,2)=1,IF(INDEX(DarlBindung,2)="",1,$G863),IF($J863&gt;0.005,1,0)))</f>
      </c>
      <c r="J863" s="43">
        <f>IF($I862=0,0,$R862)</f>
      </c>
      <c r="K863" s="43">
        <f>IF($I863=0,0,IF(INDEX(DarlOhneTilgung,2)=1,0,IF(AND(INDEX(DarlTilgStart,2)&gt;0,$E863=INDEX(DarlTilgStart,2)),$J863*($H863+INDEX(DarlTilgung,2))/100/12,IF(AND($G863=0,$G862=1),MAX($K862,$J863*($H863+1)/100/12),$K862))))</f>
      </c>
      <c r="L863" s="43">
        <f>IF($I863=0,0,$J863*$H863/100/12)</f>
      </c>
      <c r="M863" s="43">
        <f>IF($I863=0,0,IF(OR(INDEX(DarlOhneTilgung,2)=1,AND(INDEX(DarlTilgStart,2)&gt;0,$E863&lt;INDEX(DarlTilgStart,2))),0,MIN(MAX(0,$K863-$L863),$J863)))</f>
      </c>
      <c r="N863" s="43">
        <f>IF($I863=0,0,MIN(SUMIFS(SondBetrag,SondDarl,2,SondDatum,"&gt;="&amp;$E863,SondDatum,"&lt;="&amp;EOMONTH($E863,0)),$J863-$M863))</f>
      </c>
      <c r="O863" s="43">
        <f>IF($I863=0,0,INDEX(DarlErsatzRate,2))</f>
      </c>
      <c r="P863" s="43">
        <f>IF($I863=0,0,$Q862*INDEX(DarlErsatzZins,2))</f>
      </c>
      <c r="Q863" s="43">
        <f>IF($I863=0,0,$Q862+$P863+$O863)</f>
      </c>
      <c r="R863" s="43">
        <f>IF($I863=0,0,$J863-$M863-$N863)</f>
      </c>
    </row>
    <row r="864">
      <c r="A864"/>
      <c r="B864">
        <v>2</v>
      </c>
      <c r="C864" s="43">
        <f>INDEX(DarlObj,2)</f>
      </c>
      <c r="D864">
        <v>381</v>
      </c>
      <c r="E864" s="51">
        <f>IF(INDEX(DarlBelegt,2)=0,0,EOMONTH(INDEX(DarlAuszahlung,2),380)+1)</f>
      </c>
      <c r="F864" s="43">
        <f>IF($E864=0,0,YEAR($E864))</f>
      </c>
      <c r="G864" s="43">
        <f>IF(INDEX(DarlBindung,2)="",1,IF($E864&lt;=INDEX(DarlBindung,2),1,0))</f>
      </c>
      <c r="H864" s="43">
        <f>IF($G864=1,INDEX(DarlSollzins,2),INDEX(DarlAnschluss,2))</f>
      </c>
      <c r="I864" s="43">
        <f>IF(INDEX(DarlBelegt,2)=0,0,IF(INDEX(DarlOhneTilgung,2)=1,IF(INDEX(DarlBindung,2)="",1,$G864),IF($J864&gt;0.005,1,0)))</f>
      </c>
      <c r="J864" s="43">
        <f>IF($I863=0,0,$R863)</f>
      </c>
      <c r="K864" s="43">
        <f>IF($I864=0,0,IF(INDEX(DarlOhneTilgung,2)=1,0,IF(AND(INDEX(DarlTilgStart,2)&gt;0,$E864=INDEX(DarlTilgStart,2)),$J864*($H864+INDEX(DarlTilgung,2))/100/12,IF(AND($G864=0,$G863=1),MAX($K863,$J864*($H864+1)/100/12),$K863))))</f>
      </c>
      <c r="L864" s="43">
        <f>IF($I864=0,0,$J864*$H864/100/12)</f>
      </c>
      <c r="M864" s="43">
        <f>IF($I864=0,0,IF(OR(INDEX(DarlOhneTilgung,2)=1,AND(INDEX(DarlTilgStart,2)&gt;0,$E864&lt;INDEX(DarlTilgStart,2))),0,MIN(MAX(0,$K864-$L864),$J864)))</f>
      </c>
      <c r="N864" s="43">
        <f>IF($I864=0,0,MIN(SUMIFS(SondBetrag,SondDarl,2,SondDatum,"&gt;="&amp;$E864,SondDatum,"&lt;="&amp;EOMONTH($E864,0)),$J864-$M864))</f>
      </c>
      <c r="O864" s="43">
        <f>IF($I864=0,0,INDEX(DarlErsatzRate,2))</f>
      </c>
      <c r="P864" s="43">
        <f>IF($I864=0,0,$Q863*INDEX(DarlErsatzZins,2))</f>
      </c>
      <c r="Q864" s="43">
        <f>IF($I864=0,0,$Q863+$P864+$O864)</f>
      </c>
      <c r="R864" s="43">
        <f>IF($I864=0,0,$J864-$M864-$N864)</f>
      </c>
    </row>
    <row r="865">
      <c r="A865"/>
      <c r="B865">
        <v>2</v>
      </c>
      <c r="C865" s="43">
        <f>INDEX(DarlObj,2)</f>
      </c>
      <c r="D865">
        <v>382</v>
      </c>
      <c r="E865" s="51">
        <f>IF(INDEX(DarlBelegt,2)=0,0,EOMONTH(INDEX(DarlAuszahlung,2),381)+1)</f>
      </c>
      <c r="F865" s="43">
        <f>IF($E865=0,0,YEAR($E865))</f>
      </c>
      <c r="G865" s="43">
        <f>IF(INDEX(DarlBindung,2)="",1,IF($E865&lt;=INDEX(DarlBindung,2),1,0))</f>
      </c>
      <c r="H865" s="43">
        <f>IF($G865=1,INDEX(DarlSollzins,2),INDEX(DarlAnschluss,2))</f>
      </c>
      <c r="I865" s="43">
        <f>IF(INDEX(DarlBelegt,2)=0,0,IF(INDEX(DarlOhneTilgung,2)=1,IF(INDEX(DarlBindung,2)="",1,$G865),IF($J865&gt;0.005,1,0)))</f>
      </c>
      <c r="J865" s="43">
        <f>IF($I864=0,0,$R864)</f>
      </c>
      <c r="K865" s="43">
        <f>IF($I865=0,0,IF(INDEX(DarlOhneTilgung,2)=1,0,IF(AND(INDEX(DarlTilgStart,2)&gt;0,$E865=INDEX(DarlTilgStart,2)),$J865*($H865+INDEX(DarlTilgung,2))/100/12,IF(AND($G865=0,$G864=1),MAX($K864,$J865*($H865+1)/100/12),$K864))))</f>
      </c>
      <c r="L865" s="43">
        <f>IF($I865=0,0,$J865*$H865/100/12)</f>
      </c>
      <c r="M865" s="43">
        <f>IF($I865=0,0,IF(OR(INDEX(DarlOhneTilgung,2)=1,AND(INDEX(DarlTilgStart,2)&gt;0,$E865&lt;INDEX(DarlTilgStart,2))),0,MIN(MAX(0,$K865-$L865),$J865)))</f>
      </c>
      <c r="N865" s="43">
        <f>IF($I865=0,0,MIN(SUMIFS(SondBetrag,SondDarl,2,SondDatum,"&gt;="&amp;$E865,SondDatum,"&lt;="&amp;EOMONTH($E865,0)),$J865-$M865))</f>
      </c>
      <c r="O865" s="43">
        <f>IF($I865=0,0,INDEX(DarlErsatzRate,2))</f>
      </c>
      <c r="P865" s="43">
        <f>IF($I865=0,0,$Q864*INDEX(DarlErsatzZins,2))</f>
      </c>
      <c r="Q865" s="43">
        <f>IF($I865=0,0,$Q864+$P865+$O865)</f>
      </c>
      <c r="R865" s="43">
        <f>IF($I865=0,0,$J865-$M865-$N865)</f>
      </c>
    </row>
    <row r="866">
      <c r="A866"/>
      <c r="B866">
        <v>2</v>
      </c>
      <c r="C866" s="43">
        <f>INDEX(DarlObj,2)</f>
      </c>
      <c r="D866">
        <v>383</v>
      </c>
      <c r="E866" s="51">
        <f>IF(INDEX(DarlBelegt,2)=0,0,EOMONTH(INDEX(DarlAuszahlung,2),382)+1)</f>
      </c>
      <c r="F866" s="43">
        <f>IF($E866=0,0,YEAR($E866))</f>
      </c>
      <c r="G866" s="43">
        <f>IF(INDEX(DarlBindung,2)="",1,IF($E866&lt;=INDEX(DarlBindung,2),1,0))</f>
      </c>
      <c r="H866" s="43">
        <f>IF($G866=1,INDEX(DarlSollzins,2),INDEX(DarlAnschluss,2))</f>
      </c>
      <c r="I866" s="43">
        <f>IF(INDEX(DarlBelegt,2)=0,0,IF(INDEX(DarlOhneTilgung,2)=1,IF(INDEX(DarlBindung,2)="",1,$G866),IF($J866&gt;0.005,1,0)))</f>
      </c>
      <c r="J866" s="43">
        <f>IF($I865=0,0,$R865)</f>
      </c>
      <c r="K866" s="43">
        <f>IF($I866=0,0,IF(INDEX(DarlOhneTilgung,2)=1,0,IF(AND(INDEX(DarlTilgStart,2)&gt;0,$E866=INDEX(DarlTilgStart,2)),$J866*($H866+INDEX(DarlTilgung,2))/100/12,IF(AND($G866=0,$G865=1),MAX($K865,$J866*($H866+1)/100/12),$K865))))</f>
      </c>
      <c r="L866" s="43">
        <f>IF($I866=0,0,$J866*$H866/100/12)</f>
      </c>
      <c r="M866" s="43">
        <f>IF($I866=0,0,IF(OR(INDEX(DarlOhneTilgung,2)=1,AND(INDEX(DarlTilgStart,2)&gt;0,$E866&lt;INDEX(DarlTilgStart,2))),0,MIN(MAX(0,$K866-$L866),$J866)))</f>
      </c>
      <c r="N866" s="43">
        <f>IF($I866=0,0,MIN(SUMIFS(SondBetrag,SondDarl,2,SondDatum,"&gt;="&amp;$E866,SondDatum,"&lt;="&amp;EOMONTH($E866,0)),$J866-$M866))</f>
      </c>
      <c r="O866" s="43">
        <f>IF($I866=0,0,INDEX(DarlErsatzRate,2))</f>
      </c>
      <c r="P866" s="43">
        <f>IF($I866=0,0,$Q865*INDEX(DarlErsatzZins,2))</f>
      </c>
      <c r="Q866" s="43">
        <f>IF($I866=0,0,$Q865+$P866+$O866)</f>
      </c>
      <c r="R866" s="43">
        <f>IF($I866=0,0,$J866-$M866-$N866)</f>
      </c>
    </row>
    <row r="867">
      <c r="A867"/>
      <c r="B867">
        <v>2</v>
      </c>
      <c r="C867" s="43">
        <f>INDEX(DarlObj,2)</f>
      </c>
      <c r="D867">
        <v>384</v>
      </c>
      <c r="E867" s="51">
        <f>IF(INDEX(DarlBelegt,2)=0,0,EOMONTH(INDEX(DarlAuszahlung,2),383)+1)</f>
      </c>
      <c r="F867" s="43">
        <f>IF($E867=0,0,YEAR($E867))</f>
      </c>
      <c r="G867" s="43">
        <f>IF(INDEX(DarlBindung,2)="",1,IF($E867&lt;=INDEX(DarlBindung,2),1,0))</f>
      </c>
      <c r="H867" s="43">
        <f>IF($G867=1,INDEX(DarlSollzins,2),INDEX(DarlAnschluss,2))</f>
      </c>
      <c r="I867" s="43">
        <f>IF(INDEX(DarlBelegt,2)=0,0,IF(INDEX(DarlOhneTilgung,2)=1,IF(INDEX(DarlBindung,2)="",1,$G867),IF($J867&gt;0.005,1,0)))</f>
      </c>
      <c r="J867" s="43">
        <f>IF($I866=0,0,$R866)</f>
      </c>
      <c r="K867" s="43">
        <f>IF($I867=0,0,IF(INDEX(DarlOhneTilgung,2)=1,0,IF(AND(INDEX(DarlTilgStart,2)&gt;0,$E867=INDEX(DarlTilgStart,2)),$J867*($H867+INDEX(DarlTilgung,2))/100/12,IF(AND($G867=0,$G866=1),MAX($K866,$J867*($H867+1)/100/12),$K866))))</f>
      </c>
      <c r="L867" s="43">
        <f>IF($I867=0,0,$J867*$H867/100/12)</f>
      </c>
      <c r="M867" s="43">
        <f>IF($I867=0,0,IF(OR(INDEX(DarlOhneTilgung,2)=1,AND(INDEX(DarlTilgStart,2)&gt;0,$E867&lt;INDEX(DarlTilgStart,2))),0,MIN(MAX(0,$K867-$L867),$J867)))</f>
      </c>
      <c r="N867" s="43">
        <f>IF($I867=0,0,MIN(SUMIFS(SondBetrag,SondDarl,2,SondDatum,"&gt;="&amp;$E867,SondDatum,"&lt;="&amp;EOMONTH($E867,0)),$J867-$M867))</f>
      </c>
      <c r="O867" s="43">
        <f>IF($I867=0,0,INDEX(DarlErsatzRate,2))</f>
      </c>
      <c r="P867" s="43">
        <f>IF($I867=0,0,$Q866*INDEX(DarlErsatzZins,2))</f>
      </c>
      <c r="Q867" s="43">
        <f>IF($I867=0,0,$Q866+$P867+$O867)</f>
      </c>
      <c r="R867" s="43">
        <f>IF($I867=0,0,$J867-$M867-$N867)</f>
      </c>
    </row>
    <row r="868">
      <c r="A868"/>
      <c r="B868">
        <v>2</v>
      </c>
      <c r="C868" s="43">
        <f>INDEX(DarlObj,2)</f>
      </c>
      <c r="D868">
        <v>385</v>
      </c>
      <c r="E868" s="51">
        <f>IF(INDEX(DarlBelegt,2)=0,0,EOMONTH(INDEX(DarlAuszahlung,2),384)+1)</f>
      </c>
      <c r="F868" s="43">
        <f>IF($E868=0,0,YEAR($E868))</f>
      </c>
      <c r="G868" s="43">
        <f>IF(INDEX(DarlBindung,2)="",1,IF($E868&lt;=INDEX(DarlBindung,2),1,0))</f>
      </c>
      <c r="H868" s="43">
        <f>IF($G868=1,INDEX(DarlSollzins,2),INDEX(DarlAnschluss,2))</f>
      </c>
      <c r="I868" s="43">
        <f>IF(INDEX(DarlBelegt,2)=0,0,IF(INDEX(DarlOhneTilgung,2)=1,IF(INDEX(DarlBindung,2)="",1,$G868),IF($J868&gt;0.005,1,0)))</f>
      </c>
      <c r="J868" s="43">
        <f>IF($I867=0,0,$R867)</f>
      </c>
      <c r="K868" s="43">
        <f>IF($I868=0,0,IF(INDEX(DarlOhneTilgung,2)=1,0,IF(AND(INDEX(DarlTilgStart,2)&gt;0,$E868=INDEX(DarlTilgStart,2)),$J868*($H868+INDEX(DarlTilgung,2))/100/12,IF(AND($G868=0,$G867=1),MAX($K867,$J868*($H868+1)/100/12),$K867))))</f>
      </c>
      <c r="L868" s="43">
        <f>IF($I868=0,0,$J868*$H868/100/12)</f>
      </c>
      <c r="M868" s="43">
        <f>IF($I868=0,0,IF(OR(INDEX(DarlOhneTilgung,2)=1,AND(INDEX(DarlTilgStart,2)&gt;0,$E868&lt;INDEX(DarlTilgStart,2))),0,MIN(MAX(0,$K868-$L868),$J868)))</f>
      </c>
      <c r="N868" s="43">
        <f>IF($I868=0,0,MIN(SUMIFS(SondBetrag,SondDarl,2,SondDatum,"&gt;="&amp;$E868,SondDatum,"&lt;="&amp;EOMONTH($E868,0)),$J868-$M868))</f>
      </c>
      <c r="O868" s="43">
        <f>IF($I868=0,0,INDEX(DarlErsatzRate,2))</f>
      </c>
      <c r="P868" s="43">
        <f>IF($I868=0,0,$Q867*INDEX(DarlErsatzZins,2))</f>
      </c>
      <c r="Q868" s="43">
        <f>IF($I868=0,0,$Q867+$P868+$O868)</f>
      </c>
      <c r="R868" s="43">
        <f>IF($I868=0,0,$J868-$M868-$N868)</f>
      </c>
    </row>
    <row r="869">
      <c r="A869"/>
      <c r="B869">
        <v>2</v>
      </c>
      <c r="C869" s="43">
        <f>INDEX(DarlObj,2)</f>
      </c>
      <c r="D869">
        <v>386</v>
      </c>
      <c r="E869" s="51">
        <f>IF(INDEX(DarlBelegt,2)=0,0,EOMONTH(INDEX(DarlAuszahlung,2),385)+1)</f>
      </c>
      <c r="F869" s="43">
        <f>IF($E869=0,0,YEAR($E869))</f>
      </c>
      <c r="G869" s="43">
        <f>IF(INDEX(DarlBindung,2)="",1,IF($E869&lt;=INDEX(DarlBindung,2),1,0))</f>
      </c>
      <c r="H869" s="43">
        <f>IF($G869=1,INDEX(DarlSollzins,2),INDEX(DarlAnschluss,2))</f>
      </c>
      <c r="I869" s="43">
        <f>IF(INDEX(DarlBelegt,2)=0,0,IF(INDEX(DarlOhneTilgung,2)=1,IF(INDEX(DarlBindung,2)="",1,$G869),IF($J869&gt;0.005,1,0)))</f>
      </c>
      <c r="J869" s="43">
        <f>IF($I868=0,0,$R868)</f>
      </c>
      <c r="K869" s="43">
        <f>IF($I869=0,0,IF(INDEX(DarlOhneTilgung,2)=1,0,IF(AND(INDEX(DarlTilgStart,2)&gt;0,$E869=INDEX(DarlTilgStart,2)),$J869*($H869+INDEX(DarlTilgung,2))/100/12,IF(AND($G869=0,$G868=1),MAX($K868,$J869*($H869+1)/100/12),$K868))))</f>
      </c>
      <c r="L869" s="43">
        <f>IF($I869=0,0,$J869*$H869/100/12)</f>
      </c>
      <c r="M869" s="43">
        <f>IF($I869=0,0,IF(OR(INDEX(DarlOhneTilgung,2)=1,AND(INDEX(DarlTilgStart,2)&gt;0,$E869&lt;INDEX(DarlTilgStart,2))),0,MIN(MAX(0,$K869-$L869),$J869)))</f>
      </c>
      <c r="N869" s="43">
        <f>IF($I869=0,0,MIN(SUMIFS(SondBetrag,SondDarl,2,SondDatum,"&gt;="&amp;$E869,SondDatum,"&lt;="&amp;EOMONTH($E869,0)),$J869-$M869))</f>
      </c>
      <c r="O869" s="43">
        <f>IF($I869=0,0,INDEX(DarlErsatzRate,2))</f>
      </c>
      <c r="P869" s="43">
        <f>IF($I869=0,0,$Q868*INDEX(DarlErsatzZins,2))</f>
      </c>
      <c r="Q869" s="43">
        <f>IF($I869=0,0,$Q868+$P869+$O869)</f>
      </c>
      <c r="R869" s="43">
        <f>IF($I869=0,0,$J869-$M869-$N869)</f>
      </c>
    </row>
    <row r="870">
      <c r="A870"/>
      <c r="B870">
        <v>2</v>
      </c>
      <c r="C870" s="43">
        <f>INDEX(DarlObj,2)</f>
      </c>
      <c r="D870">
        <v>387</v>
      </c>
      <c r="E870" s="51">
        <f>IF(INDEX(DarlBelegt,2)=0,0,EOMONTH(INDEX(DarlAuszahlung,2),386)+1)</f>
      </c>
      <c r="F870" s="43">
        <f>IF($E870=0,0,YEAR($E870))</f>
      </c>
      <c r="G870" s="43">
        <f>IF(INDEX(DarlBindung,2)="",1,IF($E870&lt;=INDEX(DarlBindung,2),1,0))</f>
      </c>
      <c r="H870" s="43">
        <f>IF($G870=1,INDEX(DarlSollzins,2),INDEX(DarlAnschluss,2))</f>
      </c>
      <c r="I870" s="43">
        <f>IF(INDEX(DarlBelegt,2)=0,0,IF(INDEX(DarlOhneTilgung,2)=1,IF(INDEX(DarlBindung,2)="",1,$G870),IF($J870&gt;0.005,1,0)))</f>
      </c>
      <c r="J870" s="43">
        <f>IF($I869=0,0,$R869)</f>
      </c>
      <c r="K870" s="43">
        <f>IF($I870=0,0,IF(INDEX(DarlOhneTilgung,2)=1,0,IF(AND(INDEX(DarlTilgStart,2)&gt;0,$E870=INDEX(DarlTilgStart,2)),$J870*($H870+INDEX(DarlTilgung,2))/100/12,IF(AND($G870=0,$G869=1),MAX($K869,$J870*($H870+1)/100/12),$K869))))</f>
      </c>
      <c r="L870" s="43">
        <f>IF($I870=0,0,$J870*$H870/100/12)</f>
      </c>
      <c r="M870" s="43">
        <f>IF($I870=0,0,IF(OR(INDEX(DarlOhneTilgung,2)=1,AND(INDEX(DarlTilgStart,2)&gt;0,$E870&lt;INDEX(DarlTilgStart,2))),0,MIN(MAX(0,$K870-$L870),$J870)))</f>
      </c>
      <c r="N870" s="43">
        <f>IF($I870=0,0,MIN(SUMIFS(SondBetrag,SondDarl,2,SondDatum,"&gt;="&amp;$E870,SondDatum,"&lt;="&amp;EOMONTH($E870,0)),$J870-$M870))</f>
      </c>
      <c r="O870" s="43">
        <f>IF($I870=0,0,INDEX(DarlErsatzRate,2))</f>
      </c>
      <c r="P870" s="43">
        <f>IF($I870=0,0,$Q869*INDEX(DarlErsatzZins,2))</f>
      </c>
      <c r="Q870" s="43">
        <f>IF($I870=0,0,$Q869+$P870+$O870)</f>
      </c>
      <c r="R870" s="43">
        <f>IF($I870=0,0,$J870-$M870-$N870)</f>
      </c>
    </row>
    <row r="871">
      <c r="A871"/>
      <c r="B871">
        <v>2</v>
      </c>
      <c r="C871" s="43">
        <f>INDEX(DarlObj,2)</f>
      </c>
      <c r="D871">
        <v>388</v>
      </c>
      <c r="E871" s="51">
        <f>IF(INDEX(DarlBelegt,2)=0,0,EOMONTH(INDEX(DarlAuszahlung,2),387)+1)</f>
      </c>
      <c r="F871" s="43">
        <f>IF($E871=0,0,YEAR($E871))</f>
      </c>
      <c r="G871" s="43">
        <f>IF(INDEX(DarlBindung,2)="",1,IF($E871&lt;=INDEX(DarlBindung,2),1,0))</f>
      </c>
      <c r="H871" s="43">
        <f>IF($G871=1,INDEX(DarlSollzins,2),INDEX(DarlAnschluss,2))</f>
      </c>
      <c r="I871" s="43">
        <f>IF(INDEX(DarlBelegt,2)=0,0,IF(INDEX(DarlOhneTilgung,2)=1,IF(INDEX(DarlBindung,2)="",1,$G871),IF($J871&gt;0.005,1,0)))</f>
      </c>
      <c r="J871" s="43">
        <f>IF($I870=0,0,$R870)</f>
      </c>
      <c r="K871" s="43">
        <f>IF($I871=0,0,IF(INDEX(DarlOhneTilgung,2)=1,0,IF(AND(INDEX(DarlTilgStart,2)&gt;0,$E871=INDEX(DarlTilgStart,2)),$J871*($H871+INDEX(DarlTilgung,2))/100/12,IF(AND($G871=0,$G870=1),MAX($K870,$J871*($H871+1)/100/12),$K870))))</f>
      </c>
      <c r="L871" s="43">
        <f>IF($I871=0,0,$J871*$H871/100/12)</f>
      </c>
      <c r="M871" s="43">
        <f>IF($I871=0,0,IF(OR(INDEX(DarlOhneTilgung,2)=1,AND(INDEX(DarlTilgStart,2)&gt;0,$E871&lt;INDEX(DarlTilgStart,2))),0,MIN(MAX(0,$K871-$L871),$J871)))</f>
      </c>
      <c r="N871" s="43">
        <f>IF($I871=0,0,MIN(SUMIFS(SondBetrag,SondDarl,2,SondDatum,"&gt;="&amp;$E871,SondDatum,"&lt;="&amp;EOMONTH($E871,0)),$J871-$M871))</f>
      </c>
      <c r="O871" s="43">
        <f>IF($I871=0,0,INDEX(DarlErsatzRate,2))</f>
      </c>
      <c r="P871" s="43">
        <f>IF($I871=0,0,$Q870*INDEX(DarlErsatzZins,2))</f>
      </c>
      <c r="Q871" s="43">
        <f>IF($I871=0,0,$Q870+$P871+$O871)</f>
      </c>
      <c r="R871" s="43">
        <f>IF($I871=0,0,$J871-$M871-$N871)</f>
      </c>
    </row>
    <row r="872">
      <c r="A872"/>
      <c r="B872">
        <v>2</v>
      </c>
      <c r="C872" s="43">
        <f>INDEX(DarlObj,2)</f>
      </c>
      <c r="D872">
        <v>389</v>
      </c>
      <c r="E872" s="51">
        <f>IF(INDEX(DarlBelegt,2)=0,0,EOMONTH(INDEX(DarlAuszahlung,2),388)+1)</f>
      </c>
      <c r="F872" s="43">
        <f>IF($E872=0,0,YEAR($E872))</f>
      </c>
      <c r="G872" s="43">
        <f>IF(INDEX(DarlBindung,2)="",1,IF($E872&lt;=INDEX(DarlBindung,2),1,0))</f>
      </c>
      <c r="H872" s="43">
        <f>IF($G872=1,INDEX(DarlSollzins,2),INDEX(DarlAnschluss,2))</f>
      </c>
      <c r="I872" s="43">
        <f>IF(INDEX(DarlBelegt,2)=0,0,IF(INDEX(DarlOhneTilgung,2)=1,IF(INDEX(DarlBindung,2)="",1,$G872),IF($J872&gt;0.005,1,0)))</f>
      </c>
      <c r="J872" s="43">
        <f>IF($I871=0,0,$R871)</f>
      </c>
      <c r="K872" s="43">
        <f>IF($I872=0,0,IF(INDEX(DarlOhneTilgung,2)=1,0,IF(AND(INDEX(DarlTilgStart,2)&gt;0,$E872=INDEX(DarlTilgStart,2)),$J872*($H872+INDEX(DarlTilgung,2))/100/12,IF(AND($G872=0,$G871=1),MAX($K871,$J872*($H872+1)/100/12),$K871))))</f>
      </c>
      <c r="L872" s="43">
        <f>IF($I872=0,0,$J872*$H872/100/12)</f>
      </c>
      <c r="M872" s="43">
        <f>IF($I872=0,0,IF(OR(INDEX(DarlOhneTilgung,2)=1,AND(INDEX(DarlTilgStart,2)&gt;0,$E872&lt;INDEX(DarlTilgStart,2))),0,MIN(MAX(0,$K872-$L872),$J872)))</f>
      </c>
      <c r="N872" s="43">
        <f>IF($I872=0,0,MIN(SUMIFS(SondBetrag,SondDarl,2,SondDatum,"&gt;="&amp;$E872,SondDatum,"&lt;="&amp;EOMONTH($E872,0)),$J872-$M872))</f>
      </c>
      <c r="O872" s="43">
        <f>IF($I872=0,0,INDEX(DarlErsatzRate,2))</f>
      </c>
      <c r="P872" s="43">
        <f>IF($I872=0,0,$Q871*INDEX(DarlErsatzZins,2))</f>
      </c>
      <c r="Q872" s="43">
        <f>IF($I872=0,0,$Q871+$P872+$O872)</f>
      </c>
      <c r="R872" s="43">
        <f>IF($I872=0,0,$J872-$M872-$N872)</f>
      </c>
    </row>
    <row r="873">
      <c r="A873"/>
      <c r="B873">
        <v>2</v>
      </c>
      <c r="C873" s="43">
        <f>INDEX(DarlObj,2)</f>
      </c>
      <c r="D873">
        <v>390</v>
      </c>
      <c r="E873" s="51">
        <f>IF(INDEX(DarlBelegt,2)=0,0,EOMONTH(INDEX(DarlAuszahlung,2),389)+1)</f>
      </c>
      <c r="F873" s="43">
        <f>IF($E873=0,0,YEAR($E873))</f>
      </c>
      <c r="G873" s="43">
        <f>IF(INDEX(DarlBindung,2)="",1,IF($E873&lt;=INDEX(DarlBindung,2),1,0))</f>
      </c>
      <c r="H873" s="43">
        <f>IF($G873=1,INDEX(DarlSollzins,2),INDEX(DarlAnschluss,2))</f>
      </c>
      <c r="I873" s="43">
        <f>IF(INDEX(DarlBelegt,2)=0,0,IF(INDEX(DarlOhneTilgung,2)=1,IF(INDEX(DarlBindung,2)="",1,$G873),IF($J873&gt;0.005,1,0)))</f>
      </c>
      <c r="J873" s="43">
        <f>IF($I872=0,0,$R872)</f>
      </c>
      <c r="K873" s="43">
        <f>IF($I873=0,0,IF(INDEX(DarlOhneTilgung,2)=1,0,IF(AND(INDEX(DarlTilgStart,2)&gt;0,$E873=INDEX(DarlTilgStart,2)),$J873*($H873+INDEX(DarlTilgung,2))/100/12,IF(AND($G873=0,$G872=1),MAX($K872,$J873*($H873+1)/100/12),$K872))))</f>
      </c>
      <c r="L873" s="43">
        <f>IF($I873=0,0,$J873*$H873/100/12)</f>
      </c>
      <c r="M873" s="43">
        <f>IF($I873=0,0,IF(OR(INDEX(DarlOhneTilgung,2)=1,AND(INDEX(DarlTilgStart,2)&gt;0,$E873&lt;INDEX(DarlTilgStart,2))),0,MIN(MAX(0,$K873-$L873),$J873)))</f>
      </c>
      <c r="N873" s="43">
        <f>IF($I873=0,0,MIN(SUMIFS(SondBetrag,SondDarl,2,SondDatum,"&gt;="&amp;$E873,SondDatum,"&lt;="&amp;EOMONTH($E873,0)),$J873-$M873))</f>
      </c>
      <c r="O873" s="43">
        <f>IF($I873=0,0,INDEX(DarlErsatzRate,2))</f>
      </c>
      <c r="P873" s="43">
        <f>IF($I873=0,0,$Q872*INDEX(DarlErsatzZins,2))</f>
      </c>
      <c r="Q873" s="43">
        <f>IF($I873=0,0,$Q872+$P873+$O873)</f>
      </c>
      <c r="R873" s="43">
        <f>IF($I873=0,0,$J873-$M873-$N873)</f>
      </c>
    </row>
    <row r="874">
      <c r="A874"/>
      <c r="B874">
        <v>2</v>
      </c>
      <c r="C874" s="43">
        <f>INDEX(DarlObj,2)</f>
      </c>
      <c r="D874">
        <v>391</v>
      </c>
      <c r="E874" s="51">
        <f>IF(INDEX(DarlBelegt,2)=0,0,EOMONTH(INDEX(DarlAuszahlung,2),390)+1)</f>
      </c>
      <c r="F874" s="43">
        <f>IF($E874=0,0,YEAR($E874))</f>
      </c>
      <c r="G874" s="43">
        <f>IF(INDEX(DarlBindung,2)="",1,IF($E874&lt;=INDEX(DarlBindung,2),1,0))</f>
      </c>
      <c r="H874" s="43">
        <f>IF($G874=1,INDEX(DarlSollzins,2),INDEX(DarlAnschluss,2))</f>
      </c>
      <c r="I874" s="43">
        <f>IF(INDEX(DarlBelegt,2)=0,0,IF(INDEX(DarlOhneTilgung,2)=1,IF(INDEX(DarlBindung,2)="",1,$G874),IF($J874&gt;0.005,1,0)))</f>
      </c>
      <c r="J874" s="43">
        <f>IF($I873=0,0,$R873)</f>
      </c>
      <c r="K874" s="43">
        <f>IF($I874=0,0,IF(INDEX(DarlOhneTilgung,2)=1,0,IF(AND(INDEX(DarlTilgStart,2)&gt;0,$E874=INDEX(DarlTilgStart,2)),$J874*($H874+INDEX(DarlTilgung,2))/100/12,IF(AND($G874=0,$G873=1),MAX($K873,$J874*($H874+1)/100/12),$K873))))</f>
      </c>
      <c r="L874" s="43">
        <f>IF($I874=0,0,$J874*$H874/100/12)</f>
      </c>
      <c r="M874" s="43">
        <f>IF($I874=0,0,IF(OR(INDEX(DarlOhneTilgung,2)=1,AND(INDEX(DarlTilgStart,2)&gt;0,$E874&lt;INDEX(DarlTilgStart,2))),0,MIN(MAX(0,$K874-$L874),$J874)))</f>
      </c>
      <c r="N874" s="43">
        <f>IF($I874=0,0,MIN(SUMIFS(SondBetrag,SondDarl,2,SondDatum,"&gt;="&amp;$E874,SondDatum,"&lt;="&amp;EOMONTH($E874,0)),$J874-$M874))</f>
      </c>
      <c r="O874" s="43">
        <f>IF($I874=0,0,INDEX(DarlErsatzRate,2))</f>
      </c>
      <c r="P874" s="43">
        <f>IF($I874=0,0,$Q873*INDEX(DarlErsatzZins,2))</f>
      </c>
      <c r="Q874" s="43">
        <f>IF($I874=0,0,$Q873+$P874+$O874)</f>
      </c>
      <c r="R874" s="43">
        <f>IF($I874=0,0,$J874-$M874-$N874)</f>
      </c>
    </row>
    <row r="875">
      <c r="A875"/>
      <c r="B875">
        <v>2</v>
      </c>
      <c r="C875" s="43">
        <f>INDEX(DarlObj,2)</f>
      </c>
      <c r="D875">
        <v>392</v>
      </c>
      <c r="E875" s="51">
        <f>IF(INDEX(DarlBelegt,2)=0,0,EOMONTH(INDEX(DarlAuszahlung,2),391)+1)</f>
      </c>
      <c r="F875" s="43">
        <f>IF($E875=0,0,YEAR($E875))</f>
      </c>
      <c r="G875" s="43">
        <f>IF(INDEX(DarlBindung,2)="",1,IF($E875&lt;=INDEX(DarlBindung,2),1,0))</f>
      </c>
      <c r="H875" s="43">
        <f>IF($G875=1,INDEX(DarlSollzins,2),INDEX(DarlAnschluss,2))</f>
      </c>
      <c r="I875" s="43">
        <f>IF(INDEX(DarlBelegt,2)=0,0,IF(INDEX(DarlOhneTilgung,2)=1,IF(INDEX(DarlBindung,2)="",1,$G875),IF($J875&gt;0.005,1,0)))</f>
      </c>
      <c r="J875" s="43">
        <f>IF($I874=0,0,$R874)</f>
      </c>
      <c r="K875" s="43">
        <f>IF($I875=0,0,IF(INDEX(DarlOhneTilgung,2)=1,0,IF(AND(INDEX(DarlTilgStart,2)&gt;0,$E875=INDEX(DarlTilgStart,2)),$J875*($H875+INDEX(DarlTilgung,2))/100/12,IF(AND($G875=0,$G874=1),MAX($K874,$J875*($H875+1)/100/12),$K874))))</f>
      </c>
      <c r="L875" s="43">
        <f>IF($I875=0,0,$J875*$H875/100/12)</f>
      </c>
      <c r="M875" s="43">
        <f>IF($I875=0,0,IF(OR(INDEX(DarlOhneTilgung,2)=1,AND(INDEX(DarlTilgStart,2)&gt;0,$E875&lt;INDEX(DarlTilgStart,2))),0,MIN(MAX(0,$K875-$L875),$J875)))</f>
      </c>
      <c r="N875" s="43">
        <f>IF($I875=0,0,MIN(SUMIFS(SondBetrag,SondDarl,2,SondDatum,"&gt;="&amp;$E875,SondDatum,"&lt;="&amp;EOMONTH($E875,0)),$J875-$M875))</f>
      </c>
      <c r="O875" s="43">
        <f>IF($I875=0,0,INDEX(DarlErsatzRate,2))</f>
      </c>
      <c r="P875" s="43">
        <f>IF($I875=0,0,$Q874*INDEX(DarlErsatzZins,2))</f>
      </c>
      <c r="Q875" s="43">
        <f>IF($I875=0,0,$Q874+$P875+$O875)</f>
      </c>
      <c r="R875" s="43">
        <f>IF($I875=0,0,$J875-$M875-$N875)</f>
      </c>
    </row>
    <row r="876">
      <c r="A876"/>
      <c r="B876">
        <v>2</v>
      </c>
      <c r="C876" s="43">
        <f>INDEX(DarlObj,2)</f>
      </c>
      <c r="D876">
        <v>393</v>
      </c>
      <c r="E876" s="51">
        <f>IF(INDEX(DarlBelegt,2)=0,0,EOMONTH(INDEX(DarlAuszahlung,2),392)+1)</f>
      </c>
      <c r="F876" s="43">
        <f>IF($E876=0,0,YEAR($E876))</f>
      </c>
      <c r="G876" s="43">
        <f>IF(INDEX(DarlBindung,2)="",1,IF($E876&lt;=INDEX(DarlBindung,2),1,0))</f>
      </c>
      <c r="H876" s="43">
        <f>IF($G876=1,INDEX(DarlSollzins,2),INDEX(DarlAnschluss,2))</f>
      </c>
      <c r="I876" s="43">
        <f>IF(INDEX(DarlBelegt,2)=0,0,IF(INDEX(DarlOhneTilgung,2)=1,IF(INDEX(DarlBindung,2)="",1,$G876),IF($J876&gt;0.005,1,0)))</f>
      </c>
      <c r="J876" s="43">
        <f>IF($I875=0,0,$R875)</f>
      </c>
      <c r="K876" s="43">
        <f>IF($I876=0,0,IF(INDEX(DarlOhneTilgung,2)=1,0,IF(AND(INDEX(DarlTilgStart,2)&gt;0,$E876=INDEX(DarlTilgStart,2)),$J876*($H876+INDEX(DarlTilgung,2))/100/12,IF(AND($G876=0,$G875=1),MAX($K875,$J876*($H876+1)/100/12),$K875))))</f>
      </c>
      <c r="L876" s="43">
        <f>IF($I876=0,0,$J876*$H876/100/12)</f>
      </c>
      <c r="M876" s="43">
        <f>IF($I876=0,0,IF(OR(INDEX(DarlOhneTilgung,2)=1,AND(INDEX(DarlTilgStart,2)&gt;0,$E876&lt;INDEX(DarlTilgStart,2))),0,MIN(MAX(0,$K876-$L876),$J876)))</f>
      </c>
      <c r="N876" s="43">
        <f>IF($I876=0,0,MIN(SUMIFS(SondBetrag,SondDarl,2,SondDatum,"&gt;="&amp;$E876,SondDatum,"&lt;="&amp;EOMONTH($E876,0)),$J876-$M876))</f>
      </c>
      <c r="O876" s="43">
        <f>IF($I876=0,0,INDEX(DarlErsatzRate,2))</f>
      </c>
      <c r="P876" s="43">
        <f>IF($I876=0,0,$Q875*INDEX(DarlErsatzZins,2))</f>
      </c>
      <c r="Q876" s="43">
        <f>IF($I876=0,0,$Q875+$P876+$O876)</f>
      </c>
      <c r="R876" s="43">
        <f>IF($I876=0,0,$J876-$M876-$N876)</f>
      </c>
    </row>
    <row r="877">
      <c r="A877"/>
      <c r="B877">
        <v>2</v>
      </c>
      <c r="C877" s="43">
        <f>INDEX(DarlObj,2)</f>
      </c>
      <c r="D877">
        <v>394</v>
      </c>
      <c r="E877" s="51">
        <f>IF(INDEX(DarlBelegt,2)=0,0,EOMONTH(INDEX(DarlAuszahlung,2),393)+1)</f>
      </c>
      <c r="F877" s="43">
        <f>IF($E877=0,0,YEAR($E877))</f>
      </c>
      <c r="G877" s="43">
        <f>IF(INDEX(DarlBindung,2)="",1,IF($E877&lt;=INDEX(DarlBindung,2),1,0))</f>
      </c>
      <c r="H877" s="43">
        <f>IF($G877=1,INDEX(DarlSollzins,2),INDEX(DarlAnschluss,2))</f>
      </c>
      <c r="I877" s="43">
        <f>IF(INDEX(DarlBelegt,2)=0,0,IF(INDEX(DarlOhneTilgung,2)=1,IF(INDEX(DarlBindung,2)="",1,$G877),IF($J877&gt;0.005,1,0)))</f>
      </c>
      <c r="J877" s="43">
        <f>IF($I876=0,0,$R876)</f>
      </c>
      <c r="K877" s="43">
        <f>IF($I877=0,0,IF(INDEX(DarlOhneTilgung,2)=1,0,IF(AND(INDEX(DarlTilgStart,2)&gt;0,$E877=INDEX(DarlTilgStart,2)),$J877*($H877+INDEX(DarlTilgung,2))/100/12,IF(AND($G877=0,$G876=1),MAX($K876,$J877*($H877+1)/100/12),$K876))))</f>
      </c>
      <c r="L877" s="43">
        <f>IF($I877=0,0,$J877*$H877/100/12)</f>
      </c>
      <c r="M877" s="43">
        <f>IF($I877=0,0,IF(OR(INDEX(DarlOhneTilgung,2)=1,AND(INDEX(DarlTilgStart,2)&gt;0,$E877&lt;INDEX(DarlTilgStart,2))),0,MIN(MAX(0,$K877-$L877),$J877)))</f>
      </c>
      <c r="N877" s="43">
        <f>IF($I877=0,0,MIN(SUMIFS(SondBetrag,SondDarl,2,SondDatum,"&gt;="&amp;$E877,SondDatum,"&lt;="&amp;EOMONTH($E877,0)),$J877-$M877))</f>
      </c>
      <c r="O877" s="43">
        <f>IF($I877=0,0,INDEX(DarlErsatzRate,2))</f>
      </c>
      <c r="P877" s="43">
        <f>IF($I877=0,0,$Q876*INDEX(DarlErsatzZins,2))</f>
      </c>
      <c r="Q877" s="43">
        <f>IF($I877=0,0,$Q876+$P877+$O877)</f>
      </c>
      <c r="R877" s="43">
        <f>IF($I877=0,0,$J877-$M877-$N877)</f>
      </c>
    </row>
    <row r="878">
      <c r="A878"/>
      <c r="B878">
        <v>2</v>
      </c>
      <c r="C878" s="43">
        <f>INDEX(DarlObj,2)</f>
      </c>
      <c r="D878">
        <v>395</v>
      </c>
      <c r="E878" s="51">
        <f>IF(INDEX(DarlBelegt,2)=0,0,EOMONTH(INDEX(DarlAuszahlung,2),394)+1)</f>
      </c>
      <c r="F878" s="43">
        <f>IF($E878=0,0,YEAR($E878))</f>
      </c>
      <c r="G878" s="43">
        <f>IF(INDEX(DarlBindung,2)="",1,IF($E878&lt;=INDEX(DarlBindung,2),1,0))</f>
      </c>
      <c r="H878" s="43">
        <f>IF($G878=1,INDEX(DarlSollzins,2),INDEX(DarlAnschluss,2))</f>
      </c>
      <c r="I878" s="43">
        <f>IF(INDEX(DarlBelegt,2)=0,0,IF(INDEX(DarlOhneTilgung,2)=1,IF(INDEX(DarlBindung,2)="",1,$G878),IF($J878&gt;0.005,1,0)))</f>
      </c>
      <c r="J878" s="43">
        <f>IF($I877=0,0,$R877)</f>
      </c>
      <c r="K878" s="43">
        <f>IF($I878=0,0,IF(INDEX(DarlOhneTilgung,2)=1,0,IF(AND(INDEX(DarlTilgStart,2)&gt;0,$E878=INDEX(DarlTilgStart,2)),$J878*($H878+INDEX(DarlTilgung,2))/100/12,IF(AND($G878=0,$G877=1),MAX($K877,$J878*($H878+1)/100/12),$K877))))</f>
      </c>
      <c r="L878" s="43">
        <f>IF($I878=0,0,$J878*$H878/100/12)</f>
      </c>
      <c r="M878" s="43">
        <f>IF($I878=0,0,IF(OR(INDEX(DarlOhneTilgung,2)=1,AND(INDEX(DarlTilgStart,2)&gt;0,$E878&lt;INDEX(DarlTilgStart,2))),0,MIN(MAX(0,$K878-$L878),$J878)))</f>
      </c>
      <c r="N878" s="43">
        <f>IF($I878=0,0,MIN(SUMIFS(SondBetrag,SondDarl,2,SondDatum,"&gt;="&amp;$E878,SondDatum,"&lt;="&amp;EOMONTH($E878,0)),$J878-$M878))</f>
      </c>
      <c r="O878" s="43">
        <f>IF($I878=0,0,INDEX(DarlErsatzRate,2))</f>
      </c>
      <c r="P878" s="43">
        <f>IF($I878=0,0,$Q877*INDEX(DarlErsatzZins,2))</f>
      </c>
      <c r="Q878" s="43">
        <f>IF($I878=0,0,$Q877+$P878+$O878)</f>
      </c>
      <c r="R878" s="43">
        <f>IF($I878=0,0,$J878-$M878-$N878)</f>
      </c>
    </row>
    <row r="879">
      <c r="A879"/>
      <c r="B879">
        <v>2</v>
      </c>
      <c r="C879" s="43">
        <f>INDEX(DarlObj,2)</f>
      </c>
      <c r="D879">
        <v>396</v>
      </c>
      <c r="E879" s="51">
        <f>IF(INDEX(DarlBelegt,2)=0,0,EOMONTH(INDEX(DarlAuszahlung,2),395)+1)</f>
      </c>
      <c r="F879" s="43">
        <f>IF($E879=0,0,YEAR($E879))</f>
      </c>
      <c r="G879" s="43">
        <f>IF(INDEX(DarlBindung,2)="",1,IF($E879&lt;=INDEX(DarlBindung,2),1,0))</f>
      </c>
      <c r="H879" s="43">
        <f>IF($G879=1,INDEX(DarlSollzins,2),INDEX(DarlAnschluss,2))</f>
      </c>
      <c r="I879" s="43">
        <f>IF(INDEX(DarlBelegt,2)=0,0,IF(INDEX(DarlOhneTilgung,2)=1,IF(INDEX(DarlBindung,2)="",1,$G879),IF($J879&gt;0.005,1,0)))</f>
      </c>
      <c r="J879" s="43">
        <f>IF($I878=0,0,$R878)</f>
      </c>
      <c r="K879" s="43">
        <f>IF($I879=0,0,IF(INDEX(DarlOhneTilgung,2)=1,0,IF(AND(INDEX(DarlTilgStart,2)&gt;0,$E879=INDEX(DarlTilgStart,2)),$J879*($H879+INDEX(DarlTilgung,2))/100/12,IF(AND($G879=0,$G878=1),MAX($K878,$J879*($H879+1)/100/12),$K878))))</f>
      </c>
      <c r="L879" s="43">
        <f>IF($I879=0,0,$J879*$H879/100/12)</f>
      </c>
      <c r="M879" s="43">
        <f>IF($I879=0,0,IF(OR(INDEX(DarlOhneTilgung,2)=1,AND(INDEX(DarlTilgStart,2)&gt;0,$E879&lt;INDEX(DarlTilgStart,2))),0,MIN(MAX(0,$K879-$L879),$J879)))</f>
      </c>
      <c r="N879" s="43">
        <f>IF($I879=0,0,MIN(SUMIFS(SondBetrag,SondDarl,2,SondDatum,"&gt;="&amp;$E879,SondDatum,"&lt;="&amp;EOMONTH($E879,0)),$J879-$M879))</f>
      </c>
      <c r="O879" s="43">
        <f>IF($I879=0,0,INDEX(DarlErsatzRate,2))</f>
      </c>
      <c r="P879" s="43">
        <f>IF($I879=0,0,$Q878*INDEX(DarlErsatzZins,2))</f>
      </c>
      <c r="Q879" s="43">
        <f>IF($I879=0,0,$Q878+$P879+$O879)</f>
      </c>
      <c r="R879" s="43">
        <f>IF($I879=0,0,$J879-$M879-$N879)</f>
      </c>
    </row>
    <row r="880">
      <c r="A880"/>
      <c r="B880">
        <v>2</v>
      </c>
      <c r="C880" s="43">
        <f>INDEX(DarlObj,2)</f>
      </c>
      <c r="D880">
        <v>397</v>
      </c>
      <c r="E880" s="51">
        <f>IF(INDEX(DarlBelegt,2)=0,0,EOMONTH(INDEX(DarlAuszahlung,2),396)+1)</f>
      </c>
      <c r="F880" s="43">
        <f>IF($E880=0,0,YEAR($E880))</f>
      </c>
      <c r="G880" s="43">
        <f>IF(INDEX(DarlBindung,2)="",1,IF($E880&lt;=INDEX(DarlBindung,2),1,0))</f>
      </c>
      <c r="H880" s="43">
        <f>IF($G880=1,INDEX(DarlSollzins,2),INDEX(DarlAnschluss,2))</f>
      </c>
      <c r="I880" s="43">
        <f>IF(INDEX(DarlBelegt,2)=0,0,IF(INDEX(DarlOhneTilgung,2)=1,IF(INDEX(DarlBindung,2)="",1,$G880),IF($J880&gt;0.005,1,0)))</f>
      </c>
      <c r="J880" s="43">
        <f>IF($I879=0,0,$R879)</f>
      </c>
      <c r="K880" s="43">
        <f>IF($I880=0,0,IF(INDEX(DarlOhneTilgung,2)=1,0,IF(AND(INDEX(DarlTilgStart,2)&gt;0,$E880=INDEX(DarlTilgStart,2)),$J880*($H880+INDEX(DarlTilgung,2))/100/12,IF(AND($G880=0,$G879=1),MAX($K879,$J880*($H880+1)/100/12),$K879))))</f>
      </c>
      <c r="L880" s="43">
        <f>IF($I880=0,0,$J880*$H880/100/12)</f>
      </c>
      <c r="M880" s="43">
        <f>IF($I880=0,0,IF(OR(INDEX(DarlOhneTilgung,2)=1,AND(INDEX(DarlTilgStart,2)&gt;0,$E880&lt;INDEX(DarlTilgStart,2))),0,MIN(MAX(0,$K880-$L880),$J880)))</f>
      </c>
      <c r="N880" s="43">
        <f>IF($I880=0,0,MIN(SUMIFS(SondBetrag,SondDarl,2,SondDatum,"&gt;="&amp;$E880,SondDatum,"&lt;="&amp;EOMONTH($E880,0)),$J880-$M880))</f>
      </c>
      <c r="O880" s="43">
        <f>IF($I880=0,0,INDEX(DarlErsatzRate,2))</f>
      </c>
      <c r="P880" s="43">
        <f>IF($I880=0,0,$Q879*INDEX(DarlErsatzZins,2))</f>
      </c>
      <c r="Q880" s="43">
        <f>IF($I880=0,0,$Q879+$P880+$O880)</f>
      </c>
      <c r="R880" s="43">
        <f>IF($I880=0,0,$J880-$M880-$N880)</f>
      </c>
    </row>
    <row r="881">
      <c r="A881"/>
      <c r="B881">
        <v>2</v>
      </c>
      <c r="C881" s="43">
        <f>INDEX(DarlObj,2)</f>
      </c>
      <c r="D881">
        <v>398</v>
      </c>
      <c r="E881" s="51">
        <f>IF(INDEX(DarlBelegt,2)=0,0,EOMONTH(INDEX(DarlAuszahlung,2),397)+1)</f>
      </c>
      <c r="F881" s="43">
        <f>IF($E881=0,0,YEAR($E881))</f>
      </c>
      <c r="G881" s="43">
        <f>IF(INDEX(DarlBindung,2)="",1,IF($E881&lt;=INDEX(DarlBindung,2),1,0))</f>
      </c>
      <c r="H881" s="43">
        <f>IF($G881=1,INDEX(DarlSollzins,2),INDEX(DarlAnschluss,2))</f>
      </c>
      <c r="I881" s="43">
        <f>IF(INDEX(DarlBelegt,2)=0,0,IF(INDEX(DarlOhneTilgung,2)=1,IF(INDEX(DarlBindung,2)="",1,$G881),IF($J881&gt;0.005,1,0)))</f>
      </c>
      <c r="J881" s="43">
        <f>IF($I880=0,0,$R880)</f>
      </c>
      <c r="K881" s="43">
        <f>IF($I881=0,0,IF(INDEX(DarlOhneTilgung,2)=1,0,IF(AND(INDEX(DarlTilgStart,2)&gt;0,$E881=INDEX(DarlTilgStart,2)),$J881*($H881+INDEX(DarlTilgung,2))/100/12,IF(AND($G881=0,$G880=1),MAX($K880,$J881*($H881+1)/100/12),$K880))))</f>
      </c>
      <c r="L881" s="43">
        <f>IF($I881=0,0,$J881*$H881/100/12)</f>
      </c>
      <c r="M881" s="43">
        <f>IF($I881=0,0,IF(OR(INDEX(DarlOhneTilgung,2)=1,AND(INDEX(DarlTilgStart,2)&gt;0,$E881&lt;INDEX(DarlTilgStart,2))),0,MIN(MAX(0,$K881-$L881),$J881)))</f>
      </c>
      <c r="N881" s="43">
        <f>IF($I881=0,0,MIN(SUMIFS(SondBetrag,SondDarl,2,SondDatum,"&gt;="&amp;$E881,SondDatum,"&lt;="&amp;EOMONTH($E881,0)),$J881-$M881))</f>
      </c>
      <c r="O881" s="43">
        <f>IF($I881=0,0,INDEX(DarlErsatzRate,2))</f>
      </c>
      <c r="P881" s="43">
        <f>IF($I881=0,0,$Q880*INDEX(DarlErsatzZins,2))</f>
      </c>
      <c r="Q881" s="43">
        <f>IF($I881=0,0,$Q880+$P881+$O881)</f>
      </c>
      <c r="R881" s="43">
        <f>IF($I881=0,0,$J881-$M881-$N881)</f>
      </c>
    </row>
    <row r="882">
      <c r="A882"/>
      <c r="B882">
        <v>2</v>
      </c>
      <c r="C882" s="43">
        <f>INDEX(DarlObj,2)</f>
      </c>
      <c r="D882">
        <v>399</v>
      </c>
      <c r="E882" s="51">
        <f>IF(INDEX(DarlBelegt,2)=0,0,EOMONTH(INDEX(DarlAuszahlung,2),398)+1)</f>
      </c>
      <c r="F882" s="43">
        <f>IF($E882=0,0,YEAR($E882))</f>
      </c>
      <c r="G882" s="43">
        <f>IF(INDEX(DarlBindung,2)="",1,IF($E882&lt;=INDEX(DarlBindung,2),1,0))</f>
      </c>
      <c r="H882" s="43">
        <f>IF($G882=1,INDEX(DarlSollzins,2),INDEX(DarlAnschluss,2))</f>
      </c>
      <c r="I882" s="43">
        <f>IF(INDEX(DarlBelegt,2)=0,0,IF(INDEX(DarlOhneTilgung,2)=1,IF(INDEX(DarlBindung,2)="",1,$G882),IF($J882&gt;0.005,1,0)))</f>
      </c>
      <c r="J882" s="43">
        <f>IF($I881=0,0,$R881)</f>
      </c>
      <c r="K882" s="43">
        <f>IF($I882=0,0,IF(INDEX(DarlOhneTilgung,2)=1,0,IF(AND(INDEX(DarlTilgStart,2)&gt;0,$E882=INDEX(DarlTilgStart,2)),$J882*($H882+INDEX(DarlTilgung,2))/100/12,IF(AND($G882=0,$G881=1),MAX($K881,$J882*($H882+1)/100/12),$K881))))</f>
      </c>
      <c r="L882" s="43">
        <f>IF($I882=0,0,$J882*$H882/100/12)</f>
      </c>
      <c r="M882" s="43">
        <f>IF($I882=0,0,IF(OR(INDEX(DarlOhneTilgung,2)=1,AND(INDEX(DarlTilgStart,2)&gt;0,$E882&lt;INDEX(DarlTilgStart,2))),0,MIN(MAX(0,$K882-$L882),$J882)))</f>
      </c>
      <c r="N882" s="43">
        <f>IF($I882=0,0,MIN(SUMIFS(SondBetrag,SondDarl,2,SondDatum,"&gt;="&amp;$E882,SondDatum,"&lt;="&amp;EOMONTH($E882,0)),$J882-$M882))</f>
      </c>
      <c r="O882" s="43">
        <f>IF($I882=0,0,INDEX(DarlErsatzRate,2))</f>
      </c>
      <c r="P882" s="43">
        <f>IF($I882=0,0,$Q881*INDEX(DarlErsatzZins,2))</f>
      </c>
      <c r="Q882" s="43">
        <f>IF($I882=0,0,$Q881+$P882+$O882)</f>
      </c>
      <c r="R882" s="43">
        <f>IF($I882=0,0,$J882-$M882-$N882)</f>
      </c>
    </row>
    <row r="883">
      <c r="A883"/>
      <c r="B883">
        <v>2</v>
      </c>
      <c r="C883" s="43">
        <f>INDEX(DarlObj,2)</f>
      </c>
      <c r="D883">
        <v>400</v>
      </c>
      <c r="E883" s="51">
        <f>IF(INDEX(DarlBelegt,2)=0,0,EOMONTH(INDEX(DarlAuszahlung,2),399)+1)</f>
      </c>
      <c r="F883" s="43">
        <f>IF($E883=0,0,YEAR($E883))</f>
      </c>
      <c r="G883" s="43">
        <f>IF(INDEX(DarlBindung,2)="",1,IF($E883&lt;=INDEX(DarlBindung,2),1,0))</f>
      </c>
      <c r="H883" s="43">
        <f>IF($G883=1,INDEX(DarlSollzins,2),INDEX(DarlAnschluss,2))</f>
      </c>
      <c r="I883" s="43">
        <f>IF(INDEX(DarlBelegt,2)=0,0,IF(INDEX(DarlOhneTilgung,2)=1,IF(INDEX(DarlBindung,2)="",1,$G883),IF($J883&gt;0.005,1,0)))</f>
      </c>
      <c r="J883" s="43">
        <f>IF($I882=0,0,$R882)</f>
      </c>
      <c r="K883" s="43">
        <f>IF($I883=0,0,IF(INDEX(DarlOhneTilgung,2)=1,0,IF(AND(INDEX(DarlTilgStart,2)&gt;0,$E883=INDEX(DarlTilgStart,2)),$J883*($H883+INDEX(DarlTilgung,2))/100/12,IF(AND($G883=0,$G882=1),MAX($K882,$J883*($H883+1)/100/12),$K882))))</f>
      </c>
      <c r="L883" s="43">
        <f>IF($I883=0,0,$J883*$H883/100/12)</f>
      </c>
      <c r="M883" s="43">
        <f>IF($I883=0,0,IF(OR(INDEX(DarlOhneTilgung,2)=1,AND(INDEX(DarlTilgStart,2)&gt;0,$E883&lt;INDEX(DarlTilgStart,2))),0,MIN(MAX(0,$K883-$L883),$J883)))</f>
      </c>
      <c r="N883" s="43">
        <f>IF($I883=0,0,MIN(SUMIFS(SondBetrag,SondDarl,2,SondDatum,"&gt;="&amp;$E883,SondDatum,"&lt;="&amp;EOMONTH($E883,0)),$J883-$M883))</f>
      </c>
      <c r="O883" s="43">
        <f>IF($I883=0,0,INDEX(DarlErsatzRate,2))</f>
      </c>
      <c r="P883" s="43">
        <f>IF($I883=0,0,$Q882*INDEX(DarlErsatzZins,2))</f>
      </c>
      <c r="Q883" s="43">
        <f>IF($I883=0,0,$Q882+$P883+$O883)</f>
      </c>
      <c r="R883" s="43">
        <f>IF($I883=0,0,$J883-$M883-$N883)</f>
      </c>
    </row>
    <row r="884">
      <c r="A884"/>
      <c r="B884">
        <v>2</v>
      </c>
      <c r="C884" s="43">
        <f>INDEX(DarlObj,2)</f>
      </c>
      <c r="D884">
        <v>401</v>
      </c>
      <c r="E884" s="51">
        <f>IF(INDEX(DarlBelegt,2)=0,0,EOMONTH(INDEX(DarlAuszahlung,2),400)+1)</f>
      </c>
      <c r="F884" s="43">
        <f>IF($E884=0,0,YEAR($E884))</f>
      </c>
      <c r="G884" s="43">
        <f>IF(INDEX(DarlBindung,2)="",1,IF($E884&lt;=INDEX(DarlBindung,2),1,0))</f>
      </c>
      <c r="H884" s="43">
        <f>IF($G884=1,INDEX(DarlSollzins,2),INDEX(DarlAnschluss,2))</f>
      </c>
      <c r="I884" s="43">
        <f>IF(INDEX(DarlBelegt,2)=0,0,IF(INDEX(DarlOhneTilgung,2)=1,IF(INDEX(DarlBindung,2)="",1,$G884),IF($J884&gt;0.005,1,0)))</f>
      </c>
      <c r="J884" s="43">
        <f>IF($I883=0,0,$R883)</f>
      </c>
      <c r="K884" s="43">
        <f>IF($I884=0,0,IF(INDEX(DarlOhneTilgung,2)=1,0,IF(AND(INDEX(DarlTilgStart,2)&gt;0,$E884=INDEX(DarlTilgStart,2)),$J884*($H884+INDEX(DarlTilgung,2))/100/12,IF(AND($G884=0,$G883=1),MAX($K883,$J884*($H884+1)/100/12),$K883))))</f>
      </c>
      <c r="L884" s="43">
        <f>IF($I884=0,0,$J884*$H884/100/12)</f>
      </c>
      <c r="M884" s="43">
        <f>IF($I884=0,0,IF(OR(INDEX(DarlOhneTilgung,2)=1,AND(INDEX(DarlTilgStart,2)&gt;0,$E884&lt;INDEX(DarlTilgStart,2))),0,MIN(MAX(0,$K884-$L884),$J884)))</f>
      </c>
      <c r="N884" s="43">
        <f>IF($I884=0,0,MIN(SUMIFS(SondBetrag,SondDarl,2,SondDatum,"&gt;="&amp;$E884,SondDatum,"&lt;="&amp;EOMONTH($E884,0)),$J884-$M884))</f>
      </c>
      <c r="O884" s="43">
        <f>IF($I884=0,0,INDEX(DarlErsatzRate,2))</f>
      </c>
      <c r="P884" s="43">
        <f>IF($I884=0,0,$Q883*INDEX(DarlErsatzZins,2))</f>
      </c>
      <c r="Q884" s="43">
        <f>IF($I884=0,0,$Q883+$P884+$O884)</f>
      </c>
      <c r="R884" s="43">
        <f>IF($I884=0,0,$J884-$M884-$N884)</f>
      </c>
    </row>
    <row r="885">
      <c r="A885"/>
      <c r="B885">
        <v>2</v>
      </c>
      <c r="C885" s="43">
        <f>INDEX(DarlObj,2)</f>
      </c>
      <c r="D885">
        <v>402</v>
      </c>
      <c r="E885" s="51">
        <f>IF(INDEX(DarlBelegt,2)=0,0,EOMONTH(INDEX(DarlAuszahlung,2),401)+1)</f>
      </c>
      <c r="F885" s="43">
        <f>IF($E885=0,0,YEAR($E885))</f>
      </c>
      <c r="G885" s="43">
        <f>IF(INDEX(DarlBindung,2)="",1,IF($E885&lt;=INDEX(DarlBindung,2),1,0))</f>
      </c>
      <c r="H885" s="43">
        <f>IF($G885=1,INDEX(DarlSollzins,2),INDEX(DarlAnschluss,2))</f>
      </c>
      <c r="I885" s="43">
        <f>IF(INDEX(DarlBelegt,2)=0,0,IF(INDEX(DarlOhneTilgung,2)=1,IF(INDEX(DarlBindung,2)="",1,$G885),IF($J885&gt;0.005,1,0)))</f>
      </c>
      <c r="J885" s="43">
        <f>IF($I884=0,0,$R884)</f>
      </c>
      <c r="K885" s="43">
        <f>IF($I885=0,0,IF(INDEX(DarlOhneTilgung,2)=1,0,IF(AND(INDEX(DarlTilgStart,2)&gt;0,$E885=INDEX(DarlTilgStart,2)),$J885*($H885+INDEX(DarlTilgung,2))/100/12,IF(AND($G885=0,$G884=1),MAX($K884,$J885*($H885+1)/100/12),$K884))))</f>
      </c>
      <c r="L885" s="43">
        <f>IF($I885=0,0,$J885*$H885/100/12)</f>
      </c>
      <c r="M885" s="43">
        <f>IF($I885=0,0,IF(OR(INDEX(DarlOhneTilgung,2)=1,AND(INDEX(DarlTilgStart,2)&gt;0,$E885&lt;INDEX(DarlTilgStart,2))),0,MIN(MAX(0,$K885-$L885),$J885)))</f>
      </c>
      <c r="N885" s="43">
        <f>IF($I885=0,0,MIN(SUMIFS(SondBetrag,SondDarl,2,SondDatum,"&gt;="&amp;$E885,SondDatum,"&lt;="&amp;EOMONTH($E885,0)),$J885-$M885))</f>
      </c>
      <c r="O885" s="43">
        <f>IF($I885=0,0,INDEX(DarlErsatzRate,2))</f>
      </c>
      <c r="P885" s="43">
        <f>IF($I885=0,0,$Q884*INDEX(DarlErsatzZins,2))</f>
      </c>
      <c r="Q885" s="43">
        <f>IF($I885=0,0,$Q884+$P885+$O885)</f>
      </c>
      <c r="R885" s="43">
        <f>IF($I885=0,0,$J885-$M885-$N885)</f>
      </c>
    </row>
    <row r="886">
      <c r="A886"/>
      <c r="B886">
        <v>2</v>
      </c>
      <c r="C886" s="43">
        <f>INDEX(DarlObj,2)</f>
      </c>
      <c r="D886">
        <v>403</v>
      </c>
      <c r="E886" s="51">
        <f>IF(INDEX(DarlBelegt,2)=0,0,EOMONTH(INDEX(DarlAuszahlung,2),402)+1)</f>
      </c>
      <c r="F886" s="43">
        <f>IF($E886=0,0,YEAR($E886))</f>
      </c>
      <c r="G886" s="43">
        <f>IF(INDEX(DarlBindung,2)="",1,IF($E886&lt;=INDEX(DarlBindung,2),1,0))</f>
      </c>
      <c r="H886" s="43">
        <f>IF($G886=1,INDEX(DarlSollzins,2),INDEX(DarlAnschluss,2))</f>
      </c>
      <c r="I886" s="43">
        <f>IF(INDEX(DarlBelegt,2)=0,0,IF(INDEX(DarlOhneTilgung,2)=1,IF(INDEX(DarlBindung,2)="",1,$G886),IF($J886&gt;0.005,1,0)))</f>
      </c>
      <c r="J886" s="43">
        <f>IF($I885=0,0,$R885)</f>
      </c>
      <c r="K886" s="43">
        <f>IF($I886=0,0,IF(INDEX(DarlOhneTilgung,2)=1,0,IF(AND(INDEX(DarlTilgStart,2)&gt;0,$E886=INDEX(DarlTilgStart,2)),$J886*($H886+INDEX(DarlTilgung,2))/100/12,IF(AND($G886=0,$G885=1),MAX($K885,$J886*($H886+1)/100/12),$K885))))</f>
      </c>
      <c r="L886" s="43">
        <f>IF($I886=0,0,$J886*$H886/100/12)</f>
      </c>
      <c r="M886" s="43">
        <f>IF($I886=0,0,IF(OR(INDEX(DarlOhneTilgung,2)=1,AND(INDEX(DarlTilgStart,2)&gt;0,$E886&lt;INDEX(DarlTilgStart,2))),0,MIN(MAX(0,$K886-$L886),$J886)))</f>
      </c>
      <c r="N886" s="43">
        <f>IF($I886=0,0,MIN(SUMIFS(SondBetrag,SondDarl,2,SondDatum,"&gt;="&amp;$E886,SondDatum,"&lt;="&amp;EOMONTH($E886,0)),$J886-$M886))</f>
      </c>
      <c r="O886" s="43">
        <f>IF($I886=0,0,INDEX(DarlErsatzRate,2))</f>
      </c>
      <c r="P886" s="43">
        <f>IF($I886=0,0,$Q885*INDEX(DarlErsatzZins,2))</f>
      </c>
      <c r="Q886" s="43">
        <f>IF($I886=0,0,$Q885+$P886+$O886)</f>
      </c>
      <c r="R886" s="43">
        <f>IF($I886=0,0,$J886-$M886-$N886)</f>
      </c>
    </row>
    <row r="887">
      <c r="A887"/>
      <c r="B887">
        <v>2</v>
      </c>
      <c r="C887" s="43">
        <f>INDEX(DarlObj,2)</f>
      </c>
      <c r="D887">
        <v>404</v>
      </c>
      <c r="E887" s="51">
        <f>IF(INDEX(DarlBelegt,2)=0,0,EOMONTH(INDEX(DarlAuszahlung,2),403)+1)</f>
      </c>
      <c r="F887" s="43">
        <f>IF($E887=0,0,YEAR($E887))</f>
      </c>
      <c r="G887" s="43">
        <f>IF(INDEX(DarlBindung,2)="",1,IF($E887&lt;=INDEX(DarlBindung,2),1,0))</f>
      </c>
      <c r="H887" s="43">
        <f>IF($G887=1,INDEX(DarlSollzins,2),INDEX(DarlAnschluss,2))</f>
      </c>
      <c r="I887" s="43">
        <f>IF(INDEX(DarlBelegt,2)=0,0,IF(INDEX(DarlOhneTilgung,2)=1,IF(INDEX(DarlBindung,2)="",1,$G887),IF($J887&gt;0.005,1,0)))</f>
      </c>
      <c r="J887" s="43">
        <f>IF($I886=0,0,$R886)</f>
      </c>
      <c r="K887" s="43">
        <f>IF($I887=0,0,IF(INDEX(DarlOhneTilgung,2)=1,0,IF(AND(INDEX(DarlTilgStart,2)&gt;0,$E887=INDEX(DarlTilgStart,2)),$J887*($H887+INDEX(DarlTilgung,2))/100/12,IF(AND($G887=0,$G886=1),MAX($K886,$J887*($H887+1)/100/12),$K886))))</f>
      </c>
      <c r="L887" s="43">
        <f>IF($I887=0,0,$J887*$H887/100/12)</f>
      </c>
      <c r="M887" s="43">
        <f>IF($I887=0,0,IF(OR(INDEX(DarlOhneTilgung,2)=1,AND(INDEX(DarlTilgStart,2)&gt;0,$E887&lt;INDEX(DarlTilgStart,2))),0,MIN(MAX(0,$K887-$L887),$J887)))</f>
      </c>
      <c r="N887" s="43">
        <f>IF($I887=0,0,MIN(SUMIFS(SondBetrag,SondDarl,2,SondDatum,"&gt;="&amp;$E887,SondDatum,"&lt;="&amp;EOMONTH($E887,0)),$J887-$M887))</f>
      </c>
      <c r="O887" s="43">
        <f>IF($I887=0,0,INDEX(DarlErsatzRate,2))</f>
      </c>
      <c r="P887" s="43">
        <f>IF($I887=0,0,$Q886*INDEX(DarlErsatzZins,2))</f>
      </c>
      <c r="Q887" s="43">
        <f>IF($I887=0,0,$Q886+$P887+$O887)</f>
      </c>
      <c r="R887" s="43">
        <f>IF($I887=0,0,$J887-$M887-$N887)</f>
      </c>
    </row>
    <row r="888">
      <c r="A888"/>
      <c r="B888">
        <v>2</v>
      </c>
      <c r="C888" s="43">
        <f>INDEX(DarlObj,2)</f>
      </c>
      <c r="D888">
        <v>405</v>
      </c>
      <c r="E888" s="51">
        <f>IF(INDEX(DarlBelegt,2)=0,0,EOMONTH(INDEX(DarlAuszahlung,2),404)+1)</f>
      </c>
      <c r="F888" s="43">
        <f>IF($E888=0,0,YEAR($E888))</f>
      </c>
      <c r="G888" s="43">
        <f>IF(INDEX(DarlBindung,2)="",1,IF($E888&lt;=INDEX(DarlBindung,2),1,0))</f>
      </c>
      <c r="H888" s="43">
        <f>IF($G888=1,INDEX(DarlSollzins,2),INDEX(DarlAnschluss,2))</f>
      </c>
      <c r="I888" s="43">
        <f>IF(INDEX(DarlBelegt,2)=0,0,IF(INDEX(DarlOhneTilgung,2)=1,IF(INDEX(DarlBindung,2)="",1,$G888),IF($J888&gt;0.005,1,0)))</f>
      </c>
      <c r="J888" s="43">
        <f>IF($I887=0,0,$R887)</f>
      </c>
      <c r="K888" s="43">
        <f>IF($I888=0,0,IF(INDEX(DarlOhneTilgung,2)=1,0,IF(AND(INDEX(DarlTilgStart,2)&gt;0,$E888=INDEX(DarlTilgStart,2)),$J888*($H888+INDEX(DarlTilgung,2))/100/12,IF(AND($G888=0,$G887=1),MAX($K887,$J888*($H888+1)/100/12),$K887))))</f>
      </c>
      <c r="L888" s="43">
        <f>IF($I888=0,0,$J888*$H888/100/12)</f>
      </c>
      <c r="M888" s="43">
        <f>IF($I888=0,0,IF(OR(INDEX(DarlOhneTilgung,2)=1,AND(INDEX(DarlTilgStart,2)&gt;0,$E888&lt;INDEX(DarlTilgStart,2))),0,MIN(MAX(0,$K888-$L888),$J888)))</f>
      </c>
      <c r="N888" s="43">
        <f>IF($I888=0,0,MIN(SUMIFS(SondBetrag,SondDarl,2,SondDatum,"&gt;="&amp;$E888,SondDatum,"&lt;="&amp;EOMONTH($E888,0)),$J888-$M888))</f>
      </c>
      <c r="O888" s="43">
        <f>IF($I888=0,0,INDEX(DarlErsatzRate,2))</f>
      </c>
      <c r="P888" s="43">
        <f>IF($I888=0,0,$Q887*INDEX(DarlErsatzZins,2))</f>
      </c>
      <c r="Q888" s="43">
        <f>IF($I888=0,0,$Q887+$P888+$O888)</f>
      </c>
      <c r="R888" s="43">
        <f>IF($I888=0,0,$J888-$M888-$N888)</f>
      </c>
    </row>
    <row r="889">
      <c r="A889"/>
      <c r="B889">
        <v>2</v>
      </c>
      <c r="C889" s="43">
        <f>INDEX(DarlObj,2)</f>
      </c>
      <c r="D889">
        <v>406</v>
      </c>
      <c r="E889" s="51">
        <f>IF(INDEX(DarlBelegt,2)=0,0,EOMONTH(INDEX(DarlAuszahlung,2),405)+1)</f>
      </c>
      <c r="F889" s="43">
        <f>IF($E889=0,0,YEAR($E889))</f>
      </c>
      <c r="G889" s="43">
        <f>IF(INDEX(DarlBindung,2)="",1,IF($E889&lt;=INDEX(DarlBindung,2),1,0))</f>
      </c>
      <c r="H889" s="43">
        <f>IF($G889=1,INDEX(DarlSollzins,2),INDEX(DarlAnschluss,2))</f>
      </c>
      <c r="I889" s="43">
        <f>IF(INDEX(DarlBelegt,2)=0,0,IF(INDEX(DarlOhneTilgung,2)=1,IF(INDEX(DarlBindung,2)="",1,$G889),IF($J889&gt;0.005,1,0)))</f>
      </c>
      <c r="J889" s="43">
        <f>IF($I888=0,0,$R888)</f>
      </c>
      <c r="K889" s="43">
        <f>IF($I889=0,0,IF(INDEX(DarlOhneTilgung,2)=1,0,IF(AND(INDEX(DarlTilgStart,2)&gt;0,$E889=INDEX(DarlTilgStart,2)),$J889*($H889+INDEX(DarlTilgung,2))/100/12,IF(AND($G889=0,$G888=1),MAX($K888,$J889*($H889+1)/100/12),$K888))))</f>
      </c>
      <c r="L889" s="43">
        <f>IF($I889=0,0,$J889*$H889/100/12)</f>
      </c>
      <c r="M889" s="43">
        <f>IF($I889=0,0,IF(OR(INDEX(DarlOhneTilgung,2)=1,AND(INDEX(DarlTilgStart,2)&gt;0,$E889&lt;INDEX(DarlTilgStart,2))),0,MIN(MAX(0,$K889-$L889),$J889)))</f>
      </c>
      <c r="N889" s="43">
        <f>IF($I889=0,0,MIN(SUMIFS(SondBetrag,SondDarl,2,SondDatum,"&gt;="&amp;$E889,SondDatum,"&lt;="&amp;EOMONTH($E889,0)),$J889-$M889))</f>
      </c>
      <c r="O889" s="43">
        <f>IF($I889=0,0,INDEX(DarlErsatzRate,2))</f>
      </c>
      <c r="P889" s="43">
        <f>IF($I889=0,0,$Q888*INDEX(DarlErsatzZins,2))</f>
      </c>
      <c r="Q889" s="43">
        <f>IF($I889=0,0,$Q888+$P889+$O889)</f>
      </c>
      <c r="R889" s="43">
        <f>IF($I889=0,0,$J889-$M889-$N889)</f>
      </c>
    </row>
    <row r="890">
      <c r="A890"/>
      <c r="B890">
        <v>2</v>
      </c>
      <c r="C890" s="43">
        <f>INDEX(DarlObj,2)</f>
      </c>
      <c r="D890">
        <v>407</v>
      </c>
      <c r="E890" s="51">
        <f>IF(INDEX(DarlBelegt,2)=0,0,EOMONTH(INDEX(DarlAuszahlung,2),406)+1)</f>
      </c>
      <c r="F890" s="43">
        <f>IF($E890=0,0,YEAR($E890))</f>
      </c>
      <c r="G890" s="43">
        <f>IF(INDEX(DarlBindung,2)="",1,IF($E890&lt;=INDEX(DarlBindung,2),1,0))</f>
      </c>
      <c r="H890" s="43">
        <f>IF($G890=1,INDEX(DarlSollzins,2),INDEX(DarlAnschluss,2))</f>
      </c>
      <c r="I890" s="43">
        <f>IF(INDEX(DarlBelegt,2)=0,0,IF(INDEX(DarlOhneTilgung,2)=1,IF(INDEX(DarlBindung,2)="",1,$G890),IF($J890&gt;0.005,1,0)))</f>
      </c>
      <c r="J890" s="43">
        <f>IF($I889=0,0,$R889)</f>
      </c>
      <c r="K890" s="43">
        <f>IF($I890=0,0,IF(INDEX(DarlOhneTilgung,2)=1,0,IF(AND(INDEX(DarlTilgStart,2)&gt;0,$E890=INDEX(DarlTilgStart,2)),$J890*($H890+INDEX(DarlTilgung,2))/100/12,IF(AND($G890=0,$G889=1),MAX($K889,$J890*($H890+1)/100/12),$K889))))</f>
      </c>
      <c r="L890" s="43">
        <f>IF($I890=0,0,$J890*$H890/100/12)</f>
      </c>
      <c r="M890" s="43">
        <f>IF($I890=0,0,IF(OR(INDEX(DarlOhneTilgung,2)=1,AND(INDEX(DarlTilgStart,2)&gt;0,$E890&lt;INDEX(DarlTilgStart,2))),0,MIN(MAX(0,$K890-$L890),$J890)))</f>
      </c>
      <c r="N890" s="43">
        <f>IF($I890=0,0,MIN(SUMIFS(SondBetrag,SondDarl,2,SondDatum,"&gt;="&amp;$E890,SondDatum,"&lt;="&amp;EOMONTH($E890,0)),$J890-$M890))</f>
      </c>
      <c r="O890" s="43">
        <f>IF($I890=0,0,INDEX(DarlErsatzRate,2))</f>
      </c>
      <c r="P890" s="43">
        <f>IF($I890=0,0,$Q889*INDEX(DarlErsatzZins,2))</f>
      </c>
      <c r="Q890" s="43">
        <f>IF($I890=0,0,$Q889+$P890+$O890)</f>
      </c>
      <c r="R890" s="43">
        <f>IF($I890=0,0,$J890-$M890-$N890)</f>
      </c>
    </row>
    <row r="891">
      <c r="A891"/>
      <c r="B891">
        <v>2</v>
      </c>
      <c r="C891" s="43">
        <f>INDEX(DarlObj,2)</f>
      </c>
      <c r="D891">
        <v>408</v>
      </c>
      <c r="E891" s="51">
        <f>IF(INDEX(DarlBelegt,2)=0,0,EOMONTH(INDEX(DarlAuszahlung,2),407)+1)</f>
      </c>
      <c r="F891" s="43">
        <f>IF($E891=0,0,YEAR($E891))</f>
      </c>
      <c r="G891" s="43">
        <f>IF(INDEX(DarlBindung,2)="",1,IF($E891&lt;=INDEX(DarlBindung,2),1,0))</f>
      </c>
      <c r="H891" s="43">
        <f>IF($G891=1,INDEX(DarlSollzins,2),INDEX(DarlAnschluss,2))</f>
      </c>
      <c r="I891" s="43">
        <f>IF(INDEX(DarlBelegt,2)=0,0,IF(INDEX(DarlOhneTilgung,2)=1,IF(INDEX(DarlBindung,2)="",1,$G891),IF($J891&gt;0.005,1,0)))</f>
      </c>
      <c r="J891" s="43">
        <f>IF($I890=0,0,$R890)</f>
      </c>
      <c r="K891" s="43">
        <f>IF($I891=0,0,IF(INDEX(DarlOhneTilgung,2)=1,0,IF(AND(INDEX(DarlTilgStart,2)&gt;0,$E891=INDEX(DarlTilgStart,2)),$J891*($H891+INDEX(DarlTilgung,2))/100/12,IF(AND($G891=0,$G890=1),MAX($K890,$J891*($H891+1)/100/12),$K890))))</f>
      </c>
      <c r="L891" s="43">
        <f>IF($I891=0,0,$J891*$H891/100/12)</f>
      </c>
      <c r="M891" s="43">
        <f>IF($I891=0,0,IF(OR(INDEX(DarlOhneTilgung,2)=1,AND(INDEX(DarlTilgStart,2)&gt;0,$E891&lt;INDEX(DarlTilgStart,2))),0,MIN(MAX(0,$K891-$L891),$J891)))</f>
      </c>
      <c r="N891" s="43">
        <f>IF($I891=0,0,MIN(SUMIFS(SondBetrag,SondDarl,2,SondDatum,"&gt;="&amp;$E891,SondDatum,"&lt;="&amp;EOMONTH($E891,0)),$J891-$M891))</f>
      </c>
      <c r="O891" s="43">
        <f>IF($I891=0,0,INDEX(DarlErsatzRate,2))</f>
      </c>
      <c r="P891" s="43">
        <f>IF($I891=0,0,$Q890*INDEX(DarlErsatzZins,2))</f>
      </c>
      <c r="Q891" s="43">
        <f>IF($I891=0,0,$Q890+$P891+$O891)</f>
      </c>
      <c r="R891" s="43">
        <f>IF($I891=0,0,$J891-$M891-$N891)</f>
      </c>
    </row>
    <row r="892">
      <c r="A892"/>
      <c r="B892">
        <v>2</v>
      </c>
      <c r="C892" s="43">
        <f>INDEX(DarlObj,2)</f>
      </c>
      <c r="D892">
        <v>409</v>
      </c>
      <c r="E892" s="51">
        <f>IF(INDEX(DarlBelegt,2)=0,0,EOMONTH(INDEX(DarlAuszahlung,2),408)+1)</f>
      </c>
      <c r="F892" s="43">
        <f>IF($E892=0,0,YEAR($E892))</f>
      </c>
      <c r="G892" s="43">
        <f>IF(INDEX(DarlBindung,2)="",1,IF($E892&lt;=INDEX(DarlBindung,2),1,0))</f>
      </c>
      <c r="H892" s="43">
        <f>IF($G892=1,INDEX(DarlSollzins,2),INDEX(DarlAnschluss,2))</f>
      </c>
      <c r="I892" s="43">
        <f>IF(INDEX(DarlBelegt,2)=0,0,IF(INDEX(DarlOhneTilgung,2)=1,IF(INDEX(DarlBindung,2)="",1,$G892),IF($J892&gt;0.005,1,0)))</f>
      </c>
      <c r="J892" s="43">
        <f>IF($I891=0,0,$R891)</f>
      </c>
      <c r="K892" s="43">
        <f>IF($I892=0,0,IF(INDEX(DarlOhneTilgung,2)=1,0,IF(AND(INDEX(DarlTilgStart,2)&gt;0,$E892=INDEX(DarlTilgStart,2)),$J892*($H892+INDEX(DarlTilgung,2))/100/12,IF(AND($G892=0,$G891=1),MAX($K891,$J892*($H892+1)/100/12),$K891))))</f>
      </c>
      <c r="L892" s="43">
        <f>IF($I892=0,0,$J892*$H892/100/12)</f>
      </c>
      <c r="M892" s="43">
        <f>IF($I892=0,0,IF(OR(INDEX(DarlOhneTilgung,2)=1,AND(INDEX(DarlTilgStart,2)&gt;0,$E892&lt;INDEX(DarlTilgStart,2))),0,MIN(MAX(0,$K892-$L892),$J892)))</f>
      </c>
      <c r="N892" s="43">
        <f>IF($I892=0,0,MIN(SUMIFS(SondBetrag,SondDarl,2,SondDatum,"&gt;="&amp;$E892,SondDatum,"&lt;="&amp;EOMONTH($E892,0)),$J892-$M892))</f>
      </c>
      <c r="O892" s="43">
        <f>IF($I892=0,0,INDEX(DarlErsatzRate,2))</f>
      </c>
      <c r="P892" s="43">
        <f>IF($I892=0,0,$Q891*INDEX(DarlErsatzZins,2))</f>
      </c>
      <c r="Q892" s="43">
        <f>IF($I892=0,0,$Q891+$P892+$O892)</f>
      </c>
      <c r="R892" s="43">
        <f>IF($I892=0,0,$J892-$M892-$N892)</f>
      </c>
    </row>
    <row r="893">
      <c r="A893"/>
      <c r="B893">
        <v>2</v>
      </c>
      <c r="C893" s="43">
        <f>INDEX(DarlObj,2)</f>
      </c>
      <c r="D893">
        <v>410</v>
      </c>
      <c r="E893" s="51">
        <f>IF(INDEX(DarlBelegt,2)=0,0,EOMONTH(INDEX(DarlAuszahlung,2),409)+1)</f>
      </c>
      <c r="F893" s="43">
        <f>IF($E893=0,0,YEAR($E893))</f>
      </c>
      <c r="G893" s="43">
        <f>IF(INDEX(DarlBindung,2)="",1,IF($E893&lt;=INDEX(DarlBindung,2),1,0))</f>
      </c>
      <c r="H893" s="43">
        <f>IF($G893=1,INDEX(DarlSollzins,2),INDEX(DarlAnschluss,2))</f>
      </c>
      <c r="I893" s="43">
        <f>IF(INDEX(DarlBelegt,2)=0,0,IF(INDEX(DarlOhneTilgung,2)=1,IF(INDEX(DarlBindung,2)="",1,$G893),IF($J893&gt;0.005,1,0)))</f>
      </c>
      <c r="J893" s="43">
        <f>IF($I892=0,0,$R892)</f>
      </c>
      <c r="K893" s="43">
        <f>IF($I893=0,0,IF(INDEX(DarlOhneTilgung,2)=1,0,IF(AND(INDEX(DarlTilgStart,2)&gt;0,$E893=INDEX(DarlTilgStart,2)),$J893*($H893+INDEX(DarlTilgung,2))/100/12,IF(AND($G893=0,$G892=1),MAX($K892,$J893*($H893+1)/100/12),$K892))))</f>
      </c>
      <c r="L893" s="43">
        <f>IF($I893=0,0,$J893*$H893/100/12)</f>
      </c>
      <c r="M893" s="43">
        <f>IF($I893=0,0,IF(OR(INDEX(DarlOhneTilgung,2)=1,AND(INDEX(DarlTilgStart,2)&gt;0,$E893&lt;INDEX(DarlTilgStart,2))),0,MIN(MAX(0,$K893-$L893),$J893)))</f>
      </c>
      <c r="N893" s="43">
        <f>IF($I893=0,0,MIN(SUMIFS(SondBetrag,SondDarl,2,SondDatum,"&gt;="&amp;$E893,SondDatum,"&lt;="&amp;EOMONTH($E893,0)),$J893-$M893))</f>
      </c>
      <c r="O893" s="43">
        <f>IF($I893=0,0,INDEX(DarlErsatzRate,2))</f>
      </c>
      <c r="P893" s="43">
        <f>IF($I893=0,0,$Q892*INDEX(DarlErsatzZins,2))</f>
      </c>
      <c r="Q893" s="43">
        <f>IF($I893=0,0,$Q892+$P893+$O893)</f>
      </c>
      <c r="R893" s="43">
        <f>IF($I893=0,0,$J893-$M893-$N893)</f>
      </c>
    </row>
    <row r="894">
      <c r="A894"/>
      <c r="B894">
        <v>2</v>
      </c>
      <c r="C894" s="43">
        <f>INDEX(DarlObj,2)</f>
      </c>
      <c r="D894">
        <v>411</v>
      </c>
      <c r="E894" s="51">
        <f>IF(INDEX(DarlBelegt,2)=0,0,EOMONTH(INDEX(DarlAuszahlung,2),410)+1)</f>
      </c>
      <c r="F894" s="43">
        <f>IF($E894=0,0,YEAR($E894))</f>
      </c>
      <c r="G894" s="43">
        <f>IF(INDEX(DarlBindung,2)="",1,IF($E894&lt;=INDEX(DarlBindung,2),1,0))</f>
      </c>
      <c r="H894" s="43">
        <f>IF($G894=1,INDEX(DarlSollzins,2),INDEX(DarlAnschluss,2))</f>
      </c>
      <c r="I894" s="43">
        <f>IF(INDEX(DarlBelegt,2)=0,0,IF(INDEX(DarlOhneTilgung,2)=1,IF(INDEX(DarlBindung,2)="",1,$G894),IF($J894&gt;0.005,1,0)))</f>
      </c>
      <c r="J894" s="43">
        <f>IF($I893=0,0,$R893)</f>
      </c>
      <c r="K894" s="43">
        <f>IF($I894=0,0,IF(INDEX(DarlOhneTilgung,2)=1,0,IF(AND(INDEX(DarlTilgStart,2)&gt;0,$E894=INDEX(DarlTilgStart,2)),$J894*($H894+INDEX(DarlTilgung,2))/100/12,IF(AND($G894=0,$G893=1),MAX($K893,$J894*($H894+1)/100/12),$K893))))</f>
      </c>
      <c r="L894" s="43">
        <f>IF($I894=0,0,$J894*$H894/100/12)</f>
      </c>
      <c r="M894" s="43">
        <f>IF($I894=0,0,IF(OR(INDEX(DarlOhneTilgung,2)=1,AND(INDEX(DarlTilgStart,2)&gt;0,$E894&lt;INDEX(DarlTilgStart,2))),0,MIN(MAX(0,$K894-$L894),$J894)))</f>
      </c>
      <c r="N894" s="43">
        <f>IF($I894=0,0,MIN(SUMIFS(SondBetrag,SondDarl,2,SondDatum,"&gt;="&amp;$E894,SondDatum,"&lt;="&amp;EOMONTH($E894,0)),$J894-$M894))</f>
      </c>
      <c r="O894" s="43">
        <f>IF($I894=0,0,INDEX(DarlErsatzRate,2))</f>
      </c>
      <c r="P894" s="43">
        <f>IF($I894=0,0,$Q893*INDEX(DarlErsatzZins,2))</f>
      </c>
      <c r="Q894" s="43">
        <f>IF($I894=0,0,$Q893+$P894+$O894)</f>
      </c>
      <c r="R894" s="43">
        <f>IF($I894=0,0,$J894-$M894-$N894)</f>
      </c>
    </row>
    <row r="895">
      <c r="A895"/>
      <c r="B895">
        <v>2</v>
      </c>
      <c r="C895" s="43">
        <f>INDEX(DarlObj,2)</f>
      </c>
      <c r="D895">
        <v>412</v>
      </c>
      <c r="E895" s="51">
        <f>IF(INDEX(DarlBelegt,2)=0,0,EOMONTH(INDEX(DarlAuszahlung,2),411)+1)</f>
      </c>
      <c r="F895" s="43">
        <f>IF($E895=0,0,YEAR($E895))</f>
      </c>
      <c r="G895" s="43">
        <f>IF(INDEX(DarlBindung,2)="",1,IF($E895&lt;=INDEX(DarlBindung,2),1,0))</f>
      </c>
      <c r="H895" s="43">
        <f>IF($G895=1,INDEX(DarlSollzins,2),INDEX(DarlAnschluss,2))</f>
      </c>
      <c r="I895" s="43">
        <f>IF(INDEX(DarlBelegt,2)=0,0,IF(INDEX(DarlOhneTilgung,2)=1,IF(INDEX(DarlBindung,2)="",1,$G895),IF($J895&gt;0.005,1,0)))</f>
      </c>
      <c r="J895" s="43">
        <f>IF($I894=0,0,$R894)</f>
      </c>
      <c r="K895" s="43">
        <f>IF($I895=0,0,IF(INDEX(DarlOhneTilgung,2)=1,0,IF(AND(INDEX(DarlTilgStart,2)&gt;0,$E895=INDEX(DarlTilgStart,2)),$J895*($H895+INDEX(DarlTilgung,2))/100/12,IF(AND($G895=0,$G894=1),MAX($K894,$J895*($H895+1)/100/12),$K894))))</f>
      </c>
      <c r="L895" s="43">
        <f>IF($I895=0,0,$J895*$H895/100/12)</f>
      </c>
      <c r="M895" s="43">
        <f>IF($I895=0,0,IF(OR(INDEX(DarlOhneTilgung,2)=1,AND(INDEX(DarlTilgStart,2)&gt;0,$E895&lt;INDEX(DarlTilgStart,2))),0,MIN(MAX(0,$K895-$L895),$J895)))</f>
      </c>
      <c r="N895" s="43">
        <f>IF($I895=0,0,MIN(SUMIFS(SondBetrag,SondDarl,2,SondDatum,"&gt;="&amp;$E895,SondDatum,"&lt;="&amp;EOMONTH($E895,0)),$J895-$M895))</f>
      </c>
      <c r="O895" s="43">
        <f>IF($I895=0,0,INDEX(DarlErsatzRate,2))</f>
      </c>
      <c r="P895" s="43">
        <f>IF($I895=0,0,$Q894*INDEX(DarlErsatzZins,2))</f>
      </c>
      <c r="Q895" s="43">
        <f>IF($I895=0,0,$Q894+$P895+$O895)</f>
      </c>
      <c r="R895" s="43">
        <f>IF($I895=0,0,$J895-$M895-$N895)</f>
      </c>
    </row>
    <row r="896">
      <c r="A896"/>
      <c r="B896">
        <v>2</v>
      </c>
      <c r="C896" s="43">
        <f>INDEX(DarlObj,2)</f>
      </c>
      <c r="D896">
        <v>413</v>
      </c>
      <c r="E896" s="51">
        <f>IF(INDEX(DarlBelegt,2)=0,0,EOMONTH(INDEX(DarlAuszahlung,2),412)+1)</f>
      </c>
      <c r="F896" s="43">
        <f>IF($E896=0,0,YEAR($E896))</f>
      </c>
      <c r="G896" s="43">
        <f>IF(INDEX(DarlBindung,2)="",1,IF($E896&lt;=INDEX(DarlBindung,2),1,0))</f>
      </c>
      <c r="H896" s="43">
        <f>IF($G896=1,INDEX(DarlSollzins,2),INDEX(DarlAnschluss,2))</f>
      </c>
      <c r="I896" s="43">
        <f>IF(INDEX(DarlBelegt,2)=0,0,IF(INDEX(DarlOhneTilgung,2)=1,IF(INDEX(DarlBindung,2)="",1,$G896),IF($J896&gt;0.005,1,0)))</f>
      </c>
      <c r="J896" s="43">
        <f>IF($I895=0,0,$R895)</f>
      </c>
      <c r="K896" s="43">
        <f>IF($I896=0,0,IF(INDEX(DarlOhneTilgung,2)=1,0,IF(AND(INDEX(DarlTilgStart,2)&gt;0,$E896=INDEX(DarlTilgStart,2)),$J896*($H896+INDEX(DarlTilgung,2))/100/12,IF(AND($G896=0,$G895=1),MAX($K895,$J896*($H896+1)/100/12),$K895))))</f>
      </c>
      <c r="L896" s="43">
        <f>IF($I896=0,0,$J896*$H896/100/12)</f>
      </c>
      <c r="M896" s="43">
        <f>IF($I896=0,0,IF(OR(INDEX(DarlOhneTilgung,2)=1,AND(INDEX(DarlTilgStart,2)&gt;0,$E896&lt;INDEX(DarlTilgStart,2))),0,MIN(MAX(0,$K896-$L896),$J896)))</f>
      </c>
      <c r="N896" s="43">
        <f>IF($I896=0,0,MIN(SUMIFS(SondBetrag,SondDarl,2,SondDatum,"&gt;="&amp;$E896,SondDatum,"&lt;="&amp;EOMONTH($E896,0)),$J896-$M896))</f>
      </c>
      <c r="O896" s="43">
        <f>IF($I896=0,0,INDEX(DarlErsatzRate,2))</f>
      </c>
      <c r="P896" s="43">
        <f>IF($I896=0,0,$Q895*INDEX(DarlErsatzZins,2))</f>
      </c>
      <c r="Q896" s="43">
        <f>IF($I896=0,0,$Q895+$P896+$O896)</f>
      </c>
      <c r="R896" s="43">
        <f>IF($I896=0,0,$J896-$M896-$N896)</f>
      </c>
    </row>
    <row r="897">
      <c r="A897"/>
      <c r="B897">
        <v>2</v>
      </c>
      <c r="C897" s="43">
        <f>INDEX(DarlObj,2)</f>
      </c>
      <c r="D897">
        <v>414</v>
      </c>
      <c r="E897" s="51">
        <f>IF(INDEX(DarlBelegt,2)=0,0,EOMONTH(INDEX(DarlAuszahlung,2),413)+1)</f>
      </c>
      <c r="F897" s="43">
        <f>IF($E897=0,0,YEAR($E897))</f>
      </c>
      <c r="G897" s="43">
        <f>IF(INDEX(DarlBindung,2)="",1,IF($E897&lt;=INDEX(DarlBindung,2),1,0))</f>
      </c>
      <c r="H897" s="43">
        <f>IF($G897=1,INDEX(DarlSollzins,2),INDEX(DarlAnschluss,2))</f>
      </c>
      <c r="I897" s="43">
        <f>IF(INDEX(DarlBelegt,2)=0,0,IF(INDEX(DarlOhneTilgung,2)=1,IF(INDEX(DarlBindung,2)="",1,$G897),IF($J897&gt;0.005,1,0)))</f>
      </c>
      <c r="J897" s="43">
        <f>IF($I896=0,0,$R896)</f>
      </c>
      <c r="K897" s="43">
        <f>IF($I897=0,0,IF(INDEX(DarlOhneTilgung,2)=1,0,IF(AND(INDEX(DarlTilgStart,2)&gt;0,$E897=INDEX(DarlTilgStart,2)),$J897*($H897+INDEX(DarlTilgung,2))/100/12,IF(AND($G897=0,$G896=1),MAX($K896,$J897*($H897+1)/100/12),$K896))))</f>
      </c>
      <c r="L897" s="43">
        <f>IF($I897=0,0,$J897*$H897/100/12)</f>
      </c>
      <c r="M897" s="43">
        <f>IF($I897=0,0,IF(OR(INDEX(DarlOhneTilgung,2)=1,AND(INDEX(DarlTilgStart,2)&gt;0,$E897&lt;INDEX(DarlTilgStart,2))),0,MIN(MAX(0,$K897-$L897),$J897)))</f>
      </c>
      <c r="N897" s="43">
        <f>IF($I897=0,0,MIN(SUMIFS(SondBetrag,SondDarl,2,SondDatum,"&gt;="&amp;$E897,SondDatum,"&lt;="&amp;EOMONTH($E897,0)),$J897-$M897))</f>
      </c>
      <c r="O897" s="43">
        <f>IF($I897=0,0,INDEX(DarlErsatzRate,2))</f>
      </c>
      <c r="P897" s="43">
        <f>IF($I897=0,0,$Q896*INDEX(DarlErsatzZins,2))</f>
      </c>
      <c r="Q897" s="43">
        <f>IF($I897=0,0,$Q896+$P897+$O897)</f>
      </c>
      <c r="R897" s="43">
        <f>IF($I897=0,0,$J897-$M897-$N897)</f>
      </c>
    </row>
    <row r="898">
      <c r="A898"/>
      <c r="B898">
        <v>2</v>
      </c>
      <c r="C898" s="43">
        <f>INDEX(DarlObj,2)</f>
      </c>
      <c r="D898">
        <v>415</v>
      </c>
      <c r="E898" s="51">
        <f>IF(INDEX(DarlBelegt,2)=0,0,EOMONTH(INDEX(DarlAuszahlung,2),414)+1)</f>
      </c>
      <c r="F898" s="43">
        <f>IF($E898=0,0,YEAR($E898))</f>
      </c>
      <c r="G898" s="43">
        <f>IF(INDEX(DarlBindung,2)="",1,IF($E898&lt;=INDEX(DarlBindung,2),1,0))</f>
      </c>
      <c r="H898" s="43">
        <f>IF($G898=1,INDEX(DarlSollzins,2),INDEX(DarlAnschluss,2))</f>
      </c>
      <c r="I898" s="43">
        <f>IF(INDEX(DarlBelegt,2)=0,0,IF(INDEX(DarlOhneTilgung,2)=1,IF(INDEX(DarlBindung,2)="",1,$G898),IF($J898&gt;0.005,1,0)))</f>
      </c>
      <c r="J898" s="43">
        <f>IF($I897=0,0,$R897)</f>
      </c>
      <c r="K898" s="43">
        <f>IF($I898=0,0,IF(INDEX(DarlOhneTilgung,2)=1,0,IF(AND(INDEX(DarlTilgStart,2)&gt;0,$E898=INDEX(DarlTilgStart,2)),$J898*($H898+INDEX(DarlTilgung,2))/100/12,IF(AND($G898=0,$G897=1),MAX($K897,$J898*($H898+1)/100/12),$K897))))</f>
      </c>
      <c r="L898" s="43">
        <f>IF($I898=0,0,$J898*$H898/100/12)</f>
      </c>
      <c r="M898" s="43">
        <f>IF($I898=0,0,IF(OR(INDEX(DarlOhneTilgung,2)=1,AND(INDEX(DarlTilgStart,2)&gt;0,$E898&lt;INDEX(DarlTilgStart,2))),0,MIN(MAX(0,$K898-$L898),$J898)))</f>
      </c>
      <c r="N898" s="43">
        <f>IF($I898=0,0,MIN(SUMIFS(SondBetrag,SondDarl,2,SondDatum,"&gt;="&amp;$E898,SondDatum,"&lt;="&amp;EOMONTH($E898,0)),$J898-$M898))</f>
      </c>
      <c r="O898" s="43">
        <f>IF($I898=0,0,INDEX(DarlErsatzRate,2))</f>
      </c>
      <c r="P898" s="43">
        <f>IF($I898=0,0,$Q897*INDEX(DarlErsatzZins,2))</f>
      </c>
      <c r="Q898" s="43">
        <f>IF($I898=0,0,$Q897+$P898+$O898)</f>
      </c>
      <c r="R898" s="43">
        <f>IF($I898=0,0,$J898-$M898-$N898)</f>
      </c>
    </row>
    <row r="899">
      <c r="A899"/>
      <c r="B899">
        <v>2</v>
      </c>
      <c r="C899" s="43">
        <f>INDEX(DarlObj,2)</f>
      </c>
      <c r="D899">
        <v>416</v>
      </c>
      <c r="E899" s="51">
        <f>IF(INDEX(DarlBelegt,2)=0,0,EOMONTH(INDEX(DarlAuszahlung,2),415)+1)</f>
      </c>
      <c r="F899" s="43">
        <f>IF($E899=0,0,YEAR($E899))</f>
      </c>
      <c r="G899" s="43">
        <f>IF(INDEX(DarlBindung,2)="",1,IF($E899&lt;=INDEX(DarlBindung,2),1,0))</f>
      </c>
      <c r="H899" s="43">
        <f>IF($G899=1,INDEX(DarlSollzins,2),INDEX(DarlAnschluss,2))</f>
      </c>
      <c r="I899" s="43">
        <f>IF(INDEX(DarlBelegt,2)=0,0,IF(INDEX(DarlOhneTilgung,2)=1,IF(INDEX(DarlBindung,2)="",1,$G899),IF($J899&gt;0.005,1,0)))</f>
      </c>
      <c r="J899" s="43">
        <f>IF($I898=0,0,$R898)</f>
      </c>
      <c r="K899" s="43">
        <f>IF($I899=0,0,IF(INDEX(DarlOhneTilgung,2)=1,0,IF(AND(INDEX(DarlTilgStart,2)&gt;0,$E899=INDEX(DarlTilgStart,2)),$J899*($H899+INDEX(DarlTilgung,2))/100/12,IF(AND($G899=0,$G898=1),MAX($K898,$J899*($H899+1)/100/12),$K898))))</f>
      </c>
      <c r="L899" s="43">
        <f>IF($I899=0,0,$J899*$H899/100/12)</f>
      </c>
      <c r="M899" s="43">
        <f>IF($I899=0,0,IF(OR(INDEX(DarlOhneTilgung,2)=1,AND(INDEX(DarlTilgStart,2)&gt;0,$E899&lt;INDEX(DarlTilgStart,2))),0,MIN(MAX(0,$K899-$L899),$J899)))</f>
      </c>
      <c r="N899" s="43">
        <f>IF($I899=0,0,MIN(SUMIFS(SondBetrag,SondDarl,2,SondDatum,"&gt;="&amp;$E899,SondDatum,"&lt;="&amp;EOMONTH($E899,0)),$J899-$M899))</f>
      </c>
      <c r="O899" s="43">
        <f>IF($I899=0,0,INDEX(DarlErsatzRate,2))</f>
      </c>
      <c r="P899" s="43">
        <f>IF($I899=0,0,$Q898*INDEX(DarlErsatzZins,2))</f>
      </c>
      <c r="Q899" s="43">
        <f>IF($I899=0,0,$Q898+$P899+$O899)</f>
      </c>
      <c r="R899" s="43">
        <f>IF($I899=0,0,$J899-$M899-$N899)</f>
      </c>
    </row>
    <row r="900">
      <c r="A900"/>
      <c r="B900">
        <v>2</v>
      </c>
      <c r="C900" s="43">
        <f>INDEX(DarlObj,2)</f>
      </c>
      <c r="D900">
        <v>417</v>
      </c>
      <c r="E900" s="51">
        <f>IF(INDEX(DarlBelegt,2)=0,0,EOMONTH(INDEX(DarlAuszahlung,2),416)+1)</f>
      </c>
      <c r="F900" s="43">
        <f>IF($E900=0,0,YEAR($E900))</f>
      </c>
      <c r="G900" s="43">
        <f>IF(INDEX(DarlBindung,2)="",1,IF($E900&lt;=INDEX(DarlBindung,2),1,0))</f>
      </c>
      <c r="H900" s="43">
        <f>IF($G900=1,INDEX(DarlSollzins,2),INDEX(DarlAnschluss,2))</f>
      </c>
      <c r="I900" s="43">
        <f>IF(INDEX(DarlBelegt,2)=0,0,IF(INDEX(DarlOhneTilgung,2)=1,IF(INDEX(DarlBindung,2)="",1,$G900),IF($J900&gt;0.005,1,0)))</f>
      </c>
      <c r="J900" s="43">
        <f>IF($I899=0,0,$R899)</f>
      </c>
      <c r="K900" s="43">
        <f>IF($I900=0,0,IF(INDEX(DarlOhneTilgung,2)=1,0,IF(AND(INDEX(DarlTilgStart,2)&gt;0,$E900=INDEX(DarlTilgStart,2)),$J900*($H900+INDEX(DarlTilgung,2))/100/12,IF(AND($G900=0,$G899=1),MAX($K899,$J900*($H900+1)/100/12),$K899))))</f>
      </c>
      <c r="L900" s="43">
        <f>IF($I900=0,0,$J900*$H900/100/12)</f>
      </c>
      <c r="M900" s="43">
        <f>IF($I900=0,0,IF(OR(INDEX(DarlOhneTilgung,2)=1,AND(INDEX(DarlTilgStart,2)&gt;0,$E900&lt;INDEX(DarlTilgStart,2))),0,MIN(MAX(0,$K900-$L900),$J900)))</f>
      </c>
      <c r="N900" s="43">
        <f>IF($I900=0,0,MIN(SUMIFS(SondBetrag,SondDarl,2,SondDatum,"&gt;="&amp;$E900,SondDatum,"&lt;="&amp;EOMONTH($E900,0)),$J900-$M900))</f>
      </c>
      <c r="O900" s="43">
        <f>IF($I900=0,0,INDEX(DarlErsatzRate,2))</f>
      </c>
      <c r="P900" s="43">
        <f>IF($I900=0,0,$Q899*INDEX(DarlErsatzZins,2))</f>
      </c>
      <c r="Q900" s="43">
        <f>IF($I900=0,0,$Q899+$P900+$O900)</f>
      </c>
      <c r="R900" s="43">
        <f>IF($I900=0,0,$J900-$M900-$N900)</f>
      </c>
    </row>
    <row r="901">
      <c r="A901"/>
      <c r="B901">
        <v>2</v>
      </c>
      <c r="C901" s="43">
        <f>INDEX(DarlObj,2)</f>
      </c>
      <c r="D901">
        <v>418</v>
      </c>
      <c r="E901" s="51">
        <f>IF(INDEX(DarlBelegt,2)=0,0,EOMONTH(INDEX(DarlAuszahlung,2),417)+1)</f>
      </c>
      <c r="F901" s="43">
        <f>IF($E901=0,0,YEAR($E901))</f>
      </c>
      <c r="G901" s="43">
        <f>IF(INDEX(DarlBindung,2)="",1,IF($E901&lt;=INDEX(DarlBindung,2),1,0))</f>
      </c>
      <c r="H901" s="43">
        <f>IF($G901=1,INDEX(DarlSollzins,2),INDEX(DarlAnschluss,2))</f>
      </c>
      <c r="I901" s="43">
        <f>IF(INDEX(DarlBelegt,2)=0,0,IF(INDEX(DarlOhneTilgung,2)=1,IF(INDEX(DarlBindung,2)="",1,$G901),IF($J901&gt;0.005,1,0)))</f>
      </c>
      <c r="J901" s="43">
        <f>IF($I900=0,0,$R900)</f>
      </c>
      <c r="K901" s="43">
        <f>IF($I901=0,0,IF(INDEX(DarlOhneTilgung,2)=1,0,IF(AND(INDEX(DarlTilgStart,2)&gt;0,$E901=INDEX(DarlTilgStart,2)),$J901*($H901+INDEX(DarlTilgung,2))/100/12,IF(AND($G901=0,$G900=1),MAX($K900,$J901*($H901+1)/100/12),$K900))))</f>
      </c>
      <c r="L901" s="43">
        <f>IF($I901=0,0,$J901*$H901/100/12)</f>
      </c>
      <c r="M901" s="43">
        <f>IF($I901=0,0,IF(OR(INDEX(DarlOhneTilgung,2)=1,AND(INDEX(DarlTilgStart,2)&gt;0,$E901&lt;INDEX(DarlTilgStart,2))),0,MIN(MAX(0,$K901-$L901),$J901)))</f>
      </c>
      <c r="N901" s="43">
        <f>IF($I901=0,0,MIN(SUMIFS(SondBetrag,SondDarl,2,SondDatum,"&gt;="&amp;$E901,SondDatum,"&lt;="&amp;EOMONTH($E901,0)),$J901-$M901))</f>
      </c>
      <c r="O901" s="43">
        <f>IF($I901=0,0,INDEX(DarlErsatzRate,2))</f>
      </c>
      <c r="P901" s="43">
        <f>IF($I901=0,0,$Q900*INDEX(DarlErsatzZins,2))</f>
      </c>
      <c r="Q901" s="43">
        <f>IF($I901=0,0,$Q900+$P901+$O901)</f>
      </c>
      <c r="R901" s="43">
        <f>IF($I901=0,0,$J901-$M901-$N901)</f>
      </c>
    </row>
    <row r="902">
      <c r="A902"/>
      <c r="B902">
        <v>2</v>
      </c>
      <c r="C902" s="43">
        <f>INDEX(DarlObj,2)</f>
      </c>
      <c r="D902">
        <v>419</v>
      </c>
      <c r="E902" s="51">
        <f>IF(INDEX(DarlBelegt,2)=0,0,EOMONTH(INDEX(DarlAuszahlung,2),418)+1)</f>
      </c>
      <c r="F902" s="43">
        <f>IF($E902=0,0,YEAR($E902))</f>
      </c>
      <c r="G902" s="43">
        <f>IF(INDEX(DarlBindung,2)="",1,IF($E902&lt;=INDEX(DarlBindung,2),1,0))</f>
      </c>
      <c r="H902" s="43">
        <f>IF($G902=1,INDEX(DarlSollzins,2),INDEX(DarlAnschluss,2))</f>
      </c>
      <c r="I902" s="43">
        <f>IF(INDEX(DarlBelegt,2)=0,0,IF(INDEX(DarlOhneTilgung,2)=1,IF(INDEX(DarlBindung,2)="",1,$G902),IF($J902&gt;0.005,1,0)))</f>
      </c>
      <c r="J902" s="43">
        <f>IF($I901=0,0,$R901)</f>
      </c>
      <c r="K902" s="43">
        <f>IF($I902=0,0,IF(INDEX(DarlOhneTilgung,2)=1,0,IF(AND(INDEX(DarlTilgStart,2)&gt;0,$E902=INDEX(DarlTilgStart,2)),$J902*($H902+INDEX(DarlTilgung,2))/100/12,IF(AND($G902=0,$G901=1),MAX($K901,$J902*($H902+1)/100/12),$K901))))</f>
      </c>
      <c r="L902" s="43">
        <f>IF($I902=0,0,$J902*$H902/100/12)</f>
      </c>
      <c r="M902" s="43">
        <f>IF($I902=0,0,IF(OR(INDEX(DarlOhneTilgung,2)=1,AND(INDEX(DarlTilgStart,2)&gt;0,$E902&lt;INDEX(DarlTilgStart,2))),0,MIN(MAX(0,$K902-$L902),$J902)))</f>
      </c>
      <c r="N902" s="43">
        <f>IF($I902=0,0,MIN(SUMIFS(SondBetrag,SondDarl,2,SondDatum,"&gt;="&amp;$E902,SondDatum,"&lt;="&amp;EOMONTH($E902,0)),$J902-$M902))</f>
      </c>
      <c r="O902" s="43">
        <f>IF($I902=0,0,INDEX(DarlErsatzRate,2))</f>
      </c>
      <c r="P902" s="43">
        <f>IF($I902=0,0,$Q901*INDEX(DarlErsatzZins,2))</f>
      </c>
      <c r="Q902" s="43">
        <f>IF($I902=0,0,$Q901+$P902+$O902)</f>
      </c>
      <c r="R902" s="43">
        <f>IF($I902=0,0,$J902-$M902-$N902)</f>
      </c>
    </row>
    <row r="903">
      <c r="A903"/>
      <c r="B903">
        <v>2</v>
      </c>
      <c r="C903" s="43">
        <f>INDEX(DarlObj,2)</f>
      </c>
      <c r="D903">
        <v>420</v>
      </c>
      <c r="E903" s="51">
        <f>IF(INDEX(DarlBelegt,2)=0,0,EOMONTH(INDEX(DarlAuszahlung,2),419)+1)</f>
      </c>
      <c r="F903" s="43">
        <f>IF($E903=0,0,YEAR($E903))</f>
      </c>
      <c r="G903" s="43">
        <f>IF(INDEX(DarlBindung,2)="",1,IF($E903&lt;=INDEX(DarlBindung,2),1,0))</f>
      </c>
      <c r="H903" s="43">
        <f>IF($G903=1,INDEX(DarlSollzins,2),INDEX(DarlAnschluss,2))</f>
      </c>
      <c r="I903" s="43">
        <f>IF(INDEX(DarlBelegt,2)=0,0,IF(INDEX(DarlOhneTilgung,2)=1,IF(INDEX(DarlBindung,2)="",1,$G903),IF($J903&gt;0.005,1,0)))</f>
      </c>
      <c r="J903" s="43">
        <f>IF($I902=0,0,$R902)</f>
      </c>
      <c r="K903" s="43">
        <f>IF($I903=0,0,IF(INDEX(DarlOhneTilgung,2)=1,0,IF(AND(INDEX(DarlTilgStart,2)&gt;0,$E903=INDEX(DarlTilgStart,2)),$J903*($H903+INDEX(DarlTilgung,2))/100/12,IF(AND($G903=0,$G902=1),MAX($K902,$J903*($H903+1)/100/12),$K902))))</f>
      </c>
      <c r="L903" s="43">
        <f>IF($I903=0,0,$J903*$H903/100/12)</f>
      </c>
      <c r="M903" s="43">
        <f>IF($I903=0,0,IF(OR(INDEX(DarlOhneTilgung,2)=1,AND(INDEX(DarlTilgStart,2)&gt;0,$E903&lt;INDEX(DarlTilgStart,2))),0,MIN(MAX(0,$K903-$L903),$J903)))</f>
      </c>
      <c r="N903" s="43">
        <f>IF($I903=0,0,MIN(SUMIFS(SondBetrag,SondDarl,2,SondDatum,"&gt;="&amp;$E903,SondDatum,"&lt;="&amp;EOMONTH($E903,0)),$J903-$M903))</f>
      </c>
      <c r="O903" s="43">
        <f>IF($I903=0,0,INDEX(DarlErsatzRate,2))</f>
      </c>
      <c r="P903" s="43">
        <f>IF($I903=0,0,$Q902*INDEX(DarlErsatzZins,2))</f>
      </c>
      <c r="Q903" s="43">
        <f>IF($I903=0,0,$Q902+$P903+$O903)</f>
      </c>
      <c r="R903" s="43">
        <f>IF($I903=0,0,$J903-$M903-$N903)</f>
      </c>
    </row>
    <row r="904">
      <c r="A904"/>
      <c r="B904">
        <v>2</v>
      </c>
      <c r="C904" s="43">
        <f>INDEX(DarlObj,2)</f>
      </c>
      <c r="D904">
        <v>421</v>
      </c>
      <c r="E904" s="51">
        <f>IF(INDEX(DarlBelegt,2)=0,0,EOMONTH(INDEX(DarlAuszahlung,2),420)+1)</f>
      </c>
      <c r="F904" s="43">
        <f>IF($E904=0,0,YEAR($E904))</f>
      </c>
      <c r="G904" s="43">
        <f>IF(INDEX(DarlBindung,2)="",1,IF($E904&lt;=INDEX(DarlBindung,2),1,0))</f>
      </c>
      <c r="H904" s="43">
        <f>IF($G904=1,INDEX(DarlSollzins,2),INDEX(DarlAnschluss,2))</f>
      </c>
      <c r="I904" s="43">
        <f>IF(INDEX(DarlBelegt,2)=0,0,IF(INDEX(DarlOhneTilgung,2)=1,IF(INDEX(DarlBindung,2)="",1,$G904),IF($J904&gt;0.005,1,0)))</f>
      </c>
      <c r="J904" s="43">
        <f>IF($I903=0,0,$R903)</f>
      </c>
      <c r="K904" s="43">
        <f>IF($I904=0,0,IF(INDEX(DarlOhneTilgung,2)=1,0,IF(AND(INDEX(DarlTilgStart,2)&gt;0,$E904=INDEX(DarlTilgStart,2)),$J904*($H904+INDEX(DarlTilgung,2))/100/12,IF(AND($G904=0,$G903=1),MAX($K903,$J904*($H904+1)/100/12),$K903))))</f>
      </c>
      <c r="L904" s="43">
        <f>IF($I904=0,0,$J904*$H904/100/12)</f>
      </c>
      <c r="M904" s="43">
        <f>IF($I904=0,0,IF(OR(INDEX(DarlOhneTilgung,2)=1,AND(INDEX(DarlTilgStart,2)&gt;0,$E904&lt;INDEX(DarlTilgStart,2))),0,MIN(MAX(0,$K904-$L904),$J904)))</f>
      </c>
      <c r="N904" s="43">
        <f>IF($I904=0,0,MIN(SUMIFS(SondBetrag,SondDarl,2,SondDatum,"&gt;="&amp;$E904,SondDatum,"&lt;="&amp;EOMONTH($E904,0)),$J904-$M904))</f>
      </c>
      <c r="O904" s="43">
        <f>IF($I904=0,0,INDEX(DarlErsatzRate,2))</f>
      </c>
      <c r="P904" s="43">
        <f>IF($I904=0,0,$Q903*INDEX(DarlErsatzZins,2))</f>
      </c>
      <c r="Q904" s="43">
        <f>IF($I904=0,0,$Q903+$P904+$O904)</f>
      </c>
      <c r="R904" s="43">
        <f>IF($I904=0,0,$J904-$M904-$N904)</f>
      </c>
    </row>
    <row r="905">
      <c r="A905"/>
      <c r="B905">
        <v>2</v>
      </c>
      <c r="C905" s="43">
        <f>INDEX(DarlObj,2)</f>
      </c>
      <c r="D905">
        <v>422</v>
      </c>
      <c r="E905" s="51">
        <f>IF(INDEX(DarlBelegt,2)=0,0,EOMONTH(INDEX(DarlAuszahlung,2),421)+1)</f>
      </c>
      <c r="F905" s="43">
        <f>IF($E905=0,0,YEAR($E905))</f>
      </c>
      <c r="G905" s="43">
        <f>IF(INDEX(DarlBindung,2)="",1,IF($E905&lt;=INDEX(DarlBindung,2),1,0))</f>
      </c>
      <c r="H905" s="43">
        <f>IF($G905=1,INDEX(DarlSollzins,2),INDEX(DarlAnschluss,2))</f>
      </c>
      <c r="I905" s="43">
        <f>IF(INDEX(DarlBelegt,2)=0,0,IF(INDEX(DarlOhneTilgung,2)=1,IF(INDEX(DarlBindung,2)="",1,$G905),IF($J905&gt;0.005,1,0)))</f>
      </c>
      <c r="J905" s="43">
        <f>IF($I904=0,0,$R904)</f>
      </c>
      <c r="K905" s="43">
        <f>IF($I905=0,0,IF(INDEX(DarlOhneTilgung,2)=1,0,IF(AND(INDEX(DarlTilgStart,2)&gt;0,$E905=INDEX(DarlTilgStart,2)),$J905*($H905+INDEX(DarlTilgung,2))/100/12,IF(AND($G905=0,$G904=1),MAX($K904,$J905*($H905+1)/100/12),$K904))))</f>
      </c>
      <c r="L905" s="43">
        <f>IF($I905=0,0,$J905*$H905/100/12)</f>
      </c>
      <c r="M905" s="43">
        <f>IF($I905=0,0,IF(OR(INDEX(DarlOhneTilgung,2)=1,AND(INDEX(DarlTilgStart,2)&gt;0,$E905&lt;INDEX(DarlTilgStart,2))),0,MIN(MAX(0,$K905-$L905),$J905)))</f>
      </c>
      <c r="N905" s="43">
        <f>IF($I905=0,0,MIN(SUMIFS(SondBetrag,SondDarl,2,SondDatum,"&gt;="&amp;$E905,SondDatum,"&lt;="&amp;EOMONTH($E905,0)),$J905-$M905))</f>
      </c>
      <c r="O905" s="43">
        <f>IF($I905=0,0,INDEX(DarlErsatzRate,2))</f>
      </c>
      <c r="P905" s="43">
        <f>IF($I905=0,0,$Q904*INDEX(DarlErsatzZins,2))</f>
      </c>
      <c r="Q905" s="43">
        <f>IF($I905=0,0,$Q904+$P905+$O905)</f>
      </c>
      <c r="R905" s="43">
        <f>IF($I905=0,0,$J905-$M905-$N905)</f>
      </c>
    </row>
    <row r="906">
      <c r="A906"/>
      <c r="B906">
        <v>2</v>
      </c>
      <c r="C906" s="43">
        <f>INDEX(DarlObj,2)</f>
      </c>
      <c r="D906">
        <v>423</v>
      </c>
      <c r="E906" s="51">
        <f>IF(INDEX(DarlBelegt,2)=0,0,EOMONTH(INDEX(DarlAuszahlung,2),422)+1)</f>
      </c>
      <c r="F906" s="43">
        <f>IF($E906=0,0,YEAR($E906))</f>
      </c>
      <c r="G906" s="43">
        <f>IF(INDEX(DarlBindung,2)="",1,IF($E906&lt;=INDEX(DarlBindung,2),1,0))</f>
      </c>
      <c r="H906" s="43">
        <f>IF($G906=1,INDEX(DarlSollzins,2),INDEX(DarlAnschluss,2))</f>
      </c>
      <c r="I906" s="43">
        <f>IF(INDEX(DarlBelegt,2)=0,0,IF(INDEX(DarlOhneTilgung,2)=1,IF(INDEX(DarlBindung,2)="",1,$G906),IF($J906&gt;0.005,1,0)))</f>
      </c>
      <c r="J906" s="43">
        <f>IF($I905=0,0,$R905)</f>
      </c>
      <c r="K906" s="43">
        <f>IF($I906=0,0,IF(INDEX(DarlOhneTilgung,2)=1,0,IF(AND(INDEX(DarlTilgStart,2)&gt;0,$E906=INDEX(DarlTilgStart,2)),$J906*($H906+INDEX(DarlTilgung,2))/100/12,IF(AND($G906=0,$G905=1),MAX($K905,$J906*($H906+1)/100/12),$K905))))</f>
      </c>
      <c r="L906" s="43">
        <f>IF($I906=0,0,$J906*$H906/100/12)</f>
      </c>
      <c r="M906" s="43">
        <f>IF($I906=0,0,IF(OR(INDEX(DarlOhneTilgung,2)=1,AND(INDEX(DarlTilgStart,2)&gt;0,$E906&lt;INDEX(DarlTilgStart,2))),0,MIN(MAX(0,$K906-$L906),$J906)))</f>
      </c>
      <c r="N906" s="43">
        <f>IF($I906=0,0,MIN(SUMIFS(SondBetrag,SondDarl,2,SondDatum,"&gt;="&amp;$E906,SondDatum,"&lt;="&amp;EOMONTH($E906,0)),$J906-$M906))</f>
      </c>
      <c r="O906" s="43">
        <f>IF($I906=0,0,INDEX(DarlErsatzRate,2))</f>
      </c>
      <c r="P906" s="43">
        <f>IF($I906=0,0,$Q905*INDEX(DarlErsatzZins,2))</f>
      </c>
      <c r="Q906" s="43">
        <f>IF($I906=0,0,$Q905+$P906+$O906)</f>
      </c>
      <c r="R906" s="43">
        <f>IF($I906=0,0,$J906-$M906-$N906)</f>
      </c>
    </row>
    <row r="907">
      <c r="A907"/>
      <c r="B907">
        <v>2</v>
      </c>
      <c r="C907" s="43">
        <f>INDEX(DarlObj,2)</f>
      </c>
      <c r="D907">
        <v>424</v>
      </c>
      <c r="E907" s="51">
        <f>IF(INDEX(DarlBelegt,2)=0,0,EOMONTH(INDEX(DarlAuszahlung,2),423)+1)</f>
      </c>
      <c r="F907" s="43">
        <f>IF($E907=0,0,YEAR($E907))</f>
      </c>
      <c r="G907" s="43">
        <f>IF(INDEX(DarlBindung,2)="",1,IF($E907&lt;=INDEX(DarlBindung,2),1,0))</f>
      </c>
      <c r="H907" s="43">
        <f>IF($G907=1,INDEX(DarlSollzins,2),INDEX(DarlAnschluss,2))</f>
      </c>
      <c r="I907" s="43">
        <f>IF(INDEX(DarlBelegt,2)=0,0,IF(INDEX(DarlOhneTilgung,2)=1,IF(INDEX(DarlBindung,2)="",1,$G907),IF($J907&gt;0.005,1,0)))</f>
      </c>
      <c r="J907" s="43">
        <f>IF($I906=0,0,$R906)</f>
      </c>
      <c r="K907" s="43">
        <f>IF($I907=0,0,IF(INDEX(DarlOhneTilgung,2)=1,0,IF(AND(INDEX(DarlTilgStart,2)&gt;0,$E907=INDEX(DarlTilgStart,2)),$J907*($H907+INDEX(DarlTilgung,2))/100/12,IF(AND($G907=0,$G906=1),MAX($K906,$J907*($H907+1)/100/12),$K906))))</f>
      </c>
      <c r="L907" s="43">
        <f>IF($I907=0,0,$J907*$H907/100/12)</f>
      </c>
      <c r="M907" s="43">
        <f>IF($I907=0,0,IF(OR(INDEX(DarlOhneTilgung,2)=1,AND(INDEX(DarlTilgStart,2)&gt;0,$E907&lt;INDEX(DarlTilgStart,2))),0,MIN(MAX(0,$K907-$L907),$J907)))</f>
      </c>
      <c r="N907" s="43">
        <f>IF($I907=0,0,MIN(SUMIFS(SondBetrag,SondDarl,2,SondDatum,"&gt;="&amp;$E907,SondDatum,"&lt;="&amp;EOMONTH($E907,0)),$J907-$M907))</f>
      </c>
      <c r="O907" s="43">
        <f>IF($I907=0,0,INDEX(DarlErsatzRate,2))</f>
      </c>
      <c r="P907" s="43">
        <f>IF($I907=0,0,$Q906*INDEX(DarlErsatzZins,2))</f>
      </c>
      <c r="Q907" s="43">
        <f>IF($I907=0,0,$Q906+$P907+$O907)</f>
      </c>
      <c r="R907" s="43">
        <f>IF($I907=0,0,$J907-$M907-$N907)</f>
      </c>
    </row>
    <row r="908">
      <c r="A908"/>
      <c r="B908">
        <v>2</v>
      </c>
      <c r="C908" s="43">
        <f>INDEX(DarlObj,2)</f>
      </c>
      <c r="D908">
        <v>425</v>
      </c>
      <c r="E908" s="51">
        <f>IF(INDEX(DarlBelegt,2)=0,0,EOMONTH(INDEX(DarlAuszahlung,2),424)+1)</f>
      </c>
      <c r="F908" s="43">
        <f>IF($E908=0,0,YEAR($E908))</f>
      </c>
      <c r="G908" s="43">
        <f>IF(INDEX(DarlBindung,2)="",1,IF($E908&lt;=INDEX(DarlBindung,2),1,0))</f>
      </c>
      <c r="H908" s="43">
        <f>IF($G908=1,INDEX(DarlSollzins,2),INDEX(DarlAnschluss,2))</f>
      </c>
      <c r="I908" s="43">
        <f>IF(INDEX(DarlBelegt,2)=0,0,IF(INDEX(DarlOhneTilgung,2)=1,IF(INDEX(DarlBindung,2)="",1,$G908),IF($J908&gt;0.005,1,0)))</f>
      </c>
      <c r="J908" s="43">
        <f>IF($I907=0,0,$R907)</f>
      </c>
      <c r="K908" s="43">
        <f>IF($I908=0,0,IF(INDEX(DarlOhneTilgung,2)=1,0,IF(AND(INDEX(DarlTilgStart,2)&gt;0,$E908=INDEX(DarlTilgStart,2)),$J908*($H908+INDEX(DarlTilgung,2))/100/12,IF(AND($G908=0,$G907=1),MAX($K907,$J908*($H908+1)/100/12),$K907))))</f>
      </c>
      <c r="L908" s="43">
        <f>IF($I908=0,0,$J908*$H908/100/12)</f>
      </c>
      <c r="M908" s="43">
        <f>IF($I908=0,0,IF(OR(INDEX(DarlOhneTilgung,2)=1,AND(INDEX(DarlTilgStart,2)&gt;0,$E908&lt;INDEX(DarlTilgStart,2))),0,MIN(MAX(0,$K908-$L908),$J908)))</f>
      </c>
      <c r="N908" s="43">
        <f>IF($I908=0,0,MIN(SUMIFS(SondBetrag,SondDarl,2,SondDatum,"&gt;="&amp;$E908,SondDatum,"&lt;="&amp;EOMONTH($E908,0)),$J908-$M908))</f>
      </c>
      <c r="O908" s="43">
        <f>IF($I908=0,0,INDEX(DarlErsatzRate,2))</f>
      </c>
      <c r="P908" s="43">
        <f>IF($I908=0,0,$Q907*INDEX(DarlErsatzZins,2))</f>
      </c>
      <c r="Q908" s="43">
        <f>IF($I908=0,0,$Q907+$P908+$O908)</f>
      </c>
      <c r="R908" s="43">
        <f>IF($I908=0,0,$J908-$M908-$N908)</f>
      </c>
    </row>
    <row r="909">
      <c r="A909"/>
      <c r="B909">
        <v>2</v>
      </c>
      <c r="C909" s="43">
        <f>INDEX(DarlObj,2)</f>
      </c>
      <c r="D909">
        <v>426</v>
      </c>
      <c r="E909" s="51">
        <f>IF(INDEX(DarlBelegt,2)=0,0,EOMONTH(INDEX(DarlAuszahlung,2),425)+1)</f>
      </c>
      <c r="F909" s="43">
        <f>IF($E909=0,0,YEAR($E909))</f>
      </c>
      <c r="G909" s="43">
        <f>IF(INDEX(DarlBindung,2)="",1,IF($E909&lt;=INDEX(DarlBindung,2),1,0))</f>
      </c>
      <c r="H909" s="43">
        <f>IF($G909=1,INDEX(DarlSollzins,2),INDEX(DarlAnschluss,2))</f>
      </c>
      <c r="I909" s="43">
        <f>IF(INDEX(DarlBelegt,2)=0,0,IF(INDEX(DarlOhneTilgung,2)=1,IF(INDEX(DarlBindung,2)="",1,$G909),IF($J909&gt;0.005,1,0)))</f>
      </c>
      <c r="J909" s="43">
        <f>IF($I908=0,0,$R908)</f>
      </c>
      <c r="K909" s="43">
        <f>IF($I909=0,0,IF(INDEX(DarlOhneTilgung,2)=1,0,IF(AND(INDEX(DarlTilgStart,2)&gt;0,$E909=INDEX(DarlTilgStart,2)),$J909*($H909+INDEX(DarlTilgung,2))/100/12,IF(AND($G909=0,$G908=1),MAX($K908,$J909*($H909+1)/100/12),$K908))))</f>
      </c>
      <c r="L909" s="43">
        <f>IF($I909=0,0,$J909*$H909/100/12)</f>
      </c>
      <c r="M909" s="43">
        <f>IF($I909=0,0,IF(OR(INDEX(DarlOhneTilgung,2)=1,AND(INDEX(DarlTilgStart,2)&gt;0,$E909&lt;INDEX(DarlTilgStart,2))),0,MIN(MAX(0,$K909-$L909),$J909)))</f>
      </c>
      <c r="N909" s="43">
        <f>IF($I909=0,0,MIN(SUMIFS(SondBetrag,SondDarl,2,SondDatum,"&gt;="&amp;$E909,SondDatum,"&lt;="&amp;EOMONTH($E909,0)),$J909-$M909))</f>
      </c>
      <c r="O909" s="43">
        <f>IF($I909=0,0,INDEX(DarlErsatzRate,2))</f>
      </c>
      <c r="P909" s="43">
        <f>IF($I909=0,0,$Q908*INDEX(DarlErsatzZins,2))</f>
      </c>
      <c r="Q909" s="43">
        <f>IF($I909=0,0,$Q908+$P909+$O909)</f>
      </c>
      <c r="R909" s="43">
        <f>IF($I909=0,0,$J909-$M909-$N909)</f>
      </c>
    </row>
    <row r="910">
      <c r="A910"/>
      <c r="B910">
        <v>2</v>
      </c>
      <c r="C910" s="43">
        <f>INDEX(DarlObj,2)</f>
      </c>
      <c r="D910">
        <v>427</v>
      </c>
      <c r="E910" s="51">
        <f>IF(INDEX(DarlBelegt,2)=0,0,EOMONTH(INDEX(DarlAuszahlung,2),426)+1)</f>
      </c>
      <c r="F910" s="43">
        <f>IF($E910=0,0,YEAR($E910))</f>
      </c>
      <c r="G910" s="43">
        <f>IF(INDEX(DarlBindung,2)="",1,IF($E910&lt;=INDEX(DarlBindung,2),1,0))</f>
      </c>
      <c r="H910" s="43">
        <f>IF($G910=1,INDEX(DarlSollzins,2),INDEX(DarlAnschluss,2))</f>
      </c>
      <c r="I910" s="43">
        <f>IF(INDEX(DarlBelegt,2)=0,0,IF(INDEX(DarlOhneTilgung,2)=1,IF(INDEX(DarlBindung,2)="",1,$G910),IF($J910&gt;0.005,1,0)))</f>
      </c>
      <c r="J910" s="43">
        <f>IF($I909=0,0,$R909)</f>
      </c>
      <c r="K910" s="43">
        <f>IF($I910=0,0,IF(INDEX(DarlOhneTilgung,2)=1,0,IF(AND(INDEX(DarlTilgStart,2)&gt;0,$E910=INDEX(DarlTilgStart,2)),$J910*($H910+INDEX(DarlTilgung,2))/100/12,IF(AND($G910=0,$G909=1),MAX($K909,$J910*($H910+1)/100/12),$K909))))</f>
      </c>
      <c r="L910" s="43">
        <f>IF($I910=0,0,$J910*$H910/100/12)</f>
      </c>
      <c r="M910" s="43">
        <f>IF($I910=0,0,IF(OR(INDEX(DarlOhneTilgung,2)=1,AND(INDEX(DarlTilgStart,2)&gt;0,$E910&lt;INDEX(DarlTilgStart,2))),0,MIN(MAX(0,$K910-$L910),$J910)))</f>
      </c>
      <c r="N910" s="43">
        <f>IF($I910=0,0,MIN(SUMIFS(SondBetrag,SondDarl,2,SondDatum,"&gt;="&amp;$E910,SondDatum,"&lt;="&amp;EOMONTH($E910,0)),$J910-$M910))</f>
      </c>
      <c r="O910" s="43">
        <f>IF($I910=0,0,INDEX(DarlErsatzRate,2))</f>
      </c>
      <c r="P910" s="43">
        <f>IF($I910=0,0,$Q909*INDEX(DarlErsatzZins,2))</f>
      </c>
      <c r="Q910" s="43">
        <f>IF($I910=0,0,$Q909+$P910+$O910)</f>
      </c>
      <c r="R910" s="43">
        <f>IF($I910=0,0,$J910-$M910-$N910)</f>
      </c>
    </row>
    <row r="911">
      <c r="A911"/>
      <c r="B911">
        <v>2</v>
      </c>
      <c r="C911" s="43">
        <f>INDEX(DarlObj,2)</f>
      </c>
      <c r="D911">
        <v>428</v>
      </c>
      <c r="E911" s="51">
        <f>IF(INDEX(DarlBelegt,2)=0,0,EOMONTH(INDEX(DarlAuszahlung,2),427)+1)</f>
      </c>
      <c r="F911" s="43">
        <f>IF($E911=0,0,YEAR($E911))</f>
      </c>
      <c r="G911" s="43">
        <f>IF(INDEX(DarlBindung,2)="",1,IF($E911&lt;=INDEX(DarlBindung,2),1,0))</f>
      </c>
      <c r="H911" s="43">
        <f>IF($G911=1,INDEX(DarlSollzins,2),INDEX(DarlAnschluss,2))</f>
      </c>
      <c r="I911" s="43">
        <f>IF(INDEX(DarlBelegt,2)=0,0,IF(INDEX(DarlOhneTilgung,2)=1,IF(INDEX(DarlBindung,2)="",1,$G911),IF($J911&gt;0.005,1,0)))</f>
      </c>
      <c r="J911" s="43">
        <f>IF($I910=0,0,$R910)</f>
      </c>
      <c r="K911" s="43">
        <f>IF($I911=0,0,IF(INDEX(DarlOhneTilgung,2)=1,0,IF(AND(INDEX(DarlTilgStart,2)&gt;0,$E911=INDEX(DarlTilgStart,2)),$J911*($H911+INDEX(DarlTilgung,2))/100/12,IF(AND($G911=0,$G910=1),MAX($K910,$J911*($H911+1)/100/12),$K910))))</f>
      </c>
      <c r="L911" s="43">
        <f>IF($I911=0,0,$J911*$H911/100/12)</f>
      </c>
      <c r="M911" s="43">
        <f>IF($I911=0,0,IF(OR(INDEX(DarlOhneTilgung,2)=1,AND(INDEX(DarlTilgStart,2)&gt;0,$E911&lt;INDEX(DarlTilgStart,2))),0,MIN(MAX(0,$K911-$L911),$J911)))</f>
      </c>
      <c r="N911" s="43">
        <f>IF($I911=0,0,MIN(SUMIFS(SondBetrag,SondDarl,2,SondDatum,"&gt;="&amp;$E911,SondDatum,"&lt;="&amp;EOMONTH($E911,0)),$J911-$M911))</f>
      </c>
      <c r="O911" s="43">
        <f>IF($I911=0,0,INDEX(DarlErsatzRate,2))</f>
      </c>
      <c r="P911" s="43">
        <f>IF($I911=0,0,$Q910*INDEX(DarlErsatzZins,2))</f>
      </c>
      <c r="Q911" s="43">
        <f>IF($I911=0,0,$Q910+$P911+$O911)</f>
      </c>
      <c r="R911" s="43">
        <f>IF($I911=0,0,$J911-$M911-$N911)</f>
      </c>
    </row>
    <row r="912">
      <c r="A912"/>
      <c r="B912">
        <v>2</v>
      </c>
      <c r="C912" s="43">
        <f>INDEX(DarlObj,2)</f>
      </c>
      <c r="D912">
        <v>429</v>
      </c>
      <c r="E912" s="51">
        <f>IF(INDEX(DarlBelegt,2)=0,0,EOMONTH(INDEX(DarlAuszahlung,2),428)+1)</f>
      </c>
      <c r="F912" s="43">
        <f>IF($E912=0,0,YEAR($E912))</f>
      </c>
      <c r="G912" s="43">
        <f>IF(INDEX(DarlBindung,2)="",1,IF($E912&lt;=INDEX(DarlBindung,2),1,0))</f>
      </c>
      <c r="H912" s="43">
        <f>IF($G912=1,INDEX(DarlSollzins,2),INDEX(DarlAnschluss,2))</f>
      </c>
      <c r="I912" s="43">
        <f>IF(INDEX(DarlBelegt,2)=0,0,IF(INDEX(DarlOhneTilgung,2)=1,IF(INDEX(DarlBindung,2)="",1,$G912),IF($J912&gt;0.005,1,0)))</f>
      </c>
      <c r="J912" s="43">
        <f>IF($I911=0,0,$R911)</f>
      </c>
      <c r="K912" s="43">
        <f>IF($I912=0,0,IF(INDEX(DarlOhneTilgung,2)=1,0,IF(AND(INDEX(DarlTilgStart,2)&gt;0,$E912=INDEX(DarlTilgStart,2)),$J912*($H912+INDEX(DarlTilgung,2))/100/12,IF(AND($G912=0,$G911=1),MAX($K911,$J912*($H912+1)/100/12),$K911))))</f>
      </c>
      <c r="L912" s="43">
        <f>IF($I912=0,0,$J912*$H912/100/12)</f>
      </c>
      <c r="M912" s="43">
        <f>IF($I912=0,0,IF(OR(INDEX(DarlOhneTilgung,2)=1,AND(INDEX(DarlTilgStart,2)&gt;0,$E912&lt;INDEX(DarlTilgStart,2))),0,MIN(MAX(0,$K912-$L912),$J912)))</f>
      </c>
      <c r="N912" s="43">
        <f>IF($I912=0,0,MIN(SUMIFS(SondBetrag,SondDarl,2,SondDatum,"&gt;="&amp;$E912,SondDatum,"&lt;="&amp;EOMONTH($E912,0)),$J912-$M912))</f>
      </c>
      <c r="O912" s="43">
        <f>IF($I912=0,0,INDEX(DarlErsatzRate,2))</f>
      </c>
      <c r="P912" s="43">
        <f>IF($I912=0,0,$Q911*INDEX(DarlErsatzZins,2))</f>
      </c>
      <c r="Q912" s="43">
        <f>IF($I912=0,0,$Q911+$P912+$O912)</f>
      </c>
      <c r="R912" s="43">
        <f>IF($I912=0,0,$J912-$M912-$N912)</f>
      </c>
    </row>
    <row r="913">
      <c r="A913"/>
      <c r="B913">
        <v>2</v>
      </c>
      <c r="C913" s="43">
        <f>INDEX(DarlObj,2)</f>
      </c>
      <c r="D913">
        <v>430</v>
      </c>
      <c r="E913" s="51">
        <f>IF(INDEX(DarlBelegt,2)=0,0,EOMONTH(INDEX(DarlAuszahlung,2),429)+1)</f>
      </c>
      <c r="F913" s="43">
        <f>IF($E913=0,0,YEAR($E913))</f>
      </c>
      <c r="G913" s="43">
        <f>IF(INDEX(DarlBindung,2)="",1,IF($E913&lt;=INDEX(DarlBindung,2),1,0))</f>
      </c>
      <c r="H913" s="43">
        <f>IF($G913=1,INDEX(DarlSollzins,2),INDEX(DarlAnschluss,2))</f>
      </c>
      <c r="I913" s="43">
        <f>IF(INDEX(DarlBelegt,2)=0,0,IF(INDEX(DarlOhneTilgung,2)=1,IF(INDEX(DarlBindung,2)="",1,$G913),IF($J913&gt;0.005,1,0)))</f>
      </c>
      <c r="J913" s="43">
        <f>IF($I912=0,0,$R912)</f>
      </c>
      <c r="K913" s="43">
        <f>IF($I913=0,0,IF(INDEX(DarlOhneTilgung,2)=1,0,IF(AND(INDEX(DarlTilgStart,2)&gt;0,$E913=INDEX(DarlTilgStart,2)),$J913*($H913+INDEX(DarlTilgung,2))/100/12,IF(AND($G913=0,$G912=1),MAX($K912,$J913*($H913+1)/100/12),$K912))))</f>
      </c>
      <c r="L913" s="43">
        <f>IF($I913=0,0,$J913*$H913/100/12)</f>
      </c>
      <c r="M913" s="43">
        <f>IF($I913=0,0,IF(OR(INDEX(DarlOhneTilgung,2)=1,AND(INDEX(DarlTilgStart,2)&gt;0,$E913&lt;INDEX(DarlTilgStart,2))),0,MIN(MAX(0,$K913-$L913),$J913)))</f>
      </c>
      <c r="N913" s="43">
        <f>IF($I913=0,0,MIN(SUMIFS(SondBetrag,SondDarl,2,SondDatum,"&gt;="&amp;$E913,SondDatum,"&lt;="&amp;EOMONTH($E913,0)),$J913-$M913))</f>
      </c>
      <c r="O913" s="43">
        <f>IF($I913=0,0,INDEX(DarlErsatzRate,2))</f>
      </c>
      <c r="P913" s="43">
        <f>IF($I913=0,0,$Q912*INDEX(DarlErsatzZins,2))</f>
      </c>
      <c r="Q913" s="43">
        <f>IF($I913=0,0,$Q912+$P913+$O913)</f>
      </c>
      <c r="R913" s="43">
        <f>IF($I913=0,0,$J913-$M913-$N913)</f>
      </c>
    </row>
    <row r="914">
      <c r="A914"/>
      <c r="B914">
        <v>2</v>
      </c>
      <c r="C914" s="43">
        <f>INDEX(DarlObj,2)</f>
      </c>
      <c r="D914">
        <v>431</v>
      </c>
      <c r="E914" s="51">
        <f>IF(INDEX(DarlBelegt,2)=0,0,EOMONTH(INDEX(DarlAuszahlung,2),430)+1)</f>
      </c>
      <c r="F914" s="43">
        <f>IF($E914=0,0,YEAR($E914))</f>
      </c>
      <c r="G914" s="43">
        <f>IF(INDEX(DarlBindung,2)="",1,IF($E914&lt;=INDEX(DarlBindung,2),1,0))</f>
      </c>
      <c r="H914" s="43">
        <f>IF($G914=1,INDEX(DarlSollzins,2),INDEX(DarlAnschluss,2))</f>
      </c>
      <c r="I914" s="43">
        <f>IF(INDEX(DarlBelegt,2)=0,0,IF(INDEX(DarlOhneTilgung,2)=1,IF(INDEX(DarlBindung,2)="",1,$G914),IF($J914&gt;0.005,1,0)))</f>
      </c>
      <c r="J914" s="43">
        <f>IF($I913=0,0,$R913)</f>
      </c>
      <c r="K914" s="43">
        <f>IF($I914=0,0,IF(INDEX(DarlOhneTilgung,2)=1,0,IF(AND(INDEX(DarlTilgStart,2)&gt;0,$E914=INDEX(DarlTilgStart,2)),$J914*($H914+INDEX(DarlTilgung,2))/100/12,IF(AND($G914=0,$G913=1),MAX($K913,$J914*($H914+1)/100/12),$K913))))</f>
      </c>
      <c r="L914" s="43">
        <f>IF($I914=0,0,$J914*$H914/100/12)</f>
      </c>
      <c r="M914" s="43">
        <f>IF($I914=0,0,IF(OR(INDEX(DarlOhneTilgung,2)=1,AND(INDEX(DarlTilgStart,2)&gt;0,$E914&lt;INDEX(DarlTilgStart,2))),0,MIN(MAX(0,$K914-$L914),$J914)))</f>
      </c>
      <c r="N914" s="43">
        <f>IF($I914=0,0,MIN(SUMIFS(SondBetrag,SondDarl,2,SondDatum,"&gt;="&amp;$E914,SondDatum,"&lt;="&amp;EOMONTH($E914,0)),$J914-$M914))</f>
      </c>
      <c r="O914" s="43">
        <f>IF($I914=0,0,INDEX(DarlErsatzRate,2))</f>
      </c>
      <c r="P914" s="43">
        <f>IF($I914=0,0,$Q913*INDEX(DarlErsatzZins,2))</f>
      </c>
      <c r="Q914" s="43">
        <f>IF($I914=0,0,$Q913+$P914+$O914)</f>
      </c>
      <c r="R914" s="43">
        <f>IF($I914=0,0,$J914-$M914-$N914)</f>
      </c>
    </row>
    <row r="915">
      <c r="A915"/>
      <c r="B915">
        <v>2</v>
      </c>
      <c r="C915" s="43">
        <f>INDEX(DarlObj,2)</f>
      </c>
      <c r="D915">
        <v>432</v>
      </c>
      <c r="E915" s="51">
        <f>IF(INDEX(DarlBelegt,2)=0,0,EOMONTH(INDEX(DarlAuszahlung,2),431)+1)</f>
      </c>
      <c r="F915" s="43">
        <f>IF($E915=0,0,YEAR($E915))</f>
      </c>
      <c r="G915" s="43">
        <f>IF(INDEX(DarlBindung,2)="",1,IF($E915&lt;=INDEX(DarlBindung,2),1,0))</f>
      </c>
      <c r="H915" s="43">
        <f>IF($G915=1,INDEX(DarlSollzins,2),INDEX(DarlAnschluss,2))</f>
      </c>
      <c r="I915" s="43">
        <f>IF(INDEX(DarlBelegt,2)=0,0,IF(INDEX(DarlOhneTilgung,2)=1,IF(INDEX(DarlBindung,2)="",1,$G915),IF($J915&gt;0.005,1,0)))</f>
      </c>
      <c r="J915" s="43">
        <f>IF($I914=0,0,$R914)</f>
      </c>
      <c r="K915" s="43">
        <f>IF($I915=0,0,IF(INDEX(DarlOhneTilgung,2)=1,0,IF(AND(INDEX(DarlTilgStart,2)&gt;0,$E915=INDEX(DarlTilgStart,2)),$J915*($H915+INDEX(DarlTilgung,2))/100/12,IF(AND($G915=0,$G914=1),MAX($K914,$J915*($H915+1)/100/12),$K914))))</f>
      </c>
      <c r="L915" s="43">
        <f>IF($I915=0,0,$J915*$H915/100/12)</f>
      </c>
      <c r="M915" s="43">
        <f>IF($I915=0,0,IF(OR(INDEX(DarlOhneTilgung,2)=1,AND(INDEX(DarlTilgStart,2)&gt;0,$E915&lt;INDEX(DarlTilgStart,2))),0,MIN(MAX(0,$K915-$L915),$J915)))</f>
      </c>
      <c r="N915" s="43">
        <f>IF($I915=0,0,MIN(SUMIFS(SondBetrag,SondDarl,2,SondDatum,"&gt;="&amp;$E915,SondDatum,"&lt;="&amp;EOMONTH($E915,0)),$J915-$M915))</f>
      </c>
      <c r="O915" s="43">
        <f>IF($I915=0,0,INDEX(DarlErsatzRate,2))</f>
      </c>
      <c r="P915" s="43">
        <f>IF($I915=0,0,$Q914*INDEX(DarlErsatzZins,2))</f>
      </c>
      <c r="Q915" s="43">
        <f>IF($I915=0,0,$Q914+$P915+$O915)</f>
      </c>
      <c r="R915" s="43">
        <f>IF($I915=0,0,$J915-$M915-$N915)</f>
      </c>
    </row>
    <row r="916">
      <c r="A916"/>
      <c r="B916">
        <v>2</v>
      </c>
      <c r="C916" s="43">
        <f>INDEX(DarlObj,2)</f>
      </c>
      <c r="D916">
        <v>433</v>
      </c>
      <c r="E916" s="51">
        <f>IF(INDEX(DarlBelegt,2)=0,0,EOMONTH(INDEX(DarlAuszahlung,2),432)+1)</f>
      </c>
      <c r="F916" s="43">
        <f>IF($E916=0,0,YEAR($E916))</f>
      </c>
      <c r="G916" s="43">
        <f>IF(INDEX(DarlBindung,2)="",1,IF($E916&lt;=INDEX(DarlBindung,2),1,0))</f>
      </c>
      <c r="H916" s="43">
        <f>IF($G916=1,INDEX(DarlSollzins,2),INDEX(DarlAnschluss,2))</f>
      </c>
      <c r="I916" s="43">
        <f>IF(INDEX(DarlBelegt,2)=0,0,IF(INDEX(DarlOhneTilgung,2)=1,IF(INDEX(DarlBindung,2)="",1,$G916),IF($J916&gt;0.005,1,0)))</f>
      </c>
      <c r="J916" s="43">
        <f>IF($I915=0,0,$R915)</f>
      </c>
      <c r="K916" s="43">
        <f>IF($I916=0,0,IF(INDEX(DarlOhneTilgung,2)=1,0,IF(AND(INDEX(DarlTilgStart,2)&gt;0,$E916=INDEX(DarlTilgStart,2)),$J916*($H916+INDEX(DarlTilgung,2))/100/12,IF(AND($G916=0,$G915=1),MAX($K915,$J916*($H916+1)/100/12),$K915))))</f>
      </c>
      <c r="L916" s="43">
        <f>IF($I916=0,0,$J916*$H916/100/12)</f>
      </c>
      <c r="M916" s="43">
        <f>IF($I916=0,0,IF(OR(INDEX(DarlOhneTilgung,2)=1,AND(INDEX(DarlTilgStart,2)&gt;0,$E916&lt;INDEX(DarlTilgStart,2))),0,MIN(MAX(0,$K916-$L916),$J916)))</f>
      </c>
      <c r="N916" s="43">
        <f>IF($I916=0,0,MIN(SUMIFS(SondBetrag,SondDarl,2,SondDatum,"&gt;="&amp;$E916,SondDatum,"&lt;="&amp;EOMONTH($E916,0)),$J916-$M916))</f>
      </c>
      <c r="O916" s="43">
        <f>IF($I916=0,0,INDEX(DarlErsatzRate,2))</f>
      </c>
      <c r="P916" s="43">
        <f>IF($I916=0,0,$Q915*INDEX(DarlErsatzZins,2))</f>
      </c>
      <c r="Q916" s="43">
        <f>IF($I916=0,0,$Q915+$P916+$O916)</f>
      </c>
      <c r="R916" s="43">
        <f>IF($I916=0,0,$J916-$M916-$N916)</f>
      </c>
    </row>
    <row r="917">
      <c r="A917"/>
      <c r="B917">
        <v>2</v>
      </c>
      <c r="C917" s="43">
        <f>INDEX(DarlObj,2)</f>
      </c>
      <c r="D917">
        <v>434</v>
      </c>
      <c r="E917" s="51">
        <f>IF(INDEX(DarlBelegt,2)=0,0,EOMONTH(INDEX(DarlAuszahlung,2),433)+1)</f>
      </c>
      <c r="F917" s="43">
        <f>IF($E917=0,0,YEAR($E917))</f>
      </c>
      <c r="G917" s="43">
        <f>IF(INDEX(DarlBindung,2)="",1,IF($E917&lt;=INDEX(DarlBindung,2),1,0))</f>
      </c>
      <c r="H917" s="43">
        <f>IF($G917=1,INDEX(DarlSollzins,2),INDEX(DarlAnschluss,2))</f>
      </c>
      <c r="I917" s="43">
        <f>IF(INDEX(DarlBelegt,2)=0,0,IF(INDEX(DarlOhneTilgung,2)=1,IF(INDEX(DarlBindung,2)="",1,$G917),IF($J917&gt;0.005,1,0)))</f>
      </c>
      <c r="J917" s="43">
        <f>IF($I916=0,0,$R916)</f>
      </c>
      <c r="K917" s="43">
        <f>IF($I917=0,0,IF(INDEX(DarlOhneTilgung,2)=1,0,IF(AND(INDEX(DarlTilgStart,2)&gt;0,$E917=INDEX(DarlTilgStart,2)),$J917*($H917+INDEX(DarlTilgung,2))/100/12,IF(AND($G917=0,$G916=1),MAX($K916,$J917*($H917+1)/100/12),$K916))))</f>
      </c>
      <c r="L917" s="43">
        <f>IF($I917=0,0,$J917*$H917/100/12)</f>
      </c>
      <c r="M917" s="43">
        <f>IF($I917=0,0,IF(OR(INDEX(DarlOhneTilgung,2)=1,AND(INDEX(DarlTilgStart,2)&gt;0,$E917&lt;INDEX(DarlTilgStart,2))),0,MIN(MAX(0,$K917-$L917),$J917)))</f>
      </c>
      <c r="N917" s="43">
        <f>IF($I917=0,0,MIN(SUMIFS(SondBetrag,SondDarl,2,SondDatum,"&gt;="&amp;$E917,SondDatum,"&lt;="&amp;EOMONTH($E917,0)),$J917-$M917))</f>
      </c>
      <c r="O917" s="43">
        <f>IF($I917=0,0,INDEX(DarlErsatzRate,2))</f>
      </c>
      <c r="P917" s="43">
        <f>IF($I917=0,0,$Q916*INDEX(DarlErsatzZins,2))</f>
      </c>
      <c r="Q917" s="43">
        <f>IF($I917=0,0,$Q916+$P917+$O917)</f>
      </c>
      <c r="R917" s="43">
        <f>IF($I917=0,0,$J917-$M917-$N917)</f>
      </c>
    </row>
    <row r="918">
      <c r="A918"/>
      <c r="B918">
        <v>2</v>
      </c>
      <c r="C918" s="43">
        <f>INDEX(DarlObj,2)</f>
      </c>
      <c r="D918">
        <v>435</v>
      </c>
      <c r="E918" s="51">
        <f>IF(INDEX(DarlBelegt,2)=0,0,EOMONTH(INDEX(DarlAuszahlung,2),434)+1)</f>
      </c>
      <c r="F918" s="43">
        <f>IF($E918=0,0,YEAR($E918))</f>
      </c>
      <c r="G918" s="43">
        <f>IF(INDEX(DarlBindung,2)="",1,IF($E918&lt;=INDEX(DarlBindung,2),1,0))</f>
      </c>
      <c r="H918" s="43">
        <f>IF($G918=1,INDEX(DarlSollzins,2),INDEX(DarlAnschluss,2))</f>
      </c>
      <c r="I918" s="43">
        <f>IF(INDEX(DarlBelegt,2)=0,0,IF(INDEX(DarlOhneTilgung,2)=1,IF(INDEX(DarlBindung,2)="",1,$G918),IF($J918&gt;0.005,1,0)))</f>
      </c>
      <c r="J918" s="43">
        <f>IF($I917=0,0,$R917)</f>
      </c>
      <c r="K918" s="43">
        <f>IF($I918=0,0,IF(INDEX(DarlOhneTilgung,2)=1,0,IF(AND(INDEX(DarlTilgStart,2)&gt;0,$E918=INDEX(DarlTilgStart,2)),$J918*($H918+INDEX(DarlTilgung,2))/100/12,IF(AND($G918=0,$G917=1),MAX($K917,$J918*($H918+1)/100/12),$K917))))</f>
      </c>
      <c r="L918" s="43">
        <f>IF($I918=0,0,$J918*$H918/100/12)</f>
      </c>
      <c r="M918" s="43">
        <f>IF($I918=0,0,IF(OR(INDEX(DarlOhneTilgung,2)=1,AND(INDEX(DarlTilgStart,2)&gt;0,$E918&lt;INDEX(DarlTilgStart,2))),0,MIN(MAX(0,$K918-$L918),$J918)))</f>
      </c>
      <c r="N918" s="43">
        <f>IF($I918=0,0,MIN(SUMIFS(SondBetrag,SondDarl,2,SondDatum,"&gt;="&amp;$E918,SondDatum,"&lt;="&amp;EOMONTH($E918,0)),$J918-$M918))</f>
      </c>
      <c r="O918" s="43">
        <f>IF($I918=0,0,INDEX(DarlErsatzRate,2))</f>
      </c>
      <c r="P918" s="43">
        <f>IF($I918=0,0,$Q917*INDEX(DarlErsatzZins,2))</f>
      </c>
      <c r="Q918" s="43">
        <f>IF($I918=0,0,$Q917+$P918+$O918)</f>
      </c>
      <c r="R918" s="43">
        <f>IF($I918=0,0,$J918-$M918-$N918)</f>
      </c>
    </row>
    <row r="919">
      <c r="A919"/>
      <c r="B919">
        <v>2</v>
      </c>
      <c r="C919" s="43">
        <f>INDEX(DarlObj,2)</f>
      </c>
      <c r="D919">
        <v>436</v>
      </c>
      <c r="E919" s="51">
        <f>IF(INDEX(DarlBelegt,2)=0,0,EOMONTH(INDEX(DarlAuszahlung,2),435)+1)</f>
      </c>
      <c r="F919" s="43">
        <f>IF($E919=0,0,YEAR($E919))</f>
      </c>
      <c r="G919" s="43">
        <f>IF(INDEX(DarlBindung,2)="",1,IF($E919&lt;=INDEX(DarlBindung,2),1,0))</f>
      </c>
      <c r="H919" s="43">
        <f>IF($G919=1,INDEX(DarlSollzins,2),INDEX(DarlAnschluss,2))</f>
      </c>
      <c r="I919" s="43">
        <f>IF(INDEX(DarlBelegt,2)=0,0,IF(INDEX(DarlOhneTilgung,2)=1,IF(INDEX(DarlBindung,2)="",1,$G919),IF($J919&gt;0.005,1,0)))</f>
      </c>
      <c r="J919" s="43">
        <f>IF($I918=0,0,$R918)</f>
      </c>
      <c r="K919" s="43">
        <f>IF($I919=0,0,IF(INDEX(DarlOhneTilgung,2)=1,0,IF(AND(INDEX(DarlTilgStart,2)&gt;0,$E919=INDEX(DarlTilgStart,2)),$J919*($H919+INDEX(DarlTilgung,2))/100/12,IF(AND($G919=0,$G918=1),MAX($K918,$J919*($H919+1)/100/12),$K918))))</f>
      </c>
      <c r="L919" s="43">
        <f>IF($I919=0,0,$J919*$H919/100/12)</f>
      </c>
      <c r="M919" s="43">
        <f>IF($I919=0,0,IF(OR(INDEX(DarlOhneTilgung,2)=1,AND(INDEX(DarlTilgStart,2)&gt;0,$E919&lt;INDEX(DarlTilgStart,2))),0,MIN(MAX(0,$K919-$L919),$J919)))</f>
      </c>
      <c r="N919" s="43">
        <f>IF($I919=0,0,MIN(SUMIFS(SondBetrag,SondDarl,2,SondDatum,"&gt;="&amp;$E919,SondDatum,"&lt;="&amp;EOMONTH($E919,0)),$J919-$M919))</f>
      </c>
      <c r="O919" s="43">
        <f>IF($I919=0,0,INDEX(DarlErsatzRate,2))</f>
      </c>
      <c r="P919" s="43">
        <f>IF($I919=0,0,$Q918*INDEX(DarlErsatzZins,2))</f>
      </c>
      <c r="Q919" s="43">
        <f>IF($I919=0,0,$Q918+$P919+$O919)</f>
      </c>
      <c r="R919" s="43">
        <f>IF($I919=0,0,$J919-$M919-$N919)</f>
      </c>
    </row>
    <row r="920">
      <c r="A920"/>
      <c r="B920">
        <v>2</v>
      </c>
      <c r="C920" s="43">
        <f>INDEX(DarlObj,2)</f>
      </c>
      <c r="D920">
        <v>437</v>
      </c>
      <c r="E920" s="51">
        <f>IF(INDEX(DarlBelegt,2)=0,0,EOMONTH(INDEX(DarlAuszahlung,2),436)+1)</f>
      </c>
      <c r="F920" s="43">
        <f>IF($E920=0,0,YEAR($E920))</f>
      </c>
      <c r="G920" s="43">
        <f>IF(INDEX(DarlBindung,2)="",1,IF($E920&lt;=INDEX(DarlBindung,2),1,0))</f>
      </c>
      <c r="H920" s="43">
        <f>IF($G920=1,INDEX(DarlSollzins,2),INDEX(DarlAnschluss,2))</f>
      </c>
      <c r="I920" s="43">
        <f>IF(INDEX(DarlBelegt,2)=0,0,IF(INDEX(DarlOhneTilgung,2)=1,IF(INDEX(DarlBindung,2)="",1,$G920),IF($J920&gt;0.005,1,0)))</f>
      </c>
      <c r="J920" s="43">
        <f>IF($I919=0,0,$R919)</f>
      </c>
      <c r="K920" s="43">
        <f>IF($I920=0,0,IF(INDEX(DarlOhneTilgung,2)=1,0,IF(AND(INDEX(DarlTilgStart,2)&gt;0,$E920=INDEX(DarlTilgStart,2)),$J920*($H920+INDEX(DarlTilgung,2))/100/12,IF(AND($G920=0,$G919=1),MAX($K919,$J920*($H920+1)/100/12),$K919))))</f>
      </c>
      <c r="L920" s="43">
        <f>IF($I920=0,0,$J920*$H920/100/12)</f>
      </c>
      <c r="M920" s="43">
        <f>IF($I920=0,0,IF(OR(INDEX(DarlOhneTilgung,2)=1,AND(INDEX(DarlTilgStart,2)&gt;0,$E920&lt;INDEX(DarlTilgStart,2))),0,MIN(MAX(0,$K920-$L920),$J920)))</f>
      </c>
      <c r="N920" s="43">
        <f>IF($I920=0,0,MIN(SUMIFS(SondBetrag,SondDarl,2,SondDatum,"&gt;="&amp;$E920,SondDatum,"&lt;="&amp;EOMONTH($E920,0)),$J920-$M920))</f>
      </c>
      <c r="O920" s="43">
        <f>IF($I920=0,0,INDEX(DarlErsatzRate,2))</f>
      </c>
      <c r="P920" s="43">
        <f>IF($I920=0,0,$Q919*INDEX(DarlErsatzZins,2))</f>
      </c>
      <c r="Q920" s="43">
        <f>IF($I920=0,0,$Q919+$P920+$O920)</f>
      </c>
      <c r="R920" s="43">
        <f>IF($I920=0,0,$J920-$M920-$N920)</f>
      </c>
    </row>
    <row r="921">
      <c r="A921"/>
      <c r="B921">
        <v>2</v>
      </c>
      <c r="C921" s="43">
        <f>INDEX(DarlObj,2)</f>
      </c>
      <c r="D921">
        <v>438</v>
      </c>
      <c r="E921" s="51">
        <f>IF(INDEX(DarlBelegt,2)=0,0,EOMONTH(INDEX(DarlAuszahlung,2),437)+1)</f>
      </c>
      <c r="F921" s="43">
        <f>IF($E921=0,0,YEAR($E921))</f>
      </c>
      <c r="G921" s="43">
        <f>IF(INDEX(DarlBindung,2)="",1,IF($E921&lt;=INDEX(DarlBindung,2),1,0))</f>
      </c>
      <c r="H921" s="43">
        <f>IF($G921=1,INDEX(DarlSollzins,2),INDEX(DarlAnschluss,2))</f>
      </c>
      <c r="I921" s="43">
        <f>IF(INDEX(DarlBelegt,2)=0,0,IF(INDEX(DarlOhneTilgung,2)=1,IF(INDEX(DarlBindung,2)="",1,$G921),IF($J921&gt;0.005,1,0)))</f>
      </c>
      <c r="J921" s="43">
        <f>IF($I920=0,0,$R920)</f>
      </c>
      <c r="K921" s="43">
        <f>IF($I921=0,0,IF(INDEX(DarlOhneTilgung,2)=1,0,IF(AND(INDEX(DarlTilgStart,2)&gt;0,$E921=INDEX(DarlTilgStart,2)),$J921*($H921+INDEX(DarlTilgung,2))/100/12,IF(AND($G921=0,$G920=1),MAX($K920,$J921*($H921+1)/100/12),$K920))))</f>
      </c>
      <c r="L921" s="43">
        <f>IF($I921=0,0,$J921*$H921/100/12)</f>
      </c>
      <c r="M921" s="43">
        <f>IF($I921=0,0,IF(OR(INDEX(DarlOhneTilgung,2)=1,AND(INDEX(DarlTilgStart,2)&gt;0,$E921&lt;INDEX(DarlTilgStart,2))),0,MIN(MAX(0,$K921-$L921),$J921)))</f>
      </c>
      <c r="N921" s="43">
        <f>IF($I921=0,0,MIN(SUMIFS(SondBetrag,SondDarl,2,SondDatum,"&gt;="&amp;$E921,SondDatum,"&lt;="&amp;EOMONTH($E921,0)),$J921-$M921))</f>
      </c>
      <c r="O921" s="43">
        <f>IF($I921=0,0,INDEX(DarlErsatzRate,2))</f>
      </c>
      <c r="P921" s="43">
        <f>IF($I921=0,0,$Q920*INDEX(DarlErsatzZins,2))</f>
      </c>
      <c r="Q921" s="43">
        <f>IF($I921=0,0,$Q920+$P921+$O921)</f>
      </c>
      <c r="R921" s="43">
        <f>IF($I921=0,0,$J921-$M921-$N921)</f>
      </c>
    </row>
    <row r="922">
      <c r="A922"/>
      <c r="B922">
        <v>2</v>
      </c>
      <c r="C922" s="43">
        <f>INDEX(DarlObj,2)</f>
      </c>
      <c r="D922">
        <v>439</v>
      </c>
      <c r="E922" s="51">
        <f>IF(INDEX(DarlBelegt,2)=0,0,EOMONTH(INDEX(DarlAuszahlung,2),438)+1)</f>
      </c>
      <c r="F922" s="43">
        <f>IF($E922=0,0,YEAR($E922))</f>
      </c>
      <c r="G922" s="43">
        <f>IF(INDEX(DarlBindung,2)="",1,IF($E922&lt;=INDEX(DarlBindung,2),1,0))</f>
      </c>
      <c r="H922" s="43">
        <f>IF($G922=1,INDEX(DarlSollzins,2),INDEX(DarlAnschluss,2))</f>
      </c>
      <c r="I922" s="43">
        <f>IF(INDEX(DarlBelegt,2)=0,0,IF(INDEX(DarlOhneTilgung,2)=1,IF(INDEX(DarlBindung,2)="",1,$G922),IF($J922&gt;0.005,1,0)))</f>
      </c>
      <c r="J922" s="43">
        <f>IF($I921=0,0,$R921)</f>
      </c>
      <c r="K922" s="43">
        <f>IF($I922=0,0,IF(INDEX(DarlOhneTilgung,2)=1,0,IF(AND(INDEX(DarlTilgStart,2)&gt;0,$E922=INDEX(DarlTilgStart,2)),$J922*($H922+INDEX(DarlTilgung,2))/100/12,IF(AND($G922=0,$G921=1),MAX($K921,$J922*($H922+1)/100/12),$K921))))</f>
      </c>
      <c r="L922" s="43">
        <f>IF($I922=0,0,$J922*$H922/100/12)</f>
      </c>
      <c r="M922" s="43">
        <f>IF($I922=0,0,IF(OR(INDEX(DarlOhneTilgung,2)=1,AND(INDEX(DarlTilgStart,2)&gt;0,$E922&lt;INDEX(DarlTilgStart,2))),0,MIN(MAX(0,$K922-$L922),$J922)))</f>
      </c>
      <c r="N922" s="43">
        <f>IF($I922=0,0,MIN(SUMIFS(SondBetrag,SondDarl,2,SondDatum,"&gt;="&amp;$E922,SondDatum,"&lt;="&amp;EOMONTH($E922,0)),$J922-$M922))</f>
      </c>
      <c r="O922" s="43">
        <f>IF($I922=0,0,INDEX(DarlErsatzRate,2))</f>
      </c>
      <c r="P922" s="43">
        <f>IF($I922=0,0,$Q921*INDEX(DarlErsatzZins,2))</f>
      </c>
      <c r="Q922" s="43">
        <f>IF($I922=0,0,$Q921+$P922+$O922)</f>
      </c>
      <c r="R922" s="43">
        <f>IF($I922=0,0,$J922-$M922-$N922)</f>
      </c>
    </row>
    <row r="923">
      <c r="A923"/>
      <c r="B923">
        <v>2</v>
      </c>
      <c r="C923" s="43">
        <f>INDEX(DarlObj,2)</f>
      </c>
      <c r="D923">
        <v>440</v>
      </c>
      <c r="E923" s="51">
        <f>IF(INDEX(DarlBelegt,2)=0,0,EOMONTH(INDEX(DarlAuszahlung,2),439)+1)</f>
      </c>
      <c r="F923" s="43">
        <f>IF($E923=0,0,YEAR($E923))</f>
      </c>
      <c r="G923" s="43">
        <f>IF(INDEX(DarlBindung,2)="",1,IF($E923&lt;=INDEX(DarlBindung,2),1,0))</f>
      </c>
      <c r="H923" s="43">
        <f>IF($G923=1,INDEX(DarlSollzins,2),INDEX(DarlAnschluss,2))</f>
      </c>
      <c r="I923" s="43">
        <f>IF(INDEX(DarlBelegt,2)=0,0,IF(INDEX(DarlOhneTilgung,2)=1,IF(INDEX(DarlBindung,2)="",1,$G923),IF($J923&gt;0.005,1,0)))</f>
      </c>
      <c r="J923" s="43">
        <f>IF($I922=0,0,$R922)</f>
      </c>
      <c r="K923" s="43">
        <f>IF($I923=0,0,IF(INDEX(DarlOhneTilgung,2)=1,0,IF(AND(INDEX(DarlTilgStart,2)&gt;0,$E923=INDEX(DarlTilgStart,2)),$J923*($H923+INDEX(DarlTilgung,2))/100/12,IF(AND($G923=0,$G922=1),MAX($K922,$J923*($H923+1)/100/12),$K922))))</f>
      </c>
      <c r="L923" s="43">
        <f>IF($I923=0,0,$J923*$H923/100/12)</f>
      </c>
      <c r="M923" s="43">
        <f>IF($I923=0,0,IF(OR(INDEX(DarlOhneTilgung,2)=1,AND(INDEX(DarlTilgStart,2)&gt;0,$E923&lt;INDEX(DarlTilgStart,2))),0,MIN(MAX(0,$K923-$L923),$J923)))</f>
      </c>
      <c r="N923" s="43">
        <f>IF($I923=0,0,MIN(SUMIFS(SondBetrag,SondDarl,2,SondDatum,"&gt;="&amp;$E923,SondDatum,"&lt;="&amp;EOMONTH($E923,0)),$J923-$M923))</f>
      </c>
      <c r="O923" s="43">
        <f>IF($I923=0,0,INDEX(DarlErsatzRate,2))</f>
      </c>
      <c r="P923" s="43">
        <f>IF($I923=0,0,$Q922*INDEX(DarlErsatzZins,2))</f>
      </c>
      <c r="Q923" s="43">
        <f>IF($I923=0,0,$Q922+$P923+$O923)</f>
      </c>
      <c r="R923" s="43">
        <f>IF($I923=0,0,$J923-$M923-$N923)</f>
      </c>
    </row>
    <row r="924">
      <c r="A924"/>
      <c r="B924">
        <v>2</v>
      </c>
      <c r="C924" s="43">
        <f>INDEX(DarlObj,2)</f>
      </c>
      <c r="D924">
        <v>441</v>
      </c>
      <c r="E924" s="51">
        <f>IF(INDEX(DarlBelegt,2)=0,0,EOMONTH(INDEX(DarlAuszahlung,2),440)+1)</f>
      </c>
      <c r="F924" s="43">
        <f>IF($E924=0,0,YEAR($E924))</f>
      </c>
      <c r="G924" s="43">
        <f>IF(INDEX(DarlBindung,2)="",1,IF($E924&lt;=INDEX(DarlBindung,2),1,0))</f>
      </c>
      <c r="H924" s="43">
        <f>IF($G924=1,INDEX(DarlSollzins,2),INDEX(DarlAnschluss,2))</f>
      </c>
      <c r="I924" s="43">
        <f>IF(INDEX(DarlBelegt,2)=0,0,IF(INDEX(DarlOhneTilgung,2)=1,IF(INDEX(DarlBindung,2)="",1,$G924),IF($J924&gt;0.005,1,0)))</f>
      </c>
      <c r="J924" s="43">
        <f>IF($I923=0,0,$R923)</f>
      </c>
      <c r="K924" s="43">
        <f>IF($I924=0,0,IF(INDEX(DarlOhneTilgung,2)=1,0,IF(AND(INDEX(DarlTilgStart,2)&gt;0,$E924=INDEX(DarlTilgStart,2)),$J924*($H924+INDEX(DarlTilgung,2))/100/12,IF(AND($G924=0,$G923=1),MAX($K923,$J924*($H924+1)/100/12),$K923))))</f>
      </c>
      <c r="L924" s="43">
        <f>IF($I924=0,0,$J924*$H924/100/12)</f>
      </c>
      <c r="M924" s="43">
        <f>IF($I924=0,0,IF(OR(INDEX(DarlOhneTilgung,2)=1,AND(INDEX(DarlTilgStart,2)&gt;0,$E924&lt;INDEX(DarlTilgStart,2))),0,MIN(MAX(0,$K924-$L924),$J924)))</f>
      </c>
      <c r="N924" s="43">
        <f>IF($I924=0,0,MIN(SUMIFS(SondBetrag,SondDarl,2,SondDatum,"&gt;="&amp;$E924,SondDatum,"&lt;="&amp;EOMONTH($E924,0)),$J924-$M924))</f>
      </c>
      <c r="O924" s="43">
        <f>IF($I924=0,0,INDEX(DarlErsatzRate,2))</f>
      </c>
      <c r="P924" s="43">
        <f>IF($I924=0,0,$Q923*INDEX(DarlErsatzZins,2))</f>
      </c>
      <c r="Q924" s="43">
        <f>IF($I924=0,0,$Q923+$P924+$O924)</f>
      </c>
      <c r="R924" s="43">
        <f>IF($I924=0,0,$J924-$M924-$N924)</f>
      </c>
    </row>
    <row r="925">
      <c r="A925"/>
      <c r="B925">
        <v>2</v>
      </c>
      <c r="C925" s="43">
        <f>INDEX(DarlObj,2)</f>
      </c>
      <c r="D925">
        <v>442</v>
      </c>
      <c r="E925" s="51">
        <f>IF(INDEX(DarlBelegt,2)=0,0,EOMONTH(INDEX(DarlAuszahlung,2),441)+1)</f>
      </c>
      <c r="F925" s="43">
        <f>IF($E925=0,0,YEAR($E925))</f>
      </c>
      <c r="G925" s="43">
        <f>IF(INDEX(DarlBindung,2)="",1,IF($E925&lt;=INDEX(DarlBindung,2),1,0))</f>
      </c>
      <c r="H925" s="43">
        <f>IF($G925=1,INDEX(DarlSollzins,2),INDEX(DarlAnschluss,2))</f>
      </c>
      <c r="I925" s="43">
        <f>IF(INDEX(DarlBelegt,2)=0,0,IF(INDEX(DarlOhneTilgung,2)=1,IF(INDEX(DarlBindung,2)="",1,$G925),IF($J925&gt;0.005,1,0)))</f>
      </c>
      <c r="J925" s="43">
        <f>IF($I924=0,0,$R924)</f>
      </c>
      <c r="K925" s="43">
        <f>IF($I925=0,0,IF(INDEX(DarlOhneTilgung,2)=1,0,IF(AND(INDEX(DarlTilgStart,2)&gt;0,$E925=INDEX(DarlTilgStart,2)),$J925*($H925+INDEX(DarlTilgung,2))/100/12,IF(AND($G925=0,$G924=1),MAX($K924,$J925*($H925+1)/100/12),$K924))))</f>
      </c>
      <c r="L925" s="43">
        <f>IF($I925=0,0,$J925*$H925/100/12)</f>
      </c>
      <c r="M925" s="43">
        <f>IF($I925=0,0,IF(OR(INDEX(DarlOhneTilgung,2)=1,AND(INDEX(DarlTilgStart,2)&gt;0,$E925&lt;INDEX(DarlTilgStart,2))),0,MIN(MAX(0,$K925-$L925),$J925)))</f>
      </c>
      <c r="N925" s="43">
        <f>IF($I925=0,0,MIN(SUMIFS(SondBetrag,SondDarl,2,SondDatum,"&gt;="&amp;$E925,SondDatum,"&lt;="&amp;EOMONTH($E925,0)),$J925-$M925))</f>
      </c>
      <c r="O925" s="43">
        <f>IF($I925=0,0,INDEX(DarlErsatzRate,2))</f>
      </c>
      <c r="P925" s="43">
        <f>IF($I925=0,0,$Q924*INDEX(DarlErsatzZins,2))</f>
      </c>
      <c r="Q925" s="43">
        <f>IF($I925=0,0,$Q924+$P925+$O925)</f>
      </c>
      <c r="R925" s="43">
        <f>IF($I925=0,0,$J925-$M925-$N925)</f>
      </c>
    </row>
    <row r="926">
      <c r="A926"/>
      <c r="B926">
        <v>2</v>
      </c>
      <c r="C926" s="43">
        <f>INDEX(DarlObj,2)</f>
      </c>
      <c r="D926">
        <v>443</v>
      </c>
      <c r="E926" s="51">
        <f>IF(INDEX(DarlBelegt,2)=0,0,EOMONTH(INDEX(DarlAuszahlung,2),442)+1)</f>
      </c>
      <c r="F926" s="43">
        <f>IF($E926=0,0,YEAR($E926))</f>
      </c>
      <c r="G926" s="43">
        <f>IF(INDEX(DarlBindung,2)="",1,IF($E926&lt;=INDEX(DarlBindung,2),1,0))</f>
      </c>
      <c r="H926" s="43">
        <f>IF($G926=1,INDEX(DarlSollzins,2),INDEX(DarlAnschluss,2))</f>
      </c>
      <c r="I926" s="43">
        <f>IF(INDEX(DarlBelegt,2)=0,0,IF(INDEX(DarlOhneTilgung,2)=1,IF(INDEX(DarlBindung,2)="",1,$G926),IF($J926&gt;0.005,1,0)))</f>
      </c>
      <c r="J926" s="43">
        <f>IF($I925=0,0,$R925)</f>
      </c>
      <c r="K926" s="43">
        <f>IF($I926=0,0,IF(INDEX(DarlOhneTilgung,2)=1,0,IF(AND(INDEX(DarlTilgStart,2)&gt;0,$E926=INDEX(DarlTilgStart,2)),$J926*($H926+INDEX(DarlTilgung,2))/100/12,IF(AND($G926=0,$G925=1),MAX($K925,$J926*($H926+1)/100/12),$K925))))</f>
      </c>
      <c r="L926" s="43">
        <f>IF($I926=0,0,$J926*$H926/100/12)</f>
      </c>
      <c r="M926" s="43">
        <f>IF($I926=0,0,IF(OR(INDEX(DarlOhneTilgung,2)=1,AND(INDEX(DarlTilgStart,2)&gt;0,$E926&lt;INDEX(DarlTilgStart,2))),0,MIN(MAX(0,$K926-$L926),$J926)))</f>
      </c>
      <c r="N926" s="43">
        <f>IF($I926=0,0,MIN(SUMIFS(SondBetrag,SondDarl,2,SondDatum,"&gt;="&amp;$E926,SondDatum,"&lt;="&amp;EOMONTH($E926,0)),$J926-$M926))</f>
      </c>
      <c r="O926" s="43">
        <f>IF($I926=0,0,INDEX(DarlErsatzRate,2))</f>
      </c>
      <c r="P926" s="43">
        <f>IF($I926=0,0,$Q925*INDEX(DarlErsatzZins,2))</f>
      </c>
      <c r="Q926" s="43">
        <f>IF($I926=0,0,$Q925+$P926+$O926)</f>
      </c>
      <c r="R926" s="43">
        <f>IF($I926=0,0,$J926-$M926-$N926)</f>
      </c>
    </row>
    <row r="927">
      <c r="A927"/>
      <c r="B927">
        <v>2</v>
      </c>
      <c r="C927" s="43">
        <f>INDEX(DarlObj,2)</f>
      </c>
      <c r="D927">
        <v>444</v>
      </c>
      <c r="E927" s="51">
        <f>IF(INDEX(DarlBelegt,2)=0,0,EOMONTH(INDEX(DarlAuszahlung,2),443)+1)</f>
      </c>
      <c r="F927" s="43">
        <f>IF($E927=0,0,YEAR($E927))</f>
      </c>
      <c r="G927" s="43">
        <f>IF(INDEX(DarlBindung,2)="",1,IF($E927&lt;=INDEX(DarlBindung,2),1,0))</f>
      </c>
      <c r="H927" s="43">
        <f>IF($G927=1,INDEX(DarlSollzins,2),INDEX(DarlAnschluss,2))</f>
      </c>
      <c r="I927" s="43">
        <f>IF(INDEX(DarlBelegt,2)=0,0,IF(INDEX(DarlOhneTilgung,2)=1,IF(INDEX(DarlBindung,2)="",1,$G927),IF($J927&gt;0.005,1,0)))</f>
      </c>
      <c r="J927" s="43">
        <f>IF($I926=0,0,$R926)</f>
      </c>
      <c r="K927" s="43">
        <f>IF($I927=0,0,IF(INDEX(DarlOhneTilgung,2)=1,0,IF(AND(INDEX(DarlTilgStart,2)&gt;0,$E927=INDEX(DarlTilgStart,2)),$J927*($H927+INDEX(DarlTilgung,2))/100/12,IF(AND($G927=0,$G926=1),MAX($K926,$J927*($H927+1)/100/12),$K926))))</f>
      </c>
      <c r="L927" s="43">
        <f>IF($I927=0,0,$J927*$H927/100/12)</f>
      </c>
      <c r="M927" s="43">
        <f>IF($I927=0,0,IF(OR(INDEX(DarlOhneTilgung,2)=1,AND(INDEX(DarlTilgStart,2)&gt;0,$E927&lt;INDEX(DarlTilgStart,2))),0,MIN(MAX(0,$K927-$L927),$J927)))</f>
      </c>
      <c r="N927" s="43">
        <f>IF($I927=0,0,MIN(SUMIFS(SondBetrag,SondDarl,2,SondDatum,"&gt;="&amp;$E927,SondDatum,"&lt;="&amp;EOMONTH($E927,0)),$J927-$M927))</f>
      </c>
      <c r="O927" s="43">
        <f>IF($I927=0,0,INDEX(DarlErsatzRate,2))</f>
      </c>
      <c r="P927" s="43">
        <f>IF($I927=0,0,$Q926*INDEX(DarlErsatzZins,2))</f>
      </c>
      <c r="Q927" s="43">
        <f>IF($I927=0,0,$Q926+$P927+$O927)</f>
      </c>
      <c r="R927" s="43">
        <f>IF($I927=0,0,$J927-$M927-$N927)</f>
      </c>
    </row>
    <row r="928">
      <c r="A928"/>
      <c r="B928">
        <v>2</v>
      </c>
      <c r="C928" s="43">
        <f>INDEX(DarlObj,2)</f>
      </c>
      <c r="D928">
        <v>445</v>
      </c>
      <c r="E928" s="51">
        <f>IF(INDEX(DarlBelegt,2)=0,0,EOMONTH(INDEX(DarlAuszahlung,2),444)+1)</f>
      </c>
      <c r="F928" s="43">
        <f>IF($E928=0,0,YEAR($E928))</f>
      </c>
      <c r="G928" s="43">
        <f>IF(INDEX(DarlBindung,2)="",1,IF($E928&lt;=INDEX(DarlBindung,2),1,0))</f>
      </c>
      <c r="H928" s="43">
        <f>IF($G928=1,INDEX(DarlSollzins,2),INDEX(DarlAnschluss,2))</f>
      </c>
      <c r="I928" s="43">
        <f>IF(INDEX(DarlBelegt,2)=0,0,IF(INDEX(DarlOhneTilgung,2)=1,IF(INDEX(DarlBindung,2)="",1,$G928),IF($J928&gt;0.005,1,0)))</f>
      </c>
      <c r="J928" s="43">
        <f>IF($I927=0,0,$R927)</f>
      </c>
      <c r="K928" s="43">
        <f>IF($I928=0,0,IF(INDEX(DarlOhneTilgung,2)=1,0,IF(AND(INDEX(DarlTilgStart,2)&gt;0,$E928=INDEX(DarlTilgStart,2)),$J928*($H928+INDEX(DarlTilgung,2))/100/12,IF(AND($G928=0,$G927=1),MAX($K927,$J928*($H928+1)/100/12),$K927))))</f>
      </c>
      <c r="L928" s="43">
        <f>IF($I928=0,0,$J928*$H928/100/12)</f>
      </c>
      <c r="M928" s="43">
        <f>IF($I928=0,0,IF(OR(INDEX(DarlOhneTilgung,2)=1,AND(INDEX(DarlTilgStart,2)&gt;0,$E928&lt;INDEX(DarlTilgStart,2))),0,MIN(MAX(0,$K928-$L928),$J928)))</f>
      </c>
      <c r="N928" s="43">
        <f>IF($I928=0,0,MIN(SUMIFS(SondBetrag,SondDarl,2,SondDatum,"&gt;="&amp;$E928,SondDatum,"&lt;="&amp;EOMONTH($E928,0)),$J928-$M928))</f>
      </c>
      <c r="O928" s="43">
        <f>IF($I928=0,0,INDEX(DarlErsatzRate,2))</f>
      </c>
      <c r="P928" s="43">
        <f>IF($I928=0,0,$Q927*INDEX(DarlErsatzZins,2))</f>
      </c>
      <c r="Q928" s="43">
        <f>IF($I928=0,0,$Q927+$P928+$O928)</f>
      </c>
      <c r="R928" s="43">
        <f>IF($I928=0,0,$J928-$M928-$N928)</f>
      </c>
    </row>
    <row r="929">
      <c r="A929"/>
      <c r="B929">
        <v>2</v>
      </c>
      <c r="C929" s="43">
        <f>INDEX(DarlObj,2)</f>
      </c>
      <c r="D929">
        <v>446</v>
      </c>
      <c r="E929" s="51">
        <f>IF(INDEX(DarlBelegt,2)=0,0,EOMONTH(INDEX(DarlAuszahlung,2),445)+1)</f>
      </c>
      <c r="F929" s="43">
        <f>IF($E929=0,0,YEAR($E929))</f>
      </c>
      <c r="G929" s="43">
        <f>IF(INDEX(DarlBindung,2)="",1,IF($E929&lt;=INDEX(DarlBindung,2),1,0))</f>
      </c>
      <c r="H929" s="43">
        <f>IF($G929=1,INDEX(DarlSollzins,2),INDEX(DarlAnschluss,2))</f>
      </c>
      <c r="I929" s="43">
        <f>IF(INDEX(DarlBelegt,2)=0,0,IF(INDEX(DarlOhneTilgung,2)=1,IF(INDEX(DarlBindung,2)="",1,$G929),IF($J929&gt;0.005,1,0)))</f>
      </c>
      <c r="J929" s="43">
        <f>IF($I928=0,0,$R928)</f>
      </c>
      <c r="K929" s="43">
        <f>IF($I929=0,0,IF(INDEX(DarlOhneTilgung,2)=1,0,IF(AND(INDEX(DarlTilgStart,2)&gt;0,$E929=INDEX(DarlTilgStart,2)),$J929*($H929+INDEX(DarlTilgung,2))/100/12,IF(AND($G929=0,$G928=1),MAX($K928,$J929*($H929+1)/100/12),$K928))))</f>
      </c>
      <c r="L929" s="43">
        <f>IF($I929=0,0,$J929*$H929/100/12)</f>
      </c>
      <c r="M929" s="43">
        <f>IF($I929=0,0,IF(OR(INDEX(DarlOhneTilgung,2)=1,AND(INDEX(DarlTilgStart,2)&gt;0,$E929&lt;INDEX(DarlTilgStart,2))),0,MIN(MAX(0,$K929-$L929),$J929)))</f>
      </c>
      <c r="N929" s="43">
        <f>IF($I929=0,0,MIN(SUMIFS(SondBetrag,SondDarl,2,SondDatum,"&gt;="&amp;$E929,SondDatum,"&lt;="&amp;EOMONTH($E929,0)),$J929-$M929))</f>
      </c>
      <c r="O929" s="43">
        <f>IF($I929=0,0,INDEX(DarlErsatzRate,2))</f>
      </c>
      <c r="P929" s="43">
        <f>IF($I929=0,0,$Q928*INDEX(DarlErsatzZins,2))</f>
      </c>
      <c r="Q929" s="43">
        <f>IF($I929=0,0,$Q928+$P929+$O929)</f>
      </c>
      <c r="R929" s="43">
        <f>IF($I929=0,0,$J929-$M929-$N929)</f>
      </c>
    </row>
    <row r="930">
      <c r="A930"/>
      <c r="B930">
        <v>2</v>
      </c>
      <c r="C930" s="43">
        <f>INDEX(DarlObj,2)</f>
      </c>
      <c r="D930">
        <v>447</v>
      </c>
      <c r="E930" s="51">
        <f>IF(INDEX(DarlBelegt,2)=0,0,EOMONTH(INDEX(DarlAuszahlung,2),446)+1)</f>
      </c>
      <c r="F930" s="43">
        <f>IF($E930=0,0,YEAR($E930))</f>
      </c>
      <c r="G930" s="43">
        <f>IF(INDEX(DarlBindung,2)="",1,IF($E930&lt;=INDEX(DarlBindung,2),1,0))</f>
      </c>
      <c r="H930" s="43">
        <f>IF($G930=1,INDEX(DarlSollzins,2),INDEX(DarlAnschluss,2))</f>
      </c>
      <c r="I930" s="43">
        <f>IF(INDEX(DarlBelegt,2)=0,0,IF(INDEX(DarlOhneTilgung,2)=1,IF(INDEX(DarlBindung,2)="",1,$G930),IF($J930&gt;0.005,1,0)))</f>
      </c>
      <c r="J930" s="43">
        <f>IF($I929=0,0,$R929)</f>
      </c>
      <c r="K930" s="43">
        <f>IF($I930=0,0,IF(INDEX(DarlOhneTilgung,2)=1,0,IF(AND(INDEX(DarlTilgStart,2)&gt;0,$E930=INDEX(DarlTilgStart,2)),$J930*($H930+INDEX(DarlTilgung,2))/100/12,IF(AND($G930=0,$G929=1),MAX($K929,$J930*($H930+1)/100/12),$K929))))</f>
      </c>
      <c r="L930" s="43">
        <f>IF($I930=0,0,$J930*$H930/100/12)</f>
      </c>
      <c r="M930" s="43">
        <f>IF($I930=0,0,IF(OR(INDEX(DarlOhneTilgung,2)=1,AND(INDEX(DarlTilgStart,2)&gt;0,$E930&lt;INDEX(DarlTilgStart,2))),0,MIN(MAX(0,$K930-$L930),$J930)))</f>
      </c>
      <c r="N930" s="43">
        <f>IF($I930=0,0,MIN(SUMIFS(SondBetrag,SondDarl,2,SondDatum,"&gt;="&amp;$E930,SondDatum,"&lt;="&amp;EOMONTH($E930,0)),$J930-$M930))</f>
      </c>
      <c r="O930" s="43">
        <f>IF($I930=0,0,INDEX(DarlErsatzRate,2))</f>
      </c>
      <c r="P930" s="43">
        <f>IF($I930=0,0,$Q929*INDEX(DarlErsatzZins,2))</f>
      </c>
      <c r="Q930" s="43">
        <f>IF($I930=0,0,$Q929+$P930+$O930)</f>
      </c>
      <c r="R930" s="43">
        <f>IF($I930=0,0,$J930-$M930-$N930)</f>
      </c>
    </row>
    <row r="931">
      <c r="A931"/>
      <c r="B931">
        <v>2</v>
      </c>
      <c r="C931" s="43">
        <f>INDEX(DarlObj,2)</f>
      </c>
      <c r="D931">
        <v>448</v>
      </c>
      <c r="E931" s="51">
        <f>IF(INDEX(DarlBelegt,2)=0,0,EOMONTH(INDEX(DarlAuszahlung,2),447)+1)</f>
      </c>
      <c r="F931" s="43">
        <f>IF($E931=0,0,YEAR($E931))</f>
      </c>
      <c r="G931" s="43">
        <f>IF(INDEX(DarlBindung,2)="",1,IF($E931&lt;=INDEX(DarlBindung,2),1,0))</f>
      </c>
      <c r="H931" s="43">
        <f>IF($G931=1,INDEX(DarlSollzins,2),INDEX(DarlAnschluss,2))</f>
      </c>
      <c r="I931" s="43">
        <f>IF(INDEX(DarlBelegt,2)=0,0,IF(INDEX(DarlOhneTilgung,2)=1,IF(INDEX(DarlBindung,2)="",1,$G931),IF($J931&gt;0.005,1,0)))</f>
      </c>
      <c r="J931" s="43">
        <f>IF($I930=0,0,$R930)</f>
      </c>
      <c r="K931" s="43">
        <f>IF($I931=0,0,IF(INDEX(DarlOhneTilgung,2)=1,0,IF(AND(INDEX(DarlTilgStart,2)&gt;0,$E931=INDEX(DarlTilgStart,2)),$J931*($H931+INDEX(DarlTilgung,2))/100/12,IF(AND($G931=0,$G930=1),MAX($K930,$J931*($H931+1)/100/12),$K930))))</f>
      </c>
      <c r="L931" s="43">
        <f>IF($I931=0,0,$J931*$H931/100/12)</f>
      </c>
      <c r="M931" s="43">
        <f>IF($I931=0,0,IF(OR(INDEX(DarlOhneTilgung,2)=1,AND(INDEX(DarlTilgStart,2)&gt;0,$E931&lt;INDEX(DarlTilgStart,2))),0,MIN(MAX(0,$K931-$L931),$J931)))</f>
      </c>
      <c r="N931" s="43">
        <f>IF($I931=0,0,MIN(SUMIFS(SondBetrag,SondDarl,2,SondDatum,"&gt;="&amp;$E931,SondDatum,"&lt;="&amp;EOMONTH($E931,0)),$J931-$M931))</f>
      </c>
      <c r="O931" s="43">
        <f>IF($I931=0,0,INDEX(DarlErsatzRate,2))</f>
      </c>
      <c r="P931" s="43">
        <f>IF($I931=0,0,$Q930*INDEX(DarlErsatzZins,2))</f>
      </c>
      <c r="Q931" s="43">
        <f>IF($I931=0,0,$Q930+$P931+$O931)</f>
      </c>
      <c r="R931" s="43">
        <f>IF($I931=0,0,$J931-$M931-$N931)</f>
      </c>
    </row>
    <row r="932">
      <c r="A932"/>
      <c r="B932">
        <v>2</v>
      </c>
      <c r="C932" s="43">
        <f>INDEX(DarlObj,2)</f>
      </c>
      <c r="D932">
        <v>449</v>
      </c>
      <c r="E932" s="51">
        <f>IF(INDEX(DarlBelegt,2)=0,0,EOMONTH(INDEX(DarlAuszahlung,2),448)+1)</f>
      </c>
      <c r="F932" s="43">
        <f>IF($E932=0,0,YEAR($E932))</f>
      </c>
      <c r="G932" s="43">
        <f>IF(INDEX(DarlBindung,2)="",1,IF($E932&lt;=INDEX(DarlBindung,2),1,0))</f>
      </c>
      <c r="H932" s="43">
        <f>IF($G932=1,INDEX(DarlSollzins,2),INDEX(DarlAnschluss,2))</f>
      </c>
      <c r="I932" s="43">
        <f>IF(INDEX(DarlBelegt,2)=0,0,IF(INDEX(DarlOhneTilgung,2)=1,IF(INDEX(DarlBindung,2)="",1,$G932),IF($J932&gt;0.005,1,0)))</f>
      </c>
      <c r="J932" s="43">
        <f>IF($I931=0,0,$R931)</f>
      </c>
      <c r="K932" s="43">
        <f>IF($I932=0,0,IF(INDEX(DarlOhneTilgung,2)=1,0,IF(AND(INDEX(DarlTilgStart,2)&gt;0,$E932=INDEX(DarlTilgStart,2)),$J932*($H932+INDEX(DarlTilgung,2))/100/12,IF(AND($G932=0,$G931=1),MAX($K931,$J932*($H932+1)/100/12),$K931))))</f>
      </c>
      <c r="L932" s="43">
        <f>IF($I932=0,0,$J932*$H932/100/12)</f>
      </c>
      <c r="M932" s="43">
        <f>IF($I932=0,0,IF(OR(INDEX(DarlOhneTilgung,2)=1,AND(INDEX(DarlTilgStart,2)&gt;0,$E932&lt;INDEX(DarlTilgStart,2))),0,MIN(MAX(0,$K932-$L932),$J932)))</f>
      </c>
      <c r="N932" s="43">
        <f>IF($I932=0,0,MIN(SUMIFS(SondBetrag,SondDarl,2,SondDatum,"&gt;="&amp;$E932,SondDatum,"&lt;="&amp;EOMONTH($E932,0)),$J932-$M932))</f>
      </c>
      <c r="O932" s="43">
        <f>IF($I932=0,0,INDEX(DarlErsatzRate,2))</f>
      </c>
      <c r="P932" s="43">
        <f>IF($I932=0,0,$Q931*INDEX(DarlErsatzZins,2))</f>
      </c>
      <c r="Q932" s="43">
        <f>IF($I932=0,0,$Q931+$P932+$O932)</f>
      </c>
      <c r="R932" s="43">
        <f>IF($I932=0,0,$J932-$M932-$N932)</f>
      </c>
    </row>
    <row r="933">
      <c r="A933"/>
      <c r="B933">
        <v>2</v>
      </c>
      <c r="C933" s="43">
        <f>INDEX(DarlObj,2)</f>
      </c>
      <c r="D933">
        <v>450</v>
      </c>
      <c r="E933" s="51">
        <f>IF(INDEX(DarlBelegt,2)=0,0,EOMONTH(INDEX(DarlAuszahlung,2),449)+1)</f>
      </c>
      <c r="F933" s="43">
        <f>IF($E933=0,0,YEAR($E933))</f>
      </c>
      <c r="G933" s="43">
        <f>IF(INDEX(DarlBindung,2)="",1,IF($E933&lt;=INDEX(DarlBindung,2),1,0))</f>
      </c>
      <c r="H933" s="43">
        <f>IF($G933=1,INDEX(DarlSollzins,2),INDEX(DarlAnschluss,2))</f>
      </c>
      <c r="I933" s="43">
        <f>IF(INDEX(DarlBelegt,2)=0,0,IF(INDEX(DarlOhneTilgung,2)=1,IF(INDEX(DarlBindung,2)="",1,$G933),IF($J933&gt;0.005,1,0)))</f>
      </c>
      <c r="J933" s="43">
        <f>IF($I932=0,0,$R932)</f>
      </c>
      <c r="K933" s="43">
        <f>IF($I933=0,0,IF(INDEX(DarlOhneTilgung,2)=1,0,IF(AND(INDEX(DarlTilgStart,2)&gt;0,$E933=INDEX(DarlTilgStart,2)),$J933*($H933+INDEX(DarlTilgung,2))/100/12,IF(AND($G933=0,$G932=1),MAX($K932,$J933*($H933+1)/100/12),$K932))))</f>
      </c>
      <c r="L933" s="43">
        <f>IF($I933=0,0,$J933*$H933/100/12)</f>
      </c>
      <c r="M933" s="43">
        <f>IF($I933=0,0,IF(OR(INDEX(DarlOhneTilgung,2)=1,AND(INDEX(DarlTilgStart,2)&gt;0,$E933&lt;INDEX(DarlTilgStart,2))),0,MIN(MAX(0,$K933-$L933),$J933)))</f>
      </c>
      <c r="N933" s="43">
        <f>IF($I933=0,0,MIN(SUMIFS(SondBetrag,SondDarl,2,SondDatum,"&gt;="&amp;$E933,SondDatum,"&lt;="&amp;EOMONTH($E933,0)),$J933-$M933))</f>
      </c>
      <c r="O933" s="43">
        <f>IF($I933=0,0,INDEX(DarlErsatzRate,2))</f>
      </c>
      <c r="P933" s="43">
        <f>IF($I933=0,0,$Q932*INDEX(DarlErsatzZins,2))</f>
      </c>
      <c r="Q933" s="43">
        <f>IF($I933=0,0,$Q932+$P933+$O933)</f>
      </c>
      <c r="R933" s="43">
        <f>IF($I933=0,0,$J933-$M933-$N933)</f>
      </c>
    </row>
    <row r="934">
      <c r="A934"/>
      <c r="B934">
        <v>2</v>
      </c>
      <c r="C934" s="43">
        <f>INDEX(DarlObj,2)</f>
      </c>
      <c r="D934">
        <v>451</v>
      </c>
      <c r="E934" s="51">
        <f>IF(INDEX(DarlBelegt,2)=0,0,EOMONTH(INDEX(DarlAuszahlung,2),450)+1)</f>
      </c>
      <c r="F934" s="43">
        <f>IF($E934=0,0,YEAR($E934))</f>
      </c>
      <c r="G934" s="43">
        <f>IF(INDEX(DarlBindung,2)="",1,IF($E934&lt;=INDEX(DarlBindung,2),1,0))</f>
      </c>
      <c r="H934" s="43">
        <f>IF($G934=1,INDEX(DarlSollzins,2),INDEX(DarlAnschluss,2))</f>
      </c>
      <c r="I934" s="43">
        <f>IF(INDEX(DarlBelegt,2)=0,0,IF(INDEX(DarlOhneTilgung,2)=1,IF(INDEX(DarlBindung,2)="",1,$G934),IF($J934&gt;0.005,1,0)))</f>
      </c>
      <c r="J934" s="43">
        <f>IF($I933=0,0,$R933)</f>
      </c>
      <c r="K934" s="43">
        <f>IF($I934=0,0,IF(INDEX(DarlOhneTilgung,2)=1,0,IF(AND(INDEX(DarlTilgStart,2)&gt;0,$E934=INDEX(DarlTilgStart,2)),$J934*($H934+INDEX(DarlTilgung,2))/100/12,IF(AND($G934=0,$G933=1),MAX($K933,$J934*($H934+1)/100/12),$K933))))</f>
      </c>
      <c r="L934" s="43">
        <f>IF($I934=0,0,$J934*$H934/100/12)</f>
      </c>
      <c r="M934" s="43">
        <f>IF($I934=0,0,IF(OR(INDEX(DarlOhneTilgung,2)=1,AND(INDEX(DarlTilgStart,2)&gt;0,$E934&lt;INDEX(DarlTilgStart,2))),0,MIN(MAX(0,$K934-$L934),$J934)))</f>
      </c>
      <c r="N934" s="43">
        <f>IF($I934=0,0,MIN(SUMIFS(SondBetrag,SondDarl,2,SondDatum,"&gt;="&amp;$E934,SondDatum,"&lt;="&amp;EOMONTH($E934,0)),$J934-$M934))</f>
      </c>
      <c r="O934" s="43">
        <f>IF($I934=0,0,INDEX(DarlErsatzRate,2))</f>
      </c>
      <c r="P934" s="43">
        <f>IF($I934=0,0,$Q933*INDEX(DarlErsatzZins,2))</f>
      </c>
      <c r="Q934" s="43">
        <f>IF($I934=0,0,$Q933+$P934+$O934)</f>
      </c>
      <c r="R934" s="43">
        <f>IF($I934=0,0,$J934-$M934-$N934)</f>
      </c>
    </row>
    <row r="935">
      <c r="A935"/>
      <c r="B935">
        <v>2</v>
      </c>
      <c r="C935" s="43">
        <f>INDEX(DarlObj,2)</f>
      </c>
      <c r="D935">
        <v>452</v>
      </c>
      <c r="E935" s="51">
        <f>IF(INDEX(DarlBelegt,2)=0,0,EOMONTH(INDEX(DarlAuszahlung,2),451)+1)</f>
      </c>
      <c r="F935" s="43">
        <f>IF($E935=0,0,YEAR($E935))</f>
      </c>
      <c r="G935" s="43">
        <f>IF(INDEX(DarlBindung,2)="",1,IF($E935&lt;=INDEX(DarlBindung,2),1,0))</f>
      </c>
      <c r="H935" s="43">
        <f>IF($G935=1,INDEX(DarlSollzins,2),INDEX(DarlAnschluss,2))</f>
      </c>
      <c r="I935" s="43">
        <f>IF(INDEX(DarlBelegt,2)=0,0,IF(INDEX(DarlOhneTilgung,2)=1,IF(INDEX(DarlBindung,2)="",1,$G935),IF($J935&gt;0.005,1,0)))</f>
      </c>
      <c r="J935" s="43">
        <f>IF($I934=0,0,$R934)</f>
      </c>
      <c r="K935" s="43">
        <f>IF($I935=0,0,IF(INDEX(DarlOhneTilgung,2)=1,0,IF(AND(INDEX(DarlTilgStart,2)&gt;0,$E935=INDEX(DarlTilgStart,2)),$J935*($H935+INDEX(DarlTilgung,2))/100/12,IF(AND($G935=0,$G934=1),MAX($K934,$J935*($H935+1)/100/12),$K934))))</f>
      </c>
      <c r="L935" s="43">
        <f>IF($I935=0,0,$J935*$H935/100/12)</f>
      </c>
      <c r="M935" s="43">
        <f>IF($I935=0,0,IF(OR(INDEX(DarlOhneTilgung,2)=1,AND(INDEX(DarlTilgStart,2)&gt;0,$E935&lt;INDEX(DarlTilgStart,2))),0,MIN(MAX(0,$K935-$L935),$J935)))</f>
      </c>
      <c r="N935" s="43">
        <f>IF($I935=0,0,MIN(SUMIFS(SondBetrag,SondDarl,2,SondDatum,"&gt;="&amp;$E935,SondDatum,"&lt;="&amp;EOMONTH($E935,0)),$J935-$M935))</f>
      </c>
      <c r="O935" s="43">
        <f>IF($I935=0,0,INDEX(DarlErsatzRate,2))</f>
      </c>
      <c r="P935" s="43">
        <f>IF($I935=0,0,$Q934*INDEX(DarlErsatzZins,2))</f>
      </c>
      <c r="Q935" s="43">
        <f>IF($I935=0,0,$Q934+$P935+$O935)</f>
      </c>
      <c r="R935" s="43">
        <f>IF($I935=0,0,$J935-$M935-$N935)</f>
      </c>
    </row>
    <row r="936">
      <c r="A936"/>
      <c r="B936">
        <v>2</v>
      </c>
      <c r="C936" s="43">
        <f>INDEX(DarlObj,2)</f>
      </c>
      <c r="D936">
        <v>453</v>
      </c>
      <c r="E936" s="51">
        <f>IF(INDEX(DarlBelegt,2)=0,0,EOMONTH(INDEX(DarlAuszahlung,2),452)+1)</f>
      </c>
      <c r="F936" s="43">
        <f>IF($E936=0,0,YEAR($E936))</f>
      </c>
      <c r="G936" s="43">
        <f>IF(INDEX(DarlBindung,2)="",1,IF($E936&lt;=INDEX(DarlBindung,2),1,0))</f>
      </c>
      <c r="H936" s="43">
        <f>IF($G936=1,INDEX(DarlSollzins,2),INDEX(DarlAnschluss,2))</f>
      </c>
      <c r="I936" s="43">
        <f>IF(INDEX(DarlBelegt,2)=0,0,IF(INDEX(DarlOhneTilgung,2)=1,IF(INDEX(DarlBindung,2)="",1,$G936),IF($J936&gt;0.005,1,0)))</f>
      </c>
      <c r="J936" s="43">
        <f>IF($I935=0,0,$R935)</f>
      </c>
      <c r="K936" s="43">
        <f>IF($I936=0,0,IF(INDEX(DarlOhneTilgung,2)=1,0,IF(AND(INDEX(DarlTilgStart,2)&gt;0,$E936=INDEX(DarlTilgStart,2)),$J936*($H936+INDEX(DarlTilgung,2))/100/12,IF(AND($G936=0,$G935=1),MAX($K935,$J936*($H936+1)/100/12),$K935))))</f>
      </c>
      <c r="L936" s="43">
        <f>IF($I936=0,0,$J936*$H936/100/12)</f>
      </c>
      <c r="M936" s="43">
        <f>IF($I936=0,0,IF(OR(INDEX(DarlOhneTilgung,2)=1,AND(INDEX(DarlTilgStart,2)&gt;0,$E936&lt;INDEX(DarlTilgStart,2))),0,MIN(MAX(0,$K936-$L936),$J936)))</f>
      </c>
      <c r="N936" s="43">
        <f>IF($I936=0,0,MIN(SUMIFS(SondBetrag,SondDarl,2,SondDatum,"&gt;="&amp;$E936,SondDatum,"&lt;="&amp;EOMONTH($E936,0)),$J936-$M936))</f>
      </c>
      <c r="O936" s="43">
        <f>IF($I936=0,0,INDEX(DarlErsatzRate,2))</f>
      </c>
      <c r="P936" s="43">
        <f>IF($I936=0,0,$Q935*INDEX(DarlErsatzZins,2))</f>
      </c>
      <c r="Q936" s="43">
        <f>IF($I936=0,0,$Q935+$P936+$O936)</f>
      </c>
      <c r="R936" s="43">
        <f>IF($I936=0,0,$J936-$M936-$N936)</f>
      </c>
    </row>
    <row r="937">
      <c r="A937"/>
      <c r="B937">
        <v>2</v>
      </c>
      <c r="C937" s="43">
        <f>INDEX(DarlObj,2)</f>
      </c>
      <c r="D937">
        <v>454</v>
      </c>
      <c r="E937" s="51">
        <f>IF(INDEX(DarlBelegt,2)=0,0,EOMONTH(INDEX(DarlAuszahlung,2),453)+1)</f>
      </c>
      <c r="F937" s="43">
        <f>IF($E937=0,0,YEAR($E937))</f>
      </c>
      <c r="G937" s="43">
        <f>IF(INDEX(DarlBindung,2)="",1,IF($E937&lt;=INDEX(DarlBindung,2),1,0))</f>
      </c>
      <c r="H937" s="43">
        <f>IF($G937=1,INDEX(DarlSollzins,2),INDEX(DarlAnschluss,2))</f>
      </c>
      <c r="I937" s="43">
        <f>IF(INDEX(DarlBelegt,2)=0,0,IF(INDEX(DarlOhneTilgung,2)=1,IF(INDEX(DarlBindung,2)="",1,$G937),IF($J937&gt;0.005,1,0)))</f>
      </c>
      <c r="J937" s="43">
        <f>IF($I936=0,0,$R936)</f>
      </c>
      <c r="K937" s="43">
        <f>IF($I937=0,0,IF(INDEX(DarlOhneTilgung,2)=1,0,IF(AND(INDEX(DarlTilgStart,2)&gt;0,$E937=INDEX(DarlTilgStart,2)),$J937*($H937+INDEX(DarlTilgung,2))/100/12,IF(AND($G937=0,$G936=1),MAX($K936,$J937*($H937+1)/100/12),$K936))))</f>
      </c>
      <c r="L937" s="43">
        <f>IF($I937=0,0,$J937*$H937/100/12)</f>
      </c>
      <c r="M937" s="43">
        <f>IF($I937=0,0,IF(OR(INDEX(DarlOhneTilgung,2)=1,AND(INDEX(DarlTilgStart,2)&gt;0,$E937&lt;INDEX(DarlTilgStart,2))),0,MIN(MAX(0,$K937-$L937),$J937)))</f>
      </c>
      <c r="N937" s="43">
        <f>IF($I937=0,0,MIN(SUMIFS(SondBetrag,SondDarl,2,SondDatum,"&gt;="&amp;$E937,SondDatum,"&lt;="&amp;EOMONTH($E937,0)),$J937-$M937))</f>
      </c>
      <c r="O937" s="43">
        <f>IF($I937=0,0,INDEX(DarlErsatzRate,2))</f>
      </c>
      <c r="P937" s="43">
        <f>IF($I937=0,0,$Q936*INDEX(DarlErsatzZins,2))</f>
      </c>
      <c r="Q937" s="43">
        <f>IF($I937=0,0,$Q936+$P937+$O937)</f>
      </c>
      <c r="R937" s="43">
        <f>IF($I937=0,0,$J937-$M937-$N937)</f>
      </c>
    </row>
    <row r="938">
      <c r="A938"/>
      <c r="B938">
        <v>2</v>
      </c>
      <c r="C938" s="43">
        <f>INDEX(DarlObj,2)</f>
      </c>
      <c r="D938">
        <v>455</v>
      </c>
      <c r="E938" s="51">
        <f>IF(INDEX(DarlBelegt,2)=0,0,EOMONTH(INDEX(DarlAuszahlung,2),454)+1)</f>
      </c>
      <c r="F938" s="43">
        <f>IF($E938=0,0,YEAR($E938))</f>
      </c>
      <c r="G938" s="43">
        <f>IF(INDEX(DarlBindung,2)="",1,IF($E938&lt;=INDEX(DarlBindung,2),1,0))</f>
      </c>
      <c r="H938" s="43">
        <f>IF($G938=1,INDEX(DarlSollzins,2),INDEX(DarlAnschluss,2))</f>
      </c>
      <c r="I938" s="43">
        <f>IF(INDEX(DarlBelegt,2)=0,0,IF(INDEX(DarlOhneTilgung,2)=1,IF(INDEX(DarlBindung,2)="",1,$G938),IF($J938&gt;0.005,1,0)))</f>
      </c>
      <c r="J938" s="43">
        <f>IF($I937=0,0,$R937)</f>
      </c>
      <c r="K938" s="43">
        <f>IF($I938=0,0,IF(INDEX(DarlOhneTilgung,2)=1,0,IF(AND(INDEX(DarlTilgStart,2)&gt;0,$E938=INDEX(DarlTilgStart,2)),$J938*($H938+INDEX(DarlTilgung,2))/100/12,IF(AND($G938=0,$G937=1),MAX($K937,$J938*($H938+1)/100/12),$K937))))</f>
      </c>
      <c r="L938" s="43">
        <f>IF($I938=0,0,$J938*$H938/100/12)</f>
      </c>
      <c r="M938" s="43">
        <f>IF($I938=0,0,IF(OR(INDEX(DarlOhneTilgung,2)=1,AND(INDEX(DarlTilgStart,2)&gt;0,$E938&lt;INDEX(DarlTilgStart,2))),0,MIN(MAX(0,$K938-$L938),$J938)))</f>
      </c>
      <c r="N938" s="43">
        <f>IF($I938=0,0,MIN(SUMIFS(SondBetrag,SondDarl,2,SondDatum,"&gt;="&amp;$E938,SondDatum,"&lt;="&amp;EOMONTH($E938,0)),$J938-$M938))</f>
      </c>
      <c r="O938" s="43">
        <f>IF($I938=0,0,INDEX(DarlErsatzRate,2))</f>
      </c>
      <c r="P938" s="43">
        <f>IF($I938=0,0,$Q937*INDEX(DarlErsatzZins,2))</f>
      </c>
      <c r="Q938" s="43">
        <f>IF($I938=0,0,$Q937+$P938+$O938)</f>
      </c>
      <c r="R938" s="43">
        <f>IF($I938=0,0,$J938-$M938-$N938)</f>
      </c>
    </row>
    <row r="939">
      <c r="A939"/>
      <c r="B939">
        <v>2</v>
      </c>
      <c r="C939" s="43">
        <f>INDEX(DarlObj,2)</f>
      </c>
      <c r="D939">
        <v>456</v>
      </c>
      <c r="E939" s="51">
        <f>IF(INDEX(DarlBelegt,2)=0,0,EOMONTH(INDEX(DarlAuszahlung,2),455)+1)</f>
      </c>
      <c r="F939" s="43">
        <f>IF($E939=0,0,YEAR($E939))</f>
      </c>
      <c r="G939" s="43">
        <f>IF(INDEX(DarlBindung,2)="",1,IF($E939&lt;=INDEX(DarlBindung,2),1,0))</f>
      </c>
      <c r="H939" s="43">
        <f>IF($G939=1,INDEX(DarlSollzins,2),INDEX(DarlAnschluss,2))</f>
      </c>
      <c r="I939" s="43">
        <f>IF(INDEX(DarlBelegt,2)=0,0,IF(INDEX(DarlOhneTilgung,2)=1,IF(INDEX(DarlBindung,2)="",1,$G939),IF($J939&gt;0.005,1,0)))</f>
      </c>
      <c r="J939" s="43">
        <f>IF($I938=0,0,$R938)</f>
      </c>
      <c r="K939" s="43">
        <f>IF($I939=0,0,IF(INDEX(DarlOhneTilgung,2)=1,0,IF(AND(INDEX(DarlTilgStart,2)&gt;0,$E939=INDEX(DarlTilgStart,2)),$J939*($H939+INDEX(DarlTilgung,2))/100/12,IF(AND($G939=0,$G938=1),MAX($K938,$J939*($H939+1)/100/12),$K938))))</f>
      </c>
      <c r="L939" s="43">
        <f>IF($I939=0,0,$J939*$H939/100/12)</f>
      </c>
      <c r="M939" s="43">
        <f>IF($I939=0,0,IF(OR(INDEX(DarlOhneTilgung,2)=1,AND(INDEX(DarlTilgStart,2)&gt;0,$E939&lt;INDEX(DarlTilgStart,2))),0,MIN(MAX(0,$K939-$L939),$J939)))</f>
      </c>
      <c r="N939" s="43">
        <f>IF($I939=0,0,MIN(SUMIFS(SondBetrag,SondDarl,2,SondDatum,"&gt;="&amp;$E939,SondDatum,"&lt;="&amp;EOMONTH($E939,0)),$J939-$M939))</f>
      </c>
      <c r="O939" s="43">
        <f>IF($I939=0,0,INDEX(DarlErsatzRate,2))</f>
      </c>
      <c r="P939" s="43">
        <f>IF($I939=0,0,$Q938*INDEX(DarlErsatzZins,2))</f>
      </c>
      <c r="Q939" s="43">
        <f>IF($I939=0,0,$Q938+$P939+$O939)</f>
      </c>
      <c r="R939" s="43">
        <f>IF($I939=0,0,$J939-$M939-$N939)</f>
      </c>
    </row>
    <row r="940">
      <c r="A940"/>
      <c r="B940">
        <v>2</v>
      </c>
      <c r="C940" s="43">
        <f>INDEX(DarlObj,2)</f>
      </c>
      <c r="D940">
        <v>457</v>
      </c>
      <c r="E940" s="51">
        <f>IF(INDEX(DarlBelegt,2)=0,0,EOMONTH(INDEX(DarlAuszahlung,2),456)+1)</f>
      </c>
      <c r="F940" s="43">
        <f>IF($E940=0,0,YEAR($E940))</f>
      </c>
      <c r="G940" s="43">
        <f>IF(INDEX(DarlBindung,2)="",1,IF($E940&lt;=INDEX(DarlBindung,2),1,0))</f>
      </c>
      <c r="H940" s="43">
        <f>IF($G940=1,INDEX(DarlSollzins,2),INDEX(DarlAnschluss,2))</f>
      </c>
      <c r="I940" s="43">
        <f>IF(INDEX(DarlBelegt,2)=0,0,IF(INDEX(DarlOhneTilgung,2)=1,IF(INDEX(DarlBindung,2)="",1,$G940),IF($J940&gt;0.005,1,0)))</f>
      </c>
      <c r="J940" s="43">
        <f>IF($I939=0,0,$R939)</f>
      </c>
      <c r="K940" s="43">
        <f>IF($I940=0,0,IF(INDEX(DarlOhneTilgung,2)=1,0,IF(AND(INDEX(DarlTilgStart,2)&gt;0,$E940=INDEX(DarlTilgStart,2)),$J940*($H940+INDEX(DarlTilgung,2))/100/12,IF(AND($G940=0,$G939=1),MAX($K939,$J940*($H940+1)/100/12),$K939))))</f>
      </c>
      <c r="L940" s="43">
        <f>IF($I940=0,0,$J940*$H940/100/12)</f>
      </c>
      <c r="M940" s="43">
        <f>IF($I940=0,0,IF(OR(INDEX(DarlOhneTilgung,2)=1,AND(INDEX(DarlTilgStart,2)&gt;0,$E940&lt;INDEX(DarlTilgStart,2))),0,MIN(MAX(0,$K940-$L940),$J940)))</f>
      </c>
      <c r="N940" s="43">
        <f>IF($I940=0,0,MIN(SUMIFS(SondBetrag,SondDarl,2,SondDatum,"&gt;="&amp;$E940,SondDatum,"&lt;="&amp;EOMONTH($E940,0)),$J940-$M940))</f>
      </c>
      <c r="O940" s="43">
        <f>IF($I940=0,0,INDEX(DarlErsatzRate,2))</f>
      </c>
      <c r="P940" s="43">
        <f>IF($I940=0,0,$Q939*INDEX(DarlErsatzZins,2))</f>
      </c>
      <c r="Q940" s="43">
        <f>IF($I940=0,0,$Q939+$P940+$O940)</f>
      </c>
      <c r="R940" s="43">
        <f>IF($I940=0,0,$J940-$M940-$N940)</f>
      </c>
    </row>
    <row r="941">
      <c r="A941"/>
      <c r="B941">
        <v>2</v>
      </c>
      <c r="C941" s="43">
        <f>INDEX(DarlObj,2)</f>
      </c>
      <c r="D941">
        <v>458</v>
      </c>
      <c r="E941" s="51">
        <f>IF(INDEX(DarlBelegt,2)=0,0,EOMONTH(INDEX(DarlAuszahlung,2),457)+1)</f>
      </c>
      <c r="F941" s="43">
        <f>IF($E941=0,0,YEAR($E941))</f>
      </c>
      <c r="G941" s="43">
        <f>IF(INDEX(DarlBindung,2)="",1,IF($E941&lt;=INDEX(DarlBindung,2),1,0))</f>
      </c>
      <c r="H941" s="43">
        <f>IF($G941=1,INDEX(DarlSollzins,2),INDEX(DarlAnschluss,2))</f>
      </c>
      <c r="I941" s="43">
        <f>IF(INDEX(DarlBelegt,2)=0,0,IF(INDEX(DarlOhneTilgung,2)=1,IF(INDEX(DarlBindung,2)="",1,$G941),IF($J941&gt;0.005,1,0)))</f>
      </c>
      <c r="J941" s="43">
        <f>IF($I940=0,0,$R940)</f>
      </c>
      <c r="K941" s="43">
        <f>IF($I941=0,0,IF(INDEX(DarlOhneTilgung,2)=1,0,IF(AND(INDEX(DarlTilgStart,2)&gt;0,$E941=INDEX(DarlTilgStart,2)),$J941*($H941+INDEX(DarlTilgung,2))/100/12,IF(AND($G941=0,$G940=1),MAX($K940,$J941*($H941+1)/100/12),$K940))))</f>
      </c>
      <c r="L941" s="43">
        <f>IF($I941=0,0,$J941*$H941/100/12)</f>
      </c>
      <c r="M941" s="43">
        <f>IF($I941=0,0,IF(OR(INDEX(DarlOhneTilgung,2)=1,AND(INDEX(DarlTilgStart,2)&gt;0,$E941&lt;INDEX(DarlTilgStart,2))),0,MIN(MAX(0,$K941-$L941),$J941)))</f>
      </c>
      <c r="N941" s="43">
        <f>IF($I941=0,0,MIN(SUMIFS(SondBetrag,SondDarl,2,SondDatum,"&gt;="&amp;$E941,SondDatum,"&lt;="&amp;EOMONTH($E941,0)),$J941-$M941))</f>
      </c>
      <c r="O941" s="43">
        <f>IF($I941=0,0,INDEX(DarlErsatzRate,2))</f>
      </c>
      <c r="P941" s="43">
        <f>IF($I941=0,0,$Q940*INDEX(DarlErsatzZins,2))</f>
      </c>
      <c r="Q941" s="43">
        <f>IF($I941=0,0,$Q940+$P941+$O941)</f>
      </c>
      <c r="R941" s="43">
        <f>IF($I941=0,0,$J941-$M941-$N941)</f>
      </c>
    </row>
    <row r="942">
      <c r="A942"/>
      <c r="B942">
        <v>2</v>
      </c>
      <c r="C942" s="43">
        <f>INDEX(DarlObj,2)</f>
      </c>
      <c r="D942">
        <v>459</v>
      </c>
      <c r="E942" s="51">
        <f>IF(INDEX(DarlBelegt,2)=0,0,EOMONTH(INDEX(DarlAuszahlung,2),458)+1)</f>
      </c>
      <c r="F942" s="43">
        <f>IF($E942=0,0,YEAR($E942))</f>
      </c>
      <c r="G942" s="43">
        <f>IF(INDEX(DarlBindung,2)="",1,IF($E942&lt;=INDEX(DarlBindung,2),1,0))</f>
      </c>
      <c r="H942" s="43">
        <f>IF($G942=1,INDEX(DarlSollzins,2),INDEX(DarlAnschluss,2))</f>
      </c>
      <c r="I942" s="43">
        <f>IF(INDEX(DarlBelegt,2)=0,0,IF(INDEX(DarlOhneTilgung,2)=1,IF(INDEX(DarlBindung,2)="",1,$G942),IF($J942&gt;0.005,1,0)))</f>
      </c>
      <c r="J942" s="43">
        <f>IF($I941=0,0,$R941)</f>
      </c>
      <c r="K942" s="43">
        <f>IF($I942=0,0,IF(INDEX(DarlOhneTilgung,2)=1,0,IF(AND(INDEX(DarlTilgStart,2)&gt;0,$E942=INDEX(DarlTilgStart,2)),$J942*($H942+INDEX(DarlTilgung,2))/100/12,IF(AND($G942=0,$G941=1),MAX($K941,$J942*($H942+1)/100/12),$K941))))</f>
      </c>
      <c r="L942" s="43">
        <f>IF($I942=0,0,$J942*$H942/100/12)</f>
      </c>
      <c r="M942" s="43">
        <f>IF($I942=0,0,IF(OR(INDEX(DarlOhneTilgung,2)=1,AND(INDEX(DarlTilgStart,2)&gt;0,$E942&lt;INDEX(DarlTilgStart,2))),0,MIN(MAX(0,$K942-$L942),$J942)))</f>
      </c>
      <c r="N942" s="43">
        <f>IF($I942=0,0,MIN(SUMIFS(SondBetrag,SondDarl,2,SondDatum,"&gt;="&amp;$E942,SondDatum,"&lt;="&amp;EOMONTH($E942,0)),$J942-$M942))</f>
      </c>
      <c r="O942" s="43">
        <f>IF($I942=0,0,INDEX(DarlErsatzRate,2))</f>
      </c>
      <c r="P942" s="43">
        <f>IF($I942=0,0,$Q941*INDEX(DarlErsatzZins,2))</f>
      </c>
      <c r="Q942" s="43">
        <f>IF($I942=0,0,$Q941+$P942+$O942)</f>
      </c>
      <c r="R942" s="43">
        <f>IF($I942=0,0,$J942-$M942-$N942)</f>
      </c>
    </row>
    <row r="943">
      <c r="A943"/>
      <c r="B943">
        <v>2</v>
      </c>
      <c r="C943" s="43">
        <f>INDEX(DarlObj,2)</f>
      </c>
      <c r="D943">
        <v>460</v>
      </c>
      <c r="E943" s="51">
        <f>IF(INDEX(DarlBelegt,2)=0,0,EOMONTH(INDEX(DarlAuszahlung,2),459)+1)</f>
      </c>
      <c r="F943" s="43">
        <f>IF($E943=0,0,YEAR($E943))</f>
      </c>
      <c r="G943" s="43">
        <f>IF(INDEX(DarlBindung,2)="",1,IF($E943&lt;=INDEX(DarlBindung,2),1,0))</f>
      </c>
      <c r="H943" s="43">
        <f>IF($G943=1,INDEX(DarlSollzins,2),INDEX(DarlAnschluss,2))</f>
      </c>
      <c r="I943" s="43">
        <f>IF(INDEX(DarlBelegt,2)=0,0,IF(INDEX(DarlOhneTilgung,2)=1,IF(INDEX(DarlBindung,2)="",1,$G943),IF($J943&gt;0.005,1,0)))</f>
      </c>
      <c r="J943" s="43">
        <f>IF($I942=0,0,$R942)</f>
      </c>
      <c r="K943" s="43">
        <f>IF($I943=0,0,IF(INDEX(DarlOhneTilgung,2)=1,0,IF(AND(INDEX(DarlTilgStart,2)&gt;0,$E943=INDEX(DarlTilgStart,2)),$J943*($H943+INDEX(DarlTilgung,2))/100/12,IF(AND($G943=0,$G942=1),MAX($K942,$J943*($H943+1)/100/12),$K942))))</f>
      </c>
      <c r="L943" s="43">
        <f>IF($I943=0,0,$J943*$H943/100/12)</f>
      </c>
      <c r="M943" s="43">
        <f>IF($I943=0,0,IF(OR(INDEX(DarlOhneTilgung,2)=1,AND(INDEX(DarlTilgStart,2)&gt;0,$E943&lt;INDEX(DarlTilgStart,2))),0,MIN(MAX(0,$K943-$L943),$J943)))</f>
      </c>
      <c r="N943" s="43">
        <f>IF($I943=0,0,MIN(SUMIFS(SondBetrag,SondDarl,2,SondDatum,"&gt;="&amp;$E943,SondDatum,"&lt;="&amp;EOMONTH($E943,0)),$J943-$M943))</f>
      </c>
      <c r="O943" s="43">
        <f>IF($I943=0,0,INDEX(DarlErsatzRate,2))</f>
      </c>
      <c r="P943" s="43">
        <f>IF($I943=0,0,$Q942*INDEX(DarlErsatzZins,2))</f>
      </c>
      <c r="Q943" s="43">
        <f>IF($I943=0,0,$Q942+$P943+$O943)</f>
      </c>
      <c r="R943" s="43">
        <f>IF($I943=0,0,$J943-$M943-$N943)</f>
      </c>
    </row>
    <row r="944">
      <c r="A944"/>
      <c r="B944">
        <v>2</v>
      </c>
      <c r="C944" s="43">
        <f>INDEX(DarlObj,2)</f>
      </c>
      <c r="D944">
        <v>461</v>
      </c>
      <c r="E944" s="51">
        <f>IF(INDEX(DarlBelegt,2)=0,0,EOMONTH(INDEX(DarlAuszahlung,2),460)+1)</f>
      </c>
      <c r="F944" s="43">
        <f>IF($E944=0,0,YEAR($E944))</f>
      </c>
      <c r="G944" s="43">
        <f>IF(INDEX(DarlBindung,2)="",1,IF($E944&lt;=INDEX(DarlBindung,2),1,0))</f>
      </c>
      <c r="H944" s="43">
        <f>IF($G944=1,INDEX(DarlSollzins,2),INDEX(DarlAnschluss,2))</f>
      </c>
      <c r="I944" s="43">
        <f>IF(INDEX(DarlBelegt,2)=0,0,IF(INDEX(DarlOhneTilgung,2)=1,IF(INDEX(DarlBindung,2)="",1,$G944),IF($J944&gt;0.005,1,0)))</f>
      </c>
      <c r="J944" s="43">
        <f>IF($I943=0,0,$R943)</f>
      </c>
      <c r="K944" s="43">
        <f>IF($I944=0,0,IF(INDEX(DarlOhneTilgung,2)=1,0,IF(AND(INDEX(DarlTilgStart,2)&gt;0,$E944=INDEX(DarlTilgStart,2)),$J944*($H944+INDEX(DarlTilgung,2))/100/12,IF(AND($G944=0,$G943=1),MAX($K943,$J944*($H944+1)/100/12),$K943))))</f>
      </c>
      <c r="L944" s="43">
        <f>IF($I944=0,0,$J944*$H944/100/12)</f>
      </c>
      <c r="M944" s="43">
        <f>IF($I944=0,0,IF(OR(INDEX(DarlOhneTilgung,2)=1,AND(INDEX(DarlTilgStart,2)&gt;0,$E944&lt;INDEX(DarlTilgStart,2))),0,MIN(MAX(0,$K944-$L944),$J944)))</f>
      </c>
      <c r="N944" s="43">
        <f>IF($I944=0,0,MIN(SUMIFS(SondBetrag,SondDarl,2,SondDatum,"&gt;="&amp;$E944,SondDatum,"&lt;="&amp;EOMONTH($E944,0)),$J944-$M944))</f>
      </c>
      <c r="O944" s="43">
        <f>IF($I944=0,0,INDEX(DarlErsatzRate,2))</f>
      </c>
      <c r="P944" s="43">
        <f>IF($I944=0,0,$Q943*INDEX(DarlErsatzZins,2))</f>
      </c>
      <c r="Q944" s="43">
        <f>IF($I944=0,0,$Q943+$P944+$O944)</f>
      </c>
      <c r="R944" s="43">
        <f>IF($I944=0,0,$J944-$M944-$N944)</f>
      </c>
    </row>
    <row r="945">
      <c r="A945"/>
      <c r="B945">
        <v>2</v>
      </c>
      <c r="C945" s="43">
        <f>INDEX(DarlObj,2)</f>
      </c>
      <c r="D945">
        <v>462</v>
      </c>
      <c r="E945" s="51">
        <f>IF(INDEX(DarlBelegt,2)=0,0,EOMONTH(INDEX(DarlAuszahlung,2),461)+1)</f>
      </c>
      <c r="F945" s="43">
        <f>IF($E945=0,0,YEAR($E945))</f>
      </c>
      <c r="G945" s="43">
        <f>IF(INDEX(DarlBindung,2)="",1,IF($E945&lt;=INDEX(DarlBindung,2),1,0))</f>
      </c>
      <c r="H945" s="43">
        <f>IF($G945=1,INDEX(DarlSollzins,2),INDEX(DarlAnschluss,2))</f>
      </c>
      <c r="I945" s="43">
        <f>IF(INDEX(DarlBelegt,2)=0,0,IF(INDEX(DarlOhneTilgung,2)=1,IF(INDEX(DarlBindung,2)="",1,$G945),IF($J945&gt;0.005,1,0)))</f>
      </c>
      <c r="J945" s="43">
        <f>IF($I944=0,0,$R944)</f>
      </c>
      <c r="K945" s="43">
        <f>IF($I945=0,0,IF(INDEX(DarlOhneTilgung,2)=1,0,IF(AND(INDEX(DarlTilgStart,2)&gt;0,$E945=INDEX(DarlTilgStart,2)),$J945*($H945+INDEX(DarlTilgung,2))/100/12,IF(AND($G945=0,$G944=1),MAX($K944,$J945*($H945+1)/100/12),$K944))))</f>
      </c>
      <c r="L945" s="43">
        <f>IF($I945=0,0,$J945*$H945/100/12)</f>
      </c>
      <c r="M945" s="43">
        <f>IF($I945=0,0,IF(OR(INDEX(DarlOhneTilgung,2)=1,AND(INDEX(DarlTilgStart,2)&gt;0,$E945&lt;INDEX(DarlTilgStart,2))),0,MIN(MAX(0,$K945-$L945),$J945)))</f>
      </c>
      <c r="N945" s="43">
        <f>IF($I945=0,0,MIN(SUMIFS(SondBetrag,SondDarl,2,SondDatum,"&gt;="&amp;$E945,SondDatum,"&lt;="&amp;EOMONTH($E945,0)),$J945-$M945))</f>
      </c>
      <c r="O945" s="43">
        <f>IF($I945=0,0,INDEX(DarlErsatzRate,2))</f>
      </c>
      <c r="P945" s="43">
        <f>IF($I945=0,0,$Q944*INDEX(DarlErsatzZins,2))</f>
      </c>
      <c r="Q945" s="43">
        <f>IF($I945=0,0,$Q944+$P945+$O945)</f>
      </c>
      <c r="R945" s="43">
        <f>IF($I945=0,0,$J945-$M945-$N945)</f>
      </c>
    </row>
    <row r="946">
      <c r="A946"/>
      <c r="B946">
        <v>2</v>
      </c>
      <c r="C946" s="43">
        <f>INDEX(DarlObj,2)</f>
      </c>
      <c r="D946">
        <v>463</v>
      </c>
      <c r="E946" s="51">
        <f>IF(INDEX(DarlBelegt,2)=0,0,EOMONTH(INDEX(DarlAuszahlung,2),462)+1)</f>
      </c>
      <c r="F946" s="43">
        <f>IF($E946=0,0,YEAR($E946))</f>
      </c>
      <c r="G946" s="43">
        <f>IF(INDEX(DarlBindung,2)="",1,IF($E946&lt;=INDEX(DarlBindung,2),1,0))</f>
      </c>
      <c r="H946" s="43">
        <f>IF($G946=1,INDEX(DarlSollzins,2),INDEX(DarlAnschluss,2))</f>
      </c>
      <c r="I946" s="43">
        <f>IF(INDEX(DarlBelegt,2)=0,0,IF(INDEX(DarlOhneTilgung,2)=1,IF(INDEX(DarlBindung,2)="",1,$G946),IF($J946&gt;0.005,1,0)))</f>
      </c>
      <c r="J946" s="43">
        <f>IF($I945=0,0,$R945)</f>
      </c>
      <c r="K946" s="43">
        <f>IF($I946=0,0,IF(INDEX(DarlOhneTilgung,2)=1,0,IF(AND(INDEX(DarlTilgStart,2)&gt;0,$E946=INDEX(DarlTilgStart,2)),$J946*($H946+INDEX(DarlTilgung,2))/100/12,IF(AND($G946=0,$G945=1),MAX($K945,$J946*($H946+1)/100/12),$K945))))</f>
      </c>
      <c r="L946" s="43">
        <f>IF($I946=0,0,$J946*$H946/100/12)</f>
      </c>
      <c r="M946" s="43">
        <f>IF($I946=0,0,IF(OR(INDEX(DarlOhneTilgung,2)=1,AND(INDEX(DarlTilgStart,2)&gt;0,$E946&lt;INDEX(DarlTilgStart,2))),0,MIN(MAX(0,$K946-$L946),$J946)))</f>
      </c>
      <c r="N946" s="43">
        <f>IF($I946=0,0,MIN(SUMIFS(SondBetrag,SondDarl,2,SondDatum,"&gt;="&amp;$E946,SondDatum,"&lt;="&amp;EOMONTH($E946,0)),$J946-$M946))</f>
      </c>
      <c r="O946" s="43">
        <f>IF($I946=0,0,INDEX(DarlErsatzRate,2))</f>
      </c>
      <c r="P946" s="43">
        <f>IF($I946=0,0,$Q945*INDEX(DarlErsatzZins,2))</f>
      </c>
      <c r="Q946" s="43">
        <f>IF($I946=0,0,$Q945+$P946+$O946)</f>
      </c>
      <c r="R946" s="43">
        <f>IF($I946=0,0,$J946-$M946-$N946)</f>
      </c>
    </row>
    <row r="947">
      <c r="A947"/>
      <c r="B947">
        <v>2</v>
      </c>
      <c r="C947" s="43">
        <f>INDEX(DarlObj,2)</f>
      </c>
      <c r="D947">
        <v>464</v>
      </c>
      <c r="E947" s="51">
        <f>IF(INDEX(DarlBelegt,2)=0,0,EOMONTH(INDEX(DarlAuszahlung,2),463)+1)</f>
      </c>
      <c r="F947" s="43">
        <f>IF($E947=0,0,YEAR($E947))</f>
      </c>
      <c r="G947" s="43">
        <f>IF(INDEX(DarlBindung,2)="",1,IF($E947&lt;=INDEX(DarlBindung,2),1,0))</f>
      </c>
      <c r="H947" s="43">
        <f>IF($G947=1,INDEX(DarlSollzins,2),INDEX(DarlAnschluss,2))</f>
      </c>
      <c r="I947" s="43">
        <f>IF(INDEX(DarlBelegt,2)=0,0,IF(INDEX(DarlOhneTilgung,2)=1,IF(INDEX(DarlBindung,2)="",1,$G947),IF($J947&gt;0.005,1,0)))</f>
      </c>
      <c r="J947" s="43">
        <f>IF($I946=0,0,$R946)</f>
      </c>
      <c r="K947" s="43">
        <f>IF($I947=0,0,IF(INDEX(DarlOhneTilgung,2)=1,0,IF(AND(INDEX(DarlTilgStart,2)&gt;0,$E947=INDEX(DarlTilgStart,2)),$J947*($H947+INDEX(DarlTilgung,2))/100/12,IF(AND($G947=0,$G946=1),MAX($K946,$J947*($H947+1)/100/12),$K946))))</f>
      </c>
      <c r="L947" s="43">
        <f>IF($I947=0,0,$J947*$H947/100/12)</f>
      </c>
      <c r="M947" s="43">
        <f>IF($I947=0,0,IF(OR(INDEX(DarlOhneTilgung,2)=1,AND(INDEX(DarlTilgStart,2)&gt;0,$E947&lt;INDEX(DarlTilgStart,2))),0,MIN(MAX(0,$K947-$L947),$J947)))</f>
      </c>
      <c r="N947" s="43">
        <f>IF($I947=0,0,MIN(SUMIFS(SondBetrag,SondDarl,2,SondDatum,"&gt;="&amp;$E947,SondDatum,"&lt;="&amp;EOMONTH($E947,0)),$J947-$M947))</f>
      </c>
      <c r="O947" s="43">
        <f>IF($I947=0,0,INDEX(DarlErsatzRate,2))</f>
      </c>
      <c r="P947" s="43">
        <f>IF($I947=0,0,$Q946*INDEX(DarlErsatzZins,2))</f>
      </c>
      <c r="Q947" s="43">
        <f>IF($I947=0,0,$Q946+$P947+$O947)</f>
      </c>
      <c r="R947" s="43">
        <f>IF($I947=0,0,$J947-$M947-$N947)</f>
      </c>
    </row>
    <row r="948">
      <c r="A948"/>
      <c r="B948">
        <v>2</v>
      </c>
      <c r="C948" s="43">
        <f>INDEX(DarlObj,2)</f>
      </c>
      <c r="D948">
        <v>465</v>
      </c>
      <c r="E948" s="51">
        <f>IF(INDEX(DarlBelegt,2)=0,0,EOMONTH(INDEX(DarlAuszahlung,2),464)+1)</f>
      </c>
      <c r="F948" s="43">
        <f>IF($E948=0,0,YEAR($E948))</f>
      </c>
      <c r="G948" s="43">
        <f>IF(INDEX(DarlBindung,2)="",1,IF($E948&lt;=INDEX(DarlBindung,2),1,0))</f>
      </c>
      <c r="H948" s="43">
        <f>IF($G948=1,INDEX(DarlSollzins,2),INDEX(DarlAnschluss,2))</f>
      </c>
      <c r="I948" s="43">
        <f>IF(INDEX(DarlBelegt,2)=0,0,IF(INDEX(DarlOhneTilgung,2)=1,IF(INDEX(DarlBindung,2)="",1,$G948),IF($J948&gt;0.005,1,0)))</f>
      </c>
      <c r="J948" s="43">
        <f>IF($I947=0,0,$R947)</f>
      </c>
      <c r="K948" s="43">
        <f>IF($I948=0,0,IF(INDEX(DarlOhneTilgung,2)=1,0,IF(AND(INDEX(DarlTilgStart,2)&gt;0,$E948=INDEX(DarlTilgStart,2)),$J948*($H948+INDEX(DarlTilgung,2))/100/12,IF(AND($G948=0,$G947=1),MAX($K947,$J948*($H948+1)/100/12),$K947))))</f>
      </c>
      <c r="L948" s="43">
        <f>IF($I948=0,0,$J948*$H948/100/12)</f>
      </c>
      <c r="M948" s="43">
        <f>IF($I948=0,0,IF(OR(INDEX(DarlOhneTilgung,2)=1,AND(INDEX(DarlTilgStart,2)&gt;0,$E948&lt;INDEX(DarlTilgStart,2))),0,MIN(MAX(0,$K948-$L948),$J948)))</f>
      </c>
      <c r="N948" s="43">
        <f>IF($I948=0,0,MIN(SUMIFS(SondBetrag,SondDarl,2,SondDatum,"&gt;="&amp;$E948,SondDatum,"&lt;="&amp;EOMONTH($E948,0)),$J948-$M948))</f>
      </c>
      <c r="O948" s="43">
        <f>IF($I948=0,0,INDEX(DarlErsatzRate,2))</f>
      </c>
      <c r="P948" s="43">
        <f>IF($I948=0,0,$Q947*INDEX(DarlErsatzZins,2))</f>
      </c>
      <c r="Q948" s="43">
        <f>IF($I948=0,0,$Q947+$P948+$O948)</f>
      </c>
      <c r="R948" s="43">
        <f>IF($I948=0,0,$J948-$M948-$N948)</f>
      </c>
    </row>
    <row r="949">
      <c r="A949"/>
      <c r="B949">
        <v>2</v>
      </c>
      <c r="C949" s="43">
        <f>INDEX(DarlObj,2)</f>
      </c>
      <c r="D949">
        <v>466</v>
      </c>
      <c r="E949" s="51">
        <f>IF(INDEX(DarlBelegt,2)=0,0,EOMONTH(INDEX(DarlAuszahlung,2),465)+1)</f>
      </c>
      <c r="F949" s="43">
        <f>IF($E949=0,0,YEAR($E949))</f>
      </c>
      <c r="G949" s="43">
        <f>IF(INDEX(DarlBindung,2)="",1,IF($E949&lt;=INDEX(DarlBindung,2),1,0))</f>
      </c>
      <c r="H949" s="43">
        <f>IF($G949=1,INDEX(DarlSollzins,2),INDEX(DarlAnschluss,2))</f>
      </c>
      <c r="I949" s="43">
        <f>IF(INDEX(DarlBelegt,2)=0,0,IF(INDEX(DarlOhneTilgung,2)=1,IF(INDEX(DarlBindung,2)="",1,$G949),IF($J949&gt;0.005,1,0)))</f>
      </c>
      <c r="J949" s="43">
        <f>IF($I948=0,0,$R948)</f>
      </c>
      <c r="K949" s="43">
        <f>IF($I949=0,0,IF(INDEX(DarlOhneTilgung,2)=1,0,IF(AND(INDEX(DarlTilgStart,2)&gt;0,$E949=INDEX(DarlTilgStart,2)),$J949*($H949+INDEX(DarlTilgung,2))/100/12,IF(AND($G949=0,$G948=1),MAX($K948,$J949*($H949+1)/100/12),$K948))))</f>
      </c>
      <c r="L949" s="43">
        <f>IF($I949=0,0,$J949*$H949/100/12)</f>
      </c>
      <c r="M949" s="43">
        <f>IF($I949=0,0,IF(OR(INDEX(DarlOhneTilgung,2)=1,AND(INDEX(DarlTilgStart,2)&gt;0,$E949&lt;INDEX(DarlTilgStart,2))),0,MIN(MAX(0,$K949-$L949),$J949)))</f>
      </c>
      <c r="N949" s="43">
        <f>IF($I949=0,0,MIN(SUMIFS(SondBetrag,SondDarl,2,SondDatum,"&gt;="&amp;$E949,SondDatum,"&lt;="&amp;EOMONTH($E949,0)),$J949-$M949))</f>
      </c>
      <c r="O949" s="43">
        <f>IF($I949=0,0,INDEX(DarlErsatzRate,2))</f>
      </c>
      <c r="P949" s="43">
        <f>IF($I949=0,0,$Q948*INDEX(DarlErsatzZins,2))</f>
      </c>
      <c r="Q949" s="43">
        <f>IF($I949=0,0,$Q948+$P949+$O949)</f>
      </c>
      <c r="R949" s="43">
        <f>IF($I949=0,0,$J949-$M949-$N949)</f>
      </c>
    </row>
    <row r="950">
      <c r="A950"/>
      <c r="B950">
        <v>2</v>
      </c>
      <c r="C950" s="43">
        <f>INDEX(DarlObj,2)</f>
      </c>
      <c r="D950">
        <v>467</v>
      </c>
      <c r="E950" s="51">
        <f>IF(INDEX(DarlBelegt,2)=0,0,EOMONTH(INDEX(DarlAuszahlung,2),466)+1)</f>
      </c>
      <c r="F950" s="43">
        <f>IF($E950=0,0,YEAR($E950))</f>
      </c>
      <c r="G950" s="43">
        <f>IF(INDEX(DarlBindung,2)="",1,IF($E950&lt;=INDEX(DarlBindung,2),1,0))</f>
      </c>
      <c r="H950" s="43">
        <f>IF($G950=1,INDEX(DarlSollzins,2),INDEX(DarlAnschluss,2))</f>
      </c>
      <c r="I950" s="43">
        <f>IF(INDEX(DarlBelegt,2)=0,0,IF(INDEX(DarlOhneTilgung,2)=1,IF(INDEX(DarlBindung,2)="",1,$G950),IF($J950&gt;0.005,1,0)))</f>
      </c>
      <c r="J950" s="43">
        <f>IF($I949=0,0,$R949)</f>
      </c>
      <c r="K950" s="43">
        <f>IF($I950=0,0,IF(INDEX(DarlOhneTilgung,2)=1,0,IF(AND(INDEX(DarlTilgStart,2)&gt;0,$E950=INDEX(DarlTilgStart,2)),$J950*($H950+INDEX(DarlTilgung,2))/100/12,IF(AND($G950=0,$G949=1),MAX($K949,$J950*($H950+1)/100/12),$K949))))</f>
      </c>
      <c r="L950" s="43">
        <f>IF($I950=0,0,$J950*$H950/100/12)</f>
      </c>
      <c r="M950" s="43">
        <f>IF($I950=0,0,IF(OR(INDEX(DarlOhneTilgung,2)=1,AND(INDEX(DarlTilgStart,2)&gt;0,$E950&lt;INDEX(DarlTilgStart,2))),0,MIN(MAX(0,$K950-$L950),$J950)))</f>
      </c>
      <c r="N950" s="43">
        <f>IF($I950=0,0,MIN(SUMIFS(SondBetrag,SondDarl,2,SondDatum,"&gt;="&amp;$E950,SondDatum,"&lt;="&amp;EOMONTH($E950,0)),$J950-$M950))</f>
      </c>
      <c r="O950" s="43">
        <f>IF($I950=0,0,INDEX(DarlErsatzRate,2))</f>
      </c>
      <c r="P950" s="43">
        <f>IF($I950=0,0,$Q949*INDEX(DarlErsatzZins,2))</f>
      </c>
      <c r="Q950" s="43">
        <f>IF($I950=0,0,$Q949+$P950+$O950)</f>
      </c>
      <c r="R950" s="43">
        <f>IF($I950=0,0,$J950-$M950-$N950)</f>
      </c>
    </row>
    <row r="951">
      <c r="A951"/>
      <c r="B951">
        <v>2</v>
      </c>
      <c r="C951" s="43">
        <f>INDEX(DarlObj,2)</f>
      </c>
      <c r="D951">
        <v>468</v>
      </c>
      <c r="E951" s="51">
        <f>IF(INDEX(DarlBelegt,2)=0,0,EOMONTH(INDEX(DarlAuszahlung,2),467)+1)</f>
      </c>
      <c r="F951" s="43">
        <f>IF($E951=0,0,YEAR($E951))</f>
      </c>
      <c r="G951" s="43">
        <f>IF(INDEX(DarlBindung,2)="",1,IF($E951&lt;=INDEX(DarlBindung,2),1,0))</f>
      </c>
      <c r="H951" s="43">
        <f>IF($G951=1,INDEX(DarlSollzins,2),INDEX(DarlAnschluss,2))</f>
      </c>
      <c r="I951" s="43">
        <f>IF(INDEX(DarlBelegt,2)=0,0,IF(INDEX(DarlOhneTilgung,2)=1,IF(INDEX(DarlBindung,2)="",1,$G951),IF($J951&gt;0.005,1,0)))</f>
      </c>
      <c r="J951" s="43">
        <f>IF($I950=0,0,$R950)</f>
      </c>
      <c r="K951" s="43">
        <f>IF($I951=0,0,IF(INDEX(DarlOhneTilgung,2)=1,0,IF(AND(INDEX(DarlTilgStart,2)&gt;0,$E951=INDEX(DarlTilgStart,2)),$J951*($H951+INDEX(DarlTilgung,2))/100/12,IF(AND($G951=0,$G950=1),MAX($K950,$J951*($H951+1)/100/12),$K950))))</f>
      </c>
      <c r="L951" s="43">
        <f>IF($I951=0,0,$J951*$H951/100/12)</f>
      </c>
      <c r="M951" s="43">
        <f>IF($I951=0,0,IF(OR(INDEX(DarlOhneTilgung,2)=1,AND(INDEX(DarlTilgStart,2)&gt;0,$E951&lt;INDEX(DarlTilgStart,2))),0,MIN(MAX(0,$K951-$L951),$J951)))</f>
      </c>
      <c r="N951" s="43">
        <f>IF($I951=0,0,MIN(SUMIFS(SondBetrag,SondDarl,2,SondDatum,"&gt;="&amp;$E951,SondDatum,"&lt;="&amp;EOMONTH($E951,0)),$J951-$M951))</f>
      </c>
      <c r="O951" s="43">
        <f>IF($I951=0,0,INDEX(DarlErsatzRate,2))</f>
      </c>
      <c r="P951" s="43">
        <f>IF($I951=0,0,$Q950*INDEX(DarlErsatzZins,2))</f>
      </c>
      <c r="Q951" s="43">
        <f>IF($I951=0,0,$Q950+$P951+$O951)</f>
      </c>
      <c r="R951" s="43">
        <f>IF($I951=0,0,$J951-$M951-$N951)</f>
      </c>
    </row>
    <row r="952">
      <c r="A952"/>
      <c r="B952">
        <v>2</v>
      </c>
      <c r="C952" s="43">
        <f>INDEX(DarlObj,2)</f>
      </c>
      <c r="D952">
        <v>469</v>
      </c>
      <c r="E952" s="51">
        <f>IF(INDEX(DarlBelegt,2)=0,0,EOMONTH(INDEX(DarlAuszahlung,2),468)+1)</f>
      </c>
      <c r="F952" s="43">
        <f>IF($E952=0,0,YEAR($E952))</f>
      </c>
      <c r="G952" s="43">
        <f>IF(INDEX(DarlBindung,2)="",1,IF($E952&lt;=INDEX(DarlBindung,2),1,0))</f>
      </c>
      <c r="H952" s="43">
        <f>IF($G952=1,INDEX(DarlSollzins,2),INDEX(DarlAnschluss,2))</f>
      </c>
      <c r="I952" s="43">
        <f>IF(INDEX(DarlBelegt,2)=0,0,IF(INDEX(DarlOhneTilgung,2)=1,IF(INDEX(DarlBindung,2)="",1,$G952),IF($J952&gt;0.005,1,0)))</f>
      </c>
      <c r="J952" s="43">
        <f>IF($I951=0,0,$R951)</f>
      </c>
      <c r="K952" s="43">
        <f>IF($I952=0,0,IF(INDEX(DarlOhneTilgung,2)=1,0,IF(AND(INDEX(DarlTilgStart,2)&gt;0,$E952=INDEX(DarlTilgStart,2)),$J952*($H952+INDEX(DarlTilgung,2))/100/12,IF(AND($G952=0,$G951=1),MAX($K951,$J952*($H952+1)/100/12),$K951))))</f>
      </c>
      <c r="L952" s="43">
        <f>IF($I952=0,0,$J952*$H952/100/12)</f>
      </c>
      <c r="M952" s="43">
        <f>IF($I952=0,0,IF(OR(INDEX(DarlOhneTilgung,2)=1,AND(INDEX(DarlTilgStart,2)&gt;0,$E952&lt;INDEX(DarlTilgStart,2))),0,MIN(MAX(0,$K952-$L952),$J952)))</f>
      </c>
      <c r="N952" s="43">
        <f>IF($I952=0,0,MIN(SUMIFS(SondBetrag,SondDarl,2,SondDatum,"&gt;="&amp;$E952,SondDatum,"&lt;="&amp;EOMONTH($E952,0)),$J952-$M952))</f>
      </c>
      <c r="O952" s="43">
        <f>IF($I952=0,0,INDEX(DarlErsatzRate,2))</f>
      </c>
      <c r="P952" s="43">
        <f>IF($I952=0,0,$Q951*INDEX(DarlErsatzZins,2))</f>
      </c>
      <c r="Q952" s="43">
        <f>IF($I952=0,0,$Q951+$P952+$O952)</f>
      </c>
      <c r="R952" s="43">
        <f>IF($I952=0,0,$J952-$M952-$N952)</f>
      </c>
    </row>
    <row r="953">
      <c r="A953"/>
      <c r="B953">
        <v>2</v>
      </c>
      <c r="C953" s="43">
        <f>INDEX(DarlObj,2)</f>
      </c>
      <c r="D953">
        <v>470</v>
      </c>
      <c r="E953" s="51">
        <f>IF(INDEX(DarlBelegt,2)=0,0,EOMONTH(INDEX(DarlAuszahlung,2),469)+1)</f>
      </c>
      <c r="F953" s="43">
        <f>IF($E953=0,0,YEAR($E953))</f>
      </c>
      <c r="G953" s="43">
        <f>IF(INDEX(DarlBindung,2)="",1,IF($E953&lt;=INDEX(DarlBindung,2),1,0))</f>
      </c>
      <c r="H953" s="43">
        <f>IF($G953=1,INDEX(DarlSollzins,2),INDEX(DarlAnschluss,2))</f>
      </c>
      <c r="I953" s="43">
        <f>IF(INDEX(DarlBelegt,2)=0,0,IF(INDEX(DarlOhneTilgung,2)=1,IF(INDEX(DarlBindung,2)="",1,$G953),IF($J953&gt;0.005,1,0)))</f>
      </c>
      <c r="J953" s="43">
        <f>IF($I952=0,0,$R952)</f>
      </c>
      <c r="K953" s="43">
        <f>IF($I953=0,0,IF(INDEX(DarlOhneTilgung,2)=1,0,IF(AND(INDEX(DarlTilgStart,2)&gt;0,$E953=INDEX(DarlTilgStart,2)),$J953*($H953+INDEX(DarlTilgung,2))/100/12,IF(AND($G953=0,$G952=1),MAX($K952,$J953*($H953+1)/100/12),$K952))))</f>
      </c>
      <c r="L953" s="43">
        <f>IF($I953=0,0,$J953*$H953/100/12)</f>
      </c>
      <c r="M953" s="43">
        <f>IF($I953=0,0,IF(OR(INDEX(DarlOhneTilgung,2)=1,AND(INDEX(DarlTilgStart,2)&gt;0,$E953&lt;INDEX(DarlTilgStart,2))),0,MIN(MAX(0,$K953-$L953),$J953)))</f>
      </c>
      <c r="N953" s="43">
        <f>IF($I953=0,0,MIN(SUMIFS(SondBetrag,SondDarl,2,SondDatum,"&gt;="&amp;$E953,SondDatum,"&lt;="&amp;EOMONTH($E953,0)),$J953-$M953))</f>
      </c>
      <c r="O953" s="43">
        <f>IF($I953=0,0,INDEX(DarlErsatzRate,2))</f>
      </c>
      <c r="P953" s="43">
        <f>IF($I953=0,0,$Q952*INDEX(DarlErsatzZins,2))</f>
      </c>
      <c r="Q953" s="43">
        <f>IF($I953=0,0,$Q952+$P953+$O953)</f>
      </c>
      <c r="R953" s="43">
        <f>IF($I953=0,0,$J953-$M953-$N953)</f>
      </c>
    </row>
    <row r="954">
      <c r="A954"/>
      <c r="B954">
        <v>2</v>
      </c>
      <c r="C954" s="43">
        <f>INDEX(DarlObj,2)</f>
      </c>
      <c r="D954">
        <v>471</v>
      </c>
      <c r="E954" s="51">
        <f>IF(INDEX(DarlBelegt,2)=0,0,EOMONTH(INDEX(DarlAuszahlung,2),470)+1)</f>
      </c>
      <c r="F954" s="43">
        <f>IF($E954=0,0,YEAR($E954))</f>
      </c>
      <c r="G954" s="43">
        <f>IF(INDEX(DarlBindung,2)="",1,IF($E954&lt;=INDEX(DarlBindung,2),1,0))</f>
      </c>
      <c r="H954" s="43">
        <f>IF($G954=1,INDEX(DarlSollzins,2),INDEX(DarlAnschluss,2))</f>
      </c>
      <c r="I954" s="43">
        <f>IF(INDEX(DarlBelegt,2)=0,0,IF(INDEX(DarlOhneTilgung,2)=1,IF(INDEX(DarlBindung,2)="",1,$G954),IF($J954&gt;0.005,1,0)))</f>
      </c>
      <c r="J954" s="43">
        <f>IF($I953=0,0,$R953)</f>
      </c>
      <c r="K954" s="43">
        <f>IF($I954=0,0,IF(INDEX(DarlOhneTilgung,2)=1,0,IF(AND(INDEX(DarlTilgStart,2)&gt;0,$E954=INDEX(DarlTilgStart,2)),$J954*($H954+INDEX(DarlTilgung,2))/100/12,IF(AND($G954=0,$G953=1),MAX($K953,$J954*($H954+1)/100/12),$K953))))</f>
      </c>
      <c r="L954" s="43">
        <f>IF($I954=0,0,$J954*$H954/100/12)</f>
      </c>
      <c r="M954" s="43">
        <f>IF($I954=0,0,IF(OR(INDEX(DarlOhneTilgung,2)=1,AND(INDEX(DarlTilgStart,2)&gt;0,$E954&lt;INDEX(DarlTilgStart,2))),0,MIN(MAX(0,$K954-$L954),$J954)))</f>
      </c>
      <c r="N954" s="43">
        <f>IF($I954=0,0,MIN(SUMIFS(SondBetrag,SondDarl,2,SondDatum,"&gt;="&amp;$E954,SondDatum,"&lt;="&amp;EOMONTH($E954,0)),$J954-$M954))</f>
      </c>
      <c r="O954" s="43">
        <f>IF($I954=0,0,INDEX(DarlErsatzRate,2))</f>
      </c>
      <c r="P954" s="43">
        <f>IF($I954=0,0,$Q953*INDEX(DarlErsatzZins,2))</f>
      </c>
      <c r="Q954" s="43">
        <f>IF($I954=0,0,$Q953+$P954+$O954)</f>
      </c>
      <c r="R954" s="43">
        <f>IF($I954=0,0,$J954-$M954-$N954)</f>
      </c>
    </row>
    <row r="955">
      <c r="A955"/>
      <c r="B955">
        <v>2</v>
      </c>
      <c r="C955" s="43">
        <f>INDEX(DarlObj,2)</f>
      </c>
      <c r="D955">
        <v>472</v>
      </c>
      <c r="E955" s="51">
        <f>IF(INDEX(DarlBelegt,2)=0,0,EOMONTH(INDEX(DarlAuszahlung,2),471)+1)</f>
      </c>
      <c r="F955" s="43">
        <f>IF($E955=0,0,YEAR($E955))</f>
      </c>
      <c r="G955" s="43">
        <f>IF(INDEX(DarlBindung,2)="",1,IF($E955&lt;=INDEX(DarlBindung,2),1,0))</f>
      </c>
      <c r="H955" s="43">
        <f>IF($G955=1,INDEX(DarlSollzins,2),INDEX(DarlAnschluss,2))</f>
      </c>
      <c r="I955" s="43">
        <f>IF(INDEX(DarlBelegt,2)=0,0,IF(INDEX(DarlOhneTilgung,2)=1,IF(INDEX(DarlBindung,2)="",1,$G955),IF($J955&gt;0.005,1,0)))</f>
      </c>
      <c r="J955" s="43">
        <f>IF($I954=0,0,$R954)</f>
      </c>
      <c r="K955" s="43">
        <f>IF($I955=0,0,IF(INDEX(DarlOhneTilgung,2)=1,0,IF(AND(INDEX(DarlTilgStart,2)&gt;0,$E955=INDEX(DarlTilgStart,2)),$J955*($H955+INDEX(DarlTilgung,2))/100/12,IF(AND($G955=0,$G954=1),MAX($K954,$J955*($H955+1)/100/12),$K954))))</f>
      </c>
      <c r="L955" s="43">
        <f>IF($I955=0,0,$J955*$H955/100/12)</f>
      </c>
      <c r="M955" s="43">
        <f>IF($I955=0,0,IF(OR(INDEX(DarlOhneTilgung,2)=1,AND(INDEX(DarlTilgStart,2)&gt;0,$E955&lt;INDEX(DarlTilgStart,2))),0,MIN(MAX(0,$K955-$L955),$J955)))</f>
      </c>
      <c r="N955" s="43">
        <f>IF($I955=0,0,MIN(SUMIFS(SondBetrag,SondDarl,2,SondDatum,"&gt;="&amp;$E955,SondDatum,"&lt;="&amp;EOMONTH($E955,0)),$J955-$M955))</f>
      </c>
      <c r="O955" s="43">
        <f>IF($I955=0,0,INDEX(DarlErsatzRate,2))</f>
      </c>
      <c r="P955" s="43">
        <f>IF($I955=0,0,$Q954*INDEX(DarlErsatzZins,2))</f>
      </c>
      <c r="Q955" s="43">
        <f>IF($I955=0,0,$Q954+$P955+$O955)</f>
      </c>
      <c r="R955" s="43">
        <f>IF($I955=0,0,$J955-$M955-$N955)</f>
      </c>
    </row>
    <row r="956">
      <c r="A956"/>
      <c r="B956">
        <v>2</v>
      </c>
      <c r="C956" s="43">
        <f>INDEX(DarlObj,2)</f>
      </c>
      <c r="D956">
        <v>473</v>
      </c>
      <c r="E956" s="51">
        <f>IF(INDEX(DarlBelegt,2)=0,0,EOMONTH(INDEX(DarlAuszahlung,2),472)+1)</f>
      </c>
      <c r="F956" s="43">
        <f>IF($E956=0,0,YEAR($E956))</f>
      </c>
      <c r="G956" s="43">
        <f>IF(INDEX(DarlBindung,2)="",1,IF($E956&lt;=INDEX(DarlBindung,2),1,0))</f>
      </c>
      <c r="H956" s="43">
        <f>IF($G956=1,INDEX(DarlSollzins,2),INDEX(DarlAnschluss,2))</f>
      </c>
      <c r="I956" s="43">
        <f>IF(INDEX(DarlBelegt,2)=0,0,IF(INDEX(DarlOhneTilgung,2)=1,IF(INDEX(DarlBindung,2)="",1,$G956),IF($J956&gt;0.005,1,0)))</f>
      </c>
      <c r="J956" s="43">
        <f>IF($I955=0,0,$R955)</f>
      </c>
      <c r="K956" s="43">
        <f>IF($I956=0,0,IF(INDEX(DarlOhneTilgung,2)=1,0,IF(AND(INDEX(DarlTilgStart,2)&gt;0,$E956=INDEX(DarlTilgStart,2)),$J956*($H956+INDEX(DarlTilgung,2))/100/12,IF(AND($G956=0,$G955=1),MAX($K955,$J956*($H956+1)/100/12),$K955))))</f>
      </c>
      <c r="L956" s="43">
        <f>IF($I956=0,0,$J956*$H956/100/12)</f>
      </c>
      <c r="M956" s="43">
        <f>IF($I956=0,0,IF(OR(INDEX(DarlOhneTilgung,2)=1,AND(INDEX(DarlTilgStart,2)&gt;0,$E956&lt;INDEX(DarlTilgStart,2))),0,MIN(MAX(0,$K956-$L956),$J956)))</f>
      </c>
      <c r="N956" s="43">
        <f>IF($I956=0,0,MIN(SUMIFS(SondBetrag,SondDarl,2,SondDatum,"&gt;="&amp;$E956,SondDatum,"&lt;="&amp;EOMONTH($E956,0)),$J956-$M956))</f>
      </c>
      <c r="O956" s="43">
        <f>IF($I956=0,0,INDEX(DarlErsatzRate,2))</f>
      </c>
      <c r="P956" s="43">
        <f>IF($I956=0,0,$Q955*INDEX(DarlErsatzZins,2))</f>
      </c>
      <c r="Q956" s="43">
        <f>IF($I956=0,0,$Q955+$P956+$O956)</f>
      </c>
      <c r="R956" s="43">
        <f>IF($I956=0,0,$J956-$M956-$N956)</f>
      </c>
    </row>
    <row r="957">
      <c r="A957"/>
      <c r="B957">
        <v>2</v>
      </c>
      <c r="C957" s="43">
        <f>INDEX(DarlObj,2)</f>
      </c>
      <c r="D957">
        <v>474</v>
      </c>
      <c r="E957" s="51">
        <f>IF(INDEX(DarlBelegt,2)=0,0,EOMONTH(INDEX(DarlAuszahlung,2),473)+1)</f>
      </c>
      <c r="F957" s="43">
        <f>IF($E957=0,0,YEAR($E957))</f>
      </c>
      <c r="G957" s="43">
        <f>IF(INDEX(DarlBindung,2)="",1,IF($E957&lt;=INDEX(DarlBindung,2),1,0))</f>
      </c>
      <c r="H957" s="43">
        <f>IF($G957=1,INDEX(DarlSollzins,2),INDEX(DarlAnschluss,2))</f>
      </c>
      <c r="I957" s="43">
        <f>IF(INDEX(DarlBelegt,2)=0,0,IF(INDEX(DarlOhneTilgung,2)=1,IF(INDEX(DarlBindung,2)="",1,$G957),IF($J957&gt;0.005,1,0)))</f>
      </c>
      <c r="J957" s="43">
        <f>IF($I956=0,0,$R956)</f>
      </c>
      <c r="K957" s="43">
        <f>IF($I957=0,0,IF(INDEX(DarlOhneTilgung,2)=1,0,IF(AND(INDEX(DarlTilgStart,2)&gt;0,$E957=INDEX(DarlTilgStart,2)),$J957*($H957+INDEX(DarlTilgung,2))/100/12,IF(AND($G957=0,$G956=1),MAX($K956,$J957*($H957+1)/100/12),$K956))))</f>
      </c>
      <c r="L957" s="43">
        <f>IF($I957=0,0,$J957*$H957/100/12)</f>
      </c>
      <c r="M957" s="43">
        <f>IF($I957=0,0,IF(OR(INDEX(DarlOhneTilgung,2)=1,AND(INDEX(DarlTilgStart,2)&gt;0,$E957&lt;INDEX(DarlTilgStart,2))),0,MIN(MAX(0,$K957-$L957),$J957)))</f>
      </c>
      <c r="N957" s="43">
        <f>IF($I957=0,0,MIN(SUMIFS(SondBetrag,SondDarl,2,SondDatum,"&gt;="&amp;$E957,SondDatum,"&lt;="&amp;EOMONTH($E957,0)),$J957-$M957))</f>
      </c>
      <c r="O957" s="43">
        <f>IF($I957=0,0,INDEX(DarlErsatzRate,2))</f>
      </c>
      <c r="P957" s="43">
        <f>IF($I957=0,0,$Q956*INDEX(DarlErsatzZins,2))</f>
      </c>
      <c r="Q957" s="43">
        <f>IF($I957=0,0,$Q956+$P957+$O957)</f>
      </c>
      <c r="R957" s="43">
        <f>IF($I957=0,0,$J957-$M957-$N957)</f>
      </c>
    </row>
    <row r="958">
      <c r="A958"/>
      <c r="B958">
        <v>2</v>
      </c>
      <c r="C958" s="43">
        <f>INDEX(DarlObj,2)</f>
      </c>
      <c r="D958">
        <v>475</v>
      </c>
      <c r="E958" s="51">
        <f>IF(INDEX(DarlBelegt,2)=0,0,EOMONTH(INDEX(DarlAuszahlung,2),474)+1)</f>
      </c>
      <c r="F958" s="43">
        <f>IF($E958=0,0,YEAR($E958))</f>
      </c>
      <c r="G958" s="43">
        <f>IF(INDEX(DarlBindung,2)="",1,IF($E958&lt;=INDEX(DarlBindung,2),1,0))</f>
      </c>
      <c r="H958" s="43">
        <f>IF($G958=1,INDEX(DarlSollzins,2),INDEX(DarlAnschluss,2))</f>
      </c>
      <c r="I958" s="43">
        <f>IF(INDEX(DarlBelegt,2)=0,0,IF(INDEX(DarlOhneTilgung,2)=1,IF(INDEX(DarlBindung,2)="",1,$G958),IF($J958&gt;0.005,1,0)))</f>
      </c>
      <c r="J958" s="43">
        <f>IF($I957=0,0,$R957)</f>
      </c>
      <c r="K958" s="43">
        <f>IF($I958=0,0,IF(INDEX(DarlOhneTilgung,2)=1,0,IF(AND(INDEX(DarlTilgStart,2)&gt;0,$E958=INDEX(DarlTilgStart,2)),$J958*($H958+INDEX(DarlTilgung,2))/100/12,IF(AND($G958=0,$G957=1),MAX($K957,$J958*($H958+1)/100/12),$K957))))</f>
      </c>
      <c r="L958" s="43">
        <f>IF($I958=0,0,$J958*$H958/100/12)</f>
      </c>
      <c r="M958" s="43">
        <f>IF($I958=0,0,IF(OR(INDEX(DarlOhneTilgung,2)=1,AND(INDEX(DarlTilgStart,2)&gt;0,$E958&lt;INDEX(DarlTilgStart,2))),0,MIN(MAX(0,$K958-$L958),$J958)))</f>
      </c>
      <c r="N958" s="43">
        <f>IF($I958=0,0,MIN(SUMIFS(SondBetrag,SondDarl,2,SondDatum,"&gt;="&amp;$E958,SondDatum,"&lt;="&amp;EOMONTH($E958,0)),$J958-$M958))</f>
      </c>
      <c r="O958" s="43">
        <f>IF($I958=0,0,INDEX(DarlErsatzRate,2))</f>
      </c>
      <c r="P958" s="43">
        <f>IF($I958=0,0,$Q957*INDEX(DarlErsatzZins,2))</f>
      </c>
      <c r="Q958" s="43">
        <f>IF($I958=0,0,$Q957+$P958+$O958)</f>
      </c>
      <c r="R958" s="43">
        <f>IF($I958=0,0,$J958-$M958-$N958)</f>
      </c>
    </row>
    <row r="959">
      <c r="A959"/>
      <c r="B959">
        <v>2</v>
      </c>
      <c r="C959" s="43">
        <f>INDEX(DarlObj,2)</f>
      </c>
      <c r="D959">
        <v>476</v>
      </c>
      <c r="E959" s="51">
        <f>IF(INDEX(DarlBelegt,2)=0,0,EOMONTH(INDEX(DarlAuszahlung,2),475)+1)</f>
      </c>
      <c r="F959" s="43">
        <f>IF($E959=0,0,YEAR($E959))</f>
      </c>
      <c r="G959" s="43">
        <f>IF(INDEX(DarlBindung,2)="",1,IF($E959&lt;=INDEX(DarlBindung,2),1,0))</f>
      </c>
      <c r="H959" s="43">
        <f>IF($G959=1,INDEX(DarlSollzins,2),INDEX(DarlAnschluss,2))</f>
      </c>
      <c r="I959" s="43">
        <f>IF(INDEX(DarlBelegt,2)=0,0,IF(INDEX(DarlOhneTilgung,2)=1,IF(INDEX(DarlBindung,2)="",1,$G959),IF($J959&gt;0.005,1,0)))</f>
      </c>
      <c r="J959" s="43">
        <f>IF($I958=0,0,$R958)</f>
      </c>
      <c r="K959" s="43">
        <f>IF($I959=0,0,IF(INDEX(DarlOhneTilgung,2)=1,0,IF(AND(INDEX(DarlTilgStart,2)&gt;0,$E959=INDEX(DarlTilgStart,2)),$J959*($H959+INDEX(DarlTilgung,2))/100/12,IF(AND($G959=0,$G958=1),MAX($K958,$J959*($H959+1)/100/12),$K958))))</f>
      </c>
      <c r="L959" s="43">
        <f>IF($I959=0,0,$J959*$H959/100/12)</f>
      </c>
      <c r="M959" s="43">
        <f>IF($I959=0,0,IF(OR(INDEX(DarlOhneTilgung,2)=1,AND(INDEX(DarlTilgStart,2)&gt;0,$E959&lt;INDEX(DarlTilgStart,2))),0,MIN(MAX(0,$K959-$L959),$J959)))</f>
      </c>
      <c r="N959" s="43">
        <f>IF($I959=0,0,MIN(SUMIFS(SondBetrag,SondDarl,2,SondDatum,"&gt;="&amp;$E959,SondDatum,"&lt;="&amp;EOMONTH($E959,0)),$J959-$M959))</f>
      </c>
      <c r="O959" s="43">
        <f>IF($I959=0,0,INDEX(DarlErsatzRate,2))</f>
      </c>
      <c r="P959" s="43">
        <f>IF($I959=0,0,$Q958*INDEX(DarlErsatzZins,2))</f>
      </c>
      <c r="Q959" s="43">
        <f>IF($I959=0,0,$Q958+$P959+$O959)</f>
      </c>
      <c r="R959" s="43">
        <f>IF($I959=0,0,$J959-$M959-$N959)</f>
      </c>
    </row>
    <row r="960">
      <c r="A960"/>
      <c r="B960">
        <v>2</v>
      </c>
      <c r="C960" s="43">
        <f>INDEX(DarlObj,2)</f>
      </c>
      <c r="D960">
        <v>477</v>
      </c>
      <c r="E960" s="51">
        <f>IF(INDEX(DarlBelegt,2)=0,0,EOMONTH(INDEX(DarlAuszahlung,2),476)+1)</f>
      </c>
      <c r="F960" s="43">
        <f>IF($E960=0,0,YEAR($E960))</f>
      </c>
      <c r="G960" s="43">
        <f>IF(INDEX(DarlBindung,2)="",1,IF($E960&lt;=INDEX(DarlBindung,2),1,0))</f>
      </c>
      <c r="H960" s="43">
        <f>IF($G960=1,INDEX(DarlSollzins,2),INDEX(DarlAnschluss,2))</f>
      </c>
      <c r="I960" s="43">
        <f>IF(INDEX(DarlBelegt,2)=0,0,IF(INDEX(DarlOhneTilgung,2)=1,IF(INDEX(DarlBindung,2)="",1,$G960),IF($J960&gt;0.005,1,0)))</f>
      </c>
      <c r="J960" s="43">
        <f>IF($I959=0,0,$R959)</f>
      </c>
      <c r="K960" s="43">
        <f>IF($I960=0,0,IF(INDEX(DarlOhneTilgung,2)=1,0,IF(AND(INDEX(DarlTilgStart,2)&gt;0,$E960=INDEX(DarlTilgStart,2)),$J960*($H960+INDEX(DarlTilgung,2))/100/12,IF(AND($G960=0,$G959=1),MAX($K959,$J960*($H960+1)/100/12),$K959))))</f>
      </c>
      <c r="L960" s="43">
        <f>IF($I960=0,0,$J960*$H960/100/12)</f>
      </c>
      <c r="M960" s="43">
        <f>IF($I960=0,0,IF(OR(INDEX(DarlOhneTilgung,2)=1,AND(INDEX(DarlTilgStart,2)&gt;0,$E960&lt;INDEX(DarlTilgStart,2))),0,MIN(MAX(0,$K960-$L960),$J960)))</f>
      </c>
      <c r="N960" s="43">
        <f>IF($I960=0,0,MIN(SUMIFS(SondBetrag,SondDarl,2,SondDatum,"&gt;="&amp;$E960,SondDatum,"&lt;="&amp;EOMONTH($E960,0)),$J960-$M960))</f>
      </c>
      <c r="O960" s="43">
        <f>IF($I960=0,0,INDEX(DarlErsatzRate,2))</f>
      </c>
      <c r="P960" s="43">
        <f>IF($I960=0,0,$Q959*INDEX(DarlErsatzZins,2))</f>
      </c>
      <c r="Q960" s="43">
        <f>IF($I960=0,0,$Q959+$P960+$O960)</f>
      </c>
      <c r="R960" s="43">
        <f>IF($I960=0,0,$J960-$M960-$N960)</f>
      </c>
    </row>
    <row r="961">
      <c r="A961"/>
      <c r="B961">
        <v>2</v>
      </c>
      <c r="C961" s="43">
        <f>INDEX(DarlObj,2)</f>
      </c>
      <c r="D961">
        <v>478</v>
      </c>
      <c r="E961" s="51">
        <f>IF(INDEX(DarlBelegt,2)=0,0,EOMONTH(INDEX(DarlAuszahlung,2),477)+1)</f>
      </c>
      <c r="F961" s="43">
        <f>IF($E961=0,0,YEAR($E961))</f>
      </c>
      <c r="G961" s="43">
        <f>IF(INDEX(DarlBindung,2)="",1,IF($E961&lt;=INDEX(DarlBindung,2),1,0))</f>
      </c>
      <c r="H961" s="43">
        <f>IF($G961=1,INDEX(DarlSollzins,2),INDEX(DarlAnschluss,2))</f>
      </c>
      <c r="I961" s="43">
        <f>IF(INDEX(DarlBelegt,2)=0,0,IF(INDEX(DarlOhneTilgung,2)=1,IF(INDEX(DarlBindung,2)="",1,$G961),IF($J961&gt;0.005,1,0)))</f>
      </c>
      <c r="J961" s="43">
        <f>IF($I960=0,0,$R960)</f>
      </c>
      <c r="K961" s="43">
        <f>IF($I961=0,0,IF(INDEX(DarlOhneTilgung,2)=1,0,IF(AND(INDEX(DarlTilgStart,2)&gt;0,$E961=INDEX(DarlTilgStart,2)),$J961*($H961+INDEX(DarlTilgung,2))/100/12,IF(AND($G961=0,$G960=1),MAX($K960,$J961*($H961+1)/100/12),$K960))))</f>
      </c>
      <c r="L961" s="43">
        <f>IF($I961=0,0,$J961*$H961/100/12)</f>
      </c>
      <c r="M961" s="43">
        <f>IF($I961=0,0,IF(OR(INDEX(DarlOhneTilgung,2)=1,AND(INDEX(DarlTilgStart,2)&gt;0,$E961&lt;INDEX(DarlTilgStart,2))),0,MIN(MAX(0,$K961-$L961),$J961)))</f>
      </c>
      <c r="N961" s="43">
        <f>IF($I961=0,0,MIN(SUMIFS(SondBetrag,SondDarl,2,SondDatum,"&gt;="&amp;$E961,SondDatum,"&lt;="&amp;EOMONTH($E961,0)),$J961-$M961))</f>
      </c>
      <c r="O961" s="43">
        <f>IF($I961=0,0,INDEX(DarlErsatzRate,2))</f>
      </c>
      <c r="P961" s="43">
        <f>IF($I961=0,0,$Q960*INDEX(DarlErsatzZins,2))</f>
      </c>
      <c r="Q961" s="43">
        <f>IF($I961=0,0,$Q960+$P961+$O961)</f>
      </c>
      <c r="R961" s="43">
        <f>IF($I961=0,0,$J961-$M961-$N961)</f>
      </c>
    </row>
    <row r="962">
      <c r="A962"/>
      <c r="B962">
        <v>2</v>
      </c>
      <c r="C962" s="43">
        <f>INDEX(DarlObj,2)</f>
      </c>
      <c r="D962">
        <v>479</v>
      </c>
      <c r="E962" s="51">
        <f>IF(INDEX(DarlBelegt,2)=0,0,EOMONTH(INDEX(DarlAuszahlung,2),478)+1)</f>
      </c>
      <c r="F962" s="43">
        <f>IF($E962=0,0,YEAR($E962))</f>
      </c>
      <c r="G962" s="43">
        <f>IF(INDEX(DarlBindung,2)="",1,IF($E962&lt;=INDEX(DarlBindung,2),1,0))</f>
      </c>
      <c r="H962" s="43">
        <f>IF($G962=1,INDEX(DarlSollzins,2),INDEX(DarlAnschluss,2))</f>
      </c>
      <c r="I962" s="43">
        <f>IF(INDEX(DarlBelegt,2)=0,0,IF(INDEX(DarlOhneTilgung,2)=1,IF(INDEX(DarlBindung,2)="",1,$G962),IF($J962&gt;0.005,1,0)))</f>
      </c>
      <c r="J962" s="43">
        <f>IF($I961=0,0,$R961)</f>
      </c>
      <c r="K962" s="43">
        <f>IF($I962=0,0,IF(INDEX(DarlOhneTilgung,2)=1,0,IF(AND(INDEX(DarlTilgStart,2)&gt;0,$E962=INDEX(DarlTilgStart,2)),$J962*($H962+INDEX(DarlTilgung,2))/100/12,IF(AND($G962=0,$G961=1),MAX($K961,$J962*($H962+1)/100/12),$K961))))</f>
      </c>
      <c r="L962" s="43">
        <f>IF($I962=0,0,$J962*$H962/100/12)</f>
      </c>
      <c r="M962" s="43">
        <f>IF($I962=0,0,IF(OR(INDEX(DarlOhneTilgung,2)=1,AND(INDEX(DarlTilgStart,2)&gt;0,$E962&lt;INDEX(DarlTilgStart,2))),0,MIN(MAX(0,$K962-$L962),$J962)))</f>
      </c>
      <c r="N962" s="43">
        <f>IF($I962=0,0,MIN(SUMIFS(SondBetrag,SondDarl,2,SondDatum,"&gt;="&amp;$E962,SondDatum,"&lt;="&amp;EOMONTH($E962,0)),$J962-$M962))</f>
      </c>
      <c r="O962" s="43">
        <f>IF($I962=0,0,INDEX(DarlErsatzRate,2))</f>
      </c>
      <c r="P962" s="43">
        <f>IF($I962=0,0,$Q961*INDEX(DarlErsatzZins,2))</f>
      </c>
      <c r="Q962" s="43">
        <f>IF($I962=0,0,$Q961+$P962+$O962)</f>
      </c>
      <c r="R962" s="43">
        <f>IF($I962=0,0,$J962-$M962-$N962)</f>
      </c>
    </row>
    <row r="963">
      <c r="A963"/>
      <c r="B963">
        <v>2</v>
      </c>
      <c r="C963" s="43">
        <f>INDEX(DarlObj,2)</f>
      </c>
      <c r="D963">
        <v>480</v>
      </c>
      <c r="E963" s="51">
        <f>IF(INDEX(DarlBelegt,2)=0,0,EOMONTH(INDEX(DarlAuszahlung,2),479)+1)</f>
      </c>
      <c r="F963" s="43">
        <f>IF($E963=0,0,YEAR($E963))</f>
      </c>
      <c r="G963" s="43">
        <f>IF(INDEX(DarlBindung,2)="",1,IF($E963&lt;=INDEX(DarlBindung,2),1,0))</f>
      </c>
      <c r="H963" s="43">
        <f>IF($G963=1,INDEX(DarlSollzins,2),INDEX(DarlAnschluss,2))</f>
      </c>
      <c r="I963" s="43">
        <f>IF(INDEX(DarlBelegt,2)=0,0,IF(INDEX(DarlOhneTilgung,2)=1,IF(INDEX(DarlBindung,2)="",1,$G963),IF($J963&gt;0.005,1,0)))</f>
      </c>
      <c r="J963" s="43">
        <f>IF($I962=0,0,$R962)</f>
      </c>
      <c r="K963" s="43">
        <f>IF($I963=0,0,IF(INDEX(DarlOhneTilgung,2)=1,0,IF(AND(INDEX(DarlTilgStart,2)&gt;0,$E963=INDEX(DarlTilgStart,2)),$J963*($H963+INDEX(DarlTilgung,2))/100/12,IF(AND($G963=0,$G962=1),MAX($K962,$J963*($H963+1)/100/12),$K962))))</f>
      </c>
      <c r="L963" s="43">
        <f>IF($I963=0,0,$J963*$H963/100/12)</f>
      </c>
      <c r="M963" s="43">
        <f>IF($I963=0,0,IF(OR(INDEX(DarlOhneTilgung,2)=1,AND(INDEX(DarlTilgStart,2)&gt;0,$E963&lt;INDEX(DarlTilgStart,2))),0,MIN(MAX(0,$K963-$L963),$J963)))</f>
      </c>
      <c r="N963" s="43">
        <f>IF($I963=0,0,MIN(SUMIFS(SondBetrag,SondDarl,2,SondDatum,"&gt;="&amp;$E963,SondDatum,"&lt;="&amp;EOMONTH($E963,0)),$J963-$M963))</f>
      </c>
      <c r="O963" s="43">
        <f>IF($I963=0,0,INDEX(DarlErsatzRate,2))</f>
      </c>
      <c r="P963" s="43">
        <f>IF($I963=0,0,$Q962*INDEX(DarlErsatzZins,2))</f>
      </c>
      <c r="Q963" s="43">
        <f>IF($I963=0,0,$Q962+$P963+$O963)</f>
      </c>
      <c r="R963" s="43">
        <f>IF($I963=0,0,$J963-$M963-$N963)</f>
      </c>
    </row>
    <row r="964">
      <c r="A964"/>
      <c r="B964">
        <v>3</v>
      </c>
      <c r="C964" s="43">
        <f>INDEX(DarlObj,3)</f>
      </c>
      <c r="D964">
        <v>1</v>
      </c>
      <c r="E964" s="51">
        <f>IF(INDEX(DarlBelegt,3)=0,0,EOMONTH(INDEX(DarlAuszahlung,3),0)+1)</f>
      </c>
      <c r="F964" s="43">
        <f>IF($E964=0,0,YEAR($E964))</f>
      </c>
      <c r="G964" s="43">
        <f>IF(INDEX(DarlBindung,3)="",1,IF($E964&lt;=INDEX(DarlBindung,3),1,0))</f>
      </c>
      <c r="H964" s="43">
        <f>IF($G964=1,INDEX(DarlSollzins,3),INDEX(DarlAnschluss,3))</f>
      </c>
      <c r="I964" s="43">
        <f>IF(INDEX(DarlBelegt,3)=0,0,IF(INDEX(DarlOhneTilgung,3)=1,IF(INDEX(DarlBindung,3)="",1,$G964),IF($J964&gt;0.005,1,0)))</f>
      </c>
      <c r="J964" s="43">
        <f>IF(INDEX(DarlBelegt,3)=0,0,INDEX(DarlBetrag,3))</f>
      </c>
      <c r="K964" s="43">
        <f>IF($I964=0,0,IF(INDEX(DarlOhneTilgung,3)=1,0,INDEX(DarlRate1,3)))</f>
      </c>
      <c r="L964" s="43">
        <f>IF($I964=0,0,$J964*$H964/100/12)</f>
      </c>
      <c r="M964" s="43">
        <f>IF($I964=0,0,IF(OR(INDEX(DarlOhneTilgung,3)=1,AND(INDEX(DarlTilgStart,3)&gt;0,$E964&lt;INDEX(DarlTilgStart,3))),0,MIN(MAX(0,$K964-$L964),$J964)))</f>
      </c>
      <c r="N964" s="43">
        <f>IF($I964=0,0,MIN(SUMIFS(SondBetrag,SondDarl,3,SondDatum,"&gt;="&amp;$E964,SondDatum,"&lt;="&amp;EOMONTH($E964,0)),$J964-$M964))</f>
      </c>
      <c r="O964" s="43">
        <f>IF($I964=0,0,INDEX(DarlErsatzRate,3))</f>
      </c>
      <c r="P964" s="43">
        <f>0</f>
      </c>
      <c r="Q964" s="43">
        <f>IF($I964=0,0,$P964+$O964)</f>
      </c>
      <c r="R964" s="43">
        <f>IF($I964=0,0,$J964-$M964-$N964)</f>
      </c>
    </row>
    <row r="965">
      <c r="A965"/>
      <c r="B965">
        <v>3</v>
      </c>
      <c r="C965" s="43">
        <f>INDEX(DarlObj,3)</f>
      </c>
      <c r="D965">
        <v>2</v>
      </c>
      <c r="E965" s="51">
        <f>IF(INDEX(DarlBelegt,3)=0,0,EOMONTH(INDEX(DarlAuszahlung,3),1)+1)</f>
      </c>
      <c r="F965" s="43">
        <f>IF($E965=0,0,YEAR($E965))</f>
      </c>
      <c r="G965" s="43">
        <f>IF(INDEX(DarlBindung,3)="",1,IF($E965&lt;=INDEX(DarlBindung,3),1,0))</f>
      </c>
      <c r="H965" s="43">
        <f>IF($G965=1,INDEX(DarlSollzins,3),INDEX(DarlAnschluss,3))</f>
      </c>
      <c r="I965" s="43">
        <f>IF(INDEX(DarlBelegt,3)=0,0,IF(INDEX(DarlOhneTilgung,3)=1,IF(INDEX(DarlBindung,3)="",1,$G965),IF($J965&gt;0.005,1,0)))</f>
      </c>
      <c r="J965" s="43">
        <f>IF($I964=0,0,$R964)</f>
      </c>
      <c r="K965" s="43">
        <f>IF($I965=0,0,IF(INDEX(DarlOhneTilgung,3)=1,0,IF(AND(INDEX(DarlTilgStart,3)&gt;0,$E965=INDEX(DarlTilgStart,3)),$J965*($H965+INDEX(DarlTilgung,3))/100/12,IF(AND($G965=0,$G964=1),MAX($K964,$J965*($H965+1)/100/12),$K964))))</f>
      </c>
      <c r="L965" s="43">
        <f>IF($I965=0,0,$J965*$H965/100/12)</f>
      </c>
      <c r="M965" s="43">
        <f>IF($I965=0,0,IF(OR(INDEX(DarlOhneTilgung,3)=1,AND(INDEX(DarlTilgStart,3)&gt;0,$E965&lt;INDEX(DarlTilgStart,3))),0,MIN(MAX(0,$K965-$L965),$J965)))</f>
      </c>
      <c r="N965" s="43">
        <f>IF($I965=0,0,MIN(SUMIFS(SondBetrag,SondDarl,3,SondDatum,"&gt;="&amp;$E965,SondDatum,"&lt;="&amp;EOMONTH($E965,0)),$J965-$M965))</f>
      </c>
      <c r="O965" s="43">
        <f>IF($I965=0,0,INDEX(DarlErsatzRate,3))</f>
      </c>
      <c r="P965" s="43">
        <f>IF($I965=0,0,$Q964*INDEX(DarlErsatzZins,3))</f>
      </c>
      <c r="Q965" s="43">
        <f>IF($I965=0,0,$Q964+$P965+$O965)</f>
      </c>
      <c r="R965" s="43">
        <f>IF($I965=0,0,$J965-$M965-$N965)</f>
      </c>
    </row>
    <row r="966">
      <c r="A966"/>
      <c r="B966">
        <v>3</v>
      </c>
      <c r="C966" s="43">
        <f>INDEX(DarlObj,3)</f>
      </c>
      <c r="D966">
        <v>3</v>
      </c>
      <c r="E966" s="51">
        <f>IF(INDEX(DarlBelegt,3)=0,0,EOMONTH(INDEX(DarlAuszahlung,3),2)+1)</f>
      </c>
      <c r="F966" s="43">
        <f>IF($E966=0,0,YEAR($E966))</f>
      </c>
      <c r="G966" s="43">
        <f>IF(INDEX(DarlBindung,3)="",1,IF($E966&lt;=INDEX(DarlBindung,3),1,0))</f>
      </c>
      <c r="H966" s="43">
        <f>IF($G966=1,INDEX(DarlSollzins,3),INDEX(DarlAnschluss,3))</f>
      </c>
      <c r="I966" s="43">
        <f>IF(INDEX(DarlBelegt,3)=0,0,IF(INDEX(DarlOhneTilgung,3)=1,IF(INDEX(DarlBindung,3)="",1,$G966),IF($J966&gt;0.005,1,0)))</f>
      </c>
      <c r="J966" s="43">
        <f>IF($I965=0,0,$R965)</f>
      </c>
      <c r="K966" s="43">
        <f>IF($I966=0,0,IF(INDEX(DarlOhneTilgung,3)=1,0,IF(AND(INDEX(DarlTilgStart,3)&gt;0,$E966=INDEX(DarlTilgStart,3)),$J966*($H966+INDEX(DarlTilgung,3))/100/12,IF(AND($G966=0,$G965=1),MAX($K965,$J966*($H966+1)/100/12),$K965))))</f>
      </c>
      <c r="L966" s="43">
        <f>IF($I966=0,0,$J966*$H966/100/12)</f>
      </c>
      <c r="M966" s="43">
        <f>IF($I966=0,0,IF(OR(INDEX(DarlOhneTilgung,3)=1,AND(INDEX(DarlTilgStart,3)&gt;0,$E966&lt;INDEX(DarlTilgStart,3))),0,MIN(MAX(0,$K966-$L966),$J966)))</f>
      </c>
      <c r="N966" s="43">
        <f>IF($I966=0,0,MIN(SUMIFS(SondBetrag,SondDarl,3,SondDatum,"&gt;="&amp;$E966,SondDatum,"&lt;="&amp;EOMONTH($E966,0)),$J966-$M966))</f>
      </c>
      <c r="O966" s="43">
        <f>IF($I966=0,0,INDEX(DarlErsatzRate,3))</f>
      </c>
      <c r="P966" s="43">
        <f>IF($I966=0,0,$Q965*INDEX(DarlErsatzZins,3))</f>
      </c>
      <c r="Q966" s="43">
        <f>IF($I966=0,0,$Q965+$P966+$O966)</f>
      </c>
      <c r="R966" s="43">
        <f>IF($I966=0,0,$J966-$M966-$N966)</f>
      </c>
    </row>
    <row r="967">
      <c r="A967"/>
      <c r="B967">
        <v>3</v>
      </c>
      <c r="C967" s="43">
        <f>INDEX(DarlObj,3)</f>
      </c>
      <c r="D967">
        <v>4</v>
      </c>
      <c r="E967" s="51">
        <f>IF(INDEX(DarlBelegt,3)=0,0,EOMONTH(INDEX(DarlAuszahlung,3),3)+1)</f>
      </c>
      <c r="F967" s="43">
        <f>IF($E967=0,0,YEAR($E967))</f>
      </c>
      <c r="G967" s="43">
        <f>IF(INDEX(DarlBindung,3)="",1,IF($E967&lt;=INDEX(DarlBindung,3),1,0))</f>
      </c>
      <c r="H967" s="43">
        <f>IF($G967=1,INDEX(DarlSollzins,3),INDEX(DarlAnschluss,3))</f>
      </c>
      <c r="I967" s="43">
        <f>IF(INDEX(DarlBelegt,3)=0,0,IF(INDEX(DarlOhneTilgung,3)=1,IF(INDEX(DarlBindung,3)="",1,$G967),IF($J967&gt;0.005,1,0)))</f>
      </c>
      <c r="J967" s="43">
        <f>IF($I966=0,0,$R966)</f>
      </c>
      <c r="K967" s="43">
        <f>IF($I967=0,0,IF(INDEX(DarlOhneTilgung,3)=1,0,IF(AND(INDEX(DarlTilgStart,3)&gt;0,$E967=INDEX(DarlTilgStart,3)),$J967*($H967+INDEX(DarlTilgung,3))/100/12,IF(AND($G967=0,$G966=1),MAX($K966,$J967*($H967+1)/100/12),$K966))))</f>
      </c>
      <c r="L967" s="43">
        <f>IF($I967=0,0,$J967*$H967/100/12)</f>
      </c>
      <c r="M967" s="43">
        <f>IF($I967=0,0,IF(OR(INDEX(DarlOhneTilgung,3)=1,AND(INDEX(DarlTilgStart,3)&gt;0,$E967&lt;INDEX(DarlTilgStart,3))),0,MIN(MAX(0,$K967-$L967),$J967)))</f>
      </c>
      <c r="N967" s="43">
        <f>IF($I967=0,0,MIN(SUMIFS(SondBetrag,SondDarl,3,SondDatum,"&gt;="&amp;$E967,SondDatum,"&lt;="&amp;EOMONTH($E967,0)),$J967-$M967))</f>
      </c>
      <c r="O967" s="43">
        <f>IF($I967=0,0,INDEX(DarlErsatzRate,3))</f>
      </c>
      <c r="P967" s="43">
        <f>IF($I967=0,0,$Q966*INDEX(DarlErsatzZins,3))</f>
      </c>
      <c r="Q967" s="43">
        <f>IF($I967=0,0,$Q966+$P967+$O967)</f>
      </c>
      <c r="R967" s="43">
        <f>IF($I967=0,0,$J967-$M967-$N967)</f>
      </c>
    </row>
    <row r="968">
      <c r="A968"/>
      <c r="B968">
        <v>3</v>
      </c>
      <c r="C968" s="43">
        <f>INDEX(DarlObj,3)</f>
      </c>
      <c r="D968">
        <v>5</v>
      </c>
      <c r="E968" s="51">
        <f>IF(INDEX(DarlBelegt,3)=0,0,EOMONTH(INDEX(DarlAuszahlung,3),4)+1)</f>
      </c>
      <c r="F968" s="43">
        <f>IF($E968=0,0,YEAR($E968))</f>
      </c>
      <c r="G968" s="43">
        <f>IF(INDEX(DarlBindung,3)="",1,IF($E968&lt;=INDEX(DarlBindung,3),1,0))</f>
      </c>
      <c r="H968" s="43">
        <f>IF($G968=1,INDEX(DarlSollzins,3),INDEX(DarlAnschluss,3))</f>
      </c>
      <c r="I968" s="43">
        <f>IF(INDEX(DarlBelegt,3)=0,0,IF(INDEX(DarlOhneTilgung,3)=1,IF(INDEX(DarlBindung,3)="",1,$G968),IF($J968&gt;0.005,1,0)))</f>
      </c>
      <c r="J968" s="43">
        <f>IF($I967=0,0,$R967)</f>
      </c>
      <c r="K968" s="43">
        <f>IF($I968=0,0,IF(INDEX(DarlOhneTilgung,3)=1,0,IF(AND(INDEX(DarlTilgStart,3)&gt;0,$E968=INDEX(DarlTilgStart,3)),$J968*($H968+INDEX(DarlTilgung,3))/100/12,IF(AND($G968=0,$G967=1),MAX($K967,$J968*($H968+1)/100/12),$K967))))</f>
      </c>
      <c r="L968" s="43">
        <f>IF($I968=0,0,$J968*$H968/100/12)</f>
      </c>
      <c r="M968" s="43">
        <f>IF($I968=0,0,IF(OR(INDEX(DarlOhneTilgung,3)=1,AND(INDEX(DarlTilgStart,3)&gt;0,$E968&lt;INDEX(DarlTilgStart,3))),0,MIN(MAX(0,$K968-$L968),$J968)))</f>
      </c>
      <c r="N968" s="43">
        <f>IF($I968=0,0,MIN(SUMIFS(SondBetrag,SondDarl,3,SondDatum,"&gt;="&amp;$E968,SondDatum,"&lt;="&amp;EOMONTH($E968,0)),$J968-$M968))</f>
      </c>
      <c r="O968" s="43">
        <f>IF($I968=0,0,INDEX(DarlErsatzRate,3))</f>
      </c>
      <c r="P968" s="43">
        <f>IF($I968=0,0,$Q967*INDEX(DarlErsatzZins,3))</f>
      </c>
      <c r="Q968" s="43">
        <f>IF($I968=0,0,$Q967+$P968+$O968)</f>
      </c>
      <c r="R968" s="43">
        <f>IF($I968=0,0,$J968-$M968-$N968)</f>
      </c>
    </row>
    <row r="969">
      <c r="A969"/>
      <c r="B969">
        <v>3</v>
      </c>
      <c r="C969" s="43">
        <f>INDEX(DarlObj,3)</f>
      </c>
      <c r="D969">
        <v>6</v>
      </c>
      <c r="E969" s="51">
        <f>IF(INDEX(DarlBelegt,3)=0,0,EOMONTH(INDEX(DarlAuszahlung,3),5)+1)</f>
      </c>
      <c r="F969" s="43">
        <f>IF($E969=0,0,YEAR($E969))</f>
      </c>
      <c r="G969" s="43">
        <f>IF(INDEX(DarlBindung,3)="",1,IF($E969&lt;=INDEX(DarlBindung,3),1,0))</f>
      </c>
      <c r="H969" s="43">
        <f>IF($G969=1,INDEX(DarlSollzins,3),INDEX(DarlAnschluss,3))</f>
      </c>
      <c r="I969" s="43">
        <f>IF(INDEX(DarlBelegt,3)=0,0,IF(INDEX(DarlOhneTilgung,3)=1,IF(INDEX(DarlBindung,3)="",1,$G969),IF($J969&gt;0.005,1,0)))</f>
      </c>
      <c r="J969" s="43">
        <f>IF($I968=0,0,$R968)</f>
      </c>
      <c r="K969" s="43">
        <f>IF($I969=0,0,IF(INDEX(DarlOhneTilgung,3)=1,0,IF(AND(INDEX(DarlTilgStart,3)&gt;0,$E969=INDEX(DarlTilgStart,3)),$J969*($H969+INDEX(DarlTilgung,3))/100/12,IF(AND($G969=0,$G968=1),MAX($K968,$J969*($H969+1)/100/12),$K968))))</f>
      </c>
      <c r="L969" s="43">
        <f>IF($I969=0,0,$J969*$H969/100/12)</f>
      </c>
      <c r="M969" s="43">
        <f>IF($I969=0,0,IF(OR(INDEX(DarlOhneTilgung,3)=1,AND(INDEX(DarlTilgStart,3)&gt;0,$E969&lt;INDEX(DarlTilgStart,3))),0,MIN(MAX(0,$K969-$L969),$J969)))</f>
      </c>
      <c r="N969" s="43">
        <f>IF($I969=0,0,MIN(SUMIFS(SondBetrag,SondDarl,3,SondDatum,"&gt;="&amp;$E969,SondDatum,"&lt;="&amp;EOMONTH($E969,0)),$J969-$M969))</f>
      </c>
      <c r="O969" s="43">
        <f>IF($I969=0,0,INDEX(DarlErsatzRate,3))</f>
      </c>
      <c r="P969" s="43">
        <f>IF($I969=0,0,$Q968*INDEX(DarlErsatzZins,3))</f>
      </c>
      <c r="Q969" s="43">
        <f>IF($I969=0,0,$Q968+$P969+$O969)</f>
      </c>
      <c r="R969" s="43">
        <f>IF($I969=0,0,$J969-$M969-$N969)</f>
      </c>
    </row>
    <row r="970">
      <c r="A970"/>
      <c r="B970">
        <v>3</v>
      </c>
      <c r="C970" s="43">
        <f>INDEX(DarlObj,3)</f>
      </c>
      <c r="D970">
        <v>7</v>
      </c>
      <c r="E970" s="51">
        <f>IF(INDEX(DarlBelegt,3)=0,0,EOMONTH(INDEX(DarlAuszahlung,3),6)+1)</f>
      </c>
      <c r="F970" s="43">
        <f>IF($E970=0,0,YEAR($E970))</f>
      </c>
      <c r="G970" s="43">
        <f>IF(INDEX(DarlBindung,3)="",1,IF($E970&lt;=INDEX(DarlBindung,3),1,0))</f>
      </c>
      <c r="H970" s="43">
        <f>IF($G970=1,INDEX(DarlSollzins,3),INDEX(DarlAnschluss,3))</f>
      </c>
      <c r="I970" s="43">
        <f>IF(INDEX(DarlBelegt,3)=0,0,IF(INDEX(DarlOhneTilgung,3)=1,IF(INDEX(DarlBindung,3)="",1,$G970),IF($J970&gt;0.005,1,0)))</f>
      </c>
      <c r="J970" s="43">
        <f>IF($I969=0,0,$R969)</f>
      </c>
      <c r="K970" s="43">
        <f>IF($I970=0,0,IF(INDEX(DarlOhneTilgung,3)=1,0,IF(AND(INDEX(DarlTilgStart,3)&gt;0,$E970=INDEX(DarlTilgStart,3)),$J970*($H970+INDEX(DarlTilgung,3))/100/12,IF(AND($G970=0,$G969=1),MAX($K969,$J970*($H970+1)/100/12),$K969))))</f>
      </c>
      <c r="L970" s="43">
        <f>IF($I970=0,0,$J970*$H970/100/12)</f>
      </c>
      <c r="M970" s="43">
        <f>IF($I970=0,0,IF(OR(INDEX(DarlOhneTilgung,3)=1,AND(INDEX(DarlTilgStart,3)&gt;0,$E970&lt;INDEX(DarlTilgStart,3))),0,MIN(MAX(0,$K970-$L970),$J970)))</f>
      </c>
      <c r="N970" s="43">
        <f>IF($I970=0,0,MIN(SUMIFS(SondBetrag,SondDarl,3,SondDatum,"&gt;="&amp;$E970,SondDatum,"&lt;="&amp;EOMONTH($E970,0)),$J970-$M970))</f>
      </c>
      <c r="O970" s="43">
        <f>IF($I970=0,0,INDEX(DarlErsatzRate,3))</f>
      </c>
      <c r="P970" s="43">
        <f>IF($I970=0,0,$Q969*INDEX(DarlErsatzZins,3))</f>
      </c>
      <c r="Q970" s="43">
        <f>IF($I970=0,0,$Q969+$P970+$O970)</f>
      </c>
      <c r="R970" s="43">
        <f>IF($I970=0,0,$J970-$M970-$N970)</f>
      </c>
    </row>
    <row r="971">
      <c r="A971"/>
      <c r="B971">
        <v>3</v>
      </c>
      <c r="C971" s="43">
        <f>INDEX(DarlObj,3)</f>
      </c>
      <c r="D971">
        <v>8</v>
      </c>
      <c r="E971" s="51">
        <f>IF(INDEX(DarlBelegt,3)=0,0,EOMONTH(INDEX(DarlAuszahlung,3),7)+1)</f>
      </c>
      <c r="F971" s="43">
        <f>IF($E971=0,0,YEAR($E971))</f>
      </c>
      <c r="G971" s="43">
        <f>IF(INDEX(DarlBindung,3)="",1,IF($E971&lt;=INDEX(DarlBindung,3),1,0))</f>
      </c>
      <c r="H971" s="43">
        <f>IF($G971=1,INDEX(DarlSollzins,3),INDEX(DarlAnschluss,3))</f>
      </c>
      <c r="I971" s="43">
        <f>IF(INDEX(DarlBelegt,3)=0,0,IF(INDEX(DarlOhneTilgung,3)=1,IF(INDEX(DarlBindung,3)="",1,$G971),IF($J971&gt;0.005,1,0)))</f>
      </c>
      <c r="J971" s="43">
        <f>IF($I970=0,0,$R970)</f>
      </c>
      <c r="K971" s="43">
        <f>IF($I971=0,0,IF(INDEX(DarlOhneTilgung,3)=1,0,IF(AND(INDEX(DarlTilgStart,3)&gt;0,$E971=INDEX(DarlTilgStart,3)),$J971*($H971+INDEX(DarlTilgung,3))/100/12,IF(AND($G971=0,$G970=1),MAX($K970,$J971*($H971+1)/100/12),$K970))))</f>
      </c>
      <c r="L971" s="43">
        <f>IF($I971=0,0,$J971*$H971/100/12)</f>
      </c>
      <c r="M971" s="43">
        <f>IF($I971=0,0,IF(OR(INDEX(DarlOhneTilgung,3)=1,AND(INDEX(DarlTilgStart,3)&gt;0,$E971&lt;INDEX(DarlTilgStart,3))),0,MIN(MAX(0,$K971-$L971),$J971)))</f>
      </c>
      <c r="N971" s="43">
        <f>IF($I971=0,0,MIN(SUMIFS(SondBetrag,SondDarl,3,SondDatum,"&gt;="&amp;$E971,SondDatum,"&lt;="&amp;EOMONTH($E971,0)),$J971-$M971))</f>
      </c>
      <c r="O971" s="43">
        <f>IF($I971=0,0,INDEX(DarlErsatzRate,3))</f>
      </c>
      <c r="P971" s="43">
        <f>IF($I971=0,0,$Q970*INDEX(DarlErsatzZins,3))</f>
      </c>
      <c r="Q971" s="43">
        <f>IF($I971=0,0,$Q970+$P971+$O971)</f>
      </c>
      <c r="R971" s="43">
        <f>IF($I971=0,0,$J971-$M971-$N971)</f>
      </c>
    </row>
    <row r="972">
      <c r="A972"/>
      <c r="B972">
        <v>3</v>
      </c>
      <c r="C972" s="43">
        <f>INDEX(DarlObj,3)</f>
      </c>
      <c r="D972">
        <v>9</v>
      </c>
      <c r="E972" s="51">
        <f>IF(INDEX(DarlBelegt,3)=0,0,EOMONTH(INDEX(DarlAuszahlung,3),8)+1)</f>
      </c>
      <c r="F972" s="43">
        <f>IF($E972=0,0,YEAR($E972))</f>
      </c>
      <c r="G972" s="43">
        <f>IF(INDEX(DarlBindung,3)="",1,IF($E972&lt;=INDEX(DarlBindung,3),1,0))</f>
      </c>
      <c r="H972" s="43">
        <f>IF($G972=1,INDEX(DarlSollzins,3),INDEX(DarlAnschluss,3))</f>
      </c>
      <c r="I972" s="43">
        <f>IF(INDEX(DarlBelegt,3)=0,0,IF(INDEX(DarlOhneTilgung,3)=1,IF(INDEX(DarlBindung,3)="",1,$G972),IF($J972&gt;0.005,1,0)))</f>
      </c>
      <c r="J972" s="43">
        <f>IF($I971=0,0,$R971)</f>
      </c>
      <c r="K972" s="43">
        <f>IF($I972=0,0,IF(INDEX(DarlOhneTilgung,3)=1,0,IF(AND(INDEX(DarlTilgStart,3)&gt;0,$E972=INDEX(DarlTilgStart,3)),$J972*($H972+INDEX(DarlTilgung,3))/100/12,IF(AND($G972=0,$G971=1),MAX($K971,$J972*($H972+1)/100/12),$K971))))</f>
      </c>
      <c r="L972" s="43">
        <f>IF($I972=0,0,$J972*$H972/100/12)</f>
      </c>
      <c r="M972" s="43">
        <f>IF($I972=0,0,IF(OR(INDEX(DarlOhneTilgung,3)=1,AND(INDEX(DarlTilgStart,3)&gt;0,$E972&lt;INDEX(DarlTilgStart,3))),0,MIN(MAX(0,$K972-$L972),$J972)))</f>
      </c>
      <c r="N972" s="43">
        <f>IF($I972=0,0,MIN(SUMIFS(SondBetrag,SondDarl,3,SondDatum,"&gt;="&amp;$E972,SondDatum,"&lt;="&amp;EOMONTH($E972,0)),$J972-$M972))</f>
      </c>
      <c r="O972" s="43">
        <f>IF($I972=0,0,INDEX(DarlErsatzRate,3))</f>
      </c>
      <c r="P972" s="43">
        <f>IF($I972=0,0,$Q971*INDEX(DarlErsatzZins,3))</f>
      </c>
      <c r="Q972" s="43">
        <f>IF($I972=0,0,$Q971+$P972+$O972)</f>
      </c>
      <c r="R972" s="43">
        <f>IF($I972=0,0,$J972-$M972-$N972)</f>
      </c>
    </row>
    <row r="973">
      <c r="A973"/>
      <c r="B973">
        <v>3</v>
      </c>
      <c r="C973" s="43">
        <f>INDEX(DarlObj,3)</f>
      </c>
      <c r="D973">
        <v>10</v>
      </c>
      <c r="E973" s="51">
        <f>IF(INDEX(DarlBelegt,3)=0,0,EOMONTH(INDEX(DarlAuszahlung,3),9)+1)</f>
      </c>
      <c r="F973" s="43">
        <f>IF($E973=0,0,YEAR($E973))</f>
      </c>
      <c r="G973" s="43">
        <f>IF(INDEX(DarlBindung,3)="",1,IF($E973&lt;=INDEX(DarlBindung,3),1,0))</f>
      </c>
      <c r="H973" s="43">
        <f>IF($G973=1,INDEX(DarlSollzins,3),INDEX(DarlAnschluss,3))</f>
      </c>
      <c r="I973" s="43">
        <f>IF(INDEX(DarlBelegt,3)=0,0,IF(INDEX(DarlOhneTilgung,3)=1,IF(INDEX(DarlBindung,3)="",1,$G973),IF($J973&gt;0.005,1,0)))</f>
      </c>
      <c r="J973" s="43">
        <f>IF($I972=0,0,$R972)</f>
      </c>
      <c r="K973" s="43">
        <f>IF($I973=0,0,IF(INDEX(DarlOhneTilgung,3)=1,0,IF(AND(INDEX(DarlTilgStart,3)&gt;0,$E973=INDEX(DarlTilgStart,3)),$J973*($H973+INDEX(DarlTilgung,3))/100/12,IF(AND($G973=0,$G972=1),MAX($K972,$J973*($H973+1)/100/12),$K972))))</f>
      </c>
      <c r="L973" s="43">
        <f>IF($I973=0,0,$J973*$H973/100/12)</f>
      </c>
      <c r="M973" s="43">
        <f>IF($I973=0,0,IF(OR(INDEX(DarlOhneTilgung,3)=1,AND(INDEX(DarlTilgStart,3)&gt;0,$E973&lt;INDEX(DarlTilgStart,3))),0,MIN(MAX(0,$K973-$L973),$J973)))</f>
      </c>
      <c r="N973" s="43">
        <f>IF($I973=0,0,MIN(SUMIFS(SondBetrag,SondDarl,3,SondDatum,"&gt;="&amp;$E973,SondDatum,"&lt;="&amp;EOMONTH($E973,0)),$J973-$M973))</f>
      </c>
      <c r="O973" s="43">
        <f>IF($I973=0,0,INDEX(DarlErsatzRate,3))</f>
      </c>
      <c r="P973" s="43">
        <f>IF($I973=0,0,$Q972*INDEX(DarlErsatzZins,3))</f>
      </c>
      <c r="Q973" s="43">
        <f>IF($I973=0,0,$Q972+$P973+$O973)</f>
      </c>
      <c r="R973" s="43">
        <f>IF($I973=0,0,$J973-$M973-$N973)</f>
      </c>
    </row>
    <row r="974">
      <c r="A974"/>
      <c r="B974">
        <v>3</v>
      </c>
      <c r="C974" s="43">
        <f>INDEX(DarlObj,3)</f>
      </c>
      <c r="D974">
        <v>11</v>
      </c>
      <c r="E974" s="51">
        <f>IF(INDEX(DarlBelegt,3)=0,0,EOMONTH(INDEX(DarlAuszahlung,3),10)+1)</f>
      </c>
      <c r="F974" s="43">
        <f>IF($E974=0,0,YEAR($E974))</f>
      </c>
      <c r="G974" s="43">
        <f>IF(INDEX(DarlBindung,3)="",1,IF($E974&lt;=INDEX(DarlBindung,3),1,0))</f>
      </c>
      <c r="H974" s="43">
        <f>IF($G974=1,INDEX(DarlSollzins,3),INDEX(DarlAnschluss,3))</f>
      </c>
      <c r="I974" s="43">
        <f>IF(INDEX(DarlBelegt,3)=0,0,IF(INDEX(DarlOhneTilgung,3)=1,IF(INDEX(DarlBindung,3)="",1,$G974),IF($J974&gt;0.005,1,0)))</f>
      </c>
      <c r="J974" s="43">
        <f>IF($I973=0,0,$R973)</f>
      </c>
      <c r="K974" s="43">
        <f>IF($I974=0,0,IF(INDEX(DarlOhneTilgung,3)=1,0,IF(AND(INDEX(DarlTilgStart,3)&gt;0,$E974=INDEX(DarlTilgStart,3)),$J974*($H974+INDEX(DarlTilgung,3))/100/12,IF(AND($G974=0,$G973=1),MAX($K973,$J974*($H974+1)/100/12),$K973))))</f>
      </c>
      <c r="L974" s="43">
        <f>IF($I974=0,0,$J974*$H974/100/12)</f>
      </c>
      <c r="M974" s="43">
        <f>IF($I974=0,0,IF(OR(INDEX(DarlOhneTilgung,3)=1,AND(INDEX(DarlTilgStart,3)&gt;0,$E974&lt;INDEX(DarlTilgStart,3))),0,MIN(MAX(0,$K974-$L974),$J974)))</f>
      </c>
      <c r="N974" s="43">
        <f>IF($I974=0,0,MIN(SUMIFS(SondBetrag,SondDarl,3,SondDatum,"&gt;="&amp;$E974,SondDatum,"&lt;="&amp;EOMONTH($E974,0)),$J974-$M974))</f>
      </c>
      <c r="O974" s="43">
        <f>IF($I974=0,0,INDEX(DarlErsatzRate,3))</f>
      </c>
      <c r="P974" s="43">
        <f>IF($I974=0,0,$Q973*INDEX(DarlErsatzZins,3))</f>
      </c>
      <c r="Q974" s="43">
        <f>IF($I974=0,0,$Q973+$P974+$O974)</f>
      </c>
      <c r="R974" s="43">
        <f>IF($I974=0,0,$J974-$M974-$N974)</f>
      </c>
    </row>
    <row r="975">
      <c r="A975"/>
      <c r="B975">
        <v>3</v>
      </c>
      <c r="C975" s="43">
        <f>INDEX(DarlObj,3)</f>
      </c>
      <c r="D975">
        <v>12</v>
      </c>
      <c r="E975" s="51">
        <f>IF(INDEX(DarlBelegt,3)=0,0,EOMONTH(INDEX(DarlAuszahlung,3),11)+1)</f>
      </c>
      <c r="F975" s="43">
        <f>IF($E975=0,0,YEAR($E975))</f>
      </c>
      <c r="G975" s="43">
        <f>IF(INDEX(DarlBindung,3)="",1,IF($E975&lt;=INDEX(DarlBindung,3),1,0))</f>
      </c>
      <c r="H975" s="43">
        <f>IF($G975=1,INDEX(DarlSollzins,3),INDEX(DarlAnschluss,3))</f>
      </c>
      <c r="I975" s="43">
        <f>IF(INDEX(DarlBelegt,3)=0,0,IF(INDEX(DarlOhneTilgung,3)=1,IF(INDEX(DarlBindung,3)="",1,$G975),IF($J975&gt;0.005,1,0)))</f>
      </c>
      <c r="J975" s="43">
        <f>IF($I974=0,0,$R974)</f>
      </c>
      <c r="K975" s="43">
        <f>IF($I975=0,0,IF(INDEX(DarlOhneTilgung,3)=1,0,IF(AND(INDEX(DarlTilgStart,3)&gt;0,$E975=INDEX(DarlTilgStart,3)),$J975*($H975+INDEX(DarlTilgung,3))/100/12,IF(AND($G975=0,$G974=1),MAX($K974,$J975*($H975+1)/100/12),$K974))))</f>
      </c>
      <c r="L975" s="43">
        <f>IF($I975=0,0,$J975*$H975/100/12)</f>
      </c>
      <c r="M975" s="43">
        <f>IF($I975=0,0,IF(OR(INDEX(DarlOhneTilgung,3)=1,AND(INDEX(DarlTilgStart,3)&gt;0,$E975&lt;INDEX(DarlTilgStart,3))),0,MIN(MAX(0,$K975-$L975),$J975)))</f>
      </c>
      <c r="N975" s="43">
        <f>IF($I975=0,0,MIN(SUMIFS(SondBetrag,SondDarl,3,SondDatum,"&gt;="&amp;$E975,SondDatum,"&lt;="&amp;EOMONTH($E975,0)),$J975-$M975))</f>
      </c>
      <c r="O975" s="43">
        <f>IF($I975=0,0,INDEX(DarlErsatzRate,3))</f>
      </c>
      <c r="P975" s="43">
        <f>IF($I975=0,0,$Q974*INDEX(DarlErsatzZins,3))</f>
      </c>
      <c r="Q975" s="43">
        <f>IF($I975=0,0,$Q974+$P975+$O975)</f>
      </c>
      <c r="R975" s="43">
        <f>IF($I975=0,0,$J975-$M975-$N975)</f>
      </c>
    </row>
    <row r="976">
      <c r="A976"/>
      <c r="B976">
        <v>3</v>
      </c>
      <c r="C976" s="43">
        <f>INDEX(DarlObj,3)</f>
      </c>
      <c r="D976">
        <v>13</v>
      </c>
      <c r="E976" s="51">
        <f>IF(INDEX(DarlBelegt,3)=0,0,EOMONTH(INDEX(DarlAuszahlung,3),12)+1)</f>
      </c>
      <c r="F976" s="43">
        <f>IF($E976=0,0,YEAR($E976))</f>
      </c>
      <c r="G976" s="43">
        <f>IF(INDEX(DarlBindung,3)="",1,IF($E976&lt;=INDEX(DarlBindung,3),1,0))</f>
      </c>
      <c r="H976" s="43">
        <f>IF($G976=1,INDEX(DarlSollzins,3),INDEX(DarlAnschluss,3))</f>
      </c>
      <c r="I976" s="43">
        <f>IF(INDEX(DarlBelegt,3)=0,0,IF(INDEX(DarlOhneTilgung,3)=1,IF(INDEX(DarlBindung,3)="",1,$G976),IF($J976&gt;0.005,1,0)))</f>
      </c>
      <c r="J976" s="43">
        <f>IF($I975=0,0,$R975)</f>
      </c>
      <c r="K976" s="43">
        <f>IF($I976=0,0,IF(INDEX(DarlOhneTilgung,3)=1,0,IF(AND(INDEX(DarlTilgStart,3)&gt;0,$E976=INDEX(DarlTilgStart,3)),$J976*($H976+INDEX(DarlTilgung,3))/100/12,IF(AND($G976=0,$G975=1),MAX($K975,$J976*($H976+1)/100/12),$K975))))</f>
      </c>
      <c r="L976" s="43">
        <f>IF($I976=0,0,$J976*$H976/100/12)</f>
      </c>
      <c r="M976" s="43">
        <f>IF($I976=0,0,IF(OR(INDEX(DarlOhneTilgung,3)=1,AND(INDEX(DarlTilgStart,3)&gt;0,$E976&lt;INDEX(DarlTilgStart,3))),0,MIN(MAX(0,$K976-$L976),$J976)))</f>
      </c>
      <c r="N976" s="43">
        <f>IF($I976=0,0,MIN(SUMIFS(SondBetrag,SondDarl,3,SondDatum,"&gt;="&amp;$E976,SondDatum,"&lt;="&amp;EOMONTH($E976,0)),$J976-$M976))</f>
      </c>
      <c r="O976" s="43">
        <f>IF($I976=0,0,INDEX(DarlErsatzRate,3))</f>
      </c>
      <c r="P976" s="43">
        <f>IF($I976=0,0,$Q975*INDEX(DarlErsatzZins,3))</f>
      </c>
      <c r="Q976" s="43">
        <f>IF($I976=0,0,$Q975+$P976+$O976)</f>
      </c>
      <c r="R976" s="43">
        <f>IF($I976=0,0,$J976-$M976-$N976)</f>
      </c>
    </row>
    <row r="977">
      <c r="A977"/>
      <c r="B977">
        <v>3</v>
      </c>
      <c r="C977" s="43">
        <f>INDEX(DarlObj,3)</f>
      </c>
      <c r="D977">
        <v>14</v>
      </c>
      <c r="E977" s="51">
        <f>IF(INDEX(DarlBelegt,3)=0,0,EOMONTH(INDEX(DarlAuszahlung,3),13)+1)</f>
      </c>
      <c r="F977" s="43">
        <f>IF($E977=0,0,YEAR($E977))</f>
      </c>
      <c r="G977" s="43">
        <f>IF(INDEX(DarlBindung,3)="",1,IF($E977&lt;=INDEX(DarlBindung,3),1,0))</f>
      </c>
      <c r="H977" s="43">
        <f>IF($G977=1,INDEX(DarlSollzins,3),INDEX(DarlAnschluss,3))</f>
      </c>
      <c r="I977" s="43">
        <f>IF(INDEX(DarlBelegt,3)=0,0,IF(INDEX(DarlOhneTilgung,3)=1,IF(INDEX(DarlBindung,3)="",1,$G977),IF($J977&gt;0.005,1,0)))</f>
      </c>
      <c r="J977" s="43">
        <f>IF($I976=0,0,$R976)</f>
      </c>
      <c r="K977" s="43">
        <f>IF($I977=0,0,IF(INDEX(DarlOhneTilgung,3)=1,0,IF(AND(INDEX(DarlTilgStart,3)&gt;0,$E977=INDEX(DarlTilgStart,3)),$J977*($H977+INDEX(DarlTilgung,3))/100/12,IF(AND($G977=0,$G976=1),MAX($K976,$J977*($H977+1)/100/12),$K976))))</f>
      </c>
      <c r="L977" s="43">
        <f>IF($I977=0,0,$J977*$H977/100/12)</f>
      </c>
      <c r="M977" s="43">
        <f>IF($I977=0,0,IF(OR(INDEX(DarlOhneTilgung,3)=1,AND(INDEX(DarlTilgStart,3)&gt;0,$E977&lt;INDEX(DarlTilgStart,3))),0,MIN(MAX(0,$K977-$L977),$J977)))</f>
      </c>
      <c r="N977" s="43">
        <f>IF($I977=0,0,MIN(SUMIFS(SondBetrag,SondDarl,3,SondDatum,"&gt;="&amp;$E977,SondDatum,"&lt;="&amp;EOMONTH($E977,0)),$J977-$M977))</f>
      </c>
      <c r="O977" s="43">
        <f>IF($I977=0,0,INDEX(DarlErsatzRate,3))</f>
      </c>
      <c r="P977" s="43">
        <f>IF($I977=0,0,$Q976*INDEX(DarlErsatzZins,3))</f>
      </c>
      <c r="Q977" s="43">
        <f>IF($I977=0,0,$Q976+$P977+$O977)</f>
      </c>
      <c r="R977" s="43">
        <f>IF($I977=0,0,$J977-$M977-$N977)</f>
      </c>
    </row>
    <row r="978">
      <c r="A978"/>
      <c r="B978">
        <v>3</v>
      </c>
      <c r="C978" s="43">
        <f>INDEX(DarlObj,3)</f>
      </c>
      <c r="D978">
        <v>15</v>
      </c>
      <c r="E978" s="51">
        <f>IF(INDEX(DarlBelegt,3)=0,0,EOMONTH(INDEX(DarlAuszahlung,3),14)+1)</f>
      </c>
      <c r="F978" s="43">
        <f>IF($E978=0,0,YEAR($E978))</f>
      </c>
      <c r="G978" s="43">
        <f>IF(INDEX(DarlBindung,3)="",1,IF($E978&lt;=INDEX(DarlBindung,3),1,0))</f>
      </c>
      <c r="H978" s="43">
        <f>IF($G978=1,INDEX(DarlSollzins,3),INDEX(DarlAnschluss,3))</f>
      </c>
      <c r="I978" s="43">
        <f>IF(INDEX(DarlBelegt,3)=0,0,IF(INDEX(DarlOhneTilgung,3)=1,IF(INDEX(DarlBindung,3)="",1,$G978),IF($J978&gt;0.005,1,0)))</f>
      </c>
      <c r="J978" s="43">
        <f>IF($I977=0,0,$R977)</f>
      </c>
      <c r="K978" s="43">
        <f>IF($I978=0,0,IF(INDEX(DarlOhneTilgung,3)=1,0,IF(AND(INDEX(DarlTilgStart,3)&gt;0,$E978=INDEX(DarlTilgStart,3)),$J978*($H978+INDEX(DarlTilgung,3))/100/12,IF(AND($G978=0,$G977=1),MAX($K977,$J978*($H978+1)/100/12),$K977))))</f>
      </c>
      <c r="L978" s="43">
        <f>IF($I978=0,0,$J978*$H978/100/12)</f>
      </c>
      <c r="M978" s="43">
        <f>IF($I978=0,0,IF(OR(INDEX(DarlOhneTilgung,3)=1,AND(INDEX(DarlTilgStart,3)&gt;0,$E978&lt;INDEX(DarlTilgStart,3))),0,MIN(MAX(0,$K978-$L978),$J978)))</f>
      </c>
      <c r="N978" s="43">
        <f>IF($I978=0,0,MIN(SUMIFS(SondBetrag,SondDarl,3,SondDatum,"&gt;="&amp;$E978,SondDatum,"&lt;="&amp;EOMONTH($E978,0)),$J978-$M978))</f>
      </c>
      <c r="O978" s="43">
        <f>IF($I978=0,0,INDEX(DarlErsatzRate,3))</f>
      </c>
      <c r="P978" s="43">
        <f>IF($I978=0,0,$Q977*INDEX(DarlErsatzZins,3))</f>
      </c>
      <c r="Q978" s="43">
        <f>IF($I978=0,0,$Q977+$P978+$O978)</f>
      </c>
      <c r="R978" s="43">
        <f>IF($I978=0,0,$J978-$M978-$N978)</f>
      </c>
    </row>
    <row r="979">
      <c r="A979"/>
      <c r="B979">
        <v>3</v>
      </c>
      <c r="C979" s="43">
        <f>INDEX(DarlObj,3)</f>
      </c>
      <c r="D979">
        <v>16</v>
      </c>
      <c r="E979" s="51">
        <f>IF(INDEX(DarlBelegt,3)=0,0,EOMONTH(INDEX(DarlAuszahlung,3),15)+1)</f>
      </c>
      <c r="F979" s="43">
        <f>IF($E979=0,0,YEAR($E979))</f>
      </c>
      <c r="G979" s="43">
        <f>IF(INDEX(DarlBindung,3)="",1,IF($E979&lt;=INDEX(DarlBindung,3),1,0))</f>
      </c>
      <c r="H979" s="43">
        <f>IF($G979=1,INDEX(DarlSollzins,3),INDEX(DarlAnschluss,3))</f>
      </c>
      <c r="I979" s="43">
        <f>IF(INDEX(DarlBelegt,3)=0,0,IF(INDEX(DarlOhneTilgung,3)=1,IF(INDEX(DarlBindung,3)="",1,$G979),IF($J979&gt;0.005,1,0)))</f>
      </c>
      <c r="J979" s="43">
        <f>IF($I978=0,0,$R978)</f>
      </c>
      <c r="K979" s="43">
        <f>IF($I979=0,0,IF(INDEX(DarlOhneTilgung,3)=1,0,IF(AND(INDEX(DarlTilgStart,3)&gt;0,$E979=INDEX(DarlTilgStart,3)),$J979*($H979+INDEX(DarlTilgung,3))/100/12,IF(AND($G979=0,$G978=1),MAX($K978,$J979*($H979+1)/100/12),$K978))))</f>
      </c>
      <c r="L979" s="43">
        <f>IF($I979=0,0,$J979*$H979/100/12)</f>
      </c>
      <c r="M979" s="43">
        <f>IF($I979=0,0,IF(OR(INDEX(DarlOhneTilgung,3)=1,AND(INDEX(DarlTilgStart,3)&gt;0,$E979&lt;INDEX(DarlTilgStart,3))),0,MIN(MAX(0,$K979-$L979),$J979)))</f>
      </c>
      <c r="N979" s="43">
        <f>IF($I979=0,0,MIN(SUMIFS(SondBetrag,SondDarl,3,SondDatum,"&gt;="&amp;$E979,SondDatum,"&lt;="&amp;EOMONTH($E979,0)),$J979-$M979))</f>
      </c>
      <c r="O979" s="43">
        <f>IF($I979=0,0,INDEX(DarlErsatzRate,3))</f>
      </c>
      <c r="P979" s="43">
        <f>IF($I979=0,0,$Q978*INDEX(DarlErsatzZins,3))</f>
      </c>
      <c r="Q979" s="43">
        <f>IF($I979=0,0,$Q978+$P979+$O979)</f>
      </c>
      <c r="R979" s="43">
        <f>IF($I979=0,0,$J979-$M979-$N979)</f>
      </c>
    </row>
    <row r="980">
      <c r="A980"/>
      <c r="B980">
        <v>3</v>
      </c>
      <c r="C980" s="43">
        <f>INDEX(DarlObj,3)</f>
      </c>
      <c r="D980">
        <v>17</v>
      </c>
      <c r="E980" s="51">
        <f>IF(INDEX(DarlBelegt,3)=0,0,EOMONTH(INDEX(DarlAuszahlung,3),16)+1)</f>
      </c>
      <c r="F980" s="43">
        <f>IF($E980=0,0,YEAR($E980))</f>
      </c>
      <c r="G980" s="43">
        <f>IF(INDEX(DarlBindung,3)="",1,IF($E980&lt;=INDEX(DarlBindung,3),1,0))</f>
      </c>
      <c r="H980" s="43">
        <f>IF($G980=1,INDEX(DarlSollzins,3),INDEX(DarlAnschluss,3))</f>
      </c>
      <c r="I980" s="43">
        <f>IF(INDEX(DarlBelegt,3)=0,0,IF(INDEX(DarlOhneTilgung,3)=1,IF(INDEX(DarlBindung,3)="",1,$G980),IF($J980&gt;0.005,1,0)))</f>
      </c>
      <c r="J980" s="43">
        <f>IF($I979=0,0,$R979)</f>
      </c>
      <c r="K980" s="43">
        <f>IF($I980=0,0,IF(INDEX(DarlOhneTilgung,3)=1,0,IF(AND(INDEX(DarlTilgStart,3)&gt;0,$E980=INDEX(DarlTilgStart,3)),$J980*($H980+INDEX(DarlTilgung,3))/100/12,IF(AND($G980=0,$G979=1),MAX($K979,$J980*($H980+1)/100/12),$K979))))</f>
      </c>
      <c r="L980" s="43">
        <f>IF($I980=0,0,$J980*$H980/100/12)</f>
      </c>
      <c r="M980" s="43">
        <f>IF($I980=0,0,IF(OR(INDEX(DarlOhneTilgung,3)=1,AND(INDEX(DarlTilgStart,3)&gt;0,$E980&lt;INDEX(DarlTilgStart,3))),0,MIN(MAX(0,$K980-$L980),$J980)))</f>
      </c>
      <c r="N980" s="43">
        <f>IF($I980=0,0,MIN(SUMIFS(SondBetrag,SondDarl,3,SondDatum,"&gt;="&amp;$E980,SondDatum,"&lt;="&amp;EOMONTH($E980,0)),$J980-$M980))</f>
      </c>
      <c r="O980" s="43">
        <f>IF($I980=0,0,INDEX(DarlErsatzRate,3))</f>
      </c>
      <c r="P980" s="43">
        <f>IF($I980=0,0,$Q979*INDEX(DarlErsatzZins,3))</f>
      </c>
      <c r="Q980" s="43">
        <f>IF($I980=0,0,$Q979+$P980+$O980)</f>
      </c>
      <c r="R980" s="43">
        <f>IF($I980=0,0,$J980-$M980-$N980)</f>
      </c>
    </row>
    <row r="981">
      <c r="A981"/>
      <c r="B981">
        <v>3</v>
      </c>
      <c r="C981" s="43">
        <f>INDEX(DarlObj,3)</f>
      </c>
      <c r="D981">
        <v>18</v>
      </c>
      <c r="E981" s="51">
        <f>IF(INDEX(DarlBelegt,3)=0,0,EOMONTH(INDEX(DarlAuszahlung,3),17)+1)</f>
      </c>
      <c r="F981" s="43">
        <f>IF($E981=0,0,YEAR($E981))</f>
      </c>
      <c r="G981" s="43">
        <f>IF(INDEX(DarlBindung,3)="",1,IF($E981&lt;=INDEX(DarlBindung,3),1,0))</f>
      </c>
      <c r="H981" s="43">
        <f>IF($G981=1,INDEX(DarlSollzins,3),INDEX(DarlAnschluss,3))</f>
      </c>
      <c r="I981" s="43">
        <f>IF(INDEX(DarlBelegt,3)=0,0,IF(INDEX(DarlOhneTilgung,3)=1,IF(INDEX(DarlBindung,3)="",1,$G981),IF($J981&gt;0.005,1,0)))</f>
      </c>
      <c r="J981" s="43">
        <f>IF($I980=0,0,$R980)</f>
      </c>
      <c r="K981" s="43">
        <f>IF($I981=0,0,IF(INDEX(DarlOhneTilgung,3)=1,0,IF(AND(INDEX(DarlTilgStart,3)&gt;0,$E981=INDEX(DarlTilgStart,3)),$J981*($H981+INDEX(DarlTilgung,3))/100/12,IF(AND($G981=0,$G980=1),MAX($K980,$J981*($H981+1)/100/12),$K980))))</f>
      </c>
      <c r="L981" s="43">
        <f>IF($I981=0,0,$J981*$H981/100/12)</f>
      </c>
      <c r="M981" s="43">
        <f>IF($I981=0,0,IF(OR(INDEX(DarlOhneTilgung,3)=1,AND(INDEX(DarlTilgStart,3)&gt;0,$E981&lt;INDEX(DarlTilgStart,3))),0,MIN(MAX(0,$K981-$L981),$J981)))</f>
      </c>
      <c r="N981" s="43">
        <f>IF($I981=0,0,MIN(SUMIFS(SondBetrag,SondDarl,3,SondDatum,"&gt;="&amp;$E981,SondDatum,"&lt;="&amp;EOMONTH($E981,0)),$J981-$M981))</f>
      </c>
      <c r="O981" s="43">
        <f>IF($I981=0,0,INDEX(DarlErsatzRate,3))</f>
      </c>
      <c r="P981" s="43">
        <f>IF($I981=0,0,$Q980*INDEX(DarlErsatzZins,3))</f>
      </c>
      <c r="Q981" s="43">
        <f>IF($I981=0,0,$Q980+$P981+$O981)</f>
      </c>
      <c r="R981" s="43">
        <f>IF($I981=0,0,$J981-$M981-$N981)</f>
      </c>
    </row>
    <row r="982">
      <c r="A982"/>
      <c r="B982">
        <v>3</v>
      </c>
      <c r="C982" s="43">
        <f>INDEX(DarlObj,3)</f>
      </c>
      <c r="D982">
        <v>19</v>
      </c>
      <c r="E982" s="51">
        <f>IF(INDEX(DarlBelegt,3)=0,0,EOMONTH(INDEX(DarlAuszahlung,3),18)+1)</f>
      </c>
      <c r="F982" s="43">
        <f>IF($E982=0,0,YEAR($E982))</f>
      </c>
      <c r="G982" s="43">
        <f>IF(INDEX(DarlBindung,3)="",1,IF($E982&lt;=INDEX(DarlBindung,3),1,0))</f>
      </c>
      <c r="H982" s="43">
        <f>IF($G982=1,INDEX(DarlSollzins,3),INDEX(DarlAnschluss,3))</f>
      </c>
      <c r="I982" s="43">
        <f>IF(INDEX(DarlBelegt,3)=0,0,IF(INDEX(DarlOhneTilgung,3)=1,IF(INDEX(DarlBindung,3)="",1,$G982),IF($J982&gt;0.005,1,0)))</f>
      </c>
      <c r="J982" s="43">
        <f>IF($I981=0,0,$R981)</f>
      </c>
      <c r="K982" s="43">
        <f>IF($I982=0,0,IF(INDEX(DarlOhneTilgung,3)=1,0,IF(AND(INDEX(DarlTilgStart,3)&gt;0,$E982=INDEX(DarlTilgStart,3)),$J982*($H982+INDEX(DarlTilgung,3))/100/12,IF(AND($G982=0,$G981=1),MAX($K981,$J982*($H982+1)/100/12),$K981))))</f>
      </c>
      <c r="L982" s="43">
        <f>IF($I982=0,0,$J982*$H982/100/12)</f>
      </c>
      <c r="M982" s="43">
        <f>IF($I982=0,0,IF(OR(INDEX(DarlOhneTilgung,3)=1,AND(INDEX(DarlTilgStart,3)&gt;0,$E982&lt;INDEX(DarlTilgStart,3))),0,MIN(MAX(0,$K982-$L982),$J982)))</f>
      </c>
      <c r="N982" s="43">
        <f>IF($I982=0,0,MIN(SUMIFS(SondBetrag,SondDarl,3,SondDatum,"&gt;="&amp;$E982,SondDatum,"&lt;="&amp;EOMONTH($E982,0)),$J982-$M982))</f>
      </c>
      <c r="O982" s="43">
        <f>IF($I982=0,0,INDEX(DarlErsatzRate,3))</f>
      </c>
      <c r="P982" s="43">
        <f>IF($I982=0,0,$Q981*INDEX(DarlErsatzZins,3))</f>
      </c>
      <c r="Q982" s="43">
        <f>IF($I982=0,0,$Q981+$P982+$O982)</f>
      </c>
      <c r="R982" s="43">
        <f>IF($I982=0,0,$J982-$M982-$N982)</f>
      </c>
    </row>
    <row r="983">
      <c r="A983"/>
      <c r="B983">
        <v>3</v>
      </c>
      <c r="C983" s="43">
        <f>INDEX(DarlObj,3)</f>
      </c>
      <c r="D983">
        <v>20</v>
      </c>
      <c r="E983" s="51">
        <f>IF(INDEX(DarlBelegt,3)=0,0,EOMONTH(INDEX(DarlAuszahlung,3),19)+1)</f>
      </c>
      <c r="F983" s="43">
        <f>IF($E983=0,0,YEAR($E983))</f>
      </c>
      <c r="G983" s="43">
        <f>IF(INDEX(DarlBindung,3)="",1,IF($E983&lt;=INDEX(DarlBindung,3),1,0))</f>
      </c>
      <c r="H983" s="43">
        <f>IF($G983=1,INDEX(DarlSollzins,3),INDEX(DarlAnschluss,3))</f>
      </c>
      <c r="I983" s="43">
        <f>IF(INDEX(DarlBelegt,3)=0,0,IF(INDEX(DarlOhneTilgung,3)=1,IF(INDEX(DarlBindung,3)="",1,$G983),IF($J983&gt;0.005,1,0)))</f>
      </c>
      <c r="J983" s="43">
        <f>IF($I982=0,0,$R982)</f>
      </c>
      <c r="K983" s="43">
        <f>IF($I983=0,0,IF(INDEX(DarlOhneTilgung,3)=1,0,IF(AND(INDEX(DarlTilgStart,3)&gt;0,$E983=INDEX(DarlTilgStart,3)),$J983*($H983+INDEX(DarlTilgung,3))/100/12,IF(AND($G983=0,$G982=1),MAX($K982,$J983*($H983+1)/100/12),$K982))))</f>
      </c>
      <c r="L983" s="43">
        <f>IF($I983=0,0,$J983*$H983/100/12)</f>
      </c>
      <c r="M983" s="43">
        <f>IF($I983=0,0,IF(OR(INDEX(DarlOhneTilgung,3)=1,AND(INDEX(DarlTilgStart,3)&gt;0,$E983&lt;INDEX(DarlTilgStart,3))),0,MIN(MAX(0,$K983-$L983),$J983)))</f>
      </c>
      <c r="N983" s="43">
        <f>IF($I983=0,0,MIN(SUMIFS(SondBetrag,SondDarl,3,SondDatum,"&gt;="&amp;$E983,SondDatum,"&lt;="&amp;EOMONTH($E983,0)),$J983-$M983))</f>
      </c>
      <c r="O983" s="43">
        <f>IF($I983=0,0,INDEX(DarlErsatzRate,3))</f>
      </c>
      <c r="P983" s="43">
        <f>IF($I983=0,0,$Q982*INDEX(DarlErsatzZins,3))</f>
      </c>
      <c r="Q983" s="43">
        <f>IF($I983=0,0,$Q982+$P983+$O983)</f>
      </c>
      <c r="R983" s="43">
        <f>IF($I983=0,0,$J983-$M983-$N983)</f>
      </c>
    </row>
    <row r="984">
      <c r="A984"/>
      <c r="B984">
        <v>3</v>
      </c>
      <c r="C984" s="43">
        <f>INDEX(DarlObj,3)</f>
      </c>
      <c r="D984">
        <v>21</v>
      </c>
      <c r="E984" s="51">
        <f>IF(INDEX(DarlBelegt,3)=0,0,EOMONTH(INDEX(DarlAuszahlung,3),20)+1)</f>
      </c>
      <c r="F984" s="43">
        <f>IF($E984=0,0,YEAR($E984))</f>
      </c>
      <c r="G984" s="43">
        <f>IF(INDEX(DarlBindung,3)="",1,IF($E984&lt;=INDEX(DarlBindung,3),1,0))</f>
      </c>
      <c r="H984" s="43">
        <f>IF($G984=1,INDEX(DarlSollzins,3),INDEX(DarlAnschluss,3))</f>
      </c>
      <c r="I984" s="43">
        <f>IF(INDEX(DarlBelegt,3)=0,0,IF(INDEX(DarlOhneTilgung,3)=1,IF(INDEX(DarlBindung,3)="",1,$G984),IF($J984&gt;0.005,1,0)))</f>
      </c>
      <c r="J984" s="43">
        <f>IF($I983=0,0,$R983)</f>
      </c>
      <c r="K984" s="43">
        <f>IF($I984=0,0,IF(INDEX(DarlOhneTilgung,3)=1,0,IF(AND(INDEX(DarlTilgStart,3)&gt;0,$E984=INDEX(DarlTilgStart,3)),$J984*($H984+INDEX(DarlTilgung,3))/100/12,IF(AND($G984=0,$G983=1),MAX($K983,$J984*($H984+1)/100/12),$K983))))</f>
      </c>
      <c r="L984" s="43">
        <f>IF($I984=0,0,$J984*$H984/100/12)</f>
      </c>
      <c r="M984" s="43">
        <f>IF($I984=0,0,IF(OR(INDEX(DarlOhneTilgung,3)=1,AND(INDEX(DarlTilgStart,3)&gt;0,$E984&lt;INDEX(DarlTilgStart,3))),0,MIN(MAX(0,$K984-$L984),$J984)))</f>
      </c>
      <c r="N984" s="43">
        <f>IF($I984=0,0,MIN(SUMIFS(SondBetrag,SondDarl,3,SondDatum,"&gt;="&amp;$E984,SondDatum,"&lt;="&amp;EOMONTH($E984,0)),$J984-$M984))</f>
      </c>
      <c r="O984" s="43">
        <f>IF($I984=0,0,INDEX(DarlErsatzRate,3))</f>
      </c>
      <c r="P984" s="43">
        <f>IF($I984=0,0,$Q983*INDEX(DarlErsatzZins,3))</f>
      </c>
      <c r="Q984" s="43">
        <f>IF($I984=0,0,$Q983+$P984+$O984)</f>
      </c>
      <c r="R984" s="43">
        <f>IF($I984=0,0,$J984-$M984-$N984)</f>
      </c>
    </row>
    <row r="985">
      <c r="A985"/>
      <c r="B985">
        <v>3</v>
      </c>
      <c r="C985" s="43">
        <f>INDEX(DarlObj,3)</f>
      </c>
      <c r="D985">
        <v>22</v>
      </c>
      <c r="E985" s="51">
        <f>IF(INDEX(DarlBelegt,3)=0,0,EOMONTH(INDEX(DarlAuszahlung,3),21)+1)</f>
      </c>
      <c r="F985" s="43">
        <f>IF($E985=0,0,YEAR($E985))</f>
      </c>
      <c r="G985" s="43">
        <f>IF(INDEX(DarlBindung,3)="",1,IF($E985&lt;=INDEX(DarlBindung,3),1,0))</f>
      </c>
      <c r="H985" s="43">
        <f>IF($G985=1,INDEX(DarlSollzins,3),INDEX(DarlAnschluss,3))</f>
      </c>
      <c r="I985" s="43">
        <f>IF(INDEX(DarlBelegt,3)=0,0,IF(INDEX(DarlOhneTilgung,3)=1,IF(INDEX(DarlBindung,3)="",1,$G985),IF($J985&gt;0.005,1,0)))</f>
      </c>
      <c r="J985" s="43">
        <f>IF($I984=0,0,$R984)</f>
      </c>
      <c r="K985" s="43">
        <f>IF($I985=0,0,IF(INDEX(DarlOhneTilgung,3)=1,0,IF(AND(INDEX(DarlTilgStart,3)&gt;0,$E985=INDEX(DarlTilgStart,3)),$J985*($H985+INDEX(DarlTilgung,3))/100/12,IF(AND($G985=0,$G984=1),MAX($K984,$J985*($H985+1)/100/12),$K984))))</f>
      </c>
      <c r="L985" s="43">
        <f>IF($I985=0,0,$J985*$H985/100/12)</f>
      </c>
      <c r="M985" s="43">
        <f>IF($I985=0,0,IF(OR(INDEX(DarlOhneTilgung,3)=1,AND(INDEX(DarlTilgStart,3)&gt;0,$E985&lt;INDEX(DarlTilgStart,3))),0,MIN(MAX(0,$K985-$L985),$J985)))</f>
      </c>
      <c r="N985" s="43">
        <f>IF($I985=0,0,MIN(SUMIFS(SondBetrag,SondDarl,3,SondDatum,"&gt;="&amp;$E985,SondDatum,"&lt;="&amp;EOMONTH($E985,0)),$J985-$M985))</f>
      </c>
      <c r="O985" s="43">
        <f>IF($I985=0,0,INDEX(DarlErsatzRate,3))</f>
      </c>
      <c r="P985" s="43">
        <f>IF($I985=0,0,$Q984*INDEX(DarlErsatzZins,3))</f>
      </c>
      <c r="Q985" s="43">
        <f>IF($I985=0,0,$Q984+$P985+$O985)</f>
      </c>
      <c r="R985" s="43">
        <f>IF($I985=0,0,$J985-$M985-$N985)</f>
      </c>
    </row>
    <row r="986">
      <c r="A986"/>
      <c r="B986">
        <v>3</v>
      </c>
      <c r="C986" s="43">
        <f>INDEX(DarlObj,3)</f>
      </c>
      <c r="D986">
        <v>23</v>
      </c>
      <c r="E986" s="51">
        <f>IF(INDEX(DarlBelegt,3)=0,0,EOMONTH(INDEX(DarlAuszahlung,3),22)+1)</f>
      </c>
      <c r="F986" s="43">
        <f>IF($E986=0,0,YEAR($E986))</f>
      </c>
      <c r="G986" s="43">
        <f>IF(INDEX(DarlBindung,3)="",1,IF($E986&lt;=INDEX(DarlBindung,3),1,0))</f>
      </c>
      <c r="H986" s="43">
        <f>IF($G986=1,INDEX(DarlSollzins,3),INDEX(DarlAnschluss,3))</f>
      </c>
      <c r="I986" s="43">
        <f>IF(INDEX(DarlBelegt,3)=0,0,IF(INDEX(DarlOhneTilgung,3)=1,IF(INDEX(DarlBindung,3)="",1,$G986),IF($J986&gt;0.005,1,0)))</f>
      </c>
      <c r="J986" s="43">
        <f>IF($I985=0,0,$R985)</f>
      </c>
      <c r="K986" s="43">
        <f>IF($I986=0,0,IF(INDEX(DarlOhneTilgung,3)=1,0,IF(AND(INDEX(DarlTilgStart,3)&gt;0,$E986=INDEX(DarlTilgStart,3)),$J986*($H986+INDEX(DarlTilgung,3))/100/12,IF(AND($G986=0,$G985=1),MAX($K985,$J986*($H986+1)/100/12),$K985))))</f>
      </c>
      <c r="L986" s="43">
        <f>IF($I986=0,0,$J986*$H986/100/12)</f>
      </c>
      <c r="M986" s="43">
        <f>IF($I986=0,0,IF(OR(INDEX(DarlOhneTilgung,3)=1,AND(INDEX(DarlTilgStart,3)&gt;0,$E986&lt;INDEX(DarlTilgStart,3))),0,MIN(MAX(0,$K986-$L986),$J986)))</f>
      </c>
      <c r="N986" s="43">
        <f>IF($I986=0,0,MIN(SUMIFS(SondBetrag,SondDarl,3,SondDatum,"&gt;="&amp;$E986,SondDatum,"&lt;="&amp;EOMONTH($E986,0)),$J986-$M986))</f>
      </c>
      <c r="O986" s="43">
        <f>IF($I986=0,0,INDEX(DarlErsatzRate,3))</f>
      </c>
      <c r="P986" s="43">
        <f>IF($I986=0,0,$Q985*INDEX(DarlErsatzZins,3))</f>
      </c>
      <c r="Q986" s="43">
        <f>IF($I986=0,0,$Q985+$P986+$O986)</f>
      </c>
      <c r="R986" s="43">
        <f>IF($I986=0,0,$J986-$M986-$N986)</f>
      </c>
    </row>
    <row r="987">
      <c r="A987"/>
      <c r="B987">
        <v>3</v>
      </c>
      <c r="C987" s="43">
        <f>INDEX(DarlObj,3)</f>
      </c>
      <c r="D987">
        <v>24</v>
      </c>
      <c r="E987" s="51">
        <f>IF(INDEX(DarlBelegt,3)=0,0,EOMONTH(INDEX(DarlAuszahlung,3),23)+1)</f>
      </c>
      <c r="F987" s="43">
        <f>IF($E987=0,0,YEAR($E987))</f>
      </c>
      <c r="G987" s="43">
        <f>IF(INDEX(DarlBindung,3)="",1,IF($E987&lt;=INDEX(DarlBindung,3),1,0))</f>
      </c>
      <c r="H987" s="43">
        <f>IF($G987=1,INDEX(DarlSollzins,3),INDEX(DarlAnschluss,3))</f>
      </c>
      <c r="I987" s="43">
        <f>IF(INDEX(DarlBelegt,3)=0,0,IF(INDEX(DarlOhneTilgung,3)=1,IF(INDEX(DarlBindung,3)="",1,$G987),IF($J987&gt;0.005,1,0)))</f>
      </c>
      <c r="J987" s="43">
        <f>IF($I986=0,0,$R986)</f>
      </c>
      <c r="K987" s="43">
        <f>IF($I987=0,0,IF(INDEX(DarlOhneTilgung,3)=1,0,IF(AND(INDEX(DarlTilgStart,3)&gt;0,$E987=INDEX(DarlTilgStart,3)),$J987*($H987+INDEX(DarlTilgung,3))/100/12,IF(AND($G987=0,$G986=1),MAX($K986,$J987*($H987+1)/100/12),$K986))))</f>
      </c>
      <c r="L987" s="43">
        <f>IF($I987=0,0,$J987*$H987/100/12)</f>
      </c>
      <c r="M987" s="43">
        <f>IF($I987=0,0,IF(OR(INDEX(DarlOhneTilgung,3)=1,AND(INDEX(DarlTilgStart,3)&gt;0,$E987&lt;INDEX(DarlTilgStart,3))),0,MIN(MAX(0,$K987-$L987),$J987)))</f>
      </c>
      <c r="N987" s="43">
        <f>IF($I987=0,0,MIN(SUMIFS(SondBetrag,SondDarl,3,SondDatum,"&gt;="&amp;$E987,SondDatum,"&lt;="&amp;EOMONTH($E987,0)),$J987-$M987))</f>
      </c>
      <c r="O987" s="43">
        <f>IF($I987=0,0,INDEX(DarlErsatzRate,3))</f>
      </c>
      <c r="P987" s="43">
        <f>IF($I987=0,0,$Q986*INDEX(DarlErsatzZins,3))</f>
      </c>
      <c r="Q987" s="43">
        <f>IF($I987=0,0,$Q986+$P987+$O987)</f>
      </c>
      <c r="R987" s="43">
        <f>IF($I987=0,0,$J987-$M987-$N987)</f>
      </c>
    </row>
    <row r="988">
      <c r="A988"/>
      <c r="B988">
        <v>3</v>
      </c>
      <c r="C988" s="43">
        <f>INDEX(DarlObj,3)</f>
      </c>
      <c r="D988">
        <v>25</v>
      </c>
      <c r="E988" s="51">
        <f>IF(INDEX(DarlBelegt,3)=0,0,EOMONTH(INDEX(DarlAuszahlung,3),24)+1)</f>
      </c>
      <c r="F988" s="43">
        <f>IF($E988=0,0,YEAR($E988))</f>
      </c>
      <c r="G988" s="43">
        <f>IF(INDEX(DarlBindung,3)="",1,IF($E988&lt;=INDEX(DarlBindung,3),1,0))</f>
      </c>
      <c r="H988" s="43">
        <f>IF($G988=1,INDEX(DarlSollzins,3),INDEX(DarlAnschluss,3))</f>
      </c>
      <c r="I988" s="43">
        <f>IF(INDEX(DarlBelegt,3)=0,0,IF(INDEX(DarlOhneTilgung,3)=1,IF(INDEX(DarlBindung,3)="",1,$G988),IF($J988&gt;0.005,1,0)))</f>
      </c>
      <c r="J988" s="43">
        <f>IF($I987=0,0,$R987)</f>
      </c>
      <c r="K988" s="43">
        <f>IF($I988=0,0,IF(INDEX(DarlOhneTilgung,3)=1,0,IF(AND(INDEX(DarlTilgStart,3)&gt;0,$E988=INDEX(DarlTilgStart,3)),$J988*($H988+INDEX(DarlTilgung,3))/100/12,IF(AND($G988=0,$G987=1),MAX($K987,$J988*($H988+1)/100/12),$K987))))</f>
      </c>
      <c r="L988" s="43">
        <f>IF($I988=0,0,$J988*$H988/100/12)</f>
      </c>
      <c r="M988" s="43">
        <f>IF($I988=0,0,IF(OR(INDEX(DarlOhneTilgung,3)=1,AND(INDEX(DarlTilgStart,3)&gt;0,$E988&lt;INDEX(DarlTilgStart,3))),0,MIN(MAX(0,$K988-$L988),$J988)))</f>
      </c>
      <c r="N988" s="43">
        <f>IF($I988=0,0,MIN(SUMIFS(SondBetrag,SondDarl,3,SondDatum,"&gt;="&amp;$E988,SondDatum,"&lt;="&amp;EOMONTH($E988,0)),$J988-$M988))</f>
      </c>
      <c r="O988" s="43">
        <f>IF($I988=0,0,INDEX(DarlErsatzRate,3))</f>
      </c>
      <c r="P988" s="43">
        <f>IF($I988=0,0,$Q987*INDEX(DarlErsatzZins,3))</f>
      </c>
      <c r="Q988" s="43">
        <f>IF($I988=0,0,$Q987+$P988+$O988)</f>
      </c>
      <c r="R988" s="43">
        <f>IF($I988=0,0,$J988-$M988-$N988)</f>
      </c>
    </row>
    <row r="989">
      <c r="A989"/>
      <c r="B989">
        <v>3</v>
      </c>
      <c r="C989" s="43">
        <f>INDEX(DarlObj,3)</f>
      </c>
      <c r="D989">
        <v>26</v>
      </c>
      <c r="E989" s="51">
        <f>IF(INDEX(DarlBelegt,3)=0,0,EOMONTH(INDEX(DarlAuszahlung,3),25)+1)</f>
      </c>
      <c r="F989" s="43">
        <f>IF($E989=0,0,YEAR($E989))</f>
      </c>
      <c r="G989" s="43">
        <f>IF(INDEX(DarlBindung,3)="",1,IF($E989&lt;=INDEX(DarlBindung,3),1,0))</f>
      </c>
      <c r="H989" s="43">
        <f>IF($G989=1,INDEX(DarlSollzins,3),INDEX(DarlAnschluss,3))</f>
      </c>
      <c r="I989" s="43">
        <f>IF(INDEX(DarlBelegt,3)=0,0,IF(INDEX(DarlOhneTilgung,3)=1,IF(INDEX(DarlBindung,3)="",1,$G989),IF($J989&gt;0.005,1,0)))</f>
      </c>
      <c r="J989" s="43">
        <f>IF($I988=0,0,$R988)</f>
      </c>
      <c r="K989" s="43">
        <f>IF($I989=0,0,IF(INDEX(DarlOhneTilgung,3)=1,0,IF(AND(INDEX(DarlTilgStart,3)&gt;0,$E989=INDEX(DarlTilgStart,3)),$J989*($H989+INDEX(DarlTilgung,3))/100/12,IF(AND($G989=0,$G988=1),MAX($K988,$J989*($H989+1)/100/12),$K988))))</f>
      </c>
      <c r="L989" s="43">
        <f>IF($I989=0,0,$J989*$H989/100/12)</f>
      </c>
      <c r="M989" s="43">
        <f>IF($I989=0,0,IF(OR(INDEX(DarlOhneTilgung,3)=1,AND(INDEX(DarlTilgStart,3)&gt;0,$E989&lt;INDEX(DarlTilgStart,3))),0,MIN(MAX(0,$K989-$L989),$J989)))</f>
      </c>
      <c r="N989" s="43">
        <f>IF($I989=0,0,MIN(SUMIFS(SondBetrag,SondDarl,3,SondDatum,"&gt;="&amp;$E989,SondDatum,"&lt;="&amp;EOMONTH($E989,0)),$J989-$M989))</f>
      </c>
      <c r="O989" s="43">
        <f>IF($I989=0,0,INDEX(DarlErsatzRate,3))</f>
      </c>
      <c r="P989" s="43">
        <f>IF($I989=0,0,$Q988*INDEX(DarlErsatzZins,3))</f>
      </c>
      <c r="Q989" s="43">
        <f>IF($I989=0,0,$Q988+$P989+$O989)</f>
      </c>
      <c r="R989" s="43">
        <f>IF($I989=0,0,$J989-$M989-$N989)</f>
      </c>
    </row>
    <row r="990">
      <c r="A990"/>
      <c r="B990">
        <v>3</v>
      </c>
      <c r="C990" s="43">
        <f>INDEX(DarlObj,3)</f>
      </c>
      <c r="D990">
        <v>27</v>
      </c>
      <c r="E990" s="51">
        <f>IF(INDEX(DarlBelegt,3)=0,0,EOMONTH(INDEX(DarlAuszahlung,3),26)+1)</f>
      </c>
      <c r="F990" s="43">
        <f>IF($E990=0,0,YEAR($E990))</f>
      </c>
      <c r="G990" s="43">
        <f>IF(INDEX(DarlBindung,3)="",1,IF($E990&lt;=INDEX(DarlBindung,3),1,0))</f>
      </c>
      <c r="H990" s="43">
        <f>IF($G990=1,INDEX(DarlSollzins,3),INDEX(DarlAnschluss,3))</f>
      </c>
      <c r="I990" s="43">
        <f>IF(INDEX(DarlBelegt,3)=0,0,IF(INDEX(DarlOhneTilgung,3)=1,IF(INDEX(DarlBindung,3)="",1,$G990),IF($J990&gt;0.005,1,0)))</f>
      </c>
      <c r="J990" s="43">
        <f>IF($I989=0,0,$R989)</f>
      </c>
      <c r="K990" s="43">
        <f>IF($I990=0,0,IF(INDEX(DarlOhneTilgung,3)=1,0,IF(AND(INDEX(DarlTilgStart,3)&gt;0,$E990=INDEX(DarlTilgStart,3)),$J990*($H990+INDEX(DarlTilgung,3))/100/12,IF(AND($G990=0,$G989=1),MAX($K989,$J990*($H990+1)/100/12),$K989))))</f>
      </c>
      <c r="L990" s="43">
        <f>IF($I990=0,0,$J990*$H990/100/12)</f>
      </c>
      <c r="M990" s="43">
        <f>IF($I990=0,0,IF(OR(INDEX(DarlOhneTilgung,3)=1,AND(INDEX(DarlTilgStart,3)&gt;0,$E990&lt;INDEX(DarlTilgStart,3))),0,MIN(MAX(0,$K990-$L990),$J990)))</f>
      </c>
      <c r="N990" s="43">
        <f>IF($I990=0,0,MIN(SUMIFS(SondBetrag,SondDarl,3,SondDatum,"&gt;="&amp;$E990,SondDatum,"&lt;="&amp;EOMONTH($E990,0)),$J990-$M990))</f>
      </c>
      <c r="O990" s="43">
        <f>IF($I990=0,0,INDEX(DarlErsatzRate,3))</f>
      </c>
      <c r="P990" s="43">
        <f>IF($I990=0,0,$Q989*INDEX(DarlErsatzZins,3))</f>
      </c>
      <c r="Q990" s="43">
        <f>IF($I990=0,0,$Q989+$P990+$O990)</f>
      </c>
      <c r="R990" s="43">
        <f>IF($I990=0,0,$J990-$M990-$N990)</f>
      </c>
    </row>
    <row r="991">
      <c r="A991"/>
      <c r="B991">
        <v>3</v>
      </c>
      <c r="C991" s="43">
        <f>INDEX(DarlObj,3)</f>
      </c>
      <c r="D991">
        <v>28</v>
      </c>
      <c r="E991" s="51">
        <f>IF(INDEX(DarlBelegt,3)=0,0,EOMONTH(INDEX(DarlAuszahlung,3),27)+1)</f>
      </c>
      <c r="F991" s="43">
        <f>IF($E991=0,0,YEAR($E991))</f>
      </c>
      <c r="G991" s="43">
        <f>IF(INDEX(DarlBindung,3)="",1,IF($E991&lt;=INDEX(DarlBindung,3),1,0))</f>
      </c>
      <c r="H991" s="43">
        <f>IF($G991=1,INDEX(DarlSollzins,3),INDEX(DarlAnschluss,3))</f>
      </c>
      <c r="I991" s="43">
        <f>IF(INDEX(DarlBelegt,3)=0,0,IF(INDEX(DarlOhneTilgung,3)=1,IF(INDEX(DarlBindung,3)="",1,$G991),IF($J991&gt;0.005,1,0)))</f>
      </c>
      <c r="J991" s="43">
        <f>IF($I990=0,0,$R990)</f>
      </c>
      <c r="K991" s="43">
        <f>IF($I991=0,0,IF(INDEX(DarlOhneTilgung,3)=1,0,IF(AND(INDEX(DarlTilgStart,3)&gt;0,$E991=INDEX(DarlTilgStart,3)),$J991*($H991+INDEX(DarlTilgung,3))/100/12,IF(AND($G991=0,$G990=1),MAX($K990,$J991*($H991+1)/100/12),$K990))))</f>
      </c>
      <c r="L991" s="43">
        <f>IF($I991=0,0,$J991*$H991/100/12)</f>
      </c>
      <c r="M991" s="43">
        <f>IF($I991=0,0,IF(OR(INDEX(DarlOhneTilgung,3)=1,AND(INDEX(DarlTilgStart,3)&gt;0,$E991&lt;INDEX(DarlTilgStart,3))),0,MIN(MAX(0,$K991-$L991),$J991)))</f>
      </c>
      <c r="N991" s="43">
        <f>IF($I991=0,0,MIN(SUMIFS(SondBetrag,SondDarl,3,SondDatum,"&gt;="&amp;$E991,SondDatum,"&lt;="&amp;EOMONTH($E991,0)),$J991-$M991))</f>
      </c>
      <c r="O991" s="43">
        <f>IF($I991=0,0,INDEX(DarlErsatzRate,3))</f>
      </c>
      <c r="P991" s="43">
        <f>IF($I991=0,0,$Q990*INDEX(DarlErsatzZins,3))</f>
      </c>
      <c r="Q991" s="43">
        <f>IF($I991=0,0,$Q990+$P991+$O991)</f>
      </c>
      <c r="R991" s="43">
        <f>IF($I991=0,0,$J991-$M991-$N991)</f>
      </c>
    </row>
    <row r="992">
      <c r="A992"/>
      <c r="B992">
        <v>3</v>
      </c>
      <c r="C992" s="43">
        <f>INDEX(DarlObj,3)</f>
      </c>
      <c r="D992">
        <v>29</v>
      </c>
      <c r="E992" s="51">
        <f>IF(INDEX(DarlBelegt,3)=0,0,EOMONTH(INDEX(DarlAuszahlung,3),28)+1)</f>
      </c>
      <c r="F992" s="43">
        <f>IF($E992=0,0,YEAR($E992))</f>
      </c>
      <c r="G992" s="43">
        <f>IF(INDEX(DarlBindung,3)="",1,IF($E992&lt;=INDEX(DarlBindung,3),1,0))</f>
      </c>
      <c r="H992" s="43">
        <f>IF($G992=1,INDEX(DarlSollzins,3),INDEX(DarlAnschluss,3))</f>
      </c>
      <c r="I992" s="43">
        <f>IF(INDEX(DarlBelegt,3)=0,0,IF(INDEX(DarlOhneTilgung,3)=1,IF(INDEX(DarlBindung,3)="",1,$G992),IF($J992&gt;0.005,1,0)))</f>
      </c>
      <c r="J992" s="43">
        <f>IF($I991=0,0,$R991)</f>
      </c>
      <c r="K992" s="43">
        <f>IF($I992=0,0,IF(INDEX(DarlOhneTilgung,3)=1,0,IF(AND(INDEX(DarlTilgStart,3)&gt;0,$E992=INDEX(DarlTilgStart,3)),$J992*($H992+INDEX(DarlTilgung,3))/100/12,IF(AND($G992=0,$G991=1),MAX($K991,$J992*($H992+1)/100/12),$K991))))</f>
      </c>
      <c r="L992" s="43">
        <f>IF($I992=0,0,$J992*$H992/100/12)</f>
      </c>
      <c r="M992" s="43">
        <f>IF($I992=0,0,IF(OR(INDEX(DarlOhneTilgung,3)=1,AND(INDEX(DarlTilgStart,3)&gt;0,$E992&lt;INDEX(DarlTilgStart,3))),0,MIN(MAX(0,$K992-$L992),$J992)))</f>
      </c>
      <c r="N992" s="43">
        <f>IF($I992=0,0,MIN(SUMIFS(SondBetrag,SondDarl,3,SondDatum,"&gt;="&amp;$E992,SondDatum,"&lt;="&amp;EOMONTH($E992,0)),$J992-$M992))</f>
      </c>
      <c r="O992" s="43">
        <f>IF($I992=0,0,INDEX(DarlErsatzRate,3))</f>
      </c>
      <c r="P992" s="43">
        <f>IF($I992=0,0,$Q991*INDEX(DarlErsatzZins,3))</f>
      </c>
      <c r="Q992" s="43">
        <f>IF($I992=0,0,$Q991+$P992+$O992)</f>
      </c>
      <c r="R992" s="43">
        <f>IF($I992=0,0,$J992-$M992-$N992)</f>
      </c>
    </row>
    <row r="993">
      <c r="A993"/>
      <c r="B993">
        <v>3</v>
      </c>
      <c r="C993" s="43">
        <f>INDEX(DarlObj,3)</f>
      </c>
      <c r="D993">
        <v>30</v>
      </c>
      <c r="E993" s="51">
        <f>IF(INDEX(DarlBelegt,3)=0,0,EOMONTH(INDEX(DarlAuszahlung,3),29)+1)</f>
      </c>
      <c r="F993" s="43">
        <f>IF($E993=0,0,YEAR($E993))</f>
      </c>
      <c r="G993" s="43">
        <f>IF(INDEX(DarlBindung,3)="",1,IF($E993&lt;=INDEX(DarlBindung,3),1,0))</f>
      </c>
      <c r="H993" s="43">
        <f>IF($G993=1,INDEX(DarlSollzins,3),INDEX(DarlAnschluss,3))</f>
      </c>
      <c r="I993" s="43">
        <f>IF(INDEX(DarlBelegt,3)=0,0,IF(INDEX(DarlOhneTilgung,3)=1,IF(INDEX(DarlBindung,3)="",1,$G993),IF($J993&gt;0.005,1,0)))</f>
      </c>
      <c r="J993" s="43">
        <f>IF($I992=0,0,$R992)</f>
      </c>
      <c r="K993" s="43">
        <f>IF($I993=0,0,IF(INDEX(DarlOhneTilgung,3)=1,0,IF(AND(INDEX(DarlTilgStart,3)&gt;0,$E993=INDEX(DarlTilgStart,3)),$J993*($H993+INDEX(DarlTilgung,3))/100/12,IF(AND($G993=0,$G992=1),MAX($K992,$J993*($H993+1)/100/12),$K992))))</f>
      </c>
      <c r="L993" s="43">
        <f>IF($I993=0,0,$J993*$H993/100/12)</f>
      </c>
      <c r="M993" s="43">
        <f>IF($I993=0,0,IF(OR(INDEX(DarlOhneTilgung,3)=1,AND(INDEX(DarlTilgStart,3)&gt;0,$E993&lt;INDEX(DarlTilgStart,3))),0,MIN(MAX(0,$K993-$L993),$J993)))</f>
      </c>
      <c r="N993" s="43">
        <f>IF($I993=0,0,MIN(SUMIFS(SondBetrag,SondDarl,3,SondDatum,"&gt;="&amp;$E993,SondDatum,"&lt;="&amp;EOMONTH($E993,0)),$J993-$M993))</f>
      </c>
      <c r="O993" s="43">
        <f>IF($I993=0,0,INDEX(DarlErsatzRate,3))</f>
      </c>
      <c r="P993" s="43">
        <f>IF($I993=0,0,$Q992*INDEX(DarlErsatzZins,3))</f>
      </c>
      <c r="Q993" s="43">
        <f>IF($I993=0,0,$Q992+$P993+$O993)</f>
      </c>
      <c r="R993" s="43">
        <f>IF($I993=0,0,$J993-$M993-$N993)</f>
      </c>
    </row>
    <row r="994">
      <c r="A994"/>
      <c r="B994">
        <v>3</v>
      </c>
      <c r="C994" s="43">
        <f>INDEX(DarlObj,3)</f>
      </c>
      <c r="D994">
        <v>31</v>
      </c>
      <c r="E994" s="51">
        <f>IF(INDEX(DarlBelegt,3)=0,0,EOMONTH(INDEX(DarlAuszahlung,3),30)+1)</f>
      </c>
      <c r="F994" s="43">
        <f>IF($E994=0,0,YEAR($E994))</f>
      </c>
      <c r="G994" s="43">
        <f>IF(INDEX(DarlBindung,3)="",1,IF($E994&lt;=INDEX(DarlBindung,3),1,0))</f>
      </c>
      <c r="H994" s="43">
        <f>IF($G994=1,INDEX(DarlSollzins,3),INDEX(DarlAnschluss,3))</f>
      </c>
      <c r="I994" s="43">
        <f>IF(INDEX(DarlBelegt,3)=0,0,IF(INDEX(DarlOhneTilgung,3)=1,IF(INDEX(DarlBindung,3)="",1,$G994),IF($J994&gt;0.005,1,0)))</f>
      </c>
      <c r="J994" s="43">
        <f>IF($I993=0,0,$R993)</f>
      </c>
      <c r="K994" s="43">
        <f>IF($I994=0,0,IF(INDEX(DarlOhneTilgung,3)=1,0,IF(AND(INDEX(DarlTilgStart,3)&gt;0,$E994=INDEX(DarlTilgStart,3)),$J994*($H994+INDEX(DarlTilgung,3))/100/12,IF(AND($G994=0,$G993=1),MAX($K993,$J994*($H994+1)/100/12),$K993))))</f>
      </c>
      <c r="L994" s="43">
        <f>IF($I994=0,0,$J994*$H994/100/12)</f>
      </c>
      <c r="M994" s="43">
        <f>IF($I994=0,0,IF(OR(INDEX(DarlOhneTilgung,3)=1,AND(INDEX(DarlTilgStart,3)&gt;0,$E994&lt;INDEX(DarlTilgStart,3))),0,MIN(MAX(0,$K994-$L994),$J994)))</f>
      </c>
      <c r="N994" s="43">
        <f>IF($I994=0,0,MIN(SUMIFS(SondBetrag,SondDarl,3,SondDatum,"&gt;="&amp;$E994,SondDatum,"&lt;="&amp;EOMONTH($E994,0)),$J994-$M994))</f>
      </c>
      <c r="O994" s="43">
        <f>IF($I994=0,0,INDEX(DarlErsatzRate,3))</f>
      </c>
      <c r="P994" s="43">
        <f>IF($I994=0,0,$Q993*INDEX(DarlErsatzZins,3))</f>
      </c>
      <c r="Q994" s="43">
        <f>IF($I994=0,0,$Q993+$P994+$O994)</f>
      </c>
      <c r="R994" s="43">
        <f>IF($I994=0,0,$J994-$M994-$N994)</f>
      </c>
    </row>
    <row r="995">
      <c r="A995"/>
      <c r="B995">
        <v>3</v>
      </c>
      <c r="C995" s="43">
        <f>INDEX(DarlObj,3)</f>
      </c>
      <c r="D995">
        <v>32</v>
      </c>
      <c r="E995" s="51">
        <f>IF(INDEX(DarlBelegt,3)=0,0,EOMONTH(INDEX(DarlAuszahlung,3),31)+1)</f>
      </c>
      <c r="F995" s="43">
        <f>IF($E995=0,0,YEAR($E995))</f>
      </c>
      <c r="G995" s="43">
        <f>IF(INDEX(DarlBindung,3)="",1,IF($E995&lt;=INDEX(DarlBindung,3),1,0))</f>
      </c>
      <c r="H995" s="43">
        <f>IF($G995=1,INDEX(DarlSollzins,3),INDEX(DarlAnschluss,3))</f>
      </c>
      <c r="I995" s="43">
        <f>IF(INDEX(DarlBelegt,3)=0,0,IF(INDEX(DarlOhneTilgung,3)=1,IF(INDEX(DarlBindung,3)="",1,$G995),IF($J995&gt;0.005,1,0)))</f>
      </c>
      <c r="J995" s="43">
        <f>IF($I994=0,0,$R994)</f>
      </c>
      <c r="K995" s="43">
        <f>IF($I995=0,0,IF(INDEX(DarlOhneTilgung,3)=1,0,IF(AND(INDEX(DarlTilgStart,3)&gt;0,$E995=INDEX(DarlTilgStart,3)),$J995*($H995+INDEX(DarlTilgung,3))/100/12,IF(AND($G995=0,$G994=1),MAX($K994,$J995*($H995+1)/100/12),$K994))))</f>
      </c>
      <c r="L995" s="43">
        <f>IF($I995=0,0,$J995*$H995/100/12)</f>
      </c>
      <c r="M995" s="43">
        <f>IF($I995=0,0,IF(OR(INDEX(DarlOhneTilgung,3)=1,AND(INDEX(DarlTilgStart,3)&gt;0,$E995&lt;INDEX(DarlTilgStart,3))),0,MIN(MAX(0,$K995-$L995),$J995)))</f>
      </c>
      <c r="N995" s="43">
        <f>IF($I995=0,0,MIN(SUMIFS(SondBetrag,SondDarl,3,SondDatum,"&gt;="&amp;$E995,SondDatum,"&lt;="&amp;EOMONTH($E995,0)),$J995-$M995))</f>
      </c>
      <c r="O995" s="43">
        <f>IF($I995=0,0,INDEX(DarlErsatzRate,3))</f>
      </c>
      <c r="P995" s="43">
        <f>IF($I995=0,0,$Q994*INDEX(DarlErsatzZins,3))</f>
      </c>
      <c r="Q995" s="43">
        <f>IF($I995=0,0,$Q994+$P995+$O995)</f>
      </c>
      <c r="R995" s="43">
        <f>IF($I995=0,0,$J995-$M995-$N995)</f>
      </c>
    </row>
    <row r="996">
      <c r="A996"/>
      <c r="B996">
        <v>3</v>
      </c>
      <c r="C996" s="43">
        <f>INDEX(DarlObj,3)</f>
      </c>
      <c r="D996">
        <v>33</v>
      </c>
      <c r="E996" s="51">
        <f>IF(INDEX(DarlBelegt,3)=0,0,EOMONTH(INDEX(DarlAuszahlung,3),32)+1)</f>
      </c>
      <c r="F996" s="43">
        <f>IF($E996=0,0,YEAR($E996))</f>
      </c>
      <c r="G996" s="43">
        <f>IF(INDEX(DarlBindung,3)="",1,IF($E996&lt;=INDEX(DarlBindung,3),1,0))</f>
      </c>
      <c r="H996" s="43">
        <f>IF($G996=1,INDEX(DarlSollzins,3),INDEX(DarlAnschluss,3))</f>
      </c>
      <c r="I996" s="43">
        <f>IF(INDEX(DarlBelegt,3)=0,0,IF(INDEX(DarlOhneTilgung,3)=1,IF(INDEX(DarlBindung,3)="",1,$G996),IF($J996&gt;0.005,1,0)))</f>
      </c>
      <c r="J996" s="43">
        <f>IF($I995=0,0,$R995)</f>
      </c>
      <c r="K996" s="43">
        <f>IF($I996=0,0,IF(INDEX(DarlOhneTilgung,3)=1,0,IF(AND(INDEX(DarlTilgStart,3)&gt;0,$E996=INDEX(DarlTilgStart,3)),$J996*($H996+INDEX(DarlTilgung,3))/100/12,IF(AND($G996=0,$G995=1),MAX($K995,$J996*($H996+1)/100/12),$K995))))</f>
      </c>
      <c r="L996" s="43">
        <f>IF($I996=0,0,$J996*$H996/100/12)</f>
      </c>
      <c r="M996" s="43">
        <f>IF($I996=0,0,IF(OR(INDEX(DarlOhneTilgung,3)=1,AND(INDEX(DarlTilgStart,3)&gt;0,$E996&lt;INDEX(DarlTilgStart,3))),0,MIN(MAX(0,$K996-$L996),$J996)))</f>
      </c>
      <c r="N996" s="43">
        <f>IF($I996=0,0,MIN(SUMIFS(SondBetrag,SondDarl,3,SondDatum,"&gt;="&amp;$E996,SondDatum,"&lt;="&amp;EOMONTH($E996,0)),$J996-$M996))</f>
      </c>
      <c r="O996" s="43">
        <f>IF($I996=0,0,INDEX(DarlErsatzRate,3))</f>
      </c>
      <c r="P996" s="43">
        <f>IF($I996=0,0,$Q995*INDEX(DarlErsatzZins,3))</f>
      </c>
      <c r="Q996" s="43">
        <f>IF($I996=0,0,$Q995+$P996+$O996)</f>
      </c>
      <c r="R996" s="43">
        <f>IF($I996=0,0,$J996-$M996-$N996)</f>
      </c>
    </row>
    <row r="997">
      <c r="A997"/>
      <c r="B997">
        <v>3</v>
      </c>
      <c r="C997" s="43">
        <f>INDEX(DarlObj,3)</f>
      </c>
      <c r="D997">
        <v>34</v>
      </c>
      <c r="E997" s="51">
        <f>IF(INDEX(DarlBelegt,3)=0,0,EOMONTH(INDEX(DarlAuszahlung,3),33)+1)</f>
      </c>
      <c r="F997" s="43">
        <f>IF($E997=0,0,YEAR($E997))</f>
      </c>
      <c r="G997" s="43">
        <f>IF(INDEX(DarlBindung,3)="",1,IF($E997&lt;=INDEX(DarlBindung,3),1,0))</f>
      </c>
      <c r="H997" s="43">
        <f>IF($G997=1,INDEX(DarlSollzins,3),INDEX(DarlAnschluss,3))</f>
      </c>
      <c r="I997" s="43">
        <f>IF(INDEX(DarlBelegt,3)=0,0,IF(INDEX(DarlOhneTilgung,3)=1,IF(INDEX(DarlBindung,3)="",1,$G997),IF($J997&gt;0.005,1,0)))</f>
      </c>
      <c r="J997" s="43">
        <f>IF($I996=0,0,$R996)</f>
      </c>
      <c r="K997" s="43">
        <f>IF($I997=0,0,IF(INDEX(DarlOhneTilgung,3)=1,0,IF(AND(INDEX(DarlTilgStart,3)&gt;0,$E997=INDEX(DarlTilgStart,3)),$J997*($H997+INDEX(DarlTilgung,3))/100/12,IF(AND($G997=0,$G996=1),MAX($K996,$J997*($H997+1)/100/12),$K996))))</f>
      </c>
      <c r="L997" s="43">
        <f>IF($I997=0,0,$J997*$H997/100/12)</f>
      </c>
      <c r="M997" s="43">
        <f>IF($I997=0,0,IF(OR(INDEX(DarlOhneTilgung,3)=1,AND(INDEX(DarlTilgStart,3)&gt;0,$E997&lt;INDEX(DarlTilgStart,3))),0,MIN(MAX(0,$K997-$L997),$J997)))</f>
      </c>
      <c r="N997" s="43">
        <f>IF($I997=0,0,MIN(SUMIFS(SondBetrag,SondDarl,3,SondDatum,"&gt;="&amp;$E997,SondDatum,"&lt;="&amp;EOMONTH($E997,0)),$J997-$M997))</f>
      </c>
      <c r="O997" s="43">
        <f>IF($I997=0,0,INDEX(DarlErsatzRate,3))</f>
      </c>
      <c r="P997" s="43">
        <f>IF($I997=0,0,$Q996*INDEX(DarlErsatzZins,3))</f>
      </c>
      <c r="Q997" s="43">
        <f>IF($I997=0,0,$Q996+$P997+$O997)</f>
      </c>
      <c r="R997" s="43">
        <f>IF($I997=0,0,$J997-$M997-$N997)</f>
      </c>
    </row>
    <row r="998">
      <c r="A998"/>
      <c r="B998">
        <v>3</v>
      </c>
      <c r="C998" s="43">
        <f>INDEX(DarlObj,3)</f>
      </c>
      <c r="D998">
        <v>35</v>
      </c>
      <c r="E998" s="51">
        <f>IF(INDEX(DarlBelegt,3)=0,0,EOMONTH(INDEX(DarlAuszahlung,3),34)+1)</f>
      </c>
      <c r="F998" s="43">
        <f>IF($E998=0,0,YEAR($E998))</f>
      </c>
      <c r="G998" s="43">
        <f>IF(INDEX(DarlBindung,3)="",1,IF($E998&lt;=INDEX(DarlBindung,3),1,0))</f>
      </c>
      <c r="H998" s="43">
        <f>IF($G998=1,INDEX(DarlSollzins,3),INDEX(DarlAnschluss,3))</f>
      </c>
      <c r="I998" s="43">
        <f>IF(INDEX(DarlBelegt,3)=0,0,IF(INDEX(DarlOhneTilgung,3)=1,IF(INDEX(DarlBindung,3)="",1,$G998),IF($J998&gt;0.005,1,0)))</f>
      </c>
      <c r="J998" s="43">
        <f>IF($I997=0,0,$R997)</f>
      </c>
      <c r="K998" s="43">
        <f>IF($I998=0,0,IF(INDEX(DarlOhneTilgung,3)=1,0,IF(AND(INDEX(DarlTilgStart,3)&gt;0,$E998=INDEX(DarlTilgStart,3)),$J998*($H998+INDEX(DarlTilgung,3))/100/12,IF(AND($G998=0,$G997=1),MAX($K997,$J998*($H998+1)/100/12),$K997))))</f>
      </c>
      <c r="L998" s="43">
        <f>IF($I998=0,0,$J998*$H998/100/12)</f>
      </c>
      <c r="M998" s="43">
        <f>IF($I998=0,0,IF(OR(INDEX(DarlOhneTilgung,3)=1,AND(INDEX(DarlTilgStart,3)&gt;0,$E998&lt;INDEX(DarlTilgStart,3))),0,MIN(MAX(0,$K998-$L998),$J998)))</f>
      </c>
      <c r="N998" s="43">
        <f>IF($I998=0,0,MIN(SUMIFS(SondBetrag,SondDarl,3,SondDatum,"&gt;="&amp;$E998,SondDatum,"&lt;="&amp;EOMONTH($E998,0)),$J998-$M998))</f>
      </c>
      <c r="O998" s="43">
        <f>IF($I998=0,0,INDEX(DarlErsatzRate,3))</f>
      </c>
      <c r="P998" s="43">
        <f>IF($I998=0,0,$Q997*INDEX(DarlErsatzZins,3))</f>
      </c>
      <c r="Q998" s="43">
        <f>IF($I998=0,0,$Q997+$P998+$O998)</f>
      </c>
      <c r="R998" s="43">
        <f>IF($I998=0,0,$J998-$M998-$N998)</f>
      </c>
    </row>
    <row r="999">
      <c r="A999"/>
      <c r="B999">
        <v>3</v>
      </c>
      <c r="C999" s="43">
        <f>INDEX(DarlObj,3)</f>
      </c>
      <c r="D999">
        <v>36</v>
      </c>
      <c r="E999" s="51">
        <f>IF(INDEX(DarlBelegt,3)=0,0,EOMONTH(INDEX(DarlAuszahlung,3),35)+1)</f>
      </c>
      <c r="F999" s="43">
        <f>IF($E999=0,0,YEAR($E999))</f>
      </c>
      <c r="G999" s="43">
        <f>IF(INDEX(DarlBindung,3)="",1,IF($E999&lt;=INDEX(DarlBindung,3),1,0))</f>
      </c>
      <c r="H999" s="43">
        <f>IF($G999=1,INDEX(DarlSollzins,3),INDEX(DarlAnschluss,3))</f>
      </c>
      <c r="I999" s="43">
        <f>IF(INDEX(DarlBelegt,3)=0,0,IF(INDEX(DarlOhneTilgung,3)=1,IF(INDEX(DarlBindung,3)="",1,$G999),IF($J999&gt;0.005,1,0)))</f>
      </c>
      <c r="J999" s="43">
        <f>IF($I998=0,0,$R998)</f>
      </c>
      <c r="K999" s="43">
        <f>IF($I999=0,0,IF(INDEX(DarlOhneTilgung,3)=1,0,IF(AND(INDEX(DarlTilgStart,3)&gt;0,$E999=INDEX(DarlTilgStart,3)),$J999*($H999+INDEX(DarlTilgung,3))/100/12,IF(AND($G999=0,$G998=1),MAX($K998,$J999*($H999+1)/100/12),$K998))))</f>
      </c>
      <c r="L999" s="43">
        <f>IF($I999=0,0,$J999*$H999/100/12)</f>
      </c>
      <c r="M999" s="43">
        <f>IF($I999=0,0,IF(OR(INDEX(DarlOhneTilgung,3)=1,AND(INDEX(DarlTilgStart,3)&gt;0,$E999&lt;INDEX(DarlTilgStart,3))),0,MIN(MAX(0,$K999-$L999),$J999)))</f>
      </c>
      <c r="N999" s="43">
        <f>IF($I999=0,0,MIN(SUMIFS(SondBetrag,SondDarl,3,SondDatum,"&gt;="&amp;$E999,SondDatum,"&lt;="&amp;EOMONTH($E999,0)),$J999-$M999))</f>
      </c>
      <c r="O999" s="43">
        <f>IF($I999=0,0,INDEX(DarlErsatzRate,3))</f>
      </c>
      <c r="P999" s="43">
        <f>IF($I999=0,0,$Q998*INDEX(DarlErsatzZins,3))</f>
      </c>
      <c r="Q999" s="43">
        <f>IF($I999=0,0,$Q998+$P999+$O999)</f>
      </c>
      <c r="R999" s="43">
        <f>IF($I999=0,0,$J999-$M999-$N999)</f>
      </c>
    </row>
    <row r="1000">
      <c r="A1000"/>
      <c r="B1000">
        <v>3</v>
      </c>
      <c r="C1000" s="43">
        <f>INDEX(DarlObj,3)</f>
      </c>
      <c r="D1000">
        <v>37</v>
      </c>
      <c r="E1000" s="51">
        <f>IF(INDEX(DarlBelegt,3)=0,0,EOMONTH(INDEX(DarlAuszahlung,3),36)+1)</f>
      </c>
      <c r="F1000" s="43">
        <f>IF($E1000=0,0,YEAR($E1000))</f>
      </c>
      <c r="G1000" s="43">
        <f>IF(INDEX(DarlBindung,3)="",1,IF($E1000&lt;=INDEX(DarlBindung,3),1,0))</f>
      </c>
      <c r="H1000" s="43">
        <f>IF($G1000=1,INDEX(DarlSollzins,3),INDEX(DarlAnschluss,3))</f>
      </c>
      <c r="I1000" s="43">
        <f>IF(INDEX(DarlBelegt,3)=0,0,IF(INDEX(DarlOhneTilgung,3)=1,IF(INDEX(DarlBindung,3)="",1,$G1000),IF($J1000&gt;0.005,1,0)))</f>
      </c>
      <c r="J1000" s="43">
        <f>IF($I999=0,0,$R999)</f>
      </c>
      <c r="K1000" s="43">
        <f>IF($I1000=0,0,IF(INDEX(DarlOhneTilgung,3)=1,0,IF(AND(INDEX(DarlTilgStart,3)&gt;0,$E1000=INDEX(DarlTilgStart,3)),$J1000*($H1000+INDEX(DarlTilgung,3))/100/12,IF(AND($G1000=0,$G999=1),MAX($K999,$J1000*($H1000+1)/100/12),$K999))))</f>
      </c>
      <c r="L1000" s="43">
        <f>IF($I1000=0,0,$J1000*$H1000/100/12)</f>
      </c>
      <c r="M1000" s="43">
        <f>IF($I1000=0,0,IF(OR(INDEX(DarlOhneTilgung,3)=1,AND(INDEX(DarlTilgStart,3)&gt;0,$E1000&lt;INDEX(DarlTilgStart,3))),0,MIN(MAX(0,$K1000-$L1000),$J1000)))</f>
      </c>
      <c r="N1000" s="43">
        <f>IF($I1000=0,0,MIN(SUMIFS(SondBetrag,SondDarl,3,SondDatum,"&gt;="&amp;$E1000,SondDatum,"&lt;="&amp;EOMONTH($E1000,0)),$J1000-$M1000))</f>
      </c>
      <c r="O1000" s="43">
        <f>IF($I1000=0,0,INDEX(DarlErsatzRate,3))</f>
      </c>
      <c r="P1000" s="43">
        <f>IF($I1000=0,0,$Q999*INDEX(DarlErsatzZins,3))</f>
      </c>
      <c r="Q1000" s="43">
        <f>IF($I1000=0,0,$Q999+$P1000+$O1000)</f>
      </c>
      <c r="R1000" s="43">
        <f>IF($I1000=0,0,$J1000-$M1000-$N1000)</f>
      </c>
    </row>
    <row r="1001">
      <c r="A1001"/>
      <c r="B1001">
        <v>3</v>
      </c>
      <c r="C1001" s="43">
        <f>INDEX(DarlObj,3)</f>
      </c>
      <c r="D1001">
        <v>38</v>
      </c>
      <c r="E1001" s="51">
        <f>IF(INDEX(DarlBelegt,3)=0,0,EOMONTH(INDEX(DarlAuszahlung,3),37)+1)</f>
      </c>
      <c r="F1001" s="43">
        <f>IF($E1001=0,0,YEAR($E1001))</f>
      </c>
      <c r="G1001" s="43">
        <f>IF(INDEX(DarlBindung,3)="",1,IF($E1001&lt;=INDEX(DarlBindung,3),1,0))</f>
      </c>
      <c r="H1001" s="43">
        <f>IF($G1001=1,INDEX(DarlSollzins,3),INDEX(DarlAnschluss,3))</f>
      </c>
      <c r="I1001" s="43">
        <f>IF(INDEX(DarlBelegt,3)=0,0,IF(INDEX(DarlOhneTilgung,3)=1,IF(INDEX(DarlBindung,3)="",1,$G1001),IF($J1001&gt;0.005,1,0)))</f>
      </c>
      <c r="J1001" s="43">
        <f>IF($I1000=0,0,$R1000)</f>
      </c>
      <c r="K1001" s="43">
        <f>IF($I1001=0,0,IF(INDEX(DarlOhneTilgung,3)=1,0,IF(AND(INDEX(DarlTilgStart,3)&gt;0,$E1001=INDEX(DarlTilgStart,3)),$J1001*($H1001+INDEX(DarlTilgung,3))/100/12,IF(AND($G1001=0,$G1000=1),MAX($K1000,$J1001*($H1001+1)/100/12),$K1000))))</f>
      </c>
      <c r="L1001" s="43">
        <f>IF($I1001=0,0,$J1001*$H1001/100/12)</f>
      </c>
      <c r="M1001" s="43">
        <f>IF($I1001=0,0,IF(OR(INDEX(DarlOhneTilgung,3)=1,AND(INDEX(DarlTilgStart,3)&gt;0,$E1001&lt;INDEX(DarlTilgStart,3))),0,MIN(MAX(0,$K1001-$L1001),$J1001)))</f>
      </c>
      <c r="N1001" s="43">
        <f>IF($I1001=0,0,MIN(SUMIFS(SondBetrag,SondDarl,3,SondDatum,"&gt;="&amp;$E1001,SondDatum,"&lt;="&amp;EOMONTH($E1001,0)),$J1001-$M1001))</f>
      </c>
      <c r="O1001" s="43">
        <f>IF($I1001=0,0,INDEX(DarlErsatzRate,3))</f>
      </c>
      <c r="P1001" s="43">
        <f>IF($I1001=0,0,$Q1000*INDEX(DarlErsatzZins,3))</f>
      </c>
      <c r="Q1001" s="43">
        <f>IF($I1001=0,0,$Q1000+$P1001+$O1001)</f>
      </c>
      <c r="R1001" s="43">
        <f>IF($I1001=0,0,$J1001-$M1001-$N1001)</f>
      </c>
    </row>
    <row r="1002">
      <c r="A1002"/>
      <c r="B1002">
        <v>3</v>
      </c>
      <c r="C1002" s="43">
        <f>INDEX(DarlObj,3)</f>
      </c>
      <c r="D1002">
        <v>39</v>
      </c>
      <c r="E1002" s="51">
        <f>IF(INDEX(DarlBelegt,3)=0,0,EOMONTH(INDEX(DarlAuszahlung,3),38)+1)</f>
      </c>
      <c r="F1002" s="43">
        <f>IF($E1002=0,0,YEAR($E1002))</f>
      </c>
      <c r="G1002" s="43">
        <f>IF(INDEX(DarlBindung,3)="",1,IF($E1002&lt;=INDEX(DarlBindung,3),1,0))</f>
      </c>
      <c r="H1002" s="43">
        <f>IF($G1002=1,INDEX(DarlSollzins,3),INDEX(DarlAnschluss,3))</f>
      </c>
      <c r="I1002" s="43">
        <f>IF(INDEX(DarlBelegt,3)=0,0,IF(INDEX(DarlOhneTilgung,3)=1,IF(INDEX(DarlBindung,3)="",1,$G1002),IF($J1002&gt;0.005,1,0)))</f>
      </c>
      <c r="J1002" s="43">
        <f>IF($I1001=0,0,$R1001)</f>
      </c>
      <c r="K1002" s="43">
        <f>IF($I1002=0,0,IF(INDEX(DarlOhneTilgung,3)=1,0,IF(AND(INDEX(DarlTilgStart,3)&gt;0,$E1002=INDEX(DarlTilgStart,3)),$J1002*($H1002+INDEX(DarlTilgung,3))/100/12,IF(AND($G1002=0,$G1001=1),MAX($K1001,$J1002*($H1002+1)/100/12),$K1001))))</f>
      </c>
      <c r="L1002" s="43">
        <f>IF($I1002=0,0,$J1002*$H1002/100/12)</f>
      </c>
      <c r="M1002" s="43">
        <f>IF($I1002=0,0,IF(OR(INDEX(DarlOhneTilgung,3)=1,AND(INDEX(DarlTilgStart,3)&gt;0,$E1002&lt;INDEX(DarlTilgStart,3))),0,MIN(MAX(0,$K1002-$L1002),$J1002)))</f>
      </c>
      <c r="N1002" s="43">
        <f>IF($I1002=0,0,MIN(SUMIFS(SondBetrag,SondDarl,3,SondDatum,"&gt;="&amp;$E1002,SondDatum,"&lt;="&amp;EOMONTH($E1002,0)),$J1002-$M1002))</f>
      </c>
      <c r="O1002" s="43">
        <f>IF($I1002=0,0,INDEX(DarlErsatzRate,3))</f>
      </c>
      <c r="P1002" s="43">
        <f>IF($I1002=0,0,$Q1001*INDEX(DarlErsatzZins,3))</f>
      </c>
      <c r="Q1002" s="43">
        <f>IF($I1002=0,0,$Q1001+$P1002+$O1002)</f>
      </c>
      <c r="R1002" s="43">
        <f>IF($I1002=0,0,$J1002-$M1002-$N1002)</f>
      </c>
    </row>
    <row r="1003">
      <c r="A1003"/>
      <c r="B1003">
        <v>3</v>
      </c>
      <c r="C1003" s="43">
        <f>INDEX(DarlObj,3)</f>
      </c>
      <c r="D1003">
        <v>40</v>
      </c>
      <c r="E1003" s="51">
        <f>IF(INDEX(DarlBelegt,3)=0,0,EOMONTH(INDEX(DarlAuszahlung,3),39)+1)</f>
      </c>
      <c r="F1003" s="43">
        <f>IF($E1003=0,0,YEAR($E1003))</f>
      </c>
      <c r="G1003" s="43">
        <f>IF(INDEX(DarlBindung,3)="",1,IF($E1003&lt;=INDEX(DarlBindung,3),1,0))</f>
      </c>
      <c r="H1003" s="43">
        <f>IF($G1003=1,INDEX(DarlSollzins,3),INDEX(DarlAnschluss,3))</f>
      </c>
      <c r="I1003" s="43">
        <f>IF(INDEX(DarlBelegt,3)=0,0,IF(INDEX(DarlOhneTilgung,3)=1,IF(INDEX(DarlBindung,3)="",1,$G1003),IF($J1003&gt;0.005,1,0)))</f>
      </c>
      <c r="J1003" s="43">
        <f>IF($I1002=0,0,$R1002)</f>
      </c>
      <c r="K1003" s="43">
        <f>IF($I1003=0,0,IF(INDEX(DarlOhneTilgung,3)=1,0,IF(AND(INDEX(DarlTilgStart,3)&gt;0,$E1003=INDEX(DarlTilgStart,3)),$J1003*($H1003+INDEX(DarlTilgung,3))/100/12,IF(AND($G1003=0,$G1002=1),MAX($K1002,$J1003*($H1003+1)/100/12),$K1002))))</f>
      </c>
      <c r="L1003" s="43">
        <f>IF($I1003=0,0,$J1003*$H1003/100/12)</f>
      </c>
      <c r="M1003" s="43">
        <f>IF($I1003=0,0,IF(OR(INDEX(DarlOhneTilgung,3)=1,AND(INDEX(DarlTilgStart,3)&gt;0,$E1003&lt;INDEX(DarlTilgStart,3))),0,MIN(MAX(0,$K1003-$L1003),$J1003)))</f>
      </c>
      <c r="N1003" s="43">
        <f>IF($I1003=0,0,MIN(SUMIFS(SondBetrag,SondDarl,3,SondDatum,"&gt;="&amp;$E1003,SondDatum,"&lt;="&amp;EOMONTH($E1003,0)),$J1003-$M1003))</f>
      </c>
      <c r="O1003" s="43">
        <f>IF($I1003=0,0,INDEX(DarlErsatzRate,3))</f>
      </c>
      <c r="P1003" s="43">
        <f>IF($I1003=0,0,$Q1002*INDEX(DarlErsatzZins,3))</f>
      </c>
      <c r="Q1003" s="43">
        <f>IF($I1003=0,0,$Q1002+$P1003+$O1003)</f>
      </c>
      <c r="R1003" s="43">
        <f>IF($I1003=0,0,$J1003-$M1003-$N1003)</f>
      </c>
    </row>
    <row r="1004">
      <c r="A1004"/>
      <c r="B1004">
        <v>3</v>
      </c>
      <c r="C1004" s="43">
        <f>INDEX(DarlObj,3)</f>
      </c>
      <c r="D1004">
        <v>41</v>
      </c>
      <c r="E1004" s="51">
        <f>IF(INDEX(DarlBelegt,3)=0,0,EOMONTH(INDEX(DarlAuszahlung,3),40)+1)</f>
      </c>
      <c r="F1004" s="43">
        <f>IF($E1004=0,0,YEAR($E1004))</f>
      </c>
      <c r="G1004" s="43">
        <f>IF(INDEX(DarlBindung,3)="",1,IF($E1004&lt;=INDEX(DarlBindung,3),1,0))</f>
      </c>
      <c r="H1004" s="43">
        <f>IF($G1004=1,INDEX(DarlSollzins,3),INDEX(DarlAnschluss,3))</f>
      </c>
      <c r="I1004" s="43">
        <f>IF(INDEX(DarlBelegt,3)=0,0,IF(INDEX(DarlOhneTilgung,3)=1,IF(INDEX(DarlBindung,3)="",1,$G1004),IF($J1004&gt;0.005,1,0)))</f>
      </c>
      <c r="J1004" s="43">
        <f>IF($I1003=0,0,$R1003)</f>
      </c>
      <c r="K1004" s="43">
        <f>IF($I1004=0,0,IF(INDEX(DarlOhneTilgung,3)=1,0,IF(AND(INDEX(DarlTilgStart,3)&gt;0,$E1004=INDEX(DarlTilgStart,3)),$J1004*($H1004+INDEX(DarlTilgung,3))/100/12,IF(AND($G1004=0,$G1003=1),MAX($K1003,$J1004*($H1004+1)/100/12),$K1003))))</f>
      </c>
      <c r="L1004" s="43">
        <f>IF($I1004=0,0,$J1004*$H1004/100/12)</f>
      </c>
      <c r="M1004" s="43">
        <f>IF($I1004=0,0,IF(OR(INDEX(DarlOhneTilgung,3)=1,AND(INDEX(DarlTilgStart,3)&gt;0,$E1004&lt;INDEX(DarlTilgStart,3))),0,MIN(MAX(0,$K1004-$L1004),$J1004)))</f>
      </c>
      <c r="N1004" s="43">
        <f>IF($I1004=0,0,MIN(SUMIFS(SondBetrag,SondDarl,3,SondDatum,"&gt;="&amp;$E1004,SondDatum,"&lt;="&amp;EOMONTH($E1004,0)),$J1004-$M1004))</f>
      </c>
      <c r="O1004" s="43">
        <f>IF($I1004=0,0,INDEX(DarlErsatzRate,3))</f>
      </c>
      <c r="P1004" s="43">
        <f>IF($I1004=0,0,$Q1003*INDEX(DarlErsatzZins,3))</f>
      </c>
      <c r="Q1004" s="43">
        <f>IF($I1004=0,0,$Q1003+$P1004+$O1004)</f>
      </c>
      <c r="R1004" s="43">
        <f>IF($I1004=0,0,$J1004-$M1004-$N1004)</f>
      </c>
    </row>
    <row r="1005">
      <c r="A1005"/>
      <c r="B1005">
        <v>3</v>
      </c>
      <c r="C1005" s="43">
        <f>INDEX(DarlObj,3)</f>
      </c>
      <c r="D1005">
        <v>42</v>
      </c>
      <c r="E1005" s="51">
        <f>IF(INDEX(DarlBelegt,3)=0,0,EOMONTH(INDEX(DarlAuszahlung,3),41)+1)</f>
      </c>
      <c r="F1005" s="43">
        <f>IF($E1005=0,0,YEAR($E1005))</f>
      </c>
      <c r="G1005" s="43">
        <f>IF(INDEX(DarlBindung,3)="",1,IF($E1005&lt;=INDEX(DarlBindung,3),1,0))</f>
      </c>
      <c r="H1005" s="43">
        <f>IF($G1005=1,INDEX(DarlSollzins,3),INDEX(DarlAnschluss,3))</f>
      </c>
      <c r="I1005" s="43">
        <f>IF(INDEX(DarlBelegt,3)=0,0,IF(INDEX(DarlOhneTilgung,3)=1,IF(INDEX(DarlBindung,3)="",1,$G1005),IF($J1005&gt;0.005,1,0)))</f>
      </c>
      <c r="J1005" s="43">
        <f>IF($I1004=0,0,$R1004)</f>
      </c>
      <c r="K1005" s="43">
        <f>IF($I1005=0,0,IF(INDEX(DarlOhneTilgung,3)=1,0,IF(AND(INDEX(DarlTilgStart,3)&gt;0,$E1005=INDEX(DarlTilgStart,3)),$J1005*($H1005+INDEX(DarlTilgung,3))/100/12,IF(AND($G1005=0,$G1004=1),MAX($K1004,$J1005*($H1005+1)/100/12),$K1004))))</f>
      </c>
      <c r="L1005" s="43">
        <f>IF($I1005=0,0,$J1005*$H1005/100/12)</f>
      </c>
      <c r="M1005" s="43">
        <f>IF($I1005=0,0,IF(OR(INDEX(DarlOhneTilgung,3)=1,AND(INDEX(DarlTilgStart,3)&gt;0,$E1005&lt;INDEX(DarlTilgStart,3))),0,MIN(MAX(0,$K1005-$L1005),$J1005)))</f>
      </c>
      <c r="N1005" s="43">
        <f>IF($I1005=0,0,MIN(SUMIFS(SondBetrag,SondDarl,3,SondDatum,"&gt;="&amp;$E1005,SondDatum,"&lt;="&amp;EOMONTH($E1005,0)),$J1005-$M1005))</f>
      </c>
      <c r="O1005" s="43">
        <f>IF($I1005=0,0,INDEX(DarlErsatzRate,3))</f>
      </c>
      <c r="P1005" s="43">
        <f>IF($I1005=0,0,$Q1004*INDEX(DarlErsatzZins,3))</f>
      </c>
      <c r="Q1005" s="43">
        <f>IF($I1005=0,0,$Q1004+$P1005+$O1005)</f>
      </c>
      <c r="R1005" s="43">
        <f>IF($I1005=0,0,$J1005-$M1005-$N1005)</f>
      </c>
    </row>
    <row r="1006">
      <c r="A1006"/>
      <c r="B1006">
        <v>3</v>
      </c>
      <c r="C1006" s="43">
        <f>INDEX(DarlObj,3)</f>
      </c>
      <c r="D1006">
        <v>43</v>
      </c>
      <c r="E1006" s="51">
        <f>IF(INDEX(DarlBelegt,3)=0,0,EOMONTH(INDEX(DarlAuszahlung,3),42)+1)</f>
      </c>
      <c r="F1006" s="43">
        <f>IF($E1006=0,0,YEAR($E1006))</f>
      </c>
      <c r="G1006" s="43">
        <f>IF(INDEX(DarlBindung,3)="",1,IF($E1006&lt;=INDEX(DarlBindung,3),1,0))</f>
      </c>
      <c r="H1006" s="43">
        <f>IF($G1006=1,INDEX(DarlSollzins,3),INDEX(DarlAnschluss,3))</f>
      </c>
      <c r="I1006" s="43">
        <f>IF(INDEX(DarlBelegt,3)=0,0,IF(INDEX(DarlOhneTilgung,3)=1,IF(INDEX(DarlBindung,3)="",1,$G1006),IF($J1006&gt;0.005,1,0)))</f>
      </c>
      <c r="J1006" s="43">
        <f>IF($I1005=0,0,$R1005)</f>
      </c>
      <c r="K1006" s="43">
        <f>IF($I1006=0,0,IF(INDEX(DarlOhneTilgung,3)=1,0,IF(AND(INDEX(DarlTilgStart,3)&gt;0,$E1006=INDEX(DarlTilgStart,3)),$J1006*($H1006+INDEX(DarlTilgung,3))/100/12,IF(AND($G1006=0,$G1005=1),MAX($K1005,$J1006*($H1006+1)/100/12),$K1005))))</f>
      </c>
      <c r="L1006" s="43">
        <f>IF($I1006=0,0,$J1006*$H1006/100/12)</f>
      </c>
      <c r="M1006" s="43">
        <f>IF($I1006=0,0,IF(OR(INDEX(DarlOhneTilgung,3)=1,AND(INDEX(DarlTilgStart,3)&gt;0,$E1006&lt;INDEX(DarlTilgStart,3))),0,MIN(MAX(0,$K1006-$L1006),$J1006)))</f>
      </c>
      <c r="N1006" s="43">
        <f>IF($I1006=0,0,MIN(SUMIFS(SondBetrag,SondDarl,3,SondDatum,"&gt;="&amp;$E1006,SondDatum,"&lt;="&amp;EOMONTH($E1006,0)),$J1006-$M1006))</f>
      </c>
      <c r="O1006" s="43">
        <f>IF($I1006=0,0,INDEX(DarlErsatzRate,3))</f>
      </c>
      <c r="P1006" s="43">
        <f>IF($I1006=0,0,$Q1005*INDEX(DarlErsatzZins,3))</f>
      </c>
      <c r="Q1006" s="43">
        <f>IF($I1006=0,0,$Q1005+$P1006+$O1006)</f>
      </c>
      <c r="R1006" s="43">
        <f>IF($I1006=0,0,$J1006-$M1006-$N1006)</f>
      </c>
    </row>
    <row r="1007">
      <c r="A1007"/>
      <c r="B1007">
        <v>3</v>
      </c>
      <c r="C1007" s="43">
        <f>INDEX(DarlObj,3)</f>
      </c>
      <c r="D1007">
        <v>44</v>
      </c>
      <c r="E1007" s="51">
        <f>IF(INDEX(DarlBelegt,3)=0,0,EOMONTH(INDEX(DarlAuszahlung,3),43)+1)</f>
      </c>
      <c r="F1007" s="43">
        <f>IF($E1007=0,0,YEAR($E1007))</f>
      </c>
      <c r="G1007" s="43">
        <f>IF(INDEX(DarlBindung,3)="",1,IF($E1007&lt;=INDEX(DarlBindung,3),1,0))</f>
      </c>
      <c r="H1007" s="43">
        <f>IF($G1007=1,INDEX(DarlSollzins,3),INDEX(DarlAnschluss,3))</f>
      </c>
      <c r="I1007" s="43">
        <f>IF(INDEX(DarlBelegt,3)=0,0,IF(INDEX(DarlOhneTilgung,3)=1,IF(INDEX(DarlBindung,3)="",1,$G1007),IF($J1007&gt;0.005,1,0)))</f>
      </c>
      <c r="J1007" s="43">
        <f>IF($I1006=0,0,$R1006)</f>
      </c>
      <c r="K1007" s="43">
        <f>IF($I1007=0,0,IF(INDEX(DarlOhneTilgung,3)=1,0,IF(AND(INDEX(DarlTilgStart,3)&gt;0,$E1007=INDEX(DarlTilgStart,3)),$J1007*($H1007+INDEX(DarlTilgung,3))/100/12,IF(AND($G1007=0,$G1006=1),MAX($K1006,$J1007*($H1007+1)/100/12),$K1006))))</f>
      </c>
      <c r="L1007" s="43">
        <f>IF($I1007=0,0,$J1007*$H1007/100/12)</f>
      </c>
      <c r="M1007" s="43">
        <f>IF($I1007=0,0,IF(OR(INDEX(DarlOhneTilgung,3)=1,AND(INDEX(DarlTilgStart,3)&gt;0,$E1007&lt;INDEX(DarlTilgStart,3))),0,MIN(MAX(0,$K1007-$L1007),$J1007)))</f>
      </c>
      <c r="N1007" s="43">
        <f>IF($I1007=0,0,MIN(SUMIFS(SondBetrag,SondDarl,3,SondDatum,"&gt;="&amp;$E1007,SondDatum,"&lt;="&amp;EOMONTH($E1007,0)),$J1007-$M1007))</f>
      </c>
      <c r="O1007" s="43">
        <f>IF($I1007=0,0,INDEX(DarlErsatzRate,3))</f>
      </c>
      <c r="P1007" s="43">
        <f>IF($I1007=0,0,$Q1006*INDEX(DarlErsatzZins,3))</f>
      </c>
      <c r="Q1007" s="43">
        <f>IF($I1007=0,0,$Q1006+$P1007+$O1007)</f>
      </c>
      <c r="R1007" s="43">
        <f>IF($I1007=0,0,$J1007-$M1007-$N1007)</f>
      </c>
    </row>
    <row r="1008">
      <c r="A1008"/>
      <c r="B1008">
        <v>3</v>
      </c>
      <c r="C1008" s="43">
        <f>INDEX(DarlObj,3)</f>
      </c>
      <c r="D1008">
        <v>45</v>
      </c>
      <c r="E1008" s="51">
        <f>IF(INDEX(DarlBelegt,3)=0,0,EOMONTH(INDEX(DarlAuszahlung,3),44)+1)</f>
      </c>
      <c r="F1008" s="43">
        <f>IF($E1008=0,0,YEAR($E1008))</f>
      </c>
      <c r="G1008" s="43">
        <f>IF(INDEX(DarlBindung,3)="",1,IF($E1008&lt;=INDEX(DarlBindung,3),1,0))</f>
      </c>
      <c r="H1008" s="43">
        <f>IF($G1008=1,INDEX(DarlSollzins,3),INDEX(DarlAnschluss,3))</f>
      </c>
      <c r="I1008" s="43">
        <f>IF(INDEX(DarlBelegt,3)=0,0,IF(INDEX(DarlOhneTilgung,3)=1,IF(INDEX(DarlBindung,3)="",1,$G1008),IF($J1008&gt;0.005,1,0)))</f>
      </c>
      <c r="J1008" s="43">
        <f>IF($I1007=0,0,$R1007)</f>
      </c>
      <c r="K1008" s="43">
        <f>IF($I1008=0,0,IF(INDEX(DarlOhneTilgung,3)=1,0,IF(AND(INDEX(DarlTilgStart,3)&gt;0,$E1008=INDEX(DarlTilgStart,3)),$J1008*($H1008+INDEX(DarlTilgung,3))/100/12,IF(AND($G1008=0,$G1007=1),MAX($K1007,$J1008*($H1008+1)/100/12),$K1007))))</f>
      </c>
      <c r="L1008" s="43">
        <f>IF($I1008=0,0,$J1008*$H1008/100/12)</f>
      </c>
      <c r="M1008" s="43">
        <f>IF($I1008=0,0,IF(OR(INDEX(DarlOhneTilgung,3)=1,AND(INDEX(DarlTilgStart,3)&gt;0,$E1008&lt;INDEX(DarlTilgStart,3))),0,MIN(MAX(0,$K1008-$L1008),$J1008)))</f>
      </c>
      <c r="N1008" s="43">
        <f>IF($I1008=0,0,MIN(SUMIFS(SondBetrag,SondDarl,3,SondDatum,"&gt;="&amp;$E1008,SondDatum,"&lt;="&amp;EOMONTH($E1008,0)),$J1008-$M1008))</f>
      </c>
      <c r="O1008" s="43">
        <f>IF($I1008=0,0,INDEX(DarlErsatzRate,3))</f>
      </c>
      <c r="P1008" s="43">
        <f>IF($I1008=0,0,$Q1007*INDEX(DarlErsatzZins,3))</f>
      </c>
      <c r="Q1008" s="43">
        <f>IF($I1008=0,0,$Q1007+$P1008+$O1008)</f>
      </c>
      <c r="R1008" s="43">
        <f>IF($I1008=0,0,$J1008-$M1008-$N1008)</f>
      </c>
    </row>
    <row r="1009">
      <c r="A1009"/>
      <c r="B1009">
        <v>3</v>
      </c>
      <c r="C1009" s="43">
        <f>INDEX(DarlObj,3)</f>
      </c>
      <c r="D1009">
        <v>46</v>
      </c>
      <c r="E1009" s="51">
        <f>IF(INDEX(DarlBelegt,3)=0,0,EOMONTH(INDEX(DarlAuszahlung,3),45)+1)</f>
      </c>
      <c r="F1009" s="43">
        <f>IF($E1009=0,0,YEAR($E1009))</f>
      </c>
      <c r="G1009" s="43">
        <f>IF(INDEX(DarlBindung,3)="",1,IF($E1009&lt;=INDEX(DarlBindung,3),1,0))</f>
      </c>
      <c r="H1009" s="43">
        <f>IF($G1009=1,INDEX(DarlSollzins,3),INDEX(DarlAnschluss,3))</f>
      </c>
      <c r="I1009" s="43">
        <f>IF(INDEX(DarlBelegt,3)=0,0,IF(INDEX(DarlOhneTilgung,3)=1,IF(INDEX(DarlBindung,3)="",1,$G1009),IF($J1009&gt;0.005,1,0)))</f>
      </c>
      <c r="J1009" s="43">
        <f>IF($I1008=0,0,$R1008)</f>
      </c>
      <c r="K1009" s="43">
        <f>IF($I1009=0,0,IF(INDEX(DarlOhneTilgung,3)=1,0,IF(AND(INDEX(DarlTilgStart,3)&gt;0,$E1009=INDEX(DarlTilgStart,3)),$J1009*($H1009+INDEX(DarlTilgung,3))/100/12,IF(AND($G1009=0,$G1008=1),MAX($K1008,$J1009*($H1009+1)/100/12),$K1008))))</f>
      </c>
      <c r="L1009" s="43">
        <f>IF($I1009=0,0,$J1009*$H1009/100/12)</f>
      </c>
      <c r="M1009" s="43">
        <f>IF($I1009=0,0,IF(OR(INDEX(DarlOhneTilgung,3)=1,AND(INDEX(DarlTilgStart,3)&gt;0,$E1009&lt;INDEX(DarlTilgStart,3))),0,MIN(MAX(0,$K1009-$L1009),$J1009)))</f>
      </c>
      <c r="N1009" s="43">
        <f>IF($I1009=0,0,MIN(SUMIFS(SondBetrag,SondDarl,3,SondDatum,"&gt;="&amp;$E1009,SondDatum,"&lt;="&amp;EOMONTH($E1009,0)),$J1009-$M1009))</f>
      </c>
      <c r="O1009" s="43">
        <f>IF($I1009=0,0,INDEX(DarlErsatzRate,3))</f>
      </c>
      <c r="P1009" s="43">
        <f>IF($I1009=0,0,$Q1008*INDEX(DarlErsatzZins,3))</f>
      </c>
      <c r="Q1009" s="43">
        <f>IF($I1009=0,0,$Q1008+$P1009+$O1009)</f>
      </c>
      <c r="R1009" s="43">
        <f>IF($I1009=0,0,$J1009-$M1009-$N1009)</f>
      </c>
    </row>
    <row r="1010">
      <c r="A1010"/>
      <c r="B1010">
        <v>3</v>
      </c>
      <c r="C1010" s="43">
        <f>INDEX(DarlObj,3)</f>
      </c>
      <c r="D1010">
        <v>47</v>
      </c>
      <c r="E1010" s="51">
        <f>IF(INDEX(DarlBelegt,3)=0,0,EOMONTH(INDEX(DarlAuszahlung,3),46)+1)</f>
      </c>
      <c r="F1010" s="43">
        <f>IF($E1010=0,0,YEAR($E1010))</f>
      </c>
      <c r="G1010" s="43">
        <f>IF(INDEX(DarlBindung,3)="",1,IF($E1010&lt;=INDEX(DarlBindung,3),1,0))</f>
      </c>
      <c r="H1010" s="43">
        <f>IF($G1010=1,INDEX(DarlSollzins,3),INDEX(DarlAnschluss,3))</f>
      </c>
      <c r="I1010" s="43">
        <f>IF(INDEX(DarlBelegt,3)=0,0,IF(INDEX(DarlOhneTilgung,3)=1,IF(INDEX(DarlBindung,3)="",1,$G1010),IF($J1010&gt;0.005,1,0)))</f>
      </c>
      <c r="J1010" s="43">
        <f>IF($I1009=0,0,$R1009)</f>
      </c>
      <c r="K1010" s="43">
        <f>IF($I1010=0,0,IF(INDEX(DarlOhneTilgung,3)=1,0,IF(AND(INDEX(DarlTilgStart,3)&gt;0,$E1010=INDEX(DarlTilgStart,3)),$J1010*($H1010+INDEX(DarlTilgung,3))/100/12,IF(AND($G1010=0,$G1009=1),MAX($K1009,$J1010*($H1010+1)/100/12),$K1009))))</f>
      </c>
      <c r="L1010" s="43">
        <f>IF($I1010=0,0,$J1010*$H1010/100/12)</f>
      </c>
      <c r="M1010" s="43">
        <f>IF($I1010=0,0,IF(OR(INDEX(DarlOhneTilgung,3)=1,AND(INDEX(DarlTilgStart,3)&gt;0,$E1010&lt;INDEX(DarlTilgStart,3))),0,MIN(MAX(0,$K1010-$L1010),$J1010)))</f>
      </c>
      <c r="N1010" s="43">
        <f>IF($I1010=0,0,MIN(SUMIFS(SondBetrag,SondDarl,3,SondDatum,"&gt;="&amp;$E1010,SondDatum,"&lt;="&amp;EOMONTH($E1010,0)),$J1010-$M1010))</f>
      </c>
      <c r="O1010" s="43">
        <f>IF($I1010=0,0,INDEX(DarlErsatzRate,3))</f>
      </c>
      <c r="P1010" s="43">
        <f>IF($I1010=0,0,$Q1009*INDEX(DarlErsatzZins,3))</f>
      </c>
      <c r="Q1010" s="43">
        <f>IF($I1010=0,0,$Q1009+$P1010+$O1010)</f>
      </c>
      <c r="R1010" s="43">
        <f>IF($I1010=0,0,$J1010-$M1010-$N1010)</f>
      </c>
    </row>
    <row r="1011">
      <c r="A1011"/>
      <c r="B1011">
        <v>3</v>
      </c>
      <c r="C1011" s="43">
        <f>INDEX(DarlObj,3)</f>
      </c>
      <c r="D1011">
        <v>48</v>
      </c>
      <c r="E1011" s="51">
        <f>IF(INDEX(DarlBelegt,3)=0,0,EOMONTH(INDEX(DarlAuszahlung,3),47)+1)</f>
      </c>
      <c r="F1011" s="43">
        <f>IF($E1011=0,0,YEAR($E1011))</f>
      </c>
      <c r="G1011" s="43">
        <f>IF(INDEX(DarlBindung,3)="",1,IF($E1011&lt;=INDEX(DarlBindung,3),1,0))</f>
      </c>
      <c r="H1011" s="43">
        <f>IF($G1011=1,INDEX(DarlSollzins,3),INDEX(DarlAnschluss,3))</f>
      </c>
      <c r="I1011" s="43">
        <f>IF(INDEX(DarlBelegt,3)=0,0,IF(INDEX(DarlOhneTilgung,3)=1,IF(INDEX(DarlBindung,3)="",1,$G1011),IF($J1011&gt;0.005,1,0)))</f>
      </c>
      <c r="J1011" s="43">
        <f>IF($I1010=0,0,$R1010)</f>
      </c>
      <c r="K1011" s="43">
        <f>IF($I1011=0,0,IF(INDEX(DarlOhneTilgung,3)=1,0,IF(AND(INDEX(DarlTilgStart,3)&gt;0,$E1011=INDEX(DarlTilgStart,3)),$J1011*($H1011+INDEX(DarlTilgung,3))/100/12,IF(AND($G1011=0,$G1010=1),MAX($K1010,$J1011*($H1011+1)/100/12),$K1010))))</f>
      </c>
      <c r="L1011" s="43">
        <f>IF($I1011=0,0,$J1011*$H1011/100/12)</f>
      </c>
      <c r="M1011" s="43">
        <f>IF($I1011=0,0,IF(OR(INDEX(DarlOhneTilgung,3)=1,AND(INDEX(DarlTilgStart,3)&gt;0,$E1011&lt;INDEX(DarlTilgStart,3))),0,MIN(MAX(0,$K1011-$L1011),$J1011)))</f>
      </c>
      <c r="N1011" s="43">
        <f>IF($I1011=0,0,MIN(SUMIFS(SondBetrag,SondDarl,3,SondDatum,"&gt;="&amp;$E1011,SondDatum,"&lt;="&amp;EOMONTH($E1011,0)),$J1011-$M1011))</f>
      </c>
      <c r="O1011" s="43">
        <f>IF($I1011=0,0,INDEX(DarlErsatzRate,3))</f>
      </c>
      <c r="P1011" s="43">
        <f>IF($I1011=0,0,$Q1010*INDEX(DarlErsatzZins,3))</f>
      </c>
      <c r="Q1011" s="43">
        <f>IF($I1011=0,0,$Q1010+$P1011+$O1011)</f>
      </c>
      <c r="R1011" s="43">
        <f>IF($I1011=0,0,$J1011-$M1011-$N1011)</f>
      </c>
    </row>
    <row r="1012">
      <c r="A1012"/>
      <c r="B1012">
        <v>3</v>
      </c>
      <c r="C1012" s="43">
        <f>INDEX(DarlObj,3)</f>
      </c>
      <c r="D1012">
        <v>49</v>
      </c>
      <c r="E1012" s="51">
        <f>IF(INDEX(DarlBelegt,3)=0,0,EOMONTH(INDEX(DarlAuszahlung,3),48)+1)</f>
      </c>
      <c r="F1012" s="43">
        <f>IF($E1012=0,0,YEAR($E1012))</f>
      </c>
      <c r="G1012" s="43">
        <f>IF(INDEX(DarlBindung,3)="",1,IF($E1012&lt;=INDEX(DarlBindung,3),1,0))</f>
      </c>
      <c r="H1012" s="43">
        <f>IF($G1012=1,INDEX(DarlSollzins,3),INDEX(DarlAnschluss,3))</f>
      </c>
      <c r="I1012" s="43">
        <f>IF(INDEX(DarlBelegt,3)=0,0,IF(INDEX(DarlOhneTilgung,3)=1,IF(INDEX(DarlBindung,3)="",1,$G1012),IF($J1012&gt;0.005,1,0)))</f>
      </c>
      <c r="J1012" s="43">
        <f>IF($I1011=0,0,$R1011)</f>
      </c>
      <c r="K1012" s="43">
        <f>IF($I1012=0,0,IF(INDEX(DarlOhneTilgung,3)=1,0,IF(AND(INDEX(DarlTilgStart,3)&gt;0,$E1012=INDEX(DarlTilgStart,3)),$J1012*($H1012+INDEX(DarlTilgung,3))/100/12,IF(AND($G1012=0,$G1011=1),MAX($K1011,$J1012*($H1012+1)/100/12),$K1011))))</f>
      </c>
      <c r="L1012" s="43">
        <f>IF($I1012=0,0,$J1012*$H1012/100/12)</f>
      </c>
      <c r="M1012" s="43">
        <f>IF($I1012=0,0,IF(OR(INDEX(DarlOhneTilgung,3)=1,AND(INDEX(DarlTilgStart,3)&gt;0,$E1012&lt;INDEX(DarlTilgStart,3))),0,MIN(MAX(0,$K1012-$L1012),$J1012)))</f>
      </c>
      <c r="N1012" s="43">
        <f>IF($I1012=0,0,MIN(SUMIFS(SondBetrag,SondDarl,3,SondDatum,"&gt;="&amp;$E1012,SondDatum,"&lt;="&amp;EOMONTH($E1012,0)),$J1012-$M1012))</f>
      </c>
      <c r="O1012" s="43">
        <f>IF($I1012=0,0,INDEX(DarlErsatzRate,3))</f>
      </c>
      <c r="P1012" s="43">
        <f>IF($I1012=0,0,$Q1011*INDEX(DarlErsatzZins,3))</f>
      </c>
      <c r="Q1012" s="43">
        <f>IF($I1012=0,0,$Q1011+$P1012+$O1012)</f>
      </c>
      <c r="R1012" s="43">
        <f>IF($I1012=0,0,$J1012-$M1012-$N1012)</f>
      </c>
    </row>
    <row r="1013">
      <c r="A1013"/>
      <c r="B1013">
        <v>3</v>
      </c>
      <c r="C1013" s="43">
        <f>INDEX(DarlObj,3)</f>
      </c>
      <c r="D1013">
        <v>50</v>
      </c>
      <c r="E1013" s="51">
        <f>IF(INDEX(DarlBelegt,3)=0,0,EOMONTH(INDEX(DarlAuszahlung,3),49)+1)</f>
      </c>
      <c r="F1013" s="43">
        <f>IF($E1013=0,0,YEAR($E1013))</f>
      </c>
      <c r="G1013" s="43">
        <f>IF(INDEX(DarlBindung,3)="",1,IF($E1013&lt;=INDEX(DarlBindung,3),1,0))</f>
      </c>
      <c r="H1013" s="43">
        <f>IF($G1013=1,INDEX(DarlSollzins,3),INDEX(DarlAnschluss,3))</f>
      </c>
      <c r="I1013" s="43">
        <f>IF(INDEX(DarlBelegt,3)=0,0,IF(INDEX(DarlOhneTilgung,3)=1,IF(INDEX(DarlBindung,3)="",1,$G1013),IF($J1013&gt;0.005,1,0)))</f>
      </c>
      <c r="J1013" s="43">
        <f>IF($I1012=0,0,$R1012)</f>
      </c>
      <c r="K1013" s="43">
        <f>IF($I1013=0,0,IF(INDEX(DarlOhneTilgung,3)=1,0,IF(AND(INDEX(DarlTilgStart,3)&gt;0,$E1013=INDEX(DarlTilgStart,3)),$J1013*($H1013+INDEX(DarlTilgung,3))/100/12,IF(AND($G1013=0,$G1012=1),MAX($K1012,$J1013*($H1013+1)/100/12),$K1012))))</f>
      </c>
      <c r="L1013" s="43">
        <f>IF($I1013=0,0,$J1013*$H1013/100/12)</f>
      </c>
      <c r="M1013" s="43">
        <f>IF($I1013=0,0,IF(OR(INDEX(DarlOhneTilgung,3)=1,AND(INDEX(DarlTilgStart,3)&gt;0,$E1013&lt;INDEX(DarlTilgStart,3))),0,MIN(MAX(0,$K1013-$L1013),$J1013)))</f>
      </c>
      <c r="N1013" s="43">
        <f>IF($I1013=0,0,MIN(SUMIFS(SondBetrag,SondDarl,3,SondDatum,"&gt;="&amp;$E1013,SondDatum,"&lt;="&amp;EOMONTH($E1013,0)),$J1013-$M1013))</f>
      </c>
      <c r="O1013" s="43">
        <f>IF($I1013=0,0,INDEX(DarlErsatzRate,3))</f>
      </c>
      <c r="P1013" s="43">
        <f>IF($I1013=0,0,$Q1012*INDEX(DarlErsatzZins,3))</f>
      </c>
      <c r="Q1013" s="43">
        <f>IF($I1013=0,0,$Q1012+$P1013+$O1013)</f>
      </c>
      <c r="R1013" s="43">
        <f>IF($I1013=0,0,$J1013-$M1013-$N1013)</f>
      </c>
    </row>
    <row r="1014">
      <c r="A1014"/>
      <c r="B1014">
        <v>3</v>
      </c>
      <c r="C1014" s="43">
        <f>INDEX(DarlObj,3)</f>
      </c>
      <c r="D1014">
        <v>51</v>
      </c>
      <c r="E1014" s="51">
        <f>IF(INDEX(DarlBelegt,3)=0,0,EOMONTH(INDEX(DarlAuszahlung,3),50)+1)</f>
      </c>
      <c r="F1014" s="43">
        <f>IF($E1014=0,0,YEAR($E1014))</f>
      </c>
      <c r="G1014" s="43">
        <f>IF(INDEX(DarlBindung,3)="",1,IF($E1014&lt;=INDEX(DarlBindung,3),1,0))</f>
      </c>
      <c r="H1014" s="43">
        <f>IF($G1014=1,INDEX(DarlSollzins,3),INDEX(DarlAnschluss,3))</f>
      </c>
      <c r="I1014" s="43">
        <f>IF(INDEX(DarlBelegt,3)=0,0,IF(INDEX(DarlOhneTilgung,3)=1,IF(INDEX(DarlBindung,3)="",1,$G1014),IF($J1014&gt;0.005,1,0)))</f>
      </c>
      <c r="J1014" s="43">
        <f>IF($I1013=0,0,$R1013)</f>
      </c>
      <c r="K1014" s="43">
        <f>IF($I1014=0,0,IF(INDEX(DarlOhneTilgung,3)=1,0,IF(AND(INDEX(DarlTilgStart,3)&gt;0,$E1014=INDEX(DarlTilgStart,3)),$J1014*($H1014+INDEX(DarlTilgung,3))/100/12,IF(AND($G1014=0,$G1013=1),MAX($K1013,$J1014*($H1014+1)/100/12),$K1013))))</f>
      </c>
      <c r="L1014" s="43">
        <f>IF($I1014=0,0,$J1014*$H1014/100/12)</f>
      </c>
      <c r="M1014" s="43">
        <f>IF($I1014=0,0,IF(OR(INDEX(DarlOhneTilgung,3)=1,AND(INDEX(DarlTilgStart,3)&gt;0,$E1014&lt;INDEX(DarlTilgStart,3))),0,MIN(MAX(0,$K1014-$L1014),$J1014)))</f>
      </c>
      <c r="N1014" s="43">
        <f>IF($I1014=0,0,MIN(SUMIFS(SondBetrag,SondDarl,3,SondDatum,"&gt;="&amp;$E1014,SondDatum,"&lt;="&amp;EOMONTH($E1014,0)),$J1014-$M1014))</f>
      </c>
      <c r="O1014" s="43">
        <f>IF($I1014=0,0,INDEX(DarlErsatzRate,3))</f>
      </c>
      <c r="P1014" s="43">
        <f>IF($I1014=0,0,$Q1013*INDEX(DarlErsatzZins,3))</f>
      </c>
      <c r="Q1014" s="43">
        <f>IF($I1014=0,0,$Q1013+$P1014+$O1014)</f>
      </c>
      <c r="R1014" s="43">
        <f>IF($I1014=0,0,$J1014-$M1014-$N1014)</f>
      </c>
    </row>
    <row r="1015">
      <c r="A1015"/>
      <c r="B1015">
        <v>3</v>
      </c>
      <c r="C1015" s="43">
        <f>INDEX(DarlObj,3)</f>
      </c>
      <c r="D1015">
        <v>52</v>
      </c>
      <c r="E1015" s="51">
        <f>IF(INDEX(DarlBelegt,3)=0,0,EOMONTH(INDEX(DarlAuszahlung,3),51)+1)</f>
      </c>
      <c r="F1015" s="43">
        <f>IF($E1015=0,0,YEAR($E1015))</f>
      </c>
      <c r="G1015" s="43">
        <f>IF(INDEX(DarlBindung,3)="",1,IF($E1015&lt;=INDEX(DarlBindung,3),1,0))</f>
      </c>
      <c r="H1015" s="43">
        <f>IF($G1015=1,INDEX(DarlSollzins,3),INDEX(DarlAnschluss,3))</f>
      </c>
      <c r="I1015" s="43">
        <f>IF(INDEX(DarlBelegt,3)=0,0,IF(INDEX(DarlOhneTilgung,3)=1,IF(INDEX(DarlBindung,3)="",1,$G1015),IF($J1015&gt;0.005,1,0)))</f>
      </c>
      <c r="J1015" s="43">
        <f>IF($I1014=0,0,$R1014)</f>
      </c>
      <c r="K1015" s="43">
        <f>IF($I1015=0,0,IF(INDEX(DarlOhneTilgung,3)=1,0,IF(AND(INDEX(DarlTilgStart,3)&gt;0,$E1015=INDEX(DarlTilgStart,3)),$J1015*($H1015+INDEX(DarlTilgung,3))/100/12,IF(AND($G1015=0,$G1014=1),MAX($K1014,$J1015*($H1015+1)/100/12),$K1014))))</f>
      </c>
      <c r="L1015" s="43">
        <f>IF($I1015=0,0,$J1015*$H1015/100/12)</f>
      </c>
      <c r="M1015" s="43">
        <f>IF($I1015=0,0,IF(OR(INDEX(DarlOhneTilgung,3)=1,AND(INDEX(DarlTilgStart,3)&gt;0,$E1015&lt;INDEX(DarlTilgStart,3))),0,MIN(MAX(0,$K1015-$L1015),$J1015)))</f>
      </c>
      <c r="N1015" s="43">
        <f>IF($I1015=0,0,MIN(SUMIFS(SondBetrag,SondDarl,3,SondDatum,"&gt;="&amp;$E1015,SondDatum,"&lt;="&amp;EOMONTH($E1015,0)),$J1015-$M1015))</f>
      </c>
      <c r="O1015" s="43">
        <f>IF($I1015=0,0,INDEX(DarlErsatzRate,3))</f>
      </c>
      <c r="P1015" s="43">
        <f>IF($I1015=0,0,$Q1014*INDEX(DarlErsatzZins,3))</f>
      </c>
      <c r="Q1015" s="43">
        <f>IF($I1015=0,0,$Q1014+$P1015+$O1015)</f>
      </c>
      <c r="R1015" s="43">
        <f>IF($I1015=0,0,$J1015-$M1015-$N1015)</f>
      </c>
    </row>
    <row r="1016">
      <c r="A1016"/>
      <c r="B1016">
        <v>3</v>
      </c>
      <c r="C1016" s="43">
        <f>INDEX(DarlObj,3)</f>
      </c>
      <c r="D1016">
        <v>53</v>
      </c>
      <c r="E1016" s="51">
        <f>IF(INDEX(DarlBelegt,3)=0,0,EOMONTH(INDEX(DarlAuszahlung,3),52)+1)</f>
      </c>
      <c r="F1016" s="43">
        <f>IF($E1016=0,0,YEAR($E1016))</f>
      </c>
      <c r="G1016" s="43">
        <f>IF(INDEX(DarlBindung,3)="",1,IF($E1016&lt;=INDEX(DarlBindung,3),1,0))</f>
      </c>
      <c r="H1016" s="43">
        <f>IF($G1016=1,INDEX(DarlSollzins,3),INDEX(DarlAnschluss,3))</f>
      </c>
      <c r="I1016" s="43">
        <f>IF(INDEX(DarlBelegt,3)=0,0,IF(INDEX(DarlOhneTilgung,3)=1,IF(INDEX(DarlBindung,3)="",1,$G1016),IF($J1016&gt;0.005,1,0)))</f>
      </c>
      <c r="J1016" s="43">
        <f>IF($I1015=0,0,$R1015)</f>
      </c>
      <c r="K1016" s="43">
        <f>IF($I1016=0,0,IF(INDEX(DarlOhneTilgung,3)=1,0,IF(AND(INDEX(DarlTilgStart,3)&gt;0,$E1016=INDEX(DarlTilgStart,3)),$J1016*($H1016+INDEX(DarlTilgung,3))/100/12,IF(AND($G1016=0,$G1015=1),MAX($K1015,$J1016*($H1016+1)/100/12),$K1015))))</f>
      </c>
      <c r="L1016" s="43">
        <f>IF($I1016=0,0,$J1016*$H1016/100/12)</f>
      </c>
      <c r="M1016" s="43">
        <f>IF($I1016=0,0,IF(OR(INDEX(DarlOhneTilgung,3)=1,AND(INDEX(DarlTilgStart,3)&gt;0,$E1016&lt;INDEX(DarlTilgStart,3))),0,MIN(MAX(0,$K1016-$L1016),$J1016)))</f>
      </c>
      <c r="N1016" s="43">
        <f>IF($I1016=0,0,MIN(SUMIFS(SondBetrag,SondDarl,3,SondDatum,"&gt;="&amp;$E1016,SondDatum,"&lt;="&amp;EOMONTH($E1016,0)),$J1016-$M1016))</f>
      </c>
      <c r="O1016" s="43">
        <f>IF($I1016=0,0,INDEX(DarlErsatzRate,3))</f>
      </c>
      <c r="P1016" s="43">
        <f>IF($I1016=0,0,$Q1015*INDEX(DarlErsatzZins,3))</f>
      </c>
      <c r="Q1016" s="43">
        <f>IF($I1016=0,0,$Q1015+$P1016+$O1016)</f>
      </c>
      <c r="R1016" s="43">
        <f>IF($I1016=0,0,$J1016-$M1016-$N1016)</f>
      </c>
    </row>
    <row r="1017">
      <c r="A1017"/>
      <c r="B1017">
        <v>3</v>
      </c>
      <c r="C1017" s="43">
        <f>INDEX(DarlObj,3)</f>
      </c>
      <c r="D1017">
        <v>54</v>
      </c>
      <c r="E1017" s="51">
        <f>IF(INDEX(DarlBelegt,3)=0,0,EOMONTH(INDEX(DarlAuszahlung,3),53)+1)</f>
      </c>
      <c r="F1017" s="43">
        <f>IF($E1017=0,0,YEAR($E1017))</f>
      </c>
      <c r="G1017" s="43">
        <f>IF(INDEX(DarlBindung,3)="",1,IF($E1017&lt;=INDEX(DarlBindung,3),1,0))</f>
      </c>
      <c r="H1017" s="43">
        <f>IF($G1017=1,INDEX(DarlSollzins,3),INDEX(DarlAnschluss,3))</f>
      </c>
      <c r="I1017" s="43">
        <f>IF(INDEX(DarlBelegt,3)=0,0,IF(INDEX(DarlOhneTilgung,3)=1,IF(INDEX(DarlBindung,3)="",1,$G1017),IF($J1017&gt;0.005,1,0)))</f>
      </c>
      <c r="J1017" s="43">
        <f>IF($I1016=0,0,$R1016)</f>
      </c>
      <c r="K1017" s="43">
        <f>IF($I1017=0,0,IF(INDEX(DarlOhneTilgung,3)=1,0,IF(AND(INDEX(DarlTilgStart,3)&gt;0,$E1017=INDEX(DarlTilgStart,3)),$J1017*($H1017+INDEX(DarlTilgung,3))/100/12,IF(AND($G1017=0,$G1016=1),MAX($K1016,$J1017*($H1017+1)/100/12),$K1016))))</f>
      </c>
      <c r="L1017" s="43">
        <f>IF($I1017=0,0,$J1017*$H1017/100/12)</f>
      </c>
      <c r="M1017" s="43">
        <f>IF($I1017=0,0,IF(OR(INDEX(DarlOhneTilgung,3)=1,AND(INDEX(DarlTilgStart,3)&gt;0,$E1017&lt;INDEX(DarlTilgStart,3))),0,MIN(MAX(0,$K1017-$L1017),$J1017)))</f>
      </c>
      <c r="N1017" s="43">
        <f>IF($I1017=0,0,MIN(SUMIFS(SondBetrag,SondDarl,3,SondDatum,"&gt;="&amp;$E1017,SondDatum,"&lt;="&amp;EOMONTH($E1017,0)),$J1017-$M1017))</f>
      </c>
      <c r="O1017" s="43">
        <f>IF($I1017=0,0,INDEX(DarlErsatzRate,3))</f>
      </c>
      <c r="P1017" s="43">
        <f>IF($I1017=0,0,$Q1016*INDEX(DarlErsatzZins,3))</f>
      </c>
      <c r="Q1017" s="43">
        <f>IF($I1017=0,0,$Q1016+$P1017+$O1017)</f>
      </c>
      <c r="R1017" s="43">
        <f>IF($I1017=0,0,$J1017-$M1017-$N1017)</f>
      </c>
    </row>
    <row r="1018">
      <c r="A1018"/>
      <c r="B1018">
        <v>3</v>
      </c>
      <c r="C1018" s="43">
        <f>INDEX(DarlObj,3)</f>
      </c>
      <c r="D1018">
        <v>55</v>
      </c>
      <c r="E1018" s="51">
        <f>IF(INDEX(DarlBelegt,3)=0,0,EOMONTH(INDEX(DarlAuszahlung,3),54)+1)</f>
      </c>
      <c r="F1018" s="43">
        <f>IF($E1018=0,0,YEAR($E1018))</f>
      </c>
      <c r="G1018" s="43">
        <f>IF(INDEX(DarlBindung,3)="",1,IF($E1018&lt;=INDEX(DarlBindung,3),1,0))</f>
      </c>
      <c r="H1018" s="43">
        <f>IF($G1018=1,INDEX(DarlSollzins,3),INDEX(DarlAnschluss,3))</f>
      </c>
      <c r="I1018" s="43">
        <f>IF(INDEX(DarlBelegt,3)=0,0,IF(INDEX(DarlOhneTilgung,3)=1,IF(INDEX(DarlBindung,3)="",1,$G1018),IF($J1018&gt;0.005,1,0)))</f>
      </c>
      <c r="J1018" s="43">
        <f>IF($I1017=0,0,$R1017)</f>
      </c>
      <c r="K1018" s="43">
        <f>IF($I1018=0,0,IF(INDEX(DarlOhneTilgung,3)=1,0,IF(AND(INDEX(DarlTilgStart,3)&gt;0,$E1018=INDEX(DarlTilgStart,3)),$J1018*($H1018+INDEX(DarlTilgung,3))/100/12,IF(AND($G1018=0,$G1017=1),MAX($K1017,$J1018*($H1018+1)/100/12),$K1017))))</f>
      </c>
      <c r="L1018" s="43">
        <f>IF($I1018=0,0,$J1018*$H1018/100/12)</f>
      </c>
      <c r="M1018" s="43">
        <f>IF($I1018=0,0,IF(OR(INDEX(DarlOhneTilgung,3)=1,AND(INDEX(DarlTilgStart,3)&gt;0,$E1018&lt;INDEX(DarlTilgStart,3))),0,MIN(MAX(0,$K1018-$L1018),$J1018)))</f>
      </c>
      <c r="N1018" s="43">
        <f>IF($I1018=0,0,MIN(SUMIFS(SondBetrag,SondDarl,3,SondDatum,"&gt;="&amp;$E1018,SondDatum,"&lt;="&amp;EOMONTH($E1018,0)),$J1018-$M1018))</f>
      </c>
      <c r="O1018" s="43">
        <f>IF($I1018=0,0,INDEX(DarlErsatzRate,3))</f>
      </c>
      <c r="P1018" s="43">
        <f>IF($I1018=0,0,$Q1017*INDEX(DarlErsatzZins,3))</f>
      </c>
      <c r="Q1018" s="43">
        <f>IF($I1018=0,0,$Q1017+$P1018+$O1018)</f>
      </c>
      <c r="R1018" s="43">
        <f>IF($I1018=0,0,$J1018-$M1018-$N1018)</f>
      </c>
    </row>
    <row r="1019">
      <c r="A1019"/>
      <c r="B1019">
        <v>3</v>
      </c>
      <c r="C1019" s="43">
        <f>INDEX(DarlObj,3)</f>
      </c>
      <c r="D1019">
        <v>56</v>
      </c>
      <c r="E1019" s="51">
        <f>IF(INDEX(DarlBelegt,3)=0,0,EOMONTH(INDEX(DarlAuszahlung,3),55)+1)</f>
      </c>
      <c r="F1019" s="43">
        <f>IF($E1019=0,0,YEAR($E1019))</f>
      </c>
      <c r="G1019" s="43">
        <f>IF(INDEX(DarlBindung,3)="",1,IF($E1019&lt;=INDEX(DarlBindung,3),1,0))</f>
      </c>
      <c r="H1019" s="43">
        <f>IF($G1019=1,INDEX(DarlSollzins,3),INDEX(DarlAnschluss,3))</f>
      </c>
      <c r="I1019" s="43">
        <f>IF(INDEX(DarlBelegt,3)=0,0,IF(INDEX(DarlOhneTilgung,3)=1,IF(INDEX(DarlBindung,3)="",1,$G1019),IF($J1019&gt;0.005,1,0)))</f>
      </c>
      <c r="J1019" s="43">
        <f>IF($I1018=0,0,$R1018)</f>
      </c>
      <c r="K1019" s="43">
        <f>IF($I1019=0,0,IF(INDEX(DarlOhneTilgung,3)=1,0,IF(AND(INDEX(DarlTilgStart,3)&gt;0,$E1019=INDEX(DarlTilgStart,3)),$J1019*($H1019+INDEX(DarlTilgung,3))/100/12,IF(AND($G1019=0,$G1018=1),MAX($K1018,$J1019*($H1019+1)/100/12),$K1018))))</f>
      </c>
      <c r="L1019" s="43">
        <f>IF($I1019=0,0,$J1019*$H1019/100/12)</f>
      </c>
      <c r="M1019" s="43">
        <f>IF($I1019=0,0,IF(OR(INDEX(DarlOhneTilgung,3)=1,AND(INDEX(DarlTilgStart,3)&gt;0,$E1019&lt;INDEX(DarlTilgStart,3))),0,MIN(MAX(0,$K1019-$L1019),$J1019)))</f>
      </c>
      <c r="N1019" s="43">
        <f>IF($I1019=0,0,MIN(SUMIFS(SondBetrag,SondDarl,3,SondDatum,"&gt;="&amp;$E1019,SondDatum,"&lt;="&amp;EOMONTH($E1019,0)),$J1019-$M1019))</f>
      </c>
      <c r="O1019" s="43">
        <f>IF($I1019=0,0,INDEX(DarlErsatzRate,3))</f>
      </c>
      <c r="P1019" s="43">
        <f>IF($I1019=0,0,$Q1018*INDEX(DarlErsatzZins,3))</f>
      </c>
      <c r="Q1019" s="43">
        <f>IF($I1019=0,0,$Q1018+$P1019+$O1019)</f>
      </c>
      <c r="R1019" s="43">
        <f>IF($I1019=0,0,$J1019-$M1019-$N1019)</f>
      </c>
    </row>
    <row r="1020">
      <c r="A1020"/>
      <c r="B1020">
        <v>3</v>
      </c>
      <c r="C1020" s="43">
        <f>INDEX(DarlObj,3)</f>
      </c>
      <c r="D1020">
        <v>57</v>
      </c>
      <c r="E1020" s="51">
        <f>IF(INDEX(DarlBelegt,3)=0,0,EOMONTH(INDEX(DarlAuszahlung,3),56)+1)</f>
      </c>
      <c r="F1020" s="43">
        <f>IF($E1020=0,0,YEAR($E1020))</f>
      </c>
      <c r="G1020" s="43">
        <f>IF(INDEX(DarlBindung,3)="",1,IF($E1020&lt;=INDEX(DarlBindung,3),1,0))</f>
      </c>
      <c r="H1020" s="43">
        <f>IF($G1020=1,INDEX(DarlSollzins,3),INDEX(DarlAnschluss,3))</f>
      </c>
      <c r="I1020" s="43">
        <f>IF(INDEX(DarlBelegt,3)=0,0,IF(INDEX(DarlOhneTilgung,3)=1,IF(INDEX(DarlBindung,3)="",1,$G1020),IF($J1020&gt;0.005,1,0)))</f>
      </c>
      <c r="J1020" s="43">
        <f>IF($I1019=0,0,$R1019)</f>
      </c>
      <c r="K1020" s="43">
        <f>IF($I1020=0,0,IF(INDEX(DarlOhneTilgung,3)=1,0,IF(AND(INDEX(DarlTilgStart,3)&gt;0,$E1020=INDEX(DarlTilgStart,3)),$J1020*($H1020+INDEX(DarlTilgung,3))/100/12,IF(AND($G1020=0,$G1019=1),MAX($K1019,$J1020*($H1020+1)/100/12),$K1019))))</f>
      </c>
      <c r="L1020" s="43">
        <f>IF($I1020=0,0,$J1020*$H1020/100/12)</f>
      </c>
      <c r="M1020" s="43">
        <f>IF($I1020=0,0,IF(OR(INDEX(DarlOhneTilgung,3)=1,AND(INDEX(DarlTilgStart,3)&gt;0,$E1020&lt;INDEX(DarlTilgStart,3))),0,MIN(MAX(0,$K1020-$L1020),$J1020)))</f>
      </c>
      <c r="N1020" s="43">
        <f>IF($I1020=0,0,MIN(SUMIFS(SondBetrag,SondDarl,3,SondDatum,"&gt;="&amp;$E1020,SondDatum,"&lt;="&amp;EOMONTH($E1020,0)),$J1020-$M1020))</f>
      </c>
      <c r="O1020" s="43">
        <f>IF($I1020=0,0,INDEX(DarlErsatzRate,3))</f>
      </c>
      <c r="P1020" s="43">
        <f>IF($I1020=0,0,$Q1019*INDEX(DarlErsatzZins,3))</f>
      </c>
      <c r="Q1020" s="43">
        <f>IF($I1020=0,0,$Q1019+$P1020+$O1020)</f>
      </c>
      <c r="R1020" s="43">
        <f>IF($I1020=0,0,$J1020-$M1020-$N1020)</f>
      </c>
    </row>
    <row r="1021">
      <c r="A1021"/>
      <c r="B1021">
        <v>3</v>
      </c>
      <c r="C1021" s="43">
        <f>INDEX(DarlObj,3)</f>
      </c>
      <c r="D1021">
        <v>58</v>
      </c>
      <c r="E1021" s="51">
        <f>IF(INDEX(DarlBelegt,3)=0,0,EOMONTH(INDEX(DarlAuszahlung,3),57)+1)</f>
      </c>
      <c r="F1021" s="43">
        <f>IF($E1021=0,0,YEAR($E1021))</f>
      </c>
      <c r="G1021" s="43">
        <f>IF(INDEX(DarlBindung,3)="",1,IF($E1021&lt;=INDEX(DarlBindung,3),1,0))</f>
      </c>
      <c r="H1021" s="43">
        <f>IF($G1021=1,INDEX(DarlSollzins,3),INDEX(DarlAnschluss,3))</f>
      </c>
      <c r="I1021" s="43">
        <f>IF(INDEX(DarlBelegt,3)=0,0,IF(INDEX(DarlOhneTilgung,3)=1,IF(INDEX(DarlBindung,3)="",1,$G1021),IF($J1021&gt;0.005,1,0)))</f>
      </c>
      <c r="J1021" s="43">
        <f>IF($I1020=0,0,$R1020)</f>
      </c>
      <c r="K1021" s="43">
        <f>IF($I1021=0,0,IF(INDEX(DarlOhneTilgung,3)=1,0,IF(AND(INDEX(DarlTilgStart,3)&gt;0,$E1021=INDEX(DarlTilgStart,3)),$J1021*($H1021+INDEX(DarlTilgung,3))/100/12,IF(AND($G1021=0,$G1020=1),MAX($K1020,$J1021*($H1021+1)/100/12),$K1020))))</f>
      </c>
      <c r="L1021" s="43">
        <f>IF($I1021=0,0,$J1021*$H1021/100/12)</f>
      </c>
      <c r="M1021" s="43">
        <f>IF($I1021=0,0,IF(OR(INDEX(DarlOhneTilgung,3)=1,AND(INDEX(DarlTilgStart,3)&gt;0,$E1021&lt;INDEX(DarlTilgStart,3))),0,MIN(MAX(0,$K1021-$L1021),$J1021)))</f>
      </c>
      <c r="N1021" s="43">
        <f>IF($I1021=0,0,MIN(SUMIFS(SondBetrag,SondDarl,3,SondDatum,"&gt;="&amp;$E1021,SondDatum,"&lt;="&amp;EOMONTH($E1021,0)),$J1021-$M1021))</f>
      </c>
      <c r="O1021" s="43">
        <f>IF($I1021=0,0,INDEX(DarlErsatzRate,3))</f>
      </c>
      <c r="P1021" s="43">
        <f>IF($I1021=0,0,$Q1020*INDEX(DarlErsatzZins,3))</f>
      </c>
      <c r="Q1021" s="43">
        <f>IF($I1021=0,0,$Q1020+$P1021+$O1021)</f>
      </c>
      <c r="R1021" s="43">
        <f>IF($I1021=0,0,$J1021-$M1021-$N1021)</f>
      </c>
    </row>
    <row r="1022">
      <c r="A1022"/>
      <c r="B1022">
        <v>3</v>
      </c>
      <c r="C1022" s="43">
        <f>INDEX(DarlObj,3)</f>
      </c>
      <c r="D1022">
        <v>59</v>
      </c>
      <c r="E1022" s="51">
        <f>IF(INDEX(DarlBelegt,3)=0,0,EOMONTH(INDEX(DarlAuszahlung,3),58)+1)</f>
      </c>
      <c r="F1022" s="43">
        <f>IF($E1022=0,0,YEAR($E1022))</f>
      </c>
      <c r="G1022" s="43">
        <f>IF(INDEX(DarlBindung,3)="",1,IF($E1022&lt;=INDEX(DarlBindung,3),1,0))</f>
      </c>
      <c r="H1022" s="43">
        <f>IF($G1022=1,INDEX(DarlSollzins,3),INDEX(DarlAnschluss,3))</f>
      </c>
      <c r="I1022" s="43">
        <f>IF(INDEX(DarlBelegt,3)=0,0,IF(INDEX(DarlOhneTilgung,3)=1,IF(INDEX(DarlBindung,3)="",1,$G1022),IF($J1022&gt;0.005,1,0)))</f>
      </c>
      <c r="J1022" s="43">
        <f>IF($I1021=0,0,$R1021)</f>
      </c>
      <c r="K1022" s="43">
        <f>IF($I1022=0,0,IF(INDEX(DarlOhneTilgung,3)=1,0,IF(AND(INDEX(DarlTilgStart,3)&gt;0,$E1022=INDEX(DarlTilgStart,3)),$J1022*($H1022+INDEX(DarlTilgung,3))/100/12,IF(AND($G1022=0,$G1021=1),MAX($K1021,$J1022*($H1022+1)/100/12),$K1021))))</f>
      </c>
      <c r="L1022" s="43">
        <f>IF($I1022=0,0,$J1022*$H1022/100/12)</f>
      </c>
      <c r="M1022" s="43">
        <f>IF($I1022=0,0,IF(OR(INDEX(DarlOhneTilgung,3)=1,AND(INDEX(DarlTilgStart,3)&gt;0,$E1022&lt;INDEX(DarlTilgStart,3))),0,MIN(MAX(0,$K1022-$L1022),$J1022)))</f>
      </c>
      <c r="N1022" s="43">
        <f>IF($I1022=0,0,MIN(SUMIFS(SondBetrag,SondDarl,3,SondDatum,"&gt;="&amp;$E1022,SondDatum,"&lt;="&amp;EOMONTH($E1022,0)),$J1022-$M1022))</f>
      </c>
      <c r="O1022" s="43">
        <f>IF($I1022=0,0,INDEX(DarlErsatzRate,3))</f>
      </c>
      <c r="P1022" s="43">
        <f>IF($I1022=0,0,$Q1021*INDEX(DarlErsatzZins,3))</f>
      </c>
      <c r="Q1022" s="43">
        <f>IF($I1022=0,0,$Q1021+$P1022+$O1022)</f>
      </c>
      <c r="R1022" s="43">
        <f>IF($I1022=0,0,$J1022-$M1022-$N1022)</f>
      </c>
    </row>
    <row r="1023">
      <c r="A1023"/>
      <c r="B1023">
        <v>3</v>
      </c>
      <c r="C1023" s="43">
        <f>INDEX(DarlObj,3)</f>
      </c>
      <c r="D1023">
        <v>60</v>
      </c>
      <c r="E1023" s="51">
        <f>IF(INDEX(DarlBelegt,3)=0,0,EOMONTH(INDEX(DarlAuszahlung,3),59)+1)</f>
      </c>
      <c r="F1023" s="43">
        <f>IF($E1023=0,0,YEAR($E1023))</f>
      </c>
      <c r="G1023" s="43">
        <f>IF(INDEX(DarlBindung,3)="",1,IF($E1023&lt;=INDEX(DarlBindung,3),1,0))</f>
      </c>
      <c r="H1023" s="43">
        <f>IF($G1023=1,INDEX(DarlSollzins,3),INDEX(DarlAnschluss,3))</f>
      </c>
      <c r="I1023" s="43">
        <f>IF(INDEX(DarlBelegt,3)=0,0,IF(INDEX(DarlOhneTilgung,3)=1,IF(INDEX(DarlBindung,3)="",1,$G1023),IF($J1023&gt;0.005,1,0)))</f>
      </c>
      <c r="J1023" s="43">
        <f>IF($I1022=0,0,$R1022)</f>
      </c>
      <c r="K1023" s="43">
        <f>IF($I1023=0,0,IF(INDEX(DarlOhneTilgung,3)=1,0,IF(AND(INDEX(DarlTilgStart,3)&gt;0,$E1023=INDEX(DarlTilgStart,3)),$J1023*($H1023+INDEX(DarlTilgung,3))/100/12,IF(AND($G1023=0,$G1022=1),MAX($K1022,$J1023*($H1023+1)/100/12),$K1022))))</f>
      </c>
      <c r="L1023" s="43">
        <f>IF($I1023=0,0,$J1023*$H1023/100/12)</f>
      </c>
      <c r="M1023" s="43">
        <f>IF($I1023=0,0,IF(OR(INDEX(DarlOhneTilgung,3)=1,AND(INDEX(DarlTilgStart,3)&gt;0,$E1023&lt;INDEX(DarlTilgStart,3))),0,MIN(MAX(0,$K1023-$L1023),$J1023)))</f>
      </c>
      <c r="N1023" s="43">
        <f>IF($I1023=0,0,MIN(SUMIFS(SondBetrag,SondDarl,3,SondDatum,"&gt;="&amp;$E1023,SondDatum,"&lt;="&amp;EOMONTH($E1023,0)),$J1023-$M1023))</f>
      </c>
      <c r="O1023" s="43">
        <f>IF($I1023=0,0,INDEX(DarlErsatzRate,3))</f>
      </c>
      <c r="P1023" s="43">
        <f>IF($I1023=0,0,$Q1022*INDEX(DarlErsatzZins,3))</f>
      </c>
      <c r="Q1023" s="43">
        <f>IF($I1023=0,0,$Q1022+$P1023+$O1023)</f>
      </c>
      <c r="R1023" s="43">
        <f>IF($I1023=0,0,$J1023-$M1023-$N1023)</f>
      </c>
    </row>
    <row r="1024">
      <c r="A1024"/>
      <c r="B1024">
        <v>3</v>
      </c>
      <c r="C1024" s="43">
        <f>INDEX(DarlObj,3)</f>
      </c>
      <c r="D1024">
        <v>61</v>
      </c>
      <c r="E1024" s="51">
        <f>IF(INDEX(DarlBelegt,3)=0,0,EOMONTH(INDEX(DarlAuszahlung,3),60)+1)</f>
      </c>
      <c r="F1024" s="43">
        <f>IF($E1024=0,0,YEAR($E1024))</f>
      </c>
      <c r="G1024" s="43">
        <f>IF(INDEX(DarlBindung,3)="",1,IF($E1024&lt;=INDEX(DarlBindung,3),1,0))</f>
      </c>
      <c r="H1024" s="43">
        <f>IF($G1024=1,INDEX(DarlSollzins,3),INDEX(DarlAnschluss,3))</f>
      </c>
      <c r="I1024" s="43">
        <f>IF(INDEX(DarlBelegt,3)=0,0,IF(INDEX(DarlOhneTilgung,3)=1,IF(INDEX(DarlBindung,3)="",1,$G1024),IF($J1024&gt;0.005,1,0)))</f>
      </c>
      <c r="J1024" s="43">
        <f>IF($I1023=0,0,$R1023)</f>
      </c>
      <c r="K1024" s="43">
        <f>IF($I1024=0,0,IF(INDEX(DarlOhneTilgung,3)=1,0,IF(AND(INDEX(DarlTilgStart,3)&gt;0,$E1024=INDEX(DarlTilgStart,3)),$J1024*($H1024+INDEX(DarlTilgung,3))/100/12,IF(AND($G1024=0,$G1023=1),MAX($K1023,$J1024*($H1024+1)/100/12),$K1023))))</f>
      </c>
      <c r="L1024" s="43">
        <f>IF($I1024=0,0,$J1024*$H1024/100/12)</f>
      </c>
      <c r="M1024" s="43">
        <f>IF($I1024=0,0,IF(OR(INDEX(DarlOhneTilgung,3)=1,AND(INDEX(DarlTilgStart,3)&gt;0,$E1024&lt;INDEX(DarlTilgStart,3))),0,MIN(MAX(0,$K1024-$L1024),$J1024)))</f>
      </c>
      <c r="N1024" s="43">
        <f>IF($I1024=0,0,MIN(SUMIFS(SondBetrag,SondDarl,3,SondDatum,"&gt;="&amp;$E1024,SondDatum,"&lt;="&amp;EOMONTH($E1024,0)),$J1024-$M1024))</f>
      </c>
      <c r="O1024" s="43">
        <f>IF($I1024=0,0,INDEX(DarlErsatzRate,3))</f>
      </c>
      <c r="P1024" s="43">
        <f>IF($I1024=0,0,$Q1023*INDEX(DarlErsatzZins,3))</f>
      </c>
      <c r="Q1024" s="43">
        <f>IF($I1024=0,0,$Q1023+$P1024+$O1024)</f>
      </c>
      <c r="R1024" s="43">
        <f>IF($I1024=0,0,$J1024-$M1024-$N1024)</f>
      </c>
    </row>
    <row r="1025">
      <c r="A1025"/>
      <c r="B1025">
        <v>3</v>
      </c>
      <c r="C1025" s="43">
        <f>INDEX(DarlObj,3)</f>
      </c>
      <c r="D1025">
        <v>62</v>
      </c>
      <c r="E1025" s="51">
        <f>IF(INDEX(DarlBelegt,3)=0,0,EOMONTH(INDEX(DarlAuszahlung,3),61)+1)</f>
      </c>
      <c r="F1025" s="43">
        <f>IF($E1025=0,0,YEAR($E1025))</f>
      </c>
      <c r="G1025" s="43">
        <f>IF(INDEX(DarlBindung,3)="",1,IF($E1025&lt;=INDEX(DarlBindung,3),1,0))</f>
      </c>
      <c r="H1025" s="43">
        <f>IF($G1025=1,INDEX(DarlSollzins,3),INDEX(DarlAnschluss,3))</f>
      </c>
      <c r="I1025" s="43">
        <f>IF(INDEX(DarlBelegt,3)=0,0,IF(INDEX(DarlOhneTilgung,3)=1,IF(INDEX(DarlBindung,3)="",1,$G1025),IF($J1025&gt;0.005,1,0)))</f>
      </c>
      <c r="J1025" s="43">
        <f>IF($I1024=0,0,$R1024)</f>
      </c>
      <c r="K1025" s="43">
        <f>IF($I1025=0,0,IF(INDEX(DarlOhneTilgung,3)=1,0,IF(AND(INDEX(DarlTilgStart,3)&gt;0,$E1025=INDEX(DarlTilgStart,3)),$J1025*($H1025+INDEX(DarlTilgung,3))/100/12,IF(AND($G1025=0,$G1024=1),MAX($K1024,$J1025*($H1025+1)/100/12),$K1024))))</f>
      </c>
      <c r="L1025" s="43">
        <f>IF($I1025=0,0,$J1025*$H1025/100/12)</f>
      </c>
      <c r="M1025" s="43">
        <f>IF($I1025=0,0,IF(OR(INDEX(DarlOhneTilgung,3)=1,AND(INDEX(DarlTilgStart,3)&gt;0,$E1025&lt;INDEX(DarlTilgStart,3))),0,MIN(MAX(0,$K1025-$L1025),$J1025)))</f>
      </c>
      <c r="N1025" s="43">
        <f>IF($I1025=0,0,MIN(SUMIFS(SondBetrag,SondDarl,3,SondDatum,"&gt;="&amp;$E1025,SondDatum,"&lt;="&amp;EOMONTH($E1025,0)),$J1025-$M1025))</f>
      </c>
      <c r="O1025" s="43">
        <f>IF($I1025=0,0,INDEX(DarlErsatzRate,3))</f>
      </c>
      <c r="P1025" s="43">
        <f>IF($I1025=0,0,$Q1024*INDEX(DarlErsatzZins,3))</f>
      </c>
      <c r="Q1025" s="43">
        <f>IF($I1025=0,0,$Q1024+$P1025+$O1025)</f>
      </c>
      <c r="R1025" s="43">
        <f>IF($I1025=0,0,$J1025-$M1025-$N1025)</f>
      </c>
    </row>
    <row r="1026">
      <c r="A1026"/>
      <c r="B1026">
        <v>3</v>
      </c>
      <c r="C1026" s="43">
        <f>INDEX(DarlObj,3)</f>
      </c>
      <c r="D1026">
        <v>63</v>
      </c>
      <c r="E1026" s="51">
        <f>IF(INDEX(DarlBelegt,3)=0,0,EOMONTH(INDEX(DarlAuszahlung,3),62)+1)</f>
      </c>
      <c r="F1026" s="43">
        <f>IF($E1026=0,0,YEAR($E1026))</f>
      </c>
      <c r="G1026" s="43">
        <f>IF(INDEX(DarlBindung,3)="",1,IF($E1026&lt;=INDEX(DarlBindung,3),1,0))</f>
      </c>
      <c r="H1026" s="43">
        <f>IF($G1026=1,INDEX(DarlSollzins,3),INDEX(DarlAnschluss,3))</f>
      </c>
      <c r="I1026" s="43">
        <f>IF(INDEX(DarlBelegt,3)=0,0,IF(INDEX(DarlOhneTilgung,3)=1,IF(INDEX(DarlBindung,3)="",1,$G1026),IF($J1026&gt;0.005,1,0)))</f>
      </c>
      <c r="J1026" s="43">
        <f>IF($I1025=0,0,$R1025)</f>
      </c>
      <c r="K1026" s="43">
        <f>IF($I1026=0,0,IF(INDEX(DarlOhneTilgung,3)=1,0,IF(AND(INDEX(DarlTilgStart,3)&gt;0,$E1026=INDEX(DarlTilgStart,3)),$J1026*($H1026+INDEX(DarlTilgung,3))/100/12,IF(AND($G1026=0,$G1025=1),MAX($K1025,$J1026*($H1026+1)/100/12),$K1025))))</f>
      </c>
      <c r="L1026" s="43">
        <f>IF($I1026=0,0,$J1026*$H1026/100/12)</f>
      </c>
      <c r="M1026" s="43">
        <f>IF($I1026=0,0,IF(OR(INDEX(DarlOhneTilgung,3)=1,AND(INDEX(DarlTilgStart,3)&gt;0,$E1026&lt;INDEX(DarlTilgStart,3))),0,MIN(MAX(0,$K1026-$L1026),$J1026)))</f>
      </c>
      <c r="N1026" s="43">
        <f>IF($I1026=0,0,MIN(SUMIFS(SondBetrag,SondDarl,3,SondDatum,"&gt;="&amp;$E1026,SondDatum,"&lt;="&amp;EOMONTH($E1026,0)),$J1026-$M1026))</f>
      </c>
      <c r="O1026" s="43">
        <f>IF($I1026=0,0,INDEX(DarlErsatzRate,3))</f>
      </c>
      <c r="P1026" s="43">
        <f>IF($I1026=0,0,$Q1025*INDEX(DarlErsatzZins,3))</f>
      </c>
      <c r="Q1026" s="43">
        <f>IF($I1026=0,0,$Q1025+$P1026+$O1026)</f>
      </c>
      <c r="R1026" s="43">
        <f>IF($I1026=0,0,$J1026-$M1026-$N1026)</f>
      </c>
    </row>
    <row r="1027">
      <c r="A1027"/>
      <c r="B1027">
        <v>3</v>
      </c>
      <c r="C1027" s="43">
        <f>INDEX(DarlObj,3)</f>
      </c>
      <c r="D1027">
        <v>64</v>
      </c>
      <c r="E1027" s="51">
        <f>IF(INDEX(DarlBelegt,3)=0,0,EOMONTH(INDEX(DarlAuszahlung,3),63)+1)</f>
      </c>
      <c r="F1027" s="43">
        <f>IF($E1027=0,0,YEAR($E1027))</f>
      </c>
      <c r="G1027" s="43">
        <f>IF(INDEX(DarlBindung,3)="",1,IF($E1027&lt;=INDEX(DarlBindung,3),1,0))</f>
      </c>
      <c r="H1027" s="43">
        <f>IF($G1027=1,INDEX(DarlSollzins,3),INDEX(DarlAnschluss,3))</f>
      </c>
      <c r="I1027" s="43">
        <f>IF(INDEX(DarlBelegt,3)=0,0,IF(INDEX(DarlOhneTilgung,3)=1,IF(INDEX(DarlBindung,3)="",1,$G1027),IF($J1027&gt;0.005,1,0)))</f>
      </c>
      <c r="J1027" s="43">
        <f>IF($I1026=0,0,$R1026)</f>
      </c>
      <c r="K1027" s="43">
        <f>IF($I1027=0,0,IF(INDEX(DarlOhneTilgung,3)=1,0,IF(AND(INDEX(DarlTilgStart,3)&gt;0,$E1027=INDEX(DarlTilgStart,3)),$J1027*($H1027+INDEX(DarlTilgung,3))/100/12,IF(AND($G1027=0,$G1026=1),MAX($K1026,$J1027*($H1027+1)/100/12),$K1026))))</f>
      </c>
      <c r="L1027" s="43">
        <f>IF($I1027=0,0,$J1027*$H1027/100/12)</f>
      </c>
      <c r="M1027" s="43">
        <f>IF($I1027=0,0,IF(OR(INDEX(DarlOhneTilgung,3)=1,AND(INDEX(DarlTilgStart,3)&gt;0,$E1027&lt;INDEX(DarlTilgStart,3))),0,MIN(MAX(0,$K1027-$L1027),$J1027)))</f>
      </c>
      <c r="N1027" s="43">
        <f>IF($I1027=0,0,MIN(SUMIFS(SondBetrag,SondDarl,3,SondDatum,"&gt;="&amp;$E1027,SondDatum,"&lt;="&amp;EOMONTH($E1027,0)),$J1027-$M1027))</f>
      </c>
      <c r="O1027" s="43">
        <f>IF($I1027=0,0,INDEX(DarlErsatzRate,3))</f>
      </c>
      <c r="P1027" s="43">
        <f>IF($I1027=0,0,$Q1026*INDEX(DarlErsatzZins,3))</f>
      </c>
      <c r="Q1027" s="43">
        <f>IF($I1027=0,0,$Q1026+$P1027+$O1027)</f>
      </c>
      <c r="R1027" s="43">
        <f>IF($I1027=0,0,$J1027-$M1027-$N1027)</f>
      </c>
    </row>
    <row r="1028">
      <c r="A1028"/>
      <c r="B1028">
        <v>3</v>
      </c>
      <c r="C1028" s="43">
        <f>INDEX(DarlObj,3)</f>
      </c>
      <c r="D1028">
        <v>65</v>
      </c>
      <c r="E1028" s="51">
        <f>IF(INDEX(DarlBelegt,3)=0,0,EOMONTH(INDEX(DarlAuszahlung,3),64)+1)</f>
      </c>
      <c r="F1028" s="43">
        <f>IF($E1028=0,0,YEAR($E1028))</f>
      </c>
      <c r="G1028" s="43">
        <f>IF(INDEX(DarlBindung,3)="",1,IF($E1028&lt;=INDEX(DarlBindung,3),1,0))</f>
      </c>
      <c r="H1028" s="43">
        <f>IF($G1028=1,INDEX(DarlSollzins,3),INDEX(DarlAnschluss,3))</f>
      </c>
      <c r="I1028" s="43">
        <f>IF(INDEX(DarlBelegt,3)=0,0,IF(INDEX(DarlOhneTilgung,3)=1,IF(INDEX(DarlBindung,3)="",1,$G1028),IF($J1028&gt;0.005,1,0)))</f>
      </c>
      <c r="J1028" s="43">
        <f>IF($I1027=0,0,$R1027)</f>
      </c>
      <c r="K1028" s="43">
        <f>IF($I1028=0,0,IF(INDEX(DarlOhneTilgung,3)=1,0,IF(AND(INDEX(DarlTilgStart,3)&gt;0,$E1028=INDEX(DarlTilgStart,3)),$J1028*($H1028+INDEX(DarlTilgung,3))/100/12,IF(AND($G1028=0,$G1027=1),MAX($K1027,$J1028*($H1028+1)/100/12),$K1027))))</f>
      </c>
      <c r="L1028" s="43">
        <f>IF($I1028=0,0,$J1028*$H1028/100/12)</f>
      </c>
      <c r="M1028" s="43">
        <f>IF($I1028=0,0,IF(OR(INDEX(DarlOhneTilgung,3)=1,AND(INDEX(DarlTilgStart,3)&gt;0,$E1028&lt;INDEX(DarlTilgStart,3))),0,MIN(MAX(0,$K1028-$L1028),$J1028)))</f>
      </c>
      <c r="N1028" s="43">
        <f>IF($I1028=0,0,MIN(SUMIFS(SondBetrag,SondDarl,3,SondDatum,"&gt;="&amp;$E1028,SondDatum,"&lt;="&amp;EOMONTH($E1028,0)),$J1028-$M1028))</f>
      </c>
      <c r="O1028" s="43">
        <f>IF($I1028=0,0,INDEX(DarlErsatzRate,3))</f>
      </c>
      <c r="P1028" s="43">
        <f>IF($I1028=0,0,$Q1027*INDEX(DarlErsatzZins,3))</f>
      </c>
      <c r="Q1028" s="43">
        <f>IF($I1028=0,0,$Q1027+$P1028+$O1028)</f>
      </c>
      <c r="R1028" s="43">
        <f>IF($I1028=0,0,$J1028-$M1028-$N1028)</f>
      </c>
    </row>
    <row r="1029">
      <c r="A1029"/>
      <c r="B1029">
        <v>3</v>
      </c>
      <c r="C1029" s="43">
        <f>INDEX(DarlObj,3)</f>
      </c>
      <c r="D1029">
        <v>66</v>
      </c>
      <c r="E1029" s="51">
        <f>IF(INDEX(DarlBelegt,3)=0,0,EOMONTH(INDEX(DarlAuszahlung,3),65)+1)</f>
      </c>
      <c r="F1029" s="43">
        <f>IF($E1029=0,0,YEAR($E1029))</f>
      </c>
      <c r="G1029" s="43">
        <f>IF(INDEX(DarlBindung,3)="",1,IF($E1029&lt;=INDEX(DarlBindung,3),1,0))</f>
      </c>
      <c r="H1029" s="43">
        <f>IF($G1029=1,INDEX(DarlSollzins,3),INDEX(DarlAnschluss,3))</f>
      </c>
      <c r="I1029" s="43">
        <f>IF(INDEX(DarlBelegt,3)=0,0,IF(INDEX(DarlOhneTilgung,3)=1,IF(INDEX(DarlBindung,3)="",1,$G1029),IF($J1029&gt;0.005,1,0)))</f>
      </c>
      <c r="J1029" s="43">
        <f>IF($I1028=0,0,$R1028)</f>
      </c>
      <c r="K1029" s="43">
        <f>IF($I1029=0,0,IF(INDEX(DarlOhneTilgung,3)=1,0,IF(AND(INDEX(DarlTilgStart,3)&gt;0,$E1029=INDEX(DarlTilgStart,3)),$J1029*($H1029+INDEX(DarlTilgung,3))/100/12,IF(AND($G1029=0,$G1028=1),MAX($K1028,$J1029*($H1029+1)/100/12),$K1028))))</f>
      </c>
      <c r="L1029" s="43">
        <f>IF($I1029=0,0,$J1029*$H1029/100/12)</f>
      </c>
      <c r="M1029" s="43">
        <f>IF($I1029=0,0,IF(OR(INDEX(DarlOhneTilgung,3)=1,AND(INDEX(DarlTilgStart,3)&gt;0,$E1029&lt;INDEX(DarlTilgStart,3))),0,MIN(MAX(0,$K1029-$L1029),$J1029)))</f>
      </c>
      <c r="N1029" s="43">
        <f>IF($I1029=0,0,MIN(SUMIFS(SondBetrag,SondDarl,3,SondDatum,"&gt;="&amp;$E1029,SondDatum,"&lt;="&amp;EOMONTH($E1029,0)),$J1029-$M1029))</f>
      </c>
      <c r="O1029" s="43">
        <f>IF($I1029=0,0,INDEX(DarlErsatzRate,3))</f>
      </c>
      <c r="P1029" s="43">
        <f>IF($I1029=0,0,$Q1028*INDEX(DarlErsatzZins,3))</f>
      </c>
      <c r="Q1029" s="43">
        <f>IF($I1029=0,0,$Q1028+$P1029+$O1029)</f>
      </c>
      <c r="R1029" s="43">
        <f>IF($I1029=0,0,$J1029-$M1029-$N1029)</f>
      </c>
    </row>
    <row r="1030">
      <c r="A1030"/>
      <c r="B1030">
        <v>3</v>
      </c>
      <c r="C1030" s="43">
        <f>INDEX(DarlObj,3)</f>
      </c>
      <c r="D1030">
        <v>67</v>
      </c>
      <c r="E1030" s="51">
        <f>IF(INDEX(DarlBelegt,3)=0,0,EOMONTH(INDEX(DarlAuszahlung,3),66)+1)</f>
      </c>
      <c r="F1030" s="43">
        <f>IF($E1030=0,0,YEAR($E1030))</f>
      </c>
      <c r="G1030" s="43">
        <f>IF(INDEX(DarlBindung,3)="",1,IF($E1030&lt;=INDEX(DarlBindung,3),1,0))</f>
      </c>
      <c r="H1030" s="43">
        <f>IF($G1030=1,INDEX(DarlSollzins,3),INDEX(DarlAnschluss,3))</f>
      </c>
      <c r="I1030" s="43">
        <f>IF(INDEX(DarlBelegt,3)=0,0,IF(INDEX(DarlOhneTilgung,3)=1,IF(INDEX(DarlBindung,3)="",1,$G1030),IF($J1030&gt;0.005,1,0)))</f>
      </c>
      <c r="J1030" s="43">
        <f>IF($I1029=0,0,$R1029)</f>
      </c>
      <c r="K1030" s="43">
        <f>IF($I1030=0,0,IF(INDEX(DarlOhneTilgung,3)=1,0,IF(AND(INDEX(DarlTilgStart,3)&gt;0,$E1030=INDEX(DarlTilgStart,3)),$J1030*($H1030+INDEX(DarlTilgung,3))/100/12,IF(AND($G1030=0,$G1029=1),MAX($K1029,$J1030*($H1030+1)/100/12),$K1029))))</f>
      </c>
      <c r="L1030" s="43">
        <f>IF($I1030=0,0,$J1030*$H1030/100/12)</f>
      </c>
      <c r="M1030" s="43">
        <f>IF($I1030=0,0,IF(OR(INDEX(DarlOhneTilgung,3)=1,AND(INDEX(DarlTilgStart,3)&gt;0,$E1030&lt;INDEX(DarlTilgStart,3))),0,MIN(MAX(0,$K1030-$L1030),$J1030)))</f>
      </c>
      <c r="N1030" s="43">
        <f>IF($I1030=0,0,MIN(SUMIFS(SondBetrag,SondDarl,3,SondDatum,"&gt;="&amp;$E1030,SondDatum,"&lt;="&amp;EOMONTH($E1030,0)),$J1030-$M1030))</f>
      </c>
      <c r="O1030" s="43">
        <f>IF($I1030=0,0,INDEX(DarlErsatzRate,3))</f>
      </c>
      <c r="P1030" s="43">
        <f>IF($I1030=0,0,$Q1029*INDEX(DarlErsatzZins,3))</f>
      </c>
      <c r="Q1030" s="43">
        <f>IF($I1030=0,0,$Q1029+$P1030+$O1030)</f>
      </c>
      <c r="R1030" s="43">
        <f>IF($I1030=0,0,$J1030-$M1030-$N1030)</f>
      </c>
    </row>
    <row r="1031">
      <c r="A1031"/>
      <c r="B1031">
        <v>3</v>
      </c>
      <c r="C1031" s="43">
        <f>INDEX(DarlObj,3)</f>
      </c>
      <c r="D1031">
        <v>68</v>
      </c>
      <c r="E1031" s="51">
        <f>IF(INDEX(DarlBelegt,3)=0,0,EOMONTH(INDEX(DarlAuszahlung,3),67)+1)</f>
      </c>
      <c r="F1031" s="43">
        <f>IF($E1031=0,0,YEAR($E1031))</f>
      </c>
      <c r="G1031" s="43">
        <f>IF(INDEX(DarlBindung,3)="",1,IF($E1031&lt;=INDEX(DarlBindung,3),1,0))</f>
      </c>
      <c r="H1031" s="43">
        <f>IF($G1031=1,INDEX(DarlSollzins,3),INDEX(DarlAnschluss,3))</f>
      </c>
      <c r="I1031" s="43">
        <f>IF(INDEX(DarlBelegt,3)=0,0,IF(INDEX(DarlOhneTilgung,3)=1,IF(INDEX(DarlBindung,3)="",1,$G1031),IF($J1031&gt;0.005,1,0)))</f>
      </c>
      <c r="J1031" s="43">
        <f>IF($I1030=0,0,$R1030)</f>
      </c>
      <c r="K1031" s="43">
        <f>IF($I1031=0,0,IF(INDEX(DarlOhneTilgung,3)=1,0,IF(AND(INDEX(DarlTilgStart,3)&gt;0,$E1031=INDEX(DarlTilgStart,3)),$J1031*($H1031+INDEX(DarlTilgung,3))/100/12,IF(AND($G1031=0,$G1030=1),MAX($K1030,$J1031*($H1031+1)/100/12),$K1030))))</f>
      </c>
      <c r="L1031" s="43">
        <f>IF($I1031=0,0,$J1031*$H1031/100/12)</f>
      </c>
      <c r="M1031" s="43">
        <f>IF($I1031=0,0,IF(OR(INDEX(DarlOhneTilgung,3)=1,AND(INDEX(DarlTilgStart,3)&gt;0,$E1031&lt;INDEX(DarlTilgStart,3))),0,MIN(MAX(0,$K1031-$L1031),$J1031)))</f>
      </c>
      <c r="N1031" s="43">
        <f>IF($I1031=0,0,MIN(SUMIFS(SondBetrag,SondDarl,3,SondDatum,"&gt;="&amp;$E1031,SondDatum,"&lt;="&amp;EOMONTH($E1031,0)),$J1031-$M1031))</f>
      </c>
      <c r="O1031" s="43">
        <f>IF($I1031=0,0,INDEX(DarlErsatzRate,3))</f>
      </c>
      <c r="P1031" s="43">
        <f>IF($I1031=0,0,$Q1030*INDEX(DarlErsatzZins,3))</f>
      </c>
      <c r="Q1031" s="43">
        <f>IF($I1031=0,0,$Q1030+$P1031+$O1031)</f>
      </c>
      <c r="R1031" s="43">
        <f>IF($I1031=0,0,$J1031-$M1031-$N1031)</f>
      </c>
    </row>
    <row r="1032">
      <c r="A1032"/>
      <c r="B1032">
        <v>3</v>
      </c>
      <c r="C1032" s="43">
        <f>INDEX(DarlObj,3)</f>
      </c>
      <c r="D1032">
        <v>69</v>
      </c>
      <c r="E1032" s="51">
        <f>IF(INDEX(DarlBelegt,3)=0,0,EOMONTH(INDEX(DarlAuszahlung,3),68)+1)</f>
      </c>
      <c r="F1032" s="43">
        <f>IF($E1032=0,0,YEAR($E1032))</f>
      </c>
      <c r="G1032" s="43">
        <f>IF(INDEX(DarlBindung,3)="",1,IF($E1032&lt;=INDEX(DarlBindung,3),1,0))</f>
      </c>
      <c r="H1032" s="43">
        <f>IF($G1032=1,INDEX(DarlSollzins,3),INDEX(DarlAnschluss,3))</f>
      </c>
      <c r="I1032" s="43">
        <f>IF(INDEX(DarlBelegt,3)=0,0,IF(INDEX(DarlOhneTilgung,3)=1,IF(INDEX(DarlBindung,3)="",1,$G1032),IF($J1032&gt;0.005,1,0)))</f>
      </c>
      <c r="J1032" s="43">
        <f>IF($I1031=0,0,$R1031)</f>
      </c>
      <c r="K1032" s="43">
        <f>IF($I1032=0,0,IF(INDEX(DarlOhneTilgung,3)=1,0,IF(AND(INDEX(DarlTilgStart,3)&gt;0,$E1032=INDEX(DarlTilgStart,3)),$J1032*($H1032+INDEX(DarlTilgung,3))/100/12,IF(AND($G1032=0,$G1031=1),MAX($K1031,$J1032*($H1032+1)/100/12),$K1031))))</f>
      </c>
      <c r="L1032" s="43">
        <f>IF($I1032=0,0,$J1032*$H1032/100/12)</f>
      </c>
      <c r="M1032" s="43">
        <f>IF($I1032=0,0,IF(OR(INDEX(DarlOhneTilgung,3)=1,AND(INDEX(DarlTilgStart,3)&gt;0,$E1032&lt;INDEX(DarlTilgStart,3))),0,MIN(MAX(0,$K1032-$L1032),$J1032)))</f>
      </c>
      <c r="N1032" s="43">
        <f>IF($I1032=0,0,MIN(SUMIFS(SondBetrag,SondDarl,3,SondDatum,"&gt;="&amp;$E1032,SondDatum,"&lt;="&amp;EOMONTH($E1032,0)),$J1032-$M1032))</f>
      </c>
      <c r="O1032" s="43">
        <f>IF($I1032=0,0,INDEX(DarlErsatzRate,3))</f>
      </c>
      <c r="P1032" s="43">
        <f>IF($I1032=0,0,$Q1031*INDEX(DarlErsatzZins,3))</f>
      </c>
      <c r="Q1032" s="43">
        <f>IF($I1032=0,0,$Q1031+$P1032+$O1032)</f>
      </c>
      <c r="R1032" s="43">
        <f>IF($I1032=0,0,$J1032-$M1032-$N1032)</f>
      </c>
    </row>
    <row r="1033">
      <c r="A1033"/>
      <c r="B1033">
        <v>3</v>
      </c>
      <c r="C1033" s="43">
        <f>INDEX(DarlObj,3)</f>
      </c>
      <c r="D1033">
        <v>70</v>
      </c>
      <c r="E1033" s="51">
        <f>IF(INDEX(DarlBelegt,3)=0,0,EOMONTH(INDEX(DarlAuszahlung,3),69)+1)</f>
      </c>
      <c r="F1033" s="43">
        <f>IF($E1033=0,0,YEAR($E1033))</f>
      </c>
      <c r="G1033" s="43">
        <f>IF(INDEX(DarlBindung,3)="",1,IF($E1033&lt;=INDEX(DarlBindung,3),1,0))</f>
      </c>
      <c r="H1033" s="43">
        <f>IF($G1033=1,INDEX(DarlSollzins,3),INDEX(DarlAnschluss,3))</f>
      </c>
      <c r="I1033" s="43">
        <f>IF(INDEX(DarlBelegt,3)=0,0,IF(INDEX(DarlOhneTilgung,3)=1,IF(INDEX(DarlBindung,3)="",1,$G1033),IF($J1033&gt;0.005,1,0)))</f>
      </c>
      <c r="J1033" s="43">
        <f>IF($I1032=0,0,$R1032)</f>
      </c>
      <c r="K1033" s="43">
        <f>IF($I1033=0,0,IF(INDEX(DarlOhneTilgung,3)=1,0,IF(AND(INDEX(DarlTilgStart,3)&gt;0,$E1033=INDEX(DarlTilgStart,3)),$J1033*($H1033+INDEX(DarlTilgung,3))/100/12,IF(AND($G1033=0,$G1032=1),MAX($K1032,$J1033*($H1033+1)/100/12),$K1032))))</f>
      </c>
      <c r="L1033" s="43">
        <f>IF($I1033=0,0,$J1033*$H1033/100/12)</f>
      </c>
      <c r="M1033" s="43">
        <f>IF($I1033=0,0,IF(OR(INDEX(DarlOhneTilgung,3)=1,AND(INDEX(DarlTilgStart,3)&gt;0,$E1033&lt;INDEX(DarlTilgStart,3))),0,MIN(MAX(0,$K1033-$L1033),$J1033)))</f>
      </c>
      <c r="N1033" s="43">
        <f>IF($I1033=0,0,MIN(SUMIFS(SondBetrag,SondDarl,3,SondDatum,"&gt;="&amp;$E1033,SondDatum,"&lt;="&amp;EOMONTH($E1033,0)),$J1033-$M1033))</f>
      </c>
      <c r="O1033" s="43">
        <f>IF($I1033=0,0,INDEX(DarlErsatzRate,3))</f>
      </c>
      <c r="P1033" s="43">
        <f>IF($I1033=0,0,$Q1032*INDEX(DarlErsatzZins,3))</f>
      </c>
      <c r="Q1033" s="43">
        <f>IF($I1033=0,0,$Q1032+$P1033+$O1033)</f>
      </c>
      <c r="R1033" s="43">
        <f>IF($I1033=0,0,$J1033-$M1033-$N1033)</f>
      </c>
    </row>
    <row r="1034">
      <c r="A1034"/>
      <c r="B1034">
        <v>3</v>
      </c>
      <c r="C1034" s="43">
        <f>INDEX(DarlObj,3)</f>
      </c>
      <c r="D1034">
        <v>71</v>
      </c>
      <c r="E1034" s="51">
        <f>IF(INDEX(DarlBelegt,3)=0,0,EOMONTH(INDEX(DarlAuszahlung,3),70)+1)</f>
      </c>
      <c r="F1034" s="43">
        <f>IF($E1034=0,0,YEAR($E1034))</f>
      </c>
      <c r="G1034" s="43">
        <f>IF(INDEX(DarlBindung,3)="",1,IF($E1034&lt;=INDEX(DarlBindung,3),1,0))</f>
      </c>
      <c r="H1034" s="43">
        <f>IF($G1034=1,INDEX(DarlSollzins,3),INDEX(DarlAnschluss,3))</f>
      </c>
      <c r="I1034" s="43">
        <f>IF(INDEX(DarlBelegt,3)=0,0,IF(INDEX(DarlOhneTilgung,3)=1,IF(INDEX(DarlBindung,3)="",1,$G1034),IF($J1034&gt;0.005,1,0)))</f>
      </c>
      <c r="J1034" s="43">
        <f>IF($I1033=0,0,$R1033)</f>
      </c>
      <c r="K1034" s="43">
        <f>IF($I1034=0,0,IF(INDEX(DarlOhneTilgung,3)=1,0,IF(AND(INDEX(DarlTilgStart,3)&gt;0,$E1034=INDEX(DarlTilgStart,3)),$J1034*($H1034+INDEX(DarlTilgung,3))/100/12,IF(AND($G1034=0,$G1033=1),MAX($K1033,$J1034*($H1034+1)/100/12),$K1033))))</f>
      </c>
      <c r="L1034" s="43">
        <f>IF($I1034=0,0,$J1034*$H1034/100/12)</f>
      </c>
      <c r="M1034" s="43">
        <f>IF($I1034=0,0,IF(OR(INDEX(DarlOhneTilgung,3)=1,AND(INDEX(DarlTilgStart,3)&gt;0,$E1034&lt;INDEX(DarlTilgStart,3))),0,MIN(MAX(0,$K1034-$L1034),$J1034)))</f>
      </c>
      <c r="N1034" s="43">
        <f>IF($I1034=0,0,MIN(SUMIFS(SondBetrag,SondDarl,3,SondDatum,"&gt;="&amp;$E1034,SondDatum,"&lt;="&amp;EOMONTH($E1034,0)),$J1034-$M1034))</f>
      </c>
      <c r="O1034" s="43">
        <f>IF($I1034=0,0,INDEX(DarlErsatzRate,3))</f>
      </c>
      <c r="P1034" s="43">
        <f>IF($I1034=0,0,$Q1033*INDEX(DarlErsatzZins,3))</f>
      </c>
      <c r="Q1034" s="43">
        <f>IF($I1034=0,0,$Q1033+$P1034+$O1034)</f>
      </c>
      <c r="R1034" s="43">
        <f>IF($I1034=0,0,$J1034-$M1034-$N1034)</f>
      </c>
    </row>
    <row r="1035">
      <c r="A1035"/>
      <c r="B1035">
        <v>3</v>
      </c>
      <c r="C1035" s="43">
        <f>INDEX(DarlObj,3)</f>
      </c>
      <c r="D1035">
        <v>72</v>
      </c>
      <c r="E1035" s="51">
        <f>IF(INDEX(DarlBelegt,3)=0,0,EOMONTH(INDEX(DarlAuszahlung,3),71)+1)</f>
      </c>
      <c r="F1035" s="43">
        <f>IF($E1035=0,0,YEAR($E1035))</f>
      </c>
      <c r="G1035" s="43">
        <f>IF(INDEX(DarlBindung,3)="",1,IF($E1035&lt;=INDEX(DarlBindung,3),1,0))</f>
      </c>
      <c r="H1035" s="43">
        <f>IF($G1035=1,INDEX(DarlSollzins,3),INDEX(DarlAnschluss,3))</f>
      </c>
      <c r="I1035" s="43">
        <f>IF(INDEX(DarlBelegt,3)=0,0,IF(INDEX(DarlOhneTilgung,3)=1,IF(INDEX(DarlBindung,3)="",1,$G1035),IF($J1035&gt;0.005,1,0)))</f>
      </c>
      <c r="J1035" s="43">
        <f>IF($I1034=0,0,$R1034)</f>
      </c>
      <c r="K1035" s="43">
        <f>IF($I1035=0,0,IF(INDEX(DarlOhneTilgung,3)=1,0,IF(AND(INDEX(DarlTilgStart,3)&gt;0,$E1035=INDEX(DarlTilgStart,3)),$J1035*($H1035+INDEX(DarlTilgung,3))/100/12,IF(AND($G1035=0,$G1034=1),MAX($K1034,$J1035*($H1035+1)/100/12),$K1034))))</f>
      </c>
      <c r="L1035" s="43">
        <f>IF($I1035=0,0,$J1035*$H1035/100/12)</f>
      </c>
      <c r="M1035" s="43">
        <f>IF($I1035=0,0,IF(OR(INDEX(DarlOhneTilgung,3)=1,AND(INDEX(DarlTilgStart,3)&gt;0,$E1035&lt;INDEX(DarlTilgStart,3))),0,MIN(MAX(0,$K1035-$L1035),$J1035)))</f>
      </c>
      <c r="N1035" s="43">
        <f>IF($I1035=0,0,MIN(SUMIFS(SondBetrag,SondDarl,3,SondDatum,"&gt;="&amp;$E1035,SondDatum,"&lt;="&amp;EOMONTH($E1035,0)),$J1035-$M1035))</f>
      </c>
      <c r="O1035" s="43">
        <f>IF($I1035=0,0,INDEX(DarlErsatzRate,3))</f>
      </c>
      <c r="P1035" s="43">
        <f>IF($I1035=0,0,$Q1034*INDEX(DarlErsatzZins,3))</f>
      </c>
      <c r="Q1035" s="43">
        <f>IF($I1035=0,0,$Q1034+$P1035+$O1035)</f>
      </c>
      <c r="R1035" s="43">
        <f>IF($I1035=0,0,$J1035-$M1035-$N1035)</f>
      </c>
    </row>
    <row r="1036">
      <c r="A1036"/>
      <c r="B1036">
        <v>3</v>
      </c>
      <c r="C1036" s="43">
        <f>INDEX(DarlObj,3)</f>
      </c>
      <c r="D1036">
        <v>73</v>
      </c>
      <c r="E1036" s="51">
        <f>IF(INDEX(DarlBelegt,3)=0,0,EOMONTH(INDEX(DarlAuszahlung,3),72)+1)</f>
      </c>
      <c r="F1036" s="43">
        <f>IF($E1036=0,0,YEAR($E1036))</f>
      </c>
      <c r="G1036" s="43">
        <f>IF(INDEX(DarlBindung,3)="",1,IF($E1036&lt;=INDEX(DarlBindung,3),1,0))</f>
      </c>
      <c r="H1036" s="43">
        <f>IF($G1036=1,INDEX(DarlSollzins,3),INDEX(DarlAnschluss,3))</f>
      </c>
      <c r="I1036" s="43">
        <f>IF(INDEX(DarlBelegt,3)=0,0,IF(INDEX(DarlOhneTilgung,3)=1,IF(INDEX(DarlBindung,3)="",1,$G1036),IF($J1036&gt;0.005,1,0)))</f>
      </c>
      <c r="J1036" s="43">
        <f>IF($I1035=0,0,$R1035)</f>
      </c>
      <c r="K1036" s="43">
        <f>IF($I1036=0,0,IF(INDEX(DarlOhneTilgung,3)=1,0,IF(AND(INDEX(DarlTilgStart,3)&gt;0,$E1036=INDEX(DarlTilgStart,3)),$J1036*($H1036+INDEX(DarlTilgung,3))/100/12,IF(AND($G1036=0,$G1035=1),MAX($K1035,$J1036*($H1036+1)/100/12),$K1035))))</f>
      </c>
      <c r="L1036" s="43">
        <f>IF($I1036=0,0,$J1036*$H1036/100/12)</f>
      </c>
      <c r="M1036" s="43">
        <f>IF($I1036=0,0,IF(OR(INDEX(DarlOhneTilgung,3)=1,AND(INDEX(DarlTilgStart,3)&gt;0,$E1036&lt;INDEX(DarlTilgStart,3))),0,MIN(MAX(0,$K1036-$L1036),$J1036)))</f>
      </c>
      <c r="N1036" s="43">
        <f>IF($I1036=0,0,MIN(SUMIFS(SondBetrag,SondDarl,3,SondDatum,"&gt;="&amp;$E1036,SondDatum,"&lt;="&amp;EOMONTH($E1036,0)),$J1036-$M1036))</f>
      </c>
      <c r="O1036" s="43">
        <f>IF($I1036=0,0,INDEX(DarlErsatzRate,3))</f>
      </c>
      <c r="P1036" s="43">
        <f>IF($I1036=0,0,$Q1035*INDEX(DarlErsatzZins,3))</f>
      </c>
      <c r="Q1036" s="43">
        <f>IF($I1036=0,0,$Q1035+$P1036+$O1036)</f>
      </c>
      <c r="R1036" s="43">
        <f>IF($I1036=0,0,$J1036-$M1036-$N1036)</f>
      </c>
    </row>
    <row r="1037">
      <c r="A1037"/>
      <c r="B1037">
        <v>3</v>
      </c>
      <c r="C1037" s="43">
        <f>INDEX(DarlObj,3)</f>
      </c>
      <c r="D1037">
        <v>74</v>
      </c>
      <c r="E1037" s="51">
        <f>IF(INDEX(DarlBelegt,3)=0,0,EOMONTH(INDEX(DarlAuszahlung,3),73)+1)</f>
      </c>
      <c r="F1037" s="43">
        <f>IF($E1037=0,0,YEAR($E1037))</f>
      </c>
      <c r="G1037" s="43">
        <f>IF(INDEX(DarlBindung,3)="",1,IF($E1037&lt;=INDEX(DarlBindung,3),1,0))</f>
      </c>
      <c r="H1037" s="43">
        <f>IF($G1037=1,INDEX(DarlSollzins,3),INDEX(DarlAnschluss,3))</f>
      </c>
      <c r="I1037" s="43">
        <f>IF(INDEX(DarlBelegt,3)=0,0,IF(INDEX(DarlOhneTilgung,3)=1,IF(INDEX(DarlBindung,3)="",1,$G1037),IF($J1037&gt;0.005,1,0)))</f>
      </c>
      <c r="J1037" s="43">
        <f>IF($I1036=0,0,$R1036)</f>
      </c>
      <c r="K1037" s="43">
        <f>IF($I1037=0,0,IF(INDEX(DarlOhneTilgung,3)=1,0,IF(AND(INDEX(DarlTilgStart,3)&gt;0,$E1037=INDEX(DarlTilgStart,3)),$J1037*($H1037+INDEX(DarlTilgung,3))/100/12,IF(AND($G1037=0,$G1036=1),MAX($K1036,$J1037*($H1037+1)/100/12),$K1036))))</f>
      </c>
      <c r="L1037" s="43">
        <f>IF($I1037=0,0,$J1037*$H1037/100/12)</f>
      </c>
      <c r="M1037" s="43">
        <f>IF($I1037=0,0,IF(OR(INDEX(DarlOhneTilgung,3)=1,AND(INDEX(DarlTilgStart,3)&gt;0,$E1037&lt;INDEX(DarlTilgStart,3))),0,MIN(MAX(0,$K1037-$L1037),$J1037)))</f>
      </c>
      <c r="N1037" s="43">
        <f>IF($I1037=0,0,MIN(SUMIFS(SondBetrag,SondDarl,3,SondDatum,"&gt;="&amp;$E1037,SondDatum,"&lt;="&amp;EOMONTH($E1037,0)),$J1037-$M1037))</f>
      </c>
      <c r="O1037" s="43">
        <f>IF($I1037=0,0,INDEX(DarlErsatzRate,3))</f>
      </c>
      <c r="P1037" s="43">
        <f>IF($I1037=0,0,$Q1036*INDEX(DarlErsatzZins,3))</f>
      </c>
      <c r="Q1037" s="43">
        <f>IF($I1037=0,0,$Q1036+$P1037+$O1037)</f>
      </c>
      <c r="R1037" s="43">
        <f>IF($I1037=0,0,$J1037-$M1037-$N1037)</f>
      </c>
    </row>
    <row r="1038">
      <c r="A1038"/>
      <c r="B1038">
        <v>3</v>
      </c>
      <c r="C1038" s="43">
        <f>INDEX(DarlObj,3)</f>
      </c>
      <c r="D1038">
        <v>75</v>
      </c>
      <c r="E1038" s="51">
        <f>IF(INDEX(DarlBelegt,3)=0,0,EOMONTH(INDEX(DarlAuszahlung,3),74)+1)</f>
      </c>
      <c r="F1038" s="43">
        <f>IF($E1038=0,0,YEAR($E1038))</f>
      </c>
      <c r="G1038" s="43">
        <f>IF(INDEX(DarlBindung,3)="",1,IF($E1038&lt;=INDEX(DarlBindung,3),1,0))</f>
      </c>
      <c r="H1038" s="43">
        <f>IF($G1038=1,INDEX(DarlSollzins,3),INDEX(DarlAnschluss,3))</f>
      </c>
      <c r="I1038" s="43">
        <f>IF(INDEX(DarlBelegt,3)=0,0,IF(INDEX(DarlOhneTilgung,3)=1,IF(INDEX(DarlBindung,3)="",1,$G1038),IF($J1038&gt;0.005,1,0)))</f>
      </c>
      <c r="J1038" s="43">
        <f>IF($I1037=0,0,$R1037)</f>
      </c>
      <c r="K1038" s="43">
        <f>IF($I1038=0,0,IF(INDEX(DarlOhneTilgung,3)=1,0,IF(AND(INDEX(DarlTilgStart,3)&gt;0,$E1038=INDEX(DarlTilgStart,3)),$J1038*($H1038+INDEX(DarlTilgung,3))/100/12,IF(AND($G1038=0,$G1037=1),MAX($K1037,$J1038*($H1038+1)/100/12),$K1037))))</f>
      </c>
      <c r="L1038" s="43">
        <f>IF($I1038=0,0,$J1038*$H1038/100/12)</f>
      </c>
      <c r="M1038" s="43">
        <f>IF($I1038=0,0,IF(OR(INDEX(DarlOhneTilgung,3)=1,AND(INDEX(DarlTilgStart,3)&gt;0,$E1038&lt;INDEX(DarlTilgStart,3))),0,MIN(MAX(0,$K1038-$L1038),$J1038)))</f>
      </c>
      <c r="N1038" s="43">
        <f>IF($I1038=0,0,MIN(SUMIFS(SondBetrag,SondDarl,3,SondDatum,"&gt;="&amp;$E1038,SondDatum,"&lt;="&amp;EOMONTH($E1038,0)),$J1038-$M1038))</f>
      </c>
      <c r="O1038" s="43">
        <f>IF($I1038=0,0,INDEX(DarlErsatzRate,3))</f>
      </c>
      <c r="P1038" s="43">
        <f>IF($I1038=0,0,$Q1037*INDEX(DarlErsatzZins,3))</f>
      </c>
      <c r="Q1038" s="43">
        <f>IF($I1038=0,0,$Q1037+$P1038+$O1038)</f>
      </c>
      <c r="R1038" s="43">
        <f>IF($I1038=0,0,$J1038-$M1038-$N1038)</f>
      </c>
    </row>
    <row r="1039">
      <c r="A1039"/>
      <c r="B1039">
        <v>3</v>
      </c>
      <c r="C1039" s="43">
        <f>INDEX(DarlObj,3)</f>
      </c>
      <c r="D1039">
        <v>76</v>
      </c>
      <c r="E1039" s="51">
        <f>IF(INDEX(DarlBelegt,3)=0,0,EOMONTH(INDEX(DarlAuszahlung,3),75)+1)</f>
      </c>
      <c r="F1039" s="43">
        <f>IF($E1039=0,0,YEAR($E1039))</f>
      </c>
      <c r="G1039" s="43">
        <f>IF(INDEX(DarlBindung,3)="",1,IF($E1039&lt;=INDEX(DarlBindung,3),1,0))</f>
      </c>
      <c r="H1039" s="43">
        <f>IF($G1039=1,INDEX(DarlSollzins,3),INDEX(DarlAnschluss,3))</f>
      </c>
      <c r="I1039" s="43">
        <f>IF(INDEX(DarlBelegt,3)=0,0,IF(INDEX(DarlOhneTilgung,3)=1,IF(INDEX(DarlBindung,3)="",1,$G1039),IF($J1039&gt;0.005,1,0)))</f>
      </c>
      <c r="J1039" s="43">
        <f>IF($I1038=0,0,$R1038)</f>
      </c>
      <c r="K1039" s="43">
        <f>IF($I1039=0,0,IF(INDEX(DarlOhneTilgung,3)=1,0,IF(AND(INDEX(DarlTilgStart,3)&gt;0,$E1039=INDEX(DarlTilgStart,3)),$J1039*($H1039+INDEX(DarlTilgung,3))/100/12,IF(AND($G1039=0,$G1038=1),MAX($K1038,$J1039*($H1039+1)/100/12),$K1038))))</f>
      </c>
      <c r="L1039" s="43">
        <f>IF($I1039=0,0,$J1039*$H1039/100/12)</f>
      </c>
      <c r="M1039" s="43">
        <f>IF($I1039=0,0,IF(OR(INDEX(DarlOhneTilgung,3)=1,AND(INDEX(DarlTilgStart,3)&gt;0,$E1039&lt;INDEX(DarlTilgStart,3))),0,MIN(MAX(0,$K1039-$L1039),$J1039)))</f>
      </c>
      <c r="N1039" s="43">
        <f>IF($I1039=0,0,MIN(SUMIFS(SondBetrag,SondDarl,3,SondDatum,"&gt;="&amp;$E1039,SondDatum,"&lt;="&amp;EOMONTH($E1039,0)),$J1039-$M1039))</f>
      </c>
      <c r="O1039" s="43">
        <f>IF($I1039=0,0,INDEX(DarlErsatzRate,3))</f>
      </c>
      <c r="P1039" s="43">
        <f>IF($I1039=0,0,$Q1038*INDEX(DarlErsatzZins,3))</f>
      </c>
      <c r="Q1039" s="43">
        <f>IF($I1039=0,0,$Q1038+$P1039+$O1039)</f>
      </c>
      <c r="R1039" s="43">
        <f>IF($I1039=0,0,$J1039-$M1039-$N1039)</f>
      </c>
    </row>
    <row r="1040">
      <c r="A1040"/>
      <c r="B1040">
        <v>3</v>
      </c>
      <c r="C1040" s="43">
        <f>INDEX(DarlObj,3)</f>
      </c>
      <c r="D1040">
        <v>77</v>
      </c>
      <c r="E1040" s="51">
        <f>IF(INDEX(DarlBelegt,3)=0,0,EOMONTH(INDEX(DarlAuszahlung,3),76)+1)</f>
      </c>
      <c r="F1040" s="43">
        <f>IF($E1040=0,0,YEAR($E1040))</f>
      </c>
      <c r="G1040" s="43">
        <f>IF(INDEX(DarlBindung,3)="",1,IF($E1040&lt;=INDEX(DarlBindung,3),1,0))</f>
      </c>
      <c r="H1040" s="43">
        <f>IF($G1040=1,INDEX(DarlSollzins,3),INDEX(DarlAnschluss,3))</f>
      </c>
      <c r="I1040" s="43">
        <f>IF(INDEX(DarlBelegt,3)=0,0,IF(INDEX(DarlOhneTilgung,3)=1,IF(INDEX(DarlBindung,3)="",1,$G1040),IF($J1040&gt;0.005,1,0)))</f>
      </c>
      <c r="J1040" s="43">
        <f>IF($I1039=0,0,$R1039)</f>
      </c>
      <c r="K1040" s="43">
        <f>IF($I1040=0,0,IF(INDEX(DarlOhneTilgung,3)=1,0,IF(AND(INDEX(DarlTilgStart,3)&gt;0,$E1040=INDEX(DarlTilgStart,3)),$J1040*($H1040+INDEX(DarlTilgung,3))/100/12,IF(AND($G1040=0,$G1039=1),MAX($K1039,$J1040*($H1040+1)/100/12),$K1039))))</f>
      </c>
      <c r="L1040" s="43">
        <f>IF($I1040=0,0,$J1040*$H1040/100/12)</f>
      </c>
      <c r="M1040" s="43">
        <f>IF($I1040=0,0,IF(OR(INDEX(DarlOhneTilgung,3)=1,AND(INDEX(DarlTilgStart,3)&gt;0,$E1040&lt;INDEX(DarlTilgStart,3))),0,MIN(MAX(0,$K1040-$L1040),$J1040)))</f>
      </c>
      <c r="N1040" s="43">
        <f>IF($I1040=0,0,MIN(SUMIFS(SondBetrag,SondDarl,3,SondDatum,"&gt;="&amp;$E1040,SondDatum,"&lt;="&amp;EOMONTH($E1040,0)),$J1040-$M1040))</f>
      </c>
      <c r="O1040" s="43">
        <f>IF($I1040=0,0,INDEX(DarlErsatzRate,3))</f>
      </c>
      <c r="P1040" s="43">
        <f>IF($I1040=0,0,$Q1039*INDEX(DarlErsatzZins,3))</f>
      </c>
      <c r="Q1040" s="43">
        <f>IF($I1040=0,0,$Q1039+$P1040+$O1040)</f>
      </c>
      <c r="R1040" s="43">
        <f>IF($I1040=0,0,$J1040-$M1040-$N1040)</f>
      </c>
    </row>
    <row r="1041">
      <c r="A1041"/>
      <c r="B1041">
        <v>3</v>
      </c>
      <c r="C1041" s="43">
        <f>INDEX(DarlObj,3)</f>
      </c>
      <c r="D1041">
        <v>78</v>
      </c>
      <c r="E1041" s="51">
        <f>IF(INDEX(DarlBelegt,3)=0,0,EOMONTH(INDEX(DarlAuszahlung,3),77)+1)</f>
      </c>
      <c r="F1041" s="43">
        <f>IF($E1041=0,0,YEAR($E1041))</f>
      </c>
      <c r="G1041" s="43">
        <f>IF(INDEX(DarlBindung,3)="",1,IF($E1041&lt;=INDEX(DarlBindung,3),1,0))</f>
      </c>
      <c r="H1041" s="43">
        <f>IF($G1041=1,INDEX(DarlSollzins,3),INDEX(DarlAnschluss,3))</f>
      </c>
      <c r="I1041" s="43">
        <f>IF(INDEX(DarlBelegt,3)=0,0,IF(INDEX(DarlOhneTilgung,3)=1,IF(INDEX(DarlBindung,3)="",1,$G1041),IF($J1041&gt;0.005,1,0)))</f>
      </c>
      <c r="J1041" s="43">
        <f>IF($I1040=0,0,$R1040)</f>
      </c>
      <c r="K1041" s="43">
        <f>IF($I1041=0,0,IF(INDEX(DarlOhneTilgung,3)=1,0,IF(AND(INDEX(DarlTilgStart,3)&gt;0,$E1041=INDEX(DarlTilgStart,3)),$J1041*($H1041+INDEX(DarlTilgung,3))/100/12,IF(AND($G1041=0,$G1040=1),MAX($K1040,$J1041*($H1041+1)/100/12),$K1040))))</f>
      </c>
      <c r="L1041" s="43">
        <f>IF($I1041=0,0,$J1041*$H1041/100/12)</f>
      </c>
      <c r="M1041" s="43">
        <f>IF($I1041=0,0,IF(OR(INDEX(DarlOhneTilgung,3)=1,AND(INDEX(DarlTilgStart,3)&gt;0,$E1041&lt;INDEX(DarlTilgStart,3))),0,MIN(MAX(0,$K1041-$L1041),$J1041)))</f>
      </c>
      <c r="N1041" s="43">
        <f>IF($I1041=0,0,MIN(SUMIFS(SondBetrag,SondDarl,3,SondDatum,"&gt;="&amp;$E1041,SondDatum,"&lt;="&amp;EOMONTH($E1041,0)),$J1041-$M1041))</f>
      </c>
      <c r="O1041" s="43">
        <f>IF($I1041=0,0,INDEX(DarlErsatzRate,3))</f>
      </c>
      <c r="P1041" s="43">
        <f>IF($I1041=0,0,$Q1040*INDEX(DarlErsatzZins,3))</f>
      </c>
      <c r="Q1041" s="43">
        <f>IF($I1041=0,0,$Q1040+$P1041+$O1041)</f>
      </c>
      <c r="R1041" s="43">
        <f>IF($I1041=0,0,$J1041-$M1041-$N1041)</f>
      </c>
    </row>
    <row r="1042">
      <c r="A1042"/>
      <c r="B1042">
        <v>3</v>
      </c>
      <c r="C1042" s="43">
        <f>INDEX(DarlObj,3)</f>
      </c>
      <c r="D1042">
        <v>79</v>
      </c>
      <c r="E1042" s="51">
        <f>IF(INDEX(DarlBelegt,3)=0,0,EOMONTH(INDEX(DarlAuszahlung,3),78)+1)</f>
      </c>
      <c r="F1042" s="43">
        <f>IF($E1042=0,0,YEAR($E1042))</f>
      </c>
      <c r="G1042" s="43">
        <f>IF(INDEX(DarlBindung,3)="",1,IF($E1042&lt;=INDEX(DarlBindung,3),1,0))</f>
      </c>
      <c r="H1042" s="43">
        <f>IF($G1042=1,INDEX(DarlSollzins,3),INDEX(DarlAnschluss,3))</f>
      </c>
      <c r="I1042" s="43">
        <f>IF(INDEX(DarlBelegt,3)=0,0,IF(INDEX(DarlOhneTilgung,3)=1,IF(INDEX(DarlBindung,3)="",1,$G1042),IF($J1042&gt;0.005,1,0)))</f>
      </c>
      <c r="J1042" s="43">
        <f>IF($I1041=0,0,$R1041)</f>
      </c>
      <c r="K1042" s="43">
        <f>IF($I1042=0,0,IF(INDEX(DarlOhneTilgung,3)=1,0,IF(AND(INDEX(DarlTilgStart,3)&gt;0,$E1042=INDEX(DarlTilgStart,3)),$J1042*($H1042+INDEX(DarlTilgung,3))/100/12,IF(AND($G1042=0,$G1041=1),MAX($K1041,$J1042*($H1042+1)/100/12),$K1041))))</f>
      </c>
      <c r="L1042" s="43">
        <f>IF($I1042=0,0,$J1042*$H1042/100/12)</f>
      </c>
      <c r="M1042" s="43">
        <f>IF($I1042=0,0,IF(OR(INDEX(DarlOhneTilgung,3)=1,AND(INDEX(DarlTilgStart,3)&gt;0,$E1042&lt;INDEX(DarlTilgStart,3))),0,MIN(MAX(0,$K1042-$L1042),$J1042)))</f>
      </c>
      <c r="N1042" s="43">
        <f>IF($I1042=0,0,MIN(SUMIFS(SondBetrag,SondDarl,3,SondDatum,"&gt;="&amp;$E1042,SondDatum,"&lt;="&amp;EOMONTH($E1042,0)),$J1042-$M1042))</f>
      </c>
      <c r="O1042" s="43">
        <f>IF($I1042=0,0,INDEX(DarlErsatzRate,3))</f>
      </c>
      <c r="P1042" s="43">
        <f>IF($I1042=0,0,$Q1041*INDEX(DarlErsatzZins,3))</f>
      </c>
      <c r="Q1042" s="43">
        <f>IF($I1042=0,0,$Q1041+$P1042+$O1042)</f>
      </c>
      <c r="R1042" s="43">
        <f>IF($I1042=0,0,$J1042-$M1042-$N1042)</f>
      </c>
    </row>
    <row r="1043">
      <c r="A1043"/>
      <c r="B1043">
        <v>3</v>
      </c>
      <c r="C1043" s="43">
        <f>INDEX(DarlObj,3)</f>
      </c>
      <c r="D1043">
        <v>80</v>
      </c>
      <c r="E1043" s="51">
        <f>IF(INDEX(DarlBelegt,3)=0,0,EOMONTH(INDEX(DarlAuszahlung,3),79)+1)</f>
      </c>
      <c r="F1043" s="43">
        <f>IF($E1043=0,0,YEAR($E1043))</f>
      </c>
      <c r="G1043" s="43">
        <f>IF(INDEX(DarlBindung,3)="",1,IF($E1043&lt;=INDEX(DarlBindung,3),1,0))</f>
      </c>
      <c r="H1043" s="43">
        <f>IF($G1043=1,INDEX(DarlSollzins,3),INDEX(DarlAnschluss,3))</f>
      </c>
      <c r="I1043" s="43">
        <f>IF(INDEX(DarlBelegt,3)=0,0,IF(INDEX(DarlOhneTilgung,3)=1,IF(INDEX(DarlBindung,3)="",1,$G1043),IF($J1043&gt;0.005,1,0)))</f>
      </c>
      <c r="J1043" s="43">
        <f>IF($I1042=0,0,$R1042)</f>
      </c>
      <c r="K1043" s="43">
        <f>IF($I1043=0,0,IF(INDEX(DarlOhneTilgung,3)=1,0,IF(AND(INDEX(DarlTilgStart,3)&gt;0,$E1043=INDEX(DarlTilgStart,3)),$J1043*($H1043+INDEX(DarlTilgung,3))/100/12,IF(AND($G1043=0,$G1042=1),MAX($K1042,$J1043*($H1043+1)/100/12),$K1042))))</f>
      </c>
      <c r="L1043" s="43">
        <f>IF($I1043=0,0,$J1043*$H1043/100/12)</f>
      </c>
      <c r="M1043" s="43">
        <f>IF($I1043=0,0,IF(OR(INDEX(DarlOhneTilgung,3)=1,AND(INDEX(DarlTilgStart,3)&gt;0,$E1043&lt;INDEX(DarlTilgStart,3))),0,MIN(MAX(0,$K1043-$L1043),$J1043)))</f>
      </c>
      <c r="N1043" s="43">
        <f>IF($I1043=0,0,MIN(SUMIFS(SondBetrag,SondDarl,3,SondDatum,"&gt;="&amp;$E1043,SondDatum,"&lt;="&amp;EOMONTH($E1043,0)),$J1043-$M1043))</f>
      </c>
      <c r="O1043" s="43">
        <f>IF($I1043=0,0,INDEX(DarlErsatzRate,3))</f>
      </c>
      <c r="P1043" s="43">
        <f>IF($I1043=0,0,$Q1042*INDEX(DarlErsatzZins,3))</f>
      </c>
      <c r="Q1043" s="43">
        <f>IF($I1043=0,0,$Q1042+$P1043+$O1043)</f>
      </c>
      <c r="R1043" s="43">
        <f>IF($I1043=0,0,$J1043-$M1043-$N1043)</f>
      </c>
    </row>
    <row r="1044">
      <c r="A1044"/>
      <c r="B1044">
        <v>3</v>
      </c>
      <c r="C1044" s="43">
        <f>INDEX(DarlObj,3)</f>
      </c>
      <c r="D1044">
        <v>81</v>
      </c>
      <c r="E1044" s="51">
        <f>IF(INDEX(DarlBelegt,3)=0,0,EOMONTH(INDEX(DarlAuszahlung,3),80)+1)</f>
      </c>
      <c r="F1044" s="43">
        <f>IF($E1044=0,0,YEAR($E1044))</f>
      </c>
      <c r="G1044" s="43">
        <f>IF(INDEX(DarlBindung,3)="",1,IF($E1044&lt;=INDEX(DarlBindung,3),1,0))</f>
      </c>
      <c r="H1044" s="43">
        <f>IF($G1044=1,INDEX(DarlSollzins,3),INDEX(DarlAnschluss,3))</f>
      </c>
      <c r="I1044" s="43">
        <f>IF(INDEX(DarlBelegt,3)=0,0,IF(INDEX(DarlOhneTilgung,3)=1,IF(INDEX(DarlBindung,3)="",1,$G1044),IF($J1044&gt;0.005,1,0)))</f>
      </c>
      <c r="J1044" s="43">
        <f>IF($I1043=0,0,$R1043)</f>
      </c>
      <c r="K1044" s="43">
        <f>IF($I1044=0,0,IF(INDEX(DarlOhneTilgung,3)=1,0,IF(AND(INDEX(DarlTilgStart,3)&gt;0,$E1044=INDEX(DarlTilgStart,3)),$J1044*($H1044+INDEX(DarlTilgung,3))/100/12,IF(AND($G1044=0,$G1043=1),MAX($K1043,$J1044*($H1044+1)/100/12),$K1043))))</f>
      </c>
      <c r="L1044" s="43">
        <f>IF($I1044=0,0,$J1044*$H1044/100/12)</f>
      </c>
      <c r="M1044" s="43">
        <f>IF($I1044=0,0,IF(OR(INDEX(DarlOhneTilgung,3)=1,AND(INDEX(DarlTilgStart,3)&gt;0,$E1044&lt;INDEX(DarlTilgStart,3))),0,MIN(MAX(0,$K1044-$L1044),$J1044)))</f>
      </c>
      <c r="N1044" s="43">
        <f>IF($I1044=0,0,MIN(SUMIFS(SondBetrag,SondDarl,3,SondDatum,"&gt;="&amp;$E1044,SondDatum,"&lt;="&amp;EOMONTH($E1044,0)),$J1044-$M1044))</f>
      </c>
      <c r="O1044" s="43">
        <f>IF($I1044=0,0,INDEX(DarlErsatzRate,3))</f>
      </c>
      <c r="P1044" s="43">
        <f>IF($I1044=0,0,$Q1043*INDEX(DarlErsatzZins,3))</f>
      </c>
      <c r="Q1044" s="43">
        <f>IF($I1044=0,0,$Q1043+$P1044+$O1044)</f>
      </c>
      <c r="R1044" s="43">
        <f>IF($I1044=0,0,$J1044-$M1044-$N1044)</f>
      </c>
    </row>
    <row r="1045">
      <c r="A1045"/>
      <c r="B1045">
        <v>3</v>
      </c>
      <c r="C1045" s="43">
        <f>INDEX(DarlObj,3)</f>
      </c>
      <c r="D1045">
        <v>82</v>
      </c>
      <c r="E1045" s="51">
        <f>IF(INDEX(DarlBelegt,3)=0,0,EOMONTH(INDEX(DarlAuszahlung,3),81)+1)</f>
      </c>
      <c r="F1045" s="43">
        <f>IF($E1045=0,0,YEAR($E1045))</f>
      </c>
      <c r="G1045" s="43">
        <f>IF(INDEX(DarlBindung,3)="",1,IF($E1045&lt;=INDEX(DarlBindung,3),1,0))</f>
      </c>
      <c r="H1045" s="43">
        <f>IF($G1045=1,INDEX(DarlSollzins,3),INDEX(DarlAnschluss,3))</f>
      </c>
      <c r="I1045" s="43">
        <f>IF(INDEX(DarlBelegt,3)=0,0,IF(INDEX(DarlOhneTilgung,3)=1,IF(INDEX(DarlBindung,3)="",1,$G1045),IF($J1045&gt;0.005,1,0)))</f>
      </c>
      <c r="J1045" s="43">
        <f>IF($I1044=0,0,$R1044)</f>
      </c>
      <c r="K1045" s="43">
        <f>IF($I1045=0,0,IF(INDEX(DarlOhneTilgung,3)=1,0,IF(AND(INDEX(DarlTilgStart,3)&gt;0,$E1045=INDEX(DarlTilgStart,3)),$J1045*($H1045+INDEX(DarlTilgung,3))/100/12,IF(AND($G1045=0,$G1044=1),MAX($K1044,$J1045*($H1045+1)/100/12),$K1044))))</f>
      </c>
      <c r="L1045" s="43">
        <f>IF($I1045=0,0,$J1045*$H1045/100/12)</f>
      </c>
      <c r="M1045" s="43">
        <f>IF($I1045=0,0,IF(OR(INDEX(DarlOhneTilgung,3)=1,AND(INDEX(DarlTilgStart,3)&gt;0,$E1045&lt;INDEX(DarlTilgStart,3))),0,MIN(MAX(0,$K1045-$L1045),$J1045)))</f>
      </c>
      <c r="N1045" s="43">
        <f>IF($I1045=0,0,MIN(SUMIFS(SondBetrag,SondDarl,3,SondDatum,"&gt;="&amp;$E1045,SondDatum,"&lt;="&amp;EOMONTH($E1045,0)),$J1045-$M1045))</f>
      </c>
      <c r="O1045" s="43">
        <f>IF($I1045=0,0,INDEX(DarlErsatzRate,3))</f>
      </c>
      <c r="P1045" s="43">
        <f>IF($I1045=0,0,$Q1044*INDEX(DarlErsatzZins,3))</f>
      </c>
      <c r="Q1045" s="43">
        <f>IF($I1045=0,0,$Q1044+$P1045+$O1045)</f>
      </c>
      <c r="R1045" s="43">
        <f>IF($I1045=0,0,$J1045-$M1045-$N1045)</f>
      </c>
    </row>
    <row r="1046">
      <c r="A1046"/>
      <c r="B1046">
        <v>3</v>
      </c>
      <c r="C1046" s="43">
        <f>INDEX(DarlObj,3)</f>
      </c>
      <c r="D1046">
        <v>83</v>
      </c>
      <c r="E1046" s="51">
        <f>IF(INDEX(DarlBelegt,3)=0,0,EOMONTH(INDEX(DarlAuszahlung,3),82)+1)</f>
      </c>
      <c r="F1046" s="43">
        <f>IF($E1046=0,0,YEAR($E1046))</f>
      </c>
      <c r="G1046" s="43">
        <f>IF(INDEX(DarlBindung,3)="",1,IF($E1046&lt;=INDEX(DarlBindung,3),1,0))</f>
      </c>
      <c r="H1046" s="43">
        <f>IF($G1046=1,INDEX(DarlSollzins,3),INDEX(DarlAnschluss,3))</f>
      </c>
      <c r="I1046" s="43">
        <f>IF(INDEX(DarlBelegt,3)=0,0,IF(INDEX(DarlOhneTilgung,3)=1,IF(INDEX(DarlBindung,3)="",1,$G1046),IF($J1046&gt;0.005,1,0)))</f>
      </c>
      <c r="J1046" s="43">
        <f>IF($I1045=0,0,$R1045)</f>
      </c>
      <c r="K1046" s="43">
        <f>IF($I1046=0,0,IF(INDEX(DarlOhneTilgung,3)=1,0,IF(AND(INDEX(DarlTilgStart,3)&gt;0,$E1046=INDEX(DarlTilgStart,3)),$J1046*($H1046+INDEX(DarlTilgung,3))/100/12,IF(AND($G1046=0,$G1045=1),MAX($K1045,$J1046*($H1046+1)/100/12),$K1045))))</f>
      </c>
      <c r="L1046" s="43">
        <f>IF($I1046=0,0,$J1046*$H1046/100/12)</f>
      </c>
      <c r="M1046" s="43">
        <f>IF($I1046=0,0,IF(OR(INDEX(DarlOhneTilgung,3)=1,AND(INDEX(DarlTilgStart,3)&gt;0,$E1046&lt;INDEX(DarlTilgStart,3))),0,MIN(MAX(0,$K1046-$L1046),$J1046)))</f>
      </c>
      <c r="N1046" s="43">
        <f>IF($I1046=0,0,MIN(SUMIFS(SondBetrag,SondDarl,3,SondDatum,"&gt;="&amp;$E1046,SondDatum,"&lt;="&amp;EOMONTH($E1046,0)),$J1046-$M1046))</f>
      </c>
      <c r="O1046" s="43">
        <f>IF($I1046=0,0,INDEX(DarlErsatzRate,3))</f>
      </c>
      <c r="P1046" s="43">
        <f>IF($I1046=0,0,$Q1045*INDEX(DarlErsatzZins,3))</f>
      </c>
      <c r="Q1046" s="43">
        <f>IF($I1046=0,0,$Q1045+$P1046+$O1046)</f>
      </c>
      <c r="R1046" s="43">
        <f>IF($I1046=0,0,$J1046-$M1046-$N1046)</f>
      </c>
    </row>
    <row r="1047">
      <c r="A1047"/>
      <c r="B1047">
        <v>3</v>
      </c>
      <c r="C1047" s="43">
        <f>INDEX(DarlObj,3)</f>
      </c>
      <c r="D1047">
        <v>84</v>
      </c>
      <c r="E1047" s="51">
        <f>IF(INDEX(DarlBelegt,3)=0,0,EOMONTH(INDEX(DarlAuszahlung,3),83)+1)</f>
      </c>
      <c r="F1047" s="43">
        <f>IF($E1047=0,0,YEAR($E1047))</f>
      </c>
      <c r="G1047" s="43">
        <f>IF(INDEX(DarlBindung,3)="",1,IF($E1047&lt;=INDEX(DarlBindung,3),1,0))</f>
      </c>
      <c r="H1047" s="43">
        <f>IF($G1047=1,INDEX(DarlSollzins,3),INDEX(DarlAnschluss,3))</f>
      </c>
      <c r="I1047" s="43">
        <f>IF(INDEX(DarlBelegt,3)=0,0,IF(INDEX(DarlOhneTilgung,3)=1,IF(INDEX(DarlBindung,3)="",1,$G1047),IF($J1047&gt;0.005,1,0)))</f>
      </c>
      <c r="J1047" s="43">
        <f>IF($I1046=0,0,$R1046)</f>
      </c>
      <c r="K1047" s="43">
        <f>IF($I1047=0,0,IF(INDEX(DarlOhneTilgung,3)=1,0,IF(AND(INDEX(DarlTilgStart,3)&gt;0,$E1047=INDEX(DarlTilgStart,3)),$J1047*($H1047+INDEX(DarlTilgung,3))/100/12,IF(AND($G1047=0,$G1046=1),MAX($K1046,$J1047*($H1047+1)/100/12),$K1046))))</f>
      </c>
      <c r="L1047" s="43">
        <f>IF($I1047=0,0,$J1047*$H1047/100/12)</f>
      </c>
      <c r="M1047" s="43">
        <f>IF($I1047=0,0,IF(OR(INDEX(DarlOhneTilgung,3)=1,AND(INDEX(DarlTilgStart,3)&gt;0,$E1047&lt;INDEX(DarlTilgStart,3))),0,MIN(MAX(0,$K1047-$L1047),$J1047)))</f>
      </c>
      <c r="N1047" s="43">
        <f>IF($I1047=0,0,MIN(SUMIFS(SondBetrag,SondDarl,3,SondDatum,"&gt;="&amp;$E1047,SondDatum,"&lt;="&amp;EOMONTH($E1047,0)),$J1047-$M1047))</f>
      </c>
      <c r="O1047" s="43">
        <f>IF($I1047=0,0,INDEX(DarlErsatzRate,3))</f>
      </c>
      <c r="P1047" s="43">
        <f>IF($I1047=0,0,$Q1046*INDEX(DarlErsatzZins,3))</f>
      </c>
      <c r="Q1047" s="43">
        <f>IF($I1047=0,0,$Q1046+$P1047+$O1047)</f>
      </c>
      <c r="R1047" s="43">
        <f>IF($I1047=0,0,$J1047-$M1047-$N1047)</f>
      </c>
    </row>
    <row r="1048">
      <c r="A1048"/>
      <c r="B1048">
        <v>3</v>
      </c>
      <c r="C1048" s="43">
        <f>INDEX(DarlObj,3)</f>
      </c>
      <c r="D1048">
        <v>85</v>
      </c>
      <c r="E1048" s="51">
        <f>IF(INDEX(DarlBelegt,3)=0,0,EOMONTH(INDEX(DarlAuszahlung,3),84)+1)</f>
      </c>
      <c r="F1048" s="43">
        <f>IF($E1048=0,0,YEAR($E1048))</f>
      </c>
      <c r="G1048" s="43">
        <f>IF(INDEX(DarlBindung,3)="",1,IF($E1048&lt;=INDEX(DarlBindung,3),1,0))</f>
      </c>
      <c r="H1048" s="43">
        <f>IF($G1048=1,INDEX(DarlSollzins,3),INDEX(DarlAnschluss,3))</f>
      </c>
      <c r="I1048" s="43">
        <f>IF(INDEX(DarlBelegt,3)=0,0,IF(INDEX(DarlOhneTilgung,3)=1,IF(INDEX(DarlBindung,3)="",1,$G1048),IF($J1048&gt;0.005,1,0)))</f>
      </c>
      <c r="J1048" s="43">
        <f>IF($I1047=0,0,$R1047)</f>
      </c>
      <c r="K1048" s="43">
        <f>IF($I1048=0,0,IF(INDEX(DarlOhneTilgung,3)=1,0,IF(AND(INDEX(DarlTilgStart,3)&gt;0,$E1048=INDEX(DarlTilgStart,3)),$J1048*($H1048+INDEX(DarlTilgung,3))/100/12,IF(AND($G1048=0,$G1047=1),MAX($K1047,$J1048*($H1048+1)/100/12),$K1047))))</f>
      </c>
      <c r="L1048" s="43">
        <f>IF($I1048=0,0,$J1048*$H1048/100/12)</f>
      </c>
      <c r="M1048" s="43">
        <f>IF($I1048=0,0,IF(OR(INDEX(DarlOhneTilgung,3)=1,AND(INDEX(DarlTilgStart,3)&gt;0,$E1048&lt;INDEX(DarlTilgStart,3))),0,MIN(MAX(0,$K1048-$L1048),$J1048)))</f>
      </c>
      <c r="N1048" s="43">
        <f>IF($I1048=0,0,MIN(SUMIFS(SondBetrag,SondDarl,3,SondDatum,"&gt;="&amp;$E1048,SondDatum,"&lt;="&amp;EOMONTH($E1048,0)),$J1048-$M1048))</f>
      </c>
      <c r="O1048" s="43">
        <f>IF($I1048=0,0,INDEX(DarlErsatzRate,3))</f>
      </c>
      <c r="P1048" s="43">
        <f>IF($I1048=0,0,$Q1047*INDEX(DarlErsatzZins,3))</f>
      </c>
      <c r="Q1048" s="43">
        <f>IF($I1048=0,0,$Q1047+$P1048+$O1048)</f>
      </c>
      <c r="R1048" s="43">
        <f>IF($I1048=0,0,$J1048-$M1048-$N1048)</f>
      </c>
    </row>
    <row r="1049">
      <c r="A1049"/>
      <c r="B1049">
        <v>3</v>
      </c>
      <c r="C1049" s="43">
        <f>INDEX(DarlObj,3)</f>
      </c>
      <c r="D1049">
        <v>86</v>
      </c>
      <c r="E1049" s="51">
        <f>IF(INDEX(DarlBelegt,3)=0,0,EOMONTH(INDEX(DarlAuszahlung,3),85)+1)</f>
      </c>
      <c r="F1049" s="43">
        <f>IF($E1049=0,0,YEAR($E1049))</f>
      </c>
      <c r="G1049" s="43">
        <f>IF(INDEX(DarlBindung,3)="",1,IF($E1049&lt;=INDEX(DarlBindung,3),1,0))</f>
      </c>
      <c r="H1049" s="43">
        <f>IF($G1049=1,INDEX(DarlSollzins,3),INDEX(DarlAnschluss,3))</f>
      </c>
      <c r="I1049" s="43">
        <f>IF(INDEX(DarlBelegt,3)=0,0,IF(INDEX(DarlOhneTilgung,3)=1,IF(INDEX(DarlBindung,3)="",1,$G1049),IF($J1049&gt;0.005,1,0)))</f>
      </c>
      <c r="J1049" s="43">
        <f>IF($I1048=0,0,$R1048)</f>
      </c>
      <c r="K1049" s="43">
        <f>IF($I1049=0,0,IF(INDEX(DarlOhneTilgung,3)=1,0,IF(AND(INDEX(DarlTilgStart,3)&gt;0,$E1049=INDEX(DarlTilgStart,3)),$J1049*($H1049+INDEX(DarlTilgung,3))/100/12,IF(AND($G1049=0,$G1048=1),MAX($K1048,$J1049*($H1049+1)/100/12),$K1048))))</f>
      </c>
      <c r="L1049" s="43">
        <f>IF($I1049=0,0,$J1049*$H1049/100/12)</f>
      </c>
      <c r="M1049" s="43">
        <f>IF($I1049=0,0,IF(OR(INDEX(DarlOhneTilgung,3)=1,AND(INDEX(DarlTilgStart,3)&gt;0,$E1049&lt;INDEX(DarlTilgStart,3))),0,MIN(MAX(0,$K1049-$L1049),$J1049)))</f>
      </c>
      <c r="N1049" s="43">
        <f>IF($I1049=0,0,MIN(SUMIFS(SondBetrag,SondDarl,3,SondDatum,"&gt;="&amp;$E1049,SondDatum,"&lt;="&amp;EOMONTH($E1049,0)),$J1049-$M1049))</f>
      </c>
      <c r="O1049" s="43">
        <f>IF($I1049=0,0,INDEX(DarlErsatzRate,3))</f>
      </c>
      <c r="P1049" s="43">
        <f>IF($I1049=0,0,$Q1048*INDEX(DarlErsatzZins,3))</f>
      </c>
      <c r="Q1049" s="43">
        <f>IF($I1049=0,0,$Q1048+$P1049+$O1049)</f>
      </c>
      <c r="R1049" s="43">
        <f>IF($I1049=0,0,$J1049-$M1049-$N1049)</f>
      </c>
    </row>
    <row r="1050">
      <c r="A1050"/>
      <c r="B1050">
        <v>3</v>
      </c>
      <c r="C1050" s="43">
        <f>INDEX(DarlObj,3)</f>
      </c>
      <c r="D1050">
        <v>87</v>
      </c>
      <c r="E1050" s="51">
        <f>IF(INDEX(DarlBelegt,3)=0,0,EOMONTH(INDEX(DarlAuszahlung,3),86)+1)</f>
      </c>
      <c r="F1050" s="43">
        <f>IF($E1050=0,0,YEAR($E1050))</f>
      </c>
      <c r="G1050" s="43">
        <f>IF(INDEX(DarlBindung,3)="",1,IF($E1050&lt;=INDEX(DarlBindung,3),1,0))</f>
      </c>
      <c r="H1050" s="43">
        <f>IF($G1050=1,INDEX(DarlSollzins,3),INDEX(DarlAnschluss,3))</f>
      </c>
      <c r="I1050" s="43">
        <f>IF(INDEX(DarlBelegt,3)=0,0,IF(INDEX(DarlOhneTilgung,3)=1,IF(INDEX(DarlBindung,3)="",1,$G1050),IF($J1050&gt;0.005,1,0)))</f>
      </c>
      <c r="J1050" s="43">
        <f>IF($I1049=0,0,$R1049)</f>
      </c>
      <c r="K1050" s="43">
        <f>IF($I1050=0,0,IF(INDEX(DarlOhneTilgung,3)=1,0,IF(AND(INDEX(DarlTilgStart,3)&gt;0,$E1050=INDEX(DarlTilgStart,3)),$J1050*($H1050+INDEX(DarlTilgung,3))/100/12,IF(AND($G1050=0,$G1049=1),MAX($K1049,$J1050*($H1050+1)/100/12),$K1049))))</f>
      </c>
      <c r="L1050" s="43">
        <f>IF($I1050=0,0,$J1050*$H1050/100/12)</f>
      </c>
      <c r="M1050" s="43">
        <f>IF($I1050=0,0,IF(OR(INDEX(DarlOhneTilgung,3)=1,AND(INDEX(DarlTilgStart,3)&gt;0,$E1050&lt;INDEX(DarlTilgStart,3))),0,MIN(MAX(0,$K1050-$L1050),$J1050)))</f>
      </c>
      <c r="N1050" s="43">
        <f>IF($I1050=0,0,MIN(SUMIFS(SondBetrag,SondDarl,3,SondDatum,"&gt;="&amp;$E1050,SondDatum,"&lt;="&amp;EOMONTH($E1050,0)),$J1050-$M1050))</f>
      </c>
      <c r="O1050" s="43">
        <f>IF($I1050=0,0,INDEX(DarlErsatzRate,3))</f>
      </c>
      <c r="P1050" s="43">
        <f>IF($I1050=0,0,$Q1049*INDEX(DarlErsatzZins,3))</f>
      </c>
      <c r="Q1050" s="43">
        <f>IF($I1050=0,0,$Q1049+$P1050+$O1050)</f>
      </c>
      <c r="R1050" s="43">
        <f>IF($I1050=0,0,$J1050-$M1050-$N1050)</f>
      </c>
    </row>
    <row r="1051">
      <c r="A1051"/>
      <c r="B1051">
        <v>3</v>
      </c>
      <c r="C1051" s="43">
        <f>INDEX(DarlObj,3)</f>
      </c>
      <c r="D1051">
        <v>88</v>
      </c>
      <c r="E1051" s="51">
        <f>IF(INDEX(DarlBelegt,3)=0,0,EOMONTH(INDEX(DarlAuszahlung,3),87)+1)</f>
      </c>
      <c r="F1051" s="43">
        <f>IF($E1051=0,0,YEAR($E1051))</f>
      </c>
      <c r="G1051" s="43">
        <f>IF(INDEX(DarlBindung,3)="",1,IF($E1051&lt;=INDEX(DarlBindung,3),1,0))</f>
      </c>
      <c r="H1051" s="43">
        <f>IF($G1051=1,INDEX(DarlSollzins,3),INDEX(DarlAnschluss,3))</f>
      </c>
      <c r="I1051" s="43">
        <f>IF(INDEX(DarlBelegt,3)=0,0,IF(INDEX(DarlOhneTilgung,3)=1,IF(INDEX(DarlBindung,3)="",1,$G1051),IF($J1051&gt;0.005,1,0)))</f>
      </c>
      <c r="J1051" s="43">
        <f>IF($I1050=0,0,$R1050)</f>
      </c>
      <c r="K1051" s="43">
        <f>IF($I1051=0,0,IF(INDEX(DarlOhneTilgung,3)=1,0,IF(AND(INDEX(DarlTilgStart,3)&gt;0,$E1051=INDEX(DarlTilgStart,3)),$J1051*($H1051+INDEX(DarlTilgung,3))/100/12,IF(AND($G1051=0,$G1050=1),MAX($K1050,$J1051*($H1051+1)/100/12),$K1050))))</f>
      </c>
      <c r="L1051" s="43">
        <f>IF($I1051=0,0,$J1051*$H1051/100/12)</f>
      </c>
      <c r="M1051" s="43">
        <f>IF($I1051=0,0,IF(OR(INDEX(DarlOhneTilgung,3)=1,AND(INDEX(DarlTilgStart,3)&gt;0,$E1051&lt;INDEX(DarlTilgStart,3))),0,MIN(MAX(0,$K1051-$L1051),$J1051)))</f>
      </c>
      <c r="N1051" s="43">
        <f>IF($I1051=0,0,MIN(SUMIFS(SondBetrag,SondDarl,3,SondDatum,"&gt;="&amp;$E1051,SondDatum,"&lt;="&amp;EOMONTH($E1051,0)),$J1051-$M1051))</f>
      </c>
      <c r="O1051" s="43">
        <f>IF($I1051=0,0,INDEX(DarlErsatzRate,3))</f>
      </c>
      <c r="P1051" s="43">
        <f>IF($I1051=0,0,$Q1050*INDEX(DarlErsatzZins,3))</f>
      </c>
      <c r="Q1051" s="43">
        <f>IF($I1051=0,0,$Q1050+$P1051+$O1051)</f>
      </c>
      <c r="R1051" s="43">
        <f>IF($I1051=0,0,$J1051-$M1051-$N1051)</f>
      </c>
    </row>
    <row r="1052">
      <c r="A1052"/>
      <c r="B1052">
        <v>3</v>
      </c>
      <c r="C1052" s="43">
        <f>INDEX(DarlObj,3)</f>
      </c>
      <c r="D1052">
        <v>89</v>
      </c>
      <c r="E1052" s="51">
        <f>IF(INDEX(DarlBelegt,3)=0,0,EOMONTH(INDEX(DarlAuszahlung,3),88)+1)</f>
      </c>
      <c r="F1052" s="43">
        <f>IF($E1052=0,0,YEAR($E1052))</f>
      </c>
      <c r="G1052" s="43">
        <f>IF(INDEX(DarlBindung,3)="",1,IF($E1052&lt;=INDEX(DarlBindung,3),1,0))</f>
      </c>
      <c r="H1052" s="43">
        <f>IF($G1052=1,INDEX(DarlSollzins,3),INDEX(DarlAnschluss,3))</f>
      </c>
      <c r="I1052" s="43">
        <f>IF(INDEX(DarlBelegt,3)=0,0,IF(INDEX(DarlOhneTilgung,3)=1,IF(INDEX(DarlBindung,3)="",1,$G1052),IF($J1052&gt;0.005,1,0)))</f>
      </c>
      <c r="J1052" s="43">
        <f>IF($I1051=0,0,$R1051)</f>
      </c>
      <c r="K1052" s="43">
        <f>IF($I1052=0,0,IF(INDEX(DarlOhneTilgung,3)=1,0,IF(AND(INDEX(DarlTilgStart,3)&gt;0,$E1052=INDEX(DarlTilgStart,3)),$J1052*($H1052+INDEX(DarlTilgung,3))/100/12,IF(AND($G1052=0,$G1051=1),MAX($K1051,$J1052*($H1052+1)/100/12),$K1051))))</f>
      </c>
      <c r="L1052" s="43">
        <f>IF($I1052=0,0,$J1052*$H1052/100/12)</f>
      </c>
      <c r="M1052" s="43">
        <f>IF($I1052=0,0,IF(OR(INDEX(DarlOhneTilgung,3)=1,AND(INDEX(DarlTilgStart,3)&gt;0,$E1052&lt;INDEX(DarlTilgStart,3))),0,MIN(MAX(0,$K1052-$L1052),$J1052)))</f>
      </c>
      <c r="N1052" s="43">
        <f>IF($I1052=0,0,MIN(SUMIFS(SondBetrag,SondDarl,3,SondDatum,"&gt;="&amp;$E1052,SondDatum,"&lt;="&amp;EOMONTH($E1052,0)),$J1052-$M1052))</f>
      </c>
      <c r="O1052" s="43">
        <f>IF($I1052=0,0,INDEX(DarlErsatzRate,3))</f>
      </c>
      <c r="P1052" s="43">
        <f>IF($I1052=0,0,$Q1051*INDEX(DarlErsatzZins,3))</f>
      </c>
      <c r="Q1052" s="43">
        <f>IF($I1052=0,0,$Q1051+$P1052+$O1052)</f>
      </c>
      <c r="R1052" s="43">
        <f>IF($I1052=0,0,$J1052-$M1052-$N1052)</f>
      </c>
    </row>
    <row r="1053">
      <c r="A1053"/>
      <c r="B1053">
        <v>3</v>
      </c>
      <c r="C1053" s="43">
        <f>INDEX(DarlObj,3)</f>
      </c>
      <c r="D1053">
        <v>90</v>
      </c>
      <c r="E1053" s="51">
        <f>IF(INDEX(DarlBelegt,3)=0,0,EOMONTH(INDEX(DarlAuszahlung,3),89)+1)</f>
      </c>
      <c r="F1053" s="43">
        <f>IF($E1053=0,0,YEAR($E1053))</f>
      </c>
      <c r="G1053" s="43">
        <f>IF(INDEX(DarlBindung,3)="",1,IF($E1053&lt;=INDEX(DarlBindung,3),1,0))</f>
      </c>
      <c r="H1053" s="43">
        <f>IF($G1053=1,INDEX(DarlSollzins,3),INDEX(DarlAnschluss,3))</f>
      </c>
      <c r="I1053" s="43">
        <f>IF(INDEX(DarlBelegt,3)=0,0,IF(INDEX(DarlOhneTilgung,3)=1,IF(INDEX(DarlBindung,3)="",1,$G1053),IF($J1053&gt;0.005,1,0)))</f>
      </c>
      <c r="J1053" s="43">
        <f>IF($I1052=0,0,$R1052)</f>
      </c>
      <c r="K1053" s="43">
        <f>IF($I1053=0,0,IF(INDEX(DarlOhneTilgung,3)=1,0,IF(AND(INDEX(DarlTilgStart,3)&gt;0,$E1053=INDEX(DarlTilgStart,3)),$J1053*($H1053+INDEX(DarlTilgung,3))/100/12,IF(AND($G1053=0,$G1052=1),MAX($K1052,$J1053*($H1053+1)/100/12),$K1052))))</f>
      </c>
      <c r="L1053" s="43">
        <f>IF($I1053=0,0,$J1053*$H1053/100/12)</f>
      </c>
      <c r="M1053" s="43">
        <f>IF($I1053=0,0,IF(OR(INDEX(DarlOhneTilgung,3)=1,AND(INDEX(DarlTilgStart,3)&gt;0,$E1053&lt;INDEX(DarlTilgStart,3))),0,MIN(MAX(0,$K1053-$L1053),$J1053)))</f>
      </c>
      <c r="N1053" s="43">
        <f>IF($I1053=0,0,MIN(SUMIFS(SondBetrag,SondDarl,3,SondDatum,"&gt;="&amp;$E1053,SondDatum,"&lt;="&amp;EOMONTH($E1053,0)),$J1053-$M1053))</f>
      </c>
      <c r="O1053" s="43">
        <f>IF($I1053=0,0,INDEX(DarlErsatzRate,3))</f>
      </c>
      <c r="P1053" s="43">
        <f>IF($I1053=0,0,$Q1052*INDEX(DarlErsatzZins,3))</f>
      </c>
      <c r="Q1053" s="43">
        <f>IF($I1053=0,0,$Q1052+$P1053+$O1053)</f>
      </c>
      <c r="R1053" s="43">
        <f>IF($I1053=0,0,$J1053-$M1053-$N1053)</f>
      </c>
    </row>
    <row r="1054">
      <c r="A1054"/>
      <c r="B1054">
        <v>3</v>
      </c>
      <c r="C1054" s="43">
        <f>INDEX(DarlObj,3)</f>
      </c>
      <c r="D1054">
        <v>91</v>
      </c>
      <c r="E1054" s="51">
        <f>IF(INDEX(DarlBelegt,3)=0,0,EOMONTH(INDEX(DarlAuszahlung,3),90)+1)</f>
      </c>
      <c r="F1054" s="43">
        <f>IF($E1054=0,0,YEAR($E1054))</f>
      </c>
      <c r="G1054" s="43">
        <f>IF(INDEX(DarlBindung,3)="",1,IF($E1054&lt;=INDEX(DarlBindung,3),1,0))</f>
      </c>
      <c r="H1054" s="43">
        <f>IF($G1054=1,INDEX(DarlSollzins,3),INDEX(DarlAnschluss,3))</f>
      </c>
      <c r="I1054" s="43">
        <f>IF(INDEX(DarlBelegt,3)=0,0,IF(INDEX(DarlOhneTilgung,3)=1,IF(INDEX(DarlBindung,3)="",1,$G1054),IF($J1054&gt;0.005,1,0)))</f>
      </c>
      <c r="J1054" s="43">
        <f>IF($I1053=0,0,$R1053)</f>
      </c>
      <c r="K1054" s="43">
        <f>IF($I1054=0,0,IF(INDEX(DarlOhneTilgung,3)=1,0,IF(AND(INDEX(DarlTilgStart,3)&gt;0,$E1054=INDEX(DarlTilgStart,3)),$J1054*($H1054+INDEX(DarlTilgung,3))/100/12,IF(AND($G1054=0,$G1053=1),MAX($K1053,$J1054*($H1054+1)/100/12),$K1053))))</f>
      </c>
      <c r="L1054" s="43">
        <f>IF($I1054=0,0,$J1054*$H1054/100/12)</f>
      </c>
      <c r="M1054" s="43">
        <f>IF($I1054=0,0,IF(OR(INDEX(DarlOhneTilgung,3)=1,AND(INDEX(DarlTilgStart,3)&gt;0,$E1054&lt;INDEX(DarlTilgStart,3))),0,MIN(MAX(0,$K1054-$L1054),$J1054)))</f>
      </c>
      <c r="N1054" s="43">
        <f>IF($I1054=0,0,MIN(SUMIFS(SondBetrag,SondDarl,3,SondDatum,"&gt;="&amp;$E1054,SondDatum,"&lt;="&amp;EOMONTH($E1054,0)),$J1054-$M1054))</f>
      </c>
      <c r="O1054" s="43">
        <f>IF($I1054=0,0,INDEX(DarlErsatzRate,3))</f>
      </c>
      <c r="P1054" s="43">
        <f>IF($I1054=0,0,$Q1053*INDEX(DarlErsatzZins,3))</f>
      </c>
      <c r="Q1054" s="43">
        <f>IF($I1054=0,0,$Q1053+$P1054+$O1054)</f>
      </c>
      <c r="R1054" s="43">
        <f>IF($I1054=0,0,$J1054-$M1054-$N1054)</f>
      </c>
    </row>
    <row r="1055">
      <c r="A1055"/>
      <c r="B1055">
        <v>3</v>
      </c>
      <c r="C1055" s="43">
        <f>INDEX(DarlObj,3)</f>
      </c>
      <c r="D1055">
        <v>92</v>
      </c>
      <c r="E1055" s="51">
        <f>IF(INDEX(DarlBelegt,3)=0,0,EOMONTH(INDEX(DarlAuszahlung,3),91)+1)</f>
      </c>
      <c r="F1055" s="43">
        <f>IF($E1055=0,0,YEAR($E1055))</f>
      </c>
      <c r="G1055" s="43">
        <f>IF(INDEX(DarlBindung,3)="",1,IF($E1055&lt;=INDEX(DarlBindung,3),1,0))</f>
      </c>
      <c r="H1055" s="43">
        <f>IF($G1055=1,INDEX(DarlSollzins,3),INDEX(DarlAnschluss,3))</f>
      </c>
      <c r="I1055" s="43">
        <f>IF(INDEX(DarlBelegt,3)=0,0,IF(INDEX(DarlOhneTilgung,3)=1,IF(INDEX(DarlBindung,3)="",1,$G1055),IF($J1055&gt;0.005,1,0)))</f>
      </c>
      <c r="J1055" s="43">
        <f>IF($I1054=0,0,$R1054)</f>
      </c>
      <c r="K1055" s="43">
        <f>IF($I1055=0,0,IF(INDEX(DarlOhneTilgung,3)=1,0,IF(AND(INDEX(DarlTilgStart,3)&gt;0,$E1055=INDEX(DarlTilgStart,3)),$J1055*($H1055+INDEX(DarlTilgung,3))/100/12,IF(AND($G1055=0,$G1054=1),MAX($K1054,$J1055*($H1055+1)/100/12),$K1054))))</f>
      </c>
      <c r="L1055" s="43">
        <f>IF($I1055=0,0,$J1055*$H1055/100/12)</f>
      </c>
      <c r="M1055" s="43">
        <f>IF($I1055=0,0,IF(OR(INDEX(DarlOhneTilgung,3)=1,AND(INDEX(DarlTilgStart,3)&gt;0,$E1055&lt;INDEX(DarlTilgStart,3))),0,MIN(MAX(0,$K1055-$L1055),$J1055)))</f>
      </c>
      <c r="N1055" s="43">
        <f>IF($I1055=0,0,MIN(SUMIFS(SondBetrag,SondDarl,3,SondDatum,"&gt;="&amp;$E1055,SondDatum,"&lt;="&amp;EOMONTH($E1055,0)),$J1055-$M1055))</f>
      </c>
      <c r="O1055" s="43">
        <f>IF($I1055=0,0,INDEX(DarlErsatzRate,3))</f>
      </c>
      <c r="P1055" s="43">
        <f>IF($I1055=0,0,$Q1054*INDEX(DarlErsatzZins,3))</f>
      </c>
      <c r="Q1055" s="43">
        <f>IF($I1055=0,0,$Q1054+$P1055+$O1055)</f>
      </c>
      <c r="R1055" s="43">
        <f>IF($I1055=0,0,$J1055-$M1055-$N1055)</f>
      </c>
    </row>
    <row r="1056">
      <c r="A1056"/>
      <c r="B1056">
        <v>3</v>
      </c>
      <c r="C1056" s="43">
        <f>INDEX(DarlObj,3)</f>
      </c>
      <c r="D1056">
        <v>93</v>
      </c>
      <c r="E1056" s="51">
        <f>IF(INDEX(DarlBelegt,3)=0,0,EOMONTH(INDEX(DarlAuszahlung,3),92)+1)</f>
      </c>
      <c r="F1056" s="43">
        <f>IF($E1056=0,0,YEAR($E1056))</f>
      </c>
      <c r="G1056" s="43">
        <f>IF(INDEX(DarlBindung,3)="",1,IF($E1056&lt;=INDEX(DarlBindung,3),1,0))</f>
      </c>
      <c r="H1056" s="43">
        <f>IF($G1056=1,INDEX(DarlSollzins,3),INDEX(DarlAnschluss,3))</f>
      </c>
      <c r="I1056" s="43">
        <f>IF(INDEX(DarlBelegt,3)=0,0,IF(INDEX(DarlOhneTilgung,3)=1,IF(INDEX(DarlBindung,3)="",1,$G1056),IF($J1056&gt;0.005,1,0)))</f>
      </c>
      <c r="J1056" s="43">
        <f>IF($I1055=0,0,$R1055)</f>
      </c>
      <c r="K1056" s="43">
        <f>IF($I1056=0,0,IF(INDEX(DarlOhneTilgung,3)=1,0,IF(AND(INDEX(DarlTilgStart,3)&gt;0,$E1056=INDEX(DarlTilgStart,3)),$J1056*($H1056+INDEX(DarlTilgung,3))/100/12,IF(AND($G1056=0,$G1055=1),MAX($K1055,$J1056*($H1056+1)/100/12),$K1055))))</f>
      </c>
      <c r="L1056" s="43">
        <f>IF($I1056=0,0,$J1056*$H1056/100/12)</f>
      </c>
      <c r="M1056" s="43">
        <f>IF($I1056=0,0,IF(OR(INDEX(DarlOhneTilgung,3)=1,AND(INDEX(DarlTilgStart,3)&gt;0,$E1056&lt;INDEX(DarlTilgStart,3))),0,MIN(MAX(0,$K1056-$L1056),$J1056)))</f>
      </c>
      <c r="N1056" s="43">
        <f>IF($I1056=0,0,MIN(SUMIFS(SondBetrag,SondDarl,3,SondDatum,"&gt;="&amp;$E1056,SondDatum,"&lt;="&amp;EOMONTH($E1056,0)),$J1056-$M1056))</f>
      </c>
      <c r="O1056" s="43">
        <f>IF($I1056=0,0,INDEX(DarlErsatzRate,3))</f>
      </c>
      <c r="P1056" s="43">
        <f>IF($I1056=0,0,$Q1055*INDEX(DarlErsatzZins,3))</f>
      </c>
      <c r="Q1056" s="43">
        <f>IF($I1056=0,0,$Q1055+$P1056+$O1056)</f>
      </c>
      <c r="R1056" s="43">
        <f>IF($I1056=0,0,$J1056-$M1056-$N1056)</f>
      </c>
    </row>
    <row r="1057">
      <c r="A1057"/>
      <c r="B1057">
        <v>3</v>
      </c>
      <c r="C1057" s="43">
        <f>INDEX(DarlObj,3)</f>
      </c>
      <c r="D1057">
        <v>94</v>
      </c>
      <c r="E1057" s="51">
        <f>IF(INDEX(DarlBelegt,3)=0,0,EOMONTH(INDEX(DarlAuszahlung,3),93)+1)</f>
      </c>
      <c r="F1057" s="43">
        <f>IF($E1057=0,0,YEAR($E1057))</f>
      </c>
      <c r="G1057" s="43">
        <f>IF(INDEX(DarlBindung,3)="",1,IF($E1057&lt;=INDEX(DarlBindung,3),1,0))</f>
      </c>
      <c r="H1057" s="43">
        <f>IF($G1057=1,INDEX(DarlSollzins,3),INDEX(DarlAnschluss,3))</f>
      </c>
      <c r="I1057" s="43">
        <f>IF(INDEX(DarlBelegt,3)=0,0,IF(INDEX(DarlOhneTilgung,3)=1,IF(INDEX(DarlBindung,3)="",1,$G1057),IF($J1057&gt;0.005,1,0)))</f>
      </c>
      <c r="J1057" s="43">
        <f>IF($I1056=0,0,$R1056)</f>
      </c>
      <c r="K1057" s="43">
        <f>IF($I1057=0,0,IF(INDEX(DarlOhneTilgung,3)=1,0,IF(AND(INDEX(DarlTilgStart,3)&gt;0,$E1057=INDEX(DarlTilgStart,3)),$J1057*($H1057+INDEX(DarlTilgung,3))/100/12,IF(AND($G1057=0,$G1056=1),MAX($K1056,$J1057*($H1057+1)/100/12),$K1056))))</f>
      </c>
      <c r="L1057" s="43">
        <f>IF($I1057=0,0,$J1057*$H1057/100/12)</f>
      </c>
      <c r="M1057" s="43">
        <f>IF($I1057=0,0,IF(OR(INDEX(DarlOhneTilgung,3)=1,AND(INDEX(DarlTilgStart,3)&gt;0,$E1057&lt;INDEX(DarlTilgStart,3))),0,MIN(MAX(0,$K1057-$L1057),$J1057)))</f>
      </c>
      <c r="N1057" s="43">
        <f>IF($I1057=0,0,MIN(SUMIFS(SondBetrag,SondDarl,3,SondDatum,"&gt;="&amp;$E1057,SondDatum,"&lt;="&amp;EOMONTH($E1057,0)),$J1057-$M1057))</f>
      </c>
      <c r="O1057" s="43">
        <f>IF($I1057=0,0,INDEX(DarlErsatzRate,3))</f>
      </c>
      <c r="P1057" s="43">
        <f>IF($I1057=0,0,$Q1056*INDEX(DarlErsatzZins,3))</f>
      </c>
      <c r="Q1057" s="43">
        <f>IF($I1057=0,0,$Q1056+$P1057+$O1057)</f>
      </c>
      <c r="R1057" s="43">
        <f>IF($I1057=0,0,$J1057-$M1057-$N1057)</f>
      </c>
    </row>
    <row r="1058">
      <c r="A1058"/>
      <c r="B1058">
        <v>3</v>
      </c>
      <c r="C1058" s="43">
        <f>INDEX(DarlObj,3)</f>
      </c>
      <c r="D1058">
        <v>95</v>
      </c>
      <c r="E1058" s="51">
        <f>IF(INDEX(DarlBelegt,3)=0,0,EOMONTH(INDEX(DarlAuszahlung,3),94)+1)</f>
      </c>
      <c r="F1058" s="43">
        <f>IF($E1058=0,0,YEAR($E1058))</f>
      </c>
      <c r="G1058" s="43">
        <f>IF(INDEX(DarlBindung,3)="",1,IF($E1058&lt;=INDEX(DarlBindung,3),1,0))</f>
      </c>
      <c r="H1058" s="43">
        <f>IF($G1058=1,INDEX(DarlSollzins,3),INDEX(DarlAnschluss,3))</f>
      </c>
      <c r="I1058" s="43">
        <f>IF(INDEX(DarlBelegt,3)=0,0,IF(INDEX(DarlOhneTilgung,3)=1,IF(INDEX(DarlBindung,3)="",1,$G1058),IF($J1058&gt;0.005,1,0)))</f>
      </c>
      <c r="J1058" s="43">
        <f>IF($I1057=0,0,$R1057)</f>
      </c>
      <c r="K1058" s="43">
        <f>IF($I1058=0,0,IF(INDEX(DarlOhneTilgung,3)=1,0,IF(AND(INDEX(DarlTilgStart,3)&gt;0,$E1058=INDEX(DarlTilgStart,3)),$J1058*($H1058+INDEX(DarlTilgung,3))/100/12,IF(AND($G1058=0,$G1057=1),MAX($K1057,$J1058*($H1058+1)/100/12),$K1057))))</f>
      </c>
      <c r="L1058" s="43">
        <f>IF($I1058=0,0,$J1058*$H1058/100/12)</f>
      </c>
      <c r="M1058" s="43">
        <f>IF($I1058=0,0,IF(OR(INDEX(DarlOhneTilgung,3)=1,AND(INDEX(DarlTilgStart,3)&gt;0,$E1058&lt;INDEX(DarlTilgStart,3))),0,MIN(MAX(0,$K1058-$L1058),$J1058)))</f>
      </c>
      <c r="N1058" s="43">
        <f>IF($I1058=0,0,MIN(SUMIFS(SondBetrag,SondDarl,3,SondDatum,"&gt;="&amp;$E1058,SondDatum,"&lt;="&amp;EOMONTH($E1058,0)),$J1058-$M1058))</f>
      </c>
      <c r="O1058" s="43">
        <f>IF($I1058=0,0,INDEX(DarlErsatzRate,3))</f>
      </c>
      <c r="P1058" s="43">
        <f>IF($I1058=0,0,$Q1057*INDEX(DarlErsatzZins,3))</f>
      </c>
      <c r="Q1058" s="43">
        <f>IF($I1058=0,0,$Q1057+$P1058+$O1058)</f>
      </c>
      <c r="R1058" s="43">
        <f>IF($I1058=0,0,$J1058-$M1058-$N1058)</f>
      </c>
    </row>
    <row r="1059">
      <c r="A1059"/>
      <c r="B1059">
        <v>3</v>
      </c>
      <c r="C1059" s="43">
        <f>INDEX(DarlObj,3)</f>
      </c>
      <c r="D1059">
        <v>96</v>
      </c>
      <c r="E1059" s="51">
        <f>IF(INDEX(DarlBelegt,3)=0,0,EOMONTH(INDEX(DarlAuszahlung,3),95)+1)</f>
      </c>
      <c r="F1059" s="43">
        <f>IF($E1059=0,0,YEAR($E1059))</f>
      </c>
      <c r="G1059" s="43">
        <f>IF(INDEX(DarlBindung,3)="",1,IF($E1059&lt;=INDEX(DarlBindung,3),1,0))</f>
      </c>
      <c r="H1059" s="43">
        <f>IF($G1059=1,INDEX(DarlSollzins,3),INDEX(DarlAnschluss,3))</f>
      </c>
      <c r="I1059" s="43">
        <f>IF(INDEX(DarlBelegt,3)=0,0,IF(INDEX(DarlOhneTilgung,3)=1,IF(INDEX(DarlBindung,3)="",1,$G1059),IF($J1059&gt;0.005,1,0)))</f>
      </c>
      <c r="J1059" s="43">
        <f>IF($I1058=0,0,$R1058)</f>
      </c>
      <c r="K1059" s="43">
        <f>IF($I1059=0,0,IF(INDEX(DarlOhneTilgung,3)=1,0,IF(AND(INDEX(DarlTilgStart,3)&gt;0,$E1059=INDEX(DarlTilgStart,3)),$J1059*($H1059+INDEX(DarlTilgung,3))/100/12,IF(AND($G1059=0,$G1058=1),MAX($K1058,$J1059*($H1059+1)/100/12),$K1058))))</f>
      </c>
      <c r="L1059" s="43">
        <f>IF($I1059=0,0,$J1059*$H1059/100/12)</f>
      </c>
      <c r="M1059" s="43">
        <f>IF($I1059=0,0,IF(OR(INDEX(DarlOhneTilgung,3)=1,AND(INDEX(DarlTilgStart,3)&gt;0,$E1059&lt;INDEX(DarlTilgStart,3))),0,MIN(MAX(0,$K1059-$L1059),$J1059)))</f>
      </c>
      <c r="N1059" s="43">
        <f>IF($I1059=0,0,MIN(SUMIFS(SondBetrag,SondDarl,3,SondDatum,"&gt;="&amp;$E1059,SondDatum,"&lt;="&amp;EOMONTH($E1059,0)),$J1059-$M1059))</f>
      </c>
      <c r="O1059" s="43">
        <f>IF($I1059=0,0,INDEX(DarlErsatzRate,3))</f>
      </c>
      <c r="P1059" s="43">
        <f>IF($I1059=0,0,$Q1058*INDEX(DarlErsatzZins,3))</f>
      </c>
      <c r="Q1059" s="43">
        <f>IF($I1059=0,0,$Q1058+$P1059+$O1059)</f>
      </c>
      <c r="R1059" s="43">
        <f>IF($I1059=0,0,$J1059-$M1059-$N1059)</f>
      </c>
    </row>
    <row r="1060">
      <c r="A1060"/>
      <c r="B1060">
        <v>3</v>
      </c>
      <c r="C1060" s="43">
        <f>INDEX(DarlObj,3)</f>
      </c>
      <c r="D1060">
        <v>97</v>
      </c>
      <c r="E1060" s="51">
        <f>IF(INDEX(DarlBelegt,3)=0,0,EOMONTH(INDEX(DarlAuszahlung,3),96)+1)</f>
      </c>
      <c r="F1060" s="43">
        <f>IF($E1060=0,0,YEAR($E1060))</f>
      </c>
      <c r="G1060" s="43">
        <f>IF(INDEX(DarlBindung,3)="",1,IF($E1060&lt;=INDEX(DarlBindung,3),1,0))</f>
      </c>
      <c r="H1060" s="43">
        <f>IF($G1060=1,INDEX(DarlSollzins,3),INDEX(DarlAnschluss,3))</f>
      </c>
      <c r="I1060" s="43">
        <f>IF(INDEX(DarlBelegt,3)=0,0,IF(INDEX(DarlOhneTilgung,3)=1,IF(INDEX(DarlBindung,3)="",1,$G1060),IF($J1060&gt;0.005,1,0)))</f>
      </c>
      <c r="J1060" s="43">
        <f>IF($I1059=0,0,$R1059)</f>
      </c>
      <c r="K1060" s="43">
        <f>IF($I1060=0,0,IF(INDEX(DarlOhneTilgung,3)=1,0,IF(AND(INDEX(DarlTilgStart,3)&gt;0,$E1060=INDEX(DarlTilgStart,3)),$J1060*($H1060+INDEX(DarlTilgung,3))/100/12,IF(AND($G1060=0,$G1059=1),MAX($K1059,$J1060*($H1060+1)/100/12),$K1059))))</f>
      </c>
      <c r="L1060" s="43">
        <f>IF($I1060=0,0,$J1060*$H1060/100/12)</f>
      </c>
      <c r="M1060" s="43">
        <f>IF($I1060=0,0,IF(OR(INDEX(DarlOhneTilgung,3)=1,AND(INDEX(DarlTilgStart,3)&gt;0,$E1060&lt;INDEX(DarlTilgStart,3))),0,MIN(MAX(0,$K1060-$L1060),$J1060)))</f>
      </c>
      <c r="N1060" s="43">
        <f>IF($I1060=0,0,MIN(SUMIFS(SondBetrag,SondDarl,3,SondDatum,"&gt;="&amp;$E1060,SondDatum,"&lt;="&amp;EOMONTH($E1060,0)),$J1060-$M1060))</f>
      </c>
      <c r="O1060" s="43">
        <f>IF($I1060=0,0,INDEX(DarlErsatzRate,3))</f>
      </c>
      <c r="P1060" s="43">
        <f>IF($I1060=0,0,$Q1059*INDEX(DarlErsatzZins,3))</f>
      </c>
      <c r="Q1060" s="43">
        <f>IF($I1060=0,0,$Q1059+$P1060+$O1060)</f>
      </c>
      <c r="R1060" s="43">
        <f>IF($I1060=0,0,$J1060-$M1060-$N1060)</f>
      </c>
    </row>
    <row r="1061">
      <c r="A1061"/>
      <c r="B1061">
        <v>3</v>
      </c>
      <c r="C1061" s="43">
        <f>INDEX(DarlObj,3)</f>
      </c>
      <c r="D1061">
        <v>98</v>
      </c>
      <c r="E1061" s="51">
        <f>IF(INDEX(DarlBelegt,3)=0,0,EOMONTH(INDEX(DarlAuszahlung,3),97)+1)</f>
      </c>
      <c r="F1061" s="43">
        <f>IF($E1061=0,0,YEAR($E1061))</f>
      </c>
      <c r="G1061" s="43">
        <f>IF(INDEX(DarlBindung,3)="",1,IF($E1061&lt;=INDEX(DarlBindung,3),1,0))</f>
      </c>
      <c r="H1061" s="43">
        <f>IF($G1061=1,INDEX(DarlSollzins,3),INDEX(DarlAnschluss,3))</f>
      </c>
      <c r="I1061" s="43">
        <f>IF(INDEX(DarlBelegt,3)=0,0,IF(INDEX(DarlOhneTilgung,3)=1,IF(INDEX(DarlBindung,3)="",1,$G1061),IF($J1061&gt;0.005,1,0)))</f>
      </c>
      <c r="J1061" s="43">
        <f>IF($I1060=0,0,$R1060)</f>
      </c>
      <c r="K1061" s="43">
        <f>IF($I1061=0,0,IF(INDEX(DarlOhneTilgung,3)=1,0,IF(AND(INDEX(DarlTilgStart,3)&gt;0,$E1061=INDEX(DarlTilgStart,3)),$J1061*($H1061+INDEX(DarlTilgung,3))/100/12,IF(AND($G1061=0,$G1060=1),MAX($K1060,$J1061*($H1061+1)/100/12),$K1060))))</f>
      </c>
      <c r="L1061" s="43">
        <f>IF($I1061=0,0,$J1061*$H1061/100/12)</f>
      </c>
      <c r="M1061" s="43">
        <f>IF($I1061=0,0,IF(OR(INDEX(DarlOhneTilgung,3)=1,AND(INDEX(DarlTilgStart,3)&gt;0,$E1061&lt;INDEX(DarlTilgStart,3))),0,MIN(MAX(0,$K1061-$L1061),$J1061)))</f>
      </c>
      <c r="N1061" s="43">
        <f>IF($I1061=0,0,MIN(SUMIFS(SondBetrag,SondDarl,3,SondDatum,"&gt;="&amp;$E1061,SondDatum,"&lt;="&amp;EOMONTH($E1061,0)),$J1061-$M1061))</f>
      </c>
      <c r="O1061" s="43">
        <f>IF($I1061=0,0,INDEX(DarlErsatzRate,3))</f>
      </c>
      <c r="P1061" s="43">
        <f>IF($I1061=0,0,$Q1060*INDEX(DarlErsatzZins,3))</f>
      </c>
      <c r="Q1061" s="43">
        <f>IF($I1061=0,0,$Q1060+$P1061+$O1061)</f>
      </c>
      <c r="R1061" s="43">
        <f>IF($I1061=0,0,$J1061-$M1061-$N1061)</f>
      </c>
    </row>
    <row r="1062">
      <c r="A1062"/>
      <c r="B1062">
        <v>3</v>
      </c>
      <c r="C1062" s="43">
        <f>INDEX(DarlObj,3)</f>
      </c>
      <c r="D1062">
        <v>99</v>
      </c>
      <c r="E1062" s="51">
        <f>IF(INDEX(DarlBelegt,3)=0,0,EOMONTH(INDEX(DarlAuszahlung,3),98)+1)</f>
      </c>
      <c r="F1062" s="43">
        <f>IF($E1062=0,0,YEAR($E1062))</f>
      </c>
      <c r="G1062" s="43">
        <f>IF(INDEX(DarlBindung,3)="",1,IF($E1062&lt;=INDEX(DarlBindung,3),1,0))</f>
      </c>
      <c r="H1062" s="43">
        <f>IF($G1062=1,INDEX(DarlSollzins,3),INDEX(DarlAnschluss,3))</f>
      </c>
      <c r="I1062" s="43">
        <f>IF(INDEX(DarlBelegt,3)=0,0,IF(INDEX(DarlOhneTilgung,3)=1,IF(INDEX(DarlBindung,3)="",1,$G1062),IF($J1062&gt;0.005,1,0)))</f>
      </c>
      <c r="J1062" s="43">
        <f>IF($I1061=0,0,$R1061)</f>
      </c>
      <c r="K1062" s="43">
        <f>IF($I1062=0,0,IF(INDEX(DarlOhneTilgung,3)=1,0,IF(AND(INDEX(DarlTilgStart,3)&gt;0,$E1062=INDEX(DarlTilgStart,3)),$J1062*($H1062+INDEX(DarlTilgung,3))/100/12,IF(AND($G1062=0,$G1061=1),MAX($K1061,$J1062*($H1062+1)/100/12),$K1061))))</f>
      </c>
      <c r="L1062" s="43">
        <f>IF($I1062=0,0,$J1062*$H1062/100/12)</f>
      </c>
      <c r="M1062" s="43">
        <f>IF($I1062=0,0,IF(OR(INDEX(DarlOhneTilgung,3)=1,AND(INDEX(DarlTilgStart,3)&gt;0,$E1062&lt;INDEX(DarlTilgStart,3))),0,MIN(MAX(0,$K1062-$L1062),$J1062)))</f>
      </c>
      <c r="N1062" s="43">
        <f>IF($I1062=0,0,MIN(SUMIFS(SondBetrag,SondDarl,3,SondDatum,"&gt;="&amp;$E1062,SondDatum,"&lt;="&amp;EOMONTH($E1062,0)),$J1062-$M1062))</f>
      </c>
      <c r="O1062" s="43">
        <f>IF($I1062=0,0,INDEX(DarlErsatzRate,3))</f>
      </c>
      <c r="P1062" s="43">
        <f>IF($I1062=0,0,$Q1061*INDEX(DarlErsatzZins,3))</f>
      </c>
      <c r="Q1062" s="43">
        <f>IF($I1062=0,0,$Q1061+$P1062+$O1062)</f>
      </c>
      <c r="R1062" s="43">
        <f>IF($I1062=0,0,$J1062-$M1062-$N1062)</f>
      </c>
    </row>
    <row r="1063">
      <c r="A1063"/>
      <c r="B1063">
        <v>3</v>
      </c>
      <c r="C1063" s="43">
        <f>INDEX(DarlObj,3)</f>
      </c>
      <c r="D1063">
        <v>100</v>
      </c>
      <c r="E1063" s="51">
        <f>IF(INDEX(DarlBelegt,3)=0,0,EOMONTH(INDEX(DarlAuszahlung,3),99)+1)</f>
      </c>
      <c r="F1063" s="43">
        <f>IF($E1063=0,0,YEAR($E1063))</f>
      </c>
      <c r="G1063" s="43">
        <f>IF(INDEX(DarlBindung,3)="",1,IF($E1063&lt;=INDEX(DarlBindung,3),1,0))</f>
      </c>
      <c r="H1063" s="43">
        <f>IF($G1063=1,INDEX(DarlSollzins,3),INDEX(DarlAnschluss,3))</f>
      </c>
      <c r="I1063" s="43">
        <f>IF(INDEX(DarlBelegt,3)=0,0,IF(INDEX(DarlOhneTilgung,3)=1,IF(INDEX(DarlBindung,3)="",1,$G1063),IF($J1063&gt;0.005,1,0)))</f>
      </c>
      <c r="J1063" s="43">
        <f>IF($I1062=0,0,$R1062)</f>
      </c>
      <c r="K1063" s="43">
        <f>IF($I1063=0,0,IF(INDEX(DarlOhneTilgung,3)=1,0,IF(AND(INDEX(DarlTilgStart,3)&gt;0,$E1063=INDEX(DarlTilgStart,3)),$J1063*($H1063+INDEX(DarlTilgung,3))/100/12,IF(AND($G1063=0,$G1062=1),MAX($K1062,$J1063*($H1063+1)/100/12),$K1062))))</f>
      </c>
      <c r="L1063" s="43">
        <f>IF($I1063=0,0,$J1063*$H1063/100/12)</f>
      </c>
      <c r="M1063" s="43">
        <f>IF($I1063=0,0,IF(OR(INDEX(DarlOhneTilgung,3)=1,AND(INDEX(DarlTilgStart,3)&gt;0,$E1063&lt;INDEX(DarlTilgStart,3))),0,MIN(MAX(0,$K1063-$L1063),$J1063)))</f>
      </c>
      <c r="N1063" s="43">
        <f>IF($I1063=0,0,MIN(SUMIFS(SondBetrag,SondDarl,3,SondDatum,"&gt;="&amp;$E1063,SondDatum,"&lt;="&amp;EOMONTH($E1063,0)),$J1063-$M1063))</f>
      </c>
      <c r="O1063" s="43">
        <f>IF($I1063=0,0,INDEX(DarlErsatzRate,3))</f>
      </c>
      <c r="P1063" s="43">
        <f>IF($I1063=0,0,$Q1062*INDEX(DarlErsatzZins,3))</f>
      </c>
      <c r="Q1063" s="43">
        <f>IF($I1063=0,0,$Q1062+$P1063+$O1063)</f>
      </c>
      <c r="R1063" s="43">
        <f>IF($I1063=0,0,$J1063-$M1063-$N1063)</f>
      </c>
    </row>
    <row r="1064">
      <c r="A1064"/>
      <c r="B1064">
        <v>3</v>
      </c>
      <c r="C1064" s="43">
        <f>INDEX(DarlObj,3)</f>
      </c>
      <c r="D1064">
        <v>101</v>
      </c>
      <c r="E1064" s="51">
        <f>IF(INDEX(DarlBelegt,3)=0,0,EOMONTH(INDEX(DarlAuszahlung,3),100)+1)</f>
      </c>
      <c r="F1064" s="43">
        <f>IF($E1064=0,0,YEAR($E1064))</f>
      </c>
      <c r="G1064" s="43">
        <f>IF(INDEX(DarlBindung,3)="",1,IF($E1064&lt;=INDEX(DarlBindung,3),1,0))</f>
      </c>
      <c r="H1064" s="43">
        <f>IF($G1064=1,INDEX(DarlSollzins,3),INDEX(DarlAnschluss,3))</f>
      </c>
      <c r="I1064" s="43">
        <f>IF(INDEX(DarlBelegt,3)=0,0,IF(INDEX(DarlOhneTilgung,3)=1,IF(INDEX(DarlBindung,3)="",1,$G1064),IF($J1064&gt;0.005,1,0)))</f>
      </c>
      <c r="J1064" s="43">
        <f>IF($I1063=0,0,$R1063)</f>
      </c>
      <c r="K1064" s="43">
        <f>IF($I1064=0,0,IF(INDEX(DarlOhneTilgung,3)=1,0,IF(AND(INDEX(DarlTilgStart,3)&gt;0,$E1064=INDEX(DarlTilgStart,3)),$J1064*($H1064+INDEX(DarlTilgung,3))/100/12,IF(AND($G1064=0,$G1063=1),MAX($K1063,$J1064*($H1064+1)/100/12),$K1063))))</f>
      </c>
      <c r="L1064" s="43">
        <f>IF($I1064=0,0,$J1064*$H1064/100/12)</f>
      </c>
      <c r="M1064" s="43">
        <f>IF($I1064=0,0,IF(OR(INDEX(DarlOhneTilgung,3)=1,AND(INDEX(DarlTilgStart,3)&gt;0,$E1064&lt;INDEX(DarlTilgStart,3))),0,MIN(MAX(0,$K1064-$L1064),$J1064)))</f>
      </c>
      <c r="N1064" s="43">
        <f>IF($I1064=0,0,MIN(SUMIFS(SondBetrag,SondDarl,3,SondDatum,"&gt;="&amp;$E1064,SondDatum,"&lt;="&amp;EOMONTH($E1064,0)),$J1064-$M1064))</f>
      </c>
      <c r="O1064" s="43">
        <f>IF($I1064=0,0,INDEX(DarlErsatzRate,3))</f>
      </c>
      <c r="P1064" s="43">
        <f>IF($I1064=0,0,$Q1063*INDEX(DarlErsatzZins,3))</f>
      </c>
      <c r="Q1064" s="43">
        <f>IF($I1064=0,0,$Q1063+$P1064+$O1064)</f>
      </c>
      <c r="R1064" s="43">
        <f>IF($I1064=0,0,$J1064-$M1064-$N1064)</f>
      </c>
    </row>
    <row r="1065">
      <c r="A1065"/>
      <c r="B1065">
        <v>3</v>
      </c>
      <c r="C1065" s="43">
        <f>INDEX(DarlObj,3)</f>
      </c>
      <c r="D1065">
        <v>102</v>
      </c>
      <c r="E1065" s="51">
        <f>IF(INDEX(DarlBelegt,3)=0,0,EOMONTH(INDEX(DarlAuszahlung,3),101)+1)</f>
      </c>
      <c r="F1065" s="43">
        <f>IF($E1065=0,0,YEAR($E1065))</f>
      </c>
      <c r="G1065" s="43">
        <f>IF(INDEX(DarlBindung,3)="",1,IF($E1065&lt;=INDEX(DarlBindung,3),1,0))</f>
      </c>
      <c r="H1065" s="43">
        <f>IF($G1065=1,INDEX(DarlSollzins,3),INDEX(DarlAnschluss,3))</f>
      </c>
      <c r="I1065" s="43">
        <f>IF(INDEX(DarlBelegt,3)=0,0,IF(INDEX(DarlOhneTilgung,3)=1,IF(INDEX(DarlBindung,3)="",1,$G1065),IF($J1065&gt;0.005,1,0)))</f>
      </c>
      <c r="J1065" s="43">
        <f>IF($I1064=0,0,$R1064)</f>
      </c>
      <c r="K1065" s="43">
        <f>IF($I1065=0,0,IF(INDEX(DarlOhneTilgung,3)=1,0,IF(AND(INDEX(DarlTilgStart,3)&gt;0,$E1065=INDEX(DarlTilgStart,3)),$J1065*($H1065+INDEX(DarlTilgung,3))/100/12,IF(AND($G1065=0,$G1064=1),MAX($K1064,$J1065*($H1065+1)/100/12),$K1064))))</f>
      </c>
      <c r="L1065" s="43">
        <f>IF($I1065=0,0,$J1065*$H1065/100/12)</f>
      </c>
      <c r="M1065" s="43">
        <f>IF($I1065=0,0,IF(OR(INDEX(DarlOhneTilgung,3)=1,AND(INDEX(DarlTilgStart,3)&gt;0,$E1065&lt;INDEX(DarlTilgStart,3))),0,MIN(MAX(0,$K1065-$L1065),$J1065)))</f>
      </c>
      <c r="N1065" s="43">
        <f>IF($I1065=0,0,MIN(SUMIFS(SondBetrag,SondDarl,3,SondDatum,"&gt;="&amp;$E1065,SondDatum,"&lt;="&amp;EOMONTH($E1065,0)),$J1065-$M1065))</f>
      </c>
      <c r="O1065" s="43">
        <f>IF($I1065=0,0,INDEX(DarlErsatzRate,3))</f>
      </c>
      <c r="P1065" s="43">
        <f>IF($I1065=0,0,$Q1064*INDEX(DarlErsatzZins,3))</f>
      </c>
      <c r="Q1065" s="43">
        <f>IF($I1065=0,0,$Q1064+$P1065+$O1065)</f>
      </c>
      <c r="R1065" s="43">
        <f>IF($I1065=0,0,$J1065-$M1065-$N1065)</f>
      </c>
    </row>
    <row r="1066">
      <c r="A1066"/>
      <c r="B1066">
        <v>3</v>
      </c>
      <c r="C1066" s="43">
        <f>INDEX(DarlObj,3)</f>
      </c>
      <c r="D1066">
        <v>103</v>
      </c>
      <c r="E1066" s="51">
        <f>IF(INDEX(DarlBelegt,3)=0,0,EOMONTH(INDEX(DarlAuszahlung,3),102)+1)</f>
      </c>
      <c r="F1066" s="43">
        <f>IF($E1066=0,0,YEAR($E1066))</f>
      </c>
      <c r="G1066" s="43">
        <f>IF(INDEX(DarlBindung,3)="",1,IF($E1066&lt;=INDEX(DarlBindung,3),1,0))</f>
      </c>
      <c r="H1066" s="43">
        <f>IF($G1066=1,INDEX(DarlSollzins,3),INDEX(DarlAnschluss,3))</f>
      </c>
      <c r="I1066" s="43">
        <f>IF(INDEX(DarlBelegt,3)=0,0,IF(INDEX(DarlOhneTilgung,3)=1,IF(INDEX(DarlBindung,3)="",1,$G1066),IF($J1066&gt;0.005,1,0)))</f>
      </c>
      <c r="J1066" s="43">
        <f>IF($I1065=0,0,$R1065)</f>
      </c>
      <c r="K1066" s="43">
        <f>IF($I1066=0,0,IF(INDEX(DarlOhneTilgung,3)=1,0,IF(AND(INDEX(DarlTilgStart,3)&gt;0,$E1066=INDEX(DarlTilgStart,3)),$J1066*($H1066+INDEX(DarlTilgung,3))/100/12,IF(AND($G1066=0,$G1065=1),MAX($K1065,$J1066*($H1066+1)/100/12),$K1065))))</f>
      </c>
      <c r="L1066" s="43">
        <f>IF($I1066=0,0,$J1066*$H1066/100/12)</f>
      </c>
      <c r="M1066" s="43">
        <f>IF($I1066=0,0,IF(OR(INDEX(DarlOhneTilgung,3)=1,AND(INDEX(DarlTilgStart,3)&gt;0,$E1066&lt;INDEX(DarlTilgStart,3))),0,MIN(MAX(0,$K1066-$L1066),$J1066)))</f>
      </c>
      <c r="N1066" s="43">
        <f>IF($I1066=0,0,MIN(SUMIFS(SondBetrag,SondDarl,3,SondDatum,"&gt;="&amp;$E1066,SondDatum,"&lt;="&amp;EOMONTH($E1066,0)),$J1066-$M1066))</f>
      </c>
      <c r="O1066" s="43">
        <f>IF($I1066=0,0,INDEX(DarlErsatzRate,3))</f>
      </c>
      <c r="P1066" s="43">
        <f>IF($I1066=0,0,$Q1065*INDEX(DarlErsatzZins,3))</f>
      </c>
      <c r="Q1066" s="43">
        <f>IF($I1066=0,0,$Q1065+$P1066+$O1066)</f>
      </c>
      <c r="R1066" s="43">
        <f>IF($I1066=0,0,$J1066-$M1066-$N1066)</f>
      </c>
    </row>
    <row r="1067">
      <c r="A1067"/>
      <c r="B1067">
        <v>3</v>
      </c>
      <c r="C1067" s="43">
        <f>INDEX(DarlObj,3)</f>
      </c>
      <c r="D1067">
        <v>104</v>
      </c>
      <c r="E1067" s="51">
        <f>IF(INDEX(DarlBelegt,3)=0,0,EOMONTH(INDEX(DarlAuszahlung,3),103)+1)</f>
      </c>
      <c r="F1067" s="43">
        <f>IF($E1067=0,0,YEAR($E1067))</f>
      </c>
      <c r="G1067" s="43">
        <f>IF(INDEX(DarlBindung,3)="",1,IF($E1067&lt;=INDEX(DarlBindung,3),1,0))</f>
      </c>
      <c r="H1067" s="43">
        <f>IF($G1067=1,INDEX(DarlSollzins,3),INDEX(DarlAnschluss,3))</f>
      </c>
      <c r="I1067" s="43">
        <f>IF(INDEX(DarlBelegt,3)=0,0,IF(INDEX(DarlOhneTilgung,3)=1,IF(INDEX(DarlBindung,3)="",1,$G1067),IF($J1067&gt;0.005,1,0)))</f>
      </c>
      <c r="J1067" s="43">
        <f>IF($I1066=0,0,$R1066)</f>
      </c>
      <c r="K1067" s="43">
        <f>IF($I1067=0,0,IF(INDEX(DarlOhneTilgung,3)=1,0,IF(AND(INDEX(DarlTilgStart,3)&gt;0,$E1067=INDEX(DarlTilgStart,3)),$J1067*($H1067+INDEX(DarlTilgung,3))/100/12,IF(AND($G1067=0,$G1066=1),MAX($K1066,$J1067*($H1067+1)/100/12),$K1066))))</f>
      </c>
      <c r="L1067" s="43">
        <f>IF($I1067=0,0,$J1067*$H1067/100/12)</f>
      </c>
      <c r="M1067" s="43">
        <f>IF($I1067=0,0,IF(OR(INDEX(DarlOhneTilgung,3)=1,AND(INDEX(DarlTilgStart,3)&gt;0,$E1067&lt;INDEX(DarlTilgStart,3))),0,MIN(MAX(0,$K1067-$L1067),$J1067)))</f>
      </c>
      <c r="N1067" s="43">
        <f>IF($I1067=0,0,MIN(SUMIFS(SondBetrag,SondDarl,3,SondDatum,"&gt;="&amp;$E1067,SondDatum,"&lt;="&amp;EOMONTH($E1067,0)),$J1067-$M1067))</f>
      </c>
      <c r="O1067" s="43">
        <f>IF($I1067=0,0,INDEX(DarlErsatzRate,3))</f>
      </c>
      <c r="P1067" s="43">
        <f>IF($I1067=0,0,$Q1066*INDEX(DarlErsatzZins,3))</f>
      </c>
      <c r="Q1067" s="43">
        <f>IF($I1067=0,0,$Q1066+$P1067+$O1067)</f>
      </c>
      <c r="R1067" s="43">
        <f>IF($I1067=0,0,$J1067-$M1067-$N1067)</f>
      </c>
    </row>
    <row r="1068">
      <c r="A1068"/>
      <c r="B1068">
        <v>3</v>
      </c>
      <c r="C1068" s="43">
        <f>INDEX(DarlObj,3)</f>
      </c>
      <c r="D1068">
        <v>105</v>
      </c>
      <c r="E1068" s="51">
        <f>IF(INDEX(DarlBelegt,3)=0,0,EOMONTH(INDEX(DarlAuszahlung,3),104)+1)</f>
      </c>
      <c r="F1068" s="43">
        <f>IF($E1068=0,0,YEAR($E1068))</f>
      </c>
      <c r="G1068" s="43">
        <f>IF(INDEX(DarlBindung,3)="",1,IF($E1068&lt;=INDEX(DarlBindung,3),1,0))</f>
      </c>
      <c r="H1068" s="43">
        <f>IF($G1068=1,INDEX(DarlSollzins,3),INDEX(DarlAnschluss,3))</f>
      </c>
      <c r="I1068" s="43">
        <f>IF(INDEX(DarlBelegt,3)=0,0,IF(INDEX(DarlOhneTilgung,3)=1,IF(INDEX(DarlBindung,3)="",1,$G1068),IF($J1068&gt;0.005,1,0)))</f>
      </c>
      <c r="J1068" s="43">
        <f>IF($I1067=0,0,$R1067)</f>
      </c>
      <c r="K1068" s="43">
        <f>IF($I1068=0,0,IF(INDEX(DarlOhneTilgung,3)=1,0,IF(AND(INDEX(DarlTilgStart,3)&gt;0,$E1068=INDEX(DarlTilgStart,3)),$J1068*($H1068+INDEX(DarlTilgung,3))/100/12,IF(AND($G1068=0,$G1067=1),MAX($K1067,$J1068*($H1068+1)/100/12),$K1067))))</f>
      </c>
      <c r="L1068" s="43">
        <f>IF($I1068=0,0,$J1068*$H1068/100/12)</f>
      </c>
      <c r="M1068" s="43">
        <f>IF($I1068=0,0,IF(OR(INDEX(DarlOhneTilgung,3)=1,AND(INDEX(DarlTilgStart,3)&gt;0,$E1068&lt;INDEX(DarlTilgStart,3))),0,MIN(MAX(0,$K1068-$L1068),$J1068)))</f>
      </c>
      <c r="N1068" s="43">
        <f>IF($I1068=0,0,MIN(SUMIFS(SondBetrag,SondDarl,3,SondDatum,"&gt;="&amp;$E1068,SondDatum,"&lt;="&amp;EOMONTH($E1068,0)),$J1068-$M1068))</f>
      </c>
      <c r="O1068" s="43">
        <f>IF($I1068=0,0,INDEX(DarlErsatzRate,3))</f>
      </c>
      <c r="P1068" s="43">
        <f>IF($I1068=0,0,$Q1067*INDEX(DarlErsatzZins,3))</f>
      </c>
      <c r="Q1068" s="43">
        <f>IF($I1068=0,0,$Q1067+$P1068+$O1068)</f>
      </c>
      <c r="R1068" s="43">
        <f>IF($I1068=0,0,$J1068-$M1068-$N1068)</f>
      </c>
    </row>
    <row r="1069">
      <c r="A1069"/>
      <c r="B1069">
        <v>3</v>
      </c>
      <c r="C1069" s="43">
        <f>INDEX(DarlObj,3)</f>
      </c>
      <c r="D1069">
        <v>106</v>
      </c>
      <c r="E1069" s="51">
        <f>IF(INDEX(DarlBelegt,3)=0,0,EOMONTH(INDEX(DarlAuszahlung,3),105)+1)</f>
      </c>
      <c r="F1069" s="43">
        <f>IF($E1069=0,0,YEAR($E1069))</f>
      </c>
      <c r="G1069" s="43">
        <f>IF(INDEX(DarlBindung,3)="",1,IF($E1069&lt;=INDEX(DarlBindung,3),1,0))</f>
      </c>
      <c r="H1069" s="43">
        <f>IF($G1069=1,INDEX(DarlSollzins,3),INDEX(DarlAnschluss,3))</f>
      </c>
      <c r="I1069" s="43">
        <f>IF(INDEX(DarlBelegt,3)=0,0,IF(INDEX(DarlOhneTilgung,3)=1,IF(INDEX(DarlBindung,3)="",1,$G1069),IF($J1069&gt;0.005,1,0)))</f>
      </c>
      <c r="J1069" s="43">
        <f>IF($I1068=0,0,$R1068)</f>
      </c>
      <c r="K1069" s="43">
        <f>IF($I1069=0,0,IF(INDEX(DarlOhneTilgung,3)=1,0,IF(AND(INDEX(DarlTilgStart,3)&gt;0,$E1069=INDEX(DarlTilgStart,3)),$J1069*($H1069+INDEX(DarlTilgung,3))/100/12,IF(AND($G1069=0,$G1068=1),MAX($K1068,$J1069*($H1069+1)/100/12),$K1068))))</f>
      </c>
      <c r="L1069" s="43">
        <f>IF($I1069=0,0,$J1069*$H1069/100/12)</f>
      </c>
      <c r="M1069" s="43">
        <f>IF($I1069=0,0,IF(OR(INDEX(DarlOhneTilgung,3)=1,AND(INDEX(DarlTilgStart,3)&gt;0,$E1069&lt;INDEX(DarlTilgStart,3))),0,MIN(MAX(0,$K1069-$L1069),$J1069)))</f>
      </c>
      <c r="N1069" s="43">
        <f>IF($I1069=0,0,MIN(SUMIFS(SondBetrag,SondDarl,3,SondDatum,"&gt;="&amp;$E1069,SondDatum,"&lt;="&amp;EOMONTH($E1069,0)),$J1069-$M1069))</f>
      </c>
      <c r="O1069" s="43">
        <f>IF($I1069=0,0,INDEX(DarlErsatzRate,3))</f>
      </c>
      <c r="P1069" s="43">
        <f>IF($I1069=0,0,$Q1068*INDEX(DarlErsatzZins,3))</f>
      </c>
      <c r="Q1069" s="43">
        <f>IF($I1069=0,0,$Q1068+$P1069+$O1069)</f>
      </c>
      <c r="R1069" s="43">
        <f>IF($I1069=0,0,$J1069-$M1069-$N1069)</f>
      </c>
    </row>
    <row r="1070">
      <c r="A1070"/>
      <c r="B1070">
        <v>3</v>
      </c>
      <c r="C1070" s="43">
        <f>INDEX(DarlObj,3)</f>
      </c>
      <c r="D1070">
        <v>107</v>
      </c>
      <c r="E1070" s="51">
        <f>IF(INDEX(DarlBelegt,3)=0,0,EOMONTH(INDEX(DarlAuszahlung,3),106)+1)</f>
      </c>
      <c r="F1070" s="43">
        <f>IF($E1070=0,0,YEAR($E1070))</f>
      </c>
      <c r="G1070" s="43">
        <f>IF(INDEX(DarlBindung,3)="",1,IF($E1070&lt;=INDEX(DarlBindung,3),1,0))</f>
      </c>
      <c r="H1070" s="43">
        <f>IF($G1070=1,INDEX(DarlSollzins,3),INDEX(DarlAnschluss,3))</f>
      </c>
      <c r="I1070" s="43">
        <f>IF(INDEX(DarlBelegt,3)=0,0,IF(INDEX(DarlOhneTilgung,3)=1,IF(INDEX(DarlBindung,3)="",1,$G1070),IF($J1070&gt;0.005,1,0)))</f>
      </c>
      <c r="J1070" s="43">
        <f>IF($I1069=0,0,$R1069)</f>
      </c>
      <c r="K1070" s="43">
        <f>IF($I1070=0,0,IF(INDEX(DarlOhneTilgung,3)=1,0,IF(AND(INDEX(DarlTilgStart,3)&gt;0,$E1070=INDEX(DarlTilgStart,3)),$J1070*($H1070+INDEX(DarlTilgung,3))/100/12,IF(AND($G1070=0,$G1069=1),MAX($K1069,$J1070*($H1070+1)/100/12),$K1069))))</f>
      </c>
      <c r="L1070" s="43">
        <f>IF($I1070=0,0,$J1070*$H1070/100/12)</f>
      </c>
      <c r="M1070" s="43">
        <f>IF($I1070=0,0,IF(OR(INDEX(DarlOhneTilgung,3)=1,AND(INDEX(DarlTilgStart,3)&gt;0,$E1070&lt;INDEX(DarlTilgStart,3))),0,MIN(MAX(0,$K1070-$L1070),$J1070)))</f>
      </c>
      <c r="N1070" s="43">
        <f>IF($I1070=0,0,MIN(SUMIFS(SondBetrag,SondDarl,3,SondDatum,"&gt;="&amp;$E1070,SondDatum,"&lt;="&amp;EOMONTH($E1070,0)),$J1070-$M1070))</f>
      </c>
      <c r="O1070" s="43">
        <f>IF($I1070=0,0,INDEX(DarlErsatzRate,3))</f>
      </c>
      <c r="P1070" s="43">
        <f>IF($I1070=0,0,$Q1069*INDEX(DarlErsatzZins,3))</f>
      </c>
      <c r="Q1070" s="43">
        <f>IF($I1070=0,0,$Q1069+$P1070+$O1070)</f>
      </c>
      <c r="R1070" s="43">
        <f>IF($I1070=0,0,$J1070-$M1070-$N1070)</f>
      </c>
    </row>
    <row r="1071">
      <c r="A1071"/>
      <c r="B1071">
        <v>3</v>
      </c>
      <c r="C1071" s="43">
        <f>INDEX(DarlObj,3)</f>
      </c>
      <c r="D1071">
        <v>108</v>
      </c>
      <c r="E1071" s="51">
        <f>IF(INDEX(DarlBelegt,3)=0,0,EOMONTH(INDEX(DarlAuszahlung,3),107)+1)</f>
      </c>
      <c r="F1071" s="43">
        <f>IF($E1071=0,0,YEAR($E1071))</f>
      </c>
      <c r="G1071" s="43">
        <f>IF(INDEX(DarlBindung,3)="",1,IF($E1071&lt;=INDEX(DarlBindung,3),1,0))</f>
      </c>
      <c r="H1071" s="43">
        <f>IF($G1071=1,INDEX(DarlSollzins,3),INDEX(DarlAnschluss,3))</f>
      </c>
      <c r="I1071" s="43">
        <f>IF(INDEX(DarlBelegt,3)=0,0,IF(INDEX(DarlOhneTilgung,3)=1,IF(INDEX(DarlBindung,3)="",1,$G1071),IF($J1071&gt;0.005,1,0)))</f>
      </c>
      <c r="J1071" s="43">
        <f>IF($I1070=0,0,$R1070)</f>
      </c>
      <c r="K1071" s="43">
        <f>IF($I1071=0,0,IF(INDEX(DarlOhneTilgung,3)=1,0,IF(AND(INDEX(DarlTilgStart,3)&gt;0,$E1071=INDEX(DarlTilgStart,3)),$J1071*($H1071+INDEX(DarlTilgung,3))/100/12,IF(AND($G1071=0,$G1070=1),MAX($K1070,$J1071*($H1071+1)/100/12),$K1070))))</f>
      </c>
      <c r="L1071" s="43">
        <f>IF($I1071=0,0,$J1071*$H1071/100/12)</f>
      </c>
      <c r="M1071" s="43">
        <f>IF($I1071=0,0,IF(OR(INDEX(DarlOhneTilgung,3)=1,AND(INDEX(DarlTilgStart,3)&gt;0,$E1071&lt;INDEX(DarlTilgStart,3))),0,MIN(MAX(0,$K1071-$L1071),$J1071)))</f>
      </c>
      <c r="N1071" s="43">
        <f>IF($I1071=0,0,MIN(SUMIFS(SondBetrag,SondDarl,3,SondDatum,"&gt;="&amp;$E1071,SondDatum,"&lt;="&amp;EOMONTH($E1071,0)),$J1071-$M1071))</f>
      </c>
      <c r="O1071" s="43">
        <f>IF($I1071=0,0,INDEX(DarlErsatzRate,3))</f>
      </c>
      <c r="P1071" s="43">
        <f>IF($I1071=0,0,$Q1070*INDEX(DarlErsatzZins,3))</f>
      </c>
      <c r="Q1071" s="43">
        <f>IF($I1071=0,0,$Q1070+$P1071+$O1071)</f>
      </c>
      <c r="R1071" s="43">
        <f>IF($I1071=0,0,$J1071-$M1071-$N1071)</f>
      </c>
    </row>
    <row r="1072">
      <c r="A1072"/>
      <c r="B1072">
        <v>3</v>
      </c>
      <c r="C1072" s="43">
        <f>INDEX(DarlObj,3)</f>
      </c>
      <c r="D1072">
        <v>109</v>
      </c>
      <c r="E1072" s="51">
        <f>IF(INDEX(DarlBelegt,3)=0,0,EOMONTH(INDEX(DarlAuszahlung,3),108)+1)</f>
      </c>
      <c r="F1072" s="43">
        <f>IF($E1072=0,0,YEAR($E1072))</f>
      </c>
      <c r="G1072" s="43">
        <f>IF(INDEX(DarlBindung,3)="",1,IF($E1072&lt;=INDEX(DarlBindung,3),1,0))</f>
      </c>
      <c r="H1072" s="43">
        <f>IF($G1072=1,INDEX(DarlSollzins,3),INDEX(DarlAnschluss,3))</f>
      </c>
      <c r="I1072" s="43">
        <f>IF(INDEX(DarlBelegt,3)=0,0,IF(INDEX(DarlOhneTilgung,3)=1,IF(INDEX(DarlBindung,3)="",1,$G1072),IF($J1072&gt;0.005,1,0)))</f>
      </c>
      <c r="J1072" s="43">
        <f>IF($I1071=0,0,$R1071)</f>
      </c>
      <c r="K1072" s="43">
        <f>IF($I1072=0,0,IF(INDEX(DarlOhneTilgung,3)=1,0,IF(AND(INDEX(DarlTilgStart,3)&gt;0,$E1072=INDEX(DarlTilgStart,3)),$J1072*($H1072+INDEX(DarlTilgung,3))/100/12,IF(AND($G1072=0,$G1071=1),MAX($K1071,$J1072*($H1072+1)/100/12),$K1071))))</f>
      </c>
      <c r="L1072" s="43">
        <f>IF($I1072=0,0,$J1072*$H1072/100/12)</f>
      </c>
      <c r="M1072" s="43">
        <f>IF($I1072=0,0,IF(OR(INDEX(DarlOhneTilgung,3)=1,AND(INDEX(DarlTilgStart,3)&gt;0,$E1072&lt;INDEX(DarlTilgStart,3))),0,MIN(MAX(0,$K1072-$L1072),$J1072)))</f>
      </c>
      <c r="N1072" s="43">
        <f>IF($I1072=0,0,MIN(SUMIFS(SondBetrag,SondDarl,3,SondDatum,"&gt;="&amp;$E1072,SondDatum,"&lt;="&amp;EOMONTH($E1072,0)),$J1072-$M1072))</f>
      </c>
      <c r="O1072" s="43">
        <f>IF($I1072=0,0,INDEX(DarlErsatzRate,3))</f>
      </c>
      <c r="P1072" s="43">
        <f>IF($I1072=0,0,$Q1071*INDEX(DarlErsatzZins,3))</f>
      </c>
      <c r="Q1072" s="43">
        <f>IF($I1072=0,0,$Q1071+$P1072+$O1072)</f>
      </c>
      <c r="R1072" s="43">
        <f>IF($I1072=0,0,$J1072-$M1072-$N1072)</f>
      </c>
    </row>
    <row r="1073">
      <c r="A1073"/>
      <c r="B1073">
        <v>3</v>
      </c>
      <c r="C1073" s="43">
        <f>INDEX(DarlObj,3)</f>
      </c>
      <c r="D1073">
        <v>110</v>
      </c>
      <c r="E1073" s="51">
        <f>IF(INDEX(DarlBelegt,3)=0,0,EOMONTH(INDEX(DarlAuszahlung,3),109)+1)</f>
      </c>
      <c r="F1073" s="43">
        <f>IF($E1073=0,0,YEAR($E1073))</f>
      </c>
      <c r="G1073" s="43">
        <f>IF(INDEX(DarlBindung,3)="",1,IF($E1073&lt;=INDEX(DarlBindung,3),1,0))</f>
      </c>
      <c r="H1073" s="43">
        <f>IF($G1073=1,INDEX(DarlSollzins,3),INDEX(DarlAnschluss,3))</f>
      </c>
      <c r="I1073" s="43">
        <f>IF(INDEX(DarlBelegt,3)=0,0,IF(INDEX(DarlOhneTilgung,3)=1,IF(INDEX(DarlBindung,3)="",1,$G1073),IF($J1073&gt;0.005,1,0)))</f>
      </c>
      <c r="J1073" s="43">
        <f>IF($I1072=0,0,$R1072)</f>
      </c>
      <c r="K1073" s="43">
        <f>IF($I1073=0,0,IF(INDEX(DarlOhneTilgung,3)=1,0,IF(AND(INDEX(DarlTilgStart,3)&gt;0,$E1073=INDEX(DarlTilgStart,3)),$J1073*($H1073+INDEX(DarlTilgung,3))/100/12,IF(AND($G1073=0,$G1072=1),MAX($K1072,$J1073*($H1073+1)/100/12),$K1072))))</f>
      </c>
      <c r="L1073" s="43">
        <f>IF($I1073=0,0,$J1073*$H1073/100/12)</f>
      </c>
      <c r="M1073" s="43">
        <f>IF($I1073=0,0,IF(OR(INDEX(DarlOhneTilgung,3)=1,AND(INDEX(DarlTilgStart,3)&gt;0,$E1073&lt;INDEX(DarlTilgStart,3))),0,MIN(MAX(0,$K1073-$L1073),$J1073)))</f>
      </c>
      <c r="N1073" s="43">
        <f>IF($I1073=0,0,MIN(SUMIFS(SondBetrag,SondDarl,3,SondDatum,"&gt;="&amp;$E1073,SondDatum,"&lt;="&amp;EOMONTH($E1073,0)),$J1073-$M1073))</f>
      </c>
      <c r="O1073" s="43">
        <f>IF($I1073=0,0,INDEX(DarlErsatzRate,3))</f>
      </c>
      <c r="P1073" s="43">
        <f>IF($I1073=0,0,$Q1072*INDEX(DarlErsatzZins,3))</f>
      </c>
      <c r="Q1073" s="43">
        <f>IF($I1073=0,0,$Q1072+$P1073+$O1073)</f>
      </c>
      <c r="R1073" s="43">
        <f>IF($I1073=0,0,$J1073-$M1073-$N1073)</f>
      </c>
    </row>
    <row r="1074">
      <c r="A1074"/>
      <c r="B1074">
        <v>3</v>
      </c>
      <c r="C1074" s="43">
        <f>INDEX(DarlObj,3)</f>
      </c>
      <c r="D1074">
        <v>111</v>
      </c>
      <c r="E1074" s="51">
        <f>IF(INDEX(DarlBelegt,3)=0,0,EOMONTH(INDEX(DarlAuszahlung,3),110)+1)</f>
      </c>
      <c r="F1074" s="43">
        <f>IF($E1074=0,0,YEAR($E1074))</f>
      </c>
      <c r="G1074" s="43">
        <f>IF(INDEX(DarlBindung,3)="",1,IF($E1074&lt;=INDEX(DarlBindung,3),1,0))</f>
      </c>
      <c r="H1074" s="43">
        <f>IF($G1074=1,INDEX(DarlSollzins,3),INDEX(DarlAnschluss,3))</f>
      </c>
      <c r="I1074" s="43">
        <f>IF(INDEX(DarlBelegt,3)=0,0,IF(INDEX(DarlOhneTilgung,3)=1,IF(INDEX(DarlBindung,3)="",1,$G1074),IF($J1074&gt;0.005,1,0)))</f>
      </c>
      <c r="J1074" s="43">
        <f>IF($I1073=0,0,$R1073)</f>
      </c>
      <c r="K1074" s="43">
        <f>IF($I1074=0,0,IF(INDEX(DarlOhneTilgung,3)=1,0,IF(AND(INDEX(DarlTilgStart,3)&gt;0,$E1074=INDEX(DarlTilgStart,3)),$J1074*($H1074+INDEX(DarlTilgung,3))/100/12,IF(AND($G1074=0,$G1073=1),MAX($K1073,$J1074*($H1074+1)/100/12),$K1073))))</f>
      </c>
      <c r="L1074" s="43">
        <f>IF($I1074=0,0,$J1074*$H1074/100/12)</f>
      </c>
      <c r="M1074" s="43">
        <f>IF($I1074=0,0,IF(OR(INDEX(DarlOhneTilgung,3)=1,AND(INDEX(DarlTilgStart,3)&gt;0,$E1074&lt;INDEX(DarlTilgStart,3))),0,MIN(MAX(0,$K1074-$L1074),$J1074)))</f>
      </c>
      <c r="N1074" s="43">
        <f>IF($I1074=0,0,MIN(SUMIFS(SondBetrag,SondDarl,3,SondDatum,"&gt;="&amp;$E1074,SondDatum,"&lt;="&amp;EOMONTH($E1074,0)),$J1074-$M1074))</f>
      </c>
      <c r="O1074" s="43">
        <f>IF($I1074=0,0,INDEX(DarlErsatzRate,3))</f>
      </c>
      <c r="P1074" s="43">
        <f>IF($I1074=0,0,$Q1073*INDEX(DarlErsatzZins,3))</f>
      </c>
      <c r="Q1074" s="43">
        <f>IF($I1074=0,0,$Q1073+$P1074+$O1074)</f>
      </c>
      <c r="R1074" s="43">
        <f>IF($I1074=0,0,$J1074-$M1074-$N1074)</f>
      </c>
    </row>
    <row r="1075">
      <c r="A1075"/>
      <c r="B1075">
        <v>3</v>
      </c>
      <c r="C1075" s="43">
        <f>INDEX(DarlObj,3)</f>
      </c>
      <c r="D1075">
        <v>112</v>
      </c>
      <c r="E1075" s="51">
        <f>IF(INDEX(DarlBelegt,3)=0,0,EOMONTH(INDEX(DarlAuszahlung,3),111)+1)</f>
      </c>
      <c r="F1075" s="43">
        <f>IF($E1075=0,0,YEAR($E1075))</f>
      </c>
      <c r="G1075" s="43">
        <f>IF(INDEX(DarlBindung,3)="",1,IF($E1075&lt;=INDEX(DarlBindung,3),1,0))</f>
      </c>
      <c r="H1075" s="43">
        <f>IF($G1075=1,INDEX(DarlSollzins,3),INDEX(DarlAnschluss,3))</f>
      </c>
      <c r="I1075" s="43">
        <f>IF(INDEX(DarlBelegt,3)=0,0,IF(INDEX(DarlOhneTilgung,3)=1,IF(INDEX(DarlBindung,3)="",1,$G1075),IF($J1075&gt;0.005,1,0)))</f>
      </c>
      <c r="J1075" s="43">
        <f>IF($I1074=0,0,$R1074)</f>
      </c>
      <c r="K1075" s="43">
        <f>IF($I1075=0,0,IF(INDEX(DarlOhneTilgung,3)=1,0,IF(AND(INDEX(DarlTilgStart,3)&gt;0,$E1075=INDEX(DarlTilgStart,3)),$J1075*($H1075+INDEX(DarlTilgung,3))/100/12,IF(AND($G1075=0,$G1074=1),MAX($K1074,$J1075*($H1075+1)/100/12),$K1074))))</f>
      </c>
      <c r="L1075" s="43">
        <f>IF($I1075=0,0,$J1075*$H1075/100/12)</f>
      </c>
      <c r="M1075" s="43">
        <f>IF($I1075=0,0,IF(OR(INDEX(DarlOhneTilgung,3)=1,AND(INDEX(DarlTilgStart,3)&gt;0,$E1075&lt;INDEX(DarlTilgStart,3))),0,MIN(MAX(0,$K1075-$L1075),$J1075)))</f>
      </c>
      <c r="N1075" s="43">
        <f>IF($I1075=0,0,MIN(SUMIFS(SondBetrag,SondDarl,3,SondDatum,"&gt;="&amp;$E1075,SondDatum,"&lt;="&amp;EOMONTH($E1075,0)),$J1075-$M1075))</f>
      </c>
      <c r="O1075" s="43">
        <f>IF($I1075=0,0,INDEX(DarlErsatzRate,3))</f>
      </c>
      <c r="P1075" s="43">
        <f>IF($I1075=0,0,$Q1074*INDEX(DarlErsatzZins,3))</f>
      </c>
      <c r="Q1075" s="43">
        <f>IF($I1075=0,0,$Q1074+$P1075+$O1075)</f>
      </c>
      <c r="R1075" s="43">
        <f>IF($I1075=0,0,$J1075-$M1075-$N1075)</f>
      </c>
    </row>
    <row r="1076">
      <c r="A1076"/>
      <c r="B1076">
        <v>3</v>
      </c>
      <c r="C1076" s="43">
        <f>INDEX(DarlObj,3)</f>
      </c>
      <c r="D1076">
        <v>113</v>
      </c>
      <c r="E1076" s="51">
        <f>IF(INDEX(DarlBelegt,3)=0,0,EOMONTH(INDEX(DarlAuszahlung,3),112)+1)</f>
      </c>
      <c r="F1076" s="43">
        <f>IF($E1076=0,0,YEAR($E1076))</f>
      </c>
      <c r="G1076" s="43">
        <f>IF(INDEX(DarlBindung,3)="",1,IF($E1076&lt;=INDEX(DarlBindung,3),1,0))</f>
      </c>
      <c r="H1076" s="43">
        <f>IF($G1076=1,INDEX(DarlSollzins,3),INDEX(DarlAnschluss,3))</f>
      </c>
      <c r="I1076" s="43">
        <f>IF(INDEX(DarlBelegt,3)=0,0,IF(INDEX(DarlOhneTilgung,3)=1,IF(INDEX(DarlBindung,3)="",1,$G1076),IF($J1076&gt;0.005,1,0)))</f>
      </c>
      <c r="J1076" s="43">
        <f>IF($I1075=0,0,$R1075)</f>
      </c>
      <c r="K1076" s="43">
        <f>IF($I1076=0,0,IF(INDEX(DarlOhneTilgung,3)=1,0,IF(AND(INDEX(DarlTilgStart,3)&gt;0,$E1076=INDEX(DarlTilgStart,3)),$J1076*($H1076+INDEX(DarlTilgung,3))/100/12,IF(AND($G1076=0,$G1075=1),MAX($K1075,$J1076*($H1076+1)/100/12),$K1075))))</f>
      </c>
      <c r="L1076" s="43">
        <f>IF($I1076=0,0,$J1076*$H1076/100/12)</f>
      </c>
      <c r="M1076" s="43">
        <f>IF($I1076=0,0,IF(OR(INDEX(DarlOhneTilgung,3)=1,AND(INDEX(DarlTilgStart,3)&gt;0,$E1076&lt;INDEX(DarlTilgStart,3))),0,MIN(MAX(0,$K1076-$L1076),$J1076)))</f>
      </c>
      <c r="N1076" s="43">
        <f>IF($I1076=0,0,MIN(SUMIFS(SondBetrag,SondDarl,3,SondDatum,"&gt;="&amp;$E1076,SondDatum,"&lt;="&amp;EOMONTH($E1076,0)),$J1076-$M1076))</f>
      </c>
      <c r="O1076" s="43">
        <f>IF($I1076=0,0,INDEX(DarlErsatzRate,3))</f>
      </c>
      <c r="P1076" s="43">
        <f>IF($I1076=0,0,$Q1075*INDEX(DarlErsatzZins,3))</f>
      </c>
      <c r="Q1076" s="43">
        <f>IF($I1076=0,0,$Q1075+$P1076+$O1076)</f>
      </c>
      <c r="R1076" s="43">
        <f>IF($I1076=0,0,$J1076-$M1076-$N1076)</f>
      </c>
    </row>
    <row r="1077">
      <c r="A1077"/>
      <c r="B1077">
        <v>3</v>
      </c>
      <c r="C1077" s="43">
        <f>INDEX(DarlObj,3)</f>
      </c>
      <c r="D1077">
        <v>114</v>
      </c>
      <c r="E1077" s="51">
        <f>IF(INDEX(DarlBelegt,3)=0,0,EOMONTH(INDEX(DarlAuszahlung,3),113)+1)</f>
      </c>
      <c r="F1077" s="43">
        <f>IF($E1077=0,0,YEAR($E1077))</f>
      </c>
      <c r="G1077" s="43">
        <f>IF(INDEX(DarlBindung,3)="",1,IF($E1077&lt;=INDEX(DarlBindung,3),1,0))</f>
      </c>
      <c r="H1077" s="43">
        <f>IF($G1077=1,INDEX(DarlSollzins,3),INDEX(DarlAnschluss,3))</f>
      </c>
      <c r="I1077" s="43">
        <f>IF(INDEX(DarlBelegt,3)=0,0,IF(INDEX(DarlOhneTilgung,3)=1,IF(INDEX(DarlBindung,3)="",1,$G1077),IF($J1077&gt;0.005,1,0)))</f>
      </c>
      <c r="J1077" s="43">
        <f>IF($I1076=0,0,$R1076)</f>
      </c>
      <c r="K1077" s="43">
        <f>IF($I1077=0,0,IF(INDEX(DarlOhneTilgung,3)=1,0,IF(AND(INDEX(DarlTilgStart,3)&gt;0,$E1077=INDEX(DarlTilgStart,3)),$J1077*($H1077+INDEX(DarlTilgung,3))/100/12,IF(AND($G1077=0,$G1076=1),MAX($K1076,$J1077*($H1077+1)/100/12),$K1076))))</f>
      </c>
      <c r="L1077" s="43">
        <f>IF($I1077=0,0,$J1077*$H1077/100/12)</f>
      </c>
      <c r="M1077" s="43">
        <f>IF($I1077=0,0,IF(OR(INDEX(DarlOhneTilgung,3)=1,AND(INDEX(DarlTilgStart,3)&gt;0,$E1077&lt;INDEX(DarlTilgStart,3))),0,MIN(MAX(0,$K1077-$L1077),$J1077)))</f>
      </c>
      <c r="N1077" s="43">
        <f>IF($I1077=0,0,MIN(SUMIFS(SondBetrag,SondDarl,3,SondDatum,"&gt;="&amp;$E1077,SondDatum,"&lt;="&amp;EOMONTH($E1077,0)),$J1077-$M1077))</f>
      </c>
      <c r="O1077" s="43">
        <f>IF($I1077=0,0,INDEX(DarlErsatzRate,3))</f>
      </c>
      <c r="P1077" s="43">
        <f>IF($I1077=0,0,$Q1076*INDEX(DarlErsatzZins,3))</f>
      </c>
      <c r="Q1077" s="43">
        <f>IF($I1077=0,0,$Q1076+$P1077+$O1077)</f>
      </c>
      <c r="R1077" s="43">
        <f>IF($I1077=0,0,$J1077-$M1077-$N1077)</f>
      </c>
    </row>
    <row r="1078">
      <c r="A1078"/>
      <c r="B1078">
        <v>3</v>
      </c>
      <c r="C1078" s="43">
        <f>INDEX(DarlObj,3)</f>
      </c>
      <c r="D1078">
        <v>115</v>
      </c>
      <c r="E1078" s="51">
        <f>IF(INDEX(DarlBelegt,3)=0,0,EOMONTH(INDEX(DarlAuszahlung,3),114)+1)</f>
      </c>
      <c r="F1078" s="43">
        <f>IF($E1078=0,0,YEAR($E1078))</f>
      </c>
      <c r="G1078" s="43">
        <f>IF(INDEX(DarlBindung,3)="",1,IF($E1078&lt;=INDEX(DarlBindung,3),1,0))</f>
      </c>
      <c r="H1078" s="43">
        <f>IF($G1078=1,INDEX(DarlSollzins,3),INDEX(DarlAnschluss,3))</f>
      </c>
      <c r="I1078" s="43">
        <f>IF(INDEX(DarlBelegt,3)=0,0,IF(INDEX(DarlOhneTilgung,3)=1,IF(INDEX(DarlBindung,3)="",1,$G1078),IF($J1078&gt;0.005,1,0)))</f>
      </c>
      <c r="J1078" s="43">
        <f>IF($I1077=0,0,$R1077)</f>
      </c>
      <c r="K1078" s="43">
        <f>IF($I1078=0,0,IF(INDEX(DarlOhneTilgung,3)=1,0,IF(AND(INDEX(DarlTilgStart,3)&gt;0,$E1078=INDEX(DarlTilgStart,3)),$J1078*($H1078+INDEX(DarlTilgung,3))/100/12,IF(AND($G1078=0,$G1077=1),MAX($K1077,$J1078*($H1078+1)/100/12),$K1077))))</f>
      </c>
      <c r="L1078" s="43">
        <f>IF($I1078=0,0,$J1078*$H1078/100/12)</f>
      </c>
      <c r="M1078" s="43">
        <f>IF($I1078=0,0,IF(OR(INDEX(DarlOhneTilgung,3)=1,AND(INDEX(DarlTilgStart,3)&gt;0,$E1078&lt;INDEX(DarlTilgStart,3))),0,MIN(MAX(0,$K1078-$L1078),$J1078)))</f>
      </c>
      <c r="N1078" s="43">
        <f>IF($I1078=0,0,MIN(SUMIFS(SondBetrag,SondDarl,3,SondDatum,"&gt;="&amp;$E1078,SondDatum,"&lt;="&amp;EOMONTH($E1078,0)),$J1078-$M1078))</f>
      </c>
      <c r="O1078" s="43">
        <f>IF($I1078=0,0,INDEX(DarlErsatzRate,3))</f>
      </c>
      <c r="P1078" s="43">
        <f>IF($I1078=0,0,$Q1077*INDEX(DarlErsatzZins,3))</f>
      </c>
      <c r="Q1078" s="43">
        <f>IF($I1078=0,0,$Q1077+$P1078+$O1078)</f>
      </c>
      <c r="R1078" s="43">
        <f>IF($I1078=0,0,$J1078-$M1078-$N1078)</f>
      </c>
    </row>
    <row r="1079">
      <c r="A1079"/>
      <c r="B1079">
        <v>3</v>
      </c>
      <c r="C1079" s="43">
        <f>INDEX(DarlObj,3)</f>
      </c>
      <c r="D1079">
        <v>116</v>
      </c>
      <c r="E1079" s="51">
        <f>IF(INDEX(DarlBelegt,3)=0,0,EOMONTH(INDEX(DarlAuszahlung,3),115)+1)</f>
      </c>
      <c r="F1079" s="43">
        <f>IF($E1079=0,0,YEAR($E1079))</f>
      </c>
      <c r="G1079" s="43">
        <f>IF(INDEX(DarlBindung,3)="",1,IF($E1079&lt;=INDEX(DarlBindung,3),1,0))</f>
      </c>
      <c r="H1079" s="43">
        <f>IF($G1079=1,INDEX(DarlSollzins,3),INDEX(DarlAnschluss,3))</f>
      </c>
      <c r="I1079" s="43">
        <f>IF(INDEX(DarlBelegt,3)=0,0,IF(INDEX(DarlOhneTilgung,3)=1,IF(INDEX(DarlBindung,3)="",1,$G1079),IF($J1079&gt;0.005,1,0)))</f>
      </c>
      <c r="J1079" s="43">
        <f>IF($I1078=0,0,$R1078)</f>
      </c>
      <c r="K1079" s="43">
        <f>IF($I1079=0,0,IF(INDEX(DarlOhneTilgung,3)=1,0,IF(AND(INDEX(DarlTilgStart,3)&gt;0,$E1079=INDEX(DarlTilgStart,3)),$J1079*($H1079+INDEX(DarlTilgung,3))/100/12,IF(AND($G1079=0,$G1078=1),MAX($K1078,$J1079*($H1079+1)/100/12),$K1078))))</f>
      </c>
      <c r="L1079" s="43">
        <f>IF($I1079=0,0,$J1079*$H1079/100/12)</f>
      </c>
      <c r="M1079" s="43">
        <f>IF($I1079=0,0,IF(OR(INDEX(DarlOhneTilgung,3)=1,AND(INDEX(DarlTilgStart,3)&gt;0,$E1079&lt;INDEX(DarlTilgStart,3))),0,MIN(MAX(0,$K1079-$L1079),$J1079)))</f>
      </c>
      <c r="N1079" s="43">
        <f>IF($I1079=0,0,MIN(SUMIFS(SondBetrag,SondDarl,3,SondDatum,"&gt;="&amp;$E1079,SondDatum,"&lt;="&amp;EOMONTH($E1079,0)),$J1079-$M1079))</f>
      </c>
      <c r="O1079" s="43">
        <f>IF($I1079=0,0,INDEX(DarlErsatzRate,3))</f>
      </c>
      <c r="P1079" s="43">
        <f>IF($I1079=0,0,$Q1078*INDEX(DarlErsatzZins,3))</f>
      </c>
      <c r="Q1079" s="43">
        <f>IF($I1079=0,0,$Q1078+$P1079+$O1079)</f>
      </c>
      <c r="R1079" s="43">
        <f>IF($I1079=0,0,$J1079-$M1079-$N1079)</f>
      </c>
    </row>
    <row r="1080">
      <c r="A1080"/>
      <c r="B1080">
        <v>3</v>
      </c>
      <c r="C1080" s="43">
        <f>INDEX(DarlObj,3)</f>
      </c>
      <c r="D1080">
        <v>117</v>
      </c>
      <c r="E1080" s="51">
        <f>IF(INDEX(DarlBelegt,3)=0,0,EOMONTH(INDEX(DarlAuszahlung,3),116)+1)</f>
      </c>
      <c r="F1080" s="43">
        <f>IF($E1080=0,0,YEAR($E1080))</f>
      </c>
      <c r="G1080" s="43">
        <f>IF(INDEX(DarlBindung,3)="",1,IF($E1080&lt;=INDEX(DarlBindung,3),1,0))</f>
      </c>
      <c r="H1080" s="43">
        <f>IF($G1080=1,INDEX(DarlSollzins,3),INDEX(DarlAnschluss,3))</f>
      </c>
      <c r="I1080" s="43">
        <f>IF(INDEX(DarlBelegt,3)=0,0,IF(INDEX(DarlOhneTilgung,3)=1,IF(INDEX(DarlBindung,3)="",1,$G1080),IF($J1080&gt;0.005,1,0)))</f>
      </c>
      <c r="J1080" s="43">
        <f>IF($I1079=0,0,$R1079)</f>
      </c>
      <c r="K1080" s="43">
        <f>IF($I1080=0,0,IF(INDEX(DarlOhneTilgung,3)=1,0,IF(AND(INDEX(DarlTilgStart,3)&gt;0,$E1080=INDEX(DarlTilgStart,3)),$J1080*($H1080+INDEX(DarlTilgung,3))/100/12,IF(AND($G1080=0,$G1079=1),MAX($K1079,$J1080*($H1080+1)/100/12),$K1079))))</f>
      </c>
      <c r="L1080" s="43">
        <f>IF($I1080=0,0,$J1080*$H1080/100/12)</f>
      </c>
      <c r="M1080" s="43">
        <f>IF($I1080=0,0,IF(OR(INDEX(DarlOhneTilgung,3)=1,AND(INDEX(DarlTilgStart,3)&gt;0,$E1080&lt;INDEX(DarlTilgStart,3))),0,MIN(MAX(0,$K1080-$L1080),$J1080)))</f>
      </c>
      <c r="N1080" s="43">
        <f>IF($I1080=0,0,MIN(SUMIFS(SondBetrag,SondDarl,3,SondDatum,"&gt;="&amp;$E1080,SondDatum,"&lt;="&amp;EOMONTH($E1080,0)),$J1080-$M1080))</f>
      </c>
      <c r="O1080" s="43">
        <f>IF($I1080=0,0,INDEX(DarlErsatzRate,3))</f>
      </c>
      <c r="P1080" s="43">
        <f>IF($I1080=0,0,$Q1079*INDEX(DarlErsatzZins,3))</f>
      </c>
      <c r="Q1080" s="43">
        <f>IF($I1080=0,0,$Q1079+$P1080+$O1080)</f>
      </c>
      <c r="R1080" s="43">
        <f>IF($I1080=0,0,$J1080-$M1080-$N1080)</f>
      </c>
    </row>
    <row r="1081">
      <c r="A1081"/>
      <c r="B1081">
        <v>3</v>
      </c>
      <c r="C1081" s="43">
        <f>INDEX(DarlObj,3)</f>
      </c>
      <c r="D1081">
        <v>118</v>
      </c>
      <c r="E1081" s="51">
        <f>IF(INDEX(DarlBelegt,3)=0,0,EOMONTH(INDEX(DarlAuszahlung,3),117)+1)</f>
      </c>
      <c r="F1081" s="43">
        <f>IF($E1081=0,0,YEAR($E1081))</f>
      </c>
      <c r="G1081" s="43">
        <f>IF(INDEX(DarlBindung,3)="",1,IF($E1081&lt;=INDEX(DarlBindung,3),1,0))</f>
      </c>
      <c r="H1081" s="43">
        <f>IF($G1081=1,INDEX(DarlSollzins,3),INDEX(DarlAnschluss,3))</f>
      </c>
      <c r="I1081" s="43">
        <f>IF(INDEX(DarlBelegt,3)=0,0,IF(INDEX(DarlOhneTilgung,3)=1,IF(INDEX(DarlBindung,3)="",1,$G1081),IF($J1081&gt;0.005,1,0)))</f>
      </c>
      <c r="J1081" s="43">
        <f>IF($I1080=0,0,$R1080)</f>
      </c>
      <c r="K1081" s="43">
        <f>IF($I1081=0,0,IF(INDEX(DarlOhneTilgung,3)=1,0,IF(AND(INDEX(DarlTilgStart,3)&gt;0,$E1081=INDEX(DarlTilgStart,3)),$J1081*($H1081+INDEX(DarlTilgung,3))/100/12,IF(AND($G1081=0,$G1080=1),MAX($K1080,$J1081*($H1081+1)/100/12),$K1080))))</f>
      </c>
      <c r="L1081" s="43">
        <f>IF($I1081=0,0,$J1081*$H1081/100/12)</f>
      </c>
      <c r="M1081" s="43">
        <f>IF($I1081=0,0,IF(OR(INDEX(DarlOhneTilgung,3)=1,AND(INDEX(DarlTilgStart,3)&gt;0,$E1081&lt;INDEX(DarlTilgStart,3))),0,MIN(MAX(0,$K1081-$L1081),$J1081)))</f>
      </c>
      <c r="N1081" s="43">
        <f>IF($I1081=0,0,MIN(SUMIFS(SondBetrag,SondDarl,3,SondDatum,"&gt;="&amp;$E1081,SondDatum,"&lt;="&amp;EOMONTH($E1081,0)),$J1081-$M1081))</f>
      </c>
      <c r="O1081" s="43">
        <f>IF($I1081=0,0,INDEX(DarlErsatzRate,3))</f>
      </c>
      <c r="P1081" s="43">
        <f>IF($I1081=0,0,$Q1080*INDEX(DarlErsatzZins,3))</f>
      </c>
      <c r="Q1081" s="43">
        <f>IF($I1081=0,0,$Q1080+$P1081+$O1081)</f>
      </c>
      <c r="R1081" s="43">
        <f>IF($I1081=0,0,$J1081-$M1081-$N1081)</f>
      </c>
    </row>
    <row r="1082">
      <c r="A1082"/>
      <c r="B1082">
        <v>3</v>
      </c>
      <c r="C1082" s="43">
        <f>INDEX(DarlObj,3)</f>
      </c>
      <c r="D1082">
        <v>119</v>
      </c>
      <c r="E1082" s="51">
        <f>IF(INDEX(DarlBelegt,3)=0,0,EOMONTH(INDEX(DarlAuszahlung,3),118)+1)</f>
      </c>
      <c r="F1082" s="43">
        <f>IF($E1082=0,0,YEAR($E1082))</f>
      </c>
      <c r="G1082" s="43">
        <f>IF(INDEX(DarlBindung,3)="",1,IF($E1082&lt;=INDEX(DarlBindung,3),1,0))</f>
      </c>
      <c r="H1082" s="43">
        <f>IF($G1082=1,INDEX(DarlSollzins,3),INDEX(DarlAnschluss,3))</f>
      </c>
      <c r="I1082" s="43">
        <f>IF(INDEX(DarlBelegt,3)=0,0,IF(INDEX(DarlOhneTilgung,3)=1,IF(INDEX(DarlBindung,3)="",1,$G1082),IF($J1082&gt;0.005,1,0)))</f>
      </c>
      <c r="J1082" s="43">
        <f>IF($I1081=0,0,$R1081)</f>
      </c>
      <c r="K1082" s="43">
        <f>IF($I1082=0,0,IF(INDEX(DarlOhneTilgung,3)=1,0,IF(AND(INDEX(DarlTilgStart,3)&gt;0,$E1082=INDEX(DarlTilgStart,3)),$J1082*($H1082+INDEX(DarlTilgung,3))/100/12,IF(AND($G1082=0,$G1081=1),MAX($K1081,$J1082*($H1082+1)/100/12),$K1081))))</f>
      </c>
      <c r="L1082" s="43">
        <f>IF($I1082=0,0,$J1082*$H1082/100/12)</f>
      </c>
      <c r="M1082" s="43">
        <f>IF($I1082=0,0,IF(OR(INDEX(DarlOhneTilgung,3)=1,AND(INDEX(DarlTilgStart,3)&gt;0,$E1082&lt;INDEX(DarlTilgStart,3))),0,MIN(MAX(0,$K1082-$L1082),$J1082)))</f>
      </c>
      <c r="N1082" s="43">
        <f>IF($I1082=0,0,MIN(SUMIFS(SondBetrag,SondDarl,3,SondDatum,"&gt;="&amp;$E1082,SondDatum,"&lt;="&amp;EOMONTH($E1082,0)),$J1082-$M1082))</f>
      </c>
      <c r="O1082" s="43">
        <f>IF($I1082=0,0,INDEX(DarlErsatzRate,3))</f>
      </c>
      <c r="P1082" s="43">
        <f>IF($I1082=0,0,$Q1081*INDEX(DarlErsatzZins,3))</f>
      </c>
      <c r="Q1082" s="43">
        <f>IF($I1082=0,0,$Q1081+$P1082+$O1082)</f>
      </c>
      <c r="R1082" s="43">
        <f>IF($I1082=0,0,$J1082-$M1082-$N1082)</f>
      </c>
    </row>
    <row r="1083">
      <c r="A1083"/>
      <c r="B1083">
        <v>3</v>
      </c>
      <c r="C1083" s="43">
        <f>INDEX(DarlObj,3)</f>
      </c>
      <c r="D1083">
        <v>120</v>
      </c>
      <c r="E1083" s="51">
        <f>IF(INDEX(DarlBelegt,3)=0,0,EOMONTH(INDEX(DarlAuszahlung,3),119)+1)</f>
      </c>
      <c r="F1083" s="43">
        <f>IF($E1083=0,0,YEAR($E1083))</f>
      </c>
      <c r="G1083" s="43">
        <f>IF(INDEX(DarlBindung,3)="",1,IF($E1083&lt;=INDEX(DarlBindung,3),1,0))</f>
      </c>
      <c r="H1083" s="43">
        <f>IF($G1083=1,INDEX(DarlSollzins,3),INDEX(DarlAnschluss,3))</f>
      </c>
      <c r="I1083" s="43">
        <f>IF(INDEX(DarlBelegt,3)=0,0,IF(INDEX(DarlOhneTilgung,3)=1,IF(INDEX(DarlBindung,3)="",1,$G1083),IF($J1083&gt;0.005,1,0)))</f>
      </c>
      <c r="J1083" s="43">
        <f>IF($I1082=0,0,$R1082)</f>
      </c>
      <c r="K1083" s="43">
        <f>IF($I1083=0,0,IF(INDEX(DarlOhneTilgung,3)=1,0,IF(AND(INDEX(DarlTilgStart,3)&gt;0,$E1083=INDEX(DarlTilgStart,3)),$J1083*($H1083+INDEX(DarlTilgung,3))/100/12,IF(AND($G1083=0,$G1082=1),MAX($K1082,$J1083*($H1083+1)/100/12),$K1082))))</f>
      </c>
      <c r="L1083" s="43">
        <f>IF($I1083=0,0,$J1083*$H1083/100/12)</f>
      </c>
      <c r="M1083" s="43">
        <f>IF($I1083=0,0,IF(OR(INDEX(DarlOhneTilgung,3)=1,AND(INDEX(DarlTilgStart,3)&gt;0,$E1083&lt;INDEX(DarlTilgStart,3))),0,MIN(MAX(0,$K1083-$L1083),$J1083)))</f>
      </c>
      <c r="N1083" s="43">
        <f>IF($I1083=0,0,MIN(SUMIFS(SondBetrag,SondDarl,3,SondDatum,"&gt;="&amp;$E1083,SondDatum,"&lt;="&amp;EOMONTH($E1083,0)),$J1083-$M1083))</f>
      </c>
      <c r="O1083" s="43">
        <f>IF($I1083=0,0,INDEX(DarlErsatzRate,3))</f>
      </c>
      <c r="P1083" s="43">
        <f>IF($I1083=0,0,$Q1082*INDEX(DarlErsatzZins,3))</f>
      </c>
      <c r="Q1083" s="43">
        <f>IF($I1083=0,0,$Q1082+$P1083+$O1083)</f>
      </c>
      <c r="R1083" s="43">
        <f>IF($I1083=0,0,$J1083-$M1083-$N1083)</f>
      </c>
    </row>
    <row r="1084">
      <c r="A1084"/>
      <c r="B1084">
        <v>3</v>
      </c>
      <c r="C1084" s="43">
        <f>INDEX(DarlObj,3)</f>
      </c>
      <c r="D1084">
        <v>121</v>
      </c>
      <c r="E1084" s="51">
        <f>IF(INDEX(DarlBelegt,3)=0,0,EOMONTH(INDEX(DarlAuszahlung,3),120)+1)</f>
      </c>
      <c r="F1084" s="43">
        <f>IF($E1084=0,0,YEAR($E1084))</f>
      </c>
      <c r="G1084" s="43">
        <f>IF(INDEX(DarlBindung,3)="",1,IF($E1084&lt;=INDEX(DarlBindung,3),1,0))</f>
      </c>
      <c r="H1084" s="43">
        <f>IF($G1084=1,INDEX(DarlSollzins,3),INDEX(DarlAnschluss,3))</f>
      </c>
      <c r="I1084" s="43">
        <f>IF(INDEX(DarlBelegt,3)=0,0,IF(INDEX(DarlOhneTilgung,3)=1,IF(INDEX(DarlBindung,3)="",1,$G1084),IF($J1084&gt;0.005,1,0)))</f>
      </c>
      <c r="J1084" s="43">
        <f>IF($I1083=0,0,$R1083)</f>
      </c>
      <c r="K1084" s="43">
        <f>IF($I1084=0,0,IF(INDEX(DarlOhneTilgung,3)=1,0,IF(AND(INDEX(DarlTilgStart,3)&gt;0,$E1084=INDEX(DarlTilgStart,3)),$J1084*($H1084+INDEX(DarlTilgung,3))/100/12,IF(AND($G1084=0,$G1083=1),MAX($K1083,$J1084*($H1084+1)/100/12),$K1083))))</f>
      </c>
      <c r="L1084" s="43">
        <f>IF($I1084=0,0,$J1084*$H1084/100/12)</f>
      </c>
      <c r="M1084" s="43">
        <f>IF($I1084=0,0,IF(OR(INDEX(DarlOhneTilgung,3)=1,AND(INDEX(DarlTilgStart,3)&gt;0,$E1084&lt;INDEX(DarlTilgStart,3))),0,MIN(MAX(0,$K1084-$L1084),$J1084)))</f>
      </c>
      <c r="N1084" s="43">
        <f>IF($I1084=0,0,MIN(SUMIFS(SondBetrag,SondDarl,3,SondDatum,"&gt;="&amp;$E1084,SondDatum,"&lt;="&amp;EOMONTH($E1084,0)),$J1084-$M1084))</f>
      </c>
      <c r="O1084" s="43">
        <f>IF($I1084=0,0,INDEX(DarlErsatzRate,3))</f>
      </c>
      <c r="P1084" s="43">
        <f>IF($I1084=0,0,$Q1083*INDEX(DarlErsatzZins,3))</f>
      </c>
      <c r="Q1084" s="43">
        <f>IF($I1084=0,0,$Q1083+$P1084+$O1084)</f>
      </c>
      <c r="R1084" s="43">
        <f>IF($I1084=0,0,$J1084-$M1084-$N1084)</f>
      </c>
    </row>
    <row r="1085">
      <c r="A1085"/>
      <c r="B1085">
        <v>3</v>
      </c>
      <c r="C1085" s="43">
        <f>INDEX(DarlObj,3)</f>
      </c>
      <c r="D1085">
        <v>122</v>
      </c>
      <c r="E1085" s="51">
        <f>IF(INDEX(DarlBelegt,3)=0,0,EOMONTH(INDEX(DarlAuszahlung,3),121)+1)</f>
      </c>
      <c r="F1085" s="43">
        <f>IF($E1085=0,0,YEAR($E1085))</f>
      </c>
      <c r="G1085" s="43">
        <f>IF(INDEX(DarlBindung,3)="",1,IF($E1085&lt;=INDEX(DarlBindung,3),1,0))</f>
      </c>
      <c r="H1085" s="43">
        <f>IF($G1085=1,INDEX(DarlSollzins,3),INDEX(DarlAnschluss,3))</f>
      </c>
      <c r="I1085" s="43">
        <f>IF(INDEX(DarlBelegt,3)=0,0,IF(INDEX(DarlOhneTilgung,3)=1,IF(INDEX(DarlBindung,3)="",1,$G1085),IF($J1085&gt;0.005,1,0)))</f>
      </c>
      <c r="J1085" s="43">
        <f>IF($I1084=0,0,$R1084)</f>
      </c>
      <c r="K1085" s="43">
        <f>IF($I1085=0,0,IF(INDEX(DarlOhneTilgung,3)=1,0,IF(AND(INDEX(DarlTilgStart,3)&gt;0,$E1085=INDEX(DarlTilgStart,3)),$J1085*($H1085+INDEX(DarlTilgung,3))/100/12,IF(AND($G1085=0,$G1084=1),MAX($K1084,$J1085*($H1085+1)/100/12),$K1084))))</f>
      </c>
      <c r="L1085" s="43">
        <f>IF($I1085=0,0,$J1085*$H1085/100/12)</f>
      </c>
      <c r="M1085" s="43">
        <f>IF($I1085=0,0,IF(OR(INDEX(DarlOhneTilgung,3)=1,AND(INDEX(DarlTilgStart,3)&gt;0,$E1085&lt;INDEX(DarlTilgStart,3))),0,MIN(MAX(0,$K1085-$L1085),$J1085)))</f>
      </c>
      <c r="N1085" s="43">
        <f>IF($I1085=0,0,MIN(SUMIFS(SondBetrag,SondDarl,3,SondDatum,"&gt;="&amp;$E1085,SondDatum,"&lt;="&amp;EOMONTH($E1085,0)),$J1085-$M1085))</f>
      </c>
      <c r="O1085" s="43">
        <f>IF($I1085=0,0,INDEX(DarlErsatzRate,3))</f>
      </c>
      <c r="P1085" s="43">
        <f>IF($I1085=0,0,$Q1084*INDEX(DarlErsatzZins,3))</f>
      </c>
      <c r="Q1085" s="43">
        <f>IF($I1085=0,0,$Q1084+$P1085+$O1085)</f>
      </c>
      <c r="R1085" s="43">
        <f>IF($I1085=0,0,$J1085-$M1085-$N1085)</f>
      </c>
    </row>
    <row r="1086">
      <c r="A1086"/>
      <c r="B1086">
        <v>3</v>
      </c>
      <c r="C1086" s="43">
        <f>INDEX(DarlObj,3)</f>
      </c>
      <c r="D1086">
        <v>123</v>
      </c>
      <c r="E1086" s="51">
        <f>IF(INDEX(DarlBelegt,3)=0,0,EOMONTH(INDEX(DarlAuszahlung,3),122)+1)</f>
      </c>
      <c r="F1086" s="43">
        <f>IF($E1086=0,0,YEAR($E1086))</f>
      </c>
      <c r="G1086" s="43">
        <f>IF(INDEX(DarlBindung,3)="",1,IF($E1086&lt;=INDEX(DarlBindung,3),1,0))</f>
      </c>
      <c r="H1086" s="43">
        <f>IF($G1086=1,INDEX(DarlSollzins,3),INDEX(DarlAnschluss,3))</f>
      </c>
      <c r="I1086" s="43">
        <f>IF(INDEX(DarlBelegt,3)=0,0,IF(INDEX(DarlOhneTilgung,3)=1,IF(INDEX(DarlBindung,3)="",1,$G1086),IF($J1086&gt;0.005,1,0)))</f>
      </c>
      <c r="J1086" s="43">
        <f>IF($I1085=0,0,$R1085)</f>
      </c>
      <c r="K1086" s="43">
        <f>IF($I1086=0,0,IF(INDEX(DarlOhneTilgung,3)=1,0,IF(AND(INDEX(DarlTilgStart,3)&gt;0,$E1086=INDEX(DarlTilgStart,3)),$J1086*($H1086+INDEX(DarlTilgung,3))/100/12,IF(AND($G1086=0,$G1085=1),MAX($K1085,$J1086*($H1086+1)/100/12),$K1085))))</f>
      </c>
      <c r="L1086" s="43">
        <f>IF($I1086=0,0,$J1086*$H1086/100/12)</f>
      </c>
      <c r="M1086" s="43">
        <f>IF($I1086=0,0,IF(OR(INDEX(DarlOhneTilgung,3)=1,AND(INDEX(DarlTilgStart,3)&gt;0,$E1086&lt;INDEX(DarlTilgStart,3))),0,MIN(MAX(0,$K1086-$L1086),$J1086)))</f>
      </c>
      <c r="N1086" s="43">
        <f>IF($I1086=0,0,MIN(SUMIFS(SondBetrag,SondDarl,3,SondDatum,"&gt;="&amp;$E1086,SondDatum,"&lt;="&amp;EOMONTH($E1086,0)),$J1086-$M1086))</f>
      </c>
      <c r="O1086" s="43">
        <f>IF($I1086=0,0,INDEX(DarlErsatzRate,3))</f>
      </c>
      <c r="P1086" s="43">
        <f>IF($I1086=0,0,$Q1085*INDEX(DarlErsatzZins,3))</f>
      </c>
      <c r="Q1086" s="43">
        <f>IF($I1086=0,0,$Q1085+$P1086+$O1086)</f>
      </c>
      <c r="R1086" s="43">
        <f>IF($I1086=0,0,$J1086-$M1086-$N1086)</f>
      </c>
    </row>
    <row r="1087">
      <c r="A1087"/>
      <c r="B1087">
        <v>3</v>
      </c>
      <c r="C1087" s="43">
        <f>INDEX(DarlObj,3)</f>
      </c>
      <c r="D1087">
        <v>124</v>
      </c>
      <c r="E1087" s="51">
        <f>IF(INDEX(DarlBelegt,3)=0,0,EOMONTH(INDEX(DarlAuszahlung,3),123)+1)</f>
      </c>
      <c r="F1087" s="43">
        <f>IF($E1087=0,0,YEAR($E1087))</f>
      </c>
      <c r="G1087" s="43">
        <f>IF(INDEX(DarlBindung,3)="",1,IF($E1087&lt;=INDEX(DarlBindung,3),1,0))</f>
      </c>
      <c r="H1087" s="43">
        <f>IF($G1087=1,INDEX(DarlSollzins,3),INDEX(DarlAnschluss,3))</f>
      </c>
      <c r="I1087" s="43">
        <f>IF(INDEX(DarlBelegt,3)=0,0,IF(INDEX(DarlOhneTilgung,3)=1,IF(INDEX(DarlBindung,3)="",1,$G1087),IF($J1087&gt;0.005,1,0)))</f>
      </c>
      <c r="J1087" s="43">
        <f>IF($I1086=0,0,$R1086)</f>
      </c>
      <c r="K1087" s="43">
        <f>IF($I1087=0,0,IF(INDEX(DarlOhneTilgung,3)=1,0,IF(AND(INDEX(DarlTilgStart,3)&gt;0,$E1087=INDEX(DarlTilgStart,3)),$J1087*($H1087+INDEX(DarlTilgung,3))/100/12,IF(AND($G1087=0,$G1086=1),MAX($K1086,$J1087*($H1087+1)/100/12),$K1086))))</f>
      </c>
      <c r="L1087" s="43">
        <f>IF($I1087=0,0,$J1087*$H1087/100/12)</f>
      </c>
      <c r="M1087" s="43">
        <f>IF($I1087=0,0,IF(OR(INDEX(DarlOhneTilgung,3)=1,AND(INDEX(DarlTilgStart,3)&gt;0,$E1087&lt;INDEX(DarlTilgStart,3))),0,MIN(MAX(0,$K1087-$L1087),$J1087)))</f>
      </c>
      <c r="N1087" s="43">
        <f>IF($I1087=0,0,MIN(SUMIFS(SondBetrag,SondDarl,3,SondDatum,"&gt;="&amp;$E1087,SondDatum,"&lt;="&amp;EOMONTH($E1087,0)),$J1087-$M1087))</f>
      </c>
      <c r="O1087" s="43">
        <f>IF($I1087=0,0,INDEX(DarlErsatzRate,3))</f>
      </c>
      <c r="P1087" s="43">
        <f>IF($I1087=0,0,$Q1086*INDEX(DarlErsatzZins,3))</f>
      </c>
      <c r="Q1087" s="43">
        <f>IF($I1087=0,0,$Q1086+$P1087+$O1087)</f>
      </c>
      <c r="R1087" s="43">
        <f>IF($I1087=0,0,$J1087-$M1087-$N1087)</f>
      </c>
    </row>
    <row r="1088">
      <c r="A1088"/>
      <c r="B1088">
        <v>3</v>
      </c>
      <c r="C1088" s="43">
        <f>INDEX(DarlObj,3)</f>
      </c>
      <c r="D1088">
        <v>125</v>
      </c>
      <c r="E1088" s="51">
        <f>IF(INDEX(DarlBelegt,3)=0,0,EOMONTH(INDEX(DarlAuszahlung,3),124)+1)</f>
      </c>
      <c r="F1088" s="43">
        <f>IF($E1088=0,0,YEAR($E1088))</f>
      </c>
      <c r="G1088" s="43">
        <f>IF(INDEX(DarlBindung,3)="",1,IF($E1088&lt;=INDEX(DarlBindung,3),1,0))</f>
      </c>
      <c r="H1088" s="43">
        <f>IF($G1088=1,INDEX(DarlSollzins,3),INDEX(DarlAnschluss,3))</f>
      </c>
      <c r="I1088" s="43">
        <f>IF(INDEX(DarlBelegt,3)=0,0,IF(INDEX(DarlOhneTilgung,3)=1,IF(INDEX(DarlBindung,3)="",1,$G1088),IF($J1088&gt;0.005,1,0)))</f>
      </c>
      <c r="J1088" s="43">
        <f>IF($I1087=0,0,$R1087)</f>
      </c>
      <c r="K1088" s="43">
        <f>IF($I1088=0,0,IF(INDEX(DarlOhneTilgung,3)=1,0,IF(AND(INDEX(DarlTilgStart,3)&gt;0,$E1088=INDEX(DarlTilgStart,3)),$J1088*($H1088+INDEX(DarlTilgung,3))/100/12,IF(AND($G1088=0,$G1087=1),MAX($K1087,$J1088*($H1088+1)/100/12),$K1087))))</f>
      </c>
      <c r="L1088" s="43">
        <f>IF($I1088=0,0,$J1088*$H1088/100/12)</f>
      </c>
      <c r="M1088" s="43">
        <f>IF($I1088=0,0,IF(OR(INDEX(DarlOhneTilgung,3)=1,AND(INDEX(DarlTilgStart,3)&gt;0,$E1088&lt;INDEX(DarlTilgStart,3))),0,MIN(MAX(0,$K1088-$L1088),$J1088)))</f>
      </c>
      <c r="N1088" s="43">
        <f>IF($I1088=0,0,MIN(SUMIFS(SondBetrag,SondDarl,3,SondDatum,"&gt;="&amp;$E1088,SondDatum,"&lt;="&amp;EOMONTH($E1088,0)),$J1088-$M1088))</f>
      </c>
      <c r="O1088" s="43">
        <f>IF($I1088=0,0,INDEX(DarlErsatzRate,3))</f>
      </c>
      <c r="P1088" s="43">
        <f>IF($I1088=0,0,$Q1087*INDEX(DarlErsatzZins,3))</f>
      </c>
      <c r="Q1088" s="43">
        <f>IF($I1088=0,0,$Q1087+$P1088+$O1088)</f>
      </c>
      <c r="R1088" s="43">
        <f>IF($I1088=0,0,$J1088-$M1088-$N1088)</f>
      </c>
    </row>
    <row r="1089">
      <c r="A1089"/>
      <c r="B1089">
        <v>3</v>
      </c>
      <c r="C1089" s="43">
        <f>INDEX(DarlObj,3)</f>
      </c>
      <c r="D1089">
        <v>126</v>
      </c>
      <c r="E1089" s="51">
        <f>IF(INDEX(DarlBelegt,3)=0,0,EOMONTH(INDEX(DarlAuszahlung,3),125)+1)</f>
      </c>
      <c r="F1089" s="43">
        <f>IF($E1089=0,0,YEAR($E1089))</f>
      </c>
      <c r="G1089" s="43">
        <f>IF(INDEX(DarlBindung,3)="",1,IF($E1089&lt;=INDEX(DarlBindung,3),1,0))</f>
      </c>
      <c r="H1089" s="43">
        <f>IF($G1089=1,INDEX(DarlSollzins,3),INDEX(DarlAnschluss,3))</f>
      </c>
      <c r="I1089" s="43">
        <f>IF(INDEX(DarlBelegt,3)=0,0,IF(INDEX(DarlOhneTilgung,3)=1,IF(INDEX(DarlBindung,3)="",1,$G1089),IF($J1089&gt;0.005,1,0)))</f>
      </c>
      <c r="J1089" s="43">
        <f>IF($I1088=0,0,$R1088)</f>
      </c>
      <c r="K1089" s="43">
        <f>IF($I1089=0,0,IF(INDEX(DarlOhneTilgung,3)=1,0,IF(AND(INDEX(DarlTilgStart,3)&gt;0,$E1089=INDEX(DarlTilgStart,3)),$J1089*($H1089+INDEX(DarlTilgung,3))/100/12,IF(AND($G1089=0,$G1088=1),MAX($K1088,$J1089*($H1089+1)/100/12),$K1088))))</f>
      </c>
      <c r="L1089" s="43">
        <f>IF($I1089=0,0,$J1089*$H1089/100/12)</f>
      </c>
      <c r="M1089" s="43">
        <f>IF($I1089=0,0,IF(OR(INDEX(DarlOhneTilgung,3)=1,AND(INDEX(DarlTilgStart,3)&gt;0,$E1089&lt;INDEX(DarlTilgStart,3))),0,MIN(MAX(0,$K1089-$L1089),$J1089)))</f>
      </c>
      <c r="N1089" s="43">
        <f>IF($I1089=0,0,MIN(SUMIFS(SondBetrag,SondDarl,3,SondDatum,"&gt;="&amp;$E1089,SondDatum,"&lt;="&amp;EOMONTH($E1089,0)),$J1089-$M1089))</f>
      </c>
      <c r="O1089" s="43">
        <f>IF($I1089=0,0,INDEX(DarlErsatzRate,3))</f>
      </c>
      <c r="P1089" s="43">
        <f>IF($I1089=0,0,$Q1088*INDEX(DarlErsatzZins,3))</f>
      </c>
      <c r="Q1089" s="43">
        <f>IF($I1089=0,0,$Q1088+$P1089+$O1089)</f>
      </c>
      <c r="R1089" s="43">
        <f>IF($I1089=0,0,$J1089-$M1089-$N1089)</f>
      </c>
    </row>
    <row r="1090">
      <c r="A1090"/>
      <c r="B1090">
        <v>3</v>
      </c>
      <c r="C1090" s="43">
        <f>INDEX(DarlObj,3)</f>
      </c>
      <c r="D1090">
        <v>127</v>
      </c>
      <c r="E1090" s="51">
        <f>IF(INDEX(DarlBelegt,3)=0,0,EOMONTH(INDEX(DarlAuszahlung,3),126)+1)</f>
      </c>
      <c r="F1090" s="43">
        <f>IF($E1090=0,0,YEAR($E1090))</f>
      </c>
      <c r="G1090" s="43">
        <f>IF(INDEX(DarlBindung,3)="",1,IF($E1090&lt;=INDEX(DarlBindung,3),1,0))</f>
      </c>
      <c r="H1090" s="43">
        <f>IF($G1090=1,INDEX(DarlSollzins,3),INDEX(DarlAnschluss,3))</f>
      </c>
      <c r="I1090" s="43">
        <f>IF(INDEX(DarlBelegt,3)=0,0,IF(INDEX(DarlOhneTilgung,3)=1,IF(INDEX(DarlBindung,3)="",1,$G1090),IF($J1090&gt;0.005,1,0)))</f>
      </c>
      <c r="J1090" s="43">
        <f>IF($I1089=0,0,$R1089)</f>
      </c>
      <c r="K1090" s="43">
        <f>IF($I1090=0,0,IF(INDEX(DarlOhneTilgung,3)=1,0,IF(AND(INDEX(DarlTilgStart,3)&gt;0,$E1090=INDEX(DarlTilgStart,3)),$J1090*($H1090+INDEX(DarlTilgung,3))/100/12,IF(AND($G1090=0,$G1089=1),MAX($K1089,$J1090*($H1090+1)/100/12),$K1089))))</f>
      </c>
      <c r="L1090" s="43">
        <f>IF($I1090=0,0,$J1090*$H1090/100/12)</f>
      </c>
      <c r="M1090" s="43">
        <f>IF($I1090=0,0,IF(OR(INDEX(DarlOhneTilgung,3)=1,AND(INDEX(DarlTilgStart,3)&gt;0,$E1090&lt;INDEX(DarlTilgStart,3))),0,MIN(MAX(0,$K1090-$L1090),$J1090)))</f>
      </c>
      <c r="N1090" s="43">
        <f>IF($I1090=0,0,MIN(SUMIFS(SondBetrag,SondDarl,3,SondDatum,"&gt;="&amp;$E1090,SondDatum,"&lt;="&amp;EOMONTH($E1090,0)),$J1090-$M1090))</f>
      </c>
      <c r="O1090" s="43">
        <f>IF($I1090=0,0,INDEX(DarlErsatzRate,3))</f>
      </c>
      <c r="P1090" s="43">
        <f>IF($I1090=0,0,$Q1089*INDEX(DarlErsatzZins,3))</f>
      </c>
      <c r="Q1090" s="43">
        <f>IF($I1090=0,0,$Q1089+$P1090+$O1090)</f>
      </c>
      <c r="R1090" s="43">
        <f>IF($I1090=0,0,$J1090-$M1090-$N1090)</f>
      </c>
    </row>
    <row r="1091">
      <c r="A1091"/>
      <c r="B1091">
        <v>3</v>
      </c>
      <c r="C1091" s="43">
        <f>INDEX(DarlObj,3)</f>
      </c>
      <c r="D1091">
        <v>128</v>
      </c>
      <c r="E1091" s="51">
        <f>IF(INDEX(DarlBelegt,3)=0,0,EOMONTH(INDEX(DarlAuszahlung,3),127)+1)</f>
      </c>
      <c r="F1091" s="43">
        <f>IF($E1091=0,0,YEAR($E1091))</f>
      </c>
      <c r="G1091" s="43">
        <f>IF(INDEX(DarlBindung,3)="",1,IF($E1091&lt;=INDEX(DarlBindung,3),1,0))</f>
      </c>
      <c r="H1091" s="43">
        <f>IF($G1091=1,INDEX(DarlSollzins,3),INDEX(DarlAnschluss,3))</f>
      </c>
      <c r="I1091" s="43">
        <f>IF(INDEX(DarlBelegt,3)=0,0,IF(INDEX(DarlOhneTilgung,3)=1,IF(INDEX(DarlBindung,3)="",1,$G1091),IF($J1091&gt;0.005,1,0)))</f>
      </c>
      <c r="J1091" s="43">
        <f>IF($I1090=0,0,$R1090)</f>
      </c>
      <c r="K1091" s="43">
        <f>IF($I1091=0,0,IF(INDEX(DarlOhneTilgung,3)=1,0,IF(AND(INDEX(DarlTilgStart,3)&gt;0,$E1091=INDEX(DarlTilgStart,3)),$J1091*($H1091+INDEX(DarlTilgung,3))/100/12,IF(AND($G1091=0,$G1090=1),MAX($K1090,$J1091*($H1091+1)/100/12),$K1090))))</f>
      </c>
      <c r="L1091" s="43">
        <f>IF($I1091=0,0,$J1091*$H1091/100/12)</f>
      </c>
      <c r="M1091" s="43">
        <f>IF($I1091=0,0,IF(OR(INDEX(DarlOhneTilgung,3)=1,AND(INDEX(DarlTilgStart,3)&gt;0,$E1091&lt;INDEX(DarlTilgStart,3))),0,MIN(MAX(0,$K1091-$L1091),$J1091)))</f>
      </c>
      <c r="N1091" s="43">
        <f>IF($I1091=0,0,MIN(SUMIFS(SondBetrag,SondDarl,3,SondDatum,"&gt;="&amp;$E1091,SondDatum,"&lt;="&amp;EOMONTH($E1091,0)),$J1091-$M1091))</f>
      </c>
      <c r="O1091" s="43">
        <f>IF($I1091=0,0,INDEX(DarlErsatzRate,3))</f>
      </c>
      <c r="P1091" s="43">
        <f>IF($I1091=0,0,$Q1090*INDEX(DarlErsatzZins,3))</f>
      </c>
      <c r="Q1091" s="43">
        <f>IF($I1091=0,0,$Q1090+$P1091+$O1091)</f>
      </c>
      <c r="R1091" s="43">
        <f>IF($I1091=0,0,$J1091-$M1091-$N1091)</f>
      </c>
    </row>
    <row r="1092">
      <c r="A1092"/>
      <c r="B1092">
        <v>3</v>
      </c>
      <c r="C1092" s="43">
        <f>INDEX(DarlObj,3)</f>
      </c>
      <c r="D1092">
        <v>129</v>
      </c>
      <c r="E1092" s="51">
        <f>IF(INDEX(DarlBelegt,3)=0,0,EOMONTH(INDEX(DarlAuszahlung,3),128)+1)</f>
      </c>
      <c r="F1092" s="43">
        <f>IF($E1092=0,0,YEAR($E1092))</f>
      </c>
      <c r="G1092" s="43">
        <f>IF(INDEX(DarlBindung,3)="",1,IF($E1092&lt;=INDEX(DarlBindung,3),1,0))</f>
      </c>
      <c r="H1092" s="43">
        <f>IF($G1092=1,INDEX(DarlSollzins,3),INDEX(DarlAnschluss,3))</f>
      </c>
      <c r="I1092" s="43">
        <f>IF(INDEX(DarlBelegt,3)=0,0,IF(INDEX(DarlOhneTilgung,3)=1,IF(INDEX(DarlBindung,3)="",1,$G1092),IF($J1092&gt;0.005,1,0)))</f>
      </c>
      <c r="J1092" s="43">
        <f>IF($I1091=0,0,$R1091)</f>
      </c>
      <c r="K1092" s="43">
        <f>IF($I1092=0,0,IF(INDEX(DarlOhneTilgung,3)=1,0,IF(AND(INDEX(DarlTilgStart,3)&gt;0,$E1092=INDEX(DarlTilgStart,3)),$J1092*($H1092+INDEX(DarlTilgung,3))/100/12,IF(AND($G1092=0,$G1091=1),MAX($K1091,$J1092*($H1092+1)/100/12),$K1091))))</f>
      </c>
      <c r="L1092" s="43">
        <f>IF($I1092=0,0,$J1092*$H1092/100/12)</f>
      </c>
      <c r="M1092" s="43">
        <f>IF($I1092=0,0,IF(OR(INDEX(DarlOhneTilgung,3)=1,AND(INDEX(DarlTilgStart,3)&gt;0,$E1092&lt;INDEX(DarlTilgStart,3))),0,MIN(MAX(0,$K1092-$L1092),$J1092)))</f>
      </c>
      <c r="N1092" s="43">
        <f>IF($I1092=0,0,MIN(SUMIFS(SondBetrag,SondDarl,3,SondDatum,"&gt;="&amp;$E1092,SondDatum,"&lt;="&amp;EOMONTH($E1092,0)),$J1092-$M1092))</f>
      </c>
      <c r="O1092" s="43">
        <f>IF($I1092=0,0,INDEX(DarlErsatzRate,3))</f>
      </c>
      <c r="P1092" s="43">
        <f>IF($I1092=0,0,$Q1091*INDEX(DarlErsatzZins,3))</f>
      </c>
      <c r="Q1092" s="43">
        <f>IF($I1092=0,0,$Q1091+$P1092+$O1092)</f>
      </c>
      <c r="R1092" s="43">
        <f>IF($I1092=0,0,$J1092-$M1092-$N1092)</f>
      </c>
    </row>
    <row r="1093">
      <c r="A1093"/>
      <c r="B1093">
        <v>3</v>
      </c>
      <c r="C1093" s="43">
        <f>INDEX(DarlObj,3)</f>
      </c>
      <c r="D1093">
        <v>130</v>
      </c>
      <c r="E1093" s="51">
        <f>IF(INDEX(DarlBelegt,3)=0,0,EOMONTH(INDEX(DarlAuszahlung,3),129)+1)</f>
      </c>
      <c r="F1093" s="43">
        <f>IF($E1093=0,0,YEAR($E1093))</f>
      </c>
      <c r="G1093" s="43">
        <f>IF(INDEX(DarlBindung,3)="",1,IF($E1093&lt;=INDEX(DarlBindung,3),1,0))</f>
      </c>
      <c r="H1093" s="43">
        <f>IF($G1093=1,INDEX(DarlSollzins,3),INDEX(DarlAnschluss,3))</f>
      </c>
      <c r="I1093" s="43">
        <f>IF(INDEX(DarlBelegt,3)=0,0,IF(INDEX(DarlOhneTilgung,3)=1,IF(INDEX(DarlBindung,3)="",1,$G1093),IF($J1093&gt;0.005,1,0)))</f>
      </c>
      <c r="J1093" s="43">
        <f>IF($I1092=0,0,$R1092)</f>
      </c>
      <c r="K1093" s="43">
        <f>IF($I1093=0,0,IF(INDEX(DarlOhneTilgung,3)=1,0,IF(AND(INDEX(DarlTilgStart,3)&gt;0,$E1093=INDEX(DarlTilgStart,3)),$J1093*($H1093+INDEX(DarlTilgung,3))/100/12,IF(AND($G1093=0,$G1092=1),MAX($K1092,$J1093*($H1093+1)/100/12),$K1092))))</f>
      </c>
      <c r="L1093" s="43">
        <f>IF($I1093=0,0,$J1093*$H1093/100/12)</f>
      </c>
      <c r="M1093" s="43">
        <f>IF($I1093=0,0,IF(OR(INDEX(DarlOhneTilgung,3)=1,AND(INDEX(DarlTilgStart,3)&gt;0,$E1093&lt;INDEX(DarlTilgStart,3))),0,MIN(MAX(0,$K1093-$L1093),$J1093)))</f>
      </c>
      <c r="N1093" s="43">
        <f>IF($I1093=0,0,MIN(SUMIFS(SondBetrag,SondDarl,3,SondDatum,"&gt;="&amp;$E1093,SondDatum,"&lt;="&amp;EOMONTH($E1093,0)),$J1093-$M1093))</f>
      </c>
      <c r="O1093" s="43">
        <f>IF($I1093=0,0,INDEX(DarlErsatzRate,3))</f>
      </c>
      <c r="P1093" s="43">
        <f>IF($I1093=0,0,$Q1092*INDEX(DarlErsatzZins,3))</f>
      </c>
      <c r="Q1093" s="43">
        <f>IF($I1093=0,0,$Q1092+$P1093+$O1093)</f>
      </c>
      <c r="R1093" s="43">
        <f>IF($I1093=0,0,$J1093-$M1093-$N1093)</f>
      </c>
    </row>
    <row r="1094">
      <c r="A1094"/>
      <c r="B1094">
        <v>3</v>
      </c>
      <c r="C1094" s="43">
        <f>INDEX(DarlObj,3)</f>
      </c>
      <c r="D1094">
        <v>131</v>
      </c>
      <c r="E1094" s="51">
        <f>IF(INDEX(DarlBelegt,3)=0,0,EOMONTH(INDEX(DarlAuszahlung,3),130)+1)</f>
      </c>
      <c r="F1094" s="43">
        <f>IF($E1094=0,0,YEAR($E1094))</f>
      </c>
      <c r="G1094" s="43">
        <f>IF(INDEX(DarlBindung,3)="",1,IF($E1094&lt;=INDEX(DarlBindung,3),1,0))</f>
      </c>
      <c r="H1094" s="43">
        <f>IF($G1094=1,INDEX(DarlSollzins,3),INDEX(DarlAnschluss,3))</f>
      </c>
      <c r="I1094" s="43">
        <f>IF(INDEX(DarlBelegt,3)=0,0,IF(INDEX(DarlOhneTilgung,3)=1,IF(INDEX(DarlBindung,3)="",1,$G1094),IF($J1094&gt;0.005,1,0)))</f>
      </c>
      <c r="J1094" s="43">
        <f>IF($I1093=0,0,$R1093)</f>
      </c>
      <c r="K1094" s="43">
        <f>IF($I1094=0,0,IF(INDEX(DarlOhneTilgung,3)=1,0,IF(AND(INDEX(DarlTilgStart,3)&gt;0,$E1094=INDEX(DarlTilgStart,3)),$J1094*($H1094+INDEX(DarlTilgung,3))/100/12,IF(AND($G1094=0,$G1093=1),MAX($K1093,$J1094*($H1094+1)/100/12),$K1093))))</f>
      </c>
      <c r="L1094" s="43">
        <f>IF($I1094=0,0,$J1094*$H1094/100/12)</f>
      </c>
      <c r="M1094" s="43">
        <f>IF($I1094=0,0,IF(OR(INDEX(DarlOhneTilgung,3)=1,AND(INDEX(DarlTilgStart,3)&gt;0,$E1094&lt;INDEX(DarlTilgStart,3))),0,MIN(MAX(0,$K1094-$L1094),$J1094)))</f>
      </c>
      <c r="N1094" s="43">
        <f>IF($I1094=0,0,MIN(SUMIFS(SondBetrag,SondDarl,3,SondDatum,"&gt;="&amp;$E1094,SondDatum,"&lt;="&amp;EOMONTH($E1094,0)),$J1094-$M1094))</f>
      </c>
      <c r="O1094" s="43">
        <f>IF($I1094=0,0,INDEX(DarlErsatzRate,3))</f>
      </c>
      <c r="P1094" s="43">
        <f>IF($I1094=0,0,$Q1093*INDEX(DarlErsatzZins,3))</f>
      </c>
      <c r="Q1094" s="43">
        <f>IF($I1094=0,0,$Q1093+$P1094+$O1094)</f>
      </c>
      <c r="R1094" s="43">
        <f>IF($I1094=0,0,$J1094-$M1094-$N1094)</f>
      </c>
    </row>
    <row r="1095">
      <c r="A1095"/>
      <c r="B1095">
        <v>3</v>
      </c>
      <c r="C1095" s="43">
        <f>INDEX(DarlObj,3)</f>
      </c>
      <c r="D1095">
        <v>132</v>
      </c>
      <c r="E1095" s="51">
        <f>IF(INDEX(DarlBelegt,3)=0,0,EOMONTH(INDEX(DarlAuszahlung,3),131)+1)</f>
      </c>
      <c r="F1095" s="43">
        <f>IF($E1095=0,0,YEAR($E1095))</f>
      </c>
      <c r="G1095" s="43">
        <f>IF(INDEX(DarlBindung,3)="",1,IF($E1095&lt;=INDEX(DarlBindung,3),1,0))</f>
      </c>
      <c r="H1095" s="43">
        <f>IF($G1095=1,INDEX(DarlSollzins,3),INDEX(DarlAnschluss,3))</f>
      </c>
      <c r="I1095" s="43">
        <f>IF(INDEX(DarlBelegt,3)=0,0,IF(INDEX(DarlOhneTilgung,3)=1,IF(INDEX(DarlBindung,3)="",1,$G1095),IF($J1095&gt;0.005,1,0)))</f>
      </c>
      <c r="J1095" s="43">
        <f>IF($I1094=0,0,$R1094)</f>
      </c>
      <c r="K1095" s="43">
        <f>IF($I1095=0,0,IF(INDEX(DarlOhneTilgung,3)=1,0,IF(AND(INDEX(DarlTilgStart,3)&gt;0,$E1095=INDEX(DarlTilgStart,3)),$J1095*($H1095+INDEX(DarlTilgung,3))/100/12,IF(AND($G1095=0,$G1094=1),MAX($K1094,$J1095*($H1095+1)/100/12),$K1094))))</f>
      </c>
      <c r="L1095" s="43">
        <f>IF($I1095=0,0,$J1095*$H1095/100/12)</f>
      </c>
      <c r="M1095" s="43">
        <f>IF($I1095=0,0,IF(OR(INDEX(DarlOhneTilgung,3)=1,AND(INDEX(DarlTilgStart,3)&gt;0,$E1095&lt;INDEX(DarlTilgStart,3))),0,MIN(MAX(0,$K1095-$L1095),$J1095)))</f>
      </c>
      <c r="N1095" s="43">
        <f>IF($I1095=0,0,MIN(SUMIFS(SondBetrag,SondDarl,3,SondDatum,"&gt;="&amp;$E1095,SondDatum,"&lt;="&amp;EOMONTH($E1095,0)),$J1095-$M1095))</f>
      </c>
      <c r="O1095" s="43">
        <f>IF($I1095=0,0,INDEX(DarlErsatzRate,3))</f>
      </c>
      <c r="P1095" s="43">
        <f>IF($I1095=0,0,$Q1094*INDEX(DarlErsatzZins,3))</f>
      </c>
      <c r="Q1095" s="43">
        <f>IF($I1095=0,0,$Q1094+$P1095+$O1095)</f>
      </c>
      <c r="R1095" s="43">
        <f>IF($I1095=0,0,$J1095-$M1095-$N1095)</f>
      </c>
    </row>
    <row r="1096">
      <c r="A1096"/>
      <c r="B1096">
        <v>3</v>
      </c>
      <c r="C1096" s="43">
        <f>INDEX(DarlObj,3)</f>
      </c>
      <c r="D1096">
        <v>133</v>
      </c>
      <c r="E1096" s="51">
        <f>IF(INDEX(DarlBelegt,3)=0,0,EOMONTH(INDEX(DarlAuszahlung,3),132)+1)</f>
      </c>
      <c r="F1096" s="43">
        <f>IF($E1096=0,0,YEAR($E1096))</f>
      </c>
      <c r="G1096" s="43">
        <f>IF(INDEX(DarlBindung,3)="",1,IF($E1096&lt;=INDEX(DarlBindung,3),1,0))</f>
      </c>
      <c r="H1096" s="43">
        <f>IF($G1096=1,INDEX(DarlSollzins,3),INDEX(DarlAnschluss,3))</f>
      </c>
      <c r="I1096" s="43">
        <f>IF(INDEX(DarlBelegt,3)=0,0,IF(INDEX(DarlOhneTilgung,3)=1,IF(INDEX(DarlBindung,3)="",1,$G1096),IF($J1096&gt;0.005,1,0)))</f>
      </c>
      <c r="J1096" s="43">
        <f>IF($I1095=0,0,$R1095)</f>
      </c>
      <c r="K1096" s="43">
        <f>IF($I1096=0,0,IF(INDEX(DarlOhneTilgung,3)=1,0,IF(AND(INDEX(DarlTilgStart,3)&gt;0,$E1096=INDEX(DarlTilgStart,3)),$J1096*($H1096+INDEX(DarlTilgung,3))/100/12,IF(AND($G1096=0,$G1095=1),MAX($K1095,$J1096*($H1096+1)/100/12),$K1095))))</f>
      </c>
      <c r="L1096" s="43">
        <f>IF($I1096=0,0,$J1096*$H1096/100/12)</f>
      </c>
      <c r="M1096" s="43">
        <f>IF($I1096=0,0,IF(OR(INDEX(DarlOhneTilgung,3)=1,AND(INDEX(DarlTilgStart,3)&gt;0,$E1096&lt;INDEX(DarlTilgStart,3))),0,MIN(MAX(0,$K1096-$L1096),$J1096)))</f>
      </c>
      <c r="N1096" s="43">
        <f>IF($I1096=0,0,MIN(SUMIFS(SondBetrag,SondDarl,3,SondDatum,"&gt;="&amp;$E1096,SondDatum,"&lt;="&amp;EOMONTH($E1096,0)),$J1096-$M1096))</f>
      </c>
      <c r="O1096" s="43">
        <f>IF($I1096=0,0,INDEX(DarlErsatzRate,3))</f>
      </c>
      <c r="P1096" s="43">
        <f>IF($I1096=0,0,$Q1095*INDEX(DarlErsatzZins,3))</f>
      </c>
      <c r="Q1096" s="43">
        <f>IF($I1096=0,0,$Q1095+$P1096+$O1096)</f>
      </c>
      <c r="R1096" s="43">
        <f>IF($I1096=0,0,$J1096-$M1096-$N1096)</f>
      </c>
    </row>
    <row r="1097">
      <c r="A1097"/>
      <c r="B1097">
        <v>3</v>
      </c>
      <c r="C1097" s="43">
        <f>INDEX(DarlObj,3)</f>
      </c>
      <c r="D1097">
        <v>134</v>
      </c>
      <c r="E1097" s="51">
        <f>IF(INDEX(DarlBelegt,3)=0,0,EOMONTH(INDEX(DarlAuszahlung,3),133)+1)</f>
      </c>
      <c r="F1097" s="43">
        <f>IF($E1097=0,0,YEAR($E1097))</f>
      </c>
      <c r="G1097" s="43">
        <f>IF(INDEX(DarlBindung,3)="",1,IF($E1097&lt;=INDEX(DarlBindung,3),1,0))</f>
      </c>
      <c r="H1097" s="43">
        <f>IF($G1097=1,INDEX(DarlSollzins,3),INDEX(DarlAnschluss,3))</f>
      </c>
      <c r="I1097" s="43">
        <f>IF(INDEX(DarlBelegt,3)=0,0,IF(INDEX(DarlOhneTilgung,3)=1,IF(INDEX(DarlBindung,3)="",1,$G1097),IF($J1097&gt;0.005,1,0)))</f>
      </c>
      <c r="J1097" s="43">
        <f>IF($I1096=0,0,$R1096)</f>
      </c>
      <c r="K1097" s="43">
        <f>IF($I1097=0,0,IF(INDEX(DarlOhneTilgung,3)=1,0,IF(AND(INDEX(DarlTilgStart,3)&gt;0,$E1097=INDEX(DarlTilgStart,3)),$J1097*($H1097+INDEX(DarlTilgung,3))/100/12,IF(AND($G1097=0,$G1096=1),MAX($K1096,$J1097*($H1097+1)/100/12),$K1096))))</f>
      </c>
      <c r="L1097" s="43">
        <f>IF($I1097=0,0,$J1097*$H1097/100/12)</f>
      </c>
      <c r="M1097" s="43">
        <f>IF($I1097=0,0,IF(OR(INDEX(DarlOhneTilgung,3)=1,AND(INDEX(DarlTilgStart,3)&gt;0,$E1097&lt;INDEX(DarlTilgStart,3))),0,MIN(MAX(0,$K1097-$L1097),$J1097)))</f>
      </c>
      <c r="N1097" s="43">
        <f>IF($I1097=0,0,MIN(SUMIFS(SondBetrag,SondDarl,3,SondDatum,"&gt;="&amp;$E1097,SondDatum,"&lt;="&amp;EOMONTH($E1097,0)),$J1097-$M1097))</f>
      </c>
      <c r="O1097" s="43">
        <f>IF($I1097=0,0,INDEX(DarlErsatzRate,3))</f>
      </c>
      <c r="P1097" s="43">
        <f>IF($I1097=0,0,$Q1096*INDEX(DarlErsatzZins,3))</f>
      </c>
      <c r="Q1097" s="43">
        <f>IF($I1097=0,0,$Q1096+$P1097+$O1097)</f>
      </c>
      <c r="R1097" s="43">
        <f>IF($I1097=0,0,$J1097-$M1097-$N1097)</f>
      </c>
    </row>
    <row r="1098">
      <c r="A1098"/>
      <c r="B1098">
        <v>3</v>
      </c>
      <c r="C1098" s="43">
        <f>INDEX(DarlObj,3)</f>
      </c>
      <c r="D1098">
        <v>135</v>
      </c>
      <c r="E1098" s="51">
        <f>IF(INDEX(DarlBelegt,3)=0,0,EOMONTH(INDEX(DarlAuszahlung,3),134)+1)</f>
      </c>
      <c r="F1098" s="43">
        <f>IF($E1098=0,0,YEAR($E1098))</f>
      </c>
      <c r="G1098" s="43">
        <f>IF(INDEX(DarlBindung,3)="",1,IF($E1098&lt;=INDEX(DarlBindung,3),1,0))</f>
      </c>
      <c r="H1098" s="43">
        <f>IF($G1098=1,INDEX(DarlSollzins,3),INDEX(DarlAnschluss,3))</f>
      </c>
      <c r="I1098" s="43">
        <f>IF(INDEX(DarlBelegt,3)=0,0,IF(INDEX(DarlOhneTilgung,3)=1,IF(INDEX(DarlBindung,3)="",1,$G1098),IF($J1098&gt;0.005,1,0)))</f>
      </c>
      <c r="J1098" s="43">
        <f>IF($I1097=0,0,$R1097)</f>
      </c>
      <c r="K1098" s="43">
        <f>IF($I1098=0,0,IF(INDEX(DarlOhneTilgung,3)=1,0,IF(AND(INDEX(DarlTilgStart,3)&gt;0,$E1098=INDEX(DarlTilgStart,3)),$J1098*($H1098+INDEX(DarlTilgung,3))/100/12,IF(AND($G1098=0,$G1097=1),MAX($K1097,$J1098*($H1098+1)/100/12),$K1097))))</f>
      </c>
      <c r="L1098" s="43">
        <f>IF($I1098=0,0,$J1098*$H1098/100/12)</f>
      </c>
      <c r="M1098" s="43">
        <f>IF($I1098=0,0,IF(OR(INDEX(DarlOhneTilgung,3)=1,AND(INDEX(DarlTilgStart,3)&gt;0,$E1098&lt;INDEX(DarlTilgStart,3))),0,MIN(MAX(0,$K1098-$L1098),$J1098)))</f>
      </c>
      <c r="N1098" s="43">
        <f>IF($I1098=0,0,MIN(SUMIFS(SondBetrag,SondDarl,3,SondDatum,"&gt;="&amp;$E1098,SondDatum,"&lt;="&amp;EOMONTH($E1098,0)),$J1098-$M1098))</f>
      </c>
      <c r="O1098" s="43">
        <f>IF($I1098=0,0,INDEX(DarlErsatzRate,3))</f>
      </c>
      <c r="P1098" s="43">
        <f>IF($I1098=0,0,$Q1097*INDEX(DarlErsatzZins,3))</f>
      </c>
      <c r="Q1098" s="43">
        <f>IF($I1098=0,0,$Q1097+$P1098+$O1098)</f>
      </c>
      <c r="R1098" s="43">
        <f>IF($I1098=0,0,$J1098-$M1098-$N1098)</f>
      </c>
    </row>
    <row r="1099">
      <c r="A1099"/>
      <c r="B1099">
        <v>3</v>
      </c>
      <c r="C1099" s="43">
        <f>INDEX(DarlObj,3)</f>
      </c>
      <c r="D1099">
        <v>136</v>
      </c>
      <c r="E1099" s="51">
        <f>IF(INDEX(DarlBelegt,3)=0,0,EOMONTH(INDEX(DarlAuszahlung,3),135)+1)</f>
      </c>
      <c r="F1099" s="43">
        <f>IF($E1099=0,0,YEAR($E1099))</f>
      </c>
      <c r="G1099" s="43">
        <f>IF(INDEX(DarlBindung,3)="",1,IF($E1099&lt;=INDEX(DarlBindung,3),1,0))</f>
      </c>
      <c r="H1099" s="43">
        <f>IF($G1099=1,INDEX(DarlSollzins,3),INDEX(DarlAnschluss,3))</f>
      </c>
      <c r="I1099" s="43">
        <f>IF(INDEX(DarlBelegt,3)=0,0,IF(INDEX(DarlOhneTilgung,3)=1,IF(INDEX(DarlBindung,3)="",1,$G1099),IF($J1099&gt;0.005,1,0)))</f>
      </c>
      <c r="J1099" s="43">
        <f>IF($I1098=0,0,$R1098)</f>
      </c>
      <c r="K1099" s="43">
        <f>IF($I1099=0,0,IF(INDEX(DarlOhneTilgung,3)=1,0,IF(AND(INDEX(DarlTilgStart,3)&gt;0,$E1099=INDEX(DarlTilgStart,3)),$J1099*($H1099+INDEX(DarlTilgung,3))/100/12,IF(AND($G1099=0,$G1098=1),MAX($K1098,$J1099*($H1099+1)/100/12),$K1098))))</f>
      </c>
      <c r="L1099" s="43">
        <f>IF($I1099=0,0,$J1099*$H1099/100/12)</f>
      </c>
      <c r="M1099" s="43">
        <f>IF($I1099=0,0,IF(OR(INDEX(DarlOhneTilgung,3)=1,AND(INDEX(DarlTilgStart,3)&gt;0,$E1099&lt;INDEX(DarlTilgStart,3))),0,MIN(MAX(0,$K1099-$L1099),$J1099)))</f>
      </c>
      <c r="N1099" s="43">
        <f>IF($I1099=0,0,MIN(SUMIFS(SondBetrag,SondDarl,3,SondDatum,"&gt;="&amp;$E1099,SondDatum,"&lt;="&amp;EOMONTH($E1099,0)),$J1099-$M1099))</f>
      </c>
      <c r="O1099" s="43">
        <f>IF($I1099=0,0,INDEX(DarlErsatzRate,3))</f>
      </c>
      <c r="P1099" s="43">
        <f>IF($I1099=0,0,$Q1098*INDEX(DarlErsatzZins,3))</f>
      </c>
      <c r="Q1099" s="43">
        <f>IF($I1099=0,0,$Q1098+$P1099+$O1099)</f>
      </c>
      <c r="R1099" s="43">
        <f>IF($I1099=0,0,$J1099-$M1099-$N1099)</f>
      </c>
    </row>
    <row r="1100">
      <c r="A1100"/>
      <c r="B1100">
        <v>3</v>
      </c>
      <c r="C1100" s="43">
        <f>INDEX(DarlObj,3)</f>
      </c>
      <c r="D1100">
        <v>137</v>
      </c>
      <c r="E1100" s="51">
        <f>IF(INDEX(DarlBelegt,3)=0,0,EOMONTH(INDEX(DarlAuszahlung,3),136)+1)</f>
      </c>
      <c r="F1100" s="43">
        <f>IF($E1100=0,0,YEAR($E1100))</f>
      </c>
      <c r="G1100" s="43">
        <f>IF(INDEX(DarlBindung,3)="",1,IF($E1100&lt;=INDEX(DarlBindung,3),1,0))</f>
      </c>
      <c r="H1100" s="43">
        <f>IF($G1100=1,INDEX(DarlSollzins,3),INDEX(DarlAnschluss,3))</f>
      </c>
      <c r="I1100" s="43">
        <f>IF(INDEX(DarlBelegt,3)=0,0,IF(INDEX(DarlOhneTilgung,3)=1,IF(INDEX(DarlBindung,3)="",1,$G1100),IF($J1100&gt;0.005,1,0)))</f>
      </c>
      <c r="J1100" s="43">
        <f>IF($I1099=0,0,$R1099)</f>
      </c>
      <c r="K1100" s="43">
        <f>IF($I1100=0,0,IF(INDEX(DarlOhneTilgung,3)=1,0,IF(AND(INDEX(DarlTilgStart,3)&gt;0,$E1100=INDEX(DarlTilgStart,3)),$J1100*($H1100+INDEX(DarlTilgung,3))/100/12,IF(AND($G1100=0,$G1099=1),MAX($K1099,$J1100*($H1100+1)/100/12),$K1099))))</f>
      </c>
      <c r="L1100" s="43">
        <f>IF($I1100=0,0,$J1100*$H1100/100/12)</f>
      </c>
      <c r="M1100" s="43">
        <f>IF($I1100=0,0,IF(OR(INDEX(DarlOhneTilgung,3)=1,AND(INDEX(DarlTilgStart,3)&gt;0,$E1100&lt;INDEX(DarlTilgStart,3))),0,MIN(MAX(0,$K1100-$L1100),$J1100)))</f>
      </c>
      <c r="N1100" s="43">
        <f>IF($I1100=0,0,MIN(SUMIFS(SondBetrag,SondDarl,3,SondDatum,"&gt;="&amp;$E1100,SondDatum,"&lt;="&amp;EOMONTH($E1100,0)),$J1100-$M1100))</f>
      </c>
      <c r="O1100" s="43">
        <f>IF($I1100=0,0,INDEX(DarlErsatzRate,3))</f>
      </c>
      <c r="P1100" s="43">
        <f>IF($I1100=0,0,$Q1099*INDEX(DarlErsatzZins,3))</f>
      </c>
      <c r="Q1100" s="43">
        <f>IF($I1100=0,0,$Q1099+$P1100+$O1100)</f>
      </c>
      <c r="R1100" s="43">
        <f>IF($I1100=0,0,$J1100-$M1100-$N1100)</f>
      </c>
    </row>
    <row r="1101">
      <c r="A1101"/>
      <c r="B1101">
        <v>3</v>
      </c>
      <c r="C1101" s="43">
        <f>INDEX(DarlObj,3)</f>
      </c>
      <c r="D1101">
        <v>138</v>
      </c>
      <c r="E1101" s="51">
        <f>IF(INDEX(DarlBelegt,3)=0,0,EOMONTH(INDEX(DarlAuszahlung,3),137)+1)</f>
      </c>
      <c r="F1101" s="43">
        <f>IF($E1101=0,0,YEAR($E1101))</f>
      </c>
      <c r="G1101" s="43">
        <f>IF(INDEX(DarlBindung,3)="",1,IF($E1101&lt;=INDEX(DarlBindung,3),1,0))</f>
      </c>
      <c r="H1101" s="43">
        <f>IF($G1101=1,INDEX(DarlSollzins,3),INDEX(DarlAnschluss,3))</f>
      </c>
      <c r="I1101" s="43">
        <f>IF(INDEX(DarlBelegt,3)=0,0,IF(INDEX(DarlOhneTilgung,3)=1,IF(INDEX(DarlBindung,3)="",1,$G1101),IF($J1101&gt;0.005,1,0)))</f>
      </c>
      <c r="J1101" s="43">
        <f>IF($I1100=0,0,$R1100)</f>
      </c>
      <c r="K1101" s="43">
        <f>IF($I1101=0,0,IF(INDEX(DarlOhneTilgung,3)=1,0,IF(AND(INDEX(DarlTilgStart,3)&gt;0,$E1101=INDEX(DarlTilgStart,3)),$J1101*($H1101+INDEX(DarlTilgung,3))/100/12,IF(AND($G1101=0,$G1100=1),MAX($K1100,$J1101*($H1101+1)/100/12),$K1100))))</f>
      </c>
      <c r="L1101" s="43">
        <f>IF($I1101=0,0,$J1101*$H1101/100/12)</f>
      </c>
      <c r="M1101" s="43">
        <f>IF($I1101=0,0,IF(OR(INDEX(DarlOhneTilgung,3)=1,AND(INDEX(DarlTilgStart,3)&gt;0,$E1101&lt;INDEX(DarlTilgStart,3))),0,MIN(MAX(0,$K1101-$L1101),$J1101)))</f>
      </c>
      <c r="N1101" s="43">
        <f>IF($I1101=0,0,MIN(SUMIFS(SondBetrag,SondDarl,3,SondDatum,"&gt;="&amp;$E1101,SondDatum,"&lt;="&amp;EOMONTH($E1101,0)),$J1101-$M1101))</f>
      </c>
      <c r="O1101" s="43">
        <f>IF($I1101=0,0,INDEX(DarlErsatzRate,3))</f>
      </c>
      <c r="P1101" s="43">
        <f>IF($I1101=0,0,$Q1100*INDEX(DarlErsatzZins,3))</f>
      </c>
      <c r="Q1101" s="43">
        <f>IF($I1101=0,0,$Q1100+$P1101+$O1101)</f>
      </c>
      <c r="R1101" s="43">
        <f>IF($I1101=0,0,$J1101-$M1101-$N1101)</f>
      </c>
    </row>
    <row r="1102">
      <c r="A1102"/>
      <c r="B1102">
        <v>3</v>
      </c>
      <c r="C1102" s="43">
        <f>INDEX(DarlObj,3)</f>
      </c>
      <c r="D1102">
        <v>139</v>
      </c>
      <c r="E1102" s="51">
        <f>IF(INDEX(DarlBelegt,3)=0,0,EOMONTH(INDEX(DarlAuszahlung,3),138)+1)</f>
      </c>
      <c r="F1102" s="43">
        <f>IF($E1102=0,0,YEAR($E1102))</f>
      </c>
      <c r="G1102" s="43">
        <f>IF(INDEX(DarlBindung,3)="",1,IF($E1102&lt;=INDEX(DarlBindung,3),1,0))</f>
      </c>
      <c r="H1102" s="43">
        <f>IF($G1102=1,INDEX(DarlSollzins,3),INDEX(DarlAnschluss,3))</f>
      </c>
      <c r="I1102" s="43">
        <f>IF(INDEX(DarlBelegt,3)=0,0,IF(INDEX(DarlOhneTilgung,3)=1,IF(INDEX(DarlBindung,3)="",1,$G1102),IF($J1102&gt;0.005,1,0)))</f>
      </c>
      <c r="J1102" s="43">
        <f>IF($I1101=0,0,$R1101)</f>
      </c>
      <c r="K1102" s="43">
        <f>IF($I1102=0,0,IF(INDEX(DarlOhneTilgung,3)=1,0,IF(AND(INDEX(DarlTilgStart,3)&gt;0,$E1102=INDEX(DarlTilgStart,3)),$J1102*($H1102+INDEX(DarlTilgung,3))/100/12,IF(AND($G1102=0,$G1101=1),MAX($K1101,$J1102*($H1102+1)/100/12),$K1101))))</f>
      </c>
      <c r="L1102" s="43">
        <f>IF($I1102=0,0,$J1102*$H1102/100/12)</f>
      </c>
      <c r="M1102" s="43">
        <f>IF($I1102=0,0,IF(OR(INDEX(DarlOhneTilgung,3)=1,AND(INDEX(DarlTilgStart,3)&gt;0,$E1102&lt;INDEX(DarlTilgStart,3))),0,MIN(MAX(0,$K1102-$L1102),$J1102)))</f>
      </c>
      <c r="N1102" s="43">
        <f>IF($I1102=0,0,MIN(SUMIFS(SondBetrag,SondDarl,3,SondDatum,"&gt;="&amp;$E1102,SondDatum,"&lt;="&amp;EOMONTH($E1102,0)),$J1102-$M1102))</f>
      </c>
      <c r="O1102" s="43">
        <f>IF($I1102=0,0,INDEX(DarlErsatzRate,3))</f>
      </c>
      <c r="P1102" s="43">
        <f>IF($I1102=0,0,$Q1101*INDEX(DarlErsatzZins,3))</f>
      </c>
      <c r="Q1102" s="43">
        <f>IF($I1102=0,0,$Q1101+$P1102+$O1102)</f>
      </c>
      <c r="R1102" s="43">
        <f>IF($I1102=0,0,$J1102-$M1102-$N1102)</f>
      </c>
    </row>
    <row r="1103">
      <c r="A1103"/>
      <c r="B1103">
        <v>3</v>
      </c>
      <c r="C1103" s="43">
        <f>INDEX(DarlObj,3)</f>
      </c>
      <c r="D1103">
        <v>140</v>
      </c>
      <c r="E1103" s="51">
        <f>IF(INDEX(DarlBelegt,3)=0,0,EOMONTH(INDEX(DarlAuszahlung,3),139)+1)</f>
      </c>
      <c r="F1103" s="43">
        <f>IF($E1103=0,0,YEAR($E1103))</f>
      </c>
      <c r="G1103" s="43">
        <f>IF(INDEX(DarlBindung,3)="",1,IF($E1103&lt;=INDEX(DarlBindung,3),1,0))</f>
      </c>
      <c r="H1103" s="43">
        <f>IF($G1103=1,INDEX(DarlSollzins,3),INDEX(DarlAnschluss,3))</f>
      </c>
      <c r="I1103" s="43">
        <f>IF(INDEX(DarlBelegt,3)=0,0,IF(INDEX(DarlOhneTilgung,3)=1,IF(INDEX(DarlBindung,3)="",1,$G1103),IF($J1103&gt;0.005,1,0)))</f>
      </c>
      <c r="J1103" s="43">
        <f>IF($I1102=0,0,$R1102)</f>
      </c>
      <c r="K1103" s="43">
        <f>IF($I1103=0,0,IF(INDEX(DarlOhneTilgung,3)=1,0,IF(AND(INDEX(DarlTilgStart,3)&gt;0,$E1103=INDEX(DarlTilgStart,3)),$J1103*($H1103+INDEX(DarlTilgung,3))/100/12,IF(AND($G1103=0,$G1102=1),MAX($K1102,$J1103*($H1103+1)/100/12),$K1102))))</f>
      </c>
      <c r="L1103" s="43">
        <f>IF($I1103=0,0,$J1103*$H1103/100/12)</f>
      </c>
      <c r="M1103" s="43">
        <f>IF($I1103=0,0,IF(OR(INDEX(DarlOhneTilgung,3)=1,AND(INDEX(DarlTilgStart,3)&gt;0,$E1103&lt;INDEX(DarlTilgStart,3))),0,MIN(MAX(0,$K1103-$L1103),$J1103)))</f>
      </c>
      <c r="N1103" s="43">
        <f>IF($I1103=0,0,MIN(SUMIFS(SondBetrag,SondDarl,3,SondDatum,"&gt;="&amp;$E1103,SondDatum,"&lt;="&amp;EOMONTH($E1103,0)),$J1103-$M1103))</f>
      </c>
      <c r="O1103" s="43">
        <f>IF($I1103=0,0,INDEX(DarlErsatzRate,3))</f>
      </c>
      <c r="P1103" s="43">
        <f>IF($I1103=0,0,$Q1102*INDEX(DarlErsatzZins,3))</f>
      </c>
      <c r="Q1103" s="43">
        <f>IF($I1103=0,0,$Q1102+$P1103+$O1103)</f>
      </c>
      <c r="R1103" s="43">
        <f>IF($I1103=0,0,$J1103-$M1103-$N1103)</f>
      </c>
    </row>
    <row r="1104">
      <c r="A1104"/>
      <c r="B1104">
        <v>3</v>
      </c>
      <c r="C1104" s="43">
        <f>INDEX(DarlObj,3)</f>
      </c>
      <c r="D1104">
        <v>141</v>
      </c>
      <c r="E1104" s="51">
        <f>IF(INDEX(DarlBelegt,3)=0,0,EOMONTH(INDEX(DarlAuszahlung,3),140)+1)</f>
      </c>
      <c r="F1104" s="43">
        <f>IF($E1104=0,0,YEAR($E1104))</f>
      </c>
      <c r="G1104" s="43">
        <f>IF(INDEX(DarlBindung,3)="",1,IF($E1104&lt;=INDEX(DarlBindung,3),1,0))</f>
      </c>
      <c r="H1104" s="43">
        <f>IF($G1104=1,INDEX(DarlSollzins,3),INDEX(DarlAnschluss,3))</f>
      </c>
      <c r="I1104" s="43">
        <f>IF(INDEX(DarlBelegt,3)=0,0,IF(INDEX(DarlOhneTilgung,3)=1,IF(INDEX(DarlBindung,3)="",1,$G1104),IF($J1104&gt;0.005,1,0)))</f>
      </c>
      <c r="J1104" s="43">
        <f>IF($I1103=0,0,$R1103)</f>
      </c>
      <c r="K1104" s="43">
        <f>IF($I1104=0,0,IF(INDEX(DarlOhneTilgung,3)=1,0,IF(AND(INDEX(DarlTilgStart,3)&gt;0,$E1104=INDEX(DarlTilgStart,3)),$J1104*($H1104+INDEX(DarlTilgung,3))/100/12,IF(AND($G1104=0,$G1103=1),MAX($K1103,$J1104*($H1104+1)/100/12),$K1103))))</f>
      </c>
      <c r="L1104" s="43">
        <f>IF($I1104=0,0,$J1104*$H1104/100/12)</f>
      </c>
      <c r="M1104" s="43">
        <f>IF($I1104=0,0,IF(OR(INDEX(DarlOhneTilgung,3)=1,AND(INDEX(DarlTilgStart,3)&gt;0,$E1104&lt;INDEX(DarlTilgStart,3))),0,MIN(MAX(0,$K1104-$L1104),$J1104)))</f>
      </c>
      <c r="N1104" s="43">
        <f>IF($I1104=0,0,MIN(SUMIFS(SondBetrag,SondDarl,3,SondDatum,"&gt;="&amp;$E1104,SondDatum,"&lt;="&amp;EOMONTH($E1104,0)),$J1104-$M1104))</f>
      </c>
      <c r="O1104" s="43">
        <f>IF($I1104=0,0,INDEX(DarlErsatzRate,3))</f>
      </c>
      <c r="P1104" s="43">
        <f>IF($I1104=0,0,$Q1103*INDEX(DarlErsatzZins,3))</f>
      </c>
      <c r="Q1104" s="43">
        <f>IF($I1104=0,0,$Q1103+$P1104+$O1104)</f>
      </c>
      <c r="R1104" s="43">
        <f>IF($I1104=0,0,$J1104-$M1104-$N1104)</f>
      </c>
    </row>
    <row r="1105">
      <c r="A1105"/>
      <c r="B1105">
        <v>3</v>
      </c>
      <c r="C1105" s="43">
        <f>INDEX(DarlObj,3)</f>
      </c>
      <c r="D1105">
        <v>142</v>
      </c>
      <c r="E1105" s="51">
        <f>IF(INDEX(DarlBelegt,3)=0,0,EOMONTH(INDEX(DarlAuszahlung,3),141)+1)</f>
      </c>
      <c r="F1105" s="43">
        <f>IF($E1105=0,0,YEAR($E1105))</f>
      </c>
      <c r="G1105" s="43">
        <f>IF(INDEX(DarlBindung,3)="",1,IF($E1105&lt;=INDEX(DarlBindung,3),1,0))</f>
      </c>
      <c r="H1105" s="43">
        <f>IF($G1105=1,INDEX(DarlSollzins,3),INDEX(DarlAnschluss,3))</f>
      </c>
      <c r="I1105" s="43">
        <f>IF(INDEX(DarlBelegt,3)=0,0,IF(INDEX(DarlOhneTilgung,3)=1,IF(INDEX(DarlBindung,3)="",1,$G1105),IF($J1105&gt;0.005,1,0)))</f>
      </c>
      <c r="J1105" s="43">
        <f>IF($I1104=0,0,$R1104)</f>
      </c>
      <c r="K1105" s="43">
        <f>IF($I1105=0,0,IF(INDEX(DarlOhneTilgung,3)=1,0,IF(AND(INDEX(DarlTilgStart,3)&gt;0,$E1105=INDEX(DarlTilgStart,3)),$J1105*($H1105+INDEX(DarlTilgung,3))/100/12,IF(AND($G1105=0,$G1104=1),MAX($K1104,$J1105*($H1105+1)/100/12),$K1104))))</f>
      </c>
      <c r="L1105" s="43">
        <f>IF($I1105=0,0,$J1105*$H1105/100/12)</f>
      </c>
      <c r="M1105" s="43">
        <f>IF($I1105=0,0,IF(OR(INDEX(DarlOhneTilgung,3)=1,AND(INDEX(DarlTilgStart,3)&gt;0,$E1105&lt;INDEX(DarlTilgStart,3))),0,MIN(MAX(0,$K1105-$L1105),$J1105)))</f>
      </c>
      <c r="N1105" s="43">
        <f>IF($I1105=0,0,MIN(SUMIFS(SondBetrag,SondDarl,3,SondDatum,"&gt;="&amp;$E1105,SondDatum,"&lt;="&amp;EOMONTH($E1105,0)),$J1105-$M1105))</f>
      </c>
      <c r="O1105" s="43">
        <f>IF($I1105=0,0,INDEX(DarlErsatzRate,3))</f>
      </c>
      <c r="P1105" s="43">
        <f>IF($I1105=0,0,$Q1104*INDEX(DarlErsatzZins,3))</f>
      </c>
      <c r="Q1105" s="43">
        <f>IF($I1105=0,0,$Q1104+$P1105+$O1105)</f>
      </c>
      <c r="R1105" s="43">
        <f>IF($I1105=0,0,$J1105-$M1105-$N1105)</f>
      </c>
    </row>
    <row r="1106">
      <c r="A1106"/>
      <c r="B1106">
        <v>3</v>
      </c>
      <c r="C1106" s="43">
        <f>INDEX(DarlObj,3)</f>
      </c>
      <c r="D1106">
        <v>143</v>
      </c>
      <c r="E1106" s="51">
        <f>IF(INDEX(DarlBelegt,3)=0,0,EOMONTH(INDEX(DarlAuszahlung,3),142)+1)</f>
      </c>
      <c r="F1106" s="43">
        <f>IF($E1106=0,0,YEAR($E1106))</f>
      </c>
      <c r="G1106" s="43">
        <f>IF(INDEX(DarlBindung,3)="",1,IF($E1106&lt;=INDEX(DarlBindung,3),1,0))</f>
      </c>
      <c r="H1106" s="43">
        <f>IF($G1106=1,INDEX(DarlSollzins,3),INDEX(DarlAnschluss,3))</f>
      </c>
      <c r="I1106" s="43">
        <f>IF(INDEX(DarlBelegt,3)=0,0,IF(INDEX(DarlOhneTilgung,3)=1,IF(INDEX(DarlBindung,3)="",1,$G1106),IF($J1106&gt;0.005,1,0)))</f>
      </c>
      <c r="J1106" s="43">
        <f>IF($I1105=0,0,$R1105)</f>
      </c>
      <c r="K1106" s="43">
        <f>IF($I1106=0,0,IF(INDEX(DarlOhneTilgung,3)=1,0,IF(AND(INDEX(DarlTilgStart,3)&gt;0,$E1106=INDEX(DarlTilgStart,3)),$J1106*($H1106+INDEX(DarlTilgung,3))/100/12,IF(AND($G1106=0,$G1105=1),MAX($K1105,$J1106*($H1106+1)/100/12),$K1105))))</f>
      </c>
      <c r="L1106" s="43">
        <f>IF($I1106=0,0,$J1106*$H1106/100/12)</f>
      </c>
      <c r="M1106" s="43">
        <f>IF($I1106=0,0,IF(OR(INDEX(DarlOhneTilgung,3)=1,AND(INDEX(DarlTilgStart,3)&gt;0,$E1106&lt;INDEX(DarlTilgStart,3))),0,MIN(MAX(0,$K1106-$L1106),$J1106)))</f>
      </c>
      <c r="N1106" s="43">
        <f>IF($I1106=0,0,MIN(SUMIFS(SondBetrag,SondDarl,3,SondDatum,"&gt;="&amp;$E1106,SondDatum,"&lt;="&amp;EOMONTH($E1106,0)),$J1106-$M1106))</f>
      </c>
      <c r="O1106" s="43">
        <f>IF($I1106=0,0,INDEX(DarlErsatzRate,3))</f>
      </c>
      <c r="P1106" s="43">
        <f>IF($I1106=0,0,$Q1105*INDEX(DarlErsatzZins,3))</f>
      </c>
      <c r="Q1106" s="43">
        <f>IF($I1106=0,0,$Q1105+$P1106+$O1106)</f>
      </c>
      <c r="R1106" s="43">
        <f>IF($I1106=0,0,$J1106-$M1106-$N1106)</f>
      </c>
    </row>
    <row r="1107">
      <c r="A1107"/>
      <c r="B1107">
        <v>3</v>
      </c>
      <c r="C1107" s="43">
        <f>INDEX(DarlObj,3)</f>
      </c>
      <c r="D1107">
        <v>144</v>
      </c>
      <c r="E1107" s="51">
        <f>IF(INDEX(DarlBelegt,3)=0,0,EOMONTH(INDEX(DarlAuszahlung,3),143)+1)</f>
      </c>
      <c r="F1107" s="43">
        <f>IF($E1107=0,0,YEAR($E1107))</f>
      </c>
      <c r="G1107" s="43">
        <f>IF(INDEX(DarlBindung,3)="",1,IF($E1107&lt;=INDEX(DarlBindung,3),1,0))</f>
      </c>
      <c r="H1107" s="43">
        <f>IF($G1107=1,INDEX(DarlSollzins,3),INDEX(DarlAnschluss,3))</f>
      </c>
      <c r="I1107" s="43">
        <f>IF(INDEX(DarlBelegt,3)=0,0,IF(INDEX(DarlOhneTilgung,3)=1,IF(INDEX(DarlBindung,3)="",1,$G1107),IF($J1107&gt;0.005,1,0)))</f>
      </c>
      <c r="J1107" s="43">
        <f>IF($I1106=0,0,$R1106)</f>
      </c>
      <c r="K1107" s="43">
        <f>IF($I1107=0,0,IF(INDEX(DarlOhneTilgung,3)=1,0,IF(AND(INDEX(DarlTilgStart,3)&gt;0,$E1107=INDEX(DarlTilgStart,3)),$J1107*($H1107+INDEX(DarlTilgung,3))/100/12,IF(AND($G1107=0,$G1106=1),MAX($K1106,$J1107*($H1107+1)/100/12),$K1106))))</f>
      </c>
      <c r="L1107" s="43">
        <f>IF($I1107=0,0,$J1107*$H1107/100/12)</f>
      </c>
      <c r="M1107" s="43">
        <f>IF($I1107=0,0,IF(OR(INDEX(DarlOhneTilgung,3)=1,AND(INDEX(DarlTilgStart,3)&gt;0,$E1107&lt;INDEX(DarlTilgStart,3))),0,MIN(MAX(0,$K1107-$L1107),$J1107)))</f>
      </c>
      <c r="N1107" s="43">
        <f>IF($I1107=0,0,MIN(SUMIFS(SondBetrag,SondDarl,3,SondDatum,"&gt;="&amp;$E1107,SondDatum,"&lt;="&amp;EOMONTH($E1107,0)),$J1107-$M1107))</f>
      </c>
      <c r="O1107" s="43">
        <f>IF($I1107=0,0,INDEX(DarlErsatzRate,3))</f>
      </c>
      <c r="P1107" s="43">
        <f>IF($I1107=0,0,$Q1106*INDEX(DarlErsatzZins,3))</f>
      </c>
      <c r="Q1107" s="43">
        <f>IF($I1107=0,0,$Q1106+$P1107+$O1107)</f>
      </c>
      <c r="R1107" s="43">
        <f>IF($I1107=0,0,$J1107-$M1107-$N1107)</f>
      </c>
    </row>
    <row r="1108">
      <c r="A1108"/>
      <c r="B1108">
        <v>3</v>
      </c>
      <c r="C1108" s="43">
        <f>INDEX(DarlObj,3)</f>
      </c>
      <c r="D1108">
        <v>145</v>
      </c>
      <c r="E1108" s="51">
        <f>IF(INDEX(DarlBelegt,3)=0,0,EOMONTH(INDEX(DarlAuszahlung,3),144)+1)</f>
      </c>
      <c r="F1108" s="43">
        <f>IF($E1108=0,0,YEAR($E1108))</f>
      </c>
      <c r="G1108" s="43">
        <f>IF(INDEX(DarlBindung,3)="",1,IF($E1108&lt;=INDEX(DarlBindung,3),1,0))</f>
      </c>
      <c r="H1108" s="43">
        <f>IF($G1108=1,INDEX(DarlSollzins,3),INDEX(DarlAnschluss,3))</f>
      </c>
      <c r="I1108" s="43">
        <f>IF(INDEX(DarlBelegt,3)=0,0,IF(INDEX(DarlOhneTilgung,3)=1,IF(INDEX(DarlBindung,3)="",1,$G1108),IF($J1108&gt;0.005,1,0)))</f>
      </c>
      <c r="J1108" s="43">
        <f>IF($I1107=0,0,$R1107)</f>
      </c>
      <c r="K1108" s="43">
        <f>IF($I1108=0,0,IF(INDEX(DarlOhneTilgung,3)=1,0,IF(AND(INDEX(DarlTilgStart,3)&gt;0,$E1108=INDEX(DarlTilgStart,3)),$J1108*($H1108+INDEX(DarlTilgung,3))/100/12,IF(AND($G1108=0,$G1107=1),MAX($K1107,$J1108*($H1108+1)/100/12),$K1107))))</f>
      </c>
      <c r="L1108" s="43">
        <f>IF($I1108=0,0,$J1108*$H1108/100/12)</f>
      </c>
      <c r="M1108" s="43">
        <f>IF($I1108=0,0,IF(OR(INDEX(DarlOhneTilgung,3)=1,AND(INDEX(DarlTilgStart,3)&gt;0,$E1108&lt;INDEX(DarlTilgStart,3))),0,MIN(MAX(0,$K1108-$L1108),$J1108)))</f>
      </c>
      <c r="N1108" s="43">
        <f>IF($I1108=0,0,MIN(SUMIFS(SondBetrag,SondDarl,3,SondDatum,"&gt;="&amp;$E1108,SondDatum,"&lt;="&amp;EOMONTH($E1108,0)),$J1108-$M1108))</f>
      </c>
      <c r="O1108" s="43">
        <f>IF($I1108=0,0,INDEX(DarlErsatzRate,3))</f>
      </c>
      <c r="P1108" s="43">
        <f>IF($I1108=0,0,$Q1107*INDEX(DarlErsatzZins,3))</f>
      </c>
      <c r="Q1108" s="43">
        <f>IF($I1108=0,0,$Q1107+$P1108+$O1108)</f>
      </c>
      <c r="R1108" s="43">
        <f>IF($I1108=0,0,$J1108-$M1108-$N1108)</f>
      </c>
    </row>
    <row r="1109">
      <c r="A1109"/>
      <c r="B1109">
        <v>3</v>
      </c>
      <c r="C1109" s="43">
        <f>INDEX(DarlObj,3)</f>
      </c>
      <c r="D1109">
        <v>146</v>
      </c>
      <c r="E1109" s="51">
        <f>IF(INDEX(DarlBelegt,3)=0,0,EOMONTH(INDEX(DarlAuszahlung,3),145)+1)</f>
      </c>
      <c r="F1109" s="43">
        <f>IF($E1109=0,0,YEAR($E1109))</f>
      </c>
      <c r="G1109" s="43">
        <f>IF(INDEX(DarlBindung,3)="",1,IF($E1109&lt;=INDEX(DarlBindung,3),1,0))</f>
      </c>
      <c r="H1109" s="43">
        <f>IF($G1109=1,INDEX(DarlSollzins,3),INDEX(DarlAnschluss,3))</f>
      </c>
      <c r="I1109" s="43">
        <f>IF(INDEX(DarlBelegt,3)=0,0,IF(INDEX(DarlOhneTilgung,3)=1,IF(INDEX(DarlBindung,3)="",1,$G1109),IF($J1109&gt;0.005,1,0)))</f>
      </c>
      <c r="J1109" s="43">
        <f>IF($I1108=0,0,$R1108)</f>
      </c>
      <c r="K1109" s="43">
        <f>IF($I1109=0,0,IF(INDEX(DarlOhneTilgung,3)=1,0,IF(AND(INDEX(DarlTilgStart,3)&gt;0,$E1109=INDEX(DarlTilgStart,3)),$J1109*($H1109+INDEX(DarlTilgung,3))/100/12,IF(AND($G1109=0,$G1108=1),MAX($K1108,$J1109*($H1109+1)/100/12),$K1108))))</f>
      </c>
      <c r="L1109" s="43">
        <f>IF($I1109=0,0,$J1109*$H1109/100/12)</f>
      </c>
      <c r="M1109" s="43">
        <f>IF($I1109=0,0,IF(OR(INDEX(DarlOhneTilgung,3)=1,AND(INDEX(DarlTilgStart,3)&gt;0,$E1109&lt;INDEX(DarlTilgStart,3))),0,MIN(MAX(0,$K1109-$L1109),$J1109)))</f>
      </c>
      <c r="N1109" s="43">
        <f>IF($I1109=0,0,MIN(SUMIFS(SondBetrag,SondDarl,3,SondDatum,"&gt;="&amp;$E1109,SondDatum,"&lt;="&amp;EOMONTH($E1109,0)),$J1109-$M1109))</f>
      </c>
      <c r="O1109" s="43">
        <f>IF($I1109=0,0,INDEX(DarlErsatzRate,3))</f>
      </c>
      <c r="P1109" s="43">
        <f>IF($I1109=0,0,$Q1108*INDEX(DarlErsatzZins,3))</f>
      </c>
      <c r="Q1109" s="43">
        <f>IF($I1109=0,0,$Q1108+$P1109+$O1109)</f>
      </c>
      <c r="R1109" s="43">
        <f>IF($I1109=0,0,$J1109-$M1109-$N1109)</f>
      </c>
    </row>
    <row r="1110">
      <c r="A1110"/>
      <c r="B1110">
        <v>3</v>
      </c>
      <c r="C1110" s="43">
        <f>INDEX(DarlObj,3)</f>
      </c>
      <c r="D1110">
        <v>147</v>
      </c>
      <c r="E1110" s="51">
        <f>IF(INDEX(DarlBelegt,3)=0,0,EOMONTH(INDEX(DarlAuszahlung,3),146)+1)</f>
      </c>
      <c r="F1110" s="43">
        <f>IF($E1110=0,0,YEAR($E1110))</f>
      </c>
      <c r="G1110" s="43">
        <f>IF(INDEX(DarlBindung,3)="",1,IF($E1110&lt;=INDEX(DarlBindung,3),1,0))</f>
      </c>
      <c r="H1110" s="43">
        <f>IF($G1110=1,INDEX(DarlSollzins,3),INDEX(DarlAnschluss,3))</f>
      </c>
      <c r="I1110" s="43">
        <f>IF(INDEX(DarlBelegt,3)=0,0,IF(INDEX(DarlOhneTilgung,3)=1,IF(INDEX(DarlBindung,3)="",1,$G1110),IF($J1110&gt;0.005,1,0)))</f>
      </c>
      <c r="J1110" s="43">
        <f>IF($I1109=0,0,$R1109)</f>
      </c>
      <c r="K1110" s="43">
        <f>IF($I1110=0,0,IF(INDEX(DarlOhneTilgung,3)=1,0,IF(AND(INDEX(DarlTilgStart,3)&gt;0,$E1110=INDEX(DarlTilgStart,3)),$J1110*($H1110+INDEX(DarlTilgung,3))/100/12,IF(AND($G1110=0,$G1109=1),MAX($K1109,$J1110*($H1110+1)/100/12),$K1109))))</f>
      </c>
      <c r="L1110" s="43">
        <f>IF($I1110=0,0,$J1110*$H1110/100/12)</f>
      </c>
      <c r="M1110" s="43">
        <f>IF($I1110=0,0,IF(OR(INDEX(DarlOhneTilgung,3)=1,AND(INDEX(DarlTilgStart,3)&gt;0,$E1110&lt;INDEX(DarlTilgStart,3))),0,MIN(MAX(0,$K1110-$L1110),$J1110)))</f>
      </c>
      <c r="N1110" s="43">
        <f>IF($I1110=0,0,MIN(SUMIFS(SondBetrag,SondDarl,3,SondDatum,"&gt;="&amp;$E1110,SondDatum,"&lt;="&amp;EOMONTH($E1110,0)),$J1110-$M1110))</f>
      </c>
      <c r="O1110" s="43">
        <f>IF($I1110=0,0,INDEX(DarlErsatzRate,3))</f>
      </c>
      <c r="P1110" s="43">
        <f>IF($I1110=0,0,$Q1109*INDEX(DarlErsatzZins,3))</f>
      </c>
      <c r="Q1110" s="43">
        <f>IF($I1110=0,0,$Q1109+$P1110+$O1110)</f>
      </c>
      <c r="R1110" s="43">
        <f>IF($I1110=0,0,$J1110-$M1110-$N1110)</f>
      </c>
    </row>
    <row r="1111">
      <c r="A1111"/>
      <c r="B1111">
        <v>3</v>
      </c>
      <c r="C1111" s="43">
        <f>INDEX(DarlObj,3)</f>
      </c>
      <c r="D1111">
        <v>148</v>
      </c>
      <c r="E1111" s="51">
        <f>IF(INDEX(DarlBelegt,3)=0,0,EOMONTH(INDEX(DarlAuszahlung,3),147)+1)</f>
      </c>
      <c r="F1111" s="43">
        <f>IF($E1111=0,0,YEAR($E1111))</f>
      </c>
      <c r="G1111" s="43">
        <f>IF(INDEX(DarlBindung,3)="",1,IF($E1111&lt;=INDEX(DarlBindung,3),1,0))</f>
      </c>
      <c r="H1111" s="43">
        <f>IF($G1111=1,INDEX(DarlSollzins,3),INDEX(DarlAnschluss,3))</f>
      </c>
      <c r="I1111" s="43">
        <f>IF(INDEX(DarlBelegt,3)=0,0,IF(INDEX(DarlOhneTilgung,3)=1,IF(INDEX(DarlBindung,3)="",1,$G1111),IF($J1111&gt;0.005,1,0)))</f>
      </c>
      <c r="J1111" s="43">
        <f>IF($I1110=0,0,$R1110)</f>
      </c>
      <c r="K1111" s="43">
        <f>IF($I1111=0,0,IF(INDEX(DarlOhneTilgung,3)=1,0,IF(AND(INDEX(DarlTilgStart,3)&gt;0,$E1111=INDEX(DarlTilgStart,3)),$J1111*($H1111+INDEX(DarlTilgung,3))/100/12,IF(AND($G1111=0,$G1110=1),MAX($K1110,$J1111*($H1111+1)/100/12),$K1110))))</f>
      </c>
      <c r="L1111" s="43">
        <f>IF($I1111=0,0,$J1111*$H1111/100/12)</f>
      </c>
      <c r="M1111" s="43">
        <f>IF($I1111=0,0,IF(OR(INDEX(DarlOhneTilgung,3)=1,AND(INDEX(DarlTilgStart,3)&gt;0,$E1111&lt;INDEX(DarlTilgStart,3))),0,MIN(MAX(0,$K1111-$L1111),$J1111)))</f>
      </c>
      <c r="N1111" s="43">
        <f>IF($I1111=0,0,MIN(SUMIFS(SondBetrag,SondDarl,3,SondDatum,"&gt;="&amp;$E1111,SondDatum,"&lt;="&amp;EOMONTH($E1111,0)),$J1111-$M1111))</f>
      </c>
      <c r="O1111" s="43">
        <f>IF($I1111=0,0,INDEX(DarlErsatzRate,3))</f>
      </c>
      <c r="P1111" s="43">
        <f>IF($I1111=0,0,$Q1110*INDEX(DarlErsatzZins,3))</f>
      </c>
      <c r="Q1111" s="43">
        <f>IF($I1111=0,0,$Q1110+$P1111+$O1111)</f>
      </c>
      <c r="R1111" s="43">
        <f>IF($I1111=0,0,$J1111-$M1111-$N1111)</f>
      </c>
    </row>
    <row r="1112">
      <c r="A1112"/>
      <c r="B1112">
        <v>3</v>
      </c>
      <c r="C1112" s="43">
        <f>INDEX(DarlObj,3)</f>
      </c>
      <c r="D1112">
        <v>149</v>
      </c>
      <c r="E1112" s="51">
        <f>IF(INDEX(DarlBelegt,3)=0,0,EOMONTH(INDEX(DarlAuszahlung,3),148)+1)</f>
      </c>
      <c r="F1112" s="43">
        <f>IF($E1112=0,0,YEAR($E1112))</f>
      </c>
      <c r="G1112" s="43">
        <f>IF(INDEX(DarlBindung,3)="",1,IF($E1112&lt;=INDEX(DarlBindung,3),1,0))</f>
      </c>
      <c r="H1112" s="43">
        <f>IF($G1112=1,INDEX(DarlSollzins,3),INDEX(DarlAnschluss,3))</f>
      </c>
      <c r="I1112" s="43">
        <f>IF(INDEX(DarlBelegt,3)=0,0,IF(INDEX(DarlOhneTilgung,3)=1,IF(INDEX(DarlBindung,3)="",1,$G1112),IF($J1112&gt;0.005,1,0)))</f>
      </c>
      <c r="J1112" s="43">
        <f>IF($I1111=0,0,$R1111)</f>
      </c>
      <c r="K1112" s="43">
        <f>IF($I1112=0,0,IF(INDEX(DarlOhneTilgung,3)=1,0,IF(AND(INDEX(DarlTilgStart,3)&gt;0,$E1112=INDEX(DarlTilgStart,3)),$J1112*($H1112+INDEX(DarlTilgung,3))/100/12,IF(AND($G1112=0,$G1111=1),MAX($K1111,$J1112*($H1112+1)/100/12),$K1111))))</f>
      </c>
      <c r="L1112" s="43">
        <f>IF($I1112=0,0,$J1112*$H1112/100/12)</f>
      </c>
      <c r="M1112" s="43">
        <f>IF($I1112=0,0,IF(OR(INDEX(DarlOhneTilgung,3)=1,AND(INDEX(DarlTilgStart,3)&gt;0,$E1112&lt;INDEX(DarlTilgStart,3))),0,MIN(MAX(0,$K1112-$L1112),$J1112)))</f>
      </c>
      <c r="N1112" s="43">
        <f>IF($I1112=0,0,MIN(SUMIFS(SondBetrag,SondDarl,3,SondDatum,"&gt;="&amp;$E1112,SondDatum,"&lt;="&amp;EOMONTH($E1112,0)),$J1112-$M1112))</f>
      </c>
      <c r="O1112" s="43">
        <f>IF($I1112=0,0,INDEX(DarlErsatzRate,3))</f>
      </c>
      <c r="P1112" s="43">
        <f>IF($I1112=0,0,$Q1111*INDEX(DarlErsatzZins,3))</f>
      </c>
      <c r="Q1112" s="43">
        <f>IF($I1112=0,0,$Q1111+$P1112+$O1112)</f>
      </c>
      <c r="R1112" s="43">
        <f>IF($I1112=0,0,$J1112-$M1112-$N1112)</f>
      </c>
    </row>
    <row r="1113">
      <c r="A1113"/>
      <c r="B1113">
        <v>3</v>
      </c>
      <c r="C1113" s="43">
        <f>INDEX(DarlObj,3)</f>
      </c>
      <c r="D1113">
        <v>150</v>
      </c>
      <c r="E1113" s="51">
        <f>IF(INDEX(DarlBelegt,3)=0,0,EOMONTH(INDEX(DarlAuszahlung,3),149)+1)</f>
      </c>
      <c r="F1113" s="43">
        <f>IF($E1113=0,0,YEAR($E1113))</f>
      </c>
      <c r="G1113" s="43">
        <f>IF(INDEX(DarlBindung,3)="",1,IF($E1113&lt;=INDEX(DarlBindung,3),1,0))</f>
      </c>
      <c r="H1113" s="43">
        <f>IF($G1113=1,INDEX(DarlSollzins,3),INDEX(DarlAnschluss,3))</f>
      </c>
      <c r="I1113" s="43">
        <f>IF(INDEX(DarlBelegt,3)=0,0,IF(INDEX(DarlOhneTilgung,3)=1,IF(INDEX(DarlBindung,3)="",1,$G1113),IF($J1113&gt;0.005,1,0)))</f>
      </c>
      <c r="J1113" s="43">
        <f>IF($I1112=0,0,$R1112)</f>
      </c>
      <c r="K1113" s="43">
        <f>IF($I1113=0,0,IF(INDEX(DarlOhneTilgung,3)=1,0,IF(AND(INDEX(DarlTilgStart,3)&gt;0,$E1113=INDEX(DarlTilgStart,3)),$J1113*($H1113+INDEX(DarlTilgung,3))/100/12,IF(AND($G1113=0,$G1112=1),MAX($K1112,$J1113*($H1113+1)/100/12),$K1112))))</f>
      </c>
      <c r="L1113" s="43">
        <f>IF($I1113=0,0,$J1113*$H1113/100/12)</f>
      </c>
      <c r="M1113" s="43">
        <f>IF($I1113=0,0,IF(OR(INDEX(DarlOhneTilgung,3)=1,AND(INDEX(DarlTilgStart,3)&gt;0,$E1113&lt;INDEX(DarlTilgStart,3))),0,MIN(MAX(0,$K1113-$L1113),$J1113)))</f>
      </c>
      <c r="N1113" s="43">
        <f>IF($I1113=0,0,MIN(SUMIFS(SondBetrag,SondDarl,3,SondDatum,"&gt;="&amp;$E1113,SondDatum,"&lt;="&amp;EOMONTH($E1113,0)),$J1113-$M1113))</f>
      </c>
      <c r="O1113" s="43">
        <f>IF($I1113=0,0,INDEX(DarlErsatzRate,3))</f>
      </c>
      <c r="P1113" s="43">
        <f>IF($I1113=0,0,$Q1112*INDEX(DarlErsatzZins,3))</f>
      </c>
      <c r="Q1113" s="43">
        <f>IF($I1113=0,0,$Q1112+$P1113+$O1113)</f>
      </c>
      <c r="R1113" s="43">
        <f>IF($I1113=0,0,$J1113-$M1113-$N1113)</f>
      </c>
    </row>
    <row r="1114">
      <c r="A1114"/>
      <c r="B1114">
        <v>3</v>
      </c>
      <c r="C1114" s="43">
        <f>INDEX(DarlObj,3)</f>
      </c>
      <c r="D1114">
        <v>151</v>
      </c>
      <c r="E1114" s="51">
        <f>IF(INDEX(DarlBelegt,3)=0,0,EOMONTH(INDEX(DarlAuszahlung,3),150)+1)</f>
      </c>
      <c r="F1114" s="43">
        <f>IF($E1114=0,0,YEAR($E1114))</f>
      </c>
      <c r="G1114" s="43">
        <f>IF(INDEX(DarlBindung,3)="",1,IF($E1114&lt;=INDEX(DarlBindung,3),1,0))</f>
      </c>
      <c r="H1114" s="43">
        <f>IF($G1114=1,INDEX(DarlSollzins,3),INDEX(DarlAnschluss,3))</f>
      </c>
      <c r="I1114" s="43">
        <f>IF(INDEX(DarlBelegt,3)=0,0,IF(INDEX(DarlOhneTilgung,3)=1,IF(INDEX(DarlBindung,3)="",1,$G1114),IF($J1114&gt;0.005,1,0)))</f>
      </c>
      <c r="J1114" s="43">
        <f>IF($I1113=0,0,$R1113)</f>
      </c>
      <c r="K1114" s="43">
        <f>IF($I1114=0,0,IF(INDEX(DarlOhneTilgung,3)=1,0,IF(AND(INDEX(DarlTilgStart,3)&gt;0,$E1114=INDEX(DarlTilgStart,3)),$J1114*($H1114+INDEX(DarlTilgung,3))/100/12,IF(AND($G1114=0,$G1113=1),MAX($K1113,$J1114*($H1114+1)/100/12),$K1113))))</f>
      </c>
      <c r="L1114" s="43">
        <f>IF($I1114=0,0,$J1114*$H1114/100/12)</f>
      </c>
      <c r="M1114" s="43">
        <f>IF($I1114=0,0,IF(OR(INDEX(DarlOhneTilgung,3)=1,AND(INDEX(DarlTilgStart,3)&gt;0,$E1114&lt;INDEX(DarlTilgStart,3))),0,MIN(MAX(0,$K1114-$L1114),$J1114)))</f>
      </c>
      <c r="N1114" s="43">
        <f>IF($I1114=0,0,MIN(SUMIFS(SondBetrag,SondDarl,3,SondDatum,"&gt;="&amp;$E1114,SondDatum,"&lt;="&amp;EOMONTH($E1114,0)),$J1114-$M1114))</f>
      </c>
      <c r="O1114" s="43">
        <f>IF($I1114=0,0,INDEX(DarlErsatzRate,3))</f>
      </c>
      <c r="P1114" s="43">
        <f>IF($I1114=0,0,$Q1113*INDEX(DarlErsatzZins,3))</f>
      </c>
      <c r="Q1114" s="43">
        <f>IF($I1114=0,0,$Q1113+$P1114+$O1114)</f>
      </c>
      <c r="R1114" s="43">
        <f>IF($I1114=0,0,$J1114-$M1114-$N1114)</f>
      </c>
    </row>
    <row r="1115">
      <c r="A1115"/>
      <c r="B1115">
        <v>3</v>
      </c>
      <c r="C1115" s="43">
        <f>INDEX(DarlObj,3)</f>
      </c>
      <c r="D1115">
        <v>152</v>
      </c>
      <c r="E1115" s="51">
        <f>IF(INDEX(DarlBelegt,3)=0,0,EOMONTH(INDEX(DarlAuszahlung,3),151)+1)</f>
      </c>
      <c r="F1115" s="43">
        <f>IF($E1115=0,0,YEAR($E1115))</f>
      </c>
      <c r="G1115" s="43">
        <f>IF(INDEX(DarlBindung,3)="",1,IF($E1115&lt;=INDEX(DarlBindung,3),1,0))</f>
      </c>
      <c r="H1115" s="43">
        <f>IF($G1115=1,INDEX(DarlSollzins,3),INDEX(DarlAnschluss,3))</f>
      </c>
      <c r="I1115" s="43">
        <f>IF(INDEX(DarlBelegt,3)=0,0,IF(INDEX(DarlOhneTilgung,3)=1,IF(INDEX(DarlBindung,3)="",1,$G1115),IF($J1115&gt;0.005,1,0)))</f>
      </c>
      <c r="J1115" s="43">
        <f>IF($I1114=0,0,$R1114)</f>
      </c>
      <c r="K1115" s="43">
        <f>IF($I1115=0,0,IF(INDEX(DarlOhneTilgung,3)=1,0,IF(AND(INDEX(DarlTilgStart,3)&gt;0,$E1115=INDEX(DarlTilgStart,3)),$J1115*($H1115+INDEX(DarlTilgung,3))/100/12,IF(AND($G1115=0,$G1114=1),MAX($K1114,$J1115*($H1115+1)/100/12),$K1114))))</f>
      </c>
      <c r="L1115" s="43">
        <f>IF($I1115=0,0,$J1115*$H1115/100/12)</f>
      </c>
      <c r="M1115" s="43">
        <f>IF($I1115=0,0,IF(OR(INDEX(DarlOhneTilgung,3)=1,AND(INDEX(DarlTilgStart,3)&gt;0,$E1115&lt;INDEX(DarlTilgStart,3))),0,MIN(MAX(0,$K1115-$L1115),$J1115)))</f>
      </c>
      <c r="N1115" s="43">
        <f>IF($I1115=0,0,MIN(SUMIFS(SondBetrag,SondDarl,3,SondDatum,"&gt;="&amp;$E1115,SondDatum,"&lt;="&amp;EOMONTH($E1115,0)),$J1115-$M1115))</f>
      </c>
      <c r="O1115" s="43">
        <f>IF($I1115=0,0,INDEX(DarlErsatzRate,3))</f>
      </c>
      <c r="P1115" s="43">
        <f>IF($I1115=0,0,$Q1114*INDEX(DarlErsatzZins,3))</f>
      </c>
      <c r="Q1115" s="43">
        <f>IF($I1115=0,0,$Q1114+$P1115+$O1115)</f>
      </c>
      <c r="R1115" s="43">
        <f>IF($I1115=0,0,$J1115-$M1115-$N1115)</f>
      </c>
    </row>
    <row r="1116">
      <c r="A1116"/>
      <c r="B1116">
        <v>3</v>
      </c>
      <c r="C1116" s="43">
        <f>INDEX(DarlObj,3)</f>
      </c>
      <c r="D1116">
        <v>153</v>
      </c>
      <c r="E1116" s="51">
        <f>IF(INDEX(DarlBelegt,3)=0,0,EOMONTH(INDEX(DarlAuszahlung,3),152)+1)</f>
      </c>
      <c r="F1116" s="43">
        <f>IF($E1116=0,0,YEAR($E1116))</f>
      </c>
      <c r="G1116" s="43">
        <f>IF(INDEX(DarlBindung,3)="",1,IF($E1116&lt;=INDEX(DarlBindung,3),1,0))</f>
      </c>
      <c r="H1116" s="43">
        <f>IF($G1116=1,INDEX(DarlSollzins,3),INDEX(DarlAnschluss,3))</f>
      </c>
      <c r="I1116" s="43">
        <f>IF(INDEX(DarlBelegt,3)=0,0,IF(INDEX(DarlOhneTilgung,3)=1,IF(INDEX(DarlBindung,3)="",1,$G1116),IF($J1116&gt;0.005,1,0)))</f>
      </c>
      <c r="J1116" s="43">
        <f>IF($I1115=0,0,$R1115)</f>
      </c>
      <c r="K1116" s="43">
        <f>IF($I1116=0,0,IF(INDEX(DarlOhneTilgung,3)=1,0,IF(AND(INDEX(DarlTilgStart,3)&gt;0,$E1116=INDEX(DarlTilgStart,3)),$J1116*($H1116+INDEX(DarlTilgung,3))/100/12,IF(AND($G1116=0,$G1115=1),MAX($K1115,$J1116*($H1116+1)/100/12),$K1115))))</f>
      </c>
      <c r="L1116" s="43">
        <f>IF($I1116=0,0,$J1116*$H1116/100/12)</f>
      </c>
      <c r="M1116" s="43">
        <f>IF($I1116=0,0,IF(OR(INDEX(DarlOhneTilgung,3)=1,AND(INDEX(DarlTilgStart,3)&gt;0,$E1116&lt;INDEX(DarlTilgStart,3))),0,MIN(MAX(0,$K1116-$L1116),$J1116)))</f>
      </c>
      <c r="N1116" s="43">
        <f>IF($I1116=0,0,MIN(SUMIFS(SondBetrag,SondDarl,3,SondDatum,"&gt;="&amp;$E1116,SondDatum,"&lt;="&amp;EOMONTH($E1116,0)),$J1116-$M1116))</f>
      </c>
      <c r="O1116" s="43">
        <f>IF($I1116=0,0,INDEX(DarlErsatzRate,3))</f>
      </c>
      <c r="P1116" s="43">
        <f>IF($I1116=0,0,$Q1115*INDEX(DarlErsatzZins,3))</f>
      </c>
      <c r="Q1116" s="43">
        <f>IF($I1116=0,0,$Q1115+$P1116+$O1116)</f>
      </c>
      <c r="R1116" s="43">
        <f>IF($I1116=0,0,$J1116-$M1116-$N1116)</f>
      </c>
    </row>
    <row r="1117">
      <c r="A1117"/>
      <c r="B1117">
        <v>3</v>
      </c>
      <c r="C1117" s="43">
        <f>INDEX(DarlObj,3)</f>
      </c>
      <c r="D1117">
        <v>154</v>
      </c>
      <c r="E1117" s="51">
        <f>IF(INDEX(DarlBelegt,3)=0,0,EOMONTH(INDEX(DarlAuszahlung,3),153)+1)</f>
      </c>
      <c r="F1117" s="43">
        <f>IF($E1117=0,0,YEAR($E1117))</f>
      </c>
      <c r="G1117" s="43">
        <f>IF(INDEX(DarlBindung,3)="",1,IF($E1117&lt;=INDEX(DarlBindung,3),1,0))</f>
      </c>
      <c r="H1117" s="43">
        <f>IF($G1117=1,INDEX(DarlSollzins,3),INDEX(DarlAnschluss,3))</f>
      </c>
      <c r="I1117" s="43">
        <f>IF(INDEX(DarlBelegt,3)=0,0,IF(INDEX(DarlOhneTilgung,3)=1,IF(INDEX(DarlBindung,3)="",1,$G1117),IF($J1117&gt;0.005,1,0)))</f>
      </c>
      <c r="J1117" s="43">
        <f>IF($I1116=0,0,$R1116)</f>
      </c>
      <c r="K1117" s="43">
        <f>IF($I1117=0,0,IF(INDEX(DarlOhneTilgung,3)=1,0,IF(AND(INDEX(DarlTilgStart,3)&gt;0,$E1117=INDEX(DarlTilgStart,3)),$J1117*($H1117+INDEX(DarlTilgung,3))/100/12,IF(AND($G1117=0,$G1116=1),MAX($K1116,$J1117*($H1117+1)/100/12),$K1116))))</f>
      </c>
      <c r="L1117" s="43">
        <f>IF($I1117=0,0,$J1117*$H1117/100/12)</f>
      </c>
      <c r="M1117" s="43">
        <f>IF($I1117=0,0,IF(OR(INDEX(DarlOhneTilgung,3)=1,AND(INDEX(DarlTilgStart,3)&gt;0,$E1117&lt;INDEX(DarlTilgStart,3))),0,MIN(MAX(0,$K1117-$L1117),$J1117)))</f>
      </c>
      <c r="N1117" s="43">
        <f>IF($I1117=0,0,MIN(SUMIFS(SondBetrag,SondDarl,3,SondDatum,"&gt;="&amp;$E1117,SondDatum,"&lt;="&amp;EOMONTH($E1117,0)),$J1117-$M1117))</f>
      </c>
      <c r="O1117" s="43">
        <f>IF($I1117=0,0,INDEX(DarlErsatzRate,3))</f>
      </c>
      <c r="P1117" s="43">
        <f>IF($I1117=0,0,$Q1116*INDEX(DarlErsatzZins,3))</f>
      </c>
      <c r="Q1117" s="43">
        <f>IF($I1117=0,0,$Q1116+$P1117+$O1117)</f>
      </c>
      <c r="R1117" s="43">
        <f>IF($I1117=0,0,$J1117-$M1117-$N1117)</f>
      </c>
    </row>
    <row r="1118">
      <c r="A1118"/>
      <c r="B1118">
        <v>3</v>
      </c>
      <c r="C1118" s="43">
        <f>INDEX(DarlObj,3)</f>
      </c>
      <c r="D1118">
        <v>155</v>
      </c>
      <c r="E1118" s="51">
        <f>IF(INDEX(DarlBelegt,3)=0,0,EOMONTH(INDEX(DarlAuszahlung,3),154)+1)</f>
      </c>
      <c r="F1118" s="43">
        <f>IF($E1118=0,0,YEAR($E1118))</f>
      </c>
      <c r="G1118" s="43">
        <f>IF(INDEX(DarlBindung,3)="",1,IF($E1118&lt;=INDEX(DarlBindung,3),1,0))</f>
      </c>
      <c r="H1118" s="43">
        <f>IF($G1118=1,INDEX(DarlSollzins,3),INDEX(DarlAnschluss,3))</f>
      </c>
      <c r="I1118" s="43">
        <f>IF(INDEX(DarlBelegt,3)=0,0,IF(INDEX(DarlOhneTilgung,3)=1,IF(INDEX(DarlBindung,3)="",1,$G1118),IF($J1118&gt;0.005,1,0)))</f>
      </c>
      <c r="J1118" s="43">
        <f>IF($I1117=0,0,$R1117)</f>
      </c>
      <c r="K1118" s="43">
        <f>IF($I1118=0,0,IF(INDEX(DarlOhneTilgung,3)=1,0,IF(AND(INDEX(DarlTilgStart,3)&gt;0,$E1118=INDEX(DarlTilgStart,3)),$J1118*($H1118+INDEX(DarlTilgung,3))/100/12,IF(AND($G1118=0,$G1117=1),MAX($K1117,$J1118*($H1118+1)/100/12),$K1117))))</f>
      </c>
      <c r="L1118" s="43">
        <f>IF($I1118=0,0,$J1118*$H1118/100/12)</f>
      </c>
      <c r="M1118" s="43">
        <f>IF($I1118=0,0,IF(OR(INDEX(DarlOhneTilgung,3)=1,AND(INDEX(DarlTilgStart,3)&gt;0,$E1118&lt;INDEX(DarlTilgStart,3))),0,MIN(MAX(0,$K1118-$L1118),$J1118)))</f>
      </c>
      <c r="N1118" s="43">
        <f>IF($I1118=0,0,MIN(SUMIFS(SondBetrag,SondDarl,3,SondDatum,"&gt;="&amp;$E1118,SondDatum,"&lt;="&amp;EOMONTH($E1118,0)),$J1118-$M1118))</f>
      </c>
      <c r="O1118" s="43">
        <f>IF($I1118=0,0,INDEX(DarlErsatzRate,3))</f>
      </c>
      <c r="P1118" s="43">
        <f>IF($I1118=0,0,$Q1117*INDEX(DarlErsatzZins,3))</f>
      </c>
      <c r="Q1118" s="43">
        <f>IF($I1118=0,0,$Q1117+$P1118+$O1118)</f>
      </c>
      <c r="R1118" s="43">
        <f>IF($I1118=0,0,$J1118-$M1118-$N1118)</f>
      </c>
    </row>
    <row r="1119">
      <c r="A1119"/>
      <c r="B1119">
        <v>3</v>
      </c>
      <c r="C1119" s="43">
        <f>INDEX(DarlObj,3)</f>
      </c>
      <c r="D1119">
        <v>156</v>
      </c>
      <c r="E1119" s="51">
        <f>IF(INDEX(DarlBelegt,3)=0,0,EOMONTH(INDEX(DarlAuszahlung,3),155)+1)</f>
      </c>
      <c r="F1119" s="43">
        <f>IF($E1119=0,0,YEAR($E1119))</f>
      </c>
      <c r="G1119" s="43">
        <f>IF(INDEX(DarlBindung,3)="",1,IF($E1119&lt;=INDEX(DarlBindung,3),1,0))</f>
      </c>
      <c r="H1119" s="43">
        <f>IF($G1119=1,INDEX(DarlSollzins,3),INDEX(DarlAnschluss,3))</f>
      </c>
      <c r="I1119" s="43">
        <f>IF(INDEX(DarlBelegt,3)=0,0,IF(INDEX(DarlOhneTilgung,3)=1,IF(INDEX(DarlBindung,3)="",1,$G1119),IF($J1119&gt;0.005,1,0)))</f>
      </c>
      <c r="J1119" s="43">
        <f>IF($I1118=0,0,$R1118)</f>
      </c>
      <c r="K1119" s="43">
        <f>IF($I1119=0,0,IF(INDEX(DarlOhneTilgung,3)=1,0,IF(AND(INDEX(DarlTilgStart,3)&gt;0,$E1119=INDEX(DarlTilgStart,3)),$J1119*($H1119+INDEX(DarlTilgung,3))/100/12,IF(AND($G1119=0,$G1118=1),MAX($K1118,$J1119*($H1119+1)/100/12),$K1118))))</f>
      </c>
      <c r="L1119" s="43">
        <f>IF($I1119=0,0,$J1119*$H1119/100/12)</f>
      </c>
      <c r="M1119" s="43">
        <f>IF($I1119=0,0,IF(OR(INDEX(DarlOhneTilgung,3)=1,AND(INDEX(DarlTilgStart,3)&gt;0,$E1119&lt;INDEX(DarlTilgStart,3))),0,MIN(MAX(0,$K1119-$L1119),$J1119)))</f>
      </c>
      <c r="N1119" s="43">
        <f>IF($I1119=0,0,MIN(SUMIFS(SondBetrag,SondDarl,3,SondDatum,"&gt;="&amp;$E1119,SondDatum,"&lt;="&amp;EOMONTH($E1119,0)),$J1119-$M1119))</f>
      </c>
      <c r="O1119" s="43">
        <f>IF($I1119=0,0,INDEX(DarlErsatzRate,3))</f>
      </c>
      <c r="P1119" s="43">
        <f>IF($I1119=0,0,$Q1118*INDEX(DarlErsatzZins,3))</f>
      </c>
      <c r="Q1119" s="43">
        <f>IF($I1119=0,0,$Q1118+$P1119+$O1119)</f>
      </c>
      <c r="R1119" s="43">
        <f>IF($I1119=0,0,$J1119-$M1119-$N1119)</f>
      </c>
    </row>
    <row r="1120">
      <c r="A1120"/>
      <c r="B1120">
        <v>3</v>
      </c>
      <c r="C1120" s="43">
        <f>INDEX(DarlObj,3)</f>
      </c>
      <c r="D1120">
        <v>157</v>
      </c>
      <c r="E1120" s="51">
        <f>IF(INDEX(DarlBelegt,3)=0,0,EOMONTH(INDEX(DarlAuszahlung,3),156)+1)</f>
      </c>
      <c r="F1120" s="43">
        <f>IF($E1120=0,0,YEAR($E1120))</f>
      </c>
      <c r="G1120" s="43">
        <f>IF(INDEX(DarlBindung,3)="",1,IF($E1120&lt;=INDEX(DarlBindung,3),1,0))</f>
      </c>
      <c r="H1120" s="43">
        <f>IF($G1120=1,INDEX(DarlSollzins,3),INDEX(DarlAnschluss,3))</f>
      </c>
      <c r="I1120" s="43">
        <f>IF(INDEX(DarlBelegt,3)=0,0,IF(INDEX(DarlOhneTilgung,3)=1,IF(INDEX(DarlBindung,3)="",1,$G1120),IF($J1120&gt;0.005,1,0)))</f>
      </c>
      <c r="J1120" s="43">
        <f>IF($I1119=0,0,$R1119)</f>
      </c>
      <c r="K1120" s="43">
        <f>IF($I1120=0,0,IF(INDEX(DarlOhneTilgung,3)=1,0,IF(AND(INDEX(DarlTilgStart,3)&gt;0,$E1120=INDEX(DarlTilgStart,3)),$J1120*($H1120+INDEX(DarlTilgung,3))/100/12,IF(AND($G1120=0,$G1119=1),MAX($K1119,$J1120*($H1120+1)/100/12),$K1119))))</f>
      </c>
      <c r="L1120" s="43">
        <f>IF($I1120=0,0,$J1120*$H1120/100/12)</f>
      </c>
      <c r="M1120" s="43">
        <f>IF($I1120=0,0,IF(OR(INDEX(DarlOhneTilgung,3)=1,AND(INDEX(DarlTilgStart,3)&gt;0,$E1120&lt;INDEX(DarlTilgStart,3))),0,MIN(MAX(0,$K1120-$L1120),$J1120)))</f>
      </c>
      <c r="N1120" s="43">
        <f>IF($I1120=0,0,MIN(SUMIFS(SondBetrag,SondDarl,3,SondDatum,"&gt;="&amp;$E1120,SondDatum,"&lt;="&amp;EOMONTH($E1120,0)),$J1120-$M1120))</f>
      </c>
      <c r="O1120" s="43">
        <f>IF($I1120=0,0,INDEX(DarlErsatzRate,3))</f>
      </c>
      <c r="P1120" s="43">
        <f>IF($I1120=0,0,$Q1119*INDEX(DarlErsatzZins,3))</f>
      </c>
      <c r="Q1120" s="43">
        <f>IF($I1120=0,0,$Q1119+$P1120+$O1120)</f>
      </c>
      <c r="R1120" s="43">
        <f>IF($I1120=0,0,$J1120-$M1120-$N1120)</f>
      </c>
    </row>
    <row r="1121">
      <c r="A1121"/>
      <c r="B1121">
        <v>3</v>
      </c>
      <c r="C1121" s="43">
        <f>INDEX(DarlObj,3)</f>
      </c>
      <c r="D1121">
        <v>158</v>
      </c>
      <c r="E1121" s="51">
        <f>IF(INDEX(DarlBelegt,3)=0,0,EOMONTH(INDEX(DarlAuszahlung,3),157)+1)</f>
      </c>
      <c r="F1121" s="43">
        <f>IF($E1121=0,0,YEAR($E1121))</f>
      </c>
      <c r="G1121" s="43">
        <f>IF(INDEX(DarlBindung,3)="",1,IF($E1121&lt;=INDEX(DarlBindung,3),1,0))</f>
      </c>
      <c r="H1121" s="43">
        <f>IF($G1121=1,INDEX(DarlSollzins,3),INDEX(DarlAnschluss,3))</f>
      </c>
      <c r="I1121" s="43">
        <f>IF(INDEX(DarlBelegt,3)=0,0,IF(INDEX(DarlOhneTilgung,3)=1,IF(INDEX(DarlBindung,3)="",1,$G1121),IF($J1121&gt;0.005,1,0)))</f>
      </c>
      <c r="J1121" s="43">
        <f>IF($I1120=0,0,$R1120)</f>
      </c>
      <c r="K1121" s="43">
        <f>IF($I1121=0,0,IF(INDEX(DarlOhneTilgung,3)=1,0,IF(AND(INDEX(DarlTilgStart,3)&gt;0,$E1121=INDEX(DarlTilgStart,3)),$J1121*($H1121+INDEX(DarlTilgung,3))/100/12,IF(AND($G1121=0,$G1120=1),MAX($K1120,$J1121*($H1121+1)/100/12),$K1120))))</f>
      </c>
      <c r="L1121" s="43">
        <f>IF($I1121=0,0,$J1121*$H1121/100/12)</f>
      </c>
      <c r="M1121" s="43">
        <f>IF($I1121=0,0,IF(OR(INDEX(DarlOhneTilgung,3)=1,AND(INDEX(DarlTilgStart,3)&gt;0,$E1121&lt;INDEX(DarlTilgStart,3))),0,MIN(MAX(0,$K1121-$L1121),$J1121)))</f>
      </c>
      <c r="N1121" s="43">
        <f>IF($I1121=0,0,MIN(SUMIFS(SondBetrag,SondDarl,3,SondDatum,"&gt;="&amp;$E1121,SondDatum,"&lt;="&amp;EOMONTH($E1121,0)),$J1121-$M1121))</f>
      </c>
      <c r="O1121" s="43">
        <f>IF($I1121=0,0,INDEX(DarlErsatzRate,3))</f>
      </c>
      <c r="P1121" s="43">
        <f>IF($I1121=0,0,$Q1120*INDEX(DarlErsatzZins,3))</f>
      </c>
      <c r="Q1121" s="43">
        <f>IF($I1121=0,0,$Q1120+$P1121+$O1121)</f>
      </c>
      <c r="R1121" s="43">
        <f>IF($I1121=0,0,$J1121-$M1121-$N1121)</f>
      </c>
    </row>
    <row r="1122">
      <c r="A1122"/>
      <c r="B1122">
        <v>3</v>
      </c>
      <c r="C1122" s="43">
        <f>INDEX(DarlObj,3)</f>
      </c>
      <c r="D1122">
        <v>159</v>
      </c>
      <c r="E1122" s="51">
        <f>IF(INDEX(DarlBelegt,3)=0,0,EOMONTH(INDEX(DarlAuszahlung,3),158)+1)</f>
      </c>
      <c r="F1122" s="43">
        <f>IF($E1122=0,0,YEAR($E1122))</f>
      </c>
      <c r="G1122" s="43">
        <f>IF(INDEX(DarlBindung,3)="",1,IF($E1122&lt;=INDEX(DarlBindung,3),1,0))</f>
      </c>
      <c r="H1122" s="43">
        <f>IF($G1122=1,INDEX(DarlSollzins,3),INDEX(DarlAnschluss,3))</f>
      </c>
      <c r="I1122" s="43">
        <f>IF(INDEX(DarlBelegt,3)=0,0,IF(INDEX(DarlOhneTilgung,3)=1,IF(INDEX(DarlBindung,3)="",1,$G1122),IF($J1122&gt;0.005,1,0)))</f>
      </c>
      <c r="J1122" s="43">
        <f>IF($I1121=0,0,$R1121)</f>
      </c>
      <c r="K1122" s="43">
        <f>IF($I1122=0,0,IF(INDEX(DarlOhneTilgung,3)=1,0,IF(AND(INDEX(DarlTilgStart,3)&gt;0,$E1122=INDEX(DarlTilgStart,3)),$J1122*($H1122+INDEX(DarlTilgung,3))/100/12,IF(AND($G1122=0,$G1121=1),MAX($K1121,$J1122*($H1122+1)/100/12),$K1121))))</f>
      </c>
      <c r="L1122" s="43">
        <f>IF($I1122=0,0,$J1122*$H1122/100/12)</f>
      </c>
      <c r="M1122" s="43">
        <f>IF($I1122=0,0,IF(OR(INDEX(DarlOhneTilgung,3)=1,AND(INDEX(DarlTilgStart,3)&gt;0,$E1122&lt;INDEX(DarlTilgStart,3))),0,MIN(MAX(0,$K1122-$L1122),$J1122)))</f>
      </c>
      <c r="N1122" s="43">
        <f>IF($I1122=0,0,MIN(SUMIFS(SondBetrag,SondDarl,3,SondDatum,"&gt;="&amp;$E1122,SondDatum,"&lt;="&amp;EOMONTH($E1122,0)),$J1122-$M1122))</f>
      </c>
      <c r="O1122" s="43">
        <f>IF($I1122=0,0,INDEX(DarlErsatzRate,3))</f>
      </c>
      <c r="P1122" s="43">
        <f>IF($I1122=0,0,$Q1121*INDEX(DarlErsatzZins,3))</f>
      </c>
      <c r="Q1122" s="43">
        <f>IF($I1122=0,0,$Q1121+$P1122+$O1122)</f>
      </c>
      <c r="R1122" s="43">
        <f>IF($I1122=0,0,$J1122-$M1122-$N1122)</f>
      </c>
    </row>
    <row r="1123">
      <c r="A1123"/>
      <c r="B1123">
        <v>3</v>
      </c>
      <c r="C1123" s="43">
        <f>INDEX(DarlObj,3)</f>
      </c>
      <c r="D1123">
        <v>160</v>
      </c>
      <c r="E1123" s="51">
        <f>IF(INDEX(DarlBelegt,3)=0,0,EOMONTH(INDEX(DarlAuszahlung,3),159)+1)</f>
      </c>
      <c r="F1123" s="43">
        <f>IF($E1123=0,0,YEAR($E1123))</f>
      </c>
      <c r="G1123" s="43">
        <f>IF(INDEX(DarlBindung,3)="",1,IF($E1123&lt;=INDEX(DarlBindung,3),1,0))</f>
      </c>
      <c r="H1123" s="43">
        <f>IF($G1123=1,INDEX(DarlSollzins,3),INDEX(DarlAnschluss,3))</f>
      </c>
      <c r="I1123" s="43">
        <f>IF(INDEX(DarlBelegt,3)=0,0,IF(INDEX(DarlOhneTilgung,3)=1,IF(INDEX(DarlBindung,3)="",1,$G1123),IF($J1123&gt;0.005,1,0)))</f>
      </c>
      <c r="J1123" s="43">
        <f>IF($I1122=0,0,$R1122)</f>
      </c>
      <c r="K1123" s="43">
        <f>IF($I1123=0,0,IF(INDEX(DarlOhneTilgung,3)=1,0,IF(AND(INDEX(DarlTilgStart,3)&gt;0,$E1123=INDEX(DarlTilgStart,3)),$J1123*($H1123+INDEX(DarlTilgung,3))/100/12,IF(AND($G1123=0,$G1122=1),MAX($K1122,$J1123*($H1123+1)/100/12),$K1122))))</f>
      </c>
      <c r="L1123" s="43">
        <f>IF($I1123=0,0,$J1123*$H1123/100/12)</f>
      </c>
      <c r="M1123" s="43">
        <f>IF($I1123=0,0,IF(OR(INDEX(DarlOhneTilgung,3)=1,AND(INDEX(DarlTilgStart,3)&gt;0,$E1123&lt;INDEX(DarlTilgStart,3))),0,MIN(MAX(0,$K1123-$L1123),$J1123)))</f>
      </c>
      <c r="N1123" s="43">
        <f>IF($I1123=0,0,MIN(SUMIFS(SondBetrag,SondDarl,3,SondDatum,"&gt;="&amp;$E1123,SondDatum,"&lt;="&amp;EOMONTH($E1123,0)),$J1123-$M1123))</f>
      </c>
      <c r="O1123" s="43">
        <f>IF($I1123=0,0,INDEX(DarlErsatzRate,3))</f>
      </c>
      <c r="P1123" s="43">
        <f>IF($I1123=0,0,$Q1122*INDEX(DarlErsatzZins,3))</f>
      </c>
      <c r="Q1123" s="43">
        <f>IF($I1123=0,0,$Q1122+$P1123+$O1123)</f>
      </c>
      <c r="R1123" s="43">
        <f>IF($I1123=0,0,$J1123-$M1123-$N1123)</f>
      </c>
    </row>
    <row r="1124">
      <c r="A1124"/>
      <c r="B1124">
        <v>3</v>
      </c>
      <c r="C1124" s="43">
        <f>INDEX(DarlObj,3)</f>
      </c>
      <c r="D1124">
        <v>161</v>
      </c>
      <c r="E1124" s="51">
        <f>IF(INDEX(DarlBelegt,3)=0,0,EOMONTH(INDEX(DarlAuszahlung,3),160)+1)</f>
      </c>
      <c r="F1124" s="43">
        <f>IF($E1124=0,0,YEAR($E1124))</f>
      </c>
      <c r="G1124" s="43">
        <f>IF(INDEX(DarlBindung,3)="",1,IF($E1124&lt;=INDEX(DarlBindung,3),1,0))</f>
      </c>
      <c r="H1124" s="43">
        <f>IF($G1124=1,INDEX(DarlSollzins,3),INDEX(DarlAnschluss,3))</f>
      </c>
      <c r="I1124" s="43">
        <f>IF(INDEX(DarlBelegt,3)=0,0,IF(INDEX(DarlOhneTilgung,3)=1,IF(INDEX(DarlBindung,3)="",1,$G1124),IF($J1124&gt;0.005,1,0)))</f>
      </c>
      <c r="J1124" s="43">
        <f>IF($I1123=0,0,$R1123)</f>
      </c>
      <c r="K1124" s="43">
        <f>IF($I1124=0,0,IF(INDEX(DarlOhneTilgung,3)=1,0,IF(AND(INDEX(DarlTilgStart,3)&gt;0,$E1124=INDEX(DarlTilgStart,3)),$J1124*($H1124+INDEX(DarlTilgung,3))/100/12,IF(AND($G1124=0,$G1123=1),MAX($K1123,$J1124*($H1124+1)/100/12),$K1123))))</f>
      </c>
      <c r="L1124" s="43">
        <f>IF($I1124=0,0,$J1124*$H1124/100/12)</f>
      </c>
      <c r="M1124" s="43">
        <f>IF($I1124=0,0,IF(OR(INDEX(DarlOhneTilgung,3)=1,AND(INDEX(DarlTilgStart,3)&gt;0,$E1124&lt;INDEX(DarlTilgStart,3))),0,MIN(MAX(0,$K1124-$L1124),$J1124)))</f>
      </c>
      <c r="N1124" s="43">
        <f>IF($I1124=0,0,MIN(SUMIFS(SondBetrag,SondDarl,3,SondDatum,"&gt;="&amp;$E1124,SondDatum,"&lt;="&amp;EOMONTH($E1124,0)),$J1124-$M1124))</f>
      </c>
      <c r="O1124" s="43">
        <f>IF($I1124=0,0,INDEX(DarlErsatzRate,3))</f>
      </c>
      <c r="P1124" s="43">
        <f>IF($I1124=0,0,$Q1123*INDEX(DarlErsatzZins,3))</f>
      </c>
      <c r="Q1124" s="43">
        <f>IF($I1124=0,0,$Q1123+$P1124+$O1124)</f>
      </c>
      <c r="R1124" s="43">
        <f>IF($I1124=0,0,$J1124-$M1124-$N1124)</f>
      </c>
    </row>
    <row r="1125">
      <c r="A1125"/>
      <c r="B1125">
        <v>3</v>
      </c>
      <c r="C1125" s="43">
        <f>INDEX(DarlObj,3)</f>
      </c>
      <c r="D1125">
        <v>162</v>
      </c>
      <c r="E1125" s="51">
        <f>IF(INDEX(DarlBelegt,3)=0,0,EOMONTH(INDEX(DarlAuszahlung,3),161)+1)</f>
      </c>
      <c r="F1125" s="43">
        <f>IF($E1125=0,0,YEAR($E1125))</f>
      </c>
      <c r="G1125" s="43">
        <f>IF(INDEX(DarlBindung,3)="",1,IF($E1125&lt;=INDEX(DarlBindung,3),1,0))</f>
      </c>
      <c r="H1125" s="43">
        <f>IF($G1125=1,INDEX(DarlSollzins,3),INDEX(DarlAnschluss,3))</f>
      </c>
      <c r="I1125" s="43">
        <f>IF(INDEX(DarlBelegt,3)=0,0,IF(INDEX(DarlOhneTilgung,3)=1,IF(INDEX(DarlBindung,3)="",1,$G1125),IF($J1125&gt;0.005,1,0)))</f>
      </c>
      <c r="J1125" s="43">
        <f>IF($I1124=0,0,$R1124)</f>
      </c>
      <c r="K1125" s="43">
        <f>IF($I1125=0,0,IF(INDEX(DarlOhneTilgung,3)=1,0,IF(AND(INDEX(DarlTilgStart,3)&gt;0,$E1125=INDEX(DarlTilgStart,3)),$J1125*($H1125+INDEX(DarlTilgung,3))/100/12,IF(AND($G1125=0,$G1124=1),MAX($K1124,$J1125*($H1125+1)/100/12),$K1124))))</f>
      </c>
      <c r="L1125" s="43">
        <f>IF($I1125=0,0,$J1125*$H1125/100/12)</f>
      </c>
      <c r="M1125" s="43">
        <f>IF($I1125=0,0,IF(OR(INDEX(DarlOhneTilgung,3)=1,AND(INDEX(DarlTilgStart,3)&gt;0,$E1125&lt;INDEX(DarlTilgStart,3))),0,MIN(MAX(0,$K1125-$L1125),$J1125)))</f>
      </c>
      <c r="N1125" s="43">
        <f>IF($I1125=0,0,MIN(SUMIFS(SondBetrag,SondDarl,3,SondDatum,"&gt;="&amp;$E1125,SondDatum,"&lt;="&amp;EOMONTH($E1125,0)),$J1125-$M1125))</f>
      </c>
      <c r="O1125" s="43">
        <f>IF($I1125=0,0,INDEX(DarlErsatzRate,3))</f>
      </c>
      <c r="P1125" s="43">
        <f>IF($I1125=0,0,$Q1124*INDEX(DarlErsatzZins,3))</f>
      </c>
      <c r="Q1125" s="43">
        <f>IF($I1125=0,0,$Q1124+$P1125+$O1125)</f>
      </c>
      <c r="R1125" s="43">
        <f>IF($I1125=0,0,$J1125-$M1125-$N1125)</f>
      </c>
    </row>
    <row r="1126">
      <c r="A1126"/>
      <c r="B1126">
        <v>3</v>
      </c>
      <c r="C1126" s="43">
        <f>INDEX(DarlObj,3)</f>
      </c>
      <c r="D1126">
        <v>163</v>
      </c>
      <c r="E1126" s="51">
        <f>IF(INDEX(DarlBelegt,3)=0,0,EOMONTH(INDEX(DarlAuszahlung,3),162)+1)</f>
      </c>
      <c r="F1126" s="43">
        <f>IF($E1126=0,0,YEAR($E1126))</f>
      </c>
      <c r="G1126" s="43">
        <f>IF(INDEX(DarlBindung,3)="",1,IF($E1126&lt;=INDEX(DarlBindung,3),1,0))</f>
      </c>
      <c r="H1126" s="43">
        <f>IF($G1126=1,INDEX(DarlSollzins,3),INDEX(DarlAnschluss,3))</f>
      </c>
      <c r="I1126" s="43">
        <f>IF(INDEX(DarlBelegt,3)=0,0,IF(INDEX(DarlOhneTilgung,3)=1,IF(INDEX(DarlBindung,3)="",1,$G1126),IF($J1126&gt;0.005,1,0)))</f>
      </c>
      <c r="J1126" s="43">
        <f>IF($I1125=0,0,$R1125)</f>
      </c>
      <c r="K1126" s="43">
        <f>IF($I1126=0,0,IF(INDEX(DarlOhneTilgung,3)=1,0,IF(AND(INDEX(DarlTilgStart,3)&gt;0,$E1126=INDEX(DarlTilgStart,3)),$J1126*($H1126+INDEX(DarlTilgung,3))/100/12,IF(AND($G1126=0,$G1125=1),MAX($K1125,$J1126*($H1126+1)/100/12),$K1125))))</f>
      </c>
      <c r="L1126" s="43">
        <f>IF($I1126=0,0,$J1126*$H1126/100/12)</f>
      </c>
      <c r="M1126" s="43">
        <f>IF($I1126=0,0,IF(OR(INDEX(DarlOhneTilgung,3)=1,AND(INDEX(DarlTilgStart,3)&gt;0,$E1126&lt;INDEX(DarlTilgStart,3))),0,MIN(MAX(0,$K1126-$L1126),$J1126)))</f>
      </c>
      <c r="N1126" s="43">
        <f>IF($I1126=0,0,MIN(SUMIFS(SondBetrag,SondDarl,3,SondDatum,"&gt;="&amp;$E1126,SondDatum,"&lt;="&amp;EOMONTH($E1126,0)),$J1126-$M1126))</f>
      </c>
      <c r="O1126" s="43">
        <f>IF($I1126=0,0,INDEX(DarlErsatzRate,3))</f>
      </c>
      <c r="P1126" s="43">
        <f>IF($I1126=0,0,$Q1125*INDEX(DarlErsatzZins,3))</f>
      </c>
      <c r="Q1126" s="43">
        <f>IF($I1126=0,0,$Q1125+$P1126+$O1126)</f>
      </c>
      <c r="R1126" s="43">
        <f>IF($I1126=0,0,$J1126-$M1126-$N1126)</f>
      </c>
    </row>
    <row r="1127">
      <c r="A1127"/>
      <c r="B1127">
        <v>3</v>
      </c>
      <c r="C1127" s="43">
        <f>INDEX(DarlObj,3)</f>
      </c>
      <c r="D1127">
        <v>164</v>
      </c>
      <c r="E1127" s="51">
        <f>IF(INDEX(DarlBelegt,3)=0,0,EOMONTH(INDEX(DarlAuszahlung,3),163)+1)</f>
      </c>
      <c r="F1127" s="43">
        <f>IF($E1127=0,0,YEAR($E1127))</f>
      </c>
      <c r="G1127" s="43">
        <f>IF(INDEX(DarlBindung,3)="",1,IF($E1127&lt;=INDEX(DarlBindung,3),1,0))</f>
      </c>
      <c r="H1127" s="43">
        <f>IF($G1127=1,INDEX(DarlSollzins,3),INDEX(DarlAnschluss,3))</f>
      </c>
      <c r="I1127" s="43">
        <f>IF(INDEX(DarlBelegt,3)=0,0,IF(INDEX(DarlOhneTilgung,3)=1,IF(INDEX(DarlBindung,3)="",1,$G1127),IF($J1127&gt;0.005,1,0)))</f>
      </c>
      <c r="J1127" s="43">
        <f>IF($I1126=0,0,$R1126)</f>
      </c>
      <c r="K1127" s="43">
        <f>IF($I1127=0,0,IF(INDEX(DarlOhneTilgung,3)=1,0,IF(AND(INDEX(DarlTilgStart,3)&gt;0,$E1127=INDEX(DarlTilgStart,3)),$J1127*($H1127+INDEX(DarlTilgung,3))/100/12,IF(AND($G1127=0,$G1126=1),MAX($K1126,$J1127*($H1127+1)/100/12),$K1126))))</f>
      </c>
      <c r="L1127" s="43">
        <f>IF($I1127=0,0,$J1127*$H1127/100/12)</f>
      </c>
      <c r="M1127" s="43">
        <f>IF($I1127=0,0,IF(OR(INDEX(DarlOhneTilgung,3)=1,AND(INDEX(DarlTilgStart,3)&gt;0,$E1127&lt;INDEX(DarlTilgStart,3))),0,MIN(MAX(0,$K1127-$L1127),$J1127)))</f>
      </c>
      <c r="N1127" s="43">
        <f>IF($I1127=0,0,MIN(SUMIFS(SondBetrag,SondDarl,3,SondDatum,"&gt;="&amp;$E1127,SondDatum,"&lt;="&amp;EOMONTH($E1127,0)),$J1127-$M1127))</f>
      </c>
      <c r="O1127" s="43">
        <f>IF($I1127=0,0,INDEX(DarlErsatzRate,3))</f>
      </c>
      <c r="P1127" s="43">
        <f>IF($I1127=0,0,$Q1126*INDEX(DarlErsatzZins,3))</f>
      </c>
      <c r="Q1127" s="43">
        <f>IF($I1127=0,0,$Q1126+$P1127+$O1127)</f>
      </c>
      <c r="R1127" s="43">
        <f>IF($I1127=0,0,$J1127-$M1127-$N1127)</f>
      </c>
    </row>
    <row r="1128">
      <c r="A1128"/>
      <c r="B1128">
        <v>3</v>
      </c>
      <c r="C1128" s="43">
        <f>INDEX(DarlObj,3)</f>
      </c>
      <c r="D1128">
        <v>165</v>
      </c>
      <c r="E1128" s="51">
        <f>IF(INDEX(DarlBelegt,3)=0,0,EOMONTH(INDEX(DarlAuszahlung,3),164)+1)</f>
      </c>
      <c r="F1128" s="43">
        <f>IF($E1128=0,0,YEAR($E1128))</f>
      </c>
      <c r="G1128" s="43">
        <f>IF(INDEX(DarlBindung,3)="",1,IF($E1128&lt;=INDEX(DarlBindung,3),1,0))</f>
      </c>
      <c r="H1128" s="43">
        <f>IF($G1128=1,INDEX(DarlSollzins,3),INDEX(DarlAnschluss,3))</f>
      </c>
      <c r="I1128" s="43">
        <f>IF(INDEX(DarlBelegt,3)=0,0,IF(INDEX(DarlOhneTilgung,3)=1,IF(INDEX(DarlBindung,3)="",1,$G1128),IF($J1128&gt;0.005,1,0)))</f>
      </c>
      <c r="J1128" s="43">
        <f>IF($I1127=0,0,$R1127)</f>
      </c>
      <c r="K1128" s="43">
        <f>IF($I1128=0,0,IF(INDEX(DarlOhneTilgung,3)=1,0,IF(AND(INDEX(DarlTilgStart,3)&gt;0,$E1128=INDEX(DarlTilgStart,3)),$J1128*($H1128+INDEX(DarlTilgung,3))/100/12,IF(AND($G1128=0,$G1127=1),MAX($K1127,$J1128*($H1128+1)/100/12),$K1127))))</f>
      </c>
      <c r="L1128" s="43">
        <f>IF($I1128=0,0,$J1128*$H1128/100/12)</f>
      </c>
      <c r="M1128" s="43">
        <f>IF($I1128=0,0,IF(OR(INDEX(DarlOhneTilgung,3)=1,AND(INDEX(DarlTilgStart,3)&gt;0,$E1128&lt;INDEX(DarlTilgStart,3))),0,MIN(MAX(0,$K1128-$L1128),$J1128)))</f>
      </c>
      <c r="N1128" s="43">
        <f>IF($I1128=0,0,MIN(SUMIFS(SondBetrag,SondDarl,3,SondDatum,"&gt;="&amp;$E1128,SondDatum,"&lt;="&amp;EOMONTH($E1128,0)),$J1128-$M1128))</f>
      </c>
      <c r="O1128" s="43">
        <f>IF($I1128=0,0,INDEX(DarlErsatzRate,3))</f>
      </c>
      <c r="P1128" s="43">
        <f>IF($I1128=0,0,$Q1127*INDEX(DarlErsatzZins,3))</f>
      </c>
      <c r="Q1128" s="43">
        <f>IF($I1128=0,0,$Q1127+$P1128+$O1128)</f>
      </c>
      <c r="R1128" s="43">
        <f>IF($I1128=0,0,$J1128-$M1128-$N1128)</f>
      </c>
    </row>
    <row r="1129">
      <c r="A1129"/>
      <c r="B1129">
        <v>3</v>
      </c>
      <c r="C1129" s="43">
        <f>INDEX(DarlObj,3)</f>
      </c>
      <c r="D1129">
        <v>166</v>
      </c>
      <c r="E1129" s="51">
        <f>IF(INDEX(DarlBelegt,3)=0,0,EOMONTH(INDEX(DarlAuszahlung,3),165)+1)</f>
      </c>
      <c r="F1129" s="43">
        <f>IF($E1129=0,0,YEAR($E1129))</f>
      </c>
      <c r="G1129" s="43">
        <f>IF(INDEX(DarlBindung,3)="",1,IF($E1129&lt;=INDEX(DarlBindung,3),1,0))</f>
      </c>
      <c r="H1129" s="43">
        <f>IF($G1129=1,INDEX(DarlSollzins,3),INDEX(DarlAnschluss,3))</f>
      </c>
      <c r="I1129" s="43">
        <f>IF(INDEX(DarlBelegt,3)=0,0,IF(INDEX(DarlOhneTilgung,3)=1,IF(INDEX(DarlBindung,3)="",1,$G1129),IF($J1129&gt;0.005,1,0)))</f>
      </c>
      <c r="J1129" s="43">
        <f>IF($I1128=0,0,$R1128)</f>
      </c>
      <c r="K1129" s="43">
        <f>IF($I1129=0,0,IF(INDEX(DarlOhneTilgung,3)=1,0,IF(AND(INDEX(DarlTilgStart,3)&gt;0,$E1129=INDEX(DarlTilgStart,3)),$J1129*($H1129+INDEX(DarlTilgung,3))/100/12,IF(AND($G1129=0,$G1128=1),MAX($K1128,$J1129*($H1129+1)/100/12),$K1128))))</f>
      </c>
      <c r="L1129" s="43">
        <f>IF($I1129=0,0,$J1129*$H1129/100/12)</f>
      </c>
      <c r="M1129" s="43">
        <f>IF($I1129=0,0,IF(OR(INDEX(DarlOhneTilgung,3)=1,AND(INDEX(DarlTilgStart,3)&gt;0,$E1129&lt;INDEX(DarlTilgStart,3))),0,MIN(MAX(0,$K1129-$L1129),$J1129)))</f>
      </c>
      <c r="N1129" s="43">
        <f>IF($I1129=0,0,MIN(SUMIFS(SondBetrag,SondDarl,3,SondDatum,"&gt;="&amp;$E1129,SondDatum,"&lt;="&amp;EOMONTH($E1129,0)),$J1129-$M1129))</f>
      </c>
      <c r="O1129" s="43">
        <f>IF($I1129=0,0,INDEX(DarlErsatzRate,3))</f>
      </c>
      <c r="P1129" s="43">
        <f>IF($I1129=0,0,$Q1128*INDEX(DarlErsatzZins,3))</f>
      </c>
      <c r="Q1129" s="43">
        <f>IF($I1129=0,0,$Q1128+$P1129+$O1129)</f>
      </c>
      <c r="R1129" s="43">
        <f>IF($I1129=0,0,$J1129-$M1129-$N1129)</f>
      </c>
    </row>
    <row r="1130">
      <c r="A1130"/>
      <c r="B1130">
        <v>3</v>
      </c>
      <c r="C1130" s="43">
        <f>INDEX(DarlObj,3)</f>
      </c>
      <c r="D1130">
        <v>167</v>
      </c>
      <c r="E1130" s="51">
        <f>IF(INDEX(DarlBelegt,3)=0,0,EOMONTH(INDEX(DarlAuszahlung,3),166)+1)</f>
      </c>
      <c r="F1130" s="43">
        <f>IF($E1130=0,0,YEAR($E1130))</f>
      </c>
      <c r="G1130" s="43">
        <f>IF(INDEX(DarlBindung,3)="",1,IF($E1130&lt;=INDEX(DarlBindung,3),1,0))</f>
      </c>
      <c r="H1130" s="43">
        <f>IF($G1130=1,INDEX(DarlSollzins,3),INDEX(DarlAnschluss,3))</f>
      </c>
      <c r="I1130" s="43">
        <f>IF(INDEX(DarlBelegt,3)=0,0,IF(INDEX(DarlOhneTilgung,3)=1,IF(INDEX(DarlBindung,3)="",1,$G1130),IF($J1130&gt;0.005,1,0)))</f>
      </c>
      <c r="J1130" s="43">
        <f>IF($I1129=0,0,$R1129)</f>
      </c>
      <c r="K1130" s="43">
        <f>IF($I1130=0,0,IF(INDEX(DarlOhneTilgung,3)=1,0,IF(AND(INDEX(DarlTilgStart,3)&gt;0,$E1130=INDEX(DarlTilgStart,3)),$J1130*($H1130+INDEX(DarlTilgung,3))/100/12,IF(AND($G1130=0,$G1129=1),MAX($K1129,$J1130*($H1130+1)/100/12),$K1129))))</f>
      </c>
      <c r="L1130" s="43">
        <f>IF($I1130=0,0,$J1130*$H1130/100/12)</f>
      </c>
      <c r="M1130" s="43">
        <f>IF($I1130=0,0,IF(OR(INDEX(DarlOhneTilgung,3)=1,AND(INDEX(DarlTilgStart,3)&gt;0,$E1130&lt;INDEX(DarlTilgStart,3))),0,MIN(MAX(0,$K1130-$L1130),$J1130)))</f>
      </c>
      <c r="N1130" s="43">
        <f>IF($I1130=0,0,MIN(SUMIFS(SondBetrag,SondDarl,3,SondDatum,"&gt;="&amp;$E1130,SondDatum,"&lt;="&amp;EOMONTH($E1130,0)),$J1130-$M1130))</f>
      </c>
      <c r="O1130" s="43">
        <f>IF($I1130=0,0,INDEX(DarlErsatzRate,3))</f>
      </c>
      <c r="P1130" s="43">
        <f>IF($I1130=0,0,$Q1129*INDEX(DarlErsatzZins,3))</f>
      </c>
      <c r="Q1130" s="43">
        <f>IF($I1130=0,0,$Q1129+$P1130+$O1130)</f>
      </c>
      <c r="R1130" s="43">
        <f>IF($I1130=0,0,$J1130-$M1130-$N1130)</f>
      </c>
    </row>
    <row r="1131">
      <c r="A1131"/>
      <c r="B1131">
        <v>3</v>
      </c>
      <c r="C1131" s="43">
        <f>INDEX(DarlObj,3)</f>
      </c>
      <c r="D1131">
        <v>168</v>
      </c>
      <c r="E1131" s="51">
        <f>IF(INDEX(DarlBelegt,3)=0,0,EOMONTH(INDEX(DarlAuszahlung,3),167)+1)</f>
      </c>
      <c r="F1131" s="43">
        <f>IF($E1131=0,0,YEAR($E1131))</f>
      </c>
      <c r="G1131" s="43">
        <f>IF(INDEX(DarlBindung,3)="",1,IF($E1131&lt;=INDEX(DarlBindung,3),1,0))</f>
      </c>
      <c r="H1131" s="43">
        <f>IF($G1131=1,INDEX(DarlSollzins,3),INDEX(DarlAnschluss,3))</f>
      </c>
      <c r="I1131" s="43">
        <f>IF(INDEX(DarlBelegt,3)=0,0,IF(INDEX(DarlOhneTilgung,3)=1,IF(INDEX(DarlBindung,3)="",1,$G1131),IF($J1131&gt;0.005,1,0)))</f>
      </c>
      <c r="J1131" s="43">
        <f>IF($I1130=0,0,$R1130)</f>
      </c>
      <c r="K1131" s="43">
        <f>IF($I1131=0,0,IF(INDEX(DarlOhneTilgung,3)=1,0,IF(AND(INDEX(DarlTilgStart,3)&gt;0,$E1131=INDEX(DarlTilgStart,3)),$J1131*($H1131+INDEX(DarlTilgung,3))/100/12,IF(AND($G1131=0,$G1130=1),MAX($K1130,$J1131*($H1131+1)/100/12),$K1130))))</f>
      </c>
      <c r="L1131" s="43">
        <f>IF($I1131=0,0,$J1131*$H1131/100/12)</f>
      </c>
      <c r="M1131" s="43">
        <f>IF($I1131=0,0,IF(OR(INDEX(DarlOhneTilgung,3)=1,AND(INDEX(DarlTilgStart,3)&gt;0,$E1131&lt;INDEX(DarlTilgStart,3))),0,MIN(MAX(0,$K1131-$L1131),$J1131)))</f>
      </c>
      <c r="N1131" s="43">
        <f>IF($I1131=0,0,MIN(SUMIFS(SondBetrag,SondDarl,3,SondDatum,"&gt;="&amp;$E1131,SondDatum,"&lt;="&amp;EOMONTH($E1131,0)),$J1131-$M1131))</f>
      </c>
      <c r="O1131" s="43">
        <f>IF($I1131=0,0,INDEX(DarlErsatzRate,3))</f>
      </c>
      <c r="P1131" s="43">
        <f>IF($I1131=0,0,$Q1130*INDEX(DarlErsatzZins,3))</f>
      </c>
      <c r="Q1131" s="43">
        <f>IF($I1131=0,0,$Q1130+$P1131+$O1131)</f>
      </c>
      <c r="R1131" s="43">
        <f>IF($I1131=0,0,$J1131-$M1131-$N1131)</f>
      </c>
    </row>
    <row r="1132">
      <c r="A1132"/>
      <c r="B1132">
        <v>3</v>
      </c>
      <c r="C1132" s="43">
        <f>INDEX(DarlObj,3)</f>
      </c>
      <c r="D1132">
        <v>169</v>
      </c>
      <c r="E1132" s="51">
        <f>IF(INDEX(DarlBelegt,3)=0,0,EOMONTH(INDEX(DarlAuszahlung,3),168)+1)</f>
      </c>
      <c r="F1132" s="43">
        <f>IF($E1132=0,0,YEAR($E1132))</f>
      </c>
      <c r="G1132" s="43">
        <f>IF(INDEX(DarlBindung,3)="",1,IF($E1132&lt;=INDEX(DarlBindung,3),1,0))</f>
      </c>
      <c r="H1132" s="43">
        <f>IF($G1132=1,INDEX(DarlSollzins,3),INDEX(DarlAnschluss,3))</f>
      </c>
      <c r="I1132" s="43">
        <f>IF(INDEX(DarlBelegt,3)=0,0,IF(INDEX(DarlOhneTilgung,3)=1,IF(INDEX(DarlBindung,3)="",1,$G1132),IF($J1132&gt;0.005,1,0)))</f>
      </c>
      <c r="J1132" s="43">
        <f>IF($I1131=0,0,$R1131)</f>
      </c>
      <c r="K1132" s="43">
        <f>IF($I1132=0,0,IF(INDEX(DarlOhneTilgung,3)=1,0,IF(AND(INDEX(DarlTilgStart,3)&gt;0,$E1132=INDEX(DarlTilgStart,3)),$J1132*($H1132+INDEX(DarlTilgung,3))/100/12,IF(AND($G1132=0,$G1131=1),MAX($K1131,$J1132*($H1132+1)/100/12),$K1131))))</f>
      </c>
      <c r="L1132" s="43">
        <f>IF($I1132=0,0,$J1132*$H1132/100/12)</f>
      </c>
      <c r="M1132" s="43">
        <f>IF($I1132=0,0,IF(OR(INDEX(DarlOhneTilgung,3)=1,AND(INDEX(DarlTilgStart,3)&gt;0,$E1132&lt;INDEX(DarlTilgStart,3))),0,MIN(MAX(0,$K1132-$L1132),$J1132)))</f>
      </c>
      <c r="N1132" s="43">
        <f>IF($I1132=0,0,MIN(SUMIFS(SondBetrag,SondDarl,3,SondDatum,"&gt;="&amp;$E1132,SondDatum,"&lt;="&amp;EOMONTH($E1132,0)),$J1132-$M1132))</f>
      </c>
      <c r="O1132" s="43">
        <f>IF($I1132=0,0,INDEX(DarlErsatzRate,3))</f>
      </c>
      <c r="P1132" s="43">
        <f>IF($I1132=0,0,$Q1131*INDEX(DarlErsatzZins,3))</f>
      </c>
      <c r="Q1132" s="43">
        <f>IF($I1132=0,0,$Q1131+$P1132+$O1132)</f>
      </c>
      <c r="R1132" s="43">
        <f>IF($I1132=0,0,$J1132-$M1132-$N1132)</f>
      </c>
    </row>
    <row r="1133">
      <c r="A1133"/>
      <c r="B1133">
        <v>3</v>
      </c>
      <c r="C1133" s="43">
        <f>INDEX(DarlObj,3)</f>
      </c>
      <c r="D1133">
        <v>170</v>
      </c>
      <c r="E1133" s="51">
        <f>IF(INDEX(DarlBelegt,3)=0,0,EOMONTH(INDEX(DarlAuszahlung,3),169)+1)</f>
      </c>
      <c r="F1133" s="43">
        <f>IF($E1133=0,0,YEAR($E1133))</f>
      </c>
      <c r="G1133" s="43">
        <f>IF(INDEX(DarlBindung,3)="",1,IF($E1133&lt;=INDEX(DarlBindung,3),1,0))</f>
      </c>
      <c r="H1133" s="43">
        <f>IF($G1133=1,INDEX(DarlSollzins,3),INDEX(DarlAnschluss,3))</f>
      </c>
      <c r="I1133" s="43">
        <f>IF(INDEX(DarlBelegt,3)=0,0,IF(INDEX(DarlOhneTilgung,3)=1,IF(INDEX(DarlBindung,3)="",1,$G1133),IF($J1133&gt;0.005,1,0)))</f>
      </c>
      <c r="J1133" s="43">
        <f>IF($I1132=0,0,$R1132)</f>
      </c>
      <c r="K1133" s="43">
        <f>IF($I1133=0,0,IF(INDEX(DarlOhneTilgung,3)=1,0,IF(AND(INDEX(DarlTilgStart,3)&gt;0,$E1133=INDEX(DarlTilgStart,3)),$J1133*($H1133+INDEX(DarlTilgung,3))/100/12,IF(AND($G1133=0,$G1132=1),MAX($K1132,$J1133*($H1133+1)/100/12),$K1132))))</f>
      </c>
      <c r="L1133" s="43">
        <f>IF($I1133=0,0,$J1133*$H1133/100/12)</f>
      </c>
      <c r="M1133" s="43">
        <f>IF($I1133=0,0,IF(OR(INDEX(DarlOhneTilgung,3)=1,AND(INDEX(DarlTilgStart,3)&gt;0,$E1133&lt;INDEX(DarlTilgStart,3))),0,MIN(MAX(0,$K1133-$L1133),$J1133)))</f>
      </c>
      <c r="N1133" s="43">
        <f>IF($I1133=0,0,MIN(SUMIFS(SondBetrag,SondDarl,3,SondDatum,"&gt;="&amp;$E1133,SondDatum,"&lt;="&amp;EOMONTH($E1133,0)),$J1133-$M1133))</f>
      </c>
      <c r="O1133" s="43">
        <f>IF($I1133=0,0,INDEX(DarlErsatzRate,3))</f>
      </c>
      <c r="P1133" s="43">
        <f>IF($I1133=0,0,$Q1132*INDEX(DarlErsatzZins,3))</f>
      </c>
      <c r="Q1133" s="43">
        <f>IF($I1133=0,0,$Q1132+$P1133+$O1133)</f>
      </c>
      <c r="R1133" s="43">
        <f>IF($I1133=0,0,$J1133-$M1133-$N1133)</f>
      </c>
    </row>
    <row r="1134">
      <c r="A1134"/>
      <c r="B1134">
        <v>3</v>
      </c>
      <c r="C1134" s="43">
        <f>INDEX(DarlObj,3)</f>
      </c>
      <c r="D1134">
        <v>171</v>
      </c>
      <c r="E1134" s="51">
        <f>IF(INDEX(DarlBelegt,3)=0,0,EOMONTH(INDEX(DarlAuszahlung,3),170)+1)</f>
      </c>
      <c r="F1134" s="43">
        <f>IF($E1134=0,0,YEAR($E1134))</f>
      </c>
      <c r="G1134" s="43">
        <f>IF(INDEX(DarlBindung,3)="",1,IF($E1134&lt;=INDEX(DarlBindung,3),1,0))</f>
      </c>
      <c r="H1134" s="43">
        <f>IF($G1134=1,INDEX(DarlSollzins,3),INDEX(DarlAnschluss,3))</f>
      </c>
      <c r="I1134" s="43">
        <f>IF(INDEX(DarlBelegt,3)=0,0,IF(INDEX(DarlOhneTilgung,3)=1,IF(INDEX(DarlBindung,3)="",1,$G1134),IF($J1134&gt;0.005,1,0)))</f>
      </c>
      <c r="J1134" s="43">
        <f>IF($I1133=0,0,$R1133)</f>
      </c>
      <c r="K1134" s="43">
        <f>IF($I1134=0,0,IF(INDEX(DarlOhneTilgung,3)=1,0,IF(AND(INDEX(DarlTilgStart,3)&gt;0,$E1134=INDEX(DarlTilgStart,3)),$J1134*($H1134+INDEX(DarlTilgung,3))/100/12,IF(AND($G1134=0,$G1133=1),MAX($K1133,$J1134*($H1134+1)/100/12),$K1133))))</f>
      </c>
      <c r="L1134" s="43">
        <f>IF($I1134=0,0,$J1134*$H1134/100/12)</f>
      </c>
      <c r="M1134" s="43">
        <f>IF($I1134=0,0,IF(OR(INDEX(DarlOhneTilgung,3)=1,AND(INDEX(DarlTilgStart,3)&gt;0,$E1134&lt;INDEX(DarlTilgStart,3))),0,MIN(MAX(0,$K1134-$L1134),$J1134)))</f>
      </c>
      <c r="N1134" s="43">
        <f>IF($I1134=0,0,MIN(SUMIFS(SondBetrag,SondDarl,3,SondDatum,"&gt;="&amp;$E1134,SondDatum,"&lt;="&amp;EOMONTH($E1134,0)),$J1134-$M1134))</f>
      </c>
      <c r="O1134" s="43">
        <f>IF($I1134=0,0,INDEX(DarlErsatzRate,3))</f>
      </c>
      <c r="P1134" s="43">
        <f>IF($I1134=0,0,$Q1133*INDEX(DarlErsatzZins,3))</f>
      </c>
      <c r="Q1134" s="43">
        <f>IF($I1134=0,0,$Q1133+$P1134+$O1134)</f>
      </c>
      <c r="R1134" s="43">
        <f>IF($I1134=0,0,$J1134-$M1134-$N1134)</f>
      </c>
    </row>
    <row r="1135">
      <c r="A1135"/>
      <c r="B1135">
        <v>3</v>
      </c>
      <c r="C1135" s="43">
        <f>INDEX(DarlObj,3)</f>
      </c>
      <c r="D1135">
        <v>172</v>
      </c>
      <c r="E1135" s="51">
        <f>IF(INDEX(DarlBelegt,3)=0,0,EOMONTH(INDEX(DarlAuszahlung,3),171)+1)</f>
      </c>
      <c r="F1135" s="43">
        <f>IF($E1135=0,0,YEAR($E1135))</f>
      </c>
      <c r="G1135" s="43">
        <f>IF(INDEX(DarlBindung,3)="",1,IF($E1135&lt;=INDEX(DarlBindung,3),1,0))</f>
      </c>
      <c r="H1135" s="43">
        <f>IF($G1135=1,INDEX(DarlSollzins,3),INDEX(DarlAnschluss,3))</f>
      </c>
      <c r="I1135" s="43">
        <f>IF(INDEX(DarlBelegt,3)=0,0,IF(INDEX(DarlOhneTilgung,3)=1,IF(INDEX(DarlBindung,3)="",1,$G1135),IF($J1135&gt;0.005,1,0)))</f>
      </c>
      <c r="J1135" s="43">
        <f>IF($I1134=0,0,$R1134)</f>
      </c>
      <c r="K1135" s="43">
        <f>IF($I1135=0,0,IF(INDEX(DarlOhneTilgung,3)=1,0,IF(AND(INDEX(DarlTilgStart,3)&gt;0,$E1135=INDEX(DarlTilgStart,3)),$J1135*($H1135+INDEX(DarlTilgung,3))/100/12,IF(AND($G1135=0,$G1134=1),MAX($K1134,$J1135*($H1135+1)/100/12),$K1134))))</f>
      </c>
      <c r="L1135" s="43">
        <f>IF($I1135=0,0,$J1135*$H1135/100/12)</f>
      </c>
      <c r="M1135" s="43">
        <f>IF($I1135=0,0,IF(OR(INDEX(DarlOhneTilgung,3)=1,AND(INDEX(DarlTilgStart,3)&gt;0,$E1135&lt;INDEX(DarlTilgStart,3))),0,MIN(MAX(0,$K1135-$L1135),$J1135)))</f>
      </c>
      <c r="N1135" s="43">
        <f>IF($I1135=0,0,MIN(SUMIFS(SondBetrag,SondDarl,3,SondDatum,"&gt;="&amp;$E1135,SondDatum,"&lt;="&amp;EOMONTH($E1135,0)),$J1135-$M1135))</f>
      </c>
      <c r="O1135" s="43">
        <f>IF($I1135=0,0,INDEX(DarlErsatzRate,3))</f>
      </c>
      <c r="P1135" s="43">
        <f>IF($I1135=0,0,$Q1134*INDEX(DarlErsatzZins,3))</f>
      </c>
      <c r="Q1135" s="43">
        <f>IF($I1135=0,0,$Q1134+$P1135+$O1135)</f>
      </c>
      <c r="R1135" s="43">
        <f>IF($I1135=0,0,$J1135-$M1135-$N1135)</f>
      </c>
    </row>
    <row r="1136">
      <c r="A1136"/>
      <c r="B1136">
        <v>3</v>
      </c>
      <c r="C1136" s="43">
        <f>INDEX(DarlObj,3)</f>
      </c>
      <c r="D1136">
        <v>173</v>
      </c>
      <c r="E1136" s="51">
        <f>IF(INDEX(DarlBelegt,3)=0,0,EOMONTH(INDEX(DarlAuszahlung,3),172)+1)</f>
      </c>
      <c r="F1136" s="43">
        <f>IF($E1136=0,0,YEAR($E1136))</f>
      </c>
      <c r="G1136" s="43">
        <f>IF(INDEX(DarlBindung,3)="",1,IF($E1136&lt;=INDEX(DarlBindung,3),1,0))</f>
      </c>
      <c r="H1136" s="43">
        <f>IF($G1136=1,INDEX(DarlSollzins,3),INDEX(DarlAnschluss,3))</f>
      </c>
      <c r="I1136" s="43">
        <f>IF(INDEX(DarlBelegt,3)=0,0,IF(INDEX(DarlOhneTilgung,3)=1,IF(INDEX(DarlBindung,3)="",1,$G1136),IF($J1136&gt;0.005,1,0)))</f>
      </c>
      <c r="J1136" s="43">
        <f>IF($I1135=0,0,$R1135)</f>
      </c>
      <c r="K1136" s="43">
        <f>IF($I1136=0,0,IF(INDEX(DarlOhneTilgung,3)=1,0,IF(AND(INDEX(DarlTilgStart,3)&gt;0,$E1136=INDEX(DarlTilgStart,3)),$J1136*($H1136+INDEX(DarlTilgung,3))/100/12,IF(AND($G1136=0,$G1135=1),MAX($K1135,$J1136*($H1136+1)/100/12),$K1135))))</f>
      </c>
      <c r="L1136" s="43">
        <f>IF($I1136=0,0,$J1136*$H1136/100/12)</f>
      </c>
      <c r="M1136" s="43">
        <f>IF($I1136=0,0,IF(OR(INDEX(DarlOhneTilgung,3)=1,AND(INDEX(DarlTilgStart,3)&gt;0,$E1136&lt;INDEX(DarlTilgStart,3))),0,MIN(MAX(0,$K1136-$L1136),$J1136)))</f>
      </c>
      <c r="N1136" s="43">
        <f>IF($I1136=0,0,MIN(SUMIFS(SondBetrag,SondDarl,3,SondDatum,"&gt;="&amp;$E1136,SondDatum,"&lt;="&amp;EOMONTH($E1136,0)),$J1136-$M1136))</f>
      </c>
      <c r="O1136" s="43">
        <f>IF($I1136=0,0,INDEX(DarlErsatzRate,3))</f>
      </c>
      <c r="P1136" s="43">
        <f>IF($I1136=0,0,$Q1135*INDEX(DarlErsatzZins,3))</f>
      </c>
      <c r="Q1136" s="43">
        <f>IF($I1136=0,0,$Q1135+$P1136+$O1136)</f>
      </c>
      <c r="R1136" s="43">
        <f>IF($I1136=0,0,$J1136-$M1136-$N1136)</f>
      </c>
    </row>
    <row r="1137">
      <c r="A1137"/>
      <c r="B1137">
        <v>3</v>
      </c>
      <c r="C1137" s="43">
        <f>INDEX(DarlObj,3)</f>
      </c>
      <c r="D1137">
        <v>174</v>
      </c>
      <c r="E1137" s="51">
        <f>IF(INDEX(DarlBelegt,3)=0,0,EOMONTH(INDEX(DarlAuszahlung,3),173)+1)</f>
      </c>
      <c r="F1137" s="43">
        <f>IF($E1137=0,0,YEAR($E1137))</f>
      </c>
      <c r="G1137" s="43">
        <f>IF(INDEX(DarlBindung,3)="",1,IF($E1137&lt;=INDEX(DarlBindung,3),1,0))</f>
      </c>
      <c r="H1137" s="43">
        <f>IF($G1137=1,INDEX(DarlSollzins,3),INDEX(DarlAnschluss,3))</f>
      </c>
      <c r="I1137" s="43">
        <f>IF(INDEX(DarlBelegt,3)=0,0,IF(INDEX(DarlOhneTilgung,3)=1,IF(INDEX(DarlBindung,3)="",1,$G1137),IF($J1137&gt;0.005,1,0)))</f>
      </c>
      <c r="J1137" s="43">
        <f>IF($I1136=0,0,$R1136)</f>
      </c>
      <c r="K1137" s="43">
        <f>IF($I1137=0,0,IF(INDEX(DarlOhneTilgung,3)=1,0,IF(AND(INDEX(DarlTilgStart,3)&gt;0,$E1137=INDEX(DarlTilgStart,3)),$J1137*($H1137+INDEX(DarlTilgung,3))/100/12,IF(AND($G1137=0,$G1136=1),MAX($K1136,$J1137*($H1137+1)/100/12),$K1136))))</f>
      </c>
      <c r="L1137" s="43">
        <f>IF($I1137=0,0,$J1137*$H1137/100/12)</f>
      </c>
      <c r="M1137" s="43">
        <f>IF($I1137=0,0,IF(OR(INDEX(DarlOhneTilgung,3)=1,AND(INDEX(DarlTilgStart,3)&gt;0,$E1137&lt;INDEX(DarlTilgStart,3))),0,MIN(MAX(0,$K1137-$L1137),$J1137)))</f>
      </c>
      <c r="N1137" s="43">
        <f>IF($I1137=0,0,MIN(SUMIFS(SondBetrag,SondDarl,3,SondDatum,"&gt;="&amp;$E1137,SondDatum,"&lt;="&amp;EOMONTH($E1137,0)),$J1137-$M1137))</f>
      </c>
      <c r="O1137" s="43">
        <f>IF($I1137=0,0,INDEX(DarlErsatzRate,3))</f>
      </c>
      <c r="P1137" s="43">
        <f>IF($I1137=0,0,$Q1136*INDEX(DarlErsatzZins,3))</f>
      </c>
      <c r="Q1137" s="43">
        <f>IF($I1137=0,0,$Q1136+$P1137+$O1137)</f>
      </c>
      <c r="R1137" s="43">
        <f>IF($I1137=0,0,$J1137-$M1137-$N1137)</f>
      </c>
    </row>
    <row r="1138">
      <c r="A1138"/>
      <c r="B1138">
        <v>3</v>
      </c>
      <c r="C1138" s="43">
        <f>INDEX(DarlObj,3)</f>
      </c>
      <c r="D1138">
        <v>175</v>
      </c>
      <c r="E1138" s="51">
        <f>IF(INDEX(DarlBelegt,3)=0,0,EOMONTH(INDEX(DarlAuszahlung,3),174)+1)</f>
      </c>
      <c r="F1138" s="43">
        <f>IF($E1138=0,0,YEAR($E1138))</f>
      </c>
      <c r="G1138" s="43">
        <f>IF(INDEX(DarlBindung,3)="",1,IF($E1138&lt;=INDEX(DarlBindung,3),1,0))</f>
      </c>
      <c r="H1138" s="43">
        <f>IF($G1138=1,INDEX(DarlSollzins,3),INDEX(DarlAnschluss,3))</f>
      </c>
      <c r="I1138" s="43">
        <f>IF(INDEX(DarlBelegt,3)=0,0,IF(INDEX(DarlOhneTilgung,3)=1,IF(INDEX(DarlBindung,3)="",1,$G1138),IF($J1138&gt;0.005,1,0)))</f>
      </c>
      <c r="J1138" s="43">
        <f>IF($I1137=0,0,$R1137)</f>
      </c>
      <c r="K1138" s="43">
        <f>IF($I1138=0,0,IF(INDEX(DarlOhneTilgung,3)=1,0,IF(AND(INDEX(DarlTilgStart,3)&gt;0,$E1138=INDEX(DarlTilgStart,3)),$J1138*($H1138+INDEX(DarlTilgung,3))/100/12,IF(AND($G1138=0,$G1137=1),MAX($K1137,$J1138*($H1138+1)/100/12),$K1137))))</f>
      </c>
      <c r="L1138" s="43">
        <f>IF($I1138=0,0,$J1138*$H1138/100/12)</f>
      </c>
      <c r="M1138" s="43">
        <f>IF($I1138=0,0,IF(OR(INDEX(DarlOhneTilgung,3)=1,AND(INDEX(DarlTilgStart,3)&gt;0,$E1138&lt;INDEX(DarlTilgStart,3))),0,MIN(MAX(0,$K1138-$L1138),$J1138)))</f>
      </c>
      <c r="N1138" s="43">
        <f>IF($I1138=0,0,MIN(SUMIFS(SondBetrag,SondDarl,3,SondDatum,"&gt;="&amp;$E1138,SondDatum,"&lt;="&amp;EOMONTH($E1138,0)),$J1138-$M1138))</f>
      </c>
      <c r="O1138" s="43">
        <f>IF($I1138=0,0,INDEX(DarlErsatzRate,3))</f>
      </c>
      <c r="P1138" s="43">
        <f>IF($I1138=0,0,$Q1137*INDEX(DarlErsatzZins,3))</f>
      </c>
      <c r="Q1138" s="43">
        <f>IF($I1138=0,0,$Q1137+$P1138+$O1138)</f>
      </c>
      <c r="R1138" s="43">
        <f>IF($I1138=0,0,$J1138-$M1138-$N1138)</f>
      </c>
    </row>
    <row r="1139">
      <c r="A1139"/>
      <c r="B1139">
        <v>3</v>
      </c>
      <c r="C1139" s="43">
        <f>INDEX(DarlObj,3)</f>
      </c>
      <c r="D1139">
        <v>176</v>
      </c>
      <c r="E1139" s="51">
        <f>IF(INDEX(DarlBelegt,3)=0,0,EOMONTH(INDEX(DarlAuszahlung,3),175)+1)</f>
      </c>
      <c r="F1139" s="43">
        <f>IF($E1139=0,0,YEAR($E1139))</f>
      </c>
      <c r="G1139" s="43">
        <f>IF(INDEX(DarlBindung,3)="",1,IF($E1139&lt;=INDEX(DarlBindung,3),1,0))</f>
      </c>
      <c r="H1139" s="43">
        <f>IF($G1139=1,INDEX(DarlSollzins,3),INDEX(DarlAnschluss,3))</f>
      </c>
      <c r="I1139" s="43">
        <f>IF(INDEX(DarlBelegt,3)=0,0,IF(INDEX(DarlOhneTilgung,3)=1,IF(INDEX(DarlBindung,3)="",1,$G1139),IF($J1139&gt;0.005,1,0)))</f>
      </c>
      <c r="J1139" s="43">
        <f>IF($I1138=0,0,$R1138)</f>
      </c>
      <c r="K1139" s="43">
        <f>IF($I1139=0,0,IF(INDEX(DarlOhneTilgung,3)=1,0,IF(AND(INDEX(DarlTilgStart,3)&gt;0,$E1139=INDEX(DarlTilgStart,3)),$J1139*($H1139+INDEX(DarlTilgung,3))/100/12,IF(AND($G1139=0,$G1138=1),MAX($K1138,$J1139*($H1139+1)/100/12),$K1138))))</f>
      </c>
      <c r="L1139" s="43">
        <f>IF($I1139=0,0,$J1139*$H1139/100/12)</f>
      </c>
      <c r="M1139" s="43">
        <f>IF($I1139=0,0,IF(OR(INDEX(DarlOhneTilgung,3)=1,AND(INDEX(DarlTilgStart,3)&gt;0,$E1139&lt;INDEX(DarlTilgStart,3))),0,MIN(MAX(0,$K1139-$L1139),$J1139)))</f>
      </c>
      <c r="N1139" s="43">
        <f>IF($I1139=0,0,MIN(SUMIFS(SondBetrag,SondDarl,3,SondDatum,"&gt;="&amp;$E1139,SondDatum,"&lt;="&amp;EOMONTH($E1139,0)),$J1139-$M1139))</f>
      </c>
      <c r="O1139" s="43">
        <f>IF($I1139=0,0,INDEX(DarlErsatzRate,3))</f>
      </c>
      <c r="P1139" s="43">
        <f>IF($I1139=0,0,$Q1138*INDEX(DarlErsatzZins,3))</f>
      </c>
      <c r="Q1139" s="43">
        <f>IF($I1139=0,0,$Q1138+$P1139+$O1139)</f>
      </c>
      <c r="R1139" s="43">
        <f>IF($I1139=0,0,$J1139-$M1139-$N1139)</f>
      </c>
    </row>
    <row r="1140">
      <c r="A1140"/>
      <c r="B1140">
        <v>3</v>
      </c>
      <c r="C1140" s="43">
        <f>INDEX(DarlObj,3)</f>
      </c>
      <c r="D1140">
        <v>177</v>
      </c>
      <c r="E1140" s="51">
        <f>IF(INDEX(DarlBelegt,3)=0,0,EOMONTH(INDEX(DarlAuszahlung,3),176)+1)</f>
      </c>
      <c r="F1140" s="43">
        <f>IF($E1140=0,0,YEAR($E1140))</f>
      </c>
      <c r="G1140" s="43">
        <f>IF(INDEX(DarlBindung,3)="",1,IF($E1140&lt;=INDEX(DarlBindung,3),1,0))</f>
      </c>
      <c r="H1140" s="43">
        <f>IF($G1140=1,INDEX(DarlSollzins,3),INDEX(DarlAnschluss,3))</f>
      </c>
      <c r="I1140" s="43">
        <f>IF(INDEX(DarlBelegt,3)=0,0,IF(INDEX(DarlOhneTilgung,3)=1,IF(INDEX(DarlBindung,3)="",1,$G1140),IF($J1140&gt;0.005,1,0)))</f>
      </c>
      <c r="J1140" s="43">
        <f>IF($I1139=0,0,$R1139)</f>
      </c>
      <c r="K1140" s="43">
        <f>IF($I1140=0,0,IF(INDEX(DarlOhneTilgung,3)=1,0,IF(AND(INDEX(DarlTilgStart,3)&gt;0,$E1140=INDEX(DarlTilgStart,3)),$J1140*($H1140+INDEX(DarlTilgung,3))/100/12,IF(AND($G1140=0,$G1139=1),MAX($K1139,$J1140*($H1140+1)/100/12),$K1139))))</f>
      </c>
      <c r="L1140" s="43">
        <f>IF($I1140=0,0,$J1140*$H1140/100/12)</f>
      </c>
      <c r="M1140" s="43">
        <f>IF($I1140=0,0,IF(OR(INDEX(DarlOhneTilgung,3)=1,AND(INDEX(DarlTilgStart,3)&gt;0,$E1140&lt;INDEX(DarlTilgStart,3))),0,MIN(MAX(0,$K1140-$L1140),$J1140)))</f>
      </c>
      <c r="N1140" s="43">
        <f>IF($I1140=0,0,MIN(SUMIFS(SondBetrag,SondDarl,3,SondDatum,"&gt;="&amp;$E1140,SondDatum,"&lt;="&amp;EOMONTH($E1140,0)),$J1140-$M1140))</f>
      </c>
      <c r="O1140" s="43">
        <f>IF($I1140=0,0,INDEX(DarlErsatzRate,3))</f>
      </c>
      <c r="P1140" s="43">
        <f>IF($I1140=0,0,$Q1139*INDEX(DarlErsatzZins,3))</f>
      </c>
      <c r="Q1140" s="43">
        <f>IF($I1140=0,0,$Q1139+$P1140+$O1140)</f>
      </c>
      <c r="R1140" s="43">
        <f>IF($I1140=0,0,$J1140-$M1140-$N1140)</f>
      </c>
    </row>
    <row r="1141">
      <c r="A1141"/>
      <c r="B1141">
        <v>3</v>
      </c>
      <c r="C1141" s="43">
        <f>INDEX(DarlObj,3)</f>
      </c>
      <c r="D1141">
        <v>178</v>
      </c>
      <c r="E1141" s="51">
        <f>IF(INDEX(DarlBelegt,3)=0,0,EOMONTH(INDEX(DarlAuszahlung,3),177)+1)</f>
      </c>
      <c r="F1141" s="43">
        <f>IF($E1141=0,0,YEAR($E1141))</f>
      </c>
      <c r="G1141" s="43">
        <f>IF(INDEX(DarlBindung,3)="",1,IF($E1141&lt;=INDEX(DarlBindung,3),1,0))</f>
      </c>
      <c r="H1141" s="43">
        <f>IF($G1141=1,INDEX(DarlSollzins,3),INDEX(DarlAnschluss,3))</f>
      </c>
      <c r="I1141" s="43">
        <f>IF(INDEX(DarlBelegt,3)=0,0,IF(INDEX(DarlOhneTilgung,3)=1,IF(INDEX(DarlBindung,3)="",1,$G1141),IF($J1141&gt;0.005,1,0)))</f>
      </c>
      <c r="J1141" s="43">
        <f>IF($I1140=0,0,$R1140)</f>
      </c>
      <c r="K1141" s="43">
        <f>IF($I1141=0,0,IF(INDEX(DarlOhneTilgung,3)=1,0,IF(AND(INDEX(DarlTilgStart,3)&gt;0,$E1141=INDEX(DarlTilgStart,3)),$J1141*($H1141+INDEX(DarlTilgung,3))/100/12,IF(AND($G1141=0,$G1140=1),MAX($K1140,$J1141*($H1141+1)/100/12),$K1140))))</f>
      </c>
      <c r="L1141" s="43">
        <f>IF($I1141=0,0,$J1141*$H1141/100/12)</f>
      </c>
      <c r="M1141" s="43">
        <f>IF($I1141=0,0,IF(OR(INDEX(DarlOhneTilgung,3)=1,AND(INDEX(DarlTilgStart,3)&gt;0,$E1141&lt;INDEX(DarlTilgStart,3))),0,MIN(MAX(0,$K1141-$L1141),$J1141)))</f>
      </c>
      <c r="N1141" s="43">
        <f>IF($I1141=0,0,MIN(SUMIFS(SondBetrag,SondDarl,3,SondDatum,"&gt;="&amp;$E1141,SondDatum,"&lt;="&amp;EOMONTH($E1141,0)),$J1141-$M1141))</f>
      </c>
      <c r="O1141" s="43">
        <f>IF($I1141=0,0,INDEX(DarlErsatzRate,3))</f>
      </c>
      <c r="P1141" s="43">
        <f>IF($I1141=0,0,$Q1140*INDEX(DarlErsatzZins,3))</f>
      </c>
      <c r="Q1141" s="43">
        <f>IF($I1141=0,0,$Q1140+$P1141+$O1141)</f>
      </c>
      <c r="R1141" s="43">
        <f>IF($I1141=0,0,$J1141-$M1141-$N1141)</f>
      </c>
    </row>
    <row r="1142">
      <c r="A1142"/>
      <c r="B1142">
        <v>3</v>
      </c>
      <c r="C1142" s="43">
        <f>INDEX(DarlObj,3)</f>
      </c>
      <c r="D1142">
        <v>179</v>
      </c>
      <c r="E1142" s="51">
        <f>IF(INDEX(DarlBelegt,3)=0,0,EOMONTH(INDEX(DarlAuszahlung,3),178)+1)</f>
      </c>
      <c r="F1142" s="43">
        <f>IF($E1142=0,0,YEAR($E1142))</f>
      </c>
      <c r="G1142" s="43">
        <f>IF(INDEX(DarlBindung,3)="",1,IF($E1142&lt;=INDEX(DarlBindung,3),1,0))</f>
      </c>
      <c r="H1142" s="43">
        <f>IF($G1142=1,INDEX(DarlSollzins,3),INDEX(DarlAnschluss,3))</f>
      </c>
      <c r="I1142" s="43">
        <f>IF(INDEX(DarlBelegt,3)=0,0,IF(INDEX(DarlOhneTilgung,3)=1,IF(INDEX(DarlBindung,3)="",1,$G1142),IF($J1142&gt;0.005,1,0)))</f>
      </c>
      <c r="J1142" s="43">
        <f>IF($I1141=0,0,$R1141)</f>
      </c>
      <c r="K1142" s="43">
        <f>IF($I1142=0,0,IF(INDEX(DarlOhneTilgung,3)=1,0,IF(AND(INDEX(DarlTilgStart,3)&gt;0,$E1142=INDEX(DarlTilgStart,3)),$J1142*($H1142+INDEX(DarlTilgung,3))/100/12,IF(AND($G1142=0,$G1141=1),MAX($K1141,$J1142*($H1142+1)/100/12),$K1141))))</f>
      </c>
      <c r="L1142" s="43">
        <f>IF($I1142=0,0,$J1142*$H1142/100/12)</f>
      </c>
      <c r="M1142" s="43">
        <f>IF($I1142=0,0,IF(OR(INDEX(DarlOhneTilgung,3)=1,AND(INDEX(DarlTilgStart,3)&gt;0,$E1142&lt;INDEX(DarlTilgStart,3))),0,MIN(MAX(0,$K1142-$L1142),$J1142)))</f>
      </c>
      <c r="N1142" s="43">
        <f>IF($I1142=0,0,MIN(SUMIFS(SondBetrag,SondDarl,3,SondDatum,"&gt;="&amp;$E1142,SondDatum,"&lt;="&amp;EOMONTH($E1142,0)),$J1142-$M1142))</f>
      </c>
      <c r="O1142" s="43">
        <f>IF($I1142=0,0,INDEX(DarlErsatzRate,3))</f>
      </c>
      <c r="P1142" s="43">
        <f>IF($I1142=0,0,$Q1141*INDEX(DarlErsatzZins,3))</f>
      </c>
      <c r="Q1142" s="43">
        <f>IF($I1142=0,0,$Q1141+$P1142+$O1142)</f>
      </c>
      <c r="R1142" s="43">
        <f>IF($I1142=0,0,$J1142-$M1142-$N1142)</f>
      </c>
    </row>
    <row r="1143">
      <c r="A1143"/>
      <c r="B1143">
        <v>3</v>
      </c>
      <c r="C1143" s="43">
        <f>INDEX(DarlObj,3)</f>
      </c>
      <c r="D1143">
        <v>180</v>
      </c>
      <c r="E1143" s="51">
        <f>IF(INDEX(DarlBelegt,3)=0,0,EOMONTH(INDEX(DarlAuszahlung,3),179)+1)</f>
      </c>
      <c r="F1143" s="43">
        <f>IF($E1143=0,0,YEAR($E1143))</f>
      </c>
      <c r="G1143" s="43">
        <f>IF(INDEX(DarlBindung,3)="",1,IF($E1143&lt;=INDEX(DarlBindung,3),1,0))</f>
      </c>
      <c r="H1143" s="43">
        <f>IF($G1143=1,INDEX(DarlSollzins,3),INDEX(DarlAnschluss,3))</f>
      </c>
      <c r="I1143" s="43">
        <f>IF(INDEX(DarlBelegt,3)=0,0,IF(INDEX(DarlOhneTilgung,3)=1,IF(INDEX(DarlBindung,3)="",1,$G1143),IF($J1143&gt;0.005,1,0)))</f>
      </c>
      <c r="J1143" s="43">
        <f>IF($I1142=0,0,$R1142)</f>
      </c>
      <c r="K1143" s="43">
        <f>IF($I1143=0,0,IF(INDEX(DarlOhneTilgung,3)=1,0,IF(AND(INDEX(DarlTilgStart,3)&gt;0,$E1143=INDEX(DarlTilgStart,3)),$J1143*($H1143+INDEX(DarlTilgung,3))/100/12,IF(AND($G1143=0,$G1142=1),MAX($K1142,$J1143*($H1143+1)/100/12),$K1142))))</f>
      </c>
      <c r="L1143" s="43">
        <f>IF($I1143=0,0,$J1143*$H1143/100/12)</f>
      </c>
      <c r="M1143" s="43">
        <f>IF($I1143=0,0,IF(OR(INDEX(DarlOhneTilgung,3)=1,AND(INDEX(DarlTilgStart,3)&gt;0,$E1143&lt;INDEX(DarlTilgStart,3))),0,MIN(MAX(0,$K1143-$L1143),$J1143)))</f>
      </c>
      <c r="N1143" s="43">
        <f>IF($I1143=0,0,MIN(SUMIFS(SondBetrag,SondDarl,3,SondDatum,"&gt;="&amp;$E1143,SondDatum,"&lt;="&amp;EOMONTH($E1143,0)),$J1143-$M1143))</f>
      </c>
      <c r="O1143" s="43">
        <f>IF($I1143=0,0,INDEX(DarlErsatzRate,3))</f>
      </c>
      <c r="P1143" s="43">
        <f>IF($I1143=0,0,$Q1142*INDEX(DarlErsatzZins,3))</f>
      </c>
      <c r="Q1143" s="43">
        <f>IF($I1143=0,0,$Q1142+$P1143+$O1143)</f>
      </c>
      <c r="R1143" s="43">
        <f>IF($I1143=0,0,$J1143-$M1143-$N1143)</f>
      </c>
    </row>
    <row r="1144">
      <c r="A1144"/>
      <c r="B1144">
        <v>3</v>
      </c>
      <c r="C1144" s="43">
        <f>INDEX(DarlObj,3)</f>
      </c>
      <c r="D1144">
        <v>181</v>
      </c>
      <c r="E1144" s="51">
        <f>IF(INDEX(DarlBelegt,3)=0,0,EOMONTH(INDEX(DarlAuszahlung,3),180)+1)</f>
      </c>
      <c r="F1144" s="43">
        <f>IF($E1144=0,0,YEAR($E1144))</f>
      </c>
      <c r="G1144" s="43">
        <f>IF(INDEX(DarlBindung,3)="",1,IF($E1144&lt;=INDEX(DarlBindung,3),1,0))</f>
      </c>
      <c r="H1144" s="43">
        <f>IF($G1144=1,INDEX(DarlSollzins,3),INDEX(DarlAnschluss,3))</f>
      </c>
      <c r="I1144" s="43">
        <f>IF(INDEX(DarlBelegt,3)=0,0,IF(INDEX(DarlOhneTilgung,3)=1,IF(INDEX(DarlBindung,3)="",1,$G1144),IF($J1144&gt;0.005,1,0)))</f>
      </c>
      <c r="J1144" s="43">
        <f>IF($I1143=0,0,$R1143)</f>
      </c>
      <c r="K1144" s="43">
        <f>IF($I1144=0,0,IF(INDEX(DarlOhneTilgung,3)=1,0,IF(AND(INDEX(DarlTilgStart,3)&gt;0,$E1144=INDEX(DarlTilgStart,3)),$J1144*($H1144+INDEX(DarlTilgung,3))/100/12,IF(AND($G1144=0,$G1143=1),MAX($K1143,$J1144*($H1144+1)/100/12),$K1143))))</f>
      </c>
      <c r="L1144" s="43">
        <f>IF($I1144=0,0,$J1144*$H1144/100/12)</f>
      </c>
      <c r="M1144" s="43">
        <f>IF($I1144=0,0,IF(OR(INDEX(DarlOhneTilgung,3)=1,AND(INDEX(DarlTilgStart,3)&gt;0,$E1144&lt;INDEX(DarlTilgStart,3))),0,MIN(MAX(0,$K1144-$L1144),$J1144)))</f>
      </c>
      <c r="N1144" s="43">
        <f>IF($I1144=0,0,MIN(SUMIFS(SondBetrag,SondDarl,3,SondDatum,"&gt;="&amp;$E1144,SondDatum,"&lt;="&amp;EOMONTH($E1144,0)),$J1144-$M1144))</f>
      </c>
      <c r="O1144" s="43">
        <f>IF($I1144=0,0,INDEX(DarlErsatzRate,3))</f>
      </c>
      <c r="P1144" s="43">
        <f>IF($I1144=0,0,$Q1143*INDEX(DarlErsatzZins,3))</f>
      </c>
      <c r="Q1144" s="43">
        <f>IF($I1144=0,0,$Q1143+$P1144+$O1144)</f>
      </c>
      <c r="R1144" s="43">
        <f>IF($I1144=0,0,$J1144-$M1144-$N1144)</f>
      </c>
    </row>
    <row r="1145">
      <c r="A1145"/>
      <c r="B1145">
        <v>3</v>
      </c>
      <c r="C1145" s="43">
        <f>INDEX(DarlObj,3)</f>
      </c>
      <c r="D1145">
        <v>182</v>
      </c>
      <c r="E1145" s="51">
        <f>IF(INDEX(DarlBelegt,3)=0,0,EOMONTH(INDEX(DarlAuszahlung,3),181)+1)</f>
      </c>
      <c r="F1145" s="43">
        <f>IF($E1145=0,0,YEAR($E1145))</f>
      </c>
      <c r="G1145" s="43">
        <f>IF(INDEX(DarlBindung,3)="",1,IF($E1145&lt;=INDEX(DarlBindung,3),1,0))</f>
      </c>
      <c r="H1145" s="43">
        <f>IF($G1145=1,INDEX(DarlSollzins,3),INDEX(DarlAnschluss,3))</f>
      </c>
      <c r="I1145" s="43">
        <f>IF(INDEX(DarlBelegt,3)=0,0,IF(INDEX(DarlOhneTilgung,3)=1,IF(INDEX(DarlBindung,3)="",1,$G1145),IF($J1145&gt;0.005,1,0)))</f>
      </c>
      <c r="J1145" s="43">
        <f>IF($I1144=0,0,$R1144)</f>
      </c>
      <c r="K1145" s="43">
        <f>IF($I1145=0,0,IF(INDEX(DarlOhneTilgung,3)=1,0,IF(AND(INDEX(DarlTilgStart,3)&gt;0,$E1145=INDEX(DarlTilgStart,3)),$J1145*($H1145+INDEX(DarlTilgung,3))/100/12,IF(AND($G1145=0,$G1144=1),MAX($K1144,$J1145*($H1145+1)/100/12),$K1144))))</f>
      </c>
      <c r="L1145" s="43">
        <f>IF($I1145=0,0,$J1145*$H1145/100/12)</f>
      </c>
      <c r="M1145" s="43">
        <f>IF($I1145=0,0,IF(OR(INDEX(DarlOhneTilgung,3)=1,AND(INDEX(DarlTilgStart,3)&gt;0,$E1145&lt;INDEX(DarlTilgStart,3))),0,MIN(MAX(0,$K1145-$L1145),$J1145)))</f>
      </c>
      <c r="N1145" s="43">
        <f>IF($I1145=0,0,MIN(SUMIFS(SondBetrag,SondDarl,3,SondDatum,"&gt;="&amp;$E1145,SondDatum,"&lt;="&amp;EOMONTH($E1145,0)),$J1145-$M1145))</f>
      </c>
      <c r="O1145" s="43">
        <f>IF($I1145=0,0,INDEX(DarlErsatzRate,3))</f>
      </c>
      <c r="P1145" s="43">
        <f>IF($I1145=0,0,$Q1144*INDEX(DarlErsatzZins,3))</f>
      </c>
      <c r="Q1145" s="43">
        <f>IF($I1145=0,0,$Q1144+$P1145+$O1145)</f>
      </c>
      <c r="R1145" s="43">
        <f>IF($I1145=0,0,$J1145-$M1145-$N1145)</f>
      </c>
    </row>
    <row r="1146">
      <c r="A1146"/>
      <c r="B1146">
        <v>3</v>
      </c>
      <c r="C1146" s="43">
        <f>INDEX(DarlObj,3)</f>
      </c>
      <c r="D1146">
        <v>183</v>
      </c>
      <c r="E1146" s="51">
        <f>IF(INDEX(DarlBelegt,3)=0,0,EOMONTH(INDEX(DarlAuszahlung,3),182)+1)</f>
      </c>
      <c r="F1146" s="43">
        <f>IF($E1146=0,0,YEAR($E1146))</f>
      </c>
      <c r="G1146" s="43">
        <f>IF(INDEX(DarlBindung,3)="",1,IF($E1146&lt;=INDEX(DarlBindung,3),1,0))</f>
      </c>
      <c r="H1146" s="43">
        <f>IF($G1146=1,INDEX(DarlSollzins,3),INDEX(DarlAnschluss,3))</f>
      </c>
      <c r="I1146" s="43">
        <f>IF(INDEX(DarlBelegt,3)=0,0,IF(INDEX(DarlOhneTilgung,3)=1,IF(INDEX(DarlBindung,3)="",1,$G1146),IF($J1146&gt;0.005,1,0)))</f>
      </c>
      <c r="J1146" s="43">
        <f>IF($I1145=0,0,$R1145)</f>
      </c>
      <c r="K1146" s="43">
        <f>IF($I1146=0,0,IF(INDEX(DarlOhneTilgung,3)=1,0,IF(AND(INDEX(DarlTilgStart,3)&gt;0,$E1146=INDEX(DarlTilgStart,3)),$J1146*($H1146+INDEX(DarlTilgung,3))/100/12,IF(AND($G1146=0,$G1145=1),MAX($K1145,$J1146*($H1146+1)/100/12),$K1145))))</f>
      </c>
      <c r="L1146" s="43">
        <f>IF($I1146=0,0,$J1146*$H1146/100/12)</f>
      </c>
      <c r="M1146" s="43">
        <f>IF($I1146=0,0,IF(OR(INDEX(DarlOhneTilgung,3)=1,AND(INDEX(DarlTilgStart,3)&gt;0,$E1146&lt;INDEX(DarlTilgStart,3))),0,MIN(MAX(0,$K1146-$L1146),$J1146)))</f>
      </c>
      <c r="N1146" s="43">
        <f>IF($I1146=0,0,MIN(SUMIFS(SondBetrag,SondDarl,3,SondDatum,"&gt;="&amp;$E1146,SondDatum,"&lt;="&amp;EOMONTH($E1146,0)),$J1146-$M1146))</f>
      </c>
      <c r="O1146" s="43">
        <f>IF($I1146=0,0,INDEX(DarlErsatzRate,3))</f>
      </c>
      <c r="P1146" s="43">
        <f>IF($I1146=0,0,$Q1145*INDEX(DarlErsatzZins,3))</f>
      </c>
      <c r="Q1146" s="43">
        <f>IF($I1146=0,0,$Q1145+$P1146+$O1146)</f>
      </c>
      <c r="R1146" s="43">
        <f>IF($I1146=0,0,$J1146-$M1146-$N1146)</f>
      </c>
    </row>
    <row r="1147">
      <c r="A1147"/>
      <c r="B1147">
        <v>3</v>
      </c>
      <c r="C1147" s="43">
        <f>INDEX(DarlObj,3)</f>
      </c>
      <c r="D1147">
        <v>184</v>
      </c>
      <c r="E1147" s="51">
        <f>IF(INDEX(DarlBelegt,3)=0,0,EOMONTH(INDEX(DarlAuszahlung,3),183)+1)</f>
      </c>
      <c r="F1147" s="43">
        <f>IF($E1147=0,0,YEAR($E1147))</f>
      </c>
      <c r="G1147" s="43">
        <f>IF(INDEX(DarlBindung,3)="",1,IF($E1147&lt;=INDEX(DarlBindung,3),1,0))</f>
      </c>
      <c r="H1147" s="43">
        <f>IF($G1147=1,INDEX(DarlSollzins,3),INDEX(DarlAnschluss,3))</f>
      </c>
      <c r="I1147" s="43">
        <f>IF(INDEX(DarlBelegt,3)=0,0,IF(INDEX(DarlOhneTilgung,3)=1,IF(INDEX(DarlBindung,3)="",1,$G1147),IF($J1147&gt;0.005,1,0)))</f>
      </c>
      <c r="J1147" s="43">
        <f>IF($I1146=0,0,$R1146)</f>
      </c>
      <c r="K1147" s="43">
        <f>IF($I1147=0,0,IF(INDEX(DarlOhneTilgung,3)=1,0,IF(AND(INDEX(DarlTilgStart,3)&gt;0,$E1147=INDEX(DarlTilgStart,3)),$J1147*($H1147+INDEX(DarlTilgung,3))/100/12,IF(AND($G1147=0,$G1146=1),MAX($K1146,$J1147*($H1147+1)/100/12),$K1146))))</f>
      </c>
      <c r="L1147" s="43">
        <f>IF($I1147=0,0,$J1147*$H1147/100/12)</f>
      </c>
      <c r="M1147" s="43">
        <f>IF($I1147=0,0,IF(OR(INDEX(DarlOhneTilgung,3)=1,AND(INDEX(DarlTilgStart,3)&gt;0,$E1147&lt;INDEX(DarlTilgStart,3))),0,MIN(MAX(0,$K1147-$L1147),$J1147)))</f>
      </c>
      <c r="N1147" s="43">
        <f>IF($I1147=0,0,MIN(SUMIFS(SondBetrag,SondDarl,3,SondDatum,"&gt;="&amp;$E1147,SondDatum,"&lt;="&amp;EOMONTH($E1147,0)),$J1147-$M1147))</f>
      </c>
      <c r="O1147" s="43">
        <f>IF($I1147=0,0,INDEX(DarlErsatzRate,3))</f>
      </c>
      <c r="P1147" s="43">
        <f>IF($I1147=0,0,$Q1146*INDEX(DarlErsatzZins,3))</f>
      </c>
      <c r="Q1147" s="43">
        <f>IF($I1147=0,0,$Q1146+$P1147+$O1147)</f>
      </c>
      <c r="R1147" s="43">
        <f>IF($I1147=0,0,$J1147-$M1147-$N1147)</f>
      </c>
    </row>
    <row r="1148">
      <c r="A1148"/>
      <c r="B1148">
        <v>3</v>
      </c>
      <c r="C1148" s="43">
        <f>INDEX(DarlObj,3)</f>
      </c>
      <c r="D1148">
        <v>185</v>
      </c>
      <c r="E1148" s="51">
        <f>IF(INDEX(DarlBelegt,3)=0,0,EOMONTH(INDEX(DarlAuszahlung,3),184)+1)</f>
      </c>
      <c r="F1148" s="43">
        <f>IF($E1148=0,0,YEAR($E1148))</f>
      </c>
      <c r="G1148" s="43">
        <f>IF(INDEX(DarlBindung,3)="",1,IF($E1148&lt;=INDEX(DarlBindung,3),1,0))</f>
      </c>
      <c r="H1148" s="43">
        <f>IF($G1148=1,INDEX(DarlSollzins,3),INDEX(DarlAnschluss,3))</f>
      </c>
      <c r="I1148" s="43">
        <f>IF(INDEX(DarlBelegt,3)=0,0,IF(INDEX(DarlOhneTilgung,3)=1,IF(INDEX(DarlBindung,3)="",1,$G1148),IF($J1148&gt;0.005,1,0)))</f>
      </c>
      <c r="J1148" s="43">
        <f>IF($I1147=0,0,$R1147)</f>
      </c>
      <c r="K1148" s="43">
        <f>IF($I1148=0,0,IF(INDEX(DarlOhneTilgung,3)=1,0,IF(AND(INDEX(DarlTilgStart,3)&gt;0,$E1148=INDEX(DarlTilgStart,3)),$J1148*($H1148+INDEX(DarlTilgung,3))/100/12,IF(AND($G1148=0,$G1147=1),MAX($K1147,$J1148*($H1148+1)/100/12),$K1147))))</f>
      </c>
      <c r="L1148" s="43">
        <f>IF($I1148=0,0,$J1148*$H1148/100/12)</f>
      </c>
      <c r="M1148" s="43">
        <f>IF($I1148=0,0,IF(OR(INDEX(DarlOhneTilgung,3)=1,AND(INDEX(DarlTilgStart,3)&gt;0,$E1148&lt;INDEX(DarlTilgStart,3))),0,MIN(MAX(0,$K1148-$L1148),$J1148)))</f>
      </c>
      <c r="N1148" s="43">
        <f>IF($I1148=0,0,MIN(SUMIFS(SondBetrag,SondDarl,3,SondDatum,"&gt;="&amp;$E1148,SondDatum,"&lt;="&amp;EOMONTH($E1148,0)),$J1148-$M1148))</f>
      </c>
      <c r="O1148" s="43">
        <f>IF($I1148=0,0,INDEX(DarlErsatzRate,3))</f>
      </c>
      <c r="P1148" s="43">
        <f>IF($I1148=0,0,$Q1147*INDEX(DarlErsatzZins,3))</f>
      </c>
      <c r="Q1148" s="43">
        <f>IF($I1148=0,0,$Q1147+$P1148+$O1148)</f>
      </c>
      <c r="R1148" s="43">
        <f>IF($I1148=0,0,$J1148-$M1148-$N1148)</f>
      </c>
    </row>
    <row r="1149">
      <c r="A1149"/>
      <c r="B1149">
        <v>3</v>
      </c>
      <c r="C1149" s="43">
        <f>INDEX(DarlObj,3)</f>
      </c>
      <c r="D1149">
        <v>186</v>
      </c>
      <c r="E1149" s="51">
        <f>IF(INDEX(DarlBelegt,3)=0,0,EOMONTH(INDEX(DarlAuszahlung,3),185)+1)</f>
      </c>
      <c r="F1149" s="43">
        <f>IF($E1149=0,0,YEAR($E1149))</f>
      </c>
      <c r="G1149" s="43">
        <f>IF(INDEX(DarlBindung,3)="",1,IF($E1149&lt;=INDEX(DarlBindung,3),1,0))</f>
      </c>
      <c r="H1149" s="43">
        <f>IF($G1149=1,INDEX(DarlSollzins,3),INDEX(DarlAnschluss,3))</f>
      </c>
      <c r="I1149" s="43">
        <f>IF(INDEX(DarlBelegt,3)=0,0,IF(INDEX(DarlOhneTilgung,3)=1,IF(INDEX(DarlBindung,3)="",1,$G1149),IF($J1149&gt;0.005,1,0)))</f>
      </c>
      <c r="J1149" s="43">
        <f>IF($I1148=0,0,$R1148)</f>
      </c>
      <c r="K1149" s="43">
        <f>IF($I1149=0,0,IF(INDEX(DarlOhneTilgung,3)=1,0,IF(AND(INDEX(DarlTilgStart,3)&gt;0,$E1149=INDEX(DarlTilgStart,3)),$J1149*($H1149+INDEX(DarlTilgung,3))/100/12,IF(AND($G1149=0,$G1148=1),MAX($K1148,$J1149*($H1149+1)/100/12),$K1148))))</f>
      </c>
      <c r="L1149" s="43">
        <f>IF($I1149=0,0,$J1149*$H1149/100/12)</f>
      </c>
      <c r="M1149" s="43">
        <f>IF($I1149=0,0,IF(OR(INDEX(DarlOhneTilgung,3)=1,AND(INDEX(DarlTilgStart,3)&gt;0,$E1149&lt;INDEX(DarlTilgStart,3))),0,MIN(MAX(0,$K1149-$L1149),$J1149)))</f>
      </c>
      <c r="N1149" s="43">
        <f>IF($I1149=0,0,MIN(SUMIFS(SondBetrag,SondDarl,3,SondDatum,"&gt;="&amp;$E1149,SondDatum,"&lt;="&amp;EOMONTH($E1149,0)),$J1149-$M1149))</f>
      </c>
      <c r="O1149" s="43">
        <f>IF($I1149=0,0,INDEX(DarlErsatzRate,3))</f>
      </c>
      <c r="P1149" s="43">
        <f>IF($I1149=0,0,$Q1148*INDEX(DarlErsatzZins,3))</f>
      </c>
      <c r="Q1149" s="43">
        <f>IF($I1149=0,0,$Q1148+$P1149+$O1149)</f>
      </c>
      <c r="R1149" s="43">
        <f>IF($I1149=0,0,$J1149-$M1149-$N1149)</f>
      </c>
    </row>
    <row r="1150">
      <c r="A1150"/>
      <c r="B1150">
        <v>3</v>
      </c>
      <c r="C1150" s="43">
        <f>INDEX(DarlObj,3)</f>
      </c>
      <c r="D1150">
        <v>187</v>
      </c>
      <c r="E1150" s="51">
        <f>IF(INDEX(DarlBelegt,3)=0,0,EOMONTH(INDEX(DarlAuszahlung,3),186)+1)</f>
      </c>
      <c r="F1150" s="43">
        <f>IF($E1150=0,0,YEAR($E1150))</f>
      </c>
      <c r="G1150" s="43">
        <f>IF(INDEX(DarlBindung,3)="",1,IF($E1150&lt;=INDEX(DarlBindung,3),1,0))</f>
      </c>
      <c r="H1150" s="43">
        <f>IF($G1150=1,INDEX(DarlSollzins,3),INDEX(DarlAnschluss,3))</f>
      </c>
      <c r="I1150" s="43">
        <f>IF(INDEX(DarlBelegt,3)=0,0,IF(INDEX(DarlOhneTilgung,3)=1,IF(INDEX(DarlBindung,3)="",1,$G1150),IF($J1150&gt;0.005,1,0)))</f>
      </c>
      <c r="J1150" s="43">
        <f>IF($I1149=0,0,$R1149)</f>
      </c>
      <c r="K1150" s="43">
        <f>IF($I1150=0,0,IF(INDEX(DarlOhneTilgung,3)=1,0,IF(AND(INDEX(DarlTilgStart,3)&gt;0,$E1150=INDEX(DarlTilgStart,3)),$J1150*($H1150+INDEX(DarlTilgung,3))/100/12,IF(AND($G1150=0,$G1149=1),MAX($K1149,$J1150*($H1150+1)/100/12),$K1149))))</f>
      </c>
      <c r="L1150" s="43">
        <f>IF($I1150=0,0,$J1150*$H1150/100/12)</f>
      </c>
      <c r="M1150" s="43">
        <f>IF($I1150=0,0,IF(OR(INDEX(DarlOhneTilgung,3)=1,AND(INDEX(DarlTilgStart,3)&gt;0,$E1150&lt;INDEX(DarlTilgStart,3))),0,MIN(MAX(0,$K1150-$L1150),$J1150)))</f>
      </c>
      <c r="N1150" s="43">
        <f>IF($I1150=0,0,MIN(SUMIFS(SondBetrag,SondDarl,3,SondDatum,"&gt;="&amp;$E1150,SondDatum,"&lt;="&amp;EOMONTH($E1150,0)),$J1150-$M1150))</f>
      </c>
      <c r="O1150" s="43">
        <f>IF($I1150=0,0,INDEX(DarlErsatzRate,3))</f>
      </c>
      <c r="P1150" s="43">
        <f>IF($I1150=0,0,$Q1149*INDEX(DarlErsatzZins,3))</f>
      </c>
      <c r="Q1150" s="43">
        <f>IF($I1150=0,0,$Q1149+$P1150+$O1150)</f>
      </c>
      <c r="R1150" s="43">
        <f>IF($I1150=0,0,$J1150-$M1150-$N1150)</f>
      </c>
    </row>
    <row r="1151">
      <c r="A1151"/>
      <c r="B1151">
        <v>3</v>
      </c>
      <c r="C1151" s="43">
        <f>INDEX(DarlObj,3)</f>
      </c>
      <c r="D1151">
        <v>188</v>
      </c>
      <c r="E1151" s="51">
        <f>IF(INDEX(DarlBelegt,3)=0,0,EOMONTH(INDEX(DarlAuszahlung,3),187)+1)</f>
      </c>
      <c r="F1151" s="43">
        <f>IF($E1151=0,0,YEAR($E1151))</f>
      </c>
      <c r="G1151" s="43">
        <f>IF(INDEX(DarlBindung,3)="",1,IF($E1151&lt;=INDEX(DarlBindung,3),1,0))</f>
      </c>
      <c r="H1151" s="43">
        <f>IF($G1151=1,INDEX(DarlSollzins,3),INDEX(DarlAnschluss,3))</f>
      </c>
      <c r="I1151" s="43">
        <f>IF(INDEX(DarlBelegt,3)=0,0,IF(INDEX(DarlOhneTilgung,3)=1,IF(INDEX(DarlBindung,3)="",1,$G1151),IF($J1151&gt;0.005,1,0)))</f>
      </c>
      <c r="J1151" s="43">
        <f>IF($I1150=0,0,$R1150)</f>
      </c>
      <c r="K1151" s="43">
        <f>IF($I1151=0,0,IF(INDEX(DarlOhneTilgung,3)=1,0,IF(AND(INDEX(DarlTilgStart,3)&gt;0,$E1151=INDEX(DarlTilgStart,3)),$J1151*($H1151+INDEX(DarlTilgung,3))/100/12,IF(AND($G1151=0,$G1150=1),MAX($K1150,$J1151*($H1151+1)/100/12),$K1150))))</f>
      </c>
      <c r="L1151" s="43">
        <f>IF($I1151=0,0,$J1151*$H1151/100/12)</f>
      </c>
      <c r="M1151" s="43">
        <f>IF($I1151=0,0,IF(OR(INDEX(DarlOhneTilgung,3)=1,AND(INDEX(DarlTilgStart,3)&gt;0,$E1151&lt;INDEX(DarlTilgStart,3))),0,MIN(MAX(0,$K1151-$L1151),$J1151)))</f>
      </c>
      <c r="N1151" s="43">
        <f>IF($I1151=0,0,MIN(SUMIFS(SondBetrag,SondDarl,3,SondDatum,"&gt;="&amp;$E1151,SondDatum,"&lt;="&amp;EOMONTH($E1151,0)),$J1151-$M1151))</f>
      </c>
      <c r="O1151" s="43">
        <f>IF($I1151=0,0,INDEX(DarlErsatzRate,3))</f>
      </c>
      <c r="P1151" s="43">
        <f>IF($I1151=0,0,$Q1150*INDEX(DarlErsatzZins,3))</f>
      </c>
      <c r="Q1151" s="43">
        <f>IF($I1151=0,0,$Q1150+$P1151+$O1151)</f>
      </c>
      <c r="R1151" s="43">
        <f>IF($I1151=0,0,$J1151-$M1151-$N1151)</f>
      </c>
    </row>
    <row r="1152">
      <c r="A1152"/>
      <c r="B1152">
        <v>3</v>
      </c>
      <c r="C1152" s="43">
        <f>INDEX(DarlObj,3)</f>
      </c>
      <c r="D1152">
        <v>189</v>
      </c>
      <c r="E1152" s="51">
        <f>IF(INDEX(DarlBelegt,3)=0,0,EOMONTH(INDEX(DarlAuszahlung,3),188)+1)</f>
      </c>
      <c r="F1152" s="43">
        <f>IF($E1152=0,0,YEAR($E1152))</f>
      </c>
      <c r="G1152" s="43">
        <f>IF(INDEX(DarlBindung,3)="",1,IF($E1152&lt;=INDEX(DarlBindung,3),1,0))</f>
      </c>
      <c r="H1152" s="43">
        <f>IF($G1152=1,INDEX(DarlSollzins,3),INDEX(DarlAnschluss,3))</f>
      </c>
      <c r="I1152" s="43">
        <f>IF(INDEX(DarlBelegt,3)=0,0,IF(INDEX(DarlOhneTilgung,3)=1,IF(INDEX(DarlBindung,3)="",1,$G1152),IF($J1152&gt;0.005,1,0)))</f>
      </c>
      <c r="J1152" s="43">
        <f>IF($I1151=0,0,$R1151)</f>
      </c>
      <c r="K1152" s="43">
        <f>IF($I1152=0,0,IF(INDEX(DarlOhneTilgung,3)=1,0,IF(AND(INDEX(DarlTilgStart,3)&gt;0,$E1152=INDEX(DarlTilgStart,3)),$J1152*($H1152+INDEX(DarlTilgung,3))/100/12,IF(AND($G1152=0,$G1151=1),MAX($K1151,$J1152*($H1152+1)/100/12),$K1151))))</f>
      </c>
      <c r="L1152" s="43">
        <f>IF($I1152=0,0,$J1152*$H1152/100/12)</f>
      </c>
      <c r="M1152" s="43">
        <f>IF($I1152=0,0,IF(OR(INDEX(DarlOhneTilgung,3)=1,AND(INDEX(DarlTilgStart,3)&gt;0,$E1152&lt;INDEX(DarlTilgStart,3))),0,MIN(MAX(0,$K1152-$L1152),$J1152)))</f>
      </c>
      <c r="N1152" s="43">
        <f>IF($I1152=0,0,MIN(SUMIFS(SondBetrag,SondDarl,3,SondDatum,"&gt;="&amp;$E1152,SondDatum,"&lt;="&amp;EOMONTH($E1152,0)),$J1152-$M1152))</f>
      </c>
      <c r="O1152" s="43">
        <f>IF($I1152=0,0,INDEX(DarlErsatzRate,3))</f>
      </c>
      <c r="P1152" s="43">
        <f>IF($I1152=0,0,$Q1151*INDEX(DarlErsatzZins,3))</f>
      </c>
      <c r="Q1152" s="43">
        <f>IF($I1152=0,0,$Q1151+$P1152+$O1152)</f>
      </c>
      <c r="R1152" s="43">
        <f>IF($I1152=0,0,$J1152-$M1152-$N1152)</f>
      </c>
    </row>
    <row r="1153">
      <c r="A1153"/>
      <c r="B1153">
        <v>3</v>
      </c>
      <c r="C1153" s="43">
        <f>INDEX(DarlObj,3)</f>
      </c>
      <c r="D1153">
        <v>190</v>
      </c>
      <c r="E1153" s="51">
        <f>IF(INDEX(DarlBelegt,3)=0,0,EOMONTH(INDEX(DarlAuszahlung,3),189)+1)</f>
      </c>
      <c r="F1153" s="43">
        <f>IF($E1153=0,0,YEAR($E1153))</f>
      </c>
      <c r="G1153" s="43">
        <f>IF(INDEX(DarlBindung,3)="",1,IF($E1153&lt;=INDEX(DarlBindung,3),1,0))</f>
      </c>
      <c r="H1153" s="43">
        <f>IF($G1153=1,INDEX(DarlSollzins,3),INDEX(DarlAnschluss,3))</f>
      </c>
      <c r="I1153" s="43">
        <f>IF(INDEX(DarlBelegt,3)=0,0,IF(INDEX(DarlOhneTilgung,3)=1,IF(INDEX(DarlBindung,3)="",1,$G1153),IF($J1153&gt;0.005,1,0)))</f>
      </c>
      <c r="J1153" s="43">
        <f>IF($I1152=0,0,$R1152)</f>
      </c>
      <c r="K1153" s="43">
        <f>IF($I1153=0,0,IF(INDEX(DarlOhneTilgung,3)=1,0,IF(AND(INDEX(DarlTilgStart,3)&gt;0,$E1153=INDEX(DarlTilgStart,3)),$J1153*($H1153+INDEX(DarlTilgung,3))/100/12,IF(AND($G1153=0,$G1152=1),MAX($K1152,$J1153*($H1153+1)/100/12),$K1152))))</f>
      </c>
      <c r="L1153" s="43">
        <f>IF($I1153=0,0,$J1153*$H1153/100/12)</f>
      </c>
      <c r="M1153" s="43">
        <f>IF($I1153=0,0,IF(OR(INDEX(DarlOhneTilgung,3)=1,AND(INDEX(DarlTilgStart,3)&gt;0,$E1153&lt;INDEX(DarlTilgStart,3))),0,MIN(MAX(0,$K1153-$L1153),$J1153)))</f>
      </c>
      <c r="N1153" s="43">
        <f>IF($I1153=0,0,MIN(SUMIFS(SondBetrag,SondDarl,3,SondDatum,"&gt;="&amp;$E1153,SondDatum,"&lt;="&amp;EOMONTH($E1153,0)),$J1153-$M1153))</f>
      </c>
      <c r="O1153" s="43">
        <f>IF($I1153=0,0,INDEX(DarlErsatzRate,3))</f>
      </c>
      <c r="P1153" s="43">
        <f>IF($I1153=0,0,$Q1152*INDEX(DarlErsatzZins,3))</f>
      </c>
      <c r="Q1153" s="43">
        <f>IF($I1153=0,0,$Q1152+$P1153+$O1153)</f>
      </c>
      <c r="R1153" s="43">
        <f>IF($I1153=0,0,$J1153-$M1153-$N1153)</f>
      </c>
    </row>
    <row r="1154">
      <c r="A1154"/>
      <c r="B1154">
        <v>3</v>
      </c>
      <c r="C1154" s="43">
        <f>INDEX(DarlObj,3)</f>
      </c>
      <c r="D1154">
        <v>191</v>
      </c>
      <c r="E1154" s="51">
        <f>IF(INDEX(DarlBelegt,3)=0,0,EOMONTH(INDEX(DarlAuszahlung,3),190)+1)</f>
      </c>
      <c r="F1154" s="43">
        <f>IF($E1154=0,0,YEAR($E1154))</f>
      </c>
      <c r="G1154" s="43">
        <f>IF(INDEX(DarlBindung,3)="",1,IF($E1154&lt;=INDEX(DarlBindung,3),1,0))</f>
      </c>
      <c r="H1154" s="43">
        <f>IF($G1154=1,INDEX(DarlSollzins,3),INDEX(DarlAnschluss,3))</f>
      </c>
      <c r="I1154" s="43">
        <f>IF(INDEX(DarlBelegt,3)=0,0,IF(INDEX(DarlOhneTilgung,3)=1,IF(INDEX(DarlBindung,3)="",1,$G1154),IF($J1154&gt;0.005,1,0)))</f>
      </c>
      <c r="J1154" s="43">
        <f>IF($I1153=0,0,$R1153)</f>
      </c>
      <c r="K1154" s="43">
        <f>IF($I1154=0,0,IF(INDEX(DarlOhneTilgung,3)=1,0,IF(AND(INDEX(DarlTilgStart,3)&gt;0,$E1154=INDEX(DarlTilgStart,3)),$J1154*($H1154+INDEX(DarlTilgung,3))/100/12,IF(AND($G1154=0,$G1153=1),MAX($K1153,$J1154*($H1154+1)/100/12),$K1153))))</f>
      </c>
      <c r="L1154" s="43">
        <f>IF($I1154=0,0,$J1154*$H1154/100/12)</f>
      </c>
      <c r="M1154" s="43">
        <f>IF($I1154=0,0,IF(OR(INDEX(DarlOhneTilgung,3)=1,AND(INDEX(DarlTilgStart,3)&gt;0,$E1154&lt;INDEX(DarlTilgStart,3))),0,MIN(MAX(0,$K1154-$L1154),$J1154)))</f>
      </c>
      <c r="N1154" s="43">
        <f>IF($I1154=0,0,MIN(SUMIFS(SondBetrag,SondDarl,3,SondDatum,"&gt;="&amp;$E1154,SondDatum,"&lt;="&amp;EOMONTH($E1154,0)),$J1154-$M1154))</f>
      </c>
      <c r="O1154" s="43">
        <f>IF($I1154=0,0,INDEX(DarlErsatzRate,3))</f>
      </c>
      <c r="P1154" s="43">
        <f>IF($I1154=0,0,$Q1153*INDEX(DarlErsatzZins,3))</f>
      </c>
      <c r="Q1154" s="43">
        <f>IF($I1154=0,0,$Q1153+$P1154+$O1154)</f>
      </c>
      <c r="R1154" s="43">
        <f>IF($I1154=0,0,$J1154-$M1154-$N1154)</f>
      </c>
    </row>
    <row r="1155">
      <c r="A1155"/>
      <c r="B1155">
        <v>3</v>
      </c>
      <c r="C1155" s="43">
        <f>INDEX(DarlObj,3)</f>
      </c>
      <c r="D1155">
        <v>192</v>
      </c>
      <c r="E1155" s="51">
        <f>IF(INDEX(DarlBelegt,3)=0,0,EOMONTH(INDEX(DarlAuszahlung,3),191)+1)</f>
      </c>
      <c r="F1155" s="43">
        <f>IF($E1155=0,0,YEAR($E1155))</f>
      </c>
      <c r="G1155" s="43">
        <f>IF(INDEX(DarlBindung,3)="",1,IF($E1155&lt;=INDEX(DarlBindung,3),1,0))</f>
      </c>
      <c r="H1155" s="43">
        <f>IF($G1155=1,INDEX(DarlSollzins,3),INDEX(DarlAnschluss,3))</f>
      </c>
      <c r="I1155" s="43">
        <f>IF(INDEX(DarlBelegt,3)=0,0,IF(INDEX(DarlOhneTilgung,3)=1,IF(INDEX(DarlBindung,3)="",1,$G1155),IF($J1155&gt;0.005,1,0)))</f>
      </c>
      <c r="J1155" s="43">
        <f>IF($I1154=0,0,$R1154)</f>
      </c>
      <c r="K1155" s="43">
        <f>IF($I1155=0,0,IF(INDEX(DarlOhneTilgung,3)=1,0,IF(AND(INDEX(DarlTilgStart,3)&gt;0,$E1155=INDEX(DarlTilgStart,3)),$J1155*($H1155+INDEX(DarlTilgung,3))/100/12,IF(AND($G1155=0,$G1154=1),MAX($K1154,$J1155*($H1155+1)/100/12),$K1154))))</f>
      </c>
      <c r="L1155" s="43">
        <f>IF($I1155=0,0,$J1155*$H1155/100/12)</f>
      </c>
      <c r="M1155" s="43">
        <f>IF($I1155=0,0,IF(OR(INDEX(DarlOhneTilgung,3)=1,AND(INDEX(DarlTilgStart,3)&gt;0,$E1155&lt;INDEX(DarlTilgStart,3))),0,MIN(MAX(0,$K1155-$L1155),$J1155)))</f>
      </c>
      <c r="N1155" s="43">
        <f>IF($I1155=0,0,MIN(SUMIFS(SondBetrag,SondDarl,3,SondDatum,"&gt;="&amp;$E1155,SondDatum,"&lt;="&amp;EOMONTH($E1155,0)),$J1155-$M1155))</f>
      </c>
      <c r="O1155" s="43">
        <f>IF($I1155=0,0,INDEX(DarlErsatzRate,3))</f>
      </c>
      <c r="P1155" s="43">
        <f>IF($I1155=0,0,$Q1154*INDEX(DarlErsatzZins,3))</f>
      </c>
      <c r="Q1155" s="43">
        <f>IF($I1155=0,0,$Q1154+$P1155+$O1155)</f>
      </c>
      <c r="R1155" s="43">
        <f>IF($I1155=0,0,$J1155-$M1155-$N1155)</f>
      </c>
    </row>
    <row r="1156">
      <c r="A1156"/>
      <c r="B1156">
        <v>3</v>
      </c>
      <c r="C1156" s="43">
        <f>INDEX(DarlObj,3)</f>
      </c>
      <c r="D1156">
        <v>193</v>
      </c>
      <c r="E1156" s="51">
        <f>IF(INDEX(DarlBelegt,3)=0,0,EOMONTH(INDEX(DarlAuszahlung,3),192)+1)</f>
      </c>
      <c r="F1156" s="43">
        <f>IF($E1156=0,0,YEAR($E1156))</f>
      </c>
      <c r="G1156" s="43">
        <f>IF(INDEX(DarlBindung,3)="",1,IF($E1156&lt;=INDEX(DarlBindung,3),1,0))</f>
      </c>
      <c r="H1156" s="43">
        <f>IF($G1156=1,INDEX(DarlSollzins,3),INDEX(DarlAnschluss,3))</f>
      </c>
      <c r="I1156" s="43">
        <f>IF(INDEX(DarlBelegt,3)=0,0,IF(INDEX(DarlOhneTilgung,3)=1,IF(INDEX(DarlBindung,3)="",1,$G1156),IF($J1156&gt;0.005,1,0)))</f>
      </c>
      <c r="J1156" s="43">
        <f>IF($I1155=0,0,$R1155)</f>
      </c>
      <c r="K1156" s="43">
        <f>IF($I1156=0,0,IF(INDEX(DarlOhneTilgung,3)=1,0,IF(AND(INDEX(DarlTilgStart,3)&gt;0,$E1156=INDEX(DarlTilgStart,3)),$J1156*($H1156+INDEX(DarlTilgung,3))/100/12,IF(AND($G1156=0,$G1155=1),MAX($K1155,$J1156*($H1156+1)/100/12),$K1155))))</f>
      </c>
      <c r="L1156" s="43">
        <f>IF($I1156=0,0,$J1156*$H1156/100/12)</f>
      </c>
      <c r="M1156" s="43">
        <f>IF($I1156=0,0,IF(OR(INDEX(DarlOhneTilgung,3)=1,AND(INDEX(DarlTilgStart,3)&gt;0,$E1156&lt;INDEX(DarlTilgStart,3))),0,MIN(MAX(0,$K1156-$L1156),$J1156)))</f>
      </c>
      <c r="N1156" s="43">
        <f>IF($I1156=0,0,MIN(SUMIFS(SondBetrag,SondDarl,3,SondDatum,"&gt;="&amp;$E1156,SondDatum,"&lt;="&amp;EOMONTH($E1156,0)),$J1156-$M1156))</f>
      </c>
      <c r="O1156" s="43">
        <f>IF($I1156=0,0,INDEX(DarlErsatzRate,3))</f>
      </c>
      <c r="P1156" s="43">
        <f>IF($I1156=0,0,$Q1155*INDEX(DarlErsatzZins,3))</f>
      </c>
      <c r="Q1156" s="43">
        <f>IF($I1156=0,0,$Q1155+$P1156+$O1156)</f>
      </c>
      <c r="R1156" s="43">
        <f>IF($I1156=0,0,$J1156-$M1156-$N1156)</f>
      </c>
    </row>
    <row r="1157">
      <c r="A1157"/>
      <c r="B1157">
        <v>3</v>
      </c>
      <c r="C1157" s="43">
        <f>INDEX(DarlObj,3)</f>
      </c>
      <c r="D1157">
        <v>194</v>
      </c>
      <c r="E1157" s="51">
        <f>IF(INDEX(DarlBelegt,3)=0,0,EOMONTH(INDEX(DarlAuszahlung,3),193)+1)</f>
      </c>
      <c r="F1157" s="43">
        <f>IF($E1157=0,0,YEAR($E1157))</f>
      </c>
      <c r="G1157" s="43">
        <f>IF(INDEX(DarlBindung,3)="",1,IF($E1157&lt;=INDEX(DarlBindung,3),1,0))</f>
      </c>
      <c r="H1157" s="43">
        <f>IF($G1157=1,INDEX(DarlSollzins,3),INDEX(DarlAnschluss,3))</f>
      </c>
      <c r="I1157" s="43">
        <f>IF(INDEX(DarlBelegt,3)=0,0,IF(INDEX(DarlOhneTilgung,3)=1,IF(INDEX(DarlBindung,3)="",1,$G1157),IF($J1157&gt;0.005,1,0)))</f>
      </c>
      <c r="J1157" s="43">
        <f>IF($I1156=0,0,$R1156)</f>
      </c>
      <c r="K1157" s="43">
        <f>IF($I1157=0,0,IF(INDEX(DarlOhneTilgung,3)=1,0,IF(AND(INDEX(DarlTilgStart,3)&gt;0,$E1157=INDEX(DarlTilgStart,3)),$J1157*($H1157+INDEX(DarlTilgung,3))/100/12,IF(AND($G1157=0,$G1156=1),MAX($K1156,$J1157*($H1157+1)/100/12),$K1156))))</f>
      </c>
      <c r="L1157" s="43">
        <f>IF($I1157=0,0,$J1157*$H1157/100/12)</f>
      </c>
      <c r="M1157" s="43">
        <f>IF($I1157=0,0,IF(OR(INDEX(DarlOhneTilgung,3)=1,AND(INDEX(DarlTilgStart,3)&gt;0,$E1157&lt;INDEX(DarlTilgStart,3))),0,MIN(MAX(0,$K1157-$L1157),$J1157)))</f>
      </c>
      <c r="N1157" s="43">
        <f>IF($I1157=0,0,MIN(SUMIFS(SondBetrag,SondDarl,3,SondDatum,"&gt;="&amp;$E1157,SondDatum,"&lt;="&amp;EOMONTH($E1157,0)),$J1157-$M1157))</f>
      </c>
      <c r="O1157" s="43">
        <f>IF($I1157=0,0,INDEX(DarlErsatzRate,3))</f>
      </c>
      <c r="P1157" s="43">
        <f>IF($I1157=0,0,$Q1156*INDEX(DarlErsatzZins,3))</f>
      </c>
      <c r="Q1157" s="43">
        <f>IF($I1157=0,0,$Q1156+$P1157+$O1157)</f>
      </c>
      <c r="R1157" s="43">
        <f>IF($I1157=0,0,$J1157-$M1157-$N1157)</f>
      </c>
    </row>
    <row r="1158">
      <c r="A1158"/>
      <c r="B1158">
        <v>3</v>
      </c>
      <c r="C1158" s="43">
        <f>INDEX(DarlObj,3)</f>
      </c>
      <c r="D1158">
        <v>195</v>
      </c>
      <c r="E1158" s="51">
        <f>IF(INDEX(DarlBelegt,3)=0,0,EOMONTH(INDEX(DarlAuszahlung,3),194)+1)</f>
      </c>
      <c r="F1158" s="43">
        <f>IF($E1158=0,0,YEAR($E1158))</f>
      </c>
      <c r="G1158" s="43">
        <f>IF(INDEX(DarlBindung,3)="",1,IF($E1158&lt;=INDEX(DarlBindung,3),1,0))</f>
      </c>
      <c r="H1158" s="43">
        <f>IF($G1158=1,INDEX(DarlSollzins,3),INDEX(DarlAnschluss,3))</f>
      </c>
      <c r="I1158" s="43">
        <f>IF(INDEX(DarlBelegt,3)=0,0,IF(INDEX(DarlOhneTilgung,3)=1,IF(INDEX(DarlBindung,3)="",1,$G1158),IF($J1158&gt;0.005,1,0)))</f>
      </c>
      <c r="J1158" s="43">
        <f>IF($I1157=0,0,$R1157)</f>
      </c>
      <c r="K1158" s="43">
        <f>IF($I1158=0,0,IF(INDEX(DarlOhneTilgung,3)=1,0,IF(AND(INDEX(DarlTilgStart,3)&gt;0,$E1158=INDEX(DarlTilgStart,3)),$J1158*($H1158+INDEX(DarlTilgung,3))/100/12,IF(AND($G1158=0,$G1157=1),MAX($K1157,$J1158*($H1158+1)/100/12),$K1157))))</f>
      </c>
      <c r="L1158" s="43">
        <f>IF($I1158=0,0,$J1158*$H1158/100/12)</f>
      </c>
      <c r="M1158" s="43">
        <f>IF($I1158=0,0,IF(OR(INDEX(DarlOhneTilgung,3)=1,AND(INDEX(DarlTilgStart,3)&gt;0,$E1158&lt;INDEX(DarlTilgStart,3))),0,MIN(MAX(0,$K1158-$L1158),$J1158)))</f>
      </c>
      <c r="N1158" s="43">
        <f>IF($I1158=0,0,MIN(SUMIFS(SondBetrag,SondDarl,3,SondDatum,"&gt;="&amp;$E1158,SondDatum,"&lt;="&amp;EOMONTH($E1158,0)),$J1158-$M1158))</f>
      </c>
      <c r="O1158" s="43">
        <f>IF($I1158=0,0,INDEX(DarlErsatzRate,3))</f>
      </c>
      <c r="P1158" s="43">
        <f>IF($I1158=0,0,$Q1157*INDEX(DarlErsatzZins,3))</f>
      </c>
      <c r="Q1158" s="43">
        <f>IF($I1158=0,0,$Q1157+$P1158+$O1158)</f>
      </c>
      <c r="R1158" s="43">
        <f>IF($I1158=0,0,$J1158-$M1158-$N1158)</f>
      </c>
    </row>
    <row r="1159">
      <c r="A1159"/>
      <c r="B1159">
        <v>3</v>
      </c>
      <c r="C1159" s="43">
        <f>INDEX(DarlObj,3)</f>
      </c>
      <c r="D1159">
        <v>196</v>
      </c>
      <c r="E1159" s="51">
        <f>IF(INDEX(DarlBelegt,3)=0,0,EOMONTH(INDEX(DarlAuszahlung,3),195)+1)</f>
      </c>
      <c r="F1159" s="43">
        <f>IF($E1159=0,0,YEAR($E1159))</f>
      </c>
      <c r="G1159" s="43">
        <f>IF(INDEX(DarlBindung,3)="",1,IF($E1159&lt;=INDEX(DarlBindung,3),1,0))</f>
      </c>
      <c r="H1159" s="43">
        <f>IF($G1159=1,INDEX(DarlSollzins,3),INDEX(DarlAnschluss,3))</f>
      </c>
      <c r="I1159" s="43">
        <f>IF(INDEX(DarlBelegt,3)=0,0,IF(INDEX(DarlOhneTilgung,3)=1,IF(INDEX(DarlBindung,3)="",1,$G1159),IF($J1159&gt;0.005,1,0)))</f>
      </c>
      <c r="J1159" s="43">
        <f>IF($I1158=0,0,$R1158)</f>
      </c>
      <c r="K1159" s="43">
        <f>IF($I1159=0,0,IF(INDEX(DarlOhneTilgung,3)=1,0,IF(AND(INDEX(DarlTilgStart,3)&gt;0,$E1159=INDEX(DarlTilgStart,3)),$J1159*($H1159+INDEX(DarlTilgung,3))/100/12,IF(AND($G1159=0,$G1158=1),MAX($K1158,$J1159*($H1159+1)/100/12),$K1158))))</f>
      </c>
      <c r="L1159" s="43">
        <f>IF($I1159=0,0,$J1159*$H1159/100/12)</f>
      </c>
      <c r="M1159" s="43">
        <f>IF($I1159=0,0,IF(OR(INDEX(DarlOhneTilgung,3)=1,AND(INDEX(DarlTilgStart,3)&gt;0,$E1159&lt;INDEX(DarlTilgStart,3))),0,MIN(MAX(0,$K1159-$L1159),$J1159)))</f>
      </c>
      <c r="N1159" s="43">
        <f>IF($I1159=0,0,MIN(SUMIFS(SondBetrag,SondDarl,3,SondDatum,"&gt;="&amp;$E1159,SondDatum,"&lt;="&amp;EOMONTH($E1159,0)),$J1159-$M1159))</f>
      </c>
      <c r="O1159" s="43">
        <f>IF($I1159=0,0,INDEX(DarlErsatzRate,3))</f>
      </c>
      <c r="P1159" s="43">
        <f>IF($I1159=0,0,$Q1158*INDEX(DarlErsatzZins,3))</f>
      </c>
      <c r="Q1159" s="43">
        <f>IF($I1159=0,0,$Q1158+$P1159+$O1159)</f>
      </c>
      <c r="R1159" s="43">
        <f>IF($I1159=0,0,$J1159-$M1159-$N1159)</f>
      </c>
    </row>
    <row r="1160">
      <c r="A1160"/>
      <c r="B1160">
        <v>3</v>
      </c>
      <c r="C1160" s="43">
        <f>INDEX(DarlObj,3)</f>
      </c>
      <c r="D1160">
        <v>197</v>
      </c>
      <c r="E1160" s="51">
        <f>IF(INDEX(DarlBelegt,3)=0,0,EOMONTH(INDEX(DarlAuszahlung,3),196)+1)</f>
      </c>
      <c r="F1160" s="43">
        <f>IF($E1160=0,0,YEAR($E1160))</f>
      </c>
      <c r="G1160" s="43">
        <f>IF(INDEX(DarlBindung,3)="",1,IF($E1160&lt;=INDEX(DarlBindung,3),1,0))</f>
      </c>
      <c r="H1160" s="43">
        <f>IF($G1160=1,INDEX(DarlSollzins,3),INDEX(DarlAnschluss,3))</f>
      </c>
      <c r="I1160" s="43">
        <f>IF(INDEX(DarlBelegt,3)=0,0,IF(INDEX(DarlOhneTilgung,3)=1,IF(INDEX(DarlBindung,3)="",1,$G1160),IF($J1160&gt;0.005,1,0)))</f>
      </c>
      <c r="J1160" s="43">
        <f>IF($I1159=0,0,$R1159)</f>
      </c>
      <c r="K1160" s="43">
        <f>IF($I1160=0,0,IF(INDEX(DarlOhneTilgung,3)=1,0,IF(AND(INDEX(DarlTilgStart,3)&gt;0,$E1160=INDEX(DarlTilgStart,3)),$J1160*($H1160+INDEX(DarlTilgung,3))/100/12,IF(AND($G1160=0,$G1159=1),MAX($K1159,$J1160*($H1160+1)/100/12),$K1159))))</f>
      </c>
      <c r="L1160" s="43">
        <f>IF($I1160=0,0,$J1160*$H1160/100/12)</f>
      </c>
      <c r="M1160" s="43">
        <f>IF($I1160=0,0,IF(OR(INDEX(DarlOhneTilgung,3)=1,AND(INDEX(DarlTilgStart,3)&gt;0,$E1160&lt;INDEX(DarlTilgStart,3))),0,MIN(MAX(0,$K1160-$L1160),$J1160)))</f>
      </c>
      <c r="N1160" s="43">
        <f>IF($I1160=0,0,MIN(SUMIFS(SondBetrag,SondDarl,3,SondDatum,"&gt;="&amp;$E1160,SondDatum,"&lt;="&amp;EOMONTH($E1160,0)),$J1160-$M1160))</f>
      </c>
      <c r="O1160" s="43">
        <f>IF($I1160=0,0,INDEX(DarlErsatzRate,3))</f>
      </c>
      <c r="P1160" s="43">
        <f>IF($I1160=0,0,$Q1159*INDEX(DarlErsatzZins,3))</f>
      </c>
      <c r="Q1160" s="43">
        <f>IF($I1160=0,0,$Q1159+$P1160+$O1160)</f>
      </c>
      <c r="R1160" s="43">
        <f>IF($I1160=0,0,$J1160-$M1160-$N1160)</f>
      </c>
    </row>
    <row r="1161">
      <c r="A1161"/>
      <c r="B1161">
        <v>3</v>
      </c>
      <c r="C1161" s="43">
        <f>INDEX(DarlObj,3)</f>
      </c>
      <c r="D1161">
        <v>198</v>
      </c>
      <c r="E1161" s="51">
        <f>IF(INDEX(DarlBelegt,3)=0,0,EOMONTH(INDEX(DarlAuszahlung,3),197)+1)</f>
      </c>
      <c r="F1161" s="43">
        <f>IF($E1161=0,0,YEAR($E1161))</f>
      </c>
      <c r="G1161" s="43">
        <f>IF(INDEX(DarlBindung,3)="",1,IF($E1161&lt;=INDEX(DarlBindung,3),1,0))</f>
      </c>
      <c r="H1161" s="43">
        <f>IF($G1161=1,INDEX(DarlSollzins,3),INDEX(DarlAnschluss,3))</f>
      </c>
      <c r="I1161" s="43">
        <f>IF(INDEX(DarlBelegt,3)=0,0,IF(INDEX(DarlOhneTilgung,3)=1,IF(INDEX(DarlBindung,3)="",1,$G1161),IF($J1161&gt;0.005,1,0)))</f>
      </c>
      <c r="J1161" s="43">
        <f>IF($I1160=0,0,$R1160)</f>
      </c>
      <c r="K1161" s="43">
        <f>IF($I1161=0,0,IF(INDEX(DarlOhneTilgung,3)=1,0,IF(AND(INDEX(DarlTilgStart,3)&gt;0,$E1161=INDEX(DarlTilgStart,3)),$J1161*($H1161+INDEX(DarlTilgung,3))/100/12,IF(AND($G1161=0,$G1160=1),MAX($K1160,$J1161*($H1161+1)/100/12),$K1160))))</f>
      </c>
      <c r="L1161" s="43">
        <f>IF($I1161=0,0,$J1161*$H1161/100/12)</f>
      </c>
      <c r="M1161" s="43">
        <f>IF($I1161=0,0,IF(OR(INDEX(DarlOhneTilgung,3)=1,AND(INDEX(DarlTilgStart,3)&gt;0,$E1161&lt;INDEX(DarlTilgStart,3))),0,MIN(MAX(0,$K1161-$L1161),$J1161)))</f>
      </c>
      <c r="N1161" s="43">
        <f>IF($I1161=0,0,MIN(SUMIFS(SondBetrag,SondDarl,3,SondDatum,"&gt;="&amp;$E1161,SondDatum,"&lt;="&amp;EOMONTH($E1161,0)),$J1161-$M1161))</f>
      </c>
      <c r="O1161" s="43">
        <f>IF($I1161=0,0,INDEX(DarlErsatzRate,3))</f>
      </c>
      <c r="P1161" s="43">
        <f>IF($I1161=0,0,$Q1160*INDEX(DarlErsatzZins,3))</f>
      </c>
      <c r="Q1161" s="43">
        <f>IF($I1161=0,0,$Q1160+$P1161+$O1161)</f>
      </c>
      <c r="R1161" s="43">
        <f>IF($I1161=0,0,$J1161-$M1161-$N1161)</f>
      </c>
    </row>
    <row r="1162">
      <c r="A1162"/>
      <c r="B1162">
        <v>3</v>
      </c>
      <c r="C1162" s="43">
        <f>INDEX(DarlObj,3)</f>
      </c>
      <c r="D1162">
        <v>199</v>
      </c>
      <c r="E1162" s="51">
        <f>IF(INDEX(DarlBelegt,3)=0,0,EOMONTH(INDEX(DarlAuszahlung,3),198)+1)</f>
      </c>
      <c r="F1162" s="43">
        <f>IF($E1162=0,0,YEAR($E1162))</f>
      </c>
      <c r="G1162" s="43">
        <f>IF(INDEX(DarlBindung,3)="",1,IF($E1162&lt;=INDEX(DarlBindung,3),1,0))</f>
      </c>
      <c r="H1162" s="43">
        <f>IF($G1162=1,INDEX(DarlSollzins,3),INDEX(DarlAnschluss,3))</f>
      </c>
      <c r="I1162" s="43">
        <f>IF(INDEX(DarlBelegt,3)=0,0,IF(INDEX(DarlOhneTilgung,3)=1,IF(INDEX(DarlBindung,3)="",1,$G1162),IF($J1162&gt;0.005,1,0)))</f>
      </c>
      <c r="J1162" s="43">
        <f>IF($I1161=0,0,$R1161)</f>
      </c>
      <c r="K1162" s="43">
        <f>IF($I1162=0,0,IF(INDEX(DarlOhneTilgung,3)=1,0,IF(AND(INDEX(DarlTilgStart,3)&gt;0,$E1162=INDEX(DarlTilgStart,3)),$J1162*($H1162+INDEX(DarlTilgung,3))/100/12,IF(AND($G1162=0,$G1161=1),MAX($K1161,$J1162*($H1162+1)/100/12),$K1161))))</f>
      </c>
      <c r="L1162" s="43">
        <f>IF($I1162=0,0,$J1162*$H1162/100/12)</f>
      </c>
      <c r="M1162" s="43">
        <f>IF($I1162=0,0,IF(OR(INDEX(DarlOhneTilgung,3)=1,AND(INDEX(DarlTilgStart,3)&gt;0,$E1162&lt;INDEX(DarlTilgStart,3))),0,MIN(MAX(0,$K1162-$L1162),$J1162)))</f>
      </c>
      <c r="N1162" s="43">
        <f>IF($I1162=0,0,MIN(SUMIFS(SondBetrag,SondDarl,3,SondDatum,"&gt;="&amp;$E1162,SondDatum,"&lt;="&amp;EOMONTH($E1162,0)),$J1162-$M1162))</f>
      </c>
      <c r="O1162" s="43">
        <f>IF($I1162=0,0,INDEX(DarlErsatzRate,3))</f>
      </c>
      <c r="P1162" s="43">
        <f>IF($I1162=0,0,$Q1161*INDEX(DarlErsatzZins,3))</f>
      </c>
      <c r="Q1162" s="43">
        <f>IF($I1162=0,0,$Q1161+$P1162+$O1162)</f>
      </c>
      <c r="R1162" s="43">
        <f>IF($I1162=0,0,$J1162-$M1162-$N1162)</f>
      </c>
    </row>
    <row r="1163">
      <c r="A1163"/>
      <c r="B1163">
        <v>3</v>
      </c>
      <c r="C1163" s="43">
        <f>INDEX(DarlObj,3)</f>
      </c>
      <c r="D1163">
        <v>200</v>
      </c>
      <c r="E1163" s="51">
        <f>IF(INDEX(DarlBelegt,3)=0,0,EOMONTH(INDEX(DarlAuszahlung,3),199)+1)</f>
      </c>
      <c r="F1163" s="43">
        <f>IF($E1163=0,0,YEAR($E1163))</f>
      </c>
      <c r="G1163" s="43">
        <f>IF(INDEX(DarlBindung,3)="",1,IF($E1163&lt;=INDEX(DarlBindung,3),1,0))</f>
      </c>
      <c r="H1163" s="43">
        <f>IF($G1163=1,INDEX(DarlSollzins,3),INDEX(DarlAnschluss,3))</f>
      </c>
      <c r="I1163" s="43">
        <f>IF(INDEX(DarlBelegt,3)=0,0,IF(INDEX(DarlOhneTilgung,3)=1,IF(INDEX(DarlBindung,3)="",1,$G1163),IF($J1163&gt;0.005,1,0)))</f>
      </c>
      <c r="J1163" s="43">
        <f>IF($I1162=0,0,$R1162)</f>
      </c>
      <c r="K1163" s="43">
        <f>IF($I1163=0,0,IF(INDEX(DarlOhneTilgung,3)=1,0,IF(AND(INDEX(DarlTilgStart,3)&gt;0,$E1163=INDEX(DarlTilgStart,3)),$J1163*($H1163+INDEX(DarlTilgung,3))/100/12,IF(AND($G1163=0,$G1162=1),MAX($K1162,$J1163*($H1163+1)/100/12),$K1162))))</f>
      </c>
      <c r="L1163" s="43">
        <f>IF($I1163=0,0,$J1163*$H1163/100/12)</f>
      </c>
      <c r="M1163" s="43">
        <f>IF($I1163=0,0,IF(OR(INDEX(DarlOhneTilgung,3)=1,AND(INDEX(DarlTilgStart,3)&gt;0,$E1163&lt;INDEX(DarlTilgStart,3))),0,MIN(MAX(0,$K1163-$L1163),$J1163)))</f>
      </c>
      <c r="N1163" s="43">
        <f>IF($I1163=0,0,MIN(SUMIFS(SondBetrag,SondDarl,3,SondDatum,"&gt;="&amp;$E1163,SondDatum,"&lt;="&amp;EOMONTH($E1163,0)),$J1163-$M1163))</f>
      </c>
      <c r="O1163" s="43">
        <f>IF($I1163=0,0,INDEX(DarlErsatzRate,3))</f>
      </c>
      <c r="P1163" s="43">
        <f>IF($I1163=0,0,$Q1162*INDEX(DarlErsatzZins,3))</f>
      </c>
      <c r="Q1163" s="43">
        <f>IF($I1163=0,0,$Q1162+$P1163+$O1163)</f>
      </c>
      <c r="R1163" s="43">
        <f>IF($I1163=0,0,$J1163-$M1163-$N1163)</f>
      </c>
    </row>
    <row r="1164">
      <c r="A1164"/>
      <c r="B1164">
        <v>3</v>
      </c>
      <c r="C1164" s="43">
        <f>INDEX(DarlObj,3)</f>
      </c>
      <c r="D1164">
        <v>201</v>
      </c>
      <c r="E1164" s="51">
        <f>IF(INDEX(DarlBelegt,3)=0,0,EOMONTH(INDEX(DarlAuszahlung,3),200)+1)</f>
      </c>
      <c r="F1164" s="43">
        <f>IF($E1164=0,0,YEAR($E1164))</f>
      </c>
      <c r="G1164" s="43">
        <f>IF(INDEX(DarlBindung,3)="",1,IF($E1164&lt;=INDEX(DarlBindung,3),1,0))</f>
      </c>
      <c r="H1164" s="43">
        <f>IF($G1164=1,INDEX(DarlSollzins,3),INDEX(DarlAnschluss,3))</f>
      </c>
      <c r="I1164" s="43">
        <f>IF(INDEX(DarlBelegt,3)=0,0,IF(INDEX(DarlOhneTilgung,3)=1,IF(INDEX(DarlBindung,3)="",1,$G1164),IF($J1164&gt;0.005,1,0)))</f>
      </c>
      <c r="J1164" s="43">
        <f>IF($I1163=0,0,$R1163)</f>
      </c>
      <c r="K1164" s="43">
        <f>IF($I1164=0,0,IF(INDEX(DarlOhneTilgung,3)=1,0,IF(AND(INDEX(DarlTilgStart,3)&gt;0,$E1164=INDEX(DarlTilgStart,3)),$J1164*($H1164+INDEX(DarlTilgung,3))/100/12,IF(AND($G1164=0,$G1163=1),MAX($K1163,$J1164*($H1164+1)/100/12),$K1163))))</f>
      </c>
      <c r="L1164" s="43">
        <f>IF($I1164=0,0,$J1164*$H1164/100/12)</f>
      </c>
      <c r="M1164" s="43">
        <f>IF($I1164=0,0,IF(OR(INDEX(DarlOhneTilgung,3)=1,AND(INDEX(DarlTilgStart,3)&gt;0,$E1164&lt;INDEX(DarlTilgStart,3))),0,MIN(MAX(0,$K1164-$L1164),$J1164)))</f>
      </c>
      <c r="N1164" s="43">
        <f>IF($I1164=0,0,MIN(SUMIFS(SondBetrag,SondDarl,3,SondDatum,"&gt;="&amp;$E1164,SondDatum,"&lt;="&amp;EOMONTH($E1164,0)),$J1164-$M1164))</f>
      </c>
      <c r="O1164" s="43">
        <f>IF($I1164=0,0,INDEX(DarlErsatzRate,3))</f>
      </c>
      <c r="P1164" s="43">
        <f>IF($I1164=0,0,$Q1163*INDEX(DarlErsatzZins,3))</f>
      </c>
      <c r="Q1164" s="43">
        <f>IF($I1164=0,0,$Q1163+$P1164+$O1164)</f>
      </c>
      <c r="R1164" s="43">
        <f>IF($I1164=0,0,$J1164-$M1164-$N1164)</f>
      </c>
    </row>
    <row r="1165">
      <c r="A1165"/>
      <c r="B1165">
        <v>3</v>
      </c>
      <c r="C1165" s="43">
        <f>INDEX(DarlObj,3)</f>
      </c>
      <c r="D1165">
        <v>202</v>
      </c>
      <c r="E1165" s="51">
        <f>IF(INDEX(DarlBelegt,3)=0,0,EOMONTH(INDEX(DarlAuszahlung,3),201)+1)</f>
      </c>
      <c r="F1165" s="43">
        <f>IF($E1165=0,0,YEAR($E1165))</f>
      </c>
      <c r="G1165" s="43">
        <f>IF(INDEX(DarlBindung,3)="",1,IF($E1165&lt;=INDEX(DarlBindung,3),1,0))</f>
      </c>
      <c r="H1165" s="43">
        <f>IF($G1165=1,INDEX(DarlSollzins,3),INDEX(DarlAnschluss,3))</f>
      </c>
      <c r="I1165" s="43">
        <f>IF(INDEX(DarlBelegt,3)=0,0,IF(INDEX(DarlOhneTilgung,3)=1,IF(INDEX(DarlBindung,3)="",1,$G1165),IF($J1165&gt;0.005,1,0)))</f>
      </c>
      <c r="J1165" s="43">
        <f>IF($I1164=0,0,$R1164)</f>
      </c>
      <c r="K1165" s="43">
        <f>IF($I1165=0,0,IF(INDEX(DarlOhneTilgung,3)=1,0,IF(AND(INDEX(DarlTilgStart,3)&gt;0,$E1165=INDEX(DarlTilgStart,3)),$J1165*($H1165+INDEX(DarlTilgung,3))/100/12,IF(AND($G1165=0,$G1164=1),MAX($K1164,$J1165*($H1165+1)/100/12),$K1164))))</f>
      </c>
      <c r="L1165" s="43">
        <f>IF($I1165=0,0,$J1165*$H1165/100/12)</f>
      </c>
      <c r="M1165" s="43">
        <f>IF($I1165=0,0,IF(OR(INDEX(DarlOhneTilgung,3)=1,AND(INDEX(DarlTilgStart,3)&gt;0,$E1165&lt;INDEX(DarlTilgStart,3))),0,MIN(MAX(0,$K1165-$L1165),$J1165)))</f>
      </c>
      <c r="N1165" s="43">
        <f>IF($I1165=0,0,MIN(SUMIFS(SondBetrag,SondDarl,3,SondDatum,"&gt;="&amp;$E1165,SondDatum,"&lt;="&amp;EOMONTH($E1165,0)),$J1165-$M1165))</f>
      </c>
      <c r="O1165" s="43">
        <f>IF($I1165=0,0,INDEX(DarlErsatzRate,3))</f>
      </c>
      <c r="P1165" s="43">
        <f>IF($I1165=0,0,$Q1164*INDEX(DarlErsatzZins,3))</f>
      </c>
      <c r="Q1165" s="43">
        <f>IF($I1165=0,0,$Q1164+$P1165+$O1165)</f>
      </c>
      <c r="R1165" s="43">
        <f>IF($I1165=0,0,$J1165-$M1165-$N1165)</f>
      </c>
    </row>
    <row r="1166">
      <c r="A1166"/>
      <c r="B1166">
        <v>3</v>
      </c>
      <c r="C1166" s="43">
        <f>INDEX(DarlObj,3)</f>
      </c>
      <c r="D1166">
        <v>203</v>
      </c>
      <c r="E1166" s="51">
        <f>IF(INDEX(DarlBelegt,3)=0,0,EOMONTH(INDEX(DarlAuszahlung,3),202)+1)</f>
      </c>
      <c r="F1166" s="43">
        <f>IF($E1166=0,0,YEAR($E1166))</f>
      </c>
      <c r="G1166" s="43">
        <f>IF(INDEX(DarlBindung,3)="",1,IF($E1166&lt;=INDEX(DarlBindung,3),1,0))</f>
      </c>
      <c r="H1166" s="43">
        <f>IF($G1166=1,INDEX(DarlSollzins,3),INDEX(DarlAnschluss,3))</f>
      </c>
      <c r="I1166" s="43">
        <f>IF(INDEX(DarlBelegt,3)=0,0,IF(INDEX(DarlOhneTilgung,3)=1,IF(INDEX(DarlBindung,3)="",1,$G1166),IF($J1166&gt;0.005,1,0)))</f>
      </c>
      <c r="J1166" s="43">
        <f>IF($I1165=0,0,$R1165)</f>
      </c>
      <c r="K1166" s="43">
        <f>IF($I1166=0,0,IF(INDEX(DarlOhneTilgung,3)=1,0,IF(AND(INDEX(DarlTilgStart,3)&gt;0,$E1166=INDEX(DarlTilgStart,3)),$J1166*($H1166+INDEX(DarlTilgung,3))/100/12,IF(AND($G1166=0,$G1165=1),MAX($K1165,$J1166*($H1166+1)/100/12),$K1165))))</f>
      </c>
      <c r="L1166" s="43">
        <f>IF($I1166=0,0,$J1166*$H1166/100/12)</f>
      </c>
      <c r="M1166" s="43">
        <f>IF($I1166=0,0,IF(OR(INDEX(DarlOhneTilgung,3)=1,AND(INDEX(DarlTilgStart,3)&gt;0,$E1166&lt;INDEX(DarlTilgStart,3))),0,MIN(MAX(0,$K1166-$L1166),$J1166)))</f>
      </c>
      <c r="N1166" s="43">
        <f>IF($I1166=0,0,MIN(SUMIFS(SondBetrag,SondDarl,3,SondDatum,"&gt;="&amp;$E1166,SondDatum,"&lt;="&amp;EOMONTH($E1166,0)),$J1166-$M1166))</f>
      </c>
      <c r="O1166" s="43">
        <f>IF($I1166=0,0,INDEX(DarlErsatzRate,3))</f>
      </c>
      <c r="P1166" s="43">
        <f>IF($I1166=0,0,$Q1165*INDEX(DarlErsatzZins,3))</f>
      </c>
      <c r="Q1166" s="43">
        <f>IF($I1166=0,0,$Q1165+$P1166+$O1166)</f>
      </c>
      <c r="R1166" s="43">
        <f>IF($I1166=0,0,$J1166-$M1166-$N1166)</f>
      </c>
    </row>
    <row r="1167">
      <c r="A1167"/>
      <c r="B1167">
        <v>3</v>
      </c>
      <c r="C1167" s="43">
        <f>INDEX(DarlObj,3)</f>
      </c>
      <c r="D1167">
        <v>204</v>
      </c>
      <c r="E1167" s="51">
        <f>IF(INDEX(DarlBelegt,3)=0,0,EOMONTH(INDEX(DarlAuszahlung,3),203)+1)</f>
      </c>
      <c r="F1167" s="43">
        <f>IF($E1167=0,0,YEAR($E1167))</f>
      </c>
      <c r="G1167" s="43">
        <f>IF(INDEX(DarlBindung,3)="",1,IF($E1167&lt;=INDEX(DarlBindung,3),1,0))</f>
      </c>
      <c r="H1167" s="43">
        <f>IF($G1167=1,INDEX(DarlSollzins,3),INDEX(DarlAnschluss,3))</f>
      </c>
      <c r="I1167" s="43">
        <f>IF(INDEX(DarlBelegt,3)=0,0,IF(INDEX(DarlOhneTilgung,3)=1,IF(INDEX(DarlBindung,3)="",1,$G1167),IF($J1167&gt;0.005,1,0)))</f>
      </c>
      <c r="J1167" s="43">
        <f>IF($I1166=0,0,$R1166)</f>
      </c>
      <c r="K1167" s="43">
        <f>IF($I1167=0,0,IF(INDEX(DarlOhneTilgung,3)=1,0,IF(AND(INDEX(DarlTilgStart,3)&gt;0,$E1167=INDEX(DarlTilgStart,3)),$J1167*($H1167+INDEX(DarlTilgung,3))/100/12,IF(AND($G1167=0,$G1166=1),MAX($K1166,$J1167*($H1167+1)/100/12),$K1166))))</f>
      </c>
      <c r="L1167" s="43">
        <f>IF($I1167=0,0,$J1167*$H1167/100/12)</f>
      </c>
      <c r="M1167" s="43">
        <f>IF($I1167=0,0,IF(OR(INDEX(DarlOhneTilgung,3)=1,AND(INDEX(DarlTilgStart,3)&gt;0,$E1167&lt;INDEX(DarlTilgStart,3))),0,MIN(MAX(0,$K1167-$L1167),$J1167)))</f>
      </c>
      <c r="N1167" s="43">
        <f>IF($I1167=0,0,MIN(SUMIFS(SondBetrag,SondDarl,3,SondDatum,"&gt;="&amp;$E1167,SondDatum,"&lt;="&amp;EOMONTH($E1167,0)),$J1167-$M1167))</f>
      </c>
      <c r="O1167" s="43">
        <f>IF($I1167=0,0,INDEX(DarlErsatzRate,3))</f>
      </c>
      <c r="P1167" s="43">
        <f>IF($I1167=0,0,$Q1166*INDEX(DarlErsatzZins,3))</f>
      </c>
      <c r="Q1167" s="43">
        <f>IF($I1167=0,0,$Q1166+$P1167+$O1167)</f>
      </c>
      <c r="R1167" s="43">
        <f>IF($I1167=0,0,$J1167-$M1167-$N1167)</f>
      </c>
    </row>
    <row r="1168">
      <c r="A1168"/>
      <c r="B1168">
        <v>3</v>
      </c>
      <c r="C1168" s="43">
        <f>INDEX(DarlObj,3)</f>
      </c>
      <c r="D1168">
        <v>205</v>
      </c>
      <c r="E1168" s="51">
        <f>IF(INDEX(DarlBelegt,3)=0,0,EOMONTH(INDEX(DarlAuszahlung,3),204)+1)</f>
      </c>
      <c r="F1168" s="43">
        <f>IF($E1168=0,0,YEAR($E1168))</f>
      </c>
      <c r="G1168" s="43">
        <f>IF(INDEX(DarlBindung,3)="",1,IF($E1168&lt;=INDEX(DarlBindung,3),1,0))</f>
      </c>
      <c r="H1168" s="43">
        <f>IF($G1168=1,INDEX(DarlSollzins,3),INDEX(DarlAnschluss,3))</f>
      </c>
      <c r="I1168" s="43">
        <f>IF(INDEX(DarlBelegt,3)=0,0,IF(INDEX(DarlOhneTilgung,3)=1,IF(INDEX(DarlBindung,3)="",1,$G1168),IF($J1168&gt;0.005,1,0)))</f>
      </c>
      <c r="J1168" s="43">
        <f>IF($I1167=0,0,$R1167)</f>
      </c>
      <c r="K1168" s="43">
        <f>IF($I1168=0,0,IF(INDEX(DarlOhneTilgung,3)=1,0,IF(AND(INDEX(DarlTilgStart,3)&gt;0,$E1168=INDEX(DarlTilgStart,3)),$J1168*($H1168+INDEX(DarlTilgung,3))/100/12,IF(AND($G1168=0,$G1167=1),MAX($K1167,$J1168*($H1168+1)/100/12),$K1167))))</f>
      </c>
      <c r="L1168" s="43">
        <f>IF($I1168=0,0,$J1168*$H1168/100/12)</f>
      </c>
      <c r="M1168" s="43">
        <f>IF($I1168=0,0,IF(OR(INDEX(DarlOhneTilgung,3)=1,AND(INDEX(DarlTilgStart,3)&gt;0,$E1168&lt;INDEX(DarlTilgStart,3))),0,MIN(MAX(0,$K1168-$L1168),$J1168)))</f>
      </c>
      <c r="N1168" s="43">
        <f>IF($I1168=0,0,MIN(SUMIFS(SondBetrag,SondDarl,3,SondDatum,"&gt;="&amp;$E1168,SondDatum,"&lt;="&amp;EOMONTH($E1168,0)),$J1168-$M1168))</f>
      </c>
      <c r="O1168" s="43">
        <f>IF($I1168=0,0,INDEX(DarlErsatzRate,3))</f>
      </c>
      <c r="P1168" s="43">
        <f>IF($I1168=0,0,$Q1167*INDEX(DarlErsatzZins,3))</f>
      </c>
      <c r="Q1168" s="43">
        <f>IF($I1168=0,0,$Q1167+$P1168+$O1168)</f>
      </c>
      <c r="R1168" s="43">
        <f>IF($I1168=0,0,$J1168-$M1168-$N1168)</f>
      </c>
    </row>
    <row r="1169">
      <c r="A1169"/>
      <c r="B1169">
        <v>3</v>
      </c>
      <c r="C1169" s="43">
        <f>INDEX(DarlObj,3)</f>
      </c>
      <c r="D1169">
        <v>206</v>
      </c>
      <c r="E1169" s="51">
        <f>IF(INDEX(DarlBelegt,3)=0,0,EOMONTH(INDEX(DarlAuszahlung,3),205)+1)</f>
      </c>
      <c r="F1169" s="43">
        <f>IF($E1169=0,0,YEAR($E1169))</f>
      </c>
      <c r="G1169" s="43">
        <f>IF(INDEX(DarlBindung,3)="",1,IF($E1169&lt;=INDEX(DarlBindung,3),1,0))</f>
      </c>
      <c r="H1169" s="43">
        <f>IF($G1169=1,INDEX(DarlSollzins,3),INDEX(DarlAnschluss,3))</f>
      </c>
      <c r="I1169" s="43">
        <f>IF(INDEX(DarlBelegt,3)=0,0,IF(INDEX(DarlOhneTilgung,3)=1,IF(INDEX(DarlBindung,3)="",1,$G1169),IF($J1169&gt;0.005,1,0)))</f>
      </c>
      <c r="J1169" s="43">
        <f>IF($I1168=0,0,$R1168)</f>
      </c>
      <c r="K1169" s="43">
        <f>IF($I1169=0,0,IF(INDEX(DarlOhneTilgung,3)=1,0,IF(AND(INDEX(DarlTilgStart,3)&gt;0,$E1169=INDEX(DarlTilgStart,3)),$J1169*($H1169+INDEX(DarlTilgung,3))/100/12,IF(AND($G1169=0,$G1168=1),MAX($K1168,$J1169*($H1169+1)/100/12),$K1168))))</f>
      </c>
      <c r="L1169" s="43">
        <f>IF($I1169=0,0,$J1169*$H1169/100/12)</f>
      </c>
      <c r="M1169" s="43">
        <f>IF($I1169=0,0,IF(OR(INDEX(DarlOhneTilgung,3)=1,AND(INDEX(DarlTilgStart,3)&gt;0,$E1169&lt;INDEX(DarlTilgStart,3))),0,MIN(MAX(0,$K1169-$L1169),$J1169)))</f>
      </c>
      <c r="N1169" s="43">
        <f>IF($I1169=0,0,MIN(SUMIFS(SondBetrag,SondDarl,3,SondDatum,"&gt;="&amp;$E1169,SondDatum,"&lt;="&amp;EOMONTH($E1169,0)),$J1169-$M1169))</f>
      </c>
      <c r="O1169" s="43">
        <f>IF($I1169=0,0,INDEX(DarlErsatzRate,3))</f>
      </c>
      <c r="P1169" s="43">
        <f>IF($I1169=0,0,$Q1168*INDEX(DarlErsatzZins,3))</f>
      </c>
      <c r="Q1169" s="43">
        <f>IF($I1169=0,0,$Q1168+$P1169+$O1169)</f>
      </c>
      <c r="R1169" s="43">
        <f>IF($I1169=0,0,$J1169-$M1169-$N1169)</f>
      </c>
    </row>
    <row r="1170">
      <c r="A1170"/>
      <c r="B1170">
        <v>3</v>
      </c>
      <c r="C1170" s="43">
        <f>INDEX(DarlObj,3)</f>
      </c>
      <c r="D1170">
        <v>207</v>
      </c>
      <c r="E1170" s="51">
        <f>IF(INDEX(DarlBelegt,3)=0,0,EOMONTH(INDEX(DarlAuszahlung,3),206)+1)</f>
      </c>
      <c r="F1170" s="43">
        <f>IF($E1170=0,0,YEAR($E1170))</f>
      </c>
      <c r="G1170" s="43">
        <f>IF(INDEX(DarlBindung,3)="",1,IF($E1170&lt;=INDEX(DarlBindung,3),1,0))</f>
      </c>
      <c r="H1170" s="43">
        <f>IF($G1170=1,INDEX(DarlSollzins,3),INDEX(DarlAnschluss,3))</f>
      </c>
      <c r="I1170" s="43">
        <f>IF(INDEX(DarlBelegt,3)=0,0,IF(INDEX(DarlOhneTilgung,3)=1,IF(INDEX(DarlBindung,3)="",1,$G1170),IF($J1170&gt;0.005,1,0)))</f>
      </c>
      <c r="J1170" s="43">
        <f>IF($I1169=0,0,$R1169)</f>
      </c>
      <c r="K1170" s="43">
        <f>IF($I1170=0,0,IF(INDEX(DarlOhneTilgung,3)=1,0,IF(AND(INDEX(DarlTilgStart,3)&gt;0,$E1170=INDEX(DarlTilgStart,3)),$J1170*($H1170+INDEX(DarlTilgung,3))/100/12,IF(AND($G1170=0,$G1169=1),MAX($K1169,$J1170*($H1170+1)/100/12),$K1169))))</f>
      </c>
      <c r="L1170" s="43">
        <f>IF($I1170=0,0,$J1170*$H1170/100/12)</f>
      </c>
      <c r="M1170" s="43">
        <f>IF($I1170=0,0,IF(OR(INDEX(DarlOhneTilgung,3)=1,AND(INDEX(DarlTilgStart,3)&gt;0,$E1170&lt;INDEX(DarlTilgStart,3))),0,MIN(MAX(0,$K1170-$L1170),$J1170)))</f>
      </c>
      <c r="N1170" s="43">
        <f>IF($I1170=0,0,MIN(SUMIFS(SondBetrag,SondDarl,3,SondDatum,"&gt;="&amp;$E1170,SondDatum,"&lt;="&amp;EOMONTH($E1170,0)),$J1170-$M1170))</f>
      </c>
      <c r="O1170" s="43">
        <f>IF($I1170=0,0,INDEX(DarlErsatzRate,3))</f>
      </c>
      <c r="P1170" s="43">
        <f>IF($I1170=0,0,$Q1169*INDEX(DarlErsatzZins,3))</f>
      </c>
      <c r="Q1170" s="43">
        <f>IF($I1170=0,0,$Q1169+$P1170+$O1170)</f>
      </c>
      <c r="R1170" s="43">
        <f>IF($I1170=0,0,$J1170-$M1170-$N1170)</f>
      </c>
    </row>
    <row r="1171">
      <c r="A1171"/>
      <c r="B1171">
        <v>3</v>
      </c>
      <c r="C1171" s="43">
        <f>INDEX(DarlObj,3)</f>
      </c>
      <c r="D1171">
        <v>208</v>
      </c>
      <c r="E1171" s="51">
        <f>IF(INDEX(DarlBelegt,3)=0,0,EOMONTH(INDEX(DarlAuszahlung,3),207)+1)</f>
      </c>
      <c r="F1171" s="43">
        <f>IF($E1171=0,0,YEAR($E1171))</f>
      </c>
      <c r="G1171" s="43">
        <f>IF(INDEX(DarlBindung,3)="",1,IF($E1171&lt;=INDEX(DarlBindung,3),1,0))</f>
      </c>
      <c r="H1171" s="43">
        <f>IF($G1171=1,INDEX(DarlSollzins,3),INDEX(DarlAnschluss,3))</f>
      </c>
      <c r="I1171" s="43">
        <f>IF(INDEX(DarlBelegt,3)=0,0,IF(INDEX(DarlOhneTilgung,3)=1,IF(INDEX(DarlBindung,3)="",1,$G1171),IF($J1171&gt;0.005,1,0)))</f>
      </c>
      <c r="J1171" s="43">
        <f>IF($I1170=0,0,$R1170)</f>
      </c>
      <c r="K1171" s="43">
        <f>IF($I1171=0,0,IF(INDEX(DarlOhneTilgung,3)=1,0,IF(AND(INDEX(DarlTilgStart,3)&gt;0,$E1171=INDEX(DarlTilgStart,3)),$J1171*($H1171+INDEX(DarlTilgung,3))/100/12,IF(AND($G1171=0,$G1170=1),MAX($K1170,$J1171*($H1171+1)/100/12),$K1170))))</f>
      </c>
      <c r="L1171" s="43">
        <f>IF($I1171=0,0,$J1171*$H1171/100/12)</f>
      </c>
      <c r="M1171" s="43">
        <f>IF($I1171=0,0,IF(OR(INDEX(DarlOhneTilgung,3)=1,AND(INDEX(DarlTilgStart,3)&gt;0,$E1171&lt;INDEX(DarlTilgStart,3))),0,MIN(MAX(0,$K1171-$L1171),$J1171)))</f>
      </c>
      <c r="N1171" s="43">
        <f>IF($I1171=0,0,MIN(SUMIFS(SondBetrag,SondDarl,3,SondDatum,"&gt;="&amp;$E1171,SondDatum,"&lt;="&amp;EOMONTH($E1171,0)),$J1171-$M1171))</f>
      </c>
      <c r="O1171" s="43">
        <f>IF($I1171=0,0,INDEX(DarlErsatzRate,3))</f>
      </c>
      <c r="P1171" s="43">
        <f>IF($I1171=0,0,$Q1170*INDEX(DarlErsatzZins,3))</f>
      </c>
      <c r="Q1171" s="43">
        <f>IF($I1171=0,0,$Q1170+$P1171+$O1171)</f>
      </c>
      <c r="R1171" s="43">
        <f>IF($I1171=0,0,$J1171-$M1171-$N1171)</f>
      </c>
    </row>
    <row r="1172">
      <c r="A1172"/>
      <c r="B1172">
        <v>3</v>
      </c>
      <c r="C1172" s="43">
        <f>INDEX(DarlObj,3)</f>
      </c>
      <c r="D1172">
        <v>209</v>
      </c>
      <c r="E1172" s="51">
        <f>IF(INDEX(DarlBelegt,3)=0,0,EOMONTH(INDEX(DarlAuszahlung,3),208)+1)</f>
      </c>
      <c r="F1172" s="43">
        <f>IF($E1172=0,0,YEAR($E1172))</f>
      </c>
      <c r="G1172" s="43">
        <f>IF(INDEX(DarlBindung,3)="",1,IF($E1172&lt;=INDEX(DarlBindung,3),1,0))</f>
      </c>
      <c r="H1172" s="43">
        <f>IF($G1172=1,INDEX(DarlSollzins,3),INDEX(DarlAnschluss,3))</f>
      </c>
      <c r="I1172" s="43">
        <f>IF(INDEX(DarlBelegt,3)=0,0,IF(INDEX(DarlOhneTilgung,3)=1,IF(INDEX(DarlBindung,3)="",1,$G1172),IF($J1172&gt;0.005,1,0)))</f>
      </c>
      <c r="J1172" s="43">
        <f>IF($I1171=0,0,$R1171)</f>
      </c>
      <c r="K1172" s="43">
        <f>IF($I1172=0,0,IF(INDEX(DarlOhneTilgung,3)=1,0,IF(AND(INDEX(DarlTilgStart,3)&gt;0,$E1172=INDEX(DarlTilgStart,3)),$J1172*($H1172+INDEX(DarlTilgung,3))/100/12,IF(AND($G1172=0,$G1171=1),MAX($K1171,$J1172*($H1172+1)/100/12),$K1171))))</f>
      </c>
      <c r="L1172" s="43">
        <f>IF($I1172=0,0,$J1172*$H1172/100/12)</f>
      </c>
      <c r="M1172" s="43">
        <f>IF($I1172=0,0,IF(OR(INDEX(DarlOhneTilgung,3)=1,AND(INDEX(DarlTilgStart,3)&gt;0,$E1172&lt;INDEX(DarlTilgStart,3))),0,MIN(MAX(0,$K1172-$L1172),$J1172)))</f>
      </c>
      <c r="N1172" s="43">
        <f>IF($I1172=0,0,MIN(SUMIFS(SondBetrag,SondDarl,3,SondDatum,"&gt;="&amp;$E1172,SondDatum,"&lt;="&amp;EOMONTH($E1172,0)),$J1172-$M1172))</f>
      </c>
      <c r="O1172" s="43">
        <f>IF($I1172=0,0,INDEX(DarlErsatzRate,3))</f>
      </c>
      <c r="P1172" s="43">
        <f>IF($I1172=0,0,$Q1171*INDEX(DarlErsatzZins,3))</f>
      </c>
      <c r="Q1172" s="43">
        <f>IF($I1172=0,0,$Q1171+$P1172+$O1172)</f>
      </c>
      <c r="R1172" s="43">
        <f>IF($I1172=0,0,$J1172-$M1172-$N1172)</f>
      </c>
    </row>
    <row r="1173">
      <c r="A1173"/>
      <c r="B1173">
        <v>3</v>
      </c>
      <c r="C1173" s="43">
        <f>INDEX(DarlObj,3)</f>
      </c>
      <c r="D1173">
        <v>210</v>
      </c>
      <c r="E1173" s="51">
        <f>IF(INDEX(DarlBelegt,3)=0,0,EOMONTH(INDEX(DarlAuszahlung,3),209)+1)</f>
      </c>
      <c r="F1173" s="43">
        <f>IF($E1173=0,0,YEAR($E1173))</f>
      </c>
      <c r="G1173" s="43">
        <f>IF(INDEX(DarlBindung,3)="",1,IF($E1173&lt;=INDEX(DarlBindung,3),1,0))</f>
      </c>
      <c r="H1173" s="43">
        <f>IF($G1173=1,INDEX(DarlSollzins,3),INDEX(DarlAnschluss,3))</f>
      </c>
      <c r="I1173" s="43">
        <f>IF(INDEX(DarlBelegt,3)=0,0,IF(INDEX(DarlOhneTilgung,3)=1,IF(INDEX(DarlBindung,3)="",1,$G1173),IF($J1173&gt;0.005,1,0)))</f>
      </c>
      <c r="J1173" s="43">
        <f>IF($I1172=0,0,$R1172)</f>
      </c>
      <c r="K1173" s="43">
        <f>IF($I1173=0,0,IF(INDEX(DarlOhneTilgung,3)=1,0,IF(AND(INDEX(DarlTilgStart,3)&gt;0,$E1173=INDEX(DarlTilgStart,3)),$J1173*($H1173+INDEX(DarlTilgung,3))/100/12,IF(AND($G1173=0,$G1172=1),MAX($K1172,$J1173*($H1173+1)/100/12),$K1172))))</f>
      </c>
      <c r="L1173" s="43">
        <f>IF($I1173=0,0,$J1173*$H1173/100/12)</f>
      </c>
      <c r="M1173" s="43">
        <f>IF($I1173=0,0,IF(OR(INDEX(DarlOhneTilgung,3)=1,AND(INDEX(DarlTilgStart,3)&gt;0,$E1173&lt;INDEX(DarlTilgStart,3))),0,MIN(MAX(0,$K1173-$L1173),$J1173)))</f>
      </c>
      <c r="N1173" s="43">
        <f>IF($I1173=0,0,MIN(SUMIFS(SondBetrag,SondDarl,3,SondDatum,"&gt;="&amp;$E1173,SondDatum,"&lt;="&amp;EOMONTH($E1173,0)),$J1173-$M1173))</f>
      </c>
      <c r="O1173" s="43">
        <f>IF($I1173=0,0,INDEX(DarlErsatzRate,3))</f>
      </c>
      <c r="P1173" s="43">
        <f>IF($I1173=0,0,$Q1172*INDEX(DarlErsatzZins,3))</f>
      </c>
      <c r="Q1173" s="43">
        <f>IF($I1173=0,0,$Q1172+$P1173+$O1173)</f>
      </c>
      <c r="R1173" s="43">
        <f>IF($I1173=0,0,$J1173-$M1173-$N1173)</f>
      </c>
    </row>
    <row r="1174">
      <c r="A1174"/>
      <c r="B1174">
        <v>3</v>
      </c>
      <c r="C1174" s="43">
        <f>INDEX(DarlObj,3)</f>
      </c>
      <c r="D1174">
        <v>211</v>
      </c>
      <c r="E1174" s="51">
        <f>IF(INDEX(DarlBelegt,3)=0,0,EOMONTH(INDEX(DarlAuszahlung,3),210)+1)</f>
      </c>
      <c r="F1174" s="43">
        <f>IF($E1174=0,0,YEAR($E1174))</f>
      </c>
      <c r="G1174" s="43">
        <f>IF(INDEX(DarlBindung,3)="",1,IF($E1174&lt;=INDEX(DarlBindung,3),1,0))</f>
      </c>
      <c r="H1174" s="43">
        <f>IF($G1174=1,INDEX(DarlSollzins,3),INDEX(DarlAnschluss,3))</f>
      </c>
      <c r="I1174" s="43">
        <f>IF(INDEX(DarlBelegt,3)=0,0,IF(INDEX(DarlOhneTilgung,3)=1,IF(INDEX(DarlBindung,3)="",1,$G1174),IF($J1174&gt;0.005,1,0)))</f>
      </c>
      <c r="J1174" s="43">
        <f>IF($I1173=0,0,$R1173)</f>
      </c>
      <c r="K1174" s="43">
        <f>IF($I1174=0,0,IF(INDEX(DarlOhneTilgung,3)=1,0,IF(AND(INDEX(DarlTilgStart,3)&gt;0,$E1174=INDEX(DarlTilgStart,3)),$J1174*($H1174+INDEX(DarlTilgung,3))/100/12,IF(AND($G1174=0,$G1173=1),MAX($K1173,$J1174*($H1174+1)/100/12),$K1173))))</f>
      </c>
      <c r="L1174" s="43">
        <f>IF($I1174=0,0,$J1174*$H1174/100/12)</f>
      </c>
      <c r="M1174" s="43">
        <f>IF($I1174=0,0,IF(OR(INDEX(DarlOhneTilgung,3)=1,AND(INDEX(DarlTilgStart,3)&gt;0,$E1174&lt;INDEX(DarlTilgStart,3))),0,MIN(MAX(0,$K1174-$L1174),$J1174)))</f>
      </c>
      <c r="N1174" s="43">
        <f>IF($I1174=0,0,MIN(SUMIFS(SondBetrag,SondDarl,3,SondDatum,"&gt;="&amp;$E1174,SondDatum,"&lt;="&amp;EOMONTH($E1174,0)),$J1174-$M1174))</f>
      </c>
      <c r="O1174" s="43">
        <f>IF($I1174=0,0,INDEX(DarlErsatzRate,3))</f>
      </c>
      <c r="P1174" s="43">
        <f>IF($I1174=0,0,$Q1173*INDEX(DarlErsatzZins,3))</f>
      </c>
      <c r="Q1174" s="43">
        <f>IF($I1174=0,0,$Q1173+$P1174+$O1174)</f>
      </c>
      <c r="R1174" s="43">
        <f>IF($I1174=0,0,$J1174-$M1174-$N1174)</f>
      </c>
    </row>
    <row r="1175">
      <c r="A1175"/>
      <c r="B1175">
        <v>3</v>
      </c>
      <c r="C1175" s="43">
        <f>INDEX(DarlObj,3)</f>
      </c>
      <c r="D1175">
        <v>212</v>
      </c>
      <c r="E1175" s="51">
        <f>IF(INDEX(DarlBelegt,3)=0,0,EOMONTH(INDEX(DarlAuszahlung,3),211)+1)</f>
      </c>
      <c r="F1175" s="43">
        <f>IF($E1175=0,0,YEAR($E1175))</f>
      </c>
      <c r="G1175" s="43">
        <f>IF(INDEX(DarlBindung,3)="",1,IF($E1175&lt;=INDEX(DarlBindung,3),1,0))</f>
      </c>
      <c r="H1175" s="43">
        <f>IF($G1175=1,INDEX(DarlSollzins,3),INDEX(DarlAnschluss,3))</f>
      </c>
      <c r="I1175" s="43">
        <f>IF(INDEX(DarlBelegt,3)=0,0,IF(INDEX(DarlOhneTilgung,3)=1,IF(INDEX(DarlBindung,3)="",1,$G1175),IF($J1175&gt;0.005,1,0)))</f>
      </c>
      <c r="J1175" s="43">
        <f>IF($I1174=0,0,$R1174)</f>
      </c>
      <c r="K1175" s="43">
        <f>IF($I1175=0,0,IF(INDEX(DarlOhneTilgung,3)=1,0,IF(AND(INDEX(DarlTilgStart,3)&gt;0,$E1175=INDEX(DarlTilgStart,3)),$J1175*($H1175+INDEX(DarlTilgung,3))/100/12,IF(AND($G1175=0,$G1174=1),MAX($K1174,$J1175*($H1175+1)/100/12),$K1174))))</f>
      </c>
      <c r="L1175" s="43">
        <f>IF($I1175=0,0,$J1175*$H1175/100/12)</f>
      </c>
      <c r="M1175" s="43">
        <f>IF($I1175=0,0,IF(OR(INDEX(DarlOhneTilgung,3)=1,AND(INDEX(DarlTilgStart,3)&gt;0,$E1175&lt;INDEX(DarlTilgStart,3))),0,MIN(MAX(0,$K1175-$L1175),$J1175)))</f>
      </c>
      <c r="N1175" s="43">
        <f>IF($I1175=0,0,MIN(SUMIFS(SondBetrag,SondDarl,3,SondDatum,"&gt;="&amp;$E1175,SondDatum,"&lt;="&amp;EOMONTH($E1175,0)),$J1175-$M1175))</f>
      </c>
      <c r="O1175" s="43">
        <f>IF($I1175=0,0,INDEX(DarlErsatzRate,3))</f>
      </c>
      <c r="P1175" s="43">
        <f>IF($I1175=0,0,$Q1174*INDEX(DarlErsatzZins,3))</f>
      </c>
      <c r="Q1175" s="43">
        <f>IF($I1175=0,0,$Q1174+$P1175+$O1175)</f>
      </c>
      <c r="R1175" s="43">
        <f>IF($I1175=0,0,$J1175-$M1175-$N1175)</f>
      </c>
    </row>
    <row r="1176">
      <c r="A1176"/>
      <c r="B1176">
        <v>3</v>
      </c>
      <c r="C1176" s="43">
        <f>INDEX(DarlObj,3)</f>
      </c>
      <c r="D1176">
        <v>213</v>
      </c>
      <c r="E1176" s="51">
        <f>IF(INDEX(DarlBelegt,3)=0,0,EOMONTH(INDEX(DarlAuszahlung,3),212)+1)</f>
      </c>
      <c r="F1176" s="43">
        <f>IF($E1176=0,0,YEAR($E1176))</f>
      </c>
      <c r="G1176" s="43">
        <f>IF(INDEX(DarlBindung,3)="",1,IF($E1176&lt;=INDEX(DarlBindung,3),1,0))</f>
      </c>
      <c r="H1176" s="43">
        <f>IF($G1176=1,INDEX(DarlSollzins,3),INDEX(DarlAnschluss,3))</f>
      </c>
      <c r="I1176" s="43">
        <f>IF(INDEX(DarlBelegt,3)=0,0,IF(INDEX(DarlOhneTilgung,3)=1,IF(INDEX(DarlBindung,3)="",1,$G1176),IF($J1176&gt;0.005,1,0)))</f>
      </c>
      <c r="J1176" s="43">
        <f>IF($I1175=0,0,$R1175)</f>
      </c>
      <c r="K1176" s="43">
        <f>IF($I1176=0,0,IF(INDEX(DarlOhneTilgung,3)=1,0,IF(AND(INDEX(DarlTilgStart,3)&gt;0,$E1176=INDEX(DarlTilgStart,3)),$J1176*($H1176+INDEX(DarlTilgung,3))/100/12,IF(AND($G1176=0,$G1175=1),MAX($K1175,$J1176*($H1176+1)/100/12),$K1175))))</f>
      </c>
      <c r="L1176" s="43">
        <f>IF($I1176=0,0,$J1176*$H1176/100/12)</f>
      </c>
      <c r="M1176" s="43">
        <f>IF($I1176=0,0,IF(OR(INDEX(DarlOhneTilgung,3)=1,AND(INDEX(DarlTilgStart,3)&gt;0,$E1176&lt;INDEX(DarlTilgStart,3))),0,MIN(MAX(0,$K1176-$L1176),$J1176)))</f>
      </c>
      <c r="N1176" s="43">
        <f>IF($I1176=0,0,MIN(SUMIFS(SondBetrag,SondDarl,3,SondDatum,"&gt;="&amp;$E1176,SondDatum,"&lt;="&amp;EOMONTH($E1176,0)),$J1176-$M1176))</f>
      </c>
      <c r="O1176" s="43">
        <f>IF($I1176=0,0,INDEX(DarlErsatzRate,3))</f>
      </c>
      <c r="P1176" s="43">
        <f>IF($I1176=0,0,$Q1175*INDEX(DarlErsatzZins,3))</f>
      </c>
      <c r="Q1176" s="43">
        <f>IF($I1176=0,0,$Q1175+$P1176+$O1176)</f>
      </c>
      <c r="R1176" s="43">
        <f>IF($I1176=0,0,$J1176-$M1176-$N1176)</f>
      </c>
    </row>
    <row r="1177">
      <c r="A1177"/>
      <c r="B1177">
        <v>3</v>
      </c>
      <c r="C1177" s="43">
        <f>INDEX(DarlObj,3)</f>
      </c>
      <c r="D1177">
        <v>214</v>
      </c>
      <c r="E1177" s="51">
        <f>IF(INDEX(DarlBelegt,3)=0,0,EOMONTH(INDEX(DarlAuszahlung,3),213)+1)</f>
      </c>
      <c r="F1177" s="43">
        <f>IF($E1177=0,0,YEAR($E1177))</f>
      </c>
      <c r="G1177" s="43">
        <f>IF(INDEX(DarlBindung,3)="",1,IF($E1177&lt;=INDEX(DarlBindung,3),1,0))</f>
      </c>
      <c r="H1177" s="43">
        <f>IF($G1177=1,INDEX(DarlSollzins,3),INDEX(DarlAnschluss,3))</f>
      </c>
      <c r="I1177" s="43">
        <f>IF(INDEX(DarlBelegt,3)=0,0,IF(INDEX(DarlOhneTilgung,3)=1,IF(INDEX(DarlBindung,3)="",1,$G1177),IF($J1177&gt;0.005,1,0)))</f>
      </c>
      <c r="J1177" s="43">
        <f>IF($I1176=0,0,$R1176)</f>
      </c>
      <c r="K1177" s="43">
        <f>IF($I1177=0,0,IF(INDEX(DarlOhneTilgung,3)=1,0,IF(AND(INDEX(DarlTilgStart,3)&gt;0,$E1177=INDEX(DarlTilgStart,3)),$J1177*($H1177+INDEX(DarlTilgung,3))/100/12,IF(AND($G1177=0,$G1176=1),MAX($K1176,$J1177*($H1177+1)/100/12),$K1176))))</f>
      </c>
      <c r="L1177" s="43">
        <f>IF($I1177=0,0,$J1177*$H1177/100/12)</f>
      </c>
      <c r="M1177" s="43">
        <f>IF($I1177=0,0,IF(OR(INDEX(DarlOhneTilgung,3)=1,AND(INDEX(DarlTilgStart,3)&gt;0,$E1177&lt;INDEX(DarlTilgStart,3))),0,MIN(MAX(0,$K1177-$L1177),$J1177)))</f>
      </c>
      <c r="N1177" s="43">
        <f>IF($I1177=0,0,MIN(SUMIFS(SondBetrag,SondDarl,3,SondDatum,"&gt;="&amp;$E1177,SondDatum,"&lt;="&amp;EOMONTH($E1177,0)),$J1177-$M1177))</f>
      </c>
      <c r="O1177" s="43">
        <f>IF($I1177=0,0,INDEX(DarlErsatzRate,3))</f>
      </c>
      <c r="P1177" s="43">
        <f>IF($I1177=0,0,$Q1176*INDEX(DarlErsatzZins,3))</f>
      </c>
      <c r="Q1177" s="43">
        <f>IF($I1177=0,0,$Q1176+$P1177+$O1177)</f>
      </c>
      <c r="R1177" s="43">
        <f>IF($I1177=0,0,$J1177-$M1177-$N1177)</f>
      </c>
    </row>
    <row r="1178">
      <c r="A1178"/>
      <c r="B1178">
        <v>3</v>
      </c>
      <c r="C1178" s="43">
        <f>INDEX(DarlObj,3)</f>
      </c>
      <c r="D1178">
        <v>215</v>
      </c>
      <c r="E1178" s="51">
        <f>IF(INDEX(DarlBelegt,3)=0,0,EOMONTH(INDEX(DarlAuszahlung,3),214)+1)</f>
      </c>
      <c r="F1178" s="43">
        <f>IF($E1178=0,0,YEAR($E1178))</f>
      </c>
      <c r="G1178" s="43">
        <f>IF(INDEX(DarlBindung,3)="",1,IF($E1178&lt;=INDEX(DarlBindung,3),1,0))</f>
      </c>
      <c r="H1178" s="43">
        <f>IF($G1178=1,INDEX(DarlSollzins,3),INDEX(DarlAnschluss,3))</f>
      </c>
      <c r="I1178" s="43">
        <f>IF(INDEX(DarlBelegt,3)=0,0,IF(INDEX(DarlOhneTilgung,3)=1,IF(INDEX(DarlBindung,3)="",1,$G1178),IF($J1178&gt;0.005,1,0)))</f>
      </c>
      <c r="J1178" s="43">
        <f>IF($I1177=0,0,$R1177)</f>
      </c>
      <c r="K1178" s="43">
        <f>IF($I1178=0,0,IF(INDEX(DarlOhneTilgung,3)=1,0,IF(AND(INDEX(DarlTilgStart,3)&gt;0,$E1178=INDEX(DarlTilgStart,3)),$J1178*($H1178+INDEX(DarlTilgung,3))/100/12,IF(AND($G1178=0,$G1177=1),MAX($K1177,$J1178*($H1178+1)/100/12),$K1177))))</f>
      </c>
      <c r="L1178" s="43">
        <f>IF($I1178=0,0,$J1178*$H1178/100/12)</f>
      </c>
      <c r="M1178" s="43">
        <f>IF($I1178=0,0,IF(OR(INDEX(DarlOhneTilgung,3)=1,AND(INDEX(DarlTilgStart,3)&gt;0,$E1178&lt;INDEX(DarlTilgStart,3))),0,MIN(MAX(0,$K1178-$L1178),$J1178)))</f>
      </c>
      <c r="N1178" s="43">
        <f>IF($I1178=0,0,MIN(SUMIFS(SondBetrag,SondDarl,3,SondDatum,"&gt;="&amp;$E1178,SondDatum,"&lt;="&amp;EOMONTH($E1178,0)),$J1178-$M1178))</f>
      </c>
      <c r="O1178" s="43">
        <f>IF($I1178=0,0,INDEX(DarlErsatzRate,3))</f>
      </c>
      <c r="P1178" s="43">
        <f>IF($I1178=0,0,$Q1177*INDEX(DarlErsatzZins,3))</f>
      </c>
      <c r="Q1178" s="43">
        <f>IF($I1178=0,0,$Q1177+$P1178+$O1178)</f>
      </c>
      <c r="R1178" s="43">
        <f>IF($I1178=0,0,$J1178-$M1178-$N1178)</f>
      </c>
    </row>
    <row r="1179">
      <c r="A1179"/>
      <c r="B1179">
        <v>3</v>
      </c>
      <c r="C1179" s="43">
        <f>INDEX(DarlObj,3)</f>
      </c>
      <c r="D1179">
        <v>216</v>
      </c>
      <c r="E1179" s="51">
        <f>IF(INDEX(DarlBelegt,3)=0,0,EOMONTH(INDEX(DarlAuszahlung,3),215)+1)</f>
      </c>
      <c r="F1179" s="43">
        <f>IF($E1179=0,0,YEAR($E1179))</f>
      </c>
      <c r="G1179" s="43">
        <f>IF(INDEX(DarlBindung,3)="",1,IF($E1179&lt;=INDEX(DarlBindung,3),1,0))</f>
      </c>
      <c r="H1179" s="43">
        <f>IF($G1179=1,INDEX(DarlSollzins,3),INDEX(DarlAnschluss,3))</f>
      </c>
      <c r="I1179" s="43">
        <f>IF(INDEX(DarlBelegt,3)=0,0,IF(INDEX(DarlOhneTilgung,3)=1,IF(INDEX(DarlBindung,3)="",1,$G1179),IF($J1179&gt;0.005,1,0)))</f>
      </c>
      <c r="J1179" s="43">
        <f>IF($I1178=0,0,$R1178)</f>
      </c>
      <c r="K1179" s="43">
        <f>IF($I1179=0,0,IF(INDEX(DarlOhneTilgung,3)=1,0,IF(AND(INDEX(DarlTilgStart,3)&gt;0,$E1179=INDEX(DarlTilgStart,3)),$J1179*($H1179+INDEX(DarlTilgung,3))/100/12,IF(AND($G1179=0,$G1178=1),MAX($K1178,$J1179*($H1179+1)/100/12),$K1178))))</f>
      </c>
      <c r="L1179" s="43">
        <f>IF($I1179=0,0,$J1179*$H1179/100/12)</f>
      </c>
      <c r="M1179" s="43">
        <f>IF($I1179=0,0,IF(OR(INDEX(DarlOhneTilgung,3)=1,AND(INDEX(DarlTilgStart,3)&gt;0,$E1179&lt;INDEX(DarlTilgStart,3))),0,MIN(MAX(0,$K1179-$L1179),$J1179)))</f>
      </c>
      <c r="N1179" s="43">
        <f>IF($I1179=0,0,MIN(SUMIFS(SondBetrag,SondDarl,3,SondDatum,"&gt;="&amp;$E1179,SondDatum,"&lt;="&amp;EOMONTH($E1179,0)),$J1179-$M1179))</f>
      </c>
      <c r="O1179" s="43">
        <f>IF($I1179=0,0,INDEX(DarlErsatzRate,3))</f>
      </c>
      <c r="P1179" s="43">
        <f>IF($I1179=0,0,$Q1178*INDEX(DarlErsatzZins,3))</f>
      </c>
      <c r="Q1179" s="43">
        <f>IF($I1179=0,0,$Q1178+$P1179+$O1179)</f>
      </c>
      <c r="R1179" s="43">
        <f>IF($I1179=0,0,$J1179-$M1179-$N1179)</f>
      </c>
    </row>
    <row r="1180">
      <c r="A1180"/>
      <c r="B1180">
        <v>3</v>
      </c>
      <c r="C1180" s="43">
        <f>INDEX(DarlObj,3)</f>
      </c>
      <c r="D1180">
        <v>217</v>
      </c>
      <c r="E1180" s="51">
        <f>IF(INDEX(DarlBelegt,3)=0,0,EOMONTH(INDEX(DarlAuszahlung,3),216)+1)</f>
      </c>
      <c r="F1180" s="43">
        <f>IF($E1180=0,0,YEAR($E1180))</f>
      </c>
      <c r="G1180" s="43">
        <f>IF(INDEX(DarlBindung,3)="",1,IF($E1180&lt;=INDEX(DarlBindung,3),1,0))</f>
      </c>
      <c r="H1180" s="43">
        <f>IF($G1180=1,INDEX(DarlSollzins,3),INDEX(DarlAnschluss,3))</f>
      </c>
      <c r="I1180" s="43">
        <f>IF(INDEX(DarlBelegt,3)=0,0,IF(INDEX(DarlOhneTilgung,3)=1,IF(INDEX(DarlBindung,3)="",1,$G1180),IF($J1180&gt;0.005,1,0)))</f>
      </c>
      <c r="J1180" s="43">
        <f>IF($I1179=0,0,$R1179)</f>
      </c>
      <c r="K1180" s="43">
        <f>IF($I1180=0,0,IF(INDEX(DarlOhneTilgung,3)=1,0,IF(AND(INDEX(DarlTilgStart,3)&gt;0,$E1180=INDEX(DarlTilgStart,3)),$J1180*($H1180+INDEX(DarlTilgung,3))/100/12,IF(AND($G1180=0,$G1179=1),MAX($K1179,$J1180*($H1180+1)/100/12),$K1179))))</f>
      </c>
      <c r="L1180" s="43">
        <f>IF($I1180=0,0,$J1180*$H1180/100/12)</f>
      </c>
      <c r="M1180" s="43">
        <f>IF($I1180=0,0,IF(OR(INDEX(DarlOhneTilgung,3)=1,AND(INDEX(DarlTilgStart,3)&gt;0,$E1180&lt;INDEX(DarlTilgStart,3))),0,MIN(MAX(0,$K1180-$L1180),$J1180)))</f>
      </c>
      <c r="N1180" s="43">
        <f>IF($I1180=0,0,MIN(SUMIFS(SondBetrag,SondDarl,3,SondDatum,"&gt;="&amp;$E1180,SondDatum,"&lt;="&amp;EOMONTH($E1180,0)),$J1180-$M1180))</f>
      </c>
      <c r="O1180" s="43">
        <f>IF($I1180=0,0,INDEX(DarlErsatzRate,3))</f>
      </c>
      <c r="P1180" s="43">
        <f>IF($I1180=0,0,$Q1179*INDEX(DarlErsatzZins,3))</f>
      </c>
      <c r="Q1180" s="43">
        <f>IF($I1180=0,0,$Q1179+$P1180+$O1180)</f>
      </c>
      <c r="R1180" s="43">
        <f>IF($I1180=0,0,$J1180-$M1180-$N1180)</f>
      </c>
    </row>
    <row r="1181">
      <c r="A1181"/>
      <c r="B1181">
        <v>3</v>
      </c>
      <c r="C1181" s="43">
        <f>INDEX(DarlObj,3)</f>
      </c>
      <c r="D1181">
        <v>218</v>
      </c>
      <c r="E1181" s="51">
        <f>IF(INDEX(DarlBelegt,3)=0,0,EOMONTH(INDEX(DarlAuszahlung,3),217)+1)</f>
      </c>
      <c r="F1181" s="43">
        <f>IF($E1181=0,0,YEAR($E1181))</f>
      </c>
      <c r="G1181" s="43">
        <f>IF(INDEX(DarlBindung,3)="",1,IF($E1181&lt;=INDEX(DarlBindung,3),1,0))</f>
      </c>
      <c r="H1181" s="43">
        <f>IF($G1181=1,INDEX(DarlSollzins,3),INDEX(DarlAnschluss,3))</f>
      </c>
      <c r="I1181" s="43">
        <f>IF(INDEX(DarlBelegt,3)=0,0,IF(INDEX(DarlOhneTilgung,3)=1,IF(INDEX(DarlBindung,3)="",1,$G1181),IF($J1181&gt;0.005,1,0)))</f>
      </c>
      <c r="J1181" s="43">
        <f>IF($I1180=0,0,$R1180)</f>
      </c>
      <c r="K1181" s="43">
        <f>IF($I1181=0,0,IF(INDEX(DarlOhneTilgung,3)=1,0,IF(AND(INDEX(DarlTilgStart,3)&gt;0,$E1181=INDEX(DarlTilgStart,3)),$J1181*($H1181+INDEX(DarlTilgung,3))/100/12,IF(AND($G1181=0,$G1180=1),MAX($K1180,$J1181*($H1181+1)/100/12),$K1180))))</f>
      </c>
      <c r="L1181" s="43">
        <f>IF($I1181=0,0,$J1181*$H1181/100/12)</f>
      </c>
      <c r="M1181" s="43">
        <f>IF($I1181=0,0,IF(OR(INDEX(DarlOhneTilgung,3)=1,AND(INDEX(DarlTilgStart,3)&gt;0,$E1181&lt;INDEX(DarlTilgStart,3))),0,MIN(MAX(0,$K1181-$L1181),$J1181)))</f>
      </c>
      <c r="N1181" s="43">
        <f>IF($I1181=0,0,MIN(SUMIFS(SondBetrag,SondDarl,3,SondDatum,"&gt;="&amp;$E1181,SondDatum,"&lt;="&amp;EOMONTH($E1181,0)),$J1181-$M1181))</f>
      </c>
      <c r="O1181" s="43">
        <f>IF($I1181=0,0,INDEX(DarlErsatzRate,3))</f>
      </c>
      <c r="P1181" s="43">
        <f>IF($I1181=0,0,$Q1180*INDEX(DarlErsatzZins,3))</f>
      </c>
      <c r="Q1181" s="43">
        <f>IF($I1181=0,0,$Q1180+$P1181+$O1181)</f>
      </c>
      <c r="R1181" s="43">
        <f>IF($I1181=0,0,$J1181-$M1181-$N1181)</f>
      </c>
    </row>
    <row r="1182">
      <c r="A1182"/>
      <c r="B1182">
        <v>3</v>
      </c>
      <c r="C1182" s="43">
        <f>INDEX(DarlObj,3)</f>
      </c>
      <c r="D1182">
        <v>219</v>
      </c>
      <c r="E1182" s="51">
        <f>IF(INDEX(DarlBelegt,3)=0,0,EOMONTH(INDEX(DarlAuszahlung,3),218)+1)</f>
      </c>
      <c r="F1182" s="43">
        <f>IF($E1182=0,0,YEAR($E1182))</f>
      </c>
      <c r="G1182" s="43">
        <f>IF(INDEX(DarlBindung,3)="",1,IF($E1182&lt;=INDEX(DarlBindung,3),1,0))</f>
      </c>
      <c r="H1182" s="43">
        <f>IF($G1182=1,INDEX(DarlSollzins,3),INDEX(DarlAnschluss,3))</f>
      </c>
      <c r="I1182" s="43">
        <f>IF(INDEX(DarlBelegt,3)=0,0,IF(INDEX(DarlOhneTilgung,3)=1,IF(INDEX(DarlBindung,3)="",1,$G1182),IF($J1182&gt;0.005,1,0)))</f>
      </c>
      <c r="J1182" s="43">
        <f>IF($I1181=0,0,$R1181)</f>
      </c>
      <c r="K1182" s="43">
        <f>IF($I1182=0,0,IF(INDEX(DarlOhneTilgung,3)=1,0,IF(AND(INDEX(DarlTilgStart,3)&gt;0,$E1182=INDEX(DarlTilgStart,3)),$J1182*($H1182+INDEX(DarlTilgung,3))/100/12,IF(AND($G1182=0,$G1181=1),MAX($K1181,$J1182*($H1182+1)/100/12),$K1181))))</f>
      </c>
      <c r="L1182" s="43">
        <f>IF($I1182=0,0,$J1182*$H1182/100/12)</f>
      </c>
      <c r="M1182" s="43">
        <f>IF($I1182=0,0,IF(OR(INDEX(DarlOhneTilgung,3)=1,AND(INDEX(DarlTilgStart,3)&gt;0,$E1182&lt;INDEX(DarlTilgStart,3))),0,MIN(MAX(0,$K1182-$L1182),$J1182)))</f>
      </c>
      <c r="N1182" s="43">
        <f>IF($I1182=0,0,MIN(SUMIFS(SondBetrag,SondDarl,3,SondDatum,"&gt;="&amp;$E1182,SondDatum,"&lt;="&amp;EOMONTH($E1182,0)),$J1182-$M1182))</f>
      </c>
      <c r="O1182" s="43">
        <f>IF($I1182=0,0,INDEX(DarlErsatzRate,3))</f>
      </c>
      <c r="P1182" s="43">
        <f>IF($I1182=0,0,$Q1181*INDEX(DarlErsatzZins,3))</f>
      </c>
      <c r="Q1182" s="43">
        <f>IF($I1182=0,0,$Q1181+$P1182+$O1182)</f>
      </c>
      <c r="R1182" s="43">
        <f>IF($I1182=0,0,$J1182-$M1182-$N1182)</f>
      </c>
    </row>
    <row r="1183">
      <c r="A1183"/>
      <c r="B1183">
        <v>3</v>
      </c>
      <c r="C1183" s="43">
        <f>INDEX(DarlObj,3)</f>
      </c>
      <c r="D1183">
        <v>220</v>
      </c>
      <c r="E1183" s="51">
        <f>IF(INDEX(DarlBelegt,3)=0,0,EOMONTH(INDEX(DarlAuszahlung,3),219)+1)</f>
      </c>
      <c r="F1183" s="43">
        <f>IF($E1183=0,0,YEAR($E1183))</f>
      </c>
      <c r="G1183" s="43">
        <f>IF(INDEX(DarlBindung,3)="",1,IF($E1183&lt;=INDEX(DarlBindung,3),1,0))</f>
      </c>
      <c r="H1183" s="43">
        <f>IF($G1183=1,INDEX(DarlSollzins,3),INDEX(DarlAnschluss,3))</f>
      </c>
      <c r="I1183" s="43">
        <f>IF(INDEX(DarlBelegt,3)=0,0,IF(INDEX(DarlOhneTilgung,3)=1,IF(INDEX(DarlBindung,3)="",1,$G1183),IF($J1183&gt;0.005,1,0)))</f>
      </c>
      <c r="J1183" s="43">
        <f>IF($I1182=0,0,$R1182)</f>
      </c>
      <c r="K1183" s="43">
        <f>IF($I1183=0,0,IF(INDEX(DarlOhneTilgung,3)=1,0,IF(AND(INDEX(DarlTilgStart,3)&gt;0,$E1183=INDEX(DarlTilgStart,3)),$J1183*($H1183+INDEX(DarlTilgung,3))/100/12,IF(AND($G1183=0,$G1182=1),MAX($K1182,$J1183*($H1183+1)/100/12),$K1182))))</f>
      </c>
      <c r="L1183" s="43">
        <f>IF($I1183=0,0,$J1183*$H1183/100/12)</f>
      </c>
      <c r="M1183" s="43">
        <f>IF($I1183=0,0,IF(OR(INDEX(DarlOhneTilgung,3)=1,AND(INDEX(DarlTilgStart,3)&gt;0,$E1183&lt;INDEX(DarlTilgStart,3))),0,MIN(MAX(0,$K1183-$L1183),$J1183)))</f>
      </c>
      <c r="N1183" s="43">
        <f>IF($I1183=0,0,MIN(SUMIFS(SondBetrag,SondDarl,3,SondDatum,"&gt;="&amp;$E1183,SondDatum,"&lt;="&amp;EOMONTH($E1183,0)),$J1183-$M1183))</f>
      </c>
      <c r="O1183" s="43">
        <f>IF($I1183=0,0,INDEX(DarlErsatzRate,3))</f>
      </c>
      <c r="P1183" s="43">
        <f>IF($I1183=0,0,$Q1182*INDEX(DarlErsatzZins,3))</f>
      </c>
      <c r="Q1183" s="43">
        <f>IF($I1183=0,0,$Q1182+$P1183+$O1183)</f>
      </c>
      <c r="R1183" s="43">
        <f>IF($I1183=0,0,$J1183-$M1183-$N1183)</f>
      </c>
    </row>
    <row r="1184">
      <c r="A1184"/>
      <c r="B1184">
        <v>3</v>
      </c>
      <c r="C1184" s="43">
        <f>INDEX(DarlObj,3)</f>
      </c>
      <c r="D1184">
        <v>221</v>
      </c>
      <c r="E1184" s="51">
        <f>IF(INDEX(DarlBelegt,3)=0,0,EOMONTH(INDEX(DarlAuszahlung,3),220)+1)</f>
      </c>
      <c r="F1184" s="43">
        <f>IF($E1184=0,0,YEAR($E1184))</f>
      </c>
      <c r="G1184" s="43">
        <f>IF(INDEX(DarlBindung,3)="",1,IF($E1184&lt;=INDEX(DarlBindung,3),1,0))</f>
      </c>
      <c r="H1184" s="43">
        <f>IF($G1184=1,INDEX(DarlSollzins,3),INDEX(DarlAnschluss,3))</f>
      </c>
      <c r="I1184" s="43">
        <f>IF(INDEX(DarlBelegt,3)=0,0,IF(INDEX(DarlOhneTilgung,3)=1,IF(INDEX(DarlBindung,3)="",1,$G1184),IF($J1184&gt;0.005,1,0)))</f>
      </c>
      <c r="J1184" s="43">
        <f>IF($I1183=0,0,$R1183)</f>
      </c>
      <c r="K1184" s="43">
        <f>IF($I1184=0,0,IF(INDEX(DarlOhneTilgung,3)=1,0,IF(AND(INDEX(DarlTilgStart,3)&gt;0,$E1184=INDEX(DarlTilgStart,3)),$J1184*($H1184+INDEX(DarlTilgung,3))/100/12,IF(AND($G1184=0,$G1183=1),MAX($K1183,$J1184*($H1184+1)/100/12),$K1183))))</f>
      </c>
      <c r="L1184" s="43">
        <f>IF($I1184=0,0,$J1184*$H1184/100/12)</f>
      </c>
      <c r="M1184" s="43">
        <f>IF($I1184=0,0,IF(OR(INDEX(DarlOhneTilgung,3)=1,AND(INDEX(DarlTilgStart,3)&gt;0,$E1184&lt;INDEX(DarlTilgStart,3))),0,MIN(MAX(0,$K1184-$L1184),$J1184)))</f>
      </c>
      <c r="N1184" s="43">
        <f>IF($I1184=0,0,MIN(SUMIFS(SondBetrag,SondDarl,3,SondDatum,"&gt;="&amp;$E1184,SondDatum,"&lt;="&amp;EOMONTH($E1184,0)),$J1184-$M1184))</f>
      </c>
      <c r="O1184" s="43">
        <f>IF($I1184=0,0,INDEX(DarlErsatzRate,3))</f>
      </c>
      <c r="P1184" s="43">
        <f>IF($I1184=0,0,$Q1183*INDEX(DarlErsatzZins,3))</f>
      </c>
      <c r="Q1184" s="43">
        <f>IF($I1184=0,0,$Q1183+$P1184+$O1184)</f>
      </c>
      <c r="R1184" s="43">
        <f>IF($I1184=0,0,$J1184-$M1184-$N1184)</f>
      </c>
    </row>
    <row r="1185">
      <c r="A1185"/>
      <c r="B1185">
        <v>3</v>
      </c>
      <c r="C1185" s="43">
        <f>INDEX(DarlObj,3)</f>
      </c>
      <c r="D1185">
        <v>222</v>
      </c>
      <c r="E1185" s="51">
        <f>IF(INDEX(DarlBelegt,3)=0,0,EOMONTH(INDEX(DarlAuszahlung,3),221)+1)</f>
      </c>
      <c r="F1185" s="43">
        <f>IF($E1185=0,0,YEAR($E1185))</f>
      </c>
      <c r="G1185" s="43">
        <f>IF(INDEX(DarlBindung,3)="",1,IF($E1185&lt;=INDEX(DarlBindung,3),1,0))</f>
      </c>
      <c r="H1185" s="43">
        <f>IF($G1185=1,INDEX(DarlSollzins,3),INDEX(DarlAnschluss,3))</f>
      </c>
      <c r="I1185" s="43">
        <f>IF(INDEX(DarlBelegt,3)=0,0,IF(INDEX(DarlOhneTilgung,3)=1,IF(INDEX(DarlBindung,3)="",1,$G1185),IF($J1185&gt;0.005,1,0)))</f>
      </c>
      <c r="J1185" s="43">
        <f>IF($I1184=0,0,$R1184)</f>
      </c>
      <c r="K1185" s="43">
        <f>IF($I1185=0,0,IF(INDEX(DarlOhneTilgung,3)=1,0,IF(AND(INDEX(DarlTilgStart,3)&gt;0,$E1185=INDEX(DarlTilgStart,3)),$J1185*($H1185+INDEX(DarlTilgung,3))/100/12,IF(AND($G1185=0,$G1184=1),MAX($K1184,$J1185*($H1185+1)/100/12),$K1184))))</f>
      </c>
      <c r="L1185" s="43">
        <f>IF($I1185=0,0,$J1185*$H1185/100/12)</f>
      </c>
      <c r="M1185" s="43">
        <f>IF($I1185=0,0,IF(OR(INDEX(DarlOhneTilgung,3)=1,AND(INDEX(DarlTilgStart,3)&gt;0,$E1185&lt;INDEX(DarlTilgStart,3))),0,MIN(MAX(0,$K1185-$L1185),$J1185)))</f>
      </c>
      <c r="N1185" s="43">
        <f>IF($I1185=0,0,MIN(SUMIFS(SondBetrag,SondDarl,3,SondDatum,"&gt;="&amp;$E1185,SondDatum,"&lt;="&amp;EOMONTH($E1185,0)),$J1185-$M1185))</f>
      </c>
      <c r="O1185" s="43">
        <f>IF($I1185=0,0,INDEX(DarlErsatzRate,3))</f>
      </c>
      <c r="P1185" s="43">
        <f>IF($I1185=0,0,$Q1184*INDEX(DarlErsatzZins,3))</f>
      </c>
      <c r="Q1185" s="43">
        <f>IF($I1185=0,0,$Q1184+$P1185+$O1185)</f>
      </c>
      <c r="R1185" s="43">
        <f>IF($I1185=0,0,$J1185-$M1185-$N1185)</f>
      </c>
    </row>
    <row r="1186">
      <c r="A1186"/>
      <c r="B1186">
        <v>3</v>
      </c>
      <c r="C1186" s="43">
        <f>INDEX(DarlObj,3)</f>
      </c>
      <c r="D1186">
        <v>223</v>
      </c>
      <c r="E1186" s="51">
        <f>IF(INDEX(DarlBelegt,3)=0,0,EOMONTH(INDEX(DarlAuszahlung,3),222)+1)</f>
      </c>
      <c r="F1186" s="43">
        <f>IF($E1186=0,0,YEAR($E1186))</f>
      </c>
      <c r="G1186" s="43">
        <f>IF(INDEX(DarlBindung,3)="",1,IF($E1186&lt;=INDEX(DarlBindung,3),1,0))</f>
      </c>
      <c r="H1186" s="43">
        <f>IF($G1186=1,INDEX(DarlSollzins,3),INDEX(DarlAnschluss,3))</f>
      </c>
      <c r="I1186" s="43">
        <f>IF(INDEX(DarlBelegt,3)=0,0,IF(INDEX(DarlOhneTilgung,3)=1,IF(INDEX(DarlBindung,3)="",1,$G1186),IF($J1186&gt;0.005,1,0)))</f>
      </c>
      <c r="J1186" s="43">
        <f>IF($I1185=0,0,$R1185)</f>
      </c>
      <c r="K1186" s="43">
        <f>IF($I1186=0,0,IF(INDEX(DarlOhneTilgung,3)=1,0,IF(AND(INDEX(DarlTilgStart,3)&gt;0,$E1186=INDEX(DarlTilgStart,3)),$J1186*($H1186+INDEX(DarlTilgung,3))/100/12,IF(AND($G1186=0,$G1185=1),MAX($K1185,$J1186*($H1186+1)/100/12),$K1185))))</f>
      </c>
      <c r="L1186" s="43">
        <f>IF($I1186=0,0,$J1186*$H1186/100/12)</f>
      </c>
      <c r="M1186" s="43">
        <f>IF($I1186=0,0,IF(OR(INDEX(DarlOhneTilgung,3)=1,AND(INDEX(DarlTilgStart,3)&gt;0,$E1186&lt;INDEX(DarlTilgStart,3))),0,MIN(MAX(0,$K1186-$L1186),$J1186)))</f>
      </c>
      <c r="N1186" s="43">
        <f>IF($I1186=0,0,MIN(SUMIFS(SondBetrag,SondDarl,3,SondDatum,"&gt;="&amp;$E1186,SondDatum,"&lt;="&amp;EOMONTH($E1186,0)),$J1186-$M1186))</f>
      </c>
      <c r="O1186" s="43">
        <f>IF($I1186=0,0,INDEX(DarlErsatzRate,3))</f>
      </c>
      <c r="P1186" s="43">
        <f>IF($I1186=0,0,$Q1185*INDEX(DarlErsatzZins,3))</f>
      </c>
      <c r="Q1186" s="43">
        <f>IF($I1186=0,0,$Q1185+$P1186+$O1186)</f>
      </c>
      <c r="R1186" s="43">
        <f>IF($I1186=0,0,$J1186-$M1186-$N1186)</f>
      </c>
    </row>
    <row r="1187">
      <c r="A1187"/>
      <c r="B1187">
        <v>3</v>
      </c>
      <c r="C1187" s="43">
        <f>INDEX(DarlObj,3)</f>
      </c>
      <c r="D1187">
        <v>224</v>
      </c>
      <c r="E1187" s="51">
        <f>IF(INDEX(DarlBelegt,3)=0,0,EOMONTH(INDEX(DarlAuszahlung,3),223)+1)</f>
      </c>
      <c r="F1187" s="43">
        <f>IF($E1187=0,0,YEAR($E1187))</f>
      </c>
      <c r="G1187" s="43">
        <f>IF(INDEX(DarlBindung,3)="",1,IF($E1187&lt;=INDEX(DarlBindung,3),1,0))</f>
      </c>
      <c r="H1187" s="43">
        <f>IF($G1187=1,INDEX(DarlSollzins,3),INDEX(DarlAnschluss,3))</f>
      </c>
      <c r="I1187" s="43">
        <f>IF(INDEX(DarlBelegt,3)=0,0,IF(INDEX(DarlOhneTilgung,3)=1,IF(INDEX(DarlBindung,3)="",1,$G1187),IF($J1187&gt;0.005,1,0)))</f>
      </c>
      <c r="J1187" s="43">
        <f>IF($I1186=0,0,$R1186)</f>
      </c>
      <c r="K1187" s="43">
        <f>IF($I1187=0,0,IF(INDEX(DarlOhneTilgung,3)=1,0,IF(AND(INDEX(DarlTilgStart,3)&gt;0,$E1187=INDEX(DarlTilgStart,3)),$J1187*($H1187+INDEX(DarlTilgung,3))/100/12,IF(AND($G1187=0,$G1186=1),MAX($K1186,$J1187*($H1187+1)/100/12),$K1186))))</f>
      </c>
      <c r="L1187" s="43">
        <f>IF($I1187=0,0,$J1187*$H1187/100/12)</f>
      </c>
      <c r="M1187" s="43">
        <f>IF($I1187=0,0,IF(OR(INDEX(DarlOhneTilgung,3)=1,AND(INDEX(DarlTilgStart,3)&gt;0,$E1187&lt;INDEX(DarlTilgStart,3))),0,MIN(MAX(0,$K1187-$L1187),$J1187)))</f>
      </c>
      <c r="N1187" s="43">
        <f>IF($I1187=0,0,MIN(SUMIFS(SondBetrag,SondDarl,3,SondDatum,"&gt;="&amp;$E1187,SondDatum,"&lt;="&amp;EOMONTH($E1187,0)),$J1187-$M1187))</f>
      </c>
      <c r="O1187" s="43">
        <f>IF($I1187=0,0,INDEX(DarlErsatzRate,3))</f>
      </c>
      <c r="P1187" s="43">
        <f>IF($I1187=0,0,$Q1186*INDEX(DarlErsatzZins,3))</f>
      </c>
      <c r="Q1187" s="43">
        <f>IF($I1187=0,0,$Q1186+$P1187+$O1187)</f>
      </c>
      <c r="R1187" s="43">
        <f>IF($I1187=0,0,$J1187-$M1187-$N1187)</f>
      </c>
    </row>
    <row r="1188">
      <c r="A1188"/>
      <c r="B1188">
        <v>3</v>
      </c>
      <c r="C1188" s="43">
        <f>INDEX(DarlObj,3)</f>
      </c>
      <c r="D1188">
        <v>225</v>
      </c>
      <c r="E1188" s="51">
        <f>IF(INDEX(DarlBelegt,3)=0,0,EOMONTH(INDEX(DarlAuszahlung,3),224)+1)</f>
      </c>
      <c r="F1188" s="43">
        <f>IF($E1188=0,0,YEAR($E1188))</f>
      </c>
      <c r="G1188" s="43">
        <f>IF(INDEX(DarlBindung,3)="",1,IF($E1188&lt;=INDEX(DarlBindung,3),1,0))</f>
      </c>
      <c r="H1188" s="43">
        <f>IF($G1188=1,INDEX(DarlSollzins,3),INDEX(DarlAnschluss,3))</f>
      </c>
      <c r="I1188" s="43">
        <f>IF(INDEX(DarlBelegt,3)=0,0,IF(INDEX(DarlOhneTilgung,3)=1,IF(INDEX(DarlBindung,3)="",1,$G1188),IF($J1188&gt;0.005,1,0)))</f>
      </c>
      <c r="J1188" s="43">
        <f>IF($I1187=0,0,$R1187)</f>
      </c>
      <c r="K1188" s="43">
        <f>IF($I1188=0,0,IF(INDEX(DarlOhneTilgung,3)=1,0,IF(AND(INDEX(DarlTilgStart,3)&gt;0,$E1188=INDEX(DarlTilgStart,3)),$J1188*($H1188+INDEX(DarlTilgung,3))/100/12,IF(AND($G1188=0,$G1187=1),MAX($K1187,$J1188*($H1188+1)/100/12),$K1187))))</f>
      </c>
      <c r="L1188" s="43">
        <f>IF($I1188=0,0,$J1188*$H1188/100/12)</f>
      </c>
      <c r="M1188" s="43">
        <f>IF($I1188=0,0,IF(OR(INDEX(DarlOhneTilgung,3)=1,AND(INDEX(DarlTilgStart,3)&gt;0,$E1188&lt;INDEX(DarlTilgStart,3))),0,MIN(MAX(0,$K1188-$L1188),$J1188)))</f>
      </c>
      <c r="N1188" s="43">
        <f>IF($I1188=0,0,MIN(SUMIFS(SondBetrag,SondDarl,3,SondDatum,"&gt;="&amp;$E1188,SondDatum,"&lt;="&amp;EOMONTH($E1188,0)),$J1188-$M1188))</f>
      </c>
      <c r="O1188" s="43">
        <f>IF($I1188=0,0,INDEX(DarlErsatzRate,3))</f>
      </c>
      <c r="P1188" s="43">
        <f>IF($I1188=0,0,$Q1187*INDEX(DarlErsatzZins,3))</f>
      </c>
      <c r="Q1188" s="43">
        <f>IF($I1188=0,0,$Q1187+$P1188+$O1188)</f>
      </c>
      <c r="R1188" s="43">
        <f>IF($I1188=0,0,$J1188-$M1188-$N1188)</f>
      </c>
    </row>
    <row r="1189">
      <c r="A1189"/>
      <c r="B1189">
        <v>3</v>
      </c>
      <c r="C1189" s="43">
        <f>INDEX(DarlObj,3)</f>
      </c>
      <c r="D1189">
        <v>226</v>
      </c>
      <c r="E1189" s="51">
        <f>IF(INDEX(DarlBelegt,3)=0,0,EOMONTH(INDEX(DarlAuszahlung,3),225)+1)</f>
      </c>
      <c r="F1189" s="43">
        <f>IF($E1189=0,0,YEAR($E1189))</f>
      </c>
      <c r="G1189" s="43">
        <f>IF(INDEX(DarlBindung,3)="",1,IF($E1189&lt;=INDEX(DarlBindung,3),1,0))</f>
      </c>
      <c r="H1189" s="43">
        <f>IF($G1189=1,INDEX(DarlSollzins,3),INDEX(DarlAnschluss,3))</f>
      </c>
      <c r="I1189" s="43">
        <f>IF(INDEX(DarlBelegt,3)=0,0,IF(INDEX(DarlOhneTilgung,3)=1,IF(INDEX(DarlBindung,3)="",1,$G1189),IF($J1189&gt;0.005,1,0)))</f>
      </c>
      <c r="J1189" s="43">
        <f>IF($I1188=0,0,$R1188)</f>
      </c>
      <c r="K1189" s="43">
        <f>IF($I1189=0,0,IF(INDEX(DarlOhneTilgung,3)=1,0,IF(AND(INDEX(DarlTilgStart,3)&gt;0,$E1189=INDEX(DarlTilgStart,3)),$J1189*($H1189+INDEX(DarlTilgung,3))/100/12,IF(AND($G1189=0,$G1188=1),MAX($K1188,$J1189*($H1189+1)/100/12),$K1188))))</f>
      </c>
      <c r="L1189" s="43">
        <f>IF($I1189=0,0,$J1189*$H1189/100/12)</f>
      </c>
      <c r="M1189" s="43">
        <f>IF($I1189=0,0,IF(OR(INDEX(DarlOhneTilgung,3)=1,AND(INDEX(DarlTilgStart,3)&gt;0,$E1189&lt;INDEX(DarlTilgStart,3))),0,MIN(MAX(0,$K1189-$L1189),$J1189)))</f>
      </c>
      <c r="N1189" s="43">
        <f>IF($I1189=0,0,MIN(SUMIFS(SondBetrag,SondDarl,3,SondDatum,"&gt;="&amp;$E1189,SondDatum,"&lt;="&amp;EOMONTH($E1189,0)),$J1189-$M1189))</f>
      </c>
      <c r="O1189" s="43">
        <f>IF($I1189=0,0,INDEX(DarlErsatzRate,3))</f>
      </c>
      <c r="P1189" s="43">
        <f>IF($I1189=0,0,$Q1188*INDEX(DarlErsatzZins,3))</f>
      </c>
      <c r="Q1189" s="43">
        <f>IF($I1189=0,0,$Q1188+$P1189+$O1189)</f>
      </c>
      <c r="R1189" s="43">
        <f>IF($I1189=0,0,$J1189-$M1189-$N1189)</f>
      </c>
    </row>
    <row r="1190">
      <c r="A1190"/>
      <c r="B1190">
        <v>3</v>
      </c>
      <c r="C1190" s="43">
        <f>INDEX(DarlObj,3)</f>
      </c>
      <c r="D1190">
        <v>227</v>
      </c>
      <c r="E1190" s="51">
        <f>IF(INDEX(DarlBelegt,3)=0,0,EOMONTH(INDEX(DarlAuszahlung,3),226)+1)</f>
      </c>
      <c r="F1190" s="43">
        <f>IF($E1190=0,0,YEAR($E1190))</f>
      </c>
      <c r="G1190" s="43">
        <f>IF(INDEX(DarlBindung,3)="",1,IF($E1190&lt;=INDEX(DarlBindung,3),1,0))</f>
      </c>
      <c r="H1190" s="43">
        <f>IF($G1190=1,INDEX(DarlSollzins,3),INDEX(DarlAnschluss,3))</f>
      </c>
      <c r="I1190" s="43">
        <f>IF(INDEX(DarlBelegt,3)=0,0,IF(INDEX(DarlOhneTilgung,3)=1,IF(INDEX(DarlBindung,3)="",1,$G1190),IF($J1190&gt;0.005,1,0)))</f>
      </c>
      <c r="J1190" s="43">
        <f>IF($I1189=0,0,$R1189)</f>
      </c>
      <c r="K1190" s="43">
        <f>IF($I1190=0,0,IF(INDEX(DarlOhneTilgung,3)=1,0,IF(AND(INDEX(DarlTilgStart,3)&gt;0,$E1190=INDEX(DarlTilgStart,3)),$J1190*($H1190+INDEX(DarlTilgung,3))/100/12,IF(AND($G1190=0,$G1189=1),MAX($K1189,$J1190*($H1190+1)/100/12),$K1189))))</f>
      </c>
      <c r="L1190" s="43">
        <f>IF($I1190=0,0,$J1190*$H1190/100/12)</f>
      </c>
      <c r="M1190" s="43">
        <f>IF($I1190=0,0,IF(OR(INDEX(DarlOhneTilgung,3)=1,AND(INDEX(DarlTilgStart,3)&gt;0,$E1190&lt;INDEX(DarlTilgStart,3))),0,MIN(MAX(0,$K1190-$L1190),$J1190)))</f>
      </c>
      <c r="N1190" s="43">
        <f>IF($I1190=0,0,MIN(SUMIFS(SondBetrag,SondDarl,3,SondDatum,"&gt;="&amp;$E1190,SondDatum,"&lt;="&amp;EOMONTH($E1190,0)),$J1190-$M1190))</f>
      </c>
      <c r="O1190" s="43">
        <f>IF($I1190=0,0,INDEX(DarlErsatzRate,3))</f>
      </c>
      <c r="P1190" s="43">
        <f>IF($I1190=0,0,$Q1189*INDEX(DarlErsatzZins,3))</f>
      </c>
      <c r="Q1190" s="43">
        <f>IF($I1190=0,0,$Q1189+$P1190+$O1190)</f>
      </c>
      <c r="R1190" s="43">
        <f>IF($I1190=0,0,$J1190-$M1190-$N1190)</f>
      </c>
    </row>
    <row r="1191">
      <c r="A1191"/>
      <c r="B1191">
        <v>3</v>
      </c>
      <c r="C1191" s="43">
        <f>INDEX(DarlObj,3)</f>
      </c>
      <c r="D1191">
        <v>228</v>
      </c>
      <c r="E1191" s="51">
        <f>IF(INDEX(DarlBelegt,3)=0,0,EOMONTH(INDEX(DarlAuszahlung,3),227)+1)</f>
      </c>
      <c r="F1191" s="43">
        <f>IF($E1191=0,0,YEAR($E1191))</f>
      </c>
      <c r="G1191" s="43">
        <f>IF(INDEX(DarlBindung,3)="",1,IF($E1191&lt;=INDEX(DarlBindung,3),1,0))</f>
      </c>
      <c r="H1191" s="43">
        <f>IF($G1191=1,INDEX(DarlSollzins,3),INDEX(DarlAnschluss,3))</f>
      </c>
      <c r="I1191" s="43">
        <f>IF(INDEX(DarlBelegt,3)=0,0,IF(INDEX(DarlOhneTilgung,3)=1,IF(INDEX(DarlBindung,3)="",1,$G1191),IF($J1191&gt;0.005,1,0)))</f>
      </c>
      <c r="J1191" s="43">
        <f>IF($I1190=0,0,$R1190)</f>
      </c>
      <c r="K1191" s="43">
        <f>IF($I1191=0,0,IF(INDEX(DarlOhneTilgung,3)=1,0,IF(AND(INDEX(DarlTilgStart,3)&gt;0,$E1191=INDEX(DarlTilgStart,3)),$J1191*($H1191+INDEX(DarlTilgung,3))/100/12,IF(AND($G1191=0,$G1190=1),MAX($K1190,$J1191*($H1191+1)/100/12),$K1190))))</f>
      </c>
      <c r="L1191" s="43">
        <f>IF($I1191=0,0,$J1191*$H1191/100/12)</f>
      </c>
      <c r="M1191" s="43">
        <f>IF($I1191=0,0,IF(OR(INDEX(DarlOhneTilgung,3)=1,AND(INDEX(DarlTilgStart,3)&gt;0,$E1191&lt;INDEX(DarlTilgStart,3))),0,MIN(MAX(0,$K1191-$L1191),$J1191)))</f>
      </c>
      <c r="N1191" s="43">
        <f>IF($I1191=0,0,MIN(SUMIFS(SondBetrag,SondDarl,3,SondDatum,"&gt;="&amp;$E1191,SondDatum,"&lt;="&amp;EOMONTH($E1191,0)),$J1191-$M1191))</f>
      </c>
      <c r="O1191" s="43">
        <f>IF($I1191=0,0,INDEX(DarlErsatzRate,3))</f>
      </c>
      <c r="P1191" s="43">
        <f>IF($I1191=0,0,$Q1190*INDEX(DarlErsatzZins,3))</f>
      </c>
      <c r="Q1191" s="43">
        <f>IF($I1191=0,0,$Q1190+$P1191+$O1191)</f>
      </c>
      <c r="R1191" s="43">
        <f>IF($I1191=0,0,$J1191-$M1191-$N1191)</f>
      </c>
    </row>
    <row r="1192">
      <c r="A1192"/>
      <c r="B1192">
        <v>3</v>
      </c>
      <c r="C1192" s="43">
        <f>INDEX(DarlObj,3)</f>
      </c>
      <c r="D1192">
        <v>229</v>
      </c>
      <c r="E1192" s="51">
        <f>IF(INDEX(DarlBelegt,3)=0,0,EOMONTH(INDEX(DarlAuszahlung,3),228)+1)</f>
      </c>
      <c r="F1192" s="43">
        <f>IF($E1192=0,0,YEAR($E1192))</f>
      </c>
      <c r="G1192" s="43">
        <f>IF(INDEX(DarlBindung,3)="",1,IF($E1192&lt;=INDEX(DarlBindung,3),1,0))</f>
      </c>
      <c r="H1192" s="43">
        <f>IF($G1192=1,INDEX(DarlSollzins,3),INDEX(DarlAnschluss,3))</f>
      </c>
      <c r="I1192" s="43">
        <f>IF(INDEX(DarlBelegt,3)=0,0,IF(INDEX(DarlOhneTilgung,3)=1,IF(INDEX(DarlBindung,3)="",1,$G1192),IF($J1192&gt;0.005,1,0)))</f>
      </c>
      <c r="J1192" s="43">
        <f>IF($I1191=0,0,$R1191)</f>
      </c>
      <c r="K1192" s="43">
        <f>IF($I1192=0,0,IF(INDEX(DarlOhneTilgung,3)=1,0,IF(AND(INDEX(DarlTilgStart,3)&gt;0,$E1192=INDEX(DarlTilgStart,3)),$J1192*($H1192+INDEX(DarlTilgung,3))/100/12,IF(AND($G1192=0,$G1191=1),MAX($K1191,$J1192*($H1192+1)/100/12),$K1191))))</f>
      </c>
      <c r="L1192" s="43">
        <f>IF($I1192=0,0,$J1192*$H1192/100/12)</f>
      </c>
      <c r="M1192" s="43">
        <f>IF($I1192=0,0,IF(OR(INDEX(DarlOhneTilgung,3)=1,AND(INDEX(DarlTilgStart,3)&gt;0,$E1192&lt;INDEX(DarlTilgStart,3))),0,MIN(MAX(0,$K1192-$L1192),$J1192)))</f>
      </c>
      <c r="N1192" s="43">
        <f>IF($I1192=0,0,MIN(SUMIFS(SondBetrag,SondDarl,3,SondDatum,"&gt;="&amp;$E1192,SondDatum,"&lt;="&amp;EOMONTH($E1192,0)),$J1192-$M1192))</f>
      </c>
      <c r="O1192" s="43">
        <f>IF($I1192=0,0,INDEX(DarlErsatzRate,3))</f>
      </c>
      <c r="P1192" s="43">
        <f>IF($I1192=0,0,$Q1191*INDEX(DarlErsatzZins,3))</f>
      </c>
      <c r="Q1192" s="43">
        <f>IF($I1192=0,0,$Q1191+$P1192+$O1192)</f>
      </c>
      <c r="R1192" s="43">
        <f>IF($I1192=0,0,$J1192-$M1192-$N1192)</f>
      </c>
    </row>
    <row r="1193">
      <c r="A1193"/>
      <c r="B1193">
        <v>3</v>
      </c>
      <c r="C1193" s="43">
        <f>INDEX(DarlObj,3)</f>
      </c>
      <c r="D1193">
        <v>230</v>
      </c>
      <c r="E1193" s="51">
        <f>IF(INDEX(DarlBelegt,3)=0,0,EOMONTH(INDEX(DarlAuszahlung,3),229)+1)</f>
      </c>
      <c r="F1193" s="43">
        <f>IF($E1193=0,0,YEAR($E1193))</f>
      </c>
      <c r="G1193" s="43">
        <f>IF(INDEX(DarlBindung,3)="",1,IF($E1193&lt;=INDEX(DarlBindung,3),1,0))</f>
      </c>
      <c r="H1193" s="43">
        <f>IF($G1193=1,INDEX(DarlSollzins,3),INDEX(DarlAnschluss,3))</f>
      </c>
      <c r="I1193" s="43">
        <f>IF(INDEX(DarlBelegt,3)=0,0,IF(INDEX(DarlOhneTilgung,3)=1,IF(INDEX(DarlBindung,3)="",1,$G1193),IF($J1193&gt;0.005,1,0)))</f>
      </c>
      <c r="J1193" s="43">
        <f>IF($I1192=0,0,$R1192)</f>
      </c>
      <c r="K1193" s="43">
        <f>IF($I1193=0,0,IF(INDEX(DarlOhneTilgung,3)=1,0,IF(AND(INDEX(DarlTilgStart,3)&gt;0,$E1193=INDEX(DarlTilgStart,3)),$J1193*($H1193+INDEX(DarlTilgung,3))/100/12,IF(AND($G1193=0,$G1192=1),MAX($K1192,$J1193*($H1193+1)/100/12),$K1192))))</f>
      </c>
      <c r="L1193" s="43">
        <f>IF($I1193=0,0,$J1193*$H1193/100/12)</f>
      </c>
      <c r="M1193" s="43">
        <f>IF($I1193=0,0,IF(OR(INDEX(DarlOhneTilgung,3)=1,AND(INDEX(DarlTilgStart,3)&gt;0,$E1193&lt;INDEX(DarlTilgStart,3))),0,MIN(MAX(0,$K1193-$L1193),$J1193)))</f>
      </c>
      <c r="N1193" s="43">
        <f>IF($I1193=0,0,MIN(SUMIFS(SondBetrag,SondDarl,3,SondDatum,"&gt;="&amp;$E1193,SondDatum,"&lt;="&amp;EOMONTH($E1193,0)),$J1193-$M1193))</f>
      </c>
      <c r="O1193" s="43">
        <f>IF($I1193=0,0,INDEX(DarlErsatzRate,3))</f>
      </c>
      <c r="P1193" s="43">
        <f>IF($I1193=0,0,$Q1192*INDEX(DarlErsatzZins,3))</f>
      </c>
      <c r="Q1193" s="43">
        <f>IF($I1193=0,0,$Q1192+$P1193+$O1193)</f>
      </c>
      <c r="R1193" s="43">
        <f>IF($I1193=0,0,$J1193-$M1193-$N1193)</f>
      </c>
    </row>
    <row r="1194">
      <c r="A1194"/>
      <c r="B1194">
        <v>3</v>
      </c>
      <c r="C1194" s="43">
        <f>INDEX(DarlObj,3)</f>
      </c>
      <c r="D1194">
        <v>231</v>
      </c>
      <c r="E1194" s="51">
        <f>IF(INDEX(DarlBelegt,3)=0,0,EOMONTH(INDEX(DarlAuszahlung,3),230)+1)</f>
      </c>
      <c r="F1194" s="43">
        <f>IF($E1194=0,0,YEAR($E1194))</f>
      </c>
      <c r="G1194" s="43">
        <f>IF(INDEX(DarlBindung,3)="",1,IF($E1194&lt;=INDEX(DarlBindung,3),1,0))</f>
      </c>
      <c r="H1194" s="43">
        <f>IF($G1194=1,INDEX(DarlSollzins,3),INDEX(DarlAnschluss,3))</f>
      </c>
      <c r="I1194" s="43">
        <f>IF(INDEX(DarlBelegt,3)=0,0,IF(INDEX(DarlOhneTilgung,3)=1,IF(INDEX(DarlBindung,3)="",1,$G1194),IF($J1194&gt;0.005,1,0)))</f>
      </c>
      <c r="J1194" s="43">
        <f>IF($I1193=0,0,$R1193)</f>
      </c>
      <c r="K1194" s="43">
        <f>IF($I1194=0,0,IF(INDEX(DarlOhneTilgung,3)=1,0,IF(AND(INDEX(DarlTilgStart,3)&gt;0,$E1194=INDEX(DarlTilgStart,3)),$J1194*($H1194+INDEX(DarlTilgung,3))/100/12,IF(AND($G1194=0,$G1193=1),MAX($K1193,$J1194*($H1194+1)/100/12),$K1193))))</f>
      </c>
      <c r="L1194" s="43">
        <f>IF($I1194=0,0,$J1194*$H1194/100/12)</f>
      </c>
      <c r="M1194" s="43">
        <f>IF($I1194=0,0,IF(OR(INDEX(DarlOhneTilgung,3)=1,AND(INDEX(DarlTilgStart,3)&gt;0,$E1194&lt;INDEX(DarlTilgStart,3))),0,MIN(MAX(0,$K1194-$L1194),$J1194)))</f>
      </c>
      <c r="N1194" s="43">
        <f>IF($I1194=0,0,MIN(SUMIFS(SondBetrag,SondDarl,3,SondDatum,"&gt;="&amp;$E1194,SondDatum,"&lt;="&amp;EOMONTH($E1194,0)),$J1194-$M1194))</f>
      </c>
      <c r="O1194" s="43">
        <f>IF($I1194=0,0,INDEX(DarlErsatzRate,3))</f>
      </c>
      <c r="P1194" s="43">
        <f>IF($I1194=0,0,$Q1193*INDEX(DarlErsatzZins,3))</f>
      </c>
      <c r="Q1194" s="43">
        <f>IF($I1194=0,0,$Q1193+$P1194+$O1194)</f>
      </c>
      <c r="R1194" s="43">
        <f>IF($I1194=0,0,$J1194-$M1194-$N1194)</f>
      </c>
    </row>
    <row r="1195">
      <c r="A1195"/>
      <c r="B1195">
        <v>3</v>
      </c>
      <c r="C1195" s="43">
        <f>INDEX(DarlObj,3)</f>
      </c>
      <c r="D1195">
        <v>232</v>
      </c>
      <c r="E1195" s="51">
        <f>IF(INDEX(DarlBelegt,3)=0,0,EOMONTH(INDEX(DarlAuszahlung,3),231)+1)</f>
      </c>
      <c r="F1195" s="43">
        <f>IF($E1195=0,0,YEAR($E1195))</f>
      </c>
      <c r="G1195" s="43">
        <f>IF(INDEX(DarlBindung,3)="",1,IF($E1195&lt;=INDEX(DarlBindung,3),1,0))</f>
      </c>
      <c r="H1195" s="43">
        <f>IF($G1195=1,INDEX(DarlSollzins,3),INDEX(DarlAnschluss,3))</f>
      </c>
      <c r="I1195" s="43">
        <f>IF(INDEX(DarlBelegt,3)=0,0,IF(INDEX(DarlOhneTilgung,3)=1,IF(INDEX(DarlBindung,3)="",1,$G1195),IF($J1195&gt;0.005,1,0)))</f>
      </c>
      <c r="J1195" s="43">
        <f>IF($I1194=0,0,$R1194)</f>
      </c>
      <c r="K1195" s="43">
        <f>IF($I1195=0,0,IF(INDEX(DarlOhneTilgung,3)=1,0,IF(AND(INDEX(DarlTilgStart,3)&gt;0,$E1195=INDEX(DarlTilgStart,3)),$J1195*($H1195+INDEX(DarlTilgung,3))/100/12,IF(AND($G1195=0,$G1194=1),MAX($K1194,$J1195*($H1195+1)/100/12),$K1194))))</f>
      </c>
      <c r="L1195" s="43">
        <f>IF($I1195=0,0,$J1195*$H1195/100/12)</f>
      </c>
      <c r="M1195" s="43">
        <f>IF($I1195=0,0,IF(OR(INDEX(DarlOhneTilgung,3)=1,AND(INDEX(DarlTilgStart,3)&gt;0,$E1195&lt;INDEX(DarlTilgStart,3))),0,MIN(MAX(0,$K1195-$L1195),$J1195)))</f>
      </c>
      <c r="N1195" s="43">
        <f>IF($I1195=0,0,MIN(SUMIFS(SondBetrag,SondDarl,3,SondDatum,"&gt;="&amp;$E1195,SondDatum,"&lt;="&amp;EOMONTH($E1195,0)),$J1195-$M1195))</f>
      </c>
      <c r="O1195" s="43">
        <f>IF($I1195=0,0,INDEX(DarlErsatzRate,3))</f>
      </c>
      <c r="P1195" s="43">
        <f>IF($I1195=0,0,$Q1194*INDEX(DarlErsatzZins,3))</f>
      </c>
      <c r="Q1195" s="43">
        <f>IF($I1195=0,0,$Q1194+$P1195+$O1195)</f>
      </c>
      <c r="R1195" s="43">
        <f>IF($I1195=0,0,$J1195-$M1195-$N1195)</f>
      </c>
    </row>
    <row r="1196">
      <c r="A1196"/>
      <c r="B1196">
        <v>3</v>
      </c>
      <c r="C1196" s="43">
        <f>INDEX(DarlObj,3)</f>
      </c>
      <c r="D1196">
        <v>233</v>
      </c>
      <c r="E1196" s="51">
        <f>IF(INDEX(DarlBelegt,3)=0,0,EOMONTH(INDEX(DarlAuszahlung,3),232)+1)</f>
      </c>
      <c r="F1196" s="43">
        <f>IF($E1196=0,0,YEAR($E1196))</f>
      </c>
      <c r="G1196" s="43">
        <f>IF(INDEX(DarlBindung,3)="",1,IF($E1196&lt;=INDEX(DarlBindung,3),1,0))</f>
      </c>
      <c r="H1196" s="43">
        <f>IF($G1196=1,INDEX(DarlSollzins,3),INDEX(DarlAnschluss,3))</f>
      </c>
      <c r="I1196" s="43">
        <f>IF(INDEX(DarlBelegt,3)=0,0,IF(INDEX(DarlOhneTilgung,3)=1,IF(INDEX(DarlBindung,3)="",1,$G1196),IF($J1196&gt;0.005,1,0)))</f>
      </c>
      <c r="J1196" s="43">
        <f>IF($I1195=0,0,$R1195)</f>
      </c>
      <c r="K1196" s="43">
        <f>IF($I1196=0,0,IF(INDEX(DarlOhneTilgung,3)=1,0,IF(AND(INDEX(DarlTilgStart,3)&gt;0,$E1196=INDEX(DarlTilgStart,3)),$J1196*($H1196+INDEX(DarlTilgung,3))/100/12,IF(AND($G1196=0,$G1195=1),MAX($K1195,$J1196*($H1196+1)/100/12),$K1195))))</f>
      </c>
      <c r="L1196" s="43">
        <f>IF($I1196=0,0,$J1196*$H1196/100/12)</f>
      </c>
      <c r="M1196" s="43">
        <f>IF($I1196=0,0,IF(OR(INDEX(DarlOhneTilgung,3)=1,AND(INDEX(DarlTilgStart,3)&gt;0,$E1196&lt;INDEX(DarlTilgStart,3))),0,MIN(MAX(0,$K1196-$L1196),$J1196)))</f>
      </c>
      <c r="N1196" s="43">
        <f>IF($I1196=0,0,MIN(SUMIFS(SondBetrag,SondDarl,3,SondDatum,"&gt;="&amp;$E1196,SondDatum,"&lt;="&amp;EOMONTH($E1196,0)),$J1196-$M1196))</f>
      </c>
      <c r="O1196" s="43">
        <f>IF($I1196=0,0,INDEX(DarlErsatzRate,3))</f>
      </c>
      <c r="P1196" s="43">
        <f>IF($I1196=0,0,$Q1195*INDEX(DarlErsatzZins,3))</f>
      </c>
      <c r="Q1196" s="43">
        <f>IF($I1196=0,0,$Q1195+$P1196+$O1196)</f>
      </c>
      <c r="R1196" s="43">
        <f>IF($I1196=0,0,$J1196-$M1196-$N1196)</f>
      </c>
    </row>
    <row r="1197">
      <c r="A1197"/>
      <c r="B1197">
        <v>3</v>
      </c>
      <c r="C1197" s="43">
        <f>INDEX(DarlObj,3)</f>
      </c>
      <c r="D1197">
        <v>234</v>
      </c>
      <c r="E1197" s="51">
        <f>IF(INDEX(DarlBelegt,3)=0,0,EOMONTH(INDEX(DarlAuszahlung,3),233)+1)</f>
      </c>
      <c r="F1197" s="43">
        <f>IF($E1197=0,0,YEAR($E1197))</f>
      </c>
      <c r="G1197" s="43">
        <f>IF(INDEX(DarlBindung,3)="",1,IF($E1197&lt;=INDEX(DarlBindung,3),1,0))</f>
      </c>
      <c r="H1197" s="43">
        <f>IF($G1197=1,INDEX(DarlSollzins,3),INDEX(DarlAnschluss,3))</f>
      </c>
      <c r="I1197" s="43">
        <f>IF(INDEX(DarlBelegt,3)=0,0,IF(INDEX(DarlOhneTilgung,3)=1,IF(INDEX(DarlBindung,3)="",1,$G1197),IF($J1197&gt;0.005,1,0)))</f>
      </c>
      <c r="J1197" s="43">
        <f>IF($I1196=0,0,$R1196)</f>
      </c>
      <c r="K1197" s="43">
        <f>IF($I1197=0,0,IF(INDEX(DarlOhneTilgung,3)=1,0,IF(AND(INDEX(DarlTilgStart,3)&gt;0,$E1197=INDEX(DarlTilgStart,3)),$J1197*($H1197+INDEX(DarlTilgung,3))/100/12,IF(AND($G1197=0,$G1196=1),MAX($K1196,$J1197*($H1197+1)/100/12),$K1196))))</f>
      </c>
      <c r="L1197" s="43">
        <f>IF($I1197=0,0,$J1197*$H1197/100/12)</f>
      </c>
      <c r="M1197" s="43">
        <f>IF($I1197=0,0,IF(OR(INDEX(DarlOhneTilgung,3)=1,AND(INDEX(DarlTilgStart,3)&gt;0,$E1197&lt;INDEX(DarlTilgStart,3))),0,MIN(MAX(0,$K1197-$L1197),$J1197)))</f>
      </c>
      <c r="N1197" s="43">
        <f>IF($I1197=0,0,MIN(SUMIFS(SondBetrag,SondDarl,3,SondDatum,"&gt;="&amp;$E1197,SondDatum,"&lt;="&amp;EOMONTH($E1197,0)),$J1197-$M1197))</f>
      </c>
      <c r="O1197" s="43">
        <f>IF($I1197=0,0,INDEX(DarlErsatzRate,3))</f>
      </c>
      <c r="P1197" s="43">
        <f>IF($I1197=0,0,$Q1196*INDEX(DarlErsatzZins,3))</f>
      </c>
      <c r="Q1197" s="43">
        <f>IF($I1197=0,0,$Q1196+$P1197+$O1197)</f>
      </c>
      <c r="R1197" s="43">
        <f>IF($I1197=0,0,$J1197-$M1197-$N1197)</f>
      </c>
    </row>
    <row r="1198">
      <c r="A1198"/>
      <c r="B1198">
        <v>3</v>
      </c>
      <c r="C1198" s="43">
        <f>INDEX(DarlObj,3)</f>
      </c>
      <c r="D1198">
        <v>235</v>
      </c>
      <c r="E1198" s="51">
        <f>IF(INDEX(DarlBelegt,3)=0,0,EOMONTH(INDEX(DarlAuszahlung,3),234)+1)</f>
      </c>
      <c r="F1198" s="43">
        <f>IF($E1198=0,0,YEAR($E1198))</f>
      </c>
      <c r="G1198" s="43">
        <f>IF(INDEX(DarlBindung,3)="",1,IF($E1198&lt;=INDEX(DarlBindung,3),1,0))</f>
      </c>
      <c r="H1198" s="43">
        <f>IF($G1198=1,INDEX(DarlSollzins,3),INDEX(DarlAnschluss,3))</f>
      </c>
      <c r="I1198" s="43">
        <f>IF(INDEX(DarlBelegt,3)=0,0,IF(INDEX(DarlOhneTilgung,3)=1,IF(INDEX(DarlBindung,3)="",1,$G1198),IF($J1198&gt;0.005,1,0)))</f>
      </c>
      <c r="J1198" s="43">
        <f>IF($I1197=0,0,$R1197)</f>
      </c>
      <c r="K1198" s="43">
        <f>IF($I1198=0,0,IF(INDEX(DarlOhneTilgung,3)=1,0,IF(AND(INDEX(DarlTilgStart,3)&gt;0,$E1198=INDEX(DarlTilgStart,3)),$J1198*($H1198+INDEX(DarlTilgung,3))/100/12,IF(AND($G1198=0,$G1197=1),MAX($K1197,$J1198*($H1198+1)/100/12),$K1197))))</f>
      </c>
      <c r="L1198" s="43">
        <f>IF($I1198=0,0,$J1198*$H1198/100/12)</f>
      </c>
      <c r="M1198" s="43">
        <f>IF($I1198=0,0,IF(OR(INDEX(DarlOhneTilgung,3)=1,AND(INDEX(DarlTilgStart,3)&gt;0,$E1198&lt;INDEX(DarlTilgStart,3))),0,MIN(MAX(0,$K1198-$L1198),$J1198)))</f>
      </c>
      <c r="N1198" s="43">
        <f>IF($I1198=0,0,MIN(SUMIFS(SondBetrag,SondDarl,3,SondDatum,"&gt;="&amp;$E1198,SondDatum,"&lt;="&amp;EOMONTH($E1198,0)),$J1198-$M1198))</f>
      </c>
      <c r="O1198" s="43">
        <f>IF($I1198=0,0,INDEX(DarlErsatzRate,3))</f>
      </c>
      <c r="P1198" s="43">
        <f>IF($I1198=0,0,$Q1197*INDEX(DarlErsatzZins,3))</f>
      </c>
      <c r="Q1198" s="43">
        <f>IF($I1198=0,0,$Q1197+$P1198+$O1198)</f>
      </c>
      <c r="R1198" s="43">
        <f>IF($I1198=0,0,$J1198-$M1198-$N1198)</f>
      </c>
    </row>
    <row r="1199">
      <c r="A1199"/>
      <c r="B1199">
        <v>3</v>
      </c>
      <c r="C1199" s="43">
        <f>INDEX(DarlObj,3)</f>
      </c>
      <c r="D1199">
        <v>236</v>
      </c>
      <c r="E1199" s="51">
        <f>IF(INDEX(DarlBelegt,3)=0,0,EOMONTH(INDEX(DarlAuszahlung,3),235)+1)</f>
      </c>
      <c r="F1199" s="43">
        <f>IF($E1199=0,0,YEAR($E1199))</f>
      </c>
      <c r="G1199" s="43">
        <f>IF(INDEX(DarlBindung,3)="",1,IF($E1199&lt;=INDEX(DarlBindung,3),1,0))</f>
      </c>
      <c r="H1199" s="43">
        <f>IF($G1199=1,INDEX(DarlSollzins,3),INDEX(DarlAnschluss,3))</f>
      </c>
      <c r="I1199" s="43">
        <f>IF(INDEX(DarlBelegt,3)=0,0,IF(INDEX(DarlOhneTilgung,3)=1,IF(INDEX(DarlBindung,3)="",1,$G1199),IF($J1199&gt;0.005,1,0)))</f>
      </c>
      <c r="J1199" s="43">
        <f>IF($I1198=0,0,$R1198)</f>
      </c>
      <c r="K1199" s="43">
        <f>IF($I1199=0,0,IF(INDEX(DarlOhneTilgung,3)=1,0,IF(AND(INDEX(DarlTilgStart,3)&gt;0,$E1199=INDEX(DarlTilgStart,3)),$J1199*($H1199+INDEX(DarlTilgung,3))/100/12,IF(AND($G1199=0,$G1198=1),MAX($K1198,$J1199*($H1199+1)/100/12),$K1198))))</f>
      </c>
      <c r="L1199" s="43">
        <f>IF($I1199=0,0,$J1199*$H1199/100/12)</f>
      </c>
      <c r="M1199" s="43">
        <f>IF($I1199=0,0,IF(OR(INDEX(DarlOhneTilgung,3)=1,AND(INDEX(DarlTilgStart,3)&gt;0,$E1199&lt;INDEX(DarlTilgStart,3))),0,MIN(MAX(0,$K1199-$L1199),$J1199)))</f>
      </c>
      <c r="N1199" s="43">
        <f>IF($I1199=0,0,MIN(SUMIFS(SondBetrag,SondDarl,3,SondDatum,"&gt;="&amp;$E1199,SondDatum,"&lt;="&amp;EOMONTH($E1199,0)),$J1199-$M1199))</f>
      </c>
      <c r="O1199" s="43">
        <f>IF($I1199=0,0,INDEX(DarlErsatzRate,3))</f>
      </c>
      <c r="P1199" s="43">
        <f>IF($I1199=0,0,$Q1198*INDEX(DarlErsatzZins,3))</f>
      </c>
      <c r="Q1199" s="43">
        <f>IF($I1199=0,0,$Q1198+$P1199+$O1199)</f>
      </c>
      <c r="R1199" s="43">
        <f>IF($I1199=0,0,$J1199-$M1199-$N1199)</f>
      </c>
    </row>
    <row r="1200">
      <c r="A1200"/>
      <c r="B1200">
        <v>3</v>
      </c>
      <c r="C1200" s="43">
        <f>INDEX(DarlObj,3)</f>
      </c>
      <c r="D1200">
        <v>237</v>
      </c>
      <c r="E1200" s="51">
        <f>IF(INDEX(DarlBelegt,3)=0,0,EOMONTH(INDEX(DarlAuszahlung,3),236)+1)</f>
      </c>
      <c r="F1200" s="43">
        <f>IF($E1200=0,0,YEAR($E1200))</f>
      </c>
      <c r="G1200" s="43">
        <f>IF(INDEX(DarlBindung,3)="",1,IF($E1200&lt;=INDEX(DarlBindung,3),1,0))</f>
      </c>
      <c r="H1200" s="43">
        <f>IF($G1200=1,INDEX(DarlSollzins,3),INDEX(DarlAnschluss,3))</f>
      </c>
      <c r="I1200" s="43">
        <f>IF(INDEX(DarlBelegt,3)=0,0,IF(INDEX(DarlOhneTilgung,3)=1,IF(INDEX(DarlBindung,3)="",1,$G1200),IF($J1200&gt;0.005,1,0)))</f>
      </c>
      <c r="J1200" s="43">
        <f>IF($I1199=0,0,$R1199)</f>
      </c>
      <c r="K1200" s="43">
        <f>IF($I1200=0,0,IF(INDEX(DarlOhneTilgung,3)=1,0,IF(AND(INDEX(DarlTilgStart,3)&gt;0,$E1200=INDEX(DarlTilgStart,3)),$J1200*($H1200+INDEX(DarlTilgung,3))/100/12,IF(AND($G1200=0,$G1199=1),MAX($K1199,$J1200*($H1200+1)/100/12),$K1199))))</f>
      </c>
      <c r="L1200" s="43">
        <f>IF($I1200=0,0,$J1200*$H1200/100/12)</f>
      </c>
      <c r="M1200" s="43">
        <f>IF($I1200=0,0,IF(OR(INDEX(DarlOhneTilgung,3)=1,AND(INDEX(DarlTilgStart,3)&gt;0,$E1200&lt;INDEX(DarlTilgStart,3))),0,MIN(MAX(0,$K1200-$L1200),$J1200)))</f>
      </c>
      <c r="N1200" s="43">
        <f>IF($I1200=0,0,MIN(SUMIFS(SondBetrag,SondDarl,3,SondDatum,"&gt;="&amp;$E1200,SondDatum,"&lt;="&amp;EOMONTH($E1200,0)),$J1200-$M1200))</f>
      </c>
      <c r="O1200" s="43">
        <f>IF($I1200=0,0,INDEX(DarlErsatzRate,3))</f>
      </c>
      <c r="P1200" s="43">
        <f>IF($I1200=0,0,$Q1199*INDEX(DarlErsatzZins,3))</f>
      </c>
      <c r="Q1200" s="43">
        <f>IF($I1200=0,0,$Q1199+$P1200+$O1200)</f>
      </c>
      <c r="R1200" s="43">
        <f>IF($I1200=0,0,$J1200-$M1200-$N1200)</f>
      </c>
    </row>
    <row r="1201">
      <c r="A1201"/>
      <c r="B1201">
        <v>3</v>
      </c>
      <c r="C1201" s="43">
        <f>INDEX(DarlObj,3)</f>
      </c>
      <c r="D1201">
        <v>238</v>
      </c>
      <c r="E1201" s="51">
        <f>IF(INDEX(DarlBelegt,3)=0,0,EOMONTH(INDEX(DarlAuszahlung,3),237)+1)</f>
      </c>
      <c r="F1201" s="43">
        <f>IF($E1201=0,0,YEAR($E1201))</f>
      </c>
      <c r="G1201" s="43">
        <f>IF(INDEX(DarlBindung,3)="",1,IF($E1201&lt;=INDEX(DarlBindung,3),1,0))</f>
      </c>
      <c r="H1201" s="43">
        <f>IF($G1201=1,INDEX(DarlSollzins,3),INDEX(DarlAnschluss,3))</f>
      </c>
      <c r="I1201" s="43">
        <f>IF(INDEX(DarlBelegt,3)=0,0,IF(INDEX(DarlOhneTilgung,3)=1,IF(INDEX(DarlBindung,3)="",1,$G1201),IF($J1201&gt;0.005,1,0)))</f>
      </c>
      <c r="J1201" s="43">
        <f>IF($I1200=0,0,$R1200)</f>
      </c>
      <c r="K1201" s="43">
        <f>IF($I1201=0,0,IF(INDEX(DarlOhneTilgung,3)=1,0,IF(AND(INDEX(DarlTilgStart,3)&gt;0,$E1201=INDEX(DarlTilgStart,3)),$J1201*($H1201+INDEX(DarlTilgung,3))/100/12,IF(AND($G1201=0,$G1200=1),MAX($K1200,$J1201*($H1201+1)/100/12),$K1200))))</f>
      </c>
      <c r="L1201" s="43">
        <f>IF($I1201=0,0,$J1201*$H1201/100/12)</f>
      </c>
      <c r="M1201" s="43">
        <f>IF($I1201=0,0,IF(OR(INDEX(DarlOhneTilgung,3)=1,AND(INDEX(DarlTilgStart,3)&gt;0,$E1201&lt;INDEX(DarlTilgStart,3))),0,MIN(MAX(0,$K1201-$L1201),$J1201)))</f>
      </c>
      <c r="N1201" s="43">
        <f>IF($I1201=0,0,MIN(SUMIFS(SondBetrag,SondDarl,3,SondDatum,"&gt;="&amp;$E1201,SondDatum,"&lt;="&amp;EOMONTH($E1201,0)),$J1201-$M1201))</f>
      </c>
      <c r="O1201" s="43">
        <f>IF($I1201=0,0,INDEX(DarlErsatzRate,3))</f>
      </c>
      <c r="P1201" s="43">
        <f>IF($I1201=0,0,$Q1200*INDEX(DarlErsatzZins,3))</f>
      </c>
      <c r="Q1201" s="43">
        <f>IF($I1201=0,0,$Q1200+$P1201+$O1201)</f>
      </c>
      <c r="R1201" s="43">
        <f>IF($I1201=0,0,$J1201-$M1201-$N1201)</f>
      </c>
    </row>
    <row r="1202">
      <c r="A1202"/>
      <c r="B1202">
        <v>3</v>
      </c>
      <c r="C1202" s="43">
        <f>INDEX(DarlObj,3)</f>
      </c>
      <c r="D1202">
        <v>239</v>
      </c>
      <c r="E1202" s="51">
        <f>IF(INDEX(DarlBelegt,3)=0,0,EOMONTH(INDEX(DarlAuszahlung,3),238)+1)</f>
      </c>
      <c r="F1202" s="43">
        <f>IF($E1202=0,0,YEAR($E1202))</f>
      </c>
      <c r="G1202" s="43">
        <f>IF(INDEX(DarlBindung,3)="",1,IF($E1202&lt;=INDEX(DarlBindung,3),1,0))</f>
      </c>
      <c r="H1202" s="43">
        <f>IF($G1202=1,INDEX(DarlSollzins,3),INDEX(DarlAnschluss,3))</f>
      </c>
      <c r="I1202" s="43">
        <f>IF(INDEX(DarlBelegt,3)=0,0,IF(INDEX(DarlOhneTilgung,3)=1,IF(INDEX(DarlBindung,3)="",1,$G1202),IF($J1202&gt;0.005,1,0)))</f>
      </c>
      <c r="J1202" s="43">
        <f>IF($I1201=0,0,$R1201)</f>
      </c>
      <c r="K1202" s="43">
        <f>IF($I1202=0,0,IF(INDEX(DarlOhneTilgung,3)=1,0,IF(AND(INDEX(DarlTilgStart,3)&gt;0,$E1202=INDEX(DarlTilgStart,3)),$J1202*($H1202+INDEX(DarlTilgung,3))/100/12,IF(AND($G1202=0,$G1201=1),MAX($K1201,$J1202*($H1202+1)/100/12),$K1201))))</f>
      </c>
      <c r="L1202" s="43">
        <f>IF($I1202=0,0,$J1202*$H1202/100/12)</f>
      </c>
      <c r="M1202" s="43">
        <f>IF($I1202=0,0,IF(OR(INDEX(DarlOhneTilgung,3)=1,AND(INDEX(DarlTilgStart,3)&gt;0,$E1202&lt;INDEX(DarlTilgStart,3))),0,MIN(MAX(0,$K1202-$L1202),$J1202)))</f>
      </c>
      <c r="N1202" s="43">
        <f>IF($I1202=0,0,MIN(SUMIFS(SondBetrag,SondDarl,3,SondDatum,"&gt;="&amp;$E1202,SondDatum,"&lt;="&amp;EOMONTH($E1202,0)),$J1202-$M1202))</f>
      </c>
      <c r="O1202" s="43">
        <f>IF($I1202=0,0,INDEX(DarlErsatzRate,3))</f>
      </c>
      <c r="P1202" s="43">
        <f>IF($I1202=0,0,$Q1201*INDEX(DarlErsatzZins,3))</f>
      </c>
      <c r="Q1202" s="43">
        <f>IF($I1202=0,0,$Q1201+$P1202+$O1202)</f>
      </c>
      <c r="R1202" s="43">
        <f>IF($I1202=0,0,$J1202-$M1202-$N1202)</f>
      </c>
    </row>
    <row r="1203">
      <c r="A1203"/>
      <c r="B1203">
        <v>3</v>
      </c>
      <c r="C1203" s="43">
        <f>INDEX(DarlObj,3)</f>
      </c>
      <c r="D1203">
        <v>240</v>
      </c>
      <c r="E1203" s="51">
        <f>IF(INDEX(DarlBelegt,3)=0,0,EOMONTH(INDEX(DarlAuszahlung,3),239)+1)</f>
      </c>
      <c r="F1203" s="43">
        <f>IF($E1203=0,0,YEAR($E1203))</f>
      </c>
      <c r="G1203" s="43">
        <f>IF(INDEX(DarlBindung,3)="",1,IF($E1203&lt;=INDEX(DarlBindung,3),1,0))</f>
      </c>
      <c r="H1203" s="43">
        <f>IF($G1203=1,INDEX(DarlSollzins,3),INDEX(DarlAnschluss,3))</f>
      </c>
      <c r="I1203" s="43">
        <f>IF(INDEX(DarlBelegt,3)=0,0,IF(INDEX(DarlOhneTilgung,3)=1,IF(INDEX(DarlBindung,3)="",1,$G1203),IF($J1203&gt;0.005,1,0)))</f>
      </c>
      <c r="J1203" s="43">
        <f>IF($I1202=0,0,$R1202)</f>
      </c>
      <c r="K1203" s="43">
        <f>IF($I1203=0,0,IF(INDEX(DarlOhneTilgung,3)=1,0,IF(AND(INDEX(DarlTilgStart,3)&gt;0,$E1203=INDEX(DarlTilgStart,3)),$J1203*($H1203+INDEX(DarlTilgung,3))/100/12,IF(AND($G1203=0,$G1202=1),MAX($K1202,$J1203*($H1203+1)/100/12),$K1202))))</f>
      </c>
      <c r="L1203" s="43">
        <f>IF($I1203=0,0,$J1203*$H1203/100/12)</f>
      </c>
      <c r="M1203" s="43">
        <f>IF($I1203=0,0,IF(OR(INDEX(DarlOhneTilgung,3)=1,AND(INDEX(DarlTilgStart,3)&gt;0,$E1203&lt;INDEX(DarlTilgStart,3))),0,MIN(MAX(0,$K1203-$L1203),$J1203)))</f>
      </c>
      <c r="N1203" s="43">
        <f>IF($I1203=0,0,MIN(SUMIFS(SondBetrag,SondDarl,3,SondDatum,"&gt;="&amp;$E1203,SondDatum,"&lt;="&amp;EOMONTH($E1203,0)),$J1203-$M1203))</f>
      </c>
      <c r="O1203" s="43">
        <f>IF($I1203=0,0,INDEX(DarlErsatzRate,3))</f>
      </c>
      <c r="P1203" s="43">
        <f>IF($I1203=0,0,$Q1202*INDEX(DarlErsatzZins,3))</f>
      </c>
      <c r="Q1203" s="43">
        <f>IF($I1203=0,0,$Q1202+$P1203+$O1203)</f>
      </c>
      <c r="R1203" s="43">
        <f>IF($I1203=0,0,$J1203-$M1203-$N1203)</f>
      </c>
    </row>
    <row r="1204">
      <c r="A1204"/>
      <c r="B1204">
        <v>3</v>
      </c>
      <c r="C1204" s="43">
        <f>INDEX(DarlObj,3)</f>
      </c>
      <c r="D1204">
        <v>241</v>
      </c>
      <c r="E1204" s="51">
        <f>IF(INDEX(DarlBelegt,3)=0,0,EOMONTH(INDEX(DarlAuszahlung,3),240)+1)</f>
      </c>
      <c r="F1204" s="43">
        <f>IF($E1204=0,0,YEAR($E1204))</f>
      </c>
      <c r="G1204" s="43">
        <f>IF(INDEX(DarlBindung,3)="",1,IF($E1204&lt;=INDEX(DarlBindung,3),1,0))</f>
      </c>
      <c r="H1204" s="43">
        <f>IF($G1204=1,INDEX(DarlSollzins,3),INDEX(DarlAnschluss,3))</f>
      </c>
      <c r="I1204" s="43">
        <f>IF(INDEX(DarlBelegt,3)=0,0,IF(INDEX(DarlOhneTilgung,3)=1,IF(INDEX(DarlBindung,3)="",1,$G1204),IF($J1204&gt;0.005,1,0)))</f>
      </c>
      <c r="J1204" s="43">
        <f>IF($I1203=0,0,$R1203)</f>
      </c>
      <c r="K1204" s="43">
        <f>IF($I1204=0,0,IF(INDEX(DarlOhneTilgung,3)=1,0,IF(AND(INDEX(DarlTilgStart,3)&gt;0,$E1204=INDEX(DarlTilgStart,3)),$J1204*($H1204+INDEX(DarlTilgung,3))/100/12,IF(AND($G1204=0,$G1203=1),MAX($K1203,$J1204*($H1204+1)/100/12),$K1203))))</f>
      </c>
      <c r="L1204" s="43">
        <f>IF($I1204=0,0,$J1204*$H1204/100/12)</f>
      </c>
      <c r="M1204" s="43">
        <f>IF($I1204=0,0,IF(OR(INDEX(DarlOhneTilgung,3)=1,AND(INDEX(DarlTilgStart,3)&gt;0,$E1204&lt;INDEX(DarlTilgStart,3))),0,MIN(MAX(0,$K1204-$L1204),$J1204)))</f>
      </c>
      <c r="N1204" s="43">
        <f>IF($I1204=0,0,MIN(SUMIFS(SondBetrag,SondDarl,3,SondDatum,"&gt;="&amp;$E1204,SondDatum,"&lt;="&amp;EOMONTH($E1204,0)),$J1204-$M1204))</f>
      </c>
      <c r="O1204" s="43">
        <f>IF($I1204=0,0,INDEX(DarlErsatzRate,3))</f>
      </c>
      <c r="P1204" s="43">
        <f>IF($I1204=0,0,$Q1203*INDEX(DarlErsatzZins,3))</f>
      </c>
      <c r="Q1204" s="43">
        <f>IF($I1204=0,0,$Q1203+$P1204+$O1204)</f>
      </c>
      <c r="R1204" s="43">
        <f>IF($I1204=0,0,$J1204-$M1204-$N1204)</f>
      </c>
    </row>
    <row r="1205">
      <c r="A1205"/>
      <c r="B1205">
        <v>3</v>
      </c>
      <c r="C1205" s="43">
        <f>INDEX(DarlObj,3)</f>
      </c>
      <c r="D1205">
        <v>242</v>
      </c>
      <c r="E1205" s="51">
        <f>IF(INDEX(DarlBelegt,3)=0,0,EOMONTH(INDEX(DarlAuszahlung,3),241)+1)</f>
      </c>
      <c r="F1205" s="43">
        <f>IF($E1205=0,0,YEAR($E1205))</f>
      </c>
      <c r="G1205" s="43">
        <f>IF(INDEX(DarlBindung,3)="",1,IF($E1205&lt;=INDEX(DarlBindung,3),1,0))</f>
      </c>
      <c r="H1205" s="43">
        <f>IF($G1205=1,INDEX(DarlSollzins,3),INDEX(DarlAnschluss,3))</f>
      </c>
      <c r="I1205" s="43">
        <f>IF(INDEX(DarlBelegt,3)=0,0,IF(INDEX(DarlOhneTilgung,3)=1,IF(INDEX(DarlBindung,3)="",1,$G1205),IF($J1205&gt;0.005,1,0)))</f>
      </c>
      <c r="J1205" s="43">
        <f>IF($I1204=0,0,$R1204)</f>
      </c>
      <c r="K1205" s="43">
        <f>IF($I1205=0,0,IF(INDEX(DarlOhneTilgung,3)=1,0,IF(AND(INDEX(DarlTilgStart,3)&gt;0,$E1205=INDEX(DarlTilgStart,3)),$J1205*($H1205+INDEX(DarlTilgung,3))/100/12,IF(AND($G1205=0,$G1204=1),MAX($K1204,$J1205*($H1205+1)/100/12),$K1204))))</f>
      </c>
      <c r="L1205" s="43">
        <f>IF($I1205=0,0,$J1205*$H1205/100/12)</f>
      </c>
      <c r="M1205" s="43">
        <f>IF($I1205=0,0,IF(OR(INDEX(DarlOhneTilgung,3)=1,AND(INDEX(DarlTilgStart,3)&gt;0,$E1205&lt;INDEX(DarlTilgStart,3))),0,MIN(MAX(0,$K1205-$L1205),$J1205)))</f>
      </c>
      <c r="N1205" s="43">
        <f>IF($I1205=0,0,MIN(SUMIFS(SondBetrag,SondDarl,3,SondDatum,"&gt;="&amp;$E1205,SondDatum,"&lt;="&amp;EOMONTH($E1205,0)),$J1205-$M1205))</f>
      </c>
      <c r="O1205" s="43">
        <f>IF($I1205=0,0,INDEX(DarlErsatzRate,3))</f>
      </c>
      <c r="P1205" s="43">
        <f>IF($I1205=0,0,$Q1204*INDEX(DarlErsatzZins,3))</f>
      </c>
      <c r="Q1205" s="43">
        <f>IF($I1205=0,0,$Q1204+$P1205+$O1205)</f>
      </c>
      <c r="R1205" s="43">
        <f>IF($I1205=0,0,$J1205-$M1205-$N1205)</f>
      </c>
    </row>
    <row r="1206">
      <c r="A1206"/>
      <c r="B1206">
        <v>3</v>
      </c>
      <c r="C1206" s="43">
        <f>INDEX(DarlObj,3)</f>
      </c>
      <c r="D1206">
        <v>243</v>
      </c>
      <c r="E1206" s="51">
        <f>IF(INDEX(DarlBelegt,3)=0,0,EOMONTH(INDEX(DarlAuszahlung,3),242)+1)</f>
      </c>
      <c r="F1206" s="43">
        <f>IF($E1206=0,0,YEAR($E1206))</f>
      </c>
      <c r="G1206" s="43">
        <f>IF(INDEX(DarlBindung,3)="",1,IF($E1206&lt;=INDEX(DarlBindung,3),1,0))</f>
      </c>
      <c r="H1206" s="43">
        <f>IF($G1206=1,INDEX(DarlSollzins,3),INDEX(DarlAnschluss,3))</f>
      </c>
      <c r="I1206" s="43">
        <f>IF(INDEX(DarlBelegt,3)=0,0,IF(INDEX(DarlOhneTilgung,3)=1,IF(INDEX(DarlBindung,3)="",1,$G1206),IF($J1206&gt;0.005,1,0)))</f>
      </c>
      <c r="J1206" s="43">
        <f>IF($I1205=0,0,$R1205)</f>
      </c>
      <c r="K1206" s="43">
        <f>IF($I1206=0,0,IF(INDEX(DarlOhneTilgung,3)=1,0,IF(AND(INDEX(DarlTilgStart,3)&gt;0,$E1206=INDEX(DarlTilgStart,3)),$J1206*($H1206+INDEX(DarlTilgung,3))/100/12,IF(AND($G1206=0,$G1205=1),MAX($K1205,$J1206*($H1206+1)/100/12),$K1205))))</f>
      </c>
      <c r="L1206" s="43">
        <f>IF($I1206=0,0,$J1206*$H1206/100/12)</f>
      </c>
      <c r="M1206" s="43">
        <f>IF($I1206=0,0,IF(OR(INDEX(DarlOhneTilgung,3)=1,AND(INDEX(DarlTilgStart,3)&gt;0,$E1206&lt;INDEX(DarlTilgStart,3))),0,MIN(MAX(0,$K1206-$L1206),$J1206)))</f>
      </c>
      <c r="N1206" s="43">
        <f>IF($I1206=0,0,MIN(SUMIFS(SondBetrag,SondDarl,3,SondDatum,"&gt;="&amp;$E1206,SondDatum,"&lt;="&amp;EOMONTH($E1206,0)),$J1206-$M1206))</f>
      </c>
      <c r="O1206" s="43">
        <f>IF($I1206=0,0,INDEX(DarlErsatzRate,3))</f>
      </c>
      <c r="P1206" s="43">
        <f>IF($I1206=0,0,$Q1205*INDEX(DarlErsatzZins,3))</f>
      </c>
      <c r="Q1206" s="43">
        <f>IF($I1206=0,0,$Q1205+$P1206+$O1206)</f>
      </c>
      <c r="R1206" s="43">
        <f>IF($I1206=0,0,$J1206-$M1206-$N1206)</f>
      </c>
    </row>
    <row r="1207">
      <c r="A1207"/>
      <c r="B1207">
        <v>3</v>
      </c>
      <c r="C1207" s="43">
        <f>INDEX(DarlObj,3)</f>
      </c>
      <c r="D1207">
        <v>244</v>
      </c>
      <c r="E1207" s="51">
        <f>IF(INDEX(DarlBelegt,3)=0,0,EOMONTH(INDEX(DarlAuszahlung,3),243)+1)</f>
      </c>
      <c r="F1207" s="43">
        <f>IF($E1207=0,0,YEAR($E1207))</f>
      </c>
      <c r="G1207" s="43">
        <f>IF(INDEX(DarlBindung,3)="",1,IF($E1207&lt;=INDEX(DarlBindung,3),1,0))</f>
      </c>
      <c r="H1207" s="43">
        <f>IF($G1207=1,INDEX(DarlSollzins,3),INDEX(DarlAnschluss,3))</f>
      </c>
      <c r="I1207" s="43">
        <f>IF(INDEX(DarlBelegt,3)=0,0,IF(INDEX(DarlOhneTilgung,3)=1,IF(INDEX(DarlBindung,3)="",1,$G1207),IF($J1207&gt;0.005,1,0)))</f>
      </c>
      <c r="J1207" s="43">
        <f>IF($I1206=0,0,$R1206)</f>
      </c>
      <c r="K1207" s="43">
        <f>IF($I1207=0,0,IF(INDEX(DarlOhneTilgung,3)=1,0,IF(AND(INDEX(DarlTilgStart,3)&gt;0,$E1207=INDEX(DarlTilgStart,3)),$J1207*($H1207+INDEX(DarlTilgung,3))/100/12,IF(AND($G1207=0,$G1206=1),MAX($K1206,$J1207*($H1207+1)/100/12),$K1206))))</f>
      </c>
      <c r="L1207" s="43">
        <f>IF($I1207=0,0,$J1207*$H1207/100/12)</f>
      </c>
      <c r="M1207" s="43">
        <f>IF($I1207=0,0,IF(OR(INDEX(DarlOhneTilgung,3)=1,AND(INDEX(DarlTilgStart,3)&gt;0,$E1207&lt;INDEX(DarlTilgStart,3))),0,MIN(MAX(0,$K1207-$L1207),$J1207)))</f>
      </c>
      <c r="N1207" s="43">
        <f>IF($I1207=0,0,MIN(SUMIFS(SondBetrag,SondDarl,3,SondDatum,"&gt;="&amp;$E1207,SondDatum,"&lt;="&amp;EOMONTH($E1207,0)),$J1207-$M1207))</f>
      </c>
      <c r="O1207" s="43">
        <f>IF($I1207=0,0,INDEX(DarlErsatzRate,3))</f>
      </c>
      <c r="P1207" s="43">
        <f>IF($I1207=0,0,$Q1206*INDEX(DarlErsatzZins,3))</f>
      </c>
      <c r="Q1207" s="43">
        <f>IF($I1207=0,0,$Q1206+$P1207+$O1207)</f>
      </c>
      <c r="R1207" s="43">
        <f>IF($I1207=0,0,$J1207-$M1207-$N1207)</f>
      </c>
    </row>
    <row r="1208">
      <c r="A1208"/>
      <c r="B1208">
        <v>3</v>
      </c>
      <c r="C1208" s="43">
        <f>INDEX(DarlObj,3)</f>
      </c>
      <c r="D1208">
        <v>245</v>
      </c>
      <c r="E1208" s="51">
        <f>IF(INDEX(DarlBelegt,3)=0,0,EOMONTH(INDEX(DarlAuszahlung,3),244)+1)</f>
      </c>
      <c r="F1208" s="43">
        <f>IF($E1208=0,0,YEAR($E1208))</f>
      </c>
      <c r="G1208" s="43">
        <f>IF(INDEX(DarlBindung,3)="",1,IF($E1208&lt;=INDEX(DarlBindung,3),1,0))</f>
      </c>
      <c r="H1208" s="43">
        <f>IF($G1208=1,INDEX(DarlSollzins,3),INDEX(DarlAnschluss,3))</f>
      </c>
      <c r="I1208" s="43">
        <f>IF(INDEX(DarlBelegt,3)=0,0,IF(INDEX(DarlOhneTilgung,3)=1,IF(INDEX(DarlBindung,3)="",1,$G1208),IF($J1208&gt;0.005,1,0)))</f>
      </c>
      <c r="J1208" s="43">
        <f>IF($I1207=0,0,$R1207)</f>
      </c>
      <c r="K1208" s="43">
        <f>IF($I1208=0,0,IF(INDEX(DarlOhneTilgung,3)=1,0,IF(AND(INDEX(DarlTilgStart,3)&gt;0,$E1208=INDEX(DarlTilgStart,3)),$J1208*($H1208+INDEX(DarlTilgung,3))/100/12,IF(AND($G1208=0,$G1207=1),MAX($K1207,$J1208*($H1208+1)/100/12),$K1207))))</f>
      </c>
      <c r="L1208" s="43">
        <f>IF($I1208=0,0,$J1208*$H1208/100/12)</f>
      </c>
      <c r="M1208" s="43">
        <f>IF($I1208=0,0,IF(OR(INDEX(DarlOhneTilgung,3)=1,AND(INDEX(DarlTilgStart,3)&gt;0,$E1208&lt;INDEX(DarlTilgStart,3))),0,MIN(MAX(0,$K1208-$L1208),$J1208)))</f>
      </c>
      <c r="N1208" s="43">
        <f>IF($I1208=0,0,MIN(SUMIFS(SondBetrag,SondDarl,3,SondDatum,"&gt;="&amp;$E1208,SondDatum,"&lt;="&amp;EOMONTH($E1208,0)),$J1208-$M1208))</f>
      </c>
      <c r="O1208" s="43">
        <f>IF($I1208=0,0,INDEX(DarlErsatzRate,3))</f>
      </c>
      <c r="P1208" s="43">
        <f>IF($I1208=0,0,$Q1207*INDEX(DarlErsatzZins,3))</f>
      </c>
      <c r="Q1208" s="43">
        <f>IF($I1208=0,0,$Q1207+$P1208+$O1208)</f>
      </c>
      <c r="R1208" s="43">
        <f>IF($I1208=0,0,$J1208-$M1208-$N1208)</f>
      </c>
    </row>
    <row r="1209">
      <c r="A1209"/>
      <c r="B1209">
        <v>3</v>
      </c>
      <c r="C1209" s="43">
        <f>INDEX(DarlObj,3)</f>
      </c>
      <c r="D1209">
        <v>246</v>
      </c>
      <c r="E1209" s="51">
        <f>IF(INDEX(DarlBelegt,3)=0,0,EOMONTH(INDEX(DarlAuszahlung,3),245)+1)</f>
      </c>
      <c r="F1209" s="43">
        <f>IF($E1209=0,0,YEAR($E1209))</f>
      </c>
      <c r="G1209" s="43">
        <f>IF(INDEX(DarlBindung,3)="",1,IF($E1209&lt;=INDEX(DarlBindung,3),1,0))</f>
      </c>
      <c r="H1209" s="43">
        <f>IF($G1209=1,INDEX(DarlSollzins,3),INDEX(DarlAnschluss,3))</f>
      </c>
      <c r="I1209" s="43">
        <f>IF(INDEX(DarlBelegt,3)=0,0,IF(INDEX(DarlOhneTilgung,3)=1,IF(INDEX(DarlBindung,3)="",1,$G1209),IF($J1209&gt;0.005,1,0)))</f>
      </c>
      <c r="J1209" s="43">
        <f>IF($I1208=0,0,$R1208)</f>
      </c>
      <c r="K1209" s="43">
        <f>IF($I1209=0,0,IF(INDEX(DarlOhneTilgung,3)=1,0,IF(AND(INDEX(DarlTilgStart,3)&gt;0,$E1209=INDEX(DarlTilgStart,3)),$J1209*($H1209+INDEX(DarlTilgung,3))/100/12,IF(AND($G1209=0,$G1208=1),MAX($K1208,$J1209*($H1209+1)/100/12),$K1208))))</f>
      </c>
      <c r="L1209" s="43">
        <f>IF($I1209=0,0,$J1209*$H1209/100/12)</f>
      </c>
      <c r="M1209" s="43">
        <f>IF($I1209=0,0,IF(OR(INDEX(DarlOhneTilgung,3)=1,AND(INDEX(DarlTilgStart,3)&gt;0,$E1209&lt;INDEX(DarlTilgStart,3))),0,MIN(MAX(0,$K1209-$L1209),$J1209)))</f>
      </c>
      <c r="N1209" s="43">
        <f>IF($I1209=0,0,MIN(SUMIFS(SondBetrag,SondDarl,3,SondDatum,"&gt;="&amp;$E1209,SondDatum,"&lt;="&amp;EOMONTH($E1209,0)),$J1209-$M1209))</f>
      </c>
      <c r="O1209" s="43">
        <f>IF($I1209=0,0,INDEX(DarlErsatzRate,3))</f>
      </c>
      <c r="P1209" s="43">
        <f>IF($I1209=0,0,$Q1208*INDEX(DarlErsatzZins,3))</f>
      </c>
      <c r="Q1209" s="43">
        <f>IF($I1209=0,0,$Q1208+$P1209+$O1209)</f>
      </c>
      <c r="R1209" s="43">
        <f>IF($I1209=0,0,$J1209-$M1209-$N1209)</f>
      </c>
    </row>
    <row r="1210">
      <c r="A1210"/>
      <c r="B1210">
        <v>3</v>
      </c>
      <c r="C1210" s="43">
        <f>INDEX(DarlObj,3)</f>
      </c>
      <c r="D1210">
        <v>247</v>
      </c>
      <c r="E1210" s="51">
        <f>IF(INDEX(DarlBelegt,3)=0,0,EOMONTH(INDEX(DarlAuszahlung,3),246)+1)</f>
      </c>
      <c r="F1210" s="43">
        <f>IF($E1210=0,0,YEAR($E1210))</f>
      </c>
      <c r="G1210" s="43">
        <f>IF(INDEX(DarlBindung,3)="",1,IF($E1210&lt;=INDEX(DarlBindung,3),1,0))</f>
      </c>
      <c r="H1210" s="43">
        <f>IF($G1210=1,INDEX(DarlSollzins,3),INDEX(DarlAnschluss,3))</f>
      </c>
      <c r="I1210" s="43">
        <f>IF(INDEX(DarlBelegt,3)=0,0,IF(INDEX(DarlOhneTilgung,3)=1,IF(INDEX(DarlBindung,3)="",1,$G1210),IF($J1210&gt;0.005,1,0)))</f>
      </c>
      <c r="J1210" s="43">
        <f>IF($I1209=0,0,$R1209)</f>
      </c>
      <c r="K1210" s="43">
        <f>IF($I1210=0,0,IF(INDEX(DarlOhneTilgung,3)=1,0,IF(AND(INDEX(DarlTilgStart,3)&gt;0,$E1210=INDEX(DarlTilgStart,3)),$J1210*($H1210+INDEX(DarlTilgung,3))/100/12,IF(AND($G1210=0,$G1209=1),MAX($K1209,$J1210*($H1210+1)/100/12),$K1209))))</f>
      </c>
      <c r="L1210" s="43">
        <f>IF($I1210=0,0,$J1210*$H1210/100/12)</f>
      </c>
      <c r="M1210" s="43">
        <f>IF($I1210=0,0,IF(OR(INDEX(DarlOhneTilgung,3)=1,AND(INDEX(DarlTilgStart,3)&gt;0,$E1210&lt;INDEX(DarlTilgStart,3))),0,MIN(MAX(0,$K1210-$L1210),$J1210)))</f>
      </c>
      <c r="N1210" s="43">
        <f>IF($I1210=0,0,MIN(SUMIFS(SondBetrag,SondDarl,3,SondDatum,"&gt;="&amp;$E1210,SondDatum,"&lt;="&amp;EOMONTH($E1210,0)),$J1210-$M1210))</f>
      </c>
      <c r="O1210" s="43">
        <f>IF($I1210=0,0,INDEX(DarlErsatzRate,3))</f>
      </c>
      <c r="P1210" s="43">
        <f>IF($I1210=0,0,$Q1209*INDEX(DarlErsatzZins,3))</f>
      </c>
      <c r="Q1210" s="43">
        <f>IF($I1210=0,0,$Q1209+$P1210+$O1210)</f>
      </c>
      <c r="R1210" s="43">
        <f>IF($I1210=0,0,$J1210-$M1210-$N1210)</f>
      </c>
    </row>
    <row r="1211">
      <c r="A1211"/>
      <c r="B1211">
        <v>3</v>
      </c>
      <c r="C1211" s="43">
        <f>INDEX(DarlObj,3)</f>
      </c>
      <c r="D1211">
        <v>248</v>
      </c>
      <c r="E1211" s="51">
        <f>IF(INDEX(DarlBelegt,3)=0,0,EOMONTH(INDEX(DarlAuszahlung,3),247)+1)</f>
      </c>
      <c r="F1211" s="43">
        <f>IF($E1211=0,0,YEAR($E1211))</f>
      </c>
      <c r="G1211" s="43">
        <f>IF(INDEX(DarlBindung,3)="",1,IF($E1211&lt;=INDEX(DarlBindung,3),1,0))</f>
      </c>
      <c r="H1211" s="43">
        <f>IF($G1211=1,INDEX(DarlSollzins,3),INDEX(DarlAnschluss,3))</f>
      </c>
      <c r="I1211" s="43">
        <f>IF(INDEX(DarlBelegt,3)=0,0,IF(INDEX(DarlOhneTilgung,3)=1,IF(INDEX(DarlBindung,3)="",1,$G1211),IF($J1211&gt;0.005,1,0)))</f>
      </c>
      <c r="J1211" s="43">
        <f>IF($I1210=0,0,$R1210)</f>
      </c>
      <c r="K1211" s="43">
        <f>IF($I1211=0,0,IF(INDEX(DarlOhneTilgung,3)=1,0,IF(AND(INDEX(DarlTilgStart,3)&gt;0,$E1211=INDEX(DarlTilgStart,3)),$J1211*($H1211+INDEX(DarlTilgung,3))/100/12,IF(AND($G1211=0,$G1210=1),MAX($K1210,$J1211*($H1211+1)/100/12),$K1210))))</f>
      </c>
      <c r="L1211" s="43">
        <f>IF($I1211=0,0,$J1211*$H1211/100/12)</f>
      </c>
      <c r="M1211" s="43">
        <f>IF($I1211=0,0,IF(OR(INDEX(DarlOhneTilgung,3)=1,AND(INDEX(DarlTilgStart,3)&gt;0,$E1211&lt;INDEX(DarlTilgStart,3))),0,MIN(MAX(0,$K1211-$L1211),$J1211)))</f>
      </c>
      <c r="N1211" s="43">
        <f>IF($I1211=0,0,MIN(SUMIFS(SondBetrag,SondDarl,3,SondDatum,"&gt;="&amp;$E1211,SondDatum,"&lt;="&amp;EOMONTH($E1211,0)),$J1211-$M1211))</f>
      </c>
      <c r="O1211" s="43">
        <f>IF($I1211=0,0,INDEX(DarlErsatzRate,3))</f>
      </c>
      <c r="P1211" s="43">
        <f>IF($I1211=0,0,$Q1210*INDEX(DarlErsatzZins,3))</f>
      </c>
      <c r="Q1211" s="43">
        <f>IF($I1211=0,0,$Q1210+$P1211+$O1211)</f>
      </c>
      <c r="R1211" s="43">
        <f>IF($I1211=0,0,$J1211-$M1211-$N1211)</f>
      </c>
    </row>
    <row r="1212">
      <c r="A1212"/>
      <c r="B1212">
        <v>3</v>
      </c>
      <c r="C1212" s="43">
        <f>INDEX(DarlObj,3)</f>
      </c>
      <c r="D1212">
        <v>249</v>
      </c>
      <c r="E1212" s="51">
        <f>IF(INDEX(DarlBelegt,3)=0,0,EOMONTH(INDEX(DarlAuszahlung,3),248)+1)</f>
      </c>
      <c r="F1212" s="43">
        <f>IF($E1212=0,0,YEAR($E1212))</f>
      </c>
      <c r="G1212" s="43">
        <f>IF(INDEX(DarlBindung,3)="",1,IF($E1212&lt;=INDEX(DarlBindung,3),1,0))</f>
      </c>
      <c r="H1212" s="43">
        <f>IF($G1212=1,INDEX(DarlSollzins,3),INDEX(DarlAnschluss,3))</f>
      </c>
      <c r="I1212" s="43">
        <f>IF(INDEX(DarlBelegt,3)=0,0,IF(INDEX(DarlOhneTilgung,3)=1,IF(INDEX(DarlBindung,3)="",1,$G1212),IF($J1212&gt;0.005,1,0)))</f>
      </c>
      <c r="J1212" s="43">
        <f>IF($I1211=0,0,$R1211)</f>
      </c>
      <c r="K1212" s="43">
        <f>IF($I1212=0,0,IF(INDEX(DarlOhneTilgung,3)=1,0,IF(AND(INDEX(DarlTilgStart,3)&gt;0,$E1212=INDEX(DarlTilgStart,3)),$J1212*($H1212+INDEX(DarlTilgung,3))/100/12,IF(AND($G1212=0,$G1211=1),MAX($K1211,$J1212*($H1212+1)/100/12),$K1211))))</f>
      </c>
      <c r="L1212" s="43">
        <f>IF($I1212=0,0,$J1212*$H1212/100/12)</f>
      </c>
      <c r="M1212" s="43">
        <f>IF($I1212=0,0,IF(OR(INDEX(DarlOhneTilgung,3)=1,AND(INDEX(DarlTilgStart,3)&gt;0,$E1212&lt;INDEX(DarlTilgStart,3))),0,MIN(MAX(0,$K1212-$L1212),$J1212)))</f>
      </c>
      <c r="N1212" s="43">
        <f>IF($I1212=0,0,MIN(SUMIFS(SondBetrag,SondDarl,3,SondDatum,"&gt;="&amp;$E1212,SondDatum,"&lt;="&amp;EOMONTH($E1212,0)),$J1212-$M1212))</f>
      </c>
      <c r="O1212" s="43">
        <f>IF($I1212=0,0,INDEX(DarlErsatzRate,3))</f>
      </c>
      <c r="P1212" s="43">
        <f>IF($I1212=0,0,$Q1211*INDEX(DarlErsatzZins,3))</f>
      </c>
      <c r="Q1212" s="43">
        <f>IF($I1212=0,0,$Q1211+$P1212+$O1212)</f>
      </c>
      <c r="R1212" s="43">
        <f>IF($I1212=0,0,$J1212-$M1212-$N1212)</f>
      </c>
    </row>
    <row r="1213">
      <c r="A1213"/>
      <c r="B1213">
        <v>3</v>
      </c>
      <c r="C1213" s="43">
        <f>INDEX(DarlObj,3)</f>
      </c>
      <c r="D1213">
        <v>250</v>
      </c>
      <c r="E1213" s="51">
        <f>IF(INDEX(DarlBelegt,3)=0,0,EOMONTH(INDEX(DarlAuszahlung,3),249)+1)</f>
      </c>
      <c r="F1213" s="43">
        <f>IF($E1213=0,0,YEAR($E1213))</f>
      </c>
      <c r="G1213" s="43">
        <f>IF(INDEX(DarlBindung,3)="",1,IF($E1213&lt;=INDEX(DarlBindung,3),1,0))</f>
      </c>
      <c r="H1213" s="43">
        <f>IF($G1213=1,INDEX(DarlSollzins,3),INDEX(DarlAnschluss,3))</f>
      </c>
      <c r="I1213" s="43">
        <f>IF(INDEX(DarlBelegt,3)=0,0,IF(INDEX(DarlOhneTilgung,3)=1,IF(INDEX(DarlBindung,3)="",1,$G1213),IF($J1213&gt;0.005,1,0)))</f>
      </c>
      <c r="J1213" s="43">
        <f>IF($I1212=0,0,$R1212)</f>
      </c>
      <c r="K1213" s="43">
        <f>IF($I1213=0,0,IF(INDEX(DarlOhneTilgung,3)=1,0,IF(AND(INDEX(DarlTilgStart,3)&gt;0,$E1213=INDEX(DarlTilgStart,3)),$J1213*($H1213+INDEX(DarlTilgung,3))/100/12,IF(AND($G1213=0,$G1212=1),MAX($K1212,$J1213*($H1213+1)/100/12),$K1212))))</f>
      </c>
      <c r="L1213" s="43">
        <f>IF($I1213=0,0,$J1213*$H1213/100/12)</f>
      </c>
      <c r="M1213" s="43">
        <f>IF($I1213=0,0,IF(OR(INDEX(DarlOhneTilgung,3)=1,AND(INDEX(DarlTilgStart,3)&gt;0,$E1213&lt;INDEX(DarlTilgStart,3))),0,MIN(MAX(0,$K1213-$L1213),$J1213)))</f>
      </c>
      <c r="N1213" s="43">
        <f>IF($I1213=0,0,MIN(SUMIFS(SondBetrag,SondDarl,3,SondDatum,"&gt;="&amp;$E1213,SondDatum,"&lt;="&amp;EOMONTH($E1213,0)),$J1213-$M1213))</f>
      </c>
      <c r="O1213" s="43">
        <f>IF($I1213=0,0,INDEX(DarlErsatzRate,3))</f>
      </c>
      <c r="P1213" s="43">
        <f>IF($I1213=0,0,$Q1212*INDEX(DarlErsatzZins,3))</f>
      </c>
      <c r="Q1213" s="43">
        <f>IF($I1213=0,0,$Q1212+$P1213+$O1213)</f>
      </c>
      <c r="R1213" s="43">
        <f>IF($I1213=0,0,$J1213-$M1213-$N1213)</f>
      </c>
    </row>
    <row r="1214">
      <c r="A1214"/>
      <c r="B1214">
        <v>3</v>
      </c>
      <c r="C1214" s="43">
        <f>INDEX(DarlObj,3)</f>
      </c>
      <c r="D1214">
        <v>251</v>
      </c>
      <c r="E1214" s="51">
        <f>IF(INDEX(DarlBelegt,3)=0,0,EOMONTH(INDEX(DarlAuszahlung,3),250)+1)</f>
      </c>
      <c r="F1214" s="43">
        <f>IF($E1214=0,0,YEAR($E1214))</f>
      </c>
      <c r="G1214" s="43">
        <f>IF(INDEX(DarlBindung,3)="",1,IF($E1214&lt;=INDEX(DarlBindung,3),1,0))</f>
      </c>
      <c r="H1214" s="43">
        <f>IF($G1214=1,INDEX(DarlSollzins,3),INDEX(DarlAnschluss,3))</f>
      </c>
      <c r="I1214" s="43">
        <f>IF(INDEX(DarlBelegt,3)=0,0,IF(INDEX(DarlOhneTilgung,3)=1,IF(INDEX(DarlBindung,3)="",1,$G1214),IF($J1214&gt;0.005,1,0)))</f>
      </c>
      <c r="J1214" s="43">
        <f>IF($I1213=0,0,$R1213)</f>
      </c>
      <c r="K1214" s="43">
        <f>IF($I1214=0,0,IF(INDEX(DarlOhneTilgung,3)=1,0,IF(AND(INDEX(DarlTilgStart,3)&gt;0,$E1214=INDEX(DarlTilgStart,3)),$J1214*($H1214+INDEX(DarlTilgung,3))/100/12,IF(AND($G1214=0,$G1213=1),MAX($K1213,$J1214*($H1214+1)/100/12),$K1213))))</f>
      </c>
      <c r="L1214" s="43">
        <f>IF($I1214=0,0,$J1214*$H1214/100/12)</f>
      </c>
      <c r="M1214" s="43">
        <f>IF($I1214=0,0,IF(OR(INDEX(DarlOhneTilgung,3)=1,AND(INDEX(DarlTilgStart,3)&gt;0,$E1214&lt;INDEX(DarlTilgStart,3))),0,MIN(MAX(0,$K1214-$L1214),$J1214)))</f>
      </c>
      <c r="N1214" s="43">
        <f>IF($I1214=0,0,MIN(SUMIFS(SondBetrag,SondDarl,3,SondDatum,"&gt;="&amp;$E1214,SondDatum,"&lt;="&amp;EOMONTH($E1214,0)),$J1214-$M1214))</f>
      </c>
      <c r="O1214" s="43">
        <f>IF($I1214=0,0,INDEX(DarlErsatzRate,3))</f>
      </c>
      <c r="P1214" s="43">
        <f>IF($I1214=0,0,$Q1213*INDEX(DarlErsatzZins,3))</f>
      </c>
      <c r="Q1214" s="43">
        <f>IF($I1214=0,0,$Q1213+$P1214+$O1214)</f>
      </c>
      <c r="R1214" s="43">
        <f>IF($I1214=0,0,$J1214-$M1214-$N1214)</f>
      </c>
    </row>
    <row r="1215">
      <c r="A1215"/>
      <c r="B1215">
        <v>3</v>
      </c>
      <c r="C1215" s="43">
        <f>INDEX(DarlObj,3)</f>
      </c>
      <c r="D1215">
        <v>252</v>
      </c>
      <c r="E1215" s="51">
        <f>IF(INDEX(DarlBelegt,3)=0,0,EOMONTH(INDEX(DarlAuszahlung,3),251)+1)</f>
      </c>
      <c r="F1215" s="43">
        <f>IF($E1215=0,0,YEAR($E1215))</f>
      </c>
      <c r="G1215" s="43">
        <f>IF(INDEX(DarlBindung,3)="",1,IF($E1215&lt;=INDEX(DarlBindung,3),1,0))</f>
      </c>
      <c r="H1215" s="43">
        <f>IF($G1215=1,INDEX(DarlSollzins,3),INDEX(DarlAnschluss,3))</f>
      </c>
      <c r="I1215" s="43">
        <f>IF(INDEX(DarlBelegt,3)=0,0,IF(INDEX(DarlOhneTilgung,3)=1,IF(INDEX(DarlBindung,3)="",1,$G1215),IF($J1215&gt;0.005,1,0)))</f>
      </c>
      <c r="J1215" s="43">
        <f>IF($I1214=0,0,$R1214)</f>
      </c>
      <c r="K1215" s="43">
        <f>IF($I1215=0,0,IF(INDEX(DarlOhneTilgung,3)=1,0,IF(AND(INDEX(DarlTilgStart,3)&gt;0,$E1215=INDEX(DarlTilgStart,3)),$J1215*($H1215+INDEX(DarlTilgung,3))/100/12,IF(AND($G1215=0,$G1214=1),MAX($K1214,$J1215*($H1215+1)/100/12),$K1214))))</f>
      </c>
      <c r="L1215" s="43">
        <f>IF($I1215=0,0,$J1215*$H1215/100/12)</f>
      </c>
      <c r="M1215" s="43">
        <f>IF($I1215=0,0,IF(OR(INDEX(DarlOhneTilgung,3)=1,AND(INDEX(DarlTilgStart,3)&gt;0,$E1215&lt;INDEX(DarlTilgStart,3))),0,MIN(MAX(0,$K1215-$L1215),$J1215)))</f>
      </c>
      <c r="N1215" s="43">
        <f>IF($I1215=0,0,MIN(SUMIFS(SondBetrag,SondDarl,3,SondDatum,"&gt;="&amp;$E1215,SondDatum,"&lt;="&amp;EOMONTH($E1215,0)),$J1215-$M1215))</f>
      </c>
      <c r="O1215" s="43">
        <f>IF($I1215=0,0,INDEX(DarlErsatzRate,3))</f>
      </c>
      <c r="P1215" s="43">
        <f>IF($I1215=0,0,$Q1214*INDEX(DarlErsatzZins,3))</f>
      </c>
      <c r="Q1215" s="43">
        <f>IF($I1215=0,0,$Q1214+$P1215+$O1215)</f>
      </c>
      <c r="R1215" s="43">
        <f>IF($I1215=0,0,$J1215-$M1215-$N1215)</f>
      </c>
    </row>
    <row r="1216">
      <c r="A1216"/>
      <c r="B1216">
        <v>3</v>
      </c>
      <c r="C1216" s="43">
        <f>INDEX(DarlObj,3)</f>
      </c>
      <c r="D1216">
        <v>253</v>
      </c>
      <c r="E1216" s="51">
        <f>IF(INDEX(DarlBelegt,3)=0,0,EOMONTH(INDEX(DarlAuszahlung,3),252)+1)</f>
      </c>
      <c r="F1216" s="43">
        <f>IF($E1216=0,0,YEAR($E1216))</f>
      </c>
      <c r="G1216" s="43">
        <f>IF(INDEX(DarlBindung,3)="",1,IF($E1216&lt;=INDEX(DarlBindung,3),1,0))</f>
      </c>
      <c r="H1216" s="43">
        <f>IF($G1216=1,INDEX(DarlSollzins,3),INDEX(DarlAnschluss,3))</f>
      </c>
      <c r="I1216" s="43">
        <f>IF(INDEX(DarlBelegt,3)=0,0,IF(INDEX(DarlOhneTilgung,3)=1,IF(INDEX(DarlBindung,3)="",1,$G1216),IF($J1216&gt;0.005,1,0)))</f>
      </c>
      <c r="J1216" s="43">
        <f>IF($I1215=0,0,$R1215)</f>
      </c>
      <c r="K1216" s="43">
        <f>IF($I1216=0,0,IF(INDEX(DarlOhneTilgung,3)=1,0,IF(AND(INDEX(DarlTilgStart,3)&gt;0,$E1216=INDEX(DarlTilgStart,3)),$J1216*($H1216+INDEX(DarlTilgung,3))/100/12,IF(AND($G1216=0,$G1215=1),MAX($K1215,$J1216*($H1216+1)/100/12),$K1215))))</f>
      </c>
      <c r="L1216" s="43">
        <f>IF($I1216=0,0,$J1216*$H1216/100/12)</f>
      </c>
      <c r="M1216" s="43">
        <f>IF($I1216=0,0,IF(OR(INDEX(DarlOhneTilgung,3)=1,AND(INDEX(DarlTilgStart,3)&gt;0,$E1216&lt;INDEX(DarlTilgStart,3))),0,MIN(MAX(0,$K1216-$L1216),$J1216)))</f>
      </c>
      <c r="N1216" s="43">
        <f>IF($I1216=0,0,MIN(SUMIFS(SondBetrag,SondDarl,3,SondDatum,"&gt;="&amp;$E1216,SondDatum,"&lt;="&amp;EOMONTH($E1216,0)),$J1216-$M1216))</f>
      </c>
      <c r="O1216" s="43">
        <f>IF($I1216=0,0,INDEX(DarlErsatzRate,3))</f>
      </c>
      <c r="P1216" s="43">
        <f>IF($I1216=0,0,$Q1215*INDEX(DarlErsatzZins,3))</f>
      </c>
      <c r="Q1216" s="43">
        <f>IF($I1216=0,0,$Q1215+$P1216+$O1216)</f>
      </c>
      <c r="R1216" s="43">
        <f>IF($I1216=0,0,$J1216-$M1216-$N1216)</f>
      </c>
    </row>
    <row r="1217">
      <c r="A1217"/>
      <c r="B1217">
        <v>3</v>
      </c>
      <c r="C1217" s="43">
        <f>INDEX(DarlObj,3)</f>
      </c>
      <c r="D1217">
        <v>254</v>
      </c>
      <c r="E1217" s="51">
        <f>IF(INDEX(DarlBelegt,3)=0,0,EOMONTH(INDEX(DarlAuszahlung,3),253)+1)</f>
      </c>
      <c r="F1217" s="43">
        <f>IF($E1217=0,0,YEAR($E1217))</f>
      </c>
      <c r="G1217" s="43">
        <f>IF(INDEX(DarlBindung,3)="",1,IF($E1217&lt;=INDEX(DarlBindung,3),1,0))</f>
      </c>
      <c r="H1217" s="43">
        <f>IF($G1217=1,INDEX(DarlSollzins,3),INDEX(DarlAnschluss,3))</f>
      </c>
      <c r="I1217" s="43">
        <f>IF(INDEX(DarlBelegt,3)=0,0,IF(INDEX(DarlOhneTilgung,3)=1,IF(INDEX(DarlBindung,3)="",1,$G1217),IF($J1217&gt;0.005,1,0)))</f>
      </c>
      <c r="J1217" s="43">
        <f>IF($I1216=0,0,$R1216)</f>
      </c>
      <c r="K1217" s="43">
        <f>IF($I1217=0,0,IF(INDEX(DarlOhneTilgung,3)=1,0,IF(AND(INDEX(DarlTilgStart,3)&gt;0,$E1217=INDEX(DarlTilgStart,3)),$J1217*($H1217+INDEX(DarlTilgung,3))/100/12,IF(AND($G1217=0,$G1216=1),MAX($K1216,$J1217*($H1217+1)/100/12),$K1216))))</f>
      </c>
      <c r="L1217" s="43">
        <f>IF($I1217=0,0,$J1217*$H1217/100/12)</f>
      </c>
      <c r="M1217" s="43">
        <f>IF($I1217=0,0,IF(OR(INDEX(DarlOhneTilgung,3)=1,AND(INDEX(DarlTilgStart,3)&gt;0,$E1217&lt;INDEX(DarlTilgStart,3))),0,MIN(MAX(0,$K1217-$L1217),$J1217)))</f>
      </c>
      <c r="N1217" s="43">
        <f>IF($I1217=0,0,MIN(SUMIFS(SondBetrag,SondDarl,3,SondDatum,"&gt;="&amp;$E1217,SondDatum,"&lt;="&amp;EOMONTH($E1217,0)),$J1217-$M1217))</f>
      </c>
      <c r="O1217" s="43">
        <f>IF($I1217=0,0,INDEX(DarlErsatzRate,3))</f>
      </c>
      <c r="P1217" s="43">
        <f>IF($I1217=0,0,$Q1216*INDEX(DarlErsatzZins,3))</f>
      </c>
      <c r="Q1217" s="43">
        <f>IF($I1217=0,0,$Q1216+$P1217+$O1217)</f>
      </c>
      <c r="R1217" s="43">
        <f>IF($I1217=0,0,$J1217-$M1217-$N1217)</f>
      </c>
    </row>
    <row r="1218">
      <c r="A1218"/>
      <c r="B1218">
        <v>3</v>
      </c>
      <c r="C1218" s="43">
        <f>INDEX(DarlObj,3)</f>
      </c>
      <c r="D1218">
        <v>255</v>
      </c>
      <c r="E1218" s="51">
        <f>IF(INDEX(DarlBelegt,3)=0,0,EOMONTH(INDEX(DarlAuszahlung,3),254)+1)</f>
      </c>
      <c r="F1218" s="43">
        <f>IF($E1218=0,0,YEAR($E1218))</f>
      </c>
      <c r="G1218" s="43">
        <f>IF(INDEX(DarlBindung,3)="",1,IF($E1218&lt;=INDEX(DarlBindung,3),1,0))</f>
      </c>
      <c r="H1218" s="43">
        <f>IF($G1218=1,INDEX(DarlSollzins,3),INDEX(DarlAnschluss,3))</f>
      </c>
      <c r="I1218" s="43">
        <f>IF(INDEX(DarlBelegt,3)=0,0,IF(INDEX(DarlOhneTilgung,3)=1,IF(INDEX(DarlBindung,3)="",1,$G1218),IF($J1218&gt;0.005,1,0)))</f>
      </c>
      <c r="J1218" s="43">
        <f>IF($I1217=0,0,$R1217)</f>
      </c>
      <c r="K1218" s="43">
        <f>IF($I1218=0,0,IF(INDEX(DarlOhneTilgung,3)=1,0,IF(AND(INDEX(DarlTilgStart,3)&gt;0,$E1218=INDEX(DarlTilgStart,3)),$J1218*($H1218+INDEX(DarlTilgung,3))/100/12,IF(AND($G1218=0,$G1217=1),MAX($K1217,$J1218*($H1218+1)/100/12),$K1217))))</f>
      </c>
      <c r="L1218" s="43">
        <f>IF($I1218=0,0,$J1218*$H1218/100/12)</f>
      </c>
      <c r="M1218" s="43">
        <f>IF($I1218=0,0,IF(OR(INDEX(DarlOhneTilgung,3)=1,AND(INDEX(DarlTilgStart,3)&gt;0,$E1218&lt;INDEX(DarlTilgStart,3))),0,MIN(MAX(0,$K1218-$L1218),$J1218)))</f>
      </c>
      <c r="N1218" s="43">
        <f>IF($I1218=0,0,MIN(SUMIFS(SondBetrag,SondDarl,3,SondDatum,"&gt;="&amp;$E1218,SondDatum,"&lt;="&amp;EOMONTH($E1218,0)),$J1218-$M1218))</f>
      </c>
      <c r="O1218" s="43">
        <f>IF($I1218=0,0,INDEX(DarlErsatzRate,3))</f>
      </c>
      <c r="P1218" s="43">
        <f>IF($I1218=0,0,$Q1217*INDEX(DarlErsatzZins,3))</f>
      </c>
      <c r="Q1218" s="43">
        <f>IF($I1218=0,0,$Q1217+$P1218+$O1218)</f>
      </c>
      <c r="R1218" s="43">
        <f>IF($I1218=0,0,$J1218-$M1218-$N1218)</f>
      </c>
    </row>
    <row r="1219">
      <c r="A1219"/>
      <c r="B1219">
        <v>3</v>
      </c>
      <c r="C1219" s="43">
        <f>INDEX(DarlObj,3)</f>
      </c>
      <c r="D1219">
        <v>256</v>
      </c>
      <c r="E1219" s="51">
        <f>IF(INDEX(DarlBelegt,3)=0,0,EOMONTH(INDEX(DarlAuszahlung,3),255)+1)</f>
      </c>
      <c r="F1219" s="43">
        <f>IF($E1219=0,0,YEAR($E1219))</f>
      </c>
      <c r="G1219" s="43">
        <f>IF(INDEX(DarlBindung,3)="",1,IF($E1219&lt;=INDEX(DarlBindung,3),1,0))</f>
      </c>
      <c r="H1219" s="43">
        <f>IF($G1219=1,INDEX(DarlSollzins,3),INDEX(DarlAnschluss,3))</f>
      </c>
      <c r="I1219" s="43">
        <f>IF(INDEX(DarlBelegt,3)=0,0,IF(INDEX(DarlOhneTilgung,3)=1,IF(INDEX(DarlBindung,3)="",1,$G1219),IF($J1219&gt;0.005,1,0)))</f>
      </c>
      <c r="J1219" s="43">
        <f>IF($I1218=0,0,$R1218)</f>
      </c>
      <c r="K1219" s="43">
        <f>IF($I1219=0,0,IF(INDEX(DarlOhneTilgung,3)=1,0,IF(AND(INDEX(DarlTilgStart,3)&gt;0,$E1219=INDEX(DarlTilgStart,3)),$J1219*($H1219+INDEX(DarlTilgung,3))/100/12,IF(AND($G1219=0,$G1218=1),MAX($K1218,$J1219*($H1219+1)/100/12),$K1218))))</f>
      </c>
      <c r="L1219" s="43">
        <f>IF($I1219=0,0,$J1219*$H1219/100/12)</f>
      </c>
      <c r="M1219" s="43">
        <f>IF($I1219=0,0,IF(OR(INDEX(DarlOhneTilgung,3)=1,AND(INDEX(DarlTilgStart,3)&gt;0,$E1219&lt;INDEX(DarlTilgStart,3))),0,MIN(MAX(0,$K1219-$L1219),$J1219)))</f>
      </c>
      <c r="N1219" s="43">
        <f>IF($I1219=0,0,MIN(SUMIFS(SondBetrag,SondDarl,3,SondDatum,"&gt;="&amp;$E1219,SondDatum,"&lt;="&amp;EOMONTH($E1219,0)),$J1219-$M1219))</f>
      </c>
      <c r="O1219" s="43">
        <f>IF($I1219=0,0,INDEX(DarlErsatzRate,3))</f>
      </c>
      <c r="P1219" s="43">
        <f>IF($I1219=0,0,$Q1218*INDEX(DarlErsatzZins,3))</f>
      </c>
      <c r="Q1219" s="43">
        <f>IF($I1219=0,0,$Q1218+$P1219+$O1219)</f>
      </c>
      <c r="R1219" s="43">
        <f>IF($I1219=0,0,$J1219-$M1219-$N1219)</f>
      </c>
    </row>
    <row r="1220">
      <c r="A1220"/>
      <c r="B1220">
        <v>3</v>
      </c>
      <c r="C1220" s="43">
        <f>INDEX(DarlObj,3)</f>
      </c>
      <c r="D1220">
        <v>257</v>
      </c>
      <c r="E1220" s="51">
        <f>IF(INDEX(DarlBelegt,3)=0,0,EOMONTH(INDEX(DarlAuszahlung,3),256)+1)</f>
      </c>
      <c r="F1220" s="43">
        <f>IF($E1220=0,0,YEAR($E1220))</f>
      </c>
      <c r="G1220" s="43">
        <f>IF(INDEX(DarlBindung,3)="",1,IF($E1220&lt;=INDEX(DarlBindung,3),1,0))</f>
      </c>
      <c r="H1220" s="43">
        <f>IF($G1220=1,INDEX(DarlSollzins,3),INDEX(DarlAnschluss,3))</f>
      </c>
      <c r="I1220" s="43">
        <f>IF(INDEX(DarlBelegt,3)=0,0,IF(INDEX(DarlOhneTilgung,3)=1,IF(INDEX(DarlBindung,3)="",1,$G1220),IF($J1220&gt;0.005,1,0)))</f>
      </c>
      <c r="J1220" s="43">
        <f>IF($I1219=0,0,$R1219)</f>
      </c>
      <c r="K1220" s="43">
        <f>IF($I1220=0,0,IF(INDEX(DarlOhneTilgung,3)=1,0,IF(AND(INDEX(DarlTilgStart,3)&gt;0,$E1220=INDEX(DarlTilgStart,3)),$J1220*($H1220+INDEX(DarlTilgung,3))/100/12,IF(AND($G1220=0,$G1219=1),MAX($K1219,$J1220*($H1220+1)/100/12),$K1219))))</f>
      </c>
      <c r="L1220" s="43">
        <f>IF($I1220=0,0,$J1220*$H1220/100/12)</f>
      </c>
      <c r="M1220" s="43">
        <f>IF($I1220=0,0,IF(OR(INDEX(DarlOhneTilgung,3)=1,AND(INDEX(DarlTilgStart,3)&gt;0,$E1220&lt;INDEX(DarlTilgStart,3))),0,MIN(MAX(0,$K1220-$L1220),$J1220)))</f>
      </c>
      <c r="N1220" s="43">
        <f>IF($I1220=0,0,MIN(SUMIFS(SondBetrag,SondDarl,3,SondDatum,"&gt;="&amp;$E1220,SondDatum,"&lt;="&amp;EOMONTH($E1220,0)),$J1220-$M1220))</f>
      </c>
      <c r="O1220" s="43">
        <f>IF($I1220=0,0,INDEX(DarlErsatzRate,3))</f>
      </c>
      <c r="P1220" s="43">
        <f>IF($I1220=0,0,$Q1219*INDEX(DarlErsatzZins,3))</f>
      </c>
      <c r="Q1220" s="43">
        <f>IF($I1220=0,0,$Q1219+$P1220+$O1220)</f>
      </c>
      <c r="R1220" s="43">
        <f>IF($I1220=0,0,$J1220-$M1220-$N1220)</f>
      </c>
    </row>
    <row r="1221">
      <c r="A1221"/>
      <c r="B1221">
        <v>3</v>
      </c>
      <c r="C1221" s="43">
        <f>INDEX(DarlObj,3)</f>
      </c>
      <c r="D1221">
        <v>258</v>
      </c>
      <c r="E1221" s="51">
        <f>IF(INDEX(DarlBelegt,3)=0,0,EOMONTH(INDEX(DarlAuszahlung,3),257)+1)</f>
      </c>
      <c r="F1221" s="43">
        <f>IF($E1221=0,0,YEAR($E1221))</f>
      </c>
      <c r="G1221" s="43">
        <f>IF(INDEX(DarlBindung,3)="",1,IF($E1221&lt;=INDEX(DarlBindung,3),1,0))</f>
      </c>
      <c r="H1221" s="43">
        <f>IF($G1221=1,INDEX(DarlSollzins,3),INDEX(DarlAnschluss,3))</f>
      </c>
      <c r="I1221" s="43">
        <f>IF(INDEX(DarlBelegt,3)=0,0,IF(INDEX(DarlOhneTilgung,3)=1,IF(INDEX(DarlBindung,3)="",1,$G1221),IF($J1221&gt;0.005,1,0)))</f>
      </c>
      <c r="J1221" s="43">
        <f>IF($I1220=0,0,$R1220)</f>
      </c>
      <c r="K1221" s="43">
        <f>IF($I1221=0,0,IF(INDEX(DarlOhneTilgung,3)=1,0,IF(AND(INDEX(DarlTilgStart,3)&gt;0,$E1221=INDEX(DarlTilgStart,3)),$J1221*($H1221+INDEX(DarlTilgung,3))/100/12,IF(AND($G1221=0,$G1220=1),MAX($K1220,$J1221*($H1221+1)/100/12),$K1220))))</f>
      </c>
      <c r="L1221" s="43">
        <f>IF($I1221=0,0,$J1221*$H1221/100/12)</f>
      </c>
      <c r="M1221" s="43">
        <f>IF($I1221=0,0,IF(OR(INDEX(DarlOhneTilgung,3)=1,AND(INDEX(DarlTilgStart,3)&gt;0,$E1221&lt;INDEX(DarlTilgStart,3))),0,MIN(MAX(0,$K1221-$L1221),$J1221)))</f>
      </c>
      <c r="N1221" s="43">
        <f>IF($I1221=0,0,MIN(SUMIFS(SondBetrag,SondDarl,3,SondDatum,"&gt;="&amp;$E1221,SondDatum,"&lt;="&amp;EOMONTH($E1221,0)),$J1221-$M1221))</f>
      </c>
      <c r="O1221" s="43">
        <f>IF($I1221=0,0,INDEX(DarlErsatzRate,3))</f>
      </c>
      <c r="P1221" s="43">
        <f>IF($I1221=0,0,$Q1220*INDEX(DarlErsatzZins,3))</f>
      </c>
      <c r="Q1221" s="43">
        <f>IF($I1221=0,0,$Q1220+$P1221+$O1221)</f>
      </c>
      <c r="R1221" s="43">
        <f>IF($I1221=0,0,$J1221-$M1221-$N1221)</f>
      </c>
    </row>
    <row r="1222">
      <c r="A1222"/>
      <c r="B1222">
        <v>3</v>
      </c>
      <c r="C1222" s="43">
        <f>INDEX(DarlObj,3)</f>
      </c>
      <c r="D1222">
        <v>259</v>
      </c>
      <c r="E1222" s="51">
        <f>IF(INDEX(DarlBelegt,3)=0,0,EOMONTH(INDEX(DarlAuszahlung,3),258)+1)</f>
      </c>
      <c r="F1222" s="43">
        <f>IF($E1222=0,0,YEAR($E1222))</f>
      </c>
      <c r="G1222" s="43">
        <f>IF(INDEX(DarlBindung,3)="",1,IF($E1222&lt;=INDEX(DarlBindung,3),1,0))</f>
      </c>
      <c r="H1222" s="43">
        <f>IF($G1222=1,INDEX(DarlSollzins,3),INDEX(DarlAnschluss,3))</f>
      </c>
      <c r="I1222" s="43">
        <f>IF(INDEX(DarlBelegt,3)=0,0,IF(INDEX(DarlOhneTilgung,3)=1,IF(INDEX(DarlBindung,3)="",1,$G1222),IF($J1222&gt;0.005,1,0)))</f>
      </c>
      <c r="J1222" s="43">
        <f>IF($I1221=0,0,$R1221)</f>
      </c>
      <c r="K1222" s="43">
        <f>IF($I1222=0,0,IF(INDEX(DarlOhneTilgung,3)=1,0,IF(AND(INDEX(DarlTilgStart,3)&gt;0,$E1222=INDEX(DarlTilgStart,3)),$J1222*($H1222+INDEX(DarlTilgung,3))/100/12,IF(AND($G1222=0,$G1221=1),MAX($K1221,$J1222*($H1222+1)/100/12),$K1221))))</f>
      </c>
      <c r="L1222" s="43">
        <f>IF($I1222=0,0,$J1222*$H1222/100/12)</f>
      </c>
      <c r="M1222" s="43">
        <f>IF($I1222=0,0,IF(OR(INDEX(DarlOhneTilgung,3)=1,AND(INDEX(DarlTilgStart,3)&gt;0,$E1222&lt;INDEX(DarlTilgStart,3))),0,MIN(MAX(0,$K1222-$L1222),$J1222)))</f>
      </c>
      <c r="N1222" s="43">
        <f>IF($I1222=0,0,MIN(SUMIFS(SondBetrag,SondDarl,3,SondDatum,"&gt;="&amp;$E1222,SondDatum,"&lt;="&amp;EOMONTH($E1222,0)),$J1222-$M1222))</f>
      </c>
      <c r="O1222" s="43">
        <f>IF($I1222=0,0,INDEX(DarlErsatzRate,3))</f>
      </c>
      <c r="P1222" s="43">
        <f>IF($I1222=0,0,$Q1221*INDEX(DarlErsatzZins,3))</f>
      </c>
      <c r="Q1222" s="43">
        <f>IF($I1222=0,0,$Q1221+$P1222+$O1222)</f>
      </c>
      <c r="R1222" s="43">
        <f>IF($I1222=0,0,$J1222-$M1222-$N1222)</f>
      </c>
    </row>
    <row r="1223">
      <c r="A1223"/>
      <c r="B1223">
        <v>3</v>
      </c>
      <c r="C1223" s="43">
        <f>INDEX(DarlObj,3)</f>
      </c>
      <c r="D1223">
        <v>260</v>
      </c>
      <c r="E1223" s="51">
        <f>IF(INDEX(DarlBelegt,3)=0,0,EOMONTH(INDEX(DarlAuszahlung,3),259)+1)</f>
      </c>
      <c r="F1223" s="43">
        <f>IF($E1223=0,0,YEAR($E1223))</f>
      </c>
      <c r="G1223" s="43">
        <f>IF(INDEX(DarlBindung,3)="",1,IF($E1223&lt;=INDEX(DarlBindung,3),1,0))</f>
      </c>
      <c r="H1223" s="43">
        <f>IF($G1223=1,INDEX(DarlSollzins,3),INDEX(DarlAnschluss,3))</f>
      </c>
      <c r="I1223" s="43">
        <f>IF(INDEX(DarlBelegt,3)=0,0,IF(INDEX(DarlOhneTilgung,3)=1,IF(INDEX(DarlBindung,3)="",1,$G1223),IF($J1223&gt;0.005,1,0)))</f>
      </c>
      <c r="J1223" s="43">
        <f>IF($I1222=0,0,$R1222)</f>
      </c>
      <c r="K1223" s="43">
        <f>IF($I1223=0,0,IF(INDEX(DarlOhneTilgung,3)=1,0,IF(AND(INDEX(DarlTilgStart,3)&gt;0,$E1223=INDEX(DarlTilgStart,3)),$J1223*($H1223+INDEX(DarlTilgung,3))/100/12,IF(AND($G1223=0,$G1222=1),MAX($K1222,$J1223*($H1223+1)/100/12),$K1222))))</f>
      </c>
      <c r="L1223" s="43">
        <f>IF($I1223=0,0,$J1223*$H1223/100/12)</f>
      </c>
      <c r="M1223" s="43">
        <f>IF($I1223=0,0,IF(OR(INDEX(DarlOhneTilgung,3)=1,AND(INDEX(DarlTilgStart,3)&gt;0,$E1223&lt;INDEX(DarlTilgStart,3))),0,MIN(MAX(0,$K1223-$L1223),$J1223)))</f>
      </c>
      <c r="N1223" s="43">
        <f>IF($I1223=0,0,MIN(SUMIFS(SondBetrag,SondDarl,3,SondDatum,"&gt;="&amp;$E1223,SondDatum,"&lt;="&amp;EOMONTH($E1223,0)),$J1223-$M1223))</f>
      </c>
      <c r="O1223" s="43">
        <f>IF($I1223=0,0,INDEX(DarlErsatzRate,3))</f>
      </c>
      <c r="P1223" s="43">
        <f>IF($I1223=0,0,$Q1222*INDEX(DarlErsatzZins,3))</f>
      </c>
      <c r="Q1223" s="43">
        <f>IF($I1223=0,0,$Q1222+$P1223+$O1223)</f>
      </c>
      <c r="R1223" s="43">
        <f>IF($I1223=0,0,$J1223-$M1223-$N1223)</f>
      </c>
    </row>
    <row r="1224">
      <c r="A1224"/>
      <c r="B1224">
        <v>3</v>
      </c>
      <c r="C1224" s="43">
        <f>INDEX(DarlObj,3)</f>
      </c>
      <c r="D1224">
        <v>261</v>
      </c>
      <c r="E1224" s="51">
        <f>IF(INDEX(DarlBelegt,3)=0,0,EOMONTH(INDEX(DarlAuszahlung,3),260)+1)</f>
      </c>
      <c r="F1224" s="43">
        <f>IF($E1224=0,0,YEAR($E1224))</f>
      </c>
      <c r="G1224" s="43">
        <f>IF(INDEX(DarlBindung,3)="",1,IF($E1224&lt;=INDEX(DarlBindung,3),1,0))</f>
      </c>
      <c r="H1224" s="43">
        <f>IF($G1224=1,INDEX(DarlSollzins,3),INDEX(DarlAnschluss,3))</f>
      </c>
      <c r="I1224" s="43">
        <f>IF(INDEX(DarlBelegt,3)=0,0,IF(INDEX(DarlOhneTilgung,3)=1,IF(INDEX(DarlBindung,3)="",1,$G1224),IF($J1224&gt;0.005,1,0)))</f>
      </c>
      <c r="J1224" s="43">
        <f>IF($I1223=0,0,$R1223)</f>
      </c>
      <c r="K1224" s="43">
        <f>IF($I1224=0,0,IF(INDEX(DarlOhneTilgung,3)=1,0,IF(AND(INDEX(DarlTilgStart,3)&gt;0,$E1224=INDEX(DarlTilgStart,3)),$J1224*($H1224+INDEX(DarlTilgung,3))/100/12,IF(AND($G1224=0,$G1223=1),MAX($K1223,$J1224*($H1224+1)/100/12),$K1223))))</f>
      </c>
      <c r="L1224" s="43">
        <f>IF($I1224=0,0,$J1224*$H1224/100/12)</f>
      </c>
      <c r="M1224" s="43">
        <f>IF($I1224=0,0,IF(OR(INDEX(DarlOhneTilgung,3)=1,AND(INDEX(DarlTilgStart,3)&gt;0,$E1224&lt;INDEX(DarlTilgStart,3))),0,MIN(MAX(0,$K1224-$L1224),$J1224)))</f>
      </c>
      <c r="N1224" s="43">
        <f>IF($I1224=0,0,MIN(SUMIFS(SondBetrag,SondDarl,3,SondDatum,"&gt;="&amp;$E1224,SondDatum,"&lt;="&amp;EOMONTH($E1224,0)),$J1224-$M1224))</f>
      </c>
      <c r="O1224" s="43">
        <f>IF($I1224=0,0,INDEX(DarlErsatzRate,3))</f>
      </c>
      <c r="P1224" s="43">
        <f>IF($I1224=0,0,$Q1223*INDEX(DarlErsatzZins,3))</f>
      </c>
      <c r="Q1224" s="43">
        <f>IF($I1224=0,0,$Q1223+$P1224+$O1224)</f>
      </c>
      <c r="R1224" s="43">
        <f>IF($I1224=0,0,$J1224-$M1224-$N1224)</f>
      </c>
    </row>
    <row r="1225">
      <c r="A1225"/>
      <c r="B1225">
        <v>3</v>
      </c>
      <c r="C1225" s="43">
        <f>INDEX(DarlObj,3)</f>
      </c>
      <c r="D1225">
        <v>262</v>
      </c>
      <c r="E1225" s="51">
        <f>IF(INDEX(DarlBelegt,3)=0,0,EOMONTH(INDEX(DarlAuszahlung,3),261)+1)</f>
      </c>
      <c r="F1225" s="43">
        <f>IF($E1225=0,0,YEAR($E1225))</f>
      </c>
      <c r="G1225" s="43">
        <f>IF(INDEX(DarlBindung,3)="",1,IF($E1225&lt;=INDEX(DarlBindung,3),1,0))</f>
      </c>
      <c r="H1225" s="43">
        <f>IF($G1225=1,INDEX(DarlSollzins,3),INDEX(DarlAnschluss,3))</f>
      </c>
      <c r="I1225" s="43">
        <f>IF(INDEX(DarlBelegt,3)=0,0,IF(INDEX(DarlOhneTilgung,3)=1,IF(INDEX(DarlBindung,3)="",1,$G1225),IF($J1225&gt;0.005,1,0)))</f>
      </c>
      <c r="J1225" s="43">
        <f>IF($I1224=0,0,$R1224)</f>
      </c>
      <c r="K1225" s="43">
        <f>IF($I1225=0,0,IF(INDEX(DarlOhneTilgung,3)=1,0,IF(AND(INDEX(DarlTilgStart,3)&gt;0,$E1225=INDEX(DarlTilgStart,3)),$J1225*($H1225+INDEX(DarlTilgung,3))/100/12,IF(AND($G1225=0,$G1224=1),MAX($K1224,$J1225*($H1225+1)/100/12),$K1224))))</f>
      </c>
      <c r="L1225" s="43">
        <f>IF($I1225=0,0,$J1225*$H1225/100/12)</f>
      </c>
      <c r="M1225" s="43">
        <f>IF($I1225=0,0,IF(OR(INDEX(DarlOhneTilgung,3)=1,AND(INDEX(DarlTilgStart,3)&gt;0,$E1225&lt;INDEX(DarlTilgStart,3))),0,MIN(MAX(0,$K1225-$L1225),$J1225)))</f>
      </c>
      <c r="N1225" s="43">
        <f>IF($I1225=0,0,MIN(SUMIFS(SondBetrag,SondDarl,3,SondDatum,"&gt;="&amp;$E1225,SondDatum,"&lt;="&amp;EOMONTH($E1225,0)),$J1225-$M1225))</f>
      </c>
      <c r="O1225" s="43">
        <f>IF($I1225=0,0,INDEX(DarlErsatzRate,3))</f>
      </c>
      <c r="P1225" s="43">
        <f>IF($I1225=0,0,$Q1224*INDEX(DarlErsatzZins,3))</f>
      </c>
      <c r="Q1225" s="43">
        <f>IF($I1225=0,0,$Q1224+$P1225+$O1225)</f>
      </c>
      <c r="R1225" s="43">
        <f>IF($I1225=0,0,$J1225-$M1225-$N1225)</f>
      </c>
    </row>
    <row r="1226">
      <c r="A1226"/>
      <c r="B1226">
        <v>3</v>
      </c>
      <c r="C1226" s="43">
        <f>INDEX(DarlObj,3)</f>
      </c>
      <c r="D1226">
        <v>263</v>
      </c>
      <c r="E1226" s="51">
        <f>IF(INDEX(DarlBelegt,3)=0,0,EOMONTH(INDEX(DarlAuszahlung,3),262)+1)</f>
      </c>
      <c r="F1226" s="43">
        <f>IF($E1226=0,0,YEAR($E1226))</f>
      </c>
      <c r="G1226" s="43">
        <f>IF(INDEX(DarlBindung,3)="",1,IF($E1226&lt;=INDEX(DarlBindung,3),1,0))</f>
      </c>
      <c r="H1226" s="43">
        <f>IF($G1226=1,INDEX(DarlSollzins,3),INDEX(DarlAnschluss,3))</f>
      </c>
      <c r="I1226" s="43">
        <f>IF(INDEX(DarlBelegt,3)=0,0,IF(INDEX(DarlOhneTilgung,3)=1,IF(INDEX(DarlBindung,3)="",1,$G1226),IF($J1226&gt;0.005,1,0)))</f>
      </c>
      <c r="J1226" s="43">
        <f>IF($I1225=0,0,$R1225)</f>
      </c>
      <c r="K1226" s="43">
        <f>IF($I1226=0,0,IF(INDEX(DarlOhneTilgung,3)=1,0,IF(AND(INDEX(DarlTilgStart,3)&gt;0,$E1226=INDEX(DarlTilgStart,3)),$J1226*($H1226+INDEX(DarlTilgung,3))/100/12,IF(AND($G1226=0,$G1225=1),MAX($K1225,$J1226*($H1226+1)/100/12),$K1225))))</f>
      </c>
      <c r="L1226" s="43">
        <f>IF($I1226=0,0,$J1226*$H1226/100/12)</f>
      </c>
      <c r="M1226" s="43">
        <f>IF($I1226=0,0,IF(OR(INDEX(DarlOhneTilgung,3)=1,AND(INDEX(DarlTilgStart,3)&gt;0,$E1226&lt;INDEX(DarlTilgStart,3))),0,MIN(MAX(0,$K1226-$L1226),$J1226)))</f>
      </c>
      <c r="N1226" s="43">
        <f>IF($I1226=0,0,MIN(SUMIFS(SondBetrag,SondDarl,3,SondDatum,"&gt;="&amp;$E1226,SondDatum,"&lt;="&amp;EOMONTH($E1226,0)),$J1226-$M1226))</f>
      </c>
      <c r="O1226" s="43">
        <f>IF($I1226=0,0,INDEX(DarlErsatzRate,3))</f>
      </c>
      <c r="P1226" s="43">
        <f>IF($I1226=0,0,$Q1225*INDEX(DarlErsatzZins,3))</f>
      </c>
      <c r="Q1226" s="43">
        <f>IF($I1226=0,0,$Q1225+$P1226+$O1226)</f>
      </c>
      <c r="R1226" s="43">
        <f>IF($I1226=0,0,$J1226-$M1226-$N1226)</f>
      </c>
    </row>
    <row r="1227">
      <c r="A1227"/>
      <c r="B1227">
        <v>3</v>
      </c>
      <c r="C1227" s="43">
        <f>INDEX(DarlObj,3)</f>
      </c>
      <c r="D1227">
        <v>264</v>
      </c>
      <c r="E1227" s="51">
        <f>IF(INDEX(DarlBelegt,3)=0,0,EOMONTH(INDEX(DarlAuszahlung,3),263)+1)</f>
      </c>
      <c r="F1227" s="43">
        <f>IF($E1227=0,0,YEAR($E1227))</f>
      </c>
      <c r="G1227" s="43">
        <f>IF(INDEX(DarlBindung,3)="",1,IF($E1227&lt;=INDEX(DarlBindung,3),1,0))</f>
      </c>
      <c r="H1227" s="43">
        <f>IF($G1227=1,INDEX(DarlSollzins,3),INDEX(DarlAnschluss,3))</f>
      </c>
      <c r="I1227" s="43">
        <f>IF(INDEX(DarlBelegt,3)=0,0,IF(INDEX(DarlOhneTilgung,3)=1,IF(INDEX(DarlBindung,3)="",1,$G1227),IF($J1227&gt;0.005,1,0)))</f>
      </c>
      <c r="J1227" s="43">
        <f>IF($I1226=0,0,$R1226)</f>
      </c>
      <c r="K1227" s="43">
        <f>IF($I1227=0,0,IF(INDEX(DarlOhneTilgung,3)=1,0,IF(AND(INDEX(DarlTilgStart,3)&gt;0,$E1227=INDEX(DarlTilgStart,3)),$J1227*($H1227+INDEX(DarlTilgung,3))/100/12,IF(AND($G1227=0,$G1226=1),MAX($K1226,$J1227*($H1227+1)/100/12),$K1226))))</f>
      </c>
      <c r="L1227" s="43">
        <f>IF($I1227=0,0,$J1227*$H1227/100/12)</f>
      </c>
      <c r="M1227" s="43">
        <f>IF($I1227=0,0,IF(OR(INDEX(DarlOhneTilgung,3)=1,AND(INDEX(DarlTilgStart,3)&gt;0,$E1227&lt;INDEX(DarlTilgStart,3))),0,MIN(MAX(0,$K1227-$L1227),$J1227)))</f>
      </c>
      <c r="N1227" s="43">
        <f>IF($I1227=0,0,MIN(SUMIFS(SondBetrag,SondDarl,3,SondDatum,"&gt;="&amp;$E1227,SondDatum,"&lt;="&amp;EOMONTH($E1227,0)),$J1227-$M1227))</f>
      </c>
      <c r="O1227" s="43">
        <f>IF($I1227=0,0,INDEX(DarlErsatzRate,3))</f>
      </c>
      <c r="P1227" s="43">
        <f>IF($I1227=0,0,$Q1226*INDEX(DarlErsatzZins,3))</f>
      </c>
      <c r="Q1227" s="43">
        <f>IF($I1227=0,0,$Q1226+$P1227+$O1227)</f>
      </c>
      <c r="R1227" s="43">
        <f>IF($I1227=0,0,$J1227-$M1227-$N1227)</f>
      </c>
    </row>
    <row r="1228">
      <c r="A1228"/>
      <c r="B1228">
        <v>3</v>
      </c>
      <c r="C1228" s="43">
        <f>INDEX(DarlObj,3)</f>
      </c>
      <c r="D1228">
        <v>265</v>
      </c>
      <c r="E1228" s="51">
        <f>IF(INDEX(DarlBelegt,3)=0,0,EOMONTH(INDEX(DarlAuszahlung,3),264)+1)</f>
      </c>
      <c r="F1228" s="43">
        <f>IF($E1228=0,0,YEAR($E1228))</f>
      </c>
      <c r="G1228" s="43">
        <f>IF(INDEX(DarlBindung,3)="",1,IF($E1228&lt;=INDEX(DarlBindung,3),1,0))</f>
      </c>
      <c r="H1228" s="43">
        <f>IF($G1228=1,INDEX(DarlSollzins,3),INDEX(DarlAnschluss,3))</f>
      </c>
      <c r="I1228" s="43">
        <f>IF(INDEX(DarlBelegt,3)=0,0,IF(INDEX(DarlOhneTilgung,3)=1,IF(INDEX(DarlBindung,3)="",1,$G1228),IF($J1228&gt;0.005,1,0)))</f>
      </c>
      <c r="J1228" s="43">
        <f>IF($I1227=0,0,$R1227)</f>
      </c>
      <c r="K1228" s="43">
        <f>IF($I1228=0,0,IF(INDEX(DarlOhneTilgung,3)=1,0,IF(AND(INDEX(DarlTilgStart,3)&gt;0,$E1228=INDEX(DarlTilgStart,3)),$J1228*($H1228+INDEX(DarlTilgung,3))/100/12,IF(AND($G1228=0,$G1227=1),MAX($K1227,$J1228*($H1228+1)/100/12),$K1227))))</f>
      </c>
      <c r="L1228" s="43">
        <f>IF($I1228=0,0,$J1228*$H1228/100/12)</f>
      </c>
      <c r="M1228" s="43">
        <f>IF($I1228=0,0,IF(OR(INDEX(DarlOhneTilgung,3)=1,AND(INDEX(DarlTilgStart,3)&gt;0,$E1228&lt;INDEX(DarlTilgStart,3))),0,MIN(MAX(0,$K1228-$L1228),$J1228)))</f>
      </c>
      <c r="N1228" s="43">
        <f>IF($I1228=0,0,MIN(SUMIFS(SondBetrag,SondDarl,3,SondDatum,"&gt;="&amp;$E1228,SondDatum,"&lt;="&amp;EOMONTH($E1228,0)),$J1228-$M1228))</f>
      </c>
      <c r="O1228" s="43">
        <f>IF($I1228=0,0,INDEX(DarlErsatzRate,3))</f>
      </c>
      <c r="P1228" s="43">
        <f>IF($I1228=0,0,$Q1227*INDEX(DarlErsatzZins,3))</f>
      </c>
      <c r="Q1228" s="43">
        <f>IF($I1228=0,0,$Q1227+$P1228+$O1228)</f>
      </c>
      <c r="R1228" s="43">
        <f>IF($I1228=0,0,$J1228-$M1228-$N1228)</f>
      </c>
    </row>
    <row r="1229">
      <c r="A1229"/>
      <c r="B1229">
        <v>3</v>
      </c>
      <c r="C1229" s="43">
        <f>INDEX(DarlObj,3)</f>
      </c>
      <c r="D1229">
        <v>266</v>
      </c>
      <c r="E1229" s="51">
        <f>IF(INDEX(DarlBelegt,3)=0,0,EOMONTH(INDEX(DarlAuszahlung,3),265)+1)</f>
      </c>
      <c r="F1229" s="43">
        <f>IF($E1229=0,0,YEAR($E1229))</f>
      </c>
      <c r="G1229" s="43">
        <f>IF(INDEX(DarlBindung,3)="",1,IF($E1229&lt;=INDEX(DarlBindung,3),1,0))</f>
      </c>
      <c r="H1229" s="43">
        <f>IF($G1229=1,INDEX(DarlSollzins,3),INDEX(DarlAnschluss,3))</f>
      </c>
      <c r="I1229" s="43">
        <f>IF(INDEX(DarlBelegt,3)=0,0,IF(INDEX(DarlOhneTilgung,3)=1,IF(INDEX(DarlBindung,3)="",1,$G1229),IF($J1229&gt;0.005,1,0)))</f>
      </c>
      <c r="J1229" s="43">
        <f>IF($I1228=0,0,$R1228)</f>
      </c>
      <c r="K1229" s="43">
        <f>IF($I1229=0,0,IF(INDEX(DarlOhneTilgung,3)=1,0,IF(AND(INDEX(DarlTilgStart,3)&gt;0,$E1229=INDEX(DarlTilgStart,3)),$J1229*($H1229+INDEX(DarlTilgung,3))/100/12,IF(AND($G1229=0,$G1228=1),MAX($K1228,$J1229*($H1229+1)/100/12),$K1228))))</f>
      </c>
      <c r="L1229" s="43">
        <f>IF($I1229=0,0,$J1229*$H1229/100/12)</f>
      </c>
      <c r="M1229" s="43">
        <f>IF($I1229=0,0,IF(OR(INDEX(DarlOhneTilgung,3)=1,AND(INDEX(DarlTilgStart,3)&gt;0,$E1229&lt;INDEX(DarlTilgStart,3))),0,MIN(MAX(0,$K1229-$L1229),$J1229)))</f>
      </c>
      <c r="N1229" s="43">
        <f>IF($I1229=0,0,MIN(SUMIFS(SondBetrag,SondDarl,3,SondDatum,"&gt;="&amp;$E1229,SondDatum,"&lt;="&amp;EOMONTH($E1229,0)),$J1229-$M1229))</f>
      </c>
      <c r="O1229" s="43">
        <f>IF($I1229=0,0,INDEX(DarlErsatzRate,3))</f>
      </c>
      <c r="P1229" s="43">
        <f>IF($I1229=0,0,$Q1228*INDEX(DarlErsatzZins,3))</f>
      </c>
      <c r="Q1229" s="43">
        <f>IF($I1229=0,0,$Q1228+$P1229+$O1229)</f>
      </c>
      <c r="R1229" s="43">
        <f>IF($I1229=0,0,$J1229-$M1229-$N1229)</f>
      </c>
    </row>
    <row r="1230">
      <c r="A1230"/>
      <c r="B1230">
        <v>3</v>
      </c>
      <c r="C1230" s="43">
        <f>INDEX(DarlObj,3)</f>
      </c>
      <c r="D1230">
        <v>267</v>
      </c>
      <c r="E1230" s="51">
        <f>IF(INDEX(DarlBelegt,3)=0,0,EOMONTH(INDEX(DarlAuszahlung,3),266)+1)</f>
      </c>
      <c r="F1230" s="43">
        <f>IF($E1230=0,0,YEAR($E1230))</f>
      </c>
      <c r="G1230" s="43">
        <f>IF(INDEX(DarlBindung,3)="",1,IF($E1230&lt;=INDEX(DarlBindung,3),1,0))</f>
      </c>
      <c r="H1230" s="43">
        <f>IF($G1230=1,INDEX(DarlSollzins,3),INDEX(DarlAnschluss,3))</f>
      </c>
      <c r="I1230" s="43">
        <f>IF(INDEX(DarlBelegt,3)=0,0,IF(INDEX(DarlOhneTilgung,3)=1,IF(INDEX(DarlBindung,3)="",1,$G1230),IF($J1230&gt;0.005,1,0)))</f>
      </c>
      <c r="J1230" s="43">
        <f>IF($I1229=0,0,$R1229)</f>
      </c>
      <c r="K1230" s="43">
        <f>IF($I1230=0,0,IF(INDEX(DarlOhneTilgung,3)=1,0,IF(AND(INDEX(DarlTilgStart,3)&gt;0,$E1230=INDEX(DarlTilgStart,3)),$J1230*($H1230+INDEX(DarlTilgung,3))/100/12,IF(AND($G1230=0,$G1229=1),MAX($K1229,$J1230*($H1230+1)/100/12),$K1229))))</f>
      </c>
      <c r="L1230" s="43">
        <f>IF($I1230=0,0,$J1230*$H1230/100/12)</f>
      </c>
      <c r="M1230" s="43">
        <f>IF($I1230=0,0,IF(OR(INDEX(DarlOhneTilgung,3)=1,AND(INDEX(DarlTilgStart,3)&gt;0,$E1230&lt;INDEX(DarlTilgStart,3))),0,MIN(MAX(0,$K1230-$L1230),$J1230)))</f>
      </c>
      <c r="N1230" s="43">
        <f>IF($I1230=0,0,MIN(SUMIFS(SondBetrag,SondDarl,3,SondDatum,"&gt;="&amp;$E1230,SondDatum,"&lt;="&amp;EOMONTH($E1230,0)),$J1230-$M1230))</f>
      </c>
      <c r="O1230" s="43">
        <f>IF($I1230=0,0,INDEX(DarlErsatzRate,3))</f>
      </c>
      <c r="P1230" s="43">
        <f>IF($I1230=0,0,$Q1229*INDEX(DarlErsatzZins,3))</f>
      </c>
      <c r="Q1230" s="43">
        <f>IF($I1230=0,0,$Q1229+$P1230+$O1230)</f>
      </c>
      <c r="R1230" s="43">
        <f>IF($I1230=0,0,$J1230-$M1230-$N1230)</f>
      </c>
    </row>
    <row r="1231">
      <c r="A1231"/>
      <c r="B1231">
        <v>3</v>
      </c>
      <c r="C1231" s="43">
        <f>INDEX(DarlObj,3)</f>
      </c>
      <c r="D1231">
        <v>268</v>
      </c>
      <c r="E1231" s="51">
        <f>IF(INDEX(DarlBelegt,3)=0,0,EOMONTH(INDEX(DarlAuszahlung,3),267)+1)</f>
      </c>
      <c r="F1231" s="43">
        <f>IF($E1231=0,0,YEAR($E1231))</f>
      </c>
      <c r="G1231" s="43">
        <f>IF(INDEX(DarlBindung,3)="",1,IF($E1231&lt;=INDEX(DarlBindung,3),1,0))</f>
      </c>
      <c r="H1231" s="43">
        <f>IF($G1231=1,INDEX(DarlSollzins,3),INDEX(DarlAnschluss,3))</f>
      </c>
      <c r="I1231" s="43">
        <f>IF(INDEX(DarlBelegt,3)=0,0,IF(INDEX(DarlOhneTilgung,3)=1,IF(INDEX(DarlBindung,3)="",1,$G1231),IF($J1231&gt;0.005,1,0)))</f>
      </c>
      <c r="J1231" s="43">
        <f>IF($I1230=0,0,$R1230)</f>
      </c>
      <c r="K1231" s="43">
        <f>IF($I1231=0,0,IF(INDEX(DarlOhneTilgung,3)=1,0,IF(AND(INDEX(DarlTilgStart,3)&gt;0,$E1231=INDEX(DarlTilgStart,3)),$J1231*($H1231+INDEX(DarlTilgung,3))/100/12,IF(AND($G1231=0,$G1230=1),MAX($K1230,$J1231*($H1231+1)/100/12),$K1230))))</f>
      </c>
      <c r="L1231" s="43">
        <f>IF($I1231=0,0,$J1231*$H1231/100/12)</f>
      </c>
      <c r="M1231" s="43">
        <f>IF($I1231=0,0,IF(OR(INDEX(DarlOhneTilgung,3)=1,AND(INDEX(DarlTilgStart,3)&gt;0,$E1231&lt;INDEX(DarlTilgStart,3))),0,MIN(MAX(0,$K1231-$L1231),$J1231)))</f>
      </c>
      <c r="N1231" s="43">
        <f>IF($I1231=0,0,MIN(SUMIFS(SondBetrag,SondDarl,3,SondDatum,"&gt;="&amp;$E1231,SondDatum,"&lt;="&amp;EOMONTH($E1231,0)),$J1231-$M1231))</f>
      </c>
      <c r="O1231" s="43">
        <f>IF($I1231=0,0,INDEX(DarlErsatzRate,3))</f>
      </c>
      <c r="P1231" s="43">
        <f>IF($I1231=0,0,$Q1230*INDEX(DarlErsatzZins,3))</f>
      </c>
      <c r="Q1231" s="43">
        <f>IF($I1231=0,0,$Q1230+$P1231+$O1231)</f>
      </c>
      <c r="R1231" s="43">
        <f>IF($I1231=0,0,$J1231-$M1231-$N1231)</f>
      </c>
    </row>
    <row r="1232">
      <c r="A1232"/>
      <c r="B1232">
        <v>3</v>
      </c>
      <c r="C1232" s="43">
        <f>INDEX(DarlObj,3)</f>
      </c>
      <c r="D1232">
        <v>269</v>
      </c>
      <c r="E1232" s="51">
        <f>IF(INDEX(DarlBelegt,3)=0,0,EOMONTH(INDEX(DarlAuszahlung,3),268)+1)</f>
      </c>
      <c r="F1232" s="43">
        <f>IF($E1232=0,0,YEAR($E1232))</f>
      </c>
      <c r="G1232" s="43">
        <f>IF(INDEX(DarlBindung,3)="",1,IF($E1232&lt;=INDEX(DarlBindung,3),1,0))</f>
      </c>
      <c r="H1232" s="43">
        <f>IF($G1232=1,INDEX(DarlSollzins,3),INDEX(DarlAnschluss,3))</f>
      </c>
      <c r="I1232" s="43">
        <f>IF(INDEX(DarlBelegt,3)=0,0,IF(INDEX(DarlOhneTilgung,3)=1,IF(INDEX(DarlBindung,3)="",1,$G1232),IF($J1232&gt;0.005,1,0)))</f>
      </c>
      <c r="J1232" s="43">
        <f>IF($I1231=0,0,$R1231)</f>
      </c>
      <c r="K1232" s="43">
        <f>IF($I1232=0,0,IF(INDEX(DarlOhneTilgung,3)=1,0,IF(AND(INDEX(DarlTilgStart,3)&gt;0,$E1232=INDEX(DarlTilgStart,3)),$J1232*($H1232+INDEX(DarlTilgung,3))/100/12,IF(AND($G1232=0,$G1231=1),MAX($K1231,$J1232*($H1232+1)/100/12),$K1231))))</f>
      </c>
      <c r="L1232" s="43">
        <f>IF($I1232=0,0,$J1232*$H1232/100/12)</f>
      </c>
      <c r="M1232" s="43">
        <f>IF($I1232=0,0,IF(OR(INDEX(DarlOhneTilgung,3)=1,AND(INDEX(DarlTilgStart,3)&gt;0,$E1232&lt;INDEX(DarlTilgStart,3))),0,MIN(MAX(0,$K1232-$L1232),$J1232)))</f>
      </c>
      <c r="N1232" s="43">
        <f>IF($I1232=0,0,MIN(SUMIFS(SondBetrag,SondDarl,3,SondDatum,"&gt;="&amp;$E1232,SondDatum,"&lt;="&amp;EOMONTH($E1232,0)),$J1232-$M1232))</f>
      </c>
      <c r="O1232" s="43">
        <f>IF($I1232=0,0,INDEX(DarlErsatzRate,3))</f>
      </c>
      <c r="P1232" s="43">
        <f>IF($I1232=0,0,$Q1231*INDEX(DarlErsatzZins,3))</f>
      </c>
      <c r="Q1232" s="43">
        <f>IF($I1232=0,0,$Q1231+$P1232+$O1232)</f>
      </c>
      <c r="R1232" s="43">
        <f>IF($I1232=0,0,$J1232-$M1232-$N1232)</f>
      </c>
    </row>
    <row r="1233">
      <c r="A1233"/>
      <c r="B1233">
        <v>3</v>
      </c>
      <c r="C1233" s="43">
        <f>INDEX(DarlObj,3)</f>
      </c>
      <c r="D1233">
        <v>270</v>
      </c>
      <c r="E1233" s="51">
        <f>IF(INDEX(DarlBelegt,3)=0,0,EOMONTH(INDEX(DarlAuszahlung,3),269)+1)</f>
      </c>
      <c r="F1233" s="43">
        <f>IF($E1233=0,0,YEAR($E1233))</f>
      </c>
      <c r="G1233" s="43">
        <f>IF(INDEX(DarlBindung,3)="",1,IF($E1233&lt;=INDEX(DarlBindung,3),1,0))</f>
      </c>
      <c r="H1233" s="43">
        <f>IF($G1233=1,INDEX(DarlSollzins,3),INDEX(DarlAnschluss,3))</f>
      </c>
      <c r="I1233" s="43">
        <f>IF(INDEX(DarlBelegt,3)=0,0,IF(INDEX(DarlOhneTilgung,3)=1,IF(INDEX(DarlBindung,3)="",1,$G1233),IF($J1233&gt;0.005,1,0)))</f>
      </c>
      <c r="J1233" s="43">
        <f>IF($I1232=0,0,$R1232)</f>
      </c>
      <c r="K1233" s="43">
        <f>IF($I1233=0,0,IF(INDEX(DarlOhneTilgung,3)=1,0,IF(AND(INDEX(DarlTilgStart,3)&gt;0,$E1233=INDEX(DarlTilgStart,3)),$J1233*($H1233+INDEX(DarlTilgung,3))/100/12,IF(AND($G1233=0,$G1232=1),MAX($K1232,$J1233*($H1233+1)/100/12),$K1232))))</f>
      </c>
      <c r="L1233" s="43">
        <f>IF($I1233=0,0,$J1233*$H1233/100/12)</f>
      </c>
      <c r="M1233" s="43">
        <f>IF($I1233=0,0,IF(OR(INDEX(DarlOhneTilgung,3)=1,AND(INDEX(DarlTilgStart,3)&gt;0,$E1233&lt;INDEX(DarlTilgStart,3))),0,MIN(MAX(0,$K1233-$L1233),$J1233)))</f>
      </c>
      <c r="N1233" s="43">
        <f>IF($I1233=0,0,MIN(SUMIFS(SondBetrag,SondDarl,3,SondDatum,"&gt;="&amp;$E1233,SondDatum,"&lt;="&amp;EOMONTH($E1233,0)),$J1233-$M1233))</f>
      </c>
      <c r="O1233" s="43">
        <f>IF($I1233=0,0,INDEX(DarlErsatzRate,3))</f>
      </c>
      <c r="P1233" s="43">
        <f>IF($I1233=0,0,$Q1232*INDEX(DarlErsatzZins,3))</f>
      </c>
      <c r="Q1233" s="43">
        <f>IF($I1233=0,0,$Q1232+$P1233+$O1233)</f>
      </c>
      <c r="R1233" s="43">
        <f>IF($I1233=0,0,$J1233-$M1233-$N1233)</f>
      </c>
    </row>
    <row r="1234">
      <c r="A1234"/>
      <c r="B1234">
        <v>3</v>
      </c>
      <c r="C1234" s="43">
        <f>INDEX(DarlObj,3)</f>
      </c>
      <c r="D1234">
        <v>271</v>
      </c>
      <c r="E1234" s="51">
        <f>IF(INDEX(DarlBelegt,3)=0,0,EOMONTH(INDEX(DarlAuszahlung,3),270)+1)</f>
      </c>
      <c r="F1234" s="43">
        <f>IF($E1234=0,0,YEAR($E1234))</f>
      </c>
      <c r="G1234" s="43">
        <f>IF(INDEX(DarlBindung,3)="",1,IF($E1234&lt;=INDEX(DarlBindung,3),1,0))</f>
      </c>
      <c r="H1234" s="43">
        <f>IF($G1234=1,INDEX(DarlSollzins,3),INDEX(DarlAnschluss,3))</f>
      </c>
      <c r="I1234" s="43">
        <f>IF(INDEX(DarlBelegt,3)=0,0,IF(INDEX(DarlOhneTilgung,3)=1,IF(INDEX(DarlBindung,3)="",1,$G1234),IF($J1234&gt;0.005,1,0)))</f>
      </c>
      <c r="J1234" s="43">
        <f>IF($I1233=0,0,$R1233)</f>
      </c>
      <c r="K1234" s="43">
        <f>IF($I1234=0,0,IF(INDEX(DarlOhneTilgung,3)=1,0,IF(AND(INDEX(DarlTilgStart,3)&gt;0,$E1234=INDEX(DarlTilgStart,3)),$J1234*($H1234+INDEX(DarlTilgung,3))/100/12,IF(AND($G1234=0,$G1233=1),MAX($K1233,$J1234*($H1234+1)/100/12),$K1233))))</f>
      </c>
      <c r="L1234" s="43">
        <f>IF($I1234=0,0,$J1234*$H1234/100/12)</f>
      </c>
      <c r="M1234" s="43">
        <f>IF($I1234=0,0,IF(OR(INDEX(DarlOhneTilgung,3)=1,AND(INDEX(DarlTilgStart,3)&gt;0,$E1234&lt;INDEX(DarlTilgStart,3))),0,MIN(MAX(0,$K1234-$L1234),$J1234)))</f>
      </c>
      <c r="N1234" s="43">
        <f>IF($I1234=0,0,MIN(SUMIFS(SondBetrag,SondDarl,3,SondDatum,"&gt;="&amp;$E1234,SondDatum,"&lt;="&amp;EOMONTH($E1234,0)),$J1234-$M1234))</f>
      </c>
      <c r="O1234" s="43">
        <f>IF($I1234=0,0,INDEX(DarlErsatzRate,3))</f>
      </c>
      <c r="P1234" s="43">
        <f>IF($I1234=0,0,$Q1233*INDEX(DarlErsatzZins,3))</f>
      </c>
      <c r="Q1234" s="43">
        <f>IF($I1234=0,0,$Q1233+$P1234+$O1234)</f>
      </c>
      <c r="R1234" s="43">
        <f>IF($I1234=0,0,$J1234-$M1234-$N1234)</f>
      </c>
    </row>
    <row r="1235">
      <c r="A1235"/>
      <c r="B1235">
        <v>3</v>
      </c>
      <c r="C1235" s="43">
        <f>INDEX(DarlObj,3)</f>
      </c>
      <c r="D1235">
        <v>272</v>
      </c>
      <c r="E1235" s="51">
        <f>IF(INDEX(DarlBelegt,3)=0,0,EOMONTH(INDEX(DarlAuszahlung,3),271)+1)</f>
      </c>
      <c r="F1235" s="43">
        <f>IF($E1235=0,0,YEAR($E1235))</f>
      </c>
      <c r="G1235" s="43">
        <f>IF(INDEX(DarlBindung,3)="",1,IF($E1235&lt;=INDEX(DarlBindung,3),1,0))</f>
      </c>
      <c r="H1235" s="43">
        <f>IF($G1235=1,INDEX(DarlSollzins,3),INDEX(DarlAnschluss,3))</f>
      </c>
      <c r="I1235" s="43">
        <f>IF(INDEX(DarlBelegt,3)=0,0,IF(INDEX(DarlOhneTilgung,3)=1,IF(INDEX(DarlBindung,3)="",1,$G1235),IF($J1235&gt;0.005,1,0)))</f>
      </c>
      <c r="J1235" s="43">
        <f>IF($I1234=0,0,$R1234)</f>
      </c>
      <c r="K1235" s="43">
        <f>IF($I1235=0,0,IF(INDEX(DarlOhneTilgung,3)=1,0,IF(AND(INDEX(DarlTilgStart,3)&gt;0,$E1235=INDEX(DarlTilgStart,3)),$J1235*($H1235+INDEX(DarlTilgung,3))/100/12,IF(AND($G1235=0,$G1234=1),MAX($K1234,$J1235*($H1235+1)/100/12),$K1234))))</f>
      </c>
      <c r="L1235" s="43">
        <f>IF($I1235=0,0,$J1235*$H1235/100/12)</f>
      </c>
      <c r="M1235" s="43">
        <f>IF($I1235=0,0,IF(OR(INDEX(DarlOhneTilgung,3)=1,AND(INDEX(DarlTilgStart,3)&gt;0,$E1235&lt;INDEX(DarlTilgStart,3))),0,MIN(MAX(0,$K1235-$L1235),$J1235)))</f>
      </c>
      <c r="N1235" s="43">
        <f>IF($I1235=0,0,MIN(SUMIFS(SondBetrag,SondDarl,3,SondDatum,"&gt;="&amp;$E1235,SondDatum,"&lt;="&amp;EOMONTH($E1235,0)),$J1235-$M1235))</f>
      </c>
      <c r="O1235" s="43">
        <f>IF($I1235=0,0,INDEX(DarlErsatzRate,3))</f>
      </c>
      <c r="P1235" s="43">
        <f>IF($I1235=0,0,$Q1234*INDEX(DarlErsatzZins,3))</f>
      </c>
      <c r="Q1235" s="43">
        <f>IF($I1235=0,0,$Q1234+$P1235+$O1235)</f>
      </c>
      <c r="R1235" s="43">
        <f>IF($I1235=0,0,$J1235-$M1235-$N1235)</f>
      </c>
    </row>
    <row r="1236">
      <c r="A1236"/>
      <c r="B1236">
        <v>3</v>
      </c>
      <c r="C1236" s="43">
        <f>INDEX(DarlObj,3)</f>
      </c>
      <c r="D1236">
        <v>273</v>
      </c>
      <c r="E1236" s="51">
        <f>IF(INDEX(DarlBelegt,3)=0,0,EOMONTH(INDEX(DarlAuszahlung,3),272)+1)</f>
      </c>
      <c r="F1236" s="43">
        <f>IF($E1236=0,0,YEAR($E1236))</f>
      </c>
      <c r="G1236" s="43">
        <f>IF(INDEX(DarlBindung,3)="",1,IF($E1236&lt;=INDEX(DarlBindung,3),1,0))</f>
      </c>
      <c r="H1236" s="43">
        <f>IF($G1236=1,INDEX(DarlSollzins,3),INDEX(DarlAnschluss,3))</f>
      </c>
      <c r="I1236" s="43">
        <f>IF(INDEX(DarlBelegt,3)=0,0,IF(INDEX(DarlOhneTilgung,3)=1,IF(INDEX(DarlBindung,3)="",1,$G1236),IF($J1236&gt;0.005,1,0)))</f>
      </c>
      <c r="J1236" s="43">
        <f>IF($I1235=0,0,$R1235)</f>
      </c>
      <c r="K1236" s="43">
        <f>IF($I1236=0,0,IF(INDEX(DarlOhneTilgung,3)=1,0,IF(AND(INDEX(DarlTilgStart,3)&gt;0,$E1236=INDEX(DarlTilgStart,3)),$J1236*($H1236+INDEX(DarlTilgung,3))/100/12,IF(AND($G1236=0,$G1235=1),MAX($K1235,$J1236*($H1236+1)/100/12),$K1235))))</f>
      </c>
      <c r="L1236" s="43">
        <f>IF($I1236=0,0,$J1236*$H1236/100/12)</f>
      </c>
      <c r="M1236" s="43">
        <f>IF($I1236=0,0,IF(OR(INDEX(DarlOhneTilgung,3)=1,AND(INDEX(DarlTilgStart,3)&gt;0,$E1236&lt;INDEX(DarlTilgStart,3))),0,MIN(MAX(0,$K1236-$L1236),$J1236)))</f>
      </c>
      <c r="N1236" s="43">
        <f>IF($I1236=0,0,MIN(SUMIFS(SondBetrag,SondDarl,3,SondDatum,"&gt;="&amp;$E1236,SondDatum,"&lt;="&amp;EOMONTH($E1236,0)),$J1236-$M1236))</f>
      </c>
      <c r="O1236" s="43">
        <f>IF($I1236=0,0,INDEX(DarlErsatzRate,3))</f>
      </c>
      <c r="P1236" s="43">
        <f>IF($I1236=0,0,$Q1235*INDEX(DarlErsatzZins,3))</f>
      </c>
      <c r="Q1236" s="43">
        <f>IF($I1236=0,0,$Q1235+$P1236+$O1236)</f>
      </c>
      <c r="R1236" s="43">
        <f>IF($I1236=0,0,$J1236-$M1236-$N1236)</f>
      </c>
    </row>
    <row r="1237">
      <c r="A1237"/>
      <c r="B1237">
        <v>3</v>
      </c>
      <c r="C1237" s="43">
        <f>INDEX(DarlObj,3)</f>
      </c>
      <c r="D1237">
        <v>274</v>
      </c>
      <c r="E1237" s="51">
        <f>IF(INDEX(DarlBelegt,3)=0,0,EOMONTH(INDEX(DarlAuszahlung,3),273)+1)</f>
      </c>
      <c r="F1237" s="43">
        <f>IF($E1237=0,0,YEAR($E1237))</f>
      </c>
      <c r="G1237" s="43">
        <f>IF(INDEX(DarlBindung,3)="",1,IF($E1237&lt;=INDEX(DarlBindung,3),1,0))</f>
      </c>
      <c r="H1237" s="43">
        <f>IF($G1237=1,INDEX(DarlSollzins,3),INDEX(DarlAnschluss,3))</f>
      </c>
      <c r="I1237" s="43">
        <f>IF(INDEX(DarlBelegt,3)=0,0,IF(INDEX(DarlOhneTilgung,3)=1,IF(INDEX(DarlBindung,3)="",1,$G1237),IF($J1237&gt;0.005,1,0)))</f>
      </c>
      <c r="J1237" s="43">
        <f>IF($I1236=0,0,$R1236)</f>
      </c>
      <c r="K1237" s="43">
        <f>IF($I1237=0,0,IF(INDEX(DarlOhneTilgung,3)=1,0,IF(AND(INDEX(DarlTilgStart,3)&gt;0,$E1237=INDEX(DarlTilgStart,3)),$J1237*($H1237+INDEX(DarlTilgung,3))/100/12,IF(AND($G1237=0,$G1236=1),MAX($K1236,$J1237*($H1237+1)/100/12),$K1236))))</f>
      </c>
      <c r="L1237" s="43">
        <f>IF($I1237=0,0,$J1237*$H1237/100/12)</f>
      </c>
      <c r="M1237" s="43">
        <f>IF($I1237=0,0,IF(OR(INDEX(DarlOhneTilgung,3)=1,AND(INDEX(DarlTilgStart,3)&gt;0,$E1237&lt;INDEX(DarlTilgStart,3))),0,MIN(MAX(0,$K1237-$L1237),$J1237)))</f>
      </c>
      <c r="N1237" s="43">
        <f>IF($I1237=0,0,MIN(SUMIFS(SondBetrag,SondDarl,3,SondDatum,"&gt;="&amp;$E1237,SondDatum,"&lt;="&amp;EOMONTH($E1237,0)),$J1237-$M1237))</f>
      </c>
      <c r="O1237" s="43">
        <f>IF($I1237=0,0,INDEX(DarlErsatzRate,3))</f>
      </c>
      <c r="P1237" s="43">
        <f>IF($I1237=0,0,$Q1236*INDEX(DarlErsatzZins,3))</f>
      </c>
      <c r="Q1237" s="43">
        <f>IF($I1237=0,0,$Q1236+$P1237+$O1237)</f>
      </c>
      <c r="R1237" s="43">
        <f>IF($I1237=0,0,$J1237-$M1237-$N1237)</f>
      </c>
    </row>
    <row r="1238">
      <c r="A1238"/>
      <c r="B1238">
        <v>3</v>
      </c>
      <c r="C1238" s="43">
        <f>INDEX(DarlObj,3)</f>
      </c>
      <c r="D1238">
        <v>275</v>
      </c>
      <c r="E1238" s="51">
        <f>IF(INDEX(DarlBelegt,3)=0,0,EOMONTH(INDEX(DarlAuszahlung,3),274)+1)</f>
      </c>
      <c r="F1238" s="43">
        <f>IF($E1238=0,0,YEAR($E1238))</f>
      </c>
      <c r="G1238" s="43">
        <f>IF(INDEX(DarlBindung,3)="",1,IF($E1238&lt;=INDEX(DarlBindung,3),1,0))</f>
      </c>
      <c r="H1238" s="43">
        <f>IF($G1238=1,INDEX(DarlSollzins,3),INDEX(DarlAnschluss,3))</f>
      </c>
      <c r="I1238" s="43">
        <f>IF(INDEX(DarlBelegt,3)=0,0,IF(INDEX(DarlOhneTilgung,3)=1,IF(INDEX(DarlBindung,3)="",1,$G1238),IF($J1238&gt;0.005,1,0)))</f>
      </c>
      <c r="J1238" s="43">
        <f>IF($I1237=0,0,$R1237)</f>
      </c>
      <c r="K1238" s="43">
        <f>IF($I1238=0,0,IF(INDEX(DarlOhneTilgung,3)=1,0,IF(AND(INDEX(DarlTilgStart,3)&gt;0,$E1238=INDEX(DarlTilgStart,3)),$J1238*($H1238+INDEX(DarlTilgung,3))/100/12,IF(AND($G1238=0,$G1237=1),MAX($K1237,$J1238*($H1238+1)/100/12),$K1237))))</f>
      </c>
      <c r="L1238" s="43">
        <f>IF($I1238=0,0,$J1238*$H1238/100/12)</f>
      </c>
      <c r="M1238" s="43">
        <f>IF($I1238=0,0,IF(OR(INDEX(DarlOhneTilgung,3)=1,AND(INDEX(DarlTilgStart,3)&gt;0,$E1238&lt;INDEX(DarlTilgStart,3))),0,MIN(MAX(0,$K1238-$L1238),$J1238)))</f>
      </c>
      <c r="N1238" s="43">
        <f>IF($I1238=0,0,MIN(SUMIFS(SondBetrag,SondDarl,3,SondDatum,"&gt;="&amp;$E1238,SondDatum,"&lt;="&amp;EOMONTH($E1238,0)),$J1238-$M1238))</f>
      </c>
      <c r="O1238" s="43">
        <f>IF($I1238=0,0,INDEX(DarlErsatzRate,3))</f>
      </c>
      <c r="P1238" s="43">
        <f>IF($I1238=0,0,$Q1237*INDEX(DarlErsatzZins,3))</f>
      </c>
      <c r="Q1238" s="43">
        <f>IF($I1238=0,0,$Q1237+$P1238+$O1238)</f>
      </c>
      <c r="R1238" s="43">
        <f>IF($I1238=0,0,$J1238-$M1238-$N1238)</f>
      </c>
    </row>
    <row r="1239">
      <c r="A1239"/>
      <c r="B1239">
        <v>3</v>
      </c>
      <c r="C1239" s="43">
        <f>INDEX(DarlObj,3)</f>
      </c>
      <c r="D1239">
        <v>276</v>
      </c>
      <c r="E1239" s="51">
        <f>IF(INDEX(DarlBelegt,3)=0,0,EOMONTH(INDEX(DarlAuszahlung,3),275)+1)</f>
      </c>
      <c r="F1239" s="43">
        <f>IF($E1239=0,0,YEAR($E1239))</f>
      </c>
      <c r="G1239" s="43">
        <f>IF(INDEX(DarlBindung,3)="",1,IF($E1239&lt;=INDEX(DarlBindung,3),1,0))</f>
      </c>
      <c r="H1239" s="43">
        <f>IF($G1239=1,INDEX(DarlSollzins,3),INDEX(DarlAnschluss,3))</f>
      </c>
      <c r="I1239" s="43">
        <f>IF(INDEX(DarlBelegt,3)=0,0,IF(INDEX(DarlOhneTilgung,3)=1,IF(INDEX(DarlBindung,3)="",1,$G1239),IF($J1239&gt;0.005,1,0)))</f>
      </c>
      <c r="J1239" s="43">
        <f>IF($I1238=0,0,$R1238)</f>
      </c>
      <c r="K1239" s="43">
        <f>IF($I1239=0,0,IF(INDEX(DarlOhneTilgung,3)=1,0,IF(AND(INDEX(DarlTilgStart,3)&gt;0,$E1239=INDEX(DarlTilgStart,3)),$J1239*($H1239+INDEX(DarlTilgung,3))/100/12,IF(AND($G1239=0,$G1238=1),MAX($K1238,$J1239*($H1239+1)/100/12),$K1238))))</f>
      </c>
      <c r="L1239" s="43">
        <f>IF($I1239=0,0,$J1239*$H1239/100/12)</f>
      </c>
      <c r="M1239" s="43">
        <f>IF($I1239=0,0,IF(OR(INDEX(DarlOhneTilgung,3)=1,AND(INDEX(DarlTilgStart,3)&gt;0,$E1239&lt;INDEX(DarlTilgStart,3))),0,MIN(MAX(0,$K1239-$L1239),$J1239)))</f>
      </c>
      <c r="N1239" s="43">
        <f>IF($I1239=0,0,MIN(SUMIFS(SondBetrag,SondDarl,3,SondDatum,"&gt;="&amp;$E1239,SondDatum,"&lt;="&amp;EOMONTH($E1239,0)),$J1239-$M1239))</f>
      </c>
      <c r="O1239" s="43">
        <f>IF($I1239=0,0,INDEX(DarlErsatzRate,3))</f>
      </c>
      <c r="P1239" s="43">
        <f>IF($I1239=0,0,$Q1238*INDEX(DarlErsatzZins,3))</f>
      </c>
      <c r="Q1239" s="43">
        <f>IF($I1239=0,0,$Q1238+$P1239+$O1239)</f>
      </c>
      <c r="R1239" s="43">
        <f>IF($I1239=0,0,$J1239-$M1239-$N1239)</f>
      </c>
    </row>
    <row r="1240">
      <c r="A1240"/>
      <c r="B1240">
        <v>3</v>
      </c>
      <c r="C1240" s="43">
        <f>INDEX(DarlObj,3)</f>
      </c>
      <c r="D1240">
        <v>277</v>
      </c>
      <c r="E1240" s="51">
        <f>IF(INDEX(DarlBelegt,3)=0,0,EOMONTH(INDEX(DarlAuszahlung,3),276)+1)</f>
      </c>
      <c r="F1240" s="43">
        <f>IF($E1240=0,0,YEAR($E1240))</f>
      </c>
      <c r="G1240" s="43">
        <f>IF(INDEX(DarlBindung,3)="",1,IF($E1240&lt;=INDEX(DarlBindung,3),1,0))</f>
      </c>
      <c r="H1240" s="43">
        <f>IF($G1240=1,INDEX(DarlSollzins,3),INDEX(DarlAnschluss,3))</f>
      </c>
      <c r="I1240" s="43">
        <f>IF(INDEX(DarlBelegt,3)=0,0,IF(INDEX(DarlOhneTilgung,3)=1,IF(INDEX(DarlBindung,3)="",1,$G1240),IF($J1240&gt;0.005,1,0)))</f>
      </c>
      <c r="J1240" s="43">
        <f>IF($I1239=0,0,$R1239)</f>
      </c>
      <c r="K1240" s="43">
        <f>IF($I1240=0,0,IF(INDEX(DarlOhneTilgung,3)=1,0,IF(AND(INDEX(DarlTilgStart,3)&gt;0,$E1240=INDEX(DarlTilgStart,3)),$J1240*($H1240+INDEX(DarlTilgung,3))/100/12,IF(AND($G1240=0,$G1239=1),MAX($K1239,$J1240*($H1240+1)/100/12),$K1239))))</f>
      </c>
      <c r="L1240" s="43">
        <f>IF($I1240=0,0,$J1240*$H1240/100/12)</f>
      </c>
      <c r="M1240" s="43">
        <f>IF($I1240=0,0,IF(OR(INDEX(DarlOhneTilgung,3)=1,AND(INDEX(DarlTilgStart,3)&gt;0,$E1240&lt;INDEX(DarlTilgStart,3))),0,MIN(MAX(0,$K1240-$L1240),$J1240)))</f>
      </c>
      <c r="N1240" s="43">
        <f>IF($I1240=0,0,MIN(SUMIFS(SondBetrag,SondDarl,3,SondDatum,"&gt;="&amp;$E1240,SondDatum,"&lt;="&amp;EOMONTH($E1240,0)),$J1240-$M1240))</f>
      </c>
      <c r="O1240" s="43">
        <f>IF($I1240=0,0,INDEX(DarlErsatzRate,3))</f>
      </c>
      <c r="P1240" s="43">
        <f>IF($I1240=0,0,$Q1239*INDEX(DarlErsatzZins,3))</f>
      </c>
      <c r="Q1240" s="43">
        <f>IF($I1240=0,0,$Q1239+$P1240+$O1240)</f>
      </c>
      <c r="R1240" s="43">
        <f>IF($I1240=0,0,$J1240-$M1240-$N1240)</f>
      </c>
    </row>
    <row r="1241">
      <c r="A1241"/>
      <c r="B1241">
        <v>3</v>
      </c>
      <c r="C1241" s="43">
        <f>INDEX(DarlObj,3)</f>
      </c>
      <c r="D1241">
        <v>278</v>
      </c>
      <c r="E1241" s="51">
        <f>IF(INDEX(DarlBelegt,3)=0,0,EOMONTH(INDEX(DarlAuszahlung,3),277)+1)</f>
      </c>
      <c r="F1241" s="43">
        <f>IF($E1241=0,0,YEAR($E1241))</f>
      </c>
      <c r="G1241" s="43">
        <f>IF(INDEX(DarlBindung,3)="",1,IF($E1241&lt;=INDEX(DarlBindung,3),1,0))</f>
      </c>
      <c r="H1241" s="43">
        <f>IF($G1241=1,INDEX(DarlSollzins,3),INDEX(DarlAnschluss,3))</f>
      </c>
      <c r="I1241" s="43">
        <f>IF(INDEX(DarlBelegt,3)=0,0,IF(INDEX(DarlOhneTilgung,3)=1,IF(INDEX(DarlBindung,3)="",1,$G1241),IF($J1241&gt;0.005,1,0)))</f>
      </c>
      <c r="J1241" s="43">
        <f>IF($I1240=0,0,$R1240)</f>
      </c>
      <c r="K1241" s="43">
        <f>IF($I1241=0,0,IF(INDEX(DarlOhneTilgung,3)=1,0,IF(AND(INDEX(DarlTilgStart,3)&gt;0,$E1241=INDEX(DarlTilgStart,3)),$J1241*($H1241+INDEX(DarlTilgung,3))/100/12,IF(AND($G1241=0,$G1240=1),MAX($K1240,$J1241*($H1241+1)/100/12),$K1240))))</f>
      </c>
      <c r="L1241" s="43">
        <f>IF($I1241=0,0,$J1241*$H1241/100/12)</f>
      </c>
      <c r="M1241" s="43">
        <f>IF($I1241=0,0,IF(OR(INDEX(DarlOhneTilgung,3)=1,AND(INDEX(DarlTilgStart,3)&gt;0,$E1241&lt;INDEX(DarlTilgStart,3))),0,MIN(MAX(0,$K1241-$L1241),$J1241)))</f>
      </c>
      <c r="N1241" s="43">
        <f>IF($I1241=0,0,MIN(SUMIFS(SondBetrag,SondDarl,3,SondDatum,"&gt;="&amp;$E1241,SondDatum,"&lt;="&amp;EOMONTH($E1241,0)),$J1241-$M1241))</f>
      </c>
      <c r="O1241" s="43">
        <f>IF($I1241=0,0,INDEX(DarlErsatzRate,3))</f>
      </c>
      <c r="P1241" s="43">
        <f>IF($I1241=0,0,$Q1240*INDEX(DarlErsatzZins,3))</f>
      </c>
      <c r="Q1241" s="43">
        <f>IF($I1241=0,0,$Q1240+$P1241+$O1241)</f>
      </c>
      <c r="R1241" s="43">
        <f>IF($I1241=0,0,$J1241-$M1241-$N1241)</f>
      </c>
    </row>
    <row r="1242">
      <c r="A1242"/>
      <c r="B1242">
        <v>3</v>
      </c>
      <c r="C1242" s="43">
        <f>INDEX(DarlObj,3)</f>
      </c>
      <c r="D1242">
        <v>279</v>
      </c>
      <c r="E1242" s="51">
        <f>IF(INDEX(DarlBelegt,3)=0,0,EOMONTH(INDEX(DarlAuszahlung,3),278)+1)</f>
      </c>
      <c r="F1242" s="43">
        <f>IF($E1242=0,0,YEAR($E1242))</f>
      </c>
      <c r="G1242" s="43">
        <f>IF(INDEX(DarlBindung,3)="",1,IF($E1242&lt;=INDEX(DarlBindung,3),1,0))</f>
      </c>
      <c r="H1242" s="43">
        <f>IF($G1242=1,INDEX(DarlSollzins,3),INDEX(DarlAnschluss,3))</f>
      </c>
      <c r="I1242" s="43">
        <f>IF(INDEX(DarlBelegt,3)=0,0,IF(INDEX(DarlOhneTilgung,3)=1,IF(INDEX(DarlBindung,3)="",1,$G1242),IF($J1242&gt;0.005,1,0)))</f>
      </c>
      <c r="J1242" s="43">
        <f>IF($I1241=0,0,$R1241)</f>
      </c>
      <c r="K1242" s="43">
        <f>IF($I1242=0,0,IF(INDEX(DarlOhneTilgung,3)=1,0,IF(AND(INDEX(DarlTilgStart,3)&gt;0,$E1242=INDEX(DarlTilgStart,3)),$J1242*($H1242+INDEX(DarlTilgung,3))/100/12,IF(AND($G1242=0,$G1241=1),MAX($K1241,$J1242*($H1242+1)/100/12),$K1241))))</f>
      </c>
      <c r="L1242" s="43">
        <f>IF($I1242=0,0,$J1242*$H1242/100/12)</f>
      </c>
      <c r="M1242" s="43">
        <f>IF($I1242=0,0,IF(OR(INDEX(DarlOhneTilgung,3)=1,AND(INDEX(DarlTilgStart,3)&gt;0,$E1242&lt;INDEX(DarlTilgStart,3))),0,MIN(MAX(0,$K1242-$L1242),$J1242)))</f>
      </c>
      <c r="N1242" s="43">
        <f>IF($I1242=0,0,MIN(SUMIFS(SondBetrag,SondDarl,3,SondDatum,"&gt;="&amp;$E1242,SondDatum,"&lt;="&amp;EOMONTH($E1242,0)),$J1242-$M1242))</f>
      </c>
      <c r="O1242" s="43">
        <f>IF($I1242=0,0,INDEX(DarlErsatzRate,3))</f>
      </c>
      <c r="P1242" s="43">
        <f>IF($I1242=0,0,$Q1241*INDEX(DarlErsatzZins,3))</f>
      </c>
      <c r="Q1242" s="43">
        <f>IF($I1242=0,0,$Q1241+$P1242+$O1242)</f>
      </c>
      <c r="R1242" s="43">
        <f>IF($I1242=0,0,$J1242-$M1242-$N1242)</f>
      </c>
    </row>
    <row r="1243">
      <c r="A1243"/>
      <c r="B1243">
        <v>3</v>
      </c>
      <c r="C1243" s="43">
        <f>INDEX(DarlObj,3)</f>
      </c>
      <c r="D1243">
        <v>280</v>
      </c>
      <c r="E1243" s="51">
        <f>IF(INDEX(DarlBelegt,3)=0,0,EOMONTH(INDEX(DarlAuszahlung,3),279)+1)</f>
      </c>
      <c r="F1243" s="43">
        <f>IF($E1243=0,0,YEAR($E1243))</f>
      </c>
      <c r="G1243" s="43">
        <f>IF(INDEX(DarlBindung,3)="",1,IF($E1243&lt;=INDEX(DarlBindung,3),1,0))</f>
      </c>
      <c r="H1243" s="43">
        <f>IF($G1243=1,INDEX(DarlSollzins,3),INDEX(DarlAnschluss,3))</f>
      </c>
      <c r="I1243" s="43">
        <f>IF(INDEX(DarlBelegt,3)=0,0,IF(INDEX(DarlOhneTilgung,3)=1,IF(INDEX(DarlBindung,3)="",1,$G1243),IF($J1243&gt;0.005,1,0)))</f>
      </c>
      <c r="J1243" s="43">
        <f>IF($I1242=0,0,$R1242)</f>
      </c>
      <c r="K1243" s="43">
        <f>IF($I1243=0,0,IF(INDEX(DarlOhneTilgung,3)=1,0,IF(AND(INDEX(DarlTilgStart,3)&gt;0,$E1243=INDEX(DarlTilgStart,3)),$J1243*($H1243+INDEX(DarlTilgung,3))/100/12,IF(AND($G1243=0,$G1242=1),MAX($K1242,$J1243*($H1243+1)/100/12),$K1242))))</f>
      </c>
      <c r="L1243" s="43">
        <f>IF($I1243=0,0,$J1243*$H1243/100/12)</f>
      </c>
      <c r="M1243" s="43">
        <f>IF($I1243=0,0,IF(OR(INDEX(DarlOhneTilgung,3)=1,AND(INDEX(DarlTilgStart,3)&gt;0,$E1243&lt;INDEX(DarlTilgStart,3))),0,MIN(MAX(0,$K1243-$L1243),$J1243)))</f>
      </c>
      <c r="N1243" s="43">
        <f>IF($I1243=0,0,MIN(SUMIFS(SondBetrag,SondDarl,3,SondDatum,"&gt;="&amp;$E1243,SondDatum,"&lt;="&amp;EOMONTH($E1243,0)),$J1243-$M1243))</f>
      </c>
      <c r="O1243" s="43">
        <f>IF($I1243=0,0,INDEX(DarlErsatzRate,3))</f>
      </c>
      <c r="P1243" s="43">
        <f>IF($I1243=0,0,$Q1242*INDEX(DarlErsatzZins,3))</f>
      </c>
      <c r="Q1243" s="43">
        <f>IF($I1243=0,0,$Q1242+$P1243+$O1243)</f>
      </c>
      <c r="R1243" s="43">
        <f>IF($I1243=0,0,$J1243-$M1243-$N1243)</f>
      </c>
    </row>
    <row r="1244">
      <c r="A1244"/>
      <c r="B1244">
        <v>3</v>
      </c>
      <c r="C1244" s="43">
        <f>INDEX(DarlObj,3)</f>
      </c>
      <c r="D1244">
        <v>281</v>
      </c>
      <c r="E1244" s="51">
        <f>IF(INDEX(DarlBelegt,3)=0,0,EOMONTH(INDEX(DarlAuszahlung,3),280)+1)</f>
      </c>
      <c r="F1244" s="43">
        <f>IF($E1244=0,0,YEAR($E1244))</f>
      </c>
      <c r="G1244" s="43">
        <f>IF(INDEX(DarlBindung,3)="",1,IF($E1244&lt;=INDEX(DarlBindung,3),1,0))</f>
      </c>
      <c r="H1244" s="43">
        <f>IF($G1244=1,INDEX(DarlSollzins,3),INDEX(DarlAnschluss,3))</f>
      </c>
      <c r="I1244" s="43">
        <f>IF(INDEX(DarlBelegt,3)=0,0,IF(INDEX(DarlOhneTilgung,3)=1,IF(INDEX(DarlBindung,3)="",1,$G1244),IF($J1244&gt;0.005,1,0)))</f>
      </c>
      <c r="J1244" s="43">
        <f>IF($I1243=0,0,$R1243)</f>
      </c>
      <c r="K1244" s="43">
        <f>IF($I1244=0,0,IF(INDEX(DarlOhneTilgung,3)=1,0,IF(AND(INDEX(DarlTilgStart,3)&gt;0,$E1244=INDEX(DarlTilgStart,3)),$J1244*($H1244+INDEX(DarlTilgung,3))/100/12,IF(AND($G1244=0,$G1243=1),MAX($K1243,$J1244*($H1244+1)/100/12),$K1243))))</f>
      </c>
      <c r="L1244" s="43">
        <f>IF($I1244=0,0,$J1244*$H1244/100/12)</f>
      </c>
      <c r="M1244" s="43">
        <f>IF($I1244=0,0,IF(OR(INDEX(DarlOhneTilgung,3)=1,AND(INDEX(DarlTilgStart,3)&gt;0,$E1244&lt;INDEX(DarlTilgStart,3))),0,MIN(MAX(0,$K1244-$L1244),$J1244)))</f>
      </c>
      <c r="N1244" s="43">
        <f>IF($I1244=0,0,MIN(SUMIFS(SondBetrag,SondDarl,3,SondDatum,"&gt;="&amp;$E1244,SondDatum,"&lt;="&amp;EOMONTH($E1244,0)),$J1244-$M1244))</f>
      </c>
      <c r="O1244" s="43">
        <f>IF($I1244=0,0,INDEX(DarlErsatzRate,3))</f>
      </c>
      <c r="P1244" s="43">
        <f>IF($I1244=0,0,$Q1243*INDEX(DarlErsatzZins,3))</f>
      </c>
      <c r="Q1244" s="43">
        <f>IF($I1244=0,0,$Q1243+$P1244+$O1244)</f>
      </c>
      <c r="R1244" s="43">
        <f>IF($I1244=0,0,$J1244-$M1244-$N1244)</f>
      </c>
    </row>
    <row r="1245">
      <c r="A1245"/>
      <c r="B1245">
        <v>3</v>
      </c>
      <c r="C1245" s="43">
        <f>INDEX(DarlObj,3)</f>
      </c>
      <c r="D1245">
        <v>282</v>
      </c>
      <c r="E1245" s="51">
        <f>IF(INDEX(DarlBelegt,3)=0,0,EOMONTH(INDEX(DarlAuszahlung,3),281)+1)</f>
      </c>
      <c r="F1245" s="43">
        <f>IF($E1245=0,0,YEAR($E1245))</f>
      </c>
      <c r="G1245" s="43">
        <f>IF(INDEX(DarlBindung,3)="",1,IF($E1245&lt;=INDEX(DarlBindung,3),1,0))</f>
      </c>
      <c r="H1245" s="43">
        <f>IF($G1245=1,INDEX(DarlSollzins,3),INDEX(DarlAnschluss,3))</f>
      </c>
      <c r="I1245" s="43">
        <f>IF(INDEX(DarlBelegt,3)=0,0,IF(INDEX(DarlOhneTilgung,3)=1,IF(INDEX(DarlBindung,3)="",1,$G1245),IF($J1245&gt;0.005,1,0)))</f>
      </c>
      <c r="J1245" s="43">
        <f>IF($I1244=0,0,$R1244)</f>
      </c>
      <c r="K1245" s="43">
        <f>IF($I1245=0,0,IF(INDEX(DarlOhneTilgung,3)=1,0,IF(AND(INDEX(DarlTilgStart,3)&gt;0,$E1245=INDEX(DarlTilgStart,3)),$J1245*($H1245+INDEX(DarlTilgung,3))/100/12,IF(AND($G1245=0,$G1244=1),MAX($K1244,$J1245*($H1245+1)/100/12),$K1244))))</f>
      </c>
      <c r="L1245" s="43">
        <f>IF($I1245=0,0,$J1245*$H1245/100/12)</f>
      </c>
      <c r="M1245" s="43">
        <f>IF($I1245=0,0,IF(OR(INDEX(DarlOhneTilgung,3)=1,AND(INDEX(DarlTilgStart,3)&gt;0,$E1245&lt;INDEX(DarlTilgStart,3))),0,MIN(MAX(0,$K1245-$L1245),$J1245)))</f>
      </c>
      <c r="N1245" s="43">
        <f>IF($I1245=0,0,MIN(SUMIFS(SondBetrag,SondDarl,3,SondDatum,"&gt;="&amp;$E1245,SondDatum,"&lt;="&amp;EOMONTH($E1245,0)),$J1245-$M1245))</f>
      </c>
      <c r="O1245" s="43">
        <f>IF($I1245=0,0,INDEX(DarlErsatzRate,3))</f>
      </c>
      <c r="P1245" s="43">
        <f>IF($I1245=0,0,$Q1244*INDEX(DarlErsatzZins,3))</f>
      </c>
      <c r="Q1245" s="43">
        <f>IF($I1245=0,0,$Q1244+$P1245+$O1245)</f>
      </c>
      <c r="R1245" s="43">
        <f>IF($I1245=0,0,$J1245-$M1245-$N1245)</f>
      </c>
    </row>
    <row r="1246">
      <c r="A1246"/>
      <c r="B1246">
        <v>3</v>
      </c>
      <c r="C1246" s="43">
        <f>INDEX(DarlObj,3)</f>
      </c>
      <c r="D1246">
        <v>283</v>
      </c>
      <c r="E1246" s="51">
        <f>IF(INDEX(DarlBelegt,3)=0,0,EOMONTH(INDEX(DarlAuszahlung,3),282)+1)</f>
      </c>
      <c r="F1246" s="43">
        <f>IF($E1246=0,0,YEAR($E1246))</f>
      </c>
      <c r="G1246" s="43">
        <f>IF(INDEX(DarlBindung,3)="",1,IF($E1246&lt;=INDEX(DarlBindung,3),1,0))</f>
      </c>
      <c r="H1246" s="43">
        <f>IF($G1246=1,INDEX(DarlSollzins,3),INDEX(DarlAnschluss,3))</f>
      </c>
      <c r="I1246" s="43">
        <f>IF(INDEX(DarlBelegt,3)=0,0,IF(INDEX(DarlOhneTilgung,3)=1,IF(INDEX(DarlBindung,3)="",1,$G1246),IF($J1246&gt;0.005,1,0)))</f>
      </c>
      <c r="J1246" s="43">
        <f>IF($I1245=0,0,$R1245)</f>
      </c>
      <c r="K1246" s="43">
        <f>IF($I1246=0,0,IF(INDEX(DarlOhneTilgung,3)=1,0,IF(AND(INDEX(DarlTilgStart,3)&gt;0,$E1246=INDEX(DarlTilgStart,3)),$J1246*($H1246+INDEX(DarlTilgung,3))/100/12,IF(AND($G1246=0,$G1245=1),MAX($K1245,$J1246*($H1246+1)/100/12),$K1245))))</f>
      </c>
      <c r="L1246" s="43">
        <f>IF($I1246=0,0,$J1246*$H1246/100/12)</f>
      </c>
      <c r="M1246" s="43">
        <f>IF($I1246=0,0,IF(OR(INDEX(DarlOhneTilgung,3)=1,AND(INDEX(DarlTilgStart,3)&gt;0,$E1246&lt;INDEX(DarlTilgStart,3))),0,MIN(MAX(0,$K1246-$L1246),$J1246)))</f>
      </c>
      <c r="N1246" s="43">
        <f>IF($I1246=0,0,MIN(SUMIFS(SondBetrag,SondDarl,3,SondDatum,"&gt;="&amp;$E1246,SondDatum,"&lt;="&amp;EOMONTH($E1246,0)),$J1246-$M1246))</f>
      </c>
      <c r="O1246" s="43">
        <f>IF($I1246=0,0,INDEX(DarlErsatzRate,3))</f>
      </c>
      <c r="P1246" s="43">
        <f>IF($I1246=0,0,$Q1245*INDEX(DarlErsatzZins,3))</f>
      </c>
      <c r="Q1246" s="43">
        <f>IF($I1246=0,0,$Q1245+$P1246+$O1246)</f>
      </c>
      <c r="R1246" s="43">
        <f>IF($I1246=0,0,$J1246-$M1246-$N1246)</f>
      </c>
    </row>
    <row r="1247">
      <c r="A1247"/>
      <c r="B1247">
        <v>3</v>
      </c>
      <c r="C1247" s="43">
        <f>INDEX(DarlObj,3)</f>
      </c>
      <c r="D1247">
        <v>284</v>
      </c>
      <c r="E1247" s="51">
        <f>IF(INDEX(DarlBelegt,3)=0,0,EOMONTH(INDEX(DarlAuszahlung,3),283)+1)</f>
      </c>
      <c r="F1247" s="43">
        <f>IF($E1247=0,0,YEAR($E1247))</f>
      </c>
      <c r="G1247" s="43">
        <f>IF(INDEX(DarlBindung,3)="",1,IF($E1247&lt;=INDEX(DarlBindung,3),1,0))</f>
      </c>
      <c r="H1247" s="43">
        <f>IF($G1247=1,INDEX(DarlSollzins,3),INDEX(DarlAnschluss,3))</f>
      </c>
      <c r="I1247" s="43">
        <f>IF(INDEX(DarlBelegt,3)=0,0,IF(INDEX(DarlOhneTilgung,3)=1,IF(INDEX(DarlBindung,3)="",1,$G1247),IF($J1247&gt;0.005,1,0)))</f>
      </c>
      <c r="J1247" s="43">
        <f>IF($I1246=0,0,$R1246)</f>
      </c>
      <c r="K1247" s="43">
        <f>IF($I1247=0,0,IF(INDEX(DarlOhneTilgung,3)=1,0,IF(AND(INDEX(DarlTilgStart,3)&gt;0,$E1247=INDEX(DarlTilgStart,3)),$J1247*($H1247+INDEX(DarlTilgung,3))/100/12,IF(AND($G1247=0,$G1246=1),MAX($K1246,$J1247*($H1247+1)/100/12),$K1246))))</f>
      </c>
      <c r="L1247" s="43">
        <f>IF($I1247=0,0,$J1247*$H1247/100/12)</f>
      </c>
      <c r="M1247" s="43">
        <f>IF($I1247=0,0,IF(OR(INDEX(DarlOhneTilgung,3)=1,AND(INDEX(DarlTilgStart,3)&gt;0,$E1247&lt;INDEX(DarlTilgStart,3))),0,MIN(MAX(0,$K1247-$L1247),$J1247)))</f>
      </c>
      <c r="N1247" s="43">
        <f>IF($I1247=0,0,MIN(SUMIFS(SondBetrag,SondDarl,3,SondDatum,"&gt;="&amp;$E1247,SondDatum,"&lt;="&amp;EOMONTH($E1247,0)),$J1247-$M1247))</f>
      </c>
      <c r="O1247" s="43">
        <f>IF($I1247=0,0,INDEX(DarlErsatzRate,3))</f>
      </c>
      <c r="P1247" s="43">
        <f>IF($I1247=0,0,$Q1246*INDEX(DarlErsatzZins,3))</f>
      </c>
      <c r="Q1247" s="43">
        <f>IF($I1247=0,0,$Q1246+$P1247+$O1247)</f>
      </c>
      <c r="R1247" s="43">
        <f>IF($I1247=0,0,$J1247-$M1247-$N1247)</f>
      </c>
    </row>
    <row r="1248">
      <c r="A1248"/>
      <c r="B1248">
        <v>3</v>
      </c>
      <c r="C1248" s="43">
        <f>INDEX(DarlObj,3)</f>
      </c>
      <c r="D1248">
        <v>285</v>
      </c>
      <c r="E1248" s="51">
        <f>IF(INDEX(DarlBelegt,3)=0,0,EOMONTH(INDEX(DarlAuszahlung,3),284)+1)</f>
      </c>
      <c r="F1248" s="43">
        <f>IF($E1248=0,0,YEAR($E1248))</f>
      </c>
      <c r="G1248" s="43">
        <f>IF(INDEX(DarlBindung,3)="",1,IF($E1248&lt;=INDEX(DarlBindung,3),1,0))</f>
      </c>
      <c r="H1248" s="43">
        <f>IF($G1248=1,INDEX(DarlSollzins,3),INDEX(DarlAnschluss,3))</f>
      </c>
      <c r="I1248" s="43">
        <f>IF(INDEX(DarlBelegt,3)=0,0,IF(INDEX(DarlOhneTilgung,3)=1,IF(INDEX(DarlBindung,3)="",1,$G1248),IF($J1248&gt;0.005,1,0)))</f>
      </c>
      <c r="J1248" s="43">
        <f>IF($I1247=0,0,$R1247)</f>
      </c>
      <c r="K1248" s="43">
        <f>IF($I1248=0,0,IF(INDEX(DarlOhneTilgung,3)=1,0,IF(AND(INDEX(DarlTilgStart,3)&gt;0,$E1248=INDEX(DarlTilgStart,3)),$J1248*($H1248+INDEX(DarlTilgung,3))/100/12,IF(AND($G1248=0,$G1247=1),MAX($K1247,$J1248*($H1248+1)/100/12),$K1247))))</f>
      </c>
      <c r="L1248" s="43">
        <f>IF($I1248=0,0,$J1248*$H1248/100/12)</f>
      </c>
      <c r="M1248" s="43">
        <f>IF($I1248=0,0,IF(OR(INDEX(DarlOhneTilgung,3)=1,AND(INDEX(DarlTilgStart,3)&gt;0,$E1248&lt;INDEX(DarlTilgStart,3))),0,MIN(MAX(0,$K1248-$L1248),$J1248)))</f>
      </c>
      <c r="N1248" s="43">
        <f>IF($I1248=0,0,MIN(SUMIFS(SondBetrag,SondDarl,3,SondDatum,"&gt;="&amp;$E1248,SondDatum,"&lt;="&amp;EOMONTH($E1248,0)),$J1248-$M1248))</f>
      </c>
      <c r="O1248" s="43">
        <f>IF($I1248=0,0,INDEX(DarlErsatzRate,3))</f>
      </c>
      <c r="P1248" s="43">
        <f>IF($I1248=0,0,$Q1247*INDEX(DarlErsatzZins,3))</f>
      </c>
      <c r="Q1248" s="43">
        <f>IF($I1248=0,0,$Q1247+$P1248+$O1248)</f>
      </c>
      <c r="R1248" s="43">
        <f>IF($I1248=0,0,$J1248-$M1248-$N1248)</f>
      </c>
    </row>
    <row r="1249">
      <c r="A1249"/>
      <c r="B1249">
        <v>3</v>
      </c>
      <c r="C1249" s="43">
        <f>INDEX(DarlObj,3)</f>
      </c>
      <c r="D1249">
        <v>286</v>
      </c>
      <c r="E1249" s="51">
        <f>IF(INDEX(DarlBelegt,3)=0,0,EOMONTH(INDEX(DarlAuszahlung,3),285)+1)</f>
      </c>
      <c r="F1249" s="43">
        <f>IF($E1249=0,0,YEAR($E1249))</f>
      </c>
      <c r="G1249" s="43">
        <f>IF(INDEX(DarlBindung,3)="",1,IF($E1249&lt;=INDEX(DarlBindung,3),1,0))</f>
      </c>
      <c r="H1249" s="43">
        <f>IF($G1249=1,INDEX(DarlSollzins,3),INDEX(DarlAnschluss,3))</f>
      </c>
      <c r="I1249" s="43">
        <f>IF(INDEX(DarlBelegt,3)=0,0,IF(INDEX(DarlOhneTilgung,3)=1,IF(INDEX(DarlBindung,3)="",1,$G1249),IF($J1249&gt;0.005,1,0)))</f>
      </c>
      <c r="J1249" s="43">
        <f>IF($I1248=0,0,$R1248)</f>
      </c>
      <c r="K1249" s="43">
        <f>IF($I1249=0,0,IF(INDEX(DarlOhneTilgung,3)=1,0,IF(AND(INDEX(DarlTilgStart,3)&gt;0,$E1249=INDEX(DarlTilgStart,3)),$J1249*($H1249+INDEX(DarlTilgung,3))/100/12,IF(AND($G1249=0,$G1248=1),MAX($K1248,$J1249*($H1249+1)/100/12),$K1248))))</f>
      </c>
      <c r="L1249" s="43">
        <f>IF($I1249=0,0,$J1249*$H1249/100/12)</f>
      </c>
      <c r="M1249" s="43">
        <f>IF($I1249=0,0,IF(OR(INDEX(DarlOhneTilgung,3)=1,AND(INDEX(DarlTilgStart,3)&gt;0,$E1249&lt;INDEX(DarlTilgStart,3))),0,MIN(MAX(0,$K1249-$L1249),$J1249)))</f>
      </c>
      <c r="N1249" s="43">
        <f>IF($I1249=0,0,MIN(SUMIFS(SondBetrag,SondDarl,3,SondDatum,"&gt;="&amp;$E1249,SondDatum,"&lt;="&amp;EOMONTH($E1249,0)),$J1249-$M1249))</f>
      </c>
      <c r="O1249" s="43">
        <f>IF($I1249=0,0,INDEX(DarlErsatzRate,3))</f>
      </c>
      <c r="P1249" s="43">
        <f>IF($I1249=0,0,$Q1248*INDEX(DarlErsatzZins,3))</f>
      </c>
      <c r="Q1249" s="43">
        <f>IF($I1249=0,0,$Q1248+$P1249+$O1249)</f>
      </c>
      <c r="R1249" s="43">
        <f>IF($I1249=0,0,$J1249-$M1249-$N1249)</f>
      </c>
    </row>
    <row r="1250">
      <c r="A1250"/>
      <c r="B1250">
        <v>3</v>
      </c>
      <c r="C1250" s="43">
        <f>INDEX(DarlObj,3)</f>
      </c>
      <c r="D1250">
        <v>287</v>
      </c>
      <c r="E1250" s="51">
        <f>IF(INDEX(DarlBelegt,3)=0,0,EOMONTH(INDEX(DarlAuszahlung,3),286)+1)</f>
      </c>
      <c r="F1250" s="43">
        <f>IF($E1250=0,0,YEAR($E1250))</f>
      </c>
      <c r="G1250" s="43">
        <f>IF(INDEX(DarlBindung,3)="",1,IF($E1250&lt;=INDEX(DarlBindung,3),1,0))</f>
      </c>
      <c r="H1250" s="43">
        <f>IF($G1250=1,INDEX(DarlSollzins,3),INDEX(DarlAnschluss,3))</f>
      </c>
      <c r="I1250" s="43">
        <f>IF(INDEX(DarlBelegt,3)=0,0,IF(INDEX(DarlOhneTilgung,3)=1,IF(INDEX(DarlBindung,3)="",1,$G1250),IF($J1250&gt;0.005,1,0)))</f>
      </c>
      <c r="J1250" s="43">
        <f>IF($I1249=0,0,$R1249)</f>
      </c>
      <c r="K1250" s="43">
        <f>IF($I1250=0,0,IF(INDEX(DarlOhneTilgung,3)=1,0,IF(AND(INDEX(DarlTilgStart,3)&gt;0,$E1250=INDEX(DarlTilgStart,3)),$J1250*($H1250+INDEX(DarlTilgung,3))/100/12,IF(AND($G1250=0,$G1249=1),MAX($K1249,$J1250*($H1250+1)/100/12),$K1249))))</f>
      </c>
      <c r="L1250" s="43">
        <f>IF($I1250=0,0,$J1250*$H1250/100/12)</f>
      </c>
      <c r="M1250" s="43">
        <f>IF($I1250=0,0,IF(OR(INDEX(DarlOhneTilgung,3)=1,AND(INDEX(DarlTilgStart,3)&gt;0,$E1250&lt;INDEX(DarlTilgStart,3))),0,MIN(MAX(0,$K1250-$L1250),$J1250)))</f>
      </c>
      <c r="N1250" s="43">
        <f>IF($I1250=0,0,MIN(SUMIFS(SondBetrag,SondDarl,3,SondDatum,"&gt;="&amp;$E1250,SondDatum,"&lt;="&amp;EOMONTH($E1250,0)),$J1250-$M1250))</f>
      </c>
      <c r="O1250" s="43">
        <f>IF($I1250=0,0,INDEX(DarlErsatzRate,3))</f>
      </c>
      <c r="P1250" s="43">
        <f>IF($I1250=0,0,$Q1249*INDEX(DarlErsatzZins,3))</f>
      </c>
      <c r="Q1250" s="43">
        <f>IF($I1250=0,0,$Q1249+$P1250+$O1250)</f>
      </c>
      <c r="R1250" s="43">
        <f>IF($I1250=0,0,$J1250-$M1250-$N1250)</f>
      </c>
    </row>
    <row r="1251">
      <c r="A1251"/>
      <c r="B1251">
        <v>3</v>
      </c>
      <c r="C1251" s="43">
        <f>INDEX(DarlObj,3)</f>
      </c>
      <c r="D1251">
        <v>288</v>
      </c>
      <c r="E1251" s="51">
        <f>IF(INDEX(DarlBelegt,3)=0,0,EOMONTH(INDEX(DarlAuszahlung,3),287)+1)</f>
      </c>
      <c r="F1251" s="43">
        <f>IF($E1251=0,0,YEAR($E1251))</f>
      </c>
      <c r="G1251" s="43">
        <f>IF(INDEX(DarlBindung,3)="",1,IF($E1251&lt;=INDEX(DarlBindung,3),1,0))</f>
      </c>
      <c r="H1251" s="43">
        <f>IF($G1251=1,INDEX(DarlSollzins,3),INDEX(DarlAnschluss,3))</f>
      </c>
      <c r="I1251" s="43">
        <f>IF(INDEX(DarlBelegt,3)=0,0,IF(INDEX(DarlOhneTilgung,3)=1,IF(INDEX(DarlBindung,3)="",1,$G1251),IF($J1251&gt;0.005,1,0)))</f>
      </c>
      <c r="J1251" s="43">
        <f>IF($I1250=0,0,$R1250)</f>
      </c>
      <c r="K1251" s="43">
        <f>IF($I1251=0,0,IF(INDEX(DarlOhneTilgung,3)=1,0,IF(AND(INDEX(DarlTilgStart,3)&gt;0,$E1251=INDEX(DarlTilgStart,3)),$J1251*($H1251+INDEX(DarlTilgung,3))/100/12,IF(AND($G1251=0,$G1250=1),MAX($K1250,$J1251*($H1251+1)/100/12),$K1250))))</f>
      </c>
      <c r="L1251" s="43">
        <f>IF($I1251=0,0,$J1251*$H1251/100/12)</f>
      </c>
      <c r="M1251" s="43">
        <f>IF($I1251=0,0,IF(OR(INDEX(DarlOhneTilgung,3)=1,AND(INDEX(DarlTilgStart,3)&gt;0,$E1251&lt;INDEX(DarlTilgStart,3))),0,MIN(MAX(0,$K1251-$L1251),$J1251)))</f>
      </c>
      <c r="N1251" s="43">
        <f>IF($I1251=0,0,MIN(SUMIFS(SondBetrag,SondDarl,3,SondDatum,"&gt;="&amp;$E1251,SondDatum,"&lt;="&amp;EOMONTH($E1251,0)),$J1251-$M1251))</f>
      </c>
      <c r="O1251" s="43">
        <f>IF($I1251=0,0,INDEX(DarlErsatzRate,3))</f>
      </c>
      <c r="P1251" s="43">
        <f>IF($I1251=0,0,$Q1250*INDEX(DarlErsatzZins,3))</f>
      </c>
      <c r="Q1251" s="43">
        <f>IF($I1251=0,0,$Q1250+$P1251+$O1251)</f>
      </c>
      <c r="R1251" s="43">
        <f>IF($I1251=0,0,$J1251-$M1251-$N1251)</f>
      </c>
    </row>
    <row r="1252">
      <c r="A1252"/>
      <c r="B1252">
        <v>3</v>
      </c>
      <c r="C1252" s="43">
        <f>INDEX(DarlObj,3)</f>
      </c>
      <c r="D1252">
        <v>289</v>
      </c>
      <c r="E1252" s="51">
        <f>IF(INDEX(DarlBelegt,3)=0,0,EOMONTH(INDEX(DarlAuszahlung,3),288)+1)</f>
      </c>
      <c r="F1252" s="43">
        <f>IF($E1252=0,0,YEAR($E1252))</f>
      </c>
      <c r="G1252" s="43">
        <f>IF(INDEX(DarlBindung,3)="",1,IF($E1252&lt;=INDEX(DarlBindung,3),1,0))</f>
      </c>
      <c r="H1252" s="43">
        <f>IF($G1252=1,INDEX(DarlSollzins,3),INDEX(DarlAnschluss,3))</f>
      </c>
      <c r="I1252" s="43">
        <f>IF(INDEX(DarlBelegt,3)=0,0,IF(INDEX(DarlOhneTilgung,3)=1,IF(INDEX(DarlBindung,3)="",1,$G1252),IF($J1252&gt;0.005,1,0)))</f>
      </c>
      <c r="J1252" s="43">
        <f>IF($I1251=0,0,$R1251)</f>
      </c>
      <c r="K1252" s="43">
        <f>IF($I1252=0,0,IF(INDEX(DarlOhneTilgung,3)=1,0,IF(AND(INDEX(DarlTilgStart,3)&gt;0,$E1252=INDEX(DarlTilgStart,3)),$J1252*($H1252+INDEX(DarlTilgung,3))/100/12,IF(AND($G1252=0,$G1251=1),MAX($K1251,$J1252*($H1252+1)/100/12),$K1251))))</f>
      </c>
      <c r="L1252" s="43">
        <f>IF($I1252=0,0,$J1252*$H1252/100/12)</f>
      </c>
      <c r="M1252" s="43">
        <f>IF($I1252=0,0,IF(OR(INDEX(DarlOhneTilgung,3)=1,AND(INDEX(DarlTilgStart,3)&gt;0,$E1252&lt;INDEX(DarlTilgStart,3))),0,MIN(MAX(0,$K1252-$L1252),$J1252)))</f>
      </c>
      <c r="N1252" s="43">
        <f>IF($I1252=0,0,MIN(SUMIFS(SondBetrag,SondDarl,3,SondDatum,"&gt;="&amp;$E1252,SondDatum,"&lt;="&amp;EOMONTH($E1252,0)),$J1252-$M1252))</f>
      </c>
      <c r="O1252" s="43">
        <f>IF($I1252=0,0,INDEX(DarlErsatzRate,3))</f>
      </c>
      <c r="P1252" s="43">
        <f>IF($I1252=0,0,$Q1251*INDEX(DarlErsatzZins,3))</f>
      </c>
      <c r="Q1252" s="43">
        <f>IF($I1252=0,0,$Q1251+$P1252+$O1252)</f>
      </c>
      <c r="R1252" s="43">
        <f>IF($I1252=0,0,$J1252-$M1252-$N1252)</f>
      </c>
    </row>
    <row r="1253">
      <c r="A1253"/>
      <c r="B1253">
        <v>3</v>
      </c>
      <c r="C1253" s="43">
        <f>INDEX(DarlObj,3)</f>
      </c>
      <c r="D1253">
        <v>290</v>
      </c>
      <c r="E1253" s="51">
        <f>IF(INDEX(DarlBelegt,3)=0,0,EOMONTH(INDEX(DarlAuszahlung,3),289)+1)</f>
      </c>
      <c r="F1253" s="43">
        <f>IF($E1253=0,0,YEAR($E1253))</f>
      </c>
      <c r="G1253" s="43">
        <f>IF(INDEX(DarlBindung,3)="",1,IF($E1253&lt;=INDEX(DarlBindung,3),1,0))</f>
      </c>
      <c r="H1253" s="43">
        <f>IF($G1253=1,INDEX(DarlSollzins,3),INDEX(DarlAnschluss,3))</f>
      </c>
      <c r="I1253" s="43">
        <f>IF(INDEX(DarlBelegt,3)=0,0,IF(INDEX(DarlOhneTilgung,3)=1,IF(INDEX(DarlBindung,3)="",1,$G1253),IF($J1253&gt;0.005,1,0)))</f>
      </c>
      <c r="J1253" s="43">
        <f>IF($I1252=0,0,$R1252)</f>
      </c>
      <c r="K1253" s="43">
        <f>IF($I1253=0,0,IF(INDEX(DarlOhneTilgung,3)=1,0,IF(AND(INDEX(DarlTilgStart,3)&gt;0,$E1253=INDEX(DarlTilgStart,3)),$J1253*($H1253+INDEX(DarlTilgung,3))/100/12,IF(AND($G1253=0,$G1252=1),MAX($K1252,$J1253*($H1253+1)/100/12),$K1252))))</f>
      </c>
      <c r="L1253" s="43">
        <f>IF($I1253=0,0,$J1253*$H1253/100/12)</f>
      </c>
      <c r="M1253" s="43">
        <f>IF($I1253=0,0,IF(OR(INDEX(DarlOhneTilgung,3)=1,AND(INDEX(DarlTilgStart,3)&gt;0,$E1253&lt;INDEX(DarlTilgStart,3))),0,MIN(MAX(0,$K1253-$L1253),$J1253)))</f>
      </c>
      <c r="N1253" s="43">
        <f>IF($I1253=0,0,MIN(SUMIFS(SondBetrag,SondDarl,3,SondDatum,"&gt;="&amp;$E1253,SondDatum,"&lt;="&amp;EOMONTH($E1253,0)),$J1253-$M1253))</f>
      </c>
      <c r="O1253" s="43">
        <f>IF($I1253=0,0,INDEX(DarlErsatzRate,3))</f>
      </c>
      <c r="P1253" s="43">
        <f>IF($I1253=0,0,$Q1252*INDEX(DarlErsatzZins,3))</f>
      </c>
      <c r="Q1253" s="43">
        <f>IF($I1253=0,0,$Q1252+$P1253+$O1253)</f>
      </c>
      <c r="R1253" s="43">
        <f>IF($I1253=0,0,$J1253-$M1253-$N1253)</f>
      </c>
    </row>
    <row r="1254">
      <c r="A1254"/>
      <c r="B1254">
        <v>3</v>
      </c>
      <c r="C1254" s="43">
        <f>INDEX(DarlObj,3)</f>
      </c>
      <c r="D1254">
        <v>291</v>
      </c>
      <c r="E1254" s="51">
        <f>IF(INDEX(DarlBelegt,3)=0,0,EOMONTH(INDEX(DarlAuszahlung,3),290)+1)</f>
      </c>
      <c r="F1254" s="43">
        <f>IF($E1254=0,0,YEAR($E1254))</f>
      </c>
      <c r="G1254" s="43">
        <f>IF(INDEX(DarlBindung,3)="",1,IF($E1254&lt;=INDEX(DarlBindung,3),1,0))</f>
      </c>
      <c r="H1254" s="43">
        <f>IF($G1254=1,INDEX(DarlSollzins,3),INDEX(DarlAnschluss,3))</f>
      </c>
      <c r="I1254" s="43">
        <f>IF(INDEX(DarlBelegt,3)=0,0,IF(INDEX(DarlOhneTilgung,3)=1,IF(INDEX(DarlBindung,3)="",1,$G1254),IF($J1254&gt;0.005,1,0)))</f>
      </c>
      <c r="J1254" s="43">
        <f>IF($I1253=0,0,$R1253)</f>
      </c>
      <c r="K1254" s="43">
        <f>IF($I1254=0,0,IF(INDEX(DarlOhneTilgung,3)=1,0,IF(AND(INDEX(DarlTilgStart,3)&gt;0,$E1254=INDEX(DarlTilgStart,3)),$J1254*($H1254+INDEX(DarlTilgung,3))/100/12,IF(AND($G1254=0,$G1253=1),MAX($K1253,$J1254*($H1254+1)/100/12),$K1253))))</f>
      </c>
      <c r="L1254" s="43">
        <f>IF($I1254=0,0,$J1254*$H1254/100/12)</f>
      </c>
      <c r="M1254" s="43">
        <f>IF($I1254=0,0,IF(OR(INDEX(DarlOhneTilgung,3)=1,AND(INDEX(DarlTilgStart,3)&gt;0,$E1254&lt;INDEX(DarlTilgStart,3))),0,MIN(MAX(0,$K1254-$L1254),$J1254)))</f>
      </c>
      <c r="N1254" s="43">
        <f>IF($I1254=0,0,MIN(SUMIFS(SondBetrag,SondDarl,3,SondDatum,"&gt;="&amp;$E1254,SondDatum,"&lt;="&amp;EOMONTH($E1254,0)),$J1254-$M1254))</f>
      </c>
      <c r="O1254" s="43">
        <f>IF($I1254=0,0,INDEX(DarlErsatzRate,3))</f>
      </c>
      <c r="P1254" s="43">
        <f>IF($I1254=0,0,$Q1253*INDEX(DarlErsatzZins,3))</f>
      </c>
      <c r="Q1254" s="43">
        <f>IF($I1254=0,0,$Q1253+$P1254+$O1254)</f>
      </c>
      <c r="R1254" s="43">
        <f>IF($I1254=0,0,$J1254-$M1254-$N1254)</f>
      </c>
    </row>
    <row r="1255">
      <c r="A1255"/>
      <c r="B1255">
        <v>3</v>
      </c>
      <c r="C1255" s="43">
        <f>INDEX(DarlObj,3)</f>
      </c>
      <c r="D1255">
        <v>292</v>
      </c>
      <c r="E1255" s="51">
        <f>IF(INDEX(DarlBelegt,3)=0,0,EOMONTH(INDEX(DarlAuszahlung,3),291)+1)</f>
      </c>
      <c r="F1255" s="43">
        <f>IF($E1255=0,0,YEAR($E1255))</f>
      </c>
      <c r="G1255" s="43">
        <f>IF(INDEX(DarlBindung,3)="",1,IF($E1255&lt;=INDEX(DarlBindung,3),1,0))</f>
      </c>
      <c r="H1255" s="43">
        <f>IF($G1255=1,INDEX(DarlSollzins,3),INDEX(DarlAnschluss,3))</f>
      </c>
      <c r="I1255" s="43">
        <f>IF(INDEX(DarlBelegt,3)=0,0,IF(INDEX(DarlOhneTilgung,3)=1,IF(INDEX(DarlBindung,3)="",1,$G1255),IF($J1255&gt;0.005,1,0)))</f>
      </c>
      <c r="J1255" s="43">
        <f>IF($I1254=0,0,$R1254)</f>
      </c>
      <c r="K1255" s="43">
        <f>IF($I1255=0,0,IF(INDEX(DarlOhneTilgung,3)=1,0,IF(AND(INDEX(DarlTilgStart,3)&gt;0,$E1255=INDEX(DarlTilgStart,3)),$J1255*($H1255+INDEX(DarlTilgung,3))/100/12,IF(AND($G1255=0,$G1254=1),MAX($K1254,$J1255*($H1255+1)/100/12),$K1254))))</f>
      </c>
      <c r="L1255" s="43">
        <f>IF($I1255=0,0,$J1255*$H1255/100/12)</f>
      </c>
      <c r="M1255" s="43">
        <f>IF($I1255=0,0,IF(OR(INDEX(DarlOhneTilgung,3)=1,AND(INDEX(DarlTilgStart,3)&gt;0,$E1255&lt;INDEX(DarlTilgStart,3))),0,MIN(MAX(0,$K1255-$L1255),$J1255)))</f>
      </c>
      <c r="N1255" s="43">
        <f>IF($I1255=0,0,MIN(SUMIFS(SondBetrag,SondDarl,3,SondDatum,"&gt;="&amp;$E1255,SondDatum,"&lt;="&amp;EOMONTH($E1255,0)),$J1255-$M1255))</f>
      </c>
      <c r="O1255" s="43">
        <f>IF($I1255=0,0,INDEX(DarlErsatzRate,3))</f>
      </c>
      <c r="P1255" s="43">
        <f>IF($I1255=0,0,$Q1254*INDEX(DarlErsatzZins,3))</f>
      </c>
      <c r="Q1255" s="43">
        <f>IF($I1255=0,0,$Q1254+$P1255+$O1255)</f>
      </c>
      <c r="R1255" s="43">
        <f>IF($I1255=0,0,$J1255-$M1255-$N1255)</f>
      </c>
    </row>
    <row r="1256">
      <c r="A1256"/>
      <c r="B1256">
        <v>3</v>
      </c>
      <c r="C1256" s="43">
        <f>INDEX(DarlObj,3)</f>
      </c>
      <c r="D1256">
        <v>293</v>
      </c>
      <c r="E1256" s="51">
        <f>IF(INDEX(DarlBelegt,3)=0,0,EOMONTH(INDEX(DarlAuszahlung,3),292)+1)</f>
      </c>
      <c r="F1256" s="43">
        <f>IF($E1256=0,0,YEAR($E1256))</f>
      </c>
      <c r="G1256" s="43">
        <f>IF(INDEX(DarlBindung,3)="",1,IF($E1256&lt;=INDEX(DarlBindung,3),1,0))</f>
      </c>
      <c r="H1256" s="43">
        <f>IF($G1256=1,INDEX(DarlSollzins,3),INDEX(DarlAnschluss,3))</f>
      </c>
      <c r="I1256" s="43">
        <f>IF(INDEX(DarlBelegt,3)=0,0,IF(INDEX(DarlOhneTilgung,3)=1,IF(INDEX(DarlBindung,3)="",1,$G1256),IF($J1256&gt;0.005,1,0)))</f>
      </c>
      <c r="J1256" s="43">
        <f>IF($I1255=0,0,$R1255)</f>
      </c>
      <c r="K1256" s="43">
        <f>IF($I1256=0,0,IF(INDEX(DarlOhneTilgung,3)=1,0,IF(AND(INDEX(DarlTilgStart,3)&gt;0,$E1256=INDEX(DarlTilgStart,3)),$J1256*($H1256+INDEX(DarlTilgung,3))/100/12,IF(AND($G1256=0,$G1255=1),MAX($K1255,$J1256*($H1256+1)/100/12),$K1255))))</f>
      </c>
      <c r="L1256" s="43">
        <f>IF($I1256=0,0,$J1256*$H1256/100/12)</f>
      </c>
      <c r="M1256" s="43">
        <f>IF($I1256=0,0,IF(OR(INDEX(DarlOhneTilgung,3)=1,AND(INDEX(DarlTilgStart,3)&gt;0,$E1256&lt;INDEX(DarlTilgStart,3))),0,MIN(MAX(0,$K1256-$L1256),$J1256)))</f>
      </c>
      <c r="N1256" s="43">
        <f>IF($I1256=0,0,MIN(SUMIFS(SondBetrag,SondDarl,3,SondDatum,"&gt;="&amp;$E1256,SondDatum,"&lt;="&amp;EOMONTH($E1256,0)),$J1256-$M1256))</f>
      </c>
      <c r="O1256" s="43">
        <f>IF($I1256=0,0,INDEX(DarlErsatzRate,3))</f>
      </c>
      <c r="P1256" s="43">
        <f>IF($I1256=0,0,$Q1255*INDEX(DarlErsatzZins,3))</f>
      </c>
      <c r="Q1256" s="43">
        <f>IF($I1256=0,0,$Q1255+$P1256+$O1256)</f>
      </c>
      <c r="R1256" s="43">
        <f>IF($I1256=0,0,$J1256-$M1256-$N1256)</f>
      </c>
    </row>
    <row r="1257">
      <c r="A1257"/>
      <c r="B1257">
        <v>3</v>
      </c>
      <c r="C1257" s="43">
        <f>INDEX(DarlObj,3)</f>
      </c>
      <c r="D1257">
        <v>294</v>
      </c>
      <c r="E1257" s="51">
        <f>IF(INDEX(DarlBelegt,3)=0,0,EOMONTH(INDEX(DarlAuszahlung,3),293)+1)</f>
      </c>
      <c r="F1257" s="43">
        <f>IF($E1257=0,0,YEAR($E1257))</f>
      </c>
      <c r="G1257" s="43">
        <f>IF(INDEX(DarlBindung,3)="",1,IF($E1257&lt;=INDEX(DarlBindung,3),1,0))</f>
      </c>
      <c r="H1257" s="43">
        <f>IF($G1257=1,INDEX(DarlSollzins,3),INDEX(DarlAnschluss,3))</f>
      </c>
      <c r="I1257" s="43">
        <f>IF(INDEX(DarlBelegt,3)=0,0,IF(INDEX(DarlOhneTilgung,3)=1,IF(INDEX(DarlBindung,3)="",1,$G1257),IF($J1257&gt;0.005,1,0)))</f>
      </c>
      <c r="J1257" s="43">
        <f>IF($I1256=0,0,$R1256)</f>
      </c>
      <c r="K1257" s="43">
        <f>IF($I1257=0,0,IF(INDEX(DarlOhneTilgung,3)=1,0,IF(AND(INDEX(DarlTilgStart,3)&gt;0,$E1257=INDEX(DarlTilgStart,3)),$J1257*($H1257+INDEX(DarlTilgung,3))/100/12,IF(AND($G1257=0,$G1256=1),MAX($K1256,$J1257*($H1257+1)/100/12),$K1256))))</f>
      </c>
      <c r="L1257" s="43">
        <f>IF($I1257=0,0,$J1257*$H1257/100/12)</f>
      </c>
      <c r="M1257" s="43">
        <f>IF($I1257=0,0,IF(OR(INDEX(DarlOhneTilgung,3)=1,AND(INDEX(DarlTilgStart,3)&gt;0,$E1257&lt;INDEX(DarlTilgStart,3))),0,MIN(MAX(0,$K1257-$L1257),$J1257)))</f>
      </c>
      <c r="N1257" s="43">
        <f>IF($I1257=0,0,MIN(SUMIFS(SondBetrag,SondDarl,3,SondDatum,"&gt;="&amp;$E1257,SondDatum,"&lt;="&amp;EOMONTH($E1257,0)),$J1257-$M1257))</f>
      </c>
      <c r="O1257" s="43">
        <f>IF($I1257=0,0,INDEX(DarlErsatzRate,3))</f>
      </c>
      <c r="P1257" s="43">
        <f>IF($I1257=0,0,$Q1256*INDEX(DarlErsatzZins,3))</f>
      </c>
      <c r="Q1257" s="43">
        <f>IF($I1257=0,0,$Q1256+$P1257+$O1257)</f>
      </c>
      <c r="R1257" s="43">
        <f>IF($I1257=0,0,$J1257-$M1257-$N1257)</f>
      </c>
    </row>
    <row r="1258">
      <c r="A1258"/>
      <c r="B1258">
        <v>3</v>
      </c>
      <c r="C1258" s="43">
        <f>INDEX(DarlObj,3)</f>
      </c>
      <c r="D1258">
        <v>295</v>
      </c>
      <c r="E1258" s="51">
        <f>IF(INDEX(DarlBelegt,3)=0,0,EOMONTH(INDEX(DarlAuszahlung,3),294)+1)</f>
      </c>
      <c r="F1258" s="43">
        <f>IF($E1258=0,0,YEAR($E1258))</f>
      </c>
      <c r="G1258" s="43">
        <f>IF(INDEX(DarlBindung,3)="",1,IF($E1258&lt;=INDEX(DarlBindung,3),1,0))</f>
      </c>
      <c r="H1258" s="43">
        <f>IF($G1258=1,INDEX(DarlSollzins,3),INDEX(DarlAnschluss,3))</f>
      </c>
      <c r="I1258" s="43">
        <f>IF(INDEX(DarlBelegt,3)=0,0,IF(INDEX(DarlOhneTilgung,3)=1,IF(INDEX(DarlBindung,3)="",1,$G1258),IF($J1258&gt;0.005,1,0)))</f>
      </c>
      <c r="J1258" s="43">
        <f>IF($I1257=0,0,$R1257)</f>
      </c>
      <c r="K1258" s="43">
        <f>IF($I1258=0,0,IF(INDEX(DarlOhneTilgung,3)=1,0,IF(AND(INDEX(DarlTilgStart,3)&gt;0,$E1258=INDEX(DarlTilgStart,3)),$J1258*($H1258+INDEX(DarlTilgung,3))/100/12,IF(AND($G1258=0,$G1257=1),MAX($K1257,$J1258*($H1258+1)/100/12),$K1257))))</f>
      </c>
      <c r="L1258" s="43">
        <f>IF($I1258=0,0,$J1258*$H1258/100/12)</f>
      </c>
      <c r="M1258" s="43">
        <f>IF($I1258=0,0,IF(OR(INDEX(DarlOhneTilgung,3)=1,AND(INDEX(DarlTilgStart,3)&gt;0,$E1258&lt;INDEX(DarlTilgStart,3))),0,MIN(MAX(0,$K1258-$L1258),$J1258)))</f>
      </c>
      <c r="N1258" s="43">
        <f>IF($I1258=0,0,MIN(SUMIFS(SondBetrag,SondDarl,3,SondDatum,"&gt;="&amp;$E1258,SondDatum,"&lt;="&amp;EOMONTH($E1258,0)),$J1258-$M1258))</f>
      </c>
      <c r="O1258" s="43">
        <f>IF($I1258=0,0,INDEX(DarlErsatzRate,3))</f>
      </c>
      <c r="P1258" s="43">
        <f>IF($I1258=0,0,$Q1257*INDEX(DarlErsatzZins,3))</f>
      </c>
      <c r="Q1258" s="43">
        <f>IF($I1258=0,0,$Q1257+$P1258+$O1258)</f>
      </c>
      <c r="R1258" s="43">
        <f>IF($I1258=0,0,$J1258-$M1258-$N1258)</f>
      </c>
    </row>
    <row r="1259">
      <c r="A1259"/>
      <c r="B1259">
        <v>3</v>
      </c>
      <c r="C1259" s="43">
        <f>INDEX(DarlObj,3)</f>
      </c>
      <c r="D1259">
        <v>296</v>
      </c>
      <c r="E1259" s="51">
        <f>IF(INDEX(DarlBelegt,3)=0,0,EOMONTH(INDEX(DarlAuszahlung,3),295)+1)</f>
      </c>
      <c r="F1259" s="43">
        <f>IF($E1259=0,0,YEAR($E1259))</f>
      </c>
      <c r="G1259" s="43">
        <f>IF(INDEX(DarlBindung,3)="",1,IF($E1259&lt;=INDEX(DarlBindung,3),1,0))</f>
      </c>
      <c r="H1259" s="43">
        <f>IF($G1259=1,INDEX(DarlSollzins,3),INDEX(DarlAnschluss,3))</f>
      </c>
      <c r="I1259" s="43">
        <f>IF(INDEX(DarlBelegt,3)=0,0,IF(INDEX(DarlOhneTilgung,3)=1,IF(INDEX(DarlBindung,3)="",1,$G1259),IF($J1259&gt;0.005,1,0)))</f>
      </c>
      <c r="J1259" s="43">
        <f>IF($I1258=0,0,$R1258)</f>
      </c>
      <c r="K1259" s="43">
        <f>IF($I1259=0,0,IF(INDEX(DarlOhneTilgung,3)=1,0,IF(AND(INDEX(DarlTilgStart,3)&gt;0,$E1259=INDEX(DarlTilgStart,3)),$J1259*($H1259+INDEX(DarlTilgung,3))/100/12,IF(AND($G1259=0,$G1258=1),MAX($K1258,$J1259*($H1259+1)/100/12),$K1258))))</f>
      </c>
      <c r="L1259" s="43">
        <f>IF($I1259=0,0,$J1259*$H1259/100/12)</f>
      </c>
      <c r="M1259" s="43">
        <f>IF($I1259=0,0,IF(OR(INDEX(DarlOhneTilgung,3)=1,AND(INDEX(DarlTilgStart,3)&gt;0,$E1259&lt;INDEX(DarlTilgStart,3))),0,MIN(MAX(0,$K1259-$L1259),$J1259)))</f>
      </c>
      <c r="N1259" s="43">
        <f>IF($I1259=0,0,MIN(SUMIFS(SondBetrag,SondDarl,3,SondDatum,"&gt;="&amp;$E1259,SondDatum,"&lt;="&amp;EOMONTH($E1259,0)),$J1259-$M1259))</f>
      </c>
      <c r="O1259" s="43">
        <f>IF($I1259=0,0,INDEX(DarlErsatzRate,3))</f>
      </c>
      <c r="P1259" s="43">
        <f>IF($I1259=0,0,$Q1258*INDEX(DarlErsatzZins,3))</f>
      </c>
      <c r="Q1259" s="43">
        <f>IF($I1259=0,0,$Q1258+$P1259+$O1259)</f>
      </c>
      <c r="R1259" s="43">
        <f>IF($I1259=0,0,$J1259-$M1259-$N1259)</f>
      </c>
    </row>
    <row r="1260">
      <c r="A1260"/>
      <c r="B1260">
        <v>3</v>
      </c>
      <c r="C1260" s="43">
        <f>INDEX(DarlObj,3)</f>
      </c>
      <c r="D1260">
        <v>297</v>
      </c>
      <c r="E1260" s="51">
        <f>IF(INDEX(DarlBelegt,3)=0,0,EOMONTH(INDEX(DarlAuszahlung,3),296)+1)</f>
      </c>
      <c r="F1260" s="43">
        <f>IF($E1260=0,0,YEAR($E1260))</f>
      </c>
      <c r="G1260" s="43">
        <f>IF(INDEX(DarlBindung,3)="",1,IF($E1260&lt;=INDEX(DarlBindung,3),1,0))</f>
      </c>
      <c r="H1260" s="43">
        <f>IF($G1260=1,INDEX(DarlSollzins,3),INDEX(DarlAnschluss,3))</f>
      </c>
      <c r="I1260" s="43">
        <f>IF(INDEX(DarlBelegt,3)=0,0,IF(INDEX(DarlOhneTilgung,3)=1,IF(INDEX(DarlBindung,3)="",1,$G1260),IF($J1260&gt;0.005,1,0)))</f>
      </c>
      <c r="J1260" s="43">
        <f>IF($I1259=0,0,$R1259)</f>
      </c>
      <c r="K1260" s="43">
        <f>IF($I1260=0,0,IF(INDEX(DarlOhneTilgung,3)=1,0,IF(AND(INDEX(DarlTilgStart,3)&gt;0,$E1260=INDEX(DarlTilgStart,3)),$J1260*($H1260+INDEX(DarlTilgung,3))/100/12,IF(AND($G1260=0,$G1259=1),MAX($K1259,$J1260*($H1260+1)/100/12),$K1259))))</f>
      </c>
      <c r="L1260" s="43">
        <f>IF($I1260=0,0,$J1260*$H1260/100/12)</f>
      </c>
      <c r="M1260" s="43">
        <f>IF($I1260=0,0,IF(OR(INDEX(DarlOhneTilgung,3)=1,AND(INDEX(DarlTilgStart,3)&gt;0,$E1260&lt;INDEX(DarlTilgStart,3))),0,MIN(MAX(0,$K1260-$L1260),$J1260)))</f>
      </c>
      <c r="N1260" s="43">
        <f>IF($I1260=0,0,MIN(SUMIFS(SondBetrag,SondDarl,3,SondDatum,"&gt;="&amp;$E1260,SondDatum,"&lt;="&amp;EOMONTH($E1260,0)),$J1260-$M1260))</f>
      </c>
      <c r="O1260" s="43">
        <f>IF($I1260=0,0,INDEX(DarlErsatzRate,3))</f>
      </c>
      <c r="P1260" s="43">
        <f>IF($I1260=0,0,$Q1259*INDEX(DarlErsatzZins,3))</f>
      </c>
      <c r="Q1260" s="43">
        <f>IF($I1260=0,0,$Q1259+$P1260+$O1260)</f>
      </c>
      <c r="R1260" s="43">
        <f>IF($I1260=0,0,$J1260-$M1260-$N1260)</f>
      </c>
    </row>
    <row r="1261">
      <c r="A1261"/>
      <c r="B1261">
        <v>3</v>
      </c>
      <c r="C1261" s="43">
        <f>INDEX(DarlObj,3)</f>
      </c>
      <c r="D1261">
        <v>298</v>
      </c>
      <c r="E1261" s="51">
        <f>IF(INDEX(DarlBelegt,3)=0,0,EOMONTH(INDEX(DarlAuszahlung,3),297)+1)</f>
      </c>
      <c r="F1261" s="43">
        <f>IF($E1261=0,0,YEAR($E1261))</f>
      </c>
      <c r="G1261" s="43">
        <f>IF(INDEX(DarlBindung,3)="",1,IF($E1261&lt;=INDEX(DarlBindung,3),1,0))</f>
      </c>
      <c r="H1261" s="43">
        <f>IF($G1261=1,INDEX(DarlSollzins,3),INDEX(DarlAnschluss,3))</f>
      </c>
      <c r="I1261" s="43">
        <f>IF(INDEX(DarlBelegt,3)=0,0,IF(INDEX(DarlOhneTilgung,3)=1,IF(INDEX(DarlBindung,3)="",1,$G1261),IF($J1261&gt;0.005,1,0)))</f>
      </c>
      <c r="J1261" s="43">
        <f>IF($I1260=0,0,$R1260)</f>
      </c>
      <c r="K1261" s="43">
        <f>IF($I1261=0,0,IF(INDEX(DarlOhneTilgung,3)=1,0,IF(AND(INDEX(DarlTilgStart,3)&gt;0,$E1261=INDEX(DarlTilgStart,3)),$J1261*($H1261+INDEX(DarlTilgung,3))/100/12,IF(AND($G1261=0,$G1260=1),MAX($K1260,$J1261*($H1261+1)/100/12),$K1260))))</f>
      </c>
      <c r="L1261" s="43">
        <f>IF($I1261=0,0,$J1261*$H1261/100/12)</f>
      </c>
      <c r="M1261" s="43">
        <f>IF($I1261=0,0,IF(OR(INDEX(DarlOhneTilgung,3)=1,AND(INDEX(DarlTilgStart,3)&gt;0,$E1261&lt;INDEX(DarlTilgStart,3))),0,MIN(MAX(0,$K1261-$L1261),$J1261)))</f>
      </c>
      <c r="N1261" s="43">
        <f>IF($I1261=0,0,MIN(SUMIFS(SondBetrag,SondDarl,3,SondDatum,"&gt;="&amp;$E1261,SondDatum,"&lt;="&amp;EOMONTH($E1261,0)),$J1261-$M1261))</f>
      </c>
      <c r="O1261" s="43">
        <f>IF($I1261=0,0,INDEX(DarlErsatzRate,3))</f>
      </c>
      <c r="P1261" s="43">
        <f>IF($I1261=0,0,$Q1260*INDEX(DarlErsatzZins,3))</f>
      </c>
      <c r="Q1261" s="43">
        <f>IF($I1261=0,0,$Q1260+$P1261+$O1261)</f>
      </c>
      <c r="R1261" s="43">
        <f>IF($I1261=0,0,$J1261-$M1261-$N1261)</f>
      </c>
    </row>
    <row r="1262">
      <c r="A1262"/>
      <c r="B1262">
        <v>3</v>
      </c>
      <c r="C1262" s="43">
        <f>INDEX(DarlObj,3)</f>
      </c>
      <c r="D1262">
        <v>299</v>
      </c>
      <c r="E1262" s="51">
        <f>IF(INDEX(DarlBelegt,3)=0,0,EOMONTH(INDEX(DarlAuszahlung,3),298)+1)</f>
      </c>
      <c r="F1262" s="43">
        <f>IF($E1262=0,0,YEAR($E1262))</f>
      </c>
      <c r="G1262" s="43">
        <f>IF(INDEX(DarlBindung,3)="",1,IF($E1262&lt;=INDEX(DarlBindung,3),1,0))</f>
      </c>
      <c r="H1262" s="43">
        <f>IF($G1262=1,INDEX(DarlSollzins,3),INDEX(DarlAnschluss,3))</f>
      </c>
      <c r="I1262" s="43">
        <f>IF(INDEX(DarlBelegt,3)=0,0,IF(INDEX(DarlOhneTilgung,3)=1,IF(INDEX(DarlBindung,3)="",1,$G1262),IF($J1262&gt;0.005,1,0)))</f>
      </c>
      <c r="J1262" s="43">
        <f>IF($I1261=0,0,$R1261)</f>
      </c>
      <c r="K1262" s="43">
        <f>IF($I1262=0,0,IF(INDEX(DarlOhneTilgung,3)=1,0,IF(AND(INDEX(DarlTilgStart,3)&gt;0,$E1262=INDEX(DarlTilgStart,3)),$J1262*($H1262+INDEX(DarlTilgung,3))/100/12,IF(AND($G1262=0,$G1261=1),MAX($K1261,$J1262*($H1262+1)/100/12),$K1261))))</f>
      </c>
      <c r="L1262" s="43">
        <f>IF($I1262=0,0,$J1262*$H1262/100/12)</f>
      </c>
      <c r="M1262" s="43">
        <f>IF($I1262=0,0,IF(OR(INDEX(DarlOhneTilgung,3)=1,AND(INDEX(DarlTilgStart,3)&gt;0,$E1262&lt;INDEX(DarlTilgStart,3))),0,MIN(MAX(0,$K1262-$L1262),$J1262)))</f>
      </c>
      <c r="N1262" s="43">
        <f>IF($I1262=0,0,MIN(SUMIFS(SondBetrag,SondDarl,3,SondDatum,"&gt;="&amp;$E1262,SondDatum,"&lt;="&amp;EOMONTH($E1262,0)),$J1262-$M1262))</f>
      </c>
      <c r="O1262" s="43">
        <f>IF($I1262=0,0,INDEX(DarlErsatzRate,3))</f>
      </c>
      <c r="P1262" s="43">
        <f>IF($I1262=0,0,$Q1261*INDEX(DarlErsatzZins,3))</f>
      </c>
      <c r="Q1262" s="43">
        <f>IF($I1262=0,0,$Q1261+$P1262+$O1262)</f>
      </c>
      <c r="R1262" s="43">
        <f>IF($I1262=0,0,$J1262-$M1262-$N1262)</f>
      </c>
    </row>
    <row r="1263">
      <c r="A1263"/>
      <c r="B1263">
        <v>3</v>
      </c>
      <c r="C1263" s="43">
        <f>INDEX(DarlObj,3)</f>
      </c>
      <c r="D1263">
        <v>300</v>
      </c>
      <c r="E1263" s="51">
        <f>IF(INDEX(DarlBelegt,3)=0,0,EOMONTH(INDEX(DarlAuszahlung,3),299)+1)</f>
      </c>
      <c r="F1263" s="43">
        <f>IF($E1263=0,0,YEAR($E1263))</f>
      </c>
      <c r="G1263" s="43">
        <f>IF(INDEX(DarlBindung,3)="",1,IF($E1263&lt;=INDEX(DarlBindung,3),1,0))</f>
      </c>
      <c r="H1263" s="43">
        <f>IF($G1263=1,INDEX(DarlSollzins,3),INDEX(DarlAnschluss,3))</f>
      </c>
      <c r="I1263" s="43">
        <f>IF(INDEX(DarlBelegt,3)=0,0,IF(INDEX(DarlOhneTilgung,3)=1,IF(INDEX(DarlBindung,3)="",1,$G1263),IF($J1263&gt;0.005,1,0)))</f>
      </c>
      <c r="J1263" s="43">
        <f>IF($I1262=0,0,$R1262)</f>
      </c>
      <c r="K1263" s="43">
        <f>IF($I1263=0,0,IF(INDEX(DarlOhneTilgung,3)=1,0,IF(AND(INDEX(DarlTilgStart,3)&gt;0,$E1263=INDEX(DarlTilgStart,3)),$J1263*($H1263+INDEX(DarlTilgung,3))/100/12,IF(AND($G1263=0,$G1262=1),MAX($K1262,$J1263*($H1263+1)/100/12),$K1262))))</f>
      </c>
      <c r="L1263" s="43">
        <f>IF($I1263=0,0,$J1263*$H1263/100/12)</f>
      </c>
      <c r="M1263" s="43">
        <f>IF($I1263=0,0,IF(OR(INDEX(DarlOhneTilgung,3)=1,AND(INDEX(DarlTilgStart,3)&gt;0,$E1263&lt;INDEX(DarlTilgStart,3))),0,MIN(MAX(0,$K1263-$L1263),$J1263)))</f>
      </c>
      <c r="N1263" s="43">
        <f>IF($I1263=0,0,MIN(SUMIFS(SondBetrag,SondDarl,3,SondDatum,"&gt;="&amp;$E1263,SondDatum,"&lt;="&amp;EOMONTH($E1263,0)),$J1263-$M1263))</f>
      </c>
      <c r="O1263" s="43">
        <f>IF($I1263=0,0,INDEX(DarlErsatzRate,3))</f>
      </c>
      <c r="P1263" s="43">
        <f>IF($I1263=0,0,$Q1262*INDEX(DarlErsatzZins,3))</f>
      </c>
      <c r="Q1263" s="43">
        <f>IF($I1263=0,0,$Q1262+$P1263+$O1263)</f>
      </c>
      <c r="R1263" s="43">
        <f>IF($I1263=0,0,$J1263-$M1263-$N1263)</f>
      </c>
    </row>
    <row r="1264">
      <c r="A1264"/>
      <c r="B1264">
        <v>3</v>
      </c>
      <c r="C1264" s="43">
        <f>INDEX(DarlObj,3)</f>
      </c>
      <c r="D1264">
        <v>301</v>
      </c>
      <c r="E1264" s="51">
        <f>IF(INDEX(DarlBelegt,3)=0,0,EOMONTH(INDEX(DarlAuszahlung,3),300)+1)</f>
      </c>
      <c r="F1264" s="43">
        <f>IF($E1264=0,0,YEAR($E1264))</f>
      </c>
      <c r="G1264" s="43">
        <f>IF(INDEX(DarlBindung,3)="",1,IF($E1264&lt;=INDEX(DarlBindung,3),1,0))</f>
      </c>
      <c r="H1264" s="43">
        <f>IF($G1264=1,INDEX(DarlSollzins,3),INDEX(DarlAnschluss,3))</f>
      </c>
      <c r="I1264" s="43">
        <f>IF(INDEX(DarlBelegt,3)=0,0,IF(INDEX(DarlOhneTilgung,3)=1,IF(INDEX(DarlBindung,3)="",1,$G1264),IF($J1264&gt;0.005,1,0)))</f>
      </c>
      <c r="J1264" s="43">
        <f>IF($I1263=0,0,$R1263)</f>
      </c>
      <c r="K1264" s="43">
        <f>IF($I1264=0,0,IF(INDEX(DarlOhneTilgung,3)=1,0,IF(AND(INDEX(DarlTilgStart,3)&gt;0,$E1264=INDEX(DarlTilgStart,3)),$J1264*($H1264+INDEX(DarlTilgung,3))/100/12,IF(AND($G1264=0,$G1263=1),MAX($K1263,$J1264*($H1264+1)/100/12),$K1263))))</f>
      </c>
      <c r="L1264" s="43">
        <f>IF($I1264=0,0,$J1264*$H1264/100/12)</f>
      </c>
      <c r="M1264" s="43">
        <f>IF($I1264=0,0,IF(OR(INDEX(DarlOhneTilgung,3)=1,AND(INDEX(DarlTilgStart,3)&gt;0,$E1264&lt;INDEX(DarlTilgStart,3))),0,MIN(MAX(0,$K1264-$L1264),$J1264)))</f>
      </c>
      <c r="N1264" s="43">
        <f>IF($I1264=0,0,MIN(SUMIFS(SondBetrag,SondDarl,3,SondDatum,"&gt;="&amp;$E1264,SondDatum,"&lt;="&amp;EOMONTH($E1264,0)),$J1264-$M1264))</f>
      </c>
      <c r="O1264" s="43">
        <f>IF($I1264=0,0,INDEX(DarlErsatzRate,3))</f>
      </c>
      <c r="P1264" s="43">
        <f>IF($I1264=0,0,$Q1263*INDEX(DarlErsatzZins,3))</f>
      </c>
      <c r="Q1264" s="43">
        <f>IF($I1264=0,0,$Q1263+$P1264+$O1264)</f>
      </c>
      <c r="R1264" s="43">
        <f>IF($I1264=0,0,$J1264-$M1264-$N1264)</f>
      </c>
    </row>
    <row r="1265">
      <c r="A1265"/>
      <c r="B1265">
        <v>3</v>
      </c>
      <c r="C1265" s="43">
        <f>INDEX(DarlObj,3)</f>
      </c>
      <c r="D1265">
        <v>302</v>
      </c>
      <c r="E1265" s="51">
        <f>IF(INDEX(DarlBelegt,3)=0,0,EOMONTH(INDEX(DarlAuszahlung,3),301)+1)</f>
      </c>
      <c r="F1265" s="43">
        <f>IF($E1265=0,0,YEAR($E1265))</f>
      </c>
      <c r="G1265" s="43">
        <f>IF(INDEX(DarlBindung,3)="",1,IF($E1265&lt;=INDEX(DarlBindung,3),1,0))</f>
      </c>
      <c r="H1265" s="43">
        <f>IF($G1265=1,INDEX(DarlSollzins,3),INDEX(DarlAnschluss,3))</f>
      </c>
      <c r="I1265" s="43">
        <f>IF(INDEX(DarlBelegt,3)=0,0,IF(INDEX(DarlOhneTilgung,3)=1,IF(INDEX(DarlBindung,3)="",1,$G1265),IF($J1265&gt;0.005,1,0)))</f>
      </c>
      <c r="J1265" s="43">
        <f>IF($I1264=0,0,$R1264)</f>
      </c>
      <c r="K1265" s="43">
        <f>IF($I1265=0,0,IF(INDEX(DarlOhneTilgung,3)=1,0,IF(AND(INDEX(DarlTilgStart,3)&gt;0,$E1265=INDEX(DarlTilgStart,3)),$J1265*($H1265+INDEX(DarlTilgung,3))/100/12,IF(AND($G1265=0,$G1264=1),MAX($K1264,$J1265*($H1265+1)/100/12),$K1264))))</f>
      </c>
      <c r="L1265" s="43">
        <f>IF($I1265=0,0,$J1265*$H1265/100/12)</f>
      </c>
      <c r="M1265" s="43">
        <f>IF($I1265=0,0,IF(OR(INDEX(DarlOhneTilgung,3)=1,AND(INDEX(DarlTilgStart,3)&gt;0,$E1265&lt;INDEX(DarlTilgStart,3))),0,MIN(MAX(0,$K1265-$L1265),$J1265)))</f>
      </c>
      <c r="N1265" s="43">
        <f>IF($I1265=0,0,MIN(SUMIFS(SondBetrag,SondDarl,3,SondDatum,"&gt;="&amp;$E1265,SondDatum,"&lt;="&amp;EOMONTH($E1265,0)),$J1265-$M1265))</f>
      </c>
      <c r="O1265" s="43">
        <f>IF($I1265=0,0,INDEX(DarlErsatzRate,3))</f>
      </c>
      <c r="P1265" s="43">
        <f>IF($I1265=0,0,$Q1264*INDEX(DarlErsatzZins,3))</f>
      </c>
      <c r="Q1265" s="43">
        <f>IF($I1265=0,0,$Q1264+$P1265+$O1265)</f>
      </c>
      <c r="R1265" s="43">
        <f>IF($I1265=0,0,$J1265-$M1265-$N1265)</f>
      </c>
    </row>
    <row r="1266">
      <c r="A1266"/>
      <c r="B1266">
        <v>3</v>
      </c>
      <c r="C1266" s="43">
        <f>INDEX(DarlObj,3)</f>
      </c>
      <c r="D1266">
        <v>303</v>
      </c>
      <c r="E1266" s="51">
        <f>IF(INDEX(DarlBelegt,3)=0,0,EOMONTH(INDEX(DarlAuszahlung,3),302)+1)</f>
      </c>
      <c r="F1266" s="43">
        <f>IF($E1266=0,0,YEAR($E1266))</f>
      </c>
      <c r="G1266" s="43">
        <f>IF(INDEX(DarlBindung,3)="",1,IF($E1266&lt;=INDEX(DarlBindung,3),1,0))</f>
      </c>
      <c r="H1266" s="43">
        <f>IF($G1266=1,INDEX(DarlSollzins,3),INDEX(DarlAnschluss,3))</f>
      </c>
      <c r="I1266" s="43">
        <f>IF(INDEX(DarlBelegt,3)=0,0,IF(INDEX(DarlOhneTilgung,3)=1,IF(INDEX(DarlBindung,3)="",1,$G1266),IF($J1266&gt;0.005,1,0)))</f>
      </c>
      <c r="J1266" s="43">
        <f>IF($I1265=0,0,$R1265)</f>
      </c>
      <c r="K1266" s="43">
        <f>IF($I1266=0,0,IF(INDEX(DarlOhneTilgung,3)=1,0,IF(AND(INDEX(DarlTilgStart,3)&gt;0,$E1266=INDEX(DarlTilgStart,3)),$J1266*($H1266+INDEX(DarlTilgung,3))/100/12,IF(AND($G1266=0,$G1265=1),MAX($K1265,$J1266*($H1266+1)/100/12),$K1265))))</f>
      </c>
      <c r="L1266" s="43">
        <f>IF($I1266=0,0,$J1266*$H1266/100/12)</f>
      </c>
      <c r="M1266" s="43">
        <f>IF($I1266=0,0,IF(OR(INDEX(DarlOhneTilgung,3)=1,AND(INDEX(DarlTilgStart,3)&gt;0,$E1266&lt;INDEX(DarlTilgStart,3))),0,MIN(MAX(0,$K1266-$L1266),$J1266)))</f>
      </c>
      <c r="N1266" s="43">
        <f>IF($I1266=0,0,MIN(SUMIFS(SondBetrag,SondDarl,3,SondDatum,"&gt;="&amp;$E1266,SondDatum,"&lt;="&amp;EOMONTH($E1266,0)),$J1266-$M1266))</f>
      </c>
      <c r="O1266" s="43">
        <f>IF($I1266=0,0,INDEX(DarlErsatzRate,3))</f>
      </c>
      <c r="P1266" s="43">
        <f>IF($I1266=0,0,$Q1265*INDEX(DarlErsatzZins,3))</f>
      </c>
      <c r="Q1266" s="43">
        <f>IF($I1266=0,0,$Q1265+$P1266+$O1266)</f>
      </c>
      <c r="R1266" s="43">
        <f>IF($I1266=0,0,$J1266-$M1266-$N1266)</f>
      </c>
    </row>
    <row r="1267">
      <c r="A1267"/>
      <c r="B1267">
        <v>3</v>
      </c>
      <c r="C1267" s="43">
        <f>INDEX(DarlObj,3)</f>
      </c>
      <c r="D1267">
        <v>304</v>
      </c>
      <c r="E1267" s="51">
        <f>IF(INDEX(DarlBelegt,3)=0,0,EOMONTH(INDEX(DarlAuszahlung,3),303)+1)</f>
      </c>
      <c r="F1267" s="43">
        <f>IF($E1267=0,0,YEAR($E1267))</f>
      </c>
      <c r="G1267" s="43">
        <f>IF(INDEX(DarlBindung,3)="",1,IF($E1267&lt;=INDEX(DarlBindung,3),1,0))</f>
      </c>
      <c r="H1267" s="43">
        <f>IF($G1267=1,INDEX(DarlSollzins,3),INDEX(DarlAnschluss,3))</f>
      </c>
      <c r="I1267" s="43">
        <f>IF(INDEX(DarlBelegt,3)=0,0,IF(INDEX(DarlOhneTilgung,3)=1,IF(INDEX(DarlBindung,3)="",1,$G1267),IF($J1267&gt;0.005,1,0)))</f>
      </c>
      <c r="J1267" s="43">
        <f>IF($I1266=0,0,$R1266)</f>
      </c>
      <c r="K1267" s="43">
        <f>IF($I1267=0,0,IF(INDEX(DarlOhneTilgung,3)=1,0,IF(AND(INDEX(DarlTilgStart,3)&gt;0,$E1267=INDEX(DarlTilgStart,3)),$J1267*($H1267+INDEX(DarlTilgung,3))/100/12,IF(AND($G1267=0,$G1266=1),MAX($K1266,$J1267*($H1267+1)/100/12),$K1266))))</f>
      </c>
      <c r="L1267" s="43">
        <f>IF($I1267=0,0,$J1267*$H1267/100/12)</f>
      </c>
      <c r="M1267" s="43">
        <f>IF($I1267=0,0,IF(OR(INDEX(DarlOhneTilgung,3)=1,AND(INDEX(DarlTilgStart,3)&gt;0,$E1267&lt;INDEX(DarlTilgStart,3))),0,MIN(MAX(0,$K1267-$L1267),$J1267)))</f>
      </c>
      <c r="N1267" s="43">
        <f>IF($I1267=0,0,MIN(SUMIFS(SondBetrag,SondDarl,3,SondDatum,"&gt;="&amp;$E1267,SondDatum,"&lt;="&amp;EOMONTH($E1267,0)),$J1267-$M1267))</f>
      </c>
      <c r="O1267" s="43">
        <f>IF($I1267=0,0,INDEX(DarlErsatzRate,3))</f>
      </c>
      <c r="P1267" s="43">
        <f>IF($I1267=0,0,$Q1266*INDEX(DarlErsatzZins,3))</f>
      </c>
      <c r="Q1267" s="43">
        <f>IF($I1267=0,0,$Q1266+$P1267+$O1267)</f>
      </c>
      <c r="R1267" s="43">
        <f>IF($I1267=0,0,$J1267-$M1267-$N1267)</f>
      </c>
    </row>
    <row r="1268">
      <c r="A1268"/>
      <c r="B1268">
        <v>3</v>
      </c>
      <c r="C1268" s="43">
        <f>INDEX(DarlObj,3)</f>
      </c>
      <c r="D1268">
        <v>305</v>
      </c>
      <c r="E1268" s="51">
        <f>IF(INDEX(DarlBelegt,3)=0,0,EOMONTH(INDEX(DarlAuszahlung,3),304)+1)</f>
      </c>
      <c r="F1268" s="43">
        <f>IF($E1268=0,0,YEAR($E1268))</f>
      </c>
      <c r="G1268" s="43">
        <f>IF(INDEX(DarlBindung,3)="",1,IF($E1268&lt;=INDEX(DarlBindung,3),1,0))</f>
      </c>
      <c r="H1268" s="43">
        <f>IF($G1268=1,INDEX(DarlSollzins,3),INDEX(DarlAnschluss,3))</f>
      </c>
      <c r="I1268" s="43">
        <f>IF(INDEX(DarlBelegt,3)=0,0,IF(INDEX(DarlOhneTilgung,3)=1,IF(INDEX(DarlBindung,3)="",1,$G1268),IF($J1268&gt;0.005,1,0)))</f>
      </c>
      <c r="J1268" s="43">
        <f>IF($I1267=0,0,$R1267)</f>
      </c>
      <c r="K1268" s="43">
        <f>IF($I1268=0,0,IF(INDEX(DarlOhneTilgung,3)=1,0,IF(AND(INDEX(DarlTilgStart,3)&gt;0,$E1268=INDEX(DarlTilgStart,3)),$J1268*($H1268+INDEX(DarlTilgung,3))/100/12,IF(AND($G1268=0,$G1267=1),MAX($K1267,$J1268*($H1268+1)/100/12),$K1267))))</f>
      </c>
      <c r="L1268" s="43">
        <f>IF($I1268=0,0,$J1268*$H1268/100/12)</f>
      </c>
      <c r="M1268" s="43">
        <f>IF($I1268=0,0,IF(OR(INDEX(DarlOhneTilgung,3)=1,AND(INDEX(DarlTilgStart,3)&gt;0,$E1268&lt;INDEX(DarlTilgStart,3))),0,MIN(MAX(0,$K1268-$L1268),$J1268)))</f>
      </c>
      <c r="N1268" s="43">
        <f>IF($I1268=0,0,MIN(SUMIFS(SondBetrag,SondDarl,3,SondDatum,"&gt;="&amp;$E1268,SondDatum,"&lt;="&amp;EOMONTH($E1268,0)),$J1268-$M1268))</f>
      </c>
      <c r="O1268" s="43">
        <f>IF($I1268=0,0,INDEX(DarlErsatzRate,3))</f>
      </c>
      <c r="P1268" s="43">
        <f>IF($I1268=0,0,$Q1267*INDEX(DarlErsatzZins,3))</f>
      </c>
      <c r="Q1268" s="43">
        <f>IF($I1268=0,0,$Q1267+$P1268+$O1268)</f>
      </c>
      <c r="R1268" s="43">
        <f>IF($I1268=0,0,$J1268-$M1268-$N1268)</f>
      </c>
    </row>
    <row r="1269">
      <c r="A1269"/>
      <c r="B1269">
        <v>3</v>
      </c>
      <c r="C1269" s="43">
        <f>INDEX(DarlObj,3)</f>
      </c>
      <c r="D1269">
        <v>306</v>
      </c>
      <c r="E1269" s="51">
        <f>IF(INDEX(DarlBelegt,3)=0,0,EOMONTH(INDEX(DarlAuszahlung,3),305)+1)</f>
      </c>
      <c r="F1269" s="43">
        <f>IF($E1269=0,0,YEAR($E1269))</f>
      </c>
      <c r="G1269" s="43">
        <f>IF(INDEX(DarlBindung,3)="",1,IF($E1269&lt;=INDEX(DarlBindung,3),1,0))</f>
      </c>
      <c r="H1269" s="43">
        <f>IF($G1269=1,INDEX(DarlSollzins,3),INDEX(DarlAnschluss,3))</f>
      </c>
      <c r="I1269" s="43">
        <f>IF(INDEX(DarlBelegt,3)=0,0,IF(INDEX(DarlOhneTilgung,3)=1,IF(INDEX(DarlBindung,3)="",1,$G1269),IF($J1269&gt;0.005,1,0)))</f>
      </c>
      <c r="J1269" s="43">
        <f>IF($I1268=0,0,$R1268)</f>
      </c>
      <c r="K1269" s="43">
        <f>IF($I1269=0,0,IF(INDEX(DarlOhneTilgung,3)=1,0,IF(AND(INDEX(DarlTilgStart,3)&gt;0,$E1269=INDEX(DarlTilgStart,3)),$J1269*($H1269+INDEX(DarlTilgung,3))/100/12,IF(AND($G1269=0,$G1268=1),MAX($K1268,$J1269*($H1269+1)/100/12),$K1268))))</f>
      </c>
      <c r="L1269" s="43">
        <f>IF($I1269=0,0,$J1269*$H1269/100/12)</f>
      </c>
      <c r="M1269" s="43">
        <f>IF($I1269=0,0,IF(OR(INDEX(DarlOhneTilgung,3)=1,AND(INDEX(DarlTilgStart,3)&gt;0,$E1269&lt;INDEX(DarlTilgStart,3))),0,MIN(MAX(0,$K1269-$L1269),$J1269)))</f>
      </c>
      <c r="N1269" s="43">
        <f>IF($I1269=0,0,MIN(SUMIFS(SondBetrag,SondDarl,3,SondDatum,"&gt;="&amp;$E1269,SondDatum,"&lt;="&amp;EOMONTH($E1269,0)),$J1269-$M1269))</f>
      </c>
      <c r="O1269" s="43">
        <f>IF($I1269=0,0,INDEX(DarlErsatzRate,3))</f>
      </c>
      <c r="P1269" s="43">
        <f>IF($I1269=0,0,$Q1268*INDEX(DarlErsatzZins,3))</f>
      </c>
      <c r="Q1269" s="43">
        <f>IF($I1269=0,0,$Q1268+$P1269+$O1269)</f>
      </c>
      <c r="R1269" s="43">
        <f>IF($I1269=0,0,$J1269-$M1269-$N1269)</f>
      </c>
    </row>
    <row r="1270">
      <c r="A1270"/>
      <c r="B1270">
        <v>3</v>
      </c>
      <c r="C1270" s="43">
        <f>INDEX(DarlObj,3)</f>
      </c>
      <c r="D1270">
        <v>307</v>
      </c>
      <c r="E1270" s="51">
        <f>IF(INDEX(DarlBelegt,3)=0,0,EOMONTH(INDEX(DarlAuszahlung,3),306)+1)</f>
      </c>
      <c r="F1270" s="43">
        <f>IF($E1270=0,0,YEAR($E1270))</f>
      </c>
      <c r="G1270" s="43">
        <f>IF(INDEX(DarlBindung,3)="",1,IF($E1270&lt;=INDEX(DarlBindung,3),1,0))</f>
      </c>
      <c r="H1270" s="43">
        <f>IF($G1270=1,INDEX(DarlSollzins,3),INDEX(DarlAnschluss,3))</f>
      </c>
      <c r="I1270" s="43">
        <f>IF(INDEX(DarlBelegt,3)=0,0,IF(INDEX(DarlOhneTilgung,3)=1,IF(INDEX(DarlBindung,3)="",1,$G1270),IF($J1270&gt;0.005,1,0)))</f>
      </c>
      <c r="J1270" s="43">
        <f>IF($I1269=0,0,$R1269)</f>
      </c>
      <c r="K1270" s="43">
        <f>IF($I1270=0,0,IF(INDEX(DarlOhneTilgung,3)=1,0,IF(AND(INDEX(DarlTilgStart,3)&gt;0,$E1270=INDEX(DarlTilgStart,3)),$J1270*($H1270+INDEX(DarlTilgung,3))/100/12,IF(AND($G1270=0,$G1269=1),MAX($K1269,$J1270*($H1270+1)/100/12),$K1269))))</f>
      </c>
      <c r="L1270" s="43">
        <f>IF($I1270=0,0,$J1270*$H1270/100/12)</f>
      </c>
      <c r="M1270" s="43">
        <f>IF($I1270=0,0,IF(OR(INDEX(DarlOhneTilgung,3)=1,AND(INDEX(DarlTilgStart,3)&gt;0,$E1270&lt;INDEX(DarlTilgStart,3))),0,MIN(MAX(0,$K1270-$L1270),$J1270)))</f>
      </c>
      <c r="N1270" s="43">
        <f>IF($I1270=0,0,MIN(SUMIFS(SondBetrag,SondDarl,3,SondDatum,"&gt;="&amp;$E1270,SondDatum,"&lt;="&amp;EOMONTH($E1270,0)),$J1270-$M1270))</f>
      </c>
      <c r="O1270" s="43">
        <f>IF($I1270=0,0,INDEX(DarlErsatzRate,3))</f>
      </c>
      <c r="P1270" s="43">
        <f>IF($I1270=0,0,$Q1269*INDEX(DarlErsatzZins,3))</f>
      </c>
      <c r="Q1270" s="43">
        <f>IF($I1270=0,0,$Q1269+$P1270+$O1270)</f>
      </c>
      <c r="R1270" s="43">
        <f>IF($I1270=0,0,$J1270-$M1270-$N1270)</f>
      </c>
    </row>
    <row r="1271">
      <c r="A1271"/>
      <c r="B1271">
        <v>3</v>
      </c>
      <c r="C1271" s="43">
        <f>INDEX(DarlObj,3)</f>
      </c>
      <c r="D1271">
        <v>308</v>
      </c>
      <c r="E1271" s="51">
        <f>IF(INDEX(DarlBelegt,3)=0,0,EOMONTH(INDEX(DarlAuszahlung,3),307)+1)</f>
      </c>
      <c r="F1271" s="43">
        <f>IF($E1271=0,0,YEAR($E1271))</f>
      </c>
      <c r="G1271" s="43">
        <f>IF(INDEX(DarlBindung,3)="",1,IF($E1271&lt;=INDEX(DarlBindung,3),1,0))</f>
      </c>
      <c r="H1271" s="43">
        <f>IF($G1271=1,INDEX(DarlSollzins,3),INDEX(DarlAnschluss,3))</f>
      </c>
      <c r="I1271" s="43">
        <f>IF(INDEX(DarlBelegt,3)=0,0,IF(INDEX(DarlOhneTilgung,3)=1,IF(INDEX(DarlBindung,3)="",1,$G1271),IF($J1271&gt;0.005,1,0)))</f>
      </c>
      <c r="J1271" s="43">
        <f>IF($I1270=0,0,$R1270)</f>
      </c>
      <c r="K1271" s="43">
        <f>IF($I1271=0,0,IF(INDEX(DarlOhneTilgung,3)=1,0,IF(AND(INDEX(DarlTilgStart,3)&gt;0,$E1271=INDEX(DarlTilgStart,3)),$J1271*($H1271+INDEX(DarlTilgung,3))/100/12,IF(AND($G1271=0,$G1270=1),MAX($K1270,$J1271*($H1271+1)/100/12),$K1270))))</f>
      </c>
      <c r="L1271" s="43">
        <f>IF($I1271=0,0,$J1271*$H1271/100/12)</f>
      </c>
      <c r="M1271" s="43">
        <f>IF($I1271=0,0,IF(OR(INDEX(DarlOhneTilgung,3)=1,AND(INDEX(DarlTilgStart,3)&gt;0,$E1271&lt;INDEX(DarlTilgStart,3))),0,MIN(MAX(0,$K1271-$L1271),$J1271)))</f>
      </c>
      <c r="N1271" s="43">
        <f>IF($I1271=0,0,MIN(SUMIFS(SondBetrag,SondDarl,3,SondDatum,"&gt;="&amp;$E1271,SondDatum,"&lt;="&amp;EOMONTH($E1271,0)),$J1271-$M1271))</f>
      </c>
      <c r="O1271" s="43">
        <f>IF($I1271=0,0,INDEX(DarlErsatzRate,3))</f>
      </c>
      <c r="P1271" s="43">
        <f>IF($I1271=0,0,$Q1270*INDEX(DarlErsatzZins,3))</f>
      </c>
      <c r="Q1271" s="43">
        <f>IF($I1271=0,0,$Q1270+$P1271+$O1271)</f>
      </c>
      <c r="R1271" s="43">
        <f>IF($I1271=0,0,$J1271-$M1271-$N1271)</f>
      </c>
    </row>
    <row r="1272">
      <c r="A1272"/>
      <c r="B1272">
        <v>3</v>
      </c>
      <c r="C1272" s="43">
        <f>INDEX(DarlObj,3)</f>
      </c>
      <c r="D1272">
        <v>309</v>
      </c>
      <c r="E1272" s="51">
        <f>IF(INDEX(DarlBelegt,3)=0,0,EOMONTH(INDEX(DarlAuszahlung,3),308)+1)</f>
      </c>
      <c r="F1272" s="43">
        <f>IF($E1272=0,0,YEAR($E1272))</f>
      </c>
      <c r="G1272" s="43">
        <f>IF(INDEX(DarlBindung,3)="",1,IF($E1272&lt;=INDEX(DarlBindung,3),1,0))</f>
      </c>
      <c r="H1272" s="43">
        <f>IF($G1272=1,INDEX(DarlSollzins,3),INDEX(DarlAnschluss,3))</f>
      </c>
      <c r="I1272" s="43">
        <f>IF(INDEX(DarlBelegt,3)=0,0,IF(INDEX(DarlOhneTilgung,3)=1,IF(INDEX(DarlBindung,3)="",1,$G1272),IF($J1272&gt;0.005,1,0)))</f>
      </c>
      <c r="J1272" s="43">
        <f>IF($I1271=0,0,$R1271)</f>
      </c>
      <c r="K1272" s="43">
        <f>IF($I1272=0,0,IF(INDEX(DarlOhneTilgung,3)=1,0,IF(AND(INDEX(DarlTilgStart,3)&gt;0,$E1272=INDEX(DarlTilgStart,3)),$J1272*($H1272+INDEX(DarlTilgung,3))/100/12,IF(AND($G1272=0,$G1271=1),MAX($K1271,$J1272*($H1272+1)/100/12),$K1271))))</f>
      </c>
      <c r="L1272" s="43">
        <f>IF($I1272=0,0,$J1272*$H1272/100/12)</f>
      </c>
      <c r="M1272" s="43">
        <f>IF($I1272=0,0,IF(OR(INDEX(DarlOhneTilgung,3)=1,AND(INDEX(DarlTilgStart,3)&gt;0,$E1272&lt;INDEX(DarlTilgStart,3))),0,MIN(MAX(0,$K1272-$L1272),$J1272)))</f>
      </c>
      <c r="N1272" s="43">
        <f>IF($I1272=0,0,MIN(SUMIFS(SondBetrag,SondDarl,3,SondDatum,"&gt;="&amp;$E1272,SondDatum,"&lt;="&amp;EOMONTH($E1272,0)),$J1272-$M1272))</f>
      </c>
      <c r="O1272" s="43">
        <f>IF($I1272=0,0,INDEX(DarlErsatzRate,3))</f>
      </c>
      <c r="P1272" s="43">
        <f>IF($I1272=0,0,$Q1271*INDEX(DarlErsatzZins,3))</f>
      </c>
      <c r="Q1272" s="43">
        <f>IF($I1272=0,0,$Q1271+$P1272+$O1272)</f>
      </c>
      <c r="R1272" s="43">
        <f>IF($I1272=0,0,$J1272-$M1272-$N1272)</f>
      </c>
    </row>
    <row r="1273">
      <c r="A1273"/>
      <c r="B1273">
        <v>3</v>
      </c>
      <c r="C1273" s="43">
        <f>INDEX(DarlObj,3)</f>
      </c>
      <c r="D1273">
        <v>310</v>
      </c>
      <c r="E1273" s="51">
        <f>IF(INDEX(DarlBelegt,3)=0,0,EOMONTH(INDEX(DarlAuszahlung,3),309)+1)</f>
      </c>
      <c r="F1273" s="43">
        <f>IF($E1273=0,0,YEAR($E1273))</f>
      </c>
      <c r="G1273" s="43">
        <f>IF(INDEX(DarlBindung,3)="",1,IF($E1273&lt;=INDEX(DarlBindung,3),1,0))</f>
      </c>
      <c r="H1273" s="43">
        <f>IF($G1273=1,INDEX(DarlSollzins,3),INDEX(DarlAnschluss,3))</f>
      </c>
      <c r="I1273" s="43">
        <f>IF(INDEX(DarlBelegt,3)=0,0,IF(INDEX(DarlOhneTilgung,3)=1,IF(INDEX(DarlBindung,3)="",1,$G1273),IF($J1273&gt;0.005,1,0)))</f>
      </c>
      <c r="J1273" s="43">
        <f>IF($I1272=0,0,$R1272)</f>
      </c>
      <c r="K1273" s="43">
        <f>IF($I1273=0,0,IF(INDEX(DarlOhneTilgung,3)=1,0,IF(AND(INDEX(DarlTilgStart,3)&gt;0,$E1273=INDEX(DarlTilgStart,3)),$J1273*($H1273+INDEX(DarlTilgung,3))/100/12,IF(AND($G1273=0,$G1272=1),MAX($K1272,$J1273*($H1273+1)/100/12),$K1272))))</f>
      </c>
      <c r="L1273" s="43">
        <f>IF($I1273=0,0,$J1273*$H1273/100/12)</f>
      </c>
      <c r="M1273" s="43">
        <f>IF($I1273=0,0,IF(OR(INDEX(DarlOhneTilgung,3)=1,AND(INDEX(DarlTilgStart,3)&gt;0,$E1273&lt;INDEX(DarlTilgStart,3))),0,MIN(MAX(0,$K1273-$L1273),$J1273)))</f>
      </c>
      <c r="N1273" s="43">
        <f>IF($I1273=0,0,MIN(SUMIFS(SondBetrag,SondDarl,3,SondDatum,"&gt;="&amp;$E1273,SondDatum,"&lt;="&amp;EOMONTH($E1273,0)),$J1273-$M1273))</f>
      </c>
      <c r="O1273" s="43">
        <f>IF($I1273=0,0,INDEX(DarlErsatzRate,3))</f>
      </c>
      <c r="P1273" s="43">
        <f>IF($I1273=0,0,$Q1272*INDEX(DarlErsatzZins,3))</f>
      </c>
      <c r="Q1273" s="43">
        <f>IF($I1273=0,0,$Q1272+$P1273+$O1273)</f>
      </c>
      <c r="R1273" s="43">
        <f>IF($I1273=0,0,$J1273-$M1273-$N1273)</f>
      </c>
    </row>
    <row r="1274">
      <c r="A1274"/>
      <c r="B1274">
        <v>3</v>
      </c>
      <c r="C1274" s="43">
        <f>INDEX(DarlObj,3)</f>
      </c>
      <c r="D1274">
        <v>311</v>
      </c>
      <c r="E1274" s="51">
        <f>IF(INDEX(DarlBelegt,3)=0,0,EOMONTH(INDEX(DarlAuszahlung,3),310)+1)</f>
      </c>
      <c r="F1274" s="43">
        <f>IF($E1274=0,0,YEAR($E1274))</f>
      </c>
      <c r="G1274" s="43">
        <f>IF(INDEX(DarlBindung,3)="",1,IF($E1274&lt;=INDEX(DarlBindung,3),1,0))</f>
      </c>
      <c r="H1274" s="43">
        <f>IF($G1274=1,INDEX(DarlSollzins,3),INDEX(DarlAnschluss,3))</f>
      </c>
      <c r="I1274" s="43">
        <f>IF(INDEX(DarlBelegt,3)=0,0,IF(INDEX(DarlOhneTilgung,3)=1,IF(INDEX(DarlBindung,3)="",1,$G1274),IF($J1274&gt;0.005,1,0)))</f>
      </c>
      <c r="J1274" s="43">
        <f>IF($I1273=0,0,$R1273)</f>
      </c>
      <c r="K1274" s="43">
        <f>IF($I1274=0,0,IF(INDEX(DarlOhneTilgung,3)=1,0,IF(AND(INDEX(DarlTilgStart,3)&gt;0,$E1274=INDEX(DarlTilgStart,3)),$J1274*($H1274+INDEX(DarlTilgung,3))/100/12,IF(AND($G1274=0,$G1273=1),MAX($K1273,$J1274*($H1274+1)/100/12),$K1273))))</f>
      </c>
      <c r="L1274" s="43">
        <f>IF($I1274=0,0,$J1274*$H1274/100/12)</f>
      </c>
      <c r="M1274" s="43">
        <f>IF($I1274=0,0,IF(OR(INDEX(DarlOhneTilgung,3)=1,AND(INDEX(DarlTilgStart,3)&gt;0,$E1274&lt;INDEX(DarlTilgStart,3))),0,MIN(MAX(0,$K1274-$L1274),$J1274)))</f>
      </c>
      <c r="N1274" s="43">
        <f>IF($I1274=0,0,MIN(SUMIFS(SondBetrag,SondDarl,3,SondDatum,"&gt;="&amp;$E1274,SondDatum,"&lt;="&amp;EOMONTH($E1274,0)),$J1274-$M1274))</f>
      </c>
      <c r="O1274" s="43">
        <f>IF($I1274=0,0,INDEX(DarlErsatzRate,3))</f>
      </c>
      <c r="P1274" s="43">
        <f>IF($I1274=0,0,$Q1273*INDEX(DarlErsatzZins,3))</f>
      </c>
      <c r="Q1274" s="43">
        <f>IF($I1274=0,0,$Q1273+$P1274+$O1274)</f>
      </c>
      <c r="R1274" s="43">
        <f>IF($I1274=0,0,$J1274-$M1274-$N1274)</f>
      </c>
    </row>
    <row r="1275">
      <c r="A1275"/>
      <c r="B1275">
        <v>3</v>
      </c>
      <c r="C1275" s="43">
        <f>INDEX(DarlObj,3)</f>
      </c>
      <c r="D1275">
        <v>312</v>
      </c>
      <c r="E1275" s="51">
        <f>IF(INDEX(DarlBelegt,3)=0,0,EOMONTH(INDEX(DarlAuszahlung,3),311)+1)</f>
      </c>
      <c r="F1275" s="43">
        <f>IF($E1275=0,0,YEAR($E1275))</f>
      </c>
      <c r="G1275" s="43">
        <f>IF(INDEX(DarlBindung,3)="",1,IF($E1275&lt;=INDEX(DarlBindung,3),1,0))</f>
      </c>
      <c r="H1275" s="43">
        <f>IF($G1275=1,INDEX(DarlSollzins,3),INDEX(DarlAnschluss,3))</f>
      </c>
      <c r="I1275" s="43">
        <f>IF(INDEX(DarlBelegt,3)=0,0,IF(INDEX(DarlOhneTilgung,3)=1,IF(INDEX(DarlBindung,3)="",1,$G1275),IF($J1275&gt;0.005,1,0)))</f>
      </c>
      <c r="J1275" s="43">
        <f>IF($I1274=0,0,$R1274)</f>
      </c>
      <c r="K1275" s="43">
        <f>IF($I1275=0,0,IF(INDEX(DarlOhneTilgung,3)=1,0,IF(AND(INDEX(DarlTilgStart,3)&gt;0,$E1275=INDEX(DarlTilgStart,3)),$J1275*($H1275+INDEX(DarlTilgung,3))/100/12,IF(AND($G1275=0,$G1274=1),MAX($K1274,$J1275*($H1275+1)/100/12),$K1274))))</f>
      </c>
      <c r="L1275" s="43">
        <f>IF($I1275=0,0,$J1275*$H1275/100/12)</f>
      </c>
      <c r="M1275" s="43">
        <f>IF($I1275=0,0,IF(OR(INDEX(DarlOhneTilgung,3)=1,AND(INDEX(DarlTilgStart,3)&gt;0,$E1275&lt;INDEX(DarlTilgStart,3))),0,MIN(MAX(0,$K1275-$L1275),$J1275)))</f>
      </c>
      <c r="N1275" s="43">
        <f>IF($I1275=0,0,MIN(SUMIFS(SondBetrag,SondDarl,3,SondDatum,"&gt;="&amp;$E1275,SondDatum,"&lt;="&amp;EOMONTH($E1275,0)),$J1275-$M1275))</f>
      </c>
      <c r="O1275" s="43">
        <f>IF($I1275=0,0,INDEX(DarlErsatzRate,3))</f>
      </c>
      <c r="P1275" s="43">
        <f>IF($I1275=0,0,$Q1274*INDEX(DarlErsatzZins,3))</f>
      </c>
      <c r="Q1275" s="43">
        <f>IF($I1275=0,0,$Q1274+$P1275+$O1275)</f>
      </c>
      <c r="R1275" s="43">
        <f>IF($I1275=0,0,$J1275-$M1275-$N1275)</f>
      </c>
    </row>
    <row r="1276">
      <c r="A1276"/>
      <c r="B1276">
        <v>3</v>
      </c>
      <c r="C1276" s="43">
        <f>INDEX(DarlObj,3)</f>
      </c>
      <c r="D1276">
        <v>313</v>
      </c>
      <c r="E1276" s="51">
        <f>IF(INDEX(DarlBelegt,3)=0,0,EOMONTH(INDEX(DarlAuszahlung,3),312)+1)</f>
      </c>
      <c r="F1276" s="43">
        <f>IF($E1276=0,0,YEAR($E1276))</f>
      </c>
      <c r="G1276" s="43">
        <f>IF(INDEX(DarlBindung,3)="",1,IF($E1276&lt;=INDEX(DarlBindung,3),1,0))</f>
      </c>
      <c r="H1276" s="43">
        <f>IF($G1276=1,INDEX(DarlSollzins,3),INDEX(DarlAnschluss,3))</f>
      </c>
      <c r="I1276" s="43">
        <f>IF(INDEX(DarlBelegt,3)=0,0,IF(INDEX(DarlOhneTilgung,3)=1,IF(INDEX(DarlBindung,3)="",1,$G1276),IF($J1276&gt;0.005,1,0)))</f>
      </c>
      <c r="J1276" s="43">
        <f>IF($I1275=0,0,$R1275)</f>
      </c>
      <c r="K1276" s="43">
        <f>IF($I1276=0,0,IF(INDEX(DarlOhneTilgung,3)=1,0,IF(AND(INDEX(DarlTilgStart,3)&gt;0,$E1276=INDEX(DarlTilgStart,3)),$J1276*($H1276+INDEX(DarlTilgung,3))/100/12,IF(AND($G1276=0,$G1275=1),MAX($K1275,$J1276*($H1276+1)/100/12),$K1275))))</f>
      </c>
      <c r="L1276" s="43">
        <f>IF($I1276=0,0,$J1276*$H1276/100/12)</f>
      </c>
      <c r="M1276" s="43">
        <f>IF($I1276=0,0,IF(OR(INDEX(DarlOhneTilgung,3)=1,AND(INDEX(DarlTilgStart,3)&gt;0,$E1276&lt;INDEX(DarlTilgStart,3))),0,MIN(MAX(0,$K1276-$L1276),$J1276)))</f>
      </c>
      <c r="N1276" s="43">
        <f>IF($I1276=0,0,MIN(SUMIFS(SondBetrag,SondDarl,3,SondDatum,"&gt;="&amp;$E1276,SondDatum,"&lt;="&amp;EOMONTH($E1276,0)),$J1276-$M1276))</f>
      </c>
      <c r="O1276" s="43">
        <f>IF($I1276=0,0,INDEX(DarlErsatzRate,3))</f>
      </c>
      <c r="P1276" s="43">
        <f>IF($I1276=0,0,$Q1275*INDEX(DarlErsatzZins,3))</f>
      </c>
      <c r="Q1276" s="43">
        <f>IF($I1276=0,0,$Q1275+$P1276+$O1276)</f>
      </c>
      <c r="R1276" s="43">
        <f>IF($I1276=0,0,$J1276-$M1276-$N1276)</f>
      </c>
    </row>
    <row r="1277">
      <c r="A1277"/>
      <c r="B1277">
        <v>3</v>
      </c>
      <c r="C1277" s="43">
        <f>INDEX(DarlObj,3)</f>
      </c>
      <c r="D1277">
        <v>314</v>
      </c>
      <c r="E1277" s="51">
        <f>IF(INDEX(DarlBelegt,3)=0,0,EOMONTH(INDEX(DarlAuszahlung,3),313)+1)</f>
      </c>
      <c r="F1277" s="43">
        <f>IF($E1277=0,0,YEAR($E1277))</f>
      </c>
      <c r="G1277" s="43">
        <f>IF(INDEX(DarlBindung,3)="",1,IF($E1277&lt;=INDEX(DarlBindung,3),1,0))</f>
      </c>
      <c r="H1277" s="43">
        <f>IF($G1277=1,INDEX(DarlSollzins,3),INDEX(DarlAnschluss,3))</f>
      </c>
      <c r="I1277" s="43">
        <f>IF(INDEX(DarlBelegt,3)=0,0,IF(INDEX(DarlOhneTilgung,3)=1,IF(INDEX(DarlBindung,3)="",1,$G1277),IF($J1277&gt;0.005,1,0)))</f>
      </c>
      <c r="J1277" s="43">
        <f>IF($I1276=0,0,$R1276)</f>
      </c>
      <c r="K1277" s="43">
        <f>IF($I1277=0,0,IF(INDEX(DarlOhneTilgung,3)=1,0,IF(AND(INDEX(DarlTilgStart,3)&gt;0,$E1277=INDEX(DarlTilgStart,3)),$J1277*($H1277+INDEX(DarlTilgung,3))/100/12,IF(AND($G1277=0,$G1276=1),MAX($K1276,$J1277*($H1277+1)/100/12),$K1276))))</f>
      </c>
      <c r="L1277" s="43">
        <f>IF($I1277=0,0,$J1277*$H1277/100/12)</f>
      </c>
      <c r="M1277" s="43">
        <f>IF($I1277=0,0,IF(OR(INDEX(DarlOhneTilgung,3)=1,AND(INDEX(DarlTilgStart,3)&gt;0,$E1277&lt;INDEX(DarlTilgStart,3))),0,MIN(MAX(0,$K1277-$L1277),$J1277)))</f>
      </c>
      <c r="N1277" s="43">
        <f>IF($I1277=0,0,MIN(SUMIFS(SondBetrag,SondDarl,3,SondDatum,"&gt;="&amp;$E1277,SondDatum,"&lt;="&amp;EOMONTH($E1277,0)),$J1277-$M1277))</f>
      </c>
      <c r="O1277" s="43">
        <f>IF($I1277=0,0,INDEX(DarlErsatzRate,3))</f>
      </c>
      <c r="P1277" s="43">
        <f>IF($I1277=0,0,$Q1276*INDEX(DarlErsatzZins,3))</f>
      </c>
      <c r="Q1277" s="43">
        <f>IF($I1277=0,0,$Q1276+$P1277+$O1277)</f>
      </c>
      <c r="R1277" s="43">
        <f>IF($I1277=0,0,$J1277-$M1277-$N1277)</f>
      </c>
    </row>
    <row r="1278">
      <c r="A1278"/>
      <c r="B1278">
        <v>3</v>
      </c>
      <c r="C1278" s="43">
        <f>INDEX(DarlObj,3)</f>
      </c>
      <c r="D1278">
        <v>315</v>
      </c>
      <c r="E1278" s="51">
        <f>IF(INDEX(DarlBelegt,3)=0,0,EOMONTH(INDEX(DarlAuszahlung,3),314)+1)</f>
      </c>
      <c r="F1278" s="43">
        <f>IF($E1278=0,0,YEAR($E1278))</f>
      </c>
      <c r="G1278" s="43">
        <f>IF(INDEX(DarlBindung,3)="",1,IF($E1278&lt;=INDEX(DarlBindung,3),1,0))</f>
      </c>
      <c r="H1278" s="43">
        <f>IF($G1278=1,INDEX(DarlSollzins,3),INDEX(DarlAnschluss,3))</f>
      </c>
      <c r="I1278" s="43">
        <f>IF(INDEX(DarlBelegt,3)=0,0,IF(INDEX(DarlOhneTilgung,3)=1,IF(INDEX(DarlBindung,3)="",1,$G1278),IF($J1278&gt;0.005,1,0)))</f>
      </c>
      <c r="J1278" s="43">
        <f>IF($I1277=0,0,$R1277)</f>
      </c>
      <c r="K1278" s="43">
        <f>IF($I1278=0,0,IF(INDEX(DarlOhneTilgung,3)=1,0,IF(AND(INDEX(DarlTilgStart,3)&gt;0,$E1278=INDEX(DarlTilgStart,3)),$J1278*($H1278+INDEX(DarlTilgung,3))/100/12,IF(AND($G1278=0,$G1277=1),MAX($K1277,$J1278*($H1278+1)/100/12),$K1277))))</f>
      </c>
      <c r="L1278" s="43">
        <f>IF($I1278=0,0,$J1278*$H1278/100/12)</f>
      </c>
      <c r="M1278" s="43">
        <f>IF($I1278=0,0,IF(OR(INDEX(DarlOhneTilgung,3)=1,AND(INDEX(DarlTilgStart,3)&gt;0,$E1278&lt;INDEX(DarlTilgStart,3))),0,MIN(MAX(0,$K1278-$L1278),$J1278)))</f>
      </c>
      <c r="N1278" s="43">
        <f>IF($I1278=0,0,MIN(SUMIFS(SondBetrag,SondDarl,3,SondDatum,"&gt;="&amp;$E1278,SondDatum,"&lt;="&amp;EOMONTH($E1278,0)),$J1278-$M1278))</f>
      </c>
      <c r="O1278" s="43">
        <f>IF($I1278=0,0,INDEX(DarlErsatzRate,3))</f>
      </c>
      <c r="P1278" s="43">
        <f>IF($I1278=0,0,$Q1277*INDEX(DarlErsatzZins,3))</f>
      </c>
      <c r="Q1278" s="43">
        <f>IF($I1278=0,0,$Q1277+$P1278+$O1278)</f>
      </c>
      <c r="R1278" s="43">
        <f>IF($I1278=0,0,$J1278-$M1278-$N1278)</f>
      </c>
    </row>
    <row r="1279">
      <c r="A1279"/>
      <c r="B1279">
        <v>3</v>
      </c>
      <c r="C1279" s="43">
        <f>INDEX(DarlObj,3)</f>
      </c>
      <c r="D1279">
        <v>316</v>
      </c>
      <c r="E1279" s="51">
        <f>IF(INDEX(DarlBelegt,3)=0,0,EOMONTH(INDEX(DarlAuszahlung,3),315)+1)</f>
      </c>
      <c r="F1279" s="43">
        <f>IF($E1279=0,0,YEAR($E1279))</f>
      </c>
      <c r="G1279" s="43">
        <f>IF(INDEX(DarlBindung,3)="",1,IF($E1279&lt;=INDEX(DarlBindung,3),1,0))</f>
      </c>
      <c r="H1279" s="43">
        <f>IF($G1279=1,INDEX(DarlSollzins,3),INDEX(DarlAnschluss,3))</f>
      </c>
      <c r="I1279" s="43">
        <f>IF(INDEX(DarlBelegt,3)=0,0,IF(INDEX(DarlOhneTilgung,3)=1,IF(INDEX(DarlBindung,3)="",1,$G1279),IF($J1279&gt;0.005,1,0)))</f>
      </c>
      <c r="J1279" s="43">
        <f>IF($I1278=0,0,$R1278)</f>
      </c>
      <c r="K1279" s="43">
        <f>IF($I1279=0,0,IF(INDEX(DarlOhneTilgung,3)=1,0,IF(AND(INDEX(DarlTilgStart,3)&gt;0,$E1279=INDEX(DarlTilgStart,3)),$J1279*($H1279+INDEX(DarlTilgung,3))/100/12,IF(AND($G1279=0,$G1278=1),MAX($K1278,$J1279*($H1279+1)/100/12),$K1278))))</f>
      </c>
      <c r="L1279" s="43">
        <f>IF($I1279=0,0,$J1279*$H1279/100/12)</f>
      </c>
      <c r="M1279" s="43">
        <f>IF($I1279=0,0,IF(OR(INDEX(DarlOhneTilgung,3)=1,AND(INDEX(DarlTilgStart,3)&gt;0,$E1279&lt;INDEX(DarlTilgStart,3))),0,MIN(MAX(0,$K1279-$L1279),$J1279)))</f>
      </c>
      <c r="N1279" s="43">
        <f>IF($I1279=0,0,MIN(SUMIFS(SondBetrag,SondDarl,3,SondDatum,"&gt;="&amp;$E1279,SondDatum,"&lt;="&amp;EOMONTH($E1279,0)),$J1279-$M1279))</f>
      </c>
      <c r="O1279" s="43">
        <f>IF($I1279=0,0,INDEX(DarlErsatzRate,3))</f>
      </c>
      <c r="P1279" s="43">
        <f>IF($I1279=0,0,$Q1278*INDEX(DarlErsatzZins,3))</f>
      </c>
      <c r="Q1279" s="43">
        <f>IF($I1279=0,0,$Q1278+$P1279+$O1279)</f>
      </c>
      <c r="R1279" s="43">
        <f>IF($I1279=0,0,$J1279-$M1279-$N1279)</f>
      </c>
    </row>
    <row r="1280">
      <c r="A1280"/>
      <c r="B1280">
        <v>3</v>
      </c>
      <c r="C1280" s="43">
        <f>INDEX(DarlObj,3)</f>
      </c>
      <c r="D1280">
        <v>317</v>
      </c>
      <c r="E1280" s="51">
        <f>IF(INDEX(DarlBelegt,3)=0,0,EOMONTH(INDEX(DarlAuszahlung,3),316)+1)</f>
      </c>
      <c r="F1280" s="43">
        <f>IF($E1280=0,0,YEAR($E1280))</f>
      </c>
      <c r="G1280" s="43">
        <f>IF(INDEX(DarlBindung,3)="",1,IF($E1280&lt;=INDEX(DarlBindung,3),1,0))</f>
      </c>
      <c r="H1280" s="43">
        <f>IF($G1280=1,INDEX(DarlSollzins,3),INDEX(DarlAnschluss,3))</f>
      </c>
      <c r="I1280" s="43">
        <f>IF(INDEX(DarlBelegt,3)=0,0,IF(INDEX(DarlOhneTilgung,3)=1,IF(INDEX(DarlBindung,3)="",1,$G1280),IF($J1280&gt;0.005,1,0)))</f>
      </c>
      <c r="J1280" s="43">
        <f>IF($I1279=0,0,$R1279)</f>
      </c>
      <c r="K1280" s="43">
        <f>IF($I1280=0,0,IF(INDEX(DarlOhneTilgung,3)=1,0,IF(AND(INDEX(DarlTilgStart,3)&gt;0,$E1280=INDEX(DarlTilgStart,3)),$J1280*($H1280+INDEX(DarlTilgung,3))/100/12,IF(AND($G1280=0,$G1279=1),MAX($K1279,$J1280*($H1280+1)/100/12),$K1279))))</f>
      </c>
      <c r="L1280" s="43">
        <f>IF($I1280=0,0,$J1280*$H1280/100/12)</f>
      </c>
      <c r="M1280" s="43">
        <f>IF($I1280=0,0,IF(OR(INDEX(DarlOhneTilgung,3)=1,AND(INDEX(DarlTilgStart,3)&gt;0,$E1280&lt;INDEX(DarlTilgStart,3))),0,MIN(MAX(0,$K1280-$L1280),$J1280)))</f>
      </c>
      <c r="N1280" s="43">
        <f>IF($I1280=0,0,MIN(SUMIFS(SondBetrag,SondDarl,3,SondDatum,"&gt;="&amp;$E1280,SondDatum,"&lt;="&amp;EOMONTH($E1280,0)),$J1280-$M1280))</f>
      </c>
      <c r="O1280" s="43">
        <f>IF($I1280=0,0,INDEX(DarlErsatzRate,3))</f>
      </c>
      <c r="P1280" s="43">
        <f>IF($I1280=0,0,$Q1279*INDEX(DarlErsatzZins,3))</f>
      </c>
      <c r="Q1280" s="43">
        <f>IF($I1280=0,0,$Q1279+$P1280+$O1280)</f>
      </c>
      <c r="R1280" s="43">
        <f>IF($I1280=0,0,$J1280-$M1280-$N1280)</f>
      </c>
    </row>
    <row r="1281">
      <c r="A1281"/>
      <c r="B1281">
        <v>3</v>
      </c>
      <c r="C1281" s="43">
        <f>INDEX(DarlObj,3)</f>
      </c>
      <c r="D1281">
        <v>318</v>
      </c>
      <c r="E1281" s="51">
        <f>IF(INDEX(DarlBelegt,3)=0,0,EOMONTH(INDEX(DarlAuszahlung,3),317)+1)</f>
      </c>
      <c r="F1281" s="43">
        <f>IF($E1281=0,0,YEAR($E1281))</f>
      </c>
      <c r="G1281" s="43">
        <f>IF(INDEX(DarlBindung,3)="",1,IF($E1281&lt;=INDEX(DarlBindung,3),1,0))</f>
      </c>
      <c r="H1281" s="43">
        <f>IF($G1281=1,INDEX(DarlSollzins,3),INDEX(DarlAnschluss,3))</f>
      </c>
      <c r="I1281" s="43">
        <f>IF(INDEX(DarlBelegt,3)=0,0,IF(INDEX(DarlOhneTilgung,3)=1,IF(INDEX(DarlBindung,3)="",1,$G1281),IF($J1281&gt;0.005,1,0)))</f>
      </c>
      <c r="J1281" s="43">
        <f>IF($I1280=0,0,$R1280)</f>
      </c>
      <c r="K1281" s="43">
        <f>IF($I1281=0,0,IF(INDEX(DarlOhneTilgung,3)=1,0,IF(AND(INDEX(DarlTilgStart,3)&gt;0,$E1281=INDEX(DarlTilgStart,3)),$J1281*($H1281+INDEX(DarlTilgung,3))/100/12,IF(AND($G1281=0,$G1280=1),MAX($K1280,$J1281*($H1281+1)/100/12),$K1280))))</f>
      </c>
      <c r="L1281" s="43">
        <f>IF($I1281=0,0,$J1281*$H1281/100/12)</f>
      </c>
      <c r="M1281" s="43">
        <f>IF($I1281=0,0,IF(OR(INDEX(DarlOhneTilgung,3)=1,AND(INDEX(DarlTilgStart,3)&gt;0,$E1281&lt;INDEX(DarlTilgStart,3))),0,MIN(MAX(0,$K1281-$L1281),$J1281)))</f>
      </c>
      <c r="N1281" s="43">
        <f>IF($I1281=0,0,MIN(SUMIFS(SondBetrag,SondDarl,3,SondDatum,"&gt;="&amp;$E1281,SondDatum,"&lt;="&amp;EOMONTH($E1281,0)),$J1281-$M1281))</f>
      </c>
      <c r="O1281" s="43">
        <f>IF($I1281=0,0,INDEX(DarlErsatzRate,3))</f>
      </c>
      <c r="P1281" s="43">
        <f>IF($I1281=0,0,$Q1280*INDEX(DarlErsatzZins,3))</f>
      </c>
      <c r="Q1281" s="43">
        <f>IF($I1281=0,0,$Q1280+$P1281+$O1281)</f>
      </c>
      <c r="R1281" s="43">
        <f>IF($I1281=0,0,$J1281-$M1281-$N1281)</f>
      </c>
    </row>
    <row r="1282">
      <c r="A1282"/>
      <c r="B1282">
        <v>3</v>
      </c>
      <c r="C1282" s="43">
        <f>INDEX(DarlObj,3)</f>
      </c>
      <c r="D1282">
        <v>319</v>
      </c>
      <c r="E1282" s="51">
        <f>IF(INDEX(DarlBelegt,3)=0,0,EOMONTH(INDEX(DarlAuszahlung,3),318)+1)</f>
      </c>
      <c r="F1282" s="43">
        <f>IF($E1282=0,0,YEAR($E1282))</f>
      </c>
      <c r="G1282" s="43">
        <f>IF(INDEX(DarlBindung,3)="",1,IF($E1282&lt;=INDEX(DarlBindung,3),1,0))</f>
      </c>
      <c r="H1282" s="43">
        <f>IF($G1282=1,INDEX(DarlSollzins,3),INDEX(DarlAnschluss,3))</f>
      </c>
      <c r="I1282" s="43">
        <f>IF(INDEX(DarlBelegt,3)=0,0,IF(INDEX(DarlOhneTilgung,3)=1,IF(INDEX(DarlBindung,3)="",1,$G1282),IF($J1282&gt;0.005,1,0)))</f>
      </c>
      <c r="J1282" s="43">
        <f>IF($I1281=0,0,$R1281)</f>
      </c>
      <c r="K1282" s="43">
        <f>IF($I1282=0,0,IF(INDEX(DarlOhneTilgung,3)=1,0,IF(AND(INDEX(DarlTilgStart,3)&gt;0,$E1282=INDEX(DarlTilgStart,3)),$J1282*($H1282+INDEX(DarlTilgung,3))/100/12,IF(AND($G1282=0,$G1281=1),MAX($K1281,$J1282*($H1282+1)/100/12),$K1281))))</f>
      </c>
      <c r="L1282" s="43">
        <f>IF($I1282=0,0,$J1282*$H1282/100/12)</f>
      </c>
      <c r="M1282" s="43">
        <f>IF($I1282=0,0,IF(OR(INDEX(DarlOhneTilgung,3)=1,AND(INDEX(DarlTilgStart,3)&gt;0,$E1282&lt;INDEX(DarlTilgStart,3))),0,MIN(MAX(0,$K1282-$L1282),$J1282)))</f>
      </c>
      <c r="N1282" s="43">
        <f>IF($I1282=0,0,MIN(SUMIFS(SondBetrag,SondDarl,3,SondDatum,"&gt;="&amp;$E1282,SondDatum,"&lt;="&amp;EOMONTH($E1282,0)),$J1282-$M1282))</f>
      </c>
      <c r="O1282" s="43">
        <f>IF($I1282=0,0,INDEX(DarlErsatzRate,3))</f>
      </c>
      <c r="P1282" s="43">
        <f>IF($I1282=0,0,$Q1281*INDEX(DarlErsatzZins,3))</f>
      </c>
      <c r="Q1282" s="43">
        <f>IF($I1282=0,0,$Q1281+$P1282+$O1282)</f>
      </c>
      <c r="R1282" s="43">
        <f>IF($I1282=0,0,$J1282-$M1282-$N1282)</f>
      </c>
    </row>
    <row r="1283">
      <c r="A1283"/>
      <c r="B1283">
        <v>3</v>
      </c>
      <c r="C1283" s="43">
        <f>INDEX(DarlObj,3)</f>
      </c>
      <c r="D1283">
        <v>320</v>
      </c>
      <c r="E1283" s="51">
        <f>IF(INDEX(DarlBelegt,3)=0,0,EOMONTH(INDEX(DarlAuszahlung,3),319)+1)</f>
      </c>
      <c r="F1283" s="43">
        <f>IF($E1283=0,0,YEAR($E1283))</f>
      </c>
      <c r="G1283" s="43">
        <f>IF(INDEX(DarlBindung,3)="",1,IF($E1283&lt;=INDEX(DarlBindung,3),1,0))</f>
      </c>
      <c r="H1283" s="43">
        <f>IF($G1283=1,INDEX(DarlSollzins,3),INDEX(DarlAnschluss,3))</f>
      </c>
      <c r="I1283" s="43">
        <f>IF(INDEX(DarlBelegt,3)=0,0,IF(INDEX(DarlOhneTilgung,3)=1,IF(INDEX(DarlBindung,3)="",1,$G1283),IF($J1283&gt;0.005,1,0)))</f>
      </c>
      <c r="J1283" s="43">
        <f>IF($I1282=0,0,$R1282)</f>
      </c>
      <c r="K1283" s="43">
        <f>IF($I1283=0,0,IF(INDEX(DarlOhneTilgung,3)=1,0,IF(AND(INDEX(DarlTilgStart,3)&gt;0,$E1283=INDEX(DarlTilgStart,3)),$J1283*($H1283+INDEX(DarlTilgung,3))/100/12,IF(AND($G1283=0,$G1282=1),MAX($K1282,$J1283*($H1283+1)/100/12),$K1282))))</f>
      </c>
      <c r="L1283" s="43">
        <f>IF($I1283=0,0,$J1283*$H1283/100/12)</f>
      </c>
      <c r="M1283" s="43">
        <f>IF($I1283=0,0,IF(OR(INDEX(DarlOhneTilgung,3)=1,AND(INDEX(DarlTilgStart,3)&gt;0,$E1283&lt;INDEX(DarlTilgStart,3))),0,MIN(MAX(0,$K1283-$L1283),$J1283)))</f>
      </c>
      <c r="N1283" s="43">
        <f>IF($I1283=0,0,MIN(SUMIFS(SondBetrag,SondDarl,3,SondDatum,"&gt;="&amp;$E1283,SondDatum,"&lt;="&amp;EOMONTH($E1283,0)),$J1283-$M1283))</f>
      </c>
      <c r="O1283" s="43">
        <f>IF($I1283=0,0,INDEX(DarlErsatzRate,3))</f>
      </c>
      <c r="P1283" s="43">
        <f>IF($I1283=0,0,$Q1282*INDEX(DarlErsatzZins,3))</f>
      </c>
      <c r="Q1283" s="43">
        <f>IF($I1283=0,0,$Q1282+$P1283+$O1283)</f>
      </c>
      <c r="R1283" s="43">
        <f>IF($I1283=0,0,$J1283-$M1283-$N1283)</f>
      </c>
    </row>
    <row r="1284">
      <c r="A1284"/>
      <c r="B1284">
        <v>3</v>
      </c>
      <c r="C1284" s="43">
        <f>INDEX(DarlObj,3)</f>
      </c>
      <c r="D1284">
        <v>321</v>
      </c>
      <c r="E1284" s="51">
        <f>IF(INDEX(DarlBelegt,3)=0,0,EOMONTH(INDEX(DarlAuszahlung,3),320)+1)</f>
      </c>
      <c r="F1284" s="43">
        <f>IF($E1284=0,0,YEAR($E1284))</f>
      </c>
      <c r="G1284" s="43">
        <f>IF(INDEX(DarlBindung,3)="",1,IF($E1284&lt;=INDEX(DarlBindung,3),1,0))</f>
      </c>
      <c r="H1284" s="43">
        <f>IF($G1284=1,INDEX(DarlSollzins,3),INDEX(DarlAnschluss,3))</f>
      </c>
      <c r="I1284" s="43">
        <f>IF(INDEX(DarlBelegt,3)=0,0,IF(INDEX(DarlOhneTilgung,3)=1,IF(INDEX(DarlBindung,3)="",1,$G1284),IF($J1284&gt;0.005,1,0)))</f>
      </c>
      <c r="J1284" s="43">
        <f>IF($I1283=0,0,$R1283)</f>
      </c>
      <c r="K1284" s="43">
        <f>IF($I1284=0,0,IF(INDEX(DarlOhneTilgung,3)=1,0,IF(AND(INDEX(DarlTilgStart,3)&gt;0,$E1284=INDEX(DarlTilgStart,3)),$J1284*($H1284+INDEX(DarlTilgung,3))/100/12,IF(AND($G1284=0,$G1283=1),MAX($K1283,$J1284*($H1284+1)/100/12),$K1283))))</f>
      </c>
      <c r="L1284" s="43">
        <f>IF($I1284=0,0,$J1284*$H1284/100/12)</f>
      </c>
      <c r="M1284" s="43">
        <f>IF($I1284=0,0,IF(OR(INDEX(DarlOhneTilgung,3)=1,AND(INDEX(DarlTilgStart,3)&gt;0,$E1284&lt;INDEX(DarlTilgStart,3))),0,MIN(MAX(0,$K1284-$L1284),$J1284)))</f>
      </c>
      <c r="N1284" s="43">
        <f>IF($I1284=0,0,MIN(SUMIFS(SondBetrag,SondDarl,3,SondDatum,"&gt;="&amp;$E1284,SondDatum,"&lt;="&amp;EOMONTH($E1284,0)),$J1284-$M1284))</f>
      </c>
      <c r="O1284" s="43">
        <f>IF($I1284=0,0,INDEX(DarlErsatzRate,3))</f>
      </c>
      <c r="P1284" s="43">
        <f>IF($I1284=0,0,$Q1283*INDEX(DarlErsatzZins,3))</f>
      </c>
      <c r="Q1284" s="43">
        <f>IF($I1284=0,0,$Q1283+$P1284+$O1284)</f>
      </c>
      <c r="R1284" s="43">
        <f>IF($I1284=0,0,$J1284-$M1284-$N1284)</f>
      </c>
    </row>
    <row r="1285">
      <c r="A1285"/>
      <c r="B1285">
        <v>3</v>
      </c>
      <c r="C1285" s="43">
        <f>INDEX(DarlObj,3)</f>
      </c>
      <c r="D1285">
        <v>322</v>
      </c>
      <c r="E1285" s="51">
        <f>IF(INDEX(DarlBelegt,3)=0,0,EOMONTH(INDEX(DarlAuszahlung,3),321)+1)</f>
      </c>
      <c r="F1285" s="43">
        <f>IF($E1285=0,0,YEAR($E1285))</f>
      </c>
      <c r="G1285" s="43">
        <f>IF(INDEX(DarlBindung,3)="",1,IF($E1285&lt;=INDEX(DarlBindung,3),1,0))</f>
      </c>
      <c r="H1285" s="43">
        <f>IF($G1285=1,INDEX(DarlSollzins,3),INDEX(DarlAnschluss,3))</f>
      </c>
      <c r="I1285" s="43">
        <f>IF(INDEX(DarlBelegt,3)=0,0,IF(INDEX(DarlOhneTilgung,3)=1,IF(INDEX(DarlBindung,3)="",1,$G1285),IF($J1285&gt;0.005,1,0)))</f>
      </c>
      <c r="J1285" s="43">
        <f>IF($I1284=0,0,$R1284)</f>
      </c>
      <c r="K1285" s="43">
        <f>IF($I1285=0,0,IF(INDEX(DarlOhneTilgung,3)=1,0,IF(AND(INDEX(DarlTilgStart,3)&gt;0,$E1285=INDEX(DarlTilgStart,3)),$J1285*($H1285+INDEX(DarlTilgung,3))/100/12,IF(AND($G1285=0,$G1284=1),MAX($K1284,$J1285*($H1285+1)/100/12),$K1284))))</f>
      </c>
      <c r="L1285" s="43">
        <f>IF($I1285=0,0,$J1285*$H1285/100/12)</f>
      </c>
      <c r="M1285" s="43">
        <f>IF($I1285=0,0,IF(OR(INDEX(DarlOhneTilgung,3)=1,AND(INDEX(DarlTilgStart,3)&gt;0,$E1285&lt;INDEX(DarlTilgStart,3))),0,MIN(MAX(0,$K1285-$L1285),$J1285)))</f>
      </c>
      <c r="N1285" s="43">
        <f>IF($I1285=0,0,MIN(SUMIFS(SondBetrag,SondDarl,3,SondDatum,"&gt;="&amp;$E1285,SondDatum,"&lt;="&amp;EOMONTH($E1285,0)),$J1285-$M1285))</f>
      </c>
      <c r="O1285" s="43">
        <f>IF($I1285=0,0,INDEX(DarlErsatzRate,3))</f>
      </c>
      <c r="P1285" s="43">
        <f>IF($I1285=0,0,$Q1284*INDEX(DarlErsatzZins,3))</f>
      </c>
      <c r="Q1285" s="43">
        <f>IF($I1285=0,0,$Q1284+$P1285+$O1285)</f>
      </c>
      <c r="R1285" s="43">
        <f>IF($I1285=0,0,$J1285-$M1285-$N1285)</f>
      </c>
    </row>
    <row r="1286">
      <c r="A1286"/>
      <c r="B1286">
        <v>3</v>
      </c>
      <c r="C1286" s="43">
        <f>INDEX(DarlObj,3)</f>
      </c>
      <c r="D1286">
        <v>323</v>
      </c>
      <c r="E1286" s="51">
        <f>IF(INDEX(DarlBelegt,3)=0,0,EOMONTH(INDEX(DarlAuszahlung,3),322)+1)</f>
      </c>
      <c r="F1286" s="43">
        <f>IF($E1286=0,0,YEAR($E1286))</f>
      </c>
      <c r="G1286" s="43">
        <f>IF(INDEX(DarlBindung,3)="",1,IF($E1286&lt;=INDEX(DarlBindung,3),1,0))</f>
      </c>
      <c r="H1286" s="43">
        <f>IF($G1286=1,INDEX(DarlSollzins,3),INDEX(DarlAnschluss,3))</f>
      </c>
      <c r="I1286" s="43">
        <f>IF(INDEX(DarlBelegt,3)=0,0,IF(INDEX(DarlOhneTilgung,3)=1,IF(INDEX(DarlBindung,3)="",1,$G1286),IF($J1286&gt;0.005,1,0)))</f>
      </c>
      <c r="J1286" s="43">
        <f>IF($I1285=0,0,$R1285)</f>
      </c>
      <c r="K1286" s="43">
        <f>IF($I1286=0,0,IF(INDEX(DarlOhneTilgung,3)=1,0,IF(AND(INDEX(DarlTilgStart,3)&gt;0,$E1286=INDEX(DarlTilgStart,3)),$J1286*($H1286+INDEX(DarlTilgung,3))/100/12,IF(AND($G1286=0,$G1285=1),MAX($K1285,$J1286*($H1286+1)/100/12),$K1285))))</f>
      </c>
      <c r="L1286" s="43">
        <f>IF($I1286=0,0,$J1286*$H1286/100/12)</f>
      </c>
      <c r="M1286" s="43">
        <f>IF($I1286=0,0,IF(OR(INDEX(DarlOhneTilgung,3)=1,AND(INDEX(DarlTilgStart,3)&gt;0,$E1286&lt;INDEX(DarlTilgStart,3))),0,MIN(MAX(0,$K1286-$L1286),$J1286)))</f>
      </c>
      <c r="N1286" s="43">
        <f>IF($I1286=0,0,MIN(SUMIFS(SondBetrag,SondDarl,3,SondDatum,"&gt;="&amp;$E1286,SondDatum,"&lt;="&amp;EOMONTH($E1286,0)),$J1286-$M1286))</f>
      </c>
      <c r="O1286" s="43">
        <f>IF($I1286=0,0,INDEX(DarlErsatzRate,3))</f>
      </c>
      <c r="P1286" s="43">
        <f>IF($I1286=0,0,$Q1285*INDEX(DarlErsatzZins,3))</f>
      </c>
      <c r="Q1286" s="43">
        <f>IF($I1286=0,0,$Q1285+$P1286+$O1286)</f>
      </c>
      <c r="R1286" s="43">
        <f>IF($I1286=0,0,$J1286-$M1286-$N1286)</f>
      </c>
    </row>
    <row r="1287">
      <c r="A1287"/>
      <c r="B1287">
        <v>3</v>
      </c>
      <c r="C1287" s="43">
        <f>INDEX(DarlObj,3)</f>
      </c>
      <c r="D1287">
        <v>324</v>
      </c>
      <c r="E1287" s="51">
        <f>IF(INDEX(DarlBelegt,3)=0,0,EOMONTH(INDEX(DarlAuszahlung,3),323)+1)</f>
      </c>
      <c r="F1287" s="43">
        <f>IF($E1287=0,0,YEAR($E1287))</f>
      </c>
      <c r="G1287" s="43">
        <f>IF(INDEX(DarlBindung,3)="",1,IF($E1287&lt;=INDEX(DarlBindung,3),1,0))</f>
      </c>
      <c r="H1287" s="43">
        <f>IF($G1287=1,INDEX(DarlSollzins,3),INDEX(DarlAnschluss,3))</f>
      </c>
      <c r="I1287" s="43">
        <f>IF(INDEX(DarlBelegt,3)=0,0,IF(INDEX(DarlOhneTilgung,3)=1,IF(INDEX(DarlBindung,3)="",1,$G1287),IF($J1287&gt;0.005,1,0)))</f>
      </c>
      <c r="J1287" s="43">
        <f>IF($I1286=0,0,$R1286)</f>
      </c>
      <c r="K1287" s="43">
        <f>IF($I1287=0,0,IF(INDEX(DarlOhneTilgung,3)=1,0,IF(AND(INDEX(DarlTilgStart,3)&gt;0,$E1287=INDEX(DarlTilgStart,3)),$J1287*($H1287+INDEX(DarlTilgung,3))/100/12,IF(AND($G1287=0,$G1286=1),MAX($K1286,$J1287*($H1287+1)/100/12),$K1286))))</f>
      </c>
      <c r="L1287" s="43">
        <f>IF($I1287=0,0,$J1287*$H1287/100/12)</f>
      </c>
      <c r="M1287" s="43">
        <f>IF($I1287=0,0,IF(OR(INDEX(DarlOhneTilgung,3)=1,AND(INDEX(DarlTilgStart,3)&gt;0,$E1287&lt;INDEX(DarlTilgStart,3))),0,MIN(MAX(0,$K1287-$L1287),$J1287)))</f>
      </c>
      <c r="N1287" s="43">
        <f>IF($I1287=0,0,MIN(SUMIFS(SondBetrag,SondDarl,3,SondDatum,"&gt;="&amp;$E1287,SondDatum,"&lt;="&amp;EOMONTH($E1287,0)),$J1287-$M1287))</f>
      </c>
      <c r="O1287" s="43">
        <f>IF($I1287=0,0,INDEX(DarlErsatzRate,3))</f>
      </c>
      <c r="P1287" s="43">
        <f>IF($I1287=0,0,$Q1286*INDEX(DarlErsatzZins,3))</f>
      </c>
      <c r="Q1287" s="43">
        <f>IF($I1287=0,0,$Q1286+$P1287+$O1287)</f>
      </c>
      <c r="R1287" s="43">
        <f>IF($I1287=0,0,$J1287-$M1287-$N1287)</f>
      </c>
    </row>
    <row r="1288">
      <c r="A1288"/>
      <c r="B1288">
        <v>3</v>
      </c>
      <c r="C1288" s="43">
        <f>INDEX(DarlObj,3)</f>
      </c>
      <c r="D1288">
        <v>325</v>
      </c>
      <c r="E1288" s="51">
        <f>IF(INDEX(DarlBelegt,3)=0,0,EOMONTH(INDEX(DarlAuszahlung,3),324)+1)</f>
      </c>
      <c r="F1288" s="43">
        <f>IF($E1288=0,0,YEAR($E1288))</f>
      </c>
      <c r="G1288" s="43">
        <f>IF(INDEX(DarlBindung,3)="",1,IF($E1288&lt;=INDEX(DarlBindung,3),1,0))</f>
      </c>
      <c r="H1288" s="43">
        <f>IF($G1288=1,INDEX(DarlSollzins,3),INDEX(DarlAnschluss,3))</f>
      </c>
      <c r="I1288" s="43">
        <f>IF(INDEX(DarlBelegt,3)=0,0,IF(INDEX(DarlOhneTilgung,3)=1,IF(INDEX(DarlBindung,3)="",1,$G1288),IF($J1288&gt;0.005,1,0)))</f>
      </c>
      <c r="J1288" s="43">
        <f>IF($I1287=0,0,$R1287)</f>
      </c>
      <c r="K1288" s="43">
        <f>IF($I1288=0,0,IF(INDEX(DarlOhneTilgung,3)=1,0,IF(AND(INDEX(DarlTilgStart,3)&gt;0,$E1288=INDEX(DarlTilgStart,3)),$J1288*($H1288+INDEX(DarlTilgung,3))/100/12,IF(AND($G1288=0,$G1287=1),MAX($K1287,$J1288*($H1288+1)/100/12),$K1287))))</f>
      </c>
      <c r="L1288" s="43">
        <f>IF($I1288=0,0,$J1288*$H1288/100/12)</f>
      </c>
      <c r="M1288" s="43">
        <f>IF($I1288=0,0,IF(OR(INDEX(DarlOhneTilgung,3)=1,AND(INDEX(DarlTilgStart,3)&gt;0,$E1288&lt;INDEX(DarlTilgStart,3))),0,MIN(MAX(0,$K1288-$L1288),$J1288)))</f>
      </c>
      <c r="N1288" s="43">
        <f>IF($I1288=0,0,MIN(SUMIFS(SondBetrag,SondDarl,3,SondDatum,"&gt;="&amp;$E1288,SondDatum,"&lt;="&amp;EOMONTH($E1288,0)),$J1288-$M1288))</f>
      </c>
      <c r="O1288" s="43">
        <f>IF($I1288=0,0,INDEX(DarlErsatzRate,3))</f>
      </c>
      <c r="P1288" s="43">
        <f>IF($I1288=0,0,$Q1287*INDEX(DarlErsatzZins,3))</f>
      </c>
      <c r="Q1288" s="43">
        <f>IF($I1288=0,0,$Q1287+$P1288+$O1288)</f>
      </c>
      <c r="R1288" s="43">
        <f>IF($I1288=0,0,$J1288-$M1288-$N1288)</f>
      </c>
    </row>
    <row r="1289">
      <c r="A1289"/>
      <c r="B1289">
        <v>3</v>
      </c>
      <c r="C1289" s="43">
        <f>INDEX(DarlObj,3)</f>
      </c>
      <c r="D1289">
        <v>326</v>
      </c>
      <c r="E1289" s="51">
        <f>IF(INDEX(DarlBelegt,3)=0,0,EOMONTH(INDEX(DarlAuszahlung,3),325)+1)</f>
      </c>
      <c r="F1289" s="43">
        <f>IF($E1289=0,0,YEAR($E1289))</f>
      </c>
      <c r="G1289" s="43">
        <f>IF(INDEX(DarlBindung,3)="",1,IF($E1289&lt;=INDEX(DarlBindung,3),1,0))</f>
      </c>
      <c r="H1289" s="43">
        <f>IF($G1289=1,INDEX(DarlSollzins,3),INDEX(DarlAnschluss,3))</f>
      </c>
      <c r="I1289" s="43">
        <f>IF(INDEX(DarlBelegt,3)=0,0,IF(INDEX(DarlOhneTilgung,3)=1,IF(INDEX(DarlBindung,3)="",1,$G1289),IF($J1289&gt;0.005,1,0)))</f>
      </c>
      <c r="J1289" s="43">
        <f>IF($I1288=0,0,$R1288)</f>
      </c>
      <c r="K1289" s="43">
        <f>IF($I1289=0,0,IF(INDEX(DarlOhneTilgung,3)=1,0,IF(AND(INDEX(DarlTilgStart,3)&gt;0,$E1289=INDEX(DarlTilgStart,3)),$J1289*($H1289+INDEX(DarlTilgung,3))/100/12,IF(AND($G1289=0,$G1288=1),MAX($K1288,$J1289*($H1289+1)/100/12),$K1288))))</f>
      </c>
      <c r="L1289" s="43">
        <f>IF($I1289=0,0,$J1289*$H1289/100/12)</f>
      </c>
      <c r="M1289" s="43">
        <f>IF($I1289=0,0,IF(OR(INDEX(DarlOhneTilgung,3)=1,AND(INDEX(DarlTilgStart,3)&gt;0,$E1289&lt;INDEX(DarlTilgStart,3))),0,MIN(MAX(0,$K1289-$L1289),$J1289)))</f>
      </c>
      <c r="N1289" s="43">
        <f>IF($I1289=0,0,MIN(SUMIFS(SondBetrag,SondDarl,3,SondDatum,"&gt;="&amp;$E1289,SondDatum,"&lt;="&amp;EOMONTH($E1289,0)),$J1289-$M1289))</f>
      </c>
      <c r="O1289" s="43">
        <f>IF($I1289=0,0,INDEX(DarlErsatzRate,3))</f>
      </c>
      <c r="P1289" s="43">
        <f>IF($I1289=0,0,$Q1288*INDEX(DarlErsatzZins,3))</f>
      </c>
      <c r="Q1289" s="43">
        <f>IF($I1289=0,0,$Q1288+$P1289+$O1289)</f>
      </c>
      <c r="R1289" s="43">
        <f>IF($I1289=0,0,$J1289-$M1289-$N1289)</f>
      </c>
    </row>
    <row r="1290">
      <c r="A1290"/>
      <c r="B1290">
        <v>3</v>
      </c>
      <c r="C1290" s="43">
        <f>INDEX(DarlObj,3)</f>
      </c>
      <c r="D1290">
        <v>327</v>
      </c>
      <c r="E1290" s="51">
        <f>IF(INDEX(DarlBelegt,3)=0,0,EOMONTH(INDEX(DarlAuszahlung,3),326)+1)</f>
      </c>
      <c r="F1290" s="43">
        <f>IF($E1290=0,0,YEAR($E1290))</f>
      </c>
      <c r="G1290" s="43">
        <f>IF(INDEX(DarlBindung,3)="",1,IF($E1290&lt;=INDEX(DarlBindung,3),1,0))</f>
      </c>
      <c r="H1290" s="43">
        <f>IF($G1290=1,INDEX(DarlSollzins,3),INDEX(DarlAnschluss,3))</f>
      </c>
      <c r="I1290" s="43">
        <f>IF(INDEX(DarlBelegt,3)=0,0,IF(INDEX(DarlOhneTilgung,3)=1,IF(INDEX(DarlBindung,3)="",1,$G1290),IF($J1290&gt;0.005,1,0)))</f>
      </c>
      <c r="J1290" s="43">
        <f>IF($I1289=0,0,$R1289)</f>
      </c>
      <c r="K1290" s="43">
        <f>IF($I1290=0,0,IF(INDEX(DarlOhneTilgung,3)=1,0,IF(AND(INDEX(DarlTilgStart,3)&gt;0,$E1290=INDEX(DarlTilgStart,3)),$J1290*($H1290+INDEX(DarlTilgung,3))/100/12,IF(AND($G1290=0,$G1289=1),MAX($K1289,$J1290*($H1290+1)/100/12),$K1289))))</f>
      </c>
      <c r="L1290" s="43">
        <f>IF($I1290=0,0,$J1290*$H1290/100/12)</f>
      </c>
      <c r="M1290" s="43">
        <f>IF($I1290=0,0,IF(OR(INDEX(DarlOhneTilgung,3)=1,AND(INDEX(DarlTilgStart,3)&gt;0,$E1290&lt;INDEX(DarlTilgStart,3))),0,MIN(MAX(0,$K1290-$L1290),$J1290)))</f>
      </c>
      <c r="N1290" s="43">
        <f>IF($I1290=0,0,MIN(SUMIFS(SondBetrag,SondDarl,3,SondDatum,"&gt;="&amp;$E1290,SondDatum,"&lt;="&amp;EOMONTH($E1290,0)),$J1290-$M1290))</f>
      </c>
      <c r="O1290" s="43">
        <f>IF($I1290=0,0,INDEX(DarlErsatzRate,3))</f>
      </c>
      <c r="P1290" s="43">
        <f>IF($I1290=0,0,$Q1289*INDEX(DarlErsatzZins,3))</f>
      </c>
      <c r="Q1290" s="43">
        <f>IF($I1290=0,0,$Q1289+$P1290+$O1290)</f>
      </c>
      <c r="R1290" s="43">
        <f>IF($I1290=0,0,$J1290-$M1290-$N1290)</f>
      </c>
    </row>
    <row r="1291">
      <c r="A1291"/>
      <c r="B1291">
        <v>3</v>
      </c>
      <c r="C1291" s="43">
        <f>INDEX(DarlObj,3)</f>
      </c>
      <c r="D1291">
        <v>328</v>
      </c>
      <c r="E1291" s="51">
        <f>IF(INDEX(DarlBelegt,3)=0,0,EOMONTH(INDEX(DarlAuszahlung,3),327)+1)</f>
      </c>
      <c r="F1291" s="43">
        <f>IF($E1291=0,0,YEAR($E1291))</f>
      </c>
      <c r="G1291" s="43">
        <f>IF(INDEX(DarlBindung,3)="",1,IF($E1291&lt;=INDEX(DarlBindung,3),1,0))</f>
      </c>
      <c r="H1291" s="43">
        <f>IF($G1291=1,INDEX(DarlSollzins,3),INDEX(DarlAnschluss,3))</f>
      </c>
      <c r="I1291" s="43">
        <f>IF(INDEX(DarlBelegt,3)=0,0,IF(INDEX(DarlOhneTilgung,3)=1,IF(INDEX(DarlBindung,3)="",1,$G1291),IF($J1291&gt;0.005,1,0)))</f>
      </c>
      <c r="J1291" s="43">
        <f>IF($I1290=0,0,$R1290)</f>
      </c>
      <c r="K1291" s="43">
        <f>IF($I1291=0,0,IF(INDEX(DarlOhneTilgung,3)=1,0,IF(AND(INDEX(DarlTilgStart,3)&gt;0,$E1291=INDEX(DarlTilgStart,3)),$J1291*($H1291+INDEX(DarlTilgung,3))/100/12,IF(AND($G1291=0,$G1290=1),MAX($K1290,$J1291*($H1291+1)/100/12),$K1290))))</f>
      </c>
      <c r="L1291" s="43">
        <f>IF($I1291=0,0,$J1291*$H1291/100/12)</f>
      </c>
      <c r="M1291" s="43">
        <f>IF($I1291=0,0,IF(OR(INDEX(DarlOhneTilgung,3)=1,AND(INDEX(DarlTilgStart,3)&gt;0,$E1291&lt;INDEX(DarlTilgStart,3))),0,MIN(MAX(0,$K1291-$L1291),$J1291)))</f>
      </c>
      <c r="N1291" s="43">
        <f>IF($I1291=0,0,MIN(SUMIFS(SondBetrag,SondDarl,3,SondDatum,"&gt;="&amp;$E1291,SondDatum,"&lt;="&amp;EOMONTH($E1291,0)),$J1291-$M1291))</f>
      </c>
      <c r="O1291" s="43">
        <f>IF($I1291=0,0,INDEX(DarlErsatzRate,3))</f>
      </c>
      <c r="P1291" s="43">
        <f>IF($I1291=0,0,$Q1290*INDEX(DarlErsatzZins,3))</f>
      </c>
      <c r="Q1291" s="43">
        <f>IF($I1291=0,0,$Q1290+$P1291+$O1291)</f>
      </c>
      <c r="R1291" s="43">
        <f>IF($I1291=0,0,$J1291-$M1291-$N1291)</f>
      </c>
    </row>
    <row r="1292">
      <c r="A1292"/>
      <c r="B1292">
        <v>3</v>
      </c>
      <c r="C1292" s="43">
        <f>INDEX(DarlObj,3)</f>
      </c>
      <c r="D1292">
        <v>329</v>
      </c>
      <c r="E1292" s="51">
        <f>IF(INDEX(DarlBelegt,3)=0,0,EOMONTH(INDEX(DarlAuszahlung,3),328)+1)</f>
      </c>
      <c r="F1292" s="43">
        <f>IF($E1292=0,0,YEAR($E1292))</f>
      </c>
      <c r="G1292" s="43">
        <f>IF(INDEX(DarlBindung,3)="",1,IF($E1292&lt;=INDEX(DarlBindung,3),1,0))</f>
      </c>
      <c r="H1292" s="43">
        <f>IF($G1292=1,INDEX(DarlSollzins,3),INDEX(DarlAnschluss,3))</f>
      </c>
      <c r="I1292" s="43">
        <f>IF(INDEX(DarlBelegt,3)=0,0,IF(INDEX(DarlOhneTilgung,3)=1,IF(INDEX(DarlBindung,3)="",1,$G1292),IF($J1292&gt;0.005,1,0)))</f>
      </c>
      <c r="J1292" s="43">
        <f>IF($I1291=0,0,$R1291)</f>
      </c>
      <c r="K1292" s="43">
        <f>IF($I1292=0,0,IF(INDEX(DarlOhneTilgung,3)=1,0,IF(AND(INDEX(DarlTilgStart,3)&gt;0,$E1292=INDEX(DarlTilgStart,3)),$J1292*($H1292+INDEX(DarlTilgung,3))/100/12,IF(AND($G1292=0,$G1291=1),MAX($K1291,$J1292*($H1292+1)/100/12),$K1291))))</f>
      </c>
      <c r="L1292" s="43">
        <f>IF($I1292=0,0,$J1292*$H1292/100/12)</f>
      </c>
      <c r="M1292" s="43">
        <f>IF($I1292=0,0,IF(OR(INDEX(DarlOhneTilgung,3)=1,AND(INDEX(DarlTilgStart,3)&gt;0,$E1292&lt;INDEX(DarlTilgStart,3))),0,MIN(MAX(0,$K1292-$L1292),$J1292)))</f>
      </c>
      <c r="N1292" s="43">
        <f>IF($I1292=0,0,MIN(SUMIFS(SondBetrag,SondDarl,3,SondDatum,"&gt;="&amp;$E1292,SondDatum,"&lt;="&amp;EOMONTH($E1292,0)),$J1292-$M1292))</f>
      </c>
      <c r="O1292" s="43">
        <f>IF($I1292=0,0,INDEX(DarlErsatzRate,3))</f>
      </c>
      <c r="P1292" s="43">
        <f>IF($I1292=0,0,$Q1291*INDEX(DarlErsatzZins,3))</f>
      </c>
      <c r="Q1292" s="43">
        <f>IF($I1292=0,0,$Q1291+$P1292+$O1292)</f>
      </c>
      <c r="R1292" s="43">
        <f>IF($I1292=0,0,$J1292-$M1292-$N1292)</f>
      </c>
    </row>
    <row r="1293">
      <c r="A1293"/>
      <c r="B1293">
        <v>3</v>
      </c>
      <c r="C1293" s="43">
        <f>INDEX(DarlObj,3)</f>
      </c>
      <c r="D1293">
        <v>330</v>
      </c>
      <c r="E1293" s="51">
        <f>IF(INDEX(DarlBelegt,3)=0,0,EOMONTH(INDEX(DarlAuszahlung,3),329)+1)</f>
      </c>
      <c r="F1293" s="43">
        <f>IF($E1293=0,0,YEAR($E1293))</f>
      </c>
      <c r="G1293" s="43">
        <f>IF(INDEX(DarlBindung,3)="",1,IF($E1293&lt;=INDEX(DarlBindung,3),1,0))</f>
      </c>
      <c r="H1293" s="43">
        <f>IF($G1293=1,INDEX(DarlSollzins,3),INDEX(DarlAnschluss,3))</f>
      </c>
      <c r="I1293" s="43">
        <f>IF(INDEX(DarlBelegt,3)=0,0,IF(INDEX(DarlOhneTilgung,3)=1,IF(INDEX(DarlBindung,3)="",1,$G1293),IF($J1293&gt;0.005,1,0)))</f>
      </c>
      <c r="J1293" s="43">
        <f>IF($I1292=0,0,$R1292)</f>
      </c>
      <c r="K1293" s="43">
        <f>IF($I1293=0,0,IF(INDEX(DarlOhneTilgung,3)=1,0,IF(AND(INDEX(DarlTilgStart,3)&gt;0,$E1293=INDEX(DarlTilgStart,3)),$J1293*($H1293+INDEX(DarlTilgung,3))/100/12,IF(AND($G1293=0,$G1292=1),MAX($K1292,$J1293*($H1293+1)/100/12),$K1292))))</f>
      </c>
      <c r="L1293" s="43">
        <f>IF($I1293=0,0,$J1293*$H1293/100/12)</f>
      </c>
      <c r="M1293" s="43">
        <f>IF($I1293=0,0,IF(OR(INDEX(DarlOhneTilgung,3)=1,AND(INDEX(DarlTilgStart,3)&gt;0,$E1293&lt;INDEX(DarlTilgStart,3))),0,MIN(MAX(0,$K1293-$L1293),$J1293)))</f>
      </c>
      <c r="N1293" s="43">
        <f>IF($I1293=0,0,MIN(SUMIFS(SondBetrag,SondDarl,3,SondDatum,"&gt;="&amp;$E1293,SondDatum,"&lt;="&amp;EOMONTH($E1293,0)),$J1293-$M1293))</f>
      </c>
      <c r="O1293" s="43">
        <f>IF($I1293=0,0,INDEX(DarlErsatzRate,3))</f>
      </c>
      <c r="P1293" s="43">
        <f>IF($I1293=0,0,$Q1292*INDEX(DarlErsatzZins,3))</f>
      </c>
      <c r="Q1293" s="43">
        <f>IF($I1293=0,0,$Q1292+$P1293+$O1293)</f>
      </c>
      <c r="R1293" s="43">
        <f>IF($I1293=0,0,$J1293-$M1293-$N1293)</f>
      </c>
    </row>
    <row r="1294">
      <c r="A1294"/>
      <c r="B1294">
        <v>3</v>
      </c>
      <c r="C1294" s="43">
        <f>INDEX(DarlObj,3)</f>
      </c>
      <c r="D1294">
        <v>331</v>
      </c>
      <c r="E1294" s="51">
        <f>IF(INDEX(DarlBelegt,3)=0,0,EOMONTH(INDEX(DarlAuszahlung,3),330)+1)</f>
      </c>
      <c r="F1294" s="43">
        <f>IF($E1294=0,0,YEAR($E1294))</f>
      </c>
      <c r="G1294" s="43">
        <f>IF(INDEX(DarlBindung,3)="",1,IF($E1294&lt;=INDEX(DarlBindung,3),1,0))</f>
      </c>
      <c r="H1294" s="43">
        <f>IF($G1294=1,INDEX(DarlSollzins,3),INDEX(DarlAnschluss,3))</f>
      </c>
      <c r="I1294" s="43">
        <f>IF(INDEX(DarlBelegt,3)=0,0,IF(INDEX(DarlOhneTilgung,3)=1,IF(INDEX(DarlBindung,3)="",1,$G1294),IF($J1294&gt;0.005,1,0)))</f>
      </c>
      <c r="J1294" s="43">
        <f>IF($I1293=0,0,$R1293)</f>
      </c>
      <c r="K1294" s="43">
        <f>IF($I1294=0,0,IF(INDEX(DarlOhneTilgung,3)=1,0,IF(AND(INDEX(DarlTilgStart,3)&gt;0,$E1294=INDEX(DarlTilgStart,3)),$J1294*($H1294+INDEX(DarlTilgung,3))/100/12,IF(AND($G1294=0,$G1293=1),MAX($K1293,$J1294*($H1294+1)/100/12),$K1293))))</f>
      </c>
      <c r="L1294" s="43">
        <f>IF($I1294=0,0,$J1294*$H1294/100/12)</f>
      </c>
      <c r="M1294" s="43">
        <f>IF($I1294=0,0,IF(OR(INDEX(DarlOhneTilgung,3)=1,AND(INDEX(DarlTilgStart,3)&gt;0,$E1294&lt;INDEX(DarlTilgStart,3))),0,MIN(MAX(0,$K1294-$L1294),$J1294)))</f>
      </c>
      <c r="N1294" s="43">
        <f>IF($I1294=0,0,MIN(SUMIFS(SondBetrag,SondDarl,3,SondDatum,"&gt;="&amp;$E1294,SondDatum,"&lt;="&amp;EOMONTH($E1294,0)),$J1294-$M1294))</f>
      </c>
      <c r="O1294" s="43">
        <f>IF($I1294=0,0,INDEX(DarlErsatzRate,3))</f>
      </c>
      <c r="P1294" s="43">
        <f>IF($I1294=0,0,$Q1293*INDEX(DarlErsatzZins,3))</f>
      </c>
      <c r="Q1294" s="43">
        <f>IF($I1294=0,0,$Q1293+$P1294+$O1294)</f>
      </c>
      <c r="R1294" s="43">
        <f>IF($I1294=0,0,$J1294-$M1294-$N1294)</f>
      </c>
    </row>
    <row r="1295">
      <c r="A1295"/>
      <c r="B1295">
        <v>3</v>
      </c>
      <c r="C1295" s="43">
        <f>INDEX(DarlObj,3)</f>
      </c>
      <c r="D1295">
        <v>332</v>
      </c>
      <c r="E1295" s="51">
        <f>IF(INDEX(DarlBelegt,3)=0,0,EOMONTH(INDEX(DarlAuszahlung,3),331)+1)</f>
      </c>
      <c r="F1295" s="43">
        <f>IF($E1295=0,0,YEAR($E1295))</f>
      </c>
      <c r="G1295" s="43">
        <f>IF(INDEX(DarlBindung,3)="",1,IF($E1295&lt;=INDEX(DarlBindung,3),1,0))</f>
      </c>
      <c r="H1295" s="43">
        <f>IF($G1295=1,INDEX(DarlSollzins,3),INDEX(DarlAnschluss,3))</f>
      </c>
      <c r="I1295" s="43">
        <f>IF(INDEX(DarlBelegt,3)=0,0,IF(INDEX(DarlOhneTilgung,3)=1,IF(INDEX(DarlBindung,3)="",1,$G1295),IF($J1295&gt;0.005,1,0)))</f>
      </c>
      <c r="J1295" s="43">
        <f>IF($I1294=0,0,$R1294)</f>
      </c>
      <c r="K1295" s="43">
        <f>IF($I1295=0,0,IF(INDEX(DarlOhneTilgung,3)=1,0,IF(AND(INDEX(DarlTilgStart,3)&gt;0,$E1295=INDEX(DarlTilgStart,3)),$J1295*($H1295+INDEX(DarlTilgung,3))/100/12,IF(AND($G1295=0,$G1294=1),MAX($K1294,$J1295*($H1295+1)/100/12),$K1294))))</f>
      </c>
      <c r="L1295" s="43">
        <f>IF($I1295=0,0,$J1295*$H1295/100/12)</f>
      </c>
      <c r="M1295" s="43">
        <f>IF($I1295=0,0,IF(OR(INDEX(DarlOhneTilgung,3)=1,AND(INDEX(DarlTilgStart,3)&gt;0,$E1295&lt;INDEX(DarlTilgStart,3))),0,MIN(MAX(0,$K1295-$L1295),$J1295)))</f>
      </c>
      <c r="N1295" s="43">
        <f>IF($I1295=0,0,MIN(SUMIFS(SondBetrag,SondDarl,3,SondDatum,"&gt;="&amp;$E1295,SondDatum,"&lt;="&amp;EOMONTH($E1295,0)),$J1295-$M1295))</f>
      </c>
      <c r="O1295" s="43">
        <f>IF($I1295=0,0,INDEX(DarlErsatzRate,3))</f>
      </c>
      <c r="P1295" s="43">
        <f>IF($I1295=0,0,$Q1294*INDEX(DarlErsatzZins,3))</f>
      </c>
      <c r="Q1295" s="43">
        <f>IF($I1295=0,0,$Q1294+$P1295+$O1295)</f>
      </c>
      <c r="R1295" s="43">
        <f>IF($I1295=0,0,$J1295-$M1295-$N1295)</f>
      </c>
    </row>
    <row r="1296">
      <c r="A1296"/>
      <c r="B1296">
        <v>3</v>
      </c>
      <c r="C1296" s="43">
        <f>INDEX(DarlObj,3)</f>
      </c>
      <c r="D1296">
        <v>333</v>
      </c>
      <c r="E1296" s="51">
        <f>IF(INDEX(DarlBelegt,3)=0,0,EOMONTH(INDEX(DarlAuszahlung,3),332)+1)</f>
      </c>
      <c r="F1296" s="43">
        <f>IF($E1296=0,0,YEAR($E1296))</f>
      </c>
      <c r="G1296" s="43">
        <f>IF(INDEX(DarlBindung,3)="",1,IF($E1296&lt;=INDEX(DarlBindung,3),1,0))</f>
      </c>
      <c r="H1296" s="43">
        <f>IF($G1296=1,INDEX(DarlSollzins,3),INDEX(DarlAnschluss,3))</f>
      </c>
      <c r="I1296" s="43">
        <f>IF(INDEX(DarlBelegt,3)=0,0,IF(INDEX(DarlOhneTilgung,3)=1,IF(INDEX(DarlBindung,3)="",1,$G1296),IF($J1296&gt;0.005,1,0)))</f>
      </c>
      <c r="J1296" s="43">
        <f>IF($I1295=0,0,$R1295)</f>
      </c>
      <c r="K1296" s="43">
        <f>IF($I1296=0,0,IF(INDEX(DarlOhneTilgung,3)=1,0,IF(AND(INDEX(DarlTilgStart,3)&gt;0,$E1296=INDEX(DarlTilgStart,3)),$J1296*($H1296+INDEX(DarlTilgung,3))/100/12,IF(AND($G1296=0,$G1295=1),MAX($K1295,$J1296*($H1296+1)/100/12),$K1295))))</f>
      </c>
      <c r="L1296" s="43">
        <f>IF($I1296=0,0,$J1296*$H1296/100/12)</f>
      </c>
      <c r="M1296" s="43">
        <f>IF($I1296=0,0,IF(OR(INDEX(DarlOhneTilgung,3)=1,AND(INDEX(DarlTilgStart,3)&gt;0,$E1296&lt;INDEX(DarlTilgStart,3))),0,MIN(MAX(0,$K1296-$L1296),$J1296)))</f>
      </c>
      <c r="N1296" s="43">
        <f>IF($I1296=0,0,MIN(SUMIFS(SondBetrag,SondDarl,3,SondDatum,"&gt;="&amp;$E1296,SondDatum,"&lt;="&amp;EOMONTH($E1296,0)),$J1296-$M1296))</f>
      </c>
      <c r="O1296" s="43">
        <f>IF($I1296=0,0,INDEX(DarlErsatzRate,3))</f>
      </c>
      <c r="P1296" s="43">
        <f>IF($I1296=0,0,$Q1295*INDEX(DarlErsatzZins,3))</f>
      </c>
      <c r="Q1296" s="43">
        <f>IF($I1296=0,0,$Q1295+$P1296+$O1296)</f>
      </c>
      <c r="R1296" s="43">
        <f>IF($I1296=0,0,$J1296-$M1296-$N1296)</f>
      </c>
    </row>
    <row r="1297">
      <c r="A1297"/>
      <c r="B1297">
        <v>3</v>
      </c>
      <c r="C1297" s="43">
        <f>INDEX(DarlObj,3)</f>
      </c>
      <c r="D1297">
        <v>334</v>
      </c>
      <c r="E1297" s="51">
        <f>IF(INDEX(DarlBelegt,3)=0,0,EOMONTH(INDEX(DarlAuszahlung,3),333)+1)</f>
      </c>
      <c r="F1297" s="43">
        <f>IF($E1297=0,0,YEAR($E1297))</f>
      </c>
      <c r="G1297" s="43">
        <f>IF(INDEX(DarlBindung,3)="",1,IF($E1297&lt;=INDEX(DarlBindung,3),1,0))</f>
      </c>
      <c r="H1297" s="43">
        <f>IF($G1297=1,INDEX(DarlSollzins,3),INDEX(DarlAnschluss,3))</f>
      </c>
      <c r="I1297" s="43">
        <f>IF(INDEX(DarlBelegt,3)=0,0,IF(INDEX(DarlOhneTilgung,3)=1,IF(INDEX(DarlBindung,3)="",1,$G1297),IF($J1297&gt;0.005,1,0)))</f>
      </c>
      <c r="J1297" s="43">
        <f>IF($I1296=0,0,$R1296)</f>
      </c>
      <c r="K1297" s="43">
        <f>IF($I1297=0,0,IF(INDEX(DarlOhneTilgung,3)=1,0,IF(AND(INDEX(DarlTilgStart,3)&gt;0,$E1297=INDEX(DarlTilgStart,3)),$J1297*($H1297+INDEX(DarlTilgung,3))/100/12,IF(AND($G1297=0,$G1296=1),MAX($K1296,$J1297*($H1297+1)/100/12),$K1296))))</f>
      </c>
      <c r="L1297" s="43">
        <f>IF($I1297=0,0,$J1297*$H1297/100/12)</f>
      </c>
      <c r="M1297" s="43">
        <f>IF($I1297=0,0,IF(OR(INDEX(DarlOhneTilgung,3)=1,AND(INDEX(DarlTilgStart,3)&gt;0,$E1297&lt;INDEX(DarlTilgStart,3))),0,MIN(MAX(0,$K1297-$L1297),$J1297)))</f>
      </c>
      <c r="N1297" s="43">
        <f>IF($I1297=0,0,MIN(SUMIFS(SondBetrag,SondDarl,3,SondDatum,"&gt;="&amp;$E1297,SondDatum,"&lt;="&amp;EOMONTH($E1297,0)),$J1297-$M1297))</f>
      </c>
      <c r="O1297" s="43">
        <f>IF($I1297=0,0,INDEX(DarlErsatzRate,3))</f>
      </c>
      <c r="P1297" s="43">
        <f>IF($I1297=0,0,$Q1296*INDEX(DarlErsatzZins,3))</f>
      </c>
      <c r="Q1297" s="43">
        <f>IF($I1297=0,0,$Q1296+$P1297+$O1297)</f>
      </c>
      <c r="R1297" s="43">
        <f>IF($I1297=0,0,$J1297-$M1297-$N1297)</f>
      </c>
    </row>
    <row r="1298">
      <c r="A1298"/>
      <c r="B1298">
        <v>3</v>
      </c>
      <c r="C1298" s="43">
        <f>INDEX(DarlObj,3)</f>
      </c>
      <c r="D1298">
        <v>335</v>
      </c>
      <c r="E1298" s="51">
        <f>IF(INDEX(DarlBelegt,3)=0,0,EOMONTH(INDEX(DarlAuszahlung,3),334)+1)</f>
      </c>
      <c r="F1298" s="43">
        <f>IF($E1298=0,0,YEAR($E1298))</f>
      </c>
      <c r="G1298" s="43">
        <f>IF(INDEX(DarlBindung,3)="",1,IF($E1298&lt;=INDEX(DarlBindung,3),1,0))</f>
      </c>
      <c r="H1298" s="43">
        <f>IF($G1298=1,INDEX(DarlSollzins,3),INDEX(DarlAnschluss,3))</f>
      </c>
      <c r="I1298" s="43">
        <f>IF(INDEX(DarlBelegt,3)=0,0,IF(INDEX(DarlOhneTilgung,3)=1,IF(INDEX(DarlBindung,3)="",1,$G1298),IF($J1298&gt;0.005,1,0)))</f>
      </c>
      <c r="J1298" s="43">
        <f>IF($I1297=0,0,$R1297)</f>
      </c>
      <c r="K1298" s="43">
        <f>IF($I1298=0,0,IF(INDEX(DarlOhneTilgung,3)=1,0,IF(AND(INDEX(DarlTilgStart,3)&gt;0,$E1298=INDEX(DarlTilgStart,3)),$J1298*($H1298+INDEX(DarlTilgung,3))/100/12,IF(AND($G1298=0,$G1297=1),MAX($K1297,$J1298*($H1298+1)/100/12),$K1297))))</f>
      </c>
      <c r="L1298" s="43">
        <f>IF($I1298=0,0,$J1298*$H1298/100/12)</f>
      </c>
      <c r="M1298" s="43">
        <f>IF($I1298=0,0,IF(OR(INDEX(DarlOhneTilgung,3)=1,AND(INDEX(DarlTilgStart,3)&gt;0,$E1298&lt;INDEX(DarlTilgStart,3))),0,MIN(MAX(0,$K1298-$L1298),$J1298)))</f>
      </c>
      <c r="N1298" s="43">
        <f>IF($I1298=0,0,MIN(SUMIFS(SondBetrag,SondDarl,3,SondDatum,"&gt;="&amp;$E1298,SondDatum,"&lt;="&amp;EOMONTH($E1298,0)),$J1298-$M1298))</f>
      </c>
      <c r="O1298" s="43">
        <f>IF($I1298=0,0,INDEX(DarlErsatzRate,3))</f>
      </c>
      <c r="P1298" s="43">
        <f>IF($I1298=0,0,$Q1297*INDEX(DarlErsatzZins,3))</f>
      </c>
      <c r="Q1298" s="43">
        <f>IF($I1298=0,0,$Q1297+$P1298+$O1298)</f>
      </c>
      <c r="R1298" s="43">
        <f>IF($I1298=0,0,$J1298-$M1298-$N1298)</f>
      </c>
    </row>
    <row r="1299">
      <c r="A1299"/>
      <c r="B1299">
        <v>3</v>
      </c>
      <c r="C1299" s="43">
        <f>INDEX(DarlObj,3)</f>
      </c>
      <c r="D1299">
        <v>336</v>
      </c>
      <c r="E1299" s="51">
        <f>IF(INDEX(DarlBelegt,3)=0,0,EOMONTH(INDEX(DarlAuszahlung,3),335)+1)</f>
      </c>
      <c r="F1299" s="43">
        <f>IF($E1299=0,0,YEAR($E1299))</f>
      </c>
      <c r="G1299" s="43">
        <f>IF(INDEX(DarlBindung,3)="",1,IF($E1299&lt;=INDEX(DarlBindung,3),1,0))</f>
      </c>
      <c r="H1299" s="43">
        <f>IF($G1299=1,INDEX(DarlSollzins,3),INDEX(DarlAnschluss,3))</f>
      </c>
      <c r="I1299" s="43">
        <f>IF(INDEX(DarlBelegt,3)=0,0,IF(INDEX(DarlOhneTilgung,3)=1,IF(INDEX(DarlBindung,3)="",1,$G1299),IF($J1299&gt;0.005,1,0)))</f>
      </c>
      <c r="J1299" s="43">
        <f>IF($I1298=0,0,$R1298)</f>
      </c>
      <c r="K1299" s="43">
        <f>IF($I1299=0,0,IF(INDEX(DarlOhneTilgung,3)=1,0,IF(AND(INDEX(DarlTilgStart,3)&gt;0,$E1299=INDEX(DarlTilgStart,3)),$J1299*($H1299+INDEX(DarlTilgung,3))/100/12,IF(AND($G1299=0,$G1298=1),MAX($K1298,$J1299*($H1299+1)/100/12),$K1298))))</f>
      </c>
      <c r="L1299" s="43">
        <f>IF($I1299=0,0,$J1299*$H1299/100/12)</f>
      </c>
      <c r="M1299" s="43">
        <f>IF($I1299=0,0,IF(OR(INDEX(DarlOhneTilgung,3)=1,AND(INDEX(DarlTilgStart,3)&gt;0,$E1299&lt;INDEX(DarlTilgStart,3))),0,MIN(MAX(0,$K1299-$L1299),$J1299)))</f>
      </c>
      <c r="N1299" s="43">
        <f>IF($I1299=0,0,MIN(SUMIFS(SondBetrag,SondDarl,3,SondDatum,"&gt;="&amp;$E1299,SondDatum,"&lt;="&amp;EOMONTH($E1299,0)),$J1299-$M1299))</f>
      </c>
      <c r="O1299" s="43">
        <f>IF($I1299=0,0,INDEX(DarlErsatzRate,3))</f>
      </c>
      <c r="P1299" s="43">
        <f>IF($I1299=0,0,$Q1298*INDEX(DarlErsatzZins,3))</f>
      </c>
      <c r="Q1299" s="43">
        <f>IF($I1299=0,0,$Q1298+$P1299+$O1299)</f>
      </c>
      <c r="R1299" s="43">
        <f>IF($I1299=0,0,$J1299-$M1299-$N1299)</f>
      </c>
    </row>
    <row r="1300">
      <c r="A1300"/>
      <c r="B1300">
        <v>3</v>
      </c>
      <c r="C1300" s="43">
        <f>INDEX(DarlObj,3)</f>
      </c>
      <c r="D1300">
        <v>337</v>
      </c>
      <c r="E1300" s="51">
        <f>IF(INDEX(DarlBelegt,3)=0,0,EOMONTH(INDEX(DarlAuszahlung,3),336)+1)</f>
      </c>
      <c r="F1300" s="43">
        <f>IF($E1300=0,0,YEAR($E1300))</f>
      </c>
      <c r="G1300" s="43">
        <f>IF(INDEX(DarlBindung,3)="",1,IF($E1300&lt;=INDEX(DarlBindung,3),1,0))</f>
      </c>
      <c r="H1300" s="43">
        <f>IF($G1300=1,INDEX(DarlSollzins,3),INDEX(DarlAnschluss,3))</f>
      </c>
      <c r="I1300" s="43">
        <f>IF(INDEX(DarlBelegt,3)=0,0,IF(INDEX(DarlOhneTilgung,3)=1,IF(INDEX(DarlBindung,3)="",1,$G1300),IF($J1300&gt;0.005,1,0)))</f>
      </c>
      <c r="J1300" s="43">
        <f>IF($I1299=0,0,$R1299)</f>
      </c>
      <c r="K1300" s="43">
        <f>IF($I1300=0,0,IF(INDEX(DarlOhneTilgung,3)=1,0,IF(AND(INDEX(DarlTilgStart,3)&gt;0,$E1300=INDEX(DarlTilgStart,3)),$J1300*($H1300+INDEX(DarlTilgung,3))/100/12,IF(AND($G1300=0,$G1299=1),MAX($K1299,$J1300*($H1300+1)/100/12),$K1299))))</f>
      </c>
      <c r="L1300" s="43">
        <f>IF($I1300=0,0,$J1300*$H1300/100/12)</f>
      </c>
      <c r="M1300" s="43">
        <f>IF($I1300=0,0,IF(OR(INDEX(DarlOhneTilgung,3)=1,AND(INDEX(DarlTilgStart,3)&gt;0,$E1300&lt;INDEX(DarlTilgStart,3))),0,MIN(MAX(0,$K1300-$L1300),$J1300)))</f>
      </c>
      <c r="N1300" s="43">
        <f>IF($I1300=0,0,MIN(SUMIFS(SondBetrag,SondDarl,3,SondDatum,"&gt;="&amp;$E1300,SondDatum,"&lt;="&amp;EOMONTH($E1300,0)),$J1300-$M1300))</f>
      </c>
      <c r="O1300" s="43">
        <f>IF($I1300=0,0,INDEX(DarlErsatzRate,3))</f>
      </c>
      <c r="P1300" s="43">
        <f>IF($I1300=0,0,$Q1299*INDEX(DarlErsatzZins,3))</f>
      </c>
      <c r="Q1300" s="43">
        <f>IF($I1300=0,0,$Q1299+$P1300+$O1300)</f>
      </c>
      <c r="R1300" s="43">
        <f>IF($I1300=0,0,$J1300-$M1300-$N1300)</f>
      </c>
    </row>
    <row r="1301">
      <c r="A1301"/>
      <c r="B1301">
        <v>3</v>
      </c>
      <c r="C1301" s="43">
        <f>INDEX(DarlObj,3)</f>
      </c>
      <c r="D1301">
        <v>338</v>
      </c>
      <c r="E1301" s="51">
        <f>IF(INDEX(DarlBelegt,3)=0,0,EOMONTH(INDEX(DarlAuszahlung,3),337)+1)</f>
      </c>
      <c r="F1301" s="43">
        <f>IF($E1301=0,0,YEAR($E1301))</f>
      </c>
      <c r="G1301" s="43">
        <f>IF(INDEX(DarlBindung,3)="",1,IF($E1301&lt;=INDEX(DarlBindung,3),1,0))</f>
      </c>
      <c r="H1301" s="43">
        <f>IF($G1301=1,INDEX(DarlSollzins,3),INDEX(DarlAnschluss,3))</f>
      </c>
      <c r="I1301" s="43">
        <f>IF(INDEX(DarlBelegt,3)=0,0,IF(INDEX(DarlOhneTilgung,3)=1,IF(INDEX(DarlBindung,3)="",1,$G1301),IF($J1301&gt;0.005,1,0)))</f>
      </c>
      <c r="J1301" s="43">
        <f>IF($I1300=0,0,$R1300)</f>
      </c>
      <c r="K1301" s="43">
        <f>IF($I1301=0,0,IF(INDEX(DarlOhneTilgung,3)=1,0,IF(AND(INDEX(DarlTilgStart,3)&gt;0,$E1301=INDEX(DarlTilgStart,3)),$J1301*($H1301+INDEX(DarlTilgung,3))/100/12,IF(AND($G1301=0,$G1300=1),MAX($K1300,$J1301*($H1301+1)/100/12),$K1300))))</f>
      </c>
      <c r="L1301" s="43">
        <f>IF($I1301=0,0,$J1301*$H1301/100/12)</f>
      </c>
      <c r="M1301" s="43">
        <f>IF($I1301=0,0,IF(OR(INDEX(DarlOhneTilgung,3)=1,AND(INDEX(DarlTilgStart,3)&gt;0,$E1301&lt;INDEX(DarlTilgStart,3))),0,MIN(MAX(0,$K1301-$L1301),$J1301)))</f>
      </c>
      <c r="N1301" s="43">
        <f>IF($I1301=0,0,MIN(SUMIFS(SondBetrag,SondDarl,3,SondDatum,"&gt;="&amp;$E1301,SondDatum,"&lt;="&amp;EOMONTH($E1301,0)),$J1301-$M1301))</f>
      </c>
      <c r="O1301" s="43">
        <f>IF($I1301=0,0,INDEX(DarlErsatzRate,3))</f>
      </c>
      <c r="P1301" s="43">
        <f>IF($I1301=0,0,$Q1300*INDEX(DarlErsatzZins,3))</f>
      </c>
      <c r="Q1301" s="43">
        <f>IF($I1301=0,0,$Q1300+$P1301+$O1301)</f>
      </c>
      <c r="R1301" s="43">
        <f>IF($I1301=0,0,$J1301-$M1301-$N1301)</f>
      </c>
    </row>
    <row r="1302">
      <c r="A1302"/>
      <c r="B1302">
        <v>3</v>
      </c>
      <c r="C1302" s="43">
        <f>INDEX(DarlObj,3)</f>
      </c>
      <c r="D1302">
        <v>339</v>
      </c>
      <c r="E1302" s="51">
        <f>IF(INDEX(DarlBelegt,3)=0,0,EOMONTH(INDEX(DarlAuszahlung,3),338)+1)</f>
      </c>
      <c r="F1302" s="43">
        <f>IF($E1302=0,0,YEAR($E1302))</f>
      </c>
      <c r="G1302" s="43">
        <f>IF(INDEX(DarlBindung,3)="",1,IF($E1302&lt;=INDEX(DarlBindung,3),1,0))</f>
      </c>
      <c r="H1302" s="43">
        <f>IF($G1302=1,INDEX(DarlSollzins,3),INDEX(DarlAnschluss,3))</f>
      </c>
      <c r="I1302" s="43">
        <f>IF(INDEX(DarlBelegt,3)=0,0,IF(INDEX(DarlOhneTilgung,3)=1,IF(INDEX(DarlBindung,3)="",1,$G1302),IF($J1302&gt;0.005,1,0)))</f>
      </c>
      <c r="J1302" s="43">
        <f>IF($I1301=0,0,$R1301)</f>
      </c>
      <c r="K1302" s="43">
        <f>IF($I1302=0,0,IF(INDEX(DarlOhneTilgung,3)=1,0,IF(AND(INDEX(DarlTilgStart,3)&gt;0,$E1302=INDEX(DarlTilgStart,3)),$J1302*($H1302+INDEX(DarlTilgung,3))/100/12,IF(AND($G1302=0,$G1301=1),MAX($K1301,$J1302*($H1302+1)/100/12),$K1301))))</f>
      </c>
      <c r="L1302" s="43">
        <f>IF($I1302=0,0,$J1302*$H1302/100/12)</f>
      </c>
      <c r="M1302" s="43">
        <f>IF($I1302=0,0,IF(OR(INDEX(DarlOhneTilgung,3)=1,AND(INDEX(DarlTilgStart,3)&gt;0,$E1302&lt;INDEX(DarlTilgStart,3))),0,MIN(MAX(0,$K1302-$L1302),$J1302)))</f>
      </c>
      <c r="N1302" s="43">
        <f>IF($I1302=0,0,MIN(SUMIFS(SondBetrag,SondDarl,3,SondDatum,"&gt;="&amp;$E1302,SondDatum,"&lt;="&amp;EOMONTH($E1302,0)),$J1302-$M1302))</f>
      </c>
      <c r="O1302" s="43">
        <f>IF($I1302=0,0,INDEX(DarlErsatzRate,3))</f>
      </c>
      <c r="P1302" s="43">
        <f>IF($I1302=0,0,$Q1301*INDEX(DarlErsatzZins,3))</f>
      </c>
      <c r="Q1302" s="43">
        <f>IF($I1302=0,0,$Q1301+$P1302+$O1302)</f>
      </c>
      <c r="R1302" s="43">
        <f>IF($I1302=0,0,$J1302-$M1302-$N1302)</f>
      </c>
    </row>
    <row r="1303">
      <c r="A1303"/>
      <c r="B1303">
        <v>3</v>
      </c>
      <c r="C1303" s="43">
        <f>INDEX(DarlObj,3)</f>
      </c>
      <c r="D1303">
        <v>340</v>
      </c>
      <c r="E1303" s="51">
        <f>IF(INDEX(DarlBelegt,3)=0,0,EOMONTH(INDEX(DarlAuszahlung,3),339)+1)</f>
      </c>
      <c r="F1303" s="43">
        <f>IF($E1303=0,0,YEAR($E1303))</f>
      </c>
      <c r="G1303" s="43">
        <f>IF(INDEX(DarlBindung,3)="",1,IF($E1303&lt;=INDEX(DarlBindung,3),1,0))</f>
      </c>
      <c r="H1303" s="43">
        <f>IF($G1303=1,INDEX(DarlSollzins,3),INDEX(DarlAnschluss,3))</f>
      </c>
      <c r="I1303" s="43">
        <f>IF(INDEX(DarlBelegt,3)=0,0,IF(INDEX(DarlOhneTilgung,3)=1,IF(INDEX(DarlBindung,3)="",1,$G1303),IF($J1303&gt;0.005,1,0)))</f>
      </c>
      <c r="J1303" s="43">
        <f>IF($I1302=0,0,$R1302)</f>
      </c>
      <c r="K1303" s="43">
        <f>IF($I1303=0,0,IF(INDEX(DarlOhneTilgung,3)=1,0,IF(AND(INDEX(DarlTilgStart,3)&gt;0,$E1303=INDEX(DarlTilgStart,3)),$J1303*($H1303+INDEX(DarlTilgung,3))/100/12,IF(AND($G1303=0,$G1302=1),MAX($K1302,$J1303*($H1303+1)/100/12),$K1302))))</f>
      </c>
      <c r="L1303" s="43">
        <f>IF($I1303=0,0,$J1303*$H1303/100/12)</f>
      </c>
      <c r="M1303" s="43">
        <f>IF($I1303=0,0,IF(OR(INDEX(DarlOhneTilgung,3)=1,AND(INDEX(DarlTilgStart,3)&gt;0,$E1303&lt;INDEX(DarlTilgStart,3))),0,MIN(MAX(0,$K1303-$L1303),$J1303)))</f>
      </c>
      <c r="N1303" s="43">
        <f>IF($I1303=0,0,MIN(SUMIFS(SondBetrag,SondDarl,3,SondDatum,"&gt;="&amp;$E1303,SondDatum,"&lt;="&amp;EOMONTH($E1303,0)),$J1303-$M1303))</f>
      </c>
      <c r="O1303" s="43">
        <f>IF($I1303=0,0,INDEX(DarlErsatzRate,3))</f>
      </c>
      <c r="P1303" s="43">
        <f>IF($I1303=0,0,$Q1302*INDEX(DarlErsatzZins,3))</f>
      </c>
      <c r="Q1303" s="43">
        <f>IF($I1303=0,0,$Q1302+$P1303+$O1303)</f>
      </c>
      <c r="R1303" s="43">
        <f>IF($I1303=0,0,$J1303-$M1303-$N1303)</f>
      </c>
    </row>
    <row r="1304">
      <c r="A1304"/>
      <c r="B1304">
        <v>3</v>
      </c>
      <c r="C1304" s="43">
        <f>INDEX(DarlObj,3)</f>
      </c>
      <c r="D1304">
        <v>341</v>
      </c>
      <c r="E1304" s="51">
        <f>IF(INDEX(DarlBelegt,3)=0,0,EOMONTH(INDEX(DarlAuszahlung,3),340)+1)</f>
      </c>
      <c r="F1304" s="43">
        <f>IF($E1304=0,0,YEAR($E1304))</f>
      </c>
      <c r="G1304" s="43">
        <f>IF(INDEX(DarlBindung,3)="",1,IF($E1304&lt;=INDEX(DarlBindung,3),1,0))</f>
      </c>
      <c r="H1304" s="43">
        <f>IF($G1304=1,INDEX(DarlSollzins,3),INDEX(DarlAnschluss,3))</f>
      </c>
      <c r="I1304" s="43">
        <f>IF(INDEX(DarlBelegt,3)=0,0,IF(INDEX(DarlOhneTilgung,3)=1,IF(INDEX(DarlBindung,3)="",1,$G1304),IF($J1304&gt;0.005,1,0)))</f>
      </c>
      <c r="J1304" s="43">
        <f>IF($I1303=0,0,$R1303)</f>
      </c>
      <c r="K1304" s="43">
        <f>IF($I1304=0,0,IF(INDEX(DarlOhneTilgung,3)=1,0,IF(AND(INDEX(DarlTilgStart,3)&gt;0,$E1304=INDEX(DarlTilgStart,3)),$J1304*($H1304+INDEX(DarlTilgung,3))/100/12,IF(AND($G1304=0,$G1303=1),MAX($K1303,$J1304*($H1304+1)/100/12),$K1303))))</f>
      </c>
      <c r="L1304" s="43">
        <f>IF($I1304=0,0,$J1304*$H1304/100/12)</f>
      </c>
      <c r="M1304" s="43">
        <f>IF($I1304=0,0,IF(OR(INDEX(DarlOhneTilgung,3)=1,AND(INDEX(DarlTilgStart,3)&gt;0,$E1304&lt;INDEX(DarlTilgStart,3))),0,MIN(MAX(0,$K1304-$L1304),$J1304)))</f>
      </c>
      <c r="N1304" s="43">
        <f>IF($I1304=0,0,MIN(SUMIFS(SondBetrag,SondDarl,3,SondDatum,"&gt;="&amp;$E1304,SondDatum,"&lt;="&amp;EOMONTH($E1304,0)),$J1304-$M1304))</f>
      </c>
      <c r="O1304" s="43">
        <f>IF($I1304=0,0,INDEX(DarlErsatzRate,3))</f>
      </c>
      <c r="P1304" s="43">
        <f>IF($I1304=0,0,$Q1303*INDEX(DarlErsatzZins,3))</f>
      </c>
      <c r="Q1304" s="43">
        <f>IF($I1304=0,0,$Q1303+$P1304+$O1304)</f>
      </c>
      <c r="R1304" s="43">
        <f>IF($I1304=0,0,$J1304-$M1304-$N1304)</f>
      </c>
    </row>
    <row r="1305">
      <c r="A1305"/>
      <c r="B1305">
        <v>3</v>
      </c>
      <c r="C1305" s="43">
        <f>INDEX(DarlObj,3)</f>
      </c>
      <c r="D1305">
        <v>342</v>
      </c>
      <c r="E1305" s="51">
        <f>IF(INDEX(DarlBelegt,3)=0,0,EOMONTH(INDEX(DarlAuszahlung,3),341)+1)</f>
      </c>
      <c r="F1305" s="43">
        <f>IF($E1305=0,0,YEAR($E1305))</f>
      </c>
      <c r="G1305" s="43">
        <f>IF(INDEX(DarlBindung,3)="",1,IF($E1305&lt;=INDEX(DarlBindung,3),1,0))</f>
      </c>
      <c r="H1305" s="43">
        <f>IF($G1305=1,INDEX(DarlSollzins,3),INDEX(DarlAnschluss,3))</f>
      </c>
      <c r="I1305" s="43">
        <f>IF(INDEX(DarlBelegt,3)=0,0,IF(INDEX(DarlOhneTilgung,3)=1,IF(INDEX(DarlBindung,3)="",1,$G1305),IF($J1305&gt;0.005,1,0)))</f>
      </c>
      <c r="J1305" s="43">
        <f>IF($I1304=0,0,$R1304)</f>
      </c>
      <c r="K1305" s="43">
        <f>IF($I1305=0,0,IF(INDEX(DarlOhneTilgung,3)=1,0,IF(AND(INDEX(DarlTilgStart,3)&gt;0,$E1305=INDEX(DarlTilgStart,3)),$J1305*($H1305+INDEX(DarlTilgung,3))/100/12,IF(AND($G1305=0,$G1304=1),MAX($K1304,$J1305*($H1305+1)/100/12),$K1304))))</f>
      </c>
      <c r="L1305" s="43">
        <f>IF($I1305=0,0,$J1305*$H1305/100/12)</f>
      </c>
      <c r="M1305" s="43">
        <f>IF($I1305=0,0,IF(OR(INDEX(DarlOhneTilgung,3)=1,AND(INDEX(DarlTilgStart,3)&gt;0,$E1305&lt;INDEX(DarlTilgStart,3))),0,MIN(MAX(0,$K1305-$L1305),$J1305)))</f>
      </c>
      <c r="N1305" s="43">
        <f>IF($I1305=0,0,MIN(SUMIFS(SondBetrag,SondDarl,3,SondDatum,"&gt;="&amp;$E1305,SondDatum,"&lt;="&amp;EOMONTH($E1305,0)),$J1305-$M1305))</f>
      </c>
      <c r="O1305" s="43">
        <f>IF($I1305=0,0,INDEX(DarlErsatzRate,3))</f>
      </c>
      <c r="P1305" s="43">
        <f>IF($I1305=0,0,$Q1304*INDEX(DarlErsatzZins,3))</f>
      </c>
      <c r="Q1305" s="43">
        <f>IF($I1305=0,0,$Q1304+$P1305+$O1305)</f>
      </c>
      <c r="R1305" s="43">
        <f>IF($I1305=0,0,$J1305-$M1305-$N1305)</f>
      </c>
    </row>
    <row r="1306">
      <c r="A1306"/>
      <c r="B1306">
        <v>3</v>
      </c>
      <c r="C1306" s="43">
        <f>INDEX(DarlObj,3)</f>
      </c>
      <c r="D1306">
        <v>343</v>
      </c>
      <c r="E1306" s="51">
        <f>IF(INDEX(DarlBelegt,3)=0,0,EOMONTH(INDEX(DarlAuszahlung,3),342)+1)</f>
      </c>
      <c r="F1306" s="43">
        <f>IF($E1306=0,0,YEAR($E1306))</f>
      </c>
      <c r="G1306" s="43">
        <f>IF(INDEX(DarlBindung,3)="",1,IF($E1306&lt;=INDEX(DarlBindung,3),1,0))</f>
      </c>
      <c r="H1306" s="43">
        <f>IF($G1306=1,INDEX(DarlSollzins,3),INDEX(DarlAnschluss,3))</f>
      </c>
      <c r="I1306" s="43">
        <f>IF(INDEX(DarlBelegt,3)=0,0,IF(INDEX(DarlOhneTilgung,3)=1,IF(INDEX(DarlBindung,3)="",1,$G1306),IF($J1306&gt;0.005,1,0)))</f>
      </c>
      <c r="J1306" s="43">
        <f>IF($I1305=0,0,$R1305)</f>
      </c>
      <c r="K1306" s="43">
        <f>IF($I1306=0,0,IF(INDEX(DarlOhneTilgung,3)=1,0,IF(AND(INDEX(DarlTilgStart,3)&gt;0,$E1306=INDEX(DarlTilgStart,3)),$J1306*($H1306+INDEX(DarlTilgung,3))/100/12,IF(AND($G1306=0,$G1305=1),MAX($K1305,$J1306*($H1306+1)/100/12),$K1305))))</f>
      </c>
      <c r="L1306" s="43">
        <f>IF($I1306=0,0,$J1306*$H1306/100/12)</f>
      </c>
      <c r="M1306" s="43">
        <f>IF($I1306=0,0,IF(OR(INDEX(DarlOhneTilgung,3)=1,AND(INDEX(DarlTilgStart,3)&gt;0,$E1306&lt;INDEX(DarlTilgStart,3))),0,MIN(MAX(0,$K1306-$L1306),$J1306)))</f>
      </c>
      <c r="N1306" s="43">
        <f>IF($I1306=0,0,MIN(SUMIFS(SondBetrag,SondDarl,3,SondDatum,"&gt;="&amp;$E1306,SondDatum,"&lt;="&amp;EOMONTH($E1306,0)),$J1306-$M1306))</f>
      </c>
      <c r="O1306" s="43">
        <f>IF($I1306=0,0,INDEX(DarlErsatzRate,3))</f>
      </c>
      <c r="P1306" s="43">
        <f>IF($I1306=0,0,$Q1305*INDEX(DarlErsatzZins,3))</f>
      </c>
      <c r="Q1306" s="43">
        <f>IF($I1306=0,0,$Q1305+$P1306+$O1306)</f>
      </c>
      <c r="R1306" s="43">
        <f>IF($I1306=0,0,$J1306-$M1306-$N1306)</f>
      </c>
    </row>
    <row r="1307">
      <c r="A1307"/>
      <c r="B1307">
        <v>3</v>
      </c>
      <c r="C1307" s="43">
        <f>INDEX(DarlObj,3)</f>
      </c>
      <c r="D1307">
        <v>344</v>
      </c>
      <c r="E1307" s="51">
        <f>IF(INDEX(DarlBelegt,3)=0,0,EOMONTH(INDEX(DarlAuszahlung,3),343)+1)</f>
      </c>
      <c r="F1307" s="43">
        <f>IF($E1307=0,0,YEAR($E1307))</f>
      </c>
      <c r="G1307" s="43">
        <f>IF(INDEX(DarlBindung,3)="",1,IF($E1307&lt;=INDEX(DarlBindung,3),1,0))</f>
      </c>
      <c r="H1307" s="43">
        <f>IF($G1307=1,INDEX(DarlSollzins,3),INDEX(DarlAnschluss,3))</f>
      </c>
      <c r="I1307" s="43">
        <f>IF(INDEX(DarlBelegt,3)=0,0,IF(INDEX(DarlOhneTilgung,3)=1,IF(INDEX(DarlBindung,3)="",1,$G1307),IF($J1307&gt;0.005,1,0)))</f>
      </c>
      <c r="J1307" s="43">
        <f>IF($I1306=0,0,$R1306)</f>
      </c>
      <c r="K1307" s="43">
        <f>IF($I1307=0,0,IF(INDEX(DarlOhneTilgung,3)=1,0,IF(AND(INDEX(DarlTilgStart,3)&gt;0,$E1307=INDEX(DarlTilgStart,3)),$J1307*($H1307+INDEX(DarlTilgung,3))/100/12,IF(AND($G1307=0,$G1306=1),MAX($K1306,$J1307*($H1307+1)/100/12),$K1306))))</f>
      </c>
      <c r="L1307" s="43">
        <f>IF($I1307=0,0,$J1307*$H1307/100/12)</f>
      </c>
      <c r="M1307" s="43">
        <f>IF($I1307=0,0,IF(OR(INDEX(DarlOhneTilgung,3)=1,AND(INDEX(DarlTilgStart,3)&gt;0,$E1307&lt;INDEX(DarlTilgStart,3))),0,MIN(MAX(0,$K1307-$L1307),$J1307)))</f>
      </c>
      <c r="N1307" s="43">
        <f>IF($I1307=0,0,MIN(SUMIFS(SondBetrag,SondDarl,3,SondDatum,"&gt;="&amp;$E1307,SondDatum,"&lt;="&amp;EOMONTH($E1307,0)),$J1307-$M1307))</f>
      </c>
      <c r="O1307" s="43">
        <f>IF($I1307=0,0,INDEX(DarlErsatzRate,3))</f>
      </c>
      <c r="P1307" s="43">
        <f>IF($I1307=0,0,$Q1306*INDEX(DarlErsatzZins,3))</f>
      </c>
      <c r="Q1307" s="43">
        <f>IF($I1307=0,0,$Q1306+$P1307+$O1307)</f>
      </c>
      <c r="R1307" s="43">
        <f>IF($I1307=0,0,$J1307-$M1307-$N1307)</f>
      </c>
    </row>
    <row r="1308">
      <c r="A1308"/>
      <c r="B1308">
        <v>3</v>
      </c>
      <c r="C1308" s="43">
        <f>INDEX(DarlObj,3)</f>
      </c>
      <c r="D1308">
        <v>345</v>
      </c>
      <c r="E1308" s="51">
        <f>IF(INDEX(DarlBelegt,3)=0,0,EOMONTH(INDEX(DarlAuszahlung,3),344)+1)</f>
      </c>
      <c r="F1308" s="43">
        <f>IF($E1308=0,0,YEAR($E1308))</f>
      </c>
      <c r="G1308" s="43">
        <f>IF(INDEX(DarlBindung,3)="",1,IF($E1308&lt;=INDEX(DarlBindung,3),1,0))</f>
      </c>
      <c r="H1308" s="43">
        <f>IF($G1308=1,INDEX(DarlSollzins,3),INDEX(DarlAnschluss,3))</f>
      </c>
      <c r="I1308" s="43">
        <f>IF(INDEX(DarlBelegt,3)=0,0,IF(INDEX(DarlOhneTilgung,3)=1,IF(INDEX(DarlBindung,3)="",1,$G1308),IF($J1308&gt;0.005,1,0)))</f>
      </c>
      <c r="J1308" s="43">
        <f>IF($I1307=0,0,$R1307)</f>
      </c>
      <c r="K1308" s="43">
        <f>IF($I1308=0,0,IF(INDEX(DarlOhneTilgung,3)=1,0,IF(AND(INDEX(DarlTilgStart,3)&gt;0,$E1308=INDEX(DarlTilgStart,3)),$J1308*($H1308+INDEX(DarlTilgung,3))/100/12,IF(AND($G1308=0,$G1307=1),MAX($K1307,$J1308*($H1308+1)/100/12),$K1307))))</f>
      </c>
      <c r="L1308" s="43">
        <f>IF($I1308=0,0,$J1308*$H1308/100/12)</f>
      </c>
      <c r="M1308" s="43">
        <f>IF($I1308=0,0,IF(OR(INDEX(DarlOhneTilgung,3)=1,AND(INDEX(DarlTilgStart,3)&gt;0,$E1308&lt;INDEX(DarlTilgStart,3))),0,MIN(MAX(0,$K1308-$L1308),$J1308)))</f>
      </c>
      <c r="N1308" s="43">
        <f>IF($I1308=0,0,MIN(SUMIFS(SondBetrag,SondDarl,3,SondDatum,"&gt;="&amp;$E1308,SondDatum,"&lt;="&amp;EOMONTH($E1308,0)),$J1308-$M1308))</f>
      </c>
      <c r="O1308" s="43">
        <f>IF($I1308=0,0,INDEX(DarlErsatzRate,3))</f>
      </c>
      <c r="P1308" s="43">
        <f>IF($I1308=0,0,$Q1307*INDEX(DarlErsatzZins,3))</f>
      </c>
      <c r="Q1308" s="43">
        <f>IF($I1308=0,0,$Q1307+$P1308+$O1308)</f>
      </c>
      <c r="R1308" s="43">
        <f>IF($I1308=0,0,$J1308-$M1308-$N1308)</f>
      </c>
    </row>
    <row r="1309">
      <c r="A1309"/>
      <c r="B1309">
        <v>3</v>
      </c>
      <c r="C1309" s="43">
        <f>INDEX(DarlObj,3)</f>
      </c>
      <c r="D1309">
        <v>346</v>
      </c>
      <c r="E1309" s="51">
        <f>IF(INDEX(DarlBelegt,3)=0,0,EOMONTH(INDEX(DarlAuszahlung,3),345)+1)</f>
      </c>
      <c r="F1309" s="43">
        <f>IF($E1309=0,0,YEAR($E1309))</f>
      </c>
      <c r="G1309" s="43">
        <f>IF(INDEX(DarlBindung,3)="",1,IF($E1309&lt;=INDEX(DarlBindung,3),1,0))</f>
      </c>
      <c r="H1309" s="43">
        <f>IF($G1309=1,INDEX(DarlSollzins,3),INDEX(DarlAnschluss,3))</f>
      </c>
      <c r="I1309" s="43">
        <f>IF(INDEX(DarlBelegt,3)=0,0,IF(INDEX(DarlOhneTilgung,3)=1,IF(INDEX(DarlBindung,3)="",1,$G1309),IF($J1309&gt;0.005,1,0)))</f>
      </c>
      <c r="J1309" s="43">
        <f>IF($I1308=0,0,$R1308)</f>
      </c>
      <c r="K1309" s="43">
        <f>IF($I1309=0,0,IF(INDEX(DarlOhneTilgung,3)=1,0,IF(AND(INDEX(DarlTilgStart,3)&gt;0,$E1309=INDEX(DarlTilgStart,3)),$J1309*($H1309+INDEX(DarlTilgung,3))/100/12,IF(AND($G1309=0,$G1308=1),MAX($K1308,$J1309*($H1309+1)/100/12),$K1308))))</f>
      </c>
      <c r="L1309" s="43">
        <f>IF($I1309=0,0,$J1309*$H1309/100/12)</f>
      </c>
      <c r="M1309" s="43">
        <f>IF($I1309=0,0,IF(OR(INDEX(DarlOhneTilgung,3)=1,AND(INDEX(DarlTilgStart,3)&gt;0,$E1309&lt;INDEX(DarlTilgStart,3))),0,MIN(MAX(0,$K1309-$L1309),$J1309)))</f>
      </c>
      <c r="N1309" s="43">
        <f>IF($I1309=0,0,MIN(SUMIFS(SondBetrag,SondDarl,3,SondDatum,"&gt;="&amp;$E1309,SondDatum,"&lt;="&amp;EOMONTH($E1309,0)),$J1309-$M1309))</f>
      </c>
      <c r="O1309" s="43">
        <f>IF($I1309=0,0,INDEX(DarlErsatzRate,3))</f>
      </c>
      <c r="P1309" s="43">
        <f>IF($I1309=0,0,$Q1308*INDEX(DarlErsatzZins,3))</f>
      </c>
      <c r="Q1309" s="43">
        <f>IF($I1309=0,0,$Q1308+$P1309+$O1309)</f>
      </c>
      <c r="R1309" s="43">
        <f>IF($I1309=0,0,$J1309-$M1309-$N1309)</f>
      </c>
    </row>
    <row r="1310">
      <c r="A1310"/>
      <c r="B1310">
        <v>3</v>
      </c>
      <c r="C1310" s="43">
        <f>INDEX(DarlObj,3)</f>
      </c>
      <c r="D1310">
        <v>347</v>
      </c>
      <c r="E1310" s="51">
        <f>IF(INDEX(DarlBelegt,3)=0,0,EOMONTH(INDEX(DarlAuszahlung,3),346)+1)</f>
      </c>
      <c r="F1310" s="43">
        <f>IF($E1310=0,0,YEAR($E1310))</f>
      </c>
      <c r="G1310" s="43">
        <f>IF(INDEX(DarlBindung,3)="",1,IF($E1310&lt;=INDEX(DarlBindung,3),1,0))</f>
      </c>
      <c r="H1310" s="43">
        <f>IF($G1310=1,INDEX(DarlSollzins,3),INDEX(DarlAnschluss,3))</f>
      </c>
      <c r="I1310" s="43">
        <f>IF(INDEX(DarlBelegt,3)=0,0,IF(INDEX(DarlOhneTilgung,3)=1,IF(INDEX(DarlBindung,3)="",1,$G1310),IF($J1310&gt;0.005,1,0)))</f>
      </c>
      <c r="J1310" s="43">
        <f>IF($I1309=0,0,$R1309)</f>
      </c>
      <c r="K1310" s="43">
        <f>IF($I1310=0,0,IF(INDEX(DarlOhneTilgung,3)=1,0,IF(AND(INDEX(DarlTilgStart,3)&gt;0,$E1310=INDEX(DarlTilgStart,3)),$J1310*($H1310+INDEX(DarlTilgung,3))/100/12,IF(AND($G1310=0,$G1309=1),MAX($K1309,$J1310*($H1310+1)/100/12),$K1309))))</f>
      </c>
      <c r="L1310" s="43">
        <f>IF($I1310=0,0,$J1310*$H1310/100/12)</f>
      </c>
      <c r="M1310" s="43">
        <f>IF($I1310=0,0,IF(OR(INDEX(DarlOhneTilgung,3)=1,AND(INDEX(DarlTilgStart,3)&gt;0,$E1310&lt;INDEX(DarlTilgStart,3))),0,MIN(MAX(0,$K1310-$L1310),$J1310)))</f>
      </c>
      <c r="N1310" s="43">
        <f>IF($I1310=0,0,MIN(SUMIFS(SondBetrag,SondDarl,3,SondDatum,"&gt;="&amp;$E1310,SondDatum,"&lt;="&amp;EOMONTH($E1310,0)),$J1310-$M1310))</f>
      </c>
      <c r="O1310" s="43">
        <f>IF($I1310=0,0,INDEX(DarlErsatzRate,3))</f>
      </c>
      <c r="P1310" s="43">
        <f>IF($I1310=0,0,$Q1309*INDEX(DarlErsatzZins,3))</f>
      </c>
      <c r="Q1310" s="43">
        <f>IF($I1310=0,0,$Q1309+$P1310+$O1310)</f>
      </c>
      <c r="R1310" s="43">
        <f>IF($I1310=0,0,$J1310-$M1310-$N1310)</f>
      </c>
    </row>
    <row r="1311">
      <c r="A1311"/>
      <c r="B1311">
        <v>3</v>
      </c>
      <c r="C1311" s="43">
        <f>INDEX(DarlObj,3)</f>
      </c>
      <c r="D1311">
        <v>348</v>
      </c>
      <c r="E1311" s="51">
        <f>IF(INDEX(DarlBelegt,3)=0,0,EOMONTH(INDEX(DarlAuszahlung,3),347)+1)</f>
      </c>
      <c r="F1311" s="43">
        <f>IF($E1311=0,0,YEAR($E1311))</f>
      </c>
      <c r="G1311" s="43">
        <f>IF(INDEX(DarlBindung,3)="",1,IF($E1311&lt;=INDEX(DarlBindung,3),1,0))</f>
      </c>
      <c r="H1311" s="43">
        <f>IF($G1311=1,INDEX(DarlSollzins,3),INDEX(DarlAnschluss,3))</f>
      </c>
      <c r="I1311" s="43">
        <f>IF(INDEX(DarlBelegt,3)=0,0,IF(INDEX(DarlOhneTilgung,3)=1,IF(INDEX(DarlBindung,3)="",1,$G1311),IF($J1311&gt;0.005,1,0)))</f>
      </c>
      <c r="J1311" s="43">
        <f>IF($I1310=0,0,$R1310)</f>
      </c>
      <c r="K1311" s="43">
        <f>IF($I1311=0,0,IF(INDEX(DarlOhneTilgung,3)=1,0,IF(AND(INDEX(DarlTilgStart,3)&gt;0,$E1311=INDEX(DarlTilgStart,3)),$J1311*($H1311+INDEX(DarlTilgung,3))/100/12,IF(AND($G1311=0,$G1310=1),MAX($K1310,$J1311*($H1311+1)/100/12),$K1310))))</f>
      </c>
      <c r="L1311" s="43">
        <f>IF($I1311=0,0,$J1311*$H1311/100/12)</f>
      </c>
      <c r="M1311" s="43">
        <f>IF($I1311=0,0,IF(OR(INDEX(DarlOhneTilgung,3)=1,AND(INDEX(DarlTilgStart,3)&gt;0,$E1311&lt;INDEX(DarlTilgStart,3))),0,MIN(MAX(0,$K1311-$L1311),$J1311)))</f>
      </c>
      <c r="N1311" s="43">
        <f>IF($I1311=0,0,MIN(SUMIFS(SondBetrag,SondDarl,3,SondDatum,"&gt;="&amp;$E1311,SondDatum,"&lt;="&amp;EOMONTH($E1311,0)),$J1311-$M1311))</f>
      </c>
      <c r="O1311" s="43">
        <f>IF($I1311=0,0,INDEX(DarlErsatzRate,3))</f>
      </c>
      <c r="P1311" s="43">
        <f>IF($I1311=0,0,$Q1310*INDEX(DarlErsatzZins,3))</f>
      </c>
      <c r="Q1311" s="43">
        <f>IF($I1311=0,0,$Q1310+$P1311+$O1311)</f>
      </c>
      <c r="R1311" s="43">
        <f>IF($I1311=0,0,$J1311-$M1311-$N1311)</f>
      </c>
    </row>
    <row r="1312">
      <c r="A1312"/>
      <c r="B1312">
        <v>3</v>
      </c>
      <c r="C1312" s="43">
        <f>INDEX(DarlObj,3)</f>
      </c>
      <c r="D1312">
        <v>349</v>
      </c>
      <c r="E1312" s="51">
        <f>IF(INDEX(DarlBelegt,3)=0,0,EOMONTH(INDEX(DarlAuszahlung,3),348)+1)</f>
      </c>
      <c r="F1312" s="43">
        <f>IF($E1312=0,0,YEAR($E1312))</f>
      </c>
      <c r="G1312" s="43">
        <f>IF(INDEX(DarlBindung,3)="",1,IF($E1312&lt;=INDEX(DarlBindung,3),1,0))</f>
      </c>
      <c r="H1312" s="43">
        <f>IF($G1312=1,INDEX(DarlSollzins,3),INDEX(DarlAnschluss,3))</f>
      </c>
      <c r="I1312" s="43">
        <f>IF(INDEX(DarlBelegt,3)=0,0,IF(INDEX(DarlOhneTilgung,3)=1,IF(INDEX(DarlBindung,3)="",1,$G1312),IF($J1312&gt;0.005,1,0)))</f>
      </c>
      <c r="J1312" s="43">
        <f>IF($I1311=0,0,$R1311)</f>
      </c>
      <c r="K1312" s="43">
        <f>IF($I1312=0,0,IF(INDEX(DarlOhneTilgung,3)=1,0,IF(AND(INDEX(DarlTilgStart,3)&gt;0,$E1312=INDEX(DarlTilgStart,3)),$J1312*($H1312+INDEX(DarlTilgung,3))/100/12,IF(AND($G1312=0,$G1311=1),MAX($K1311,$J1312*($H1312+1)/100/12),$K1311))))</f>
      </c>
      <c r="L1312" s="43">
        <f>IF($I1312=0,0,$J1312*$H1312/100/12)</f>
      </c>
      <c r="M1312" s="43">
        <f>IF($I1312=0,0,IF(OR(INDEX(DarlOhneTilgung,3)=1,AND(INDEX(DarlTilgStart,3)&gt;0,$E1312&lt;INDEX(DarlTilgStart,3))),0,MIN(MAX(0,$K1312-$L1312),$J1312)))</f>
      </c>
      <c r="N1312" s="43">
        <f>IF($I1312=0,0,MIN(SUMIFS(SondBetrag,SondDarl,3,SondDatum,"&gt;="&amp;$E1312,SondDatum,"&lt;="&amp;EOMONTH($E1312,0)),$J1312-$M1312))</f>
      </c>
      <c r="O1312" s="43">
        <f>IF($I1312=0,0,INDEX(DarlErsatzRate,3))</f>
      </c>
      <c r="P1312" s="43">
        <f>IF($I1312=0,0,$Q1311*INDEX(DarlErsatzZins,3))</f>
      </c>
      <c r="Q1312" s="43">
        <f>IF($I1312=0,0,$Q1311+$P1312+$O1312)</f>
      </c>
      <c r="R1312" s="43">
        <f>IF($I1312=0,0,$J1312-$M1312-$N1312)</f>
      </c>
    </row>
    <row r="1313">
      <c r="A1313"/>
      <c r="B1313">
        <v>3</v>
      </c>
      <c r="C1313" s="43">
        <f>INDEX(DarlObj,3)</f>
      </c>
      <c r="D1313">
        <v>350</v>
      </c>
      <c r="E1313" s="51">
        <f>IF(INDEX(DarlBelegt,3)=0,0,EOMONTH(INDEX(DarlAuszahlung,3),349)+1)</f>
      </c>
      <c r="F1313" s="43">
        <f>IF($E1313=0,0,YEAR($E1313))</f>
      </c>
      <c r="G1313" s="43">
        <f>IF(INDEX(DarlBindung,3)="",1,IF($E1313&lt;=INDEX(DarlBindung,3),1,0))</f>
      </c>
      <c r="H1313" s="43">
        <f>IF($G1313=1,INDEX(DarlSollzins,3),INDEX(DarlAnschluss,3))</f>
      </c>
      <c r="I1313" s="43">
        <f>IF(INDEX(DarlBelegt,3)=0,0,IF(INDEX(DarlOhneTilgung,3)=1,IF(INDEX(DarlBindung,3)="",1,$G1313),IF($J1313&gt;0.005,1,0)))</f>
      </c>
      <c r="J1313" s="43">
        <f>IF($I1312=0,0,$R1312)</f>
      </c>
      <c r="K1313" s="43">
        <f>IF($I1313=0,0,IF(INDEX(DarlOhneTilgung,3)=1,0,IF(AND(INDEX(DarlTilgStart,3)&gt;0,$E1313=INDEX(DarlTilgStart,3)),$J1313*($H1313+INDEX(DarlTilgung,3))/100/12,IF(AND($G1313=0,$G1312=1),MAX($K1312,$J1313*($H1313+1)/100/12),$K1312))))</f>
      </c>
      <c r="L1313" s="43">
        <f>IF($I1313=0,0,$J1313*$H1313/100/12)</f>
      </c>
      <c r="M1313" s="43">
        <f>IF($I1313=0,0,IF(OR(INDEX(DarlOhneTilgung,3)=1,AND(INDEX(DarlTilgStart,3)&gt;0,$E1313&lt;INDEX(DarlTilgStart,3))),0,MIN(MAX(0,$K1313-$L1313),$J1313)))</f>
      </c>
      <c r="N1313" s="43">
        <f>IF($I1313=0,0,MIN(SUMIFS(SondBetrag,SondDarl,3,SondDatum,"&gt;="&amp;$E1313,SondDatum,"&lt;="&amp;EOMONTH($E1313,0)),$J1313-$M1313))</f>
      </c>
      <c r="O1313" s="43">
        <f>IF($I1313=0,0,INDEX(DarlErsatzRate,3))</f>
      </c>
      <c r="P1313" s="43">
        <f>IF($I1313=0,0,$Q1312*INDEX(DarlErsatzZins,3))</f>
      </c>
      <c r="Q1313" s="43">
        <f>IF($I1313=0,0,$Q1312+$P1313+$O1313)</f>
      </c>
      <c r="R1313" s="43">
        <f>IF($I1313=0,0,$J1313-$M1313-$N1313)</f>
      </c>
    </row>
    <row r="1314">
      <c r="A1314"/>
      <c r="B1314">
        <v>3</v>
      </c>
      <c r="C1314" s="43">
        <f>INDEX(DarlObj,3)</f>
      </c>
      <c r="D1314">
        <v>351</v>
      </c>
      <c r="E1314" s="51">
        <f>IF(INDEX(DarlBelegt,3)=0,0,EOMONTH(INDEX(DarlAuszahlung,3),350)+1)</f>
      </c>
      <c r="F1314" s="43">
        <f>IF($E1314=0,0,YEAR($E1314))</f>
      </c>
      <c r="G1314" s="43">
        <f>IF(INDEX(DarlBindung,3)="",1,IF($E1314&lt;=INDEX(DarlBindung,3),1,0))</f>
      </c>
      <c r="H1314" s="43">
        <f>IF($G1314=1,INDEX(DarlSollzins,3),INDEX(DarlAnschluss,3))</f>
      </c>
      <c r="I1314" s="43">
        <f>IF(INDEX(DarlBelegt,3)=0,0,IF(INDEX(DarlOhneTilgung,3)=1,IF(INDEX(DarlBindung,3)="",1,$G1314),IF($J1314&gt;0.005,1,0)))</f>
      </c>
      <c r="J1314" s="43">
        <f>IF($I1313=0,0,$R1313)</f>
      </c>
      <c r="K1314" s="43">
        <f>IF($I1314=0,0,IF(INDEX(DarlOhneTilgung,3)=1,0,IF(AND(INDEX(DarlTilgStart,3)&gt;0,$E1314=INDEX(DarlTilgStart,3)),$J1314*($H1314+INDEX(DarlTilgung,3))/100/12,IF(AND($G1314=0,$G1313=1),MAX($K1313,$J1314*($H1314+1)/100/12),$K1313))))</f>
      </c>
      <c r="L1314" s="43">
        <f>IF($I1314=0,0,$J1314*$H1314/100/12)</f>
      </c>
      <c r="M1314" s="43">
        <f>IF($I1314=0,0,IF(OR(INDEX(DarlOhneTilgung,3)=1,AND(INDEX(DarlTilgStart,3)&gt;0,$E1314&lt;INDEX(DarlTilgStart,3))),0,MIN(MAX(0,$K1314-$L1314),$J1314)))</f>
      </c>
      <c r="N1314" s="43">
        <f>IF($I1314=0,0,MIN(SUMIFS(SondBetrag,SondDarl,3,SondDatum,"&gt;="&amp;$E1314,SondDatum,"&lt;="&amp;EOMONTH($E1314,0)),$J1314-$M1314))</f>
      </c>
      <c r="O1314" s="43">
        <f>IF($I1314=0,0,INDEX(DarlErsatzRate,3))</f>
      </c>
      <c r="P1314" s="43">
        <f>IF($I1314=0,0,$Q1313*INDEX(DarlErsatzZins,3))</f>
      </c>
      <c r="Q1314" s="43">
        <f>IF($I1314=0,0,$Q1313+$P1314+$O1314)</f>
      </c>
      <c r="R1314" s="43">
        <f>IF($I1314=0,0,$J1314-$M1314-$N1314)</f>
      </c>
    </row>
    <row r="1315">
      <c r="A1315"/>
      <c r="B1315">
        <v>3</v>
      </c>
      <c r="C1315" s="43">
        <f>INDEX(DarlObj,3)</f>
      </c>
      <c r="D1315">
        <v>352</v>
      </c>
      <c r="E1315" s="51">
        <f>IF(INDEX(DarlBelegt,3)=0,0,EOMONTH(INDEX(DarlAuszahlung,3),351)+1)</f>
      </c>
      <c r="F1315" s="43">
        <f>IF($E1315=0,0,YEAR($E1315))</f>
      </c>
      <c r="G1315" s="43">
        <f>IF(INDEX(DarlBindung,3)="",1,IF($E1315&lt;=INDEX(DarlBindung,3),1,0))</f>
      </c>
      <c r="H1315" s="43">
        <f>IF($G1315=1,INDEX(DarlSollzins,3),INDEX(DarlAnschluss,3))</f>
      </c>
      <c r="I1315" s="43">
        <f>IF(INDEX(DarlBelegt,3)=0,0,IF(INDEX(DarlOhneTilgung,3)=1,IF(INDEX(DarlBindung,3)="",1,$G1315),IF($J1315&gt;0.005,1,0)))</f>
      </c>
      <c r="J1315" s="43">
        <f>IF($I1314=0,0,$R1314)</f>
      </c>
      <c r="K1315" s="43">
        <f>IF($I1315=0,0,IF(INDEX(DarlOhneTilgung,3)=1,0,IF(AND(INDEX(DarlTilgStart,3)&gt;0,$E1315=INDEX(DarlTilgStart,3)),$J1315*($H1315+INDEX(DarlTilgung,3))/100/12,IF(AND($G1315=0,$G1314=1),MAX($K1314,$J1315*($H1315+1)/100/12),$K1314))))</f>
      </c>
      <c r="L1315" s="43">
        <f>IF($I1315=0,0,$J1315*$H1315/100/12)</f>
      </c>
      <c r="M1315" s="43">
        <f>IF($I1315=0,0,IF(OR(INDEX(DarlOhneTilgung,3)=1,AND(INDEX(DarlTilgStart,3)&gt;0,$E1315&lt;INDEX(DarlTilgStart,3))),0,MIN(MAX(0,$K1315-$L1315),$J1315)))</f>
      </c>
      <c r="N1315" s="43">
        <f>IF($I1315=0,0,MIN(SUMIFS(SondBetrag,SondDarl,3,SondDatum,"&gt;="&amp;$E1315,SondDatum,"&lt;="&amp;EOMONTH($E1315,0)),$J1315-$M1315))</f>
      </c>
      <c r="O1315" s="43">
        <f>IF($I1315=0,0,INDEX(DarlErsatzRate,3))</f>
      </c>
      <c r="P1315" s="43">
        <f>IF($I1315=0,0,$Q1314*INDEX(DarlErsatzZins,3))</f>
      </c>
      <c r="Q1315" s="43">
        <f>IF($I1315=0,0,$Q1314+$P1315+$O1315)</f>
      </c>
      <c r="R1315" s="43">
        <f>IF($I1315=0,0,$J1315-$M1315-$N1315)</f>
      </c>
    </row>
    <row r="1316">
      <c r="A1316"/>
      <c r="B1316">
        <v>3</v>
      </c>
      <c r="C1316" s="43">
        <f>INDEX(DarlObj,3)</f>
      </c>
      <c r="D1316">
        <v>353</v>
      </c>
      <c r="E1316" s="51">
        <f>IF(INDEX(DarlBelegt,3)=0,0,EOMONTH(INDEX(DarlAuszahlung,3),352)+1)</f>
      </c>
      <c r="F1316" s="43">
        <f>IF($E1316=0,0,YEAR($E1316))</f>
      </c>
      <c r="G1316" s="43">
        <f>IF(INDEX(DarlBindung,3)="",1,IF($E1316&lt;=INDEX(DarlBindung,3),1,0))</f>
      </c>
      <c r="H1316" s="43">
        <f>IF($G1316=1,INDEX(DarlSollzins,3),INDEX(DarlAnschluss,3))</f>
      </c>
      <c r="I1316" s="43">
        <f>IF(INDEX(DarlBelegt,3)=0,0,IF(INDEX(DarlOhneTilgung,3)=1,IF(INDEX(DarlBindung,3)="",1,$G1316),IF($J1316&gt;0.005,1,0)))</f>
      </c>
      <c r="J1316" s="43">
        <f>IF($I1315=0,0,$R1315)</f>
      </c>
      <c r="K1316" s="43">
        <f>IF($I1316=0,0,IF(INDEX(DarlOhneTilgung,3)=1,0,IF(AND(INDEX(DarlTilgStart,3)&gt;0,$E1316=INDEX(DarlTilgStart,3)),$J1316*($H1316+INDEX(DarlTilgung,3))/100/12,IF(AND($G1316=0,$G1315=1),MAX($K1315,$J1316*($H1316+1)/100/12),$K1315))))</f>
      </c>
      <c r="L1316" s="43">
        <f>IF($I1316=0,0,$J1316*$H1316/100/12)</f>
      </c>
      <c r="M1316" s="43">
        <f>IF($I1316=0,0,IF(OR(INDEX(DarlOhneTilgung,3)=1,AND(INDEX(DarlTilgStart,3)&gt;0,$E1316&lt;INDEX(DarlTilgStart,3))),0,MIN(MAX(0,$K1316-$L1316),$J1316)))</f>
      </c>
      <c r="N1316" s="43">
        <f>IF($I1316=0,0,MIN(SUMIFS(SondBetrag,SondDarl,3,SondDatum,"&gt;="&amp;$E1316,SondDatum,"&lt;="&amp;EOMONTH($E1316,0)),$J1316-$M1316))</f>
      </c>
      <c r="O1316" s="43">
        <f>IF($I1316=0,0,INDEX(DarlErsatzRate,3))</f>
      </c>
      <c r="P1316" s="43">
        <f>IF($I1316=0,0,$Q1315*INDEX(DarlErsatzZins,3))</f>
      </c>
      <c r="Q1316" s="43">
        <f>IF($I1316=0,0,$Q1315+$P1316+$O1316)</f>
      </c>
      <c r="R1316" s="43">
        <f>IF($I1316=0,0,$J1316-$M1316-$N1316)</f>
      </c>
    </row>
    <row r="1317">
      <c r="A1317"/>
      <c r="B1317">
        <v>3</v>
      </c>
      <c r="C1317" s="43">
        <f>INDEX(DarlObj,3)</f>
      </c>
      <c r="D1317">
        <v>354</v>
      </c>
      <c r="E1317" s="51">
        <f>IF(INDEX(DarlBelegt,3)=0,0,EOMONTH(INDEX(DarlAuszahlung,3),353)+1)</f>
      </c>
      <c r="F1317" s="43">
        <f>IF($E1317=0,0,YEAR($E1317))</f>
      </c>
      <c r="G1317" s="43">
        <f>IF(INDEX(DarlBindung,3)="",1,IF($E1317&lt;=INDEX(DarlBindung,3),1,0))</f>
      </c>
      <c r="H1317" s="43">
        <f>IF($G1317=1,INDEX(DarlSollzins,3),INDEX(DarlAnschluss,3))</f>
      </c>
      <c r="I1317" s="43">
        <f>IF(INDEX(DarlBelegt,3)=0,0,IF(INDEX(DarlOhneTilgung,3)=1,IF(INDEX(DarlBindung,3)="",1,$G1317),IF($J1317&gt;0.005,1,0)))</f>
      </c>
      <c r="J1317" s="43">
        <f>IF($I1316=0,0,$R1316)</f>
      </c>
      <c r="K1317" s="43">
        <f>IF($I1317=0,0,IF(INDEX(DarlOhneTilgung,3)=1,0,IF(AND(INDEX(DarlTilgStart,3)&gt;0,$E1317=INDEX(DarlTilgStart,3)),$J1317*($H1317+INDEX(DarlTilgung,3))/100/12,IF(AND($G1317=0,$G1316=1),MAX($K1316,$J1317*($H1317+1)/100/12),$K1316))))</f>
      </c>
      <c r="L1317" s="43">
        <f>IF($I1317=0,0,$J1317*$H1317/100/12)</f>
      </c>
      <c r="M1317" s="43">
        <f>IF($I1317=0,0,IF(OR(INDEX(DarlOhneTilgung,3)=1,AND(INDEX(DarlTilgStart,3)&gt;0,$E1317&lt;INDEX(DarlTilgStart,3))),0,MIN(MAX(0,$K1317-$L1317),$J1317)))</f>
      </c>
      <c r="N1317" s="43">
        <f>IF($I1317=0,0,MIN(SUMIFS(SondBetrag,SondDarl,3,SondDatum,"&gt;="&amp;$E1317,SondDatum,"&lt;="&amp;EOMONTH($E1317,0)),$J1317-$M1317))</f>
      </c>
      <c r="O1317" s="43">
        <f>IF($I1317=0,0,INDEX(DarlErsatzRate,3))</f>
      </c>
      <c r="P1317" s="43">
        <f>IF($I1317=0,0,$Q1316*INDEX(DarlErsatzZins,3))</f>
      </c>
      <c r="Q1317" s="43">
        <f>IF($I1317=0,0,$Q1316+$P1317+$O1317)</f>
      </c>
      <c r="R1317" s="43">
        <f>IF($I1317=0,0,$J1317-$M1317-$N1317)</f>
      </c>
    </row>
    <row r="1318">
      <c r="A1318"/>
      <c r="B1318">
        <v>3</v>
      </c>
      <c r="C1318" s="43">
        <f>INDEX(DarlObj,3)</f>
      </c>
      <c r="D1318">
        <v>355</v>
      </c>
      <c r="E1318" s="51">
        <f>IF(INDEX(DarlBelegt,3)=0,0,EOMONTH(INDEX(DarlAuszahlung,3),354)+1)</f>
      </c>
      <c r="F1318" s="43">
        <f>IF($E1318=0,0,YEAR($E1318))</f>
      </c>
      <c r="G1318" s="43">
        <f>IF(INDEX(DarlBindung,3)="",1,IF($E1318&lt;=INDEX(DarlBindung,3),1,0))</f>
      </c>
      <c r="H1318" s="43">
        <f>IF($G1318=1,INDEX(DarlSollzins,3),INDEX(DarlAnschluss,3))</f>
      </c>
      <c r="I1318" s="43">
        <f>IF(INDEX(DarlBelegt,3)=0,0,IF(INDEX(DarlOhneTilgung,3)=1,IF(INDEX(DarlBindung,3)="",1,$G1318),IF($J1318&gt;0.005,1,0)))</f>
      </c>
      <c r="J1318" s="43">
        <f>IF($I1317=0,0,$R1317)</f>
      </c>
      <c r="K1318" s="43">
        <f>IF($I1318=0,0,IF(INDEX(DarlOhneTilgung,3)=1,0,IF(AND(INDEX(DarlTilgStart,3)&gt;0,$E1318=INDEX(DarlTilgStart,3)),$J1318*($H1318+INDEX(DarlTilgung,3))/100/12,IF(AND($G1318=0,$G1317=1),MAX($K1317,$J1318*($H1318+1)/100/12),$K1317))))</f>
      </c>
      <c r="L1318" s="43">
        <f>IF($I1318=0,0,$J1318*$H1318/100/12)</f>
      </c>
      <c r="M1318" s="43">
        <f>IF($I1318=0,0,IF(OR(INDEX(DarlOhneTilgung,3)=1,AND(INDEX(DarlTilgStart,3)&gt;0,$E1318&lt;INDEX(DarlTilgStart,3))),0,MIN(MAX(0,$K1318-$L1318),$J1318)))</f>
      </c>
      <c r="N1318" s="43">
        <f>IF($I1318=0,0,MIN(SUMIFS(SondBetrag,SondDarl,3,SondDatum,"&gt;="&amp;$E1318,SondDatum,"&lt;="&amp;EOMONTH($E1318,0)),$J1318-$M1318))</f>
      </c>
      <c r="O1318" s="43">
        <f>IF($I1318=0,0,INDEX(DarlErsatzRate,3))</f>
      </c>
      <c r="P1318" s="43">
        <f>IF($I1318=0,0,$Q1317*INDEX(DarlErsatzZins,3))</f>
      </c>
      <c r="Q1318" s="43">
        <f>IF($I1318=0,0,$Q1317+$P1318+$O1318)</f>
      </c>
      <c r="R1318" s="43">
        <f>IF($I1318=0,0,$J1318-$M1318-$N1318)</f>
      </c>
    </row>
    <row r="1319">
      <c r="A1319"/>
      <c r="B1319">
        <v>3</v>
      </c>
      <c r="C1319" s="43">
        <f>INDEX(DarlObj,3)</f>
      </c>
      <c r="D1319">
        <v>356</v>
      </c>
      <c r="E1319" s="51">
        <f>IF(INDEX(DarlBelegt,3)=0,0,EOMONTH(INDEX(DarlAuszahlung,3),355)+1)</f>
      </c>
      <c r="F1319" s="43">
        <f>IF($E1319=0,0,YEAR($E1319))</f>
      </c>
      <c r="G1319" s="43">
        <f>IF(INDEX(DarlBindung,3)="",1,IF($E1319&lt;=INDEX(DarlBindung,3),1,0))</f>
      </c>
      <c r="H1319" s="43">
        <f>IF($G1319=1,INDEX(DarlSollzins,3),INDEX(DarlAnschluss,3))</f>
      </c>
      <c r="I1319" s="43">
        <f>IF(INDEX(DarlBelegt,3)=0,0,IF(INDEX(DarlOhneTilgung,3)=1,IF(INDEX(DarlBindung,3)="",1,$G1319),IF($J1319&gt;0.005,1,0)))</f>
      </c>
      <c r="J1319" s="43">
        <f>IF($I1318=0,0,$R1318)</f>
      </c>
      <c r="K1319" s="43">
        <f>IF($I1319=0,0,IF(INDEX(DarlOhneTilgung,3)=1,0,IF(AND(INDEX(DarlTilgStart,3)&gt;0,$E1319=INDEX(DarlTilgStart,3)),$J1319*($H1319+INDEX(DarlTilgung,3))/100/12,IF(AND($G1319=0,$G1318=1),MAX($K1318,$J1319*($H1319+1)/100/12),$K1318))))</f>
      </c>
      <c r="L1319" s="43">
        <f>IF($I1319=0,0,$J1319*$H1319/100/12)</f>
      </c>
      <c r="M1319" s="43">
        <f>IF($I1319=0,0,IF(OR(INDEX(DarlOhneTilgung,3)=1,AND(INDEX(DarlTilgStart,3)&gt;0,$E1319&lt;INDEX(DarlTilgStart,3))),0,MIN(MAX(0,$K1319-$L1319),$J1319)))</f>
      </c>
      <c r="N1319" s="43">
        <f>IF($I1319=0,0,MIN(SUMIFS(SondBetrag,SondDarl,3,SondDatum,"&gt;="&amp;$E1319,SondDatum,"&lt;="&amp;EOMONTH($E1319,0)),$J1319-$M1319))</f>
      </c>
      <c r="O1319" s="43">
        <f>IF($I1319=0,0,INDEX(DarlErsatzRate,3))</f>
      </c>
      <c r="P1319" s="43">
        <f>IF($I1319=0,0,$Q1318*INDEX(DarlErsatzZins,3))</f>
      </c>
      <c r="Q1319" s="43">
        <f>IF($I1319=0,0,$Q1318+$P1319+$O1319)</f>
      </c>
      <c r="R1319" s="43">
        <f>IF($I1319=0,0,$J1319-$M1319-$N1319)</f>
      </c>
    </row>
    <row r="1320">
      <c r="A1320"/>
      <c r="B1320">
        <v>3</v>
      </c>
      <c r="C1320" s="43">
        <f>INDEX(DarlObj,3)</f>
      </c>
      <c r="D1320">
        <v>357</v>
      </c>
      <c r="E1320" s="51">
        <f>IF(INDEX(DarlBelegt,3)=0,0,EOMONTH(INDEX(DarlAuszahlung,3),356)+1)</f>
      </c>
      <c r="F1320" s="43">
        <f>IF($E1320=0,0,YEAR($E1320))</f>
      </c>
      <c r="G1320" s="43">
        <f>IF(INDEX(DarlBindung,3)="",1,IF($E1320&lt;=INDEX(DarlBindung,3),1,0))</f>
      </c>
      <c r="H1320" s="43">
        <f>IF($G1320=1,INDEX(DarlSollzins,3),INDEX(DarlAnschluss,3))</f>
      </c>
      <c r="I1320" s="43">
        <f>IF(INDEX(DarlBelegt,3)=0,0,IF(INDEX(DarlOhneTilgung,3)=1,IF(INDEX(DarlBindung,3)="",1,$G1320),IF($J1320&gt;0.005,1,0)))</f>
      </c>
      <c r="J1320" s="43">
        <f>IF($I1319=0,0,$R1319)</f>
      </c>
      <c r="K1320" s="43">
        <f>IF($I1320=0,0,IF(INDEX(DarlOhneTilgung,3)=1,0,IF(AND(INDEX(DarlTilgStart,3)&gt;0,$E1320=INDEX(DarlTilgStart,3)),$J1320*($H1320+INDEX(DarlTilgung,3))/100/12,IF(AND($G1320=0,$G1319=1),MAX($K1319,$J1320*($H1320+1)/100/12),$K1319))))</f>
      </c>
      <c r="L1320" s="43">
        <f>IF($I1320=0,0,$J1320*$H1320/100/12)</f>
      </c>
      <c r="M1320" s="43">
        <f>IF($I1320=0,0,IF(OR(INDEX(DarlOhneTilgung,3)=1,AND(INDEX(DarlTilgStart,3)&gt;0,$E1320&lt;INDEX(DarlTilgStart,3))),0,MIN(MAX(0,$K1320-$L1320),$J1320)))</f>
      </c>
      <c r="N1320" s="43">
        <f>IF($I1320=0,0,MIN(SUMIFS(SondBetrag,SondDarl,3,SondDatum,"&gt;="&amp;$E1320,SondDatum,"&lt;="&amp;EOMONTH($E1320,0)),$J1320-$M1320))</f>
      </c>
      <c r="O1320" s="43">
        <f>IF($I1320=0,0,INDEX(DarlErsatzRate,3))</f>
      </c>
      <c r="P1320" s="43">
        <f>IF($I1320=0,0,$Q1319*INDEX(DarlErsatzZins,3))</f>
      </c>
      <c r="Q1320" s="43">
        <f>IF($I1320=0,0,$Q1319+$P1320+$O1320)</f>
      </c>
      <c r="R1320" s="43">
        <f>IF($I1320=0,0,$J1320-$M1320-$N1320)</f>
      </c>
    </row>
    <row r="1321">
      <c r="A1321"/>
      <c r="B1321">
        <v>3</v>
      </c>
      <c r="C1321" s="43">
        <f>INDEX(DarlObj,3)</f>
      </c>
      <c r="D1321">
        <v>358</v>
      </c>
      <c r="E1321" s="51">
        <f>IF(INDEX(DarlBelegt,3)=0,0,EOMONTH(INDEX(DarlAuszahlung,3),357)+1)</f>
      </c>
      <c r="F1321" s="43">
        <f>IF($E1321=0,0,YEAR($E1321))</f>
      </c>
      <c r="G1321" s="43">
        <f>IF(INDEX(DarlBindung,3)="",1,IF($E1321&lt;=INDEX(DarlBindung,3),1,0))</f>
      </c>
      <c r="H1321" s="43">
        <f>IF($G1321=1,INDEX(DarlSollzins,3),INDEX(DarlAnschluss,3))</f>
      </c>
      <c r="I1321" s="43">
        <f>IF(INDEX(DarlBelegt,3)=0,0,IF(INDEX(DarlOhneTilgung,3)=1,IF(INDEX(DarlBindung,3)="",1,$G1321),IF($J1321&gt;0.005,1,0)))</f>
      </c>
      <c r="J1321" s="43">
        <f>IF($I1320=0,0,$R1320)</f>
      </c>
      <c r="K1321" s="43">
        <f>IF($I1321=0,0,IF(INDEX(DarlOhneTilgung,3)=1,0,IF(AND(INDEX(DarlTilgStart,3)&gt;0,$E1321=INDEX(DarlTilgStart,3)),$J1321*($H1321+INDEX(DarlTilgung,3))/100/12,IF(AND($G1321=0,$G1320=1),MAX($K1320,$J1321*($H1321+1)/100/12),$K1320))))</f>
      </c>
      <c r="L1321" s="43">
        <f>IF($I1321=0,0,$J1321*$H1321/100/12)</f>
      </c>
      <c r="M1321" s="43">
        <f>IF($I1321=0,0,IF(OR(INDEX(DarlOhneTilgung,3)=1,AND(INDEX(DarlTilgStart,3)&gt;0,$E1321&lt;INDEX(DarlTilgStart,3))),0,MIN(MAX(0,$K1321-$L1321),$J1321)))</f>
      </c>
      <c r="N1321" s="43">
        <f>IF($I1321=0,0,MIN(SUMIFS(SondBetrag,SondDarl,3,SondDatum,"&gt;="&amp;$E1321,SondDatum,"&lt;="&amp;EOMONTH($E1321,0)),$J1321-$M1321))</f>
      </c>
      <c r="O1321" s="43">
        <f>IF($I1321=0,0,INDEX(DarlErsatzRate,3))</f>
      </c>
      <c r="P1321" s="43">
        <f>IF($I1321=0,0,$Q1320*INDEX(DarlErsatzZins,3))</f>
      </c>
      <c r="Q1321" s="43">
        <f>IF($I1321=0,0,$Q1320+$P1321+$O1321)</f>
      </c>
      <c r="R1321" s="43">
        <f>IF($I1321=0,0,$J1321-$M1321-$N1321)</f>
      </c>
    </row>
    <row r="1322">
      <c r="A1322"/>
      <c r="B1322">
        <v>3</v>
      </c>
      <c r="C1322" s="43">
        <f>INDEX(DarlObj,3)</f>
      </c>
      <c r="D1322">
        <v>359</v>
      </c>
      <c r="E1322" s="51">
        <f>IF(INDEX(DarlBelegt,3)=0,0,EOMONTH(INDEX(DarlAuszahlung,3),358)+1)</f>
      </c>
      <c r="F1322" s="43">
        <f>IF($E1322=0,0,YEAR($E1322))</f>
      </c>
      <c r="G1322" s="43">
        <f>IF(INDEX(DarlBindung,3)="",1,IF($E1322&lt;=INDEX(DarlBindung,3),1,0))</f>
      </c>
      <c r="H1322" s="43">
        <f>IF($G1322=1,INDEX(DarlSollzins,3),INDEX(DarlAnschluss,3))</f>
      </c>
      <c r="I1322" s="43">
        <f>IF(INDEX(DarlBelegt,3)=0,0,IF(INDEX(DarlOhneTilgung,3)=1,IF(INDEX(DarlBindung,3)="",1,$G1322),IF($J1322&gt;0.005,1,0)))</f>
      </c>
      <c r="J1322" s="43">
        <f>IF($I1321=0,0,$R1321)</f>
      </c>
      <c r="K1322" s="43">
        <f>IF($I1322=0,0,IF(INDEX(DarlOhneTilgung,3)=1,0,IF(AND(INDEX(DarlTilgStart,3)&gt;0,$E1322=INDEX(DarlTilgStart,3)),$J1322*($H1322+INDEX(DarlTilgung,3))/100/12,IF(AND($G1322=0,$G1321=1),MAX($K1321,$J1322*($H1322+1)/100/12),$K1321))))</f>
      </c>
      <c r="L1322" s="43">
        <f>IF($I1322=0,0,$J1322*$H1322/100/12)</f>
      </c>
      <c r="M1322" s="43">
        <f>IF($I1322=0,0,IF(OR(INDEX(DarlOhneTilgung,3)=1,AND(INDEX(DarlTilgStart,3)&gt;0,$E1322&lt;INDEX(DarlTilgStart,3))),0,MIN(MAX(0,$K1322-$L1322),$J1322)))</f>
      </c>
      <c r="N1322" s="43">
        <f>IF($I1322=0,0,MIN(SUMIFS(SondBetrag,SondDarl,3,SondDatum,"&gt;="&amp;$E1322,SondDatum,"&lt;="&amp;EOMONTH($E1322,0)),$J1322-$M1322))</f>
      </c>
      <c r="O1322" s="43">
        <f>IF($I1322=0,0,INDEX(DarlErsatzRate,3))</f>
      </c>
      <c r="P1322" s="43">
        <f>IF($I1322=0,0,$Q1321*INDEX(DarlErsatzZins,3))</f>
      </c>
      <c r="Q1322" s="43">
        <f>IF($I1322=0,0,$Q1321+$P1322+$O1322)</f>
      </c>
      <c r="R1322" s="43">
        <f>IF($I1322=0,0,$J1322-$M1322-$N1322)</f>
      </c>
    </row>
    <row r="1323">
      <c r="A1323"/>
      <c r="B1323">
        <v>3</v>
      </c>
      <c r="C1323" s="43">
        <f>INDEX(DarlObj,3)</f>
      </c>
      <c r="D1323">
        <v>360</v>
      </c>
      <c r="E1323" s="51">
        <f>IF(INDEX(DarlBelegt,3)=0,0,EOMONTH(INDEX(DarlAuszahlung,3),359)+1)</f>
      </c>
      <c r="F1323" s="43">
        <f>IF($E1323=0,0,YEAR($E1323))</f>
      </c>
      <c r="G1323" s="43">
        <f>IF(INDEX(DarlBindung,3)="",1,IF($E1323&lt;=INDEX(DarlBindung,3),1,0))</f>
      </c>
      <c r="H1323" s="43">
        <f>IF($G1323=1,INDEX(DarlSollzins,3),INDEX(DarlAnschluss,3))</f>
      </c>
      <c r="I1323" s="43">
        <f>IF(INDEX(DarlBelegt,3)=0,0,IF(INDEX(DarlOhneTilgung,3)=1,IF(INDEX(DarlBindung,3)="",1,$G1323),IF($J1323&gt;0.005,1,0)))</f>
      </c>
      <c r="J1323" s="43">
        <f>IF($I1322=0,0,$R1322)</f>
      </c>
      <c r="K1323" s="43">
        <f>IF($I1323=0,0,IF(INDEX(DarlOhneTilgung,3)=1,0,IF(AND(INDEX(DarlTilgStart,3)&gt;0,$E1323=INDEX(DarlTilgStart,3)),$J1323*($H1323+INDEX(DarlTilgung,3))/100/12,IF(AND($G1323=0,$G1322=1),MAX($K1322,$J1323*($H1323+1)/100/12),$K1322))))</f>
      </c>
      <c r="L1323" s="43">
        <f>IF($I1323=0,0,$J1323*$H1323/100/12)</f>
      </c>
      <c r="M1323" s="43">
        <f>IF($I1323=0,0,IF(OR(INDEX(DarlOhneTilgung,3)=1,AND(INDEX(DarlTilgStart,3)&gt;0,$E1323&lt;INDEX(DarlTilgStart,3))),0,MIN(MAX(0,$K1323-$L1323),$J1323)))</f>
      </c>
      <c r="N1323" s="43">
        <f>IF($I1323=0,0,MIN(SUMIFS(SondBetrag,SondDarl,3,SondDatum,"&gt;="&amp;$E1323,SondDatum,"&lt;="&amp;EOMONTH($E1323,0)),$J1323-$M1323))</f>
      </c>
      <c r="O1323" s="43">
        <f>IF($I1323=0,0,INDEX(DarlErsatzRate,3))</f>
      </c>
      <c r="P1323" s="43">
        <f>IF($I1323=0,0,$Q1322*INDEX(DarlErsatzZins,3))</f>
      </c>
      <c r="Q1323" s="43">
        <f>IF($I1323=0,0,$Q1322+$P1323+$O1323)</f>
      </c>
      <c r="R1323" s="43">
        <f>IF($I1323=0,0,$J1323-$M1323-$N1323)</f>
      </c>
    </row>
    <row r="1324">
      <c r="A1324"/>
      <c r="B1324">
        <v>3</v>
      </c>
      <c r="C1324" s="43">
        <f>INDEX(DarlObj,3)</f>
      </c>
      <c r="D1324">
        <v>361</v>
      </c>
      <c r="E1324" s="51">
        <f>IF(INDEX(DarlBelegt,3)=0,0,EOMONTH(INDEX(DarlAuszahlung,3),360)+1)</f>
      </c>
      <c r="F1324" s="43">
        <f>IF($E1324=0,0,YEAR($E1324))</f>
      </c>
      <c r="G1324" s="43">
        <f>IF(INDEX(DarlBindung,3)="",1,IF($E1324&lt;=INDEX(DarlBindung,3),1,0))</f>
      </c>
      <c r="H1324" s="43">
        <f>IF($G1324=1,INDEX(DarlSollzins,3),INDEX(DarlAnschluss,3))</f>
      </c>
      <c r="I1324" s="43">
        <f>IF(INDEX(DarlBelegt,3)=0,0,IF(INDEX(DarlOhneTilgung,3)=1,IF(INDEX(DarlBindung,3)="",1,$G1324),IF($J1324&gt;0.005,1,0)))</f>
      </c>
      <c r="J1324" s="43">
        <f>IF($I1323=0,0,$R1323)</f>
      </c>
      <c r="K1324" s="43">
        <f>IF($I1324=0,0,IF(INDEX(DarlOhneTilgung,3)=1,0,IF(AND(INDEX(DarlTilgStart,3)&gt;0,$E1324=INDEX(DarlTilgStart,3)),$J1324*($H1324+INDEX(DarlTilgung,3))/100/12,IF(AND($G1324=0,$G1323=1),MAX($K1323,$J1324*($H1324+1)/100/12),$K1323))))</f>
      </c>
      <c r="L1324" s="43">
        <f>IF($I1324=0,0,$J1324*$H1324/100/12)</f>
      </c>
      <c r="M1324" s="43">
        <f>IF($I1324=0,0,IF(OR(INDEX(DarlOhneTilgung,3)=1,AND(INDEX(DarlTilgStart,3)&gt;0,$E1324&lt;INDEX(DarlTilgStart,3))),0,MIN(MAX(0,$K1324-$L1324),$J1324)))</f>
      </c>
      <c r="N1324" s="43">
        <f>IF($I1324=0,0,MIN(SUMIFS(SondBetrag,SondDarl,3,SondDatum,"&gt;="&amp;$E1324,SondDatum,"&lt;="&amp;EOMONTH($E1324,0)),$J1324-$M1324))</f>
      </c>
      <c r="O1324" s="43">
        <f>IF($I1324=0,0,INDEX(DarlErsatzRate,3))</f>
      </c>
      <c r="P1324" s="43">
        <f>IF($I1324=0,0,$Q1323*INDEX(DarlErsatzZins,3))</f>
      </c>
      <c r="Q1324" s="43">
        <f>IF($I1324=0,0,$Q1323+$P1324+$O1324)</f>
      </c>
      <c r="R1324" s="43">
        <f>IF($I1324=0,0,$J1324-$M1324-$N1324)</f>
      </c>
    </row>
    <row r="1325">
      <c r="A1325"/>
      <c r="B1325">
        <v>3</v>
      </c>
      <c r="C1325" s="43">
        <f>INDEX(DarlObj,3)</f>
      </c>
      <c r="D1325">
        <v>362</v>
      </c>
      <c r="E1325" s="51">
        <f>IF(INDEX(DarlBelegt,3)=0,0,EOMONTH(INDEX(DarlAuszahlung,3),361)+1)</f>
      </c>
      <c r="F1325" s="43">
        <f>IF($E1325=0,0,YEAR($E1325))</f>
      </c>
      <c r="G1325" s="43">
        <f>IF(INDEX(DarlBindung,3)="",1,IF($E1325&lt;=INDEX(DarlBindung,3),1,0))</f>
      </c>
      <c r="H1325" s="43">
        <f>IF($G1325=1,INDEX(DarlSollzins,3),INDEX(DarlAnschluss,3))</f>
      </c>
      <c r="I1325" s="43">
        <f>IF(INDEX(DarlBelegt,3)=0,0,IF(INDEX(DarlOhneTilgung,3)=1,IF(INDEX(DarlBindung,3)="",1,$G1325),IF($J1325&gt;0.005,1,0)))</f>
      </c>
      <c r="J1325" s="43">
        <f>IF($I1324=0,0,$R1324)</f>
      </c>
      <c r="K1325" s="43">
        <f>IF($I1325=0,0,IF(INDEX(DarlOhneTilgung,3)=1,0,IF(AND(INDEX(DarlTilgStart,3)&gt;0,$E1325=INDEX(DarlTilgStart,3)),$J1325*($H1325+INDEX(DarlTilgung,3))/100/12,IF(AND($G1325=0,$G1324=1),MAX($K1324,$J1325*($H1325+1)/100/12),$K1324))))</f>
      </c>
      <c r="L1325" s="43">
        <f>IF($I1325=0,0,$J1325*$H1325/100/12)</f>
      </c>
      <c r="M1325" s="43">
        <f>IF($I1325=0,0,IF(OR(INDEX(DarlOhneTilgung,3)=1,AND(INDEX(DarlTilgStart,3)&gt;0,$E1325&lt;INDEX(DarlTilgStart,3))),0,MIN(MAX(0,$K1325-$L1325),$J1325)))</f>
      </c>
      <c r="N1325" s="43">
        <f>IF($I1325=0,0,MIN(SUMIFS(SondBetrag,SondDarl,3,SondDatum,"&gt;="&amp;$E1325,SondDatum,"&lt;="&amp;EOMONTH($E1325,0)),$J1325-$M1325))</f>
      </c>
      <c r="O1325" s="43">
        <f>IF($I1325=0,0,INDEX(DarlErsatzRate,3))</f>
      </c>
      <c r="P1325" s="43">
        <f>IF($I1325=0,0,$Q1324*INDEX(DarlErsatzZins,3))</f>
      </c>
      <c r="Q1325" s="43">
        <f>IF($I1325=0,0,$Q1324+$P1325+$O1325)</f>
      </c>
      <c r="R1325" s="43">
        <f>IF($I1325=0,0,$J1325-$M1325-$N1325)</f>
      </c>
    </row>
    <row r="1326">
      <c r="A1326"/>
      <c r="B1326">
        <v>3</v>
      </c>
      <c r="C1326" s="43">
        <f>INDEX(DarlObj,3)</f>
      </c>
      <c r="D1326">
        <v>363</v>
      </c>
      <c r="E1326" s="51">
        <f>IF(INDEX(DarlBelegt,3)=0,0,EOMONTH(INDEX(DarlAuszahlung,3),362)+1)</f>
      </c>
      <c r="F1326" s="43">
        <f>IF($E1326=0,0,YEAR($E1326))</f>
      </c>
      <c r="G1326" s="43">
        <f>IF(INDEX(DarlBindung,3)="",1,IF($E1326&lt;=INDEX(DarlBindung,3),1,0))</f>
      </c>
      <c r="H1326" s="43">
        <f>IF($G1326=1,INDEX(DarlSollzins,3),INDEX(DarlAnschluss,3))</f>
      </c>
      <c r="I1326" s="43">
        <f>IF(INDEX(DarlBelegt,3)=0,0,IF(INDEX(DarlOhneTilgung,3)=1,IF(INDEX(DarlBindung,3)="",1,$G1326),IF($J1326&gt;0.005,1,0)))</f>
      </c>
      <c r="J1326" s="43">
        <f>IF($I1325=0,0,$R1325)</f>
      </c>
      <c r="K1326" s="43">
        <f>IF($I1326=0,0,IF(INDEX(DarlOhneTilgung,3)=1,0,IF(AND(INDEX(DarlTilgStart,3)&gt;0,$E1326=INDEX(DarlTilgStart,3)),$J1326*($H1326+INDEX(DarlTilgung,3))/100/12,IF(AND($G1326=0,$G1325=1),MAX($K1325,$J1326*($H1326+1)/100/12),$K1325))))</f>
      </c>
      <c r="L1326" s="43">
        <f>IF($I1326=0,0,$J1326*$H1326/100/12)</f>
      </c>
      <c r="M1326" s="43">
        <f>IF($I1326=0,0,IF(OR(INDEX(DarlOhneTilgung,3)=1,AND(INDEX(DarlTilgStart,3)&gt;0,$E1326&lt;INDEX(DarlTilgStart,3))),0,MIN(MAX(0,$K1326-$L1326),$J1326)))</f>
      </c>
      <c r="N1326" s="43">
        <f>IF($I1326=0,0,MIN(SUMIFS(SondBetrag,SondDarl,3,SondDatum,"&gt;="&amp;$E1326,SondDatum,"&lt;="&amp;EOMONTH($E1326,0)),$J1326-$M1326))</f>
      </c>
      <c r="O1326" s="43">
        <f>IF($I1326=0,0,INDEX(DarlErsatzRate,3))</f>
      </c>
      <c r="P1326" s="43">
        <f>IF($I1326=0,0,$Q1325*INDEX(DarlErsatzZins,3))</f>
      </c>
      <c r="Q1326" s="43">
        <f>IF($I1326=0,0,$Q1325+$P1326+$O1326)</f>
      </c>
      <c r="R1326" s="43">
        <f>IF($I1326=0,0,$J1326-$M1326-$N1326)</f>
      </c>
    </row>
    <row r="1327">
      <c r="A1327"/>
      <c r="B1327">
        <v>3</v>
      </c>
      <c r="C1327" s="43">
        <f>INDEX(DarlObj,3)</f>
      </c>
      <c r="D1327">
        <v>364</v>
      </c>
      <c r="E1327" s="51">
        <f>IF(INDEX(DarlBelegt,3)=0,0,EOMONTH(INDEX(DarlAuszahlung,3),363)+1)</f>
      </c>
      <c r="F1327" s="43">
        <f>IF($E1327=0,0,YEAR($E1327))</f>
      </c>
      <c r="G1327" s="43">
        <f>IF(INDEX(DarlBindung,3)="",1,IF($E1327&lt;=INDEX(DarlBindung,3),1,0))</f>
      </c>
      <c r="H1327" s="43">
        <f>IF($G1327=1,INDEX(DarlSollzins,3),INDEX(DarlAnschluss,3))</f>
      </c>
      <c r="I1327" s="43">
        <f>IF(INDEX(DarlBelegt,3)=0,0,IF(INDEX(DarlOhneTilgung,3)=1,IF(INDEX(DarlBindung,3)="",1,$G1327),IF($J1327&gt;0.005,1,0)))</f>
      </c>
      <c r="J1327" s="43">
        <f>IF($I1326=0,0,$R1326)</f>
      </c>
      <c r="K1327" s="43">
        <f>IF($I1327=0,0,IF(INDEX(DarlOhneTilgung,3)=1,0,IF(AND(INDEX(DarlTilgStart,3)&gt;0,$E1327=INDEX(DarlTilgStart,3)),$J1327*($H1327+INDEX(DarlTilgung,3))/100/12,IF(AND($G1327=0,$G1326=1),MAX($K1326,$J1327*($H1327+1)/100/12),$K1326))))</f>
      </c>
      <c r="L1327" s="43">
        <f>IF($I1327=0,0,$J1327*$H1327/100/12)</f>
      </c>
      <c r="M1327" s="43">
        <f>IF($I1327=0,0,IF(OR(INDEX(DarlOhneTilgung,3)=1,AND(INDEX(DarlTilgStart,3)&gt;0,$E1327&lt;INDEX(DarlTilgStart,3))),0,MIN(MAX(0,$K1327-$L1327),$J1327)))</f>
      </c>
      <c r="N1327" s="43">
        <f>IF($I1327=0,0,MIN(SUMIFS(SondBetrag,SondDarl,3,SondDatum,"&gt;="&amp;$E1327,SondDatum,"&lt;="&amp;EOMONTH($E1327,0)),$J1327-$M1327))</f>
      </c>
      <c r="O1327" s="43">
        <f>IF($I1327=0,0,INDEX(DarlErsatzRate,3))</f>
      </c>
      <c r="P1327" s="43">
        <f>IF($I1327=0,0,$Q1326*INDEX(DarlErsatzZins,3))</f>
      </c>
      <c r="Q1327" s="43">
        <f>IF($I1327=0,0,$Q1326+$P1327+$O1327)</f>
      </c>
      <c r="R1327" s="43">
        <f>IF($I1327=0,0,$J1327-$M1327-$N1327)</f>
      </c>
    </row>
    <row r="1328">
      <c r="A1328"/>
      <c r="B1328">
        <v>3</v>
      </c>
      <c r="C1328" s="43">
        <f>INDEX(DarlObj,3)</f>
      </c>
      <c r="D1328">
        <v>365</v>
      </c>
      <c r="E1328" s="51">
        <f>IF(INDEX(DarlBelegt,3)=0,0,EOMONTH(INDEX(DarlAuszahlung,3),364)+1)</f>
      </c>
      <c r="F1328" s="43">
        <f>IF($E1328=0,0,YEAR($E1328))</f>
      </c>
      <c r="G1328" s="43">
        <f>IF(INDEX(DarlBindung,3)="",1,IF($E1328&lt;=INDEX(DarlBindung,3),1,0))</f>
      </c>
      <c r="H1328" s="43">
        <f>IF($G1328=1,INDEX(DarlSollzins,3),INDEX(DarlAnschluss,3))</f>
      </c>
      <c r="I1328" s="43">
        <f>IF(INDEX(DarlBelegt,3)=0,0,IF(INDEX(DarlOhneTilgung,3)=1,IF(INDEX(DarlBindung,3)="",1,$G1328),IF($J1328&gt;0.005,1,0)))</f>
      </c>
      <c r="J1328" s="43">
        <f>IF($I1327=0,0,$R1327)</f>
      </c>
      <c r="K1328" s="43">
        <f>IF($I1328=0,0,IF(INDEX(DarlOhneTilgung,3)=1,0,IF(AND(INDEX(DarlTilgStart,3)&gt;0,$E1328=INDEX(DarlTilgStart,3)),$J1328*($H1328+INDEX(DarlTilgung,3))/100/12,IF(AND($G1328=0,$G1327=1),MAX($K1327,$J1328*($H1328+1)/100/12),$K1327))))</f>
      </c>
      <c r="L1328" s="43">
        <f>IF($I1328=0,0,$J1328*$H1328/100/12)</f>
      </c>
      <c r="M1328" s="43">
        <f>IF($I1328=0,0,IF(OR(INDEX(DarlOhneTilgung,3)=1,AND(INDEX(DarlTilgStart,3)&gt;0,$E1328&lt;INDEX(DarlTilgStart,3))),0,MIN(MAX(0,$K1328-$L1328),$J1328)))</f>
      </c>
      <c r="N1328" s="43">
        <f>IF($I1328=0,0,MIN(SUMIFS(SondBetrag,SondDarl,3,SondDatum,"&gt;="&amp;$E1328,SondDatum,"&lt;="&amp;EOMONTH($E1328,0)),$J1328-$M1328))</f>
      </c>
      <c r="O1328" s="43">
        <f>IF($I1328=0,0,INDEX(DarlErsatzRate,3))</f>
      </c>
      <c r="P1328" s="43">
        <f>IF($I1328=0,0,$Q1327*INDEX(DarlErsatzZins,3))</f>
      </c>
      <c r="Q1328" s="43">
        <f>IF($I1328=0,0,$Q1327+$P1328+$O1328)</f>
      </c>
      <c r="R1328" s="43">
        <f>IF($I1328=0,0,$J1328-$M1328-$N1328)</f>
      </c>
    </row>
    <row r="1329">
      <c r="A1329"/>
      <c r="B1329">
        <v>3</v>
      </c>
      <c r="C1329" s="43">
        <f>INDEX(DarlObj,3)</f>
      </c>
      <c r="D1329">
        <v>366</v>
      </c>
      <c r="E1329" s="51">
        <f>IF(INDEX(DarlBelegt,3)=0,0,EOMONTH(INDEX(DarlAuszahlung,3),365)+1)</f>
      </c>
      <c r="F1329" s="43">
        <f>IF($E1329=0,0,YEAR($E1329))</f>
      </c>
      <c r="G1329" s="43">
        <f>IF(INDEX(DarlBindung,3)="",1,IF($E1329&lt;=INDEX(DarlBindung,3),1,0))</f>
      </c>
      <c r="H1329" s="43">
        <f>IF($G1329=1,INDEX(DarlSollzins,3),INDEX(DarlAnschluss,3))</f>
      </c>
      <c r="I1329" s="43">
        <f>IF(INDEX(DarlBelegt,3)=0,0,IF(INDEX(DarlOhneTilgung,3)=1,IF(INDEX(DarlBindung,3)="",1,$G1329),IF($J1329&gt;0.005,1,0)))</f>
      </c>
      <c r="J1329" s="43">
        <f>IF($I1328=0,0,$R1328)</f>
      </c>
      <c r="K1329" s="43">
        <f>IF($I1329=0,0,IF(INDEX(DarlOhneTilgung,3)=1,0,IF(AND(INDEX(DarlTilgStart,3)&gt;0,$E1329=INDEX(DarlTilgStart,3)),$J1329*($H1329+INDEX(DarlTilgung,3))/100/12,IF(AND($G1329=0,$G1328=1),MAX($K1328,$J1329*($H1329+1)/100/12),$K1328))))</f>
      </c>
      <c r="L1329" s="43">
        <f>IF($I1329=0,0,$J1329*$H1329/100/12)</f>
      </c>
      <c r="M1329" s="43">
        <f>IF($I1329=0,0,IF(OR(INDEX(DarlOhneTilgung,3)=1,AND(INDEX(DarlTilgStart,3)&gt;0,$E1329&lt;INDEX(DarlTilgStart,3))),0,MIN(MAX(0,$K1329-$L1329),$J1329)))</f>
      </c>
      <c r="N1329" s="43">
        <f>IF($I1329=0,0,MIN(SUMIFS(SondBetrag,SondDarl,3,SondDatum,"&gt;="&amp;$E1329,SondDatum,"&lt;="&amp;EOMONTH($E1329,0)),$J1329-$M1329))</f>
      </c>
      <c r="O1329" s="43">
        <f>IF($I1329=0,0,INDEX(DarlErsatzRate,3))</f>
      </c>
      <c r="P1329" s="43">
        <f>IF($I1329=0,0,$Q1328*INDEX(DarlErsatzZins,3))</f>
      </c>
      <c r="Q1329" s="43">
        <f>IF($I1329=0,0,$Q1328+$P1329+$O1329)</f>
      </c>
      <c r="R1329" s="43">
        <f>IF($I1329=0,0,$J1329-$M1329-$N1329)</f>
      </c>
    </row>
    <row r="1330">
      <c r="A1330"/>
      <c r="B1330">
        <v>3</v>
      </c>
      <c r="C1330" s="43">
        <f>INDEX(DarlObj,3)</f>
      </c>
      <c r="D1330">
        <v>367</v>
      </c>
      <c r="E1330" s="51">
        <f>IF(INDEX(DarlBelegt,3)=0,0,EOMONTH(INDEX(DarlAuszahlung,3),366)+1)</f>
      </c>
      <c r="F1330" s="43">
        <f>IF($E1330=0,0,YEAR($E1330))</f>
      </c>
      <c r="G1330" s="43">
        <f>IF(INDEX(DarlBindung,3)="",1,IF($E1330&lt;=INDEX(DarlBindung,3),1,0))</f>
      </c>
      <c r="H1330" s="43">
        <f>IF($G1330=1,INDEX(DarlSollzins,3),INDEX(DarlAnschluss,3))</f>
      </c>
      <c r="I1330" s="43">
        <f>IF(INDEX(DarlBelegt,3)=0,0,IF(INDEX(DarlOhneTilgung,3)=1,IF(INDEX(DarlBindung,3)="",1,$G1330),IF($J1330&gt;0.005,1,0)))</f>
      </c>
      <c r="J1330" s="43">
        <f>IF($I1329=0,0,$R1329)</f>
      </c>
      <c r="K1330" s="43">
        <f>IF($I1330=0,0,IF(INDEX(DarlOhneTilgung,3)=1,0,IF(AND(INDEX(DarlTilgStart,3)&gt;0,$E1330=INDEX(DarlTilgStart,3)),$J1330*($H1330+INDEX(DarlTilgung,3))/100/12,IF(AND($G1330=0,$G1329=1),MAX($K1329,$J1330*($H1330+1)/100/12),$K1329))))</f>
      </c>
      <c r="L1330" s="43">
        <f>IF($I1330=0,0,$J1330*$H1330/100/12)</f>
      </c>
      <c r="M1330" s="43">
        <f>IF($I1330=0,0,IF(OR(INDEX(DarlOhneTilgung,3)=1,AND(INDEX(DarlTilgStart,3)&gt;0,$E1330&lt;INDEX(DarlTilgStart,3))),0,MIN(MAX(0,$K1330-$L1330),$J1330)))</f>
      </c>
      <c r="N1330" s="43">
        <f>IF($I1330=0,0,MIN(SUMIFS(SondBetrag,SondDarl,3,SondDatum,"&gt;="&amp;$E1330,SondDatum,"&lt;="&amp;EOMONTH($E1330,0)),$J1330-$M1330))</f>
      </c>
      <c r="O1330" s="43">
        <f>IF($I1330=0,0,INDEX(DarlErsatzRate,3))</f>
      </c>
      <c r="P1330" s="43">
        <f>IF($I1330=0,0,$Q1329*INDEX(DarlErsatzZins,3))</f>
      </c>
      <c r="Q1330" s="43">
        <f>IF($I1330=0,0,$Q1329+$P1330+$O1330)</f>
      </c>
      <c r="R1330" s="43">
        <f>IF($I1330=0,0,$J1330-$M1330-$N1330)</f>
      </c>
    </row>
    <row r="1331">
      <c r="A1331"/>
      <c r="B1331">
        <v>3</v>
      </c>
      <c r="C1331" s="43">
        <f>INDEX(DarlObj,3)</f>
      </c>
      <c r="D1331">
        <v>368</v>
      </c>
      <c r="E1331" s="51">
        <f>IF(INDEX(DarlBelegt,3)=0,0,EOMONTH(INDEX(DarlAuszahlung,3),367)+1)</f>
      </c>
      <c r="F1331" s="43">
        <f>IF($E1331=0,0,YEAR($E1331))</f>
      </c>
      <c r="G1331" s="43">
        <f>IF(INDEX(DarlBindung,3)="",1,IF($E1331&lt;=INDEX(DarlBindung,3),1,0))</f>
      </c>
      <c r="H1331" s="43">
        <f>IF($G1331=1,INDEX(DarlSollzins,3),INDEX(DarlAnschluss,3))</f>
      </c>
      <c r="I1331" s="43">
        <f>IF(INDEX(DarlBelegt,3)=0,0,IF(INDEX(DarlOhneTilgung,3)=1,IF(INDEX(DarlBindung,3)="",1,$G1331),IF($J1331&gt;0.005,1,0)))</f>
      </c>
      <c r="J1331" s="43">
        <f>IF($I1330=0,0,$R1330)</f>
      </c>
      <c r="K1331" s="43">
        <f>IF($I1331=0,0,IF(INDEX(DarlOhneTilgung,3)=1,0,IF(AND(INDEX(DarlTilgStart,3)&gt;0,$E1331=INDEX(DarlTilgStart,3)),$J1331*($H1331+INDEX(DarlTilgung,3))/100/12,IF(AND($G1331=0,$G1330=1),MAX($K1330,$J1331*($H1331+1)/100/12),$K1330))))</f>
      </c>
      <c r="L1331" s="43">
        <f>IF($I1331=0,0,$J1331*$H1331/100/12)</f>
      </c>
      <c r="M1331" s="43">
        <f>IF($I1331=0,0,IF(OR(INDEX(DarlOhneTilgung,3)=1,AND(INDEX(DarlTilgStart,3)&gt;0,$E1331&lt;INDEX(DarlTilgStart,3))),0,MIN(MAX(0,$K1331-$L1331),$J1331)))</f>
      </c>
      <c r="N1331" s="43">
        <f>IF($I1331=0,0,MIN(SUMIFS(SondBetrag,SondDarl,3,SondDatum,"&gt;="&amp;$E1331,SondDatum,"&lt;="&amp;EOMONTH($E1331,0)),$J1331-$M1331))</f>
      </c>
      <c r="O1331" s="43">
        <f>IF($I1331=0,0,INDEX(DarlErsatzRate,3))</f>
      </c>
      <c r="P1331" s="43">
        <f>IF($I1331=0,0,$Q1330*INDEX(DarlErsatzZins,3))</f>
      </c>
      <c r="Q1331" s="43">
        <f>IF($I1331=0,0,$Q1330+$P1331+$O1331)</f>
      </c>
      <c r="R1331" s="43">
        <f>IF($I1331=0,0,$J1331-$M1331-$N1331)</f>
      </c>
    </row>
    <row r="1332">
      <c r="A1332"/>
      <c r="B1332">
        <v>3</v>
      </c>
      <c r="C1332" s="43">
        <f>INDEX(DarlObj,3)</f>
      </c>
      <c r="D1332">
        <v>369</v>
      </c>
      <c r="E1332" s="51">
        <f>IF(INDEX(DarlBelegt,3)=0,0,EOMONTH(INDEX(DarlAuszahlung,3),368)+1)</f>
      </c>
      <c r="F1332" s="43">
        <f>IF($E1332=0,0,YEAR($E1332))</f>
      </c>
      <c r="G1332" s="43">
        <f>IF(INDEX(DarlBindung,3)="",1,IF($E1332&lt;=INDEX(DarlBindung,3),1,0))</f>
      </c>
      <c r="H1332" s="43">
        <f>IF($G1332=1,INDEX(DarlSollzins,3),INDEX(DarlAnschluss,3))</f>
      </c>
      <c r="I1332" s="43">
        <f>IF(INDEX(DarlBelegt,3)=0,0,IF(INDEX(DarlOhneTilgung,3)=1,IF(INDEX(DarlBindung,3)="",1,$G1332),IF($J1332&gt;0.005,1,0)))</f>
      </c>
      <c r="J1332" s="43">
        <f>IF($I1331=0,0,$R1331)</f>
      </c>
      <c r="K1332" s="43">
        <f>IF($I1332=0,0,IF(INDEX(DarlOhneTilgung,3)=1,0,IF(AND(INDEX(DarlTilgStart,3)&gt;0,$E1332=INDEX(DarlTilgStart,3)),$J1332*($H1332+INDEX(DarlTilgung,3))/100/12,IF(AND($G1332=0,$G1331=1),MAX($K1331,$J1332*($H1332+1)/100/12),$K1331))))</f>
      </c>
      <c r="L1332" s="43">
        <f>IF($I1332=0,0,$J1332*$H1332/100/12)</f>
      </c>
      <c r="M1332" s="43">
        <f>IF($I1332=0,0,IF(OR(INDEX(DarlOhneTilgung,3)=1,AND(INDEX(DarlTilgStart,3)&gt;0,$E1332&lt;INDEX(DarlTilgStart,3))),0,MIN(MAX(0,$K1332-$L1332),$J1332)))</f>
      </c>
      <c r="N1332" s="43">
        <f>IF($I1332=0,0,MIN(SUMIFS(SondBetrag,SondDarl,3,SondDatum,"&gt;="&amp;$E1332,SondDatum,"&lt;="&amp;EOMONTH($E1332,0)),$J1332-$M1332))</f>
      </c>
      <c r="O1332" s="43">
        <f>IF($I1332=0,0,INDEX(DarlErsatzRate,3))</f>
      </c>
      <c r="P1332" s="43">
        <f>IF($I1332=0,0,$Q1331*INDEX(DarlErsatzZins,3))</f>
      </c>
      <c r="Q1332" s="43">
        <f>IF($I1332=0,0,$Q1331+$P1332+$O1332)</f>
      </c>
      <c r="R1332" s="43">
        <f>IF($I1332=0,0,$J1332-$M1332-$N1332)</f>
      </c>
    </row>
    <row r="1333">
      <c r="A1333"/>
      <c r="B1333">
        <v>3</v>
      </c>
      <c r="C1333" s="43">
        <f>INDEX(DarlObj,3)</f>
      </c>
      <c r="D1333">
        <v>370</v>
      </c>
      <c r="E1333" s="51">
        <f>IF(INDEX(DarlBelegt,3)=0,0,EOMONTH(INDEX(DarlAuszahlung,3),369)+1)</f>
      </c>
      <c r="F1333" s="43">
        <f>IF($E1333=0,0,YEAR($E1333))</f>
      </c>
      <c r="G1333" s="43">
        <f>IF(INDEX(DarlBindung,3)="",1,IF($E1333&lt;=INDEX(DarlBindung,3),1,0))</f>
      </c>
      <c r="H1333" s="43">
        <f>IF($G1333=1,INDEX(DarlSollzins,3),INDEX(DarlAnschluss,3))</f>
      </c>
      <c r="I1333" s="43">
        <f>IF(INDEX(DarlBelegt,3)=0,0,IF(INDEX(DarlOhneTilgung,3)=1,IF(INDEX(DarlBindung,3)="",1,$G1333),IF($J1333&gt;0.005,1,0)))</f>
      </c>
      <c r="J1333" s="43">
        <f>IF($I1332=0,0,$R1332)</f>
      </c>
      <c r="K1333" s="43">
        <f>IF($I1333=0,0,IF(INDEX(DarlOhneTilgung,3)=1,0,IF(AND(INDEX(DarlTilgStart,3)&gt;0,$E1333=INDEX(DarlTilgStart,3)),$J1333*($H1333+INDEX(DarlTilgung,3))/100/12,IF(AND($G1333=0,$G1332=1),MAX($K1332,$J1333*($H1333+1)/100/12),$K1332))))</f>
      </c>
      <c r="L1333" s="43">
        <f>IF($I1333=0,0,$J1333*$H1333/100/12)</f>
      </c>
      <c r="M1333" s="43">
        <f>IF($I1333=0,0,IF(OR(INDEX(DarlOhneTilgung,3)=1,AND(INDEX(DarlTilgStart,3)&gt;0,$E1333&lt;INDEX(DarlTilgStart,3))),0,MIN(MAX(0,$K1333-$L1333),$J1333)))</f>
      </c>
      <c r="N1333" s="43">
        <f>IF($I1333=0,0,MIN(SUMIFS(SondBetrag,SondDarl,3,SondDatum,"&gt;="&amp;$E1333,SondDatum,"&lt;="&amp;EOMONTH($E1333,0)),$J1333-$M1333))</f>
      </c>
      <c r="O1333" s="43">
        <f>IF($I1333=0,0,INDEX(DarlErsatzRate,3))</f>
      </c>
      <c r="P1333" s="43">
        <f>IF($I1333=0,0,$Q1332*INDEX(DarlErsatzZins,3))</f>
      </c>
      <c r="Q1333" s="43">
        <f>IF($I1333=0,0,$Q1332+$P1333+$O1333)</f>
      </c>
      <c r="R1333" s="43">
        <f>IF($I1333=0,0,$J1333-$M1333-$N1333)</f>
      </c>
    </row>
    <row r="1334">
      <c r="A1334"/>
      <c r="B1334">
        <v>3</v>
      </c>
      <c r="C1334" s="43">
        <f>INDEX(DarlObj,3)</f>
      </c>
      <c r="D1334">
        <v>371</v>
      </c>
      <c r="E1334" s="51">
        <f>IF(INDEX(DarlBelegt,3)=0,0,EOMONTH(INDEX(DarlAuszahlung,3),370)+1)</f>
      </c>
      <c r="F1334" s="43">
        <f>IF($E1334=0,0,YEAR($E1334))</f>
      </c>
      <c r="G1334" s="43">
        <f>IF(INDEX(DarlBindung,3)="",1,IF($E1334&lt;=INDEX(DarlBindung,3),1,0))</f>
      </c>
      <c r="H1334" s="43">
        <f>IF($G1334=1,INDEX(DarlSollzins,3),INDEX(DarlAnschluss,3))</f>
      </c>
      <c r="I1334" s="43">
        <f>IF(INDEX(DarlBelegt,3)=0,0,IF(INDEX(DarlOhneTilgung,3)=1,IF(INDEX(DarlBindung,3)="",1,$G1334),IF($J1334&gt;0.005,1,0)))</f>
      </c>
      <c r="J1334" s="43">
        <f>IF($I1333=0,0,$R1333)</f>
      </c>
      <c r="K1334" s="43">
        <f>IF($I1334=0,0,IF(INDEX(DarlOhneTilgung,3)=1,0,IF(AND(INDEX(DarlTilgStart,3)&gt;0,$E1334=INDEX(DarlTilgStart,3)),$J1334*($H1334+INDEX(DarlTilgung,3))/100/12,IF(AND($G1334=0,$G1333=1),MAX($K1333,$J1334*($H1334+1)/100/12),$K1333))))</f>
      </c>
      <c r="L1334" s="43">
        <f>IF($I1334=0,0,$J1334*$H1334/100/12)</f>
      </c>
      <c r="M1334" s="43">
        <f>IF($I1334=0,0,IF(OR(INDEX(DarlOhneTilgung,3)=1,AND(INDEX(DarlTilgStart,3)&gt;0,$E1334&lt;INDEX(DarlTilgStart,3))),0,MIN(MAX(0,$K1334-$L1334),$J1334)))</f>
      </c>
      <c r="N1334" s="43">
        <f>IF($I1334=0,0,MIN(SUMIFS(SondBetrag,SondDarl,3,SondDatum,"&gt;="&amp;$E1334,SondDatum,"&lt;="&amp;EOMONTH($E1334,0)),$J1334-$M1334))</f>
      </c>
      <c r="O1334" s="43">
        <f>IF($I1334=0,0,INDEX(DarlErsatzRate,3))</f>
      </c>
      <c r="P1334" s="43">
        <f>IF($I1334=0,0,$Q1333*INDEX(DarlErsatzZins,3))</f>
      </c>
      <c r="Q1334" s="43">
        <f>IF($I1334=0,0,$Q1333+$P1334+$O1334)</f>
      </c>
      <c r="R1334" s="43">
        <f>IF($I1334=0,0,$J1334-$M1334-$N1334)</f>
      </c>
    </row>
    <row r="1335">
      <c r="A1335"/>
      <c r="B1335">
        <v>3</v>
      </c>
      <c r="C1335" s="43">
        <f>INDEX(DarlObj,3)</f>
      </c>
      <c r="D1335">
        <v>372</v>
      </c>
      <c r="E1335" s="51">
        <f>IF(INDEX(DarlBelegt,3)=0,0,EOMONTH(INDEX(DarlAuszahlung,3),371)+1)</f>
      </c>
      <c r="F1335" s="43">
        <f>IF($E1335=0,0,YEAR($E1335))</f>
      </c>
      <c r="G1335" s="43">
        <f>IF(INDEX(DarlBindung,3)="",1,IF($E1335&lt;=INDEX(DarlBindung,3),1,0))</f>
      </c>
      <c r="H1335" s="43">
        <f>IF($G1335=1,INDEX(DarlSollzins,3),INDEX(DarlAnschluss,3))</f>
      </c>
      <c r="I1335" s="43">
        <f>IF(INDEX(DarlBelegt,3)=0,0,IF(INDEX(DarlOhneTilgung,3)=1,IF(INDEX(DarlBindung,3)="",1,$G1335),IF($J1335&gt;0.005,1,0)))</f>
      </c>
      <c r="J1335" s="43">
        <f>IF($I1334=0,0,$R1334)</f>
      </c>
      <c r="K1335" s="43">
        <f>IF($I1335=0,0,IF(INDEX(DarlOhneTilgung,3)=1,0,IF(AND(INDEX(DarlTilgStart,3)&gt;0,$E1335=INDEX(DarlTilgStart,3)),$J1335*($H1335+INDEX(DarlTilgung,3))/100/12,IF(AND($G1335=0,$G1334=1),MAX($K1334,$J1335*($H1335+1)/100/12),$K1334))))</f>
      </c>
      <c r="L1335" s="43">
        <f>IF($I1335=0,0,$J1335*$H1335/100/12)</f>
      </c>
      <c r="M1335" s="43">
        <f>IF($I1335=0,0,IF(OR(INDEX(DarlOhneTilgung,3)=1,AND(INDEX(DarlTilgStart,3)&gt;0,$E1335&lt;INDEX(DarlTilgStart,3))),0,MIN(MAX(0,$K1335-$L1335),$J1335)))</f>
      </c>
      <c r="N1335" s="43">
        <f>IF($I1335=0,0,MIN(SUMIFS(SondBetrag,SondDarl,3,SondDatum,"&gt;="&amp;$E1335,SondDatum,"&lt;="&amp;EOMONTH($E1335,0)),$J1335-$M1335))</f>
      </c>
      <c r="O1335" s="43">
        <f>IF($I1335=0,0,INDEX(DarlErsatzRate,3))</f>
      </c>
      <c r="P1335" s="43">
        <f>IF($I1335=0,0,$Q1334*INDEX(DarlErsatzZins,3))</f>
      </c>
      <c r="Q1335" s="43">
        <f>IF($I1335=0,0,$Q1334+$P1335+$O1335)</f>
      </c>
      <c r="R1335" s="43">
        <f>IF($I1335=0,0,$J1335-$M1335-$N1335)</f>
      </c>
    </row>
    <row r="1336">
      <c r="A1336"/>
      <c r="B1336">
        <v>3</v>
      </c>
      <c r="C1336" s="43">
        <f>INDEX(DarlObj,3)</f>
      </c>
      <c r="D1336">
        <v>373</v>
      </c>
      <c r="E1336" s="51">
        <f>IF(INDEX(DarlBelegt,3)=0,0,EOMONTH(INDEX(DarlAuszahlung,3),372)+1)</f>
      </c>
      <c r="F1336" s="43">
        <f>IF($E1336=0,0,YEAR($E1336))</f>
      </c>
      <c r="G1336" s="43">
        <f>IF(INDEX(DarlBindung,3)="",1,IF($E1336&lt;=INDEX(DarlBindung,3),1,0))</f>
      </c>
      <c r="H1336" s="43">
        <f>IF($G1336=1,INDEX(DarlSollzins,3),INDEX(DarlAnschluss,3))</f>
      </c>
      <c r="I1336" s="43">
        <f>IF(INDEX(DarlBelegt,3)=0,0,IF(INDEX(DarlOhneTilgung,3)=1,IF(INDEX(DarlBindung,3)="",1,$G1336),IF($J1336&gt;0.005,1,0)))</f>
      </c>
      <c r="J1336" s="43">
        <f>IF($I1335=0,0,$R1335)</f>
      </c>
      <c r="K1336" s="43">
        <f>IF($I1336=0,0,IF(INDEX(DarlOhneTilgung,3)=1,0,IF(AND(INDEX(DarlTilgStart,3)&gt;0,$E1336=INDEX(DarlTilgStart,3)),$J1336*($H1336+INDEX(DarlTilgung,3))/100/12,IF(AND($G1336=0,$G1335=1),MAX($K1335,$J1336*($H1336+1)/100/12),$K1335))))</f>
      </c>
      <c r="L1336" s="43">
        <f>IF($I1336=0,0,$J1336*$H1336/100/12)</f>
      </c>
      <c r="M1336" s="43">
        <f>IF($I1336=0,0,IF(OR(INDEX(DarlOhneTilgung,3)=1,AND(INDEX(DarlTilgStart,3)&gt;0,$E1336&lt;INDEX(DarlTilgStart,3))),0,MIN(MAX(0,$K1336-$L1336),$J1336)))</f>
      </c>
      <c r="N1336" s="43">
        <f>IF($I1336=0,0,MIN(SUMIFS(SondBetrag,SondDarl,3,SondDatum,"&gt;="&amp;$E1336,SondDatum,"&lt;="&amp;EOMONTH($E1336,0)),$J1336-$M1336))</f>
      </c>
      <c r="O1336" s="43">
        <f>IF($I1336=0,0,INDEX(DarlErsatzRate,3))</f>
      </c>
      <c r="P1336" s="43">
        <f>IF($I1336=0,0,$Q1335*INDEX(DarlErsatzZins,3))</f>
      </c>
      <c r="Q1336" s="43">
        <f>IF($I1336=0,0,$Q1335+$P1336+$O1336)</f>
      </c>
      <c r="R1336" s="43">
        <f>IF($I1336=0,0,$J1336-$M1336-$N1336)</f>
      </c>
    </row>
    <row r="1337">
      <c r="A1337"/>
      <c r="B1337">
        <v>3</v>
      </c>
      <c r="C1337" s="43">
        <f>INDEX(DarlObj,3)</f>
      </c>
      <c r="D1337">
        <v>374</v>
      </c>
      <c r="E1337" s="51">
        <f>IF(INDEX(DarlBelegt,3)=0,0,EOMONTH(INDEX(DarlAuszahlung,3),373)+1)</f>
      </c>
      <c r="F1337" s="43">
        <f>IF($E1337=0,0,YEAR($E1337))</f>
      </c>
      <c r="G1337" s="43">
        <f>IF(INDEX(DarlBindung,3)="",1,IF($E1337&lt;=INDEX(DarlBindung,3),1,0))</f>
      </c>
      <c r="H1337" s="43">
        <f>IF($G1337=1,INDEX(DarlSollzins,3),INDEX(DarlAnschluss,3))</f>
      </c>
      <c r="I1337" s="43">
        <f>IF(INDEX(DarlBelegt,3)=0,0,IF(INDEX(DarlOhneTilgung,3)=1,IF(INDEX(DarlBindung,3)="",1,$G1337),IF($J1337&gt;0.005,1,0)))</f>
      </c>
      <c r="J1337" s="43">
        <f>IF($I1336=0,0,$R1336)</f>
      </c>
      <c r="K1337" s="43">
        <f>IF($I1337=0,0,IF(INDEX(DarlOhneTilgung,3)=1,0,IF(AND(INDEX(DarlTilgStart,3)&gt;0,$E1337=INDEX(DarlTilgStart,3)),$J1337*($H1337+INDEX(DarlTilgung,3))/100/12,IF(AND($G1337=0,$G1336=1),MAX($K1336,$J1337*($H1337+1)/100/12),$K1336))))</f>
      </c>
      <c r="L1337" s="43">
        <f>IF($I1337=0,0,$J1337*$H1337/100/12)</f>
      </c>
      <c r="M1337" s="43">
        <f>IF($I1337=0,0,IF(OR(INDEX(DarlOhneTilgung,3)=1,AND(INDEX(DarlTilgStart,3)&gt;0,$E1337&lt;INDEX(DarlTilgStart,3))),0,MIN(MAX(0,$K1337-$L1337),$J1337)))</f>
      </c>
      <c r="N1337" s="43">
        <f>IF($I1337=0,0,MIN(SUMIFS(SondBetrag,SondDarl,3,SondDatum,"&gt;="&amp;$E1337,SondDatum,"&lt;="&amp;EOMONTH($E1337,0)),$J1337-$M1337))</f>
      </c>
      <c r="O1337" s="43">
        <f>IF($I1337=0,0,INDEX(DarlErsatzRate,3))</f>
      </c>
      <c r="P1337" s="43">
        <f>IF($I1337=0,0,$Q1336*INDEX(DarlErsatzZins,3))</f>
      </c>
      <c r="Q1337" s="43">
        <f>IF($I1337=0,0,$Q1336+$P1337+$O1337)</f>
      </c>
      <c r="R1337" s="43">
        <f>IF($I1337=0,0,$J1337-$M1337-$N1337)</f>
      </c>
    </row>
    <row r="1338">
      <c r="A1338"/>
      <c r="B1338">
        <v>3</v>
      </c>
      <c r="C1338" s="43">
        <f>INDEX(DarlObj,3)</f>
      </c>
      <c r="D1338">
        <v>375</v>
      </c>
      <c r="E1338" s="51">
        <f>IF(INDEX(DarlBelegt,3)=0,0,EOMONTH(INDEX(DarlAuszahlung,3),374)+1)</f>
      </c>
      <c r="F1338" s="43">
        <f>IF($E1338=0,0,YEAR($E1338))</f>
      </c>
      <c r="G1338" s="43">
        <f>IF(INDEX(DarlBindung,3)="",1,IF($E1338&lt;=INDEX(DarlBindung,3),1,0))</f>
      </c>
      <c r="H1338" s="43">
        <f>IF($G1338=1,INDEX(DarlSollzins,3),INDEX(DarlAnschluss,3))</f>
      </c>
      <c r="I1338" s="43">
        <f>IF(INDEX(DarlBelegt,3)=0,0,IF(INDEX(DarlOhneTilgung,3)=1,IF(INDEX(DarlBindung,3)="",1,$G1338),IF($J1338&gt;0.005,1,0)))</f>
      </c>
      <c r="J1338" s="43">
        <f>IF($I1337=0,0,$R1337)</f>
      </c>
      <c r="K1338" s="43">
        <f>IF($I1338=0,0,IF(INDEX(DarlOhneTilgung,3)=1,0,IF(AND(INDEX(DarlTilgStart,3)&gt;0,$E1338=INDEX(DarlTilgStart,3)),$J1338*($H1338+INDEX(DarlTilgung,3))/100/12,IF(AND($G1338=0,$G1337=1),MAX($K1337,$J1338*($H1338+1)/100/12),$K1337))))</f>
      </c>
      <c r="L1338" s="43">
        <f>IF($I1338=0,0,$J1338*$H1338/100/12)</f>
      </c>
      <c r="M1338" s="43">
        <f>IF($I1338=0,0,IF(OR(INDEX(DarlOhneTilgung,3)=1,AND(INDEX(DarlTilgStart,3)&gt;0,$E1338&lt;INDEX(DarlTilgStart,3))),0,MIN(MAX(0,$K1338-$L1338),$J1338)))</f>
      </c>
      <c r="N1338" s="43">
        <f>IF($I1338=0,0,MIN(SUMIFS(SondBetrag,SondDarl,3,SondDatum,"&gt;="&amp;$E1338,SondDatum,"&lt;="&amp;EOMONTH($E1338,0)),$J1338-$M1338))</f>
      </c>
      <c r="O1338" s="43">
        <f>IF($I1338=0,0,INDEX(DarlErsatzRate,3))</f>
      </c>
      <c r="P1338" s="43">
        <f>IF($I1338=0,0,$Q1337*INDEX(DarlErsatzZins,3))</f>
      </c>
      <c r="Q1338" s="43">
        <f>IF($I1338=0,0,$Q1337+$P1338+$O1338)</f>
      </c>
      <c r="R1338" s="43">
        <f>IF($I1338=0,0,$J1338-$M1338-$N1338)</f>
      </c>
    </row>
    <row r="1339">
      <c r="A1339"/>
      <c r="B1339">
        <v>3</v>
      </c>
      <c r="C1339" s="43">
        <f>INDEX(DarlObj,3)</f>
      </c>
      <c r="D1339">
        <v>376</v>
      </c>
      <c r="E1339" s="51">
        <f>IF(INDEX(DarlBelegt,3)=0,0,EOMONTH(INDEX(DarlAuszahlung,3),375)+1)</f>
      </c>
      <c r="F1339" s="43">
        <f>IF($E1339=0,0,YEAR($E1339))</f>
      </c>
      <c r="G1339" s="43">
        <f>IF(INDEX(DarlBindung,3)="",1,IF($E1339&lt;=INDEX(DarlBindung,3),1,0))</f>
      </c>
      <c r="H1339" s="43">
        <f>IF($G1339=1,INDEX(DarlSollzins,3),INDEX(DarlAnschluss,3))</f>
      </c>
      <c r="I1339" s="43">
        <f>IF(INDEX(DarlBelegt,3)=0,0,IF(INDEX(DarlOhneTilgung,3)=1,IF(INDEX(DarlBindung,3)="",1,$G1339),IF($J1339&gt;0.005,1,0)))</f>
      </c>
      <c r="J1339" s="43">
        <f>IF($I1338=0,0,$R1338)</f>
      </c>
      <c r="K1339" s="43">
        <f>IF($I1339=0,0,IF(INDEX(DarlOhneTilgung,3)=1,0,IF(AND(INDEX(DarlTilgStart,3)&gt;0,$E1339=INDEX(DarlTilgStart,3)),$J1339*($H1339+INDEX(DarlTilgung,3))/100/12,IF(AND($G1339=0,$G1338=1),MAX($K1338,$J1339*($H1339+1)/100/12),$K1338))))</f>
      </c>
      <c r="L1339" s="43">
        <f>IF($I1339=0,0,$J1339*$H1339/100/12)</f>
      </c>
      <c r="M1339" s="43">
        <f>IF($I1339=0,0,IF(OR(INDEX(DarlOhneTilgung,3)=1,AND(INDEX(DarlTilgStart,3)&gt;0,$E1339&lt;INDEX(DarlTilgStart,3))),0,MIN(MAX(0,$K1339-$L1339),$J1339)))</f>
      </c>
      <c r="N1339" s="43">
        <f>IF($I1339=0,0,MIN(SUMIFS(SondBetrag,SondDarl,3,SondDatum,"&gt;="&amp;$E1339,SondDatum,"&lt;="&amp;EOMONTH($E1339,0)),$J1339-$M1339))</f>
      </c>
      <c r="O1339" s="43">
        <f>IF($I1339=0,0,INDEX(DarlErsatzRate,3))</f>
      </c>
      <c r="P1339" s="43">
        <f>IF($I1339=0,0,$Q1338*INDEX(DarlErsatzZins,3))</f>
      </c>
      <c r="Q1339" s="43">
        <f>IF($I1339=0,0,$Q1338+$P1339+$O1339)</f>
      </c>
      <c r="R1339" s="43">
        <f>IF($I1339=0,0,$J1339-$M1339-$N1339)</f>
      </c>
    </row>
    <row r="1340">
      <c r="A1340"/>
      <c r="B1340">
        <v>3</v>
      </c>
      <c r="C1340" s="43">
        <f>INDEX(DarlObj,3)</f>
      </c>
      <c r="D1340">
        <v>377</v>
      </c>
      <c r="E1340" s="51">
        <f>IF(INDEX(DarlBelegt,3)=0,0,EOMONTH(INDEX(DarlAuszahlung,3),376)+1)</f>
      </c>
      <c r="F1340" s="43">
        <f>IF($E1340=0,0,YEAR($E1340))</f>
      </c>
      <c r="G1340" s="43">
        <f>IF(INDEX(DarlBindung,3)="",1,IF($E1340&lt;=INDEX(DarlBindung,3),1,0))</f>
      </c>
      <c r="H1340" s="43">
        <f>IF($G1340=1,INDEX(DarlSollzins,3),INDEX(DarlAnschluss,3))</f>
      </c>
      <c r="I1340" s="43">
        <f>IF(INDEX(DarlBelegt,3)=0,0,IF(INDEX(DarlOhneTilgung,3)=1,IF(INDEX(DarlBindung,3)="",1,$G1340),IF($J1340&gt;0.005,1,0)))</f>
      </c>
      <c r="J1340" s="43">
        <f>IF($I1339=0,0,$R1339)</f>
      </c>
      <c r="K1340" s="43">
        <f>IF($I1340=0,0,IF(INDEX(DarlOhneTilgung,3)=1,0,IF(AND(INDEX(DarlTilgStart,3)&gt;0,$E1340=INDEX(DarlTilgStart,3)),$J1340*($H1340+INDEX(DarlTilgung,3))/100/12,IF(AND($G1340=0,$G1339=1),MAX($K1339,$J1340*($H1340+1)/100/12),$K1339))))</f>
      </c>
      <c r="L1340" s="43">
        <f>IF($I1340=0,0,$J1340*$H1340/100/12)</f>
      </c>
      <c r="M1340" s="43">
        <f>IF($I1340=0,0,IF(OR(INDEX(DarlOhneTilgung,3)=1,AND(INDEX(DarlTilgStart,3)&gt;0,$E1340&lt;INDEX(DarlTilgStart,3))),0,MIN(MAX(0,$K1340-$L1340),$J1340)))</f>
      </c>
      <c r="N1340" s="43">
        <f>IF($I1340=0,0,MIN(SUMIFS(SondBetrag,SondDarl,3,SondDatum,"&gt;="&amp;$E1340,SondDatum,"&lt;="&amp;EOMONTH($E1340,0)),$J1340-$M1340))</f>
      </c>
      <c r="O1340" s="43">
        <f>IF($I1340=0,0,INDEX(DarlErsatzRate,3))</f>
      </c>
      <c r="P1340" s="43">
        <f>IF($I1340=0,0,$Q1339*INDEX(DarlErsatzZins,3))</f>
      </c>
      <c r="Q1340" s="43">
        <f>IF($I1340=0,0,$Q1339+$P1340+$O1340)</f>
      </c>
      <c r="R1340" s="43">
        <f>IF($I1340=0,0,$J1340-$M1340-$N1340)</f>
      </c>
    </row>
    <row r="1341">
      <c r="A1341"/>
      <c r="B1341">
        <v>3</v>
      </c>
      <c r="C1341" s="43">
        <f>INDEX(DarlObj,3)</f>
      </c>
      <c r="D1341">
        <v>378</v>
      </c>
      <c r="E1341" s="51">
        <f>IF(INDEX(DarlBelegt,3)=0,0,EOMONTH(INDEX(DarlAuszahlung,3),377)+1)</f>
      </c>
      <c r="F1341" s="43">
        <f>IF($E1341=0,0,YEAR($E1341))</f>
      </c>
      <c r="G1341" s="43">
        <f>IF(INDEX(DarlBindung,3)="",1,IF($E1341&lt;=INDEX(DarlBindung,3),1,0))</f>
      </c>
      <c r="H1341" s="43">
        <f>IF($G1341=1,INDEX(DarlSollzins,3),INDEX(DarlAnschluss,3))</f>
      </c>
      <c r="I1341" s="43">
        <f>IF(INDEX(DarlBelegt,3)=0,0,IF(INDEX(DarlOhneTilgung,3)=1,IF(INDEX(DarlBindung,3)="",1,$G1341),IF($J1341&gt;0.005,1,0)))</f>
      </c>
      <c r="J1341" s="43">
        <f>IF($I1340=0,0,$R1340)</f>
      </c>
      <c r="K1341" s="43">
        <f>IF($I1341=0,0,IF(INDEX(DarlOhneTilgung,3)=1,0,IF(AND(INDEX(DarlTilgStart,3)&gt;0,$E1341=INDEX(DarlTilgStart,3)),$J1341*($H1341+INDEX(DarlTilgung,3))/100/12,IF(AND($G1341=0,$G1340=1),MAX($K1340,$J1341*($H1341+1)/100/12),$K1340))))</f>
      </c>
      <c r="L1341" s="43">
        <f>IF($I1341=0,0,$J1341*$H1341/100/12)</f>
      </c>
      <c r="M1341" s="43">
        <f>IF($I1341=0,0,IF(OR(INDEX(DarlOhneTilgung,3)=1,AND(INDEX(DarlTilgStart,3)&gt;0,$E1341&lt;INDEX(DarlTilgStart,3))),0,MIN(MAX(0,$K1341-$L1341),$J1341)))</f>
      </c>
      <c r="N1341" s="43">
        <f>IF($I1341=0,0,MIN(SUMIFS(SondBetrag,SondDarl,3,SondDatum,"&gt;="&amp;$E1341,SondDatum,"&lt;="&amp;EOMONTH($E1341,0)),$J1341-$M1341))</f>
      </c>
      <c r="O1341" s="43">
        <f>IF($I1341=0,0,INDEX(DarlErsatzRate,3))</f>
      </c>
      <c r="P1341" s="43">
        <f>IF($I1341=0,0,$Q1340*INDEX(DarlErsatzZins,3))</f>
      </c>
      <c r="Q1341" s="43">
        <f>IF($I1341=0,0,$Q1340+$P1341+$O1341)</f>
      </c>
      <c r="R1341" s="43">
        <f>IF($I1341=0,0,$J1341-$M1341-$N1341)</f>
      </c>
    </row>
    <row r="1342">
      <c r="A1342"/>
      <c r="B1342">
        <v>3</v>
      </c>
      <c r="C1342" s="43">
        <f>INDEX(DarlObj,3)</f>
      </c>
      <c r="D1342">
        <v>379</v>
      </c>
      <c r="E1342" s="51">
        <f>IF(INDEX(DarlBelegt,3)=0,0,EOMONTH(INDEX(DarlAuszahlung,3),378)+1)</f>
      </c>
      <c r="F1342" s="43">
        <f>IF($E1342=0,0,YEAR($E1342))</f>
      </c>
      <c r="G1342" s="43">
        <f>IF(INDEX(DarlBindung,3)="",1,IF($E1342&lt;=INDEX(DarlBindung,3),1,0))</f>
      </c>
      <c r="H1342" s="43">
        <f>IF($G1342=1,INDEX(DarlSollzins,3),INDEX(DarlAnschluss,3))</f>
      </c>
      <c r="I1342" s="43">
        <f>IF(INDEX(DarlBelegt,3)=0,0,IF(INDEX(DarlOhneTilgung,3)=1,IF(INDEX(DarlBindung,3)="",1,$G1342),IF($J1342&gt;0.005,1,0)))</f>
      </c>
      <c r="J1342" s="43">
        <f>IF($I1341=0,0,$R1341)</f>
      </c>
      <c r="K1342" s="43">
        <f>IF($I1342=0,0,IF(INDEX(DarlOhneTilgung,3)=1,0,IF(AND(INDEX(DarlTilgStart,3)&gt;0,$E1342=INDEX(DarlTilgStart,3)),$J1342*($H1342+INDEX(DarlTilgung,3))/100/12,IF(AND($G1342=0,$G1341=1),MAX($K1341,$J1342*($H1342+1)/100/12),$K1341))))</f>
      </c>
      <c r="L1342" s="43">
        <f>IF($I1342=0,0,$J1342*$H1342/100/12)</f>
      </c>
      <c r="M1342" s="43">
        <f>IF($I1342=0,0,IF(OR(INDEX(DarlOhneTilgung,3)=1,AND(INDEX(DarlTilgStart,3)&gt;0,$E1342&lt;INDEX(DarlTilgStart,3))),0,MIN(MAX(0,$K1342-$L1342),$J1342)))</f>
      </c>
      <c r="N1342" s="43">
        <f>IF($I1342=0,0,MIN(SUMIFS(SondBetrag,SondDarl,3,SondDatum,"&gt;="&amp;$E1342,SondDatum,"&lt;="&amp;EOMONTH($E1342,0)),$J1342-$M1342))</f>
      </c>
      <c r="O1342" s="43">
        <f>IF($I1342=0,0,INDEX(DarlErsatzRate,3))</f>
      </c>
      <c r="P1342" s="43">
        <f>IF($I1342=0,0,$Q1341*INDEX(DarlErsatzZins,3))</f>
      </c>
      <c r="Q1342" s="43">
        <f>IF($I1342=0,0,$Q1341+$P1342+$O1342)</f>
      </c>
      <c r="R1342" s="43">
        <f>IF($I1342=0,0,$J1342-$M1342-$N1342)</f>
      </c>
    </row>
    <row r="1343">
      <c r="A1343"/>
      <c r="B1343">
        <v>3</v>
      </c>
      <c r="C1343" s="43">
        <f>INDEX(DarlObj,3)</f>
      </c>
      <c r="D1343">
        <v>380</v>
      </c>
      <c r="E1343" s="51">
        <f>IF(INDEX(DarlBelegt,3)=0,0,EOMONTH(INDEX(DarlAuszahlung,3),379)+1)</f>
      </c>
      <c r="F1343" s="43">
        <f>IF($E1343=0,0,YEAR($E1343))</f>
      </c>
      <c r="G1343" s="43">
        <f>IF(INDEX(DarlBindung,3)="",1,IF($E1343&lt;=INDEX(DarlBindung,3),1,0))</f>
      </c>
      <c r="H1343" s="43">
        <f>IF($G1343=1,INDEX(DarlSollzins,3),INDEX(DarlAnschluss,3))</f>
      </c>
      <c r="I1343" s="43">
        <f>IF(INDEX(DarlBelegt,3)=0,0,IF(INDEX(DarlOhneTilgung,3)=1,IF(INDEX(DarlBindung,3)="",1,$G1343),IF($J1343&gt;0.005,1,0)))</f>
      </c>
      <c r="J1343" s="43">
        <f>IF($I1342=0,0,$R1342)</f>
      </c>
      <c r="K1343" s="43">
        <f>IF($I1343=0,0,IF(INDEX(DarlOhneTilgung,3)=1,0,IF(AND(INDEX(DarlTilgStart,3)&gt;0,$E1343=INDEX(DarlTilgStart,3)),$J1343*($H1343+INDEX(DarlTilgung,3))/100/12,IF(AND($G1343=0,$G1342=1),MAX($K1342,$J1343*($H1343+1)/100/12),$K1342))))</f>
      </c>
      <c r="L1343" s="43">
        <f>IF($I1343=0,0,$J1343*$H1343/100/12)</f>
      </c>
      <c r="M1343" s="43">
        <f>IF($I1343=0,0,IF(OR(INDEX(DarlOhneTilgung,3)=1,AND(INDEX(DarlTilgStart,3)&gt;0,$E1343&lt;INDEX(DarlTilgStart,3))),0,MIN(MAX(0,$K1343-$L1343),$J1343)))</f>
      </c>
      <c r="N1343" s="43">
        <f>IF($I1343=0,0,MIN(SUMIFS(SondBetrag,SondDarl,3,SondDatum,"&gt;="&amp;$E1343,SondDatum,"&lt;="&amp;EOMONTH($E1343,0)),$J1343-$M1343))</f>
      </c>
      <c r="O1343" s="43">
        <f>IF($I1343=0,0,INDEX(DarlErsatzRate,3))</f>
      </c>
      <c r="P1343" s="43">
        <f>IF($I1343=0,0,$Q1342*INDEX(DarlErsatzZins,3))</f>
      </c>
      <c r="Q1343" s="43">
        <f>IF($I1343=0,0,$Q1342+$P1343+$O1343)</f>
      </c>
      <c r="R1343" s="43">
        <f>IF($I1343=0,0,$J1343-$M1343-$N1343)</f>
      </c>
    </row>
    <row r="1344">
      <c r="A1344"/>
      <c r="B1344">
        <v>3</v>
      </c>
      <c r="C1344" s="43">
        <f>INDEX(DarlObj,3)</f>
      </c>
      <c r="D1344">
        <v>381</v>
      </c>
      <c r="E1344" s="51">
        <f>IF(INDEX(DarlBelegt,3)=0,0,EOMONTH(INDEX(DarlAuszahlung,3),380)+1)</f>
      </c>
      <c r="F1344" s="43">
        <f>IF($E1344=0,0,YEAR($E1344))</f>
      </c>
      <c r="G1344" s="43">
        <f>IF(INDEX(DarlBindung,3)="",1,IF($E1344&lt;=INDEX(DarlBindung,3),1,0))</f>
      </c>
      <c r="H1344" s="43">
        <f>IF($G1344=1,INDEX(DarlSollzins,3),INDEX(DarlAnschluss,3))</f>
      </c>
      <c r="I1344" s="43">
        <f>IF(INDEX(DarlBelegt,3)=0,0,IF(INDEX(DarlOhneTilgung,3)=1,IF(INDEX(DarlBindung,3)="",1,$G1344),IF($J1344&gt;0.005,1,0)))</f>
      </c>
      <c r="J1344" s="43">
        <f>IF($I1343=0,0,$R1343)</f>
      </c>
      <c r="K1344" s="43">
        <f>IF($I1344=0,0,IF(INDEX(DarlOhneTilgung,3)=1,0,IF(AND(INDEX(DarlTilgStart,3)&gt;0,$E1344=INDEX(DarlTilgStart,3)),$J1344*($H1344+INDEX(DarlTilgung,3))/100/12,IF(AND($G1344=0,$G1343=1),MAX($K1343,$J1344*($H1344+1)/100/12),$K1343))))</f>
      </c>
      <c r="L1344" s="43">
        <f>IF($I1344=0,0,$J1344*$H1344/100/12)</f>
      </c>
      <c r="M1344" s="43">
        <f>IF($I1344=0,0,IF(OR(INDEX(DarlOhneTilgung,3)=1,AND(INDEX(DarlTilgStart,3)&gt;0,$E1344&lt;INDEX(DarlTilgStart,3))),0,MIN(MAX(0,$K1344-$L1344),$J1344)))</f>
      </c>
      <c r="N1344" s="43">
        <f>IF($I1344=0,0,MIN(SUMIFS(SondBetrag,SondDarl,3,SondDatum,"&gt;="&amp;$E1344,SondDatum,"&lt;="&amp;EOMONTH($E1344,0)),$J1344-$M1344))</f>
      </c>
      <c r="O1344" s="43">
        <f>IF($I1344=0,0,INDEX(DarlErsatzRate,3))</f>
      </c>
      <c r="P1344" s="43">
        <f>IF($I1344=0,0,$Q1343*INDEX(DarlErsatzZins,3))</f>
      </c>
      <c r="Q1344" s="43">
        <f>IF($I1344=0,0,$Q1343+$P1344+$O1344)</f>
      </c>
      <c r="R1344" s="43">
        <f>IF($I1344=0,0,$J1344-$M1344-$N1344)</f>
      </c>
    </row>
    <row r="1345">
      <c r="A1345"/>
      <c r="B1345">
        <v>3</v>
      </c>
      <c r="C1345" s="43">
        <f>INDEX(DarlObj,3)</f>
      </c>
      <c r="D1345">
        <v>382</v>
      </c>
      <c r="E1345" s="51">
        <f>IF(INDEX(DarlBelegt,3)=0,0,EOMONTH(INDEX(DarlAuszahlung,3),381)+1)</f>
      </c>
      <c r="F1345" s="43">
        <f>IF($E1345=0,0,YEAR($E1345))</f>
      </c>
      <c r="G1345" s="43">
        <f>IF(INDEX(DarlBindung,3)="",1,IF($E1345&lt;=INDEX(DarlBindung,3),1,0))</f>
      </c>
      <c r="H1345" s="43">
        <f>IF($G1345=1,INDEX(DarlSollzins,3),INDEX(DarlAnschluss,3))</f>
      </c>
      <c r="I1345" s="43">
        <f>IF(INDEX(DarlBelegt,3)=0,0,IF(INDEX(DarlOhneTilgung,3)=1,IF(INDEX(DarlBindung,3)="",1,$G1345),IF($J1345&gt;0.005,1,0)))</f>
      </c>
      <c r="J1345" s="43">
        <f>IF($I1344=0,0,$R1344)</f>
      </c>
      <c r="K1345" s="43">
        <f>IF($I1345=0,0,IF(INDEX(DarlOhneTilgung,3)=1,0,IF(AND(INDEX(DarlTilgStart,3)&gt;0,$E1345=INDEX(DarlTilgStart,3)),$J1345*($H1345+INDEX(DarlTilgung,3))/100/12,IF(AND($G1345=0,$G1344=1),MAX($K1344,$J1345*($H1345+1)/100/12),$K1344))))</f>
      </c>
      <c r="L1345" s="43">
        <f>IF($I1345=0,0,$J1345*$H1345/100/12)</f>
      </c>
      <c r="M1345" s="43">
        <f>IF($I1345=0,0,IF(OR(INDEX(DarlOhneTilgung,3)=1,AND(INDEX(DarlTilgStart,3)&gt;0,$E1345&lt;INDEX(DarlTilgStart,3))),0,MIN(MAX(0,$K1345-$L1345),$J1345)))</f>
      </c>
      <c r="N1345" s="43">
        <f>IF($I1345=0,0,MIN(SUMIFS(SondBetrag,SondDarl,3,SondDatum,"&gt;="&amp;$E1345,SondDatum,"&lt;="&amp;EOMONTH($E1345,0)),$J1345-$M1345))</f>
      </c>
      <c r="O1345" s="43">
        <f>IF($I1345=0,0,INDEX(DarlErsatzRate,3))</f>
      </c>
      <c r="P1345" s="43">
        <f>IF($I1345=0,0,$Q1344*INDEX(DarlErsatzZins,3))</f>
      </c>
      <c r="Q1345" s="43">
        <f>IF($I1345=0,0,$Q1344+$P1345+$O1345)</f>
      </c>
      <c r="R1345" s="43">
        <f>IF($I1345=0,0,$J1345-$M1345-$N1345)</f>
      </c>
    </row>
    <row r="1346">
      <c r="A1346"/>
      <c r="B1346">
        <v>3</v>
      </c>
      <c r="C1346" s="43">
        <f>INDEX(DarlObj,3)</f>
      </c>
      <c r="D1346">
        <v>383</v>
      </c>
      <c r="E1346" s="51">
        <f>IF(INDEX(DarlBelegt,3)=0,0,EOMONTH(INDEX(DarlAuszahlung,3),382)+1)</f>
      </c>
      <c r="F1346" s="43">
        <f>IF($E1346=0,0,YEAR($E1346))</f>
      </c>
      <c r="G1346" s="43">
        <f>IF(INDEX(DarlBindung,3)="",1,IF($E1346&lt;=INDEX(DarlBindung,3),1,0))</f>
      </c>
      <c r="H1346" s="43">
        <f>IF($G1346=1,INDEX(DarlSollzins,3),INDEX(DarlAnschluss,3))</f>
      </c>
      <c r="I1346" s="43">
        <f>IF(INDEX(DarlBelegt,3)=0,0,IF(INDEX(DarlOhneTilgung,3)=1,IF(INDEX(DarlBindung,3)="",1,$G1346),IF($J1346&gt;0.005,1,0)))</f>
      </c>
      <c r="J1346" s="43">
        <f>IF($I1345=0,0,$R1345)</f>
      </c>
      <c r="K1346" s="43">
        <f>IF($I1346=0,0,IF(INDEX(DarlOhneTilgung,3)=1,0,IF(AND(INDEX(DarlTilgStart,3)&gt;0,$E1346=INDEX(DarlTilgStart,3)),$J1346*($H1346+INDEX(DarlTilgung,3))/100/12,IF(AND($G1346=0,$G1345=1),MAX($K1345,$J1346*($H1346+1)/100/12),$K1345))))</f>
      </c>
      <c r="L1346" s="43">
        <f>IF($I1346=0,0,$J1346*$H1346/100/12)</f>
      </c>
      <c r="M1346" s="43">
        <f>IF($I1346=0,0,IF(OR(INDEX(DarlOhneTilgung,3)=1,AND(INDEX(DarlTilgStart,3)&gt;0,$E1346&lt;INDEX(DarlTilgStart,3))),0,MIN(MAX(0,$K1346-$L1346),$J1346)))</f>
      </c>
      <c r="N1346" s="43">
        <f>IF($I1346=0,0,MIN(SUMIFS(SondBetrag,SondDarl,3,SondDatum,"&gt;="&amp;$E1346,SondDatum,"&lt;="&amp;EOMONTH($E1346,0)),$J1346-$M1346))</f>
      </c>
      <c r="O1346" s="43">
        <f>IF($I1346=0,0,INDEX(DarlErsatzRate,3))</f>
      </c>
      <c r="P1346" s="43">
        <f>IF($I1346=0,0,$Q1345*INDEX(DarlErsatzZins,3))</f>
      </c>
      <c r="Q1346" s="43">
        <f>IF($I1346=0,0,$Q1345+$P1346+$O1346)</f>
      </c>
      <c r="R1346" s="43">
        <f>IF($I1346=0,0,$J1346-$M1346-$N1346)</f>
      </c>
    </row>
    <row r="1347">
      <c r="A1347"/>
      <c r="B1347">
        <v>3</v>
      </c>
      <c r="C1347" s="43">
        <f>INDEX(DarlObj,3)</f>
      </c>
      <c r="D1347">
        <v>384</v>
      </c>
      <c r="E1347" s="51">
        <f>IF(INDEX(DarlBelegt,3)=0,0,EOMONTH(INDEX(DarlAuszahlung,3),383)+1)</f>
      </c>
      <c r="F1347" s="43">
        <f>IF($E1347=0,0,YEAR($E1347))</f>
      </c>
      <c r="G1347" s="43">
        <f>IF(INDEX(DarlBindung,3)="",1,IF($E1347&lt;=INDEX(DarlBindung,3),1,0))</f>
      </c>
      <c r="H1347" s="43">
        <f>IF($G1347=1,INDEX(DarlSollzins,3),INDEX(DarlAnschluss,3))</f>
      </c>
      <c r="I1347" s="43">
        <f>IF(INDEX(DarlBelegt,3)=0,0,IF(INDEX(DarlOhneTilgung,3)=1,IF(INDEX(DarlBindung,3)="",1,$G1347),IF($J1347&gt;0.005,1,0)))</f>
      </c>
      <c r="J1347" s="43">
        <f>IF($I1346=0,0,$R1346)</f>
      </c>
      <c r="K1347" s="43">
        <f>IF($I1347=0,0,IF(INDEX(DarlOhneTilgung,3)=1,0,IF(AND(INDEX(DarlTilgStart,3)&gt;0,$E1347=INDEX(DarlTilgStart,3)),$J1347*($H1347+INDEX(DarlTilgung,3))/100/12,IF(AND($G1347=0,$G1346=1),MAX($K1346,$J1347*($H1347+1)/100/12),$K1346))))</f>
      </c>
      <c r="L1347" s="43">
        <f>IF($I1347=0,0,$J1347*$H1347/100/12)</f>
      </c>
      <c r="M1347" s="43">
        <f>IF($I1347=0,0,IF(OR(INDEX(DarlOhneTilgung,3)=1,AND(INDEX(DarlTilgStart,3)&gt;0,$E1347&lt;INDEX(DarlTilgStart,3))),0,MIN(MAX(0,$K1347-$L1347),$J1347)))</f>
      </c>
      <c r="N1347" s="43">
        <f>IF($I1347=0,0,MIN(SUMIFS(SondBetrag,SondDarl,3,SondDatum,"&gt;="&amp;$E1347,SondDatum,"&lt;="&amp;EOMONTH($E1347,0)),$J1347-$M1347))</f>
      </c>
      <c r="O1347" s="43">
        <f>IF($I1347=0,0,INDEX(DarlErsatzRate,3))</f>
      </c>
      <c r="P1347" s="43">
        <f>IF($I1347=0,0,$Q1346*INDEX(DarlErsatzZins,3))</f>
      </c>
      <c r="Q1347" s="43">
        <f>IF($I1347=0,0,$Q1346+$P1347+$O1347)</f>
      </c>
      <c r="R1347" s="43">
        <f>IF($I1347=0,0,$J1347-$M1347-$N1347)</f>
      </c>
    </row>
    <row r="1348">
      <c r="A1348"/>
      <c r="B1348">
        <v>3</v>
      </c>
      <c r="C1348" s="43">
        <f>INDEX(DarlObj,3)</f>
      </c>
      <c r="D1348">
        <v>385</v>
      </c>
      <c r="E1348" s="51">
        <f>IF(INDEX(DarlBelegt,3)=0,0,EOMONTH(INDEX(DarlAuszahlung,3),384)+1)</f>
      </c>
      <c r="F1348" s="43">
        <f>IF($E1348=0,0,YEAR($E1348))</f>
      </c>
      <c r="G1348" s="43">
        <f>IF(INDEX(DarlBindung,3)="",1,IF($E1348&lt;=INDEX(DarlBindung,3),1,0))</f>
      </c>
      <c r="H1348" s="43">
        <f>IF($G1348=1,INDEX(DarlSollzins,3),INDEX(DarlAnschluss,3))</f>
      </c>
      <c r="I1348" s="43">
        <f>IF(INDEX(DarlBelegt,3)=0,0,IF(INDEX(DarlOhneTilgung,3)=1,IF(INDEX(DarlBindung,3)="",1,$G1348),IF($J1348&gt;0.005,1,0)))</f>
      </c>
      <c r="J1348" s="43">
        <f>IF($I1347=0,0,$R1347)</f>
      </c>
      <c r="K1348" s="43">
        <f>IF($I1348=0,0,IF(INDEX(DarlOhneTilgung,3)=1,0,IF(AND(INDEX(DarlTilgStart,3)&gt;0,$E1348=INDEX(DarlTilgStart,3)),$J1348*($H1348+INDEX(DarlTilgung,3))/100/12,IF(AND($G1348=0,$G1347=1),MAX($K1347,$J1348*($H1348+1)/100/12),$K1347))))</f>
      </c>
      <c r="L1348" s="43">
        <f>IF($I1348=0,0,$J1348*$H1348/100/12)</f>
      </c>
      <c r="M1348" s="43">
        <f>IF($I1348=0,0,IF(OR(INDEX(DarlOhneTilgung,3)=1,AND(INDEX(DarlTilgStart,3)&gt;0,$E1348&lt;INDEX(DarlTilgStart,3))),0,MIN(MAX(0,$K1348-$L1348),$J1348)))</f>
      </c>
      <c r="N1348" s="43">
        <f>IF($I1348=0,0,MIN(SUMIFS(SondBetrag,SondDarl,3,SondDatum,"&gt;="&amp;$E1348,SondDatum,"&lt;="&amp;EOMONTH($E1348,0)),$J1348-$M1348))</f>
      </c>
      <c r="O1348" s="43">
        <f>IF($I1348=0,0,INDEX(DarlErsatzRate,3))</f>
      </c>
      <c r="P1348" s="43">
        <f>IF($I1348=0,0,$Q1347*INDEX(DarlErsatzZins,3))</f>
      </c>
      <c r="Q1348" s="43">
        <f>IF($I1348=0,0,$Q1347+$P1348+$O1348)</f>
      </c>
      <c r="R1348" s="43">
        <f>IF($I1348=0,0,$J1348-$M1348-$N1348)</f>
      </c>
    </row>
    <row r="1349">
      <c r="A1349"/>
      <c r="B1349">
        <v>3</v>
      </c>
      <c r="C1349" s="43">
        <f>INDEX(DarlObj,3)</f>
      </c>
      <c r="D1349">
        <v>386</v>
      </c>
      <c r="E1349" s="51">
        <f>IF(INDEX(DarlBelegt,3)=0,0,EOMONTH(INDEX(DarlAuszahlung,3),385)+1)</f>
      </c>
      <c r="F1349" s="43">
        <f>IF($E1349=0,0,YEAR($E1349))</f>
      </c>
      <c r="G1349" s="43">
        <f>IF(INDEX(DarlBindung,3)="",1,IF($E1349&lt;=INDEX(DarlBindung,3),1,0))</f>
      </c>
      <c r="H1349" s="43">
        <f>IF($G1349=1,INDEX(DarlSollzins,3),INDEX(DarlAnschluss,3))</f>
      </c>
      <c r="I1349" s="43">
        <f>IF(INDEX(DarlBelegt,3)=0,0,IF(INDEX(DarlOhneTilgung,3)=1,IF(INDEX(DarlBindung,3)="",1,$G1349),IF($J1349&gt;0.005,1,0)))</f>
      </c>
      <c r="J1349" s="43">
        <f>IF($I1348=0,0,$R1348)</f>
      </c>
      <c r="K1349" s="43">
        <f>IF($I1349=0,0,IF(INDEX(DarlOhneTilgung,3)=1,0,IF(AND(INDEX(DarlTilgStart,3)&gt;0,$E1349=INDEX(DarlTilgStart,3)),$J1349*($H1349+INDEX(DarlTilgung,3))/100/12,IF(AND($G1349=0,$G1348=1),MAX($K1348,$J1349*($H1349+1)/100/12),$K1348))))</f>
      </c>
      <c r="L1349" s="43">
        <f>IF($I1349=0,0,$J1349*$H1349/100/12)</f>
      </c>
      <c r="M1349" s="43">
        <f>IF($I1349=0,0,IF(OR(INDEX(DarlOhneTilgung,3)=1,AND(INDEX(DarlTilgStart,3)&gt;0,$E1349&lt;INDEX(DarlTilgStart,3))),0,MIN(MAX(0,$K1349-$L1349),$J1349)))</f>
      </c>
      <c r="N1349" s="43">
        <f>IF($I1349=0,0,MIN(SUMIFS(SondBetrag,SondDarl,3,SondDatum,"&gt;="&amp;$E1349,SondDatum,"&lt;="&amp;EOMONTH($E1349,0)),$J1349-$M1349))</f>
      </c>
      <c r="O1349" s="43">
        <f>IF($I1349=0,0,INDEX(DarlErsatzRate,3))</f>
      </c>
      <c r="P1349" s="43">
        <f>IF($I1349=0,0,$Q1348*INDEX(DarlErsatzZins,3))</f>
      </c>
      <c r="Q1349" s="43">
        <f>IF($I1349=0,0,$Q1348+$P1349+$O1349)</f>
      </c>
      <c r="R1349" s="43">
        <f>IF($I1349=0,0,$J1349-$M1349-$N1349)</f>
      </c>
    </row>
    <row r="1350">
      <c r="A1350"/>
      <c r="B1350">
        <v>3</v>
      </c>
      <c r="C1350" s="43">
        <f>INDEX(DarlObj,3)</f>
      </c>
      <c r="D1350">
        <v>387</v>
      </c>
      <c r="E1350" s="51">
        <f>IF(INDEX(DarlBelegt,3)=0,0,EOMONTH(INDEX(DarlAuszahlung,3),386)+1)</f>
      </c>
      <c r="F1350" s="43">
        <f>IF($E1350=0,0,YEAR($E1350))</f>
      </c>
      <c r="G1350" s="43">
        <f>IF(INDEX(DarlBindung,3)="",1,IF($E1350&lt;=INDEX(DarlBindung,3),1,0))</f>
      </c>
      <c r="H1350" s="43">
        <f>IF($G1350=1,INDEX(DarlSollzins,3),INDEX(DarlAnschluss,3))</f>
      </c>
      <c r="I1350" s="43">
        <f>IF(INDEX(DarlBelegt,3)=0,0,IF(INDEX(DarlOhneTilgung,3)=1,IF(INDEX(DarlBindung,3)="",1,$G1350),IF($J1350&gt;0.005,1,0)))</f>
      </c>
      <c r="J1350" s="43">
        <f>IF($I1349=0,0,$R1349)</f>
      </c>
      <c r="K1350" s="43">
        <f>IF($I1350=0,0,IF(INDEX(DarlOhneTilgung,3)=1,0,IF(AND(INDEX(DarlTilgStart,3)&gt;0,$E1350=INDEX(DarlTilgStart,3)),$J1350*($H1350+INDEX(DarlTilgung,3))/100/12,IF(AND($G1350=0,$G1349=1),MAX($K1349,$J1350*($H1350+1)/100/12),$K1349))))</f>
      </c>
      <c r="L1350" s="43">
        <f>IF($I1350=0,0,$J1350*$H1350/100/12)</f>
      </c>
      <c r="M1350" s="43">
        <f>IF($I1350=0,0,IF(OR(INDEX(DarlOhneTilgung,3)=1,AND(INDEX(DarlTilgStart,3)&gt;0,$E1350&lt;INDEX(DarlTilgStart,3))),0,MIN(MAX(0,$K1350-$L1350),$J1350)))</f>
      </c>
      <c r="N1350" s="43">
        <f>IF($I1350=0,0,MIN(SUMIFS(SondBetrag,SondDarl,3,SondDatum,"&gt;="&amp;$E1350,SondDatum,"&lt;="&amp;EOMONTH($E1350,0)),$J1350-$M1350))</f>
      </c>
      <c r="O1350" s="43">
        <f>IF($I1350=0,0,INDEX(DarlErsatzRate,3))</f>
      </c>
      <c r="P1350" s="43">
        <f>IF($I1350=0,0,$Q1349*INDEX(DarlErsatzZins,3))</f>
      </c>
      <c r="Q1350" s="43">
        <f>IF($I1350=0,0,$Q1349+$P1350+$O1350)</f>
      </c>
      <c r="R1350" s="43">
        <f>IF($I1350=0,0,$J1350-$M1350-$N1350)</f>
      </c>
    </row>
    <row r="1351">
      <c r="A1351"/>
      <c r="B1351">
        <v>3</v>
      </c>
      <c r="C1351" s="43">
        <f>INDEX(DarlObj,3)</f>
      </c>
      <c r="D1351">
        <v>388</v>
      </c>
      <c r="E1351" s="51">
        <f>IF(INDEX(DarlBelegt,3)=0,0,EOMONTH(INDEX(DarlAuszahlung,3),387)+1)</f>
      </c>
      <c r="F1351" s="43">
        <f>IF($E1351=0,0,YEAR($E1351))</f>
      </c>
      <c r="G1351" s="43">
        <f>IF(INDEX(DarlBindung,3)="",1,IF($E1351&lt;=INDEX(DarlBindung,3),1,0))</f>
      </c>
      <c r="H1351" s="43">
        <f>IF($G1351=1,INDEX(DarlSollzins,3),INDEX(DarlAnschluss,3))</f>
      </c>
      <c r="I1351" s="43">
        <f>IF(INDEX(DarlBelegt,3)=0,0,IF(INDEX(DarlOhneTilgung,3)=1,IF(INDEX(DarlBindung,3)="",1,$G1351),IF($J1351&gt;0.005,1,0)))</f>
      </c>
      <c r="J1351" s="43">
        <f>IF($I1350=0,0,$R1350)</f>
      </c>
      <c r="K1351" s="43">
        <f>IF($I1351=0,0,IF(INDEX(DarlOhneTilgung,3)=1,0,IF(AND(INDEX(DarlTilgStart,3)&gt;0,$E1351=INDEX(DarlTilgStart,3)),$J1351*($H1351+INDEX(DarlTilgung,3))/100/12,IF(AND($G1351=0,$G1350=1),MAX($K1350,$J1351*($H1351+1)/100/12),$K1350))))</f>
      </c>
      <c r="L1351" s="43">
        <f>IF($I1351=0,0,$J1351*$H1351/100/12)</f>
      </c>
      <c r="M1351" s="43">
        <f>IF($I1351=0,0,IF(OR(INDEX(DarlOhneTilgung,3)=1,AND(INDEX(DarlTilgStart,3)&gt;0,$E1351&lt;INDEX(DarlTilgStart,3))),0,MIN(MAX(0,$K1351-$L1351),$J1351)))</f>
      </c>
      <c r="N1351" s="43">
        <f>IF($I1351=0,0,MIN(SUMIFS(SondBetrag,SondDarl,3,SondDatum,"&gt;="&amp;$E1351,SondDatum,"&lt;="&amp;EOMONTH($E1351,0)),$J1351-$M1351))</f>
      </c>
      <c r="O1351" s="43">
        <f>IF($I1351=0,0,INDEX(DarlErsatzRate,3))</f>
      </c>
      <c r="P1351" s="43">
        <f>IF($I1351=0,0,$Q1350*INDEX(DarlErsatzZins,3))</f>
      </c>
      <c r="Q1351" s="43">
        <f>IF($I1351=0,0,$Q1350+$P1351+$O1351)</f>
      </c>
      <c r="R1351" s="43">
        <f>IF($I1351=0,0,$J1351-$M1351-$N1351)</f>
      </c>
    </row>
    <row r="1352">
      <c r="A1352"/>
      <c r="B1352">
        <v>3</v>
      </c>
      <c r="C1352" s="43">
        <f>INDEX(DarlObj,3)</f>
      </c>
      <c r="D1352">
        <v>389</v>
      </c>
      <c r="E1352" s="51">
        <f>IF(INDEX(DarlBelegt,3)=0,0,EOMONTH(INDEX(DarlAuszahlung,3),388)+1)</f>
      </c>
      <c r="F1352" s="43">
        <f>IF($E1352=0,0,YEAR($E1352))</f>
      </c>
      <c r="G1352" s="43">
        <f>IF(INDEX(DarlBindung,3)="",1,IF($E1352&lt;=INDEX(DarlBindung,3),1,0))</f>
      </c>
      <c r="H1352" s="43">
        <f>IF($G1352=1,INDEX(DarlSollzins,3),INDEX(DarlAnschluss,3))</f>
      </c>
      <c r="I1352" s="43">
        <f>IF(INDEX(DarlBelegt,3)=0,0,IF(INDEX(DarlOhneTilgung,3)=1,IF(INDEX(DarlBindung,3)="",1,$G1352),IF($J1352&gt;0.005,1,0)))</f>
      </c>
      <c r="J1352" s="43">
        <f>IF($I1351=0,0,$R1351)</f>
      </c>
      <c r="K1352" s="43">
        <f>IF($I1352=0,0,IF(INDEX(DarlOhneTilgung,3)=1,0,IF(AND(INDEX(DarlTilgStart,3)&gt;0,$E1352=INDEX(DarlTilgStart,3)),$J1352*($H1352+INDEX(DarlTilgung,3))/100/12,IF(AND($G1352=0,$G1351=1),MAX($K1351,$J1352*($H1352+1)/100/12),$K1351))))</f>
      </c>
      <c r="L1352" s="43">
        <f>IF($I1352=0,0,$J1352*$H1352/100/12)</f>
      </c>
      <c r="M1352" s="43">
        <f>IF($I1352=0,0,IF(OR(INDEX(DarlOhneTilgung,3)=1,AND(INDEX(DarlTilgStart,3)&gt;0,$E1352&lt;INDEX(DarlTilgStart,3))),0,MIN(MAX(0,$K1352-$L1352),$J1352)))</f>
      </c>
      <c r="N1352" s="43">
        <f>IF($I1352=0,0,MIN(SUMIFS(SondBetrag,SondDarl,3,SondDatum,"&gt;="&amp;$E1352,SondDatum,"&lt;="&amp;EOMONTH($E1352,0)),$J1352-$M1352))</f>
      </c>
      <c r="O1352" s="43">
        <f>IF($I1352=0,0,INDEX(DarlErsatzRate,3))</f>
      </c>
      <c r="P1352" s="43">
        <f>IF($I1352=0,0,$Q1351*INDEX(DarlErsatzZins,3))</f>
      </c>
      <c r="Q1352" s="43">
        <f>IF($I1352=0,0,$Q1351+$P1352+$O1352)</f>
      </c>
      <c r="R1352" s="43">
        <f>IF($I1352=0,0,$J1352-$M1352-$N1352)</f>
      </c>
    </row>
    <row r="1353">
      <c r="A1353"/>
      <c r="B1353">
        <v>3</v>
      </c>
      <c r="C1353" s="43">
        <f>INDEX(DarlObj,3)</f>
      </c>
      <c r="D1353">
        <v>390</v>
      </c>
      <c r="E1353" s="51">
        <f>IF(INDEX(DarlBelegt,3)=0,0,EOMONTH(INDEX(DarlAuszahlung,3),389)+1)</f>
      </c>
      <c r="F1353" s="43">
        <f>IF($E1353=0,0,YEAR($E1353))</f>
      </c>
      <c r="G1353" s="43">
        <f>IF(INDEX(DarlBindung,3)="",1,IF($E1353&lt;=INDEX(DarlBindung,3),1,0))</f>
      </c>
      <c r="H1353" s="43">
        <f>IF($G1353=1,INDEX(DarlSollzins,3),INDEX(DarlAnschluss,3))</f>
      </c>
      <c r="I1353" s="43">
        <f>IF(INDEX(DarlBelegt,3)=0,0,IF(INDEX(DarlOhneTilgung,3)=1,IF(INDEX(DarlBindung,3)="",1,$G1353),IF($J1353&gt;0.005,1,0)))</f>
      </c>
      <c r="J1353" s="43">
        <f>IF($I1352=0,0,$R1352)</f>
      </c>
      <c r="K1353" s="43">
        <f>IF($I1353=0,0,IF(INDEX(DarlOhneTilgung,3)=1,0,IF(AND(INDEX(DarlTilgStart,3)&gt;0,$E1353=INDEX(DarlTilgStart,3)),$J1353*($H1353+INDEX(DarlTilgung,3))/100/12,IF(AND($G1353=0,$G1352=1),MAX($K1352,$J1353*($H1353+1)/100/12),$K1352))))</f>
      </c>
      <c r="L1353" s="43">
        <f>IF($I1353=0,0,$J1353*$H1353/100/12)</f>
      </c>
      <c r="M1353" s="43">
        <f>IF($I1353=0,0,IF(OR(INDEX(DarlOhneTilgung,3)=1,AND(INDEX(DarlTilgStart,3)&gt;0,$E1353&lt;INDEX(DarlTilgStart,3))),0,MIN(MAX(0,$K1353-$L1353),$J1353)))</f>
      </c>
      <c r="N1353" s="43">
        <f>IF($I1353=0,0,MIN(SUMIFS(SondBetrag,SondDarl,3,SondDatum,"&gt;="&amp;$E1353,SondDatum,"&lt;="&amp;EOMONTH($E1353,0)),$J1353-$M1353))</f>
      </c>
      <c r="O1353" s="43">
        <f>IF($I1353=0,0,INDEX(DarlErsatzRate,3))</f>
      </c>
      <c r="P1353" s="43">
        <f>IF($I1353=0,0,$Q1352*INDEX(DarlErsatzZins,3))</f>
      </c>
      <c r="Q1353" s="43">
        <f>IF($I1353=0,0,$Q1352+$P1353+$O1353)</f>
      </c>
      <c r="R1353" s="43">
        <f>IF($I1353=0,0,$J1353-$M1353-$N1353)</f>
      </c>
    </row>
    <row r="1354">
      <c r="A1354"/>
      <c r="B1354">
        <v>3</v>
      </c>
      <c r="C1354" s="43">
        <f>INDEX(DarlObj,3)</f>
      </c>
      <c r="D1354">
        <v>391</v>
      </c>
      <c r="E1354" s="51">
        <f>IF(INDEX(DarlBelegt,3)=0,0,EOMONTH(INDEX(DarlAuszahlung,3),390)+1)</f>
      </c>
      <c r="F1354" s="43">
        <f>IF($E1354=0,0,YEAR($E1354))</f>
      </c>
      <c r="G1354" s="43">
        <f>IF(INDEX(DarlBindung,3)="",1,IF($E1354&lt;=INDEX(DarlBindung,3),1,0))</f>
      </c>
      <c r="H1354" s="43">
        <f>IF($G1354=1,INDEX(DarlSollzins,3),INDEX(DarlAnschluss,3))</f>
      </c>
      <c r="I1354" s="43">
        <f>IF(INDEX(DarlBelegt,3)=0,0,IF(INDEX(DarlOhneTilgung,3)=1,IF(INDEX(DarlBindung,3)="",1,$G1354),IF($J1354&gt;0.005,1,0)))</f>
      </c>
      <c r="J1354" s="43">
        <f>IF($I1353=0,0,$R1353)</f>
      </c>
      <c r="K1354" s="43">
        <f>IF($I1354=0,0,IF(INDEX(DarlOhneTilgung,3)=1,0,IF(AND(INDEX(DarlTilgStart,3)&gt;0,$E1354=INDEX(DarlTilgStart,3)),$J1354*($H1354+INDEX(DarlTilgung,3))/100/12,IF(AND($G1354=0,$G1353=1),MAX($K1353,$J1354*($H1354+1)/100/12),$K1353))))</f>
      </c>
      <c r="L1354" s="43">
        <f>IF($I1354=0,0,$J1354*$H1354/100/12)</f>
      </c>
      <c r="M1354" s="43">
        <f>IF($I1354=0,0,IF(OR(INDEX(DarlOhneTilgung,3)=1,AND(INDEX(DarlTilgStart,3)&gt;0,$E1354&lt;INDEX(DarlTilgStart,3))),0,MIN(MAX(0,$K1354-$L1354),$J1354)))</f>
      </c>
      <c r="N1354" s="43">
        <f>IF($I1354=0,0,MIN(SUMIFS(SondBetrag,SondDarl,3,SondDatum,"&gt;="&amp;$E1354,SondDatum,"&lt;="&amp;EOMONTH($E1354,0)),$J1354-$M1354))</f>
      </c>
      <c r="O1354" s="43">
        <f>IF($I1354=0,0,INDEX(DarlErsatzRate,3))</f>
      </c>
      <c r="P1354" s="43">
        <f>IF($I1354=0,0,$Q1353*INDEX(DarlErsatzZins,3))</f>
      </c>
      <c r="Q1354" s="43">
        <f>IF($I1354=0,0,$Q1353+$P1354+$O1354)</f>
      </c>
      <c r="R1354" s="43">
        <f>IF($I1354=0,0,$J1354-$M1354-$N1354)</f>
      </c>
    </row>
    <row r="1355">
      <c r="A1355"/>
      <c r="B1355">
        <v>3</v>
      </c>
      <c r="C1355" s="43">
        <f>INDEX(DarlObj,3)</f>
      </c>
      <c r="D1355">
        <v>392</v>
      </c>
      <c r="E1355" s="51">
        <f>IF(INDEX(DarlBelegt,3)=0,0,EOMONTH(INDEX(DarlAuszahlung,3),391)+1)</f>
      </c>
      <c r="F1355" s="43">
        <f>IF($E1355=0,0,YEAR($E1355))</f>
      </c>
      <c r="G1355" s="43">
        <f>IF(INDEX(DarlBindung,3)="",1,IF($E1355&lt;=INDEX(DarlBindung,3),1,0))</f>
      </c>
      <c r="H1355" s="43">
        <f>IF($G1355=1,INDEX(DarlSollzins,3),INDEX(DarlAnschluss,3))</f>
      </c>
      <c r="I1355" s="43">
        <f>IF(INDEX(DarlBelegt,3)=0,0,IF(INDEX(DarlOhneTilgung,3)=1,IF(INDEX(DarlBindung,3)="",1,$G1355),IF($J1355&gt;0.005,1,0)))</f>
      </c>
      <c r="J1355" s="43">
        <f>IF($I1354=0,0,$R1354)</f>
      </c>
      <c r="K1355" s="43">
        <f>IF($I1355=0,0,IF(INDEX(DarlOhneTilgung,3)=1,0,IF(AND(INDEX(DarlTilgStart,3)&gt;0,$E1355=INDEX(DarlTilgStart,3)),$J1355*($H1355+INDEX(DarlTilgung,3))/100/12,IF(AND($G1355=0,$G1354=1),MAX($K1354,$J1355*($H1355+1)/100/12),$K1354))))</f>
      </c>
      <c r="L1355" s="43">
        <f>IF($I1355=0,0,$J1355*$H1355/100/12)</f>
      </c>
      <c r="M1355" s="43">
        <f>IF($I1355=0,0,IF(OR(INDEX(DarlOhneTilgung,3)=1,AND(INDEX(DarlTilgStart,3)&gt;0,$E1355&lt;INDEX(DarlTilgStart,3))),0,MIN(MAX(0,$K1355-$L1355),$J1355)))</f>
      </c>
      <c r="N1355" s="43">
        <f>IF($I1355=0,0,MIN(SUMIFS(SondBetrag,SondDarl,3,SondDatum,"&gt;="&amp;$E1355,SondDatum,"&lt;="&amp;EOMONTH($E1355,0)),$J1355-$M1355))</f>
      </c>
      <c r="O1355" s="43">
        <f>IF($I1355=0,0,INDEX(DarlErsatzRate,3))</f>
      </c>
      <c r="P1355" s="43">
        <f>IF($I1355=0,0,$Q1354*INDEX(DarlErsatzZins,3))</f>
      </c>
      <c r="Q1355" s="43">
        <f>IF($I1355=0,0,$Q1354+$P1355+$O1355)</f>
      </c>
      <c r="R1355" s="43">
        <f>IF($I1355=0,0,$J1355-$M1355-$N1355)</f>
      </c>
    </row>
    <row r="1356">
      <c r="A1356"/>
      <c r="B1356">
        <v>3</v>
      </c>
      <c r="C1356" s="43">
        <f>INDEX(DarlObj,3)</f>
      </c>
      <c r="D1356">
        <v>393</v>
      </c>
      <c r="E1356" s="51">
        <f>IF(INDEX(DarlBelegt,3)=0,0,EOMONTH(INDEX(DarlAuszahlung,3),392)+1)</f>
      </c>
      <c r="F1356" s="43">
        <f>IF($E1356=0,0,YEAR($E1356))</f>
      </c>
      <c r="G1356" s="43">
        <f>IF(INDEX(DarlBindung,3)="",1,IF($E1356&lt;=INDEX(DarlBindung,3),1,0))</f>
      </c>
      <c r="H1356" s="43">
        <f>IF($G1356=1,INDEX(DarlSollzins,3),INDEX(DarlAnschluss,3))</f>
      </c>
      <c r="I1356" s="43">
        <f>IF(INDEX(DarlBelegt,3)=0,0,IF(INDEX(DarlOhneTilgung,3)=1,IF(INDEX(DarlBindung,3)="",1,$G1356),IF($J1356&gt;0.005,1,0)))</f>
      </c>
      <c r="J1356" s="43">
        <f>IF($I1355=0,0,$R1355)</f>
      </c>
      <c r="K1356" s="43">
        <f>IF($I1356=0,0,IF(INDEX(DarlOhneTilgung,3)=1,0,IF(AND(INDEX(DarlTilgStart,3)&gt;0,$E1356=INDEX(DarlTilgStart,3)),$J1356*($H1356+INDEX(DarlTilgung,3))/100/12,IF(AND($G1356=0,$G1355=1),MAX($K1355,$J1356*($H1356+1)/100/12),$K1355))))</f>
      </c>
      <c r="L1356" s="43">
        <f>IF($I1356=0,0,$J1356*$H1356/100/12)</f>
      </c>
      <c r="M1356" s="43">
        <f>IF($I1356=0,0,IF(OR(INDEX(DarlOhneTilgung,3)=1,AND(INDEX(DarlTilgStart,3)&gt;0,$E1356&lt;INDEX(DarlTilgStart,3))),0,MIN(MAX(0,$K1356-$L1356),$J1356)))</f>
      </c>
      <c r="N1356" s="43">
        <f>IF($I1356=0,0,MIN(SUMIFS(SondBetrag,SondDarl,3,SondDatum,"&gt;="&amp;$E1356,SondDatum,"&lt;="&amp;EOMONTH($E1356,0)),$J1356-$M1356))</f>
      </c>
      <c r="O1356" s="43">
        <f>IF($I1356=0,0,INDEX(DarlErsatzRate,3))</f>
      </c>
      <c r="P1356" s="43">
        <f>IF($I1356=0,0,$Q1355*INDEX(DarlErsatzZins,3))</f>
      </c>
      <c r="Q1356" s="43">
        <f>IF($I1356=0,0,$Q1355+$P1356+$O1356)</f>
      </c>
      <c r="R1356" s="43">
        <f>IF($I1356=0,0,$J1356-$M1356-$N1356)</f>
      </c>
    </row>
    <row r="1357">
      <c r="A1357"/>
      <c r="B1357">
        <v>3</v>
      </c>
      <c r="C1357" s="43">
        <f>INDEX(DarlObj,3)</f>
      </c>
      <c r="D1357">
        <v>394</v>
      </c>
      <c r="E1357" s="51">
        <f>IF(INDEX(DarlBelegt,3)=0,0,EOMONTH(INDEX(DarlAuszahlung,3),393)+1)</f>
      </c>
      <c r="F1357" s="43">
        <f>IF($E1357=0,0,YEAR($E1357))</f>
      </c>
      <c r="G1357" s="43">
        <f>IF(INDEX(DarlBindung,3)="",1,IF($E1357&lt;=INDEX(DarlBindung,3),1,0))</f>
      </c>
      <c r="H1357" s="43">
        <f>IF($G1357=1,INDEX(DarlSollzins,3),INDEX(DarlAnschluss,3))</f>
      </c>
      <c r="I1357" s="43">
        <f>IF(INDEX(DarlBelegt,3)=0,0,IF(INDEX(DarlOhneTilgung,3)=1,IF(INDEX(DarlBindung,3)="",1,$G1357),IF($J1357&gt;0.005,1,0)))</f>
      </c>
      <c r="J1357" s="43">
        <f>IF($I1356=0,0,$R1356)</f>
      </c>
      <c r="K1357" s="43">
        <f>IF($I1357=0,0,IF(INDEX(DarlOhneTilgung,3)=1,0,IF(AND(INDEX(DarlTilgStart,3)&gt;0,$E1357=INDEX(DarlTilgStart,3)),$J1357*($H1357+INDEX(DarlTilgung,3))/100/12,IF(AND($G1357=0,$G1356=1),MAX($K1356,$J1357*($H1357+1)/100/12),$K1356))))</f>
      </c>
      <c r="L1357" s="43">
        <f>IF($I1357=0,0,$J1357*$H1357/100/12)</f>
      </c>
      <c r="M1357" s="43">
        <f>IF($I1357=0,0,IF(OR(INDEX(DarlOhneTilgung,3)=1,AND(INDEX(DarlTilgStart,3)&gt;0,$E1357&lt;INDEX(DarlTilgStart,3))),0,MIN(MAX(0,$K1357-$L1357),$J1357)))</f>
      </c>
      <c r="N1357" s="43">
        <f>IF($I1357=0,0,MIN(SUMIFS(SondBetrag,SondDarl,3,SondDatum,"&gt;="&amp;$E1357,SondDatum,"&lt;="&amp;EOMONTH($E1357,0)),$J1357-$M1357))</f>
      </c>
      <c r="O1357" s="43">
        <f>IF($I1357=0,0,INDEX(DarlErsatzRate,3))</f>
      </c>
      <c r="P1357" s="43">
        <f>IF($I1357=0,0,$Q1356*INDEX(DarlErsatzZins,3))</f>
      </c>
      <c r="Q1357" s="43">
        <f>IF($I1357=0,0,$Q1356+$P1357+$O1357)</f>
      </c>
      <c r="R1357" s="43">
        <f>IF($I1357=0,0,$J1357-$M1357-$N1357)</f>
      </c>
    </row>
    <row r="1358">
      <c r="A1358"/>
      <c r="B1358">
        <v>3</v>
      </c>
      <c r="C1358" s="43">
        <f>INDEX(DarlObj,3)</f>
      </c>
      <c r="D1358">
        <v>395</v>
      </c>
      <c r="E1358" s="51">
        <f>IF(INDEX(DarlBelegt,3)=0,0,EOMONTH(INDEX(DarlAuszahlung,3),394)+1)</f>
      </c>
      <c r="F1358" s="43">
        <f>IF($E1358=0,0,YEAR($E1358))</f>
      </c>
      <c r="G1358" s="43">
        <f>IF(INDEX(DarlBindung,3)="",1,IF($E1358&lt;=INDEX(DarlBindung,3),1,0))</f>
      </c>
      <c r="H1358" s="43">
        <f>IF($G1358=1,INDEX(DarlSollzins,3),INDEX(DarlAnschluss,3))</f>
      </c>
      <c r="I1358" s="43">
        <f>IF(INDEX(DarlBelegt,3)=0,0,IF(INDEX(DarlOhneTilgung,3)=1,IF(INDEX(DarlBindung,3)="",1,$G1358),IF($J1358&gt;0.005,1,0)))</f>
      </c>
      <c r="J1358" s="43">
        <f>IF($I1357=0,0,$R1357)</f>
      </c>
      <c r="K1358" s="43">
        <f>IF($I1358=0,0,IF(INDEX(DarlOhneTilgung,3)=1,0,IF(AND(INDEX(DarlTilgStart,3)&gt;0,$E1358=INDEX(DarlTilgStart,3)),$J1358*($H1358+INDEX(DarlTilgung,3))/100/12,IF(AND($G1358=0,$G1357=1),MAX($K1357,$J1358*($H1358+1)/100/12),$K1357))))</f>
      </c>
      <c r="L1358" s="43">
        <f>IF($I1358=0,0,$J1358*$H1358/100/12)</f>
      </c>
      <c r="M1358" s="43">
        <f>IF($I1358=0,0,IF(OR(INDEX(DarlOhneTilgung,3)=1,AND(INDEX(DarlTilgStart,3)&gt;0,$E1358&lt;INDEX(DarlTilgStart,3))),0,MIN(MAX(0,$K1358-$L1358),$J1358)))</f>
      </c>
      <c r="N1358" s="43">
        <f>IF($I1358=0,0,MIN(SUMIFS(SondBetrag,SondDarl,3,SondDatum,"&gt;="&amp;$E1358,SondDatum,"&lt;="&amp;EOMONTH($E1358,0)),$J1358-$M1358))</f>
      </c>
      <c r="O1358" s="43">
        <f>IF($I1358=0,0,INDEX(DarlErsatzRate,3))</f>
      </c>
      <c r="P1358" s="43">
        <f>IF($I1358=0,0,$Q1357*INDEX(DarlErsatzZins,3))</f>
      </c>
      <c r="Q1358" s="43">
        <f>IF($I1358=0,0,$Q1357+$P1358+$O1358)</f>
      </c>
      <c r="R1358" s="43">
        <f>IF($I1358=0,0,$J1358-$M1358-$N1358)</f>
      </c>
    </row>
    <row r="1359">
      <c r="A1359"/>
      <c r="B1359">
        <v>3</v>
      </c>
      <c r="C1359" s="43">
        <f>INDEX(DarlObj,3)</f>
      </c>
      <c r="D1359">
        <v>396</v>
      </c>
      <c r="E1359" s="51">
        <f>IF(INDEX(DarlBelegt,3)=0,0,EOMONTH(INDEX(DarlAuszahlung,3),395)+1)</f>
      </c>
      <c r="F1359" s="43">
        <f>IF($E1359=0,0,YEAR($E1359))</f>
      </c>
      <c r="G1359" s="43">
        <f>IF(INDEX(DarlBindung,3)="",1,IF($E1359&lt;=INDEX(DarlBindung,3),1,0))</f>
      </c>
      <c r="H1359" s="43">
        <f>IF($G1359=1,INDEX(DarlSollzins,3),INDEX(DarlAnschluss,3))</f>
      </c>
      <c r="I1359" s="43">
        <f>IF(INDEX(DarlBelegt,3)=0,0,IF(INDEX(DarlOhneTilgung,3)=1,IF(INDEX(DarlBindung,3)="",1,$G1359),IF($J1359&gt;0.005,1,0)))</f>
      </c>
      <c r="J1359" s="43">
        <f>IF($I1358=0,0,$R1358)</f>
      </c>
      <c r="K1359" s="43">
        <f>IF($I1359=0,0,IF(INDEX(DarlOhneTilgung,3)=1,0,IF(AND(INDEX(DarlTilgStart,3)&gt;0,$E1359=INDEX(DarlTilgStart,3)),$J1359*($H1359+INDEX(DarlTilgung,3))/100/12,IF(AND($G1359=0,$G1358=1),MAX($K1358,$J1359*($H1359+1)/100/12),$K1358))))</f>
      </c>
      <c r="L1359" s="43">
        <f>IF($I1359=0,0,$J1359*$H1359/100/12)</f>
      </c>
      <c r="M1359" s="43">
        <f>IF($I1359=0,0,IF(OR(INDEX(DarlOhneTilgung,3)=1,AND(INDEX(DarlTilgStart,3)&gt;0,$E1359&lt;INDEX(DarlTilgStart,3))),0,MIN(MAX(0,$K1359-$L1359),$J1359)))</f>
      </c>
      <c r="N1359" s="43">
        <f>IF($I1359=0,0,MIN(SUMIFS(SondBetrag,SondDarl,3,SondDatum,"&gt;="&amp;$E1359,SondDatum,"&lt;="&amp;EOMONTH($E1359,0)),$J1359-$M1359))</f>
      </c>
      <c r="O1359" s="43">
        <f>IF($I1359=0,0,INDEX(DarlErsatzRate,3))</f>
      </c>
      <c r="P1359" s="43">
        <f>IF($I1359=0,0,$Q1358*INDEX(DarlErsatzZins,3))</f>
      </c>
      <c r="Q1359" s="43">
        <f>IF($I1359=0,0,$Q1358+$P1359+$O1359)</f>
      </c>
      <c r="R1359" s="43">
        <f>IF($I1359=0,0,$J1359-$M1359-$N1359)</f>
      </c>
    </row>
    <row r="1360">
      <c r="A1360"/>
      <c r="B1360">
        <v>3</v>
      </c>
      <c r="C1360" s="43">
        <f>INDEX(DarlObj,3)</f>
      </c>
      <c r="D1360">
        <v>397</v>
      </c>
      <c r="E1360" s="51">
        <f>IF(INDEX(DarlBelegt,3)=0,0,EOMONTH(INDEX(DarlAuszahlung,3),396)+1)</f>
      </c>
      <c r="F1360" s="43">
        <f>IF($E1360=0,0,YEAR($E1360))</f>
      </c>
      <c r="G1360" s="43">
        <f>IF(INDEX(DarlBindung,3)="",1,IF($E1360&lt;=INDEX(DarlBindung,3),1,0))</f>
      </c>
      <c r="H1360" s="43">
        <f>IF($G1360=1,INDEX(DarlSollzins,3),INDEX(DarlAnschluss,3))</f>
      </c>
      <c r="I1360" s="43">
        <f>IF(INDEX(DarlBelegt,3)=0,0,IF(INDEX(DarlOhneTilgung,3)=1,IF(INDEX(DarlBindung,3)="",1,$G1360),IF($J1360&gt;0.005,1,0)))</f>
      </c>
      <c r="J1360" s="43">
        <f>IF($I1359=0,0,$R1359)</f>
      </c>
      <c r="K1360" s="43">
        <f>IF($I1360=0,0,IF(INDEX(DarlOhneTilgung,3)=1,0,IF(AND(INDEX(DarlTilgStart,3)&gt;0,$E1360=INDEX(DarlTilgStart,3)),$J1360*($H1360+INDEX(DarlTilgung,3))/100/12,IF(AND($G1360=0,$G1359=1),MAX($K1359,$J1360*($H1360+1)/100/12),$K1359))))</f>
      </c>
      <c r="L1360" s="43">
        <f>IF($I1360=0,0,$J1360*$H1360/100/12)</f>
      </c>
      <c r="M1360" s="43">
        <f>IF($I1360=0,0,IF(OR(INDEX(DarlOhneTilgung,3)=1,AND(INDEX(DarlTilgStart,3)&gt;0,$E1360&lt;INDEX(DarlTilgStart,3))),0,MIN(MAX(0,$K1360-$L1360),$J1360)))</f>
      </c>
      <c r="N1360" s="43">
        <f>IF($I1360=0,0,MIN(SUMIFS(SondBetrag,SondDarl,3,SondDatum,"&gt;="&amp;$E1360,SondDatum,"&lt;="&amp;EOMONTH($E1360,0)),$J1360-$M1360))</f>
      </c>
      <c r="O1360" s="43">
        <f>IF($I1360=0,0,INDEX(DarlErsatzRate,3))</f>
      </c>
      <c r="P1360" s="43">
        <f>IF($I1360=0,0,$Q1359*INDEX(DarlErsatzZins,3))</f>
      </c>
      <c r="Q1360" s="43">
        <f>IF($I1360=0,0,$Q1359+$P1360+$O1360)</f>
      </c>
      <c r="R1360" s="43">
        <f>IF($I1360=0,0,$J1360-$M1360-$N1360)</f>
      </c>
    </row>
    <row r="1361">
      <c r="A1361"/>
      <c r="B1361">
        <v>3</v>
      </c>
      <c r="C1361" s="43">
        <f>INDEX(DarlObj,3)</f>
      </c>
      <c r="D1361">
        <v>398</v>
      </c>
      <c r="E1361" s="51">
        <f>IF(INDEX(DarlBelegt,3)=0,0,EOMONTH(INDEX(DarlAuszahlung,3),397)+1)</f>
      </c>
      <c r="F1361" s="43">
        <f>IF($E1361=0,0,YEAR($E1361))</f>
      </c>
      <c r="G1361" s="43">
        <f>IF(INDEX(DarlBindung,3)="",1,IF($E1361&lt;=INDEX(DarlBindung,3),1,0))</f>
      </c>
      <c r="H1361" s="43">
        <f>IF($G1361=1,INDEX(DarlSollzins,3),INDEX(DarlAnschluss,3))</f>
      </c>
      <c r="I1361" s="43">
        <f>IF(INDEX(DarlBelegt,3)=0,0,IF(INDEX(DarlOhneTilgung,3)=1,IF(INDEX(DarlBindung,3)="",1,$G1361),IF($J1361&gt;0.005,1,0)))</f>
      </c>
      <c r="J1361" s="43">
        <f>IF($I1360=0,0,$R1360)</f>
      </c>
      <c r="K1361" s="43">
        <f>IF($I1361=0,0,IF(INDEX(DarlOhneTilgung,3)=1,0,IF(AND(INDEX(DarlTilgStart,3)&gt;0,$E1361=INDEX(DarlTilgStart,3)),$J1361*($H1361+INDEX(DarlTilgung,3))/100/12,IF(AND($G1361=0,$G1360=1),MAX($K1360,$J1361*($H1361+1)/100/12),$K1360))))</f>
      </c>
      <c r="L1361" s="43">
        <f>IF($I1361=0,0,$J1361*$H1361/100/12)</f>
      </c>
      <c r="M1361" s="43">
        <f>IF($I1361=0,0,IF(OR(INDEX(DarlOhneTilgung,3)=1,AND(INDEX(DarlTilgStart,3)&gt;0,$E1361&lt;INDEX(DarlTilgStart,3))),0,MIN(MAX(0,$K1361-$L1361),$J1361)))</f>
      </c>
      <c r="N1361" s="43">
        <f>IF($I1361=0,0,MIN(SUMIFS(SondBetrag,SondDarl,3,SondDatum,"&gt;="&amp;$E1361,SondDatum,"&lt;="&amp;EOMONTH($E1361,0)),$J1361-$M1361))</f>
      </c>
      <c r="O1361" s="43">
        <f>IF($I1361=0,0,INDEX(DarlErsatzRate,3))</f>
      </c>
      <c r="P1361" s="43">
        <f>IF($I1361=0,0,$Q1360*INDEX(DarlErsatzZins,3))</f>
      </c>
      <c r="Q1361" s="43">
        <f>IF($I1361=0,0,$Q1360+$P1361+$O1361)</f>
      </c>
      <c r="R1361" s="43">
        <f>IF($I1361=0,0,$J1361-$M1361-$N1361)</f>
      </c>
    </row>
    <row r="1362">
      <c r="A1362"/>
      <c r="B1362">
        <v>3</v>
      </c>
      <c r="C1362" s="43">
        <f>INDEX(DarlObj,3)</f>
      </c>
      <c r="D1362">
        <v>399</v>
      </c>
      <c r="E1362" s="51">
        <f>IF(INDEX(DarlBelegt,3)=0,0,EOMONTH(INDEX(DarlAuszahlung,3),398)+1)</f>
      </c>
      <c r="F1362" s="43">
        <f>IF($E1362=0,0,YEAR($E1362))</f>
      </c>
      <c r="G1362" s="43">
        <f>IF(INDEX(DarlBindung,3)="",1,IF($E1362&lt;=INDEX(DarlBindung,3),1,0))</f>
      </c>
      <c r="H1362" s="43">
        <f>IF($G1362=1,INDEX(DarlSollzins,3),INDEX(DarlAnschluss,3))</f>
      </c>
      <c r="I1362" s="43">
        <f>IF(INDEX(DarlBelegt,3)=0,0,IF(INDEX(DarlOhneTilgung,3)=1,IF(INDEX(DarlBindung,3)="",1,$G1362),IF($J1362&gt;0.005,1,0)))</f>
      </c>
      <c r="J1362" s="43">
        <f>IF($I1361=0,0,$R1361)</f>
      </c>
      <c r="K1362" s="43">
        <f>IF($I1362=0,0,IF(INDEX(DarlOhneTilgung,3)=1,0,IF(AND(INDEX(DarlTilgStart,3)&gt;0,$E1362=INDEX(DarlTilgStart,3)),$J1362*($H1362+INDEX(DarlTilgung,3))/100/12,IF(AND($G1362=0,$G1361=1),MAX($K1361,$J1362*($H1362+1)/100/12),$K1361))))</f>
      </c>
      <c r="L1362" s="43">
        <f>IF($I1362=0,0,$J1362*$H1362/100/12)</f>
      </c>
      <c r="M1362" s="43">
        <f>IF($I1362=0,0,IF(OR(INDEX(DarlOhneTilgung,3)=1,AND(INDEX(DarlTilgStart,3)&gt;0,$E1362&lt;INDEX(DarlTilgStart,3))),0,MIN(MAX(0,$K1362-$L1362),$J1362)))</f>
      </c>
      <c r="N1362" s="43">
        <f>IF($I1362=0,0,MIN(SUMIFS(SondBetrag,SondDarl,3,SondDatum,"&gt;="&amp;$E1362,SondDatum,"&lt;="&amp;EOMONTH($E1362,0)),$J1362-$M1362))</f>
      </c>
      <c r="O1362" s="43">
        <f>IF($I1362=0,0,INDEX(DarlErsatzRate,3))</f>
      </c>
      <c r="P1362" s="43">
        <f>IF($I1362=0,0,$Q1361*INDEX(DarlErsatzZins,3))</f>
      </c>
      <c r="Q1362" s="43">
        <f>IF($I1362=0,0,$Q1361+$P1362+$O1362)</f>
      </c>
      <c r="R1362" s="43">
        <f>IF($I1362=0,0,$J1362-$M1362-$N1362)</f>
      </c>
    </row>
    <row r="1363">
      <c r="A1363"/>
      <c r="B1363">
        <v>3</v>
      </c>
      <c r="C1363" s="43">
        <f>INDEX(DarlObj,3)</f>
      </c>
      <c r="D1363">
        <v>400</v>
      </c>
      <c r="E1363" s="51">
        <f>IF(INDEX(DarlBelegt,3)=0,0,EOMONTH(INDEX(DarlAuszahlung,3),399)+1)</f>
      </c>
      <c r="F1363" s="43">
        <f>IF($E1363=0,0,YEAR($E1363))</f>
      </c>
      <c r="G1363" s="43">
        <f>IF(INDEX(DarlBindung,3)="",1,IF($E1363&lt;=INDEX(DarlBindung,3),1,0))</f>
      </c>
      <c r="H1363" s="43">
        <f>IF($G1363=1,INDEX(DarlSollzins,3),INDEX(DarlAnschluss,3))</f>
      </c>
      <c r="I1363" s="43">
        <f>IF(INDEX(DarlBelegt,3)=0,0,IF(INDEX(DarlOhneTilgung,3)=1,IF(INDEX(DarlBindung,3)="",1,$G1363),IF($J1363&gt;0.005,1,0)))</f>
      </c>
      <c r="J1363" s="43">
        <f>IF($I1362=0,0,$R1362)</f>
      </c>
      <c r="K1363" s="43">
        <f>IF($I1363=0,0,IF(INDEX(DarlOhneTilgung,3)=1,0,IF(AND(INDEX(DarlTilgStart,3)&gt;0,$E1363=INDEX(DarlTilgStart,3)),$J1363*($H1363+INDEX(DarlTilgung,3))/100/12,IF(AND($G1363=0,$G1362=1),MAX($K1362,$J1363*($H1363+1)/100/12),$K1362))))</f>
      </c>
      <c r="L1363" s="43">
        <f>IF($I1363=0,0,$J1363*$H1363/100/12)</f>
      </c>
      <c r="M1363" s="43">
        <f>IF($I1363=0,0,IF(OR(INDEX(DarlOhneTilgung,3)=1,AND(INDEX(DarlTilgStart,3)&gt;0,$E1363&lt;INDEX(DarlTilgStart,3))),0,MIN(MAX(0,$K1363-$L1363),$J1363)))</f>
      </c>
      <c r="N1363" s="43">
        <f>IF($I1363=0,0,MIN(SUMIFS(SondBetrag,SondDarl,3,SondDatum,"&gt;="&amp;$E1363,SondDatum,"&lt;="&amp;EOMONTH($E1363,0)),$J1363-$M1363))</f>
      </c>
      <c r="O1363" s="43">
        <f>IF($I1363=0,0,INDEX(DarlErsatzRate,3))</f>
      </c>
      <c r="P1363" s="43">
        <f>IF($I1363=0,0,$Q1362*INDEX(DarlErsatzZins,3))</f>
      </c>
      <c r="Q1363" s="43">
        <f>IF($I1363=0,0,$Q1362+$P1363+$O1363)</f>
      </c>
      <c r="R1363" s="43">
        <f>IF($I1363=0,0,$J1363-$M1363-$N1363)</f>
      </c>
    </row>
    <row r="1364">
      <c r="A1364"/>
      <c r="B1364">
        <v>3</v>
      </c>
      <c r="C1364" s="43">
        <f>INDEX(DarlObj,3)</f>
      </c>
      <c r="D1364">
        <v>401</v>
      </c>
      <c r="E1364" s="51">
        <f>IF(INDEX(DarlBelegt,3)=0,0,EOMONTH(INDEX(DarlAuszahlung,3),400)+1)</f>
      </c>
      <c r="F1364" s="43">
        <f>IF($E1364=0,0,YEAR($E1364))</f>
      </c>
      <c r="G1364" s="43">
        <f>IF(INDEX(DarlBindung,3)="",1,IF($E1364&lt;=INDEX(DarlBindung,3),1,0))</f>
      </c>
      <c r="H1364" s="43">
        <f>IF($G1364=1,INDEX(DarlSollzins,3),INDEX(DarlAnschluss,3))</f>
      </c>
      <c r="I1364" s="43">
        <f>IF(INDEX(DarlBelegt,3)=0,0,IF(INDEX(DarlOhneTilgung,3)=1,IF(INDEX(DarlBindung,3)="",1,$G1364),IF($J1364&gt;0.005,1,0)))</f>
      </c>
      <c r="J1364" s="43">
        <f>IF($I1363=0,0,$R1363)</f>
      </c>
      <c r="K1364" s="43">
        <f>IF($I1364=0,0,IF(INDEX(DarlOhneTilgung,3)=1,0,IF(AND(INDEX(DarlTilgStart,3)&gt;0,$E1364=INDEX(DarlTilgStart,3)),$J1364*($H1364+INDEX(DarlTilgung,3))/100/12,IF(AND($G1364=0,$G1363=1),MAX($K1363,$J1364*($H1364+1)/100/12),$K1363))))</f>
      </c>
      <c r="L1364" s="43">
        <f>IF($I1364=0,0,$J1364*$H1364/100/12)</f>
      </c>
      <c r="M1364" s="43">
        <f>IF($I1364=0,0,IF(OR(INDEX(DarlOhneTilgung,3)=1,AND(INDEX(DarlTilgStart,3)&gt;0,$E1364&lt;INDEX(DarlTilgStart,3))),0,MIN(MAX(0,$K1364-$L1364),$J1364)))</f>
      </c>
      <c r="N1364" s="43">
        <f>IF($I1364=0,0,MIN(SUMIFS(SondBetrag,SondDarl,3,SondDatum,"&gt;="&amp;$E1364,SondDatum,"&lt;="&amp;EOMONTH($E1364,0)),$J1364-$M1364))</f>
      </c>
      <c r="O1364" s="43">
        <f>IF($I1364=0,0,INDEX(DarlErsatzRate,3))</f>
      </c>
      <c r="P1364" s="43">
        <f>IF($I1364=0,0,$Q1363*INDEX(DarlErsatzZins,3))</f>
      </c>
      <c r="Q1364" s="43">
        <f>IF($I1364=0,0,$Q1363+$P1364+$O1364)</f>
      </c>
      <c r="R1364" s="43">
        <f>IF($I1364=0,0,$J1364-$M1364-$N1364)</f>
      </c>
    </row>
    <row r="1365">
      <c r="A1365"/>
      <c r="B1365">
        <v>3</v>
      </c>
      <c r="C1365" s="43">
        <f>INDEX(DarlObj,3)</f>
      </c>
      <c r="D1365">
        <v>402</v>
      </c>
      <c r="E1365" s="51">
        <f>IF(INDEX(DarlBelegt,3)=0,0,EOMONTH(INDEX(DarlAuszahlung,3),401)+1)</f>
      </c>
      <c r="F1365" s="43">
        <f>IF($E1365=0,0,YEAR($E1365))</f>
      </c>
      <c r="G1365" s="43">
        <f>IF(INDEX(DarlBindung,3)="",1,IF($E1365&lt;=INDEX(DarlBindung,3),1,0))</f>
      </c>
      <c r="H1365" s="43">
        <f>IF($G1365=1,INDEX(DarlSollzins,3),INDEX(DarlAnschluss,3))</f>
      </c>
      <c r="I1365" s="43">
        <f>IF(INDEX(DarlBelegt,3)=0,0,IF(INDEX(DarlOhneTilgung,3)=1,IF(INDEX(DarlBindung,3)="",1,$G1365),IF($J1365&gt;0.005,1,0)))</f>
      </c>
      <c r="J1365" s="43">
        <f>IF($I1364=0,0,$R1364)</f>
      </c>
      <c r="K1365" s="43">
        <f>IF($I1365=0,0,IF(INDEX(DarlOhneTilgung,3)=1,0,IF(AND(INDEX(DarlTilgStart,3)&gt;0,$E1365=INDEX(DarlTilgStart,3)),$J1365*($H1365+INDEX(DarlTilgung,3))/100/12,IF(AND($G1365=0,$G1364=1),MAX($K1364,$J1365*($H1365+1)/100/12),$K1364))))</f>
      </c>
      <c r="L1365" s="43">
        <f>IF($I1365=0,0,$J1365*$H1365/100/12)</f>
      </c>
      <c r="M1365" s="43">
        <f>IF($I1365=0,0,IF(OR(INDEX(DarlOhneTilgung,3)=1,AND(INDEX(DarlTilgStart,3)&gt;0,$E1365&lt;INDEX(DarlTilgStart,3))),0,MIN(MAX(0,$K1365-$L1365),$J1365)))</f>
      </c>
      <c r="N1365" s="43">
        <f>IF($I1365=0,0,MIN(SUMIFS(SondBetrag,SondDarl,3,SondDatum,"&gt;="&amp;$E1365,SondDatum,"&lt;="&amp;EOMONTH($E1365,0)),$J1365-$M1365))</f>
      </c>
      <c r="O1365" s="43">
        <f>IF($I1365=0,0,INDEX(DarlErsatzRate,3))</f>
      </c>
      <c r="P1365" s="43">
        <f>IF($I1365=0,0,$Q1364*INDEX(DarlErsatzZins,3))</f>
      </c>
      <c r="Q1365" s="43">
        <f>IF($I1365=0,0,$Q1364+$P1365+$O1365)</f>
      </c>
      <c r="R1365" s="43">
        <f>IF($I1365=0,0,$J1365-$M1365-$N1365)</f>
      </c>
    </row>
    <row r="1366">
      <c r="A1366"/>
      <c r="B1366">
        <v>3</v>
      </c>
      <c r="C1366" s="43">
        <f>INDEX(DarlObj,3)</f>
      </c>
      <c r="D1366">
        <v>403</v>
      </c>
      <c r="E1366" s="51">
        <f>IF(INDEX(DarlBelegt,3)=0,0,EOMONTH(INDEX(DarlAuszahlung,3),402)+1)</f>
      </c>
      <c r="F1366" s="43">
        <f>IF($E1366=0,0,YEAR($E1366))</f>
      </c>
      <c r="G1366" s="43">
        <f>IF(INDEX(DarlBindung,3)="",1,IF($E1366&lt;=INDEX(DarlBindung,3),1,0))</f>
      </c>
      <c r="H1366" s="43">
        <f>IF($G1366=1,INDEX(DarlSollzins,3),INDEX(DarlAnschluss,3))</f>
      </c>
      <c r="I1366" s="43">
        <f>IF(INDEX(DarlBelegt,3)=0,0,IF(INDEX(DarlOhneTilgung,3)=1,IF(INDEX(DarlBindung,3)="",1,$G1366),IF($J1366&gt;0.005,1,0)))</f>
      </c>
      <c r="J1366" s="43">
        <f>IF($I1365=0,0,$R1365)</f>
      </c>
      <c r="K1366" s="43">
        <f>IF($I1366=0,0,IF(INDEX(DarlOhneTilgung,3)=1,0,IF(AND(INDEX(DarlTilgStart,3)&gt;0,$E1366=INDEX(DarlTilgStart,3)),$J1366*($H1366+INDEX(DarlTilgung,3))/100/12,IF(AND($G1366=0,$G1365=1),MAX($K1365,$J1366*($H1366+1)/100/12),$K1365))))</f>
      </c>
      <c r="L1366" s="43">
        <f>IF($I1366=0,0,$J1366*$H1366/100/12)</f>
      </c>
      <c r="M1366" s="43">
        <f>IF($I1366=0,0,IF(OR(INDEX(DarlOhneTilgung,3)=1,AND(INDEX(DarlTilgStart,3)&gt;0,$E1366&lt;INDEX(DarlTilgStart,3))),0,MIN(MAX(0,$K1366-$L1366),$J1366)))</f>
      </c>
      <c r="N1366" s="43">
        <f>IF($I1366=0,0,MIN(SUMIFS(SondBetrag,SondDarl,3,SondDatum,"&gt;="&amp;$E1366,SondDatum,"&lt;="&amp;EOMONTH($E1366,0)),$J1366-$M1366))</f>
      </c>
      <c r="O1366" s="43">
        <f>IF($I1366=0,0,INDEX(DarlErsatzRate,3))</f>
      </c>
      <c r="P1366" s="43">
        <f>IF($I1366=0,0,$Q1365*INDEX(DarlErsatzZins,3))</f>
      </c>
      <c r="Q1366" s="43">
        <f>IF($I1366=0,0,$Q1365+$P1366+$O1366)</f>
      </c>
      <c r="R1366" s="43">
        <f>IF($I1366=0,0,$J1366-$M1366-$N1366)</f>
      </c>
    </row>
    <row r="1367">
      <c r="A1367"/>
      <c r="B1367">
        <v>3</v>
      </c>
      <c r="C1367" s="43">
        <f>INDEX(DarlObj,3)</f>
      </c>
      <c r="D1367">
        <v>404</v>
      </c>
      <c r="E1367" s="51">
        <f>IF(INDEX(DarlBelegt,3)=0,0,EOMONTH(INDEX(DarlAuszahlung,3),403)+1)</f>
      </c>
      <c r="F1367" s="43">
        <f>IF($E1367=0,0,YEAR($E1367))</f>
      </c>
      <c r="G1367" s="43">
        <f>IF(INDEX(DarlBindung,3)="",1,IF($E1367&lt;=INDEX(DarlBindung,3),1,0))</f>
      </c>
      <c r="H1367" s="43">
        <f>IF($G1367=1,INDEX(DarlSollzins,3),INDEX(DarlAnschluss,3))</f>
      </c>
      <c r="I1367" s="43">
        <f>IF(INDEX(DarlBelegt,3)=0,0,IF(INDEX(DarlOhneTilgung,3)=1,IF(INDEX(DarlBindung,3)="",1,$G1367),IF($J1367&gt;0.005,1,0)))</f>
      </c>
      <c r="J1367" s="43">
        <f>IF($I1366=0,0,$R1366)</f>
      </c>
      <c r="K1367" s="43">
        <f>IF($I1367=0,0,IF(INDEX(DarlOhneTilgung,3)=1,0,IF(AND(INDEX(DarlTilgStart,3)&gt;0,$E1367=INDEX(DarlTilgStart,3)),$J1367*($H1367+INDEX(DarlTilgung,3))/100/12,IF(AND($G1367=0,$G1366=1),MAX($K1366,$J1367*($H1367+1)/100/12),$K1366))))</f>
      </c>
      <c r="L1367" s="43">
        <f>IF($I1367=0,0,$J1367*$H1367/100/12)</f>
      </c>
      <c r="M1367" s="43">
        <f>IF($I1367=0,0,IF(OR(INDEX(DarlOhneTilgung,3)=1,AND(INDEX(DarlTilgStart,3)&gt;0,$E1367&lt;INDEX(DarlTilgStart,3))),0,MIN(MAX(0,$K1367-$L1367),$J1367)))</f>
      </c>
      <c r="N1367" s="43">
        <f>IF($I1367=0,0,MIN(SUMIFS(SondBetrag,SondDarl,3,SondDatum,"&gt;="&amp;$E1367,SondDatum,"&lt;="&amp;EOMONTH($E1367,0)),$J1367-$M1367))</f>
      </c>
      <c r="O1367" s="43">
        <f>IF($I1367=0,0,INDEX(DarlErsatzRate,3))</f>
      </c>
      <c r="P1367" s="43">
        <f>IF($I1367=0,0,$Q1366*INDEX(DarlErsatzZins,3))</f>
      </c>
      <c r="Q1367" s="43">
        <f>IF($I1367=0,0,$Q1366+$P1367+$O1367)</f>
      </c>
      <c r="R1367" s="43">
        <f>IF($I1367=0,0,$J1367-$M1367-$N1367)</f>
      </c>
    </row>
    <row r="1368">
      <c r="A1368"/>
      <c r="B1368">
        <v>3</v>
      </c>
      <c r="C1368" s="43">
        <f>INDEX(DarlObj,3)</f>
      </c>
      <c r="D1368">
        <v>405</v>
      </c>
      <c r="E1368" s="51">
        <f>IF(INDEX(DarlBelegt,3)=0,0,EOMONTH(INDEX(DarlAuszahlung,3),404)+1)</f>
      </c>
      <c r="F1368" s="43">
        <f>IF($E1368=0,0,YEAR($E1368))</f>
      </c>
      <c r="G1368" s="43">
        <f>IF(INDEX(DarlBindung,3)="",1,IF($E1368&lt;=INDEX(DarlBindung,3),1,0))</f>
      </c>
      <c r="H1368" s="43">
        <f>IF($G1368=1,INDEX(DarlSollzins,3),INDEX(DarlAnschluss,3))</f>
      </c>
      <c r="I1368" s="43">
        <f>IF(INDEX(DarlBelegt,3)=0,0,IF(INDEX(DarlOhneTilgung,3)=1,IF(INDEX(DarlBindung,3)="",1,$G1368),IF($J1368&gt;0.005,1,0)))</f>
      </c>
      <c r="J1368" s="43">
        <f>IF($I1367=0,0,$R1367)</f>
      </c>
      <c r="K1368" s="43">
        <f>IF($I1368=0,0,IF(INDEX(DarlOhneTilgung,3)=1,0,IF(AND(INDEX(DarlTilgStart,3)&gt;0,$E1368=INDEX(DarlTilgStart,3)),$J1368*($H1368+INDEX(DarlTilgung,3))/100/12,IF(AND($G1368=0,$G1367=1),MAX($K1367,$J1368*($H1368+1)/100/12),$K1367))))</f>
      </c>
      <c r="L1368" s="43">
        <f>IF($I1368=0,0,$J1368*$H1368/100/12)</f>
      </c>
      <c r="M1368" s="43">
        <f>IF($I1368=0,0,IF(OR(INDEX(DarlOhneTilgung,3)=1,AND(INDEX(DarlTilgStart,3)&gt;0,$E1368&lt;INDEX(DarlTilgStart,3))),0,MIN(MAX(0,$K1368-$L1368),$J1368)))</f>
      </c>
      <c r="N1368" s="43">
        <f>IF($I1368=0,0,MIN(SUMIFS(SondBetrag,SondDarl,3,SondDatum,"&gt;="&amp;$E1368,SondDatum,"&lt;="&amp;EOMONTH($E1368,0)),$J1368-$M1368))</f>
      </c>
      <c r="O1368" s="43">
        <f>IF($I1368=0,0,INDEX(DarlErsatzRate,3))</f>
      </c>
      <c r="P1368" s="43">
        <f>IF($I1368=0,0,$Q1367*INDEX(DarlErsatzZins,3))</f>
      </c>
      <c r="Q1368" s="43">
        <f>IF($I1368=0,0,$Q1367+$P1368+$O1368)</f>
      </c>
      <c r="R1368" s="43">
        <f>IF($I1368=0,0,$J1368-$M1368-$N1368)</f>
      </c>
    </row>
    <row r="1369">
      <c r="A1369"/>
      <c r="B1369">
        <v>3</v>
      </c>
      <c r="C1369" s="43">
        <f>INDEX(DarlObj,3)</f>
      </c>
      <c r="D1369">
        <v>406</v>
      </c>
      <c r="E1369" s="51">
        <f>IF(INDEX(DarlBelegt,3)=0,0,EOMONTH(INDEX(DarlAuszahlung,3),405)+1)</f>
      </c>
      <c r="F1369" s="43">
        <f>IF($E1369=0,0,YEAR($E1369))</f>
      </c>
      <c r="G1369" s="43">
        <f>IF(INDEX(DarlBindung,3)="",1,IF($E1369&lt;=INDEX(DarlBindung,3),1,0))</f>
      </c>
      <c r="H1369" s="43">
        <f>IF($G1369=1,INDEX(DarlSollzins,3),INDEX(DarlAnschluss,3))</f>
      </c>
      <c r="I1369" s="43">
        <f>IF(INDEX(DarlBelegt,3)=0,0,IF(INDEX(DarlOhneTilgung,3)=1,IF(INDEX(DarlBindung,3)="",1,$G1369),IF($J1369&gt;0.005,1,0)))</f>
      </c>
      <c r="J1369" s="43">
        <f>IF($I1368=0,0,$R1368)</f>
      </c>
      <c r="K1369" s="43">
        <f>IF($I1369=0,0,IF(INDEX(DarlOhneTilgung,3)=1,0,IF(AND(INDEX(DarlTilgStart,3)&gt;0,$E1369=INDEX(DarlTilgStart,3)),$J1369*($H1369+INDEX(DarlTilgung,3))/100/12,IF(AND($G1369=0,$G1368=1),MAX($K1368,$J1369*($H1369+1)/100/12),$K1368))))</f>
      </c>
      <c r="L1369" s="43">
        <f>IF($I1369=0,0,$J1369*$H1369/100/12)</f>
      </c>
      <c r="M1369" s="43">
        <f>IF($I1369=0,0,IF(OR(INDEX(DarlOhneTilgung,3)=1,AND(INDEX(DarlTilgStart,3)&gt;0,$E1369&lt;INDEX(DarlTilgStart,3))),0,MIN(MAX(0,$K1369-$L1369),$J1369)))</f>
      </c>
      <c r="N1369" s="43">
        <f>IF($I1369=0,0,MIN(SUMIFS(SondBetrag,SondDarl,3,SondDatum,"&gt;="&amp;$E1369,SondDatum,"&lt;="&amp;EOMONTH($E1369,0)),$J1369-$M1369))</f>
      </c>
      <c r="O1369" s="43">
        <f>IF($I1369=0,0,INDEX(DarlErsatzRate,3))</f>
      </c>
      <c r="P1369" s="43">
        <f>IF($I1369=0,0,$Q1368*INDEX(DarlErsatzZins,3))</f>
      </c>
      <c r="Q1369" s="43">
        <f>IF($I1369=0,0,$Q1368+$P1369+$O1369)</f>
      </c>
      <c r="R1369" s="43">
        <f>IF($I1369=0,0,$J1369-$M1369-$N1369)</f>
      </c>
    </row>
    <row r="1370">
      <c r="A1370"/>
      <c r="B1370">
        <v>3</v>
      </c>
      <c r="C1370" s="43">
        <f>INDEX(DarlObj,3)</f>
      </c>
      <c r="D1370">
        <v>407</v>
      </c>
      <c r="E1370" s="51">
        <f>IF(INDEX(DarlBelegt,3)=0,0,EOMONTH(INDEX(DarlAuszahlung,3),406)+1)</f>
      </c>
      <c r="F1370" s="43">
        <f>IF($E1370=0,0,YEAR($E1370))</f>
      </c>
      <c r="G1370" s="43">
        <f>IF(INDEX(DarlBindung,3)="",1,IF($E1370&lt;=INDEX(DarlBindung,3),1,0))</f>
      </c>
      <c r="H1370" s="43">
        <f>IF($G1370=1,INDEX(DarlSollzins,3),INDEX(DarlAnschluss,3))</f>
      </c>
      <c r="I1370" s="43">
        <f>IF(INDEX(DarlBelegt,3)=0,0,IF(INDEX(DarlOhneTilgung,3)=1,IF(INDEX(DarlBindung,3)="",1,$G1370),IF($J1370&gt;0.005,1,0)))</f>
      </c>
      <c r="J1370" s="43">
        <f>IF($I1369=0,0,$R1369)</f>
      </c>
      <c r="K1370" s="43">
        <f>IF($I1370=0,0,IF(INDEX(DarlOhneTilgung,3)=1,0,IF(AND(INDEX(DarlTilgStart,3)&gt;0,$E1370=INDEX(DarlTilgStart,3)),$J1370*($H1370+INDEX(DarlTilgung,3))/100/12,IF(AND($G1370=0,$G1369=1),MAX($K1369,$J1370*($H1370+1)/100/12),$K1369))))</f>
      </c>
      <c r="L1370" s="43">
        <f>IF($I1370=0,0,$J1370*$H1370/100/12)</f>
      </c>
      <c r="M1370" s="43">
        <f>IF($I1370=0,0,IF(OR(INDEX(DarlOhneTilgung,3)=1,AND(INDEX(DarlTilgStart,3)&gt;0,$E1370&lt;INDEX(DarlTilgStart,3))),0,MIN(MAX(0,$K1370-$L1370),$J1370)))</f>
      </c>
      <c r="N1370" s="43">
        <f>IF($I1370=0,0,MIN(SUMIFS(SondBetrag,SondDarl,3,SondDatum,"&gt;="&amp;$E1370,SondDatum,"&lt;="&amp;EOMONTH($E1370,0)),$J1370-$M1370))</f>
      </c>
      <c r="O1370" s="43">
        <f>IF($I1370=0,0,INDEX(DarlErsatzRate,3))</f>
      </c>
      <c r="P1370" s="43">
        <f>IF($I1370=0,0,$Q1369*INDEX(DarlErsatzZins,3))</f>
      </c>
      <c r="Q1370" s="43">
        <f>IF($I1370=0,0,$Q1369+$P1370+$O1370)</f>
      </c>
      <c r="R1370" s="43">
        <f>IF($I1370=0,0,$J1370-$M1370-$N1370)</f>
      </c>
    </row>
    <row r="1371">
      <c r="A1371"/>
      <c r="B1371">
        <v>3</v>
      </c>
      <c r="C1371" s="43">
        <f>INDEX(DarlObj,3)</f>
      </c>
      <c r="D1371">
        <v>408</v>
      </c>
      <c r="E1371" s="51">
        <f>IF(INDEX(DarlBelegt,3)=0,0,EOMONTH(INDEX(DarlAuszahlung,3),407)+1)</f>
      </c>
      <c r="F1371" s="43">
        <f>IF($E1371=0,0,YEAR($E1371))</f>
      </c>
      <c r="G1371" s="43">
        <f>IF(INDEX(DarlBindung,3)="",1,IF($E1371&lt;=INDEX(DarlBindung,3),1,0))</f>
      </c>
      <c r="H1371" s="43">
        <f>IF($G1371=1,INDEX(DarlSollzins,3),INDEX(DarlAnschluss,3))</f>
      </c>
      <c r="I1371" s="43">
        <f>IF(INDEX(DarlBelegt,3)=0,0,IF(INDEX(DarlOhneTilgung,3)=1,IF(INDEX(DarlBindung,3)="",1,$G1371),IF($J1371&gt;0.005,1,0)))</f>
      </c>
      <c r="J1371" s="43">
        <f>IF($I1370=0,0,$R1370)</f>
      </c>
      <c r="K1371" s="43">
        <f>IF($I1371=0,0,IF(INDEX(DarlOhneTilgung,3)=1,0,IF(AND(INDEX(DarlTilgStart,3)&gt;0,$E1371=INDEX(DarlTilgStart,3)),$J1371*($H1371+INDEX(DarlTilgung,3))/100/12,IF(AND($G1371=0,$G1370=1),MAX($K1370,$J1371*($H1371+1)/100/12),$K1370))))</f>
      </c>
      <c r="L1371" s="43">
        <f>IF($I1371=0,0,$J1371*$H1371/100/12)</f>
      </c>
      <c r="M1371" s="43">
        <f>IF($I1371=0,0,IF(OR(INDEX(DarlOhneTilgung,3)=1,AND(INDEX(DarlTilgStart,3)&gt;0,$E1371&lt;INDEX(DarlTilgStart,3))),0,MIN(MAX(0,$K1371-$L1371),$J1371)))</f>
      </c>
      <c r="N1371" s="43">
        <f>IF($I1371=0,0,MIN(SUMIFS(SondBetrag,SondDarl,3,SondDatum,"&gt;="&amp;$E1371,SondDatum,"&lt;="&amp;EOMONTH($E1371,0)),$J1371-$M1371))</f>
      </c>
      <c r="O1371" s="43">
        <f>IF($I1371=0,0,INDEX(DarlErsatzRate,3))</f>
      </c>
      <c r="P1371" s="43">
        <f>IF($I1371=0,0,$Q1370*INDEX(DarlErsatzZins,3))</f>
      </c>
      <c r="Q1371" s="43">
        <f>IF($I1371=0,0,$Q1370+$P1371+$O1371)</f>
      </c>
      <c r="R1371" s="43">
        <f>IF($I1371=0,0,$J1371-$M1371-$N1371)</f>
      </c>
    </row>
    <row r="1372">
      <c r="A1372"/>
      <c r="B1372">
        <v>3</v>
      </c>
      <c r="C1372" s="43">
        <f>INDEX(DarlObj,3)</f>
      </c>
      <c r="D1372">
        <v>409</v>
      </c>
      <c r="E1372" s="51">
        <f>IF(INDEX(DarlBelegt,3)=0,0,EOMONTH(INDEX(DarlAuszahlung,3),408)+1)</f>
      </c>
      <c r="F1372" s="43">
        <f>IF($E1372=0,0,YEAR($E1372))</f>
      </c>
      <c r="G1372" s="43">
        <f>IF(INDEX(DarlBindung,3)="",1,IF($E1372&lt;=INDEX(DarlBindung,3),1,0))</f>
      </c>
      <c r="H1372" s="43">
        <f>IF($G1372=1,INDEX(DarlSollzins,3),INDEX(DarlAnschluss,3))</f>
      </c>
      <c r="I1372" s="43">
        <f>IF(INDEX(DarlBelegt,3)=0,0,IF(INDEX(DarlOhneTilgung,3)=1,IF(INDEX(DarlBindung,3)="",1,$G1372),IF($J1372&gt;0.005,1,0)))</f>
      </c>
      <c r="J1372" s="43">
        <f>IF($I1371=0,0,$R1371)</f>
      </c>
      <c r="K1372" s="43">
        <f>IF($I1372=0,0,IF(INDEX(DarlOhneTilgung,3)=1,0,IF(AND(INDEX(DarlTilgStart,3)&gt;0,$E1372=INDEX(DarlTilgStart,3)),$J1372*($H1372+INDEX(DarlTilgung,3))/100/12,IF(AND($G1372=0,$G1371=1),MAX($K1371,$J1372*($H1372+1)/100/12),$K1371))))</f>
      </c>
      <c r="L1372" s="43">
        <f>IF($I1372=0,0,$J1372*$H1372/100/12)</f>
      </c>
      <c r="M1372" s="43">
        <f>IF($I1372=0,0,IF(OR(INDEX(DarlOhneTilgung,3)=1,AND(INDEX(DarlTilgStart,3)&gt;0,$E1372&lt;INDEX(DarlTilgStart,3))),0,MIN(MAX(0,$K1372-$L1372),$J1372)))</f>
      </c>
      <c r="N1372" s="43">
        <f>IF($I1372=0,0,MIN(SUMIFS(SondBetrag,SondDarl,3,SondDatum,"&gt;="&amp;$E1372,SondDatum,"&lt;="&amp;EOMONTH($E1372,0)),$J1372-$M1372))</f>
      </c>
      <c r="O1372" s="43">
        <f>IF($I1372=0,0,INDEX(DarlErsatzRate,3))</f>
      </c>
      <c r="P1372" s="43">
        <f>IF($I1372=0,0,$Q1371*INDEX(DarlErsatzZins,3))</f>
      </c>
      <c r="Q1372" s="43">
        <f>IF($I1372=0,0,$Q1371+$P1372+$O1372)</f>
      </c>
      <c r="R1372" s="43">
        <f>IF($I1372=0,0,$J1372-$M1372-$N1372)</f>
      </c>
    </row>
    <row r="1373">
      <c r="A1373"/>
      <c r="B1373">
        <v>3</v>
      </c>
      <c r="C1373" s="43">
        <f>INDEX(DarlObj,3)</f>
      </c>
      <c r="D1373">
        <v>410</v>
      </c>
      <c r="E1373" s="51">
        <f>IF(INDEX(DarlBelegt,3)=0,0,EOMONTH(INDEX(DarlAuszahlung,3),409)+1)</f>
      </c>
      <c r="F1373" s="43">
        <f>IF($E1373=0,0,YEAR($E1373))</f>
      </c>
      <c r="G1373" s="43">
        <f>IF(INDEX(DarlBindung,3)="",1,IF($E1373&lt;=INDEX(DarlBindung,3),1,0))</f>
      </c>
      <c r="H1373" s="43">
        <f>IF($G1373=1,INDEX(DarlSollzins,3),INDEX(DarlAnschluss,3))</f>
      </c>
      <c r="I1373" s="43">
        <f>IF(INDEX(DarlBelegt,3)=0,0,IF(INDEX(DarlOhneTilgung,3)=1,IF(INDEX(DarlBindung,3)="",1,$G1373),IF($J1373&gt;0.005,1,0)))</f>
      </c>
      <c r="J1373" s="43">
        <f>IF($I1372=0,0,$R1372)</f>
      </c>
      <c r="K1373" s="43">
        <f>IF($I1373=0,0,IF(INDEX(DarlOhneTilgung,3)=1,0,IF(AND(INDEX(DarlTilgStart,3)&gt;0,$E1373=INDEX(DarlTilgStart,3)),$J1373*($H1373+INDEX(DarlTilgung,3))/100/12,IF(AND($G1373=0,$G1372=1),MAX($K1372,$J1373*($H1373+1)/100/12),$K1372))))</f>
      </c>
      <c r="L1373" s="43">
        <f>IF($I1373=0,0,$J1373*$H1373/100/12)</f>
      </c>
      <c r="M1373" s="43">
        <f>IF($I1373=0,0,IF(OR(INDEX(DarlOhneTilgung,3)=1,AND(INDEX(DarlTilgStart,3)&gt;0,$E1373&lt;INDEX(DarlTilgStart,3))),0,MIN(MAX(0,$K1373-$L1373),$J1373)))</f>
      </c>
      <c r="N1373" s="43">
        <f>IF($I1373=0,0,MIN(SUMIFS(SondBetrag,SondDarl,3,SondDatum,"&gt;="&amp;$E1373,SondDatum,"&lt;="&amp;EOMONTH($E1373,0)),$J1373-$M1373))</f>
      </c>
      <c r="O1373" s="43">
        <f>IF($I1373=0,0,INDEX(DarlErsatzRate,3))</f>
      </c>
      <c r="P1373" s="43">
        <f>IF($I1373=0,0,$Q1372*INDEX(DarlErsatzZins,3))</f>
      </c>
      <c r="Q1373" s="43">
        <f>IF($I1373=0,0,$Q1372+$P1373+$O1373)</f>
      </c>
      <c r="R1373" s="43">
        <f>IF($I1373=0,0,$J1373-$M1373-$N1373)</f>
      </c>
    </row>
    <row r="1374">
      <c r="A1374"/>
      <c r="B1374">
        <v>3</v>
      </c>
      <c r="C1374" s="43">
        <f>INDEX(DarlObj,3)</f>
      </c>
      <c r="D1374">
        <v>411</v>
      </c>
      <c r="E1374" s="51">
        <f>IF(INDEX(DarlBelegt,3)=0,0,EOMONTH(INDEX(DarlAuszahlung,3),410)+1)</f>
      </c>
      <c r="F1374" s="43">
        <f>IF($E1374=0,0,YEAR($E1374))</f>
      </c>
      <c r="G1374" s="43">
        <f>IF(INDEX(DarlBindung,3)="",1,IF($E1374&lt;=INDEX(DarlBindung,3),1,0))</f>
      </c>
      <c r="H1374" s="43">
        <f>IF($G1374=1,INDEX(DarlSollzins,3),INDEX(DarlAnschluss,3))</f>
      </c>
      <c r="I1374" s="43">
        <f>IF(INDEX(DarlBelegt,3)=0,0,IF(INDEX(DarlOhneTilgung,3)=1,IF(INDEX(DarlBindung,3)="",1,$G1374),IF($J1374&gt;0.005,1,0)))</f>
      </c>
      <c r="J1374" s="43">
        <f>IF($I1373=0,0,$R1373)</f>
      </c>
      <c r="K1374" s="43">
        <f>IF($I1374=0,0,IF(INDEX(DarlOhneTilgung,3)=1,0,IF(AND(INDEX(DarlTilgStart,3)&gt;0,$E1374=INDEX(DarlTilgStart,3)),$J1374*($H1374+INDEX(DarlTilgung,3))/100/12,IF(AND($G1374=0,$G1373=1),MAX($K1373,$J1374*($H1374+1)/100/12),$K1373))))</f>
      </c>
      <c r="L1374" s="43">
        <f>IF($I1374=0,0,$J1374*$H1374/100/12)</f>
      </c>
      <c r="M1374" s="43">
        <f>IF($I1374=0,0,IF(OR(INDEX(DarlOhneTilgung,3)=1,AND(INDEX(DarlTilgStart,3)&gt;0,$E1374&lt;INDEX(DarlTilgStart,3))),0,MIN(MAX(0,$K1374-$L1374),$J1374)))</f>
      </c>
      <c r="N1374" s="43">
        <f>IF($I1374=0,0,MIN(SUMIFS(SondBetrag,SondDarl,3,SondDatum,"&gt;="&amp;$E1374,SondDatum,"&lt;="&amp;EOMONTH($E1374,0)),$J1374-$M1374))</f>
      </c>
      <c r="O1374" s="43">
        <f>IF($I1374=0,0,INDEX(DarlErsatzRate,3))</f>
      </c>
      <c r="P1374" s="43">
        <f>IF($I1374=0,0,$Q1373*INDEX(DarlErsatzZins,3))</f>
      </c>
      <c r="Q1374" s="43">
        <f>IF($I1374=0,0,$Q1373+$P1374+$O1374)</f>
      </c>
      <c r="R1374" s="43">
        <f>IF($I1374=0,0,$J1374-$M1374-$N1374)</f>
      </c>
    </row>
    <row r="1375">
      <c r="A1375"/>
      <c r="B1375">
        <v>3</v>
      </c>
      <c r="C1375" s="43">
        <f>INDEX(DarlObj,3)</f>
      </c>
      <c r="D1375">
        <v>412</v>
      </c>
      <c r="E1375" s="51">
        <f>IF(INDEX(DarlBelegt,3)=0,0,EOMONTH(INDEX(DarlAuszahlung,3),411)+1)</f>
      </c>
      <c r="F1375" s="43">
        <f>IF($E1375=0,0,YEAR($E1375))</f>
      </c>
      <c r="G1375" s="43">
        <f>IF(INDEX(DarlBindung,3)="",1,IF($E1375&lt;=INDEX(DarlBindung,3),1,0))</f>
      </c>
      <c r="H1375" s="43">
        <f>IF($G1375=1,INDEX(DarlSollzins,3),INDEX(DarlAnschluss,3))</f>
      </c>
      <c r="I1375" s="43">
        <f>IF(INDEX(DarlBelegt,3)=0,0,IF(INDEX(DarlOhneTilgung,3)=1,IF(INDEX(DarlBindung,3)="",1,$G1375),IF($J1375&gt;0.005,1,0)))</f>
      </c>
      <c r="J1375" s="43">
        <f>IF($I1374=0,0,$R1374)</f>
      </c>
      <c r="K1375" s="43">
        <f>IF($I1375=0,0,IF(INDEX(DarlOhneTilgung,3)=1,0,IF(AND(INDEX(DarlTilgStart,3)&gt;0,$E1375=INDEX(DarlTilgStart,3)),$J1375*($H1375+INDEX(DarlTilgung,3))/100/12,IF(AND($G1375=0,$G1374=1),MAX($K1374,$J1375*($H1375+1)/100/12),$K1374))))</f>
      </c>
      <c r="L1375" s="43">
        <f>IF($I1375=0,0,$J1375*$H1375/100/12)</f>
      </c>
      <c r="M1375" s="43">
        <f>IF($I1375=0,0,IF(OR(INDEX(DarlOhneTilgung,3)=1,AND(INDEX(DarlTilgStart,3)&gt;0,$E1375&lt;INDEX(DarlTilgStart,3))),0,MIN(MAX(0,$K1375-$L1375),$J1375)))</f>
      </c>
      <c r="N1375" s="43">
        <f>IF($I1375=0,0,MIN(SUMIFS(SondBetrag,SondDarl,3,SondDatum,"&gt;="&amp;$E1375,SondDatum,"&lt;="&amp;EOMONTH($E1375,0)),$J1375-$M1375))</f>
      </c>
      <c r="O1375" s="43">
        <f>IF($I1375=0,0,INDEX(DarlErsatzRate,3))</f>
      </c>
      <c r="P1375" s="43">
        <f>IF($I1375=0,0,$Q1374*INDEX(DarlErsatzZins,3))</f>
      </c>
      <c r="Q1375" s="43">
        <f>IF($I1375=0,0,$Q1374+$P1375+$O1375)</f>
      </c>
      <c r="R1375" s="43">
        <f>IF($I1375=0,0,$J1375-$M1375-$N1375)</f>
      </c>
    </row>
    <row r="1376">
      <c r="A1376"/>
      <c r="B1376">
        <v>3</v>
      </c>
      <c r="C1376" s="43">
        <f>INDEX(DarlObj,3)</f>
      </c>
      <c r="D1376">
        <v>413</v>
      </c>
      <c r="E1376" s="51">
        <f>IF(INDEX(DarlBelegt,3)=0,0,EOMONTH(INDEX(DarlAuszahlung,3),412)+1)</f>
      </c>
      <c r="F1376" s="43">
        <f>IF($E1376=0,0,YEAR($E1376))</f>
      </c>
      <c r="G1376" s="43">
        <f>IF(INDEX(DarlBindung,3)="",1,IF($E1376&lt;=INDEX(DarlBindung,3),1,0))</f>
      </c>
      <c r="H1376" s="43">
        <f>IF($G1376=1,INDEX(DarlSollzins,3),INDEX(DarlAnschluss,3))</f>
      </c>
      <c r="I1376" s="43">
        <f>IF(INDEX(DarlBelegt,3)=0,0,IF(INDEX(DarlOhneTilgung,3)=1,IF(INDEX(DarlBindung,3)="",1,$G1376),IF($J1376&gt;0.005,1,0)))</f>
      </c>
      <c r="J1376" s="43">
        <f>IF($I1375=0,0,$R1375)</f>
      </c>
      <c r="K1376" s="43">
        <f>IF($I1376=0,0,IF(INDEX(DarlOhneTilgung,3)=1,0,IF(AND(INDEX(DarlTilgStart,3)&gt;0,$E1376=INDEX(DarlTilgStart,3)),$J1376*($H1376+INDEX(DarlTilgung,3))/100/12,IF(AND($G1376=0,$G1375=1),MAX($K1375,$J1376*($H1376+1)/100/12),$K1375))))</f>
      </c>
      <c r="L1376" s="43">
        <f>IF($I1376=0,0,$J1376*$H1376/100/12)</f>
      </c>
      <c r="M1376" s="43">
        <f>IF($I1376=0,0,IF(OR(INDEX(DarlOhneTilgung,3)=1,AND(INDEX(DarlTilgStart,3)&gt;0,$E1376&lt;INDEX(DarlTilgStart,3))),0,MIN(MAX(0,$K1376-$L1376),$J1376)))</f>
      </c>
      <c r="N1376" s="43">
        <f>IF($I1376=0,0,MIN(SUMIFS(SondBetrag,SondDarl,3,SondDatum,"&gt;="&amp;$E1376,SondDatum,"&lt;="&amp;EOMONTH($E1376,0)),$J1376-$M1376))</f>
      </c>
      <c r="O1376" s="43">
        <f>IF($I1376=0,0,INDEX(DarlErsatzRate,3))</f>
      </c>
      <c r="P1376" s="43">
        <f>IF($I1376=0,0,$Q1375*INDEX(DarlErsatzZins,3))</f>
      </c>
      <c r="Q1376" s="43">
        <f>IF($I1376=0,0,$Q1375+$P1376+$O1376)</f>
      </c>
      <c r="R1376" s="43">
        <f>IF($I1376=0,0,$J1376-$M1376-$N1376)</f>
      </c>
    </row>
    <row r="1377">
      <c r="A1377"/>
      <c r="B1377">
        <v>3</v>
      </c>
      <c r="C1377" s="43">
        <f>INDEX(DarlObj,3)</f>
      </c>
      <c r="D1377">
        <v>414</v>
      </c>
      <c r="E1377" s="51">
        <f>IF(INDEX(DarlBelegt,3)=0,0,EOMONTH(INDEX(DarlAuszahlung,3),413)+1)</f>
      </c>
      <c r="F1377" s="43">
        <f>IF($E1377=0,0,YEAR($E1377))</f>
      </c>
      <c r="G1377" s="43">
        <f>IF(INDEX(DarlBindung,3)="",1,IF($E1377&lt;=INDEX(DarlBindung,3),1,0))</f>
      </c>
      <c r="H1377" s="43">
        <f>IF($G1377=1,INDEX(DarlSollzins,3),INDEX(DarlAnschluss,3))</f>
      </c>
      <c r="I1377" s="43">
        <f>IF(INDEX(DarlBelegt,3)=0,0,IF(INDEX(DarlOhneTilgung,3)=1,IF(INDEX(DarlBindung,3)="",1,$G1377),IF($J1377&gt;0.005,1,0)))</f>
      </c>
      <c r="J1377" s="43">
        <f>IF($I1376=0,0,$R1376)</f>
      </c>
      <c r="K1377" s="43">
        <f>IF($I1377=0,0,IF(INDEX(DarlOhneTilgung,3)=1,0,IF(AND(INDEX(DarlTilgStart,3)&gt;0,$E1377=INDEX(DarlTilgStart,3)),$J1377*($H1377+INDEX(DarlTilgung,3))/100/12,IF(AND($G1377=0,$G1376=1),MAX($K1376,$J1377*($H1377+1)/100/12),$K1376))))</f>
      </c>
      <c r="L1377" s="43">
        <f>IF($I1377=0,0,$J1377*$H1377/100/12)</f>
      </c>
      <c r="M1377" s="43">
        <f>IF($I1377=0,0,IF(OR(INDEX(DarlOhneTilgung,3)=1,AND(INDEX(DarlTilgStart,3)&gt;0,$E1377&lt;INDEX(DarlTilgStart,3))),0,MIN(MAX(0,$K1377-$L1377),$J1377)))</f>
      </c>
      <c r="N1377" s="43">
        <f>IF($I1377=0,0,MIN(SUMIFS(SondBetrag,SondDarl,3,SondDatum,"&gt;="&amp;$E1377,SondDatum,"&lt;="&amp;EOMONTH($E1377,0)),$J1377-$M1377))</f>
      </c>
      <c r="O1377" s="43">
        <f>IF($I1377=0,0,INDEX(DarlErsatzRate,3))</f>
      </c>
      <c r="P1377" s="43">
        <f>IF($I1377=0,0,$Q1376*INDEX(DarlErsatzZins,3))</f>
      </c>
      <c r="Q1377" s="43">
        <f>IF($I1377=0,0,$Q1376+$P1377+$O1377)</f>
      </c>
      <c r="R1377" s="43">
        <f>IF($I1377=0,0,$J1377-$M1377-$N1377)</f>
      </c>
    </row>
    <row r="1378">
      <c r="A1378"/>
      <c r="B1378">
        <v>3</v>
      </c>
      <c r="C1378" s="43">
        <f>INDEX(DarlObj,3)</f>
      </c>
      <c r="D1378">
        <v>415</v>
      </c>
      <c r="E1378" s="51">
        <f>IF(INDEX(DarlBelegt,3)=0,0,EOMONTH(INDEX(DarlAuszahlung,3),414)+1)</f>
      </c>
      <c r="F1378" s="43">
        <f>IF($E1378=0,0,YEAR($E1378))</f>
      </c>
      <c r="G1378" s="43">
        <f>IF(INDEX(DarlBindung,3)="",1,IF($E1378&lt;=INDEX(DarlBindung,3),1,0))</f>
      </c>
      <c r="H1378" s="43">
        <f>IF($G1378=1,INDEX(DarlSollzins,3),INDEX(DarlAnschluss,3))</f>
      </c>
      <c r="I1378" s="43">
        <f>IF(INDEX(DarlBelegt,3)=0,0,IF(INDEX(DarlOhneTilgung,3)=1,IF(INDEX(DarlBindung,3)="",1,$G1378),IF($J1378&gt;0.005,1,0)))</f>
      </c>
      <c r="J1378" s="43">
        <f>IF($I1377=0,0,$R1377)</f>
      </c>
      <c r="K1378" s="43">
        <f>IF($I1378=0,0,IF(INDEX(DarlOhneTilgung,3)=1,0,IF(AND(INDEX(DarlTilgStart,3)&gt;0,$E1378=INDEX(DarlTilgStart,3)),$J1378*($H1378+INDEX(DarlTilgung,3))/100/12,IF(AND($G1378=0,$G1377=1),MAX($K1377,$J1378*($H1378+1)/100/12),$K1377))))</f>
      </c>
      <c r="L1378" s="43">
        <f>IF($I1378=0,0,$J1378*$H1378/100/12)</f>
      </c>
      <c r="M1378" s="43">
        <f>IF($I1378=0,0,IF(OR(INDEX(DarlOhneTilgung,3)=1,AND(INDEX(DarlTilgStart,3)&gt;0,$E1378&lt;INDEX(DarlTilgStart,3))),0,MIN(MAX(0,$K1378-$L1378),$J1378)))</f>
      </c>
      <c r="N1378" s="43">
        <f>IF($I1378=0,0,MIN(SUMIFS(SondBetrag,SondDarl,3,SondDatum,"&gt;="&amp;$E1378,SondDatum,"&lt;="&amp;EOMONTH($E1378,0)),$J1378-$M1378))</f>
      </c>
      <c r="O1378" s="43">
        <f>IF($I1378=0,0,INDEX(DarlErsatzRate,3))</f>
      </c>
      <c r="P1378" s="43">
        <f>IF($I1378=0,0,$Q1377*INDEX(DarlErsatzZins,3))</f>
      </c>
      <c r="Q1378" s="43">
        <f>IF($I1378=0,0,$Q1377+$P1378+$O1378)</f>
      </c>
      <c r="R1378" s="43">
        <f>IF($I1378=0,0,$J1378-$M1378-$N1378)</f>
      </c>
    </row>
    <row r="1379">
      <c r="A1379"/>
      <c r="B1379">
        <v>3</v>
      </c>
      <c r="C1379" s="43">
        <f>INDEX(DarlObj,3)</f>
      </c>
      <c r="D1379">
        <v>416</v>
      </c>
      <c r="E1379" s="51">
        <f>IF(INDEX(DarlBelegt,3)=0,0,EOMONTH(INDEX(DarlAuszahlung,3),415)+1)</f>
      </c>
      <c r="F1379" s="43">
        <f>IF($E1379=0,0,YEAR($E1379))</f>
      </c>
      <c r="G1379" s="43">
        <f>IF(INDEX(DarlBindung,3)="",1,IF($E1379&lt;=INDEX(DarlBindung,3),1,0))</f>
      </c>
      <c r="H1379" s="43">
        <f>IF($G1379=1,INDEX(DarlSollzins,3),INDEX(DarlAnschluss,3))</f>
      </c>
      <c r="I1379" s="43">
        <f>IF(INDEX(DarlBelegt,3)=0,0,IF(INDEX(DarlOhneTilgung,3)=1,IF(INDEX(DarlBindung,3)="",1,$G1379),IF($J1379&gt;0.005,1,0)))</f>
      </c>
      <c r="J1379" s="43">
        <f>IF($I1378=0,0,$R1378)</f>
      </c>
      <c r="K1379" s="43">
        <f>IF($I1379=0,0,IF(INDEX(DarlOhneTilgung,3)=1,0,IF(AND(INDEX(DarlTilgStart,3)&gt;0,$E1379=INDEX(DarlTilgStart,3)),$J1379*($H1379+INDEX(DarlTilgung,3))/100/12,IF(AND($G1379=0,$G1378=1),MAX($K1378,$J1379*($H1379+1)/100/12),$K1378))))</f>
      </c>
      <c r="L1379" s="43">
        <f>IF($I1379=0,0,$J1379*$H1379/100/12)</f>
      </c>
      <c r="M1379" s="43">
        <f>IF($I1379=0,0,IF(OR(INDEX(DarlOhneTilgung,3)=1,AND(INDEX(DarlTilgStart,3)&gt;0,$E1379&lt;INDEX(DarlTilgStart,3))),0,MIN(MAX(0,$K1379-$L1379),$J1379)))</f>
      </c>
      <c r="N1379" s="43">
        <f>IF($I1379=0,0,MIN(SUMIFS(SondBetrag,SondDarl,3,SondDatum,"&gt;="&amp;$E1379,SondDatum,"&lt;="&amp;EOMONTH($E1379,0)),$J1379-$M1379))</f>
      </c>
      <c r="O1379" s="43">
        <f>IF($I1379=0,0,INDEX(DarlErsatzRate,3))</f>
      </c>
      <c r="P1379" s="43">
        <f>IF($I1379=0,0,$Q1378*INDEX(DarlErsatzZins,3))</f>
      </c>
      <c r="Q1379" s="43">
        <f>IF($I1379=0,0,$Q1378+$P1379+$O1379)</f>
      </c>
      <c r="R1379" s="43">
        <f>IF($I1379=0,0,$J1379-$M1379-$N1379)</f>
      </c>
    </row>
    <row r="1380">
      <c r="A1380"/>
      <c r="B1380">
        <v>3</v>
      </c>
      <c r="C1380" s="43">
        <f>INDEX(DarlObj,3)</f>
      </c>
      <c r="D1380">
        <v>417</v>
      </c>
      <c r="E1380" s="51">
        <f>IF(INDEX(DarlBelegt,3)=0,0,EOMONTH(INDEX(DarlAuszahlung,3),416)+1)</f>
      </c>
      <c r="F1380" s="43">
        <f>IF($E1380=0,0,YEAR($E1380))</f>
      </c>
      <c r="G1380" s="43">
        <f>IF(INDEX(DarlBindung,3)="",1,IF($E1380&lt;=INDEX(DarlBindung,3),1,0))</f>
      </c>
      <c r="H1380" s="43">
        <f>IF($G1380=1,INDEX(DarlSollzins,3),INDEX(DarlAnschluss,3))</f>
      </c>
      <c r="I1380" s="43">
        <f>IF(INDEX(DarlBelegt,3)=0,0,IF(INDEX(DarlOhneTilgung,3)=1,IF(INDEX(DarlBindung,3)="",1,$G1380),IF($J1380&gt;0.005,1,0)))</f>
      </c>
      <c r="J1380" s="43">
        <f>IF($I1379=0,0,$R1379)</f>
      </c>
      <c r="K1380" s="43">
        <f>IF($I1380=0,0,IF(INDEX(DarlOhneTilgung,3)=1,0,IF(AND(INDEX(DarlTilgStart,3)&gt;0,$E1380=INDEX(DarlTilgStart,3)),$J1380*($H1380+INDEX(DarlTilgung,3))/100/12,IF(AND($G1380=0,$G1379=1),MAX($K1379,$J1380*($H1380+1)/100/12),$K1379))))</f>
      </c>
      <c r="L1380" s="43">
        <f>IF($I1380=0,0,$J1380*$H1380/100/12)</f>
      </c>
      <c r="M1380" s="43">
        <f>IF($I1380=0,0,IF(OR(INDEX(DarlOhneTilgung,3)=1,AND(INDEX(DarlTilgStart,3)&gt;0,$E1380&lt;INDEX(DarlTilgStart,3))),0,MIN(MAX(0,$K1380-$L1380),$J1380)))</f>
      </c>
      <c r="N1380" s="43">
        <f>IF($I1380=0,0,MIN(SUMIFS(SondBetrag,SondDarl,3,SondDatum,"&gt;="&amp;$E1380,SondDatum,"&lt;="&amp;EOMONTH($E1380,0)),$J1380-$M1380))</f>
      </c>
      <c r="O1380" s="43">
        <f>IF($I1380=0,0,INDEX(DarlErsatzRate,3))</f>
      </c>
      <c r="P1380" s="43">
        <f>IF($I1380=0,0,$Q1379*INDEX(DarlErsatzZins,3))</f>
      </c>
      <c r="Q1380" s="43">
        <f>IF($I1380=0,0,$Q1379+$P1380+$O1380)</f>
      </c>
      <c r="R1380" s="43">
        <f>IF($I1380=0,0,$J1380-$M1380-$N1380)</f>
      </c>
    </row>
    <row r="1381">
      <c r="A1381"/>
      <c r="B1381">
        <v>3</v>
      </c>
      <c r="C1381" s="43">
        <f>INDEX(DarlObj,3)</f>
      </c>
      <c r="D1381">
        <v>418</v>
      </c>
      <c r="E1381" s="51">
        <f>IF(INDEX(DarlBelegt,3)=0,0,EOMONTH(INDEX(DarlAuszahlung,3),417)+1)</f>
      </c>
      <c r="F1381" s="43">
        <f>IF($E1381=0,0,YEAR($E1381))</f>
      </c>
      <c r="G1381" s="43">
        <f>IF(INDEX(DarlBindung,3)="",1,IF($E1381&lt;=INDEX(DarlBindung,3),1,0))</f>
      </c>
      <c r="H1381" s="43">
        <f>IF($G1381=1,INDEX(DarlSollzins,3),INDEX(DarlAnschluss,3))</f>
      </c>
      <c r="I1381" s="43">
        <f>IF(INDEX(DarlBelegt,3)=0,0,IF(INDEX(DarlOhneTilgung,3)=1,IF(INDEX(DarlBindung,3)="",1,$G1381),IF($J1381&gt;0.005,1,0)))</f>
      </c>
      <c r="J1381" s="43">
        <f>IF($I1380=0,0,$R1380)</f>
      </c>
      <c r="K1381" s="43">
        <f>IF($I1381=0,0,IF(INDEX(DarlOhneTilgung,3)=1,0,IF(AND(INDEX(DarlTilgStart,3)&gt;0,$E1381=INDEX(DarlTilgStart,3)),$J1381*($H1381+INDEX(DarlTilgung,3))/100/12,IF(AND($G1381=0,$G1380=1),MAX($K1380,$J1381*($H1381+1)/100/12),$K1380))))</f>
      </c>
      <c r="L1381" s="43">
        <f>IF($I1381=0,0,$J1381*$H1381/100/12)</f>
      </c>
      <c r="M1381" s="43">
        <f>IF($I1381=0,0,IF(OR(INDEX(DarlOhneTilgung,3)=1,AND(INDEX(DarlTilgStart,3)&gt;0,$E1381&lt;INDEX(DarlTilgStart,3))),0,MIN(MAX(0,$K1381-$L1381),$J1381)))</f>
      </c>
      <c r="N1381" s="43">
        <f>IF($I1381=0,0,MIN(SUMIFS(SondBetrag,SondDarl,3,SondDatum,"&gt;="&amp;$E1381,SondDatum,"&lt;="&amp;EOMONTH($E1381,0)),$J1381-$M1381))</f>
      </c>
      <c r="O1381" s="43">
        <f>IF($I1381=0,0,INDEX(DarlErsatzRate,3))</f>
      </c>
      <c r="P1381" s="43">
        <f>IF($I1381=0,0,$Q1380*INDEX(DarlErsatzZins,3))</f>
      </c>
      <c r="Q1381" s="43">
        <f>IF($I1381=0,0,$Q1380+$P1381+$O1381)</f>
      </c>
      <c r="R1381" s="43">
        <f>IF($I1381=0,0,$J1381-$M1381-$N1381)</f>
      </c>
    </row>
    <row r="1382">
      <c r="A1382"/>
      <c r="B1382">
        <v>3</v>
      </c>
      <c r="C1382" s="43">
        <f>INDEX(DarlObj,3)</f>
      </c>
      <c r="D1382">
        <v>419</v>
      </c>
      <c r="E1382" s="51">
        <f>IF(INDEX(DarlBelegt,3)=0,0,EOMONTH(INDEX(DarlAuszahlung,3),418)+1)</f>
      </c>
      <c r="F1382" s="43">
        <f>IF($E1382=0,0,YEAR($E1382))</f>
      </c>
      <c r="G1382" s="43">
        <f>IF(INDEX(DarlBindung,3)="",1,IF($E1382&lt;=INDEX(DarlBindung,3),1,0))</f>
      </c>
      <c r="H1382" s="43">
        <f>IF($G1382=1,INDEX(DarlSollzins,3),INDEX(DarlAnschluss,3))</f>
      </c>
      <c r="I1382" s="43">
        <f>IF(INDEX(DarlBelegt,3)=0,0,IF(INDEX(DarlOhneTilgung,3)=1,IF(INDEX(DarlBindung,3)="",1,$G1382),IF($J1382&gt;0.005,1,0)))</f>
      </c>
      <c r="J1382" s="43">
        <f>IF($I1381=0,0,$R1381)</f>
      </c>
      <c r="K1382" s="43">
        <f>IF($I1382=0,0,IF(INDEX(DarlOhneTilgung,3)=1,0,IF(AND(INDEX(DarlTilgStart,3)&gt;0,$E1382=INDEX(DarlTilgStart,3)),$J1382*($H1382+INDEX(DarlTilgung,3))/100/12,IF(AND($G1382=0,$G1381=1),MAX($K1381,$J1382*($H1382+1)/100/12),$K1381))))</f>
      </c>
      <c r="L1382" s="43">
        <f>IF($I1382=0,0,$J1382*$H1382/100/12)</f>
      </c>
      <c r="M1382" s="43">
        <f>IF($I1382=0,0,IF(OR(INDEX(DarlOhneTilgung,3)=1,AND(INDEX(DarlTilgStart,3)&gt;0,$E1382&lt;INDEX(DarlTilgStart,3))),0,MIN(MAX(0,$K1382-$L1382),$J1382)))</f>
      </c>
      <c r="N1382" s="43">
        <f>IF($I1382=0,0,MIN(SUMIFS(SondBetrag,SondDarl,3,SondDatum,"&gt;="&amp;$E1382,SondDatum,"&lt;="&amp;EOMONTH($E1382,0)),$J1382-$M1382))</f>
      </c>
      <c r="O1382" s="43">
        <f>IF($I1382=0,0,INDEX(DarlErsatzRate,3))</f>
      </c>
      <c r="P1382" s="43">
        <f>IF($I1382=0,0,$Q1381*INDEX(DarlErsatzZins,3))</f>
      </c>
      <c r="Q1382" s="43">
        <f>IF($I1382=0,0,$Q1381+$P1382+$O1382)</f>
      </c>
      <c r="R1382" s="43">
        <f>IF($I1382=0,0,$J1382-$M1382-$N1382)</f>
      </c>
    </row>
    <row r="1383">
      <c r="A1383"/>
      <c r="B1383">
        <v>3</v>
      </c>
      <c r="C1383" s="43">
        <f>INDEX(DarlObj,3)</f>
      </c>
      <c r="D1383">
        <v>420</v>
      </c>
      <c r="E1383" s="51">
        <f>IF(INDEX(DarlBelegt,3)=0,0,EOMONTH(INDEX(DarlAuszahlung,3),419)+1)</f>
      </c>
      <c r="F1383" s="43">
        <f>IF($E1383=0,0,YEAR($E1383))</f>
      </c>
      <c r="G1383" s="43">
        <f>IF(INDEX(DarlBindung,3)="",1,IF($E1383&lt;=INDEX(DarlBindung,3),1,0))</f>
      </c>
      <c r="H1383" s="43">
        <f>IF($G1383=1,INDEX(DarlSollzins,3),INDEX(DarlAnschluss,3))</f>
      </c>
      <c r="I1383" s="43">
        <f>IF(INDEX(DarlBelegt,3)=0,0,IF(INDEX(DarlOhneTilgung,3)=1,IF(INDEX(DarlBindung,3)="",1,$G1383),IF($J1383&gt;0.005,1,0)))</f>
      </c>
      <c r="J1383" s="43">
        <f>IF($I1382=0,0,$R1382)</f>
      </c>
      <c r="K1383" s="43">
        <f>IF($I1383=0,0,IF(INDEX(DarlOhneTilgung,3)=1,0,IF(AND(INDEX(DarlTilgStart,3)&gt;0,$E1383=INDEX(DarlTilgStart,3)),$J1383*($H1383+INDEX(DarlTilgung,3))/100/12,IF(AND($G1383=0,$G1382=1),MAX($K1382,$J1383*($H1383+1)/100/12),$K1382))))</f>
      </c>
      <c r="L1383" s="43">
        <f>IF($I1383=0,0,$J1383*$H1383/100/12)</f>
      </c>
      <c r="M1383" s="43">
        <f>IF($I1383=0,0,IF(OR(INDEX(DarlOhneTilgung,3)=1,AND(INDEX(DarlTilgStart,3)&gt;0,$E1383&lt;INDEX(DarlTilgStart,3))),0,MIN(MAX(0,$K1383-$L1383),$J1383)))</f>
      </c>
      <c r="N1383" s="43">
        <f>IF($I1383=0,0,MIN(SUMIFS(SondBetrag,SondDarl,3,SondDatum,"&gt;="&amp;$E1383,SondDatum,"&lt;="&amp;EOMONTH($E1383,0)),$J1383-$M1383))</f>
      </c>
      <c r="O1383" s="43">
        <f>IF($I1383=0,0,INDEX(DarlErsatzRate,3))</f>
      </c>
      <c r="P1383" s="43">
        <f>IF($I1383=0,0,$Q1382*INDEX(DarlErsatzZins,3))</f>
      </c>
      <c r="Q1383" s="43">
        <f>IF($I1383=0,0,$Q1382+$P1383+$O1383)</f>
      </c>
      <c r="R1383" s="43">
        <f>IF($I1383=0,0,$J1383-$M1383-$N1383)</f>
      </c>
    </row>
    <row r="1384">
      <c r="A1384"/>
      <c r="B1384">
        <v>3</v>
      </c>
      <c r="C1384" s="43">
        <f>INDEX(DarlObj,3)</f>
      </c>
      <c r="D1384">
        <v>421</v>
      </c>
      <c r="E1384" s="51">
        <f>IF(INDEX(DarlBelegt,3)=0,0,EOMONTH(INDEX(DarlAuszahlung,3),420)+1)</f>
      </c>
      <c r="F1384" s="43">
        <f>IF($E1384=0,0,YEAR($E1384))</f>
      </c>
      <c r="G1384" s="43">
        <f>IF(INDEX(DarlBindung,3)="",1,IF($E1384&lt;=INDEX(DarlBindung,3),1,0))</f>
      </c>
      <c r="H1384" s="43">
        <f>IF($G1384=1,INDEX(DarlSollzins,3),INDEX(DarlAnschluss,3))</f>
      </c>
      <c r="I1384" s="43">
        <f>IF(INDEX(DarlBelegt,3)=0,0,IF(INDEX(DarlOhneTilgung,3)=1,IF(INDEX(DarlBindung,3)="",1,$G1384),IF($J1384&gt;0.005,1,0)))</f>
      </c>
      <c r="J1384" s="43">
        <f>IF($I1383=0,0,$R1383)</f>
      </c>
      <c r="K1384" s="43">
        <f>IF($I1384=0,0,IF(INDEX(DarlOhneTilgung,3)=1,0,IF(AND(INDEX(DarlTilgStart,3)&gt;0,$E1384=INDEX(DarlTilgStart,3)),$J1384*($H1384+INDEX(DarlTilgung,3))/100/12,IF(AND($G1384=0,$G1383=1),MAX($K1383,$J1384*($H1384+1)/100/12),$K1383))))</f>
      </c>
      <c r="L1384" s="43">
        <f>IF($I1384=0,0,$J1384*$H1384/100/12)</f>
      </c>
      <c r="M1384" s="43">
        <f>IF($I1384=0,0,IF(OR(INDEX(DarlOhneTilgung,3)=1,AND(INDEX(DarlTilgStart,3)&gt;0,$E1384&lt;INDEX(DarlTilgStart,3))),0,MIN(MAX(0,$K1384-$L1384),$J1384)))</f>
      </c>
      <c r="N1384" s="43">
        <f>IF($I1384=0,0,MIN(SUMIFS(SondBetrag,SondDarl,3,SondDatum,"&gt;="&amp;$E1384,SondDatum,"&lt;="&amp;EOMONTH($E1384,0)),$J1384-$M1384))</f>
      </c>
      <c r="O1384" s="43">
        <f>IF($I1384=0,0,INDEX(DarlErsatzRate,3))</f>
      </c>
      <c r="P1384" s="43">
        <f>IF($I1384=0,0,$Q1383*INDEX(DarlErsatzZins,3))</f>
      </c>
      <c r="Q1384" s="43">
        <f>IF($I1384=0,0,$Q1383+$P1384+$O1384)</f>
      </c>
      <c r="R1384" s="43">
        <f>IF($I1384=0,0,$J1384-$M1384-$N1384)</f>
      </c>
    </row>
    <row r="1385">
      <c r="A1385"/>
      <c r="B1385">
        <v>3</v>
      </c>
      <c r="C1385" s="43">
        <f>INDEX(DarlObj,3)</f>
      </c>
      <c r="D1385">
        <v>422</v>
      </c>
      <c r="E1385" s="51">
        <f>IF(INDEX(DarlBelegt,3)=0,0,EOMONTH(INDEX(DarlAuszahlung,3),421)+1)</f>
      </c>
      <c r="F1385" s="43">
        <f>IF($E1385=0,0,YEAR($E1385))</f>
      </c>
      <c r="G1385" s="43">
        <f>IF(INDEX(DarlBindung,3)="",1,IF($E1385&lt;=INDEX(DarlBindung,3),1,0))</f>
      </c>
      <c r="H1385" s="43">
        <f>IF($G1385=1,INDEX(DarlSollzins,3),INDEX(DarlAnschluss,3))</f>
      </c>
      <c r="I1385" s="43">
        <f>IF(INDEX(DarlBelegt,3)=0,0,IF(INDEX(DarlOhneTilgung,3)=1,IF(INDEX(DarlBindung,3)="",1,$G1385),IF($J1385&gt;0.005,1,0)))</f>
      </c>
      <c r="J1385" s="43">
        <f>IF($I1384=0,0,$R1384)</f>
      </c>
      <c r="K1385" s="43">
        <f>IF($I1385=0,0,IF(INDEX(DarlOhneTilgung,3)=1,0,IF(AND(INDEX(DarlTilgStart,3)&gt;0,$E1385=INDEX(DarlTilgStart,3)),$J1385*($H1385+INDEX(DarlTilgung,3))/100/12,IF(AND($G1385=0,$G1384=1),MAX($K1384,$J1385*($H1385+1)/100/12),$K1384))))</f>
      </c>
      <c r="L1385" s="43">
        <f>IF($I1385=0,0,$J1385*$H1385/100/12)</f>
      </c>
      <c r="M1385" s="43">
        <f>IF($I1385=0,0,IF(OR(INDEX(DarlOhneTilgung,3)=1,AND(INDEX(DarlTilgStart,3)&gt;0,$E1385&lt;INDEX(DarlTilgStart,3))),0,MIN(MAX(0,$K1385-$L1385),$J1385)))</f>
      </c>
      <c r="N1385" s="43">
        <f>IF($I1385=0,0,MIN(SUMIFS(SondBetrag,SondDarl,3,SondDatum,"&gt;="&amp;$E1385,SondDatum,"&lt;="&amp;EOMONTH($E1385,0)),$J1385-$M1385))</f>
      </c>
      <c r="O1385" s="43">
        <f>IF($I1385=0,0,INDEX(DarlErsatzRate,3))</f>
      </c>
      <c r="P1385" s="43">
        <f>IF($I1385=0,0,$Q1384*INDEX(DarlErsatzZins,3))</f>
      </c>
      <c r="Q1385" s="43">
        <f>IF($I1385=0,0,$Q1384+$P1385+$O1385)</f>
      </c>
      <c r="R1385" s="43">
        <f>IF($I1385=0,0,$J1385-$M1385-$N1385)</f>
      </c>
    </row>
    <row r="1386">
      <c r="A1386"/>
      <c r="B1386">
        <v>3</v>
      </c>
      <c r="C1386" s="43">
        <f>INDEX(DarlObj,3)</f>
      </c>
      <c r="D1386">
        <v>423</v>
      </c>
      <c r="E1386" s="51">
        <f>IF(INDEX(DarlBelegt,3)=0,0,EOMONTH(INDEX(DarlAuszahlung,3),422)+1)</f>
      </c>
      <c r="F1386" s="43">
        <f>IF($E1386=0,0,YEAR($E1386))</f>
      </c>
      <c r="G1386" s="43">
        <f>IF(INDEX(DarlBindung,3)="",1,IF($E1386&lt;=INDEX(DarlBindung,3),1,0))</f>
      </c>
      <c r="H1386" s="43">
        <f>IF($G1386=1,INDEX(DarlSollzins,3),INDEX(DarlAnschluss,3))</f>
      </c>
      <c r="I1386" s="43">
        <f>IF(INDEX(DarlBelegt,3)=0,0,IF(INDEX(DarlOhneTilgung,3)=1,IF(INDEX(DarlBindung,3)="",1,$G1386),IF($J1386&gt;0.005,1,0)))</f>
      </c>
      <c r="J1386" s="43">
        <f>IF($I1385=0,0,$R1385)</f>
      </c>
      <c r="K1386" s="43">
        <f>IF($I1386=0,0,IF(INDEX(DarlOhneTilgung,3)=1,0,IF(AND(INDEX(DarlTilgStart,3)&gt;0,$E1386=INDEX(DarlTilgStart,3)),$J1386*($H1386+INDEX(DarlTilgung,3))/100/12,IF(AND($G1386=0,$G1385=1),MAX($K1385,$J1386*($H1386+1)/100/12),$K1385))))</f>
      </c>
      <c r="L1386" s="43">
        <f>IF($I1386=0,0,$J1386*$H1386/100/12)</f>
      </c>
      <c r="M1386" s="43">
        <f>IF($I1386=0,0,IF(OR(INDEX(DarlOhneTilgung,3)=1,AND(INDEX(DarlTilgStart,3)&gt;0,$E1386&lt;INDEX(DarlTilgStart,3))),0,MIN(MAX(0,$K1386-$L1386),$J1386)))</f>
      </c>
      <c r="N1386" s="43">
        <f>IF($I1386=0,0,MIN(SUMIFS(SondBetrag,SondDarl,3,SondDatum,"&gt;="&amp;$E1386,SondDatum,"&lt;="&amp;EOMONTH($E1386,0)),$J1386-$M1386))</f>
      </c>
      <c r="O1386" s="43">
        <f>IF($I1386=0,0,INDEX(DarlErsatzRate,3))</f>
      </c>
      <c r="P1386" s="43">
        <f>IF($I1386=0,0,$Q1385*INDEX(DarlErsatzZins,3))</f>
      </c>
      <c r="Q1386" s="43">
        <f>IF($I1386=0,0,$Q1385+$P1386+$O1386)</f>
      </c>
      <c r="R1386" s="43">
        <f>IF($I1386=0,0,$J1386-$M1386-$N1386)</f>
      </c>
    </row>
    <row r="1387">
      <c r="A1387"/>
      <c r="B1387">
        <v>3</v>
      </c>
      <c r="C1387" s="43">
        <f>INDEX(DarlObj,3)</f>
      </c>
      <c r="D1387">
        <v>424</v>
      </c>
      <c r="E1387" s="51">
        <f>IF(INDEX(DarlBelegt,3)=0,0,EOMONTH(INDEX(DarlAuszahlung,3),423)+1)</f>
      </c>
      <c r="F1387" s="43">
        <f>IF($E1387=0,0,YEAR($E1387))</f>
      </c>
      <c r="G1387" s="43">
        <f>IF(INDEX(DarlBindung,3)="",1,IF($E1387&lt;=INDEX(DarlBindung,3),1,0))</f>
      </c>
      <c r="H1387" s="43">
        <f>IF($G1387=1,INDEX(DarlSollzins,3),INDEX(DarlAnschluss,3))</f>
      </c>
      <c r="I1387" s="43">
        <f>IF(INDEX(DarlBelegt,3)=0,0,IF(INDEX(DarlOhneTilgung,3)=1,IF(INDEX(DarlBindung,3)="",1,$G1387),IF($J1387&gt;0.005,1,0)))</f>
      </c>
      <c r="J1387" s="43">
        <f>IF($I1386=0,0,$R1386)</f>
      </c>
      <c r="K1387" s="43">
        <f>IF($I1387=0,0,IF(INDEX(DarlOhneTilgung,3)=1,0,IF(AND(INDEX(DarlTilgStart,3)&gt;0,$E1387=INDEX(DarlTilgStart,3)),$J1387*($H1387+INDEX(DarlTilgung,3))/100/12,IF(AND($G1387=0,$G1386=1),MAX($K1386,$J1387*($H1387+1)/100/12),$K1386))))</f>
      </c>
      <c r="L1387" s="43">
        <f>IF($I1387=0,0,$J1387*$H1387/100/12)</f>
      </c>
      <c r="M1387" s="43">
        <f>IF($I1387=0,0,IF(OR(INDEX(DarlOhneTilgung,3)=1,AND(INDEX(DarlTilgStart,3)&gt;0,$E1387&lt;INDEX(DarlTilgStart,3))),0,MIN(MAX(0,$K1387-$L1387),$J1387)))</f>
      </c>
      <c r="N1387" s="43">
        <f>IF($I1387=0,0,MIN(SUMIFS(SondBetrag,SondDarl,3,SondDatum,"&gt;="&amp;$E1387,SondDatum,"&lt;="&amp;EOMONTH($E1387,0)),$J1387-$M1387))</f>
      </c>
      <c r="O1387" s="43">
        <f>IF($I1387=0,0,INDEX(DarlErsatzRate,3))</f>
      </c>
      <c r="P1387" s="43">
        <f>IF($I1387=0,0,$Q1386*INDEX(DarlErsatzZins,3))</f>
      </c>
      <c r="Q1387" s="43">
        <f>IF($I1387=0,0,$Q1386+$P1387+$O1387)</f>
      </c>
      <c r="R1387" s="43">
        <f>IF($I1387=0,0,$J1387-$M1387-$N1387)</f>
      </c>
    </row>
    <row r="1388">
      <c r="A1388"/>
      <c r="B1388">
        <v>3</v>
      </c>
      <c r="C1388" s="43">
        <f>INDEX(DarlObj,3)</f>
      </c>
      <c r="D1388">
        <v>425</v>
      </c>
      <c r="E1388" s="51">
        <f>IF(INDEX(DarlBelegt,3)=0,0,EOMONTH(INDEX(DarlAuszahlung,3),424)+1)</f>
      </c>
      <c r="F1388" s="43">
        <f>IF($E1388=0,0,YEAR($E1388))</f>
      </c>
      <c r="G1388" s="43">
        <f>IF(INDEX(DarlBindung,3)="",1,IF($E1388&lt;=INDEX(DarlBindung,3),1,0))</f>
      </c>
      <c r="H1388" s="43">
        <f>IF($G1388=1,INDEX(DarlSollzins,3),INDEX(DarlAnschluss,3))</f>
      </c>
      <c r="I1388" s="43">
        <f>IF(INDEX(DarlBelegt,3)=0,0,IF(INDEX(DarlOhneTilgung,3)=1,IF(INDEX(DarlBindung,3)="",1,$G1388),IF($J1388&gt;0.005,1,0)))</f>
      </c>
      <c r="J1388" s="43">
        <f>IF($I1387=0,0,$R1387)</f>
      </c>
      <c r="K1388" s="43">
        <f>IF($I1388=0,0,IF(INDEX(DarlOhneTilgung,3)=1,0,IF(AND(INDEX(DarlTilgStart,3)&gt;0,$E1388=INDEX(DarlTilgStart,3)),$J1388*($H1388+INDEX(DarlTilgung,3))/100/12,IF(AND($G1388=0,$G1387=1),MAX($K1387,$J1388*($H1388+1)/100/12),$K1387))))</f>
      </c>
      <c r="L1388" s="43">
        <f>IF($I1388=0,0,$J1388*$H1388/100/12)</f>
      </c>
      <c r="M1388" s="43">
        <f>IF($I1388=0,0,IF(OR(INDEX(DarlOhneTilgung,3)=1,AND(INDEX(DarlTilgStart,3)&gt;0,$E1388&lt;INDEX(DarlTilgStart,3))),0,MIN(MAX(0,$K1388-$L1388),$J1388)))</f>
      </c>
      <c r="N1388" s="43">
        <f>IF($I1388=0,0,MIN(SUMIFS(SondBetrag,SondDarl,3,SondDatum,"&gt;="&amp;$E1388,SondDatum,"&lt;="&amp;EOMONTH($E1388,0)),$J1388-$M1388))</f>
      </c>
      <c r="O1388" s="43">
        <f>IF($I1388=0,0,INDEX(DarlErsatzRate,3))</f>
      </c>
      <c r="P1388" s="43">
        <f>IF($I1388=0,0,$Q1387*INDEX(DarlErsatzZins,3))</f>
      </c>
      <c r="Q1388" s="43">
        <f>IF($I1388=0,0,$Q1387+$P1388+$O1388)</f>
      </c>
      <c r="R1388" s="43">
        <f>IF($I1388=0,0,$J1388-$M1388-$N1388)</f>
      </c>
    </row>
    <row r="1389">
      <c r="A1389"/>
      <c r="B1389">
        <v>3</v>
      </c>
      <c r="C1389" s="43">
        <f>INDEX(DarlObj,3)</f>
      </c>
      <c r="D1389">
        <v>426</v>
      </c>
      <c r="E1389" s="51">
        <f>IF(INDEX(DarlBelegt,3)=0,0,EOMONTH(INDEX(DarlAuszahlung,3),425)+1)</f>
      </c>
      <c r="F1389" s="43">
        <f>IF($E1389=0,0,YEAR($E1389))</f>
      </c>
      <c r="G1389" s="43">
        <f>IF(INDEX(DarlBindung,3)="",1,IF($E1389&lt;=INDEX(DarlBindung,3),1,0))</f>
      </c>
      <c r="H1389" s="43">
        <f>IF($G1389=1,INDEX(DarlSollzins,3),INDEX(DarlAnschluss,3))</f>
      </c>
      <c r="I1389" s="43">
        <f>IF(INDEX(DarlBelegt,3)=0,0,IF(INDEX(DarlOhneTilgung,3)=1,IF(INDEX(DarlBindung,3)="",1,$G1389),IF($J1389&gt;0.005,1,0)))</f>
      </c>
      <c r="J1389" s="43">
        <f>IF($I1388=0,0,$R1388)</f>
      </c>
      <c r="K1389" s="43">
        <f>IF($I1389=0,0,IF(INDEX(DarlOhneTilgung,3)=1,0,IF(AND(INDEX(DarlTilgStart,3)&gt;0,$E1389=INDEX(DarlTilgStart,3)),$J1389*($H1389+INDEX(DarlTilgung,3))/100/12,IF(AND($G1389=0,$G1388=1),MAX($K1388,$J1389*($H1389+1)/100/12),$K1388))))</f>
      </c>
      <c r="L1389" s="43">
        <f>IF($I1389=0,0,$J1389*$H1389/100/12)</f>
      </c>
      <c r="M1389" s="43">
        <f>IF($I1389=0,0,IF(OR(INDEX(DarlOhneTilgung,3)=1,AND(INDEX(DarlTilgStart,3)&gt;0,$E1389&lt;INDEX(DarlTilgStart,3))),0,MIN(MAX(0,$K1389-$L1389),$J1389)))</f>
      </c>
      <c r="N1389" s="43">
        <f>IF($I1389=0,0,MIN(SUMIFS(SondBetrag,SondDarl,3,SondDatum,"&gt;="&amp;$E1389,SondDatum,"&lt;="&amp;EOMONTH($E1389,0)),$J1389-$M1389))</f>
      </c>
      <c r="O1389" s="43">
        <f>IF($I1389=0,0,INDEX(DarlErsatzRate,3))</f>
      </c>
      <c r="P1389" s="43">
        <f>IF($I1389=0,0,$Q1388*INDEX(DarlErsatzZins,3))</f>
      </c>
      <c r="Q1389" s="43">
        <f>IF($I1389=0,0,$Q1388+$P1389+$O1389)</f>
      </c>
      <c r="R1389" s="43">
        <f>IF($I1389=0,0,$J1389-$M1389-$N1389)</f>
      </c>
    </row>
    <row r="1390">
      <c r="A1390"/>
      <c r="B1390">
        <v>3</v>
      </c>
      <c r="C1390" s="43">
        <f>INDEX(DarlObj,3)</f>
      </c>
      <c r="D1390">
        <v>427</v>
      </c>
      <c r="E1390" s="51">
        <f>IF(INDEX(DarlBelegt,3)=0,0,EOMONTH(INDEX(DarlAuszahlung,3),426)+1)</f>
      </c>
      <c r="F1390" s="43">
        <f>IF($E1390=0,0,YEAR($E1390))</f>
      </c>
      <c r="G1390" s="43">
        <f>IF(INDEX(DarlBindung,3)="",1,IF($E1390&lt;=INDEX(DarlBindung,3),1,0))</f>
      </c>
      <c r="H1390" s="43">
        <f>IF($G1390=1,INDEX(DarlSollzins,3),INDEX(DarlAnschluss,3))</f>
      </c>
      <c r="I1390" s="43">
        <f>IF(INDEX(DarlBelegt,3)=0,0,IF(INDEX(DarlOhneTilgung,3)=1,IF(INDEX(DarlBindung,3)="",1,$G1390),IF($J1390&gt;0.005,1,0)))</f>
      </c>
      <c r="J1390" s="43">
        <f>IF($I1389=0,0,$R1389)</f>
      </c>
      <c r="K1390" s="43">
        <f>IF($I1390=0,0,IF(INDEX(DarlOhneTilgung,3)=1,0,IF(AND(INDEX(DarlTilgStart,3)&gt;0,$E1390=INDEX(DarlTilgStart,3)),$J1390*($H1390+INDEX(DarlTilgung,3))/100/12,IF(AND($G1390=0,$G1389=1),MAX($K1389,$J1390*($H1390+1)/100/12),$K1389))))</f>
      </c>
      <c r="L1390" s="43">
        <f>IF($I1390=0,0,$J1390*$H1390/100/12)</f>
      </c>
      <c r="M1390" s="43">
        <f>IF($I1390=0,0,IF(OR(INDEX(DarlOhneTilgung,3)=1,AND(INDEX(DarlTilgStart,3)&gt;0,$E1390&lt;INDEX(DarlTilgStart,3))),0,MIN(MAX(0,$K1390-$L1390),$J1390)))</f>
      </c>
      <c r="N1390" s="43">
        <f>IF($I1390=0,0,MIN(SUMIFS(SondBetrag,SondDarl,3,SondDatum,"&gt;="&amp;$E1390,SondDatum,"&lt;="&amp;EOMONTH($E1390,0)),$J1390-$M1390))</f>
      </c>
      <c r="O1390" s="43">
        <f>IF($I1390=0,0,INDEX(DarlErsatzRate,3))</f>
      </c>
      <c r="P1390" s="43">
        <f>IF($I1390=0,0,$Q1389*INDEX(DarlErsatzZins,3))</f>
      </c>
      <c r="Q1390" s="43">
        <f>IF($I1390=0,0,$Q1389+$P1390+$O1390)</f>
      </c>
      <c r="R1390" s="43">
        <f>IF($I1390=0,0,$J1390-$M1390-$N1390)</f>
      </c>
    </row>
    <row r="1391">
      <c r="A1391"/>
      <c r="B1391">
        <v>3</v>
      </c>
      <c r="C1391" s="43">
        <f>INDEX(DarlObj,3)</f>
      </c>
      <c r="D1391">
        <v>428</v>
      </c>
      <c r="E1391" s="51">
        <f>IF(INDEX(DarlBelegt,3)=0,0,EOMONTH(INDEX(DarlAuszahlung,3),427)+1)</f>
      </c>
      <c r="F1391" s="43">
        <f>IF($E1391=0,0,YEAR($E1391))</f>
      </c>
      <c r="G1391" s="43">
        <f>IF(INDEX(DarlBindung,3)="",1,IF($E1391&lt;=INDEX(DarlBindung,3),1,0))</f>
      </c>
      <c r="H1391" s="43">
        <f>IF($G1391=1,INDEX(DarlSollzins,3),INDEX(DarlAnschluss,3))</f>
      </c>
      <c r="I1391" s="43">
        <f>IF(INDEX(DarlBelegt,3)=0,0,IF(INDEX(DarlOhneTilgung,3)=1,IF(INDEX(DarlBindung,3)="",1,$G1391),IF($J1391&gt;0.005,1,0)))</f>
      </c>
      <c r="J1391" s="43">
        <f>IF($I1390=0,0,$R1390)</f>
      </c>
      <c r="K1391" s="43">
        <f>IF($I1391=0,0,IF(INDEX(DarlOhneTilgung,3)=1,0,IF(AND(INDEX(DarlTilgStart,3)&gt;0,$E1391=INDEX(DarlTilgStart,3)),$J1391*($H1391+INDEX(DarlTilgung,3))/100/12,IF(AND($G1391=0,$G1390=1),MAX($K1390,$J1391*($H1391+1)/100/12),$K1390))))</f>
      </c>
      <c r="L1391" s="43">
        <f>IF($I1391=0,0,$J1391*$H1391/100/12)</f>
      </c>
      <c r="M1391" s="43">
        <f>IF($I1391=0,0,IF(OR(INDEX(DarlOhneTilgung,3)=1,AND(INDEX(DarlTilgStart,3)&gt;0,$E1391&lt;INDEX(DarlTilgStart,3))),0,MIN(MAX(0,$K1391-$L1391),$J1391)))</f>
      </c>
      <c r="N1391" s="43">
        <f>IF($I1391=0,0,MIN(SUMIFS(SondBetrag,SondDarl,3,SondDatum,"&gt;="&amp;$E1391,SondDatum,"&lt;="&amp;EOMONTH($E1391,0)),$J1391-$M1391))</f>
      </c>
      <c r="O1391" s="43">
        <f>IF($I1391=0,0,INDEX(DarlErsatzRate,3))</f>
      </c>
      <c r="P1391" s="43">
        <f>IF($I1391=0,0,$Q1390*INDEX(DarlErsatzZins,3))</f>
      </c>
      <c r="Q1391" s="43">
        <f>IF($I1391=0,0,$Q1390+$P1391+$O1391)</f>
      </c>
      <c r="R1391" s="43">
        <f>IF($I1391=0,0,$J1391-$M1391-$N1391)</f>
      </c>
    </row>
    <row r="1392">
      <c r="A1392"/>
      <c r="B1392">
        <v>3</v>
      </c>
      <c r="C1392" s="43">
        <f>INDEX(DarlObj,3)</f>
      </c>
      <c r="D1392">
        <v>429</v>
      </c>
      <c r="E1392" s="51">
        <f>IF(INDEX(DarlBelegt,3)=0,0,EOMONTH(INDEX(DarlAuszahlung,3),428)+1)</f>
      </c>
      <c r="F1392" s="43">
        <f>IF($E1392=0,0,YEAR($E1392))</f>
      </c>
      <c r="G1392" s="43">
        <f>IF(INDEX(DarlBindung,3)="",1,IF($E1392&lt;=INDEX(DarlBindung,3),1,0))</f>
      </c>
      <c r="H1392" s="43">
        <f>IF($G1392=1,INDEX(DarlSollzins,3),INDEX(DarlAnschluss,3))</f>
      </c>
      <c r="I1392" s="43">
        <f>IF(INDEX(DarlBelegt,3)=0,0,IF(INDEX(DarlOhneTilgung,3)=1,IF(INDEX(DarlBindung,3)="",1,$G1392),IF($J1392&gt;0.005,1,0)))</f>
      </c>
      <c r="J1392" s="43">
        <f>IF($I1391=0,0,$R1391)</f>
      </c>
      <c r="K1392" s="43">
        <f>IF($I1392=0,0,IF(INDEX(DarlOhneTilgung,3)=1,0,IF(AND(INDEX(DarlTilgStart,3)&gt;0,$E1392=INDEX(DarlTilgStart,3)),$J1392*($H1392+INDEX(DarlTilgung,3))/100/12,IF(AND($G1392=0,$G1391=1),MAX($K1391,$J1392*($H1392+1)/100/12),$K1391))))</f>
      </c>
      <c r="L1392" s="43">
        <f>IF($I1392=0,0,$J1392*$H1392/100/12)</f>
      </c>
      <c r="M1392" s="43">
        <f>IF($I1392=0,0,IF(OR(INDEX(DarlOhneTilgung,3)=1,AND(INDEX(DarlTilgStart,3)&gt;0,$E1392&lt;INDEX(DarlTilgStart,3))),0,MIN(MAX(0,$K1392-$L1392),$J1392)))</f>
      </c>
      <c r="N1392" s="43">
        <f>IF($I1392=0,0,MIN(SUMIFS(SondBetrag,SondDarl,3,SondDatum,"&gt;="&amp;$E1392,SondDatum,"&lt;="&amp;EOMONTH($E1392,0)),$J1392-$M1392))</f>
      </c>
      <c r="O1392" s="43">
        <f>IF($I1392=0,0,INDEX(DarlErsatzRate,3))</f>
      </c>
      <c r="P1392" s="43">
        <f>IF($I1392=0,0,$Q1391*INDEX(DarlErsatzZins,3))</f>
      </c>
      <c r="Q1392" s="43">
        <f>IF($I1392=0,0,$Q1391+$P1392+$O1392)</f>
      </c>
      <c r="R1392" s="43">
        <f>IF($I1392=0,0,$J1392-$M1392-$N1392)</f>
      </c>
    </row>
    <row r="1393">
      <c r="A1393"/>
      <c r="B1393">
        <v>3</v>
      </c>
      <c r="C1393" s="43">
        <f>INDEX(DarlObj,3)</f>
      </c>
      <c r="D1393">
        <v>430</v>
      </c>
      <c r="E1393" s="51">
        <f>IF(INDEX(DarlBelegt,3)=0,0,EOMONTH(INDEX(DarlAuszahlung,3),429)+1)</f>
      </c>
      <c r="F1393" s="43">
        <f>IF($E1393=0,0,YEAR($E1393))</f>
      </c>
      <c r="G1393" s="43">
        <f>IF(INDEX(DarlBindung,3)="",1,IF($E1393&lt;=INDEX(DarlBindung,3),1,0))</f>
      </c>
      <c r="H1393" s="43">
        <f>IF($G1393=1,INDEX(DarlSollzins,3),INDEX(DarlAnschluss,3))</f>
      </c>
      <c r="I1393" s="43">
        <f>IF(INDEX(DarlBelegt,3)=0,0,IF(INDEX(DarlOhneTilgung,3)=1,IF(INDEX(DarlBindung,3)="",1,$G1393),IF($J1393&gt;0.005,1,0)))</f>
      </c>
      <c r="J1393" s="43">
        <f>IF($I1392=0,0,$R1392)</f>
      </c>
      <c r="K1393" s="43">
        <f>IF($I1393=0,0,IF(INDEX(DarlOhneTilgung,3)=1,0,IF(AND(INDEX(DarlTilgStart,3)&gt;0,$E1393=INDEX(DarlTilgStart,3)),$J1393*($H1393+INDEX(DarlTilgung,3))/100/12,IF(AND($G1393=0,$G1392=1),MAX($K1392,$J1393*($H1393+1)/100/12),$K1392))))</f>
      </c>
      <c r="L1393" s="43">
        <f>IF($I1393=0,0,$J1393*$H1393/100/12)</f>
      </c>
      <c r="M1393" s="43">
        <f>IF($I1393=0,0,IF(OR(INDEX(DarlOhneTilgung,3)=1,AND(INDEX(DarlTilgStart,3)&gt;0,$E1393&lt;INDEX(DarlTilgStart,3))),0,MIN(MAX(0,$K1393-$L1393),$J1393)))</f>
      </c>
      <c r="N1393" s="43">
        <f>IF($I1393=0,0,MIN(SUMIFS(SondBetrag,SondDarl,3,SondDatum,"&gt;="&amp;$E1393,SondDatum,"&lt;="&amp;EOMONTH($E1393,0)),$J1393-$M1393))</f>
      </c>
      <c r="O1393" s="43">
        <f>IF($I1393=0,0,INDEX(DarlErsatzRate,3))</f>
      </c>
      <c r="P1393" s="43">
        <f>IF($I1393=0,0,$Q1392*INDEX(DarlErsatzZins,3))</f>
      </c>
      <c r="Q1393" s="43">
        <f>IF($I1393=0,0,$Q1392+$P1393+$O1393)</f>
      </c>
      <c r="R1393" s="43">
        <f>IF($I1393=0,0,$J1393-$M1393-$N1393)</f>
      </c>
    </row>
    <row r="1394">
      <c r="A1394"/>
      <c r="B1394">
        <v>3</v>
      </c>
      <c r="C1394" s="43">
        <f>INDEX(DarlObj,3)</f>
      </c>
      <c r="D1394">
        <v>431</v>
      </c>
      <c r="E1394" s="51">
        <f>IF(INDEX(DarlBelegt,3)=0,0,EOMONTH(INDEX(DarlAuszahlung,3),430)+1)</f>
      </c>
      <c r="F1394" s="43">
        <f>IF($E1394=0,0,YEAR($E1394))</f>
      </c>
      <c r="G1394" s="43">
        <f>IF(INDEX(DarlBindung,3)="",1,IF($E1394&lt;=INDEX(DarlBindung,3),1,0))</f>
      </c>
      <c r="H1394" s="43">
        <f>IF($G1394=1,INDEX(DarlSollzins,3),INDEX(DarlAnschluss,3))</f>
      </c>
      <c r="I1394" s="43">
        <f>IF(INDEX(DarlBelegt,3)=0,0,IF(INDEX(DarlOhneTilgung,3)=1,IF(INDEX(DarlBindung,3)="",1,$G1394),IF($J1394&gt;0.005,1,0)))</f>
      </c>
      <c r="J1394" s="43">
        <f>IF($I1393=0,0,$R1393)</f>
      </c>
      <c r="K1394" s="43">
        <f>IF($I1394=0,0,IF(INDEX(DarlOhneTilgung,3)=1,0,IF(AND(INDEX(DarlTilgStart,3)&gt;0,$E1394=INDEX(DarlTilgStart,3)),$J1394*($H1394+INDEX(DarlTilgung,3))/100/12,IF(AND($G1394=0,$G1393=1),MAX($K1393,$J1394*($H1394+1)/100/12),$K1393))))</f>
      </c>
      <c r="L1394" s="43">
        <f>IF($I1394=0,0,$J1394*$H1394/100/12)</f>
      </c>
      <c r="M1394" s="43">
        <f>IF($I1394=0,0,IF(OR(INDEX(DarlOhneTilgung,3)=1,AND(INDEX(DarlTilgStart,3)&gt;0,$E1394&lt;INDEX(DarlTilgStart,3))),0,MIN(MAX(0,$K1394-$L1394),$J1394)))</f>
      </c>
      <c r="N1394" s="43">
        <f>IF($I1394=0,0,MIN(SUMIFS(SondBetrag,SondDarl,3,SondDatum,"&gt;="&amp;$E1394,SondDatum,"&lt;="&amp;EOMONTH($E1394,0)),$J1394-$M1394))</f>
      </c>
      <c r="O1394" s="43">
        <f>IF($I1394=0,0,INDEX(DarlErsatzRate,3))</f>
      </c>
      <c r="P1394" s="43">
        <f>IF($I1394=0,0,$Q1393*INDEX(DarlErsatzZins,3))</f>
      </c>
      <c r="Q1394" s="43">
        <f>IF($I1394=0,0,$Q1393+$P1394+$O1394)</f>
      </c>
      <c r="R1394" s="43">
        <f>IF($I1394=0,0,$J1394-$M1394-$N1394)</f>
      </c>
    </row>
    <row r="1395">
      <c r="A1395"/>
      <c r="B1395">
        <v>3</v>
      </c>
      <c r="C1395" s="43">
        <f>INDEX(DarlObj,3)</f>
      </c>
      <c r="D1395">
        <v>432</v>
      </c>
      <c r="E1395" s="51">
        <f>IF(INDEX(DarlBelegt,3)=0,0,EOMONTH(INDEX(DarlAuszahlung,3),431)+1)</f>
      </c>
      <c r="F1395" s="43">
        <f>IF($E1395=0,0,YEAR($E1395))</f>
      </c>
      <c r="G1395" s="43">
        <f>IF(INDEX(DarlBindung,3)="",1,IF($E1395&lt;=INDEX(DarlBindung,3),1,0))</f>
      </c>
      <c r="H1395" s="43">
        <f>IF($G1395=1,INDEX(DarlSollzins,3),INDEX(DarlAnschluss,3))</f>
      </c>
      <c r="I1395" s="43">
        <f>IF(INDEX(DarlBelegt,3)=0,0,IF(INDEX(DarlOhneTilgung,3)=1,IF(INDEX(DarlBindung,3)="",1,$G1395),IF($J1395&gt;0.005,1,0)))</f>
      </c>
      <c r="J1395" s="43">
        <f>IF($I1394=0,0,$R1394)</f>
      </c>
      <c r="K1395" s="43">
        <f>IF($I1395=0,0,IF(INDEX(DarlOhneTilgung,3)=1,0,IF(AND(INDEX(DarlTilgStart,3)&gt;0,$E1395=INDEX(DarlTilgStart,3)),$J1395*($H1395+INDEX(DarlTilgung,3))/100/12,IF(AND($G1395=0,$G1394=1),MAX($K1394,$J1395*($H1395+1)/100/12),$K1394))))</f>
      </c>
      <c r="L1395" s="43">
        <f>IF($I1395=0,0,$J1395*$H1395/100/12)</f>
      </c>
      <c r="M1395" s="43">
        <f>IF($I1395=0,0,IF(OR(INDEX(DarlOhneTilgung,3)=1,AND(INDEX(DarlTilgStart,3)&gt;0,$E1395&lt;INDEX(DarlTilgStart,3))),0,MIN(MAX(0,$K1395-$L1395),$J1395)))</f>
      </c>
      <c r="N1395" s="43">
        <f>IF($I1395=0,0,MIN(SUMIFS(SondBetrag,SondDarl,3,SondDatum,"&gt;="&amp;$E1395,SondDatum,"&lt;="&amp;EOMONTH($E1395,0)),$J1395-$M1395))</f>
      </c>
      <c r="O1395" s="43">
        <f>IF($I1395=0,0,INDEX(DarlErsatzRate,3))</f>
      </c>
      <c r="P1395" s="43">
        <f>IF($I1395=0,0,$Q1394*INDEX(DarlErsatzZins,3))</f>
      </c>
      <c r="Q1395" s="43">
        <f>IF($I1395=0,0,$Q1394+$P1395+$O1395)</f>
      </c>
      <c r="R1395" s="43">
        <f>IF($I1395=0,0,$J1395-$M1395-$N1395)</f>
      </c>
    </row>
    <row r="1396">
      <c r="A1396"/>
      <c r="B1396">
        <v>3</v>
      </c>
      <c r="C1396" s="43">
        <f>INDEX(DarlObj,3)</f>
      </c>
      <c r="D1396">
        <v>433</v>
      </c>
      <c r="E1396" s="51">
        <f>IF(INDEX(DarlBelegt,3)=0,0,EOMONTH(INDEX(DarlAuszahlung,3),432)+1)</f>
      </c>
      <c r="F1396" s="43">
        <f>IF($E1396=0,0,YEAR($E1396))</f>
      </c>
      <c r="G1396" s="43">
        <f>IF(INDEX(DarlBindung,3)="",1,IF($E1396&lt;=INDEX(DarlBindung,3),1,0))</f>
      </c>
      <c r="H1396" s="43">
        <f>IF($G1396=1,INDEX(DarlSollzins,3),INDEX(DarlAnschluss,3))</f>
      </c>
      <c r="I1396" s="43">
        <f>IF(INDEX(DarlBelegt,3)=0,0,IF(INDEX(DarlOhneTilgung,3)=1,IF(INDEX(DarlBindung,3)="",1,$G1396),IF($J1396&gt;0.005,1,0)))</f>
      </c>
      <c r="J1396" s="43">
        <f>IF($I1395=0,0,$R1395)</f>
      </c>
      <c r="K1396" s="43">
        <f>IF($I1396=0,0,IF(INDEX(DarlOhneTilgung,3)=1,0,IF(AND(INDEX(DarlTilgStart,3)&gt;0,$E1396=INDEX(DarlTilgStart,3)),$J1396*($H1396+INDEX(DarlTilgung,3))/100/12,IF(AND($G1396=0,$G1395=1),MAX($K1395,$J1396*($H1396+1)/100/12),$K1395))))</f>
      </c>
      <c r="L1396" s="43">
        <f>IF($I1396=0,0,$J1396*$H1396/100/12)</f>
      </c>
      <c r="M1396" s="43">
        <f>IF($I1396=0,0,IF(OR(INDEX(DarlOhneTilgung,3)=1,AND(INDEX(DarlTilgStart,3)&gt;0,$E1396&lt;INDEX(DarlTilgStart,3))),0,MIN(MAX(0,$K1396-$L1396),$J1396)))</f>
      </c>
      <c r="N1396" s="43">
        <f>IF($I1396=0,0,MIN(SUMIFS(SondBetrag,SondDarl,3,SondDatum,"&gt;="&amp;$E1396,SondDatum,"&lt;="&amp;EOMONTH($E1396,0)),$J1396-$M1396))</f>
      </c>
      <c r="O1396" s="43">
        <f>IF($I1396=0,0,INDEX(DarlErsatzRate,3))</f>
      </c>
      <c r="P1396" s="43">
        <f>IF($I1396=0,0,$Q1395*INDEX(DarlErsatzZins,3))</f>
      </c>
      <c r="Q1396" s="43">
        <f>IF($I1396=0,0,$Q1395+$P1396+$O1396)</f>
      </c>
      <c r="R1396" s="43">
        <f>IF($I1396=0,0,$J1396-$M1396-$N1396)</f>
      </c>
    </row>
    <row r="1397">
      <c r="A1397"/>
      <c r="B1397">
        <v>3</v>
      </c>
      <c r="C1397" s="43">
        <f>INDEX(DarlObj,3)</f>
      </c>
      <c r="D1397">
        <v>434</v>
      </c>
      <c r="E1397" s="51">
        <f>IF(INDEX(DarlBelegt,3)=0,0,EOMONTH(INDEX(DarlAuszahlung,3),433)+1)</f>
      </c>
      <c r="F1397" s="43">
        <f>IF($E1397=0,0,YEAR($E1397))</f>
      </c>
      <c r="G1397" s="43">
        <f>IF(INDEX(DarlBindung,3)="",1,IF($E1397&lt;=INDEX(DarlBindung,3),1,0))</f>
      </c>
      <c r="H1397" s="43">
        <f>IF($G1397=1,INDEX(DarlSollzins,3),INDEX(DarlAnschluss,3))</f>
      </c>
      <c r="I1397" s="43">
        <f>IF(INDEX(DarlBelegt,3)=0,0,IF(INDEX(DarlOhneTilgung,3)=1,IF(INDEX(DarlBindung,3)="",1,$G1397),IF($J1397&gt;0.005,1,0)))</f>
      </c>
      <c r="J1397" s="43">
        <f>IF($I1396=0,0,$R1396)</f>
      </c>
      <c r="K1397" s="43">
        <f>IF($I1397=0,0,IF(INDEX(DarlOhneTilgung,3)=1,0,IF(AND(INDEX(DarlTilgStart,3)&gt;0,$E1397=INDEX(DarlTilgStart,3)),$J1397*($H1397+INDEX(DarlTilgung,3))/100/12,IF(AND($G1397=0,$G1396=1),MAX($K1396,$J1397*($H1397+1)/100/12),$K1396))))</f>
      </c>
      <c r="L1397" s="43">
        <f>IF($I1397=0,0,$J1397*$H1397/100/12)</f>
      </c>
      <c r="M1397" s="43">
        <f>IF($I1397=0,0,IF(OR(INDEX(DarlOhneTilgung,3)=1,AND(INDEX(DarlTilgStart,3)&gt;0,$E1397&lt;INDEX(DarlTilgStart,3))),0,MIN(MAX(0,$K1397-$L1397),$J1397)))</f>
      </c>
      <c r="N1397" s="43">
        <f>IF($I1397=0,0,MIN(SUMIFS(SondBetrag,SondDarl,3,SondDatum,"&gt;="&amp;$E1397,SondDatum,"&lt;="&amp;EOMONTH($E1397,0)),$J1397-$M1397))</f>
      </c>
      <c r="O1397" s="43">
        <f>IF($I1397=0,0,INDEX(DarlErsatzRate,3))</f>
      </c>
      <c r="P1397" s="43">
        <f>IF($I1397=0,0,$Q1396*INDEX(DarlErsatzZins,3))</f>
      </c>
      <c r="Q1397" s="43">
        <f>IF($I1397=0,0,$Q1396+$P1397+$O1397)</f>
      </c>
      <c r="R1397" s="43">
        <f>IF($I1397=0,0,$J1397-$M1397-$N1397)</f>
      </c>
    </row>
    <row r="1398">
      <c r="A1398"/>
      <c r="B1398">
        <v>3</v>
      </c>
      <c r="C1398" s="43">
        <f>INDEX(DarlObj,3)</f>
      </c>
      <c r="D1398">
        <v>435</v>
      </c>
      <c r="E1398" s="51">
        <f>IF(INDEX(DarlBelegt,3)=0,0,EOMONTH(INDEX(DarlAuszahlung,3),434)+1)</f>
      </c>
      <c r="F1398" s="43">
        <f>IF($E1398=0,0,YEAR($E1398))</f>
      </c>
      <c r="G1398" s="43">
        <f>IF(INDEX(DarlBindung,3)="",1,IF($E1398&lt;=INDEX(DarlBindung,3),1,0))</f>
      </c>
      <c r="H1398" s="43">
        <f>IF($G1398=1,INDEX(DarlSollzins,3),INDEX(DarlAnschluss,3))</f>
      </c>
      <c r="I1398" s="43">
        <f>IF(INDEX(DarlBelegt,3)=0,0,IF(INDEX(DarlOhneTilgung,3)=1,IF(INDEX(DarlBindung,3)="",1,$G1398),IF($J1398&gt;0.005,1,0)))</f>
      </c>
      <c r="J1398" s="43">
        <f>IF($I1397=0,0,$R1397)</f>
      </c>
      <c r="K1398" s="43">
        <f>IF($I1398=0,0,IF(INDEX(DarlOhneTilgung,3)=1,0,IF(AND(INDEX(DarlTilgStart,3)&gt;0,$E1398=INDEX(DarlTilgStart,3)),$J1398*($H1398+INDEX(DarlTilgung,3))/100/12,IF(AND($G1398=0,$G1397=1),MAX($K1397,$J1398*($H1398+1)/100/12),$K1397))))</f>
      </c>
      <c r="L1398" s="43">
        <f>IF($I1398=0,0,$J1398*$H1398/100/12)</f>
      </c>
      <c r="M1398" s="43">
        <f>IF($I1398=0,0,IF(OR(INDEX(DarlOhneTilgung,3)=1,AND(INDEX(DarlTilgStart,3)&gt;0,$E1398&lt;INDEX(DarlTilgStart,3))),0,MIN(MAX(0,$K1398-$L1398),$J1398)))</f>
      </c>
      <c r="N1398" s="43">
        <f>IF($I1398=0,0,MIN(SUMIFS(SondBetrag,SondDarl,3,SondDatum,"&gt;="&amp;$E1398,SondDatum,"&lt;="&amp;EOMONTH($E1398,0)),$J1398-$M1398))</f>
      </c>
      <c r="O1398" s="43">
        <f>IF($I1398=0,0,INDEX(DarlErsatzRate,3))</f>
      </c>
      <c r="P1398" s="43">
        <f>IF($I1398=0,0,$Q1397*INDEX(DarlErsatzZins,3))</f>
      </c>
      <c r="Q1398" s="43">
        <f>IF($I1398=0,0,$Q1397+$P1398+$O1398)</f>
      </c>
      <c r="R1398" s="43">
        <f>IF($I1398=0,0,$J1398-$M1398-$N1398)</f>
      </c>
    </row>
    <row r="1399">
      <c r="A1399"/>
      <c r="B1399">
        <v>3</v>
      </c>
      <c r="C1399" s="43">
        <f>INDEX(DarlObj,3)</f>
      </c>
      <c r="D1399">
        <v>436</v>
      </c>
      <c r="E1399" s="51">
        <f>IF(INDEX(DarlBelegt,3)=0,0,EOMONTH(INDEX(DarlAuszahlung,3),435)+1)</f>
      </c>
      <c r="F1399" s="43">
        <f>IF($E1399=0,0,YEAR($E1399))</f>
      </c>
      <c r="G1399" s="43">
        <f>IF(INDEX(DarlBindung,3)="",1,IF($E1399&lt;=INDEX(DarlBindung,3),1,0))</f>
      </c>
      <c r="H1399" s="43">
        <f>IF($G1399=1,INDEX(DarlSollzins,3),INDEX(DarlAnschluss,3))</f>
      </c>
      <c r="I1399" s="43">
        <f>IF(INDEX(DarlBelegt,3)=0,0,IF(INDEX(DarlOhneTilgung,3)=1,IF(INDEX(DarlBindung,3)="",1,$G1399),IF($J1399&gt;0.005,1,0)))</f>
      </c>
      <c r="J1399" s="43">
        <f>IF($I1398=0,0,$R1398)</f>
      </c>
      <c r="K1399" s="43">
        <f>IF($I1399=0,0,IF(INDEX(DarlOhneTilgung,3)=1,0,IF(AND(INDEX(DarlTilgStart,3)&gt;0,$E1399=INDEX(DarlTilgStart,3)),$J1399*($H1399+INDEX(DarlTilgung,3))/100/12,IF(AND($G1399=0,$G1398=1),MAX($K1398,$J1399*($H1399+1)/100/12),$K1398))))</f>
      </c>
      <c r="L1399" s="43">
        <f>IF($I1399=0,0,$J1399*$H1399/100/12)</f>
      </c>
      <c r="M1399" s="43">
        <f>IF($I1399=0,0,IF(OR(INDEX(DarlOhneTilgung,3)=1,AND(INDEX(DarlTilgStart,3)&gt;0,$E1399&lt;INDEX(DarlTilgStart,3))),0,MIN(MAX(0,$K1399-$L1399),$J1399)))</f>
      </c>
      <c r="N1399" s="43">
        <f>IF($I1399=0,0,MIN(SUMIFS(SondBetrag,SondDarl,3,SondDatum,"&gt;="&amp;$E1399,SondDatum,"&lt;="&amp;EOMONTH($E1399,0)),$J1399-$M1399))</f>
      </c>
      <c r="O1399" s="43">
        <f>IF($I1399=0,0,INDEX(DarlErsatzRate,3))</f>
      </c>
      <c r="P1399" s="43">
        <f>IF($I1399=0,0,$Q1398*INDEX(DarlErsatzZins,3))</f>
      </c>
      <c r="Q1399" s="43">
        <f>IF($I1399=0,0,$Q1398+$P1399+$O1399)</f>
      </c>
      <c r="R1399" s="43">
        <f>IF($I1399=0,0,$J1399-$M1399-$N1399)</f>
      </c>
    </row>
    <row r="1400">
      <c r="A1400"/>
      <c r="B1400">
        <v>3</v>
      </c>
      <c r="C1400" s="43">
        <f>INDEX(DarlObj,3)</f>
      </c>
      <c r="D1400">
        <v>437</v>
      </c>
      <c r="E1400" s="51">
        <f>IF(INDEX(DarlBelegt,3)=0,0,EOMONTH(INDEX(DarlAuszahlung,3),436)+1)</f>
      </c>
      <c r="F1400" s="43">
        <f>IF($E1400=0,0,YEAR($E1400))</f>
      </c>
      <c r="G1400" s="43">
        <f>IF(INDEX(DarlBindung,3)="",1,IF($E1400&lt;=INDEX(DarlBindung,3),1,0))</f>
      </c>
      <c r="H1400" s="43">
        <f>IF($G1400=1,INDEX(DarlSollzins,3),INDEX(DarlAnschluss,3))</f>
      </c>
      <c r="I1400" s="43">
        <f>IF(INDEX(DarlBelegt,3)=0,0,IF(INDEX(DarlOhneTilgung,3)=1,IF(INDEX(DarlBindung,3)="",1,$G1400),IF($J1400&gt;0.005,1,0)))</f>
      </c>
      <c r="J1400" s="43">
        <f>IF($I1399=0,0,$R1399)</f>
      </c>
      <c r="K1400" s="43">
        <f>IF($I1400=0,0,IF(INDEX(DarlOhneTilgung,3)=1,0,IF(AND(INDEX(DarlTilgStart,3)&gt;0,$E1400=INDEX(DarlTilgStart,3)),$J1400*($H1400+INDEX(DarlTilgung,3))/100/12,IF(AND($G1400=0,$G1399=1),MAX($K1399,$J1400*($H1400+1)/100/12),$K1399))))</f>
      </c>
      <c r="L1400" s="43">
        <f>IF($I1400=0,0,$J1400*$H1400/100/12)</f>
      </c>
      <c r="M1400" s="43">
        <f>IF($I1400=0,0,IF(OR(INDEX(DarlOhneTilgung,3)=1,AND(INDEX(DarlTilgStart,3)&gt;0,$E1400&lt;INDEX(DarlTilgStart,3))),0,MIN(MAX(0,$K1400-$L1400),$J1400)))</f>
      </c>
      <c r="N1400" s="43">
        <f>IF($I1400=0,0,MIN(SUMIFS(SondBetrag,SondDarl,3,SondDatum,"&gt;="&amp;$E1400,SondDatum,"&lt;="&amp;EOMONTH($E1400,0)),$J1400-$M1400))</f>
      </c>
      <c r="O1400" s="43">
        <f>IF($I1400=0,0,INDEX(DarlErsatzRate,3))</f>
      </c>
      <c r="P1400" s="43">
        <f>IF($I1400=0,0,$Q1399*INDEX(DarlErsatzZins,3))</f>
      </c>
      <c r="Q1400" s="43">
        <f>IF($I1400=0,0,$Q1399+$P1400+$O1400)</f>
      </c>
      <c r="R1400" s="43">
        <f>IF($I1400=0,0,$J1400-$M1400-$N1400)</f>
      </c>
    </row>
    <row r="1401">
      <c r="A1401"/>
      <c r="B1401">
        <v>3</v>
      </c>
      <c r="C1401" s="43">
        <f>INDEX(DarlObj,3)</f>
      </c>
      <c r="D1401">
        <v>438</v>
      </c>
      <c r="E1401" s="51">
        <f>IF(INDEX(DarlBelegt,3)=0,0,EOMONTH(INDEX(DarlAuszahlung,3),437)+1)</f>
      </c>
      <c r="F1401" s="43">
        <f>IF($E1401=0,0,YEAR($E1401))</f>
      </c>
      <c r="G1401" s="43">
        <f>IF(INDEX(DarlBindung,3)="",1,IF($E1401&lt;=INDEX(DarlBindung,3),1,0))</f>
      </c>
      <c r="H1401" s="43">
        <f>IF($G1401=1,INDEX(DarlSollzins,3),INDEX(DarlAnschluss,3))</f>
      </c>
      <c r="I1401" s="43">
        <f>IF(INDEX(DarlBelegt,3)=0,0,IF(INDEX(DarlOhneTilgung,3)=1,IF(INDEX(DarlBindung,3)="",1,$G1401),IF($J1401&gt;0.005,1,0)))</f>
      </c>
      <c r="J1401" s="43">
        <f>IF($I1400=0,0,$R1400)</f>
      </c>
      <c r="K1401" s="43">
        <f>IF($I1401=0,0,IF(INDEX(DarlOhneTilgung,3)=1,0,IF(AND(INDEX(DarlTilgStart,3)&gt;0,$E1401=INDEX(DarlTilgStart,3)),$J1401*($H1401+INDEX(DarlTilgung,3))/100/12,IF(AND($G1401=0,$G1400=1),MAX($K1400,$J1401*($H1401+1)/100/12),$K1400))))</f>
      </c>
      <c r="L1401" s="43">
        <f>IF($I1401=0,0,$J1401*$H1401/100/12)</f>
      </c>
      <c r="M1401" s="43">
        <f>IF($I1401=0,0,IF(OR(INDEX(DarlOhneTilgung,3)=1,AND(INDEX(DarlTilgStart,3)&gt;0,$E1401&lt;INDEX(DarlTilgStart,3))),0,MIN(MAX(0,$K1401-$L1401),$J1401)))</f>
      </c>
      <c r="N1401" s="43">
        <f>IF($I1401=0,0,MIN(SUMIFS(SondBetrag,SondDarl,3,SondDatum,"&gt;="&amp;$E1401,SondDatum,"&lt;="&amp;EOMONTH($E1401,0)),$J1401-$M1401))</f>
      </c>
      <c r="O1401" s="43">
        <f>IF($I1401=0,0,INDEX(DarlErsatzRate,3))</f>
      </c>
      <c r="P1401" s="43">
        <f>IF($I1401=0,0,$Q1400*INDEX(DarlErsatzZins,3))</f>
      </c>
      <c r="Q1401" s="43">
        <f>IF($I1401=0,0,$Q1400+$P1401+$O1401)</f>
      </c>
      <c r="R1401" s="43">
        <f>IF($I1401=0,0,$J1401-$M1401-$N1401)</f>
      </c>
    </row>
    <row r="1402">
      <c r="A1402"/>
      <c r="B1402">
        <v>3</v>
      </c>
      <c r="C1402" s="43">
        <f>INDEX(DarlObj,3)</f>
      </c>
      <c r="D1402">
        <v>439</v>
      </c>
      <c r="E1402" s="51">
        <f>IF(INDEX(DarlBelegt,3)=0,0,EOMONTH(INDEX(DarlAuszahlung,3),438)+1)</f>
      </c>
      <c r="F1402" s="43">
        <f>IF($E1402=0,0,YEAR($E1402))</f>
      </c>
      <c r="G1402" s="43">
        <f>IF(INDEX(DarlBindung,3)="",1,IF($E1402&lt;=INDEX(DarlBindung,3),1,0))</f>
      </c>
      <c r="H1402" s="43">
        <f>IF($G1402=1,INDEX(DarlSollzins,3),INDEX(DarlAnschluss,3))</f>
      </c>
      <c r="I1402" s="43">
        <f>IF(INDEX(DarlBelegt,3)=0,0,IF(INDEX(DarlOhneTilgung,3)=1,IF(INDEX(DarlBindung,3)="",1,$G1402),IF($J1402&gt;0.005,1,0)))</f>
      </c>
      <c r="J1402" s="43">
        <f>IF($I1401=0,0,$R1401)</f>
      </c>
      <c r="K1402" s="43">
        <f>IF($I1402=0,0,IF(INDEX(DarlOhneTilgung,3)=1,0,IF(AND(INDEX(DarlTilgStart,3)&gt;0,$E1402=INDEX(DarlTilgStart,3)),$J1402*($H1402+INDEX(DarlTilgung,3))/100/12,IF(AND($G1402=0,$G1401=1),MAX($K1401,$J1402*($H1402+1)/100/12),$K1401))))</f>
      </c>
      <c r="L1402" s="43">
        <f>IF($I1402=0,0,$J1402*$H1402/100/12)</f>
      </c>
      <c r="M1402" s="43">
        <f>IF($I1402=0,0,IF(OR(INDEX(DarlOhneTilgung,3)=1,AND(INDEX(DarlTilgStart,3)&gt;0,$E1402&lt;INDEX(DarlTilgStart,3))),0,MIN(MAX(0,$K1402-$L1402),$J1402)))</f>
      </c>
      <c r="N1402" s="43">
        <f>IF($I1402=0,0,MIN(SUMIFS(SondBetrag,SondDarl,3,SondDatum,"&gt;="&amp;$E1402,SondDatum,"&lt;="&amp;EOMONTH($E1402,0)),$J1402-$M1402))</f>
      </c>
      <c r="O1402" s="43">
        <f>IF($I1402=0,0,INDEX(DarlErsatzRate,3))</f>
      </c>
      <c r="P1402" s="43">
        <f>IF($I1402=0,0,$Q1401*INDEX(DarlErsatzZins,3))</f>
      </c>
      <c r="Q1402" s="43">
        <f>IF($I1402=0,0,$Q1401+$P1402+$O1402)</f>
      </c>
      <c r="R1402" s="43">
        <f>IF($I1402=0,0,$J1402-$M1402-$N1402)</f>
      </c>
    </row>
    <row r="1403">
      <c r="A1403"/>
      <c r="B1403">
        <v>3</v>
      </c>
      <c r="C1403" s="43">
        <f>INDEX(DarlObj,3)</f>
      </c>
      <c r="D1403">
        <v>440</v>
      </c>
      <c r="E1403" s="51">
        <f>IF(INDEX(DarlBelegt,3)=0,0,EOMONTH(INDEX(DarlAuszahlung,3),439)+1)</f>
      </c>
      <c r="F1403" s="43">
        <f>IF($E1403=0,0,YEAR($E1403))</f>
      </c>
      <c r="G1403" s="43">
        <f>IF(INDEX(DarlBindung,3)="",1,IF($E1403&lt;=INDEX(DarlBindung,3),1,0))</f>
      </c>
      <c r="H1403" s="43">
        <f>IF($G1403=1,INDEX(DarlSollzins,3),INDEX(DarlAnschluss,3))</f>
      </c>
      <c r="I1403" s="43">
        <f>IF(INDEX(DarlBelegt,3)=0,0,IF(INDEX(DarlOhneTilgung,3)=1,IF(INDEX(DarlBindung,3)="",1,$G1403),IF($J1403&gt;0.005,1,0)))</f>
      </c>
      <c r="J1403" s="43">
        <f>IF($I1402=0,0,$R1402)</f>
      </c>
      <c r="K1403" s="43">
        <f>IF($I1403=0,0,IF(INDEX(DarlOhneTilgung,3)=1,0,IF(AND(INDEX(DarlTilgStart,3)&gt;0,$E1403=INDEX(DarlTilgStart,3)),$J1403*($H1403+INDEX(DarlTilgung,3))/100/12,IF(AND($G1403=0,$G1402=1),MAX($K1402,$J1403*($H1403+1)/100/12),$K1402))))</f>
      </c>
      <c r="L1403" s="43">
        <f>IF($I1403=0,0,$J1403*$H1403/100/12)</f>
      </c>
      <c r="M1403" s="43">
        <f>IF($I1403=0,0,IF(OR(INDEX(DarlOhneTilgung,3)=1,AND(INDEX(DarlTilgStart,3)&gt;0,$E1403&lt;INDEX(DarlTilgStart,3))),0,MIN(MAX(0,$K1403-$L1403),$J1403)))</f>
      </c>
      <c r="N1403" s="43">
        <f>IF($I1403=0,0,MIN(SUMIFS(SondBetrag,SondDarl,3,SondDatum,"&gt;="&amp;$E1403,SondDatum,"&lt;="&amp;EOMONTH($E1403,0)),$J1403-$M1403))</f>
      </c>
      <c r="O1403" s="43">
        <f>IF($I1403=0,0,INDEX(DarlErsatzRate,3))</f>
      </c>
      <c r="P1403" s="43">
        <f>IF($I1403=0,0,$Q1402*INDEX(DarlErsatzZins,3))</f>
      </c>
      <c r="Q1403" s="43">
        <f>IF($I1403=0,0,$Q1402+$P1403+$O1403)</f>
      </c>
      <c r="R1403" s="43">
        <f>IF($I1403=0,0,$J1403-$M1403-$N1403)</f>
      </c>
    </row>
    <row r="1404">
      <c r="A1404"/>
      <c r="B1404">
        <v>3</v>
      </c>
      <c r="C1404" s="43">
        <f>INDEX(DarlObj,3)</f>
      </c>
      <c r="D1404">
        <v>441</v>
      </c>
      <c r="E1404" s="51">
        <f>IF(INDEX(DarlBelegt,3)=0,0,EOMONTH(INDEX(DarlAuszahlung,3),440)+1)</f>
      </c>
      <c r="F1404" s="43">
        <f>IF($E1404=0,0,YEAR($E1404))</f>
      </c>
      <c r="G1404" s="43">
        <f>IF(INDEX(DarlBindung,3)="",1,IF($E1404&lt;=INDEX(DarlBindung,3),1,0))</f>
      </c>
      <c r="H1404" s="43">
        <f>IF($G1404=1,INDEX(DarlSollzins,3),INDEX(DarlAnschluss,3))</f>
      </c>
      <c r="I1404" s="43">
        <f>IF(INDEX(DarlBelegt,3)=0,0,IF(INDEX(DarlOhneTilgung,3)=1,IF(INDEX(DarlBindung,3)="",1,$G1404),IF($J1404&gt;0.005,1,0)))</f>
      </c>
      <c r="J1404" s="43">
        <f>IF($I1403=0,0,$R1403)</f>
      </c>
      <c r="K1404" s="43">
        <f>IF($I1404=0,0,IF(INDEX(DarlOhneTilgung,3)=1,0,IF(AND(INDEX(DarlTilgStart,3)&gt;0,$E1404=INDEX(DarlTilgStart,3)),$J1404*($H1404+INDEX(DarlTilgung,3))/100/12,IF(AND($G1404=0,$G1403=1),MAX($K1403,$J1404*($H1404+1)/100/12),$K1403))))</f>
      </c>
      <c r="L1404" s="43">
        <f>IF($I1404=0,0,$J1404*$H1404/100/12)</f>
      </c>
      <c r="M1404" s="43">
        <f>IF($I1404=0,0,IF(OR(INDEX(DarlOhneTilgung,3)=1,AND(INDEX(DarlTilgStart,3)&gt;0,$E1404&lt;INDEX(DarlTilgStart,3))),0,MIN(MAX(0,$K1404-$L1404),$J1404)))</f>
      </c>
      <c r="N1404" s="43">
        <f>IF($I1404=0,0,MIN(SUMIFS(SondBetrag,SondDarl,3,SondDatum,"&gt;="&amp;$E1404,SondDatum,"&lt;="&amp;EOMONTH($E1404,0)),$J1404-$M1404))</f>
      </c>
      <c r="O1404" s="43">
        <f>IF($I1404=0,0,INDEX(DarlErsatzRate,3))</f>
      </c>
      <c r="P1404" s="43">
        <f>IF($I1404=0,0,$Q1403*INDEX(DarlErsatzZins,3))</f>
      </c>
      <c r="Q1404" s="43">
        <f>IF($I1404=0,0,$Q1403+$P1404+$O1404)</f>
      </c>
      <c r="R1404" s="43">
        <f>IF($I1404=0,0,$J1404-$M1404-$N1404)</f>
      </c>
    </row>
    <row r="1405">
      <c r="A1405"/>
      <c r="B1405">
        <v>3</v>
      </c>
      <c r="C1405" s="43">
        <f>INDEX(DarlObj,3)</f>
      </c>
      <c r="D1405">
        <v>442</v>
      </c>
      <c r="E1405" s="51">
        <f>IF(INDEX(DarlBelegt,3)=0,0,EOMONTH(INDEX(DarlAuszahlung,3),441)+1)</f>
      </c>
      <c r="F1405" s="43">
        <f>IF($E1405=0,0,YEAR($E1405))</f>
      </c>
      <c r="G1405" s="43">
        <f>IF(INDEX(DarlBindung,3)="",1,IF($E1405&lt;=INDEX(DarlBindung,3),1,0))</f>
      </c>
      <c r="H1405" s="43">
        <f>IF($G1405=1,INDEX(DarlSollzins,3),INDEX(DarlAnschluss,3))</f>
      </c>
      <c r="I1405" s="43">
        <f>IF(INDEX(DarlBelegt,3)=0,0,IF(INDEX(DarlOhneTilgung,3)=1,IF(INDEX(DarlBindung,3)="",1,$G1405),IF($J1405&gt;0.005,1,0)))</f>
      </c>
      <c r="J1405" s="43">
        <f>IF($I1404=0,0,$R1404)</f>
      </c>
      <c r="K1405" s="43">
        <f>IF($I1405=0,0,IF(INDEX(DarlOhneTilgung,3)=1,0,IF(AND(INDEX(DarlTilgStart,3)&gt;0,$E1405=INDEX(DarlTilgStart,3)),$J1405*($H1405+INDEX(DarlTilgung,3))/100/12,IF(AND($G1405=0,$G1404=1),MAX($K1404,$J1405*($H1405+1)/100/12),$K1404))))</f>
      </c>
      <c r="L1405" s="43">
        <f>IF($I1405=0,0,$J1405*$H1405/100/12)</f>
      </c>
      <c r="M1405" s="43">
        <f>IF($I1405=0,0,IF(OR(INDEX(DarlOhneTilgung,3)=1,AND(INDEX(DarlTilgStart,3)&gt;0,$E1405&lt;INDEX(DarlTilgStart,3))),0,MIN(MAX(0,$K1405-$L1405),$J1405)))</f>
      </c>
      <c r="N1405" s="43">
        <f>IF($I1405=0,0,MIN(SUMIFS(SondBetrag,SondDarl,3,SondDatum,"&gt;="&amp;$E1405,SondDatum,"&lt;="&amp;EOMONTH($E1405,0)),$J1405-$M1405))</f>
      </c>
      <c r="O1405" s="43">
        <f>IF($I1405=0,0,INDEX(DarlErsatzRate,3))</f>
      </c>
      <c r="P1405" s="43">
        <f>IF($I1405=0,0,$Q1404*INDEX(DarlErsatzZins,3))</f>
      </c>
      <c r="Q1405" s="43">
        <f>IF($I1405=0,0,$Q1404+$P1405+$O1405)</f>
      </c>
      <c r="R1405" s="43">
        <f>IF($I1405=0,0,$J1405-$M1405-$N1405)</f>
      </c>
    </row>
    <row r="1406">
      <c r="A1406"/>
      <c r="B1406">
        <v>3</v>
      </c>
      <c r="C1406" s="43">
        <f>INDEX(DarlObj,3)</f>
      </c>
      <c r="D1406">
        <v>443</v>
      </c>
      <c r="E1406" s="51">
        <f>IF(INDEX(DarlBelegt,3)=0,0,EOMONTH(INDEX(DarlAuszahlung,3),442)+1)</f>
      </c>
      <c r="F1406" s="43">
        <f>IF($E1406=0,0,YEAR($E1406))</f>
      </c>
      <c r="G1406" s="43">
        <f>IF(INDEX(DarlBindung,3)="",1,IF($E1406&lt;=INDEX(DarlBindung,3),1,0))</f>
      </c>
      <c r="H1406" s="43">
        <f>IF($G1406=1,INDEX(DarlSollzins,3),INDEX(DarlAnschluss,3))</f>
      </c>
      <c r="I1406" s="43">
        <f>IF(INDEX(DarlBelegt,3)=0,0,IF(INDEX(DarlOhneTilgung,3)=1,IF(INDEX(DarlBindung,3)="",1,$G1406),IF($J1406&gt;0.005,1,0)))</f>
      </c>
      <c r="J1406" s="43">
        <f>IF($I1405=0,0,$R1405)</f>
      </c>
      <c r="K1406" s="43">
        <f>IF($I1406=0,0,IF(INDEX(DarlOhneTilgung,3)=1,0,IF(AND(INDEX(DarlTilgStart,3)&gt;0,$E1406=INDEX(DarlTilgStart,3)),$J1406*($H1406+INDEX(DarlTilgung,3))/100/12,IF(AND($G1406=0,$G1405=1),MAX($K1405,$J1406*($H1406+1)/100/12),$K1405))))</f>
      </c>
      <c r="L1406" s="43">
        <f>IF($I1406=0,0,$J1406*$H1406/100/12)</f>
      </c>
      <c r="M1406" s="43">
        <f>IF($I1406=0,0,IF(OR(INDEX(DarlOhneTilgung,3)=1,AND(INDEX(DarlTilgStart,3)&gt;0,$E1406&lt;INDEX(DarlTilgStart,3))),0,MIN(MAX(0,$K1406-$L1406),$J1406)))</f>
      </c>
      <c r="N1406" s="43">
        <f>IF($I1406=0,0,MIN(SUMIFS(SondBetrag,SondDarl,3,SondDatum,"&gt;="&amp;$E1406,SondDatum,"&lt;="&amp;EOMONTH($E1406,0)),$J1406-$M1406))</f>
      </c>
      <c r="O1406" s="43">
        <f>IF($I1406=0,0,INDEX(DarlErsatzRate,3))</f>
      </c>
      <c r="P1406" s="43">
        <f>IF($I1406=0,0,$Q1405*INDEX(DarlErsatzZins,3))</f>
      </c>
      <c r="Q1406" s="43">
        <f>IF($I1406=0,0,$Q1405+$P1406+$O1406)</f>
      </c>
      <c r="R1406" s="43">
        <f>IF($I1406=0,0,$J1406-$M1406-$N1406)</f>
      </c>
    </row>
    <row r="1407">
      <c r="A1407"/>
      <c r="B1407">
        <v>3</v>
      </c>
      <c r="C1407" s="43">
        <f>INDEX(DarlObj,3)</f>
      </c>
      <c r="D1407">
        <v>444</v>
      </c>
      <c r="E1407" s="51">
        <f>IF(INDEX(DarlBelegt,3)=0,0,EOMONTH(INDEX(DarlAuszahlung,3),443)+1)</f>
      </c>
      <c r="F1407" s="43">
        <f>IF($E1407=0,0,YEAR($E1407))</f>
      </c>
      <c r="G1407" s="43">
        <f>IF(INDEX(DarlBindung,3)="",1,IF($E1407&lt;=INDEX(DarlBindung,3),1,0))</f>
      </c>
      <c r="H1407" s="43">
        <f>IF($G1407=1,INDEX(DarlSollzins,3),INDEX(DarlAnschluss,3))</f>
      </c>
      <c r="I1407" s="43">
        <f>IF(INDEX(DarlBelegt,3)=0,0,IF(INDEX(DarlOhneTilgung,3)=1,IF(INDEX(DarlBindung,3)="",1,$G1407),IF($J1407&gt;0.005,1,0)))</f>
      </c>
      <c r="J1407" s="43">
        <f>IF($I1406=0,0,$R1406)</f>
      </c>
      <c r="K1407" s="43">
        <f>IF($I1407=0,0,IF(INDEX(DarlOhneTilgung,3)=1,0,IF(AND(INDEX(DarlTilgStart,3)&gt;0,$E1407=INDEX(DarlTilgStart,3)),$J1407*($H1407+INDEX(DarlTilgung,3))/100/12,IF(AND($G1407=0,$G1406=1),MAX($K1406,$J1407*($H1407+1)/100/12),$K1406))))</f>
      </c>
      <c r="L1407" s="43">
        <f>IF($I1407=0,0,$J1407*$H1407/100/12)</f>
      </c>
      <c r="M1407" s="43">
        <f>IF($I1407=0,0,IF(OR(INDEX(DarlOhneTilgung,3)=1,AND(INDEX(DarlTilgStart,3)&gt;0,$E1407&lt;INDEX(DarlTilgStart,3))),0,MIN(MAX(0,$K1407-$L1407),$J1407)))</f>
      </c>
      <c r="N1407" s="43">
        <f>IF($I1407=0,0,MIN(SUMIFS(SondBetrag,SondDarl,3,SondDatum,"&gt;="&amp;$E1407,SondDatum,"&lt;="&amp;EOMONTH($E1407,0)),$J1407-$M1407))</f>
      </c>
      <c r="O1407" s="43">
        <f>IF($I1407=0,0,INDEX(DarlErsatzRate,3))</f>
      </c>
      <c r="P1407" s="43">
        <f>IF($I1407=0,0,$Q1406*INDEX(DarlErsatzZins,3))</f>
      </c>
      <c r="Q1407" s="43">
        <f>IF($I1407=0,0,$Q1406+$P1407+$O1407)</f>
      </c>
      <c r="R1407" s="43">
        <f>IF($I1407=0,0,$J1407-$M1407-$N1407)</f>
      </c>
    </row>
    <row r="1408">
      <c r="A1408"/>
      <c r="B1408">
        <v>3</v>
      </c>
      <c r="C1408" s="43">
        <f>INDEX(DarlObj,3)</f>
      </c>
      <c r="D1408">
        <v>445</v>
      </c>
      <c r="E1408" s="51">
        <f>IF(INDEX(DarlBelegt,3)=0,0,EOMONTH(INDEX(DarlAuszahlung,3),444)+1)</f>
      </c>
      <c r="F1408" s="43">
        <f>IF($E1408=0,0,YEAR($E1408))</f>
      </c>
      <c r="G1408" s="43">
        <f>IF(INDEX(DarlBindung,3)="",1,IF($E1408&lt;=INDEX(DarlBindung,3),1,0))</f>
      </c>
      <c r="H1408" s="43">
        <f>IF($G1408=1,INDEX(DarlSollzins,3),INDEX(DarlAnschluss,3))</f>
      </c>
      <c r="I1408" s="43">
        <f>IF(INDEX(DarlBelegt,3)=0,0,IF(INDEX(DarlOhneTilgung,3)=1,IF(INDEX(DarlBindung,3)="",1,$G1408),IF($J1408&gt;0.005,1,0)))</f>
      </c>
      <c r="J1408" s="43">
        <f>IF($I1407=0,0,$R1407)</f>
      </c>
      <c r="K1408" s="43">
        <f>IF($I1408=0,0,IF(INDEX(DarlOhneTilgung,3)=1,0,IF(AND(INDEX(DarlTilgStart,3)&gt;0,$E1408=INDEX(DarlTilgStart,3)),$J1408*($H1408+INDEX(DarlTilgung,3))/100/12,IF(AND($G1408=0,$G1407=1),MAX($K1407,$J1408*($H1408+1)/100/12),$K1407))))</f>
      </c>
      <c r="L1408" s="43">
        <f>IF($I1408=0,0,$J1408*$H1408/100/12)</f>
      </c>
      <c r="M1408" s="43">
        <f>IF($I1408=0,0,IF(OR(INDEX(DarlOhneTilgung,3)=1,AND(INDEX(DarlTilgStart,3)&gt;0,$E1408&lt;INDEX(DarlTilgStart,3))),0,MIN(MAX(0,$K1408-$L1408),$J1408)))</f>
      </c>
      <c r="N1408" s="43">
        <f>IF($I1408=0,0,MIN(SUMIFS(SondBetrag,SondDarl,3,SondDatum,"&gt;="&amp;$E1408,SondDatum,"&lt;="&amp;EOMONTH($E1408,0)),$J1408-$M1408))</f>
      </c>
      <c r="O1408" s="43">
        <f>IF($I1408=0,0,INDEX(DarlErsatzRate,3))</f>
      </c>
      <c r="P1408" s="43">
        <f>IF($I1408=0,0,$Q1407*INDEX(DarlErsatzZins,3))</f>
      </c>
      <c r="Q1408" s="43">
        <f>IF($I1408=0,0,$Q1407+$P1408+$O1408)</f>
      </c>
      <c r="R1408" s="43">
        <f>IF($I1408=0,0,$J1408-$M1408-$N1408)</f>
      </c>
    </row>
    <row r="1409">
      <c r="A1409"/>
      <c r="B1409">
        <v>3</v>
      </c>
      <c r="C1409" s="43">
        <f>INDEX(DarlObj,3)</f>
      </c>
      <c r="D1409">
        <v>446</v>
      </c>
      <c r="E1409" s="51">
        <f>IF(INDEX(DarlBelegt,3)=0,0,EOMONTH(INDEX(DarlAuszahlung,3),445)+1)</f>
      </c>
      <c r="F1409" s="43">
        <f>IF($E1409=0,0,YEAR($E1409))</f>
      </c>
      <c r="G1409" s="43">
        <f>IF(INDEX(DarlBindung,3)="",1,IF($E1409&lt;=INDEX(DarlBindung,3),1,0))</f>
      </c>
      <c r="H1409" s="43">
        <f>IF($G1409=1,INDEX(DarlSollzins,3),INDEX(DarlAnschluss,3))</f>
      </c>
      <c r="I1409" s="43">
        <f>IF(INDEX(DarlBelegt,3)=0,0,IF(INDEX(DarlOhneTilgung,3)=1,IF(INDEX(DarlBindung,3)="",1,$G1409),IF($J1409&gt;0.005,1,0)))</f>
      </c>
      <c r="J1409" s="43">
        <f>IF($I1408=0,0,$R1408)</f>
      </c>
      <c r="K1409" s="43">
        <f>IF($I1409=0,0,IF(INDEX(DarlOhneTilgung,3)=1,0,IF(AND(INDEX(DarlTilgStart,3)&gt;0,$E1409=INDEX(DarlTilgStart,3)),$J1409*($H1409+INDEX(DarlTilgung,3))/100/12,IF(AND($G1409=0,$G1408=1),MAX($K1408,$J1409*($H1409+1)/100/12),$K1408))))</f>
      </c>
      <c r="L1409" s="43">
        <f>IF($I1409=0,0,$J1409*$H1409/100/12)</f>
      </c>
      <c r="M1409" s="43">
        <f>IF($I1409=0,0,IF(OR(INDEX(DarlOhneTilgung,3)=1,AND(INDEX(DarlTilgStart,3)&gt;0,$E1409&lt;INDEX(DarlTilgStart,3))),0,MIN(MAX(0,$K1409-$L1409),$J1409)))</f>
      </c>
      <c r="N1409" s="43">
        <f>IF($I1409=0,0,MIN(SUMIFS(SondBetrag,SondDarl,3,SondDatum,"&gt;="&amp;$E1409,SondDatum,"&lt;="&amp;EOMONTH($E1409,0)),$J1409-$M1409))</f>
      </c>
      <c r="O1409" s="43">
        <f>IF($I1409=0,0,INDEX(DarlErsatzRate,3))</f>
      </c>
      <c r="P1409" s="43">
        <f>IF($I1409=0,0,$Q1408*INDEX(DarlErsatzZins,3))</f>
      </c>
      <c r="Q1409" s="43">
        <f>IF($I1409=0,0,$Q1408+$P1409+$O1409)</f>
      </c>
      <c r="R1409" s="43">
        <f>IF($I1409=0,0,$J1409-$M1409-$N1409)</f>
      </c>
    </row>
    <row r="1410">
      <c r="A1410"/>
      <c r="B1410">
        <v>3</v>
      </c>
      <c r="C1410" s="43">
        <f>INDEX(DarlObj,3)</f>
      </c>
      <c r="D1410">
        <v>447</v>
      </c>
      <c r="E1410" s="51">
        <f>IF(INDEX(DarlBelegt,3)=0,0,EOMONTH(INDEX(DarlAuszahlung,3),446)+1)</f>
      </c>
      <c r="F1410" s="43">
        <f>IF($E1410=0,0,YEAR($E1410))</f>
      </c>
      <c r="G1410" s="43">
        <f>IF(INDEX(DarlBindung,3)="",1,IF($E1410&lt;=INDEX(DarlBindung,3),1,0))</f>
      </c>
      <c r="H1410" s="43">
        <f>IF($G1410=1,INDEX(DarlSollzins,3),INDEX(DarlAnschluss,3))</f>
      </c>
      <c r="I1410" s="43">
        <f>IF(INDEX(DarlBelegt,3)=0,0,IF(INDEX(DarlOhneTilgung,3)=1,IF(INDEX(DarlBindung,3)="",1,$G1410),IF($J1410&gt;0.005,1,0)))</f>
      </c>
      <c r="J1410" s="43">
        <f>IF($I1409=0,0,$R1409)</f>
      </c>
      <c r="K1410" s="43">
        <f>IF($I1410=0,0,IF(INDEX(DarlOhneTilgung,3)=1,0,IF(AND(INDEX(DarlTilgStart,3)&gt;0,$E1410=INDEX(DarlTilgStart,3)),$J1410*($H1410+INDEX(DarlTilgung,3))/100/12,IF(AND($G1410=0,$G1409=1),MAX($K1409,$J1410*($H1410+1)/100/12),$K1409))))</f>
      </c>
      <c r="L1410" s="43">
        <f>IF($I1410=0,0,$J1410*$H1410/100/12)</f>
      </c>
      <c r="M1410" s="43">
        <f>IF($I1410=0,0,IF(OR(INDEX(DarlOhneTilgung,3)=1,AND(INDEX(DarlTilgStart,3)&gt;0,$E1410&lt;INDEX(DarlTilgStart,3))),0,MIN(MAX(0,$K1410-$L1410),$J1410)))</f>
      </c>
      <c r="N1410" s="43">
        <f>IF($I1410=0,0,MIN(SUMIFS(SondBetrag,SondDarl,3,SondDatum,"&gt;="&amp;$E1410,SondDatum,"&lt;="&amp;EOMONTH($E1410,0)),$J1410-$M1410))</f>
      </c>
      <c r="O1410" s="43">
        <f>IF($I1410=0,0,INDEX(DarlErsatzRate,3))</f>
      </c>
      <c r="P1410" s="43">
        <f>IF($I1410=0,0,$Q1409*INDEX(DarlErsatzZins,3))</f>
      </c>
      <c r="Q1410" s="43">
        <f>IF($I1410=0,0,$Q1409+$P1410+$O1410)</f>
      </c>
      <c r="R1410" s="43">
        <f>IF($I1410=0,0,$J1410-$M1410-$N1410)</f>
      </c>
    </row>
    <row r="1411">
      <c r="A1411"/>
      <c r="B1411">
        <v>3</v>
      </c>
      <c r="C1411" s="43">
        <f>INDEX(DarlObj,3)</f>
      </c>
      <c r="D1411">
        <v>448</v>
      </c>
      <c r="E1411" s="51">
        <f>IF(INDEX(DarlBelegt,3)=0,0,EOMONTH(INDEX(DarlAuszahlung,3),447)+1)</f>
      </c>
      <c r="F1411" s="43">
        <f>IF($E1411=0,0,YEAR($E1411))</f>
      </c>
      <c r="G1411" s="43">
        <f>IF(INDEX(DarlBindung,3)="",1,IF($E1411&lt;=INDEX(DarlBindung,3),1,0))</f>
      </c>
      <c r="H1411" s="43">
        <f>IF($G1411=1,INDEX(DarlSollzins,3),INDEX(DarlAnschluss,3))</f>
      </c>
      <c r="I1411" s="43">
        <f>IF(INDEX(DarlBelegt,3)=0,0,IF(INDEX(DarlOhneTilgung,3)=1,IF(INDEX(DarlBindung,3)="",1,$G1411),IF($J1411&gt;0.005,1,0)))</f>
      </c>
      <c r="J1411" s="43">
        <f>IF($I1410=0,0,$R1410)</f>
      </c>
      <c r="K1411" s="43">
        <f>IF($I1411=0,0,IF(INDEX(DarlOhneTilgung,3)=1,0,IF(AND(INDEX(DarlTilgStart,3)&gt;0,$E1411=INDEX(DarlTilgStart,3)),$J1411*($H1411+INDEX(DarlTilgung,3))/100/12,IF(AND($G1411=0,$G1410=1),MAX($K1410,$J1411*($H1411+1)/100/12),$K1410))))</f>
      </c>
      <c r="L1411" s="43">
        <f>IF($I1411=0,0,$J1411*$H1411/100/12)</f>
      </c>
      <c r="M1411" s="43">
        <f>IF($I1411=0,0,IF(OR(INDEX(DarlOhneTilgung,3)=1,AND(INDEX(DarlTilgStart,3)&gt;0,$E1411&lt;INDEX(DarlTilgStart,3))),0,MIN(MAX(0,$K1411-$L1411),$J1411)))</f>
      </c>
      <c r="N1411" s="43">
        <f>IF($I1411=0,0,MIN(SUMIFS(SondBetrag,SondDarl,3,SondDatum,"&gt;="&amp;$E1411,SondDatum,"&lt;="&amp;EOMONTH($E1411,0)),$J1411-$M1411))</f>
      </c>
      <c r="O1411" s="43">
        <f>IF($I1411=0,0,INDEX(DarlErsatzRate,3))</f>
      </c>
      <c r="P1411" s="43">
        <f>IF($I1411=0,0,$Q1410*INDEX(DarlErsatzZins,3))</f>
      </c>
      <c r="Q1411" s="43">
        <f>IF($I1411=0,0,$Q1410+$P1411+$O1411)</f>
      </c>
      <c r="R1411" s="43">
        <f>IF($I1411=0,0,$J1411-$M1411-$N1411)</f>
      </c>
    </row>
    <row r="1412">
      <c r="A1412"/>
      <c r="B1412">
        <v>3</v>
      </c>
      <c r="C1412" s="43">
        <f>INDEX(DarlObj,3)</f>
      </c>
      <c r="D1412">
        <v>449</v>
      </c>
      <c r="E1412" s="51">
        <f>IF(INDEX(DarlBelegt,3)=0,0,EOMONTH(INDEX(DarlAuszahlung,3),448)+1)</f>
      </c>
      <c r="F1412" s="43">
        <f>IF($E1412=0,0,YEAR($E1412))</f>
      </c>
      <c r="G1412" s="43">
        <f>IF(INDEX(DarlBindung,3)="",1,IF($E1412&lt;=INDEX(DarlBindung,3),1,0))</f>
      </c>
      <c r="H1412" s="43">
        <f>IF($G1412=1,INDEX(DarlSollzins,3),INDEX(DarlAnschluss,3))</f>
      </c>
      <c r="I1412" s="43">
        <f>IF(INDEX(DarlBelegt,3)=0,0,IF(INDEX(DarlOhneTilgung,3)=1,IF(INDEX(DarlBindung,3)="",1,$G1412),IF($J1412&gt;0.005,1,0)))</f>
      </c>
      <c r="J1412" s="43">
        <f>IF($I1411=0,0,$R1411)</f>
      </c>
      <c r="K1412" s="43">
        <f>IF($I1412=0,0,IF(INDEX(DarlOhneTilgung,3)=1,0,IF(AND(INDEX(DarlTilgStart,3)&gt;0,$E1412=INDEX(DarlTilgStart,3)),$J1412*($H1412+INDEX(DarlTilgung,3))/100/12,IF(AND($G1412=0,$G1411=1),MAX($K1411,$J1412*($H1412+1)/100/12),$K1411))))</f>
      </c>
      <c r="L1412" s="43">
        <f>IF($I1412=0,0,$J1412*$H1412/100/12)</f>
      </c>
      <c r="M1412" s="43">
        <f>IF($I1412=0,0,IF(OR(INDEX(DarlOhneTilgung,3)=1,AND(INDEX(DarlTilgStart,3)&gt;0,$E1412&lt;INDEX(DarlTilgStart,3))),0,MIN(MAX(0,$K1412-$L1412),$J1412)))</f>
      </c>
      <c r="N1412" s="43">
        <f>IF($I1412=0,0,MIN(SUMIFS(SondBetrag,SondDarl,3,SondDatum,"&gt;="&amp;$E1412,SondDatum,"&lt;="&amp;EOMONTH($E1412,0)),$J1412-$M1412))</f>
      </c>
      <c r="O1412" s="43">
        <f>IF($I1412=0,0,INDEX(DarlErsatzRate,3))</f>
      </c>
      <c r="P1412" s="43">
        <f>IF($I1412=0,0,$Q1411*INDEX(DarlErsatzZins,3))</f>
      </c>
      <c r="Q1412" s="43">
        <f>IF($I1412=0,0,$Q1411+$P1412+$O1412)</f>
      </c>
      <c r="R1412" s="43">
        <f>IF($I1412=0,0,$J1412-$M1412-$N1412)</f>
      </c>
    </row>
    <row r="1413">
      <c r="A1413"/>
      <c r="B1413">
        <v>3</v>
      </c>
      <c r="C1413" s="43">
        <f>INDEX(DarlObj,3)</f>
      </c>
      <c r="D1413">
        <v>450</v>
      </c>
      <c r="E1413" s="51">
        <f>IF(INDEX(DarlBelegt,3)=0,0,EOMONTH(INDEX(DarlAuszahlung,3),449)+1)</f>
      </c>
      <c r="F1413" s="43">
        <f>IF($E1413=0,0,YEAR($E1413))</f>
      </c>
      <c r="G1413" s="43">
        <f>IF(INDEX(DarlBindung,3)="",1,IF($E1413&lt;=INDEX(DarlBindung,3),1,0))</f>
      </c>
      <c r="H1413" s="43">
        <f>IF($G1413=1,INDEX(DarlSollzins,3),INDEX(DarlAnschluss,3))</f>
      </c>
      <c r="I1413" s="43">
        <f>IF(INDEX(DarlBelegt,3)=0,0,IF(INDEX(DarlOhneTilgung,3)=1,IF(INDEX(DarlBindung,3)="",1,$G1413),IF($J1413&gt;0.005,1,0)))</f>
      </c>
      <c r="J1413" s="43">
        <f>IF($I1412=0,0,$R1412)</f>
      </c>
      <c r="K1413" s="43">
        <f>IF($I1413=0,0,IF(INDEX(DarlOhneTilgung,3)=1,0,IF(AND(INDEX(DarlTilgStart,3)&gt;0,$E1413=INDEX(DarlTilgStart,3)),$J1413*($H1413+INDEX(DarlTilgung,3))/100/12,IF(AND($G1413=0,$G1412=1),MAX($K1412,$J1413*($H1413+1)/100/12),$K1412))))</f>
      </c>
      <c r="L1413" s="43">
        <f>IF($I1413=0,0,$J1413*$H1413/100/12)</f>
      </c>
      <c r="M1413" s="43">
        <f>IF($I1413=0,0,IF(OR(INDEX(DarlOhneTilgung,3)=1,AND(INDEX(DarlTilgStart,3)&gt;0,$E1413&lt;INDEX(DarlTilgStart,3))),0,MIN(MAX(0,$K1413-$L1413),$J1413)))</f>
      </c>
      <c r="N1413" s="43">
        <f>IF($I1413=0,0,MIN(SUMIFS(SondBetrag,SondDarl,3,SondDatum,"&gt;="&amp;$E1413,SondDatum,"&lt;="&amp;EOMONTH($E1413,0)),$J1413-$M1413))</f>
      </c>
      <c r="O1413" s="43">
        <f>IF($I1413=0,0,INDEX(DarlErsatzRate,3))</f>
      </c>
      <c r="P1413" s="43">
        <f>IF($I1413=0,0,$Q1412*INDEX(DarlErsatzZins,3))</f>
      </c>
      <c r="Q1413" s="43">
        <f>IF($I1413=0,0,$Q1412+$P1413+$O1413)</f>
      </c>
      <c r="R1413" s="43">
        <f>IF($I1413=0,0,$J1413-$M1413-$N1413)</f>
      </c>
    </row>
    <row r="1414">
      <c r="A1414"/>
      <c r="B1414">
        <v>3</v>
      </c>
      <c r="C1414" s="43">
        <f>INDEX(DarlObj,3)</f>
      </c>
      <c r="D1414">
        <v>451</v>
      </c>
      <c r="E1414" s="51">
        <f>IF(INDEX(DarlBelegt,3)=0,0,EOMONTH(INDEX(DarlAuszahlung,3),450)+1)</f>
      </c>
      <c r="F1414" s="43">
        <f>IF($E1414=0,0,YEAR($E1414))</f>
      </c>
      <c r="G1414" s="43">
        <f>IF(INDEX(DarlBindung,3)="",1,IF($E1414&lt;=INDEX(DarlBindung,3),1,0))</f>
      </c>
      <c r="H1414" s="43">
        <f>IF($G1414=1,INDEX(DarlSollzins,3),INDEX(DarlAnschluss,3))</f>
      </c>
      <c r="I1414" s="43">
        <f>IF(INDEX(DarlBelegt,3)=0,0,IF(INDEX(DarlOhneTilgung,3)=1,IF(INDEX(DarlBindung,3)="",1,$G1414),IF($J1414&gt;0.005,1,0)))</f>
      </c>
      <c r="J1414" s="43">
        <f>IF($I1413=0,0,$R1413)</f>
      </c>
      <c r="K1414" s="43">
        <f>IF($I1414=0,0,IF(INDEX(DarlOhneTilgung,3)=1,0,IF(AND(INDEX(DarlTilgStart,3)&gt;0,$E1414=INDEX(DarlTilgStart,3)),$J1414*($H1414+INDEX(DarlTilgung,3))/100/12,IF(AND($G1414=0,$G1413=1),MAX($K1413,$J1414*($H1414+1)/100/12),$K1413))))</f>
      </c>
      <c r="L1414" s="43">
        <f>IF($I1414=0,0,$J1414*$H1414/100/12)</f>
      </c>
      <c r="M1414" s="43">
        <f>IF($I1414=0,0,IF(OR(INDEX(DarlOhneTilgung,3)=1,AND(INDEX(DarlTilgStart,3)&gt;0,$E1414&lt;INDEX(DarlTilgStart,3))),0,MIN(MAX(0,$K1414-$L1414),$J1414)))</f>
      </c>
      <c r="N1414" s="43">
        <f>IF($I1414=0,0,MIN(SUMIFS(SondBetrag,SondDarl,3,SondDatum,"&gt;="&amp;$E1414,SondDatum,"&lt;="&amp;EOMONTH($E1414,0)),$J1414-$M1414))</f>
      </c>
      <c r="O1414" s="43">
        <f>IF($I1414=0,0,INDEX(DarlErsatzRate,3))</f>
      </c>
      <c r="P1414" s="43">
        <f>IF($I1414=0,0,$Q1413*INDEX(DarlErsatzZins,3))</f>
      </c>
      <c r="Q1414" s="43">
        <f>IF($I1414=0,0,$Q1413+$P1414+$O1414)</f>
      </c>
      <c r="R1414" s="43">
        <f>IF($I1414=0,0,$J1414-$M1414-$N1414)</f>
      </c>
    </row>
    <row r="1415">
      <c r="A1415"/>
      <c r="B1415">
        <v>3</v>
      </c>
      <c r="C1415" s="43">
        <f>INDEX(DarlObj,3)</f>
      </c>
      <c r="D1415">
        <v>452</v>
      </c>
      <c r="E1415" s="51">
        <f>IF(INDEX(DarlBelegt,3)=0,0,EOMONTH(INDEX(DarlAuszahlung,3),451)+1)</f>
      </c>
      <c r="F1415" s="43">
        <f>IF($E1415=0,0,YEAR($E1415))</f>
      </c>
      <c r="G1415" s="43">
        <f>IF(INDEX(DarlBindung,3)="",1,IF($E1415&lt;=INDEX(DarlBindung,3),1,0))</f>
      </c>
      <c r="H1415" s="43">
        <f>IF($G1415=1,INDEX(DarlSollzins,3),INDEX(DarlAnschluss,3))</f>
      </c>
      <c r="I1415" s="43">
        <f>IF(INDEX(DarlBelegt,3)=0,0,IF(INDEX(DarlOhneTilgung,3)=1,IF(INDEX(DarlBindung,3)="",1,$G1415),IF($J1415&gt;0.005,1,0)))</f>
      </c>
      <c r="J1415" s="43">
        <f>IF($I1414=0,0,$R1414)</f>
      </c>
      <c r="K1415" s="43">
        <f>IF($I1415=0,0,IF(INDEX(DarlOhneTilgung,3)=1,0,IF(AND(INDEX(DarlTilgStart,3)&gt;0,$E1415=INDEX(DarlTilgStart,3)),$J1415*($H1415+INDEX(DarlTilgung,3))/100/12,IF(AND($G1415=0,$G1414=1),MAX($K1414,$J1415*($H1415+1)/100/12),$K1414))))</f>
      </c>
      <c r="L1415" s="43">
        <f>IF($I1415=0,0,$J1415*$H1415/100/12)</f>
      </c>
      <c r="M1415" s="43">
        <f>IF($I1415=0,0,IF(OR(INDEX(DarlOhneTilgung,3)=1,AND(INDEX(DarlTilgStart,3)&gt;0,$E1415&lt;INDEX(DarlTilgStart,3))),0,MIN(MAX(0,$K1415-$L1415),$J1415)))</f>
      </c>
      <c r="N1415" s="43">
        <f>IF($I1415=0,0,MIN(SUMIFS(SondBetrag,SondDarl,3,SondDatum,"&gt;="&amp;$E1415,SondDatum,"&lt;="&amp;EOMONTH($E1415,0)),$J1415-$M1415))</f>
      </c>
      <c r="O1415" s="43">
        <f>IF($I1415=0,0,INDEX(DarlErsatzRate,3))</f>
      </c>
      <c r="P1415" s="43">
        <f>IF($I1415=0,0,$Q1414*INDEX(DarlErsatzZins,3))</f>
      </c>
      <c r="Q1415" s="43">
        <f>IF($I1415=0,0,$Q1414+$P1415+$O1415)</f>
      </c>
      <c r="R1415" s="43">
        <f>IF($I1415=0,0,$J1415-$M1415-$N1415)</f>
      </c>
    </row>
    <row r="1416">
      <c r="A1416"/>
      <c r="B1416">
        <v>3</v>
      </c>
      <c r="C1416" s="43">
        <f>INDEX(DarlObj,3)</f>
      </c>
      <c r="D1416">
        <v>453</v>
      </c>
      <c r="E1416" s="51">
        <f>IF(INDEX(DarlBelegt,3)=0,0,EOMONTH(INDEX(DarlAuszahlung,3),452)+1)</f>
      </c>
      <c r="F1416" s="43">
        <f>IF($E1416=0,0,YEAR($E1416))</f>
      </c>
      <c r="G1416" s="43">
        <f>IF(INDEX(DarlBindung,3)="",1,IF($E1416&lt;=INDEX(DarlBindung,3),1,0))</f>
      </c>
      <c r="H1416" s="43">
        <f>IF($G1416=1,INDEX(DarlSollzins,3),INDEX(DarlAnschluss,3))</f>
      </c>
      <c r="I1416" s="43">
        <f>IF(INDEX(DarlBelegt,3)=0,0,IF(INDEX(DarlOhneTilgung,3)=1,IF(INDEX(DarlBindung,3)="",1,$G1416),IF($J1416&gt;0.005,1,0)))</f>
      </c>
      <c r="J1416" s="43">
        <f>IF($I1415=0,0,$R1415)</f>
      </c>
      <c r="K1416" s="43">
        <f>IF($I1416=0,0,IF(INDEX(DarlOhneTilgung,3)=1,0,IF(AND(INDEX(DarlTilgStart,3)&gt;0,$E1416=INDEX(DarlTilgStart,3)),$J1416*($H1416+INDEX(DarlTilgung,3))/100/12,IF(AND($G1416=0,$G1415=1),MAX($K1415,$J1416*($H1416+1)/100/12),$K1415))))</f>
      </c>
      <c r="L1416" s="43">
        <f>IF($I1416=0,0,$J1416*$H1416/100/12)</f>
      </c>
      <c r="M1416" s="43">
        <f>IF($I1416=0,0,IF(OR(INDEX(DarlOhneTilgung,3)=1,AND(INDEX(DarlTilgStart,3)&gt;0,$E1416&lt;INDEX(DarlTilgStart,3))),0,MIN(MAX(0,$K1416-$L1416),$J1416)))</f>
      </c>
      <c r="N1416" s="43">
        <f>IF($I1416=0,0,MIN(SUMIFS(SondBetrag,SondDarl,3,SondDatum,"&gt;="&amp;$E1416,SondDatum,"&lt;="&amp;EOMONTH($E1416,0)),$J1416-$M1416))</f>
      </c>
      <c r="O1416" s="43">
        <f>IF($I1416=0,0,INDEX(DarlErsatzRate,3))</f>
      </c>
      <c r="P1416" s="43">
        <f>IF($I1416=0,0,$Q1415*INDEX(DarlErsatzZins,3))</f>
      </c>
      <c r="Q1416" s="43">
        <f>IF($I1416=0,0,$Q1415+$P1416+$O1416)</f>
      </c>
      <c r="R1416" s="43">
        <f>IF($I1416=0,0,$J1416-$M1416-$N1416)</f>
      </c>
    </row>
    <row r="1417">
      <c r="A1417"/>
      <c r="B1417">
        <v>3</v>
      </c>
      <c r="C1417" s="43">
        <f>INDEX(DarlObj,3)</f>
      </c>
      <c r="D1417">
        <v>454</v>
      </c>
      <c r="E1417" s="51">
        <f>IF(INDEX(DarlBelegt,3)=0,0,EOMONTH(INDEX(DarlAuszahlung,3),453)+1)</f>
      </c>
      <c r="F1417" s="43">
        <f>IF($E1417=0,0,YEAR($E1417))</f>
      </c>
      <c r="G1417" s="43">
        <f>IF(INDEX(DarlBindung,3)="",1,IF($E1417&lt;=INDEX(DarlBindung,3),1,0))</f>
      </c>
      <c r="H1417" s="43">
        <f>IF($G1417=1,INDEX(DarlSollzins,3),INDEX(DarlAnschluss,3))</f>
      </c>
      <c r="I1417" s="43">
        <f>IF(INDEX(DarlBelegt,3)=0,0,IF(INDEX(DarlOhneTilgung,3)=1,IF(INDEX(DarlBindung,3)="",1,$G1417),IF($J1417&gt;0.005,1,0)))</f>
      </c>
      <c r="J1417" s="43">
        <f>IF($I1416=0,0,$R1416)</f>
      </c>
      <c r="K1417" s="43">
        <f>IF($I1417=0,0,IF(INDEX(DarlOhneTilgung,3)=1,0,IF(AND(INDEX(DarlTilgStart,3)&gt;0,$E1417=INDEX(DarlTilgStart,3)),$J1417*($H1417+INDEX(DarlTilgung,3))/100/12,IF(AND($G1417=0,$G1416=1),MAX($K1416,$J1417*($H1417+1)/100/12),$K1416))))</f>
      </c>
      <c r="L1417" s="43">
        <f>IF($I1417=0,0,$J1417*$H1417/100/12)</f>
      </c>
      <c r="M1417" s="43">
        <f>IF($I1417=0,0,IF(OR(INDEX(DarlOhneTilgung,3)=1,AND(INDEX(DarlTilgStart,3)&gt;0,$E1417&lt;INDEX(DarlTilgStart,3))),0,MIN(MAX(0,$K1417-$L1417),$J1417)))</f>
      </c>
      <c r="N1417" s="43">
        <f>IF($I1417=0,0,MIN(SUMIFS(SondBetrag,SondDarl,3,SondDatum,"&gt;="&amp;$E1417,SondDatum,"&lt;="&amp;EOMONTH($E1417,0)),$J1417-$M1417))</f>
      </c>
      <c r="O1417" s="43">
        <f>IF($I1417=0,0,INDEX(DarlErsatzRate,3))</f>
      </c>
      <c r="P1417" s="43">
        <f>IF($I1417=0,0,$Q1416*INDEX(DarlErsatzZins,3))</f>
      </c>
      <c r="Q1417" s="43">
        <f>IF($I1417=0,0,$Q1416+$P1417+$O1417)</f>
      </c>
      <c r="R1417" s="43">
        <f>IF($I1417=0,0,$J1417-$M1417-$N1417)</f>
      </c>
    </row>
    <row r="1418">
      <c r="A1418"/>
      <c r="B1418">
        <v>3</v>
      </c>
      <c r="C1418" s="43">
        <f>INDEX(DarlObj,3)</f>
      </c>
      <c r="D1418">
        <v>455</v>
      </c>
      <c r="E1418" s="51">
        <f>IF(INDEX(DarlBelegt,3)=0,0,EOMONTH(INDEX(DarlAuszahlung,3),454)+1)</f>
      </c>
      <c r="F1418" s="43">
        <f>IF($E1418=0,0,YEAR($E1418))</f>
      </c>
      <c r="G1418" s="43">
        <f>IF(INDEX(DarlBindung,3)="",1,IF($E1418&lt;=INDEX(DarlBindung,3),1,0))</f>
      </c>
      <c r="H1418" s="43">
        <f>IF($G1418=1,INDEX(DarlSollzins,3),INDEX(DarlAnschluss,3))</f>
      </c>
      <c r="I1418" s="43">
        <f>IF(INDEX(DarlBelegt,3)=0,0,IF(INDEX(DarlOhneTilgung,3)=1,IF(INDEX(DarlBindung,3)="",1,$G1418),IF($J1418&gt;0.005,1,0)))</f>
      </c>
      <c r="J1418" s="43">
        <f>IF($I1417=0,0,$R1417)</f>
      </c>
      <c r="K1418" s="43">
        <f>IF($I1418=0,0,IF(INDEX(DarlOhneTilgung,3)=1,0,IF(AND(INDEX(DarlTilgStart,3)&gt;0,$E1418=INDEX(DarlTilgStart,3)),$J1418*($H1418+INDEX(DarlTilgung,3))/100/12,IF(AND($G1418=0,$G1417=1),MAX($K1417,$J1418*($H1418+1)/100/12),$K1417))))</f>
      </c>
      <c r="L1418" s="43">
        <f>IF($I1418=0,0,$J1418*$H1418/100/12)</f>
      </c>
      <c r="M1418" s="43">
        <f>IF($I1418=0,0,IF(OR(INDEX(DarlOhneTilgung,3)=1,AND(INDEX(DarlTilgStart,3)&gt;0,$E1418&lt;INDEX(DarlTilgStart,3))),0,MIN(MAX(0,$K1418-$L1418),$J1418)))</f>
      </c>
      <c r="N1418" s="43">
        <f>IF($I1418=0,0,MIN(SUMIFS(SondBetrag,SondDarl,3,SondDatum,"&gt;="&amp;$E1418,SondDatum,"&lt;="&amp;EOMONTH($E1418,0)),$J1418-$M1418))</f>
      </c>
      <c r="O1418" s="43">
        <f>IF($I1418=0,0,INDEX(DarlErsatzRate,3))</f>
      </c>
      <c r="P1418" s="43">
        <f>IF($I1418=0,0,$Q1417*INDEX(DarlErsatzZins,3))</f>
      </c>
      <c r="Q1418" s="43">
        <f>IF($I1418=0,0,$Q1417+$P1418+$O1418)</f>
      </c>
      <c r="R1418" s="43">
        <f>IF($I1418=0,0,$J1418-$M1418-$N1418)</f>
      </c>
    </row>
    <row r="1419">
      <c r="A1419"/>
      <c r="B1419">
        <v>3</v>
      </c>
      <c r="C1419" s="43">
        <f>INDEX(DarlObj,3)</f>
      </c>
      <c r="D1419">
        <v>456</v>
      </c>
      <c r="E1419" s="51">
        <f>IF(INDEX(DarlBelegt,3)=0,0,EOMONTH(INDEX(DarlAuszahlung,3),455)+1)</f>
      </c>
      <c r="F1419" s="43">
        <f>IF($E1419=0,0,YEAR($E1419))</f>
      </c>
      <c r="G1419" s="43">
        <f>IF(INDEX(DarlBindung,3)="",1,IF($E1419&lt;=INDEX(DarlBindung,3),1,0))</f>
      </c>
      <c r="H1419" s="43">
        <f>IF($G1419=1,INDEX(DarlSollzins,3),INDEX(DarlAnschluss,3))</f>
      </c>
      <c r="I1419" s="43">
        <f>IF(INDEX(DarlBelegt,3)=0,0,IF(INDEX(DarlOhneTilgung,3)=1,IF(INDEX(DarlBindung,3)="",1,$G1419),IF($J1419&gt;0.005,1,0)))</f>
      </c>
      <c r="J1419" s="43">
        <f>IF($I1418=0,0,$R1418)</f>
      </c>
      <c r="K1419" s="43">
        <f>IF($I1419=0,0,IF(INDEX(DarlOhneTilgung,3)=1,0,IF(AND(INDEX(DarlTilgStart,3)&gt;0,$E1419=INDEX(DarlTilgStart,3)),$J1419*($H1419+INDEX(DarlTilgung,3))/100/12,IF(AND($G1419=0,$G1418=1),MAX($K1418,$J1419*($H1419+1)/100/12),$K1418))))</f>
      </c>
      <c r="L1419" s="43">
        <f>IF($I1419=0,0,$J1419*$H1419/100/12)</f>
      </c>
      <c r="M1419" s="43">
        <f>IF($I1419=0,0,IF(OR(INDEX(DarlOhneTilgung,3)=1,AND(INDEX(DarlTilgStart,3)&gt;0,$E1419&lt;INDEX(DarlTilgStart,3))),0,MIN(MAX(0,$K1419-$L1419),$J1419)))</f>
      </c>
      <c r="N1419" s="43">
        <f>IF($I1419=0,0,MIN(SUMIFS(SondBetrag,SondDarl,3,SondDatum,"&gt;="&amp;$E1419,SondDatum,"&lt;="&amp;EOMONTH($E1419,0)),$J1419-$M1419))</f>
      </c>
      <c r="O1419" s="43">
        <f>IF($I1419=0,0,INDEX(DarlErsatzRate,3))</f>
      </c>
      <c r="P1419" s="43">
        <f>IF($I1419=0,0,$Q1418*INDEX(DarlErsatzZins,3))</f>
      </c>
      <c r="Q1419" s="43">
        <f>IF($I1419=0,0,$Q1418+$P1419+$O1419)</f>
      </c>
      <c r="R1419" s="43">
        <f>IF($I1419=0,0,$J1419-$M1419-$N1419)</f>
      </c>
    </row>
    <row r="1420">
      <c r="A1420"/>
      <c r="B1420">
        <v>3</v>
      </c>
      <c r="C1420" s="43">
        <f>INDEX(DarlObj,3)</f>
      </c>
      <c r="D1420">
        <v>457</v>
      </c>
      <c r="E1420" s="51">
        <f>IF(INDEX(DarlBelegt,3)=0,0,EOMONTH(INDEX(DarlAuszahlung,3),456)+1)</f>
      </c>
      <c r="F1420" s="43">
        <f>IF($E1420=0,0,YEAR($E1420))</f>
      </c>
      <c r="G1420" s="43">
        <f>IF(INDEX(DarlBindung,3)="",1,IF($E1420&lt;=INDEX(DarlBindung,3),1,0))</f>
      </c>
      <c r="H1420" s="43">
        <f>IF($G1420=1,INDEX(DarlSollzins,3),INDEX(DarlAnschluss,3))</f>
      </c>
      <c r="I1420" s="43">
        <f>IF(INDEX(DarlBelegt,3)=0,0,IF(INDEX(DarlOhneTilgung,3)=1,IF(INDEX(DarlBindung,3)="",1,$G1420),IF($J1420&gt;0.005,1,0)))</f>
      </c>
      <c r="J1420" s="43">
        <f>IF($I1419=0,0,$R1419)</f>
      </c>
      <c r="K1420" s="43">
        <f>IF($I1420=0,0,IF(INDEX(DarlOhneTilgung,3)=1,0,IF(AND(INDEX(DarlTilgStart,3)&gt;0,$E1420=INDEX(DarlTilgStart,3)),$J1420*($H1420+INDEX(DarlTilgung,3))/100/12,IF(AND($G1420=0,$G1419=1),MAX($K1419,$J1420*($H1420+1)/100/12),$K1419))))</f>
      </c>
      <c r="L1420" s="43">
        <f>IF($I1420=0,0,$J1420*$H1420/100/12)</f>
      </c>
      <c r="M1420" s="43">
        <f>IF($I1420=0,0,IF(OR(INDEX(DarlOhneTilgung,3)=1,AND(INDEX(DarlTilgStart,3)&gt;0,$E1420&lt;INDEX(DarlTilgStart,3))),0,MIN(MAX(0,$K1420-$L1420),$J1420)))</f>
      </c>
      <c r="N1420" s="43">
        <f>IF($I1420=0,0,MIN(SUMIFS(SondBetrag,SondDarl,3,SondDatum,"&gt;="&amp;$E1420,SondDatum,"&lt;="&amp;EOMONTH($E1420,0)),$J1420-$M1420))</f>
      </c>
      <c r="O1420" s="43">
        <f>IF($I1420=0,0,INDEX(DarlErsatzRate,3))</f>
      </c>
      <c r="P1420" s="43">
        <f>IF($I1420=0,0,$Q1419*INDEX(DarlErsatzZins,3))</f>
      </c>
      <c r="Q1420" s="43">
        <f>IF($I1420=0,0,$Q1419+$P1420+$O1420)</f>
      </c>
      <c r="R1420" s="43">
        <f>IF($I1420=0,0,$J1420-$M1420-$N1420)</f>
      </c>
    </row>
    <row r="1421">
      <c r="A1421"/>
      <c r="B1421">
        <v>3</v>
      </c>
      <c r="C1421" s="43">
        <f>INDEX(DarlObj,3)</f>
      </c>
      <c r="D1421">
        <v>458</v>
      </c>
      <c r="E1421" s="51">
        <f>IF(INDEX(DarlBelegt,3)=0,0,EOMONTH(INDEX(DarlAuszahlung,3),457)+1)</f>
      </c>
      <c r="F1421" s="43">
        <f>IF($E1421=0,0,YEAR($E1421))</f>
      </c>
      <c r="G1421" s="43">
        <f>IF(INDEX(DarlBindung,3)="",1,IF($E1421&lt;=INDEX(DarlBindung,3),1,0))</f>
      </c>
      <c r="H1421" s="43">
        <f>IF($G1421=1,INDEX(DarlSollzins,3),INDEX(DarlAnschluss,3))</f>
      </c>
      <c r="I1421" s="43">
        <f>IF(INDEX(DarlBelegt,3)=0,0,IF(INDEX(DarlOhneTilgung,3)=1,IF(INDEX(DarlBindung,3)="",1,$G1421),IF($J1421&gt;0.005,1,0)))</f>
      </c>
      <c r="J1421" s="43">
        <f>IF($I1420=0,0,$R1420)</f>
      </c>
      <c r="K1421" s="43">
        <f>IF($I1421=0,0,IF(INDEX(DarlOhneTilgung,3)=1,0,IF(AND(INDEX(DarlTilgStart,3)&gt;0,$E1421=INDEX(DarlTilgStart,3)),$J1421*($H1421+INDEX(DarlTilgung,3))/100/12,IF(AND($G1421=0,$G1420=1),MAX($K1420,$J1421*($H1421+1)/100/12),$K1420))))</f>
      </c>
      <c r="L1421" s="43">
        <f>IF($I1421=0,0,$J1421*$H1421/100/12)</f>
      </c>
      <c r="M1421" s="43">
        <f>IF($I1421=0,0,IF(OR(INDEX(DarlOhneTilgung,3)=1,AND(INDEX(DarlTilgStart,3)&gt;0,$E1421&lt;INDEX(DarlTilgStart,3))),0,MIN(MAX(0,$K1421-$L1421),$J1421)))</f>
      </c>
      <c r="N1421" s="43">
        <f>IF($I1421=0,0,MIN(SUMIFS(SondBetrag,SondDarl,3,SondDatum,"&gt;="&amp;$E1421,SondDatum,"&lt;="&amp;EOMONTH($E1421,0)),$J1421-$M1421))</f>
      </c>
      <c r="O1421" s="43">
        <f>IF($I1421=0,0,INDEX(DarlErsatzRate,3))</f>
      </c>
      <c r="P1421" s="43">
        <f>IF($I1421=0,0,$Q1420*INDEX(DarlErsatzZins,3))</f>
      </c>
      <c r="Q1421" s="43">
        <f>IF($I1421=0,0,$Q1420+$P1421+$O1421)</f>
      </c>
      <c r="R1421" s="43">
        <f>IF($I1421=0,0,$J1421-$M1421-$N1421)</f>
      </c>
    </row>
    <row r="1422">
      <c r="A1422"/>
      <c r="B1422">
        <v>3</v>
      </c>
      <c r="C1422" s="43">
        <f>INDEX(DarlObj,3)</f>
      </c>
      <c r="D1422">
        <v>459</v>
      </c>
      <c r="E1422" s="51">
        <f>IF(INDEX(DarlBelegt,3)=0,0,EOMONTH(INDEX(DarlAuszahlung,3),458)+1)</f>
      </c>
      <c r="F1422" s="43">
        <f>IF($E1422=0,0,YEAR($E1422))</f>
      </c>
      <c r="G1422" s="43">
        <f>IF(INDEX(DarlBindung,3)="",1,IF($E1422&lt;=INDEX(DarlBindung,3),1,0))</f>
      </c>
      <c r="H1422" s="43">
        <f>IF($G1422=1,INDEX(DarlSollzins,3),INDEX(DarlAnschluss,3))</f>
      </c>
      <c r="I1422" s="43">
        <f>IF(INDEX(DarlBelegt,3)=0,0,IF(INDEX(DarlOhneTilgung,3)=1,IF(INDEX(DarlBindung,3)="",1,$G1422),IF($J1422&gt;0.005,1,0)))</f>
      </c>
      <c r="J1422" s="43">
        <f>IF($I1421=0,0,$R1421)</f>
      </c>
      <c r="K1422" s="43">
        <f>IF($I1422=0,0,IF(INDEX(DarlOhneTilgung,3)=1,0,IF(AND(INDEX(DarlTilgStart,3)&gt;0,$E1422=INDEX(DarlTilgStart,3)),$J1422*($H1422+INDEX(DarlTilgung,3))/100/12,IF(AND($G1422=0,$G1421=1),MAX($K1421,$J1422*($H1422+1)/100/12),$K1421))))</f>
      </c>
      <c r="L1422" s="43">
        <f>IF($I1422=0,0,$J1422*$H1422/100/12)</f>
      </c>
      <c r="M1422" s="43">
        <f>IF($I1422=0,0,IF(OR(INDEX(DarlOhneTilgung,3)=1,AND(INDEX(DarlTilgStart,3)&gt;0,$E1422&lt;INDEX(DarlTilgStart,3))),0,MIN(MAX(0,$K1422-$L1422),$J1422)))</f>
      </c>
      <c r="N1422" s="43">
        <f>IF($I1422=0,0,MIN(SUMIFS(SondBetrag,SondDarl,3,SondDatum,"&gt;="&amp;$E1422,SondDatum,"&lt;="&amp;EOMONTH($E1422,0)),$J1422-$M1422))</f>
      </c>
      <c r="O1422" s="43">
        <f>IF($I1422=0,0,INDEX(DarlErsatzRate,3))</f>
      </c>
      <c r="P1422" s="43">
        <f>IF($I1422=0,0,$Q1421*INDEX(DarlErsatzZins,3))</f>
      </c>
      <c r="Q1422" s="43">
        <f>IF($I1422=0,0,$Q1421+$P1422+$O1422)</f>
      </c>
      <c r="R1422" s="43">
        <f>IF($I1422=0,0,$J1422-$M1422-$N1422)</f>
      </c>
    </row>
    <row r="1423">
      <c r="A1423"/>
      <c r="B1423">
        <v>3</v>
      </c>
      <c r="C1423" s="43">
        <f>INDEX(DarlObj,3)</f>
      </c>
      <c r="D1423">
        <v>460</v>
      </c>
      <c r="E1423" s="51">
        <f>IF(INDEX(DarlBelegt,3)=0,0,EOMONTH(INDEX(DarlAuszahlung,3),459)+1)</f>
      </c>
      <c r="F1423" s="43">
        <f>IF($E1423=0,0,YEAR($E1423))</f>
      </c>
      <c r="G1423" s="43">
        <f>IF(INDEX(DarlBindung,3)="",1,IF($E1423&lt;=INDEX(DarlBindung,3),1,0))</f>
      </c>
      <c r="H1423" s="43">
        <f>IF($G1423=1,INDEX(DarlSollzins,3),INDEX(DarlAnschluss,3))</f>
      </c>
      <c r="I1423" s="43">
        <f>IF(INDEX(DarlBelegt,3)=0,0,IF(INDEX(DarlOhneTilgung,3)=1,IF(INDEX(DarlBindung,3)="",1,$G1423),IF($J1423&gt;0.005,1,0)))</f>
      </c>
      <c r="J1423" s="43">
        <f>IF($I1422=0,0,$R1422)</f>
      </c>
      <c r="K1423" s="43">
        <f>IF($I1423=0,0,IF(INDEX(DarlOhneTilgung,3)=1,0,IF(AND(INDEX(DarlTilgStart,3)&gt;0,$E1423=INDEX(DarlTilgStart,3)),$J1423*($H1423+INDEX(DarlTilgung,3))/100/12,IF(AND($G1423=0,$G1422=1),MAX($K1422,$J1423*($H1423+1)/100/12),$K1422))))</f>
      </c>
      <c r="L1423" s="43">
        <f>IF($I1423=0,0,$J1423*$H1423/100/12)</f>
      </c>
      <c r="M1423" s="43">
        <f>IF($I1423=0,0,IF(OR(INDEX(DarlOhneTilgung,3)=1,AND(INDEX(DarlTilgStart,3)&gt;0,$E1423&lt;INDEX(DarlTilgStart,3))),0,MIN(MAX(0,$K1423-$L1423),$J1423)))</f>
      </c>
      <c r="N1423" s="43">
        <f>IF($I1423=0,0,MIN(SUMIFS(SondBetrag,SondDarl,3,SondDatum,"&gt;="&amp;$E1423,SondDatum,"&lt;="&amp;EOMONTH($E1423,0)),$J1423-$M1423))</f>
      </c>
      <c r="O1423" s="43">
        <f>IF($I1423=0,0,INDEX(DarlErsatzRate,3))</f>
      </c>
      <c r="P1423" s="43">
        <f>IF($I1423=0,0,$Q1422*INDEX(DarlErsatzZins,3))</f>
      </c>
      <c r="Q1423" s="43">
        <f>IF($I1423=0,0,$Q1422+$P1423+$O1423)</f>
      </c>
      <c r="R1423" s="43">
        <f>IF($I1423=0,0,$J1423-$M1423-$N1423)</f>
      </c>
    </row>
    <row r="1424">
      <c r="A1424"/>
      <c r="B1424">
        <v>3</v>
      </c>
      <c r="C1424" s="43">
        <f>INDEX(DarlObj,3)</f>
      </c>
      <c r="D1424">
        <v>461</v>
      </c>
      <c r="E1424" s="51">
        <f>IF(INDEX(DarlBelegt,3)=0,0,EOMONTH(INDEX(DarlAuszahlung,3),460)+1)</f>
      </c>
      <c r="F1424" s="43">
        <f>IF($E1424=0,0,YEAR($E1424))</f>
      </c>
      <c r="G1424" s="43">
        <f>IF(INDEX(DarlBindung,3)="",1,IF($E1424&lt;=INDEX(DarlBindung,3),1,0))</f>
      </c>
      <c r="H1424" s="43">
        <f>IF($G1424=1,INDEX(DarlSollzins,3),INDEX(DarlAnschluss,3))</f>
      </c>
      <c r="I1424" s="43">
        <f>IF(INDEX(DarlBelegt,3)=0,0,IF(INDEX(DarlOhneTilgung,3)=1,IF(INDEX(DarlBindung,3)="",1,$G1424),IF($J1424&gt;0.005,1,0)))</f>
      </c>
      <c r="J1424" s="43">
        <f>IF($I1423=0,0,$R1423)</f>
      </c>
      <c r="K1424" s="43">
        <f>IF($I1424=0,0,IF(INDEX(DarlOhneTilgung,3)=1,0,IF(AND(INDEX(DarlTilgStart,3)&gt;0,$E1424=INDEX(DarlTilgStart,3)),$J1424*($H1424+INDEX(DarlTilgung,3))/100/12,IF(AND($G1424=0,$G1423=1),MAX($K1423,$J1424*($H1424+1)/100/12),$K1423))))</f>
      </c>
      <c r="L1424" s="43">
        <f>IF($I1424=0,0,$J1424*$H1424/100/12)</f>
      </c>
      <c r="M1424" s="43">
        <f>IF($I1424=0,0,IF(OR(INDEX(DarlOhneTilgung,3)=1,AND(INDEX(DarlTilgStart,3)&gt;0,$E1424&lt;INDEX(DarlTilgStart,3))),0,MIN(MAX(0,$K1424-$L1424),$J1424)))</f>
      </c>
      <c r="N1424" s="43">
        <f>IF($I1424=0,0,MIN(SUMIFS(SondBetrag,SondDarl,3,SondDatum,"&gt;="&amp;$E1424,SondDatum,"&lt;="&amp;EOMONTH($E1424,0)),$J1424-$M1424))</f>
      </c>
      <c r="O1424" s="43">
        <f>IF($I1424=0,0,INDEX(DarlErsatzRate,3))</f>
      </c>
      <c r="P1424" s="43">
        <f>IF($I1424=0,0,$Q1423*INDEX(DarlErsatzZins,3))</f>
      </c>
      <c r="Q1424" s="43">
        <f>IF($I1424=0,0,$Q1423+$P1424+$O1424)</f>
      </c>
      <c r="R1424" s="43">
        <f>IF($I1424=0,0,$J1424-$M1424-$N1424)</f>
      </c>
    </row>
    <row r="1425">
      <c r="A1425"/>
      <c r="B1425">
        <v>3</v>
      </c>
      <c r="C1425" s="43">
        <f>INDEX(DarlObj,3)</f>
      </c>
      <c r="D1425">
        <v>462</v>
      </c>
      <c r="E1425" s="51">
        <f>IF(INDEX(DarlBelegt,3)=0,0,EOMONTH(INDEX(DarlAuszahlung,3),461)+1)</f>
      </c>
      <c r="F1425" s="43">
        <f>IF($E1425=0,0,YEAR($E1425))</f>
      </c>
      <c r="G1425" s="43">
        <f>IF(INDEX(DarlBindung,3)="",1,IF($E1425&lt;=INDEX(DarlBindung,3),1,0))</f>
      </c>
      <c r="H1425" s="43">
        <f>IF($G1425=1,INDEX(DarlSollzins,3),INDEX(DarlAnschluss,3))</f>
      </c>
      <c r="I1425" s="43">
        <f>IF(INDEX(DarlBelegt,3)=0,0,IF(INDEX(DarlOhneTilgung,3)=1,IF(INDEX(DarlBindung,3)="",1,$G1425),IF($J1425&gt;0.005,1,0)))</f>
      </c>
      <c r="J1425" s="43">
        <f>IF($I1424=0,0,$R1424)</f>
      </c>
      <c r="K1425" s="43">
        <f>IF($I1425=0,0,IF(INDEX(DarlOhneTilgung,3)=1,0,IF(AND(INDEX(DarlTilgStart,3)&gt;0,$E1425=INDEX(DarlTilgStart,3)),$J1425*($H1425+INDEX(DarlTilgung,3))/100/12,IF(AND($G1425=0,$G1424=1),MAX($K1424,$J1425*($H1425+1)/100/12),$K1424))))</f>
      </c>
      <c r="L1425" s="43">
        <f>IF($I1425=0,0,$J1425*$H1425/100/12)</f>
      </c>
      <c r="M1425" s="43">
        <f>IF($I1425=0,0,IF(OR(INDEX(DarlOhneTilgung,3)=1,AND(INDEX(DarlTilgStart,3)&gt;0,$E1425&lt;INDEX(DarlTilgStart,3))),0,MIN(MAX(0,$K1425-$L1425),$J1425)))</f>
      </c>
      <c r="N1425" s="43">
        <f>IF($I1425=0,0,MIN(SUMIFS(SondBetrag,SondDarl,3,SondDatum,"&gt;="&amp;$E1425,SondDatum,"&lt;="&amp;EOMONTH($E1425,0)),$J1425-$M1425))</f>
      </c>
      <c r="O1425" s="43">
        <f>IF($I1425=0,0,INDEX(DarlErsatzRate,3))</f>
      </c>
      <c r="P1425" s="43">
        <f>IF($I1425=0,0,$Q1424*INDEX(DarlErsatzZins,3))</f>
      </c>
      <c r="Q1425" s="43">
        <f>IF($I1425=0,0,$Q1424+$P1425+$O1425)</f>
      </c>
      <c r="R1425" s="43">
        <f>IF($I1425=0,0,$J1425-$M1425-$N1425)</f>
      </c>
    </row>
    <row r="1426">
      <c r="A1426"/>
      <c r="B1426">
        <v>3</v>
      </c>
      <c r="C1426" s="43">
        <f>INDEX(DarlObj,3)</f>
      </c>
      <c r="D1426">
        <v>463</v>
      </c>
      <c r="E1426" s="51">
        <f>IF(INDEX(DarlBelegt,3)=0,0,EOMONTH(INDEX(DarlAuszahlung,3),462)+1)</f>
      </c>
      <c r="F1426" s="43">
        <f>IF($E1426=0,0,YEAR($E1426))</f>
      </c>
      <c r="G1426" s="43">
        <f>IF(INDEX(DarlBindung,3)="",1,IF($E1426&lt;=INDEX(DarlBindung,3),1,0))</f>
      </c>
      <c r="H1426" s="43">
        <f>IF($G1426=1,INDEX(DarlSollzins,3),INDEX(DarlAnschluss,3))</f>
      </c>
      <c r="I1426" s="43">
        <f>IF(INDEX(DarlBelegt,3)=0,0,IF(INDEX(DarlOhneTilgung,3)=1,IF(INDEX(DarlBindung,3)="",1,$G1426),IF($J1426&gt;0.005,1,0)))</f>
      </c>
      <c r="J1426" s="43">
        <f>IF($I1425=0,0,$R1425)</f>
      </c>
      <c r="K1426" s="43">
        <f>IF($I1426=0,0,IF(INDEX(DarlOhneTilgung,3)=1,0,IF(AND(INDEX(DarlTilgStart,3)&gt;0,$E1426=INDEX(DarlTilgStart,3)),$J1426*($H1426+INDEX(DarlTilgung,3))/100/12,IF(AND($G1426=0,$G1425=1),MAX($K1425,$J1426*($H1426+1)/100/12),$K1425))))</f>
      </c>
      <c r="L1426" s="43">
        <f>IF($I1426=0,0,$J1426*$H1426/100/12)</f>
      </c>
      <c r="M1426" s="43">
        <f>IF($I1426=0,0,IF(OR(INDEX(DarlOhneTilgung,3)=1,AND(INDEX(DarlTilgStart,3)&gt;0,$E1426&lt;INDEX(DarlTilgStart,3))),0,MIN(MAX(0,$K1426-$L1426),$J1426)))</f>
      </c>
      <c r="N1426" s="43">
        <f>IF($I1426=0,0,MIN(SUMIFS(SondBetrag,SondDarl,3,SondDatum,"&gt;="&amp;$E1426,SondDatum,"&lt;="&amp;EOMONTH($E1426,0)),$J1426-$M1426))</f>
      </c>
      <c r="O1426" s="43">
        <f>IF($I1426=0,0,INDEX(DarlErsatzRate,3))</f>
      </c>
      <c r="P1426" s="43">
        <f>IF($I1426=0,0,$Q1425*INDEX(DarlErsatzZins,3))</f>
      </c>
      <c r="Q1426" s="43">
        <f>IF($I1426=0,0,$Q1425+$P1426+$O1426)</f>
      </c>
      <c r="R1426" s="43">
        <f>IF($I1426=0,0,$J1426-$M1426-$N1426)</f>
      </c>
    </row>
    <row r="1427">
      <c r="A1427"/>
      <c r="B1427">
        <v>3</v>
      </c>
      <c r="C1427" s="43">
        <f>INDEX(DarlObj,3)</f>
      </c>
      <c r="D1427">
        <v>464</v>
      </c>
      <c r="E1427" s="51">
        <f>IF(INDEX(DarlBelegt,3)=0,0,EOMONTH(INDEX(DarlAuszahlung,3),463)+1)</f>
      </c>
      <c r="F1427" s="43">
        <f>IF($E1427=0,0,YEAR($E1427))</f>
      </c>
      <c r="G1427" s="43">
        <f>IF(INDEX(DarlBindung,3)="",1,IF($E1427&lt;=INDEX(DarlBindung,3),1,0))</f>
      </c>
      <c r="H1427" s="43">
        <f>IF($G1427=1,INDEX(DarlSollzins,3),INDEX(DarlAnschluss,3))</f>
      </c>
      <c r="I1427" s="43">
        <f>IF(INDEX(DarlBelegt,3)=0,0,IF(INDEX(DarlOhneTilgung,3)=1,IF(INDEX(DarlBindung,3)="",1,$G1427),IF($J1427&gt;0.005,1,0)))</f>
      </c>
      <c r="J1427" s="43">
        <f>IF($I1426=0,0,$R1426)</f>
      </c>
      <c r="K1427" s="43">
        <f>IF($I1427=0,0,IF(INDEX(DarlOhneTilgung,3)=1,0,IF(AND(INDEX(DarlTilgStart,3)&gt;0,$E1427=INDEX(DarlTilgStart,3)),$J1427*($H1427+INDEX(DarlTilgung,3))/100/12,IF(AND($G1427=0,$G1426=1),MAX($K1426,$J1427*($H1427+1)/100/12),$K1426))))</f>
      </c>
      <c r="L1427" s="43">
        <f>IF($I1427=0,0,$J1427*$H1427/100/12)</f>
      </c>
      <c r="M1427" s="43">
        <f>IF($I1427=0,0,IF(OR(INDEX(DarlOhneTilgung,3)=1,AND(INDEX(DarlTilgStart,3)&gt;0,$E1427&lt;INDEX(DarlTilgStart,3))),0,MIN(MAX(0,$K1427-$L1427),$J1427)))</f>
      </c>
      <c r="N1427" s="43">
        <f>IF($I1427=0,0,MIN(SUMIFS(SondBetrag,SondDarl,3,SondDatum,"&gt;="&amp;$E1427,SondDatum,"&lt;="&amp;EOMONTH($E1427,0)),$J1427-$M1427))</f>
      </c>
      <c r="O1427" s="43">
        <f>IF($I1427=0,0,INDEX(DarlErsatzRate,3))</f>
      </c>
      <c r="P1427" s="43">
        <f>IF($I1427=0,0,$Q1426*INDEX(DarlErsatzZins,3))</f>
      </c>
      <c r="Q1427" s="43">
        <f>IF($I1427=0,0,$Q1426+$P1427+$O1427)</f>
      </c>
      <c r="R1427" s="43">
        <f>IF($I1427=0,0,$J1427-$M1427-$N1427)</f>
      </c>
    </row>
    <row r="1428">
      <c r="A1428"/>
      <c r="B1428">
        <v>3</v>
      </c>
      <c r="C1428" s="43">
        <f>INDEX(DarlObj,3)</f>
      </c>
      <c r="D1428">
        <v>465</v>
      </c>
      <c r="E1428" s="51">
        <f>IF(INDEX(DarlBelegt,3)=0,0,EOMONTH(INDEX(DarlAuszahlung,3),464)+1)</f>
      </c>
      <c r="F1428" s="43">
        <f>IF($E1428=0,0,YEAR($E1428))</f>
      </c>
      <c r="G1428" s="43">
        <f>IF(INDEX(DarlBindung,3)="",1,IF($E1428&lt;=INDEX(DarlBindung,3),1,0))</f>
      </c>
      <c r="H1428" s="43">
        <f>IF($G1428=1,INDEX(DarlSollzins,3),INDEX(DarlAnschluss,3))</f>
      </c>
      <c r="I1428" s="43">
        <f>IF(INDEX(DarlBelegt,3)=0,0,IF(INDEX(DarlOhneTilgung,3)=1,IF(INDEX(DarlBindung,3)="",1,$G1428),IF($J1428&gt;0.005,1,0)))</f>
      </c>
      <c r="J1428" s="43">
        <f>IF($I1427=0,0,$R1427)</f>
      </c>
      <c r="K1428" s="43">
        <f>IF($I1428=0,0,IF(INDEX(DarlOhneTilgung,3)=1,0,IF(AND(INDEX(DarlTilgStart,3)&gt;0,$E1428=INDEX(DarlTilgStart,3)),$J1428*($H1428+INDEX(DarlTilgung,3))/100/12,IF(AND($G1428=0,$G1427=1),MAX($K1427,$J1428*($H1428+1)/100/12),$K1427))))</f>
      </c>
      <c r="L1428" s="43">
        <f>IF($I1428=0,0,$J1428*$H1428/100/12)</f>
      </c>
      <c r="M1428" s="43">
        <f>IF($I1428=0,0,IF(OR(INDEX(DarlOhneTilgung,3)=1,AND(INDEX(DarlTilgStart,3)&gt;0,$E1428&lt;INDEX(DarlTilgStart,3))),0,MIN(MAX(0,$K1428-$L1428),$J1428)))</f>
      </c>
      <c r="N1428" s="43">
        <f>IF($I1428=0,0,MIN(SUMIFS(SondBetrag,SondDarl,3,SondDatum,"&gt;="&amp;$E1428,SondDatum,"&lt;="&amp;EOMONTH($E1428,0)),$J1428-$M1428))</f>
      </c>
      <c r="O1428" s="43">
        <f>IF($I1428=0,0,INDEX(DarlErsatzRate,3))</f>
      </c>
      <c r="P1428" s="43">
        <f>IF($I1428=0,0,$Q1427*INDEX(DarlErsatzZins,3))</f>
      </c>
      <c r="Q1428" s="43">
        <f>IF($I1428=0,0,$Q1427+$P1428+$O1428)</f>
      </c>
      <c r="R1428" s="43">
        <f>IF($I1428=0,0,$J1428-$M1428-$N1428)</f>
      </c>
    </row>
    <row r="1429">
      <c r="A1429"/>
      <c r="B1429">
        <v>3</v>
      </c>
      <c r="C1429" s="43">
        <f>INDEX(DarlObj,3)</f>
      </c>
      <c r="D1429">
        <v>466</v>
      </c>
      <c r="E1429" s="51">
        <f>IF(INDEX(DarlBelegt,3)=0,0,EOMONTH(INDEX(DarlAuszahlung,3),465)+1)</f>
      </c>
      <c r="F1429" s="43">
        <f>IF($E1429=0,0,YEAR($E1429))</f>
      </c>
      <c r="G1429" s="43">
        <f>IF(INDEX(DarlBindung,3)="",1,IF($E1429&lt;=INDEX(DarlBindung,3),1,0))</f>
      </c>
      <c r="H1429" s="43">
        <f>IF($G1429=1,INDEX(DarlSollzins,3),INDEX(DarlAnschluss,3))</f>
      </c>
      <c r="I1429" s="43">
        <f>IF(INDEX(DarlBelegt,3)=0,0,IF(INDEX(DarlOhneTilgung,3)=1,IF(INDEX(DarlBindung,3)="",1,$G1429),IF($J1429&gt;0.005,1,0)))</f>
      </c>
      <c r="J1429" s="43">
        <f>IF($I1428=0,0,$R1428)</f>
      </c>
      <c r="K1429" s="43">
        <f>IF($I1429=0,0,IF(INDEX(DarlOhneTilgung,3)=1,0,IF(AND(INDEX(DarlTilgStart,3)&gt;0,$E1429=INDEX(DarlTilgStart,3)),$J1429*($H1429+INDEX(DarlTilgung,3))/100/12,IF(AND($G1429=0,$G1428=1),MAX($K1428,$J1429*($H1429+1)/100/12),$K1428))))</f>
      </c>
      <c r="L1429" s="43">
        <f>IF($I1429=0,0,$J1429*$H1429/100/12)</f>
      </c>
      <c r="M1429" s="43">
        <f>IF($I1429=0,0,IF(OR(INDEX(DarlOhneTilgung,3)=1,AND(INDEX(DarlTilgStart,3)&gt;0,$E1429&lt;INDEX(DarlTilgStart,3))),0,MIN(MAX(0,$K1429-$L1429),$J1429)))</f>
      </c>
      <c r="N1429" s="43">
        <f>IF($I1429=0,0,MIN(SUMIFS(SondBetrag,SondDarl,3,SondDatum,"&gt;="&amp;$E1429,SondDatum,"&lt;="&amp;EOMONTH($E1429,0)),$J1429-$M1429))</f>
      </c>
      <c r="O1429" s="43">
        <f>IF($I1429=0,0,INDEX(DarlErsatzRate,3))</f>
      </c>
      <c r="P1429" s="43">
        <f>IF($I1429=0,0,$Q1428*INDEX(DarlErsatzZins,3))</f>
      </c>
      <c r="Q1429" s="43">
        <f>IF($I1429=0,0,$Q1428+$P1429+$O1429)</f>
      </c>
      <c r="R1429" s="43">
        <f>IF($I1429=0,0,$J1429-$M1429-$N1429)</f>
      </c>
    </row>
    <row r="1430">
      <c r="A1430"/>
      <c r="B1430">
        <v>3</v>
      </c>
      <c r="C1430" s="43">
        <f>INDEX(DarlObj,3)</f>
      </c>
      <c r="D1430">
        <v>467</v>
      </c>
      <c r="E1430" s="51">
        <f>IF(INDEX(DarlBelegt,3)=0,0,EOMONTH(INDEX(DarlAuszahlung,3),466)+1)</f>
      </c>
      <c r="F1430" s="43">
        <f>IF($E1430=0,0,YEAR($E1430))</f>
      </c>
      <c r="G1430" s="43">
        <f>IF(INDEX(DarlBindung,3)="",1,IF($E1430&lt;=INDEX(DarlBindung,3),1,0))</f>
      </c>
      <c r="H1430" s="43">
        <f>IF($G1430=1,INDEX(DarlSollzins,3),INDEX(DarlAnschluss,3))</f>
      </c>
      <c r="I1430" s="43">
        <f>IF(INDEX(DarlBelegt,3)=0,0,IF(INDEX(DarlOhneTilgung,3)=1,IF(INDEX(DarlBindung,3)="",1,$G1430),IF($J1430&gt;0.005,1,0)))</f>
      </c>
      <c r="J1430" s="43">
        <f>IF($I1429=0,0,$R1429)</f>
      </c>
      <c r="K1430" s="43">
        <f>IF($I1430=0,0,IF(INDEX(DarlOhneTilgung,3)=1,0,IF(AND(INDEX(DarlTilgStart,3)&gt;0,$E1430=INDEX(DarlTilgStart,3)),$J1430*($H1430+INDEX(DarlTilgung,3))/100/12,IF(AND($G1430=0,$G1429=1),MAX($K1429,$J1430*($H1430+1)/100/12),$K1429))))</f>
      </c>
      <c r="L1430" s="43">
        <f>IF($I1430=0,0,$J1430*$H1430/100/12)</f>
      </c>
      <c r="M1430" s="43">
        <f>IF($I1430=0,0,IF(OR(INDEX(DarlOhneTilgung,3)=1,AND(INDEX(DarlTilgStart,3)&gt;0,$E1430&lt;INDEX(DarlTilgStart,3))),0,MIN(MAX(0,$K1430-$L1430),$J1430)))</f>
      </c>
      <c r="N1430" s="43">
        <f>IF($I1430=0,0,MIN(SUMIFS(SondBetrag,SondDarl,3,SondDatum,"&gt;="&amp;$E1430,SondDatum,"&lt;="&amp;EOMONTH($E1430,0)),$J1430-$M1430))</f>
      </c>
      <c r="O1430" s="43">
        <f>IF($I1430=0,0,INDEX(DarlErsatzRate,3))</f>
      </c>
      <c r="P1430" s="43">
        <f>IF($I1430=0,0,$Q1429*INDEX(DarlErsatzZins,3))</f>
      </c>
      <c r="Q1430" s="43">
        <f>IF($I1430=0,0,$Q1429+$P1430+$O1430)</f>
      </c>
      <c r="R1430" s="43">
        <f>IF($I1430=0,0,$J1430-$M1430-$N1430)</f>
      </c>
    </row>
    <row r="1431">
      <c r="A1431"/>
      <c r="B1431">
        <v>3</v>
      </c>
      <c r="C1431" s="43">
        <f>INDEX(DarlObj,3)</f>
      </c>
      <c r="D1431">
        <v>468</v>
      </c>
      <c r="E1431" s="51">
        <f>IF(INDEX(DarlBelegt,3)=0,0,EOMONTH(INDEX(DarlAuszahlung,3),467)+1)</f>
      </c>
      <c r="F1431" s="43">
        <f>IF($E1431=0,0,YEAR($E1431))</f>
      </c>
      <c r="G1431" s="43">
        <f>IF(INDEX(DarlBindung,3)="",1,IF($E1431&lt;=INDEX(DarlBindung,3),1,0))</f>
      </c>
      <c r="H1431" s="43">
        <f>IF($G1431=1,INDEX(DarlSollzins,3),INDEX(DarlAnschluss,3))</f>
      </c>
      <c r="I1431" s="43">
        <f>IF(INDEX(DarlBelegt,3)=0,0,IF(INDEX(DarlOhneTilgung,3)=1,IF(INDEX(DarlBindung,3)="",1,$G1431),IF($J1431&gt;0.005,1,0)))</f>
      </c>
      <c r="J1431" s="43">
        <f>IF($I1430=0,0,$R1430)</f>
      </c>
      <c r="K1431" s="43">
        <f>IF($I1431=0,0,IF(INDEX(DarlOhneTilgung,3)=1,0,IF(AND(INDEX(DarlTilgStart,3)&gt;0,$E1431=INDEX(DarlTilgStart,3)),$J1431*($H1431+INDEX(DarlTilgung,3))/100/12,IF(AND($G1431=0,$G1430=1),MAX($K1430,$J1431*($H1431+1)/100/12),$K1430))))</f>
      </c>
      <c r="L1431" s="43">
        <f>IF($I1431=0,0,$J1431*$H1431/100/12)</f>
      </c>
      <c r="M1431" s="43">
        <f>IF($I1431=0,0,IF(OR(INDEX(DarlOhneTilgung,3)=1,AND(INDEX(DarlTilgStart,3)&gt;0,$E1431&lt;INDEX(DarlTilgStart,3))),0,MIN(MAX(0,$K1431-$L1431),$J1431)))</f>
      </c>
      <c r="N1431" s="43">
        <f>IF($I1431=0,0,MIN(SUMIFS(SondBetrag,SondDarl,3,SondDatum,"&gt;="&amp;$E1431,SondDatum,"&lt;="&amp;EOMONTH($E1431,0)),$J1431-$M1431))</f>
      </c>
      <c r="O1431" s="43">
        <f>IF($I1431=0,0,INDEX(DarlErsatzRate,3))</f>
      </c>
      <c r="P1431" s="43">
        <f>IF($I1431=0,0,$Q1430*INDEX(DarlErsatzZins,3))</f>
      </c>
      <c r="Q1431" s="43">
        <f>IF($I1431=0,0,$Q1430+$P1431+$O1431)</f>
      </c>
      <c r="R1431" s="43">
        <f>IF($I1431=0,0,$J1431-$M1431-$N1431)</f>
      </c>
    </row>
    <row r="1432">
      <c r="A1432"/>
      <c r="B1432">
        <v>3</v>
      </c>
      <c r="C1432" s="43">
        <f>INDEX(DarlObj,3)</f>
      </c>
      <c r="D1432">
        <v>469</v>
      </c>
      <c r="E1432" s="51">
        <f>IF(INDEX(DarlBelegt,3)=0,0,EOMONTH(INDEX(DarlAuszahlung,3),468)+1)</f>
      </c>
      <c r="F1432" s="43">
        <f>IF($E1432=0,0,YEAR($E1432))</f>
      </c>
      <c r="G1432" s="43">
        <f>IF(INDEX(DarlBindung,3)="",1,IF($E1432&lt;=INDEX(DarlBindung,3),1,0))</f>
      </c>
      <c r="H1432" s="43">
        <f>IF($G1432=1,INDEX(DarlSollzins,3),INDEX(DarlAnschluss,3))</f>
      </c>
      <c r="I1432" s="43">
        <f>IF(INDEX(DarlBelegt,3)=0,0,IF(INDEX(DarlOhneTilgung,3)=1,IF(INDEX(DarlBindung,3)="",1,$G1432),IF($J1432&gt;0.005,1,0)))</f>
      </c>
      <c r="J1432" s="43">
        <f>IF($I1431=0,0,$R1431)</f>
      </c>
      <c r="K1432" s="43">
        <f>IF($I1432=0,0,IF(INDEX(DarlOhneTilgung,3)=1,0,IF(AND(INDEX(DarlTilgStart,3)&gt;0,$E1432=INDEX(DarlTilgStart,3)),$J1432*($H1432+INDEX(DarlTilgung,3))/100/12,IF(AND($G1432=0,$G1431=1),MAX($K1431,$J1432*($H1432+1)/100/12),$K1431))))</f>
      </c>
      <c r="L1432" s="43">
        <f>IF($I1432=0,0,$J1432*$H1432/100/12)</f>
      </c>
      <c r="M1432" s="43">
        <f>IF($I1432=0,0,IF(OR(INDEX(DarlOhneTilgung,3)=1,AND(INDEX(DarlTilgStart,3)&gt;0,$E1432&lt;INDEX(DarlTilgStart,3))),0,MIN(MAX(0,$K1432-$L1432),$J1432)))</f>
      </c>
      <c r="N1432" s="43">
        <f>IF($I1432=0,0,MIN(SUMIFS(SondBetrag,SondDarl,3,SondDatum,"&gt;="&amp;$E1432,SondDatum,"&lt;="&amp;EOMONTH($E1432,0)),$J1432-$M1432))</f>
      </c>
      <c r="O1432" s="43">
        <f>IF($I1432=0,0,INDEX(DarlErsatzRate,3))</f>
      </c>
      <c r="P1432" s="43">
        <f>IF($I1432=0,0,$Q1431*INDEX(DarlErsatzZins,3))</f>
      </c>
      <c r="Q1432" s="43">
        <f>IF($I1432=0,0,$Q1431+$P1432+$O1432)</f>
      </c>
      <c r="R1432" s="43">
        <f>IF($I1432=0,0,$J1432-$M1432-$N1432)</f>
      </c>
    </row>
    <row r="1433">
      <c r="A1433"/>
      <c r="B1433">
        <v>3</v>
      </c>
      <c r="C1433" s="43">
        <f>INDEX(DarlObj,3)</f>
      </c>
      <c r="D1433">
        <v>470</v>
      </c>
      <c r="E1433" s="51">
        <f>IF(INDEX(DarlBelegt,3)=0,0,EOMONTH(INDEX(DarlAuszahlung,3),469)+1)</f>
      </c>
      <c r="F1433" s="43">
        <f>IF($E1433=0,0,YEAR($E1433))</f>
      </c>
      <c r="G1433" s="43">
        <f>IF(INDEX(DarlBindung,3)="",1,IF($E1433&lt;=INDEX(DarlBindung,3),1,0))</f>
      </c>
      <c r="H1433" s="43">
        <f>IF($G1433=1,INDEX(DarlSollzins,3),INDEX(DarlAnschluss,3))</f>
      </c>
      <c r="I1433" s="43">
        <f>IF(INDEX(DarlBelegt,3)=0,0,IF(INDEX(DarlOhneTilgung,3)=1,IF(INDEX(DarlBindung,3)="",1,$G1433),IF($J1433&gt;0.005,1,0)))</f>
      </c>
      <c r="J1433" s="43">
        <f>IF($I1432=0,0,$R1432)</f>
      </c>
      <c r="K1433" s="43">
        <f>IF($I1433=0,0,IF(INDEX(DarlOhneTilgung,3)=1,0,IF(AND(INDEX(DarlTilgStart,3)&gt;0,$E1433=INDEX(DarlTilgStart,3)),$J1433*($H1433+INDEX(DarlTilgung,3))/100/12,IF(AND($G1433=0,$G1432=1),MAX($K1432,$J1433*($H1433+1)/100/12),$K1432))))</f>
      </c>
      <c r="L1433" s="43">
        <f>IF($I1433=0,0,$J1433*$H1433/100/12)</f>
      </c>
      <c r="M1433" s="43">
        <f>IF($I1433=0,0,IF(OR(INDEX(DarlOhneTilgung,3)=1,AND(INDEX(DarlTilgStart,3)&gt;0,$E1433&lt;INDEX(DarlTilgStart,3))),0,MIN(MAX(0,$K1433-$L1433),$J1433)))</f>
      </c>
      <c r="N1433" s="43">
        <f>IF($I1433=0,0,MIN(SUMIFS(SondBetrag,SondDarl,3,SondDatum,"&gt;="&amp;$E1433,SondDatum,"&lt;="&amp;EOMONTH($E1433,0)),$J1433-$M1433))</f>
      </c>
      <c r="O1433" s="43">
        <f>IF($I1433=0,0,INDEX(DarlErsatzRate,3))</f>
      </c>
      <c r="P1433" s="43">
        <f>IF($I1433=0,0,$Q1432*INDEX(DarlErsatzZins,3))</f>
      </c>
      <c r="Q1433" s="43">
        <f>IF($I1433=0,0,$Q1432+$P1433+$O1433)</f>
      </c>
      <c r="R1433" s="43">
        <f>IF($I1433=0,0,$J1433-$M1433-$N1433)</f>
      </c>
    </row>
    <row r="1434">
      <c r="A1434"/>
      <c r="B1434">
        <v>3</v>
      </c>
      <c r="C1434" s="43">
        <f>INDEX(DarlObj,3)</f>
      </c>
      <c r="D1434">
        <v>471</v>
      </c>
      <c r="E1434" s="51">
        <f>IF(INDEX(DarlBelegt,3)=0,0,EOMONTH(INDEX(DarlAuszahlung,3),470)+1)</f>
      </c>
      <c r="F1434" s="43">
        <f>IF($E1434=0,0,YEAR($E1434))</f>
      </c>
      <c r="G1434" s="43">
        <f>IF(INDEX(DarlBindung,3)="",1,IF($E1434&lt;=INDEX(DarlBindung,3),1,0))</f>
      </c>
      <c r="H1434" s="43">
        <f>IF($G1434=1,INDEX(DarlSollzins,3),INDEX(DarlAnschluss,3))</f>
      </c>
      <c r="I1434" s="43">
        <f>IF(INDEX(DarlBelegt,3)=0,0,IF(INDEX(DarlOhneTilgung,3)=1,IF(INDEX(DarlBindung,3)="",1,$G1434),IF($J1434&gt;0.005,1,0)))</f>
      </c>
      <c r="J1434" s="43">
        <f>IF($I1433=0,0,$R1433)</f>
      </c>
      <c r="K1434" s="43">
        <f>IF($I1434=0,0,IF(INDEX(DarlOhneTilgung,3)=1,0,IF(AND(INDEX(DarlTilgStart,3)&gt;0,$E1434=INDEX(DarlTilgStart,3)),$J1434*($H1434+INDEX(DarlTilgung,3))/100/12,IF(AND($G1434=0,$G1433=1),MAX($K1433,$J1434*($H1434+1)/100/12),$K1433))))</f>
      </c>
      <c r="L1434" s="43">
        <f>IF($I1434=0,0,$J1434*$H1434/100/12)</f>
      </c>
      <c r="M1434" s="43">
        <f>IF($I1434=0,0,IF(OR(INDEX(DarlOhneTilgung,3)=1,AND(INDEX(DarlTilgStart,3)&gt;0,$E1434&lt;INDEX(DarlTilgStart,3))),0,MIN(MAX(0,$K1434-$L1434),$J1434)))</f>
      </c>
      <c r="N1434" s="43">
        <f>IF($I1434=0,0,MIN(SUMIFS(SondBetrag,SondDarl,3,SondDatum,"&gt;="&amp;$E1434,SondDatum,"&lt;="&amp;EOMONTH($E1434,0)),$J1434-$M1434))</f>
      </c>
      <c r="O1434" s="43">
        <f>IF($I1434=0,0,INDEX(DarlErsatzRate,3))</f>
      </c>
      <c r="P1434" s="43">
        <f>IF($I1434=0,0,$Q1433*INDEX(DarlErsatzZins,3))</f>
      </c>
      <c r="Q1434" s="43">
        <f>IF($I1434=0,0,$Q1433+$P1434+$O1434)</f>
      </c>
      <c r="R1434" s="43">
        <f>IF($I1434=0,0,$J1434-$M1434-$N1434)</f>
      </c>
    </row>
    <row r="1435">
      <c r="A1435"/>
      <c r="B1435">
        <v>3</v>
      </c>
      <c r="C1435" s="43">
        <f>INDEX(DarlObj,3)</f>
      </c>
      <c r="D1435">
        <v>472</v>
      </c>
      <c r="E1435" s="51">
        <f>IF(INDEX(DarlBelegt,3)=0,0,EOMONTH(INDEX(DarlAuszahlung,3),471)+1)</f>
      </c>
      <c r="F1435" s="43">
        <f>IF($E1435=0,0,YEAR($E1435))</f>
      </c>
      <c r="G1435" s="43">
        <f>IF(INDEX(DarlBindung,3)="",1,IF($E1435&lt;=INDEX(DarlBindung,3),1,0))</f>
      </c>
      <c r="H1435" s="43">
        <f>IF($G1435=1,INDEX(DarlSollzins,3),INDEX(DarlAnschluss,3))</f>
      </c>
      <c r="I1435" s="43">
        <f>IF(INDEX(DarlBelegt,3)=0,0,IF(INDEX(DarlOhneTilgung,3)=1,IF(INDEX(DarlBindung,3)="",1,$G1435),IF($J1435&gt;0.005,1,0)))</f>
      </c>
      <c r="J1435" s="43">
        <f>IF($I1434=0,0,$R1434)</f>
      </c>
      <c r="K1435" s="43">
        <f>IF($I1435=0,0,IF(INDEX(DarlOhneTilgung,3)=1,0,IF(AND(INDEX(DarlTilgStart,3)&gt;0,$E1435=INDEX(DarlTilgStart,3)),$J1435*($H1435+INDEX(DarlTilgung,3))/100/12,IF(AND($G1435=0,$G1434=1),MAX($K1434,$J1435*($H1435+1)/100/12),$K1434))))</f>
      </c>
      <c r="L1435" s="43">
        <f>IF($I1435=0,0,$J1435*$H1435/100/12)</f>
      </c>
      <c r="M1435" s="43">
        <f>IF($I1435=0,0,IF(OR(INDEX(DarlOhneTilgung,3)=1,AND(INDEX(DarlTilgStart,3)&gt;0,$E1435&lt;INDEX(DarlTilgStart,3))),0,MIN(MAX(0,$K1435-$L1435),$J1435)))</f>
      </c>
      <c r="N1435" s="43">
        <f>IF($I1435=0,0,MIN(SUMIFS(SondBetrag,SondDarl,3,SondDatum,"&gt;="&amp;$E1435,SondDatum,"&lt;="&amp;EOMONTH($E1435,0)),$J1435-$M1435))</f>
      </c>
      <c r="O1435" s="43">
        <f>IF($I1435=0,0,INDEX(DarlErsatzRate,3))</f>
      </c>
      <c r="P1435" s="43">
        <f>IF($I1435=0,0,$Q1434*INDEX(DarlErsatzZins,3))</f>
      </c>
      <c r="Q1435" s="43">
        <f>IF($I1435=0,0,$Q1434+$P1435+$O1435)</f>
      </c>
      <c r="R1435" s="43">
        <f>IF($I1435=0,0,$J1435-$M1435-$N1435)</f>
      </c>
    </row>
    <row r="1436">
      <c r="A1436"/>
      <c r="B1436">
        <v>3</v>
      </c>
      <c r="C1436" s="43">
        <f>INDEX(DarlObj,3)</f>
      </c>
      <c r="D1436">
        <v>473</v>
      </c>
      <c r="E1436" s="51">
        <f>IF(INDEX(DarlBelegt,3)=0,0,EOMONTH(INDEX(DarlAuszahlung,3),472)+1)</f>
      </c>
      <c r="F1436" s="43">
        <f>IF($E1436=0,0,YEAR($E1436))</f>
      </c>
      <c r="G1436" s="43">
        <f>IF(INDEX(DarlBindung,3)="",1,IF($E1436&lt;=INDEX(DarlBindung,3),1,0))</f>
      </c>
      <c r="H1436" s="43">
        <f>IF($G1436=1,INDEX(DarlSollzins,3),INDEX(DarlAnschluss,3))</f>
      </c>
      <c r="I1436" s="43">
        <f>IF(INDEX(DarlBelegt,3)=0,0,IF(INDEX(DarlOhneTilgung,3)=1,IF(INDEX(DarlBindung,3)="",1,$G1436),IF($J1436&gt;0.005,1,0)))</f>
      </c>
      <c r="J1436" s="43">
        <f>IF($I1435=0,0,$R1435)</f>
      </c>
      <c r="K1436" s="43">
        <f>IF($I1436=0,0,IF(INDEX(DarlOhneTilgung,3)=1,0,IF(AND(INDEX(DarlTilgStart,3)&gt;0,$E1436=INDEX(DarlTilgStart,3)),$J1436*($H1436+INDEX(DarlTilgung,3))/100/12,IF(AND($G1436=0,$G1435=1),MAX($K1435,$J1436*($H1436+1)/100/12),$K1435))))</f>
      </c>
      <c r="L1436" s="43">
        <f>IF($I1436=0,0,$J1436*$H1436/100/12)</f>
      </c>
      <c r="M1436" s="43">
        <f>IF($I1436=0,0,IF(OR(INDEX(DarlOhneTilgung,3)=1,AND(INDEX(DarlTilgStart,3)&gt;0,$E1436&lt;INDEX(DarlTilgStart,3))),0,MIN(MAX(0,$K1436-$L1436),$J1436)))</f>
      </c>
      <c r="N1436" s="43">
        <f>IF($I1436=0,0,MIN(SUMIFS(SondBetrag,SondDarl,3,SondDatum,"&gt;="&amp;$E1436,SondDatum,"&lt;="&amp;EOMONTH($E1436,0)),$J1436-$M1436))</f>
      </c>
      <c r="O1436" s="43">
        <f>IF($I1436=0,0,INDEX(DarlErsatzRate,3))</f>
      </c>
      <c r="P1436" s="43">
        <f>IF($I1436=0,0,$Q1435*INDEX(DarlErsatzZins,3))</f>
      </c>
      <c r="Q1436" s="43">
        <f>IF($I1436=0,0,$Q1435+$P1436+$O1436)</f>
      </c>
      <c r="R1436" s="43">
        <f>IF($I1436=0,0,$J1436-$M1436-$N1436)</f>
      </c>
    </row>
    <row r="1437">
      <c r="A1437"/>
      <c r="B1437">
        <v>3</v>
      </c>
      <c r="C1437" s="43">
        <f>INDEX(DarlObj,3)</f>
      </c>
      <c r="D1437">
        <v>474</v>
      </c>
      <c r="E1437" s="51">
        <f>IF(INDEX(DarlBelegt,3)=0,0,EOMONTH(INDEX(DarlAuszahlung,3),473)+1)</f>
      </c>
      <c r="F1437" s="43">
        <f>IF($E1437=0,0,YEAR($E1437))</f>
      </c>
      <c r="G1437" s="43">
        <f>IF(INDEX(DarlBindung,3)="",1,IF($E1437&lt;=INDEX(DarlBindung,3),1,0))</f>
      </c>
      <c r="H1437" s="43">
        <f>IF($G1437=1,INDEX(DarlSollzins,3),INDEX(DarlAnschluss,3))</f>
      </c>
      <c r="I1437" s="43">
        <f>IF(INDEX(DarlBelegt,3)=0,0,IF(INDEX(DarlOhneTilgung,3)=1,IF(INDEX(DarlBindung,3)="",1,$G1437),IF($J1437&gt;0.005,1,0)))</f>
      </c>
      <c r="J1437" s="43">
        <f>IF($I1436=0,0,$R1436)</f>
      </c>
      <c r="K1437" s="43">
        <f>IF($I1437=0,0,IF(INDEX(DarlOhneTilgung,3)=1,0,IF(AND(INDEX(DarlTilgStart,3)&gt;0,$E1437=INDEX(DarlTilgStart,3)),$J1437*($H1437+INDEX(DarlTilgung,3))/100/12,IF(AND($G1437=0,$G1436=1),MAX($K1436,$J1437*($H1437+1)/100/12),$K1436))))</f>
      </c>
      <c r="L1437" s="43">
        <f>IF($I1437=0,0,$J1437*$H1437/100/12)</f>
      </c>
      <c r="M1437" s="43">
        <f>IF($I1437=0,0,IF(OR(INDEX(DarlOhneTilgung,3)=1,AND(INDEX(DarlTilgStart,3)&gt;0,$E1437&lt;INDEX(DarlTilgStart,3))),0,MIN(MAX(0,$K1437-$L1437),$J1437)))</f>
      </c>
      <c r="N1437" s="43">
        <f>IF($I1437=0,0,MIN(SUMIFS(SondBetrag,SondDarl,3,SondDatum,"&gt;="&amp;$E1437,SondDatum,"&lt;="&amp;EOMONTH($E1437,0)),$J1437-$M1437))</f>
      </c>
      <c r="O1437" s="43">
        <f>IF($I1437=0,0,INDEX(DarlErsatzRate,3))</f>
      </c>
      <c r="P1437" s="43">
        <f>IF($I1437=0,0,$Q1436*INDEX(DarlErsatzZins,3))</f>
      </c>
      <c r="Q1437" s="43">
        <f>IF($I1437=0,0,$Q1436+$P1437+$O1437)</f>
      </c>
      <c r="R1437" s="43">
        <f>IF($I1437=0,0,$J1437-$M1437-$N1437)</f>
      </c>
    </row>
    <row r="1438">
      <c r="A1438"/>
      <c r="B1438">
        <v>3</v>
      </c>
      <c r="C1438" s="43">
        <f>INDEX(DarlObj,3)</f>
      </c>
      <c r="D1438">
        <v>475</v>
      </c>
      <c r="E1438" s="51">
        <f>IF(INDEX(DarlBelegt,3)=0,0,EOMONTH(INDEX(DarlAuszahlung,3),474)+1)</f>
      </c>
      <c r="F1438" s="43">
        <f>IF($E1438=0,0,YEAR($E1438))</f>
      </c>
      <c r="G1438" s="43">
        <f>IF(INDEX(DarlBindung,3)="",1,IF($E1438&lt;=INDEX(DarlBindung,3),1,0))</f>
      </c>
      <c r="H1438" s="43">
        <f>IF($G1438=1,INDEX(DarlSollzins,3),INDEX(DarlAnschluss,3))</f>
      </c>
      <c r="I1438" s="43">
        <f>IF(INDEX(DarlBelegt,3)=0,0,IF(INDEX(DarlOhneTilgung,3)=1,IF(INDEX(DarlBindung,3)="",1,$G1438),IF($J1438&gt;0.005,1,0)))</f>
      </c>
      <c r="J1438" s="43">
        <f>IF($I1437=0,0,$R1437)</f>
      </c>
      <c r="K1438" s="43">
        <f>IF($I1438=0,0,IF(INDEX(DarlOhneTilgung,3)=1,0,IF(AND(INDEX(DarlTilgStart,3)&gt;0,$E1438=INDEX(DarlTilgStart,3)),$J1438*($H1438+INDEX(DarlTilgung,3))/100/12,IF(AND($G1438=0,$G1437=1),MAX($K1437,$J1438*($H1438+1)/100/12),$K1437))))</f>
      </c>
      <c r="L1438" s="43">
        <f>IF($I1438=0,0,$J1438*$H1438/100/12)</f>
      </c>
      <c r="M1438" s="43">
        <f>IF($I1438=0,0,IF(OR(INDEX(DarlOhneTilgung,3)=1,AND(INDEX(DarlTilgStart,3)&gt;0,$E1438&lt;INDEX(DarlTilgStart,3))),0,MIN(MAX(0,$K1438-$L1438),$J1438)))</f>
      </c>
      <c r="N1438" s="43">
        <f>IF($I1438=0,0,MIN(SUMIFS(SondBetrag,SondDarl,3,SondDatum,"&gt;="&amp;$E1438,SondDatum,"&lt;="&amp;EOMONTH($E1438,0)),$J1438-$M1438))</f>
      </c>
      <c r="O1438" s="43">
        <f>IF($I1438=0,0,INDEX(DarlErsatzRate,3))</f>
      </c>
      <c r="P1438" s="43">
        <f>IF($I1438=0,0,$Q1437*INDEX(DarlErsatzZins,3))</f>
      </c>
      <c r="Q1438" s="43">
        <f>IF($I1438=0,0,$Q1437+$P1438+$O1438)</f>
      </c>
      <c r="R1438" s="43">
        <f>IF($I1438=0,0,$J1438-$M1438-$N1438)</f>
      </c>
    </row>
    <row r="1439">
      <c r="A1439"/>
      <c r="B1439">
        <v>3</v>
      </c>
      <c r="C1439" s="43">
        <f>INDEX(DarlObj,3)</f>
      </c>
      <c r="D1439">
        <v>476</v>
      </c>
      <c r="E1439" s="51">
        <f>IF(INDEX(DarlBelegt,3)=0,0,EOMONTH(INDEX(DarlAuszahlung,3),475)+1)</f>
      </c>
      <c r="F1439" s="43">
        <f>IF($E1439=0,0,YEAR($E1439))</f>
      </c>
      <c r="G1439" s="43">
        <f>IF(INDEX(DarlBindung,3)="",1,IF($E1439&lt;=INDEX(DarlBindung,3),1,0))</f>
      </c>
      <c r="H1439" s="43">
        <f>IF($G1439=1,INDEX(DarlSollzins,3),INDEX(DarlAnschluss,3))</f>
      </c>
      <c r="I1439" s="43">
        <f>IF(INDEX(DarlBelegt,3)=0,0,IF(INDEX(DarlOhneTilgung,3)=1,IF(INDEX(DarlBindung,3)="",1,$G1439),IF($J1439&gt;0.005,1,0)))</f>
      </c>
      <c r="J1439" s="43">
        <f>IF($I1438=0,0,$R1438)</f>
      </c>
      <c r="K1439" s="43">
        <f>IF($I1439=0,0,IF(INDEX(DarlOhneTilgung,3)=1,0,IF(AND(INDEX(DarlTilgStart,3)&gt;0,$E1439=INDEX(DarlTilgStart,3)),$J1439*($H1439+INDEX(DarlTilgung,3))/100/12,IF(AND($G1439=0,$G1438=1),MAX($K1438,$J1439*($H1439+1)/100/12),$K1438))))</f>
      </c>
      <c r="L1439" s="43">
        <f>IF($I1439=0,0,$J1439*$H1439/100/12)</f>
      </c>
      <c r="M1439" s="43">
        <f>IF($I1439=0,0,IF(OR(INDEX(DarlOhneTilgung,3)=1,AND(INDEX(DarlTilgStart,3)&gt;0,$E1439&lt;INDEX(DarlTilgStart,3))),0,MIN(MAX(0,$K1439-$L1439),$J1439)))</f>
      </c>
      <c r="N1439" s="43">
        <f>IF($I1439=0,0,MIN(SUMIFS(SondBetrag,SondDarl,3,SondDatum,"&gt;="&amp;$E1439,SondDatum,"&lt;="&amp;EOMONTH($E1439,0)),$J1439-$M1439))</f>
      </c>
      <c r="O1439" s="43">
        <f>IF($I1439=0,0,INDEX(DarlErsatzRate,3))</f>
      </c>
      <c r="P1439" s="43">
        <f>IF($I1439=0,0,$Q1438*INDEX(DarlErsatzZins,3))</f>
      </c>
      <c r="Q1439" s="43">
        <f>IF($I1439=0,0,$Q1438+$P1439+$O1439)</f>
      </c>
      <c r="R1439" s="43">
        <f>IF($I1439=0,0,$J1439-$M1439-$N1439)</f>
      </c>
    </row>
    <row r="1440">
      <c r="A1440"/>
      <c r="B1440">
        <v>3</v>
      </c>
      <c r="C1440" s="43">
        <f>INDEX(DarlObj,3)</f>
      </c>
      <c r="D1440">
        <v>477</v>
      </c>
      <c r="E1440" s="51">
        <f>IF(INDEX(DarlBelegt,3)=0,0,EOMONTH(INDEX(DarlAuszahlung,3),476)+1)</f>
      </c>
      <c r="F1440" s="43">
        <f>IF($E1440=0,0,YEAR($E1440))</f>
      </c>
      <c r="G1440" s="43">
        <f>IF(INDEX(DarlBindung,3)="",1,IF($E1440&lt;=INDEX(DarlBindung,3),1,0))</f>
      </c>
      <c r="H1440" s="43">
        <f>IF($G1440=1,INDEX(DarlSollzins,3),INDEX(DarlAnschluss,3))</f>
      </c>
      <c r="I1440" s="43">
        <f>IF(INDEX(DarlBelegt,3)=0,0,IF(INDEX(DarlOhneTilgung,3)=1,IF(INDEX(DarlBindung,3)="",1,$G1440),IF($J1440&gt;0.005,1,0)))</f>
      </c>
      <c r="J1440" s="43">
        <f>IF($I1439=0,0,$R1439)</f>
      </c>
      <c r="K1440" s="43">
        <f>IF($I1440=0,0,IF(INDEX(DarlOhneTilgung,3)=1,0,IF(AND(INDEX(DarlTilgStart,3)&gt;0,$E1440=INDEX(DarlTilgStart,3)),$J1440*($H1440+INDEX(DarlTilgung,3))/100/12,IF(AND($G1440=0,$G1439=1),MAX($K1439,$J1440*($H1440+1)/100/12),$K1439))))</f>
      </c>
      <c r="L1440" s="43">
        <f>IF($I1440=0,0,$J1440*$H1440/100/12)</f>
      </c>
      <c r="M1440" s="43">
        <f>IF($I1440=0,0,IF(OR(INDEX(DarlOhneTilgung,3)=1,AND(INDEX(DarlTilgStart,3)&gt;0,$E1440&lt;INDEX(DarlTilgStart,3))),0,MIN(MAX(0,$K1440-$L1440),$J1440)))</f>
      </c>
      <c r="N1440" s="43">
        <f>IF($I1440=0,0,MIN(SUMIFS(SondBetrag,SondDarl,3,SondDatum,"&gt;="&amp;$E1440,SondDatum,"&lt;="&amp;EOMONTH($E1440,0)),$J1440-$M1440))</f>
      </c>
      <c r="O1440" s="43">
        <f>IF($I1440=0,0,INDEX(DarlErsatzRate,3))</f>
      </c>
      <c r="P1440" s="43">
        <f>IF($I1440=0,0,$Q1439*INDEX(DarlErsatzZins,3))</f>
      </c>
      <c r="Q1440" s="43">
        <f>IF($I1440=0,0,$Q1439+$P1440+$O1440)</f>
      </c>
      <c r="R1440" s="43">
        <f>IF($I1440=0,0,$J1440-$M1440-$N1440)</f>
      </c>
    </row>
    <row r="1441">
      <c r="A1441"/>
      <c r="B1441">
        <v>3</v>
      </c>
      <c r="C1441" s="43">
        <f>INDEX(DarlObj,3)</f>
      </c>
      <c r="D1441">
        <v>478</v>
      </c>
      <c r="E1441" s="51">
        <f>IF(INDEX(DarlBelegt,3)=0,0,EOMONTH(INDEX(DarlAuszahlung,3),477)+1)</f>
      </c>
      <c r="F1441" s="43">
        <f>IF($E1441=0,0,YEAR($E1441))</f>
      </c>
      <c r="G1441" s="43">
        <f>IF(INDEX(DarlBindung,3)="",1,IF($E1441&lt;=INDEX(DarlBindung,3),1,0))</f>
      </c>
      <c r="H1441" s="43">
        <f>IF($G1441=1,INDEX(DarlSollzins,3),INDEX(DarlAnschluss,3))</f>
      </c>
      <c r="I1441" s="43">
        <f>IF(INDEX(DarlBelegt,3)=0,0,IF(INDEX(DarlOhneTilgung,3)=1,IF(INDEX(DarlBindung,3)="",1,$G1441),IF($J1441&gt;0.005,1,0)))</f>
      </c>
      <c r="J1441" s="43">
        <f>IF($I1440=0,0,$R1440)</f>
      </c>
      <c r="K1441" s="43">
        <f>IF($I1441=0,0,IF(INDEX(DarlOhneTilgung,3)=1,0,IF(AND(INDEX(DarlTilgStart,3)&gt;0,$E1441=INDEX(DarlTilgStart,3)),$J1441*($H1441+INDEX(DarlTilgung,3))/100/12,IF(AND($G1441=0,$G1440=1),MAX($K1440,$J1441*($H1441+1)/100/12),$K1440))))</f>
      </c>
      <c r="L1441" s="43">
        <f>IF($I1441=0,0,$J1441*$H1441/100/12)</f>
      </c>
      <c r="M1441" s="43">
        <f>IF($I1441=0,0,IF(OR(INDEX(DarlOhneTilgung,3)=1,AND(INDEX(DarlTilgStart,3)&gt;0,$E1441&lt;INDEX(DarlTilgStart,3))),0,MIN(MAX(0,$K1441-$L1441),$J1441)))</f>
      </c>
      <c r="N1441" s="43">
        <f>IF($I1441=0,0,MIN(SUMIFS(SondBetrag,SondDarl,3,SondDatum,"&gt;="&amp;$E1441,SondDatum,"&lt;="&amp;EOMONTH($E1441,0)),$J1441-$M1441))</f>
      </c>
      <c r="O1441" s="43">
        <f>IF($I1441=0,0,INDEX(DarlErsatzRate,3))</f>
      </c>
      <c r="P1441" s="43">
        <f>IF($I1441=0,0,$Q1440*INDEX(DarlErsatzZins,3))</f>
      </c>
      <c r="Q1441" s="43">
        <f>IF($I1441=0,0,$Q1440+$P1441+$O1441)</f>
      </c>
      <c r="R1441" s="43">
        <f>IF($I1441=0,0,$J1441-$M1441-$N1441)</f>
      </c>
    </row>
    <row r="1442">
      <c r="A1442"/>
      <c r="B1442">
        <v>3</v>
      </c>
      <c r="C1442" s="43">
        <f>INDEX(DarlObj,3)</f>
      </c>
      <c r="D1442">
        <v>479</v>
      </c>
      <c r="E1442" s="51">
        <f>IF(INDEX(DarlBelegt,3)=0,0,EOMONTH(INDEX(DarlAuszahlung,3),478)+1)</f>
      </c>
      <c r="F1442" s="43">
        <f>IF($E1442=0,0,YEAR($E1442))</f>
      </c>
      <c r="G1442" s="43">
        <f>IF(INDEX(DarlBindung,3)="",1,IF($E1442&lt;=INDEX(DarlBindung,3),1,0))</f>
      </c>
      <c r="H1442" s="43">
        <f>IF($G1442=1,INDEX(DarlSollzins,3),INDEX(DarlAnschluss,3))</f>
      </c>
      <c r="I1442" s="43">
        <f>IF(INDEX(DarlBelegt,3)=0,0,IF(INDEX(DarlOhneTilgung,3)=1,IF(INDEX(DarlBindung,3)="",1,$G1442),IF($J1442&gt;0.005,1,0)))</f>
      </c>
      <c r="J1442" s="43">
        <f>IF($I1441=0,0,$R1441)</f>
      </c>
      <c r="K1442" s="43">
        <f>IF($I1442=0,0,IF(INDEX(DarlOhneTilgung,3)=1,0,IF(AND(INDEX(DarlTilgStart,3)&gt;0,$E1442=INDEX(DarlTilgStart,3)),$J1442*($H1442+INDEX(DarlTilgung,3))/100/12,IF(AND($G1442=0,$G1441=1),MAX($K1441,$J1442*($H1442+1)/100/12),$K1441))))</f>
      </c>
      <c r="L1442" s="43">
        <f>IF($I1442=0,0,$J1442*$H1442/100/12)</f>
      </c>
      <c r="M1442" s="43">
        <f>IF($I1442=0,0,IF(OR(INDEX(DarlOhneTilgung,3)=1,AND(INDEX(DarlTilgStart,3)&gt;0,$E1442&lt;INDEX(DarlTilgStart,3))),0,MIN(MAX(0,$K1442-$L1442),$J1442)))</f>
      </c>
      <c r="N1442" s="43">
        <f>IF($I1442=0,0,MIN(SUMIFS(SondBetrag,SondDarl,3,SondDatum,"&gt;="&amp;$E1442,SondDatum,"&lt;="&amp;EOMONTH($E1442,0)),$J1442-$M1442))</f>
      </c>
      <c r="O1442" s="43">
        <f>IF($I1442=0,0,INDEX(DarlErsatzRate,3))</f>
      </c>
      <c r="P1442" s="43">
        <f>IF($I1442=0,0,$Q1441*INDEX(DarlErsatzZins,3))</f>
      </c>
      <c r="Q1442" s="43">
        <f>IF($I1442=0,0,$Q1441+$P1442+$O1442)</f>
      </c>
      <c r="R1442" s="43">
        <f>IF($I1442=0,0,$J1442-$M1442-$N1442)</f>
      </c>
    </row>
    <row r="1443">
      <c r="A1443"/>
      <c r="B1443">
        <v>3</v>
      </c>
      <c r="C1443" s="43">
        <f>INDEX(DarlObj,3)</f>
      </c>
      <c r="D1443">
        <v>480</v>
      </c>
      <c r="E1443" s="51">
        <f>IF(INDEX(DarlBelegt,3)=0,0,EOMONTH(INDEX(DarlAuszahlung,3),479)+1)</f>
      </c>
      <c r="F1443" s="43">
        <f>IF($E1443=0,0,YEAR($E1443))</f>
      </c>
      <c r="G1443" s="43">
        <f>IF(INDEX(DarlBindung,3)="",1,IF($E1443&lt;=INDEX(DarlBindung,3),1,0))</f>
      </c>
      <c r="H1443" s="43">
        <f>IF($G1443=1,INDEX(DarlSollzins,3),INDEX(DarlAnschluss,3))</f>
      </c>
      <c r="I1443" s="43">
        <f>IF(INDEX(DarlBelegt,3)=0,0,IF(INDEX(DarlOhneTilgung,3)=1,IF(INDEX(DarlBindung,3)="",1,$G1443),IF($J1443&gt;0.005,1,0)))</f>
      </c>
      <c r="J1443" s="43">
        <f>IF($I1442=0,0,$R1442)</f>
      </c>
      <c r="K1443" s="43">
        <f>IF($I1443=0,0,IF(INDEX(DarlOhneTilgung,3)=1,0,IF(AND(INDEX(DarlTilgStart,3)&gt;0,$E1443=INDEX(DarlTilgStart,3)),$J1443*($H1443+INDEX(DarlTilgung,3))/100/12,IF(AND($G1443=0,$G1442=1),MAX($K1442,$J1443*($H1443+1)/100/12),$K1442))))</f>
      </c>
      <c r="L1443" s="43">
        <f>IF($I1443=0,0,$J1443*$H1443/100/12)</f>
      </c>
      <c r="M1443" s="43">
        <f>IF($I1443=0,0,IF(OR(INDEX(DarlOhneTilgung,3)=1,AND(INDEX(DarlTilgStart,3)&gt;0,$E1443&lt;INDEX(DarlTilgStart,3))),0,MIN(MAX(0,$K1443-$L1443),$J1443)))</f>
      </c>
      <c r="N1443" s="43">
        <f>IF($I1443=0,0,MIN(SUMIFS(SondBetrag,SondDarl,3,SondDatum,"&gt;="&amp;$E1443,SondDatum,"&lt;="&amp;EOMONTH($E1443,0)),$J1443-$M1443))</f>
      </c>
      <c r="O1443" s="43">
        <f>IF($I1443=0,0,INDEX(DarlErsatzRate,3))</f>
      </c>
      <c r="P1443" s="43">
        <f>IF($I1443=0,0,$Q1442*INDEX(DarlErsatzZins,3))</f>
      </c>
      <c r="Q1443" s="43">
        <f>IF($I1443=0,0,$Q1442+$P1443+$O1443)</f>
      </c>
      <c r="R1443" s="43">
        <f>IF($I1443=0,0,$J1443-$M1443-$N1443)</f>
      </c>
    </row>
    <row r="1444">
      <c r="A1444"/>
      <c r="B1444">
        <v>4</v>
      </c>
      <c r="C1444" s="43">
        <f>INDEX(DarlObj,4)</f>
      </c>
      <c r="D1444">
        <v>1</v>
      </c>
      <c r="E1444" s="51">
        <f>IF(INDEX(DarlBelegt,4)=0,0,EOMONTH(INDEX(DarlAuszahlung,4),0)+1)</f>
      </c>
      <c r="F1444" s="43">
        <f>IF($E1444=0,0,YEAR($E1444))</f>
      </c>
      <c r="G1444" s="43">
        <f>IF(INDEX(DarlBindung,4)="",1,IF($E1444&lt;=INDEX(DarlBindung,4),1,0))</f>
      </c>
      <c r="H1444" s="43">
        <f>IF($G1444=1,INDEX(DarlSollzins,4),INDEX(DarlAnschluss,4))</f>
      </c>
      <c r="I1444" s="43">
        <f>IF(INDEX(DarlBelegt,4)=0,0,IF(INDEX(DarlOhneTilgung,4)=1,IF(INDEX(DarlBindung,4)="",1,$G1444),IF($J1444&gt;0.005,1,0)))</f>
      </c>
      <c r="J1444" s="43">
        <f>IF(INDEX(DarlBelegt,4)=0,0,INDEX(DarlBetrag,4))</f>
      </c>
      <c r="K1444" s="43">
        <f>IF($I1444=0,0,IF(INDEX(DarlOhneTilgung,4)=1,0,INDEX(DarlRate1,4)))</f>
      </c>
      <c r="L1444" s="43">
        <f>IF($I1444=0,0,$J1444*$H1444/100/12)</f>
      </c>
      <c r="M1444" s="43">
        <f>IF($I1444=0,0,IF(OR(INDEX(DarlOhneTilgung,4)=1,AND(INDEX(DarlTilgStart,4)&gt;0,$E1444&lt;INDEX(DarlTilgStart,4))),0,MIN(MAX(0,$K1444-$L1444),$J1444)))</f>
      </c>
      <c r="N1444" s="43">
        <f>IF($I1444=0,0,MIN(SUMIFS(SondBetrag,SondDarl,4,SondDatum,"&gt;="&amp;$E1444,SondDatum,"&lt;="&amp;EOMONTH($E1444,0)),$J1444-$M1444))</f>
      </c>
      <c r="O1444" s="43">
        <f>IF($I1444=0,0,INDEX(DarlErsatzRate,4))</f>
      </c>
      <c r="P1444" s="43">
        <f>0</f>
      </c>
      <c r="Q1444" s="43">
        <f>IF($I1444=0,0,$P1444+$O1444)</f>
      </c>
      <c r="R1444" s="43">
        <f>IF($I1444=0,0,$J1444-$M1444-$N1444)</f>
      </c>
    </row>
    <row r="1445">
      <c r="A1445"/>
      <c r="B1445">
        <v>4</v>
      </c>
      <c r="C1445" s="43">
        <f>INDEX(DarlObj,4)</f>
      </c>
      <c r="D1445">
        <v>2</v>
      </c>
      <c r="E1445" s="51">
        <f>IF(INDEX(DarlBelegt,4)=0,0,EOMONTH(INDEX(DarlAuszahlung,4),1)+1)</f>
      </c>
      <c r="F1445" s="43">
        <f>IF($E1445=0,0,YEAR($E1445))</f>
      </c>
      <c r="G1445" s="43">
        <f>IF(INDEX(DarlBindung,4)="",1,IF($E1445&lt;=INDEX(DarlBindung,4),1,0))</f>
      </c>
      <c r="H1445" s="43">
        <f>IF($G1445=1,INDEX(DarlSollzins,4),INDEX(DarlAnschluss,4))</f>
      </c>
      <c r="I1445" s="43">
        <f>IF(INDEX(DarlBelegt,4)=0,0,IF(INDEX(DarlOhneTilgung,4)=1,IF(INDEX(DarlBindung,4)="",1,$G1445),IF($J1445&gt;0.005,1,0)))</f>
      </c>
      <c r="J1445" s="43">
        <f>IF($I1444=0,0,$R1444)</f>
      </c>
      <c r="K1445" s="43">
        <f>IF($I1445=0,0,IF(INDEX(DarlOhneTilgung,4)=1,0,IF(AND(INDEX(DarlTilgStart,4)&gt;0,$E1445=INDEX(DarlTilgStart,4)),$J1445*($H1445+INDEX(DarlTilgung,4))/100/12,IF(AND($G1445=0,$G1444=1),MAX($K1444,$J1445*($H1445+1)/100/12),$K1444))))</f>
      </c>
      <c r="L1445" s="43">
        <f>IF($I1445=0,0,$J1445*$H1445/100/12)</f>
      </c>
      <c r="M1445" s="43">
        <f>IF($I1445=0,0,IF(OR(INDEX(DarlOhneTilgung,4)=1,AND(INDEX(DarlTilgStart,4)&gt;0,$E1445&lt;INDEX(DarlTilgStart,4))),0,MIN(MAX(0,$K1445-$L1445),$J1445)))</f>
      </c>
      <c r="N1445" s="43">
        <f>IF($I1445=0,0,MIN(SUMIFS(SondBetrag,SondDarl,4,SondDatum,"&gt;="&amp;$E1445,SondDatum,"&lt;="&amp;EOMONTH($E1445,0)),$J1445-$M1445))</f>
      </c>
      <c r="O1445" s="43">
        <f>IF($I1445=0,0,INDEX(DarlErsatzRate,4))</f>
      </c>
      <c r="P1445" s="43">
        <f>IF($I1445=0,0,$Q1444*INDEX(DarlErsatzZins,4))</f>
      </c>
      <c r="Q1445" s="43">
        <f>IF($I1445=0,0,$Q1444+$P1445+$O1445)</f>
      </c>
      <c r="R1445" s="43">
        <f>IF($I1445=0,0,$J1445-$M1445-$N1445)</f>
      </c>
    </row>
    <row r="1446">
      <c r="A1446"/>
      <c r="B1446">
        <v>4</v>
      </c>
      <c r="C1446" s="43">
        <f>INDEX(DarlObj,4)</f>
      </c>
      <c r="D1446">
        <v>3</v>
      </c>
      <c r="E1446" s="51">
        <f>IF(INDEX(DarlBelegt,4)=0,0,EOMONTH(INDEX(DarlAuszahlung,4),2)+1)</f>
      </c>
      <c r="F1446" s="43">
        <f>IF($E1446=0,0,YEAR($E1446))</f>
      </c>
      <c r="G1446" s="43">
        <f>IF(INDEX(DarlBindung,4)="",1,IF($E1446&lt;=INDEX(DarlBindung,4),1,0))</f>
      </c>
      <c r="H1446" s="43">
        <f>IF($G1446=1,INDEX(DarlSollzins,4),INDEX(DarlAnschluss,4))</f>
      </c>
      <c r="I1446" s="43">
        <f>IF(INDEX(DarlBelegt,4)=0,0,IF(INDEX(DarlOhneTilgung,4)=1,IF(INDEX(DarlBindung,4)="",1,$G1446),IF($J1446&gt;0.005,1,0)))</f>
      </c>
      <c r="J1446" s="43">
        <f>IF($I1445=0,0,$R1445)</f>
      </c>
      <c r="K1446" s="43">
        <f>IF($I1446=0,0,IF(INDEX(DarlOhneTilgung,4)=1,0,IF(AND(INDEX(DarlTilgStart,4)&gt;0,$E1446=INDEX(DarlTilgStart,4)),$J1446*($H1446+INDEX(DarlTilgung,4))/100/12,IF(AND($G1446=0,$G1445=1),MAX($K1445,$J1446*($H1446+1)/100/12),$K1445))))</f>
      </c>
      <c r="L1446" s="43">
        <f>IF($I1446=0,0,$J1446*$H1446/100/12)</f>
      </c>
      <c r="M1446" s="43">
        <f>IF($I1446=0,0,IF(OR(INDEX(DarlOhneTilgung,4)=1,AND(INDEX(DarlTilgStart,4)&gt;0,$E1446&lt;INDEX(DarlTilgStart,4))),0,MIN(MAX(0,$K1446-$L1446),$J1446)))</f>
      </c>
      <c r="N1446" s="43">
        <f>IF($I1446=0,0,MIN(SUMIFS(SondBetrag,SondDarl,4,SondDatum,"&gt;="&amp;$E1446,SondDatum,"&lt;="&amp;EOMONTH($E1446,0)),$J1446-$M1446))</f>
      </c>
      <c r="O1446" s="43">
        <f>IF($I1446=0,0,INDEX(DarlErsatzRate,4))</f>
      </c>
      <c r="P1446" s="43">
        <f>IF($I1446=0,0,$Q1445*INDEX(DarlErsatzZins,4))</f>
      </c>
      <c r="Q1446" s="43">
        <f>IF($I1446=0,0,$Q1445+$P1446+$O1446)</f>
      </c>
      <c r="R1446" s="43">
        <f>IF($I1446=0,0,$J1446-$M1446-$N1446)</f>
      </c>
    </row>
    <row r="1447">
      <c r="A1447"/>
      <c r="B1447">
        <v>4</v>
      </c>
      <c r="C1447" s="43">
        <f>INDEX(DarlObj,4)</f>
      </c>
      <c r="D1447">
        <v>4</v>
      </c>
      <c r="E1447" s="51">
        <f>IF(INDEX(DarlBelegt,4)=0,0,EOMONTH(INDEX(DarlAuszahlung,4),3)+1)</f>
      </c>
      <c r="F1447" s="43">
        <f>IF($E1447=0,0,YEAR($E1447))</f>
      </c>
      <c r="G1447" s="43">
        <f>IF(INDEX(DarlBindung,4)="",1,IF($E1447&lt;=INDEX(DarlBindung,4),1,0))</f>
      </c>
      <c r="H1447" s="43">
        <f>IF($G1447=1,INDEX(DarlSollzins,4),INDEX(DarlAnschluss,4))</f>
      </c>
      <c r="I1447" s="43">
        <f>IF(INDEX(DarlBelegt,4)=0,0,IF(INDEX(DarlOhneTilgung,4)=1,IF(INDEX(DarlBindung,4)="",1,$G1447),IF($J1447&gt;0.005,1,0)))</f>
      </c>
      <c r="J1447" s="43">
        <f>IF($I1446=0,0,$R1446)</f>
      </c>
      <c r="K1447" s="43">
        <f>IF($I1447=0,0,IF(INDEX(DarlOhneTilgung,4)=1,0,IF(AND(INDEX(DarlTilgStart,4)&gt;0,$E1447=INDEX(DarlTilgStart,4)),$J1447*($H1447+INDEX(DarlTilgung,4))/100/12,IF(AND($G1447=0,$G1446=1),MAX($K1446,$J1447*($H1447+1)/100/12),$K1446))))</f>
      </c>
      <c r="L1447" s="43">
        <f>IF($I1447=0,0,$J1447*$H1447/100/12)</f>
      </c>
      <c r="M1447" s="43">
        <f>IF($I1447=0,0,IF(OR(INDEX(DarlOhneTilgung,4)=1,AND(INDEX(DarlTilgStart,4)&gt;0,$E1447&lt;INDEX(DarlTilgStart,4))),0,MIN(MAX(0,$K1447-$L1447),$J1447)))</f>
      </c>
      <c r="N1447" s="43">
        <f>IF($I1447=0,0,MIN(SUMIFS(SondBetrag,SondDarl,4,SondDatum,"&gt;="&amp;$E1447,SondDatum,"&lt;="&amp;EOMONTH($E1447,0)),$J1447-$M1447))</f>
      </c>
      <c r="O1447" s="43">
        <f>IF($I1447=0,0,INDEX(DarlErsatzRate,4))</f>
      </c>
      <c r="P1447" s="43">
        <f>IF($I1447=0,0,$Q1446*INDEX(DarlErsatzZins,4))</f>
      </c>
      <c r="Q1447" s="43">
        <f>IF($I1447=0,0,$Q1446+$P1447+$O1447)</f>
      </c>
      <c r="R1447" s="43">
        <f>IF($I1447=0,0,$J1447-$M1447-$N1447)</f>
      </c>
    </row>
    <row r="1448">
      <c r="A1448"/>
      <c r="B1448">
        <v>4</v>
      </c>
      <c r="C1448" s="43">
        <f>INDEX(DarlObj,4)</f>
      </c>
      <c r="D1448">
        <v>5</v>
      </c>
      <c r="E1448" s="51">
        <f>IF(INDEX(DarlBelegt,4)=0,0,EOMONTH(INDEX(DarlAuszahlung,4),4)+1)</f>
      </c>
      <c r="F1448" s="43">
        <f>IF($E1448=0,0,YEAR($E1448))</f>
      </c>
      <c r="G1448" s="43">
        <f>IF(INDEX(DarlBindung,4)="",1,IF($E1448&lt;=INDEX(DarlBindung,4),1,0))</f>
      </c>
      <c r="H1448" s="43">
        <f>IF($G1448=1,INDEX(DarlSollzins,4),INDEX(DarlAnschluss,4))</f>
      </c>
      <c r="I1448" s="43">
        <f>IF(INDEX(DarlBelegt,4)=0,0,IF(INDEX(DarlOhneTilgung,4)=1,IF(INDEX(DarlBindung,4)="",1,$G1448),IF($J1448&gt;0.005,1,0)))</f>
      </c>
      <c r="J1448" s="43">
        <f>IF($I1447=0,0,$R1447)</f>
      </c>
      <c r="K1448" s="43">
        <f>IF($I1448=0,0,IF(INDEX(DarlOhneTilgung,4)=1,0,IF(AND(INDEX(DarlTilgStart,4)&gt;0,$E1448=INDEX(DarlTilgStart,4)),$J1448*($H1448+INDEX(DarlTilgung,4))/100/12,IF(AND($G1448=0,$G1447=1),MAX($K1447,$J1448*($H1448+1)/100/12),$K1447))))</f>
      </c>
      <c r="L1448" s="43">
        <f>IF($I1448=0,0,$J1448*$H1448/100/12)</f>
      </c>
      <c r="M1448" s="43">
        <f>IF($I1448=0,0,IF(OR(INDEX(DarlOhneTilgung,4)=1,AND(INDEX(DarlTilgStart,4)&gt;0,$E1448&lt;INDEX(DarlTilgStart,4))),0,MIN(MAX(0,$K1448-$L1448),$J1448)))</f>
      </c>
      <c r="N1448" s="43">
        <f>IF($I1448=0,0,MIN(SUMIFS(SondBetrag,SondDarl,4,SondDatum,"&gt;="&amp;$E1448,SondDatum,"&lt;="&amp;EOMONTH($E1448,0)),$J1448-$M1448))</f>
      </c>
      <c r="O1448" s="43">
        <f>IF($I1448=0,0,INDEX(DarlErsatzRate,4))</f>
      </c>
      <c r="P1448" s="43">
        <f>IF($I1448=0,0,$Q1447*INDEX(DarlErsatzZins,4))</f>
      </c>
      <c r="Q1448" s="43">
        <f>IF($I1448=0,0,$Q1447+$P1448+$O1448)</f>
      </c>
      <c r="R1448" s="43">
        <f>IF($I1448=0,0,$J1448-$M1448-$N1448)</f>
      </c>
    </row>
    <row r="1449">
      <c r="A1449"/>
      <c r="B1449">
        <v>4</v>
      </c>
      <c r="C1449" s="43">
        <f>INDEX(DarlObj,4)</f>
      </c>
      <c r="D1449">
        <v>6</v>
      </c>
      <c r="E1449" s="51">
        <f>IF(INDEX(DarlBelegt,4)=0,0,EOMONTH(INDEX(DarlAuszahlung,4),5)+1)</f>
      </c>
      <c r="F1449" s="43">
        <f>IF($E1449=0,0,YEAR($E1449))</f>
      </c>
      <c r="G1449" s="43">
        <f>IF(INDEX(DarlBindung,4)="",1,IF($E1449&lt;=INDEX(DarlBindung,4),1,0))</f>
      </c>
      <c r="H1449" s="43">
        <f>IF($G1449=1,INDEX(DarlSollzins,4),INDEX(DarlAnschluss,4))</f>
      </c>
      <c r="I1449" s="43">
        <f>IF(INDEX(DarlBelegt,4)=0,0,IF(INDEX(DarlOhneTilgung,4)=1,IF(INDEX(DarlBindung,4)="",1,$G1449),IF($J1449&gt;0.005,1,0)))</f>
      </c>
      <c r="J1449" s="43">
        <f>IF($I1448=0,0,$R1448)</f>
      </c>
      <c r="K1449" s="43">
        <f>IF($I1449=0,0,IF(INDEX(DarlOhneTilgung,4)=1,0,IF(AND(INDEX(DarlTilgStart,4)&gt;0,$E1449=INDEX(DarlTilgStart,4)),$J1449*($H1449+INDEX(DarlTilgung,4))/100/12,IF(AND($G1449=0,$G1448=1),MAX($K1448,$J1449*($H1449+1)/100/12),$K1448))))</f>
      </c>
      <c r="L1449" s="43">
        <f>IF($I1449=0,0,$J1449*$H1449/100/12)</f>
      </c>
      <c r="M1449" s="43">
        <f>IF($I1449=0,0,IF(OR(INDEX(DarlOhneTilgung,4)=1,AND(INDEX(DarlTilgStart,4)&gt;0,$E1449&lt;INDEX(DarlTilgStart,4))),0,MIN(MAX(0,$K1449-$L1449),$J1449)))</f>
      </c>
      <c r="N1449" s="43">
        <f>IF($I1449=0,0,MIN(SUMIFS(SondBetrag,SondDarl,4,SondDatum,"&gt;="&amp;$E1449,SondDatum,"&lt;="&amp;EOMONTH($E1449,0)),$J1449-$M1449))</f>
      </c>
      <c r="O1449" s="43">
        <f>IF($I1449=0,0,INDEX(DarlErsatzRate,4))</f>
      </c>
      <c r="P1449" s="43">
        <f>IF($I1449=0,0,$Q1448*INDEX(DarlErsatzZins,4))</f>
      </c>
      <c r="Q1449" s="43">
        <f>IF($I1449=0,0,$Q1448+$P1449+$O1449)</f>
      </c>
      <c r="R1449" s="43">
        <f>IF($I1449=0,0,$J1449-$M1449-$N1449)</f>
      </c>
    </row>
    <row r="1450">
      <c r="A1450"/>
      <c r="B1450">
        <v>4</v>
      </c>
      <c r="C1450" s="43">
        <f>INDEX(DarlObj,4)</f>
      </c>
      <c r="D1450">
        <v>7</v>
      </c>
      <c r="E1450" s="51">
        <f>IF(INDEX(DarlBelegt,4)=0,0,EOMONTH(INDEX(DarlAuszahlung,4),6)+1)</f>
      </c>
      <c r="F1450" s="43">
        <f>IF($E1450=0,0,YEAR($E1450))</f>
      </c>
      <c r="G1450" s="43">
        <f>IF(INDEX(DarlBindung,4)="",1,IF($E1450&lt;=INDEX(DarlBindung,4),1,0))</f>
      </c>
      <c r="H1450" s="43">
        <f>IF($G1450=1,INDEX(DarlSollzins,4),INDEX(DarlAnschluss,4))</f>
      </c>
      <c r="I1450" s="43">
        <f>IF(INDEX(DarlBelegt,4)=0,0,IF(INDEX(DarlOhneTilgung,4)=1,IF(INDEX(DarlBindung,4)="",1,$G1450),IF($J1450&gt;0.005,1,0)))</f>
      </c>
      <c r="J1450" s="43">
        <f>IF($I1449=0,0,$R1449)</f>
      </c>
      <c r="K1450" s="43">
        <f>IF($I1450=0,0,IF(INDEX(DarlOhneTilgung,4)=1,0,IF(AND(INDEX(DarlTilgStart,4)&gt;0,$E1450=INDEX(DarlTilgStart,4)),$J1450*($H1450+INDEX(DarlTilgung,4))/100/12,IF(AND($G1450=0,$G1449=1),MAX($K1449,$J1450*($H1450+1)/100/12),$K1449))))</f>
      </c>
      <c r="L1450" s="43">
        <f>IF($I1450=0,0,$J1450*$H1450/100/12)</f>
      </c>
      <c r="M1450" s="43">
        <f>IF($I1450=0,0,IF(OR(INDEX(DarlOhneTilgung,4)=1,AND(INDEX(DarlTilgStart,4)&gt;0,$E1450&lt;INDEX(DarlTilgStart,4))),0,MIN(MAX(0,$K1450-$L1450),$J1450)))</f>
      </c>
      <c r="N1450" s="43">
        <f>IF($I1450=0,0,MIN(SUMIFS(SondBetrag,SondDarl,4,SondDatum,"&gt;="&amp;$E1450,SondDatum,"&lt;="&amp;EOMONTH($E1450,0)),$J1450-$M1450))</f>
      </c>
      <c r="O1450" s="43">
        <f>IF($I1450=0,0,INDEX(DarlErsatzRate,4))</f>
      </c>
      <c r="P1450" s="43">
        <f>IF($I1450=0,0,$Q1449*INDEX(DarlErsatzZins,4))</f>
      </c>
      <c r="Q1450" s="43">
        <f>IF($I1450=0,0,$Q1449+$P1450+$O1450)</f>
      </c>
      <c r="R1450" s="43">
        <f>IF($I1450=0,0,$J1450-$M1450-$N1450)</f>
      </c>
    </row>
    <row r="1451">
      <c r="A1451"/>
      <c r="B1451">
        <v>4</v>
      </c>
      <c r="C1451" s="43">
        <f>INDEX(DarlObj,4)</f>
      </c>
      <c r="D1451">
        <v>8</v>
      </c>
      <c r="E1451" s="51">
        <f>IF(INDEX(DarlBelegt,4)=0,0,EOMONTH(INDEX(DarlAuszahlung,4),7)+1)</f>
      </c>
      <c r="F1451" s="43">
        <f>IF($E1451=0,0,YEAR($E1451))</f>
      </c>
      <c r="G1451" s="43">
        <f>IF(INDEX(DarlBindung,4)="",1,IF($E1451&lt;=INDEX(DarlBindung,4),1,0))</f>
      </c>
      <c r="H1451" s="43">
        <f>IF($G1451=1,INDEX(DarlSollzins,4),INDEX(DarlAnschluss,4))</f>
      </c>
      <c r="I1451" s="43">
        <f>IF(INDEX(DarlBelegt,4)=0,0,IF(INDEX(DarlOhneTilgung,4)=1,IF(INDEX(DarlBindung,4)="",1,$G1451),IF($J1451&gt;0.005,1,0)))</f>
      </c>
      <c r="J1451" s="43">
        <f>IF($I1450=0,0,$R1450)</f>
      </c>
      <c r="K1451" s="43">
        <f>IF($I1451=0,0,IF(INDEX(DarlOhneTilgung,4)=1,0,IF(AND(INDEX(DarlTilgStart,4)&gt;0,$E1451=INDEX(DarlTilgStart,4)),$J1451*($H1451+INDEX(DarlTilgung,4))/100/12,IF(AND($G1451=0,$G1450=1),MAX($K1450,$J1451*($H1451+1)/100/12),$K1450))))</f>
      </c>
      <c r="L1451" s="43">
        <f>IF($I1451=0,0,$J1451*$H1451/100/12)</f>
      </c>
      <c r="M1451" s="43">
        <f>IF($I1451=0,0,IF(OR(INDEX(DarlOhneTilgung,4)=1,AND(INDEX(DarlTilgStart,4)&gt;0,$E1451&lt;INDEX(DarlTilgStart,4))),0,MIN(MAX(0,$K1451-$L1451),$J1451)))</f>
      </c>
      <c r="N1451" s="43">
        <f>IF($I1451=0,0,MIN(SUMIFS(SondBetrag,SondDarl,4,SondDatum,"&gt;="&amp;$E1451,SondDatum,"&lt;="&amp;EOMONTH($E1451,0)),$J1451-$M1451))</f>
      </c>
      <c r="O1451" s="43">
        <f>IF($I1451=0,0,INDEX(DarlErsatzRate,4))</f>
      </c>
      <c r="P1451" s="43">
        <f>IF($I1451=0,0,$Q1450*INDEX(DarlErsatzZins,4))</f>
      </c>
      <c r="Q1451" s="43">
        <f>IF($I1451=0,0,$Q1450+$P1451+$O1451)</f>
      </c>
      <c r="R1451" s="43">
        <f>IF($I1451=0,0,$J1451-$M1451-$N1451)</f>
      </c>
    </row>
    <row r="1452">
      <c r="A1452"/>
      <c r="B1452">
        <v>4</v>
      </c>
      <c r="C1452" s="43">
        <f>INDEX(DarlObj,4)</f>
      </c>
      <c r="D1452">
        <v>9</v>
      </c>
      <c r="E1452" s="51">
        <f>IF(INDEX(DarlBelegt,4)=0,0,EOMONTH(INDEX(DarlAuszahlung,4),8)+1)</f>
      </c>
      <c r="F1452" s="43">
        <f>IF($E1452=0,0,YEAR($E1452))</f>
      </c>
      <c r="G1452" s="43">
        <f>IF(INDEX(DarlBindung,4)="",1,IF($E1452&lt;=INDEX(DarlBindung,4),1,0))</f>
      </c>
      <c r="H1452" s="43">
        <f>IF($G1452=1,INDEX(DarlSollzins,4),INDEX(DarlAnschluss,4))</f>
      </c>
      <c r="I1452" s="43">
        <f>IF(INDEX(DarlBelegt,4)=0,0,IF(INDEX(DarlOhneTilgung,4)=1,IF(INDEX(DarlBindung,4)="",1,$G1452),IF($J1452&gt;0.005,1,0)))</f>
      </c>
      <c r="J1452" s="43">
        <f>IF($I1451=0,0,$R1451)</f>
      </c>
      <c r="K1452" s="43">
        <f>IF($I1452=0,0,IF(INDEX(DarlOhneTilgung,4)=1,0,IF(AND(INDEX(DarlTilgStart,4)&gt;0,$E1452=INDEX(DarlTilgStart,4)),$J1452*($H1452+INDEX(DarlTilgung,4))/100/12,IF(AND($G1452=0,$G1451=1),MAX($K1451,$J1452*($H1452+1)/100/12),$K1451))))</f>
      </c>
      <c r="L1452" s="43">
        <f>IF($I1452=0,0,$J1452*$H1452/100/12)</f>
      </c>
      <c r="M1452" s="43">
        <f>IF($I1452=0,0,IF(OR(INDEX(DarlOhneTilgung,4)=1,AND(INDEX(DarlTilgStart,4)&gt;0,$E1452&lt;INDEX(DarlTilgStart,4))),0,MIN(MAX(0,$K1452-$L1452),$J1452)))</f>
      </c>
      <c r="N1452" s="43">
        <f>IF($I1452=0,0,MIN(SUMIFS(SondBetrag,SondDarl,4,SondDatum,"&gt;="&amp;$E1452,SondDatum,"&lt;="&amp;EOMONTH($E1452,0)),$J1452-$M1452))</f>
      </c>
      <c r="O1452" s="43">
        <f>IF($I1452=0,0,INDEX(DarlErsatzRate,4))</f>
      </c>
      <c r="P1452" s="43">
        <f>IF($I1452=0,0,$Q1451*INDEX(DarlErsatzZins,4))</f>
      </c>
      <c r="Q1452" s="43">
        <f>IF($I1452=0,0,$Q1451+$P1452+$O1452)</f>
      </c>
      <c r="R1452" s="43">
        <f>IF($I1452=0,0,$J1452-$M1452-$N1452)</f>
      </c>
    </row>
    <row r="1453">
      <c r="A1453"/>
      <c r="B1453">
        <v>4</v>
      </c>
      <c r="C1453" s="43">
        <f>INDEX(DarlObj,4)</f>
      </c>
      <c r="D1453">
        <v>10</v>
      </c>
      <c r="E1453" s="51">
        <f>IF(INDEX(DarlBelegt,4)=0,0,EOMONTH(INDEX(DarlAuszahlung,4),9)+1)</f>
      </c>
      <c r="F1453" s="43">
        <f>IF($E1453=0,0,YEAR($E1453))</f>
      </c>
      <c r="G1453" s="43">
        <f>IF(INDEX(DarlBindung,4)="",1,IF($E1453&lt;=INDEX(DarlBindung,4),1,0))</f>
      </c>
      <c r="H1453" s="43">
        <f>IF($G1453=1,INDEX(DarlSollzins,4),INDEX(DarlAnschluss,4))</f>
      </c>
      <c r="I1453" s="43">
        <f>IF(INDEX(DarlBelegt,4)=0,0,IF(INDEX(DarlOhneTilgung,4)=1,IF(INDEX(DarlBindung,4)="",1,$G1453),IF($J1453&gt;0.005,1,0)))</f>
      </c>
      <c r="J1453" s="43">
        <f>IF($I1452=0,0,$R1452)</f>
      </c>
      <c r="K1453" s="43">
        <f>IF($I1453=0,0,IF(INDEX(DarlOhneTilgung,4)=1,0,IF(AND(INDEX(DarlTilgStart,4)&gt;0,$E1453=INDEX(DarlTilgStart,4)),$J1453*($H1453+INDEX(DarlTilgung,4))/100/12,IF(AND($G1453=0,$G1452=1),MAX($K1452,$J1453*($H1453+1)/100/12),$K1452))))</f>
      </c>
      <c r="L1453" s="43">
        <f>IF($I1453=0,0,$J1453*$H1453/100/12)</f>
      </c>
      <c r="M1453" s="43">
        <f>IF($I1453=0,0,IF(OR(INDEX(DarlOhneTilgung,4)=1,AND(INDEX(DarlTilgStart,4)&gt;0,$E1453&lt;INDEX(DarlTilgStart,4))),0,MIN(MAX(0,$K1453-$L1453),$J1453)))</f>
      </c>
      <c r="N1453" s="43">
        <f>IF($I1453=0,0,MIN(SUMIFS(SondBetrag,SondDarl,4,SondDatum,"&gt;="&amp;$E1453,SondDatum,"&lt;="&amp;EOMONTH($E1453,0)),$J1453-$M1453))</f>
      </c>
      <c r="O1453" s="43">
        <f>IF($I1453=0,0,INDEX(DarlErsatzRate,4))</f>
      </c>
      <c r="P1453" s="43">
        <f>IF($I1453=0,0,$Q1452*INDEX(DarlErsatzZins,4))</f>
      </c>
      <c r="Q1453" s="43">
        <f>IF($I1453=0,0,$Q1452+$P1453+$O1453)</f>
      </c>
      <c r="R1453" s="43">
        <f>IF($I1453=0,0,$J1453-$M1453-$N1453)</f>
      </c>
    </row>
    <row r="1454">
      <c r="A1454"/>
      <c r="B1454">
        <v>4</v>
      </c>
      <c r="C1454" s="43">
        <f>INDEX(DarlObj,4)</f>
      </c>
      <c r="D1454">
        <v>11</v>
      </c>
      <c r="E1454" s="51">
        <f>IF(INDEX(DarlBelegt,4)=0,0,EOMONTH(INDEX(DarlAuszahlung,4),10)+1)</f>
      </c>
      <c r="F1454" s="43">
        <f>IF($E1454=0,0,YEAR($E1454))</f>
      </c>
      <c r="G1454" s="43">
        <f>IF(INDEX(DarlBindung,4)="",1,IF($E1454&lt;=INDEX(DarlBindung,4),1,0))</f>
      </c>
      <c r="H1454" s="43">
        <f>IF($G1454=1,INDEX(DarlSollzins,4),INDEX(DarlAnschluss,4))</f>
      </c>
      <c r="I1454" s="43">
        <f>IF(INDEX(DarlBelegt,4)=0,0,IF(INDEX(DarlOhneTilgung,4)=1,IF(INDEX(DarlBindung,4)="",1,$G1454),IF($J1454&gt;0.005,1,0)))</f>
      </c>
      <c r="J1454" s="43">
        <f>IF($I1453=0,0,$R1453)</f>
      </c>
      <c r="K1454" s="43">
        <f>IF($I1454=0,0,IF(INDEX(DarlOhneTilgung,4)=1,0,IF(AND(INDEX(DarlTilgStart,4)&gt;0,$E1454=INDEX(DarlTilgStart,4)),$J1454*($H1454+INDEX(DarlTilgung,4))/100/12,IF(AND($G1454=0,$G1453=1),MAX($K1453,$J1454*($H1454+1)/100/12),$K1453))))</f>
      </c>
      <c r="L1454" s="43">
        <f>IF($I1454=0,0,$J1454*$H1454/100/12)</f>
      </c>
      <c r="M1454" s="43">
        <f>IF($I1454=0,0,IF(OR(INDEX(DarlOhneTilgung,4)=1,AND(INDEX(DarlTilgStart,4)&gt;0,$E1454&lt;INDEX(DarlTilgStart,4))),0,MIN(MAX(0,$K1454-$L1454),$J1454)))</f>
      </c>
      <c r="N1454" s="43">
        <f>IF($I1454=0,0,MIN(SUMIFS(SondBetrag,SondDarl,4,SondDatum,"&gt;="&amp;$E1454,SondDatum,"&lt;="&amp;EOMONTH($E1454,0)),$J1454-$M1454))</f>
      </c>
      <c r="O1454" s="43">
        <f>IF($I1454=0,0,INDEX(DarlErsatzRate,4))</f>
      </c>
      <c r="P1454" s="43">
        <f>IF($I1454=0,0,$Q1453*INDEX(DarlErsatzZins,4))</f>
      </c>
      <c r="Q1454" s="43">
        <f>IF($I1454=0,0,$Q1453+$P1454+$O1454)</f>
      </c>
      <c r="R1454" s="43">
        <f>IF($I1454=0,0,$J1454-$M1454-$N1454)</f>
      </c>
    </row>
    <row r="1455">
      <c r="A1455"/>
      <c r="B1455">
        <v>4</v>
      </c>
      <c r="C1455" s="43">
        <f>INDEX(DarlObj,4)</f>
      </c>
      <c r="D1455">
        <v>12</v>
      </c>
      <c r="E1455" s="51">
        <f>IF(INDEX(DarlBelegt,4)=0,0,EOMONTH(INDEX(DarlAuszahlung,4),11)+1)</f>
      </c>
      <c r="F1455" s="43">
        <f>IF($E1455=0,0,YEAR($E1455))</f>
      </c>
      <c r="G1455" s="43">
        <f>IF(INDEX(DarlBindung,4)="",1,IF($E1455&lt;=INDEX(DarlBindung,4),1,0))</f>
      </c>
      <c r="H1455" s="43">
        <f>IF($G1455=1,INDEX(DarlSollzins,4),INDEX(DarlAnschluss,4))</f>
      </c>
      <c r="I1455" s="43">
        <f>IF(INDEX(DarlBelegt,4)=0,0,IF(INDEX(DarlOhneTilgung,4)=1,IF(INDEX(DarlBindung,4)="",1,$G1455),IF($J1455&gt;0.005,1,0)))</f>
      </c>
      <c r="J1455" s="43">
        <f>IF($I1454=0,0,$R1454)</f>
      </c>
      <c r="K1455" s="43">
        <f>IF($I1455=0,0,IF(INDEX(DarlOhneTilgung,4)=1,0,IF(AND(INDEX(DarlTilgStart,4)&gt;0,$E1455=INDEX(DarlTilgStart,4)),$J1455*($H1455+INDEX(DarlTilgung,4))/100/12,IF(AND($G1455=0,$G1454=1),MAX($K1454,$J1455*($H1455+1)/100/12),$K1454))))</f>
      </c>
      <c r="L1455" s="43">
        <f>IF($I1455=0,0,$J1455*$H1455/100/12)</f>
      </c>
      <c r="M1455" s="43">
        <f>IF($I1455=0,0,IF(OR(INDEX(DarlOhneTilgung,4)=1,AND(INDEX(DarlTilgStart,4)&gt;0,$E1455&lt;INDEX(DarlTilgStart,4))),0,MIN(MAX(0,$K1455-$L1455),$J1455)))</f>
      </c>
      <c r="N1455" s="43">
        <f>IF($I1455=0,0,MIN(SUMIFS(SondBetrag,SondDarl,4,SondDatum,"&gt;="&amp;$E1455,SondDatum,"&lt;="&amp;EOMONTH($E1455,0)),$J1455-$M1455))</f>
      </c>
      <c r="O1455" s="43">
        <f>IF($I1455=0,0,INDEX(DarlErsatzRate,4))</f>
      </c>
      <c r="P1455" s="43">
        <f>IF($I1455=0,0,$Q1454*INDEX(DarlErsatzZins,4))</f>
      </c>
      <c r="Q1455" s="43">
        <f>IF($I1455=0,0,$Q1454+$P1455+$O1455)</f>
      </c>
      <c r="R1455" s="43">
        <f>IF($I1455=0,0,$J1455-$M1455-$N1455)</f>
      </c>
    </row>
    <row r="1456">
      <c r="A1456"/>
      <c r="B1456">
        <v>4</v>
      </c>
      <c r="C1456" s="43">
        <f>INDEX(DarlObj,4)</f>
      </c>
      <c r="D1456">
        <v>13</v>
      </c>
      <c r="E1456" s="51">
        <f>IF(INDEX(DarlBelegt,4)=0,0,EOMONTH(INDEX(DarlAuszahlung,4),12)+1)</f>
      </c>
      <c r="F1456" s="43">
        <f>IF($E1456=0,0,YEAR($E1456))</f>
      </c>
      <c r="G1456" s="43">
        <f>IF(INDEX(DarlBindung,4)="",1,IF($E1456&lt;=INDEX(DarlBindung,4),1,0))</f>
      </c>
      <c r="H1456" s="43">
        <f>IF($G1456=1,INDEX(DarlSollzins,4),INDEX(DarlAnschluss,4))</f>
      </c>
      <c r="I1456" s="43">
        <f>IF(INDEX(DarlBelegt,4)=0,0,IF(INDEX(DarlOhneTilgung,4)=1,IF(INDEX(DarlBindung,4)="",1,$G1456),IF($J1456&gt;0.005,1,0)))</f>
      </c>
      <c r="J1456" s="43">
        <f>IF($I1455=0,0,$R1455)</f>
      </c>
      <c r="K1456" s="43">
        <f>IF($I1456=0,0,IF(INDEX(DarlOhneTilgung,4)=1,0,IF(AND(INDEX(DarlTilgStart,4)&gt;0,$E1456=INDEX(DarlTilgStart,4)),$J1456*($H1456+INDEX(DarlTilgung,4))/100/12,IF(AND($G1456=0,$G1455=1),MAX($K1455,$J1456*($H1456+1)/100/12),$K1455))))</f>
      </c>
      <c r="L1456" s="43">
        <f>IF($I1456=0,0,$J1456*$H1456/100/12)</f>
      </c>
      <c r="M1456" s="43">
        <f>IF($I1456=0,0,IF(OR(INDEX(DarlOhneTilgung,4)=1,AND(INDEX(DarlTilgStart,4)&gt;0,$E1456&lt;INDEX(DarlTilgStart,4))),0,MIN(MAX(0,$K1456-$L1456),$J1456)))</f>
      </c>
      <c r="N1456" s="43">
        <f>IF($I1456=0,0,MIN(SUMIFS(SondBetrag,SondDarl,4,SondDatum,"&gt;="&amp;$E1456,SondDatum,"&lt;="&amp;EOMONTH($E1456,0)),$J1456-$M1456))</f>
      </c>
      <c r="O1456" s="43">
        <f>IF($I1456=0,0,INDEX(DarlErsatzRate,4))</f>
      </c>
      <c r="P1456" s="43">
        <f>IF($I1456=0,0,$Q1455*INDEX(DarlErsatzZins,4))</f>
      </c>
      <c r="Q1456" s="43">
        <f>IF($I1456=0,0,$Q1455+$P1456+$O1456)</f>
      </c>
      <c r="R1456" s="43">
        <f>IF($I1456=0,0,$J1456-$M1456-$N1456)</f>
      </c>
    </row>
    <row r="1457">
      <c r="A1457"/>
      <c r="B1457">
        <v>4</v>
      </c>
      <c r="C1457" s="43">
        <f>INDEX(DarlObj,4)</f>
      </c>
      <c r="D1457">
        <v>14</v>
      </c>
      <c r="E1457" s="51">
        <f>IF(INDEX(DarlBelegt,4)=0,0,EOMONTH(INDEX(DarlAuszahlung,4),13)+1)</f>
      </c>
      <c r="F1457" s="43">
        <f>IF($E1457=0,0,YEAR($E1457))</f>
      </c>
      <c r="G1457" s="43">
        <f>IF(INDEX(DarlBindung,4)="",1,IF($E1457&lt;=INDEX(DarlBindung,4),1,0))</f>
      </c>
      <c r="H1457" s="43">
        <f>IF($G1457=1,INDEX(DarlSollzins,4),INDEX(DarlAnschluss,4))</f>
      </c>
      <c r="I1457" s="43">
        <f>IF(INDEX(DarlBelegt,4)=0,0,IF(INDEX(DarlOhneTilgung,4)=1,IF(INDEX(DarlBindung,4)="",1,$G1457),IF($J1457&gt;0.005,1,0)))</f>
      </c>
      <c r="J1457" s="43">
        <f>IF($I1456=0,0,$R1456)</f>
      </c>
      <c r="K1457" s="43">
        <f>IF($I1457=0,0,IF(INDEX(DarlOhneTilgung,4)=1,0,IF(AND(INDEX(DarlTilgStart,4)&gt;0,$E1457=INDEX(DarlTilgStart,4)),$J1457*($H1457+INDEX(DarlTilgung,4))/100/12,IF(AND($G1457=0,$G1456=1),MAX($K1456,$J1457*($H1457+1)/100/12),$K1456))))</f>
      </c>
      <c r="L1457" s="43">
        <f>IF($I1457=0,0,$J1457*$H1457/100/12)</f>
      </c>
      <c r="M1457" s="43">
        <f>IF($I1457=0,0,IF(OR(INDEX(DarlOhneTilgung,4)=1,AND(INDEX(DarlTilgStart,4)&gt;0,$E1457&lt;INDEX(DarlTilgStart,4))),0,MIN(MAX(0,$K1457-$L1457),$J1457)))</f>
      </c>
      <c r="N1457" s="43">
        <f>IF($I1457=0,0,MIN(SUMIFS(SondBetrag,SondDarl,4,SondDatum,"&gt;="&amp;$E1457,SondDatum,"&lt;="&amp;EOMONTH($E1457,0)),$J1457-$M1457))</f>
      </c>
      <c r="O1457" s="43">
        <f>IF($I1457=0,0,INDEX(DarlErsatzRate,4))</f>
      </c>
      <c r="P1457" s="43">
        <f>IF($I1457=0,0,$Q1456*INDEX(DarlErsatzZins,4))</f>
      </c>
      <c r="Q1457" s="43">
        <f>IF($I1457=0,0,$Q1456+$P1457+$O1457)</f>
      </c>
      <c r="R1457" s="43">
        <f>IF($I1457=0,0,$J1457-$M1457-$N1457)</f>
      </c>
    </row>
    <row r="1458">
      <c r="A1458"/>
      <c r="B1458">
        <v>4</v>
      </c>
      <c r="C1458" s="43">
        <f>INDEX(DarlObj,4)</f>
      </c>
      <c r="D1458">
        <v>15</v>
      </c>
      <c r="E1458" s="51">
        <f>IF(INDEX(DarlBelegt,4)=0,0,EOMONTH(INDEX(DarlAuszahlung,4),14)+1)</f>
      </c>
      <c r="F1458" s="43">
        <f>IF($E1458=0,0,YEAR($E1458))</f>
      </c>
      <c r="G1458" s="43">
        <f>IF(INDEX(DarlBindung,4)="",1,IF($E1458&lt;=INDEX(DarlBindung,4),1,0))</f>
      </c>
      <c r="H1458" s="43">
        <f>IF($G1458=1,INDEX(DarlSollzins,4),INDEX(DarlAnschluss,4))</f>
      </c>
      <c r="I1458" s="43">
        <f>IF(INDEX(DarlBelegt,4)=0,0,IF(INDEX(DarlOhneTilgung,4)=1,IF(INDEX(DarlBindung,4)="",1,$G1458),IF($J1458&gt;0.005,1,0)))</f>
      </c>
      <c r="J1458" s="43">
        <f>IF($I1457=0,0,$R1457)</f>
      </c>
      <c r="K1458" s="43">
        <f>IF($I1458=0,0,IF(INDEX(DarlOhneTilgung,4)=1,0,IF(AND(INDEX(DarlTilgStart,4)&gt;0,$E1458=INDEX(DarlTilgStart,4)),$J1458*($H1458+INDEX(DarlTilgung,4))/100/12,IF(AND($G1458=0,$G1457=1),MAX($K1457,$J1458*($H1458+1)/100/12),$K1457))))</f>
      </c>
      <c r="L1458" s="43">
        <f>IF($I1458=0,0,$J1458*$H1458/100/12)</f>
      </c>
      <c r="M1458" s="43">
        <f>IF($I1458=0,0,IF(OR(INDEX(DarlOhneTilgung,4)=1,AND(INDEX(DarlTilgStart,4)&gt;0,$E1458&lt;INDEX(DarlTilgStart,4))),0,MIN(MAX(0,$K1458-$L1458),$J1458)))</f>
      </c>
      <c r="N1458" s="43">
        <f>IF($I1458=0,0,MIN(SUMIFS(SondBetrag,SondDarl,4,SondDatum,"&gt;="&amp;$E1458,SondDatum,"&lt;="&amp;EOMONTH($E1458,0)),$J1458-$M1458))</f>
      </c>
      <c r="O1458" s="43">
        <f>IF($I1458=0,0,INDEX(DarlErsatzRate,4))</f>
      </c>
      <c r="P1458" s="43">
        <f>IF($I1458=0,0,$Q1457*INDEX(DarlErsatzZins,4))</f>
      </c>
      <c r="Q1458" s="43">
        <f>IF($I1458=0,0,$Q1457+$P1458+$O1458)</f>
      </c>
      <c r="R1458" s="43">
        <f>IF($I1458=0,0,$J1458-$M1458-$N1458)</f>
      </c>
    </row>
    <row r="1459">
      <c r="A1459"/>
      <c r="B1459">
        <v>4</v>
      </c>
      <c r="C1459" s="43">
        <f>INDEX(DarlObj,4)</f>
      </c>
      <c r="D1459">
        <v>16</v>
      </c>
      <c r="E1459" s="51">
        <f>IF(INDEX(DarlBelegt,4)=0,0,EOMONTH(INDEX(DarlAuszahlung,4),15)+1)</f>
      </c>
      <c r="F1459" s="43">
        <f>IF($E1459=0,0,YEAR($E1459))</f>
      </c>
      <c r="G1459" s="43">
        <f>IF(INDEX(DarlBindung,4)="",1,IF($E1459&lt;=INDEX(DarlBindung,4),1,0))</f>
      </c>
      <c r="H1459" s="43">
        <f>IF($G1459=1,INDEX(DarlSollzins,4),INDEX(DarlAnschluss,4))</f>
      </c>
      <c r="I1459" s="43">
        <f>IF(INDEX(DarlBelegt,4)=0,0,IF(INDEX(DarlOhneTilgung,4)=1,IF(INDEX(DarlBindung,4)="",1,$G1459),IF($J1459&gt;0.005,1,0)))</f>
      </c>
      <c r="J1459" s="43">
        <f>IF($I1458=0,0,$R1458)</f>
      </c>
      <c r="K1459" s="43">
        <f>IF($I1459=0,0,IF(INDEX(DarlOhneTilgung,4)=1,0,IF(AND(INDEX(DarlTilgStart,4)&gt;0,$E1459=INDEX(DarlTilgStart,4)),$J1459*($H1459+INDEX(DarlTilgung,4))/100/12,IF(AND($G1459=0,$G1458=1),MAX($K1458,$J1459*($H1459+1)/100/12),$K1458))))</f>
      </c>
      <c r="L1459" s="43">
        <f>IF($I1459=0,0,$J1459*$H1459/100/12)</f>
      </c>
      <c r="M1459" s="43">
        <f>IF($I1459=0,0,IF(OR(INDEX(DarlOhneTilgung,4)=1,AND(INDEX(DarlTilgStart,4)&gt;0,$E1459&lt;INDEX(DarlTilgStart,4))),0,MIN(MAX(0,$K1459-$L1459),$J1459)))</f>
      </c>
      <c r="N1459" s="43">
        <f>IF($I1459=0,0,MIN(SUMIFS(SondBetrag,SondDarl,4,SondDatum,"&gt;="&amp;$E1459,SondDatum,"&lt;="&amp;EOMONTH($E1459,0)),$J1459-$M1459))</f>
      </c>
      <c r="O1459" s="43">
        <f>IF($I1459=0,0,INDEX(DarlErsatzRate,4))</f>
      </c>
      <c r="P1459" s="43">
        <f>IF($I1459=0,0,$Q1458*INDEX(DarlErsatzZins,4))</f>
      </c>
      <c r="Q1459" s="43">
        <f>IF($I1459=0,0,$Q1458+$P1459+$O1459)</f>
      </c>
      <c r="R1459" s="43">
        <f>IF($I1459=0,0,$J1459-$M1459-$N1459)</f>
      </c>
    </row>
    <row r="1460">
      <c r="A1460"/>
      <c r="B1460">
        <v>4</v>
      </c>
      <c r="C1460" s="43">
        <f>INDEX(DarlObj,4)</f>
      </c>
      <c r="D1460">
        <v>17</v>
      </c>
      <c r="E1460" s="51">
        <f>IF(INDEX(DarlBelegt,4)=0,0,EOMONTH(INDEX(DarlAuszahlung,4),16)+1)</f>
      </c>
      <c r="F1460" s="43">
        <f>IF($E1460=0,0,YEAR($E1460))</f>
      </c>
      <c r="G1460" s="43">
        <f>IF(INDEX(DarlBindung,4)="",1,IF($E1460&lt;=INDEX(DarlBindung,4),1,0))</f>
      </c>
      <c r="H1460" s="43">
        <f>IF($G1460=1,INDEX(DarlSollzins,4),INDEX(DarlAnschluss,4))</f>
      </c>
      <c r="I1460" s="43">
        <f>IF(INDEX(DarlBelegt,4)=0,0,IF(INDEX(DarlOhneTilgung,4)=1,IF(INDEX(DarlBindung,4)="",1,$G1460),IF($J1460&gt;0.005,1,0)))</f>
      </c>
      <c r="J1460" s="43">
        <f>IF($I1459=0,0,$R1459)</f>
      </c>
      <c r="K1460" s="43">
        <f>IF($I1460=0,0,IF(INDEX(DarlOhneTilgung,4)=1,0,IF(AND(INDEX(DarlTilgStart,4)&gt;0,$E1460=INDEX(DarlTilgStart,4)),$J1460*($H1460+INDEX(DarlTilgung,4))/100/12,IF(AND($G1460=0,$G1459=1),MAX($K1459,$J1460*($H1460+1)/100/12),$K1459))))</f>
      </c>
      <c r="L1460" s="43">
        <f>IF($I1460=0,0,$J1460*$H1460/100/12)</f>
      </c>
      <c r="M1460" s="43">
        <f>IF($I1460=0,0,IF(OR(INDEX(DarlOhneTilgung,4)=1,AND(INDEX(DarlTilgStart,4)&gt;0,$E1460&lt;INDEX(DarlTilgStart,4))),0,MIN(MAX(0,$K1460-$L1460),$J1460)))</f>
      </c>
      <c r="N1460" s="43">
        <f>IF($I1460=0,0,MIN(SUMIFS(SondBetrag,SondDarl,4,SondDatum,"&gt;="&amp;$E1460,SondDatum,"&lt;="&amp;EOMONTH($E1460,0)),$J1460-$M1460))</f>
      </c>
      <c r="O1460" s="43">
        <f>IF($I1460=0,0,INDEX(DarlErsatzRate,4))</f>
      </c>
      <c r="P1460" s="43">
        <f>IF($I1460=0,0,$Q1459*INDEX(DarlErsatzZins,4))</f>
      </c>
      <c r="Q1460" s="43">
        <f>IF($I1460=0,0,$Q1459+$P1460+$O1460)</f>
      </c>
      <c r="R1460" s="43">
        <f>IF($I1460=0,0,$J1460-$M1460-$N1460)</f>
      </c>
    </row>
    <row r="1461">
      <c r="A1461"/>
      <c r="B1461">
        <v>4</v>
      </c>
      <c r="C1461" s="43">
        <f>INDEX(DarlObj,4)</f>
      </c>
      <c r="D1461">
        <v>18</v>
      </c>
      <c r="E1461" s="51">
        <f>IF(INDEX(DarlBelegt,4)=0,0,EOMONTH(INDEX(DarlAuszahlung,4),17)+1)</f>
      </c>
      <c r="F1461" s="43">
        <f>IF($E1461=0,0,YEAR($E1461))</f>
      </c>
      <c r="G1461" s="43">
        <f>IF(INDEX(DarlBindung,4)="",1,IF($E1461&lt;=INDEX(DarlBindung,4),1,0))</f>
      </c>
      <c r="H1461" s="43">
        <f>IF($G1461=1,INDEX(DarlSollzins,4),INDEX(DarlAnschluss,4))</f>
      </c>
      <c r="I1461" s="43">
        <f>IF(INDEX(DarlBelegt,4)=0,0,IF(INDEX(DarlOhneTilgung,4)=1,IF(INDEX(DarlBindung,4)="",1,$G1461),IF($J1461&gt;0.005,1,0)))</f>
      </c>
      <c r="J1461" s="43">
        <f>IF($I1460=0,0,$R1460)</f>
      </c>
      <c r="K1461" s="43">
        <f>IF($I1461=0,0,IF(INDEX(DarlOhneTilgung,4)=1,0,IF(AND(INDEX(DarlTilgStart,4)&gt;0,$E1461=INDEX(DarlTilgStart,4)),$J1461*($H1461+INDEX(DarlTilgung,4))/100/12,IF(AND($G1461=0,$G1460=1),MAX($K1460,$J1461*($H1461+1)/100/12),$K1460))))</f>
      </c>
      <c r="L1461" s="43">
        <f>IF($I1461=0,0,$J1461*$H1461/100/12)</f>
      </c>
      <c r="M1461" s="43">
        <f>IF($I1461=0,0,IF(OR(INDEX(DarlOhneTilgung,4)=1,AND(INDEX(DarlTilgStart,4)&gt;0,$E1461&lt;INDEX(DarlTilgStart,4))),0,MIN(MAX(0,$K1461-$L1461),$J1461)))</f>
      </c>
      <c r="N1461" s="43">
        <f>IF($I1461=0,0,MIN(SUMIFS(SondBetrag,SondDarl,4,SondDatum,"&gt;="&amp;$E1461,SondDatum,"&lt;="&amp;EOMONTH($E1461,0)),$J1461-$M1461))</f>
      </c>
      <c r="O1461" s="43">
        <f>IF($I1461=0,0,INDEX(DarlErsatzRate,4))</f>
      </c>
      <c r="P1461" s="43">
        <f>IF($I1461=0,0,$Q1460*INDEX(DarlErsatzZins,4))</f>
      </c>
      <c r="Q1461" s="43">
        <f>IF($I1461=0,0,$Q1460+$P1461+$O1461)</f>
      </c>
      <c r="R1461" s="43">
        <f>IF($I1461=0,0,$J1461-$M1461-$N1461)</f>
      </c>
    </row>
    <row r="1462">
      <c r="A1462"/>
      <c r="B1462">
        <v>4</v>
      </c>
      <c r="C1462" s="43">
        <f>INDEX(DarlObj,4)</f>
      </c>
      <c r="D1462">
        <v>19</v>
      </c>
      <c r="E1462" s="51">
        <f>IF(INDEX(DarlBelegt,4)=0,0,EOMONTH(INDEX(DarlAuszahlung,4),18)+1)</f>
      </c>
      <c r="F1462" s="43">
        <f>IF($E1462=0,0,YEAR($E1462))</f>
      </c>
      <c r="G1462" s="43">
        <f>IF(INDEX(DarlBindung,4)="",1,IF($E1462&lt;=INDEX(DarlBindung,4),1,0))</f>
      </c>
      <c r="H1462" s="43">
        <f>IF($G1462=1,INDEX(DarlSollzins,4),INDEX(DarlAnschluss,4))</f>
      </c>
      <c r="I1462" s="43">
        <f>IF(INDEX(DarlBelegt,4)=0,0,IF(INDEX(DarlOhneTilgung,4)=1,IF(INDEX(DarlBindung,4)="",1,$G1462),IF($J1462&gt;0.005,1,0)))</f>
      </c>
      <c r="J1462" s="43">
        <f>IF($I1461=0,0,$R1461)</f>
      </c>
      <c r="K1462" s="43">
        <f>IF($I1462=0,0,IF(INDEX(DarlOhneTilgung,4)=1,0,IF(AND(INDEX(DarlTilgStart,4)&gt;0,$E1462=INDEX(DarlTilgStart,4)),$J1462*($H1462+INDEX(DarlTilgung,4))/100/12,IF(AND($G1462=0,$G1461=1),MAX($K1461,$J1462*($H1462+1)/100/12),$K1461))))</f>
      </c>
      <c r="L1462" s="43">
        <f>IF($I1462=0,0,$J1462*$H1462/100/12)</f>
      </c>
      <c r="M1462" s="43">
        <f>IF($I1462=0,0,IF(OR(INDEX(DarlOhneTilgung,4)=1,AND(INDEX(DarlTilgStart,4)&gt;0,$E1462&lt;INDEX(DarlTilgStart,4))),0,MIN(MAX(0,$K1462-$L1462),$J1462)))</f>
      </c>
      <c r="N1462" s="43">
        <f>IF($I1462=0,0,MIN(SUMIFS(SondBetrag,SondDarl,4,SondDatum,"&gt;="&amp;$E1462,SondDatum,"&lt;="&amp;EOMONTH($E1462,0)),$J1462-$M1462))</f>
      </c>
      <c r="O1462" s="43">
        <f>IF($I1462=0,0,INDEX(DarlErsatzRate,4))</f>
      </c>
      <c r="P1462" s="43">
        <f>IF($I1462=0,0,$Q1461*INDEX(DarlErsatzZins,4))</f>
      </c>
      <c r="Q1462" s="43">
        <f>IF($I1462=0,0,$Q1461+$P1462+$O1462)</f>
      </c>
      <c r="R1462" s="43">
        <f>IF($I1462=0,0,$J1462-$M1462-$N1462)</f>
      </c>
    </row>
    <row r="1463">
      <c r="A1463"/>
      <c r="B1463">
        <v>4</v>
      </c>
      <c r="C1463" s="43">
        <f>INDEX(DarlObj,4)</f>
      </c>
      <c r="D1463">
        <v>20</v>
      </c>
      <c r="E1463" s="51">
        <f>IF(INDEX(DarlBelegt,4)=0,0,EOMONTH(INDEX(DarlAuszahlung,4),19)+1)</f>
      </c>
      <c r="F1463" s="43">
        <f>IF($E1463=0,0,YEAR($E1463))</f>
      </c>
      <c r="G1463" s="43">
        <f>IF(INDEX(DarlBindung,4)="",1,IF($E1463&lt;=INDEX(DarlBindung,4),1,0))</f>
      </c>
      <c r="H1463" s="43">
        <f>IF($G1463=1,INDEX(DarlSollzins,4),INDEX(DarlAnschluss,4))</f>
      </c>
      <c r="I1463" s="43">
        <f>IF(INDEX(DarlBelegt,4)=0,0,IF(INDEX(DarlOhneTilgung,4)=1,IF(INDEX(DarlBindung,4)="",1,$G1463),IF($J1463&gt;0.005,1,0)))</f>
      </c>
      <c r="J1463" s="43">
        <f>IF($I1462=0,0,$R1462)</f>
      </c>
      <c r="K1463" s="43">
        <f>IF($I1463=0,0,IF(INDEX(DarlOhneTilgung,4)=1,0,IF(AND(INDEX(DarlTilgStart,4)&gt;0,$E1463=INDEX(DarlTilgStart,4)),$J1463*($H1463+INDEX(DarlTilgung,4))/100/12,IF(AND($G1463=0,$G1462=1),MAX($K1462,$J1463*($H1463+1)/100/12),$K1462))))</f>
      </c>
      <c r="L1463" s="43">
        <f>IF($I1463=0,0,$J1463*$H1463/100/12)</f>
      </c>
      <c r="M1463" s="43">
        <f>IF($I1463=0,0,IF(OR(INDEX(DarlOhneTilgung,4)=1,AND(INDEX(DarlTilgStart,4)&gt;0,$E1463&lt;INDEX(DarlTilgStart,4))),0,MIN(MAX(0,$K1463-$L1463),$J1463)))</f>
      </c>
      <c r="N1463" s="43">
        <f>IF($I1463=0,0,MIN(SUMIFS(SondBetrag,SondDarl,4,SondDatum,"&gt;="&amp;$E1463,SondDatum,"&lt;="&amp;EOMONTH($E1463,0)),$J1463-$M1463))</f>
      </c>
      <c r="O1463" s="43">
        <f>IF($I1463=0,0,INDEX(DarlErsatzRate,4))</f>
      </c>
      <c r="P1463" s="43">
        <f>IF($I1463=0,0,$Q1462*INDEX(DarlErsatzZins,4))</f>
      </c>
      <c r="Q1463" s="43">
        <f>IF($I1463=0,0,$Q1462+$P1463+$O1463)</f>
      </c>
      <c r="R1463" s="43">
        <f>IF($I1463=0,0,$J1463-$M1463-$N1463)</f>
      </c>
    </row>
    <row r="1464">
      <c r="A1464"/>
      <c r="B1464">
        <v>4</v>
      </c>
      <c r="C1464" s="43">
        <f>INDEX(DarlObj,4)</f>
      </c>
      <c r="D1464">
        <v>21</v>
      </c>
      <c r="E1464" s="51">
        <f>IF(INDEX(DarlBelegt,4)=0,0,EOMONTH(INDEX(DarlAuszahlung,4),20)+1)</f>
      </c>
      <c r="F1464" s="43">
        <f>IF($E1464=0,0,YEAR($E1464))</f>
      </c>
      <c r="G1464" s="43">
        <f>IF(INDEX(DarlBindung,4)="",1,IF($E1464&lt;=INDEX(DarlBindung,4),1,0))</f>
      </c>
      <c r="H1464" s="43">
        <f>IF($G1464=1,INDEX(DarlSollzins,4),INDEX(DarlAnschluss,4))</f>
      </c>
      <c r="I1464" s="43">
        <f>IF(INDEX(DarlBelegt,4)=0,0,IF(INDEX(DarlOhneTilgung,4)=1,IF(INDEX(DarlBindung,4)="",1,$G1464),IF($J1464&gt;0.005,1,0)))</f>
      </c>
      <c r="J1464" s="43">
        <f>IF($I1463=0,0,$R1463)</f>
      </c>
      <c r="K1464" s="43">
        <f>IF($I1464=0,0,IF(INDEX(DarlOhneTilgung,4)=1,0,IF(AND(INDEX(DarlTilgStart,4)&gt;0,$E1464=INDEX(DarlTilgStart,4)),$J1464*($H1464+INDEX(DarlTilgung,4))/100/12,IF(AND($G1464=0,$G1463=1),MAX($K1463,$J1464*($H1464+1)/100/12),$K1463))))</f>
      </c>
      <c r="L1464" s="43">
        <f>IF($I1464=0,0,$J1464*$H1464/100/12)</f>
      </c>
      <c r="M1464" s="43">
        <f>IF($I1464=0,0,IF(OR(INDEX(DarlOhneTilgung,4)=1,AND(INDEX(DarlTilgStart,4)&gt;0,$E1464&lt;INDEX(DarlTilgStart,4))),0,MIN(MAX(0,$K1464-$L1464),$J1464)))</f>
      </c>
      <c r="N1464" s="43">
        <f>IF($I1464=0,0,MIN(SUMIFS(SondBetrag,SondDarl,4,SondDatum,"&gt;="&amp;$E1464,SondDatum,"&lt;="&amp;EOMONTH($E1464,0)),$J1464-$M1464))</f>
      </c>
      <c r="O1464" s="43">
        <f>IF($I1464=0,0,INDEX(DarlErsatzRate,4))</f>
      </c>
      <c r="P1464" s="43">
        <f>IF($I1464=0,0,$Q1463*INDEX(DarlErsatzZins,4))</f>
      </c>
      <c r="Q1464" s="43">
        <f>IF($I1464=0,0,$Q1463+$P1464+$O1464)</f>
      </c>
      <c r="R1464" s="43">
        <f>IF($I1464=0,0,$J1464-$M1464-$N1464)</f>
      </c>
    </row>
    <row r="1465">
      <c r="A1465"/>
      <c r="B1465">
        <v>4</v>
      </c>
      <c r="C1465" s="43">
        <f>INDEX(DarlObj,4)</f>
      </c>
      <c r="D1465">
        <v>22</v>
      </c>
      <c r="E1465" s="51">
        <f>IF(INDEX(DarlBelegt,4)=0,0,EOMONTH(INDEX(DarlAuszahlung,4),21)+1)</f>
      </c>
      <c r="F1465" s="43">
        <f>IF($E1465=0,0,YEAR($E1465))</f>
      </c>
      <c r="G1465" s="43">
        <f>IF(INDEX(DarlBindung,4)="",1,IF($E1465&lt;=INDEX(DarlBindung,4),1,0))</f>
      </c>
      <c r="H1465" s="43">
        <f>IF($G1465=1,INDEX(DarlSollzins,4),INDEX(DarlAnschluss,4))</f>
      </c>
      <c r="I1465" s="43">
        <f>IF(INDEX(DarlBelegt,4)=0,0,IF(INDEX(DarlOhneTilgung,4)=1,IF(INDEX(DarlBindung,4)="",1,$G1465),IF($J1465&gt;0.005,1,0)))</f>
      </c>
      <c r="J1465" s="43">
        <f>IF($I1464=0,0,$R1464)</f>
      </c>
      <c r="K1465" s="43">
        <f>IF($I1465=0,0,IF(INDEX(DarlOhneTilgung,4)=1,0,IF(AND(INDEX(DarlTilgStart,4)&gt;0,$E1465=INDEX(DarlTilgStart,4)),$J1465*($H1465+INDEX(DarlTilgung,4))/100/12,IF(AND($G1465=0,$G1464=1),MAX($K1464,$J1465*($H1465+1)/100/12),$K1464))))</f>
      </c>
      <c r="L1465" s="43">
        <f>IF($I1465=0,0,$J1465*$H1465/100/12)</f>
      </c>
      <c r="M1465" s="43">
        <f>IF($I1465=0,0,IF(OR(INDEX(DarlOhneTilgung,4)=1,AND(INDEX(DarlTilgStart,4)&gt;0,$E1465&lt;INDEX(DarlTilgStart,4))),0,MIN(MAX(0,$K1465-$L1465),$J1465)))</f>
      </c>
      <c r="N1465" s="43">
        <f>IF($I1465=0,0,MIN(SUMIFS(SondBetrag,SondDarl,4,SondDatum,"&gt;="&amp;$E1465,SondDatum,"&lt;="&amp;EOMONTH($E1465,0)),$J1465-$M1465))</f>
      </c>
      <c r="O1465" s="43">
        <f>IF($I1465=0,0,INDEX(DarlErsatzRate,4))</f>
      </c>
      <c r="P1465" s="43">
        <f>IF($I1465=0,0,$Q1464*INDEX(DarlErsatzZins,4))</f>
      </c>
      <c r="Q1465" s="43">
        <f>IF($I1465=0,0,$Q1464+$P1465+$O1465)</f>
      </c>
      <c r="R1465" s="43">
        <f>IF($I1465=0,0,$J1465-$M1465-$N1465)</f>
      </c>
    </row>
    <row r="1466">
      <c r="A1466"/>
      <c r="B1466">
        <v>4</v>
      </c>
      <c r="C1466" s="43">
        <f>INDEX(DarlObj,4)</f>
      </c>
      <c r="D1466">
        <v>23</v>
      </c>
      <c r="E1466" s="51">
        <f>IF(INDEX(DarlBelegt,4)=0,0,EOMONTH(INDEX(DarlAuszahlung,4),22)+1)</f>
      </c>
      <c r="F1466" s="43">
        <f>IF($E1466=0,0,YEAR($E1466))</f>
      </c>
      <c r="G1466" s="43">
        <f>IF(INDEX(DarlBindung,4)="",1,IF($E1466&lt;=INDEX(DarlBindung,4),1,0))</f>
      </c>
      <c r="H1466" s="43">
        <f>IF($G1466=1,INDEX(DarlSollzins,4),INDEX(DarlAnschluss,4))</f>
      </c>
      <c r="I1466" s="43">
        <f>IF(INDEX(DarlBelegt,4)=0,0,IF(INDEX(DarlOhneTilgung,4)=1,IF(INDEX(DarlBindung,4)="",1,$G1466),IF($J1466&gt;0.005,1,0)))</f>
      </c>
      <c r="J1466" s="43">
        <f>IF($I1465=0,0,$R1465)</f>
      </c>
      <c r="K1466" s="43">
        <f>IF($I1466=0,0,IF(INDEX(DarlOhneTilgung,4)=1,0,IF(AND(INDEX(DarlTilgStart,4)&gt;0,$E1466=INDEX(DarlTilgStart,4)),$J1466*($H1466+INDEX(DarlTilgung,4))/100/12,IF(AND($G1466=0,$G1465=1),MAX($K1465,$J1466*($H1466+1)/100/12),$K1465))))</f>
      </c>
      <c r="L1466" s="43">
        <f>IF($I1466=0,0,$J1466*$H1466/100/12)</f>
      </c>
      <c r="M1466" s="43">
        <f>IF($I1466=0,0,IF(OR(INDEX(DarlOhneTilgung,4)=1,AND(INDEX(DarlTilgStart,4)&gt;0,$E1466&lt;INDEX(DarlTilgStart,4))),0,MIN(MAX(0,$K1466-$L1466),$J1466)))</f>
      </c>
      <c r="N1466" s="43">
        <f>IF($I1466=0,0,MIN(SUMIFS(SondBetrag,SondDarl,4,SondDatum,"&gt;="&amp;$E1466,SondDatum,"&lt;="&amp;EOMONTH($E1466,0)),$J1466-$M1466))</f>
      </c>
      <c r="O1466" s="43">
        <f>IF($I1466=0,0,INDEX(DarlErsatzRate,4))</f>
      </c>
      <c r="P1466" s="43">
        <f>IF($I1466=0,0,$Q1465*INDEX(DarlErsatzZins,4))</f>
      </c>
      <c r="Q1466" s="43">
        <f>IF($I1466=0,0,$Q1465+$P1466+$O1466)</f>
      </c>
      <c r="R1466" s="43">
        <f>IF($I1466=0,0,$J1466-$M1466-$N1466)</f>
      </c>
    </row>
    <row r="1467">
      <c r="A1467"/>
      <c r="B1467">
        <v>4</v>
      </c>
      <c r="C1467" s="43">
        <f>INDEX(DarlObj,4)</f>
      </c>
      <c r="D1467">
        <v>24</v>
      </c>
      <c r="E1467" s="51">
        <f>IF(INDEX(DarlBelegt,4)=0,0,EOMONTH(INDEX(DarlAuszahlung,4),23)+1)</f>
      </c>
      <c r="F1467" s="43">
        <f>IF($E1467=0,0,YEAR($E1467))</f>
      </c>
      <c r="G1467" s="43">
        <f>IF(INDEX(DarlBindung,4)="",1,IF($E1467&lt;=INDEX(DarlBindung,4),1,0))</f>
      </c>
      <c r="H1467" s="43">
        <f>IF($G1467=1,INDEX(DarlSollzins,4),INDEX(DarlAnschluss,4))</f>
      </c>
      <c r="I1467" s="43">
        <f>IF(INDEX(DarlBelegt,4)=0,0,IF(INDEX(DarlOhneTilgung,4)=1,IF(INDEX(DarlBindung,4)="",1,$G1467),IF($J1467&gt;0.005,1,0)))</f>
      </c>
      <c r="J1467" s="43">
        <f>IF($I1466=0,0,$R1466)</f>
      </c>
      <c r="K1467" s="43">
        <f>IF($I1467=0,0,IF(INDEX(DarlOhneTilgung,4)=1,0,IF(AND(INDEX(DarlTilgStart,4)&gt;0,$E1467=INDEX(DarlTilgStart,4)),$J1467*($H1467+INDEX(DarlTilgung,4))/100/12,IF(AND($G1467=0,$G1466=1),MAX($K1466,$J1467*($H1467+1)/100/12),$K1466))))</f>
      </c>
      <c r="L1467" s="43">
        <f>IF($I1467=0,0,$J1467*$H1467/100/12)</f>
      </c>
      <c r="M1467" s="43">
        <f>IF($I1467=0,0,IF(OR(INDEX(DarlOhneTilgung,4)=1,AND(INDEX(DarlTilgStart,4)&gt;0,$E1467&lt;INDEX(DarlTilgStart,4))),0,MIN(MAX(0,$K1467-$L1467),$J1467)))</f>
      </c>
      <c r="N1467" s="43">
        <f>IF($I1467=0,0,MIN(SUMIFS(SondBetrag,SondDarl,4,SondDatum,"&gt;="&amp;$E1467,SondDatum,"&lt;="&amp;EOMONTH($E1467,0)),$J1467-$M1467))</f>
      </c>
      <c r="O1467" s="43">
        <f>IF($I1467=0,0,INDEX(DarlErsatzRate,4))</f>
      </c>
      <c r="P1467" s="43">
        <f>IF($I1467=0,0,$Q1466*INDEX(DarlErsatzZins,4))</f>
      </c>
      <c r="Q1467" s="43">
        <f>IF($I1467=0,0,$Q1466+$P1467+$O1467)</f>
      </c>
      <c r="R1467" s="43">
        <f>IF($I1467=0,0,$J1467-$M1467-$N1467)</f>
      </c>
    </row>
    <row r="1468">
      <c r="A1468"/>
      <c r="B1468">
        <v>4</v>
      </c>
      <c r="C1468" s="43">
        <f>INDEX(DarlObj,4)</f>
      </c>
      <c r="D1468">
        <v>25</v>
      </c>
      <c r="E1468" s="51">
        <f>IF(INDEX(DarlBelegt,4)=0,0,EOMONTH(INDEX(DarlAuszahlung,4),24)+1)</f>
      </c>
      <c r="F1468" s="43">
        <f>IF($E1468=0,0,YEAR($E1468))</f>
      </c>
      <c r="G1468" s="43">
        <f>IF(INDEX(DarlBindung,4)="",1,IF($E1468&lt;=INDEX(DarlBindung,4),1,0))</f>
      </c>
      <c r="H1468" s="43">
        <f>IF($G1468=1,INDEX(DarlSollzins,4),INDEX(DarlAnschluss,4))</f>
      </c>
      <c r="I1468" s="43">
        <f>IF(INDEX(DarlBelegt,4)=0,0,IF(INDEX(DarlOhneTilgung,4)=1,IF(INDEX(DarlBindung,4)="",1,$G1468),IF($J1468&gt;0.005,1,0)))</f>
      </c>
      <c r="J1468" s="43">
        <f>IF($I1467=0,0,$R1467)</f>
      </c>
      <c r="K1468" s="43">
        <f>IF($I1468=0,0,IF(INDEX(DarlOhneTilgung,4)=1,0,IF(AND(INDEX(DarlTilgStart,4)&gt;0,$E1468=INDEX(DarlTilgStart,4)),$J1468*($H1468+INDEX(DarlTilgung,4))/100/12,IF(AND($G1468=0,$G1467=1),MAX($K1467,$J1468*($H1468+1)/100/12),$K1467))))</f>
      </c>
      <c r="L1468" s="43">
        <f>IF($I1468=0,0,$J1468*$H1468/100/12)</f>
      </c>
      <c r="M1468" s="43">
        <f>IF($I1468=0,0,IF(OR(INDEX(DarlOhneTilgung,4)=1,AND(INDEX(DarlTilgStart,4)&gt;0,$E1468&lt;INDEX(DarlTilgStart,4))),0,MIN(MAX(0,$K1468-$L1468),$J1468)))</f>
      </c>
      <c r="N1468" s="43">
        <f>IF($I1468=0,0,MIN(SUMIFS(SondBetrag,SondDarl,4,SondDatum,"&gt;="&amp;$E1468,SondDatum,"&lt;="&amp;EOMONTH($E1468,0)),$J1468-$M1468))</f>
      </c>
      <c r="O1468" s="43">
        <f>IF($I1468=0,0,INDEX(DarlErsatzRate,4))</f>
      </c>
      <c r="P1468" s="43">
        <f>IF($I1468=0,0,$Q1467*INDEX(DarlErsatzZins,4))</f>
      </c>
      <c r="Q1468" s="43">
        <f>IF($I1468=0,0,$Q1467+$P1468+$O1468)</f>
      </c>
      <c r="R1468" s="43">
        <f>IF($I1468=0,0,$J1468-$M1468-$N1468)</f>
      </c>
    </row>
    <row r="1469">
      <c r="A1469"/>
      <c r="B1469">
        <v>4</v>
      </c>
      <c r="C1469" s="43">
        <f>INDEX(DarlObj,4)</f>
      </c>
      <c r="D1469">
        <v>26</v>
      </c>
      <c r="E1469" s="51">
        <f>IF(INDEX(DarlBelegt,4)=0,0,EOMONTH(INDEX(DarlAuszahlung,4),25)+1)</f>
      </c>
      <c r="F1469" s="43">
        <f>IF($E1469=0,0,YEAR($E1469))</f>
      </c>
      <c r="G1469" s="43">
        <f>IF(INDEX(DarlBindung,4)="",1,IF($E1469&lt;=INDEX(DarlBindung,4),1,0))</f>
      </c>
      <c r="H1469" s="43">
        <f>IF($G1469=1,INDEX(DarlSollzins,4),INDEX(DarlAnschluss,4))</f>
      </c>
      <c r="I1469" s="43">
        <f>IF(INDEX(DarlBelegt,4)=0,0,IF(INDEX(DarlOhneTilgung,4)=1,IF(INDEX(DarlBindung,4)="",1,$G1469),IF($J1469&gt;0.005,1,0)))</f>
      </c>
      <c r="J1469" s="43">
        <f>IF($I1468=0,0,$R1468)</f>
      </c>
      <c r="K1469" s="43">
        <f>IF($I1469=0,0,IF(INDEX(DarlOhneTilgung,4)=1,0,IF(AND(INDEX(DarlTilgStart,4)&gt;0,$E1469=INDEX(DarlTilgStart,4)),$J1469*($H1469+INDEX(DarlTilgung,4))/100/12,IF(AND($G1469=0,$G1468=1),MAX($K1468,$J1469*($H1469+1)/100/12),$K1468))))</f>
      </c>
      <c r="L1469" s="43">
        <f>IF($I1469=0,0,$J1469*$H1469/100/12)</f>
      </c>
      <c r="M1469" s="43">
        <f>IF($I1469=0,0,IF(OR(INDEX(DarlOhneTilgung,4)=1,AND(INDEX(DarlTilgStart,4)&gt;0,$E1469&lt;INDEX(DarlTilgStart,4))),0,MIN(MAX(0,$K1469-$L1469),$J1469)))</f>
      </c>
      <c r="N1469" s="43">
        <f>IF($I1469=0,0,MIN(SUMIFS(SondBetrag,SondDarl,4,SondDatum,"&gt;="&amp;$E1469,SondDatum,"&lt;="&amp;EOMONTH($E1469,0)),$J1469-$M1469))</f>
      </c>
      <c r="O1469" s="43">
        <f>IF($I1469=0,0,INDEX(DarlErsatzRate,4))</f>
      </c>
      <c r="P1469" s="43">
        <f>IF($I1469=0,0,$Q1468*INDEX(DarlErsatzZins,4))</f>
      </c>
      <c r="Q1469" s="43">
        <f>IF($I1469=0,0,$Q1468+$P1469+$O1469)</f>
      </c>
      <c r="R1469" s="43">
        <f>IF($I1469=0,0,$J1469-$M1469-$N1469)</f>
      </c>
    </row>
    <row r="1470">
      <c r="A1470"/>
      <c r="B1470">
        <v>4</v>
      </c>
      <c r="C1470" s="43">
        <f>INDEX(DarlObj,4)</f>
      </c>
      <c r="D1470">
        <v>27</v>
      </c>
      <c r="E1470" s="51">
        <f>IF(INDEX(DarlBelegt,4)=0,0,EOMONTH(INDEX(DarlAuszahlung,4),26)+1)</f>
      </c>
      <c r="F1470" s="43">
        <f>IF($E1470=0,0,YEAR($E1470))</f>
      </c>
      <c r="G1470" s="43">
        <f>IF(INDEX(DarlBindung,4)="",1,IF($E1470&lt;=INDEX(DarlBindung,4),1,0))</f>
      </c>
      <c r="H1470" s="43">
        <f>IF($G1470=1,INDEX(DarlSollzins,4),INDEX(DarlAnschluss,4))</f>
      </c>
      <c r="I1470" s="43">
        <f>IF(INDEX(DarlBelegt,4)=0,0,IF(INDEX(DarlOhneTilgung,4)=1,IF(INDEX(DarlBindung,4)="",1,$G1470),IF($J1470&gt;0.005,1,0)))</f>
      </c>
      <c r="J1470" s="43">
        <f>IF($I1469=0,0,$R1469)</f>
      </c>
      <c r="K1470" s="43">
        <f>IF($I1470=0,0,IF(INDEX(DarlOhneTilgung,4)=1,0,IF(AND(INDEX(DarlTilgStart,4)&gt;0,$E1470=INDEX(DarlTilgStart,4)),$J1470*($H1470+INDEX(DarlTilgung,4))/100/12,IF(AND($G1470=0,$G1469=1),MAX($K1469,$J1470*($H1470+1)/100/12),$K1469))))</f>
      </c>
      <c r="L1470" s="43">
        <f>IF($I1470=0,0,$J1470*$H1470/100/12)</f>
      </c>
      <c r="M1470" s="43">
        <f>IF($I1470=0,0,IF(OR(INDEX(DarlOhneTilgung,4)=1,AND(INDEX(DarlTilgStart,4)&gt;0,$E1470&lt;INDEX(DarlTilgStart,4))),0,MIN(MAX(0,$K1470-$L1470),$J1470)))</f>
      </c>
      <c r="N1470" s="43">
        <f>IF($I1470=0,0,MIN(SUMIFS(SondBetrag,SondDarl,4,SondDatum,"&gt;="&amp;$E1470,SondDatum,"&lt;="&amp;EOMONTH($E1470,0)),$J1470-$M1470))</f>
      </c>
      <c r="O1470" s="43">
        <f>IF($I1470=0,0,INDEX(DarlErsatzRate,4))</f>
      </c>
      <c r="P1470" s="43">
        <f>IF($I1470=0,0,$Q1469*INDEX(DarlErsatzZins,4))</f>
      </c>
      <c r="Q1470" s="43">
        <f>IF($I1470=0,0,$Q1469+$P1470+$O1470)</f>
      </c>
      <c r="R1470" s="43">
        <f>IF($I1470=0,0,$J1470-$M1470-$N1470)</f>
      </c>
    </row>
    <row r="1471">
      <c r="A1471"/>
      <c r="B1471">
        <v>4</v>
      </c>
      <c r="C1471" s="43">
        <f>INDEX(DarlObj,4)</f>
      </c>
      <c r="D1471">
        <v>28</v>
      </c>
      <c r="E1471" s="51">
        <f>IF(INDEX(DarlBelegt,4)=0,0,EOMONTH(INDEX(DarlAuszahlung,4),27)+1)</f>
      </c>
      <c r="F1471" s="43">
        <f>IF($E1471=0,0,YEAR($E1471))</f>
      </c>
      <c r="G1471" s="43">
        <f>IF(INDEX(DarlBindung,4)="",1,IF($E1471&lt;=INDEX(DarlBindung,4),1,0))</f>
      </c>
      <c r="H1471" s="43">
        <f>IF($G1471=1,INDEX(DarlSollzins,4),INDEX(DarlAnschluss,4))</f>
      </c>
      <c r="I1471" s="43">
        <f>IF(INDEX(DarlBelegt,4)=0,0,IF(INDEX(DarlOhneTilgung,4)=1,IF(INDEX(DarlBindung,4)="",1,$G1471),IF($J1471&gt;0.005,1,0)))</f>
      </c>
      <c r="J1471" s="43">
        <f>IF($I1470=0,0,$R1470)</f>
      </c>
      <c r="K1471" s="43">
        <f>IF($I1471=0,0,IF(INDEX(DarlOhneTilgung,4)=1,0,IF(AND(INDEX(DarlTilgStart,4)&gt;0,$E1471=INDEX(DarlTilgStart,4)),$J1471*($H1471+INDEX(DarlTilgung,4))/100/12,IF(AND($G1471=0,$G1470=1),MAX($K1470,$J1471*($H1471+1)/100/12),$K1470))))</f>
      </c>
      <c r="L1471" s="43">
        <f>IF($I1471=0,0,$J1471*$H1471/100/12)</f>
      </c>
      <c r="M1471" s="43">
        <f>IF($I1471=0,0,IF(OR(INDEX(DarlOhneTilgung,4)=1,AND(INDEX(DarlTilgStart,4)&gt;0,$E1471&lt;INDEX(DarlTilgStart,4))),0,MIN(MAX(0,$K1471-$L1471),$J1471)))</f>
      </c>
      <c r="N1471" s="43">
        <f>IF($I1471=0,0,MIN(SUMIFS(SondBetrag,SondDarl,4,SondDatum,"&gt;="&amp;$E1471,SondDatum,"&lt;="&amp;EOMONTH($E1471,0)),$J1471-$M1471))</f>
      </c>
      <c r="O1471" s="43">
        <f>IF($I1471=0,0,INDEX(DarlErsatzRate,4))</f>
      </c>
      <c r="P1471" s="43">
        <f>IF($I1471=0,0,$Q1470*INDEX(DarlErsatzZins,4))</f>
      </c>
      <c r="Q1471" s="43">
        <f>IF($I1471=0,0,$Q1470+$P1471+$O1471)</f>
      </c>
      <c r="R1471" s="43">
        <f>IF($I1471=0,0,$J1471-$M1471-$N1471)</f>
      </c>
    </row>
    <row r="1472">
      <c r="A1472"/>
      <c r="B1472">
        <v>4</v>
      </c>
      <c r="C1472" s="43">
        <f>INDEX(DarlObj,4)</f>
      </c>
      <c r="D1472">
        <v>29</v>
      </c>
      <c r="E1472" s="51">
        <f>IF(INDEX(DarlBelegt,4)=0,0,EOMONTH(INDEX(DarlAuszahlung,4),28)+1)</f>
      </c>
      <c r="F1472" s="43">
        <f>IF($E1472=0,0,YEAR($E1472))</f>
      </c>
      <c r="G1472" s="43">
        <f>IF(INDEX(DarlBindung,4)="",1,IF($E1472&lt;=INDEX(DarlBindung,4),1,0))</f>
      </c>
      <c r="H1472" s="43">
        <f>IF($G1472=1,INDEX(DarlSollzins,4),INDEX(DarlAnschluss,4))</f>
      </c>
      <c r="I1472" s="43">
        <f>IF(INDEX(DarlBelegt,4)=0,0,IF(INDEX(DarlOhneTilgung,4)=1,IF(INDEX(DarlBindung,4)="",1,$G1472),IF($J1472&gt;0.005,1,0)))</f>
      </c>
      <c r="J1472" s="43">
        <f>IF($I1471=0,0,$R1471)</f>
      </c>
      <c r="K1472" s="43">
        <f>IF($I1472=0,0,IF(INDEX(DarlOhneTilgung,4)=1,0,IF(AND(INDEX(DarlTilgStart,4)&gt;0,$E1472=INDEX(DarlTilgStart,4)),$J1472*($H1472+INDEX(DarlTilgung,4))/100/12,IF(AND($G1472=0,$G1471=1),MAX($K1471,$J1472*($H1472+1)/100/12),$K1471))))</f>
      </c>
      <c r="L1472" s="43">
        <f>IF($I1472=0,0,$J1472*$H1472/100/12)</f>
      </c>
      <c r="M1472" s="43">
        <f>IF($I1472=0,0,IF(OR(INDEX(DarlOhneTilgung,4)=1,AND(INDEX(DarlTilgStart,4)&gt;0,$E1472&lt;INDEX(DarlTilgStart,4))),0,MIN(MAX(0,$K1472-$L1472),$J1472)))</f>
      </c>
      <c r="N1472" s="43">
        <f>IF($I1472=0,0,MIN(SUMIFS(SondBetrag,SondDarl,4,SondDatum,"&gt;="&amp;$E1472,SondDatum,"&lt;="&amp;EOMONTH($E1472,0)),$J1472-$M1472))</f>
      </c>
      <c r="O1472" s="43">
        <f>IF($I1472=0,0,INDEX(DarlErsatzRate,4))</f>
      </c>
      <c r="P1472" s="43">
        <f>IF($I1472=0,0,$Q1471*INDEX(DarlErsatzZins,4))</f>
      </c>
      <c r="Q1472" s="43">
        <f>IF($I1472=0,0,$Q1471+$P1472+$O1472)</f>
      </c>
      <c r="R1472" s="43">
        <f>IF($I1472=0,0,$J1472-$M1472-$N1472)</f>
      </c>
    </row>
    <row r="1473">
      <c r="A1473"/>
      <c r="B1473">
        <v>4</v>
      </c>
      <c r="C1473" s="43">
        <f>INDEX(DarlObj,4)</f>
      </c>
      <c r="D1473">
        <v>30</v>
      </c>
      <c r="E1473" s="51">
        <f>IF(INDEX(DarlBelegt,4)=0,0,EOMONTH(INDEX(DarlAuszahlung,4),29)+1)</f>
      </c>
      <c r="F1473" s="43">
        <f>IF($E1473=0,0,YEAR($E1473))</f>
      </c>
      <c r="G1473" s="43">
        <f>IF(INDEX(DarlBindung,4)="",1,IF($E1473&lt;=INDEX(DarlBindung,4),1,0))</f>
      </c>
      <c r="H1473" s="43">
        <f>IF($G1473=1,INDEX(DarlSollzins,4),INDEX(DarlAnschluss,4))</f>
      </c>
      <c r="I1473" s="43">
        <f>IF(INDEX(DarlBelegt,4)=0,0,IF(INDEX(DarlOhneTilgung,4)=1,IF(INDEX(DarlBindung,4)="",1,$G1473),IF($J1473&gt;0.005,1,0)))</f>
      </c>
      <c r="J1473" s="43">
        <f>IF($I1472=0,0,$R1472)</f>
      </c>
      <c r="K1473" s="43">
        <f>IF($I1473=0,0,IF(INDEX(DarlOhneTilgung,4)=1,0,IF(AND(INDEX(DarlTilgStart,4)&gt;0,$E1473=INDEX(DarlTilgStart,4)),$J1473*($H1473+INDEX(DarlTilgung,4))/100/12,IF(AND($G1473=0,$G1472=1),MAX($K1472,$J1473*($H1473+1)/100/12),$K1472))))</f>
      </c>
      <c r="L1473" s="43">
        <f>IF($I1473=0,0,$J1473*$H1473/100/12)</f>
      </c>
      <c r="M1473" s="43">
        <f>IF($I1473=0,0,IF(OR(INDEX(DarlOhneTilgung,4)=1,AND(INDEX(DarlTilgStart,4)&gt;0,$E1473&lt;INDEX(DarlTilgStart,4))),0,MIN(MAX(0,$K1473-$L1473),$J1473)))</f>
      </c>
      <c r="N1473" s="43">
        <f>IF($I1473=0,0,MIN(SUMIFS(SondBetrag,SondDarl,4,SondDatum,"&gt;="&amp;$E1473,SondDatum,"&lt;="&amp;EOMONTH($E1473,0)),$J1473-$M1473))</f>
      </c>
      <c r="O1473" s="43">
        <f>IF($I1473=0,0,INDEX(DarlErsatzRate,4))</f>
      </c>
      <c r="P1473" s="43">
        <f>IF($I1473=0,0,$Q1472*INDEX(DarlErsatzZins,4))</f>
      </c>
      <c r="Q1473" s="43">
        <f>IF($I1473=0,0,$Q1472+$P1473+$O1473)</f>
      </c>
      <c r="R1473" s="43">
        <f>IF($I1473=0,0,$J1473-$M1473-$N1473)</f>
      </c>
    </row>
    <row r="1474">
      <c r="A1474"/>
      <c r="B1474">
        <v>4</v>
      </c>
      <c r="C1474" s="43">
        <f>INDEX(DarlObj,4)</f>
      </c>
      <c r="D1474">
        <v>31</v>
      </c>
      <c r="E1474" s="51">
        <f>IF(INDEX(DarlBelegt,4)=0,0,EOMONTH(INDEX(DarlAuszahlung,4),30)+1)</f>
      </c>
      <c r="F1474" s="43">
        <f>IF($E1474=0,0,YEAR($E1474))</f>
      </c>
      <c r="G1474" s="43">
        <f>IF(INDEX(DarlBindung,4)="",1,IF($E1474&lt;=INDEX(DarlBindung,4),1,0))</f>
      </c>
      <c r="H1474" s="43">
        <f>IF($G1474=1,INDEX(DarlSollzins,4),INDEX(DarlAnschluss,4))</f>
      </c>
      <c r="I1474" s="43">
        <f>IF(INDEX(DarlBelegt,4)=0,0,IF(INDEX(DarlOhneTilgung,4)=1,IF(INDEX(DarlBindung,4)="",1,$G1474),IF($J1474&gt;0.005,1,0)))</f>
      </c>
      <c r="J1474" s="43">
        <f>IF($I1473=0,0,$R1473)</f>
      </c>
      <c r="K1474" s="43">
        <f>IF($I1474=0,0,IF(INDEX(DarlOhneTilgung,4)=1,0,IF(AND(INDEX(DarlTilgStart,4)&gt;0,$E1474=INDEX(DarlTilgStart,4)),$J1474*($H1474+INDEX(DarlTilgung,4))/100/12,IF(AND($G1474=0,$G1473=1),MAX($K1473,$J1474*($H1474+1)/100/12),$K1473))))</f>
      </c>
      <c r="L1474" s="43">
        <f>IF($I1474=0,0,$J1474*$H1474/100/12)</f>
      </c>
      <c r="M1474" s="43">
        <f>IF($I1474=0,0,IF(OR(INDEX(DarlOhneTilgung,4)=1,AND(INDEX(DarlTilgStart,4)&gt;0,$E1474&lt;INDEX(DarlTilgStart,4))),0,MIN(MAX(0,$K1474-$L1474),$J1474)))</f>
      </c>
      <c r="N1474" s="43">
        <f>IF($I1474=0,0,MIN(SUMIFS(SondBetrag,SondDarl,4,SondDatum,"&gt;="&amp;$E1474,SondDatum,"&lt;="&amp;EOMONTH($E1474,0)),$J1474-$M1474))</f>
      </c>
      <c r="O1474" s="43">
        <f>IF($I1474=0,0,INDEX(DarlErsatzRate,4))</f>
      </c>
      <c r="P1474" s="43">
        <f>IF($I1474=0,0,$Q1473*INDEX(DarlErsatzZins,4))</f>
      </c>
      <c r="Q1474" s="43">
        <f>IF($I1474=0,0,$Q1473+$P1474+$O1474)</f>
      </c>
      <c r="R1474" s="43">
        <f>IF($I1474=0,0,$J1474-$M1474-$N1474)</f>
      </c>
    </row>
    <row r="1475">
      <c r="A1475"/>
      <c r="B1475">
        <v>4</v>
      </c>
      <c r="C1475" s="43">
        <f>INDEX(DarlObj,4)</f>
      </c>
      <c r="D1475">
        <v>32</v>
      </c>
      <c r="E1475" s="51">
        <f>IF(INDEX(DarlBelegt,4)=0,0,EOMONTH(INDEX(DarlAuszahlung,4),31)+1)</f>
      </c>
      <c r="F1475" s="43">
        <f>IF($E1475=0,0,YEAR($E1475))</f>
      </c>
      <c r="G1475" s="43">
        <f>IF(INDEX(DarlBindung,4)="",1,IF($E1475&lt;=INDEX(DarlBindung,4),1,0))</f>
      </c>
      <c r="H1475" s="43">
        <f>IF($G1475=1,INDEX(DarlSollzins,4),INDEX(DarlAnschluss,4))</f>
      </c>
      <c r="I1475" s="43">
        <f>IF(INDEX(DarlBelegt,4)=0,0,IF(INDEX(DarlOhneTilgung,4)=1,IF(INDEX(DarlBindung,4)="",1,$G1475),IF($J1475&gt;0.005,1,0)))</f>
      </c>
      <c r="J1475" s="43">
        <f>IF($I1474=0,0,$R1474)</f>
      </c>
      <c r="K1475" s="43">
        <f>IF($I1475=0,0,IF(INDEX(DarlOhneTilgung,4)=1,0,IF(AND(INDEX(DarlTilgStart,4)&gt;0,$E1475=INDEX(DarlTilgStart,4)),$J1475*($H1475+INDEX(DarlTilgung,4))/100/12,IF(AND($G1475=0,$G1474=1),MAX($K1474,$J1475*($H1475+1)/100/12),$K1474))))</f>
      </c>
      <c r="L1475" s="43">
        <f>IF($I1475=0,0,$J1475*$H1475/100/12)</f>
      </c>
      <c r="M1475" s="43">
        <f>IF($I1475=0,0,IF(OR(INDEX(DarlOhneTilgung,4)=1,AND(INDEX(DarlTilgStart,4)&gt;0,$E1475&lt;INDEX(DarlTilgStart,4))),0,MIN(MAX(0,$K1475-$L1475),$J1475)))</f>
      </c>
      <c r="N1475" s="43">
        <f>IF($I1475=0,0,MIN(SUMIFS(SondBetrag,SondDarl,4,SondDatum,"&gt;="&amp;$E1475,SondDatum,"&lt;="&amp;EOMONTH($E1475,0)),$J1475-$M1475))</f>
      </c>
      <c r="O1475" s="43">
        <f>IF($I1475=0,0,INDEX(DarlErsatzRate,4))</f>
      </c>
      <c r="P1475" s="43">
        <f>IF($I1475=0,0,$Q1474*INDEX(DarlErsatzZins,4))</f>
      </c>
      <c r="Q1475" s="43">
        <f>IF($I1475=0,0,$Q1474+$P1475+$O1475)</f>
      </c>
      <c r="R1475" s="43">
        <f>IF($I1475=0,0,$J1475-$M1475-$N1475)</f>
      </c>
    </row>
    <row r="1476">
      <c r="A1476"/>
      <c r="B1476">
        <v>4</v>
      </c>
      <c r="C1476" s="43">
        <f>INDEX(DarlObj,4)</f>
      </c>
      <c r="D1476">
        <v>33</v>
      </c>
      <c r="E1476" s="51">
        <f>IF(INDEX(DarlBelegt,4)=0,0,EOMONTH(INDEX(DarlAuszahlung,4),32)+1)</f>
      </c>
      <c r="F1476" s="43">
        <f>IF($E1476=0,0,YEAR($E1476))</f>
      </c>
      <c r="G1476" s="43">
        <f>IF(INDEX(DarlBindung,4)="",1,IF($E1476&lt;=INDEX(DarlBindung,4),1,0))</f>
      </c>
      <c r="H1476" s="43">
        <f>IF($G1476=1,INDEX(DarlSollzins,4),INDEX(DarlAnschluss,4))</f>
      </c>
      <c r="I1476" s="43">
        <f>IF(INDEX(DarlBelegt,4)=0,0,IF(INDEX(DarlOhneTilgung,4)=1,IF(INDEX(DarlBindung,4)="",1,$G1476),IF($J1476&gt;0.005,1,0)))</f>
      </c>
      <c r="J1476" s="43">
        <f>IF($I1475=0,0,$R1475)</f>
      </c>
      <c r="K1476" s="43">
        <f>IF($I1476=0,0,IF(INDEX(DarlOhneTilgung,4)=1,0,IF(AND(INDEX(DarlTilgStart,4)&gt;0,$E1476=INDEX(DarlTilgStart,4)),$J1476*($H1476+INDEX(DarlTilgung,4))/100/12,IF(AND($G1476=0,$G1475=1),MAX($K1475,$J1476*($H1476+1)/100/12),$K1475))))</f>
      </c>
      <c r="L1476" s="43">
        <f>IF($I1476=0,0,$J1476*$H1476/100/12)</f>
      </c>
      <c r="M1476" s="43">
        <f>IF($I1476=0,0,IF(OR(INDEX(DarlOhneTilgung,4)=1,AND(INDEX(DarlTilgStart,4)&gt;0,$E1476&lt;INDEX(DarlTilgStart,4))),0,MIN(MAX(0,$K1476-$L1476),$J1476)))</f>
      </c>
      <c r="N1476" s="43">
        <f>IF($I1476=0,0,MIN(SUMIFS(SondBetrag,SondDarl,4,SondDatum,"&gt;="&amp;$E1476,SondDatum,"&lt;="&amp;EOMONTH($E1476,0)),$J1476-$M1476))</f>
      </c>
      <c r="O1476" s="43">
        <f>IF($I1476=0,0,INDEX(DarlErsatzRate,4))</f>
      </c>
      <c r="P1476" s="43">
        <f>IF($I1476=0,0,$Q1475*INDEX(DarlErsatzZins,4))</f>
      </c>
      <c r="Q1476" s="43">
        <f>IF($I1476=0,0,$Q1475+$P1476+$O1476)</f>
      </c>
      <c r="R1476" s="43">
        <f>IF($I1476=0,0,$J1476-$M1476-$N1476)</f>
      </c>
    </row>
    <row r="1477">
      <c r="A1477"/>
      <c r="B1477">
        <v>4</v>
      </c>
      <c r="C1477" s="43">
        <f>INDEX(DarlObj,4)</f>
      </c>
      <c r="D1477">
        <v>34</v>
      </c>
      <c r="E1477" s="51">
        <f>IF(INDEX(DarlBelegt,4)=0,0,EOMONTH(INDEX(DarlAuszahlung,4),33)+1)</f>
      </c>
      <c r="F1477" s="43">
        <f>IF($E1477=0,0,YEAR($E1477))</f>
      </c>
      <c r="G1477" s="43">
        <f>IF(INDEX(DarlBindung,4)="",1,IF($E1477&lt;=INDEX(DarlBindung,4),1,0))</f>
      </c>
      <c r="H1477" s="43">
        <f>IF($G1477=1,INDEX(DarlSollzins,4),INDEX(DarlAnschluss,4))</f>
      </c>
      <c r="I1477" s="43">
        <f>IF(INDEX(DarlBelegt,4)=0,0,IF(INDEX(DarlOhneTilgung,4)=1,IF(INDEX(DarlBindung,4)="",1,$G1477),IF($J1477&gt;0.005,1,0)))</f>
      </c>
      <c r="J1477" s="43">
        <f>IF($I1476=0,0,$R1476)</f>
      </c>
      <c r="K1477" s="43">
        <f>IF($I1477=0,0,IF(INDEX(DarlOhneTilgung,4)=1,0,IF(AND(INDEX(DarlTilgStart,4)&gt;0,$E1477=INDEX(DarlTilgStart,4)),$J1477*($H1477+INDEX(DarlTilgung,4))/100/12,IF(AND($G1477=0,$G1476=1),MAX($K1476,$J1477*($H1477+1)/100/12),$K1476))))</f>
      </c>
      <c r="L1477" s="43">
        <f>IF($I1477=0,0,$J1477*$H1477/100/12)</f>
      </c>
      <c r="M1477" s="43">
        <f>IF($I1477=0,0,IF(OR(INDEX(DarlOhneTilgung,4)=1,AND(INDEX(DarlTilgStart,4)&gt;0,$E1477&lt;INDEX(DarlTilgStart,4))),0,MIN(MAX(0,$K1477-$L1477),$J1477)))</f>
      </c>
      <c r="N1477" s="43">
        <f>IF($I1477=0,0,MIN(SUMIFS(SondBetrag,SondDarl,4,SondDatum,"&gt;="&amp;$E1477,SondDatum,"&lt;="&amp;EOMONTH($E1477,0)),$J1477-$M1477))</f>
      </c>
      <c r="O1477" s="43">
        <f>IF($I1477=0,0,INDEX(DarlErsatzRate,4))</f>
      </c>
      <c r="P1477" s="43">
        <f>IF($I1477=0,0,$Q1476*INDEX(DarlErsatzZins,4))</f>
      </c>
      <c r="Q1477" s="43">
        <f>IF($I1477=0,0,$Q1476+$P1477+$O1477)</f>
      </c>
      <c r="R1477" s="43">
        <f>IF($I1477=0,0,$J1477-$M1477-$N1477)</f>
      </c>
    </row>
    <row r="1478">
      <c r="A1478"/>
      <c r="B1478">
        <v>4</v>
      </c>
      <c r="C1478" s="43">
        <f>INDEX(DarlObj,4)</f>
      </c>
      <c r="D1478">
        <v>35</v>
      </c>
      <c r="E1478" s="51">
        <f>IF(INDEX(DarlBelegt,4)=0,0,EOMONTH(INDEX(DarlAuszahlung,4),34)+1)</f>
      </c>
      <c r="F1478" s="43">
        <f>IF($E1478=0,0,YEAR($E1478))</f>
      </c>
      <c r="G1478" s="43">
        <f>IF(INDEX(DarlBindung,4)="",1,IF($E1478&lt;=INDEX(DarlBindung,4),1,0))</f>
      </c>
      <c r="H1478" s="43">
        <f>IF($G1478=1,INDEX(DarlSollzins,4),INDEX(DarlAnschluss,4))</f>
      </c>
      <c r="I1478" s="43">
        <f>IF(INDEX(DarlBelegt,4)=0,0,IF(INDEX(DarlOhneTilgung,4)=1,IF(INDEX(DarlBindung,4)="",1,$G1478),IF($J1478&gt;0.005,1,0)))</f>
      </c>
      <c r="J1478" s="43">
        <f>IF($I1477=0,0,$R1477)</f>
      </c>
      <c r="K1478" s="43">
        <f>IF($I1478=0,0,IF(INDEX(DarlOhneTilgung,4)=1,0,IF(AND(INDEX(DarlTilgStart,4)&gt;0,$E1478=INDEX(DarlTilgStart,4)),$J1478*($H1478+INDEX(DarlTilgung,4))/100/12,IF(AND($G1478=0,$G1477=1),MAX($K1477,$J1478*($H1478+1)/100/12),$K1477))))</f>
      </c>
      <c r="L1478" s="43">
        <f>IF($I1478=0,0,$J1478*$H1478/100/12)</f>
      </c>
      <c r="M1478" s="43">
        <f>IF($I1478=0,0,IF(OR(INDEX(DarlOhneTilgung,4)=1,AND(INDEX(DarlTilgStart,4)&gt;0,$E1478&lt;INDEX(DarlTilgStart,4))),0,MIN(MAX(0,$K1478-$L1478),$J1478)))</f>
      </c>
      <c r="N1478" s="43">
        <f>IF($I1478=0,0,MIN(SUMIFS(SondBetrag,SondDarl,4,SondDatum,"&gt;="&amp;$E1478,SondDatum,"&lt;="&amp;EOMONTH($E1478,0)),$J1478-$M1478))</f>
      </c>
      <c r="O1478" s="43">
        <f>IF($I1478=0,0,INDEX(DarlErsatzRate,4))</f>
      </c>
      <c r="P1478" s="43">
        <f>IF($I1478=0,0,$Q1477*INDEX(DarlErsatzZins,4))</f>
      </c>
      <c r="Q1478" s="43">
        <f>IF($I1478=0,0,$Q1477+$P1478+$O1478)</f>
      </c>
      <c r="R1478" s="43">
        <f>IF($I1478=0,0,$J1478-$M1478-$N1478)</f>
      </c>
    </row>
    <row r="1479">
      <c r="A1479"/>
      <c r="B1479">
        <v>4</v>
      </c>
      <c r="C1479" s="43">
        <f>INDEX(DarlObj,4)</f>
      </c>
      <c r="D1479">
        <v>36</v>
      </c>
      <c r="E1479" s="51">
        <f>IF(INDEX(DarlBelegt,4)=0,0,EOMONTH(INDEX(DarlAuszahlung,4),35)+1)</f>
      </c>
      <c r="F1479" s="43">
        <f>IF($E1479=0,0,YEAR($E1479))</f>
      </c>
      <c r="G1479" s="43">
        <f>IF(INDEX(DarlBindung,4)="",1,IF($E1479&lt;=INDEX(DarlBindung,4),1,0))</f>
      </c>
      <c r="H1479" s="43">
        <f>IF($G1479=1,INDEX(DarlSollzins,4),INDEX(DarlAnschluss,4))</f>
      </c>
      <c r="I1479" s="43">
        <f>IF(INDEX(DarlBelegt,4)=0,0,IF(INDEX(DarlOhneTilgung,4)=1,IF(INDEX(DarlBindung,4)="",1,$G1479),IF($J1479&gt;0.005,1,0)))</f>
      </c>
      <c r="J1479" s="43">
        <f>IF($I1478=0,0,$R1478)</f>
      </c>
      <c r="K1479" s="43">
        <f>IF($I1479=0,0,IF(INDEX(DarlOhneTilgung,4)=1,0,IF(AND(INDEX(DarlTilgStart,4)&gt;0,$E1479=INDEX(DarlTilgStart,4)),$J1479*($H1479+INDEX(DarlTilgung,4))/100/12,IF(AND($G1479=0,$G1478=1),MAX($K1478,$J1479*($H1479+1)/100/12),$K1478))))</f>
      </c>
      <c r="L1479" s="43">
        <f>IF($I1479=0,0,$J1479*$H1479/100/12)</f>
      </c>
      <c r="M1479" s="43">
        <f>IF($I1479=0,0,IF(OR(INDEX(DarlOhneTilgung,4)=1,AND(INDEX(DarlTilgStart,4)&gt;0,$E1479&lt;INDEX(DarlTilgStart,4))),0,MIN(MAX(0,$K1479-$L1479),$J1479)))</f>
      </c>
      <c r="N1479" s="43">
        <f>IF($I1479=0,0,MIN(SUMIFS(SondBetrag,SondDarl,4,SondDatum,"&gt;="&amp;$E1479,SondDatum,"&lt;="&amp;EOMONTH($E1479,0)),$J1479-$M1479))</f>
      </c>
      <c r="O1479" s="43">
        <f>IF($I1479=0,0,INDEX(DarlErsatzRate,4))</f>
      </c>
      <c r="P1479" s="43">
        <f>IF($I1479=0,0,$Q1478*INDEX(DarlErsatzZins,4))</f>
      </c>
      <c r="Q1479" s="43">
        <f>IF($I1479=0,0,$Q1478+$P1479+$O1479)</f>
      </c>
      <c r="R1479" s="43">
        <f>IF($I1479=0,0,$J1479-$M1479-$N1479)</f>
      </c>
    </row>
    <row r="1480">
      <c r="A1480"/>
      <c r="B1480">
        <v>4</v>
      </c>
      <c r="C1480" s="43">
        <f>INDEX(DarlObj,4)</f>
      </c>
      <c r="D1480">
        <v>37</v>
      </c>
      <c r="E1480" s="51">
        <f>IF(INDEX(DarlBelegt,4)=0,0,EOMONTH(INDEX(DarlAuszahlung,4),36)+1)</f>
      </c>
      <c r="F1480" s="43">
        <f>IF($E1480=0,0,YEAR($E1480))</f>
      </c>
      <c r="G1480" s="43">
        <f>IF(INDEX(DarlBindung,4)="",1,IF($E1480&lt;=INDEX(DarlBindung,4),1,0))</f>
      </c>
      <c r="H1480" s="43">
        <f>IF($G1480=1,INDEX(DarlSollzins,4),INDEX(DarlAnschluss,4))</f>
      </c>
      <c r="I1480" s="43">
        <f>IF(INDEX(DarlBelegt,4)=0,0,IF(INDEX(DarlOhneTilgung,4)=1,IF(INDEX(DarlBindung,4)="",1,$G1480),IF($J1480&gt;0.005,1,0)))</f>
      </c>
      <c r="J1480" s="43">
        <f>IF($I1479=0,0,$R1479)</f>
      </c>
      <c r="K1480" s="43">
        <f>IF($I1480=0,0,IF(INDEX(DarlOhneTilgung,4)=1,0,IF(AND(INDEX(DarlTilgStart,4)&gt;0,$E1480=INDEX(DarlTilgStart,4)),$J1480*($H1480+INDEX(DarlTilgung,4))/100/12,IF(AND($G1480=0,$G1479=1),MAX($K1479,$J1480*($H1480+1)/100/12),$K1479))))</f>
      </c>
      <c r="L1480" s="43">
        <f>IF($I1480=0,0,$J1480*$H1480/100/12)</f>
      </c>
      <c r="M1480" s="43">
        <f>IF($I1480=0,0,IF(OR(INDEX(DarlOhneTilgung,4)=1,AND(INDEX(DarlTilgStart,4)&gt;0,$E1480&lt;INDEX(DarlTilgStart,4))),0,MIN(MAX(0,$K1480-$L1480),$J1480)))</f>
      </c>
      <c r="N1480" s="43">
        <f>IF($I1480=0,0,MIN(SUMIFS(SondBetrag,SondDarl,4,SondDatum,"&gt;="&amp;$E1480,SondDatum,"&lt;="&amp;EOMONTH($E1480,0)),$J1480-$M1480))</f>
      </c>
      <c r="O1480" s="43">
        <f>IF($I1480=0,0,INDEX(DarlErsatzRate,4))</f>
      </c>
      <c r="P1480" s="43">
        <f>IF($I1480=0,0,$Q1479*INDEX(DarlErsatzZins,4))</f>
      </c>
      <c r="Q1480" s="43">
        <f>IF($I1480=0,0,$Q1479+$P1480+$O1480)</f>
      </c>
      <c r="R1480" s="43">
        <f>IF($I1480=0,0,$J1480-$M1480-$N1480)</f>
      </c>
    </row>
    <row r="1481">
      <c r="A1481"/>
      <c r="B1481">
        <v>4</v>
      </c>
      <c r="C1481" s="43">
        <f>INDEX(DarlObj,4)</f>
      </c>
      <c r="D1481">
        <v>38</v>
      </c>
      <c r="E1481" s="51">
        <f>IF(INDEX(DarlBelegt,4)=0,0,EOMONTH(INDEX(DarlAuszahlung,4),37)+1)</f>
      </c>
      <c r="F1481" s="43">
        <f>IF($E1481=0,0,YEAR($E1481))</f>
      </c>
      <c r="G1481" s="43">
        <f>IF(INDEX(DarlBindung,4)="",1,IF($E1481&lt;=INDEX(DarlBindung,4),1,0))</f>
      </c>
      <c r="H1481" s="43">
        <f>IF($G1481=1,INDEX(DarlSollzins,4),INDEX(DarlAnschluss,4))</f>
      </c>
      <c r="I1481" s="43">
        <f>IF(INDEX(DarlBelegt,4)=0,0,IF(INDEX(DarlOhneTilgung,4)=1,IF(INDEX(DarlBindung,4)="",1,$G1481),IF($J1481&gt;0.005,1,0)))</f>
      </c>
      <c r="J1481" s="43">
        <f>IF($I1480=0,0,$R1480)</f>
      </c>
      <c r="K1481" s="43">
        <f>IF($I1481=0,0,IF(INDEX(DarlOhneTilgung,4)=1,0,IF(AND(INDEX(DarlTilgStart,4)&gt;0,$E1481=INDEX(DarlTilgStart,4)),$J1481*($H1481+INDEX(DarlTilgung,4))/100/12,IF(AND($G1481=0,$G1480=1),MAX($K1480,$J1481*($H1481+1)/100/12),$K1480))))</f>
      </c>
      <c r="L1481" s="43">
        <f>IF($I1481=0,0,$J1481*$H1481/100/12)</f>
      </c>
      <c r="M1481" s="43">
        <f>IF($I1481=0,0,IF(OR(INDEX(DarlOhneTilgung,4)=1,AND(INDEX(DarlTilgStart,4)&gt;0,$E1481&lt;INDEX(DarlTilgStart,4))),0,MIN(MAX(0,$K1481-$L1481),$J1481)))</f>
      </c>
      <c r="N1481" s="43">
        <f>IF($I1481=0,0,MIN(SUMIFS(SondBetrag,SondDarl,4,SondDatum,"&gt;="&amp;$E1481,SondDatum,"&lt;="&amp;EOMONTH($E1481,0)),$J1481-$M1481))</f>
      </c>
      <c r="O1481" s="43">
        <f>IF($I1481=0,0,INDEX(DarlErsatzRate,4))</f>
      </c>
      <c r="P1481" s="43">
        <f>IF($I1481=0,0,$Q1480*INDEX(DarlErsatzZins,4))</f>
      </c>
      <c r="Q1481" s="43">
        <f>IF($I1481=0,0,$Q1480+$P1481+$O1481)</f>
      </c>
      <c r="R1481" s="43">
        <f>IF($I1481=0,0,$J1481-$M1481-$N1481)</f>
      </c>
    </row>
    <row r="1482">
      <c r="A1482"/>
      <c r="B1482">
        <v>4</v>
      </c>
      <c r="C1482" s="43">
        <f>INDEX(DarlObj,4)</f>
      </c>
      <c r="D1482">
        <v>39</v>
      </c>
      <c r="E1482" s="51">
        <f>IF(INDEX(DarlBelegt,4)=0,0,EOMONTH(INDEX(DarlAuszahlung,4),38)+1)</f>
      </c>
      <c r="F1482" s="43">
        <f>IF($E1482=0,0,YEAR($E1482))</f>
      </c>
      <c r="G1482" s="43">
        <f>IF(INDEX(DarlBindung,4)="",1,IF($E1482&lt;=INDEX(DarlBindung,4),1,0))</f>
      </c>
      <c r="H1482" s="43">
        <f>IF($G1482=1,INDEX(DarlSollzins,4),INDEX(DarlAnschluss,4))</f>
      </c>
      <c r="I1482" s="43">
        <f>IF(INDEX(DarlBelegt,4)=0,0,IF(INDEX(DarlOhneTilgung,4)=1,IF(INDEX(DarlBindung,4)="",1,$G1482),IF($J1482&gt;0.005,1,0)))</f>
      </c>
      <c r="J1482" s="43">
        <f>IF($I1481=0,0,$R1481)</f>
      </c>
      <c r="K1482" s="43">
        <f>IF($I1482=0,0,IF(INDEX(DarlOhneTilgung,4)=1,0,IF(AND(INDEX(DarlTilgStart,4)&gt;0,$E1482=INDEX(DarlTilgStart,4)),$J1482*($H1482+INDEX(DarlTilgung,4))/100/12,IF(AND($G1482=0,$G1481=1),MAX($K1481,$J1482*($H1482+1)/100/12),$K1481))))</f>
      </c>
      <c r="L1482" s="43">
        <f>IF($I1482=0,0,$J1482*$H1482/100/12)</f>
      </c>
      <c r="M1482" s="43">
        <f>IF($I1482=0,0,IF(OR(INDEX(DarlOhneTilgung,4)=1,AND(INDEX(DarlTilgStart,4)&gt;0,$E1482&lt;INDEX(DarlTilgStart,4))),0,MIN(MAX(0,$K1482-$L1482),$J1482)))</f>
      </c>
      <c r="N1482" s="43">
        <f>IF($I1482=0,0,MIN(SUMIFS(SondBetrag,SondDarl,4,SondDatum,"&gt;="&amp;$E1482,SondDatum,"&lt;="&amp;EOMONTH($E1482,0)),$J1482-$M1482))</f>
      </c>
      <c r="O1482" s="43">
        <f>IF($I1482=0,0,INDEX(DarlErsatzRate,4))</f>
      </c>
      <c r="P1482" s="43">
        <f>IF($I1482=0,0,$Q1481*INDEX(DarlErsatzZins,4))</f>
      </c>
      <c r="Q1482" s="43">
        <f>IF($I1482=0,0,$Q1481+$P1482+$O1482)</f>
      </c>
      <c r="R1482" s="43">
        <f>IF($I1482=0,0,$J1482-$M1482-$N1482)</f>
      </c>
    </row>
    <row r="1483">
      <c r="A1483"/>
      <c r="B1483">
        <v>4</v>
      </c>
      <c r="C1483" s="43">
        <f>INDEX(DarlObj,4)</f>
      </c>
      <c r="D1483">
        <v>40</v>
      </c>
      <c r="E1483" s="51">
        <f>IF(INDEX(DarlBelegt,4)=0,0,EOMONTH(INDEX(DarlAuszahlung,4),39)+1)</f>
      </c>
      <c r="F1483" s="43">
        <f>IF($E1483=0,0,YEAR($E1483))</f>
      </c>
      <c r="G1483" s="43">
        <f>IF(INDEX(DarlBindung,4)="",1,IF($E1483&lt;=INDEX(DarlBindung,4),1,0))</f>
      </c>
      <c r="H1483" s="43">
        <f>IF($G1483=1,INDEX(DarlSollzins,4),INDEX(DarlAnschluss,4))</f>
      </c>
      <c r="I1483" s="43">
        <f>IF(INDEX(DarlBelegt,4)=0,0,IF(INDEX(DarlOhneTilgung,4)=1,IF(INDEX(DarlBindung,4)="",1,$G1483),IF($J1483&gt;0.005,1,0)))</f>
      </c>
      <c r="J1483" s="43">
        <f>IF($I1482=0,0,$R1482)</f>
      </c>
      <c r="K1483" s="43">
        <f>IF($I1483=0,0,IF(INDEX(DarlOhneTilgung,4)=1,0,IF(AND(INDEX(DarlTilgStart,4)&gt;0,$E1483=INDEX(DarlTilgStart,4)),$J1483*($H1483+INDEX(DarlTilgung,4))/100/12,IF(AND($G1483=0,$G1482=1),MAX($K1482,$J1483*($H1483+1)/100/12),$K1482))))</f>
      </c>
      <c r="L1483" s="43">
        <f>IF($I1483=0,0,$J1483*$H1483/100/12)</f>
      </c>
      <c r="M1483" s="43">
        <f>IF($I1483=0,0,IF(OR(INDEX(DarlOhneTilgung,4)=1,AND(INDEX(DarlTilgStart,4)&gt;0,$E1483&lt;INDEX(DarlTilgStart,4))),0,MIN(MAX(0,$K1483-$L1483),$J1483)))</f>
      </c>
      <c r="N1483" s="43">
        <f>IF($I1483=0,0,MIN(SUMIFS(SondBetrag,SondDarl,4,SondDatum,"&gt;="&amp;$E1483,SondDatum,"&lt;="&amp;EOMONTH($E1483,0)),$J1483-$M1483))</f>
      </c>
      <c r="O1483" s="43">
        <f>IF($I1483=0,0,INDEX(DarlErsatzRate,4))</f>
      </c>
      <c r="P1483" s="43">
        <f>IF($I1483=0,0,$Q1482*INDEX(DarlErsatzZins,4))</f>
      </c>
      <c r="Q1483" s="43">
        <f>IF($I1483=0,0,$Q1482+$P1483+$O1483)</f>
      </c>
      <c r="R1483" s="43">
        <f>IF($I1483=0,0,$J1483-$M1483-$N1483)</f>
      </c>
    </row>
    <row r="1484">
      <c r="A1484"/>
      <c r="B1484">
        <v>4</v>
      </c>
      <c r="C1484" s="43">
        <f>INDEX(DarlObj,4)</f>
      </c>
      <c r="D1484">
        <v>41</v>
      </c>
      <c r="E1484" s="51">
        <f>IF(INDEX(DarlBelegt,4)=0,0,EOMONTH(INDEX(DarlAuszahlung,4),40)+1)</f>
      </c>
      <c r="F1484" s="43">
        <f>IF($E1484=0,0,YEAR($E1484))</f>
      </c>
      <c r="G1484" s="43">
        <f>IF(INDEX(DarlBindung,4)="",1,IF($E1484&lt;=INDEX(DarlBindung,4),1,0))</f>
      </c>
      <c r="H1484" s="43">
        <f>IF($G1484=1,INDEX(DarlSollzins,4),INDEX(DarlAnschluss,4))</f>
      </c>
      <c r="I1484" s="43">
        <f>IF(INDEX(DarlBelegt,4)=0,0,IF(INDEX(DarlOhneTilgung,4)=1,IF(INDEX(DarlBindung,4)="",1,$G1484),IF($J1484&gt;0.005,1,0)))</f>
      </c>
      <c r="J1484" s="43">
        <f>IF($I1483=0,0,$R1483)</f>
      </c>
      <c r="K1484" s="43">
        <f>IF($I1484=0,0,IF(INDEX(DarlOhneTilgung,4)=1,0,IF(AND(INDEX(DarlTilgStart,4)&gt;0,$E1484=INDEX(DarlTilgStart,4)),$J1484*($H1484+INDEX(DarlTilgung,4))/100/12,IF(AND($G1484=0,$G1483=1),MAX($K1483,$J1484*($H1484+1)/100/12),$K1483))))</f>
      </c>
      <c r="L1484" s="43">
        <f>IF($I1484=0,0,$J1484*$H1484/100/12)</f>
      </c>
      <c r="M1484" s="43">
        <f>IF($I1484=0,0,IF(OR(INDEX(DarlOhneTilgung,4)=1,AND(INDEX(DarlTilgStart,4)&gt;0,$E1484&lt;INDEX(DarlTilgStart,4))),0,MIN(MAX(0,$K1484-$L1484),$J1484)))</f>
      </c>
      <c r="N1484" s="43">
        <f>IF($I1484=0,0,MIN(SUMIFS(SondBetrag,SondDarl,4,SondDatum,"&gt;="&amp;$E1484,SondDatum,"&lt;="&amp;EOMONTH($E1484,0)),$J1484-$M1484))</f>
      </c>
      <c r="O1484" s="43">
        <f>IF($I1484=0,0,INDEX(DarlErsatzRate,4))</f>
      </c>
      <c r="P1484" s="43">
        <f>IF($I1484=0,0,$Q1483*INDEX(DarlErsatzZins,4))</f>
      </c>
      <c r="Q1484" s="43">
        <f>IF($I1484=0,0,$Q1483+$P1484+$O1484)</f>
      </c>
      <c r="R1484" s="43">
        <f>IF($I1484=0,0,$J1484-$M1484-$N1484)</f>
      </c>
    </row>
    <row r="1485">
      <c r="A1485"/>
      <c r="B1485">
        <v>4</v>
      </c>
      <c r="C1485" s="43">
        <f>INDEX(DarlObj,4)</f>
      </c>
      <c r="D1485">
        <v>42</v>
      </c>
      <c r="E1485" s="51">
        <f>IF(INDEX(DarlBelegt,4)=0,0,EOMONTH(INDEX(DarlAuszahlung,4),41)+1)</f>
      </c>
      <c r="F1485" s="43">
        <f>IF($E1485=0,0,YEAR($E1485))</f>
      </c>
      <c r="G1485" s="43">
        <f>IF(INDEX(DarlBindung,4)="",1,IF($E1485&lt;=INDEX(DarlBindung,4),1,0))</f>
      </c>
      <c r="H1485" s="43">
        <f>IF($G1485=1,INDEX(DarlSollzins,4),INDEX(DarlAnschluss,4))</f>
      </c>
      <c r="I1485" s="43">
        <f>IF(INDEX(DarlBelegt,4)=0,0,IF(INDEX(DarlOhneTilgung,4)=1,IF(INDEX(DarlBindung,4)="",1,$G1485),IF($J1485&gt;0.005,1,0)))</f>
      </c>
      <c r="J1485" s="43">
        <f>IF($I1484=0,0,$R1484)</f>
      </c>
      <c r="K1485" s="43">
        <f>IF($I1485=0,0,IF(INDEX(DarlOhneTilgung,4)=1,0,IF(AND(INDEX(DarlTilgStart,4)&gt;0,$E1485=INDEX(DarlTilgStart,4)),$J1485*($H1485+INDEX(DarlTilgung,4))/100/12,IF(AND($G1485=0,$G1484=1),MAX($K1484,$J1485*($H1485+1)/100/12),$K1484))))</f>
      </c>
      <c r="L1485" s="43">
        <f>IF($I1485=0,0,$J1485*$H1485/100/12)</f>
      </c>
      <c r="M1485" s="43">
        <f>IF($I1485=0,0,IF(OR(INDEX(DarlOhneTilgung,4)=1,AND(INDEX(DarlTilgStart,4)&gt;0,$E1485&lt;INDEX(DarlTilgStart,4))),0,MIN(MAX(0,$K1485-$L1485),$J1485)))</f>
      </c>
      <c r="N1485" s="43">
        <f>IF($I1485=0,0,MIN(SUMIFS(SondBetrag,SondDarl,4,SondDatum,"&gt;="&amp;$E1485,SondDatum,"&lt;="&amp;EOMONTH($E1485,0)),$J1485-$M1485))</f>
      </c>
      <c r="O1485" s="43">
        <f>IF($I1485=0,0,INDEX(DarlErsatzRate,4))</f>
      </c>
      <c r="P1485" s="43">
        <f>IF($I1485=0,0,$Q1484*INDEX(DarlErsatzZins,4))</f>
      </c>
      <c r="Q1485" s="43">
        <f>IF($I1485=0,0,$Q1484+$P1485+$O1485)</f>
      </c>
      <c r="R1485" s="43">
        <f>IF($I1485=0,0,$J1485-$M1485-$N1485)</f>
      </c>
    </row>
    <row r="1486">
      <c r="A1486"/>
      <c r="B1486">
        <v>4</v>
      </c>
      <c r="C1486" s="43">
        <f>INDEX(DarlObj,4)</f>
      </c>
      <c r="D1486">
        <v>43</v>
      </c>
      <c r="E1486" s="51">
        <f>IF(INDEX(DarlBelegt,4)=0,0,EOMONTH(INDEX(DarlAuszahlung,4),42)+1)</f>
      </c>
      <c r="F1486" s="43">
        <f>IF($E1486=0,0,YEAR($E1486))</f>
      </c>
      <c r="G1486" s="43">
        <f>IF(INDEX(DarlBindung,4)="",1,IF($E1486&lt;=INDEX(DarlBindung,4),1,0))</f>
      </c>
      <c r="H1486" s="43">
        <f>IF($G1486=1,INDEX(DarlSollzins,4),INDEX(DarlAnschluss,4))</f>
      </c>
      <c r="I1486" s="43">
        <f>IF(INDEX(DarlBelegt,4)=0,0,IF(INDEX(DarlOhneTilgung,4)=1,IF(INDEX(DarlBindung,4)="",1,$G1486),IF($J1486&gt;0.005,1,0)))</f>
      </c>
      <c r="J1486" s="43">
        <f>IF($I1485=0,0,$R1485)</f>
      </c>
      <c r="K1486" s="43">
        <f>IF($I1486=0,0,IF(INDEX(DarlOhneTilgung,4)=1,0,IF(AND(INDEX(DarlTilgStart,4)&gt;0,$E1486=INDEX(DarlTilgStart,4)),$J1486*($H1486+INDEX(DarlTilgung,4))/100/12,IF(AND($G1486=0,$G1485=1),MAX($K1485,$J1486*($H1486+1)/100/12),$K1485))))</f>
      </c>
      <c r="L1486" s="43">
        <f>IF($I1486=0,0,$J1486*$H1486/100/12)</f>
      </c>
      <c r="M1486" s="43">
        <f>IF($I1486=0,0,IF(OR(INDEX(DarlOhneTilgung,4)=1,AND(INDEX(DarlTilgStart,4)&gt;0,$E1486&lt;INDEX(DarlTilgStart,4))),0,MIN(MAX(0,$K1486-$L1486),$J1486)))</f>
      </c>
      <c r="N1486" s="43">
        <f>IF($I1486=0,0,MIN(SUMIFS(SondBetrag,SondDarl,4,SondDatum,"&gt;="&amp;$E1486,SondDatum,"&lt;="&amp;EOMONTH($E1486,0)),$J1486-$M1486))</f>
      </c>
      <c r="O1486" s="43">
        <f>IF($I1486=0,0,INDEX(DarlErsatzRate,4))</f>
      </c>
      <c r="P1486" s="43">
        <f>IF($I1486=0,0,$Q1485*INDEX(DarlErsatzZins,4))</f>
      </c>
      <c r="Q1486" s="43">
        <f>IF($I1486=0,0,$Q1485+$P1486+$O1486)</f>
      </c>
      <c r="R1486" s="43">
        <f>IF($I1486=0,0,$J1486-$M1486-$N1486)</f>
      </c>
    </row>
    <row r="1487">
      <c r="A1487"/>
      <c r="B1487">
        <v>4</v>
      </c>
      <c r="C1487" s="43">
        <f>INDEX(DarlObj,4)</f>
      </c>
      <c r="D1487">
        <v>44</v>
      </c>
      <c r="E1487" s="51">
        <f>IF(INDEX(DarlBelegt,4)=0,0,EOMONTH(INDEX(DarlAuszahlung,4),43)+1)</f>
      </c>
      <c r="F1487" s="43">
        <f>IF($E1487=0,0,YEAR($E1487))</f>
      </c>
      <c r="G1487" s="43">
        <f>IF(INDEX(DarlBindung,4)="",1,IF($E1487&lt;=INDEX(DarlBindung,4),1,0))</f>
      </c>
      <c r="H1487" s="43">
        <f>IF($G1487=1,INDEX(DarlSollzins,4),INDEX(DarlAnschluss,4))</f>
      </c>
      <c r="I1487" s="43">
        <f>IF(INDEX(DarlBelegt,4)=0,0,IF(INDEX(DarlOhneTilgung,4)=1,IF(INDEX(DarlBindung,4)="",1,$G1487),IF($J1487&gt;0.005,1,0)))</f>
      </c>
      <c r="J1487" s="43">
        <f>IF($I1486=0,0,$R1486)</f>
      </c>
      <c r="K1487" s="43">
        <f>IF($I1487=0,0,IF(INDEX(DarlOhneTilgung,4)=1,0,IF(AND(INDEX(DarlTilgStart,4)&gt;0,$E1487=INDEX(DarlTilgStart,4)),$J1487*($H1487+INDEX(DarlTilgung,4))/100/12,IF(AND($G1487=0,$G1486=1),MAX($K1486,$J1487*($H1487+1)/100/12),$K1486))))</f>
      </c>
      <c r="L1487" s="43">
        <f>IF($I1487=0,0,$J1487*$H1487/100/12)</f>
      </c>
      <c r="M1487" s="43">
        <f>IF($I1487=0,0,IF(OR(INDEX(DarlOhneTilgung,4)=1,AND(INDEX(DarlTilgStart,4)&gt;0,$E1487&lt;INDEX(DarlTilgStart,4))),0,MIN(MAX(0,$K1487-$L1487),$J1487)))</f>
      </c>
      <c r="N1487" s="43">
        <f>IF($I1487=0,0,MIN(SUMIFS(SondBetrag,SondDarl,4,SondDatum,"&gt;="&amp;$E1487,SondDatum,"&lt;="&amp;EOMONTH($E1487,0)),$J1487-$M1487))</f>
      </c>
      <c r="O1487" s="43">
        <f>IF($I1487=0,0,INDEX(DarlErsatzRate,4))</f>
      </c>
      <c r="P1487" s="43">
        <f>IF($I1487=0,0,$Q1486*INDEX(DarlErsatzZins,4))</f>
      </c>
      <c r="Q1487" s="43">
        <f>IF($I1487=0,0,$Q1486+$P1487+$O1487)</f>
      </c>
      <c r="R1487" s="43">
        <f>IF($I1487=0,0,$J1487-$M1487-$N1487)</f>
      </c>
    </row>
    <row r="1488">
      <c r="A1488"/>
      <c r="B1488">
        <v>4</v>
      </c>
      <c r="C1488" s="43">
        <f>INDEX(DarlObj,4)</f>
      </c>
      <c r="D1488">
        <v>45</v>
      </c>
      <c r="E1488" s="51">
        <f>IF(INDEX(DarlBelegt,4)=0,0,EOMONTH(INDEX(DarlAuszahlung,4),44)+1)</f>
      </c>
      <c r="F1488" s="43">
        <f>IF($E1488=0,0,YEAR($E1488))</f>
      </c>
      <c r="G1488" s="43">
        <f>IF(INDEX(DarlBindung,4)="",1,IF($E1488&lt;=INDEX(DarlBindung,4),1,0))</f>
      </c>
      <c r="H1488" s="43">
        <f>IF($G1488=1,INDEX(DarlSollzins,4),INDEX(DarlAnschluss,4))</f>
      </c>
      <c r="I1488" s="43">
        <f>IF(INDEX(DarlBelegt,4)=0,0,IF(INDEX(DarlOhneTilgung,4)=1,IF(INDEX(DarlBindung,4)="",1,$G1488),IF($J1488&gt;0.005,1,0)))</f>
      </c>
      <c r="J1488" s="43">
        <f>IF($I1487=0,0,$R1487)</f>
      </c>
      <c r="K1488" s="43">
        <f>IF($I1488=0,0,IF(INDEX(DarlOhneTilgung,4)=1,0,IF(AND(INDEX(DarlTilgStart,4)&gt;0,$E1488=INDEX(DarlTilgStart,4)),$J1488*($H1488+INDEX(DarlTilgung,4))/100/12,IF(AND($G1488=0,$G1487=1),MAX($K1487,$J1488*($H1488+1)/100/12),$K1487))))</f>
      </c>
      <c r="L1488" s="43">
        <f>IF($I1488=0,0,$J1488*$H1488/100/12)</f>
      </c>
      <c r="M1488" s="43">
        <f>IF($I1488=0,0,IF(OR(INDEX(DarlOhneTilgung,4)=1,AND(INDEX(DarlTilgStart,4)&gt;0,$E1488&lt;INDEX(DarlTilgStart,4))),0,MIN(MAX(0,$K1488-$L1488),$J1488)))</f>
      </c>
      <c r="N1488" s="43">
        <f>IF($I1488=0,0,MIN(SUMIFS(SondBetrag,SondDarl,4,SondDatum,"&gt;="&amp;$E1488,SondDatum,"&lt;="&amp;EOMONTH($E1488,0)),$J1488-$M1488))</f>
      </c>
      <c r="O1488" s="43">
        <f>IF($I1488=0,0,INDEX(DarlErsatzRate,4))</f>
      </c>
      <c r="P1488" s="43">
        <f>IF($I1488=0,0,$Q1487*INDEX(DarlErsatzZins,4))</f>
      </c>
      <c r="Q1488" s="43">
        <f>IF($I1488=0,0,$Q1487+$P1488+$O1488)</f>
      </c>
      <c r="R1488" s="43">
        <f>IF($I1488=0,0,$J1488-$M1488-$N1488)</f>
      </c>
    </row>
    <row r="1489">
      <c r="A1489"/>
      <c r="B1489">
        <v>4</v>
      </c>
      <c r="C1489" s="43">
        <f>INDEX(DarlObj,4)</f>
      </c>
      <c r="D1489">
        <v>46</v>
      </c>
      <c r="E1489" s="51">
        <f>IF(INDEX(DarlBelegt,4)=0,0,EOMONTH(INDEX(DarlAuszahlung,4),45)+1)</f>
      </c>
      <c r="F1489" s="43">
        <f>IF($E1489=0,0,YEAR($E1489))</f>
      </c>
      <c r="G1489" s="43">
        <f>IF(INDEX(DarlBindung,4)="",1,IF($E1489&lt;=INDEX(DarlBindung,4),1,0))</f>
      </c>
      <c r="H1489" s="43">
        <f>IF($G1489=1,INDEX(DarlSollzins,4),INDEX(DarlAnschluss,4))</f>
      </c>
      <c r="I1489" s="43">
        <f>IF(INDEX(DarlBelegt,4)=0,0,IF(INDEX(DarlOhneTilgung,4)=1,IF(INDEX(DarlBindung,4)="",1,$G1489),IF($J1489&gt;0.005,1,0)))</f>
      </c>
      <c r="J1489" s="43">
        <f>IF($I1488=0,0,$R1488)</f>
      </c>
      <c r="K1489" s="43">
        <f>IF($I1489=0,0,IF(INDEX(DarlOhneTilgung,4)=1,0,IF(AND(INDEX(DarlTilgStart,4)&gt;0,$E1489=INDEX(DarlTilgStart,4)),$J1489*($H1489+INDEX(DarlTilgung,4))/100/12,IF(AND($G1489=0,$G1488=1),MAX($K1488,$J1489*($H1489+1)/100/12),$K1488))))</f>
      </c>
      <c r="L1489" s="43">
        <f>IF($I1489=0,0,$J1489*$H1489/100/12)</f>
      </c>
      <c r="M1489" s="43">
        <f>IF($I1489=0,0,IF(OR(INDEX(DarlOhneTilgung,4)=1,AND(INDEX(DarlTilgStart,4)&gt;0,$E1489&lt;INDEX(DarlTilgStart,4))),0,MIN(MAX(0,$K1489-$L1489),$J1489)))</f>
      </c>
      <c r="N1489" s="43">
        <f>IF($I1489=0,0,MIN(SUMIFS(SondBetrag,SondDarl,4,SondDatum,"&gt;="&amp;$E1489,SondDatum,"&lt;="&amp;EOMONTH($E1489,0)),$J1489-$M1489))</f>
      </c>
      <c r="O1489" s="43">
        <f>IF($I1489=0,0,INDEX(DarlErsatzRate,4))</f>
      </c>
      <c r="P1489" s="43">
        <f>IF($I1489=0,0,$Q1488*INDEX(DarlErsatzZins,4))</f>
      </c>
      <c r="Q1489" s="43">
        <f>IF($I1489=0,0,$Q1488+$P1489+$O1489)</f>
      </c>
      <c r="R1489" s="43">
        <f>IF($I1489=0,0,$J1489-$M1489-$N1489)</f>
      </c>
    </row>
    <row r="1490">
      <c r="A1490"/>
      <c r="B1490">
        <v>4</v>
      </c>
      <c r="C1490" s="43">
        <f>INDEX(DarlObj,4)</f>
      </c>
      <c r="D1490">
        <v>47</v>
      </c>
      <c r="E1490" s="51">
        <f>IF(INDEX(DarlBelegt,4)=0,0,EOMONTH(INDEX(DarlAuszahlung,4),46)+1)</f>
      </c>
      <c r="F1490" s="43">
        <f>IF($E1490=0,0,YEAR($E1490))</f>
      </c>
      <c r="G1490" s="43">
        <f>IF(INDEX(DarlBindung,4)="",1,IF($E1490&lt;=INDEX(DarlBindung,4),1,0))</f>
      </c>
      <c r="H1490" s="43">
        <f>IF($G1490=1,INDEX(DarlSollzins,4),INDEX(DarlAnschluss,4))</f>
      </c>
      <c r="I1490" s="43">
        <f>IF(INDEX(DarlBelegt,4)=0,0,IF(INDEX(DarlOhneTilgung,4)=1,IF(INDEX(DarlBindung,4)="",1,$G1490),IF($J1490&gt;0.005,1,0)))</f>
      </c>
      <c r="J1490" s="43">
        <f>IF($I1489=0,0,$R1489)</f>
      </c>
      <c r="K1490" s="43">
        <f>IF($I1490=0,0,IF(INDEX(DarlOhneTilgung,4)=1,0,IF(AND(INDEX(DarlTilgStart,4)&gt;0,$E1490=INDEX(DarlTilgStart,4)),$J1490*($H1490+INDEX(DarlTilgung,4))/100/12,IF(AND($G1490=0,$G1489=1),MAX($K1489,$J1490*($H1490+1)/100/12),$K1489))))</f>
      </c>
      <c r="L1490" s="43">
        <f>IF($I1490=0,0,$J1490*$H1490/100/12)</f>
      </c>
      <c r="M1490" s="43">
        <f>IF($I1490=0,0,IF(OR(INDEX(DarlOhneTilgung,4)=1,AND(INDEX(DarlTilgStart,4)&gt;0,$E1490&lt;INDEX(DarlTilgStart,4))),0,MIN(MAX(0,$K1490-$L1490),$J1490)))</f>
      </c>
      <c r="N1490" s="43">
        <f>IF($I1490=0,0,MIN(SUMIFS(SondBetrag,SondDarl,4,SondDatum,"&gt;="&amp;$E1490,SondDatum,"&lt;="&amp;EOMONTH($E1490,0)),$J1490-$M1490))</f>
      </c>
      <c r="O1490" s="43">
        <f>IF($I1490=0,0,INDEX(DarlErsatzRate,4))</f>
      </c>
      <c r="P1490" s="43">
        <f>IF($I1490=0,0,$Q1489*INDEX(DarlErsatzZins,4))</f>
      </c>
      <c r="Q1490" s="43">
        <f>IF($I1490=0,0,$Q1489+$P1490+$O1490)</f>
      </c>
      <c r="R1490" s="43">
        <f>IF($I1490=0,0,$J1490-$M1490-$N1490)</f>
      </c>
    </row>
    <row r="1491">
      <c r="A1491"/>
      <c r="B1491">
        <v>4</v>
      </c>
      <c r="C1491" s="43">
        <f>INDEX(DarlObj,4)</f>
      </c>
      <c r="D1491">
        <v>48</v>
      </c>
      <c r="E1491" s="51">
        <f>IF(INDEX(DarlBelegt,4)=0,0,EOMONTH(INDEX(DarlAuszahlung,4),47)+1)</f>
      </c>
      <c r="F1491" s="43">
        <f>IF($E1491=0,0,YEAR($E1491))</f>
      </c>
      <c r="G1491" s="43">
        <f>IF(INDEX(DarlBindung,4)="",1,IF($E1491&lt;=INDEX(DarlBindung,4),1,0))</f>
      </c>
      <c r="H1491" s="43">
        <f>IF($G1491=1,INDEX(DarlSollzins,4),INDEX(DarlAnschluss,4))</f>
      </c>
      <c r="I1491" s="43">
        <f>IF(INDEX(DarlBelegt,4)=0,0,IF(INDEX(DarlOhneTilgung,4)=1,IF(INDEX(DarlBindung,4)="",1,$G1491),IF($J1491&gt;0.005,1,0)))</f>
      </c>
      <c r="J1491" s="43">
        <f>IF($I1490=0,0,$R1490)</f>
      </c>
      <c r="K1491" s="43">
        <f>IF($I1491=0,0,IF(INDEX(DarlOhneTilgung,4)=1,0,IF(AND(INDEX(DarlTilgStart,4)&gt;0,$E1491=INDEX(DarlTilgStart,4)),$J1491*($H1491+INDEX(DarlTilgung,4))/100/12,IF(AND($G1491=0,$G1490=1),MAX($K1490,$J1491*($H1491+1)/100/12),$K1490))))</f>
      </c>
      <c r="L1491" s="43">
        <f>IF($I1491=0,0,$J1491*$H1491/100/12)</f>
      </c>
      <c r="M1491" s="43">
        <f>IF($I1491=0,0,IF(OR(INDEX(DarlOhneTilgung,4)=1,AND(INDEX(DarlTilgStart,4)&gt;0,$E1491&lt;INDEX(DarlTilgStart,4))),0,MIN(MAX(0,$K1491-$L1491),$J1491)))</f>
      </c>
      <c r="N1491" s="43">
        <f>IF($I1491=0,0,MIN(SUMIFS(SondBetrag,SondDarl,4,SondDatum,"&gt;="&amp;$E1491,SondDatum,"&lt;="&amp;EOMONTH($E1491,0)),$J1491-$M1491))</f>
      </c>
      <c r="O1491" s="43">
        <f>IF($I1491=0,0,INDEX(DarlErsatzRate,4))</f>
      </c>
      <c r="P1491" s="43">
        <f>IF($I1491=0,0,$Q1490*INDEX(DarlErsatzZins,4))</f>
      </c>
      <c r="Q1491" s="43">
        <f>IF($I1491=0,0,$Q1490+$P1491+$O1491)</f>
      </c>
      <c r="R1491" s="43">
        <f>IF($I1491=0,0,$J1491-$M1491-$N1491)</f>
      </c>
    </row>
    <row r="1492">
      <c r="A1492"/>
      <c r="B1492">
        <v>4</v>
      </c>
      <c r="C1492" s="43">
        <f>INDEX(DarlObj,4)</f>
      </c>
      <c r="D1492">
        <v>49</v>
      </c>
      <c r="E1492" s="51">
        <f>IF(INDEX(DarlBelegt,4)=0,0,EOMONTH(INDEX(DarlAuszahlung,4),48)+1)</f>
      </c>
      <c r="F1492" s="43">
        <f>IF($E1492=0,0,YEAR($E1492))</f>
      </c>
      <c r="G1492" s="43">
        <f>IF(INDEX(DarlBindung,4)="",1,IF($E1492&lt;=INDEX(DarlBindung,4),1,0))</f>
      </c>
      <c r="H1492" s="43">
        <f>IF($G1492=1,INDEX(DarlSollzins,4),INDEX(DarlAnschluss,4))</f>
      </c>
      <c r="I1492" s="43">
        <f>IF(INDEX(DarlBelegt,4)=0,0,IF(INDEX(DarlOhneTilgung,4)=1,IF(INDEX(DarlBindung,4)="",1,$G1492),IF($J1492&gt;0.005,1,0)))</f>
      </c>
      <c r="J1492" s="43">
        <f>IF($I1491=0,0,$R1491)</f>
      </c>
      <c r="K1492" s="43">
        <f>IF($I1492=0,0,IF(INDEX(DarlOhneTilgung,4)=1,0,IF(AND(INDEX(DarlTilgStart,4)&gt;0,$E1492=INDEX(DarlTilgStart,4)),$J1492*($H1492+INDEX(DarlTilgung,4))/100/12,IF(AND($G1492=0,$G1491=1),MAX($K1491,$J1492*($H1492+1)/100/12),$K1491))))</f>
      </c>
      <c r="L1492" s="43">
        <f>IF($I1492=0,0,$J1492*$H1492/100/12)</f>
      </c>
      <c r="M1492" s="43">
        <f>IF($I1492=0,0,IF(OR(INDEX(DarlOhneTilgung,4)=1,AND(INDEX(DarlTilgStart,4)&gt;0,$E1492&lt;INDEX(DarlTilgStart,4))),0,MIN(MAX(0,$K1492-$L1492),$J1492)))</f>
      </c>
      <c r="N1492" s="43">
        <f>IF($I1492=0,0,MIN(SUMIFS(SondBetrag,SondDarl,4,SondDatum,"&gt;="&amp;$E1492,SondDatum,"&lt;="&amp;EOMONTH($E1492,0)),$J1492-$M1492))</f>
      </c>
      <c r="O1492" s="43">
        <f>IF($I1492=0,0,INDEX(DarlErsatzRate,4))</f>
      </c>
      <c r="P1492" s="43">
        <f>IF($I1492=0,0,$Q1491*INDEX(DarlErsatzZins,4))</f>
      </c>
      <c r="Q1492" s="43">
        <f>IF($I1492=0,0,$Q1491+$P1492+$O1492)</f>
      </c>
      <c r="R1492" s="43">
        <f>IF($I1492=0,0,$J1492-$M1492-$N1492)</f>
      </c>
    </row>
    <row r="1493">
      <c r="A1493"/>
      <c r="B1493">
        <v>4</v>
      </c>
      <c r="C1493" s="43">
        <f>INDEX(DarlObj,4)</f>
      </c>
      <c r="D1493">
        <v>50</v>
      </c>
      <c r="E1493" s="51">
        <f>IF(INDEX(DarlBelegt,4)=0,0,EOMONTH(INDEX(DarlAuszahlung,4),49)+1)</f>
      </c>
      <c r="F1493" s="43">
        <f>IF($E1493=0,0,YEAR($E1493))</f>
      </c>
      <c r="G1493" s="43">
        <f>IF(INDEX(DarlBindung,4)="",1,IF($E1493&lt;=INDEX(DarlBindung,4),1,0))</f>
      </c>
      <c r="H1493" s="43">
        <f>IF($G1493=1,INDEX(DarlSollzins,4),INDEX(DarlAnschluss,4))</f>
      </c>
      <c r="I1493" s="43">
        <f>IF(INDEX(DarlBelegt,4)=0,0,IF(INDEX(DarlOhneTilgung,4)=1,IF(INDEX(DarlBindung,4)="",1,$G1493),IF($J1493&gt;0.005,1,0)))</f>
      </c>
      <c r="J1493" s="43">
        <f>IF($I1492=0,0,$R1492)</f>
      </c>
      <c r="K1493" s="43">
        <f>IF($I1493=0,0,IF(INDEX(DarlOhneTilgung,4)=1,0,IF(AND(INDEX(DarlTilgStart,4)&gt;0,$E1493=INDEX(DarlTilgStart,4)),$J1493*($H1493+INDEX(DarlTilgung,4))/100/12,IF(AND($G1493=0,$G1492=1),MAX($K1492,$J1493*($H1493+1)/100/12),$K1492))))</f>
      </c>
      <c r="L1493" s="43">
        <f>IF($I1493=0,0,$J1493*$H1493/100/12)</f>
      </c>
      <c r="M1493" s="43">
        <f>IF($I1493=0,0,IF(OR(INDEX(DarlOhneTilgung,4)=1,AND(INDEX(DarlTilgStart,4)&gt;0,$E1493&lt;INDEX(DarlTilgStart,4))),0,MIN(MAX(0,$K1493-$L1493),$J1493)))</f>
      </c>
      <c r="N1493" s="43">
        <f>IF($I1493=0,0,MIN(SUMIFS(SondBetrag,SondDarl,4,SondDatum,"&gt;="&amp;$E1493,SondDatum,"&lt;="&amp;EOMONTH($E1493,0)),$J1493-$M1493))</f>
      </c>
      <c r="O1493" s="43">
        <f>IF($I1493=0,0,INDEX(DarlErsatzRate,4))</f>
      </c>
      <c r="P1493" s="43">
        <f>IF($I1493=0,0,$Q1492*INDEX(DarlErsatzZins,4))</f>
      </c>
      <c r="Q1493" s="43">
        <f>IF($I1493=0,0,$Q1492+$P1493+$O1493)</f>
      </c>
      <c r="R1493" s="43">
        <f>IF($I1493=0,0,$J1493-$M1493-$N1493)</f>
      </c>
    </row>
    <row r="1494">
      <c r="A1494"/>
      <c r="B1494">
        <v>4</v>
      </c>
      <c r="C1494" s="43">
        <f>INDEX(DarlObj,4)</f>
      </c>
      <c r="D1494">
        <v>51</v>
      </c>
      <c r="E1494" s="51">
        <f>IF(INDEX(DarlBelegt,4)=0,0,EOMONTH(INDEX(DarlAuszahlung,4),50)+1)</f>
      </c>
      <c r="F1494" s="43">
        <f>IF($E1494=0,0,YEAR($E1494))</f>
      </c>
      <c r="G1494" s="43">
        <f>IF(INDEX(DarlBindung,4)="",1,IF($E1494&lt;=INDEX(DarlBindung,4),1,0))</f>
      </c>
      <c r="H1494" s="43">
        <f>IF($G1494=1,INDEX(DarlSollzins,4),INDEX(DarlAnschluss,4))</f>
      </c>
      <c r="I1494" s="43">
        <f>IF(INDEX(DarlBelegt,4)=0,0,IF(INDEX(DarlOhneTilgung,4)=1,IF(INDEX(DarlBindung,4)="",1,$G1494),IF($J1494&gt;0.005,1,0)))</f>
      </c>
      <c r="J1494" s="43">
        <f>IF($I1493=0,0,$R1493)</f>
      </c>
      <c r="K1494" s="43">
        <f>IF($I1494=0,0,IF(INDEX(DarlOhneTilgung,4)=1,0,IF(AND(INDEX(DarlTilgStart,4)&gt;0,$E1494=INDEX(DarlTilgStart,4)),$J1494*($H1494+INDEX(DarlTilgung,4))/100/12,IF(AND($G1494=0,$G1493=1),MAX($K1493,$J1494*($H1494+1)/100/12),$K1493))))</f>
      </c>
      <c r="L1494" s="43">
        <f>IF($I1494=0,0,$J1494*$H1494/100/12)</f>
      </c>
      <c r="M1494" s="43">
        <f>IF($I1494=0,0,IF(OR(INDEX(DarlOhneTilgung,4)=1,AND(INDEX(DarlTilgStart,4)&gt;0,$E1494&lt;INDEX(DarlTilgStart,4))),0,MIN(MAX(0,$K1494-$L1494),$J1494)))</f>
      </c>
      <c r="N1494" s="43">
        <f>IF($I1494=0,0,MIN(SUMIFS(SondBetrag,SondDarl,4,SondDatum,"&gt;="&amp;$E1494,SondDatum,"&lt;="&amp;EOMONTH($E1494,0)),$J1494-$M1494))</f>
      </c>
      <c r="O1494" s="43">
        <f>IF($I1494=0,0,INDEX(DarlErsatzRate,4))</f>
      </c>
      <c r="P1494" s="43">
        <f>IF($I1494=0,0,$Q1493*INDEX(DarlErsatzZins,4))</f>
      </c>
      <c r="Q1494" s="43">
        <f>IF($I1494=0,0,$Q1493+$P1494+$O1494)</f>
      </c>
      <c r="R1494" s="43">
        <f>IF($I1494=0,0,$J1494-$M1494-$N1494)</f>
      </c>
    </row>
    <row r="1495">
      <c r="A1495"/>
      <c r="B1495">
        <v>4</v>
      </c>
      <c r="C1495" s="43">
        <f>INDEX(DarlObj,4)</f>
      </c>
      <c r="D1495">
        <v>52</v>
      </c>
      <c r="E1495" s="51">
        <f>IF(INDEX(DarlBelegt,4)=0,0,EOMONTH(INDEX(DarlAuszahlung,4),51)+1)</f>
      </c>
      <c r="F1495" s="43">
        <f>IF($E1495=0,0,YEAR($E1495))</f>
      </c>
      <c r="G1495" s="43">
        <f>IF(INDEX(DarlBindung,4)="",1,IF($E1495&lt;=INDEX(DarlBindung,4),1,0))</f>
      </c>
      <c r="H1495" s="43">
        <f>IF($G1495=1,INDEX(DarlSollzins,4),INDEX(DarlAnschluss,4))</f>
      </c>
      <c r="I1495" s="43">
        <f>IF(INDEX(DarlBelegt,4)=0,0,IF(INDEX(DarlOhneTilgung,4)=1,IF(INDEX(DarlBindung,4)="",1,$G1495),IF($J1495&gt;0.005,1,0)))</f>
      </c>
      <c r="J1495" s="43">
        <f>IF($I1494=0,0,$R1494)</f>
      </c>
      <c r="K1495" s="43">
        <f>IF($I1495=0,0,IF(INDEX(DarlOhneTilgung,4)=1,0,IF(AND(INDEX(DarlTilgStart,4)&gt;0,$E1495=INDEX(DarlTilgStart,4)),$J1495*($H1495+INDEX(DarlTilgung,4))/100/12,IF(AND($G1495=0,$G1494=1),MAX($K1494,$J1495*($H1495+1)/100/12),$K1494))))</f>
      </c>
      <c r="L1495" s="43">
        <f>IF($I1495=0,0,$J1495*$H1495/100/12)</f>
      </c>
      <c r="M1495" s="43">
        <f>IF($I1495=0,0,IF(OR(INDEX(DarlOhneTilgung,4)=1,AND(INDEX(DarlTilgStart,4)&gt;0,$E1495&lt;INDEX(DarlTilgStart,4))),0,MIN(MAX(0,$K1495-$L1495),$J1495)))</f>
      </c>
      <c r="N1495" s="43">
        <f>IF($I1495=0,0,MIN(SUMIFS(SondBetrag,SondDarl,4,SondDatum,"&gt;="&amp;$E1495,SondDatum,"&lt;="&amp;EOMONTH($E1495,0)),$J1495-$M1495))</f>
      </c>
      <c r="O1495" s="43">
        <f>IF($I1495=0,0,INDEX(DarlErsatzRate,4))</f>
      </c>
      <c r="P1495" s="43">
        <f>IF($I1495=0,0,$Q1494*INDEX(DarlErsatzZins,4))</f>
      </c>
      <c r="Q1495" s="43">
        <f>IF($I1495=0,0,$Q1494+$P1495+$O1495)</f>
      </c>
      <c r="R1495" s="43">
        <f>IF($I1495=0,0,$J1495-$M1495-$N1495)</f>
      </c>
    </row>
    <row r="1496">
      <c r="A1496"/>
      <c r="B1496">
        <v>4</v>
      </c>
      <c r="C1496" s="43">
        <f>INDEX(DarlObj,4)</f>
      </c>
      <c r="D1496">
        <v>53</v>
      </c>
      <c r="E1496" s="51">
        <f>IF(INDEX(DarlBelegt,4)=0,0,EOMONTH(INDEX(DarlAuszahlung,4),52)+1)</f>
      </c>
      <c r="F1496" s="43">
        <f>IF($E1496=0,0,YEAR($E1496))</f>
      </c>
      <c r="G1496" s="43">
        <f>IF(INDEX(DarlBindung,4)="",1,IF($E1496&lt;=INDEX(DarlBindung,4),1,0))</f>
      </c>
      <c r="H1496" s="43">
        <f>IF($G1496=1,INDEX(DarlSollzins,4),INDEX(DarlAnschluss,4))</f>
      </c>
      <c r="I1496" s="43">
        <f>IF(INDEX(DarlBelegt,4)=0,0,IF(INDEX(DarlOhneTilgung,4)=1,IF(INDEX(DarlBindung,4)="",1,$G1496),IF($J1496&gt;0.005,1,0)))</f>
      </c>
      <c r="J1496" s="43">
        <f>IF($I1495=0,0,$R1495)</f>
      </c>
      <c r="K1496" s="43">
        <f>IF($I1496=0,0,IF(INDEX(DarlOhneTilgung,4)=1,0,IF(AND(INDEX(DarlTilgStart,4)&gt;0,$E1496=INDEX(DarlTilgStart,4)),$J1496*($H1496+INDEX(DarlTilgung,4))/100/12,IF(AND($G1496=0,$G1495=1),MAX($K1495,$J1496*($H1496+1)/100/12),$K1495))))</f>
      </c>
      <c r="L1496" s="43">
        <f>IF($I1496=0,0,$J1496*$H1496/100/12)</f>
      </c>
      <c r="M1496" s="43">
        <f>IF($I1496=0,0,IF(OR(INDEX(DarlOhneTilgung,4)=1,AND(INDEX(DarlTilgStart,4)&gt;0,$E1496&lt;INDEX(DarlTilgStart,4))),0,MIN(MAX(0,$K1496-$L1496),$J1496)))</f>
      </c>
      <c r="N1496" s="43">
        <f>IF($I1496=0,0,MIN(SUMIFS(SondBetrag,SondDarl,4,SondDatum,"&gt;="&amp;$E1496,SondDatum,"&lt;="&amp;EOMONTH($E1496,0)),$J1496-$M1496))</f>
      </c>
      <c r="O1496" s="43">
        <f>IF($I1496=0,0,INDEX(DarlErsatzRate,4))</f>
      </c>
      <c r="P1496" s="43">
        <f>IF($I1496=0,0,$Q1495*INDEX(DarlErsatzZins,4))</f>
      </c>
      <c r="Q1496" s="43">
        <f>IF($I1496=0,0,$Q1495+$P1496+$O1496)</f>
      </c>
      <c r="R1496" s="43">
        <f>IF($I1496=0,0,$J1496-$M1496-$N1496)</f>
      </c>
    </row>
    <row r="1497">
      <c r="A1497"/>
      <c r="B1497">
        <v>4</v>
      </c>
      <c r="C1497" s="43">
        <f>INDEX(DarlObj,4)</f>
      </c>
      <c r="D1497">
        <v>54</v>
      </c>
      <c r="E1497" s="51">
        <f>IF(INDEX(DarlBelegt,4)=0,0,EOMONTH(INDEX(DarlAuszahlung,4),53)+1)</f>
      </c>
      <c r="F1497" s="43">
        <f>IF($E1497=0,0,YEAR($E1497))</f>
      </c>
      <c r="G1497" s="43">
        <f>IF(INDEX(DarlBindung,4)="",1,IF($E1497&lt;=INDEX(DarlBindung,4),1,0))</f>
      </c>
      <c r="H1497" s="43">
        <f>IF($G1497=1,INDEX(DarlSollzins,4),INDEX(DarlAnschluss,4))</f>
      </c>
      <c r="I1497" s="43">
        <f>IF(INDEX(DarlBelegt,4)=0,0,IF(INDEX(DarlOhneTilgung,4)=1,IF(INDEX(DarlBindung,4)="",1,$G1497),IF($J1497&gt;0.005,1,0)))</f>
      </c>
      <c r="J1497" s="43">
        <f>IF($I1496=0,0,$R1496)</f>
      </c>
      <c r="K1497" s="43">
        <f>IF($I1497=0,0,IF(INDEX(DarlOhneTilgung,4)=1,0,IF(AND(INDEX(DarlTilgStart,4)&gt;0,$E1497=INDEX(DarlTilgStart,4)),$J1497*($H1497+INDEX(DarlTilgung,4))/100/12,IF(AND($G1497=0,$G1496=1),MAX($K1496,$J1497*($H1497+1)/100/12),$K1496))))</f>
      </c>
      <c r="L1497" s="43">
        <f>IF($I1497=0,0,$J1497*$H1497/100/12)</f>
      </c>
      <c r="M1497" s="43">
        <f>IF($I1497=0,0,IF(OR(INDEX(DarlOhneTilgung,4)=1,AND(INDEX(DarlTilgStart,4)&gt;0,$E1497&lt;INDEX(DarlTilgStart,4))),0,MIN(MAX(0,$K1497-$L1497),$J1497)))</f>
      </c>
      <c r="N1497" s="43">
        <f>IF($I1497=0,0,MIN(SUMIFS(SondBetrag,SondDarl,4,SondDatum,"&gt;="&amp;$E1497,SondDatum,"&lt;="&amp;EOMONTH($E1497,0)),$J1497-$M1497))</f>
      </c>
      <c r="O1497" s="43">
        <f>IF($I1497=0,0,INDEX(DarlErsatzRate,4))</f>
      </c>
      <c r="P1497" s="43">
        <f>IF($I1497=0,0,$Q1496*INDEX(DarlErsatzZins,4))</f>
      </c>
      <c r="Q1497" s="43">
        <f>IF($I1497=0,0,$Q1496+$P1497+$O1497)</f>
      </c>
      <c r="R1497" s="43">
        <f>IF($I1497=0,0,$J1497-$M1497-$N1497)</f>
      </c>
    </row>
    <row r="1498">
      <c r="A1498"/>
      <c r="B1498">
        <v>4</v>
      </c>
      <c r="C1498" s="43">
        <f>INDEX(DarlObj,4)</f>
      </c>
      <c r="D1498">
        <v>55</v>
      </c>
      <c r="E1498" s="51">
        <f>IF(INDEX(DarlBelegt,4)=0,0,EOMONTH(INDEX(DarlAuszahlung,4),54)+1)</f>
      </c>
      <c r="F1498" s="43">
        <f>IF($E1498=0,0,YEAR($E1498))</f>
      </c>
      <c r="G1498" s="43">
        <f>IF(INDEX(DarlBindung,4)="",1,IF($E1498&lt;=INDEX(DarlBindung,4),1,0))</f>
      </c>
      <c r="H1498" s="43">
        <f>IF($G1498=1,INDEX(DarlSollzins,4),INDEX(DarlAnschluss,4))</f>
      </c>
      <c r="I1498" s="43">
        <f>IF(INDEX(DarlBelegt,4)=0,0,IF(INDEX(DarlOhneTilgung,4)=1,IF(INDEX(DarlBindung,4)="",1,$G1498),IF($J1498&gt;0.005,1,0)))</f>
      </c>
      <c r="J1498" s="43">
        <f>IF($I1497=0,0,$R1497)</f>
      </c>
      <c r="K1498" s="43">
        <f>IF($I1498=0,0,IF(INDEX(DarlOhneTilgung,4)=1,0,IF(AND(INDEX(DarlTilgStart,4)&gt;0,$E1498=INDEX(DarlTilgStart,4)),$J1498*($H1498+INDEX(DarlTilgung,4))/100/12,IF(AND($G1498=0,$G1497=1),MAX($K1497,$J1498*($H1498+1)/100/12),$K1497))))</f>
      </c>
      <c r="L1498" s="43">
        <f>IF($I1498=0,0,$J1498*$H1498/100/12)</f>
      </c>
      <c r="M1498" s="43">
        <f>IF($I1498=0,0,IF(OR(INDEX(DarlOhneTilgung,4)=1,AND(INDEX(DarlTilgStart,4)&gt;0,$E1498&lt;INDEX(DarlTilgStart,4))),0,MIN(MAX(0,$K1498-$L1498),$J1498)))</f>
      </c>
      <c r="N1498" s="43">
        <f>IF($I1498=0,0,MIN(SUMIFS(SondBetrag,SondDarl,4,SondDatum,"&gt;="&amp;$E1498,SondDatum,"&lt;="&amp;EOMONTH($E1498,0)),$J1498-$M1498))</f>
      </c>
      <c r="O1498" s="43">
        <f>IF($I1498=0,0,INDEX(DarlErsatzRate,4))</f>
      </c>
      <c r="P1498" s="43">
        <f>IF($I1498=0,0,$Q1497*INDEX(DarlErsatzZins,4))</f>
      </c>
      <c r="Q1498" s="43">
        <f>IF($I1498=0,0,$Q1497+$P1498+$O1498)</f>
      </c>
      <c r="R1498" s="43">
        <f>IF($I1498=0,0,$J1498-$M1498-$N1498)</f>
      </c>
    </row>
    <row r="1499">
      <c r="A1499"/>
      <c r="B1499">
        <v>4</v>
      </c>
      <c r="C1499" s="43">
        <f>INDEX(DarlObj,4)</f>
      </c>
      <c r="D1499">
        <v>56</v>
      </c>
      <c r="E1499" s="51">
        <f>IF(INDEX(DarlBelegt,4)=0,0,EOMONTH(INDEX(DarlAuszahlung,4),55)+1)</f>
      </c>
      <c r="F1499" s="43">
        <f>IF($E1499=0,0,YEAR($E1499))</f>
      </c>
      <c r="G1499" s="43">
        <f>IF(INDEX(DarlBindung,4)="",1,IF($E1499&lt;=INDEX(DarlBindung,4),1,0))</f>
      </c>
      <c r="H1499" s="43">
        <f>IF($G1499=1,INDEX(DarlSollzins,4),INDEX(DarlAnschluss,4))</f>
      </c>
      <c r="I1499" s="43">
        <f>IF(INDEX(DarlBelegt,4)=0,0,IF(INDEX(DarlOhneTilgung,4)=1,IF(INDEX(DarlBindung,4)="",1,$G1499),IF($J1499&gt;0.005,1,0)))</f>
      </c>
      <c r="J1499" s="43">
        <f>IF($I1498=0,0,$R1498)</f>
      </c>
      <c r="K1499" s="43">
        <f>IF($I1499=0,0,IF(INDEX(DarlOhneTilgung,4)=1,0,IF(AND(INDEX(DarlTilgStart,4)&gt;0,$E1499=INDEX(DarlTilgStart,4)),$J1499*($H1499+INDEX(DarlTilgung,4))/100/12,IF(AND($G1499=0,$G1498=1),MAX($K1498,$J1499*($H1499+1)/100/12),$K1498))))</f>
      </c>
      <c r="L1499" s="43">
        <f>IF($I1499=0,0,$J1499*$H1499/100/12)</f>
      </c>
      <c r="M1499" s="43">
        <f>IF($I1499=0,0,IF(OR(INDEX(DarlOhneTilgung,4)=1,AND(INDEX(DarlTilgStart,4)&gt;0,$E1499&lt;INDEX(DarlTilgStart,4))),0,MIN(MAX(0,$K1499-$L1499),$J1499)))</f>
      </c>
      <c r="N1499" s="43">
        <f>IF($I1499=0,0,MIN(SUMIFS(SondBetrag,SondDarl,4,SondDatum,"&gt;="&amp;$E1499,SondDatum,"&lt;="&amp;EOMONTH($E1499,0)),$J1499-$M1499))</f>
      </c>
      <c r="O1499" s="43">
        <f>IF($I1499=0,0,INDEX(DarlErsatzRate,4))</f>
      </c>
      <c r="P1499" s="43">
        <f>IF($I1499=0,0,$Q1498*INDEX(DarlErsatzZins,4))</f>
      </c>
      <c r="Q1499" s="43">
        <f>IF($I1499=0,0,$Q1498+$P1499+$O1499)</f>
      </c>
      <c r="R1499" s="43">
        <f>IF($I1499=0,0,$J1499-$M1499-$N1499)</f>
      </c>
    </row>
    <row r="1500">
      <c r="A1500"/>
      <c r="B1500">
        <v>4</v>
      </c>
      <c r="C1500" s="43">
        <f>INDEX(DarlObj,4)</f>
      </c>
      <c r="D1500">
        <v>57</v>
      </c>
      <c r="E1500" s="51">
        <f>IF(INDEX(DarlBelegt,4)=0,0,EOMONTH(INDEX(DarlAuszahlung,4),56)+1)</f>
      </c>
      <c r="F1500" s="43">
        <f>IF($E1500=0,0,YEAR($E1500))</f>
      </c>
      <c r="G1500" s="43">
        <f>IF(INDEX(DarlBindung,4)="",1,IF($E1500&lt;=INDEX(DarlBindung,4),1,0))</f>
      </c>
      <c r="H1500" s="43">
        <f>IF($G1500=1,INDEX(DarlSollzins,4),INDEX(DarlAnschluss,4))</f>
      </c>
      <c r="I1500" s="43">
        <f>IF(INDEX(DarlBelegt,4)=0,0,IF(INDEX(DarlOhneTilgung,4)=1,IF(INDEX(DarlBindung,4)="",1,$G1500),IF($J1500&gt;0.005,1,0)))</f>
      </c>
      <c r="J1500" s="43">
        <f>IF($I1499=0,0,$R1499)</f>
      </c>
      <c r="K1500" s="43">
        <f>IF($I1500=0,0,IF(INDEX(DarlOhneTilgung,4)=1,0,IF(AND(INDEX(DarlTilgStart,4)&gt;0,$E1500=INDEX(DarlTilgStart,4)),$J1500*($H1500+INDEX(DarlTilgung,4))/100/12,IF(AND($G1500=0,$G1499=1),MAX($K1499,$J1500*($H1500+1)/100/12),$K1499))))</f>
      </c>
      <c r="L1500" s="43">
        <f>IF($I1500=0,0,$J1500*$H1500/100/12)</f>
      </c>
      <c r="M1500" s="43">
        <f>IF($I1500=0,0,IF(OR(INDEX(DarlOhneTilgung,4)=1,AND(INDEX(DarlTilgStart,4)&gt;0,$E1500&lt;INDEX(DarlTilgStart,4))),0,MIN(MAX(0,$K1500-$L1500),$J1500)))</f>
      </c>
      <c r="N1500" s="43">
        <f>IF($I1500=0,0,MIN(SUMIFS(SondBetrag,SondDarl,4,SondDatum,"&gt;="&amp;$E1500,SondDatum,"&lt;="&amp;EOMONTH($E1500,0)),$J1500-$M1500))</f>
      </c>
      <c r="O1500" s="43">
        <f>IF($I1500=0,0,INDEX(DarlErsatzRate,4))</f>
      </c>
      <c r="P1500" s="43">
        <f>IF($I1500=0,0,$Q1499*INDEX(DarlErsatzZins,4))</f>
      </c>
      <c r="Q1500" s="43">
        <f>IF($I1500=0,0,$Q1499+$P1500+$O1500)</f>
      </c>
      <c r="R1500" s="43">
        <f>IF($I1500=0,0,$J1500-$M1500-$N1500)</f>
      </c>
    </row>
    <row r="1501">
      <c r="A1501"/>
      <c r="B1501">
        <v>4</v>
      </c>
      <c r="C1501" s="43">
        <f>INDEX(DarlObj,4)</f>
      </c>
      <c r="D1501">
        <v>58</v>
      </c>
      <c r="E1501" s="51">
        <f>IF(INDEX(DarlBelegt,4)=0,0,EOMONTH(INDEX(DarlAuszahlung,4),57)+1)</f>
      </c>
      <c r="F1501" s="43">
        <f>IF($E1501=0,0,YEAR($E1501))</f>
      </c>
      <c r="G1501" s="43">
        <f>IF(INDEX(DarlBindung,4)="",1,IF($E1501&lt;=INDEX(DarlBindung,4),1,0))</f>
      </c>
      <c r="H1501" s="43">
        <f>IF($G1501=1,INDEX(DarlSollzins,4),INDEX(DarlAnschluss,4))</f>
      </c>
      <c r="I1501" s="43">
        <f>IF(INDEX(DarlBelegt,4)=0,0,IF(INDEX(DarlOhneTilgung,4)=1,IF(INDEX(DarlBindung,4)="",1,$G1501),IF($J1501&gt;0.005,1,0)))</f>
      </c>
      <c r="J1501" s="43">
        <f>IF($I1500=0,0,$R1500)</f>
      </c>
      <c r="K1501" s="43">
        <f>IF($I1501=0,0,IF(INDEX(DarlOhneTilgung,4)=1,0,IF(AND(INDEX(DarlTilgStart,4)&gt;0,$E1501=INDEX(DarlTilgStart,4)),$J1501*($H1501+INDEX(DarlTilgung,4))/100/12,IF(AND($G1501=0,$G1500=1),MAX($K1500,$J1501*($H1501+1)/100/12),$K1500))))</f>
      </c>
      <c r="L1501" s="43">
        <f>IF($I1501=0,0,$J1501*$H1501/100/12)</f>
      </c>
      <c r="M1501" s="43">
        <f>IF($I1501=0,0,IF(OR(INDEX(DarlOhneTilgung,4)=1,AND(INDEX(DarlTilgStart,4)&gt;0,$E1501&lt;INDEX(DarlTilgStart,4))),0,MIN(MAX(0,$K1501-$L1501),$J1501)))</f>
      </c>
      <c r="N1501" s="43">
        <f>IF($I1501=0,0,MIN(SUMIFS(SondBetrag,SondDarl,4,SondDatum,"&gt;="&amp;$E1501,SondDatum,"&lt;="&amp;EOMONTH($E1501,0)),$J1501-$M1501))</f>
      </c>
      <c r="O1501" s="43">
        <f>IF($I1501=0,0,INDEX(DarlErsatzRate,4))</f>
      </c>
      <c r="P1501" s="43">
        <f>IF($I1501=0,0,$Q1500*INDEX(DarlErsatzZins,4))</f>
      </c>
      <c r="Q1501" s="43">
        <f>IF($I1501=0,0,$Q1500+$P1501+$O1501)</f>
      </c>
      <c r="R1501" s="43">
        <f>IF($I1501=0,0,$J1501-$M1501-$N1501)</f>
      </c>
    </row>
    <row r="1502">
      <c r="A1502"/>
      <c r="B1502">
        <v>4</v>
      </c>
      <c r="C1502" s="43">
        <f>INDEX(DarlObj,4)</f>
      </c>
      <c r="D1502">
        <v>59</v>
      </c>
      <c r="E1502" s="51">
        <f>IF(INDEX(DarlBelegt,4)=0,0,EOMONTH(INDEX(DarlAuszahlung,4),58)+1)</f>
      </c>
      <c r="F1502" s="43">
        <f>IF($E1502=0,0,YEAR($E1502))</f>
      </c>
      <c r="G1502" s="43">
        <f>IF(INDEX(DarlBindung,4)="",1,IF($E1502&lt;=INDEX(DarlBindung,4),1,0))</f>
      </c>
      <c r="H1502" s="43">
        <f>IF($G1502=1,INDEX(DarlSollzins,4),INDEX(DarlAnschluss,4))</f>
      </c>
      <c r="I1502" s="43">
        <f>IF(INDEX(DarlBelegt,4)=0,0,IF(INDEX(DarlOhneTilgung,4)=1,IF(INDEX(DarlBindung,4)="",1,$G1502),IF($J1502&gt;0.005,1,0)))</f>
      </c>
      <c r="J1502" s="43">
        <f>IF($I1501=0,0,$R1501)</f>
      </c>
      <c r="K1502" s="43">
        <f>IF($I1502=0,0,IF(INDEX(DarlOhneTilgung,4)=1,0,IF(AND(INDEX(DarlTilgStart,4)&gt;0,$E1502=INDEX(DarlTilgStart,4)),$J1502*($H1502+INDEX(DarlTilgung,4))/100/12,IF(AND($G1502=0,$G1501=1),MAX($K1501,$J1502*($H1502+1)/100/12),$K1501))))</f>
      </c>
      <c r="L1502" s="43">
        <f>IF($I1502=0,0,$J1502*$H1502/100/12)</f>
      </c>
      <c r="M1502" s="43">
        <f>IF($I1502=0,0,IF(OR(INDEX(DarlOhneTilgung,4)=1,AND(INDEX(DarlTilgStart,4)&gt;0,$E1502&lt;INDEX(DarlTilgStart,4))),0,MIN(MAX(0,$K1502-$L1502),$J1502)))</f>
      </c>
      <c r="N1502" s="43">
        <f>IF($I1502=0,0,MIN(SUMIFS(SondBetrag,SondDarl,4,SondDatum,"&gt;="&amp;$E1502,SondDatum,"&lt;="&amp;EOMONTH($E1502,0)),$J1502-$M1502))</f>
      </c>
      <c r="O1502" s="43">
        <f>IF($I1502=0,0,INDEX(DarlErsatzRate,4))</f>
      </c>
      <c r="P1502" s="43">
        <f>IF($I1502=0,0,$Q1501*INDEX(DarlErsatzZins,4))</f>
      </c>
      <c r="Q1502" s="43">
        <f>IF($I1502=0,0,$Q1501+$P1502+$O1502)</f>
      </c>
      <c r="R1502" s="43">
        <f>IF($I1502=0,0,$J1502-$M1502-$N1502)</f>
      </c>
    </row>
    <row r="1503">
      <c r="A1503"/>
      <c r="B1503">
        <v>4</v>
      </c>
      <c r="C1503" s="43">
        <f>INDEX(DarlObj,4)</f>
      </c>
      <c r="D1503">
        <v>60</v>
      </c>
      <c r="E1503" s="51">
        <f>IF(INDEX(DarlBelegt,4)=0,0,EOMONTH(INDEX(DarlAuszahlung,4),59)+1)</f>
      </c>
      <c r="F1503" s="43">
        <f>IF($E1503=0,0,YEAR($E1503))</f>
      </c>
      <c r="G1503" s="43">
        <f>IF(INDEX(DarlBindung,4)="",1,IF($E1503&lt;=INDEX(DarlBindung,4),1,0))</f>
      </c>
      <c r="H1503" s="43">
        <f>IF($G1503=1,INDEX(DarlSollzins,4),INDEX(DarlAnschluss,4))</f>
      </c>
      <c r="I1503" s="43">
        <f>IF(INDEX(DarlBelegt,4)=0,0,IF(INDEX(DarlOhneTilgung,4)=1,IF(INDEX(DarlBindung,4)="",1,$G1503),IF($J1503&gt;0.005,1,0)))</f>
      </c>
      <c r="J1503" s="43">
        <f>IF($I1502=0,0,$R1502)</f>
      </c>
      <c r="K1503" s="43">
        <f>IF($I1503=0,0,IF(INDEX(DarlOhneTilgung,4)=1,0,IF(AND(INDEX(DarlTilgStart,4)&gt;0,$E1503=INDEX(DarlTilgStart,4)),$J1503*($H1503+INDEX(DarlTilgung,4))/100/12,IF(AND($G1503=0,$G1502=1),MAX($K1502,$J1503*($H1503+1)/100/12),$K1502))))</f>
      </c>
      <c r="L1503" s="43">
        <f>IF($I1503=0,0,$J1503*$H1503/100/12)</f>
      </c>
      <c r="M1503" s="43">
        <f>IF($I1503=0,0,IF(OR(INDEX(DarlOhneTilgung,4)=1,AND(INDEX(DarlTilgStart,4)&gt;0,$E1503&lt;INDEX(DarlTilgStart,4))),0,MIN(MAX(0,$K1503-$L1503),$J1503)))</f>
      </c>
      <c r="N1503" s="43">
        <f>IF($I1503=0,0,MIN(SUMIFS(SondBetrag,SondDarl,4,SondDatum,"&gt;="&amp;$E1503,SondDatum,"&lt;="&amp;EOMONTH($E1503,0)),$J1503-$M1503))</f>
      </c>
      <c r="O1503" s="43">
        <f>IF($I1503=0,0,INDEX(DarlErsatzRate,4))</f>
      </c>
      <c r="P1503" s="43">
        <f>IF($I1503=0,0,$Q1502*INDEX(DarlErsatzZins,4))</f>
      </c>
      <c r="Q1503" s="43">
        <f>IF($I1503=0,0,$Q1502+$P1503+$O1503)</f>
      </c>
      <c r="R1503" s="43">
        <f>IF($I1503=0,0,$J1503-$M1503-$N1503)</f>
      </c>
    </row>
    <row r="1504">
      <c r="A1504"/>
      <c r="B1504">
        <v>4</v>
      </c>
      <c r="C1504" s="43">
        <f>INDEX(DarlObj,4)</f>
      </c>
      <c r="D1504">
        <v>61</v>
      </c>
      <c r="E1504" s="51">
        <f>IF(INDEX(DarlBelegt,4)=0,0,EOMONTH(INDEX(DarlAuszahlung,4),60)+1)</f>
      </c>
      <c r="F1504" s="43">
        <f>IF($E1504=0,0,YEAR($E1504))</f>
      </c>
      <c r="G1504" s="43">
        <f>IF(INDEX(DarlBindung,4)="",1,IF($E1504&lt;=INDEX(DarlBindung,4),1,0))</f>
      </c>
      <c r="H1504" s="43">
        <f>IF($G1504=1,INDEX(DarlSollzins,4),INDEX(DarlAnschluss,4))</f>
      </c>
      <c r="I1504" s="43">
        <f>IF(INDEX(DarlBelegt,4)=0,0,IF(INDEX(DarlOhneTilgung,4)=1,IF(INDEX(DarlBindung,4)="",1,$G1504),IF($J1504&gt;0.005,1,0)))</f>
      </c>
      <c r="J1504" s="43">
        <f>IF($I1503=0,0,$R1503)</f>
      </c>
      <c r="K1504" s="43">
        <f>IF($I1504=0,0,IF(INDEX(DarlOhneTilgung,4)=1,0,IF(AND(INDEX(DarlTilgStart,4)&gt;0,$E1504=INDEX(DarlTilgStart,4)),$J1504*($H1504+INDEX(DarlTilgung,4))/100/12,IF(AND($G1504=0,$G1503=1),MAX($K1503,$J1504*($H1504+1)/100/12),$K1503))))</f>
      </c>
      <c r="L1504" s="43">
        <f>IF($I1504=0,0,$J1504*$H1504/100/12)</f>
      </c>
      <c r="M1504" s="43">
        <f>IF($I1504=0,0,IF(OR(INDEX(DarlOhneTilgung,4)=1,AND(INDEX(DarlTilgStart,4)&gt;0,$E1504&lt;INDEX(DarlTilgStart,4))),0,MIN(MAX(0,$K1504-$L1504),$J1504)))</f>
      </c>
      <c r="N1504" s="43">
        <f>IF($I1504=0,0,MIN(SUMIFS(SondBetrag,SondDarl,4,SondDatum,"&gt;="&amp;$E1504,SondDatum,"&lt;="&amp;EOMONTH($E1504,0)),$J1504-$M1504))</f>
      </c>
      <c r="O1504" s="43">
        <f>IF($I1504=0,0,INDEX(DarlErsatzRate,4))</f>
      </c>
      <c r="P1504" s="43">
        <f>IF($I1504=0,0,$Q1503*INDEX(DarlErsatzZins,4))</f>
      </c>
      <c r="Q1504" s="43">
        <f>IF($I1504=0,0,$Q1503+$P1504+$O1504)</f>
      </c>
      <c r="R1504" s="43">
        <f>IF($I1504=0,0,$J1504-$M1504-$N1504)</f>
      </c>
    </row>
    <row r="1505">
      <c r="A1505"/>
      <c r="B1505">
        <v>4</v>
      </c>
      <c r="C1505" s="43">
        <f>INDEX(DarlObj,4)</f>
      </c>
      <c r="D1505">
        <v>62</v>
      </c>
      <c r="E1505" s="51">
        <f>IF(INDEX(DarlBelegt,4)=0,0,EOMONTH(INDEX(DarlAuszahlung,4),61)+1)</f>
      </c>
      <c r="F1505" s="43">
        <f>IF($E1505=0,0,YEAR($E1505))</f>
      </c>
      <c r="G1505" s="43">
        <f>IF(INDEX(DarlBindung,4)="",1,IF($E1505&lt;=INDEX(DarlBindung,4),1,0))</f>
      </c>
      <c r="H1505" s="43">
        <f>IF($G1505=1,INDEX(DarlSollzins,4),INDEX(DarlAnschluss,4))</f>
      </c>
      <c r="I1505" s="43">
        <f>IF(INDEX(DarlBelegt,4)=0,0,IF(INDEX(DarlOhneTilgung,4)=1,IF(INDEX(DarlBindung,4)="",1,$G1505),IF($J1505&gt;0.005,1,0)))</f>
      </c>
      <c r="J1505" s="43">
        <f>IF($I1504=0,0,$R1504)</f>
      </c>
      <c r="K1505" s="43">
        <f>IF($I1505=0,0,IF(INDEX(DarlOhneTilgung,4)=1,0,IF(AND(INDEX(DarlTilgStart,4)&gt;0,$E1505=INDEX(DarlTilgStart,4)),$J1505*($H1505+INDEX(DarlTilgung,4))/100/12,IF(AND($G1505=0,$G1504=1),MAX($K1504,$J1505*($H1505+1)/100/12),$K1504))))</f>
      </c>
      <c r="L1505" s="43">
        <f>IF($I1505=0,0,$J1505*$H1505/100/12)</f>
      </c>
      <c r="M1505" s="43">
        <f>IF($I1505=0,0,IF(OR(INDEX(DarlOhneTilgung,4)=1,AND(INDEX(DarlTilgStart,4)&gt;0,$E1505&lt;INDEX(DarlTilgStart,4))),0,MIN(MAX(0,$K1505-$L1505),$J1505)))</f>
      </c>
      <c r="N1505" s="43">
        <f>IF($I1505=0,0,MIN(SUMIFS(SondBetrag,SondDarl,4,SondDatum,"&gt;="&amp;$E1505,SondDatum,"&lt;="&amp;EOMONTH($E1505,0)),$J1505-$M1505))</f>
      </c>
      <c r="O1505" s="43">
        <f>IF($I1505=0,0,INDEX(DarlErsatzRate,4))</f>
      </c>
      <c r="P1505" s="43">
        <f>IF($I1505=0,0,$Q1504*INDEX(DarlErsatzZins,4))</f>
      </c>
      <c r="Q1505" s="43">
        <f>IF($I1505=0,0,$Q1504+$P1505+$O1505)</f>
      </c>
      <c r="R1505" s="43">
        <f>IF($I1505=0,0,$J1505-$M1505-$N1505)</f>
      </c>
    </row>
    <row r="1506">
      <c r="A1506"/>
      <c r="B1506">
        <v>4</v>
      </c>
      <c r="C1506" s="43">
        <f>INDEX(DarlObj,4)</f>
      </c>
      <c r="D1506">
        <v>63</v>
      </c>
      <c r="E1506" s="51">
        <f>IF(INDEX(DarlBelegt,4)=0,0,EOMONTH(INDEX(DarlAuszahlung,4),62)+1)</f>
      </c>
      <c r="F1506" s="43">
        <f>IF($E1506=0,0,YEAR($E1506))</f>
      </c>
      <c r="G1506" s="43">
        <f>IF(INDEX(DarlBindung,4)="",1,IF($E1506&lt;=INDEX(DarlBindung,4),1,0))</f>
      </c>
      <c r="H1506" s="43">
        <f>IF($G1506=1,INDEX(DarlSollzins,4),INDEX(DarlAnschluss,4))</f>
      </c>
      <c r="I1506" s="43">
        <f>IF(INDEX(DarlBelegt,4)=0,0,IF(INDEX(DarlOhneTilgung,4)=1,IF(INDEX(DarlBindung,4)="",1,$G1506),IF($J1506&gt;0.005,1,0)))</f>
      </c>
      <c r="J1506" s="43">
        <f>IF($I1505=0,0,$R1505)</f>
      </c>
      <c r="K1506" s="43">
        <f>IF($I1506=0,0,IF(INDEX(DarlOhneTilgung,4)=1,0,IF(AND(INDEX(DarlTilgStart,4)&gt;0,$E1506=INDEX(DarlTilgStart,4)),$J1506*($H1506+INDEX(DarlTilgung,4))/100/12,IF(AND($G1506=0,$G1505=1),MAX($K1505,$J1506*($H1506+1)/100/12),$K1505))))</f>
      </c>
      <c r="L1506" s="43">
        <f>IF($I1506=0,0,$J1506*$H1506/100/12)</f>
      </c>
      <c r="M1506" s="43">
        <f>IF($I1506=0,0,IF(OR(INDEX(DarlOhneTilgung,4)=1,AND(INDEX(DarlTilgStart,4)&gt;0,$E1506&lt;INDEX(DarlTilgStart,4))),0,MIN(MAX(0,$K1506-$L1506),$J1506)))</f>
      </c>
      <c r="N1506" s="43">
        <f>IF($I1506=0,0,MIN(SUMIFS(SondBetrag,SondDarl,4,SondDatum,"&gt;="&amp;$E1506,SondDatum,"&lt;="&amp;EOMONTH($E1506,0)),$J1506-$M1506))</f>
      </c>
      <c r="O1506" s="43">
        <f>IF($I1506=0,0,INDEX(DarlErsatzRate,4))</f>
      </c>
      <c r="P1506" s="43">
        <f>IF($I1506=0,0,$Q1505*INDEX(DarlErsatzZins,4))</f>
      </c>
      <c r="Q1506" s="43">
        <f>IF($I1506=0,0,$Q1505+$P1506+$O1506)</f>
      </c>
      <c r="R1506" s="43">
        <f>IF($I1506=0,0,$J1506-$M1506-$N1506)</f>
      </c>
    </row>
    <row r="1507">
      <c r="A1507"/>
      <c r="B1507">
        <v>4</v>
      </c>
      <c r="C1507" s="43">
        <f>INDEX(DarlObj,4)</f>
      </c>
      <c r="D1507">
        <v>64</v>
      </c>
      <c r="E1507" s="51">
        <f>IF(INDEX(DarlBelegt,4)=0,0,EOMONTH(INDEX(DarlAuszahlung,4),63)+1)</f>
      </c>
      <c r="F1507" s="43">
        <f>IF($E1507=0,0,YEAR($E1507))</f>
      </c>
      <c r="G1507" s="43">
        <f>IF(INDEX(DarlBindung,4)="",1,IF($E1507&lt;=INDEX(DarlBindung,4),1,0))</f>
      </c>
      <c r="H1507" s="43">
        <f>IF($G1507=1,INDEX(DarlSollzins,4),INDEX(DarlAnschluss,4))</f>
      </c>
      <c r="I1507" s="43">
        <f>IF(INDEX(DarlBelegt,4)=0,0,IF(INDEX(DarlOhneTilgung,4)=1,IF(INDEX(DarlBindung,4)="",1,$G1507),IF($J1507&gt;0.005,1,0)))</f>
      </c>
      <c r="J1507" s="43">
        <f>IF($I1506=0,0,$R1506)</f>
      </c>
      <c r="K1507" s="43">
        <f>IF($I1507=0,0,IF(INDEX(DarlOhneTilgung,4)=1,0,IF(AND(INDEX(DarlTilgStart,4)&gt;0,$E1507=INDEX(DarlTilgStart,4)),$J1507*($H1507+INDEX(DarlTilgung,4))/100/12,IF(AND($G1507=0,$G1506=1),MAX($K1506,$J1507*($H1507+1)/100/12),$K1506))))</f>
      </c>
      <c r="L1507" s="43">
        <f>IF($I1507=0,0,$J1507*$H1507/100/12)</f>
      </c>
      <c r="M1507" s="43">
        <f>IF($I1507=0,0,IF(OR(INDEX(DarlOhneTilgung,4)=1,AND(INDEX(DarlTilgStart,4)&gt;0,$E1507&lt;INDEX(DarlTilgStart,4))),0,MIN(MAX(0,$K1507-$L1507),$J1507)))</f>
      </c>
      <c r="N1507" s="43">
        <f>IF($I1507=0,0,MIN(SUMIFS(SondBetrag,SondDarl,4,SondDatum,"&gt;="&amp;$E1507,SondDatum,"&lt;="&amp;EOMONTH($E1507,0)),$J1507-$M1507))</f>
      </c>
      <c r="O1507" s="43">
        <f>IF($I1507=0,0,INDEX(DarlErsatzRate,4))</f>
      </c>
      <c r="P1507" s="43">
        <f>IF($I1507=0,0,$Q1506*INDEX(DarlErsatzZins,4))</f>
      </c>
      <c r="Q1507" s="43">
        <f>IF($I1507=0,0,$Q1506+$P1507+$O1507)</f>
      </c>
      <c r="R1507" s="43">
        <f>IF($I1507=0,0,$J1507-$M1507-$N1507)</f>
      </c>
    </row>
    <row r="1508">
      <c r="A1508"/>
      <c r="B1508">
        <v>4</v>
      </c>
      <c r="C1508" s="43">
        <f>INDEX(DarlObj,4)</f>
      </c>
      <c r="D1508">
        <v>65</v>
      </c>
      <c r="E1508" s="51">
        <f>IF(INDEX(DarlBelegt,4)=0,0,EOMONTH(INDEX(DarlAuszahlung,4),64)+1)</f>
      </c>
      <c r="F1508" s="43">
        <f>IF($E1508=0,0,YEAR($E1508))</f>
      </c>
      <c r="G1508" s="43">
        <f>IF(INDEX(DarlBindung,4)="",1,IF($E1508&lt;=INDEX(DarlBindung,4),1,0))</f>
      </c>
      <c r="H1508" s="43">
        <f>IF($G1508=1,INDEX(DarlSollzins,4),INDEX(DarlAnschluss,4))</f>
      </c>
      <c r="I1508" s="43">
        <f>IF(INDEX(DarlBelegt,4)=0,0,IF(INDEX(DarlOhneTilgung,4)=1,IF(INDEX(DarlBindung,4)="",1,$G1508),IF($J1508&gt;0.005,1,0)))</f>
      </c>
      <c r="J1508" s="43">
        <f>IF($I1507=0,0,$R1507)</f>
      </c>
      <c r="K1508" s="43">
        <f>IF($I1508=0,0,IF(INDEX(DarlOhneTilgung,4)=1,0,IF(AND(INDEX(DarlTilgStart,4)&gt;0,$E1508=INDEX(DarlTilgStart,4)),$J1508*($H1508+INDEX(DarlTilgung,4))/100/12,IF(AND($G1508=0,$G1507=1),MAX($K1507,$J1508*($H1508+1)/100/12),$K1507))))</f>
      </c>
      <c r="L1508" s="43">
        <f>IF($I1508=0,0,$J1508*$H1508/100/12)</f>
      </c>
      <c r="M1508" s="43">
        <f>IF($I1508=0,0,IF(OR(INDEX(DarlOhneTilgung,4)=1,AND(INDEX(DarlTilgStart,4)&gt;0,$E1508&lt;INDEX(DarlTilgStart,4))),0,MIN(MAX(0,$K1508-$L1508),$J1508)))</f>
      </c>
      <c r="N1508" s="43">
        <f>IF($I1508=0,0,MIN(SUMIFS(SondBetrag,SondDarl,4,SondDatum,"&gt;="&amp;$E1508,SondDatum,"&lt;="&amp;EOMONTH($E1508,0)),$J1508-$M1508))</f>
      </c>
      <c r="O1508" s="43">
        <f>IF($I1508=0,0,INDEX(DarlErsatzRate,4))</f>
      </c>
      <c r="P1508" s="43">
        <f>IF($I1508=0,0,$Q1507*INDEX(DarlErsatzZins,4))</f>
      </c>
      <c r="Q1508" s="43">
        <f>IF($I1508=0,0,$Q1507+$P1508+$O1508)</f>
      </c>
      <c r="R1508" s="43">
        <f>IF($I1508=0,0,$J1508-$M1508-$N1508)</f>
      </c>
    </row>
    <row r="1509">
      <c r="A1509"/>
      <c r="B1509">
        <v>4</v>
      </c>
      <c r="C1509" s="43">
        <f>INDEX(DarlObj,4)</f>
      </c>
      <c r="D1509">
        <v>66</v>
      </c>
      <c r="E1509" s="51">
        <f>IF(INDEX(DarlBelegt,4)=0,0,EOMONTH(INDEX(DarlAuszahlung,4),65)+1)</f>
      </c>
      <c r="F1509" s="43">
        <f>IF($E1509=0,0,YEAR($E1509))</f>
      </c>
      <c r="G1509" s="43">
        <f>IF(INDEX(DarlBindung,4)="",1,IF($E1509&lt;=INDEX(DarlBindung,4),1,0))</f>
      </c>
      <c r="H1509" s="43">
        <f>IF($G1509=1,INDEX(DarlSollzins,4),INDEX(DarlAnschluss,4))</f>
      </c>
      <c r="I1509" s="43">
        <f>IF(INDEX(DarlBelegt,4)=0,0,IF(INDEX(DarlOhneTilgung,4)=1,IF(INDEX(DarlBindung,4)="",1,$G1509),IF($J1509&gt;0.005,1,0)))</f>
      </c>
      <c r="J1509" s="43">
        <f>IF($I1508=0,0,$R1508)</f>
      </c>
      <c r="K1509" s="43">
        <f>IF($I1509=0,0,IF(INDEX(DarlOhneTilgung,4)=1,0,IF(AND(INDEX(DarlTilgStart,4)&gt;0,$E1509=INDEX(DarlTilgStart,4)),$J1509*($H1509+INDEX(DarlTilgung,4))/100/12,IF(AND($G1509=0,$G1508=1),MAX($K1508,$J1509*($H1509+1)/100/12),$K1508))))</f>
      </c>
      <c r="L1509" s="43">
        <f>IF($I1509=0,0,$J1509*$H1509/100/12)</f>
      </c>
      <c r="M1509" s="43">
        <f>IF($I1509=0,0,IF(OR(INDEX(DarlOhneTilgung,4)=1,AND(INDEX(DarlTilgStart,4)&gt;0,$E1509&lt;INDEX(DarlTilgStart,4))),0,MIN(MAX(0,$K1509-$L1509),$J1509)))</f>
      </c>
      <c r="N1509" s="43">
        <f>IF($I1509=0,0,MIN(SUMIFS(SondBetrag,SondDarl,4,SondDatum,"&gt;="&amp;$E1509,SondDatum,"&lt;="&amp;EOMONTH($E1509,0)),$J1509-$M1509))</f>
      </c>
      <c r="O1509" s="43">
        <f>IF($I1509=0,0,INDEX(DarlErsatzRate,4))</f>
      </c>
      <c r="P1509" s="43">
        <f>IF($I1509=0,0,$Q1508*INDEX(DarlErsatzZins,4))</f>
      </c>
      <c r="Q1509" s="43">
        <f>IF($I1509=0,0,$Q1508+$P1509+$O1509)</f>
      </c>
      <c r="R1509" s="43">
        <f>IF($I1509=0,0,$J1509-$M1509-$N1509)</f>
      </c>
    </row>
    <row r="1510">
      <c r="A1510"/>
      <c r="B1510">
        <v>4</v>
      </c>
      <c r="C1510" s="43">
        <f>INDEX(DarlObj,4)</f>
      </c>
      <c r="D1510">
        <v>67</v>
      </c>
      <c r="E1510" s="51">
        <f>IF(INDEX(DarlBelegt,4)=0,0,EOMONTH(INDEX(DarlAuszahlung,4),66)+1)</f>
      </c>
      <c r="F1510" s="43">
        <f>IF($E1510=0,0,YEAR($E1510))</f>
      </c>
      <c r="G1510" s="43">
        <f>IF(INDEX(DarlBindung,4)="",1,IF($E1510&lt;=INDEX(DarlBindung,4),1,0))</f>
      </c>
      <c r="H1510" s="43">
        <f>IF($G1510=1,INDEX(DarlSollzins,4),INDEX(DarlAnschluss,4))</f>
      </c>
      <c r="I1510" s="43">
        <f>IF(INDEX(DarlBelegt,4)=0,0,IF(INDEX(DarlOhneTilgung,4)=1,IF(INDEX(DarlBindung,4)="",1,$G1510),IF($J1510&gt;0.005,1,0)))</f>
      </c>
      <c r="J1510" s="43">
        <f>IF($I1509=0,0,$R1509)</f>
      </c>
      <c r="K1510" s="43">
        <f>IF($I1510=0,0,IF(INDEX(DarlOhneTilgung,4)=1,0,IF(AND(INDEX(DarlTilgStart,4)&gt;0,$E1510=INDEX(DarlTilgStart,4)),$J1510*($H1510+INDEX(DarlTilgung,4))/100/12,IF(AND($G1510=0,$G1509=1),MAX($K1509,$J1510*($H1510+1)/100/12),$K1509))))</f>
      </c>
      <c r="L1510" s="43">
        <f>IF($I1510=0,0,$J1510*$H1510/100/12)</f>
      </c>
      <c r="M1510" s="43">
        <f>IF($I1510=0,0,IF(OR(INDEX(DarlOhneTilgung,4)=1,AND(INDEX(DarlTilgStart,4)&gt;0,$E1510&lt;INDEX(DarlTilgStart,4))),0,MIN(MAX(0,$K1510-$L1510),$J1510)))</f>
      </c>
      <c r="N1510" s="43">
        <f>IF($I1510=0,0,MIN(SUMIFS(SondBetrag,SondDarl,4,SondDatum,"&gt;="&amp;$E1510,SondDatum,"&lt;="&amp;EOMONTH($E1510,0)),$J1510-$M1510))</f>
      </c>
      <c r="O1510" s="43">
        <f>IF($I1510=0,0,INDEX(DarlErsatzRate,4))</f>
      </c>
      <c r="P1510" s="43">
        <f>IF($I1510=0,0,$Q1509*INDEX(DarlErsatzZins,4))</f>
      </c>
      <c r="Q1510" s="43">
        <f>IF($I1510=0,0,$Q1509+$P1510+$O1510)</f>
      </c>
      <c r="R1510" s="43">
        <f>IF($I1510=0,0,$J1510-$M1510-$N1510)</f>
      </c>
    </row>
    <row r="1511">
      <c r="A1511"/>
      <c r="B1511">
        <v>4</v>
      </c>
      <c r="C1511" s="43">
        <f>INDEX(DarlObj,4)</f>
      </c>
      <c r="D1511">
        <v>68</v>
      </c>
      <c r="E1511" s="51">
        <f>IF(INDEX(DarlBelegt,4)=0,0,EOMONTH(INDEX(DarlAuszahlung,4),67)+1)</f>
      </c>
      <c r="F1511" s="43">
        <f>IF($E1511=0,0,YEAR($E1511))</f>
      </c>
      <c r="G1511" s="43">
        <f>IF(INDEX(DarlBindung,4)="",1,IF($E1511&lt;=INDEX(DarlBindung,4),1,0))</f>
      </c>
      <c r="H1511" s="43">
        <f>IF($G1511=1,INDEX(DarlSollzins,4),INDEX(DarlAnschluss,4))</f>
      </c>
      <c r="I1511" s="43">
        <f>IF(INDEX(DarlBelegt,4)=0,0,IF(INDEX(DarlOhneTilgung,4)=1,IF(INDEX(DarlBindung,4)="",1,$G1511),IF($J1511&gt;0.005,1,0)))</f>
      </c>
      <c r="J1511" s="43">
        <f>IF($I1510=0,0,$R1510)</f>
      </c>
      <c r="K1511" s="43">
        <f>IF($I1511=0,0,IF(INDEX(DarlOhneTilgung,4)=1,0,IF(AND(INDEX(DarlTilgStart,4)&gt;0,$E1511=INDEX(DarlTilgStart,4)),$J1511*($H1511+INDEX(DarlTilgung,4))/100/12,IF(AND($G1511=0,$G1510=1),MAX($K1510,$J1511*($H1511+1)/100/12),$K1510))))</f>
      </c>
      <c r="L1511" s="43">
        <f>IF($I1511=0,0,$J1511*$H1511/100/12)</f>
      </c>
      <c r="M1511" s="43">
        <f>IF($I1511=0,0,IF(OR(INDEX(DarlOhneTilgung,4)=1,AND(INDEX(DarlTilgStart,4)&gt;0,$E1511&lt;INDEX(DarlTilgStart,4))),0,MIN(MAX(0,$K1511-$L1511),$J1511)))</f>
      </c>
      <c r="N1511" s="43">
        <f>IF($I1511=0,0,MIN(SUMIFS(SondBetrag,SondDarl,4,SondDatum,"&gt;="&amp;$E1511,SondDatum,"&lt;="&amp;EOMONTH($E1511,0)),$J1511-$M1511))</f>
      </c>
      <c r="O1511" s="43">
        <f>IF($I1511=0,0,INDEX(DarlErsatzRate,4))</f>
      </c>
      <c r="P1511" s="43">
        <f>IF($I1511=0,0,$Q1510*INDEX(DarlErsatzZins,4))</f>
      </c>
      <c r="Q1511" s="43">
        <f>IF($I1511=0,0,$Q1510+$P1511+$O1511)</f>
      </c>
      <c r="R1511" s="43">
        <f>IF($I1511=0,0,$J1511-$M1511-$N1511)</f>
      </c>
    </row>
    <row r="1512">
      <c r="A1512"/>
      <c r="B1512">
        <v>4</v>
      </c>
      <c r="C1512" s="43">
        <f>INDEX(DarlObj,4)</f>
      </c>
      <c r="D1512">
        <v>69</v>
      </c>
      <c r="E1512" s="51">
        <f>IF(INDEX(DarlBelegt,4)=0,0,EOMONTH(INDEX(DarlAuszahlung,4),68)+1)</f>
      </c>
      <c r="F1512" s="43">
        <f>IF($E1512=0,0,YEAR($E1512))</f>
      </c>
      <c r="G1512" s="43">
        <f>IF(INDEX(DarlBindung,4)="",1,IF($E1512&lt;=INDEX(DarlBindung,4),1,0))</f>
      </c>
      <c r="H1512" s="43">
        <f>IF($G1512=1,INDEX(DarlSollzins,4),INDEX(DarlAnschluss,4))</f>
      </c>
      <c r="I1512" s="43">
        <f>IF(INDEX(DarlBelegt,4)=0,0,IF(INDEX(DarlOhneTilgung,4)=1,IF(INDEX(DarlBindung,4)="",1,$G1512),IF($J1512&gt;0.005,1,0)))</f>
      </c>
      <c r="J1512" s="43">
        <f>IF($I1511=0,0,$R1511)</f>
      </c>
      <c r="K1512" s="43">
        <f>IF($I1512=0,0,IF(INDEX(DarlOhneTilgung,4)=1,0,IF(AND(INDEX(DarlTilgStart,4)&gt;0,$E1512=INDEX(DarlTilgStart,4)),$J1512*($H1512+INDEX(DarlTilgung,4))/100/12,IF(AND($G1512=0,$G1511=1),MAX($K1511,$J1512*($H1512+1)/100/12),$K1511))))</f>
      </c>
      <c r="L1512" s="43">
        <f>IF($I1512=0,0,$J1512*$H1512/100/12)</f>
      </c>
      <c r="M1512" s="43">
        <f>IF($I1512=0,0,IF(OR(INDEX(DarlOhneTilgung,4)=1,AND(INDEX(DarlTilgStart,4)&gt;0,$E1512&lt;INDEX(DarlTilgStart,4))),0,MIN(MAX(0,$K1512-$L1512),$J1512)))</f>
      </c>
      <c r="N1512" s="43">
        <f>IF($I1512=0,0,MIN(SUMIFS(SondBetrag,SondDarl,4,SondDatum,"&gt;="&amp;$E1512,SondDatum,"&lt;="&amp;EOMONTH($E1512,0)),$J1512-$M1512))</f>
      </c>
      <c r="O1512" s="43">
        <f>IF($I1512=0,0,INDEX(DarlErsatzRate,4))</f>
      </c>
      <c r="P1512" s="43">
        <f>IF($I1512=0,0,$Q1511*INDEX(DarlErsatzZins,4))</f>
      </c>
      <c r="Q1512" s="43">
        <f>IF($I1512=0,0,$Q1511+$P1512+$O1512)</f>
      </c>
      <c r="R1512" s="43">
        <f>IF($I1512=0,0,$J1512-$M1512-$N1512)</f>
      </c>
    </row>
    <row r="1513">
      <c r="A1513"/>
      <c r="B1513">
        <v>4</v>
      </c>
      <c r="C1513" s="43">
        <f>INDEX(DarlObj,4)</f>
      </c>
      <c r="D1513">
        <v>70</v>
      </c>
      <c r="E1513" s="51">
        <f>IF(INDEX(DarlBelegt,4)=0,0,EOMONTH(INDEX(DarlAuszahlung,4),69)+1)</f>
      </c>
      <c r="F1513" s="43">
        <f>IF($E1513=0,0,YEAR($E1513))</f>
      </c>
      <c r="G1513" s="43">
        <f>IF(INDEX(DarlBindung,4)="",1,IF($E1513&lt;=INDEX(DarlBindung,4),1,0))</f>
      </c>
      <c r="H1513" s="43">
        <f>IF($G1513=1,INDEX(DarlSollzins,4),INDEX(DarlAnschluss,4))</f>
      </c>
      <c r="I1513" s="43">
        <f>IF(INDEX(DarlBelegt,4)=0,0,IF(INDEX(DarlOhneTilgung,4)=1,IF(INDEX(DarlBindung,4)="",1,$G1513),IF($J1513&gt;0.005,1,0)))</f>
      </c>
      <c r="J1513" s="43">
        <f>IF($I1512=0,0,$R1512)</f>
      </c>
      <c r="K1513" s="43">
        <f>IF($I1513=0,0,IF(INDEX(DarlOhneTilgung,4)=1,0,IF(AND(INDEX(DarlTilgStart,4)&gt;0,$E1513=INDEX(DarlTilgStart,4)),$J1513*($H1513+INDEX(DarlTilgung,4))/100/12,IF(AND($G1513=0,$G1512=1),MAX($K1512,$J1513*($H1513+1)/100/12),$K1512))))</f>
      </c>
      <c r="L1513" s="43">
        <f>IF($I1513=0,0,$J1513*$H1513/100/12)</f>
      </c>
      <c r="M1513" s="43">
        <f>IF($I1513=0,0,IF(OR(INDEX(DarlOhneTilgung,4)=1,AND(INDEX(DarlTilgStart,4)&gt;0,$E1513&lt;INDEX(DarlTilgStart,4))),0,MIN(MAX(0,$K1513-$L1513),$J1513)))</f>
      </c>
      <c r="N1513" s="43">
        <f>IF($I1513=0,0,MIN(SUMIFS(SondBetrag,SondDarl,4,SondDatum,"&gt;="&amp;$E1513,SondDatum,"&lt;="&amp;EOMONTH($E1513,0)),$J1513-$M1513))</f>
      </c>
      <c r="O1513" s="43">
        <f>IF($I1513=0,0,INDEX(DarlErsatzRate,4))</f>
      </c>
      <c r="P1513" s="43">
        <f>IF($I1513=0,0,$Q1512*INDEX(DarlErsatzZins,4))</f>
      </c>
      <c r="Q1513" s="43">
        <f>IF($I1513=0,0,$Q1512+$P1513+$O1513)</f>
      </c>
      <c r="R1513" s="43">
        <f>IF($I1513=0,0,$J1513-$M1513-$N1513)</f>
      </c>
    </row>
    <row r="1514">
      <c r="A1514"/>
      <c r="B1514">
        <v>4</v>
      </c>
      <c r="C1514" s="43">
        <f>INDEX(DarlObj,4)</f>
      </c>
      <c r="D1514">
        <v>71</v>
      </c>
      <c r="E1514" s="51">
        <f>IF(INDEX(DarlBelegt,4)=0,0,EOMONTH(INDEX(DarlAuszahlung,4),70)+1)</f>
      </c>
      <c r="F1514" s="43">
        <f>IF($E1514=0,0,YEAR($E1514))</f>
      </c>
      <c r="G1514" s="43">
        <f>IF(INDEX(DarlBindung,4)="",1,IF($E1514&lt;=INDEX(DarlBindung,4),1,0))</f>
      </c>
      <c r="H1514" s="43">
        <f>IF($G1514=1,INDEX(DarlSollzins,4),INDEX(DarlAnschluss,4))</f>
      </c>
      <c r="I1514" s="43">
        <f>IF(INDEX(DarlBelegt,4)=0,0,IF(INDEX(DarlOhneTilgung,4)=1,IF(INDEX(DarlBindung,4)="",1,$G1514),IF($J1514&gt;0.005,1,0)))</f>
      </c>
      <c r="J1514" s="43">
        <f>IF($I1513=0,0,$R1513)</f>
      </c>
      <c r="K1514" s="43">
        <f>IF($I1514=0,0,IF(INDEX(DarlOhneTilgung,4)=1,0,IF(AND(INDEX(DarlTilgStart,4)&gt;0,$E1514=INDEX(DarlTilgStart,4)),$J1514*($H1514+INDEX(DarlTilgung,4))/100/12,IF(AND($G1514=0,$G1513=1),MAX($K1513,$J1514*($H1514+1)/100/12),$K1513))))</f>
      </c>
      <c r="L1514" s="43">
        <f>IF($I1514=0,0,$J1514*$H1514/100/12)</f>
      </c>
      <c r="M1514" s="43">
        <f>IF($I1514=0,0,IF(OR(INDEX(DarlOhneTilgung,4)=1,AND(INDEX(DarlTilgStart,4)&gt;0,$E1514&lt;INDEX(DarlTilgStart,4))),0,MIN(MAX(0,$K1514-$L1514),$J1514)))</f>
      </c>
      <c r="N1514" s="43">
        <f>IF($I1514=0,0,MIN(SUMIFS(SondBetrag,SondDarl,4,SondDatum,"&gt;="&amp;$E1514,SondDatum,"&lt;="&amp;EOMONTH($E1514,0)),$J1514-$M1514))</f>
      </c>
      <c r="O1514" s="43">
        <f>IF($I1514=0,0,INDEX(DarlErsatzRate,4))</f>
      </c>
      <c r="P1514" s="43">
        <f>IF($I1514=0,0,$Q1513*INDEX(DarlErsatzZins,4))</f>
      </c>
      <c r="Q1514" s="43">
        <f>IF($I1514=0,0,$Q1513+$P1514+$O1514)</f>
      </c>
      <c r="R1514" s="43">
        <f>IF($I1514=0,0,$J1514-$M1514-$N1514)</f>
      </c>
    </row>
    <row r="1515">
      <c r="A1515"/>
      <c r="B1515">
        <v>4</v>
      </c>
      <c r="C1515" s="43">
        <f>INDEX(DarlObj,4)</f>
      </c>
      <c r="D1515">
        <v>72</v>
      </c>
      <c r="E1515" s="51">
        <f>IF(INDEX(DarlBelegt,4)=0,0,EOMONTH(INDEX(DarlAuszahlung,4),71)+1)</f>
      </c>
      <c r="F1515" s="43">
        <f>IF($E1515=0,0,YEAR($E1515))</f>
      </c>
      <c r="G1515" s="43">
        <f>IF(INDEX(DarlBindung,4)="",1,IF($E1515&lt;=INDEX(DarlBindung,4),1,0))</f>
      </c>
      <c r="H1515" s="43">
        <f>IF($G1515=1,INDEX(DarlSollzins,4),INDEX(DarlAnschluss,4))</f>
      </c>
      <c r="I1515" s="43">
        <f>IF(INDEX(DarlBelegt,4)=0,0,IF(INDEX(DarlOhneTilgung,4)=1,IF(INDEX(DarlBindung,4)="",1,$G1515),IF($J1515&gt;0.005,1,0)))</f>
      </c>
      <c r="J1515" s="43">
        <f>IF($I1514=0,0,$R1514)</f>
      </c>
      <c r="K1515" s="43">
        <f>IF($I1515=0,0,IF(INDEX(DarlOhneTilgung,4)=1,0,IF(AND(INDEX(DarlTilgStart,4)&gt;0,$E1515=INDEX(DarlTilgStart,4)),$J1515*($H1515+INDEX(DarlTilgung,4))/100/12,IF(AND($G1515=0,$G1514=1),MAX($K1514,$J1515*($H1515+1)/100/12),$K1514))))</f>
      </c>
      <c r="L1515" s="43">
        <f>IF($I1515=0,0,$J1515*$H1515/100/12)</f>
      </c>
      <c r="M1515" s="43">
        <f>IF($I1515=0,0,IF(OR(INDEX(DarlOhneTilgung,4)=1,AND(INDEX(DarlTilgStart,4)&gt;0,$E1515&lt;INDEX(DarlTilgStart,4))),0,MIN(MAX(0,$K1515-$L1515),$J1515)))</f>
      </c>
      <c r="N1515" s="43">
        <f>IF($I1515=0,0,MIN(SUMIFS(SondBetrag,SondDarl,4,SondDatum,"&gt;="&amp;$E1515,SondDatum,"&lt;="&amp;EOMONTH($E1515,0)),$J1515-$M1515))</f>
      </c>
      <c r="O1515" s="43">
        <f>IF($I1515=0,0,INDEX(DarlErsatzRate,4))</f>
      </c>
      <c r="P1515" s="43">
        <f>IF($I1515=0,0,$Q1514*INDEX(DarlErsatzZins,4))</f>
      </c>
      <c r="Q1515" s="43">
        <f>IF($I1515=0,0,$Q1514+$P1515+$O1515)</f>
      </c>
      <c r="R1515" s="43">
        <f>IF($I1515=0,0,$J1515-$M1515-$N1515)</f>
      </c>
    </row>
    <row r="1516">
      <c r="A1516"/>
      <c r="B1516">
        <v>4</v>
      </c>
      <c r="C1516" s="43">
        <f>INDEX(DarlObj,4)</f>
      </c>
      <c r="D1516">
        <v>73</v>
      </c>
      <c r="E1516" s="51">
        <f>IF(INDEX(DarlBelegt,4)=0,0,EOMONTH(INDEX(DarlAuszahlung,4),72)+1)</f>
      </c>
      <c r="F1516" s="43">
        <f>IF($E1516=0,0,YEAR($E1516))</f>
      </c>
      <c r="G1516" s="43">
        <f>IF(INDEX(DarlBindung,4)="",1,IF($E1516&lt;=INDEX(DarlBindung,4),1,0))</f>
      </c>
      <c r="H1516" s="43">
        <f>IF($G1516=1,INDEX(DarlSollzins,4),INDEX(DarlAnschluss,4))</f>
      </c>
      <c r="I1516" s="43">
        <f>IF(INDEX(DarlBelegt,4)=0,0,IF(INDEX(DarlOhneTilgung,4)=1,IF(INDEX(DarlBindung,4)="",1,$G1516),IF($J1516&gt;0.005,1,0)))</f>
      </c>
      <c r="J1516" s="43">
        <f>IF($I1515=0,0,$R1515)</f>
      </c>
      <c r="K1516" s="43">
        <f>IF($I1516=0,0,IF(INDEX(DarlOhneTilgung,4)=1,0,IF(AND(INDEX(DarlTilgStart,4)&gt;0,$E1516=INDEX(DarlTilgStart,4)),$J1516*($H1516+INDEX(DarlTilgung,4))/100/12,IF(AND($G1516=0,$G1515=1),MAX($K1515,$J1516*($H1516+1)/100/12),$K1515))))</f>
      </c>
      <c r="L1516" s="43">
        <f>IF($I1516=0,0,$J1516*$H1516/100/12)</f>
      </c>
      <c r="M1516" s="43">
        <f>IF($I1516=0,0,IF(OR(INDEX(DarlOhneTilgung,4)=1,AND(INDEX(DarlTilgStart,4)&gt;0,$E1516&lt;INDEX(DarlTilgStart,4))),0,MIN(MAX(0,$K1516-$L1516),$J1516)))</f>
      </c>
      <c r="N1516" s="43">
        <f>IF($I1516=0,0,MIN(SUMIFS(SondBetrag,SondDarl,4,SondDatum,"&gt;="&amp;$E1516,SondDatum,"&lt;="&amp;EOMONTH($E1516,0)),$J1516-$M1516))</f>
      </c>
      <c r="O1516" s="43">
        <f>IF($I1516=0,0,INDEX(DarlErsatzRate,4))</f>
      </c>
      <c r="P1516" s="43">
        <f>IF($I1516=0,0,$Q1515*INDEX(DarlErsatzZins,4))</f>
      </c>
      <c r="Q1516" s="43">
        <f>IF($I1516=0,0,$Q1515+$P1516+$O1516)</f>
      </c>
      <c r="R1516" s="43">
        <f>IF($I1516=0,0,$J1516-$M1516-$N1516)</f>
      </c>
    </row>
    <row r="1517">
      <c r="A1517"/>
      <c r="B1517">
        <v>4</v>
      </c>
      <c r="C1517" s="43">
        <f>INDEX(DarlObj,4)</f>
      </c>
      <c r="D1517">
        <v>74</v>
      </c>
      <c r="E1517" s="51">
        <f>IF(INDEX(DarlBelegt,4)=0,0,EOMONTH(INDEX(DarlAuszahlung,4),73)+1)</f>
      </c>
      <c r="F1517" s="43">
        <f>IF($E1517=0,0,YEAR($E1517))</f>
      </c>
      <c r="G1517" s="43">
        <f>IF(INDEX(DarlBindung,4)="",1,IF($E1517&lt;=INDEX(DarlBindung,4),1,0))</f>
      </c>
      <c r="H1517" s="43">
        <f>IF($G1517=1,INDEX(DarlSollzins,4),INDEX(DarlAnschluss,4))</f>
      </c>
      <c r="I1517" s="43">
        <f>IF(INDEX(DarlBelegt,4)=0,0,IF(INDEX(DarlOhneTilgung,4)=1,IF(INDEX(DarlBindung,4)="",1,$G1517),IF($J1517&gt;0.005,1,0)))</f>
      </c>
      <c r="J1517" s="43">
        <f>IF($I1516=0,0,$R1516)</f>
      </c>
      <c r="K1517" s="43">
        <f>IF($I1517=0,0,IF(INDEX(DarlOhneTilgung,4)=1,0,IF(AND(INDEX(DarlTilgStart,4)&gt;0,$E1517=INDEX(DarlTilgStart,4)),$J1517*($H1517+INDEX(DarlTilgung,4))/100/12,IF(AND($G1517=0,$G1516=1),MAX($K1516,$J1517*($H1517+1)/100/12),$K1516))))</f>
      </c>
      <c r="L1517" s="43">
        <f>IF($I1517=0,0,$J1517*$H1517/100/12)</f>
      </c>
      <c r="M1517" s="43">
        <f>IF($I1517=0,0,IF(OR(INDEX(DarlOhneTilgung,4)=1,AND(INDEX(DarlTilgStart,4)&gt;0,$E1517&lt;INDEX(DarlTilgStart,4))),0,MIN(MAX(0,$K1517-$L1517),$J1517)))</f>
      </c>
      <c r="N1517" s="43">
        <f>IF($I1517=0,0,MIN(SUMIFS(SondBetrag,SondDarl,4,SondDatum,"&gt;="&amp;$E1517,SondDatum,"&lt;="&amp;EOMONTH($E1517,0)),$J1517-$M1517))</f>
      </c>
      <c r="O1517" s="43">
        <f>IF($I1517=0,0,INDEX(DarlErsatzRate,4))</f>
      </c>
      <c r="P1517" s="43">
        <f>IF($I1517=0,0,$Q1516*INDEX(DarlErsatzZins,4))</f>
      </c>
      <c r="Q1517" s="43">
        <f>IF($I1517=0,0,$Q1516+$P1517+$O1517)</f>
      </c>
      <c r="R1517" s="43">
        <f>IF($I1517=0,0,$J1517-$M1517-$N1517)</f>
      </c>
    </row>
    <row r="1518">
      <c r="A1518"/>
      <c r="B1518">
        <v>4</v>
      </c>
      <c r="C1518" s="43">
        <f>INDEX(DarlObj,4)</f>
      </c>
      <c r="D1518">
        <v>75</v>
      </c>
      <c r="E1518" s="51">
        <f>IF(INDEX(DarlBelegt,4)=0,0,EOMONTH(INDEX(DarlAuszahlung,4),74)+1)</f>
      </c>
      <c r="F1518" s="43">
        <f>IF($E1518=0,0,YEAR($E1518))</f>
      </c>
      <c r="G1518" s="43">
        <f>IF(INDEX(DarlBindung,4)="",1,IF($E1518&lt;=INDEX(DarlBindung,4),1,0))</f>
      </c>
      <c r="H1518" s="43">
        <f>IF($G1518=1,INDEX(DarlSollzins,4),INDEX(DarlAnschluss,4))</f>
      </c>
      <c r="I1518" s="43">
        <f>IF(INDEX(DarlBelegt,4)=0,0,IF(INDEX(DarlOhneTilgung,4)=1,IF(INDEX(DarlBindung,4)="",1,$G1518),IF($J1518&gt;0.005,1,0)))</f>
      </c>
      <c r="J1518" s="43">
        <f>IF($I1517=0,0,$R1517)</f>
      </c>
      <c r="K1518" s="43">
        <f>IF($I1518=0,0,IF(INDEX(DarlOhneTilgung,4)=1,0,IF(AND(INDEX(DarlTilgStart,4)&gt;0,$E1518=INDEX(DarlTilgStart,4)),$J1518*($H1518+INDEX(DarlTilgung,4))/100/12,IF(AND($G1518=0,$G1517=1),MAX($K1517,$J1518*($H1518+1)/100/12),$K1517))))</f>
      </c>
      <c r="L1518" s="43">
        <f>IF($I1518=0,0,$J1518*$H1518/100/12)</f>
      </c>
      <c r="M1518" s="43">
        <f>IF($I1518=0,0,IF(OR(INDEX(DarlOhneTilgung,4)=1,AND(INDEX(DarlTilgStart,4)&gt;0,$E1518&lt;INDEX(DarlTilgStart,4))),0,MIN(MAX(0,$K1518-$L1518),$J1518)))</f>
      </c>
      <c r="N1518" s="43">
        <f>IF($I1518=0,0,MIN(SUMIFS(SondBetrag,SondDarl,4,SondDatum,"&gt;="&amp;$E1518,SondDatum,"&lt;="&amp;EOMONTH($E1518,0)),$J1518-$M1518))</f>
      </c>
      <c r="O1518" s="43">
        <f>IF($I1518=0,0,INDEX(DarlErsatzRate,4))</f>
      </c>
      <c r="P1518" s="43">
        <f>IF($I1518=0,0,$Q1517*INDEX(DarlErsatzZins,4))</f>
      </c>
      <c r="Q1518" s="43">
        <f>IF($I1518=0,0,$Q1517+$P1518+$O1518)</f>
      </c>
      <c r="R1518" s="43">
        <f>IF($I1518=0,0,$J1518-$M1518-$N1518)</f>
      </c>
    </row>
    <row r="1519">
      <c r="A1519"/>
      <c r="B1519">
        <v>4</v>
      </c>
      <c r="C1519" s="43">
        <f>INDEX(DarlObj,4)</f>
      </c>
      <c r="D1519">
        <v>76</v>
      </c>
      <c r="E1519" s="51">
        <f>IF(INDEX(DarlBelegt,4)=0,0,EOMONTH(INDEX(DarlAuszahlung,4),75)+1)</f>
      </c>
      <c r="F1519" s="43">
        <f>IF($E1519=0,0,YEAR($E1519))</f>
      </c>
      <c r="G1519" s="43">
        <f>IF(INDEX(DarlBindung,4)="",1,IF($E1519&lt;=INDEX(DarlBindung,4),1,0))</f>
      </c>
      <c r="H1519" s="43">
        <f>IF($G1519=1,INDEX(DarlSollzins,4),INDEX(DarlAnschluss,4))</f>
      </c>
      <c r="I1519" s="43">
        <f>IF(INDEX(DarlBelegt,4)=0,0,IF(INDEX(DarlOhneTilgung,4)=1,IF(INDEX(DarlBindung,4)="",1,$G1519),IF($J1519&gt;0.005,1,0)))</f>
      </c>
      <c r="J1519" s="43">
        <f>IF($I1518=0,0,$R1518)</f>
      </c>
      <c r="K1519" s="43">
        <f>IF($I1519=0,0,IF(INDEX(DarlOhneTilgung,4)=1,0,IF(AND(INDEX(DarlTilgStart,4)&gt;0,$E1519=INDEX(DarlTilgStart,4)),$J1519*($H1519+INDEX(DarlTilgung,4))/100/12,IF(AND($G1519=0,$G1518=1),MAX($K1518,$J1519*($H1519+1)/100/12),$K1518))))</f>
      </c>
      <c r="L1519" s="43">
        <f>IF($I1519=0,0,$J1519*$H1519/100/12)</f>
      </c>
      <c r="M1519" s="43">
        <f>IF($I1519=0,0,IF(OR(INDEX(DarlOhneTilgung,4)=1,AND(INDEX(DarlTilgStart,4)&gt;0,$E1519&lt;INDEX(DarlTilgStart,4))),0,MIN(MAX(0,$K1519-$L1519),$J1519)))</f>
      </c>
      <c r="N1519" s="43">
        <f>IF($I1519=0,0,MIN(SUMIFS(SondBetrag,SondDarl,4,SondDatum,"&gt;="&amp;$E1519,SondDatum,"&lt;="&amp;EOMONTH($E1519,0)),$J1519-$M1519))</f>
      </c>
      <c r="O1519" s="43">
        <f>IF($I1519=0,0,INDEX(DarlErsatzRate,4))</f>
      </c>
      <c r="P1519" s="43">
        <f>IF($I1519=0,0,$Q1518*INDEX(DarlErsatzZins,4))</f>
      </c>
      <c r="Q1519" s="43">
        <f>IF($I1519=0,0,$Q1518+$P1519+$O1519)</f>
      </c>
      <c r="R1519" s="43">
        <f>IF($I1519=0,0,$J1519-$M1519-$N1519)</f>
      </c>
    </row>
    <row r="1520">
      <c r="A1520"/>
      <c r="B1520">
        <v>4</v>
      </c>
      <c r="C1520" s="43">
        <f>INDEX(DarlObj,4)</f>
      </c>
      <c r="D1520">
        <v>77</v>
      </c>
      <c r="E1520" s="51">
        <f>IF(INDEX(DarlBelegt,4)=0,0,EOMONTH(INDEX(DarlAuszahlung,4),76)+1)</f>
      </c>
      <c r="F1520" s="43">
        <f>IF($E1520=0,0,YEAR($E1520))</f>
      </c>
      <c r="G1520" s="43">
        <f>IF(INDEX(DarlBindung,4)="",1,IF($E1520&lt;=INDEX(DarlBindung,4),1,0))</f>
      </c>
      <c r="H1520" s="43">
        <f>IF($G1520=1,INDEX(DarlSollzins,4),INDEX(DarlAnschluss,4))</f>
      </c>
      <c r="I1520" s="43">
        <f>IF(INDEX(DarlBelegt,4)=0,0,IF(INDEX(DarlOhneTilgung,4)=1,IF(INDEX(DarlBindung,4)="",1,$G1520),IF($J1520&gt;0.005,1,0)))</f>
      </c>
      <c r="J1520" s="43">
        <f>IF($I1519=0,0,$R1519)</f>
      </c>
      <c r="K1520" s="43">
        <f>IF($I1520=0,0,IF(INDEX(DarlOhneTilgung,4)=1,0,IF(AND(INDEX(DarlTilgStart,4)&gt;0,$E1520=INDEX(DarlTilgStart,4)),$J1520*($H1520+INDEX(DarlTilgung,4))/100/12,IF(AND($G1520=0,$G1519=1),MAX($K1519,$J1520*($H1520+1)/100/12),$K1519))))</f>
      </c>
      <c r="L1520" s="43">
        <f>IF($I1520=0,0,$J1520*$H1520/100/12)</f>
      </c>
      <c r="M1520" s="43">
        <f>IF($I1520=0,0,IF(OR(INDEX(DarlOhneTilgung,4)=1,AND(INDEX(DarlTilgStart,4)&gt;0,$E1520&lt;INDEX(DarlTilgStart,4))),0,MIN(MAX(0,$K1520-$L1520),$J1520)))</f>
      </c>
      <c r="N1520" s="43">
        <f>IF($I1520=0,0,MIN(SUMIFS(SondBetrag,SondDarl,4,SondDatum,"&gt;="&amp;$E1520,SondDatum,"&lt;="&amp;EOMONTH($E1520,0)),$J1520-$M1520))</f>
      </c>
      <c r="O1520" s="43">
        <f>IF($I1520=0,0,INDEX(DarlErsatzRate,4))</f>
      </c>
      <c r="P1520" s="43">
        <f>IF($I1520=0,0,$Q1519*INDEX(DarlErsatzZins,4))</f>
      </c>
      <c r="Q1520" s="43">
        <f>IF($I1520=0,0,$Q1519+$P1520+$O1520)</f>
      </c>
      <c r="R1520" s="43">
        <f>IF($I1520=0,0,$J1520-$M1520-$N1520)</f>
      </c>
    </row>
    <row r="1521">
      <c r="A1521"/>
      <c r="B1521">
        <v>4</v>
      </c>
      <c r="C1521" s="43">
        <f>INDEX(DarlObj,4)</f>
      </c>
      <c r="D1521">
        <v>78</v>
      </c>
      <c r="E1521" s="51">
        <f>IF(INDEX(DarlBelegt,4)=0,0,EOMONTH(INDEX(DarlAuszahlung,4),77)+1)</f>
      </c>
      <c r="F1521" s="43">
        <f>IF($E1521=0,0,YEAR($E1521))</f>
      </c>
      <c r="G1521" s="43">
        <f>IF(INDEX(DarlBindung,4)="",1,IF($E1521&lt;=INDEX(DarlBindung,4),1,0))</f>
      </c>
      <c r="H1521" s="43">
        <f>IF($G1521=1,INDEX(DarlSollzins,4),INDEX(DarlAnschluss,4))</f>
      </c>
      <c r="I1521" s="43">
        <f>IF(INDEX(DarlBelegt,4)=0,0,IF(INDEX(DarlOhneTilgung,4)=1,IF(INDEX(DarlBindung,4)="",1,$G1521),IF($J1521&gt;0.005,1,0)))</f>
      </c>
      <c r="J1521" s="43">
        <f>IF($I1520=0,0,$R1520)</f>
      </c>
      <c r="K1521" s="43">
        <f>IF($I1521=0,0,IF(INDEX(DarlOhneTilgung,4)=1,0,IF(AND(INDEX(DarlTilgStart,4)&gt;0,$E1521=INDEX(DarlTilgStart,4)),$J1521*($H1521+INDEX(DarlTilgung,4))/100/12,IF(AND($G1521=0,$G1520=1),MAX($K1520,$J1521*($H1521+1)/100/12),$K1520))))</f>
      </c>
      <c r="L1521" s="43">
        <f>IF($I1521=0,0,$J1521*$H1521/100/12)</f>
      </c>
      <c r="M1521" s="43">
        <f>IF($I1521=0,0,IF(OR(INDEX(DarlOhneTilgung,4)=1,AND(INDEX(DarlTilgStart,4)&gt;0,$E1521&lt;INDEX(DarlTilgStart,4))),0,MIN(MAX(0,$K1521-$L1521),$J1521)))</f>
      </c>
      <c r="N1521" s="43">
        <f>IF($I1521=0,0,MIN(SUMIFS(SondBetrag,SondDarl,4,SondDatum,"&gt;="&amp;$E1521,SondDatum,"&lt;="&amp;EOMONTH($E1521,0)),$J1521-$M1521))</f>
      </c>
      <c r="O1521" s="43">
        <f>IF($I1521=0,0,INDEX(DarlErsatzRate,4))</f>
      </c>
      <c r="P1521" s="43">
        <f>IF($I1521=0,0,$Q1520*INDEX(DarlErsatzZins,4))</f>
      </c>
      <c r="Q1521" s="43">
        <f>IF($I1521=0,0,$Q1520+$P1521+$O1521)</f>
      </c>
      <c r="R1521" s="43">
        <f>IF($I1521=0,0,$J1521-$M1521-$N1521)</f>
      </c>
    </row>
    <row r="1522">
      <c r="A1522"/>
      <c r="B1522">
        <v>4</v>
      </c>
      <c r="C1522" s="43">
        <f>INDEX(DarlObj,4)</f>
      </c>
      <c r="D1522">
        <v>79</v>
      </c>
      <c r="E1522" s="51">
        <f>IF(INDEX(DarlBelegt,4)=0,0,EOMONTH(INDEX(DarlAuszahlung,4),78)+1)</f>
      </c>
      <c r="F1522" s="43">
        <f>IF($E1522=0,0,YEAR($E1522))</f>
      </c>
      <c r="G1522" s="43">
        <f>IF(INDEX(DarlBindung,4)="",1,IF($E1522&lt;=INDEX(DarlBindung,4),1,0))</f>
      </c>
      <c r="H1522" s="43">
        <f>IF($G1522=1,INDEX(DarlSollzins,4),INDEX(DarlAnschluss,4))</f>
      </c>
      <c r="I1522" s="43">
        <f>IF(INDEX(DarlBelegt,4)=0,0,IF(INDEX(DarlOhneTilgung,4)=1,IF(INDEX(DarlBindung,4)="",1,$G1522),IF($J1522&gt;0.005,1,0)))</f>
      </c>
      <c r="J1522" s="43">
        <f>IF($I1521=0,0,$R1521)</f>
      </c>
      <c r="K1522" s="43">
        <f>IF($I1522=0,0,IF(INDEX(DarlOhneTilgung,4)=1,0,IF(AND(INDEX(DarlTilgStart,4)&gt;0,$E1522=INDEX(DarlTilgStart,4)),$J1522*($H1522+INDEX(DarlTilgung,4))/100/12,IF(AND($G1522=0,$G1521=1),MAX($K1521,$J1522*($H1522+1)/100/12),$K1521))))</f>
      </c>
      <c r="L1522" s="43">
        <f>IF($I1522=0,0,$J1522*$H1522/100/12)</f>
      </c>
      <c r="M1522" s="43">
        <f>IF($I1522=0,0,IF(OR(INDEX(DarlOhneTilgung,4)=1,AND(INDEX(DarlTilgStart,4)&gt;0,$E1522&lt;INDEX(DarlTilgStart,4))),0,MIN(MAX(0,$K1522-$L1522),$J1522)))</f>
      </c>
      <c r="N1522" s="43">
        <f>IF($I1522=0,0,MIN(SUMIFS(SondBetrag,SondDarl,4,SondDatum,"&gt;="&amp;$E1522,SondDatum,"&lt;="&amp;EOMONTH($E1522,0)),$J1522-$M1522))</f>
      </c>
      <c r="O1522" s="43">
        <f>IF($I1522=0,0,INDEX(DarlErsatzRate,4))</f>
      </c>
      <c r="P1522" s="43">
        <f>IF($I1522=0,0,$Q1521*INDEX(DarlErsatzZins,4))</f>
      </c>
      <c r="Q1522" s="43">
        <f>IF($I1522=0,0,$Q1521+$P1522+$O1522)</f>
      </c>
      <c r="R1522" s="43">
        <f>IF($I1522=0,0,$J1522-$M1522-$N1522)</f>
      </c>
    </row>
    <row r="1523">
      <c r="A1523"/>
      <c r="B1523">
        <v>4</v>
      </c>
      <c r="C1523" s="43">
        <f>INDEX(DarlObj,4)</f>
      </c>
      <c r="D1523">
        <v>80</v>
      </c>
      <c r="E1523" s="51">
        <f>IF(INDEX(DarlBelegt,4)=0,0,EOMONTH(INDEX(DarlAuszahlung,4),79)+1)</f>
      </c>
      <c r="F1523" s="43">
        <f>IF($E1523=0,0,YEAR($E1523))</f>
      </c>
      <c r="G1523" s="43">
        <f>IF(INDEX(DarlBindung,4)="",1,IF($E1523&lt;=INDEX(DarlBindung,4),1,0))</f>
      </c>
      <c r="H1523" s="43">
        <f>IF($G1523=1,INDEX(DarlSollzins,4),INDEX(DarlAnschluss,4))</f>
      </c>
      <c r="I1523" s="43">
        <f>IF(INDEX(DarlBelegt,4)=0,0,IF(INDEX(DarlOhneTilgung,4)=1,IF(INDEX(DarlBindung,4)="",1,$G1523),IF($J1523&gt;0.005,1,0)))</f>
      </c>
      <c r="J1523" s="43">
        <f>IF($I1522=0,0,$R1522)</f>
      </c>
      <c r="K1523" s="43">
        <f>IF($I1523=0,0,IF(INDEX(DarlOhneTilgung,4)=1,0,IF(AND(INDEX(DarlTilgStart,4)&gt;0,$E1523=INDEX(DarlTilgStart,4)),$J1523*($H1523+INDEX(DarlTilgung,4))/100/12,IF(AND($G1523=0,$G1522=1),MAX($K1522,$J1523*($H1523+1)/100/12),$K1522))))</f>
      </c>
      <c r="L1523" s="43">
        <f>IF($I1523=0,0,$J1523*$H1523/100/12)</f>
      </c>
      <c r="M1523" s="43">
        <f>IF($I1523=0,0,IF(OR(INDEX(DarlOhneTilgung,4)=1,AND(INDEX(DarlTilgStart,4)&gt;0,$E1523&lt;INDEX(DarlTilgStart,4))),0,MIN(MAX(0,$K1523-$L1523),$J1523)))</f>
      </c>
      <c r="N1523" s="43">
        <f>IF($I1523=0,0,MIN(SUMIFS(SondBetrag,SondDarl,4,SondDatum,"&gt;="&amp;$E1523,SondDatum,"&lt;="&amp;EOMONTH($E1523,0)),$J1523-$M1523))</f>
      </c>
      <c r="O1523" s="43">
        <f>IF($I1523=0,0,INDEX(DarlErsatzRate,4))</f>
      </c>
      <c r="P1523" s="43">
        <f>IF($I1523=0,0,$Q1522*INDEX(DarlErsatzZins,4))</f>
      </c>
      <c r="Q1523" s="43">
        <f>IF($I1523=0,0,$Q1522+$P1523+$O1523)</f>
      </c>
      <c r="R1523" s="43">
        <f>IF($I1523=0,0,$J1523-$M1523-$N1523)</f>
      </c>
    </row>
    <row r="1524">
      <c r="A1524"/>
      <c r="B1524">
        <v>4</v>
      </c>
      <c r="C1524" s="43">
        <f>INDEX(DarlObj,4)</f>
      </c>
      <c r="D1524">
        <v>81</v>
      </c>
      <c r="E1524" s="51">
        <f>IF(INDEX(DarlBelegt,4)=0,0,EOMONTH(INDEX(DarlAuszahlung,4),80)+1)</f>
      </c>
      <c r="F1524" s="43">
        <f>IF($E1524=0,0,YEAR($E1524))</f>
      </c>
      <c r="G1524" s="43">
        <f>IF(INDEX(DarlBindung,4)="",1,IF($E1524&lt;=INDEX(DarlBindung,4),1,0))</f>
      </c>
      <c r="H1524" s="43">
        <f>IF($G1524=1,INDEX(DarlSollzins,4),INDEX(DarlAnschluss,4))</f>
      </c>
      <c r="I1524" s="43">
        <f>IF(INDEX(DarlBelegt,4)=0,0,IF(INDEX(DarlOhneTilgung,4)=1,IF(INDEX(DarlBindung,4)="",1,$G1524),IF($J1524&gt;0.005,1,0)))</f>
      </c>
      <c r="J1524" s="43">
        <f>IF($I1523=0,0,$R1523)</f>
      </c>
      <c r="K1524" s="43">
        <f>IF($I1524=0,0,IF(INDEX(DarlOhneTilgung,4)=1,0,IF(AND(INDEX(DarlTilgStart,4)&gt;0,$E1524=INDEX(DarlTilgStart,4)),$J1524*($H1524+INDEX(DarlTilgung,4))/100/12,IF(AND($G1524=0,$G1523=1),MAX($K1523,$J1524*($H1524+1)/100/12),$K1523))))</f>
      </c>
      <c r="L1524" s="43">
        <f>IF($I1524=0,0,$J1524*$H1524/100/12)</f>
      </c>
      <c r="M1524" s="43">
        <f>IF($I1524=0,0,IF(OR(INDEX(DarlOhneTilgung,4)=1,AND(INDEX(DarlTilgStart,4)&gt;0,$E1524&lt;INDEX(DarlTilgStart,4))),0,MIN(MAX(0,$K1524-$L1524),$J1524)))</f>
      </c>
      <c r="N1524" s="43">
        <f>IF($I1524=0,0,MIN(SUMIFS(SondBetrag,SondDarl,4,SondDatum,"&gt;="&amp;$E1524,SondDatum,"&lt;="&amp;EOMONTH($E1524,0)),$J1524-$M1524))</f>
      </c>
      <c r="O1524" s="43">
        <f>IF($I1524=0,0,INDEX(DarlErsatzRate,4))</f>
      </c>
      <c r="P1524" s="43">
        <f>IF($I1524=0,0,$Q1523*INDEX(DarlErsatzZins,4))</f>
      </c>
      <c r="Q1524" s="43">
        <f>IF($I1524=0,0,$Q1523+$P1524+$O1524)</f>
      </c>
      <c r="R1524" s="43">
        <f>IF($I1524=0,0,$J1524-$M1524-$N1524)</f>
      </c>
    </row>
    <row r="1525">
      <c r="A1525"/>
      <c r="B1525">
        <v>4</v>
      </c>
      <c r="C1525" s="43">
        <f>INDEX(DarlObj,4)</f>
      </c>
      <c r="D1525">
        <v>82</v>
      </c>
      <c r="E1525" s="51">
        <f>IF(INDEX(DarlBelegt,4)=0,0,EOMONTH(INDEX(DarlAuszahlung,4),81)+1)</f>
      </c>
      <c r="F1525" s="43">
        <f>IF($E1525=0,0,YEAR($E1525))</f>
      </c>
      <c r="G1525" s="43">
        <f>IF(INDEX(DarlBindung,4)="",1,IF($E1525&lt;=INDEX(DarlBindung,4),1,0))</f>
      </c>
      <c r="H1525" s="43">
        <f>IF($G1525=1,INDEX(DarlSollzins,4),INDEX(DarlAnschluss,4))</f>
      </c>
      <c r="I1525" s="43">
        <f>IF(INDEX(DarlBelegt,4)=0,0,IF(INDEX(DarlOhneTilgung,4)=1,IF(INDEX(DarlBindung,4)="",1,$G1525),IF($J1525&gt;0.005,1,0)))</f>
      </c>
      <c r="J1525" s="43">
        <f>IF($I1524=0,0,$R1524)</f>
      </c>
      <c r="K1525" s="43">
        <f>IF($I1525=0,0,IF(INDEX(DarlOhneTilgung,4)=1,0,IF(AND(INDEX(DarlTilgStart,4)&gt;0,$E1525=INDEX(DarlTilgStart,4)),$J1525*($H1525+INDEX(DarlTilgung,4))/100/12,IF(AND($G1525=0,$G1524=1),MAX($K1524,$J1525*($H1525+1)/100/12),$K1524))))</f>
      </c>
      <c r="L1525" s="43">
        <f>IF($I1525=0,0,$J1525*$H1525/100/12)</f>
      </c>
      <c r="M1525" s="43">
        <f>IF($I1525=0,0,IF(OR(INDEX(DarlOhneTilgung,4)=1,AND(INDEX(DarlTilgStart,4)&gt;0,$E1525&lt;INDEX(DarlTilgStart,4))),0,MIN(MAX(0,$K1525-$L1525),$J1525)))</f>
      </c>
      <c r="N1525" s="43">
        <f>IF($I1525=0,0,MIN(SUMIFS(SondBetrag,SondDarl,4,SondDatum,"&gt;="&amp;$E1525,SondDatum,"&lt;="&amp;EOMONTH($E1525,0)),$J1525-$M1525))</f>
      </c>
      <c r="O1525" s="43">
        <f>IF($I1525=0,0,INDEX(DarlErsatzRate,4))</f>
      </c>
      <c r="P1525" s="43">
        <f>IF($I1525=0,0,$Q1524*INDEX(DarlErsatzZins,4))</f>
      </c>
      <c r="Q1525" s="43">
        <f>IF($I1525=0,0,$Q1524+$P1525+$O1525)</f>
      </c>
      <c r="R1525" s="43">
        <f>IF($I1525=0,0,$J1525-$M1525-$N1525)</f>
      </c>
    </row>
    <row r="1526">
      <c r="A1526"/>
      <c r="B1526">
        <v>4</v>
      </c>
      <c r="C1526" s="43">
        <f>INDEX(DarlObj,4)</f>
      </c>
      <c r="D1526">
        <v>83</v>
      </c>
      <c r="E1526" s="51">
        <f>IF(INDEX(DarlBelegt,4)=0,0,EOMONTH(INDEX(DarlAuszahlung,4),82)+1)</f>
      </c>
      <c r="F1526" s="43">
        <f>IF($E1526=0,0,YEAR($E1526))</f>
      </c>
      <c r="G1526" s="43">
        <f>IF(INDEX(DarlBindung,4)="",1,IF($E1526&lt;=INDEX(DarlBindung,4),1,0))</f>
      </c>
      <c r="H1526" s="43">
        <f>IF($G1526=1,INDEX(DarlSollzins,4),INDEX(DarlAnschluss,4))</f>
      </c>
      <c r="I1526" s="43">
        <f>IF(INDEX(DarlBelegt,4)=0,0,IF(INDEX(DarlOhneTilgung,4)=1,IF(INDEX(DarlBindung,4)="",1,$G1526),IF($J1526&gt;0.005,1,0)))</f>
      </c>
      <c r="J1526" s="43">
        <f>IF($I1525=0,0,$R1525)</f>
      </c>
      <c r="K1526" s="43">
        <f>IF($I1526=0,0,IF(INDEX(DarlOhneTilgung,4)=1,0,IF(AND(INDEX(DarlTilgStart,4)&gt;0,$E1526=INDEX(DarlTilgStart,4)),$J1526*($H1526+INDEX(DarlTilgung,4))/100/12,IF(AND($G1526=0,$G1525=1),MAX($K1525,$J1526*($H1526+1)/100/12),$K1525))))</f>
      </c>
      <c r="L1526" s="43">
        <f>IF($I1526=0,0,$J1526*$H1526/100/12)</f>
      </c>
      <c r="M1526" s="43">
        <f>IF($I1526=0,0,IF(OR(INDEX(DarlOhneTilgung,4)=1,AND(INDEX(DarlTilgStart,4)&gt;0,$E1526&lt;INDEX(DarlTilgStart,4))),0,MIN(MAX(0,$K1526-$L1526),$J1526)))</f>
      </c>
      <c r="N1526" s="43">
        <f>IF($I1526=0,0,MIN(SUMIFS(SondBetrag,SondDarl,4,SondDatum,"&gt;="&amp;$E1526,SondDatum,"&lt;="&amp;EOMONTH($E1526,0)),$J1526-$M1526))</f>
      </c>
      <c r="O1526" s="43">
        <f>IF($I1526=0,0,INDEX(DarlErsatzRate,4))</f>
      </c>
      <c r="P1526" s="43">
        <f>IF($I1526=0,0,$Q1525*INDEX(DarlErsatzZins,4))</f>
      </c>
      <c r="Q1526" s="43">
        <f>IF($I1526=0,0,$Q1525+$P1526+$O1526)</f>
      </c>
      <c r="R1526" s="43">
        <f>IF($I1526=0,0,$J1526-$M1526-$N1526)</f>
      </c>
    </row>
    <row r="1527">
      <c r="A1527"/>
      <c r="B1527">
        <v>4</v>
      </c>
      <c r="C1527" s="43">
        <f>INDEX(DarlObj,4)</f>
      </c>
      <c r="D1527">
        <v>84</v>
      </c>
      <c r="E1527" s="51">
        <f>IF(INDEX(DarlBelegt,4)=0,0,EOMONTH(INDEX(DarlAuszahlung,4),83)+1)</f>
      </c>
      <c r="F1527" s="43">
        <f>IF($E1527=0,0,YEAR($E1527))</f>
      </c>
      <c r="G1527" s="43">
        <f>IF(INDEX(DarlBindung,4)="",1,IF($E1527&lt;=INDEX(DarlBindung,4),1,0))</f>
      </c>
      <c r="H1527" s="43">
        <f>IF($G1527=1,INDEX(DarlSollzins,4),INDEX(DarlAnschluss,4))</f>
      </c>
      <c r="I1527" s="43">
        <f>IF(INDEX(DarlBelegt,4)=0,0,IF(INDEX(DarlOhneTilgung,4)=1,IF(INDEX(DarlBindung,4)="",1,$G1527),IF($J1527&gt;0.005,1,0)))</f>
      </c>
      <c r="J1527" s="43">
        <f>IF($I1526=0,0,$R1526)</f>
      </c>
      <c r="K1527" s="43">
        <f>IF($I1527=0,0,IF(INDEX(DarlOhneTilgung,4)=1,0,IF(AND(INDEX(DarlTilgStart,4)&gt;0,$E1527=INDEX(DarlTilgStart,4)),$J1527*($H1527+INDEX(DarlTilgung,4))/100/12,IF(AND($G1527=0,$G1526=1),MAX($K1526,$J1527*($H1527+1)/100/12),$K1526))))</f>
      </c>
      <c r="L1527" s="43">
        <f>IF($I1527=0,0,$J1527*$H1527/100/12)</f>
      </c>
      <c r="M1527" s="43">
        <f>IF($I1527=0,0,IF(OR(INDEX(DarlOhneTilgung,4)=1,AND(INDEX(DarlTilgStart,4)&gt;0,$E1527&lt;INDEX(DarlTilgStart,4))),0,MIN(MAX(0,$K1527-$L1527),$J1527)))</f>
      </c>
      <c r="N1527" s="43">
        <f>IF($I1527=0,0,MIN(SUMIFS(SondBetrag,SondDarl,4,SondDatum,"&gt;="&amp;$E1527,SondDatum,"&lt;="&amp;EOMONTH($E1527,0)),$J1527-$M1527))</f>
      </c>
      <c r="O1527" s="43">
        <f>IF($I1527=0,0,INDEX(DarlErsatzRate,4))</f>
      </c>
      <c r="P1527" s="43">
        <f>IF($I1527=0,0,$Q1526*INDEX(DarlErsatzZins,4))</f>
      </c>
      <c r="Q1527" s="43">
        <f>IF($I1527=0,0,$Q1526+$P1527+$O1527)</f>
      </c>
      <c r="R1527" s="43">
        <f>IF($I1527=0,0,$J1527-$M1527-$N1527)</f>
      </c>
    </row>
    <row r="1528">
      <c r="A1528"/>
      <c r="B1528">
        <v>4</v>
      </c>
      <c r="C1528" s="43">
        <f>INDEX(DarlObj,4)</f>
      </c>
      <c r="D1528">
        <v>85</v>
      </c>
      <c r="E1528" s="51">
        <f>IF(INDEX(DarlBelegt,4)=0,0,EOMONTH(INDEX(DarlAuszahlung,4),84)+1)</f>
      </c>
      <c r="F1528" s="43">
        <f>IF($E1528=0,0,YEAR($E1528))</f>
      </c>
      <c r="G1528" s="43">
        <f>IF(INDEX(DarlBindung,4)="",1,IF($E1528&lt;=INDEX(DarlBindung,4),1,0))</f>
      </c>
      <c r="H1528" s="43">
        <f>IF($G1528=1,INDEX(DarlSollzins,4),INDEX(DarlAnschluss,4))</f>
      </c>
      <c r="I1528" s="43">
        <f>IF(INDEX(DarlBelegt,4)=0,0,IF(INDEX(DarlOhneTilgung,4)=1,IF(INDEX(DarlBindung,4)="",1,$G1528),IF($J1528&gt;0.005,1,0)))</f>
      </c>
      <c r="J1528" s="43">
        <f>IF($I1527=0,0,$R1527)</f>
      </c>
      <c r="K1528" s="43">
        <f>IF($I1528=0,0,IF(INDEX(DarlOhneTilgung,4)=1,0,IF(AND(INDEX(DarlTilgStart,4)&gt;0,$E1528=INDEX(DarlTilgStart,4)),$J1528*($H1528+INDEX(DarlTilgung,4))/100/12,IF(AND($G1528=0,$G1527=1),MAX($K1527,$J1528*($H1528+1)/100/12),$K1527))))</f>
      </c>
      <c r="L1528" s="43">
        <f>IF($I1528=0,0,$J1528*$H1528/100/12)</f>
      </c>
      <c r="M1528" s="43">
        <f>IF($I1528=0,0,IF(OR(INDEX(DarlOhneTilgung,4)=1,AND(INDEX(DarlTilgStart,4)&gt;0,$E1528&lt;INDEX(DarlTilgStart,4))),0,MIN(MAX(0,$K1528-$L1528),$J1528)))</f>
      </c>
      <c r="N1528" s="43">
        <f>IF($I1528=0,0,MIN(SUMIFS(SondBetrag,SondDarl,4,SondDatum,"&gt;="&amp;$E1528,SondDatum,"&lt;="&amp;EOMONTH($E1528,0)),$J1528-$M1528))</f>
      </c>
      <c r="O1528" s="43">
        <f>IF($I1528=0,0,INDEX(DarlErsatzRate,4))</f>
      </c>
      <c r="P1528" s="43">
        <f>IF($I1528=0,0,$Q1527*INDEX(DarlErsatzZins,4))</f>
      </c>
      <c r="Q1528" s="43">
        <f>IF($I1528=0,0,$Q1527+$P1528+$O1528)</f>
      </c>
      <c r="R1528" s="43">
        <f>IF($I1528=0,0,$J1528-$M1528-$N1528)</f>
      </c>
    </row>
    <row r="1529">
      <c r="A1529"/>
      <c r="B1529">
        <v>4</v>
      </c>
      <c r="C1529" s="43">
        <f>INDEX(DarlObj,4)</f>
      </c>
      <c r="D1529">
        <v>86</v>
      </c>
      <c r="E1529" s="51">
        <f>IF(INDEX(DarlBelegt,4)=0,0,EOMONTH(INDEX(DarlAuszahlung,4),85)+1)</f>
      </c>
      <c r="F1529" s="43">
        <f>IF($E1529=0,0,YEAR($E1529))</f>
      </c>
      <c r="G1529" s="43">
        <f>IF(INDEX(DarlBindung,4)="",1,IF($E1529&lt;=INDEX(DarlBindung,4),1,0))</f>
      </c>
      <c r="H1529" s="43">
        <f>IF($G1529=1,INDEX(DarlSollzins,4),INDEX(DarlAnschluss,4))</f>
      </c>
      <c r="I1529" s="43">
        <f>IF(INDEX(DarlBelegt,4)=0,0,IF(INDEX(DarlOhneTilgung,4)=1,IF(INDEX(DarlBindung,4)="",1,$G1529),IF($J1529&gt;0.005,1,0)))</f>
      </c>
      <c r="J1529" s="43">
        <f>IF($I1528=0,0,$R1528)</f>
      </c>
      <c r="K1529" s="43">
        <f>IF($I1529=0,0,IF(INDEX(DarlOhneTilgung,4)=1,0,IF(AND(INDEX(DarlTilgStart,4)&gt;0,$E1529=INDEX(DarlTilgStart,4)),$J1529*($H1529+INDEX(DarlTilgung,4))/100/12,IF(AND($G1529=0,$G1528=1),MAX($K1528,$J1529*($H1529+1)/100/12),$K1528))))</f>
      </c>
      <c r="L1529" s="43">
        <f>IF($I1529=0,0,$J1529*$H1529/100/12)</f>
      </c>
      <c r="M1529" s="43">
        <f>IF($I1529=0,0,IF(OR(INDEX(DarlOhneTilgung,4)=1,AND(INDEX(DarlTilgStart,4)&gt;0,$E1529&lt;INDEX(DarlTilgStart,4))),0,MIN(MAX(0,$K1529-$L1529),$J1529)))</f>
      </c>
      <c r="N1529" s="43">
        <f>IF($I1529=0,0,MIN(SUMIFS(SondBetrag,SondDarl,4,SondDatum,"&gt;="&amp;$E1529,SondDatum,"&lt;="&amp;EOMONTH($E1529,0)),$J1529-$M1529))</f>
      </c>
      <c r="O1529" s="43">
        <f>IF($I1529=0,0,INDEX(DarlErsatzRate,4))</f>
      </c>
      <c r="P1529" s="43">
        <f>IF($I1529=0,0,$Q1528*INDEX(DarlErsatzZins,4))</f>
      </c>
      <c r="Q1529" s="43">
        <f>IF($I1529=0,0,$Q1528+$P1529+$O1529)</f>
      </c>
      <c r="R1529" s="43">
        <f>IF($I1529=0,0,$J1529-$M1529-$N1529)</f>
      </c>
    </row>
    <row r="1530">
      <c r="A1530"/>
      <c r="B1530">
        <v>4</v>
      </c>
      <c r="C1530" s="43">
        <f>INDEX(DarlObj,4)</f>
      </c>
      <c r="D1530">
        <v>87</v>
      </c>
      <c r="E1530" s="51">
        <f>IF(INDEX(DarlBelegt,4)=0,0,EOMONTH(INDEX(DarlAuszahlung,4),86)+1)</f>
      </c>
      <c r="F1530" s="43">
        <f>IF($E1530=0,0,YEAR($E1530))</f>
      </c>
      <c r="G1530" s="43">
        <f>IF(INDEX(DarlBindung,4)="",1,IF($E1530&lt;=INDEX(DarlBindung,4),1,0))</f>
      </c>
      <c r="H1530" s="43">
        <f>IF($G1530=1,INDEX(DarlSollzins,4),INDEX(DarlAnschluss,4))</f>
      </c>
      <c r="I1530" s="43">
        <f>IF(INDEX(DarlBelegt,4)=0,0,IF(INDEX(DarlOhneTilgung,4)=1,IF(INDEX(DarlBindung,4)="",1,$G1530),IF($J1530&gt;0.005,1,0)))</f>
      </c>
      <c r="J1530" s="43">
        <f>IF($I1529=0,0,$R1529)</f>
      </c>
      <c r="K1530" s="43">
        <f>IF($I1530=0,0,IF(INDEX(DarlOhneTilgung,4)=1,0,IF(AND(INDEX(DarlTilgStart,4)&gt;0,$E1530=INDEX(DarlTilgStart,4)),$J1530*($H1530+INDEX(DarlTilgung,4))/100/12,IF(AND($G1530=0,$G1529=1),MAX($K1529,$J1530*($H1530+1)/100/12),$K1529))))</f>
      </c>
      <c r="L1530" s="43">
        <f>IF($I1530=0,0,$J1530*$H1530/100/12)</f>
      </c>
      <c r="M1530" s="43">
        <f>IF($I1530=0,0,IF(OR(INDEX(DarlOhneTilgung,4)=1,AND(INDEX(DarlTilgStart,4)&gt;0,$E1530&lt;INDEX(DarlTilgStart,4))),0,MIN(MAX(0,$K1530-$L1530),$J1530)))</f>
      </c>
      <c r="N1530" s="43">
        <f>IF($I1530=0,0,MIN(SUMIFS(SondBetrag,SondDarl,4,SondDatum,"&gt;="&amp;$E1530,SondDatum,"&lt;="&amp;EOMONTH($E1530,0)),$J1530-$M1530))</f>
      </c>
      <c r="O1530" s="43">
        <f>IF($I1530=0,0,INDEX(DarlErsatzRate,4))</f>
      </c>
      <c r="P1530" s="43">
        <f>IF($I1530=0,0,$Q1529*INDEX(DarlErsatzZins,4))</f>
      </c>
      <c r="Q1530" s="43">
        <f>IF($I1530=0,0,$Q1529+$P1530+$O1530)</f>
      </c>
      <c r="R1530" s="43">
        <f>IF($I1530=0,0,$J1530-$M1530-$N1530)</f>
      </c>
    </row>
    <row r="1531">
      <c r="A1531"/>
      <c r="B1531">
        <v>4</v>
      </c>
      <c r="C1531" s="43">
        <f>INDEX(DarlObj,4)</f>
      </c>
      <c r="D1531">
        <v>88</v>
      </c>
      <c r="E1531" s="51">
        <f>IF(INDEX(DarlBelegt,4)=0,0,EOMONTH(INDEX(DarlAuszahlung,4),87)+1)</f>
      </c>
      <c r="F1531" s="43">
        <f>IF($E1531=0,0,YEAR($E1531))</f>
      </c>
      <c r="G1531" s="43">
        <f>IF(INDEX(DarlBindung,4)="",1,IF($E1531&lt;=INDEX(DarlBindung,4),1,0))</f>
      </c>
      <c r="H1531" s="43">
        <f>IF($G1531=1,INDEX(DarlSollzins,4),INDEX(DarlAnschluss,4))</f>
      </c>
      <c r="I1531" s="43">
        <f>IF(INDEX(DarlBelegt,4)=0,0,IF(INDEX(DarlOhneTilgung,4)=1,IF(INDEX(DarlBindung,4)="",1,$G1531),IF($J1531&gt;0.005,1,0)))</f>
      </c>
      <c r="J1531" s="43">
        <f>IF($I1530=0,0,$R1530)</f>
      </c>
      <c r="K1531" s="43">
        <f>IF($I1531=0,0,IF(INDEX(DarlOhneTilgung,4)=1,0,IF(AND(INDEX(DarlTilgStart,4)&gt;0,$E1531=INDEX(DarlTilgStart,4)),$J1531*($H1531+INDEX(DarlTilgung,4))/100/12,IF(AND($G1531=0,$G1530=1),MAX($K1530,$J1531*($H1531+1)/100/12),$K1530))))</f>
      </c>
      <c r="L1531" s="43">
        <f>IF($I1531=0,0,$J1531*$H1531/100/12)</f>
      </c>
      <c r="M1531" s="43">
        <f>IF($I1531=0,0,IF(OR(INDEX(DarlOhneTilgung,4)=1,AND(INDEX(DarlTilgStart,4)&gt;0,$E1531&lt;INDEX(DarlTilgStart,4))),0,MIN(MAX(0,$K1531-$L1531),$J1531)))</f>
      </c>
      <c r="N1531" s="43">
        <f>IF($I1531=0,0,MIN(SUMIFS(SondBetrag,SondDarl,4,SondDatum,"&gt;="&amp;$E1531,SondDatum,"&lt;="&amp;EOMONTH($E1531,0)),$J1531-$M1531))</f>
      </c>
      <c r="O1531" s="43">
        <f>IF($I1531=0,0,INDEX(DarlErsatzRate,4))</f>
      </c>
      <c r="P1531" s="43">
        <f>IF($I1531=0,0,$Q1530*INDEX(DarlErsatzZins,4))</f>
      </c>
      <c r="Q1531" s="43">
        <f>IF($I1531=0,0,$Q1530+$P1531+$O1531)</f>
      </c>
      <c r="R1531" s="43">
        <f>IF($I1531=0,0,$J1531-$M1531-$N1531)</f>
      </c>
    </row>
    <row r="1532">
      <c r="A1532"/>
      <c r="B1532">
        <v>4</v>
      </c>
      <c r="C1532" s="43">
        <f>INDEX(DarlObj,4)</f>
      </c>
      <c r="D1532">
        <v>89</v>
      </c>
      <c r="E1532" s="51">
        <f>IF(INDEX(DarlBelegt,4)=0,0,EOMONTH(INDEX(DarlAuszahlung,4),88)+1)</f>
      </c>
      <c r="F1532" s="43">
        <f>IF($E1532=0,0,YEAR($E1532))</f>
      </c>
      <c r="G1532" s="43">
        <f>IF(INDEX(DarlBindung,4)="",1,IF($E1532&lt;=INDEX(DarlBindung,4),1,0))</f>
      </c>
      <c r="H1532" s="43">
        <f>IF($G1532=1,INDEX(DarlSollzins,4),INDEX(DarlAnschluss,4))</f>
      </c>
      <c r="I1532" s="43">
        <f>IF(INDEX(DarlBelegt,4)=0,0,IF(INDEX(DarlOhneTilgung,4)=1,IF(INDEX(DarlBindung,4)="",1,$G1532),IF($J1532&gt;0.005,1,0)))</f>
      </c>
      <c r="J1532" s="43">
        <f>IF($I1531=0,0,$R1531)</f>
      </c>
      <c r="K1532" s="43">
        <f>IF($I1532=0,0,IF(INDEX(DarlOhneTilgung,4)=1,0,IF(AND(INDEX(DarlTilgStart,4)&gt;0,$E1532=INDEX(DarlTilgStart,4)),$J1532*($H1532+INDEX(DarlTilgung,4))/100/12,IF(AND($G1532=0,$G1531=1),MAX($K1531,$J1532*($H1532+1)/100/12),$K1531))))</f>
      </c>
      <c r="L1532" s="43">
        <f>IF($I1532=0,0,$J1532*$H1532/100/12)</f>
      </c>
      <c r="M1532" s="43">
        <f>IF($I1532=0,0,IF(OR(INDEX(DarlOhneTilgung,4)=1,AND(INDEX(DarlTilgStart,4)&gt;0,$E1532&lt;INDEX(DarlTilgStart,4))),0,MIN(MAX(0,$K1532-$L1532),$J1532)))</f>
      </c>
      <c r="N1532" s="43">
        <f>IF($I1532=0,0,MIN(SUMIFS(SondBetrag,SondDarl,4,SondDatum,"&gt;="&amp;$E1532,SondDatum,"&lt;="&amp;EOMONTH($E1532,0)),$J1532-$M1532))</f>
      </c>
      <c r="O1532" s="43">
        <f>IF($I1532=0,0,INDEX(DarlErsatzRate,4))</f>
      </c>
      <c r="P1532" s="43">
        <f>IF($I1532=0,0,$Q1531*INDEX(DarlErsatzZins,4))</f>
      </c>
      <c r="Q1532" s="43">
        <f>IF($I1532=0,0,$Q1531+$P1532+$O1532)</f>
      </c>
      <c r="R1532" s="43">
        <f>IF($I1532=0,0,$J1532-$M1532-$N1532)</f>
      </c>
    </row>
    <row r="1533">
      <c r="A1533"/>
      <c r="B1533">
        <v>4</v>
      </c>
      <c r="C1533" s="43">
        <f>INDEX(DarlObj,4)</f>
      </c>
      <c r="D1533">
        <v>90</v>
      </c>
      <c r="E1533" s="51">
        <f>IF(INDEX(DarlBelegt,4)=0,0,EOMONTH(INDEX(DarlAuszahlung,4),89)+1)</f>
      </c>
      <c r="F1533" s="43">
        <f>IF($E1533=0,0,YEAR($E1533))</f>
      </c>
      <c r="G1533" s="43">
        <f>IF(INDEX(DarlBindung,4)="",1,IF($E1533&lt;=INDEX(DarlBindung,4),1,0))</f>
      </c>
      <c r="H1533" s="43">
        <f>IF($G1533=1,INDEX(DarlSollzins,4),INDEX(DarlAnschluss,4))</f>
      </c>
      <c r="I1533" s="43">
        <f>IF(INDEX(DarlBelegt,4)=0,0,IF(INDEX(DarlOhneTilgung,4)=1,IF(INDEX(DarlBindung,4)="",1,$G1533),IF($J1533&gt;0.005,1,0)))</f>
      </c>
      <c r="J1533" s="43">
        <f>IF($I1532=0,0,$R1532)</f>
      </c>
      <c r="K1533" s="43">
        <f>IF($I1533=0,0,IF(INDEX(DarlOhneTilgung,4)=1,0,IF(AND(INDEX(DarlTilgStart,4)&gt;0,$E1533=INDEX(DarlTilgStart,4)),$J1533*($H1533+INDEX(DarlTilgung,4))/100/12,IF(AND($G1533=0,$G1532=1),MAX($K1532,$J1533*($H1533+1)/100/12),$K1532))))</f>
      </c>
      <c r="L1533" s="43">
        <f>IF($I1533=0,0,$J1533*$H1533/100/12)</f>
      </c>
      <c r="M1533" s="43">
        <f>IF($I1533=0,0,IF(OR(INDEX(DarlOhneTilgung,4)=1,AND(INDEX(DarlTilgStart,4)&gt;0,$E1533&lt;INDEX(DarlTilgStart,4))),0,MIN(MAX(0,$K1533-$L1533),$J1533)))</f>
      </c>
      <c r="N1533" s="43">
        <f>IF($I1533=0,0,MIN(SUMIFS(SondBetrag,SondDarl,4,SondDatum,"&gt;="&amp;$E1533,SondDatum,"&lt;="&amp;EOMONTH($E1533,0)),$J1533-$M1533))</f>
      </c>
      <c r="O1533" s="43">
        <f>IF($I1533=0,0,INDEX(DarlErsatzRate,4))</f>
      </c>
      <c r="P1533" s="43">
        <f>IF($I1533=0,0,$Q1532*INDEX(DarlErsatzZins,4))</f>
      </c>
      <c r="Q1533" s="43">
        <f>IF($I1533=0,0,$Q1532+$P1533+$O1533)</f>
      </c>
      <c r="R1533" s="43">
        <f>IF($I1533=0,0,$J1533-$M1533-$N1533)</f>
      </c>
    </row>
    <row r="1534">
      <c r="A1534"/>
      <c r="B1534">
        <v>4</v>
      </c>
      <c r="C1534" s="43">
        <f>INDEX(DarlObj,4)</f>
      </c>
      <c r="D1534">
        <v>91</v>
      </c>
      <c r="E1534" s="51">
        <f>IF(INDEX(DarlBelegt,4)=0,0,EOMONTH(INDEX(DarlAuszahlung,4),90)+1)</f>
      </c>
      <c r="F1534" s="43">
        <f>IF($E1534=0,0,YEAR($E1534))</f>
      </c>
      <c r="G1534" s="43">
        <f>IF(INDEX(DarlBindung,4)="",1,IF($E1534&lt;=INDEX(DarlBindung,4),1,0))</f>
      </c>
      <c r="H1534" s="43">
        <f>IF($G1534=1,INDEX(DarlSollzins,4),INDEX(DarlAnschluss,4))</f>
      </c>
      <c r="I1534" s="43">
        <f>IF(INDEX(DarlBelegt,4)=0,0,IF(INDEX(DarlOhneTilgung,4)=1,IF(INDEX(DarlBindung,4)="",1,$G1534),IF($J1534&gt;0.005,1,0)))</f>
      </c>
      <c r="J1534" s="43">
        <f>IF($I1533=0,0,$R1533)</f>
      </c>
      <c r="K1534" s="43">
        <f>IF($I1534=0,0,IF(INDEX(DarlOhneTilgung,4)=1,0,IF(AND(INDEX(DarlTilgStart,4)&gt;0,$E1534=INDEX(DarlTilgStart,4)),$J1534*($H1534+INDEX(DarlTilgung,4))/100/12,IF(AND($G1534=0,$G1533=1),MAX($K1533,$J1534*($H1534+1)/100/12),$K1533))))</f>
      </c>
      <c r="L1534" s="43">
        <f>IF($I1534=0,0,$J1534*$H1534/100/12)</f>
      </c>
      <c r="M1534" s="43">
        <f>IF($I1534=0,0,IF(OR(INDEX(DarlOhneTilgung,4)=1,AND(INDEX(DarlTilgStart,4)&gt;0,$E1534&lt;INDEX(DarlTilgStart,4))),0,MIN(MAX(0,$K1534-$L1534),$J1534)))</f>
      </c>
      <c r="N1534" s="43">
        <f>IF($I1534=0,0,MIN(SUMIFS(SondBetrag,SondDarl,4,SondDatum,"&gt;="&amp;$E1534,SondDatum,"&lt;="&amp;EOMONTH($E1534,0)),$J1534-$M1534))</f>
      </c>
      <c r="O1534" s="43">
        <f>IF($I1534=0,0,INDEX(DarlErsatzRate,4))</f>
      </c>
      <c r="P1534" s="43">
        <f>IF($I1534=0,0,$Q1533*INDEX(DarlErsatzZins,4))</f>
      </c>
      <c r="Q1534" s="43">
        <f>IF($I1534=0,0,$Q1533+$P1534+$O1534)</f>
      </c>
      <c r="R1534" s="43">
        <f>IF($I1534=0,0,$J1534-$M1534-$N1534)</f>
      </c>
    </row>
    <row r="1535">
      <c r="A1535"/>
      <c r="B1535">
        <v>4</v>
      </c>
      <c r="C1535" s="43">
        <f>INDEX(DarlObj,4)</f>
      </c>
      <c r="D1535">
        <v>92</v>
      </c>
      <c r="E1535" s="51">
        <f>IF(INDEX(DarlBelegt,4)=0,0,EOMONTH(INDEX(DarlAuszahlung,4),91)+1)</f>
      </c>
      <c r="F1535" s="43">
        <f>IF($E1535=0,0,YEAR($E1535))</f>
      </c>
      <c r="G1535" s="43">
        <f>IF(INDEX(DarlBindung,4)="",1,IF($E1535&lt;=INDEX(DarlBindung,4),1,0))</f>
      </c>
      <c r="H1535" s="43">
        <f>IF($G1535=1,INDEX(DarlSollzins,4),INDEX(DarlAnschluss,4))</f>
      </c>
      <c r="I1535" s="43">
        <f>IF(INDEX(DarlBelegt,4)=0,0,IF(INDEX(DarlOhneTilgung,4)=1,IF(INDEX(DarlBindung,4)="",1,$G1535),IF($J1535&gt;0.005,1,0)))</f>
      </c>
      <c r="J1535" s="43">
        <f>IF($I1534=0,0,$R1534)</f>
      </c>
      <c r="K1535" s="43">
        <f>IF($I1535=0,0,IF(INDEX(DarlOhneTilgung,4)=1,0,IF(AND(INDEX(DarlTilgStart,4)&gt;0,$E1535=INDEX(DarlTilgStart,4)),$J1535*($H1535+INDEX(DarlTilgung,4))/100/12,IF(AND($G1535=0,$G1534=1),MAX($K1534,$J1535*($H1535+1)/100/12),$K1534))))</f>
      </c>
      <c r="L1535" s="43">
        <f>IF($I1535=0,0,$J1535*$H1535/100/12)</f>
      </c>
      <c r="M1535" s="43">
        <f>IF($I1535=0,0,IF(OR(INDEX(DarlOhneTilgung,4)=1,AND(INDEX(DarlTilgStart,4)&gt;0,$E1535&lt;INDEX(DarlTilgStart,4))),0,MIN(MAX(0,$K1535-$L1535),$J1535)))</f>
      </c>
      <c r="N1535" s="43">
        <f>IF($I1535=0,0,MIN(SUMIFS(SondBetrag,SondDarl,4,SondDatum,"&gt;="&amp;$E1535,SondDatum,"&lt;="&amp;EOMONTH($E1535,0)),$J1535-$M1535))</f>
      </c>
      <c r="O1535" s="43">
        <f>IF($I1535=0,0,INDEX(DarlErsatzRate,4))</f>
      </c>
      <c r="P1535" s="43">
        <f>IF($I1535=0,0,$Q1534*INDEX(DarlErsatzZins,4))</f>
      </c>
      <c r="Q1535" s="43">
        <f>IF($I1535=0,0,$Q1534+$P1535+$O1535)</f>
      </c>
      <c r="R1535" s="43">
        <f>IF($I1535=0,0,$J1535-$M1535-$N1535)</f>
      </c>
    </row>
    <row r="1536">
      <c r="A1536"/>
      <c r="B1536">
        <v>4</v>
      </c>
      <c r="C1536" s="43">
        <f>INDEX(DarlObj,4)</f>
      </c>
      <c r="D1536">
        <v>93</v>
      </c>
      <c r="E1536" s="51">
        <f>IF(INDEX(DarlBelegt,4)=0,0,EOMONTH(INDEX(DarlAuszahlung,4),92)+1)</f>
      </c>
      <c r="F1536" s="43">
        <f>IF($E1536=0,0,YEAR($E1536))</f>
      </c>
      <c r="G1536" s="43">
        <f>IF(INDEX(DarlBindung,4)="",1,IF($E1536&lt;=INDEX(DarlBindung,4),1,0))</f>
      </c>
      <c r="H1536" s="43">
        <f>IF($G1536=1,INDEX(DarlSollzins,4),INDEX(DarlAnschluss,4))</f>
      </c>
      <c r="I1536" s="43">
        <f>IF(INDEX(DarlBelegt,4)=0,0,IF(INDEX(DarlOhneTilgung,4)=1,IF(INDEX(DarlBindung,4)="",1,$G1536),IF($J1536&gt;0.005,1,0)))</f>
      </c>
      <c r="J1536" s="43">
        <f>IF($I1535=0,0,$R1535)</f>
      </c>
      <c r="K1536" s="43">
        <f>IF($I1536=0,0,IF(INDEX(DarlOhneTilgung,4)=1,0,IF(AND(INDEX(DarlTilgStart,4)&gt;0,$E1536=INDEX(DarlTilgStart,4)),$J1536*($H1536+INDEX(DarlTilgung,4))/100/12,IF(AND($G1536=0,$G1535=1),MAX($K1535,$J1536*($H1536+1)/100/12),$K1535))))</f>
      </c>
      <c r="L1536" s="43">
        <f>IF($I1536=0,0,$J1536*$H1536/100/12)</f>
      </c>
      <c r="M1536" s="43">
        <f>IF($I1536=0,0,IF(OR(INDEX(DarlOhneTilgung,4)=1,AND(INDEX(DarlTilgStart,4)&gt;0,$E1536&lt;INDEX(DarlTilgStart,4))),0,MIN(MAX(0,$K1536-$L1536),$J1536)))</f>
      </c>
      <c r="N1536" s="43">
        <f>IF($I1536=0,0,MIN(SUMIFS(SondBetrag,SondDarl,4,SondDatum,"&gt;="&amp;$E1536,SondDatum,"&lt;="&amp;EOMONTH($E1536,0)),$J1536-$M1536))</f>
      </c>
      <c r="O1536" s="43">
        <f>IF($I1536=0,0,INDEX(DarlErsatzRate,4))</f>
      </c>
      <c r="P1536" s="43">
        <f>IF($I1536=0,0,$Q1535*INDEX(DarlErsatzZins,4))</f>
      </c>
      <c r="Q1536" s="43">
        <f>IF($I1536=0,0,$Q1535+$P1536+$O1536)</f>
      </c>
      <c r="R1536" s="43">
        <f>IF($I1536=0,0,$J1536-$M1536-$N1536)</f>
      </c>
    </row>
    <row r="1537">
      <c r="A1537"/>
      <c r="B1537">
        <v>4</v>
      </c>
      <c r="C1537" s="43">
        <f>INDEX(DarlObj,4)</f>
      </c>
      <c r="D1537">
        <v>94</v>
      </c>
      <c r="E1537" s="51">
        <f>IF(INDEX(DarlBelegt,4)=0,0,EOMONTH(INDEX(DarlAuszahlung,4),93)+1)</f>
      </c>
      <c r="F1537" s="43">
        <f>IF($E1537=0,0,YEAR($E1537))</f>
      </c>
      <c r="G1537" s="43">
        <f>IF(INDEX(DarlBindung,4)="",1,IF($E1537&lt;=INDEX(DarlBindung,4),1,0))</f>
      </c>
      <c r="H1537" s="43">
        <f>IF($G1537=1,INDEX(DarlSollzins,4),INDEX(DarlAnschluss,4))</f>
      </c>
      <c r="I1537" s="43">
        <f>IF(INDEX(DarlBelegt,4)=0,0,IF(INDEX(DarlOhneTilgung,4)=1,IF(INDEX(DarlBindung,4)="",1,$G1537),IF($J1537&gt;0.005,1,0)))</f>
      </c>
      <c r="J1537" s="43">
        <f>IF($I1536=0,0,$R1536)</f>
      </c>
      <c r="K1537" s="43">
        <f>IF($I1537=0,0,IF(INDEX(DarlOhneTilgung,4)=1,0,IF(AND(INDEX(DarlTilgStart,4)&gt;0,$E1537=INDEX(DarlTilgStart,4)),$J1537*($H1537+INDEX(DarlTilgung,4))/100/12,IF(AND($G1537=0,$G1536=1),MAX($K1536,$J1537*($H1537+1)/100/12),$K1536))))</f>
      </c>
      <c r="L1537" s="43">
        <f>IF($I1537=0,0,$J1537*$H1537/100/12)</f>
      </c>
      <c r="M1537" s="43">
        <f>IF($I1537=0,0,IF(OR(INDEX(DarlOhneTilgung,4)=1,AND(INDEX(DarlTilgStart,4)&gt;0,$E1537&lt;INDEX(DarlTilgStart,4))),0,MIN(MAX(0,$K1537-$L1537),$J1537)))</f>
      </c>
      <c r="N1537" s="43">
        <f>IF($I1537=0,0,MIN(SUMIFS(SondBetrag,SondDarl,4,SondDatum,"&gt;="&amp;$E1537,SondDatum,"&lt;="&amp;EOMONTH($E1537,0)),$J1537-$M1537))</f>
      </c>
      <c r="O1537" s="43">
        <f>IF($I1537=0,0,INDEX(DarlErsatzRate,4))</f>
      </c>
      <c r="P1537" s="43">
        <f>IF($I1537=0,0,$Q1536*INDEX(DarlErsatzZins,4))</f>
      </c>
      <c r="Q1537" s="43">
        <f>IF($I1537=0,0,$Q1536+$P1537+$O1537)</f>
      </c>
      <c r="R1537" s="43">
        <f>IF($I1537=0,0,$J1537-$M1537-$N1537)</f>
      </c>
    </row>
    <row r="1538">
      <c r="A1538"/>
      <c r="B1538">
        <v>4</v>
      </c>
      <c r="C1538" s="43">
        <f>INDEX(DarlObj,4)</f>
      </c>
      <c r="D1538">
        <v>95</v>
      </c>
      <c r="E1538" s="51">
        <f>IF(INDEX(DarlBelegt,4)=0,0,EOMONTH(INDEX(DarlAuszahlung,4),94)+1)</f>
      </c>
      <c r="F1538" s="43">
        <f>IF($E1538=0,0,YEAR($E1538))</f>
      </c>
      <c r="G1538" s="43">
        <f>IF(INDEX(DarlBindung,4)="",1,IF($E1538&lt;=INDEX(DarlBindung,4),1,0))</f>
      </c>
      <c r="H1538" s="43">
        <f>IF($G1538=1,INDEX(DarlSollzins,4),INDEX(DarlAnschluss,4))</f>
      </c>
      <c r="I1538" s="43">
        <f>IF(INDEX(DarlBelegt,4)=0,0,IF(INDEX(DarlOhneTilgung,4)=1,IF(INDEX(DarlBindung,4)="",1,$G1538),IF($J1538&gt;0.005,1,0)))</f>
      </c>
      <c r="J1538" s="43">
        <f>IF($I1537=0,0,$R1537)</f>
      </c>
      <c r="K1538" s="43">
        <f>IF($I1538=0,0,IF(INDEX(DarlOhneTilgung,4)=1,0,IF(AND(INDEX(DarlTilgStart,4)&gt;0,$E1538=INDEX(DarlTilgStart,4)),$J1538*($H1538+INDEX(DarlTilgung,4))/100/12,IF(AND($G1538=0,$G1537=1),MAX($K1537,$J1538*($H1538+1)/100/12),$K1537))))</f>
      </c>
      <c r="L1538" s="43">
        <f>IF($I1538=0,0,$J1538*$H1538/100/12)</f>
      </c>
      <c r="M1538" s="43">
        <f>IF($I1538=0,0,IF(OR(INDEX(DarlOhneTilgung,4)=1,AND(INDEX(DarlTilgStart,4)&gt;0,$E1538&lt;INDEX(DarlTilgStart,4))),0,MIN(MAX(0,$K1538-$L1538),$J1538)))</f>
      </c>
      <c r="N1538" s="43">
        <f>IF($I1538=0,0,MIN(SUMIFS(SondBetrag,SondDarl,4,SondDatum,"&gt;="&amp;$E1538,SondDatum,"&lt;="&amp;EOMONTH($E1538,0)),$J1538-$M1538))</f>
      </c>
      <c r="O1538" s="43">
        <f>IF($I1538=0,0,INDEX(DarlErsatzRate,4))</f>
      </c>
      <c r="P1538" s="43">
        <f>IF($I1538=0,0,$Q1537*INDEX(DarlErsatzZins,4))</f>
      </c>
      <c r="Q1538" s="43">
        <f>IF($I1538=0,0,$Q1537+$P1538+$O1538)</f>
      </c>
      <c r="R1538" s="43">
        <f>IF($I1538=0,0,$J1538-$M1538-$N1538)</f>
      </c>
    </row>
    <row r="1539">
      <c r="A1539"/>
      <c r="B1539">
        <v>4</v>
      </c>
      <c r="C1539" s="43">
        <f>INDEX(DarlObj,4)</f>
      </c>
      <c r="D1539">
        <v>96</v>
      </c>
      <c r="E1539" s="51">
        <f>IF(INDEX(DarlBelegt,4)=0,0,EOMONTH(INDEX(DarlAuszahlung,4),95)+1)</f>
      </c>
      <c r="F1539" s="43">
        <f>IF($E1539=0,0,YEAR($E1539))</f>
      </c>
      <c r="G1539" s="43">
        <f>IF(INDEX(DarlBindung,4)="",1,IF($E1539&lt;=INDEX(DarlBindung,4),1,0))</f>
      </c>
      <c r="H1539" s="43">
        <f>IF($G1539=1,INDEX(DarlSollzins,4),INDEX(DarlAnschluss,4))</f>
      </c>
      <c r="I1539" s="43">
        <f>IF(INDEX(DarlBelegt,4)=0,0,IF(INDEX(DarlOhneTilgung,4)=1,IF(INDEX(DarlBindung,4)="",1,$G1539),IF($J1539&gt;0.005,1,0)))</f>
      </c>
      <c r="J1539" s="43">
        <f>IF($I1538=0,0,$R1538)</f>
      </c>
      <c r="K1539" s="43">
        <f>IF($I1539=0,0,IF(INDEX(DarlOhneTilgung,4)=1,0,IF(AND(INDEX(DarlTilgStart,4)&gt;0,$E1539=INDEX(DarlTilgStart,4)),$J1539*($H1539+INDEX(DarlTilgung,4))/100/12,IF(AND($G1539=0,$G1538=1),MAX($K1538,$J1539*($H1539+1)/100/12),$K1538))))</f>
      </c>
      <c r="L1539" s="43">
        <f>IF($I1539=0,0,$J1539*$H1539/100/12)</f>
      </c>
      <c r="M1539" s="43">
        <f>IF($I1539=0,0,IF(OR(INDEX(DarlOhneTilgung,4)=1,AND(INDEX(DarlTilgStart,4)&gt;0,$E1539&lt;INDEX(DarlTilgStart,4))),0,MIN(MAX(0,$K1539-$L1539),$J1539)))</f>
      </c>
      <c r="N1539" s="43">
        <f>IF($I1539=0,0,MIN(SUMIFS(SondBetrag,SondDarl,4,SondDatum,"&gt;="&amp;$E1539,SondDatum,"&lt;="&amp;EOMONTH($E1539,0)),$J1539-$M1539))</f>
      </c>
      <c r="O1539" s="43">
        <f>IF($I1539=0,0,INDEX(DarlErsatzRate,4))</f>
      </c>
      <c r="P1539" s="43">
        <f>IF($I1539=0,0,$Q1538*INDEX(DarlErsatzZins,4))</f>
      </c>
      <c r="Q1539" s="43">
        <f>IF($I1539=0,0,$Q1538+$P1539+$O1539)</f>
      </c>
      <c r="R1539" s="43">
        <f>IF($I1539=0,0,$J1539-$M1539-$N1539)</f>
      </c>
    </row>
    <row r="1540">
      <c r="A1540"/>
      <c r="B1540">
        <v>4</v>
      </c>
      <c r="C1540" s="43">
        <f>INDEX(DarlObj,4)</f>
      </c>
      <c r="D1540">
        <v>97</v>
      </c>
      <c r="E1540" s="51">
        <f>IF(INDEX(DarlBelegt,4)=0,0,EOMONTH(INDEX(DarlAuszahlung,4),96)+1)</f>
      </c>
      <c r="F1540" s="43">
        <f>IF($E1540=0,0,YEAR($E1540))</f>
      </c>
      <c r="G1540" s="43">
        <f>IF(INDEX(DarlBindung,4)="",1,IF($E1540&lt;=INDEX(DarlBindung,4),1,0))</f>
      </c>
      <c r="H1540" s="43">
        <f>IF($G1540=1,INDEX(DarlSollzins,4),INDEX(DarlAnschluss,4))</f>
      </c>
      <c r="I1540" s="43">
        <f>IF(INDEX(DarlBelegt,4)=0,0,IF(INDEX(DarlOhneTilgung,4)=1,IF(INDEX(DarlBindung,4)="",1,$G1540),IF($J1540&gt;0.005,1,0)))</f>
      </c>
      <c r="J1540" s="43">
        <f>IF($I1539=0,0,$R1539)</f>
      </c>
      <c r="K1540" s="43">
        <f>IF($I1540=0,0,IF(INDEX(DarlOhneTilgung,4)=1,0,IF(AND(INDEX(DarlTilgStart,4)&gt;0,$E1540=INDEX(DarlTilgStart,4)),$J1540*($H1540+INDEX(DarlTilgung,4))/100/12,IF(AND($G1540=0,$G1539=1),MAX($K1539,$J1540*($H1540+1)/100/12),$K1539))))</f>
      </c>
      <c r="L1540" s="43">
        <f>IF($I1540=0,0,$J1540*$H1540/100/12)</f>
      </c>
      <c r="M1540" s="43">
        <f>IF($I1540=0,0,IF(OR(INDEX(DarlOhneTilgung,4)=1,AND(INDEX(DarlTilgStart,4)&gt;0,$E1540&lt;INDEX(DarlTilgStart,4))),0,MIN(MAX(0,$K1540-$L1540),$J1540)))</f>
      </c>
      <c r="N1540" s="43">
        <f>IF($I1540=0,0,MIN(SUMIFS(SondBetrag,SondDarl,4,SondDatum,"&gt;="&amp;$E1540,SondDatum,"&lt;="&amp;EOMONTH($E1540,0)),$J1540-$M1540))</f>
      </c>
      <c r="O1540" s="43">
        <f>IF($I1540=0,0,INDEX(DarlErsatzRate,4))</f>
      </c>
      <c r="P1540" s="43">
        <f>IF($I1540=0,0,$Q1539*INDEX(DarlErsatzZins,4))</f>
      </c>
      <c r="Q1540" s="43">
        <f>IF($I1540=0,0,$Q1539+$P1540+$O1540)</f>
      </c>
      <c r="R1540" s="43">
        <f>IF($I1540=0,0,$J1540-$M1540-$N1540)</f>
      </c>
    </row>
    <row r="1541">
      <c r="A1541"/>
      <c r="B1541">
        <v>4</v>
      </c>
      <c r="C1541" s="43">
        <f>INDEX(DarlObj,4)</f>
      </c>
      <c r="D1541">
        <v>98</v>
      </c>
      <c r="E1541" s="51">
        <f>IF(INDEX(DarlBelegt,4)=0,0,EOMONTH(INDEX(DarlAuszahlung,4),97)+1)</f>
      </c>
      <c r="F1541" s="43">
        <f>IF($E1541=0,0,YEAR($E1541))</f>
      </c>
      <c r="G1541" s="43">
        <f>IF(INDEX(DarlBindung,4)="",1,IF($E1541&lt;=INDEX(DarlBindung,4),1,0))</f>
      </c>
      <c r="H1541" s="43">
        <f>IF($G1541=1,INDEX(DarlSollzins,4),INDEX(DarlAnschluss,4))</f>
      </c>
      <c r="I1541" s="43">
        <f>IF(INDEX(DarlBelegt,4)=0,0,IF(INDEX(DarlOhneTilgung,4)=1,IF(INDEX(DarlBindung,4)="",1,$G1541),IF($J1541&gt;0.005,1,0)))</f>
      </c>
      <c r="J1541" s="43">
        <f>IF($I1540=0,0,$R1540)</f>
      </c>
      <c r="K1541" s="43">
        <f>IF($I1541=0,0,IF(INDEX(DarlOhneTilgung,4)=1,0,IF(AND(INDEX(DarlTilgStart,4)&gt;0,$E1541=INDEX(DarlTilgStart,4)),$J1541*($H1541+INDEX(DarlTilgung,4))/100/12,IF(AND($G1541=0,$G1540=1),MAX($K1540,$J1541*($H1541+1)/100/12),$K1540))))</f>
      </c>
      <c r="L1541" s="43">
        <f>IF($I1541=0,0,$J1541*$H1541/100/12)</f>
      </c>
      <c r="M1541" s="43">
        <f>IF($I1541=0,0,IF(OR(INDEX(DarlOhneTilgung,4)=1,AND(INDEX(DarlTilgStart,4)&gt;0,$E1541&lt;INDEX(DarlTilgStart,4))),0,MIN(MAX(0,$K1541-$L1541),$J1541)))</f>
      </c>
      <c r="N1541" s="43">
        <f>IF($I1541=0,0,MIN(SUMIFS(SondBetrag,SondDarl,4,SondDatum,"&gt;="&amp;$E1541,SondDatum,"&lt;="&amp;EOMONTH($E1541,0)),$J1541-$M1541))</f>
      </c>
      <c r="O1541" s="43">
        <f>IF($I1541=0,0,INDEX(DarlErsatzRate,4))</f>
      </c>
      <c r="P1541" s="43">
        <f>IF($I1541=0,0,$Q1540*INDEX(DarlErsatzZins,4))</f>
      </c>
      <c r="Q1541" s="43">
        <f>IF($I1541=0,0,$Q1540+$P1541+$O1541)</f>
      </c>
      <c r="R1541" s="43">
        <f>IF($I1541=0,0,$J1541-$M1541-$N1541)</f>
      </c>
    </row>
    <row r="1542">
      <c r="A1542"/>
      <c r="B1542">
        <v>4</v>
      </c>
      <c r="C1542" s="43">
        <f>INDEX(DarlObj,4)</f>
      </c>
      <c r="D1542">
        <v>99</v>
      </c>
      <c r="E1542" s="51">
        <f>IF(INDEX(DarlBelegt,4)=0,0,EOMONTH(INDEX(DarlAuszahlung,4),98)+1)</f>
      </c>
      <c r="F1542" s="43">
        <f>IF($E1542=0,0,YEAR($E1542))</f>
      </c>
      <c r="G1542" s="43">
        <f>IF(INDEX(DarlBindung,4)="",1,IF($E1542&lt;=INDEX(DarlBindung,4),1,0))</f>
      </c>
      <c r="H1542" s="43">
        <f>IF($G1542=1,INDEX(DarlSollzins,4),INDEX(DarlAnschluss,4))</f>
      </c>
      <c r="I1542" s="43">
        <f>IF(INDEX(DarlBelegt,4)=0,0,IF(INDEX(DarlOhneTilgung,4)=1,IF(INDEX(DarlBindung,4)="",1,$G1542),IF($J1542&gt;0.005,1,0)))</f>
      </c>
      <c r="J1542" s="43">
        <f>IF($I1541=0,0,$R1541)</f>
      </c>
      <c r="K1542" s="43">
        <f>IF($I1542=0,0,IF(INDEX(DarlOhneTilgung,4)=1,0,IF(AND(INDEX(DarlTilgStart,4)&gt;0,$E1542=INDEX(DarlTilgStart,4)),$J1542*($H1542+INDEX(DarlTilgung,4))/100/12,IF(AND($G1542=0,$G1541=1),MAX($K1541,$J1542*($H1542+1)/100/12),$K1541))))</f>
      </c>
      <c r="L1542" s="43">
        <f>IF($I1542=0,0,$J1542*$H1542/100/12)</f>
      </c>
      <c r="M1542" s="43">
        <f>IF($I1542=0,0,IF(OR(INDEX(DarlOhneTilgung,4)=1,AND(INDEX(DarlTilgStart,4)&gt;0,$E1542&lt;INDEX(DarlTilgStart,4))),0,MIN(MAX(0,$K1542-$L1542),$J1542)))</f>
      </c>
      <c r="N1542" s="43">
        <f>IF($I1542=0,0,MIN(SUMIFS(SondBetrag,SondDarl,4,SondDatum,"&gt;="&amp;$E1542,SondDatum,"&lt;="&amp;EOMONTH($E1542,0)),$J1542-$M1542))</f>
      </c>
      <c r="O1542" s="43">
        <f>IF($I1542=0,0,INDEX(DarlErsatzRate,4))</f>
      </c>
      <c r="P1542" s="43">
        <f>IF($I1542=0,0,$Q1541*INDEX(DarlErsatzZins,4))</f>
      </c>
      <c r="Q1542" s="43">
        <f>IF($I1542=0,0,$Q1541+$P1542+$O1542)</f>
      </c>
      <c r="R1542" s="43">
        <f>IF($I1542=0,0,$J1542-$M1542-$N1542)</f>
      </c>
    </row>
    <row r="1543">
      <c r="A1543"/>
      <c r="B1543">
        <v>4</v>
      </c>
      <c r="C1543" s="43">
        <f>INDEX(DarlObj,4)</f>
      </c>
      <c r="D1543">
        <v>100</v>
      </c>
      <c r="E1543" s="51">
        <f>IF(INDEX(DarlBelegt,4)=0,0,EOMONTH(INDEX(DarlAuszahlung,4),99)+1)</f>
      </c>
      <c r="F1543" s="43">
        <f>IF($E1543=0,0,YEAR($E1543))</f>
      </c>
      <c r="G1543" s="43">
        <f>IF(INDEX(DarlBindung,4)="",1,IF($E1543&lt;=INDEX(DarlBindung,4),1,0))</f>
      </c>
      <c r="H1543" s="43">
        <f>IF($G1543=1,INDEX(DarlSollzins,4),INDEX(DarlAnschluss,4))</f>
      </c>
      <c r="I1543" s="43">
        <f>IF(INDEX(DarlBelegt,4)=0,0,IF(INDEX(DarlOhneTilgung,4)=1,IF(INDEX(DarlBindung,4)="",1,$G1543),IF($J1543&gt;0.005,1,0)))</f>
      </c>
      <c r="J1543" s="43">
        <f>IF($I1542=0,0,$R1542)</f>
      </c>
      <c r="K1543" s="43">
        <f>IF($I1543=0,0,IF(INDEX(DarlOhneTilgung,4)=1,0,IF(AND(INDEX(DarlTilgStart,4)&gt;0,$E1543=INDEX(DarlTilgStart,4)),$J1543*($H1543+INDEX(DarlTilgung,4))/100/12,IF(AND($G1543=0,$G1542=1),MAX($K1542,$J1543*($H1543+1)/100/12),$K1542))))</f>
      </c>
      <c r="L1543" s="43">
        <f>IF($I1543=0,0,$J1543*$H1543/100/12)</f>
      </c>
      <c r="M1543" s="43">
        <f>IF($I1543=0,0,IF(OR(INDEX(DarlOhneTilgung,4)=1,AND(INDEX(DarlTilgStart,4)&gt;0,$E1543&lt;INDEX(DarlTilgStart,4))),0,MIN(MAX(0,$K1543-$L1543),$J1543)))</f>
      </c>
      <c r="N1543" s="43">
        <f>IF($I1543=0,0,MIN(SUMIFS(SondBetrag,SondDarl,4,SondDatum,"&gt;="&amp;$E1543,SondDatum,"&lt;="&amp;EOMONTH($E1543,0)),$J1543-$M1543))</f>
      </c>
      <c r="O1543" s="43">
        <f>IF($I1543=0,0,INDEX(DarlErsatzRate,4))</f>
      </c>
      <c r="P1543" s="43">
        <f>IF($I1543=0,0,$Q1542*INDEX(DarlErsatzZins,4))</f>
      </c>
      <c r="Q1543" s="43">
        <f>IF($I1543=0,0,$Q1542+$P1543+$O1543)</f>
      </c>
      <c r="R1543" s="43">
        <f>IF($I1543=0,0,$J1543-$M1543-$N1543)</f>
      </c>
    </row>
    <row r="1544">
      <c r="A1544"/>
      <c r="B1544">
        <v>4</v>
      </c>
      <c r="C1544" s="43">
        <f>INDEX(DarlObj,4)</f>
      </c>
      <c r="D1544">
        <v>101</v>
      </c>
      <c r="E1544" s="51">
        <f>IF(INDEX(DarlBelegt,4)=0,0,EOMONTH(INDEX(DarlAuszahlung,4),100)+1)</f>
      </c>
      <c r="F1544" s="43">
        <f>IF($E1544=0,0,YEAR($E1544))</f>
      </c>
      <c r="G1544" s="43">
        <f>IF(INDEX(DarlBindung,4)="",1,IF($E1544&lt;=INDEX(DarlBindung,4),1,0))</f>
      </c>
      <c r="H1544" s="43">
        <f>IF($G1544=1,INDEX(DarlSollzins,4),INDEX(DarlAnschluss,4))</f>
      </c>
      <c r="I1544" s="43">
        <f>IF(INDEX(DarlBelegt,4)=0,0,IF(INDEX(DarlOhneTilgung,4)=1,IF(INDEX(DarlBindung,4)="",1,$G1544),IF($J1544&gt;0.005,1,0)))</f>
      </c>
      <c r="J1544" s="43">
        <f>IF($I1543=0,0,$R1543)</f>
      </c>
      <c r="K1544" s="43">
        <f>IF($I1544=0,0,IF(INDEX(DarlOhneTilgung,4)=1,0,IF(AND(INDEX(DarlTilgStart,4)&gt;0,$E1544=INDEX(DarlTilgStart,4)),$J1544*($H1544+INDEX(DarlTilgung,4))/100/12,IF(AND($G1544=0,$G1543=1),MAX($K1543,$J1544*($H1544+1)/100/12),$K1543))))</f>
      </c>
      <c r="L1544" s="43">
        <f>IF($I1544=0,0,$J1544*$H1544/100/12)</f>
      </c>
      <c r="M1544" s="43">
        <f>IF($I1544=0,0,IF(OR(INDEX(DarlOhneTilgung,4)=1,AND(INDEX(DarlTilgStart,4)&gt;0,$E1544&lt;INDEX(DarlTilgStart,4))),0,MIN(MAX(0,$K1544-$L1544),$J1544)))</f>
      </c>
      <c r="N1544" s="43">
        <f>IF($I1544=0,0,MIN(SUMIFS(SondBetrag,SondDarl,4,SondDatum,"&gt;="&amp;$E1544,SondDatum,"&lt;="&amp;EOMONTH($E1544,0)),$J1544-$M1544))</f>
      </c>
      <c r="O1544" s="43">
        <f>IF($I1544=0,0,INDEX(DarlErsatzRate,4))</f>
      </c>
      <c r="P1544" s="43">
        <f>IF($I1544=0,0,$Q1543*INDEX(DarlErsatzZins,4))</f>
      </c>
      <c r="Q1544" s="43">
        <f>IF($I1544=0,0,$Q1543+$P1544+$O1544)</f>
      </c>
      <c r="R1544" s="43">
        <f>IF($I1544=0,0,$J1544-$M1544-$N1544)</f>
      </c>
    </row>
    <row r="1545">
      <c r="A1545"/>
      <c r="B1545">
        <v>4</v>
      </c>
      <c r="C1545" s="43">
        <f>INDEX(DarlObj,4)</f>
      </c>
      <c r="D1545">
        <v>102</v>
      </c>
      <c r="E1545" s="51">
        <f>IF(INDEX(DarlBelegt,4)=0,0,EOMONTH(INDEX(DarlAuszahlung,4),101)+1)</f>
      </c>
      <c r="F1545" s="43">
        <f>IF($E1545=0,0,YEAR($E1545))</f>
      </c>
      <c r="G1545" s="43">
        <f>IF(INDEX(DarlBindung,4)="",1,IF($E1545&lt;=INDEX(DarlBindung,4),1,0))</f>
      </c>
      <c r="H1545" s="43">
        <f>IF($G1545=1,INDEX(DarlSollzins,4),INDEX(DarlAnschluss,4))</f>
      </c>
      <c r="I1545" s="43">
        <f>IF(INDEX(DarlBelegt,4)=0,0,IF(INDEX(DarlOhneTilgung,4)=1,IF(INDEX(DarlBindung,4)="",1,$G1545),IF($J1545&gt;0.005,1,0)))</f>
      </c>
      <c r="J1545" s="43">
        <f>IF($I1544=0,0,$R1544)</f>
      </c>
      <c r="K1545" s="43">
        <f>IF($I1545=0,0,IF(INDEX(DarlOhneTilgung,4)=1,0,IF(AND(INDEX(DarlTilgStart,4)&gt;0,$E1545=INDEX(DarlTilgStart,4)),$J1545*($H1545+INDEX(DarlTilgung,4))/100/12,IF(AND($G1545=0,$G1544=1),MAX($K1544,$J1545*($H1545+1)/100/12),$K1544))))</f>
      </c>
      <c r="L1545" s="43">
        <f>IF($I1545=0,0,$J1545*$H1545/100/12)</f>
      </c>
      <c r="M1545" s="43">
        <f>IF($I1545=0,0,IF(OR(INDEX(DarlOhneTilgung,4)=1,AND(INDEX(DarlTilgStart,4)&gt;0,$E1545&lt;INDEX(DarlTilgStart,4))),0,MIN(MAX(0,$K1545-$L1545),$J1545)))</f>
      </c>
      <c r="N1545" s="43">
        <f>IF($I1545=0,0,MIN(SUMIFS(SondBetrag,SondDarl,4,SondDatum,"&gt;="&amp;$E1545,SondDatum,"&lt;="&amp;EOMONTH($E1545,0)),$J1545-$M1545))</f>
      </c>
      <c r="O1545" s="43">
        <f>IF($I1545=0,0,INDEX(DarlErsatzRate,4))</f>
      </c>
      <c r="P1545" s="43">
        <f>IF($I1545=0,0,$Q1544*INDEX(DarlErsatzZins,4))</f>
      </c>
      <c r="Q1545" s="43">
        <f>IF($I1545=0,0,$Q1544+$P1545+$O1545)</f>
      </c>
      <c r="R1545" s="43">
        <f>IF($I1545=0,0,$J1545-$M1545-$N1545)</f>
      </c>
    </row>
    <row r="1546">
      <c r="A1546"/>
      <c r="B1546">
        <v>4</v>
      </c>
      <c r="C1546" s="43">
        <f>INDEX(DarlObj,4)</f>
      </c>
      <c r="D1546">
        <v>103</v>
      </c>
      <c r="E1546" s="51">
        <f>IF(INDEX(DarlBelegt,4)=0,0,EOMONTH(INDEX(DarlAuszahlung,4),102)+1)</f>
      </c>
      <c r="F1546" s="43">
        <f>IF($E1546=0,0,YEAR($E1546))</f>
      </c>
      <c r="G1546" s="43">
        <f>IF(INDEX(DarlBindung,4)="",1,IF($E1546&lt;=INDEX(DarlBindung,4),1,0))</f>
      </c>
      <c r="H1546" s="43">
        <f>IF($G1546=1,INDEX(DarlSollzins,4),INDEX(DarlAnschluss,4))</f>
      </c>
      <c r="I1546" s="43">
        <f>IF(INDEX(DarlBelegt,4)=0,0,IF(INDEX(DarlOhneTilgung,4)=1,IF(INDEX(DarlBindung,4)="",1,$G1546),IF($J1546&gt;0.005,1,0)))</f>
      </c>
      <c r="J1546" s="43">
        <f>IF($I1545=0,0,$R1545)</f>
      </c>
      <c r="K1546" s="43">
        <f>IF($I1546=0,0,IF(INDEX(DarlOhneTilgung,4)=1,0,IF(AND(INDEX(DarlTilgStart,4)&gt;0,$E1546=INDEX(DarlTilgStart,4)),$J1546*($H1546+INDEX(DarlTilgung,4))/100/12,IF(AND($G1546=0,$G1545=1),MAX($K1545,$J1546*($H1546+1)/100/12),$K1545))))</f>
      </c>
      <c r="L1546" s="43">
        <f>IF($I1546=0,0,$J1546*$H1546/100/12)</f>
      </c>
      <c r="M1546" s="43">
        <f>IF($I1546=0,0,IF(OR(INDEX(DarlOhneTilgung,4)=1,AND(INDEX(DarlTilgStart,4)&gt;0,$E1546&lt;INDEX(DarlTilgStart,4))),0,MIN(MAX(0,$K1546-$L1546),$J1546)))</f>
      </c>
      <c r="N1546" s="43">
        <f>IF($I1546=0,0,MIN(SUMIFS(SondBetrag,SondDarl,4,SondDatum,"&gt;="&amp;$E1546,SondDatum,"&lt;="&amp;EOMONTH($E1546,0)),$J1546-$M1546))</f>
      </c>
      <c r="O1546" s="43">
        <f>IF($I1546=0,0,INDEX(DarlErsatzRate,4))</f>
      </c>
      <c r="P1546" s="43">
        <f>IF($I1546=0,0,$Q1545*INDEX(DarlErsatzZins,4))</f>
      </c>
      <c r="Q1546" s="43">
        <f>IF($I1546=0,0,$Q1545+$P1546+$O1546)</f>
      </c>
      <c r="R1546" s="43">
        <f>IF($I1546=0,0,$J1546-$M1546-$N1546)</f>
      </c>
    </row>
    <row r="1547">
      <c r="A1547"/>
      <c r="B1547">
        <v>4</v>
      </c>
      <c r="C1547" s="43">
        <f>INDEX(DarlObj,4)</f>
      </c>
      <c r="D1547">
        <v>104</v>
      </c>
      <c r="E1547" s="51">
        <f>IF(INDEX(DarlBelegt,4)=0,0,EOMONTH(INDEX(DarlAuszahlung,4),103)+1)</f>
      </c>
      <c r="F1547" s="43">
        <f>IF($E1547=0,0,YEAR($E1547))</f>
      </c>
      <c r="G1547" s="43">
        <f>IF(INDEX(DarlBindung,4)="",1,IF($E1547&lt;=INDEX(DarlBindung,4),1,0))</f>
      </c>
      <c r="H1547" s="43">
        <f>IF($G1547=1,INDEX(DarlSollzins,4),INDEX(DarlAnschluss,4))</f>
      </c>
      <c r="I1547" s="43">
        <f>IF(INDEX(DarlBelegt,4)=0,0,IF(INDEX(DarlOhneTilgung,4)=1,IF(INDEX(DarlBindung,4)="",1,$G1547),IF($J1547&gt;0.005,1,0)))</f>
      </c>
      <c r="J1547" s="43">
        <f>IF($I1546=0,0,$R1546)</f>
      </c>
      <c r="K1547" s="43">
        <f>IF($I1547=0,0,IF(INDEX(DarlOhneTilgung,4)=1,0,IF(AND(INDEX(DarlTilgStart,4)&gt;0,$E1547=INDEX(DarlTilgStart,4)),$J1547*($H1547+INDEX(DarlTilgung,4))/100/12,IF(AND($G1547=0,$G1546=1),MAX($K1546,$J1547*($H1547+1)/100/12),$K1546))))</f>
      </c>
      <c r="L1547" s="43">
        <f>IF($I1547=0,0,$J1547*$H1547/100/12)</f>
      </c>
      <c r="M1547" s="43">
        <f>IF($I1547=0,0,IF(OR(INDEX(DarlOhneTilgung,4)=1,AND(INDEX(DarlTilgStart,4)&gt;0,$E1547&lt;INDEX(DarlTilgStart,4))),0,MIN(MAX(0,$K1547-$L1547),$J1547)))</f>
      </c>
      <c r="N1547" s="43">
        <f>IF($I1547=0,0,MIN(SUMIFS(SondBetrag,SondDarl,4,SondDatum,"&gt;="&amp;$E1547,SondDatum,"&lt;="&amp;EOMONTH($E1547,0)),$J1547-$M1547))</f>
      </c>
      <c r="O1547" s="43">
        <f>IF($I1547=0,0,INDEX(DarlErsatzRate,4))</f>
      </c>
      <c r="P1547" s="43">
        <f>IF($I1547=0,0,$Q1546*INDEX(DarlErsatzZins,4))</f>
      </c>
      <c r="Q1547" s="43">
        <f>IF($I1547=0,0,$Q1546+$P1547+$O1547)</f>
      </c>
      <c r="R1547" s="43">
        <f>IF($I1547=0,0,$J1547-$M1547-$N1547)</f>
      </c>
    </row>
    <row r="1548">
      <c r="A1548"/>
      <c r="B1548">
        <v>4</v>
      </c>
      <c r="C1548" s="43">
        <f>INDEX(DarlObj,4)</f>
      </c>
      <c r="D1548">
        <v>105</v>
      </c>
      <c r="E1548" s="51">
        <f>IF(INDEX(DarlBelegt,4)=0,0,EOMONTH(INDEX(DarlAuszahlung,4),104)+1)</f>
      </c>
      <c r="F1548" s="43">
        <f>IF($E1548=0,0,YEAR($E1548))</f>
      </c>
      <c r="G1548" s="43">
        <f>IF(INDEX(DarlBindung,4)="",1,IF($E1548&lt;=INDEX(DarlBindung,4),1,0))</f>
      </c>
      <c r="H1548" s="43">
        <f>IF($G1548=1,INDEX(DarlSollzins,4),INDEX(DarlAnschluss,4))</f>
      </c>
      <c r="I1548" s="43">
        <f>IF(INDEX(DarlBelegt,4)=0,0,IF(INDEX(DarlOhneTilgung,4)=1,IF(INDEX(DarlBindung,4)="",1,$G1548),IF($J1548&gt;0.005,1,0)))</f>
      </c>
      <c r="J1548" s="43">
        <f>IF($I1547=0,0,$R1547)</f>
      </c>
      <c r="K1548" s="43">
        <f>IF($I1548=0,0,IF(INDEX(DarlOhneTilgung,4)=1,0,IF(AND(INDEX(DarlTilgStart,4)&gt;0,$E1548=INDEX(DarlTilgStart,4)),$J1548*($H1548+INDEX(DarlTilgung,4))/100/12,IF(AND($G1548=0,$G1547=1),MAX($K1547,$J1548*($H1548+1)/100/12),$K1547))))</f>
      </c>
      <c r="L1548" s="43">
        <f>IF($I1548=0,0,$J1548*$H1548/100/12)</f>
      </c>
      <c r="M1548" s="43">
        <f>IF($I1548=0,0,IF(OR(INDEX(DarlOhneTilgung,4)=1,AND(INDEX(DarlTilgStart,4)&gt;0,$E1548&lt;INDEX(DarlTilgStart,4))),0,MIN(MAX(0,$K1548-$L1548),$J1548)))</f>
      </c>
      <c r="N1548" s="43">
        <f>IF($I1548=0,0,MIN(SUMIFS(SondBetrag,SondDarl,4,SondDatum,"&gt;="&amp;$E1548,SondDatum,"&lt;="&amp;EOMONTH($E1548,0)),$J1548-$M1548))</f>
      </c>
      <c r="O1548" s="43">
        <f>IF($I1548=0,0,INDEX(DarlErsatzRate,4))</f>
      </c>
      <c r="P1548" s="43">
        <f>IF($I1548=0,0,$Q1547*INDEX(DarlErsatzZins,4))</f>
      </c>
      <c r="Q1548" s="43">
        <f>IF($I1548=0,0,$Q1547+$P1548+$O1548)</f>
      </c>
      <c r="R1548" s="43">
        <f>IF($I1548=0,0,$J1548-$M1548-$N1548)</f>
      </c>
    </row>
    <row r="1549">
      <c r="A1549"/>
      <c r="B1549">
        <v>4</v>
      </c>
      <c r="C1549" s="43">
        <f>INDEX(DarlObj,4)</f>
      </c>
      <c r="D1549">
        <v>106</v>
      </c>
      <c r="E1549" s="51">
        <f>IF(INDEX(DarlBelegt,4)=0,0,EOMONTH(INDEX(DarlAuszahlung,4),105)+1)</f>
      </c>
      <c r="F1549" s="43">
        <f>IF($E1549=0,0,YEAR($E1549))</f>
      </c>
      <c r="G1549" s="43">
        <f>IF(INDEX(DarlBindung,4)="",1,IF($E1549&lt;=INDEX(DarlBindung,4),1,0))</f>
      </c>
      <c r="H1549" s="43">
        <f>IF($G1549=1,INDEX(DarlSollzins,4),INDEX(DarlAnschluss,4))</f>
      </c>
      <c r="I1549" s="43">
        <f>IF(INDEX(DarlBelegt,4)=0,0,IF(INDEX(DarlOhneTilgung,4)=1,IF(INDEX(DarlBindung,4)="",1,$G1549),IF($J1549&gt;0.005,1,0)))</f>
      </c>
      <c r="J1549" s="43">
        <f>IF($I1548=0,0,$R1548)</f>
      </c>
      <c r="K1549" s="43">
        <f>IF($I1549=0,0,IF(INDEX(DarlOhneTilgung,4)=1,0,IF(AND(INDEX(DarlTilgStart,4)&gt;0,$E1549=INDEX(DarlTilgStart,4)),$J1549*($H1549+INDEX(DarlTilgung,4))/100/12,IF(AND($G1549=0,$G1548=1),MAX($K1548,$J1549*($H1549+1)/100/12),$K1548))))</f>
      </c>
      <c r="L1549" s="43">
        <f>IF($I1549=0,0,$J1549*$H1549/100/12)</f>
      </c>
      <c r="M1549" s="43">
        <f>IF($I1549=0,0,IF(OR(INDEX(DarlOhneTilgung,4)=1,AND(INDEX(DarlTilgStart,4)&gt;0,$E1549&lt;INDEX(DarlTilgStart,4))),0,MIN(MAX(0,$K1549-$L1549),$J1549)))</f>
      </c>
      <c r="N1549" s="43">
        <f>IF($I1549=0,0,MIN(SUMIFS(SondBetrag,SondDarl,4,SondDatum,"&gt;="&amp;$E1549,SondDatum,"&lt;="&amp;EOMONTH($E1549,0)),$J1549-$M1549))</f>
      </c>
      <c r="O1549" s="43">
        <f>IF($I1549=0,0,INDEX(DarlErsatzRate,4))</f>
      </c>
      <c r="P1549" s="43">
        <f>IF($I1549=0,0,$Q1548*INDEX(DarlErsatzZins,4))</f>
      </c>
      <c r="Q1549" s="43">
        <f>IF($I1549=0,0,$Q1548+$P1549+$O1549)</f>
      </c>
      <c r="R1549" s="43">
        <f>IF($I1549=0,0,$J1549-$M1549-$N1549)</f>
      </c>
    </row>
    <row r="1550">
      <c r="A1550"/>
      <c r="B1550">
        <v>4</v>
      </c>
      <c r="C1550" s="43">
        <f>INDEX(DarlObj,4)</f>
      </c>
      <c r="D1550">
        <v>107</v>
      </c>
      <c r="E1550" s="51">
        <f>IF(INDEX(DarlBelegt,4)=0,0,EOMONTH(INDEX(DarlAuszahlung,4),106)+1)</f>
      </c>
      <c r="F1550" s="43">
        <f>IF($E1550=0,0,YEAR($E1550))</f>
      </c>
      <c r="G1550" s="43">
        <f>IF(INDEX(DarlBindung,4)="",1,IF($E1550&lt;=INDEX(DarlBindung,4),1,0))</f>
      </c>
      <c r="H1550" s="43">
        <f>IF($G1550=1,INDEX(DarlSollzins,4),INDEX(DarlAnschluss,4))</f>
      </c>
      <c r="I1550" s="43">
        <f>IF(INDEX(DarlBelegt,4)=0,0,IF(INDEX(DarlOhneTilgung,4)=1,IF(INDEX(DarlBindung,4)="",1,$G1550),IF($J1550&gt;0.005,1,0)))</f>
      </c>
      <c r="J1550" s="43">
        <f>IF($I1549=0,0,$R1549)</f>
      </c>
      <c r="K1550" s="43">
        <f>IF($I1550=0,0,IF(INDEX(DarlOhneTilgung,4)=1,0,IF(AND(INDEX(DarlTilgStart,4)&gt;0,$E1550=INDEX(DarlTilgStart,4)),$J1550*($H1550+INDEX(DarlTilgung,4))/100/12,IF(AND($G1550=0,$G1549=1),MAX($K1549,$J1550*($H1550+1)/100/12),$K1549))))</f>
      </c>
      <c r="L1550" s="43">
        <f>IF($I1550=0,0,$J1550*$H1550/100/12)</f>
      </c>
      <c r="M1550" s="43">
        <f>IF($I1550=0,0,IF(OR(INDEX(DarlOhneTilgung,4)=1,AND(INDEX(DarlTilgStart,4)&gt;0,$E1550&lt;INDEX(DarlTilgStart,4))),0,MIN(MAX(0,$K1550-$L1550),$J1550)))</f>
      </c>
      <c r="N1550" s="43">
        <f>IF($I1550=0,0,MIN(SUMIFS(SondBetrag,SondDarl,4,SondDatum,"&gt;="&amp;$E1550,SondDatum,"&lt;="&amp;EOMONTH($E1550,0)),$J1550-$M1550))</f>
      </c>
      <c r="O1550" s="43">
        <f>IF($I1550=0,0,INDEX(DarlErsatzRate,4))</f>
      </c>
      <c r="P1550" s="43">
        <f>IF($I1550=0,0,$Q1549*INDEX(DarlErsatzZins,4))</f>
      </c>
      <c r="Q1550" s="43">
        <f>IF($I1550=0,0,$Q1549+$P1550+$O1550)</f>
      </c>
      <c r="R1550" s="43">
        <f>IF($I1550=0,0,$J1550-$M1550-$N1550)</f>
      </c>
    </row>
    <row r="1551">
      <c r="A1551"/>
      <c r="B1551">
        <v>4</v>
      </c>
      <c r="C1551" s="43">
        <f>INDEX(DarlObj,4)</f>
      </c>
      <c r="D1551">
        <v>108</v>
      </c>
      <c r="E1551" s="51">
        <f>IF(INDEX(DarlBelegt,4)=0,0,EOMONTH(INDEX(DarlAuszahlung,4),107)+1)</f>
      </c>
      <c r="F1551" s="43">
        <f>IF($E1551=0,0,YEAR($E1551))</f>
      </c>
      <c r="G1551" s="43">
        <f>IF(INDEX(DarlBindung,4)="",1,IF($E1551&lt;=INDEX(DarlBindung,4),1,0))</f>
      </c>
      <c r="H1551" s="43">
        <f>IF($G1551=1,INDEX(DarlSollzins,4),INDEX(DarlAnschluss,4))</f>
      </c>
      <c r="I1551" s="43">
        <f>IF(INDEX(DarlBelegt,4)=0,0,IF(INDEX(DarlOhneTilgung,4)=1,IF(INDEX(DarlBindung,4)="",1,$G1551),IF($J1551&gt;0.005,1,0)))</f>
      </c>
      <c r="J1551" s="43">
        <f>IF($I1550=0,0,$R1550)</f>
      </c>
      <c r="K1551" s="43">
        <f>IF($I1551=0,0,IF(INDEX(DarlOhneTilgung,4)=1,0,IF(AND(INDEX(DarlTilgStart,4)&gt;0,$E1551=INDEX(DarlTilgStart,4)),$J1551*($H1551+INDEX(DarlTilgung,4))/100/12,IF(AND($G1551=0,$G1550=1),MAX($K1550,$J1551*($H1551+1)/100/12),$K1550))))</f>
      </c>
      <c r="L1551" s="43">
        <f>IF($I1551=0,0,$J1551*$H1551/100/12)</f>
      </c>
      <c r="M1551" s="43">
        <f>IF($I1551=0,0,IF(OR(INDEX(DarlOhneTilgung,4)=1,AND(INDEX(DarlTilgStart,4)&gt;0,$E1551&lt;INDEX(DarlTilgStart,4))),0,MIN(MAX(0,$K1551-$L1551),$J1551)))</f>
      </c>
      <c r="N1551" s="43">
        <f>IF($I1551=0,0,MIN(SUMIFS(SondBetrag,SondDarl,4,SondDatum,"&gt;="&amp;$E1551,SondDatum,"&lt;="&amp;EOMONTH($E1551,0)),$J1551-$M1551))</f>
      </c>
      <c r="O1551" s="43">
        <f>IF($I1551=0,0,INDEX(DarlErsatzRate,4))</f>
      </c>
      <c r="P1551" s="43">
        <f>IF($I1551=0,0,$Q1550*INDEX(DarlErsatzZins,4))</f>
      </c>
      <c r="Q1551" s="43">
        <f>IF($I1551=0,0,$Q1550+$P1551+$O1551)</f>
      </c>
      <c r="R1551" s="43">
        <f>IF($I1551=0,0,$J1551-$M1551-$N1551)</f>
      </c>
    </row>
    <row r="1552">
      <c r="A1552"/>
      <c r="B1552">
        <v>4</v>
      </c>
      <c r="C1552" s="43">
        <f>INDEX(DarlObj,4)</f>
      </c>
      <c r="D1552">
        <v>109</v>
      </c>
      <c r="E1552" s="51">
        <f>IF(INDEX(DarlBelegt,4)=0,0,EOMONTH(INDEX(DarlAuszahlung,4),108)+1)</f>
      </c>
      <c r="F1552" s="43">
        <f>IF($E1552=0,0,YEAR($E1552))</f>
      </c>
      <c r="G1552" s="43">
        <f>IF(INDEX(DarlBindung,4)="",1,IF($E1552&lt;=INDEX(DarlBindung,4),1,0))</f>
      </c>
      <c r="H1552" s="43">
        <f>IF($G1552=1,INDEX(DarlSollzins,4),INDEX(DarlAnschluss,4))</f>
      </c>
      <c r="I1552" s="43">
        <f>IF(INDEX(DarlBelegt,4)=0,0,IF(INDEX(DarlOhneTilgung,4)=1,IF(INDEX(DarlBindung,4)="",1,$G1552),IF($J1552&gt;0.005,1,0)))</f>
      </c>
      <c r="J1552" s="43">
        <f>IF($I1551=0,0,$R1551)</f>
      </c>
      <c r="K1552" s="43">
        <f>IF($I1552=0,0,IF(INDEX(DarlOhneTilgung,4)=1,0,IF(AND(INDEX(DarlTilgStart,4)&gt;0,$E1552=INDEX(DarlTilgStart,4)),$J1552*($H1552+INDEX(DarlTilgung,4))/100/12,IF(AND($G1552=0,$G1551=1),MAX($K1551,$J1552*($H1552+1)/100/12),$K1551))))</f>
      </c>
      <c r="L1552" s="43">
        <f>IF($I1552=0,0,$J1552*$H1552/100/12)</f>
      </c>
      <c r="M1552" s="43">
        <f>IF($I1552=0,0,IF(OR(INDEX(DarlOhneTilgung,4)=1,AND(INDEX(DarlTilgStart,4)&gt;0,$E1552&lt;INDEX(DarlTilgStart,4))),0,MIN(MAX(0,$K1552-$L1552),$J1552)))</f>
      </c>
      <c r="N1552" s="43">
        <f>IF($I1552=0,0,MIN(SUMIFS(SondBetrag,SondDarl,4,SondDatum,"&gt;="&amp;$E1552,SondDatum,"&lt;="&amp;EOMONTH($E1552,0)),$J1552-$M1552))</f>
      </c>
      <c r="O1552" s="43">
        <f>IF($I1552=0,0,INDEX(DarlErsatzRate,4))</f>
      </c>
      <c r="P1552" s="43">
        <f>IF($I1552=0,0,$Q1551*INDEX(DarlErsatzZins,4))</f>
      </c>
      <c r="Q1552" s="43">
        <f>IF($I1552=0,0,$Q1551+$P1552+$O1552)</f>
      </c>
      <c r="R1552" s="43">
        <f>IF($I1552=0,0,$J1552-$M1552-$N1552)</f>
      </c>
    </row>
    <row r="1553">
      <c r="A1553"/>
      <c r="B1553">
        <v>4</v>
      </c>
      <c r="C1553" s="43">
        <f>INDEX(DarlObj,4)</f>
      </c>
      <c r="D1553">
        <v>110</v>
      </c>
      <c r="E1553" s="51">
        <f>IF(INDEX(DarlBelegt,4)=0,0,EOMONTH(INDEX(DarlAuszahlung,4),109)+1)</f>
      </c>
      <c r="F1553" s="43">
        <f>IF($E1553=0,0,YEAR($E1553))</f>
      </c>
      <c r="G1553" s="43">
        <f>IF(INDEX(DarlBindung,4)="",1,IF($E1553&lt;=INDEX(DarlBindung,4),1,0))</f>
      </c>
      <c r="H1553" s="43">
        <f>IF($G1553=1,INDEX(DarlSollzins,4),INDEX(DarlAnschluss,4))</f>
      </c>
      <c r="I1553" s="43">
        <f>IF(INDEX(DarlBelegt,4)=0,0,IF(INDEX(DarlOhneTilgung,4)=1,IF(INDEX(DarlBindung,4)="",1,$G1553),IF($J1553&gt;0.005,1,0)))</f>
      </c>
      <c r="J1553" s="43">
        <f>IF($I1552=0,0,$R1552)</f>
      </c>
      <c r="K1553" s="43">
        <f>IF($I1553=0,0,IF(INDEX(DarlOhneTilgung,4)=1,0,IF(AND(INDEX(DarlTilgStart,4)&gt;0,$E1553=INDEX(DarlTilgStart,4)),$J1553*($H1553+INDEX(DarlTilgung,4))/100/12,IF(AND($G1553=0,$G1552=1),MAX($K1552,$J1553*($H1553+1)/100/12),$K1552))))</f>
      </c>
      <c r="L1553" s="43">
        <f>IF($I1553=0,0,$J1553*$H1553/100/12)</f>
      </c>
      <c r="M1553" s="43">
        <f>IF($I1553=0,0,IF(OR(INDEX(DarlOhneTilgung,4)=1,AND(INDEX(DarlTilgStart,4)&gt;0,$E1553&lt;INDEX(DarlTilgStart,4))),0,MIN(MAX(0,$K1553-$L1553),$J1553)))</f>
      </c>
      <c r="N1553" s="43">
        <f>IF($I1553=0,0,MIN(SUMIFS(SondBetrag,SondDarl,4,SondDatum,"&gt;="&amp;$E1553,SondDatum,"&lt;="&amp;EOMONTH($E1553,0)),$J1553-$M1553))</f>
      </c>
      <c r="O1553" s="43">
        <f>IF($I1553=0,0,INDEX(DarlErsatzRate,4))</f>
      </c>
      <c r="P1553" s="43">
        <f>IF($I1553=0,0,$Q1552*INDEX(DarlErsatzZins,4))</f>
      </c>
      <c r="Q1553" s="43">
        <f>IF($I1553=0,0,$Q1552+$P1553+$O1553)</f>
      </c>
      <c r="R1553" s="43">
        <f>IF($I1553=0,0,$J1553-$M1553-$N1553)</f>
      </c>
    </row>
    <row r="1554">
      <c r="A1554"/>
      <c r="B1554">
        <v>4</v>
      </c>
      <c r="C1554" s="43">
        <f>INDEX(DarlObj,4)</f>
      </c>
      <c r="D1554">
        <v>111</v>
      </c>
      <c r="E1554" s="51">
        <f>IF(INDEX(DarlBelegt,4)=0,0,EOMONTH(INDEX(DarlAuszahlung,4),110)+1)</f>
      </c>
      <c r="F1554" s="43">
        <f>IF($E1554=0,0,YEAR($E1554))</f>
      </c>
      <c r="G1554" s="43">
        <f>IF(INDEX(DarlBindung,4)="",1,IF($E1554&lt;=INDEX(DarlBindung,4),1,0))</f>
      </c>
      <c r="H1554" s="43">
        <f>IF($G1554=1,INDEX(DarlSollzins,4),INDEX(DarlAnschluss,4))</f>
      </c>
      <c r="I1554" s="43">
        <f>IF(INDEX(DarlBelegt,4)=0,0,IF(INDEX(DarlOhneTilgung,4)=1,IF(INDEX(DarlBindung,4)="",1,$G1554),IF($J1554&gt;0.005,1,0)))</f>
      </c>
      <c r="J1554" s="43">
        <f>IF($I1553=0,0,$R1553)</f>
      </c>
      <c r="K1554" s="43">
        <f>IF($I1554=0,0,IF(INDEX(DarlOhneTilgung,4)=1,0,IF(AND(INDEX(DarlTilgStart,4)&gt;0,$E1554=INDEX(DarlTilgStart,4)),$J1554*($H1554+INDEX(DarlTilgung,4))/100/12,IF(AND($G1554=0,$G1553=1),MAX($K1553,$J1554*($H1554+1)/100/12),$K1553))))</f>
      </c>
      <c r="L1554" s="43">
        <f>IF($I1554=0,0,$J1554*$H1554/100/12)</f>
      </c>
      <c r="M1554" s="43">
        <f>IF($I1554=0,0,IF(OR(INDEX(DarlOhneTilgung,4)=1,AND(INDEX(DarlTilgStart,4)&gt;0,$E1554&lt;INDEX(DarlTilgStart,4))),0,MIN(MAX(0,$K1554-$L1554),$J1554)))</f>
      </c>
      <c r="N1554" s="43">
        <f>IF($I1554=0,0,MIN(SUMIFS(SondBetrag,SondDarl,4,SondDatum,"&gt;="&amp;$E1554,SondDatum,"&lt;="&amp;EOMONTH($E1554,0)),$J1554-$M1554))</f>
      </c>
      <c r="O1554" s="43">
        <f>IF($I1554=0,0,INDEX(DarlErsatzRate,4))</f>
      </c>
      <c r="P1554" s="43">
        <f>IF($I1554=0,0,$Q1553*INDEX(DarlErsatzZins,4))</f>
      </c>
      <c r="Q1554" s="43">
        <f>IF($I1554=0,0,$Q1553+$P1554+$O1554)</f>
      </c>
      <c r="R1554" s="43">
        <f>IF($I1554=0,0,$J1554-$M1554-$N1554)</f>
      </c>
    </row>
    <row r="1555">
      <c r="A1555"/>
      <c r="B1555">
        <v>4</v>
      </c>
      <c r="C1555" s="43">
        <f>INDEX(DarlObj,4)</f>
      </c>
      <c r="D1555">
        <v>112</v>
      </c>
      <c r="E1555" s="51">
        <f>IF(INDEX(DarlBelegt,4)=0,0,EOMONTH(INDEX(DarlAuszahlung,4),111)+1)</f>
      </c>
      <c r="F1555" s="43">
        <f>IF($E1555=0,0,YEAR($E1555))</f>
      </c>
      <c r="G1555" s="43">
        <f>IF(INDEX(DarlBindung,4)="",1,IF($E1555&lt;=INDEX(DarlBindung,4),1,0))</f>
      </c>
      <c r="H1555" s="43">
        <f>IF($G1555=1,INDEX(DarlSollzins,4),INDEX(DarlAnschluss,4))</f>
      </c>
      <c r="I1555" s="43">
        <f>IF(INDEX(DarlBelegt,4)=0,0,IF(INDEX(DarlOhneTilgung,4)=1,IF(INDEX(DarlBindung,4)="",1,$G1555),IF($J1555&gt;0.005,1,0)))</f>
      </c>
      <c r="J1555" s="43">
        <f>IF($I1554=0,0,$R1554)</f>
      </c>
      <c r="K1555" s="43">
        <f>IF($I1555=0,0,IF(INDEX(DarlOhneTilgung,4)=1,0,IF(AND(INDEX(DarlTilgStart,4)&gt;0,$E1555=INDEX(DarlTilgStart,4)),$J1555*($H1555+INDEX(DarlTilgung,4))/100/12,IF(AND($G1555=0,$G1554=1),MAX($K1554,$J1555*($H1555+1)/100/12),$K1554))))</f>
      </c>
      <c r="L1555" s="43">
        <f>IF($I1555=0,0,$J1555*$H1555/100/12)</f>
      </c>
      <c r="M1555" s="43">
        <f>IF($I1555=0,0,IF(OR(INDEX(DarlOhneTilgung,4)=1,AND(INDEX(DarlTilgStart,4)&gt;0,$E1555&lt;INDEX(DarlTilgStart,4))),0,MIN(MAX(0,$K1555-$L1555),$J1555)))</f>
      </c>
      <c r="N1555" s="43">
        <f>IF($I1555=0,0,MIN(SUMIFS(SondBetrag,SondDarl,4,SondDatum,"&gt;="&amp;$E1555,SondDatum,"&lt;="&amp;EOMONTH($E1555,0)),$J1555-$M1555))</f>
      </c>
      <c r="O1555" s="43">
        <f>IF($I1555=0,0,INDEX(DarlErsatzRate,4))</f>
      </c>
      <c r="P1555" s="43">
        <f>IF($I1555=0,0,$Q1554*INDEX(DarlErsatzZins,4))</f>
      </c>
      <c r="Q1555" s="43">
        <f>IF($I1555=0,0,$Q1554+$P1555+$O1555)</f>
      </c>
      <c r="R1555" s="43">
        <f>IF($I1555=0,0,$J1555-$M1555-$N1555)</f>
      </c>
    </row>
    <row r="1556">
      <c r="A1556"/>
      <c r="B1556">
        <v>4</v>
      </c>
      <c r="C1556" s="43">
        <f>INDEX(DarlObj,4)</f>
      </c>
      <c r="D1556">
        <v>113</v>
      </c>
      <c r="E1556" s="51">
        <f>IF(INDEX(DarlBelegt,4)=0,0,EOMONTH(INDEX(DarlAuszahlung,4),112)+1)</f>
      </c>
      <c r="F1556" s="43">
        <f>IF($E1556=0,0,YEAR($E1556))</f>
      </c>
      <c r="G1556" s="43">
        <f>IF(INDEX(DarlBindung,4)="",1,IF($E1556&lt;=INDEX(DarlBindung,4),1,0))</f>
      </c>
      <c r="H1556" s="43">
        <f>IF($G1556=1,INDEX(DarlSollzins,4),INDEX(DarlAnschluss,4))</f>
      </c>
      <c r="I1556" s="43">
        <f>IF(INDEX(DarlBelegt,4)=0,0,IF(INDEX(DarlOhneTilgung,4)=1,IF(INDEX(DarlBindung,4)="",1,$G1556),IF($J1556&gt;0.005,1,0)))</f>
      </c>
      <c r="J1556" s="43">
        <f>IF($I1555=0,0,$R1555)</f>
      </c>
      <c r="K1556" s="43">
        <f>IF($I1556=0,0,IF(INDEX(DarlOhneTilgung,4)=1,0,IF(AND(INDEX(DarlTilgStart,4)&gt;0,$E1556=INDEX(DarlTilgStart,4)),$J1556*($H1556+INDEX(DarlTilgung,4))/100/12,IF(AND($G1556=0,$G1555=1),MAX($K1555,$J1556*($H1556+1)/100/12),$K1555))))</f>
      </c>
      <c r="L1556" s="43">
        <f>IF($I1556=0,0,$J1556*$H1556/100/12)</f>
      </c>
      <c r="M1556" s="43">
        <f>IF($I1556=0,0,IF(OR(INDEX(DarlOhneTilgung,4)=1,AND(INDEX(DarlTilgStart,4)&gt;0,$E1556&lt;INDEX(DarlTilgStart,4))),0,MIN(MAX(0,$K1556-$L1556),$J1556)))</f>
      </c>
      <c r="N1556" s="43">
        <f>IF($I1556=0,0,MIN(SUMIFS(SondBetrag,SondDarl,4,SondDatum,"&gt;="&amp;$E1556,SondDatum,"&lt;="&amp;EOMONTH($E1556,0)),$J1556-$M1556))</f>
      </c>
      <c r="O1556" s="43">
        <f>IF($I1556=0,0,INDEX(DarlErsatzRate,4))</f>
      </c>
      <c r="P1556" s="43">
        <f>IF($I1556=0,0,$Q1555*INDEX(DarlErsatzZins,4))</f>
      </c>
      <c r="Q1556" s="43">
        <f>IF($I1556=0,0,$Q1555+$P1556+$O1556)</f>
      </c>
      <c r="R1556" s="43">
        <f>IF($I1556=0,0,$J1556-$M1556-$N1556)</f>
      </c>
    </row>
    <row r="1557">
      <c r="A1557"/>
      <c r="B1557">
        <v>4</v>
      </c>
      <c r="C1557" s="43">
        <f>INDEX(DarlObj,4)</f>
      </c>
      <c r="D1557">
        <v>114</v>
      </c>
      <c r="E1557" s="51">
        <f>IF(INDEX(DarlBelegt,4)=0,0,EOMONTH(INDEX(DarlAuszahlung,4),113)+1)</f>
      </c>
      <c r="F1557" s="43">
        <f>IF($E1557=0,0,YEAR($E1557))</f>
      </c>
      <c r="G1557" s="43">
        <f>IF(INDEX(DarlBindung,4)="",1,IF($E1557&lt;=INDEX(DarlBindung,4),1,0))</f>
      </c>
      <c r="H1557" s="43">
        <f>IF($G1557=1,INDEX(DarlSollzins,4),INDEX(DarlAnschluss,4))</f>
      </c>
      <c r="I1557" s="43">
        <f>IF(INDEX(DarlBelegt,4)=0,0,IF(INDEX(DarlOhneTilgung,4)=1,IF(INDEX(DarlBindung,4)="",1,$G1557),IF($J1557&gt;0.005,1,0)))</f>
      </c>
      <c r="J1557" s="43">
        <f>IF($I1556=0,0,$R1556)</f>
      </c>
      <c r="K1557" s="43">
        <f>IF($I1557=0,0,IF(INDEX(DarlOhneTilgung,4)=1,0,IF(AND(INDEX(DarlTilgStart,4)&gt;0,$E1557=INDEX(DarlTilgStart,4)),$J1557*($H1557+INDEX(DarlTilgung,4))/100/12,IF(AND($G1557=0,$G1556=1),MAX($K1556,$J1557*($H1557+1)/100/12),$K1556))))</f>
      </c>
      <c r="L1557" s="43">
        <f>IF($I1557=0,0,$J1557*$H1557/100/12)</f>
      </c>
      <c r="M1557" s="43">
        <f>IF($I1557=0,0,IF(OR(INDEX(DarlOhneTilgung,4)=1,AND(INDEX(DarlTilgStart,4)&gt;0,$E1557&lt;INDEX(DarlTilgStart,4))),0,MIN(MAX(0,$K1557-$L1557),$J1557)))</f>
      </c>
      <c r="N1557" s="43">
        <f>IF($I1557=0,0,MIN(SUMIFS(SondBetrag,SondDarl,4,SondDatum,"&gt;="&amp;$E1557,SondDatum,"&lt;="&amp;EOMONTH($E1557,0)),$J1557-$M1557))</f>
      </c>
      <c r="O1557" s="43">
        <f>IF($I1557=0,0,INDEX(DarlErsatzRate,4))</f>
      </c>
      <c r="P1557" s="43">
        <f>IF($I1557=0,0,$Q1556*INDEX(DarlErsatzZins,4))</f>
      </c>
      <c r="Q1557" s="43">
        <f>IF($I1557=0,0,$Q1556+$P1557+$O1557)</f>
      </c>
      <c r="R1557" s="43">
        <f>IF($I1557=0,0,$J1557-$M1557-$N1557)</f>
      </c>
    </row>
    <row r="1558">
      <c r="A1558"/>
      <c r="B1558">
        <v>4</v>
      </c>
      <c r="C1558" s="43">
        <f>INDEX(DarlObj,4)</f>
      </c>
      <c r="D1558">
        <v>115</v>
      </c>
      <c r="E1558" s="51">
        <f>IF(INDEX(DarlBelegt,4)=0,0,EOMONTH(INDEX(DarlAuszahlung,4),114)+1)</f>
      </c>
      <c r="F1558" s="43">
        <f>IF($E1558=0,0,YEAR($E1558))</f>
      </c>
      <c r="G1558" s="43">
        <f>IF(INDEX(DarlBindung,4)="",1,IF($E1558&lt;=INDEX(DarlBindung,4),1,0))</f>
      </c>
      <c r="H1558" s="43">
        <f>IF($G1558=1,INDEX(DarlSollzins,4),INDEX(DarlAnschluss,4))</f>
      </c>
      <c r="I1558" s="43">
        <f>IF(INDEX(DarlBelegt,4)=0,0,IF(INDEX(DarlOhneTilgung,4)=1,IF(INDEX(DarlBindung,4)="",1,$G1558),IF($J1558&gt;0.005,1,0)))</f>
      </c>
      <c r="J1558" s="43">
        <f>IF($I1557=0,0,$R1557)</f>
      </c>
      <c r="K1558" s="43">
        <f>IF($I1558=0,0,IF(INDEX(DarlOhneTilgung,4)=1,0,IF(AND(INDEX(DarlTilgStart,4)&gt;0,$E1558=INDEX(DarlTilgStart,4)),$J1558*($H1558+INDEX(DarlTilgung,4))/100/12,IF(AND($G1558=0,$G1557=1),MAX($K1557,$J1558*($H1558+1)/100/12),$K1557))))</f>
      </c>
      <c r="L1558" s="43">
        <f>IF($I1558=0,0,$J1558*$H1558/100/12)</f>
      </c>
      <c r="M1558" s="43">
        <f>IF($I1558=0,0,IF(OR(INDEX(DarlOhneTilgung,4)=1,AND(INDEX(DarlTilgStart,4)&gt;0,$E1558&lt;INDEX(DarlTilgStart,4))),0,MIN(MAX(0,$K1558-$L1558),$J1558)))</f>
      </c>
      <c r="N1558" s="43">
        <f>IF($I1558=0,0,MIN(SUMIFS(SondBetrag,SondDarl,4,SondDatum,"&gt;="&amp;$E1558,SondDatum,"&lt;="&amp;EOMONTH($E1558,0)),$J1558-$M1558))</f>
      </c>
      <c r="O1558" s="43">
        <f>IF($I1558=0,0,INDEX(DarlErsatzRate,4))</f>
      </c>
      <c r="P1558" s="43">
        <f>IF($I1558=0,0,$Q1557*INDEX(DarlErsatzZins,4))</f>
      </c>
      <c r="Q1558" s="43">
        <f>IF($I1558=0,0,$Q1557+$P1558+$O1558)</f>
      </c>
      <c r="R1558" s="43">
        <f>IF($I1558=0,0,$J1558-$M1558-$N1558)</f>
      </c>
    </row>
    <row r="1559">
      <c r="A1559"/>
      <c r="B1559">
        <v>4</v>
      </c>
      <c r="C1559" s="43">
        <f>INDEX(DarlObj,4)</f>
      </c>
      <c r="D1559">
        <v>116</v>
      </c>
      <c r="E1559" s="51">
        <f>IF(INDEX(DarlBelegt,4)=0,0,EOMONTH(INDEX(DarlAuszahlung,4),115)+1)</f>
      </c>
      <c r="F1559" s="43">
        <f>IF($E1559=0,0,YEAR($E1559))</f>
      </c>
      <c r="G1559" s="43">
        <f>IF(INDEX(DarlBindung,4)="",1,IF($E1559&lt;=INDEX(DarlBindung,4),1,0))</f>
      </c>
      <c r="H1559" s="43">
        <f>IF($G1559=1,INDEX(DarlSollzins,4),INDEX(DarlAnschluss,4))</f>
      </c>
      <c r="I1559" s="43">
        <f>IF(INDEX(DarlBelegt,4)=0,0,IF(INDEX(DarlOhneTilgung,4)=1,IF(INDEX(DarlBindung,4)="",1,$G1559),IF($J1559&gt;0.005,1,0)))</f>
      </c>
      <c r="J1559" s="43">
        <f>IF($I1558=0,0,$R1558)</f>
      </c>
      <c r="K1559" s="43">
        <f>IF($I1559=0,0,IF(INDEX(DarlOhneTilgung,4)=1,0,IF(AND(INDEX(DarlTilgStart,4)&gt;0,$E1559=INDEX(DarlTilgStart,4)),$J1559*($H1559+INDEX(DarlTilgung,4))/100/12,IF(AND($G1559=0,$G1558=1),MAX($K1558,$J1559*($H1559+1)/100/12),$K1558))))</f>
      </c>
      <c r="L1559" s="43">
        <f>IF($I1559=0,0,$J1559*$H1559/100/12)</f>
      </c>
      <c r="M1559" s="43">
        <f>IF($I1559=0,0,IF(OR(INDEX(DarlOhneTilgung,4)=1,AND(INDEX(DarlTilgStart,4)&gt;0,$E1559&lt;INDEX(DarlTilgStart,4))),0,MIN(MAX(0,$K1559-$L1559),$J1559)))</f>
      </c>
      <c r="N1559" s="43">
        <f>IF($I1559=0,0,MIN(SUMIFS(SondBetrag,SondDarl,4,SondDatum,"&gt;="&amp;$E1559,SondDatum,"&lt;="&amp;EOMONTH($E1559,0)),$J1559-$M1559))</f>
      </c>
      <c r="O1559" s="43">
        <f>IF($I1559=0,0,INDEX(DarlErsatzRate,4))</f>
      </c>
      <c r="P1559" s="43">
        <f>IF($I1559=0,0,$Q1558*INDEX(DarlErsatzZins,4))</f>
      </c>
      <c r="Q1559" s="43">
        <f>IF($I1559=0,0,$Q1558+$P1559+$O1559)</f>
      </c>
      <c r="R1559" s="43">
        <f>IF($I1559=0,0,$J1559-$M1559-$N1559)</f>
      </c>
    </row>
    <row r="1560">
      <c r="A1560"/>
      <c r="B1560">
        <v>4</v>
      </c>
      <c r="C1560" s="43">
        <f>INDEX(DarlObj,4)</f>
      </c>
      <c r="D1560">
        <v>117</v>
      </c>
      <c r="E1560" s="51">
        <f>IF(INDEX(DarlBelegt,4)=0,0,EOMONTH(INDEX(DarlAuszahlung,4),116)+1)</f>
      </c>
      <c r="F1560" s="43">
        <f>IF($E1560=0,0,YEAR($E1560))</f>
      </c>
      <c r="G1560" s="43">
        <f>IF(INDEX(DarlBindung,4)="",1,IF($E1560&lt;=INDEX(DarlBindung,4),1,0))</f>
      </c>
      <c r="H1560" s="43">
        <f>IF($G1560=1,INDEX(DarlSollzins,4),INDEX(DarlAnschluss,4))</f>
      </c>
      <c r="I1560" s="43">
        <f>IF(INDEX(DarlBelegt,4)=0,0,IF(INDEX(DarlOhneTilgung,4)=1,IF(INDEX(DarlBindung,4)="",1,$G1560),IF($J1560&gt;0.005,1,0)))</f>
      </c>
      <c r="J1560" s="43">
        <f>IF($I1559=0,0,$R1559)</f>
      </c>
      <c r="K1560" s="43">
        <f>IF($I1560=0,0,IF(INDEX(DarlOhneTilgung,4)=1,0,IF(AND(INDEX(DarlTilgStart,4)&gt;0,$E1560=INDEX(DarlTilgStart,4)),$J1560*($H1560+INDEX(DarlTilgung,4))/100/12,IF(AND($G1560=0,$G1559=1),MAX($K1559,$J1560*($H1560+1)/100/12),$K1559))))</f>
      </c>
      <c r="L1560" s="43">
        <f>IF($I1560=0,0,$J1560*$H1560/100/12)</f>
      </c>
      <c r="M1560" s="43">
        <f>IF($I1560=0,0,IF(OR(INDEX(DarlOhneTilgung,4)=1,AND(INDEX(DarlTilgStart,4)&gt;0,$E1560&lt;INDEX(DarlTilgStart,4))),0,MIN(MAX(0,$K1560-$L1560),$J1560)))</f>
      </c>
      <c r="N1560" s="43">
        <f>IF($I1560=0,0,MIN(SUMIFS(SondBetrag,SondDarl,4,SondDatum,"&gt;="&amp;$E1560,SondDatum,"&lt;="&amp;EOMONTH($E1560,0)),$J1560-$M1560))</f>
      </c>
      <c r="O1560" s="43">
        <f>IF($I1560=0,0,INDEX(DarlErsatzRate,4))</f>
      </c>
      <c r="P1560" s="43">
        <f>IF($I1560=0,0,$Q1559*INDEX(DarlErsatzZins,4))</f>
      </c>
      <c r="Q1560" s="43">
        <f>IF($I1560=0,0,$Q1559+$P1560+$O1560)</f>
      </c>
      <c r="R1560" s="43">
        <f>IF($I1560=0,0,$J1560-$M1560-$N1560)</f>
      </c>
    </row>
    <row r="1561">
      <c r="A1561"/>
      <c r="B1561">
        <v>4</v>
      </c>
      <c r="C1561" s="43">
        <f>INDEX(DarlObj,4)</f>
      </c>
      <c r="D1561">
        <v>118</v>
      </c>
      <c r="E1561" s="51">
        <f>IF(INDEX(DarlBelegt,4)=0,0,EOMONTH(INDEX(DarlAuszahlung,4),117)+1)</f>
      </c>
      <c r="F1561" s="43">
        <f>IF($E1561=0,0,YEAR($E1561))</f>
      </c>
      <c r="G1561" s="43">
        <f>IF(INDEX(DarlBindung,4)="",1,IF($E1561&lt;=INDEX(DarlBindung,4),1,0))</f>
      </c>
      <c r="H1561" s="43">
        <f>IF($G1561=1,INDEX(DarlSollzins,4),INDEX(DarlAnschluss,4))</f>
      </c>
      <c r="I1561" s="43">
        <f>IF(INDEX(DarlBelegt,4)=0,0,IF(INDEX(DarlOhneTilgung,4)=1,IF(INDEX(DarlBindung,4)="",1,$G1561),IF($J1561&gt;0.005,1,0)))</f>
      </c>
      <c r="J1561" s="43">
        <f>IF($I1560=0,0,$R1560)</f>
      </c>
      <c r="K1561" s="43">
        <f>IF($I1561=0,0,IF(INDEX(DarlOhneTilgung,4)=1,0,IF(AND(INDEX(DarlTilgStart,4)&gt;0,$E1561=INDEX(DarlTilgStart,4)),$J1561*($H1561+INDEX(DarlTilgung,4))/100/12,IF(AND($G1561=0,$G1560=1),MAX($K1560,$J1561*($H1561+1)/100/12),$K1560))))</f>
      </c>
      <c r="L1561" s="43">
        <f>IF($I1561=0,0,$J1561*$H1561/100/12)</f>
      </c>
      <c r="M1561" s="43">
        <f>IF($I1561=0,0,IF(OR(INDEX(DarlOhneTilgung,4)=1,AND(INDEX(DarlTilgStart,4)&gt;0,$E1561&lt;INDEX(DarlTilgStart,4))),0,MIN(MAX(0,$K1561-$L1561),$J1561)))</f>
      </c>
      <c r="N1561" s="43">
        <f>IF($I1561=0,0,MIN(SUMIFS(SondBetrag,SondDarl,4,SondDatum,"&gt;="&amp;$E1561,SondDatum,"&lt;="&amp;EOMONTH($E1561,0)),$J1561-$M1561))</f>
      </c>
      <c r="O1561" s="43">
        <f>IF($I1561=0,0,INDEX(DarlErsatzRate,4))</f>
      </c>
      <c r="P1561" s="43">
        <f>IF($I1561=0,0,$Q1560*INDEX(DarlErsatzZins,4))</f>
      </c>
      <c r="Q1561" s="43">
        <f>IF($I1561=0,0,$Q1560+$P1561+$O1561)</f>
      </c>
      <c r="R1561" s="43">
        <f>IF($I1561=0,0,$J1561-$M1561-$N1561)</f>
      </c>
    </row>
    <row r="1562">
      <c r="A1562"/>
      <c r="B1562">
        <v>4</v>
      </c>
      <c r="C1562" s="43">
        <f>INDEX(DarlObj,4)</f>
      </c>
      <c r="D1562">
        <v>119</v>
      </c>
      <c r="E1562" s="51">
        <f>IF(INDEX(DarlBelegt,4)=0,0,EOMONTH(INDEX(DarlAuszahlung,4),118)+1)</f>
      </c>
      <c r="F1562" s="43">
        <f>IF($E1562=0,0,YEAR($E1562))</f>
      </c>
      <c r="G1562" s="43">
        <f>IF(INDEX(DarlBindung,4)="",1,IF($E1562&lt;=INDEX(DarlBindung,4),1,0))</f>
      </c>
      <c r="H1562" s="43">
        <f>IF($G1562=1,INDEX(DarlSollzins,4),INDEX(DarlAnschluss,4))</f>
      </c>
      <c r="I1562" s="43">
        <f>IF(INDEX(DarlBelegt,4)=0,0,IF(INDEX(DarlOhneTilgung,4)=1,IF(INDEX(DarlBindung,4)="",1,$G1562),IF($J1562&gt;0.005,1,0)))</f>
      </c>
      <c r="J1562" s="43">
        <f>IF($I1561=0,0,$R1561)</f>
      </c>
      <c r="K1562" s="43">
        <f>IF($I1562=0,0,IF(INDEX(DarlOhneTilgung,4)=1,0,IF(AND(INDEX(DarlTilgStart,4)&gt;0,$E1562=INDEX(DarlTilgStart,4)),$J1562*($H1562+INDEX(DarlTilgung,4))/100/12,IF(AND($G1562=0,$G1561=1),MAX($K1561,$J1562*($H1562+1)/100/12),$K1561))))</f>
      </c>
      <c r="L1562" s="43">
        <f>IF($I1562=0,0,$J1562*$H1562/100/12)</f>
      </c>
      <c r="M1562" s="43">
        <f>IF($I1562=0,0,IF(OR(INDEX(DarlOhneTilgung,4)=1,AND(INDEX(DarlTilgStart,4)&gt;0,$E1562&lt;INDEX(DarlTilgStart,4))),0,MIN(MAX(0,$K1562-$L1562),$J1562)))</f>
      </c>
      <c r="N1562" s="43">
        <f>IF($I1562=0,0,MIN(SUMIFS(SondBetrag,SondDarl,4,SondDatum,"&gt;="&amp;$E1562,SondDatum,"&lt;="&amp;EOMONTH($E1562,0)),$J1562-$M1562))</f>
      </c>
      <c r="O1562" s="43">
        <f>IF($I1562=0,0,INDEX(DarlErsatzRate,4))</f>
      </c>
      <c r="P1562" s="43">
        <f>IF($I1562=0,0,$Q1561*INDEX(DarlErsatzZins,4))</f>
      </c>
      <c r="Q1562" s="43">
        <f>IF($I1562=0,0,$Q1561+$P1562+$O1562)</f>
      </c>
      <c r="R1562" s="43">
        <f>IF($I1562=0,0,$J1562-$M1562-$N1562)</f>
      </c>
    </row>
    <row r="1563">
      <c r="A1563"/>
      <c r="B1563">
        <v>4</v>
      </c>
      <c r="C1563" s="43">
        <f>INDEX(DarlObj,4)</f>
      </c>
      <c r="D1563">
        <v>120</v>
      </c>
      <c r="E1563" s="51">
        <f>IF(INDEX(DarlBelegt,4)=0,0,EOMONTH(INDEX(DarlAuszahlung,4),119)+1)</f>
      </c>
      <c r="F1563" s="43">
        <f>IF($E1563=0,0,YEAR($E1563))</f>
      </c>
      <c r="G1563" s="43">
        <f>IF(INDEX(DarlBindung,4)="",1,IF($E1563&lt;=INDEX(DarlBindung,4),1,0))</f>
      </c>
      <c r="H1563" s="43">
        <f>IF($G1563=1,INDEX(DarlSollzins,4),INDEX(DarlAnschluss,4))</f>
      </c>
      <c r="I1563" s="43">
        <f>IF(INDEX(DarlBelegt,4)=0,0,IF(INDEX(DarlOhneTilgung,4)=1,IF(INDEX(DarlBindung,4)="",1,$G1563),IF($J1563&gt;0.005,1,0)))</f>
      </c>
      <c r="J1563" s="43">
        <f>IF($I1562=0,0,$R1562)</f>
      </c>
      <c r="K1563" s="43">
        <f>IF($I1563=0,0,IF(INDEX(DarlOhneTilgung,4)=1,0,IF(AND(INDEX(DarlTilgStart,4)&gt;0,$E1563=INDEX(DarlTilgStart,4)),$J1563*($H1563+INDEX(DarlTilgung,4))/100/12,IF(AND($G1563=0,$G1562=1),MAX($K1562,$J1563*($H1563+1)/100/12),$K1562))))</f>
      </c>
      <c r="L1563" s="43">
        <f>IF($I1563=0,0,$J1563*$H1563/100/12)</f>
      </c>
      <c r="M1563" s="43">
        <f>IF($I1563=0,0,IF(OR(INDEX(DarlOhneTilgung,4)=1,AND(INDEX(DarlTilgStart,4)&gt;0,$E1563&lt;INDEX(DarlTilgStart,4))),0,MIN(MAX(0,$K1563-$L1563),$J1563)))</f>
      </c>
      <c r="N1563" s="43">
        <f>IF($I1563=0,0,MIN(SUMIFS(SondBetrag,SondDarl,4,SondDatum,"&gt;="&amp;$E1563,SondDatum,"&lt;="&amp;EOMONTH($E1563,0)),$J1563-$M1563))</f>
      </c>
      <c r="O1563" s="43">
        <f>IF($I1563=0,0,INDEX(DarlErsatzRate,4))</f>
      </c>
      <c r="P1563" s="43">
        <f>IF($I1563=0,0,$Q1562*INDEX(DarlErsatzZins,4))</f>
      </c>
      <c r="Q1563" s="43">
        <f>IF($I1563=0,0,$Q1562+$P1563+$O1563)</f>
      </c>
      <c r="R1563" s="43">
        <f>IF($I1563=0,0,$J1563-$M1563-$N1563)</f>
      </c>
    </row>
    <row r="1564">
      <c r="A1564"/>
      <c r="B1564">
        <v>4</v>
      </c>
      <c r="C1564" s="43">
        <f>INDEX(DarlObj,4)</f>
      </c>
      <c r="D1564">
        <v>121</v>
      </c>
      <c r="E1564" s="51">
        <f>IF(INDEX(DarlBelegt,4)=0,0,EOMONTH(INDEX(DarlAuszahlung,4),120)+1)</f>
      </c>
      <c r="F1564" s="43">
        <f>IF($E1564=0,0,YEAR($E1564))</f>
      </c>
      <c r="G1564" s="43">
        <f>IF(INDEX(DarlBindung,4)="",1,IF($E1564&lt;=INDEX(DarlBindung,4),1,0))</f>
      </c>
      <c r="H1564" s="43">
        <f>IF($G1564=1,INDEX(DarlSollzins,4),INDEX(DarlAnschluss,4))</f>
      </c>
      <c r="I1564" s="43">
        <f>IF(INDEX(DarlBelegt,4)=0,0,IF(INDEX(DarlOhneTilgung,4)=1,IF(INDEX(DarlBindung,4)="",1,$G1564),IF($J1564&gt;0.005,1,0)))</f>
      </c>
      <c r="J1564" s="43">
        <f>IF($I1563=0,0,$R1563)</f>
      </c>
      <c r="K1564" s="43">
        <f>IF($I1564=0,0,IF(INDEX(DarlOhneTilgung,4)=1,0,IF(AND(INDEX(DarlTilgStart,4)&gt;0,$E1564=INDEX(DarlTilgStart,4)),$J1564*($H1564+INDEX(DarlTilgung,4))/100/12,IF(AND($G1564=0,$G1563=1),MAX($K1563,$J1564*($H1564+1)/100/12),$K1563))))</f>
      </c>
      <c r="L1564" s="43">
        <f>IF($I1564=0,0,$J1564*$H1564/100/12)</f>
      </c>
      <c r="M1564" s="43">
        <f>IF($I1564=0,0,IF(OR(INDEX(DarlOhneTilgung,4)=1,AND(INDEX(DarlTilgStart,4)&gt;0,$E1564&lt;INDEX(DarlTilgStart,4))),0,MIN(MAX(0,$K1564-$L1564),$J1564)))</f>
      </c>
      <c r="N1564" s="43">
        <f>IF($I1564=0,0,MIN(SUMIFS(SondBetrag,SondDarl,4,SondDatum,"&gt;="&amp;$E1564,SondDatum,"&lt;="&amp;EOMONTH($E1564,0)),$J1564-$M1564))</f>
      </c>
      <c r="O1564" s="43">
        <f>IF($I1564=0,0,INDEX(DarlErsatzRate,4))</f>
      </c>
      <c r="P1564" s="43">
        <f>IF($I1564=0,0,$Q1563*INDEX(DarlErsatzZins,4))</f>
      </c>
      <c r="Q1564" s="43">
        <f>IF($I1564=0,0,$Q1563+$P1564+$O1564)</f>
      </c>
      <c r="R1564" s="43">
        <f>IF($I1564=0,0,$J1564-$M1564-$N1564)</f>
      </c>
    </row>
    <row r="1565">
      <c r="A1565"/>
      <c r="B1565">
        <v>4</v>
      </c>
      <c r="C1565" s="43">
        <f>INDEX(DarlObj,4)</f>
      </c>
      <c r="D1565">
        <v>122</v>
      </c>
      <c r="E1565" s="51">
        <f>IF(INDEX(DarlBelegt,4)=0,0,EOMONTH(INDEX(DarlAuszahlung,4),121)+1)</f>
      </c>
      <c r="F1565" s="43">
        <f>IF($E1565=0,0,YEAR($E1565))</f>
      </c>
      <c r="G1565" s="43">
        <f>IF(INDEX(DarlBindung,4)="",1,IF($E1565&lt;=INDEX(DarlBindung,4),1,0))</f>
      </c>
      <c r="H1565" s="43">
        <f>IF($G1565=1,INDEX(DarlSollzins,4),INDEX(DarlAnschluss,4))</f>
      </c>
      <c r="I1565" s="43">
        <f>IF(INDEX(DarlBelegt,4)=0,0,IF(INDEX(DarlOhneTilgung,4)=1,IF(INDEX(DarlBindung,4)="",1,$G1565),IF($J1565&gt;0.005,1,0)))</f>
      </c>
      <c r="J1565" s="43">
        <f>IF($I1564=0,0,$R1564)</f>
      </c>
      <c r="K1565" s="43">
        <f>IF($I1565=0,0,IF(INDEX(DarlOhneTilgung,4)=1,0,IF(AND(INDEX(DarlTilgStart,4)&gt;0,$E1565=INDEX(DarlTilgStart,4)),$J1565*($H1565+INDEX(DarlTilgung,4))/100/12,IF(AND($G1565=0,$G1564=1),MAX($K1564,$J1565*($H1565+1)/100/12),$K1564))))</f>
      </c>
      <c r="L1565" s="43">
        <f>IF($I1565=0,0,$J1565*$H1565/100/12)</f>
      </c>
      <c r="M1565" s="43">
        <f>IF($I1565=0,0,IF(OR(INDEX(DarlOhneTilgung,4)=1,AND(INDEX(DarlTilgStart,4)&gt;0,$E1565&lt;INDEX(DarlTilgStart,4))),0,MIN(MAX(0,$K1565-$L1565),$J1565)))</f>
      </c>
      <c r="N1565" s="43">
        <f>IF($I1565=0,0,MIN(SUMIFS(SondBetrag,SondDarl,4,SondDatum,"&gt;="&amp;$E1565,SondDatum,"&lt;="&amp;EOMONTH($E1565,0)),$J1565-$M1565))</f>
      </c>
      <c r="O1565" s="43">
        <f>IF($I1565=0,0,INDEX(DarlErsatzRate,4))</f>
      </c>
      <c r="P1565" s="43">
        <f>IF($I1565=0,0,$Q1564*INDEX(DarlErsatzZins,4))</f>
      </c>
      <c r="Q1565" s="43">
        <f>IF($I1565=0,0,$Q1564+$P1565+$O1565)</f>
      </c>
      <c r="R1565" s="43">
        <f>IF($I1565=0,0,$J1565-$M1565-$N1565)</f>
      </c>
    </row>
    <row r="1566">
      <c r="A1566"/>
      <c r="B1566">
        <v>4</v>
      </c>
      <c r="C1566" s="43">
        <f>INDEX(DarlObj,4)</f>
      </c>
      <c r="D1566">
        <v>123</v>
      </c>
      <c r="E1566" s="51">
        <f>IF(INDEX(DarlBelegt,4)=0,0,EOMONTH(INDEX(DarlAuszahlung,4),122)+1)</f>
      </c>
      <c r="F1566" s="43">
        <f>IF($E1566=0,0,YEAR($E1566))</f>
      </c>
      <c r="G1566" s="43">
        <f>IF(INDEX(DarlBindung,4)="",1,IF($E1566&lt;=INDEX(DarlBindung,4),1,0))</f>
      </c>
      <c r="H1566" s="43">
        <f>IF($G1566=1,INDEX(DarlSollzins,4),INDEX(DarlAnschluss,4))</f>
      </c>
      <c r="I1566" s="43">
        <f>IF(INDEX(DarlBelegt,4)=0,0,IF(INDEX(DarlOhneTilgung,4)=1,IF(INDEX(DarlBindung,4)="",1,$G1566),IF($J1566&gt;0.005,1,0)))</f>
      </c>
      <c r="J1566" s="43">
        <f>IF($I1565=0,0,$R1565)</f>
      </c>
      <c r="K1566" s="43">
        <f>IF($I1566=0,0,IF(INDEX(DarlOhneTilgung,4)=1,0,IF(AND(INDEX(DarlTilgStart,4)&gt;0,$E1566=INDEX(DarlTilgStart,4)),$J1566*($H1566+INDEX(DarlTilgung,4))/100/12,IF(AND($G1566=0,$G1565=1),MAX($K1565,$J1566*($H1566+1)/100/12),$K1565))))</f>
      </c>
      <c r="L1566" s="43">
        <f>IF($I1566=0,0,$J1566*$H1566/100/12)</f>
      </c>
      <c r="M1566" s="43">
        <f>IF($I1566=0,0,IF(OR(INDEX(DarlOhneTilgung,4)=1,AND(INDEX(DarlTilgStart,4)&gt;0,$E1566&lt;INDEX(DarlTilgStart,4))),0,MIN(MAX(0,$K1566-$L1566),$J1566)))</f>
      </c>
      <c r="N1566" s="43">
        <f>IF($I1566=0,0,MIN(SUMIFS(SondBetrag,SondDarl,4,SondDatum,"&gt;="&amp;$E1566,SondDatum,"&lt;="&amp;EOMONTH($E1566,0)),$J1566-$M1566))</f>
      </c>
      <c r="O1566" s="43">
        <f>IF($I1566=0,0,INDEX(DarlErsatzRate,4))</f>
      </c>
      <c r="P1566" s="43">
        <f>IF($I1566=0,0,$Q1565*INDEX(DarlErsatzZins,4))</f>
      </c>
      <c r="Q1566" s="43">
        <f>IF($I1566=0,0,$Q1565+$P1566+$O1566)</f>
      </c>
      <c r="R1566" s="43">
        <f>IF($I1566=0,0,$J1566-$M1566-$N1566)</f>
      </c>
    </row>
    <row r="1567">
      <c r="A1567"/>
      <c r="B1567">
        <v>4</v>
      </c>
      <c r="C1567" s="43">
        <f>INDEX(DarlObj,4)</f>
      </c>
      <c r="D1567">
        <v>124</v>
      </c>
      <c r="E1567" s="51">
        <f>IF(INDEX(DarlBelegt,4)=0,0,EOMONTH(INDEX(DarlAuszahlung,4),123)+1)</f>
      </c>
      <c r="F1567" s="43">
        <f>IF($E1567=0,0,YEAR($E1567))</f>
      </c>
      <c r="G1567" s="43">
        <f>IF(INDEX(DarlBindung,4)="",1,IF($E1567&lt;=INDEX(DarlBindung,4),1,0))</f>
      </c>
      <c r="H1567" s="43">
        <f>IF($G1567=1,INDEX(DarlSollzins,4),INDEX(DarlAnschluss,4))</f>
      </c>
      <c r="I1567" s="43">
        <f>IF(INDEX(DarlBelegt,4)=0,0,IF(INDEX(DarlOhneTilgung,4)=1,IF(INDEX(DarlBindung,4)="",1,$G1567),IF($J1567&gt;0.005,1,0)))</f>
      </c>
      <c r="J1567" s="43">
        <f>IF($I1566=0,0,$R1566)</f>
      </c>
      <c r="K1567" s="43">
        <f>IF($I1567=0,0,IF(INDEX(DarlOhneTilgung,4)=1,0,IF(AND(INDEX(DarlTilgStart,4)&gt;0,$E1567=INDEX(DarlTilgStart,4)),$J1567*($H1567+INDEX(DarlTilgung,4))/100/12,IF(AND($G1567=0,$G1566=1),MAX($K1566,$J1567*($H1567+1)/100/12),$K1566))))</f>
      </c>
      <c r="L1567" s="43">
        <f>IF($I1567=0,0,$J1567*$H1567/100/12)</f>
      </c>
      <c r="M1567" s="43">
        <f>IF($I1567=0,0,IF(OR(INDEX(DarlOhneTilgung,4)=1,AND(INDEX(DarlTilgStart,4)&gt;0,$E1567&lt;INDEX(DarlTilgStart,4))),0,MIN(MAX(0,$K1567-$L1567),$J1567)))</f>
      </c>
      <c r="N1567" s="43">
        <f>IF($I1567=0,0,MIN(SUMIFS(SondBetrag,SondDarl,4,SondDatum,"&gt;="&amp;$E1567,SondDatum,"&lt;="&amp;EOMONTH($E1567,0)),$J1567-$M1567))</f>
      </c>
      <c r="O1567" s="43">
        <f>IF($I1567=0,0,INDEX(DarlErsatzRate,4))</f>
      </c>
      <c r="P1567" s="43">
        <f>IF($I1567=0,0,$Q1566*INDEX(DarlErsatzZins,4))</f>
      </c>
      <c r="Q1567" s="43">
        <f>IF($I1567=0,0,$Q1566+$P1567+$O1567)</f>
      </c>
      <c r="R1567" s="43">
        <f>IF($I1567=0,0,$J1567-$M1567-$N1567)</f>
      </c>
    </row>
    <row r="1568">
      <c r="A1568"/>
      <c r="B1568">
        <v>4</v>
      </c>
      <c r="C1568" s="43">
        <f>INDEX(DarlObj,4)</f>
      </c>
      <c r="D1568">
        <v>125</v>
      </c>
      <c r="E1568" s="51">
        <f>IF(INDEX(DarlBelegt,4)=0,0,EOMONTH(INDEX(DarlAuszahlung,4),124)+1)</f>
      </c>
      <c r="F1568" s="43">
        <f>IF($E1568=0,0,YEAR($E1568))</f>
      </c>
      <c r="G1568" s="43">
        <f>IF(INDEX(DarlBindung,4)="",1,IF($E1568&lt;=INDEX(DarlBindung,4),1,0))</f>
      </c>
      <c r="H1568" s="43">
        <f>IF($G1568=1,INDEX(DarlSollzins,4),INDEX(DarlAnschluss,4))</f>
      </c>
      <c r="I1568" s="43">
        <f>IF(INDEX(DarlBelegt,4)=0,0,IF(INDEX(DarlOhneTilgung,4)=1,IF(INDEX(DarlBindung,4)="",1,$G1568),IF($J1568&gt;0.005,1,0)))</f>
      </c>
      <c r="J1568" s="43">
        <f>IF($I1567=0,0,$R1567)</f>
      </c>
      <c r="K1568" s="43">
        <f>IF($I1568=0,0,IF(INDEX(DarlOhneTilgung,4)=1,0,IF(AND(INDEX(DarlTilgStart,4)&gt;0,$E1568=INDEX(DarlTilgStart,4)),$J1568*($H1568+INDEX(DarlTilgung,4))/100/12,IF(AND($G1568=0,$G1567=1),MAX($K1567,$J1568*($H1568+1)/100/12),$K1567))))</f>
      </c>
      <c r="L1568" s="43">
        <f>IF($I1568=0,0,$J1568*$H1568/100/12)</f>
      </c>
      <c r="M1568" s="43">
        <f>IF($I1568=0,0,IF(OR(INDEX(DarlOhneTilgung,4)=1,AND(INDEX(DarlTilgStart,4)&gt;0,$E1568&lt;INDEX(DarlTilgStart,4))),0,MIN(MAX(0,$K1568-$L1568),$J1568)))</f>
      </c>
      <c r="N1568" s="43">
        <f>IF($I1568=0,0,MIN(SUMIFS(SondBetrag,SondDarl,4,SondDatum,"&gt;="&amp;$E1568,SondDatum,"&lt;="&amp;EOMONTH($E1568,0)),$J1568-$M1568))</f>
      </c>
      <c r="O1568" s="43">
        <f>IF($I1568=0,0,INDEX(DarlErsatzRate,4))</f>
      </c>
      <c r="P1568" s="43">
        <f>IF($I1568=0,0,$Q1567*INDEX(DarlErsatzZins,4))</f>
      </c>
      <c r="Q1568" s="43">
        <f>IF($I1568=0,0,$Q1567+$P1568+$O1568)</f>
      </c>
      <c r="R1568" s="43">
        <f>IF($I1568=0,0,$J1568-$M1568-$N1568)</f>
      </c>
    </row>
    <row r="1569">
      <c r="A1569"/>
      <c r="B1569">
        <v>4</v>
      </c>
      <c r="C1569" s="43">
        <f>INDEX(DarlObj,4)</f>
      </c>
      <c r="D1569">
        <v>126</v>
      </c>
      <c r="E1569" s="51">
        <f>IF(INDEX(DarlBelegt,4)=0,0,EOMONTH(INDEX(DarlAuszahlung,4),125)+1)</f>
      </c>
      <c r="F1569" s="43">
        <f>IF($E1569=0,0,YEAR($E1569))</f>
      </c>
      <c r="G1569" s="43">
        <f>IF(INDEX(DarlBindung,4)="",1,IF($E1569&lt;=INDEX(DarlBindung,4),1,0))</f>
      </c>
      <c r="H1569" s="43">
        <f>IF($G1569=1,INDEX(DarlSollzins,4),INDEX(DarlAnschluss,4))</f>
      </c>
      <c r="I1569" s="43">
        <f>IF(INDEX(DarlBelegt,4)=0,0,IF(INDEX(DarlOhneTilgung,4)=1,IF(INDEX(DarlBindung,4)="",1,$G1569),IF($J1569&gt;0.005,1,0)))</f>
      </c>
      <c r="J1569" s="43">
        <f>IF($I1568=0,0,$R1568)</f>
      </c>
      <c r="K1569" s="43">
        <f>IF($I1569=0,0,IF(INDEX(DarlOhneTilgung,4)=1,0,IF(AND(INDEX(DarlTilgStart,4)&gt;0,$E1569=INDEX(DarlTilgStart,4)),$J1569*($H1569+INDEX(DarlTilgung,4))/100/12,IF(AND($G1569=0,$G1568=1),MAX($K1568,$J1569*($H1569+1)/100/12),$K1568))))</f>
      </c>
      <c r="L1569" s="43">
        <f>IF($I1569=0,0,$J1569*$H1569/100/12)</f>
      </c>
      <c r="M1569" s="43">
        <f>IF($I1569=0,0,IF(OR(INDEX(DarlOhneTilgung,4)=1,AND(INDEX(DarlTilgStart,4)&gt;0,$E1569&lt;INDEX(DarlTilgStart,4))),0,MIN(MAX(0,$K1569-$L1569),$J1569)))</f>
      </c>
      <c r="N1569" s="43">
        <f>IF($I1569=0,0,MIN(SUMIFS(SondBetrag,SondDarl,4,SondDatum,"&gt;="&amp;$E1569,SondDatum,"&lt;="&amp;EOMONTH($E1569,0)),$J1569-$M1569))</f>
      </c>
      <c r="O1569" s="43">
        <f>IF($I1569=0,0,INDEX(DarlErsatzRate,4))</f>
      </c>
      <c r="P1569" s="43">
        <f>IF($I1569=0,0,$Q1568*INDEX(DarlErsatzZins,4))</f>
      </c>
      <c r="Q1569" s="43">
        <f>IF($I1569=0,0,$Q1568+$P1569+$O1569)</f>
      </c>
      <c r="R1569" s="43">
        <f>IF($I1569=0,0,$J1569-$M1569-$N1569)</f>
      </c>
    </row>
    <row r="1570">
      <c r="A1570"/>
      <c r="B1570">
        <v>4</v>
      </c>
      <c r="C1570" s="43">
        <f>INDEX(DarlObj,4)</f>
      </c>
      <c r="D1570">
        <v>127</v>
      </c>
      <c r="E1570" s="51">
        <f>IF(INDEX(DarlBelegt,4)=0,0,EOMONTH(INDEX(DarlAuszahlung,4),126)+1)</f>
      </c>
      <c r="F1570" s="43">
        <f>IF($E1570=0,0,YEAR($E1570))</f>
      </c>
      <c r="G1570" s="43">
        <f>IF(INDEX(DarlBindung,4)="",1,IF($E1570&lt;=INDEX(DarlBindung,4),1,0))</f>
      </c>
      <c r="H1570" s="43">
        <f>IF($G1570=1,INDEX(DarlSollzins,4),INDEX(DarlAnschluss,4))</f>
      </c>
      <c r="I1570" s="43">
        <f>IF(INDEX(DarlBelegt,4)=0,0,IF(INDEX(DarlOhneTilgung,4)=1,IF(INDEX(DarlBindung,4)="",1,$G1570),IF($J1570&gt;0.005,1,0)))</f>
      </c>
      <c r="J1570" s="43">
        <f>IF($I1569=0,0,$R1569)</f>
      </c>
      <c r="K1570" s="43">
        <f>IF($I1570=0,0,IF(INDEX(DarlOhneTilgung,4)=1,0,IF(AND(INDEX(DarlTilgStart,4)&gt;0,$E1570=INDEX(DarlTilgStart,4)),$J1570*($H1570+INDEX(DarlTilgung,4))/100/12,IF(AND($G1570=0,$G1569=1),MAX($K1569,$J1570*($H1570+1)/100/12),$K1569))))</f>
      </c>
      <c r="L1570" s="43">
        <f>IF($I1570=0,0,$J1570*$H1570/100/12)</f>
      </c>
      <c r="M1570" s="43">
        <f>IF($I1570=0,0,IF(OR(INDEX(DarlOhneTilgung,4)=1,AND(INDEX(DarlTilgStart,4)&gt;0,$E1570&lt;INDEX(DarlTilgStart,4))),0,MIN(MAX(0,$K1570-$L1570),$J1570)))</f>
      </c>
      <c r="N1570" s="43">
        <f>IF($I1570=0,0,MIN(SUMIFS(SondBetrag,SondDarl,4,SondDatum,"&gt;="&amp;$E1570,SondDatum,"&lt;="&amp;EOMONTH($E1570,0)),$J1570-$M1570))</f>
      </c>
      <c r="O1570" s="43">
        <f>IF($I1570=0,0,INDEX(DarlErsatzRate,4))</f>
      </c>
      <c r="P1570" s="43">
        <f>IF($I1570=0,0,$Q1569*INDEX(DarlErsatzZins,4))</f>
      </c>
      <c r="Q1570" s="43">
        <f>IF($I1570=0,0,$Q1569+$P1570+$O1570)</f>
      </c>
      <c r="R1570" s="43">
        <f>IF($I1570=0,0,$J1570-$M1570-$N1570)</f>
      </c>
    </row>
    <row r="1571">
      <c r="A1571"/>
      <c r="B1571">
        <v>4</v>
      </c>
      <c r="C1571" s="43">
        <f>INDEX(DarlObj,4)</f>
      </c>
      <c r="D1571">
        <v>128</v>
      </c>
      <c r="E1571" s="51">
        <f>IF(INDEX(DarlBelegt,4)=0,0,EOMONTH(INDEX(DarlAuszahlung,4),127)+1)</f>
      </c>
      <c r="F1571" s="43">
        <f>IF($E1571=0,0,YEAR($E1571))</f>
      </c>
      <c r="G1571" s="43">
        <f>IF(INDEX(DarlBindung,4)="",1,IF($E1571&lt;=INDEX(DarlBindung,4),1,0))</f>
      </c>
      <c r="H1571" s="43">
        <f>IF($G1571=1,INDEX(DarlSollzins,4),INDEX(DarlAnschluss,4))</f>
      </c>
      <c r="I1571" s="43">
        <f>IF(INDEX(DarlBelegt,4)=0,0,IF(INDEX(DarlOhneTilgung,4)=1,IF(INDEX(DarlBindung,4)="",1,$G1571),IF($J1571&gt;0.005,1,0)))</f>
      </c>
      <c r="J1571" s="43">
        <f>IF($I1570=0,0,$R1570)</f>
      </c>
      <c r="K1571" s="43">
        <f>IF($I1571=0,0,IF(INDEX(DarlOhneTilgung,4)=1,0,IF(AND(INDEX(DarlTilgStart,4)&gt;0,$E1571=INDEX(DarlTilgStart,4)),$J1571*($H1571+INDEX(DarlTilgung,4))/100/12,IF(AND($G1571=0,$G1570=1),MAX($K1570,$J1571*($H1571+1)/100/12),$K1570))))</f>
      </c>
      <c r="L1571" s="43">
        <f>IF($I1571=0,0,$J1571*$H1571/100/12)</f>
      </c>
      <c r="M1571" s="43">
        <f>IF($I1571=0,0,IF(OR(INDEX(DarlOhneTilgung,4)=1,AND(INDEX(DarlTilgStart,4)&gt;0,$E1571&lt;INDEX(DarlTilgStart,4))),0,MIN(MAX(0,$K1571-$L1571),$J1571)))</f>
      </c>
      <c r="N1571" s="43">
        <f>IF($I1571=0,0,MIN(SUMIFS(SondBetrag,SondDarl,4,SondDatum,"&gt;="&amp;$E1571,SondDatum,"&lt;="&amp;EOMONTH($E1571,0)),$J1571-$M1571))</f>
      </c>
      <c r="O1571" s="43">
        <f>IF($I1571=0,0,INDEX(DarlErsatzRate,4))</f>
      </c>
      <c r="P1571" s="43">
        <f>IF($I1571=0,0,$Q1570*INDEX(DarlErsatzZins,4))</f>
      </c>
      <c r="Q1571" s="43">
        <f>IF($I1571=0,0,$Q1570+$P1571+$O1571)</f>
      </c>
      <c r="R1571" s="43">
        <f>IF($I1571=0,0,$J1571-$M1571-$N1571)</f>
      </c>
    </row>
    <row r="1572">
      <c r="A1572"/>
      <c r="B1572">
        <v>4</v>
      </c>
      <c r="C1572" s="43">
        <f>INDEX(DarlObj,4)</f>
      </c>
      <c r="D1572">
        <v>129</v>
      </c>
      <c r="E1572" s="51">
        <f>IF(INDEX(DarlBelegt,4)=0,0,EOMONTH(INDEX(DarlAuszahlung,4),128)+1)</f>
      </c>
      <c r="F1572" s="43">
        <f>IF($E1572=0,0,YEAR($E1572))</f>
      </c>
      <c r="G1572" s="43">
        <f>IF(INDEX(DarlBindung,4)="",1,IF($E1572&lt;=INDEX(DarlBindung,4),1,0))</f>
      </c>
      <c r="H1572" s="43">
        <f>IF($G1572=1,INDEX(DarlSollzins,4),INDEX(DarlAnschluss,4))</f>
      </c>
      <c r="I1572" s="43">
        <f>IF(INDEX(DarlBelegt,4)=0,0,IF(INDEX(DarlOhneTilgung,4)=1,IF(INDEX(DarlBindung,4)="",1,$G1572),IF($J1572&gt;0.005,1,0)))</f>
      </c>
      <c r="J1572" s="43">
        <f>IF($I1571=0,0,$R1571)</f>
      </c>
      <c r="K1572" s="43">
        <f>IF($I1572=0,0,IF(INDEX(DarlOhneTilgung,4)=1,0,IF(AND(INDEX(DarlTilgStart,4)&gt;0,$E1572=INDEX(DarlTilgStart,4)),$J1572*($H1572+INDEX(DarlTilgung,4))/100/12,IF(AND($G1572=0,$G1571=1),MAX($K1571,$J1572*($H1572+1)/100/12),$K1571))))</f>
      </c>
      <c r="L1572" s="43">
        <f>IF($I1572=0,0,$J1572*$H1572/100/12)</f>
      </c>
      <c r="M1572" s="43">
        <f>IF($I1572=0,0,IF(OR(INDEX(DarlOhneTilgung,4)=1,AND(INDEX(DarlTilgStart,4)&gt;0,$E1572&lt;INDEX(DarlTilgStart,4))),0,MIN(MAX(0,$K1572-$L1572),$J1572)))</f>
      </c>
      <c r="N1572" s="43">
        <f>IF($I1572=0,0,MIN(SUMIFS(SondBetrag,SondDarl,4,SondDatum,"&gt;="&amp;$E1572,SondDatum,"&lt;="&amp;EOMONTH($E1572,0)),$J1572-$M1572))</f>
      </c>
      <c r="O1572" s="43">
        <f>IF($I1572=0,0,INDEX(DarlErsatzRate,4))</f>
      </c>
      <c r="P1572" s="43">
        <f>IF($I1572=0,0,$Q1571*INDEX(DarlErsatzZins,4))</f>
      </c>
      <c r="Q1572" s="43">
        <f>IF($I1572=0,0,$Q1571+$P1572+$O1572)</f>
      </c>
      <c r="R1572" s="43">
        <f>IF($I1572=0,0,$J1572-$M1572-$N1572)</f>
      </c>
    </row>
    <row r="1573">
      <c r="A1573"/>
      <c r="B1573">
        <v>4</v>
      </c>
      <c r="C1573" s="43">
        <f>INDEX(DarlObj,4)</f>
      </c>
      <c r="D1573">
        <v>130</v>
      </c>
      <c r="E1573" s="51">
        <f>IF(INDEX(DarlBelegt,4)=0,0,EOMONTH(INDEX(DarlAuszahlung,4),129)+1)</f>
      </c>
      <c r="F1573" s="43">
        <f>IF($E1573=0,0,YEAR($E1573))</f>
      </c>
      <c r="G1573" s="43">
        <f>IF(INDEX(DarlBindung,4)="",1,IF($E1573&lt;=INDEX(DarlBindung,4),1,0))</f>
      </c>
      <c r="H1573" s="43">
        <f>IF($G1573=1,INDEX(DarlSollzins,4),INDEX(DarlAnschluss,4))</f>
      </c>
      <c r="I1573" s="43">
        <f>IF(INDEX(DarlBelegt,4)=0,0,IF(INDEX(DarlOhneTilgung,4)=1,IF(INDEX(DarlBindung,4)="",1,$G1573),IF($J1573&gt;0.005,1,0)))</f>
      </c>
      <c r="J1573" s="43">
        <f>IF($I1572=0,0,$R1572)</f>
      </c>
      <c r="K1573" s="43">
        <f>IF($I1573=0,0,IF(INDEX(DarlOhneTilgung,4)=1,0,IF(AND(INDEX(DarlTilgStart,4)&gt;0,$E1573=INDEX(DarlTilgStart,4)),$J1573*($H1573+INDEX(DarlTilgung,4))/100/12,IF(AND($G1573=0,$G1572=1),MAX($K1572,$J1573*($H1573+1)/100/12),$K1572))))</f>
      </c>
      <c r="L1573" s="43">
        <f>IF($I1573=0,0,$J1573*$H1573/100/12)</f>
      </c>
      <c r="M1573" s="43">
        <f>IF($I1573=0,0,IF(OR(INDEX(DarlOhneTilgung,4)=1,AND(INDEX(DarlTilgStart,4)&gt;0,$E1573&lt;INDEX(DarlTilgStart,4))),0,MIN(MAX(0,$K1573-$L1573),$J1573)))</f>
      </c>
      <c r="N1573" s="43">
        <f>IF($I1573=0,0,MIN(SUMIFS(SondBetrag,SondDarl,4,SondDatum,"&gt;="&amp;$E1573,SondDatum,"&lt;="&amp;EOMONTH($E1573,0)),$J1573-$M1573))</f>
      </c>
      <c r="O1573" s="43">
        <f>IF($I1573=0,0,INDEX(DarlErsatzRate,4))</f>
      </c>
      <c r="P1573" s="43">
        <f>IF($I1573=0,0,$Q1572*INDEX(DarlErsatzZins,4))</f>
      </c>
      <c r="Q1573" s="43">
        <f>IF($I1573=0,0,$Q1572+$P1573+$O1573)</f>
      </c>
      <c r="R1573" s="43">
        <f>IF($I1573=0,0,$J1573-$M1573-$N1573)</f>
      </c>
    </row>
    <row r="1574">
      <c r="A1574"/>
      <c r="B1574">
        <v>4</v>
      </c>
      <c r="C1574" s="43">
        <f>INDEX(DarlObj,4)</f>
      </c>
      <c r="D1574">
        <v>131</v>
      </c>
      <c r="E1574" s="51">
        <f>IF(INDEX(DarlBelegt,4)=0,0,EOMONTH(INDEX(DarlAuszahlung,4),130)+1)</f>
      </c>
      <c r="F1574" s="43">
        <f>IF($E1574=0,0,YEAR($E1574))</f>
      </c>
      <c r="G1574" s="43">
        <f>IF(INDEX(DarlBindung,4)="",1,IF($E1574&lt;=INDEX(DarlBindung,4),1,0))</f>
      </c>
      <c r="H1574" s="43">
        <f>IF($G1574=1,INDEX(DarlSollzins,4),INDEX(DarlAnschluss,4))</f>
      </c>
      <c r="I1574" s="43">
        <f>IF(INDEX(DarlBelegt,4)=0,0,IF(INDEX(DarlOhneTilgung,4)=1,IF(INDEX(DarlBindung,4)="",1,$G1574),IF($J1574&gt;0.005,1,0)))</f>
      </c>
      <c r="J1574" s="43">
        <f>IF($I1573=0,0,$R1573)</f>
      </c>
      <c r="K1574" s="43">
        <f>IF($I1574=0,0,IF(INDEX(DarlOhneTilgung,4)=1,0,IF(AND(INDEX(DarlTilgStart,4)&gt;0,$E1574=INDEX(DarlTilgStart,4)),$J1574*($H1574+INDEX(DarlTilgung,4))/100/12,IF(AND($G1574=0,$G1573=1),MAX($K1573,$J1574*($H1574+1)/100/12),$K1573))))</f>
      </c>
      <c r="L1574" s="43">
        <f>IF($I1574=0,0,$J1574*$H1574/100/12)</f>
      </c>
      <c r="M1574" s="43">
        <f>IF($I1574=0,0,IF(OR(INDEX(DarlOhneTilgung,4)=1,AND(INDEX(DarlTilgStart,4)&gt;0,$E1574&lt;INDEX(DarlTilgStart,4))),0,MIN(MAX(0,$K1574-$L1574),$J1574)))</f>
      </c>
      <c r="N1574" s="43">
        <f>IF($I1574=0,0,MIN(SUMIFS(SondBetrag,SondDarl,4,SondDatum,"&gt;="&amp;$E1574,SondDatum,"&lt;="&amp;EOMONTH($E1574,0)),$J1574-$M1574))</f>
      </c>
      <c r="O1574" s="43">
        <f>IF($I1574=0,0,INDEX(DarlErsatzRate,4))</f>
      </c>
      <c r="P1574" s="43">
        <f>IF($I1574=0,0,$Q1573*INDEX(DarlErsatzZins,4))</f>
      </c>
      <c r="Q1574" s="43">
        <f>IF($I1574=0,0,$Q1573+$P1574+$O1574)</f>
      </c>
      <c r="R1574" s="43">
        <f>IF($I1574=0,0,$J1574-$M1574-$N1574)</f>
      </c>
    </row>
    <row r="1575">
      <c r="A1575"/>
      <c r="B1575">
        <v>4</v>
      </c>
      <c r="C1575" s="43">
        <f>INDEX(DarlObj,4)</f>
      </c>
      <c r="D1575">
        <v>132</v>
      </c>
      <c r="E1575" s="51">
        <f>IF(INDEX(DarlBelegt,4)=0,0,EOMONTH(INDEX(DarlAuszahlung,4),131)+1)</f>
      </c>
      <c r="F1575" s="43">
        <f>IF($E1575=0,0,YEAR($E1575))</f>
      </c>
      <c r="G1575" s="43">
        <f>IF(INDEX(DarlBindung,4)="",1,IF($E1575&lt;=INDEX(DarlBindung,4),1,0))</f>
      </c>
      <c r="H1575" s="43">
        <f>IF($G1575=1,INDEX(DarlSollzins,4),INDEX(DarlAnschluss,4))</f>
      </c>
      <c r="I1575" s="43">
        <f>IF(INDEX(DarlBelegt,4)=0,0,IF(INDEX(DarlOhneTilgung,4)=1,IF(INDEX(DarlBindung,4)="",1,$G1575),IF($J1575&gt;0.005,1,0)))</f>
      </c>
      <c r="J1575" s="43">
        <f>IF($I1574=0,0,$R1574)</f>
      </c>
      <c r="K1575" s="43">
        <f>IF($I1575=0,0,IF(INDEX(DarlOhneTilgung,4)=1,0,IF(AND(INDEX(DarlTilgStart,4)&gt;0,$E1575=INDEX(DarlTilgStart,4)),$J1575*($H1575+INDEX(DarlTilgung,4))/100/12,IF(AND($G1575=0,$G1574=1),MAX($K1574,$J1575*($H1575+1)/100/12),$K1574))))</f>
      </c>
      <c r="L1575" s="43">
        <f>IF($I1575=0,0,$J1575*$H1575/100/12)</f>
      </c>
      <c r="M1575" s="43">
        <f>IF($I1575=0,0,IF(OR(INDEX(DarlOhneTilgung,4)=1,AND(INDEX(DarlTilgStart,4)&gt;0,$E1575&lt;INDEX(DarlTilgStart,4))),0,MIN(MAX(0,$K1575-$L1575),$J1575)))</f>
      </c>
      <c r="N1575" s="43">
        <f>IF($I1575=0,0,MIN(SUMIFS(SondBetrag,SondDarl,4,SondDatum,"&gt;="&amp;$E1575,SondDatum,"&lt;="&amp;EOMONTH($E1575,0)),$J1575-$M1575))</f>
      </c>
      <c r="O1575" s="43">
        <f>IF($I1575=0,0,INDEX(DarlErsatzRate,4))</f>
      </c>
      <c r="P1575" s="43">
        <f>IF($I1575=0,0,$Q1574*INDEX(DarlErsatzZins,4))</f>
      </c>
      <c r="Q1575" s="43">
        <f>IF($I1575=0,0,$Q1574+$P1575+$O1575)</f>
      </c>
      <c r="R1575" s="43">
        <f>IF($I1575=0,0,$J1575-$M1575-$N1575)</f>
      </c>
    </row>
    <row r="1576">
      <c r="A1576"/>
      <c r="B1576">
        <v>4</v>
      </c>
      <c r="C1576" s="43">
        <f>INDEX(DarlObj,4)</f>
      </c>
      <c r="D1576">
        <v>133</v>
      </c>
      <c r="E1576" s="51">
        <f>IF(INDEX(DarlBelegt,4)=0,0,EOMONTH(INDEX(DarlAuszahlung,4),132)+1)</f>
      </c>
      <c r="F1576" s="43">
        <f>IF($E1576=0,0,YEAR($E1576))</f>
      </c>
      <c r="G1576" s="43">
        <f>IF(INDEX(DarlBindung,4)="",1,IF($E1576&lt;=INDEX(DarlBindung,4),1,0))</f>
      </c>
      <c r="H1576" s="43">
        <f>IF($G1576=1,INDEX(DarlSollzins,4),INDEX(DarlAnschluss,4))</f>
      </c>
      <c r="I1576" s="43">
        <f>IF(INDEX(DarlBelegt,4)=0,0,IF(INDEX(DarlOhneTilgung,4)=1,IF(INDEX(DarlBindung,4)="",1,$G1576),IF($J1576&gt;0.005,1,0)))</f>
      </c>
      <c r="J1576" s="43">
        <f>IF($I1575=0,0,$R1575)</f>
      </c>
      <c r="K1576" s="43">
        <f>IF($I1576=0,0,IF(INDEX(DarlOhneTilgung,4)=1,0,IF(AND(INDEX(DarlTilgStart,4)&gt;0,$E1576=INDEX(DarlTilgStart,4)),$J1576*($H1576+INDEX(DarlTilgung,4))/100/12,IF(AND($G1576=0,$G1575=1),MAX($K1575,$J1576*($H1576+1)/100/12),$K1575))))</f>
      </c>
      <c r="L1576" s="43">
        <f>IF($I1576=0,0,$J1576*$H1576/100/12)</f>
      </c>
      <c r="M1576" s="43">
        <f>IF($I1576=0,0,IF(OR(INDEX(DarlOhneTilgung,4)=1,AND(INDEX(DarlTilgStart,4)&gt;0,$E1576&lt;INDEX(DarlTilgStart,4))),0,MIN(MAX(0,$K1576-$L1576),$J1576)))</f>
      </c>
      <c r="N1576" s="43">
        <f>IF($I1576=0,0,MIN(SUMIFS(SondBetrag,SondDarl,4,SondDatum,"&gt;="&amp;$E1576,SondDatum,"&lt;="&amp;EOMONTH($E1576,0)),$J1576-$M1576))</f>
      </c>
      <c r="O1576" s="43">
        <f>IF($I1576=0,0,INDEX(DarlErsatzRate,4))</f>
      </c>
      <c r="P1576" s="43">
        <f>IF($I1576=0,0,$Q1575*INDEX(DarlErsatzZins,4))</f>
      </c>
      <c r="Q1576" s="43">
        <f>IF($I1576=0,0,$Q1575+$P1576+$O1576)</f>
      </c>
      <c r="R1576" s="43">
        <f>IF($I1576=0,0,$J1576-$M1576-$N1576)</f>
      </c>
    </row>
    <row r="1577">
      <c r="A1577"/>
      <c r="B1577">
        <v>4</v>
      </c>
      <c r="C1577" s="43">
        <f>INDEX(DarlObj,4)</f>
      </c>
      <c r="D1577">
        <v>134</v>
      </c>
      <c r="E1577" s="51">
        <f>IF(INDEX(DarlBelegt,4)=0,0,EOMONTH(INDEX(DarlAuszahlung,4),133)+1)</f>
      </c>
      <c r="F1577" s="43">
        <f>IF($E1577=0,0,YEAR($E1577))</f>
      </c>
      <c r="G1577" s="43">
        <f>IF(INDEX(DarlBindung,4)="",1,IF($E1577&lt;=INDEX(DarlBindung,4),1,0))</f>
      </c>
      <c r="H1577" s="43">
        <f>IF($G1577=1,INDEX(DarlSollzins,4),INDEX(DarlAnschluss,4))</f>
      </c>
      <c r="I1577" s="43">
        <f>IF(INDEX(DarlBelegt,4)=0,0,IF(INDEX(DarlOhneTilgung,4)=1,IF(INDEX(DarlBindung,4)="",1,$G1577),IF($J1577&gt;0.005,1,0)))</f>
      </c>
      <c r="J1577" s="43">
        <f>IF($I1576=0,0,$R1576)</f>
      </c>
      <c r="K1577" s="43">
        <f>IF($I1577=0,0,IF(INDEX(DarlOhneTilgung,4)=1,0,IF(AND(INDEX(DarlTilgStart,4)&gt;0,$E1577=INDEX(DarlTilgStart,4)),$J1577*($H1577+INDEX(DarlTilgung,4))/100/12,IF(AND($G1577=0,$G1576=1),MAX($K1576,$J1577*($H1577+1)/100/12),$K1576))))</f>
      </c>
      <c r="L1577" s="43">
        <f>IF($I1577=0,0,$J1577*$H1577/100/12)</f>
      </c>
      <c r="M1577" s="43">
        <f>IF($I1577=0,0,IF(OR(INDEX(DarlOhneTilgung,4)=1,AND(INDEX(DarlTilgStart,4)&gt;0,$E1577&lt;INDEX(DarlTilgStart,4))),0,MIN(MAX(0,$K1577-$L1577),$J1577)))</f>
      </c>
      <c r="N1577" s="43">
        <f>IF($I1577=0,0,MIN(SUMIFS(SondBetrag,SondDarl,4,SondDatum,"&gt;="&amp;$E1577,SondDatum,"&lt;="&amp;EOMONTH($E1577,0)),$J1577-$M1577))</f>
      </c>
      <c r="O1577" s="43">
        <f>IF($I1577=0,0,INDEX(DarlErsatzRate,4))</f>
      </c>
      <c r="P1577" s="43">
        <f>IF($I1577=0,0,$Q1576*INDEX(DarlErsatzZins,4))</f>
      </c>
      <c r="Q1577" s="43">
        <f>IF($I1577=0,0,$Q1576+$P1577+$O1577)</f>
      </c>
      <c r="R1577" s="43">
        <f>IF($I1577=0,0,$J1577-$M1577-$N1577)</f>
      </c>
    </row>
    <row r="1578">
      <c r="A1578"/>
      <c r="B1578">
        <v>4</v>
      </c>
      <c r="C1578" s="43">
        <f>INDEX(DarlObj,4)</f>
      </c>
      <c r="D1578">
        <v>135</v>
      </c>
      <c r="E1578" s="51">
        <f>IF(INDEX(DarlBelegt,4)=0,0,EOMONTH(INDEX(DarlAuszahlung,4),134)+1)</f>
      </c>
      <c r="F1578" s="43">
        <f>IF($E1578=0,0,YEAR($E1578))</f>
      </c>
      <c r="G1578" s="43">
        <f>IF(INDEX(DarlBindung,4)="",1,IF($E1578&lt;=INDEX(DarlBindung,4),1,0))</f>
      </c>
      <c r="H1578" s="43">
        <f>IF($G1578=1,INDEX(DarlSollzins,4),INDEX(DarlAnschluss,4))</f>
      </c>
      <c r="I1578" s="43">
        <f>IF(INDEX(DarlBelegt,4)=0,0,IF(INDEX(DarlOhneTilgung,4)=1,IF(INDEX(DarlBindung,4)="",1,$G1578),IF($J1578&gt;0.005,1,0)))</f>
      </c>
      <c r="J1578" s="43">
        <f>IF($I1577=0,0,$R1577)</f>
      </c>
      <c r="K1578" s="43">
        <f>IF($I1578=0,0,IF(INDEX(DarlOhneTilgung,4)=1,0,IF(AND(INDEX(DarlTilgStart,4)&gt;0,$E1578=INDEX(DarlTilgStart,4)),$J1578*($H1578+INDEX(DarlTilgung,4))/100/12,IF(AND($G1578=0,$G1577=1),MAX($K1577,$J1578*($H1578+1)/100/12),$K1577))))</f>
      </c>
      <c r="L1578" s="43">
        <f>IF($I1578=0,0,$J1578*$H1578/100/12)</f>
      </c>
      <c r="M1578" s="43">
        <f>IF($I1578=0,0,IF(OR(INDEX(DarlOhneTilgung,4)=1,AND(INDEX(DarlTilgStart,4)&gt;0,$E1578&lt;INDEX(DarlTilgStart,4))),0,MIN(MAX(0,$K1578-$L1578),$J1578)))</f>
      </c>
      <c r="N1578" s="43">
        <f>IF($I1578=0,0,MIN(SUMIFS(SondBetrag,SondDarl,4,SondDatum,"&gt;="&amp;$E1578,SondDatum,"&lt;="&amp;EOMONTH($E1578,0)),$J1578-$M1578))</f>
      </c>
      <c r="O1578" s="43">
        <f>IF($I1578=0,0,INDEX(DarlErsatzRate,4))</f>
      </c>
      <c r="P1578" s="43">
        <f>IF($I1578=0,0,$Q1577*INDEX(DarlErsatzZins,4))</f>
      </c>
      <c r="Q1578" s="43">
        <f>IF($I1578=0,0,$Q1577+$P1578+$O1578)</f>
      </c>
      <c r="R1578" s="43">
        <f>IF($I1578=0,0,$J1578-$M1578-$N1578)</f>
      </c>
    </row>
    <row r="1579">
      <c r="A1579"/>
      <c r="B1579">
        <v>4</v>
      </c>
      <c r="C1579" s="43">
        <f>INDEX(DarlObj,4)</f>
      </c>
      <c r="D1579">
        <v>136</v>
      </c>
      <c r="E1579" s="51">
        <f>IF(INDEX(DarlBelegt,4)=0,0,EOMONTH(INDEX(DarlAuszahlung,4),135)+1)</f>
      </c>
      <c r="F1579" s="43">
        <f>IF($E1579=0,0,YEAR($E1579))</f>
      </c>
      <c r="G1579" s="43">
        <f>IF(INDEX(DarlBindung,4)="",1,IF($E1579&lt;=INDEX(DarlBindung,4),1,0))</f>
      </c>
      <c r="H1579" s="43">
        <f>IF($G1579=1,INDEX(DarlSollzins,4),INDEX(DarlAnschluss,4))</f>
      </c>
      <c r="I1579" s="43">
        <f>IF(INDEX(DarlBelegt,4)=0,0,IF(INDEX(DarlOhneTilgung,4)=1,IF(INDEX(DarlBindung,4)="",1,$G1579),IF($J1579&gt;0.005,1,0)))</f>
      </c>
      <c r="J1579" s="43">
        <f>IF($I1578=0,0,$R1578)</f>
      </c>
      <c r="K1579" s="43">
        <f>IF($I1579=0,0,IF(INDEX(DarlOhneTilgung,4)=1,0,IF(AND(INDEX(DarlTilgStart,4)&gt;0,$E1579=INDEX(DarlTilgStart,4)),$J1579*($H1579+INDEX(DarlTilgung,4))/100/12,IF(AND($G1579=0,$G1578=1),MAX($K1578,$J1579*($H1579+1)/100/12),$K1578))))</f>
      </c>
      <c r="L1579" s="43">
        <f>IF($I1579=0,0,$J1579*$H1579/100/12)</f>
      </c>
      <c r="M1579" s="43">
        <f>IF($I1579=0,0,IF(OR(INDEX(DarlOhneTilgung,4)=1,AND(INDEX(DarlTilgStart,4)&gt;0,$E1579&lt;INDEX(DarlTilgStart,4))),0,MIN(MAX(0,$K1579-$L1579),$J1579)))</f>
      </c>
      <c r="N1579" s="43">
        <f>IF($I1579=0,0,MIN(SUMIFS(SondBetrag,SondDarl,4,SondDatum,"&gt;="&amp;$E1579,SondDatum,"&lt;="&amp;EOMONTH($E1579,0)),$J1579-$M1579))</f>
      </c>
      <c r="O1579" s="43">
        <f>IF($I1579=0,0,INDEX(DarlErsatzRate,4))</f>
      </c>
      <c r="P1579" s="43">
        <f>IF($I1579=0,0,$Q1578*INDEX(DarlErsatzZins,4))</f>
      </c>
      <c r="Q1579" s="43">
        <f>IF($I1579=0,0,$Q1578+$P1579+$O1579)</f>
      </c>
      <c r="R1579" s="43">
        <f>IF($I1579=0,0,$J1579-$M1579-$N1579)</f>
      </c>
    </row>
    <row r="1580">
      <c r="A1580"/>
      <c r="B1580">
        <v>4</v>
      </c>
      <c r="C1580" s="43">
        <f>INDEX(DarlObj,4)</f>
      </c>
      <c r="D1580">
        <v>137</v>
      </c>
      <c r="E1580" s="51">
        <f>IF(INDEX(DarlBelegt,4)=0,0,EOMONTH(INDEX(DarlAuszahlung,4),136)+1)</f>
      </c>
      <c r="F1580" s="43">
        <f>IF($E1580=0,0,YEAR($E1580))</f>
      </c>
      <c r="G1580" s="43">
        <f>IF(INDEX(DarlBindung,4)="",1,IF($E1580&lt;=INDEX(DarlBindung,4),1,0))</f>
      </c>
      <c r="H1580" s="43">
        <f>IF($G1580=1,INDEX(DarlSollzins,4),INDEX(DarlAnschluss,4))</f>
      </c>
      <c r="I1580" s="43">
        <f>IF(INDEX(DarlBelegt,4)=0,0,IF(INDEX(DarlOhneTilgung,4)=1,IF(INDEX(DarlBindung,4)="",1,$G1580),IF($J1580&gt;0.005,1,0)))</f>
      </c>
      <c r="J1580" s="43">
        <f>IF($I1579=0,0,$R1579)</f>
      </c>
      <c r="K1580" s="43">
        <f>IF($I1580=0,0,IF(INDEX(DarlOhneTilgung,4)=1,0,IF(AND(INDEX(DarlTilgStart,4)&gt;0,$E1580=INDEX(DarlTilgStart,4)),$J1580*($H1580+INDEX(DarlTilgung,4))/100/12,IF(AND($G1580=0,$G1579=1),MAX($K1579,$J1580*($H1580+1)/100/12),$K1579))))</f>
      </c>
      <c r="L1580" s="43">
        <f>IF($I1580=0,0,$J1580*$H1580/100/12)</f>
      </c>
      <c r="M1580" s="43">
        <f>IF($I1580=0,0,IF(OR(INDEX(DarlOhneTilgung,4)=1,AND(INDEX(DarlTilgStart,4)&gt;0,$E1580&lt;INDEX(DarlTilgStart,4))),0,MIN(MAX(0,$K1580-$L1580),$J1580)))</f>
      </c>
      <c r="N1580" s="43">
        <f>IF($I1580=0,0,MIN(SUMIFS(SondBetrag,SondDarl,4,SondDatum,"&gt;="&amp;$E1580,SondDatum,"&lt;="&amp;EOMONTH($E1580,0)),$J1580-$M1580))</f>
      </c>
      <c r="O1580" s="43">
        <f>IF($I1580=0,0,INDEX(DarlErsatzRate,4))</f>
      </c>
      <c r="P1580" s="43">
        <f>IF($I1580=0,0,$Q1579*INDEX(DarlErsatzZins,4))</f>
      </c>
      <c r="Q1580" s="43">
        <f>IF($I1580=0,0,$Q1579+$P1580+$O1580)</f>
      </c>
      <c r="R1580" s="43">
        <f>IF($I1580=0,0,$J1580-$M1580-$N1580)</f>
      </c>
    </row>
    <row r="1581">
      <c r="A1581"/>
      <c r="B1581">
        <v>4</v>
      </c>
      <c r="C1581" s="43">
        <f>INDEX(DarlObj,4)</f>
      </c>
      <c r="D1581">
        <v>138</v>
      </c>
      <c r="E1581" s="51">
        <f>IF(INDEX(DarlBelegt,4)=0,0,EOMONTH(INDEX(DarlAuszahlung,4),137)+1)</f>
      </c>
      <c r="F1581" s="43">
        <f>IF($E1581=0,0,YEAR($E1581))</f>
      </c>
      <c r="G1581" s="43">
        <f>IF(INDEX(DarlBindung,4)="",1,IF($E1581&lt;=INDEX(DarlBindung,4),1,0))</f>
      </c>
      <c r="H1581" s="43">
        <f>IF($G1581=1,INDEX(DarlSollzins,4),INDEX(DarlAnschluss,4))</f>
      </c>
      <c r="I1581" s="43">
        <f>IF(INDEX(DarlBelegt,4)=0,0,IF(INDEX(DarlOhneTilgung,4)=1,IF(INDEX(DarlBindung,4)="",1,$G1581),IF($J1581&gt;0.005,1,0)))</f>
      </c>
      <c r="J1581" s="43">
        <f>IF($I1580=0,0,$R1580)</f>
      </c>
      <c r="K1581" s="43">
        <f>IF($I1581=0,0,IF(INDEX(DarlOhneTilgung,4)=1,0,IF(AND(INDEX(DarlTilgStart,4)&gt;0,$E1581=INDEX(DarlTilgStart,4)),$J1581*($H1581+INDEX(DarlTilgung,4))/100/12,IF(AND($G1581=0,$G1580=1),MAX($K1580,$J1581*($H1581+1)/100/12),$K1580))))</f>
      </c>
      <c r="L1581" s="43">
        <f>IF($I1581=0,0,$J1581*$H1581/100/12)</f>
      </c>
      <c r="M1581" s="43">
        <f>IF($I1581=0,0,IF(OR(INDEX(DarlOhneTilgung,4)=1,AND(INDEX(DarlTilgStart,4)&gt;0,$E1581&lt;INDEX(DarlTilgStart,4))),0,MIN(MAX(0,$K1581-$L1581),$J1581)))</f>
      </c>
      <c r="N1581" s="43">
        <f>IF($I1581=0,0,MIN(SUMIFS(SondBetrag,SondDarl,4,SondDatum,"&gt;="&amp;$E1581,SondDatum,"&lt;="&amp;EOMONTH($E1581,0)),$J1581-$M1581))</f>
      </c>
      <c r="O1581" s="43">
        <f>IF($I1581=0,0,INDEX(DarlErsatzRate,4))</f>
      </c>
      <c r="P1581" s="43">
        <f>IF($I1581=0,0,$Q1580*INDEX(DarlErsatzZins,4))</f>
      </c>
      <c r="Q1581" s="43">
        <f>IF($I1581=0,0,$Q1580+$P1581+$O1581)</f>
      </c>
      <c r="R1581" s="43">
        <f>IF($I1581=0,0,$J1581-$M1581-$N1581)</f>
      </c>
    </row>
    <row r="1582">
      <c r="A1582"/>
      <c r="B1582">
        <v>4</v>
      </c>
      <c r="C1582" s="43">
        <f>INDEX(DarlObj,4)</f>
      </c>
      <c r="D1582">
        <v>139</v>
      </c>
      <c r="E1582" s="51">
        <f>IF(INDEX(DarlBelegt,4)=0,0,EOMONTH(INDEX(DarlAuszahlung,4),138)+1)</f>
      </c>
      <c r="F1582" s="43">
        <f>IF($E1582=0,0,YEAR($E1582))</f>
      </c>
      <c r="G1582" s="43">
        <f>IF(INDEX(DarlBindung,4)="",1,IF($E1582&lt;=INDEX(DarlBindung,4),1,0))</f>
      </c>
      <c r="H1582" s="43">
        <f>IF($G1582=1,INDEX(DarlSollzins,4),INDEX(DarlAnschluss,4))</f>
      </c>
      <c r="I1582" s="43">
        <f>IF(INDEX(DarlBelegt,4)=0,0,IF(INDEX(DarlOhneTilgung,4)=1,IF(INDEX(DarlBindung,4)="",1,$G1582),IF($J1582&gt;0.005,1,0)))</f>
      </c>
      <c r="J1582" s="43">
        <f>IF($I1581=0,0,$R1581)</f>
      </c>
      <c r="K1582" s="43">
        <f>IF($I1582=0,0,IF(INDEX(DarlOhneTilgung,4)=1,0,IF(AND(INDEX(DarlTilgStart,4)&gt;0,$E1582=INDEX(DarlTilgStart,4)),$J1582*($H1582+INDEX(DarlTilgung,4))/100/12,IF(AND($G1582=0,$G1581=1),MAX($K1581,$J1582*($H1582+1)/100/12),$K1581))))</f>
      </c>
      <c r="L1582" s="43">
        <f>IF($I1582=0,0,$J1582*$H1582/100/12)</f>
      </c>
      <c r="M1582" s="43">
        <f>IF($I1582=0,0,IF(OR(INDEX(DarlOhneTilgung,4)=1,AND(INDEX(DarlTilgStart,4)&gt;0,$E1582&lt;INDEX(DarlTilgStart,4))),0,MIN(MAX(0,$K1582-$L1582),$J1582)))</f>
      </c>
      <c r="N1582" s="43">
        <f>IF($I1582=0,0,MIN(SUMIFS(SondBetrag,SondDarl,4,SondDatum,"&gt;="&amp;$E1582,SondDatum,"&lt;="&amp;EOMONTH($E1582,0)),$J1582-$M1582))</f>
      </c>
      <c r="O1582" s="43">
        <f>IF($I1582=0,0,INDEX(DarlErsatzRate,4))</f>
      </c>
      <c r="P1582" s="43">
        <f>IF($I1582=0,0,$Q1581*INDEX(DarlErsatzZins,4))</f>
      </c>
      <c r="Q1582" s="43">
        <f>IF($I1582=0,0,$Q1581+$P1582+$O1582)</f>
      </c>
      <c r="R1582" s="43">
        <f>IF($I1582=0,0,$J1582-$M1582-$N1582)</f>
      </c>
    </row>
    <row r="1583">
      <c r="A1583"/>
      <c r="B1583">
        <v>4</v>
      </c>
      <c r="C1583" s="43">
        <f>INDEX(DarlObj,4)</f>
      </c>
      <c r="D1583">
        <v>140</v>
      </c>
      <c r="E1583" s="51">
        <f>IF(INDEX(DarlBelegt,4)=0,0,EOMONTH(INDEX(DarlAuszahlung,4),139)+1)</f>
      </c>
      <c r="F1583" s="43">
        <f>IF($E1583=0,0,YEAR($E1583))</f>
      </c>
      <c r="G1583" s="43">
        <f>IF(INDEX(DarlBindung,4)="",1,IF($E1583&lt;=INDEX(DarlBindung,4),1,0))</f>
      </c>
      <c r="H1583" s="43">
        <f>IF($G1583=1,INDEX(DarlSollzins,4),INDEX(DarlAnschluss,4))</f>
      </c>
      <c r="I1583" s="43">
        <f>IF(INDEX(DarlBelegt,4)=0,0,IF(INDEX(DarlOhneTilgung,4)=1,IF(INDEX(DarlBindung,4)="",1,$G1583),IF($J1583&gt;0.005,1,0)))</f>
      </c>
      <c r="J1583" s="43">
        <f>IF($I1582=0,0,$R1582)</f>
      </c>
      <c r="K1583" s="43">
        <f>IF($I1583=0,0,IF(INDEX(DarlOhneTilgung,4)=1,0,IF(AND(INDEX(DarlTilgStart,4)&gt;0,$E1583=INDEX(DarlTilgStart,4)),$J1583*($H1583+INDEX(DarlTilgung,4))/100/12,IF(AND($G1583=0,$G1582=1),MAX($K1582,$J1583*($H1583+1)/100/12),$K1582))))</f>
      </c>
      <c r="L1583" s="43">
        <f>IF($I1583=0,0,$J1583*$H1583/100/12)</f>
      </c>
      <c r="M1583" s="43">
        <f>IF($I1583=0,0,IF(OR(INDEX(DarlOhneTilgung,4)=1,AND(INDEX(DarlTilgStart,4)&gt;0,$E1583&lt;INDEX(DarlTilgStart,4))),0,MIN(MAX(0,$K1583-$L1583),$J1583)))</f>
      </c>
      <c r="N1583" s="43">
        <f>IF($I1583=0,0,MIN(SUMIFS(SondBetrag,SondDarl,4,SondDatum,"&gt;="&amp;$E1583,SondDatum,"&lt;="&amp;EOMONTH($E1583,0)),$J1583-$M1583))</f>
      </c>
      <c r="O1583" s="43">
        <f>IF($I1583=0,0,INDEX(DarlErsatzRate,4))</f>
      </c>
      <c r="P1583" s="43">
        <f>IF($I1583=0,0,$Q1582*INDEX(DarlErsatzZins,4))</f>
      </c>
      <c r="Q1583" s="43">
        <f>IF($I1583=0,0,$Q1582+$P1583+$O1583)</f>
      </c>
      <c r="R1583" s="43">
        <f>IF($I1583=0,0,$J1583-$M1583-$N1583)</f>
      </c>
    </row>
    <row r="1584">
      <c r="A1584"/>
      <c r="B1584">
        <v>4</v>
      </c>
      <c r="C1584" s="43">
        <f>INDEX(DarlObj,4)</f>
      </c>
      <c r="D1584">
        <v>141</v>
      </c>
      <c r="E1584" s="51">
        <f>IF(INDEX(DarlBelegt,4)=0,0,EOMONTH(INDEX(DarlAuszahlung,4),140)+1)</f>
      </c>
      <c r="F1584" s="43">
        <f>IF($E1584=0,0,YEAR($E1584))</f>
      </c>
      <c r="G1584" s="43">
        <f>IF(INDEX(DarlBindung,4)="",1,IF($E1584&lt;=INDEX(DarlBindung,4),1,0))</f>
      </c>
      <c r="H1584" s="43">
        <f>IF($G1584=1,INDEX(DarlSollzins,4),INDEX(DarlAnschluss,4))</f>
      </c>
      <c r="I1584" s="43">
        <f>IF(INDEX(DarlBelegt,4)=0,0,IF(INDEX(DarlOhneTilgung,4)=1,IF(INDEX(DarlBindung,4)="",1,$G1584),IF($J1584&gt;0.005,1,0)))</f>
      </c>
      <c r="J1584" s="43">
        <f>IF($I1583=0,0,$R1583)</f>
      </c>
      <c r="K1584" s="43">
        <f>IF($I1584=0,0,IF(INDEX(DarlOhneTilgung,4)=1,0,IF(AND(INDEX(DarlTilgStart,4)&gt;0,$E1584=INDEX(DarlTilgStart,4)),$J1584*($H1584+INDEX(DarlTilgung,4))/100/12,IF(AND($G1584=0,$G1583=1),MAX($K1583,$J1584*($H1584+1)/100/12),$K1583))))</f>
      </c>
      <c r="L1584" s="43">
        <f>IF($I1584=0,0,$J1584*$H1584/100/12)</f>
      </c>
      <c r="M1584" s="43">
        <f>IF($I1584=0,0,IF(OR(INDEX(DarlOhneTilgung,4)=1,AND(INDEX(DarlTilgStart,4)&gt;0,$E1584&lt;INDEX(DarlTilgStart,4))),0,MIN(MAX(0,$K1584-$L1584),$J1584)))</f>
      </c>
      <c r="N1584" s="43">
        <f>IF($I1584=0,0,MIN(SUMIFS(SondBetrag,SondDarl,4,SondDatum,"&gt;="&amp;$E1584,SondDatum,"&lt;="&amp;EOMONTH($E1584,0)),$J1584-$M1584))</f>
      </c>
      <c r="O1584" s="43">
        <f>IF($I1584=0,0,INDEX(DarlErsatzRate,4))</f>
      </c>
      <c r="P1584" s="43">
        <f>IF($I1584=0,0,$Q1583*INDEX(DarlErsatzZins,4))</f>
      </c>
      <c r="Q1584" s="43">
        <f>IF($I1584=0,0,$Q1583+$P1584+$O1584)</f>
      </c>
      <c r="R1584" s="43">
        <f>IF($I1584=0,0,$J1584-$M1584-$N1584)</f>
      </c>
    </row>
    <row r="1585">
      <c r="A1585"/>
      <c r="B1585">
        <v>4</v>
      </c>
      <c r="C1585" s="43">
        <f>INDEX(DarlObj,4)</f>
      </c>
      <c r="D1585">
        <v>142</v>
      </c>
      <c r="E1585" s="51">
        <f>IF(INDEX(DarlBelegt,4)=0,0,EOMONTH(INDEX(DarlAuszahlung,4),141)+1)</f>
      </c>
      <c r="F1585" s="43">
        <f>IF($E1585=0,0,YEAR($E1585))</f>
      </c>
      <c r="G1585" s="43">
        <f>IF(INDEX(DarlBindung,4)="",1,IF($E1585&lt;=INDEX(DarlBindung,4),1,0))</f>
      </c>
      <c r="H1585" s="43">
        <f>IF($G1585=1,INDEX(DarlSollzins,4),INDEX(DarlAnschluss,4))</f>
      </c>
      <c r="I1585" s="43">
        <f>IF(INDEX(DarlBelegt,4)=0,0,IF(INDEX(DarlOhneTilgung,4)=1,IF(INDEX(DarlBindung,4)="",1,$G1585),IF($J1585&gt;0.005,1,0)))</f>
      </c>
      <c r="J1585" s="43">
        <f>IF($I1584=0,0,$R1584)</f>
      </c>
      <c r="K1585" s="43">
        <f>IF($I1585=0,0,IF(INDEX(DarlOhneTilgung,4)=1,0,IF(AND(INDEX(DarlTilgStart,4)&gt;0,$E1585=INDEX(DarlTilgStart,4)),$J1585*($H1585+INDEX(DarlTilgung,4))/100/12,IF(AND($G1585=0,$G1584=1),MAX($K1584,$J1585*($H1585+1)/100/12),$K1584))))</f>
      </c>
      <c r="L1585" s="43">
        <f>IF($I1585=0,0,$J1585*$H1585/100/12)</f>
      </c>
      <c r="M1585" s="43">
        <f>IF($I1585=0,0,IF(OR(INDEX(DarlOhneTilgung,4)=1,AND(INDEX(DarlTilgStart,4)&gt;0,$E1585&lt;INDEX(DarlTilgStart,4))),0,MIN(MAX(0,$K1585-$L1585),$J1585)))</f>
      </c>
      <c r="N1585" s="43">
        <f>IF($I1585=0,0,MIN(SUMIFS(SondBetrag,SondDarl,4,SondDatum,"&gt;="&amp;$E1585,SondDatum,"&lt;="&amp;EOMONTH($E1585,0)),$J1585-$M1585))</f>
      </c>
      <c r="O1585" s="43">
        <f>IF($I1585=0,0,INDEX(DarlErsatzRate,4))</f>
      </c>
      <c r="P1585" s="43">
        <f>IF($I1585=0,0,$Q1584*INDEX(DarlErsatzZins,4))</f>
      </c>
      <c r="Q1585" s="43">
        <f>IF($I1585=0,0,$Q1584+$P1585+$O1585)</f>
      </c>
      <c r="R1585" s="43">
        <f>IF($I1585=0,0,$J1585-$M1585-$N1585)</f>
      </c>
    </row>
    <row r="1586">
      <c r="A1586"/>
      <c r="B1586">
        <v>4</v>
      </c>
      <c r="C1586" s="43">
        <f>INDEX(DarlObj,4)</f>
      </c>
      <c r="D1586">
        <v>143</v>
      </c>
      <c r="E1586" s="51">
        <f>IF(INDEX(DarlBelegt,4)=0,0,EOMONTH(INDEX(DarlAuszahlung,4),142)+1)</f>
      </c>
      <c r="F1586" s="43">
        <f>IF($E1586=0,0,YEAR($E1586))</f>
      </c>
      <c r="G1586" s="43">
        <f>IF(INDEX(DarlBindung,4)="",1,IF($E1586&lt;=INDEX(DarlBindung,4),1,0))</f>
      </c>
      <c r="H1586" s="43">
        <f>IF($G1586=1,INDEX(DarlSollzins,4),INDEX(DarlAnschluss,4))</f>
      </c>
      <c r="I1586" s="43">
        <f>IF(INDEX(DarlBelegt,4)=0,0,IF(INDEX(DarlOhneTilgung,4)=1,IF(INDEX(DarlBindung,4)="",1,$G1586),IF($J1586&gt;0.005,1,0)))</f>
      </c>
      <c r="J1586" s="43">
        <f>IF($I1585=0,0,$R1585)</f>
      </c>
      <c r="K1586" s="43">
        <f>IF($I1586=0,0,IF(INDEX(DarlOhneTilgung,4)=1,0,IF(AND(INDEX(DarlTilgStart,4)&gt;0,$E1586=INDEX(DarlTilgStart,4)),$J1586*($H1586+INDEX(DarlTilgung,4))/100/12,IF(AND($G1586=0,$G1585=1),MAX($K1585,$J1586*($H1586+1)/100/12),$K1585))))</f>
      </c>
      <c r="L1586" s="43">
        <f>IF($I1586=0,0,$J1586*$H1586/100/12)</f>
      </c>
      <c r="M1586" s="43">
        <f>IF($I1586=0,0,IF(OR(INDEX(DarlOhneTilgung,4)=1,AND(INDEX(DarlTilgStart,4)&gt;0,$E1586&lt;INDEX(DarlTilgStart,4))),0,MIN(MAX(0,$K1586-$L1586),$J1586)))</f>
      </c>
      <c r="N1586" s="43">
        <f>IF($I1586=0,0,MIN(SUMIFS(SondBetrag,SondDarl,4,SondDatum,"&gt;="&amp;$E1586,SondDatum,"&lt;="&amp;EOMONTH($E1586,0)),$J1586-$M1586))</f>
      </c>
      <c r="O1586" s="43">
        <f>IF($I1586=0,0,INDEX(DarlErsatzRate,4))</f>
      </c>
      <c r="P1586" s="43">
        <f>IF($I1586=0,0,$Q1585*INDEX(DarlErsatzZins,4))</f>
      </c>
      <c r="Q1586" s="43">
        <f>IF($I1586=0,0,$Q1585+$P1586+$O1586)</f>
      </c>
      <c r="R1586" s="43">
        <f>IF($I1586=0,0,$J1586-$M1586-$N1586)</f>
      </c>
    </row>
    <row r="1587">
      <c r="A1587"/>
      <c r="B1587">
        <v>4</v>
      </c>
      <c r="C1587" s="43">
        <f>INDEX(DarlObj,4)</f>
      </c>
      <c r="D1587">
        <v>144</v>
      </c>
      <c r="E1587" s="51">
        <f>IF(INDEX(DarlBelegt,4)=0,0,EOMONTH(INDEX(DarlAuszahlung,4),143)+1)</f>
      </c>
      <c r="F1587" s="43">
        <f>IF($E1587=0,0,YEAR($E1587))</f>
      </c>
      <c r="G1587" s="43">
        <f>IF(INDEX(DarlBindung,4)="",1,IF($E1587&lt;=INDEX(DarlBindung,4),1,0))</f>
      </c>
      <c r="H1587" s="43">
        <f>IF($G1587=1,INDEX(DarlSollzins,4),INDEX(DarlAnschluss,4))</f>
      </c>
      <c r="I1587" s="43">
        <f>IF(INDEX(DarlBelegt,4)=0,0,IF(INDEX(DarlOhneTilgung,4)=1,IF(INDEX(DarlBindung,4)="",1,$G1587),IF($J1587&gt;0.005,1,0)))</f>
      </c>
      <c r="J1587" s="43">
        <f>IF($I1586=0,0,$R1586)</f>
      </c>
      <c r="K1587" s="43">
        <f>IF($I1587=0,0,IF(INDEX(DarlOhneTilgung,4)=1,0,IF(AND(INDEX(DarlTilgStart,4)&gt;0,$E1587=INDEX(DarlTilgStart,4)),$J1587*($H1587+INDEX(DarlTilgung,4))/100/12,IF(AND($G1587=0,$G1586=1),MAX($K1586,$J1587*($H1587+1)/100/12),$K1586))))</f>
      </c>
      <c r="L1587" s="43">
        <f>IF($I1587=0,0,$J1587*$H1587/100/12)</f>
      </c>
      <c r="M1587" s="43">
        <f>IF($I1587=0,0,IF(OR(INDEX(DarlOhneTilgung,4)=1,AND(INDEX(DarlTilgStart,4)&gt;0,$E1587&lt;INDEX(DarlTilgStart,4))),0,MIN(MAX(0,$K1587-$L1587),$J1587)))</f>
      </c>
      <c r="N1587" s="43">
        <f>IF($I1587=0,0,MIN(SUMIFS(SondBetrag,SondDarl,4,SondDatum,"&gt;="&amp;$E1587,SondDatum,"&lt;="&amp;EOMONTH($E1587,0)),$J1587-$M1587))</f>
      </c>
      <c r="O1587" s="43">
        <f>IF($I1587=0,0,INDEX(DarlErsatzRate,4))</f>
      </c>
      <c r="P1587" s="43">
        <f>IF($I1587=0,0,$Q1586*INDEX(DarlErsatzZins,4))</f>
      </c>
      <c r="Q1587" s="43">
        <f>IF($I1587=0,0,$Q1586+$P1587+$O1587)</f>
      </c>
      <c r="R1587" s="43">
        <f>IF($I1587=0,0,$J1587-$M1587-$N1587)</f>
      </c>
    </row>
    <row r="1588">
      <c r="A1588"/>
      <c r="B1588">
        <v>4</v>
      </c>
      <c r="C1588" s="43">
        <f>INDEX(DarlObj,4)</f>
      </c>
      <c r="D1588">
        <v>145</v>
      </c>
      <c r="E1588" s="51">
        <f>IF(INDEX(DarlBelegt,4)=0,0,EOMONTH(INDEX(DarlAuszahlung,4),144)+1)</f>
      </c>
      <c r="F1588" s="43">
        <f>IF($E1588=0,0,YEAR($E1588))</f>
      </c>
      <c r="G1588" s="43">
        <f>IF(INDEX(DarlBindung,4)="",1,IF($E1588&lt;=INDEX(DarlBindung,4),1,0))</f>
      </c>
      <c r="H1588" s="43">
        <f>IF($G1588=1,INDEX(DarlSollzins,4),INDEX(DarlAnschluss,4))</f>
      </c>
      <c r="I1588" s="43">
        <f>IF(INDEX(DarlBelegt,4)=0,0,IF(INDEX(DarlOhneTilgung,4)=1,IF(INDEX(DarlBindung,4)="",1,$G1588),IF($J1588&gt;0.005,1,0)))</f>
      </c>
      <c r="J1588" s="43">
        <f>IF($I1587=0,0,$R1587)</f>
      </c>
      <c r="K1588" s="43">
        <f>IF($I1588=0,0,IF(INDEX(DarlOhneTilgung,4)=1,0,IF(AND(INDEX(DarlTilgStart,4)&gt;0,$E1588=INDEX(DarlTilgStart,4)),$J1588*($H1588+INDEX(DarlTilgung,4))/100/12,IF(AND($G1588=0,$G1587=1),MAX($K1587,$J1588*($H1588+1)/100/12),$K1587))))</f>
      </c>
      <c r="L1588" s="43">
        <f>IF($I1588=0,0,$J1588*$H1588/100/12)</f>
      </c>
      <c r="M1588" s="43">
        <f>IF($I1588=0,0,IF(OR(INDEX(DarlOhneTilgung,4)=1,AND(INDEX(DarlTilgStart,4)&gt;0,$E1588&lt;INDEX(DarlTilgStart,4))),0,MIN(MAX(0,$K1588-$L1588),$J1588)))</f>
      </c>
      <c r="N1588" s="43">
        <f>IF($I1588=0,0,MIN(SUMIFS(SondBetrag,SondDarl,4,SondDatum,"&gt;="&amp;$E1588,SondDatum,"&lt;="&amp;EOMONTH($E1588,0)),$J1588-$M1588))</f>
      </c>
      <c r="O1588" s="43">
        <f>IF($I1588=0,0,INDEX(DarlErsatzRate,4))</f>
      </c>
      <c r="P1588" s="43">
        <f>IF($I1588=0,0,$Q1587*INDEX(DarlErsatzZins,4))</f>
      </c>
      <c r="Q1588" s="43">
        <f>IF($I1588=0,0,$Q1587+$P1588+$O1588)</f>
      </c>
      <c r="R1588" s="43">
        <f>IF($I1588=0,0,$J1588-$M1588-$N1588)</f>
      </c>
    </row>
    <row r="1589">
      <c r="A1589"/>
      <c r="B1589">
        <v>4</v>
      </c>
      <c r="C1589" s="43">
        <f>INDEX(DarlObj,4)</f>
      </c>
      <c r="D1589">
        <v>146</v>
      </c>
      <c r="E1589" s="51">
        <f>IF(INDEX(DarlBelegt,4)=0,0,EOMONTH(INDEX(DarlAuszahlung,4),145)+1)</f>
      </c>
      <c r="F1589" s="43">
        <f>IF($E1589=0,0,YEAR($E1589))</f>
      </c>
      <c r="G1589" s="43">
        <f>IF(INDEX(DarlBindung,4)="",1,IF($E1589&lt;=INDEX(DarlBindung,4),1,0))</f>
      </c>
      <c r="H1589" s="43">
        <f>IF($G1589=1,INDEX(DarlSollzins,4),INDEX(DarlAnschluss,4))</f>
      </c>
      <c r="I1589" s="43">
        <f>IF(INDEX(DarlBelegt,4)=0,0,IF(INDEX(DarlOhneTilgung,4)=1,IF(INDEX(DarlBindung,4)="",1,$G1589),IF($J1589&gt;0.005,1,0)))</f>
      </c>
      <c r="J1589" s="43">
        <f>IF($I1588=0,0,$R1588)</f>
      </c>
      <c r="K1589" s="43">
        <f>IF($I1589=0,0,IF(INDEX(DarlOhneTilgung,4)=1,0,IF(AND(INDEX(DarlTilgStart,4)&gt;0,$E1589=INDEX(DarlTilgStart,4)),$J1589*($H1589+INDEX(DarlTilgung,4))/100/12,IF(AND($G1589=0,$G1588=1),MAX($K1588,$J1589*($H1589+1)/100/12),$K1588))))</f>
      </c>
      <c r="L1589" s="43">
        <f>IF($I1589=0,0,$J1589*$H1589/100/12)</f>
      </c>
      <c r="M1589" s="43">
        <f>IF($I1589=0,0,IF(OR(INDEX(DarlOhneTilgung,4)=1,AND(INDEX(DarlTilgStart,4)&gt;0,$E1589&lt;INDEX(DarlTilgStart,4))),0,MIN(MAX(0,$K1589-$L1589),$J1589)))</f>
      </c>
      <c r="N1589" s="43">
        <f>IF($I1589=0,0,MIN(SUMIFS(SondBetrag,SondDarl,4,SondDatum,"&gt;="&amp;$E1589,SondDatum,"&lt;="&amp;EOMONTH($E1589,0)),$J1589-$M1589))</f>
      </c>
      <c r="O1589" s="43">
        <f>IF($I1589=0,0,INDEX(DarlErsatzRate,4))</f>
      </c>
      <c r="P1589" s="43">
        <f>IF($I1589=0,0,$Q1588*INDEX(DarlErsatzZins,4))</f>
      </c>
      <c r="Q1589" s="43">
        <f>IF($I1589=0,0,$Q1588+$P1589+$O1589)</f>
      </c>
      <c r="R1589" s="43">
        <f>IF($I1589=0,0,$J1589-$M1589-$N1589)</f>
      </c>
    </row>
    <row r="1590">
      <c r="A1590"/>
      <c r="B1590">
        <v>4</v>
      </c>
      <c r="C1590" s="43">
        <f>INDEX(DarlObj,4)</f>
      </c>
      <c r="D1590">
        <v>147</v>
      </c>
      <c r="E1590" s="51">
        <f>IF(INDEX(DarlBelegt,4)=0,0,EOMONTH(INDEX(DarlAuszahlung,4),146)+1)</f>
      </c>
      <c r="F1590" s="43">
        <f>IF($E1590=0,0,YEAR($E1590))</f>
      </c>
      <c r="G1590" s="43">
        <f>IF(INDEX(DarlBindung,4)="",1,IF($E1590&lt;=INDEX(DarlBindung,4),1,0))</f>
      </c>
      <c r="H1590" s="43">
        <f>IF($G1590=1,INDEX(DarlSollzins,4),INDEX(DarlAnschluss,4))</f>
      </c>
      <c r="I1590" s="43">
        <f>IF(INDEX(DarlBelegt,4)=0,0,IF(INDEX(DarlOhneTilgung,4)=1,IF(INDEX(DarlBindung,4)="",1,$G1590),IF($J1590&gt;0.005,1,0)))</f>
      </c>
      <c r="J1590" s="43">
        <f>IF($I1589=0,0,$R1589)</f>
      </c>
      <c r="K1590" s="43">
        <f>IF($I1590=0,0,IF(INDEX(DarlOhneTilgung,4)=1,0,IF(AND(INDEX(DarlTilgStart,4)&gt;0,$E1590=INDEX(DarlTilgStart,4)),$J1590*($H1590+INDEX(DarlTilgung,4))/100/12,IF(AND($G1590=0,$G1589=1),MAX($K1589,$J1590*($H1590+1)/100/12),$K1589))))</f>
      </c>
      <c r="L1590" s="43">
        <f>IF($I1590=0,0,$J1590*$H1590/100/12)</f>
      </c>
      <c r="M1590" s="43">
        <f>IF($I1590=0,0,IF(OR(INDEX(DarlOhneTilgung,4)=1,AND(INDEX(DarlTilgStart,4)&gt;0,$E1590&lt;INDEX(DarlTilgStart,4))),0,MIN(MAX(0,$K1590-$L1590),$J1590)))</f>
      </c>
      <c r="N1590" s="43">
        <f>IF($I1590=0,0,MIN(SUMIFS(SondBetrag,SondDarl,4,SondDatum,"&gt;="&amp;$E1590,SondDatum,"&lt;="&amp;EOMONTH($E1590,0)),$J1590-$M1590))</f>
      </c>
      <c r="O1590" s="43">
        <f>IF($I1590=0,0,INDEX(DarlErsatzRate,4))</f>
      </c>
      <c r="P1590" s="43">
        <f>IF($I1590=0,0,$Q1589*INDEX(DarlErsatzZins,4))</f>
      </c>
      <c r="Q1590" s="43">
        <f>IF($I1590=0,0,$Q1589+$P1590+$O1590)</f>
      </c>
      <c r="R1590" s="43">
        <f>IF($I1590=0,0,$J1590-$M1590-$N1590)</f>
      </c>
    </row>
    <row r="1591">
      <c r="A1591"/>
      <c r="B1591">
        <v>4</v>
      </c>
      <c r="C1591" s="43">
        <f>INDEX(DarlObj,4)</f>
      </c>
      <c r="D1591">
        <v>148</v>
      </c>
      <c r="E1591" s="51">
        <f>IF(INDEX(DarlBelegt,4)=0,0,EOMONTH(INDEX(DarlAuszahlung,4),147)+1)</f>
      </c>
      <c r="F1591" s="43">
        <f>IF($E1591=0,0,YEAR($E1591))</f>
      </c>
      <c r="G1591" s="43">
        <f>IF(INDEX(DarlBindung,4)="",1,IF($E1591&lt;=INDEX(DarlBindung,4),1,0))</f>
      </c>
      <c r="H1591" s="43">
        <f>IF($G1591=1,INDEX(DarlSollzins,4),INDEX(DarlAnschluss,4))</f>
      </c>
      <c r="I1591" s="43">
        <f>IF(INDEX(DarlBelegt,4)=0,0,IF(INDEX(DarlOhneTilgung,4)=1,IF(INDEX(DarlBindung,4)="",1,$G1591),IF($J1591&gt;0.005,1,0)))</f>
      </c>
      <c r="J1591" s="43">
        <f>IF($I1590=0,0,$R1590)</f>
      </c>
      <c r="K1591" s="43">
        <f>IF($I1591=0,0,IF(INDEX(DarlOhneTilgung,4)=1,0,IF(AND(INDEX(DarlTilgStart,4)&gt;0,$E1591=INDEX(DarlTilgStart,4)),$J1591*($H1591+INDEX(DarlTilgung,4))/100/12,IF(AND($G1591=0,$G1590=1),MAX($K1590,$J1591*($H1591+1)/100/12),$K1590))))</f>
      </c>
      <c r="L1591" s="43">
        <f>IF($I1591=0,0,$J1591*$H1591/100/12)</f>
      </c>
      <c r="M1591" s="43">
        <f>IF($I1591=0,0,IF(OR(INDEX(DarlOhneTilgung,4)=1,AND(INDEX(DarlTilgStart,4)&gt;0,$E1591&lt;INDEX(DarlTilgStart,4))),0,MIN(MAX(0,$K1591-$L1591),$J1591)))</f>
      </c>
      <c r="N1591" s="43">
        <f>IF($I1591=0,0,MIN(SUMIFS(SondBetrag,SondDarl,4,SondDatum,"&gt;="&amp;$E1591,SondDatum,"&lt;="&amp;EOMONTH($E1591,0)),$J1591-$M1591))</f>
      </c>
      <c r="O1591" s="43">
        <f>IF($I1591=0,0,INDEX(DarlErsatzRate,4))</f>
      </c>
      <c r="P1591" s="43">
        <f>IF($I1591=0,0,$Q1590*INDEX(DarlErsatzZins,4))</f>
      </c>
      <c r="Q1591" s="43">
        <f>IF($I1591=0,0,$Q1590+$P1591+$O1591)</f>
      </c>
      <c r="R1591" s="43">
        <f>IF($I1591=0,0,$J1591-$M1591-$N1591)</f>
      </c>
    </row>
    <row r="1592">
      <c r="A1592"/>
      <c r="B1592">
        <v>4</v>
      </c>
      <c r="C1592" s="43">
        <f>INDEX(DarlObj,4)</f>
      </c>
      <c r="D1592">
        <v>149</v>
      </c>
      <c r="E1592" s="51">
        <f>IF(INDEX(DarlBelegt,4)=0,0,EOMONTH(INDEX(DarlAuszahlung,4),148)+1)</f>
      </c>
      <c r="F1592" s="43">
        <f>IF($E1592=0,0,YEAR($E1592))</f>
      </c>
      <c r="G1592" s="43">
        <f>IF(INDEX(DarlBindung,4)="",1,IF($E1592&lt;=INDEX(DarlBindung,4),1,0))</f>
      </c>
      <c r="H1592" s="43">
        <f>IF($G1592=1,INDEX(DarlSollzins,4),INDEX(DarlAnschluss,4))</f>
      </c>
      <c r="I1592" s="43">
        <f>IF(INDEX(DarlBelegt,4)=0,0,IF(INDEX(DarlOhneTilgung,4)=1,IF(INDEX(DarlBindung,4)="",1,$G1592),IF($J1592&gt;0.005,1,0)))</f>
      </c>
      <c r="J1592" s="43">
        <f>IF($I1591=0,0,$R1591)</f>
      </c>
      <c r="K1592" s="43">
        <f>IF($I1592=0,0,IF(INDEX(DarlOhneTilgung,4)=1,0,IF(AND(INDEX(DarlTilgStart,4)&gt;0,$E1592=INDEX(DarlTilgStart,4)),$J1592*($H1592+INDEX(DarlTilgung,4))/100/12,IF(AND($G1592=0,$G1591=1),MAX($K1591,$J1592*($H1592+1)/100/12),$K1591))))</f>
      </c>
      <c r="L1592" s="43">
        <f>IF($I1592=0,0,$J1592*$H1592/100/12)</f>
      </c>
      <c r="M1592" s="43">
        <f>IF($I1592=0,0,IF(OR(INDEX(DarlOhneTilgung,4)=1,AND(INDEX(DarlTilgStart,4)&gt;0,$E1592&lt;INDEX(DarlTilgStart,4))),0,MIN(MAX(0,$K1592-$L1592),$J1592)))</f>
      </c>
      <c r="N1592" s="43">
        <f>IF($I1592=0,0,MIN(SUMIFS(SondBetrag,SondDarl,4,SondDatum,"&gt;="&amp;$E1592,SondDatum,"&lt;="&amp;EOMONTH($E1592,0)),$J1592-$M1592))</f>
      </c>
      <c r="O1592" s="43">
        <f>IF($I1592=0,0,INDEX(DarlErsatzRate,4))</f>
      </c>
      <c r="P1592" s="43">
        <f>IF($I1592=0,0,$Q1591*INDEX(DarlErsatzZins,4))</f>
      </c>
      <c r="Q1592" s="43">
        <f>IF($I1592=0,0,$Q1591+$P1592+$O1592)</f>
      </c>
      <c r="R1592" s="43">
        <f>IF($I1592=0,0,$J1592-$M1592-$N1592)</f>
      </c>
    </row>
    <row r="1593">
      <c r="A1593"/>
      <c r="B1593">
        <v>4</v>
      </c>
      <c r="C1593" s="43">
        <f>INDEX(DarlObj,4)</f>
      </c>
      <c r="D1593">
        <v>150</v>
      </c>
      <c r="E1593" s="51">
        <f>IF(INDEX(DarlBelegt,4)=0,0,EOMONTH(INDEX(DarlAuszahlung,4),149)+1)</f>
      </c>
      <c r="F1593" s="43">
        <f>IF($E1593=0,0,YEAR($E1593))</f>
      </c>
      <c r="G1593" s="43">
        <f>IF(INDEX(DarlBindung,4)="",1,IF($E1593&lt;=INDEX(DarlBindung,4),1,0))</f>
      </c>
      <c r="H1593" s="43">
        <f>IF($G1593=1,INDEX(DarlSollzins,4),INDEX(DarlAnschluss,4))</f>
      </c>
      <c r="I1593" s="43">
        <f>IF(INDEX(DarlBelegt,4)=0,0,IF(INDEX(DarlOhneTilgung,4)=1,IF(INDEX(DarlBindung,4)="",1,$G1593),IF($J1593&gt;0.005,1,0)))</f>
      </c>
      <c r="J1593" s="43">
        <f>IF($I1592=0,0,$R1592)</f>
      </c>
      <c r="K1593" s="43">
        <f>IF($I1593=0,0,IF(INDEX(DarlOhneTilgung,4)=1,0,IF(AND(INDEX(DarlTilgStart,4)&gt;0,$E1593=INDEX(DarlTilgStart,4)),$J1593*($H1593+INDEX(DarlTilgung,4))/100/12,IF(AND($G1593=0,$G1592=1),MAX($K1592,$J1593*($H1593+1)/100/12),$K1592))))</f>
      </c>
      <c r="L1593" s="43">
        <f>IF($I1593=0,0,$J1593*$H1593/100/12)</f>
      </c>
      <c r="M1593" s="43">
        <f>IF($I1593=0,0,IF(OR(INDEX(DarlOhneTilgung,4)=1,AND(INDEX(DarlTilgStart,4)&gt;0,$E1593&lt;INDEX(DarlTilgStart,4))),0,MIN(MAX(0,$K1593-$L1593),$J1593)))</f>
      </c>
      <c r="N1593" s="43">
        <f>IF($I1593=0,0,MIN(SUMIFS(SondBetrag,SondDarl,4,SondDatum,"&gt;="&amp;$E1593,SondDatum,"&lt;="&amp;EOMONTH($E1593,0)),$J1593-$M1593))</f>
      </c>
      <c r="O1593" s="43">
        <f>IF($I1593=0,0,INDEX(DarlErsatzRate,4))</f>
      </c>
      <c r="P1593" s="43">
        <f>IF($I1593=0,0,$Q1592*INDEX(DarlErsatzZins,4))</f>
      </c>
      <c r="Q1593" s="43">
        <f>IF($I1593=0,0,$Q1592+$P1593+$O1593)</f>
      </c>
      <c r="R1593" s="43">
        <f>IF($I1593=0,0,$J1593-$M1593-$N1593)</f>
      </c>
    </row>
    <row r="1594">
      <c r="A1594"/>
      <c r="B1594">
        <v>4</v>
      </c>
      <c r="C1594" s="43">
        <f>INDEX(DarlObj,4)</f>
      </c>
      <c r="D1594">
        <v>151</v>
      </c>
      <c r="E1594" s="51">
        <f>IF(INDEX(DarlBelegt,4)=0,0,EOMONTH(INDEX(DarlAuszahlung,4),150)+1)</f>
      </c>
      <c r="F1594" s="43">
        <f>IF($E1594=0,0,YEAR($E1594))</f>
      </c>
      <c r="G1594" s="43">
        <f>IF(INDEX(DarlBindung,4)="",1,IF($E1594&lt;=INDEX(DarlBindung,4),1,0))</f>
      </c>
      <c r="H1594" s="43">
        <f>IF($G1594=1,INDEX(DarlSollzins,4),INDEX(DarlAnschluss,4))</f>
      </c>
      <c r="I1594" s="43">
        <f>IF(INDEX(DarlBelegt,4)=0,0,IF(INDEX(DarlOhneTilgung,4)=1,IF(INDEX(DarlBindung,4)="",1,$G1594),IF($J1594&gt;0.005,1,0)))</f>
      </c>
      <c r="J1594" s="43">
        <f>IF($I1593=0,0,$R1593)</f>
      </c>
      <c r="K1594" s="43">
        <f>IF($I1594=0,0,IF(INDEX(DarlOhneTilgung,4)=1,0,IF(AND(INDEX(DarlTilgStart,4)&gt;0,$E1594=INDEX(DarlTilgStart,4)),$J1594*($H1594+INDEX(DarlTilgung,4))/100/12,IF(AND($G1594=0,$G1593=1),MAX($K1593,$J1594*($H1594+1)/100/12),$K1593))))</f>
      </c>
      <c r="L1594" s="43">
        <f>IF($I1594=0,0,$J1594*$H1594/100/12)</f>
      </c>
      <c r="M1594" s="43">
        <f>IF($I1594=0,0,IF(OR(INDEX(DarlOhneTilgung,4)=1,AND(INDEX(DarlTilgStart,4)&gt;0,$E1594&lt;INDEX(DarlTilgStart,4))),0,MIN(MAX(0,$K1594-$L1594),$J1594)))</f>
      </c>
      <c r="N1594" s="43">
        <f>IF($I1594=0,0,MIN(SUMIFS(SondBetrag,SondDarl,4,SondDatum,"&gt;="&amp;$E1594,SondDatum,"&lt;="&amp;EOMONTH($E1594,0)),$J1594-$M1594))</f>
      </c>
      <c r="O1594" s="43">
        <f>IF($I1594=0,0,INDEX(DarlErsatzRate,4))</f>
      </c>
      <c r="P1594" s="43">
        <f>IF($I1594=0,0,$Q1593*INDEX(DarlErsatzZins,4))</f>
      </c>
      <c r="Q1594" s="43">
        <f>IF($I1594=0,0,$Q1593+$P1594+$O1594)</f>
      </c>
      <c r="R1594" s="43">
        <f>IF($I1594=0,0,$J1594-$M1594-$N1594)</f>
      </c>
    </row>
    <row r="1595">
      <c r="A1595"/>
      <c r="B1595">
        <v>4</v>
      </c>
      <c r="C1595" s="43">
        <f>INDEX(DarlObj,4)</f>
      </c>
      <c r="D1595">
        <v>152</v>
      </c>
      <c r="E1595" s="51">
        <f>IF(INDEX(DarlBelegt,4)=0,0,EOMONTH(INDEX(DarlAuszahlung,4),151)+1)</f>
      </c>
      <c r="F1595" s="43">
        <f>IF($E1595=0,0,YEAR($E1595))</f>
      </c>
      <c r="G1595" s="43">
        <f>IF(INDEX(DarlBindung,4)="",1,IF($E1595&lt;=INDEX(DarlBindung,4),1,0))</f>
      </c>
      <c r="H1595" s="43">
        <f>IF($G1595=1,INDEX(DarlSollzins,4),INDEX(DarlAnschluss,4))</f>
      </c>
      <c r="I1595" s="43">
        <f>IF(INDEX(DarlBelegt,4)=0,0,IF(INDEX(DarlOhneTilgung,4)=1,IF(INDEX(DarlBindung,4)="",1,$G1595),IF($J1595&gt;0.005,1,0)))</f>
      </c>
      <c r="J1595" s="43">
        <f>IF($I1594=0,0,$R1594)</f>
      </c>
      <c r="K1595" s="43">
        <f>IF($I1595=0,0,IF(INDEX(DarlOhneTilgung,4)=1,0,IF(AND(INDEX(DarlTilgStart,4)&gt;0,$E1595=INDEX(DarlTilgStart,4)),$J1595*($H1595+INDEX(DarlTilgung,4))/100/12,IF(AND($G1595=0,$G1594=1),MAX($K1594,$J1595*($H1595+1)/100/12),$K1594))))</f>
      </c>
      <c r="L1595" s="43">
        <f>IF($I1595=0,0,$J1595*$H1595/100/12)</f>
      </c>
      <c r="M1595" s="43">
        <f>IF($I1595=0,0,IF(OR(INDEX(DarlOhneTilgung,4)=1,AND(INDEX(DarlTilgStart,4)&gt;0,$E1595&lt;INDEX(DarlTilgStart,4))),0,MIN(MAX(0,$K1595-$L1595),$J1595)))</f>
      </c>
      <c r="N1595" s="43">
        <f>IF($I1595=0,0,MIN(SUMIFS(SondBetrag,SondDarl,4,SondDatum,"&gt;="&amp;$E1595,SondDatum,"&lt;="&amp;EOMONTH($E1595,0)),$J1595-$M1595))</f>
      </c>
      <c r="O1595" s="43">
        <f>IF($I1595=0,0,INDEX(DarlErsatzRate,4))</f>
      </c>
      <c r="P1595" s="43">
        <f>IF($I1595=0,0,$Q1594*INDEX(DarlErsatzZins,4))</f>
      </c>
      <c r="Q1595" s="43">
        <f>IF($I1595=0,0,$Q1594+$P1595+$O1595)</f>
      </c>
      <c r="R1595" s="43">
        <f>IF($I1595=0,0,$J1595-$M1595-$N1595)</f>
      </c>
    </row>
    <row r="1596">
      <c r="A1596"/>
      <c r="B1596">
        <v>4</v>
      </c>
      <c r="C1596" s="43">
        <f>INDEX(DarlObj,4)</f>
      </c>
      <c r="D1596">
        <v>153</v>
      </c>
      <c r="E1596" s="51">
        <f>IF(INDEX(DarlBelegt,4)=0,0,EOMONTH(INDEX(DarlAuszahlung,4),152)+1)</f>
      </c>
      <c r="F1596" s="43">
        <f>IF($E1596=0,0,YEAR($E1596))</f>
      </c>
      <c r="G1596" s="43">
        <f>IF(INDEX(DarlBindung,4)="",1,IF($E1596&lt;=INDEX(DarlBindung,4),1,0))</f>
      </c>
      <c r="H1596" s="43">
        <f>IF($G1596=1,INDEX(DarlSollzins,4),INDEX(DarlAnschluss,4))</f>
      </c>
      <c r="I1596" s="43">
        <f>IF(INDEX(DarlBelegt,4)=0,0,IF(INDEX(DarlOhneTilgung,4)=1,IF(INDEX(DarlBindung,4)="",1,$G1596),IF($J1596&gt;0.005,1,0)))</f>
      </c>
      <c r="J1596" s="43">
        <f>IF($I1595=0,0,$R1595)</f>
      </c>
      <c r="K1596" s="43">
        <f>IF($I1596=0,0,IF(INDEX(DarlOhneTilgung,4)=1,0,IF(AND(INDEX(DarlTilgStart,4)&gt;0,$E1596=INDEX(DarlTilgStart,4)),$J1596*($H1596+INDEX(DarlTilgung,4))/100/12,IF(AND($G1596=0,$G1595=1),MAX($K1595,$J1596*($H1596+1)/100/12),$K1595))))</f>
      </c>
      <c r="L1596" s="43">
        <f>IF($I1596=0,0,$J1596*$H1596/100/12)</f>
      </c>
      <c r="M1596" s="43">
        <f>IF($I1596=0,0,IF(OR(INDEX(DarlOhneTilgung,4)=1,AND(INDEX(DarlTilgStart,4)&gt;0,$E1596&lt;INDEX(DarlTilgStart,4))),0,MIN(MAX(0,$K1596-$L1596),$J1596)))</f>
      </c>
      <c r="N1596" s="43">
        <f>IF($I1596=0,0,MIN(SUMIFS(SondBetrag,SondDarl,4,SondDatum,"&gt;="&amp;$E1596,SondDatum,"&lt;="&amp;EOMONTH($E1596,0)),$J1596-$M1596))</f>
      </c>
      <c r="O1596" s="43">
        <f>IF($I1596=0,0,INDEX(DarlErsatzRate,4))</f>
      </c>
      <c r="P1596" s="43">
        <f>IF($I1596=0,0,$Q1595*INDEX(DarlErsatzZins,4))</f>
      </c>
      <c r="Q1596" s="43">
        <f>IF($I1596=0,0,$Q1595+$P1596+$O1596)</f>
      </c>
      <c r="R1596" s="43">
        <f>IF($I1596=0,0,$J1596-$M1596-$N1596)</f>
      </c>
    </row>
    <row r="1597">
      <c r="A1597"/>
      <c r="B1597">
        <v>4</v>
      </c>
      <c r="C1597" s="43">
        <f>INDEX(DarlObj,4)</f>
      </c>
      <c r="D1597">
        <v>154</v>
      </c>
      <c r="E1597" s="51">
        <f>IF(INDEX(DarlBelegt,4)=0,0,EOMONTH(INDEX(DarlAuszahlung,4),153)+1)</f>
      </c>
      <c r="F1597" s="43">
        <f>IF($E1597=0,0,YEAR($E1597))</f>
      </c>
      <c r="G1597" s="43">
        <f>IF(INDEX(DarlBindung,4)="",1,IF($E1597&lt;=INDEX(DarlBindung,4),1,0))</f>
      </c>
      <c r="H1597" s="43">
        <f>IF($G1597=1,INDEX(DarlSollzins,4),INDEX(DarlAnschluss,4))</f>
      </c>
      <c r="I1597" s="43">
        <f>IF(INDEX(DarlBelegt,4)=0,0,IF(INDEX(DarlOhneTilgung,4)=1,IF(INDEX(DarlBindung,4)="",1,$G1597),IF($J1597&gt;0.005,1,0)))</f>
      </c>
      <c r="J1597" s="43">
        <f>IF($I1596=0,0,$R1596)</f>
      </c>
      <c r="K1597" s="43">
        <f>IF($I1597=0,0,IF(INDEX(DarlOhneTilgung,4)=1,0,IF(AND(INDEX(DarlTilgStart,4)&gt;0,$E1597=INDEX(DarlTilgStart,4)),$J1597*($H1597+INDEX(DarlTilgung,4))/100/12,IF(AND($G1597=0,$G1596=1),MAX($K1596,$J1597*($H1597+1)/100/12),$K1596))))</f>
      </c>
      <c r="L1597" s="43">
        <f>IF($I1597=0,0,$J1597*$H1597/100/12)</f>
      </c>
      <c r="M1597" s="43">
        <f>IF($I1597=0,0,IF(OR(INDEX(DarlOhneTilgung,4)=1,AND(INDEX(DarlTilgStart,4)&gt;0,$E1597&lt;INDEX(DarlTilgStart,4))),0,MIN(MAX(0,$K1597-$L1597),$J1597)))</f>
      </c>
      <c r="N1597" s="43">
        <f>IF($I1597=0,0,MIN(SUMIFS(SondBetrag,SondDarl,4,SondDatum,"&gt;="&amp;$E1597,SondDatum,"&lt;="&amp;EOMONTH($E1597,0)),$J1597-$M1597))</f>
      </c>
      <c r="O1597" s="43">
        <f>IF($I1597=0,0,INDEX(DarlErsatzRate,4))</f>
      </c>
      <c r="P1597" s="43">
        <f>IF($I1597=0,0,$Q1596*INDEX(DarlErsatzZins,4))</f>
      </c>
      <c r="Q1597" s="43">
        <f>IF($I1597=0,0,$Q1596+$P1597+$O1597)</f>
      </c>
      <c r="R1597" s="43">
        <f>IF($I1597=0,0,$J1597-$M1597-$N1597)</f>
      </c>
    </row>
    <row r="1598">
      <c r="A1598"/>
      <c r="B1598">
        <v>4</v>
      </c>
      <c r="C1598" s="43">
        <f>INDEX(DarlObj,4)</f>
      </c>
      <c r="D1598">
        <v>155</v>
      </c>
      <c r="E1598" s="51">
        <f>IF(INDEX(DarlBelegt,4)=0,0,EOMONTH(INDEX(DarlAuszahlung,4),154)+1)</f>
      </c>
      <c r="F1598" s="43">
        <f>IF($E1598=0,0,YEAR($E1598))</f>
      </c>
      <c r="G1598" s="43">
        <f>IF(INDEX(DarlBindung,4)="",1,IF($E1598&lt;=INDEX(DarlBindung,4),1,0))</f>
      </c>
      <c r="H1598" s="43">
        <f>IF($G1598=1,INDEX(DarlSollzins,4),INDEX(DarlAnschluss,4))</f>
      </c>
      <c r="I1598" s="43">
        <f>IF(INDEX(DarlBelegt,4)=0,0,IF(INDEX(DarlOhneTilgung,4)=1,IF(INDEX(DarlBindung,4)="",1,$G1598),IF($J1598&gt;0.005,1,0)))</f>
      </c>
      <c r="J1598" s="43">
        <f>IF($I1597=0,0,$R1597)</f>
      </c>
      <c r="K1598" s="43">
        <f>IF($I1598=0,0,IF(INDEX(DarlOhneTilgung,4)=1,0,IF(AND(INDEX(DarlTilgStart,4)&gt;0,$E1598=INDEX(DarlTilgStart,4)),$J1598*($H1598+INDEX(DarlTilgung,4))/100/12,IF(AND($G1598=0,$G1597=1),MAX($K1597,$J1598*($H1598+1)/100/12),$K1597))))</f>
      </c>
      <c r="L1598" s="43">
        <f>IF($I1598=0,0,$J1598*$H1598/100/12)</f>
      </c>
      <c r="M1598" s="43">
        <f>IF($I1598=0,0,IF(OR(INDEX(DarlOhneTilgung,4)=1,AND(INDEX(DarlTilgStart,4)&gt;0,$E1598&lt;INDEX(DarlTilgStart,4))),0,MIN(MAX(0,$K1598-$L1598),$J1598)))</f>
      </c>
      <c r="N1598" s="43">
        <f>IF($I1598=0,0,MIN(SUMIFS(SondBetrag,SondDarl,4,SondDatum,"&gt;="&amp;$E1598,SondDatum,"&lt;="&amp;EOMONTH($E1598,0)),$J1598-$M1598))</f>
      </c>
      <c r="O1598" s="43">
        <f>IF($I1598=0,0,INDEX(DarlErsatzRate,4))</f>
      </c>
      <c r="P1598" s="43">
        <f>IF($I1598=0,0,$Q1597*INDEX(DarlErsatzZins,4))</f>
      </c>
      <c r="Q1598" s="43">
        <f>IF($I1598=0,0,$Q1597+$P1598+$O1598)</f>
      </c>
      <c r="R1598" s="43">
        <f>IF($I1598=0,0,$J1598-$M1598-$N1598)</f>
      </c>
    </row>
    <row r="1599">
      <c r="A1599"/>
      <c r="B1599">
        <v>4</v>
      </c>
      <c r="C1599" s="43">
        <f>INDEX(DarlObj,4)</f>
      </c>
      <c r="D1599">
        <v>156</v>
      </c>
      <c r="E1599" s="51">
        <f>IF(INDEX(DarlBelegt,4)=0,0,EOMONTH(INDEX(DarlAuszahlung,4),155)+1)</f>
      </c>
      <c r="F1599" s="43">
        <f>IF($E1599=0,0,YEAR($E1599))</f>
      </c>
      <c r="G1599" s="43">
        <f>IF(INDEX(DarlBindung,4)="",1,IF($E1599&lt;=INDEX(DarlBindung,4),1,0))</f>
      </c>
      <c r="H1599" s="43">
        <f>IF($G1599=1,INDEX(DarlSollzins,4),INDEX(DarlAnschluss,4))</f>
      </c>
      <c r="I1599" s="43">
        <f>IF(INDEX(DarlBelegt,4)=0,0,IF(INDEX(DarlOhneTilgung,4)=1,IF(INDEX(DarlBindung,4)="",1,$G1599),IF($J1599&gt;0.005,1,0)))</f>
      </c>
      <c r="J1599" s="43">
        <f>IF($I1598=0,0,$R1598)</f>
      </c>
      <c r="K1599" s="43">
        <f>IF($I1599=0,0,IF(INDEX(DarlOhneTilgung,4)=1,0,IF(AND(INDEX(DarlTilgStart,4)&gt;0,$E1599=INDEX(DarlTilgStart,4)),$J1599*($H1599+INDEX(DarlTilgung,4))/100/12,IF(AND($G1599=0,$G1598=1),MAX($K1598,$J1599*($H1599+1)/100/12),$K1598))))</f>
      </c>
      <c r="L1599" s="43">
        <f>IF($I1599=0,0,$J1599*$H1599/100/12)</f>
      </c>
      <c r="M1599" s="43">
        <f>IF($I1599=0,0,IF(OR(INDEX(DarlOhneTilgung,4)=1,AND(INDEX(DarlTilgStart,4)&gt;0,$E1599&lt;INDEX(DarlTilgStart,4))),0,MIN(MAX(0,$K1599-$L1599),$J1599)))</f>
      </c>
      <c r="N1599" s="43">
        <f>IF($I1599=0,0,MIN(SUMIFS(SondBetrag,SondDarl,4,SondDatum,"&gt;="&amp;$E1599,SondDatum,"&lt;="&amp;EOMONTH($E1599,0)),$J1599-$M1599))</f>
      </c>
      <c r="O1599" s="43">
        <f>IF($I1599=0,0,INDEX(DarlErsatzRate,4))</f>
      </c>
      <c r="P1599" s="43">
        <f>IF($I1599=0,0,$Q1598*INDEX(DarlErsatzZins,4))</f>
      </c>
      <c r="Q1599" s="43">
        <f>IF($I1599=0,0,$Q1598+$P1599+$O1599)</f>
      </c>
      <c r="R1599" s="43">
        <f>IF($I1599=0,0,$J1599-$M1599-$N1599)</f>
      </c>
    </row>
    <row r="1600">
      <c r="A1600"/>
      <c r="B1600">
        <v>4</v>
      </c>
      <c r="C1600" s="43">
        <f>INDEX(DarlObj,4)</f>
      </c>
      <c r="D1600">
        <v>157</v>
      </c>
      <c r="E1600" s="51">
        <f>IF(INDEX(DarlBelegt,4)=0,0,EOMONTH(INDEX(DarlAuszahlung,4),156)+1)</f>
      </c>
      <c r="F1600" s="43">
        <f>IF($E1600=0,0,YEAR($E1600))</f>
      </c>
      <c r="G1600" s="43">
        <f>IF(INDEX(DarlBindung,4)="",1,IF($E1600&lt;=INDEX(DarlBindung,4),1,0))</f>
      </c>
      <c r="H1600" s="43">
        <f>IF($G1600=1,INDEX(DarlSollzins,4),INDEX(DarlAnschluss,4))</f>
      </c>
      <c r="I1600" s="43">
        <f>IF(INDEX(DarlBelegt,4)=0,0,IF(INDEX(DarlOhneTilgung,4)=1,IF(INDEX(DarlBindung,4)="",1,$G1600),IF($J1600&gt;0.005,1,0)))</f>
      </c>
      <c r="J1600" s="43">
        <f>IF($I1599=0,0,$R1599)</f>
      </c>
      <c r="K1600" s="43">
        <f>IF($I1600=0,0,IF(INDEX(DarlOhneTilgung,4)=1,0,IF(AND(INDEX(DarlTilgStart,4)&gt;0,$E1600=INDEX(DarlTilgStart,4)),$J1600*($H1600+INDEX(DarlTilgung,4))/100/12,IF(AND($G1600=0,$G1599=1),MAX($K1599,$J1600*($H1600+1)/100/12),$K1599))))</f>
      </c>
      <c r="L1600" s="43">
        <f>IF($I1600=0,0,$J1600*$H1600/100/12)</f>
      </c>
      <c r="M1600" s="43">
        <f>IF($I1600=0,0,IF(OR(INDEX(DarlOhneTilgung,4)=1,AND(INDEX(DarlTilgStart,4)&gt;0,$E1600&lt;INDEX(DarlTilgStart,4))),0,MIN(MAX(0,$K1600-$L1600),$J1600)))</f>
      </c>
      <c r="N1600" s="43">
        <f>IF($I1600=0,0,MIN(SUMIFS(SondBetrag,SondDarl,4,SondDatum,"&gt;="&amp;$E1600,SondDatum,"&lt;="&amp;EOMONTH($E1600,0)),$J1600-$M1600))</f>
      </c>
      <c r="O1600" s="43">
        <f>IF($I1600=0,0,INDEX(DarlErsatzRate,4))</f>
      </c>
      <c r="P1600" s="43">
        <f>IF($I1600=0,0,$Q1599*INDEX(DarlErsatzZins,4))</f>
      </c>
      <c r="Q1600" s="43">
        <f>IF($I1600=0,0,$Q1599+$P1600+$O1600)</f>
      </c>
      <c r="R1600" s="43">
        <f>IF($I1600=0,0,$J1600-$M1600-$N1600)</f>
      </c>
    </row>
    <row r="1601">
      <c r="A1601"/>
      <c r="B1601">
        <v>4</v>
      </c>
      <c r="C1601" s="43">
        <f>INDEX(DarlObj,4)</f>
      </c>
      <c r="D1601">
        <v>158</v>
      </c>
      <c r="E1601" s="51">
        <f>IF(INDEX(DarlBelegt,4)=0,0,EOMONTH(INDEX(DarlAuszahlung,4),157)+1)</f>
      </c>
      <c r="F1601" s="43">
        <f>IF($E1601=0,0,YEAR($E1601))</f>
      </c>
      <c r="G1601" s="43">
        <f>IF(INDEX(DarlBindung,4)="",1,IF($E1601&lt;=INDEX(DarlBindung,4),1,0))</f>
      </c>
      <c r="H1601" s="43">
        <f>IF($G1601=1,INDEX(DarlSollzins,4),INDEX(DarlAnschluss,4))</f>
      </c>
      <c r="I1601" s="43">
        <f>IF(INDEX(DarlBelegt,4)=0,0,IF(INDEX(DarlOhneTilgung,4)=1,IF(INDEX(DarlBindung,4)="",1,$G1601),IF($J1601&gt;0.005,1,0)))</f>
      </c>
      <c r="J1601" s="43">
        <f>IF($I1600=0,0,$R1600)</f>
      </c>
      <c r="K1601" s="43">
        <f>IF($I1601=0,0,IF(INDEX(DarlOhneTilgung,4)=1,0,IF(AND(INDEX(DarlTilgStart,4)&gt;0,$E1601=INDEX(DarlTilgStart,4)),$J1601*($H1601+INDEX(DarlTilgung,4))/100/12,IF(AND($G1601=0,$G1600=1),MAX($K1600,$J1601*($H1601+1)/100/12),$K1600))))</f>
      </c>
      <c r="L1601" s="43">
        <f>IF($I1601=0,0,$J1601*$H1601/100/12)</f>
      </c>
      <c r="M1601" s="43">
        <f>IF($I1601=0,0,IF(OR(INDEX(DarlOhneTilgung,4)=1,AND(INDEX(DarlTilgStart,4)&gt;0,$E1601&lt;INDEX(DarlTilgStart,4))),0,MIN(MAX(0,$K1601-$L1601),$J1601)))</f>
      </c>
      <c r="N1601" s="43">
        <f>IF($I1601=0,0,MIN(SUMIFS(SondBetrag,SondDarl,4,SondDatum,"&gt;="&amp;$E1601,SondDatum,"&lt;="&amp;EOMONTH($E1601,0)),$J1601-$M1601))</f>
      </c>
      <c r="O1601" s="43">
        <f>IF($I1601=0,0,INDEX(DarlErsatzRate,4))</f>
      </c>
      <c r="P1601" s="43">
        <f>IF($I1601=0,0,$Q1600*INDEX(DarlErsatzZins,4))</f>
      </c>
      <c r="Q1601" s="43">
        <f>IF($I1601=0,0,$Q1600+$P1601+$O1601)</f>
      </c>
      <c r="R1601" s="43">
        <f>IF($I1601=0,0,$J1601-$M1601-$N1601)</f>
      </c>
    </row>
    <row r="1602">
      <c r="A1602"/>
      <c r="B1602">
        <v>4</v>
      </c>
      <c r="C1602" s="43">
        <f>INDEX(DarlObj,4)</f>
      </c>
      <c r="D1602">
        <v>159</v>
      </c>
      <c r="E1602" s="51">
        <f>IF(INDEX(DarlBelegt,4)=0,0,EOMONTH(INDEX(DarlAuszahlung,4),158)+1)</f>
      </c>
      <c r="F1602" s="43">
        <f>IF($E1602=0,0,YEAR($E1602))</f>
      </c>
      <c r="G1602" s="43">
        <f>IF(INDEX(DarlBindung,4)="",1,IF($E1602&lt;=INDEX(DarlBindung,4),1,0))</f>
      </c>
      <c r="H1602" s="43">
        <f>IF($G1602=1,INDEX(DarlSollzins,4),INDEX(DarlAnschluss,4))</f>
      </c>
      <c r="I1602" s="43">
        <f>IF(INDEX(DarlBelegt,4)=0,0,IF(INDEX(DarlOhneTilgung,4)=1,IF(INDEX(DarlBindung,4)="",1,$G1602),IF($J1602&gt;0.005,1,0)))</f>
      </c>
      <c r="J1602" s="43">
        <f>IF($I1601=0,0,$R1601)</f>
      </c>
      <c r="K1602" s="43">
        <f>IF($I1602=0,0,IF(INDEX(DarlOhneTilgung,4)=1,0,IF(AND(INDEX(DarlTilgStart,4)&gt;0,$E1602=INDEX(DarlTilgStart,4)),$J1602*($H1602+INDEX(DarlTilgung,4))/100/12,IF(AND($G1602=0,$G1601=1),MAX($K1601,$J1602*($H1602+1)/100/12),$K1601))))</f>
      </c>
      <c r="L1602" s="43">
        <f>IF($I1602=0,0,$J1602*$H1602/100/12)</f>
      </c>
      <c r="M1602" s="43">
        <f>IF($I1602=0,0,IF(OR(INDEX(DarlOhneTilgung,4)=1,AND(INDEX(DarlTilgStart,4)&gt;0,$E1602&lt;INDEX(DarlTilgStart,4))),0,MIN(MAX(0,$K1602-$L1602),$J1602)))</f>
      </c>
      <c r="N1602" s="43">
        <f>IF($I1602=0,0,MIN(SUMIFS(SondBetrag,SondDarl,4,SondDatum,"&gt;="&amp;$E1602,SondDatum,"&lt;="&amp;EOMONTH($E1602,0)),$J1602-$M1602))</f>
      </c>
      <c r="O1602" s="43">
        <f>IF($I1602=0,0,INDEX(DarlErsatzRate,4))</f>
      </c>
      <c r="P1602" s="43">
        <f>IF($I1602=0,0,$Q1601*INDEX(DarlErsatzZins,4))</f>
      </c>
      <c r="Q1602" s="43">
        <f>IF($I1602=0,0,$Q1601+$P1602+$O1602)</f>
      </c>
      <c r="R1602" s="43">
        <f>IF($I1602=0,0,$J1602-$M1602-$N1602)</f>
      </c>
    </row>
    <row r="1603">
      <c r="A1603"/>
      <c r="B1603">
        <v>4</v>
      </c>
      <c r="C1603" s="43">
        <f>INDEX(DarlObj,4)</f>
      </c>
      <c r="D1603">
        <v>160</v>
      </c>
      <c r="E1603" s="51">
        <f>IF(INDEX(DarlBelegt,4)=0,0,EOMONTH(INDEX(DarlAuszahlung,4),159)+1)</f>
      </c>
      <c r="F1603" s="43">
        <f>IF($E1603=0,0,YEAR($E1603))</f>
      </c>
      <c r="G1603" s="43">
        <f>IF(INDEX(DarlBindung,4)="",1,IF($E1603&lt;=INDEX(DarlBindung,4),1,0))</f>
      </c>
      <c r="H1603" s="43">
        <f>IF($G1603=1,INDEX(DarlSollzins,4),INDEX(DarlAnschluss,4))</f>
      </c>
      <c r="I1603" s="43">
        <f>IF(INDEX(DarlBelegt,4)=0,0,IF(INDEX(DarlOhneTilgung,4)=1,IF(INDEX(DarlBindung,4)="",1,$G1603),IF($J1603&gt;0.005,1,0)))</f>
      </c>
      <c r="J1603" s="43">
        <f>IF($I1602=0,0,$R1602)</f>
      </c>
      <c r="K1603" s="43">
        <f>IF($I1603=0,0,IF(INDEX(DarlOhneTilgung,4)=1,0,IF(AND(INDEX(DarlTilgStart,4)&gt;0,$E1603=INDEX(DarlTilgStart,4)),$J1603*($H1603+INDEX(DarlTilgung,4))/100/12,IF(AND($G1603=0,$G1602=1),MAX($K1602,$J1603*($H1603+1)/100/12),$K1602))))</f>
      </c>
      <c r="L1603" s="43">
        <f>IF($I1603=0,0,$J1603*$H1603/100/12)</f>
      </c>
      <c r="M1603" s="43">
        <f>IF($I1603=0,0,IF(OR(INDEX(DarlOhneTilgung,4)=1,AND(INDEX(DarlTilgStart,4)&gt;0,$E1603&lt;INDEX(DarlTilgStart,4))),0,MIN(MAX(0,$K1603-$L1603),$J1603)))</f>
      </c>
      <c r="N1603" s="43">
        <f>IF($I1603=0,0,MIN(SUMIFS(SondBetrag,SondDarl,4,SondDatum,"&gt;="&amp;$E1603,SondDatum,"&lt;="&amp;EOMONTH($E1603,0)),$J1603-$M1603))</f>
      </c>
      <c r="O1603" s="43">
        <f>IF($I1603=0,0,INDEX(DarlErsatzRate,4))</f>
      </c>
      <c r="P1603" s="43">
        <f>IF($I1603=0,0,$Q1602*INDEX(DarlErsatzZins,4))</f>
      </c>
      <c r="Q1603" s="43">
        <f>IF($I1603=0,0,$Q1602+$P1603+$O1603)</f>
      </c>
      <c r="R1603" s="43">
        <f>IF($I1603=0,0,$J1603-$M1603-$N1603)</f>
      </c>
    </row>
    <row r="1604">
      <c r="A1604"/>
      <c r="B1604">
        <v>4</v>
      </c>
      <c r="C1604" s="43">
        <f>INDEX(DarlObj,4)</f>
      </c>
      <c r="D1604">
        <v>161</v>
      </c>
      <c r="E1604" s="51">
        <f>IF(INDEX(DarlBelegt,4)=0,0,EOMONTH(INDEX(DarlAuszahlung,4),160)+1)</f>
      </c>
      <c r="F1604" s="43">
        <f>IF($E1604=0,0,YEAR($E1604))</f>
      </c>
      <c r="G1604" s="43">
        <f>IF(INDEX(DarlBindung,4)="",1,IF($E1604&lt;=INDEX(DarlBindung,4),1,0))</f>
      </c>
      <c r="H1604" s="43">
        <f>IF($G1604=1,INDEX(DarlSollzins,4),INDEX(DarlAnschluss,4))</f>
      </c>
      <c r="I1604" s="43">
        <f>IF(INDEX(DarlBelegt,4)=0,0,IF(INDEX(DarlOhneTilgung,4)=1,IF(INDEX(DarlBindung,4)="",1,$G1604),IF($J1604&gt;0.005,1,0)))</f>
      </c>
      <c r="J1604" s="43">
        <f>IF($I1603=0,0,$R1603)</f>
      </c>
      <c r="K1604" s="43">
        <f>IF($I1604=0,0,IF(INDEX(DarlOhneTilgung,4)=1,0,IF(AND(INDEX(DarlTilgStart,4)&gt;0,$E1604=INDEX(DarlTilgStart,4)),$J1604*($H1604+INDEX(DarlTilgung,4))/100/12,IF(AND($G1604=0,$G1603=1),MAX($K1603,$J1604*($H1604+1)/100/12),$K1603))))</f>
      </c>
      <c r="L1604" s="43">
        <f>IF($I1604=0,0,$J1604*$H1604/100/12)</f>
      </c>
      <c r="M1604" s="43">
        <f>IF($I1604=0,0,IF(OR(INDEX(DarlOhneTilgung,4)=1,AND(INDEX(DarlTilgStart,4)&gt;0,$E1604&lt;INDEX(DarlTilgStart,4))),0,MIN(MAX(0,$K1604-$L1604),$J1604)))</f>
      </c>
      <c r="N1604" s="43">
        <f>IF($I1604=0,0,MIN(SUMIFS(SondBetrag,SondDarl,4,SondDatum,"&gt;="&amp;$E1604,SondDatum,"&lt;="&amp;EOMONTH($E1604,0)),$J1604-$M1604))</f>
      </c>
      <c r="O1604" s="43">
        <f>IF($I1604=0,0,INDEX(DarlErsatzRate,4))</f>
      </c>
      <c r="P1604" s="43">
        <f>IF($I1604=0,0,$Q1603*INDEX(DarlErsatzZins,4))</f>
      </c>
      <c r="Q1604" s="43">
        <f>IF($I1604=0,0,$Q1603+$P1604+$O1604)</f>
      </c>
      <c r="R1604" s="43">
        <f>IF($I1604=0,0,$J1604-$M1604-$N1604)</f>
      </c>
    </row>
    <row r="1605">
      <c r="A1605"/>
      <c r="B1605">
        <v>4</v>
      </c>
      <c r="C1605" s="43">
        <f>INDEX(DarlObj,4)</f>
      </c>
      <c r="D1605">
        <v>162</v>
      </c>
      <c r="E1605" s="51">
        <f>IF(INDEX(DarlBelegt,4)=0,0,EOMONTH(INDEX(DarlAuszahlung,4),161)+1)</f>
      </c>
      <c r="F1605" s="43">
        <f>IF($E1605=0,0,YEAR($E1605))</f>
      </c>
      <c r="G1605" s="43">
        <f>IF(INDEX(DarlBindung,4)="",1,IF($E1605&lt;=INDEX(DarlBindung,4),1,0))</f>
      </c>
      <c r="H1605" s="43">
        <f>IF($G1605=1,INDEX(DarlSollzins,4),INDEX(DarlAnschluss,4))</f>
      </c>
      <c r="I1605" s="43">
        <f>IF(INDEX(DarlBelegt,4)=0,0,IF(INDEX(DarlOhneTilgung,4)=1,IF(INDEX(DarlBindung,4)="",1,$G1605),IF($J1605&gt;0.005,1,0)))</f>
      </c>
      <c r="J1605" s="43">
        <f>IF($I1604=0,0,$R1604)</f>
      </c>
      <c r="K1605" s="43">
        <f>IF($I1605=0,0,IF(INDEX(DarlOhneTilgung,4)=1,0,IF(AND(INDEX(DarlTilgStart,4)&gt;0,$E1605=INDEX(DarlTilgStart,4)),$J1605*($H1605+INDEX(DarlTilgung,4))/100/12,IF(AND($G1605=0,$G1604=1),MAX($K1604,$J1605*($H1605+1)/100/12),$K1604))))</f>
      </c>
      <c r="L1605" s="43">
        <f>IF($I1605=0,0,$J1605*$H1605/100/12)</f>
      </c>
      <c r="M1605" s="43">
        <f>IF($I1605=0,0,IF(OR(INDEX(DarlOhneTilgung,4)=1,AND(INDEX(DarlTilgStart,4)&gt;0,$E1605&lt;INDEX(DarlTilgStart,4))),0,MIN(MAX(0,$K1605-$L1605),$J1605)))</f>
      </c>
      <c r="N1605" s="43">
        <f>IF($I1605=0,0,MIN(SUMIFS(SondBetrag,SondDarl,4,SondDatum,"&gt;="&amp;$E1605,SondDatum,"&lt;="&amp;EOMONTH($E1605,0)),$J1605-$M1605))</f>
      </c>
      <c r="O1605" s="43">
        <f>IF($I1605=0,0,INDEX(DarlErsatzRate,4))</f>
      </c>
      <c r="P1605" s="43">
        <f>IF($I1605=0,0,$Q1604*INDEX(DarlErsatzZins,4))</f>
      </c>
      <c r="Q1605" s="43">
        <f>IF($I1605=0,0,$Q1604+$P1605+$O1605)</f>
      </c>
      <c r="R1605" s="43">
        <f>IF($I1605=0,0,$J1605-$M1605-$N1605)</f>
      </c>
    </row>
    <row r="1606">
      <c r="A1606"/>
      <c r="B1606">
        <v>4</v>
      </c>
      <c r="C1606" s="43">
        <f>INDEX(DarlObj,4)</f>
      </c>
      <c r="D1606">
        <v>163</v>
      </c>
      <c r="E1606" s="51">
        <f>IF(INDEX(DarlBelegt,4)=0,0,EOMONTH(INDEX(DarlAuszahlung,4),162)+1)</f>
      </c>
      <c r="F1606" s="43">
        <f>IF($E1606=0,0,YEAR($E1606))</f>
      </c>
      <c r="G1606" s="43">
        <f>IF(INDEX(DarlBindung,4)="",1,IF($E1606&lt;=INDEX(DarlBindung,4),1,0))</f>
      </c>
      <c r="H1606" s="43">
        <f>IF($G1606=1,INDEX(DarlSollzins,4),INDEX(DarlAnschluss,4))</f>
      </c>
      <c r="I1606" s="43">
        <f>IF(INDEX(DarlBelegt,4)=0,0,IF(INDEX(DarlOhneTilgung,4)=1,IF(INDEX(DarlBindung,4)="",1,$G1606),IF($J1606&gt;0.005,1,0)))</f>
      </c>
      <c r="J1606" s="43">
        <f>IF($I1605=0,0,$R1605)</f>
      </c>
      <c r="K1606" s="43">
        <f>IF($I1606=0,0,IF(INDEX(DarlOhneTilgung,4)=1,0,IF(AND(INDEX(DarlTilgStart,4)&gt;0,$E1606=INDEX(DarlTilgStart,4)),$J1606*($H1606+INDEX(DarlTilgung,4))/100/12,IF(AND($G1606=0,$G1605=1),MAX($K1605,$J1606*($H1606+1)/100/12),$K1605))))</f>
      </c>
      <c r="L1606" s="43">
        <f>IF($I1606=0,0,$J1606*$H1606/100/12)</f>
      </c>
      <c r="M1606" s="43">
        <f>IF($I1606=0,0,IF(OR(INDEX(DarlOhneTilgung,4)=1,AND(INDEX(DarlTilgStart,4)&gt;0,$E1606&lt;INDEX(DarlTilgStart,4))),0,MIN(MAX(0,$K1606-$L1606),$J1606)))</f>
      </c>
      <c r="N1606" s="43">
        <f>IF($I1606=0,0,MIN(SUMIFS(SondBetrag,SondDarl,4,SondDatum,"&gt;="&amp;$E1606,SondDatum,"&lt;="&amp;EOMONTH($E1606,0)),$J1606-$M1606))</f>
      </c>
      <c r="O1606" s="43">
        <f>IF($I1606=0,0,INDEX(DarlErsatzRate,4))</f>
      </c>
      <c r="P1606" s="43">
        <f>IF($I1606=0,0,$Q1605*INDEX(DarlErsatzZins,4))</f>
      </c>
      <c r="Q1606" s="43">
        <f>IF($I1606=0,0,$Q1605+$P1606+$O1606)</f>
      </c>
      <c r="R1606" s="43">
        <f>IF($I1606=0,0,$J1606-$M1606-$N1606)</f>
      </c>
    </row>
    <row r="1607">
      <c r="A1607"/>
      <c r="B1607">
        <v>4</v>
      </c>
      <c r="C1607" s="43">
        <f>INDEX(DarlObj,4)</f>
      </c>
      <c r="D1607">
        <v>164</v>
      </c>
      <c r="E1607" s="51">
        <f>IF(INDEX(DarlBelegt,4)=0,0,EOMONTH(INDEX(DarlAuszahlung,4),163)+1)</f>
      </c>
      <c r="F1607" s="43">
        <f>IF($E1607=0,0,YEAR($E1607))</f>
      </c>
      <c r="G1607" s="43">
        <f>IF(INDEX(DarlBindung,4)="",1,IF($E1607&lt;=INDEX(DarlBindung,4),1,0))</f>
      </c>
      <c r="H1607" s="43">
        <f>IF($G1607=1,INDEX(DarlSollzins,4),INDEX(DarlAnschluss,4))</f>
      </c>
      <c r="I1607" s="43">
        <f>IF(INDEX(DarlBelegt,4)=0,0,IF(INDEX(DarlOhneTilgung,4)=1,IF(INDEX(DarlBindung,4)="",1,$G1607),IF($J1607&gt;0.005,1,0)))</f>
      </c>
      <c r="J1607" s="43">
        <f>IF($I1606=0,0,$R1606)</f>
      </c>
      <c r="K1607" s="43">
        <f>IF($I1607=0,0,IF(INDEX(DarlOhneTilgung,4)=1,0,IF(AND(INDEX(DarlTilgStart,4)&gt;0,$E1607=INDEX(DarlTilgStart,4)),$J1607*($H1607+INDEX(DarlTilgung,4))/100/12,IF(AND($G1607=0,$G1606=1),MAX($K1606,$J1607*($H1607+1)/100/12),$K1606))))</f>
      </c>
      <c r="L1607" s="43">
        <f>IF($I1607=0,0,$J1607*$H1607/100/12)</f>
      </c>
      <c r="M1607" s="43">
        <f>IF($I1607=0,0,IF(OR(INDEX(DarlOhneTilgung,4)=1,AND(INDEX(DarlTilgStart,4)&gt;0,$E1607&lt;INDEX(DarlTilgStart,4))),0,MIN(MAX(0,$K1607-$L1607),$J1607)))</f>
      </c>
      <c r="N1607" s="43">
        <f>IF($I1607=0,0,MIN(SUMIFS(SondBetrag,SondDarl,4,SondDatum,"&gt;="&amp;$E1607,SondDatum,"&lt;="&amp;EOMONTH($E1607,0)),$J1607-$M1607))</f>
      </c>
      <c r="O1607" s="43">
        <f>IF($I1607=0,0,INDEX(DarlErsatzRate,4))</f>
      </c>
      <c r="P1607" s="43">
        <f>IF($I1607=0,0,$Q1606*INDEX(DarlErsatzZins,4))</f>
      </c>
      <c r="Q1607" s="43">
        <f>IF($I1607=0,0,$Q1606+$P1607+$O1607)</f>
      </c>
      <c r="R1607" s="43">
        <f>IF($I1607=0,0,$J1607-$M1607-$N1607)</f>
      </c>
    </row>
    <row r="1608">
      <c r="A1608"/>
      <c r="B1608">
        <v>4</v>
      </c>
      <c r="C1608" s="43">
        <f>INDEX(DarlObj,4)</f>
      </c>
      <c r="D1608">
        <v>165</v>
      </c>
      <c r="E1608" s="51">
        <f>IF(INDEX(DarlBelegt,4)=0,0,EOMONTH(INDEX(DarlAuszahlung,4),164)+1)</f>
      </c>
      <c r="F1608" s="43">
        <f>IF($E1608=0,0,YEAR($E1608))</f>
      </c>
      <c r="G1608" s="43">
        <f>IF(INDEX(DarlBindung,4)="",1,IF($E1608&lt;=INDEX(DarlBindung,4),1,0))</f>
      </c>
      <c r="H1608" s="43">
        <f>IF($G1608=1,INDEX(DarlSollzins,4),INDEX(DarlAnschluss,4))</f>
      </c>
      <c r="I1608" s="43">
        <f>IF(INDEX(DarlBelegt,4)=0,0,IF(INDEX(DarlOhneTilgung,4)=1,IF(INDEX(DarlBindung,4)="",1,$G1608),IF($J1608&gt;0.005,1,0)))</f>
      </c>
      <c r="J1608" s="43">
        <f>IF($I1607=0,0,$R1607)</f>
      </c>
      <c r="K1608" s="43">
        <f>IF($I1608=0,0,IF(INDEX(DarlOhneTilgung,4)=1,0,IF(AND(INDEX(DarlTilgStart,4)&gt;0,$E1608=INDEX(DarlTilgStart,4)),$J1608*($H1608+INDEX(DarlTilgung,4))/100/12,IF(AND($G1608=0,$G1607=1),MAX($K1607,$J1608*($H1608+1)/100/12),$K1607))))</f>
      </c>
      <c r="L1608" s="43">
        <f>IF($I1608=0,0,$J1608*$H1608/100/12)</f>
      </c>
      <c r="M1608" s="43">
        <f>IF($I1608=0,0,IF(OR(INDEX(DarlOhneTilgung,4)=1,AND(INDEX(DarlTilgStart,4)&gt;0,$E1608&lt;INDEX(DarlTilgStart,4))),0,MIN(MAX(0,$K1608-$L1608),$J1608)))</f>
      </c>
      <c r="N1608" s="43">
        <f>IF($I1608=0,0,MIN(SUMIFS(SondBetrag,SondDarl,4,SondDatum,"&gt;="&amp;$E1608,SondDatum,"&lt;="&amp;EOMONTH($E1608,0)),$J1608-$M1608))</f>
      </c>
      <c r="O1608" s="43">
        <f>IF($I1608=0,0,INDEX(DarlErsatzRate,4))</f>
      </c>
      <c r="P1608" s="43">
        <f>IF($I1608=0,0,$Q1607*INDEX(DarlErsatzZins,4))</f>
      </c>
      <c r="Q1608" s="43">
        <f>IF($I1608=0,0,$Q1607+$P1608+$O1608)</f>
      </c>
      <c r="R1608" s="43">
        <f>IF($I1608=0,0,$J1608-$M1608-$N1608)</f>
      </c>
    </row>
    <row r="1609">
      <c r="A1609"/>
      <c r="B1609">
        <v>4</v>
      </c>
      <c r="C1609" s="43">
        <f>INDEX(DarlObj,4)</f>
      </c>
      <c r="D1609">
        <v>166</v>
      </c>
      <c r="E1609" s="51">
        <f>IF(INDEX(DarlBelegt,4)=0,0,EOMONTH(INDEX(DarlAuszahlung,4),165)+1)</f>
      </c>
      <c r="F1609" s="43">
        <f>IF($E1609=0,0,YEAR($E1609))</f>
      </c>
      <c r="G1609" s="43">
        <f>IF(INDEX(DarlBindung,4)="",1,IF($E1609&lt;=INDEX(DarlBindung,4),1,0))</f>
      </c>
      <c r="H1609" s="43">
        <f>IF($G1609=1,INDEX(DarlSollzins,4),INDEX(DarlAnschluss,4))</f>
      </c>
      <c r="I1609" s="43">
        <f>IF(INDEX(DarlBelegt,4)=0,0,IF(INDEX(DarlOhneTilgung,4)=1,IF(INDEX(DarlBindung,4)="",1,$G1609),IF($J1609&gt;0.005,1,0)))</f>
      </c>
      <c r="J1609" s="43">
        <f>IF($I1608=0,0,$R1608)</f>
      </c>
      <c r="K1609" s="43">
        <f>IF($I1609=0,0,IF(INDEX(DarlOhneTilgung,4)=1,0,IF(AND(INDEX(DarlTilgStart,4)&gt;0,$E1609=INDEX(DarlTilgStart,4)),$J1609*($H1609+INDEX(DarlTilgung,4))/100/12,IF(AND($G1609=0,$G1608=1),MAX($K1608,$J1609*($H1609+1)/100/12),$K1608))))</f>
      </c>
      <c r="L1609" s="43">
        <f>IF($I1609=0,0,$J1609*$H1609/100/12)</f>
      </c>
      <c r="M1609" s="43">
        <f>IF($I1609=0,0,IF(OR(INDEX(DarlOhneTilgung,4)=1,AND(INDEX(DarlTilgStart,4)&gt;0,$E1609&lt;INDEX(DarlTilgStart,4))),0,MIN(MAX(0,$K1609-$L1609),$J1609)))</f>
      </c>
      <c r="N1609" s="43">
        <f>IF($I1609=0,0,MIN(SUMIFS(SondBetrag,SondDarl,4,SondDatum,"&gt;="&amp;$E1609,SondDatum,"&lt;="&amp;EOMONTH($E1609,0)),$J1609-$M1609))</f>
      </c>
      <c r="O1609" s="43">
        <f>IF($I1609=0,0,INDEX(DarlErsatzRate,4))</f>
      </c>
      <c r="P1609" s="43">
        <f>IF($I1609=0,0,$Q1608*INDEX(DarlErsatzZins,4))</f>
      </c>
      <c r="Q1609" s="43">
        <f>IF($I1609=0,0,$Q1608+$P1609+$O1609)</f>
      </c>
      <c r="R1609" s="43">
        <f>IF($I1609=0,0,$J1609-$M1609-$N1609)</f>
      </c>
    </row>
    <row r="1610">
      <c r="A1610"/>
      <c r="B1610">
        <v>4</v>
      </c>
      <c r="C1610" s="43">
        <f>INDEX(DarlObj,4)</f>
      </c>
      <c r="D1610">
        <v>167</v>
      </c>
      <c r="E1610" s="51">
        <f>IF(INDEX(DarlBelegt,4)=0,0,EOMONTH(INDEX(DarlAuszahlung,4),166)+1)</f>
      </c>
      <c r="F1610" s="43">
        <f>IF($E1610=0,0,YEAR($E1610))</f>
      </c>
      <c r="G1610" s="43">
        <f>IF(INDEX(DarlBindung,4)="",1,IF($E1610&lt;=INDEX(DarlBindung,4),1,0))</f>
      </c>
      <c r="H1610" s="43">
        <f>IF($G1610=1,INDEX(DarlSollzins,4),INDEX(DarlAnschluss,4))</f>
      </c>
      <c r="I1610" s="43">
        <f>IF(INDEX(DarlBelegt,4)=0,0,IF(INDEX(DarlOhneTilgung,4)=1,IF(INDEX(DarlBindung,4)="",1,$G1610),IF($J1610&gt;0.005,1,0)))</f>
      </c>
      <c r="J1610" s="43">
        <f>IF($I1609=0,0,$R1609)</f>
      </c>
      <c r="K1610" s="43">
        <f>IF($I1610=0,0,IF(INDEX(DarlOhneTilgung,4)=1,0,IF(AND(INDEX(DarlTilgStart,4)&gt;0,$E1610=INDEX(DarlTilgStart,4)),$J1610*($H1610+INDEX(DarlTilgung,4))/100/12,IF(AND($G1610=0,$G1609=1),MAX($K1609,$J1610*($H1610+1)/100/12),$K1609))))</f>
      </c>
      <c r="L1610" s="43">
        <f>IF($I1610=0,0,$J1610*$H1610/100/12)</f>
      </c>
      <c r="M1610" s="43">
        <f>IF($I1610=0,0,IF(OR(INDEX(DarlOhneTilgung,4)=1,AND(INDEX(DarlTilgStart,4)&gt;0,$E1610&lt;INDEX(DarlTilgStart,4))),0,MIN(MAX(0,$K1610-$L1610),$J1610)))</f>
      </c>
      <c r="N1610" s="43">
        <f>IF($I1610=0,0,MIN(SUMIFS(SondBetrag,SondDarl,4,SondDatum,"&gt;="&amp;$E1610,SondDatum,"&lt;="&amp;EOMONTH($E1610,0)),$J1610-$M1610))</f>
      </c>
      <c r="O1610" s="43">
        <f>IF($I1610=0,0,INDEX(DarlErsatzRate,4))</f>
      </c>
      <c r="P1610" s="43">
        <f>IF($I1610=0,0,$Q1609*INDEX(DarlErsatzZins,4))</f>
      </c>
      <c r="Q1610" s="43">
        <f>IF($I1610=0,0,$Q1609+$P1610+$O1610)</f>
      </c>
      <c r="R1610" s="43">
        <f>IF($I1610=0,0,$J1610-$M1610-$N1610)</f>
      </c>
    </row>
    <row r="1611">
      <c r="A1611"/>
      <c r="B1611">
        <v>4</v>
      </c>
      <c r="C1611" s="43">
        <f>INDEX(DarlObj,4)</f>
      </c>
      <c r="D1611">
        <v>168</v>
      </c>
      <c r="E1611" s="51">
        <f>IF(INDEX(DarlBelegt,4)=0,0,EOMONTH(INDEX(DarlAuszahlung,4),167)+1)</f>
      </c>
      <c r="F1611" s="43">
        <f>IF($E1611=0,0,YEAR($E1611))</f>
      </c>
      <c r="G1611" s="43">
        <f>IF(INDEX(DarlBindung,4)="",1,IF($E1611&lt;=INDEX(DarlBindung,4),1,0))</f>
      </c>
      <c r="H1611" s="43">
        <f>IF($G1611=1,INDEX(DarlSollzins,4),INDEX(DarlAnschluss,4))</f>
      </c>
      <c r="I1611" s="43">
        <f>IF(INDEX(DarlBelegt,4)=0,0,IF(INDEX(DarlOhneTilgung,4)=1,IF(INDEX(DarlBindung,4)="",1,$G1611),IF($J1611&gt;0.005,1,0)))</f>
      </c>
      <c r="J1611" s="43">
        <f>IF($I1610=0,0,$R1610)</f>
      </c>
      <c r="K1611" s="43">
        <f>IF($I1611=0,0,IF(INDEX(DarlOhneTilgung,4)=1,0,IF(AND(INDEX(DarlTilgStart,4)&gt;0,$E1611=INDEX(DarlTilgStart,4)),$J1611*($H1611+INDEX(DarlTilgung,4))/100/12,IF(AND($G1611=0,$G1610=1),MAX($K1610,$J1611*($H1611+1)/100/12),$K1610))))</f>
      </c>
      <c r="L1611" s="43">
        <f>IF($I1611=0,0,$J1611*$H1611/100/12)</f>
      </c>
      <c r="M1611" s="43">
        <f>IF($I1611=0,0,IF(OR(INDEX(DarlOhneTilgung,4)=1,AND(INDEX(DarlTilgStart,4)&gt;0,$E1611&lt;INDEX(DarlTilgStart,4))),0,MIN(MAX(0,$K1611-$L1611),$J1611)))</f>
      </c>
      <c r="N1611" s="43">
        <f>IF($I1611=0,0,MIN(SUMIFS(SondBetrag,SondDarl,4,SondDatum,"&gt;="&amp;$E1611,SondDatum,"&lt;="&amp;EOMONTH($E1611,0)),$J1611-$M1611))</f>
      </c>
      <c r="O1611" s="43">
        <f>IF($I1611=0,0,INDEX(DarlErsatzRate,4))</f>
      </c>
      <c r="P1611" s="43">
        <f>IF($I1611=0,0,$Q1610*INDEX(DarlErsatzZins,4))</f>
      </c>
      <c r="Q1611" s="43">
        <f>IF($I1611=0,0,$Q1610+$P1611+$O1611)</f>
      </c>
      <c r="R1611" s="43">
        <f>IF($I1611=0,0,$J1611-$M1611-$N1611)</f>
      </c>
    </row>
    <row r="1612">
      <c r="A1612"/>
      <c r="B1612">
        <v>4</v>
      </c>
      <c r="C1612" s="43">
        <f>INDEX(DarlObj,4)</f>
      </c>
      <c r="D1612">
        <v>169</v>
      </c>
      <c r="E1612" s="51">
        <f>IF(INDEX(DarlBelegt,4)=0,0,EOMONTH(INDEX(DarlAuszahlung,4),168)+1)</f>
      </c>
      <c r="F1612" s="43">
        <f>IF($E1612=0,0,YEAR($E1612))</f>
      </c>
      <c r="G1612" s="43">
        <f>IF(INDEX(DarlBindung,4)="",1,IF($E1612&lt;=INDEX(DarlBindung,4),1,0))</f>
      </c>
      <c r="H1612" s="43">
        <f>IF($G1612=1,INDEX(DarlSollzins,4),INDEX(DarlAnschluss,4))</f>
      </c>
      <c r="I1612" s="43">
        <f>IF(INDEX(DarlBelegt,4)=0,0,IF(INDEX(DarlOhneTilgung,4)=1,IF(INDEX(DarlBindung,4)="",1,$G1612),IF($J1612&gt;0.005,1,0)))</f>
      </c>
      <c r="J1612" s="43">
        <f>IF($I1611=0,0,$R1611)</f>
      </c>
      <c r="K1612" s="43">
        <f>IF($I1612=0,0,IF(INDEX(DarlOhneTilgung,4)=1,0,IF(AND(INDEX(DarlTilgStart,4)&gt;0,$E1612=INDEX(DarlTilgStart,4)),$J1612*($H1612+INDEX(DarlTilgung,4))/100/12,IF(AND($G1612=0,$G1611=1),MAX($K1611,$J1612*($H1612+1)/100/12),$K1611))))</f>
      </c>
      <c r="L1612" s="43">
        <f>IF($I1612=0,0,$J1612*$H1612/100/12)</f>
      </c>
      <c r="M1612" s="43">
        <f>IF($I1612=0,0,IF(OR(INDEX(DarlOhneTilgung,4)=1,AND(INDEX(DarlTilgStart,4)&gt;0,$E1612&lt;INDEX(DarlTilgStart,4))),0,MIN(MAX(0,$K1612-$L1612),$J1612)))</f>
      </c>
      <c r="N1612" s="43">
        <f>IF($I1612=0,0,MIN(SUMIFS(SondBetrag,SondDarl,4,SondDatum,"&gt;="&amp;$E1612,SondDatum,"&lt;="&amp;EOMONTH($E1612,0)),$J1612-$M1612))</f>
      </c>
      <c r="O1612" s="43">
        <f>IF($I1612=0,0,INDEX(DarlErsatzRate,4))</f>
      </c>
      <c r="P1612" s="43">
        <f>IF($I1612=0,0,$Q1611*INDEX(DarlErsatzZins,4))</f>
      </c>
      <c r="Q1612" s="43">
        <f>IF($I1612=0,0,$Q1611+$P1612+$O1612)</f>
      </c>
      <c r="R1612" s="43">
        <f>IF($I1612=0,0,$J1612-$M1612-$N1612)</f>
      </c>
    </row>
    <row r="1613">
      <c r="A1613"/>
      <c r="B1613">
        <v>4</v>
      </c>
      <c r="C1613" s="43">
        <f>INDEX(DarlObj,4)</f>
      </c>
      <c r="D1613">
        <v>170</v>
      </c>
      <c r="E1613" s="51">
        <f>IF(INDEX(DarlBelegt,4)=0,0,EOMONTH(INDEX(DarlAuszahlung,4),169)+1)</f>
      </c>
      <c r="F1613" s="43">
        <f>IF($E1613=0,0,YEAR($E1613))</f>
      </c>
      <c r="G1613" s="43">
        <f>IF(INDEX(DarlBindung,4)="",1,IF($E1613&lt;=INDEX(DarlBindung,4),1,0))</f>
      </c>
      <c r="H1613" s="43">
        <f>IF($G1613=1,INDEX(DarlSollzins,4),INDEX(DarlAnschluss,4))</f>
      </c>
      <c r="I1613" s="43">
        <f>IF(INDEX(DarlBelegt,4)=0,0,IF(INDEX(DarlOhneTilgung,4)=1,IF(INDEX(DarlBindung,4)="",1,$G1613),IF($J1613&gt;0.005,1,0)))</f>
      </c>
      <c r="J1613" s="43">
        <f>IF($I1612=0,0,$R1612)</f>
      </c>
      <c r="K1613" s="43">
        <f>IF($I1613=0,0,IF(INDEX(DarlOhneTilgung,4)=1,0,IF(AND(INDEX(DarlTilgStart,4)&gt;0,$E1613=INDEX(DarlTilgStart,4)),$J1613*($H1613+INDEX(DarlTilgung,4))/100/12,IF(AND($G1613=0,$G1612=1),MAX($K1612,$J1613*($H1613+1)/100/12),$K1612))))</f>
      </c>
      <c r="L1613" s="43">
        <f>IF($I1613=0,0,$J1613*$H1613/100/12)</f>
      </c>
      <c r="M1613" s="43">
        <f>IF($I1613=0,0,IF(OR(INDEX(DarlOhneTilgung,4)=1,AND(INDEX(DarlTilgStart,4)&gt;0,$E1613&lt;INDEX(DarlTilgStart,4))),0,MIN(MAX(0,$K1613-$L1613),$J1613)))</f>
      </c>
      <c r="N1613" s="43">
        <f>IF($I1613=0,0,MIN(SUMIFS(SondBetrag,SondDarl,4,SondDatum,"&gt;="&amp;$E1613,SondDatum,"&lt;="&amp;EOMONTH($E1613,0)),$J1613-$M1613))</f>
      </c>
      <c r="O1613" s="43">
        <f>IF($I1613=0,0,INDEX(DarlErsatzRate,4))</f>
      </c>
      <c r="P1613" s="43">
        <f>IF($I1613=0,0,$Q1612*INDEX(DarlErsatzZins,4))</f>
      </c>
      <c r="Q1613" s="43">
        <f>IF($I1613=0,0,$Q1612+$P1613+$O1613)</f>
      </c>
      <c r="R1613" s="43">
        <f>IF($I1613=0,0,$J1613-$M1613-$N1613)</f>
      </c>
    </row>
    <row r="1614">
      <c r="A1614"/>
      <c r="B1614">
        <v>4</v>
      </c>
      <c r="C1614" s="43">
        <f>INDEX(DarlObj,4)</f>
      </c>
      <c r="D1614">
        <v>171</v>
      </c>
      <c r="E1614" s="51">
        <f>IF(INDEX(DarlBelegt,4)=0,0,EOMONTH(INDEX(DarlAuszahlung,4),170)+1)</f>
      </c>
      <c r="F1614" s="43">
        <f>IF($E1614=0,0,YEAR($E1614))</f>
      </c>
      <c r="G1614" s="43">
        <f>IF(INDEX(DarlBindung,4)="",1,IF($E1614&lt;=INDEX(DarlBindung,4),1,0))</f>
      </c>
      <c r="H1614" s="43">
        <f>IF($G1614=1,INDEX(DarlSollzins,4),INDEX(DarlAnschluss,4))</f>
      </c>
      <c r="I1614" s="43">
        <f>IF(INDEX(DarlBelegt,4)=0,0,IF(INDEX(DarlOhneTilgung,4)=1,IF(INDEX(DarlBindung,4)="",1,$G1614),IF($J1614&gt;0.005,1,0)))</f>
      </c>
      <c r="J1614" s="43">
        <f>IF($I1613=0,0,$R1613)</f>
      </c>
      <c r="K1614" s="43">
        <f>IF($I1614=0,0,IF(INDEX(DarlOhneTilgung,4)=1,0,IF(AND(INDEX(DarlTilgStart,4)&gt;0,$E1614=INDEX(DarlTilgStart,4)),$J1614*($H1614+INDEX(DarlTilgung,4))/100/12,IF(AND($G1614=0,$G1613=1),MAX($K1613,$J1614*($H1614+1)/100/12),$K1613))))</f>
      </c>
      <c r="L1614" s="43">
        <f>IF($I1614=0,0,$J1614*$H1614/100/12)</f>
      </c>
      <c r="M1614" s="43">
        <f>IF($I1614=0,0,IF(OR(INDEX(DarlOhneTilgung,4)=1,AND(INDEX(DarlTilgStart,4)&gt;0,$E1614&lt;INDEX(DarlTilgStart,4))),0,MIN(MAX(0,$K1614-$L1614),$J1614)))</f>
      </c>
      <c r="N1614" s="43">
        <f>IF($I1614=0,0,MIN(SUMIFS(SondBetrag,SondDarl,4,SondDatum,"&gt;="&amp;$E1614,SondDatum,"&lt;="&amp;EOMONTH($E1614,0)),$J1614-$M1614))</f>
      </c>
      <c r="O1614" s="43">
        <f>IF($I1614=0,0,INDEX(DarlErsatzRate,4))</f>
      </c>
      <c r="P1614" s="43">
        <f>IF($I1614=0,0,$Q1613*INDEX(DarlErsatzZins,4))</f>
      </c>
      <c r="Q1614" s="43">
        <f>IF($I1614=0,0,$Q1613+$P1614+$O1614)</f>
      </c>
      <c r="R1614" s="43">
        <f>IF($I1614=0,0,$J1614-$M1614-$N1614)</f>
      </c>
    </row>
    <row r="1615">
      <c r="A1615"/>
      <c r="B1615">
        <v>4</v>
      </c>
      <c r="C1615" s="43">
        <f>INDEX(DarlObj,4)</f>
      </c>
      <c r="D1615">
        <v>172</v>
      </c>
      <c r="E1615" s="51">
        <f>IF(INDEX(DarlBelegt,4)=0,0,EOMONTH(INDEX(DarlAuszahlung,4),171)+1)</f>
      </c>
      <c r="F1615" s="43">
        <f>IF($E1615=0,0,YEAR($E1615))</f>
      </c>
      <c r="G1615" s="43">
        <f>IF(INDEX(DarlBindung,4)="",1,IF($E1615&lt;=INDEX(DarlBindung,4),1,0))</f>
      </c>
      <c r="H1615" s="43">
        <f>IF($G1615=1,INDEX(DarlSollzins,4),INDEX(DarlAnschluss,4))</f>
      </c>
      <c r="I1615" s="43">
        <f>IF(INDEX(DarlBelegt,4)=0,0,IF(INDEX(DarlOhneTilgung,4)=1,IF(INDEX(DarlBindung,4)="",1,$G1615),IF($J1615&gt;0.005,1,0)))</f>
      </c>
      <c r="J1615" s="43">
        <f>IF($I1614=0,0,$R1614)</f>
      </c>
      <c r="K1615" s="43">
        <f>IF($I1615=0,0,IF(INDEX(DarlOhneTilgung,4)=1,0,IF(AND(INDEX(DarlTilgStart,4)&gt;0,$E1615=INDEX(DarlTilgStart,4)),$J1615*($H1615+INDEX(DarlTilgung,4))/100/12,IF(AND($G1615=0,$G1614=1),MAX($K1614,$J1615*($H1615+1)/100/12),$K1614))))</f>
      </c>
      <c r="L1615" s="43">
        <f>IF($I1615=0,0,$J1615*$H1615/100/12)</f>
      </c>
      <c r="M1615" s="43">
        <f>IF($I1615=0,0,IF(OR(INDEX(DarlOhneTilgung,4)=1,AND(INDEX(DarlTilgStart,4)&gt;0,$E1615&lt;INDEX(DarlTilgStart,4))),0,MIN(MAX(0,$K1615-$L1615),$J1615)))</f>
      </c>
      <c r="N1615" s="43">
        <f>IF($I1615=0,0,MIN(SUMIFS(SondBetrag,SondDarl,4,SondDatum,"&gt;="&amp;$E1615,SondDatum,"&lt;="&amp;EOMONTH($E1615,0)),$J1615-$M1615))</f>
      </c>
      <c r="O1615" s="43">
        <f>IF($I1615=0,0,INDEX(DarlErsatzRate,4))</f>
      </c>
      <c r="P1615" s="43">
        <f>IF($I1615=0,0,$Q1614*INDEX(DarlErsatzZins,4))</f>
      </c>
      <c r="Q1615" s="43">
        <f>IF($I1615=0,0,$Q1614+$P1615+$O1615)</f>
      </c>
      <c r="R1615" s="43">
        <f>IF($I1615=0,0,$J1615-$M1615-$N1615)</f>
      </c>
    </row>
    <row r="1616">
      <c r="A1616"/>
      <c r="B1616">
        <v>4</v>
      </c>
      <c r="C1616" s="43">
        <f>INDEX(DarlObj,4)</f>
      </c>
      <c r="D1616">
        <v>173</v>
      </c>
      <c r="E1616" s="51">
        <f>IF(INDEX(DarlBelegt,4)=0,0,EOMONTH(INDEX(DarlAuszahlung,4),172)+1)</f>
      </c>
      <c r="F1616" s="43">
        <f>IF($E1616=0,0,YEAR($E1616))</f>
      </c>
      <c r="G1616" s="43">
        <f>IF(INDEX(DarlBindung,4)="",1,IF($E1616&lt;=INDEX(DarlBindung,4),1,0))</f>
      </c>
      <c r="H1616" s="43">
        <f>IF($G1616=1,INDEX(DarlSollzins,4),INDEX(DarlAnschluss,4))</f>
      </c>
      <c r="I1616" s="43">
        <f>IF(INDEX(DarlBelegt,4)=0,0,IF(INDEX(DarlOhneTilgung,4)=1,IF(INDEX(DarlBindung,4)="",1,$G1616),IF($J1616&gt;0.005,1,0)))</f>
      </c>
      <c r="J1616" s="43">
        <f>IF($I1615=0,0,$R1615)</f>
      </c>
      <c r="K1616" s="43">
        <f>IF($I1616=0,0,IF(INDEX(DarlOhneTilgung,4)=1,0,IF(AND(INDEX(DarlTilgStart,4)&gt;0,$E1616=INDEX(DarlTilgStart,4)),$J1616*($H1616+INDEX(DarlTilgung,4))/100/12,IF(AND($G1616=0,$G1615=1),MAX($K1615,$J1616*($H1616+1)/100/12),$K1615))))</f>
      </c>
      <c r="L1616" s="43">
        <f>IF($I1616=0,0,$J1616*$H1616/100/12)</f>
      </c>
      <c r="M1616" s="43">
        <f>IF($I1616=0,0,IF(OR(INDEX(DarlOhneTilgung,4)=1,AND(INDEX(DarlTilgStart,4)&gt;0,$E1616&lt;INDEX(DarlTilgStart,4))),0,MIN(MAX(0,$K1616-$L1616),$J1616)))</f>
      </c>
      <c r="N1616" s="43">
        <f>IF($I1616=0,0,MIN(SUMIFS(SondBetrag,SondDarl,4,SondDatum,"&gt;="&amp;$E1616,SondDatum,"&lt;="&amp;EOMONTH($E1616,0)),$J1616-$M1616))</f>
      </c>
      <c r="O1616" s="43">
        <f>IF($I1616=0,0,INDEX(DarlErsatzRate,4))</f>
      </c>
      <c r="P1616" s="43">
        <f>IF($I1616=0,0,$Q1615*INDEX(DarlErsatzZins,4))</f>
      </c>
      <c r="Q1616" s="43">
        <f>IF($I1616=0,0,$Q1615+$P1616+$O1616)</f>
      </c>
      <c r="R1616" s="43">
        <f>IF($I1616=0,0,$J1616-$M1616-$N1616)</f>
      </c>
    </row>
    <row r="1617">
      <c r="A1617"/>
      <c r="B1617">
        <v>4</v>
      </c>
      <c r="C1617" s="43">
        <f>INDEX(DarlObj,4)</f>
      </c>
      <c r="D1617">
        <v>174</v>
      </c>
      <c r="E1617" s="51">
        <f>IF(INDEX(DarlBelegt,4)=0,0,EOMONTH(INDEX(DarlAuszahlung,4),173)+1)</f>
      </c>
      <c r="F1617" s="43">
        <f>IF($E1617=0,0,YEAR($E1617))</f>
      </c>
      <c r="G1617" s="43">
        <f>IF(INDEX(DarlBindung,4)="",1,IF($E1617&lt;=INDEX(DarlBindung,4),1,0))</f>
      </c>
      <c r="H1617" s="43">
        <f>IF($G1617=1,INDEX(DarlSollzins,4),INDEX(DarlAnschluss,4))</f>
      </c>
      <c r="I1617" s="43">
        <f>IF(INDEX(DarlBelegt,4)=0,0,IF(INDEX(DarlOhneTilgung,4)=1,IF(INDEX(DarlBindung,4)="",1,$G1617),IF($J1617&gt;0.005,1,0)))</f>
      </c>
      <c r="J1617" s="43">
        <f>IF($I1616=0,0,$R1616)</f>
      </c>
      <c r="K1617" s="43">
        <f>IF($I1617=0,0,IF(INDEX(DarlOhneTilgung,4)=1,0,IF(AND(INDEX(DarlTilgStart,4)&gt;0,$E1617=INDEX(DarlTilgStart,4)),$J1617*($H1617+INDEX(DarlTilgung,4))/100/12,IF(AND($G1617=0,$G1616=1),MAX($K1616,$J1617*($H1617+1)/100/12),$K1616))))</f>
      </c>
      <c r="L1617" s="43">
        <f>IF($I1617=0,0,$J1617*$H1617/100/12)</f>
      </c>
      <c r="M1617" s="43">
        <f>IF($I1617=0,0,IF(OR(INDEX(DarlOhneTilgung,4)=1,AND(INDEX(DarlTilgStart,4)&gt;0,$E1617&lt;INDEX(DarlTilgStart,4))),0,MIN(MAX(0,$K1617-$L1617),$J1617)))</f>
      </c>
      <c r="N1617" s="43">
        <f>IF($I1617=0,0,MIN(SUMIFS(SondBetrag,SondDarl,4,SondDatum,"&gt;="&amp;$E1617,SondDatum,"&lt;="&amp;EOMONTH($E1617,0)),$J1617-$M1617))</f>
      </c>
      <c r="O1617" s="43">
        <f>IF($I1617=0,0,INDEX(DarlErsatzRate,4))</f>
      </c>
      <c r="P1617" s="43">
        <f>IF($I1617=0,0,$Q1616*INDEX(DarlErsatzZins,4))</f>
      </c>
      <c r="Q1617" s="43">
        <f>IF($I1617=0,0,$Q1616+$P1617+$O1617)</f>
      </c>
      <c r="R1617" s="43">
        <f>IF($I1617=0,0,$J1617-$M1617-$N1617)</f>
      </c>
    </row>
    <row r="1618">
      <c r="A1618"/>
      <c r="B1618">
        <v>4</v>
      </c>
      <c r="C1618" s="43">
        <f>INDEX(DarlObj,4)</f>
      </c>
      <c r="D1618">
        <v>175</v>
      </c>
      <c r="E1618" s="51">
        <f>IF(INDEX(DarlBelegt,4)=0,0,EOMONTH(INDEX(DarlAuszahlung,4),174)+1)</f>
      </c>
      <c r="F1618" s="43">
        <f>IF($E1618=0,0,YEAR($E1618))</f>
      </c>
      <c r="G1618" s="43">
        <f>IF(INDEX(DarlBindung,4)="",1,IF($E1618&lt;=INDEX(DarlBindung,4),1,0))</f>
      </c>
      <c r="H1618" s="43">
        <f>IF($G1618=1,INDEX(DarlSollzins,4),INDEX(DarlAnschluss,4))</f>
      </c>
      <c r="I1618" s="43">
        <f>IF(INDEX(DarlBelegt,4)=0,0,IF(INDEX(DarlOhneTilgung,4)=1,IF(INDEX(DarlBindung,4)="",1,$G1618),IF($J1618&gt;0.005,1,0)))</f>
      </c>
      <c r="J1618" s="43">
        <f>IF($I1617=0,0,$R1617)</f>
      </c>
      <c r="K1618" s="43">
        <f>IF($I1618=0,0,IF(INDEX(DarlOhneTilgung,4)=1,0,IF(AND(INDEX(DarlTilgStart,4)&gt;0,$E1618=INDEX(DarlTilgStart,4)),$J1618*($H1618+INDEX(DarlTilgung,4))/100/12,IF(AND($G1618=0,$G1617=1),MAX($K1617,$J1618*($H1618+1)/100/12),$K1617))))</f>
      </c>
      <c r="L1618" s="43">
        <f>IF($I1618=0,0,$J1618*$H1618/100/12)</f>
      </c>
      <c r="M1618" s="43">
        <f>IF($I1618=0,0,IF(OR(INDEX(DarlOhneTilgung,4)=1,AND(INDEX(DarlTilgStart,4)&gt;0,$E1618&lt;INDEX(DarlTilgStart,4))),0,MIN(MAX(0,$K1618-$L1618),$J1618)))</f>
      </c>
      <c r="N1618" s="43">
        <f>IF($I1618=0,0,MIN(SUMIFS(SondBetrag,SondDarl,4,SondDatum,"&gt;="&amp;$E1618,SondDatum,"&lt;="&amp;EOMONTH($E1618,0)),$J1618-$M1618))</f>
      </c>
      <c r="O1618" s="43">
        <f>IF($I1618=0,0,INDEX(DarlErsatzRate,4))</f>
      </c>
      <c r="P1618" s="43">
        <f>IF($I1618=0,0,$Q1617*INDEX(DarlErsatzZins,4))</f>
      </c>
      <c r="Q1618" s="43">
        <f>IF($I1618=0,0,$Q1617+$P1618+$O1618)</f>
      </c>
      <c r="R1618" s="43">
        <f>IF($I1618=0,0,$J1618-$M1618-$N1618)</f>
      </c>
    </row>
    <row r="1619">
      <c r="A1619"/>
      <c r="B1619">
        <v>4</v>
      </c>
      <c r="C1619" s="43">
        <f>INDEX(DarlObj,4)</f>
      </c>
      <c r="D1619">
        <v>176</v>
      </c>
      <c r="E1619" s="51">
        <f>IF(INDEX(DarlBelegt,4)=0,0,EOMONTH(INDEX(DarlAuszahlung,4),175)+1)</f>
      </c>
      <c r="F1619" s="43">
        <f>IF($E1619=0,0,YEAR($E1619))</f>
      </c>
      <c r="G1619" s="43">
        <f>IF(INDEX(DarlBindung,4)="",1,IF($E1619&lt;=INDEX(DarlBindung,4),1,0))</f>
      </c>
      <c r="H1619" s="43">
        <f>IF($G1619=1,INDEX(DarlSollzins,4),INDEX(DarlAnschluss,4))</f>
      </c>
      <c r="I1619" s="43">
        <f>IF(INDEX(DarlBelegt,4)=0,0,IF(INDEX(DarlOhneTilgung,4)=1,IF(INDEX(DarlBindung,4)="",1,$G1619),IF($J1619&gt;0.005,1,0)))</f>
      </c>
      <c r="J1619" s="43">
        <f>IF($I1618=0,0,$R1618)</f>
      </c>
      <c r="K1619" s="43">
        <f>IF($I1619=0,0,IF(INDEX(DarlOhneTilgung,4)=1,0,IF(AND(INDEX(DarlTilgStart,4)&gt;0,$E1619=INDEX(DarlTilgStart,4)),$J1619*($H1619+INDEX(DarlTilgung,4))/100/12,IF(AND($G1619=0,$G1618=1),MAX($K1618,$J1619*($H1619+1)/100/12),$K1618))))</f>
      </c>
      <c r="L1619" s="43">
        <f>IF($I1619=0,0,$J1619*$H1619/100/12)</f>
      </c>
      <c r="M1619" s="43">
        <f>IF($I1619=0,0,IF(OR(INDEX(DarlOhneTilgung,4)=1,AND(INDEX(DarlTilgStart,4)&gt;0,$E1619&lt;INDEX(DarlTilgStart,4))),0,MIN(MAX(0,$K1619-$L1619),$J1619)))</f>
      </c>
      <c r="N1619" s="43">
        <f>IF($I1619=0,0,MIN(SUMIFS(SondBetrag,SondDarl,4,SondDatum,"&gt;="&amp;$E1619,SondDatum,"&lt;="&amp;EOMONTH($E1619,0)),$J1619-$M1619))</f>
      </c>
      <c r="O1619" s="43">
        <f>IF($I1619=0,0,INDEX(DarlErsatzRate,4))</f>
      </c>
      <c r="P1619" s="43">
        <f>IF($I1619=0,0,$Q1618*INDEX(DarlErsatzZins,4))</f>
      </c>
      <c r="Q1619" s="43">
        <f>IF($I1619=0,0,$Q1618+$P1619+$O1619)</f>
      </c>
      <c r="R1619" s="43">
        <f>IF($I1619=0,0,$J1619-$M1619-$N1619)</f>
      </c>
    </row>
    <row r="1620">
      <c r="A1620"/>
      <c r="B1620">
        <v>4</v>
      </c>
      <c r="C1620" s="43">
        <f>INDEX(DarlObj,4)</f>
      </c>
      <c r="D1620">
        <v>177</v>
      </c>
      <c r="E1620" s="51">
        <f>IF(INDEX(DarlBelegt,4)=0,0,EOMONTH(INDEX(DarlAuszahlung,4),176)+1)</f>
      </c>
      <c r="F1620" s="43">
        <f>IF($E1620=0,0,YEAR($E1620))</f>
      </c>
      <c r="G1620" s="43">
        <f>IF(INDEX(DarlBindung,4)="",1,IF($E1620&lt;=INDEX(DarlBindung,4),1,0))</f>
      </c>
      <c r="H1620" s="43">
        <f>IF($G1620=1,INDEX(DarlSollzins,4),INDEX(DarlAnschluss,4))</f>
      </c>
      <c r="I1620" s="43">
        <f>IF(INDEX(DarlBelegt,4)=0,0,IF(INDEX(DarlOhneTilgung,4)=1,IF(INDEX(DarlBindung,4)="",1,$G1620),IF($J1620&gt;0.005,1,0)))</f>
      </c>
      <c r="J1620" s="43">
        <f>IF($I1619=0,0,$R1619)</f>
      </c>
      <c r="K1620" s="43">
        <f>IF($I1620=0,0,IF(INDEX(DarlOhneTilgung,4)=1,0,IF(AND(INDEX(DarlTilgStart,4)&gt;0,$E1620=INDEX(DarlTilgStart,4)),$J1620*($H1620+INDEX(DarlTilgung,4))/100/12,IF(AND($G1620=0,$G1619=1),MAX($K1619,$J1620*($H1620+1)/100/12),$K1619))))</f>
      </c>
      <c r="L1620" s="43">
        <f>IF($I1620=0,0,$J1620*$H1620/100/12)</f>
      </c>
      <c r="M1620" s="43">
        <f>IF($I1620=0,0,IF(OR(INDEX(DarlOhneTilgung,4)=1,AND(INDEX(DarlTilgStart,4)&gt;0,$E1620&lt;INDEX(DarlTilgStart,4))),0,MIN(MAX(0,$K1620-$L1620),$J1620)))</f>
      </c>
      <c r="N1620" s="43">
        <f>IF($I1620=0,0,MIN(SUMIFS(SondBetrag,SondDarl,4,SondDatum,"&gt;="&amp;$E1620,SondDatum,"&lt;="&amp;EOMONTH($E1620,0)),$J1620-$M1620))</f>
      </c>
      <c r="O1620" s="43">
        <f>IF($I1620=0,0,INDEX(DarlErsatzRate,4))</f>
      </c>
      <c r="P1620" s="43">
        <f>IF($I1620=0,0,$Q1619*INDEX(DarlErsatzZins,4))</f>
      </c>
      <c r="Q1620" s="43">
        <f>IF($I1620=0,0,$Q1619+$P1620+$O1620)</f>
      </c>
      <c r="R1620" s="43">
        <f>IF($I1620=0,0,$J1620-$M1620-$N1620)</f>
      </c>
    </row>
    <row r="1621">
      <c r="A1621"/>
      <c r="B1621">
        <v>4</v>
      </c>
      <c r="C1621" s="43">
        <f>INDEX(DarlObj,4)</f>
      </c>
      <c r="D1621">
        <v>178</v>
      </c>
      <c r="E1621" s="51">
        <f>IF(INDEX(DarlBelegt,4)=0,0,EOMONTH(INDEX(DarlAuszahlung,4),177)+1)</f>
      </c>
      <c r="F1621" s="43">
        <f>IF($E1621=0,0,YEAR($E1621))</f>
      </c>
      <c r="G1621" s="43">
        <f>IF(INDEX(DarlBindung,4)="",1,IF($E1621&lt;=INDEX(DarlBindung,4),1,0))</f>
      </c>
      <c r="H1621" s="43">
        <f>IF($G1621=1,INDEX(DarlSollzins,4),INDEX(DarlAnschluss,4))</f>
      </c>
      <c r="I1621" s="43">
        <f>IF(INDEX(DarlBelegt,4)=0,0,IF(INDEX(DarlOhneTilgung,4)=1,IF(INDEX(DarlBindung,4)="",1,$G1621),IF($J1621&gt;0.005,1,0)))</f>
      </c>
      <c r="J1621" s="43">
        <f>IF($I1620=0,0,$R1620)</f>
      </c>
      <c r="K1621" s="43">
        <f>IF($I1621=0,0,IF(INDEX(DarlOhneTilgung,4)=1,0,IF(AND(INDEX(DarlTilgStart,4)&gt;0,$E1621=INDEX(DarlTilgStart,4)),$J1621*($H1621+INDEX(DarlTilgung,4))/100/12,IF(AND($G1621=0,$G1620=1),MAX($K1620,$J1621*($H1621+1)/100/12),$K1620))))</f>
      </c>
      <c r="L1621" s="43">
        <f>IF($I1621=0,0,$J1621*$H1621/100/12)</f>
      </c>
      <c r="M1621" s="43">
        <f>IF($I1621=0,0,IF(OR(INDEX(DarlOhneTilgung,4)=1,AND(INDEX(DarlTilgStart,4)&gt;0,$E1621&lt;INDEX(DarlTilgStart,4))),0,MIN(MAX(0,$K1621-$L1621),$J1621)))</f>
      </c>
      <c r="N1621" s="43">
        <f>IF($I1621=0,0,MIN(SUMIFS(SondBetrag,SondDarl,4,SondDatum,"&gt;="&amp;$E1621,SondDatum,"&lt;="&amp;EOMONTH($E1621,0)),$J1621-$M1621))</f>
      </c>
      <c r="O1621" s="43">
        <f>IF($I1621=0,0,INDEX(DarlErsatzRate,4))</f>
      </c>
      <c r="P1621" s="43">
        <f>IF($I1621=0,0,$Q1620*INDEX(DarlErsatzZins,4))</f>
      </c>
      <c r="Q1621" s="43">
        <f>IF($I1621=0,0,$Q1620+$P1621+$O1621)</f>
      </c>
      <c r="R1621" s="43">
        <f>IF($I1621=0,0,$J1621-$M1621-$N1621)</f>
      </c>
    </row>
    <row r="1622">
      <c r="A1622"/>
      <c r="B1622">
        <v>4</v>
      </c>
      <c r="C1622" s="43">
        <f>INDEX(DarlObj,4)</f>
      </c>
      <c r="D1622">
        <v>179</v>
      </c>
      <c r="E1622" s="51">
        <f>IF(INDEX(DarlBelegt,4)=0,0,EOMONTH(INDEX(DarlAuszahlung,4),178)+1)</f>
      </c>
      <c r="F1622" s="43">
        <f>IF($E1622=0,0,YEAR($E1622))</f>
      </c>
      <c r="G1622" s="43">
        <f>IF(INDEX(DarlBindung,4)="",1,IF($E1622&lt;=INDEX(DarlBindung,4),1,0))</f>
      </c>
      <c r="H1622" s="43">
        <f>IF($G1622=1,INDEX(DarlSollzins,4),INDEX(DarlAnschluss,4))</f>
      </c>
      <c r="I1622" s="43">
        <f>IF(INDEX(DarlBelegt,4)=0,0,IF(INDEX(DarlOhneTilgung,4)=1,IF(INDEX(DarlBindung,4)="",1,$G1622),IF($J1622&gt;0.005,1,0)))</f>
      </c>
      <c r="J1622" s="43">
        <f>IF($I1621=0,0,$R1621)</f>
      </c>
      <c r="K1622" s="43">
        <f>IF($I1622=0,0,IF(INDEX(DarlOhneTilgung,4)=1,0,IF(AND(INDEX(DarlTilgStart,4)&gt;0,$E1622=INDEX(DarlTilgStart,4)),$J1622*($H1622+INDEX(DarlTilgung,4))/100/12,IF(AND($G1622=0,$G1621=1),MAX($K1621,$J1622*($H1622+1)/100/12),$K1621))))</f>
      </c>
      <c r="L1622" s="43">
        <f>IF($I1622=0,0,$J1622*$H1622/100/12)</f>
      </c>
      <c r="M1622" s="43">
        <f>IF($I1622=0,0,IF(OR(INDEX(DarlOhneTilgung,4)=1,AND(INDEX(DarlTilgStart,4)&gt;0,$E1622&lt;INDEX(DarlTilgStart,4))),0,MIN(MAX(0,$K1622-$L1622),$J1622)))</f>
      </c>
      <c r="N1622" s="43">
        <f>IF($I1622=0,0,MIN(SUMIFS(SondBetrag,SondDarl,4,SondDatum,"&gt;="&amp;$E1622,SondDatum,"&lt;="&amp;EOMONTH($E1622,0)),$J1622-$M1622))</f>
      </c>
      <c r="O1622" s="43">
        <f>IF($I1622=0,0,INDEX(DarlErsatzRate,4))</f>
      </c>
      <c r="P1622" s="43">
        <f>IF($I1622=0,0,$Q1621*INDEX(DarlErsatzZins,4))</f>
      </c>
      <c r="Q1622" s="43">
        <f>IF($I1622=0,0,$Q1621+$P1622+$O1622)</f>
      </c>
      <c r="R1622" s="43">
        <f>IF($I1622=0,0,$J1622-$M1622-$N1622)</f>
      </c>
    </row>
    <row r="1623">
      <c r="A1623"/>
      <c r="B1623">
        <v>4</v>
      </c>
      <c r="C1623" s="43">
        <f>INDEX(DarlObj,4)</f>
      </c>
      <c r="D1623">
        <v>180</v>
      </c>
      <c r="E1623" s="51">
        <f>IF(INDEX(DarlBelegt,4)=0,0,EOMONTH(INDEX(DarlAuszahlung,4),179)+1)</f>
      </c>
      <c r="F1623" s="43">
        <f>IF($E1623=0,0,YEAR($E1623))</f>
      </c>
      <c r="G1623" s="43">
        <f>IF(INDEX(DarlBindung,4)="",1,IF($E1623&lt;=INDEX(DarlBindung,4),1,0))</f>
      </c>
      <c r="H1623" s="43">
        <f>IF($G1623=1,INDEX(DarlSollzins,4),INDEX(DarlAnschluss,4))</f>
      </c>
      <c r="I1623" s="43">
        <f>IF(INDEX(DarlBelegt,4)=0,0,IF(INDEX(DarlOhneTilgung,4)=1,IF(INDEX(DarlBindung,4)="",1,$G1623),IF($J1623&gt;0.005,1,0)))</f>
      </c>
      <c r="J1623" s="43">
        <f>IF($I1622=0,0,$R1622)</f>
      </c>
      <c r="K1623" s="43">
        <f>IF($I1623=0,0,IF(INDEX(DarlOhneTilgung,4)=1,0,IF(AND(INDEX(DarlTilgStart,4)&gt;0,$E1623=INDEX(DarlTilgStart,4)),$J1623*($H1623+INDEX(DarlTilgung,4))/100/12,IF(AND($G1623=0,$G1622=1),MAX($K1622,$J1623*($H1623+1)/100/12),$K1622))))</f>
      </c>
      <c r="L1623" s="43">
        <f>IF($I1623=0,0,$J1623*$H1623/100/12)</f>
      </c>
      <c r="M1623" s="43">
        <f>IF($I1623=0,0,IF(OR(INDEX(DarlOhneTilgung,4)=1,AND(INDEX(DarlTilgStart,4)&gt;0,$E1623&lt;INDEX(DarlTilgStart,4))),0,MIN(MAX(0,$K1623-$L1623),$J1623)))</f>
      </c>
      <c r="N1623" s="43">
        <f>IF($I1623=0,0,MIN(SUMIFS(SondBetrag,SondDarl,4,SondDatum,"&gt;="&amp;$E1623,SondDatum,"&lt;="&amp;EOMONTH($E1623,0)),$J1623-$M1623))</f>
      </c>
      <c r="O1623" s="43">
        <f>IF($I1623=0,0,INDEX(DarlErsatzRate,4))</f>
      </c>
      <c r="P1623" s="43">
        <f>IF($I1623=0,0,$Q1622*INDEX(DarlErsatzZins,4))</f>
      </c>
      <c r="Q1623" s="43">
        <f>IF($I1623=0,0,$Q1622+$P1623+$O1623)</f>
      </c>
      <c r="R1623" s="43">
        <f>IF($I1623=0,0,$J1623-$M1623-$N1623)</f>
      </c>
    </row>
    <row r="1624">
      <c r="A1624"/>
      <c r="B1624">
        <v>4</v>
      </c>
      <c r="C1624" s="43">
        <f>INDEX(DarlObj,4)</f>
      </c>
      <c r="D1624">
        <v>181</v>
      </c>
      <c r="E1624" s="51">
        <f>IF(INDEX(DarlBelegt,4)=0,0,EOMONTH(INDEX(DarlAuszahlung,4),180)+1)</f>
      </c>
      <c r="F1624" s="43">
        <f>IF($E1624=0,0,YEAR($E1624))</f>
      </c>
      <c r="G1624" s="43">
        <f>IF(INDEX(DarlBindung,4)="",1,IF($E1624&lt;=INDEX(DarlBindung,4),1,0))</f>
      </c>
      <c r="H1624" s="43">
        <f>IF($G1624=1,INDEX(DarlSollzins,4),INDEX(DarlAnschluss,4))</f>
      </c>
      <c r="I1624" s="43">
        <f>IF(INDEX(DarlBelegt,4)=0,0,IF(INDEX(DarlOhneTilgung,4)=1,IF(INDEX(DarlBindung,4)="",1,$G1624),IF($J1624&gt;0.005,1,0)))</f>
      </c>
      <c r="J1624" s="43">
        <f>IF($I1623=0,0,$R1623)</f>
      </c>
      <c r="K1624" s="43">
        <f>IF($I1624=0,0,IF(INDEX(DarlOhneTilgung,4)=1,0,IF(AND(INDEX(DarlTilgStart,4)&gt;0,$E1624=INDEX(DarlTilgStart,4)),$J1624*($H1624+INDEX(DarlTilgung,4))/100/12,IF(AND($G1624=0,$G1623=1),MAX($K1623,$J1624*($H1624+1)/100/12),$K1623))))</f>
      </c>
      <c r="L1624" s="43">
        <f>IF($I1624=0,0,$J1624*$H1624/100/12)</f>
      </c>
      <c r="M1624" s="43">
        <f>IF($I1624=0,0,IF(OR(INDEX(DarlOhneTilgung,4)=1,AND(INDEX(DarlTilgStart,4)&gt;0,$E1624&lt;INDEX(DarlTilgStart,4))),0,MIN(MAX(0,$K1624-$L1624),$J1624)))</f>
      </c>
      <c r="N1624" s="43">
        <f>IF($I1624=0,0,MIN(SUMIFS(SondBetrag,SondDarl,4,SondDatum,"&gt;="&amp;$E1624,SondDatum,"&lt;="&amp;EOMONTH($E1624,0)),$J1624-$M1624))</f>
      </c>
      <c r="O1624" s="43">
        <f>IF($I1624=0,0,INDEX(DarlErsatzRate,4))</f>
      </c>
      <c r="P1624" s="43">
        <f>IF($I1624=0,0,$Q1623*INDEX(DarlErsatzZins,4))</f>
      </c>
      <c r="Q1624" s="43">
        <f>IF($I1624=0,0,$Q1623+$P1624+$O1624)</f>
      </c>
      <c r="R1624" s="43">
        <f>IF($I1624=0,0,$J1624-$M1624-$N1624)</f>
      </c>
    </row>
    <row r="1625">
      <c r="A1625"/>
      <c r="B1625">
        <v>4</v>
      </c>
      <c r="C1625" s="43">
        <f>INDEX(DarlObj,4)</f>
      </c>
      <c r="D1625">
        <v>182</v>
      </c>
      <c r="E1625" s="51">
        <f>IF(INDEX(DarlBelegt,4)=0,0,EOMONTH(INDEX(DarlAuszahlung,4),181)+1)</f>
      </c>
      <c r="F1625" s="43">
        <f>IF($E1625=0,0,YEAR($E1625))</f>
      </c>
      <c r="G1625" s="43">
        <f>IF(INDEX(DarlBindung,4)="",1,IF($E1625&lt;=INDEX(DarlBindung,4),1,0))</f>
      </c>
      <c r="H1625" s="43">
        <f>IF($G1625=1,INDEX(DarlSollzins,4),INDEX(DarlAnschluss,4))</f>
      </c>
      <c r="I1625" s="43">
        <f>IF(INDEX(DarlBelegt,4)=0,0,IF(INDEX(DarlOhneTilgung,4)=1,IF(INDEX(DarlBindung,4)="",1,$G1625),IF($J1625&gt;0.005,1,0)))</f>
      </c>
      <c r="J1625" s="43">
        <f>IF($I1624=0,0,$R1624)</f>
      </c>
      <c r="K1625" s="43">
        <f>IF($I1625=0,0,IF(INDEX(DarlOhneTilgung,4)=1,0,IF(AND(INDEX(DarlTilgStart,4)&gt;0,$E1625=INDEX(DarlTilgStart,4)),$J1625*($H1625+INDEX(DarlTilgung,4))/100/12,IF(AND($G1625=0,$G1624=1),MAX($K1624,$J1625*($H1625+1)/100/12),$K1624))))</f>
      </c>
      <c r="L1625" s="43">
        <f>IF($I1625=0,0,$J1625*$H1625/100/12)</f>
      </c>
      <c r="M1625" s="43">
        <f>IF($I1625=0,0,IF(OR(INDEX(DarlOhneTilgung,4)=1,AND(INDEX(DarlTilgStart,4)&gt;0,$E1625&lt;INDEX(DarlTilgStart,4))),0,MIN(MAX(0,$K1625-$L1625),$J1625)))</f>
      </c>
      <c r="N1625" s="43">
        <f>IF($I1625=0,0,MIN(SUMIFS(SondBetrag,SondDarl,4,SondDatum,"&gt;="&amp;$E1625,SondDatum,"&lt;="&amp;EOMONTH($E1625,0)),$J1625-$M1625))</f>
      </c>
      <c r="O1625" s="43">
        <f>IF($I1625=0,0,INDEX(DarlErsatzRate,4))</f>
      </c>
      <c r="P1625" s="43">
        <f>IF($I1625=0,0,$Q1624*INDEX(DarlErsatzZins,4))</f>
      </c>
      <c r="Q1625" s="43">
        <f>IF($I1625=0,0,$Q1624+$P1625+$O1625)</f>
      </c>
      <c r="R1625" s="43">
        <f>IF($I1625=0,0,$J1625-$M1625-$N1625)</f>
      </c>
    </row>
    <row r="1626">
      <c r="A1626"/>
      <c r="B1626">
        <v>4</v>
      </c>
      <c r="C1626" s="43">
        <f>INDEX(DarlObj,4)</f>
      </c>
      <c r="D1626">
        <v>183</v>
      </c>
      <c r="E1626" s="51">
        <f>IF(INDEX(DarlBelegt,4)=0,0,EOMONTH(INDEX(DarlAuszahlung,4),182)+1)</f>
      </c>
      <c r="F1626" s="43">
        <f>IF($E1626=0,0,YEAR($E1626))</f>
      </c>
      <c r="G1626" s="43">
        <f>IF(INDEX(DarlBindung,4)="",1,IF($E1626&lt;=INDEX(DarlBindung,4),1,0))</f>
      </c>
      <c r="H1626" s="43">
        <f>IF($G1626=1,INDEX(DarlSollzins,4),INDEX(DarlAnschluss,4))</f>
      </c>
      <c r="I1626" s="43">
        <f>IF(INDEX(DarlBelegt,4)=0,0,IF(INDEX(DarlOhneTilgung,4)=1,IF(INDEX(DarlBindung,4)="",1,$G1626),IF($J1626&gt;0.005,1,0)))</f>
      </c>
      <c r="J1626" s="43">
        <f>IF($I1625=0,0,$R1625)</f>
      </c>
      <c r="K1626" s="43">
        <f>IF($I1626=0,0,IF(INDEX(DarlOhneTilgung,4)=1,0,IF(AND(INDEX(DarlTilgStart,4)&gt;0,$E1626=INDEX(DarlTilgStart,4)),$J1626*($H1626+INDEX(DarlTilgung,4))/100/12,IF(AND($G1626=0,$G1625=1),MAX($K1625,$J1626*($H1626+1)/100/12),$K1625))))</f>
      </c>
      <c r="L1626" s="43">
        <f>IF($I1626=0,0,$J1626*$H1626/100/12)</f>
      </c>
      <c r="M1626" s="43">
        <f>IF($I1626=0,0,IF(OR(INDEX(DarlOhneTilgung,4)=1,AND(INDEX(DarlTilgStart,4)&gt;0,$E1626&lt;INDEX(DarlTilgStart,4))),0,MIN(MAX(0,$K1626-$L1626),$J1626)))</f>
      </c>
      <c r="N1626" s="43">
        <f>IF($I1626=0,0,MIN(SUMIFS(SondBetrag,SondDarl,4,SondDatum,"&gt;="&amp;$E1626,SondDatum,"&lt;="&amp;EOMONTH($E1626,0)),$J1626-$M1626))</f>
      </c>
      <c r="O1626" s="43">
        <f>IF($I1626=0,0,INDEX(DarlErsatzRate,4))</f>
      </c>
      <c r="P1626" s="43">
        <f>IF($I1626=0,0,$Q1625*INDEX(DarlErsatzZins,4))</f>
      </c>
      <c r="Q1626" s="43">
        <f>IF($I1626=0,0,$Q1625+$P1626+$O1626)</f>
      </c>
      <c r="R1626" s="43">
        <f>IF($I1626=0,0,$J1626-$M1626-$N1626)</f>
      </c>
    </row>
    <row r="1627">
      <c r="A1627"/>
      <c r="B1627">
        <v>4</v>
      </c>
      <c r="C1627" s="43">
        <f>INDEX(DarlObj,4)</f>
      </c>
      <c r="D1627">
        <v>184</v>
      </c>
      <c r="E1627" s="51">
        <f>IF(INDEX(DarlBelegt,4)=0,0,EOMONTH(INDEX(DarlAuszahlung,4),183)+1)</f>
      </c>
      <c r="F1627" s="43">
        <f>IF($E1627=0,0,YEAR($E1627))</f>
      </c>
      <c r="G1627" s="43">
        <f>IF(INDEX(DarlBindung,4)="",1,IF($E1627&lt;=INDEX(DarlBindung,4),1,0))</f>
      </c>
      <c r="H1627" s="43">
        <f>IF($G1627=1,INDEX(DarlSollzins,4),INDEX(DarlAnschluss,4))</f>
      </c>
      <c r="I1627" s="43">
        <f>IF(INDEX(DarlBelegt,4)=0,0,IF(INDEX(DarlOhneTilgung,4)=1,IF(INDEX(DarlBindung,4)="",1,$G1627),IF($J1627&gt;0.005,1,0)))</f>
      </c>
      <c r="J1627" s="43">
        <f>IF($I1626=0,0,$R1626)</f>
      </c>
      <c r="K1627" s="43">
        <f>IF($I1627=0,0,IF(INDEX(DarlOhneTilgung,4)=1,0,IF(AND(INDEX(DarlTilgStart,4)&gt;0,$E1627=INDEX(DarlTilgStart,4)),$J1627*($H1627+INDEX(DarlTilgung,4))/100/12,IF(AND($G1627=0,$G1626=1),MAX($K1626,$J1627*($H1627+1)/100/12),$K1626))))</f>
      </c>
      <c r="L1627" s="43">
        <f>IF($I1627=0,0,$J1627*$H1627/100/12)</f>
      </c>
      <c r="M1627" s="43">
        <f>IF($I1627=0,0,IF(OR(INDEX(DarlOhneTilgung,4)=1,AND(INDEX(DarlTilgStart,4)&gt;0,$E1627&lt;INDEX(DarlTilgStart,4))),0,MIN(MAX(0,$K1627-$L1627),$J1627)))</f>
      </c>
      <c r="N1627" s="43">
        <f>IF($I1627=0,0,MIN(SUMIFS(SondBetrag,SondDarl,4,SondDatum,"&gt;="&amp;$E1627,SondDatum,"&lt;="&amp;EOMONTH($E1627,0)),$J1627-$M1627))</f>
      </c>
      <c r="O1627" s="43">
        <f>IF($I1627=0,0,INDEX(DarlErsatzRate,4))</f>
      </c>
      <c r="P1627" s="43">
        <f>IF($I1627=0,0,$Q1626*INDEX(DarlErsatzZins,4))</f>
      </c>
      <c r="Q1627" s="43">
        <f>IF($I1627=0,0,$Q1626+$P1627+$O1627)</f>
      </c>
      <c r="R1627" s="43">
        <f>IF($I1627=0,0,$J1627-$M1627-$N1627)</f>
      </c>
    </row>
    <row r="1628">
      <c r="A1628"/>
      <c r="B1628">
        <v>4</v>
      </c>
      <c r="C1628" s="43">
        <f>INDEX(DarlObj,4)</f>
      </c>
      <c r="D1628">
        <v>185</v>
      </c>
      <c r="E1628" s="51">
        <f>IF(INDEX(DarlBelegt,4)=0,0,EOMONTH(INDEX(DarlAuszahlung,4),184)+1)</f>
      </c>
      <c r="F1628" s="43">
        <f>IF($E1628=0,0,YEAR($E1628))</f>
      </c>
      <c r="G1628" s="43">
        <f>IF(INDEX(DarlBindung,4)="",1,IF($E1628&lt;=INDEX(DarlBindung,4),1,0))</f>
      </c>
      <c r="H1628" s="43">
        <f>IF($G1628=1,INDEX(DarlSollzins,4),INDEX(DarlAnschluss,4))</f>
      </c>
      <c r="I1628" s="43">
        <f>IF(INDEX(DarlBelegt,4)=0,0,IF(INDEX(DarlOhneTilgung,4)=1,IF(INDEX(DarlBindung,4)="",1,$G1628),IF($J1628&gt;0.005,1,0)))</f>
      </c>
      <c r="J1628" s="43">
        <f>IF($I1627=0,0,$R1627)</f>
      </c>
      <c r="K1628" s="43">
        <f>IF($I1628=0,0,IF(INDEX(DarlOhneTilgung,4)=1,0,IF(AND(INDEX(DarlTilgStart,4)&gt;0,$E1628=INDEX(DarlTilgStart,4)),$J1628*($H1628+INDEX(DarlTilgung,4))/100/12,IF(AND($G1628=0,$G1627=1),MAX($K1627,$J1628*($H1628+1)/100/12),$K1627))))</f>
      </c>
      <c r="L1628" s="43">
        <f>IF($I1628=0,0,$J1628*$H1628/100/12)</f>
      </c>
      <c r="M1628" s="43">
        <f>IF($I1628=0,0,IF(OR(INDEX(DarlOhneTilgung,4)=1,AND(INDEX(DarlTilgStart,4)&gt;0,$E1628&lt;INDEX(DarlTilgStart,4))),0,MIN(MAX(0,$K1628-$L1628),$J1628)))</f>
      </c>
      <c r="N1628" s="43">
        <f>IF($I1628=0,0,MIN(SUMIFS(SondBetrag,SondDarl,4,SondDatum,"&gt;="&amp;$E1628,SondDatum,"&lt;="&amp;EOMONTH($E1628,0)),$J1628-$M1628))</f>
      </c>
      <c r="O1628" s="43">
        <f>IF($I1628=0,0,INDEX(DarlErsatzRate,4))</f>
      </c>
      <c r="P1628" s="43">
        <f>IF($I1628=0,0,$Q1627*INDEX(DarlErsatzZins,4))</f>
      </c>
      <c r="Q1628" s="43">
        <f>IF($I1628=0,0,$Q1627+$P1628+$O1628)</f>
      </c>
      <c r="R1628" s="43">
        <f>IF($I1628=0,0,$J1628-$M1628-$N1628)</f>
      </c>
    </row>
    <row r="1629">
      <c r="A1629"/>
      <c r="B1629">
        <v>4</v>
      </c>
      <c r="C1629" s="43">
        <f>INDEX(DarlObj,4)</f>
      </c>
      <c r="D1629">
        <v>186</v>
      </c>
      <c r="E1629" s="51">
        <f>IF(INDEX(DarlBelegt,4)=0,0,EOMONTH(INDEX(DarlAuszahlung,4),185)+1)</f>
      </c>
      <c r="F1629" s="43">
        <f>IF($E1629=0,0,YEAR($E1629))</f>
      </c>
      <c r="G1629" s="43">
        <f>IF(INDEX(DarlBindung,4)="",1,IF($E1629&lt;=INDEX(DarlBindung,4),1,0))</f>
      </c>
      <c r="H1629" s="43">
        <f>IF($G1629=1,INDEX(DarlSollzins,4),INDEX(DarlAnschluss,4))</f>
      </c>
      <c r="I1629" s="43">
        <f>IF(INDEX(DarlBelegt,4)=0,0,IF(INDEX(DarlOhneTilgung,4)=1,IF(INDEX(DarlBindung,4)="",1,$G1629),IF($J1629&gt;0.005,1,0)))</f>
      </c>
      <c r="J1629" s="43">
        <f>IF($I1628=0,0,$R1628)</f>
      </c>
      <c r="K1629" s="43">
        <f>IF($I1629=0,0,IF(INDEX(DarlOhneTilgung,4)=1,0,IF(AND(INDEX(DarlTilgStart,4)&gt;0,$E1629=INDEX(DarlTilgStart,4)),$J1629*($H1629+INDEX(DarlTilgung,4))/100/12,IF(AND($G1629=0,$G1628=1),MAX($K1628,$J1629*($H1629+1)/100/12),$K1628))))</f>
      </c>
      <c r="L1629" s="43">
        <f>IF($I1629=0,0,$J1629*$H1629/100/12)</f>
      </c>
      <c r="M1629" s="43">
        <f>IF($I1629=0,0,IF(OR(INDEX(DarlOhneTilgung,4)=1,AND(INDEX(DarlTilgStart,4)&gt;0,$E1629&lt;INDEX(DarlTilgStart,4))),0,MIN(MAX(0,$K1629-$L1629),$J1629)))</f>
      </c>
      <c r="N1629" s="43">
        <f>IF($I1629=0,0,MIN(SUMIFS(SondBetrag,SondDarl,4,SondDatum,"&gt;="&amp;$E1629,SondDatum,"&lt;="&amp;EOMONTH($E1629,0)),$J1629-$M1629))</f>
      </c>
      <c r="O1629" s="43">
        <f>IF($I1629=0,0,INDEX(DarlErsatzRate,4))</f>
      </c>
      <c r="P1629" s="43">
        <f>IF($I1629=0,0,$Q1628*INDEX(DarlErsatzZins,4))</f>
      </c>
      <c r="Q1629" s="43">
        <f>IF($I1629=0,0,$Q1628+$P1629+$O1629)</f>
      </c>
      <c r="R1629" s="43">
        <f>IF($I1629=0,0,$J1629-$M1629-$N1629)</f>
      </c>
    </row>
    <row r="1630">
      <c r="A1630"/>
      <c r="B1630">
        <v>4</v>
      </c>
      <c r="C1630" s="43">
        <f>INDEX(DarlObj,4)</f>
      </c>
      <c r="D1630">
        <v>187</v>
      </c>
      <c r="E1630" s="51">
        <f>IF(INDEX(DarlBelegt,4)=0,0,EOMONTH(INDEX(DarlAuszahlung,4),186)+1)</f>
      </c>
      <c r="F1630" s="43">
        <f>IF($E1630=0,0,YEAR($E1630))</f>
      </c>
      <c r="G1630" s="43">
        <f>IF(INDEX(DarlBindung,4)="",1,IF($E1630&lt;=INDEX(DarlBindung,4),1,0))</f>
      </c>
      <c r="H1630" s="43">
        <f>IF($G1630=1,INDEX(DarlSollzins,4),INDEX(DarlAnschluss,4))</f>
      </c>
      <c r="I1630" s="43">
        <f>IF(INDEX(DarlBelegt,4)=0,0,IF(INDEX(DarlOhneTilgung,4)=1,IF(INDEX(DarlBindung,4)="",1,$G1630),IF($J1630&gt;0.005,1,0)))</f>
      </c>
      <c r="J1630" s="43">
        <f>IF($I1629=0,0,$R1629)</f>
      </c>
      <c r="K1630" s="43">
        <f>IF($I1630=0,0,IF(INDEX(DarlOhneTilgung,4)=1,0,IF(AND(INDEX(DarlTilgStart,4)&gt;0,$E1630=INDEX(DarlTilgStart,4)),$J1630*($H1630+INDEX(DarlTilgung,4))/100/12,IF(AND($G1630=0,$G1629=1),MAX($K1629,$J1630*($H1630+1)/100/12),$K1629))))</f>
      </c>
      <c r="L1630" s="43">
        <f>IF($I1630=0,0,$J1630*$H1630/100/12)</f>
      </c>
      <c r="M1630" s="43">
        <f>IF($I1630=0,0,IF(OR(INDEX(DarlOhneTilgung,4)=1,AND(INDEX(DarlTilgStart,4)&gt;0,$E1630&lt;INDEX(DarlTilgStart,4))),0,MIN(MAX(0,$K1630-$L1630),$J1630)))</f>
      </c>
      <c r="N1630" s="43">
        <f>IF($I1630=0,0,MIN(SUMIFS(SondBetrag,SondDarl,4,SondDatum,"&gt;="&amp;$E1630,SondDatum,"&lt;="&amp;EOMONTH($E1630,0)),$J1630-$M1630))</f>
      </c>
      <c r="O1630" s="43">
        <f>IF($I1630=0,0,INDEX(DarlErsatzRate,4))</f>
      </c>
      <c r="P1630" s="43">
        <f>IF($I1630=0,0,$Q1629*INDEX(DarlErsatzZins,4))</f>
      </c>
      <c r="Q1630" s="43">
        <f>IF($I1630=0,0,$Q1629+$P1630+$O1630)</f>
      </c>
      <c r="R1630" s="43">
        <f>IF($I1630=0,0,$J1630-$M1630-$N1630)</f>
      </c>
    </row>
    <row r="1631">
      <c r="A1631"/>
      <c r="B1631">
        <v>4</v>
      </c>
      <c r="C1631" s="43">
        <f>INDEX(DarlObj,4)</f>
      </c>
      <c r="D1631">
        <v>188</v>
      </c>
      <c r="E1631" s="51">
        <f>IF(INDEX(DarlBelegt,4)=0,0,EOMONTH(INDEX(DarlAuszahlung,4),187)+1)</f>
      </c>
      <c r="F1631" s="43">
        <f>IF($E1631=0,0,YEAR($E1631))</f>
      </c>
      <c r="G1631" s="43">
        <f>IF(INDEX(DarlBindung,4)="",1,IF($E1631&lt;=INDEX(DarlBindung,4),1,0))</f>
      </c>
      <c r="H1631" s="43">
        <f>IF($G1631=1,INDEX(DarlSollzins,4),INDEX(DarlAnschluss,4))</f>
      </c>
      <c r="I1631" s="43">
        <f>IF(INDEX(DarlBelegt,4)=0,0,IF(INDEX(DarlOhneTilgung,4)=1,IF(INDEX(DarlBindung,4)="",1,$G1631),IF($J1631&gt;0.005,1,0)))</f>
      </c>
      <c r="J1631" s="43">
        <f>IF($I1630=0,0,$R1630)</f>
      </c>
      <c r="K1631" s="43">
        <f>IF($I1631=0,0,IF(INDEX(DarlOhneTilgung,4)=1,0,IF(AND(INDEX(DarlTilgStart,4)&gt;0,$E1631=INDEX(DarlTilgStart,4)),$J1631*($H1631+INDEX(DarlTilgung,4))/100/12,IF(AND($G1631=0,$G1630=1),MAX($K1630,$J1631*($H1631+1)/100/12),$K1630))))</f>
      </c>
      <c r="L1631" s="43">
        <f>IF($I1631=0,0,$J1631*$H1631/100/12)</f>
      </c>
      <c r="M1631" s="43">
        <f>IF($I1631=0,0,IF(OR(INDEX(DarlOhneTilgung,4)=1,AND(INDEX(DarlTilgStart,4)&gt;0,$E1631&lt;INDEX(DarlTilgStart,4))),0,MIN(MAX(0,$K1631-$L1631),$J1631)))</f>
      </c>
      <c r="N1631" s="43">
        <f>IF($I1631=0,0,MIN(SUMIFS(SondBetrag,SondDarl,4,SondDatum,"&gt;="&amp;$E1631,SondDatum,"&lt;="&amp;EOMONTH($E1631,0)),$J1631-$M1631))</f>
      </c>
      <c r="O1631" s="43">
        <f>IF($I1631=0,0,INDEX(DarlErsatzRate,4))</f>
      </c>
      <c r="P1631" s="43">
        <f>IF($I1631=0,0,$Q1630*INDEX(DarlErsatzZins,4))</f>
      </c>
      <c r="Q1631" s="43">
        <f>IF($I1631=0,0,$Q1630+$P1631+$O1631)</f>
      </c>
      <c r="R1631" s="43">
        <f>IF($I1631=0,0,$J1631-$M1631-$N1631)</f>
      </c>
    </row>
    <row r="1632">
      <c r="A1632"/>
      <c r="B1632">
        <v>4</v>
      </c>
      <c r="C1632" s="43">
        <f>INDEX(DarlObj,4)</f>
      </c>
      <c r="D1632">
        <v>189</v>
      </c>
      <c r="E1632" s="51">
        <f>IF(INDEX(DarlBelegt,4)=0,0,EOMONTH(INDEX(DarlAuszahlung,4),188)+1)</f>
      </c>
      <c r="F1632" s="43">
        <f>IF($E1632=0,0,YEAR($E1632))</f>
      </c>
      <c r="G1632" s="43">
        <f>IF(INDEX(DarlBindung,4)="",1,IF($E1632&lt;=INDEX(DarlBindung,4),1,0))</f>
      </c>
      <c r="H1632" s="43">
        <f>IF($G1632=1,INDEX(DarlSollzins,4),INDEX(DarlAnschluss,4))</f>
      </c>
      <c r="I1632" s="43">
        <f>IF(INDEX(DarlBelegt,4)=0,0,IF(INDEX(DarlOhneTilgung,4)=1,IF(INDEX(DarlBindung,4)="",1,$G1632),IF($J1632&gt;0.005,1,0)))</f>
      </c>
      <c r="J1632" s="43">
        <f>IF($I1631=0,0,$R1631)</f>
      </c>
      <c r="K1632" s="43">
        <f>IF($I1632=0,0,IF(INDEX(DarlOhneTilgung,4)=1,0,IF(AND(INDEX(DarlTilgStart,4)&gt;0,$E1632=INDEX(DarlTilgStart,4)),$J1632*($H1632+INDEX(DarlTilgung,4))/100/12,IF(AND($G1632=0,$G1631=1),MAX($K1631,$J1632*($H1632+1)/100/12),$K1631))))</f>
      </c>
      <c r="L1632" s="43">
        <f>IF($I1632=0,0,$J1632*$H1632/100/12)</f>
      </c>
      <c r="M1632" s="43">
        <f>IF($I1632=0,0,IF(OR(INDEX(DarlOhneTilgung,4)=1,AND(INDEX(DarlTilgStart,4)&gt;0,$E1632&lt;INDEX(DarlTilgStart,4))),0,MIN(MAX(0,$K1632-$L1632),$J1632)))</f>
      </c>
      <c r="N1632" s="43">
        <f>IF($I1632=0,0,MIN(SUMIFS(SondBetrag,SondDarl,4,SondDatum,"&gt;="&amp;$E1632,SondDatum,"&lt;="&amp;EOMONTH($E1632,0)),$J1632-$M1632))</f>
      </c>
      <c r="O1632" s="43">
        <f>IF($I1632=0,0,INDEX(DarlErsatzRate,4))</f>
      </c>
      <c r="P1632" s="43">
        <f>IF($I1632=0,0,$Q1631*INDEX(DarlErsatzZins,4))</f>
      </c>
      <c r="Q1632" s="43">
        <f>IF($I1632=0,0,$Q1631+$P1632+$O1632)</f>
      </c>
      <c r="R1632" s="43">
        <f>IF($I1632=0,0,$J1632-$M1632-$N1632)</f>
      </c>
    </row>
    <row r="1633">
      <c r="A1633"/>
      <c r="B1633">
        <v>4</v>
      </c>
      <c r="C1633" s="43">
        <f>INDEX(DarlObj,4)</f>
      </c>
      <c r="D1633">
        <v>190</v>
      </c>
      <c r="E1633" s="51">
        <f>IF(INDEX(DarlBelegt,4)=0,0,EOMONTH(INDEX(DarlAuszahlung,4),189)+1)</f>
      </c>
      <c r="F1633" s="43">
        <f>IF($E1633=0,0,YEAR($E1633))</f>
      </c>
      <c r="G1633" s="43">
        <f>IF(INDEX(DarlBindung,4)="",1,IF($E1633&lt;=INDEX(DarlBindung,4),1,0))</f>
      </c>
      <c r="H1633" s="43">
        <f>IF($G1633=1,INDEX(DarlSollzins,4),INDEX(DarlAnschluss,4))</f>
      </c>
      <c r="I1633" s="43">
        <f>IF(INDEX(DarlBelegt,4)=0,0,IF(INDEX(DarlOhneTilgung,4)=1,IF(INDEX(DarlBindung,4)="",1,$G1633),IF($J1633&gt;0.005,1,0)))</f>
      </c>
      <c r="J1633" s="43">
        <f>IF($I1632=0,0,$R1632)</f>
      </c>
      <c r="K1633" s="43">
        <f>IF($I1633=0,0,IF(INDEX(DarlOhneTilgung,4)=1,0,IF(AND(INDEX(DarlTilgStart,4)&gt;0,$E1633=INDEX(DarlTilgStart,4)),$J1633*($H1633+INDEX(DarlTilgung,4))/100/12,IF(AND($G1633=0,$G1632=1),MAX($K1632,$J1633*($H1633+1)/100/12),$K1632))))</f>
      </c>
      <c r="L1633" s="43">
        <f>IF($I1633=0,0,$J1633*$H1633/100/12)</f>
      </c>
      <c r="M1633" s="43">
        <f>IF($I1633=0,0,IF(OR(INDEX(DarlOhneTilgung,4)=1,AND(INDEX(DarlTilgStart,4)&gt;0,$E1633&lt;INDEX(DarlTilgStart,4))),0,MIN(MAX(0,$K1633-$L1633),$J1633)))</f>
      </c>
      <c r="N1633" s="43">
        <f>IF($I1633=0,0,MIN(SUMIFS(SondBetrag,SondDarl,4,SondDatum,"&gt;="&amp;$E1633,SondDatum,"&lt;="&amp;EOMONTH($E1633,0)),$J1633-$M1633))</f>
      </c>
      <c r="O1633" s="43">
        <f>IF($I1633=0,0,INDEX(DarlErsatzRate,4))</f>
      </c>
      <c r="P1633" s="43">
        <f>IF($I1633=0,0,$Q1632*INDEX(DarlErsatzZins,4))</f>
      </c>
      <c r="Q1633" s="43">
        <f>IF($I1633=0,0,$Q1632+$P1633+$O1633)</f>
      </c>
      <c r="R1633" s="43">
        <f>IF($I1633=0,0,$J1633-$M1633-$N1633)</f>
      </c>
    </row>
    <row r="1634">
      <c r="A1634"/>
      <c r="B1634">
        <v>4</v>
      </c>
      <c r="C1634" s="43">
        <f>INDEX(DarlObj,4)</f>
      </c>
      <c r="D1634">
        <v>191</v>
      </c>
      <c r="E1634" s="51">
        <f>IF(INDEX(DarlBelegt,4)=0,0,EOMONTH(INDEX(DarlAuszahlung,4),190)+1)</f>
      </c>
      <c r="F1634" s="43">
        <f>IF($E1634=0,0,YEAR($E1634))</f>
      </c>
      <c r="G1634" s="43">
        <f>IF(INDEX(DarlBindung,4)="",1,IF($E1634&lt;=INDEX(DarlBindung,4),1,0))</f>
      </c>
      <c r="H1634" s="43">
        <f>IF($G1634=1,INDEX(DarlSollzins,4),INDEX(DarlAnschluss,4))</f>
      </c>
      <c r="I1634" s="43">
        <f>IF(INDEX(DarlBelegt,4)=0,0,IF(INDEX(DarlOhneTilgung,4)=1,IF(INDEX(DarlBindung,4)="",1,$G1634),IF($J1634&gt;0.005,1,0)))</f>
      </c>
      <c r="J1634" s="43">
        <f>IF($I1633=0,0,$R1633)</f>
      </c>
      <c r="K1634" s="43">
        <f>IF($I1634=0,0,IF(INDEX(DarlOhneTilgung,4)=1,0,IF(AND(INDEX(DarlTilgStart,4)&gt;0,$E1634=INDEX(DarlTilgStart,4)),$J1634*($H1634+INDEX(DarlTilgung,4))/100/12,IF(AND($G1634=0,$G1633=1),MAX($K1633,$J1634*($H1634+1)/100/12),$K1633))))</f>
      </c>
      <c r="L1634" s="43">
        <f>IF($I1634=0,0,$J1634*$H1634/100/12)</f>
      </c>
      <c r="M1634" s="43">
        <f>IF($I1634=0,0,IF(OR(INDEX(DarlOhneTilgung,4)=1,AND(INDEX(DarlTilgStart,4)&gt;0,$E1634&lt;INDEX(DarlTilgStart,4))),0,MIN(MAX(0,$K1634-$L1634),$J1634)))</f>
      </c>
      <c r="N1634" s="43">
        <f>IF($I1634=0,0,MIN(SUMIFS(SondBetrag,SondDarl,4,SondDatum,"&gt;="&amp;$E1634,SondDatum,"&lt;="&amp;EOMONTH($E1634,0)),$J1634-$M1634))</f>
      </c>
      <c r="O1634" s="43">
        <f>IF($I1634=0,0,INDEX(DarlErsatzRate,4))</f>
      </c>
      <c r="P1634" s="43">
        <f>IF($I1634=0,0,$Q1633*INDEX(DarlErsatzZins,4))</f>
      </c>
      <c r="Q1634" s="43">
        <f>IF($I1634=0,0,$Q1633+$P1634+$O1634)</f>
      </c>
      <c r="R1634" s="43">
        <f>IF($I1634=0,0,$J1634-$M1634-$N1634)</f>
      </c>
    </row>
    <row r="1635">
      <c r="A1635"/>
      <c r="B1635">
        <v>4</v>
      </c>
      <c r="C1635" s="43">
        <f>INDEX(DarlObj,4)</f>
      </c>
      <c r="D1635">
        <v>192</v>
      </c>
      <c r="E1635" s="51">
        <f>IF(INDEX(DarlBelegt,4)=0,0,EOMONTH(INDEX(DarlAuszahlung,4),191)+1)</f>
      </c>
      <c r="F1635" s="43">
        <f>IF($E1635=0,0,YEAR($E1635))</f>
      </c>
      <c r="G1635" s="43">
        <f>IF(INDEX(DarlBindung,4)="",1,IF($E1635&lt;=INDEX(DarlBindung,4),1,0))</f>
      </c>
      <c r="H1635" s="43">
        <f>IF($G1635=1,INDEX(DarlSollzins,4),INDEX(DarlAnschluss,4))</f>
      </c>
      <c r="I1635" s="43">
        <f>IF(INDEX(DarlBelegt,4)=0,0,IF(INDEX(DarlOhneTilgung,4)=1,IF(INDEX(DarlBindung,4)="",1,$G1635),IF($J1635&gt;0.005,1,0)))</f>
      </c>
      <c r="J1635" s="43">
        <f>IF($I1634=0,0,$R1634)</f>
      </c>
      <c r="K1635" s="43">
        <f>IF($I1635=0,0,IF(INDEX(DarlOhneTilgung,4)=1,0,IF(AND(INDEX(DarlTilgStart,4)&gt;0,$E1635=INDEX(DarlTilgStart,4)),$J1635*($H1635+INDEX(DarlTilgung,4))/100/12,IF(AND($G1635=0,$G1634=1),MAX($K1634,$J1635*($H1635+1)/100/12),$K1634))))</f>
      </c>
      <c r="L1635" s="43">
        <f>IF($I1635=0,0,$J1635*$H1635/100/12)</f>
      </c>
      <c r="M1635" s="43">
        <f>IF($I1635=0,0,IF(OR(INDEX(DarlOhneTilgung,4)=1,AND(INDEX(DarlTilgStart,4)&gt;0,$E1635&lt;INDEX(DarlTilgStart,4))),0,MIN(MAX(0,$K1635-$L1635),$J1635)))</f>
      </c>
      <c r="N1635" s="43">
        <f>IF($I1635=0,0,MIN(SUMIFS(SondBetrag,SondDarl,4,SondDatum,"&gt;="&amp;$E1635,SondDatum,"&lt;="&amp;EOMONTH($E1635,0)),$J1635-$M1635))</f>
      </c>
      <c r="O1635" s="43">
        <f>IF($I1635=0,0,INDEX(DarlErsatzRate,4))</f>
      </c>
      <c r="P1635" s="43">
        <f>IF($I1635=0,0,$Q1634*INDEX(DarlErsatzZins,4))</f>
      </c>
      <c r="Q1635" s="43">
        <f>IF($I1635=0,0,$Q1634+$P1635+$O1635)</f>
      </c>
      <c r="R1635" s="43">
        <f>IF($I1635=0,0,$J1635-$M1635-$N1635)</f>
      </c>
    </row>
    <row r="1636">
      <c r="A1636"/>
      <c r="B1636">
        <v>4</v>
      </c>
      <c r="C1636" s="43">
        <f>INDEX(DarlObj,4)</f>
      </c>
      <c r="D1636">
        <v>193</v>
      </c>
      <c r="E1636" s="51">
        <f>IF(INDEX(DarlBelegt,4)=0,0,EOMONTH(INDEX(DarlAuszahlung,4),192)+1)</f>
      </c>
      <c r="F1636" s="43">
        <f>IF($E1636=0,0,YEAR($E1636))</f>
      </c>
      <c r="G1636" s="43">
        <f>IF(INDEX(DarlBindung,4)="",1,IF($E1636&lt;=INDEX(DarlBindung,4),1,0))</f>
      </c>
      <c r="H1636" s="43">
        <f>IF($G1636=1,INDEX(DarlSollzins,4),INDEX(DarlAnschluss,4))</f>
      </c>
      <c r="I1636" s="43">
        <f>IF(INDEX(DarlBelegt,4)=0,0,IF(INDEX(DarlOhneTilgung,4)=1,IF(INDEX(DarlBindung,4)="",1,$G1636),IF($J1636&gt;0.005,1,0)))</f>
      </c>
      <c r="J1636" s="43">
        <f>IF($I1635=0,0,$R1635)</f>
      </c>
      <c r="K1636" s="43">
        <f>IF($I1636=0,0,IF(INDEX(DarlOhneTilgung,4)=1,0,IF(AND(INDEX(DarlTilgStart,4)&gt;0,$E1636=INDEX(DarlTilgStart,4)),$J1636*($H1636+INDEX(DarlTilgung,4))/100/12,IF(AND($G1636=0,$G1635=1),MAX($K1635,$J1636*($H1636+1)/100/12),$K1635))))</f>
      </c>
      <c r="L1636" s="43">
        <f>IF($I1636=0,0,$J1636*$H1636/100/12)</f>
      </c>
      <c r="M1636" s="43">
        <f>IF($I1636=0,0,IF(OR(INDEX(DarlOhneTilgung,4)=1,AND(INDEX(DarlTilgStart,4)&gt;0,$E1636&lt;INDEX(DarlTilgStart,4))),0,MIN(MAX(0,$K1636-$L1636),$J1636)))</f>
      </c>
      <c r="N1636" s="43">
        <f>IF($I1636=0,0,MIN(SUMIFS(SondBetrag,SondDarl,4,SondDatum,"&gt;="&amp;$E1636,SondDatum,"&lt;="&amp;EOMONTH($E1636,0)),$J1636-$M1636))</f>
      </c>
      <c r="O1636" s="43">
        <f>IF($I1636=0,0,INDEX(DarlErsatzRate,4))</f>
      </c>
      <c r="P1636" s="43">
        <f>IF($I1636=0,0,$Q1635*INDEX(DarlErsatzZins,4))</f>
      </c>
      <c r="Q1636" s="43">
        <f>IF($I1636=0,0,$Q1635+$P1636+$O1636)</f>
      </c>
      <c r="R1636" s="43">
        <f>IF($I1636=0,0,$J1636-$M1636-$N1636)</f>
      </c>
    </row>
    <row r="1637">
      <c r="A1637"/>
      <c r="B1637">
        <v>4</v>
      </c>
      <c r="C1637" s="43">
        <f>INDEX(DarlObj,4)</f>
      </c>
      <c r="D1637">
        <v>194</v>
      </c>
      <c r="E1637" s="51">
        <f>IF(INDEX(DarlBelegt,4)=0,0,EOMONTH(INDEX(DarlAuszahlung,4),193)+1)</f>
      </c>
      <c r="F1637" s="43">
        <f>IF($E1637=0,0,YEAR($E1637))</f>
      </c>
      <c r="G1637" s="43">
        <f>IF(INDEX(DarlBindung,4)="",1,IF($E1637&lt;=INDEX(DarlBindung,4),1,0))</f>
      </c>
      <c r="H1637" s="43">
        <f>IF($G1637=1,INDEX(DarlSollzins,4),INDEX(DarlAnschluss,4))</f>
      </c>
      <c r="I1637" s="43">
        <f>IF(INDEX(DarlBelegt,4)=0,0,IF(INDEX(DarlOhneTilgung,4)=1,IF(INDEX(DarlBindung,4)="",1,$G1637),IF($J1637&gt;0.005,1,0)))</f>
      </c>
      <c r="J1637" s="43">
        <f>IF($I1636=0,0,$R1636)</f>
      </c>
      <c r="K1637" s="43">
        <f>IF($I1637=0,0,IF(INDEX(DarlOhneTilgung,4)=1,0,IF(AND(INDEX(DarlTilgStart,4)&gt;0,$E1637=INDEX(DarlTilgStart,4)),$J1637*($H1637+INDEX(DarlTilgung,4))/100/12,IF(AND($G1637=0,$G1636=1),MAX($K1636,$J1637*($H1637+1)/100/12),$K1636))))</f>
      </c>
      <c r="L1637" s="43">
        <f>IF($I1637=0,0,$J1637*$H1637/100/12)</f>
      </c>
      <c r="M1637" s="43">
        <f>IF($I1637=0,0,IF(OR(INDEX(DarlOhneTilgung,4)=1,AND(INDEX(DarlTilgStart,4)&gt;0,$E1637&lt;INDEX(DarlTilgStart,4))),0,MIN(MAX(0,$K1637-$L1637),$J1637)))</f>
      </c>
      <c r="N1637" s="43">
        <f>IF($I1637=0,0,MIN(SUMIFS(SondBetrag,SondDarl,4,SondDatum,"&gt;="&amp;$E1637,SondDatum,"&lt;="&amp;EOMONTH($E1637,0)),$J1637-$M1637))</f>
      </c>
      <c r="O1637" s="43">
        <f>IF($I1637=0,0,INDEX(DarlErsatzRate,4))</f>
      </c>
      <c r="P1637" s="43">
        <f>IF($I1637=0,0,$Q1636*INDEX(DarlErsatzZins,4))</f>
      </c>
      <c r="Q1637" s="43">
        <f>IF($I1637=0,0,$Q1636+$P1637+$O1637)</f>
      </c>
      <c r="R1637" s="43">
        <f>IF($I1637=0,0,$J1637-$M1637-$N1637)</f>
      </c>
    </row>
    <row r="1638">
      <c r="A1638"/>
      <c r="B1638">
        <v>4</v>
      </c>
      <c r="C1638" s="43">
        <f>INDEX(DarlObj,4)</f>
      </c>
      <c r="D1638">
        <v>195</v>
      </c>
      <c r="E1638" s="51">
        <f>IF(INDEX(DarlBelegt,4)=0,0,EOMONTH(INDEX(DarlAuszahlung,4),194)+1)</f>
      </c>
      <c r="F1638" s="43">
        <f>IF($E1638=0,0,YEAR($E1638))</f>
      </c>
      <c r="G1638" s="43">
        <f>IF(INDEX(DarlBindung,4)="",1,IF($E1638&lt;=INDEX(DarlBindung,4),1,0))</f>
      </c>
      <c r="H1638" s="43">
        <f>IF($G1638=1,INDEX(DarlSollzins,4),INDEX(DarlAnschluss,4))</f>
      </c>
      <c r="I1638" s="43">
        <f>IF(INDEX(DarlBelegt,4)=0,0,IF(INDEX(DarlOhneTilgung,4)=1,IF(INDEX(DarlBindung,4)="",1,$G1638),IF($J1638&gt;0.005,1,0)))</f>
      </c>
      <c r="J1638" s="43">
        <f>IF($I1637=0,0,$R1637)</f>
      </c>
      <c r="K1638" s="43">
        <f>IF($I1638=0,0,IF(INDEX(DarlOhneTilgung,4)=1,0,IF(AND(INDEX(DarlTilgStart,4)&gt;0,$E1638=INDEX(DarlTilgStart,4)),$J1638*($H1638+INDEX(DarlTilgung,4))/100/12,IF(AND($G1638=0,$G1637=1),MAX($K1637,$J1638*($H1638+1)/100/12),$K1637))))</f>
      </c>
      <c r="L1638" s="43">
        <f>IF($I1638=0,0,$J1638*$H1638/100/12)</f>
      </c>
      <c r="M1638" s="43">
        <f>IF($I1638=0,0,IF(OR(INDEX(DarlOhneTilgung,4)=1,AND(INDEX(DarlTilgStart,4)&gt;0,$E1638&lt;INDEX(DarlTilgStart,4))),0,MIN(MAX(0,$K1638-$L1638),$J1638)))</f>
      </c>
      <c r="N1638" s="43">
        <f>IF($I1638=0,0,MIN(SUMIFS(SondBetrag,SondDarl,4,SondDatum,"&gt;="&amp;$E1638,SondDatum,"&lt;="&amp;EOMONTH($E1638,0)),$J1638-$M1638))</f>
      </c>
      <c r="O1638" s="43">
        <f>IF($I1638=0,0,INDEX(DarlErsatzRate,4))</f>
      </c>
      <c r="P1638" s="43">
        <f>IF($I1638=0,0,$Q1637*INDEX(DarlErsatzZins,4))</f>
      </c>
      <c r="Q1638" s="43">
        <f>IF($I1638=0,0,$Q1637+$P1638+$O1638)</f>
      </c>
      <c r="R1638" s="43">
        <f>IF($I1638=0,0,$J1638-$M1638-$N1638)</f>
      </c>
    </row>
    <row r="1639">
      <c r="A1639"/>
      <c r="B1639">
        <v>4</v>
      </c>
      <c r="C1639" s="43">
        <f>INDEX(DarlObj,4)</f>
      </c>
      <c r="D1639">
        <v>196</v>
      </c>
      <c r="E1639" s="51">
        <f>IF(INDEX(DarlBelegt,4)=0,0,EOMONTH(INDEX(DarlAuszahlung,4),195)+1)</f>
      </c>
      <c r="F1639" s="43">
        <f>IF($E1639=0,0,YEAR($E1639))</f>
      </c>
      <c r="G1639" s="43">
        <f>IF(INDEX(DarlBindung,4)="",1,IF($E1639&lt;=INDEX(DarlBindung,4),1,0))</f>
      </c>
      <c r="H1639" s="43">
        <f>IF($G1639=1,INDEX(DarlSollzins,4),INDEX(DarlAnschluss,4))</f>
      </c>
      <c r="I1639" s="43">
        <f>IF(INDEX(DarlBelegt,4)=0,0,IF(INDEX(DarlOhneTilgung,4)=1,IF(INDEX(DarlBindung,4)="",1,$G1639),IF($J1639&gt;0.005,1,0)))</f>
      </c>
      <c r="J1639" s="43">
        <f>IF($I1638=0,0,$R1638)</f>
      </c>
      <c r="K1639" s="43">
        <f>IF($I1639=0,0,IF(INDEX(DarlOhneTilgung,4)=1,0,IF(AND(INDEX(DarlTilgStart,4)&gt;0,$E1639=INDEX(DarlTilgStart,4)),$J1639*($H1639+INDEX(DarlTilgung,4))/100/12,IF(AND($G1639=0,$G1638=1),MAX($K1638,$J1639*($H1639+1)/100/12),$K1638))))</f>
      </c>
      <c r="L1639" s="43">
        <f>IF($I1639=0,0,$J1639*$H1639/100/12)</f>
      </c>
      <c r="M1639" s="43">
        <f>IF($I1639=0,0,IF(OR(INDEX(DarlOhneTilgung,4)=1,AND(INDEX(DarlTilgStart,4)&gt;0,$E1639&lt;INDEX(DarlTilgStart,4))),0,MIN(MAX(0,$K1639-$L1639),$J1639)))</f>
      </c>
      <c r="N1639" s="43">
        <f>IF($I1639=0,0,MIN(SUMIFS(SondBetrag,SondDarl,4,SondDatum,"&gt;="&amp;$E1639,SondDatum,"&lt;="&amp;EOMONTH($E1639,0)),$J1639-$M1639))</f>
      </c>
      <c r="O1639" s="43">
        <f>IF($I1639=0,0,INDEX(DarlErsatzRate,4))</f>
      </c>
      <c r="P1639" s="43">
        <f>IF($I1639=0,0,$Q1638*INDEX(DarlErsatzZins,4))</f>
      </c>
      <c r="Q1639" s="43">
        <f>IF($I1639=0,0,$Q1638+$P1639+$O1639)</f>
      </c>
      <c r="R1639" s="43">
        <f>IF($I1639=0,0,$J1639-$M1639-$N1639)</f>
      </c>
    </row>
    <row r="1640">
      <c r="A1640"/>
      <c r="B1640">
        <v>4</v>
      </c>
      <c r="C1640" s="43">
        <f>INDEX(DarlObj,4)</f>
      </c>
      <c r="D1640">
        <v>197</v>
      </c>
      <c r="E1640" s="51">
        <f>IF(INDEX(DarlBelegt,4)=0,0,EOMONTH(INDEX(DarlAuszahlung,4),196)+1)</f>
      </c>
      <c r="F1640" s="43">
        <f>IF($E1640=0,0,YEAR($E1640))</f>
      </c>
      <c r="G1640" s="43">
        <f>IF(INDEX(DarlBindung,4)="",1,IF($E1640&lt;=INDEX(DarlBindung,4),1,0))</f>
      </c>
      <c r="H1640" s="43">
        <f>IF($G1640=1,INDEX(DarlSollzins,4),INDEX(DarlAnschluss,4))</f>
      </c>
      <c r="I1640" s="43">
        <f>IF(INDEX(DarlBelegt,4)=0,0,IF(INDEX(DarlOhneTilgung,4)=1,IF(INDEX(DarlBindung,4)="",1,$G1640),IF($J1640&gt;0.005,1,0)))</f>
      </c>
      <c r="J1640" s="43">
        <f>IF($I1639=0,0,$R1639)</f>
      </c>
      <c r="K1640" s="43">
        <f>IF($I1640=0,0,IF(INDEX(DarlOhneTilgung,4)=1,0,IF(AND(INDEX(DarlTilgStart,4)&gt;0,$E1640=INDEX(DarlTilgStart,4)),$J1640*($H1640+INDEX(DarlTilgung,4))/100/12,IF(AND($G1640=0,$G1639=1),MAX($K1639,$J1640*($H1640+1)/100/12),$K1639))))</f>
      </c>
      <c r="L1640" s="43">
        <f>IF($I1640=0,0,$J1640*$H1640/100/12)</f>
      </c>
      <c r="M1640" s="43">
        <f>IF($I1640=0,0,IF(OR(INDEX(DarlOhneTilgung,4)=1,AND(INDEX(DarlTilgStart,4)&gt;0,$E1640&lt;INDEX(DarlTilgStart,4))),0,MIN(MAX(0,$K1640-$L1640),$J1640)))</f>
      </c>
      <c r="N1640" s="43">
        <f>IF($I1640=0,0,MIN(SUMIFS(SondBetrag,SondDarl,4,SondDatum,"&gt;="&amp;$E1640,SondDatum,"&lt;="&amp;EOMONTH($E1640,0)),$J1640-$M1640))</f>
      </c>
      <c r="O1640" s="43">
        <f>IF($I1640=0,0,INDEX(DarlErsatzRate,4))</f>
      </c>
      <c r="P1640" s="43">
        <f>IF($I1640=0,0,$Q1639*INDEX(DarlErsatzZins,4))</f>
      </c>
      <c r="Q1640" s="43">
        <f>IF($I1640=0,0,$Q1639+$P1640+$O1640)</f>
      </c>
      <c r="R1640" s="43">
        <f>IF($I1640=0,0,$J1640-$M1640-$N1640)</f>
      </c>
    </row>
    <row r="1641">
      <c r="A1641"/>
      <c r="B1641">
        <v>4</v>
      </c>
      <c r="C1641" s="43">
        <f>INDEX(DarlObj,4)</f>
      </c>
      <c r="D1641">
        <v>198</v>
      </c>
      <c r="E1641" s="51">
        <f>IF(INDEX(DarlBelegt,4)=0,0,EOMONTH(INDEX(DarlAuszahlung,4),197)+1)</f>
      </c>
      <c r="F1641" s="43">
        <f>IF($E1641=0,0,YEAR($E1641))</f>
      </c>
      <c r="G1641" s="43">
        <f>IF(INDEX(DarlBindung,4)="",1,IF($E1641&lt;=INDEX(DarlBindung,4),1,0))</f>
      </c>
      <c r="H1641" s="43">
        <f>IF($G1641=1,INDEX(DarlSollzins,4),INDEX(DarlAnschluss,4))</f>
      </c>
      <c r="I1641" s="43">
        <f>IF(INDEX(DarlBelegt,4)=0,0,IF(INDEX(DarlOhneTilgung,4)=1,IF(INDEX(DarlBindung,4)="",1,$G1641),IF($J1641&gt;0.005,1,0)))</f>
      </c>
      <c r="J1641" s="43">
        <f>IF($I1640=0,0,$R1640)</f>
      </c>
      <c r="K1641" s="43">
        <f>IF($I1641=0,0,IF(INDEX(DarlOhneTilgung,4)=1,0,IF(AND(INDEX(DarlTilgStart,4)&gt;0,$E1641=INDEX(DarlTilgStart,4)),$J1641*($H1641+INDEX(DarlTilgung,4))/100/12,IF(AND($G1641=0,$G1640=1),MAX($K1640,$J1641*($H1641+1)/100/12),$K1640))))</f>
      </c>
      <c r="L1641" s="43">
        <f>IF($I1641=0,0,$J1641*$H1641/100/12)</f>
      </c>
      <c r="M1641" s="43">
        <f>IF($I1641=0,0,IF(OR(INDEX(DarlOhneTilgung,4)=1,AND(INDEX(DarlTilgStart,4)&gt;0,$E1641&lt;INDEX(DarlTilgStart,4))),0,MIN(MAX(0,$K1641-$L1641),$J1641)))</f>
      </c>
      <c r="N1641" s="43">
        <f>IF($I1641=0,0,MIN(SUMIFS(SondBetrag,SondDarl,4,SondDatum,"&gt;="&amp;$E1641,SondDatum,"&lt;="&amp;EOMONTH($E1641,0)),$J1641-$M1641))</f>
      </c>
      <c r="O1641" s="43">
        <f>IF($I1641=0,0,INDEX(DarlErsatzRate,4))</f>
      </c>
      <c r="P1641" s="43">
        <f>IF($I1641=0,0,$Q1640*INDEX(DarlErsatzZins,4))</f>
      </c>
      <c r="Q1641" s="43">
        <f>IF($I1641=0,0,$Q1640+$P1641+$O1641)</f>
      </c>
      <c r="R1641" s="43">
        <f>IF($I1641=0,0,$J1641-$M1641-$N1641)</f>
      </c>
    </row>
    <row r="1642">
      <c r="A1642"/>
      <c r="B1642">
        <v>4</v>
      </c>
      <c r="C1642" s="43">
        <f>INDEX(DarlObj,4)</f>
      </c>
      <c r="D1642">
        <v>199</v>
      </c>
      <c r="E1642" s="51">
        <f>IF(INDEX(DarlBelegt,4)=0,0,EOMONTH(INDEX(DarlAuszahlung,4),198)+1)</f>
      </c>
      <c r="F1642" s="43">
        <f>IF($E1642=0,0,YEAR($E1642))</f>
      </c>
      <c r="G1642" s="43">
        <f>IF(INDEX(DarlBindung,4)="",1,IF($E1642&lt;=INDEX(DarlBindung,4),1,0))</f>
      </c>
      <c r="H1642" s="43">
        <f>IF($G1642=1,INDEX(DarlSollzins,4),INDEX(DarlAnschluss,4))</f>
      </c>
      <c r="I1642" s="43">
        <f>IF(INDEX(DarlBelegt,4)=0,0,IF(INDEX(DarlOhneTilgung,4)=1,IF(INDEX(DarlBindung,4)="",1,$G1642),IF($J1642&gt;0.005,1,0)))</f>
      </c>
      <c r="J1642" s="43">
        <f>IF($I1641=0,0,$R1641)</f>
      </c>
      <c r="K1642" s="43">
        <f>IF($I1642=0,0,IF(INDEX(DarlOhneTilgung,4)=1,0,IF(AND(INDEX(DarlTilgStart,4)&gt;0,$E1642=INDEX(DarlTilgStart,4)),$J1642*($H1642+INDEX(DarlTilgung,4))/100/12,IF(AND($G1642=0,$G1641=1),MAX($K1641,$J1642*($H1642+1)/100/12),$K1641))))</f>
      </c>
      <c r="L1642" s="43">
        <f>IF($I1642=0,0,$J1642*$H1642/100/12)</f>
      </c>
      <c r="M1642" s="43">
        <f>IF($I1642=0,0,IF(OR(INDEX(DarlOhneTilgung,4)=1,AND(INDEX(DarlTilgStart,4)&gt;0,$E1642&lt;INDEX(DarlTilgStart,4))),0,MIN(MAX(0,$K1642-$L1642),$J1642)))</f>
      </c>
      <c r="N1642" s="43">
        <f>IF($I1642=0,0,MIN(SUMIFS(SondBetrag,SondDarl,4,SondDatum,"&gt;="&amp;$E1642,SondDatum,"&lt;="&amp;EOMONTH($E1642,0)),$J1642-$M1642))</f>
      </c>
      <c r="O1642" s="43">
        <f>IF($I1642=0,0,INDEX(DarlErsatzRate,4))</f>
      </c>
      <c r="P1642" s="43">
        <f>IF($I1642=0,0,$Q1641*INDEX(DarlErsatzZins,4))</f>
      </c>
      <c r="Q1642" s="43">
        <f>IF($I1642=0,0,$Q1641+$P1642+$O1642)</f>
      </c>
      <c r="R1642" s="43">
        <f>IF($I1642=0,0,$J1642-$M1642-$N1642)</f>
      </c>
    </row>
    <row r="1643">
      <c r="A1643"/>
      <c r="B1643">
        <v>4</v>
      </c>
      <c r="C1643" s="43">
        <f>INDEX(DarlObj,4)</f>
      </c>
      <c r="D1643">
        <v>200</v>
      </c>
      <c r="E1643" s="51">
        <f>IF(INDEX(DarlBelegt,4)=0,0,EOMONTH(INDEX(DarlAuszahlung,4),199)+1)</f>
      </c>
      <c r="F1643" s="43">
        <f>IF($E1643=0,0,YEAR($E1643))</f>
      </c>
      <c r="G1643" s="43">
        <f>IF(INDEX(DarlBindung,4)="",1,IF($E1643&lt;=INDEX(DarlBindung,4),1,0))</f>
      </c>
      <c r="H1643" s="43">
        <f>IF($G1643=1,INDEX(DarlSollzins,4),INDEX(DarlAnschluss,4))</f>
      </c>
      <c r="I1643" s="43">
        <f>IF(INDEX(DarlBelegt,4)=0,0,IF(INDEX(DarlOhneTilgung,4)=1,IF(INDEX(DarlBindung,4)="",1,$G1643),IF($J1643&gt;0.005,1,0)))</f>
      </c>
      <c r="J1643" s="43">
        <f>IF($I1642=0,0,$R1642)</f>
      </c>
      <c r="K1643" s="43">
        <f>IF($I1643=0,0,IF(INDEX(DarlOhneTilgung,4)=1,0,IF(AND(INDEX(DarlTilgStart,4)&gt;0,$E1643=INDEX(DarlTilgStart,4)),$J1643*($H1643+INDEX(DarlTilgung,4))/100/12,IF(AND($G1643=0,$G1642=1),MAX($K1642,$J1643*($H1643+1)/100/12),$K1642))))</f>
      </c>
      <c r="L1643" s="43">
        <f>IF($I1643=0,0,$J1643*$H1643/100/12)</f>
      </c>
      <c r="M1643" s="43">
        <f>IF($I1643=0,0,IF(OR(INDEX(DarlOhneTilgung,4)=1,AND(INDEX(DarlTilgStart,4)&gt;0,$E1643&lt;INDEX(DarlTilgStart,4))),0,MIN(MAX(0,$K1643-$L1643),$J1643)))</f>
      </c>
      <c r="N1643" s="43">
        <f>IF($I1643=0,0,MIN(SUMIFS(SondBetrag,SondDarl,4,SondDatum,"&gt;="&amp;$E1643,SondDatum,"&lt;="&amp;EOMONTH($E1643,0)),$J1643-$M1643))</f>
      </c>
      <c r="O1643" s="43">
        <f>IF($I1643=0,0,INDEX(DarlErsatzRate,4))</f>
      </c>
      <c r="P1643" s="43">
        <f>IF($I1643=0,0,$Q1642*INDEX(DarlErsatzZins,4))</f>
      </c>
      <c r="Q1643" s="43">
        <f>IF($I1643=0,0,$Q1642+$P1643+$O1643)</f>
      </c>
      <c r="R1643" s="43">
        <f>IF($I1643=0,0,$J1643-$M1643-$N1643)</f>
      </c>
    </row>
    <row r="1644">
      <c r="A1644"/>
      <c r="B1644">
        <v>4</v>
      </c>
      <c r="C1644" s="43">
        <f>INDEX(DarlObj,4)</f>
      </c>
      <c r="D1644">
        <v>201</v>
      </c>
      <c r="E1644" s="51">
        <f>IF(INDEX(DarlBelegt,4)=0,0,EOMONTH(INDEX(DarlAuszahlung,4),200)+1)</f>
      </c>
      <c r="F1644" s="43">
        <f>IF($E1644=0,0,YEAR($E1644))</f>
      </c>
      <c r="G1644" s="43">
        <f>IF(INDEX(DarlBindung,4)="",1,IF($E1644&lt;=INDEX(DarlBindung,4),1,0))</f>
      </c>
      <c r="H1644" s="43">
        <f>IF($G1644=1,INDEX(DarlSollzins,4),INDEX(DarlAnschluss,4))</f>
      </c>
      <c r="I1644" s="43">
        <f>IF(INDEX(DarlBelegt,4)=0,0,IF(INDEX(DarlOhneTilgung,4)=1,IF(INDEX(DarlBindung,4)="",1,$G1644),IF($J1644&gt;0.005,1,0)))</f>
      </c>
      <c r="J1644" s="43">
        <f>IF($I1643=0,0,$R1643)</f>
      </c>
      <c r="K1644" s="43">
        <f>IF($I1644=0,0,IF(INDEX(DarlOhneTilgung,4)=1,0,IF(AND(INDEX(DarlTilgStart,4)&gt;0,$E1644=INDEX(DarlTilgStart,4)),$J1644*($H1644+INDEX(DarlTilgung,4))/100/12,IF(AND($G1644=0,$G1643=1),MAX($K1643,$J1644*($H1644+1)/100/12),$K1643))))</f>
      </c>
      <c r="L1644" s="43">
        <f>IF($I1644=0,0,$J1644*$H1644/100/12)</f>
      </c>
      <c r="M1644" s="43">
        <f>IF($I1644=0,0,IF(OR(INDEX(DarlOhneTilgung,4)=1,AND(INDEX(DarlTilgStart,4)&gt;0,$E1644&lt;INDEX(DarlTilgStart,4))),0,MIN(MAX(0,$K1644-$L1644),$J1644)))</f>
      </c>
      <c r="N1644" s="43">
        <f>IF($I1644=0,0,MIN(SUMIFS(SondBetrag,SondDarl,4,SondDatum,"&gt;="&amp;$E1644,SondDatum,"&lt;="&amp;EOMONTH($E1644,0)),$J1644-$M1644))</f>
      </c>
      <c r="O1644" s="43">
        <f>IF($I1644=0,0,INDEX(DarlErsatzRate,4))</f>
      </c>
      <c r="P1644" s="43">
        <f>IF($I1644=0,0,$Q1643*INDEX(DarlErsatzZins,4))</f>
      </c>
      <c r="Q1644" s="43">
        <f>IF($I1644=0,0,$Q1643+$P1644+$O1644)</f>
      </c>
      <c r="R1644" s="43">
        <f>IF($I1644=0,0,$J1644-$M1644-$N1644)</f>
      </c>
    </row>
    <row r="1645">
      <c r="A1645"/>
      <c r="B1645">
        <v>4</v>
      </c>
      <c r="C1645" s="43">
        <f>INDEX(DarlObj,4)</f>
      </c>
      <c r="D1645">
        <v>202</v>
      </c>
      <c r="E1645" s="51">
        <f>IF(INDEX(DarlBelegt,4)=0,0,EOMONTH(INDEX(DarlAuszahlung,4),201)+1)</f>
      </c>
      <c r="F1645" s="43">
        <f>IF($E1645=0,0,YEAR($E1645))</f>
      </c>
      <c r="G1645" s="43">
        <f>IF(INDEX(DarlBindung,4)="",1,IF($E1645&lt;=INDEX(DarlBindung,4),1,0))</f>
      </c>
      <c r="H1645" s="43">
        <f>IF($G1645=1,INDEX(DarlSollzins,4),INDEX(DarlAnschluss,4))</f>
      </c>
      <c r="I1645" s="43">
        <f>IF(INDEX(DarlBelegt,4)=0,0,IF(INDEX(DarlOhneTilgung,4)=1,IF(INDEX(DarlBindung,4)="",1,$G1645),IF($J1645&gt;0.005,1,0)))</f>
      </c>
      <c r="J1645" s="43">
        <f>IF($I1644=0,0,$R1644)</f>
      </c>
      <c r="K1645" s="43">
        <f>IF($I1645=0,0,IF(INDEX(DarlOhneTilgung,4)=1,0,IF(AND(INDEX(DarlTilgStart,4)&gt;0,$E1645=INDEX(DarlTilgStart,4)),$J1645*($H1645+INDEX(DarlTilgung,4))/100/12,IF(AND($G1645=0,$G1644=1),MAX($K1644,$J1645*($H1645+1)/100/12),$K1644))))</f>
      </c>
      <c r="L1645" s="43">
        <f>IF($I1645=0,0,$J1645*$H1645/100/12)</f>
      </c>
      <c r="M1645" s="43">
        <f>IF($I1645=0,0,IF(OR(INDEX(DarlOhneTilgung,4)=1,AND(INDEX(DarlTilgStart,4)&gt;0,$E1645&lt;INDEX(DarlTilgStart,4))),0,MIN(MAX(0,$K1645-$L1645),$J1645)))</f>
      </c>
      <c r="N1645" s="43">
        <f>IF($I1645=0,0,MIN(SUMIFS(SondBetrag,SondDarl,4,SondDatum,"&gt;="&amp;$E1645,SondDatum,"&lt;="&amp;EOMONTH($E1645,0)),$J1645-$M1645))</f>
      </c>
      <c r="O1645" s="43">
        <f>IF($I1645=0,0,INDEX(DarlErsatzRate,4))</f>
      </c>
      <c r="P1645" s="43">
        <f>IF($I1645=0,0,$Q1644*INDEX(DarlErsatzZins,4))</f>
      </c>
      <c r="Q1645" s="43">
        <f>IF($I1645=0,0,$Q1644+$P1645+$O1645)</f>
      </c>
      <c r="R1645" s="43">
        <f>IF($I1645=0,0,$J1645-$M1645-$N1645)</f>
      </c>
    </row>
    <row r="1646">
      <c r="A1646"/>
      <c r="B1646">
        <v>4</v>
      </c>
      <c r="C1646" s="43">
        <f>INDEX(DarlObj,4)</f>
      </c>
      <c r="D1646">
        <v>203</v>
      </c>
      <c r="E1646" s="51">
        <f>IF(INDEX(DarlBelegt,4)=0,0,EOMONTH(INDEX(DarlAuszahlung,4),202)+1)</f>
      </c>
      <c r="F1646" s="43">
        <f>IF($E1646=0,0,YEAR($E1646))</f>
      </c>
      <c r="G1646" s="43">
        <f>IF(INDEX(DarlBindung,4)="",1,IF($E1646&lt;=INDEX(DarlBindung,4),1,0))</f>
      </c>
      <c r="H1646" s="43">
        <f>IF($G1646=1,INDEX(DarlSollzins,4),INDEX(DarlAnschluss,4))</f>
      </c>
      <c r="I1646" s="43">
        <f>IF(INDEX(DarlBelegt,4)=0,0,IF(INDEX(DarlOhneTilgung,4)=1,IF(INDEX(DarlBindung,4)="",1,$G1646),IF($J1646&gt;0.005,1,0)))</f>
      </c>
      <c r="J1646" s="43">
        <f>IF($I1645=0,0,$R1645)</f>
      </c>
      <c r="K1646" s="43">
        <f>IF($I1646=0,0,IF(INDEX(DarlOhneTilgung,4)=1,0,IF(AND(INDEX(DarlTilgStart,4)&gt;0,$E1646=INDEX(DarlTilgStart,4)),$J1646*($H1646+INDEX(DarlTilgung,4))/100/12,IF(AND($G1646=0,$G1645=1),MAX($K1645,$J1646*($H1646+1)/100/12),$K1645))))</f>
      </c>
      <c r="L1646" s="43">
        <f>IF($I1646=0,0,$J1646*$H1646/100/12)</f>
      </c>
      <c r="M1646" s="43">
        <f>IF($I1646=0,0,IF(OR(INDEX(DarlOhneTilgung,4)=1,AND(INDEX(DarlTilgStart,4)&gt;0,$E1646&lt;INDEX(DarlTilgStart,4))),0,MIN(MAX(0,$K1646-$L1646),$J1646)))</f>
      </c>
      <c r="N1646" s="43">
        <f>IF($I1646=0,0,MIN(SUMIFS(SondBetrag,SondDarl,4,SondDatum,"&gt;="&amp;$E1646,SondDatum,"&lt;="&amp;EOMONTH($E1646,0)),$J1646-$M1646))</f>
      </c>
      <c r="O1646" s="43">
        <f>IF($I1646=0,0,INDEX(DarlErsatzRate,4))</f>
      </c>
      <c r="P1646" s="43">
        <f>IF($I1646=0,0,$Q1645*INDEX(DarlErsatzZins,4))</f>
      </c>
      <c r="Q1646" s="43">
        <f>IF($I1646=0,0,$Q1645+$P1646+$O1646)</f>
      </c>
      <c r="R1646" s="43">
        <f>IF($I1646=0,0,$J1646-$M1646-$N1646)</f>
      </c>
    </row>
    <row r="1647">
      <c r="A1647"/>
      <c r="B1647">
        <v>4</v>
      </c>
      <c r="C1647" s="43">
        <f>INDEX(DarlObj,4)</f>
      </c>
      <c r="D1647">
        <v>204</v>
      </c>
      <c r="E1647" s="51">
        <f>IF(INDEX(DarlBelegt,4)=0,0,EOMONTH(INDEX(DarlAuszahlung,4),203)+1)</f>
      </c>
      <c r="F1647" s="43">
        <f>IF($E1647=0,0,YEAR($E1647))</f>
      </c>
      <c r="G1647" s="43">
        <f>IF(INDEX(DarlBindung,4)="",1,IF($E1647&lt;=INDEX(DarlBindung,4),1,0))</f>
      </c>
      <c r="H1647" s="43">
        <f>IF($G1647=1,INDEX(DarlSollzins,4),INDEX(DarlAnschluss,4))</f>
      </c>
      <c r="I1647" s="43">
        <f>IF(INDEX(DarlBelegt,4)=0,0,IF(INDEX(DarlOhneTilgung,4)=1,IF(INDEX(DarlBindung,4)="",1,$G1647),IF($J1647&gt;0.005,1,0)))</f>
      </c>
      <c r="J1647" s="43">
        <f>IF($I1646=0,0,$R1646)</f>
      </c>
      <c r="K1647" s="43">
        <f>IF($I1647=0,0,IF(INDEX(DarlOhneTilgung,4)=1,0,IF(AND(INDEX(DarlTilgStart,4)&gt;0,$E1647=INDEX(DarlTilgStart,4)),$J1647*($H1647+INDEX(DarlTilgung,4))/100/12,IF(AND($G1647=0,$G1646=1),MAX($K1646,$J1647*($H1647+1)/100/12),$K1646))))</f>
      </c>
      <c r="L1647" s="43">
        <f>IF($I1647=0,0,$J1647*$H1647/100/12)</f>
      </c>
      <c r="M1647" s="43">
        <f>IF($I1647=0,0,IF(OR(INDEX(DarlOhneTilgung,4)=1,AND(INDEX(DarlTilgStart,4)&gt;0,$E1647&lt;INDEX(DarlTilgStart,4))),0,MIN(MAX(0,$K1647-$L1647),$J1647)))</f>
      </c>
      <c r="N1647" s="43">
        <f>IF($I1647=0,0,MIN(SUMIFS(SondBetrag,SondDarl,4,SondDatum,"&gt;="&amp;$E1647,SondDatum,"&lt;="&amp;EOMONTH($E1647,0)),$J1647-$M1647))</f>
      </c>
      <c r="O1647" s="43">
        <f>IF($I1647=0,0,INDEX(DarlErsatzRate,4))</f>
      </c>
      <c r="P1647" s="43">
        <f>IF($I1647=0,0,$Q1646*INDEX(DarlErsatzZins,4))</f>
      </c>
      <c r="Q1647" s="43">
        <f>IF($I1647=0,0,$Q1646+$P1647+$O1647)</f>
      </c>
      <c r="R1647" s="43">
        <f>IF($I1647=0,0,$J1647-$M1647-$N1647)</f>
      </c>
    </row>
    <row r="1648">
      <c r="A1648"/>
      <c r="B1648">
        <v>4</v>
      </c>
      <c r="C1648" s="43">
        <f>INDEX(DarlObj,4)</f>
      </c>
      <c r="D1648">
        <v>205</v>
      </c>
      <c r="E1648" s="51">
        <f>IF(INDEX(DarlBelegt,4)=0,0,EOMONTH(INDEX(DarlAuszahlung,4),204)+1)</f>
      </c>
      <c r="F1648" s="43">
        <f>IF($E1648=0,0,YEAR($E1648))</f>
      </c>
      <c r="G1648" s="43">
        <f>IF(INDEX(DarlBindung,4)="",1,IF($E1648&lt;=INDEX(DarlBindung,4),1,0))</f>
      </c>
      <c r="H1648" s="43">
        <f>IF($G1648=1,INDEX(DarlSollzins,4),INDEX(DarlAnschluss,4))</f>
      </c>
      <c r="I1648" s="43">
        <f>IF(INDEX(DarlBelegt,4)=0,0,IF(INDEX(DarlOhneTilgung,4)=1,IF(INDEX(DarlBindung,4)="",1,$G1648),IF($J1648&gt;0.005,1,0)))</f>
      </c>
      <c r="J1648" s="43">
        <f>IF($I1647=0,0,$R1647)</f>
      </c>
      <c r="K1648" s="43">
        <f>IF($I1648=0,0,IF(INDEX(DarlOhneTilgung,4)=1,0,IF(AND(INDEX(DarlTilgStart,4)&gt;0,$E1648=INDEX(DarlTilgStart,4)),$J1648*($H1648+INDEX(DarlTilgung,4))/100/12,IF(AND($G1648=0,$G1647=1),MAX($K1647,$J1648*($H1648+1)/100/12),$K1647))))</f>
      </c>
      <c r="L1648" s="43">
        <f>IF($I1648=0,0,$J1648*$H1648/100/12)</f>
      </c>
      <c r="M1648" s="43">
        <f>IF($I1648=0,0,IF(OR(INDEX(DarlOhneTilgung,4)=1,AND(INDEX(DarlTilgStart,4)&gt;0,$E1648&lt;INDEX(DarlTilgStart,4))),0,MIN(MAX(0,$K1648-$L1648),$J1648)))</f>
      </c>
      <c r="N1648" s="43">
        <f>IF($I1648=0,0,MIN(SUMIFS(SondBetrag,SondDarl,4,SondDatum,"&gt;="&amp;$E1648,SondDatum,"&lt;="&amp;EOMONTH($E1648,0)),$J1648-$M1648))</f>
      </c>
      <c r="O1648" s="43">
        <f>IF($I1648=0,0,INDEX(DarlErsatzRate,4))</f>
      </c>
      <c r="P1648" s="43">
        <f>IF($I1648=0,0,$Q1647*INDEX(DarlErsatzZins,4))</f>
      </c>
      <c r="Q1648" s="43">
        <f>IF($I1648=0,0,$Q1647+$P1648+$O1648)</f>
      </c>
      <c r="R1648" s="43">
        <f>IF($I1648=0,0,$J1648-$M1648-$N1648)</f>
      </c>
    </row>
    <row r="1649">
      <c r="A1649"/>
      <c r="B1649">
        <v>4</v>
      </c>
      <c r="C1649" s="43">
        <f>INDEX(DarlObj,4)</f>
      </c>
      <c r="D1649">
        <v>206</v>
      </c>
      <c r="E1649" s="51">
        <f>IF(INDEX(DarlBelegt,4)=0,0,EOMONTH(INDEX(DarlAuszahlung,4),205)+1)</f>
      </c>
      <c r="F1649" s="43">
        <f>IF($E1649=0,0,YEAR($E1649))</f>
      </c>
      <c r="G1649" s="43">
        <f>IF(INDEX(DarlBindung,4)="",1,IF($E1649&lt;=INDEX(DarlBindung,4),1,0))</f>
      </c>
      <c r="H1649" s="43">
        <f>IF($G1649=1,INDEX(DarlSollzins,4),INDEX(DarlAnschluss,4))</f>
      </c>
      <c r="I1649" s="43">
        <f>IF(INDEX(DarlBelegt,4)=0,0,IF(INDEX(DarlOhneTilgung,4)=1,IF(INDEX(DarlBindung,4)="",1,$G1649),IF($J1649&gt;0.005,1,0)))</f>
      </c>
      <c r="J1649" s="43">
        <f>IF($I1648=0,0,$R1648)</f>
      </c>
      <c r="K1649" s="43">
        <f>IF($I1649=0,0,IF(INDEX(DarlOhneTilgung,4)=1,0,IF(AND(INDEX(DarlTilgStart,4)&gt;0,$E1649=INDEX(DarlTilgStart,4)),$J1649*($H1649+INDEX(DarlTilgung,4))/100/12,IF(AND($G1649=0,$G1648=1),MAX($K1648,$J1649*($H1649+1)/100/12),$K1648))))</f>
      </c>
      <c r="L1649" s="43">
        <f>IF($I1649=0,0,$J1649*$H1649/100/12)</f>
      </c>
      <c r="M1649" s="43">
        <f>IF($I1649=0,0,IF(OR(INDEX(DarlOhneTilgung,4)=1,AND(INDEX(DarlTilgStart,4)&gt;0,$E1649&lt;INDEX(DarlTilgStart,4))),0,MIN(MAX(0,$K1649-$L1649),$J1649)))</f>
      </c>
      <c r="N1649" s="43">
        <f>IF($I1649=0,0,MIN(SUMIFS(SondBetrag,SondDarl,4,SondDatum,"&gt;="&amp;$E1649,SondDatum,"&lt;="&amp;EOMONTH($E1649,0)),$J1649-$M1649))</f>
      </c>
      <c r="O1649" s="43">
        <f>IF($I1649=0,0,INDEX(DarlErsatzRate,4))</f>
      </c>
      <c r="P1649" s="43">
        <f>IF($I1649=0,0,$Q1648*INDEX(DarlErsatzZins,4))</f>
      </c>
      <c r="Q1649" s="43">
        <f>IF($I1649=0,0,$Q1648+$P1649+$O1649)</f>
      </c>
      <c r="R1649" s="43">
        <f>IF($I1649=0,0,$J1649-$M1649-$N1649)</f>
      </c>
    </row>
    <row r="1650">
      <c r="A1650"/>
      <c r="B1650">
        <v>4</v>
      </c>
      <c r="C1650" s="43">
        <f>INDEX(DarlObj,4)</f>
      </c>
      <c r="D1650">
        <v>207</v>
      </c>
      <c r="E1650" s="51">
        <f>IF(INDEX(DarlBelegt,4)=0,0,EOMONTH(INDEX(DarlAuszahlung,4),206)+1)</f>
      </c>
      <c r="F1650" s="43">
        <f>IF($E1650=0,0,YEAR($E1650))</f>
      </c>
      <c r="G1650" s="43">
        <f>IF(INDEX(DarlBindung,4)="",1,IF($E1650&lt;=INDEX(DarlBindung,4),1,0))</f>
      </c>
      <c r="H1650" s="43">
        <f>IF($G1650=1,INDEX(DarlSollzins,4),INDEX(DarlAnschluss,4))</f>
      </c>
      <c r="I1650" s="43">
        <f>IF(INDEX(DarlBelegt,4)=0,0,IF(INDEX(DarlOhneTilgung,4)=1,IF(INDEX(DarlBindung,4)="",1,$G1650),IF($J1650&gt;0.005,1,0)))</f>
      </c>
      <c r="J1650" s="43">
        <f>IF($I1649=0,0,$R1649)</f>
      </c>
      <c r="K1650" s="43">
        <f>IF($I1650=0,0,IF(INDEX(DarlOhneTilgung,4)=1,0,IF(AND(INDEX(DarlTilgStart,4)&gt;0,$E1650=INDEX(DarlTilgStart,4)),$J1650*($H1650+INDEX(DarlTilgung,4))/100/12,IF(AND($G1650=0,$G1649=1),MAX($K1649,$J1650*($H1650+1)/100/12),$K1649))))</f>
      </c>
      <c r="L1650" s="43">
        <f>IF($I1650=0,0,$J1650*$H1650/100/12)</f>
      </c>
      <c r="M1650" s="43">
        <f>IF($I1650=0,0,IF(OR(INDEX(DarlOhneTilgung,4)=1,AND(INDEX(DarlTilgStart,4)&gt;0,$E1650&lt;INDEX(DarlTilgStart,4))),0,MIN(MAX(0,$K1650-$L1650),$J1650)))</f>
      </c>
      <c r="N1650" s="43">
        <f>IF($I1650=0,0,MIN(SUMIFS(SondBetrag,SondDarl,4,SondDatum,"&gt;="&amp;$E1650,SondDatum,"&lt;="&amp;EOMONTH($E1650,0)),$J1650-$M1650))</f>
      </c>
      <c r="O1650" s="43">
        <f>IF($I1650=0,0,INDEX(DarlErsatzRate,4))</f>
      </c>
      <c r="P1650" s="43">
        <f>IF($I1650=0,0,$Q1649*INDEX(DarlErsatzZins,4))</f>
      </c>
      <c r="Q1650" s="43">
        <f>IF($I1650=0,0,$Q1649+$P1650+$O1650)</f>
      </c>
      <c r="R1650" s="43">
        <f>IF($I1650=0,0,$J1650-$M1650-$N1650)</f>
      </c>
    </row>
    <row r="1651">
      <c r="A1651"/>
      <c r="B1651">
        <v>4</v>
      </c>
      <c r="C1651" s="43">
        <f>INDEX(DarlObj,4)</f>
      </c>
      <c r="D1651">
        <v>208</v>
      </c>
      <c r="E1651" s="51">
        <f>IF(INDEX(DarlBelegt,4)=0,0,EOMONTH(INDEX(DarlAuszahlung,4),207)+1)</f>
      </c>
      <c r="F1651" s="43">
        <f>IF($E1651=0,0,YEAR($E1651))</f>
      </c>
      <c r="G1651" s="43">
        <f>IF(INDEX(DarlBindung,4)="",1,IF($E1651&lt;=INDEX(DarlBindung,4),1,0))</f>
      </c>
      <c r="H1651" s="43">
        <f>IF($G1651=1,INDEX(DarlSollzins,4),INDEX(DarlAnschluss,4))</f>
      </c>
      <c r="I1651" s="43">
        <f>IF(INDEX(DarlBelegt,4)=0,0,IF(INDEX(DarlOhneTilgung,4)=1,IF(INDEX(DarlBindung,4)="",1,$G1651),IF($J1651&gt;0.005,1,0)))</f>
      </c>
      <c r="J1651" s="43">
        <f>IF($I1650=0,0,$R1650)</f>
      </c>
      <c r="K1651" s="43">
        <f>IF($I1651=0,0,IF(INDEX(DarlOhneTilgung,4)=1,0,IF(AND(INDEX(DarlTilgStart,4)&gt;0,$E1651=INDEX(DarlTilgStart,4)),$J1651*($H1651+INDEX(DarlTilgung,4))/100/12,IF(AND($G1651=0,$G1650=1),MAX($K1650,$J1651*($H1651+1)/100/12),$K1650))))</f>
      </c>
      <c r="L1651" s="43">
        <f>IF($I1651=0,0,$J1651*$H1651/100/12)</f>
      </c>
      <c r="M1651" s="43">
        <f>IF($I1651=0,0,IF(OR(INDEX(DarlOhneTilgung,4)=1,AND(INDEX(DarlTilgStart,4)&gt;0,$E1651&lt;INDEX(DarlTilgStart,4))),0,MIN(MAX(0,$K1651-$L1651),$J1651)))</f>
      </c>
      <c r="N1651" s="43">
        <f>IF($I1651=0,0,MIN(SUMIFS(SondBetrag,SondDarl,4,SondDatum,"&gt;="&amp;$E1651,SondDatum,"&lt;="&amp;EOMONTH($E1651,0)),$J1651-$M1651))</f>
      </c>
      <c r="O1651" s="43">
        <f>IF($I1651=0,0,INDEX(DarlErsatzRate,4))</f>
      </c>
      <c r="P1651" s="43">
        <f>IF($I1651=0,0,$Q1650*INDEX(DarlErsatzZins,4))</f>
      </c>
      <c r="Q1651" s="43">
        <f>IF($I1651=0,0,$Q1650+$P1651+$O1651)</f>
      </c>
      <c r="R1651" s="43">
        <f>IF($I1651=0,0,$J1651-$M1651-$N1651)</f>
      </c>
    </row>
    <row r="1652">
      <c r="A1652"/>
      <c r="B1652">
        <v>4</v>
      </c>
      <c r="C1652" s="43">
        <f>INDEX(DarlObj,4)</f>
      </c>
      <c r="D1652">
        <v>209</v>
      </c>
      <c r="E1652" s="51">
        <f>IF(INDEX(DarlBelegt,4)=0,0,EOMONTH(INDEX(DarlAuszahlung,4),208)+1)</f>
      </c>
      <c r="F1652" s="43">
        <f>IF($E1652=0,0,YEAR($E1652))</f>
      </c>
      <c r="G1652" s="43">
        <f>IF(INDEX(DarlBindung,4)="",1,IF($E1652&lt;=INDEX(DarlBindung,4),1,0))</f>
      </c>
      <c r="H1652" s="43">
        <f>IF($G1652=1,INDEX(DarlSollzins,4),INDEX(DarlAnschluss,4))</f>
      </c>
      <c r="I1652" s="43">
        <f>IF(INDEX(DarlBelegt,4)=0,0,IF(INDEX(DarlOhneTilgung,4)=1,IF(INDEX(DarlBindung,4)="",1,$G1652),IF($J1652&gt;0.005,1,0)))</f>
      </c>
      <c r="J1652" s="43">
        <f>IF($I1651=0,0,$R1651)</f>
      </c>
      <c r="K1652" s="43">
        <f>IF($I1652=0,0,IF(INDEX(DarlOhneTilgung,4)=1,0,IF(AND(INDEX(DarlTilgStart,4)&gt;0,$E1652=INDEX(DarlTilgStart,4)),$J1652*($H1652+INDEX(DarlTilgung,4))/100/12,IF(AND($G1652=0,$G1651=1),MAX($K1651,$J1652*($H1652+1)/100/12),$K1651))))</f>
      </c>
      <c r="L1652" s="43">
        <f>IF($I1652=0,0,$J1652*$H1652/100/12)</f>
      </c>
      <c r="M1652" s="43">
        <f>IF($I1652=0,0,IF(OR(INDEX(DarlOhneTilgung,4)=1,AND(INDEX(DarlTilgStart,4)&gt;0,$E1652&lt;INDEX(DarlTilgStart,4))),0,MIN(MAX(0,$K1652-$L1652),$J1652)))</f>
      </c>
      <c r="N1652" s="43">
        <f>IF($I1652=0,0,MIN(SUMIFS(SondBetrag,SondDarl,4,SondDatum,"&gt;="&amp;$E1652,SondDatum,"&lt;="&amp;EOMONTH($E1652,0)),$J1652-$M1652))</f>
      </c>
      <c r="O1652" s="43">
        <f>IF($I1652=0,0,INDEX(DarlErsatzRate,4))</f>
      </c>
      <c r="P1652" s="43">
        <f>IF($I1652=0,0,$Q1651*INDEX(DarlErsatzZins,4))</f>
      </c>
      <c r="Q1652" s="43">
        <f>IF($I1652=0,0,$Q1651+$P1652+$O1652)</f>
      </c>
      <c r="R1652" s="43">
        <f>IF($I1652=0,0,$J1652-$M1652-$N1652)</f>
      </c>
    </row>
    <row r="1653">
      <c r="A1653"/>
      <c r="B1653">
        <v>4</v>
      </c>
      <c r="C1653" s="43">
        <f>INDEX(DarlObj,4)</f>
      </c>
      <c r="D1653">
        <v>210</v>
      </c>
      <c r="E1653" s="51">
        <f>IF(INDEX(DarlBelegt,4)=0,0,EOMONTH(INDEX(DarlAuszahlung,4),209)+1)</f>
      </c>
      <c r="F1653" s="43">
        <f>IF($E1653=0,0,YEAR($E1653))</f>
      </c>
      <c r="G1653" s="43">
        <f>IF(INDEX(DarlBindung,4)="",1,IF($E1653&lt;=INDEX(DarlBindung,4),1,0))</f>
      </c>
      <c r="H1653" s="43">
        <f>IF($G1653=1,INDEX(DarlSollzins,4),INDEX(DarlAnschluss,4))</f>
      </c>
      <c r="I1653" s="43">
        <f>IF(INDEX(DarlBelegt,4)=0,0,IF(INDEX(DarlOhneTilgung,4)=1,IF(INDEX(DarlBindung,4)="",1,$G1653),IF($J1653&gt;0.005,1,0)))</f>
      </c>
      <c r="J1653" s="43">
        <f>IF($I1652=0,0,$R1652)</f>
      </c>
      <c r="K1653" s="43">
        <f>IF($I1653=0,0,IF(INDEX(DarlOhneTilgung,4)=1,0,IF(AND(INDEX(DarlTilgStart,4)&gt;0,$E1653=INDEX(DarlTilgStart,4)),$J1653*($H1653+INDEX(DarlTilgung,4))/100/12,IF(AND($G1653=0,$G1652=1),MAX($K1652,$J1653*($H1653+1)/100/12),$K1652))))</f>
      </c>
      <c r="L1653" s="43">
        <f>IF($I1653=0,0,$J1653*$H1653/100/12)</f>
      </c>
      <c r="M1653" s="43">
        <f>IF($I1653=0,0,IF(OR(INDEX(DarlOhneTilgung,4)=1,AND(INDEX(DarlTilgStart,4)&gt;0,$E1653&lt;INDEX(DarlTilgStart,4))),0,MIN(MAX(0,$K1653-$L1653),$J1653)))</f>
      </c>
      <c r="N1653" s="43">
        <f>IF($I1653=0,0,MIN(SUMIFS(SondBetrag,SondDarl,4,SondDatum,"&gt;="&amp;$E1653,SondDatum,"&lt;="&amp;EOMONTH($E1653,0)),$J1653-$M1653))</f>
      </c>
      <c r="O1653" s="43">
        <f>IF($I1653=0,0,INDEX(DarlErsatzRate,4))</f>
      </c>
      <c r="P1653" s="43">
        <f>IF($I1653=0,0,$Q1652*INDEX(DarlErsatzZins,4))</f>
      </c>
      <c r="Q1653" s="43">
        <f>IF($I1653=0,0,$Q1652+$P1653+$O1653)</f>
      </c>
      <c r="R1653" s="43">
        <f>IF($I1653=0,0,$J1653-$M1653-$N1653)</f>
      </c>
    </row>
    <row r="1654">
      <c r="A1654"/>
      <c r="B1654">
        <v>4</v>
      </c>
      <c r="C1654" s="43">
        <f>INDEX(DarlObj,4)</f>
      </c>
      <c r="D1654">
        <v>211</v>
      </c>
      <c r="E1654" s="51">
        <f>IF(INDEX(DarlBelegt,4)=0,0,EOMONTH(INDEX(DarlAuszahlung,4),210)+1)</f>
      </c>
      <c r="F1654" s="43">
        <f>IF($E1654=0,0,YEAR($E1654))</f>
      </c>
      <c r="G1654" s="43">
        <f>IF(INDEX(DarlBindung,4)="",1,IF($E1654&lt;=INDEX(DarlBindung,4),1,0))</f>
      </c>
      <c r="H1654" s="43">
        <f>IF($G1654=1,INDEX(DarlSollzins,4),INDEX(DarlAnschluss,4))</f>
      </c>
      <c r="I1654" s="43">
        <f>IF(INDEX(DarlBelegt,4)=0,0,IF(INDEX(DarlOhneTilgung,4)=1,IF(INDEX(DarlBindung,4)="",1,$G1654),IF($J1654&gt;0.005,1,0)))</f>
      </c>
      <c r="J1654" s="43">
        <f>IF($I1653=0,0,$R1653)</f>
      </c>
      <c r="K1654" s="43">
        <f>IF($I1654=0,0,IF(INDEX(DarlOhneTilgung,4)=1,0,IF(AND(INDEX(DarlTilgStart,4)&gt;0,$E1654=INDEX(DarlTilgStart,4)),$J1654*($H1654+INDEX(DarlTilgung,4))/100/12,IF(AND($G1654=0,$G1653=1),MAX($K1653,$J1654*($H1654+1)/100/12),$K1653))))</f>
      </c>
      <c r="L1654" s="43">
        <f>IF($I1654=0,0,$J1654*$H1654/100/12)</f>
      </c>
      <c r="M1654" s="43">
        <f>IF($I1654=0,0,IF(OR(INDEX(DarlOhneTilgung,4)=1,AND(INDEX(DarlTilgStart,4)&gt;0,$E1654&lt;INDEX(DarlTilgStart,4))),0,MIN(MAX(0,$K1654-$L1654),$J1654)))</f>
      </c>
      <c r="N1654" s="43">
        <f>IF($I1654=0,0,MIN(SUMIFS(SondBetrag,SondDarl,4,SondDatum,"&gt;="&amp;$E1654,SondDatum,"&lt;="&amp;EOMONTH($E1654,0)),$J1654-$M1654))</f>
      </c>
      <c r="O1654" s="43">
        <f>IF($I1654=0,0,INDEX(DarlErsatzRate,4))</f>
      </c>
      <c r="P1654" s="43">
        <f>IF($I1654=0,0,$Q1653*INDEX(DarlErsatzZins,4))</f>
      </c>
      <c r="Q1654" s="43">
        <f>IF($I1654=0,0,$Q1653+$P1654+$O1654)</f>
      </c>
      <c r="R1654" s="43">
        <f>IF($I1654=0,0,$J1654-$M1654-$N1654)</f>
      </c>
    </row>
    <row r="1655">
      <c r="A1655"/>
      <c r="B1655">
        <v>4</v>
      </c>
      <c r="C1655" s="43">
        <f>INDEX(DarlObj,4)</f>
      </c>
      <c r="D1655">
        <v>212</v>
      </c>
      <c r="E1655" s="51">
        <f>IF(INDEX(DarlBelegt,4)=0,0,EOMONTH(INDEX(DarlAuszahlung,4),211)+1)</f>
      </c>
      <c r="F1655" s="43">
        <f>IF($E1655=0,0,YEAR($E1655))</f>
      </c>
      <c r="G1655" s="43">
        <f>IF(INDEX(DarlBindung,4)="",1,IF($E1655&lt;=INDEX(DarlBindung,4),1,0))</f>
      </c>
      <c r="H1655" s="43">
        <f>IF($G1655=1,INDEX(DarlSollzins,4),INDEX(DarlAnschluss,4))</f>
      </c>
      <c r="I1655" s="43">
        <f>IF(INDEX(DarlBelegt,4)=0,0,IF(INDEX(DarlOhneTilgung,4)=1,IF(INDEX(DarlBindung,4)="",1,$G1655),IF($J1655&gt;0.005,1,0)))</f>
      </c>
      <c r="J1655" s="43">
        <f>IF($I1654=0,0,$R1654)</f>
      </c>
      <c r="K1655" s="43">
        <f>IF($I1655=0,0,IF(INDEX(DarlOhneTilgung,4)=1,0,IF(AND(INDEX(DarlTilgStart,4)&gt;0,$E1655=INDEX(DarlTilgStart,4)),$J1655*($H1655+INDEX(DarlTilgung,4))/100/12,IF(AND($G1655=0,$G1654=1),MAX($K1654,$J1655*($H1655+1)/100/12),$K1654))))</f>
      </c>
      <c r="L1655" s="43">
        <f>IF($I1655=0,0,$J1655*$H1655/100/12)</f>
      </c>
      <c r="M1655" s="43">
        <f>IF($I1655=0,0,IF(OR(INDEX(DarlOhneTilgung,4)=1,AND(INDEX(DarlTilgStart,4)&gt;0,$E1655&lt;INDEX(DarlTilgStart,4))),0,MIN(MAX(0,$K1655-$L1655),$J1655)))</f>
      </c>
      <c r="N1655" s="43">
        <f>IF($I1655=0,0,MIN(SUMIFS(SondBetrag,SondDarl,4,SondDatum,"&gt;="&amp;$E1655,SondDatum,"&lt;="&amp;EOMONTH($E1655,0)),$J1655-$M1655))</f>
      </c>
      <c r="O1655" s="43">
        <f>IF($I1655=0,0,INDEX(DarlErsatzRate,4))</f>
      </c>
      <c r="P1655" s="43">
        <f>IF($I1655=0,0,$Q1654*INDEX(DarlErsatzZins,4))</f>
      </c>
      <c r="Q1655" s="43">
        <f>IF($I1655=0,0,$Q1654+$P1655+$O1655)</f>
      </c>
      <c r="R1655" s="43">
        <f>IF($I1655=0,0,$J1655-$M1655-$N1655)</f>
      </c>
    </row>
    <row r="1656">
      <c r="A1656"/>
      <c r="B1656">
        <v>4</v>
      </c>
      <c r="C1656" s="43">
        <f>INDEX(DarlObj,4)</f>
      </c>
      <c r="D1656">
        <v>213</v>
      </c>
      <c r="E1656" s="51">
        <f>IF(INDEX(DarlBelegt,4)=0,0,EOMONTH(INDEX(DarlAuszahlung,4),212)+1)</f>
      </c>
      <c r="F1656" s="43">
        <f>IF($E1656=0,0,YEAR($E1656))</f>
      </c>
      <c r="G1656" s="43">
        <f>IF(INDEX(DarlBindung,4)="",1,IF($E1656&lt;=INDEX(DarlBindung,4),1,0))</f>
      </c>
      <c r="H1656" s="43">
        <f>IF($G1656=1,INDEX(DarlSollzins,4),INDEX(DarlAnschluss,4))</f>
      </c>
      <c r="I1656" s="43">
        <f>IF(INDEX(DarlBelegt,4)=0,0,IF(INDEX(DarlOhneTilgung,4)=1,IF(INDEX(DarlBindung,4)="",1,$G1656),IF($J1656&gt;0.005,1,0)))</f>
      </c>
      <c r="J1656" s="43">
        <f>IF($I1655=0,0,$R1655)</f>
      </c>
      <c r="K1656" s="43">
        <f>IF($I1656=0,0,IF(INDEX(DarlOhneTilgung,4)=1,0,IF(AND(INDEX(DarlTilgStart,4)&gt;0,$E1656=INDEX(DarlTilgStart,4)),$J1656*($H1656+INDEX(DarlTilgung,4))/100/12,IF(AND($G1656=0,$G1655=1),MAX($K1655,$J1656*($H1656+1)/100/12),$K1655))))</f>
      </c>
      <c r="L1656" s="43">
        <f>IF($I1656=0,0,$J1656*$H1656/100/12)</f>
      </c>
      <c r="M1656" s="43">
        <f>IF($I1656=0,0,IF(OR(INDEX(DarlOhneTilgung,4)=1,AND(INDEX(DarlTilgStart,4)&gt;0,$E1656&lt;INDEX(DarlTilgStart,4))),0,MIN(MAX(0,$K1656-$L1656),$J1656)))</f>
      </c>
      <c r="N1656" s="43">
        <f>IF($I1656=0,0,MIN(SUMIFS(SondBetrag,SondDarl,4,SondDatum,"&gt;="&amp;$E1656,SondDatum,"&lt;="&amp;EOMONTH($E1656,0)),$J1656-$M1656))</f>
      </c>
      <c r="O1656" s="43">
        <f>IF($I1656=0,0,INDEX(DarlErsatzRate,4))</f>
      </c>
      <c r="P1656" s="43">
        <f>IF($I1656=0,0,$Q1655*INDEX(DarlErsatzZins,4))</f>
      </c>
      <c r="Q1656" s="43">
        <f>IF($I1656=0,0,$Q1655+$P1656+$O1656)</f>
      </c>
      <c r="R1656" s="43">
        <f>IF($I1656=0,0,$J1656-$M1656-$N1656)</f>
      </c>
    </row>
    <row r="1657">
      <c r="A1657"/>
      <c r="B1657">
        <v>4</v>
      </c>
      <c r="C1657" s="43">
        <f>INDEX(DarlObj,4)</f>
      </c>
      <c r="D1657">
        <v>214</v>
      </c>
      <c r="E1657" s="51">
        <f>IF(INDEX(DarlBelegt,4)=0,0,EOMONTH(INDEX(DarlAuszahlung,4),213)+1)</f>
      </c>
      <c r="F1657" s="43">
        <f>IF($E1657=0,0,YEAR($E1657))</f>
      </c>
      <c r="G1657" s="43">
        <f>IF(INDEX(DarlBindung,4)="",1,IF($E1657&lt;=INDEX(DarlBindung,4),1,0))</f>
      </c>
      <c r="H1657" s="43">
        <f>IF($G1657=1,INDEX(DarlSollzins,4),INDEX(DarlAnschluss,4))</f>
      </c>
      <c r="I1657" s="43">
        <f>IF(INDEX(DarlBelegt,4)=0,0,IF(INDEX(DarlOhneTilgung,4)=1,IF(INDEX(DarlBindung,4)="",1,$G1657),IF($J1657&gt;0.005,1,0)))</f>
      </c>
      <c r="J1657" s="43">
        <f>IF($I1656=0,0,$R1656)</f>
      </c>
      <c r="K1657" s="43">
        <f>IF($I1657=0,0,IF(INDEX(DarlOhneTilgung,4)=1,0,IF(AND(INDEX(DarlTilgStart,4)&gt;0,$E1657=INDEX(DarlTilgStart,4)),$J1657*($H1657+INDEX(DarlTilgung,4))/100/12,IF(AND($G1657=0,$G1656=1),MAX($K1656,$J1657*($H1657+1)/100/12),$K1656))))</f>
      </c>
      <c r="L1657" s="43">
        <f>IF($I1657=0,0,$J1657*$H1657/100/12)</f>
      </c>
      <c r="M1657" s="43">
        <f>IF($I1657=0,0,IF(OR(INDEX(DarlOhneTilgung,4)=1,AND(INDEX(DarlTilgStart,4)&gt;0,$E1657&lt;INDEX(DarlTilgStart,4))),0,MIN(MAX(0,$K1657-$L1657),$J1657)))</f>
      </c>
      <c r="N1657" s="43">
        <f>IF($I1657=0,0,MIN(SUMIFS(SondBetrag,SondDarl,4,SondDatum,"&gt;="&amp;$E1657,SondDatum,"&lt;="&amp;EOMONTH($E1657,0)),$J1657-$M1657))</f>
      </c>
      <c r="O1657" s="43">
        <f>IF($I1657=0,0,INDEX(DarlErsatzRate,4))</f>
      </c>
      <c r="P1657" s="43">
        <f>IF($I1657=0,0,$Q1656*INDEX(DarlErsatzZins,4))</f>
      </c>
      <c r="Q1657" s="43">
        <f>IF($I1657=0,0,$Q1656+$P1657+$O1657)</f>
      </c>
      <c r="R1657" s="43">
        <f>IF($I1657=0,0,$J1657-$M1657-$N1657)</f>
      </c>
    </row>
    <row r="1658">
      <c r="A1658"/>
      <c r="B1658">
        <v>4</v>
      </c>
      <c r="C1658" s="43">
        <f>INDEX(DarlObj,4)</f>
      </c>
      <c r="D1658">
        <v>215</v>
      </c>
      <c r="E1658" s="51">
        <f>IF(INDEX(DarlBelegt,4)=0,0,EOMONTH(INDEX(DarlAuszahlung,4),214)+1)</f>
      </c>
      <c r="F1658" s="43">
        <f>IF($E1658=0,0,YEAR($E1658))</f>
      </c>
      <c r="G1658" s="43">
        <f>IF(INDEX(DarlBindung,4)="",1,IF($E1658&lt;=INDEX(DarlBindung,4),1,0))</f>
      </c>
      <c r="H1658" s="43">
        <f>IF($G1658=1,INDEX(DarlSollzins,4),INDEX(DarlAnschluss,4))</f>
      </c>
      <c r="I1658" s="43">
        <f>IF(INDEX(DarlBelegt,4)=0,0,IF(INDEX(DarlOhneTilgung,4)=1,IF(INDEX(DarlBindung,4)="",1,$G1658),IF($J1658&gt;0.005,1,0)))</f>
      </c>
      <c r="J1658" s="43">
        <f>IF($I1657=0,0,$R1657)</f>
      </c>
      <c r="K1658" s="43">
        <f>IF($I1658=0,0,IF(INDEX(DarlOhneTilgung,4)=1,0,IF(AND(INDEX(DarlTilgStart,4)&gt;0,$E1658=INDEX(DarlTilgStart,4)),$J1658*($H1658+INDEX(DarlTilgung,4))/100/12,IF(AND($G1658=0,$G1657=1),MAX($K1657,$J1658*($H1658+1)/100/12),$K1657))))</f>
      </c>
      <c r="L1658" s="43">
        <f>IF($I1658=0,0,$J1658*$H1658/100/12)</f>
      </c>
      <c r="M1658" s="43">
        <f>IF($I1658=0,0,IF(OR(INDEX(DarlOhneTilgung,4)=1,AND(INDEX(DarlTilgStart,4)&gt;0,$E1658&lt;INDEX(DarlTilgStart,4))),0,MIN(MAX(0,$K1658-$L1658),$J1658)))</f>
      </c>
      <c r="N1658" s="43">
        <f>IF($I1658=0,0,MIN(SUMIFS(SondBetrag,SondDarl,4,SondDatum,"&gt;="&amp;$E1658,SondDatum,"&lt;="&amp;EOMONTH($E1658,0)),$J1658-$M1658))</f>
      </c>
      <c r="O1658" s="43">
        <f>IF($I1658=0,0,INDEX(DarlErsatzRate,4))</f>
      </c>
      <c r="P1658" s="43">
        <f>IF($I1658=0,0,$Q1657*INDEX(DarlErsatzZins,4))</f>
      </c>
      <c r="Q1658" s="43">
        <f>IF($I1658=0,0,$Q1657+$P1658+$O1658)</f>
      </c>
      <c r="R1658" s="43">
        <f>IF($I1658=0,0,$J1658-$M1658-$N1658)</f>
      </c>
    </row>
    <row r="1659">
      <c r="A1659"/>
      <c r="B1659">
        <v>4</v>
      </c>
      <c r="C1659" s="43">
        <f>INDEX(DarlObj,4)</f>
      </c>
      <c r="D1659">
        <v>216</v>
      </c>
      <c r="E1659" s="51">
        <f>IF(INDEX(DarlBelegt,4)=0,0,EOMONTH(INDEX(DarlAuszahlung,4),215)+1)</f>
      </c>
      <c r="F1659" s="43">
        <f>IF($E1659=0,0,YEAR($E1659))</f>
      </c>
      <c r="G1659" s="43">
        <f>IF(INDEX(DarlBindung,4)="",1,IF($E1659&lt;=INDEX(DarlBindung,4),1,0))</f>
      </c>
      <c r="H1659" s="43">
        <f>IF($G1659=1,INDEX(DarlSollzins,4),INDEX(DarlAnschluss,4))</f>
      </c>
      <c r="I1659" s="43">
        <f>IF(INDEX(DarlBelegt,4)=0,0,IF(INDEX(DarlOhneTilgung,4)=1,IF(INDEX(DarlBindung,4)="",1,$G1659),IF($J1659&gt;0.005,1,0)))</f>
      </c>
      <c r="J1659" s="43">
        <f>IF($I1658=0,0,$R1658)</f>
      </c>
      <c r="K1659" s="43">
        <f>IF($I1659=0,0,IF(INDEX(DarlOhneTilgung,4)=1,0,IF(AND(INDEX(DarlTilgStart,4)&gt;0,$E1659=INDEX(DarlTilgStart,4)),$J1659*($H1659+INDEX(DarlTilgung,4))/100/12,IF(AND($G1659=0,$G1658=1),MAX($K1658,$J1659*($H1659+1)/100/12),$K1658))))</f>
      </c>
      <c r="L1659" s="43">
        <f>IF($I1659=0,0,$J1659*$H1659/100/12)</f>
      </c>
      <c r="M1659" s="43">
        <f>IF($I1659=0,0,IF(OR(INDEX(DarlOhneTilgung,4)=1,AND(INDEX(DarlTilgStart,4)&gt;0,$E1659&lt;INDEX(DarlTilgStart,4))),0,MIN(MAX(0,$K1659-$L1659),$J1659)))</f>
      </c>
      <c r="N1659" s="43">
        <f>IF($I1659=0,0,MIN(SUMIFS(SondBetrag,SondDarl,4,SondDatum,"&gt;="&amp;$E1659,SondDatum,"&lt;="&amp;EOMONTH($E1659,0)),$J1659-$M1659))</f>
      </c>
      <c r="O1659" s="43">
        <f>IF($I1659=0,0,INDEX(DarlErsatzRate,4))</f>
      </c>
      <c r="P1659" s="43">
        <f>IF($I1659=0,0,$Q1658*INDEX(DarlErsatzZins,4))</f>
      </c>
      <c r="Q1659" s="43">
        <f>IF($I1659=0,0,$Q1658+$P1659+$O1659)</f>
      </c>
      <c r="R1659" s="43">
        <f>IF($I1659=0,0,$J1659-$M1659-$N1659)</f>
      </c>
    </row>
    <row r="1660">
      <c r="A1660"/>
      <c r="B1660">
        <v>4</v>
      </c>
      <c r="C1660" s="43">
        <f>INDEX(DarlObj,4)</f>
      </c>
      <c r="D1660">
        <v>217</v>
      </c>
      <c r="E1660" s="51">
        <f>IF(INDEX(DarlBelegt,4)=0,0,EOMONTH(INDEX(DarlAuszahlung,4),216)+1)</f>
      </c>
      <c r="F1660" s="43">
        <f>IF($E1660=0,0,YEAR($E1660))</f>
      </c>
      <c r="G1660" s="43">
        <f>IF(INDEX(DarlBindung,4)="",1,IF($E1660&lt;=INDEX(DarlBindung,4),1,0))</f>
      </c>
      <c r="H1660" s="43">
        <f>IF($G1660=1,INDEX(DarlSollzins,4),INDEX(DarlAnschluss,4))</f>
      </c>
      <c r="I1660" s="43">
        <f>IF(INDEX(DarlBelegt,4)=0,0,IF(INDEX(DarlOhneTilgung,4)=1,IF(INDEX(DarlBindung,4)="",1,$G1660),IF($J1660&gt;0.005,1,0)))</f>
      </c>
      <c r="J1660" s="43">
        <f>IF($I1659=0,0,$R1659)</f>
      </c>
      <c r="K1660" s="43">
        <f>IF($I1660=0,0,IF(INDEX(DarlOhneTilgung,4)=1,0,IF(AND(INDEX(DarlTilgStart,4)&gt;0,$E1660=INDEX(DarlTilgStart,4)),$J1660*($H1660+INDEX(DarlTilgung,4))/100/12,IF(AND($G1660=0,$G1659=1),MAX($K1659,$J1660*($H1660+1)/100/12),$K1659))))</f>
      </c>
      <c r="L1660" s="43">
        <f>IF($I1660=0,0,$J1660*$H1660/100/12)</f>
      </c>
      <c r="M1660" s="43">
        <f>IF($I1660=0,0,IF(OR(INDEX(DarlOhneTilgung,4)=1,AND(INDEX(DarlTilgStart,4)&gt;0,$E1660&lt;INDEX(DarlTilgStart,4))),0,MIN(MAX(0,$K1660-$L1660),$J1660)))</f>
      </c>
      <c r="N1660" s="43">
        <f>IF($I1660=0,0,MIN(SUMIFS(SondBetrag,SondDarl,4,SondDatum,"&gt;="&amp;$E1660,SondDatum,"&lt;="&amp;EOMONTH($E1660,0)),$J1660-$M1660))</f>
      </c>
      <c r="O1660" s="43">
        <f>IF($I1660=0,0,INDEX(DarlErsatzRate,4))</f>
      </c>
      <c r="P1660" s="43">
        <f>IF($I1660=0,0,$Q1659*INDEX(DarlErsatzZins,4))</f>
      </c>
      <c r="Q1660" s="43">
        <f>IF($I1660=0,0,$Q1659+$P1660+$O1660)</f>
      </c>
      <c r="R1660" s="43">
        <f>IF($I1660=0,0,$J1660-$M1660-$N1660)</f>
      </c>
    </row>
    <row r="1661">
      <c r="A1661"/>
      <c r="B1661">
        <v>4</v>
      </c>
      <c r="C1661" s="43">
        <f>INDEX(DarlObj,4)</f>
      </c>
      <c r="D1661">
        <v>218</v>
      </c>
      <c r="E1661" s="51">
        <f>IF(INDEX(DarlBelegt,4)=0,0,EOMONTH(INDEX(DarlAuszahlung,4),217)+1)</f>
      </c>
      <c r="F1661" s="43">
        <f>IF($E1661=0,0,YEAR($E1661))</f>
      </c>
      <c r="G1661" s="43">
        <f>IF(INDEX(DarlBindung,4)="",1,IF($E1661&lt;=INDEX(DarlBindung,4),1,0))</f>
      </c>
      <c r="H1661" s="43">
        <f>IF($G1661=1,INDEX(DarlSollzins,4),INDEX(DarlAnschluss,4))</f>
      </c>
      <c r="I1661" s="43">
        <f>IF(INDEX(DarlBelegt,4)=0,0,IF(INDEX(DarlOhneTilgung,4)=1,IF(INDEX(DarlBindung,4)="",1,$G1661),IF($J1661&gt;0.005,1,0)))</f>
      </c>
      <c r="J1661" s="43">
        <f>IF($I1660=0,0,$R1660)</f>
      </c>
      <c r="K1661" s="43">
        <f>IF($I1661=0,0,IF(INDEX(DarlOhneTilgung,4)=1,0,IF(AND(INDEX(DarlTilgStart,4)&gt;0,$E1661=INDEX(DarlTilgStart,4)),$J1661*($H1661+INDEX(DarlTilgung,4))/100/12,IF(AND($G1661=0,$G1660=1),MAX($K1660,$J1661*($H1661+1)/100/12),$K1660))))</f>
      </c>
      <c r="L1661" s="43">
        <f>IF($I1661=0,0,$J1661*$H1661/100/12)</f>
      </c>
      <c r="M1661" s="43">
        <f>IF($I1661=0,0,IF(OR(INDEX(DarlOhneTilgung,4)=1,AND(INDEX(DarlTilgStart,4)&gt;0,$E1661&lt;INDEX(DarlTilgStart,4))),0,MIN(MAX(0,$K1661-$L1661),$J1661)))</f>
      </c>
      <c r="N1661" s="43">
        <f>IF($I1661=0,0,MIN(SUMIFS(SondBetrag,SondDarl,4,SondDatum,"&gt;="&amp;$E1661,SondDatum,"&lt;="&amp;EOMONTH($E1661,0)),$J1661-$M1661))</f>
      </c>
      <c r="O1661" s="43">
        <f>IF($I1661=0,0,INDEX(DarlErsatzRate,4))</f>
      </c>
      <c r="P1661" s="43">
        <f>IF($I1661=0,0,$Q1660*INDEX(DarlErsatzZins,4))</f>
      </c>
      <c r="Q1661" s="43">
        <f>IF($I1661=0,0,$Q1660+$P1661+$O1661)</f>
      </c>
      <c r="R1661" s="43">
        <f>IF($I1661=0,0,$J1661-$M1661-$N1661)</f>
      </c>
    </row>
    <row r="1662">
      <c r="A1662"/>
      <c r="B1662">
        <v>4</v>
      </c>
      <c r="C1662" s="43">
        <f>INDEX(DarlObj,4)</f>
      </c>
      <c r="D1662">
        <v>219</v>
      </c>
      <c r="E1662" s="51">
        <f>IF(INDEX(DarlBelegt,4)=0,0,EOMONTH(INDEX(DarlAuszahlung,4),218)+1)</f>
      </c>
      <c r="F1662" s="43">
        <f>IF($E1662=0,0,YEAR($E1662))</f>
      </c>
      <c r="G1662" s="43">
        <f>IF(INDEX(DarlBindung,4)="",1,IF($E1662&lt;=INDEX(DarlBindung,4),1,0))</f>
      </c>
      <c r="H1662" s="43">
        <f>IF($G1662=1,INDEX(DarlSollzins,4),INDEX(DarlAnschluss,4))</f>
      </c>
      <c r="I1662" s="43">
        <f>IF(INDEX(DarlBelegt,4)=0,0,IF(INDEX(DarlOhneTilgung,4)=1,IF(INDEX(DarlBindung,4)="",1,$G1662),IF($J1662&gt;0.005,1,0)))</f>
      </c>
      <c r="J1662" s="43">
        <f>IF($I1661=0,0,$R1661)</f>
      </c>
      <c r="K1662" s="43">
        <f>IF($I1662=0,0,IF(INDEX(DarlOhneTilgung,4)=1,0,IF(AND(INDEX(DarlTilgStart,4)&gt;0,$E1662=INDEX(DarlTilgStart,4)),$J1662*($H1662+INDEX(DarlTilgung,4))/100/12,IF(AND($G1662=0,$G1661=1),MAX($K1661,$J1662*($H1662+1)/100/12),$K1661))))</f>
      </c>
      <c r="L1662" s="43">
        <f>IF($I1662=0,0,$J1662*$H1662/100/12)</f>
      </c>
      <c r="M1662" s="43">
        <f>IF($I1662=0,0,IF(OR(INDEX(DarlOhneTilgung,4)=1,AND(INDEX(DarlTilgStart,4)&gt;0,$E1662&lt;INDEX(DarlTilgStart,4))),0,MIN(MAX(0,$K1662-$L1662),$J1662)))</f>
      </c>
      <c r="N1662" s="43">
        <f>IF($I1662=0,0,MIN(SUMIFS(SondBetrag,SondDarl,4,SondDatum,"&gt;="&amp;$E1662,SondDatum,"&lt;="&amp;EOMONTH($E1662,0)),$J1662-$M1662))</f>
      </c>
      <c r="O1662" s="43">
        <f>IF($I1662=0,0,INDEX(DarlErsatzRate,4))</f>
      </c>
      <c r="P1662" s="43">
        <f>IF($I1662=0,0,$Q1661*INDEX(DarlErsatzZins,4))</f>
      </c>
      <c r="Q1662" s="43">
        <f>IF($I1662=0,0,$Q1661+$P1662+$O1662)</f>
      </c>
      <c r="R1662" s="43">
        <f>IF($I1662=0,0,$J1662-$M1662-$N1662)</f>
      </c>
    </row>
    <row r="1663">
      <c r="A1663"/>
      <c r="B1663">
        <v>4</v>
      </c>
      <c r="C1663" s="43">
        <f>INDEX(DarlObj,4)</f>
      </c>
      <c r="D1663">
        <v>220</v>
      </c>
      <c r="E1663" s="51">
        <f>IF(INDEX(DarlBelegt,4)=0,0,EOMONTH(INDEX(DarlAuszahlung,4),219)+1)</f>
      </c>
      <c r="F1663" s="43">
        <f>IF($E1663=0,0,YEAR($E1663))</f>
      </c>
      <c r="G1663" s="43">
        <f>IF(INDEX(DarlBindung,4)="",1,IF($E1663&lt;=INDEX(DarlBindung,4),1,0))</f>
      </c>
      <c r="H1663" s="43">
        <f>IF($G1663=1,INDEX(DarlSollzins,4),INDEX(DarlAnschluss,4))</f>
      </c>
      <c r="I1663" s="43">
        <f>IF(INDEX(DarlBelegt,4)=0,0,IF(INDEX(DarlOhneTilgung,4)=1,IF(INDEX(DarlBindung,4)="",1,$G1663),IF($J1663&gt;0.005,1,0)))</f>
      </c>
      <c r="J1663" s="43">
        <f>IF($I1662=0,0,$R1662)</f>
      </c>
      <c r="K1663" s="43">
        <f>IF($I1663=0,0,IF(INDEX(DarlOhneTilgung,4)=1,0,IF(AND(INDEX(DarlTilgStart,4)&gt;0,$E1663=INDEX(DarlTilgStart,4)),$J1663*($H1663+INDEX(DarlTilgung,4))/100/12,IF(AND($G1663=0,$G1662=1),MAX($K1662,$J1663*($H1663+1)/100/12),$K1662))))</f>
      </c>
      <c r="L1663" s="43">
        <f>IF($I1663=0,0,$J1663*$H1663/100/12)</f>
      </c>
      <c r="M1663" s="43">
        <f>IF($I1663=0,0,IF(OR(INDEX(DarlOhneTilgung,4)=1,AND(INDEX(DarlTilgStart,4)&gt;0,$E1663&lt;INDEX(DarlTilgStart,4))),0,MIN(MAX(0,$K1663-$L1663),$J1663)))</f>
      </c>
      <c r="N1663" s="43">
        <f>IF($I1663=0,0,MIN(SUMIFS(SondBetrag,SondDarl,4,SondDatum,"&gt;="&amp;$E1663,SondDatum,"&lt;="&amp;EOMONTH($E1663,0)),$J1663-$M1663))</f>
      </c>
      <c r="O1663" s="43">
        <f>IF($I1663=0,0,INDEX(DarlErsatzRate,4))</f>
      </c>
      <c r="P1663" s="43">
        <f>IF($I1663=0,0,$Q1662*INDEX(DarlErsatzZins,4))</f>
      </c>
      <c r="Q1663" s="43">
        <f>IF($I1663=0,0,$Q1662+$P1663+$O1663)</f>
      </c>
      <c r="R1663" s="43">
        <f>IF($I1663=0,0,$J1663-$M1663-$N1663)</f>
      </c>
    </row>
    <row r="1664">
      <c r="A1664"/>
      <c r="B1664">
        <v>4</v>
      </c>
      <c r="C1664" s="43">
        <f>INDEX(DarlObj,4)</f>
      </c>
      <c r="D1664">
        <v>221</v>
      </c>
      <c r="E1664" s="51">
        <f>IF(INDEX(DarlBelegt,4)=0,0,EOMONTH(INDEX(DarlAuszahlung,4),220)+1)</f>
      </c>
      <c r="F1664" s="43">
        <f>IF($E1664=0,0,YEAR($E1664))</f>
      </c>
      <c r="G1664" s="43">
        <f>IF(INDEX(DarlBindung,4)="",1,IF($E1664&lt;=INDEX(DarlBindung,4),1,0))</f>
      </c>
      <c r="H1664" s="43">
        <f>IF($G1664=1,INDEX(DarlSollzins,4),INDEX(DarlAnschluss,4))</f>
      </c>
      <c r="I1664" s="43">
        <f>IF(INDEX(DarlBelegt,4)=0,0,IF(INDEX(DarlOhneTilgung,4)=1,IF(INDEX(DarlBindung,4)="",1,$G1664),IF($J1664&gt;0.005,1,0)))</f>
      </c>
      <c r="J1664" s="43">
        <f>IF($I1663=0,0,$R1663)</f>
      </c>
      <c r="K1664" s="43">
        <f>IF($I1664=0,0,IF(INDEX(DarlOhneTilgung,4)=1,0,IF(AND(INDEX(DarlTilgStart,4)&gt;0,$E1664=INDEX(DarlTilgStart,4)),$J1664*($H1664+INDEX(DarlTilgung,4))/100/12,IF(AND($G1664=0,$G1663=1),MAX($K1663,$J1664*($H1664+1)/100/12),$K1663))))</f>
      </c>
      <c r="L1664" s="43">
        <f>IF($I1664=0,0,$J1664*$H1664/100/12)</f>
      </c>
      <c r="M1664" s="43">
        <f>IF($I1664=0,0,IF(OR(INDEX(DarlOhneTilgung,4)=1,AND(INDEX(DarlTilgStart,4)&gt;0,$E1664&lt;INDEX(DarlTilgStart,4))),0,MIN(MAX(0,$K1664-$L1664),$J1664)))</f>
      </c>
      <c r="N1664" s="43">
        <f>IF($I1664=0,0,MIN(SUMIFS(SondBetrag,SondDarl,4,SondDatum,"&gt;="&amp;$E1664,SondDatum,"&lt;="&amp;EOMONTH($E1664,0)),$J1664-$M1664))</f>
      </c>
      <c r="O1664" s="43">
        <f>IF($I1664=0,0,INDEX(DarlErsatzRate,4))</f>
      </c>
      <c r="P1664" s="43">
        <f>IF($I1664=0,0,$Q1663*INDEX(DarlErsatzZins,4))</f>
      </c>
      <c r="Q1664" s="43">
        <f>IF($I1664=0,0,$Q1663+$P1664+$O1664)</f>
      </c>
      <c r="R1664" s="43">
        <f>IF($I1664=0,0,$J1664-$M1664-$N1664)</f>
      </c>
    </row>
    <row r="1665">
      <c r="A1665"/>
      <c r="B1665">
        <v>4</v>
      </c>
      <c r="C1665" s="43">
        <f>INDEX(DarlObj,4)</f>
      </c>
      <c r="D1665">
        <v>222</v>
      </c>
      <c r="E1665" s="51">
        <f>IF(INDEX(DarlBelegt,4)=0,0,EOMONTH(INDEX(DarlAuszahlung,4),221)+1)</f>
      </c>
      <c r="F1665" s="43">
        <f>IF($E1665=0,0,YEAR($E1665))</f>
      </c>
      <c r="G1665" s="43">
        <f>IF(INDEX(DarlBindung,4)="",1,IF($E1665&lt;=INDEX(DarlBindung,4),1,0))</f>
      </c>
      <c r="H1665" s="43">
        <f>IF($G1665=1,INDEX(DarlSollzins,4),INDEX(DarlAnschluss,4))</f>
      </c>
      <c r="I1665" s="43">
        <f>IF(INDEX(DarlBelegt,4)=0,0,IF(INDEX(DarlOhneTilgung,4)=1,IF(INDEX(DarlBindung,4)="",1,$G1665),IF($J1665&gt;0.005,1,0)))</f>
      </c>
      <c r="J1665" s="43">
        <f>IF($I1664=0,0,$R1664)</f>
      </c>
      <c r="K1665" s="43">
        <f>IF($I1665=0,0,IF(INDEX(DarlOhneTilgung,4)=1,0,IF(AND(INDEX(DarlTilgStart,4)&gt;0,$E1665=INDEX(DarlTilgStart,4)),$J1665*($H1665+INDEX(DarlTilgung,4))/100/12,IF(AND($G1665=0,$G1664=1),MAX($K1664,$J1665*($H1665+1)/100/12),$K1664))))</f>
      </c>
      <c r="L1665" s="43">
        <f>IF($I1665=0,0,$J1665*$H1665/100/12)</f>
      </c>
      <c r="M1665" s="43">
        <f>IF($I1665=0,0,IF(OR(INDEX(DarlOhneTilgung,4)=1,AND(INDEX(DarlTilgStart,4)&gt;0,$E1665&lt;INDEX(DarlTilgStart,4))),0,MIN(MAX(0,$K1665-$L1665),$J1665)))</f>
      </c>
      <c r="N1665" s="43">
        <f>IF($I1665=0,0,MIN(SUMIFS(SondBetrag,SondDarl,4,SondDatum,"&gt;="&amp;$E1665,SondDatum,"&lt;="&amp;EOMONTH($E1665,0)),$J1665-$M1665))</f>
      </c>
      <c r="O1665" s="43">
        <f>IF($I1665=0,0,INDEX(DarlErsatzRate,4))</f>
      </c>
      <c r="P1665" s="43">
        <f>IF($I1665=0,0,$Q1664*INDEX(DarlErsatzZins,4))</f>
      </c>
      <c r="Q1665" s="43">
        <f>IF($I1665=0,0,$Q1664+$P1665+$O1665)</f>
      </c>
      <c r="R1665" s="43">
        <f>IF($I1665=0,0,$J1665-$M1665-$N1665)</f>
      </c>
    </row>
    <row r="1666">
      <c r="A1666"/>
      <c r="B1666">
        <v>4</v>
      </c>
      <c r="C1666" s="43">
        <f>INDEX(DarlObj,4)</f>
      </c>
      <c r="D1666">
        <v>223</v>
      </c>
      <c r="E1666" s="51">
        <f>IF(INDEX(DarlBelegt,4)=0,0,EOMONTH(INDEX(DarlAuszahlung,4),222)+1)</f>
      </c>
      <c r="F1666" s="43">
        <f>IF($E1666=0,0,YEAR($E1666))</f>
      </c>
      <c r="G1666" s="43">
        <f>IF(INDEX(DarlBindung,4)="",1,IF($E1666&lt;=INDEX(DarlBindung,4),1,0))</f>
      </c>
      <c r="H1666" s="43">
        <f>IF($G1666=1,INDEX(DarlSollzins,4),INDEX(DarlAnschluss,4))</f>
      </c>
      <c r="I1666" s="43">
        <f>IF(INDEX(DarlBelegt,4)=0,0,IF(INDEX(DarlOhneTilgung,4)=1,IF(INDEX(DarlBindung,4)="",1,$G1666),IF($J1666&gt;0.005,1,0)))</f>
      </c>
      <c r="J1666" s="43">
        <f>IF($I1665=0,0,$R1665)</f>
      </c>
      <c r="K1666" s="43">
        <f>IF($I1666=0,0,IF(INDEX(DarlOhneTilgung,4)=1,0,IF(AND(INDEX(DarlTilgStart,4)&gt;0,$E1666=INDEX(DarlTilgStart,4)),$J1666*($H1666+INDEX(DarlTilgung,4))/100/12,IF(AND($G1666=0,$G1665=1),MAX($K1665,$J1666*($H1666+1)/100/12),$K1665))))</f>
      </c>
      <c r="L1666" s="43">
        <f>IF($I1666=0,0,$J1666*$H1666/100/12)</f>
      </c>
      <c r="M1666" s="43">
        <f>IF($I1666=0,0,IF(OR(INDEX(DarlOhneTilgung,4)=1,AND(INDEX(DarlTilgStart,4)&gt;0,$E1666&lt;INDEX(DarlTilgStart,4))),0,MIN(MAX(0,$K1666-$L1666),$J1666)))</f>
      </c>
      <c r="N1666" s="43">
        <f>IF($I1666=0,0,MIN(SUMIFS(SondBetrag,SondDarl,4,SondDatum,"&gt;="&amp;$E1666,SondDatum,"&lt;="&amp;EOMONTH($E1666,0)),$J1666-$M1666))</f>
      </c>
      <c r="O1666" s="43">
        <f>IF($I1666=0,0,INDEX(DarlErsatzRate,4))</f>
      </c>
      <c r="P1666" s="43">
        <f>IF($I1666=0,0,$Q1665*INDEX(DarlErsatzZins,4))</f>
      </c>
      <c r="Q1666" s="43">
        <f>IF($I1666=0,0,$Q1665+$P1666+$O1666)</f>
      </c>
      <c r="R1666" s="43">
        <f>IF($I1666=0,0,$J1666-$M1666-$N1666)</f>
      </c>
    </row>
    <row r="1667">
      <c r="A1667"/>
      <c r="B1667">
        <v>4</v>
      </c>
      <c r="C1667" s="43">
        <f>INDEX(DarlObj,4)</f>
      </c>
      <c r="D1667">
        <v>224</v>
      </c>
      <c r="E1667" s="51">
        <f>IF(INDEX(DarlBelegt,4)=0,0,EOMONTH(INDEX(DarlAuszahlung,4),223)+1)</f>
      </c>
      <c r="F1667" s="43">
        <f>IF($E1667=0,0,YEAR($E1667))</f>
      </c>
      <c r="G1667" s="43">
        <f>IF(INDEX(DarlBindung,4)="",1,IF($E1667&lt;=INDEX(DarlBindung,4),1,0))</f>
      </c>
      <c r="H1667" s="43">
        <f>IF($G1667=1,INDEX(DarlSollzins,4),INDEX(DarlAnschluss,4))</f>
      </c>
      <c r="I1667" s="43">
        <f>IF(INDEX(DarlBelegt,4)=0,0,IF(INDEX(DarlOhneTilgung,4)=1,IF(INDEX(DarlBindung,4)="",1,$G1667),IF($J1667&gt;0.005,1,0)))</f>
      </c>
      <c r="J1667" s="43">
        <f>IF($I1666=0,0,$R1666)</f>
      </c>
      <c r="K1667" s="43">
        <f>IF($I1667=0,0,IF(INDEX(DarlOhneTilgung,4)=1,0,IF(AND(INDEX(DarlTilgStart,4)&gt;0,$E1667=INDEX(DarlTilgStart,4)),$J1667*($H1667+INDEX(DarlTilgung,4))/100/12,IF(AND($G1667=0,$G1666=1),MAX($K1666,$J1667*($H1667+1)/100/12),$K1666))))</f>
      </c>
      <c r="L1667" s="43">
        <f>IF($I1667=0,0,$J1667*$H1667/100/12)</f>
      </c>
      <c r="M1667" s="43">
        <f>IF($I1667=0,0,IF(OR(INDEX(DarlOhneTilgung,4)=1,AND(INDEX(DarlTilgStart,4)&gt;0,$E1667&lt;INDEX(DarlTilgStart,4))),0,MIN(MAX(0,$K1667-$L1667),$J1667)))</f>
      </c>
      <c r="N1667" s="43">
        <f>IF($I1667=0,0,MIN(SUMIFS(SondBetrag,SondDarl,4,SondDatum,"&gt;="&amp;$E1667,SondDatum,"&lt;="&amp;EOMONTH($E1667,0)),$J1667-$M1667))</f>
      </c>
      <c r="O1667" s="43">
        <f>IF($I1667=0,0,INDEX(DarlErsatzRate,4))</f>
      </c>
      <c r="P1667" s="43">
        <f>IF($I1667=0,0,$Q1666*INDEX(DarlErsatzZins,4))</f>
      </c>
      <c r="Q1667" s="43">
        <f>IF($I1667=0,0,$Q1666+$P1667+$O1667)</f>
      </c>
      <c r="R1667" s="43">
        <f>IF($I1667=0,0,$J1667-$M1667-$N1667)</f>
      </c>
    </row>
    <row r="1668">
      <c r="A1668"/>
      <c r="B1668">
        <v>4</v>
      </c>
      <c r="C1668" s="43">
        <f>INDEX(DarlObj,4)</f>
      </c>
      <c r="D1668">
        <v>225</v>
      </c>
      <c r="E1668" s="51">
        <f>IF(INDEX(DarlBelegt,4)=0,0,EOMONTH(INDEX(DarlAuszahlung,4),224)+1)</f>
      </c>
      <c r="F1668" s="43">
        <f>IF($E1668=0,0,YEAR($E1668))</f>
      </c>
      <c r="G1668" s="43">
        <f>IF(INDEX(DarlBindung,4)="",1,IF($E1668&lt;=INDEX(DarlBindung,4),1,0))</f>
      </c>
      <c r="H1668" s="43">
        <f>IF($G1668=1,INDEX(DarlSollzins,4),INDEX(DarlAnschluss,4))</f>
      </c>
      <c r="I1668" s="43">
        <f>IF(INDEX(DarlBelegt,4)=0,0,IF(INDEX(DarlOhneTilgung,4)=1,IF(INDEX(DarlBindung,4)="",1,$G1668),IF($J1668&gt;0.005,1,0)))</f>
      </c>
      <c r="J1668" s="43">
        <f>IF($I1667=0,0,$R1667)</f>
      </c>
      <c r="K1668" s="43">
        <f>IF($I1668=0,0,IF(INDEX(DarlOhneTilgung,4)=1,0,IF(AND(INDEX(DarlTilgStart,4)&gt;0,$E1668=INDEX(DarlTilgStart,4)),$J1668*($H1668+INDEX(DarlTilgung,4))/100/12,IF(AND($G1668=0,$G1667=1),MAX($K1667,$J1668*($H1668+1)/100/12),$K1667))))</f>
      </c>
      <c r="L1668" s="43">
        <f>IF($I1668=0,0,$J1668*$H1668/100/12)</f>
      </c>
      <c r="M1668" s="43">
        <f>IF($I1668=0,0,IF(OR(INDEX(DarlOhneTilgung,4)=1,AND(INDEX(DarlTilgStart,4)&gt;0,$E1668&lt;INDEX(DarlTilgStart,4))),0,MIN(MAX(0,$K1668-$L1668),$J1668)))</f>
      </c>
      <c r="N1668" s="43">
        <f>IF($I1668=0,0,MIN(SUMIFS(SondBetrag,SondDarl,4,SondDatum,"&gt;="&amp;$E1668,SondDatum,"&lt;="&amp;EOMONTH($E1668,0)),$J1668-$M1668))</f>
      </c>
      <c r="O1668" s="43">
        <f>IF($I1668=0,0,INDEX(DarlErsatzRate,4))</f>
      </c>
      <c r="P1668" s="43">
        <f>IF($I1668=0,0,$Q1667*INDEX(DarlErsatzZins,4))</f>
      </c>
      <c r="Q1668" s="43">
        <f>IF($I1668=0,0,$Q1667+$P1668+$O1668)</f>
      </c>
      <c r="R1668" s="43">
        <f>IF($I1668=0,0,$J1668-$M1668-$N1668)</f>
      </c>
    </row>
    <row r="1669">
      <c r="A1669"/>
      <c r="B1669">
        <v>4</v>
      </c>
      <c r="C1669" s="43">
        <f>INDEX(DarlObj,4)</f>
      </c>
      <c r="D1669">
        <v>226</v>
      </c>
      <c r="E1669" s="51">
        <f>IF(INDEX(DarlBelegt,4)=0,0,EOMONTH(INDEX(DarlAuszahlung,4),225)+1)</f>
      </c>
      <c r="F1669" s="43">
        <f>IF($E1669=0,0,YEAR($E1669))</f>
      </c>
      <c r="G1669" s="43">
        <f>IF(INDEX(DarlBindung,4)="",1,IF($E1669&lt;=INDEX(DarlBindung,4),1,0))</f>
      </c>
      <c r="H1669" s="43">
        <f>IF($G1669=1,INDEX(DarlSollzins,4),INDEX(DarlAnschluss,4))</f>
      </c>
      <c r="I1669" s="43">
        <f>IF(INDEX(DarlBelegt,4)=0,0,IF(INDEX(DarlOhneTilgung,4)=1,IF(INDEX(DarlBindung,4)="",1,$G1669),IF($J1669&gt;0.005,1,0)))</f>
      </c>
      <c r="J1669" s="43">
        <f>IF($I1668=0,0,$R1668)</f>
      </c>
      <c r="K1669" s="43">
        <f>IF($I1669=0,0,IF(INDEX(DarlOhneTilgung,4)=1,0,IF(AND(INDEX(DarlTilgStart,4)&gt;0,$E1669=INDEX(DarlTilgStart,4)),$J1669*($H1669+INDEX(DarlTilgung,4))/100/12,IF(AND($G1669=0,$G1668=1),MAX($K1668,$J1669*($H1669+1)/100/12),$K1668))))</f>
      </c>
      <c r="L1669" s="43">
        <f>IF($I1669=0,0,$J1669*$H1669/100/12)</f>
      </c>
      <c r="M1669" s="43">
        <f>IF($I1669=0,0,IF(OR(INDEX(DarlOhneTilgung,4)=1,AND(INDEX(DarlTilgStart,4)&gt;0,$E1669&lt;INDEX(DarlTilgStart,4))),0,MIN(MAX(0,$K1669-$L1669),$J1669)))</f>
      </c>
      <c r="N1669" s="43">
        <f>IF($I1669=0,0,MIN(SUMIFS(SondBetrag,SondDarl,4,SondDatum,"&gt;="&amp;$E1669,SondDatum,"&lt;="&amp;EOMONTH($E1669,0)),$J1669-$M1669))</f>
      </c>
      <c r="O1669" s="43">
        <f>IF($I1669=0,0,INDEX(DarlErsatzRate,4))</f>
      </c>
      <c r="P1669" s="43">
        <f>IF($I1669=0,0,$Q1668*INDEX(DarlErsatzZins,4))</f>
      </c>
      <c r="Q1669" s="43">
        <f>IF($I1669=0,0,$Q1668+$P1669+$O1669)</f>
      </c>
      <c r="R1669" s="43">
        <f>IF($I1669=0,0,$J1669-$M1669-$N1669)</f>
      </c>
    </row>
    <row r="1670">
      <c r="A1670"/>
      <c r="B1670">
        <v>4</v>
      </c>
      <c r="C1670" s="43">
        <f>INDEX(DarlObj,4)</f>
      </c>
      <c r="D1670">
        <v>227</v>
      </c>
      <c r="E1670" s="51">
        <f>IF(INDEX(DarlBelegt,4)=0,0,EOMONTH(INDEX(DarlAuszahlung,4),226)+1)</f>
      </c>
      <c r="F1670" s="43">
        <f>IF($E1670=0,0,YEAR($E1670))</f>
      </c>
      <c r="G1670" s="43">
        <f>IF(INDEX(DarlBindung,4)="",1,IF($E1670&lt;=INDEX(DarlBindung,4),1,0))</f>
      </c>
      <c r="H1670" s="43">
        <f>IF($G1670=1,INDEX(DarlSollzins,4),INDEX(DarlAnschluss,4))</f>
      </c>
      <c r="I1670" s="43">
        <f>IF(INDEX(DarlBelegt,4)=0,0,IF(INDEX(DarlOhneTilgung,4)=1,IF(INDEX(DarlBindung,4)="",1,$G1670),IF($J1670&gt;0.005,1,0)))</f>
      </c>
      <c r="J1670" s="43">
        <f>IF($I1669=0,0,$R1669)</f>
      </c>
      <c r="K1670" s="43">
        <f>IF($I1670=0,0,IF(INDEX(DarlOhneTilgung,4)=1,0,IF(AND(INDEX(DarlTilgStart,4)&gt;0,$E1670=INDEX(DarlTilgStart,4)),$J1670*($H1670+INDEX(DarlTilgung,4))/100/12,IF(AND($G1670=0,$G1669=1),MAX($K1669,$J1670*($H1670+1)/100/12),$K1669))))</f>
      </c>
      <c r="L1670" s="43">
        <f>IF($I1670=0,0,$J1670*$H1670/100/12)</f>
      </c>
      <c r="M1670" s="43">
        <f>IF($I1670=0,0,IF(OR(INDEX(DarlOhneTilgung,4)=1,AND(INDEX(DarlTilgStart,4)&gt;0,$E1670&lt;INDEX(DarlTilgStart,4))),0,MIN(MAX(0,$K1670-$L1670),$J1670)))</f>
      </c>
      <c r="N1670" s="43">
        <f>IF($I1670=0,0,MIN(SUMIFS(SondBetrag,SondDarl,4,SondDatum,"&gt;="&amp;$E1670,SondDatum,"&lt;="&amp;EOMONTH($E1670,0)),$J1670-$M1670))</f>
      </c>
      <c r="O1670" s="43">
        <f>IF($I1670=0,0,INDEX(DarlErsatzRate,4))</f>
      </c>
      <c r="P1670" s="43">
        <f>IF($I1670=0,0,$Q1669*INDEX(DarlErsatzZins,4))</f>
      </c>
      <c r="Q1670" s="43">
        <f>IF($I1670=0,0,$Q1669+$P1670+$O1670)</f>
      </c>
      <c r="R1670" s="43">
        <f>IF($I1670=0,0,$J1670-$M1670-$N1670)</f>
      </c>
    </row>
    <row r="1671">
      <c r="A1671"/>
      <c r="B1671">
        <v>4</v>
      </c>
      <c r="C1671" s="43">
        <f>INDEX(DarlObj,4)</f>
      </c>
      <c r="D1671">
        <v>228</v>
      </c>
      <c r="E1671" s="51">
        <f>IF(INDEX(DarlBelegt,4)=0,0,EOMONTH(INDEX(DarlAuszahlung,4),227)+1)</f>
      </c>
      <c r="F1671" s="43">
        <f>IF($E1671=0,0,YEAR($E1671))</f>
      </c>
      <c r="G1671" s="43">
        <f>IF(INDEX(DarlBindung,4)="",1,IF($E1671&lt;=INDEX(DarlBindung,4),1,0))</f>
      </c>
      <c r="H1671" s="43">
        <f>IF($G1671=1,INDEX(DarlSollzins,4),INDEX(DarlAnschluss,4))</f>
      </c>
      <c r="I1671" s="43">
        <f>IF(INDEX(DarlBelegt,4)=0,0,IF(INDEX(DarlOhneTilgung,4)=1,IF(INDEX(DarlBindung,4)="",1,$G1671),IF($J1671&gt;0.005,1,0)))</f>
      </c>
      <c r="J1671" s="43">
        <f>IF($I1670=0,0,$R1670)</f>
      </c>
      <c r="K1671" s="43">
        <f>IF($I1671=0,0,IF(INDEX(DarlOhneTilgung,4)=1,0,IF(AND(INDEX(DarlTilgStart,4)&gt;0,$E1671=INDEX(DarlTilgStart,4)),$J1671*($H1671+INDEX(DarlTilgung,4))/100/12,IF(AND($G1671=0,$G1670=1),MAX($K1670,$J1671*($H1671+1)/100/12),$K1670))))</f>
      </c>
      <c r="L1671" s="43">
        <f>IF($I1671=0,0,$J1671*$H1671/100/12)</f>
      </c>
      <c r="M1671" s="43">
        <f>IF($I1671=0,0,IF(OR(INDEX(DarlOhneTilgung,4)=1,AND(INDEX(DarlTilgStart,4)&gt;0,$E1671&lt;INDEX(DarlTilgStart,4))),0,MIN(MAX(0,$K1671-$L1671),$J1671)))</f>
      </c>
      <c r="N1671" s="43">
        <f>IF($I1671=0,0,MIN(SUMIFS(SondBetrag,SondDarl,4,SondDatum,"&gt;="&amp;$E1671,SondDatum,"&lt;="&amp;EOMONTH($E1671,0)),$J1671-$M1671))</f>
      </c>
      <c r="O1671" s="43">
        <f>IF($I1671=0,0,INDEX(DarlErsatzRate,4))</f>
      </c>
      <c r="P1671" s="43">
        <f>IF($I1671=0,0,$Q1670*INDEX(DarlErsatzZins,4))</f>
      </c>
      <c r="Q1671" s="43">
        <f>IF($I1671=0,0,$Q1670+$P1671+$O1671)</f>
      </c>
      <c r="R1671" s="43">
        <f>IF($I1671=0,0,$J1671-$M1671-$N1671)</f>
      </c>
    </row>
    <row r="1672">
      <c r="A1672"/>
      <c r="B1672">
        <v>4</v>
      </c>
      <c r="C1672" s="43">
        <f>INDEX(DarlObj,4)</f>
      </c>
      <c r="D1672">
        <v>229</v>
      </c>
      <c r="E1672" s="51">
        <f>IF(INDEX(DarlBelegt,4)=0,0,EOMONTH(INDEX(DarlAuszahlung,4),228)+1)</f>
      </c>
      <c r="F1672" s="43">
        <f>IF($E1672=0,0,YEAR($E1672))</f>
      </c>
      <c r="G1672" s="43">
        <f>IF(INDEX(DarlBindung,4)="",1,IF($E1672&lt;=INDEX(DarlBindung,4),1,0))</f>
      </c>
      <c r="H1672" s="43">
        <f>IF($G1672=1,INDEX(DarlSollzins,4),INDEX(DarlAnschluss,4))</f>
      </c>
      <c r="I1672" s="43">
        <f>IF(INDEX(DarlBelegt,4)=0,0,IF(INDEX(DarlOhneTilgung,4)=1,IF(INDEX(DarlBindung,4)="",1,$G1672),IF($J1672&gt;0.005,1,0)))</f>
      </c>
      <c r="J1672" s="43">
        <f>IF($I1671=0,0,$R1671)</f>
      </c>
      <c r="K1672" s="43">
        <f>IF($I1672=0,0,IF(INDEX(DarlOhneTilgung,4)=1,0,IF(AND(INDEX(DarlTilgStart,4)&gt;0,$E1672=INDEX(DarlTilgStart,4)),$J1672*($H1672+INDEX(DarlTilgung,4))/100/12,IF(AND($G1672=0,$G1671=1),MAX($K1671,$J1672*($H1672+1)/100/12),$K1671))))</f>
      </c>
      <c r="L1672" s="43">
        <f>IF($I1672=0,0,$J1672*$H1672/100/12)</f>
      </c>
      <c r="M1672" s="43">
        <f>IF($I1672=0,0,IF(OR(INDEX(DarlOhneTilgung,4)=1,AND(INDEX(DarlTilgStart,4)&gt;0,$E1672&lt;INDEX(DarlTilgStart,4))),0,MIN(MAX(0,$K1672-$L1672),$J1672)))</f>
      </c>
      <c r="N1672" s="43">
        <f>IF($I1672=0,0,MIN(SUMIFS(SondBetrag,SondDarl,4,SondDatum,"&gt;="&amp;$E1672,SondDatum,"&lt;="&amp;EOMONTH($E1672,0)),$J1672-$M1672))</f>
      </c>
      <c r="O1672" s="43">
        <f>IF($I1672=0,0,INDEX(DarlErsatzRate,4))</f>
      </c>
      <c r="P1672" s="43">
        <f>IF($I1672=0,0,$Q1671*INDEX(DarlErsatzZins,4))</f>
      </c>
      <c r="Q1672" s="43">
        <f>IF($I1672=0,0,$Q1671+$P1672+$O1672)</f>
      </c>
      <c r="R1672" s="43">
        <f>IF($I1672=0,0,$J1672-$M1672-$N1672)</f>
      </c>
    </row>
    <row r="1673">
      <c r="A1673"/>
      <c r="B1673">
        <v>4</v>
      </c>
      <c r="C1673" s="43">
        <f>INDEX(DarlObj,4)</f>
      </c>
      <c r="D1673">
        <v>230</v>
      </c>
      <c r="E1673" s="51">
        <f>IF(INDEX(DarlBelegt,4)=0,0,EOMONTH(INDEX(DarlAuszahlung,4),229)+1)</f>
      </c>
      <c r="F1673" s="43">
        <f>IF($E1673=0,0,YEAR($E1673))</f>
      </c>
      <c r="G1673" s="43">
        <f>IF(INDEX(DarlBindung,4)="",1,IF($E1673&lt;=INDEX(DarlBindung,4),1,0))</f>
      </c>
      <c r="H1673" s="43">
        <f>IF($G1673=1,INDEX(DarlSollzins,4),INDEX(DarlAnschluss,4))</f>
      </c>
      <c r="I1673" s="43">
        <f>IF(INDEX(DarlBelegt,4)=0,0,IF(INDEX(DarlOhneTilgung,4)=1,IF(INDEX(DarlBindung,4)="",1,$G1673),IF($J1673&gt;0.005,1,0)))</f>
      </c>
      <c r="J1673" s="43">
        <f>IF($I1672=0,0,$R1672)</f>
      </c>
      <c r="K1673" s="43">
        <f>IF($I1673=0,0,IF(INDEX(DarlOhneTilgung,4)=1,0,IF(AND(INDEX(DarlTilgStart,4)&gt;0,$E1673=INDEX(DarlTilgStart,4)),$J1673*($H1673+INDEX(DarlTilgung,4))/100/12,IF(AND($G1673=0,$G1672=1),MAX($K1672,$J1673*($H1673+1)/100/12),$K1672))))</f>
      </c>
      <c r="L1673" s="43">
        <f>IF($I1673=0,0,$J1673*$H1673/100/12)</f>
      </c>
      <c r="M1673" s="43">
        <f>IF($I1673=0,0,IF(OR(INDEX(DarlOhneTilgung,4)=1,AND(INDEX(DarlTilgStart,4)&gt;0,$E1673&lt;INDEX(DarlTilgStart,4))),0,MIN(MAX(0,$K1673-$L1673),$J1673)))</f>
      </c>
      <c r="N1673" s="43">
        <f>IF($I1673=0,0,MIN(SUMIFS(SondBetrag,SondDarl,4,SondDatum,"&gt;="&amp;$E1673,SondDatum,"&lt;="&amp;EOMONTH($E1673,0)),$J1673-$M1673))</f>
      </c>
      <c r="O1673" s="43">
        <f>IF($I1673=0,0,INDEX(DarlErsatzRate,4))</f>
      </c>
      <c r="P1673" s="43">
        <f>IF($I1673=0,0,$Q1672*INDEX(DarlErsatzZins,4))</f>
      </c>
      <c r="Q1673" s="43">
        <f>IF($I1673=0,0,$Q1672+$P1673+$O1673)</f>
      </c>
      <c r="R1673" s="43">
        <f>IF($I1673=0,0,$J1673-$M1673-$N1673)</f>
      </c>
    </row>
    <row r="1674">
      <c r="A1674"/>
      <c r="B1674">
        <v>4</v>
      </c>
      <c r="C1674" s="43">
        <f>INDEX(DarlObj,4)</f>
      </c>
      <c r="D1674">
        <v>231</v>
      </c>
      <c r="E1674" s="51">
        <f>IF(INDEX(DarlBelegt,4)=0,0,EOMONTH(INDEX(DarlAuszahlung,4),230)+1)</f>
      </c>
      <c r="F1674" s="43">
        <f>IF($E1674=0,0,YEAR($E1674))</f>
      </c>
      <c r="G1674" s="43">
        <f>IF(INDEX(DarlBindung,4)="",1,IF($E1674&lt;=INDEX(DarlBindung,4),1,0))</f>
      </c>
      <c r="H1674" s="43">
        <f>IF($G1674=1,INDEX(DarlSollzins,4),INDEX(DarlAnschluss,4))</f>
      </c>
      <c r="I1674" s="43">
        <f>IF(INDEX(DarlBelegt,4)=0,0,IF(INDEX(DarlOhneTilgung,4)=1,IF(INDEX(DarlBindung,4)="",1,$G1674),IF($J1674&gt;0.005,1,0)))</f>
      </c>
      <c r="J1674" s="43">
        <f>IF($I1673=0,0,$R1673)</f>
      </c>
      <c r="K1674" s="43">
        <f>IF($I1674=0,0,IF(INDEX(DarlOhneTilgung,4)=1,0,IF(AND(INDEX(DarlTilgStart,4)&gt;0,$E1674=INDEX(DarlTilgStart,4)),$J1674*($H1674+INDEX(DarlTilgung,4))/100/12,IF(AND($G1674=0,$G1673=1),MAX($K1673,$J1674*($H1674+1)/100/12),$K1673))))</f>
      </c>
      <c r="L1674" s="43">
        <f>IF($I1674=0,0,$J1674*$H1674/100/12)</f>
      </c>
      <c r="M1674" s="43">
        <f>IF($I1674=0,0,IF(OR(INDEX(DarlOhneTilgung,4)=1,AND(INDEX(DarlTilgStart,4)&gt;0,$E1674&lt;INDEX(DarlTilgStart,4))),0,MIN(MAX(0,$K1674-$L1674),$J1674)))</f>
      </c>
      <c r="N1674" s="43">
        <f>IF($I1674=0,0,MIN(SUMIFS(SondBetrag,SondDarl,4,SondDatum,"&gt;="&amp;$E1674,SondDatum,"&lt;="&amp;EOMONTH($E1674,0)),$J1674-$M1674))</f>
      </c>
      <c r="O1674" s="43">
        <f>IF($I1674=0,0,INDEX(DarlErsatzRate,4))</f>
      </c>
      <c r="P1674" s="43">
        <f>IF($I1674=0,0,$Q1673*INDEX(DarlErsatzZins,4))</f>
      </c>
      <c r="Q1674" s="43">
        <f>IF($I1674=0,0,$Q1673+$P1674+$O1674)</f>
      </c>
      <c r="R1674" s="43">
        <f>IF($I1674=0,0,$J1674-$M1674-$N1674)</f>
      </c>
    </row>
    <row r="1675">
      <c r="A1675"/>
      <c r="B1675">
        <v>4</v>
      </c>
      <c r="C1675" s="43">
        <f>INDEX(DarlObj,4)</f>
      </c>
      <c r="D1675">
        <v>232</v>
      </c>
      <c r="E1675" s="51">
        <f>IF(INDEX(DarlBelegt,4)=0,0,EOMONTH(INDEX(DarlAuszahlung,4),231)+1)</f>
      </c>
      <c r="F1675" s="43">
        <f>IF($E1675=0,0,YEAR($E1675))</f>
      </c>
      <c r="G1675" s="43">
        <f>IF(INDEX(DarlBindung,4)="",1,IF($E1675&lt;=INDEX(DarlBindung,4),1,0))</f>
      </c>
      <c r="H1675" s="43">
        <f>IF($G1675=1,INDEX(DarlSollzins,4),INDEX(DarlAnschluss,4))</f>
      </c>
      <c r="I1675" s="43">
        <f>IF(INDEX(DarlBelegt,4)=0,0,IF(INDEX(DarlOhneTilgung,4)=1,IF(INDEX(DarlBindung,4)="",1,$G1675),IF($J1675&gt;0.005,1,0)))</f>
      </c>
      <c r="J1675" s="43">
        <f>IF($I1674=0,0,$R1674)</f>
      </c>
      <c r="K1675" s="43">
        <f>IF($I1675=0,0,IF(INDEX(DarlOhneTilgung,4)=1,0,IF(AND(INDEX(DarlTilgStart,4)&gt;0,$E1675=INDEX(DarlTilgStart,4)),$J1675*($H1675+INDEX(DarlTilgung,4))/100/12,IF(AND($G1675=0,$G1674=1),MAX($K1674,$J1675*($H1675+1)/100/12),$K1674))))</f>
      </c>
      <c r="L1675" s="43">
        <f>IF($I1675=0,0,$J1675*$H1675/100/12)</f>
      </c>
      <c r="M1675" s="43">
        <f>IF($I1675=0,0,IF(OR(INDEX(DarlOhneTilgung,4)=1,AND(INDEX(DarlTilgStart,4)&gt;0,$E1675&lt;INDEX(DarlTilgStart,4))),0,MIN(MAX(0,$K1675-$L1675),$J1675)))</f>
      </c>
      <c r="N1675" s="43">
        <f>IF($I1675=0,0,MIN(SUMIFS(SondBetrag,SondDarl,4,SondDatum,"&gt;="&amp;$E1675,SondDatum,"&lt;="&amp;EOMONTH($E1675,0)),$J1675-$M1675))</f>
      </c>
      <c r="O1675" s="43">
        <f>IF($I1675=0,0,INDEX(DarlErsatzRate,4))</f>
      </c>
      <c r="P1675" s="43">
        <f>IF($I1675=0,0,$Q1674*INDEX(DarlErsatzZins,4))</f>
      </c>
      <c r="Q1675" s="43">
        <f>IF($I1675=0,0,$Q1674+$P1675+$O1675)</f>
      </c>
      <c r="R1675" s="43">
        <f>IF($I1675=0,0,$J1675-$M1675-$N1675)</f>
      </c>
    </row>
    <row r="1676">
      <c r="A1676"/>
      <c r="B1676">
        <v>4</v>
      </c>
      <c r="C1676" s="43">
        <f>INDEX(DarlObj,4)</f>
      </c>
      <c r="D1676">
        <v>233</v>
      </c>
      <c r="E1676" s="51">
        <f>IF(INDEX(DarlBelegt,4)=0,0,EOMONTH(INDEX(DarlAuszahlung,4),232)+1)</f>
      </c>
      <c r="F1676" s="43">
        <f>IF($E1676=0,0,YEAR($E1676))</f>
      </c>
      <c r="G1676" s="43">
        <f>IF(INDEX(DarlBindung,4)="",1,IF($E1676&lt;=INDEX(DarlBindung,4),1,0))</f>
      </c>
      <c r="H1676" s="43">
        <f>IF($G1676=1,INDEX(DarlSollzins,4),INDEX(DarlAnschluss,4))</f>
      </c>
      <c r="I1676" s="43">
        <f>IF(INDEX(DarlBelegt,4)=0,0,IF(INDEX(DarlOhneTilgung,4)=1,IF(INDEX(DarlBindung,4)="",1,$G1676),IF($J1676&gt;0.005,1,0)))</f>
      </c>
      <c r="J1676" s="43">
        <f>IF($I1675=0,0,$R1675)</f>
      </c>
      <c r="K1676" s="43">
        <f>IF($I1676=0,0,IF(INDEX(DarlOhneTilgung,4)=1,0,IF(AND(INDEX(DarlTilgStart,4)&gt;0,$E1676=INDEX(DarlTilgStart,4)),$J1676*($H1676+INDEX(DarlTilgung,4))/100/12,IF(AND($G1676=0,$G1675=1),MAX($K1675,$J1676*($H1676+1)/100/12),$K1675))))</f>
      </c>
      <c r="L1676" s="43">
        <f>IF($I1676=0,0,$J1676*$H1676/100/12)</f>
      </c>
      <c r="M1676" s="43">
        <f>IF($I1676=0,0,IF(OR(INDEX(DarlOhneTilgung,4)=1,AND(INDEX(DarlTilgStart,4)&gt;0,$E1676&lt;INDEX(DarlTilgStart,4))),0,MIN(MAX(0,$K1676-$L1676),$J1676)))</f>
      </c>
      <c r="N1676" s="43">
        <f>IF($I1676=0,0,MIN(SUMIFS(SondBetrag,SondDarl,4,SondDatum,"&gt;="&amp;$E1676,SondDatum,"&lt;="&amp;EOMONTH($E1676,0)),$J1676-$M1676))</f>
      </c>
      <c r="O1676" s="43">
        <f>IF($I1676=0,0,INDEX(DarlErsatzRate,4))</f>
      </c>
      <c r="P1676" s="43">
        <f>IF($I1676=0,0,$Q1675*INDEX(DarlErsatzZins,4))</f>
      </c>
      <c r="Q1676" s="43">
        <f>IF($I1676=0,0,$Q1675+$P1676+$O1676)</f>
      </c>
      <c r="R1676" s="43">
        <f>IF($I1676=0,0,$J1676-$M1676-$N1676)</f>
      </c>
    </row>
    <row r="1677">
      <c r="A1677"/>
      <c r="B1677">
        <v>4</v>
      </c>
      <c r="C1677" s="43">
        <f>INDEX(DarlObj,4)</f>
      </c>
      <c r="D1677">
        <v>234</v>
      </c>
      <c r="E1677" s="51">
        <f>IF(INDEX(DarlBelegt,4)=0,0,EOMONTH(INDEX(DarlAuszahlung,4),233)+1)</f>
      </c>
      <c r="F1677" s="43">
        <f>IF($E1677=0,0,YEAR($E1677))</f>
      </c>
      <c r="G1677" s="43">
        <f>IF(INDEX(DarlBindung,4)="",1,IF($E1677&lt;=INDEX(DarlBindung,4),1,0))</f>
      </c>
      <c r="H1677" s="43">
        <f>IF($G1677=1,INDEX(DarlSollzins,4),INDEX(DarlAnschluss,4))</f>
      </c>
      <c r="I1677" s="43">
        <f>IF(INDEX(DarlBelegt,4)=0,0,IF(INDEX(DarlOhneTilgung,4)=1,IF(INDEX(DarlBindung,4)="",1,$G1677),IF($J1677&gt;0.005,1,0)))</f>
      </c>
      <c r="J1677" s="43">
        <f>IF($I1676=0,0,$R1676)</f>
      </c>
      <c r="K1677" s="43">
        <f>IF($I1677=0,0,IF(INDEX(DarlOhneTilgung,4)=1,0,IF(AND(INDEX(DarlTilgStart,4)&gt;0,$E1677=INDEX(DarlTilgStart,4)),$J1677*($H1677+INDEX(DarlTilgung,4))/100/12,IF(AND($G1677=0,$G1676=1),MAX($K1676,$J1677*($H1677+1)/100/12),$K1676))))</f>
      </c>
      <c r="L1677" s="43">
        <f>IF($I1677=0,0,$J1677*$H1677/100/12)</f>
      </c>
      <c r="M1677" s="43">
        <f>IF($I1677=0,0,IF(OR(INDEX(DarlOhneTilgung,4)=1,AND(INDEX(DarlTilgStart,4)&gt;0,$E1677&lt;INDEX(DarlTilgStart,4))),0,MIN(MAX(0,$K1677-$L1677),$J1677)))</f>
      </c>
      <c r="N1677" s="43">
        <f>IF($I1677=0,0,MIN(SUMIFS(SondBetrag,SondDarl,4,SondDatum,"&gt;="&amp;$E1677,SondDatum,"&lt;="&amp;EOMONTH($E1677,0)),$J1677-$M1677))</f>
      </c>
      <c r="O1677" s="43">
        <f>IF($I1677=0,0,INDEX(DarlErsatzRate,4))</f>
      </c>
      <c r="P1677" s="43">
        <f>IF($I1677=0,0,$Q1676*INDEX(DarlErsatzZins,4))</f>
      </c>
      <c r="Q1677" s="43">
        <f>IF($I1677=0,0,$Q1676+$P1677+$O1677)</f>
      </c>
      <c r="R1677" s="43">
        <f>IF($I1677=0,0,$J1677-$M1677-$N1677)</f>
      </c>
    </row>
    <row r="1678">
      <c r="A1678"/>
      <c r="B1678">
        <v>4</v>
      </c>
      <c r="C1678" s="43">
        <f>INDEX(DarlObj,4)</f>
      </c>
      <c r="D1678">
        <v>235</v>
      </c>
      <c r="E1678" s="51">
        <f>IF(INDEX(DarlBelegt,4)=0,0,EOMONTH(INDEX(DarlAuszahlung,4),234)+1)</f>
      </c>
      <c r="F1678" s="43">
        <f>IF($E1678=0,0,YEAR($E1678))</f>
      </c>
      <c r="G1678" s="43">
        <f>IF(INDEX(DarlBindung,4)="",1,IF($E1678&lt;=INDEX(DarlBindung,4),1,0))</f>
      </c>
      <c r="H1678" s="43">
        <f>IF($G1678=1,INDEX(DarlSollzins,4),INDEX(DarlAnschluss,4))</f>
      </c>
      <c r="I1678" s="43">
        <f>IF(INDEX(DarlBelegt,4)=0,0,IF(INDEX(DarlOhneTilgung,4)=1,IF(INDEX(DarlBindung,4)="",1,$G1678),IF($J1678&gt;0.005,1,0)))</f>
      </c>
      <c r="J1678" s="43">
        <f>IF($I1677=0,0,$R1677)</f>
      </c>
      <c r="K1678" s="43">
        <f>IF($I1678=0,0,IF(INDEX(DarlOhneTilgung,4)=1,0,IF(AND(INDEX(DarlTilgStart,4)&gt;0,$E1678=INDEX(DarlTilgStart,4)),$J1678*($H1678+INDEX(DarlTilgung,4))/100/12,IF(AND($G1678=0,$G1677=1),MAX($K1677,$J1678*($H1678+1)/100/12),$K1677))))</f>
      </c>
      <c r="L1678" s="43">
        <f>IF($I1678=0,0,$J1678*$H1678/100/12)</f>
      </c>
      <c r="M1678" s="43">
        <f>IF($I1678=0,0,IF(OR(INDEX(DarlOhneTilgung,4)=1,AND(INDEX(DarlTilgStart,4)&gt;0,$E1678&lt;INDEX(DarlTilgStart,4))),0,MIN(MAX(0,$K1678-$L1678),$J1678)))</f>
      </c>
      <c r="N1678" s="43">
        <f>IF($I1678=0,0,MIN(SUMIFS(SondBetrag,SondDarl,4,SondDatum,"&gt;="&amp;$E1678,SondDatum,"&lt;="&amp;EOMONTH($E1678,0)),$J1678-$M1678))</f>
      </c>
      <c r="O1678" s="43">
        <f>IF($I1678=0,0,INDEX(DarlErsatzRate,4))</f>
      </c>
      <c r="P1678" s="43">
        <f>IF($I1678=0,0,$Q1677*INDEX(DarlErsatzZins,4))</f>
      </c>
      <c r="Q1678" s="43">
        <f>IF($I1678=0,0,$Q1677+$P1678+$O1678)</f>
      </c>
      <c r="R1678" s="43">
        <f>IF($I1678=0,0,$J1678-$M1678-$N1678)</f>
      </c>
    </row>
    <row r="1679">
      <c r="A1679"/>
      <c r="B1679">
        <v>4</v>
      </c>
      <c r="C1679" s="43">
        <f>INDEX(DarlObj,4)</f>
      </c>
      <c r="D1679">
        <v>236</v>
      </c>
      <c r="E1679" s="51">
        <f>IF(INDEX(DarlBelegt,4)=0,0,EOMONTH(INDEX(DarlAuszahlung,4),235)+1)</f>
      </c>
      <c r="F1679" s="43">
        <f>IF($E1679=0,0,YEAR($E1679))</f>
      </c>
      <c r="G1679" s="43">
        <f>IF(INDEX(DarlBindung,4)="",1,IF($E1679&lt;=INDEX(DarlBindung,4),1,0))</f>
      </c>
      <c r="H1679" s="43">
        <f>IF($G1679=1,INDEX(DarlSollzins,4),INDEX(DarlAnschluss,4))</f>
      </c>
      <c r="I1679" s="43">
        <f>IF(INDEX(DarlBelegt,4)=0,0,IF(INDEX(DarlOhneTilgung,4)=1,IF(INDEX(DarlBindung,4)="",1,$G1679),IF($J1679&gt;0.005,1,0)))</f>
      </c>
      <c r="J1679" s="43">
        <f>IF($I1678=0,0,$R1678)</f>
      </c>
      <c r="K1679" s="43">
        <f>IF($I1679=0,0,IF(INDEX(DarlOhneTilgung,4)=1,0,IF(AND(INDEX(DarlTilgStart,4)&gt;0,$E1679=INDEX(DarlTilgStart,4)),$J1679*($H1679+INDEX(DarlTilgung,4))/100/12,IF(AND($G1679=0,$G1678=1),MAX($K1678,$J1679*($H1679+1)/100/12),$K1678))))</f>
      </c>
      <c r="L1679" s="43">
        <f>IF($I1679=0,0,$J1679*$H1679/100/12)</f>
      </c>
      <c r="M1679" s="43">
        <f>IF($I1679=0,0,IF(OR(INDEX(DarlOhneTilgung,4)=1,AND(INDEX(DarlTilgStart,4)&gt;0,$E1679&lt;INDEX(DarlTilgStart,4))),0,MIN(MAX(0,$K1679-$L1679),$J1679)))</f>
      </c>
      <c r="N1679" s="43">
        <f>IF($I1679=0,0,MIN(SUMIFS(SondBetrag,SondDarl,4,SondDatum,"&gt;="&amp;$E1679,SondDatum,"&lt;="&amp;EOMONTH($E1679,0)),$J1679-$M1679))</f>
      </c>
      <c r="O1679" s="43">
        <f>IF($I1679=0,0,INDEX(DarlErsatzRate,4))</f>
      </c>
      <c r="P1679" s="43">
        <f>IF($I1679=0,0,$Q1678*INDEX(DarlErsatzZins,4))</f>
      </c>
      <c r="Q1679" s="43">
        <f>IF($I1679=0,0,$Q1678+$P1679+$O1679)</f>
      </c>
      <c r="R1679" s="43">
        <f>IF($I1679=0,0,$J1679-$M1679-$N1679)</f>
      </c>
    </row>
    <row r="1680">
      <c r="A1680"/>
      <c r="B1680">
        <v>4</v>
      </c>
      <c r="C1680" s="43">
        <f>INDEX(DarlObj,4)</f>
      </c>
      <c r="D1680">
        <v>237</v>
      </c>
      <c r="E1680" s="51">
        <f>IF(INDEX(DarlBelegt,4)=0,0,EOMONTH(INDEX(DarlAuszahlung,4),236)+1)</f>
      </c>
      <c r="F1680" s="43">
        <f>IF($E1680=0,0,YEAR($E1680))</f>
      </c>
      <c r="G1680" s="43">
        <f>IF(INDEX(DarlBindung,4)="",1,IF($E1680&lt;=INDEX(DarlBindung,4),1,0))</f>
      </c>
      <c r="H1680" s="43">
        <f>IF($G1680=1,INDEX(DarlSollzins,4),INDEX(DarlAnschluss,4))</f>
      </c>
      <c r="I1680" s="43">
        <f>IF(INDEX(DarlBelegt,4)=0,0,IF(INDEX(DarlOhneTilgung,4)=1,IF(INDEX(DarlBindung,4)="",1,$G1680),IF($J1680&gt;0.005,1,0)))</f>
      </c>
      <c r="J1680" s="43">
        <f>IF($I1679=0,0,$R1679)</f>
      </c>
      <c r="K1680" s="43">
        <f>IF($I1680=0,0,IF(INDEX(DarlOhneTilgung,4)=1,0,IF(AND(INDEX(DarlTilgStart,4)&gt;0,$E1680=INDEX(DarlTilgStart,4)),$J1680*($H1680+INDEX(DarlTilgung,4))/100/12,IF(AND($G1680=0,$G1679=1),MAX($K1679,$J1680*($H1680+1)/100/12),$K1679))))</f>
      </c>
      <c r="L1680" s="43">
        <f>IF($I1680=0,0,$J1680*$H1680/100/12)</f>
      </c>
      <c r="M1680" s="43">
        <f>IF($I1680=0,0,IF(OR(INDEX(DarlOhneTilgung,4)=1,AND(INDEX(DarlTilgStart,4)&gt;0,$E1680&lt;INDEX(DarlTilgStart,4))),0,MIN(MAX(0,$K1680-$L1680),$J1680)))</f>
      </c>
      <c r="N1680" s="43">
        <f>IF($I1680=0,0,MIN(SUMIFS(SondBetrag,SondDarl,4,SondDatum,"&gt;="&amp;$E1680,SondDatum,"&lt;="&amp;EOMONTH($E1680,0)),$J1680-$M1680))</f>
      </c>
      <c r="O1680" s="43">
        <f>IF($I1680=0,0,INDEX(DarlErsatzRate,4))</f>
      </c>
      <c r="P1680" s="43">
        <f>IF($I1680=0,0,$Q1679*INDEX(DarlErsatzZins,4))</f>
      </c>
      <c r="Q1680" s="43">
        <f>IF($I1680=0,0,$Q1679+$P1680+$O1680)</f>
      </c>
      <c r="R1680" s="43">
        <f>IF($I1680=0,0,$J1680-$M1680-$N1680)</f>
      </c>
    </row>
    <row r="1681">
      <c r="A1681"/>
      <c r="B1681">
        <v>4</v>
      </c>
      <c r="C1681" s="43">
        <f>INDEX(DarlObj,4)</f>
      </c>
      <c r="D1681">
        <v>238</v>
      </c>
      <c r="E1681" s="51">
        <f>IF(INDEX(DarlBelegt,4)=0,0,EOMONTH(INDEX(DarlAuszahlung,4),237)+1)</f>
      </c>
      <c r="F1681" s="43">
        <f>IF($E1681=0,0,YEAR($E1681))</f>
      </c>
      <c r="G1681" s="43">
        <f>IF(INDEX(DarlBindung,4)="",1,IF($E1681&lt;=INDEX(DarlBindung,4),1,0))</f>
      </c>
      <c r="H1681" s="43">
        <f>IF($G1681=1,INDEX(DarlSollzins,4),INDEX(DarlAnschluss,4))</f>
      </c>
      <c r="I1681" s="43">
        <f>IF(INDEX(DarlBelegt,4)=0,0,IF(INDEX(DarlOhneTilgung,4)=1,IF(INDEX(DarlBindung,4)="",1,$G1681),IF($J1681&gt;0.005,1,0)))</f>
      </c>
      <c r="J1681" s="43">
        <f>IF($I1680=0,0,$R1680)</f>
      </c>
      <c r="K1681" s="43">
        <f>IF($I1681=0,0,IF(INDEX(DarlOhneTilgung,4)=1,0,IF(AND(INDEX(DarlTilgStart,4)&gt;0,$E1681=INDEX(DarlTilgStart,4)),$J1681*($H1681+INDEX(DarlTilgung,4))/100/12,IF(AND($G1681=0,$G1680=1),MAX($K1680,$J1681*($H1681+1)/100/12),$K1680))))</f>
      </c>
      <c r="L1681" s="43">
        <f>IF($I1681=0,0,$J1681*$H1681/100/12)</f>
      </c>
      <c r="M1681" s="43">
        <f>IF($I1681=0,0,IF(OR(INDEX(DarlOhneTilgung,4)=1,AND(INDEX(DarlTilgStart,4)&gt;0,$E1681&lt;INDEX(DarlTilgStart,4))),0,MIN(MAX(0,$K1681-$L1681),$J1681)))</f>
      </c>
      <c r="N1681" s="43">
        <f>IF($I1681=0,0,MIN(SUMIFS(SondBetrag,SondDarl,4,SondDatum,"&gt;="&amp;$E1681,SondDatum,"&lt;="&amp;EOMONTH($E1681,0)),$J1681-$M1681))</f>
      </c>
      <c r="O1681" s="43">
        <f>IF($I1681=0,0,INDEX(DarlErsatzRate,4))</f>
      </c>
      <c r="P1681" s="43">
        <f>IF($I1681=0,0,$Q1680*INDEX(DarlErsatzZins,4))</f>
      </c>
      <c r="Q1681" s="43">
        <f>IF($I1681=0,0,$Q1680+$P1681+$O1681)</f>
      </c>
      <c r="R1681" s="43">
        <f>IF($I1681=0,0,$J1681-$M1681-$N1681)</f>
      </c>
    </row>
    <row r="1682">
      <c r="A1682"/>
      <c r="B1682">
        <v>4</v>
      </c>
      <c r="C1682" s="43">
        <f>INDEX(DarlObj,4)</f>
      </c>
      <c r="D1682">
        <v>239</v>
      </c>
      <c r="E1682" s="51">
        <f>IF(INDEX(DarlBelegt,4)=0,0,EOMONTH(INDEX(DarlAuszahlung,4),238)+1)</f>
      </c>
      <c r="F1682" s="43">
        <f>IF($E1682=0,0,YEAR($E1682))</f>
      </c>
      <c r="G1682" s="43">
        <f>IF(INDEX(DarlBindung,4)="",1,IF($E1682&lt;=INDEX(DarlBindung,4),1,0))</f>
      </c>
      <c r="H1682" s="43">
        <f>IF($G1682=1,INDEX(DarlSollzins,4),INDEX(DarlAnschluss,4))</f>
      </c>
      <c r="I1682" s="43">
        <f>IF(INDEX(DarlBelegt,4)=0,0,IF(INDEX(DarlOhneTilgung,4)=1,IF(INDEX(DarlBindung,4)="",1,$G1682),IF($J1682&gt;0.005,1,0)))</f>
      </c>
      <c r="J1682" s="43">
        <f>IF($I1681=0,0,$R1681)</f>
      </c>
      <c r="K1682" s="43">
        <f>IF($I1682=0,0,IF(INDEX(DarlOhneTilgung,4)=1,0,IF(AND(INDEX(DarlTilgStart,4)&gt;0,$E1682=INDEX(DarlTilgStart,4)),$J1682*($H1682+INDEX(DarlTilgung,4))/100/12,IF(AND($G1682=0,$G1681=1),MAX($K1681,$J1682*($H1682+1)/100/12),$K1681))))</f>
      </c>
      <c r="L1682" s="43">
        <f>IF($I1682=0,0,$J1682*$H1682/100/12)</f>
      </c>
      <c r="M1682" s="43">
        <f>IF($I1682=0,0,IF(OR(INDEX(DarlOhneTilgung,4)=1,AND(INDEX(DarlTilgStart,4)&gt;0,$E1682&lt;INDEX(DarlTilgStart,4))),0,MIN(MAX(0,$K1682-$L1682),$J1682)))</f>
      </c>
      <c r="N1682" s="43">
        <f>IF($I1682=0,0,MIN(SUMIFS(SondBetrag,SondDarl,4,SondDatum,"&gt;="&amp;$E1682,SondDatum,"&lt;="&amp;EOMONTH($E1682,0)),$J1682-$M1682))</f>
      </c>
      <c r="O1682" s="43">
        <f>IF($I1682=0,0,INDEX(DarlErsatzRate,4))</f>
      </c>
      <c r="P1682" s="43">
        <f>IF($I1682=0,0,$Q1681*INDEX(DarlErsatzZins,4))</f>
      </c>
      <c r="Q1682" s="43">
        <f>IF($I1682=0,0,$Q1681+$P1682+$O1682)</f>
      </c>
      <c r="R1682" s="43">
        <f>IF($I1682=0,0,$J1682-$M1682-$N1682)</f>
      </c>
    </row>
    <row r="1683">
      <c r="A1683"/>
      <c r="B1683">
        <v>4</v>
      </c>
      <c r="C1683" s="43">
        <f>INDEX(DarlObj,4)</f>
      </c>
      <c r="D1683">
        <v>240</v>
      </c>
      <c r="E1683" s="51">
        <f>IF(INDEX(DarlBelegt,4)=0,0,EOMONTH(INDEX(DarlAuszahlung,4),239)+1)</f>
      </c>
      <c r="F1683" s="43">
        <f>IF($E1683=0,0,YEAR($E1683))</f>
      </c>
      <c r="G1683" s="43">
        <f>IF(INDEX(DarlBindung,4)="",1,IF($E1683&lt;=INDEX(DarlBindung,4),1,0))</f>
      </c>
      <c r="H1683" s="43">
        <f>IF($G1683=1,INDEX(DarlSollzins,4),INDEX(DarlAnschluss,4))</f>
      </c>
      <c r="I1683" s="43">
        <f>IF(INDEX(DarlBelegt,4)=0,0,IF(INDEX(DarlOhneTilgung,4)=1,IF(INDEX(DarlBindung,4)="",1,$G1683),IF($J1683&gt;0.005,1,0)))</f>
      </c>
      <c r="J1683" s="43">
        <f>IF($I1682=0,0,$R1682)</f>
      </c>
      <c r="K1683" s="43">
        <f>IF($I1683=0,0,IF(INDEX(DarlOhneTilgung,4)=1,0,IF(AND(INDEX(DarlTilgStart,4)&gt;0,$E1683=INDEX(DarlTilgStart,4)),$J1683*($H1683+INDEX(DarlTilgung,4))/100/12,IF(AND($G1683=0,$G1682=1),MAX($K1682,$J1683*($H1683+1)/100/12),$K1682))))</f>
      </c>
      <c r="L1683" s="43">
        <f>IF($I1683=0,0,$J1683*$H1683/100/12)</f>
      </c>
      <c r="M1683" s="43">
        <f>IF($I1683=0,0,IF(OR(INDEX(DarlOhneTilgung,4)=1,AND(INDEX(DarlTilgStart,4)&gt;0,$E1683&lt;INDEX(DarlTilgStart,4))),0,MIN(MAX(0,$K1683-$L1683),$J1683)))</f>
      </c>
      <c r="N1683" s="43">
        <f>IF($I1683=0,0,MIN(SUMIFS(SondBetrag,SondDarl,4,SondDatum,"&gt;="&amp;$E1683,SondDatum,"&lt;="&amp;EOMONTH($E1683,0)),$J1683-$M1683))</f>
      </c>
      <c r="O1683" s="43">
        <f>IF($I1683=0,0,INDEX(DarlErsatzRate,4))</f>
      </c>
      <c r="P1683" s="43">
        <f>IF($I1683=0,0,$Q1682*INDEX(DarlErsatzZins,4))</f>
      </c>
      <c r="Q1683" s="43">
        <f>IF($I1683=0,0,$Q1682+$P1683+$O1683)</f>
      </c>
      <c r="R1683" s="43">
        <f>IF($I1683=0,0,$J1683-$M1683-$N1683)</f>
      </c>
    </row>
    <row r="1684">
      <c r="A1684"/>
      <c r="B1684">
        <v>4</v>
      </c>
      <c r="C1684" s="43">
        <f>INDEX(DarlObj,4)</f>
      </c>
      <c r="D1684">
        <v>241</v>
      </c>
      <c r="E1684" s="51">
        <f>IF(INDEX(DarlBelegt,4)=0,0,EOMONTH(INDEX(DarlAuszahlung,4),240)+1)</f>
      </c>
      <c r="F1684" s="43">
        <f>IF($E1684=0,0,YEAR($E1684))</f>
      </c>
      <c r="G1684" s="43">
        <f>IF(INDEX(DarlBindung,4)="",1,IF($E1684&lt;=INDEX(DarlBindung,4),1,0))</f>
      </c>
      <c r="H1684" s="43">
        <f>IF($G1684=1,INDEX(DarlSollzins,4),INDEX(DarlAnschluss,4))</f>
      </c>
      <c r="I1684" s="43">
        <f>IF(INDEX(DarlBelegt,4)=0,0,IF(INDEX(DarlOhneTilgung,4)=1,IF(INDEX(DarlBindung,4)="",1,$G1684),IF($J1684&gt;0.005,1,0)))</f>
      </c>
      <c r="J1684" s="43">
        <f>IF($I1683=0,0,$R1683)</f>
      </c>
      <c r="K1684" s="43">
        <f>IF($I1684=0,0,IF(INDEX(DarlOhneTilgung,4)=1,0,IF(AND(INDEX(DarlTilgStart,4)&gt;0,$E1684=INDEX(DarlTilgStart,4)),$J1684*($H1684+INDEX(DarlTilgung,4))/100/12,IF(AND($G1684=0,$G1683=1),MAX($K1683,$J1684*($H1684+1)/100/12),$K1683))))</f>
      </c>
      <c r="L1684" s="43">
        <f>IF($I1684=0,0,$J1684*$H1684/100/12)</f>
      </c>
      <c r="M1684" s="43">
        <f>IF($I1684=0,0,IF(OR(INDEX(DarlOhneTilgung,4)=1,AND(INDEX(DarlTilgStart,4)&gt;0,$E1684&lt;INDEX(DarlTilgStart,4))),0,MIN(MAX(0,$K1684-$L1684),$J1684)))</f>
      </c>
      <c r="N1684" s="43">
        <f>IF($I1684=0,0,MIN(SUMIFS(SondBetrag,SondDarl,4,SondDatum,"&gt;="&amp;$E1684,SondDatum,"&lt;="&amp;EOMONTH($E1684,0)),$J1684-$M1684))</f>
      </c>
      <c r="O1684" s="43">
        <f>IF($I1684=0,0,INDEX(DarlErsatzRate,4))</f>
      </c>
      <c r="P1684" s="43">
        <f>IF($I1684=0,0,$Q1683*INDEX(DarlErsatzZins,4))</f>
      </c>
      <c r="Q1684" s="43">
        <f>IF($I1684=0,0,$Q1683+$P1684+$O1684)</f>
      </c>
      <c r="R1684" s="43">
        <f>IF($I1684=0,0,$J1684-$M1684-$N1684)</f>
      </c>
    </row>
    <row r="1685">
      <c r="A1685"/>
      <c r="B1685">
        <v>4</v>
      </c>
      <c r="C1685" s="43">
        <f>INDEX(DarlObj,4)</f>
      </c>
      <c r="D1685">
        <v>242</v>
      </c>
      <c r="E1685" s="51">
        <f>IF(INDEX(DarlBelegt,4)=0,0,EOMONTH(INDEX(DarlAuszahlung,4),241)+1)</f>
      </c>
      <c r="F1685" s="43">
        <f>IF($E1685=0,0,YEAR($E1685))</f>
      </c>
      <c r="G1685" s="43">
        <f>IF(INDEX(DarlBindung,4)="",1,IF($E1685&lt;=INDEX(DarlBindung,4),1,0))</f>
      </c>
      <c r="H1685" s="43">
        <f>IF($G1685=1,INDEX(DarlSollzins,4),INDEX(DarlAnschluss,4))</f>
      </c>
      <c r="I1685" s="43">
        <f>IF(INDEX(DarlBelegt,4)=0,0,IF(INDEX(DarlOhneTilgung,4)=1,IF(INDEX(DarlBindung,4)="",1,$G1685),IF($J1685&gt;0.005,1,0)))</f>
      </c>
      <c r="J1685" s="43">
        <f>IF($I1684=0,0,$R1684)</f>
      </c>
      <c r="K1685" s="43">
        <f>IF($I1685=0,0,IF(INDEX(DarlOhneTilgung,4)=1,0,IF(AND(INDEX(DarlTilgStart,4)&gt;0,$E1685=INDEX(DarlTilgStart,4)),$J1685*($H1685+INDEX(DarlTilgung,4))/100/12,IF(AND($G1685=0,$G1684=1),MAX($K1684,$J1685*($H1685+1)/100/12),$K1684))))</f>
      </c>
      <c r="L1685" s="43">
        <f>IF($I1685=0,0,$J1685*$H1685/100/12)</f>
      </c>
      <c r="M1685" s="43">
        <f>IF($I1685=0,0,IF(OR(INDEX(DarlOhneTilgung,4)=1,AND(INDEX(DarlTilgStart,4)&gt;0,$E1685&lt;INDEX(DarlTilgStart,4))),0,MIN(MAX(0,$K1685-$L1685),$J1685)))</f>
      </c>
      <c r="N1685" s="43">
        <f>IF($I1685=0,0,MIN(SUMIFS(SondBetrag,SondDarl,4,SondDatum,"&gt;="&amp;$E1685,SondDatum,"&lt;="&amp;EOMONTH($E1685,0)),$J1685-$M1685))</f>
      </c>
      <c r="O1685" s="43">
        <f>IF($I1685=0,0,INDEX(DarlErsatzRate,4))</f>
      </c>
      <c r="P1685" s="43">
        <f>IF($I1685=0,0,$Q1684*INDEX(DarlErsatzZins,4))</f>
      </c>
      <c r="Q1685" s="43">
        <f>IF($I1685=0,0,$Q1684+$P1685+$O1685)</f>
      </c>
      <c r="R1685" s="43">
        <f>IF($I1685=0,0,$J1685-$M1685-$N1685)</f>
      </c>
    </row>
    <row r="1686">
      <c r="A1686"/>
      <c r="B1686">
        <v>4</v>
      </c>
      <c r="C1686" s="43">
        <f>INDEX(DarlObj,4)</f>
      </c>
      <c r="D1686">
        <v>243</v>
      </c>
      <c r="E1686" s="51">
        <f>IF(INDEX(DarlBelegt,4)=0,0,EOMONTH(INDEX(DarlAuszahlung,4),242)+1)</f>
      </c>
      <c r="F1686" s="43">
        <f>IF($E1686=0,0,YEAR($E1686))</f>
      </c>
      <c r="G1686" s="43">
        <f>IF(INDEX(DarlBindung,4)="",1,IF($E1686&lt;=INDEX(DarlBindung,4),1,0))</f>
      </c>
      <c r="H1686" s="43">
        <f>IF($G1686=1,INDEX(DarlSollzins,4),INDEX(DarlAnschluss,4))</f>
      </c>
      <c r="I1686" s="43">
        <f>IF(INDEX(DarlBelegt,4)=0,0,IF(INDEX(DarlOhneTilgung,4)=1,IF(INDEX(DarlBindung,4)="",1,$G1686),IF($J1686&gt;0.005,1,0)))</f>
      </c>
      <c r="J1686" s="43">
        <f>IF($I1685=0,0,$R1685)</f>
      </c>
      <c r="K1686" s="43">
        <f>IF($I1686=0,0,IF(INDEX(DarlOhneTilgung,4)=1,0,IF(AND(INDEX(DarlTilgStart,4)&gt;0,$E1686=INDEX(DarlTilgStart,4)),$J1686*($H1686+INDEX(DarlTilgung,4))/100/12,IF(AND($G1686=0,$G1685=1),MAX($K1685,$J1686*($H1686+1)/100/12),$K1685))))</f>
      </c>
      <c r="L1686" s="43">
        <f>IF($I1686=0,0,$J1686*$H1686/100/12)</f>
      </c>
      <c r="M1686" s="43">
        <f>IF($I1686=0,0,IF(OR(INDEX(DarlOhneTilgung,4)=1,AND(INDEX(DarlTilgStart,4)&gt;0,$E1686&lt;INDEX(DarlTilgStart,4))),0,MIN(MAX(0,$K1686-$L1686),$J1686)))</f>
      </c>
      <c r="N1686" s="43">
        <f>IF($I1686=0,0,MIN(SUMIFS(SondBetrag,SondDarl,4,SondDatum,"&gt;="&amp;$E1686,SondDatum,"&lt;="&amp;EOMONTH($E1686,0)),$J1686-$M1686))</f>
      </c>
      <c r="O1686" s="43">
        <f>IF($I1686=0,0,INDEX(DarlErsatzRate,4))</f>
      </c>
      <c r="P1686" s="43">
        <f>IF($I1686=0,0,$Q1685*INDEX(DarlErsatzZins,4))</f>
      </c>
      <c r="Q1686" s="43">
        <f>IF($I1686=0,0,$Q1685+$P1686+$O1686)</f>
      </c>
      <c r="R1686" s="43">
        <f>IF($I1686=0,0,$J1686-$M1686-$N1686)</f>
      </c>
    </row>
    <row r="1687">
      <c r="A1687"/>
      <c r="B1687">
        <v>4</v>
      </c>
      <c r="C1687" s="43">
        <f>INDEX(DarlObj,4)</f>
      </c>
      <c r="D1687">
        <v>244</v>
      </c>
      <c r="E1687" s="51">
        <f>IF(INDEX(DarlBelegt,4)=0,0,EOMONTH(INDEX(DarlAuszahlung,4),243)+1)</f>
      </c>
      <c r="F1687" s="43">
        <f>IF($E1687=0,0,YEAR($E1687))</f>
      </c>
      <c r="G1687" s="43">
        <f>IF(INDEX(DarlBindung,4)="",1,IF($E1687&lt;=INDEX(DarlBindung,4),1,0))</f>
      </c>
      <c r="H1687" s="43">
        <f>IF($G1687=1,INDEX(DarlSollzins,4),INDEX(DarlAnschluss,4))</f>
      </c>
      <c r="I1687" s="43">
        <f>IF(INDEX(DarlBelegt,4)=0,0,IF(INDEX(DarlOhneTilgung,4)=1,IF(INDEX(DarlBindung,4)="",1,$G1687),IF($J1687&gt;0.005,1,0)))</f>
      </c>
      <c r="J1687" s="43">
        <f>IF($I1686=0,0,$R1686)</f>
      </c>
      <c r="K1687" s="43">
        <f>IF($I1687=0,0,IF(INDEX(DarlOhneTilgung,4)=1,0,IF(AND(INDEX(DarlTilgStart,4)&gt;0,$E1687=INDEX(DarlTilgStart,4)),$J1687*($H1687+INDEX(DarlTilgung,4))/100/12,IF(AND($G1687=0,$G1686=1),MAX($K1686,$J1687*($H1687+1)/100/12),$K1686))))</f>
      </c>
      <c r="L1687" s="43">
        <f>IF($I1687=0,0,$J1687*$H1687/100/12)</f>
      </c>
      <c r="M1687" s="43">
        <f>IF($I1687=0,0,IF(OR(INDEX(DarlOhneTilgung,4)=1,AND(INDEX(DarlTilgStart,4)&gt;0,$E1687&lt;INDEX(DarlTilgStart,4))),0,MIN(MAX(0,$K1687-$L1687),$J1687)))</f>
      </c>
      <c r="N1687" s="43">
        <f>IF($I1687=0,0,MIN(SUMIFS(SondBetrag,SondDarl,4,SondDatum,"&gt;="&amp;$E1687,SondDatum,"&lt;="&amp;EOMONTH($E1687,0)),$J1687-$M1687))</f>
      </c>
      <c r="O1687" s="43">
        <f>IF($I1687=0,0,INDEX(DarlErsatzRate,4))</f>
      </c>
      <c r="P1687" s="43">
        <f>IF($I1687=0,0,$Q1686*INDEX(DarlErsatzZins,4))</f>
      </c>
      <c r="Q1687" s="43">
        <f>IF($I1687=0,0,$Q1686+$P1687+$O1687)</f>
      </c>
      <c r="R1687" s="43">
        <f>IF($I1687=0,0,$J1687-$M1687-$N1687)</f>
      </c>
    </row>
    <row r="1688">
      <c r="A1688"/>
      <c r="B1688">
        <v>4</v>
      </c>
      <c r="C1688" s="43">
        <f>INDEX(DarlObj,4)</f>
      </c>
      <c r="D1688">
        <v>245</v>
      </c>
      <c r="E1688" s="51">
        <f>IF(INDEX(DarlBelegt,4)=0,0,EOMONTH(INDEX(DarlAuszahlung,4),244)+1)</f>
      </c>
      <c r="F1688" s="43">
        <f>IF($E1688=0,0,YEAR($E1688))</f>
      </c>
      <c r="G1688" s="43">
        <f>IF(INDEX(DarlBindung,4)="",1,IF($E1688&lt;=INDEX(DarlBindung,4),1,0))</f>
      </c>
      <c r="H1688" s="43">
        <f>IF($G1688=1,INDEX(DarlSollzins,4),INDEX(DarlAnschluss,4))</f>
      </c>
      <c r="I1688" s="43">
        <f>IF(INDEX(DarlBelegt,4)=0,0,IF(INDEX(DarlOhneTilgung,4)=1,IF(INDEX(DarlBindung,4)="",1,$G1688),IF($J1688&gt;0.005,1,0)))</f>
      </c>
      <c r="J1688" s="43">
        <f>IF($I1687=0,0,$R1687)</f>
      </c>
      <c r="K1688" s="43">
        <f>IF($I1688=0,0,IF(INDEX(DarlOhneTilgung,4)=1,0,IF(AND(INDEX(DarlTilgStart,4)&gt;0,$E1688=INDEX(DarlTilgStart,4)),$J1688*($H1688+INDEX(DarlTilgung,4))/100/12,IF(AND($G1688=0,$G1687=1),MAX($K1687,$J1688*($H1688+1)/100/12),$K1687))))</f>
      </c>
      <c r="L1688" s="43">
        <f>IF($I1688=0,0,$J1688*$H1688/100/12)</f>
      </c>
      <c r="M1688" s="43">
        <f>IF($I1688=0,0,IF(OR(INDEX(DarlOhneTilgung,4)=1,AND(INDEX(DarlTilgStart,4)&gt;0,$E1688&lt;INDEX(DarlTilgStart,4))),0,MIN(MAX(0,$K1688-$L1688),$J1688)))</f>
      </c>
      <c r="N1688" s="43">
        <f>IF($I1688=0,0,MIN(SUMIFS(SondBetrag,SondDarl,4,SondDatum,"&gt;="&amp;$E1688,SondDatum,"&lt;="&amp;EOMONTH($E1688,0)),$J1688-$M1688))</f>
      </c>
      <c r="O1688" s="43">
        <f>IF($I1688=0,0,INDEX(DarlErsatzRate,4))</f>
      </c>
      <c r="P1688" s="43">
        <f>IF($I1688=0,0,$Q1687*INDEX(DarlErsatzZins,4))</f>
      </c>
      <c r="Q1688" s="43">
        <f>IF($I1688=0,0,$Q1687+$P1688+$O1688)</f>
      </c>
      <c r="R1688" s="43">
        <f>IF($I1688=0,0,$J1688-$M1688-$N1688)</f>
      </c>
    </row>
    <row r="1689">
      <c r="A1689"/>
      <c r="B1689">
        <v>4</v>
      </c>
      <c r="C1689" s="43">
        <f>INDEX(DarlObj,4)</f>
      </c>
      <c r="D1689">
        <v>246</v>
      </c>
      <c r="E1689" s="51">
        <f>IF(INDEX(DarlBelegt,4)=0,0,EOMONTH(INDEX(DarlAuszahlung,4),245)+1)</f>
      </c>
      <c r="F1689" s="43">
        <f>IF($E1689=0,0,YEAR($E1689))</f>
      </c>
      <c r="G1689" s="43">
        <f>IF(INDEX(DarlBindung,4)="",1,IF($E1689&lt;=INDEX(DarlBindung,4),1,0))</f>
      </c>
      <c r="H1689" s="43">
        <f>IF($G1689=1,INDEX(DarlSollzins,4),INDEX(DarlAnschluss,4))</f>
      </c>
      <c r="I1689" s="43">
        <f>IF(INDEX(DarlBelegt,4)=0,0,IF(INDEX(DarlOhneTilgung,4)=1,IF(INDEX(DarlBindung,4)="",1,$G1689),IF($J1689&gt;0.005,1,0)))</f>
      </c>
      <c r="J1689" s="43">
        <f>IF($I1688=0,0,$R1688)</f>
      </c>
      <c r="K1689" s="43">
        <f>IF($I1689=0,0,IF(INDEX(DarlOhneTilgung,4)=1,0,IF(AND(INDEX(DarlTilgStart,4)&gt;0,$E1689=INDEX(DarlTilgStart,4)),$J1689*($H1689+INDEX(DarlTilgung,4))/100/12,IF(AND($G1689=0,$G1688=1),MAX($K1688,$J1689*($H1689+1)/100/12),$K1688))))</f>
      </c>
      <c r="L1689" s="43">
        <f>IF($I1689=0,0,$J1689*$H1689/100/12)</f>
      </c>
      <c r="M1689" s="43">
        <f>IF($I1689=0,0,IF(OR(INDEX(DarlOhneTilgung,4)=1,AND(INDEX(DarlTilgStart,4)&gt;0,$E1689&lt;INDEX(DarlTilgStart,4))),0,MIN(MAX(0,$K1689-$L1689),$J1689)))</f>
      </c>
      <c r="N1689" s="43">
        <f>IF($I1689=0,0,MIN(SUMIFS(SondBetrag,SondDarl,4,SondDatum,"&gt;="&amp;$E1689,SondDatum,"&lt;="&amp;EOMONTH($E1689,0)),$J1689-$M1689))</f>
      </c>
      <c r="O1689" s="43">
        <f>IF($I1689=0,0,INDEX(DarlErsatzRate,4))</f>
      </c>
      <c r="P1689" s="43">
        <f>IF($I1689=0,0,$Q1688*INDEX(DarlErsatzZins,4))</f>
      </c>
      <c r="Q1689" s="43">
        <f>IF($I1689=0,0,$Q1688+$P1689+$O1689)</f>
      </c>
      <c r="R1689" s="43">
        <f>IF($I1689=0,0,$J1689-$M1689-$N1689)</f>
      </c>
    </row>
    <row r="1690">
      <c r="A1690"/>
      <c r="B1690">
        <v>4</v>
      </c>
      <c r="C1690" s="43">
        <f>INDEX(DarlObj,4)</f>
      </c>
      <c r="D1690">
        <v>247</v>
      </c>
      <c r="E1690" s="51">
        <f>IF(INDEX(DarlBelegt,4)=0,0,EOMONTH(INDEX(DarlAuszahlung,4),246)+1)</f>
      </c>
      <c r="F1690" s="43">
        <f>IF($E1690=0,0,YEAR($E1690))</f>
      </c>
      <c r="G1690" s="43">
        <f>IF(INDEX(DarlBindung,4)="",1,IF($E1690&lt;=INDEX(DarlBindung,4),1,0))</f>
      </c>
      <c r="H1690" s="43">
        <f>IF($G1690=1,INDEX(DarlSollzins,4),INDEX(DarlAnschluss,4))</f>
      </c>
      <c r="I1690" s="43">
        <f>IF(INDEX(DarlBelegt,4)=0,0,IF(INDEX(DarlOhneTilgung,4)=1,IF(INDEX(DarlBindung,4)="",1,$G1690),IF($J1690&gt;0.005,1,0)))</f>
      </c>
      <c r="J1690" s="43">
        <f>IF($I1689=0,0,$R1689)</f>
      </c>
      <c r="K1690" s="43">
        <f>IF($I1690=0,0,IF(INDEX(DarlOhneTilgung,4)=1,0,IF(AND(INDEX(DarlTilgStart,4)&gt;0,$E1690=INDEX(DarlTilgStart,4)),$J1690*($H1690+INDEX(DarlTilgung,4))/100/12,IF(AND($G1690=0,$G1689=1),MAX($K1689,$J1690*($H1690+1)/100/12),$K1689))))</f>
      </c>
      <c r="L1690" s="43">
        <f>IF($I1690=0,0,$J1690*$H1690/100/12)</f>
      </c>
      <c r="M1690" s="43">
        <f>IF($I1690=0,0,IF(OR(INDEX(DarlOhneTilgung,4)=1,AND(INDEX(DarlTilgStart,4)&gt;0,$E1690&lt;INDEX(DarlTilgStart,4))),0,MIN(MAX(0,$K1690-$L1690),$J1690)))</f>
      </c>
      <c r="N1690" s="43">
        <f>IF($I1690=0,0,MIN(SUMIFS(SondBetrag,SondDarl,4,SondDatum,"&gt;="&amp;$E1690,SondDatum,"&lt;="&amp;EOMONTH($E1690,0)),$J1690-$M1690))</f>
      </c>
      <c r="O1690" s="43">
        <f>IF($I1690=0,0,INDEX(DarlErsatzRate,4))</f>
      </c>
      <c r="P1690" s="43">
        <f>IF($I1690=0,0,$Q1689*INDEX(DarlErsatzZins,4))</f>
      </c>
      <c r="Q1690" s="43">
        <f>IF($I1690=0,0,$Q1689+$P1690+$O1690)</f>
      </c>
      <c r="R1690" s="43">
        <f>IF($I1690=0,0,$J1690-$M1690-$N1690)</f>
      </c>
    </row>
    <row r="1691">
      <c r="A1691"/>
      <c r="B1691">
        <v>4</v>
      </c>
      <c r="C1691" s="43">
        <f>INDEX(DarlObj,4)</f>
      </c>
      <c r="D1691">
        <v>248</v>
      </c>
      <c r="E1691" s="51">
        <f>IF(INDEX(DarlBelegt,4)=0,0,EOMONTH(INDEX(DarlAuszahlung,4),247)+1)</f>
      </c>
      <c r="F1691" s="43">
        <f>IF($E1691=0,0,YEAR($E1691))</f>
      </c>
      <c r="G1691" s="43">
        <f>IF(INDEX(DarlBindung,4)="",1,IF($E1691&lt;=INDEX(DarlBindung,4),1,0))</f>
      </c>
      <c r="H1691" s="43">
        <f>IF($G1691=1,INDEX(DarlSollzins,4),INDEX(DarlAnschluss,4))</f>
      </c>
      <c r="I1691" s="43">
        <f>IF(INDEX(DarlBelegt,4)=0,0,IF(INDEX(DarlOhneTilgung,4)=1,IF(INDEX(DarlBindung,4)="",1,$G1691),IF($J1691&gt;0.005,1,0)))</f>
      </c>
      <c r="J1691" s="43">
        <f>IF($I1690=0,0,$R1690)</f>
      </c>
      <c r="K1691" s="43">
        <f>IF($I1691=0,0,IF(INDEX(DarlOhneTilgung,4)=1,0,IF(AND(INDEX(DarlTilgStart,4)&gt;0,$E1691=INDEX(DarlTilgStart,4)),$J1691*($H1691+INDEX(DarlTilgung,4))/100/12,IF(AND($G1691=0,$G1690=1),MAX($K1690,$J1691*($H1691+1)/100/12),$K1690))))</f>
      </c>
      <c r="L1691" s="43">
        <f>IF($I1691=0,0,$J1691*$H1691/100/12)</f>
      </c>
      <c r="M1691" s="43">
        <f>IF($I1691=0,0,IF(OR(INDEX(DarlOhneTilgung,4)=1,AND(INDEX(DarlTilgStart,4)&gt;0,$E1691&lt;INDEX(DarlTilgStart,4))),0,MIN(MAX(0,$K1691-$L1691),$J1691)))</f>
      </c>
      <c r="N1691" s="43">
        <f>IF($I1691=0,0,MIN(SUMIFS(SondBetrag,SondDarl,4,SondDatum,"&gt;="&amp;$E1691,SondDatum,"&lt;="&amp;EOMONTH($E1691,0)),$J1691-$M1691))</f>
      </c>
      <c r="O1691" s="43">
        <f>IF($I1691=0,0,INDEX(DarlErsatzRate,4))</f>
      </c>
      <c r="P1691" s="43">
        <f>IF($I1691=0,0,$Q1690*INDEX(DarlErsatzZins,4))</f>
      </c>
      <c r="Q1691" s="43">
        <f>IF($I1691=0,0,$Q1690+$P1691+$O1691)</f>
      </c>
      <c r="R1691" s="43">
        <f>IF($I1691=0,0,$J1691-$M1691-$N1691)</f>
      </c>
    </row>
    <row r="1692">
      <c r="A1692"/>
      <c r="B1692">
        <v>4</v>
      </c>
      <c r="C1692" s="43">
        <f>INDEX(DarlObj,4)</f>
      </c>
      <c r="D1692">
        <v>249</v>
      </c>
      <c r="E1692" s="51">
        <f>IF(INDEX(DarlBelegt,4)=0,0,EOMONTH(INDEX(DarlAuszahlung,4),248)+1)</f>
      </c>
      <c r="F1692" s="43">
        <f>IF($E1692=0,0,YEAR($E1692))</f>
      </c>
      <c r="G1692" s="43">
        <f>IF(INDEX(DarlBindung,4)="",1,IF($E1692&lt;=INDEX(DarlBindung,4),1,0))</f>
      </c>
      <c r="H1692" s="43">
        <f>IF($G1692=1,INDEX(DarlSollzins,4),INDEX(DarlAnschluss,4))</f>
      </c>
      <c r="I1692" s="43">
        <f>IF(INDEX(DarlBelegt,4)=0,0,IF(INDEX(DarlOhneTilgung,4)=1,IF(INDEX(DarlBindung,4)="",1,$G1692),IF($J1692&gt;0.005,1,0)))</f>
      </c>
      <c r="J1692" s="43">
        <f>IF($I1691=0,0,$R1691)</f>
      </c>
      <c r="K1692" s="43">
        <f>IF($I1692=0,0,IF(INDEX(DarlOhneTilgung,4)=1,0,IF(AND(INDEX(DarlTilgStart,4)&gt;0,$E1692=INDEX(DarlTilgStart,4)),$J1692*($H1692+INDEX(DarlTilgung,4))/100/12,IF(AND($G1692=0,$G1691=1),MAX($K1691,$J1692*($H1692+1)/100/12),$K1691))))</f>
      </c>
      <c r="L1692" s="43">
        <f>IF($I1692=0,0,$J1692*$H1692/100/12)</f>
      </c>
      <c r="M1692" s="43">
        <f>IF($I1692=0,0,IF(OR(INDEX(DarlOhneTilgung,4)=1,AND(INDEX(DarlTilgStart,4)&gt;0,$E1692&lt;INDEX(DarlTilgStart,4))),0,MIN(MAX(0,$K1692-$L1692),$J1692)))</f>
      </c>
      <c r="N1692" s="43">
        <f>IF($I1692=0,0,MIN(SUMIFS(SondBetrag,SondDarl,4,SondDatum,"&gt;="&amp;$E1692,SondDatum,"&lt;="&amp;EOMONTH($E1692,0)),$J1692-$M1692))</f>
      </c>
      <c r="O1692" s="43">
        <f>IF($I1692=0,0,INDEX(DarlErsatzRate,4))</f>
      </c>
      <c r="P1692" s="43">
        <f>IF($I1692=0,0,$Q1691*INDEX(DarlErsatzZins,4))</f>
      </c>
      <c r="Q1692" s="43">
        <f>IF($I1692=0,0,$Q1691+$P1692+$O1692)</f>
      </c>
      <c r="R1692" s="43">
        <f>IF($I1692=0,0,$J1692-$M1692-$N1692)</f>
      </c>
    </row>
    <row r="1693">
      <c r="A1693"/>
      <c r="B1693">
        <v>4</v>
      </c>
      <c r="C1693" s="43">
        <f>INDEX(DarlObj,4)</f>
      </c>
      <c r="D1693">
        <v>250</v>
      </c>
      <c r="E1693" s="51">
        <f>IF(INDEX(DarlBelegt,4)=0,0,EOMONTH(INDEX(DarlAuszahlung,4),249)+1)</f>
      </c>
      <c r="F1693" s="43">
        <f>IF($E1693=0,0,YEAR($E1693))</f>
      </c>
      <c r="G1693" s="43">
        <f>IF(INDEX(DarlBindung,4)="",1,IF($E1693&lt;=INDEX(DarlBindung,4),1,0))</f>
      </c>
      <c r="H1693" s="43">
        <f>IF($G1693=1,INDEX(DarlSollzins,4),INDEX(DarlAnschluss,4))</f>
      </c>
      <c r="I1693" s="43">
        <f>IF(INDEX(DarlBelegt,4)=0,0,IF(INDEX(DarlOhneTilgung,4)=1,IF(INDEX(DarlBindung,4)="",1,$G1693),IF($J1693&gt;0.005,1,0)))</f>
      </c>
      <c r="J1693" s="43">
        <f>IF($I1692=0,0,$R1692)</f>
      </c>
      <c r="K1693" s="43">
        <f>IF($I1693=0,0,IF(INDEX(DarlOhneTilgung,4)=1,0,IF(AND(INDEX(DarlTilgStart,4)&gt;0,$E1693=INDEX(DarlTilgStart,4)),$J1693*($H1693+INDEX(DarlTilgung,4))/100/12,IF(AND($G1693=0,$G1692=1),MAX($K1692,$J1693*($H1693+1)/100/12),$K1692))))</f>
      </c>
      <c r="L1693" s="43">
        <f>IF($I1693=0,0,$J1693*$H1693/100/12)</f>
      </c>
      <c r="M1693" s="43">
        <f>IF($I1693=0,0,IF(OR(INDEX(DarlOhneTilgung,4)=1,AND(INDEX(DarlTilgStart,4)&gt;0,$E1693&lt;INDEX(DarlTilgStart,4))),0,MIN(MAX(0,$K1693-$L1693),$J1693)))</f>
      </c>
      <c r="N1693" s="43">
        <f>IF($I1693=0,0,MIN(SUMIFS(SondBetrag,SondDarl,4,SondDatum,"&gt;="&amp;$E1693,SondDatum,"&lt;="&amp;EOMONTH($E1693,0)),$J1693-$M1693))</f>
      </c>
      <c r="O1693" s="43">
        <f>IF($I1693=0,0,INDEX(DarlErsatzRate,4))</f>
      </c>
      <c r="P1693" s="43">
        <f>IF($I1693=0,0,$Q1692*INDEX(DarlErsatzZins,4))</f>
      </c>
      <c r="Q1693" s="43">
        <f>IF($I1693=0,0,$Q1692+$P1693+$O1693)</f>
      </c>
      <c r="R1693" s="43">
        <f>IF($I1693=0,0,$J1693-$M1693-$N1693)</f>
      </c>
    </row>
    <row r="1694">
      <c r="A1694"/>
      <c r="B1694">
        <v>4</v>
      </c>
      <c r="C1694" s="43">
        <f>INDEX(DarlObj,4)</f>
      </c>
      <c r="D1694">
        <v>251</v>
      </c>
      <c r="E1694" s="51">
        <f>IF(INDEX(DarlBelegt,4)=0,0,EOMONTH(INDEX(DarlAuszahlung,4),250)+1)</f>
      </c>
      <c r="F1694" s="43">
        <f>IF($E1694=0,0,YEAR($E1694))</f>
      </c>
      <c r="G1694" s="43">
        <f>IF(INDEX(DarlBindung,4)="",1,IF($E1694&lt;=INDEX(DarlBindung,4),1,0))</f>
      </c>
      <c r="H1694" s="43">
        <f>IF($G1694=1,INDEX(DarlSollzins,4),INDEX(DarlAnschluss,4))</f>
      </c>
      <c r="I1694" s="43">
        <f>IF(INDEX(DarlBelegt,4)=0,0,IF(INDEX(DarlOhneTilgung,4)=1,IF(INDEX(DarlBindung,4)="",1,$G1694),IF($J1694&gt;0.005,1,0)))</f>
      </c>
      <c r="J1694" s="43">
        <f>IF($I1693=0,0,$R1693)</f>
      </c>
      <c r="K1694" s="43">
        <f>IF($I1694=0,0,IF(INDEX(DarlOhneTilgung,4)=1,0,IF(AND(INDEX(DarlTilgStart,4)&gt;0,$E1694=INDEX(DarlTilgStart,4)),$J1694*($H1694+INDEX(DarlTilgung,4))/100/12,IF(AND($G1694=0,$G1693=1),MAX($K1693,$J1694*($H1694+1)/100/12),$K1693))))</f>
      </c>
      <c r="L1694" s="43">
        <f>IF($I1694=0,0,$J1694*$H1694/100/12)</f>
      </c>
      <c r="M1694" s="43">
        <f>IF($I1694=0,0,IF(OR(INDEX(DarlOhneTilgung,4)=1,AND(INDEX(DarlTilgStart,4)&gt;0,$E1694&lt;INDEX(DarlTilgStart,4))),0,MIN(MAX(0,$K1694-$L1694),$J1694)))</f>
      </c>
      <c r="N1694" s="43">
        <f>IF($I1694=0,0,MIN(SUMIFS(SondBetrag,SondDarl,4,SondDatum,"&gt;="&amp;$E1694,SondDatum,"&lt;="&amp;EOMONTH($E1694,0)),$J1694-$M1694))</f>
      </c>
      <c r="O1694" s="43">
        <f>IF($I1694=0,0,INDEX(DarlErsatzRate,4))</f>
      </c>
      <c r="P1694" s="43">
        <f>IF($I1694=0,0,$Q1693*INDEX(DarlErsatzZins,4))</f>
      </c>
      <c r="Q1694" s="43">
        <f>IF($I1694=0,0,$Q1693+$P1694+$O1694)</f>
      </c>
      <c r="R1694" s="43">
        <f>IF($I1694=0,0,$J1694-$M1694-$N1694)</f>
      </c>
    </row>
    <row r="1695">
      <c r="A1695"/>
      <c r="B1695">
        <v>4</v>
      </c>
      <c r="C1695" s="43">
        <f>INDEX(DarlObj,4)</f>
      </c>
      <c r="D1695">
        <v>252</v>
      </c>
      <c r="E1695" s="51">
        <f>IF(INDEX(DarlBelegt,4)=0,0,EOMONTH(INDEX(DarlAuszahlung,4),251)+1)</f>
      </c>
      <c r="F1695" s="43">
        <f>IF($E1695=0,0,YEAR($E1695))</f>
      </c>
      <c r="G1695" s="43">
        <f>IF(INDEX(DarlBindung,4)="",1,IF($E1695&lt;=INDEX(DarlBindung,4),1,0))</f>
      </c>
      <c r="H1695" s="43">
        <f>IF($G1695=1,INDEX(DarlSollzins,4),INDEX(DarlAnschluss,4))</f>
      </c>
      <c r="I1695" s="43">
        <f>IF(INDEX(DarlBelegt,4)=0,0,IF(INDEX(DarlOhneTilgung,4)=1,IF(INDEX(DarlBindung,4)="",1,$G1695),IF($J1695&gt;0.005,1,0)))</f>
      </c>
      <c r="J1695" s="43">
        <f>IF($I1694=0,0,$R1694)</f>
      </c>
      <c r="K1695" s="43">
        <f>IF($I1695=0,0,IF(INDEX(DarlOhneTilgung,4)=1,0,IF(AND(INDEX(DarlTilgStart,4)&gt;0,$E1695=INDEX(DarlTilgStart,4)),$J1695*($H1695+INDEX(DarlTilgung,4))/100/12,IF(AND($G1695=0,$G1694=1),MAX($K1694,$J1695*($H1695+1)/100/12),$K1694))))</f>
      </c>
      <c r="L1695" s="43">
        <f>IF($I1695=0,0,$J1695*$H1695/100/12)</f>
      </c>
      <c r="M1695" s="43">
        <f>IF($I1695=0,0,IF(OR(INDEX(DarlOhneTilgung,4)=1,AND(INDEX(DarlTilgStart,4)&gt;0,$E1695&lt;INDEX(DarlTilgStart,4))),0,MIN(MAX(0,$K1695-$L1695),$J1695)))</f>
      </c>
      <c r="N1695" s="43">
        <f>IF($I1695=0,0,MIN(SUMIFS(SondBetrag,SondDarl,4,SondDatum,"&gt;="&amp;$E1695,SondDatum,"&lt;="&amp;EOMONTH($E1695,0)),$J1695-$M1695))</f>
      </c>
      <c r="O1695" s="43">
        <f>IF($I1695=0,0,INDEX(DarlErsatzRate,4))</f>
      </c>
      <c r="P1695" s="43">
        <f>IF($I1695=0,0,$Q1694*INDEX(DarlErsatzZins,4))</f>
      </c>
      <c r="Q1695" s="43">
        <f>IF($I1695=0,0,$Q1694+$P1695+$O1695)</f>
      </c>
      <c r="R1695" s="43">
        <f>IF($I1695=0,0,$J1695-$M1695-$N1695)</f>
      </c>
    </row>
    <row r="1696">
      <c r="A1696"/>
      <c r="B1696">
        <v>4</v>
      </c>
      <c r="C1696" s="43">
        <f>INDEX(DarlObj,4)</f>
      </c>
      <c r="D1696">
        <v>253</v>
      </c>
      <c r="E1696" s="51">
        <f>IF(INDEX(DarlBelegt,4)=0,0,EOMONTH(INDEX(DarlAuszahlung,4),252)+1)</f>
      </c>
      <c r="F1696" s="43">
        <f>IF($E1696=0,0,YEAR($E1696))</f>
      </c>
      <c r="G1696" s="43">
        <f>IF(INDEX(DarlBindung,4)="",1,IF($E1696&lt;=INDEX(DarlBindung,4),1,0))</f>
      </c>
      <c r="H1696" s="43">
        <f>IF($G1696=1,INDEX(DarlSollzins,4),INDEX(DarlAnschluss,4))</f>
      </c>
      <c r="I1696" s="43">
        <f>IF(INDEX(DarlBelegt,4)=0,0,IF(INDEX(DarlOhneTilgung,4)=1,IF(INDEX(DarlBindung,4)="",1,$G1696),IF($J1696&gt;0.005,1,0)))</f>
      </c>
      <c r="J1696" s="43">
        <f>IF($I1695=0,0,$R1695)</f>
      </c>
      <c r="K1696" s="43">
        <f>IF($I1696=0,0,IF(INDEX(DarlOhneTilgung,4)=1,0,IF(AND(INDEX(DarlTilgStart,4)&gt;0,$E1696=INDEX(DarlTilgStart,4)),$J1696*($H1696+INDEX(DarlTilgung,4))/100/12,IF(AND($G1696=0,$G1695=1),MAX($K1695,$J1696*($H1696+1)/100/12),$K1695))))</f>
      </c>
      <c r="L1696" s="43">
        <f>IF($I1696=0,0,$J1696*$H1696/100/12)</f>
      </c>
      <c r="M1696" s="43">
        <f>IF($I1696=0,0,IF(OR(INDEX(DarlOhneTilgung,4)=1,AND(INDEX(DarlTilgStart,4)&gt;0,$E1696&lt;INDEX(DarlTilgStart,4))),0,MIN(MAX(0,$K1696-$L1696),$J1696)))</f>
      </c>
      <c r="N1696" s="43">
        <f>IF($I1696=0,0,MIN(SUMIFS(SondBetrag,SondDarl,4,SondDatum,"&gt;="&amp;$E1696,SondDatum,"&lt;="&amp;EOMONTH($E1696,0)),$J1696-$M1696))</f>
      </c>
      <c r="O1696" s="43">
        <f>IF($I1696=0,0,INDEX(DarlErsatzRate,4))</f>
      </c>
      <c r="P1696" s="43">
        <f>IF($I1696=0,0,$Q1695*INDEX(DarlErsatzZins,4))</f>
      </c>
      <c r="Q1696" s="43">
        <f>IF($I1696=0,0,$Q1695+$P1696+$O1696)</f>
      </c>
      <c r="R1696" s="43">
        <f>IF($I1696=0,0,$J1696-$M1696-$N1696)</f>
      </c>
    </row>
    <row r="1697">
      <c r="A1697"/>
      <c r="B1697">
        <v>4</v>
      </c>
      <c r="C1697" s="43">
        <f>INDEX(DarlObj,4)</f>
      </c>
      <c r="D1697">
        <v>254</v>
      </c>
      <c r="E1697" s="51">
        <f>IF(INDEX(DarlBelegt,4)=0,0,EOMONTH(INDEX(DarlAuszahlung,4),253)+1)</f>
      </c>
      <c r="F1697" s="43">
        <f>IF($E1697=0,0,YEAR($E1697))</f>
      </c>
      <c r="G1697" s="43">
        <f>IF(INDEX(DarlBindung,4)="",1,IF($E1697&lt;=INDEX(DarlBindung,4),1,0))</f>
      </c>
      <c r="H1697" s="43">
        <f>IF($G1697=1,INDEX(DarlSollzins,4),INDEX(DarlAnschluss,4))</f>
      </c>
      <c r="I1697" s="43">
        <f>IF(INDEX(DarlBelegt,4)=0,0,IF(INDEX(DarlOhneTilgung,4)=1,IF(INDEX(DarlBindung,4)="",1,$G1697),IF($J1697&gt;0.005,1,0)))</f>
      </c>
      <c r="J1697" s="43">
        <f>IF($I1696=0,0,$R1696)</f>
      </c>
      <c r="K1697" s="43">
        <f>IF($I1697=0,0,IF(INDEX(DarlOhneTilgung,4)=1,0,IF(AND(INDEX(DarlTilgStart,4)&gt;0,$E1697=INDEX(DarlTilgStart,4)),$J1697*($H1697+INDEX(DarlTilgung,4))/100/12,IF(AND($G1697=0,$G1696=1),MAX($K1696,$J1697*($H1697+1)/100/12),$K1696))))</f>
      </c>
      <c r="L1697" s="43">
        <f>IF($I1697=0,0,$J1697*$H1697/100/12)</f>
      </c>
      <c r="M1697" s="43">
        <f>IF($I1697=0,0,IF(OR(INDEX(DarlOhneTilgung,4)=1,AND(INDEX(DarlTilgStart,4)&gt;0,$E1697&lt;INDEX(DarlTilgStart,4))),0,MIN(MAX(0,$K1697-$L1697),$J1697)))</f>
      </c>
      <c r="N1697" s="43">
        <f>IF($I1697=0,0,MIN(SUMIFS(SondBetrag,SondDarl,4,SondDatum,"&gt;="&amp;$E1697,SondDatum,"&lt;="&amp;EOMONTH($E1697,0)),$J1697-$M1697))</f>
      </c>
      <c r="O1697" s="43">
        <f>IF($I1697=0,0,INDEX(DarlErsatzRate,4))</f>
      </c>
      <c r="P1697" s="43">
        <f>IF($I1697=0,0,$Q1696*INDEX(DarlErsatzZins,4))</f>
      </c>
      <c r="Q1697" s="43">
        <f>IF($I1697=0,0,$Q1696+$P1697+$O1697)</f>
      </c>
      <c r="R1697" s="43">
        <f>IF($I1697=0,0,$J1697-$M1697-$N1697)</f>
      </c>
    </row>
    <row r="1698">
      <c r="A1698"/>
      <c r="B1698">
        <v>4</v>
      </c>
      <c r="C1698" s="43">
        <f>INDEX(DarlObj,4)</f>
      </c>
      <c r="D1698">
        <v>255</v>
      </c>
      <c r="E1698" s="51">
        <f>IF(INDEX(DarlBelegt,4)=0,0,EOMONTH(INDEX(DarlAuszahlung,4),254)+1)</f>
      </c>
      <c r="F1698" s="43">
        <f>IF($E1698=0,0,YEAR($E1698))</f>
      </c>
      <c r="G1698" s="43">
        <f>IF(INDEX(DarlBindung,4)="",1,IF($E1698&lt;=INDEX(DarlBindung,4),1,0))</f>
      </c>
      <c r="H1698" s="43">
        <f>IF($G1698=1,INDEX(DarlSollzins,4),INDEX(DarlAnschluss,4))</f>
      </c>
      <c r="I1698" s="43">
        <f>IF(INDEX(DarlBelegt,4)=0,0,IF(INDEX(DarlOhneTilgung,4)=1,IF(INDEX(DarlBindung,4)="",1,$G1698),IF($J1698&gt;0.005,1,0)))</f>
      </c>
      <c r="J1698" s="43">
        <f>IF($I1697=0,0,$R1697)</f>
      </c>
      <c r="K1698" s="43">
        <f>IF($I1698=0,0,IF(INDEX(DarlOhneTilgung,4)=1,0,IF(AND(INDEX(DarlTilgStart,4)&gt;0,$E1698=INDEX(DarlTilgStart,4)),$J1698*($H1698+INDEX(DarlTilgung,4))/100/12,IF(AND($G1698=0,$G1697=1),MAX($K1697,$J1698*($H1698+1)/100/12),$K1697))))</f>
      </c>
      <c r="L1698" s="43">
        <f>IF($I1698=0,0,$J1698*$H1698/100/12)</f>
      </c>
      <c r="M1698" s="43">
        <f>IF($I1698=0,0,IF(OR(INDEX(DarlOhneTilgung,4)=1,AND(INDEX(DarlTilgStart,4)&gt;0,$E1698&lt;INDEX(DarlTilgStart,4))),0,MIN(MAX(0,$K1698-$L1698),$J1698)))</f>
      </c>
      <c r="N1698" s="43">
        <f>IF($I1698=0,0,MIN(SUMIFS(SondBetrag,SondDarl,4,SondDatum,"&gt;="&amp;$E1698,SondDatum,"&lt;="&amp;EOMONTH($E1698,0)),$J1698-$M1698))</f>
      </c>
      <c r="O1698" s="43">
        <f>IF($I1698=0,0,INDEX(DarlErsatzRate,4))</f>
      </c>
      <c r="P1698" s="43">
        <f>IF($I1698=0,0,$Q1697*INDEX(DarlErsatzZins,4))</f>
      </c>
      <c r="Q1698" s="43">
        <f>IF($I1698=0,0,$Q1697+$P1698+$O1698)</f>
      </c>
      <c r="R1698" s="43">
        <f>IF($I1698=0,0,$J1698-$M1698-$N1698)</f>
      </c>
    </row>
    <row r="1699">
      <c r="A1699"/>
      <c r="B1699">
        <v>4</v>
      </c>
      <c r="C1699" s="43">
        <f>INDEX(DarlObj,4)</f>
      </c>
      <c r="D1699">
        <v>256</v>
      </c>
      <c r="E1699" s="51">
        <f>IF(INDEX(DarlBelegt,4)=0,0,EOMONTH(INDEX(DarlAuszahlung,4),255)+1)</f>
      </c>
      <c r="F1699" s="43">
        <f>IF($E1699=0,0,YEAR($E1699))</f>
      </c>
      <c r="G1699" s="43">
        <f>IF(INDEX(DarlBindung,4)="",1,IF($E1699&lt;=INDEX(DarlBindung,4),1,0))</f>
      </c>
      <c r="H1699" s="43">
        <f>IF($G1699=1,INDEX(DarlSollzins,4),INDEX(DarlAnschluss,4))</f>
      </c>
      <c r="I1699" s="43">
        <f>IF(INDEX(DarlBelegt,4)=0,0,IF(INDEX(DarlOhneTilgung,4)=1,IF(INDEX(DarlBindung,4)="",1,$G1699),IF($J1699&gt;0.005,1,0)))</f>
      </c>
      <c r="J1699" s="43">
        <f>IF($I1698=0,0,$R1698)</f>
      </c>
      <c r="K1699" s="43">
        <f>IF($I1699=0,0,IF(INDEX(DarlOhneTilgung,4)=1,0,IF(AND(INDEX(DarlTilgStart,4)&gt;0,$E1699=INDEX(DarlTilgStart,4)),$J1699*($H1699+INDEX(DarlTilgung,4))/100/12,IF(AND($G1699=0,$G1698=1),MAX($K1698,$J1699*($H1699+1)/100/12),$K1698))))</f>
      </c>
      <c r="L1699" s="43">
        <f>IF($I1699=0,0,$J1699*$H1699/100/12)</f>
      </c>
      <c r="M1699" s="43">
        <f>IF($I1699=0,0,IF(OR(INDEX(DarlOhneTilgung,4)=1,AND(INDEX(DarlTilgStart,4)&gt;0,$E1699&lt;INDEX(DarlTilgStart,4))),0,MIN(MAX(0,$K1699-$L1699),$J1699)))</f>
      </c>
      <c r="N1699" s="43">
        <f>IF($I1699=0,0,MIN(SUMIFS(SondBetrag,SondDarl,4,SondDatum,"&gt;="&amp;$E1699,SondDatum,"&lt;="&amp;EOMONTH($E1699,0)),$J1699-$M1699))</f>
      </c>
      <c r="O1699" s="43">
        <f>IF($I1699=0,0,INDEX(DarlErsatzRate,4))</f>
      </c>
      <c r="P1699" s="43">
        <f>IF($I1699=0,0,$Q1698*INDEX(DarlErsatzZins,4))</f>
      </c>
      <c r="Q1699" s="43">
        <f>IF($I1699=0,0,$Q1698+$P1699+$O1699)</f>
      </c>
      <c r="R1699" s="43">
        <f>IF($I1699=0,0,$J1699-$M1699-$N1699)</f>
      </c>
    </row>
    <row r="1700">
      <c r="A1700"/>
      <c r="B1700">
        <v>4</v>
      </c>
      <c r="C1700" s="43">
        <f>INDEX(DarlObj,4)</f>
      </c>
      <c r="D1700">
        <v>257</v>
      </c>
      <c r="E1700" s="51">
        <f>IF(INDEX(DarlBelegt,4)=0,0,EOMONTH(INDEX(DarlAuszahlung,4),256)+1)</f>
      </c>
      <c r="F1700" s="43">
        <f>IF($E1700=0,0,YEAR($E1700))</f>
      </c>
      <c r="G1700" s="43">
        <f>IF(INDEX(DarlBindung,4)="",1,IF($E1700&lt;=INDEX(DarlBindung,4),1,0))</f>
      </c>
      <c r="H1700" s="43">
        <f>IF($G1700=1,INDEX(DarlSollzins,4),INDEX(DarlAnschluss,4))</f>
      </c>
      <c r="I1700" s="43">
        <f>IF(INDEX(DarlBelegt,4)=0,0,IF(INDEX(DarlOhneTilgung,4)=1,IF(INDEX(DarlBindung,4)="",1,$G1700),IF($J1700&gt;0.005,1,0)))</f>
      </c>
      <c r="J1700" s="43">
        <f>IF($I1699=0,0,$R1699)</f>
      </c>
      <c r="K1700" s="43">
        <f>IF($I1700=0,0,IF(INDEX(DarlOhneTilgung,4)=1,0,IF(AND(INDEX(DarlTilgStart,4)&gt;0,$E1700=INDEX(DarlTilgStart,4)),$J1700*($H1700+INDEX(DarlTilgung,4))/100/12,IF(AND($G1700=0,$G1699=1),MAX($K1699,$J1700*($H1700+1)/100/12),$K1699))))</f>
      </c>
      <c r="L1700" s="43">
        <f>IF($I1700=0,0,$J1700*$H1700/100/12)</f>
      </c>
      <c r="M1700" s="43">
        <f>IF($I1700=0,0,IF(OR(INDEX(DarlOhneTilgung,4)=1,AND(INDEX(DarlTilgStart,4)&gt;0,$E1700&lt;INDEX(DarlTilgStart,4))),0,MIN(MAX(0,$K1700-$L1700),$J1700)))</f>
      </c>
      <c r="N1700" s="43">
        <f>IF($I1700=0,0,MIN(SUMIFS(SondBetrag,SondDarl,4,SondDatum,"&gt;="&amp;$E1700,SondDatum,"&lt;="&amp;EOMONTH($E1700,0)),$J1700-$M1700))</f>
      </c>
      <c r="O1700" s="43">
        <f>IF($I1700=0,0,INDEX(DarlErsatzRate,4))</f>
      </c>
      <c r="P1700" s="43">
        <f>IF($I1700=0,0,$Q1699*INDEX(DarlErsatzZins,4))</f>
      </c>
      <c r="Q1700" s="43">
        <f>IF($I1700=0,0,$Q1699+$P1700+$O1700)</f>
      </c>
      <c r="R1700" s="43">
        <f>IF($I1700=0,0,$J1700-$M1700-$N1700)</f>
      </c>
    </row>
    <row r="1701">
      <c r="A1701"/>
      <c r="B1701">
        <v>4</v>
      </c>
      <c r="C1701" s="43">
        <f>INDEX(DarlObj,4)</f>
      </c>
      <c r="D1701">
        <v>258</v>
      </c>
      <c r="E1701" s="51">
        <f>IF(INDEX(DarlBelegt,4)=0,0,EOMONTH(INDEX(DarlAuszahlung,4),257)+1)</f>
      </c>
      <c r="F1701" s="43">
        <f>IF($E1701=0,0,YEAR($E1701))</f>
      </c>
      <c r="G1701" s="43">
        <f>IF(INDEX(DarlBindung,4)="",1,IF($E1701&lt;=INDEX(DarlBindung,4),1,0))</f>
      </c>
      <c r="H1701" s="43">
        <f>IF($G1701=1,INDEX(DarlSollzins,4),INDEX(DarlAnschluss,4))</f>
      </c>
      <c r="I1701" s="43">
        <f>IF(INDEX(DarlBelegt,4)=0,0,IF(INDEX(DarlOhneTilgung,4)=1,IF(INDEX(DarlBindung,4)="",1,$G1701),IF($J1701&gt;0.005,1,0)))</f>
      </c>
      <c r="J1701" s="43">
        <f>IF($I1700=0,0,$R1700)</f>
      </c>
      <c r="K1701" s="43">
        <f>IF($I1701=0,0,IF(INDEX(DarlOhneTilgung,4)=1,0,IF(AND(INDEX(DarlTilgStart,4)&gt;0,$E1701=INDEX(DarlTilgStart,4)),$J1701*($H1701+INDEX(DarlTilgung,4))/100/12,IF(AND($G1701=0,$G1700=1),MAX($K1700,$J1701*($H1701+1)/100/12),$K1700))))</f>
      </c>
      <c r="L1701" s="43">
        <f>IF($I1701=0,0,$J1701*$H1701/100/12)</f>
      </c>
      <c r="M1701" s="43">
        <f>IF($I1701=0,0,IF(OR(INDEX(DarlOhneTilgung,4)=1,AND(INDEX(DarlTilgStart,4)&gt;0,$E1701&lt;INDEX(DarlTilgStart,4))),0,MIN(MAX(0,$K1701-$L1701),$J1701)))</f>
      </c>
      <c r="N1701" s="43">
        <f>IF($I1701=0,0,MIN(SUMIFS(SondBetrag,SondDarl,4,SondDatum,"&gt;="&amp;$E1701,SondDatum,"&lt;="&amp;EOMONTH($E1701,0)),$J1701-$M1701))</f>
      </c>
      <c r="O1701" s="43">
        <f>IF($I1701=0,0,INDEX(DarlErsatzRate,4))</f>
      </c>
      <c r="P1701" s="43">
        <f>IF($I1701=0,0,$Q1700*INDEX(DarlErsatzZins,4))</f>
      </c>
      <c r="Q1701" s="43">
        <f>IF($I1701=0,0,$Q1700+$P1701+$O1701)</f>
      </c>
      <c r="R1701" s="43">
        <f>IF($I1701=0,0,$J1701-$M1701-$N1701)</f>
      </c>
    </row>
    <row r="1702">
      <c r="A1702"/>
      <c r="B1702">
        <v>4</v>
      </c>
      <c r="C1702" s="43">
        <f>INDEX(DarlObj,4)</f>
      </c>
      <c r="D1702">
        <v>259</v>
      </c>
      <c r="E1702" s="51">
        <f>IF(INDEX(DarlBelegt,4)=0,0,EOMONTH(INDEX(DarlAuszahlung,4),258)+1)</f>
      </c>
      <c r="F1702" s="43">
        <f>IF($E1702=0,0,YEAR($E1702))</f>
      </c>
      <c r="G1702" s="43">
        <f>IF(INDEX(DarlBindung,4)="",1,IF($E1702&lt;=INDEX(DarlBindung,4),1,0))</f>
      </c>
      <c r="H1702" s="43">
        <f>IF($G1702=1,INDEX(DarlSollzins,4),INDEX(DarlAnschluss,4))</f>
      </c>
      <c r="I1702" s="43">
        <f>IF(INDEX(DarlBelegt,4)=0,0,IF(INDEX(DarlOhneTilgung,4)=1,IF(INDEX(DarlBindung,4)="",1,$G1702),IF($J1702&gt;0.005,1,0)))</f>
      </c>
      <c r="J1702" s="43">
        <f>IF($I1701=0,0,$R1701)</f>
      </c>
      <c r="K1702" s="43">
        <f>IF($I1702=0,0,IF(INDEX(DarlOhneTilgung,4)=1,0,IF(AND(INDEX(DarlTilgStart,4)&gt;0,$E1702=INDEX(DarlTilgStart,4)),$J1702*($H1702+INDEX(DarlTilgung,4))/100/12,IF(AND($G1702=0,$G1701=1),MAX($K1701,$J1702*($H1702+1)/100/12),$K1701))))</f>
      </c>
      <c r="L1702" s="43">
        <f>IF($I1702=0,0,$J1702*$H1702/100/12)</f>
      </c>
      <c r="M1702" s="43">
        <f>IF($I1702=0,0,IF(OR(INDEX(DarlOhneTilgung,4)=1,AND(INDEX(DarlTilgStart,4)&gt;0,$E1702&lt;INDEX(DarlTilgStart,4))),0,MIN(MAX(0,$K1702-$L1702),$J1702)))</f>
      </c>
      <c r="N1702" s="43">
        <f>IF($I1702=0,0,MIN(SUMIFS(SondBetrag,SondDarl,4,SondDatum,"&gt;="&amp;$E1702,SondDatum,"&lt;="&amp;EOMONTH($E1702,0)),$J1702-$M1702))</f>
      </c>
      <c r="O1702" s="43">
        <f>IF($I1702=0,0,INDEX(DarlErsatzRate,4))</f>
      </c>
      <c r="P1702" s="43">
        <f>IF($I1702=0,0,$Q1701*INDEX(DarlErsatzZins,4))</f>
      </c>
      <c r="Q1702" s="43">
        <f>IF($I1702=0,0,$Q1701+$P1702+$O1702)</f>
      </c>
      <c r="R1702" s="43">
        <f>IF($I1702=0,0,$J1702-$M1702-$N1702)</f>
      </c>
    </row>
    <row r="1703">
      <c r="A1703"/>
      <c r="B1703">
        <v>4</v>
      </c>
      <c r="C1703" s="43">
        <f>INDEX(DarlObj,4)</f>
      </c>
      <c r="D1703">
        <v>260</v>
      </c>
      <c r="E1703" s="51">
        <f>IF(INDEX(DarlBelegt,4)=0,0,EOMONTH(INDEX(DarlAuszahlung,4),259)+1)</f>
      </c>
      <c r="F1703" s="43">
        <f>IF($E1703=0,0,YEAR($E1703))</f>
      </c>
      <c r="G1703" s="43">
        <f>IF(INDEX(DarlBindung,4)="",1,IF($E1703&lt;=INDEX(DarlBindung,4),1,0))</f>
      </c>
      <c r="H1703" s="43">
        <f>IF($G1703=1,INDEX(DarlSollzins,4),INDEX(DarlAnschluss,4))</f>
      </c>
      <c r="I1703" s="43">
        <f>IF(INDEX(DarlBelegt,4)=0,0,IF(INDEX(DarlOhneTilgung,4)=1,IF(INDEX(DarlBindung,4)="",1,$G1703),IF($J1703&gt;0.005,1,0)))</f>
      </c>
      <c r="J1703" s="43">
        <f>IF($I1702=0,0,$R1702)</f>
      </c>
      <c r="K1703" s="43">
        <f>IF($I1703=0,0,IF(INDEX(DarlOhneTilgung,4)=1,0,IF(AND(INDEX(DarlTilgStart,4)&gt;0,$E1703=INDEX(DarlTilgStart,4)),$J1703*($H1703+INDEX(DarlTilgung,4))/100/12,IF(AND($G1703=0,$G1702=1),MAX($K1702,$J1703*($H1703+1)/100/12),$K1702))))</f>
      </c>
      <c r="L1703" s="43">
        <f>IF($I1703=0,0,$J1703*$H1703/100/12)</f>
      </c>
      <c r="M1703" s="43">
        <f>IF($I1703=0,0,IF(OR(INDEX(DarlOhneTilgung,4)=1,AND(INDEX(DarlTilgStart,4)&gt;0,$E1703&lt;INDEX(DarlTilgStart,4))),0,MIN(MAX(0,$K1703-$L1703),$J1703)))</f>
      </c>
      <c r="N1703" s="43">
        <f>IF($I1703=0,0,MIN(SUMIFS(SondBetrag,SondDarl,4,SondDatum,"&gt;="&amp;$E1703,SondDatum,"&lt;="&amp;EOMONTH($E1703,0)),$J1703-$M1703))</f>
      </c>
      <c r="O1703" s="43">
        <f>IF($I1703=0,0,INDEX(DarlErsatzRate,4))</f>
      </c>
      <c r="P1703" s="43">
        <f>IF($I1703=0,0,$Q1702*INDEX(DarlErsatzZins,4))</f>
      </c>
      <c r="Q1703" s="43">
        <f>IF($I1703=0,0,$Q1702+$P1703+$O1703)</f>
      </c>
      <c r="R1703" s="43">
        <f>IF($I1703=0,0,$J1703-$M1703-$N1703)</f>
      </c>
    </row>
    <row r="1704">
      <c r="A1704"/>
      <c r="B1704">
        <v>4</v>
      </c>
      <c r="C1704" s="43">
        <f>INDEX(DarlObj,4)</f>
      </c>
      <c r="D1704">
        <v>261</v>
      </c>
      <c r="E1704" s="51">
        <f>IF(INDEX(DarlBelegt,4)=0,0,EOMONTH(INDEX(DarlAuszahlung,4),260)+1)</f>
      </c>
      <c r="F1704" s="43">
        <f>IF($E1704=0,0,YEAR($E1704))</f>
      </c>
      <c r="G1704" s="43">
        <f>IF(INDEX(DarlBindung,4)="",1,IF($E1704&lt;=INDEX(DarlBindung,4),1,0))</f>
      </c>
      <c r="H1704" s="43">
        <f>IF($G1704=1,INDEX(DarlSollzins,4),INDEX(DarlAnschluss,4))</f>
      </c>
      <c r="I1704" s="43">
        <f>IF(INDEX(DarlBelegt,4)=0,0,IF(INDEX(DarlOhneTilgung,4)=1,IF(INDEX(DarlBindung,4)="",1,$G1704),IF($J1704&gt;0.005,1,0)))</f>
      </c>
      <c r="J1704" s="43">
        <f>IF($I1703=0,0,$R1703)</f>
      </c>
      <c r="K1704" s="43">
        <f>IF($I1704=0,0,IF(INDEX(DarlOhneTilgung,4)=1,0,IF(AND(INDEX(DarlTilgStart,4)&gt;0,$E1704=INDEX(DarlTilgStart,4)),$J1704*($H1704+INDEX(DarlTilgung,4))/100/12,IF(AND($G1704=0,$G1703=1),MAX($K1703,$J1704*($H1704+1)/100/12),$K1703))))</f>
      </c>
      <c r="L1704" s="43">
        <f>IF($I1704=0,0,$J1704*$H1704/100/12)</f>
      </c>
      <c r="M1704" s="43">
        <f>IF($I1704=0,0,IF(OR(INDEX(DarlOhneTilgung,4)=1,AND(INDEX(DarlTilgStart,4)&gt;0,$E1704&lt;INDEX(DarlTilgStart,4))),0,MIN(MAX(0,$K1704-$L1704),$J1704)))</f>
      </c>
      <c r="N1704" s="43">
        <f>IF($I1704=0,0,MIN(SUMIFS(SondBetrag,SondDarl,4,SondDatum,"&gt;="&amp;$E1704,SondDatum,"&lt;="&amp;EOMONTH($E1704,0)),$J1704-$M1704))</f>
      </c>
      <c r="O1704" s="43">
        <f>IF($I1704=0,0,INDEX(DarlErsatzRate,4))</f>
      </c>
      <c r="P1704" s="43">
        <f>IF($I1704=0,0,$Q1703*INDEX(DarlErsatzZins,4))</f>
      </c>
      <c r="Q1704" s="43">
        <f>IF($I1704=0,0,$Q1703+$P1704+$O1704)</f>
      </c>
      <c r="R1704" s="43">
        <f>IF($I1704=0,0,$J1704-$M1704-$N1704)</f>
      </c>
    </row>
    <row r="1705">
      <c r="A1705"/>
      <c r="B1705">
        <v>4</v>
      </c>
      <c r="C1705" s="43">
        <f>INDEX(DarlObj,4)</f>
      </c>
      <c r="D1705">
        <v>262</v>
      </c>
      <c r="E1705" s="51">
        <f>IF(INDEX(DarlBelegt,4)=0,0,EOMONTH(INDEX(DarlAuszahlung,4),261)+1)</f>
      </c>
      <c r="F1705" s="43">
        <f>IF($E1705=0,0,YEAR($E1705))</f>
      </c>
      <c r="G1705" s="43">
        <f>IF(INDEX(DarlBindung,4)="",1,IF($E1705&lt;=INDEX(DarlBindung,4),1,0))</f>
      </c>
      <c r="H1705" s="43">
        <f>IF($G1705=1,INDEX(DarlSollzins,4),INDEX(DarlAnschluss,4))</f>
      </c>
      <c r="I1705" s="43">
        <f>IF(INDEX(DarlBelegt,4)=0,0,IF(INDEX(DarlOhneTilgung,4)=1,IF(INDEX(DarlBindung,4)="",1,$G1705),IF($J1705&gt;0.005,1,0)))</f>
      </c>
      <c r="J1705" s="43">
        <f>IF($I1704=0,0,$R1704)</f>
      </c>
      <c r="K1705" s="43">
        <f>IF($I1705=0,0,IF(INDEX(DarlOhneTilgung,4)=1,0,IF(AND(INDEX(DarlTilgStart,4)&gt;0,$E1705=INDEX(DarlTilgStart,4)),$J1705*($H1705+INDEX(DarlTilgung,4))/100/12,IF(AND($G1705=0,$G1704=1),MAX($K1704,$J1705*($H1705+1)/100/12),$K1704))))</f>
      </c>
      <c r="L1705" s="43">
        <f>IF($I1705=0,0,$J1705*$H1705/100/12)</f>
      </c>
      <c r="M1705" s="43">
        <f>IF($I1705=0,0,IF(OR(INDEX(DarlOhneTilgung,4)=1,AND(INDEX(DarlTilgStart,4)&gt;0,$E1705&lt;INDEX(DarlTilgStart,4))),0,MIN(MAX(0,$K1705-$L1705),$J1705)))</f>
      </c>
      <c r="N1705" s="43">
        <f>IF($I1705=0,0,MIN(SUMIFS(SondBetrag,SondDarl,4,SondDatum,"&gt;="&amp;$E1705,SondDatum,"&lt;="&amp;EOMONTH($E1705,0)),$J1705-$M1705))</f>
      </c>
      <c r="O1705" s="43">
        <f>IF($I1705=0,0,INDEX(DarlErsatzRate,4))</f>
      </c>
      <c r="P1705" s="43">
        <f>IF($I1705=0,0,$Q1704*INDEX(DarlErsatzZins,4))</f>
      </c>
      <c r="Q1705" s="43">
        <f>IF($I1705=0,0,$Q1704+$P1705+$O1705)</f>
      </c>
      <c r="R1705" s="43">
        <f>IF($I1705=0,0,$J1705-$M1705-$N1705)</f>
      </c>
    </row>
    <row r="1706">
      <c r="A1706"/>
      <c r="B1706">
        <v>4</v>
      </c>
      <c r="C1706" s="43">
        <f>INDEX(DarlObj,4)</f>
      </c>
      <c r="D1706">
        <v>263</v>
      </c>
      <c r="E1706" s="51">
        <f>IF(INDEX(DarlBelegt,4)=0,0,EOMONTH(INDEX(DarlAuszahlung,4),262)+1)</f>
      </c>
      <c r="F1706" s="43">
        <f>IF($E1706=0,0,YEAR($E1706))</f>
      </c>
      <c r="G1706" s="43">
        <f>IF(INDEX(DarlBindung,4)="",1,IF($E1706&lt;=INDEX(DarlBindung,4),1,0))</f>
      </c>
      <c r="H1706" s="43">
        <f>IF($G1706=1,INDEX(DarlSollzins,4),INDEX(DarlAnschluss,4))</f>
      </c>
      <c r="I1706" s="43">
        <f>IF(INDEX(DarlBelegt,4)=0,0,IF(INDEX(DarlOhneTilgung,4)=1,IF(INDEX(DarlBindung,4)="",1,$G1706),IF($J1706&gt;0.005,1,0)))</f>
      </c>
      <c r="J1706" s="43">
        <f>IF($I1705=0,0,$R1705)</f>
      </c>
      <c r="K1706" s="43">
        <f>IF($I1706=0,0,IF(INDEX(DarlOhneTilgung,4)=1,0,IF(AND(INDEX(DarlTilgStart,4)&gt;0,$E1706=INDEX(DarlTilgStart,4)),$J1706*($H1706+INDEX(DarlTilgung,4))/100/12,IF(AND($G1706=0,$G1705=1),MAX($K1705,$J1706*($H1706+1)/100/12),$K1705))))</f>
      </c>
      <c r="L1706" s="43">
        <f>IF($I1706=0,0,$J1706*$H1706/100/12)</f>
      </c>
      <c r="M1706" s="43">
        <f>IF($I1706=0,0,IF(OR(INDEX(DarlOhneTilgung,4)=1,AND(INDEX(DarlTilgStart,4)&gt;0,$E1706&lt;INDEX(DarlTilgStart,4))),0,MIN(MAX(0,$K1706-$L1706),$J1706)))</f>
      </c>
      <c r="N1706" s="43">
        <f>IF($I1706=0,0,MIN(SUMIFS(SondBetrag,SondDarl,4,SondDatum,"&gt;="&amp;$E1706,SondDatum,"&lt;="&amp;EOMONTH($E1706,0)),$J1706-$M1706))</f>
      </c>
      <c r="O1706" s="43">
        <f>IF($I1706=0,0,INDEX(DarlErsatzRate,4))</f>
      </c>
      <c r="P1706" s="43">
        <f>IF($I1706=0,0,$Q1705*INDEX(DarlErsatzZins,4))</f>
      </c>
      <c r="Q1706" s="43">
        <f>IF($I1706=0,0,$Q1705+$P1706+$O1706)</f>
      </c>
      <c r="R1706" s="43">
        <f>IF($I1706=0,0,$J1706-$M1706-$N1706)</f>
      </c>
    </row>
    <row r="1707">
      <c r="A1707"/>
      <c r="B1707">
        <v>4</v>
      </c>
      <c r="C1707" s="43">
        <f>INDEX(DarlObj,4)</f>
      </c>
      <c r="D1707">
        <v>264</v>
      </c>
      <c r="E1707" s="51">
        <f>IF(INDEX(DarlBelegt,4)=0,0,EOMONTH(INDEX(DarlAuszahlung,4),263)+1)</f>
      </c>
      <c r="F1707" s="43">
        <f>IF($E1707=0,0,YEAR($E1707))</f>
      </c>
      <c r="G1707" s="43">
        <f>IF(INDEX(DarlBindung,4)="",1,IF($E1707&lt;=INDEX(DarlBindung,4),1,0))</f>
      </c>
      <c r="H1707" s="43">
        <f>IF($G1707=1,INDEX(DarlSollzins,4),INDEX(DarlAnschluss,4))</f>
      </c>
      <c r="I1707" s="43">
        <f>IF(INDEX(DarlBelegt,4)=0,0,IF(INDEX(DarlOhneTilgung,4)=1,IF(INDEX(DarlBindung,4)="",1,$G1707),IF($J1707&gt;0.005,1,0)))</f>
      </c>
      <c r="J1707" s="43">
        <f>IF($I1706=0,0,$R1706)</f>
      </c>
      <c r="K1707" s="43">
        <f>IF($I1707=0,0,IF(INDEX(DarlOhneTilgung,4)=1,0,IF(AND(INDEX(DarlTilgStart,4)&gt;0,$E1707=INDEX(DarlTilgStart,4)),$J1707*($H1707+INDEX(DarlTilgung,4))/100/12,IF(AND($G1707=0,$G1706=1),MAX($K1706,$J1707*($H1707+1)/100/12),$K1706))))</f>
      </c>
      <c r="L1707" s="43">
        <f>IF($I1707=0,0,$J1707*$H1707/100/12)</f>
      </c>
      <c r="M1707" s="43">
        <f>IF($I1707=0,0,IF(OR(INDEX(DarlOhneTilgung,4)=1,AND(INDEX(DarlTilgStart,4)&gt;0,$E1707&lt;INDEX(DarlTilgStart,4))),0,MIN(MAX(0,$K1707-$L1707),$J1707)))</f>
      </c>
      <c r="N1707" s="43">
        <f>IF($I1707=0,0,MIN(SUMIFS(SondBetrag,SondDarl,4,SondDatum,"&gt;="&amp;$E1707,SondDatum,"&lt;="&amp;EOMONTH($E1707,0)),$J1707-$M1707))</f>
      </c>
      <c r="O1707" s="43">
        <f>IF($I1707=0,0,INDEX(DarlErsatzRate,4))</f>
      </c>
      <c r="P1707" s="43">
        <f>IF($I1707=0,0,$Q1706*INDEX(DarlErsatzZins,4))</f>
      </c>
      <c r="Q1707" s="43">
        <f>IF($I1707=0,0,$Q1706+$P1707+$O1707)</f>
      </c>
      <c r="R1707" s="43">
        <f>IF($I1707=0,0,$J1707-$M1707-$N1707)</f>
      </c>
    </row>
    <row r="1708">
      <c r="A1708"/>
      <c r="B1708">
        <v>4</v>
      </c>
      <c r="C1708" s="43">
        <f>INDEX(DarlObj,4)</f>
      </c>
      <c r="D1708">
        <v>265</v>
      </c>
      <c r="E1708" s="51">
        <f>IF(INDEX(DarlBelegt,4)=0,0,EOMONTH(INDEX(DarlAuszahlung,4),264)+1)</f>
      </c>
      <c r="F1708" s="43">
        <f>IF($E1708=0,0,YEAR($E1708))</f>
      </c>
      <c r="G1708" s="43">
        <f>IF(INDEX(DarlBindung,4)="",1,IF($E1708&lt;=INDEX(DarlBindung,4),1,0))</f>
      </c>
      <c r="H1708" s="43">
        <f>IF($G1708=1,INDEX(DarlSollzins,4),INDEX(DarlAnschluss,4))</f>
      </c>
      <c r="I1708" s="43">
        <f>IF(INDEX(DarlBelegt,4)=0,0,IF(INDEX(DarlOhneTilgung,4)=1,IF(INDEX(DarlBindung,4)="",1,$G1708),IF($J1708&gt;0.005,1,0)))</f>
      </c>
      <c r="J1708" s="43">
        <f>IF($I1707=0,0,$R1707)</f>
      </c>
      <c r="K1708" s="43">
        <f>IF($I1708=0,0,IF(INDEX(DarlOhneTilgung,4)=1,0,IF(AND(INDEX(DarlTilgStart,4)&gt;0,$E1708=INDEX(DarlTilgStart,4)),$J1708*($H1708+INDEX(DarlTilgung,4))/100/12,IF(AND($G1708=0,$G1707=1),MAX($K1707,$J1708*($H1708+1)/100/12),$K1707))))</f>
      </c>
      <c r="L1708" s="43">
        <f>IF($I1708=0,0,$J1708*$H1708/100/12)</f>
      </c>
      <c r="M1708" s="43">
        <f>IF($I1708=0,0,IF(OR(INDEX(DarlOhneTilgung,4)=1,AND(INDEX(DarlTilgStart,4)&gt;0,$E1708&lt;INDEX(DarlTilgStart,4))),0,MIN(MAX(0,$K1708-$L1708),$J1708)))</f>
      </c>
      <c r="N1708" s="43">
        <f>IF($I1708=0,0,MIN(SUMIFS(SondBetrag,SondDarl,4,SondDatum,"&gt;="&amp;$E1708,SondDatum,"&lt;="&amp;EOMONTH($E1708,0)),$J1708-$M1708))</f>
      </c>
      <c r="O1708" s="43">
        <f>IF($I1708=0,0,INDEX(DarlErsatzRate,4))</f>
      </c>
      <c r="P1708" s="43">
        <f>IF($I1708=0,0,$Q1707*INDEX(DarlErsatzZins,4))</f>
      </c>
      <c r="Q1708" s="43">
        <f>IF($I1708=0,0,$Q1707+$P1708+$O1708)</f>
      </c>
      <c r="R1708" s="43">
        <f>IF($I1708=0,0,$J1708-$M1708-$N1708)</f>
      </c>
    </row>
    <row r="1709">
      <c r="A1709"/>
      <c r="B1709">
        <v>4</v>
      </c>
      <c r="C1709" s="43">
        <f>INDEX(DarlObj,4)</f>
      </c>
      <c r="D1709">
        <v>266</v>
      </c>
      <c r="E1709" s="51">
        <f>IF(INDEX(DarlBelegt,4)=0,0,EOMONTH(INDEX(DarlAuszahlung,4),265)+1)</f>
      </c>
      <c r="F1709" s="43">
        <f>IF($E1709=0,0,YEAR($E1709))</f>
      </c>
      <c r="G1709" s="43">
        <f>IF(INDEX(DarlBindung,4)="",1,IF($E1709&lt;=INDEX(DarlBindung,4),1,0))</f>
      </c>
      <c r="H1709" s="43">
        <f>IF($G1709=1,INDEX(DarlSollzins,4),INDEX(DarlAnschluss,4))</f>
      </c>
      <c r="I1709" s="43">
        <f>IF(INDEX(DarlBelegt,4)=0,0,IF(INDEX(DarlOhneTilgung,4)=1,IF(INDEX(DarlBindung,4)="",1,$G1709),IF($J1709&gt;0.005,1,0)))</f>
      </c>
      <c r="J1709" s="43">
        <f>IF($I1708=0,0,$R1708)</f>
      </c>
      <c r="K1709" s="43">
        <f>IF($I1709=0,0,IF(INDEX(DarlOhneTilgung,4)=1,0,IF(AND(INDEX(DarlTilgStart,4)&gt;0,$E1709=INDEX(DarlTilgStart,4)),$J1709*($H1709+INDEX(DarlTilgung,4))/100/12,IF(AND($G1709=0,$G1708=1),MAX($K1708,$J1709*($H1709+1)/100/12),$K1708))))</f>
      </c>
      <c r="L1709" s="43">
        <f>IF($I1709=0,0,$J1709*$H1709/100/12)</f>
      </c>
      <c r="M1709" s="43">
        <f>IF($I1709=0,0,IF(OR(INDEX(DarlOhneTilgung,4)=1,AND(INDEX(DarlTilgStart,4)&gt;0,$E1709&lt;INDEX(DarlTilgStart,4))),0,MIN(MAX(0,$K1709-$L1709),$J1709)))</f>
      </c>
      <c r="N1709" s="43">
        <f>IF($I1709=0,0,MIN(SUMIFS(SondBetrag,SondDarl,4,SondDatum,"&gt;="&amp;$E1709,SondDatum,"&lt;="&amp;EOMONTH($E1709,0)),$J1709-$M1709))</f>
      </c>
      <c r="O1709" s="43">
        <f>IF($I1709=0,0,INDEX(DarlErsatzRate,4))</f>
      </c>
      <c r="P1709" s="43">
        <f>IF($I1709=0,0,$Q1708*INDEX(DarlErsatzZins,4))</f>
      </c>
      <c r="Q1709" s="43">
        <f>IF($I1709=0,0,$Q1708+$P1709+$O1709)</f>
      </c>
      <c r="R1709" s="43">
        <f>IF($I1709=0,0,$J1709-$M1709-$N1709)</f>
      </c>
    </row>
    <row r="1710">
      <c r="A1710"/>
      <c r="B1710">
        <v>4</v>
      </c>
      <c r="C1710" s="43">
        <f>INDEX(DarlObj,4)</f>
      </c>
      <c r="D1710">
        <v>267</v>
      </c>
      <c r="E1710" s="51">
        <f>IF(INDEX(DarlBelegt,4)=0,0,EOMONTH(INDEX(DarlAuszahlung,4),266)+1)</f>
      </c>
      <c r="F1710" s="43">
        <f>IF($E1710=0,0,YEAR($E1710))</f>
      </c>
      <c r="G1710" s="43">
        <f>IF(INDEX(DarlBindung,4)="",1,IF($E1710&lt;=INDEX(DarlBindung,4),1,0))</f>
      </c>
      <c r="H1710" s="43">
        <f>IF($G1710=1,INDEX(DarlSollzins,4),INDEX(DarlAnschluss,4))</f>
      </c>
      <c r="I1710" s="43">
        <f>IF(INDEX(DarlBelegt,4)=0,0,IF(INDEX(DarlOhneTilgung,4)=1,IF(INDEX(DarlBindung,4)="",1,$G1710),IF($J1710&gt;0.005,1,0)))</f>
      </c>
      <c r="J1710" s="43">
        <f>IF($I1709=0,0,$R1709)</f>
      </c>
      <c r="K1710" s="43">
        <f>IF($I1710=0,0,IF(INDEX(DarlOhneTilgung,4)=1,0,IF(AND(INDEX(DarlTilgStart,4)&gt;0,$E1710=INDEX(DarlTilgStart,4)),$J1710*($H1710+INDEX(DarlTilgung,4))/100/12,IF(AND($G1710=0,$G1709=1),MAX($K1709,$J1710*($H1710+1)/100/12),$K1709))))</f>
      </c>
      <c r="L1710" s="43">
        <f>IF($I1710=0,0,$J1710*$H1710/100/12)</f>
      </c>
      <c r="M1710" s="43">
        <f>IF($I1710=0,0,IF(OR(INDEX(DarlOhneTilgung,4)=1,AND(INDEX(DarlTilgStart,4)&gt;0,$E1710&lt;INDEX(DarlTilgStart,4))),0,MIN(MAX(0,$K1710-$L1710),$J1710)))</f>
      </c>
      <c r="N1710" s="43">
        <f>IF($I1710=0,0,MIN(SUMIFS(SondBetrag,SondDarl,4,SondDatum,"&gt;="&amp;$E1710,SondDatum,"&lt;="&amp;EOMONTH($E1710,0)),$J1710-$M1710))</f>
      </c>
      <c r="O1710" s="43">
        <f>IF($I1710=0,0,INDEX(DarlErsatzRate,4))</f>
      </c>
      <c r="P1710" s="43">
        <f>IF($I1710=0,0,$Q1709*INDEX(DarlErsatzZins,4))</f>
      </c>
      <c r="Q1710" s="43">
        <f>IF($I1710=0,0,$Q1709+$P1710+$O1710)</f>
      </c>
      <c r="R1710" s="43">
        <f>IF($I1710=0,0,$J1710-$M1710-$N1710)</f>
      </c>
    </row>
    <row r="1711">
      <c r="A1711"/>
      <c r="B1711">
        <v>4</v>
      </c>
      <c r="C1711" s="43">
        <f>INDEX(DarlObj,4)</f>
      </c>
      <c r="D1711">
        <v>268</v>
      </c>
      <c r="E1711" s="51">
        <f>IF(INDEX(DarlBelegt,4)=0,0,EOMONTH(INDEX(DarlAuszahlung,4),267)+1)</f>
      </c>
      <c r="F1711" s="43">
        <f>IF($E1711=0,0,YEAR($E1711))</f>
      </c>
      <c r="G1711" s="43">
        <f>IF(INDEX(DarlBindung,4)="",1,IF($E1711&lt;=INDEX(DarlBindung,4),1,0))</f>
      </c>
      <c r="H1711" s="43">
        <f>IF($G1711=1,INDEX(DarlSollzins,4),INDEX(DarlAnschluss,4))</f>
      </c>
      <c r="I1711" s="43">
        <f>IF(INDEX(DarlBelegt,4)=0,0,IF(INDEX(DarlOhneTilgung,4)=1,IF(INDEX(DarlBindung,4)="",1,$G1711),IF($J1711&gt;0.005,1,0)))</f>
      </c>
      <c r="J1711" s="43">
        <f>IF($I1710=0,0,$R1710)</f>
      </c>
      <c r="K1711" s="43">
        <f>IF($I1711=0,0,IF(INDEX(DarlOhneTilgung,4)=1,0,IF(AND(INDEX(DarlTilgStart,4)&gt;0,$E1711=INDEX(DarlTilgStart,4)),$J1711*($H1711+INDEX(DarlTilgung,4))/100/12,IF(AND($G1711=0,$G1710=1),MAX($K1710,$J1711*($H1711+1)/100/12),$K1710))))</f>
      </c>
      <c r="L1711" s="43">
        <f>IF($I1711=0,0,$J1711*$H1711/100/12)</f>
      </c>
      <c r="M1711" s="43">
        <f>IF($I1711=0,0,IF(OR(INDEX(DarlOhneTilgung,4)=1,AND(INDEX(DarlTilgStart,4)&gt;0,$E1711&lt;INDEX(DarlTilgStart,4))),0,MIN(MAX(0,$K1711-$L1711),$J1711)))</f>
      </c>
      <c r="N1711" s="43">
        <f>IF($I1711=0,0,MIN(SUMIFS(SondBetrag,SondDarl,4,SondDatum,"&gt;="&amp;$E1711,SondDatum,"&lt;="&amp;EOMONTH($E1711,0)),$J1711-$M1711))</f>
      </c>
      <c r="O1711" s="43">
        <f>IF($I1711=0,0,INDEX(DarlErsatzRate,4))</f>
      </c>
      <c r="P1711" s="43">
        <f>IF($I1711=0,0,$Q1710*INDEX(DarlErsatzZins,4))</f>
      </c>
      <c r="Q1711" s="43">
        <f>IF($I1711=0,0,$Q1710+$P1711+$O1711)</f>
      </c>
      <c r="R1711" s="43">
        <f>IF($I1711=0,0,$J1711-$M1711-$N1711)</f>
      </c>
    </row>
    <row r="1712">
      <c r="A1712"/>
      <c r="B1712">
        <v>4</v>
      </c>
      <c r="C1712" s="43">
        <f>INDEX(DarlObj,4)</f>
      </c>
      <c r="D1712">
        <v>269</v>
      </c>
      <c r="E1712" s="51">
        <f>IF(INDEX(DarlBelegt,4)=0,0,EOMONTH(INDEX(DarlAuszahlung,4),268)+1)</f>
      </c>
      <c r="F1712" s="43">
        <f>IF($E1712=0,0,YEAR($E1712))</f>
      </c>
      <c r="G1712" s="43">
        <f>IF(INDEX(DarlBindung,4)="",1,IF($E1712&lt;=INDEX(DarlBindung,4),1,0))</f>
      </c>
      <c r="H1712" s="43">
        <f>IF($G1712=1,INDEX(DarlSollzins,4),INDEX(DarlAnschluss,4))</f>
      </c>
      <c r="I1712" s="43">
        <f>IF(INDEX(DarlBelegt,4)=0,0,IF(INDEX(DarlOhneTilgung,4)=1,IF(INDEX(DarlBindung,4)="",1,$G1712),IF($J1712&gt;0.005,1,0)))</f>
      </c>
      <c r="J1712" s="43">
        <f>IF($I1711=0,0,$R1711)</f>
      </c>
      <c r="K1712" s="43">
        <f>IF($I1712=0,0,IF(INDEX(DarlOhneTilgung,4)=1,0,IF(AND(INDEX(DarlTilgStart,4)&gt;0,$E1712=INDEX(DarlTilgStart,4)),$J1712*($H1712+INDEX(DarlTilgung,4))/100/12,IF(AND($G1712=0,$G1711=1),MAX($K1711,$J1712*($H1712+1)/100/12),$K1711))))</f>
      </c>
      <c r="L1712" s="43">
        <f>IF($I1712=0,0,$J1712*$H1712/100/12)</f>
      </c>
      <c r="M1712" s="43">
        <f>IF($I1712=0,0,IF(OR(INDEX(DarlOhneTilgung,4)=1,AND(INDEX(DarlTilgStart,4)&gt;0,$E1712&lt;INDEX(DarlTilgStart,4))),0,MIN(MAX(0,$K1712-$L1712),$J1712)))</f>
      </c>
      <c r="N1712" s="43">
        <f>IF($I1712=0,0,MIN(SUMIFS(SondBetrag,SondDarl,4,SondDatum,"&gt;="&amp;$E1712,SondDatum,"&lt;="&amp;EOMONTH($E1712,0)),$J1712-$M1712))</f>
      </c>
      <c r="O1712" s="43">
        <f>IF($I1712=0,0,INDEX(DarlErsatzRate,4))</f>
      </c>
      <c r="P1712" s="43">
        <f>IF($I1712=0,0,$Q1711*INDEX(DarlErsatzZins,4))</f>
      </c>
      <c r="Q1712" s="43">
        <f>IF($I1712=0,0,$Q1711+$P1712+$O1712)</f>
      </c>
      <c r="R1712" s="43">
        <f>IF($I1712=0,0,$J1712-$M1712-$N1712)</f>
      </c>
    </row>
    <row r="1713">
      <c r="A1713"/>
      <c r="B1713">
        <v>4</v>
      </c>
      <c r="C1713" s="43">
        <f>INDEX(DarlObj,4)</f>
      </c>
      <c r="D1713">
        <v>270</v>
      </c>
      <c r="E1713" s="51">
        <f>IF(INDEX(DarlBelegt,4)=0,0,EOMONTH(INDEX(DarlAuszahlung,4),269)+1)</f>
      </c>
      <c r="F1713" s="43">
        <f>IF($E1713=0,0,YEAR($E1713))</f>
      </c>
      <c r="G1713" s="43">
        <f>IF(INDEX(DarlBindung,4)="",1,IF($E1713&lt;=INDEX(DarlBindung,4),1,0))</f>
      </c>
      <c r="H1713" s="43">
        <f>IF($G1713=1,INDEX(DarlSollzins,4),INDEX(DarlAnschluss,4))</f>
      </c>
      <c r="I1713" s="43">
        <f>IF(INDEX(DarlBelegt,4)=0,0,IF(INDEX(DarlOhneTilgung,4)=1,IF(INDEX(DarlBindung,4)="",1,$G1713),IF($J1713&gt;0.005,1,0)))</f>
      </c>
      <c r="J1713" s="43">
        <f>IF($I1712=0,0,$R1712)</f>
      </c>
      <c r="K1713" s="43">
        <f>IF($I1713=0,0,IF(INDEX(DarlOhneTilgung,4)=1,0,IF(AND(INDEX(DarlTilgStart,4)&gt;0,$E1713=INDEX(DarlTilgStart,4)),$J1713*($H1713+INDEX(DarlTilgung,4))/100/12,IF(AND($G1713=0,$G1712=1),MAX($K1712,$J1713*($H1713+1)/100/12),$K1712))))</f>
      </c>
      <c r="L1713" s="43">
        <f>IF($I1713=0,0,$J1713*$H1713/100/12)</f>
      </c>
      <c r="M1713" s="43">
        <f>IF($I1713=0,0,IF(OR(INDEX(DarlOhneTilgung,4)=1,AND(INDEX(DarlTilgStart,4)&gt;0,$E1713&lt;INDEX(DarlTilgStart,4))),0,MIN(MAX(0,$K1713-$L1713),$J1713)))</f>
      </c>
      <c r="N1713" s="43">
        <f>IF($I1713=0,0,MIN(SUMIFS(SondBetrag,SondDarl,4,SondDatum,"&gt;="&amp;$E1713,SondDatum,"&lt;="&amp;EOMONTH($E1713,0)),$J1713-$M1713))</f>
      </c>
      <c r="O1713" s="43">
        <f>IF($I1713=0,0,INDEX(DarlErsatzRate,4))</f>
      </c>
      <c r="P1713" s="43">
        <f>IF($I1713=0,0,$Q1712*INDEX(DarlErsatzZins,4))</f>
      </c>
      <c r="Q1713" s="43">
        <f>IF($I1713=0,0,$Q1712+$P1713+$O1713)</f>
      </c>
      <c r="R1713" s="43">
        <f>IF($I1713=0,0,$J1713-$M1713-$N1713)</f>
      </c>
    </row>
    <row r="1714">
      <c r="A1714"/>
      <c r="B1714">
        <v>4</v>
      </c>
      <c r="C1714" s="43">
        <f>INDEX(DarlObj,4)</f>
      </c>
      <c r="D1714">
        <v>271</v>
      </c>
      <c r="E1714" s="51">
        <f>IF(INDEX(DarlBelegt,4)=0,0,EOMONTH(INDEX(DarlAuszahlung,4),270)+1)</f>
      </c>
      <c r="F1714" s="43">
        <f>IF($E1714=0,0,YEAR($E1714))</f>
      </c>
      <c r="G1714" s="43">
        <f>IF(INDEX(DarlBindung,4)="",1,IF($E1714&lt;=INDEX(DarlBindung,4),1,0))</f>
      </c>
      <c r="H1714" s="43">
        <f>IF($G1714=1,INDEX(DarlSollzins,4),INDEX(DarlAnschluss,4))</f>
      </c>
      <c r="I1714" s="43">
        <f>IF(INDEX(DarlBelegt,4)=0,0,IF(INDEX(DarlOhneTilgung,4)=1,IF(INDEX(DarlBindung,4)="",1,$G1714),IF($J1714&gt;0.005,1,0)))</f>
      </c>
      <c r="J1714" s="43">
        <f>IF($I1713=0,0,$R1713)</f>
      </c>
      <c r="K1714" s="43">
        <f>IF($I1714=0,0,IF(INDEX(DarlOhneTilgung,4)=1,0,IF(AND(INDEX(DarlTilgStart,4)&gt;0,$E1714=INDEX(DarlTilgStart,4)),$J1714*($H1714+INDEX(DarlTilgung,4))/100/12,IF(AND($G1714=0,$G1713=1),MAX($K1713,$J1714*($H1714+1)/100/12),$K1713))))</f>
      </c>
      <c r="L1714" s="43">
        <f>IF($I1714=0,0,$J1714*$H1714/100/12)</f>
      </c>
      <c r="M1714" s="43">
        <f>IF($I1714=0,0,IF(OR(INDEX(DarlOhneTilgung,4)=1,AND(INDEX(DarlTilgStart,4)&gt;0,$E1714&lt;INDEX(DarlTilgStart,4))),0,MIN(MAX(0,$K1714-$L1714),$J1714)))</f>
      </c>
      <c r="N1714" s="43">
        <f>IF($I1714=0,0,MIN(SUMIFS(SondBetrag,SondDarl,4,SondDatum,"&gt;="&amp;$E1714,SondDatum,"&lt;="&amp;EOMONTH($E1714,0)),$J1714-$M1714))</f>
      </c>
      <c r="O1714" s="43">
        <f>IF($I1714=0,0,INDEX(DarlErsatzRate,4))</f>
      </c>
      <c r="P1714" s="43">
        <f>IF($I1714=0,0,$Q1713*INDEX(DarlErsatzZins,4))</f>
      </c>
      <c r="Q1714" s="43">
        <f>IF($I1714=0,0,$Q1713+$P1714+$O1714)</f>
      </c>
      <c r="R1714" s="43">
        <f>IF($I1714=0,0,$J1714-$M1714-$N1714)</f>
      </c>
    </row>
    <row r="1715">
      <c r="A1715"/>
      <c r="B1715">
        <v>4</v>
      </c>
      <c r="C1715" s="43">
        <f>INDEX(DarlObj,4)</f>
      </c>
      <c r="D1715">
        <v>272</v>
      </c>
      <c r="E1715" s="51">
        <f>IF(INDEX(DarlBelegt,4)=0,0,EOMONTH(INDEX(DarlAuszahlung,4),271)+1)</f>
      </c>
      <c r="F1715" s="43">
        <f>IF($E1715=0,0,YEAR($E1715))</f>
      </c>
      <c r="G1715" s="43">
        <f>IF(INDEX(DarlBindung,4)="",1,IF($E1715&lt;=INDEX(DarlBindung,4),1,0))</f>
      </c>
      <c r="H1715" s="43">
        <f>IF($G1715=1,INDEX(DarlSollzins,4),INDEX(DarlAnschluss,4))</f>
      </c>
      <c r="I1715" s="43">
        <f>IF(INDEX(DarlBelegt,4)=0,0,IF(INDEX(DarlOhneTilgung,4)=1,IF(INDEX(DarlBindung,4)="",1,$G1715),IF($J1715&gt;0.005,1,0)))</f>
      </c>
      <c r="J1715" s="43">
        <f>IF($I1714=0,0,$R1714)</f>
      </c>
      <c r="K1715" s="43">
        <f>IF($I1715=0,0,IF(INDEX(DarlOhneTilgung,4)=1,0,IF(AND(INDEX(DarlTilgStart,4)&gt;0,$E1715=INDEX(DarlTilgStart,4)),$J1715*($H1715+INDEX(DarlTilgung,4))/100/12,IF(AND($G1715=0,$G1714=1),MAX($K1714,$J1715*($H1715+1)/100/12),$K1714))))</f>
      </c>
      <c r="L1715" s="43">
        <f>IF($I1715=0,0,$J1715*$H1715/100/12)</f>
      </c>
      <c r="M1715" s="43">
        <f>IF($I1715=0,0,IF(OR(INDEX(DarlOhneTilgung,4)=1,AND(INDEX(DarlTilgStart,4)&gt;0,$E1715&lt;INDEX(DarlTilgStart,4))),0,MIN(MAX(0,$K1715-$L1715),$J1715)))</f>
      </c>
      <c r="N1715" s="43">
        <f>IF($I1715=0,0,MIN(SUMIFS(SondBetrag,SondDarl,4,SondDatum,"&gt;="&amp;$E1715,SondDatum,"&lt;="&amp;EOMONTH($E1715,0)),$J1715-$M1715))</f>
      </c>
      <c r="O1715" s="43">
        <f>IF($I1715=0,0,INDEX(DarlErsatzRate,4))</f>
      </c>
      <c r="P1715" s="43">
        <f>IF($I1715=0,0,$Q1714*INDEX(DarlErsatzZins,4))</f>
      </c>
      <c r="Q1715" s="43">
        <f>IF($I1715=0,0,$Q1714+$P1715+$O1715)</f>
      </c>
      <c r="R1715" s="43">
        <f>IF($I1715=0,0,$J1715-$M1715-$N1715)</f>
      </c>
    </row>
    <row r="1716">
      <c r="A1716"/>
      <c r="B1716">
        <v>4</v>
      </c>
      <c r="C1716" s="43">
        <f>INDEX(DarlObj,4)</f>
      </c>
      <c r="D1716">
        <v>273</v>
      </c>
      <c r="E1716" s="51">
        <f>IF(INDEX(DarlBelegt,4)=0,0,EOMONTH(INDEX(DarlAuszahlung,4),272)+1)</f>
      </c>
      <c r="F1716" s="43">
        <f>IF($E1716=0,0,YEAR($E1716))</f>
      </c>
      <c r="G1716" s="43">
        <f>IF(INDEX(DarlBindung,4)="",1,IF($E1716&lt;=INDEX(DarlBindung,4),1,0))</f>
      </c>
      <c r="H1716" s="43">
        <f>IF($G1716=1,INDEX(DarlSollzins,4),INDEX(DarlAnschluss,4))</f>
      </c>
      <c r="I1716" s="43">
        <f>IF(INDEX(DarlBelegt,4)=0,0,IF(INDEX(DarlOhneTilgung,4)=1,IF(INDEX(DarlBindung,4)="",1,$G1716),IF($J1716&gt;0.005,1,0)))</f>
      </c>
      <c r="J1716" s="43">
        <f>IF($I1715=0,0,$R1715)</f>
      </c>
      <c r="K1716" s="43">
        <f>IF($I1716=0,0,IF(INDEX(DarlOhneTilgung,4)=1,0,IF(AND(INDEX(DarlTilgStart,4)&gt;0,$E1716=INDEX(DarlTilgStart,4)),$J1716*($H1716+INDEX(DarlTilgung,4))/100/12,IF(AND($G1716=0,$G1715=1),MAX($K1715,$J1716*($H1716+1)/100/12),$K1715))))</f>
      </c>
      <c r="L1716" s="43">
        <f>IF($I1716=0,0,$J1716*$H1716/100/12)</f>
      </c>
      <c r="M1716" s="43">
        <f>IF($I1716=0,0,IF(OR(INDEX(DarlOhneTilgung,4)=1,AND(INDEX(DarlTilgStart,4)&gt;0,$E1716&lt;INDEX(DarlTilgStart,4))),0,MIN(MAX(0,$K1716-$L1716),$J1716)))</f>
      </c>
      <c r="N1716" s="43">
        <f>IF($I1716=0,0,MIN(SUMIFS(SondBetrag,SondDarl,4,SondDatum,"&gt;="&amp;$E1716,SondDatum,"&lt;="&amp;EOMONTH($E1716,0)),$J1716-$M1716))</f>
      </c>
      <c r="O1716" s="43">
        <f>IF($I1716=0,0,INDEX(DarlErsatzRate,4))</f>
      </c>
      <c r="P1716" s="43">
        <f>IF($I1716=0,0,$Q1715*INDEX(DarlErsatzZins,4))</f>
      </c>
      <c r="Q1716" s="43">
        <f>IF($I1716=0,0,$Q1715+$P1716+$O1716)</f>
      </c>
      <c r="R1716" s="43">
        <f>IF($I1716=0,0,$J1716-$M1716-$N1716)</f>
      </c>
    </row>
    <row r="1717">
      <c r="A1717"/>
      <c r="B1717">
        <v>4</v>
      </c>
      <c r="C1717" s="43">
        <f>INDEX(DarlObj,4)</f>
      </c>
      <c r="D1717">
        <v>274</v>
      </c>
      <c r="E1717" s="51">
        <f>IF(INDEX(DarlBelegt,4)=0,0,EOMONTH(INDEX(DarlAuszahlung,4),273)+1)</f>
      </c>
      <c r="F1717" s="43">
        <f>IF($E1717=0,0,YEAR($E1717))</f>
      </c>
      <c r="G1717" s="43">
        <f>IF(INDEX(DarlBindung,4)="",1,IF($E1717&lt;=INDEX(DarlBindung,4),1,0))</f>
      </c>
      <c r="H1717" s="43">
        <f>IF($G1717=1,INDEX(DarlSollzins,4),INDEX(DarlAnschluss,4))</f>
      </c>
      <c r="I1717" s="43">
        <f>IF(INDEX(DarlBelegt,4)=0,0,IF(INDEX(DarlOhneTilgung,4)=1,IF(INDEX(DarlBindung,4)="",1,$G1717),IF($J1717&gt;0.005,1,0)))</f>
      </c>
      <c r="J1717" s="43">
        <f>IF($I1716=0,0,$R1716)</f>
      </c>
      <c r="K1717" s="43">
        <f>IF($I1717=0,0,IF(INDEX(DarlOhneTilgung,4)=1,0,IF(AND(INDEX(DarlTilgStart,4)&gt;0,$E1717=INDEX(DarlTilgStart,4)),$J1717*($H1717+INDEX(DarlTilgung,4))/100/12,IF(AND($G1717=0,$G1716=1),MAX($K1716,$J1717*($H1717+1)/100/12),$K1716))))</f>
      </c>
      <c r="L1717" s="43">
        <f>IF($I1717=0,0,$J1717*$H1717/100/12)</f>
      </c>
      <c r="M1717" s="43">
        <f>IF($I1717=0,0,IF(OR(INDEX(DarlOhneTilgung,4)=1,AND(INDEX(DarlTilgStart,4)&gt;0,$E1717&lt;INDEX(DarlTilgStart,4))),0,MIN(MAX(0,$K1717-$L1717),$J1717)))</f>
      </c>
      <c r="N1717" s="43">
        <f>IF($I1717=0,0,MIN(SUMIFS(SondBetrag,SondDarl,4,SondDatum,"&gt;="&amp;$E1717,SondDatum,"&lt;="&amp;EOMONTH($E1717,0)),$J1717-$M1717))</f>
      </c>
      <c r="O1717" s="43">
        <f>IF($I1717=0,0,INDEX(DarlErsatzRate,4))</f>
      </c>
      <c r="P1717" s="43">
        <f>IF($I1717=0,0,$Q1716*INDEX(DarlErsatzZins,4))</f>
      </c>
      <c r="Q1717" s="43">
        <f>IF($I1717=0,0,$Q1716+$P1717+$O1717)</f>
      </c>
      <c r="R1717" s="43">
        <f>IF($I1717=0,0,$J1717-$M1717-$N1717)</f>
      </c>
    </row>
    <row r="1718">
      <c r="A1718"/>
      <c r="B1718">
        <v>4</v>
      </c>
      <c r="C1718" s="43">
        <f>INDEX(DarlObj,4)</f>
      </c>
      <c r="D1718">
        <v>275</v>
      </c>
      <c r="E1718" s="51">
        <f>IF(INDEX(DarlBelegt,4)=0,0,EOMONTH(INDEX(DarlAuszahlung,4),274)+1)</f>
      </c>
      <c r="F1718" s="43">
        <f>IF($E1718=0,0,YEAR($E1718))</f>
      </c>
      <c r="G1718" s="43">
        <f>IF(INDEX(DarlBindung,4)="",1,IF($E1718&lt;=INDEX(DarlBindung,4),1,0))</f>
      </c>
      <c r="H1718" s="43">
        <f>IF($G1718=1,INDEX(DarlSollzins,4),INDEX(DarlAnschluss,4))</f>
      </c>
      <c r="I1718" s="43">
        <f>IF(INDEX(DarlBelegt,4)=0,0,IF(INDEX(DarlOhneTilgung,4)=1,IF(INDEX(DarlBindung,4)="",1,$G1718),IF($J1718&gt;0.005,1,0)))</f>
      </c>
      <c r="J1718" s="43">
        <f>IF($I1717=0,0,$R1717)</f>
      </c>
      <c r="K1718" s="43">
        <f>IF($I1718=0,0,IF(INDEX(DarlOhneTilgung,4)=1,0,IF(AND(INDEX(DarlTilgStart,4)&gt;0,$E1718=INDEX(DarlTilgStart,4)),$J1718*($H1718+INDEX(DarlTilgung,4))/100/12,IF(AND($G1718=0,$G1717=1),MAX($K1717,$J1718*($H1718+1)/100/12),$K1717))))</f>
      </c>
      <c r="L1718" s="43">
        <f>IF($I1718=0,0,$J1718*$H1718/100/12)</f>
      </c>
      <c r="M1718" s="43">
        <f>IF($I1718=0,0,IF(OR(INDEX(DarlOhneTilgung,4)=1,AND(INDEX(DarlTilgStart,4)&gt;0,$E1718&lt;INDEX(DarlTilgStart,4))),0,MIN(MAX(0,$K1718-$L1718),$J1718)))</f>
      </c>
      <c r="N1718" s="43">
        <f>IF($I1718=0,0,MIN(SUMIFS(SondBetrag,SondDarl,4,SondDatum,"&gt;="&amp;$E1718,SondDatum,"&lt;="&amp;EOMONTH($E1718,0)),$J1718-$M1718))</f>
      </c>
      <c r="O1718" s="43">
        <f>IF($I1718=0,0,INDEX(DarlErsatzRate,4))</f>
      </c>
      <c r="P1718" s="43">
        <f>IF($I1718=0,0,$Q1717*INDEX(DarlErsatzZins,4))</f>
      </c>
      <c r="Q1718" s="43">
        <f>IF($I1718=0,0,$Q1717+$P1718+$O1718)</f>
      </c>
      <c r="R1718" s="43">
        <f>IF($I1718=0,0,$J1718-$M1718-$N1718)</f>
      </c>
    </row>
    <row r="1719">
      <c r="A1719"/>
      <c r="B1719">
        <v>4</v>
      </c>
      <c r="C1719" s="43">
        <f>INDEX(DarlObj,4)</f>
      </c>
      <c r="D1719">
        <v>276</v>
      </c>
      <c r="E1719" s="51">
        <f>IF(INDEX(DarlBelegt,4)=0,0,EOMONTH(INDEX(DarlAuszahlung,4),275)+1)</f>
      </c>
      <c r="F1719" s="43">
        <f>IF($E1719=0,0,YEAR($E1719))</f>
      </c>
      <c r="G1719" s="43">
        <f>IF(INDEX(DarlBindung,4)="",1,IF($E1719&lt;=INDEX(DarlBindung,4),1,0))</f>
      </c>
      <c r="H1719" s="43">
        <f>IF($G1719=1,INDEX(DarlSollzins,4),INDEX(DarlAnschluss,4))</f>
      </c>
      <c r="I1719" s="43">
        <f>IF(INDEX(DarlBelegt,4)=0,0,IF(INDEX(DarlOhneTilgung,4)=1,IF(INDEX(DarlBindung,4)="",1,$G1719),IF($J1719&gt;0.005,1,0)))</f>
      </c>
      <c r="J1719" s="43">
        <f>IF($I1718=0,0,$R1718)</f>
      </c>
      <c r="K1719" s="43">
        <f>IF($I1719=0,0,IF(INDEX(DarlOhneTilgung,4)=1,0,IF(AND(INDEX(DarlTilgStart,4)&gt;0,$E1719=INDEX(DarlTilgStart,4)),$J1719*($H1719+INDEX(DarlTilgung,4))/100/12,IF(AND($G1719=0,$G1718=1),MAX($K1718,$J1719*($H1719+1)/100/12),$K1718))))</f>
      </c>
      <c r="L1719" s="43">
        <f>IF($I1719=0,0,$J1719*$H1719/100/12)</f>
      </c>
      <c r="M1719" s="43">
        <f>IF($I1719=0,0,IF(OR(INDEX(DarlOhneTilgung,4)=1,AND(INDEX(DarlTilgStart,4)&gt;0,$E1719&lt;INDEX(DarlTilgStart,4))),0,MIN(MAX(0,$K1719-$L1719),$J1719)))</f>
      </c>
      <c r="N1719" s="43">
        <f>IF($I1719=0,0,MIN(SUMIFS(SondBetrag,SondDarl,4,SondDatum,"&gt;="&amp;$E1719,SondDatum,"&lt;="&amp;EOMONTH($E1719,0)),$J1719-$M1719))</f>
      </c>
      <c r="O1719" s="43">
        <f>IF($I1719=0,0,INDEX(DarlErsatzRate,4))</f>
      </c>
      <c r="P1719" s="43">
        <f>IF($I1719=0,0,$Q1718*INDEX(DarlErsatzZins,4))</f>
      </c>
      <c r="Q1719" s="43">
        <f>IF($I1719=0,0,$Q1718+$P1719+$O1719)</f>
      </c>
      <c r="R1719" s="43">
        <f>IF($I1719=0,0,$J1719-$M1719-$N1719)</f>
      </c>
    </row>
    <row r="1720">
      <c r="A1720"/>
      <c r="B1720">
        <v>4</v>
      </c>
      <c r="C1720" s="43">
        <f>INDEX(DarlObj,4)</f>
      </c>
      <c r="D1720">
        <v>277</v>
      </c>
      <c r="E1720" s="51">
        <f>IF(INDEX(DarlBelegt,4)=0,0,EOMONTH(INDEX(DarlAuszahlung,4),276)+1)</f>
      </c>
      <c r="F1720" s="43">
        <f>IF($E1720=0,0,YEAR($E1720))</f>
      </c>
      <c r="G1720" s="43">
        <f>IF(INDEX(DarlBindung,4)="",1,IF($E1720&lt;=INDEX(DarlBindung,4),1,0))</f>
      </c>
      <c r="H1720" s="43">
        <f>IF($G1720=1,INDEX(DarlSollzins,4),INDEX(DarlAnschluss,4))</f>
      </c>
      <c r="I1720" s="43">
        <f>IF(INDEX(DarlBelegt,4)=0,0,IF(INDEX(DarlOhneTilgung,4)=1,IF(INDEX(DarlBindung,4)="",1,$G1720),IF($J1720&gt;0.005,1,0)))</f>
      </c>
      <c r="J1720" s="43">
        <f>IF($I1719=0,0,$R1719)</f>
      </c>
      <c r="K1720" s="43">
        <f>IF($I1720=0,0,IF(INDEX(DarlOhneTilgung,4)=1,0,IF(AND(INDEX(DarlTilgStart,4)&gt;0,$E1720=INDEX(DarlTilgStart,4)),$J1720*($H1720+INDEX(DarlTilgung,4))/100/12,IF(AND($G1720=0,$G1719=1),MAX($K1719,$J1720*($H1720+1)/100/12),$K1719))))</f>
      </c>
      <c r="L1720" s="43">
        <f>IF($I1720=0,0,$J1720*$H1720/100/12)</f>
      </c>
      <c r="M1720" s="43">
        <f>IF($I1720=0,0,IF(OR(INDEX(DarlOhneTilgung,4)=1,AND(INDEX(DarlTilgStart,4)&gt;0,$E1720&lt;INDEX(DarlTilgStart,4))),0,MIN(MAX(0,$K1720-$L1720),$J1720)))</f>
      </c>
      <c r="N1720" s="43">
        <f>IF($I1720=0,0,MIN(SUMIFS(SondBetrag,SondDarl,4,SondDatum,"&gt;="&amp;$E1720,SondDatum,"&lt;="&amp;EOMONTH($E1720,0)),$J1720-$M1720))</f>
      </c>
      <c r="O1720" s="43">
        <f>IF($I1720=0,0,INDEX(DarlErsatzRate,4))</f>
      </c>
      <c r="P1720" s="43">
        <f>IF($I1720=0,0,$Q1719*INDEX(DarlErsatzZins,4))</f>
      </c>
      <c r="Q1720" s="43">
        <f>IF($I1720=0,0,$Q1719+$P1720+$O1720)</f>
      </c>
      <c r="R1720" s="43">
        <f>IF($I1720=0,0,$J1720-$M1720-$N1720)</f>
      </c>
    </row>
    <row r="1721">
      <c r="A1721"/>
      <c r="B1721">
        <v>4</v>
      </c>
      <c r="C1721" s="43">
        <f>INDEX(DarlObj,4)</f>
      </c>
      <c r="D1721">
        <v>278</v>
      </c>
      <c r="E1721" s="51">
        <f>IF(INDEX(DarlBelegt,4)=0,0,EOMONTH(INDEX(DarlAuszahlung,4),277)+1)</f>
      </c>
      <c r="F1721" s="43">
        <f>IF($E1721=0,0,YEAR($E1721))</f>
      </c>
      <c r="G1721" s="43">
        <f>IF(INDEX(DarlBindung,4)="",1,IF($E1721&lt;=INDEX(DarlBindung,4),1,0))</f>
      </c>
      <c r="H1721" s="43">
        <f>IF($G1721=1,INDEX(DarlSollzins,4),INDEX(DarlAnschluss,4))</f>
      </c>
      <c r="I1721" s="43">
        <f>IF(INDEX(DarlBelegt,4)=0,0,IF(INDEX(DarlOhneTilgung,4)=1,IF(INDEX(DarlBindung,4)="",1,$G1721),IF($J1721&gt;0.005,1,0)))</f>
      </c>
      <c r="J1721" s="43">
        <f>IF($I1720=0,0,$R1720)</f>
      </c>
      <c r="K1721" s="43">
        <f>IF($I1721=0,0,IF(INDEX(DarlOhneTilgung,4)=1,0,IF(AND(INDEX(DarlTilgStart,4)&gt;0,$E1721=INDEX(DarlTilgStart,4)),$J1721*($H1721+INDEX(DarlTilgung,4))/100/12,IF(AND($G1721=0,$G1720=1),MAX($K1720,$J1721*($H1721+1)/100/12),$K1720))))</f>
      </c>
      <c r="L1721" s="43">
        <f>IF($I1721=0,0,$J1721*$H1721/100/12)</f>
      </c>
      <c r="M1721" s="43">
        <f>IF($I1721=0,0,IF(OR(INDEX(DarlOhneTilgung,4)=1,AND(INDEX(DarlTilgStart,4)&gt;0,$E1721&lt;INDEX(DarlTilgStart,4))),0,MIN(MAX(0,$K1721-$L1721),$J1721)))</f>
      </c>
      <c r="N1721" s="43">
        <f>IF($I1721=0,0,MIN(SUMIFS(SondBetrag,SondDarl,4,SondDatum,"&gt;="&amp;$E1721,SondDatum,"&lt;="&amp;EOMONTH($E1721,0)),$J1721-$M1721))</f>
      </c>
      <c r="O1721" s="43">
        <f>IF($I1721=0,0,INDEX(DarlErsatzRate,4))</f>
      </c>
      <c r="P1721" s="43">
        <f>IF($I1721=0,0,$Q1720*INDEX(DarlErsatzZins,4))</f>
      </c>
      <c r="Q1721" s="43">
        <f>IF($I1721=0,0,$Q1720+$P1721+$O1721)</f>
      </c>
      <c r="R1721" s="43">
        <f>IF($I1721=0,0,$J1721-$M1721-$N1721)</f>
      </c>
    </row>
    <row r="1722">
      <c r="A1722"/>
      <c r="B1722">
        <v>4</v>
      </c>
      <c r="C1722" s="43">
        <f>INDEX(DarlObj,4)</f>
      </c>
      <c r="D1722">
        <v>279</v>
      </c>
      <c r="E1722" s="51">
        <f>IF(INDEX(DarlBelegt,4)=0,0,EOMONTH(INDEX(DarlAuszahlung,4),278)+1)</f>
      </c>
      <c r="F1722" s="43">
        <f>IF($E1722=0,0,YEAR($E1722))</f>
      </c>
      <c r="G1722" s="43">
        <f>IF(INDEX(DarlBindung,4)="",1,IF($E1722&lt;=INDEX(DarlBindung,4),1,0))</f>
      </c>
      <c r="H1722" s="43">
        <f>IF($G1722=1,INDEX(DarlSollzins,4),INDEX(DarlAnschluss,4))</f>
      </c>
      <c r="I1722" s="43">
        <f>IF(INDEX(DarlBelegt,4)=0,0,IF(INDEX(DarlOhneTilgung,4)=1,IF(INDEX(DarlBindung,4)="",1,$G1722),IF($J1722&gt;0.005,1,0)))</f>
      </c>
      <c r="J1722" s="43">
        <f>IF($I1721=0,0,$R1721)</f>
      </c>
      <c r="K1722" s="43">
        <f>IF($I1722=0,0,IF(INDEX(DarlOhneTilgung,4)=1,0,IF(AND(INDEX(DarlTilgStart,4)&gt;0,$E1722=INDEX(DarlTilgStart,4)),$J1722*($H1722+INDEX(DarlTilgung,4))/100/12,IF(AND($G1722=0,$G1721=1),MAX($K1721,$J1722*($H1722+1)/100/12),$K1721))))</f>
      </c>
      <c r="L1722" s="43">
        <f>IF($I1722=0,0,$J1722*$H1722/100/12)</f>
      </c>
      <c r="M1722" s="43">
        <f>IF($I1722=0,0,IF(OR(INDEX(DarlOhneTilgung,4)=1,AND(INDEX(DarlTilgStart,4)&gt;0,$E1722&lt;INDEX(DarlTilgStart,4))),0,MIN(MAX(0,$K1722-$L1722),$J1722)))</f>
      </c>
      <c r="N1722" s="43">
        <f>IF($I1722=0,0,MIN(SUMIFS(SondBetrag,SondDarl,4,SondDatum,"&gt;="&amp;$E1722,SondDatum,"&lt;="&amp;EOMONTH($E1722,0)),$J1722-$M1722))</f>
      </c>
      <c r="O1722" s="43">
        <f>IF($I1722=0,0,INDEX(DarlErsatzRate,4))</f>
      </c>
      <c r="P1722" s="43">
        <f>IF($I1722=0,0,$Q1721*INDEX(DarlErsatzZins,4))</f>
      </c>
      <c r="Q1722" s="43">
        <f>IF($I1722=0,0,$Q1721+$P1722+$O1722)</f>
      </c>
      <c r="R1722" s="43">
        <f>IF($I1722=0,0,$J1722-$M1722-$N1722)</f>
      </c>
    </row>
    <row r="1723">
      <c r="A1723"/>
      <c r="B1723">
        <v>4</v>
      </c>
      <c r="C1723" s="43">
        <f>INDEX(DarlObj,4)</f>
      </c>
      <c r="D1723">
        <v>280</v>
      </c>
      <c r="E1723" s="51">
        <f>IF(INDEX(DarlBelegt,4)=0,0,EOMONTH(INDEX(DarlAuszahlung,4),279)+1)</f>
      </c>
      <c r="F1723" s="43">
        <f>IF($E1723=0,0,YEAR($E1723))</f>
      </c>
      <c r="G1723" s="43">
        <f>IF(INDEX(DarlBindung,4)="",1,IF($E1723&lt;=INDEX(DarlBindung,4),1,0))</f>
      </c>
      <c r="H1723" s="43">
        <f>IF($G1723=1,INDEX(DarlSollzins,4),INDEX(DarlAnschluss,4))</f>
      </c>
      <c r="I1723" s="43">
        <f>IF(INDEX(DarlBelegt,4)=0,0,IF(INDEX(DarlOhneTilgung,4)=1,IF(INDEX(DarlBindung,4)="",1,$G1723),IF($J1723&gt;0.005,1,0)))</f>
      </c>
      <c r="J1723" s="43">
        <f>IF($I1722=0,0,$R1722)</f>
      </c>
      <c r="K1723" s="43">
        <f>IF($I1723=0,0,IF(INDEX(DarlOhneTilgung,4)=1,0,IF(AND(INDEX(DarlTilgStart,4)&gt;0,$E1723=INDEX(DarlTilgStart,4)),$J1723*($H1723+INDEX(DarlTilgung,4))/100/12,IF(AND($G1723=0,$G1722=1),MAX($K1722,$J1723*($H1723+1)/100/12),$K1722))))</f>
      </c>
      <c r="L1723" s="43">
        <f>IF($I1723=0,0,$J1723*$H1723/100/12)</f>
      </c>
      <c r="M1723" s="43">
        <f>IF($I1723=0,0,IF(OR(INDEX(DarlOhneTilgung,4)=1,AND(INDEX(DarlTilgStart,4)&gt;0,$E1723&lt;INDEX(DarlTilgStart,4))),0,MIN(MAX(0,$K1723-$L1723),$J1723)))</f>
      </c>
      <c r="N1723" s="43">
        <f>IF($I1723=0,0,MIN(SUMIFS(SondBetrag,SondDarl,4,SondDatum,"&gt;="&amp;$E1723,SondDatum,"&lt;="&amp;EOMONTH($E1723,0)),$J1723-$M1723))</f>
      </c>
      <c r="O1723" s="43">
        <f>IF($I1723=0,0,INDEX(DarlErsatzRate,4))</f>
      </c>
      <c r="P1723" s="43">
        <f>IF($I1723=0,0,$Q1722*INDEX(DarlErsatzZins,4))</f>
      </c>
      <c r="Q1723" s="43">
        <f>IF($I1723=0,0,$Q1722+$P1723+$O1723)</f>
      </c>
      <c r="R1723" s="43">
        <f>IF($I1723=0,0,$J1723-$M1723-$N1723)</f>
      </c>
    </row>
    <row r="1724">
      <c r="A1724"/>
      <c r="B1724">
        <v>4</v>
      </c>
      <c r="C1724" s="43">
        <f>INDEX(DarlObj,4)</f>
      </c>
      <c r="D1724">
        <v>281</v>
      </c>
      <c r="E1724" s="51">
        <f>IF(INDEX(DarlBelegt,4)=0,0,EOMONTH(INDEX(DarlAuszahlung,4),280)+1)</f>
      </c>
      <c r="F1724" s="43">
        <f>IF($E1724=0,0,YEAR($E1724))</f>
      </c>
      <c r="G1724" s="43">
        <f>IF(INDEX(DarlBindung,4)="",1,IF($E1724&lt;=INDEX(DarlBindung,4),1,0))</f>
      </c>
      <c r="H1724" s="43">
        <f>IF($G1724=1,INDEX(DarlSollzins,4),INDEX(DarlAnschluss,4))</f>
      </c>
      <c r="I1724" s="43">
        <f>IF(INDEX(DarlBelegt,4)=0,0,IF(INDEX(DarlOhneTilgung,4)=1,IF(INDEX(DarlBindung,4)="",1,$G1724),IF($J1724&gt;0.005,1,0)))</f>
      </c>
      <c r="J1724" s="43">
        <f>IF($I1723=0,0,$R1723)</f>
      </c>
      <c r="K1724" s="43">
        <f>IF($I1724=0,0,IF(INDEX(DarlOhneTilgung,4)=1,0,IF(AND(INDEX(DarlTilgStart,4)&gt;0,$E1724=INDEX(DarlTilgStart,4)),$J1724*($H1724+INDEX(DarlTilgung,4))/100/12,IF(AND($G1724=0,$G1723=1),MAX($K1723,$J1724*($H1724+1)/100/12),$K1723))))</f>
      </c>
      <c r="L1724" s="43">
        <f>IF($I1724=0,0,$J1724*$H1724/100/12)</f>
      </c>
      <c r="M1724" s="43">
        <f>IF($I1724=0,0,IF(OR(INDEX(DarlOhneTilgung,4)=1,AND(INDEX(DarlTilgStart,4)&gt;0,$E1724&lt;INDEX(DarlTilgStart,4))),0,MIN(MAX(0,$K1724-$L1724),$J1724)))</f>
      </c>
      <c r="N1724" s="43">
        <f>IF($I1724=0,0,MIN(SUMIFS(SondBetrag,SondDarl,4,SondDatum,"&gt;="&amp;$E1724,SondDatum,"&lt;="&amp;EOMONTH($E1724,0)),$J1724-$M1724))</f>
      </c>
      <c r="O1724" s="43">
        <f>IF($I1724=0,0,INDEX(DarlErsatzRate,4))</f>
      </c>
      <c r="P1724" s="43">
        <f>IF($I1724=0,0,$Q1723*INDEX(DarlErsatzZins,4))</f>
      </c>
      <c r="Q1724" s="43">
        <f>IF($I1724=0,0,$Q1723+$P1724+$O1724)</f>
      </c>
      <c r="R1724" s="43">
        <f>IF($I1724=0,0,$J1724-$M1724-$N1724)</f>
      </c>
    </row>
    <row r="1725">
      <c r="A1725"/>
      <c r="B1725">
        <v>4</v>
      </c>
      <c r="C1725" s="43">
        <f>INDEX(DarlObj,4)</f>
      </c>
      <c r="D1725">
        <v>282</v>
      </c>
      <c r="E1725" s="51">
        <f>IF(INDEX(DarlBelegt,4)=0,0,EOMONTH(INDEX(DarlAuszahlung,4),281)+1)</f>
      </c>
      <c r="F1725" s="43">
        <f>IF($E1725=0,0,YEAR($E1725))</f>
      </c>
      <c r="G1725" s="43">
        <f>IF(INDEX(DarlBindung,4)="",1,IF($E1725&lt;=INDEX(DarlBindung,4),1,0))</f>
      </c>
      <c r="H1725" s="43">
        <f>IF($G1725=1,INDEX(DarlSollzins,4),INDEX(DarlAnschluss,4))</f>
      </c>
      <c r="I1725" s="43">
        <f>IF(INDEX(DarlBelegt,4)=0,0,IF(INDEX(DarlOhneTilgung,4)=1,IF(INDEX(DarlBindung,4)="",1,$G1725),IF($J1725&gt;0.005,1,0)))</f>
      </c>
      <c r="J1725" s="43">
        <f>IF($I1724=0,0,$R1724)</f>
      </c>
      <c r="K1725" s="43">
        <f>IF($I1725=0,0,IF(INDEX(DarlOhneTilgung,4)=1,0,IF(AND(INDEX(DarlTilgStart,4)&gt;0,$E1725=INDEX(DarlTilgStart,4)),$J1725*($H1725+INDEX(DarlTilgung,4))/100/12,IF(AND($G1725=0,$G1724=1),MAX($K1724,$J1725*($H1725+1)/100/12),$K1724))))</f>
      </c>
      <c r="L1725" s="43">
        <f>IF($I1725=0,0,$J1725*$H1725/100/12)</f>
      </c>
      <c r="M1725" s="43">
        <f>IF($I1725=0,0,IF(OR(INDEX(DarlOhneTilgung,4)=1,AND(INDEX(DarlTilgStart,4)&gt;0,$E1725&lt;INDEX(DarlTilgStart,4))),0,MIN(MAX(0,$K1725-$L1725),$J1725)))</f>
      </c>
      <c r="N1725" s="43">
        <f>IF($I1725=0,0,MIN(SUMIFS(SondBetrag,SondDarl,4,SondDatum,"&gt;="&amp;$E1725,SondDatum,"&lt;="&amp;EOMONTH($E1725,0)),$J1725-$M1725))</f>
      </c>
      <c r="O1725" s="43">
        <f>IF($I1725=0,0,INDEX(DarlErsatzRate,4))</f>
      </c>
      <c r="P1725" s="43">
        <f>IF($I1725=0,0,$Q1724*INDEX(DarlErsatzZins,4))</f>
      </c>
      <c r="Q1725" s="43">
        <f>IF($I1725=0,0,$Q1724+$P1725+$O1725)</f>
      </c>
      <c r="R1725" s="43">
        <f>IF($I1725=0,0,$J1725-$M1725-$N1725)</f>
      </c>
    </row>
    <row r="1726">
      <c r="A1726"/>
      <c r="B1726">
        <v>4</v>
      </c>
      <c r="C1726" s="43">
        <f>INDEX(DarlObj,4)</f>
      </c>
      <c r="D1726">
        <v>283</v>
      </c>
      <c r="E1726" s="51">
        <f>IF(INDEX(DarlBelegt,4)=0,0,EOMONTH(INDEX(DarlAuszahlung,4),282)+1)</f>
      </c>
      <c r="F1726" s="43">
        <f>IF($E1726=0,0,YEAR($E1726))</f>
      </c>
      <c r="G1726" s="43">
        <f>IF(INDEX(DarlBindung,4)="",1,IF($E1726&lt;=INDEX(DarlBindung,4),1,0))</f>
      </c>
      <c r="H1726" s="43">
        <f>IF($G1726=1,INDEX(DarlSollzins,4),INDEX(DarlAnschluss,4))</f>
      </c>
      <c r="I1726" s="43">
        <f>IF(INDEX(DarlBelegt,4)=0,0,IF(INDEX(DarlOhneTilgung,4)=1,IF(INDEX(DarlBindung,4)="",1,$G1726),IF($J1726&gt;0.005,1,0)))</f>
      </c>
      <c r="J1726" s="43">
        <f>IF($I1725=0,0,$R1725)</f>
      </c>
      <c r="K1726" s="43">
        <f>IF($I1726=0,0,IF(INDEX(DarlOhneTilgung,4)=1,0,IF(AND(INDEX(DarlTilgStart,4)&gt;0,$E1726=INDEX(DarlTilgStart,4)),$J1726*($H1726+INDEX(DarlTilgung,4))/100/12,IF(AND($G1726=0,$G1725=1),MAX($K1725,$J1726*($H1726+1)/100/12),$K1725))))</f>
      </c>
      <c r="L1726" s="43">
        <f>IF($I1726=0,0,$J1726*$H1726/100/12)</f>
      </c>
      <c r="M1726" s="43">
        <f>IF($I1726=0,0,IF(OR(INDEX(DarlOhneTilgung,4)=1,AND(INDEX(DarlTilgStart,4)&gt;0,$E1726&lt;INDEX(DarlTilgStart,4))),0,MIN(MAX(0,$K1726-$L1726),$J1726)))</f>
      </c>
      <c r="N1726" s="43">
        <f>IF($I1726=0,0,MIN(SUMIFS(SondBetrag,SondDarl,4,SondDatum,"&gt;="&amp;$E1726,SondDatum,"&lt;="&amp;EOMONTH($E1726,0)),$J1726-$M1726))</f>
      </c>
      <c r="O1726" s="43">
        <f>IF($I1726=0,0,INDEX(DarlErsatzRate,4))</f>
      </c>
      <c r="P1726" s="43">
        <f>IF($I1726=0,0,$Q1725*INDEX(DarlErsatzZins,4))</f>
      </c>
      <c r="Q1726" s="43">
        <f>IF($I1726=0,0,$Q1725+$P1726+$O1726)</f>
      </c>
      <c r="R1726" s="43">
        <f>IF($I1726=0,0,$J1726-$M1726-$N1726)</f>
      </c>
    </row>
    <row r="1727">
      <c r="A1727"/>
      <c r="B1727">
        <v>4</v>
      </c>
      <c r="C1727" s="43">
        <f>INDEX(DarlObj,4)</f>
      </c>
      <c r="D1727">
        <v>284</v>
      </c>
      <c r="E1727" s="51">
        <f>IF(INDEX(DarlBelegt,4)=0,0,EOMONTH(INDEX(DarlAuszahlung,4),283)+1)</f>
      </c>
      <c r="F1727" s="43">
        <f>IF($E1727=0,0,YEAR($E1727))</f>
      </c>
      <c r="G1727" s="43">
        <f>IF(INDEX(DarlBindung,4)="",1,IF($E1727&lt;=INDEX(DarlBindung,4),1,0))</f>
      </c>
      <c r="H1727" s="43">
        <f>IF($G1727=1,INDEX(DarlSollzins,4),INDEX(DarlAnschluss,4))</f>
      </c>
      <c r="I1727" s="43">
        <f>IF(INDEX(DarlBelegt,4)=0,0,IF(INDEX(DarlOhneTilgung,4)=1,IF(INDEX(DarlBindung,4)="",1,$G1727),IF($J1727&gt;0.005,1,0)))</f>
      </c>
      <c r="J1727" s="43">
        <f>IF($I1726=0,0,$R1726)</f>
      </c>
      <c r="K1727" s="43">
        <f>IF($I1727=0,0,IF(INDEX(DarlOhneTilgung,4)=1,0,IF(AND(INDEX(DarlTilgStart,4)&gt;0,$E1727=INDEX(DarlTilgStart,4)),$J1727*($H1727+INDEX(DarlTilgung,4))/100/12,IF(AND($G1727=0,$G1726=1),MAX($K1726,$J1727*($H1727+1)/100/12),$K1726))))</f>
      </c>
      <c r="L1727" s="43">
        <f>IF($I1727=0,0,$J1727*$H1727/100/12)</f>
      </c>
      <c r="M1727" s="43">
        <f>IF($I1727=0,0,IF(OR(INDEX(DarlOhneTilgung,4)=1,AND(INDEX(DarlTilgStart,4)&gt;0,$E1727&lt;INDEX(DarlTilgStart,4))),0,MIN(MAX(0,$K1727-$L1727),$J1727)))</f>
      </c>
      <c r="N1727" s="43">
        <f>IF($I1727=0,0,MIN(SUMIFS(SondBetrag,SondDarl,4,SondDatum,"&gt;="&amp;$E1727,SondDatum,"&lt;="&amp;EOMONTH($E1727,0)),$J1727-$M1727))</f>
      </c>
      <c r="O1727" s="43">
        <f>IF($I1727=0,0,INDEX(DarlErsatzRate,4))</f>
      </c>
      <c r="P1727" s="43">
        <f>IF($I1727=0,0,$Q1726*INDEX(DarlErsatzZins,4))</f>
      </c>
      <c r="Q1727" s="43">
        <f>IF($I1727=0,0,$Q1726+$P1727+$O1727)</f>
      </c>
      <c r="R1727" s="43">
        <f>IF($I1727=0,0,$J1727-$M1727-$N1727)</f>
      </c>
    </row>
    <row r="1728">
      <c r="A1728"/>
      <c r="B1728">
        <v>4</v>
      </c>
      <c r="C1728" s="43">
        <f>INDEX(DarlObj,4)</f>
      </c>
      <c r="D1728">
        <v>285</v>
      </c>
      <c r="E1728" s="51">
        <f>IF(INDEX(DarlBelegt,4)=0,0,EOMONTH(INDEX(DarlAuszahlung,4),284)+1)</f>
      </c>
      <c r="F1728" s="43">
        <f>IF($E1728=0,0,YEAR($E1728))</f>
      </c>
      <c r="G1728" s="43">
        <f>IF(INDEX(DarlBindung,4)="",1,IF($E1728&lt;=INDEX(DarlBindung,4),1,0))</f>
      </c>
      <c r="H1728" s="43">
        <f>IF($G1728=1,INDEX(DarlSollzins,4),INDEX(DarlAnschluss,4))</f>
      </c>
      <c r="I1728" s="43">
        <f>IF(INDEX(DarlBelegt,4)=0,0,IF(INDEX(DarlOhneTilgung,4)=1,IF(INDEX(DarlBindung,4)="",1,$G1728),IF($J1728&gt;0.005,1,0)))</f>
      </c>
      <c r="J1728" s="43">
        <f>IF($I1727=0,0,$R1727)</f>
      </c>
      <c r="K1728" s="43">
        <f>IF($I1728=0,0,IF(INDEX(DarlOhneTilgung,4)=1,0,IF(AND(INDEX(DarlTilgStart,4)&gt;0,$E1728=INDEX(DarlTilgStart,4)),$J1728*($H1728+INDEX(DarlTilgung,4))/100/12,IF(AND($G1728=0,$G1727=1),MAX($K1727,$J1728*($H1728+1)/100/12),$K1727))))</f>
      </c>
      <c r="L1728" s="43">
        <f>IF($I1728=0,0,$J1728*$H1728/100/12)</f>
      </c>
      <c r="M1728" s="43">
        <f>IF($I1728=0,0,IF(OR(INDEX(DarlOhneTilgung,4)=1,AND(INDEX(DarlTilgStart,4)&gt;0,$E1728&lt;INDEX(DarlTilgStart,4))),0,MIN(MAX(0,$K1728-$L1728),$J1728)))</f>
      </c>
      <c r="N1728" s="43">
        <f>IF($I1728=0,0,MIN(SUMIFS(SondBetrag,SondDarl,4,SondDatum,"&gt;="&amp;$E1728,SondDatum,"&lt;="&amp;EOMONTH($E1728,0)),$J1728-$M1728))</f>
      </c>
      <c r="O1728" s="43">
        <f>IF($I1728=0,0,INDEX(DarlErsatzRate,4))</f>
      </c>
      <c r="P1728" s="43">
        <f>IF($I1728=0,0,$Q1727*INDEX(DarlErsatzZins,4))</f>
      </c>
      <c r="Q1728" s="43">
        <f>IF($I1728=0,0,$Q1727+$P1728+$O1728)</f>
      </c>
      <c r="R1728" s="43">
        <f>IF($I1728=0,0,$J1728-$M1728-$N1728)</f>
      </c>
    </row>
    <row r="1729">
      <c r="A1729"/>
      <c r="B1729">
        <v>4</v>
      </c>
      <c r="C1729" s="43">
        <f>INDEX(DarlObj,4)</f>
      </c>
      <c r="D1729">
        <v>286</v>
      </c>
      <c r="E1729" s="51">
        <f>IF(INDEX(DarlBelegt,4)=0,0,EOMONTH(INDEX(DarlAuszahlung,4),285)+1)</f>
      </c>
      <c r="F1729" s="43">
        <f>IF($E1729=0,0,YEAR($E1729))</f>
      </c>
      <c r="G1729" s="43">
        <f>IF(INDEX(DarlBindung,4)="",1,IF($E1729&lt;=INDEX(DarlBindung,4),1,0))</f>
      </c>
      <c r="H1729" s="43">
        <f>IF($G1729=1,INDEX(DarlSollzins,4),INDEX(DarlAnschluss,4))</f>
      </c>
      <c r="I1729" s="43">
        <f>IF(INDEX(DarlBelegt,4)=0,0,IF(INDEX(DarlOhneTilgung,4)=1,IF(INDEX(DarlBindung,4)="",1,$G1729),IF($J1729&gt;0.005,1,0)))</f>
      </c>
      <c r="J1729" s="43">
        <f>IF($I1728=0,0,$R1728)</f>
      </c>
      <c r="K1729" s="43">
        <f>IF($I1729=0,0,IF(INDEX(DarlOhneTilgung,4)=1,0,IF(AND(INDEX(DarlTilgStart,4)&gt;0,$E1729=INDEX(DarlTilgStart,4)),$J1729*($H1729+INDEX(DarlTilgung,4))/100/12,IF(AND($G1729=0,$G1728=1),MAX($K1728,$J1729*($H1729+1)/100/12),$K1728))))</f>
      </c>
      <c r="L1729" s="43">
        <f>IF($I1729=0,0,$J1729*$H1729/100/12)</f>
      </c>
      <c r="M1729" s="43">
        <f>IF($I1729=0,0,IF(OR(INDEX(DarlOhneTilgung,4)=1,AND(INDEX(DarlTilgStart,4)&gt;0,$E1729&lt;INDEX(DarlTilgStart,4))),0,MIN(MAX(0,$K1729-$L1729),$J1729)))</f>
      </c>
      <c r="N1729" s="43">
        <f>IF($I1729=0,0,MIN(SUMIFS(SondBetrag,SondDarl,4,SondDatum,"&gt;="&amp;$E1729,SondDatum,"&lt;="&amp;EOMONTH($E1729,0)),$J1729-$M1729))</f>
      </c>
      <c r="O1729" s="43">
        <f>IF($I1729=0,0,INDEX(DarlErsatzRate,4))</f>
      </c>
      <c r="P1729" s="43">
        <f>IF($I1729=0,0,$Q1728*INDEX(DarlErsatzZins,4))</f>
      </c>
      <c r="Q1729" s="43">
        <f>IF($I1729=0,0,$Q1728+$P1729+$O1729)</f>
      </c>
      <c r="R1729" s="43">
        <f>IF($I1729=0,0,$J1729-$M1729-$N1729)</f>
      </c>
    </row>
    <row r="1730">
      <c r="A1730"/>
      <c r="B1730">
        <v>4</v>
      </c>
      <c r="C1730" s="43">
        <f>INDEX(DarlObj,4)</f>
      </c>
      <c r="D1730">
        <v>287</v>
      </c>
      <c r="E1730" s="51">
        <f>IF(INDEX(DarlBelegt,4)=0,0,EOMONTH(INDEX(DarlAuszahlung,4),286)+1)</f>
      </c>
      <c r="F1730" s="43">
        <f>IF($E1730=0,0,YEAR($E1730))</f>
      </c>
      <c r="G1730" s="43">
        <f>IF(INDEX(DarlBindung,4)="",1,IF($E1730&lt;=INDEX(DarlBindung,4),1,0))</f>
      </c>
      <c r="H1730" s="43">
        <f>IF($G1730=1,INDEX(DarlSollzins,4),INDEX(DarlAnschluss,4))</f>
      </c>
      <c r="I1730" s="43">
        <f>IF(INDEX(DarlBelegt,4)=0,0,IF(INDEX(DarlOhneTilgung,4)=1,IF(INDEX(DarlBindung,4)="",1,$G1730),IF($J1730&gt;0.005,1,0)))</f>
      </c>
      <c r="J1730" s="43">
        <f>IF($I1729=0,0,$R1729)</f>
      </c>
      <c r="K1730" s="43">
        <f>IF($I1730=0,0,IF(INDEX(DarlOhneTilgung,4)=1,0,IF(AND(INDEX(DarlTilgStart,4)&gt;0,$E1730=INDEX(DarlTilgStart,4)),$J1730*($H1730+INDEX(DarlTilgung,4))/100/12,IF(AND($G1730=0,$G1729=1),MAX($K1729,$J1730*($H1730+1)/100/12),$K1729))))</f>
      </c>
      <c r="L1730" s="43">
        <f>IF($I1730=0,0,$J1730*$H1730/100/12)</f>
      </c>
      <c r="M1730" s="43">
        <f>IF($I1730=0,0,IF(OR(INDEX(DarlOhneTilgung,4)=1,AND(INDEX(DarlTilgStart,4)&gt;0,$E1730&lt;INDEX(DarlTilgStart,4))),0,MIN(MAX(0,$K1730-$L1730),$J1730)))</f>
      </c>
      <c r="N1730" s="43">
        <f>IF($I1730=0,0,MIN(SUMIFS(SondBetrag,SondDarl,4,SondDatum,"&gt;="&amp;$E1730,SondDatum,"&lt;="&amp;EOMONTH($E1730,0)),$J1730-$M1730))</f>
      </c>
      <c r="O1730" s="43">
        <f>IF($I1730=0,0,INDEX(DarlErsatzRate,4))</f>
      </c>
      <c r="P1730" s="43">
        <f>IF($I1730=0,0,$Q1729*INDEX(DarlErsatzZins,4))</f>
      </c>
      <c r="Q1730" s="43">
        <f>IF($I1730=0,0,$Q1729+$P1730+$O1730)</f>
      </c>
      <c r="R1730" s="43">
        <f>IF($I1730=0,0,$J1730-$M1730-$N1730)</f>
      </c>
    </row>
    <row r="1731">
      <c r="A1731"/>
      <c r="B1731">
        <v>4</v>
      </c>
      <c r="C1731" s="43">
        <f>INDEX(DarlObj,4)</f>
      </c>
      <c r="D1731">
        <v>288</v>
      </c>
      <c r="E1731" s="51">
        <f>IF(INDEX(DarlBelegt,4)=0,0,EOMONTH(INDEX(DarlAuszahlung,4),287)+1)</f>
      </c>
      <c r="F1731" s="43">
        <f>IF($E1731=0,0,YEAR($E1731))</f>
      </c>
      <c r="G1731" s="43">
        <f>IF(INDEX(DarlBindung,4)="",1,IF($E1731&lt;=INDEX(DarlBindung,4),1,0))</f>
      </c>
      <c r="H1731" s="43">
        <f>IF($G1731=1,INDEX(DarlSollzins,4),INDEX(DarlAnschluss,4))</f>
      </c>
      <c r="I1731" s="43">
        <f>IF(INDEX(DarlBelegt,4)=0,0,IF(INDEX(DarlOhneTilgung,4)=1,IF(INDEX(DarlBindung,4)="",1,$G1731),IF($J1731&gt;0.005,1,0)))</f>
      </c>
      <c r="J1731" s="43">
        <f>IF($I1730=0,0,$R1730)</f>
      </c>
      <c r="K1731" s="43">
        <f>IF($I1731=0,0,IF(INDEX(DarlOhneTilgung,4)=1,0,IF(AND(INDEX(DarlTilgStart,4)&gt;0,$E1731=INDEX(DarlTilgStart,4)),$J1731*($H1731+INDEX(DarlTilgung,4))/100/12,IF(AND($G1731=0,$G1730=1),MAX($K1730,$J1731*($H1731+1)/100/12),$K1730))))</f>
      </c>
      <c r="L1731" s="43">
        <f>IF($I1731=0,0,$J1731*$H1731/100/12)</f>
      </c>
      <c r="M1731" s="43">
        <f>IF($I1731=0,0,IF(OR(INDEX(DarlOhneTilgung,4)=1,AND(INDEX(DarlTilgStart,4)&gt;0,$E1731&lt;INDEX(DarlTilgStart,4))),0,MIN(MAX(0,$K1731-$L1731),$J1731)))</f>
      </c>
      <c r="N1731" s="43">
        <f>IF($I1731=0,0,MIN(SUMIFS(SondBetrag,SondDarl,4,SondDatum,"&gt;="&amp;$E1731,SondDatum,"&lt;="&amp;EOMONTH($E1731,0)),$J1731-$M1731))</f>
      </c>
      <c r="O1731" s="43">
        <f>IF($I1731=0,0,INDEX(DarlErsatzRate,4))</f>
      </c>
      <c r="P1731" s="43">
        <f>IF($I1731=0,0,$Q1730*INDEX(DarlErsatzZins,4))</f>
      </c>
      <c r="Q1731" s="43">
        <f>IF($I1731=0,0,$Q1730+$P1731+$O1731)</f>
      </c>
      <c r="R1731" s="43">
        <f>IF($I1731=0,0,$J1731-$M1731-$N1731)</f>
      </c>
    </row>
    <row r="1732">
      <c r="A1732"/>
      <c r="B1732">
        <v>4</v>
      </c>
      <c r="C1732" s="43">
        <f>INDEX(DarlObj,4)</f>
      </c>
      <c r="D1732">
        <v>289</v>
      </c>
      <c r="E1732" s="51">
        <f>IF(INDEX(DarlBelegt,4)=0,0,EOMONTH(INDEX(DarlAuszahlung,4),288)+1)</f>
      </c>
      <c r="F1732" s="43">
        <f>IF($E1732=0,0,YEAR($E1732))</f>
      </c>
      <c r="G1732" s="43">
        <f>IF(INDEX(DarlBindung,4)="",1,IF($E1732&lt;=INDEX(DarlBindung,4),1,0))</f>
      </c>
      <c r="H1732" s="43">
        <f>IF($G1732=1,INDEX(DarlSollzins,4),INDEX(DarlAnschluss,4))</f>
      </c>
      <c r="I1732" s="43">
        <f>IF(INDEX(DarlBelegt,4)=0,0,IF(INDEX(DarlOhneTilgung,4)=1,IF(INDEX(DarlBindung,4)="",1,$G1732),IF($J1732&gt;0.005,1,0)))</f>
      </c>
      <c r="J1732" s="43">
        <f>IF($I1731=0,0,$R1731)</f>
      </c>
      <c r="K1732" s="43">
        <f>IF($I1732=0,0,IF(INDEX(DarlOhneTilgung,4)=1,0,IF(AND(INDEX(DarlTilgStart,4)&gt;0,$E1732=INDEX(DarlTilgStart,4)),$J1732*($H1732+INDEX(DarlTilgung,4))/100/12,IF(AND($G1732=0,$G1731=1),MAX($K1731,$J1732*($H1732+1)/100/12),$K1731))))</f>
      </c>
      <c r="L1732" s="43">
        <f>IF($I1732=0,0,$J1732*$H1732/100/12)</f>
      </c>
      <c r="M1732" s="43">
        <f>IF($I1732=0,0,IF(OR(INDEX(DarlOhneTilgung,4)=1,AND(INDEX(DarlTilgStart,4)&gt;0,$E1732&lt;INDEX(DarlTilgStart,4))),0,MIN(MAX(0,$K1732-$L1732),$J1732)))</f>
      </c>
      <c r="N1732" s="43">
        <f>IF($I1732=0,0,MIN(SUMIFS(SondBetrag,SondDarl,4,SondDatum,"&gt;="&amp;$E1732,SondDatum,"&lt;="&amp;EOMONTH($E1732,0)),$J1732-$M1732))</f>
      </c>
      <c r="O1732" s="43">
        <f>IF($I1732=0,0,INDEX(DarlErsatzRate,4))</f>
      </c>
      <c r="P1732" s="43">
        <f>IF($I1732=0,0,$Q1731*INDEX(DarlErsatzZins,4))</f>
      </c>
      <c r="Q1732" s="43">
        <f>IF($I1732=0,0,$Q1731+$P1732+$O1732)</f>
      </c>
      <c r="R1732" s="43">
        <f>IF($I1732=0,0,$J1732-$M1732-$N1732)</f>
      </c>
    </row>
    <row r="1733">
      <c r="A1733"/>
      <c r="B1733">
        <v>4</v>
      </c>
      <c r="C1733" s="43">
        <f>INDEX(DarlObj,4)</f>
      </c>
      <c r="D1733">
        <v>290</v>
      </c>
      <c r="E1733" s="51">
        <f>IF(INDEX(DarlBelegt,4)=0,0,EOMONTH(INDEX(DarlAuszahlung,4),289)+1)</f>
      </c>
      <c r="F1733" s="43">
        <f>IF($E1733=0,0,YEAR($E1733))</f>
      </c>
      <c r="G1733" s="43">
        <f>IF(INDEX(DarlBindung,4)="",1,IF($E1733&lt;=INDEX(DarlBindung,4),1,0))</f>
      </c>
      <c r="H1733" s="43">
        <f>IF($G1733=1,INDEX(DarlSollzins,4),INDEX(DarlAnschluss,4))</f>
      </c>
      <c r="I1733" s="43">
        <f>IF(INDEX(DarlBelegt,4)=0,0,IF(INDEX(DarlOhneTilgung,4)=1,IF(INDEX(DarlBindung,4)="",1,$G1733),IF($J1733&gt;0.005,1,0)))</f>
      </c>
      <c r="J1733" s="43">
        <f>IF($I1732=0,0,$R1732)</f>
      </c>
      <c r="K1733" s="43">
        <f>IF($I1733=0,0,IF(INDEX(DarlOhneTilgung,4)=1,0,IF(AND(INDEX(DarlTilgStart,4)&gt;0,$E1733=INDEX(DarlTilgStart,4)),$J1733*($H1733+INDEX(DarlTilgung,4))/100/12,IF(AND($G1733=0,$G1732=1),MAX($K1732,$J1733*($H1733+1)/100/12),$K1732))))</f>
      </c>
      <c r="L1733" s="43">
        <f>IF($I1733=0,0,$J1733*$H1733/100/12)</f>
      </c>
      <c r="M1733" s="43">
        <f>IF($I1733=0,0,IF(OR(INDEX(DarlOhneTilgung,4)=1,AND(INDEX(DarlTilgStart,4)&gt;0,$E1733&lt;INDEX(DarlTilgStart,4))),0,MIN(MAX(0,$K1733-$L1733),$J1733)))</f>
      </c>
      <c r="N1733" s="43">
        <f>IF($I1733=0,0,MIN(SUMIFS(SondBetrag,SondDarl,4,SondDatum,"&gt;="&amp;$E1733,SondDatum,"&lt;="&amp;EOMONTH($E1733,0)),$J1733-$M1733))</f>
      </c>
      <c r="O1733" s="43">
        <f>IF($I1733=0,0,INDEX(DarlErsatzRate,4))</f>
      </c>
      <c r="P1733" s="43">
        <f>IF($I1733=0,0,$Q1732*INDEX(DarlErsatzZins,4))</f>
      </c>
      <c r="Q1733" s="43">
        <f>IF($I1733=0,0,$Q1732+$P1733+$O1733)</f>
      </c>
      <c r="R1733" s="43">
        <f>IF($I1733=0,0,$J1733-$M1733-$N1733)</f>
      </c>
    </row>
    <row r="1734">
      <c r="A1734"/>
      <c r="B1734">
        <v>4</v>
      </c>
      <c r="C1734" s="43">
        <f>INDEX(DarlObj,4)</f>
      </c>
      <c r="D1734">
        <v>291</v>
      </c>
      <c r="E1734" s="51">
        <f>IF(INDEX(DarlBelegt,4)=0,0,EOMONTH(INDEX(DarlAuszahlung,4),290)+1)</f>
      </c>
      <c r="F1734" s="43">
        <f>IF($E1734=0,0,YEAR($E1734))</f>
      </c>
      <c r="G1734" s="43">
        <f>IF(INDEX(DarlBindung,4)="",1,IF($E1734&lt;=INDEX(DarlBindung,4),1,0))</f>
      </c>
      <c r="H1734" s="43">
        <f>IF($G1734=1,INDEX(DarlSollzins,4),INDEX(DarlAnschluss,4))</f>
      </c>
      <c r="I1734" s="43">
        <f>IF(INDEX(DarlBelegt,4)=0,0,IF(INDEX(DarlOhneTilgung,4)=1,IF(INDEX(DarlBindung,4)="",1,$G1734),IF($J1734&gt;0.005,1,0)))</f>
      </c>
      <c r="J1734" s="43">
        <f>IF($I1733=0,0,$R1733)</f>
      </c>
      <c r="K1734" s="43">
        <f>IF($I1734=0,0,IF(INDEX(DarlOhneTilgung,4)=1,0,IF(AND(INDEX(DarlTilgStart,4)&gt;0,$E1734=INDEX(DarlTilgStart,4)),$J1734*($H1734+INDEX(DarlTilgung,4))/100/12,IF(AND($G1734=0,$G1733=1),MAX($K1733,$J1734*($H1734+1)/100/12),$K1733))))</f>
      </c>
      <c r="L1734" s="43">
        <f>IF($I1734=0,0,$J1734*$H1734/100/12)</f>
      </c>
      <c r="M1734" s="43">
        <f>IF($I1734=0,0,IF(OR(INDEX(DarlOhneTilgung,4)=1,AND(INDEX(DarlTilgStart,4)&gt;0,$E1734&lt;INDEX(DarlTilgStart,4))),0,MIN(MAX(0,$K1734-$L1734),$J1734)))</f>
      </c>
      <c r="N1734" s="43">
        <f>IF($I1734=0,0,MIN(SUMIFS(SondBetrag,SondDarl,4,SondDatum,"&gt;="&amp;$E1734,SondDatum,"&lt;="&amp;EOMONTH($E1734,0)),$J1734-$M1734))</f>
      </c>
      <c r="O1734" s="43">
        <f>IF($I1734=0,0,INDEX(DarlErsatzRate,4))</f>
      </c>
      <c r="P1734" s="43">
        <f>IF($I1734=0,0,$Q1733*INDEX(DarlErsatzZins,4))</f>
      </c>
      <c r="Q1734" s="43">
        <f>IF($I1734=0,0,$Q1733+$P1734+$O1734)</f>
      </c>
      <c r="R1734" s="43">
        <f>IF($I1734=0,0,$J1734-$M1734-$N1734)</f>
      </c>
    </row>
    <row r="1735">
      <c r="A1735"/>
      <c r="B1735">
        <v>4</v>
      </c>
      <c r="C1735" s="43">
        <f>INDEX(DarlObj,4)</f>
      </c>
      <c r="D1735">
        <v>292</v>
      </c>
      <c r="E1735" s="51">
        <f>IF(INDEX(DarlBelegt,4)=0,0,EOMONTH(INDEX(DarlAuszahlung,4),291)+1)</f>
      </c>
      <c r="F1735" s="43">
        <f>IF($E1735=0,0,YEAR($E1735))</f>
      </c>
      <c r="G1735" s="43">
        <f>IF(INDEX(DarlBindung,4)="",1,IF($E1735&lt;=INDEX(DarlBindung,4),1,0))</f>
      </c>
      <c r="H1735" s="43">
        <f>IF($G1735=1,INDEX(DarlSollzins,4),INDEX(DarlAnschluss,4))</f>
      </c>
      <c r="I1735" s="43">
        <f>IF(INDEX(DarlBelegt,4)=0,0,IF(INDEX(DarlOhneTilgung,4)=1,IF(INDEX(DarlBindung,4)="",1,$G1735),IF($J1735&gt;0.005,1,0)))</f>
      </c>
      <c r="J1735" s="43">
        <f>IF($I1734=0,0,$R1734)</f>
      </c>
      <c r="K1735" s="43">
        <f>IF($I1735=0,0,IF(INDEX(DarlOhneTilgung,4)=1,0,IF(AND(INDEX(DarlTilgStart,4)&gt;0,$E1735=INDEX(DarlTilgStart,4)),$J1735*($H1735+INDEX(DarlTilgung,4))/100/12,IF(AND($G1735=0,$G1734=1),MAX($K1734,$J1735*($H1735+1)/100/12),$K1734))))</f>
      </c>
      <c r="L1735" s="43">
        <f>IF($I1735=0,0,$J1735*$H1735/100/12)</f>
      </c>
      <c r="M1735" s="43">
        <f>IF($I1735=0,0,IF(OR(INDEX(DarlOhneTilgung,4)=1,AND(INDEX(DarlTilgStart,4)&gt;0,$E1735&lt;INDEX(DarlTilgStart,4))),0,MIN(MAX(0,$K1735-$L1735),$J1735)))</f>
      </c>
      <c r="N1735" s="43">
        <f>IF($I1735=0,0,MIN(SUMIFS(SondBetrag,SondDarl,4,SondDatum,"&gt;="&amp;$E1735,SondDatum,"&lt;="&amp;EOMONTH($E1735,0)),$J1735-$M1735))</f>
      </c>
      <c r="O1735" s="43">
        <f>IF($I1735=0,0,INDEX(DarlErsatzRate,4))</f>
      </c>
      <c r="P1735" s="43">
        <f>IF($I1735=0,0,$Q1734*INDEX(DarlErsatzZins,4))</f>
      </c>
      <c r="Q1735" s="43">
        <f>IF($I1735=0,0,$Q1734+$P1735+$O1735)</f>
      </c>
      <c r="R1735" s="43">
        <f>IF($I1735=0,0,$J1735-$M1735-$N1735)</f>
      </c>
    </row>
    <row r="1736">
      <c r="A1736"/>
      <c r="B1736">
        <v>4</v>
      </c>
      <c r="C1736" s="43">
        <f>INDEX(DarlObj,4)</f>
      </c>
      <c r="D1736">
        <v>293</v>
      </c>
      <c r="E1736" s="51">
        <f>IF(INDEX(DarlBelegt,4)=0,0,EOMONTH(INDEX(DarlAuszahlung,4),292)+1)</f>
      </c>
      <c r="F1736" s="43">
        <f>IF($E1736=0,0,YEAR($E1736))</f>
      </c>
      <c r="G1736" s="43">
        <f>IF(INDEX(DarlBindung,4)="",1,IF($E1736&lt;=INDEX(DarlBindung,4),1,0))</f>
      </c>
      <c r="H1736" s="43">
        <f>IF($G1736=1,INDEX(DarlSollzins,4),INDEX(DarlAnschluss,4))</f>
      </c>
      <c r="I1736" s="43">
        <f>IF(INDEX(DarlBelegt,4)=0,0,IF(INDEX(DarlOhneTilgung,4)=1,IF(INDEX(DarlBindung,4)="",1,$G1736),IF($J1736&gt;0.005,1,0)))</f>
      </c>
      <c r="J1736" s="43">
        <f>IF($I1735=0,0,$R1735)</f>
      </c>
      <c r="K1736" s="43">
        <f>IF($I1736=0,0,IF(INDEX(DarlOhneTilgung,4)=1,0,IF(AND(INDEX(DarlTilgStart,4)&gt;0,$E1736=INDEX(DarlTilgStart,4)),$J1736*($H1736+INDEX(DarlTilgung,4))/100/12,IF(AND($G1736=0,$G1735=1),MAX($K1735,$J1736*($H1736+1)/100/12),$K1735))))</f>
      </c>
      <c r="L1736" s="43">
        <f>IF($I1736=0,0,$J1736*$H1736/100/12)</f>
      </c>
      <c r="M1736" s="43">
        <f>IF($I1736=0,0,IF(OR(INDEX(DarlOhneTilgung,4)=1,AND(INDEX(DarlTilgStart,4)&gt;0,$E1736&lt;INDEX(DarlTilgStart,4))),0,MIN(MAX(0,$K1736-$L1736),$J1736)))</f>
      </c>
      <c r="N1736" s="43">
        <f>IF($I1736=0,0,MIN(SUMIFS(SondBetrag,SondDarl,4,SondDatum,"&gt;="&amp;$E1736,SondDatum,"&lt;="&amp;EOMONTH($E1736,0)),$J1736-$M1736))</f>
      </c>
      <c r="O1736" s="43">
        <f>IF($I1736=0,0,INDEX(DarlErsatzRate,4))</f>
      </c>
      <c r="P1736" s="43">
        <f>IF($I1736=0,0,$Q1735*INDEX(DarlErsatzZins,4))</f>
      </c>
      <c r="Q1736" s="43">
        <f>IF($I1736=0,0,$Q1735+$P1736+$O1736)</f>
      </c>
      <c r="R1736" s="43">
        <f>IF($I1736=0,0,$J1736-$M1736-$N1736)</f>
      </c>
    </row>
    <row r="1737">
      <c r="A1737"/>
      <c r="B1737">
        <v>4</v>
      </c>
      <c r="C1737" s="43">
        <f>INDEX(DarlObj,4)</f>
      </c>
      <c r="D1737">
        <v>294</v>
      </c>
      <c r="E1737" s="51">
        <f>IF(INDEX(DarlBelegt,4)=0,0,EOMONTH(INDEX(DarlAuszahlung,4),293)+1)</f>
      </c>
      <c r="F1737" s="43">
        <f>IF($E1737=0,0,YEAR($E1737))</f>
      </c>
      <c r="G1737" s="43">
        <f>IF(INDEX(DarlBindung,4)="",1,IF($E1737&lt;=INDEX(DarlBindung,4),1,0))</f>
      </c>
      <c r="H1737" s="43">
        <f>IF($G1737=1,INDEX(DarlSollzins,4),INDEX(DarlAnschluss,4))</f>
      </c>
      <c r="I1737" s="43">
        <f>IF(INDEX(DarlBelegt,4)=0,0,IF(INDEX(DarlOhneTilgung,4)=1,IF(INDEX(DarlBindung,4)="",1,$G1737),IF($J1737&gt;0.005,1,0)))</f>
      </c>
      <c r="J1737" s="43">
        <f>IF($I1736=0,0,$R1736)</f>
      </c>
      <c r="K1737" s="43">
        <f>IF($I1737=0,0,IF(INDEX(DarlOhneTilgung,4)=1,0,IF(AND(INDEX(DarlTilgStart,4)&gt;0,$E1737=INDEX(DarlTilgStart,4)),$J1737*($H1737+INDEX(DarlTilgung,4))/100/12,IF(AND($G1737=0,$G1736=1),MAX($K1736,$J1737*($H1737+1)/100/12),$K1736))))</f>
      </c>
      <c r="L1737" s="43">
        <f>IF($I1737=0,0,$J1737*$H1737/100/12)</f>
      </c>
      <c r="M1737" s="43">
        <f>IF($I1737=0,0,IF(OR(INDEX(DarlOhneTilgung,4)=1,AND(INDEX(DarlTilgStart,4)&gt;0,$E1737&lt;INDEX(DarlTilgStart,4))),0,MIN(MAX(0,$K1737-$L1737),$J1737)))</f>
      </c>
      <c r="N1737" s="43">
        <f>IF($I1737=0,0,MIN(SUMIFS(SondBetrag,SondDarl,4,SondDatum,"&gt;="&amp;$E1737,SondDatum,"&lt;="&amp;EOMONTH($E1737,0)),$J1737-$M1737))</f>
      </c>
      <c r="O1737" s="43">
        <f>IF($I1737=0,0,INDEX(DarlErsatzRate,4))</f>
      </c>
      <c r="P1737" s="43">
        <f>IF($I1737=0,0,$Q1736*INDEX(DarlErsatzZins,4))</f>
      </c>
      <c r="Q1737" s="43">
        <f>IF($I1737=0,0,$Q1736+$P1737+$O1737)</f>
      </c>
      <c r="R1737" s="43">
        <f>IF($I1737=0,0,$J1737-$M1737-$N1737)</f>
      </c>
    </row>
    <row r="1738">
      <c r="A1738"/>
      <c r="B1738">
        <v>4</v>
      </c>
      <c r="C1738" s="43">
        <f>INDEX(DarlObj,4)</f>
      </c>
      <c r="D1738">
        <v>295</v>
      </c>
      <c r="E1738" s="51">
        <f>IF(INDEX(DarlBelegt,4)=0,0,EOMONTH(INDEX(DarlAuszahlung,4),294)+1)</f>
      </c>
      <c r="F1738" s="43">
        <f>IF($E1738=0,0,YEAR($E1738))</f>
      </c>
      <c r="G1738" s="43">
        <f>IF(INDEX(DarlBindung,4)="",1,IF($E1738&lt;=INDEX(DarlBindung,4),1,0))</f>
      </c>
      <c r="H1738" s="43">
        <f>IF($G1738=1,INDEX(DarlSollzins,4),INDEX(DarlAnschluss,4))</f>
      </c>
      <c r="I1738" s="43">
        <f>IF(INDEX(DarlBelegt,4)=0,0,IF(INDEX(DarlOhneTilgung,4)=1,IF(INDEX(DarlBindung,4)="",1,$G1738),IF($J1738&gt;0.005,1,0)))</f>
      </c>
      <c r="J1738" s="43">
        <f>IF($I1737=0,0,$R1737)</f>
      </c>
      <c r="K1738" s="43">
        <f>IF($I1738=0,0,IF(INDEX(DarlOhneTilgung,4)=1,0,IF(AND(INDEX(DarlTilgStart,4)&gt;0,$E1738=INDEX(DarlTilgStart,4)),$J1738*($H1738+INDEX(DarlTilgung,4))/100/12,IF(AND($G1738=0,$G1737=1),MAX($K1737,$J1738*($H1738+1)/100/12),$K1737))))</f>
      </c>
      <c r="L1738" s="43">
        <f>IF($I1738=0,0,$J1738*$H1738/100/12)</f>
      </c>
      <c r="M1738" s="43">
        <f>IF($I1738=0,0,IF(OR(INDEX(DarlOhneTilgung,4)=1,AND(INDEX(DarlTilgStart,4)&gt;0,$E1738&lt;INDEX(DarlTilgStart,4))),0,MIN(MAX(0,$K1738-$L1738),$J1738)))</f>
      </c>
      <c r="N1738" s="43">
        <f>IF($I1738=0,0,MIN(SUMIFS(SondBetrag,SondDarl,4,SondDatum,"&gt;="&amp;$E1738,SondDatum,"&lt;="&amp;EOMONTH($E1738,0)),$J1738-$M1738))</f>
      </c>
      <c r="O1738" s="43">
        <f>IF($I1738=0,0,INDEX(DarlErsatzRate,4))</f>
      </c>
      <c r="P1738" s="43">
        <f>IF($I1738=0,0,$Q1737*INDEX(DarlErsatzZins,4))</f>
      </c>
      <c r="Q1738" s="43">
        <f>IF($I1738=0,0,$Q1737+$P1738+$O1738)</f>
      </c>
      <c r="R1738" s="43">
        <f>IF($I1738=0,0,$J1738-$M1738-$N1738)</f>
      </c>
    </row>
    <row r="1739">
      <c r="A1739"/>
      <c r="B1739">
        <v>4</v>
      </c>
      <c r="C1739" s="43">
        <f>INDEX(DarlObj,4)</f>
      </c>
      <c r="D1739">
        <v>296</v>
      </c>
      <c r="E1739" s="51">
        <f>IF(INDEX(DarlBelegt,4)=0,0,EOMONTH(INDEX(DarlAuszahlung,4),295)+1)</f>
      </c>
      <c r="F1739" s="43">
        <f>IF($E1739=0,0,YEAR($E1739))</f>
      </c>
      <c r="G1739" s="43">
        <f>IF(INDEX(DarlBindung,4)="",1,IF($E1739&lt;=INDEX(DarlBindung,4),1,0))</f>
      </c>
      <c r="H1739" s="43">
        <f>IF($G1739=1,INDEX(DarlSollzins,4),INDEX(DarlAnschluss,4))</f>
      </c>
      <c r="I1739" s="43">
        <f>IF(INDEX(DarlBelegt,4)=0,0,IF(INDEX(DarlOhneTilgung,4)=1,IF(INDEX(DarlBindung,4)="",1,$G1739),IF($J1739&gt;0.005,1,0)))</f>
      </c>
      <c r="J1739" s="43">
        <f>IF($I1738=0,0,$R1738)</f>
      </c>
      <c r="K1739" s="43">
        <f>IF($I1739=0,0,IF(INDEX(DarlOhneTilgung,4)=1,0,IF(AND(INDEX(DarlTilgStart,4)&gt;0,$E1739=INDEX(DarlTilgStart,4)),$J1739*($H1739+INDEX(DarlTilgung,4))/100/12,IF(AND($G1739=0,$G1738=1),MAX($K1738,$J1739*($H1739+1)/100/12),$K1738))))</f>
      </c>
      <c r="L1739" s="43">
        <f>IF($I1739=0,0,$J1739*$H1739/100/12)</f>
      </c>
      <c r="M1739" s="43">
        <f>IF($I1739=0,0,IF(OR(INDEX(DarlOhneTilgung,4)=1,AND(INDEX(DarlTilgStart,4)&gt;0,$E1739&lt;INDEX(DarlTilgStart,4))),0,MIN(MAX(0,$K1739-$L1739),$J1739)))</f>
      </c>
      <c r="N1739" s="43">
        <f>IF($I1739=0,0,MIN(SUMIFS(SondBetrag,SondDarl,4,SondDatum,"&gt;="&amp;$E1739,SondDatum,"&lt;="&amp;EOMONTH($E1739,0)),$J1739-$M1739))</f>
      </c>
      <c r="O1739" s="43">
        <f>IF($I1739=0,0,INDEX(DarlErsatzRate,4))</f>
      </c>
      <c r="P1739" s="43">
        <f>IF($I1739=0,0,$Q1738*INDEX(DarlErsatzZins,4))</f>
      </c>
      <c r="Q1739" s="43">
        <f>IF($I1739=0,0,$Q1738+$P1739+$O1739)</f>
      </c>
      <c r="R1739" s="43">
        <f>IF($I1739=0,0,$J1739-$M1739-$N1739)</f>
      </c>
    </row>
    <row r="1740">
      <c r="A1740"/>
      <c r="B1740">
        <v>4</v>
      </c>
      <c r="C1740" s="43">
        <f>INDEX(DarlObj,4)</f>
      </c>
      <c r="D1740">
        <v>297</v>
      </c>
      <c r="E1740" s="51">
        <f>IF(INDEX(DarlBelegt,4)=0,0,EOMONTH(INDEX(DarlAuszahlung,4),296)+1)</f>
      </c>
      <c r="F1740" s="43">
        <f>IF($E1740=0,0,YEAR($E1740))</f>
      </c>
      <c r="G1740" s="43">
        <f>IF(INDEX(DarlBindung,4)="",1,IF($E1740&lt;=INDEX(DarlBindung,4),1,0))</f>
      </c>
      <c r="H1740" s="43">
        <f>IF($G1740=1,INDEX(DarlSollzins,4),INDEX(DarlAnschluss,4))</f>
      </c>
      <c r="I1740" s="43">
        <f>IF(INDEX(DarlBelegt,4)=0,0,IF(INDEX(DarlOhneTilgung,4)=1,IF(INDEX(DarlBindung,4)="",1,$G1740),IF($J1740&gt;0.005,1,0)))</f>
      </c>
      <c r="J1740" s="43">
        <f>IF($I1739=0,0,$R1739)</f>
      </c>
      <c r="K1740" s="43">
        <f>IF($I1740=0,0,IF(INDEX(DarlOhneTilgung,4)=1,0,IF(AND(INDEX(DarlTilgStart,4)&gt;0,$E1740=INDEX(DarlTilgStart,4)),$J1740*($H1740+INDEX(DarlTilgung,4))/100/12,IF(AND($G1740=0,$G1739=1),MAX($K1739,$J1740*($H1740+1)/100/12),$K1739))))</f>
      </c>
      <c r="L1740" s="43">
        <f>IF($I1740=0,0,$J1740*$H1740/100/12)</f>
      </c>
      <c r="M1740" s="43">
        <f>IF($I1740=0,0,IF(OR(INDEX(DarlOhneTilgung,4)=1,AND(INDEX(DarlTilgStart,4)&gt;0,$E1740&lt;INDEX(DarlTilgStart,4))),0,MIN(MAX(0,$K1740-$L1740),$J1740)))</f>
      </c>
      <c r="N1740" s="43">
        <f>IF($I1740=0,0,MIN(SUMIFS(SondBetrag,SondDarl,4,SondDatum,"&gt;="&amp;$E1740,SondDatum,"&lt;="&amp;EOMONTH($E1740,0)),$J1740-$M1740))</f>
      </c>
      <c r="O1740" s="43">
        <f>IF($I1740=0,0,INDEX(DarlErsatzRate,4))</f>
      </c>
      <c r="P1740" s="43">
        <f>IF($I1740=0,0,$Q1739*INDEX(DarlErsatzZins,4))</f>
      </c>
      <c r="Q1740" s="43">
        <f>IF($I1740=0,0,$Q1739+$P1740+$O1740)</f>
      </c>
      <c r="R1740" s="43">
        <f>IF($I1740=0,0,$J1740-$M1740-$N1740)</f>
      </c>
    </row>
    <row r="1741">
      <c r="A1741"/>
      <c r="B1741">
        <v>4</v>
      </c>
      <c r="C1741" s="43">
        <f>INDEX(DarlObj,4)</f>
      </c>
      <c r="D1741">
        <v>298</v>
      </c>
      <c r="E1741" s="51">
        <f>IF(INDEX(DarlBelegt,4)=0,0,EOMONTH(INDEX(DarlAuszahlung,4),297)+1)</f>
      </c>
      <c r="F1741" s="43">
        <f>IF($E1741=0,0,YEAR($E1741))</f>
      </c>
      <c r="G1741" s="43">
        <f>IF(INDEX(DarlBindung,4)="",1,IF($E1741&lt;=INDEX(DarlBindung,4),1,0))</f>
      </c>
      <c r="H1741" s="43">
        <f>IF($G1741=1,INDEX(DarlSollzins,4),INDEX(DarlAnschluss,4))</f>
      </c>
      <c r="I1741" s="43">
        <f>IF(INDEX(DarlBelegt,4)=0,0,IF(INDEX(DarlOhneTilgung,4)=1,IF(INDEX(DarlBindung,4)="",1,$G1741),IF($J1741&gt;0.005,1,0)))</f>
      </c>
      <c r="J1741" s="43">
        <f>IF($I1740=0,0,$R1740)</f>
      </c>
      <c r="K1741" s="43">
        <f>IF($I1741=0,0,IF(INDEX(DarlOhneTilgung,4)=1,0,IF(AND(INDEX(DarlTilgStart,4)&gt;0,$E1741=INDEX(DarlTilgStart,4)),$J1741*($H1741+INDEX(DarlTilgung,4))/100/12,IF(AND($G1741=0,$G1740=1),MAX($K1740,$J1741*($H1741+1)/100/12),$K1740))))</f>
      </c>
      <c r="L1741" s="43">
        <f>IF($I1741=0,0,$J1741*$H1741/100/12)</f>
      </c>
      <c r="M1741" s="43">
        <f>IF($I1741=0,0,IF(OR(INDEX(DarlOhneTilgung,4)=1,AND(INDEX(DarlTilgStart,4)&gt;0,$E1741&lt;INDEX(DarlTilgStart,4))),0,MIN(MAX(0,$K1741-$L1741),$J1741)))</f>
      </c>
      <c r="N1741" s="43">
        <f>IF($I1741=0,0,MIN(SUMIFS(SondBetrag,SondDarl,4,SondDatum,"&gt;="&amp;$E1741,SondDatum,"&lt;="&amp;EOMONTH($E1741,0)),$J1741-$M1741))</f>
      </c>
      <c r="O1741" s="43">
        <f>IF($I1741=0,0,INDEX(DarlErsatzRate,4))</f>
      </c>
      <c r="P1741" s="43">
        <f>IF($I1741=0,0,$Q1740*INDEX(DarlErsatzZins,4))</f>
      </c>
      <c r="Q1741" s="43">
        <f>IF($I1741=0,0,$Q1740+$P1741+$O1741)</f>
      </c>
      <c r="R1741" s="43">
        <f>IF($I1741=0,0,$J1741-$M1741-$N1741)</f>
      </c>
    </row>
    <row r="1742">
      <c r="A1742"/>
      <c r="B1742">
        <v>4</v>
      </c>
      <c r="C1742" s="43">
        <f>INDEX(DarlObj,4)</f>
      </c>
      <c r="D1742">
        <v>299</v>
      </c>
      <c r="E1742" s="51">
        <f>IF(INDEX(DarlBelegt,4)=0,0,EOMONTH(INDEX(DarlAuszahlung,4),298)+1)</f>
      </c>
      <c r="F1742" s="43">
        <f>IF($E1742=0,0,YEAR($E1742))</f>
      </c>
      <c r="G1742" s="43">
        <f>IF(INDEX(DarlBindung,4)="",1,IF($E1742&lt;=INDEX(DarlBindung,4),1,0))</f>
      </c>
      <c r="H1742" s="43">
        <f>IF($G1742=1,INDEX(DarlSollzins,4),INDEX(DarlAnschluss,4))</f>
      </c>
      <c r="I1742" s="43">
        <f>IF(INDEX(DarlBelegt,4)=0,0,IF(INDEX(DarlOhneTilgung,4)=1,IF(INDEX(DarlBindung,4)="",1,$G1742),IF($J1742&gt;0.005,1,0)))</f>
      </c>
      <c r="J1742" s="43">
        <f>IF($I1741=0,0,$R1741)</f>
      </c>
      <c r="K1742" s="43">
        <f>IF($I1742=0,0,IF(INDEX(DarlOhneTilgung,4)=1,0,IF(AND(INDEX(DarlTilgStart,4)&gt;0,$E1742=INDEX(DarlTilgStart,4)),$J1742*($H1742+INDEX(DarlTilgung,4))/100/12,IF(AND($G1742=0,$G1741=1),MAX($K1741,$J1742*($H1742+1)/100/12),$K1741))))</f>
      </c>
      <c r="L1742" s="43">
        <f>IF($I1742=0,0,$J1742*$H1742/100/12)</f>
      </c>
      <c r="M1742" s="43">
        <f>IF($I1742=0,0,IF(OR(INDEX(DarlOhneTilgung,4)=1,AND(INDEX(DarlTilgStart,4)&gt;0,$E1742&lt;INDEX(DarlTilgStart,4))),0,MIN(MAX(0,$K1742-$L1742),$J1742)))</f>
      </c>
      <c r="N1742" s="43">
        <f>IF($I1742=0,0,MIN(SUMIFS(SondBetrag,SondDarl,4,SondDatum,"&gt;="&amp;$E1742,SondDatum,"&lt;="&amp;EOMONTH($E1742,0)),$J1742-$M1742))</f>
      </c>
      <c r="O1742" s="43">
        <f>IF($I1742=0,0,INDEX(DarlErsatzRate,4))</f>
      </c>
      <c r="P1742" s="43">
        <f>IF($I1742=0,0,$Q1741*INDEX(DarlErsatzZins,4))</f>
      </c>
      <c r="Q1742" s="43">
        <f>IF($I1742=0,0,$Q1741+$P1742+$O1742)</f>
      </c>
      <c r="R1742" s="43">
        <f>IF($I1742=0,0,$J1742-$M1742-$N1742)</f>
      </c>
    </row>
    <row r="1743">
      <c r="A1743"/>
      <c r="B1743">
        <v>4</v>
      </c>
      <c r="C1743" s="43">
        <f>INDEX(DarlObj,4)</f>
      </c>
      <c r="D1743">
        <v>300</v>
      </c>
      <c r="E1743" s="51">
        <f>IF(INDEX(DarlBelegt,4)=0,0,EOMONTH(INDEX(DarlAuszahlung,4),299)+1)</f>
      </c>
      <c r="F1743" s="43">
        <f>IF($E1743=0,0,YEAR($E1743))</f>
      </c>
      <c r="G1743" s="43">
        <f>IF(INDEX(DarlBindung,4)="",1,IF($E1743&lt;=INDEX(DarlBindung,4),1,0))</f>
      </c>
      <c r="H1743" s="43">
        <f>IF($G1743=1,INDEX(DarlSollzins,4),INDEX(DarlAnschluss,4))</f>
      </c>
      <c r="I1743" s="43">
        <f>IF(INDEX(DarlBelegt,4)=0,0,IF(INDEX(DarlOhneTilgung,4)=1,IF(INDEX(DarlBindung,4)="",1,$G1743),IF($J1743&gt;0.005,1,0)))</f>
      </c>
      <c r="J1743" s="43">
        <f>IF($I1742=0,0,$R1742)</f>
      </c>
      <c r="K1743" s="43">
        <f>IF($I1743=0,0,IF(INDEX(DarlOhneTilgung,4)=1,0,IF(AND(INDEX(DarlTilgStart,4)&gt;0,$E1743=INDEX(DarlTilgStart,4)),$J1743*($H1743+INDEX(DarlTilgung,4))/100/12,IF(AND($G1743=0,$G1742=1),MAX($K1742,$J1743*($H1743+1)/100/12),$K1742))))</f>
      </c>
      <c r="L1743" s="43">
        <f>IF($I1743=0,0,$J1743*$H1743/100/12)</f>
      </c>
      <c r="M1743" s="43">
        <f>IF($I1743=0,0,IF(OR(INDEX(DarlOhneTilgung,4)=1,AND(INDEX(DarlTilgStart,4)&gt;0,$E1743&lt;INDEX(DarlTilgStart,4))),0,MIN(MAX(0,$K1743-$L1743),$J1743)))</f>
      </c>
      <c r="N1743" s="43">
        <f>IF($I1743=0,0,MIN(SUMIFS(SondBetrag,SondDarl,4,SondDatum,"&gt;="&amp;$E1743,SondDatum,"&lt;="&amp;EOMONTH($E1743,0)),$J1743-$M1743))</f>
      </c>
      <c r="O1743" s="43">
        <f>IF($I1743=0,0,INDEX(DarlErsatzRate,4))</f>
      </c>
      <c r="P1743" s="43">
        <f>IF($I1743=0,0,$Q1742*INDEX(DarlErsatzZins,4))</f>
      </c>
      <c r="Q1743" s="43">
        <f>IF($I1743=0,0,$Q1742+$P1743+$O1743)</f>
      </c>
      <c r="R1743" s="43">
        <f>IF($I1743=0,0,$J1743-$M1743-$N1743)</f>
      </c>
    </row>
    <row r="1744">
      <c r="A1744"/>
      <c r="B1744">
        <v>4</v>
      </c>
      <c r="C1744" s="43">
        <f>INDEX(DarlObj,4)</f>
      </c>
      <c r="D1744">
        <v>301</v>
      </c>
      <c r="E1744" s="51">
        <f>IF(INDEX(DarlBelegt,4)=0,0,EOMONTH(INDEX(DarlAuszahlung,4),300)+1)</f>
      </c>
      <c r="F1744" s="43">
        <f>IF($E1744=0,0,YEAR($E1744))</f>
      </c>
      <c r="G1744" s="43">
        <f>IF(INDEX(DarlBindung,4)="",1,IF($E1744&lt;=INDEX(DarlBindung,4),1,0))</f>
      </c>
      <c r="H1744" s="43">
        <f>IF($G1744=1,INDEX(DarlSollzins,4),INDEX(DarlAnschluss,4))</f>
      </c>
      <c r="I1744" s="43">
        <f>IF(INDEX(DarlBelegt,4)=0,0,IF(INDEX(DarlOhneTilgung,4)=1,IF(INDEX(DarlBindung,4)="",1,$G1744),IF($J1744&gt;0.005,1,0)))</f>
      </c>
      <c r="J1744" s="43">
        <f>IF($I1743=0,0,$R1743)</f>
      </c>
      <c r="K1744" s="43">
        <f>IF($I1744=0,0,IF(INDEX(DarlOhneTilgung,4)=1,0,IF(AND(INDEX(DarlTilgStart,4)&gt;0,$E1744=INDEX(DarlTilgStart,4)),$J1744*($H1744+INDEX(DarlTilgung,4))/100/12,IF(AND($G1744=0,$G1743=1),MAX($K1743,$J1744*($H1744+1)/100/12),$K1743))))</f>
      </c>
      <c r="L1744" s="43">
        <f>IF($I1744=0,0,$J1744*$H1744/100/12)</f>
      </c>
      <c r="M1744" s="43">
        <f>IF($I1744=0,0,IF(OR(INDEX(DarlOhneTilgung,4)=1,AND(INDEX(DarlTilgStart,4)&gt;0,$E1744&lt;INDEX(DarlTilgStart,4))),0,MIN(MAX(0,$K1744-$L1744),$J1744)))</f>
      </c>
      <c r="N1744" s="43">
        <f>IF($I1744=0,0,MIN(SUMIFS(SondBetrag,SondDarl,4,SondDatum,"&gt;="&amp;$E1744,SondDatum,"&lt;="&amp;EOMONTH($E1744,0)),$J1744-$M1744))</f>
      </c>
      <c r="O1744" s="43">
        <f>IF($I1744=0,0,INDEX(DarlErsatzRate,4))</f>
      </c>
      <c r="P1744" s="43">
        <f>IF($I1744=0,0,$Q1743*INDEX(DarlErsatzZins,4))</f>
      </c>
      <c r="Q1744" s="43">
        <f>IF($I1744=0,0,$Q1743+$P1744+$O1744)</f>
      </c>
      <c r="R1744" s="43">
        <f>IF($I1744=0,0,$J1744-$M1744-$N1744)</f>
      </c>
    </row>
    <row r="1745">
      <c r="A1745"/>
      <c r="B1745">
        <v>4</v>
      </c>
      <c r="C1745" s="43">
        <f>INDEX(DarlObj,4)</f>
      </c>
      <c r="D1745">
        <v>302</v>
      </c>
      <c r="E1745" s="51">
        <f>IF(INDEX(DarlBelegt,4)=0,0,EOMONTH(INDEX(DarlAuszahlung,4),301)+1)</f>
      </c>
      <c r="F1745" s="43">
        <f>IF($E1745=0,0,YEAR($E1745))</f>
      </c>
      <c r="G1745" s="43">
        <f>IF(INDEX(DarlBindung,4)="",1,IF($E1745&lt;=INDEX(DarlBindung,4),1,0))</f>
      </c>
      <c r="H1745" s="43">
        <f>IF($G1745=1,INDEX(DarlSollzins,4),INDEX(DarlAnschluss,4))</f>
      </c>
      <c r="I1745" s="43">
        <f>IF(INDEX(DarlBelegt,4)=0,0,IF(INDEX(DarlOhneTilgung,4)=1,IF(INDEX(DarlBindung,4)="",1,$G1745),IF($J1745&gt;0.005,1,0)))</f>
      </c>
      <c r="J1745" s="43">
        <f>IF($I1744=0,0,$R1744)</f>
      </c>
      <c r="K1745" s="43">
        <f>IF($I1745=0,0,IF(INDEX(DarlOhneTilgung,4)=1,0,IF(AND(INDEX(DarlTilgStart,4)&gt;0,$E1745=INDEX(DarlTilgStart,4)),$J1745*($H1745+INDEX(DarlTilgung,4))/100/12,IF(AND($G1745=0,$G1744=1),MAX($K1744,$J1745*($H1745+1)/100/12),$K1744))))</f>
      </c>
      <c r="L1745" s="43">
        <f>IF($I1745=0,0,$J1745*$H1745/100/12)</f>
      </c>
      <c r="M1745" s="43">
        <f>IF($I1745=0,0,IF(OR(INDEX(DarlOhneTilgung,4)=1,AND(INDEX(DarlTilgStart,4)&gt;0,$E1745&lt;INDEX(DarlTilgStart,4))),0,MIN(MAX(0,$K1745-$L1745),$J1745)))</f>
      </c>
      <c r="N1745" s="43">
        <f>IF($I1745=0,0,MIN(SUMIFS(SondBetrag,SondDarl,4,SondDatum,"&gt;="&amp;$E1745,SondDatum,"&lt;="&amp;EOMONTH($E1745,0)),$J1745-$M1745))</f>
      </c>
      <c r="O1745" s="43">
        <f>IF($I1745=0,0,INDEX(DarlErsatzRate,4))</f>
      </c>
      <c r="P1745" s="43">
        <f>IF($I1745=0,0,$Q1744*INDEX(DarlErsatzZins,4))</f>
      </c>
      <c r="Q1745" s="43">
        <f>IF($I1745=0,0,$Q1744+$P1745+$O1745)</f>
      </c>
      <c r="R1745" s="43">
        <f>IF($I1745=0,0,$J1745-$M1745-$N1745)</f>
      </c>
    </row>
    <row r="1746">
      <c r="A1746"/>
      <c r="B1746">
        <v>4</v>
      </c>
      <c r="C1746" s="43">
        <f>INDEX(DarlObj,4)</f>
      </c>
      <c r="D1746">
        <v>303</v>
      </c>
      <c r="E1746" s="51">
        <f>IF(INDEX(DarlBelegt,4)=0,0,EOMONTH(INDEX(DarlAuszahlung,4),302)+1)</f>
      </c>
      <c r="F1746" s="43">
        <f>IF($E1746=0,0,YEAR($E1746))</f>
      </c>
      <c r="G1746" s="43">
        <f>IF(INDEX(DarlBindung,4)="",1,IF($E1746&lt;=INDEX(DarlBindung,4),1,0))</f>
      </c>
      <c r="H1746" s="43">
        <f>IF($G1746=1,INDEX(DarlSollzins,4),INDEX(DarlAnschluss,4))</f>
      </c>
      <c r="I1746" s="43">
        <f>IF(INDEX(DarlBelegt,4)=0,0,IF(INDEX(DarlOhneTilgung,4)=1,IF(INDEX(DarlBindung,4)="",1,$G1746),IF($J1746&gt;0.005,1,0)))</f>
      </c>
      <c r="J1746" s="43">
        <f>IF($I1745=0,0,$R1745)</f>
      </c>
      <c r="K1746" s="43">
        <f>IF($I1746=0,0,IF(INDEX(DarlOhneTilgung,4)=1,0,IF(AND(INDEX(DarlTilgStart,4)&gt;0,$E1746=INDEX(DarlTilgStart,4)),$J1746*($H1746+INDEX(DarlTilgung,4))/100/12,IF(AND($G1746=0,$G1745=1),MAX($K1745,$J1746*($H1746+1)/100/12),$K1745))))</f>
      </c>
      <c r="L1746" s="43">
        <f>IF($I1746=0,0,$J1746*$H1746/100/12)</f>
      </c>
      <c r="M1746" s="43">
        <f>IF($I1746=0,0,IF(OR(INDEX(DarlOhneTilgung,4)=1,AND(INDEX(DarlTilgStart,4)&gt;0,$E1746&lt;INDEX(DarlTilgStart,4))),0,MIN(MAX(0,$K1746-$L1746),$J1746)))</f>
      </c>
      <c r="N1746" s="43">
        <f>IF($I1746=0,0,MIN(SUMIFS(SondBetrag,SondDarl,4,SondDatum,"&gt;="&amp;$E1746,SondDatum,"&lt;="&amp;EOMONTH($E1746,0)),$J1746-$M1746))</f>
      </c>
      <c r="O1746" s="43">
        <f>IF($I1746=0,0,INDEX(DarlErsatzRate,4))</f>
      </c>
      <c r="P1746" s="43">
        <f>IF($I1746=0,0,$Q1745*INDEX(DarlErsatzZins,4))</f>
      </c>
      <c r="Q1746" s="43">
        <f>IF($I1746=0,0,$Q1745+$P1746+$O1746)</f>
      </c>
      <c r="R1746" s="43">
        <f>IF($I1746=0,0,$J1746-$M1746-$N1746)</f>
      </c>
    </row>
    <row r="1747">
      <c r="A1747"/>
      <c r="B1747">
        <v>4</v>
      </c>
      <c r="C1747" s="43">
        <f>INDEX(DarlObj,4)</f>
      </c>
      <c r="D1747">
        <v>304</v>
      </c>
      <c r="E1747" s="51">
        <f>IF(INDEX(DarlBelegt,4)=0,0,EOMONTH(INDEX(DarlAuszahlung,4),303)+1)</f>
      </c>
      <c r="F1747" s="43">
        <f>IF($E1747=0,0,YEAR($E1747))</f>
      </c>
      <c r="G1747" s="43">
        <f>IF(INDEX(DarlBindung,4)="",1,IF($E1747&lt;=INDEX(DarlBindung,4),1,0))</f>
      </c>
      <c r="H1747" s="43">
        <f>IF($G1747=1,INDEX(DarlSollzins,4),INDEX(DarlAnschluss,4))</f>
      </c>
      <c r="I1747" s="43">
        <f>IF(INDEX(DarlBelegt,4)=0,0,IF(INDEX(DarlOhneTilgung,4)=1,IF(INDEX(DarlBindung,4)="",1,$G1747),IF($J1747&gt;0.005,1,0)))</f>
      </c>
      <c r="J1747" s="43">
        <f>IF($I1746=0,0,$R1746)</f>
      </c>
      <c r="K1747" s="43">
        <f>IF($I1747=0,0,IF(INDEX(DarlOhneTilgung,4)=1,0,IF(AND(INDEX(DarlTilgStart,4)&gt;0,$E1747=INDEX(DarlTilgStart,4)),$J1747*($H1747+INDEX(DarlTilgung,4))/100/12,IF(AND($G1747=0,$G1746=1),MAX($K1746,$J1747*($H1747+1)/100/12),$K1746))))</f>
      </c>
      <c r="L1747" s="43">
        <f>IF($I1747=0,0,$J1747*$H1747/100/12)</f>
      </c>
      <c r="M1747" s="43">
        <f>IF($I1747=0,0,IF(OR(INDEX(DarlOhneTilgung,4)=1,AND(INDEX(DarlTilgStart,4)&gt;0,$E1747&lt;INDEX(DarlTilgStart,4))),0,MIN(MAX(0,$K1747-$L1747),$J1747)))</f>
      </c>
      <c r="N1747" s="43">
        <f>IF($I1747=0,0,MIN(SUMIFS(SondBetrag,SondDarl,4,SondDatum,"&gt;="&amp;$E1747,SondDatum,"&lt;="&amp;EOMONTH($E1747,0)),$J1747-$M1747))</f>
      </c>
      <c r="O1747" s="43">
        <f>IF($I1747=0,0,INDEX(DarlErsatzRate,4))</f>
      </c>
      <c r="P1747" s="43">
        <f>IF($I1747=0,0,$Q1746*INDEX(DarlErsatzZins,4))</f>
      </c>
      <c r="Q1747" s="43">
        <f>IF($I1747=0,0,$Q1746+$P1747+$O1747)</f>
      </c>
      <c r="R1747" s="43">
        <f>IF($I1747=0,0,$J1747-$M1747-$N1747)</f>
      </c>
    </row>
    <row r="1748">
      <c r="A1748"/>
      <c r="B1748">
        <v>4</v>
      </c>
      <c r="C1748" s="43">
        <f>INDEX(DarlObj,4)</f>
      </c>
      <c r="D1748">
        <v>305</v>
      </c>
      <c r="E1748" s="51">
        <f>IF(INDEX(DarlBelegt,4)=0,0,EOMONTH(INDEX(DarlAuszahlung,4),304)+1)</f>
      </c>
      <c r="F1748" s="43">
        <f>IF($E1748=0,0,YEAR($E1748))</f>
      </c>
      <c r="G1748" s="43">
        <f>IF(INDEX(DarlBindung,4)="",1,IF($E1748&lt;=INDEX(DarlBindung,4),1,0))</f>
      </c>
      <c r="H1748" s="43">
        <f>IF($G1748=1,INDEX(DarlSollzins,4),INDEX(DarlAnschluss,4))</f>
      </c>
      <c r="I1748" s="43">
        <f>IF(INDEX(DarlBelegt,4)=0,0,IF(INDEX(DarlOhneTilgung,4)=1,IF(INDEX(DarlBindung,4)="",1,$G1748),IF($J1748&gt;0.005,1,0)))</f>
      </c>
      <c r="J1748" s="43">
        <f>IF($I1747=0,0,$R1747)</f>
      </c>
      <c r="K1748" s="43">
        <f>IF($I1748=0,0,IF(INDEX(DarlOhneTilgung,4)=1,0,IF(AND(INDEX(DarlTilgStart,4)&gt;0,$E1748=INDEX(DarlTilgStart,4)),$J1748*($H1748+INDEX(DarlTilgung,4))/100/12,IF(AND($G1748=0,$G1747=1),MAX($K1747,$J1748*($H1748+1)/100/12),$K1747))))</f>
      </c>
      <c r="L1748" s="43">
        <f>IF($I1748=0,0,$J1748*$H1748/100/12)</f>
      </c>
      <c r="M1748" s="43">
        <f>IF($I1748=0,0,IF(OR(INDEX(DarlOhneTilgung,4)=1,AND(INDEX(DarlTilgStart,4)&gt;0,$E1748&lt;INDEX(DarlTilgStart,4))),0,MIN(MAX(0,$K1748-$L1748),$J1748)))</f>
      </c>
      <c r="N1748" s="43">
        <f>IF($I1748=0,0,MIN(SUMIFS(SondBetrag,SondDarl,4,SondDatum,"&gt;="&amp;$E1748,SondDatum,"&lt;="&amp;EOMONTH($E1748,0)),$J1748-$M1748))</f>
      </c>
      <c r="O1748" s="43">
        <f>IF($I1748=0,0,INDEX(DarlErsatzRate,4))</f>
      </c>
      <c r="P1748" s="43">
        <f>IF($I1748=0,0,$Q1747*INDEX(DarlErsatzZins,4))</f>
      </c>
      <c r="Q1748" s="43">
        <f>IF($I1748=0,0,$Q1747+$P1748+$O1748)</f>
      </c>
      <c r="R1748" s="43">
        <f>IF($I1748=0,0,$J1748-$M1748-$N1748)</f>
      </c>
    </row>
    <row r="1749">
      <c r="A1749"/>
      <c r="B1749">
        <v>4</v>
      </c>
      <c r="C1749" s="43">
        <f>INDEX(DarlObj,4)</f>
      </c>
      <c r="D1749">
        <v>306</v>
      </c>
      <c r="E1749" s="51">
        <f>IF(INDEX(DarlBelegt,4)=0,0,EOMONTH(INDEX(DarlAuszahlung,4),305)+1)</f>
      </c>
      <c r="F1749" s="43">
        <f>IF($E1749=0,0,YEAR($E1749))</f>
      </c>
      <c r="G1749" s="43">
        <f>IF(INDEX(DarlBindung,4)="",1,IF($E1749&lt;=INDEX(DarlBindung,4),1,0))</f>
      </c>
      <c r="H1749" s="43">
        <f>IF($G1749=1,INDEX(DarlSollzins,4),INDEX(DarlAnschluss,4))</f>
      </c>
      <c r="I1749" s="43">
        <f>IF(INDEX(DarlBelegt,4)=0,0,IF(INDEX(DarlOhneTilgung,4)=1,IF(INDEX(DarlBindung,4)="",1,$G1749),IF($J1749&gt;0.005,1,0)))</f>
      </c>
      <c r="J1749" s="43">
        <f>IF($I1748=0,0,$R1748)</f>
      </c>
      <c r="K1749" s="43">
        <f>IF($I1749=0,0,IF(INDEX(DarlOhneTilgung,4)=1,0,IF(AND(INDEX(DarlTilgStart,4)&gt;0,$E1749=INDEX(DarlTilgStart,4)),$J1749*($H1749+INDEX(DarlTilgung,4))/100/12,IF(AND($G1749=0,$G1748=1),MAX($K1748,$J1749*($H1749+1)/100/12),$K1748))))</f>
      </c>
      <c r="L1749" s="43">
        <f>IF($I1749=0,0,$J1749*$H1749/100/12)</f>
      </c>
      <c r="M1749" s="43">
        <f>IF($I1749=0,0,IF(OR(INDEX(DarlOhneTilgung,4)=1,AND(INDEX(DarlTilgStart,4)&gt;0,$E1749&lt;INDEX(DarlTilgStart,4))),0,MIN(MAX(0,$K1749-$L1749),$J1749)))</f>
      </c>
      <c r="N1749" s="43">
        <f>IF($I1749=0,0,MIN(SUMIFS(SondBetrag,SondDarl,4,SondDatum,"&gt;="&amp;$E1749,SondDatum,"&lt;="&amp;EOMONTH($E1749,0)),$J1749-$M1749))</f>
      </c>
      <c r="O1749" s="43">
        <f>IF($I1749=0,0,INDEX(DarlErsatzRate,4))</f>
      </c>
      <c r="P1749" s="43">
        <f>IF($I1749=0,0,$Q1748*INDEX(DarlErsatzZins,4))</f>
      </c>
      <c r="Q1749" s="43">
        <f>IF($I1749=0,0,$Q1748+$P1749+$O1749)</f>
      </c>
      <c r="R1749" s="43">
        <f>IF($I1749=0,0,$J1749-$M1749-$N1749)</f>
      </c>
    </row>
    <row r="1750">
      <c r="A1750"/>
      <c r="B1750">
        <v>4</v>
      </c>
      <c r="C1750" s="43">
        <f>INDEX(DarlObj,4)</f>
      </c>
      <c r="D1750">
        <v>307</v>
      </c>
      <c r="E1750" s="51">
        <f>IF(INDEX(DarlBelegt,4)=0,0,EOMONTH(INDEX(DarlAuszahlung,4),306)+1)</f>
      </c>
      <c r="F1750" s="43">
        <f>IF($E1750=0,0,YEAR($E1750))</f>
      </c>
      <c r="G1750" s="43">
        <f>IF(INDEX(DarlBindung,4)="",1,IF($E1750&lt;=INDEX(DarlBindung,4),1,0))</f>
      </c>
      <c r="H1750" s="43">
        <f>IF($G1750=1,INDEX(DarlSollzins,4),INDEX(DarlAnschluss,4))</f>
      </c>
      <c r="I1750" s="43">
        <f>IF(INDEX(DarlBelegt,4)=0,0,IF(INDEX(DarlOhneTilgung,4)=1,IF(INDEX(DarlBindung,4)="",1,$G1750),IF($J1750&gt;0.005,1,0)))</f>
      </c>
      <c r="J1750" s="43">
        <f>IF($I1749=0,0,$R1749)</f>
      </c>
      <c r="K1750" s="43">
        <f>IF($I1750=0,0,IF(INDEX(DarlOhneTilgung,4)=1,0,IF(AND(INDEX(DarlTilgStart,4)&gt;0,$E1750=INDEX(DarlTilgStart,4)),$J1750*($H1750+INDEX(DarlTilgung,4))/100/12,IF(AND($G1750=0,$G1749=1),MAX($K1749,$J1750*($H1750+1)/100/12),$K1749))))</f>
      </c>
      <c r="L1750" s="43">
        <f>IF($I1750=0,0,$J1750*$H1750/100/12)</f>
      </c>
      <c r="M1750" s="43">
        <f>IF($I1750=0,0,IF(OR(INDEX(DarlOhneTilgung,4)=1,AND(INDEX(DarlTilgStart,4)&gt;0,$E1750&lt;INDEX(DarlTilgStart,4))),0,MIN(MAX(0,$K1750-$L1750),$J1750)))</f>
      </c>
      <c r="N1750" s="43">
        <f>IF($I1750=0,0,MIN(SUMIFS(SondBetrag,SondDarl,4,SondDatum,"&gt;="&amp;$E1750,SondDatum,"&lt;="&amp;EOMONTH($E1750,0)),$J1750-$M1750))</f>
      </c>
      <c r="O1750" s="43">
        <f>IF($I1750=0,0,INDEX(DarlErsatzRate,4))</f>
      </c>
      <c r="P1750" s="43">
        <f>IF($I1750=0,0,$Q1749*INDEX(DarlErsatzZins,4))</f>
      </c>
      <c r="Q1750" s="43">
        <f>IF($I1750=0,0,$Q1749+$P1750+$O1750)</f>
      </c>
      <c r="R1750" s="43">
        <f>IF($I1750=0,0,$J1750-$M1750-$N1750)</f>
      </c>
    </row>
    <row r="1751">
      <c r="A1751"/>
      <c r="B1751">
        <v>4</v>
      </c>
      <c r="C1751" s="43">
        <f>INDEX(DarlObj,4)</f>
      </c>
      <c r="D1751">
        <v>308</v>
      </c>
      <c r="E1751" s="51">
        <f>IF(INDEX(DarlBelegt,4)=0,0,EOMONTH(INDEX(DarlAuszahlung,4),307)+1)</f>
      </c>
      <c r="F1751" s="43">
        <f>IF($E1751=0,0,YEAR($E1751))</f>
      </c>
      <c r="G1751" s="43">
        <f>IF(INDEX(DarlBindung,4)="",1,IF($E1751&lt;=INDEX(DarlBindung,4),1,0))</f>
      </c>
      <c r="H1751" s="43">
        <f>IF($G1751=1,INDEX(DarlSollzins,4),INDEX(DarlAnschluss,4))</f>
      </c>
      <c r="I1751" s="43">
        <f>IF(INDEX(DarlBelegt,4)=0,0,IF(INDEX(DarlOhneTilgung,4)=1,IF(INDEX(DarlBindung,4)="",1,$G1751),IF($J1751&gt;0.005,1,0)))</f>
      </c>
      <c r="J1751" s="43">
        <f>IF($I1750=0,0,$R1750)</f>
      </c>
      <c r="K1751" s="43">
        <f>IF($I1751=0,0,IF(INDEX(DarlOhneTilgung,4)=1,0,IF(AND(INDEX(DarlTilgStart,4)&gt;0,$E1751=INDEX(DarlTilgStart,4)),$J1751*($H1751+INDEX(DarlTilgung,4))/100/12,IF(AND($G1751=0,$G1750=1),MAX($K1750,$J1751*($H1751+1)/100/12),$K1750))))</f>
      </c>
      <c r="L1751" s="43">
        <f>IF($I1751=0,0,$J1751*$H1751/100/12)</f>
      </c>
      <c r="M1751" s="43">
        <f>IF($I1751=0,0,IF(OR(INDEX(DarlOhneTilgung,4)=1,AND(INDEX(DarlTilgStart,4)&gt;0,$E1751&lt;INDEX(DarlTilgStart,4))),0,MIN(MAX(0,$K1751-$L1751),$J1751)))</f>
      </c>
      <c r="N1751" s="43">
        <f>IF($I1751=0,0,MIN(SUMIFS(SondBetrag,SondDarl,4,SondDatum,"&gt;="&amp;$E1751,SondDatum,"&lt;="&amp;EOMONTH($E1751,0)),$J1751-$M1751))</f>
      </c>
      <c r="O1751" s="43">
        <f>IF($I1751=0,0,INDEX(DarlErsatzRate,4))</f>
      </c>
      <c r="P1751" s="43">
        <f>IF($I1751=0,0,$Q1750*INDEX(DarlErsatzZins,4))</f>
      </c>
      <c r="Q1751" s="43">
        <f>IF($I1751=0,0,$Q1750+$P1751+$O1751)</f>
      </c>
      <c r="R1751" s="43">
        <f>IF($I1751=0,0,$J1751-$M1751-$N1751)</f>
      </c>
    </row>
    <row r="1752">
      <c r="A1752"/>
      <c r="B1752">
        <v>4</v>
      </c>
      <c r="C1752" s="43">
        <f>INDEX(DarlObj,4)</f>
      </c>
      <c r="D1752">
        <v>309</v>
      </c>
      <c r="E1752" s="51">
        <f>IF(INDEX(DarlBelegt,4)=0,0,EOMONTH(INDEX(DarlAuszahlung,4),308)+1)</f>
      </c>
      <c r="F1752" s="43">
        <f>IF($E1752=0,0,YEAR($E1752))</f>
      </c>
      <c r="G1752" s="43">
        <f>IF(INDEX(DarlBindung,4)="",1,IF($E1752&lt;=INDEX(DarlBindung,4),1,0))</f>
      </c>
      <c r="H1752" s="43">
        <f>IF($G1752=1,INDEX(DarlSollzins,4),INDEX(DarlAnschluss,4))</f>
      </c>
      <c r="I1752" s="43">
        <f>IF(INDEX(DarlBelegt,4)=0,0,IF(INDEX(DarlOhneTilgung,4)=1,IF(INDEX(DarlBindung,4)="",1,$G1752),IF($J1752&gt;0.005,1,0)))</f>
      </c>
      <c r="J1752" s="43">
        <f>IF($I1751=0,0,$R1751)</f>
      </c>
      <c r="K1752" s="43">
        <f>IF($I1752=0,0,IF(INDEX(DarlOhneTilgung,4)=1,0,IF(AND(INDEX(DarlTilgStart,4)&gt;0,$E1752=INDEX(DarlTilgStart,4)),$J1752*($H1752+INDEX(DarlTilgung,4))/100/12,IF(AND($G1752=0,$G1751=1),MAX($K1751,$J1752*($H1752+1)/100/12),$K1751))))</f>
      </c>
      <c r="L1752" s="43">
        <f>IF($I1752=0,0,$J1752*$H1752/100/12)</f>
      </c>
      <c r="M1752" s="43">
        <f>IF($I1752=0,0,IF(OR(INDEX(DarlOhneTilgung,4)=1,AND(INDEX(DarlTilgStart,4)&gt;0,$E1752&lt;INDEX(DarlTilgStart,4))),0,MIN(MAX(0,$K1752-$L1752),$J1752)))</f>
      </c>
      <c r="N1752" s="43">
        <f>IF($I1752=0,0,MIN(SUMIFS(SondBetrag,SondDarl,4,SondDatum,"&gt;="&amp;$E1752,SondDatum,"&lt;="&amp;EOMONTH($E1752,0)),$J1752-$M1752))</f>
      </c>
      <c r="O1752" s="43">
        <f>IF($I1752=0,0,INDEX(DarlErsatzRate,4))</f>
      </c>
      <c r="P1752" s="43">
        <f>IF($I1752=0,0,$Q1751*INDEX(DarlErsatzZins,4))</f>
      </c>
      <c r="Q1752" s="43">
        <f>IF($I1752=0,0,$Q1751+$P1752+$O1752)</f>
      </c>
      <c r="R1752" s="43">
        <f>IF($I1752=0,0,$J1752-$M1752-$N1752)</f>
      </c>
    </row>
    <row r="1753">
      <c r="A1753"/>
      <c r="B1753">
        <v>4</v>
      </c>
      <c r="C1753" s="43">
        <f>INDEX(DarlObj,4)</f>
      </c>
      <c r="D1753">
        <v>310</v>
      </c>
      <c r="E1753" s="51">
        <f>IF(INDEX(DarlBelegt,4)=0,0,EOMONTH(INDEX(DarlAuszahlung,4),309)+1)</f>
      </c>
      <c r="F1753" s="43">
        <f>IF($E1753=0,0,YEAR($E1753))</f>
      </c>
      <c r="G1753" s="43">
        <f>IF(INDEX(DarlBindung,4)="",1,IF($E1753&lt;=INDEX(DarlBindung,4),1,0))</f>
      </c>
      <c r="H1753" s="43">
        <f>IF($G1753=1,INDEX(DarlSollzins,4),INDEX(DarlAnschluss,4))</f>
      </c>
      <c r="I1753" s="43">
        <f>IF(INDEX(DarlBelegt,4)=0,0,IF(INDEX(DarlOhneTilgung,4)=1,IF(INDEX(DarlBindung,4)="",1,$G1753),IF($J1753&gt;0.005,1,0)))</f>
      </c>
      <c r="J1753" s="43">
        <f>IF($I1752=0,0,$R1752)</f>
      </c>
      <c r="K1753" s="43">
        <f>IF($I1753=0,0,IF(INDEX(DarlOhneTilgung,4)=1,0,IF(AND(INDEX(DarlTilgStart,4)&gt;0,$E1753=INDEX(DarlTilgStart,4)),$J1753*($H1753+INDEX(DarlTilgung,4))/100/12,IF(AND($G1753=0,$G1752=1),MAX($K1752,$J1753*($H1753+1)/100/12),$K1752))))</f>
      </c>
      <c r="L1753" s="43">
        <f>IF($I1753=0,0,$J1753*$H1753/100/12)</f>
      </c>
      <c r="M1753" s="43">
        <f>IF($I1753=0,0,IF(OR(INDEX(DarlOhneTilgung,4)=1,AND(INDEX(DarlTilgStart,4)&gt;0,$E1753&lt;INDEX(DarlTilgStart,4))),0,MIN(MAX(0,$K1753-$L1753),$J1753)))</f>
      </c>
      <c r="N1753" s="43">
        <f>IF($I1753=0,0,MIN(SUMIFS(SondBetrag,SondDarl,4,SondDatum,"&gt;="&amp;$E1753,SondDatum,"&lt;="&amp;EOMONTH($E1753,0)),$J1753-$M1753))</f>
      </c>
      <c r="O1753" s="43">
        <f>IF($I1753=0,0,INDEX(DarlErsatzRate,4))</f>
      </c>
      <c r="P1753" s="43">
        <f>IF($I1753=0,0,$Q1752*INDEX(DarlErsatzZins,4))</f>
      </c>
      <c r="Q1753" s="43">
        <f>IF($I1753=0,0,$Q1752+$P1753+$O1753)</f>
      </c>
      <c r="R1753" s="43">
        <f>IF($I1753=0,0,$J1753-$M1753-$N1753)</f>
      </c>
    </row>
    <row r="1754">
      <c r="A1754"/>
      <c r="B1754">
        <v>4</v>
      </c>
      <c r="C1754" s="43">
        <f>INDEX(DarlObj,4)</f>
      </c>
      <c r="D1754">
        <v>311</v>
      </c>
      <c r="E1754" s="51">
        <f>IF(INDEX(DarlBelegt,4)=0,0,EOMONTH(INDEX(DarlAuszahlung,4),310)+1)</f>
      </c>
      <c r="F1754" s="43">
        <f>IF($E1754=0,0,YEAR($E1754))</f>
      </c>
      <c r="G1754" s="43">
        <f>IF(INDEX(DarlBindung,4)="",1,IF($E1754&lt;=INDEX(DarlBindung,4),1,0))</f>
      </c>
      <c r="H1754" s="43">
        <f>IF($G1754=1,INDEX(DarlSollzins,4),INDEX(DarlAnschluss,4))</f>
      </c>
      <c r="I1754" s="43">
        <f>IF(INDEX(DarlBelegt,4)=0,0,IF(INDEX(DarlOhneTilgung,4)=1,IF(INDEX(DarlBindung,4)="",1,$G1754),IF($J1754&gt;0.005,1,0)))</f>
      </c>
      <c r="J1754" s="43">
        <f>IF($I1753=0,0,$R1753)</f>
      </c>
      <c r="K1754" s="43">
        <f>IF($I1754=0,0,IF(INDEX(DarlOhneTilgung,4)=1,0,IF(AND(INDEX(DarlTilgStart,4)&gt;0,$E1754=INDEX(DarlTilgStart,4)),$J1754*($H1754+INDEX(DarlTilgung,4))/100/12,IF(AND($G1754=0,$G1753=1),MAX($K1753,$J1754*($H1754+1)/100/12),$K1753))))</f>
      </c>
      <c r="L1754" s="43">
        <f>IF($I1754=0,0,$J1754*$H1754/100/12)</f>
      </c>
      <c r="M1754" s="43">
        <f>IF($I1754=0,0,IF(OR(INDEX(DarlOhneTilgung,4)=1,AND(INDEX(DarlTilgStart,4)&gt;0,$E1754&lt;INDEX(DarlTilgStart,4))),0,MIN(MAX(0,$K1754-$L1754),$J1754)))</f>
      </c>
      <c r="N1754" s="43">
        <f>IF($I1754=0,0,MIN(SUMIFS(SondBetrag,SondDarl,4,SondDatum,"&gt;="&amp;$E1754,SondDatum,"&lt;="&amp;EOMONTH($E1754,0)),$J1754-$M1754))</f>
      </c>
      <c r="O1754" s="43">
        <f>IF($I1754=0,0,INDEX(DarlErsatzRate,4))</f>
      </c>
      <c r="P1754" s="43">
        <f>IF($I1754=0,0,$Q1753*INDEX(DarlErsatzZins,4))</f>
      </c>
      <c r="Q1754" s="43">
        <f>IF($I1754=0,0,$Q1753+$P1754+$O1754)</f>
      </c>
      <c r="R1754" s="43">
        <f>IF($I1754=0,0,$J1754-$M1754-$N1754)</f>
      </c>
    </row>
    <row r="1755">
      <c r="A1755"/>
      <c r="B1755">
        <v>4</v>
      </c>
      <c r="C1755" s="43">
        <f>INDEX(DarlObj,4)</f>
      </c>
      <c r="D1755">
        <v>312</v>
      </c>
      <c r="E1755" s="51">
        <f>IF(INDEX(DarlBelegt,4)=0,0,EOMONTH(INDEX(DarlAuszahlung,4),311)+1)</f>
      </c>
      <c r="F1755" s="43">
        <f>IF($E1755=0,0,YEAR($E1755))</f>
      </c>
      <c r="G1755" s="43">
        <f>IF(INDEX(DarlBindung,4)="",1,IF($E1755&lt;=INDEX(DarlBindung,4),1,0))</f>
      </c>
      <c r="H1755" s="43">
        <f>IF($G1755=1,INDEX(DarlSollzins,4),INDEX(DarlAnschluss,4))</f>
      </c>
      <c r="I1755" s="43">
        <f>IF(INDEX(DarlBelegt,4)=0,0,IF(INDEX(DarlOhneTilgung,4)=1,IF(INDEX(DarlBindung,4)="",1,$G1755),IF($J1755&gt;0.005,1,0)))</f>
      </c>
      <c r="J1755" s="43">
        <f>IF($I1754=0,0,$R1754)</f>
      </c>
      <c r="K1755" s="43">
        <f>IF($I1755=0,0,IF(INDEX(DarlOhneTilgung,4)=1,0,IF(AND(INDEX(DarlTilgStart,4)&gt;0,$E1755=INDEX(DarlTilgStart,4)),$J1755*($H1755+INDEX(DarlTilgung,4))/100/12,IF(AND($G1755=0,$G1754=1),MAX($K1754,$J1755*($H1755+1)/100/12),$K1754))))</f>
      </c>
      <c r="L1755" s="43">
        <f>IF($I1755=0,0,$J1755*$H1755/100/12)</f>
      </c>
      <c r="M1755" s="43">
        <f>IF($I1755=0,0,IF(OR(INDEX(DarlOhneTilgung,4)=1,AND(INDEX(DarlTilgStart,4)&gt;0,$E1755&lt;INDEX(DarlTilgStart,4))),0,MIN(MAX(0,$K1755-$L1755),$J1755)))</f>
      </c>
      <c r="N1755" s="43">
        <f>IF($I1755=0,0,MIN(SUMIFS(SondBetrag,SondDarl,4,SondDatum,"&gt;="&amp;$E1755,SondDatum,"&lt;="&amp;EOMONTH($E1755,0)),$J1755-$M1755))</f>
      </c>
      <c r="O1755" s="43">
        <f>IF($I1755=0,0,INDEX(DarlErsatzRate,4))</f>
      </c>
      <c r="P1755" s="43">
        <f>IF($I1755=0,0,$Q1754*INDEX(DarlErsatzZins,4))</f>
      </c>
      <c r="Q1755" s="43">
        <f>IF($I1755=0,0,$Q1754+$P1755+$O1755)</f>
      </c>
      <c r="R1755" s="43">
        <f>IF($I1755=0,0,$J1755-$M1755-$N1755)</f>
      </c>
    </row>
    <row r="1756">
      <c r="A1756"/>
      <c r="B1756">
        <v>4</v>
      </c>
      <c r="C1756" s="43">
        <f>INDEX(DarlObj,4)</f>
      </c>
      <c r="D1756">
        <v>313</v>
      </c>
      <c r="E1756" s="51">
        <f>IF(INDEX(DarlBelegt,4)=0,0,EOMONTH(INDEX(DarlAuszahlung,4),312)+1)</f>
      </c>
      <c r="F1756" s="43">
        <f>IF($E1756=0,0,YEAR($E1756))</f>
      </c>
      <c r="G1756" s="43">
        <f>IF(INDEX(DarlBindung,4)="",1,IF($E1756&lt;=INDEX(DarlBindung,4),1,0))</f>
      </c>
      <c r="H1756" s="43">
        <f>IF($G1756=1,INDEX(DarlSollzins,4),INDEX(DarlAnschluss,4))</f>
      </c>
      <c r="I1756" s="43">
        <f>IF(INDEX(DarlBelegt,4)=0,0,IF(INDEX(DarlOhneTilgung,4)=1,IF(INDEX(DarlBindung,4)="",1,$G1756),IF($J1756&gt;0.005,1,0)))</f>
      </c>
      <c r="J1756" s="43">
        <f>IF($I1755=0,0,$R1755)</f>
      </c>
      <c r="K1756" s="43">
        <f>IF($I1756=0,0,IF(INDEX(DarlOhneTilgung,4)=1,0,IF(AND(INDEX(DarlTilgStart,4)&gt;0,$E1756=INDEX(DarlTilgStart,4)),$J1756*($H1756+INDEX(DarlTilgung,4))/100/12,IF(AND($G1756=0,$G1755=1),MAX($K1755,$J1756*($H1756+1)/100/12),$K1755))))</f>
      </c>
      <c r="L1756" s="43">
        <f>IF($I1756=0,0,$J1756*$H1756/100/12)</f>
      </c>
      <c r="M1756" s="43">
        <f>IF($I1756=0,0,IF(OR(INDEX(DarlOhneTilgung,4)=1,AND(INDEX(DarlTilgStart,4)&gt;0,$E1756&lt;INDEX(DarlTilgStart,4))),0,MIN(MAX(0,$K1756-$L1756),$J1756)))</f>
      </c>
      <c r="N1756" s="43">
        <f>IF($I1756=0,0,MIN(SUMIFS(SondBetrag,SondDarl,4,SondDatum,"&gt;="&amp;$E1756,SondDatum,"&lt;="&amp;EOMONTH($E1756,0)),$J1756-$M1756))</f>
      </c>
      <c r="O1756" s="43">
        <f>IF($I1756=0,0,INDEX(DarlErsatzRate,4))</f>
      </c>
      <c r="P1756" s="43">
        <f>IF($I1756=0,0,$Q1755*INDEX(DarlErsatzZins,4))</f>
      </c>
      <c r="Q1756" s="43">
        <f>IF($I1756=0,0,$Q1755+$P1756+$O1756)</f>
      </c>
      <c r="R1756" s="43">
        <f>IF($I1756=0,0,$J1756-$M1756-$N1756)</f>
      </c>
    </row>
    <row r="1757">
      <c r="A1757"/>
      <c r="B1757">
        <v>4</v>
      </c>
      <c r="C1757" s="43">
        <f>INDEX(DarlObj,4)</f>
      </c>
      <c r="D1757">
        <v>314</v>
      </c>
      <c r="E1757" s="51">
        <f>IF(INDEX(DarlBelegt,4)=0,0,EOMONTH(INDEX(DarlAuszahlung,4),313)+1)</f>
      </c>
      <c r="F1757" s="43">
        <f>IF($E1757=0,0,YEAR($E1757))</f>
      </c>
      <c r="G1757" s="43">
        <f>IF(INDEX(DarlBindung,4)="",1,IF($E1757&lt;=INDEX(DarlBindung,4),1,0))</f>
      </c>
      <c r="H1757" s="43">
        <f>IF($G1757=1,INDEX(DarlSollzins,4),INDEX(DarlAnschluss,4))</f>
      </c>
      <c r="I1757" s="43">
        <f>IF(INDEX(DarlBelegt,4)=0,0,IF(INDEX(DarlOhneTilgung,4)=1,IF(INDEX(DarlBindung,4)="",1,$G1757),IF($J1757&gt;0.005,1,0)))</f>
      </c>
      <c r="J1757" s="43">
        <f>IF($I1756=0,0,$R1756)</f>
      </c>
      <c r="K1757" s="43">
        <f>IF($I1757=0,0,IF(INDEX(DarlOhneTilgung,4)=1,0,IF(AND(INDEX(DarlTilgStart,4)&gt;0,$E1757=INDEX(DarlTilgStart,4)),$J1757*($H1757+INDEX(DarlTilgung,4))/100/12,IF(AND($G1757=0,$G1756=1),MAX($K1756,$J1757*($H1757+1)/100/12),$K1756))))</f>
      </c>
      <c r="L1757" s="43">
        <f>IF($I1757=0,0,$J1757*$H1757/100/12)</f>
      </c>
      <c r="M1757" s="43">
        <f>IF($I1757=0,0,IF(OR(INDEX(DarlOhneTilgung,4)=1,AND(INDEX(DarlTilgStart,4)&gt;0,$E1757&lt;INDEX(DarlTilgStart,4))),0,MIN(MAX(0,$K1757-$L1757),$J1757)))</f>
      </c>
      <c r="N1757" s="43">
        <f>IF($I1757=0,0,MIN(SUMIFS(SondBetrag,SondDarl,4,SondDatum,"&gt;="&amp;$E1757,SondDatum,"&lt;="&amp;EOMONTH($E1757,0)),$J1757-$M1757))</f>
      </c>
      <c r="O1757" s="43">
        <f>IF($I1757=0,0,INDEX(DarlErsatzRate,4))</f>
      </c>
      <c r="P1757" s="43">
        <f>IF($I1757=0,0,$Q1756*INDEX(DarlErsatzZins,4))</f>
      </c>
      <c r="Q1757" s="43">
        <f>IF($I1757=0,0,$Q1756+$P1757+$O1757)</f>
      </c>
      <c r="R1757" s="43">
        <f>IF($I1757=0,0,$J1757-$M1757-$N1757)</f>
      </c>
    </row>
    <row r="1758">
      <c r="A1758"/>
      <c r="B1758">
        <v>4</v>
      </c>
      <c r="C1758" s="43">
        <f>INDEX(DarlObj,4)</f>
      </c>
      <c r="D1758">
        <v>315</v>
      </c>
      <c r="E1758" s="51">
        <f>IF(INDEX(DarlBelegt,4)=0,0,EOMONTH(INDEX(DarlAuszahlung,4),314)+1)</f>
      </c>
      <c r="F1758" s="43">
        <f>IF($E1758=0,0,YEAR($E1758))</f>
      </c>
      <c r="G1758" s="43">
        <f>IF(INDEX(DarlBindung,4)="",1,IF($E1758&lt;=INDEX(DarlBindung,4),1,0))</f>
      </c>
      <c r="H1758" s="43">
        <f>IF($G1758=1,INDEX(DarlSollzins,4),INDEX(DarlAnschluss,4))</f>
      </c>
      <c r="I1758" s="43">
        <f>IF(INDEX(DarlBelegt,4)=0,0,IF(INDEX(DarlOhneTilgung,4)=1,IF(INDEX(DarlBindung,4)="",1,$G1758),IF($J1758&gt;0.005,1,0)))</f>
      </c>
      <c r="J1758" s="43">
        <f>IF($I1757=0,0,$R1757)</f>
      </c>
      <c r="K1758" s="43">
        <f>IF($I1758=0,0,IF(INDEX(DarlOhneTilgung,4)=1,0,IF(AND(INDEX(DarlTilgStart,4)&gt;0,$E1758=INDEX(DarlTilgStart,4)),$J1758*($H1758+INDEX(DarlTilgung,4))/100/12,IF(AND($G1758=0,$G1757=1),MAX($K1757,$J1758*($H1758+1)/100/12),$K1757))))</f>
      </c>
      <c r="L1758" s="43">
        <f>IF($I1758=0,0,$J1758*$H1758/100/12)</f>
      </c>
      <c r="M1758" s="43">
        <f>IF($I1758=0,0,IF(OR(INDEX(DarlOhneTilgung,4)=1,AND(INDEX(DarlTilgStart,4)&gt;0,$E1758&lt;INDEX(DarlTilgStart,4))),0,MIN(MAX(0,$K1758-$L1758),$J1758)))</f>
      </c>
      <c r="N1758" s="43">
        <f>IF($I1758=0,0,MIN(SUMIFS(SondBetrag,SondDarl,4,SondDatum,"&gt;="&amp;$E1758,SondDatum,"&lt;="&amp;EOMONTH($E1758,0)),$J1758-$M1758))</f>
      </c>
      <c r="O1758" s="43">
        <f>IF($I1758=0,0,INDEX(DarlErsatzRate,4))</f>
      </c>
      <c r="P1758" s="43">
        <f>IF($I1758=0,0,$Q1757*INDEX(DarlErsatzZins,4))</f>
      </c>
      <c r="Q1758" s="43">
        <f>IF($I1758=0,0,$Q1757+$P1758+$O1758)</f>
      </c>
      <c r="R1758" s="43">
        <f>IF($I1758=0,0,$J1758-$M1758-$N1758)</f>
      </c>
    </row>
    <row r="1759">
      <c r="A1759"/>
      <c r="B1759">
        <v>4</v>
      </c>
      <c r="C1759" s="43">
        <f>INDEX(DarlObj,4)</f>
      </c>
      <c r="D1759">
        <v>316</v>
      </c>
      <c r="E1759" s="51">
        <f>IF(INDEX(DarlBelegt,4)=0,0,EOMONTH(INDEX(DarlAuszahlung,4),315)+1)</f>
      </c>
      <c r="F1759" s="43">
        <f>IF($E1759=0,0,YEAR($E1759))</f>
      </c>
      <c r="G1759" s="43">
        <f>IF(INDEX(DarlBindung,4)="",1,IF($E1759&lt;=INDEX(DarlBindung,4),1,0))</f>
      </c>
      <c r="H1759" s="43">
        <f>IF($G1759=1,INDEX(DarlSollzins,4),INDEX(DarlAnschluss,4))</f>
      </c>
      <c r="I1759" s="43">
        <f>IF(INDEX(DarlBelegt,4)=0,0,IF(INDEX(DarlOhneTilgung,4)=1,IF(INDEX(DarlBindung,4)="",1,$G1759),IF($J1759&gt;0.005,1,0)))</f>
      </c>
      <c r="J1759" s="43">
        <f>IF($I1758=0,0,$R1758)</f>
      </c>
      <c r="K1759" s="43">
        <f>IF($I1759=0,0,IF(INDEX(DarlOhneTilgung,4)=1,0,IF(AND(INDEX(DarlTilgStart,4)&gt;0,$E1759=INDEX(DarlTilgStart,4)),$J1759*($H1759+INDEX(DarlTilgung,4))/100/12,IF(AND($G1759=0,$G1758=1),MAX($K1758,$J1759*($H1759+1)/100/12),$K1758))))</f>
      </c>
      <c r="L1759" s="43">
        <f>IF($I1759=0,0,$J1759*$H1759/100/12)</f>
      </c>
      <c r="M1759" s="43">
        <f>IF($I1759=0,0,IF(OR(INDEX(DarlOhneTilgung,4)=1,AND(INDEX(DarlTilgStart,4)&gt;0,$E1759&lt;INDEX(DarlTilgStart,4))),0,MIN(MAX(0,$K1759-$L1759),$J1759)))</f>
      </c>
      <c r="N1759" s="43">
        <f>IF($I1759=0,0,MIN(SUMIFS(SondBetrag,SondDarl,4,SondDatum,"&gt;="&amp;$E1759,SondDatum,"&lt;="&amp;EOMONTH($E1759,0)),$J1759-$M1759))</f>
      </c>
      <c r="O1759" s="43">
        <f>IF($I1759=0,0,INDEX(DarlErsatzRate,4))</f>
      </c>
      <c r="P1759" s="43">
        <f>IF($I1759=0,0,$Q1758*INDEX(DarlErsatzZins,4))</f>
      </c>
      <c r="Q1759" s="43">
        <f>IF($I1759=0,0,$Q1758+$P1759+$O1759)</f>
      </c>
      <c r="R1759" s="43">
        <f>IF($I1759=0,0,$J1759-$M1759-$N1759)</f>
      </c>
    </row>
    <row r="1760">
      <c r="A1760"/>
      <c r="B1760">
        <v>4</v>
      </c>
      <c r="C1760" s="43">
        <f>INDEX(DarlObj,4)</f>
      </c>
      <c r="D1760">
        <v>317</v>
      </c>
      <c r="E1760" s="51">
        <f>IF(INDEX(DarlBelegt,4)=0,0,EOMONTH(INDEX(DarlAuszahlung,4),316)+1)</f>
      </c>
      <c r="F1760" s="43">
        <f>IF($E1760=0,0,YEAR($E1760))</f>
      </c>
      <c r="G1760" s="43">
        <f>IF(INDEX(DarlBindung,4)="",1,IF($E1760&lt;=INDEX(DarlBindung,4),1,0))</f>
      </c>
      <c r="H1760" s="43">
        <f>IF($G1760=1,INDEX(DarlSollzins,4),INDEX(DarlAnschluss,4))</f>
      </c>
      <c r="I1760" s="43">
        <f>IF(INDEX(DarlBelegt,4)=0,0,IF(INDEX(DarlOhneTilgung,4)=1,IF(INDEX(DarlBindung,4)="",1,$G1760),IF($J1760&gt;0.005,1,0)))</f>
      </c>
      <c r="J1760" s="43">
        <f>IF($I1759=0,0,$R1759)</f>
      </c>
      <c r="K1760" s="43">
        <f>IF($I1760=0,0,IF(INDEX(DarlOhneTilgung,4)=1,0,IF(AND(INDEX(DarlTilgStart,4)&gt;0,$E1760=INDEX(DarlTilgStart,4)),$J1760*($H1760+INDEX(DarlTilgung,4))/100/12,IF(AND($G1760=0,$G1759=1),MAX($K1759,$J1760*($H1760+1)/100/12),$K1759))))</f>
      </c>
      <c r="L1760" s="43">
        <f>IF($I1760=0,0,$J1760*$H1760/100/12)</f>
      </c>
      <c r="M1760" s="43">
        <f>IF($I1760=0,0,IF(OR(INDEX(DarlOhneTilgung,4)=1,AND(INDEX(DarlTilgStart,4)&gt;0,$E1760&lt;INDEX(DarlTilgStart,4))),0,MIN(MAX(0,$K1760-$L1760),$J1760)))</f>
      </c>
      <c r="N1760" s="43">
        <f>IF($I1760=0,0,MIN(SUMIFS(SondBetrag,SondDarl,4,SondDatum,"&gt;="&amp;$E1760,SondDatum,"&lt;="&amp;EOMONTH($E1760,0)),$J1760-$M1760))</f>
      </c>
      <c r="O1760" s="43">
        <f>IF($I1760=0,0,INDEX(DarlErsatzRate,4))</f>
      </c>
      <c r="P1760" s="43">
        <f>IF($I1760=0,0,$Q1759*INDEX(DarlErsatzZins,4))</f>
      </c>
      <c r="Q1760" s="43">
        <f>IF($I1760=0,0,$Q1759+$P1760+$O1760)</f>
      </c>
      <c r="R1760" s="43">
        <f>IF($I1760=0,0,$J1760-$M1760-$N1760)</f>
      </c>
    </row>
    <row r="1761">
      <c r="A1761"/>
      <c r="B1761">
        <v>4</v>
      </c>
      <c r="C1761" s="43">
        <f>INDEX(DarlObj,4)</f>
      </c>
      <c r="D1761">
        <v>318</v>
      </c>
      <c r="E1761" s="51">
        <f>IF(INDEX(DarlBelegt,4)=0,0,EOMONTH(INDEX(DarlAuszahlung,4),317)+1)</f>
      </c>
      <c r="F1761" s="43">
        <f>IF($E1761=0,0,YEAR($E1761))</f>
      </c>
      <c r="G1761" s="43">
        <f>IF(INDEX(DarlBindung,4)="",1,IF($E1761&lt;=INDEX(DarlBindung,4),1,0))</f>
      </c>
      <c r="H1761" s="43">
        <f>IF($G1761=1,INDEX(DarlSollzins,4),INDEX(DarlAnschluss,4))</f>
      </c>
      <c r="I1761" s="43">
        <f>IF(INDEX(DarlBelegt,4)=0,0,IF(INDEX(DarlOhneTilgung,4)=1,IF(INDEX(DarlBindung,4)="",1,$G1761),IF($J1761&gt;0.005,1,0)))</f>
      </c>
      <c r="J1761" s="43">
        <f>IF($I1760=0,0,$R1760)</f>
      </c>
      <c r="K1761" s="43">
        <f>IF($I1761=0,0,IF(INDEX(DarlOhneTilgung,4)=1,0,IF(AND(INDEX(DarlTilgStart,4)&gt;0,$E1761=INDEX(DarlTilgStart,4)),$J1761*($H1761+INDEX(DarlTilgung,4))/100/12,IF(AND($G1761=0,$G1760=1),MAX($K1760,$J1761*($H1761+1)/100/12),$K1760))))</f>
      </c>
      <c r="L1761" s="43">
        <f>IF($I1761=0,0,$J1761*$H1761/100/12)</f>
      </c>
      <c r="M1761" s="43">
        <f>IF($I1761=0,0,IF(OR(INDEX(DarlOhneTilgung,4)=1,AND(INDEX(DarlTilgStart,4)&gt;0,$E1761&lt;INDEX(DarlTilgStart,4))),0,MIN(MAX(0,$K1761-$L1761),$J1761)))</f>
      </c>
      <c r="N1761" s="43">
        <f>IF($I1761=0,0,MIN(SUMIFS(SondBetrag,SondDarl,4,SondDatum,"&gt;="&amp;$E1761,SondDatum,"&lt;="&amp;EOMONTH($E1761,0)),$J1761-$M1761))</f>
      </c>
      <c r="O1761" s="43">
        <f>IF($I1761=0,0,INDEX(DarlErsatzRate,4))</f>
      </c>
      <c r="P1761" s="43">
        <f>IF($I1761=0,0,$Q1760*INDEX(DarlErsatzZins,4))</f>
      </c>
      <c r="Q1761" s="43">
        <f>IF($I1761=0,0,$Q1760+$P1761+$O1761)</f>
      </c>
      <c r="R1761" s="43">
        <f>IF($I1761=0,0,$J1761-$M1761-$N1761)</f>
      </c>
    </row>
    <row r="1762">
      <c r="A1762"/>
      <c r="B1762">
        <v>4</v>
      </c>
      <c r="C1762" s="43">
        <f>INDEX(DarlObj,4)</f>
      </c>
      <c r="D1762">
        <v>319</v>
      </c>
      <c r="E1762" s="51">
        <f>IF(INDEX(DarlBelegt,4)=0,0,EOMONTH(INDEX(DarlAuszahlung,4),318)+1)</f>
      </c>
      <c r="F1762" s="43">
        <f>IF($E1762=0,0,YEAR($E1762))</f>
      </c>
      <c r="G1762" s="43">
        <f>IF(INDEX(DarlBindung,4)="",1,IF($E1762&lt;=INDEX(DarlBindung,4),1,0))</f>
      </c>
      <c r="H1762" s="43">
        <f>IF($G1762=1,INDEX(DarlSollzins,4),INDEX(DarlAnschluss,4))</f>
      </c>
      <c r="I1762" s="43">
        <f>IF(INDEX(DarlBelegt,4)=0,0,IF(INDEX(DarlOhneTilgung,4)=1,IF(INDEX(DarlBindung,4)="",1,$G1762),IF($J1762&gt;0.005,1,0)))</f>
      </c>
      <c r="J1762" s="43">
        <f>IF($I1761=0,0,$R1761)</f>
      </c>
      <c r="K1762" s="43">
        <f>IF($I1762=0,0,IF(INDEX(DarlOhneTilgung,4)=1,0,IF(AND(INDEX(DarlTilgStart,4)&gt;0,$E1762=INDEX(DarlTilgStart,4)),$J1762*($H1762+INDEX(DarlTilgung,4))/100/12,IF(AND($G1762=0,$G1761=1),MAX($K1761,$J1762*($H1762+1)/100/12),$K1761))))</f>
      </c>
      <c r="L1762" s="43">
        <f>IF($I1762=0,0,$J1762*$H1762/100/12)</f>
      </c>
      <c r="M1762" s="43">
        <f>IF($I1762=0,0,IF(OR(INDEX(DarlOhneTilgung,4)=1,AND(INDEX(DarlTilgStart,4)&gt;0,$E1762&lt;INDEX(DarlTilgStart,4))),0,MIN(MAX(0,$K1762-$L1762),$J1762)))</f>
      </c>
      <c r="N1762" s="43">
        <f>IF($I1762=0,0,MIN(SUMIFS(SondBetrag,SondDarl,4,SondDatum,"&gt;="&amp;$E1762,SondDatum,"&lt;="&amp;EOMONTH($E1762,0)),$J1762-$M1762))</f>
      </c>
      <c r="O1762" s="43">
        <f>IF($I1762=0,0,INDEX(DarlErsatzRate,4))</f>
      </c>
      <c r="P1762" s="43">
        <f>IF($I1762=0,0,$Q1761*INDEX(DarlErsatzZins,4))</f>
      </c>
      <c r="Q1762" s="43">
        <f>IF($I1762=0,0,$Q1761+$P1762+$O1762)</f>
      </c>
      <c r="R1762" s="43">
        <f>IF($I1762=0,0,$J1762-$M1762-$N1762)</f>
      </c>
    </row>
    <row r="1763">
      <c r="A1763"/>
      <c r="B1763">
        <v>4</v>
      </c>
      <c r="C1763" s="43">
        <f>INDEX(DarlObj,4)</f>
      </c>
      <c r="D1763">
        <v>320</v>
      </c>
      <c r="E1763" s="51">
        <f>IF(INDEX(DarlBelegt,4)=0,0,EOMONTH(INDEX(DarlAuszahlung,4),319)+1)</f>
      </c>
      <c r="F1763" s="43">
        <f>IF($E1763=0,0,YEAR($E1763))</f>
      </c>
      <c r="G1763" s="43">
        <f>IF(INDEX(DarlBindung,4)="",1,IF($E1763&lt;=INDEX(DarlBindung,4),1,0))</f>
      </c>
      <c r="H1763" s="43">
        <f>IF($G1763=1,INDEX(DarlSollzins,4),INDEX(DarlAnschluss,4))</f>
      </c>
      <c r="I1763" s="43">
        <f>IF(INDEX(DarlBelegt,4)=0,0,IF(INDEX(DarlOhneTilgung,4)=1,IF(INDEX(DarlBindung,4)="",1,$G1763),IF($J1763&gt;0.005,1,0)))</f>
      </c>
      <c r="J1763" s="43">
        <f>IF($I1762=0,0,$R1762)</f>
      </c>
      <c r="K1763" s="43">
        <f>IF($I1763=0,0,IF(INDEX(DarlOhneTilgung,4)=1,0,IF(AND(INDEX(DarlTilgStart,4)&gt;0,$E1763=INDEX(DarlTilgStart,4)),$J1763*($H1763+INDEX(DarlTilgung,4))/100/12,IF(AND($G1763=0,$G1762=1),MAX($K1762,$J1763*($H1763+1)/100/12),$K1762))))</f>
      </c>
      <c r="L1763" s="43">
        <f>IF($I1763=0,0,$J1763*$H1763/100/12)</f>
      </c>
      <c r="M1763" s="43">
        <f>IF($I1763=0,0,IF(OR(INDEX(DarlOhneTilgung,4)=1,AND(INDEX(DarlTilgStart,4)&gt;0,$E1763&lt;INDEX(DarlTilgStart,4))),0,MIN(MAX(0,$K1763-$L1763),$J1763)))</f>
      </c>
      <c r="N1763" s="43">
        <f>IF($I1763=0,0,MIN(SUMIFS(SondBetrag,SondDarl,4,SondDatum,"&gt;="&amp;$E1763,SondDatum,"&lt;="&amp;EOMONTH($E1763,0)),$J1763-$M1763))</f>
      </c>
      <c r="O1763" s="43">
        <f>IF($I1763=0,0,INDEX(DarlErsatzRate,4))</f>
      </c>
      <c r="P1763" s="43">
        <f>IF($I1763=0,0,$Q1762*INDEX(DarlErsatzZins,4))</f>
      </c>
      <c r="Q1763" s="43">
        <f>IF($I1763=0,0,$Q1762+$P1763+$O1763)</f>
      </c>
      <c r="R1763" s="43">
        <f>IF($I1763=0,0,$J1763-$M1763-$N1763)</f>
      </c>
    </row>
    <row r="1764">
      <c r="A1764"/>
      <c r="B1764">
        <v>4</v>
      </c>
      <c r="C1764" s="43">
        <f>INDEX(DarlObj,4)</f>
      </c>
      <c r="D1764">
        <v>321</v>
      </c>
      <c r="E1764" s="51">
        <f>IF(INDEX(DarlBelegt,4)=0,0,EOMONTH(INDEX(DarlAuszahlung,4),320)+1)</f>
      </c>
      <c r="F1764" s="43">
        <f>IF($E1764=0,0,YEAR($E1764))</f>
      </c>
      <c r="G1764" s="43">
        <f>IF(INDEX(DarlBindung,4)="",1,IF($E1764&lt;=INDEX(DarlBindung,4),1,0))</f>
      </c>
      <c r="H1764" s="43">
        <f>IF($G1764=1,INDEX(DarlSollzins,4),INDEX(DarlAnschluss,4))</f>
      </c>
      <c r="I1764" s="43">
        <f>IF(INDEX(DarlBelegt,4)=0,0,IF(INDEX(DarlOhneTilgung,4)=1,IF(INDEX(DarlBindung,4)="",1,$G1764),IF($J1764&gt;0.005,1,0)))</f>
      </c>
      <c r="J1764" s="43">
        <f>IF($I1763=0,0,$R1763)</f>
      </c>
      <c r="K1764" s="43">
        <f>IF($I1764=0,0,IF(INDEX(DarlOhneTilgung,4)=1,0,IF(AND(INDEX(DarlTilgStart,4)&gt;0,$E1764=INDEX(DarlTilgStart,4)),$J1764*($H1764+INDEX(DarlTilgung,4))/100/12,IF(AND($G1764=0,$G1763=1),MAX($K1763,$J1764*($H1764+1)/100/12),$K1763))))</f>
      </c>
      <c r="L1764" s="43">
        <f>IF($I1764=0,0,$J1764*$H1764/100/12)</f>
      </c>
      <c r="M1764" s="43">
        <f>IF($I1764=0,0,IF(OR(INDEX(DarlOhneTilgung,4)=1,AND(INDEX(DarlTilgStart,4)&gt;0,$E1764&lt;INDEX(DarlTilgStart,4))),0,MIN(MAX(0,$K1764-$L1764),$J1764)))</f>
      </c>
      <c r="N1764" s="43">
        <f>IF($I1764=0,0,MIN(SUMIFS(SondBetrag,SondDarl,4,SondDatum,"&gt;="&amp;$E1764,SondDatum,"&lt;="&amp;EOMONTH($E1764,0)),$J1764-$M1764))</f>
      </c>
      <c r="O1764" s="43">
        <f>IF($I1764=0,0,INDEX(DarlErsatzRate,4))</f>
      </c>
      <c r="P1764" s="43">
        <f>IF($I1764=0,0,$Q1763*INDEX(DarlErsatzZins,4))</f>
      </c>
      <c r="Q1764" s="43">
        <f>IF($I1764=0,0,$Q1763+$P1764+$O1764)</f>
      </c>
      <c r="R1764" s="43">
        <f>IF($I1764=0,0,$J1764-$M1764-$N1764)</f>
      </c>
    </row>
    <row r="1765">
      <c r="A1765"/>
      <c r="B1765">
        <v>4</v>
      </c>
      <c r="C1765" s="43">
        <f>INDEX(DarlObj,4)</f>
      </c>
      <c r="D1765">
        <v>322</v>
      </c>
      <c r="E1765" s="51">
        <f>IF(INDEX(DarlBelegt,4)=0,0,EOMONTH(INDEX(DarlAuszahlung,4),321)+1)</f>
      </c>
      <c r="F1765" s="43">
        <f>IF($E1765=0,0,YEAR($E1765))</f>
      </c>
      <c r="G1765" s="43">
        <f>IF(INDEX(DarlBindung,4)="",1,IF($E1765&lt;=INDEX(DarlBindung,4),1,0))</f>
      </c>
      <c r="H1765" s="43">
        <f>IF($G1765=1,INDEX(DarlSollzins,4),INDEX(DarlAnschluss,4))</f>
      </c>
      <c r="I1765" s="43">
        <f>IF(INDEX(DarlBelegt,4)=0,0,IF(INDEX(DarlOhneTilgung,4)=1,IF(INDEX(DarlBindung,4)="",1,$G1765),IF($J1765&gt;0.005,1,0)))</f>
      </c>
      <c r="J1765" s="43">
        <f>IF($I1764=0,0,$R1764)</f>
      </c>
      <c r="K1765" s="43">
        <f>IF($I1765=0,0,IF(INDEX(DarlOhneTilgung,4)=1,0,IF(AND(INDEX(DarlTilgStart,4)&gt;0,$E1765=INDEX(DarlTilgStart,4)),$J1765*($H1765+INDEX(DarlTilgung,4))/100/12,IF(AND($G1765=0,$G1764=1),MAX($K1764,$J1765*($H1765+1)/100/12),$K1764))))</f>
      </c>
      <c r="L1765" s="43">
        <f>IF($I1765=0,0,$J1765*$H1765/100/12)</f>
      </c>
      <c r="M1765" s="43">
        <f>IF($I1765=0,0,IF(OR(INDEX(DarlOhneTilgung,4)=1,AND(INDEX(DarlTilgStart,4)&gt;0,$E1765&lt;INDEX(DarlTilgStart,4))),0,MIN(MAX(0,$K1765-$L1765),$J1765)))</f>
      </c>
      <c r="N1765" s="43">
        <f>IF($I1765=0,0,MIN(SUMIFS(SondBetrag,SondDarl,4,SondDatum,"&gt;="&amp;$E1765,SondDatum,"&lt;="&amp;EOMONTH($E1765,0)),$J1765-$M1765))</f>
      </c>
      <c r="O1765" s="43">
        <f>IF($I1765=0,0,INDEX(DarlErsatzRate,4))</f>
      </c>
      <c r="P1765" s="43">
        <f>IF($I1765=0,0,$Q1764*INDEX(DarlErsatzZins,4))</f>
      </c>
      <c r="Q1765" s="43">
        <f>IF($I1765=0,0,$Q1764+$P1765+$O1765)</f>
      </c>
      <c r="R1765" s="43">
        <f>IF($I1765=0,0,$J1765-$M1765-$N1765)</f>
      </c>
    </row>
    <row r="1766">
      <c r="A1766"/>
      <c r="B1766">
        <v>4</v>
      </c>
      <c r="C1766" s="43">
        <f>INDEX(DarlObj,4)</f>
      </c>
      <c r="D1766">
        <v>323</v>
      </c>
      <c r="E1766" s="51">
        <f>IF(INDEX(DarlBelegt,4)=0,0,EOMONTH(INDEX(DarlAuszahlung,4),322)+1)</f>
      </c>
      <c r="F1766" s="43">
        <f>IF($E1766=0,0,YEAR($E1766))</f>
      </c>
      <c r="G1766" s="43">
        <f>IF(INDEX(DarlBindung,4)="",1,IF($E1766&lt;=INDEX(DarlBindung,4),1,0))</f>
      </c>
      <c r="H1766" s="43">
        <f>IF($G1766=1,INDEX(DarlSollzins,4),INDEX(DarlAnschluss,4))</f>
      </c>
      <c r="I1766" s="43">
        <f>IF(INDEX(DarlBelegt,4)=0,0,IF(INDEX(DarlOhneTilgung,4)=1,IF(INDEX(DarlBindung,4)="",1,$G1766),IF($J1766&gt;0.005,1,0)))</f>
      </c>
      <c r="J1766" s="43">
        <f>IF($I1765=0,0,$R1765)</f>
      </c>
      <c r="K1766" s="43">
        <f>IF($I1766=0,0,IF(INDEX(DarlOhneTilgung,4)=1,0,IF(AND(INDEX(DarlTilgStart,4)&gt;0,$E1766=INDEX(DarlTilgStart,4)),$J1766*($H1766+INDEX(DarlTilgung,4))/100/12,IF(AND($G1766=0,$G1765=1),MAX($K1765,$J1766*($H1766+1)/100/12),$K1765))))</f>
      </c>
      <c r="L1766" s="43">
        <f>IF($I1766=0,0,$J1766*$H1766/100/12)</f>
      </c>
      <c r="M1766" s="43">
        <f>IF($I1766=0,0,IF(OR(INDEX(DarlOhneTilgung,4)=1,AND(INDEX(DarlTilgStart,4)&gt;0,$E1766&lt;INDEX(DarlTilgStart,4))),0,MIN(MAX(0,$K1766-$L1766),$J1766)))</f>
      </c>
      <c r="N1766" s="43">
        <f>IF($I1766=0,0,MIN(SUMIFS(SondBetrag,SondDarl,4,SondDatum,"&gt;="&amp;$E1766,SondDatum,"&lt;="&amp;EOMONTH($E1766,0)),$J1766-$M1766))</f>
      </c>
      <c r="O1766" s="43">
        <f>IF($I1766=0,0,INDEX(DarlErsatzRate,4))</f>
      </c>
      <c r="P1766" s="43">
        <f>IF($I1766=0,0,$Q1765*INDEX(DarlErsatzZins,4))</f>
      </c>
      <c r="Q1766" s="43">
        <f>IF($I1766=0,0,$Q1765+$P1766+$O1766)</f>
      </c>
      <c r="R1766" s="43">
        <f>IF($I1766=0,0,$J1766-$M1766-$N1766)</f>
      </c>
    </row>
    <row r="1767">
      <c r="A1767"/>
      <c r="B1767">
        <v>4</v>
      </c>
      <c r="C1767" s="43">
        <f>INDEX(DarlObj,4)</f>
      </c>
      <c r="D1767">
        <v>324</v>
      </c>
      <c r="E1767" s="51">
        <f>IF(INDEX(DarlBelegt,4)=0,0,EOMONTH(INDEX(DarlAuszahlung,4),323)+1)</f>
      </c>
      <c r="F1767" s="43">
        <f>IF($E1767=0,0,YEAR($E1767))</f>
      </c>
      <c r="G1767" s="43">
        <f>IF(INDEX(DarlBindung,4)="",1,IF($E1767&lt;=INDEX(DarlBindung,4),1,0))</f>
      </c>
      <c r="H1767" s="43">
        <f>IF($G1767=1,INDEX(DarlSollzins,4),INDEX(DarlAnschluss,4))</f>
      </c>
      <c r="I1767" s="43">
        <f>IF(INDEX(DarlBelegt,4)=0,0,IF(INDEX(DarlOhneTilgung,4)=1,IF(INDEX(DarlBindung,4)="",1,$G1767),IF($J1767&gt;0.005,1,0)))</f>
      </c>
      <c r="J1767" s="43">
        <f>IF($I1766=0,0,$R1766)</f>
      </c>
      <c r="K1767" s="43">
        <f>IF($I1767=0,0,IF(INDEX(DarlOhneTilgung,4)=1,0,IF(AND(INDEX(DarlTilgStart,4)&gt;0,$E1767=INDEX(DarlTilgStart,4)),$J1767*($H1767+INDEX(DarlTilgung,4))/100/12,IF(AND($G1767=0,$G1766=1),MAX($K1766,$J1767*($H1767+1)/100/12),$K1766))))</f>
      </c>
      <c r="L1767" s="43">
        <f>IF($I1767=0,0,$J1767*$H1767/100/12)</f>
      </c>
      <c r="M1767" s="43">
        <f>IF($I1767=0,0,IF(OR(INDEX(DarlOhneTilgung,4)=1,AND(INDEX(DarlTilgStart,4)&gt;0,$E1767&lt;INDEX(DarlTilgStart,4))),0,MIN(MAX(0,$K1767-$L1767),$J1767)))</f>
      </c>
      <c r="N1767" s="43">
        <f>IF($I1767=0,0,MIN(SUMIFS(SondBetrag,SondDarl,4,SondDatum,"&gt;="&amp;$E1767,SondDatum,"&lt;="&amp;EOMONTH($E1767,0)),$J1767-$M1767))</f>
      </c>
      <c r="O1767" s="43">
        <f>IF($I1767=0,0,INDEX(DarlErsatzRate,4))</f>
      </c>
      <c r="P1767" s="43">
        <f>IF($I1767=0,0,$Q1766*INDEX(DarlErsatzZins,4))</f>
      </c>
      <c r="Q1767" s="43">
        <f>IF($I1767=0,0,$Q1766+$P1767+$O1767)</f>
      </c>
      <c r="R1767" s="43">
        <f>IF($I1767=0,0,$J1767-$M1767-$N1767)</f>
      </c>
    </row>
    <row r="1768">
      <c r="A1768"/>
      <c r="B1768">
        <v>4</v>
      </c>
      <c r="C1768" s="43">
        <f>INDEX(DarlObj,4)</f>
      </c>
      <c r="D1768">
        <v>325</v>
      </c>
      <c r="E1768" s="51">
        <f>IF(INDEX(DarlBelegt,4)=0,0,EOMONTH(INDEX(DarlAuszahlung,4),324)+1)</f>
      </c>
      <c r="F1768" s="43">
        <f>IF($E1768=0,0,YEAR($E1768))</f>
      </c>
      <c r="G1768" s="43">
        <f>IF(INDEX(DarlBindung,4)="",1,IF($E1768&lt;=INDEX(DarlBindung,4),1,0))</f>
      </c>
      <c r="H1768" s="43">
        <f>IF($G1768=1,INDEX(DarlSollzins,4),INDEX(DarlAnschluss,4))</f>
      </c>
      <c r="I1768" s="43">
        <f>IF(INDEX(DarlBelegt,4)=0,0,IF(INDEX(DarlOhneTilgung,4)=1,IF(INDEX(DarlBindung,4)="",1,$G1768),IF($J1768&gt;0.005,1,0)))</f>
      </c>
      <c r="J1768" s="43">
        <f>IF($I1767=0,0,$R1767)</f>
      </c>
      <c r="K1768" s="43">
        <f>IF($I1768=0,0,IF(INDEX(DarlOhneTilgung,4)=1,0,IF(AND(INDEX(DarlTilgStart,4)&gt;0,$E1768=INDEX(DarlTilgStart,4)),$J1768*($H1768+INDEX(DarlTilgung,4))/100/12,IF(AND($G1768=0,$G1767=1),MAX($K1767,$J1768*($H1768+1)/100/12),$K1767))))</f>
      </c>
      <c r="L1768" s="43">
        <f>IF($I1768=0,0,$J1768*$H1768/100/12)</f>
      </c>
      <c r="M1768" s="43">
        <f>IF($I1768=0,0,IF(OR(INDEX(DarlOhneTilgung,4)=1,AND(INDEX(DarlTilgStart,4)&gt;0,$E1768&lt;INDEX(DarlTilgStart,4))),0,MIN(MAX(0,$K1768-$L1768),$J1768)))</f>
      </c>
      <c r="N1768" s="43">
        <f>IF($I1768=0,0,MIN(SUMIFS(SondBetrag,SondDarl,4,SondDatum,"&gt;="&amp;$E1768,SondDatum,"&lt;="&amp;EOMONTH($E1768,0)),$J1768-$M1768))</f>
      </c>
      <c r="O1768" s="43">
        <f>IF($I1768=0,0,INDEX(DarlErsatzRate,4))</f>
      </c>
      <c r="P1768" s="43">
        <f>IF($I1768=0,0,$Q1767*INDEX(DarlErsatzZins,4))</f>
      </c>
      <c r="Q1768" s="43">
        <f>IF($I1768=0,0,$Q1767+$P1768+$O1768)</f>
      </c>
      <c r="R1768" s="43">
        <f>IF($I1768=0,0,$J1768-$M1768-$N1768)</f>
      </c>
    </row>
    <row r="1769">
      <c r="A1769"/>
      <c r="B1769">
        <v>4</v>
      </c>
      <c r="C1769" s="43">
        <f>INDEX(DarlObj,4)</f>
      </c>
      <c r="D1769">
        <v>326</v>
      </c>
      <c r="E1769" s="51">
        <f>IF(INDEX(DarlBelegt,4)=0,0,EOMONTH(INDEX(DarlAuszahlung,4),325)+1)</f>
      </c>
      <c r="F1769" s="43">
        <f>IF($E1769=0,0,YEAR($E1769))</f>
      </c>
      <c r="G1769" s="43">
        <f>IF(INDEX(DarlBindung,4)="",1,IF($E1769&lt;=INDEX(DarlBindung,4),1,0))</f>
      </c>
      <c r="H1769" s="43">
        <f>IF($G1769=1,INDEX(DarlSollzins,4),INDEX(DarlAnschluss,4))</f>
      </c>
      <c r="I1769" s="43">
        <f>IF(INDEX(DarlBelegt,4)=0,0,IF(INDEX(DarlOhneTilgung,4)=1,IF(INDEX(DarlBindung,4)="",1,$G1769),IF($J1769&gt;0.005,1,0)))</f>
      </c>
      <c r="J1769" s="43">
        <f>IF($I1768=0,0,$R1768)</f>
      </c>
      <c r="K1769" s="43">
        <f>IF($I1769=0,0,IF(INDEX(DarlOhneTilgung,4)=1,0,IF(AND(INDEX(DarlTilgStart,4)&gt;0,$E1769=INDEX(DarlTilgStart,4)),$J1769*($H1769+INDEX(DarlTilgung,4))/100/12,IF(AND($G1769=0,$G1768=1),MAX($K1768,$J1769*($H1769+1)/100/12),$K1768))))</f>
      </c>
      <c r="L1769" s="43">
        <f>IF($I1769=0,0,$J1769*$H1769/100/12)</f>
      </c>
      <c r="M1769" s="43">
        <f>IF($I1769=0,0,IF(OR(INDEX(DarlOhneTilgung,4)=1,AND(INDEX(DarlTilgStart,4)&gt;0,$E1769&lt;INDEX(DarlTilgStart,4))),0,MIN(MAX(0,$K1769-$L1769),$J1769)))</f>
      </c>
      <c r="N1769" s="43">
        <f>IF($I1769=0,0,MIN(SUMIFS(SondBetrag,SondDarl,4,SondDatum,"&gt;="&amp;$E1769,SondDatum,"&lt;="&amp;EOMONTH($E1769,0)),$J1769-$M1769))</f>
      </c>
      <c r="O1769" s="43">
        <f>IF($I1769=0,0,INDEX(DarlErsatzRate,4))</f>
      </c>
      <c r="P1769" s="43">
        <f>IF($I1769=0,0,$Q1768*INDEX(DarlErsatzZins,4))</f>
      </c>
      <c r="Q1769" s="43">
        <f>IF($I1769=0,0,$Q1768+$P1769+$O1769)</f>
      </c>
      <c r="R1769" s="43">
        <f>IF($I1769=0,0,$J1769-$M1769-$N1769)</f>
      </c>
    </row>
    <row r="1770">
      <c r="A1770"/>
      <c r="B1770">
        <v>4</v>
      </c>
      <c r="C1770" s="43">
        <f>INDEX(DarlObj,4)</f>
      </c>
      <c r="D1770">
        <v>327</v>
      </c>
      <c r="E1770" s="51">
        <f>IF(INDEX(DarlBelegt,4)=0,0,EOMONTH(INDEX(DarlAuszahlung,4),326)+1)</f>
      </c>
      <c r="F1770" s="43">
        <f>IF($E1770=0,0,YEAR($E1770))</f>
      </c>
      <c r="G1770" s="43">
        <f>IF(INDEX(DarlBindung,4)="",1,IF($E1770&lt;=INDEX(DarlBindung,4),1,0))</f>
      </c>
      <c r="H1770" s="43">
        <f>IF($G1770=1,INDEX(DarlSollzins,4),INDEX(DarlAnschluss,4))</f>
      </c>
      <c r="I1770" s="43">
        <f>IF(INDEX(DarlBelegt,4)=0,0,IF(INDEX(DarlOhneTilgung,4)=1,IF(INDEX(DarlBindung,4)="",1,$G1770),IF($J1770&gt;0.005,1,0)))</f>
      </c>
      <c r="J1770" s="43">
        <f>IF($I1769=0,0,$R1769)</f>
      </c>
      <c r="K1770" s="43">
        <f>IF($I1770=0,0,IF(INDEX(DarlOhneTilgung,4)=1,0,IF(AND(INDEX(DarlTilgStart,4)&gt;0,$E1770=INDEX(DarlTilgStart,4)),$J1770*($H1770+INDEX(DarlTilgung,4))/100/12,IF(AND($G1770=0,$G1769=1),MAX($K1769,$J1770*($H1770+1)/100/12),$K1769))))</f>
      </c>
      <c r="L1770" s="43">
        <f>IF($I1770=0,0,$J1770*$H1770/100/12)</f>
      </c>
      <c r="M1770" s="43">
        <f>IF($I1770=0,0,IF(OR(INDEX(DarlOhneTilgung,4)=1,AND(INDEX(DarlTilgStart,4)&gt;0,$E1770&lt;INDEX(DarlTilgStart,4))),0,MIN(MAX(0,$K1770-$L1770),$J1770)))</f>
      </c>
      <c r="N1770" s="43">
        <f>IF($I1770=0,0,MIN(SUMIFS(SondBetrag,SondDarl,4,SondDatum,"&gt;="&amp;$E1770,SondDatum,"&lt;="&amp;EOMONTH($E1770,0)),$J1770-$M1770))</f>
      </c>
      <c r="O1770" s="43">
        <f>IF($I1770=0,0,INDEX(DarlErsatzRate,4))</f>
      </c>
      <c r="P1770" s="43">
        <f>IF($I1770=0,0,$Q1769*INDEX(DarlErsatzZins,4))</f>
      </c>
      <c r="Q1770" s="43">
        <f>IF($I1770=0,0,$Q1769+$P1770+$O1770)</f>
      </c>
      <c r="R1770" s="43">
        <f>IF($I1770=0,0,$J1770-$M1770-$N1770)</f>
      </c>
    </row>
    <row r="1771">
      <c r="A1771"/>
      <c r="B1771">
        <v>4</v>
      </c>
      <c r="C1771" s="43">
        <f>INDEX(DarlObj,4)</f>
      </c>
      <c r="D1771">
        <v>328</v>
      </c>
      <c r="E1771" s="51">
        <f>IF(INDEX(DarlBelegt,4)=0,0,EOMONTH(INDEX(DarlAuszahlung,4),327)+1)</f>
      </c>
      <c r="F1771" s="43">
        <f>IF($E1771=0,0,YEAR($E1771))</f>
      </c>
      <c r="G1771" s="43">
        <f>IF(INDEX(DarlBindung,4)="",1,IF($E1771&lt;=INDEX(DarlBindung,4),1,0))</f>
      </c>
      <c r="H1771" s="43">
        <f>IF($G1771=1,INDEX(DarlSollzins,4),INDEX(DarlAnschluss,4))</f>
      </c>
      <c r="I1771" s="43">
        <f>IF(INDEX(DarlBelegt,4)=0,0,IF(INDEX(DarlOhneTilgung,4)=1,IF(INDEX(DarlBindung,4)="",1,$G1771),IF($J1771&gt;0.005,1,0)))</f>
      </c>
      <c r="J1771" s="43">
        <f>IF($I1770=0,0,$R1770)</f>
      </c>
      <c r="K1771" s="43">
        <f>IF($I1771=0,0,IF(INDEX(DarlOhneTilgung,4)=1,0,IF(AND(INDEX(DarlTilgStart,4)&gt;0,$E1771=INDEX(DarlTilgStart,4)),$J1771*($H1771+INDEX(DarlTilgung,4))/100/12,IF(AND($G1771=0,$G1770=1),MAX($K1770,$J1771*($H1771+1)/100/12),$K1770))))</f>
      </c>
      <c r="L1771" s="43">
        <f>IF($I1771=0,0,$J1771*$H1771/100/12)</f>
      </c>
      <c r="M1771" s="43">
        <f>IF($I1771=0,0,IF(OR(INDEX(DarlOhneTilgung,4)=1,AND(INDEX(DarlTilgStart,4)&gt;0,$E1771&lt;INDEX(DarlTilgStart,4))),0,MIN(MAX(0,$K1771-$L1771),$J1771)))</f>
      </c>
      <c r="N1771" s="43">
        <f>IF($I1771=0,0,MIN(SUMIFS(SondBetrag,SondDarl,4,SondDatum,"&gt;="&amp;$E1771,SondDatum,"&lt;="&amp;EOMONTH($E1771,0)),$J1771-$M1771))</f>
      </c>
      <c r="O1771" s="43">
        <f>IF($I1771=0,0,INDEX(DarlErsatzRate,4))</f>
      </c>
      <c r="P1771" s="43">
        <f>IF($I1771=0,0,$Q1770*INDEX(DarlErsatzZins,4))</f>
      </c>
      <c r="Q1771" s="43">
        <f>IF($I1771=0,0,$Q1770+$P1771+$O1771)</f>
      </c>
      <c r="R1771" s="43">
        <f>IF($I1771=0,0,$J1771-$M1771-$N1771)</f>
      </c>
    </row>
    <row r="1772">
      <c r="A1772"/>
      <c r="B1772">
        <v>4</v>
      </c>
      <c r="C1772" s="43">
        <f>INDEX(DarlObj,4)</f>
      </c>
      <c r="D1772">
        <v>329</v>
      </c>
      <c r="E1772" s="51">
        <f>IF(INDEX(DarlBelegt,4)=0,0,EOMONTH(INDEX(DarlAuszahlung,4),328)+1)</f>
      </c>
      <c r="F1772" s="43">
        <f>IF($E1772=0,0,YEAR($E1772))</f>
      </c>
      <c r="G1772" s="43">
        <f>IF(INDEX(DarlBindung,4)="",1,IF($E1772&lt;=INDEX(DarlBindung,4),1,0))</f>
      </c>
      <c r="H1772" s="43">
        <f>IF($G1772=1,INDEX(DarlSollzins,4),INDEX(DarlAnschluss,4))</f>
      </c>
      <c r="I1772" s="43">
        <f>IF(INDEX(DarlBelegt,4)=0,0,IF(INDEX(DarlOhneTilgung,4)=1,IF(INDEX(DarlBindung,4)="",1,$G1772),IF($J1772&gt;0.005,1,0)))</f>
      </c>
      <c r="J1772" s="43">
        <f>IF($I1771=0,0,$R1771)</f>
      </c>
      <c r="K1772" s="43">
        <f>IF($I1772=0,0,IF(INDEX(DarlOhneTilgung,4)=1,0,IF(AND(INDEX(DarlTilgStart,4)&gt;0,$E1772=INDEX(DarlTilgStart,4)),$J1772*($H1772+INDEX(DarlTilgung,4))/100/12,IF(AND($G1772=0,$G1771=1),MAX($K1771,$J1772*($H1772+1)/100/12),$K1771))))</f>
      </c>
      <c r="L1772" s="43">
        <f>IF($I1772=0,0,$J1772*$H1772/100/12)</f>
      </c>
      <c r="M1772" s="43">
        <f>IF($I1772=0,0,IF(OR(INDEX(DarlOhneTilgung,4)=1,AND(INDEX(DarlTilgStart,4)&gt;0,$E1772&lt;INDEX(DarlTilgStart,4))),0,MIN(MAX(0,$K1772-$L1772),$J1772)))</f>
      </c>
      <c r="N1772" s="43">
        <f>IF($I1772=0,0,MIN(SUMIFS(SondBetrag,SondDarl,4,SondDatum,"&gt;="&amp;$E1772,SondDatum,"&lt;="&amp;EOMONTH($E1772,0)),$J1772-$M1772))</f>
      </c>
      <c r="O1772" s="43">
        <f>IF($I1772=0,0,INDEX(DarlErsatzRate,4))</f>
      </c>
      <c r="P1772" s="43">
        <f>IF($I1772=0,0,$Q1771*INDEX(DarlErsatzZins,4))</f>
      </c>
      <c r="Q1772" s="43">
        <f>IF($I1772=0,0,$Q1771+$P1772+$O1772)</f>
      </c>
      <c r="R1772" s="43">
        <f>IF($I1772=0,0,$J1772-$M1772-$N1772)</f>
      </c>
    </row>
    <row r="1773">
      <c r="A1773"/>
      <c r="B1773">
        <v>4</v>
      </c>
      <c r="C1773" s="43">
        <f>INDEX(DarlObj,4)</f>
      </c>
      <c r="D1773">
        <v>330</v>
      </c>
      <c r="E1773" s="51">
        <f>IF(INDEX(DarlBelegt,4)=0,0,EOMONTH(INDEX(DarlAuszahlung,4),329)+1)</f>
      </c>
      <c r="F1773" s="43">
        <f>IF($E1773=0,0,YEAR($E1773))</f>
      </c>
      <c r="G1773" s="43">
        <f>IF(INDEX(DarlBindung,4)="",1,IF($E1773&lt;=INDEX(DarlBindung,4),1,0))</f>
      </c>
      <c r="H1773" s="43">
        <f>IF($G1773=1,INDEX(DarlSollzins,4),INDEX(DarlAnschluss,4))</f>
      </c>
      <c r="I1773" s="43">
        <f>IF(INDEX(DarlBelegt,4)=0,0,IF(INDEX(DarlOhneTilgung,4)=1,IF(INDEX(DarlBindung,4)="",1,$G1773),IF($J1773&gt;0.005,1,0)))</f>
      </c>
      <c r="J1773" s="43">
        <f>IF($I1772=0,0,$R1772)</f>
      </c>
      <c r="K1773" s="43">
        <f>IF($I1773=0,0,IF(INDEX(DarlOhneTilgung,4)=1,0,IF(AND(INDEX(DarlTilgStart,4)&gt;0,$E1773=INDEX(DarlTilgStart,4)),$J1773*($H1773+INDEX(DarlTilgung,4))/100/12,IF(AND($G1773=0,$G1772=1),MAX($K1772,$J1773*($H1773+1)/100/12),$K1772))))</f>
      </c>
      <c r="L1773" s="43">
        <f>IF($I1773=0,0,$J1773*$H1773/100/12)</f>
      </c>
      <c r="M1773" s="43">
        <f>IF($I1773=0,0,IF(OR(INDEX(DarlOhneTilgung,4)=1,AND(INDEX(DarlTilgStart,4)&gt;0,$E1773&lt;INDEX(DarlTilgStart,4))),0,MIN(MAX(0,$K1773-$L1773),$J1773)))</f>
      </c>
      <c r="N1773" s="43">
        <f>IF($I1773=0,0,MIN(SUMIFS(SondBetrag,SondDarl,4,SondDatum,"&gt;="&amp;$E1773,SondDatum,"&lt;="&amp;EOMONTH($E1773,0)),$J1773-$M1773))</f>
      </c>
      <c r="O1773" s="43">
        <f>IF($I1773=0,0,INDEX(DarlErsatzRate,4))</f>
      </c>
      <c r="P1773" s="43">
        <f>IF($I1773=0,0,$Q1772*INDEX(DarlErsatzZins,4))</f>
      </c>
      <c r="Q1773" s="43">
        <f>IF($I1773=0,0,$Q1772+$P1773+$O1773)</f>
      </c>
      <c r="R1773" s="43">
        <f>IF($I1773=0,0,$J1773-$M1773-$N1773)</f>
      </c>
    </row>
    <row r="1774">
      <c r="A1774"/>
      <c r="B1774">
        <v>4</v>
      </c>
      <c r="C1774" s="43">
        <f>INDEX(DarlObj,4)</f>
      </c>
      <c r="D1774">
        <v>331</v>
      </c>
      <c r="E1774" s="51">
        <f>IF(INDEX(DarlBelegt,4)=0,0,EOMONTH(INDEX(DarlAuszahlung,4),330)+1)</f>
      </c>
      <c r="F1774" s="43">
        <f>IF($E1774=0,0,YEAR($E1774))</f>
      </c>
      <c r="G1774" s="43">
        <f>IF(INDEX(DarlBindung,4)="",1,IF($E1774&lt;=INDEX(DarlBindung,4),1,0))</f>
      </c>
      <c r="H1774" s="43">
        <f>IF($G1774=1,INDEX(DarlSollzins,4),INDEX(DarlAnschluss,4))</f>
      </c>
      <c r="I1774" s="43">
        <f>IF(INDEX(DarlBelegt,4)=0,0,IF(INDEX(DarlOhneTilgung,4)=1,IF(INDEX(DarlBindung,4)="",1,$G1774),IF($J1774&gt;0.005,1,0)))</f>
      </c>
      <c r="J1774" s="43">
        <f>IF($I1773=0,0,$R1773)</f>
      </c>
      <c r="K1774" s="43">
        <f>IF($I1774=0,0,IF(INDEX(DarlOhneTilgung,4)=1,0,IF(AND(INDEX(DarlTilgStart,4)&gt;0,$E1774=INDEX(DarlTilgStart,4)),$J1774*($H1774+INDEX(DarlTilgung,4))/100/12,IF(AND($G1774=0,$G1773=1),MAX($K1773,$J1774*($H1774+1)/100/12),$K1773))))</f>
      </c>
      <c r="L1774" s="43">
        <f>IF($I1774=0,0,$J1774*$H1774/100/12)</f>
      </c>
      <c r="M1774" s="43">
        <f>IF($I1774=0,0,IF(OR(INDEX(DarlOhneTilgung,4)=1,AND(INDEX(DarlTilgStart,4)&gt;0,$E1774&lt;INDEX(DarlTilgStart,4))),0,MIN(MAX(0,$K1774-$L1774),$J1774)))</f>
      </c>
      <c r="N1774" s="43">
        <f>IF($I1774=0,0,MIN(SUMIFS(SondBetrag,SondDarl,4,SondDatum,"&gt;="&amp;$E1774,SondDatum,"&lt;="&amp;EOMONTH($E1774,0)),$J1774-$M1774))</f>
      </c>
      <c r="O1774" s="43">
        <f>IF($I1774=0,0,INDEX(DarlErsatzRate,4))</f>
      </c>
      <c r="P1774" s="43">
        <f>IF($I1774=0,0,$Q1773*INDEX(DarlErsatzZins,4))</f>
      </c>
      <c r="Q1774" s="43">
        <f>IF($I1774=0,0,$Q1773+$P1774+$O1774)</f>
      </c>
      <c r="R1774" s="43">
        <f>IF($I1774=0,0,$J1774-$M1774-$N1774)</f>
      </c>
    </row>
    <row r="1775">
      <c r="A1775"/>
      <c r="B1775">
        <v>4</v>
      </c>
      <c r="C1775" s="43">
        <f>INDEX(DarlObj,4)</f>
      </c>
      <c r="D1775">
        <v>332</v>
      </c>
      <c r="E1775" s="51">
        <f>IF(INDEX(DarlBelegt,4)=0,0,EOMONTH(INDEX(DarlAuszahlung,4),331)+1)</f>
      </c>
      <c r="F1775" s="43">
        <f>IF($E1775=0,0,YEAR($E1775))</f>
      </c>
      <c r="G1775" s="43">
        <f>IF(INDEX(DarlBindung,4)="",1,IF($E1775&lt;=INDEX(DarlBindung,4),1,0))</f>
      </c>
      <c r="H1775" s="43">
        <f>IF($G1775=1,INDEX(DarlSollzins,4),INDEX(DarlAnschluss,4))</f>
      </c>
      <c r="I1775" s="43">
        <f>IF(INDEX(DarlBelegt,4)=0,0,IF(INDEX(DarlOhneTilgung,4)=1,IF(INDEX(DarlBindung,4)="",1,$G1775),IF($J1775&gt;0.005,1,0)))</f>
      </c>
      <c r="J1775" s="43">
        <f>IF($I1774=0,0,$R1774)</f>
      </c>
      <c r="K1775" s="43">
        <f>IF($I1775=0,0,IF(INDEX(DarlOhneTilgung,4)=1,0,IF(AND(INDEX(DarlTilgStart,4)&gt;0,$E1775=INDEX(DarlTilgStart,4)),$J1775*($H1775+INDEX(DarlTilgung,4))/100/12,IF(AND($G1775=0,$G1774=1),MAX($K1774,$J1775*($H1775+1)/100/12),$K1774))))</f>
      </c>
      <c r="L1775" s="43">
        <f>IF($I1775=0,0,$J1775*$H1775/100/12)</f>
      </c>
      <c r="M1775" s="43">
        <f>IF($I1775=0,0,IF(OR(INDEX(DarlOhneTilgung,4)=1,AND(INDEX(DarlTilgStart,4)&gt;0,$E1775&lt;INDEX(DarlTilgStart,4))),0,MIN(MAX(0,$K1775-$L1775),$J1775)))</f>
      </c>
      <c r="N1775" s="43">
        <f>IF($I1775=0,0,MIN(SUMIFS(SondBetrag,SondDarl,4,SondDatum,"&gt;="&amp;$E1775,SondDatum,"&lt;="&amp;EOMONTH($E1775,0)),$J1775-$M1775))</f>
      </c>
      <c r="O1775" s="43">
        <f>IF($I1775=0,0,INDEX(DarlErsatzRate,4))</f>
      </c>
      <c r="P1775" s="43">
        <f>IF($I1775=0,0,$Q1774*INDEX(DarlErsatzZins,4))</f>
      </c>
      <c r="Q1775" s="43">
        <f>IF($I1775=0,0,$Q1774+$P1775+$O1775)</f>
      </c>
      <c r="R1775" s="43">
        <f>IF($I1775=0,0,$J1775-$M1775-$N1775)</f>
      </c>
    </row>
    <row r="1776">
      <c r="A1776"/>
      <c r="B1776">
        <v>4</v>
      </c>
      <c r="C1776" s="43">
        <f>INDEX(DarlObj,4)</f>
      </c>
      <c r="D1776">
        <v>333</v>
      </c>
      <c r="E1776" s="51">
        <f>IF(INDEX(DarlBelegt,4)=0,0,EOMONTH(INDEX(DarlAuszahlung,4),332)+1)</f>
      </c>
      <c r="F1776" s="43">
        <f>IF($E1776=0,0,YEAR($E1776))</f>
      </c>
      <c r="G1776" s="43">
        <f>IF(INDEX(DarlBindung,4)="",1,IF($E1776&lt;=INDEX(DarlBindung,4),1,0))</f>
      </c>
      <c r="H1776" s="43">
        <f>IF($G1776=1,INDEX(DarlSollzins,4),INDEX(DarlAnschluss,4))</f>
      </c>
      <c r="I1776" s="43">
        <f>IF(INDEX(DarlBelegt,4)=0,0,IF(INDEX(DarlOhneTilgung,4)=1,IF(INDEX(DarlBindung,4)="",1,$G1776),IF($J1776&gt;0.005,1,0)))</f>
      </c>
      <c r="J1776" s="43">
        <f>IF($I1775=0,0,$R1775)</f>
      </c>
      <c r="K1776" s="43">
        <f>IF($I1776=0,0,IF(INDEX(DarlOhneTilgung,4)=1,0,IF(AND(INDEX(DarlTilgStart,4)&gt;0,$E1776=INDEX(DarlTilgStart,4)),$J1776*($H1776+INDEX(DarlTilgung,4))/100/12,IF(AND($G1776=0,$G1775=1),MAX($K1775,$J1776*($H1776+1)/100/12),$K1775))))</f>
      </c>
      <c r="L1776" s="43">
        <f>IF($I1776=0,0,$J1776*$H1776/100/12)</f>
      </c>
      <c r="M1776" s="43">
        <f>IF($I1776=0,0,IF(OR(INDEX(DarlOhneTilgung,4)=1,AND(INDEX(DarlTilgStart,4)&gt;0,$E1776&lt;INDEX(DarlTilgStart,4))),0,MIN(MAX(0,$K1776-$L1776),$J1776)))</f>
      </c>
      <c r="N1776" s="43">
        <f>IF($I1776=0,0,MIN(SUMIFS(SondBetrag,SondDarl,4,SondDatum,"&gt;="&amp;$E1776,SondDatum,"&lt;="&amp;EOMONTH($E1776,0)),$J1776-$M1776))</f>
      </c>
      <c r="O1776" s="43">
        <f>IF($I1776=0,0,INDEX(DarlErsatzRate,4))</f>
      </c>
      <c r="P1776" s="43">
        <f>IF($I1776=0,0,$Q1775*INDEX(DarlErsatzZins,4))</f>
      </c>
      <c r="Q1776" s="43">
        <f>IF($I1776=0,0,$Q1775+$P1776+$O1776)</f>
      </c>
      <c r="R1776" s="43">
        <f>IF($I1776=0,0,$J1776-$M1776-$N1776)</f>
      </c>
    </row>
    <row r="1777">
      <c r="A1777"/>
      <c r="B1777">
        <v>4</v>
      </c>
      <c r="C1777" s="43">
        <f>INDEX(DarlObj,4)</f>
      </c>
      <c r="D1777">
        <v>334</v>
      </c>
      <c r="E1777" s="51">
        <f>IF(INDEX(DarlBelegt,4)=0,0,EOMONTH(INDEX(DarlAuszahlung,4),333)+1)</f>
      </c>
      <c r="F1777" s="43">
        <f>IF($E1777=0,0,YEAR($E1777))</f>
      </c>
      <c r="G1777" s="43">
        <f>IF(INDEX(DarlBindung,4)="",1,IF($E1777&lt;=INDEX(DarlBindung,4),1,0))</f>
      </c>
      <c r="H1777" s="43">
        <f>IF($G1777=1,INDEX(DarlSollzins,4),INDEX(DarlAnschluss,4))</f>
      </c>
      <c r="I1777" s="43">
        <f>IF(INDEX(DarlBelegt,4)=0,0,IF(INDEX(DarlOhneTilgung,4)=1,IF(INDEX(DarlBindung,4)="",1,$G1777),IF($J1777&gt;0.005,1,0)))</f>
      </c>
      <c r="J1777" s="43">
        <f>IF($I1776=0,0,$R1776)</f>
      </c>
      <c r="K1777" s="43">
        <f>IF($I1777=0,0,IF(INDEX(DarlOhneTilgung,4)=1,0,IF(AND(INDEX(DarlTilgStart,4)&gt;0,$E1777=INDEX(DarlTilgStart,4)),$J1777*($H1777+INDEX(DarlTilgung,4))/100/12,IF(AND($G1777=0,$G1776=1),MAX($K1776,$J1777*($H1777+1)/100/12),$K1776))))</f>
      </c>
      <c r="L1777" s="43">
        <f>IF($I1777=0,0,$J1777*$H1777/100/12)</f>
      </c>
      <c r="M1777" s="43">
        <f>IF($I1777=0,0,IF(OR(INDEX(DarlOhneTilgung,4)=1,AND(INDEX(DarlTilgStart,4)&gt;0,$E1777&lt;INDEX(DarlTilgStart,4))),0,MIN(MAX(0,$K1777-$L1777),$J1777)))</f>
      </c>
      <c r="N1777" s="43">
        <f>IF($I1777=0,0,MIN(SUMIFS(SondBetrag,SondDarl,4,SondDatum,"&gt;="&amp;$E1777,SondDatum,"&lt;="&amp;EOMONTH($E1777,0)),$J1777-$M1777))</f>
      </c>
      <c r="O1777" s="43">
        <f>IF($I1777=0,0,INDEX(DarlErsatzRate,4))</f>
      </c>
      <c r="P1777" s="43">
        <f>IF($I1777=0,0,$Q1776*INDEX(DarlErsatzZins,4))</f>
      </c>
      <c r="Q1777" s="43">
        <f>IF($I1777=0,0,$Q1776+$P1777+$O1777)</f>
      </c>
      <c r="R1777" s="43">
        <f>IF($I1777=0,0,$J1777-$M1777-$N1777)</f>
      </c>
    </row>
    <row r="1778">
      <c r="A1778"/>
      <c r="B1778">
        <v>4</v>
      </c>
      <c r="C1778" s="43">
        <f>INDEX(DarlObj,4)</f>
      </c>
      <c r="D1778">
        <v>335</v>
      </c>
      <c r="E1778" s="51">
        <f>IF(INDEX(DarlBelegt,4)=0,0,EOMONTH(INDEX(DarlAuszahlung,4),334)+1)</f>
      </c>
      <c r="F1778" s="43">
        <f>IF($E1778=0,0,YEAR($E1778))</f>
      </c>
      <c r="G1778" s="43">
        <f>IF(INDEX(DarlBindung,4)="",1,IF($E1778&lt;=INDEX(DarlBindung,4),1,0))</f>
      </c>
      <c r="H1778" s="43">
        <f>IF($G1778=1,INDEX(DarlSollzins,4),INDEX(DarlAnschluss,4))</f>
      </c>
      <c r="I1778" s="43">
        <f>IF(INDEX(DarlBelegt,4)=0,0,IF(INDEX(DarlOhneTilgung,4)=1,IF(INDEX(DarlBindung,4)="",1,$G1778),IF($J1778&gt;0.005,1,0)))</f>
      </c>
      <c r="J1778" s="43">
        <f>IF($I1777=0,0,$R1777)</f>
      </c>
      <c r="K1778" s="43">
        <f>IF($I1778=0,0,IF(INDEX(DarlOhneTilgung,4)=1,0,IF(AND(INDEX(DarlTilgStart,4)&gt;0,$E1778=INDEX(DarlTilgStart,4)),$J1778*($H1778+INDEX(DarlTilgung,4))/100/12,IF(AND($G1778=0,$G1777=1),MAX($K1777,$J1778*($H1778+1)/100/12),$K1777))))</f>
      </c>
      <c r="L1778" s="43">
        <f>IF($I1778=0,0,$J1778*$H1778/100/12)</f>
      </c>
      <c r="M1778" s="43">
        <f>IF($I1778=0,0,IF(OR(INDEX(DarlOhneTilgung,4)=1,AND(INDEX(DarlTilgStart,4)&gt;0,$E1778&lt;INDEX(DarlTilgStart,4))),0,MIN(MAX(0,$K1778-$L1778),$J1778)))</f>
      </c>
      <c r="N1778" s="43">
        <f>IF($I1778=0,0,MIN(SUMIFS(SondBetrag,SondDarl,4,SondDatum,"&gt;="&amp;$E1778,SondDatum,"&lt;="&amp;EOMONTH($E1778,0)),$J1778-$M1778))</f>
      </c>
      <c r="O1778" s="43">
        <f>IF($I1778=0,0,INDEX(DarlErsatzRate,4))</f>
      </c>
      <c r="P1778" s="43">
        <f>IF($I1778=0,0,$Q1777*INDEX(DarlErsatzZins,4))</f>
      </c>
      <c r="Q1778" s="43">
        <f>IF($I1778=0,0,$Q1777+$P1778+$O1778)</f>
      </c>
      <c r="R1778" s="43">
        <f>IF($I1778=0,0,$J1778-$M1778-$N1778)</f>
      </c>
    </row>
    <row r="1779">
      <c r="A1779"/>
      <c r="B1779">
        <v>4</v>
      </c>
      <c r="C1779" s="43">
        <f>INDEX(DarlObj,4)</f>
      </c>
      <c r="D1779">
        <v>336</v>
      </c>
      <c r="E1779" s="51">
        <f>IF(INDEX(DarlBelegt,4)=0,0,EOMONTH(INDEX(DarlAuszahlung,4),335)+1)</f>
      </c>
      <c r="F1779" s="43">
        <f>IF($E1779=0,0,YEAR($E1779))</f>
      </c>
      <c r="G1779" s="43">
        <f>IF(INDEX(DarlBindung,4)="",1,IF($E1779&lt;=INDEX(DarlBindung,4),1,0))</f>
      </c>
      <c r="H1779" s="43">
        <f>IF($G1779=1,INDEX(DarlSollzins,4),INDEX(DarlAnschluss,4))</f>
      </c>
      <c r="I1779" s="43">
        <f>IF(INDEX(DarlBelegt,4)=0,0,IF(INDEX(DarlOhneTilgung,4)=1,IF(INDEX(DarlBindung,4)="",1,$G1779),IF($J1779&gt;0.005,1,0)))</f>
      </c>
      <c r="J1779" s="43">
        <f>IF($I1778=0,0,$R1778)</f>
      </c>
      <c r="K1779" s="43">
        <f>IF($I1779=0,0,IF(INDEX(DarlOhneTilgung,4)=1,0,IF(AND(INDEX(DarlTilgStart,4)&gt;0,$E1779=INDEX(DarlTilgStart,4)),$J1779*($H1779+INDEX(DarlTilgung,4))/100/12,IF(AND($G1779=0,$G1778=1),MAX($K1778,$J1779*($H1779+1)/100/12),$K1778))))</f>
      </c>
      <c r="L1779" s="43">
        <f>IF($I1779=0,0,$J1779*$H1779/100/12)</f>
      </c>
      <c r="M1779" s="43">
        <f>IF($I1779=0,0,IF(OR(INDEX(DarlOhneTilgung,4)=1,AND(INDEX(DarlTilgStart,4)&gt;0,$E1779&lt;INDEX(DarlTilgStart,4))),0,MIN(MAX(0,$K1779-$L1779),$J1779)))</f>
      </c>
      <c r="N1779" s="43">
        <f>IF($I1779=0,0,MIN(SUMIFS(SondBetrag,SondDarl,4,SondDatum,"&gt;="&amp;$E1779,SondDatum,"&lt;="&amp;EOMONTH($E1779,0)),$J1779-$M1779))</f>
      </c>
      <c r="O1779" s="43">
        <f>IF($I1779=0,0,INDEX(DarlErsatzRate,4))</f>
      </c>
      <c r="P1779" s="43">
        <f>IF($I1779=0,0,$Q1778*INDEX(DarlErsatzZins,4))</f>
      </c>
      <c r="Q1779" s="43">
        <f>IF($I1779=0,0,$Q1778+$P1779+$O1779)</f>
      </c>
      <c r="R1779" s="43">
        <f>IF($I1779=0,0,$J1779-$M1779-$N1779)</f>
      </c>
    </row>
    <row r="1780">
      <c r="A1780"/>
      <c r="B1780">
        <v>4</v>
      </c>
      <c r="C1780" s="43">
        <f>INDEX(DarlObj,4)</f>
      </c>
      <c r="D1780">
        <v>337</v>
      </c>
      <c r="E1780" s="51">
        <f>IF(INDEX(DarlBelegt,4)=0,0,EOMONTH(INDEX(DarlAuszahlung,4),336)+1)</f>
      </c>
      <c r="F1780" s="43">
        <f>IF($E1780=0,0,YEAR($E1780))</f>
      </c>
      <c r="G1780" s="43">
        <f>IF(INDEX(DarlBindung,4)="",1,IF($E1780&lt;=INDEX(DarlBindung,4),1,0))</f>
      </c>
      <c r="H1780" s="43">
        <f>IF($G1780=1,INDEX(DarlSollzins,4),INDEX(DarlAnschluss,4))</f>
      </c>
      <c r="I1780" s="43">
        <f>IF(INDEX(DarlBelegt,4)=0,0,IF(INDEX(DarlOhneTilgung,4)=1,IF(INDEX(DarlBindung,4)="",1,$G1780),IF($J1780&gt;0.005,1,0)))</f>
      </c>
      <c r="J1780" s="43">
        <f>IF($I1779=0,0,$R1779)</f>
      </c>
      <c r="K1780" s="43">
        <f>IF($I1780=0,0,IF(INDEX(DarlOhneTilgung,4)=1,0,IF(AND(INDEX(DarlTilgStart,4)&gt;0,$E1780=INDEX(DarlTilgStart,4)),$J1780*($H1780+INDEX(DarlTilgung,4))/100/12,IF(AND($G1780=0,$G1779=1),MAX($K1779,$J1780*($H1780+1)/100/12),$K1779))))</f>
      </c>
      <c r="L1780" s="43">
        <f>IF($I1780=0,0,$J1780*$H1780/100/12)</f>
      </c>
      <c r="M1780" s="43">
        <f>IF($I1780=0,0,IF(OR(INDEX(DarlOhneTilgung,4)=1,AND(INDEX(DarlTilgStart,4)&gt;0,$E1780&lt;INDEX(DarlTilgStart,4))),0,MIN(MAX(0,$K1780-$L1780),$J1780)))</f>
      </c>
      <c r="N1780" s="43">
        <f>IF($I1780=0,0,MIN(SUMIFS(SondBetrag,SondDarl,4,SondDatum,"&gt;="&amp;$E1780,SondDatum,"&lt;="&amp;EOMONTH($E1780,0)),$J1780-$M1780))</f>
      </c>
      <c r="O1780" s="43">
        <f>IF($I1780=0,0,INDEX(DarlErsatzRate,4))</f>
      </c>
      <c r="P1780" s="43">
        <f>IF($I1780=0,0,$Q1779*INDEX(DarlErsatzZins,4))</f>
      </c>
      <c r="Q1780" s="43">
        <f>IF($I1780=0,0,$Q1779+$P1780+$O1780)</f>
      </c>
      <c r="R1780" s="43">
        <f>IF($I1780=0,0,$J1780-$M1780-$N1780)</f>
      </c>
    </row>
    <row r="1781">
      <c r="A1781"/>
      <c r="B1781">
        <v>4</v>
      </c>
      <c r="C1781" s="43">
        <f>INDEX(DarlObj,4)</f>
      </c>
      <c r="D1781">
        <v>338</v>
      </c>
      <c r="E1781" s="51">
        <f>IF(INDEX(DarlBelegt,4)=0,0,EOMONTH(INDEX(DarlAuszahlung,4),337)+1)</f>
      </c>
      <c r="F1781" s="43">
        <f>IF($E1781=0,0,YEAR($E1781))</f>
      </c>
      <c r="G1781" s="43">
        <f>IF(INDEX(DarlBindung,4)="",1,IF($E1781&lt;=INDEX(DarlBindung,4),1,0))</f>
      </c>
      <c r="H1781" s="43">
        <f>IF($G1781=1,INDEX(DarlSollzins,4),INDEX(DarlAnschluss,4))</f>
      </c>
      <c r="I1781" s="43">
        <f>IF(INDEX(DarlBelegt,4)=0,0,IF(INDEX(DarlOhneTilgung,4)=1,IF(INDEX(DarlBindung,4)="",1,$G1781),IF($J1781&gt;0.005,1,0)))</f>
      </c>
      <c r="J1781" s="43">
        <f>IF($I1780=0,0,$R1780)</f>
      </c>
      <c r="K1781" s="43">
        <f>IF($I1781=0,0,IF(INDEX(DarlOhneTilgung,4)=1,0,IF(AND(INDEX(DarlTilgStart,4)&gt;0,$E1781=INDEX(DarlTilgStart,4)),$J1781*($H1781+INDEX(DarlTilgung,4))/100/12,IF(AND($G1781=0,$G1780=1),MAX($K1780,$J1781*($H1781+1)/100/12),$K1780))))</f>
      </c>
      <c r="L1781" s="43">
        <f>IF($I1781=0,0,$J1781*$H1781/100/12)</f>
      </c>
      <c r="M1781" s="43">
        <f>IF($I1781=0,0,IF(OR(INDEX(DarlOhneTilgung,4)=1,AND(INDEX(DarlTilgStart,4)&gt;0,$E1781&lt;INDEX(DarlTilgStart,4))),0,MIN(MAX(0,$K1781-$L1781),$J1781)))</f>
      </c>
      <c r="N1781" s="43">
        <f>IF($I1781=0,0,MIN(SUMIFS(SondBetrag,SondDarl,4,SondDatum,"&gt;="&amp;$E1781,SondDatum,"&lt;="&amp;EOMONTH($E1781,0)),$J1781-$M1781))</f>
      </c>
      <c r="O1781" s="43">
        <f>IF($I1781=0,0,INDEX(DarlErsatzRate,4))</f>
      </c>
      <c r="P1781" s="43">
        <f>IF($I1781=0,0,$Q1780*INDEX(DarlErsatzZins,4))</f>
      </c>
      <c r="Q1781" s="43">
        <f>IF($I1781=0,0,$Q1780+$P1781+$O1781)</f>
      </c>
      <c r="R1781" s="43">
        <f>IF($I1781=0,0,$J1781-$M1781-$N1781)</f>
      </c>
    </row>
    <row r="1782">
      <c r="A1782"/>
      <c r="B1782">
        <v>4</v>
      </c>
      <c r="C1782" s="43">
        <f>INDEX(DarlObj,4)</f>
      </c>
      <c r="D1782">
        <v>339</v>
      </c>
      <c r="E1782" s="51">
        <f>IF(INDEX(DarlBelegt,4)=0,0,EOMONTH(INDEX(DarlAuszahlung,4),338)+1)</f>
      </c>
      <c r="F1782" s="43">
        <f>IF($E1782=0,0,YEAR($E1782))</f>
      </c>
      <c r="G1782" s="43">
        <f>IF(INDEX(DarlBindung,4)="",1,IF($E1782&lt;=INDEX(DarlBindung,4),1,0))</f>
      </c>
      <c r="H1782" s="43">
        <f>IF($G1782=1,INDEX(DarlSollzins,4),INDEX(DarlAnschluss,4))</f>
      </c>
      <c r="I1782" s="43">
        <f>IF(INDEX(DarlBelegt,4)=0,0,IF(INDEX(DarlOhneTilgung,4)=1,IF(INDEX(DarlBindung,4)="",1,$G1782),IF($J1782&gt;0.005,1,0)))</f>
      </c>
      <c r="J1782" s="43">
        <f>IF($I1781=0,0,$R1781)</f>
      </c>
      <c r="K1782" s="43">
        <f>IF($I1782=0,0,IF(INDEX(DarlOhneTilgung,4)=1,0,IF(AND(INDEX(DarlTilgStart,4)&gt;0,$E1782=INDEX(DarlTilgStart,4)),$J1782*($H1782+INDEX(DarlTilgung,4))/100/12,IF(AND($G1782=0,$G1781=1),MAX($K1781,$J1782*($H1782+1)/100/12),$K1781))))</f>
      </c>
      <c r="L1782" s="43">
        <f>IF($I1782=0,0,$J1782*$H1782/100/12)</f>
      </c>
      <c r="M1782" s="43">
        <f>IF($I1782=0,0,IF(OR(INDEX(DarlOhneTilgung,4)=1,AND(INDEX(DarlTilgStart,4)&gt;0,$E1782&lt;INDEX(DarlTilgStart,4))),0,MIN(MAX(0,$K1782-$L1782),$J1782)))</f>
      </c>
      <c r="N1782" s="43">
        <f>IF($I1782=0,0,MIN(SUMIFS(SondBetrag,SondDarl,4,SondDatum,"&gt;="&amp;$E1782,SondDatum,"&lt;="&amp;EOMONTH($E1782,0)),$J1782-$M1782))</f>
      </c>
      <c r="O1782" s="43">
        <f>IF($I1782=0,0,INDEX(DarlErsatzRate,4))</f>
      </c>
      <c r="P1782" s="43">
        <f>IF($I1782=0,0,$Q1781*INDEX(DarlErsatzZins,4))</f>
      </c>
      <c r="Q1782" s="43">
        <f>IF($I1782=0,0,$Q1781+$P1782+$O1782)</f>
      </c>
      <c r="R1782" s="43">
        <f>IF($I1782=0,0,$J1782-$M1782-$N1782)</f>
      </c>
    </row>
    <row r="1783">
      <c r="A1783"/>
      <c r="B1783">
        <v>4</v>
      </c>
      <c r="C1783" s="43">
        <f>INDEX(DarlObj,4)</f>
      </c>
      <c r="D1783">
        <v>340</v>
      </c>
      <c r="E1783" s="51">
        <f>IF(INDEX(DarlBelegt,4)=0,0,EOMONTH(INDEX(DarlAuszahlung,4),339)+1)</f>
      </c>
      <c r="F1783" s="43">
        <f>IF($E1783=0,0,YEAR($E1783))</f>
      </c>
      <c r="G1783" s="43">
        <f>IF(INDEX(DarlBindung,4)="",1,IF($E1783&lt;=INDEX(DarlBindung,4),1,0))</f>
      </c>
      <c r="H1783" s="43">
        <f>IF($G1783=1,INDEX(DarlSollzins,4),INDEX(DarlAnschluss,4))</f>
      </c>
      <c r="I1783" s="43">
        <f>IF(INDEX(DarlBelegt,4)=0,0,IF(INDEX(DarlOhneTilgung,4)=1,IF(INDEX(DarlBindung,4)="",1,$G1783),IF($J1783&gt;0.005,1,0)))</f>
      </c>
      <c r="J1783" s="43">
        <f>IF($I1782=0,0,$R1782)</f>
      </c>
      <c r="K1783" s="43">
        <f>IF($I1783=0,0,IF(INDEX(DarlOhneTilgung,4)=1,0,IF(AND(INDEX(DarlTilgStart,4)&gt;0,$E1783=INDEX(DarlTilgStart,4)),$J1783*($H1783+INDEX(DarlTilgung,4))/100/12,IF(AND($G1783=0,$G1782=1),MAX($K1782,$J1783*($H1783+1)/100/12),$K1782))))</f>
      </c>
      <c r="L1783" s="43">
        <f>IF($I1783=0,0,$J1783*$H1783/100/12)</f>
      </c>
      <c r="M1783" s="43">
        <f>IF($I1783=0,0,IF(OR(INDEX(DarlOhneTilgung,4)=1,AND(INDEX(DarlTilgStart,4)&gt;0,$E1783&lt;INDEX(DarlTilgStart,4))),0,MIN(MAX(0,$K1783-$L1783),$J1783)))</f>
      </c>
      <c r="N1783" s="43">
        <f>IF($I1783=0,0,MIN(SUMIFS(SondBetrag,SondDarl,4,SondDatum,"&gt;="&amp;$E1783,SondDatum,"&lt;="&amp;EOMONTH($E1783,0)),$J1783-$M1783))</f>
      </c>
      <c r="O1783" s="43">
        <f>IF($I1783=0,0,INDEX(DarlErsatzRate,4))</f>
      </c>
      <c r="P1783" s="43">
        <f>IF($I1783=0,0,$Q1782*INDEX(DarlErsatzZins,4))</f>
      </c>
      <c r="Q1783" s="43">
        <f>IF($I1783=0,0,$Q1782+$P1783+$O1783)</f>
      </c>
      <c r="R1783" s="43">
        <f>IF($I1783=0,0,$J1783-$M1783-$N1783)</f>
      </c>
    </row>
    <row r="1784">
      <c r="A1784"/>
      <c r="B1784">
        <v>4</v>
      </c>
      <c r="C1784" s="43">
        <f>INDEX(DarlObj,4)</f>
      </c>
      <c r="D1784">
        <v>341</v>
      </c>
      <c r="E1784" s="51">
        <f>IF(INDEX(DarlBelegt,4)=0,0,EOMONTH(INDEX(DarlAuszahlung,4),340)+1)</f>
      </c>
      <c r="F1784" s="43">
        <f>IF($E1784=0,0,YEAR($E1784))</f>
      </c>
      <c r="G1784" s="43">
        <f>IF(INDEX(DarlBindung,4)="",1,IF($E1784&lt;=INDEX(DarlBindung,4),1,0))</f>
      </c>
      <c r="H1784" s="43">
        <f>IF($G1784=1,INDEX(DarlSollzins,4),INDEX(DarlAnschluss,4))</f>
      </c>
      <c r="I1784" s="43">
        <f>IF(INDEX(DarlBelegt,4)=0,0,IF(INDEX(DarlOhneTilgung,4)=1,IF(INDEX(DarlBindung,4)="",1,$G1784),IF($J1784&gt;0.005,1,0)))</f>
      </c>
      <c r="J1784" s="43">
        <f>IF($I1783=0,0,$R1783)</f>
      </c>
      <c r="K1784" s="43">
        <f>IF($I1784=0,0,IF(INDEX(DarlOhneTilgung,4)=1,0,IF(AND(INDEX(DarlTilgStart,4)&gt;0,$E1784=INDEX(DarlTilgStart,4)),$J1784*($H1784+INDEX(DarlTilgung,4))/100/12,IF(AND($G1784=0,$G1783=1),MAX($K1783,$J1784*($H1784+1)/100/12),$K1783))))</f>
      </c>
      <c r="L1784" s="43">
        <f>IF($I1784=0,0,$J1784*$H1784/100/12)</f>
      </c>
      <c r="M1784" s="43">
        <f>IF($I1784=0,0,IF(OR(INDEX(DarlOhneTilgung,4)=1,AND(INDEX(DarlTilgStart,4)&gt;0,$E1784&lt;INDEX(DarlTilgStart,4))),0,MIN(MAX(0,$K1784-$L1784),$J1784)))</f>
      </c>
      <c r="N1784" s="43">
        <f>IF($I1784=0,0,MIN(SUMIFS(SondBetrag,SondDarl,4,SondDatum,"&gt;="&amp;$E1784,SondDatum,"&lt;="&amp;EOMONTH($E1784,0)),$J1784-$M1784))</f>
      </c>
      <c r="O1784" s="43">
        <f>IF($I1784=0,0,INDEX(DarlErsatzRate,4))</f>
      </c>
      <c r="P1784" s="43">
        <f>IF($I1784=0,0,$Q1783*INDEX(DarlErsatzZins,4))</f>
      </c>
      <c r="Q1784" s="43">
        <f>IF($I1784=0,0,$Q1783+$P1784+$O1784)</f>
      </c>
      <c r="R1784" s="43">
        <f>IF($I1784=0,0,$J1784-$M1784-$N1784)</f>
      </c>
    </row>
    <row r="1785">
      <c r="A1785"/>
      <c r="B1785">
        <v>4</v>
      </c>
      <c r="C1785" s="43">
        <f>INDEX(DarlObj,4)</f>
      </c>
      <c r="D1785">
        <v>342</v>
      </c>
      <c r="E1785" s="51">
        <f>IF(INDEX(DarlBelegt,4)=0,0,EOMONTH(INDEX(DarlAuszahlung,4),341)+1)</f>
      </c>
      <c r="F1785" s="43">
        <f>IF($E1785=0,0,YEAR($E1785))</f>
      </c>
      <c r="G1785" s="43">
        <f>IF(INDEX(DarlBindung,4)="",1,IF($E1785&lt;=INDEX(DarlBindung,4),1,0))</f>
      </c>
      <c r="H1785" s="43">
        <f>IF($G1785=1,INDEX(DarlSollzins,4),INDEX(DarlAnschluss,4))</f>
      </c>
      <c r="I1785" s="43">
        <f>IF(INDEX(DarlBelegt,4)=0,0,IF(INDEX(DarlOhneTilgung,4)=1,IF(INDEX(DarlBindung,4)="",1,$G1785),IF($J1785&gt;0.005,1,0)))</f>
      </c>
      <c r="J1785" s="43">
        <f>IF($I1784=0,0,$R1784)</f>
      </c>
      <c r="K1785" s="43">
        <f>IF($I1785=0,0,IF(INDEX(DarlOhneTilgung,4)=1,0,IF(AND(INDEX(DarlTilgStart,4)&gt;0,$E1785=INDEX(DarlTilgStart,4)),$J1785*($H1785+INDEX(DarlTilgung,4))/100/12,IF(AND($G1785=0,$G1784=1),MAX($K1784,$J1785*($H1785+1)/100/12),$K1784))))</f>
      </c>
      <c r="L1785" s="43">
        <f>IF($I1785=0,0,$J1785*$H1785/100/12)</f>
      </c>
      <c r="M1785" s="43">
        <f>IF($I1785=0,0,IF(OR(INDEX(DarlOhneTilgung,4)=1,AND(INDEX(DarlTilgStart,4)&gt;0,$E1785&lt;INDEX(DarlTilgStart,4))),0,MIN(MAX(0,$K1785-$L1785),$J1785)))</f>
      </c>
      <c r="N1785" s="43">
        <f>IF($I1785=0,0,MIN(SUMIFS(SondBetrag,SondDarl,4,SondDatum,"&gt;="&amp;$E1785,SondDatum,"&lt;="&amp;EOMONTH($E1785,0)),$J1785-$M1785))</f>
      </c>
      <c r="O1785" s="43">
        <f>IF($I1785=0,0,INDEX(DarlErsatzRate,4))</f>
      </c>
      <c r="P1785" s="43">
        <f>IF($I1785=0,0,$Q1784*INDEX(DarlErsatzZins,4))</f>
      </c>
      <c r="Q1785" s="43">
        <f>IF($I1785=0,0,$Q1784+$P1785+$O1785)</f>
      </c>
      <c r="R1785" s="43">
        <f>IF($I1785=0,0,$J1785-$M1785-$N1785)</f>
      </c>
    </row>
    <row r="1786">
      <c r="A1786"/>
      <c r="B1786">
        <v>4</v>
      </c>
      <c r="C1786" s="43">
        <f>INDEX(DarlObj,4)</f>
      </c>
      <c r="D1786">
        <v>343</v>
      </c>
      <c r="E1786" s="51">
        <f>IF(INDEX(DarlBelegt,4)=0,0,EOMONTH(INDEX(DarlAuszahlung,4),342)+1)</f>
      </c>
      <c r="F1786" s="43">
        <f>IF($E1786=0,0,YEAR($E1786))</f>
      </c>
      <c r="G1786" s="43">
        <f>IF(INDEX(DarlBindung,4)="",1,IF($E1786&lt;=INDEX(DarlBindung,4),1,0))</f>
      </c>
      <c r="H1786" s="43">
        <f>IF($G1786=1,INDEX(DarlSollzins,4),INDEX(DarlAnschluss,4))</f>
      </c>
      <c r="I1786" s="43">
        <f>IF(INDEX(DarlBelegt,4)=0,0,IF(INDEX(DarlOhneTilgung,4)=1,IF(INDEX(DarlBindung,4)="",1,$G1786),IF($J1786&gt;0.005,1,0)))</f>
      </c>
      <c r="J1786" s="43">
        <f>IF($I1785=0,0,$R1785)</f>
      </c>
      <c r="K1786" s="43">
        <f>IF($I1786=0,0,IF(INDEX(DarlOhneTilgung,4)=1,0,IF(AND(INDEX(DarlTilgStart,4)&gt;0,$E1786=INDEX(DarlTilgStart,4)),$J1786*($H1786+INDEX(DarlTilgung,4))/100/12,IF(AND($G1786=0,$G1785=1),MAX($K1785,$J1786*($H1786+1)/100/12),$K1785))))</f>
      </c>
      <c r="L1786" s="43">
        <f>IF($I1786=0,0,$J1786*$H1786/100/12)</f>
      </c>
      <c r="M1786" s="43">
        <f>IF($I1786=0,0,IF(OR(INDEX(DarlOhneTilgung,4)=1,AND(INDEX(DarlTilgStart,4)&gt;0,$E1786&lt;INDEX(DarlTilgStart,4))),0,MIN(MAX(0,$K1786-$L1786),$J1786)))</f>
      </c>
      <c r="N1786" s="43">
        <f>IF($I1786=0,0,MIN(SUMIFS(SondBetrag,SondDarl,4,SondDatum,"&gt;="&amp;$E1786,SondDatum,"&lt;="&amp;EOMONTH($E1786,0)),$J1786-$M1786))</f>
      </c>
      <c r="O1786" s="43">
        <f>IF($I1786=0,0,INDEX(DarlErsatzRate,4))</f>
      </c>
      <c r="P1786" s="43">
        <f>IF($I1786=0,0,$Q1785*INDEX(DarlErsatzZins,4))</f>
      </c>
      <c r="Q1786" s="43">
        <f>IF($I1786=0,0,$Q1785+$P1786+$O1786)</f>
      </c>
      <c r="R1786" s="43">
        <f>IF($I1786=0,0,$J1786-$M1786-$N1786)</f>
      </c>
    </row>
    <row r="1787">
      <c r="A1787"/>
      <c r="B1787">
        <v>4</v>
      </c>
      <c r="C1787" s="43">
        <f>INDEX(DarlObj,4)</f>
      </c>
      <c r="D1787">
        <v>344</v>
      </c>
      <c r="E1787" s="51">
        <f>IF(INDEX(DarlBelegt,4)=0,0,EOMONTH(INDEX(DarlAuszahlung,4),343)+1)</f>
      </c>
      <c r="F1787" s="43">
        <f>IF($E1787=0,0,YEAR($E1787))</f>
      </c>
      <c r="G1787" s="43">
        <f>IF(INDEX(DarlBindung,4)="",1,IF($E1787&lt;=INDEX(DarlBindung,4),1,0))</f>
      </c>
      <c r="H1787" s="43">
        <f>IF($G1787=1,INDEX(DarlSollzins,4),INDEX(DarlAnschluss,4))</f>
      </c>
      <c r="I1787" s="43">
        <f>IF(INDEX(DarlBelegt,4)=0,0,IF(INDEX(DarlOhneTilgung,4)=1,IF(INDEX(DarlBindung,4)="",1,$G1787),IF($J1787&gt;0.005,1,0)))</f>
      </c>
      <c r="J1787" s="43">
        <f>IF($I1786=0,0,$R1786)</f>
      </c>
      <c r="K1787" s="43">
        <f>IF($I1787=0,0,IF(INDEX(DarlOhneTilgung,4)=1,0,IF(AND(INDEX(DarlTilgStart,4)&gt;0,$E1787=INDEX(DarlTilgStart,4)),$J1787*($H1787+INDEX(DarlTilgung,4))/100/12,IF(AND($G1787=0,$G1786=1),MAX($K1786,$J1787*($H1787+1)/100/12),$K1786))))</f>
      </c>
      <c r="L1787" s="43">
        <f>IF($I1787=0,0,$J1787*$H1787/100/12)</f>
      </c>
      <c r="M1787" s="43">
        <f>IF($I1787=0,0,IF(OR(INDEX(DarlOhneTilgung,4)=1,AND(INDEX(DarlTilgStart,4)&gt;0,$E1787&lt;INDEX(DarlTilgStart,4))),0,MIN(MAX(0,$K1787-$L1787),$J1787)))</f>
      </c>
      <c r="N1787" s="43">
        <f>IF($I1787=0,0,MIN(SUMIFS(SondBetrag,SondDarl,4,SondDatum,"&gt;="&amp;$E1787,SondDatum,"&lt;="&amp;EOMONTH($E1787,0)),$J1787-$M1787))</f>
      </c>
      <c r="O1787" s="43">
        <f>IF($I1787=0,0,INDEX(DarlErsatzRate,4))</f>
      </c>
      <c r="P1787" s="43">
        <f>IF($I1787=0,0,$Q1786*INDEX(DarlErsatzZins,4))</f>
      </c>
      <c r="Q1787" s="43">
        <f>IF($I1787=0,0,$Q1786+$P1787+$O1787)</f>
      </c>
      <c r="R1787" s="43">
        <f>IF($I1787=0,0,$J1787-$M1787-$N1787)</f>
      </c>
    </row>
    <row r="1788">
      <c r="A1788"/>
      <c r="B1788">
        <v>4</v>
      </c>
      <c r="C1788" s="43">
        <f>INDEX(DarlObj,4)</f>
      </c>
      <c r="D1788">
        <v>345</v>
      </c>
      <c r="E1788" s="51">
        <f>IF(INDEX(DarlBelegt,4)=0,0,EOMONTH(INDEX(DarlAuszahlung,4),344)+1)</f>
      </c>
      <c r="F1788" s="43">
        <f>IF($E1788=0,0,YEAR($E1788))</f>
      </c>
      <c r="G1788" s="43">
        <f>IF(INDEX(DarlBindung,4)="",1,IF($E1788&lt;=INDEX(DarlBindung,4),1,0))</f>
      </c>
      <c r="H1788" s="43">
        <f>IF($G1788=1,INDEX(DarlSollzins,4),INDEX(DarlAnschluss,4))</f>
      </c>
      <c r="I1788" s="43">
        <f>IF(INDEX(DarlBelegt,4)=0,0,IF(INDEX(DarlOhneTilgung,4)=1,IF(INDEX(DarlBindung,4)="",1,$G1788),IF($J1788&gt;0.005,1,0)))</f>
      </c>
      <c r="J1788" s="43">
        <f>IF($I1787=0,0,$R1787)</f>
      </c>
      <c r="K1788" s="43">
        <f>IF($I1788=0,0,IF(INDEX(DarlOhneTilgung,4)=1,0,IF(AND(INDEX(DarlTilgStart,4)&gt;0,$E1788=INDEX(DarlTilgStart,4)),$J1788*($H1788+INDEX(DarlTilgung,4))/100/12,IF(AND($G1788=0,$G1787=1),MAX($K1787,$J1788*($H1788+1)/100/12),$K1787))))</f>
      </c>
      <c r="L1788" s="43">
        <f>IF($I1788=0,0,$J1788*$H1788/100/12)</f>
      </c>
      <c r="M1788" s="43">
        <f>IF($I1788=0,0,IF(OR(INDEX(DarlOhneTilgung,4)=1,AND(INDEX(DarlTilgStart,4)&gt;0,$E1788&lt;INDEX(DarlTilgStart,4))),0,MIN(MAX(0,$K1788-$L1788),$J1788)))</f>
      </c>
      <c r="N1788" s="43">
        <f>IF($I1788=0,0,MIN(SUMIFS(SondBetrag,SondDarl,4,SondDatum,"&gt;="&amp;$E1788,SondDatum,"&lt;="&amp;EOMONTH($E1788,0)),$J1788-$M1788))</f>
      </c>
      <c r="O1788" s="43">
        <f>IF($I1788=0,0,INDEX(DarlErsatzRate,4))</f>
      </c>
      <c r="P1788" s="43">
        <f>IF($I1788=0,0,$Q1787*INDEX(DarlErsatzZins,4))</f>
      </c>
      <c r="Q1788" s="43">
        <f>IF($I1788=0,0,$Q1787+$P1788+$O1788)</f>
      </c>
      <c r="R1788" s="43">
        <f>IF($I1788=0,0,$J1788-$M1788-$N1788)</f>
      </c>
    </row>
    <row r="1789">
      <c r="A1789"/>
      <c r="B1789">
        <v>4</v>
      </c>
      <c r="C1789" s="43">
        <f>INDEX(DarlObj,4)</f>
      </c>
      <c r="D1789">
        <v>346</v>
      </c>
      <c r="E1789" s="51">
        <f>IF(INDEX(DarlBelegt,4)=0,0,EOMONTH(INDEX(DarlAuszahlung,4),345)+1)</f>
      </c>
      <c r="F1789" s="43">
        <f>IF($E1789=0,0,YEAR($E1789))</f>
      </c>
      <c r="G1789" s="43">
        <f>IF(INDEX(DarlBindung,4)="",1,IF($E1789&lt;=INDEX(DarlBindung,4),1,0))</f>
      </c>
      <c r="H1789" s="43">
        <f>IF($G1789=1,INDEX(DarlSollzins,4),INDEX(DarlAnschluss,4))</f>
      </c>
      <c r="I1789" s="43">
        <f>IF(INDEX(DarlBelegt,4)=0,0,IF(INDEX(DarlOhneTilgung,4)=1,IF(INDEX(DarlBindung,4)="",1,$G1789),IF($J1789&gt;0.005,1,0)))</f>
      </c>
      <c r="J1789" s="43">
        <f>IF($I1788=0,0,$R1788)</f>
      </c>
      <c r="K1789" s="43">
        <f>IF($I1789=0,0,IF(INDEX(DarlOhneTilgung,4)=1,0,IF(AND(INDEX(DarlTilgStart,4)&gt;0,$E1789=INDEX(DarlTilgStart,4)),$J1789*($H1789+INDEX(DarlTilgung,4))/100/12,IF(AND($G1789=0,$G1788=1),MAX($K1788,$J1789*($H1789+1)/100/12),$K1788))))</f>
      </c>
      <c r="L1789" s="43">
        <f>IF($I1789=0,0,$J1789*$H1789/100/12)</f>
      </c>
      <c r="M1789" s="43">
        <f>IF($I1789=0,0,IF(OR(INDEX(DarlOhneTilgung,4)=1,AND(INDEX(DarlTilgStart,4)&gt;0,$E1789&lt;INDEX(DarlTilgStart,4))),0,MIN(MAX(0,$K1789-$L1789),$J1789)))</f>
      </c>
      <c r="N1789" s="43">
        <f>IF($I1789=0,0,MIN(SUMIFS(SondBetrag,SondDarl,4,SondDatum,"&gt;="&amp;$E1789,SondDatum,"&lt;="&amp;EOMONTH($E1789,0)),$J1789-$M1789))</f>
      </c>
      <c r="O1789" s="43">
        <f>IF($I1789=0,0,INDEX(DarlErsatzRate,4))</f>
      </c>
      <c r="P1789" s="43">
        <f>IF($I1789=0,0,$Q1788*INDEX(DarlErsatzZins,4))</f>
      </c>
      <c r="Q1789" s="43">
        <f>IF($I1789=0,0,$Q1788+$P1789+$O1789)</f>
      </c>
      <c r="R1789" s="43">
        <f>IF($I1789=0,0,$J1789-$M1789-$N1789)</f>
      </c>
    </row>
    <row r="1790">
      <c r="A1790"/>
      <c r="B1790">
        <v>4</v>
      </c>
      <c r="C1790" s="43">
        <f>INDEX(DarlObj,4)</f>
      </c>
      <c r="D1790">
        <v>347</v>
      </c>
      <c r="E1790" s="51">
        <f>IF(INDEX(DarlBelegt,4)=0,0,EOMONTH(INDEX(DarlAuszahlung,4),346)+1)</f>
      </c>
      <c r="F1790" s="43">
        <f>IF($E1790=0,0,YEAR($E1790))</f>
      </c>
      <c r="G1790" s="43">
        <f>IF(INDEX(DarlBindung,4)="",1,IF($E1790&lt;=INDEX(DarlBindung,4),1,0))</f>
      </c>
      <c r="H1790" s="43">
        <f>IF($G1790=1,INDEX(DarlSollzins,4),INDEX(DarlAnschluss,4))</f>
      </c>
      <c r="I1790" s="43">
        <f>IF(INDEX(DarlBelegt,4)=0,0,IF(INDEX(DarlOhneTilgung,4)=1,IF(INDEX(DarlBindung,4)="",1,$G1790),IF($J1790&gt;0.005,1,0)))</f>
      </c>
      <c r="J1790" s="43">
        <f>IF($I1789=0,0,$R1789)</f>
      </c>
      <c r="K1790" s="43">
        <f>IF($I1790=0,0,IF(INDEX(DarlOhneTilgung,4)=1,0,IF(AND(INDEX(DarlTilgStart,4)&gt;0,$E1790=INDEX(DarlTilgStart,4)),$J1790*($H1790+INDEX(DarlTilgung,4))/100/12,IF(AND($G1790=0,$G1789=1),MAX($K1789,$J1790*($H1790+1)/100/12),$K1789))))</f>
      </c>
      <c r="L1790" s="43">
        <f>IF($I1790=0,0,$J1790*$H1790/100/12)</f>
      </c>
      <c r="M1790" s="43">
        <f>IF($I1790=0,0,IF(OR(INDEX(DarlOhneTilgung,4)=1,AND(INDEX(DarlTilgStart,4)&gt;0,$E1790&lt;INDEX(DarlTilgStart,4))),0,MIN(MAX(0,$K1790-$L1790),$J1790)))</f>
      </c>
      <c r="N1790" s="43">
        <f>IF($I1790=0,0,MIN(SUMIFS(SondBetrag,SondDarl,4,SondDatum,"&gt;="&amp;$E1790,SondDatum,"&lt;="&amp;EOMONTH($E1790,0)),$J1790-$M1790))</f>
      </c>
      <c r="O1790" s="43">
        <f>IF($I1790=0,0,INDEX(DarlErsatzRate,4))</f>
      </c>
      <c r="P1790" s="43">
        <f>IF($I1790=0,0,$Q1789*INDEX(DarlErsatzZins,4))</f>
      </c>
      <c r="Q1790" s="43">
        <f>IF($I1790=0,0,$Q1789+$P1790+$O1790)</f>
      </c>
      <c r="R1790" s="43">
        <f>IF($I1790=0,0,$J1790-$M1790-$N1790)</f>
      </c>
    </row>
    <row r="1791">
      <c r="A1791"/>
      <c r="B1791">
        <v>4</v>
      </c>
      <c r="C1791" s="43">
        <f>INDEX(DarlObj,4)</f>
      </c>
      <c r="D1791">
        <v>348</v>
      </c>
      <c r="E1791" s="51">
        <f>IF(INDEX(DarlBelegt,4)=0,0,EOMONTH(INDEX(DarlAuszahlung,4),347)+1)</f>
      </c>
      <c r="F1791" s="43">
        <f>IF($E1791=0,0,YEAR($E1791))</f>
      </c>
      <c r="G1791" s="43">
        <f>IF(INDEX(DarlBindung,4)="",1,IF($E1791&lt;=INDEX(DarlBindung,4),1,0))</f>
      </c>
      <c r="H1791" s="43">
        <f>IF($G1791=1,INDEX(DarlSollzins,4),INDEX(DarlAnschluss,4))</f>
      </c>
      <c r="I1791" s="43">
        <f>IF(INDEX(DarlBelegt,4)=0,0,IF(INDEX(DarlOhneTilgung,4)=1,IF(INDEX(DarlBindung,4)="",1,$G1791),IF($J1791&gt;0.005,1,0)))</f>
      </c>
      <c r="J1791" s="43">
        <f>IF($I1790=0,0,$R1790)</f>
      </c>
      <c r="K1791" s="43">
        <f>IF($I1791=0,0,IF(INDEX(DarlOhneTilgung,4)=1,0,IF(AND(INDEX(DarlTilgStart,4)&gt;0,$E1791=INDEX(DarlTilgStart,4)),$J1791*($H1791+INDEX(DarlTilgung,4))/100/12,IF(AND($G1791=0,$G1790=1),MAX($K1790,$J1791*($H1791+1)/100/12),$K1790))))</f>
      </c>
      <c r="L1791" s="43">
        <f>IF($I1791=0,0,$J1791*$H1791/100/12)</f>
      </c>
      <c r="M1791" s="43">
        <f>IF($I1791=0,0,IF(OR(INDEX(DarlOhneTilgung,4)=1,AND(INDEX(DarlTilgStart,4)&gt;0,$E1791&lt;INDEX(DarlTilgStart,4))),0,MIN(MAX(0,$K1791-$L1791),$J1791)))</f>
      </c>
      <c r="N1791" s="43">
        <f>IF($I1791=0,0,MIN(SUMIFS(SondBetrag,SondDarl,4,SondDatum,"&gt;="&amp;$E1791,SondDatum,"&lt;="&amp;EOMONTH($E1791,0)),$J1791-$M1791))</f>
      </c>
      <c r="O1791" s="43">
        <f>IF($I1791=0,0,INDEX(DarlErsatzRate,4))</f>
      </c>
      <c r="P1791" s="43">
        <f>IF($I1791=0,0,$Q1790*INDEX(DarlErsatzZins,4))</f>
      </c>
      <c r="Q1791" s="43">
        <f>IF($I1791=0,0,$Q1790+$P1791+$O1791)</f>
      </c>
      <c r="R1791" s="43">
        <f>IF($I1791=0,0,$J1791-$M1791-$N1791)</f>
      </c>
    </row>
    <row r="1792">
      <c r="A1792"/>
      <c r="B1792">
        <v>4</v>
      </c>
      <c r="C1792" s="43">
        <f>INDEX(DarlObj,4)</f>
      </c>
      <c r="D1792">
        <v>349</v>
      </c>
      <c r="E1792" s="51">
        <f>IF(INDEX(DarlBelegt,4)=0,0,EOMONTH(INDEX(DarlAuszahlung,4),348)+1)</f>
      </c>
      <c r="F1792" s="43">
        <f>IF($E1792=0,0,YEAR($E1792))</f>
      </c>
      <c r="G1792" s="43">
        <f>IF(INDEX(DarlBindung,4)="",1,IF($E1792&lt;=INDEX(DarlBindung,4),1,0))</f>
      </c>
      <c r="H1792" s="43">
        <f>IF($G1792=1,INDEX(DarlSollzins,4),INDEX(DarlAnschluss,4))</f>
      </c>
      <c r="I1792" s="43">
        <f>IF(INDEX(DarlBelegt,4)=0,0,IF(INDEX(DarlOhneTilgung,4)=1,IF(INDEX(DarlBindung,4)="",1,$G1792),IF($J1792&gt;0.005,1,0)))</f>
      </c>
      <c r="J1792" s="43">
        <f>IF($I1791=0,0,$R1791)</f>
      </c>
      <c r="K1792" s="43">
        <f>IF($I1792=0,0,IF(INDEX(DarlOhneTilgung,4)=1,0,IF(AND(INDEX(DarlTilgStart,4)&gt;0,$E1792=INDEX(DarlTilgStart,4)),$J1792*($H1792+INDEX(DarlTilgung,4))/100/12,IF(AND($G1792=0,$G1791=1),MAX($K1791,$J1792*($H1792+1)/100/12),$K1791))))</f>
      </c>
      <c r="L1792" s="43">
        <f>IF($I1792=0,0,$J1792*$H1792/100/12)</f>
      </c>
      <c r="M1792" s="43">
        <f>IF($I1792=0,0,IF(OR(INDEX(DarlOhneTilgung,4)=1,AND(INDEX(DarlTilgStart,4)&gt;0,$E1792&lt;INDEX(DarlTilgStart,4))),0,MIN(MAX(0,$K1792-$L1792),$J1792)))</f>
      </c>
      <c r="N1792" s="43">
        <f>IF($I1792=0,0,MIN(SUMIFS(SondBetrag,SondDarl,4,SondDatum,"&gt;="&amp;$E1792,SondDatum,"&lt;="&amp;EOMONTH($E1792,0)),$J1792-$M1792))</f>
      </c>
      <c r="O1792" s="43">
        <f>IF($I1792=0,0,INDEX(DarlErsatzRate,4))</f>
      </c>
      <c r="P1792" s="43">
        <f>IF($I1792=0,0,$Q1791*INDEX(DarlErsatzZins,4))</f>
      </c>
      <c r="Q1792" s="43">
        <f>IF($I1792=0,0,$Q1791+$P1792+$O1792)</f>
      </c>
      <c r="R1792" s="43">
        <f>IF($I1792=0,0,$J1792-$M1792-$N1792)</f>
      </c>
    </row>
    <row r="1793">
      <c r="A1793"/>
      <c r="B1793">
        <v>4</v>
      </c>
      <c r="C1793" s="43">
        <f>INDEX(DarlObj,4)</f>
      </c>
      <c r="D1793">
        <v>350</v>
      </c>
      <c r="E1793" s="51">
        <f>IF(INDEX(DarlBelegt,4)=0,0,EOMONTH(INDEX(DarlAuszahlung,4),349)+1)</f>
      </c>
      <c r="F1793" s="43">
        <f>IF($E1793=0,0,YEAR($E1793))</f>
      </c>
      <c r="G1793" s="43">
        <f>IF(INDEX(DarlBindung,4)="",1,IF($E1793&lt;=INDEX(DarlBindung,4),1,0))</f>
      </c>
      <c r="H1793" s="43">
        <f>IF($G1793=1,INDEX(DarlSollzins,4),INDEX(DarlAnschluss,4))</f>
      </c>
      <c r="I1793" s="43">
        <f>IF(INDEX(DarlBelegt,4)=0,0,IF(INDEX(DarlOhneTilgung,4)=1,IF(INDEX(DarlBindung,4)="",1,$G1793),IF($J1793&gt;0.005,1,0)))</f>
      </c>
      <c r="J1793" s="43">
        <f>IF($I1792=0,0,$R1792)</f>
      </c>
      <c r="K1793" s="43">
        <f>IF($I1793=0,0,IF(INDEX(DarlOhneTilgung,4)=1,0,IF(AND(INDEX(DarlTilgStart,4)&gt;0,$E1793=INDEX(DarlTilgStart,4)),$J1793*($H1793+INDEX(DarlTilgung,4))/100/12,IF(AND($G1793=0,$G1792=1),MAX($K1792,$J1793*($H1793+1)/100/12),$K1792))))</f>
      </c>
      <c r="L1793" s="43">
        <f>IF($I1793=0,0,$J1793*$H1793/100/12)</f>
      </c>
      <c r="M1793" s="43">
        <f>IF($I1793=0,0,IF(OR(INDEX(DarlOhneTilgung,4)=1,AND(INDEX(DarlTilgStart,4)&gt;0,$E1793&lt;INDEX(DarlTilgStart,4))),0,MIN(MAX(0,$K1793-$L1793),$J1793)))</f>
      </c>
      <c r="N1793" s="43">
        <f>IF($I1793=0,0,MIN(SUMIFS(SondBetrag,SondDarl,4,SondDatum,"&gt;="&amp;$E1793,SondDatum,"&lt;="&amp;EOMONTH($E1793,0)),$J1793-$M1793))</f>
      </c>
      <c r="O1793" s="43">
        <f>IF($I1793=0,0,INDEX(DarlErsatzRate,4))</f>
      </c>
      <c r="P1793" s="43">
        <f>IF($I1793=0,0,$Q1792*INDEX(DarlErsatzZins,4))</f>
      </c>
      <c r="Q1793" s="43">
        <f>IF($I1793=0,0,$Q1792+$P1793+$O1793)</f>
      </c>
      <c r="R1793" s="43">
        <f>IF($I1793=0,0,$J1793-$M1793-$N1793)</f>
      </c>
    </row>
    <row r="1794">
      <c r="A1794"/>
      <c r="B1794">
        <v>4</v>
      </c>
      <c r="C1794" s="43">
        <f>INDEX(DarlObj,4)</f>
      </c>
      <c r="D1794">
        <v>351</v>
      </c>
      <c r="E1794" s="51">
        <f>IF(INDEX(DarlBelegt,4)=0,0,EOMONTH(INDEX(DarlAuszahlung,4),350)+1)</f>
      </c>
      <c r="F1794" s="43">
        <f>IF($E1794=0,0,YEAR($E1794))</f>
      </c>
      <c r="G1794" s="43">
        <f>IF(INDEX(DarlBindung,4)="",1,IF($E1794&lt;=INDEX(DarlBindung,4),1,0))</f>
      </c>
      <c r="H1794" s="43">
        <f>IF($G1794=1,INDEX(DarlSollzins,4),INDEX(DarlAnschluss,4))</f>
      </c>
      <c r="I1794" s="43">
        <f>IF(INDEX(DarlBelegt,4)=0,0,IF(INDEX(DarlOhneTilgung,4)=1,IF(INDEX(DarlBindung,4)="",1,$G1794),IF($J1794&gt;0.005,1,0)))</f>
      </c>
      <c r="J1794" s="43">
        <f>IF($I1793=0,0,$R1793)</f>
      </c>
      <c r="K1794" s="43">
        <f>IF($I1794=0,0,IF(INDEX(DarlOhneTilgung,4)=1,0,IF(AND(INDEX(DarlTilgStart,4)&gt;0,$E1794=INDEX(DarlTilgStart,4)),$J1794*($H1794+INDEX(DarlTilgung,4))/100/12,IF(AND($G1794=0,$G1793=1),MAX($K1793,$J1794*($H1794+1)/100/12),$K1793))))</f>
      </c>
      <c r="L1794" s="43">
        <f>IF($I1794=0,0,$J1794*$H1794/100/12)</f>
      </c>
      <c r="M1794" s="43">
        <f>IF($I1794=0,0,IF(OR(INDEX(DarlOhneTilgung,4)=1,AND(INDEX(DarlTilgStart,4)&gt;0,$E1794&lt;INDEX(DarlTilgStart,4))),0,MIN(MAX(0,$K1794-$L1794),$J1794)))</f>
      </c>
      <c r="N1794" s="43">
        <f>IF($I1794=0,0,MIN(SUMIFS(SondBetrag,SondDarl,4,SondDatum,"&gt;="&amp;$E1794,SondDatum,"&lt;="&amp;EOMONTH($E1794,0)),$J1794-$M1794))</f>
      </c>
      <c r="O1794" s="43">
        <f>IF($I1794=0,0,INDEX(DarlErsatzRate,4))</f>
      </c>
      <c r="P1794" s="43">
        <f>IF($I1794=0,0,$Q1793*INDEX(DarlErsatzZins,4))</f>
      </c>
      <c r="Q1794" s="43">
        <f>IF($I1794=0,0,$Q1793+$P1794+$O1794)</f>
      </c>
      <c r="R1794" s="43">
        <f>IF($I1794=0,0,$J1794-$M1794-$N1794)</f>
      </c>
    </row>
    <row r="1795">
      <c r="A1795"/>
      <c r="B1795">
        <v>4</v>
      </c>
      <c r="C1795" s="43">
        <f>INDEX(DarlObj,4)</f>
      </c>
      <c r="D1795">
        <v>352</v>
      </c>
      <c r="E1795" s="51">
        <f>IF(INDEX(DarlBelegt,4)=0,0,EOMONTH(INDEX(DarlAuszahlung,4),351)+1)</f>
      </c>
      <c r="F1795" s="43">
        <f>IF($E1795=0,0,YEAR($E1795))</f>
      </c>
      <c r="G1795" s="43">
        <f>IF(INDEX(DarlBindung,4)="",1,IF($E1795&lt;=INDEX(DarlBindung,4),1,0))</f>
      </c>
      <c r="H1795" s="43">
        <f>IF($G1795=1,INDEX(DarlSollzins,4),INDEX(DarlAnschluss,4))</f>
      </c>
      <c r="I1795" s="43">
        <f>IF(INDEX(DarlBelegt,4)=0,0,IF(INDEX(DarlOhneTilgung,4)=1,IF(INDEX(DarlBindung,4)="",1,$G1795),IF($J1795&gt;0.005,1,0)))</f>
      </c>
      <c r="J1795" s="43">
        <f>IF($I1794=0,0,$R1794)</f>
      </c>
      <c r="K1795" s="43">
        <f>IF($I1795=0,0,IF(INDEX(DarlOhneTilgung,4)=1,0,IF(AND(INDEX(DarlTilgStart,4)&gt;0,$E1795=INDEX(DarlTilgStart,4)),$J1795*($H1795+INDEX(DarlTilgung,4))/100/12,IF(AND($G1795=0,$G1794=1),MAX($K1794,$J1795*($H1795+1)/100/12),$K1794))))</f>
      </c>
      <c r="L1795" s="43">
        <f>IF($I1795=0,0,$J1795*$H1795/100/12)</f>
      </c>
      <c r="M1795" s="43">
        <f>IF($I1795=0,0,IF(OR(INDEX(DarlOhneTilgung,4)=1,AND(INDEX(DarlTilgStart,4)&gt;0,$E1795&lt;INDEX(DarlTilgStart,4))),0,MIN(MAX(0,$K1795-$L1795),$J1795)))</f>
      </c>
      <c r="N1795" s="43">
        <f>IF($I1795=0,0,MIN(SUMIFS(SondBetrag,SondDarl,4,SondDatum,"&gt;="&amp;$E1795,SondDatum,"&lt;="&amp;EOMONTH($E1795,0)),$J1795-$M1795))</f>
      </c>
      <c r="O1795" s="43">
        <f>IF($I1795=0,0,INDEX(DarlErsatzRate,4))</f>
      </c>
      <c r="P1795" s="43">
        <f>IF($I1795=0,0,$Q1794*INDEX(DarlErsatzZins,4))</f>
      </c>
      <c r="Q1795" s="43">
        <f>IF($I1795=0,0,$Q1794+$P1795+$O1795)</f>
      </c>
      <c r="R1795" s="43">
        <f>IF($I1795=0,0,$J1795-$M1795-$N1795)</f>
      </c>
    </row>
    <row r="1796">
      <c r="A1796"/>
      <c r="B1796">
        <v>4</v>
      </c>
      <c r="C1796" s="43">
        <f>INDEX(DarlObj,4)</f>
      </c>
      <c r="D1796">
        <v>353</v>
      </c>
      <c r="E1796" s="51">
        <f>IF(INDEX(DarlBelegt,4)=0,0,EOMONTH(INDEX(DarlAuszahlung,4),352)+1)</f>
      </c>
      <c r="F1796" s="43">
        <f>IF($E1796=0,0,YEAR($E1796))</f>
      </c>
      <c r="G1796" s="43">
        <f>IF(INDEX(DarlBindung,4)="",1,IF($E1796&lt;=INDEX(DarlBindung,4),1,0))</f>
      </c>
      <c r="H1796" s="43">
        <f>IF($G1796=1,INDEX(DarlSollzins,4),INDEX(DarlAnschluss,4))</f>
      </c>
      <c r="I1796" s="43">
        <f>IF(INDEX(DarlBelegt,4)=0,0,IF(INDEX(DarlOhneTilgung,4)=1,IF(INDEX(DarlBindung,4)="",1,$G1796),IF($J1796&gt;0.005,1,0)))</f>
      </c>
      <c r="J1796" s="43">
        <f>IF($I1795=0,0,$R1795)</f>
      </c>
      <c r="K1796" s="43">
        <f>IF($I1796=0,0,IF(INDEX(DarlOhneTilgung,4)=1,0,IF(AND(INDEX(DarlTilgStart,4)&gt;0,$E1796=INDEX(DarlTilgStart,4)),$J1796*($H1796+INDEX(DarlTilgung,4))/100/12,IF(AND($G1796=0,$G1795=1),MAX($K1795,$J1796*($H1796+1)/100/12),$K1795))))</f>
      </c>
      <c r="L1796" s="43">
        <f>IF($I1796=0,0,$J1796*$H1796/100/12)</f>
      </c>
      <c r="M1796" s="43">
        <f>IF($I1796=0,0,IF(OR(INDEX(DarlOhneTilgung,4)=1,AND(INDEX(DarlTilgStart,4)&gt;0,$E1796&lt;INDEX(DarlTilgStart,4))),0,MIN(MAX(0,$K1796-$L1796),$J1796)))</f>
      </c>
      <c r="N1796" s="43">
        <f>IF($I1796=0,0,MIN(SUMIFS(SondBetrag,SondDarl,4,SondDatum,"&gt;="&amp;$E1796,SondDatum,"&lt;="&amp;EOMONTH($E1796,0)),$J1796-$M1796))</f>
      </c>
      <c r="O1796" s="43">
        <f>IF($I1796=0,0,INDEX(DarlErsatzRate,4))</f>
      </c>
      <c r="P1796" s="43">
        <f>IF($I1796=0,0,$Q1795*INDEX(DarlErsatzZins,4))</f>
      </c>
      <c r="Q1796" s="43">
        <f>IF($I1796=0,0,$Q1795+$P1796+$O1796)</f>
      </c>
      <c r="R1796" s="43">
        <f>IF($I1796=0,0,$J1796-$M1796-$N1796)</f>
      </c>
    </row>
    <row r="1797">
      <c r="A1797"/>
      <c r="B1797">
        <v>4</v>
      </c>
      <c r="C1797" s="43">
        <f>INDEX(DarlObj,4)</f>
      </c>
      <c r="D1797">
        <v>354</v>
      </c>
      <c r="E1797" s="51">
        <f>IF(INDEX(DarlBelegt,4)=0,0,EOMONTH(INDEX(DarlAuszahlung,4),353)+1)</f>
      </c>
      <c r="F1797" s="43">
        <f>IF($E1797=0,0,YEAR($E1797))</f>
      </c>
      <c r="G1797" s="43">
        <f>IF(INDEX(DarlBindung,4)="",1,IF($E1797&lt;=INDEX(DarlBindung,4),1,0))</f>
      </c>
      <c r="H1797" s="43">
        <f>IF($G1797=1,INDEX(DarlSollzins,4),INDEX(DarlAnschluss,4))</f>
      </c>
      <c r="I1797" s="43">
        <f>IF(INDEX(DarlBelegt,4)=0,0,IF(INDEX(DarlOhneTilgung,4)=1,IF(INDEX(DarlBindung,4)="",1,$G1797),IF($J1797&gt;0.005,1,0)))</f>
      </c>
      <c r="J1797" s="43">
        <f>IF($I1796=0,0,$R1796)</f>
      </c>
      <c r="K1797" s="43">
        <f>IF($I1797=0,0,IF(INDEX(DarlOhneTilgung,4)=1,0,IF(AND(INDEX(DarlTilgStart,4)&gt;0,$E1797=INDEX(DarlTilgStart,4)),$J1797*($H1797+INDEX(DarlTilgung,4))/100/12,IF(AND($G1797=0,$G1796=1),MAX($K1796,$J1797*($H1797+1)/100/12),$K1796))))</f>
      </c>
      <c r="L1797" s="43">
        <f>IF($I1797=0,0,$J1797*$H1797/100/12)</f>
      </c>
      <c r="M1797" s="43">
        <f>IF($I1797=0,0,IF(OR(INDEX(DarlOhneTilgung,4)=1,AND(INDEX(DarlTilgStart,4)&gt;0,$E1797&lt;INDEX(DarlTilgStart,4))),0,MIN(MAX(0,$K1797-$L1797),$J1797)))</f>
      </c>
      <c r="N1797" s="43">
        <f>IF($I1797=0,0,MIN(SUMIFS(SondBetrag,SondDarl,4,SondDatum,"&gt;="&amp;$E1797,SondDatum,"&lt;="&amp;EOMONTH($E1797,0)),$J1797-$M1797))</f>
      </c>
      <c r="O1797" s="43">
        <f>IF($I1797=0,0,INDEX(DarlErsatzRate,4))</f>
      </c>
      <c r="P1797" s="43">
        <f>IF($I1797=0,0,$Q1796*INDEX(DarlErsatzZins,4))</f>
      </c>
      <c r="Q1797" s="43">
        <f>IF($I1797=0,0,$Q1796+$P1797+$O1797)</f>
      </c>
      <c r="R1797" s="43">
        <f>IF($I1797=0,0,$J1797-$M1797-$N1797)</f>
      </c>
    </row>
    <row r="1798">
      <c r="A1798"/>
      <c r="B1798">
        <v>4</v>
      </c>
      <c r="C1798" s="43">
        <f>INDEX(DarlObj,4)</f>
      </c>
      <c r="D1798">
        <v>355</v>
      </c>
      <c r="E1798" s="51">
        <f>IF(INDEX(DarlBelegt,4)=0,0,EOMONTH(INDEX(DarlAuszahlung,4),354)+1)</f>
      </c>
      <c r="F1798" s="43">
        <f>IF($E1798=0,0,YEAR($E1798))</f>
      </c>
      <c r="G1798" s="43">
        <f>IF(INDEX(DarlBindung,4)="",1,IF($E1798&lt;=INDEX(DarlBindung,4),1,0))</f>
      </c>
      <c r="H1798" s="43">
        <f>IF($G1798=1,INDEX(DarlSollzins,4),INDEX(DarlAnschluss,4))</f>
      </c>
      <c r="I1798" s="43">
        <f>IF(INDEX(DarlBelegt,4)=0,0,IF(INDEX(DarlOhneTilgung,4)=1,IF(INDEX(DarlBindung,4)="",1,$G1798),IF($J1798&gt;0.005,1,0)))</f>
      </c>
      <c r="J1798" s="43">
        <f>IF($I1797=0,0,$R1797)</f>
      </c>
      <c r="K1798" s="43">
        <f>IF($I1798=0,0,IF(INDEX(DarlOhneTilgung,4)=1,0,IF(AND(INDEX(DarlTilgStart,4)&gt;0,$E1798=INDEX(DarlTilgStart,4)),$J1798*($H1798+INDEX(DarlTilgung,4))/100/12,IF(AND($G1798=0,$G1797=1),MAX($K1797,$J1798*($H1798+1)/100/12),$K1797))))</f>
      </c>
      <c r="L1798" s="43">
        <f>IF($I1798=0,0,$J1798*$H1798/100/12)</f>
      </c>
      <c r="M1798" s="43">
        <f>IF($I1798=0,0,IF(OR(INDEX(DarlOhneTilgung,4)=1,AND(INDEX(DarlTilgStart,4)&gt;0,$E1798&lt;INDEX(DarlTilgStart,4))),0,MIN(MAX(0,$K1798-$L1798),$J1798)))</f>
      </c>
      <c r="N1798" s="43">
        <f>IF($I1798=0,0,MIN(SUMIFS(SondBetrag,SondDarl,4,SondDatum,"&gt;="&amp;$E1798,SondDatum,"&lt;="&amp;EOMONTH($E1798,0)),$J1798-$M1798))</f>
      </c>
      <c r="O1798" s="43">
        <f>IF($I1798=0,0,INDEX(DarlErsatzRate,4))</f>
      </c>
      <c r="P1798" s="43">
        <f>IF($I1798=0,0,$Q1797*INDEX(DarlErsatzZins,4))</f>
      </c>
      <c r="Q1798" s="43">
        <f>IF($I1798=0,0,$Q1797+$P1798+$O1798)</f>
      </c>
      <c r="R1798" s="43">
        <f>IF($I1798=0,0,$J1798-$M1798-$N1798)</f>
      </c>
    </row>
    <row r="1799">
      <c r="A1799"/>
      <c r="B1799">
        <v>4</v>
      </c>
      <c r="C1799" s="43">
        <f>INDEX(DarlObj,4)</f>
      </c>
      <c r="D1799">
        <v>356</v>
      </c>
      <c r="E1799" s="51">
        <f>IF(INDEX(DarlBelegt,4)=0,0,EOMONTH(INDEX(DarlAuszahlung,4),355)+1)</f>
      </c>
      <c r="F1799" s="43">
        <f>IF($E1799=0,0,YEAR($E1799))</f>
      </c>
      <c r="G1799" s="43">
        <f>IF(INDEX(DarlBindung,4)="",1,IF($E1799&lt;=INDEX(DarlBindung,4),1,0))</f>
      </c>
      <c r="H1799" s="43">
        <f>IF($G1799=1,INDEX(DarlSollzins,4),INDEX(DarlAnschluss,4))</f>
      </c>
      <c r="I1799" s="43">
        <f>IF(INDEX(DarlBelegt,4)=0,0,IF(INDEX(DarlOhneTilgung,4)=1,IF(INDEX(DarlBindung,4)="",1,$G1799),IF($J1799&gt;0.005,1,0)))</f>
      </c>
      <c r="J1799" s="43">
        <f>IF($I1798=0,0,$R1798)</f>
      </c>
      <c r="K1799" s="43">
        <f>IF($I1799=0,0,IF(INDEX(DarlOhneTilgung,4)=1,0,IF(AND(INDEX(DarlTilgStart,4)&gt;0,$E1799=INDEX(DarlTilgStart,4)),$J1799*($H1799+INDEX(DarlTilgung,4))/100/12,IF(AND($G1799=0,$G1798=1),MAX($K1798,$J1799*($H1799+1)/100/12),$K1798))))</f>
      </c>
      <c r="L1799" s="43">
        <f>IF($I1799=0,0,$J1799*$H1799/100/12)</f>
      </c>
      <c r="M1799" s="43">
        <f>IF($I1799=0,0,IF(OR(INDEX(DarlOhneTilgung,4)=1,AND(INDEX(DarlTilgStart,4)&gt;0,$E1799&lt;INDEX(DarlTilgStart,4))),0,MIN(MAX(0,$K1799-$L1799),$J1799)))</f>
      </c>
      <c r="N1799" s="43">
        <f>IF($I1799=0,0,MIN(SUMIFS(SondBetrag,SondDarl,4,SondDatum,"&gt;="&amp;$E1799,SondDatum,"&lt;="&amp;EOMONTH($E1799,0)),$J1799-$M1799))</f>
      </c>
      <c r="O1799" s="43">
        <f>IF($I1799=0,0,INDEX(DarlErsatzRate,4))</f>
      </c>
      <c r="P1799" s="43">
        <f>IF($I1799=0,0,$Q1798*INDEX(DarlErsatzZins,4))</f>
      </c>
      <c r="Q1799" s="43">
        <f>IF($I1799=0,0,$Q1798+$P1799+$O1799)</f>
      </c>
      <c r="R1799" s="43">
        <f>IF($I1799=0,0,$J1799-$M1799-$N1799)</f>
      </c>
    </row>
    <row r="1800">
      <c r="A1800"/>
      <c r="B1800">
        <v>4</v>
      </c>
      <c r="C1800" s="43">
        <f>INDEX(DarlObj,4)</f>
      </c>
      <c r="D1800">
        <v>357</v>
      </c>
      <c r="E1800" s="51">
        <f>IF(INDEX(DarlBelegt,4)=0,0,EOMONTH(INDEX(DarlAuszahlung,4),356)+1)</f>
      </c>
      <c r="F1800" s="43">
        <f>IF($E1800=0,0,YEAR($E1800))</f>
      </c>
      <c r="G1800" s="43">
        <f>IF(INDEX(DarlBindung,4)="",1,IF($E1800&lt;=INDEX(DarlBindung,4),1,0))</f>
      </c>
      <c r="H1800" s="43">
        <f>IF($G1800=1,INDEX(DarlSollzins,4),INDEX(DarlAnschluss,4))</f>
      </c>
      <c r="I1800" s="43">
        <f>IF(INDEX(DarlBelegt,4)=0,0,IF(INDEX(DarlOhneTilgung,4)=1,IF(INDEX(DarlBindung,4)="",1,$G1800),IF($J1800&gt;0.005,1,0)))</f>
      </c>
      <c r="J1800" s="43">
        <f>IF($I1799=0,0,$R1799)</f>
      </c>
      <c r="K1800" s="43">
        <f>IF($I1800=0,0,IF(INDEX(DarlOhneTilgung,4)=1,0,IF(AND(INDEX(DarlTilgStart,4)&gt;0,$E1800=INDEX(DarlTilgStart,4)),$J1800*($H1800+INDEX(DarlTilgung,4))/100/12,IF(AND($G1800=0,$G1799=1),MAX($K1799,$J1800*($H1800+1)/100/12),$K1799))))</f>
      </c>
      <c r="L1800" s="43">
        <f>IF($I1800=0,0,$J1800*$H1800/100/12)</f>
      </c>
      <c r="M1800" s="43">
        <f>IF($I1800=0,0,IF(OR(INDEX(DarlOhneTilgung,4)=1,AND(INDEX(DarlTilgStart,4)&gt;0,$E1800&lt;INDEX(DarlTilgStart,4))),0,MIN(MAX(0,$K1800-$L1800),$J1800)))</f>
      </c>
      <c r="N1800" s="43">
        <f>IF($I1800=0,0,MIN(SUMIFS(SondBetrag,SondDarl,4,SondDatum,"&gt;="&amp;$E1800,SondDatum,"&lt;="&amp;EOMONTH($E1800,0)),$J1800-$M1800))</f>
      </c>
      <c r="O1800" s="43">
        <f>IF($I1800=0,0,INDEX(DarlErsatzRate,4))</f>
      </c>
      <c r="P1800" s="43">
        <f>IF($I1800=0,0,$Q1799*INDEX(DarlErsatzZins,4))</f>
      </c>
      <c r="Q1800" s="43">
        <f>IF($I1800=0,0,$Q1799+$P1800+$O1800)</f>
      </c>
      <c r="R1800" s="43">
        <f>IF($I1800=0,0,$J1800-$M1800-$N1800)</f>
      </c>
    </row>
    <row r="1801">
      <c r="A1801"/>
      <c r="B1801">
        <v>4</v>
      </c>
      <c r="C1801" s="43">
        <f>INDEX(DarlObj,4)</f>
      </c>
      <c r="D1801">
        <v>358</v>
      </c>
      <c r="E1801" s="51">
        <f>IF(INDEX(DarlBelegt,4)=0,0,EOMONTH(INDEX(DarlAuszahlung,4),357)+1)</f>
      </c>
      <c r="F1801" s="43">
        <f>IF($E1801=0,0,YEAR($E1801))</f>
      </c>
      <c r="G1801" s="43">
        <f>IF(INDEX(DarlBindung,4)="",1,IF($E1801&lt;=INDEX(DarlBindung,4),1,0))</f>
      </c>
      <c r="H1801" s="43">
        <f>IF($G1801=1,INDEX(DarlSollzins,4),INDEX(DarlAnschluss,4))</f>
      </c>
      <c r="I1801" s="43">
        <f>IF(INDEX(DarlBelegt,4)=0,0,IF(INDEX(DarlOhneTilgung,4)=1,IF(INDEX(DarlBindung,4)="",1,$G1801),IF($J1801&gt;0.005,1,0)))</f>
      </c>
      <c r="J1801" s="43">
        <f>IF($I1800=0,0,$R1800)</f>
      </c>
      <c r="K1801" s="43">
        <f>IF($I1801=0,0,IF(INDEX(DarlOhneTilgung,4)=1,0,IF(AND(INDEX(DarlTilgStart,4)&gt;0,$E1801=INDEX(DarlTilgStart,4)),$J1801*($H1801+INDEX(DarlTilgung,4))/100/12,IF(AND($G1801=0,$G1800=1),MAX($K1800,$J1801*($H1801+1)/100/12),$K1800))))</f>
      </c>
      <c r="L1801" s="43">
        <f>IF($I1801=0,0,$J1801*$H1801/100/12)</f>
      </c>
      <c r="M1801" s="43">
        <f>IF($I1801=0,0,IF(OR(INDEX(DarlOhneTilgung,4)=1,AND(INDEX(DarlTilgStart,4)&gt;0,$E1801&lt;INDEX(DarlTilgStart,4))),0,MIN(MAX(0,$K1801-$L1801),$J1801)))</f>
      </c>
      <c r="N1801" s="43">
        <f>IF($I1801=0,0,MIN(SUMIFS(SondBetrag,SondDarl,4,SondDatum,"&gt;="&amp;$E1801,SondDatum,"&lt;="&amp;EOMONTH($E1801,0)),$J1801-$M1801))</f>
      </c>
      <c r="O1801" s="43">
        <f>IF($I1801=0,0,INDEX(DarlErsatzRate,4))</f>
      </c>
      <c r="P1801" s="43">
        <f>IF($I1801=0,0,$Q1800*INDEX(DarlErsatzZins,4))</f>
      </c>
      <c r="Q1801" s="43">
        <f>IF($I1801=0,0,$Q1800+$P1801+$O1801)</f>
      </c>
      <c r="R1801" s="43">
        <f>IF($I1801=0,0,$J1801-$M1801-$N1801)</f>
      </c>
    </row>
    <row r="1802">
      <c r="A1802"/>
      <c r="B1802">
        <v>4</v>
      </c>
      <c r="C1802" s="43">
        <f>INDEX(DarlObj,4)</f>
      </c>
      <c r="D1802">
        <v>359</v>
      </c>
      <c r="E1802" s="51">
        <f>IF(INDEX(DarlBelegt,4)=0,0,EOMONTH(INDEX(DarlAuszahlung,4),358)+1)</f>
      </c>
      <c r="F1802" s="43">
        <f>IF($E1802=0,0,YEAR($E1802))</f>
      </c>
      <c r="G1802" s="43">
        <f>IF(INDEX(DarlBindung,4)="",1,IF($E1802&lt;=INDEX(DarlBindung,4),1,0))</f>
      </c>
      <c r="H1802" s="43">
        <f>IF($G1802=1,INDEX(DarlSollzins,4),INDEX(DarlAnschluss,4))</f>
      </c>
      <c r="I1802" s="43">
        <f>IF(INDEX(DarlBelegt,4)=0,0,IF(INDEX(DarlOhneTilgung,4)=1,IF(INDEX(DarlBindung,4)="",1,$G1802),IF($J1802&gt;0.005,1,0)))</f>
      </c>
      <c r="J1802" s="43">
        <f>IF($I1801=0,0,$R1801)</f>
      </c>
      <c r="K1802" s="43">
        <f>IF($I1802=0,0,IF(INDEX(DarlOhneTilgung,4)=1,0,IF(AND(INDEX(DarlTilgStart,4)&gt;0,$E1802=INDEX(DarlTilgStart,4)),$J1802*($H1802+INDEX(DarlTilgung,4))/100/12,IF(AND($G1802=0,$G1801=1),MAX($K1801,$J1802*($H1802+1)/100/12),$K1801))))</f>
      </c>
      <c r="L1802" s="43">
        <f>IF($I1802=0,0,$J1802*$H1802/100/12)</f>
      </c>
      <c r="M1802" s="43">
        <f>IF($I1802=0,0,IF(OR(INDEX(DarlOhneTilgung,4)=1,AND(INDEX(DarlTilgStart,4)&gt;0,$E1802&lt;INDEX(DarlTilgStart,4))),0,MIN(MAX(0,$K1802-$L1802),$J1802)))</f>
      </c>
      <c r="N1802" s="43">
        <f>IF($I1802=0,0,MIN(SUMIFS(SondBetrag,SondDarl,4,SondDatum,"&gt;="&amp;$E1802,SondDatum,"&lt;="&amp;EOMONTH($E1802,0)),$J1802-$M1802))</f>
      </c>
      <c r="O1802" s="43">
        <f>IF($I1802=0,0,INDEX(DarlErsatzRate,4))</f>
      </c>
      <c r="P1802" s="43">
        <f>IF($I1802=0,0,$Q1801*INDEX(DarlErsatzZins,4))</f>
      </c>
      <c r="Q1802" s="43">
        <f>IF($I1802=0,0,$Q1801+$P1802+$O1802)</f>
      </c>
      <c r="R1802" s="43">
        <f>IF($I1802=0,0,$J1802-$M1802-$N1802)</f>
      </c>
    </row>
    <row r="1803">
      <c r="A1803"/>
      <c r="B1803">
        <v>4</v>
      </c>
      <c r="C1803" s="43">
        <f>INDEX(DarlObj,4)</f>
      </c>
      <c r="D1803">
        <v>360</v>
      </c>
      <c r="E1803" s="51">
        <f>IF(INDEX(DarlBelegt,4)=0,0,EOMONTH(INDEX(DarlAuszahlung,4),359)+1)</f>
      </c>
      <c r="F1803" s="43">
        <f>IF($E1803=0,0,YEAR($E1803))</f>
      </c>
      <c r="G1803" s="43">
        <f>IF(INDEX(DarlBindung,4)="",1,IF($E1803&lt;=INDEX(DarlBindung,4),1,0))</f>
      </c>
      <c r="H1803" s="43">
        <f>IF($G1803=1,INDEX(DarlSollzins,4),INDEX(DarlAnschluss,4))</f>
      </c>
      <c r="I1803" s="43">
        <f>IF(INDEX(DarlBelegt,4)=0,0,IF(INDEX(DarlOhneTilgung,4)=1,IF(INDEX(DarlBindung,4)="",1,$G1803),IF($J1803&gt;0.005,1,0)))</f>
      </c>
      <c r="J1803" s="43">
        <f>IF($I1802=0,0,$R1802)</f>
      </c>
      <c r="K1803" s="43">
        <f>IF($I1803=0,0,IF(INDEX(DarlOhneTilgung,4)=1,0,IF(AND(INDEX(DarlTilgStart,4)&gt;0,$E1803=INDEX(DarlTilgStart,4)),$J1803*($H1803+INDEX(DarlTilgung,4))/100/12,IF(AND($G1803=0,$G1802=1),MAX($K1802,$J1803*($H1803+1)/100/12),$K1802))))</f>
      </c>
      <c r="L1803" s="43">
        <f>IF($I1803=0,0,$J1803*$H1803/100/12)</f>
      </c>
      <c r="M1803" s="43">
        <f>IF($I1803=0,0,IF(OR(INDEX(DarlOhneTilgung,4)=1,AND(INDEX(DarlTilgStart,4)&gt;0,$E1803&lt;INDEX(DarlTilgStart,4))),0,MIN(MAX(0,$K1803-$L1803),$J1803)))</f>
      </c>
      <c r="N1803" s="43">
        <f>IF($I1803=0,0,MIN(SUMIFS(SondBetrag,SondDarl,4,SondDatum,"&gt;="&amp;$E1803,SondDatum,"&lt;="&amp;EOMONTH($E1803,0)),$J1803-$M1803))</f>
      </c>
      <c r="O1803" s="43">
        <f>IF($I1803=0,0,INDEX(DarlErsatzRate,4))</f>
      </c>
      <c r="P1803" s="43">
        <f>IF($I1803=0,0,$Q1802*INDEX(DarlErsatzZins,4))</f>
      </c>
      <c r="Q1803" s="43">
        <f>IF($I1803=0,0,$Q1802+$P1803+$O1803)</f>
      </c>
      <c r="R1803" s="43">
        <f>IF($I1803=0,0,$J1803-$M1803-$N1803)</f>
      </c>
    </row>
    <row r="1804">
      <c r="A1804"/>
      <c r="B1804">
        <v>4</v>
      </c>
      <c r="C1804" s="43">
        <f>INDEX(DarlObj,4)</f>
      </c>
      <c r="D1804">
        <v>361</v>
      </c>
      <c r="E1804" s="51">
        <f>IF(INDEX(DarlBelegt,4)=0,0,EOMONTH(INDEX(DarlAuszahlung,4),360)+1)</f>
      </c>
      <c r="F1804" s="43">
        <f>IF($E1804=0,0,YEAR($E1804))</f>
      </c>
      <c r="G1804" s="43">
        <f>IF(INDEX(DarlBindung,4)="",1,IF($E1804&lt;=INDEX(DarlBindung,4),1,0))</f>
      </c>
      <c r="H1804" s="43">
        <f>IF($G1804=1,INDEX(DarlSollzins,4),INDEX(DarlAnschluss,4))</f>
      </c>
      <c r="I1804" s="43">
        <f>IF(INDEX(DarlBelegt,4)=0,0,IF(INDEX(DarlOhneTilgung,4)=1,IF(INDEX(DarlBindung,4)="",1,$G1804),IF($J1804&gt;0.005,1,0)))</f>
      </c>
      <c r="J1804" s="43">
        <f>IF($I1803=0,0,$R1803)</f>
      </c>
      <c r="K1804" s="43">
        <f>IF($I1804=0,0,IF(INDEX(DarlOhneTilgung,4)=1,0,IF(AND(INDEX(DarlTilgStart,4)&gt;0,$E1804=INDEX(DarlTilgStart,4)),$J1804*($H1804+INDEX(DarlTilgung,4))/100/12,IF(AND($G1804=0,$G1803=1),MAX($K1803,$J1804*($H1804+1)/100/12),$K1803))))</f>
      </c>
      <c r="L1804" s="43">
        <f>IF($I1804=0,0,$J1804*$H1804/100/12)</f>
      </c>
      <c r="M1804" s="43">
        <f>IF($I1804=0,0,IF(OR(INDEX(DarlOhneTilgung,4)=1,AND(INDEX(DarlTilgStart,4)&gt;0,$E1804&lt;INDEX(DarlTilgStart,4))),0,MIN(MAX(0,$K1804-$L1804),$J1804)))</f>
      </c>
      <c r="N1804" s="43">
        <f>IF($I1804=0,0,MIN(SUMIFS(SondBetrag,SondDarl,4,SondDatum,"&gt;="&amp;$E1804,SondDatum,"&lt;="&amp;EOMONTH($E1804,0)),$J1804-$M1804))</f>
      </c>
      <c r="O1804" s="43">
        <f>IF($I1804=0,0,INDEX(DarlErsatzRate,4))</f>
      </c>
      <c r="P1804" s="43">
        <f>IF($I1804=0,0,$Q1803*INDEX(DarlErsatzZins,4))</f>
      </c>
      <c r="Q1804" s="43">
        <f>IF($I1804=0,0,$Q1803+$P1804+$O1804)</f>
      </c>
      <c r="R1804" s="43">
        <f>IF($I1804=0,0,$J1804-$M1804-$N1804)</f>
      </c>
    </row>
    <row r="1805">
      <c r="A1805"/>
      <c r="B1805">
        <v>4</v>
      </c>
      <c r="C1805" s="43">
        <f>INDEX(DarlObj,4)</f>
      </c>
      <c r="D1805">
        <v>362</v>
      </c>
      <c r="E1805" s="51">
        <f>IF(INDEX(DarlBelegt,4)=0,0,EOMONTH(INDEX(DarlAuszahlung,4),361)+1)</f>
      </c>
      <c r="F1805" s="43">
        <f>IF($E1805=0,0,YEAR($E1805))</f>
      </c>
      <c r="G1805" s="43">
        <f>IF(INDEX(DarlBindung,4)="",1,IF($E1805&lt;=INDEX(DarlBindung,4),1,0))</f>
      </c>
      <c r="H1805" s="43">
        <f>IF($G1805=1,INDEX(DarlSollzins,4),INDEX(DarlAnschluss,4))</f>
      </c>
      <c r="I1805" s="43">
        <f>IF(INDEX(DarlBelegt,4)=0,0,IF(INDEX(DarlOhneTilgung,4)=1,IF(INDEX(DarlBindung,4)="",1,$G1805),IF($J1805&gt;0.005,1,0)))</f>
      </c>
      <c r="J1805" s="43">
        <f>IF($I1804=0,0,$R1804)</f>
      </c>
      <c r="K1805" s="43">
        <f>IF($I1805=0,0,IF(INDEX(DarlOhneTilgung,4)=1,0,IF(AND(INDEX(DarlTilgStart,4)&gt;0,$E1805=INDEX(DarlTilgStart,4)),$J1805*($H1805+INDEX(DarlTilgung,4))/100/12,IF(AND($G1805=0,$G1804=1),MAX($K1804,$J1805*($H1805+1)/100/12),$K1804))))</f>
      </c>
      <c r="L1805" s="43">
        <f>IF($I1805=0,0,$J1805*$H1805/100/12)</f>
      </c>
      <c r="M1805" s="43">
        <f>IF($I1805=0,0,IF(OR(INDEX(DarlOhneTilgung,4)=1,AND(INDEX(DarlTilgStart,4)&gt;0,$E1805&lt;INDEX(DarlTilgStart,4))),0,MIN(MAX(0,$K1805-$L1805),$J1805)))</f>
      </c>
      <c r="N1805" s="43">
        <f>IF($I1805=0,0,MIN(SUMIFS(SondBetrag,SondDarl,4,SondDatum,"&gt;="&amp;$E1805,SondDatum,"&lt;="&amp;EOMONTH($E1805,0)),$J1805-$M1805))</f>
      </c>
      <c r="O1805" s="43">
        <f>IF($I1805=0,0,INDEX(DarlErsatzRate,4))</f>
      </c>
      <c r="P1805" s="43">
        <f>IF($I1805=0,0,$Q1804*INDEX(DarlErsatzZins,4))</f>
      </c>
      <c r="Q1805" s="43">
        <f>IF($I1805=0,0,$Q1804+$P1805+$O1805)</f>
      </c>
      <c r="R1805" s="43">
        <f>IF($I1805=0,0,$J1805-$M1805-$N1805)</f>
      </c>
    </row>
    <row r="1806">
      <c r="A1806"/>
      <c r="B1806">
        <v>4</v>
      </c>
      <c r="C1806" s="43">
        <f>INDEX(DarlObj,4)</f>
      </c>
      <c r="D1806">
        <v>363</v>
      </c>
      <c r="E1806" s="51">
        <f>IF(INDEX(DarlBelegt,4)=0,0,EOMONTH(INDEX(DarlAuszahlung,4),362)+1)</f>
      </c>
      <c r="F1806" s="43">
        <f>IF($E1806=0,0,YEAR($E1806))</f>
      </c>
      <c r="G1806" s="43">
        <f>IF(INDEX(DarlBindung,4)="",1,IF($E1806&lt;=INDEX(DarlBindung,4),1,0))</f>
      </c>
      <c r="H1806" s="43">
        <f>IF($G1806=1,INDEX(DarlSollzins,4),INDEX(DarlAnschluss,4))</f>
      </c>
      <c r="I1806" s="43">
        <f>IF(INDEX(DarlBelegt,4)=0,0,IF(INDEX(DarlOhneTilgung,4)=1,IF(INDEX(DarlBindung,4)="",1,$G1806),IF($J1806&gt;0.005,1,0)))</f>
      </c>
      <c r="J1806" s="43">
        <f>IF($I1805=0,0,$R1805)</f>
      </c>
      <c r="K1806" s="43">
        <f>IF($I1806=0,0,IF(INDEX(DarlOhneTilgung,4)=1,0,IF(AND(INDEX(DarlTilgStart,4)&gt;0,$E1806=INDEX(DarlTilgStart,4)),$J1806*($H1806+INDEX(DarlTilgung,4))/100/12,IF(AND($G1806=0,$G1805=1),MAX($K1805,$J1806*($H1806+1)/100/12),$K1805))))</f>
      </c>
      <c r="L1806" s="43">
        <f>IF($I1806=0,0,$J1806*$H1806/100/12)</f>
      </c>
      <c r="M1806" s="43">
        <f>IF($I1806=0,0,IF(OR(INDEX(DarlOhneTilgung,4)=1,AND(INDEX(DarlTilgStart,4)&gt;0,$E1806&lt;INDEX(DarlTilgStart,4))),0,MIN(MAX(0,$K1806-$L1806),$J1806)))</f>
      </c>
      <c r="N1806" s="43">
        <f>IF($I1806=0,0,MIN(SUMIFS(SondBetrag,SondDarl,4,SondDatum,"&gt;="&amp;$E1806,SondDatum,"&lt;="&amp;EOMONTH($E1806,0)),$J1806-$M1806))</f>
      </c>
      <c r="O1806" s="43">
        <f>IF($I1806=0,0,INDEX(DarlErsatzRate,4))</f>
      </c>
      <c r="P1806" s="43">
        <f>IF($I1806=0,0,$Q1805*INDEX(DarlErsatzZins,4))</f>
      </c>
      <c r="Q1806" s="43">
        <f>IF($I1806=0,0,$Q1805+$P1806+$O1806)</f>
      </c>
      <c r="R1806" s="43">
        <f>IF($I1806=0,0,$J1806-$M1806-$N1806)</f>
      </c>
    </row>
    <row r="1807">
      <c r="A1807"/>
      <c r="B1807">
        <v>4</v>
      </c>
      <c r="C1807" s="43">
        <f>INDEX(DarlObj,4)</f>
      </c>
      <c r="D1807">
        <v>364</v>
      </c>
      <c r="E1807" s="51">
        <f>IF(INDEX(DarlBelegt,4)=0,0,EOMONTH(INDEX(DarlAuszahlung,4),363)+1)</f>
      </c>
      <c r="F1807" s="43">
        <f>IF($E1807=0,0,YEAR($E1807))</f>
      </c>
      <c r="G1807" s="43">
        <f>IF(INDEX(DarlBindung,4)="",1,IF($E1807&lt;=INDEX(DarlBindung,4),1,0))</f>
      </c>
      <c r="H1807" s="43">
        <f>IF($G1807=1,INDEX(DarlSollzins,4),INDEX(DarlAnschluss,4))</f>
      </c>
      <c r="I1807" s="43">
        <f>IF(INDEX(DarlBelegt,4)=0,0,IF(INDEX(DarlOhneTilgung,4)=1,IF(INDEX(DarlBindung,4)="",1,$G1807),IF($J1807&gt;0.005,1,0)))</f>
      </c>
      <c r="J1807" s="43">
        <f>IF($I1806=0,0,$R1806)</f>
      </c>
      <c r="K1807" s="43">
        <f>IF($I1807=0,0,IF(INDEX(DarlOhneTilgung,4)=1,0,IF(AND(INDEX(DarlTilgStart,4)&gt;0,$E1807=INDEX(DarlTilgStart,4)),$J1807*($H1807+INDEX(DarlTilgung,4))/100/12,IF(AND($G1807=0,$G1806=1),MAX($K1806,$J1807*($H1807+1)/100/12),$K1806))))</f>
      </c>
      <c r="L1807" s="43">
        <f>IF($I1807=0,0,$J1807*$H1807/100/12)</f>
      </c>
      <c r="M1807" s="43">
        <f>IF($I1807=0,0,IF(OR(INDEX(DarlOhneTilgung,4)=1,AND(INDEX(DarlTilgStart,4)&gt;0,$E1807&lt;INDEX(DarlTilgStart,4))),0,MIN(MAX(0,$K1807-$L1807),$J1807)))</f>
      </c>
      <c r="N1807" s="43">
        <f>IF($I1807=0,0,MIN(SUMIFS(SondBetrag,SondDarl,4,SondDatum,"&gt;="&amp;$E1807,SondDatum,"&lt;="&amp;EOMONTH($E1807,0)),$J1807-$M1807))</f>
      </c>
      <c r="O1807" s="43">
        <f>IF($I1807=0,0,INDEX(DarlErsatzRate,4))</f>
      </c>
      <c r="P1807" s="43">
        <f>IF($I1807=0,0,$Q1806*INDEX(DarlErsatzZins,4))</f>
      </c>
      <c r="Q1807" s="43">
        <f>IF($I1807=0,0,$Q1806+$P1807+$O1807)</f>
      </c>
      <c r="R1807" s="43">
        <f>IF($I1807=0,0,$J1807-$M1807-$N1807)</f>
      </c>
    </row>
    <row r="1808">
      <c r="A1808"/>
      <c r="B1808">
        <v>4</v>
      </c>
      <c r="C1808" s="43">
        <f>INDEX(DarlObj,4)</f>
      </c>
      <c r="D1808">
        <v>365</v>
      </c>
      <c r="E1808" s="51">
        <f>IF(INDEX(DarlBelegt,4)=0,0,EOMONTH(INDEX(DarlAuszahlung,4),364)+1)</f>
      </c>
      <c r="F1808" s="43">
        <f>IF($E1808=0,0,YEAR($E1808))</f>
      </c>
      <c r="G1808" s="43">
        <f>IF(INDEX(DarlBindung,4)="",1,IF($E1808&lt;=INDEX(DarlBindung,4),1,0))</f>
      </c>
      <c r="H1808" s="43">
        <f>IF($G1808=1,INDEX(DarlSollzins,4),INDEX(DarlAnschluss,4))</f>
      </c>
      <c r="I1808" s="43">
        <f>IF(INDEX(DarlBelegt,4)=0,0,IF(INDEX(DarlOhneTilgung,4)=1,IF(INDEX(DarlBindung,4)="",1,$G1808),IF($J1808&gt;0.005,1,0)))</f>
      </c>
      <c r="J1808" s="43">
        <f>IF($I1807=0,0,$R1807)</f>
      </c>
      <c r="K1808" s="43">
        <f>IF($I1808=0,0,IF(INDEX(DarlOhneTilgung,4)=1,0,IF(AND(INDEX(DarlTilgStart,4)&gt;0,$E1808=INDEX(DarlTilgStart,4)),$J1808*($H1808+INDEX(DarlTilgung,4))/100/12,IF(AND($G1808=0,$G1807=1),MAX($K1807,$J1808*($H1808+1)/100/12),$K1807))))</f>
      </c>
      <c r="L1808" s="43">
        <f>IF($I1808=0,0,$J1808*$H1808/100/12)</f>
      </c>
      <c r="M1808" s="43">
        <f>IF($I1808=0,0,IF(OR(INDEX(DarlOhneTilgung,4)=1,AND(INDEX(DarlTilgStart,4)&gt;0,$E1808&lt;INDEX(DarlTilgStart,4))),0,MIN(MAX(0,$K1808-$L1808),$J1808)))</f>
      </c>
      <c r="N1808" s="43">
        <f>IF($I1808=0,0,MIN(SUMIFS(SondBetrag,SondDarl,4,SondDatum,"&gt;="&amp;$E1808,SondDatum,"&lt;="&amp;EOMONTH($E1808,0)),$J1808-$M1808))</f>
      </c>
      <c r="O1808" s="43">
        <f>IF($I1808=0,0,INDEX(DarlErsatzRate,4))</f>
      </c>
      <c r="P1808" s="43">
        <f>IF($I1808=0,0,$Q1807*INDEX(DarlErsatzZins,4))</f>
      </c>
      <c r="Q1808" s="43">
        <f>IF($I1808=0,0,$Q1807+$P1808+$O1808)</f>
      </c>
      <c r="R1808" s="43">
        <f>IF($I1808=0,0,$J1808-$M1808-$N1808)</f>
      </c>
    </row>
    <row r="1809">
      <c r="A1809"/>
      <c r="B1809">
        <v>4</v>
      </c>
      <c r="C1809" s="43">
        <f>INDEX(DarlObj,4)</f>
      </c>
      <c r="D1809">
        <v>366</v>
      </c>
      <c r="E1809" s="51">
        <f>IF(INDEX(DarlBelegt,4)=0,0,EOMONTH(INDEX(DarlAuszahlung,4),365)+1)</f>
      </c>
      <c r="F1809" s="43">
        <f>IF($E1809=0,0,YEAR($E1809))</f>
      </c>
      <c r="G1809" s="43">
        <f>IF(INDEX(DarlBindung,4)="",1,IF($E1809&lt;=INDEX(DarlBindung,4),1,0))</f>
      </c>
      <c r="H1809" s="43">
        <f>IF($G1809=1,INDEX(DarlSollzins,4),INDEX(DarlAnschluss,4))</f>
      </c>
      <c r="I1809" s="43">
        <f>IF(INDEX(DarlBelegt,4)=0,0,IF(INDEX(DarlOhneTilgung,4)=1,IF(INDEX(DarlBindung,4)="",1,$G1809),IF($J1809&gt;0.005,1,0)))</f>
      </c>
      <c r="J1809" s="43">
        <f>IF($I1808=0,0,$R1808)</f>
      </c>
      <c r="K1809" s="43">
        <f>IF($I1809=0,0,IF(INDEX(DarlOhneTilgung,4)=1,0,IF(AND(INDEX(DarlTilgStart,4)&gt;0,$E1809=INDEX(DarlTilgStart,4)),$J1809*($H1809+INDEX(DarlTilgung,4))/100/12,IF(AND($G1809=0,$G1808=1),MAX($K1808,$J1809*($H1809+1)/100/12),$K1808))))</f>
      </c>
      <c r="L1809" s="43">
        <f>IF($I1809=0,0,$J1809*$H1809/100/12)</f>
      </c>
      <c r="M1809" s="43">
        <f>IF($I1809=0,0,IF(OR(INDEX(DarlOhneTilgung,4)=1,AND(INDEX(DarlTilgStart,4)&gt;0,$E1809&lt;INDEX(DarlTilgStart,4))),0,MIN(MAX(0,$K1809-$L1809),$J1809)))</f>
      </c>
      <c r="N1809" s="43">
        <f>IF($I1809=0,0,MIN(SUMIFS(SondBetrag,SondDarl,4,SondDatum,"&gt;="&amp;$E1809,SondDatum,"&lt;="&amp;EOMONTH($E1809,0)),$J1809-$M1809))</f>
      </c>
      <c r="O1809" s="43">
        <f>IF($I1809=0,0,INDEX(DarlErsatzRate,4))</f>
      </c>
      <c r="P1809" s="43">
        <f>IF($I1809=0,0,$Q1808*INDEX(DarlErsatzZins,4))</f>
      </c>
      <c r="Q1809" s="43">
        <f>IF($I1809=0,0,$Q1808+$P1809+$O1809)</f>
      </c>
      <c r="R1809" s="43">
        <f>IF($I1809=0,0,$J1809-$M1809-$N1809)</f>
      </c>
    </row>
    <row r="1810">
      <c r="A1810"/>
      <c r="B1810">
        <v>4</v>
      </c>
      <c r="C1810" s="43">
        <f>INDEX(DarlObj,4)</f>
      </c>
      <c r="D1810">
        <v>367</v>
      </c>
      <c r="E1810" s="51">
        <f>IF(INDEX(DarlBelegt,4)=0,0,EOMONTH(INDEX(DarlAuszahlung,4),366)+1)</f>
      </c>
      <c r="F1810" s="43">
        <f>IF($E1810=0,0,YEAR($E1810))</f>
      </c>
      <c r="G1810" s="43">
        <f>IF(INDEX(DarlBindung,4)="",1,IF($E1810&lt;=INDEX(DarlBindung,4),1,0))</f>
      </c>
      <c r="H1810" s="43">
        <f>IF($G1810=1,INDEX(DarlSollzins,4),INDEX(DarlAnschluss,4))</f>
      </c>
      <c r="I1810" s="43">
        <f>IF(INDEX(DarlBelegt,4)=0,0,IF(INDEX(DarlOhneTilgung,4)=1,IF(INDEX(DarlBindung,4)="",1,$G1810),IF($J1810&gt;0.005,1,0)))</f>
      </c>
      <c r="J1810" s="43">
        <f>IF($I1809=0,0,$R1809)</f>
      </c>
      <c r="K1810" s="43">
        <f>IF($I1810=0,0,IF(INDEX(DarlOhneTilgung,4)=1,0,IF(AND(INDEX(DarlTilgStart,4)&gt;0,$E1810=INDEX(DarlTilgStart,4)),$J1810*($H1810+INDEX(DarlTilgung,4))/100/12,IF(AND($G1810=0,$G1809=1),MAX($K1809,$J1810*($H1810+1)/100/12),$K1809))))</f>
      </c>
      <c r="L1810" s="43">
        <f>IF($I1810=0,0,$J1810*$H1810/100/12)</f>
      </c>
      <c r="M1810" s="43">
        <f>IF($I1810=0,0,IF(OR(INDEX(DarlOhneTilgung,4)=1,AND(INDEX(DarlTilgStart,4)&gt;0,$E1810&lt;INDEX(DarlTilgStart,4))),0,MIN(MAX(0,$K1810-$L1810),$J1810)))</f>
      </c>
      <c r="N1810" s="43">
        <f>IF($I1810=0,0,MIN(SUMIFS(SondBetrag,SondDarl,4,SondDatum,"&gt;="&amp;$E1810,SondDatum,"&lt;="&amp;EOMONTH($E1810,0)),$J1810-$M1810))</f>
      </c>
      <c r="O1810" s="43">
        <f>IF($I1810=0,0,INDEX(DarlErsatzRate,4))</f>
      </c>
      <c r="P1810" s="43">
        <f>IF($I1810=0,0,$Q1809*INDEX(DarlErsatzZins,4))</f>
      </c>
      <c r="Q1810" s="43">
        <f>IF($I1810=0,0,$Q1809+$P1810+$O1810)</f>
      </c>
      <c r="R1810" s="43">
        <f>IF($I1810=0,0,$J1810-$M1810-$N1810)</f>
      </c>
    </row>
    <row r="1811">
      <c r="A1811"/>
      <c r="B1811">
        <v>4</v>
      </c>
      <c r="C1811" s="43">
        <f>INDEX(DarlObj,4)</f>
      </c>
      <c r="D1811">
        <v>368</v>
      </c>
      <c r="E1811" s="51">
        <f>IF(INDEX(DarlBelegt,4)=0,0,EOMONTH(INDEX(DarlAuszahlung,4),367)+1)</f>
      </c>
      <c r="F1811" s="43">
        <f>IF($E1811=0,0,YEAR($E1811))</f>
      </c>
      <c r="G1811" s="43">
        <f>IF(INDEX(DarlBindung,4)="",1,IF($E1811&lt;=INDEX(DarlBindung,4),1,0))</f>
      </c>
      <c r="H1811" s="43">
        <f>IF($G1811=1,INDEX(DarlSollzins,4),INDEX(DarlAnschluss,4))</f>
      </c>
      <c r="I1811" s="43">
        <f>IF(INDEX(DarlBelegt,4)=0,0,IF(INDEX(DarlOhneTilgung,4)=1,IF(INDEX(DarlBindung,4)="",1,$G1811),IF($J1811&gt;0.005,1,0)))</f>
      </c>
      <c r="J1811" s="43">
        <f>IF($I1810=0,0,$R1810)</f>
      </c>
      <c r="K1811" s="43">
        <f>IF($I1811=0,0,IF(INDEX(DarlOhneTilgung,4)=1,0,IF(AND(INDEX(DarlTilgStart,4)&gt;0,$E1811=INDEX(DarlTilgStart,4)),$J1811*($H1811+INDEX(DarlTilgung,4))/100/12,IF(AND($G1811=0,$G1810=1),MAX($K1810,$J1811*($H1811+1)/100/12),$K1810))))</f>
      </c>
      <c r="L1811" s="43">
        <f>IF($I1811=0,0,$J1811*$H1811/100/12)</f>
      </c>
      <c r="M1811" s="43">
        <f>IF($I1811=0,0,IF(OR(INDEX(DarlOhneTilgung,4)=1,AND(INDEX(DarlTilgStart,4)&gt;0,$E1811&lt;INDEX(DarlTilgStart,4))),0,MIN(MAX(0,$K1811-$L1811),$J1811)))</f>
      </c>
      <c r="N1811" s="43">
        <f>IF($I1811=0,0,MIN(SUMIFS(SondBetrag,SondDarl,4,SondDatum,"&gt;="&amp;$E1811,SondDatum,"&lt;="&amp;EOMONTH($E1811,0)),$J1811-$M1811))</f>
      </c>
      <c r="O1811" s="43">
        <f>IF($I1811=0,0,INDEX(DarlErsatzRate,4))</f>
      </c>
      <c r="P1811" s="43">
        <f>IF($I1811=0,0,$Q1810*INDEX(DarlErsatzZins,4))</f>
      </c>
      <c r="Q1811" s="43">
        <f>IF($I1811=0,0,$Q1810+$P1811+$O1811)</f>
      </c>
      <c r="R1811" s="43">
        <f>IF($I1811=0,0,$J1811-$M1811-$N1811)</f>
      </c>
    </row>
    <row r="1812">
      <c r="A1812"/>
      <c r="B1812">
        <v>4</v>
      </c>
      <c r="C1812" s="43">
        <f>INDEX(DarlObj,4)</f>
      </c>
      <c r="D1812">
        <v>369</v>
      </c>
      <c r="E1812" s="51">
        <f>IF(INDEX(DarlBelegt,4)=0,0,EOMONTH(INDEX(DarlAuszahlung,4),368)+1)</f>
      </c>
      <c r="F1812" s="43">
        <f>IF($E1812=0,0,YEAR($E1812))</f>
      </c>
      <c r="G1812" s="43">
        <f>IF(INDEX(DarlBindung,4)="",1,IF($E1812&lt;=INDEX(DarlBindung,4),1,0))</f>
      </c>
      <c r="H1812" s="43">
        <f>IF($G1812=1,INDEX(DarlSollzins,4),INDEX(DarlAnschluss,4))</f>
      </c>
      <c r="I1812" s="43">
        <f>IF(INDEX(DarlBelegt,4)=0,0,IF(INDEX(DarlOhneTilgung,4)=1,IF(INDEX(DarlBindung,4)="",1,$G1812),IF($J1812&gt;0.005,1,0)))</f>
      </c>
      <c r="J1812" s="43">
        <f>IF($I1811=0,0,$R1811)</f>
      </c>
      <c r="K1812" s="43">
        <f>IF($I1812=0,0,IF(INDEX(DarlOhneTilgung,4)=1,0,IF(AND(INDEX(DarlTilgStart,4)&gt;0,$E1812=INDEX(DarlTilgStart,4)),$J1812*($H1812+INDEX(DarlTilgung,4))/100/12,IF(AND($G1812=0,$G1811=1),MAX($K1811,$J1812*($H1812+1)/100/12),$K1811))))</f>
      </c>
      <c r="L1812" s="43">
        <f>IF($I1812=0,0,$J1812*$H1812/100/12)</f>
      </c>
      <c r="M1812" s="43">
        <f>IF($I1812=0,0,IF(OR(INDEX(DarlOhneTilgung,4)=1,AND(INDEX(DarlTilgStart,4)&gt;0,$E1812&lt;INDEX(DarlTilgStart,4))),0,MIN(MAX(0,$K1812-$L1812),$J1812)))</f>
      </c>
      <c r="N1812" s="43">
        <f>IF($I1812=0,0,MIN(SUMIFS(SondBetrag,SondDarl,4,SondDatum,"&gt;="&amp;$E1812,SondDatum,"&lt;="&amp;EOMONTH($E1812,0)),$J1812-$M1812))</f>
      </c>
      <c r="O1812" s="43">
        <f>IF($I1812=0,0,INDEX(DarlErsatzRate,4))</f>
      </c>
      <c r="P1812" s="43">
        <f>IF($I1812=0,0,$Q1811*INDEX(DarlErsatzZins,4))</f>
      </c>
      <c r="Q1812" s="43">
        <f>IF($I1812=0,0,$Q1811+$P1812+$O1812)</f>
      </c>
      <c r="R1812" s="43">
        <f>IF($I1812=0,0,$J1812-$M1812-$N1812)</f>
      </c>
    </row>
    <row r="1813">
      <c r="A1813"/>
      <c r="B1813">
        <v>4</v>
      </c>
      <c r="C1813" s="43">
        <f>INDEX(DarlObj,4)</f>
      </c>
      <c r="D1813">
        <v>370</v>
      </c>
      <c r="E1813" s="51">
        <f>IF(INDEX(DarlBelegt,4)=0,0,EOMONTH(INDEX(DarlAuszahlung,4),369)+1)</f>
      </c>
      <c r="F1813" s="43">
        <f>IF($E1813=0,0,YEAR($E1813))</f>
      </c>
      <c r="G1813" s="43">
        <f>IF(INDEX(DarlBindung,4)="",1,IF($E1813&lt;=INDEX(DarlBindung,4),1,0))</f>
      </c>
      <c r="H1813" s="43">
        <f>IF($G1813=1,INDEX(DarlSollzins,4),INDEX(DarlAnschluss,4))</f>
      </c>
      <c r="I1813" s="43">
        <f>IF(INDEX(DarlBelegt,4)=0,0,IF(INDEX(DarlOhneTilgung,4)=1,IF(INDEX(DarlBindung,4)="",1,$G1813),IF($J1813&gt;0.005,1,0)))</f>
      </c>
      <c r="J1813" s="43">
        <f>IF($I1812=0,0,$R1812)</f>
      </c>
      <c r="K1813" s="43">
        <f>IF($I1813=0,0,IF(INDEX(DarlOhneTilgung,4)=1,0,IF(AND(INDEX(DarlTilgStart,4)&gt;0,$E1813=INDEX(DarlTilgStart,4)),$J1813*($H1813+INDEX(DarlTilgung,4))/100/12,IF(AND($G1813=0,$G1812=1),MAX($K1812,$J1813*($H1813+1)/100/12),$K1812))))</f>
      </c>
      <c r="L1813" s="43">
        <f>IF($I1813=0,0,$J1813*$H1813/100/12)</f>
      </c>
      <c r="M1813" s="43">
        <f>IF($I1813=0,0,IF(OR(INDEX(DarlOhneTilgung,4)=1,AND(INDEX(DarlTilgStart,4)&gt;0,$E1813&lt;INDEX(DarlTilgStart,4))),0,MIN(MAX(0,$K1813-$L1813),$J1813)))</f>
      </c>
      <c r="N1813" s="43">
        <f>IF($I1813=0,0,MIN(SUMIFS(SondBetrag,SondDarl,4,SondDatum,"&gt;="&amp;$E1813,SondDatum,"&lt;="&amp;EOMONTH($E1813,0)),$J1813-$M1813))</f>
      </c>
      <c r="O1813" s="43">
        <f>IF($I1813=0,0,INDEX(DarlErsatzRate,4))</f>
      </c>
      <c r="P1813" s="43">
        <f>IF($I1813=0,0,$Q1812*INDEX(DarlErsatzZins,4))</f>
      </c>
      <c r="Q1813" s="43">
        <f>IF($I1813=0,0,$Q1812+$P1813+$O1813)</f>
      </c>
      <c r="R1813" s="43">
        <f>IF($I1813=0,0,$J1813-$M1813-$N1813)</f>
      </c>
    </row>
    <row r="1814">
      <c r="A1814"/>
      <c r="B1814">
        <v>4</v>
      </c>
      <c r="C1814" s="43">
        <f>INDEX(DarlObj,4)</f>
      </c>
      <c r="D1814">
        <v>371</v>
      </c>
      <c r="E1814" s="51">
        <f>IF(INDEX(DarlBelegt,4)=0,0,EOMONTH(INDEX(DarlAuszahlung,4),370)+1)</f>
      </c>
      <c r="F1814" s="43">
        <f>IF($E1814=0,0,YEAR($E1814))</f>
      </c>
      <c r="G1814" s="43">
        <f>IF(INDEX(DarlBindung,4)="",1,IF($E1814&lt;=INDEX(DarlBindung,4),1,0))</f>
      </c>
      <c r="H1814" s="43">
        <f>IF($G1814=1,INDEX(DarlSollzins,4),INDEX(DarlAnschluss,4))</f>
      </c>
      <c r="I1814" s="43">
        <f>IF(INDEX(DarlBelegt,4)=0,0,IF(INDEX(DarlOhneTilgung,4)=1,IF(INDEX(DarlBindung,4)="",1,$G1814),IF($J1814&gt;0.005,1,0)))</f>
      </c>
      <c r="J1814" s="43">
        <f>IF($I1813=0,0,$R1813)</f>
      </c>
      <c r="K1814" s="43">
        <f>IF($I1814=0,0,IF(INDEX(DarlOhneTilgung,4)=1,0,IF(AND(INDEX(DarlTilgStart,4)&gt;0,$E1814=INDEX(DarlTilgStart,4)),$J1814*($H1814+INDEX(DarlTilgung,4))/100/12,IF(AND($G1814=0,$G1813=1),MAX($K1813,$J1814*($H1814+1)/100/12),$K1813))))</f>
      </c>
      <c r="L1814" s="43">
        <f>IF($I1814=0,0,$J1814*$H1814/100/12)</f>
      </c>
      <c r="M1814" s="43">
        <f>IF($I1814=0,0,IF(OR(INDEX(DarlOhneTilgung,4)=1,AND(INDEX(DarlTilgStart,4)&gt;0,$E1814&lt;INDEX(DarlTilgStart,4))),0,MIN(MAX(0,$K1814-$L1814),$J1814)))</f>
      </c>
      <c r="N1814" s="43">
        <f>IF($I1814=0,0,MIN(SUMIFS(SondBetrag,SondDarl,4,SondDatum,"&gt;="&amp;$E1814,SondDatum,"&lt;="&amp;EOMONTH($E1814,0)),$J1814-$M1814))</f>
      </c>
      <c r="O1814" s="43">
        <f>IF($I1814=0,0,INDEX(DarlErsatzRate,4))</f>
      </c>
      <c r="P1814" s="43">
        <f>IF($I1814=0,0,$Q1813*INDEX(DarlErsatzZins,4))</f>
      </c>
      <c r="Q1814" s="43">
        <f>IF($I1814=0,0,$Q1813+$P1814+$O1814)</f>
      </c>
      <c r="R1814" s="43">
        <f>IF($I1814=0,0,$J1814-$M1814-$N1814)</f>
      </c>
    </row>
    <row r="1815">
      <c r="A1815"/>
      <c r="B1815">
        <v>4</v>
      </c>
      <c r="C1815" s="43">
        <f>INDEX(DarlObj,4)</f>
      </c>
      <c r="D1815">
        <v>372</v>
      </c>
      <c r="E1815" s="51">
        <f>IF(INDEX(DarlBelegt,4)=0,0,EOMONTH(INDEX(DarlAuszahlung,4),371)+1)</f>
      </c>
      <c r="F1815" s="43">
        <f>IF($E1815=0,0,YEAR($E1815))</f>
      </c>
      <c r="G1815" s="43">
        <f>IF(INDEX(DarlBindung,4)="",1,IF($E1815&lt;=INDEX(DarlBindung,4),1,0))</f>
      </c>
      <c r="H1815" s="43">
        <f>IF($G1815=1,INDEX(DarlSollzins,4),INDEX(DarlAnschluss,4))</f>
      </c>
      <c r="I1815" s="43">
        <f>IF(INDEX(DarlBelegt,4)=0,0,IF(INDEX(DarlOhneTilgung,4)=1,IF(INDEX(DarlBindung,4)="",1,$G1815),IF($J1815&gt;0.005,1,0)))</f>
      </c>
      <c r="J1815" s="43">
        <f>IF($I1814=0,0,$R1814)</f>
      </c>
      <c r="K1815" s="43">
        <f>IF($I1815=0,0,IF(INDEX(DarlOhneTilgung,4)=1,0,IF(AND(INDEX(DarlTilgStart,4)&gt;0,$E1815=INDEX(DarlTilgStart,4)),$J1815*($H1815+INDEX(DarlTilgung,4))/100/12,IF(AND($G1815=0,$G1814=1),MAX($K1814,$J1815*($H1815+1)/100/12),$K1814))))</f>
      </c>
      <c r="L1815" s="43">
        <f>IF($I1815=0,0,$J1815*$H1815/100/12)</f>
      </c>
      <c r="M1815" s="43">
        <f>IF($I1815=0,0,IF(OR(INDEX(DarlOhneTilgung,4)=1,AND(INDEX(DarlTilgStart,4)&gt;0,$E1815&lt;INDEX(DarlTilgStart,4))),0,MIN(MAX(0,$K1815-$L1815),$J1815)))</f>
      </c>
      <c r="N1815" s="43">
        <f>IF($I1815=0,0,MIN(SUMIFS(SondBetrag,SondDarl,4,SondDatum,"&gt;="&amp;$E1815,SondDatum,"&lt;="&amp;EOMONTH($E1815,0)),$J1815-$M1815))</f>
      </c>
      <c r="O1815" s="43">
        <f>IF($I1815=0,0,INDEX(DarlErsatzRate,4))</f>
      </c>
      <c r="P1815" s="43">
        <f>IF($I1815=0,0,$Q1814*INDEX(DarlErsatzZins,4))</f>
      </c>
      <c r="Q1815" s="43">
        <f>IF($I1815=0,0,$Q1814+$P1815+$O1815)</f>
      </c>
      <c r="R1815" s="43">
        <f>IF($I1815=0,0,$J1815-$M1815-$N1815)</f>
      </c>
    </row>
    <row r="1816">
      <c r="A1816"/>
      <c r="B1816">
        <v>4</v>
      </c>
      <c r="C1816" s="43">
        <f>INDEX(DarlObj,4)</f>
      </c>
      <c r="D1816">
        <v>373</v>
      </c>
      <c r="E1816" s="51">
        <f>IF(INDEX(DarlBelegt,4)=0,0,EOMONTH(INDEX(DarlAuszahlung,4),372)+1)</f>
      </c>
      <c r="F1816" s="43">
        <f>IF($E1816=0,0,YEAR($E1816))</f>
      </c>
      <c r="G1816" s="43">
        <f>IF(INDEX(DarlBindung,4)="",1,IF($E1816&lt;=INDEX(DarlBindung,4),1,0))</f>
      </c>
      <c r="H1816" s="43">
        <f>IF($G1816=1,INDEX(DarlSollzins,4),INDEX(DarlAnschluss,4))</f>
      </c>
      <c r="I1816" s="43">
        <f>IF(INDEX(DarlBelegt,4)=0,0,IF(INDEX(DarlOhneTilgung,4)=1,IF(INDEX(DarlBindung,4)="",1,$G1816),IF($J1816&gt;0.005,1,0)))</f>
      </c>
      <c r="J1816" s="43">
        <f>IF($I1815=0,0,$R1815)</f>
      </c>
      <c r="K1816" s="43">
        <f>IF($I1816=0,0,IF(INDEX(DarlOhneTilgung,4)=1,0,IF(AND(INDEX(DarlTilgStart,4)&gt;0,$E1816=INDEX(DarlTilgStart,4)),$J1816*($H1816+INDEX(DarlTilgung,4))/100/12,IF(AND($G1816=0,$G1815=1),MAX($K1815,$J1816*($H1816+1)/100/12),$K1815))))</f>
      </c>
      <c r="L1816" s="43">
        <f>IF($I1816=0,0,$J1816*$H1816/100/12)</f>
      </c>
      <c r="M1816" s="43">
        <f>IF($I1816=0,0,IF(OR(INDEX(DarlOhneTilgung,4)=1,AND(INDEX(DarlTilgStart,4)&gt;0,$E1816&lt;INDEX(DarlTilgStart,4))),0,MIN(MAX(0,$K1816-$L1816),$J1816)))</f>
      </c>
      <c r="N1816" s="43">
        <f>IF($I1816=0,0,MIN(SUMIFS(SondBetrag,SondDarl,4,SondDatum,"&gt;="&amp;$E1816,SondDatum,"&lt;="&amp;EOMONTH($E1816,0)),$J1816-$M1816))</f>
      </c>
      <c r="O1816" s="43">
        <f>IF($I1816=0,0,INDEX(DarlErsatzRate,4))</f>
      </c>
      <c r="P1816" s="43">
        <f>IF($I1816=0,0,$Q1815*INDEX(DarlErsatzZins,4))</f>
      </c>
      <c r="Q1816" s="43">
        <f>IF($I1816=0,0,$Q1815+$P1816+$O1816)</f>
      </c>
      <c r="R1816" s="43">
        <f>IF($I1816=0,0,$J1816-$M1816-$N1816)</f>
      </c>
    </row>
    <row r="1817">
      <c r="A1817"/>
      <c r="B1817">
        <v>4</v>
      </c>
      <c r="C1817" s="43">
        <f>INDEX(DarlObj,4)</f>
      </c>
      <c r="D1817">
        <v>374</v>
      </c>
      <c r="E1817" s="51">
        <f>IF(INDEX(DarlBelegt,4)=0,0,EOMONTH(INDEX(DarlAuszahlung,4),373)+1)</f>
      </c>
      <c r="F1817" s="43">
        <f>IF($E1817=0,0,YEAR($E1817))</f>
      </c>
      <c r="G1817" s="43">
        <f>IF(INDEX(DarlBindung,4)="",1,IF($E1817&lt;=INDEX(DarlBindung,4),1,0))</f>
      </c>
      <c r="H1817" s="43">
        <f>IF($G1817=1,INDEX(DarlSollzins,4),INDEX(DarlAnschluss,4))</f>
      </c>
      <c r="I1817" s="43">
        <f>IF(INDEX(DarlBelegt,4)=0,0,IF(INDEX(DarlOhneTilgung,4)=1,IF(INDEX(DarlBindung,4)="",1,$G1817),IF($J1817&gt;0.005,1,0)))</f>
      </c>
      <c r="J1817" s="43">
        <f>IF($I1816=0,0,$R1816)</f>
      </c>
      <c r="K1817" s="43">
        <f>IF($I1817=0,0,IF(INDEX(DarlOhneTilgung,4)=1,0,IF(AND(INDEX(DarlTilgStart,4)&gt;0,$E1817=INDEX(DarlTilgStart,4)),$J1817*($H1817+INDEX(DarlTilgung,4))/100/12,IF(AND($G1817=0,$G1816=1),MAX($K1816,$J1817*($H1817+1)/100/12),$K1816))))</f>
      </c>
      <c r="L1817" s="43">
        <f>IF($I1817=0,0,$J1817*$H1817/100/12)</f>
      </c>
      <c r="M1817" s="43">
        <f>IF($I1817=0,0,IF(OR(INDEX(DarlOhneTilgung,4)=1,AND(INDEX(DarlTilgStart,4)&gt;0,$E1817&lt;INDEX(DarlTilgStart,4))),0,MIN(MAX(0,$K1817-$L1817),$J1817)))</f>
      </c>
      <c r="N1817" s="43">
        <f>IF($I1817=0,0,MIN(SUMIFS(SondBetrag,SondDarl,4,SondDatum,"&gt;="&amp;$E1817,SondDatum,"&lt;="&amp;EOMONTH($E1817,0)),$J1817-$M1817))</f>
      </c>
      <c r="O1817" s="43">
        <f>IF($I1817=0,0,INDEX(DarlErsatzRate,4))</f>
      </c>
      <c r="P1817" s="43">
        <f>IF($I1817=0,0,$Q1816*INDEX(DarlErsatzZins,4))</f>
      </c>
      <c r="Q1817" s="43">
        <f>IF($I1817=0,0,$Q1816+$P1817+$O1817)</f>
      </c>
      <c r="R1817" s="43">
        <f>IF($I1817=0,0,$J1817-$M1817-$N1817)</f>
      </c>
    </row>
    <row r="1818">
      <c r="A1818"/>
      <c r="B1818">
        <v>4</v>
      </c>
      <c r="C1818" s="43">
        <f>INDEX(DarlObj,4)</f>
      </c>
      <c r="D1818">
        <v>375</v>
      </c>
      <c r="E1818" s="51">
        <f>IF(INDEX(DarlBelegt,4)=0,0,EOMONTH(INDEX(DarlAuszahlung,4),374)+1)</f>
      </c>
      <c r="F1818" s="43">
        <f>IF($E1818=0,0,YEAR($E1818))</f>
      </c>
      <c r="G1818" s="43">
        <f>IF(INDEX(DarlBindung,4)="",1,IF($E1818&lt;=INDEX(DarlBindung,4),1,0))</f>
      </c>
      <c r="H1818" s="43">
        <f>IF($G1818=1,INDEX(DarlSollzins,4),INDEX(DarlAnschluss,4))</f>
      </c>
      <c r="I1818" s="43">
        <f>IF(INDEX(DarlBelegt,4)=0,0,IF(INDEX(DarlOhneTilgung,4)=1,IF(INDEX(DarlBindung,4)="",1,$G1818),IF($J1818&gt;0.005,1,0)))</f>
      </c>
      <c r="J1818" s="43">
        <f>IF($I1817=0,0,$R1817)</f>
      </c>
      <c r="K1818" s="43">
        <f>IF($I1818=0,0,IF(INDEX(DarlOhneTilgung,4)=1,0,IF(AND(INDEX(DarlTilgStart,4)&gt;0,$E1818=INDEX(DarlTilgStart,4)),$J1818*($H1818+INDEX(DarlTilgung,4))/100/12,IF(AND($G1818=0,$G1817=1),MAX($K1817,$J1818*($H1818+1)/100/12),$K1817))))</f>
      </c>
      <c r="L1818" s="43">
        <f>IF($I1818=0,0,$J1818*$H1818/100/12)</f>
      </c>
      <c r="M1818" s="43">
        <f>IF($I1818=0,0,IF(OR(INDEX(DarlOhneTilgung,4)=1,AND(INDEX(DarlTilgStart,4)&gt;0,$E1818&lt;INDEX(DarlTilgStart,4))),0,MIN(MAX(0,$K1818-$L1818),$J1818)))</f>
      </c>
      <c r="N1818" s="43">
        <f>IF($I1818=0,0,MIN(SUMIFS(SondBetrag,SondDarl,4,SondDatum,"&gt;="&amp;$E1818,SondDatum,"&lt;="&amp;EOMONTH($E1818,0)),$J1818-$M1818))</f>
      </c>
      <c r="O1818" s="43">
        <f>IF($I1818=0,0,INDEX(DarlErsatzRate,4))</f>
      </c>
      <c r="P1818" s="43">
        <f>IF($I1818=0,0,$Q1817*INDEX(DarlErsatzZins,4))</f>
      </c>
      <c r="Q1818" s="43">
        <f>IF($I1818=0,0,$Q1817+$P1818+$O1818)</f>
      </c>
      <c r="R1818" s="43">
        <f>IF($I1818=0,0,$J1818-$M1818-$N1818)</f>
      </c>
    </row>
    <row r="1819">
      <c r="A1819"/>
      <c r="B1819">
        <v>4</v>
      </c>
      <c r="C1819" s="43">
        <f>INDEX(DarlObj,4)</f>
      </c>
      <c r="D1819">
        <v>376</v>
      </c>
      <c r="E1819" s="51">
        <f>IF(INDEX(DarlBelegt,4)=0,0,EOMONTH(INDEX(DarlAuszahlung,4),375)+1)</f>
      </c>
      <c r="F1819" s="43">
        <f>IF($E1819=0,0,YEAR($E1819))</f>
      </c>
      <c r="G1819" s="43">
        <f>IF(INDEX(DarlBindung,4)="",1,IF($E1819&lt;=INDEX(DarlBindung,4),1,0))</f>
      </c>
      <c r="H1819" s="43">
        <f>IF($G1819=1,INDEX(DarlSollzins,4),INDEX(DarlAnschluss,4))</f>
      </c>
      <c r="I1819" s="43">
        <f>IF(INDEX(DarlBelegt,4)=0,0,IF(INDEX(DarlOhneTilgung,4)=1,IF(INDEX(DarlBindung,4)="",1,$G1819),IF($J1819&gt;0.005,1,0)))</f>
      </c>
      <c r="J1819" s="43">
        <f>IF($I1818=0,0,$R1818)</f>
      </c>
      <c r="K1819" s="43">
        <f>IF($I1819=0,0,IF(INDEX(DarlOhneTilgung,4)=1,0,IF(AND(INDEX(DarlTilgStart,4)&gt;0,$E1819=INDEX(DarlTilgStart,4)),$J1819*($H1819+INDEX(DarlTilgung,4))/100/12,IF(AND($G1819=0,$G1818=1),MAX($K1818,$J1819*($H1819+1)/100/12),$K1818))))</f>
      </c>
      <c r="L1819" s="43">
        <f>IF($I1819=0,0,$J1819*$H1819/100/12)</f>
      </c>
      <c r="M1819" s="43">
        <f>IF($I1819=0,0,IF(OR(INDEX(DarlOhneTilgung,4)=1,AND(INDEX(DarlTilgStart,4)&gt;0,$E1819&lt;INDEX(DarlTilgStart,4))),0,MIN(MAX(0,$K1819-$L1819),$J1819)))</f>
      </c>
      <c r="N1819" s="43">
        <f>IF($I1819=0,0,MIN(SUMIFS(SondBetrag,SondDarl,4,SondDatum,"&gt;="&amp;$E1819,SondDatum,"&lt;="&amp;EOMONTH($E1819,0)),$J1819-$M1819))</f>
      </c>
      <c r="O1819" s="43">
        <f>IF($I1819=0,0,INDEX(DarlErsatzRate,4))</f>
      </c>
      <c r="P1819" s="43">
        <f>IF($I1819=0,0,$Q1818*INDEX(DarlErsatzZins,4))</f>
      </c>
      <c r="Q1819" s="43">
        <f>IF($I1819=0,0,$Q1818+$P1819+$O1819)</f>
      </c>
      <c r="R1819" s="43">
        <f>IF($I1819=0,0,$J1819-$M1819-$N1819)</f>
      </c>
    </row>
    <row r="1820">
      <c r="A1820"/>
      <c r="B1820">
        <v>4</v>
      </c>
      <c r="C1820" s="43">
        <f>INDEX(DarlObj,4)</f>
      </c>
      <c r="D1820">
        <v>377</v>
      </c>
      <c r="E1820" s="51">
        <f>IF(INDEX(DarlBelegt,4)=0,0,EOMONTH(INDEX(DarlAuszahlung,4),376)+1)</f>
      </c>
      <c r="F1820" s="43">
        <f>IF($E1820=0,0,YEAR($E1820))</f>
      </c>
      <c r="G1820" s="43">
        <f>IF(INDEX(DarlBindung,4)="",1,IF($E1820&lt;=INDEX(DarlBindung,4),1,0))</f>
      </c>
      <c r="H1820" s="43">
        <f>IF($G1820=1,INDEX(DarlSollzins,4),INDEX(DarlAnschluss,4))</f>
      </c>
      <c r="I1820" s="43">
        <f>IF(INDEX(DarlBelegt,4)=0,0,IF(INDEX(DarlOhneTilgung,4)=1,IF(INDEX(DarlBindung,4)="",1,$G1820),IF($J1820&gt;0.005,1,0)))</f>
      </c>
      <c r="J1820" s="43">
        <f>IF($I1819=0,0,$R1819)</f>
      </c>
      <c r="K1820" s="43">
        <f>IF($I1820=0,0,IF(INDEX(DarlOhneTilgung,4)=1,0,IF(AND(INDEX(DarlTilgStart,4)&gt;0,$E1820=INDEX(DarlTilgStart,4)),$J1820*($H1820+INDEX(DarlTilgung,4))/100/12,IF(AND($G1820=0,$G1819=1),MAX($K1819,$J1820*($H1820+1)/100/12),$K1819))))</f>
      </c>
      <c r="L1820" s="43">
        <f>IF($I1820=0,0,$J1820*$H1820/100/12)</f>
      </c>
      <c r="M1820" s="43">
        <f>IF($I1820=0,0,IF(OR(INDEX(DarlOhneTilgung,4)=1,AND(INDEX(DarlTilgStart,4)&gt;0,$E1820&lt;INDEX(DarlTilgStart,4))),0,MIN(MAX(0,$K1820-$L1820),$J1820)))</f>
      </c>
      <c r="N1820" s="43">
        <f>IF($I1820=0,0,MIN(SUMIFS(SondBetrag,SondDarl,4,SondDatum,"&gt;="&amp;$E1820,SondDatum,"&lt;="&amp;EOMONTH($E1820,0)),$J1820-$M1820))</f>
      </c>
      <c r="O1820" s="43">
        <f>IF($I1820=0,0,INDEX(DarlErsatzRate,4))</f>
      </c>
      <c r="P1820" s="43">
        <f>IF($I1820=0,0,$Q1819*INDEX(DarlErsatzZins,4))</f>
      </c>
      <c r="Q1820" s="43">
        <f>IF($I1820=0,0,$Q1819+$P1820+$O1820)</f>
      </c>
      <c r="R1820" s="43">
        <f>IF($I1820=0,0,$J1820-$M1820-$N1820)</f>
      </c>
    </row>
    <row r="1821">
      <c r="A1821"/>
      <c r="B1821">
        <v>4</v>
      </c>
      <c r="C1821" s="43">
        <f>INDEX(DarlObj,4)</f>
      </c>
      <c r="D1821">
        <v>378</v>
      </c>
      <c r="E1821" s="51">
        <f>IF(INDEX(DarlBelegt,4)=0,0,EOMONTH(INDEX(DarlAuszahlung,4),377)+1)</f>
      </c>
      <c r="F1821" s="43">
        <f>IF($E1821=0,0,YEAR($E1821))</f>
      </c>
      <c r="G1821" s="43">
        <f>IF(INDEX(DarlBindung,4)="",1,IF($E1821&lt;=INDEX(DarlBindung,4),1,0))</f>
      </c>
      <c r="H1821" s="43">
        <f>IF($G1821=1,INDEX(DarlSollzins,4),INDEX(DarlAnschluss,4))</f>
      </c>
      <c r="I1821" s="43">
        <f>IF(INDEX(DarlBelegt,4)=0,0,IF(INDEX(DarlOhneTilgung,4)=1,IF(INDEX(DarlBindung,4)="",1,$G1821),IF($J1821&gt;0.005,1,0)))</f>
      </c>
      <c r="J1821" s="43">
        <f>IF($I1820=0,0,$R1820)</f>
      </c>
      <c r="K1821" s="43">
        <f>IF($I1821=0,0,IF(INDEX(DarlOhneTilgung,4)=1,0,IF(AND(INDEX(DarlTilgStart,4)&gt;0,$E1821=INDEX(DarlTilgStart,4)),$J1821*($H1821+INDEX(DarlTilgung,4))/100/12,IF(AND($G1821=0,$G1820=1),MAX($K1820,$J1821*($H1821+1)/100/12),$K1820))))</f>
      </c>
      <c r="L1821" s="43">
        <f>IF($I1821=0,0,$J1821*$H1821/100/12)</f>
      </c>
      <c r="M1821" s="43">
        <f>IF($I1821=0,0,IF(OR(INDEX(DarlOhneTilgung,4)=1,AND(INDEX(DarlTilgStart,4)&gt;0,$E1821&lt;INDEX(DarlTilgStart,4))),0,MIN(MAX(0,$K1821-$L1821),$J1821)))</f>
      </c>
      <c r="N1821" s="43">
        <f>IF($I1821=0,0,MIN(SUMIFS(SondBetrag,SondDarl,4,SondDatum,"&gt;="&amp;$E1821,SondDatum,"&lt;="&amp;EOMONTH($E1821,0)),$J1821-$M1821))</f>
      </c>
      <c r="O1821" s="43">
        <f>IF($I1821=0,0,INDEX(DarlErsatzRate,4))</f>
      </c>
      <c r="P1821" s="43">
        <f>IF($I1821=0,0,$Q1820*INDEX(DarlErsatzZins,4))</f>
      </c>
      <c r="Q1821" s="43">
        <f>IF($I1821=0,0,$Q1820+$P1821+$O1821)</f>
      </c>
      <c r="R1821" s="43">
        <f>IF($I1821=0,0,$J1821-$M1821-$N1821)</f>
      </c>
    </row>
    <row r="1822">
      <c r="A1822"/>
      <c r="B1822">
        <v>4</v>
      </c>
      <c r="C1822" s="43">
        <f>INDEX(DarlObj,4)</f>
      </c>
      <c r="D1822">
        <v>379</v>
      </c>
      <c r="E1822" s="51">
        <f>IF(INDEX(DarlBelegt,4)=0,0,EOMONTH(INDEX(DarlAuszahlung,4),378)+1)</f>
      </c>
      <c r="F1822" s="43">
        <f>IF($E1822=0,0,YEAR($E1822))</f>
      </c>
      <c r="G1822" s="43">
        <f>IF(INDEX(DarlBindung,4)="",1,IF($E1822&lt;=INDEX(DarlBindung,4),1,0))</f>
      </c>
      <c r="H1822" s="43">
        <f>IF($G1822=1,INDEX(DarlSollzins,4),INDEX(DarlAnschluss,4))</f>
      </c>
      <c r="I1822" s="43">
        <f>IF(INDEX(DarlBelegt,4)=0,0,IF(INDEX(DarlOhneTilgung,4)=1,IF(INDEX(DarlBindung,4)="",1,$G1822),IF($J1822&gt;0.005,1,0)))</f>
      </c>
      <c r="J1822" s="43">
        <f>IF($I1821=0,0,$R1821)</f>
      </c>
      <c r="K1822" s="43">
        <f>IF($I1822=0,0,IF(INDEX(DarlOhneTilgung,4)=1,0,IF(AND(INDEX(DarlTilgStart,4)&gt;0,$E1822=INDEX(DarlTilgStart,4)),$J1822*($H1822+INDEX(DarlTilgung,4))/100/12,IF(AND($G1822=0,$G1821=1),MAX($K1821,$J1822*($H1822+1)/100/12),$K1821))))</f>
      </c>
      <c r="L1822" s="43">
        <f>IF($I1822=0,0,$J1822*$H1822/100/12)</f>
      </c>
      <c r="M1822" s="43">
        <f>IF($I1822=0,0,IF(OR(INDEX(DarlOhneTilgung,4)=1,AND(INDEX(DarlTilgStart,4)&gt;0,$E1822&lt;INDEX(DarlTilgStart,4))),0,MIN(MAX(0,$K1822-$L1822),$J1822)))</f>
      </c>
      <c r="N1822" s="43">
        <f>IF($I1822=0,0,MIN(SUMIFS(SondBetrag,SondDarl,4,SondDatum,"&gt;="&amp;$E1822,SondDatum,"&lt;="&amp;EOMONTH($E1822,0)),$J1822-$M1822))</f>
      </c>
      <c r="O1822" s="43">
        <f>IF($I1822=0,0,INDEX(DarlErsatzRate,4))</f>
      </c>
      <c r="P1822" s="43">
        <f>IF($I1822=0,0,$Q1821*INDEX(DarlErsatzZins,4))</f>
      </c>
      <c r="Q1822" s="43">
        <f>IF($I1822=0,0,$Q1821+$P1822+$O1822)</f>
      </c>
      <c r="R1822" s="43">
        <f>IF($I1822=0,0,$J1822-$M1822-$N1822)</f>
      </c>
    </row>
    <row r="1823">
      <c r="A1823"/>
      <c r="B1823">
        <v>4</v>
      </c>
      <c r="C1823" s="43">
        <f>INDEX(DarlObj,4)</f>
      </c>
      <c r="D1823">
        <v>380</v>
      </c>
      <c r="E1823" s="51">
        <f>IF(INDEX(DarlBelegt,4)=0,0,EOMONTH(INDEX(DarlAuszahlung,4),379)+1)</f>
      </c>
      <c r="F1823" s="43">
        <f>IF($E1823=0,0,YEAR($E1823))</f>
      </c>
      <c r="G1823" s="43">
        <f>IF(INDEX(DarlBindung,4)="",1,IF($E1823&lt;=INDEX(DarlBindung,4),1,0))</f>
      </c>
      <c r="H1823" s="43">
        <f>IF($G1823=1,INDEX(DarlSollzins,4),INDEX(DarlAnschluss,4))</f>
      </c>
      <c r="I1823" s="43">
        <f>IF(INDEX(DarlBelegt,4)=0,0,IF(INDEX(DarlOhneTilgung,4)=1,IF(INDEX(DarlBindung,4)="",1,$G1823),IF($J1823&gt;0.005,1,0)))</f>
      </c>
      <c r="J1823" s="43">
        <f>IF($I1822=0,0,$R1822)</f>
      </c>
      <c r="K1823" s="43">
        <f>IF($I1823=0,0,IF(INDEX(DarlOhneTilgung,4)=1,0,IF(AND(INDEX(DarlTilgStart,4)&gt;0,$E1823=INDEX(DarlTilgStart,4)),$J1823*($H1823+INDEX(DarlTilgung,4))/100/12,IF(AND($G1823=0,$G1822=1),MAX($K1822,$J1823*($H1823+1)/100/12),$K1822))))</f>
      </c>
      <c r="L1823" s="43">
        <f>IF($I1823=0,0,$J1823*$H1823/100/12)</f>
      </c>
      <c r="M1823" s="43">
        <f>IF($I1823=0,0,IF(OR(INDEX(DarlOhneTilgung,4)=1,AND(INDEX(DarlTilgStart,4)&gt;0,$E1823&lt;INDEX(DarlTilgStart,4))),0,MIN(MAX(0,$K1823-$L1823),$J1823)))</f>
      </c>
      <c r="N1823" s="43">
        <f>IF($I1823=0,0,MIN(SUMIFS(SondBetrag,SondDarl,4,SondDatum,"&gt;="&amp;$E1823,SondDatum,"&lt;="&amp;EOMONTH($E1823,0)),$J1823-$M1823))</f>
      </c>
      <c r="O1823" s="43">
        <f>IF($I1823=0,0,INDEX(DarlErsatzRate,4))</f>
      </c>
      <c r="P1823" s="43">
        <f>IF($I1823=0,0,$Q1822*INDEX(DarlErsatzZins,4))</f>
      </c>
      <c r="Q1823" s="43">
        <f>IF($I1823=0,0,$Q1822+$P1823+$O1823)</f>
      </c>
      <c r="R1823" s="43">
        <f>IF($I1823=0,0,$J1823-$M1823-$N1823)</f>
      </c>
    </row>
    <row r="1824">
      <c r="A1824"/>
      <c r="B1824">
        <v>4</v>
      </c>
      <c r="C1824" s="43">
        <f>INDEX(DarlObj,4)</f>
      </c>
      <c r="D1824">
        <v>381</v>
      </c>
      <c r="E1824" s="51">
        <f>IF(INDEX(DarlBelegt,4)=0,0,EOMONTH(INDEX(DarlAuszahlung,4),380)+1)</f>
      </c>
      <c r="F1824" s="43">
        <f>IF($E1824=0,0,YEAR($E1824))</f>
      </c>
      <c r="G1824" s="43">
        <f>IF(INDEX(DarlBindung,4)="",1,IF($E1824&lt;=INDEX(DarlBindung,4),1,0))</f>
      </c>
      <c r="H1824" s="43">
        <f>IF($G1824=1,INDEX(DarlSollzins,4),INDEX(DarlAnschluss,4))</f>
      </c>
      <c r="I1824" s="43">
        <f>IF(INDEX(DarlBelegt,4)=0,0,IF(INDEX(DarlOhneTilgung,4)=1,IF(INDEX(DarlBindung,4)="",1,$G1824),IF($J1824&gt;0.005,1,0)))</f>
      </c>
      <c r="J1824" s="43">
        <f>IF($I1823=0,0,$R1823)</f>
      </c>
      <c r="K1824" s="43">
        <f>IF($I1824=0,0,IF(INDEX(DarlOhneTilgung,4)=1,0,IF(AND(INDEX(DarlTilgStart,4)&gt;0,$E1824=INDEX(DarlTilgStart,4)),$J1824*($H1824+INDEX(DarlTilgung,4))/100/12,IF(AND($G1824=0,$G1823=1),MAX($K1823,$J1824*($H1824+1)/100/12),$K1823))))</f>
      </c>
      <c r="L1824" s="43">
        <f>IF($I1824=0,0,$J1824*$H1824/100/12)</f>
      </c>
      <c r="M1824" s="43">
        <f>IF($I1824=0,0,IF(OR(INDEX(DarlOhneTilgung,4)=1,AND(INDEX(DarlTilgStart,4)&gt;0,$E1824&lt;INDEX(DarlTilgStart,4))),0,MIN(MAX(0,$K1824-$L1824),$J1824)))</f>
      </c>
      <c r="N1824" s="43">
        <f>IF($I1824=0,0,MIN(SUMIFS(SondBetrag,SondDarl,4,SondDatum,"&gt;="&amp;$E1824,SondDatum,"&lt;="&amp;EOMONTH($E1824,0)),$J1824-$M1824))</f>
      </c>
      <c r="O1824" s="43">
        <f>IF($I1824=0,0,INDEX(DarlErsatzRate,4))</f>
      </c>
      <c r="P1824" s="43">
        <f>IF($I1824=0,0,$Q1823*INDEX(DarlErsatzZins,4))</f>
      </c>
      <c r="Q1824" s="43">
        <f>IF($I1824=0,0,$Q1823+$P1824+$O1824)</f>
      </c>
      <c r="R1824" s="43">
        <f>IF($I1824=0,0,$J1824-$M1824-$N1824)</f>
      </c>
    </row>
    <row r="1825">
      <c r="A1825"/>
      <c r="B1825">
        <v>4</v>
      </c>
      <c r="C1825" s="43">
        <f>INDEX(DarlObj,4)</f>
      </c>
      <c r="D1825">
        <v>382</v>
      </c>
      <c r="E1825" s="51">
        <f>IF(INDEX(DarlBelegt,4)=0,0,EOMONTH(INDEX(DarlAuszahlung,4),381)+1)</f>
      </c>
      <c r="F1825" s="43">
        <f>IF($E1825=0,0,YEAR($E1825))</f>
      </c>
      <c r="G1825" s="43">
        <f>IF(INDEX(DarlBindung,4)="",1,IF($E1825&lt;=INDEX(DarlBindung,4),1,0))</f>
      </c>
      <c r="H1825" s="43">
        <f>IF($G1825=1,INDEX(DarlSollzins,4),INDEX(DarlAnschluss,4))</f>
      </c>
      <c r="I1825" s="43">
        <f>IF(INDEX(DarlBelegt,4)=0,0,IF(INDEX(DarlOhneTilgung,4)=1,IF(INDEX(DarlBindung,4)="",1,$G1825),IF($J1825&gt;0.005,1,0)))</f>
      </c>
      <c r="J1825" s="43">
        <f>IF($I1824=0,0,$R1824)</f>
      </c>
      <c r="K1825" s="43">
        <f>IF($I1825=0,0,IF(INDEX(DarlOhneTilgung,4)=1,0,IF(AND(INDEX(DarlTilgStart,4)&gt;0,$E1825=INDEX(DarlTilgStart,4)),$J1825*($H1825+INDEX(DarlTilgung,4))/100/12,IF(AND($G1825=0,$G1824=1),MAX($K1824,$J1825*($H1825+1)/100/12),$K1824))))</f>
      </c>
      <c r="L1825" s="43">
        <f>IF($I1825=0,0,$J1825*$H1825/100/12)</f>
      </c>
      <c r="M1825" s="43">
        <f>IF($I1825=0,0,IF(OR(INDEX(DarlOhneTilgung,4)=1,AND(INDEX(DarlTilgStart,4)&gt;0,$E1825&lt;INDEX(DarlTilgStart,4))),0,MIN(MAX(0,$K1825-$L1825),$J1825)))</f>
      </c>
      <c r="N1825" s="43">
        <f>IF($I1825=0,0,MIN(SUMIFS(SondBetrag,SondDarl,4,SondDatum,"&gt;="&amp;$E1825,SondDatum,"&lt;="&amp;EOMONTH($E1825,0)),$J1825-$M1825))</f>
      </c>
      <c r="O1825" s="43">
        <f>IF($I1825=0,0,INDEX(DarlErsatzRate,4))</f>
      </c>
      <c r="P1825" s="43">
        <f>IF($I1825=0,0,$Q1824*INDEX(DarlErsatzZins,4))</f>
      </c>
      <c r="Q1825" s="43">
        <f>IF($I1825=0,0,$Q1824+$P1825+$O1825)</f>
      </c>
      <c r="R1825" s="43">
        <f>IF($I1825=0,0,$J1825-$M1825-$N1825)</f>
      </c>
    </row>
    <row r="1826">
      <c r="A1826"/>
      <c r="B1826">
        <v>4</v>
      </c>
      <c r="C1826" s="43">
        <f>INDEX(DarlObj,4)</f>
      </c>
      <c r="D1826">
        <v>383</v>
      </c>
      <c r="E1826" s="51">
        <f>IF(INDEX(DarlBelegt,4)=0,0,EOMONTH(INDEX(DarlAuszahlung,4),382)+1)</f>
      </c>
      <c r="F1826" s="43">
        <f>IF($E1826=0,0,YEAR($E1826))</f>
      </c>
      <c r="G1826" s="43">
        <f>IF(INDEX(DarlBindung,4)="",1,IF($E1826&lt;=INDEX(DarlBindung,4),1,0))</f>
      </c>
      <c r="H1826" s="43">
        <f>IF($G1826=1,INDEX(DarlSollzins,4),INDEX(DarlAnschluss,4))</f>
      </c>
      <c r="I1826" s="43">
        <f>IF(INDEX(DarlBelegt,4)=0,0,IF(INDEX(DarlOhneTilgung,4)=1,IF(INDEX(DarlBindung,4)="",1,$G1826),IF($J1826&gt;0.005,1,0)))</f>
      </c>
      <c r="J1826" s="43">
        <f>IF($I1825=0,0,$R1825)</f>
      </c>
      <c r="K1826" s="43">
        <f>IF($I1826=0,0,IF(INDEX(DarlOhneTilgung,4)=1,0,IF(AND(INDEX(DarlTilgStart,4)&gt;0,$E1826=INDEX(DarlTilgStart,4)),$J1826*($H1826+INDEX(DarlTilgung,4))/100/12,IF(AND($G1826=0,$G1825=1),MAX($K1825,$J1826*($H1826+1)/100/12),$K1825))))</f>
      </c>
      <c r="L1826" s="43">
        <f>IF($I1826=0,0,$J1826*$H1826/100/12)</f>
      </c>
      <c r="M1826" s="43">
        <f>IF($I1826=0,0,IF(OR(INDEX(DarlOhneTilgung,4)=1,AND(INDEX(DarlTilgStart,4)&gt;0,$E1826&lt;INDEX(DarlTilgStart,4))),0,MIN(MAX(0,$K1826-$L1826),$J1826)))</f>
      </c>
      <c r="N1826" s="43">
        <f>IF($I1826=0,0,MIN(SUMIFS(SondBetrag,SondDarl,4,SondDatum,"&gt;="&amp;$E1826,SondDatum,"&lt;="&amp;EOMONTH($E1826,0)),$J1826-$M1826))</f>
      </c>
      <c r="O1826" s="43">
        <f>IF($I1826=0,0,INDEX(DarlErsatzRate,4))</f>
      </c>
      <c r="P1826" s="43">
        <f>IF($I1826=0,0,$Q1825*INDEX(DarlErsatzZins,4))</f>
      </c>
      <c r="Q1826" s="43">
        <f>IF($I1826=0,0,$Q1825+$P1826+$O1826)</f>
      </c>
      <c r="R1826" s="43">
        <f>IF($I1826=0,0,$J1826-$M1826-$N1826)</f>
      </c>
    </row>
    <row r="1827">
      <c r="A1827"/>
      <c r="B1827">
        <v>4</v>
      </c>
      <c r="C1827" s="43">
        <f>INDEX(DarlObj,4)</f>
      </c>
      <c r="D1827">
        <v>384</v>
      </c>
      <c r="E1827" s="51">
        <f>IF(INDEX(DarlBelegt,4)=0,0,EOMONTH(INDEX(DarlAuszahlung,4),383)+1)</f>
      </c>
      <c r="F1827" s="43">
        <f>IF($E1827=0,0,YEAR($E1827))</f>
      </c>
      <c r="G1827" s="43">
        <f>IF(INDEX(DarlBindung,4)="",1,IF($E1827&lt;=INDEX(DarlBindung,4),1,0))</f>
      </c>
      <c r="H1827" s="43">
        <f>IF($G1827=1,INDEX(DarlSollzins,4),INDEX(DarlAnschluss,4))</f>
      </c>
      <c r="I1827" s="43">
        <f>IF(INDEX(DarlBelegt,4)=0,0,IF(INDEX(DarlOhneTilgung,4)=1,IF(INDEX(DarlBindung,4)="",1,$G1827),IF($J1827&gt;0.005,1,0)))</f>
      </c>
      <c r="J1827" s="43">
        <f>IF($I1826=0,0,$R1826)</f>
      </c>
      <c r="K1827" s="43">
        <f>IF($I1827=0,0,IF(INDEX(DarlOhneTilgung,4)=1,0,IF(AND(INDEX(DarlTilgStart,4)&gt;0,$E1827=INDEX(DarlTilgStart,4)),$J1827*($H1827+INDEX(DarlTilgung,4))/100/12,IF(AND($G1827=0,$G1826=1),MAX($K1826,$J1827*($H1827+1)/100/12),$K1826))))</f>
      </c>
      <c r="L1827" s="43">
        <f>IF($I1827=0,0,$J1827*$H1827/100/12)</f>
      </c>
      <c r="M1827" s="43">
        <f>IF($I1827=0,0,IF(OR(INDEX(DarlOhneTilgung,4)=1,AND(INDEX(DarlTilgStart,4)&gt;0,$E1827&lt;INDEX(DarlTilgStart,4))),0,MIN(MAX(0,$K1827-$L1827),$J1827)))</f>
      </c>
      <c r="N1827" s="43">
        <f>IF($I1827=0,0,MIN(SUMIFS(SondBetrag,SondDarl,4,SondDatum,"&gt;="&amp;$E1827,SondDatum,"&lt;="&amp;EOMONTH($E1827,0)),$J1827-$M1827))</f>
      </c>
      <c r="O1827" s="43">
        <f>IF($I1827=0,0,INDEX(DarlErsatzRate,4))</f>
      </c>
      <c r="P1827" s="43">
        <f>IF($I1827=0,0,$Q1826*INDEX(DarlErsatzZins,4))</f>
      </c>
      <c r="Q1827" s="43">
        <f>IF($I1827=0,0,$Q1826+$P1827+$O1827)</f>
      </c>
      <c r="R1827" s="43">
        <f>IF($I1827=0,0,$J1827-$M1827-$N1827)</f>
      </c>
    </row>
    <row r="1828">
      <c r="A1828"/>
      <c r="B1828">
        <v>4</v>
      </c>
      <c r="C1828" s="43">
        <f>INDEX(DarlObj,4)</f>
      </c>
      <c r="D1828">
        <v>385</v>
      </c>
      <c r="E1828" s="51">
        <f>IF(INDEX(DarlBelegt,4)=0,0,EOMONTH(INDEX(DarlAuszahlung,4),384)+1)</f>
      </c>
      <c r="F1828" s="43">
        <f>IF($E1828=0,0,YEAR($E1828))</f>
      </c>
      <c r="G1828" s="43">
        <f>IF(INDEX(DarlBindung,4)="",1,IF($E1828&lt;=INDEX(DarlBindung,4),1,0))</f>
      </c>
      <c r="H1828" s="43">
        <f>IF($G1828=1,INDEX(DarlSollzins,4),INDEX(DarlAnschluss,4))</f>
      </c>
      <c r="I1828" s="43">
        <f>IF(INDEX(DarlBelegt,4)=0,0,IF(INDEX(DarlOhneTilgung,4)=1,IF(INDEX(DarlBindung,4)="",1,$G1828),IF($J1828&gt;0.005,1,0)))</f>
      </c>
      <c r="J1828" s="43">
        <f>IF($I1827=0,0,$R1827)</f>
      </c>
      <c r="K1828" s="43">
        <f>IF($I1828=0,0,IF(INDEX(DarlOhneTilgung,4)=1,0,IF(AND(INDEX(DarlTilgStart,4)&gt;0,$E1828=INDEX(DarlTilgStart,4)),$J1828*($H1828+INDEX(DarlTilgung,4))/100/12,IF(AND($G1828=0,$G1827=1),MAX($K1827,$J1828*($H1828+1)/100/12),$K1827))))</f>
      </c>
      <c r="L1828" s="43">
        <f>IF($I1828=0,0,$J1828*$H1828/100/12)</f>
      </c>
      <c r="M1828" s="43">
        <f>IF($I1828=0,0,IF(OR(INDEX(DarlOhneTilgung,4)=1,AND(INDEX(DarlTilgStart,4)&gt;0,$E1828&lt;INDEX(DarlTilgStart,4))),0,MIN(MAX(0,$K1828-$L1828),$J1828)))</f>
      </c>
      <c r="N1828" s="43">
        <f>IF($I1828=0,0,MIN(SUMIFS(SondBetrag,SondDarl,4,SondDatum,"&gt;="&amp;$E1828,SondDatum,"&lt;="&amp;EOMONTH($E1828,0)),$J1828-$M1828))</f>
      </c>
      <c r="O1828" s="43">
        <f>IF($I1828=0,0,INDEX(DarlErsatzRate,4))</f>
      </c>
      <c r="P1828" s="43">
        <f>IF($I1828=0,0,$Q1827*INDEX(DarlErsatzZins,4))</f>
      </c>
      <c r="Q1828" s="43">
        <f>IF($I1828=0,0,$Q1827+$P1828+$O1828)</f>
      </c>
      <c r="R1828" s="43">
        <f>IF($I1828=0,0,$J1828-$M1828-$N1828)</f>
      </c>
    </row>
    <row r="1829">
      <c r="A1829"/>
      <c r="B1829">
        <v>4</v>
      </c>
      <c r="C1829" s="43">
        <f>INDEX(DarlObj,4)</f>
      </c>
      <c r="D1829">
        <v>386</v>
      </c>
      <c r="E1829" s="51">
        <f>IF(INDEX(DarlBelegt,4)=0,0,EOMONTH(INDEX(DarlAuszahlung,4),385)+1)</f>
      </c>
      <c r="F1829" s="43">
        <f>IF($E1829=0,0,YEAR($E1829))</f>
      </c>
      <c r="G1829" s="43">
        <f>IF(INDEX(DarlBindung,4)="",1,IF($E1829&lt;=INDEX(DarlBindung,4),1,0))</f>
      </c>
      <c r="H1829" s="43">
        <f>IF($G1829=1,INDEX(DarlSollzins,4),INDEX(DarlAnschluss,4))</f>
      </c>
      <c r="I1829" s="43">
        <f>IF(INDEX(DarlBelegt,4)=0,0,IF(INDEX(DarlOhneTilgung,4)=1,IF(INDEX(DarlBindung,4)="",1,$G1829),IF($J1829&gt;0.005,1,0)))</f>
      </c>
      <c r="J1829" s="43">
        <f>IF($I1828=0,0,$R1828)</f>
      </c>
      <c r="K1829" s="43">
        <f>IF($I1829=0,0,IF(INDEX(DarlOhneTilgung,4)=1,0,IF(AND(INDEX(DarlTilgStart,4)&gt;0,$E1829=INDEX(DarlTilgStart,4)),$J1829*($H1829+INDEX(DarlTilgung,4))/100/12,IF(AND($G1829=0,$G1828=1),MAX($K1828,$J1829*($H1829+1)/100/12),$K1828))))</f>
      </c>
      <c r="L1829" s="43">
        <f>IF($I1829=0,0,$J1829*$H1829/100/12)</f>
      </c>
      <c r="M1829" s="43">
        <f>IF($I1829=0,0,IF(OR(INDEX(DarlOhneTilgung,4)=1,AND(INDEX(DarlTilgStart,4)&gt;0,$E1829&lt;INDEX(DarlTilgStart,4))),0,MIN(MAX(0,$K1829-$L1829),$J1829)))</f>
      </c>
      <c r="N1829" s="43">
        <f>IF($I1829=0,0,MIN(SUMIFS(SondBetrag,SondDarl,4,SondDatum,"&gt;="&amp;$E1829,SondDatum,"&lt;="&amp;EOMONTH($E1829,0)),$J1829-$M1829))</f>
      </c>
      <c r="O1829" s="43">
        <f>IF($I1829=0,0,INDEX(DarlErsatzRate,4))</f>
      </c>
      <c r="P1829" s="43">
        <f>IF($I1829=0,0,$Q1828*INDEX(DarlErsatzZins,4))</f>
      </c>
      <c r="Q1829" s="43">
        <f>IF($I1829=0,0,$Q1828+$P1829+$O1829)</f>
      </c>
      <c r="R1829" s="43">
        <f>IF($I1829=0,0,$J1829-$M1829-$N1829)</f>
      </c>
    </row>
    <row r="1830">
      <c r="A1830"/>
      <c r="B1830">
        <v>4</v>
      </c>
      <c r="C1830" s="43">
        <f>INDEX(DarlObj,4)</f>
      </c>
      <c r="D1830">
        <v>387</v>
      </c>
      <c r="E1830" s="51">
        <f>IF(INDEX(DarlBelegt,4)=0,0,EOMONTH(INDEX(DarlAuszahlung,4),386)+1)</f>
      </c>
      <c r="F1830" s="43">
        <f>IF($E1830=0,0,YEAR($E1830))</f>
      </c>
      <c r="G1830" s="43">
        <f>IF(INDEX(DarlBindung,4)="",1,IF($E1830&lt;=INDEX(DarlBindung,4),1,0))</f>
      </c>
      <c r="H1830" s="43">
        <f>IF($G1830=1,INDEX(DarlSollzins,4),INDEX(DarlAnschluss,4))</f>
      </c>
      <c r="I1830" s="43">
        <f>IF(INDEX(DarlBelegt,4)=0,0,IF(INDEX(DarlOhneTilgung,4)=1,IF(INDEX(DarlBindung,4)="",1,$G1830),IF($J1830&gt;0.005,1,0)))</f>
      </c>
      <c r="J1830" s="43">
        <f>IF($I1829=0,0,$R1829)</f>
      </c>
      <c r="K1830" s="43">
        <f>IF($I1830=0,0,IF(INDEX(DarlOhneTilgung,4)=1,0,IF(AND(INDEX(DarlTilgStart,4)&gt;0,$E1830=INDEX(DarlTilgStart,4)),$J1830*($H1830+INDEX(DarlTilgung,4))/100/12,IF(AND($G1830=0,$G1829=1),MAX($K1829,$J1830*($H1830+1)/100/12),$K1829))))</f>
      </c>
      <c r="L1830" s="43">
        <f>IF($I1830=0,0,$J1830*$H1830/100/12)</f>
      </c>
      <c r="M1830" s="43">
        <f>IF($I1830=0,0,IF(OR(INDEX(DarlOhneTilgung,4)=1,AND(INDEX(DarlTilgStart,4)&gt;0,$E1830&lt;INDEX(DarlTilgStart,4))),0,MIN(MAX(0,$K1830-$L1830),$J1830)))</f>
      </c>
      <c r="N1830" s="43">
        <f>IF($I1830=0,0,MIN(SUMIFS(SondBetrag,SondDarl,4,SondDatum,"&gt;="&amp;$E1830,SondDatum,"&lt;="&amp;EOMONTH($E1830,0)),$J1830-$M1830))</f>
      </c>
      <c r="O1830" s="43">
        <f>IF($I1830=0,0,INDEX(DarlErsatzRate,4))</f>
      </c>
      <c r="P1830" s="43">
        <f>IF($I1830=0,0,$Q1829*INDEX(DarlErsatzZins,4))</f>
      </c>
      <c r="Q1830" s="43">
        <f>IF($I1830=0,0,$Q1829+$P1830+$O1830)</f>
      </c>
      <c r="R1830" s="43">
        <f>IF($I1830=0,0,$J1830-$M1830-$N1830)</f>
      </c>
    </row>
    <row r="1831">
      <c r="A1831"/>
      <c r="B1831">
        <v>4</v>
      </c>
      <c r="C1831" s="43">
        <f>INDEX(DarlObj,4)</f>
      </c>
      <c r="D1831">
        <v>388</v>
      </c>
      <c r="E1831" s="51">
        <f>IF(INDEX(DarlBelegt,4)=0,0,EOMONTH(INDEX(DarlAuszahlung,4),387)+1)</f>
      </c>
      <c r="F1831" s="43">
        <f>IF($E1831=0,0,YEAR($E1831))</f>
      </c>
      <c r="G1831" s="43">
        <f>IF(INDEX(DarlBindung,4)="",1,IF($E1831&lt;=INDEX(DarlBindung,4),1,0))</f>
      </c>
      <c r="H1831" s="43">
        <f>IF($G1831=1,INDEX(DarlSollzins,4),INDEX(DarlAnschluss,4))</f>
      </c>
      <c r="I1831" s="43">
        <f>IF(INDEX(DarlBelegt,4)=0,0,IF(INDEX(DarlOhneTilgung,4)=1,IF(INDEX(DarlBindung,4)="",1,$G1831),IF($J1831&gt;0.005,1,0)))</f>
      </c>
      <c r="J1831" s="43">
        <f>IF($I1830=0,0,$R1830)</f>
      </c>
      <c r="K1831" s="43">
        <f>IF($I1831=0,0,IF(INDEX(DarlOhneTilgung,4)=1,0,IF(AND(INDEX(DarlTilgStart,4)&gt;0,$E1831=INDEX(DarlTilgStart,4)),$J1831*($H1831+INDEX(DarlTilgung,4))/100/12,IF(AND($G1831=0,$G1830=1),MAX($K1830,$J1831*($H1831+1)/100/12),$K1830))))</f>
      </c>
      <c r="L1831" s="43">
        <f>IF($I1831=0,0,$J1831*$H1831/100/12)</f>
      </c>
      <c r="M1831" s="43">
        <f>IF($I1831=0,0,IF(OR(INDEX(DarlOhneTilgung,4)=1,AND(INDEX(DarlTilgStart,4)&gt;0,$E1831&lt;INDEX(DarlTilgStart,4))),0,MIN(MAX(0,$K1831-$L1831),$J1831)))</f>
      </c>
      <c r="N1831" s="43">
        <f>IF($I1831=0,0,MIN(SUMIFS(SondBetrag,SondDarl,4,SondDatum,"&gt;="&amp;$E1831,SondDatum,"&lt;="&amp;EOMONTH($E1831,0)),$J1831-$M1831))</f>
      </c>
      <c r="O1831" s="43">
        <f>IF($I1831=0,0,INDEX(DarlErsatzRate,4))</f>
      </c>
      <c r="P1831" s="43">
        <f>IF($I1831=0,0,$Q1830*INDEX(DarlErsatzZins,4))</f>
      </c>
      <c r="Q1831" s="43">
        <f>IF($I1831=0,0,$Q1830+$P1831+$O1831)</f>
      </c>
      <c r="R1831" s="43">
        <f>IF($I1831=0,0,$J1831-$M1831-$N1831)</f>
      </c>
    </row>
    <row r="1832">
      <c r="A1832"/>
      <c r="B1832">
        <v>4</v>
      </c>
      <c r="C1832" s="43">
        <f>INDEX(DarlObj,4)</f>
      </c>
      <c r="D1832">
        <v>389</v>
      </c>
      <c r="E1832" s="51">
        <f>IF(INDEX(DarlBelegt,4)=0,0,EOMONTH(INDEX(DarlAuszahlung,4),388)+1)</f>
      </c>
      <c r="F1832" s="43">
        <f>IF($E1832=0,0,YEAR($E1832))</f>
      </c>
      <c r="G1832" s="43">
        <f>IF(INDEX(DarlBindung,4)="",1,IF($E1832&lt;=INDEX(DarlBindung,4),1,0))</f>
      </c>
      <c r="H1832" s="43">
        <f>IF($G1832=1,INDEX(DarlSollzins,4),INDEX(DarlAnschluss,4))</f>
      </c>
      <c r="I1832" s="43">
        <f>IF(INDEX(DarlBelegt,4)=0,0,IF(INDEX(DarlOhneTilgung,4)=1,IF(INDEX(DarlBindung,4)="",1,$G1832),IF($J1832&gt;0.005,1,0)))</f>
      </c>
      <c r="J1832" s="43">
        <f>IF($I1831=0,0,$R1831)</f>
      </c>
      <c r="K1832" s="43">
        <f>IF($I1832=0,0,IF(INDEX(DarlOhneTilgung,4)=1,0,IF(AND(INDEX(DarlTilgStart,4)&gt;0,$E1832=INDEX(DarlTilgStart,4)),$J1832*($H1832+INDEX(DarlTilgung,4))/100/12,IF(AND($G1832=0,$G1831=1),MAX($K1831,$J1832*($H1832+1)/100/12),$K1831))))</f>
      </c>
      <c r="L1832" s="43">
        <f>IF($I1832=0,0,$J1832*$H1832/100/12)</f>
      </c>
      <c r="M1832" s="43">
        <f>IF($I1832=0,0,IF(OR(INDEX(DarlOhneTilgung,4)=1,AND(INDEX(DarlTilgStart,4)&gt;0,$E1832&lt;INDEX(DarlTilgStart,4))),0,MIN(MAX(0,$K1832-$L1832),$J1832)))</f>
      </c>
      <c r="N1832" s="43">
        <f>IF($I1832=0,0,MIN(SUMIFS(SondBetrag,SondDarl,4,SondDatum,"&gt;="&amp;$E1832,SondDatum,"&lt;="&amp;EOMONTH($E1832,0)),$J1832-$M1832))</f>
      </c>
      <c r="O1832" s="43">
        <f>IF($I1832=0,0,INDEX(DarlErsatzRate,4))</f>
      </c>
      <c r="P1832" s="43">
        <f>IF($I1832=0,0,$Q1831*INDEX(DarlErsatzZins,4))</f>
      </c>
      <c r="Q1832" s="43">
        <f>IF($I1832=0,0,$Q1831+$P1832+$O1832)</f>
      </c>
      <c r="R1832" s="43">
        <f>IF($I1832=0,0,$J1832-$M1832-$N1832)</f>
      </c>
    </row>
    <row r="1833">
      <c r="A1833"/>
      <c r="B1833">
        <v>4</v>
      </c>
      <c r="C1833" s="43">
        <f>INDEX(DarlObj,4)</f>
      </c>
      <c r="D1833">
        <v>390</v>
      </c>
      <c r="E1833" s="51">
        <f>IF(INDEX(DarlBelegt,4)=0,0,EOMONTH(INDEX(DarlAuszahlung,4),389)+1)</f>
      </c>
      <c r="F1833" s="43">
        <f>IF($E1833=0,0,YEAR($E1833))</f>
      </c>
      <c r="G1833" s="43">
        <f>IF(INDEX(DarlBindung,4)="",1,IF($E1833&lt;=INDEX(DarlBindung,4),1,0))</f>
      </c>
      <c r="H1833" s="43">
        <f>IF($G1833=1,INDEX(DarlSollzins,4),INDEX(DarlAnschluss,4))</f>
      </c>
      <c r="I1833" s="43">
        <f>IF(INDEX(DarlBelegt,4)=0,0,IF(INDEX(DarlOhneTilgung,4)=1,IF(INDEX(DarlBindung,4)="",1,$G1833),IF($J1833&gt;0.005,1,0)))</f>
      </c>
      <c r="J1833" s="43">
        <f>IF($I1832=0,0,$R1832)</f>
      </c>
      <c r="K1833" s="43">
        <f>IF($I1833=0,0,IF(INDEX(DarlOhneTilgung,4)=1,0,IF(AND(INDEX(DarlTilgStart,4)&gt;0,$E1833=INDEX(DarlTilgStart,4)),$J1833*($H1833+INDEX(DarlTilgung,4))/100/12,IF(AND($G1833=0,$G1832=1),MAX($K1832,$J1833*($H1833+1)/100/12),$K1832))))</f>
      </c>
      <c r="L1833" s="43">
        <f>IF($I1833=0,0,$J1833*$H1833/100/12)</f>
      </c>
      <c r="M1833" s="43">
        <f>IF($I1833=0,0,IF(OR(INDEX(DarlOhneTilgung,4)=1,AND(INDEX(DarlTilgStart,4)&gt;0,$E1833&lt;INDEX(DarlTilgStart,4))),0,MIN(MAX(0,$K1833-$L1833),$J1833)))</f>
      </c>
      <c r="N1833" s="43">
        <f>IF($I1833=0,0,MIN(SUMIFS(SondBetrag,SondDarl,4,SondDatum,"&gt;="&amp;$E1833,SondDatum,"&lt;="&amp;EOMONTH($E1833,0)),$J1833-$M1833))</f>
      </c>
      <c r="O1833" s="43">
        <f>IF($I1833=0,0,INDEX(DarlErsatzRate,4))</f>
      </c>
      <c r="P1833" s="43">
        <f>IF($I1833=0,0,$Q1832*INDEX(DarlErsatzZins,4))</f>
      </c>
      <c r="Q1833" s="43">
        <f>IF($I1833=0,0,$Q1832+$P1833+$O1833)</f>
      </c>
      <c r="R1833" s="43">
        <f>IF($I1833=0,0,$J1833-$M1833-$N1833)</f>
      </c>
    </row>
    <row r="1834">
      <c r="A1834"/>
      <c r="B1834">
        <v>4</v>
      </c>
      <c r="C1834" s="43">
        <f>INDEX(DarlObj,4)</f>
      </c>
      <c r="D1834">
        <v>391</v>
      </c>
      <c r="E1834" s="51">
        <f>IF(INDEX(DarlBelegt,4)=0,0,EOMONTH(INDEX(DarlAuszahlung,4),390)+1)</f>
      </c>
      <c r="F1834" s="43">
        <f>IF($E1834=0,0,YEAR($E1834))</f>
      </c>
      <c r="G1834" s="43">
        <f>IF(INDEX(DarlBindung,4)="",1,IF($E1834&lt;=INDEX(DarlBindung,4),1,0))</f>
      </c>
      <c r="H1834" s="43">
        <f>IF($G1834=1,INDEX(DarlSollzins,4),INDEX(DarlAnschluss,4))</f>
      </c>
      <c r="I1834" s="43">
        <f>IF(INDEX(DarlBelegt,4)=0,0,IF(INDEX(DarlOhneTilgung,4)=1,IF(INDEX(DarlBindung,4)="",1,$G1834),IF($J1834&gt;0.005,1,0)))</f>
      </c>
      <c r="J1834" s="43">
        <f>IF($I1833=0,0,$R1833)</f>
      </c>
      <c r="K1834" s="43">
        <f>IF($I1834=0,0,IF(INDEX(DarlOhneTilgung,4)=1,0,IF(AND(INDEX(DarlTilgStart,4)&gt;0,$E1834=INDEX(DarlTilgStart,4)),$J1834*($H1834+INDEX(DarlTilgung,4))/100/12,IF(AND($G1834=0,$G1833=1),MAX($K1833,$J1834*($H1834+1)/100/12),$K1833))))</f>
      </c>
      <c r="L1834" s="43">
        <f>IF($I1834=0,0,$J1834*$H1834/100/12)</f>
      </c>
      <c r="M1834" s="43">
        <f>IF($I1834=0,0,IF(OR(INDEX(DarlOhneTilgung,4)=1,AND(INDEX(DarlTilgStart,4)&gt;0,$E1834&lt;INDEX(DarlTilgStart,4))),0,MIN(MAX(0,$K1834-$L1834),$J1834)))</f>
      </c>
      <c r="N1834" s="43">
        <f>IF($I1834=0,0,MIN(SUMIFS(SondBetrag,SondDarl,4,SondDatum,"&gt;="&amp;$E1834,SondDatum,"&lt;="&amp;EOMONTH($E1834,0)),$J1834-$M1834))</f>
      </c>
      <c r="O1834" s="43">
        <f>IF($I1834=0,0,INDEX(DarlErsatzRate,4))</f>
      </c>
      <c r="P1834" s="43">
        <f>IF($I1834=0,0,$Q1833*INDEX(DarlErsatzZins,4))</f>
      </c>
      <c r="Q1834" s="43">
        <f>IF($I1834=0,0,$Q1833+$P1834+$O1834)</f>
      </c>
      <c r="R1834" s="43">
        <f>IF($I1834=0,0,$J1834-$M1834-$N1834)</f>
      </c>
    </row>
    <row r="1835">
      <c r="A1835"/>
      <c r="B1835">
        <v>4</v>
      </c>
      <c r="C1835" s="43">
        <f>INDEX(DarlObj,4)</f>
      </c>
      <c r="D1835">
        <v>392</v>
      </c>
      <c r="E1835" s="51">
        <f>IF(INDEX(DarlBelegt,4)=0,0,EOMONTH(INDEX(DarlAuszahlung,4),391)+1)</f>
      </c>
      <c r="F1835" s="43">
        <f>IF($E1835=0,0,YEAR($E1835))</f>
      </c>
      <c r="G1835" s="43">
        <f>IF(INDEX(DarlBindung,4)="",1,IF($E1835&lt;=INDEX(DarlBindung,4),1,0))</f>
      </c>
      <c r="H1835" s="43">
        <f>IF($G1835=1,INDEX(DarlSollzins,4),INDEX(DarlAnschluss,4))</f>
      </c>
      <c r="I1835" s="43">
        <f>IF(INDEX(DarlBelegt,4)=0,0,IF(INDEX(DarlOhneTilgung,4)=1,IF(INDEX(DarlBindung,4)="",1,$G1835),IF($J1835&gt;0.005,1,0)))</f>
      </c>
      <c r="J1835" s="43">
        <f>IF($I1834=0,0,$R1834)</f>
      </c>
      <c r="K1835" s="43">
        <f>IF($I1835=0,0,IF(INDEX(DarlOhneTilgung,4)=1,0,IF(AND(INDEX(DarlTilgStart,4)&gt;0,$E1835=INDEX(DarlTilgStart,4)),$J1835*($H1835+INDEX(DarlTilgung,4))/100/12,IF(AND($G1835=0,$G1834=1),MAX($K1834,$J1835*($H1835+1)/100/12),$K1834))))</f>
      </c>
      <c r="L1835" s="43">
        <f>IF($I1835=0,0,$J1835*$H1835/100/12)</f>
      </c>
      <c r="M1835" s="43">
        <f>IF($I1835=0,0,IF(OR(INDEX(DarlOhneTilgung,4)=1,AND(INDEX(DarlTilgStart,4)&gt;0,$E1835&lt;INDEX(DarlTilgStart,4))),0,MIN(MAX(0,$K1835-$L1835),$J1835)))</f>
      </c>
      <c r="N1835" s="43">
        <f>IF($I1835=0,0,MIN(SUMIFS(SondBetrag,SondDarl,4,SondDatum,"&gt;="&amp;$E1835,SondDatum,"&lt;="&amp;EOMONTH($E1835,0)),$J1835-$M1835))</f>
      </c>
      <c r="O1835" s="43">
        <f>IF($I1835=0,0,INDEX(DarlErsatzRate,4))</f>
      </c>
      <c r="P1835" s="43">
        <f>IF($I1835=0,0,$Q1834*INDEX(DarlErsatzZins,4))</f>
      </c>
      <c r="Q1835" s="43">
        <f>IF($I1835=0,0,$Q1834+$P1835+$O1835)</f>
      </c>
      <c r="R1835" s="43">
        <f>IF($I1835=0,0,$J1835-$M1835-$N1835)</f>
      </c>
    </row>
    <row r="1836">
      <c r="A1836"/>
      <c r="B1836">
        <v>4</v>
      </c>
      <c r="C1836" s="43">
        <f>INDEX(DarlObj,4)</f>
      </c>
      <c r="D1836">
        <v>393</v>
      </c>
      <c r="E1836" s="51">
        <f>IF(INDEX(DarlBelegt,4)=0,0,EOMONTH(INDEX(DarlAuszahlung,4),392)+1)</f>
      </c>
      <c r="F1836" s="43">
        <f>IF($E1836=0,0,YEAR($E1836))</f>
      </c>
      <c r="G1836" s="43">
        <f>IF(INDEX(DarlBindung,4)="",1,IF($E1836&lt;=INDEX(DarlBindung,4),1,0))</f>
      </c>
      <c r="H1836" s="43">
        <f>IF($G1836=1,INDEX(DarlSollzins,4),INDEX(DarlAnschluss,4))</f>
      </c>
      <c r="I1836" s="43">
        <f>IF(INDEX(DarlBelegt,4)=0,0,IF(INDEX(DarlOhneTilgung,4)=1,IF(INDEX(DarlBindung,4)="",1,$G1836),IF($J1836&gt;0.005,1,0)))</f>
      </c>
      <c r="J1836" s="43">
        <f>IF($I1835=0,0,$R1835)</f>
      </c>
      <c r="K1836" s="43">
        <f>IF($I1836=0,0,IF(INDEX(DarlOhneTilgung,4)=1,0,IF(AND(INDEX(DarlTilgStart,4)&gt;0,$E1836=INDEX(DarlTilgStart,4)),$J1836*($H1836+INDEX(DarlTilgung,4))/100/12,IF(AND($G1836=0,$G1835=1),MAX($K1835,$J1836*($H1836+1)/100/12),$K1835))))</f>
      </c>
      <c r="L1836" s="43">
        <f>IF($I1836=0,0,$J1836*$H1836/100/12)</f>
      </c>
      <c r="M1836" s="43">
        <f>IF($I1836=0,0,IF(OR(INDEX(DarlOhneTilgung,4)=1,AND(INDEX(DarlTilgStart,4)&gt;0,$E1836&lt;INDEX(DarlTilgStart,4))),0,MIN(MAX(0,$K1836-$L1836),$J1836)))</f>
      </c>
      <c r="N1836" s="43">
        <f>IF($I1836=0,0,MIN(SUMIFS(SondBetrag,SondDarl,4,SondDatum,"&gt;="&amp;$E1836,SondDatum,"&lt;="&amp;EOMONTH($E1836,0)),$J1836-$M1836))</f>
      </c>
      <c r="O1836" s="43">
        <f>IF($I1836=0,0,INDEX(DarlErsatzRate,4))</f>
      </c>
      <c r="P1836" s="43">
        <f>IF($I1836=0,0,$Q1835*INDEX(DarlErsatzZins,4))</f>
      </c>
      <c r="Q1836" s="43">
        <f>IF($I1836=0,0,$Q1835+$P1836+$O1836)</f>
      </c>
      <c r="R1836" s="43">
        <f>IF($I1836=0,0,$J1836-$M1836-$N1836)</f>
      </c>
    </row>
    <row r="1837">
      <c r="A1837"/>
      <c r="B1837">
        <v>4</v>
      </c>
      <c r="C1837" s="43">
        <f>INDEX(DarlObj,4)</f>
      </c>
      <c r="D1837">
        <v>394</v>
      </c>
      <c r="E1837" s="51">
        <f>IF(INDEX(DarlBelegt,4)=0,0,EOMONTH(INDEX(DarlAuszahlung,4),393)+1)</f>
      </c>
      <c r="F1837" s="43">
        <f>IF($E1837=0,0,YEAR($E1837))</f>
      </c>
      <c r="G1837" s="43">
        <f>IF(INDEX(DarlBindung,4)="",1,IF($E1837&lt;=INDEX(DarlBindung,4),1,0))</f>
      </c>
      <c r="H1837" s="43">
        <f>IF($G1837=1,INDEX(DarlSollzins,4),INDEX(DarlAnschluss,4))</f>
      </c>
      <c r="I1837" s="43">
        <f>IF(INDEX(DarlBelegt,4)=0,0,IF(INDEX(DarlOhneTilgung,4)=1,IF(INDEX(DarlBindung,4)="",1,$G1837),IF($J1837&gt;0.005,1,0)))</f>
      </c>
      <c r="J1837" s="43">
        <f>IF($I1836=0,0,$R1836)</f>
      </c>
      <c r="K1837" s="43">
        <f>IF($I1837=0,0,IF(INDEX(DarlOhneTilgung,4)=1,0,IF(AND(INDEX(DarlTilgStart,4)&gt;0,$E1837=INDEX(DarlTilgStart,4)),$J1837*($H1837+INDEX(DarlTilgung,4))/100/12,IF(AND($G1837=0,$G1836=1),MAX($K1836,$J1837*($H1837+1)/100/12),$K1836))))</f>
      </c>
      <c r="L1837" s="43">
        <f>IF($I1837=0,0,$J1837*$H1837/100/12)</f>
      </c>
      <c r="M1837" s="43">
        <f>IF($I1837=0,0,IF(OR(INDEX(DarlOhneTilgung,4)=1,AND(INDEX(DarlTilgStart,4)&gt;0,$E1837&lt;INDEX(DarlTilgStart,4))),0,MIN(MAX(0,$K1837-$L1837),$J1837)))</f>
      </c>
      <c r="N1837" s="43">
        <f>IF($I1837=0,0,MIN(SUMIFS(SondBetrag,SondDarl,4,SondDatum,"&gt;="&amp;$E1837,SondDatum,"&lt;="&amp;EOMONTH($E1837,0)),$J1837-$M1837))</f>
      </c>
      <c r="O1837" s="43">
        <f>IF($I1837=0,0,INDEX(DarlErsatzRate,4))</f>
      </c>
      <c r="P1837" s="43">
        <f>IF($I1837=0,0,$Q1836*INDEX(DarlErsatzZins,4))</f>
      </c>
      <c r="Q1837" s="43">
        <f>IF($I1837=0,0,$Q1836+$P1837+$O1837)</f>
      </c>
      <c r="R1837" s="43">
        <f>IF($I1837=0,0,$J1837-$M1837-$N1837)</f>
      </c>
    </row>
    <row r="1838">
      <c r="A1838"/>
      <c r="B1838">
        <v>4</v>
      </c>
      <c r="C1838" s="43">
        <f>INDEX(DarlObj,4)</f>
      </c>
      <c r="D1838">
        <v>395</v>
      </c>
      <c r="E1838" s="51">
        <f>IF(INDEX(DarlBelegt,4)=0,0,EOMONTH(INDEX(DarlAuszahlung,4),394)+1)</f>
      </c>
      <c r="F1838" s="43">
        <f>IF($E1838=0,0,YEAR($E1838))</f>
      </c>
      <c r="G1838" s="43">
        <f>IF(INDEX(DarlBindung,4)="",1,IF($E1838&lt;=INDEX(DarlBindung,4),1,0))</f>
      </c>
      <c r="H1838" s="43">
        <f>IF($G1838=1,INDEX(DarlSollzins,4),INDEX(DarlAnschluss,4))</f>
      </c>
      <c r="I1838" s="43">
        <f>IF(INDEX(DarlBelegt,4)=0,0,IF(INDEX(DarlOhneTilgung,4)=1,IF(INDEX(DarlBindung,4)="",1,$G1838),IF($J1838&gt;0.005,1,0)))</f>
      </c>
      <c r="J1838" s="43">
        <f>IF($I1837=0,0,$R1837)</f>
      </c>
      <c r="K1838" s="43">
        <f>IF($I1838=0,0,IF(INDEX(DarlOhneTilgung,4)=1,0,IF(AND(INDEX(DarlTilgStart,4)&gt;0,$E1838=INDEX(DarlTilgStart,4)),$J1838*($H1838+INDEX(DarlTilgung,4))/100/12,IF(AND($G1838=0,$G1837=1),MAX($K1837,$J1838*($H1838+1)/100/12),$K1837))))</f>
      </c>
      <c r="L1838" s="43">
        <f>IF($I1838=0,0,$J1838*$H1838/100/12)</f>
      </c>
      <c r="M1838" s="43">
        <f>IF($I1838=0,0,IF(OR(INDEX(DarlOhneTilgung,4)=1,AND(INDEX(DarlTilgStart,4)&gt;0,$E1838&lt;INDEX(DarlTilgStart,4))),0,MIN(MAX(0,$K1838-$L1838),$J1838)))</f>
      </c>
      <c r="N1838" s="43">
        <f>IF($I1838=0,0,MIN(SUMIFS(SondBetrag,SondDarl,4,SondDatum,"&gt;="&amp;$E1838,SondDatum,"&lt;="&amp;EOMONTH($E1838,0)),$J1838-$M1838))</f>
      </c>
      <c r="O1838" s="43">
        <f>IF($I1838=0,0,INDEX(DarlErsatzRate,4))</f>
      </c>
      <c r="P1838" s="43">
        <f>IF($I1838=0,0,$Q1837*INDEX(DarlErsatzZins,4))</f>
      </c>
      <c r="Q1838" s="43">
        <f>IF($I1838=0,0,$Q1837+$P1838+$O1838)</f>
      </c>
      <c r="R1838" s="43">
        <f>IF($I1838=0,0,$J1838-$M1838-$N1838)</f>
      </c>
    </row>
    <row r="1839">
      <c r="A1839"/>
      <c r="B1839">
        <v>4</v>
      </c>
      <c r="C1839" s="43">
        <f>INDEX(DarlObj,4)</f>
      </c>
      <c r="D1839">
        <v>396</v>
      </c>
      <c r="E1839" s="51">
        <f>IF(INDEX(DarlBelegt,4)=0,0,EOMONTH(INDEX(DarlAuszahlung,4),395)+1)</f>
      </c>
      <c r="F1839" s="43">
        <f>IF($E1839=0,0,YEAR($E1839))</f>
      </c>
      <c r="G1839" s="43">
        <f>IF(INDEX(DarlBindung,4)="",1,IF($E1839&lt;=INDEX(DarlBindung,4),1,0))</f>
      </c>
      <c r="H1839" s="43">
        <f>IF($G1839=1,INDEX(DarlSollzins,4),INDEX(DarlAnschluss,4))</f>
      </c>
      <c r="I1839" s="43">
        <f>IF(INDEX(DarlBelegt,4)=0,0,IF(INDEX(DarlOhneTilgung,4)=1,IF(INDEX(DarlBindung,4)="",1,$G1839),IF($J1839&gt;0.005,1,0)))</f>
      </c>
      <c r="J1839" s="43">
        <f>IF($I1838=0,0,$R1838)</f>
      </c>
      <c r="K1839" s="43">
        <f>IF($I1839=0,0,IF(INDEX(DarlOhneTilgung,4)=1,0,IF(AND(INDEX(DarlTilgStart,4)&gt;0,$E1839=INDEX(DarlTilgStart,4)),$J1839*($H1839+INDEX(DarlTilgung,4))/100/12,IF(AND($G1839=0,$G1838=1),MAX($K1838,$J1839*($H1839+1)/100/12),$K1838))))</f>
      </c>
      <c r="L1839" s="43">
        <f>IF($I1839=0,0,$J1839*$H1839/100/12)</f>
      </c>
      <c r="M1839" s="43">
        <f>IF($I1839=0,0,IF(OR(INDEX(DarlOhneTilgung,4)=1,AND(INDEX(DarlTilgStart,4)&gt;0,$E1839&lt;INDEX(DarlTilgStart,4))),0,MIN(MAX(0,$K1839-$L1839),$J1839)))</f>
      </c>
      <c r="N1839" s="43">
        <f>IF($I1839=0,0,MIN(SUMIFS(SondBetrag,SondDarl,4,SondDatum,"&gt;="&amp;$E1839,SondDatum,"&lt;="&amp;EOMONTH($E1839,0)),$J1839-$M1839))</f>
      </c>
      <c r="O1839" s="43">
        <f>IF($I1839=0,0,INDEX(DarlErsatzRate,4))</f>
      </c>
      <c r="P1839" s="43">
        <f>IF($I1839=0,0,$Q1838*INDEX(DarlErsatzZins,4))</f>
      </c>
      <c r="Q1839" s="43">
        <f>IF($I1839=0,0,$Q1838+$P1839+$O1839)</f>
      </c>
      <c r="R1839" s="43">
        <f>IF($I1839=0,0,$J1839-$M1839-$N1839)</f>
      </c>
    </row>
    <row r="1840">
      <c r="A1840"/>
      <c r="B1840">
        <v>4</v>
      </c>
      <c r="C1840" s="43">
        <f>INDEX(DarlObj,4)</f>
      </c>
      <c r="D1840">
        <v>397</v>
      </c>
      <c r="E1840" s="51">
        <f>IF(INDEX(DarlBelegt,4)=0,0,EOMONTH(INDEX(DarlAuszahlung,4),396)+1)</f>
      </c>
      <c r="F1840" s="43">
        <f>IF($E1840=0,0,YEAR($E1840))</f>
      </c>
      <c r="G1840" s="43">
        <f>IF(INDEX(DarlBindung,4)="",1,IF($E1840&lt;=INDEX(DarlBindung,4),1,0))</f>
      </c>
      <c r="H1840" s="43">
        <f>IF($G1840=1,INDEX(DarlSollzins,4),INDEX(DarlAnschluss,4))</f>
      </c>
      <c r="I1840" s="43">
        <f>IF(INDEX(DarlBelegt,4)=0,0,IF(INDEX(DarlOhneTilgung,4)=1,IF(INDEX(DarlBindung,4)="",1,$G1840),IF($J1840&gt;0.005,1,0)))</f>
      </c>
      <c r="J1840" s="43">
        <f>IF($I1839=0,0,$R1839)</f>
      </c>
      <c r="K1840" s="43">
        <f>IF($I1840=0,0,IF(INDEX(DarlOhneTilgung,4)=1,0,IF(AND(INDEX(DarlTilgStart,4)&gt;0,$E1840=INDEX(DarlTilgStart,4)),$J1840*($H1840+INDEX(DarlTilgung,4))/100/12,IF(AND($G1840=0,$G1839=1),MAX($K1839,$J1840*($H1840+1)/100/12),$K1839))))</f>
      </c>
      <c r="L1840" s="43">
        <f>IF($I1840=0,0,$J1840*$H1840/100/12)</f>
      </c>
      <c r="M1840" s="43">
        <f>IF($I1840=0,0,IF(OR(INDEX(DarlOhneTilgung,4)=1,AND(INDEX(DarlTilgStart,4)&gt;0,$E1840&lt;INDEX(DarlTilgStart,4))),0,MIN(MAX(0,$K1840-$L1840),$J1840)))</f>
      </c>
      <c r="N1840" s="43">
        <f>IF($I1840=0,0,MIN(SUMIFS(SondBetrag,SondDarl,4,SondDatum,"&gt;="&amp;$E1840,SondDatum,"&lt;="&amp;EOMONTH($E1840,0)),$J1840-$M1840))</f>
      </c>
      <c r="O1840" s="43">
        <f>IF($I1840=0,0,INDEX(DarlErsatzRate,4))</f>
      </c>
      <c r="P1840" s="43">
        <f>IF($I1840=0,0,$Q1839*INDEX(DarlErsatzZins,4))</f>
      </c>
      <c r="Q1840" s="43">
        <f>IF($I1840=0,0,$Q1839+$P1840+$O1840)</f>
      </c>
      <c r="R1840" s="43">
        <f>IF($I1840=0,0,$J1840-$M1840-$N1840)</f>
      </c>
    </row>
    <row r="1841">
      <c r="A1841"/>
      <c r="B1841">
        <v>4</v>
      </c>
      <c r="C1841" s="43">
        <f>INDEX(DarlObj,4)</f>
      </c>
      <c r="D1841">
        <v>398</v>
      </c>
      <c r="E1841" s="51">
        <f>IF(INDEX(DarlBelegt,4)=0,0,EOMONTH(INDEX(DarlAuszahlung,4),397)+1)</f>
      </c>
      <c r="F1841" s="43">
        <f>IF($E1841=0,0,YEAR($E1841))</f>
      </c>
      <c r="G1841" s="43">
        <f>IF(INDEX(DarlBindung,4)="",1,IF($E1841&lt;=INDEX(DarlBindung,4),1,0))</f>
      </c>
      <c r="H1841" s="43">
        <f>IF($G1841=1,INDEX(DarlSollzins,4),INDEX(DarlAnschluss,4))</f>
      </c>
      <c r="I1841" s="43">
        <f>IF(INDEX(DarlBelegt,4)=0,0,IF(INDEX(DarlOhneTilgung,4)=1,IF(INDEX(DarlBindung,4)="",1,$G1841),IF($J1841&gt;0.005,1,0)))</f>
      </c>
      <c r="J1841" s="43">
        <f>IF($I1840=0,0,$R1840)</f>
      </c>
      <c r="K1841" s="43">
        <f>IF($I1841=0,0,IF(INDEX(DarlOhneTilgung,4)=1,0,IF(AND(INDEX(DarlTilgStart,4)&gt;0,$E1841=INDEX(DarlTilgStart,4)),$J1841*($H1841+INDEX(DarlTilgung,4))/100/12,IF(AND($G1841=0,$G1840=1),MAX($K1840,$J1841*($H1841+1)/100/12),$K1840))))</f>
      </c>
      <c r="L1841" s="43">
        <f>IF($I1841=0,0,$J1841*$H1841/100/12)</f>
      </c>
      <c r="M1841" s="43">
        <f>IF($I1841=0,0,IF(OR(INDEX(DarlOhneTilgung,4)=1,AND(INDEX(DarlTilgStart,4)&gt;0,$E1841&lt;INDEX(DarlTilgStart,4))),0,MIN(MAX(0,$K1841-$L1841),$J1841)))</f>
      </c>
      <c r="N1841" s="43">
        <f>IF($I1841=0,0,MIN(SUMIFS(SondBetrag,SondDarl,4,SondDatum,"&gt;="&amp;$E1841,SondDatum,"&lt;="&amp;EOMONTH($E1841,0)),$J1841-$M1841))</f>
      </c>
      <c r="O1841" s="43">
        <f>IF($I1841=0,0,INDEX(DarlErsatzRate,4))</f>
      </c>
      <c r="P1841" s="43">
        <f>IF($I1841=0,0,$Q1840*INDEX(DarlErsatzZins,4))</f>
      </c>
      <c r="Q1841" s="43">
        <f>IF($I1841=0,0,$Q1840+$P1841+$O1841)</f>
      </c>
      <c r="R1841" s="43">
        <f>IF($I1841=0,0,$J1841-$M1841-$N1841)</f>
      </c>
    </row>
    <row r="1842">
      <c r="A1842"/>
      <c r="B1842">
        <v>4</v>
      </c>
      <c r="C1842" s="43">
        <f>INDEX(DarlObj,4)</f>
      </c>
      <c r="D1842">
        <v>399</v>
      </c>
      <c r="E1842" s="51">
        <f>IF(INDEX(DarlBelegt,4)=0,0,EOMONTH(INDEX(DarlAuszahlung,4),398)+1)</f>
      </c>
      <c r="F1842" s="43">
        <f>IF($E1842=0,0,YEAR($E1842))</f>
      </c>
      <c r="G1842" s="43">
        <f>IF(INDEX(DarlBindung,4)="",1,IF($E1842&lt;=INDEX(DarlBindung,4),1,0))</f>
      </c>
      <c r="H1842" s="43">
        <f>IF($G1842=1,INDEX(DarlSollzins,4),INDEX(DarlAnschluss,4))</f>
      </c>
      <c r="I1842" s="43">
        <f>IF(INDEX(DarlBelegt,4)=0,0,IF(INDEX(DarlOhneTilgung,4)=1,IF(INDEX(DarlBindung,4)="",1,$G1842),IF($J1842&gt;0.005,1,0)))</f>
      </c>
      <c r="J1842" s="43">
        <f>IF($I1841=0,0,$R1841)</f>
      </c>
      <c r="K1842" s="43">
        <f>IF($I1842=0,0,IF(INDEX(DarlOhneTilgung,4)=1,0,IF(AND(INDEX(DarlTilgStart,4)&gt;0,$E1842=INDEX(DarlTilgStart,4)),$J1842*($H1842+INDEX(DarlTilgung,4))/100/12,IF(AND($G1842=0,$G1841=1),MAX($K1841,$J1842*($H1842+1)/100/12),$K1841))))</f>
      </c>
      <c r="L1842" s="43">
        <f>IF($I1842=0,0,$J1842*$H1842/100/12)</f>
      </c>
      <c r="M1842" s="43">
        <f>IF($I1842=0,0,IF(OR(INDEX(DarlOhneTilgung,4)=1,AND(INDEX(DarlTilgStart,4)&gt;0,$E1842&lt;INDEX(DarlTilgStart,4))),0,MIN(MAX(0,$K1842-$L1842),$J1842)))</f>
      </c>
      <c r="N1842" s="43">
        <f>IF($I1842=0,0,MIN(SUMIFS(SondBetrag,SondDarl,4,SondDatum,"&gt;="&amp;$E1842,SondDatum,"&lt;="&amp;EOMONTH($E1842,0)),$J1842-$M1842))</f>
      </c>
      <c r="O1842" s="43">
        <f>IF($I1842=0,0,INDEX(DarlErsatzRate,4))</f>
      </c>
      <c r="P1842" s="43">
        <f>IF($I1842=0,0,$Q1841*INDEX(DarlErsatzZins,4))</f>
      </c>
      <c r="Q1842" s="43">
        <f>IF($I1842=0,0,$Q1841+$P1842+$O1842)</f>
      </c>
      <c r="R1842" s="43">
        <f>IF($I1842=0,0,$J1842-$M1842-$N1842)</f>
      </c>
    </row>
    <row r="1843">
      <c r="A1843"/>
      <c r="B1843">
        <v>4</v>
      </c>
      <c r="C1843" s="43">
        <f>INDEX(DarlObj,4)</f>
      </c>
      <c r="D1843">
        <v>400</v>
      </c>
      <c r="E1843" s="51">
        <f>IF(INDEX(DarlBelegt,4)=0,0,EOMONTH(INDEX(DarlAuszahlung,4),399)+1)</f>
      </c>
      <c r="F1843" s="43">
        <f>IF($E1843=0,0,YEAR($E1843))</f>
      </c>
      <c r="G1843" s="43">
        <f>IF(INDEX(DarlBindung,4)="",1,IF($E1843&lt;=INDEX(DarlBindung,4),1,0))</f>
      </c>
      <c r="H1843" s="43">
        <f>IF($G1843=1,INDEX(DarlSollzins,4),INDEX(DarlAnschluss,4))</f>
      </c>
      <c r="I1843" s="43">
        <f>IF(INDEX(DarlBelegt,4)=0,0,IF(INDEX(DarlOhneTilgung,4)=1,IF(INDEX(DarlBindung,4)="",1,$G1843),IF($J1843&gt;0.005,1,0)))</f>
      </c>
      <c r="J1843" s="43">
        <f>IF($I1842=0,0,$R1842)</f>
      </c>
      <c r="K1843" s="43">
        <f>IF($I1843=0,0,IF(INDEX(DarlOhneTilgung,4)=1,0,IF(AND(INDEX(DarlTilgStart,4)&gt;0,$E1843=INDEX(DarlTilgStart,4)),$J1843*($H1843+INDEX(DarlTilgung,4))/100/12,IF(AND($G1843=0,$G1842=1),MAX($K1842,$J1843*($H1843+1)/100/12),$K1842))))</f>
      </c>
      <c r="L1843" s="43">
        <f>IF($I1843=0,0,$J1843*$H1843/100/12)</f>
      </c>
      <c r="M1843" s="43">
        <f>IF($I1843=0,0,IF(OR(INDEX(DarlOhneTilgung,4)=1,AND(INDEX(DarlTilgStart,4)&gt;0,$E1843&lt;INDEX(DarlTilgStart,4))),0,MIN(MAX(0,$K1843-$L1843),$J1843)))</f>
      </c>
      <c r="N1843" s="43">
        <f>IF($I1843=0,0,MIN(SUMIFS(SondBetrag,SondDarl,4,SondDatum,"&gt;="&amp;$E1843,SondDatum,"&lt;="&amp;EOMONTH($E1843,0)),$J1843-$M1843))</f>
      </c>
      <c r="O1843" s="43">
        <f>IF($I1843=0,0,INDEX(DarlErsatzRate,4))</f>
      </c>
      <c r="P1843" s="43">
        <f>IF($I1843=0,0,$Q1842*INDEX(DarlErsatzZins,4))</f>
      </c>
      <c r="Q1843" s="43">
        <f>IF($I1843=0,0,$Q1842+$P1843+$O1843)</f>
      </c>
      <c r="R1843" s="43">
        <f>IF($I1843=0,0,$J1843-$M1843-$N1843)</f>
      </c>
    </row>
    <row r="1844">
      <c r="A1844"/>
      <c r="B1844">
        <v>4</v>
      </c>
      <c r="C1844" s="43">
        <f>INDEX(DarlObj,4)</f>
      </c>
      <c r="D1844">
        <v>401</v>
      </c>
      <c r="E1844" s="51">
        <f>IF(INDEX(DarlBelegt,4)=0,0,EOMONTH(INDEX(DarlAuszahlung,4),400)+1)</f>
      </c>
      <c r="F1844" s="43">
        <f>IF($E1844=0,0,YEAR($E1844))</f>
      </c>
      <c r="G1844" s="43">
        <f>IF(INDEX(DarlBindung,4)="",1,IF($E1844&lt;=INDEX(DarlBindung,4),1,0))</f>
      </c>
      <c r="H1844" s="43">
        <f>IF($G1844=1,INDEX(DarlSollzins,4),INDEX(DarlAnschluss,4))</f>
      </c>
      <c r="I1844" s="43">
        <f>IF(INDEX(DarlBelegt,4)=0,0,IF(INDEX(DarlOhneTilgung,4)=1,IF(INDEX(DarlBindung,4)="",1,$G1844),IF($J1844&gt;0.005,1,0)))</f>
      </c>
      <c r="J1844" s="43">
        <f>IF($I1843=0,0,$R1843)</f>
      </c>
      <c r="K1844" s="43">
        <f>IF($I1844=0,0,IF(INDEX(DarlOhneTilgung,4)=1,0,IF(AND(INDEX(DarlTilgStart,4)&gt;0,$E1844=INDEX(DarlTilgStart,4)),$J1844*($H1844+INDEX(DarlTilgung,4))/100/12,IF(AND($G1844=0,$G1843=1),MAX($K1843,$J1844*($H1844+1)/100/12),$K1843))))</f>
      </c>
      <c r="L1844" s="43">
        <f>IF($I1844=0,0,$J1844*$H1844/100/12)</f>
      </c>
      <c r="M1844" s="43">
        <f>IF($I1844=0,0,IF(OR(INDEX(DarlOhneTilgung,4)=1,AND(INDEX(DarlTilgStart,4)&gt;0,$E1844&lt;INDEX(DarlTilgStart,4))),0,MIN(MAX(0,$K1844-$L1844),$J1844)))</f>
      </c>
      <c r="N1844" s="43">
        <f>IF($I1844=0,0,MIN(SUMIFS(SondBetrag,SondDarl,4,SondDatum,"&gt;="&amp;$E1844,SondDatum,"&lt;="&amp;EOMONTH($E1844,0)),$J1844-$M1844))</f>
      </c>
      <c r="O1844" s="43">
        <f>IF($I1844=0,0,INDEX(DarlErsatzRate,4))</f>
      </c>
      <c r="P1844" s="43">
        <f>IF($I1844=0,0,$Q1843*INDEX(DarlErsatzZins,4))</f>
      </c>
      <c r="Q1844" s="43">
        <f>IF($I1844=0,0,$Q1843+$P1844+$O1844)</f>
      </c>
      <c r="R1844" s="43">
        <f>IF($I1844=0,0,$J1844-$M1844-$N1844)</f>
      </c>
    </row>
    <row r="1845">
      <c r="A1845"/>
      <c r="B1845">
        <v>4</v>
      </c>
      <c r="C1845" s="43">
        <f>INDEX(DarlObj,4)</f>
      </c>
      <c r="D1845">
        <v>402</v>
      </c>
      <c r="E1845" s="51">
        <f>IF(INDEX(DarlBelegt,4)=0,0,EOMONTH(INDEX(DarlAuszahlung,4),401)+1)</f>
      </c>
      <c r="F1845" s="43">
        <f>IF($E1845=0,0,YEAR($E1845))</f>
      </c>
      <c r="G1845" s="43">
        <f>IF(INDEX(DarlBindung,4)="",1,IF($E1845&lt;=INDEX(DarlBindung,4),1,0))</f>
      </c>
      <c r="H1845" s="43">
        <f>IF($G1845=1,INDEX(DarlSollzins,4),INDEX(DarlAnschluss,4))</f>
      </c>
      <c r="I1845" s="43">
        <f>IF(INDEX(DarlBelegt,4)=0,0,IF(INDEX(DarlOhneTilgung,4)=1,IF(INDEX(DarlBindung,4)="",1,$G1845),IF($J1845&gt;0.005,1,0)))</f>
      </c>
      <c r="J1845" s="43">
        <f>IF($I1844=0,0,$R1844)</f>
      </c>
      <c r="K1845" s="43">
        <f>IF($I1845=0,0,IF(INDEX(DarlOhneTilgung,4)=1,0,IF(AND(INDEX(DarlTilgStart,4)&gt;0,$E1845=INDEX(DarlTilgStart,4)),$J1845*($H1845+INDEX(DarlTilgung,4))/100/12,IF(AND($G1845=0,$G1844=1),MAX($K1844,$J1845*($H1845+1)/100/12),$K1844))))</f>
      </c>
      <c r="L1845" s="43">
        <f>IF($I1845=0,0,$J1845*$H1845/100/12)</f>
      </c>
      <c r="M1845" s="43">
        <f>IF($I1845=0,0,IF(OR(INDEX(DarlOhneTilgung,4)=1,AND(INDEX(DarlTilgStart,4)&gt;0,$E1845&lt;INDEX(DarlTilgStart,4))),0,MIN(MAX(0,$K1845-$L1845),$J1845)))</f>
      </c>
      <c r="N1845" s="43">
        <f>IF($I1845=0,0,MIN(SUMIFS(SondBetrag,SondDarl,4,SondDatum,"&gt;="&amp;$E1845,SondDatum,"&lt;="&amp;EOMONTH($E1845,0)),$J1845-$M1845))</f>
      </c>
      <c r="O1845" s="43">
        <f>IF($I1845=0,0,INDEX(DarlErsatzRate,4))</f>
      </c>
      <c r="P1845" s="43">
        <f>IF($I1845=0,0,$Q1844*INDEX(DarlErsatzZins,4))</f>
      </c>
      <c r="Q1845" s="43">
        <f>IF($I1845=0,0,$Q1844+$P1845+$O1845)</f>
      </c>
      <c r="R1845" s="43">
        <f>IF($I1845=0,0,$J1845-$M1845-$N1845)</f>
      </c>
    </row>
    <row r="1846">
      <c r="A1846"/>
      <c r="B1846">
        <v>4</v>
      </c>
      <c r="C1846" s="43">
        <f>INDEX(DarlObj,4)</f>
      </c>
      <c r="D1846">
        <v>403</v>
      </c>
      <c r="E1846" s="51">
        <f>IF(INDEX(DarlBelegt,4)=0,0,EOMONTH(INDEX(DarlAuszahlung,4),402)+1)</f>
      </c>
      <c r="F1846" s="43">
        <f>IF($E1846=0,0,YEAR($E1846))</f>
      </c>
      <c r="G1846" s="43">
        <f>IF(INDEX(DarlBindung,4)="",1,IF($E1846&lt;=INDEX(DarlBindung,4),1,0))</f>
      </c>
      <c r="H1846" s="43">
        <f>IF($G1846=1,INDEX(DarlSollzins,4),INDEX(DarlAnschluss,4))</f>
      </c>
      <c r="I1846" s="43">
        <f>IF(INDEX(DarlBelegt,4)=0,0,IF(INDEX(DarlOhneTilgung,4)=1,IF(INDEX(DarlBindung,4)="",1,$G1846),IF($J1846&gt;0.005,1,0)))</f>
      </c>
      <c r="J1846" s="43">
        <f>IF($I1845=0,0,$R1845)</f>
      </c>
      <c r="K1846" s="43">
        <f>IF($I1846=0,0,IF(INDEX(DarlOhneTilgung,4)=1,0,IF(AND(INDEX(DarlTilgStart,4)&gt;0,$E1846=INDEX(DarlTilgStart,4)),$J1846*($H1846+INDEX(DarlTilgung,4))/100/12,IF(AND($G1846=0,$G1845=1),MAX($K1845,$J1846*($H1846+1)/100/12),$K1845))))</f>
      </c>
      <c r="L1846" s="43">
        <f>IF($I1846=0,0,$J1846*$H1846/100/12)</f>
      </c>
      <c r="M1846" s="43">
        <f>IF($I1846=0,0,IF(OR(INDEX(DarlOhneTilgung,4)=1,AND(INDEX(DarlTilgStart,4)&gt;0,$E1846&lt;INDEX(DarlTilgStart,4))),0,MIN(MAX(0,$K1846-$L1846),$J1846)))</f>
      </c>
      <c r="N1846" s="43">
        <f>IF($I1846=0,0,MIN(SUMIFS(SondBetrag,SondDarl,4,SondDatum,"&gt;="&amp;$E1846,SondDatum,"&lt;="&amp;EOMONTH($E1846,0)),$J1846-$M1846))</f>
      </c>
      <c r="O1846" s="43">
        <f>IF($I1846=0,0,INDEX(DarlErsatzRate,4))</f>
      </c>
      <c r="P1846" s="43">
        <f>IF($I1846=0,0,$Q1845*INDEX(DarlErsatzZins,4))</f>
      </c>
      <c r="Q1846" s="43">
        <f>IF($I1846=0,0,$Q1845+$P1846+$O1846)</f>
      </c>
      <c r="R1846" s="43">
        <f>IF($I1846=0,0,$J1846-$M1846-$N1846)</f>
      </c>
    </row>
    <row r="1847">
      <c r="A1847"/>
      <c r="B1847">
        <v>4</v>
      </c>
      <c r="C1847" s="43">
        <f>INDEX(DarlObj,4)</f>
      </c>
      <c r="D1847">
        <v>404</v>
      </c>
      <c r="E1847" s="51">
        <f>IF(INDEX(DarlBelegt,4)=0,0,EOMONTH(INDEX(DarlAuszahlung,4),403)+1)</f>
      </c>
      <c r="F1847" s="43">
        <f>IF($E1847=0,0,YEAR($E1847))</f>
      </c>
      <c r="G1847" s="43">
        <f>IF(INDEX(DarlBindung,4)="",1,IF($E1847&lt;=INDEX(DarlBindung,4),1,0))</f>
      </c>
      <c r="H1847" s="43">
        <f>IF($G1847=1,INDEX(DarlSollzins,4),INDEX(DarlAnschluss,4))</f>
      </c>
      <c r="I1847" s="43">
        <f>IF(INDEX(DarlBelegt,4)=0,0,IF(INDEX(DarlOhneTilgung,4)=1,IF(INDEX(DarlBindung,4)="",1,$G1847),IF($J1847&gt;0.005,1,0)))</f>
      </c>
      <c r="J1847" s="43">
        <f>IF($I1846=0,0,$R1846)</f>
      </c>
      <c r="K1847" s="43">
        <f>IF($I1847=0,0,IF(INDEX(DarlOhneTilgung,4)=1,0,IF(AND(INDEX(DarlTilgStart,4)&gt;0,$E1847=INDEX(DarlTilgStart,4)),$J1847*($H1847+INDEX(DarlTilgung,4))/100/12,IF(AND($G1847=0,$G1846=1),MAX($K1846,$J1847*($H1847+1)/100/12),$K1846))))</f>
      </c>
      <c r="L1847" s="43">
        <f>IF($I1847=0,0,$J1847*$H1847/100/12)</f>
      </c>
      <c r="M1847" s="43">
        <f>IF($I1847=0,0,IF(OR(INDEX(DarlOhneTilgung,4)=1,AND(INDEX(DarlTilgStart,4)&gt;0,$E1847&lt;INDEX(DarlTilgStart,4))),0,MIN(MAX(0,$K1847-$L1847),$J1847)))</f>
      </c>
      <c r="N1847" s="43">
        <f>IF($I1847=0,0,MIN(SUMIFS(SondBetrag,SondDarl,4,SondDatum,"&gt;="&amp;$E1847,SondDatum,"&lt;="&amp;EOMONTH($E1847,0)),$J1847-$M1847))</f>
      </c>
      <c r="O1847" s="43">
        <f>IF($I1847=0,0,INDEX(DarlErsatzRate,4))</f>
      </c>
      <c r="P1847" s="43">
        <f>IF($I1847=0,0,$Q1846*INDEX(DarlErsatzZins,4))</f>
      </c>
      <c r="Q1847" s="43">
        <f>IF($I1847=0,0,$Q1846+$P1847+$O1847)</f>
      </c>
      <c r="R1847" s="43">
        <f>IF($I1847=0,0,$J1847-$M1847-$N1847)</f>
      </c>
    </row>
    <row r="1848">
      <c r="A1848"/>
      <c r="B1848">
        <v>4</v>
      </c>
      <c r="C1848" s="43">
        <f>INDEX(DarlObj,4)</f>
      </c>
      <c r="D1848">
        <v>405</v>
      </c>
      <c r="E1848" s="51">
        <f>IF(INDEX(DarlBelegt,4)=0,0,EOMONTH(INDEX(DarlAuszahlung,4),404)+1)</f>
      </c>
      <c r="F1848" s="43">
        <f>IF($E1848=0,0,YEAR($E1848))</f>
      </c>
      <c r="G1848" s="43">
        <f>IF(INDEX(DarlBindung,4)="",1,IF($E1848&lt;=INDEX(DarlBindung,4),1,0))</f>
      </c>
      <c r="H1848" s="43">
        <f>IF($G1848=1,INDEX(DarlSollzins,4),INDEX(DarlAnschluss,4))</f>
      </c>
      <c r="I1848" s="43">
        <f>IF(INDEX(DarlBelegt,4)=0,0,IF(INDEX(DarlOhneTilgung,4)=1,IF(INDEX(DarlBindung,4)="",1,$G1848),IF($J1848&gt;0.005,1,0)))</f>
      </c>
      <c r="J1848" s="43">
        <f>IF($I1847=0,0,$R1847)</f>
      </c>
      <c r="K1848" s="43">
        <f>IF($I1848=0,0,IF(INDEX(DarlOhneTilgung,4)=1,0,IF(AND(INDEX(DarlTilgStart,4)&gt;0,$E1848=INDEX(DarlTilgStart,4)),$J1848*($H1848+INDEX(DarlTilgung,4))/100/12,IF(AND($G1848=0,$G1847=1),MAX($K1847,$J1848*($H1848+1)/100/12),$K1847))))</f>
      </c>
      <c r="L1848" s="43">
        <f>IF($I1848=0,0,$J1848*$H1848/100/12)</f>
      </c>
      <c r="M1848" s="43">
        <f>IF($I1848=0,0,IF(OR(INDEX(DarlOhneTilgung,4)=1,AND(INDEX(DarlTilgStart,4)&gt;0,$E1848&lt;INDEX(DarlTilgStart,4))),0,MIN(MAX(0,$K1848-$L1848),$J1848)))</f>
      </c>
      <c r="N1848" s="43">
        <f>IF($I1848=0,0,MIN(SUMIFS(SondBetrag,SondDarl,4,SondDatum,"&gt;="&amp;$E1848,SondDatum,"&lt;="&amp;EOMONTH($E1848,0)),$J1848-$M1848))</f>
      </c>
      <c r="O1848" s="43">
        <f>IF($I1848=0,0,INDEX(DarlErsatzRate,4))</f>
      </c>
      <c r="P1848" s="43">
        <f>IF($I1848=0,0,$Q1847*INDEX(DarlErsatzZins,4))</f>
      </c>
      <c r="Q1848" s="43">
        <f>IF($I1848=0,0,$Q1847+$P1848+$O1848)</f>
      </c>
      <c r="R1848" s="43">
        <f>IF($I1848=0,0,$J1848-$M1848-$N1848)</f>
      </c>
    </row>
    <row r="1849">
      <c r="A1849"/>
      <c r="B1849">
        <v>4</v>
      </c>
      <c r="C1849" s="43">
        <f>INDEX(DarlObj,4)</f>
      </c>
      <c r="D1849">
        <v>406</v>
      </c>
      <c r="E1849" s="51">
        <f>IF(INDEX(DarlBelegt,4)=0,0,EOMONTH(INDEX(DarlAuszahlung,4),405)+1)</f>
      </c>
      <c r="F1849" s="43">
        <f>IF($E1849=0,0,YEAR($E1849))</f>
      </c>
      <c r="G1849" s="43">
        <f>IF(INDEX(DarlBindung,4)="",1,IF($E1849&lt;=INDEX(DarlBindung,4),1,0))</f>
      </c>
      <c r="H1849" s="43">
        <f>IF($G1849=1,INDEX(DarlSollzins,4),INDEX(DarlAnschluss,4))</f>
      </c>
      <c r="I1849" s="43">
        <f>IF(INDEX(DarlBelegt,4)=0,0,IF(INDEX(DarlOhneTilgung,4)=1,IF(INDEX(DarlBindung,4)="",1,$G1849),IF($J1849&gt;0.005,1,0)))</f>
      </c>
      <c r="J1849" s="43">
        <f>IF($I1848=0,0,$R1848)</f>
      </c>
      <c r="K1849" s="43">
        <f>IF($I1849=0,0,IF(INDEX(DarlOhneTilgung,4)=1,0,IF(AND(INDEX(DarlTilgStart,4)&gt;0,$E1849=INDEX(DarlTilgStart,4)),$J1849*($H1849+INDEX(DarlTilgung,4))/100/12,IF(AND($G1849=0,$G1848=1),MAX($K1848,$J1849*($H1849+1)/100/12),$K1848))))</f>
      </c>
      <c r="L1849" s="43">
        <f>IF($I1849=0,0,$J1849*$H1849/100/12)</f>
      </c>
      <c r="M1849" s="43">
        <f>IF($I1849=0,0,IF(OR(INDEX(DarlOhneTilgung,4)=1,AND(INDEX(DarlTilgStart,4)&gt;0,$E1849&lt;INDEX(DarlTilgStart,4))),0,MIN(MAX(0,$K1849-$L1849),$J1849)))</f>
      </c>
      <c r="N1849" s="43">
        <f>IF($I1849=0,0,MIN(SUMIFS(SondBetrag,SondDarl,4,SondDatum,"&gt;="&amp;$E1849,SondDatum,"&lt;="&amp;EOMONTH($E1849,0)),$J1849-$M1849))</f>
      </c>
      <c r="O1849" s="43">
        <f>IF($I1849=0,0,INDEX(DarlErsatzRate,4))</f>
      </c>
      <c r="P1849" s="43">
        <f>IF($I1849=0,0,$Q1848*INDEX(DarlErsatzZins,4))</f>
      </c>
      <c r="Q1849" s="43">
        <f>IF($I1849=0,0,$Q1848+$P1849+$O1849)</f>
      </c>
      <c r="R1849" s="43">
        <f>IF($I1849=0,0,$J1849-$M1849-$N1849)</f>
      </c>
    </row>
    <row r="1850">
      <c r="A1850"/>
      <c r="B1850">
        <v>4</v>
      </c>
      <c r="C1850" s="43">
        <f>INDEX(DarlObj,4)</f>
      </c>
      <c r="D1850">
        <v>407</v>
      </c>
      <c r="E1850" s="51">
        <f>IF(INDEX(DarlBelegt,4)=0,0,EOMONTH(INDEX(DarlAuszahlung,4),406)+1)</f>
      </c>
      <c r="F1850" s="43">
        <f>IF($E1850=0,0,YEAR($E1850))</f>
      </c>
      <c r="G1850" s="43">
        <f>IF(INDEX(DarlBindung,4)="",1,IF($E1850&lt;=INDEX(DarlBindung,4),1,0))</f>
      </c>
      <c r="H1850" s="43">
        <f>IF($G1850=1,INDEX(DarlSollzins,4),INDEX(DarlAnschluss,4))</f>
      </c>
      <c r="I1850" s="43">
        <f>IF(INDEX(DarlBelegt,4)=0,0,IF(INDEX(DarlOhneTilgung,4)=1,IF(INDEX(DarlBindung,4)="",1,$G1850),IF($J1850&gt;0.005,1,0)))</f>
      </c>
      <c r="J1850" s="43">
        <f>IF($I1849=0,0,$R1849)</f>
      </c>
      <c r="K1850" s="43">
        <f>IF($I1850=0,0,IF(INDEX(DarlOhneTilgung,4)=1,0,IF(AND(INDEX(DarlTilgStart,4)&gt;0,$E1850=INDEX(DarlTilgStart,4)),$J1850*($H1850+INDEX(DarlTilgung,4))/100/12,IF(AND($G1850=0,$G1849=1),MAX($K1849,$J1850*($H1850+1)/100/12),$K1849))))</f>
      </c>
      <c r="L1850" s="43">
        <f>IF($I1850=0,0,$J1850*$H1850/100/12)</f>
      </c>
      <c r="M1850" s="43">
        <f>IF($I1850=0,0,IF(OR(INDEX(DarlOhneTilgung,4)=1,AND(INDEX(DarlTilgStart,4)&gt;0,$E1850&lt;INDEX(DarlTilgStart,4))),0,MIN(MAX(0,$K1850-$L1850),$J1850)))</f>
      </c>
      <c r="N1850" s="43">
        <f>IF($I1850=0,0,MIN(SUMIFS(SondBetrag,SondDarl,4,SondDatum,"&gt;="&amp;$E1850,SondDatum,"&lt;="&amp;EOMONTH($E1850,0)),$J1850-$M1850))</f>
      </c>
      <c r="O1850" s="43">
        <f>IF($I1850=0,0,INDEX(DarlErsatzRate,4))</f>
      </c>
      <c r="P1850" s="43">
        <f>IF($I1850=0,0,$Q1849*INDEX(DarlErsatzZins,4))</f>
      </c>
      <c r="Q1850" s="43">
        <f>IF($I1850=0,0,$Q1849+$P1850+$O1850)</f>
      </c>
      <c r="R1850" s="43">
        <f>IF($I1850=0,0,$J1850-$M1850-$N1850)</f>
      </c>
    </row>
    <row r="1851">
      <c r="A1851"/>
      <c r="B1851">
        <v>4</v>
      </c>
      <c r="C1851" s="43">
        <f>INDEX(DarlObj,4)</f>
      </c>
      <c r="D1851">
        <v>408</v>
      </c>
      <c r="E1851" s="51">
        <f>IF(INDEX(DarlBelegt,4)=0,0,EOMONTH(INDEX(DarlAuszahlung,4),407)+1)</f>
      </c>
      <c r="F1851" s="43">
        <f>IF($E1851=0,0,YEAR($E1851))</f>
      </c>
      <c r="G1851" s="43">
        <f>IF(INDEX(DarlBindung,4)="",1,IF($E1851&lt;=INDEX(DarlBindung,4),1,0))</f>
      </c>
      <c r="H1851" s="43">
        <f>IF($G1851=1,INDEX(DarlSollzins,4),INDEX(DarlAnschluss,4))</f>
      </c>
      <c r="I1851" s="43">
        <f>IF(INDEX(DarlBelegt,4)=0,0,IF(INDEX(DarlOhneTilgung,4)=1,IF(INDEX(DarlBindung,4)="",1,$G1851),IF($J1851&gt;0.005,1,0)))</f>
      </c>
      <c r="J1851" s="43">
        <f>IF($I1850=0,0,$R1850)</f>
      </c>
      <c r="K1851" s="43">
        <f>IF($I1851=0,0,IF(INDEX(DarlOhneTilgung,4)=1,0,IF(AND(INDEX(DarlTilgStart,4)&gt;0,$E1851=INDEX(DarlTilgStart,4)),$J1851*($H1851+INDEX(DarlTilgung,4))/100/12,IF(AND($G1851=0,$G1850=1),MAX($K1850,$J1851*($H1851+1)/100/12),$K1850))))</f>
      </c>
      <c r="L1851" s="43">
        <f>IF($I1851=0,0,$J1851*$H1851/100/12)</f>
      </c>
      <c r="M1851" s="43">
        <f>IF($I1851=0,0,IF(OR(INDEX(DarlOhneTilgung,4)=1,AND(INDEX(DarlTilgStart,4)&gt;0,$E1851&lt;INDEX(DarlTilgStart,4))),0,MIN(MAX(0,$K1851-$L1851),$J1851)))</f>
      </c>
      <c r="N1851" s="43">
        <f>IF($I1851=0,0,MIN(SUMIFS(SondBetrag,SondDarl,4,SondDatum,"&gt;="&amp;$E1851,SondDatum,"&lt;="&amp;EOMONTH($E1851,0)),$J1851-$M1851))</f>
      </c>
      <c r="O1851" s="43">
        <f>IF($I1851=0,0,INDEX(DarlErsatzRate,4))</f>
      </c>
      <c r="P1851" s="43">
        <f>IF($I1851=0,0,$Q1850*INDEX(DarlErsatzZins,4))</f>
      </c>
      <c r="Q1851" s="43">
        <f>IF($I1851=0,0,$Q1850+$P1851+$O1851)</f>
      </c>
      <c r="R1851" s="43">
        <f>IF($I1851=0,0,$J1851-$M1851-$N1851)</f>
      </c>
    </row>
    <row r="1852">
      <c r="A1852"/>
      <c r="B1852">
        <v>4</v>
      </c>
      <c r="C1852" s="43">
        <f>INDEX(DarlObj,4)</f>
      </c>
      <c r="D1852">
        <v>409</v>
      </c>
      <c r="E1852" s="51">
        <f>IF(INDEX(DarlBelegt,4)=0,0,EOMONTH(INDEX(DarlAuszahlung,4),408)+1)</f>
      </c>
      <c r="F1852" s="43">
        <f>IF($E1852=0,0,YEAR($E1852))</f>
      </c>
      <c r="G1852" s="43">
        <f>IF(INDEX(DarlBindung,4)="",1,IF($E1852&lt;=INDEX(DarlBindung,4),1,0))</f>
      </c>
      <c r="H1852" s="43">
        <f>IF($G1852=1,INDEX(DarlSollzins,4),INDEX(DarlAnschluss,4))</f>
      </c>
      <c r="I1852" s="43">
        <f>IF(INDEX(DarlBelegt,4)=0,0,IF(INDEX(DarlOhneTilgung,4)=1,IF(INDEX(DarlBindung,4)="",1,$G1852),IF($J1852&gt;0.005,1,0)))</f>
      </c>
      <c r="J1852" s="43">
        <f>IF($I1851=0,0,$R1851)</f>
      </c>
      <c r="K1852" s="43">
        <f>IF($I1852=0,0,IF(INDEX(DarlOhneTilgung,4)=1,0,IF(AND(INDEX(DarlTilgStart,4)&gt;0,$E1852=INDEX(DarlTilgStart,4)),$J1852*($H1852+INDEX(DarlTilgung,4))/100/12,IF(AND($G1852=0,$G1851=1),MAX($K1851,$J1852*($H1852+1)/100/12),$K1851))))</f>
      </c>
      <c r="L1852" s="43">
        <f>IF($I1852=0,0,$J1852*$H1852/100/12)</f>
      </c>
      <c r="M1852" s="43">
        <f>IF($I1852=0,0,IF(OR(INDEX(DarlOhneTilgung,4)=1,AND(INDEX(DarlTilgStart,4)&gt;0,$E1852&lt;INDEX(DarlTilgStart,4))),0,MIN(MAX(0,$K1852-$L1852),$J1852)))</f>
      </c>
      <c r="N1852" s="43">
        <f>IF($I1852=0,0,MIN(SUMIFS(SondBetrag,SondDarl,4,SondDatum,"&gt;="&amp;$E1852,SondDatum,"&lt;="&amp;EOMONTH($E1852,0)),$J1852-$M1852))</f>
      </c>
      <c r="O1852" s="43">
        <f>IF($I1852=0,0,INDEX(DarlErsatzRate,4))</f>
      </c>
      <c r="P1852" s="43">
        <f>IF($I1852=0,0,$Q1851*INDEX(DarlErsatzZins,4))</f>
      </c>
      <c r="Q1852" s="43">
        <f>IF($I1852=0,0,$Q1851+$P1852+$O1852)</f>
      </c>
      <c r="R1852" s="43">
        <f>IF($I1852=0,0,$J1852-$M1852-$N1852)</f>
      </c>
    </row>
    <row r="1853">
      <c r="A1853"/>
      <c r="B1853">
        <v>4</v>
      </c>
      <c r="C1853" s="43">
        <f>INDEX(DarlObj,4)</f>
      </c>
      <c r="D1853">
        <v>410</v>
      </c>
      <c r="E1853" s="51">
        <f>IF(INDEX(DarlBelegt,4)=0,0,EOMONTH(INDEX(DarlAuszahlung,4),409)+1)</f>
      </c>
      <c r="F1853" s="43">
        <f>IF($E1853=0,0,YEAR($E1853))</f>
      </c>
      <c r="G1853" s="43">
        <f>IF(INDEX(DarlBindung,4)="",1,IF($E1853&lt;=INDEX(DarlBindung,4),1,0))</f>
      </c>
      <c r="H1853" s="43">
        <f>IF($G1853=1,INDEX(DarlSollzins,4),INDEX(DarlAnschluss,4))</f>
      </c>
      <c r="I1853" s="43">
        <f>IF(INDEX(DarlBelegt,4)=0,0,IF(INDEX(DarlOhneTilgung,4)=1,IF(INDEX(DarlBindung,4)="",1,$G1853),IF($J1853&gt;0.005,1,0)))</f>
      </c>
      <c r="J1853" s="43">
        <f>IF($I1852=0,0,$R1852)</f>
      </c>
      <c r="K1853" s="43">
        <f>IF($I1853=0,0,IF(INDEX(DarlOhneTilgung,4)=1,0,IF(AND(INDEX(DarlTilgStart,4)&gt;0,$E1853=INDEX(DarlTilgStart,4)),$J1853*($H1853+INDEX(DarlTilgung,4))/100/12,IF(AND($G1853=0,$G1852=1),MAX($K1852,$J1853*($H1853+1)/100/12),$K1852))))</f>
      </c>
      <c r="L1853" s="43">
        <f>IF($I1853=0,0,$J1853*$H1853/100/12)</f>
      </c>
      <c r="M1853" s="43">
        <f>IF($I1853=0,0,IF(OR(INDEX(DarlOhneTilgung,4)=1,AND(INDEX(DarlTilgStart,4)&gt;0,$E1853&lt;INDEX(DarlTilgStart,4))),0,MIN(MAX(0,$K1853-$L1853),$J1853)))</f>
      </c>
      <c r="N1853" s="43">
        <f>IF($I1853=0,0,MIN(SUMIFS(SondBetrag,SondDarl,4,SondDatum,"&gt;="&amp;$E1853,SondDatum,"&lt;="&amp;EOMONTH($E1853,0)),$J1853-$M1853))</f>
      </c>
      <c r="O1853" s="43">
        <f>IF($I1853=0,0,INDEX(DarlErsatzRate,4))</f>
      </c>
      <c r="P1853" s="43">
        <f>IF($I1853=0,0,$Q1852*INDEX(DarlErsatzZins,4))</f>
      </c>
      <c r="Q1853" s="43">
        <f>IF($I1853=0,0,$Q1852+$P1853+$O1853)</f>
      </c>
      <c r="R1853" s="43">
        <f>IF($I1853=0,0,$J1853-$M1853-$N1853)</f>
      </c>
    </row>
    <row r="1854">
      <c r="A1854"/>
      <c r="B1854">
        <v>4</v>
      </c>
      <c r="C1854" s="43">
        <f>INDEX(DarlObj,4)</f>
      </c>
      <c r="D1854">
        <v>411</v>
      </c>
      <c r="E1854" s="51">
        <f>IF(INDEX(DarlBelegt,4)=0,0,EOMONTH(INDEX(DarlAuszahlung,4),410)+1)</f>
      </c>
      <c r="F1854" s="43">
        <f>IF($E1854=0,0,YEAR($E1854))</f>
      </c>
      <c r="G1854" s="43">
        <f>IF(INDEX(DarlBindung,4)="",1,IF($E1854&lt;=INDEX(DarlBindung,4),1,0))</f>
      </c>
      <c r="H1854" s="43">
        <f>IF($G1854=1,INDEX(DarlSollzins,4),INDEX(DarlAnschluss,4))</f>
      </c>
      <c r="I1854" s="43">
        <f>IF(INDEX(DarlBelegt,4)=0,0,IF(INDEX(DarlOhneTilgung,4)=1,IF(INDEX(DarlBindung,4)="",1,$G1854),IF($J1854&gt;0.005,1,0)))</f>
      </c>
      <c r="J1854" s="43">
        <f>IF($I1853=0,0,$R1853)</f>
      </c>
      <c r="K1854" s="43">
        <f>IF($I1854=0,0,IF(INDEX(DarlOhneTilgung,4)=1,0,IF(AND(INDEX(DarlTilgStart,4)&gt;0,$E1854=INDEX(DarlTilgStart,4)),$J1854*($H1854+INDEX(DarlTilgung,4))/100/12,IF(AND($G1854=0,$G1853=1),MAX($K1853,$J1854*($H1854+1)/100/12),$K1853))))</f>
      </c>
      <c r="L1854" s="43">
        <f>IF($I1854=0,0,$J1854*$H1854/100/12)</f>
      </c>
      <c r="M1854" s="43">
        <f>IF($I1854=0,0,IF(OR(INDEX(DarlOhneTilgung,4)=1,AND(INDEX(DarlTilgStart,4)&gt;0,$E1854&lt;INDEX(DarlTilgStart,4))),0,MIN(MAX(0,$K1854-$L1854),$J1854)))</f>
      </c>
      <c r="N1854" s="43">
        <f>IF($I1854=0,0,MIN(SUMIFS(SondBetrag,SondDarl,4,SondDatum,"&gt;="&amp;$E1854,SondDatum,"&lt;="&amp;EOMONTH($E1854,0)),$J1854-$M1854))</f>
      </c>
      <c r="O1854" s="43">
        <f>IF($I1854=0,0,INDEX(DarlErsatzRate,4))</f>
      </c>
      <c r="P1854" s="43">
        <f>IF($I1854=0,0,$Q1853*INDEX(DarlErsatzZins,4))</f>
      </c>
      <c r="Q1854" s="43">
        <f>IF($I1854=0,0,$Q1853+$P1854+$O1854)</f>
      </c>
      <c r="R1854" s="43">
        <f>IF($I1854=0,0,$J1854-$M1854-$N1854)</f>
      </c>
    </row>
    <row r="1855">
      <c r="A1855"/>
      <c r="B1855">
        <v>4</v>
      </c>
      <c r="C1855" s="43">
        <f>INDEX(DarlObj,4)</f>
      </c>
      <c r="D1855">
        <v>412</v>
      </c>
      <c r="E1855" s="51">
        <f>IF(INDEX(DarlBelegt,4)=0,0,EOMONTH(INDEX(DarlAuszahlung,4),411)+1)</f>
      </c>
      <c r="F1855" s="43">
        <f>IF($E1855=0,0,YEAR($E1855))</f>
      </c>
      <c r="G1855" s="43">
        <f>IF(INDEX(DarlBindung,4)="",1,IF($E1855&lt;=INDEX(DarlBindung,4),1,0))</f>
      </c>
      <c r="H1855" s="43">
        <f>IF($G1855=1,INDEX(DarlSollzins,4),INDEX(DarlAnschluss,4))</f>
      </c>
      <c r="I1855" s="43">
        <f>IF(INDEX(DarlBelegt,4)=0,0,IF(INDEX(DarlOhneTilgung,4)=1,IF(INDEX(DarlBindung,4)="",1,$G1855),IF($J1855&gt;0.005,1,0)))</f>
      </c>
      <c r="J1855" s="43">
        <f>IF($I1854=0,0,$R1854)</f>
      </c>
      <c r="K1855" s="43">
        <f>IF($I1855=0,0,IF(INDEX(DarlOhneTilgung,4)=1,0,IF(AND(INDEX(DarlTilgStart,4)&gt;0,$E1855=INDEX(DarlTilgStart,4)),$J1855*($H1855+INDEX(DarlTilgung,4))/100/12,IF(AND($G1855=0,$G1854=1),MAX($K1854,$J1855*($H1855+1)/100/12),$K1854))))</f>
      </c>
      <c r="L1855" s="43">
        <f>IF($I1855=0,0,$J1855*$H1855/100/12)</f>
      </c>
      <c r="M1855" s="43">
        <f>IF($I1855=0,0,IF(OR(INDEX(DarlOhneTilgung,4)=1,AND(INDEX(DarlTilgStart,4)&gt;0,$E1855&lt;INDEX(DarlTilgStart,4))),0,MIN(MAX(0,$K1855-$L1855),$J1855)))</f>
      </c>
      <c r="N1855" s="43">
        <f>IF($I1855=0,0,MIN(SUMIFS(SondBetrag,SondDarl,4,SondDatum,"&gt;="&amp;$E1855,SondDatum,"&lt;="&amp;EOMONTH($E1855,0)),$J1855-$M1855))</f>
      </c>
      <c r="O1855" s="43">
        <f>IF($I1855=0,0,INDEX(DarlErsatzRate,4))</f>
      </c>
      <c r="P1855" s="43">
        <f>IF($I1855=0,0,$Q1854*INDEX(DarlErsatzZins,4))</f>
      </c>
      <c r="Q1855" s="43">
        <f>IF($I1855=0,0,$Q1854+$P1855+$O1855)</f>
      </c>
      <c r="R1855" s="43">
        <f>IF($I1855=0,0,$J1855-$M1855-$N1855)</f>
      </c>
    </row>
    <row r="1856">
      <c r="A1856"/>
      <c r="B1856">
        <v>4</v>
      </c>
      <c r="C1856" s="43">
        <f>INDEX(DarlObj,4)</f>
      </c>
      <c r="D1856">
        <v>413</v>
      </c>
      <c r="E1856" s="51">
        <f>IF(INDEX(DarlBelegt,4)=0,0,EOMONTH(INDEX(DarlAuszahlung,4),412)+1)</f>
      </c>
      <c r="F1856" s="43">
        <f>IF($E1856=0,0,YEAR($E1856))</f>
      </c>
      <c r="G1856" s="43">
        <f>IF(INDEX(DarlBindung,4)="",1,IF($E1856&lt;=INDEX(DarlBindung,4),1,0))</f>
      </c>
      <c r="H1856" s="43">
        <f>IF($G1856=1,INDEX(DarlSollzins,4),INDEX(DarlAnschluss,4))</f>
      </c>
      <c r="I1856" s="43">
        <f>IF(INDEX(DarlBelegt,4)=0,0,IF(INDEX(DarlOhneTilgung,4)=1,IF(INDEX(DarlBindung,4)="",1,$G1856),IF($J1856&gt;0.005,1,0)))</f>
      </c>
      <c r="J1856" s="43">
        <f>IF($I1855=0,0,$R1855)</f>
      </c>
      <c r="K1856" s="43">
        <f>IF($I1856=0,0,IF(INDEX(DarlOhneTilgung,4)=1,0,IF(AND(INDEX(DarlTilgStart,4)&gt;0,$E1856=INDEX(DarlTilgStart,4)),$J1856*($H1856+INDEX(DarlTilgung,4))/100/12,IF(AND($G1856=0,$G1855=1),MAX($K1855,$J1856*($H1856+1)/100/12),$K1855))))</f>
      </c>
      <c r="L1856" s="43">
        <f>IF($I1856=0,0,$J1856*$H1856/100/12)</f>
      </c>
      <c r="M1856" s="43">
        <f>IF($I1856=0,0,IF(OR(INDEX(DarlOhneTilgung,4)=1,AND(INDEX(DarlTilgStart,4)&gt;0,$E1856&lt;INDEX(DarlTilgStart,4))),0,MIN(MAX(0,$K1856-$L1856),$J1856)))</f>
      </c>
      <c r="N1856" s="43">
        <f>IF($I1856=0,0,MIN(SUMIFS(SondBetrag,SondDarl,4,SondDatum,"&gt;="&amp;$E1856,SondDatum,"&lt;="&amp;EOMONTH($E1856,0)),$J1856-$M1856))</f>
      </c>
      <c r="O1856" s="43">
        <f>IF($I1856=0,0,INDEX(DarlErsatzRate,4))</f>
      </c>
      <c r="P1856" s="43">
        <f>IF($I1856=0,0,$Q1855*INDEX(DarlErsatzZins,4))</f>
      </c>
      <c r="Q1856" s="43">
        <f>IF($I1856=0,0,$Q1855+$P1856+$O1856)</f>
      </c>
      <c r="R1856" s="43">
        <f>IF($I1856=0,0,$J1856-$M1856-$N1856)</f>
      </c>
    </row>
    <row r="1857">
      <c r="A1857"/>
      <c r="B1857">
        <v>4</v>
      </c>
      <c r="C1857" s="43">
        <f>INDEX(DarlObj,4)</f>
      </c>
      <c r="D1857">
        <v>414</v>
      </c>
      <c r="E1857" s="51">
        <f>IF(INDEX(DarlBelegt,4)=0,0,EOMONTH(INDEX(DarlAuszahlung,4),413)+1)</f>
      </c>
      <c r="F1857" s="43">
        <f>IF($E1857=0,0,YEAR($E1857))</f>
      </c>
      <c r="G1857" s="43">
        <f>IF(INDEX(DarlBindung,4)="",1,IF($E1857&lt;=INDEX(DarlBindung,4),1,0))</f>
      </c>
      <c r="H1857" s="43">
        <f>IF($G1857=1,INDEX(DarlSollzins,4),INDEX(DarlAnschluss,4))</f>
      </c>
      <c r="I1857" s="43">
        <f>IF(INDEX(DarlBelegt,4)=0,0,IF(INDEX(DarlOhneTilgung,4)=1,IF(INDEX(DarlBindung,4)="",1,$G1857),IF($J1857&gt;0.005,1,0)))</f>
      </c>
      <c r="J1857" s="43">
        <f>IF($I1856=0,0,$R1856)</f>
      </c>
      <c r="K1857" s="43">
        <f>IF($I1857=0,0,IF(INDEX(DarlOhneTilgung,4)=1,0,IF(AND(INDEX(DarlTilgStart,4)&gt;0,$E1857=INDEX(DarlTilgStart,4)),$J1857*($H1857+INDEX(DarlTilgung,4))/100/12,IF(AND($G1857=0,$G1856=1),MAX($K1856,$J1857*($H1857+1)/100/12),$K1856))))</f>
      </c>
      <c r="L1857" s="43">
        <f>IF($I1857=0,0,$J1857*$H1857/100/12)</f>
      </c>
      <c r="M1857" s="43">
        <f>IF($I1857=0,0,IF(OR(INDEX(DarlOhneTilgung,4)=1,AND(INDEX(DarlTilgStart,4)&gt;0,$E1857&lt;INDEX(DarlTilgStart,4))),0,MIN(MAX(0,$K1857-$L1857),$J1857)))</f>
      </c>
      <c r="N1857" s="43">
        <f>IF($I1857=0,0,MIN(SUMIFS(SondBetrag,SondDarl,4,SondDatum,"&gt;="&amp;$E1857,SondDatum,"&lt;="&amp;EOMONTH($E1857,0)),$J1857-$M1857))</f>
      </c>
      <c r="O1857" s="43">
        <f>IF($I1857=0,0,INDEX(DarlErsatzRate,4))</f>
      </c>
      <c r="P1857" s="43">
        <f>IF($I1857=0,0,$Q1856*INDEX(DarlErsatzZins,4))</f>
      </c>
      <c r="Q1857" s="43">
        <f>IF($I1857=0,0,$Q1856+$P1857+$O1857)</f>
      </c>
      <c r="R1857" s="43">
        <f>IF($I1857=0,0,$J1857-$M1857-$N1857)</f>
      </c>
    </row>
    <row r="1858">
      <c r="A1858"/>
      <c r="B1858">
        <v>4</v>
      </c>
      <c r="C1858" s="43">
        <f>INDEX(DarlObj,4)</f>
      </c>
      <c r="D1858">
        <v>415</v>
      </c>
      <c r="E1858" s="51">
        <f>IF(INDEX(DarlBelegt,4)=0,0,EOMONTH(INDEX(DarlAuszahlung,4),414)+1)</f>
      </c>
      <c r="F1858" s="43">
        <f>IF($E1858=0,0,YEAR($E1858))</f>
      </c>
      <c r="G1858" s="43">
        <f>IF(INDEX(DarlBindung,4)="",1,IF($E1858&lt;=INDEX(DarlBindung,4),1,0))</f>
      </c>
      <c r="H1858" s="43">
        <f>IF($G1858=1,INDEX(DarlSollzins,4),INDEX(DarlAnschluss,4))</f>
      </c>
      <c r="I1858" s="43">
        <f>IF(INDEX(DarlBelegt,4)=0,0,IF(INDEX(DarlOhneTilgung,4)=1,IF(INDEX(DarlBindung,4)="",1,$G1858),IF($J1858&gt;0.005,1,0)))</f>
      </c>
      <c r="J1858" s="43">
        <f>IF($I1857=0,0,$R1857)</f>
      </c>
      <c r="K1858" s="43">
        <f>IF($I1858=0,0,IF(INDEX(DarlOhneTilgung,4)=1,0,IF(AND(INDEX(DarlTilgStart,4)&gt;0,$E1858=INDEX(DarlTilgStart,4)),$J1858*($H1858+INDEX(DarlTilgung,4))/100/12,IF(AND($G1858=0,$G1857=1),MAX($K1857,$J1858*($H1858+1)/100/12),$K1857))))</f>
      </c>
      <c r="L1858" s="43">
        <f>IF($I1858=0,0,$J1858*$H1858/100/12)</f>
      </c>
      <c r="M1858" s="43">
        <f>IF($I1858=0,0,IF(OR(INDEX(DarlOhneTilgung,4)=1,AND(INDEX(DarlTilgStart,4)&gt;0,$E1858&lt;INDEX(DarlTilgStart,4))),0,MIN(MAX(0,$K1858-$L1858),$J1858)))</f>
      </c>
      <c r="N1858" s="43">
        <f>IF($I1858=0,0,MIN(SUMIFS(SondBetrag,SondDarl,4,SondDatum,"&gt;="&amp;$E1858,SondDatum,"&lt;="&amp;EOMONTH($E1858,0)),$J1858-$M1858))</f>
      </c>
      <c r="O1858" s="43">
        <f>IF($I1858=0,0,INDEX(DarlErsatzRate,4))</f>
      </c>
      <c r="P1858" s="43">
        <f>IF($I1858=0,0,$Q1857*INDEX(DarlErsatzZins,4))</f>
      </c>
      <c r="Q1858" s="43">
        <f>IF($I1858=0,0,$Q1857+$P1858+$O1858)</f>
      </c>
      <c r="R1858" s="43">
        <f>IF($I1858=0,0,$J1858-$M1858-$N1858)</f>
      </c>
    </row>
    <row r="1859">
      <c r="A1859"/>
      <c r="B1859">
        <v>4</v>
      </c>
      <c r="C1859" s="43">
        <f>INDEX(DarlObj,4)</f>
      </c>
      <c r="D1859">
        <v>416</v>
      </c>
      <c r="E1859" s="51">
        <f>IF(INDEX(DarlBelegt,4)=0,0,EOMONTH(INDEX(DarlAuszahlung,4),415)+1)</f>
      </c>
      <c r="F1859" s="43">
        <f>IF($E1859=0,0,YEAR($E1859))</f>
      </c>
      <c r="G1859" s="43">
        <f>IF(INDEX(DarlBindung,4)="",1,IF($E1859&lt;=INDEX(DarlBindung,4),1,0))</f>
      </c>
      <c r="H1859" s="43">
        <f>IF($G1859=1,INDEX(DarlSollzins,4),INDEX(DarlAnschluss,4))</f>
      </c>
      <c r="I1859" s="43">
        <f>IF(INDEX(DarlBelegt,4)=0,0,IF(INDEX(DarlOhneTilgung,4)=1,IF(INDEX(DarlBindung,4)="",1,$G1859),IF($J1859&gt;0.005,1,0)))</f>
      </c>
      <c r="J1859" s="43">
        <f>IF($I1858=0,0,$R1858)</f>
      </c>
      <c r="K1859" s="43">
        <f>IF($I1859=0,0,IF(INDEX(DarlOhneTilgung,4)=1,0,IF(AND(INDEX(DarlTilgStart,4)&gt;0,$E1859=INDEX(DarlTilgStart,4)),$J1859*($H1859+INDEX(DarlTilgung,4))/100/12,IF(AND($G1859=0,$G1858=1),MAX($K1858,$J1859*($H1859+1)/100/12),$K1858))))</f>
      </c>
      <c r="L1859" s="43">
        <f>IF($I1859=0,0,$J1859*$H1859/100/12)</f>
      </c>
      <c r="M1859" s="43">
        <f>IF($I1859=0,0,IF(OR(INDEX(DarlOhneTilgung,4)=1,AND(INDEX(DarlTilgStart,4)&gt;0,$E1859&lt;INDEX(DarlTilgStart,4))),0,MIN(MAX(0,$K1859-$L1859),$J1859)))</f>
      </c>
      <c r="N1859" s="43">
        <f>IF($I1859=0,0,MIN(SUMIFS(SondBetrag,SondDarl,4,SondDatum,"&gt;="&amp;$E1859,SondDatum,"&lt;="&amp;EOMONTH($E1859,0)),$J1859-$M1859))</f>
      </c>
      <c r="O1859" s="43">
        <f>IF($I1859=0,0,INDEX(DarlErsatzRate,4))</f>
      </c>
      <c r="P1859" s="43">
        <f>IF($I1859=0,0,$Q1858*INDEX(DarlErsatzZins,4))</f>
      </c>
      <c r="Q1859" s="43">
        <f>IF($I1859=0,0,$Q1858+$P1859+$O1859)</f>
      </c>
      <c r="R1859" s="43">
        <f>IF($I1859=0,0,$J1859-$M1859-$N1859)</f>
      </c>
    </row>
    <row r="1860">
      <c r="A1860"/>
      <c r="B1860">
        <v>4</v>
      </c>
      <c r="C1860" s="43">
        <f>INDEX(DarlObj,4)</f>
      </c>
      <c r="D1860">
        <v>417</v>
      </c>
      <c r="E1860" s="51">
        <f>IF(INDEX(DarlBelegt,4)=0,0,EOMONTH(INDEX(DarlAuszahlung,4),416)+1)</f>
      </c>
      <c r="F1860" s="43">
        <f>IF($E1860=0,0,YEAR($E1860))</f>
      </c>
      <c r="G1860" s="43">
        <f>IF(INDEX(DarlBindung,4)="",1,IF($E1860&lt;=INDEX(DarlBindung,4),1,0))</f>
      </c>
      <c r="H1860" s="43">
        <f>IF($G1860=1,INDEX(DarlSollzins,4),INDEX(DarlAnschluss,4))</f>
      </c>
      <c r="I1860" s="43">
        <f>IF(INDEX(DarlBelegt,4)=0,0,IF(INDEX(DarlOhneTilgung,4)=1,IF(INDEX(DarlBindung,4)="",1,$G1860),IF($J1860&gt;0.005,1,0)))</f>
      </c>
      <c r="J1860" s="43">
        <f>IF($I1859=0,0,$R1859)</f>
      </c>
      <c r="K1860" s="43">
        <f>IF($I1860=0,0,IF(INDEX(DarlOhneTilgung,4)=1,0,IF(AND(INDEX(DarlTilgStart,4)&gt;0,$E1860=INDEX(DarlTilgStart,4)),$J1860*($H1860+INDEX(DarlTilgung,4))/100/12,IF(AND($G1860=0,$G1859=1),MAX($K1859,$J1860*($H1860+1)/100/12),$K1859))))</f>
      </c>
      <c r="L1860" s="43">
        <f>IF($I1860=0,0,$J1860*$H1860/100/12)</f>
      </c>
      <c r="M1860" s="43">
        <f>IF($I1860=0,0,IF(OR(INDEX(DarlOhneTilgung,4)=1,AND(INDEX(DarlTilgStart,4)&gt;0,$E1860&lt;INDEX(DarlTilgStart,4))),0,MIN(MAX(0,$K1860-$L1860),$J1860)))</f>
      </c>
      <c r="N1860" s="43">
        <f>IF($I1860=0,0,MIN(SUMIFS(SondBetrag,SondDarl,4,SondDatum,"&gt;="&amp;$E1860,SondDatum,"&lt;="&amp;EOMONTH($E1860,0)),$J1860-$M1860))</f>
      </c>
      <c r="O1860" s="43">
        <f>IF($I1860=0,0,INDEX(DarlErsatzRate,4))</f>
      </c>
      <c r="P1860" s="43">
        <f>IF($I1860=0,0,$Q1859*INDEX(DarlErsatzZins,4))</f>
      </c>
      <c r="Q1860" s="43">
        <f>IF($I1860=0,0,$Q1859+$P1860+$O1860)</f>
      </c>
      <c r="R1860" s="43">
        <f>IF($I1860=0,0,$J1860-$M1860-$N1860)</f>
      </c>
    </row>
    <row r="1861">
      <c r="A1861"/>
      <c r="B1861">
        <v>4</v>
      </c>
      <c r="C1861" s="43">
        <f>INDEX(DarlObj,4)</f>
      </c>
      <c r="D1861">
        <v>418</v>
      </c>
      <c r="E1861" s="51">
        <f>IF(INDEX(DarlBelegt,4)=0,0,EOMONTH(INDEX(DarlAuszahlung,4),417)+1)</f>
      </c>
      <c r="F1861" s="43">
        <f>IF($E1861=0,0,YEAR($E1861))</f>
      </c>
      <c r="G1861" s="43">
        <f>IF(INDEX(DarlBindung,4)="",1,IF($E1861&lt;=INDEX(DarlBindung,4),1,0))</f>
      </c>
      <c r="H1861" s="43">
        <f>IF($G1861=1,INDEX(DarlSollzins,4),INDEX(DarlAnschluss,4))</f>
      </c>
      <c r="I1861" s="43">
        <f>IF(INDEX(DarlBelegt,4)=0,0,IF(INDEX(DarlOhneTilgung,4)=1,IF(INDEX(DarlBindung,4)="",1,$G1861),IF($J1861&gt;0.005,1,0)))</f>
      </c>
      <c r="J1861" s="43">
        <f>IF($I1860=0,0,$R1860)</f>
      </c>
      <c r="K1861" s="43">
        <f>IF($I1861=0,0,IF(INDEX(DarlOhneTilgung,4)=1,0,IF(AND(INDEX(DarlTilgStart,4)&gt;0,$E1861=INDEX(DarlTilgStart,4)),$J1861*($H1861+INDEX(DarlTilgung,4))/100/12,IF(AND($G1861=0,$G1860=1),MAX($K1860,$J1861*($H1861+1)/100/12),$K1860))))</f>
      </c>
      <c r="L1861" s="43">
        <f>IF($I1861=0,0,$J1861*$H1861/100/12)</f>
      </c>
      <c r="M1861" s="43">
        <f>IF($I1861=0,0,IF(OR(INDEX(DarlOhneTilgung,4)=1,AND(INDEX(DarlTilgStart,4)&gt;0,$E1861&lt;INDEX(DarlTilgStart,4))),0,MIN(MAX(0,$K1861-$L1861),$J1861)))</f>
      </c>
      <c r="N1861" s="43">
        <f>IF($I1861=0,0,MIN(SUMIFS(SondBetrag,SondDarl,4,SondDatum,"&gt;="&amp;$E1861,SondDatum,"&lt;="&amp;EOMONTH($E1861,0)),$J1861-$M1861))</f>
      </c>
      <c r="O1861" s="43">
        <f>IF($I1861=0,0,INDEX(DarlErsatzRate,4))</f>
      </c>
      <c r="P1861" s="43">
        <f>IF($I1861=0,0,$Q1860*INDEX(DarlErsatzZins,4))</f>
      </c>
      <c r="Q1861" s="43">
        <f>IF($I1861=0,0,$Q1860+$P1861+$O1861)</f>
      </c>
      <c r="R1861" s="43">
        <f>IF($I1861=0,0,$J1861-$M1861-$N1861)</f>
      </c>
    </row>
    <row r="1862">
      <c r="A1862"/>
      <c r="B1862">
        <v>4</v>
      </c>
      <c r="C1862" s="43">
        <f>INDEX(DarlObj,4)</f>
      </c>
      <c r="D1862">
        <v>419</v>
      </c>
      <c r="E1862" s="51">
        <f>IF(INDEX(DarlBelegt,4)=0,0,EOMONTH(INDEX(DarlAuszahlung,4),418)+1)</f>
      </c>
      <c r="F1862" s="43">
        <f>IF($E1862=0,0,YEAR($E1862))</f>
      </c>
      <c r="G1862" s="43">
        <f>IF(INDEX(DarlBindung,4)="",1,IF($E1862&lt;=INDEX(DarlBindung,4),1,0))</f>
      </c>
      <c r="H1862" s="43">
        <f>IF($G1862=1,INDEX(DarlSollzins,4),INDEX(DarlAnschluss,4))</f>
      </c>
      <c r="I1862" s="43">
        <f>IF(INDEX(DarlBelegt,4)=0,0,IF(INDEX(DarlOhneTilgung,4)=1,IF(INDEX(DarlBindung,4)="",1,$G1862),IF($J1862&gt;0.005,1,0)))</f>
      </c>
      <c r="J1862" s="43">
        <f>IF($I1861=0,0,$R1861)</f>
      </c>
      <c r="K1862" s="43">
        <f>IF($I1862=0,0,IF(INDEX(DarlOhneTilgung,4)=1,0,IF(AND(INDEX(DarlTilgStart,4)&gt;0,$E1862=INDEX(DarlTilgStart,4)),$J1862*($H1862+INDEX(DarlTilgung,4))/100/12,IF(AND($G1862=0,$G1861=1),MAX($K1861,$J1862*($H1862+1)/100/12),$K1861))))</f>
      </c>
      <c r="L1862" s="43">
        <f>IF($I1862=0,0,$J1862*$H1862/100/12)</f>
      </c>
      <c r="M1862" s="43">
        <f>IF($I1862=0,0,IF(OR(INDEX(DarlOhneTilgung,4)=1,AND(INDEX(DarlTilgStart,4)&gt;0,$E1862&lt;INDEX(DarlTilgStart,4))),0,MIN(MAX(0,$K1862-$L1862),$J1862)))</f>
      </c>
      <c r="N1862" s="43">
        <f>IF($I1862=0,0,MIN(SUMIFS(SondBetrag,SondDarl,4,SondDatum,"&gt;="&amp;$E1862,SondDatum,"&lt;="&amp;EOMONTH($E1862,0)),$J1862-$M1862))</f>
      </c>
      <c r="O1862" s="43">
        <f>IF($I1862=0,0,INDEX(DarlErsatzRate,4))</f>
      </c>
      <c r="P1862" s="43">
        <f>IF($I1862=0,0,$Q1861*INDEX(DarlErsatzZins,4))</f>
      </c>
      <c r="Q1862" s="43">
        <f>IF($I1862=0,0,$Q1861+$P1862+$O1862)</f>
      </c>
      <c r="R1862" s="43">
        <f>IF($I1862=0,0,$J1862-$M1862-$N1862)</f>
      </c>
    </row>
    <row r="1863">
      <c r="A1863"/>
      <c r="B1863">
        <v>4</v>
      </c>
      <c r="C1863" s="43">
        <f>INDEX(DarlObj,4)</f>
      </c>
      <c r="D1863">
        <v>420</v>
      </c>
      <c r="E1863" s="51">
        <f>IF(INDEX(DarlBelegt,4)=0,0,EOMONTH(INDEX(DarlAuszahlung,4),419)+1)</f>
      </c>
      <c r="F1863" s="43">
        <f>IF($E1863=0,0,YEAR($E1863))</f>
      </c>
      <c r="G1863" s="43">
        <f>IF(INDEX(DarlBindung,4)="",1,IF($E1863&lt;=INDEX(DarlBindung,4),1,0))</f>
      </c>
      <c r="H1863" s="43">
        <f>IF($G1863=1,INDEX(DarlSollzins,4),INDEX(DarlAnschluss,4))</f>
      </c>
      <c r="I1863" s="43">
        <f>IF(INDEX(DarlBelegt,4)=0,0,IF(INDEX(DarlOhneTilgung,4)=1,IF(INDEX(DarlBindung,4)="",1,$G1863),IF($J1863&gt;0.005,1,0)))</f>
      </c>
      <c r="J1863" s="43">
        <f>IF($I1862=0,0,$R1862)</f>
      </c>
      <c r="K1863" s="43">
        <f>IF($I1863=0,0,IF(INDEX(DarlOhneTilgung,4)=1,0,IF(AND(INDEX(DarlTilgStart,4)&gt;0,$E1863=INDEX(DarlTilgStart,4)),$J1863*($H1863+INDEX(DarlTilgung,4))/100/12,IF(AND($G1863=0,$G1862=1),MAX($K1862,$J1863*($H1863+1)/100/12),$K1862))))</f>
      </c>
      <c r="L1863" s="43">
        <f>IF($I1863=0,0,$J1863*$H1863/100/12)</f>
      </c>
      <c r="M1863" s="43">
        <f>IF($I1863=0,0,IF(OR(INDEX(DarlOhneTilgung,4)=1,AND(INDEX(DarlTilgStart,4)&gt;0,$E1863&lt;INDEX(DarlTilgStart,4))),0,MIN(MAX(0,$K1863-$L1863),$J1863)))</f>
      </c>
      <c r="N1863" s="43">
        <f>IF($I1863=0,0,MIN(SUMIFS(SondBetrag,SondDarl,4,SondDatum,"&gt;="&amp;$E1863,SondDatum,"&lt;="&amp;EOMONTH($E1863,0)),$J1863-$M1863))</f>
      </c>
      <c r="O1863" s="43">
        <f>IF($I1863=0,0,INDEX(DarlErsatzRate,4))</f>
      </c>
      <c r="P1863" s="43">
        <f>IF($I1863=0,0,$Q1862*INDEX(DarlErsatzZins,4))</f>
      </c>
      <c r="Q1863" s="43">
        <f>IF($I1863=0,0,$Q1862+$P1863+$O1863)</f>
      </c>
      <c r="R1863" s="43">
        <f>IF($I1863=0,0,$J1863-$M1863-$N1863)</f>
      </c>
    </row>
    <row r="1864">
      <c r="A1864"/>
      <c r="B1864">
        <v>4</v>
      </c>
      <c r="C1864" s="43">
        <f>INDEX(DarlObj,4)</f>
      </c>
      <c r="D1864">
        <v>421</v>
      </c>
      <c r="E1864" s="51">
        <f>IF(INDEX(DarlBelegt,4)=0,0,EOMONTH(INDEX(DarlAuszahlung,4),420)+1)</f>
      </c>
      <c r="F1864" s="43">
        <f>IF($E1864=0,0,YEAR($E1864))</f>
      </c>
      <c r="G1864" s="43">
        <f>IF(INDEX(DarlBindung,4)="",1,IF($E1864&lt;=INDEX(DarlBindung,4),1,0))</f>
      </c>
      <c r="H1864" s="43">
        <f>IF($G1864=1,INDEX(DarlSollzins,4),INDEX(DarlAnschluss,4))</f>
      </c>
      <c r="I1864" s="43">
        <f>IF(INDEX(DarlBelegt,4)=0,0,IF(INDEX(DarlOhneTilgung,4)=1,IF(INDEX(DarlBindung,4)="",1,$G1864),IF($J1864&gt;0.005,1,0)))</f>
      </c>
      <c r="J1864" s="43">
        <f>IF($I1863=0,0,$R1863)</f>
      </c>
      <c r="K1864" s="43">
        <f>IF($I1864=0,0,IF(INDEX(DarlOhneTilgung,4)=1,0,IF(AND(INDEX(DarlTilgStart,4)&gt;0,$E1864=INDEX(DarlTilgStart,4)),$J1864*($H1864+INDEX(DarlTilgung,4))/100/12,IF(AND($G1864=0,$G1863=1),MAX($K1863,$J1864*($H1864+1)/100/12),$K1863))))</f>
      </c>
      <c r="L1864" s="43">
        <f>IF($I1864=0,0,$J1864*$H1864/100/12)</f>
      </c>
      <c r="M1864" s="43">
        <f>IF($I1864=0,0,IF(OR(INDEX(DarlOhneTilgung,4)=1,AND(INDEX(DarlTilgStart,4)&gt;0,$E1864&lt;INDEX(DarlTilgStart,4))),0,MIN(MAX(0,$K1864-$L1864),$J1864)))</f>
      </c>
      <c r="N1864" s="43">
        <f>IF($I1864=0,0,MIN(SUMIFS(SondBetrag,SondDarl,4,SondDatum,"&gt;="&amp;$E1864,SondDatum,"&lt;="&amp;EOMONTH($E1864,0)),$J1864-$M1864))</f>
      </c>
      <c r="O1864" s="43">
        <f>IF($I1864=0,0,INDEX(DarlErsatzRate,4))</f>
      </c>
      <c r="P1864" s="43">
        <f>IF($I1864=0,0,$Q1863*INDEX(DarlErsatzZins,4))</f>
      </c>
      <c r="Q1864" s="43">
        <f>IF($I1864=0,0,$Q1863+$P1864+$O1864)</f>
      </c>
      <c r="R1864" s="43">
        <f>IF($I1864=0,0,$J1864-$M1864-$N1864)</f>
      </c>
    </row>
    <row r="1865">
      <c r="A1865"/>
      <c r="B1865">
        <v>4</v>
      </c>
      <c r="C1865" s="43">
        <f>INDEX(DarlObj,4)</f>
      </c>
      <c r="D1865">
        <v>422</v>
      </c>
      <c r="E1865" s="51">
        <f>IF(INDEX(DarlBelegt,4)=0,0,EOMONTH(INDEX(DarlAuszahlung,4),421)+1)</f>
      </c>
      <c r="F1865" s="43">
        <f>IF($E1865=0,0,YEAR($E1865))</f>
      </c>
      <c r="G1865" s="43">
        <f>IF(INDEX(DarlBindung,4)="",1,IF($E1865&lt;=INDEX(DarlBindung,4),1,0))</f>
      </c>
      <c r="H1865" s="43">
        <f>IF($G1865=1,INDEX(DarlSollzins,4),INDEX(DarlAnschluss,4))</f>
      </c>
      <c r="I1865" s="43">
        <f>IF(INDEX(DarlBelegt,4)=0,0,IF(INDEX(DarlOhneTilgung,4)=1,IF(INDEX(DarlBindung,4)="",1,$G1865),IF($J1865&gt;0.005,1,0)))</f>
      </c>
      <c r="J1865" s="43">
        <f>IF($I1864=0,0,$R1864)</f>
      </c>
      <c r="K1865" s="43">
        <f>IF($I1865=0,0,IF(INDEX(DarlOhneTilgung,4)=1,0,IF(AND(INDEX(DarlTilgStart,4)&gt;0,$E1865=INDEX(DarlTilgStart,4)),$J1865*($H1865+INDEX(DarlTilgung,4))/100/12,IF(AND($G1865=0,$G1864=1),MAX($K1864,$J1865*($H1865+1)/100/12),$K1864))))</f>
      </c>
      <c r="L1865" s="43">
        <f>IF($I1865=0,0,$J1865*$H1865/100/12)</f>
      </c>
      <c r="M1865" s="43">
        <f>IF($I1865=0,0,IF(OR(INDEX(DarlOhneTilgung,4)=1,AND(INDEX(DarlTilgStart,4)&gt;0,$E1865&lt;INDEX(DarlTilgStart,4))),0,MIN(MAX(0,$K1865-$L1865),$J1865)))</f>
      </c>
      <c r="N1865" s="43">
        <f>IF($I1865=0,0,MIN(SUMIFS(SondBetrag,SondDarl,4,SondDatum,"&gt;="&amp;$E1865,SondDatum,"&lt;="&amp;EOMONTH($E1865,0)),$J1865-$M1865))</f>
      </c>
      <c r="O1865" s="43">
        <f>IF($I1865=0,0,INDEX(DarlErsatzRate,4))</f>
      </c>
      <c r="P1865" s="43">
        <f>IF($I1865=0,0,$Q1864*INDEX(DarlErsatzZins,4))</f>
      </c>
      <c r="Q1865" s="43">
        <f>IF($I1865=0,0,$Q1864+$P1865+$O1865)</f>
      </c>
      <c r="R1865" s="43">
        <f>IF($I1865=0,0,$J1865-$M1865-$N1865)</f>
      </c>
    </row>
    <row r="1866">
      <c r="A1866"/>
      <c r="B1866">
        <v>4</v>
      </c>
      <c r="C1866" s="43">
        <f>INDEX(DarlObj,4)</f>
      </c>
      <c r="D1866">
        <v>423</v>
      </c>
      <c r="E1866" s="51">
        <f>IF(INDEX(DarlBelegt,4)=0,0,EOMONTH(INDEX(DarlAuszahlung,4),422)+1)</f>
      </c>
      <c r="F1866" s="43">
        <f>IF($E1866=0,0,YEAR($E1866))</f>
      </c>
      <c r="G1866" s="43">
        <f>IF(INDEX(DarlBindung,4)="",1,IF($E1866&lt;=INDEX(DarlBindung,4),1,0))</f>
      </c>
      <c r="H1866" s="43">
        <f>IF($G1866=1,INDEX(DarlSollzins,4),INDEX(DarlAnschluss,4))</f>
      </c>
      <c r="I1866" s="43">
        <f>IF(INDEX(DarlBelegt,4)=0,0,IF(INDEX(DarlOhneTilgung,4)=1,IF(INDEX(DarlBindung,4)="",1,$G1866),IF($J1866&gt;0.005,1,0)))</f>
      </c>
      <c r="J1866" s="43">
        <f>IF($I1865=0,0,$R1865)</f>
      </c>
      <c r="K1866" s="43">
        <f>IF($I1866=0,0,IF(INDEX(DarlOhneTilgung,4)=1,0,IF(AND(INDEX(DarlTilgStart,4)&gt;0,$E1866=INDEX(DarlTilgStart,4)),$J1866*($H1866+INDEX(DarlTilgung,4))/100/12,IF(AND($G1866=0,$G1865=1),MAX($K1865,$J1866*($H1866+1)/100/12),$K1865))))</f>
      </c>
      <c r="L1866" s="43">
        <f>IF($I1866=0,0,$J1866*$H1866/100/12)</f>
      </c>
      <c r="M1866" s="43">
        <f>IF($I1866=0,0,IF(OR(INDEX(DarlOhneTilgung,4)=1,AND(INDEX(DarlTilgStart,4)&gt;0,$E1866&lt;INDEX(DarlTilgStart,4))),0,MIN(MAX(0,$K1866-$L1866),$J1866)))</f>
      </c>
      <c r="N1866" s="43">
        <f>IF($I1866=0,0,MIN(SUMIFS(SondBetrag,SondDarl,4,SondDatum,"&gt;="&amp;$E1866,SondDatum,"&lt;="&amp;EOMONTH($E1866,0)),$J1866-$M1866))</f>
      </c>
      <c r="O1866" s="43">
        <f>IF($I1866=0,0,INDEX(DarlErsatzRate,4))</f>
      </c>
      <c r="P1866" s="43">
        <f>IF($I1866=0,0,$Q1865*INDEX(DarlErsatzZins,4))</f>
      </c>
      <c r="Q1866" s="43">
        <f>IF($I1866=0,0,$Q1865+$P1866+$O1866)</f>
      </c>
      <c r="R1866" s="43">
        <f>IF($I1866=0,0,$J1866-$M1866-$N1866)</f>
      </c>
    </row>
    <row r="1867">
      <c r="A1867"/>
      <c r="B1867">
        <v>4</v>
      </c>
      <c r="C1867" s="43">
        <f>INDEX(DarlObj,4)</f>
      </c>
      <c r="D1867">
        <v>424</v>
      </c>
      <c r="E1867" s="51">
        <f>IF(INDEX(DarlBelegt,4)=0,0,EOMONTH(INDEX(DarlAuszahlung,4),423)+1)</f>
      </c>
      <c r="F1867" s="43">
        <f>IF($E1867=0,0,YEAR($E1867))</f>
      </c>
      <c r="G1867" s="43">
        <f>IF(INDEX(DarlBindung,4)="",1,IF($E1867&lt;=INDEX(DarlBindung,4),1,0))</f>
      </c>
      <c r="H1867" s="43">
        <f>IF($G1867=1,INDEX(DarlSollzins,4),INDEX(DarlAnschluss,4))</f>
      </c>
      <c r="I1867" s="43">
        <f>IF(INDEX(DarlBelegt,4)=0,0,IF(INDEX(DarlOhneTilgung,4)=1,IF(INDEX(DarlBindung,4)="",1,$G1867),IF($J1867&gt;0.005,1,0)))</f>
      </c>
      <c r="J1867" s="43">
        <f>IF($I1866=0,0,$R1866)</f>
      </c>
      <c r="K1867" s="43">
        <f>IF($I1867=0,0,IF(INDEX(DarlOhneTilgung,4)=1,0,IF(AND(INDEX(DarlTilgStart,4)&gt;0,$E1867=INDEX(DarlTilgStart,4)),$J1867*($H1867+INDEX(DarlTilgung,4))/100/12,IF(AND($G1867=0,$G1866=1),MAX($K1866,$J1867*($H1867+1)/100/12),$K1866))))</f>
      </c>
      <c r="L1867" s="43">
        <f>IF($I1867=0,0,$J1867*$H1867/100/12)</f>
      </c>
      <c r="M1867" s="43">
        <f>IF($I1867=0,0,IF(OR(INDEX(DarlOhneTilgung,4)=1,AND(INDEX(DarlTilgStart,4)&gt;0,$E1867&lt;INDEX(DarlTilgStart,4))),0,MIN(MAX(0,$K1867-$L1867),$J1867)))</f>
      </c>
      <c r="N1867" s="43">
        <f>IF($I1867=0,0,MIN(SUMIFS(SondBetrag,SondDarl,4,SondDatum,"&gt;="&amp;$E1867,SondDatum,"&lt;="&amp;EOMONTH($E1867,0)),$J1867-$M1867))</f>
      </c>
      <c r="O1867" s="43">
        <f>IF($I1867=0,0,INDEX(DarlErsatzRate,4))</f>
      </c>
      <c r="P1867" s="43">
        <f>IF($I1867=0,0,$Q1866*INDEX(DarlErsatzZins,4))</f>
      </c>
      <c r="Q1867" s="43">
        <f>IF($I1867=0,0,$Q1866+$P1867+$O1867)</f>
      </c>
      <c r="R1867" s="43">
        <f>IF($I1867=0,0,$J1867-$M1867-$N1867)</f>
      </c>
    </row>
    <row r="1868">
      <c r="A1868"/>
      <c r="B1868">
        <v>4</v>
      </c>
      <c r="C1868" s="43">
        <f>INDEX(DarlObj,4)</f>
      </c>
      <c r="D1868">
        <v>425</v>
      </c>
      <c r="E1868" s="51">
        <f>IF(INDEX(DarlBelegt,4)=0,0,EOMONTH(INDEX(DarlAuszahlung,4),424)+1)</f>
      </c>
      <c r="F1868" s="43">
        <f>IF($E1868=0,0,YEAR($E1868))</f>
      </c>
      <c r="G1868" s="43">
        <f>IF(INDEX(DarlBindung,4)="",1,IF($E1868&lt;=INDEX(DarlBindung,4),1,0))</f>
      </c>
      <c r="H1868" s="43">
        <f>IF($G1868=1,INDEX(DarlSollzins,4),INDEX(DarlAnschluss,4))</f>
      </c>
      <c r="I1868" s="43">
        <f>IF(INDEX(DarlBelegt,4)=0,0,IF(INDEX(DarlOhneTilgung,4)=1,IF(INDEX(DarlBindung,4)="",1,$G1868),IF($J1868&gt;0.005,1,0)))</f>
      </c>
      <c r="J1868" s="43">
        <f>IF($I1867=0,0,$R1867)</f>
      </c>
      <c r="K1868" s="43">
        <f>IF($I1868=0,0,IF(INDEX(DarlOhneTilgung,4)=1,0,IF(AND(INDEX(DarlTilgStart,4)&gt;0,$E1868=INDEX(DarlTilgStart,4)),$J1868*($H1868+INDEX(DarlTilgung,4))/100/12,IF(AND($G1868=0,$G1867=1),MAX($K1867,$J1868*($H1868+1)/100/12),$K1867))))</f>
      </c>
      <c r="L1868" s="43">
        <f>IF($I1868=0,0,$J1868*$H1868/100/12)</f>
      </c>
      <c r="M1868" s="43">
        <f>IF($I1868=0,0,IF(OR(INDEX(DarlOhneTilgung,4)=1,AND(INDEX(DarlTilgStart,4)&gt;0,$E1868&lt;INDEX(DarlTilgStart,4))),0,MIN(MAX(0,$K1868-$L1868),$J1868)))</f>
      </c>
      <c r="N1868" s="43">
        <f>IF($I1868=0,0,MIN(SUMIFS(SondBetrag,SondDarl,4,SondDatum,"&gt;="&amp;$E1868,SondDatum,"&lt;="&amp;EOMONTH($E1868,0)),$J1868-$M1868))</f>
      </c>
      <c r="O1868" s="43">
        <f>IF($I1868=0,0,INDEX(DarlErsatzRate,4))</f>
      </c>
      <c r="P1868" s="43">
        <f>IF($I1868=0,0,$Q1867*INDEX(DarlErsatzZins,4))</f>
      </c>
      <c r="Q1868" s="43">
        <f>IF($I1868=0,0,$Q1867+$P1868+$O1868)</f>
      </c>
      <c r="R1868" s="43">
        <f>IF($I1868=0,0,$J1868-$M1868-$N1868)</f>
      </c>
    </row>
    <row r="1869">
      <c r="A1869"/>
      <c r="B1869">
        <v>4</v>
      </c>
      <c r="C1869" s="43">
        <f>INDEX(DarlObj,4)</f>
      </c>
      <c r="D1869">
        <v>426</v>
      </c>
      <c r="E1869" s="51">
        <f>IF(INDEX(DarlBelegt,4)=0,0,EOMONTH(INDEX(DarlAuszahlung,4),425)+1)</f>
      </c>
      <c r="F1869" s="43">
        <f>IF($E1869=0,0,YEAR($E1869))</f>
      </c>
      <c r="G1869" s="43">
        <f>IF(INDEX(DarlBindung,4)="",1,IF($E1869&lt;=INDEX(DarlBindung,4),1,0))</f>
      </c>
      <c r="H1869" s="43">
        <f>IF($G1869=1,INDEX(DarlSollzins,4),INDEX(DarlAnschluss,4))</f>
      </c>
      <c r="I1869" s="43">
        <f>IF(INDEX(DarlBelegt,4)=0,0,IF(INDEX(DarlOhneTilgung,4)=1,IF(INDEX(DarlBindung,4)="",1,$G1869),IF($J1869&gt;0.005,1,0)))</f>
      </c>
      <c r="J1869" s="43">
        <f>IF($I1868=0,0,$R1868)</f>
      </c>
      <c r="K1869" s="43">
        <f>IF($I1869=0,0,IF(INDEX(DarlOhneTilgung,4)=1,0,IF(AND(INDEX(DarlTilgStart,4)&gt;0,$E1869=INDEX(DarlTilgStart,4)),$J1869*($H1869+INDEX(DarlTilgung,4))/100/12,IF(AND($G1869=0,$G1868=1),MAX($K1868,$J1869*($H1869+1)/100/12),$K1868))))</f>
      </c>
      <c r="L1869" s="43">
        <f>IF($I1869=0,0,$J1869*$H1869/100/12)</f>
      </c>
      <c r="M1869" s="43">
        <f>IF($I1869=0,0,IF(OR(INDEX(DarlOhneTilgung,4)=1,AND(INDEX(DarlTilgStart,4)&gt;0,$E1869&lt;INDEX(DarlTilgStart,4))),0,MIN(MAX(0,$K1869-$L1869),$J1869)))</f>
      </c>
      <c r="N1869" s="43">
        <f>IF($I1869=0,0,MIN(SUMIFS(SondBetrag,SondDarl,4,SondDatum,"&gt;="&amp;$E1869,SondDatum,"&lt;="&amp;EOMONTH($E1869,0)),$J1869-$M1869))</f>
      </c>
      <c r="O1869" s="43">
        <f>IF($I1869=0,0,INDEX(DarlErsatzRate,4))</f>
      </c>
      <c r="P1869" s="43">
        <f>IF($I1869=0,0,$Q1868*INDEX(DarlErsatzZins,4))</f>
      </c>
      <c r="Q1869" s="43">
        <f>IF($I1869=0,0,$Q1868+$P1869+$O1869)</f>
      </c>
      <c r="R1869" s="43">
        <f>IF($I1869=0,0,$J1869-$M1869-$N1869)</f>
      </c>
    </row>
    <row r="1870">
      <c r="A1870"/>
      <c r="B1870">
        <v>4</v>
      </c>
      <c r="C1870" s="43">
        <f>INDEX(DarlObj,4)</f>
      </c>
      <c r="D1870">
        <v>427</v>
      </c>
      <c r="E1870" s="51">
        <f>IF(INDEX(DarlBelegt,4)=0,0,EOMONTH(INDEX(DarlAuszahlung,4),426)+1)</f>
      </c>
      <c r="F1870" s="43">
        <f>IF($E1870=0,0,YEAR($E1870))</f>
      </c>
      <c r="G1870" s="43">
        <f>IF(INDEX(DarlBindung,4)="",1,IF($E1870&lt;=INDEX(DarlBindung,4),1,0))</f>
      </c>
      <c r="H1870" s="43">
        <f>IF($G1870=1,INDEX(DarlSollzins,4),INDEX(DarlAnschluss,4))</f>
      </c>
      <c r="I1870" s="43">
        <f>IF(INDEX(DarlBelegt,4)=0,0,IF(INDEX(DarlOhneTilgung,4)=1,IF(INDEX(DarlBindung,4)="",1,$G1870),IF($J1870&gt;0.005,1,0)))</f>
      </c>
      <c r="J1870" s="43">
        <f>IF($I1869=0,0,$R1869)</f>
      </c>
      <c r="K1870" s="43">
        <f>IF($I1870=0,0,IF(INDEX(DarlOhneTilgung,4)=1,0,IF(AND(INDEX(DarlTilgStart,4)&gt;0,$E1870=INDEX(DarlTilgStart,4)),$J1870*($H1870+INDEX(DarlTilgung,4))/100/12,IF(AND($G1870=0,$G1869=1),MAX($K1869,$J1870*($H1870+1)/100/12),$K1869))))</f>
      </c>
      <c r="L1870" s="43">
        <f>IF($I1870=0,0,$J1870*$H1870/100/12)</f>
      </c>
      <c r="M1870" s="43">
        <f>IF($I1870=0,0,IF(OR(INDEX(DarlOhneTilgung,4)=1,AND(INDEX(DarlTilgStart,4)&gt;0,$E1870&lt;INDEX(DarlTilgStart,4))),0,MIN(MAX(0,$K1870-$L1870),$J1870)))</f>
      </c>
      <c r="N1870" s="43">
        <f>IF($I1870=0,0,MIN(SUMIFS(SondBetrag,SondDarl,4,SondDatum,"&gt;="&amp;$E1870,SondDatum,"&lt;="&amp;EOMONTH($E1870,0)),$J1870-$M1870))</f>
      </c>
      <c r="O1870" s="43">
        <f>IF($I1870=0,0,INDEX(DarlErsatzRate,4))</f>
      </c>
      <c r="P1870" s="43">
        <f>IF($I1870=0,0,$Q1869*INDEX(DarlErsatzZins,4))</f>
      </c>
      <c r="Q1870" s="43">
        <f>IF($I1870=0,0,$Q1869+$P1870+$O1870)</f>
      </c>
      <c r="R1870" s="43">
        <f>IF($I1870=0,0,$J1870-$M1870-$N1870)</f>
      </c>
    </row>
    <row r="1871">
      <c r="A1871"/>
      <c r="B1871">
        <v>4</v>
      </c>
      <c r="C1871" s="43">
        <f>INDEX(DarlObj,4)</f>
      </c>
      <c r="D1871">
        <v>428</v>
      </c>
      <c r="E1871" s="51">
        <f>IF(INDEX(DarlBelegt,4)=0,0,EOMONTH(INDEX(DarlAuszahlung,4),427)+1)</f>
      </c>
      <c r="F1871" s="43">
        <f>IF($E1871=0,0,YEAR($E1871))</f>
      </c>
      <c r="G1871" s="43">
        <f>IF(INDEX(DarlBindung,4)="",1,IF($E1871&lt;=INDEX(DarlBindung,4),1,0))</f>
      </c>
      <c r="H1871" s="43">
        <f>IF($G1871=1,INDEX(DarlSollzins,4),INDEX(DarlAnschluss,4))</f>
      </c>
      <c r="I1871" s="43">
        <f>IF(INDEX(DarlBelegt,4)=0,0,IF(INDEX(DarlOhneTilgung,4)=1,IF(INDEX(DarlBindung,4)="",1,$G1871),IF($J1871&gt;0.005,1,0)))</f>
      </c>
      <c r="J1871" s="43">
        <f>IF($I1870=0,0,$R1870)</f>
      </c>
      <c r="K1871" s="43">
        <f>IF($I1871=0,0,IF(INDEX(DarlOhneTilgung,4)=1,0,IF(AND(INDEX(DarlTilgStart,4)&gt;0,$E1871=INDEX(DarlTilgStart,4)),$J1871*($H1871+INDEX(DarlTilgung,4))/100/12,IF(AND($G1871=0,$G1870=1),MAX($K1870,$J1871*($H1871+1)/100/12),$K1870))))</f>
      </c>
      <c r="L1871" s="43">
        <f>IF($I1871=0,0,$J1871*$H1871/100/12)</f>
      </c>
      <c r="M1871" s="43">
        <f>IF($I1871=0,0,IF(OR(INDEX(DarlOhneTilgung,4)=1,AND(INDEX(DarlTilgStart,4)&gt;0,$E1871&lt;INDEX(DarlTilgStart,4))),0,MIN(MAX(0,$K1871-$L1871),$J1871)))</f>
      </c>
      <c r="N1871" s="43">
        <f>IF($I1871=0,0,MIN(SUMIFS(SondBetrag,SondDarl,4,SondDatum,"&gt;="&amp;$E1871,SondDatum,"&lt;="&amp;EOMONTH($E1871,0)),$J1871-$M1871))</f>
      </c>
      <c r="O1871" s="43">
        <f>IF($I1871=0,0,INDEX(DarlErsatzRate,4))</f>
      </c>
      <c r="P1871" s="43">
        <f>IF($I1871=0,0,$Q1870*INDEX(DarlErsatzZins,4))</f>
      </c>
      <c r="Q1871" s="43">
        <f>IF($I1871=0,0,$Q1870+$P1871+$O1871)</f>
      </c>
      <c r="R1871" s="43">
        <f>IF($I1871=0,0,$J1871-$M1871-$N1871)</f>
      </c>
    </row>
    <row r="1872">
      <c r="A1872"/>
      <c r="B1872">
        <v>4</v>
      </c>
      <c r="C1872" s="43">
        <f>INDEX(DarlObj,4)</f>
      </c>
      <c r="D1872">
        <v>429</v>
      </c>
      <c r="E1872" s="51">
        <f>IF(INDEX(DarlBelegt,4)=0,0,EOMONTH(INDEX(DarlAuszahlung,4),428)+1)</f>
      </c>
      <c r="F1872" s="43">
        <f>IF($E1872=0,0,YEAR($E1872))</f>
      </c>
      <c r="G1872" s="43">
        <f>IF(INDEX(DarlBindung,4)="",1,IF($E1872&lt;=INDEX(DarlBindung,4),1,0))</f>
      </c>
      <c r="H1872" s="43">
        <f>IF($G1872=1,INDEX(DarlSollzins,4),INDEX(DarlAnschluss,4))</f>
      </c>
      <c r="I1872" s="43">
        <f>IF(INDEX(DarlBelegt,4)=0,0,IF(INDEX(DarlOhneTilgung,4)=1,IF(INDEX(DarlBindung,4)="",1,$G1872),IF($J1872&gt;0.005,1,0)))</f>
      </c>
      <c r="J1872" s="43">
        <f>IF($I1871=0,0,$R1871)</f>
      </c>
      <c r="K1872" s="43">
        <f>IF($I1872=0,0,IF(INDEX(DarlOhneTilgung,4)=1,0,IF(AND(INDEX(DarlTilgStart,4)&gt;0,$E1872=INDEX(DarlTilgStart,4)),$J1872*($H1872+INDEX(DarlTilgung,4))/100/12,IF(AND($G1872=0,$G1871=1),MAX($K1871,$J1872*($H1872+1)/100/12),$K1871))))</f>
      </c>
      <c r="L1872" s="43">
        <f>IF($I1872=0,0,$J1872*$H1872/100/12)</f>
      </c>
      <c r="M1872" s="43">
        <f>IF($I1872=0,0,IF(OR(INDEX(DarlOhneTilgung,4)=1,AND(INDEX(DarlTilgStart,4)&gt;0,$E1872&lt;INDEX(DarlTilgStart,4))),0,MIN(MAX(0,$K1872-$L1872),$J1872)))</f>
      </c>
      <c r="N1872" s="43">
        <f>IF($I1872=0,0,MIN(SUMIFS(SondBetrag,SondDarl,4,SondDatum,"&gt;="&amp;$E1872,SondDatum,"&lt;="&amp;EOMONTH($E1872,0)),$J1872-$M1872))</f>
      </c>
      <c r="O1872" s="43">
        <f>IF($I1872=0,0,INDEX(DarlErsatzRate,4))</f>
      </c>
      <c r="P1872" s="43">
        <f>IF($I1872=0,0,$Q1871*INDEX(DarlErsatzZins,4))</f>
      </c>
      <c r="Q1872" s="43">
        <f>IF($I1872=0,0,$Q1871+$P1872+$O1872)</f>
      </c>
      <c r="R1872" s="43">
        <f>IF($I1872=0,0,$J1872-$M1872-$N1872)</f>
      </c>
    </row>
    <row r="1873">
      <c r="A1873"/>
      <c r="B1873">
        <v>4</v>
      </c>
      <c r="C1873" s="43">
        <f>INDEX(DarlObj,4)</f>
      </c>
      <c r="D1873">
        <v>430</v>
      </c>
      <c r="E1873" s="51">
        <f>IF(INDEX(DarlBelegt,4)=0,0,EOMONTH(INDEX(DarlAuszahlung,4),429)+1)</f>
      </c>
      <c r="F1873" s="43">
        <f>IF($E1873=0,0,YEAR($E1873))</f>
      </c>
      <c r="G1873" s="43">
        <f>IF(INDEX(DarlBindung,4)="",1,IF($E1873&lt;=INDEX(DarlBindung,4),1,0))</f>
      </c>
      <c r="H1873" s="43">
        <f>IF($G1873=1,INDEX(DarlSollzins,4),INDEX(DarlAnschluss,4))</f>
      </c>
      <c r="I1873" s="43">
        <f>IF(INDEX(DarlBelegt,4)=0,0,IF(INDEX(DarlOhneTilgung,4)=1,IF(INDEX(DarlBindung,4)="",1,$G1873),IF($J1873&gt;0.005,1,0)))</f>
      </c>
      <c r="J1873" s="43">
        <f>IF($I1872=0,0,$R1872)</f>
      </c>
      <c r="K1873" s="43">
        <f>IF($I1873=0,0,IF(INDEX(DarlOhneTilgung,4)=1,0,IF(AND(INDEX(DarlTilgStart,4)&gt;0,$E1873=INDEX(DarlTilgStart,4)),$J1873*($H1873+INDEX(DarlTilgung,4))/100/12,IF(AND($G1873=0,$G1872=1),MAX($K1872,$J1873*($H1873+1)/100/12),$K1872))))</f>
      </c>
      <c r="L1873" s="43">
        <f>IF($I1873=0,0,$J1873*$H1873/100/12)</f>
      </c>
      <c r="M1873" s="43">
        <f>IF($I1873=0,0,IF(OR(INDEX(DarlOhneTilgung,4)=1,AND(INDEX(DarlTilgStart,4)&gt;0,$E1873&lt;INDEX(DarlTilgStart,4))),0,MIN(MAX(0,$K1873-$L1873),$J1873)))</f>
      </c>
      <c r="N1873" s="43">
        <f>IF($I1873=0,0,MIN(SUMIFS(SondBetrag,SondDarl,4,SondDatum,"&gt;="&amp;$E1873,SondDatum,"&lt;="&amp;EOMONTH($E1873,0)),$J1873-$M1873))</f>
      </c>
      <c r="O1873" s="43">
        <f>IF($I1873=0,0,INDEX(DarlErsatzRate,4))</f>
      </c>
      <c r="P1873" s="43">
        <f>IF($I1873=0,0,$Q1872*INDEX(DarlErsatzZins,4))</f>
      </c>
      <c r="Q1873" s="43">
        <f>IF($I1873=0,0,$Q1872+$P1873+$O1873)</f>
      </c>
      <c r="R1873" s="43">
        <f>IF($I1873=0,0,$J1873-$M1873-$N1873)</f>
      </c>
    </row>
    <row r="1874">
      <c r="A1874"/>
      <c r="B1874">
        <v>4</v>
      </c>
      <c r="C1874" s="43">
        <f>INDEX(DarlObj,4)</f>
      </c>
      <c r="D1874">
        <v>431</v>
      </c>
      <c r="E1874" s="51">
        <f>IF(INDEX(DarlBelegt,4)=0,0,EOMONTH(INDEX(DarlAuszahlung,4),430)+1)</f>
      </c>
      <c r="F1874" s="43">
        <f>IF($E1874=0,0,YEAR($E1874))</f>
      </c>
      <c r="G1874" s="43">
        <f>IF(INDEX(DarlBindung,4)="",1,IF($E1874&lt;=INDEX(DarlBindung,4),1,0))</f>
      </c>
      <c r="H1874" s="43">
        <f>IF($G1874=1,INDEX(DarlSollzins,4),INDEX(DarlAnschluss,4))</f>
      </c>
      <c r="I1874" s="43">
        <f>IF(INDEX(DarlBelegt,4)=0,0,IF(INDEX(DarlOhneTilgung,4)=1,IF(INDEX(DarlBindung,4)="",1,$G1874),IF($J1874&gt;0.005,1,0)))</f>
      </c>
      <c r="J1874" s="43">
        <f>IF($I1873=0,0,$R1873)</f>
      </c>
      <c r="K1874" s="43">
        <f>IF($I1874=0,0,IF(INDEX(DarlOhneTilgung,4)=1,0,IF(AND(INDEX(DarlTilgStart,4)&gt;0,$E1874=INDEX(DarlTilgStart,4)),$J1874*($H1874+INDEX(DarlTilgung,4))/100/12,IF(AND($G1874=0,$G1873=1),MAX($K1873,$J1874*($H1874+1)/100/12),$K1873))))</f>
      </c>
      <c r="L1874" s="43">
        <f>IF($I1874=0,0,$J1874*$H1874/100/12)</f>
      </c>
      <c r="M1874" s="43">
        <f>IF($I1874=0,0,IF(OR(INDEX(DarlOhneTilgung,4)=1,AND(INDEX(DarlTilgStart,4)&gt;0,$E1874&lt;INDEX(DarlTilgStart,4))),0,MIN(MAX(0,$K1874-$L1874),$J1874)))</f>
      </c>
      <c r="N1874" s="43">
        <f>IF($I1874=0,0,MIN(SUMIFS(SondBetrag,SondDarl,4,SondDatum,"&gt;="&amp;$E1874,SondDatum,"&lt;="&amp;EOMONTH($E1874,0)),$J1874-$M1874))</f>
      </c>
      <c r="O1874" s="43">
        <f>IF($I1874=0,0,INDEX(DarlErsatzRate,4))</f>
      </c>
      <c r="P1874" s="43">
        <f>IF($I1874=0,0,$Q1873*INDEX(DarlErsatzZins,4))</f>
      </c>
      <c r="Q1874" s="43">
        <f>IF($I1874=0,0,$Q1873+$P1874+$O1874)</f>
      </c>
      <c r="R1874" s="43">
        <f>IF($I1874=0,0,$J1874-$M1874-$N1874)</f>
      </c>
    </row>
    <row r="1875">
      <c r="A1875"/>
      <c r="B1875">
        <v>4</v>
      </c>
      <c r="C1875" s="43">
        <f>INDEX(DarlObj,4)</f>
      </c>
      <c r="D1875">
        <v>432</v>
      </c>
      <c r="E1875" s="51">
        <f>IF(INDEX(DarlBelegt,4)=0,0,EOMONTH(INDEX(DarlAuszahlung,4),431)+1)</f>
      </c>
      <c r="F1875" s="43">
        <f>IF($E1875=0,0,YEAR($E1875))</f>
      </c>
      <c r="G1875" s="43">
        <f>IF(INDEX(DarlBindung,4)="",1,IF($E1875&lt;=INDEX(DarlBindung,4),1,0))</f>
      </c>
      <c r="H1875" s="43">
        <f>IF($G1875=1,INDEX(DarlSollzins,4),INDEX(DarlAnschluss,4))</f>
      </c>
      <c r="I1875" s="43">
        <f>IF(INDEX(DarlBelegt,4)=0,0,IF(INDEX(DarlOhneTilgung,4)=1,IF(INDEX(DarlBindung,4)="",1,$G1875),IF($J1875&gt;0.005,1,0)))</f>
      </c>
      <c r="J1875" s="43">
        <f>IF($I1874=0,0,$R1874)</f>
      </c>
      <c r="K1875" s="43">
        <f>IF($I1875=0,0,IF(INDEX(DarlOhneTilgung,4)=1,0,IF(AND(INDEX(DarlTilgStart,4)&gt;0,$E1875=INDEX(DarlTilgStart,4)),$J1875*($H1875+INDEX(DarlTilgung,4))/100/12,IF(AND($G1875=0,$G1874=1),MAX($K1874,$J1875*($H1875+1)/100/12),$K1874))))</f>
      </c>
      <c r="L1875" s="43">
        <f>IF($I1875=0,0,$J1875*$H1875/100/12)</f>
      </c>
      <c r="M1875" s="43">
        <f>IF($I1875=0,0,IF(OR(INDEX(DarlOhneTilgung,4)=1,AND(INDEX(DarlTilgStart,4)&gt;0,$E1875&lt;INDEX(DarlTilgStart,4))),0,MIN(MAX(0,$K1875-$L1875),$J1875)))</f>
      </c>
      <c r="N1875" s="43">
        <f>IF($I1875=0,0,MIN(SUMIFS(SondBetrag,SondDarl,4,SondDatum,"&gt;="&amp;$E1875,SondDatum,"&lt;="&amp;EOMONTH($E1875,0)),$J1875-$M1875))</f>
      </c>
      <c r="O1875" s="43">
        <f>IF($I1875=0,0,INDEX(DarlErsatzRate,4))</f>
      </c>
      <c r="P1875" s="43">
        <f>IF($I1875=0,0,$Q1874*INDEX(DarlErsatzZins,4))</f>
      </c>
      <c r="Q1875" s="43">
        <f>IF($I1875=0,0,$Q1874+$P1875+$O1875)</f>
      </c>
      <c r="R1875" s="43">
        <f>IF($I1875=0,0,$J1875-$M1875-$N1875)</f>
      </c>
    </row>
    <row r="1876">
      <c r="A1876"/>
      <c r="B1876">
        <v>4</v>
      </c>
      <c r="C1876" s="43">
        <f>INDEX(DarlObj,4)</f>
      </c>
      <c r="D1876">
        <v>433</v>
      </c>
      <c r="E1876" s="51">
        <f>IF(INDEX(DarlBelegt,4)=0,0,EOMONTH(INDEX(DarlAuszahlung,4),432)+1)</f>
      </c>
      <c r="F1876" s="43">
        <f>IF($E1876=0,0,YEAR($E1876))</f>
      </c>
      <c r="G1876" s="43">
        <f>IF(INDEX(DarlBindung,4)="",1,IF($E1876&lt;=INDEX(DarlBindung,4),1,0))</f>
      </c>
      <c r="H1876" s="43">
        <f>IF($G1876=1,INDEX(DarlSollzins,4),INDEX(DarlAnschluss,4))</f>
      </c>
      <c r="I1876" s="43">
        <f>IF(INDEX(DarlBelegt,4)=0,0,IF(INDEX(DarlOhneTilgung,4)=1,IF(INDEX(DarlBindung,4)="",1,$G1876),IF($J1876&gt;0.005,1,0)))</f>
      </c>
      <c r="J1876" s="43">
        <f>IF($I1875=0,0,$R1875)</f>
      </c>
      <c r="K1876" s="43">
        <f>IF($I1876=0,0,IF(INDEX(DarlOhneTilgung,4)=1,0,IF(AND(INDEX(DarlTilgStart,4)&gt;0,$E1876=INDEX(DarlTilgStart,4)),$J1876*($H1876+INDEX(DarlTilgung,4))/100/12,IF(AND($G1876=0,$G1875=1),MAX($K1875,$J1876*($H1876+1)/100/12),$K1875))))</f>
      </c>
      <c r="L1876" s="43">
        <f>IF($I1876=0,0,$J1876*$H1876/100/12)</f>
      </c>
      <c r="M1876" s="43">
        <f>IF($I1876=0,0,IF(OR(INDEX(DarlOhneTilgung,4)=1,AND(INDEX(DarlTilgStart,4)&gt;0,$E1876&lt;INDEX(DarlTilgStart,4))),0,MIN(MAX(0,$K1876-$L1876),$J1876)))</f>
      </c>
      <c r="N1876" s="43">
        <f>IF($I1876=0,0,MIN(SUMIFS(SondBetrag,SondDarl,4,SondDatum,"&gt;="&amp;$E1876,SondDatum,"&lt;="&amp;EOMONTH($E1876,0)),$J1876-$M1876))</f>
      </c>
      <c r="O1876" s="43">
        <f>IF($I1876=0,0,INDEX(DarlErsatzRate,4))</f>
      </c>
      <c r="P1876" s="43">
        <f>IF($I1876=0,0,$Q1875*INDEX(DarlErsatzZins,4))</f>
      </c>
      <c r="Q1876" s="43">
        <f>IF($I1876=0,0,$Q1875+$P1876+$O1876)</f>
      </c>
      <c r="R1876" s="43">
        <f>IF($I1876=0,0,$J1876-$M1876-$N1876)</f>
      </c>
    </row>
    <row r="1877">
      <c r="A1877"/>
      <c r="B1877">
        <v>4</v>
      </c>
      <c r="C1877" s="43">
        <f>INDEX(DarlObj,4)</f>
      </c>
      <c r="D1877">
        <v>434</v>
      </c>
      <c r="E1877" s="51">
        <f>IF(INDEX(DarlBelegt,4)=0,0,EOMONTH(INDEX(DarlAuszahlung,4),433)+1)</f>
      </c>
      <c r="F1877" s="43">
        <f>IF($E1877=0,0,YEAR($E1877))</f>
      </c>
      <c r="G1877" s="43">
        <f>IF(INDEX(DarlBindung,4)="",1,IF($E1877&lt;=INDEX(DarlBindung,4),1,0))</f>
      </c>
      <c r="H1877" s="43">
        <f>IF($G1877=1,INDEX(DarlSollzins,4),INDEX(DarlAnschluss,4))</f>
      </c>
      <c r="I1877" s="43">
        <f>IF(INDEX(DarlBelegt,4)=0,0,IF(INDEX(DarlOhneTilgung,4)=1,IF(INDEX(DarlBindung,4)="",1,$G1877),IF($J1877&gt;0.005,1,0)))</f>
      </c>
      <c r="J1877" s="43">
        <f>IF($I1876=0,0,$R1876)</f>
      </c>
      <c r="K1877" s="43">
        <f>IF($I1877=0,0,IF(INDEX(DarlOhneTilgung,4)=1,0,IF(AND(INDEX(DarlTilgStart,4)&gt;0,$E1877=INDEX(DarlTilgStart,4)),$J1877*($H1877+INDEX(DarlTilgung,4))/100/12,IF(AND($G1877=0,$G1876=1),MAX($K1876,$J1877*($H1877+1)/100/12),$K1876))))</f>
      </c>
      <c r="L1877" s="43">
        <f>IF($I1877=0,0,$J1877*$H1877/100/12)</f>
      </c>
      <c r="M1877" s="43">
        <f>IF($I1877=0,0,IF(OR(INDEX(DarlOhneTilgung,4)=1,AND(INDEX(DarlTilgStart,4)&gt;0,$E1877&lt;INDEX(DarlTilgStart,4))),0,MIN(MAX(0,$K1877-$L1877),$J1877)))</f>
      </c>
      <c r="N1877" s="43">
        <f>IF($I1877=0,0,MIN(SUMIFS(SondBetrag,SondDarl,4,SondDatum,"&gt;="&amp;$E1877,SondDatum,"&lt;="&amp;EOMONTH($E1877,0)),$J1877-$M1877))</f>
      </c>
      <c r="O1877" s="43">
        <f>IF($I1877=0,0,INDEX(DarlErsatzRate,4))</f>
      </c>
      <c r="P1877" s="43">
        <f>IF($I1877=0,0,$Q1876*INDEX(DarlErsatzZins,4))</f>
      </c>
      <c r="Q1877" s="43">
        <f>IF($I1877=0,0,$Q1876+$P1877+$O1877)</f>
      </c>
      <c r="R1877" s="43">
        <f>IF($I1877=0,0,$J1877-$M1877-$N1877)</f>
      </c>
    </row>
    <row r="1878">
      <c r="A1878"/>
      <c r="B1878">
        <v>4</v>
      </c>
      <c r="C1878" s="43">
        <f>INDEX(DarlObj,4)</f>
      </c>
      <c r="D1878">
        <v>435</v>
      </c>
      <c r="E1878" s="51">
        <f>IF(INDEX(DarlBelegt,4)=0,0,EOMONTH(INDEX(DarlAuszahlung,4),434)+1)</f>
      </c>
      <c r="F1878" s="43">
        <f>IF($E1878=0,0,YEAR($E1878))</f>
      </c>
      <c r="G1878" s="43">
        <f>IF(INDEX(DarlBindung,4)="",1,IF($E1878&lt;=INDEX(DarlBindung,4),1,0))</f>
      </c>
      <c r="H1878" s="43">
        <f>IF($G1878=1,INDEX(DarlSollzins,4),INDEX(DarlAnschluss,4))</f>
      </c>
      <c r="I1878" s="43">
        <f>IF(INDEX(DarlBelegt,4)=0,0,IF(INDEX(DarlOhneTilgung,4)=1,IF(INDEX(DarlBindung,4)="",1,$G1878),IF($J1878&gt;0.005,1,0)))</f>
      </c>
      <c r="J1878" s="43">
        <f>IF($I1877=0,0,$R1877)</f>
      </c>
      <c r="K1878" s="43">
        <f>IF($I1878=0,0,IF(INDEX(DarlOhneTilgung,4)=1,0,IF(AND(INDEX(DarlTilgStart,4)&gt;0,$E1878=INDEX(DarlTilgStart,4)),$J1878*($H1878+INDEX(DarlTilgung,4))/100/12,IF(AND($G1878=0,$G1877=1),MAX($K1877,$J1878*($H1878+1)/100/12),$K1877))))</f>
      </c>
      <c r="L1878" s="43">
        <f>IF($I1878=0,0,$J1878*$H1878/100/12)</f>
      </c>
      <c r="M1878" s="43">
        <f>IF($I1878=0,0,IF(OR(INDEX(DarlOhneTilgung,4)=1,AND(INDEX(DarlTilgStart,4)&gt;0,$E1878&lt;INDEX(DarlTilgStart,4))),0,MIN(MAX(0,$K1878-$L1878),$J1878)))</f>
      </c>
      <c r="N1878" s="43">
        <f>IF($I1878=0,0,MIN(SUMIFS(SondBetrag,SondDarl,4,SondDatum,"&gt;="&amp;$E1878,SondDatum,"&lt;="&amp;EOMONTH($E1878,0)),$J1878-$M1878))</f>
      </c>
      <c r="O1878" s="43">
        <f>IF($I1878=0,0,INDEX(DarlErsatzRate,4))</f>
      </c>
      <c r="P1878" s="43">
        <f>IF($I1878=0,0,$Q1877*INDEX(DarlErsatzZins,4))</f>
      </c>
      <c r="Q1878" s="43">
        <f>IF($I1878=0,0,$Q1877+$P1878+$O1878)</f>
      </c>
      <c r="R1878" s="43">
        <f>IF($I1878=0,0,$J1878-$M1878-$N1878)</f>
      </c>
    </row>
    <row r="1879">
      <c r="A1879"/>
      <c r="B1879">
        <v>4</v>
      </c>
      <c r="C1879" s="43">
        <f>INDEX(DarlObj,4)</f>
      </c>
      <c r="D1879">
        <v>436</v>
      </c>
      <c r="E1879" s="51">
        <f>IF(INDEX(DarlBelegt,4)=0,0,EOMONTH(INDEX(DarlAuszahlung,4),435)+1)</f>
      </c>
      <c r="F1879" s="43">
        <f>IF($E1879=0,0,YEAR($E1879))</f>
      </c>
      <c r="G1879" s="43">
        <f>IF(INDEX(DarlBindung,4)="",1,IF($E1879&lt;=INDEX(DarlBindung,4),1,0))</f>
      </c>
      <c r="H1879" s="43">
        <f>IF($G1879=1,INDEX(DarlSollzins,4),INDEX(DarlAnschluss,4))</f>
      </c>
      <c r="I1879" s="43">
        <f>IF(INDEX(DarlBelegt,4)=0,0,IF(INDEX(DarlOhneTilgung,4)=1,IF(INDEX(DarlBindung,4)="",1,$G1879),IF($J1879&gt;0.005,1,0)))</f>
      </c>
      <c r="J1879" s="43">
        <f>IF($I1878=0,0,$R1878)</f>
      </c>
      <c r="K1879" s="43">
        <f>IF($I1879=0,0,IF(INDEX(DarlOhneTilgung,4)=1,0,IF(AND(INDEX(DarlTilgStart,4)&gt;0,$E1879=INDEX(DarlTilgStart,4)),$J1879*($H1879+INDEX(DarlTilgung,4))/100/12,IF(AND($G1879=0,$G1878=1),MAX($K1878,$J1879*($H1879+1)/100/12),$K1878))))</f>
      </c>
      <c r="L1879" s="43">
        <f>IF($I1879=0,0,$J1879*$H1879/100/12)</f>
      </c>
      <c r="M1879" s="43">
        <f>IF($I1879=0,0,IF(OR(INDEX(DarlOhneTilgung,4)=1,AND(INDEX(DarlTilgStart,4)&gt;0,$E1879&lt;INDEX(DarlTilgStart,4))),0,MIN(MAX(0,$K1879-$L1879),$J1879)))</f>
      </c>
      <c r="N1879" s="43">
        <f>IF($I1879=0,0,MIN(SUMIFS(SondBetrag,SondDarl,4,SondDatum,"&gt;="&amp;$E1879,SondDatum,"&lt;="&amp;EOMONTH($E1879,0)),$J1879-$M1879))</f>
      </c>
      <c r="O1879" s="43">
        <f>IF($I1879=0,0,INDEX(DarlErsatzRate,4))</f>
      </c>
      <c r="P1879" s="43">
        <f>IF($I1879=0,0,$Q1878*INDEX(DarlErsatzZins,4))</f>
      </c>
      <c r="Q1879" s="43">
        <f>IF($I1879=0,0,$Q1878+$P1879+$O1879)</f>
      </c>
      <c r="R1879" s="43">
        <f>IF($I1879=0,0,$J1879-$M1879-$N1879)</f>
      </c>
    </row>
    <row r="1880">
      <c r="A1880"/>
      <c r="B1880">
        <v>4</v>
      </c>
      <c r="C1880" s="43">
        <f>INDEX(DarlObj,4)</f>
      </c>
      <c r="D1880">
        <v>437</v>
      </c>
      <c r="E1880" s="51">
        <f>IF(INDEX(DarlBelegt,4)=0,0,EOMONTH(INDEX(DarlAuszahlung,4),436)+1)</f>
      </c>
      <c r="F1880" s="43">
        <f>IF($E1880=0,0,YEAR($E1880))</f>
      </c>
      <c r="G1880" s="43">
        <f>IF(INDEX(DarlBindung,4)="",1,IF($E1880&lt;=INDEX(DarlBindung,4),1,0))</f>
      </c>
      <c r="H1880" s="43">
        <f>IF($G1880=1,INDEX(DarlSollzins,4),INDEX(DarlAnschluss,4))</f>
      </c>
      <c r="I1880" s="43">
        <f>IF(INDEX(DarlBelegt,4)=0,0,IF(INDEX(DarlOhneTilgung,4)=1,IF(INDEX(DarlBindung,4)="",1,$G1880),IF($J1880&gt;0.005,1,0)))</f>
      </c>
      <c r="J1880" s="43">
        <f>IF($I1879=0,0,$R1879)</f>
      </c>
      <c r="K1880" s="43">
        <f>IF($I1880=0,0,IF(INDEX(DarlOhneTilgung,4)=1,0,IF(AND(INDEX(DarlTilgStart,4)&gt;0,$E1880=INDEX(DarlTilgStart,4)),$J1880*($H1880+INDEX(DarlTilgung,4))/100/12,IF(AND($G1880=0,$G1879=1),MAX($K1879,$J1880*($H1880+1)/100/12),$K1879))))</f>
      </c>
      <c r="L1880" s="43">
        <f>IF($I1880=0,0,$J1880*$H1880/100/12)</f>
      </c>
      <c r="M1880" s="43">
        <f>IF($I1880=0,0,IF(OR(INDEX(DarlOhneTilgung,4)=1,AND(INDEX(DarlTilgStart,4)&gt;0,$E1880&lt;INDEX(DarlTilgStart,4))),0,MIN(MAX(0,$K1880-$L1880),$J1880)))</f>
      </c>
      <c r="N1880" s="43">
        <f>IF($I1880=0,0,MIN(SUMIFS(SondBetrag,SondDarl,4,SondDatum,"&gt;="&amp;$E1880,SondDatum,"&lt;="&amp;EOMONTH($E1880,0)),$J1880-$M1880))</f>
      </c>
      <c r="O1880" s="43">
        <f>IF($I1880=0,0,INDEX(DarlErsatzRate,4))</f>
      </c>
      <c r="P1880" s="43">
        <f>IF($I1880=0,0,$Q1879*INDEX(DarlErsatzZins,4))</f>
      </c>
      <c r="Q1880" s="43">
        <f>IF($I1880=0,0,$Q1879+$P1880+$O1880)</f>
      </c>
      <c r="R1880" s="43">
        <f>IF($I1880=0,0,$J1880-$M1880-$N1880)</f>
      </c>
    </row>
    <row r="1881">
      <c r="A1881"/>
      <c r="B1881">
        <v>4</v>
      </c>
      <c r="C1881" s="43">
        <f>INDEX(DarlObj,4)</f>
      </c>
      <c r="D1881">
        <v>438</v>
      </c>
      <c r="E1881" s="51">
        <f>IF(INDEX(DarlBelegt,4)=0,0,EOMONTH(INDEX(DarlAuszahlung,4),437)+1)</f>
      </c>
      <c r="F1881" s="43">
        <f>IF($E1881=0,0,YEAR($E1881))</f>
      </c>
      <c r="G1881" s="43">
        <f>IF(INDEX(DarlBindung,4)="",1,IF($E1881&lt;=INDEX(DarlBindung,4),1,0))</f>
      </c>
      <c r="H1881" s="43">
        <f>IF($G1881=1,INDEX(DarlSollzins,4),INDEX(DarlAnschluss,4))</f>
      </c>
      <c r="I1881" s="43">
        <f>IF(INDEX(DarlBelegt,4)=0,0,IF(INDEX(DarlOhneTilgung,4)=1,IF(INDEX(DarlBindung,4)="",1,$G1881),IF($J1881&gt;0.005,1,0)))</f>
      </c>
      <c r="J1881" s="43">
        <f>IF($I1880=0,0,$R1880)</f>
      </c>
      <c r="K1881" s="43">
        <f>IF($I1881=0,0,IF(INDEX(DarlOhneTilgung,4)=1,0,IF(AND(INDEX(DarlTilgStart,4)&gt;0,$E1881=INDEX(DarlTilgStart,4)),$J1881*($H1881+INDEX(DarlTilgung,4))/100/12,IF(AND($G1881=0,$G1880=1),MAX($K1880,$J1881*($H1881+1)/100/12),$K1880))))</f>
      </c>
      <c r="L1881" s="43">
        <f>IF($I1881=0,0,$J1881*$H1881/100/12)</f>
      </c>
      <c r="M1881" s="43">
        <f>IF($I1881=0,0,IF(OR(INDEX(DarlOhneTilgung,4)=1,AND(INDEX(DarlTilgStart,4)&gt;0,$E1881&lt;INDEX(DarlTilgStart,4))),0,MIN(MAX(0,$K1881-$L1881),$J1881)))</f>
      </c>
      <c r="N1881" s="43">
        <f>IF($I1881=0,0,MIN(SUMIFS(SondBetrag,SondDarl,4,SondDatum,"&gt;="&amp;$E1881,SondDatum,"&lt;="&amp;EOMONTH($E1881,0)),$J1881-$M1881))</f>
      </c>
      <c r="O1881" s="43">
        <f>IF($I1881=0,0,INDEX(DarlErsatzRate,4))</f>
      </c>
      <c r="P1881" s="43">
        <f>IF($I1881=0,0,$Q1880*INDEX(DarlErsatzZins,4))</f>
      </c>
      <c r="Q1881" s="43">
        <f>IF($I1881=0,0,$Q1880+$P1881+$O1881)</f>
      </c>
      <c r="R1881" s="43">
        <f>IF($I1881=0,0,$J1881-$M1881-$N1881)</f>
      </c>
    </row>
    <row r="1882">
      <c r="A1882"/>
      <c r="B1882">
        <v>4</v>
      </c>
      <c r="C1882" s="43">
        <f>INDEX(DarlObj,4)</f>
      </c>
      <c r="D1882">
        <v>439</v>
      </c>
      <c r="E1882" s="51">
        <f>IF(INDEX(DarlBelegt,4)=0,0,EOMONTH(INDEX(DarlAuszahlung,4),438)+1)</f>
      </c>
      <c r="F1882" s="43">
        <f>IF($E1882=0,0,YEAR($E1882))</f>
      </c>
      <c r="G1882" s="43">
        <f>IF(INDEX(DarlBindung,4)="",1,IF($E1882&lt;=INDEX(DarlBindung,4),1,0))</f>
      </c>
      <c r="H1882" s="43">
        <f>IF($G1882=1,INDEX(DarlSollzins,4),INDEX(DarlAnschluss,4))</f>
      </c>
      <c r="I1882" s="43">
        <f>IF(INDEX(DarlBelegt,4)=0,0,IF(INDEX(DarlOhneTilgung,4)=1,IF(INDEX(DarlBindung,4)="",1,$G1882),IF($J1882&gt;0.005,1,0)))</f>
      </c>
      <c r="J1882" s="43">
        <f>IF($I1881=0,0,$R1881)</f>
      </c>
      <c r="K1882" s="43">
        <f>IF($I1882=0,0,IF(INDEX(DarlOhneTilgung,4)=1,0,IF(AND(INDEX(DarlTilgStart,4)&gt;0,$E1882=INDEX(DarlTilgStart,4)),$J1882*($H1882+INDEX(DarlTilgung,4))/100/12,IF(AND($G1882=0,$G1881=1),MAX($K1881,$J1882*($H1882+1)/100/12),$K1881))))</f>
      </c>
      <c r="L1882" s="43">
        <f>IF($I1882=0,0,$J1882*$H1882/100/12)</f>
      </c>
      <c r="M1882" s="43">
        <f>IF($I1882=0,0,IF(OR(INDEX(DarlOhneTilgung,4)=1,AND(INDEX(DarlTilgStart,4)&gt;0,$E1882&lt;INDEX(DarlTilgStart,4))),0,MIN(MAX(0,$K1882-$L1882),$J1882)))</f>
      </c>
      <c r="N1882" s="43">
        <f>IF($I1882=0,0,MIN(SUMIFS(SondBetrag,SondDarl,4,SondDatum,"&gt;="&amp;$E1882,SondDatum,"&lt;="&amp;EOMONTH($E1882,0)),$J1882-$M1882))</f>
      </c>
      <c r="O1882" s="43">
        <f>IF($I1882=0,0,INDEX(DarlErsatzRate,4))</f>
      </c>
      <c r="P1882" s="43">
        <f>IF($I1882=0,0,$Q1881*INDEX(DarlErsatzZins,4))</f>
      </c>
      <c r="Q1882" s="43">
        <f>IF($I1882=0,0,$Q1881+$P1882+$O1882)</f>
      </c>
      <c r="R1882" s="43">
        <f>IF($I1882=0,0,$J1882-$M1882-$N1882)</f>
      </c>
    </row>
    <row r="1883">
      <c r="A1883"/>
      <c r="B1883">
        <v>4</v>
      </c>
      <c r="C1883" s="43">
        <f>INDEX(DarlObj,4)</f>
      </c>
      <c r="D1883">
        <v>440</v>
      </c>
      <c r="E1883" s="51">
        <f>IF(INDEX(DarlBelegt,4)=0,0,EOMONTH(INDEX(DarlAuszahlung,4),439)+1)</f>
      </c>
      <c r="F1883" s="43">
        <f>IF($E1883=0,0,YEAR($E1883))</f>
      </c>
      <c r="G1883" s="43">
        <f>IF(INDEX(DarlBindung,4)="",1,IF($E1883&lt;=INDEX(DarlBindung,4),1,0))</f>
      </c>
      <c r="H1883" s="43">
        <f>IF($G1883=1,INDEX(DarlSollzins,4),INDEX(DarlAnschluss,4))</f>
      </c>
      <c r="I1883" s="43">
        <f>IF(INDEX(DarlBelegt,4)=0,0,IF(INDEX(DarlOhneTilgung,4)=1,IF(INDEX(DarlBindung,4)="",1,$G1883),IF($J1883&gt;0.005,1,0)))</f>
      </c>
      <c r="J1883" s="43">
        <f>IF($I1882=0,0,$R1882)</f>
      </c>
      <c r="K1883" s="43">
        <f>IF($I1883=0,0,IF(INDEX(DarlOhneTilgung,4)=1,0,IF(AND(INDEX(DarlTilgStart,4)&gt;0,$E1883=INDEX(DarlTilgStart,4)),$J1883*($H1883+INDEX(DarlTilgung,4))/100/12,IF(AND($G1883=0,$G1882=1),MAX($K1882,$J1883*($H1883+1)/100/12),$K1882))))</f>
      </c>
      <c r="L1883" s="43">
        <f>IF($I1883=0,0,$J1883*$H1883/100/12)</f>
      </c>
      <c r="M1883" s="43">
        <f>IF($I1883=0,0,IF(OR(INDEX(DarlOhneTilgung,4)=1,AND(INDEX(DarlTilgStart,4)&gt;0,$E1883&lt;INDEX(DarlTilgStart,4))),0,MIN(MAX(0,$K1883-$L1883),$J1883)))</f>
      </c>
      <c r="N1883" s="43">
        <f>IF($I1883=0,0,MIN(SUMIFS(SondBetrag,SondDarl,4,SondDatum,"&gt;="&amp;$E1883,SondDatum,"&lt;="&amp;EOMONTH($E1883,0)),$J1883-$M1883))</f>
      </c>
      <c r="O1883" s="43">
        <f>IF($I1883=0,0,INDEX(DarlErsatzRate,4))</f>
      </c>
      <c r="P1883" s="43">
        <f>IF($I1883=0,0,$Q1882*INDEX(DarlErsatzZins,4))</f>
      </c>
      <c r="Q1883" s="43">
        <f>IF($I1883=0,0,$Q1882+$P1883+$O1883)</f>
      </c>
      <c r="R1883" s="43">
        <f>IF($I1883=0,0,$J1883-$M1883-$N1883)</f>
      </c>
    </row>
    <row r="1884">
      <c r="A1884"/>
      <c r="B1884">
        <v>4</v>
      </c>
      <c r="C1884" s="43">
        <f>INDEX(DarlObj,4)</f>
      </c>
      <c r="D1884">
        <v>441</v>
      </c>
      <c r="E1884" s="51">
        <f>IF(INDEX(DarlBelegt,4)=0,0,EOMONTH(INDEX(DarlAuszahlung,4),440)+1)</f>
      </c>
      <c r="F1884" s="43">
        <f>IF($E1884=0,0,YEAR($E1884))</f>
      </c>
      <c r="G1884" s="43">
        <f>IF(INDEX(DarlBindung,4)="",1,IF($E1884&lt;=INDEX(DarlBindung,4),1,0))</f>
      </c>
      <c r="H1884" s="43">
        <f>IF($G1884=1,INDEX(DarlSollzins,4),INDEX(DarlAnschluss,4))</f>
      </c>
      <c r="I1884" s="43">
        <f>IF(INDEX(DarlBelegt,4)=0,0,IF(INDEX(DarlOhneTilgung,4)=1,IF(INDEX(DarlBindung,4)="",1,$G1884),IF($J1884&gt;0.005,1,0)))</f>
      </c>
      <c r="J1884" s="43">
        <f>IF($I1883=0,0,$R1883)</f>
      </c>
      <c r="K1884" s="43">
        <f>IF($I1884=0,0,IF(INDEX(DarlOhneTilgung,4)=1,0,IF(AND(INDEX(DarlTilgStart,4)&gt;0,$E1884=INDEX(DarlTilgStart,4)),$J1884*($H1884+INDEX(DarlTilgung,4))/100/12,IF(AND($G1884=0,$G1883=1),MAX($K1883,$J1884*($H1884+1)/100/12),$K1883))))</f>
      </c>
      <c r="L1884" s="43">
        <f>IF($I1884=0,0,$J1884*$H1884/100/12)</f>
      </c>
      <c r="M1884" s="43">
        <f>IF($I1884=0,0,IF(OR(INDEX(DarlOhneTilgung,4)=1,AND(INDEX(DarlTilgStart,4)&gt;0,$E1884&lt;INDEX(DarlTilgStart,4))),0,MIN(MAX(0,$K1884-$L1884),$J1884)))</f>
      </c>
      <c r="N1884" s="43">
        <f>IF($I1884=0,0,MIN(SUMIFS(SondBetrag,SondDarl,4,SondDatum,"&gt;="&amp;$E1884,SondDatum,"&lt;="&amp;EOMONTH($E1884,0)),$J1884-$M1884))</f>
      </c>
      <c r="O1884" s="43">
        <f>IF($I1884=0,0,INDEX(DarlErsatzRate,4))</f>
      </c>
      <c r="P1884" s="43">
        <f>IF($I1884=0,0,$Q1883*INDEX(DarlErsatzZins,4))</f>
      </c>
      <c r="Q1884" s="43">
        <f>IF($I1884=0,0,$Q1883+$P1884+$O1884)</f>
      </c>
      <c r="R1884" s="43">
        <f>IF($I1884=0,0,$J1884-$M1884-$N1884)</f>
      </c>
    </row>
    <row r="1885">
      <c r="A1885"/>
      <c r="B1885">
        <v>4</v>
      </c>
      <c r="C1885" s="43">
        <f>INDEX(DarlObj,4)</f>
      </c>
      <c r="D1885">
        <v>442</v>
      </c>
      <c r="E1885" s="51">
        <f>IF(INDEX(DarlBelegt,4)=0,0,EOMONTH(INDEX(DarlAuszahlung,4),441)+1)</f>
      </c>
      <c r="F1885" s="43">
        <f>IF($E1885=0,0,YEAR($E1885))</f>
      </c>
      <c r="G1885" s="43">
        <f>IF(INDEX(DarlBindung,4)="",1,IF($E1885&lt;=INDEX(DarlBindung,4),1,0))</f>
      </c>
      <c r="H1885" s="43">
        <f>IF($G1885=1,INDEX(DarlSollzins,4),INDEX(DarlAnschluss,4))</f>
      </c>
      <c r="I1885" s="43">
        <f>IF(INDEX(DarlBelegt,4)=0,0,IF(INDEX(DarlOhneTilgung,4)=1,IF(INDEX(DarlBindung,4)="",1,$G1885),IF($J1885&gt;0.005,1,0)))</f>
      </c>
      <c r="J1885" s="43">
        <f>IF($I1884=0,0,$R1884)</f>
      </c>
      <c r="K1885" s="43">
        <f>IF($I1885=0,0,IF(INDEX(DarlOhneTilgung,4)=1,0,IF(AND(INDEX(DarlTilgStart,4)&gt;0,$E1885=INDEX(DarlTilgStart,4)),$J1885*($H1885+INDEX(DarlTilgung,4))/100/12,IF(AND($G1885=0,$G1884=1),MAX($K1884,$J1885*($H1885+1)/100/12),$K1884))))</f>
      </c>
      <c r="L1885" s="43">
        <f>IF($I1885=0,0,$J1885*$H1885/100/12)</f>
      </c>
      <c r="M1885" s="43">
        <f>IF($I1885=0,0,IF(OR(INDEX(DarlOhneTilgung,4)=1,AND(INDEX(DarlTilgStart,4)&gt;0,$E1885&lt;INDEX(DarlTilgStart,4))),0,MIN(MAX(0,$K1885-$L1885),$J1885)))</f>
      </c>
      <c r="N1885" s="43">
        <f>IF($I1885=0,0,MIN(SUMIFS(SondBetrag,SondDarl,4,SondDatum,"&gt;="&amp;$E1885,SondDatum,"&lt;="&amp;EOMONTH($E1885,0)),$J1885-$M1885))</f>
      </c>
      <c r="O1885" s="43">
        <f>IF($I1885=0,0,INDEX(DarlErsatzRate,4))</f>
      </c>
      <c r="P1885" s="43">
        <f>IF($I1885=0,0,$Q1884*INDEX(DarlErsatzZins,4))</f>
      </c>
      <c r="Q1885" s="43">
        <f>IF($I1885=0,0,$Q1884+$P1885+$O1885)</f>
      </c>
      <c r="R1885" s="43">
        <f>IF($I1885=0,0,$J1885-$M1885-$N1885)</f>
      </c>
    </row>
    <row r="1886">
      <c r="A1886"/>
      <c r="B1886">
        <v>4</v>
      </c>
      <c r="C1886" s="43">
        <f>INDEX(DarlObj,4)</f>
      </c>
      <c r="D1886">
        <v>443</v>
      </c>
      <c r="E1886" s="51">
        <f>IF(INDEX(DarlBelegt,4)=0,0,EOMONTH(INDEX(DarlAuszahlung,4),442)+1)</f>
      </c>
      <c r="F1886" s="43">
        <f>IF($E1886=0,0,YEAR($E1886))</f>
      </c>
      <c r="G1886" s="43">
        <f>IF(INDEX(DarlBindung,4)="",1,IF($E1886&lt;=INDEX(DarlBindung,4),1,0))</f>
      </c>
      <c r="H1886" s="43">
        <f>IF($G1886=1,INDEX(DarlSollzins,4),INDEX(DarlAnschluss,4))</f>
      </c>
      <c r="I1886" s="43">
        <f>IF(INDEX(DarlBelegt,4)=0,0,IF(INDEX(DarlOhneTilgung,4)=1,IF(INDEX(DarlBindung,4)="",1,$G1886),IF($J1886&gt;0.005,1,0)))</f>
      </c>
      <c r="J1886" s="43">
        <f>IF($I1885=0,0,$R1885)</f>
      </c>
      <c r="K1886" s="43">
        <f>IF($I1886=0,0,IF(INDEX(DarlOhneTilgung,4)=1,0,IF(AND(INDEX(DarlTilgStart,4)&gt;0,$E1886=INDEX(DarlTilgStart,4)),$J1886*($H1886+INDEX(DarlTilgung,4))/100/12,IF(AND($G1886=0,$G1885=1),MAX($K1885,$J1886*($H1886+1)/100/12),$K1885))))</f>
      </c>
      <c r="L1886" s="43">
        <f>IF($I1886=0,0,$J1886*$H1886/100/12)</f>
      </c>
      <c r="M1886" s="43">
        <f>IF($I1886=0,0,IF(OR(INDEX(DarlOhneTilgung,4)=1,AND(INDEX(DarlTilgStart,4)&gt;0,$E1886&lt;INDEX(DarlTilgStart,4))),0,MIN(MAX(0,$K1886-$L1886),$J1886)))</f>
      </c>
      <c r="N1886" s="43">
        <f>IF($I1886=0,0,MIN(SUMIFS(SondBetrag,SondDarl,4,SondDatum,"&gt;="&amp;$E1886,SondDatum,"&lt;="&amp;EOMONTH($E1886,0)),$J1886-$M1886))</f>
      </c>
      <c r="O1886" s="43">
        <f>IF($I1886=0,0,INDEX(DarlErsatzRate,4))</f>
      </c>
      <c r="P1886" s="43">
        <f>IF($I1886=0,0,$Q1885*INDEX(DarlErsatzZins,4))</f>
      </c>
      <c r="Q1886" s="43">
        <f>IF($I1886=0,0,$Q1885+$P1886+$O1886)</f>
      </c>
      <c r="R1886" s="43">
        <f>IF($I1886=0,0,$J1886-$M1886-$N1886)</f>
      </c>
    </row>
    <row r="1887">
      <c r="A1887"/>
      <c r="B1887">
        <v>4</v>
      </c>
      <c r="C1887" s="43">
        <f>INDEX(DarlObj,4)</f>
      </c>
      <c r="D1887">
        <v>444</v>
      </c>
      <c r="E1887" s="51">
        <f>IF(INDEX(DarlBelegt,4)=0,0,EOMONTH(INDEX(DarlAuszahlung,4),443)+1)</f>
      </c>
      <c r="F1887" s="43">
        <f>IF($E1887=0,0,YEAR($E1887))</f>
      </c>
      <c r="G1887" s="43">
        <f>IF(INDEX(DarlBindung,4)="",1,IF($E1887&lt;=INDEX(DarlBindung,4),1,0))</f>
      </c>
      <c r="H1887" s="43">
        <f>IF($G1887=1,INDEX(DarlSollzins,4),INDEX(DarlAnschluss,4))</f>
      </c>
      <c r="I1887" s="43">
        <f>IF(INDEX(DarlBelegt,4)=0,0,IF(INDEX(DarlOhneTilgung,4)=1,IF(INDEX(DarlBindung,4)="",1,$G1887),IF($J1887&gt;0.005,1,0)))</f>
      </c>
      <c r="J1887" s="43">
        <f>IF($I1886=0,0,$R1886)</f>
      </c>
      <c r="K1887" s="43">
        <f>IF($I1887=0,0,IF(INDEX(DarlOhneTilgung,4)=1,0,IF(AND(INDEX(DarlTilgStart,4)&gt;0,$E1887=INDEX(DarlTilgStart,4)),$J1887*($H1887+INDEX(DarlTilgung,4))/100/12,IF(AND($G1887=0,$G1886=1),MAX($K1886,$J1887*($H1887+1)/100/12),$K1886))))</f>
      </c>
      <c r="L1887" s="43">
        <f>IF($I1887=0,0,$J1887*$H1887/100/12)</f>
      </c>
      <c r="M1887" s="43">
        <f>IF($I1887=0,0,IF(OR(INDEX(DarlOhneTilgung,4)=1,AND(INDEX(DarlTilgStart,4)&gt;0,$E1887&lt;INDEX(DarlTilgStart,4))),0,MIN(MAX(0,$K1887-$L1887),$J1887)))</f>
      </c>
      <c r="N1887" s="43">
        <f>IF($I1887=0,0,MIN(SUMIFS(SondBetrag,SondDarl,4,SondDatum,"&gt;="&amp;$E1887,SondDatum,"&lt;="&amp;EOMONTH($E1887,0)),$J1887-$M1887))</f>
      </c>
      <c r="O1887" s="43">
        <f>IF($I1887=0,0,INDEX(DarlErsatzRate,4))</f>
      </c>
      <c r="P1887" s="43">
        <f>IF($I1887=0,0,$Q1886*INDEX(DarlErsatzZins,4))</f>
      </c>
      <c r="Q1887" s="43">
        <f>IF($I1887=0,0,$Q1886+$P1887+$O1887)</f>
      </c>
      <c r="R1887" s="43">
        <f>IF($I1887=0,0,$J1887-$M1887-$N1887)</f>
      </c>
    </row>
    <row r="1888">
      <c r="A1888"/>
      <c r="B1888">
        <v>4</v>
      </c>
      <c r="C1888" s="43">
        <f>INDEX(DarlObj,4)</f>
      </c>
      <c r="D1888">
        <v>445</v>
      </c>
      <c r="E1888" s="51">
        <f>IF(INDEX(DarlBelegt,4)=0,0,EOMONTH(INDEX(DarlAuszahlung,4),444)+1)</f>
      </c>
      <c r="F1888" s="43">
        <f>IF($E1888=0,0,YEAR($E1888))</f>
      </c>
      <c r="G1888" s="43">
        <f>IF(INDEX(DarlBindung,4)="",1,IF($E1888&lt;=INDEX(DarlBindung,4),1,0))</f>
      </c>
      <c r="H1888" s="43">
        <f>IF($G1888=1,INDEX(DarlSollzins,4),INDEX(DarlAnschluss,4))</f>
      </c>
      <c r="I1888" s="43">
        <f>IF(INDEX(DarlBelegt,4)=0,0,IF(INDEX(DarlOhneTilgung,4)=1,IF(INDEX(DarlBindung,4)="",1,$G1888),IF($J1888&gt;0.005,1,0)))</f>
      </c>
      <c r="J1888" s="43">
        <f>IF($I1887=0,0,$R1887)</f>
      </c>
      <c r="K1888" s="43">
        <f>IF($I1888=0,0,IF(INDEX(DarlOhneTilgung,4)=1,0,IF(AND(INDEX(DarlTilgStart,4)&gt;0,$E1888=INDEX(DarlTilgStart,4)),$J1888*($H1888+INDEX(DarlTilgung,4))/100/12,IF(AND($G1888=0,$G1887=1),MAX($K1887,$J1888*($H1888+1)/100/12),$K1887))))</f>
      </c>
      <c r="L1888" s="43">
        <f>IF($I1888=0,0,$J1888*$H1888/100/12)</f>
      </c>
      <c r="M1888" s="43">
        <f>IF($I1888=0,0,IF(OR(INDEX(DarlOhneTilgung,4)=1,AND(INDEX(DarlTilgStart,4)&gt;0,$E1888&lt;INDEX(DarlTilgStart,4))),0,MIN(MAX(0,$K1888-$L1888),$J1888)))</f>
      </c>
      <c r="N1888" s="43">
        <f>IF($I1888=0,0,MIN(SUMIFS(SondBetrag,SondDarl,4,SondDatum,"&gt;="&amp;$E1888,SondDatum,"&lt;="&amp;EOMONTH($E1888,0)),$J1888-$M1888))</f>
      </c>
      <c r="O1888" s="43">
        <f>IF($I1888=0,0,INDEX(DarlErsatzRate,4))</f>
      </c>
      <c r="P1888" s="43">
        <f>IF($I1888=0,0,$Q1887*INDEX(DarlErsatzZins,4))</f>
      </c>
      <c r="Q1888" s="43">
        <f>IF($I1888=0,0,$Q1887+$P1888+$O1888)</f>
      </c>
      <c r="R1888" s="43">
        <f>IF($I1888=0,0,$J1888-$M1888-$N1888)</f>
      </c>
    </row>
    <row r="1889">
      <c r="A1889"/>
      <c r="B1889">
        <v>4</v>
      </c>
      <c r="C1889" s="43">
        <f>INDEX(DarlObj,4)</f>
      </c>
      <c r="D1889">
        <v>446</v>
      </c>
      <c r="E1889" s="51">
        <f>IF(INDEX(DarlBelegt,4)=0,0,EOMONTH(INDEX(DarlAuszahlung,4),445)+1)</f>
      </c>
      <c r="F1889" s="43">
        <f>IF($E1889=0,0,YEAR($E1889))</f>
      </c>
      <c r="G1889" s="43">
        <f>IF(INDEX(DarlBindung,4)="",1,IF($E1889&lt;=INDEX(DarlBindung,4),1,0))</f>
      </c>
      <c r="H1889" s="43">
        <f>IF($G1889=1,INDEX(DarlSollzins,4),INDEX(DarlAnschluss,4))</f>
      </c>
      <c r="I1889" s="43">
        <f>IF(INDEX(DarlBelegt,4)=0,0,IF(INDEX(DarlOhneTilgung,4)=1,IF(INDEX(DarlBindung,4)="",1,$G1889),IF($J1889&gt;0.005,1,0)))</f>
      </c>
      <c r="J1889" s="43">
        <f>IF($I1888=0,0,$R1888)</f>
      </c>
      <c r="K1889" s="43">
        <f>IF($I1889=0,0,IF(INDEX(DarlOhneTilgung,4)=1,0,IF(AND(INDEX(DarlTilgStart,4)&gt;0,$E1889=INDEX(DarlTilgStart,4)),$J1889*($H1889+INDEX(DarlTilgung,4))/100/12,IF(AND($G1889=0,$G1888=1),MAX($K1888,$J1889*($H1889+1)/100/12),$K1888))))</f>
      </c>
      <c r="L1889" s="43">
        <f>IF($I1889=0,0,$J1889*$H1889/100/12)</f>
      </c>
      <c r="M1889" s="43">
        <f>IF($I1889=0,0,IF(OR(INDEX(DarlOhneTilgung,4)=1,AND(INDEX(DarlTilgStart,4)&gt;0,$E1889&lt;INDEX(DarlTilgStart,4))),0,MIN(MAX(0,$K1889-$L1889),$J1889)))</f>
      </c>
      <c r="N1889" s="43">
        <f>IF($I1889=0,0,MIN(SUMIFS(SondBetrag,SondDarl,4,SondDatum,"&gt;="&amp;$E1889,SondDatum,"&lt;="&amp;EOMONTH($E1889,0)),$J1889-$M1889))</f>
      </c>
      <c r="O1889" s="43">
        <f>IF($I1889=0,0,INDEX(DarlErsatzRate,4))</f>
      </c>
      <c r="P1889" s="43">
        <f>IF($I1889=0,0,$Q1888*INDEX(DarlErsatzZins,4))</f>
      </c>
      <c r="Q1889" s="43">
        <f>IF($I1889=0,0,$Q1888+$P1889+$O1889)</f>
      </c>
      <c r="R1889" s="43">
        <f>IF($I1889=0,0,$J1889-$M1889-$N1889)</f>
      </c>
    </row>
    <row r="1890">
      <c r="A1890"/>
      <c r="B1890">
        <v>4</v>
      </c>
      <c r="C1890" s="43">
        <f>INDEX(DarlObj,4)</f>
      </c>
      <c r="D1890">
        <v>447</v>
      </c>
      <c r="E1890" s="51">
        <f>IF(INDEX(DarlBelegt,4)=0,0,EOMONTH(INDEX(DarlAuszahlung,4),446)+1)</f>
      </c>
      <c r="F1890" s="43">
        <f>IF($E1890=0,0,YEAR($E1890))</f>
      </c>
      <c r="G1890" s="43">
        <f>IF(INDEX(DarlBindung,4)="",1,IF($E1890&lt;=INDEX(DarlBindung,4),1,0))</f>
      </c>
      <c r="H1890" s="43">
        <f>IF($G1890=1,INDEX(DarlSollzins,4),INDEX(DarlAnschluss,4))</f>
      </c>
      <c r="I1890" s="43">
        <f>IF(INDEX(DarlBelegt,4)=0,0,IF(INDEX(DarlOhneTilgung,4)=1,IF(INDEX(DarlBindung,4)="",1,$G1890),IF($J1890&gt;0.005,1,0)))</f>
      </c>
      <c r="J1890" s="43">
        <f>IF($I1889=0,0,$R1889)</f>
      </c>
      <c r="K1890" s="43">
        <f>IF($I1890=0,0,IF(INDEX(DarlOhneTilgung,4)=1,0,IF(AND(INDEX(DarlTilgStart,4)&gt;0,$E1890=INDEX(DarlTilgStart,4)),$J1890*($H1890+INDEX(DarlTilgung,4))/100/12,IF(AND($G1890=0,$G1889=1),MAX($K1889,$J1890*($H1890+1)/100/12),$K1889))))</f>
      </c>
      <c r="L1890" s="43">
        <f>IF($I1890=0,0,$J1890*$H1890/100/12)</f>
      </c>
      <c r="M1890" s="43">
        <f>IF($I1890=0,0,IF(OR(INDEX(DarlOhneTilgung,4)=1,AND(INDEX(DarlTilgStart,4)&gt;0,$E1890&lt;INDEX(DarlTilgStart,4))),0,MIN(MAX(0,$K1890-$L1890),$J1890)))</f>
      </c>
      <c r="N1890" s="43">
        <f>IF($I1890=0,0,MIN(SUMIFS(SondBetrag,SondDarl,4,SondDatum,"&gt;="&amp;$E1890,SondDatum,"&lt;="&amp;EOMONTH($E1890,0)),$J1890-$M1890))</f>
      </c>
      <c r="O1890" s="43">
        <f>IF($I1890=0,0,INDEX(DarlErsatzRate,4))</f>
      </c>
      <c r="P1890" s="43">
        <f>IF($I1890=0,0,$Q1889*INDEX(DarlErsatzZins,4))</f>
      </c>
      <c r="Q1890" s="43">
        <f>IF($I1890=0,0,$Q1889+$P1890+$O1890)</f>
      </c>
      <c r="R1890" s="43">
        <f>IF($I1890=0,0,$J1890-$M1890-$N1890)</f>
      </c>
    </row>
    <row r="1891">
      <c r="A1891"/>
      <c r="B1891">
        <v>4</v>
      </c>
      <c r="C1891" s="43">
        <f>INDEX(DarlObj,4)</f>
      </c>
      <c r="D1891">
        <v>448</v>
      </c>
      <c r="E1891" s="51">
        <f>IF(INDEX(DarlBelegt,4)=0,0,EOMONTH(INDEX(DarlAuszahlung,4),447)+1)</f>
      </c>
      <c r="F1891" s="43">
        <f>IF($E1891=0,0,YEAR($E1891))</f>
      </c>
      <c r="G1891" s="43">
        <f>IF(INDEX(DarlBindung,4)="",1,IF($E1891&lt;=INDEX(DarlBindung,4),1,0))</f>
      </c>
      <c r="H1891" s="43">
        <f>IF($G1891=1,INDEX(DarlSollzins,4),INDEX(DarlAnschluss,4))</f>
      </c>
      <c r="I1891" s="43">
        <f>IF(INDEX(DarlBelegt,4)=0,0,IF(INDEX(DarlOhneTilgung,4)=1,IF(INDEX(DarlBindung,4)="",1,$G1891),IF($J1891&gt;0.005,1,0)))</f>
      </c>
      <c r="J1891" s="43">
        <f>IF($I1890=0,0,$R1890)</f>
      </c>
      <c r="K1891" s="43">
        <f>IF($I1891=0,0,IF(INDEX(DarlOhneTilgung,4)=1,0,IF(AND(INDEX(DarlTilgStart,4)&gt;0,$E1891=INDEX(DarlTilgStart,4)),$J1891*($H1891+INDEX(DarlTilgung,4))/100/12,IF(AND($G1891=0,$G1890=1),MAX($K1890,$J1891*($H1891+1)/100/12),$K1890))))</f>
      </c>
      <c r="L1891" s="43">
        <f>IF($I1891=0,0,$J1891*$H1891/100/12)</f>
      </c>
      <c r="M1891" s="43">
        <f>IF($I1891=0,0,IF(OR(INDEX(DarlOhneTilgung,4)=1,AND(INDEX(DarlTilgStart,4)&gt;0,$E1891&lt;INDEX(DarlTilgStart,4))),0,MIN(MAX(0,$K1891-$L1891),$J1891)))</f>
      </c>
      <c r="N1891" s="43">
        <f>IF($I1891=0,0,MIN(SUMIFS(SondBetrag,SondDarl,4,SondDatum,"&gt;="&amp;$E1891,SondDatum,"&lt;="&amp;EOMONTH($E1891,0)),$J1891-$M1891))</f>
      </c>
      <c r="O1891" s="43">
        <f>IF($I1891=0,0,INDEX(DarlErsatzRate,4))</f>
      </c>
      <c r="P1891" s="43">
        <f>IF($I1891=0,0,$Q1890*INDEX(DarlErsatzZins,4))</f>
      </c>
      <c r="Q1891" s="43">
        <f>IF($I1891=0,0,$Q1890+$P1891+$O1891)</f>
      </c>
      <c r="R1891" s="43">
        <f>IF($I1891=0,0,$J1891-$M1891-$N1891)</f>
      </c>
    </row>
    <row r="1892">
      <c r="A1892"/>
      <c r="B1892">
        <v>4</v>
      </c>
      <c r="C1892" s="43">
        <f>INDEX(DarlObj,4)</f>
      </c>
      <c r="D1892">
        <v>449</v>
      </c>
      <c r="E1892" s="51">
        <f>IF(INDEX(DarlBelegt,4)=0,0,EOMONTH(INDEX(DarlAuszahlung,4),448)+1)</f>
      </c>
      <c r="F1892" s="43">
        <f>IF($E1892=0,0,YEAR($E1892))</f>
      </c>
      <c r="G1892" s="43">
        <f>IF(INDEX(DarlBindung,4)="",1,IF($E1892&lt;=INDEX(DarlBindung,4),1,0))</f>
      </c>
      <c r="H1892" s="43">
        <f>IF($G1892=1,INDEX(DarlSollzins,4),INDEX(DarlAnschluss,4))</f>
      </c>
      <c r="I1892" s="43">
        <f>IF(INDEX(DarlBelegt,4)=0,0,IF(INDEX(DarlOhneTilgung,4)=1,IF(INDEX(DarlBindung,4)="",1,$G1892),IF($J1892&gt;0.005,1,0)))</f>
      </c>
      <c r="J1892" s="43">
        <f>IF($I1891=0,0,$R1891)</f>
      </c>
      <c r="K1892" s="43">
        <f>IF($I1892=0,0,IF(INDEX(DarlOhneTilgung,4)=1,0,IF(AND(INDEX(DarlTilgStart,4)&gt;0,$E1892=INDEX(DarlTilgStart,4)),$J1892*($H1892+INDEX(DarlTilgung,4))/100/12,IF(AND($G1892=0,$G1891=1),MAX($K1891,$J1892*($H1892+1)/100/12),$K1891))))</f>
      </c>
      <c r="L1892" s="43">
        <f>IF($I1892=0,0,$J1892*$H1892/100/12)</f>
      </c>
      <c r="M1892" s="43">
        <f>IF($I1892=0,0,IF(OR(INDEX(DarlOhneTilgung,4)=1,AND(INDEX(DarlTilgStart,4)&gt;0,$E1892&lt;INDEX(DarlTilgStart,4))),0,MIN(MAX(0,$K1892-$L1892),$J1892)))</f>
      </c>
      <c r="N1892" s="43">
        <f>IF($I1892=0,0,MIN(SUMIFS(SondBetrag,SondDarl,4,SondDatum,"&gt;="&amp;$E1892,SondDatum,"&lt;="&amp;EOMONTH($E1892,0)),$J1892-$M1892))</f>
      </c>
      <c r="O1892" s="43">
        <f>IF($I1892=0,0,INDEX(DarlErsatzRate,4))</f>
      </c>
      <c r="P1892" s="43">
        <f>IF($I1892=0,0,$Q1891*INDEX(DarlErsatzZins,4))</f>
      </c>
      <c r="Q1892" s="43">
        <f>IF($I1892=0,0,$Q1891+$P1892+$O1892)</f>
      </c>
      <c r="R1892" s="43">
        <f>IF($I1892=0,0,$J1892-$M1892-$N1892)</f>
      </c>
    </row>
    <row r="1893">
      <c r="A1893"/>
      <c r="B1893">
        <v>4</v>
      </c>
      <c r="C1893" s="43">
        <f>INDEX(DarlObj,4)</f>
      </c>
      <c r="D1893">
        <v>450</v>
      </c>
      <c r="E1893" s="51">
        <f>IF(INDEX(DarlBelegt,4)=0,0,EOMONTH(INDEX(DarlAuszahlung,4),449)+1)</f>
      </c>
      <c r="F1893" s="43">
        <f>IF($E1893=0,0,YEAR($E1893))</f>
      </c>
      <c r="G1893" s="43">
        <f>IF(INDEX(DarlBindung,4)="",1,IF($E1893&lt;=INDEX(DarlBindung,4),1,0))</f>
      </c>
      <c r="H1893" s="43">
        <f>IF($G1893=1,INDEX(DarlSollzins,4),INDEX(DarlAnschluss,4))</f>
      </c>
      <c r="I1893" s="43">
        <f>IF(INDEX(DarlBelegt,4)=0,0,IF(INDEX(DarlOhneTilgung,4)=1,IF(INDEX(DarlBindung,4)="",1,$G1893),IF($J1893&gt;0.005,1,0)))</f>
      </c>
      <c r="J1893" s="43">
        <f>IF($I1892=0,0,$R1892)</f>
      </c>
      <c r="K1893" s="43">
        <f>IF($I1893=0,0,IF(INDEX(DarlOhneTilgung,4)=1,0,IF(AND(INDEX(DarlTilgStart,4)&gt;0,$E1893=INDEX(DarlTilgStart,4)),$J1893*($H1893+INDEX(DarlTilgung,4))/100/12,IF(AND($G1893=0,$G1892=1),MAX($K1892,$J1893*($H1893+1)/100/12),$K1892))))</f>
      </c>
      <c r="L1893" s="43">
        <f>IF($I1893=0,0,$J1893*$H1893/100/12)</f>
      </c>
      <c r="M1893" s="43">
        <f>IF($I1893=0,0,IF(OR(INDEX(DarlOhneTilgung,4)=1,AND(INDEX(DarlTilgStart,4)&gt;0,$E1893&lt;INDEX(DarlTilgStart,4))),0,MIN(MAX(0,$K1893-$L1893),$J1893)))</f>
      </c>
      <c r="N1893" s="43">
        <f>IF($I1893=0,0,MIN(SUMIFS(SondBetrag,SondDarl,4,SondDatum,"&gt;="&amp;$E1893,SondDatum,"&lt;="&amp;EOMONTH($E1893,0)),$J1893-$M1893))</f>
      </c>
      <c r="O1893" s="43">
        <f>IF($I1893=0,0,INDEX(DarlErsatzRate,4))</f>
      </c>
      <c r="P1893" s="43">
        <f>IF($I1893=0,0,$Q1892*INDEX(DarlErsatzZins,4))</f>
      </c>
      <c r="Q1893" s="43">
        <f>IF($I1893=0,0,$Q1892+$P1893+$O1893)</f>
      </c>
      <c r="R1893" s="43">
        <f>IF($I1893=0,0,$J1893-$M1893-$N1893)</f>
      </c>
    </row>
    <row r="1894">
      <c r="A1894"/>
      <c r="B1894">
        <v>4</v>
      </c>
      <c r="C1894" s="43">
        <f>INDEX(DarlObj,4)</f>
      </c>
      <c r="D1894">
        <v>451</v>
      </c>
      <c r="E1894" s="51">
        <f>IF(INDEX(DarlBelegt,4)=0,0,EOMONTH(INDEX(DarlAuszahlung,4),450)+1)</f>
      </c>
      <c r="F1894" s="43">
        <f>IF($E1894=0,0,YEAR($E1894))</f>
      </c>
      <c r="G1894" s="43">
        <f>IF(INDEX(DarlBindung,4)="",1,IF($E1894&lt;=INDEX(DarlBindung,4),1,0))</f>
      </c>
      <c r="H1894" s="43">
        <f>IF($G1894=1,INDEX(DarlSollzins,4),INDEX(DarlAnschluss,4))</f>
      </c>
      <c r="I1894" s="43">
        <f>IF(INDEX(DarlBelegt,4)=0,0,IF(INDEX(DarlOhneTilgung,4)=1,IF(INDEX(DarlBindung,4)="",1,$G1894),IF($J1894&gt;0.005,1,0)))</f>
      </c>
      <c r="J1894" s="43">
        <f>IF($I1893=0,0,$R1893)</f>
      </c>
      <c r="K1894" s="43">
        <f>IF($I1894=0,0,IF(INDEX(DarlOhneTilgung,4)=1,0,IF(AND(INDEX(DarlTilgStart,4)&gt;0,$E1894=INDEX(DarlTilgStart,4)),$J1894*($H1894+INDEX(DarlTilgung,4))/100/12,IF(AND($G1894=0,$G1893=1),MAX($K1893,$J1894*($H1894+1)/100/12),$K1893))))</f>
      </c>
      <c r="L1894" s="43">
        <f>IF($I1894=0,0,$J1894*$H1894/100/12)</f>
      </c>
      <c r="M1894" s="43">
        <f>IF($I1894=0,0,IF(OR(INDEX(DarlOhneTilgung,4)=1,AND(INDEX(DarlTilgStart,4)&gt;0,$E1894&lt;INDEX(DarlTilgStart,4))),0,MIN(MAX(0,$K1894-$L1894),$J1894)))</f>
      </c>
      <c r="N1894" s="43">
        <f>IF($I1894=0,0,MIN(SUMIFS(SondBetrag,SondDarl,4,SondDatum,"&gt;="&amp;$E1894,SondDatum,"&lt;="&amp;EOMONTH($E1894,0)),$J1894-$M1894))</f>
      </c>
      <c r="O1894" s="43">
        <f>IF($I1894=0,0,INDEX(DarlErsatzRate,4))</f>
      </c>
      <c r="P1894" s="43">
        <f>IF($I1894=0,0,$Q1893*INDEX(DarlErsatzZins,4))</f>
      </c>
      <c r="Q1894" s="43">
        <f>IF($I1894=0,0,$Q1893+$P1894+$O1894)</f>
      </c>
      <c r="R1894" s="43">
        <f>IF($I1894=0,0,$J1894-$M1894-$N1894)</f>
      </c>
    </row>
    <row r="1895">
      <c r="A1895"/>
      <c r="B1895">
        <v>4</v>
      </c>
      <c r="C1895" s="43">
        <f>INDEX(DarlObj,4)</f>
      </c>
      <c r="D1895">
        <v>452</v>
      </c>
      <c r="E1895" s="51">
        <f>IF(INDEX(DarlBelegt,4)=0,0,EOMONTH(INDEX(DarlAuszahlung,4),451)+1)</f>
      </c>
      <c r="F1895" s="43">
        <f>IF($E1895=0,0,YEAR($E1895))</f>
      </c>
      <c r="G1895" s="43">
        <f>IF(INDEX(DarlBindung,4)="",1,IF($E1895&lt;=INDEX(DarlBindung,4),1,0))</f>
      </c>
      <c r="H1895" s="43">
        <f>IF($G1895=1,INDEX(DarlSollzins,4),INDEX(DarlAnschluss,4))</f>
      </c>
      <c r="I1895" s="43">
        <f>IF(INDEX(DarlBelegt,4)=0,0,IF(INDEX(DarlOhneTilgung,4)=1,IF(INDEX(DarlBindung,4)="",1,$G1895),IF($J1895&gt;0.005,1,0)))</f>
      </c>
      <c r="J1895" s="43">
        <f>IF($I1894=0,0,$R1894)</f>
      </c>
      <c r="K1895" s="43">
        <f>IF($I1895=0,0,IF(INDEX(DarlOhneTilgung,4)=1,0,IF(AND(INDEX(DarlTilgStart,4)&gt;0,$E1895=INDEX(DarlTilgStart,4)),$J1895*($H1895+INDEX(DarlTilgung,4))/100/12,IF(AND($G1895=0,$G1894=1),MAX($K1894,$J1895*($H1895+1)/100/12),$K1894))))</f>
      </c>
      <c r="L1895" s="43">
        <f>IF($I1895=0,0,$J1895*$H1895/100/12)</f>
      </c>
      <c r="M1895" s="43">
        <f>IF($I1895=0,0,IF(OR(INDEX(DarlOhneTilgung,4)=1,AND(INDEX(DarlTilgStart,4)&gt;0,$E1895&lt;INDEX(DarlTilgStart,4))),0,MIN(MAX(0,$K1895-$L1895),$J1895)))</f>
      </c>
      <c r="N1895" s="43">
        <f>IF($I1895=0,0,MIN(SUMIFS(SondBetrag,SondDarl,4,SondDatum,"&gt;="&amp;$E1895,SondDatum,"&lt;="&amp;EOMONTH($E1895,0)),$J1895-$M1895))</f>
      </c>
      <c r="O1895" s="43">
        <f>IF($I1895=0,0,INDEX(DarlErsatzRate,4))</f>
      </c>
      <c r="P1895" s="43">
        <f>IF($I1895=0,0,$Q1894*INDEX(DarlErsatzZins,4))</f>
      </c>
      <c r="Q1895" s="43">
        <f>IF($I1895=0,0,$Q1894+$P1895+$O1895)</f>
      </c>
      <c r="R1895" s="43">
        <f>IF($I1895=0,0,$J1895-$M1895-$N1895)</f>
      </c>
    </row>
    <row r="1896">
      <c r="A1896"/>
      <c r="B1896">
        <v>4</v>
      </c>
      <c r="C1896" s="43">
        <f>INDEX(DarlObj,4)</f>
      </c>
      <c r="D1896">
        <v>453</v>
      </c>
      <c r="E1896" s="51">
        <f>IF(INDEX(DarlBelegt,4)=0,0,EOMONTH(INDEX(DarlAuszahlung,4),452)+1)</f>
      </c>
      <c r="F1896" s="43">
        <f>IF($E1896=0,0,YEAR($E1896))</f>
      </c>
      <c r="G1896" s="43">
        <f>IF(INDEX(DarlBindung,4)="",1,IF($E1896&lt;=INDEX(DarlBindung,4),1,0))</f>
      </c>
      <c r="H1896" s="43">
        <f>IF($G1896=1,INDEX(DarlSollzins,4),INDEX(DarlAnschluss,4))</f>
      </c>
      <c r="I1896" s="43">
        <f>IF(INDEX(DarlBelegt,4)=0,0,IF(INDEX(DarlOhneTilgung,4)=1,IF(INDEX(DarlBindung,4)="",1,$G1896),IF($J1896&gt;0.005,1,0)))</f>
      </c>
      <c r="J1896" s="43">
        <f>IF($I1895=0,0,$R1895)</f>
      </c>
      <c r="K1896" s="43">
        <f>IF($I1896=0,0,IF(INDEX(DarlOhneTilgung,4)=1,0,IF(AND(INDEX(DarlTilgStart,4)&gt;0,$E1896=INDEX(DarlTilgStart,4)),$J1896*($H1896+INDEX(DarlTilgung,4))/100/12,IF(AND($G1896=0,$G1895=1),MAX($K1895,$J1896*($H1896+1)/100/12),$K1895))))</f>
      </c>
      <c r="L1896" s="43">
        <f>IF($I1896=0,0,$J1896*$H1896/100/12)</f>
      </c>
      <c r="M1896" s="43">
        <f>IF($I1896=0,0,IF(OR(INDEX(DarlOhneTilgung,4)=1,AND(INDEX(DarlTilgStart,4)&gt;0,$E1896&lt;INDEX(DarlTilgStart,4))),0,MIN(MAX(0,$K1896-$L1896),$J1896)))</f>
      </c>
      <c r="N1896" s="43">
        <f>IF($I1896=0,0,MIN(SUMIFS(SondBetrag,SondDarl,4,SondDatum,"&gt;="&amp;$E1896,SondDatum,"&lt;="&amp;EOMONTH($E1896,0)),$J1896-$M1896))</f>
      </c>
      <c r="O1896" s="43">
        <f>IF($I1896=0,0,INDEX(DarlErsatzRate,4))</f>
      </c>
      <c r="P1896" s="43">
        <f>IF($I1896=0,0,$Q1895*INDEX(DarlErsatzZins,4))</f>
      </c>
      <c r="Q1896" s="43">
        <f>IF($I1896=0,0,$Q1895+$P1896+$O1896)</f>
      </c>
      <c r="R1896" s="43">
        <f>IF($I1896=0,0,$J1896-$M1896-$N1896)</f>
      </c>
    </row>
    <row r="1897">
      <c r="A1897"/>
      <c r="B1897">
        <v>4</v>
      </c>
      <c r="C1897" s="43">
        <f>INDEX(DarlObj,4)</f>
      </c>
      <c r="D1897">
        <v>454</v>
      </c>
      <c r="E1897" s="51">
        <f>IF(INDEX(DarlBelegt,4)=0,0,EOMONTH(INDEX(DarlAuszahlung,4),453)+1)</f>
      </c>
      <c r="F1897" s="43">
        <f>IF($E1897=0,0,YEAR($E1897))</f>
      </c>
      <c r="G1897" s="43">
        <f>IF(INDEX(DarlBindung,4)="",1,IF($E1897&lt;=INDEX(DarlBindung,4),1,0))</f>
      </c>
      <c r="H1897" s="43">
        <f>IF($G1897=1,INDEX(DarlSollzins,4),INDEX(DarlAnschluss,4))</f>
      </c>
      <c r="I1897" s="43">
        <f>IF(INDEX(DarlBelegt,4)=0,0,IF(INDEX(DarlOhneTilgung,4)=1,IF(INDEX(DarlBindung,4)="",1,$G1897),IF($J1897&gt;0.005,1,0)))</f>
      </c>
      <c r="J1897" s="43">
        <f>IF($I1896=0,0,$R1896)</f>
      </c>
      <c r="K1897" s="43">
        <f>IF($I1897=0,0,IF(INDEX(DarlOhneTilgung,4)=1,0,IF(AND(INDEX(DarlTilgStart,4)&gt;0,$E1897=INDEX(DarlTilgStart,4)),$J1897*($H1897+INDEX(DarlTilgung,4))/100/12,IF(AND($G1897=0,$G1896=1),MAX($K1896,$J1897*($H1897+1)/100/12),$K1896))))</f>
      </c>
      <c r="L1897" s="43">
        <f>IF($I1897=0,0,$J1897*$H1897/100/12)</f>
      </c>
      <c r="M1897" s="43">
        <f>IF($I1897=0,0,IF(OR(INDEX(DarlOhneTilgung,4)=1,AND(INDEX(DarlTilgStart,4)&gt;0,$E1897&lt;INDEX(DarlTilgStart,4))),0,MIN(MAX(0,$K1897-$L1897),$J1897)))</f>
      </c>
      <c r="N1897" s="43">
        <f>IF($I1897=0,0,MIN(SUMIFS(SondBetrag,SondDarl,4,SondDatum,"&gt;="&amp;$E1897,SondDatum,"&lt;="&amp;EOMONTH($E1897,0)),$J1897-$M1897))</f>
      </c>
      <c r="O1897" s="43">
        <f>IF($I1897=0,0,INDEX(DarlErsatzRate,4))</f>
      </c>
      <c r="P1897" s="43">
        <f>IF($I1897=0,0,$Q1896*INDEX(DarlErsatzZins,4))</f>
      </c>
      <c r="Q1897" s="43">
        <f>IF($I1897=0,0,$Q1896+$P1897+$O1897)</f>
      </c>
      <c r="R1897" s="43">
        <f>IF($I1897=0,0,$J1897-$M1897-$N1897)</f>
      </c>
    </row>
    <row r="1898">
      <c r="A1898"/>
      <c r="B1898">
        <v>4</v>
      </c>
      <c r="C1898" s="43">
        <f>INDEX(DarlObj,4)</f>
      </c>
      <c r="D1898">
        <v>455</v>
      </c>
      <c r="E1898" s="51">
        <f>IF(INDEX(DarlBelegt,4)=0,0,EOMONTH(INDEX(DarlAuszahlung,4),454)+1)</f>
      </c>
      <c r="F1898" s="43">
        <f>IF($E1898=0,0,YEAR($E1898))</f>
      </c>
      <c r="G1898" s="43">
        <f>IF(INDEX(DarlBindung,4)="",1,IF($E1898&lt;=INDEX(DarlBindung,4),1,0))</f>
      </c>
      <c r="H1898" s="43">
        <f>IF($G1898=1,INDEX(DarlSollzins,4),INDEX(DarlAnschluss,4))</f>
      </c>
      <c r="I1898" s="43">
        <f>IF(INDEX(DarlBelegt,4)=0,0,IF(INDEX(DarlOhneTilgung,4)=1,IF(INDEX(DarlBindung,4)="",1,$G1898),IF($J1898&gt;0.005,1,0)))</f>
      </c>
      <c r="J1898" s="43">
        <f>IF($I1897=0,0,$R1897)</f>
      </c>
      <c r="K1898" s="43">
        <f>IF($I1898=0,0,IF(INDEX(DarlOhneTilgung,4)=1,0,IF(AND(INDEX(DarlTilgStart,4)&gt;0,$E1898=INDEX(DarlTilgStart,4)),$J1898*($H1898+INDEX(DarlTilgung,4))/100/12,IF(AND($G1898=0,$G1897=1),MAX($K1897,$J1898*($H1898+1)/100/12),$K1897))))</f>
      </c>
      <c r="L1898" s="43">
        <f>IF($I1898=0,0,$J1898*$H1898/100/12)</f>
      </c>
      <c r="M1898" s="43">
        <f>IF($I1898=0,0,IF(OR(INDEX(DarlOhneTilgung,4)=1,AND(INDEX(DarlTilgStart,4)&gt;0,$E1898&lt;INDEX(DarlTilgStart,4))),0,MIN(MAX(0,$K1898-$L1898),$J1898)))</f>
      </c>
      <c r="N1898" s="43">
        <f>IF($I1898=0,0,MIN(SUMIFS(SondBetrag,SondDarl,4,SondDatum,"&gt;="&amp;$E1898,SondDatum,"&lt;="&amp;EOMONTH($E1898,0)),$J1898-$M1898))</f>
      </c>
      <c r="O1898" s="43">
        <f>IF($I1898=0,0,INDEX(DarlErsatzRate,4))</f>
      </c>
      <c r="P1898" s="43">
        <f>IF($I1898=0,0,$Q1897*INDEX(DarlErsatzZins,4))</f>
      </c>
      <c r="Q1898" s="43">
        <f>IF($I1898=0,0,$Q1897+$P1898+$O1898)</f>
      </c>
      <c r="R1898" s="43">
        <f>IF($I1898=0,0,$J1898-$M1898-$N1898)</f>
      </c>
    </row>
    <row r="1899">
      <c r="A1899"/>
      <c r="B1899">
        <v>4</v>
      </c>
      <c r="C1899" s="43">
        <f>INDEX(DarlObj,4)</f>
      </c>
      <c r="D1899">
        <v>456</v>
      </c>
      <c r="E1899" s="51">
        <f>IF(INDEX(DarlBelegt,4)=0,0,EOMONTH(INDEX(DarlAuszahlung,4),455)+1)</f>
      </c>
      <c r="F1899" s="43">
        <f>IF($E1899=0,0,YEAR($E1899))</f>
      </c>
      <c r="G1899" s="43">
        <f>IF(INDEX(DarlBindung,4)="",1,IF($E1899&lt;=INDEX(DarlBindung,4),1,0))</f>
      </c>
      <c r="H1899" s="43">
        <f>IF($G1899=1,INDEX(DarlSollzins,4),INDEX(DarlAnschluss,4))</f>
      </c>
      <c r="I1899" s="43">
        <f>IF(INDEX(DarlBelegt,4)=0,0,IF(INDEX(DarlOhneTilgung,4)=1,IF(INDEX(DarlBindung,4)="",1,$G1899),IF($J1899&gt;0.005,1,0)))</f>
      </c>
      <c r="J1899" s="43">
        <f>IF($I1898=0,0,$R1898)</f>
      </c>
      <c r="K1899" s="43">
        <f>IF($I1899=0,0,IF(INDEX(DarlOhneTilgung,4)=1,0,IF(AND(INDEX(DarlTilgStart,4)&gt;0,$E1899=INDEX(DarlTilgStart,4)),$J1899*($H1899+INDEX(DarlTilgung,4))/100/12,IF(AND($G1899=0,$G1898=1),MAX($K1898,$J1899*($H1899+1)/100/12),$K1898))))</f>
      </c>
      <c r="L1899" s="43">
        <f>IF($I1899=0,0,$J1899*$H1899/100/12)</f>
      </c>
      <c r="M1899" s="43">
        <f>IF($I1899=0,0,IF(OR(INDEX(DarlOhneTilgung,4)=1,AND(INDEX(DarlTilgStart,4)&gt;0,$E1899&lt;INDEX(DarlTilgStart,4))),0,MIN(MAX(0,$K1899-$L1899),$J1899)))</f>
      </c>
      <c r="N1899" s="43">
        <f>IF($I1899=0,0,MIN(SUMIFS(SondBetrag,SondDarl,4,SondDatum,"&gt;="&amp;$E1899,SondDatum,"&lt;="&amp;EOMONTH($E1899,0)),$J1899-$M1899))</f>
      </c>
      <c r="O1899" s="43">
        <f>IF($I1899=0,0,INDEX(DarlErsatzRate,4))</f>
      </c>
      <c r="P1899" s="43">
        <f>IF($I1899=0,0,$Q1898*INDEX(DarlErsatzZins,4))</f>
      </c>
      <c r="Q1899" s="43">
        <f>IF($I1899=0,0,$Q1898+$P1899+$O1899)</f>
      </c>
      <c r="R1899" s="43">
        <f>IF($I1899=0,0,$J1899-$M1899-$N1899)</f>
      </c>
    </row>
    <row r="1900">
      <c r="A1900"/>
      <c r="B1900">
        <v>4</v>
      </c>
      <c r="C1900" s="43">
        <f>INDEX(DarlObj,4)</f>
      </c>
      <c r="D1900">
        <v>457</v>
      </c>
      <c r="E1900" s="51">
        <f>IF(INDEX(DarlBelegt,4)=0,0,EOMONTH(INDEX(DarlAuszahlung,4),456)+1)</f>
      </c>
      <c r="F1900" s="43">
        <f>IF($E1900=0,0,YEAR($E1900))</f>
      </c>
      <c r="G1900" s="43">
        <f>IF(INDEX(DarlBindung,4)="",1,IF($E1900&lt;=INDEX(DarlBindung,4),1,0))</f>
      </c>
      <c r="H1900" s="43">
        <f>IF($G1900=1,INDEX(DarlSollzins,4),INDEX(DarlAnschluss,4))</f>
      </c>
      <c r="I1900" s="43">
        <f>IF(INDEX(DarlBelegt,4)=0,0,IF(INDEX(DarlOhneTilgung,4)=1,IF(INDEX(DarlBindung,4)="",1,$G1900),IF($J1900&gt;0.005,1,0)))</f>
      </c>
      <c r="J1900" s="43">
        <f>IF($I1899=0,0,$R1899)</f>
      </c>
      <c r="K1900" s="43">
        <f>IF($I1900=0,0,IF(INDEX(DarlOhneTilgung,4)=1,0,IF(AND(INDEX(DarlTilgStart,4)&gt;0,$E1900=INDEX(DarlTilgStart,4)),$J1900*($H1900+INDEX(DarlTilgung,4))/100/12,IF(AND($G1900=0,$G1899=1),MAX($K1899,$J1900*($H1900+1)/100/12),$K1899))))</f>
      </c>
      <c r="L1900" s="43">
        <f>IF($I1900=0,0,$J1900*$H1900/100/12)</f>
      </c>
      <c r="M1900" s="43">
        <f>IF($I1900=0,0,IF(OR(INDEX(DarlOhneTilgung,4)=1,AND(INDEX(DarlTilgStart,4)&gt;0,$E1900&lt;INDEX(DarlTilgStart,4))),0,MIN(MAX(0,$K1900-$L1900),$J1900)))</f>
      </c>
      <c r="N1900" s="43">
        <f>IF($I1900=0,0,MIN(SUMIFS(SondBetrag,SondDarl,4,SondDatum,"&gt;="&amp;$E1900,SondDatum,"&lt;="&amp;EOMONTH($E1900,0)),$J1900-$M1900))</f>
      </c>
      <c r="O1900" s="43">
        <f>IF($I1900=0,0,INDEX(DarlErsatzRate,4))</f>
      </c>
      <c r="P1900" s="43">
        <f>IF($I1900=0,0,$Q1899*INDEX(DarlErsatzZins,4))</f>
      </c>
      <c r="Q1900" s="43">
        <f>IF($I1900=0,0,$Q1899+$P1900+$O1900)</f>
      </c>
      <c r="R1900" s="43">
        <f>IF($I1900=0,0,$J1900-$M1900-$N1900)</f>
      </c>
    </row>
    <row r="1901">
      <c r="A1901"/>
      <c r="B1901">
        <v>4</v>
      </c>
      <c r="C1901" s="43">
        <f>INDEX(DarlObj,4)</f>
      </c>
      <c r="D1901">
        <v>458</v>
      </c>
      <c r="E1901" s="51">
        <f>IF(INDEX(DarlBelegt,4)=0,0,EOMONTH(INDEX(DarlAuszahlung,4),457)+1)</f>
      </c>
      <c r="F1901" s="43">
        <f>IF($E1901=0,0,YEAR($E1901))</f>
      </c>
      <c r="G1901" s="43">
        <f>IF(INDEX(DarlBindung,4)="",1,IF($E1901&lt;=INDEX(DarlBindung,4),1,0))</f>
      </c>
      <c r="H1901" s="43">
        <f>IF($G1901=1,INDEX(DarlSollzins,4),INDEX(DarlAnschluss,4))</f>
      </c>
      <c r="I1901" s="43">
        <f>IF(INDEX(DarlBelegt,4)=0,0,IF(INDEX(DarlOhneTilgung,4)=1,IF(INDEX(DarlBindung,4)="",1,$G1901),IF($J1901&gt;0.005,1,0)))</f>
      </c>
      <c r="J1901" s="43">
        <f>IF($I1900=0,0,$R1900)</f>
      </c>
      <c r="K1901" s="43">
        <f>IF($I1901=0,0,IF(INDEX(DarlOhneTilgung,4)=1,0,IF(AND(INDEX(DarlTilgStart,4)&gt;0,$E1901=INDEX(DarlTilgStart,4)),$J1901*($H1901+INDEX(DarlTilgung,4))/100/12,IF(AND($G1901=0,$G1900=1),MAX($K1900,$J1901*($H1901+1)/100/12),$K1900))))</f>
      </c>
      <c r="L1901" s="43">
        <f>IF($I1901=0,0,$J1901*$H1901/100/12)</f>
      </c>
      <c r="M1901" s="43">
        <f>IF($I1901=0,0,IF(OR(INDEX(DarlOhneTilgung,4)=1,AND(INDEX(DarlTilgStart,4)&gt;0,$E1901&lt;INDEX(DarlTilgStart,4))),0,MIN(MAX(0,$K1901-$L1901),$J1901)))</f>
      </c>
      <c r="N1901" s="43">
        <f>IF($I1901=0,0,MIN(SUMIFS(SondBetrag,SondDarl,4,SondDatum,"&gt;="&amp;$E1901,SondDatum,"&lt;="&amp;EOMONTH($E1901,0)),$J1901-$M1901))</f>
      </c>
      <c r="O1901" s="43">
        <f>IF($I1901=0,0,INDEX(DarlErsatzRate,4))</f>
      </c>
      <c r="P1901" s="43">
        <f>IF($I1901=0,0,$Q1900*INDEX(DarlErsatzZins,4))</f>
      </c>
      <c r="Q1901" s="43">
        <f>IF($I1901=0,0,$Q1900+$P1901+$O1901)</f>
      </c>
      <c r="R1901" s="43">
        <f>IF($I1901=0,0,$J1901-$M1901-$N1901)</f>
      </c>
    </row>
    <row r="1902">
      <c r="A1902"/>
      <c r="B1902">
        <v>4</v>
      </c>
      <c r="C1902" s="43">
        <f>INDEX(DarlObj,4)</f>
      </c>
      <c r="D1902">
        <v>459</v>
      </c>
      <c r="E1902" s="51">
        <f>IF(INDEX(DarlBelegt,4)=0,0,EOMONTH(INDEX(DarlAuszahlung,4),458)+1)</f>
      </c>
      <c r="F1902" s="43">
        <f>IF($E1902=0,0,YEAR($E1902))</f>
      </c>
      <c r="G1902" s="43">
        <f>IF(INDEX(DarlBindung,4)="",1,IF($E1902&lt;=INDEX(DarlBindung,4),1,0))</f>
      </c>
      <c r="H1902" s="43">
        <f>IF($G1902=1,INDEX(DarlSollzins,4),INDEX(DarlAnschluss,4))</f>
      </c>
      <c r="I1902" s="43">
        <f>IF(INDEX(DarlBelegt,4)=0,0,IF(INDEX(DarlOhneTilgung,4)=1,IF(INDEX(DarlBindung,4)="",1,$G1902),IF($J1902&gt;0.005,1,0)))</f>
      </c>
      <c r="J1902" s="43">
        <f>IF($I1901=0,0,$R1901)</f>
      </c>
      <c r="K1902" s="43">
        <f>IF($I1902=0,0,IF(INDEX(DarlOhneTilgung,4)=1,0,IF(AND(INDEX(DarlTilgStart,4)&gt;0,$E1902=INDEX(DarlTilgStart,4)),$J1902*($H1902+INDEX(DarlTilgung,4))/100/12,IF(AND($G1902=0,$G1901=1),MAX($K1901,$J1902*($H1902+1)/100/12),$K1901))))</f>
      </c>
      <c r="L1902" s="43">
        <f>IF($I1902=0,0,$J1902*$H1902/100/12)</f>
      </c>
      <c r="M1902" s="43">
        <f>IF($I1902=0,0,IF(OR(INDEX(DarlOhneTilgung,4)=1,AND(INDEX(DarlTilgStart,4)&gt;0,$E1902&lt;INDEX(DarlTilgStart,4))),0,MIN(MAX(0,$K1902-$L1902),$J1902)))</f>
      </c>
      <c r="N1902" s="43">
        <f>IF($I1902=0,0,MIN(SUMIFS(SondBetrag,SondDarl,4,SondDatum,"&gt;="&amp;$E1902,SondDatum,"&lt;="&amp;EOMONTH($E1902,0)),$J1902-$M1902))</f>
      </c>
      <c r="O1902" s="43">
        <f>IF($I1902=0,0,INDEX(DarlErsatzRate,4))</f>
      </c>
      <c r="P1902" s="43">
        <f>IF($I1902=0,0,$Q1901*INDEX(DarlErsatzZins,4))</f>
      </c>
      <c r="Q1902" s="43">
        <f>IF($I1902=0,0,$Q1901+$P1902+$O1902)</f>
      </c>
      <c r="R1902" s="43">
        <f>IF($I1902=0,0,$J1902-$M1902-$N1902)</f>
      </c>
    </row>
    <row r="1903">
      <c r="A1903"/>
      <c r="B1903">
        <v>4</v>
      </c>
      <c r="C1903" s="43">
        <f>INDEX(DarlObj,4)</f>
      </c>
      <c r="D1903">
        <v>460</v>
      </c>
      <c r="E1903" s="51">
        <f>IF(INDEX(DarlBelegt,4)=0,0,EOMONTH(INDEX(DarlAuszahlung,4),459)+1)</f>
      </c>
      <c r="F1903" s="43">
        <f>IF($E1903=0,0,YEAR($E1903))</f>
      </c>
      <c r="G1903" s="43">
        <f>IF(INDEX(DarlBindung,4)="",1,IF($E1903&lt;=INDEX(DarlBindung,4),1,0))</f>
      </c>
      <c r="H1903" s="43">
        <f>IF($G1903=1,INDEX(DarlSollzins,4),INDEX(DarlAnschluss,4))</f>
      </c>
      <c r="I1903" s="43">
        <f>IF(INDEX(DarlBelegt,4)=0,0,IF(INDEX(DarlOhneTilgung,4)=1,IF(INDEX(DarlBindung,4)="",1,$G1903),IF($J1903&gt;0.005,1,0)))</f>
      </c>
      <c r="J1903" s="43">
        <f>IF($I1902=0,0,$R1902)</f>
      </c>
      <c r="K1903" s="43">
        <f>IF($I1903=0,0,IF(INDEX(DarlOhneTilgung,4)=1,0,IF(AND(INDEX(DarlTilgStart,4)&gt;0,$E1903=INDEX(DarlTilgStart,4)),$J1903*($H1903+INDEX(DarlTilgung,4))/100/12,IF(AND($G1903=0,$G1902=1),MAX($K1902,$J1903*($H1903+1)/100/12),$K1902))))</f>
      </c>
      <c r="L1903" s="43">
        <f>IF($I1903=0,0,$J1903*$H1903/100/12)</f>
      </c>
      <c r="M1903" s="43">
        <f>IF($I1903=0,0,IF(OR(INDEX(DarlOhneTilgung,4)=1,AND(INDEX(DarlTilgStart,4)&gt;0,$E1903&lt;INDEX(DarlTilgStart,4))),0,MIN(MAX(0,$K1903-$L1903),$J1903)))</f>
      </c>
      <c r="N1903" s="43">
        <f>IF($I1903=0,0,MIN(SUMIFS(SondBetrag,SondDarl,4,SondDatum,"&gt;="&amp;$E1903,SondDatum,"&lt;="&amp;EOMONTH($E1903,0)),$J1903-$M1903))</f>
      </c>
      <c r="O1903" s="43">
        <f>IF($I1903=0,0,INDEX(DarlErsatzRate,4))</f>
      </c>
      <c r="P1903" s="43">
        <f>IF($I1903=0,0,$Q1902*INDEX(DarlErsatzZins,4))</f>
      </c>
      <c r="Q1903" s="43">
        <f>IF($I1903=0,0,$Q1902+$P1903+$O1903)</f>
      </c>
      <c r="R1903" s="43">
        <f>IF($I1903=0,0,$J1903-$M1903-$N1903)</f>
      </c>
    </row>
    <row r="1904">
      <c r="A1904"/>
      <c r="B1904">
        <v>4</v>
      </c>
      <c r="C1904" s="43">
        <f>INDEX(DarlObj,4)</f>
      </c>
      <c r="D1904">
        <v>461</v>
      </c>
      <c r="E1904" s="51">
        <f>IF(INDEX(DarlBelegt,4)=0,0,EOMONTH(INDEX(DarlAuszahlung,4),460)+1)</f>
      </c>
      <c r="F1904" s="43">
        <f>IF($E1904=0,0,YEAR($E1904))</f>
      </c>
      <c r="G1904" s="43">
        <f>IF(INDEX(DarlBindung,4)="",1,IF($E1904&lt;=INDEX(DarlBindung,4),1,0))</f>
      </c>
      <c r="H1904" s="43">
        <f>IF($G1904=1,INDEX(DarlSollzins,4),INDEX(DarlAnschluss,4))</f>
      </c>
      <c r="I1904" s="43">
        <f>IF(INDEX(DarlBelegt,4)=0,0,IF(INDEX(DarlOhneTilgung,4)=1,IF(INDEX(DarlBindung,4)="",1,$G1904),IF($J1904&gt;0.005,1,0)))</f>
      </c>
      <c r="J1904" s="43">
        <f>IF($I1903=0,0,$R1903)</f>
      </c>
      <c r="K1904" s="43">
        <f>IF($I1904=0,0,IF(INDEX(DarlOhneTilgung,4)=1,0,IF(AND(INDEX(DarlTilgStart,4)&gt;0,$E1904=INDEX(DarlTilgStart,4)),$J1904*($H1904+INDEX(DarlTilgung,4))/100/12,IF(AND($G1904=0,$G1903=1),MAX($K1903,$J1904*($H1904+1)/100/12),$K1903))))</f>
      </c>
      <c r="L1904" s="43">
        <f>IF($I1904=0,0,$J1904*$H1904/100/12)</f>
      </c>
      <c r="M1904" s="43">
        <f>IF($I1904=0,0,IF(OR(INDEX(DarlOhneTilgung,4)=1,AND(INDEX(DarlTilgStart,4)&gt;0,$E1904&lt;INDEX(DarlTilgStart,4))),0,MIN(MAX(0,$K1904-$L1904),$J1904)))</f>
      </c>
      <c r="N1904" s="43">
        <f>IF($I1904=0,0,MIN(SUMIFS(SondBetrag,SondDarl,4,SondDatum,"&gt;="&amp;$E1904,SondDatum,"&lt;="&amp;EOMONTH($E1904,0)),$J1904-$M1904))</f>
      </c>
      <c r="O1904" s="43">
        <f>IF($I1904=0,0,INDEX(DarlErsatzRate,4))</f>
      </c>
      <c r="P1904" s="43">
        <f>IF($I1904=0,0,$Q1903*INDEX(DarlErsatzZins,4))</f>
      </c>
      <c r="Q1904" s="43">
        <f>IF($I1904=0,0,$Q1903+$P1904+$O1904)</f>
      </c>
      <c r="R1904" s="43">
        <f>IF($I1904=0,0,$J1904-$M1904-$N1904)</f>
      </c>
    </row>
    <row r="1905">
      <c r="A1905"/>
      <c r="B1905">
        <v>4</v>
      </c>
      <c r="C1905" s="43">
        <f>INDEX(DarlObj,4)</f>
      </c>
      <c r="D1905">
        <v>462</v>
      </c>
      <c r="E1905" s="51">
        <f>IF(INDEX(DarlBelegt,4)=0,0,EOMONTH(INDEX(DarlAuszahlung,4),461)+1)</f>
      </c>
      <c r="F1905" s="43">
        <f>IF($E1905=0,0,YEAR($E1905))</f>
      </c>
      <c r="G1905" s="43">
        <f>IF(INDEX(DarlBindung,4)="",1,IF($E1905&lt;=INDEX(DarlBindung,4),1,0))</f>
      </c>
      <c r="H1905" s="43">
        <f>IF($G1905=1,INDEX(DarlSollzins,4),INDEX(DarlAnschluss,4))</f>
      </c>
      <c r="I1905" s="43">
        <f>IF(INDEX(DarlBelegt,4)=0,0,IF(INDEX(DarlOhneTilgung,4)=1,IF(INDEX(DarlBindung,4)="",1,$G1905),IF($J1905&gt;0.005,1,0)))</f>
      </c>
      <c r="J1905" s="43">
        <f>IF($I1904=0,0,$R1904)</f>
      </c>
      <c r="K1905" s="43">
        <f>IF($I1905=0,0,IF(INDEX(DarlOhneTilgung,4)=1,0,IF(AND(INDEX(DarlTilgStart,4)&gt;0,$E1905=INDEX(DarlTilgStart,4)),$J1905*($H1905+INDEX(DarlTilgung,4))/100/12,IF(AND($G1905=0,$G1904=1),MAX($K1904,$J1905*($H1905+1)/100/12),$K1904))))</f>
      </c>
      <c r="L1905" s="43">
        <f>IF($I1905=0,0,$J1905*$H1905/100/12)</f>
      </c>
      <c r="M1905" s="43">
        <f>IF($I1905=0,0,IF(OR(INDEX(DarlOhneTilgung,4)=1,AND(INDEX(DarlTilgStart,4)&gt;0,$E1905&lt;INDEX(DarlTilgStart,4))),0,MIN(MAX(0,$K1905-$L1905),$J1905)))</f>
      </c>
      <c r="N1905" s="43">
        <f>IF($I1905=0,0,MIN(SUMIFS(SondBetrag,SondDarl,4,SondDatum,"&gt;="&amp;$E1905,SondDatum,"&lt;="&amp;EOMONTH($E1905,0)),$J1905-$M1905))</f>
      </c>
      <c r="O1905" s="43">
        <f>IF($I1905=0,0,INDEX(DarlErsatzRate,4))</f>
      </c>
      <c r="P1905" s="43">
        <f>IF($I1905=0,0,$Q1904*INDEX(DarlErsatzZins,4))</f>
      </c>
      <c r="Q1905" s="43">
        <f>IF($I1905=0,0,$Q1904+$P1905+$O1905)</f>
      </c>
      <c r="R1905" s="43">
        <f>IF($I1905=0,0,$J1905-$M1905-$N1905)</f>
      </c>
    </row>
    <row r="1906">
      <c r="A1906"/>
      <c r="B1906">
        <v>4</v>
      </c>
      <c r="C1906" s="43">
        <f>INDEX(DarlObj,4)</f>
      </c>
      <c r="D1906">
        <v>463</v>
      </c>
      <c r="E1906" s="51">
        <f>IF(INDEX(DarlBelegt,4)=0,0,EOMONTH(INDEX(DarlAuszahlung,4),462)+1)</f>
      </c>
      <c r="F1906" s="43">
        <f>IF($E1906=0,0,YEAR($E1906))</f>
      </c>
      <c r="G1906" s="43">
        <f>IF(INDEX(DarlBindung,4)="",1,IF($E1906&lt;=INDEX(DarlBindung,4),1,0))</f>
      </c>
      <c r="H1906" s="43">
        <f>IF($G1906=1,INDEX(DarlSollzins,4),INDEX(DarlAnschluss,4))</f>
      </c>
      <c r="I1906" s="43">
        <f>IF(INDEX(DarlBelegt,4)=0,0,IF(INDEX(DarlOhneTilgung,4)=1,IF(INDEX(DarlBindung,4)="",1,$G1906),IF($J1906&gt;0.005,1,0)))</f>
      </c>
      <c r="J1906" s="43">
        <f>IF($I1905=0,0,$R1905)</f>
      </c>
      <c r="K1906" s="43">
        <f>IF($I1906=0,0,IF(INDEX(DarlOhneTilgung,4)=1,0,IF(AND(INDEX(DarlTilgStart,4)&gt;0,$E1906=INDEX(DarlTilgStart,4)),$J1906*($H1906+INDEX(DarlTilgung,4))/100/12,IF(AND($G1906=0,$G1905=1),MAX($K1905,$J1906*($H1906+1)/100/12),$K1905))))</f>
      </c>
      <c r="L1906" s="43">
        <f>IF($I1906=0,0,$J1906*$H1906/100/12)</f>
      </c>
      <c r="M1906" s="43">
        <f>IF($I1906=0,0,IF(OR(INDEX(DarlOhneTilgung,4)=1,AND(INDEX(DarlTilgStart,4)&gt;0,$E1906&lt;INDEX(DarlTilgStart,4))),0,MIN(MAX(0,$K1906-$L1906),$J1906)))</f>
      </c>
      <c r="N1906" s="43">
        <f>IF($I1906=0,0,MIN(SUMIFS(SondBetrag,SondDarl,4,SondDatum,"&gt;="&amp;$E1906,SondDatum,"&lt;="&amp;EOMONTH($E1906,0)),$J1906-$M1906))</f>
      </c>
      <c r="O1906" s="43">
        <f>IF($I1906=0,0,INDEX(DarlErsatzRate,4))</f>
      </c>
      <c r="P1906" s="43">
        <f>IF($I1906=0,0,$Q1905*INDEX(DarlErsatzZins,4))</f>
      </c>
      <c r="Q1906" s="43">
        <f>IF($I1906=0,0,$Q1905+$P1906+$O1906)</f>
      </c>
      <c r="R1906" s="43">
        <f>IF($I1906=0,0,$J1906-$M1906-$N1906)</f>
      </c>
    </row>
    <row r="1907">
      <c r="A1907"/>
      <c r="B1907">
        <v>4</v>
      </c>
      <c r="C1907" s="43">
        <f>INDEX(DarlObj,4)</f>
      </c>
      <c r="D1907">
        <v>464</v>
      </c>
      <c r="E1907" s="51">
        <f>IF(INDEX(DarlBelegt,4)=0,0,EOMONTH(INDEX(DarlAuszahlung,4),463)+1)</f>
      </c>
      <c r="F1907" s="43">
        <f>IF($E1907=0,0,YEAR($E1907))</f>
      </c>
      <c r="G1907" s="43">
        <f>IF(INDEX(DarlBindung,4)="",1,IF($E1907&lt;=INDEX(DarlBindung,4),1,0))</f>
      </c>
      <c r="H1907" s="43">
        <f>IF($G1907=1,INDEX(DarlSollzins,4),INDEX(DarlAnschluss,4))</f>
      </c>
      <c r="I1907" s="43">
        <f>IF(INDEX(DarlBelegt,4)=0,0,IF(INDEX(DarlOhneTilgung,4)=1,IF(INDEX(DarlBindung,4)="",1,$G1907),IF($J1907&gt;0.005,1,0)))</f>
      </c>
      <c r="J1907" s="43">
        <f>IF($I1906=0,0,$R1906)</f>
      </c>
      <c r="K1907" s="43">
        <f>IF($I1907=0,0,IF(INDEX(DarlOhneTilgung,4)=1,0,IF(AND(INDEX(DarlTilgStart,4)&gt;0,$E1907=INDEX(DarlTilgStart,4)),$J1907*($H1907+INDEX(DarlTilgung,4))/100/12,IF(AND($G1907=0,$G1906=1),MAX($K1906,$J1907*($H1907+1)/100/12),$K1906))))</f>
      </c>
      <c r="L1907" s="43">
        <f>IF($I1907=0,0,$J1907*$H1907/100/12)</f>
      </c>
      <c r="M1907" s="43">
        <f>IF($I1907=0,0,IF(OR(INDEX(DarlOhneTilgung,4)=1,AND(INDEX(DarlTilgStart,4)&gt;0,$E1907&lt;INDEX(DarlTilgStart,4))),0,MIN(MAX(0,$K1907-$L1907),$J1907)))</f>
      </c>
      <c r="N1907" s="43">
        <f>IF($I1907=0,0,MIN(SUMIFS(SondBetrag,SondDarl,4,SondDatum,"&gt;="&amp;$E1907,SondDatum,"&lt;="&amp;EOMONTH($E1907,0)),$J1907-$M1907))</f>
      </c>
      <c r="O1907" s="43">
        <f>IF($I1907=0,0,INDEX(DarlErsatzRate,4))</f>
      </c>
      <c r="P1907" s="43">
        <f>IF($I1907=0,0,$Q1906*INDEX(DarlErsatzZins,4))</f>
      </c>
      <c r="Q1907" s="43">
        <f>IF($I1907=0,0,$Q1906+$P1907+$O1907)</f>
      </c>
      <c r="R1907" s="43">
        <f>IF($I1907=0,0,$J1907-$M1907-$N1907)</f>
      </c>
    </row>
    <row r="1908">
      <c r="A1908"/>
      <c r="B1908">
        <v>4</v>
      </c>
      <c r="C1908" s="43">
        <f>INDEX(DarlObj,4)</f>
      </c>
      <c r="D1908">
        <v>465</v>
      </c>
      <c r="E1908" s="51">
        <f>IF(INDEX(DarlBelegt,4)=0,0,EOMONTH(INDEX(DarlAuszahlung,4),464)+1)</f>
      </c>
      <c r="F1908" s="43">
        <f>IF($E1908=0,0,YEAR($E1908))</f>
      </c>
      <c r="G1908" s="43">
        <f>IF(INDEX(DarlBindung,4)="",1,IF($E1908&lt;=INDEX(DarlBindung,4),1,0))</f>
      </c>
      <c r="H1908" s="43">
        <f>IF($G1908=1,INDEX(DarlSollzins,4),INDEX(DarlAnschluss,4))</f>
      </c>
      <c r="I1908" s="43">
        <f>IF(INDEX(DarlBelegt,4)=0,0,IF(INDEX(DarlOhneTilgung,4)=1,IF(INDEX(DarlBindung,4)="",1,$G1908),IF($J1908&gt;0.005,1,0)))</f>
      </c>
      <c r="J1908" s="43">
        <f>IF($I1907=0,0,$R1907)</f>
      </c>
      <c r="K1908" s="43">
        <f>IF($I1908=0,0,IF(INDEX(DarlOhneTilgung,4)=1,0,IF(AND(INDEX(DarlTilgStart,4)&gt;0,$E1908=INDEX(DarlTilgStart,4)),$J1908*($H1908+INDEX(DarlTilgung,4))/100/12,IF(AND($G1908=0,$G1907=1),MAX($K1907,$J1908*($H1908+1)/100/12),$K1907))))</f>
      </c>
      <c r="L1908" s="43">
        <f>IF($I1908=0,0,$J1908*$H1908/100/12)</f>
      </c>
      <c r="M1908" s="43">
        <f>IF($I1908=0,0,IF(OR(INDEX(DarlOhneTilgung,4)=1,AND(INDEX(DarlTilgStart,4)&gt;0,$E1908&lt;INDEX(DarlTilgStart,4))),0,MIN(MAX(0,$K1908-$L1908),$J1908)))</f>
      </c>
      <c r="N1908" s="43">
        <f>IF($I1908=0,0,MIN(SUMIFS(SondBetrag,SondDarl,4,SondDatum,"&gt;="&amp;$E1908,SondDatum,"&lt;="&amp;EOMONTH($E1908,0)),$J1908-$M1908))</f>
      </c>
      <c r="O1908" s="43">
        <f>IF($I1908=0,0,INDEX(DarlErsatzRate,4))</f>
      </c>
      <c r="P1908" s="43">
        <f>IF($I1908=0,0,$Q1907*INDEX(DarlErsatzZins,4))</f>
      </c>
      <c r="Q1908" s="43">
        <f>IF($I1908=0,0,$Q1907+$P1908+$O1908)</f>
      </c>
      <c r="R1908" s="43">
        <f>IF($I1908=0,0,$J1908-$M1908-$N1908)</f>
      </c>
    </row>
    <row r="1909">
      <c r="A1909"/>
      <c r="B1909">
        <v>4</v>
      </c>
      <c r="C1909" s="43">
        <f>INDEX(DarlObj,4)</f>
      </c>
      <c r="D1909">
        <v>466</v>
      </c>
      <c r="E1909" s="51">
        <f>IF(INDEX(DarlBelegt,4)=0,0,EOMONTH(INDEX(DarlAuszahlung,4),465)+1)</f>
      </c>
      <c r="F1909" s="43">
        <f>IF($E1909=0,0,YEAR($E1909))</f>
      </c>
      <c r="G1909" s="43">
        <f>IF(INDEX(DarlBindung,4)="",1,IF($E1909&lt;=INDEX(DarlBindung,4),1,0))</f>
      </c>
      <c r="H1909" s="43">
        <f>IF($G1909=1,INDEX(DarlSollzins,4),INDEX(DarlAnschluss,4))</f>
      </c>
      <c r="I1909" s="43">
        <f>IF(INDEX(DarlBelegt,4)=0,0,IF(INDEX(DarlOhneTilgung,4)=1,IF(INDEX(DarlBindung,4)="",1,$G1909),IF($J1909&gt;0.005,1,0)))</f>
      </c>
      <c r="J1909" s="43">
        <f>IF($I1908=0,0,$R1908)</f>
      </c>
      <c r="K1909" s="43">
        <f>IF($I1909=0,0,IF(INDEX(DarlOhneTilgung,4)=1,0,IF(AND(INDEX(DarlTilgStart,4)&gt;0,$E1909=INDEX(DarlTilgStart,4)),$J1909*($H1909+INDEX(DarlTilgung,4))/100/12,IF(AND($G1909=0,$G1908=1),MAX($K1908,$J1909*($H1909+1)/100/12),$K1908))))</f>
      </c>
      <c r="L1909" s="43">
        <f>IF($I1909=0,0,$J1909*$H1909/100/12)</f>
      </c>
      <c r="M1909" s="43">
        <f>IF($I1909=0,0,IF(OR(INDEX(DarlOhneTilgung,4)=1,AND(INDEX(DarlTilgStart,4)&gt;0,$E1909&lt;INDEX(DarlTilgStart,4))),0,MIN(MAX(0,$K1909-$L1909),$J1909)))</f>
      </c>
      <c r="N1909" s="43">
        <f>IF($I1909=0,0,MIN(SUMIFS(SondBetrag,SondDarl,4,SondDatum,"&gt;="&amp;$E1909,SondDatum,"&lt;="&amp;EOMONTH($E1909,0)),$J1909-$M1909))</f>
      </c>
      <c r="O1909" s="43">
        <f>IF($I1909=0,0,INDEX(DarlErsatzRate,4))</f>
      </c>
      <c r="P1909" s="43">
        <f>IF($I1909=0,0,$Q1908*INDEX(DarlErsatzZins,4))</f>
      </c>
      <c r="Q1909" s="43">
        <f>IF($I1909=0,0,$Q1908+$P1909+$O1909)</f>
      </c>
      <c r="R1909" s="43">
        <f>IF($I1909=0,0,$J1909-$M1909-$N1909)</f>
      </c>
    </row>
    <row r="1910">
      <c r="A1910"/>
      <c r="B1910">
        <v>4</v>
      </c>
      <c r="C1910" s="43">
        <f>INDEX(DarlObj,4)</f>
      </c>
      <c r="D1910">
        <v>467</v>
      </c>
      <c r="E1910" s="51">
        <f>IF(INDEX(DarlBelegt,4)=0,0,EOMONTH(INDEX(DarlAuszahlung,4),466)+1)</f>
      </c>
      <c r="F1910" s="43">
        <f>IF($E1910=0,0,YEAR($E1910))</f>
      </c>
      <c r="G1910" s="43">
        <f>IF(INDEX(DarlBindung,4)="",1,IF($E1910&lt;=INDEX(DarlBindung,4),1,0))</f>
      </c>
      <c r="H1910" s="43">
        <f>IF($G1910=1,INDEX(DarlSollzins,4),INDEX(DarlAnschluss,4))</f>
      </c>
      <c r="I1910" s="43">
        <f>IF(INDEX(DarlBelegt,4)=0,0,IF(INDEX(DarlOhneTilgung,4)=1,IF(INDEX(DarlBindung,4)="",1,$G1910),IF($J1910&gt;0.005,1,0)))</f>
      </c>
      <c r="J1910" s="43">
        <f>IF($I1909=0,0,$R1909)</f>
      </c>
      <c r="K1910" s="43">
        <f>IF($I1910=0,0,IF(INDEX(DarlOhneTilgung,4)=1,0,IF(AND(INDEX(DarlTilgStart,4)&gt;0,$E1910=INDEX(DarlTilgStart,4)),$J1910*($H1910+INDEX(DarlTilgung,4))/100/12,IF(AND($G1910=0,$G1909=1),MAX($K1909,$J1910*($H1910+1)/100/12),$K1909))))</f>
      </c>
      <c r="L1910" s="43">
        <f>IF($I1910=0,0,$J1910*$H1910/100/12)</f>
      </c>
      <c r="M1910" s="43">
        <f>IF($I1910=0,0,IF(OR(INDEX(DarlOhneTilgung,4)=1,AND(INDEX(DarlTilgStart,4)&gt;0,$E1910&lt;INDEX(DarlTilgStart,4))),0,MIN(MAX(0,$K1910-$L1910),$J1910)))</f>
      </c>
      <c r="N1910" s="43">
        <f>IF($I1910=0,0,MIN(SUMIFS(SondBetrag,SondDarl,4,SondDatum,"&gt;="&amp;$E1910,SondDatum,"&lt;="&amp;EOMONTH($E1910,0)),$J1910-$M1910))</f>
      </c>
      <c r="O1910" s="43">
        <f>IF($I1910=0,0,INDEX(DarlErsatzRate,4))</f>
      </c>
      <c r="P1910" s="43">
        <f>IF($I1910=0,0,$Q1909*INDEX(DarlErsatzZins,4))</f>
      </c>
      <c r="Q1910" s="43">
        <f>IF($I1910=0,0,$Q1909+$P1910+$O1910)</f>
      </c>
      <c r="R1910" s="43">
        <f>IF($I1910=0,0,$J1910-$M1910-$N1910)</f>
      </c>
    </row>
    <row r="1911">
      <c r="A1911"/>
      <c r="B1911">
        <v>4</v>
      </c>
      <c r="C1911" s="43">
        <f>INDEX(DarlObj,4)</f>
      </c>
      <c r="D1911">
        <v>468</v>
      </c>
      <c r="E1911" s="51">
        <f>IF(INDEX(DarlBelegt,4)=0,0,EOMONTH(INDEX(DarlAuszahlung,4),467)+1)</f>
      </c>
      <c r="F1911" s="43">
        <f>IF($E1911=0,0,YEAR($E1911))</f>
      </c>
      <c r="G1911" s="43">
        <f>IF(INDEX(DarlBindung,4)="",1,IF($E1911&lt;=INDEX(DarlBindung,4),1,0))</f>
      </c>
      <c r="H1911" s="43">
        <f>IF($G1911=1,INDEX(DarlSollzins,4),INDEX(DarlAnschluss,4))</f>
      </c>
      <c r="I1911" s="43">
        <f>IF(INDEX(DarlBelegt,4)=0,0,IF(INDEX(DarlOhneTilgung,4)=1,IF(INDEX(DarlBindung,4)="",1,$G1911),IF($J1911&gt;0.005,1,0)))</f>
      </c>
      <c r="J1911" s="43">
        <f>IF($I1910=0,0,$R1910)</f>
      </c>
      <c r="K1911" s="43">
        <f>IF($I1911=0,0,IF(INDEX(DarlOhneTilgung,4)=1,0,IF(AND(INDEX(DarlTilgStart,4)&gt;0,$E1911=INDEX(DarlTilgStart,4)),$J1911*($H1911+INDEX(DarlTilgung,4))/100/12,IF(AND($G1911=0,$G1910=1),MAX($K1910,$J1911*($H1911+1)/100/12),$K1910))))</f>
      </c>
      <c r="L1911" s="43">
        <f>IF($I1911=0,0,$J1911*$H1911/100/12)</f>
      </c>
      <c r="M1911" s="43">
        <f>IF($I1911=0,0,IF(OR(INDEX(DarlOhneTilgung,4)=1,AND(INDEX(DarlTilgStart,4)&gt;0,$E1911&lt;INDEX(DarlTilgStart,4))),0,MIN(MAX(0,$K1911-$L1911),$J1911)))</f>
      </c>
      <c r="N1911" s="43">
        <f>IF($I1911=0,0,MIN(SUMIFS(SondBetrag,SondDarl,4,SondDatum,"&gt;="&amp;$E1911,SondDatum,"&lt;="&amp;EOMONTH($E1911,0)),$J1911-$M1911))</f>
      </c>
      <c r="O1911" s="43">
        <f>IF($I1911=0,0,INDEX(DarlErsatzRate,4))</f>
      </c>
      <c r="P1911" s="43">
        <f>IF($I1911=0,0,$Q1910*INDEX(DarlErsatzZins,4))</f>
      </c>
      <c r="Q1911" s="43">
        <f>IF($I1911=0,0,$Q1910+$P1911+$O1911)</f>
      </c>
      <c r="R1911" s="43">
        <f>IF($I1911=0,0,$J1911-$M1911-$N1911)</f>
      </c>
    </row>
    <row r="1912">
      <c r="A1912"/>
      <c r="B1912">
        <v>4</v>
      </c>
      <c r="C1912" s="43">
        <f>INDEX(DarlObj,4)</f>
      </c>
      <c r="D1912">
        <v>469</v>
      </c>
      <c r="E1912" s="51">
        <f>IF(INDEX(DarlBelegt,4)=0,0,EOMONTH(INDEX(DarlAuszahlung,4),468)+1)</f>
      </c>
      <c r="F1912" s="43">
        <f>IF($E1912=0,0,YEAR($E1912))</f>
      </c>
      <c r="G1912" s="43">
        <f>IF(INDEX(DarlBindung,4)="",1,IF($E1912&lt;=INDEX(DarlBindung,4),1,0))</f>
      </c>
      <c r="H1912" s="43">
        <f>IF($G1912=1,INDEX(DarlSollzins,4),INDEX(DarlAnschluss,4))</f>
      </c>
      <c r="I1912" s="43">
        <f>IF(INDEX(DarlBelegt,4)=0,0,IF(INDEX(DarlOhneTilgung,4)=1,IF(INDEX(DarlBindung,4)="",1,$G1912),IF($J1912&gt;0.005,1,0)))</f>
      </c>
      <c r="J1912" s="43">
        <f>IF($I1911=0,0,$R1911)</f>
      </c>
      <c r="K1912" s="43">
        <f>IF($I1912=0,0,IF(INDEX(DarlOhneTilgung,4)=1,0,IF(AND(INDEX(DarlTilgStart,4)&gt;0,$E1912=INDEX(DarlTilgStart,4)),$J1912*($H1912+INDEX(DarlTilgung,4))/100/12,IF(AND($G1912=0,$G1911=1),MAX($K1911,$J1912*($H1912+1)/100/12),$K1911))))</f>
      </c>
      <c r="L1912" s="43">
        <f>IF($I1912=0,0,$J1912*$H1912/100/12)</f>
      </c>
      <c r="M1912" s="43">
        <f>IF($I1912=0,0,IF(OR(INDEX(DarlOhneTilgung,4)=1,AND(INDEX(DarlTilgStart,4)&gt;0,$E1912&lt;INDEX(DarlTilgStart,4))),0,MIN(MAX(0,$K1912-$L1912),$J1912)))</f>
      </c>
      <c r="N1912" s="43">
        <f>IF($I1912=0,0,MIN(SUMIFS(SondBetrag,SondDarl,4,SondDatum,"&gt;="&amp;$E1912,SondDatum,"&lt;="&amp;EOMONTH($E1912,0)),$J1912-$M1912))</f>
      </c>
      <c r="O1912" s="43">
        <f>IF($I1912=0,0,INDEX(DarlErsatzRate,4))</f>
      </c>
      <c r="P1912" s="43">
        <f>IF($I1912=0,0,$Q1911*INDEX(DarlErsatzZins,4))</f>
      </c>
      <c r="Q1912" s="43">
        <f>IF($I1912=0,0,$Q1911+$P1912+$O1912)</f>
      </c>
      <c r="R1912" s="43">
        <f>IF($I1912=0,0,$J1912-$M1912-$N1912)</f>
      </c>
    </row>
    <row r="1913">
      <c r="A1913"/>
      <c r="B1913">
        <v>4</v>
      </c>
      <c r="C1913" s="43">
        <f>INDEX(DarlObj,4)</f>
      </c>
      <c r="D1913">
        <v>470</v>
      </c>
      <c r="E1913" s="51">
        <f>IF(INDEX(DarlBelegt,4)=0,0,EOMONTH(INDEX(DarlAuszahlung,4),469)+1)</f>
      </c>
      <c r="F1913" s="43">
        <f>IF($E1913=0,0,YEAR($E1913))</f>
      </c>
      <c r="G1913" s="43">
        <f>IF(INDEX(DarlBindung,4)="",1,IF($E1913&lt;=INDEX(DarlBindung,4),1,0))</f>
      </c>
      <c r="H1913" s="43">
        <f>IF($G1913=1,INDEX(DarlSollzins,4),INDEX(DarlAnschluss,4))</f>
      </c>
      <c r="I1913" s="43">
        <f>IF(INDEX(DarlBelegt,4)=0,0,IF(INDEX(DarlOhneTilgung,4)=1,IF(INDEX(DarlBindung,4)="",1,$G1913),IF($J1913&gt;0.005,1,0)))</f>
      </c>
      <c r="J1913" s="43">
        <f>IF($I1912=0,0,$R1912)</f>
      </c>
      <c r="K1913" s="43">
        <f>IF($I1913=0,0,IF(INDEX(DarlOhneTilgung,4)=1,0,IF(AND(INDEX(DarlTilgStart,4)&gt;0,$E1913=INDEX(DarlTilgStart,4)),$J1913*($H1913+INDEX(DarlTilgung,4))/100/12,IF(AND($G1913=0,$G1912=1),MAX($K1912,$J1913*($H1913+1)/100/12),$K1912))))</f>
      </c>
      <c r="L1913" s="43">
        <f>IF($I1913=0,0,$J1913*$H1913/100/12)</f>
      </c>
      <c r="M1913" s="43">
        <f>IF($I1913=0,0,IF(OR(INDEX(DarlOhneTilgung,4)=1,AND(INDEX(DarlTilgStart,4)&gt;0,$E1913&lt;INDEX(DarlTilgStart,4))),0,MIN(MAX(0,$K1913-$L1913),$J1913)))</f>
      </c>
      <c r="N1913" s="43">
        <f>IF($I1913=0,0,MIN(SUMIFS(SondBetrag,SondDarl,4,SondDatum,"&gt;="&amp;$E1913,SondDatum,"&lt;="&amp;EOMONTH($E1913,0)),$J1913-$M1913))</f>
      </c>
      <c r="O1913" s="43">
        <f>IF($I1913=0,0,INDEX(DarlErsatzRate,4))</f>
      </c>
      <c r="P1913" s="43">
        <f>IF($I1913=0,0,$Q1912*INDEX(DarlErsatzZins,4))</f>
      </c>
      <c r="Q1913" s="43">
        <f>IF($I1913=0,0,$Q1912+$P1913+$O1913)</f>
      </c>
      <c r="R1913" s="43">
        <f>IF($I1913=0,0,$J1913-$M1913-$N1913)</f>
      </c>
    </row>
    <row r="1914">
      <c r="A1914"/>
      <c r="B1914">
        <v>4</v>
      </c>
      <c r="C1914" s="43">
        <f>INDEX(DarlObj,4)</f>
      </c>
      <c r="D1914">
        <v>471</v>
      </c>
      <c r="E1914" s="51">
        <f>IF(INDEX(DarlBelegt,4)=0,0,EOMONTH(INDEX(DarlAuszahlung,4),470)+1)</f>
      </c>
      <c r="F1914" s="43">
        <f>IF($E1914=0,0,YEAR($E1914))</f>
      </c>
      <c r="G1914" s="43">
        <f>IF(INDEX(DarlBindung,4)="",1,IF($E1914&lt;=INDEX(DarlBindung,4),1,0))</f>
      </c>
      <c r="H1914" s="43">
        <f>IF($G1914=1,INDEX(DarlSollzins,4),INDEX(DarlAnschluss,4))</f>
      </c>
      <c r="I1914" s="43">
        <f>IF(INDEX(DarlBelegt,4)=0,0,IF(INDEX(DarlOhneTilgung,4)=1,IF(INDEX(DarlBindung,4)="",1,$G1914),IF($J1914&gt;0.005,1,0)))</f>
      </c>
      <c r="J1914" s="43">
        <f>IF($I1913=0,0,$R1913)</f>
      </c>
      <c r="K1914" s="43">
        <f>IF($I1914=0,0,IF(INDEX(DarlOhneTilgung,4)=1,0,IF(AND(INDEX(DarlTilgStart,4)&gt;0,$E1914=INDEX(DarlTilgStart,4)),$J1914*($H1914+INDEX(DarlTilgung,4))/100/12,IF(AND($G1914=0,$G1913=1),MAX($K1913,$J1914*($H1914+1)/100/12),$K1913))))</f>
      </c>
      <c r="L1914" s="43">
        <f>IF($I1914=0,0,$J1914*$H1914/100/12)</f>
      </c>
      <c r="M1914" s="43">
        <f>IF($I1914=0,0,IF(OR(INDEX(DarlOhneTilgung,4)=1,AND(INDEX(DarlTilgStart,4)&gt;0,$E1914&lt;INDEX(DarlTilgStart,4))),0,MIN(MAX(0,$K1914-$L1914),$J1914)))</f>
      </c>
      <c r="N1914" s="43">
        <f>IF($I1914=0,0,MIN(SUMIFS(SondBetrag,SondDarl,4,SondDatum,"&gt;="&amp;$E1914,SondDatum,"&lt;="&amp;EOMONTH($E1914,0)),$J1914-$M1914))</f>
      </c>
      <c r="O1914" s="43">
        <f>IF($I1914=0,0,INDEX(DarlErsatzRate,4))</f>
      </c>
      <c r="P1914" s="43">
        <f>IF($I1914=0,0,$Q1913*INDEX(DarlErsatzZins,4))</f>
      </c>
      <c r="Q1914" s="43">
        <f>IF($I1914=0,0,$Q1913+$P1914+$O1914)</f>
      </c>
      <c r="R1914" s="43">
        <f>IF($I1914=0,0,$J1914-$M1914-$N1914)</f>
      </c>
    </row>
    <row r="1915">
      <c r="A1915"/>
      <c r="B1915">
        <v>4</v>
      </c>
      <c r="C1915" s="43">
        <f>INDEX(DarlObj,4)</f>
      </c>
      <c r="D1915">
        <v>472</v>
      </c>
      <c r="E1915" s="51">
        <f>IF(INDEX(DarlBelegt,4)=0,0,EOMONTH(INDEX(DarlAuszahlung,4),471)+1)</f>
      </c>
      <c r="F1915" s="43">
        <f>IF($E1915=0,0,YEAR($E1915))</f>
      </c>
      <c r="G1915" s="43">
        <f>IF(INDEX(DarlBindung,4)="",1,IF($E1915&lt;=INDEX(DarlBindung,4),1,0))</f>
      </c>
      <c r="H1915" s="43">
        <f>IF($G1915=1,INDEX(DarlSollzins,4),INDEX(DarlAnschluss,4))</f>
      </c>
      <c r="I1915" s="43">
        <f>IF(INDEX(DarlBelegt,4)=0,0,IF(INDEX(DarlOhneTilgung,4)=1,IF(INDEX(DarlBindung,4)="",1,$G1915),IF($J1915&gt;0.005,1,0)))</f>
      </c>
      <c r="J1915" s="43">
        <f>IF($I1914=0,0,$R1914)</f>
      </c>
      <c r="K1915" s="43">
        <f>IF($I1915=0,0,IF(INDEX(DarlOhneTilgung,4)=1,0,IF(AND(INDEX(DarlTilgStart,4)&gt;0,$E1915=INDEX(DarlTilgStart,4)),$J1915*($H1915+INDEX(DarlTilgung,4))/100/12,IF(AND($G1915=0,$G1914=1),MAX($K1914,$J1915*($H1915+1)/100/12),$K1914))))</f>
      </c>
      <c r="L1915" s="43">
        <f>IF($I1915=0,0,$J1915*$H1915/100/12)</f>
      </c>
      <c r="M1915" s="43">
        <f>IF($I1915=0,0,IF(OR(INDEX(DarlOhneTilgung,4)=1,AND(INDEX(DarlTilgStart,4)&gt;0,$E1915&lt;INDEX(DarlTilgStart,4))),0,MIN(MAX(0,$K1915-$L1915),$J1915)))</f>
      </c>
      <c r="N1915" s="43">
        <f>IF($I1915=0,0,MIN(SUMIFS(SondBetrag,SondDarl,4,SondDatum,"&gt;="&amp;$E1915,SondDatum,"&lt;="&amp;EOMONTH($E1915,0)),$J1915-$M1915))</f>
      </c>
      <c r="O1915" s="43">
        <f>IF($I1915=0,0,INDEX(DarlErsatzRate,4))</f>
      </c>
      <c r="P1915" s="43">
        <f>IF($I1915=0,0,$Q1914*INDEX(DarlErsatzZins,4))</f>
      </c>
      <c r="Q1915" s="43">
        <f>IF($I1915=0,0,$Q1914+$P1915+$O1915)</f>
      </c>
      <c r="R1915" s="43">
        <f>IF($I1915=0,0,$J1915-$M1915-$N1915)</f>
      </c>
    </row>
    <row r="1916">
      <c r="A1916"/>
      <c r="B1916">
        <v>4</v>
      </c>
      <c r="C1916" s="43">
        <f>INDEX(DarlObj,4)</f>
      </c>
      <c r="D1916">
        <v>473</v>
      </c>
      <c r="E1916" s="51">
        <f>IF(INDEX(DarlBelegt,4)=0,0,EOMONTH(INDEX(DarlAuszahlung,4),472)+1)</f>
      </c>
      <c r="F1916" s="43">
        <f>IF($E1916=0,0,YEAR($E1916))</f>
      </c>
      <c r="G1916" s="43">
        <f>IF(INDEX(DarlBindung,4)="",1,IF($E1916&lt;=INDEX(DarlBindung,4),1,0))</f>
      </c>
      <c r="H1916" s="43">
        <f>IF($G1916=1,INDEX(DarlSollzins,4),INDEX(DarlAnschluss,4))</f>
      </c>
      <c r="I1916" s="43">
        <f>IF(INDEX(DarlBelegt,4)=0,0,IF(INDEX(DarlOhneTilgung,4)=1,IF(INDEX(DarlBindung,4)="",1,$G1916),IF($J1916&gt;0.005,1,0)))</f>
      </c>
      <c r="J1916" s="43">
        <f>IF($I1915=0,0,$R1915)</f>
      </c>
      <c r="K1916" s="43">
        <f>IF($I1916=0,0,IF(INDEX(DarlOhneTilgung,4)=1,0,IF(AND(INDEX(DarlTilgStart,4)&gt;0,$E1916=INDEX(DarlTilgStart,4)),$J1916*($H1916+INDEX(DarlTilgung,4))/100/12,IF(AND($G1916=0,$G1915=1),MAX($K1915,$J1916*($H1916+1)/100/12),$K1915))))</f>
      </c>
      <c r="L1916" s="43">
        <f>IF($I1916=0,0,$J1916*$H1916/100/12)</f>
      </c>
      <c r="M1916" s="43">
        <f>IF($I1916=0,0,IF(OR(INDEX(DarlOhneTilgung,4)=1,AND(INDEX(DarlTilgStart,4)&gt;0,$E1916&lt;INDEX(DarlTilgStart,4))),0,MIN(MAX(0,$K1916-$L1916),$J1916)))</f>
      </c>
      <c r="N1916" s="43">
        <f>IF($I1916=0,0,MIN(SUMIFS(SondBetrag,SondDarl,4,SondDatum,"&gt;="&amp;$E1916,SondDatum,"&lt;="&amp;EOMONTH($E1916,0)),$J1916-$M1916))</f>
      </c>
      <c r="O1916" s="43">
        <f>IF($I1916=0,0,INDEX(DarlErsatzRate,4))</f>
      </c>
      <c r="P1916" s="43">
        <f>IF($I1916=0,0,$Q1915*INDEX(DarlErsatzZins,4))</f>
      </c>
      <c r="Q1916" s="43">
        <f>IF($I1916=0,0,$Q1915+$P1916+$O1916)</f>
      </c>
      <c r="R1916" s="43">
        <f>IF($I1916=0,0,$J1916-$M1916-$N1916)</f>
      </c>
    </row>
    <row r="1917">
      <c r="A1917"/>
      <c r="B1917">
        <v>4</v>
      </c>
      <c r="C1917" s="43">
        <f>INDEX(DarlObj,4)</f>
      </c>
      <c r="D1917">
        <v>474</v>
      </c>
      <c r="E1917" s="51">
        <f>IF(INDEX(DarlBelegt,4)=0,0,EOMONTH(INDEX(DarlAuszahlung,4),473)+1)</f>
      </c>
      <c r="F1917" s="43">
        <f>IF($E1917=0,0,YEAR($E1917))</f>
      </c>
      <c r="G1917" s="43">
        <f>IF(INDEX(DarlBindung,4)="",1,IF($E1917&lt;=INDEX(DarlBindung,4),1,0))</f>
      </c>
      <c r="H1917" s="43">
        <f>IF($G1917=1,INDEX(DarlSollzins,4),INDEX(DarlAnschluss,4))</f>
      </c>
      <c r="I1917" s="43">
        <f>IF(INDEX(DarlBelegt,4)=0,0,IF(INDEX(DarlOhneTilgung,4)=1,IF(INDEX(DarlBindung,4)="",1,$G1917),IF($J1917&gt;0.005,1,0)))</f>
      </c>
      <c r="J1917" s="43">
        <f>IF($I1916=0,0,$R1916)</f>
      </c>
      <c r="K1917" s="43">
        <f>IF($I1917=0,0,IF(INDEX(DarlOhneTilgung,4)=1,0,IF(AND(INDEX(DarlTilgStart,4)&gt;0,$E1917=INDEX(DarlTilgStart,4)),$J1917*($H1917+INDEX(DarlTilgung,4))/100/12,IF(AND($G1917=0,$G1916=1),MAX($K1916,$J1917*($H1917+1)/100/12),$K1916))))</f>
      </c>
      <c r="L1917" s="43">
        <f>IF($I1917=0,0,$J1917*$H1917/100/12)</f>
      </c>
      <c r="M1917" s="43">
        <f>IF($I1917=0,0,IF(OR(INDEX(DarlOhneTilgung,4)=1,AND(INDEX(DarlTilgStart,4)&gt;0,$E1917&lt;INDEX(DarlTilgStart,4))),0,MIN(MAX(0,$K1917-$L1917),$J1917)))</f>
      </c>
      <c r="N1917" s="43">
        <f>IF($I1917=0,0,MIN(SUMIFS(SondBetrag,SondDarl,4,SondDatum,"&gt;="&amp;$E1917,SondDatum,"&lt;="&amp;EOMONTH($E1917,0)),$J1917-$M1917))</f>
      </c>
      <c r="O1917" s="43">
        <f>IF($I1917=0,0,INDEX(DarlErsatzRate,4))</f>
      </c>
      <c r="P1917" s="43">
        <f>IF($I1917=0,0,$Q1916*INDEX(DarlErsatzZins,4))</f>
      </c>
      <c r="Q1917" s="43">
        <f>IF($I1917=0,0,$Q1916+$P1917+$O1917)</f>
      </c>
      <c r="R1917" s="43">
        <f>IF($I1917=0,0,$J1917-$M1917-$N1917)</f>
      </c>
    </row>
    <row r="1918">
      <c r="A1918"/>
      <c r="B1918">
        <v>4</v>
      </c>
      <c r="C1918" s="43">
        <f>INDEX(DarlObj,4)</f>
      </c>
      <c r="D1918">
        <v>475</v>
      </c>
      <c r="E1918" s="51">
        <f>IF(INDEX(DarlBelegt,4)=0,0,EOMONTH(INDEX(DarlAuszahlung,4),474)+1)</f>
      </c>
      <c r="F1918" s="43">
        <f>IF($E1918=0,0,YEAR($E1918))</f>
      </c>
      <c r="G1918" s="43">
        <f>IF(INDEX(DarlBindung,4)="",1,IF($E1918&lt;=INDEX(DarlBindung,4),1,0))</f>
      </c>
      <c r="H1918" s="43">
        <f>IF($G1918=1,INDEX(DarlSollzins,4),INDEX(DarlAnschluss,4))</f>
      </c>
      <c r="I1918" s="43">
        <f>IF(INDEX(DarlBelegt,4)=0,0,IF(INDEX(DarlOhneTilgung,4)=1,IF(INDEX(DarlBindung,4)="",1,$G1918),IF($J1918&gt;0.005,1,0)))</f>
      </c>
      <c r="J1918" s="43">
        <f>IF($I1917=0,0,$R1917)</f>
      </c>
      <c r="K1918" s="43">
        <f>IF($I1918=0,0,IF(INDEX(DarlOhneTilgung,4)=1,0,IF(AND(INDEX(DarlTilgStart,4)&gt;0,$E1918=INDEX(DarlTilgStart,4)),$J1918*($H1918+INDEX(DarlTilgung,4))/100/12,IF(AND($G1918=0,$G1917=1),MAX($K1917,$J1918*($H1918+1)/100/12),$K1917))))</f>
      </c>
      <c r="L1918" s="43">
        <f>IF($I1918=0,0,$J1918*$H1918/100/12)</f>
      </c>
      <c r="M1918" s="43">
        <f>IF($I1918=0,0,IF(OR(INDEX(DarlOhneTilgung,4)=1,AND(INDEX(DarlTilgStart,4)&gt;0,$E1918&lt;INDEX(DarlTilgStart,4))),0,MIN(MAX(0,$K1918-$L1918),$J1918)))</f>
      </c>
      <c r="N1918" s="43">
        <f>IF($I1918=0,0,MIN(SUMIFS(SondBetrag,SondDarl,4,SondDatum,"&gt;="&amp;$E1918,SondDatum,"&lt;="&amp;EOMONTH($E1918,0)),$J1918-$M1918))</f>
      </c>
      <c r="O1918" s="43">
        <f>IF($I1918=0,0,INDEX(DarlErsatzRate,4))</f>
      </c>
      <c r="P1918" s="43">
        <f>IF($I1918=0,0,$Q1917*INDEX(DarlErsatzZins,4))</f>
      </c>
      <c r="Q1918" s="43">
        <f>IF($I1918=0,0,$Q1917+$P1918+$O1918)</f>
      </c>
      <c r="R1918" s="43">
        <f>IF($I1918=0,0,$J1918-$M1918-$N1918)</f>
      </c>
    </row>
    <row r="1919">
      <c r="A1919"/>
      <c r="B1919">
        <v>4</v>
      </c>
      <c r="C1919" s="43">
        <f>INDEX(DarlObj,4)</f>
      </c>
      <c r="D1919">
        <v>476</v>
      </c>
      <c r="E1919" s="51">
        <f>IF(INDEX(DarlBelegt,4)=0,0,EOMONTH(INDEX(DarlAuszahlung,4),475)+1)</f>
      </c>
      <c r="F1919" s="43">
        <f>IF($E1919=0,0,YEAR($E1919))</f>
      </c>
      <c r="G1919" s="43">
        <f>IF(INDEX(DarlBindung,4)="",1,IF($E1919&lt;=INDEX(DarlBindung,4),1,0))</f>
      </c>
      <c r="H1919" s="43">
        <f>IF($G1919=1,INDEX(DarlSollzins,4),INDEX(DarlAnschluss,4))</f>
      </c>
      <c r="I1919" s="43">
        <f>IF(INDEX(DarlBelegt,4)=0,0,IF(INDEX(DarlOhneTilgung,4)=1,IF(INDEX(DarlBindung,4)="",1,$G1919),IF($J1919&gt;0.005,1,0)))</f>
      </c>
      <c r="J1919" s="43">
        <f>IF($I1918=0,0,$R1918)</f>
      </c>
      <c r="K1919" s="43">
        <f>IF($I1919=0,0,IF(INDEX(DarlOhneTilgung,4)=1,0,IF(AND(INDEX(DarlTilgStart,4)&gt;0,$E1919=INDEX(DarlTilgStart,4)),$J1919*($H1919+INDEX(DarlTilgung,4))/100/12,IF(AND($G1919=0,$G1918=1),MAX($K1918,$J1919*($H1919+1)/100/12),$K1918))))</f>
      </c>
      <c r="L1919" s="43">
        <f>IF($I1919=0,0,$J1919*$H1919/100/12)</f>
      </c>
      <c r="M1919" s="43">
        <f>IF($I1919=0,0,IF(OR(INDEX(DarlOhneTilgung,4)=1,AND(INDEX(DarlTilgStart,4)&gt;0,$E1919&lt;INDEX(DarlTilgStart,4))),0,MIN(MAX(0,$K1919-$L1919),$J1919)))</f>
      </c>
      <c r="N1919" s="43">
        <f>IF($I1919=0,0,MIN(SUMIFS(SondBetrag,SondDarl,4,SondDatum,"&gt;="&amp;$E1919,SondDatum,"&lt;="&amp;EOMONTH($E1919,0)),$J1919-$M1919))</f>
      </c>
      <c r="O1919" s="43">
        <f>IF($I1919=0,0,INDEX(DarlErsatzRate,4))</f>
      </c>
      <c r="P1919" s="43">
        <f>IF($I1919=0,0,$Q1918*INDEX(DarlErsatzZins,4))</f>
      </c>
      <c r="Q1919" s="43">
        <f>IF($I1919=0,0,$Q1918+$P1919+$O1919)</f>
      </c>
      <c r="R1919" s="43">
        <f>IF($I1919=0,0,$J1919-$M1919-$N1919)</f>
      </c>
    </row>
    <row r="1920">
      <c r="A1920"/>
      <c r="B1920">
        <v>4</v>
      </c>
      <c r="C1920" s="43">
        <f>INDEX(DarlObj,4)</f>
      </c>
      <c r="D1920">
        <v>477</v>
      </c>
      <c r="E1920" s="51">
        <f>IF(INDEX(DarlBelegt,4)=0,0,EOMONTH(INDEX(DarlAuszahlung,4),476)+1)</f>
      </c>
      <c r="F1920" s="43">
        <f>IF($E1920=0,0,YEAR($E1920))</f>
      </c>
      <c r="G1920" s="43">
        <f>IF(INDEX(DarlBindung,4)="",1,IF($E1920&lt;=INDEX(DarlBindung,4),1,0))</f>
      </c>
      <c r="H1920" s="43">
        <f>IF($G1920=1,INDEX(DarlSollzins,4),INDEX(DarlAnschluss,4))</f>
      </c>
      <c r="I1920" s="43">
        <f>IF(INDEX(DarlBelegt,4)=0,0,IF(INDEX(DarlOhneTilgung,4)=1,IF(INDEX(DarlBindung,4)="",1,$G1920),IF($J1920&gt;0.005,1,0)))</f>
      </c>
      <c r="J1920" s="43">
        <f>IF($I1919=0,0,$R1919)</f>
      </c>
      <c r="K1920" s="43">
        <f>IF($I1920=0,0,IF(INDEX(DarlOhneTilgung,4)=1,0,IF(AND(INDEX(DarlTilgStart,4)&gt;0,$E1920=INDEX(DarlTilgStart,4)),$J1920*($H1920+INDEX(DarlTilgung,4))/100/12,IF(AND($G1920=0,$G1919=1),MAX($K1919,$J1920*($H1920+1)/100/12),$K1919))))</f>
      </c>
      <c r="L1920" s="43">
        <f>IF($I1920=0,0,$J1920*$H1920/100/12)</f>
      </c>
      <c r="M1920" s="43">
        <f>IF($I1920=0,0,IF(OR(INDEX(DarlOhneTilgung,4)=1,AND(INDEX(DarlTilgStart,4)&gt;0,$E1920&lt;INDEX(DarlTilgStart,4))),0,MIN(MAX(0,$K1920-$L1920),$J1920)))</f>
      </c>
      <c r="N1920" s="43">
        <f>IF($I1920=0,0,MIN(SUMIFS(SondBetrag,SondDarl,4,SondDatum,"&gt;="&amp;$E1920,SondDatum,"&lt;="&amp;EOMONTH($E1920,0)),$J1920-$M1920))</f>
      </c>
      <c r="O1920" s="43">
        <f>IF($I1920=0,0,INDEX(DarlErsatzRate,4))</f>
      </c>
      <c r="P1920" s="43">
        <f>IF($I1920=0,0,$Q1919*INDEX(DarlErsatzZins,4))</f>
      </c>
      <c r="Q1920" s="43">
        <f>IF($I1920=0,0,$Q1919+$P1920+$O1920)</f>
      </c>
      <c r="R1920" s="43">
        <f>IF($I1920=0,0,$J1920-$M1920-$N1920)</f>
      </c>
    </row>
    <row r="1921">
      <c r="A1921"/>
      <c r="B1921">
        <v>4</v>
      </c>
      <c r="C1921" s="43">
        <f>INDEX(DarlObj,4)</f>
      </c>
      <c r="D1921">
        <v>478</v>
      </c>
      <c r="E1921" s="51">
        <f>IF(INDEX(DarlBelegt,4)=0,0,EOMONTH(INDEX(DarlAuszahlung,4),477)+1)</f>
      </c>
      <c r="F1921" s="43">
        <f>IF($E1921=0,0,YEAR($E1921))</f>
      </c>
      <c r="G1921" s="43">
        <f>IF(INDEX(DarlBindung,4)="",1,IF($E1921&lt;=INDEX(DarlBindung,4),1,0))</f>
      </c>
      <c r="H1921" s="43">
        <f>IF($G1921=1,INDEX(DarlSollzins,4),INDEX(DarlAnschluss,4))</f>
      </c>
      <c r="I1921" s="43">
        <f>IF(INDEX(DarlBelegt,4)=0,0,IF(INDEX(DarlOhneTilgung,4)=1,IF(INDEX(DarlBindung,4)="",1,$G1921),IF($J1921&gt;0.005,1,0)))</f>
      </c>
      <c r="J1921" s="43">
        <f>IF($I1920=0,0,$R1920)</f>
      </c>
      <c r="K1921" s="43">
        <f>IF($I1921=0,0,IF(INDEX(DarlOhneTilgung,4)=1,0,IF(AND(INDEX(DarlTilgStart,4)&gt;0,$E1921=INDEX(DarlTilgStart,4)),$J1921*($H1921+INDEX(DarlTilgung,4))/100/12,IF(AND($G1921=0,$G1920=1),MAX($K1920,$J1921*($H1921+1)/100/12),$K1920))))</f>
      </c>
      <c r="L1921" s="43">
        <f>IF($I1921=0,0,$J1921*$H1921/100/12)</f>
      </c>
      <c r="M1921" s="43">
        <f>IF($I1921=0,0,IF(OR(INDEX(DarlOhneTilgung,4)=1,AND(INDEX(DarlTilgStart,4)&gt;0,$E1921&lt;INDEX(DarlTilgStart,4))),0,MIN(MAX(0,$K1921-$L1921),$J1921)))</f>
      </c>
      <c r="N1921" s="43">
        <f>IF($I1921=0,0,MIN(SUMIFS(SondBetrag,SondDarl,4,SondDatum,"&gt;="&amp;$E1921,SondDatum,"&lt;="&amp;EOMONTH($E1921,0)),$J1921-$M1921))</f>
      </c>
      <c r="O1921" s="43">
        <f>IF($I1921=0,0,INDEX(DarlErsatzRate,4))</f>
      </c>
      <c r="P1921" s="43">
        <f>IF($I1921=0,0,$Q1920*INDEX(DarlErsatzZins,4))</f>
      </c>
      <c r="Q1921" s="43">
        <f>IF($I1921=0,0,$Q1920+$P1921+$O1921)</f>
      </c>
      <c r="R1921" s="43">
        <f>IF($I1921=0,0,$J1921-$M1921-$N1921)</f>
      </c>
    </row>
    <row r="1922">
      <c r="A1922"/>
      <c r="B1922">
        <v>4</v>
      </c>
      <c r="C1922" s="43">
        <f>INDEX(DarlObj,4)</f>
      </c>
      <c r="D1922">
        <v>479</v>
      </c>
      <c r="E1922" s="51">
        <f>IF(INDEX(DarlBelegt,4)=0,0,EOMONTH(INDEX(DarlAuszahlung,4),478)+1)</f>
      </c>
      <c r="F1922" s="43">
        <f>IF($E1922=0,0,YEAR($E1922))</f>
      </c>
      <c r="G1922" s="43">
        <f>IF(INDEX(DarlBindung,4)="",1,IF($E1922&lt;=INDEX(DarlBindung,4),1,0))</f>
      </c>
      <c r="H1922" s="43">
        <f>IF($G1922=1,INDEX(DarlSollzins,4),INDEX(DarlAnschluss,4))</f>
      </c>
      <c r="I1922" s="43">
        <f>IF(INDEX(DarlBelegt,4)=0,0,IF(INDEX(DarlOhneTilgung,4)=1,IF(INDEX(DarlBindung,4)="",1,$G1922),IF($J1922&gt;0.005,1,0)))</f>
      </c>
      <c r="J1922" s="43">
        <f>IF($I1921=0,0,$R1921)</f>
      </c>
      <c r="K1922" s="43">
        <f>IF($I1922=0,0,IF(INDEX(DarlOhneTilgung,4)=1,0,IF(AND(INDEX(DarlTilgStart,4)&gt;0,$E1922=INDEX(DarlTilgStart,4)),$J1922*($H1922+INDEX(DarlTilgung,4))/100/12,IF(AND($G1922=0,$G1921=1),MAX($K1921,$J1922*($H1922+1)/100/12),$K1921))))</f>
      </c>
      <c r="L1922" s="43">
        <f>IF($I1922=0,0,$J1922*$H1922/100/12)</f>
      </c>
      <c r="M1922" s="43">
        <f>IF($I1922=0,0,IF(OR(INDEX(DarlOhneTilgung,4)=1,AND(INDEX(DarlTilgStart,4)&gt;0,$E1922&lt;INDEX(DarlTilgStart,4))),0,MIN(MAX(0,$K1922-$L1922),$J1922)))</f>
      </c>
      <c r="N1922" s="43">
        <f>IF($I1922=0,0,MIN(SUMIFS(SondBetrag,SondDarl,4,SondDatum,"&gt;="&amp;$E1922,SondDatum,"&lt;="&amp;EOMONTH($E1922,0)),$J1922-$M1922))</f>
      </c>
      <c r="O1922" s="43">
        <f>IF($I1922=0,0,INDEX(DarlErsatzRate,4))</f>
      </c>
      <c r="P1922" s="43">
        <f>IF($I1922=0,0,$Q1921*INDEX(DarlErsatzZins,4))</f>
      </c>
      <c r="Q1922" s="43">
        <f>IF($I1922=0,0,$Q1921+$P1922+$O1922)</f>
      </c>
      <c r="R1922" s="43">
        <f>IF($I1922=0,0,$J1922-$M1922-$N1922)</f>
      </c>
    </row>
    <row r="1923">
      <c r="A1923"/>
      <c r="B1923">
        <v>4</v>
      </c>
      <c r="C1923" s="43">
        <f>INDEX(DarlObj,4)</f>
      </c>
      <c r="D1923">
        <v>480</v>
      </c>
      <c r="E1923" s="51">
        <f>IF(INDEX(DarlBelegt,4)=0,0,EOMONTH(INDEX(DarlAuszahlung,4),479)+1)</f>
      </c>
      <c r="F1923" s="43">
        <f>IF($E1923=0,0,YEAR($E1923))</f>
      </c>
      <c r="G1923" s="43">
        <f>IF(INDEX(DarlBindung,4)="",1,IF($E1923&lt;=INDEX(DarlBindung,4),1,0))</f>
      </c>
      <c r="H1923" s="43">
        <f>IF($G1923=1,INDEX(DarlSollzins,4),INDEX(DarlAnschluss,4))</f>
      </c>
      <c r="I1923" s="43">
        <f>IF(INDEX(DarlBelegt,4)=0,0,IF(INDEX(DarlOhneTilgung,4)=1,IF(INDEX(DarlBindung,4)="",1,$G1923),IF($J1923&gt;0.005,1,0)))</f>
      </c>
      <c r="J1923" s="43">
        <f>IF($I1922=0,0,$R1922)</f>
      </c>
      <c r="K1923" s="43">
        <f>IF($I1923=0,0,IF(INDEX(DarlOhneTilgung,4)=1,0,IF(AND(INDEX(DarlTilgStart,4)&gt;0,$E1923=INDEX(DarlTilgStart,4)),$J1923*($H1923+INDEX(DarlTilgung,4))/100/12,IF(AND($G1923=0,$G1922=1),MAX($K1922,$J1923*($H1923+1)/100/12),$K1922))))</f>
      </c>
      <c r="L1923" s="43">
        <f>IF($I1923=0,0,$J1923*$H1923/100/12)</f>
      </c>
      <c r="M1923" s="43">
        <f>IF($I1923=0,0,IF(OR(INDEX(DarlOhneTilgung,4)=1,AND(INDEX(DarlTilgStart,4)&gt;0,$E1923&lt;INDEX(DarlTilgStart,4))),0,MIN(MAX(0,$K1923-$L1923),$J1923)))</f>
      </c>
      <c r="N1923" s="43">
        <f>IF($I1923=0,0,MIN(SUMIFS(SondBetrag,SondDarl,4,SondDatum,"&gt;="&amp;$E1923,SondDatum,"&lt;="&amp;EOMONTH($E1923,0)),$J1923-$M1923))</f>
      </c>
      <c r="O1923" s="43">
        <f>IF($I1923=0,0,INDEX(DarlErsatzRate,4))</f>
      </c>
      <c r="P1923" s="43">
        <f>IF($I1923=0,0,$Q1922*INDEX(DarlErsatzZins,4))</f>
      </c>
      <c r="Q1923" s="43">
        <f>IF($I1923=0,0,$Q1922+$P1923+$O1923)</f>
      </c>
      <c r="R1923" s="43">
        <f>IF($I1923=0,0,$J1923-$M1923-$N1923)</f>
      </c>
    </row>
    <row r="1924">
      <c r="A1924"/>
      <c r="B1924">
        <v>5</v>
      </c>
      <c r="C1924" s="43">
        <f>INDEX(DarlObj,5)</f>
      </c>
      <c r="D1924">
        <v>1</v>
      </c>
      <c r="E1924" s="51">
        <f>IF(INDEX(DarlBelegt,5)=0,0,EOMONTH(INDEX(DarlAuszahlung,5),0)+1)</f>
      </c>
      <c r="F1924" s="43">
        <f>IF($E1924=0,0,YEAR($E1924))</f>
      </c>
      <c r="G1924" s="43">
        <f>IF(INDEX(DarlBindung,5)="",1,IF($E1924&lt;=INDEX(DarlBindung,5),1,0))</f>
      </c>
      <c r="H1924" s="43">
        <f>IF($G1924=1,INDEX(DarlSollzins,5),INDEX(DarlAnschluss,5))</f>
      </c>
      <c r="I1924" s="43">
        <f>IF(INDEX(DarlBelegt,5)=0,0,IF(INDEX(DarlOhneTilgung,5)=1,IF(INDEX(DarlBindung,5)="",1,$G1924),IF($J1924&gt;0.005,1,0)))</f>
      </c>
      <c r="J1924" s="43">
        <f>IF(INDEX(DarlBelegt,5)=0,0,INDEX(DarlBetrag,5))</f>
      </c>
      <c r="K1924" s="43">
        <f>IF($I1924=0,0,IF(INDEX(DarlOhneTilgung,5)=1,0,INDEX(DarlRate1,5)))</f>
      </c>
      <c r="L1924" s="43">
        <f>IF($I1924=0,0,$J1924*$H1924/100/12)</f>
      </c>
      <c r="M1924" s="43">
        <f>IF($I1924=0,0,IF(OR(INDEX(DarlOhneTilgung,5)=1,AND(INDEX(DarlTilgStart,5)&gt;0,$E1924&lt;INDEX(DarlTilgStart,5))),0,MIN(MAX(0,$K1924-$L1924),$J1924)))</f>
      </c>
      <c r="N1924" s="43">
        <f>IF($I1924=0,0,MIN(SUMIFS(SondBetrag,SondDarl,5,SondDatum,"&gt;="&amp;$E1924,SondDatum,"&lt;="&amp;EOMONTH($E1924,0)),$J1924-$M1924))</f>
      </c>
      <c r="O1924" s="43">
        <f>IF($I1924=0,0,INDEX(DarlErsatzRate,5))</f>
      </c>
      <c r="P1924" s="43">
        <f>0</f>
      </c>
      <c r="Q1924" s="43">
        <f>IF($I1924=0,0,$P1924+$O1924)</f>
      </c>
      <c r="R1924" s="43">
        <f>IF($I1924=0,0,$J1924-$M1924-$N1924)</f>
      </c>
    </row>
    <row r="1925">
      <c r="A1925"/>
      <c r="B1925">
        <v>5</v>
      </c>
      <c r="C1925" s="43">
        <f>INDEX(DarlObj,5)</f>
      </c>
      <c r="D1925">
        <v>2</v>
      </c>
      <c r="E1925" s="51">
        <f>IF(INDEX(DarlBelegt,5)=0,0,EOMONTH(INDEX(DarlAuszahlung,5),1)+1)</f>
      </c>
      <c r="F1925" s="43">
        <f>IF($E1925=0,0,YEAR($E1925))</f>
      </c>
      <c r="G1925" s="43">
        <f>IF(INDEX(DarlBindung,5)="",1,IF($E1925&lt;=INDEX(DarlBindung,5),1,0))</f>
      </c>
      <c r="H1925" s="43">
        <f>IF($G1925=1,INDEX(DarlSollzins,5),INDEX(DarlAnschluss,5))</f>
      </c>
      <c r="I1925" s="43">
        <f>IF(INDEX(DarlBelegt,5)=0,0,IF(INDEX(DarlOhneTilgung,5)=1,IF(INDEX(DarlBindung,5)="",1,$G1925),IF($J1925&gt;0.005,1,0)))</f>
      </c>
      <c r="J1925" s="43">
        <f>IF($I1924=0,0,$R1924)</f>
      </c>
      <c r="K1925" s="43">
        <f>IF($I1925=0,0,IF(INDEX(DarlOhneTilgung,5)=1,0,IF(AND(INDEX(DarlTilgStart,5)&gt;0,$E1925=INDEX(DarlTilgStart,5)),$J1925*($H1925+INDEX(DarlTilgung,5))/100/12,IF(AND($G1925=0,$G1924=1),MAX($K1924,$J1925*($H1925+1)/100/12),$K1924))))</f>
      </c>
      <c r="L1925" s="43">
        <f>IF($I1925=0,0,$J1925*$H1925/100/12)</f>
      </c>
      <c r="M1925" s="43">
        <f>IF($I1925=0,0,IF(OR(INDEX(DarlOhneTilgung,5)=1,AND(INDEX(DarlTilgStart,5)&gt;0,$E1925&lt;INDEX(DarlTilgStart,5))),0,MIN(MAX(0,$K1925-$L1925),$J1925)))</f>
      </c>
      <c r="N1925" s="43">
        <f>IF($I1925=0,0,MIN(SUMIFS(SondBetrag,SondDarl,5,SondDatum,"&gt;="&amp;$E1925,SondDatum,"&lt;="&amp;EOMONTH($E1925,0)),$J1925-$M1925))</f>
      </c>
      <c r="O1925" s="43">
        <f>IF($I1925=0,0,INDEX(DarlErsatzRate,5))</f>
      </c>
      <c r="P1925" s="43">
        <f>IF($I1925=0,0,$Q1924*INDEX(DarlErsatzZins,5))</f>
      </c>
      <c r="Q1925" s="43">
        <f>IF($I1925=0,0,$Q1924+$P1925+$O1925)</f>
      </c>
      <c r="R1925" s="43">
        <f>IF($I1925=0,0,$J1925-$M1925-$N1925)</f>
      </c>
    </row>
    <row r="1926">
      <c r="A1926"/>
      <c r="B1926">
        <v>5</v>
      </c>
      <c r="C1926" s="43">
        <f>INDEX(DarlObj,5)</f>
      </c>
      <c r="D1926">
        <v>3</v>
      </c>
      <c r="E1926" s="51">
        <f>IF(INDEX(DarlBelegt,5)=0,0,EOMONTH(INDEX(DarlAuszahlung,5),2)+1)</f>
      </c>
      <c r="F1926" s="43">
        <f>IF($E1926=0,0,YEAR($E1926))</f>
      </c>
      <c r="G1926" s="43">
        <f>IF(INDEX(DarlBindung,5)="",1,IF($E1926&lt;=INDEX(DarlBindung,5),1,0))</f>
      </c>
      <c r="H1926" s="43">
        <f>IF($G1926=1,INDEX(DarlSollzins,5),INDEX(DarlAnschluss,5))</f>
      </c>
      <c r="I1926" s="43">
        <f>IF(INDEX(DarlBelegt,5)=0,0,IF(INDEX(DarlOhneTilgung,5)=1,IF(INDEX(DarlBindung,5)="",1,$G1926),IF($J1926&gt;0.005,1,0)))</f>
      </c>
      <c r="J1926" s="43">
        <f>IF($I1925=0,0,$R1925)</f>
      </c>
      <c r="K1926" s="43">
        <f>IF($I1926=0,0,IF(INDEX(DarlOhneTilgung,5)=1,0,IF(AND(INDEX(DarlTilgStart,5)&gt;0,$E1926=INDEX(DarlTilgStart,5)),$J1926*($H1926+INDEX(DarlTilgung,5))/100/12,IF(AND($G1926=0,$G1925=1),MAX($K1925,$J1926*($H1926+1)/100/12),$K1925))))</f>
      </c>
      <c r="L1926" s="43">
        <f>IF($I1926=0,0,$J1926*$H1926/100/12)</f>
      </c>
      <c r="M1926" s="43">
        <f>IF($I1926=0,0,IF(OR(INDEX(DarlOhneTilgung,5)=1,AND(INDEX(DarlTilgStart,5)&gt;0,$E1926&lt;INDEX(DarlTilgStart,5))),0,MIN(MAX(0,$K1926-$L1926),$J1926)))</f>
      </c>
      <c r="N1926" s="43">
        <f>IF($I1926=0,0,MIN(SUMIFS(SondBetrag,SondDarl,5,SondDatum,"&gt;="&amp;$E1926,SondDatum,"&lt;="&amp;EOMONTH($E1926,0)),$J1926-$M1926))</f>
      </c>
      <c r="O1926" s="43">
        <f>IF($I1926=0,0,INDEX(DarlErsatzRate,5))</f>
      </c>
      <c r="P1926" s="43">
        <f>IF($I1926=0,0,$Q1925*INDEX(DarlErsatzZins,5))</f>
      </c>
      <c r="Q1926" s="43">
        <f>IF($I1926=0,0,$Q1925+$P1926+$O1926)</f>
      </c>
      <c r="R1926" s="43">
        <f>IF($I1926=0,0,$J1926-$M1926-$N1926)</f>
      </c>
    </row>
    <row r="1927">
      <c r="A1927"/>
      <c r="B1927">
        <v>5</v>
      </c>
      <c r="C1927" s="43">
        <f>INDEX(DarlObj,5)</f>
      </c>
      <c r="D1927">
        <v>4</v>
      </c>
      <c r="E1927" s="51">
        <f>IF(INDEX(DarlBelegt,5)=0,0,EOMONTH(INDEX(DarlAuszahlung,5),3)+1)</f>
      </c>
      <c r="F1927" s="43">
        <f>IF($E1927=0,0,YEAR($E1927))</f>
      </c>
      <c r="G1927" s="43">
        <f>IF(INDEX(DarlBindung,5)="",1,IF($E1927&lt;=INDEX(DarlBindung,5),1,0))</f>
      </c>
      <c r="H1927" s="43">
        <f>IF($G1927=1,INDEX(DarlSollzins,5),INDEX(DarlAnschluss,5))</f>
      </c>
      <c r="I1927" s="43">
        <f>IF(INDEX(DarlBelegt,5)=0,0,IF(INDEX(DarlOhneTilgung,5)=1,IF(INDEX(DarlBindung,5)="",1,$G1927),IF($J1927&gt;0.005,1,0)))</f>
      </c>
      <c r="J1927" s="43">
        <f>IF($I1926=0,0,$R1926)</f>
      </c>
      <c r="K1927" s="43">
        <f>IF($I1927=0,0,IF(INDEX(DarlOhneTilgung,5)=1,0,IF(AND(INDEX(DarlTilgStart,5)&gt;0,$E1927=INDEX(DarlTilgStart,5)),$J1927*($H1927+INDEX(DarlTilgung,5))/100/12,IF(AND($G1927=0,$G1926=1),MAX($K1926,$J1927*($H1927+1)/100/12),$K1926))))</f>
      </c>
      <c r="L1927" s="43">
        <f>IF($I1927=0,0,$J1927*$H1927/100/12)</f>
      </c>
      <c r="M1927" s="43">
        <f>IF($I1927=0,0,IF(OR(INDEX(DarlOhneTilgung,5)=1,AND(INDEX(DarlTilgStart,5)&gt;0,$E1927&lt;INDEX(DarlTilgStart,5))),0,MIN(MAX(0,$K1927-$L1927),$J1927)))</f>
      </c>
      <c r="N1927" s="43">
        <f>IF($I1927=0,0,MIN(SUMIFS(SondBetrag,SondDarl,5,SondDatum,"&gt;="&amp;$E1927,SondDatum,"&lt;="&amp;EOMONTH($E1927,0)),$J1927-$M1927))</f>
      </c>
      <c r="O1927" s="43">
        <f>IF($I1927=0,0,INDEX(DarlErsatzRate,5))</f>
      </c>
      <c r="P1927" s="43">
        <f>IF($I1927=0,0,$Q1926*INDEX(DarlErsatzZins,5))</f>
      </c>
      <c r="Q1927" s="43">
        <f>IF($I1927=0,0,$Q1926+$P1927+$O1927)</f>
      </c>
      <c r="R1927" s="43">
        <f>IF($I1927=0,0,$J1927-$M1927-$N1927)</f>
      </c>
    </row>
    <row r="1928">
      <c r="A1928"/>
      <c r="B1928">
        <v>5</v>
      </c>
      <c r="C1928" s="43">
        <f>INDEX(DarlObj,5)</f>
      </c>
      <c r="D1928">
        <v>5</v>
      </c>
      <c r="E1928" s="51">
        <f>IF(INDEX(DarlBelegt,5)=0,0,EOMONTH(INDEX(DarlAuszahlung,5),4)+1)</f>
      </c>
      <c r="F1928" s="43">
        <f>IF($E1928=0,0,YEAR($E1928))</f>
      </c>
      <c r="G1928" s="43">
        <f>IF(INDEX(DarlBindung,5)="",1,IF($E1928&lt;=INDEX(DarlBindung,5),1,0))</f>
      </c>
      <c r="H1928" s="43">
        <f>IF($G1928=1,INDEX(DarlSollzins,5),INDEX(DarlAnschluss,5))</f>
      </c>
      <c r="I1928" s="43">
        <f>IF(INDEX(DarlBelegt,5)=0,0,IF(INDEX(DarlOhneTilgung,5)=1,IF(INDEX(DarlBindung,5)="",1,$G1928),IF($J1928&gt;0.005,1,0)))</f>
      </c>
      <c r="J1928" s="43">
        <f>IF($I1927=0,0,$R1927)</f>
      </c>
      <c r="K1928" s="43">
        <f>IF($I1928=0,0,IF(INDEX(DarlOhneTilgung,5)=1,0,IF(AND(INDEX(DarlTilgStart,5)&gt;0,$E1928=INDEX(DarlTilgStart,5)),$J1928*($H1928+INDEX(DarlTilgung,5))/100/12,IF(AND($G1928=0,$G1927=1),MAX($K1927,$J1928*($H1928+1)/100/12),$K1927))))</f>
      </c>
      <c r="L1928" s="43">
        <f>IF($I1928=0,0,$J1928*$H1928/100/12)</f>
      </c>
      <c r="M1928" s="43">
        <f>IF($I1928=0,0,IF(OR(INDEX(DarlOhneTilgung,5)=1,AND(INDEX(DarlTilgStart,5)&gt;0,$E1928&lt;INDEX(DarlTilgStart,5))),0,MIN(MAX(0,$K1928-$L1928),$J1928)))</f>
      </c>
      <c r="N1928" s="43">
        <f>IF($I1928=0,0,MIN(SUMIFS(SondBetrag,SondDarl,5,SondDatum,"&gt;="&amp;$E1928,SondDatum,"&lt;="&amp;EOMONTH($E1928,0)),$J1928-$M1928))</f>
      </c>
      <c r="O1928" s="43">
        <f>IF($I1928=0,0,INDEX(DarlErsatzRate,5))</f>
      </c>
      <c r="P1928" s="43">
        <f>IF($I1928=0,0,$Q1927*INDEX(DarlErsatzZins,5))</f>
      </c>
      <c r="Q1928" s="43">
        <f>IF($I1928=0,0,$Q1927+$P1928+$O1928)</f>
      </c>
      <c r="R1928" s="43">
        <f>IF($I1928=0,0,$J1928-$M1928-$N1928)</f>
      </c>
    </row>
    <row r="1929">
      <c r="A1929"/>
      <c r="B1929">
        <v>5</v>
      </c>
      <c r="C1929" s="43">
        <f>INDEX(DarlObj,5)</f>
      </c>
      <c r="D1929">
        <v>6</v>
      </c>
      <c r="E1929" s="51">
        <f>IF(INDEX(DarlBelegt,5)=0,0,EOMONTH(INDEX(DarlAuszahlung,5),5)+1)</f>
      </c>
      <c r="F1929" s="43">
        <f>IF($E1929=0,0,YEAR($E1929))</f>
      </c>
      <c r="G1929" s="43">
        <f>IF(INDEX(DarlBindung,5)="",1,IF($E1929&lt;=INDEX(DarlBindung,5),1,0))</f>
      </c>
      <c r="H1929" s="43">
        <f>IF($G1929=1,INDEX(DarlSollzins,5),INDEX(DarlAnschluss,5))</f>
      </c>
      <c r="I1929" s="43">
        <f>IF(INDEX(DarlBelegt,5)=0,0,IF(INDEX(DarlOhneTilgung,5)=1,IF(INDEX(DarlBindung,5)="",1,$G1929),IF($J1929&gt;0.005,1,0)))</f>
      </c>
      <c r="J1929" s="43">
        <f>IF($I1928=0,0,$R1928)</f>
      </c>
      <c r="K1929" s="43">
        <f>IF($I1929=0,0,IF(INDEX(DarlOhneTilgung,5)=1,0,IF(AND(INDEX(DarlTilgStart,5)&gt;0,$E1929=INDEX(DarlTilgStart,5)),$J1929*($H1929+INDEX(DarlTilgung,5))/100/12,IF(AND($G1929=0,$G1928=1),MAX($K1928,$J1929*($H1929+1)/100/12),$K1928))))</f>
      </c>
      <c r="L1929" s="43">
        <f>IF($I1929=0,0,$J1929*$H1929/100/12)</f>
      </c>
      <c r="M1929" s="43">
        <f>IF($I1929=0,0,IF(OR(INDEX(DarlOhneTilgung,5)=1,AND(INDEX(DarlTilgStart,5)&gt;0,$E1929&lt;INDEX(DarlTilgStart,5))),0,MIN(MAX(0,$K1929-$L1929),$J1929)))</f>
      </c>
      <c r="N1929" s="43">
        <f>IF($I1929=0,0,MIN(SUMIFS(SondBetrag,SondDarl,5,SondDatum,"&gt;="&amp;$E1929,SondDatum,"&lt;="&amp;EOMONTH($E1929,0)),$J1929-$M1929))</f>
      </c>
      <c r="O1929" s="43">
        <f>IF($I1929=0,0,INDEX(DarlErsatzRate,5))</f>
      </c>
      <c r="P1929" s="43">
        <f>IF($I1929=0,0,$Q1928*INDEX(DarlErsatzZins,5))</f>
      </c>
      <c r="Q1929" s="43">
        <f>IF($I1929=0,0,$Q1928+$P1929+$O1929)</f>
      </c>
      <c r="R1929" s="43">
        <f>IF($I1929=0,0,$J1929-$M1929-$N1929)</f>
      </c>
    </row>
    <row r="1930">
      <c r="A1930"/>
      <c r="B1930">
        <v>5</v>
      </c>
      <c r="C1930" s="43">
        <f>INDEX(DarlObj,5)</f>
      </c>
      <c r="D1930">
        <v>7</v>
      </c>
      <c r="E1930" s="51">
        <f>IF(INDEX(DarlBelegt,5)=0,0,EOMONTH(INDEX(DarlAuszahlung,5),6)+1)</f>
      </c>
      <c r="F1930" s="43">
        <f>IF($E1930=0,0,YEAR($E1930))</f>
      </c>
      <c r="G1930" s="43">
        <f>IF(INDEX(DarlBindung,5)="",1,IF($E1930&lt;=INDEX(DarlBindung,5),1,0))</f>
      </c>
      <c r="H1930" s="43">
        <f>IF($G1930=1,INDEX(DarlSollzins,5),INDEX(DarlAnschluss,5))</f>
      </c>
      <c r="I1930" s="43">
        <f>IF(INDEX(DarlBelegt,5)=0,0,IF(INDEX(DarlOhneTilgung,5)=1,IF(INDEX(DarlBindung,5)="",1,$G1930),IF($J1930&gt;0.005,1,0)))</f>
      </c>
      <c r="J1930" s="43">
        <f>IF($I1929=0,0,$R1929)</f>
      </c>
      <c r="K1930" s="43">
        <f>IF($I1930=0,0,IF(INDEX(DarlOhneTilgung,5)=1,0,IF(AND(INDEX(DarlTilgStart,5)&gt;0,$E1930=INDEX(DarlTilgStart,5)),$J1930*($H1930+INDEX(DarlTilgung,5))/100/12,IF(AND($G1930=0,$G1929=1),MAX($K1929,$J1930*($H1930+1)/100/12),$K1929))))</f>
      </c>
      <c r="L1930" s="43">
        <f>IF($I1930=0,0,$J1930*$H1930/100/12)</f>
      </c>
      <c r="M1930" s="43">
        <f>IF($I1930=0,0,IF(OR(INDEX(DarlOhneTilgung,5)=1,AND(INDEX(DarlTilgStart,5)&gt;0,$E1930&lt;INDEX(DarlTilgStart,5))),0,MIN(MAX(0,$K1930-$L1930),$J1930)))</f>
      </c>
      <c r="N1930" s="43">
        <f>IF($I1930=0,0,MIN(SUMIFS(SondBetrag,SondDarl,5,SondDatum,"&gt;="&amp;$E1930,SondDatum,"&lt;="&amp;EOMONTH($E1930,0)),$J1930-$M1930))</f>
      </c>
      <c r="O1930" s="43">
        <f>IF($I1930=0,0,INDEX(DarlErsatzRate,5))</f>
      </c>
      <c r="P1930" s="43">
        <f>IF($I1930=0,0,$Q1929*INDEX(DarlErsatzZins,5))</f>
      </c>
      <c r="Q1930" s="43">
        <f>IF($I1930=0,0,$Q1929+$P1930+$O1930)</f>
      </c>
      <c r="R1930" s="43">
        <f>IF($I1930=0,0,$J1930-$M1930-$N1930)</f>
      </c>
    </row>
    <row r="1931">
      <c r="A1931"/>
      <c r="B1931">
        <v>5</v>
      </c>
      <c r="C1931" s="43">
        <f>INDEX(DarlObj,5)</f>
      </c>
      <c r="D1931">
        <v>8</v>
      </c>
      <c r="E1931" s="51">
        <f>IF(INDEX(DarlBelegt,5)=0,0,EOMONTH(INDEX(DarlAuszahlung,5),7)+1)</f>
      </c>
      <c r="F1931" s="43">
        <f>IF($E1931=0,0,YEAR($E1931))</f>
      </c>
      <c r="G1931" s="43">
        <f>IF(INDEX(DarlBindung,5)="",1,IF($E1931&lt;=INDEX(DarlBindung,5),1,0))</f>
      </c>
      <c r="H1931" s="43">
        <f>IF($G1931=1,INDEX(DarlSollzins,5),INDEX(DarlAnschluss,5))</f>
      </c>
      <c r="I1931" s="43">
        <f>IF(INDEX(DarlBelegt,5)=0,0,IF(INDEX(DarlOhneTilgung,5)=1,IF(INDEX(DarlBindung,5)="",1,$G1931),IF($J1931&gt;0.005,1,0)))</f>
      </c>
      <c r="J1931" s="43">
        <f>IF($I1930=0,0,$R1930)</f>
      </c>
      <c r="K1931" s="43">
        <f>IF($I1931=0,0,IF(INDEX(DarlOhneTilgung,5)=1,0,IF(AND(INDEX(DarlTilgStart,5)&gt;0,$E1931=INDEX(DarlTilgStart,5)),$J1931*($H1931+INDEX(DarlTilgung,5))/100/12,IF(AND($G1931=0,$G1930=1),MAX($K1930,$J1931*($H1931+1)/100/12),$K1930))))</f>
      </c>
      <c r="L1931" s="43">
        <f>IF($I1931=0,0,$J1931*$H1931/100/12)</f>
      </c>
      <c r="M1931" s="43">
        <f>IF($I1931=0,0,IF(OR(INDEX(DarlOhneTilgung,5)=1,AND(INDEX(DarlTilgStart,5)&gt;0,$E1931&lt;INDEX(DarlTilgStart,5))),0,MIN(MAX(0,$K1931-$L1931),$J1931)))</f>
      </c>
      <c r="N1931" s="43">
        <f>IF($I1931=0,0,MIN(SUMIFS(SondBetrag,SondDarl,5,SondDatum,"&gt;="&amp;$E1931,SondDatum,"&lt;="&amp;EOMONTH($E1931,0)),$J1931-$M1931))</f>
      </c>
      <c r="O1931" s="43">
        <f>IF($I1931=0,0,INDEX(DarlErsatzRate,5))</f>
      </c>
      <c r="P1931" s="43">
        <f>IF($I1931=0,0,$Q1930*INDEX(DarlErsatzZins,5))</f>
      </c>
      <c r="Q1931" s="43">
        <f>IF($I1931=0,0,$Q1930+$P1931+$O1931)</f>
      </c>
      <c r="R1931" s="43">
        <f>IF($I1931=0,0,$J1931-$M1931-$N1931)</f>
      </c>
    </row>
    <row r="1932">
      <c r="A1932"/>
      <c r="B1932">
        <v>5</v>
      </c>
      <c r="C1932" s="43">
        <f>INDEX(DarlObj,5)</f>
      </c>
      <c r="D1932">
        <v>9</v>
      </c>
      <c r="E1932" s="51">
        <f>IF(INDEX(DarlBelegt,5)=0,0,EOMONTH(INDEX(DarlAuszahlung,5),8)+1)</f>
      </c>
      <c r="F1932" s="43">
        <f>IF($E1932=0,0,YEAR($E1932))</f>
      </c>
      <c r="G1932" s="43">
        <f>IF(INDEX(DarlBindung,5)="",1,IF($E1932&lt;=INDEX(DarlBindung,5),1,0))</f>
      </c>
      <c r="H1932" s="43">
        <f>IF($G1932=1,INDEX(DarlSollzins,5),INDEX(DarlAnschluss,5))</f>
      </c>
      <c r="I1932" s="43">
        <f>IF(INDEX(DarlBelegt,5)=0,0,IF(INDEX(DarlOhneTilgung,5)=1,IF(INDEX(DarlBindung,5)="",1,$G1932),IF($J1932&gt;0.005,1,0)))</f>
      </c>
      <c r="J1932" s="43">
        <f>IF($I1931=0,0,$R1931)</f>
      </c>
      <c r="K1932" s="43">
        <f>IF($I1932=0,0,IF(INDEX(DarlOhneTilgung,5)=1,0,IF(AND(INDEX(DarlTilgStart,5)&gt;0,$E1932=INDEX(DarlTilgStart,5)),$J1932*($H1932+INDEX(DarlTilgung,5))/100/12,IF(AND($G1932=0,$G1931=1),MAX($K1931,$J1932*($H1932+1)/100/12),$K1931))))</f>
      </c>
      <c r="L1932" s="43">
        <f>IF($I1932=0,0,$J1932*$H1932/100/12)</f>
      </c>
      <c r="M1932" s="43">
        <f>IF($I1932=0,0,IF(OR(INDEX(DarlOhneTilgung,5)=1,AND(INDEX(DarlTilgStart,5)&gt;0,$E1932&lt;INDEX(DarlTilgStart,5))),0,MIN(MAX(0,$K1932-$L1932),$J1932)))</f>
      </c>
      <c r="N1932" s="43">
        <f>IF($I1932=0,0,MIN(SUMIFS(SondBetrag,SondDarl,5,SondDatum,"&gt;="&amp;$E1932,SondDatum,"&lt;="&amp;EOMONTH($E1932,0)),$J1932-$M1932))</f>
      </c>
      <c r="O1932" s="43">
        <f>IF($I1932=0,0,INDEX(DarlErsatzRate,5))</f>
      </c>
      <c r="P1932" s="43">
        <f>IF($I1932=0,0,$Q1931*INDEX(DarlErsatzZins,5))</f>
      </c>
      <c r="Q1932" s="43">
        <f>IF($I1932=0,0,$Q1931+$P1932+$O1932)</f>
      </c>
      <c r="R1932" s="43">
        <f>IF($I1932=0,0,$J1932-$M1932-$N1932)</f>
      </c>
    </row>
    <row r="1933">
      <c r="A1933"/>
      <c r="B1933">
        <v>5</v>
      </c>
      <c r="C1933" s="43">
        <f>INDEX(DarlObj,5)</f>
      </c>
      <c r="D1933">
        <v>10</v>
      </c>
      <c r="E1933" s="51">
        <f>IF(INDEX(DarlBelegt,5)=0,0,EOMONTH(INDEX(DarlAuszahlung,5),9)+1)</f>
      </c>
      <c r="F1933" s="43">
        <f>IF($E1933=0,0,YEAR($E1933))</f>
      </c>
      <c r="G1933" s="43">
        <f>IF(INDEX(DarlBindung,5)="",1,IF($E1933&lt;=INDEX(DarlBindung,5),1,0))</f>
      </c>
      <c r="H1933" s="43">
        <f>IF($G1933=1,INDEX(DarlSollzins,5),INDEX(DarlAnschluss,5))</f>
      </c>
      <c r="I1933" s="43">
        <f>IF(INDEX(DarlBelegt,5)=0,0,IF(INDEX(DarlOhneTilgung,5)=1,IF(INDEX(DarlBindung,5)="",1,$G1933),IF($J1933&gt;0.005,1,0)))</f>
      </c>
      <c r="J1933" s="43">
        <f>IF($I1932=0,0,$R1932)</f>
      </c>
      <c r="K1933" s="43">
        <f>IF($I1933=0,0,IF(INDEX(DarlOhneTilgung,5)=1,0,IF(AND(INDEX(DarlTilgStart,5)&gt;0,$E1933=INDEX(DarlTilgStart,5)),$J1933*($H1933+INDEX(DarlTilgung,5))/100/12,IF(AND($G1933=0,$G1932=1),MAX($K1932,$J1933*($H1933+1)/100/12),$K1932))))</f>
      </c>
      <c r="L1933" s="43">
        <f>IF($I1933=0,0,$J1933*$H1933/100/12)</f>
      </c>
      <c r="M1933" s="43">
        <f>IF($I1933=0,0,IF(OR(INDEX(DarlOhneTilgung,5)=1,AND(INDEX(DarlTilgStart,5)&gt;0,$E1933&lt;INDEX(DarlTilgStart,5))),0,MIN(MAX(0,$K1933-$L1933),$J1933)))</f>
      </c>
      <c r="N1933" s="43">
        <f>IF($I1933=0,0,MIN(SUMIFS(SondBetrag,SondDarl,5,SondDatum,"&gt;="&amp;$E1933,SondDatum,"&lt;="&amp;EOMONTH($E1933,0)),$J1933-$M1933))</f>
      </c>
      <c r="O1933" s="43">
        <f>IF($I1933=0,0,INDEX(DarlErsatzRate,5))</f>
      </c>
      <c r="P1933" s="43">
        <f>IF($I1933=0,0,$Q1932*INDEX(DarlErsatzZins,5))</f>
      </c>
      <c r="Q1933" s="43">
        <f>IF($I1933=0,0,$Q1932+$P1933+$O1933)</f>
      </c>
      <c r="R1933" s="43">
        <f>IF($I1933=0,0,$J1933-$M1933-$N1933)</f>
      </c>
    </row>
    <row r="1934">
      <c r="A1934"/>
      <c r="B1934">
        <v>5</v>
      </c>
      <c r="C1934" s="43">
        <f>INDEX(DarlObj,5)</f>
      </c>
      <c r="D1934">
        <v>11</v>
      </c>
      <c r="E1934" s="51">
        <f>IF(INDEX(DarlBelegt,5)=0,0,EOMONTH(INDEX(DarlAuszahlung,5),10)+1)</f>
      </c>
      <c r="F1934" s="43">
        <f>IF($E1934=0,0,YEAR($E1934))</f>
      </c>
      <c r="G1934" s="43">
        <f>IF(INDEX(DarlBindung,5)="",1,IF($E1934&lt;=INDEX(DarlBindung,5),1,0))</f>
      </c>
      <c r="H1934" s="43">
        <f>IF($G1934=1,INDEX(DarlSollzins,5),INDEX(DarlAnschluss,5))</f>
      </c>
      <c r="I1934" s="43">
        <f>IF(INDEX(DarlBelegt,5)=0,0,IF(INDEX(DarlOhneTilgung,5)=1,IF(INDEX(DarlBindung,5)="",1,$G1934),IF($J1934&gt;0.005,1,0)))</f>
      </c>
      <c r="J1934" s="43">
        <f>IF($I1933=0,0,$R1933)</f>
      </c>
      <c r="K1934" s="43">
        <f>IF($I1934=0,0,IF(INDEX(DarlOhneTilgung,5)=1,0,IF(AND(INDEX(DarlTilgStart,5)&gt;0,$E1934=INDEX(DarlTilgStart,5)),$J1934*($H1934+INDEX(DarlTilgung,5))/100/12,IF(AND($G1934=0,$G1933=1),MAX($K1933,$J1934*($H1934+1)/100/12),$K1933))))</f>
      </c>
      <c r="L1934" s="43">
        <f>IF($I1934=0,0,$J1934*$H1934/100/12)</f>
      </c>
      <c r="M1934" s="43">
        <f>IF($I1934=0,0,IF(OR(INDEX(DarlOhneTilgung,5)=1,AND(INDEX(DarlTilgStart,5)&gt;0,$E1934&lt;INDEX(DarlTilgStart,5))),0,MIN(MAX(0,$K1934-$L1934),$J1934)))</f>
      </c>
      <c r="N1934" s="43">
        <f>IF($I1934=0,0,MIN(SUMIFS(SondBetrag,SondDarl,5,SondDatum,"&gt;="&amp;$E1934,SondDatum,"&lt;="&amp;EOMONTH($E1934,0)),$J1934-$M1934))</f>
      </c>
      <c r="O1934" s="43">
        <f>IF($I1934=0,0,INDEX(DarlErsatzRate,5))</f>
      </c>
      <c r="P1934" s="43">
        <f>IF($I1934=0,0,$Q1933*INDEX(DarlErsatzZins,5))</f>
      </c>
      <c r="Q1934" s="43">
        <f>IF($I1934=0,0,$Q1933+$P1934+$O1934)</f>
      </c>
      <c r="R1934" s="43">
        <f>IF($I1934=0,0,$J1934-$M1934-$N1934)</f>
      </c>
    </row>
    <row r="1935">
      <c r="A1935"/>
      <c r="B1935">
        <v>5</v>
      </c>
      <c r="C1935" s="43">
        <f>INDEX(DarlObj,5)</f>
      </c>
      <c r="D1935">
        <v>12</v>
      </c>
      <c r="E1935" s="51">
        <f>IF(INDEX(DarlBelegt,5)=0,0,EOMONTH(INDEX(DarlAuszahlung,5),11)+1)</f>
      </c>
      <c r="F1935" s="43">
        <f>IF($E1935=0,0,YEAR($E1935))</f>
      </c>
      <c r="G1935" s="43">
        <f>IF(INDEX(DarlBindung,5)="",1,IF($E1935&lt;=INDEX(DarlBindung,5),1,0))</f>
      </c>
      <c r="H1935" s="43">
        <f>IF($G1935=1,INDEX(DarlSollzins,5),INDEX(DarlAnschluss,5))</f>
      </c>
      <c r="I1935" s="43">
        <f>IF(INDEX(DarlBelegt,5)=0,0,IF(INDEX(DarlOhneTilgung,5)=1,IF(INDEX(DarlBindung,5)="",1,$G1935),IF($J1935&gt;0.005,1,0)))</f>
      </c>
      <c r="J1935" s="43">
        <f>IF($I1934=0,0,$R1934)</f>
      </c>
      <c r="K1935" s="43">
        <f>IF($I1935=0,0,IF(INDEX(DarlOhneTilgung,5)=1,0,IF(AND(INDEX(DarlTilgStart,5)&gt;0,$E1935=INDEX(DarlTilgStart,5)),$J1935*($H1935+INDEX(DarlTilgung,5))/100/12,IF(AND($G1935=0,$G1934=1),MAX($K1934,$J1935*($H1935+1)/100/12),$K1934))))</f>
      </c>
      <c r="L1935" s="43">
        <f>IF($I1935=0,0,$J1935*$H1935/100/12)</f>
      </c>
      <c r="M1935" s="43">
        <f>IF($I1935=0,0,IF(OR(INDEX(DarlOhneTilgung,5)=1,AND(INDEX(DarlTilgStart,5)&gt;0,$E1935&lt;INDEX(DarlTilgStart,5))),0,MIN(MAX(0,$K1935-$L1935),$J1935)))</f>
      </c>
      <c r="N1935" s="43">
        <f>IF($I1935=0,0,MIN(SUMIFS(SondBetrag,SondDarl,5,SondDatum,"&gt;="&amp;$E1935,SondDatum,"&lt;="&amp;EOMONTH($E1935,0)),$J1935-$M1935))</f>
      </c>
      <c r="O1935" s="43">
        <f>IF($I1935=0,0,INDEX(DarlErsatzRate,5))</f>
      </c>
      <c r="P1935" s="43">
        <f>IF($I1935=0,0,$Q1934*INDEX(DarlErsatzZins,5))</f>
      </c>
      <c r="Q1935" s="43">
        <f>IF($I1935=0,0,$Q1934+$P1935+$O1935)</f>
      </c>
      <c r="R1935" s="43">
        <f>IF($I1935=0,0,$J1935-$M1935-$N1935)</f>
      </c>
    </row>
    <row r="1936">
      <c r="A1936"/>
      <c r="B1936">
        <v>5</v>
      </c>
      <c r="C1936" s="43">
        <f>INDEX(DarlObj,5)</f>
      </c>
      <c r="D1936">
        <v>13</v>
      </c>
      <c r="E1936" s="51">
        <f>IF(INDEX(DarlBelegt,5)=0,0,EOMONTH(INDEX(DarlAuszahlung,5),12)+1)</f>
      </c>
      <c r="F1936" s="43">
        <f>IF($E1936=0,0,YEAR($E1936))</f>
      </c>
      <c r="G1936" s="43">
        <f>IF(INDEX(DarlBindung,5)="",1,IF($E1936&lt;=INDEX(DarlBindung,5),1,0))</f>
      </c>
      <c r="H1936" s="43">
        <f>IF($G1936=1,INDEX(DarlSollzins,5),INDEX(DarlAnschluss,5))</f>
      </c>
      <c r="I1936" s="43">
        <f>IF(INDEX(DarlBelegt,5)=0,0,IF(INDEX(DarlOhneTilgung,5)=1,IF(INDEX(DarlBindung,5)="",1,$G1936),IF($J1936&gt;0.005,1,0)))</f>
      </c>
      <c r="J1936" s="43">
        <f>IF($I1935=0,0,$R1935)</f>
      </c>
      <c r="K1936" s="43">
        <f>IF($I1936=0,0,IF(INDEX(DarlOhneTilgung,5)=1,0,IF(AND(INDEX(DarlTilgStart,5)&gt;0,$E1936=INDEX(DarlTilgStart,5)),$J1936*($H1936+INDEX(DarlTilgung,5))/100/12,IF(AND($G1936=0,$G1935=1),MAX($K1935,$J1936*($H1936+1)/100/12),$K1935))))</f>
      </c>
      <c r="L1936" s="43">
        <f>IF($I1936=0,0,$J1936*$H1936/100/12)</f>
      </c>
      <c r="M1936" s="43">
        <f>IF($I1936=0,0,IF(OR(INDEX(DarlOhneTilgung,5)=1,AND(INDEX(DarlTilgStart,5)&gt;0,$E1936&lt;INDEX(DarlTilgStart,5))),0,MIN(MAX(0,$K1936-$L1936),$J1936)))</f>
      </c>
      <c r="N1936" s="43">
        <f>IF($I1936=0,0,MIN(SUMIFS(SondBetrag,SondDarl,5,SondDatum,"&gt;="&amp;$E1936,SondDatum,"&lt;="&amp;EOMONTH($E1936,0)),$J1936-$M1936))</f>
      </c>
      <c r="O1936" s="43">
        <f>IF($I1936=0,0,INDEX(DarlErsatzRate,5))</f>
      </c>
      <c r="P1936" s="43">
        <f>IF($I1936=0,0,$Q1935*INDEX(DarlErsatzZins,5))</f>
      </c>
      <c r="Q1936" s="43">
        <f>IF($I1936=0,0,$Q1935+$P1936+$O1936)</f>
      </c>
      <c r="R1936" s="43">
        <f>IF($I1936=0,0,$J1936-$M1936-$N1936)</f>
      </c>
    </row>
    <row r="1937">
      <c r="A1937"/>
      <c r="B1937">
        <v>5</v>
      </c>
      <c r="C1937" s="43">
        <f>INDEX(DarlObj,5)</f>
      </c>
      <c r="D1937">
        <v>14</v>
      </c>
      <c r="E1937" s="51">
        <f>IF(INDEX(DarlBelegt,5)=0,0,EOMONTH(INDEX(DarlAuszahlung,5),13)+1)</f>
      </c>
      <c r="F1937" s="43">
        <f>IF($E1937=0,0,YEAR($E1937))</f>
      </c>
      <c r="G1937" s="43">
        <f>IF(INDEX(DarlBindung,5)="",1,IF($E1937&lt;=INDEX(DarlBindung,5),1,0))</f>
      </c>
      <c r="H1937" s="43">
        <f>IF($G1937=1,INDEX(DarlSollzins,5),INDEX(DarlAnschluss,5))</f>
      </c>
      <c r="I1937" s="43">
        <f>IF(INDEX(DarlBelegt,5)=0,0,IF(INDEX(DarlOhneTilgung,5)=1,IF(INDEX(DarlBindung,5)="",1,$G1937),IF($J1937&gt;0.005,1,0)))</f>
      </c>
      <c r="J1937" s="43">
        <f>IF($I1936=0,0,$R1936)</f>
      </c>
      <c r="K1937" s="43">
        <f>IF($I1937=0,0,IF(INDEX(DarlOhneTilgung,5)=1,0,IF(AND(INDEX(DarlTilgStart,5)&gt;0,$E1937=INDEX(DarlTilgStart,5)),$J1937*($H1937+INDEX(DarlTilgung,5))/100/12,IF(AND($G1937=0,$G1936=1),MAX($K1936,$J1937*($H1937+1)/100/12),$K1936))))</f>
      </c>
      <c r="L1937" s="43">
        <f>IF($I1937=0,0,$J1937*$H1937/100/12)</f>
      </c>
      <c r="M1937" s="43">
        <f>IF($I1937=0,0,IF(OR(INDEX(DarlOhneTilgung,5)=1,AND(INDEX(DarlTilgStart,5)&gt;0,$E1937&lt;INDEX(DarlTilgStart,5))),0,MIN(MAX(0,$K1937-$L1937),$J1937)))</f>
      </c>
      <c r="N1937" s="43">
        <f>IF($I1937=0,0,MIN(SUMIFS(SondBetrag,SondDarl,5,SondDatum,"&gt;="&amp;$E1937,SondDatum,"&lt;="&amp;EOMONTH($E1937,0)),$J1937-$M1937))</f>
      </c>
      <c r="O1937" s="43">
        <f>IF($I1937=0,0,INDEX(DarlErsatzRate,5))</f>
      </c>
      <c r="P1937" s="43">
        <f>IF($I1937=0,0,$Q1936*INDEX(DarlErsatzZins,5))</f>
      </c>
      <c r="Q1937" s="43">
        <f>IF($I1937=0,0,$Q1936+$P1937+$O1937)</f>
      </c>
      <c r="R1937" s="43">
        <f>IF($I1937=0,0,$J1937-$M1937-$N1937)</f>
      </c>
    </row>
    <row r="1938">
      <c r="A1938"/>
      <c r="B1938">
        <v>5</v>
      </c>
      <c r="C1938" s="43">
        <f>INDEX(DarlObj,5)</f>
      </c>
      <c r="D1938">
        <v>15</v>
      </c>
      <c r="E1938" s="51">
        <f>IF(INDEX(DarlBelegt,5)=0,0,EOMONTH(INDEX(DarlAuszahlung,5),14)+1)</f>
      </c>
      <c r="F1938" s="43">
        <f>IF($E1938=0,0,YEAR($E1938))</f>
      </c>
      <c r="G1938" s="43">
        <f>IF(INDEX(DarlBindung,5)="",1,IF($E1938&lt;=INDEX(DarlBindung,5),1,0))</f>
      </c>
      <c r="H1938" s="43">
        <f>IF($G1938=1,INDEX(DarlSollzins,5),INDEX(DarlAnschluss,5))</f>
      </c>
      <c r="I1938" s="43">
        <f>IF(INDEX(DarlBelegt,5)=0,0,IF(INDEX(DarlOhneTilgung,5)=1,IF(INDEX(DarlBindung,5)="",1,$G1938),IF($J1938&gt;0.005,1,0)))</f>
      </c>
      <c r="J1938" s="43">
        <f>IF($I1937=0,0,$R1937)</f>
      </c>
      <c r="K1938" s="43">
        <f>IF($I1938=0,0,IF(INDEX(DarlOhneTilgung,5)=1,0,IF(AND(INDEX(DarlTilgStart,5)&gt;0,$E1938=INDEX(DarlTilgStart,5)),$J1938*($H1938+INDEX(DarlTilgung,5))/100/12,IF(AND($G1938=0,$G1937=1),MAX($K1937,$J1938*($H1938+1)/100/12),$K1937))))</f>
      </c>
      <c r="L1938" s="43">
        <f>IF($I1938=0,0,$J1938*$H1938/100/12)</f>
      </c>
      <c r="M1938" s="43">
        <f>IF($I1938=0,0,IF(OR(INDEX(DarlOhneTilgung,5)=1,AND(INDEX(DarlTilgStart,5)&gt;0,$E1938&lt;INDEX(DarlTilgStart,5))),0,MIN(MAX(0,$K1938-$L1938),$J1938)))</f>
      </c>
      <c r="N1938" s="43">
        <f>IF($I1938=0,0,MIN(SUMIFS(SondBetrag,SondDarl,5,SondDatum,"&gt;="&amp;$E1938,SondDatum,"&lt;="&amp;EOMONTH($E1938,0)),$J1938-$M1938))</f>
      </c>
      <c r="O1938" s="43">
        <f>IF($I1938=0,0,INDEX(DarlErsatzRate,5))</f>
      </c>
      <c r="P1938" s="43">
        <f>IF($I1938=0,0,$Q1937*INDEX(DarlErsatzZins,5))</f>
      </c>
      <c r="Q1938" s="43">
        <f>IF($I1938=0,0,$Q1937+$P1938+$O1938)</f>
      </c>
      <c r="R1938" s="43">
        <f>IF($I1938=0,0,$J1938-$M1938-$N1938)</f>
      </c>
    </row>
    <row r="1939">
      <c r="A1939"/>
      <c r="B1939">
        <v>5</v>
      </c>
      <c r="C1939" s="43">
        <f>INDEX(DarlObj,5)</f>
      </c>
      <c r="D1939">
        <v>16</v>
      </c>
      <c r="E1939" s="51">
        <f>IF(INDEX(DarlBelegt,5)=0,0,EOMONTH(INDEX(DarlAuszahlung,5),15)+1)</f>
      </c>
      <c r="F1939" s="43">
        <f>IF($E1939=0,0,YEAR($E1939))</f>
      </c>
      <c r="G1939" s="43">
        <f>IF(INDEX(DarlBindung,5)="",1,IF($E1939&lt;=INDEX(DarlBindung,5),1,0))</f>
      </c>
      <c r="H1939" s="43">
        <f>IF($G1939=1,INDEX(DarlSollzins,5),INDEX(DarlAnschluss,5))</f>
      </c>
      <c r="I1939" s="43">
        <f>IF(INDEX(DarlBelegt,5)=0,0,IF(INDEX(DarlOhneTilgung,5)=1,IF(INDEX(DarlBindung,5)="",1,$G1939),IF($J1939&gt;0.005,1,0)))</f>
      </c>
      <c r="J1939" s="43">
        <f>IF($I1938=0,0,$R1938)</f>
      </c>
      <c r="K1939" s="43">
        <f>IF($I1939=0,0,IF(INDEX(DarlOhneTilgung,5)=1,0,IF(AND(INDEX(DarlTilgStart,5)&gt;0,$E1939=INDEX(DarlTilgStart,5)),$J1939*($H1939+INDEX(DarlTilgung,5))/100/12,IF(AND($G1939=0,$G1938=1),MAX($K1938,$J1939*($H1939+1)/100/12),$K1938))))</f>
      </c>
      <c r="L1939" s="43">
        <f>IF($I1939=0,0,$J1939*$H1939/100/12)</f>
      </c>
      <c r="M1939" s="43">
        <f>IF($I1939=0,0,IF(OR(INDEX(DarlOhneTilgung,5)=1,AND(INDEX(DarlTilgStart,5)&gt;0,$E1939&lt;INDEX(DarlTilgStart,5))),0,MIN(MAX(0,$K1939-$L1939),$J1939)))</f>
      </c>
      <c r="N1939" s="43">
        <f>IF($I1939=0,0,MIN(SUMIFS(SondBetrag,SondDarl,5,SondDatum,"&gt;="&amp;$E1939,SondDatum,"&lt;="&amp;EOMONTH($E1939,0)),$J1939-$M1939))</f>
      </c>
      <c r="O1939" s="43">
        <f>IF($I1939=0,0,INDEX(DarlErsatzRate,5))</f>
      </c>
      <c r="P1939" s="43">
        <f>IF($I1939=0,0,$Q1938*INDEX(DarlErsatzZins,5))</f>
      </c>
      <c r="Q1939" s="43">
        <f>IF($I1939=0,0,$Q1938+$P1939+$O1939)</f>
      </c>
      <c r="R1939" s="43">
        <f>IF($I1939=0,0,$J1939-$M1939-$N1939)</f>
      </c>
    </row>
    <row r="1940">
      <c r="A1940"/>
      <c r="B1940">
        <v>5</v>
      </c>
      <c r="C1940" s="43">
        <f>INDEX(DarlObj,5)</f>
      </c>
      <c r="D1940">
        <v>17</v>
      </c>
      <c r="E1940" s="51">
        <f>IF(INDEX(DarlBelegt,5)=0,0,EOMONTH(INDEX(DarlAuszahlung,5),16)+1)</f>
      </c>
      <c r="F1940" s="43">
        <f>IF($E1940=0,0,YEAR($E1940))</f>
      </c>
      <c r="G1940" s="43">
        <f>IF(INDEX(DarlBindung,5)="",1,IF($E1940&lt;=INDEX(DarlBindung,5),1,0))</f>
      </c>
      <c r="H1940" s="43">
        <f>IF($G1940=1,INDEX(DarlSollzins,5),INDEX(DarlAnschluss,5))</f>
      </c>
      <c r="I1940" s="43">
        <f>IF(INDEX(DarlBelegt,5)=0,0,IF(INDEX(DarlOhneTilgung,5)=1,IF(INDEX(DarlBindung,5)="",1,$G1940),IF($J1940&gt;0.005,1,0)))</f>
      </c>
      <c r="J1940" s="43">
        <f>IF($I1939=0,0,$R1939)</f>
      </c>
      <c r="K1940" s="43">
        <f>IF($I1940=0,0,IF(INDEX(DarlOhneTilgung,5)=1,0,IF(AND(INDEX(DarlTilgStart,5)&gt;0,$E1940=INDEX(DarlTilgStart,5)),$J1940*($H1940+INDEX(DarlTilgung,5))/100/12,IF(AND($G1940=0,$G1939=1),MAX($K1939,$J1940*($H1940+1)/100/12),$K1939))))</f>
      </c>
      <c r="L1940" s="43">
        <f>IF($I1940=0,0,$J1940*$H1940/100/12)</f>
      </c>
      <c r="M1940" s="43">
        <f>IF($I1940=0,0,IF(OR(INDEX(DarlOhneTilgung,5)=1,AND(INDEX(DarlTilgStart,5)&gt;0,$E1940&lt;INDEX(DarlTilgStart,5))),0,MIN(MAX(0,$K1940-$L1940),$J1940)))</f>
      </c>
      <c r="N1940" s="43">
        <f>IF($I1940=0,0,MIN(SUMIFS(SondBetrag,SondDarl,5,SondDatum,"&gt;="&amp;$E1940,SondDatum,"&lt;="&amp;EOMONTH($E1940,0)),$J1940-$M1940))</f>
      </c>
      <c r="O1940" s="43">
        <f>IF($I1940=0,0,INDEX(DarlErsatzRate,5))</f>
      </c>
      <c r="P1940" s="43">
        <f>IF($I1940=0,0,$Q1939*INDEX(DarlErsatzZins,5))</f>
      </c>
      <c r="Q1940" s="43">
        <f>IF($I1940=0,0,$Q1939+$P1940+$O1940)</f>
      </c>
      <c r="R1940" s="43">
        <f>IF($I1940=0,0,$J1940-$M1940-$N1940)</f>
      </c>
    </row>
    <row r="1941">
      <c r="A1941"/>
      <c r="B1941">
        <v>5</v>
      </c>
      <c r="C1941" s="43">
        <f>INDEX(DarlObj,5)</f>
      </c>
      <c r="D1941">
        <v>18</v>
      </c>
      <c r="E1941" s="51">
        <f>IF(INDEX(DarlBelegt,5)=0,0,EOMONTH(INDEX(DarlAuszahlung,5),17)+1)</f>
      </c>
      <c r="F1941" s="43">
        <f>IF($E1941=0,0,YEAR($E1941))</f>
      </c>
      <c r="G1941" s="43">
        <f>IF(INDEX(DarlBindung,5)="",1,IF($E1941&lt;=INDEX(DarlBindung,5),1,0))</f>
      </c>
      <c r="H1941" s="43">
        <f>IF($G1941=1,INDEX(DarlSollzins,5),INDEX(DarlAnschluss,5))</f>
      </c>
      <c r="I1941" s="43">
        <f>IF(INDEX(DarlBelegt,5)=0,0,IF(INDEX(DarlOhneTilgung,5)=1,IF(INDEX(DarlBindung,5)="",1,$G1941),IF($J1941&gt;0.005,1,0)))</f>
      </c>
      <c r="J1941" s="43">
        <f>IF($I1940=0,0,$R1940)</f>
      </c>
      <c r="K1941" s="43">
        <f>IF($I1941=0,0,IF(INDEX(DarlOhneTilgung,5)=1,0,IF(AND(INDEX(DarlTilgStart,5)&gt;0,$E1941=INDEX(DarlTilgStart,5)),$J1941*($H1941+INDEX(DarlTilgung,5))/100/12,IF(AND($G1941=0,$G1940=1),MAX($K1940,$J1941*($H1941+1)/100/12),$K1940))))</f>
      </c>
      <c r="L1941" s="43">
        <f>IF($I1941=0,0,$J1941*$H1941/100/12)</f>
      </c>
      <c r="M1941" s="43">
        <f>IF($I1941=0,0,IF(OR(INDEX(DarlOhneTilgung,5)=1,AND(INDEX(DarlTilgStart,5)&gt;0,$E1941&lt;INDEX(DarlTilgStart,5))),0,MIN(MAX(0,$K1941-$L1941),$J1941)))</f>
      </c>
      <c r="N1941" s="43">
        <f>IF($I1941=0,0,MIN(SUMIFS(SondBetrag,SondDarl,5,SondDatum,"&gt;="&amp;$E1941,SondDatum,"&lt;="&amp;EOMONTH($E1941,0)),$J1941-$M1941))</f>
      </c>
      <c r="O1941" s="43">
        <f>IF($I1941=0,0,INDEX(DarlErsatzRate,5))</f>
      </c>
      <c r="P1941" s="43">
        <f>IF($I1941=0,0,$Q1940*INDEX(DarlErsatzZins,5))</f>
      </c>
      <c r="Q1941" s="43">
        <f>IF($I1941=0,0,$Q1940+$P1941+$O1941)</f>
      </c>
      <c r="R1941" s="43">
        <f>IF($I1941=0,0,$J1941-$M1941-$N1941)</f>
      </c>
    </row>
    <row r="1942">
      <c r="A1942"/>
      <c r="B1942">
        <v>5</v>
      </c>
      <c r="C1942" s="43">
        <f>INDEX(DarlObj,5)</f>
      </c>
      <c r="D1942">
        <v>19</v>
      </c>
      <c r="E1942" s="51">
        <f>IF(INDEX(DarlBelegt,5)=0,0,EOMONTH(INDEX(DarlAuszahlung,5),18)+1)</f>
      </c>
      <c r="F1942" s="43">
        <f>IF($E1942=0,0,YEAR($E1942))</f>
      </c>
      <c r="G1942" s="43">
        <f>IF(INDEX(DarlBindung,5)="",1,IF($E1942&lt;=INDEX(DarlBindung,5),1,0))</f>
      </c>
      <c r="H1942" s="43">
        <f>IF($G1942=1,INDEX(DarlSollzins,5),INDEX(DarlAnschluss,5))</f>
      </c>
      <c r="I1942" s="43">
        <f>IF(INDEX(DarlBelegt,5)=0,0,IF(INDEX(DarlOhneTilgung,5)=1,IF(INDEX(DarlBindung,5)="",1,$G1942),IF($J1942&gt;0.005,1,0)))</f>
      </c>
      <c r="J1942" s="43">
        <f>IF($I1941=0,0,$R1941)</f>
      </c>
      <c r="K1942" s="43">
        <f>IF($I1942=0,0,IF(INDEX(DarlOhneTilgung,5)=1,0,IF(AND(INDEX(DarlTilgStart,5)&gt;0,$E1942=INDEX(DarlTilgStart,5)),$J1942*($H1942+INDEX(DarlTilgung,5))/100/12,IF(AND($G1942=0,$G1941=1),MAX($K1941,$J1942*($H1942+1)/100/12),$K1941))))</f>
      </c>
      <c r="L1942" s="43">
        <f>IF($I1942=0,0,$J1942*$H1942/100/12)</f>
      </c>
      <c r="M1942" s="43">
        <f>IF($I1942=0,0,IF(OR(INDEX(DarlOhneTilgung,5)=1,AND(INDEX(DarlTilgStart,5)&gt;0,$E1942&lt;INDEX(DarlTilgStart,5))),0,MIN(MAX(0,$K1942-$L1942),$J1942)))</f>
      </c>
      <c r="N1942" s="43">
        <f>IF($I1942=0,0,MIN(SUMIFS(SondBetrag,SondDarl,5,SondDatum,"&gt;="&amp;$E1942,SondDatum,"&lt;="&amp;EOMONTH($E1942,0)),$J1942-$M1942))</f>
      </c>
      <c r="O1942" s="43">
        <f>IF($I1942=0,0,INDEX(DarlErsatzRate,5))</f>
      </c>
      <c r="P1942" s="43">
        <f>IF($I1942=0,0,$Q1941*INDEX(DarlErsatzZins,5))</f>
      </c>
      <c r="Q1942" s="43">
        <f>IF($I1942=0,0,$Q1941+$P1942+$O1942)</f>
      </c>
      <c r="R1942" s="43">
        <f>IF($I1942=0,0,$J1942-$M1942-$N1942)</f>
      </c>
    </row>
    <row r="1943">
      <c r="A1943"/>
      <c r="B1943">
        <v>5</v>
      </c>
      <c r="C1943" s="43">
        <f>INDEX(DarlObj,5)</f>
      </c>
      <c r="D1943">
        <v>20</v>
      </c>
      <c r="E1943" s="51">
        <f>IF(INDEX(DarlBelegt,5)=0,0,EOMONTH(INDEX(DarlAuszahlung,5),19)+1)</f>
      </c>
      <c r="F1943" s="43">
        <f>IF($E1943=0,0,YEAR($E1943))</f>
      </c>
      <c r="G1943" s="43">
        <f>IF(INDEX(DarlBindung,5)="",1,IF($E1943&lt;=INDEX(DarlBindung,5),1,0))</f>
      </c>
      <c r="H1943" s="43">
        <f>IF($G1943=1,INDEX(DarlSollzins,5),INDEX(DarlAnschluss,5))</f>
      </c>
      <c r="I1943" s="43">
        <f>IF(INDEX(DarlBelegt,5)=0,0,IF(INDEX(DarlOhneTilgung,5)=1,IF(INDEX(DarlBindung,5)="",1,$G1943),IF($J1943&gt;0.005,1,0)))</f>
      </c>
      <c r="J1943" s="43">
        <f>IF($I1942=0,0,$R1942)</f>
      </c>
      <c r="K1943" s="43">
        <f>IF($I1943=0,0,IF(INDEX(DarlOhneTilgung,5)=1,0,IF(AND(INDEX(DarlTilgStart,5)&gt;0,$E1943=INDEX(DarlTilgStart,5)),$J1943*($H1943+INDEX(DarlTilgung,5))/100/12,IF(AND($G1943=0,$G1942=1),MAX($K1942,$J1943*($H1943+1)/100/12),$K1942))))</f>
      </c>
      <c r="L1943" s="43">
        <f>IF($I1943=0,0,$J1943*$H1943/100/12)</f>
      </c>
      <c r="M1943" s="43">
        <f>IF($I1943=0,0,IF(OR(INDEX(DarlOhneTilgung,5)=1,AND(INDEX(DarlTilgStart,5)&gt;0,$E1943&lt;INDEX(DarlTilgStart,5))),0,MIN(MAX(0,$K1943-$L1943),$J1943)))</f>
      </c>
      <c r="N1943" s="43">
        <f>IF($I1943=0,0,MIN(SUMIFS(SondBetrag,SondDarl,5,SondDatum,"&gt;="&amp;$E1943,SondDatum,"&lt;="&amp;EOMONTH($E1943,0)),$J1943-$M1943))</f>
      </c>
      <c r="O1943" s="43">
        <f>IF($I1943=0,0,INDEX(DarlErsatzRate,5))</f>
      </c>
      <c r="P1943" s="43">
        <f>IF($I1943=0,0,$Q1942*INDEX(DarlErsatzZins,5))</f>
      </c>
      <c r="Q1943" s="43">
        <f>IF($I1943=0,0,$Q1942+$P1943+$O1943)</f>
      </c>
      <c r="R1943" s="43">
        <f>IF($I1943=0,0,$J1943-$M1943-$N1943)</f>
      </c>
    </row>
    <row r="1944">
      <c r="A1944"/>
      <c r="B1944">
        <v>5</v>
      </c>
      <c r="C1944" s="43">
        <f>INDEX(DarlObj,5)</f>
      </c>
      <c r="D1944">
        <v>21</v>
      </c>
      <c r="E1944" s="51">
        <f>IF(INDEX(DarlBelegt,5)=0,0,EOMONTH(INDEX(DarlAuszahlung,5),20)+1)</f>
      </c>
      <c r="F1944" s="43">
        <f>IF($E1944=0,0,YEAR($E1944))</f>
      </c>
      <c r="G1944" s="43">
        <f>IF(INDEX(DarlBindung,5)="",1,IF($E1944&lt;=INDEX(DarlBindung,5),1,0))</f>
      </c>
      <c r="H1944" s="43">
        <f>IF($G1944=1,INDEX(DarlSollzins,5),INDEX(DarlAnschluss,5))</f>
      </c>
      <c r="I1944" s="43">
        <f>IF(INDEX(DarlBelegt,5)=0,0,IF(INDEX(DarlOhneTilgung,5)=1,IF(INDEX(DarlBindung,5)="",1,$G1944),IF($J1944&gt;0.005,1,0)))</f>
      </c>
      <c r="J1944" s="43">
        <f>IF($I1943=0,0,$R1943)</f>
      </c>
      <c r="K1944" s="43">
        <f>IF($I1944=0,0,IF(INDEX(DarlOhneTilgung,5)=1,0,IF(AND(INDEX(DarlTilgStart,5)&gt;0,$E1944=INDEX(DarlTilgStart,5)),$J1944*($H1944+INDEX(DarlTilgung,5))/100/12,IF(AND($G1944=0,$G1943=1),MAX($K1943,$J1944*($H1944+1)/100/12),$K1943))))</f>
      </c>
      <c r="L1944" s="43">
        <f>IF($I1944=0,0,$J1944*$H1944/100/12)</f>
      </c>
      <c r="M1944" s="43">
        <f>IF($I1944=0,0,IF(OR(INDEX(DarlOhneTilgung,5)=1,AND(INDEX(DarlTilgStart,5)&gt;0,$E1944&lt;INDEX(DarlTilgStart,5))),0,MIN(MAX(0,$K1944-$L1944),$J1944)))</f>
      </c>
      <c r="N1944" s="43">
        <f>IF($I1944=0,0,MIN(SUMIFS(SondBetrag,SondDarl,5,SondDatum,"&gt;="&amp;$E1944,SondDatum,"&lt;="&amp;EOMONTH($E1944,0)),$J1944-$M1944))</f>
      </c>
      <c r="O1944" s="43">
        <f>IF($I1944=0,0,INDEX(DarlErsatzRate,5))</f>
      </c>
      <c r="P1944" s="43">
        <f>IF($I1944=0,0,$Q1943*INDEX(DarlErsatzZins,5))</f>
      </c>
      <c r="Q1944" s="43">
        <f>IF($I1944=0,0,$Q1943+$P1944+$O1944)</f>
      </c>
      <c r="R1944" s="43">
        <f>IF($I1944=0,0,$J1944-$M1944-$N1944)</f>
      </c>
    </row>
    <row r="1945">
      <c r="A1945"/>
      <c r="B1945">
        <v>5</v>
      </c>
      <c r="C1945" s="43">
        <f>INDEX(DarlObj,5)</f>
      </c>
      <c r="D1945">
        <v>22</v>
      </c>
      <c r="E1945" s="51">
        <f>IF(INDEX(DarlBelegt,5)=0,0,EOMONTH(INDEX(DarlAuszahlung,5),21)+1)</f>
      </c>
      <c r="F1945" s="43">
        <f>IF($E1945=0,0,YEAR($E1945))</f>
      </c>
      <c r="G1945" s="43">
        <f>IF(INDEX(DarlBindung,5)="",1,IF($E1945&lt;=INDEX(DarlBindung,5),1,0))</f>
      </c>
      <c r="H1945" s="43">
        <f>IF($G1945=1,INDEX(DarlSollzins,5),INDEX(DarlAnschluss,5))</f>
      </c>
      <c r="I1945" s="43">
        <f>IF(INDEX(DarlBelegt,5)=0,0,IF(INDEX(DarlOhneTilgung,5)=1,IF(INDEX(DarlBindung,5)="",1,$G1945),IF($J1945&gt;0.005,1,0)))</f>
      </c>
      <c r="J1945" s="43">
        <f>IF($I1944=0,0,$R1944)</f>
      </c>
      <c r="K1945" s="43">
        <f>IF($I1945=0,0,IF(INDEX(DarlOhneTilgung,5)=1,0,IF(AND(INDEX(DarlTilgStart,5)&gt;0,$E1945=INDEX(DarlTilgStart,5)),$J1945*($H1945+INDEX(DarlTilgung,5))/100/12,IF(AND($G1945=0,$G1944=1),MAX($K1944,$J1945*($H1945+1)/100/12),$K1944))))</f>
      </c>
      <c r="L1945" s="43">
        <f>IF($I1945=0,0,$J1945*$H1945/100/12)</f>
      </c>
      <c r="M1945" s="43">
        <f>IF($I1945=0,0,IF(OR(INDEX(DarlOhneTilgung,5)=1,AND(INDEX(DarlTilgStart,5)&gt;0,$E1945&lt;INDEX(DarlTilgStart,5))),0,MIN(MAX(0,$K1945-$L1945),$J1945)))</f>
      </c>
      <c r="N1945" s="43">
        <f>IF($I1945=0,0,MIN(SUMIFS(SondBetrag,SondDarl,5,SondDatum,"&gt;="&amp;$E1945,SondDatum,"&lt;="&amp;EOMONTH($E1945,0)),$J1945-$M1945))</f>
      </c>
      <c r="O1945" s="43">
        <f>IF($I1945=0,0,INDEX(DarlErsatzRate,5))</f>
      </c>
      <c r="P1945" s="43">
        <f>IF($I1945=0,0,$Q1944*INDEX(DarlErsatzZins,5))</f>
      </c>
      <c r="Q1945" s="43">
        <f>IF($I1945=0,0,$Q1944+$P1945+$O1945)</f>
      </c>
      <c r="R1945" s="43">
        <f>IF($I1945=0,0,$J1945-$M1945-$N1945)</f>
      </c>
    </row>
    <row r="1946">
      <c r="A1946"/>
      <c r="B1946">
        <v>5</v>
      </c>
      <c r="C1946" s="43">
        <f>INDEX(DarlObj,5)</f>
      </c>
      <c r="D1946">
        <v>23</v>
      </c>
      <c r="E1946" s="51">
        <f>IF(INDEX(DarlBelegt,5)=0,0,EOMONTH(INDEX(DarlAuszahlung,5),22)+1)</f>
      </c>
      <c r="F1946" s="43">
        <f>IF($E1946=0,0,YEAR($E1946))</f>
      </c>
      <c r="G1946" s="43">
        <f>IF(INDEX(DarlBindung,5)="",1,IF($E1946&lt;=INDEX(DarlBindung,5),1,0))</f>
      </c>
      <c r="H1946" s="43">
        <f>IF($G1946=1,INDEX(DarlSollzins,5),INDEX(DarlAnschluss,5))</f>
      </c>
      <c r="I1946" s="43">
        <f>IF(INDEX(DarlBelegt,5)=0,0,IF(INDEX(DarlOhneTilgung,5)=1,IF(INDEX(DarlBindung,5)="",1,$G1946),IF($J1946&gt;0.005,1,0)))</f>
      </c>
      <c r="J1946" s="43">
        <f>IF($I1945=0,0,$R1945)</f>
      </c>
      <c r="K1946" s="43">
        <f>IF($I1946=0,0,IF(INDEX(DarlOhneTilgung,5)=1,0,IF(AND(INDEX(DarlTilgStart,5)&gt;0,$E1946=INDEX(DarlTilgStart,5)),$J1946*($H1946+INDEX(DarlTilgung,5))/100/12,IF(AND($G1946=0,$G1945=1),MAX($K1945,$J1946*($H1946+1)/100/12),$K1945))))</f>
      </c>
      <c r="L1946" s="43">
        <f>IF($I1946=0,0,$J1946*$H1946/100/12)</f>
      </c>
      <c r="M1946" s="43">
        <f>IF($I1946=0,0,IF(OR(INDEX(DarlOhneTilgung,5)=1,AND(INDEX(DarlTilgStart,5)&gt;0,$E1946&lt;INDEX(DarlTilgStart,5))),0,MIN(MAX(0,$K1946-$L1946),$J1946)))</f>
      </c>
      <c r="N1946" s="43">
        <f>IF($I1946=0,0,MIN(SUMIFS(SondBetrag,SondDarl,5,SondDatum,"&gt;="&amp;$E1946,SondDatum,"&lt;="&amp;EOMONTH($E1946,0)),$J1946-$M1946))</f>
      </c>
      <c r="O1946" s="43">
        <f>IF($I1946=0,0,INDEX(DarlErsatzRate,5))</f>
      </c>
      <c r="P1946" s="43">
        <f>IF($I1946=0,0,$Q1945*INDEX(DarlErsatzZins,5))</f>
      </c>
      <c r="Q1946" s="43">
        <f>IF($I1946=0,0,$Q1945+$P1946+$O1946)</f>
      </c>
      <c r="R1946" s="43">
        <f>IF($I1946=0,0,$J1946-$M1946-$N1946)</f>
      </c>
    </row>
    <row r="1947">
      <c r="A1947"/>
      <c r="B1947">
        <v>5</v>
      </c>
      <c r="C1947" s="43">
        <f>INDEX(DarlObj,5)</f>
      </c>
      <c r="D1947">
        <v>24</v>
      </c>
      <c r="E1947" s="51">
        <f>IF(INDEX(DarlBelegt,5)=0,0,EOMONTH(INDEX(DarlAuszahlung,5),23)+1)</f>
      </c>
      <c r="F1947" s="43">
        <f>IF($E1947=0,0,YEAR($E1947))</f>
      </c>
      <c r="G1947" s="43">
        <f>IF(INDEX(DarlBindung,5)="",1,IF($E1947&lt;=INDEX(DarlBindung,5),1,0))</f>
      </c>
      <c r="H1947" s="43">
        <f>IF($G1947=1,INDEX(DarlSollzins,5),INDEX(DarlAnschluss,5))</f>
      </c>
      <c r="I1947" s="43">
        <f>IF(INDEX(DarlBelegt,5)=0,0,IF(INDEX(DarlOhneTilgung,5)=1,IF(INDEX(DarlBindung,5)="",1,$G1947),IF($J1947&gt;0.005,1,0)))</f>
      </c>
      <c r="J1947" s="43">
        <f>IF($I1946=0,0,$R1946)</f>
      </c>
      <c r="K1947" s="43">
        <f>IF($I1947=0,0,IF(INDEX(DarlOhneTilgung,5)=1,0,IF(AND(INDEX(DarlTilgStart,5)&gt;0,$E1947=INDEX(DarlTilgStart,5)),$J1947*($H1947+INDEX(DarlTilgung,5))/100/12,IF(AND($G1947=0,$G1946=1),MAX($K1946,$J1947*($H1947+1)/100/12),$K1946))))</f>
      </c>
      <c r="L1947" s="43">
        <f>IF($I1947=0,0,$J1947*$H1947/100/12)</f>
      </c>
      <c r="M1947" s="43">
        <f>IF($I1947=0,0,IF(OR(INDEX(DarlOhneTilgung,5)=1,AND(INDEX(DarlTilgStart,5)&gt;0,$E1947&lt;INDEX(DarlTilgStart,5))),0,MIN(MAX(0,$K1947-$L1947),$J1947)))</f>
      </c>
      <c r="N1947" s="43">
        <f>IF($I1947=0,0,MIN(SUMIFS(SondBetrag,SondDarl,5,SondDatum,"&gt;="&amp;$E1947,SondDatum,"&lt;="&amp;EOMONTH($E1947,0)),$J1947-$M1947))</f>
      </c>
      <c r="O1947" s="43">
        <f>IF($I1947=0,0,INDEX(DarlErsatzRate,5))</f>
      </c>
      <c r="P1947" s="43">
        <f>IF($I1947=0,0,$Q1946*INDEX(DarlErsatzZins,5))</f>
      </c>
      <c r="Q1947" s="43">
        <f>IF($I1947=0,0,$Q1946+$P1947+$O1947)</f>
      </c>
      <c r="R1947" s="43">
        <f>IF($I1947=0,0,$J1947-$M1947-$N1947)</f>
      </c>
    </row>
    <row r="1948">
      <c r="A1948"/>
      <c r="B1948">
        <v>5</v>
      </c>
      <c r="C1948" s="43">
        <f>INDEX(DarlObj,5)</f>
      </c>
      <c r="D1948">
        <v>25</v>
      </c>
      <c r="E1948" s="51">
        <f>IF(INDEX(DarlBelegt,5)=0,0,EOMONTH(INDEX(DarlAuszahlung,5),24)+1)</f>
      </c>
      <c r="F1948" s="43">
        <f>IF($E1948=0,0,YEAR($E1948))</f>
      </c>
      <c r="G1948" s="43">
        <f>IF(INDEX(DarlBindung,5)="",1,IF($E1948&lt;=INDEX(DarlBindung,5),1,0))</f>
      </c>
      <c r="H1948" s="43">
        <f>IF($G1948=1,INDEX(DarlSollzins,5),INDEX(DarlAnschluss,5))</f>
      </c>
      <c r="I1948" s="43">
        <f>IF(INDEX(DarlBelegt,5)=0,0,IF(INDEX(DarlOhneTilgung,5)=1,IF(INDEX(DarlBindung,5)="",1,$G1948),IF($J1948&gt;0.005,1,0)))</f>
      </c>
      <c r="J1948" s="43">
        <f>IF($I1947=0,0,$R1947)</f>
      </c>
      <c r="K1948" s="43">
        <f>IF($I1948=0,0,IF(INDEX(DarlOhneTilgung,5)=1,0,IF(AND(INDEX(DarlTilgStart,5)&gt;0,$E1948=INDEX(DarlTilgStart,5)),$J1948*($H1948+INDEX(DarlTilgung,5))/100/12,IF(AND($G1948=0,$G1947=1),MAX($K1947,$J1948*($H1948+1)/100/12),$K1947))))</f>
      </c>
      <c r="L1948" s="43">
        <f>IF($I1948=0,0,$J1948*$H1948/100/12)</f>
      </c>
      <c r="M1948" s="43">
        <f>IF($I1948=0,0,IF(OR(INDEX(DarlOhneTilgung,5)=1,AND(INDEX(DarlTilgStart,5)&gt;0,$E1948&lt;INDEX(DarlTilgStart,5))),0,MIN(MAX(0,$K1948-$L1948),$J1948)))</f>
      </c>
      <c r="N1948" s="43">
        <f>IF($I1948=0,0,MIN(SUMIFS(SondBetrag,SondDarl,5,SondDatum,"&gt;="&amp;$E1948,SondDatum,"&lt;="&amp;EOMONTH($E1948,0)),$J1948-$M1948))</f>
      </c>
      <c r="O1948" s="43">
        <f>IF($I1948=0,0,INDEX(DarlErsatzRate,5))</f>
      </c>
      <c r="P1948" s="43">
        <f>IF($I1948=0,0,$Q1947*INDEX(DarlErsatzZins,5))</f>
      </c>
      <c r="Q1948" s="43">
        <f>IF($I1948=0,0,$Q1947+$P1948+$O1948)</f>
      </c>
      <c r="R1948" s="43">
        <f>IF($I1948=0,0,$J1948-$M1948-$N1948)</f>
      </c>
    </row>
    <row r="1949">
      <c r="A1949"/>
      <c r="B1949">
        <v>5</v>
      </c>
      <c r="C1949" s="43">
        <f>INDEX(DarlObj,5)</f>
      </c>
      <c r="D1949">
        <v>26</v>
      </c>
      <c r="E1949" s="51">
        <f>IF(INDEX(DarlBelegt,5)=0,0,EOMONTH(INDEX(DarlAuszahlung,5),25)+1)</f>
      </c>
      <c r="F1949" s="43">
        <f>IF($E1949=0,0,YEAR($E1949))</f>
      </c>
      <c r="G1949" s="43">
        <f>IF(INDEX(DarlBindung,5)="",1,IF($E1949&lt;=INDEX(DarlBindung,5),1,0))</f>
      </c>
      <c r="H1949" s="43">
        <f>IF($G1949=1,INDEX(DarlSollzins,5),INDEX(DarlAnschluss,5))</f>
      </c>
      <c r="I1949" s="43">
        <f>IF(INDEX(DarlBelegt,5)=0,0,IF(INDEX(DarlOhneTilgung,5)=1,IF(INDEX(DarlBindung,5)="",1,$G1949),IF($J1949&gt;0.005,1,0)))</f>
      </c>
      <c r="J1949" s="43">
        <f>IF($I1948=0,0,$R1948)</f>
      </c>
      <c r="K1949" s="43">
        <f>IF($I1949=0,0,IF(INDEX(DarlOhneTilgung,5)=1,0,IF(AND(INDEX(DarlTilgStart,5)&gt;0,$E1949=INDEX(DarlTilgStart,5)),$J1949*($H1949+INDEX(DarlTilgung,5))/100/12,IF(AND($G1949=0,$G1948=1),MAX($K1948,$J1949*($H1949+1)/100/12),$K1948))))</f>
      </c>
      <c r="L1949" s="43">
        <f>IF($I1949=0,0,$J1949*$H1949/100/12)</f>
      </c>
      <c r="M1949" s="43">
        <f>IF($I1949=0,0,IF(OR(INDEX(DarlOhneTilgung,5)=1,AND(INDEX(DarlTilgStart,5)&gt;0,$E1949&lt;INDEX(DarlTilgStart,5))),0,MIN(MAX(0,$K1949-$L1949),$J1949)))</f>
      </c>
      <c r="N1949" s="43">
        <f>IF($I1949=0,0,MIN(SUMIFS(SondBetrag,SondDarl,5,SondDatum,"&gt;="&amp;$E1949,SondDatum,"&lt;="&amp;EOMONTH($E1949,0)),$J1949-$M1949))</f>
      </c>
      <c r="O1949" s="43">
        <f>IF($I1949=0,0,INDEX(DarlErsatzRate,5))</f>
      </c>
      <c r="P1949" s="43">
        <f>IF($I1949=0,0,$Q1948*INDEX(DarlErsatzZins,5))</f>
      </c>
      <c r="Q1949" s="43">
        <f>IF($I1949=0,0,$Q1948+$P1949+$O1949)</f>
      </c>
      <c r="R1949" s="43">
        <f>IF($I1949=0,0,$J1949-$M1949-$N1949)</f>
      </c>
    </row>
    <row r="1950">
      <c r="A1950"/>
      <c r="B1950">
        <v>5</v>
      </c>
      <c r="C1950" s="43">
        <f>INDEX(DarlObj,5)</f>
      </c>
      <c r="D1950">
        <v>27</v>
      </c>
      <c r="E1950" s="51">
        <f>IF(INDEX(DarlBelegt,5)=0,0,EOMONTH(INDEX(DarlAuszahlung,5),26)+1)</f>
      </c>
      <c r="F1950" s="43">
        <f>IF($E1950=0,0,YEAR($E1950))</f>
      </c>
      <c r="G1950" s="43">
        <f>IF(INDEX(DarlBindung,5)="",1,IF($E1950&lt;=INDEX(DarlBindung,5),1,0))</f>
      </c>
      <c r="H1950" s="43">
        <f>IF($G1950=1,INDEX(DarlSollzins,5),INDEX(DarlAnschluss,5))</f>
      </c>
      <c r="I1950" s="43">
        <f>IF(INDEX(DarlBelegt,5)=0,0,IF(INDEX(DarlOhneTilgung,5)=1,IF(INDEX(DarlBindung,5)="",1,$G1950),IF($J1950&gt;0.005,1,0)))</f>
      </c>
      <c r="J1950" s="43">
        <f>IF($I1949=0,0,$R1949)</f>
      </c>
      <c r="K1950" s="43">
        <f>IF($I1950=0,0,IF(INDEX(DarlOhneTilgung,5)=1,0,IF(AND(INDEX(DarlTilgStart,5)&gt;0,$E1950=INDEX(DarlTilgStart,5)),$J1950*($H1950+INDEX(DarlTilgung,5))/100/12,IF(AND($G1950=0,$G1949=1),MAX($K1949,$J1950*($H1950+1)/100/12),$K1949))))</f>
      </c>
      <c r="L1950" s="43">
        <f>IF($I1950=0,0,$J1950*$H1950/100/12)</f>
      </c>
      <c r="M1950" s="43">
        <f>IF($I1950=0,0,IF(OR(INDEX(DarlOhneTilgung,5)=1,AND(INDEX(DarlTilgStart,5)&gt;0,$E1950&lt;INDEX(DarlTilgStart,5))),0,MIN(MAX(0,$K1950-$L1950),$J1950)))</f>
      </c>
      <c r="N1950" s="43">
        <f>IF($I1950=0,0,MIN(SUMIFS(SondBetrag,SondDarl,5,SondDatum,"&gt;="&amp;$E1950,SondDatum,"&lt;="&amp;EOMONTH($E1950,0)),$J1950-$M1950))</f>
      </c>
      <c r="O1950" s="43">
        <f>IF($I1950=0,0,INDEX(DarlErsatzRate,5))</f>
      </c>
      <c r="P1950" s="43">
        <f>IF($I1950=0,0,$Q1949*INDEX(DarlErsatzZins,5))</f>
      </c>
      <c r="Q1950" s="43">
        <f>IF($I1950=0,0,$Q1949+$P1950+$O1950)</f>
      </c>
      <c r="R1950" s="43">
        <f>IF($I1950=0,0,$J1950-$M1950-$N1950)</f>
      </c>
    </row>
    <row r="1951">
      <c r="A1951"/>
      <c r="B1951">
        <v>5</v>
      </c>
      <c r="C1951" s="43">
        <f>INDEX(DarlObj,5)</f>
      </c>
      <c r="D1951">
        <v>28</v>
      </c>
      <c r="E1951" s="51">
        <f>IF(INDEX(DarlBelegt,5)=0,0,EOMONTH(INDEX(DarlAuszahlung,5),27)+1)</f>
      </c>
      <c r="F1951" s="43">
        <f>IF($E1951=0,0,YEAR($E1951))</f>
      </c>
      <c r="G1951" s="43">
        <f>IF(INDEX(DarlBindung,5)="",1,IF($E1951&lt;=INDEX(DarlBindung,5),1,0))</f>
      </c>
      <c r="H1951" s="43">
        <f>IF($G1951=1,INDEX(DarlSollzins,5),INDEX(DarlAnschluss,5))</f>
      </c>
      <c r="I1951" s="43">
        <f>IF(INDEX(DarlBelegt,5)=0,0,IF(INDEX(DarlOhneTilgung,5)=1,IF(INDEX(DarlBindung,5)="",1,$G1951),IF($J1951&gt;0.005,1,0)))</f>
      </c>
      <c r="J1951" s="43">
        <f>IF($I1950=0,0,$R1950)</f>
      </c>
      <c r="K1951" s="43">
        <f>IF($I1951=0,0,IF(INDEX(DarlOhneTilgung,5)=1,0,IF(AND(INDEX(DarlTilgStart,5)&gt;0,$E1951=INDEX(DarlTilgStart,5)),$J1951*($H1951+INDEX(DarlTilgung,5))/100/12,IF(AND($G1951=0,$G1950=1),MAX($K1950,$J1951*($H1951+1)/100/12),$K1950))))</f>
      </c>
      <c r="L1951" s="43">
        <f>IF($I1951=0,0,$J1951*$H1951/100/12)</f>
      </c>
      <c r="M1951" s="43">
        <f>IF($I1951=0,0,IF(OR(INDEX(DarlOhneTilgung,5)=1,AND(INDEX(DarlTilgStart,5)&gt;0,$E1951&lt;INDEX(DarlTilgStart,5))),0,MIN(MAX(0,$K1951-$L1951),$J1951)))</f>
      </c>
      <c r="N1951" s="43">
        <f>IF($I1951=0,0,MIN(SUMIFS(SondBetrag,SondDarl,5,SondDatum,"&gt;="&amp;$E1951,SondDatum,"&lt;="&amp;EOMONTH($E1951,0)),$J1951-$M1951))</f>
      </c>
      <c r="O1951" s="43">
        <f>IF($I1951=0,0,INDEX(DarlErsatzRate,5))</f>
      </c>
      <c r="P1951" s="43">
        <f>IF($I1951=0,0,$Q1950*INDEX(DarlErsatzZins,5))</f>
      </c>
      <c r="Q1951" s="43">
        <f>IF($I1951=0,0,$Q1950+$P1951+$O1951)</f>
      </c>
      <c r="R1951" s="43">
        <f>IF($I1951=0,0,$J1951-$M1951-$N1951)</f>
      </c>
    </row>
    <row r="1952">
      <c r="A1952"/>
      <c r="B1952">
        <v>5</v>
      </c>
      <c r="C1952" s="43">
        <f>INDEX(DarlObj,5)</f>
      </c>
      <c r="D1952">
        <v>29</v>
      </c>
      <c r="E1952" s="51">
        <f>IF(INDEX(DarlBelegt,5)=0,0,EOMONTH(INDEX(DarlAuszahlung,5),28)+1)</f>
      </c>
      <c r="F1952" s="43">
        <f>IF($E1952=0,0,YEAR($E1952))</f>
      </c>
      <c r="G1952" s="43">
        <f>IF(INDEX(DarlBindung,5)="",1,IF($E1952&lt;=INDEX(DarlBindung,5),1,0))</f>
      </c>
      <c r="H1952" s="43">
        <f>IF($G1952=1,INDEX(DarlSollzins,5),INDEX(DarlAnschluss,5))</f>
      </c>
      <c r="I1952" s="43">
        <f>IF(INDEX(DarlBelegt,5)=0,0,IF(INDEX(DarlOhneTilgung,5)=1,IF(INDEX(DarlBindung,5)="",1,$G1952),IF($J1952&gt;0.005,1,0)))</f>
      </c>
      <c r="J1952" s="43">
        <f>IF($I1951=0,0,$R1951)</f>
      </c>
      <c r="K1952" s="43">
        <f>IF($I1952=0,0,IF(INDEX(DarlOhneTilgung,5)=1,0,IF(AND(INDEX(DarlTilgStart,5)&gt;0,$E1952=INDEX(DarlTilgStart,5)),$J1952*($H1952+INDEX(DarlTilgung,5))/100/12,IF(AND($G1952=0,$G1951=1),MAX($K1951,$J1952*($H1952+1)/100/12),$K1951))))</f>
      </c>
      <c r="L1952" s="43">
        <f>IF($I1952=0,0,$J1952*$H1952/100/12)</f>
      </c>
      <c r="M1952" s="43">
        <f>IF($I1952=0,0,IF(OR(INDEX(DarlOhneTilgung,5)=1,AND(INDEX(DarlTilgStart,5)&gt;0,$E1952&lt;INDEX(DarlTilgStart,5))),0,MIN(MAX(0,$K1952-$L1952),$J1952)))</f>
      </c>
      <c r="N1952" s="43">
        <f>IF($I1952=0,0,MIN(SUMIFS(SondBetrag,SondDarl,5,SondDatum,"&gt;="&amp;$E1952,SondDatum,"&lt;="&amp;EOMONTH($E1952,0)),$J1952-$M1952))</f>
      </c>
      <c r="O1952" s="43">
        <f>IF($I1952=0,0,INDEX(DarlErsatzRate,5))</f>
      </c>
      <c r="P1952" s="43">
        <f>IF($I1952=0,0,$Q1951*INDEX(DarlErsatzZins,5))</f>
      </c>
      <c r="Q1952" s="43">
        <f>IF($I1952=0,0,$Q1951+$P1952+$O1952)</f>
      </c>
      <c r="R1952" s="43">
        <f>IF($I1952=0,0,$J1952-$M1952-$N1952)</f>
      </c>
    </row>
    <row r="1953">
      <c r="A1953"/>
      <c r="B1953">
        <v>5</v>
      </c>
      <c r="C1953" s="43">
        <f>INDEX(DarlObj,5)</f>
      </c>
      <c r="D1953">
        <v>30</v>
      </c>
      <c r="E1953" s="51">
        <f>IF(INDEX(DarlBelegt,5)=0,0,EOMONTH(INDEX(DarlAuszahlung,5),29)+1)</f>
      </c>
      <c r="F1953" s="43">
        <f>IF($E1953=0,0,YEAR($E1953))</f>
      </c>
      <c r="G1953" s="43">
        <f>IF(INDEX(DarlBindung,5)="",1,IF($E1953&lt;=INDEX(DarlBindung,5),1,0))</f>
      </c>
      <c r="H1953" s="43">
        <f>IF($G1953=1,INDEX(DarlSollzins,5),INDEX(DarlAnschluss,5))</f>
      </c>
      <c r="I1953" s="43">
        <f>IF(INDEX(DarlBelegt,5)=0,0,IF(INDEX(DarlOhneTilgung,5)=1,IF(INDEX(DarlBindung,5)="",1,$G1953),IF($J1953&gt;0.005,1,0)))</f>
      </c>
      <c r="J1953" s="43">
        <f>IF($I1952=0,0,$R1952)</f>
      </c>
      <c r="K1953" s="43">
        <f>IF($I1953=0,0,IF(INDEX(DarlOhneTilgung,5)=1,0,IF(AND(INDEX(DarlTilgStart,5)&gt;0,$E1953=INDEX(DarlTilgStart,5)),$J1953*($H1953+INDEX(DarlTilgung,5))/100/12,IF(AND($G1953=0,$G1952=1),MAX($K1952,$J1953*($H1953+1)/100/12),$K1952))))</f>
      </c>
      <c r="L1953" s="43">
        <f>IF($I1953=0,0,$J1953*$H1953/100/12)</f>
      </c>
      <c r="M1953" s="43">
        <f>IF($I1953=0,0,IF(OR(INDEX(DarlOhneTilgung,5)=1,AND(INDEX(DarlTilgStart,5)&gt;0,$E1953&lt;INDEX(DarlTilgStart,5))),0,MIN(MAX(0,$K1953-$L1953),$J1953)))</f>
      </c>
      <c r="N1953" s="43">
        <f>IF($I1953=0,0,MIN(SUMIFS(SondBetrag,SondDarl,5,SondDatum,"&gt;="&amp;$E1953,SondDatum,"&lt;="&amp;EOMONTH($E1953,0)),$J1953-$M1953))</f>
      </c>
      <c r="O1953" s="43">
        <f>IF($I1953=0,0,INDEX(DarlErsatzRate,5))</f>
      </c>
      <c r="P1953" s="43">
        <f>IF($I1953=0,0,$Q1952*INDEX(DarlErsatzZins,5))</f>
      </c>
      <c r="Q1953" s="43">
        <f>IF($I1953=0,0,$Q1952+$P1953+$O1953)</f>
      </c>
      <c r="R1953" s="43">
        <f>IF($I1953=0,0,$J1953-$M1953-$N1953)</f>
      </c>
    </row>
    <row r="1954">
      <c r="A1954"/>
      <c r="B1954">
        <v>5</v>
      </c>
      <c r="C1954" s="43">
        <f>INDEX(DarlObj,5)</f>
      </c>
      <c r="D1954">
        <v>31</v>
      </c>
      <c r="E1954" s="51">
        <f>IF(INDEX(DarlBelegt,5)=0,0,EOMONTH(INDEX(DarlAuszahlung,5),30)+1)</f>
      </c>
      <c r="F1954" s="43">
        <f>IF($E1954=0,0,YEAR($E1954))</f>
      </c>
      <c r="G1954" s="43">
        <f>IF(INDEX(DarlBindung,5)="",1,IF($E1954&lt;=INDEX(DarlBindung,5),1,0))</f>
      </c>
      <c r="H1954" s="43">
        <f>IF($G1954=1,INDEX(DarlSollzins,5),INDEX(DarlAnschluss,5))</f>
      </c>
      <c r="I1954" s="43">
        <f>IF(INDEX(DarlBelegt,5)=0,0,IF(INDEX(DarlOhneTilgung,5)=1,IF(INDEX(DarlBindung,5)="",1,$G1954),IF($J1954&gt;0.005,1,0)))</f>
      </c>
      <c r="J1954" s="43">
        <f>IF($I1953=0,0,$R1953)</f>
      </c>
      <c r="K1954" s="43">
        <f>IF($I1954=0,0,IF(INDEX(DarlOhneTilgung,5)=1,0,IF(AND(INDEX(DarlTilgStart,5)&gt;0,$E1954=INDEX(DarlTilgStart,5)),$J1954*($H1954+INDEX(DarlTilgung,5))/100/12,IF(AND($G1954=0,$G1953=1),MAX($K1953,$J1954*($H1954+1)/100/12),$K1953))))</f>
      </c>
      <c r="L1954" s="43">
        <f>IF($I1954=0,0,$J1954*$H1954/100/12)</f>
      </c>
      <c r="M1954" s="43">
        <f>IF($I1954=0,0,IF(OR(INDEX(DarlOhneTilgung,5)=1,AND(INDEX(DarlTilgStart,5)&gt;0,$E1954&lt;INDEX(DarlTilgStart,5))),0,MIN(MAX(0,$K1954-$L1954),$J1954)))</f>
      </c>
      <c r="N1954" s="43">
        <f>IF($I1954=0,0,MIN(SUMIFS(SondBetrag,SondDarl,5,SondDatum,"&gt;="&amp;$E1954,SondDatum,"&lt;="&amp;EOMONTH($E1954,0)),$J1954-$M1954))</f>
      </c>
      <c r="O1954" s="43">
        <f>IF($I1954=0,0,INDEX(DarlErsatzRate,5))</f>
      </c>
      <c r="P1954" s="43">
        <f>IF($I1954=0,0,$Q1953*INDEX(DarlErsatzZins,5))</f>
      </c>
      <c r="Q1954" s="43">
        <f>IF($I1954=0,0,$Q1953+$P1954+$O1954)</f>
      </c>
      <c r="R1954" s="43">
        <f>IF($I1954=0,0,$J1954-$M1954-$N1954)</f>
      </c>
    </row>
    <row r="1955">
      <c r="A1955"/>
      <c r="B1955">
        <v>5</v>
      </c>
      <c r="C1955" s="43">
        <f>INDEX(DarlObj,5)</f>
      </c>
      <c r="D1955">
        <v>32</v>
      </c>
      <c r="E1955" s="51">
        <f>IF(INDEX(DarlBelegt,5)=0,0,EOMONTH(INDEX(DarlAuszahlung,5),31)+1)</f>
      </c>
      <c r="F1955" s="43">
        <f>IF($E1955=0,0,YEAR($E1955))</f>
      </c>
      <c r="G1955" s="43">
        <f>IF(INDEX(DarlBindung,5)="",1,IF($E1955&lt;=INDEX(DarlBindung,5),1,0))</f>
      </c>
      <c r="H1955" s="43">
        <f>IF($G1955=1,INDEX(DarlSollzins,5),INDEX(DarlAnschluss,5))</f>
      </c>
      <c r="I1955" s="43">
        <f>IF(INDEX(DarlBelegt,5)=0,0,IF(INDEX(DarlOhneTilgung,5)=1,IF(INDEX(DarlBindung,5)="",1,$G1955),IF($J1955&gt;0.005,1,0)))</f>
      </c>
      <c r="J1955" s="43">
        <f>IF($I1954=0,0,$R1954)</f>
      </c>
      <c r="K1955" s="43">
        <f>IF($I1955=0,0,IF(INDEX(DarlOhneTilgung,5)=1,0,IF(AND(INDEX(DarlTilgStart,5)&gt;0,$E1955=INDEX(DarlTilgStart,5)),$J1955*($H1955+INDEX(DarlTilgung,5))/100/12,IF(AND($G1955=0,$G1954=1),MAX($K1954,$J1955*($H1955+1)/100/12),$K1954))))</f>
      </c>
      <c r="L1955" s="43">
        <f>IF($I1955=0,0,$J1955*$H1955/100/12)</f>
      </c>
      <c r="M1955" s="43">
        <f>IF($I1955=0,0,IF(OR(INDEX(DarlOhneTilgung,5)=1,AND(INDEX(DarlTilgStart,5)&gt;0,$E1955&lt;INDEX(DarlTilgStart,5))),0,MIN(MAX(0,$K1955-$L1955),$J1955)))</f>
      </c>
      <c r="N1955" s="43">
        <f>IF($I1955=0,0,MIN(SUMIFS(SondBetrag,SondDarl,5,SondDatum,"&gt;="&amp;$E1955,SondDatum,"&lt;="&amp;EOMONTH($E1955,0)),$J1955-$M1955))</f>
      </c>
      <c r="O1955" s="43">
        <f>IF($I1955=0,0,INDEX(DarlErsatzRate,5))</f>
      </c>
      <c r="P1955" s="43">
        <f>IF($I1955=0,0,$Q1954*INDEX(DarlErsatzZins,5))</f>
      </c>
      <c r="Q1955" s="43">
        <f>IF($I1955=0,0,$Q1954+$P1955+$O1955)</f>
      </c>
      <c r="R1955" s="43">
        <f>IF($I1955=0,0,$J1955-$M1955-$N1955)</f>
      </c>
    </row>
    <row r="1956">
      <c r="A1956"/>
      <c r="B1956">
        <v>5</v>
      </c>
      <c r="C1956" s="43">
        <f>INDEX(DarlObj,5)</f>
      </c>
      <c r="D1956">
        <v>33</v>
      </c>
      <c r="E1956" s="51">
        <f>IF(INDEX(DarlBelegt,5)=0,0,EOMONTH(INDEX(DarlAuszahlung,5),32)+1)</f>
      </c>
      <c r="F1956" s="43">
        <f>IF($E1956=0,0,YEAR($E1956))</f>
      </c>
      <c r="G1956" s="43">
        <f>IF(INDEX(DarlBindung,5)="",1,IF($E1956&lt;=INDEX(DarlBindung,5),1,0))</f>
      </c>
      <c r="H1956" s="43">
        <f>IF($G1956=1,INDEX(DarlSollzins,5),INDEX(DarlAnschluss,5))</f>
      </c>
      <c r="I1956" s="43">
        <f>IF(INDEX(DarlBelegt,5)=0,0,IF(INDEX(DarlOhneTilgung,5)=1,IF(INDEX(DarlBindung,5)="",1,$G1956),IF($J1956&gt;0.005,1,0)))</f>
      </c>
      <c r="J1956" s="43">
        <f>IF($I1955=0,0,$R1955)</f>
      </c>
      <c r="K1956" s="43">
        <f>IF($I1956=0,0,IF(INDEX(DarlOhneTilgung,5)=1,0,IF(AND(INDEX(DarlTilgStart,5)&gt;0,$E1956=INDEX(DarlTilgStart,5)),$J1956*($H1956+INDEX(DarlTilgung,5))/100/12,IF(AND($G1956=0,$G1955=1),MAX($K1955,$J1956*($H1956+1)/100/12),$K1955))))</f>
      </c>
      <c r="L1956" s="43">
        <f>IF($I1956=0,0,$J1956*$H1956/100/12)</f>
      </c>
      <c r="M1956" s="43">
        <f>IF($I1956=0,0,IF(OR(INDEX(DarlOhneTilgung,5)=1,AND(INDEX(DarlTilgStart,5)&gt;0,$E1956&lt;INDEX(DarlTilgStart,5))),0,MIN(MAX(0,$K1956-$L1956),$J1956)))</f>
      </c>
      <c r="N1956" s="43">
        <f>IF($I1956=0,0,MIN(SUMIFS(SondBetrag,SondDarl,5,SondDatum,"&gt;="&amp;$E1956,SondDatum,"&lt;="&amp;EOMONTH($E1956,0)),$J1956-$M1956))</f>
      </c>
      <c r="O1956" s="43">
        <f>IF($I1956=0,0,INDEX(DarlErsatzRate,5))</f>
      </c>
      <c r="P1956" s="43">
        <f>IF($I1956=0,0,$Q1955*INDEX(DarlErsatzZins,5))</f>
      </c>
      <c r="Q1956" s="43">
        <f>IF($I1956=0,0,$Q1955+$P1956+$O1956)</f>
      </c>
      <c r="R1956" s="43">
        <f>IF($I1956=0,0,$J1956-$M1956-$N1956)</f>
      </c>
    </row>
    <row r="1957">
      <c r="A1957"/>
      <c r="B1957">
        <v>5</v>
      </c>
      <c r="C1957" s="43">
        <f>INDEX(DarlObj,5)</f>
      </c>
      <c r="D1957">
        <v>34</v>
      </c>
      <c r="E1957" s="51">
        <f>IF(INDEX(DarlBelegt,5)=0,0,EOMONTH(INDEX(DarlAuszahlung,5),33)+1)</f>
      </c>
      <c r="F1957" s="43">
        <f>IF($E1957=0,0,YEAR($E1957))</f>
      </c>
      <c r="G1957" s="43">
        <f>IF(INDEX(DarlBindung,5)="",1,IF($E1957&lt;=INDEX(DarlBindung,5),1,0))</f>
      </c>
      <c r="H1957" s="43">
        <f>IF($G1957=1,INDEX(DarlSollzins,5),INDEX(DarlAnschluss,5))</f>
      </c>
      <c r="I1957" s="43">
        <f>IF(INDEX(DarlBelegt,5)=0,0,IF(INDEX(DarlOhneTilgung,5)=1,IF(INDEX(DarlBindung,5)="",1,$G1957),IF($J1957&gt;0.005,1,0)))</f>
      </c>
      <c r="J1957" s="43">
        <f>IF($I1956=0,0,$R1956)</f>
      </c>
      <c r="K1957" s="43">
        <f>IF($I1957=0,0,IF(INDEX(DarlOhneTilgung,5)=1,0,IF(AND(INDEX(DarlTilgStart,5)&gt;0,$E1957=INDEX(DarlTilgStart,5)),$J1957*($H1957+INDEX(DarlTilgung,5))/100/12,IF(AND($G1957=0,$G1956=1),MAX($K1956,$J1957*($H1957+1)/100/12),$K1956))))</f>
      </c>
      <c r="L1957" s="43">
        <f>IF($I1957=0,0,$J1957*$H1957/100/12)</f>
      </c>
      <c r="M1957" s="43">
        <f>IF($I1957=0,0,IF(OR(INDEX(DarlOhneTilgung,5)=1,AND(INDEX(DarlTilgStart,5)&gt;0,$E1957&lt;INDEX(DarlTilgStart,5))),0,MIN(MAX(0,$K1957-$L1957),$J1957)))</f>
      </c>
      <c r="N1957" s="43">
        <f>IF($I1957=0,0,MIN(SUMIFS(SondBetrag,SondDarl,5,SondDatum,"&gt;="&amp;$E1957,SondDatum,"&lt;="&amp;EOMONTH($E1957,0)),$J1957-$M1957))</f>
      </c>
      <c r="O1957" s="43">
        <f>IF($I1957=0,0,INDEX(DarlErsatzRate,5))</f>
      </c>
      <c r="P1957" s="43">
        <f>IF($I1957=0,0,$Q1956*INDEX(DarlErsatzZins,5))</f>
      </c>
      <c r="Q1957" s="43">
        <f>IF($I1957=0,0,$Q1956+$P1957+$O1957)</f>
      </c>
      <c r="R1957" s="43">
        <f>IF($I1957=0,0,$J1957-$M1957-$N1957)</f>
      </c>
    </row>
    <row r="1958">
      <c r="A1958"/>
      <c r="B1958">
        <v>5</v>
      </c>
      <c r="C1958" s="43">
        <f>INDEX(DarlObj,5)</f>
      </c>
      <c r="D1958">
        <v>35</v>
      </c>
      <c r="E1958" s="51">
        <f>IF(INDEX(DarlBelegt,5)=0,0,EOMONTH(INDEX(DarlAuszahlung,5),34)+1)</f>
      </c>
      <c r="F1958" s="43">
        <f>IF($E1958=0,0,YEAR($E1958))</f>
      </c>
      <c r="G1958" s="43">
        <f>IF(INDEX(DarlBindung,5)="",1,IF($E1958&lt;=INDEX(DarlBindung,5),1,0))</f>
      </c>
      <c r="H1958" s="43">
        <f>IF($G1958=1,INDEX(DarlSollzins,5),INDEX(DarlAnschluss,5))</f>
      </c>
      <c r="I1958" s="43">
        <f>IF(INDEX(DarlBelegt,5)=0,0,IF(INDEX(DarlOhneTilgung,5)=1,IF(INDEX(DarlBindung,5)="",1,$G1958),IF($J1958&gt;0.005,1,0)))</f>
      </c>
      <c r="J1958" s="43">
        <f>IF($I1957=0,0,$R1957)</f>
      </c>
      <c r="K1958" s="43">
        <f>IF($I1958=0,0,IF(INDEX(DarlOhneTilgung,5)=1,0,IF(AND(INDEX(DarlTilgStart,5)&gt;0,$E1958=INDEX(DarlTilgStart,5)),$J1958*($H1958+INDEX(DarlTilgung,5))/100/12,IF(AND($G1958=0,$G1957=1),MAX($K1957,$J1958*($H1958+1)/100/12),$K1957))))</f>
      </c>
      <c r="L1958" s="43">
        <f>IF($I1958=0,0,$J1958*$H1958/100/12)</f>
      </c>
      <c r="M1958" s="43">
        <f>IF($I1958=0,0,IF(OR(INDEX(DarlOhneTilgung,5)=1,AND(INDEX(DarlTilgStart,5)&gt;0,$E1958&lt;INDEX(DarlTilgStart,5))),0,MIN(MAX(0,$K1958-$L1958),$J1958)))</f>
      </c>
      <c r="N1958" s="43">
        <f>IF($I1958=0,0,MIN(SUMIFS(SondBetrag,SondDarl,5,SondDatum,"&gt;="&amp;$E1958,SondDatum,"&lt;="&amp;EOMONTH($E1958,0)),$J1958-$M1958))</f>
      </c>
      <c r="O1958" s="43">
        <f>IF($I1958=0,0,INDEX(DarlErsatzRate,5))</f>
      </c>
      <c r="P1958" s="43">
        <f>IF($I1958=0,0,$Q1957*INDEX(DarlErsatzZins,5))</f>
      </c>
      <c r="Q1958" s="43">
        <f>IF($I1958=0,0,$Q1957+$P1958+$O1958)</f>
      </c>
      <c r="R1958" s="43">
        <f>IF($I1958=0,0,$J1958-$M1958-$N1958)</f>
      </c>
    </row>
    <row r="1959">
      <c r="A1959"/>
      <c r="B1959">
        <v>5</v>
      </c>
      <c r="C1959" s="43">
        <f>INDEX(DarlObj,5)</f>
      </c>
      <c r="D1959">
        <v>36</v>
      </c>
      <c r="E1959" s="51">
        <f>IF(INDEX(DarlBelegt,5)=0,0,EOMONTH(INDEX(DarlAuszahlung,5),35)+1)</f>
      </c>
      <c r="F1959" s="43">
        <f>IF($E1959=0,0,YEAR($E1959))</f>
      </c>
      <c r="G1959" s="43">
        <f>IF(INDEX(DarlBindung,5)="",1,IF($E1959&lt;=INDEX(DarlBindung,5),1,0))</f>
      </c>
      <c r="H1959" s="43">
        <f>IF($G1959=1,INDEX(DarlSollzins,5),INDEX(DarlAnschluss,5))</f>
      </c>
      <c r="I1959" s="43">
        <f>IF(INDEX(DarlBelegt,5)=0,0,IF(INDEX(DarlOhneTilgung,5)=1,IF(INDEX(DarlBindung,5)="",1,$G1959),IF($J1959&gt;0.005,1,0)))</f>
      </c>
      <c r="J1959" s="43">
        <f>IF($I1958=0,0,$R1958)</f>
      </c>
      <c r="K1959" s="43">
        <f>IF($I1959=0,0,IF(INDEX(DarlOhneTilgung,5)=1,0,IF(AND(INDEX(DarlTilgStart,5)&gt;0,$E1959=INDEX(DarlTilgStart,5)),$J1959*($H1959+INDEX(DarlTilgung,5))/100/12,IF(AND($G1959=0,$G1958=1),MAX($K1958,$J1959*($H1959+1)/100/12),$K1958))))</f>
      </c>
      <c r="L1959" s="43">
        <f>IF($I1959=0,0,$J1959*$H1959/100/12)</f>
      </c>
      <c r="M1959" s="43">
        <f>IF($I1959=0,0,IF(OR(INDEX(DarlOhneTilgung,5)=1,AND(INDEX(DarlTilgStart,5)&gt;0,$E1959&lt;INDEX(DarlTilgStart,5))),0,MIN(MAX(0,$K1959-$L1959),$J1959)))</f>
      </c>
      <c r="N1959" s="43">
        <f>IF($I1959=0,0,MIN(SUMIFS(SondBetrag,SondDarl,5,SondDatum,"&gt;="&amp;$E1959,SondDatum,"&lt;="&amp;EOMONTH($E1959,0)),$J1959-$M1959))</f>
      </c>
      <c r="O1959" s="43">
        <f>IF($I1959=0,0,INDEX(DarlErsatzRate,5))</f>
      </c>
      <c r="P1959" s="43">
        <f>IF($I1959=0,0,$Q1958*INDEX(DarlErsatzZins,5))</f>
      </c>
      <c r="Q1959" s="43">
        <f>IF($I1959=0,0,$Q1958+$P1959+$O1959)</f>
      </c>
      <c r="R1959" s="43">
        <f>IF($I1959=0,0,$J1959-$M1959-$N1959)</f>
      </c>
    </row>
    <row r="1960">
      <c r="A1960"/>
      <c r="B1960">
        <v>5</v>
      </c>
      <c r="C1960" s="43">
        <f>INDEX(DarlObj,5)</f>
      </c>
      <c r="D1960">
        <v>37</v>
      </c>
      <c r="E1960" s="51">
        <f>IF(INDEX(DarlBelegt,5)=0,0,EOMONTH(INDEX(DarlAuszahlung,5),36)+1)</f>
      </c>
      <c r="F1960" s="43">
        <f>IF($E1960=0,0,YEAR($E1960))</f>
      </c>
      <c r="G1960" s="43">
        <f>IF(INDEX(DarlBindung,5)="",1,IF($E1960&lt;=INDEX(DarlBindung,5),1,0))</f>
      </c>
      <c r="H1960" s="43">
        <f>IF($G1960=1,INDEX(DarlSollzins,5),INDEX(DarlAnschluss,5))</f>
      </c>
      <c r="I1960" s="43">
        <f>IF(INDEX(DarlBelegt,5)=0,0,IF(INDEX(DarlOhneTilgung,5)=1,IF(INDEX(DarlBindung,5)="",1,$G1960),IF($J1960&gt;0.005,1,0)))</f>
      </c>
      <c r="J1960" s="43">
        <f>IF($I1959=0,0,$R1959)</f>
      </c>
      <c r="K1960" s="43">
        <f>IF($I1960=0,0,IF(INDEX(DarlOhneTilgung,5)=1,0,IF(AND(INDEX(DarlTilgStart,5)&gt;0,$E1960=INDEX(DarlTilgStart,5)),$J1960*($H1960+INDEX(DarlTilgung,5))/100/12,IF(AND($G1960=0,$G1959=1),MAX($K1959,$J1960*($H1960+1)/100/12),$K1959))))</f>
      </c>
      <c r="L1960" s="43">
        <f>IF($I1960=0,0,$J1960*$H1960/100/12)</f>
      </c>
      <c r="M1960" s="43">
        <f>IF($I1960=0,0,IF(OR(INDEX(DarlOhneTilgung,5)=1,AND(INDEX(DarlTilgStart,5)&gt;0,$E1960&lt;INDEX(DarlTilgStart,5))),0,MIN(MAX(0,$K1960-$L1960),$J1960)))</f>
      </c>
      <c r="N1960" s="43">
        <f>IF($I1960=0,0,MIN(SUMIFS(SondBetrag,SondDarl,5,SondDatum,"&gt;="&amp;$E1960,SondDatum,"&lt;="&amp;EOMONTH($E1960,0)),$J1960-$M1960))</f>
      </c>
      <c r="O1960" s="43">
        <f>IF($I1960=0,0,INDEX(DarlErsatzRate,5))</f>
      </c>
      <c r="P1960" s="43">
        <f>IF($I1960=0,0,$Q1959*INDEX(DarlErsatzZins,5))</f>
      </c>
      <c r="Q1960" s="43">
        <f>IF($I1960=0,0,$Q1959+$P1960+$O1960)</f>
      </c>
      <c r="R1960" s="43">
        <f>IF($I1960=0,0,$J1960-$M1960-$N1960)</f>
      </c>
    </row>
    <row r="1961">
      <c r="A1961"/>
      <c r="B1961">
        <v>5</v>
      </c>
      <c r="C1961" s="43">
        <f>INDEX(DarlObj,5)</f>
      </c>
      <c r="D1961">
        <v>38</v>
      </c>
      <c r="E1961" s="51">
        <f>IF(INDEX(DarlBelegt,5)=0,0,EOMONTH(INDEX(DarlAuszahlung,5),37)+1)</f>
      </c>
      <c r="F1961" s="43">
        <f>IF($E1961=0,0,YEAR($E1961))</f>
      </c>
      <c r="G1961" s="43">
        <f>IF(INDEX(DarlBindung,5)="",1,IF($E1961&lt;=INDEX(DarlBindung,5),1,0))</f>
      </c>
      <c r="H1961" s="43">
        <f>IF($G1961=1,INDEX(DarlSollzins,5),INDEX(DarlAnschluss,5))</f>
      </c>
      <c r="I1961" s="43">
        <f>IF(INDEX(DarlBelegt,5)=0,0,IF(INDEX(DarlOhneTilgung,5)=1,IF(INDEX(DarlBindung,5)="",1,$G1961),IF($J1961&gt;0.005,1,0)))</f>
      </c>
      <c r="J1961" s="43">
        <f>IF($I1960=0,0,$R1960)</f>
      </c>
      <c r="K1961" s="43">
        <f>IF($I1961=0,0,IF(INDEX(DarlOhneTilgung,5)=1,0,IF(AND(INDEX(DarlTilgStart,5)&gt;0,$E1961=INDEX(DarlTilgStart,5)),$J1961*($H1961+INDEX(DarlTilgung,5))/100/12,IF(AND($G1961=0,$G1960=1),MAX($K1960,$J1961*($H1961+1)/100/12),$K1960))))</f>
      </c>
      <c r="L1961" s="43">
        <f>IF($I1961=0,0,$J1961*$H1961/100/12)</f>
      </c>
      <c r="M1961" s="43">
        <f>IF($I1961=0,0,IF(OR(INDEX(DarlOhneTilgung,5)=1,AND(INDEX(DarlTilgStart,5)&gt;0,$E1961&lt;INDEX(DarlTilgStart,5))),0,MIN(MAX(0,$K1961-$L1961),$J1961)))</f>
      </c>
      <c r="N1961" s="43">
        <f>IF($I1961=0,0,MIN(SUMIFS(SondBetrag,SondDarl,5,SondDatum,"&gt;="&amp;$E1961,SondDatum,"&lt;="&amp;EOMONTH($E1961,0)),$J1961-$M1961))</f>
      </c>
      <c r="O1961" s="43">
        <f>IF($I1961=0,0,INDEX(DarlErsatzRate,5))</f>
      </c>
      <c r="P1961" s="43">
        <f>IF($I1961=0,0,$Q1960*INDEX(DarlErsatzZins,5))</f>
      </c>
      <c r="Q1961" s="43">
        <f>IF($I1961=0,0,$Q1960+$P1961+$O1961)</f>
      </c>
      <c r="R1961" s="43">
        <f>IF($I1961=0,0,$J1961-$M1961-$N1961)</f>
      </c>
    </row>
    <row r="1962">
      <c r="A1962"/>
      <c r="B1962">
        <v>5</v>
      </c>
      <c r="C1962" s="43">
        <f>INDEX(DarlObj,5)</f>
      </c>
      <c r="D1962">
        <v>39</v>
      </c>
      <c r="E1962" s="51">
        <f>IF(INDEX(DarlBelegt,5)=0,0,EOMONTH(INDEX(DarlAuszahlung,5),38)+1)</f>
      </c>
      <c r="F1962" s="43">
        <f>IF($E1962=0,0,YEAR($E1962))</f>
      </c>
      <c r="G1962" s="43">
        <f>IF(INDEX(DarlBindung,5)="",1,IF($E1962&lt;=INDEX(DarlBindung,5),1,0))</f>
      </c>
      <c r="H1962" s="43">
        <f>IF($G1962=1,INDEX(DarlSollzins,5),INDEX(DarlAnschluss,5))</f>
      </c>
      <c r="I1962" s="43">
        <f>IF(INDEX(DarlBelegt,5)=0,0,IF(INDEX(DarlOhneTilgung,5)=1,IF(INDEX(DarlBindung,5)="",1,$G1962),IF($J1962&gt;0.005,1,0)))</f>
      </c>
      <c r="J1962" s="43">
        <f>IF($I1961=0,0,$R1961)</f>
      </c>
      <c r="K1962" s="43">
        <f>IF($I1962=0,0,IF(INDEX(DarlOhneTilgung,5)=1,0,IF(AND(INDEX(DarlTilgStart,5)&gt;0,$E1962=INDEX(DarlTilgStart,5)),$J1962*($H1962+INDEX(DarlTilgung,5))/100/12,IF(AND($G1962=0,$G1961=1),MAX($K1961,$J1962*($H1962+1)/100/12),$K1961))))</f>
      </c>
      <c r="L1962" s="43">
        <f>IF($I1962=0,0,$J1962*$H1962/100/12)</f>
      </c>
      <c r="M1962" s="43">
        <f>IF($I1962=0,0,IF(OR(INDEX(DarlOhneTilgung,5)=1,AND(INDEX(DarlTilgStart,5)&gt;0,$E1962&lt;INDEX(DarlTilgStart,5))),0,MIN(MAX(0,$K1962-$L1962),$J1962)))</f>
      </c>
      <c r="N1962" s="43">
        <f>IF($I1962=0,0,MIN(SUMIFS(SondBetrag,SondDarl,5,SondDatum,"&gt;="&amp;$E1962,SondDatum,"&lt;="&amp;EOMONTH($E1962,0)),$J1962-$M1962))</f>
      </c>
      <c r="O1962" s="43">
        <f>IF($I1962=0,0,INDEX(DarlErsatzRate,5))</f>
      </c>
      <c r="P1962" s="43">
        <f>IF($I1962=0,0,$Q1961*INDEX(DarlErsatzZins,5))</f>
      </c>
      <c r="Q1962" s="43">
        <f>IF($I1962=0,0,$Q1961+$P1962+$O1962)</f>
      </c>
      <c r="R1962" s="43">
        <f>IF($I1962=0,0,$J1962-$M1962-$N1962)</f>
      </c>
    </row>
    <row r="1963">
      <c r="A1963"/>
      <c r="B1963">
        <v>5</v>
      </c>
      <c r="C1963" s="43">
        <f>INDEX(DarlObj,5)</f>
      </c>
      <c r="D1963">
        <v>40</v>
      </c>
      <c r="E1963" s="51">
        <f>IF(INDEX(DarlBelegt,5)=0,0,EOMONTH(INDEX(DarlAuszahlung,5),39)+1)</f>
      </c>
      <c r="F1963" s="43">
        <f>IF($E1963=0,0,YEAR($E1963))</f>
      </c>
      <c r="G1963" s="43">
        <f>IF(INDEX(DarlBindung,5)="",1,IF($E1963&lt;=INDEX(DarlBindung,5),1,0))</f>
      </c>
      <c r="H1963" s="43">
        <f>IF($G1963=1,INDEX(DarlSollzins,5),INDEX(DarlAnschluss,5))</f>
      </c>
      <c r="I1963" s="43">
        <f>IF(INDEX(DarlBelegt,5)=0,0,IF(INDEX(DarlOhneTilgung,5)=1,IF(INDEX(DarlBindung,5)="",1,$G1963),IF($J1963&gt;0.005,1,0)))</f>
      </c>
      <c r="J1963" s="43">
        <f>IF($I1962=0,0,$R1962)</f>
      </c>
      <c r="K1963" s="43">
        <f>IF($I1963=0,0,IF(INDEX(DarlOhneTilgung,5)=1,0,IF(AND(INDEX(DarlTilgStart,5)&gt;0,$E1963=INDEX(DarlTilgStart,5)),$J1963*($H1963+INDEX(DarlTilgung,5))/100/12,IF(AND($G1963=0,$G1962=1),MAX($K1962,$J1963*($H1963+1)/100/12),$K1962))))</f>
      </c>
      <c r="L1963" s="43">
        <f>IF($I1963=0,0,$J1963*$H1963/100/12)</f>
      </c>
      <c r="M1963" s="43">
        <f>IF($I1963=0,0,IF(OR(INDEX(DarlOhneTilgung,5)=1,AND(INDEX(DarlTilgStart,5)&gt;0,$E1963&lt;INDEX(DarlTilgStart,5))),0,MIN(MAX(0,$K1963-$L1963),$J1963)))</f>
      </c>
      <c r="N1963" s="43">
        <f>IF($I1963=0,0,MIN(SUMIFS(SondBetrag,SondDarl,5,SondDatum,"&gt;="&amp;$E1963,SondDatum,"&lt;="&amp;EOMONTH($E1963,0)),$J1963-$M1963))</f>
      </c>
      <c r="O1963" s="43">
        <f>IF($I1963=0,0,INDEX(DarlErsatzRate,5))</f>
      </c>
      <c r="P1963" s="43">
        <f>IF($I1963=0,0,$Q1962*INDEX(DarlErsatzZins,5))</f>
      </c>
      <c r="Q1963" s="43">
        <f>IF($I1963=0,0,$Q1962+$P1963+$O1963)</f>
      </c>
      <c r="R1963" s="43">
        <f>IF($I1963=0,0,$J1963-$M1963-$N1963)</f>
      </c>
    </row>
    <row r="1964">
      <c r="A1964"/>
      <c r="B1964">
        <v>5</v>
      </c>
      <c r="C1964" s="43">
        <f>INDEX(DarlObj,5)</f>
      </c>
      <c r="D1964">
        <v>41</v>
      </c>
      <c r="E1964" s="51">
        <f>IF(INDEX(DarlBelegt,5)=0,0,EOMONTH(INDEX(DarlAuszahlung,5),40)+1)</f>
      </c>
      <c r="F1964" s="43">
        <f>IF($E1964=0,0,YEAR($E1964))</f>
      </c>
      <c r="G1964" s="43">
        <f>IF(INDEX(DarlBindung,5)="",1,IF($E1964&lt;=INDEX(DarlBindung,5),1,0))</f>
      </c>
      <c r="H1964" s="43">
        <f>IF($G1964=1,INDEX(DarlSollzins,5),INDEX(DarlAnschluss,5))</f>
      </c>
      <c r="I1964" s="43">
        <f>IF(INDEX(DarlBelegt,5)=0,0,IF(INDEX(DarlOhneTilgung,5)=1,IF(INDEX(DarlBindung,5)="",1,$G1964),IF($J1964&gt;0.005,1,0)))</f>
      </c>
      <c r="J1964" s="43">
        <f>IF($I1963=0,0,$R1963)</f>
      </c>
      <c r="K1964" s="43">
        <f>IF($I1964=0,0,IF(INDEX(DarlOhneTilgung,5)=1,0,IF(AND(INDEX(DarlTilgStart,5)&gt;0,$E1964=INDEX(DarlTilgStart,5)),$J1964*($H1964+INDEX(DarlTilgung,5))/100/12,IF(AND($G1964=0,$G1963=1),MAX($K1963,$J1964*($H1964+1)/100/12),$K1963))))</f>
      </c>
      <c r="L1964" s="43">
        <f>IF($I1964=0,0,$J1964*$H1964/100/12)</f>
      </c>
      <c r="M1964" s="43">
        <f>IF($I1964=0,0,IF(OR(INDEX(DarlOhneTilgung,5)=1,AND(INDEX(DarlTilgStart,5)&gt;0,$E1964&lt;INDEX(DarlTilgStart,5))),0,MIN(MAX(0,$K1964-$L1964),$J1964)))</f>
      </c>
      <c r="N1964" s="43">
        <f>IF($I1964=0,0,MIN(SUMIFS(SondBetrag,SondDarl,5,SondDatum,"&gt;="&amp;$E1964,SondDatum,"&lt;="&amp;EOMONTH($E1964,0)),$J1964-$M1964))</f>
      </c>
      <c r="O1964" s="43">
        <f>IF($I1964=0,0,INDEX(DarlErsatzRate,5))</f>
      </c>
      <c r="P1964" s="43">
        <f>IF($I1964=0,0,$Q1963*INDEX(DarlErsatzZins,5))</f>
      </c>
      <c r="Q1964" s="43">
        <f>IF($I1964=0,0,$Q1963+$P1964+$O1964)</f>
      </c>
      <c r="R1964" s="43">
        <f>IF($I1964=0,0,$J1964-$M1964-$N1964)</f>
      </c>
    </row>
    <row r="1965">
      <c r="A1965"/>
      <c r="B1965">
        <v>5</v>
      </c>
      <c r="C1965" s="43">
        <f>INDEX(DarlObj,5)</f>
      </c>
      <c r="D1965">
        <v>42</v>
      </c>
      <c r="E1965" s="51">
        <f>IF(INDEX(DarlBelegt,5)=0,0,EOMONTH(INDEX(DarlAuszahlung,5),41)+1)</f>
      </c>
      <c r="F1965" s="43">
        <f>IF($E1965=0,0,YEAR($E1965))</f>
      </c>
      <c r="G1965" s="43">
        <f>IF(INDEX(DarlBindung,5)="",1,IF($E1965&lt;=INDEX(DarlBindung,5),1,0))</f>
      </c>
      <c r="H1965" s="43">
        <f>IF($G1965=1,INDEX(DarlSollzins,5),INDEX(DarlAnschluss,5))</f>
      </c>
      <c r="I1965" s="43">
        <f>IF(INDEX(DarlBelegt,5)=0,0,IF(INDEX(DarlOhneTilgung,5)=1,IF(INDEX(DarlBindung,5)="",1,$G1965),IF($J1965&gt;0.005,1,0)))</f>
      </c>
      <c r="J1965" s="43">
        <f>IF($I1964=0,0,$R1964)</f>
      </c>
      <c r="K1965" s="43">
        <f>IF($I1965=0,0,IF(INDEX(DarlOhneTilgung,5)=1,0,IF(AND(INDEX(DarlTilgStart,5)&gt;0,$E1965=INDEX(DarlTilgStart,5)),$J1965*($H1965+INDEX(DarlTilgung,5))/100/12,IF(AND($G1965=0,$G1964=1),MAX($K1964,$J1965*($H1965+1)/100/12),$K1964))))</f>
      </c>
      <c r="L1965" s="43">
        <f>IF($I1965=0,0,$J1965*$H1965/100/12)</f>
      </c>
      <c r="M1965" s="43">
        <f>IF($I1965=0,0,IF(OR(INDEX(DarlOhneTilgung,5)=1,AND(INDEX(DarlTilgStart,5)&gt;0,$E1965&lt;INDEX(DarlTilgStart,5))),0,MIN(MAX(0,$K1965-$L1965),$J1965)))</f>
      </c>
      <c r="N1965" s="43">
        <f>IF($I1965=0,0,MIN(SUMIFS(SondBetrag,SondDarl,5,SondDatum,"&gt;="&amp;$E1965,SondDatum,"&lt;="&amp;EOMONTH($E1965,0)),$J1965-$M1965))</f>
      </c>
      <c r="O1965" s="43">
        <f>IF($I1965=0,0,INDEX(DarlErsatzRate,5))</f>
      </c>
      <c r="P1965" s="43">
        <f>IF($I1965=0,0,$Q1964*INDEX(DarlErsatzZins,5))</f>
      </c>
      <c r="Q1965" s="43">
        <f>IF($I1965=0,0,$Q1964+$P1965+$O1965)</f>
      </c>
      <c r="R1965" s="43">
        <f>IF($I1965=0,0,$J1965-$M1965-$N1965)</f>
      </c>
    </row>
    <row r="1966">
      <c r="A1966"/>
      <c r="B1966">
        <v>5</v>
      </c>
      <c r="C1966" s="43">
        <f>INDEX(DarlObj,5)</f>
      </c>
      <c r="D1966">
        <v>43</v>
      </c>
      <c r="E1966" s="51">
        <f>IF(INDEX(DarlBelegt,5)=0,0,EOMONTH(INDEX(DarlAuszahlung,5),42)+1)</f>
      </c>
      <c r="F1966" s="43">
        <f>IF($E1966=0,0,YEAR($E1966))</f>
      </c>
      <c r="G1966" s="43">
        <f>IF(INDEX(DarlBindung,5)="",1,IF($E1966&lt;=INDEX(DarlBindung,5),1,0))</f>
      </c>
      <c r="H1966" s="43">
        <f>IF($G1966=1,INDEX(DarlSollzins,5),INDEX(DarlAnschluss,5))</f>
      </c>
      <c r="I1966" s="43">
        <f>IF(INDEX(DarlBelegt,5)=0,0,IF(INDEX(DarlOhneTilgung,5)=1,IF(INDEX(DarlBindung,5)="",1,$G1966),IF($J1966&gt;0.005,1,0)))</f>
      </c>
      <c r="J1966" s="43">
        <f>IF($I1965=0,0,$R1965)</f>
      </c>
      <c r="K1966" s="43">
        <f>IF($I1966=0,0,IF(INDEX(DarlOhneTilgung,5)=1,0,IF(AND(INDEX(DarlTilgStart,5)&gt;0,$E1966=INDEX(DarlTilgStart,5)),$J1966*($H1966+INDEX(DarlTilgung,5))/100/12,IF(AND($G1966=0,$G1965=1),MAX($K1965,$J1966*($H1966+1)/100/12),$K1965))))</f>
      </c>
      <c r="L1966" s="43">
        <f>IF($I1966=0,0,$J1966*$H1966/100/12)</f>
      </c>
      <c r="M1966" s="43">
        <f>IF($I1966=0,0,IF(OR(INDEX(DarlOhneTilgung,5)=1,AND(INDEX(DarlTilgStart,5)&gt;0,$E1966&lt;INDEX(DarlTilgStart,5))),0,MIN(MAX(0,$K1966-$L1966),$J1966)))</f>
      </c>
      <c r="N1966" s="43">
        <f>IF($I1966=0,0,MIN(SUMIFS(SondBetrag,SondDarl,5,SondDatum,"&gt;="&amp;$E1966,SondDatum,"&lt;="&amp;EOMONTH($E1966,0)),$J1966-$M1966))</f>
      </c>
      <c r="O1966" s="43">
        <f>IF($I1966=0,0,INDEX(DarlErsatzRate,5))</f>
      </c>
      <c r="P1966" s="43">
        <f>IF($I1966=0,0,$Q1965*INDEX(DarlErsatzZins,5))</f>
      </c>
      <c r="Q1966" s="43">
        <f>IF($I1966=0,0,$Q1965+$P1966+$O1966)</f>
      </c>
      <c r="R1966" s="43">
        <f>IF($I1966=0,0,$J1966-$M1966-$N1966)</f>
      </c>
    </row>
    <row r="1967">
      <c r="A1967"/>
      <c r="B1967">
        <v>5</v>
      </c>
      <c r="C1967" s="43">
        <f>INDEX(DarlObj,5)</f>
      </c>
      <c r="D1967">
        <v>44</v>
      </c>
      <c r="E1967" s="51">
        <f>IF(INDEX(DarlBelegt,5)=0,0,EOMONTH(INDEX(DarlAuszahlung,5),43)+1)</f>
      </c>
      <c r="F1967" s="43">
        <f>IF($E1967=0,0,YEAR($E1967))</f>
      </c>
      <c r="G1967" s="43">
        <f>IF(INDEX(DarlBindung,5)="",1,IF($E1967&lt;=INDEX(DarlBindung,5),1,0))</f>
      </c>
      <c r="H1967" s="43">
        <f>IF($G1967=1,INDEX(DarlSollzins,5),INDEX(DarlAnschluss,5))</f>
      </c>
      <c r="I1967" s="43">
        <f>IF(INDEX(DarlBelegt,5)=0,0,IF(INDEX(DarlOhneTilgung,5)=1,IF(INDEX(DarlBindung,5)="",1,$G1967),IF($J1967&gt;0.005,1,0)))</f>
      </c>
      <c r="J1967" s="43">
        <f>IF($I1966=0,0,$R1966)</f>
      </c>
      <c r="K1967" s="43">
        <f>IF($I1967=0,0,IF(INDEX(DarlOhneTilgung,5)=1,0,IF(AND(INDEX(DarlTilgStart,5)&gt;0,$E1967=INDEX(DarlTilgStart,5)),$J1967*($H1967+INDEX(DarlTilgung,5))/100/12,IF(AND($G1967=0,$G1966=1),MAX($K1966,$J1967*($H1967+1)/100/12),$K1966))))</f>
      </c>
      <c r="L1967" s="43">
        <f>IF($I1967=0,0,$J1967*$H1967/100/12)</f>
      </c>
      <c r="M1967" s="43">
        <f>IF($I1967=0,0,IF(OR(INDEX(DarlOhneTilgung,5)=1,AND(INDEX(DarlTilgStart,5)&gt;0,$E1967&lt;INDEX(DarlTilgStart,5))),0,MIN(MAX(0,$K1967-$L1967),$J1967)))</f>
      </c>
      <c r="N1967" s="43">
        <f>IF($I1967=0,0,MIN(SUMIFS(SondBetrag,SondDarl,5,SondDatum,"&gt;="&amp;$E1967,SondDatum,"&lt;="&amp;EOMONTH($E1967,0)),$J1967-$M1967))</f>
      </c>
      <c r="O1967" s="43">
        <f>IF($I1967=0,0,INDEX(DarlErsatzRate,5))</f>
      </c>
      <c r="P1967" s="43">
        <f>IF($I1967=0,0,$Q1966*INDEX(DarlErsatzZins,5))</f>
      </c>
      <c r="Q1967" s="43">
        <f>IF($I1967=0,0,$Q1966+$P1967+$O1967)</f>
      </c>
      <c r="R1967" s="43">
        <f>IF($I1967=0,0,$J1967-$M1967-$N1967)</f>
      </c>
    </row>
    <row r="1968">
      <c r="A1968"/>
      <c r="B1968">
        <v>5</v>
      </c>
      <c r="C1968" s="43">
        <f>INDEX(DarlObj,5)</f>
      </c>
      <c r="D1968">
        <v>45</v>
      </c>
      <c r="E1968" s="51">
        <f>IF(INDEX(DarlBelegt,5)=0,0,EOMONTH(INDEX(DarlAuszahlung,5),44)+1)</f>
      </c>
      <c r="F1968" s="43">
        <f>IF($E1968=0,0,YEAR($E1968))</f>
      </c>
      <c r="G1968" s="43">
        <f>IF(INDEX(DarlBindung,5)="",1,IF($E1968&lt;=INDEX(DarlBindung,5),1,0))</f>
      </c>
      <c r="H1968" s="43">
        <f>IF($G1968=1,INDEX(DarlSollzins,5),INDEX(DarlAnschluss,5))</f>
      </c>
      <c r="I1968" s="43">
        <f>IF(INDEX(DarlBelegt,5)=0,0,IF(INDEX(DarlOhneTilgung,5)=1,IF(INDEX(DarlBindung,5)="",1,$G1968),IF($J1968&gt;0.005,1,0)))</f>
      </c>
      <c r="J1968" s="43">
        <f>IF($I1967=0,0,$R1967)</f>
      </c>
      <c r="K1968" s="43">
        <f>IF($I1968=0,0,IF(INDEX(DarlOhneTilgung,5)=1,0,IF(AND(INDEX(DarlTilgStart,5)&gt;0,$E1968=INDEX(DarlTilgStart,5)),$J1968*($H1968+INDEX(DarlTilgung,5))/100/12,IF(AND($G1968=0,$G1967=1),MAX($K1967,$J1968*($H1968+1)/100/12),$K1967))))</f>
      </c>
      <c r="L1968" s="43">
        <f>IF($I1968=0,0,$J1968*$H1968/100/12)</f>
      </c>
      <c r="M1968" s="43">
        <f>IF($I1968=0,0,IF(OR(INDEX(DarlOhneTilgung,5)=1,AND(INDEX(DarlTilgStart,5)&gt;0,$E1968&lt;INDEX(DarlTilgStart,5))),0,MIN(MAX(0,$K1968-$L1968),$J1968)))</f>
      </c>
      <c r="N1968" s="43">
        <f>IF($I1968=0,0,MIN(SUMIFS(SondBetrag,SondDarl,5,SondDatum,"&gt;="&amp;$E1968,SondDatum,"&lt;="&amp;EOMONTH($E1968,0)),$J1968-$M1968))</f>
      </c>
      <c r="O1968" s="43">
        <f>IF($I1968=0,0,INDEX(DarlErsatzRate,5))</f>
      </c>
      <c r="P1968" s="43">
        <f>IF($I1968=0,0,$Q1967*INDEX(DarlErsatzZins,5))</f>
      </c>
      <c r="Q1968" s="43">
        <f>IF($I1968=0,0,$Q1967+$P1968+$O1968)</f>
      </c>
      <c r="R1968" s="43">
        <f>IF($I1968=0,0,$J1968-$M1968-$N1968)</f>
      </c>
    </row>
    <row r="1969">
      <c r="A1969"/>
      <c r="B1969">
        <v>5</v>
      </c>
      <c r="C1969" s="43">
        <f>INDEX(DarlObj,5)</f>
      </c>
      <c r="D1969">
        <v>46</v>
      </c>
      <c r="E1969" s="51">
        <f>IF(INDEX(DarlBelegt,5)=0,0,EOMONTH(INDEX(DarlAuszahlung,5),45)+1)</f>
      </c>
      <c r="F1969" s="43">
        <f>IF($E1969=0,0,YEAR($E1969))</f>
      </c>
      <c r="G1969" s="43">
        <f>IF(INDEX(DarlBindung,5)="",1,IF($E1969&lt;=INDEX(DarlBindung,5),1,0))</f>
      </c>
      <c r="H1969" s="43">
        <f>IF($G1969=1,INDEX(DarlSollzins,5),INDEX(DarlAnschluss,5))</f>
      </c>
      <c r="I1969" s="43">
        <f>IF(INDEX(DarlBelegt,5)=0,0,IF(INDEX(DarlOhneTilgung,5)=1,IF(INDEX(DarlBindung,5)="",1,$G1969),IF($J1969&gt;0.005,1,0)))</f>
      </c>
      <c r="J1969" s="43">
        <f>IF($I1968=0,0,$R1968)</f>
      </c>
      <c r="K1969" s="43">
        <f>IF($I1969=0,0,IF(INDEX(DarlOhneTilgung,5)=1,0,IF(AND(INDEX(DarlTilgStart,5)&gt;0,$E1969=INDEX(DarlTilgStart,5)),$J1969*($H1969+INDEX(DarlTilgung,5))/100/12,IF(AND($G1969=0,$G1968=1),MAX($K1968,$J1969*($H1969+1)/100/12),$K1968))))</f>
      </c>
      <c r="L1969" s="43">
        <f>IF($I1969=0,0,$J1969*$H1969/100/12)</f>
      </c>
      <c r="M1969" s="43">
        <f>IF($I1969=0,0,IF(OR(INDEX(DarlOhneTilgung,5)=1,AND(INDEX(DarlTilgStart,5)&gt;0,$E1969&lt;INDEX(DarlTilgStart,5))),0,MIN(MAX(0,$K1969-$L1969),$J1969)))</f>
      </c>
      <c r="N1969" s="43">
        <f>IF($I1969=0,0,MIN(SUMIFS(SondBetrag,SondDarl,5,SondDatum,"&gt;="&amp;$E1969,SondDatum,"&lt;="&amp;EOMONTH($E1969,0)),$J1969-$M1969))</f>
      </c>
      <c r="O1969" s="43">
        <f>IF($I1969=0,0,INDEX(DarlErsatzRate,5))</f>
      </c>
      <c r="P1969" s="43">
        <f>IF($I1969=0,0,$Q1968*INDEX(DarlErsatzZins,5))</f>
      </c>
      <c r="Q1969" s="43">
        <f>IF($I1969=0,0,$Q1968+$P1969+$O1969)</f>
      </c>
      <c r="R1969" s="43">
        <f>IF($I1969=0,0,$J1969-$M1969-$N1969)</f>
      </c>
    </row>
    <row r="1970">
      <c r="A1970"/>
      <c r="B1970">
        <v>5</v>
      </c>
      <c r="C1970" s="43">
        <f>INDEX(DarlObj,5)</f>
      </c>
      <c r="D1970">
        <v>47</v>
      </c>
      <c r="E1970" s="51">
        <f>IF(INDEX(DarlBelegt,5)=0,0,EOMONTH(INDEX(DarlAuszahlung,5),46)+1)</f>
      </c>
      <c r="F1970" s="43">
        <f>IF($E1970=0,0,YEAR($E1970))</f>
      </c>
      <c r="G1970" s="43">
        <f>IF(INDEX(DarlBindung,5)="",1,IF($E1970&lt;=INDEX(DarlBindung,5),1,0))</f>
      </c>
      <c r="H1970" s="43">
        <f>IF($G1970=1,INDEX(DarlSollzins,5),INDEX(DarlAnschluss,5))</f>
      </c>
      <c r="I1970" s="43">
        <f>IF(INDEX(DarlBelegt,5)=0,0,IF(INDEX(DarlOhneTilgung,5)=1,IF(INDEX(DarlBindung,5)="",1,$G1970),IF($J1970&gt;0.005,1,0)))</f>
      </c>
      <c r="J1970" s="43">
        <f>IF($I1969=0,0,$R1969)</f>
      </c>
      <c r="K1970" s="43">
        <f>IF($I1970=0,0,IF(INDEX(DarlOhneTilgung,5)=1,0,IF(AND(INDEX(DarlTilgStart,5)&gt;0,$E1970=INDEX(DarlTilgStart,5)),$J1970*($H1970+INDEX(DarlTilgung,5))/100/12,IF(AND($G1970=0,$G1969=1),MAX($K1969,$J1970*($H1970+1)/100/12),$K1969))))</f>
      </c>
      <c r="L1970" s="43">
        <f>IF($I1970=0,0,$J1970*$H1970/100/12)</f>
      </c>
      <c r="M1970" s="43">
        <f>IF($I1970=0,0,IF(OR(INDEX(DarlOhneTilgung,5)=1,AND(INDEX(DarlTilgStart,5)&gt;0,$E1970&lt;INDEX(DarlTilgStart,5))),0,MIN(MAX(0,$K1970-$L1970),$J1970)))</f>
      </c>
      <c r="N1970" s="43">
        <f>IF($I1970=0,0,MIN(SUMIFS(SondBetrag,SondDarl,5,SondDatum,"&gt;="&amp;$E1970,SondDatum,"&lt;="&amp;EOMONTH($E1970,0)),$J1970-$M1970))</f>
      </c>
      <c r="O1970" s="43">
        <f>IF($I1970=0,0,INDEX(DarlErsatzRate,5))</f>
      </c>
      <c r="P1970" s="43">
        <f>IF($I1970=0,0,$Q1969*INDEX(DarlErsatzZins,5))</f>
      </c>
      <c r="Q1970" s="43">
        <f>IF($I1970=0,0,$Q1969+$P1970+$O1970)</f>
      </c>
      <c r="R1970" s="43">
        <f>IF($I1970=0,0,$J1970-$M1970-$N1970)</f>
      </c>
    </row>
    <row r="1971">
      <c r="A1971"/>
      <c r="B1971">
        <v>5</v>
      </c>
      <c r="C1971" s="43">
        <f>INDEX(DarlObj,5)</f>
      </c>
      <c r="D1971">
        <v>48</v>
      </c>
      <c r="E1971" s="51">
        <f>IF(INDEX(DarlBelegt,5)=0,0,EOMONTH(INDEX(DarlAuszahlung,5),47)+1)</f>
      </c>
      <c r="F1971" s="43">
        <f>IF($E1971=0,0,YEAR($E1971))</f>
      </c>
      <c r="G1971" s="43">
        <f>IF(INDEX(DarlBindung,5)="",1,IF($E1971&lt;=INDEX(DarlBindung,5),1,0))</f>
      </c>
      <c r="H1971" s="43">
        <f>IF($G1971=1,INDEX(DarlSollzins,5),INDEX(DarlAnschluss,5))</f>
      </c>
      <c r="I1971" s="43">
        <f>IF(INDEX(DarlBelegt,5)=0,0,IF(INDEX(DarlOhneTilgung,5)=1,IF(INDEX(DarlBindung,5)="",1,$G1971),IF($J1971&gt;0.005,1,0)))</f>
      </c>
      <c r="J1971" s="43">
        <f>IF($I1970=0,0,$R1970)</f>
      </c>
      <c r="K1971" s="43">
        <f>IF($I1971=0,0,IF(INDEX(DarlOhneTilgung,5)=1,0,IF(AND(INDEX(DarlTilgStart,5)&gt;0,$E1971=INDEX(DarlTilgStart,5)),$J1971*($H1971+INDEX(DarlTilgung,5))/100/12,IF(AND($G1971=0,$G1970=1),MAX($K1970,$J1971*($H1971+1)/100/12),$K1970))))</f>
      </c>
      <c r="L1971" s="43">
        <f>IF($I1971=0,0,$J1971*$H1971/100/12)</f>
      </c>
      <c r="M1971" s="43">
        <f>IF($I1971=0,0,IF(OR(INDEX(DarlOhneTilgung,5)=1,AND(INDEX(DarlTilgStart,5)&gt;0,$E1971&lt;INDEX(DarlTilgStart,5))),0,MIN(MAX(0,$K1971-$L1971),$J1971)))</f>
      </c>
      <c r="N1971" s="43">
        <f>IF($I1971=0,0,MIN(SUMIFS(SondBetrag,SondDarl,5,SondDatum,"&gt;="&amp;$E1971,SondDatum,"&lt;="&amp;EOMONTH($E1971,0)),$J1971-$M1971))</f>
      </c>
      <c r="O1971" s="43">
        <f>IF($I1971=0,0,INDEX(DarlErsatzRate,5))</f>
      </c>
      <c r="P1971" s="43">
        <f>IF($I1971=0,0,$Q1970*INDEX(DarlErsatzZins,5))</f>
      </c>
      <c r="Q1971" s="43">
        <f>IF($I1971=0,0,$Q1970+$P1971+$O1971)</f>
      </c>
      <c r="R1971" s="43">
        <f>IF($I1971=0,0,$J1971-$M1971-$N1971)</f>
      </c>
    </row>
    <row r="1972">
      <c r="A1972"/>
      <c r="B1972">
        <v>5</v>
      </c>
      <c r="C1972" s="43">
        <f>INDEX(DarlObj,5)</f>
      </c>
      <c r="D1972">
        <v>49</v>
      </c>
      <c r="E1972" s="51">
        <f>IF(INDEX(DarlBelegt,5)=0,0,EOMONTH(INDEX(DarlAuszahlung,5),48)+1)</f>
      </c>
      <c r="F1972" s="43">
        <f>IF($E1972=0,0,YEAR($E1972))</f>
      </c>
      <c r="G1972" s="43">
        <f>IF(INDEX(DarlBindung,5)="",1,IF($E1972&lt;=INDEX(DarlBindung,5),1,0))</f>
      </c>
      <c r="H1972" s="43">
        <f>IF($G1972=1,INDEX(DarlSollzins,5),INDEX(DarlAnschluss,5))</f>
      </c>
      <c r="I1972" s="43">
        <f>IF(INDEX(DarlBelegt,5)=0,0,IF(INDEX(DarlOhneTilgung,5)=1,IF(INDEX(DarlBindung,5)="",1,$G1972),IF($J1972&gt;0.005,1,0)))</f>
      </c>
      <c r="J1972" s="43">
        <f>IF($I1971=0,0,$R1971)</f>
      </c>
      <c r="K1972" s="43">
        <f>IF($I1972=0,0,IF(INDEX(DarlOhneTilgung,5)=1,0,IF(AND(INDEX(DarlTilgStart,5)&gt;0,$E1972=INDEX(DarlTilgStart,5)),$J1972*($H1972+INDEX(DarlTilgung,5))/100/12,IF(AND($G1972=0,$G1971=1),MAX($K1971,$J1972*($H1972+1)/100/12),$K1971))))</f>
      </c>
      <c r="L1972" s="43">
        <f>IF($I1972=0,0,$J1972*$H1972/100/12)</f>
      </c>
      <c r="M1972" s="43">
        <f>IF($I1972=0,0,IF(OR(INDEX(DarlOhneTilgung,5)=1,AND(INDEX(DarlTilgStart,5)&gt;0,$E1972&lt;INDEX(DarlTilgStart,5))),0,MIN(MAX(0,$K1972-$L1972),$J1972)))</f>
      </c>
      <c r="N1972" s="43">
        <f>IF($I1972=0,0,MIN(SUMIFS(SondBetrag,SondDarl,5,SondDatum,"&gt;="&amp;$E1972,SondDatum,"&lt;="&amp;EOMONTH($E1972,0)),$J1972-$M1972))</f>
      </c>
      <c r="O1972" s="43">
        <f>IF($I1972=0,0,INDEX(DarlErsatzRate,5))</f>
      </c>
      <c r="P1972" s="43">
        <f>IF($I1972=0,0,$Q1971*INDEX(DarlErsatzZins,5))</f>
      </c>
      <c r="Q1972" s="43">
        <f>IF($I1972=0,0,$Q1971+$P1972+$O1972)</f>
      </c>
      <c r="R1972" s="43">
        <f>IF($I1972=0,0,$J1972-$M1972-$N1972)</f>
      </c>
    </row>
    <row r="1973">
      <c r="A1973"/>
      <c r="B1973">
        <v>5</v>
      </c>
      <c r="C1973" s="43">
        <f>INDEX(DarlObj,5)</f>
      </c>
      <c r="D1973">
        <v>50</v>
      </c>
      <c r="E1973" s="51">
        <f>IF(INDEX(DarlBelegt,5)=0,0,EOMONTH(INDEX(DarlAuszahlung,5),49)+1)</f>
      </c>
      <c r="F1973" s="43">
        <f>IF($E1973=0,0,YEAR($E1973))</f>
      </c>
      <c r="G1973" s="43">
        <f>IF(INDEX(DarlBindung,5)="",1,IF($E1973&lt;=INDEX(DarlBindung,5),1,0))</f>
      </c>
      <c r="H1973" s="43">
        <f>IF($G1973=1,INDEX(DarlSollzins,5),INDEX(DarlAnschluss,5))</f>
      </c>
      <c r="I1973" s="43">
        <f>IF(INDEX(DarlBelegt,5)=0,0,IF(INDEX(DarlOhneTilgung,5)=1,IF(INDEX(DarlBindung,5)="",1,$G1973),IF($J1973&gt;0.005,1,0)))</f>
      </c>
      <c r="J1973" s="43">
        <f>IF($I1972=0,0,$R1972)</f>
      </c>
      <c r="K1973" s="43">
        <f>IF($I1973=0,0,IF(INDEX(DarlOhneTilgung,5)=1,0,IF(AND(INDEX(DarlTilgStart,5)&gt;0,$E1973=INDEX(DarlTilgStart,5)),$J1973*($H1973+INDEX(DarlTilgung,5))/100/12,IF(AND($G1973=0,$G1972=1),MAX($K1972,$J1973*($H1973+1)/100/12),$K1972))))</f>
      </c>
      <c r="L1973" s="43">
        <f>IF($I1973=0,0,$J1973*$H1973/100/12)</f>
      </c>
      <c r="M1973" s="43">
        <f>IF($I1973=0,0,IF(OR(INDEX(DarlOhneTilgung,5)=1,AND(INDEX(DarlTilgStart,5)&gt;0,$E1973&lt;INDEX(DarlTilgStart,5))),0,MIN(MAX(0,$K1973-$L1973),$J1973)))</f>
      </c>
      <c r="N1973" s="43">
        <f>IF($I1973=0,0,MIN(SUMIFS(SondBetrag,SondDarl,5,SondDatum,"&gt;="&amp;$E1973,SondDatum,"&lt;="&amp;EOMONTH($E1973,0)),$J1973-$M1973))</f>
      </c>
      <c r="O1973" s="43">
        <f>IF($I1973=0,0,INDEX(DarlErsatzRate,5))</f>
      </c>
      <c r="P1973" s="43">
        <f>IF($I1973=0,0,$Q1972*INDEX(DarlErsatzZins,5))</f>
      </c>
      <c r="Q1973" s="43">
        <f>IF($I1973=0,0,$Q1972+$P1973+$O1973)</f>
      </c>
      <c r="R1973" s="43">
        <f>IF($I1973=0,0,$J1973-$M1973-$N1973)</f>
      </c>
    </row>
    <row r="1974">
      <c r="A1974"/>
      <c r="B1974">
        <v>5</v>
      </c>
      <c r="C1974" s="43">
        <f>INDEX(DarlObj,5)</f>
      </c>
      <c r="D1974">
        <v>51</v>
      </c>
      <c r="E1974" s="51">
        <f>IF(INDEX(DarlBelegt,5)=0,0,EOMONTH(INDEX(DarlAuszahlung,5),50)+1)</f>
      </c>
      <c r="F1974" s="43">
        <f>IF($E1974=0,0,YEAR($E1974))</f>
      </c>
      <c r="G1974" s="43">
        <f>IF(INDEX(DarlBindung,5)="",1,IF($E1974&lt;=INDEX(DarlBindung,5),1,0))</f>
      </c>
      <c r="H1974" s="43">
        <f>IF($G1974=1,INDEX(DarlSollzins,5),INDEX(DarlAnschluss,5))</f>
      </c>
      <c r="I1974" s="43">
        <f>IF(INDEX(DarlBelegt,5)=0,0,IF(INDEX(DarlOhneTilgung,5)=1,IF(INDEX(DarlBindung,5)="",1,$G1974),IF($J1974&gt;0.005,1,0)))</f>
      </c>
      <c r="J1974" s="43">
        <f>IF($I1973=0,0,$R1973)</f>
      </c>
      <c r="K1974" s="43">
        <f>IF($I1974=0,0,IF(INDEX(DarlOhneTilgung,5)=1,0,IF(AND(INDEX(DarlTilgStart,5)&gt;0,$E1974=INDEX(DarlTilgStart,5)),$J1974*($H1974+INDEX(DarlTilgung,5))/100/12,IF(AND($G1974=0,$G1973=1),MAX($K1973,$J1974*($H1974+1)/100/12),$K1973))))</f>
      </c>
      <c r="L1974" s="43">
        <f>IF($I1974=0,0,$J1974*$H1974/100/12)</f>
      </c>
      <c r="M1974" s="43">
        <f>IF($I1974=0,0,IF(OR(INDEX(DarlOhneTilgung,5)=1,AND(INDEX(DarlTilgStart,5)&gt;0,$E1974&lt;INDEX(DarlTilgStart,5))),0,MIN(MAX(0,$K1974-$L1974),$J1974)))</f>
      </c>
      <c r="N1974" s="43">
        <f>IF($I1974=0,0,MIN(SUMIFS(SondBetrag,SondDarl,5,SondDatum,"&gt;="&amp;$E1974,SondDatum,"&lt;="&amp;EOMONTH($E1974,0)),$J1974-$M1974))</f>
      </c>
      <c r="O1974" s="43">
        <f>IF($I1974=0,0,INDEX(DarlErsatzRate,5))</f>
      </c>
      <c r="P1974" s="43">
        <f>IF($I1974=0,0,$Q1973*INDEX(DarlErsatzZins,5))</f>
      </c>
      <c r="Q1974" s="43">
        <f>IF($I1974=0,0,$Q1973+$P1974+$O1974)</f>
      </c>
      <c r="R1974" s="43">
        <f>IF($I1974=0,0,$J1974-$M1974-$N1974)</f>
      </c>
    </row>
    <row r="1975">
      <c r="A1975"/>
      <c r="B1975">
        <v>5</v>
      </c>
      <c r="C1975" s="43">
        <f>INDEX(DarlObj,5)</f>
      </c>
      <c r="D1975">
        <v>52</v>
      </c>
      <c r="E1975" s="51">
        <f>IF(INDEX(DarlBelegt,5)=0,0,EOMONTH(INDEX(DarlAuszahlung,5),51)+1)</f>
      </c>
      <c r="F1975" s="43">
        <f>IF($E1975=0,0,YEAR($E1975))</f>
      </c>
      <c r="G1975" s="43">
        <f>IF(INDEX(DarlBindung,5)="",1,IF($E1975&lt;=INDEX(DarlBindung,5),1,0))</f>
      </c>
      <c r="H1975" s="43">
        <f>IF($G1975=1,INDEX(DarlSollzins,5),INDEX(DarlAnschluss,5))</f>
      </c>
      <c r="I1975" s="43">
        <f>IF(INDEX(DarlBelegt,5)=0,0,IF(INDEX(DarlOhneTilgung,5)=1,IF(INDEX(DarlBindung,5)="",1,$G1975),IF($J1975&gt;0.005,1,0)))</f>
      </c>
      <c r="J1975" s="43">
        <f>IF($I1974=0,0,$R1974)</f>
      </c>
      <c r="K1975" s="43">
        <f>IF($I1975=0,0,IF(INDEX(DarlOhneTilgung,5)=1,0,IF(AND(INDEX(DarlTilgStart,5)&gt;0,$E1975=INDEX(DarlTilgStart,5)),$J1975*($H1975+INDEX(DarlTilgung,5))/100/12,IF(AND($G1975=0,$G1974=1),MAX($K1974,$J1975*($H1975+1)/100/12),$K1974))))</f>
      </c>
      <c r="L1975" s="43">
        <f>IF($I1975=0,0,$J1975*$H1975/100/12)</f>
      </c>
      <c r="M1975" s="43">
        <f>IF($I1975=0,0,IF(OR(INDEX(DarlOhneTilgung,5)=1,AND(INDEX(DarlTilgStart,5)&gt;0,$E1975&lt;INDEX(DarlTilgStart,5))),0,MIN(MAX(0,$K1975-$L1975),$J1975)))</f>
      </c>
      <c r="N1975" s="43">
        <f>IF($I1975=0,0,MIN(SUMIFS(SondBetrag,SondDarl,5,SondDatum,"&gt;="&amp;$E1975,SondDatum,"&lt;="&amp;EOMONTH($E1975,0)),$J1975-$M1975))</f>
      </c>
      <c r="O1975" s="43">
        <f>IF($I1975=0,0,INDEX(DarlErsatzRate,5))</f>
      </c>
      <c r="P1975" s="43">
        <f>IF($I1975=0,0,$Q1974*INDEX(DarlErsatzZins,5))</f>
      </c>
      <c r="Q1975" s="43">
        <f>IF($I1975=0,0,$Q1974+$P1975+$O1975)</f>
      </c>
      <c r="R1975" s="43">
        <f>IF($I1975=0,0,$J1975-$M1975-$N1975)</f>
      </c>
    </row>
    <row r="1976">
      <c r="A1976"/>
      <c r="B1976">
        <v>5</v>
      </c>
      <c r="C1976" s="43">
        <f>INDEX(DarlObj,5)</f>
      </c>
      <c r="D1976">
        <v>53</v>
      </c>
      <c r="E1976" s="51">
        <f>IF(INDEX(DarlBelegt,5)=0,0,EOMONTH(INDEX(DarlAuszahlung,5),52)+1)</f>
      </c>
      <c r="F1976" s="43">
        <f>IF($E1976=0,0,YEAR($E1976))</f>
      </c>
      <c r="G1976" s="43">
        <f>IF(INDEX(DarlBindung,5)="",1,IF($E1976&lt;=INDEX(DarlBindung,5),1,0))</f>
      </c>
      <c r="H1976" s="43">
        <f>IF($G1976=1,INDEX(DarlSollzins,5),INDEX(DarlAnschluss,5))</f>
      </c>
      <c r="I1976" s="43">
        <f>IF(INDEX(DarlBelegt,5)=0,0,IF(INDEX(DarlOhneTilgung,5)=1,IF(INDEX(DarlBindung,5)="",1,$G1976),IF($J1976&gt;0.005,1,0)))</f>
      </c>
      <c r="J1976" s="43">
        <f>IF($I1975=0,0,$R1975)</f>
      </c>
      <c r="K1976" s="43">
        <f>IF($I1976=0,0,IF(INDEX(DarlOhneTilgung,5)=1,0,IF(AND(INDEX(DarlTilgStart,5)&gt;0,$E1976=INDEX(DarlTilgStart,5)),$J1976*($H1976+INDEX(DarlTilgung,5))/100/12,IF(AND($G1976=0,$G1975=1),MAX($K1975,$J1976*($H1976+1)/100/12),$K1975))))</f>
      </c>
      <c r="L1976" s="43">
        <f>IF($I1976=0,0,$J1976*$H1976/100/12)</f>
      </c>
      <c r="M1976" s="43">
        <f>IF($I1976=0,0,IF(OR(INDEX(DarlOhneTilgung,5)=1,AND(INDEX(DarlTilgStart,5)&gt;0,$E1976&lt;INDEX(DarlTilgStart,5))),0,MIN(MAX(0,$K1976-$L1976),$J1976)))</f>
      </c>
      <c r="N1976" s="43">
        <f>IF($I1976=0,0,MIN(SUMIFS(SondBetrag,SondDarl,5,SondDatum,"&gt;="&amp;$E1976,SondDatum,"&lt;="&amp;EOMONTH($E1976,0)),$J1976-$M1976))</f>
      </c>
      <c r="O1976" s="43">
        <f>IF($I1976=0,0,INDEX(DarlErsatzRate,5))</f>
      </c>
      <c r="P1976" s="43">
        <f>IF($I1976=0,0,$Q1975*INDEX(DarlErsatzZins,5))</f>
      </c>
      <c r="Q1976" s="43">
        <f>IF($I1976=0,0,$Q1975+$P1976+$O1976)</f>
      </c>
      <c r="R1976" s="43">
        <f>IF($I1976=0,0,$J1976-$M1976-$N1976)</f>
      </c>
    </row>
    <row r="1977">
      <c r="A1977"/>
      <c r="B1977">
        <v>5</v>
      </c>
      <c r="C1977" s="43">
        <f>INDEX(DarlObj,5)</f>
      </c>
      <c r="D1977">
        <v>54</v>
      </c>
      <c r="E1977" s="51">
        <f>IF(INDEX(DarlBelegt,5)=0,0,EOMONTH(INDEX(DarlAuszahlung,5),53)+1)</f>
      </c>
      <c r="F1977" s="43">
        <f>IF($E1977=0,0,YEAR($E1977))</f>
      </c>
      <c r="G1977" s="43">
        <f>IF(INDEX(DarlBindung,5)="",1,IF($E1977&lt;=INDEX(DarlBindung,5),1,0))</f>
      </c>
      <c r="H1977" s="43">
        <f>IF($G1977=1,INDEX(DarlSollzins,5),INDEX(DarlAnschluss,5))</f>
      </c>
      <c r="I1977" s="43">
        <f>IF(INDEX(DarlBelegt,5)=0,0,IF(INDEX(DarlOhneTilgung,5)=1,IF(INDEX(DarlBindung,5)="",1,$G1977),IF($J1977&gt;0.005,1,0)))</f>
      </c>
      <c r="J1977" s="43">
        <f>IF($I1976=0,0,$R1976)</f>
      </c>
      <c r="K1977" s="43">
        <f>IF($I1977=0,0,IF(INDEX(DarlOhneTilgung,5)=1,0,IF(AND(INDEX(DarlTilgStart,5)&gt;0,$E1977=INDEX(DarlTilgStart,5)),$J1977*($H1977+INDEX(DarlTilgung,5))/100/12,IF(AND($G1977=0,$G1976=1),MAX($K1976,$J1977*($H1977+1)/100/12),$K1976))))</f>
      </c>
      <c r="L1977" s="43">
        <f>IF($I1977=0,0,$J1977*$H1977/100/12)</f>
      </c>
      <c r="M1977" s="43">
        <f>IF($I1977=0,0,IF(OR(INDEX(DarlOhneTilgung,5)=1,AND(INDEX(DarlTilgStart,5)&gt;0,$E1977&lt;INDEX(DarlTilgStart,5))),0,MIN(MAX(0,$K1977-$L1977),$J1977)))</f>
      </c>
      <c r="N1977" s="43">
        <f>IF($I1977=0,0,MIN(SUMIFS(SondBetrag,SondDarl,5,SondDatum,"&gt;="&amp;$E1977,SondDatum,"&lt;="&amp;EOMONTH($E1977,0)),$J1977-$M1977))</f>
      </c>
      <c r="O1977" s="43">
        <f>IF($I1977=0,0,INDEX(DarlErsatzRate,5))</f>
      </c>
      <c r="P1977" s="43">
        <f>IF($I1977=0,0,$Q1976*INDEX(DarlErsatzZins,5))</f>
      </c>
      <c r="Q1977" s="43">
        <f>IF($I1977=0,0,$Q1976+$P1977+$O1977)</f>
      </c>
      <c r="R1977" s="43">
        <f>IF($I1977=0,0,$J1977-$M1977-$N1977)</f>
      </c>
    </row>
    <row r="1978">
      <c r="A1978"/>
      <c r="B1978">
        <v>5</v>
      </c>
      <c r="C1978" s="43">
        <f>INDEX(DarlObj,5)</f>
      </c>
      <c r="D1978">
        <v>55</v>
      </c>
      <c r="E1978" s="51">
        <f>IF(INDEX(DarlBelegt,5)=0,0,EOMONTH(INDEX(DarlAuszahlung,5),54)+1)</f>
      </c>
      <c r="F1978" s="43">
        <f>IF($E1978=0,0,YEAR($E1978))</f>
      </c>
      <c r="G1978" s="43">
        <f>IF(INDEX(DarlBindung,5)="",1,IF($E1978&lt;=INDEX(DarlBindung,5),1,0))</f>
      </c>
      <c r="H1978" s="43">
        <f>IF($G1978=1,INDEX(DarlSollzins,5),INDEX(DarlAnschluss,5))</f>
      </c>
      <c r="I1978" s="43">
        <f>IF(INDEX(DarlBelegt,5)=0,0,IF(INDEX(DarlOhneTilgung,5)=1,IF(INDEX(DarlBindung,5)="",1,$G1978),IF($J1978&gt;0.005,1,0)))</f>
      </c>
      <c r="J1978" s="43">
        <f>IF($I1977=0,0,$R1977)</f>
      </c>
      <c r="K1978" s="43">
        <f>IF($I1978=0,0,IF(INDEX(DarlOhneTilgung,5)=1,0,IF(AND(INDEX(DarlTilgStart,5)&gt;0,$E1978=INDEX(DarlTilgStart,5)),$J1978*($H1978+INDEX(DarlTilgung,5))/100/12,IF(AND($G1978=0,$G1977=1),MAX($K1977,$J1978*($H1978+1)/100/12),$K1977))))</f>
      </c>
      <c r="L1978" s="43">
        <f>IF($I1978=0,0,$J1978*$H1978/100/12)</f>
      </c>
      <c r="M1978" s="43">
        <f>IF($I1978=0,0,IF(OR(INDEX(DarlOhneTilgung,5)=1,AND(INDEX(DarlTilgStart,5)&gt;0,$E1978&lt;INDEX(DarlTilgStart,5))),0,MIN(MAX(0,$K1978-$L1978),$J1978)))</f>
      </c>
      <c r="N1978" s="43">
        <f>IF($I1978=0,0,MIN(SUMIFS(SondBetrag,SondDarl,5,SondDatum,"&gt;="&amp;$E1978,SondDatum,"&lt;="&amp;EOMONTH($E1978,0)),$J1978-$M1978))</f>
      </c>
      <c r="O1978" s="43">
        <f>IF($I1978=0,0,INDEX(DarlErsatzRate,5))</f>
      </c>
      <c r="P1978" s="43">
        <f>IF($I1978=0,0,$Q1977*INDEX(DarlErsatzZins,5))</f>
      </c>
      <c r="Q1978" s="43">
        <f>IF($I1978=0,0,$Q1977+$P1978+$O1978)</f>
      </c>
      <c r="R1978" s="43">
        <f>IF($I1978=0,0,$J1978-$M1978-$N1978)</f>
      </c>
    </row>
    <row r="1979">
      <c r="A1979"/>
      <c r="B1979">
        <v>5</v>
      </c>
      <c r="C1979" s="43">
        <f>INDEX(DarlObj,5)</f>
      </c>
      <c r="D1979">
        <v>56</v>
      </c>
      <c r="E1979" s="51">
        <f>IF(INDEX(DarlBelegt,5)=0,0,EOMONTH(INDEX(DarlAuszahlung,5),55)+1)</f>
      </c>
      <c r="F1979" s="43">
        <f>IF($E1979=0,0,YEAR($E1979))</f>
      </c>
      <c r="G1979" s="43">
        <f>IF(INDEX(DarlBindung,5)="",1,IF($E1979&lt;=INDEX(DarlBindung,5),1,0))</f>
      </c>
      <c r="H1979" s="43">
        <f>IF($G1979=1,INDEX(DarlSollzins,5),INDEX(DarlAnschluss,5))</f>
      </c>
      <c r="I1979" s="43">
        <f>IF(INDEX(DarlBelegt,5)=0,0,IF(INDEX(DarlOhneTilgung,5)=1,IF(INDEX(DarlBindung,5)="",1,$G1979),IF($J1979&gt;0.005,1,0)))</f>
      </c>
      <c r="J1979" s="43">
        <f>IF($I1978=0,0,$R1978)</f>
      </c>
      <c r="K1979" s="43">
        <f>IF($I1979=0,0,IF(INDEX(DarlOhneTilgung,5)=1,0,IF(AND(INDEX(DarlTilgStart,5)&gt;0,$E1979=INDEX(DarlTilgStart,5)),$J1979*($H1979+INDEX(DarlTilgung,5))/100/12,IF(AND($G1979=0,$G1978=1),MAX($K1978,$J1979*($H1979+1)/100/12),$K1978))))</f>
      </c>
      <c r="L1979" s="43">
        <f>IF($I1979=0,0,$J1979*$H1979/100/12)</f>
      </c>
      <c r="M1979" s="43">
        <f>IF($I1979=0,0,IF(OR(INDEX(DarlOhneTilgung,5)=1,AND(INDEX(DarlTilgStart,5)&gt;0,$E1979&lt;INDEX(DarlTilgStart,5))),0,MIN(MAX(0,$K1979-$L1979),$J1979)))</f>
      </c>
      <c r="N1979" s="43">
        <f>IF($I1979=0,0,MIN(SUMIFS(SondBetrag,SondDarl,5,SondDatum,"&gt;="&amp;$E1979,SondDatum,"&lt;="&amp;EOMONTH($E1979,0)),$J1979-$M1979))</f>
      </c>
      <c r="O1979" s="43">
        <f>IF($I1979=0,0,INDEX(DarlErsatzRate,5))</f>
      </c>
      <c r="P1979" s="43">
        <f>IF($I1979=0,0,$Q1978*INDEX(DarlErsatzZins,5))</f>
      </c>
      <c r="Q1979" s="43">
        <f>IF($I1979=0,0,$Q1978+$P1979+$O1979)</f>
      </c>
      <c r="R1979" s="43">
        <f>IF($I1979=0,0,$J1979-$M1979-$N1979)</f>
      </c>
    </row>
    <row r="1980">
      <c r="A1980"/>
      <c r="B1980">
        <v>5</v>
      </c>
      <c r="C1980" s="43">
        <f>INDEX(DarlObj,5)</f>
      </c>
      <c r="D1980">
        <v>57</v>
      </c>
      <c r="E1980" s="51">
        <f>IF(INDEX(DarlBelegt,5)=0,0,EOMONTH(INDEX(DarlAuszahlung,5),56)+1)</f>
      </c>
      <c r="F1980" s="43">
        <f>IF($E1980=0,0,YEAR($E1980))</f>
      </c>
      <c r="G1980" s="43">
        <f>IF(INDEX(DarlBindung,5)="",1,IF($E1980&lt;=INDEX(DarlBindung,5),1,0))</f>
      </c>
      <c r="H1980" s="43">
        <f>IF($G1980=1,INDEX(DarlSollzins,5),INDEX(DarlAnschluss,5))</f>
      </c>
      <c r="I1980" s="43">
        <f>IF(INDEX(DarlBelegt,5)=0,0,IF(INDEX(DarlOhneTilgung,5)=1,IF(INDEX(DarlBindung,5)="",1,$G1980),IF($J1980&gt;0.005,1,0)))</f>
      </c>
      <c r="J1980" s="43">
        <f>IF($I1979=0,0,$R1979)</f>
      </c>
      <c r="K1980" s="43">
        <f>IF($I1980=0,0,IF(INDEX(DarlOhneTilgung,5)=1,0,IF(AND(INDEX(DarlTilgStart,5)&gt;0,$E1980=INDEX(DarlTilgStart,5)),$J1980*($H1980+INDEX(DarlTilgung,5))/100/12,IF(AND($G1980=0,$G1979=1),MAX($K1979,$J1980*($H1980+1)/100/12),$K1979))))</f>
      </c>
      <c r="L1980" s="43">
        <f>IF($I1980=0,0,$J1980*$H1980/100/12)</f>
      </c>
      <c r="M1980" s="43">
        <f>IF($I1980=0,0,IF(OR(INDEX(DarlOhneTilgung,5)=1,AND(INDEX(DarlTilgStart,5)&gt;0,$E1980&lt;INDEX(DarlTilgStart,5))),0,MIN(MAX(0,$K1980-$L1980),$J1980)))</f>
      </c>
      <c r="N1980" s="43">
        <f>IF($I1980=0,0,MIN(SUMIFS(SondBetrag,SondDarl,5,SondDatum,"&gt;="&amp;$E1980,SondDatum,"&lt;="&amp;EOMONTH($E1980,0)),$J1980-$M1980))</f>
      </c>
      <c r="O1980" s="43">
        <f>IF($I1980=0,0,INDEX(DarlErsatzRate,5))</f>
      </c>
      <c r="P1980" s="43">
        <f>IF($I1980=0,0,$Q1979*INDEX(DarlErsatzZins,5))</f>
      </c>
      <c r="Q1980" s="43">
        <f>IF($I1980=0,0,$Q1979+$P1980+$O1980)</f>
      </c>
      <c r="R1980" s="43">
        <f>IF($I1980=0,0,$J1980-$M1980-$N1980)</f>
      </c>
    </row>
    <row r="1981">
      <c r="A1981"/>
      <c r="B1981">
        <v>5</v>
      </c>
      <c r="C1981" s="43">
        <f>INDEX(DarlObj,5)</f>
      </c>
      <c r="D1981">
        <v>58</v>
      </c>
      <c r="E1981" s="51">
        <f>IF(INDEX(DarlBelegt,5)=0,0,EOMONTH(INDEX(DarlAuszahlung,5),57)+1)</f>
      </c>
      <c r="F1981" s="43">
        <f>IF($E1981=0,0,YEAR($E1981))</f>
      </c>
      <c r="G1981" s="43">
        <f>IF(INDEX(DarlBindung,5)="",1,IF($E1981&lt;=INDEX(DarlBindung,5),1,0))</f>
      </c>
      <c r="H1981" s="43">
        <f>IF($G1981=1,INDEX(DarlSollzins,5),INDEX(DarlAnschluss,5))</f>
      </c>
      <c r="I1981" s="43">
        <f>IF(INDEX(DarlBelegt,5)=0,0,IF(INDEX(DarlOhneTilgung,5)=1,IF(INDEX(DarlBindung,5)="",1,$G1981),IF($J1981&gt;0.005,1,0)))</f>
      </c>
      <c r="J1981" s="43">
        <f>IF($I1980=0,0,$R1980)</f>
      </c>
      <c r="K1981" s="43">
        <f>IF($I1981=0,0,IF(INDEX(DarlOhneTilgung,5)=1,0,IF(AND(INDEX(DarlTilgStart,5)&gt;0,$E1981=INDEX(DarlTilgStart,5)),$J1981*($H1981+INDEX(DarlTilgung,5))/100/12,IF(AND($G1981=0,$G1980=1),MAX($K1980,$J1981*($H1981+1)/100/12),$K1980))))</f>
      </c>
      <c r="L1981" s="43">
        <f>IF($I1981=0,0,$J1981*$H1981/100/12)</f>
      </c>
      <c r="M1981" s="43">
        <f>IF($I1981=0,0,IF(OR(INDEX(DarlOhneTilgung,5)=1,AND(INDEX(DarlTilgStart,5)&gt;0,$E1981&lt;INDEX(DarlTilgStart,5))),0,MIN(MAX(0,$K1981-$L1981),$J1981)))</f>
      </c>
      <c r="N1981" s="43">
        <f>IF($I1981=0,0,MIN(SUMIFS(SondBetrag,SondDarl,5,SondDatum,"&gt;="&amp;$E1981,SondDatum,"&lt;="&amp;EOMONTH($E1981,0)),$J1981-$M1981))</f>
      </c>
      <c r="O1981" s="43">
        <f>IF($I1981=0,0,INDEX(DarlErsatzRate,5))</f>
      </c>
      <c r="P1981" s="43">
        <f>IF($I1981=0,0,$Q1980*INDEX(DarlErsatzZins,5))</f>
      </c>
      <c r="Q1981" s="43">
        <f>IF($I1981=0,0,$Q1980+$P1981+$O1981)</f>
      </c>
      <c r="R1981" s="43">
        <f>IF($I1981=0,0,$J1981-$M1981-$N1981)</f>
      </c>
    </row>
    <row r="1982">
      <c r="A1982"/>
      <c r="B1982">
        <v>5</v>
      </c>
      <c r="C1982" s="43">
        <f>INDEX(DarlObj,5)</f>
      </c>
      <c r="D1982">
        <v>59</v>
      </c>
      <c r="E1982" s="51">
        <f>IF(INDEX(DarlBelegt,5)=0,0,EOMONTH(INDEX(DarlAuszahlung,5),58)+1)</f>
      </c>
      <c r="F1982" s="43">
        <f>IF($E1982=0,0,YEAR($E1982))</f>
      </c>
      <c r="G1982" s="43">
        <f>IF(INDEX(DarlBindung,5)="",1,IF($E1982&lt;=INDEX(DarlBindung,5),1,0))</f>
      </c>
      <c r="H1982" s="43">
        <f>IF($G1982=1,INDEX(DarlSollzins,5),INDEX(DarlAnschluss,5))</f>
      </c>
      <c r="I1982" s="43">
        <f>IF(INDEX(DarlBelegt,5)=0,0,IF(INDEX(DarlOhneTilgung,5)=1,IF(INDEX(DarlBindung,5)="",1,$G1982),IF($J1982&gt;0.005,1,0)))</f>
      </c>
      <c r="J1982" s="43">
        <f>IF($I1981=0,0,$R1981)</f>
      </c>
      <c r="K1982" s="43">
        <f>IF($I1982=0,0,IF(INDEX(DarlOhneTilgung,5)=1,0,IF(AND(INDEX(DarlTilgStart,5)&gt;0,$E1982=INDEX(DarlTilgStart,5)),$J1982*($H1982+INDEX(DarlTilgung,5))/100/12,IF(AND($G1982=0,$G1981=1),MAX($K1981,$J1982*($H1982+1)/100/12),$K1981))))</f>
      </c>
      <c r="L1982" s="43">
        <f>IF($I1982=0,0,$J1982*$H1982/100/12)</f>
      </c>
      <c r="M1982" s="43">
        <f>IF($I1982=0,0,IF(OR(INDEX(DarlOhneTilgung,5)=1,AND(INDEX(DarlTilgStart,5)&gt;0,$E1982&lt;INDEX(DarlTilgStart,5))),0,MIN(MAX(0,$K1982-$L1982),$J1982)))</f>
      </c>
      <c r="N1982" s="43">
        <f>IF($I1982=0,0,MIN(SUMIFS(SondBetrag,SondDarl,5,SondDatum,"&gt;="&amp;$E1982,SondDatum,"&lt;="&amp;EOMONTH($E1982,0)),$J1982-$M1982))</f>
      </c>
      <c r="O1982" s="43">
        <f>IF($I1982=0,0,INDEX(DarlErsatzRate,5))</f>
      </c>
      <c r="P1982" s="43">
        <f>IF($I1982=0,0,$Q1981*INDEX(DarlErsatzZins,5))</f>
      </c>
      <c r="Q1982" s="43">
        <f>IF($I1982=0,0,$Q1981+$P1982+$O1982)</f>
      </c>
      <c r="R1982" s="43">
        <f>IF($I1982=0,0,$J1982-$M1982-$N1982)</f>
      </c>
    </row>
    <row r="1983">
      <c r="A1983"/>
      <c r="B1983">
        <v>5</v>
      </c>
      <c r="C1983" s="43">
        <f>INDEX(DarlObj,5)</f>
      </c>
      <c r="D1983">
        <v>60</v>
      </c>
      <c r="E1983" s="51">
        <f>IF(INDEX(DarlBelegt,5)=0,0,EOMONTH(INDEX(DarlAuszahlung,5),59)+1)</f>
      </c>
      <c r="F1983" s="43">
        <f>IF($E1983=0,0,YEAR($E1983))</f>
      </c>
      <c r="G1983" s="43">
        <f>IF(INDEX(DarlBindung,5)="",1,IF($E1983&lt;=INDEX(DarlBindung,5),1,0))</f>
      </c>
      <c r="H1983" s="43">
        <f>IF($G1983=1,INDEX(DarlSollzins,5),INDEX(DarlAnschluss,5))</f>
      </c>
      <c r="I1983" s="43">
        <f>IF(INDEX(DarlBelegt,5)=0,0,IF(INDEX(DarlOhneTilgung,5)=1,IF(INDEX(DarlBindung,5)="",1,$G1983),IF($J1983&gt;0.005,1,0)))</f>
      </c>
      <c r="J1983" s="43">
        <f>IF($I1982=0,0,$R1982)</f>
      </c>
      <c r="K1983" s="43">
        <f>IF($I1983=0,0,IF(INDEX(DarlOhneTilgung,5)=1,0,IF(AND(INDEX(DarlTilgStart,5)&gt;0,$E1983=INDEX(DarlTilgStart,5)),$J1983*($H1983+INDEX(DarlTilgung,5))/100/12,IF(AND($G1983=0,$G1982=1),MAX($K1982,$J1983*($H1983+1)/100/12),$K1982))))</f>
      </c>
      <c r="L1983" s="43">
        <f>IF($I1983=0,0,$J1983*$H1983/100/12)</f>
      </c>
      <c r="M1983" s="43">
        <f>IF($I1983=0,0,IF(OR(INDEX(DarlOhneTilgung,5)=1,AND(INDEX(DarlTilgStart,5)&gt;0,$E1983&lt;INDEX(DarlTilgStart,5))),0,MIN(MAX(0,$K1983-$L1983),$J1983)))</f>
      </c>
      <c r="N1983" s="43">
        <f>IF($I1983=0,0,MIN(SUMIFS(SondBetrag,SondDarl,5,SondDatum,"&gt;="&amp;$E1983,SondDatum,"&lt;="&amp;EOMONTH($E1983,0)),$J1983-$M1983))</f>
      </c>
      <c r="O1983" s="43">
        <f>IF($I1983=0,0,INDEX(DarlErsatzRate,5))</f>
      </c>
      <c r="P1983" s="43">
        <f>IF($I1983=0,0,$Q1982*INDEX(DarlErsatzZins,5))</f>
      </c>
      <c r="Q1983" s="43">
        <f>IF($I1983=0,0,$Q1982+$P1983+$O1983)</f>
      </c>
      <c r="R1983" s="43">
        <f>IF($I1983=0,0,$J1983-$M1983-$N1983)</f>
      </c>
    </row>
    <row r="1984">
      <c r="A1984"/>
      <c r="B1984">
        <v>5</v>
      </c>
      <c r="C1984" s="43">
        <f>INDEX(DarlObj,5)</f>
      </c>
      <c r="D1984">
        <v>61</v>
      </c>
      <c r="E1984" s="51">
        <f>IF(INDEX(DarlBelegt,5)=0,0,EOMONTH(INDEX(DarlAuszahlung,5),60)+1)</f>
      </c>
      <c r="F1984" s="43">
        <f>IF($E1984=0,0,YEAR($E1984))</f>
      </c>
      <c r="G1984" s="43">
        <f>IF(INDEX(DarlBindung,5)="",1,IF($E1984&lt;=INDEX(DarlBindung,5),1,0))</f>
      </c>
      <c r="H1984" s="43">
        <f>IF($G1984=1,INDEX(DarlSollzins,5),INDEX(DarlAnschluss,5))</f>
      </c>
      <c r="I1984" s="43">
        <f>IF(INDEX(DarlBelegt,5)=0,0,IF(INDEX(DarlOhneTilgung,5)=1,IF(INDEX(DarlBindung,5)="",1,$G1984),IF($J1984&gt;0.005,1,0)))</f>
      </c>
      <c r="J1984" s="43">
        <f>IF($I1983=0,0,$R1983)</f>
      </c>
      <c r="K1984" s="43">
        <f>IF($I1984=0,0,IF(INDEX(DarlOhneTilgung,5)=1,0,IF(AND(INDEX(DarlTilgStart,5)&gt;0,$E1984=INDEX(DarlTilgStart,5)),$J1984*($H1984+INDEX(DarlTilgung,5))/100/12,IF(AND($G1984=0,$G1983=1),MAX($K1983,$J1984*($H1984+1)/100/12),$K1983))))</f>
      </c>
      <c r="L1984" s="43">
        <f>IF($I1984=0,0,$J1984*$H1984/100/12)</f>
      </c>
      <c r="M1984" s="43">
        <f>IF($I1984=0,0,IF(OR(INDEX(DarlOhneTilgung,5)=1,AND(INDEX(DarlTilgStart,5)&gt;0,$E1984&lt;INDEX(DarlTilgStart,5))),0,MIN(MAX(0,$K1984-$L1984),$J1984)))</f>
      </c>
      <c r="N1984" s="43">
        <f>IF($I1984=0,0,MIN(SUMIFS(SondBetrag,SondDarl,5,SondDatum,"&gt;="&amp;$E1984,SondDatum,"&lt;="&amp;EOMONTH($E1984,0)),$J1984-$M1984))</f>
      </c>
      <c r="O1984" s="43">
        <f>IF($I1984=0,0,INDEX(DarlErsatzRate,5))</f>
      </c>
      <c r="P1984" s="43">
        <f>IF($I1984=0,0,$Q1983*INDEX(DarlErsatzZins,5))</f>
      </c>
      <c r="Q1984" s="43">
        <f>IF($I1984=0,0,$Q1983+$P1984+$O1984)</f>
      </c>
      <c r="R1984" s="43">
        <f>IF($I1984=0,0,$J1984-$M1984-$N1984)</f>
      </c>
    </row>
    <row r="1985">
      <c r="A1985"/>
      <c r="B1985">
        <v>5</v>
      </c>
      <c r="C1985" s="43">
        <f>INDEX(DarlObj,5)</f>
      </c>
      <c r="D1985">
        <v>62</v>
      </c>
      <c r="E1985" s="51">
        <f>IF(INDEX(DarlBelegt,5)=0,0,EOMONTH(INDEX(DarlAuszahlung,5),61)+1)</f>
      </c>
      <c r="F1985" s="43">
        <f>IF($E1985=0,0,YEAR($E1985))</f>
      </c>
      <c r="G1985" s="43">
        <f>IF(INDEX(DarlBindung,5)="",1,IF($E1985&lt;=INDEX(DarlBindung,5),1,0))</f>
      </c>
      <c r="H1985" s="43">
        <f>IF($G1985=1,INDEX(DarlSollzins,5),INDEX(DarlAnschluss,5))</f>
      </c>
      <c r="I1985" s="43">
        <f>IF(INDEX(DarlBelegt,5)=0,0,IF(INDEX(DarlOhneTilgung,5)=1,IF(INDEX(DarlBindung,5)="",1,$G1985),IF($J1985&gt;0.005,1,0)))</f>
      </c>
      <c r="J1985" s="43">
        <f>IF($I1984=0,0,$R1984)</f>
      </c>
      <c r="K1985" s="43">
        <f>IF($I1985=0,0,IF(INDEX(DarlOhneTilgung,5)=1,0,IF(AND(INDEX(DarlTilgStart,5)&gt;0,$E1985=INDEX(DarlTilgStart,5)),$J1985*($H1985+INDEX(DarlTilgung,5))/100/12,IF(AND($G1985=0,$G1984=1),MAX($K1984,$J1985*($H1985+1)/100/12),$K1984))))</f>
      </c>
      <c r="L1985" s="43">
        <f>IF($I1985=0,0,$J1985*$H1985/100/12)</f>
      </c>
      <c r="M1985" s="43">
        <f>IF($I1985=0,0,IF(OR(INDEX(DarlOhneTilgung,5)=1,AND(INDEX(DarlTilgStart,5)&gt;0,$E1985&lt;INDEX(DarlTilgStart,5))),0,MIN(MAX(0,$K1985-$L1985),$J1985)))</f>
      </c>
      <c r="N1985" s="43">
        <f>IF($I1985=0,0,MIN(SUMIFS(SondBetrag,SondDarl,5,SondDatum,"&gt;="&amp;$E1985,SondDatum,"&lt;="&amp;EOMONTH($E1985,0)),$J1985-$M1985))</f>
      </c>
      <c r="O1985" s="43">
        <f>IF($I1985=0,0,INDEX(DarlErsatzRate,5))</f>
      </c>
      <c r="P1985" s="43">
        <f>IF($I1985=0,0,$Q1984*INDEX(DarlErsatzZins,5))</f>
      </c>
      <c r="Q1985" s="43">
        <f>IF($I1985=0,0,$Q1984+$P1985+$O1985)</f>
      </c>
      <c r="R1985" s="43">
        <f>IF($I1985=0,0,$J1985-$M1985-$N1985)</f>
      </c>
    </row>
    <row r="1986">
      <c r="A1986"/>
      <c r="B1986">
        <v>5</v>
      </c>
      <c r="C1986" s="43">
        <f>INDEX(DarlObj,5)</f>
      </c>
      <c r="D1986">
        <v>63</v>
      </c>
      <c r="E1986" s="51">
        <f>IF(INDEX(DarlBelegt,5)=0,0,EOMONTH(INDEX(DarlAuszahlung,5),62)+1)</f>
      </c>
      <c r="F1986" s="43">
        <f>IF($E1986=0,0,YEAR($E1986))</f>
      </c>
      <c r="G1986" s="43">
        <f>IF(INDEX(DarlBindung,5)="",1,IF($E1986&lt;=INDEX(DarlBindung,5),1,0))</f>
      </c>
      <c r="H1986" s="43">
        <f>IF($G1986=1,INDEX(DarlSollzins,5),INDEX(DarlAnschluss,5))</f>
      </c>
      <c r="I1986" s="43">
        <f>IF(INDEX(DarlBelegt,5)=0,0,IF(INDEX(DarlOhneTilgung,5)=1,IF(INDEX(DarlBindung,5)="",1,$G1986),IF($J1986&gt;0.005,1,0)))</f>
      </c>
      <c r="J1986" s="43">
        <f>IF($I1985=0,0,$R1985)</f>
      </c>
      <c r="K1986" s="43">
        <f>IF($I1986=0,0,IF(INDEX(DarlOhneTilgung,5)=1,0,IF(AND(INDEX(DarlTilgStart,5)&gt;0,$E1986=INDEX(DarlTilgStart,5)),$J1986*($H1986+INDEX(DarlTilgung,5))/100/12,IF(AND($G1986=0,$G1985=1),MAX($K1985,$J1986*($H1986+1)/100/12),$K1985))))</f>
      </c>
      <c r="L1986" s="43">
        <f>IF($I1986=0,0,$J1986*$H1986/100/12)</f>
      </c>
      <c r="M1986" s="43">
        <f>IF($I1986=0,0,IF(OR(INDEX(DarlOhneTilgung,5)=1,AND(INDEX(DarlTilgStart,5)&gt;0,$E1986&lt;INDEX(DarlTilgStart,5))),0,MIN(MAX(0,$K1986-$L1986),$J1986)))</f>
      </c>
      <c r="N1986" s="43">
        <f>IF($I1986=0,0,MIN(SUMIFS(SondBetrag,SondDarl,5,SondDatum,"&gt;="&amp;$E1986,SondDatum,"&lt;="&amp;EOMONTH($E1986,0)),$J1986-$M1986))</f>
      </c>
      <c r="O1986" s="43">
        <f>IF($I1986=0,0,INDEX(DarlErsatzRate,5))</f>
      </c>
      <c r="P1986" s="43">
        <f>IF($I1986=0,0,$Q1985*INDEX(DarlErsatzZins,5))</f>
      </c>
      <c r="Q1986" s="43">
        <f>IF($I1986=0,0,$Q1985+$P1986+$O1986)</f>
      </c>
      <c r="R1986" s="43">
        <f>IF($I1986=0,0,$J1986-$M1986-$N1986)</f>
      </c>
    </row>
    <row r="1987">
      <c r="A1987"/>
      <c r="B1987">
        <v>5</v>
      </c>
      <c r="C1987" s="43">
        <f>INDEX(DarlObj,5)</f>
      </c>
      <c r="D1987">
        <v>64</v>
      </c>
      <c r="E1987" s="51">
        <f>IF(INDEX(DarlBelegt,5)=0,0,EOMONTH(INDEX(DarlAuszahlung,5),63)+1)</f>
      </c>
      <c r="F1987" s="43">
        <f>IF($E1987=0,0,YEAR($E1987))</f>
      </c>
      <c r="G1987" s="43">
        <f>IF(INDEX(DarlBindung,5)="",1,IF($E1987&lt;=INDEX(DarlBindung,5),1,0))</f>
      </c>
      <c r="H1987" s="43">
        <f>IF($G1987=1,INDEX(DarlSollzins,5),INDEX(DarlAnschluss,5))</f>
      </c>
      <c r="I1987" s="43">
        <f>IF(INDEX(DarlBelegt,5)=0,0,IF(INDEX(DarlOhneTilgung,5)=1,IF(INDEX(DarlBindung,5)="",1,$G1987),IF($J1987&gt;0.005,1,0)))</f>
      </c>
      <c r="J1987" s="43">
        <f>IF($I1986=0,0,$R1986)</f>
      </c>
      <c r="K1987" s="43">
        <f>IF($I1987=0,0,IF(INDEX(DarlOhneTilgung,5)=1,0,IF(AND(INDEX(DarlTilgStart,5)&gt;0,$E1987=INDEX(DarlTilgStart,5)),$J1987*($H1987+INDEX(DarlTilgung,5))/100/12,IF(AND($G1987=0,$G1986=1),MAX($K1986,$J1987*($H1987+1)/100/12),$K1986))))</f>
      </c>
      <c r="L1987" s="43">
        <f>IF($I1987=0,0,$J1987*$H1987/100/12)</f>
      </c>
      <c r="M1987" s="43">
        <f>IF($I1987=0,0,IF(OR(INDEX(DarlOhneTilgung,5)=1,AND(INDEX(DarlTilgStart,5)&gt;0,$E1987&lt;INDEX(DarlTilgStart,5))),0,MIN(MAX(0,$K1987-$L1987),$J1987)))</f>
      </c>
      <c r="N1987" s="43">
        <f>IF($I1987=0,0,MIN(SUMIFS(SondBetrag,SondDarl,5,SondDatum,"&gt;="&amp;$E1987,SondDatum,"&lt;="&amp;EOMONTH($E1987,0)),$J1987-$M1987))</f>
      </c>
      <c r="O1987" s="43">
        <f>IF($I1987=0,0,INDEX(DarlErsatzRate,5))</f>
      </c>
      <c r="P1987" s="43">
        <f>IF($I1987=0,0,$Q1986*INDEX(DarlErsatzZins,5))</f>
      </c>
      <c r="Q1987" s="43">
        <f>IF($I1987=0,0,$Q1986+$P1987+$O1987)</f>
      </c>
      <c r="R1987" s="43">
        <f>IF($I1987=0,0,$J1987-$M1987-$N1987)</f>
      </c>
    </row>
    <row r="1988">
      <c r="A1988"/>
      <c r="B1988">
        <v>5</v>
      </c>
      <c r="C1988" s="43">
        <f>INDEX(DarlObj,5)</f>
      </c>
      <c r="D1988">
        <v>65</v>
      </c>
      <c r="E1988" s="51">
        <f>IF(INDEX(DarlBelegt,5)=0,0,EOMONTH(INDEX(DarlAuszahlung,5),64)+1)</f>
      </c>
      <c r="F1988" s="43">
        <f>IF($E1988=0,0,YEAR($E1988))</f>
      </c>
      <c r="G1988" s="43">
        <f>IF(INDEX(DarlBindung,5)="",1,IF($E1988&lt;=INDEX(DarlBindung,5),1,0))</f>
      </c>
      <c r="H1988" s="43">
        <f>IF($G1988=1,INDEX(DarlSollzins,5),INDEX(DarlAnschluss,5))</f>
      </c>
      <c r="I1988" s="43">
        <f>IF(INDEX(DarlBelegt,5)=0,0,IF(INDEX(DarlOhneTilgung,5)=1,IF(INDEX(DarlBindung,5)="",1,$G1988),IF($J1988&gt;0.005,1,0)))</f>
      </c>
      <c r="J1988" s="43">
        <f>IF($I1987=0,0,$R1987)</f>
      </c>
      <c r="K1988" s="43">
        <f>IF($I1988=0,0,IF(INDEX(DarlOhneTilgung,5)=1,0,IF(AND(INDEX(DarlTilgStart,5)&gt;0,$E1988=INDEX(DarlTilgStart,5)),$J1988*($H1988+INDEX(DarlTilgung,5))/100/12,IF(AND($G1988=0,$G1987=1),MAX($K1987,$J1988*($H1988+1)/100/12),$K1987))))</f>
      </c>
      <c r="L1988" s="43">
        <f>IF($I1988=0,0,$J1988*$H1988/100/12)</f>
      </c>
      <c r="M1988" s="43">
        <f>IF($I1988=0,0,IF(OR(INDEX(DarlOhneTilgung,5)=1,AND(INDEX(DarlTilgStart,5)&gt;0,$E1988&lt;INDEX(DarlTilgStart,5))),0,MIN(MAX(0,$K1988-$L1988),$J1988)))</f>
      </c>
      <c r="N1988" s="43">
        <f>IF($I1988=0,0,MIN(SUMIFS(SondBetrag,SondDarl,5,SondDatum,"&gt;="&amp;$E1988,SondDatum,"&lt;="&amp;EOMONTH($E1988,0)),$J1988-$M1988))</f>
      </c>
      <c r="O1988" s="43">
        <f>IF($I1988=0,0,INDEX(DarlErsatzRate,5))</f>
      </c>
      <c r="P1988" s="43">
        <f>IF($I1988=0,0,$Q1987*INDEX(DarlErsatzZins,5))</f>
      </c>
      <c r="Q1988" s="43">
        <f>IF($I1988=0,0,$Q1987+$P1988+$O1988)</f>
      </c>
      <c r="R1988" s="43">
        <f>IF($I1988=0,0,$J1988-$M1988-$N1988)</f>
      </c>
    </row>
    <row r="1989">
      <c r="A1989"/>
      <c r="B1989">
        <v>5</v>
      </c>
      <c r="C1989" s="43">
        <f>INDEX(DarlObj,5)</f>
      </c>
      <c r="D1989">
        <v>66</v>
      </c>
      <c r="E1989" s="51">
        <f>IF(INDEX(DarlBelegt,5)=0,0,EOMONTH(INDEX(DarlAuszahlung,5),65)+1)</f>
      </c>
      <c r="F1989" s="43">
        <f>IF($E1989=0,0,YEAR($E1989))</f>
      </c>
      <c r="G1989" s="43">
        <f>IF(INDEX(DarlBindung,5)="",1,IF($E1989&lt;=INDEX(DarlBindung,5),1,0))</f>
      </c>
      <c r="H1989" s="43">
        <f>IF($G1989=1,INDEX(DarlSollzins,5),INDEX(DarlAnschluss,5))</f>
      </c>
      <c r="I1989" s="43">
        <f>IF(INDEX(DarlBelegt,5)=0,0,IF(INDEX(DarlOhneTilgung,5)=1,IF(INDEX(DarlBindung,5)="",1,$G1989),IF($J1989&gt;0.005,1,0)))</f>
      </c>
      <c r="J1989" s="43">
        <f>IF($I1988=0,0,$R1988)</f>
      </c>
      <c r="K1989" s="43">
        <f>IF($I1989=0,0,IF(INDEX(DarlOhneTilgung,5)=1,0,IF(AND(INDEX(DarlTilgStart,5)&gt;0,$E1989=INDEX(DarlTilgStart,5)),$J1989*($H1989+INDEX(DarlTilgung,5))/100/12,IF(AND($G1989=0,$G1988=1),MAX($K1988,$J1989*($H1989+1)/100/12),$K1988))))</f>
      </c>
      <c r="L1989" s="43">
        <f>IF($I1989=0,0,$J1989*$H1989/100/12)</f>
      </c>
      <c r="M1989" s="43">
        <f>IF($I1989=0,0,IF(OR(INDEX(DarlOhneTilgung,5)=1,AND(INDEX(DarlTilgStart,5)&gt;0,$E1989&lt;INDEX(DarlTilgStart,5))),0,MIN(MAX(0,$K1989-$L1989),$J1989)))</f>
      </c>
      <c r="N1989" s="43">
        <f>IF($I1989=0,0,MIN(SUMIFS(SondBetrag,SondDarl,5,SondDatum,"&gt;="&amp;$E1989,SondDatum,"&lt;="&amp;EOMONTH($E1989,0)),$J1989-$M1989))</f>
      </c>
      <c r="O1989" s="43">
        <f>IF($I1989=0,0,INDEX(DarlErsatzRate,5))</f>
      </c>
      <c r="P1989" s="43">
        <f>IF($I1989=0,0,$Q1988*INDEX(DarlErsatzZins,5))</f>
      </c>
      <c r="Q1989" s="43">
        <f>IF($I1989=0,0,$Q1988+$P1989+$O1989)</f>
      </c>
      <c r="R1989" s="43">
        <f>IF($I1989=0,0,$J1989-$M1989-$N1989)</f>
      </c>
    </row>
    <row r="1990">
      <c r="A1990"/>
      <c r="B1990">
        <v>5</v>
      </c>
      <c r="C1990" s="43">
        <f>INDEX(DarlObj,5)</f>
      </c>
      <c r="D1990">
        <v>67</v>
      </c>
      <c r="E1990" s="51">
        <f>IF(INDEX(DarlBelegt,5)=0,0,EOMONTH(INDEX(DarlAuszahlung,5),66)+1)</f>
      </c>
      <c r="F1990" s="43">
        <f>IF($E1990=0,0,YEAR($E1990))</f>
      </c>
      <c r="G1990" s="43">
        <f>IF(INDEX(DarlBindung,5)="",1,IF($E1990&lt;=INDEX(DarlBindung,5),1,0))</f>
      </c>
      <c r="H1990" s="43">
        <f>IF($G1990=1,INDEX(DarlSollzins,5),INDEX(DarlAnschluss,5))</f>
      </c>
      <c r="I1990" s="43">
        <f>IF(INDEX(DarlBelegt,5)=0,0,IF(INDEX(DarlOhneTilgung,5)=1,IF(INDEX(DarlBindung,5)="",1,$G1990),IF($J1990&gt;0.005,1,0)))</f>
      </c>
      <c r="J1990" s="43">
        <f>IF($I1989=0,0,$R1989)</f>
      </c>
      <c r="K1990" s="43">
        <f>IF($I1990=0,0,IF(INDEX(DarlOhneTilgung,5)=1,0,IF(AND(INDEX(DarlTilgStart,5)&gt;0,$E1990=INDEX(DarlTilgStart,5)),$J1990*($H1990+INDEX(DarlTilgung,5))/100/12,IF(AND($G1990=0,$G1989=1),MAX($K1989,$J1990*($H1990+1)/100/12),$K1989))))</f>
      </c>
      <c r="L1990" s="43">
        <f>IF($I1990=0,0,$J1990*$H1990/100/12)</f>
      </c>
      <c r="M1990" s="43">
        <f>IF($I1990=0,0,IF(OR(INDEX(DarlOhneTilgung,5)=1,AND(INDEX(DarlTilgStart,5)&gt;0,$E1990&lt;INDEX(DarlTilgStart,5))),0,MIN(MAX(0,$K1990-$L1990),$J1990)))</f>
      </c>
      <c r="N1990" s="43">
        <f>IF($I1990=0,0,MIN(SUMIFS(SondBetrag,SondDarl,5,SondDatum,"&gt;="&amp;$E1990,SondDatum,"&lt;="&amp;EOMONTH($E1990,0)),$J1990-$M1990))</f>
      </c>
      <c r="O1990" s="43">
        <f>IF($I1990=0,0,INDEX(DarlErsatzRate,5))</f>
      </c>
      <c r="P1990" s="43">
        <f>IF($I1990=0,0,$Q1989*INDEX(DarlErsatzZins,5))</f>
      </c>
      <c r="Q1990" s="43">
        <f>IF($I1990=0,0,$Q1989+$P1990+$O1990)</f>
      </c>
      <c r="R1990" s="43">
        <f>IF($I1990=0,0,$J1990-$M1990-$N1990)</f>
      </c>
    </row>
    <row r="1991">
      <c r="A1991"/>
      <c r="B1991">
        <v>5</v>
      </c>
      <c r="C1991" s="43">
        <f>INDEX(DarlObj,5)</f>
      </c>
      <c r="D1991">
        <v>68</v>
      </c>
      <c r="E1991" s="51">
        <f>IF(INDEX(DarlBelegt,5)=0,0,EOMONTH(INDEX(DarlAuszahlung,5),67)+1)</f>
      </c>
      <c r="F1991" s="43">
        <f>IF($E1991=0,0,YEAR($E1991))</f>
      </c>
      <c r="G1991" s="43">
        <f>IF(INDEX(DarlBindung,5)="",1,IF($E1991&lt;=INDEX(DarlBindung,5),1,0))</f>
      </c>
      <c r="H1991" s="43">
        <f>IF($G1991=1,INDEX(DarlSollzins,5),INDEX(DarlAnschluss,5))</f>
      </c>
      <c r="I1991" s="43">
        <f>IF(INDEX(DarlBelegt,5)=0,0,IF(INDEX(DarlOhneTilgung,5)=1,IF(INDEX(DarlBindung,5)="",1,$G1991),IF($J1991&gt;0.005,1,0)))</f>
      </c>
      <c r="J1991" s="43">
        <f>IF($I1990=0,0,$R1990)</f>
      </c>
      <c r="K1991" s="43">
        <f>IF($I1991=0,0,IF(INDEX(DarlOhneTilgung,5)=1,0,IF(AND(INDEX(DarlTilgStart,5)&gt;0,$E1991=INDEX(DarlTilgStart,5)),$J1991*($H1991+INDEX(DarlTilgung,5))/100/12,IF(AND($G1991=0,$G1990=1),MAX($K1990,$J1991*($H1991+1)/100/12),$K1990))))</f>
      </c>
      <c r="L1991" s="43">
        <f>IF($I1991=0,0,$J1991*$H1991/100/12)</f>
      </c>
      <c r="M1991" s="43">
        <f>IF($I1991=0,0,IF(OR(INDEX(DarlOhneTilgung,5)=1,AND(INDEX(DarlTilgStart,5)&gt;0,$E1991&lt;INDEX(DarlTilgStart,5))),0,MIN(MAX(0,$K1991-$L1991),$J1991)))</f>
      </c>
      <c r="N1991" s="43">
        <f>IF($I1991=0,0,MIN(SUMIFS(SondBetrag,SondDarl,5,SondDatum,"&gt;="&amp;$E1991,SondDatum,"&lt;="&amp;EOMONTH($E1991,0)),$J1991-$M1991))</f>
      </c>
      <c r="O1991" s="43">
        <f>IF($I1991=0,0,INDEX(DarlErsatzRate,5))</f>
      </c>
      <c r="P1991" s="43">
        <f>IF($I1991=0,0,$Q1990*INDEX(DarlErsatzZins,5))</f>
      </c>
      <c r="Q1991" s="43">
        <f>IF($I1991=0,0,$Q1990+$P1991+$O1991)</f>
      </c>
      <c r="R1991" s="43">
        <f>IF($I1991=0,0,$J1991-$M1991-$N1991)</f>
      </c>
    </row>
    <row r="1992">
      <c r="A1992"/>
      <c r="B1992">
        <v>5</v>
      </c>
      <c r="C1992" s="43">
        <f>INDEX(DarlObj,5)</f>
      </c>
      <c r="D1992">
        <v>69</v>
      </c>
      <c r="E1992" s="51">
        <f>IF(INDEX(DarlBelegt,5)=0,0,EOMONTH(INDEX(DarlAuszahlung,5),68)+1)</f>
      </c>
      <c r="F1992" s="43">
        <f>IF($E1992=0,0,YEAR($E1992))</f>
      </c>
      <c r="G1992" s="43">
        <f>IF(INDEX(DarlBindung,5)="",1,IF($E1992&lt;=INDEX(DarlBindung,5),1,0))</f>
      </c>
      <c r="H1992" s="43">
        <f>IF($G1992=1,INDEX(DarlSollzins,5),INDEX(DarlAnschluss,5))</f>
      </c>
      <c r="I1992" s="43">
        <f>IF(INDEX(DarlBelegt,5)=0,0,IF(INDEX(DarlOhneTilgung,5)=1,IF(INDEX(DarlBindung,5)="",1,$G1992),IF($J1992&gt;0.005,1,0)))</f>
      </c>
      <c r="J1992" s="43">
        <f>IF($I1991=0,0,$R1991)</f>
      </c>
      <c r="K1992" s="43">
        <f>IF($I1992=0,0,IF(INDEX(DarlOhneTilgung,5)=1,0,IF(AND(INDEX(DarlTilgStart,5)&gt;0,$E1992=INDEX(DarlTilgStart,5)),$J1992*($H1992+INDEX(DarlTilgung,5))/100/12,IF(AND($G1992=0,$G1991=1),MAX($K1991,$J1992*($H1992+1)/100/12),$K1991))))</f>
      </c>
      <c r="L1992" s="43">
        <f>IF($I1992=0,0,$J1992*$H1992/100/12)</f>
      </c>
      <c r="M1992" s="43">
        <f>IF($I1992=0,0,IF(OR(INDEX(DarlOhneTilgung,5)=1,AND(INDEX(DarlTilgStart,5)&gt;0,$E1992&lt;INDEX(DarlTilgStart,5))),0,MIN(MAX(0,$K1992-$L1992),$J1992)))</f>
      </c>
      <c r="N1992" s="43">
        <f>IF($I1992=0,0,MIN(SUMIFS(SondBetrag,SondDarl,5,SondDatum,"&gt;="&amp;$E1992,SondDatum,"&lt;="&amp;EOMONTH($E1992,0)),$J1992-$M1992))</f>
      </c>
      <c r="O1992" s="43">
        <f>IF($I1992=0,0,INDEX(DarlErsatzRate,5))</f>
      </c>
      <c r="P1992" s="43">
        <f>IF($I1992=0,0,$Q1991*INDEX(DarlErsatzZins,5))</f>
      </c>
      <c r="Q1992" s="43">
        <f>IF($I1992=0,0,$Q1991+$P1992+$O1992)</f>
      </c>
      <c r="R1992" s="43">
        <f>IF($I1992=0,0,$J1992-$M1992-$N1992)</f>
      </c>
    </row>
    <row r="1993">
      <c r="A1993"/>
      <c r="B1993">
        <v>5</v>
      </c>
      <c r="C1993" s="43">
        <f>INDEX(DarlObj,5)</f>
      </c>
      <c r="D1993">
        <v>70</v>
      </c>
      <c r="E1993" s="51">
        <f>IF(INDEX(DarlBelegt,5)=0,0,EOMONTH(INDEX(DarlAuszahlung,5),69)+1)</f>
      </c>
      <c r="F1993" s="43">
        <f>IF($E1993=0,0,YEAR($E1993))</f>
      </c>
      <c r="G1993" s="43">
        <f>IF(INDEX(DarlBindung,5)="",1,IF($E1993&lt;=INDEX(DarlBindung,5),1,0))</f>
      </c>
      <c r="H1993" s="43">
        <f>IF($G1993=1,INDEX(DarlSollzins,5),INDEX(DarlAnschluss,5))</f>
      </c>
      <c r="I1993" s="43">
        <f>IF(INDEX(DarlBelegt,5)=0,0,IF(INDEX(DarlOhneTilgung,5)=1,IF(INDEX(DarlBindung,5)="",1,$G1993),IF($J1993&gt;0.005,1,0)))</f>
      </c>
      <c r="J1993" s="43">
        <f>IF($I1992=0,0,$R1992)</f>
      </c>
      <c r="K1993" s="43">
        <f>IF($I1993=0,0,IF(INDEX(DarlOhneTilgung,5)=1,0,IF(AND(INDEX(DarlTilgStart,5)&gt;0,$E1993=INDEX(DarlTilgStart,5)),$J1993*($H1993+INDEX(DarlTilgung,5))/100/12,IF(AND($G1993=0,$G1992=1),MAX($K1992,$J1993*($H1993+1)/100/12),$K1992))))</f>
      </c>
      <c r="L1993" s="43">
        <f>IF($I1993=0,0,$J1993*$H1993/100/12)</f>
      </c>
      <c r="M1993" s="43">
        <f>IF($I1993=0,0,IF(OR(INDEX(DarlOhneTilgung,5)=1,AND(INDEX(DarlTilgStart,5)&gt;0,$E1993&lt;INDEX(DarlTilgStart,5))),0,MIN(MAX(0,$K1993-$L1993),$J1993)))</f>
      </c>
      <c r="N1993" s="43">
        <f>IF($I1993=0,0,MIN(SUMIFS(SondBetrag,SondDarl,5,SondDatum,"&gt;="&amp;$E1993,SondDatum,"&lt;="&amp;EOMONTH($E1993,0)),$J1993-$M1993))</f>
      </c>
      <c r="O1993" s="43">
        <f>IF($I1993=0,0,INDEX(DarlErsatzRate,5))</f>
      </c>
      <c r="P1993" s="43">
        <f>IF($I1993=0,0,$Q1992*INDEX(DarlErsatzZins,5))</f>
      </c>
      <c r="Q1993" s="43">
        <f>IF($I1993=0,0,$Q1992+$P1993+$O1993)</f>
      </c>
      <c r="R1993" s="43">
        <f>IF($I1993=0,0,$J1993-$M1993-$N1993)</f>
      </c>
    </row>
    <row r="1994">
      <c r="A1994"/>
      <c r="B1994">
        <v>5</v>
      </c>
      <c r="C1994" s="43">
        <f>INDEX(DarlObj,5)</f>
      </c>
      <c r="D1994">
        <v>71</v>
      </c>
      <c r="E1994" s="51">
        <f>IF(INDEX(DarlBelegt,5)=0,0,EOMONTH(INDEX(DarlAuszahlung,5),70)+1)</f>
      </c>
      <c r="F1994" s="43">
        <f>IF($E1994=0,0,YEAR($E1994))</f>
      </c>
      <c r="G1994" s="43">
        <f>IF(INDEX(DarlBindung,5)="",1,IF($E1994&lt;=INDEX(DarlBindung,5),1,0))</f>
      </c>
      <c r="H1994" s="43">
        <f>IF($G1994=1,INDEX(DarlSollzins,5),INDEX(DarlAnschluss,5))</f>
      </c>
      <c r="I1994" s="43">
        <f>IF(INDEX(DarlBelegt,5)=0,0,IF(INDEX(DarlOhneTilgung,5)=1,IF(INDEX(DarlBindung,5)="",1,$G1994),IF($J1994&gt;0.005,1,0)))</f>
      </c>
      <c r="J1994" s="43">
        <f>IF($I1993=0,0,$R1993)</f>
      </c>
      <c r="K1994" s="43">
        <f>IF($I1994=0,0,IF(INDEX(DarlOhneTilgung,5)=1,0,IF(AND(INDEX(DarlTilgStart,5)&gt;0,$E1994=INDEX(DarlTilgStart,5)),$J1994*($H1994+INDEX(DarlTilgung,5))/100/12,IF(AND($G1994=0,$G1993=1),MAX($K1993,$J1994*($H1994+1)/100/12),$K1993))))</f>
      </c>
      <c r="L1994" s="43">
        <f>IF($I1994=0,0,$J1994*$H1994/100/12)</f>
      </c>
      <c r="M1994" s="43">
        <f>IF($I1994=0,0,IF(OR(INDEX(DarlOhneTilgung,5)=1,AND(INDEX(DarlTilgStart,5)&gt;0,$E1994&lt;INDEX(DarlTilgStart,5))),0,MIN(MAX(0,$K1994-$L1994),$J1994)))</f>
      </c>
      <c r="N1994" s="43">
        <f>IF($I1994=0,0,MIN(SUMIFS(SondBetrag,SondDarl,5,SondDatum,"&gt;="&amp;$E1994,SondDatum,"&lt;="&amp;EOMONTH($E1994,0)),$J1994-$M1994))</f>
      </c>
      <c r="O1994" s="43">
        <f>IF($I1994=0,0,INDEX(DarlErsatzRate,5))</f>
      </c>
      <c r="P1994" s="43">
        <f>IF($I1994=0,0,$Q1993*INDEX(DarlErsatzZins,5))</f>
      </c>
      <c r="Q1994" s="43">
        <f>IF($I1994=0,0,$Q1993+$P1994+$O1994)</f>
      </c>
      <c r="R1994" s="43">
        <f>IF($I1994=0,0,$J1994-$M1994-$N1994)</f>
      </c>
    </row>
    <row r="1995">
      <c r="A1995"/>
      <c r="B1995">
        <v>5</v>
      </c>
      <c r="C1995" s="43">
        <f>INDEX(DarlObj,5)</f>
      </c>
      <c r="D1995">
        <v>72</v>
      </c>
      <c r="E1995" s="51">
        <f>IF(INDEX(DarlBelegt,5)=0,0,EOMONTH(INDEX(DarlAuszahlung,5),71)+1)</f>
      </c>
      <c r="F1995" s="43">
        <f>IF($E1995=0,0,YEAR($E1995))</f>
      </c>
      <c r="G1995" s="43">
        <f>IF(INDEX(DarlBindung,5)="",1,IF($E1995&lt;=INDEX(DarlBindung,5),1,0))</f>
      </c>
      <c r="H1995" s="43">
        <f>IF($G1995=1,INDEX(DarlSollzins,5),INDEX(DarlAnschluss,5))</f>
      </c>
      <c r="I1995" s="43">
        <f>IF(INDEX(DarlBelegt,5)=0,0,IF(INDEX(DarlOhneTilgung,5)=1,IF(INDEX(DarlBindung,5)="",1,$G1995),IF($J1995&gt;0.005,1,0)))</f>
      </c>
      <c r="J1995" s="43">
        <f>IF($I1994=0,0,$R1994)</f>
      </c>
      <c r="K1995" s="43">
        <f>IF($I1995=0,0,IF(INDEX(DarlOhneTilgung,5)=1,0,IF(AND(INDEX(DarlTilgStart,5)&gt;0,$E1995=INDEX(DarlTilgStart,5)),$J1995*($H1995+INDEX(DarlTilgung,5))/100/12,IF(AND($G1995=0,$G1994=1),MAX($K1994,$J1995*($H1995+1)/100/12),$K1994))))</f>
      </c>
      <c r="L1995" s="43">
        <f>IF($I1995=0,0,$J1995*$H1995/100/12)</f>
      </c>
      <c r="M1995" s="43">
        <f>IF($I1995=0,0,IF(OR(INDEX(DarlOhneTilgung,5)=1,AND(INDEX(DarlTilgStart,5)&gt;0,$E1995&lt;INDEX(DarlTilgStart,5))),0,MIN(MAX(0,$K1995-$L1995),$J1995)))</f>
      </c>
      <c r="N1995" s="43">
        <f>IF($I1995=0,0,MIN(SUMIFS(SondBetrag,SondDarl,5,SondDatum,"&gt;="&amp;$E1995,SondDatum,"&lt;="&amp;EOMONTH($E1995,0)),$J1995-$M1995))</f>
      </c>
      <c r="O1995" s="43">
        <f>IF($I1995=0,0,INDEX(DarlErsatzRate,5))</f>
      </c>
      <c r="P1995" s="43">
        <f>IF($I1995=0,0,$Q1994*INDEX(DarlErsatzZins,5))</f>
      </c>
      <c r="Q1995" s="43">
        <f>IF($I1995=0,0,$Q1994+$P1995+$O1995)</f>
      </c>
      <c r="R1995" s="43">
        <f>IF($I1995=0,0,$J1995-$M1995-$N1995)</f>
      </c>
    </row>
    <row r="1996">
      <c r="A1996"/>
      <c r="B1996">
        <v>5</v>
      </c>
      <c r="C1996" s="43">
        <f>INDEX(DarlObj,5)</f>
      </c>
      <c r="D1996">
        <v>73</v>
      </c>
      <c r="E1996" s="51">
        <f>IF(INDEX(DarlBelegt,5)=0,0,EOMONTH(INDEX(DarlAuszahlung,5),72)+1)</f>
      </c>
      <c r="F1996" s="43">
        <f>IF($E1996=0,0,YEAR($E1996))</f>
      </c>
      <c r="G1996" s="43">
        <f>IF(INDEX(DarlBindung,5)="",1,IF($E1996&lt;=INDEX(DarlBindung,5),1,0))</f>
      </c>
      <c r="H1996" s="43">
        <f>IF($G1996=1,INDEX(DarlSollzins,5),INDEX(DarlAnschluss,5))</f>
      </c>
      <c r="I1996" s="43">
        <f>IF(INDEX(DarlBelegt,5)=0,0,IF(INDEX(DarlOhneTilgung,5)=1,IF(INDEX(DarlBindung,5)="",1,$G1996),IF($J1996&gt;0.005,1,0)))</f>
      </c>
      <c r="J1996" s="43">
        <f>IF($I1995=0,0,$R1995)</f>
      </c>
      <c r="K1996" s="43">
        <f>IF($I1996=0,0,IF(INDEX(DarlOhneTilgung,5)=1,0,IF(AND(INDEX(DarlTilgStart,5)&gt;0,$E1996=INDEX(DarlTilgStart,5)),$J1996*($H1996+INDEX(DarlTilgung,5))/100/12,IF(AND($G1996=0,$G1995=1),MAX($K1995,$J1996*($H1996+1)/100/12),$K1995))))</f>
      </c>
      <c r="L1996" s="43">
        <f>IF($I1996=0,0,$J1996*$H1996/100/12)</f>
      </c>
      <c r="M1996" s="43">
        <f>IF($I1996=0,0,IF(OR(INDEX(DarlOhneTilgung,5)=1,AND(INDEX(DarlTilgStart,5)&gt;0,$E1996&lt;INDEX(DarlTilgStart,5))),0,MIN(MAX(0,$K1996-$L1996),$J1996)))</f>
      </c>
      <c r="N1996" s="43">
        <f>IF($I1996=0,0,MIN(SUMIFS(SondBetrag,SondDarl,5,SondDatum,"&gt;="&amp;$E1996,SondDatum,"&lt;="&amp;EOMONTH($E1996,0)),$J1996-$M1996))</f>
      </c>
      <c r="O1996" s="43">
        <f>IF($I1996=0,0,INDEX(DarlErsatzRate,5))</f>
      </c>
      <c r="P1996" s="43">
        <f>IF($I1996=0,0,$Q1995*INDEX(DarlErsatzZins,5))</f>
      </c>
      <c r="Q1996" s="43">
        <f>IF($I1996=0,0,$Q1995+$P1996+$O1996)</f>
      </c>
      <c r="R1996" s="43">
        <f>IF($I1996=0,0,$J1996-$M1996-$N1996)</f>
      </c>
    </row>
    <row r="1997">
      <c r="A1997"/>
      <c r="B1997">
        <v>5</v>
      </c>
      <c r="C1997" s="43">
        <f>INDEX(DarlObj,5)</f>
      </c>
      <c r="D1997">
        <v>74</v>
      </c>
      <c r="E1997" s="51">
        <f>IF(INDEX(DarlBelegt,5)=0,0,EOMONTH(INDEX(DarlAuszahlung,5),73)+1)</f>
      </c>
      <c r="F1997" s="43">
        <f>IF($E1997=0,0,YEAR($E1997))</f>
      </c>
      <c r="G1997" s="43">
        <f>IF(INDEX(DarlBindung,5)="",1,IF($E1997&lt;=INDEX(DarlBindung,5),1,0))</f>
      </c>
      <c r="H1997" s="43">
        <f>IF($G1997=1,INDEX(DarlSollzins,5),INDEX(DarlAnschluss,5))</f>
      </c>
      <c r="I1997" s="43">
        <f>IF(INDEX(DarlBelegt,5)=0,0,IF(INDEX(DarlOhneTilgung,5)=1,IF(INDEX(DarlBindung,5)="",1,$G1997),IF($J1997&gt;0.005,1,0)))</f>
      </c>
      <c r="J1997" s="43">
        <f>IF($I1996=0,0,$R1996)</f>
      </c>
      <c r="K1997" s="43">
        <f>IF($I1997=0,0,IF(INDEX(DarlOhneTilgung,5)=1,0,IF(AND(INDEX(DarlTilgStart,5)&gt;0,$E1997=INDEX(DarlTilgStart,5)),$J1997*($H1997+INDEX(DarlTilgung,5))/100/12,IF(AND($G1997=0,$G1996=1),MAX($K1996,$J1997*($H1997+1)/100/12),$K1996))))</f>
      </c>
      <c r="L1997" s="43">
        <f>IF($I1997=0,0,$J1997*$H1997/100/12)</f>
      </c>
      <c r="M1997" s="43">
        <f>IF($I1997=0,0,IF(OR(INDEX(DarlOhneTilgung,5)=1,AND(INDEX(DarlTilgStart,5)&gt;0,$E1997&lt;INDEX(DarlTilgStart,5))),0,MIN(MAX(0,$K1997-$L1997),$J1997)))</f>
      </c>
      <c r="N1997" s="43">
        <f>IF($I1997=0,0,MIN(SUMIFS(SondBetrag,SondDarl,5,SondDatum,"&gt;="&amp;$E1997,SondDatum,"&lt;="&amp;EOMONTH($E1997,0)),$J1997-$M1997))</f>
      </c>
      <c r="O1997" s="43">
        <f>IF($I1997=0,0,INDEX(DarlErsatzRate,5))</f>
      </c>
      <c r="P1997" s="43">
        <f>IF($I1997=0,0,$Q1996*INDEX(DarlErsatzZins,5))</f>
      </c>
      <c r="Q1997" s="43">
        <f>IF($I1997=0,0,$Q1996+$P1997+$O1997)</f>
      </c>
      <c r="R1997" s="43">
        <f>IF($I1997=0,0,$J1997-$M1997-$N1997)</f>
      </c>
    </row>
    <row r="1998">
      <c r="A1998"/>
      <c r="B1998">
        <v>5</v>
      </c>
      <c r="C1998" s="43">
        <f>INDEX(DarlObj,5)</f>
      </c>
      <c r="D1998">
        <v>75</v>
      </c>
      <c r="E1998" s="51">
        <f>IF(INDEX(DarlBelegt,5)=0,0,EOMONTH(INDEX(DarlAuszahlung,5),74)+1)</f>
      </c>
      <c r="F1998" s="43">
        <f>IF($E1998=0,0,YEAR($E1998))</f>
      </c>
      <c r="G1998" s="43">
        <f>IF(INDEX(DarlBindung,5)="",1,IF($E1998&lt;=INDEX(DarlBindung,5),1,0))</f>
      </c>
      <c r="H1998" s="43">
        <f>IF($G1998=1,INDEX(DarlSollzins,5),INDEX(DarlAnschluss,5))</f>
      </c>
      <c r="I1998" s="43">
        <f>IF(INDEX(DarlBelegt,5)=0,0,IF(INDEX(DarlOhneTilgung,5)=1,IF(INDEX(DarlBindung,5)="",1,$G1998),IF($J1998&gt;0.005,1,0)))</f>
      </c>
      <c r="J1998" s="43">
        <f>IF($I1997=0,0,$R1997)</f>
      </c>
      <c r="K1998" s="43">
        <f>IF($I1998=0,0,IF(INDEX(DarlOhneTilgung,5)=1,0,IF(AND(INDEX(DarlTilgStart,5)&gt;0,$E1998=INDEX(DarlTilgStart,5)),$J1998*($H1998+INDEX(DarlTilgung,5))/100/12,IF(AND($G1998=0,$G1997=1),MAX($K1997,$J1998*($H1998+1)/100/12),$K1997))))</f>
      </c>
      <c r="L1998" s="43">
        <f>IF($I1998=0,0,$J1998*$H1998/100/12)</f>
      </c>
      <c r="M1998" s="43">
        <f>IF($I1998=0,0,IF(OR(INDEX(DarlOhneTilgung,5)=1,AND(INDEX(DarlTilgStart,5)&gt;0,$E1998&lt;INDEX(DarlTilgStart,5))),0,MIN(MAX(0,$K1998-$L1998),$J1998)))</f>
      </c>
      <c r="N1998" s="43">
        <f>IF($I1998=0,0,MIN(SUMIFS(SondBetrag,SondDarl,5,SondDatum,"&gt;="&amp;$E1998,SondDatum,"&lt;="&amp;EOMONTH($E1998,0)),$J1998-$M1998))</f>
      </c>
      <c r="O1998" s="43">
        <f>IF($I1998=0,0,INDEX(DarlErsatzRate,5))</f>
      </c>
      <c r="P1998" s="43">
        <f>IF($I1998=0,0,$Q1997*INDEX(DarlErsatzZins,5))</f>
      </c>
      <c r="Q1998" s="43">
        <f>IF($I1998=0,0,$Q1997+$P1998+$O1998)</f>
      </c>
      <c r="R1998" s="43">
        <f>IF($I1998=0,0,$J1998-$M1998-$N1998)</f>
      </c>
    </row>
    <row r="1999">
      <c r="A1999"/>
      <c r="B1999">
        <v>5</v>
      </c>
      <c r="C1999" s="43">
        <f>INDEX(DarlObj,5)</f>
      </c>
      <c r="D1999">
        <v>76</v>
      </c>
      <c r="E1999" s="51">
        <f>IF(INDEX(DarlBelegt,5)=0,0,EOMONTH(INDEX(DarlAuszahlung,5),75)+1)</f>
      </c>
      <c r="F1999" s="43">
        <f>IF($E1999=0,0,YEAR($E1999))</f>
      </c>
      <c r="G1999" s="43">
        <f>IF(INDEX(DarlBindung,5)="",1,IF($E1999&lt;=INDEX(DarlBindung,5),1,0))</f>
      </c>
      <c r="H1999" s="43">
        <f>IF($G1999=1,INDEX(DarlSollzins,5),INDEX(DarlAnschluss,5))</f>
      </c>
      <c r="I1999" s="43">
        <f>IF(INDEX(DarlBelegt,5)=0,0,IF(INDEX(DarlOhneTilgung,5)=1,IF(INDEX(DarlBindung,5)="",1,$G1999),IF($J1999&gt;0.005,1,0)))</f>
      </c>
      <c r="J1999" s="43">
        <f>IF($I1998=0,0,$R1998)</f>
      </c>
      <c r="K1999" s="43">
        <f>IF($I1999=0,0,IF(INDEX(DarlOhneTilgung,5)=1,0,IF(AND(INDEX(DarlTilgStart,5)&gt;0,$E1999=INDEX(DarlTilgStart,5)),$J1999*($H1999+INDEX(DarlTilgung,5))/100/12,IF(AND($G1999=0,$G1998=1),MAX($K1998,$J1999*($H1999+1)/100/12),$K1998))))</f>
      </c>
      <c r="L1999" s="43">
        <f>IF($I1999=0,0,$J1999*$H1999/100/12)</f>
      </c>
      <c r="M1999" s="43">
        <f>IF($I1999=0,0,IF(OR(INDEX(DarlOhneTilgung,5)=1,AND(INDEX(DarlTilgStart,5)&gt;0,$E1999&lt;INDEX(DarlTilgStart,5))),0,MIN(MAX(0,$K1999-$L1999),$J1999)))</f>
      </c>
      <c r="N1999" s="43">
        <f>IF($I1999=0,0,MIN(SUMIFS(SondBetrag,SondDarl,5,SondDatum,"&gt;="&amp;$E1999,SondDatum,"&lt;="&amp;EOMONTH($E1999,0)),$J1999-$M1999))</f>
      </c>
      <c r="O1999" s="43">
        <f>IF($I1999=0,0,INDEX(DarlErsatzRate,5))</f>
      </c>
      <c r="P1999" s="43">
        <f>IF($I1999=0,0,$Q1998*INDEX(DarlErsatzZins,5))</f>
      </c>
      <c r="Q1999" s="43">
        <f>IF($I1999=0,0,$Q1998+$P1999+$O1999)</f>
      </c>
      <c r="R1999" s="43">
        <f>IF($I1999=0,0,$J1999-$M1999-$N1999)</f>
      </c>
    </row>
    <row r="2000">
      <c r="A2000"/>
      <c r="B2000">
        <v>5</v>
      </c>
      <c r="C2000" s="43">
        <f>INDEX(DarlObj,5)</f>
      </c>
      <c r="D2000">
        <v>77</v>
      </c>
      <c r="E2000" s="51">
        <f>IF(INDEX(DarlBelegt,5)=0,0,EOMONTH(INDEX(DarlAuszahlung,5),76)+1)</f>
      </c>
      <c r="F2000" s="43">
        <f>IF($E2000=0,0,YEAR($E2000))</f>
      </c>
      <c r="G2000" s="43">
        <f>IF(INDEX(DarlBindung,5)="",1,IF($E2000&lt;=INDEX(DarlBindung,5),1,0))</f>
      </c>
      <c r="H2000" s="43">
        <f>IF($G2000=1,INDEX(DarlSollzins,5),INDEX(DarlAnschluss,5))</f>
      </c>
      <c r="I2000" s="43">
        <f>IF(INDEX(DarlBelegt,5)=0,0,IF(INDEX(DarlOhneTilgung,5)=1,IF(INDEX(DarlBindung,5)="",1,$G2000),IF($J2000&gt;0.005,1,0)))</f>
      </c>
      <c r="J2000" s="43">
        <f>IF($I1999=0,0,$R1999)</f>
      </c>
      <c r="K2000" s="43">
        <f>IF($I2000=0,0,IF(INDEX(DarlOhneTilgung,5)=1,0,IF(AND(INDEX(DarlTilgStart,5)&gt;0,$E2000=INDEX(DarlTilgStart,5)),$J2000*($H2000+INDEX(DarlTilgung,5))/100/12,IF(AND($G2000=0,$G1999=1),MAX($K1999,$J2000*($H2000+1)/100/12),$K1999))))</f>
      </c>
      <c r="L2000" s="43">
        <f>IF($I2000=0,0,$J2000*$H2000/100/12)</f>
      </c>
      <c r="M2000" s="43">
        <f>IF($I2000=0,0,IF(OR(INDEX(DarlOhneTilgung,5)=1,AND(INDEX(DarlTilgStart,5)&gt;0,$E2000&lt;INDEX(DarlTilgStart,5))),0,MIN(MAX(0,$K2000-$L2000),$J2000)))</f>
      </c>
      <c r="N2000" s="43">
        <f>IF($I2000=0,0,MIN(SUMIFS(SondBetrag,SondDarl,5,SondDatum,"&gt;="&amp;$E2000,SondDatum,"&lt;="&amp;EOMONTH($E2000,0)),$J2000-$M2000))</f>
      </c>
      <c r="O2000" s="43">
        <f>IF($I2000=0,0,INDEX(DarlErsatzRate,5))</f>
      </c>
      <c r="P2000" s="43">
        <f>IF($I2000=0,0,$Q1999*INDEX(DarlErsatzZins,5))</f>
      </c>
      <c r="Q2000" s="43">
        <f>IF($I2000=0,0,$Q1999+$P2000+$O2000)</f>
      </c>
      <c r="R2000" s="43">
        <f>IF($I2000=0,0,$J2000-$M2000-$N2000)</f>
      </c>
    </row>
    <row r="2001">
      <c r="A2001"/>
      <c r="B2001">
        <v>5</v>
      </c>
      <c r="C2001" s="43">
        <f>INDEX(DarlObj,5)</f>
      </c>
      <c r="D2001">
        <v>78</v>
      </c>
      <c r="E2001" s="51">
        <f>IF(INDEX(DarlBelegt,5)=0,0,EOMONTH(INDEX(DarlAuszahlung,5),77)+1)</f>
      </c>
      <c r="F2001" s="43">
        <f>IF($E2001=0,0,YEAR($E2001))</f>
      </c>
      <c r="G2001" s="43">
        <f>IF(INDEX(DarlBindung,5)="",1,IF($E2001&lt;=INDEX(DarlBindung,5),1,0))</f>
      </c>
      <c r="H2001" s="43">
        <f>IF($G2001=1,INDEX(DarlSollzins,5),INDEX(DarlAnschluss,5))</f>
      </c>
      <c r="I2001" s="43">
        <f>IF(INDEX(DarlBelegt,5)=0,0,IF(INDEX(DarlOhneTilgung,5)=1,IF(INDEX(DarlBindung,5)="",1,$G2001),IF($J2001&gt;0.005,1,0)))</f>
      </c>
      <c r="J2001" s="43">
        <f>IF($I2000=0,0,$R2000)</f>
      </c>
      <c r="K2001" s="43">
        <f>IF($I2001=0,0,IF(INDEX(DarlOhneTilgung,5)=1,0,IF(AND(INDEX(DarlTilgStart,5)&gt;0,$E2001=INDEX(DarlTilgStart,5)),$J2001*($H2001+INDEX(DarlTilgung,5))/100/12,IF(AND($G2001=0,$G2000=1),MAX($K2000,$J2001*($H2001+1)/100/12),$K2000))))</f>
      </c>
      <c r="L2001" s="43">
        <f>IF($I2001=0,0,$J2001*$H2001/100/12)</f>
      </c>
      <c r="M2001" s="43">
        <f>IF($I2001=0,0,IF(OR(INDEX(DarlOhneTilgung,5)=1,AND(INDEX(DarlTilgStart,5)&gt;0,$E2001&lt;INDEX(DarlTilgStart,5))),0,MIN(MAX(0,$K2001-$L2001),$J2001)))</f>
      </c>
      <c r="N2001" s="43">
        <f>IF($I2001=0,0,MIN(SUMIFS(SondBetrag,SondDarl,5,SondDatum,"&gt;="&amp;$E2001,SondDatum,"&lt;="&amp;EOMONTH($E2001,0)),$J2001-$M2001))</f>
      </c>
      <c r="O2001" s="43">
        <f>IF($I2001=0,0,INDEX(DarlErsatzRate,5))</f>
      </c>
      <c r="P2001" s="43">
        <f>IF($I2001=0,0,$Q2000*INDEX(DarlErsatzZins,5))</f>
      </c>
      <c r="Q2001" s="43">
        <f>IF($I2001=0,0,$Q2000+$P2001+$O2001)</f>
      </c>
      <c r="R2001" s="43">
        <f>IF($I2001=0,0,$J2001-$M2001-$N2001)</f>
      </c>
    </row>
    <row r="2002">
      <c r="A2002"/>
      <c r="B2002">
        <v>5</v>
      </c>
      <c r="C2002" s="43">
        <f>INDEX(DarlObj,5)</f>
      </c>
      <c r="D2002">
        <v>79</v>
      </c>
      <c r="E2002" s="51">
        <f>IF(INDEX(DarlBelegt,5)=0,0,EOMONTH(INDEX(DarlAuszahlung,5),78)+1)</f>
      </c>
      <c r="F2002" s="43">
        <f>IF($E2002=0,0,YEAR($E2002))</f>
      </c>
      <c r="G2002" s="43">
        <f>IF(INDEX(DarlBindung,5)="",1,IF($E2002&lt;=INDEX(DarlBindung,5),1,0))</f>
      </c>
      <c r="H2002" s="43">
        <f>IF($G2002=1,INDEX(DarlSollzins,5),INDEX(DarlAnschluss,5))</f>
      </c>
      <c r="I2002" s="43">
        <f>IF(INDEX(DarlBelegt,5)=0,0,IF(INDEX(DarlOhneTilgung,5)=1,IF(INDEX(DarlBindung,5)="",1,$G2002),IF($J2002&gt;0.005,1,0)))</f>
      </c>
      <c r="J2002" s="43">
        <f>IF($I2001=0,0,$R2001)</f>
      </c>
      <c r="K2002" s="43">
        <f>IF($I2002=0,0,IF(INDEX(DarlOhneTilgung,5)=1,0,IF(AND(INDEX(DarlTilgStart,5)&gt;0,$E2002=INDEX(DarlTilgStart,5)),$J2002*($H2002+INDEX(DarlTilgung,5))/100/12,IF(AND($G2002=0,$G2001=1),MAX($K2001,$J2002*($H2002+1)/100/12),$K2001))))</f>
      </c>
      <c r="L2002" s="43">
        <f>IF($I2002=0,0,$J2002*$H2002/100/12)</f>
      </c>
      <c r="M2002" s="43">
        <f>IF($I2002=0,0,IF(OR(INDEX(DarlOhneTilgung,5)=1,AND(INDEX(DarlTilgStart,5)&gt;0,$E2002&lt;INDEX(DarlTilgStart,5))),0,MIN(MAX(0,$K2002-$L2002),$J2002)))</f>
      </c>
      <c r="N2002" s="43">
        <f>IF($I2002=0,0,MIN(SUMIFS(SondBetrag,SondDarl,5,SondDatum,"&gt;="&amp;$E2002,SondDatum,"&lt;="&amp;EOMONTH($E2002,0)),$J2002-$M2002))</f>
      </c>
      <c r="O2002" s="43">
        <f>IF($I2002=0,0,INDEX(DarlErsatzRate,5))</f>
      </c>
      <c r="P2002" s="43">
        <f>IF($I2002=0,0,$Q2001*INDEX(DarlErsatzZins,5))</f>
      </c>
      <c r="Q2002" s="43">
        <f>IF($I2002=0,0,$Q2001+$P2002+$O2002)</f>
      </c>
      <c r="R2002" s="43">
        <f>IF($I2002=0,0,$J2002-$M2002-$N2002)</f>
      </c>
    </row>
    <row r="2003">
      <c r="A2003"/>
      <c r="B2003">
        <v>5</v>
      </c>
      <c r="C2003" s="43">
        <f>INDEX(DarlObj,5)</f>
      </c>
      <c r="D2003">
        <v>80</v>
      </c>
      <c r="E2003" s="51">
        <f>IF(INDEX(DarlBelegt,5)=0,0,EOMONTH(INDEX(DarlAuszahlung,5),79)+1)</f>
      </c>
      <c r="F2003" s="43">
        <f>IF($E2003=0,0,YEAR($E2003))</f>
      </c>
      <c r="G2003" s="43">
        <f>IF(INDEX(DarlBindung,5)="",1,IF($E2003&lt;=INDEX(DarlBindung,5),1,0))</f>
      </c>
      <c r="H2003" s="43">
        <f>IF($G2003=1,INDEX(DarlSollzins,5),INDEX(DarlAnschluss,5))</f>
      </c>
      <c r="I2003" s="43">
        <f>IF(INDEX(DarlBelegt,5)=0,0,IF(INDEX(DarlOhneTilgung,5)=1,IF(INDEX(DarlBindung,5)="",1,$G2003),IF($J2003&gt;0.005,1,0)))</f>
      </c>
      <c r="J2003" s="43">
        <f>IF($I2002=0,0,$R2002)</f>
      </c>
      <c r="K2003" s="43">
        <f>IF($I2003=0,0,IF(INDEX(DarlOhneTilgung,5)=1,0,IF(AND(INDEX(DarlTilgStart,5)&gt;0,$E2003=INDEX(DarlTilgStart,5)),$J2003*($H2003+INDEX(DarlTilgung,5))/100/12,IF(AND($G2003=0,$G2002=1),MAX($K2002,$J2003*($H2003+1)/100/12),$K2002))))</f>
      </c>
      <c r="L2003" s="43">
        <f>IF($I2003=0,0,$J2003*$H2003/100/12)</f>
      </c>
      <c r="M2003" s="43">
        <f>IF($I2003=0,0,IF(OR(INDEX(DarlOhneTilgung,5)=1,AND(INDEX(DarlTilgStart,5)&gt;0,$E2003&lt;INDEX(DarlTilgStart,5))),0,MIN(MAX(0,$K2003-$L2003),$J2003)))</f>
      </c>
      <c r="N2003" s="43">
        <f>IF($I2003=0,0,MIN(SUMIFS(SondBetrag,SondDarl,5,SondDatum,"&gt;="&amp;$E2003,SondDatum,"&lt;="&amp;EOMONTH($E2003,0)),$J2003-$M2003))</f>
      </c>
      <c r="O2003" s="43">
        <f>IF($I2003=0,0,INDEX(DarlErsatzRate,5))</f>
      </c>
      <c r="P2003" s="43">
        <f>IF($I2003=0,0,$Q2002*INDEX(DarlErsatzZins,5))</f>
      </c>
      <c r="Q2003" s="43">
        <f>IF($I2003=0,0,$Q2002+$P2003+$O2003)</f>
      </c>
      <c r="R2003" s="43">
        <f>IF($I2003=0,0,$J2003-$M2003-$N2003)</f>
      </c>
    </row>
    <row r="2004">
      <c r="A2004"/>
      <c r="B2004">
        <v>5</v>
      </c>
      <c r="C2004" s="43">
        <f>INDEX(DarlObj,5)</f>
      </c>
      <c r="D2004">
        <v>81</v>
      </c>
      <c r="E2004" s="51">
        <f>IF(INDEX(DarlBelegt,5)=0,0,EOMONTH(INDEX(DarlAuszahlung,5),80)+1)</f>
      </c>
      <c r="F2004" s="43">
        <f>IF($E2004=0,0,YEAR($E2004))</f>
      </c>
      <c r="G2004" s="43">
        <f>IF(INDEX(DarlBindung,5)="",1,IF($E2004&lt;=INDEX(DarlBindung,5),1,0))</f>
      </c>
      <c r="H2004" s="43">
        <f>IF($G2004=1,INDEX(DarlSollzins,5),INDEX(DarlAnschluss,5))</f>
      </c>
      <c r="I2004" s="43">
        <f>IF(INDEX(DarlBelegt,5)=0,0,IF(INDEX(DarlOhneTilgung,5)=1,IF(INDEX(DarlBindung,5)="",1,$G2004),IF($J2004&gt;0.005,1,0)))</f>
      </c>
      <c r="J2004" s="43">
        <f>IF($I2003=0,0,$R2003)</f>
      </c>
      <c r="K2004" s="43">
        <f>IF($I2004=0,0,IF(INDEX(DarlOhneTilgung,5)=1,0,IF(AND(INDEX(DarlTilgStart,5)&gt;0,$E2004=INDEX(DarlTilgStart,5)),$J2004*($H2004+INDEX(DarlTilgung,5))/100/12,IF(AND($G2004=0,$G2003=1),MAX($K2003,$J2004*($H2004+1)/100/12),$K2003))))</f>
      </c>
      <c r="L2004" s="43">
        <f>IF($I2004=0,0,$J2004*$H2004/100/12)</f>
      </c>
      <c r="M2004" s="43">
        <f>IF($I2004=0,0,IF(OR(INDEX(DarlOhneTilgung,5)=1,AND(INDEX(DarlTilgStart,5)&gt;0,$E2004&lt;INDEX(DarlTilgStart,5))),0,MIN(MAX(0,$K2004-$L2004),$J2004)))</f>
      </c>
      <c r="N2004" s="43">
        <f>IF($I2004=0,0,MIN(SUMIFS(SondBetrag,SondDarl,5,SondDatum,"&gt;="&amp;$E2004,SondDatum,"&lt;="&amp;EOMONTH($E2004,0)),$J2004-$M2004))</f>
      </c>
      <c r="O2004" s="43">
        <f>IF($I2004=0,0,INDEX(DarlErsatzRate,5))</f>
      </c>
      <c r="P2004" s="43">
        <f>IF($I2004=0,0,$Q2003*INDEX(DarlErsatzZins,5))</f>
      </c>
      <c r="Q2004" s="43">
        <f>IF($I2004=0,0,$Q2003+$P2004+$O2004)</f>
      </c>
      <c r="R2004" s="43">
        <f>IF($I2004=0,0,$J2004-$M2004-$N2004)</f>
      </c>
    </row>
    <row r="2005">
      <c r="A2005"/>
      <c r="B2005">
        <v>5</v>
      </c>
      <c r="C2005" s="43">
        <f>INDEX(DarlObj,5)</f>
      </c>
      <c r="D2005">
        <v>82</v>
      </c>
      <c r="E2005" s="51">
        <f>IF(INDEX(DarlBelegt,5)=0,0,EOMONTH(INDEX(DarlAuszahlung,5),81)+1)</f>
      </c>
      <c r="F2005" s="43">
        <f>IF($E2005=0,0,YEAR($E2005))</f>
      </c>
      <c r="G2005" s="43">
        <f>IF(INDEX(DarlBindung,5)="",1,IF($E2005&lt;=INDEX(DarlBindung,5),1,0))</f>
      </c>
      <c r="H2005" s="43">
        <f>IF($G2005=1,INDEX(DarlSollzins,5),INDEX(DarlAnschluss,5))</f>
      </c>
      <c r="I2005" s="43">
        <f>IF(INDEX(DarlBelegt,5)=0,0,IF(INDEX(DarlOhneTilgung,5)=1,IF(INDEX(DarlBindung,5)="",1,$G2005),IF($J2005&gt;0.005,1,0)))</f>
      </c>
      <c r="J2005" s="43">
        <f>IF($I2004=0,0,$R2004)</f>
      </c>
      <c r="K2005" s="43">
        <f>IF($I2005=0,0,IF(INDEX(DarlOhneTilgung,5)=1,0,IF(AND(INDEX(DarlTilgStart,5)&gt;0,$E2005=INDEX(DarlTilgStart,5)),$J2005*($H2005+INDEX(DarlTilgung,5))/100/12,IF(AND($G2005=0,$G2004=1),MAX($K2004,$J2005*($H2005+1)/100/12),$K2004))))</f>
      </c>
      <c r="L2005" s="43">
        <f>IF($I2005=0,0,$J2005*$H2005/100/12)</f>
      </c>
      <c r="M2005" s="43">
        <f>IF($I2005=0,0,IF(OR(INDEX(DarlOhneTilgung,5)=1,AND(INDEX(DarlTilgStart,5)&gt;0,$E2005&lt;INDEX(DarlTilgStart,5))),0,MIN(MAX(0,$K2005-$L2005),$J2005)))</f>
      </c>
      <c r="N2005" s="43">
        <f>IF($I2005=0,0,MIN(SUMIFS(SondBetrag,SondDarl,5,SondDatum,"&gt;="&amp;$E2005,SondDatum,"&lt;="&amp;EOMONTH($E2005,0)),$J2005-$M2005))</f>
      </c>
      <c r="O2005" s="43">
        <f>IF($I2005=0,0,INDEX(DarlErsatzRate,5))</f>
      </c>
      <c r="P2005" s="43">
        <f>IF($I2005=0,0,$Q2004*INDEX(DarlErsatzZins,5))</f>
      </c>
      <c r="Q2005" s="43">
        <f>IF($I2005=0,0,$Q2004+$P2005+$O2005)</f>
      </c>
      <c r="R2005" s="43">
        <f>IF($I2005=0,0,$J2005-$M2005-$N2005)</f>
      </c>
    </row>
    <row r="2006">
      <c r="A2006"/>
      <c r="B2006">
        <v>5</v>
      </c>
      <c r="C2006" s="43">
        <f>INDEX(DarlObj,5)</f>
      </c>
      <c r="D2006">
        <v>83</v>
      </c>
      <c r="E2006" s="51">
        <f>IF(INDEX(DarlBelegt,5)=0,0,EOMONTH(INDEX(DarlAuszahlung,5),82)+1)</f>
      </c>
      <c r="F2006" s="43">
        <f>IF($E2006=0,0,YEAR($E2006))</f>
      </c>
      <c r="G2006" s="43">
        <f>IF(INDEX(DarlBindung,5)="",1,IF($E2006&lt;=INDEX(DarlBindung,5),1,0))</f>
      </c>
      <c r="H2006" s="43">
        <f>IF($G2006=1,INDEX(DarlSollzins,5),INDEX(DarlAnschluss,5))</f>
      </c>
      <c r="I2006" s="43">
        <f>IF(INDEX(DarlBelegt,5)=0,0,IF(INDEX(DarlOhneTilgung,5)=1,IF(INDEX(DarlBindung,5)="",1,$G2006),IF($J2006&gt;0.005,1,0)))</f>
      </c>
      <c r="J2006" s="43">
        <f>IF($I2005=0,0,$R2005)</f>
      </c>
      <c r="K2006" s="43">
        <f>IF($I2006=0,0,IF(INDEX(DarlOhneTilgung,5)=1,0,IF(AND(INDEX(DarlTilgStart,5)&gt;0,$E2006=INDEX(DarlTilgStart,5)),$J2006*($H2006+INDEX(DarlTilgung,5))/100/12,IF(AND($G2006=0,$G2005=1),MAX($K2005,$J2006*($H2006+1)/100/12),$K2005))))</f>
      </c>
      <c r="L2006" s="43">
        <f>IF($I2006=0,0,$J2006*$H2006/100/12)</f>
      </c>
      <c r="M2006" s="43">
        <f>IF($I2006=0,0,IF(OR(INDEX(DarlOhneTilgung,5)=1,AND(INDEX(DarlTilgStart,5)&gt;0,$E2006&lt;INDEX(DarlTilgStart,5))),0,MIN(MAX(0,$K2006-$L2006),$J2006)))</f>
      </c>
      <c r="N2006" s="43">
        <f>IF($I2006=0,0,MIN(SUMIFS(SondBetrag,SondDarl,5,SondDatum,"&gt;="&amp;$E2006,SondDatum,"&lt;="&amp;EOMONTH($E2006,0)),$J2006-$M2006))</f>
      </c>
      <c r="O2006" s="43">
        <f>IF($I2006=0,0,INDEX(DarlErsatzRate,5))</f>
      </c>
      <c r="P2006" s="43">
        <f>IF($I2006=0,0,$Q2005*INDEX(DarlErsatzZins,5))</f>
      </c>
      <c r="Q2006" s="43">
        <f>IF($I2006=0,0,$Q2005+$P2006+$O2006)</f>
      </c>
      <c r="R2006" s="43">
        <f>IF($I2006=0,0,$J2006-$M2006-$N2006)</f>
      </c>
    </row>
    <row r="2007">
      <c r="A2007"/>
      <c r="B2007">
        <v>5</v>
      </c>
      <c r="C2007" s="43">
        <f>INDEX(DarlObj,5)</f>
      </c>
      <c r="D2007">
        <v>84</v>
      </c>
      <c r="E2007" s="51">
        <f>IF(INDEX(DarlBelegt,5)=0,0,EOMONTH(INDEX(DarlAuszahlung,5),83)+1)</f>
      </c>
      <c r="F2007" s="43">
        <f>IF($E2007=0,0,YEAR($E2007))</f>
      </c>
      <c r="G2007" s="43">
        <f>IF(INDEX(DarlBindung,5)="",1,IF($E2007&lt;=INDEX(DarlBindung,5),1,0))</f>
      </c>
      <c r="H2007" s="43">
        <f>IF($G2007=1,INDEX(DarlSollzins,5),INDEX(DarlAnschluss,5))</f>
      </c>
      <c r="I2007" s="43">
        <f>IF(INDEX(DarlBelegt,5)=0,0,IF(INDEX(DarlOhneTilgung,5)=1,IF(INDEX(DarlBindung,5)="",1,$G2007),IF($J2007&gt;0.005,1,0)))</f>
      </c>
      <c r="J2007" s="43">
        <f>IF($I2006=0,0,$R2006)</f>
      </c>
      <c r="K2007" s="43">
        <f>IF($I2007=0,0,IF(INDEX(DarlOhneTilgung,5)=1,0,IF(AND(INDEX(DarlTilgStart,5)&gt;0,$E2007=INDEX(DarlTilgStart,5)),$J2007*($H2007+INDEX(DarlTilgung,5))/100/12,IF(AND($G2007=0,$G2006=1),MAX($K2006,$J2007*($H2007+1)/100/12),$K2006))))</f>
      </c>
      <c r="L2007" s="43">
        <f>IF($I2007=0,0,$J2007*$H2007/100/12)</f>
      </c>
      <c r="M2007" s="43">
        <f>IF($I2007=0,0,IF(OR(INDEX(DarlOhneTilgung,5)=1,AND(INDEX(DarlTilgStart,5)&gt;0,$E2007&lt;INDEX(DarlTilgStart,5))),0,MIN(MAX(0,$K2007-$L2007),$J2007)))</f>
      </c>
      <c r="N2007" s="43">
        <f>IF($I2007=0,0,MIN(SUMIFS(SondBetrag,SondDarl,5,SondDatum,"&gt;="&amp;$E2007,SondDatum,"&lt;="&amp;EOMONTH($E2007,0)),$J2007-$M2007))</f>
      </c>
      <c r="O2007" s="43">
        <f>IF($I2007=0,0,INDEX(DarlErsatzRate,5))</f>
      </c>
      <c r="P2007" s="43">
        <f>IF($I2007=0,0,$Q2006*INDEX(DarlErsatzZins,5))</f>
      </c>
      <c r="Q2007" s="43">
        <f>IF($I2007=0,0,$Q2006+$P2007+$O2007)</f>
      </c>
      <c r="R2007" s="43">
        <f>IF($I2007=0,0,$J2007-$M2007-$N2007)</f>
      </c>
    </row>
    <row r="2008">
      <c r="A2008"/>
      <c r="B2008">
        <v>5</v>
      </c>
      <c r="C2008" s="43">
        <f>INDEX(DarlObj,5)</f>
      </c>
      <c r="D2008">
        <v>85</v>
      </c>
      <c r="E2008" s="51">
        <f>IF(INDEX(DarlBelegt,5)=0,0,EOMONTH(INDEX(DarlAuszahlung,5),84)+1)</f>
      </c>
      <c r="F2008" s="43">
        <f>IF($E2008=0,0,YEAR($E2008))</f>
      </c>
      <c r="G2008" s="43">
        <f>IF(INDEX(DarlBindung,5)="",1,IF($E2008&lt;=INDEX(DarlBindung,5),1,0))</f>
      </c>
      <c r="H2008" s="43">
        <f>IF($G2008=1,INDEX(DarlSollzins,5),INDEX(DarlAnschluss,5))</f>
      </c>
      <c r="I2008" s="43">
        <f>IF(INDEX(DarlBelegt,5)=0,0,IF(INDEX(DarlOhneTilgung,5)=1,IF(INDEX(DarlBindung,5)="",1,$G2008),IF($J2008&gt;0.005,1,0)))</f>
      </c>
      <c r="J2008" s="43">
        <f>IF($I2007=0,0,$R2007)</f>
      </c>
      <c r="K2008" s="43">
        <f>IF($I2008=0,0,IF(INDEX(DarlOhneTilgung,5)=1,0,IF(AND(INDEX(DarlTilgStart,5)&gt;0,$E2008=INDEX(DarlTilgStart,5)),$J2008*($H2008+INDEX(DarlTilgung,5))/100/12,IF(AND($G2008=0,$G2007=1),MAX($K2007,$J2008*($H2008+1)/100/12),$K2007))))</f>
      </c>
      <c r="L2008" s="43">
        <f>IF($I2008=0,0,$J2008*$H2008/100/12)</f>
      </c>
      <c r="M2008" s="43">
        <f>IF($I2008=0,0,IF(OR(INDEX(DarlOhneTilgung,5)=1,AND(INDEX(DarlTilgStart,5)&gt;0,$E2008&lt;INDEX(DarlTilgStart,5))),0,MIN(MAX(0,$K2008-$L2008),$J2008)))</f>
      </c>
      <c r="N2008" s="43">
        <f>IF($I2008=0,0,MIN(SUMIFS(SondBetrag,SondDarl,5,SondDatum,"&gt;="&amp;$E2008,SondDatum,"&lt;="&amp;EOMONTH($E2008,0)),$J2008-$M2008))</f>
      </c>
      <c r="O2008" s="43">
        <f>IF($I2008=0,0,INDEX(DarlErsatzRate,5))</f>
      </c>
      <c r="P2008" s="43">
        <f>IF($I2008=0,0,$Q2007*INDEX(DarlErsatzZins,5))</f>
      </c>
      <c r="Q2008" s="43">
        <f>IF($I2008=0,0,$Q2007+$P2008+$O2008)</f>
      </c>
      <c r="R2008" s="43">
        <f>IF($I2008=0,0,$J2008-$M2008-$N2008)</f>
      </c>
    </row>
    <row r="2009">
      <c r="A2009"/>
      <c r="B2009">
        <v>5</v>
      </c>
      <c r="C2009" s="43">
        <f>INDEX(DarlObj,5)</f>
      </c>
      <c r="D2009">
        <v>86</v>
      </c>
      <c r="E2009" s="51">
        <f>IF(INDEX(DarlBelegt,5)=0,0,EOMONTH(INDEX(DarlAuszahlung,5),85)+1)</f>
      </c>
      <c r="F2009" s="43">
        <f>IF($E2009=0,0,YEAR($E2009))</f>
      </c>
      <c r="G2009" s="43">
        <f>IF(INDEX(DarlBindung,5)="",1,IF($E2009&lt;=INDEX(DarlBindung,5),1,0))</f>
      </c>
      <c r="H2009" s="43">
        <f>IF($G2009=1,INDEX(DarlSollzins,5),INDEX(DarlAnschluss,5))</f>
      </c>
      <c r="I2009" s="43">
        <f>IF(INDEX(DarlBelegt,5)=0,0,IF(INDEX(DarlOhneTilgung,5)=1,IF(INDEX(DarlBindung,5)="",1,$G2009),IF($J2009&gt;0.005,1,0)))</f>
      </c>
      <c r="J2009" s="43">
        <f>IF($I2008=0,0,$R2008)</f>
      </c>
      <c r="K2009" s="43">
        <f>IF($I2009=0,0,IF(INDEX(DarlOhneTilgung,5)=1,0,IF(AND(INDEX(DarlTilgStart,5)&gt;0,$E2009=INDEX(DarlTilgStart,5)),$J2009*($H2009+INDEX(DarlTilgung,5))/100/12,IF(AND($G2009=0,$G2008=1),MAX($K2008,$J2009*($H2009+1)/100/12),$K2008))))</f>
      </c>
      <c r="L2009" s="43">
        <f>IF($I2009=0,0,$J2009*$H2009/100/12)</f>
      </c>
      <c r="M2009" s="43">
        <f>IF($I2009=0,0,IF(OR(INDEX(DarlOhneTilgung,5)=1,AND(INDEX(DarlTilgStart,5)&gt;0,$E2009&lt;INDEX(DarlTilgStart,5))),0,MIN(MAX(0,$K2009-$L2009),$J2009)))</f>
      </c>
      <c r="N2009" s="43">
        <f>IF($I2009=0,0,MIN(SUMIFS(SondBetrag,SondDarl,5,SondDatum,"&gt;="&amp;$E2009,SondDatum,"&lt;="&amp;EOMONTH($E2009,0)),$J2009-$M2009))</f>
      </c>
      <c r="O2009" s="43">
        <f>IF($I2009=0,0,INDEX(DarlErsatzRate,5))</f>
      </c>
      <c r="P2009" s="43">
        <f>IF($I2009=0,0,$Q2008*INDEX(DarlErsatzZins,5))</f>
      </c>
      <c r="Q2009" s="43">
        <f>IF($I2009=0,0,$Q2008+$P2009+$O2009)</f>
      </c>
      <c r="R2009" s="43">
        <f>IF($I2009=0,0,$J2009-$M2009-$N2009)</f>
      </c>
    </row>
    <row r="2010">
      <c r="A2010"/>
      <c r="B2010">
        <v>5</v>
      </c>
      <c r="C2010" s="43">
        <f>INDEX(DarlObj,5)</f>
      </c>
      <c r="D2010">
        <v>87</v>
      </c>
      <c r="E2010" s="51">
        <f>IF(INDEX(DarlBelegt,5)=0,0,EOMONTH(INDEX(DarlAuszahlung,5),86)+1)</f>
      </c>
      <c r="F2010" s="43">
        <f>IF($E2010=0,0,YEAR($E2010))</f>
      </c>
      <c r="G2010" s="43">
        <f>IF(INDEX(DarlBindung,5)="",1,IF($E2010&lt;=INDEX(DarlBindung,5),1,0))</f>
      </c>
      <c r="H2010" s="43">
        <f>IF($G2010=1,INDEX(DarlSollzins,5),INDEX(DarlAnschluss,5))</f>
      </c>
      <c r="I2010" s="43">
        <f>IF(INDEX(DarlBelegt,5)=0,0,IF(INDEX(DarlOhneTilgung,5)=1,IF(INDEX(DarlBindung,5)="",1,$G2010),IF($J2010&gt;0.005,1,0)))</f>
      </c>
      <c r="J2010" s="43">
        <f>IF($I2009=0,0,$R2009)</f>
      </c>
      <c r="K2010" s="43">
        <f>IF($I2010=0,0,IF(INDEX(DarlOhneTilgung,5)=1,0,IF(AND(INDEX(DarlTilgStart,5)&gt;0,$E2010=INDEX(DarlTilgStart,5)),$J2010*($H2010+INDEX(DarlTilgung,5))/100/12,IF(AND($G2010=0,$G2009=1),MAX($K2009,$J2010*($H2010+1)/100/12),$K2009))))</f>
      </c>
      <c r="L2010" s="43">
        <f>IF($I2010=0,0,$J2010*$H2010/100/12)</f>
      </c>
      <c r="M2010" s="43">
        <f>IF($I2010=0,0,IF(OR(INDEX(DarlOhneTilgung,5)=1,AND(INDEX(DarlTilgStart,5)&gt;0,$E2010&lt;INDEX(DarlTilgStart,5))),0,MIN(MAX(0,$K2010-$L2010),$J2010)))</f>
      </c>
      <c r="N2010" s="43">
        <f>IF($I2010=0,0,MIN(SUMIFS(SondBetrag,SondDarl,5,SondDatum,"&gt;="&amp;$E2010,SondDatum,"&lt;="&amp;EOMONTH($E2010,0)),$J2010-$M2010))</f>
      </c>
      <c r="O2010" s="43">
        <f>IF($I2010=0,0,INDEX(DarlErsatzRate,5))</f>
      </c>
      <c r="P2010" s="43">
        <f>IF($I2010=0,0,$Q2009*INDEX(DarlErsatzZins,5))</f>
      </c>
      <c r="Q2010" s="43">
        <f>IF($I2010=0,0,$Q2009+$P2010+$O2010)</f>
      </c>
      <c r="R2010" s="43">
        <f>IF($I2010=0,0,$J2010-$M2010-$N2010)</f>
      </c>
    </row>
    <row r="2011">
      <c r="A2011"/>
      <c r="B2011">
        <v>5</v>
      </c>
      <c r="C2011" s="43">
        <f>INDEX(DarlObj,5)</f>
      </c>
      <c r="D2011">
        <v>88</v>
      </c>
      <c r="E2011" s="51">
        <f>IF(INDEX(DarlBelegt,5)=0,0,EOMONTH(INDEX(DarlAuszahlung,5),87)+1)</f>
      </c>
      <c r="F2011" s="43">
        <f>IF($E2011=0,0,YEAR($E2011))</f>
      </c>
      <c r="G2011" s="43">
        <f>IF(INDEX(DarlBindung,5)="",1,IF($E2011&lt;=INDEX(DarlBindung,5),1,0))</f>
      </c>
      <c r="H2011" s="43">
        <f>IF($G2011=1,INDEX(DarlSollzins,5),INDEX(DarlAnschluss,5))</f>
      </c>
      <c r="I2011" s="43">
        <f>IF(INDEX(DarlBelegt,5)=0,0,IF(INDEX(DarlOhneTilgung,5)=1,IF(INDEX(DarlBindung,5)="",1,$G2011),IF($J2011&gt;0.005,1,0)))</f>
      </c>
      <c r="J2011" s="43">
        <f>IF($I2010=0,0,$R2010)</f>
      </c>
      <c r="K2011" s="43">
        <f>IF($I2011=0,0,IF(INDEX(DarlOhneTilgung,5)=1,0,IF(AND(INDEX(DarlTilgStart,5)&gt;0,$E2011=INDEX(DarlTilgStart,5)),$J2011*($H2011+INDEX(DarlTilgung,5))/100/12,IF(AND($G2011=0,$G2010=1),MAX($K2010,$J2011*($H2011+1)/100/12),$K2010))))</f>
      </c>
      <c r="L2011" s="43">
        <f>IF($I2011=0,0,$J2011*$H2011/100/12)</f>
      </c>
      <c r="M2011" s="43">
        <f>IF($I2011=0,0,IF(OR(INDEX(DarlOhneTilgung,5)=1,AND(INDEX(DarlTilgStart,5)&gt;0,$E2011&lt;INDEX(DarlTilgStart,5))),0,MIN(MAX(0,$K2011-$L2011),$J2011)))</f>
      </c>
      <c r="N2011" s="43">
        <f>IF($I2011=0,0,MIN(SUMIFS(SondBetrag,SondDarl,5,SondDatum,"&gt;="&amp;$E2011,SondDatum,"&lt;="&amp;EOMONTH($E2011,0)),$J2011-$M2011))</f>
      </c>
      <c r="O2011" s="43">
        <f>IF($I2011=0,0,INDEX(DarlErsatzRate,5))</f>
      </c>
      <c r="P2011" s="43">
        <f>IF($I2011=0,0,$Q2010*INDEX(DarlErsatzZins,5))</f>
      </c>
      <c r="Q2011" s="43">
        <f>IF($I2011=0,0,$Q2010+$P2011+$O2011)</f>
      </c>
      <c r="R2011" s="43">
        <f>IF($I2011=0,0,$J2011-$M2011-$N2011)</f>
      </c>
    </row>
    <row r="2012">
      <c r="A2012"/>
      <c r="B2012">
        <v>5</v>
      </c>
      <c r="C2012" s="43">
        <f>INDEX(DarlObj,5)</f>
      </c>
      <c r="D2012">
        <v>89</v>
      </c>
      <c r="E2012" s="51">
        <f>IF(INDEX(DarlBelegt,5)=0,0,EOMONTH(INDEX(DarlAuszahlung,5),88)+1)</f>
      </c>
      <c r="F2012" s="43">
        <f>IF($E2012=0,0,YEAR($E2012))</f>
      </c>
      <c r="G2012" s="43">
        <f>IF(INDEX(DarlBindung,5)="",1,IF($E2012&lt;=INDEX(DarlBindung,5),1,0))</f>
      </c>
      <c r="H2012" s="43">
        <f>IF($G2012=1,INDEX(DarlSollzins,5),INDEX(DarlAnschluss,5))</f>
      </c>
      <c r="I2012" s="43">
        <f>IF(INDEX(DarlBelegt,5)=0,0,IF(INDEX(DarlOhneTilgung,5)=1,IF(INDEX(DarlBindung,5)="",1,$G2012),IF($J2012&gt;0.005,1,0)))</f>
      </c>
      <c r="J2012" s="43">
        <f>IF($I2011=0,0,$R2011)</f>
      </c>
      <c r="K2012" s="43">
        <f>IF($I2012=0,0,IF(INDEX(DarlOhneTilgung,5)=1,0,IF(AND(INDEX(DarlTilgStart,5)&gt;0,$E2012=INDEX(DarlTilgStart,5)),$J2012*($H2012+INDEX(DarlTilgung,5))/100/12,IF(AND($G2012=0,$G2011=1),MAX($K2011,$J2012*($H2012+1)/100/12),$K2011))))</f>
      </c>
      <c r="L2012" s="43">
        <f>IF($I2012=0,0,$J2012*$H2012/100/12)</f>
      </c>
      <c r="M2012" s="43">
        <f>IF($I2012=0,0,IF(OR(INDEX(DarlOhneTilgung,5)=1,AND(INDEX(DarlTilgStart,5)&gt;0,$E2012&lt;INDEX(DarlTilgStart,5))),0,MIN(MAX(0,$K2012-$L2012),$J2012)))</f>
      </c>
      <c r="N2012" s="43">
        <f>IF($I2012=0,0,MIN(SUMIFS(SondBetrag,SondDarl,5,SondDatum,"&gt;="&amp;$E2012,SondDatum,"&lt;="&amp;EOMONTH($E2012,0)),$J2012-$M2012))</f>
      </c>
      <c r="O2012" s="43">
        <f>IF($I2012=0,0,INDEX(DarlErsatzRate,5))</f>
      </c>
      <c r="P2012" s="43">
        <f>IF($I2012=0,0,$Q2011*INDEX(DarlErsatzZins,5))</f>
      </c>
      <c r="Q2012" s="43">
        <f>IF($I2012=0,0,$Q2011+$P2012+$O2012)</f>
      </c>
      <c r="R2012" s="43">
        <f>IF($I2012=0,0,$J2012-$M2012-$N2012)</f>
      </c>
    </row>
    <row r="2013">
      <c r="A2013"/>
      <c r="B2013">
        <v>5</v>
      </c>
      <c r="C2013" s="43">
        <f>INDEX(DarlObj,5)</f>
      </c>
      <c r="D2013">
        <v>90</v>
      </c>
      <c r="E2013" s="51">
        <f>IF(INDEX(DarlBelegt,5)=0,0,EOMONTH(INDEX(DarlAuszahlung,5),89)+1)</f>
      </c>
      <c r="F2013" s="43">
        <f>IF($E2013=0,0,YEAR($E2013))</f>
      </c>
      <c r="G2013" s="43">
        <f>IF(INDEX(DarlBindung,5)="",1,IF($E2013&lt;=INDEX(DarlBindung,5),1,0))</f>
      </c>
      <c r="H2013" s="43">
        <f>IF($G2013=1,INDEX(DarlSollzins,5),INDEX(DarlAnschluss,5))</f>
      </c>
      <c r="I2013" s="43">
        <f>IF(INDEX(DarlBelegt,5)=0,0,IF(INDEX(DarlOhneTilgung,5)=1,IF(INDEX(DarlBindung,5)="",1,$G2013),IF($J2013&gt;0.005,1,0)))</f>
      </c>
      <c r="J2013" s="43">
        <f>IF($I2012=0,0,$R2012)</f>
      </c>
      <c r="K2013" s="43">
        <f>IF($I2013=0,0,IF(INDEX(DarlOhneTilgung,5)=1,0,IF(AND(INDEX(DarlTilgStart,5)&gt;0,$E2013=INDEX(DarlTilgStart,5)),$J2013*($H2013+INDEX(DarlTilgung,5))/100/12,IF(AND($G2013=0,$G2012=1),MAX($K2012,$J2013*($H2013+1)/100/12),$K2012))))</f>
      </c>
      <c r="L2013" s="43">
        <f>IF($I2013=0,0,$J2013*$H2013/100/12)</f>
      </c>
      <c r="M2013" s="43">
        <f>IF($I2013=0,0,IF(OR(INDEX(DarlOhneTilgung,5)=1,AND(INDEX(DarlTilgStart,5)&gt;0,$E2013&lt;INDEX(DarlTilgStart,5))),0,MIN(MAX(0,$K2013-$L2013),$J2013)))</f>
      </c>
      <c r="N2013" s="43">
        <f>IF($I2013=0,0,MIN(SUMIFS(SondBetrag,SondDarl,5,SondDatum,"&gt;="&amp;$E2013,SondDatum,"&lt;="&amp;EOMONTH($E2013,0)),$J2013-$M2013))</f>
      </c>
      <c r="O2013" s="43">
        <f>IF($I2013=0,0,INDEX(DarlErsatzRate,5))</f>
      </c>
      <c r="P2013" s="43">
        <f>IF($I2013=0,0,$Q2012*INDEX(DarlErsatzZins,5))</f>
      </c>
      <c r="Q2013" s="43">
        <f>IF($I2013=0,0,$Q2012+$P2013+$O2013)</f>
      </c>
      <c r="R2013" s="43">
        <f>IF($I2013=0,0,$J2013-$M2013-$N2013)</f>
      </c>
    </row>
    <row r="2014">
      <c r="A2014"/>
      <c r="B2014">
        <v>5</v>
      </c>
      <c r="C2014" s="43">
        <f>INDEX(DarlObj,5)</f>
      </c>
      <c r="D2014">
        <v>91</v>
      </c>
      <c r="E2014" s="51">
        <f>IF(INDEX(DarlBelegt,5)=0,0,EOMONTH(INDEX(DarlAuszahlung,5),90)+1)</f>
      </c>
      <c r="F2014" s="43">
        <f>IF($E2014=0,0,YEAR($E2014))</f>
      </c>
      <c r="G2014" s="43">
        <f>IF(INDEX(DarlBindung,5)="",1,IF($E2014&lt;=INDEX(DarlBindung,5),1,0))</f>
      </c>
      <c r="H2014" s="43">
        <f>IF($G2014=1,INDEX(DarlSollzins,5),INDEX(DarlAnschluss,5))</f>
      </c>
      <c r="I2014" s="43">
        <f>IF(INDEX(DarlBelegt,5)=0,0,IF(INDEX(DarlOhneTilgung,5)=1,IF(INDEX(DarlBindung,5)="",1,$G2014),IF($J2014&gt;0.005,1,0)))</f>
      </c>
      <c r="J2014" s="43">
        <f>IF($I2013=0,0,$R2013)</f>
      </c>
      <c r="K2014" s="43">
        <f>IF($I2014=0,0,IF(INDEX(DarlOhneTilgung,5)=1,0,IF(AND(INDEX(DarlTilgStart,5)&gt;0,$E2014=INDEX(DarlTilgStart,5)),$J2014*($H2014+INDEX(DarlTilgung,5))/100/12,IF(AND($G2014=0,$G2013=1),MAX($K2013,$J2014*($H2014+1)/100/12),$K2013))))</f>
      </c>
      <c r="L2014" s="43">
        <f>IF($I2014=0,0,$J2014*$H2014/100/12)</f>
      </c>
      <c r="M2014" s="43">
        <f>IF($I2014=0,0,IF(OR(INDEX(DarlOhneTilgung,5)=1,AND(INDEX(DarlTilgStart,5)&gt;0,$E2014&lt;INDEX(DarlTilgStart,5))),0,MIN(MAX(0,$K2014-$L2014),$J2014)))</f>
      </c>
      <c r="N2014" s="43">
        <f>IF($I2014=0,0,MIN(SUMIFS(SondBetrag,SondDarl,5,SondDatum,"&gt;="&amp;$E2014,SondDatum,"&lt;="&amp;EOMONTH($E2014,0)),$J2014-$M2014))</f>
      </c>
      <c r="O2014" s="43">
        <f>IF($I2014=0,0,INDEX(DarlErsatzRate,5))</f>
      </c>
      <c r="P2014" s="43">
        <f>IF($I2014=0,0,$Q2013*INDEX(DarlErsatzZins,5))</f>
      </c>
      <c r="Q2014" s="43">
        <f>IF($I2014=0,0,$Q2013+$P2014+$O2014)</f>
      </c>
      <c r="R2014" s="43">
        <f>IF($I2014=0,0,$J2014-$M2014-$N2014)</f>
      </c>
    </row>
    <row r="2015">
      <c r="A2015"/>
      <c r="B2015">
        <v>5</v>
      </c>
      <c r="C2015" s="43">
        <f>INDEX(DarlObj,5)</f>
      </c>
      <c r="D2015">
        <v>92</v>
      </c>
      <c r="E2015" s="51">
        <f>IF(INDEX(DarlBelegt,5)=0,0,EOMONTH(INDEX(DarlAuszahlung,5),91)+1)</f>
      </c>
      <c r="F2015" s="43">
        <f>IF($E2015=0,0,YEAR($E2015))</f>
      </c>
      <c r="G2015" s="43">
        <f>IF(INDEX(DarlBindung,5)="",1,IF($E2015&lt;=INDEX(DarlBindung,5),1,0))</f>
      </c>
      <c r="H2015" s="43">
        <f>IF($G2015=1,INDEX(DarlSollzins,5),INDEX(DarlAnschluss,5))</f>
      </c>
      <c r="I2015" s="43">
        <f>IF(INDEX(DarlBelegt,5)=0,0,IF(INDEX(DarlOhneTilgung,5)=1,IF(INDEX(DarlBindung,5)="",1,$G2015),IF($J2015&gt;0.005,1,0)))</f>
      </c>
      <c r="J2015" s="43">
        <f>IF($I2014=0,0,$R2014)</f>
      </c>
      <c r="K2015" s="43">
        <f>IF($I2015=0,0,IF(INDEX(DarlOhneTilgung,5)=1,0,IF(AND(INDEX(DarlTilgStart,5)&gt;0,$E2015=INDEX(DarlTilgStart,5)),$J2015*($H2015+INDEX(DarlTilgung,5))/100/12,IF(AND($G2015=0,$G2014=1),MAX($K2014,$J2015*($H2015+1)/100/12),$K2014))))</f>
      </c>
      <c r="L2015" s="43">
        <f>IF($I2015=0,0,$J2015*$H2015/100/12)</f>
      </c>
      <c r="M2015" s="43">
        <f>IF($I2015=0,0,IF(OR(INDEX(DarlOhneTilgung,5)=1,AND(INDEX(DarlTilgStart,5)&gt;0,$E2015&lt;INDEX(DarlTilgStart,5))),0,MIN(MAX(0,$K2015-$L2015),$J2015)))</f>
      </c>
      <c r="N2015" s="43">
        <f>IF($I2015=0,0,MIN(SUMIFS(SondBetrag,SondDarl,5,SondDatum,"&gt;="&amp;$E2015,SondDatum,"&lt;="&amp;EOMONTH($E2015,0)),$J2015-$M2015))</f>
      </c>
      <c r="O2015" s="43">
        <f>IF($I2015=0,0,INDEX(DarlErsatzRate,5))</f>
      </c>
      <c r="P2015" s="43">
        <f>IF($I2015=0,0,$Q2014*INDEX(DarlErsatzZins,5))</f>
      </c>
      <c r="Q2015" s="43">
        <f>IF($I2015=0,0,$Q2014+$P2015+$O2015)</f>
      </c>
      <c r="R2015" s="43">
        <f>IF($I2015=0,0,$J2015-$M2015-$N2015)</f>
      </c>
    </row>
    <row r="2016">
      <c r="A2016"/>
      <c r="B2016">
        <v>5</v>
      </c>
      <c r="C2016" s="43">
        <f>INDEX(DarlObj,5)</f>
      </c>
      <c r="D2016">
        <v>93</v>
      </c>
      <c r="E2016" s="51">
        <f>IF(INDEX(DarlBelegt,5)=0,0,EOMONTH(INDEX(DarlAuszahlung,5),92)+1)</f>
      </c>
      <c r="F2016" s="43">
        <f>IF($E2016=0,0,YEAR($E2016))</f>
      </c>
      <c r="G2016" s="43">
        <f>IF(INDEX(DarlBindung,5)="",1,IF($E2016&lt;=INDEX(DarlBindung,5),1,0))</f>
      </c>
      <c r="H2016" s="43">
        <f>IF($G2016=1,INDEX(DarlSollzins,5),INDEX(DarlAnschluss,5))</f>
      </c>
      <c r="I2016" s="43">
        <f>IF(INDEX(DarlBelegt,5)=0,0,IF(INDEX(DarlOhneTilgung,5)=1,IF(INDEX(DarlBindung,5)="",1,$G2016),IF($J2016&gt;0.005,1,0)))</f>
      </c>
      <c r="J2016" s="43">
        <f>IF($I2015=0,0,$R2015)</f>
      </c>
      <c r="K2016" s="43">
        <f>IF($I2016=0,0,IF(INDEX(DarlOhneTilgung,5)=1,0,IF(AND(INDEX(DarlTilgStart,5)&gt;0,$E2016=INDEX(DarlTilgStart,5)),$J2016*($H2016+INDEX(DarlTilgung,5))/100/12,IF(AND($G2016=0,$G2015=1),MAX($K2015,$J2016*($H2016+1)/100/12),$K2015))))</f>
      </c>
      <c r="L2016" s="43">
        <f>IF($I2016=0,0,$J2016*$H2016/100/12)</f>
      </c>
      <c r="M2016" s="43">
        <f>IF($I2016=0,0,IF(OR(INDEX(DarlOhneTilgung,5)=1,AND(INDEX(DarlTilgStart,5)&gt;0,$E2016&lt;INDEX(DarlTilgStart,5))),0,MIN(MAX(0,$K2016-$L2016),$J2016)))</f>
      </c>
      <c r="N2016" s="43">
        <f>IF($I2016=0,0,MIN(SUMIFS(SondBetrag,SondDarl,5,SondDatum,"&gt;="&amp;$E2016,SondDatum,"&lt;="&amp;EOMONTH($E2016,0)),$J2016-$M2016))</f>
      </c>
      <c r="O2016" s="43">
        <f>IF($I2016=0,0,INDEX(DarlErsatzRate,5))</f>
      </c>
      <c r="P2016" s="43">
        <f>IF($I2016=0,0,$Q2015*INDEX(DarlErsatzZins,5))</f>
      </c>
      <c r="Q2016" s="43">
        <f>IF($I2016=0,0,$Q2015+$P2016+$O2016)</f>
      </c>
      <c r="R2016" s="43">
        <f>IF($I2016=0,0,$J2016-$M2016-$N2016)</f>
      </c>
    </row>
    <row r="2017">
      <c r="A2017"/>
      <c r="B2017">
        <v>5</v>
      </c>
      <c r="C2017" s="43">
        <f>INDEX(DarlObj,5)</f>
      </c>
      <c r="D2017">
        <v>94</v>
      </c>
      <c r="E2017" s="51">
        <f>IF(INDEX(DarlBelegt,5)=0,0,EOMONTH(INDEX(DarlAuszahlung,5),93)+1)</f>
      </c>
      <c r="F2017" s="43">
        <f>IF($E2017=0,0,YEAR($E2017))</f>
      </c>
      <c r="G2017" s="43">
        <f>IF(INDEX(DarlBindung,5)="",1,IF($E2017&lt;=INDEX(DarlBindung,5),1,0))</f>
      </c>
      <c r="H2017" s="43">
        <f>IF($G2017=1,INDEX(DarlSollzins,5),INDEX(DarlAnschluss,5))</f>
      </c>
      <c r="I2017" s="43">
        <f>IF(INDEX(DarlBelegt,5)=0,0,IF(INDEX(DarlOhneTilgung,5)=1,IF(INDEX(DarlBindung,5)="",1,$G2017),IF($J2017&gt;0.005,1,0)))</f>
      </c>
      <c r="J2017" s="43">
        <f>IF($I2016=0,0,$R2016)</f>
      </c>
      <c r="K2017" s="43">
        <f>IF($I2017=0,0,IF(INDEX(DarlOhneTilgung,5)=1,0,IF(AND(INDEX(DarlTilgStart,5)&gt;0,$E2017=INDEX(DarlTilgStart,5)),$J2017*($H2017+INDEX(DarlTilgung,5))/100/12,IF(AND($G2017=0,$G2016=1),MAX($K2016,$J2017*($H2017+1)/100/12),$K2016))))</f>
      </c>
      <c r="L2017" s="43">
        <f>IF($I2017=0,0,$J2017*$H2017/100/12)</f>
      </c>
      <c r="M2017" s="43">
        <f>IF($I2017=0,0,IF(OR(INDEX(DarlOhneTilgung,5)=1,AND(INDEX(DarlTilgStart,5)&gt;0,$E2017&lt;INDEX(DarlTilgStart,5))),0,MIN(MAX(0,$K2017-$L2017),$J2017)))</f>
      </c>
      <c r="N2017" s="43">
        <f>IF($I2017=0,0,MIN(SUMIFS(SondBetrag,SondDarl,5,SondDatum,"&gt;="&amp;$E2017,SondDatum,"&lt;="&amp;EOMONTH($E2017,0)),$J2017-$M2017))</f>
      </c>
      <c r="O2017" s="43">
        <f>IF($I2017=0,0,INDEX(DarlErsatzRate,5))</f>
      </c>
      <c r="P2017" s="43">
        <f>IF($I2017=0,0,$Q2016*INDEX(DarlErsatzZins,5))</f>
      </c>
      <c r="Q2017" s="43">
        <f>IF($I2017=0,0,$Q2016+$P2017+$O2017)</f>
      </c>
      <c r="R2017" s="43">
        <f>IF($I2017=0,0,$J2017-$M2017-$N2017)</f>
      </c>
    </row>
    <row r="2018">
      <c r="A2018"/>
      <c r="B2018">
        <v>5</v>
      </c>
      <c r="C2018" s="43">
        <f>INDEX(DarlObj,5)</f>
      </c>
      <c r="D2018">
        <v>95</v>
      </c>
      <c r="E2018" s="51">
        <f>IF(INDEX(DarlBelegt,5)=0,0,EOMONTH(INDEX(DarlAuszahlung,5),94)+1)</f>
      </c>
      <c r="F2018" s="43">
        <f>IF($E2018=0,0,YEAR($E2018))</f>
      </c>
      <c r="G2018" s="43">
        <f>IF(INDEX(DarlBindung,5)="",1,IF($E2018&lt;=INDEX(DarlBindung,5),1,0))</f>
      </c>
      <c r="H2018" s="43">
        <f>IF($G2018=1,INDEX(DarlSollzins,5),INDEX(DarlAnschluss,5))</f>
      </c>
      <c r="I2018" s="43">
        <f>IF(INDEX(DarlBelegt,5)=0,0,IF(INDEX(DarlOhneTilgung,5)=1,IF(INDEX(DarlBindung,5)="",1,$G2018),IF($J2018&gt;0.005,1,0)))</f>
      </c>
      <c r="J2018" s="43">
        <f>IF($I2017=0,0,$R2017)</f>
      </c>
      <c r="K2018" s="43">
        <f>IF($I2018=0,0,IF(INDEX(DarlOhneTilgung,5)=1,0,IF(AND(INDEX(DarlTilgStart,5)&gt;0,$E2018=INDEX(DarlTilgStart,5)),$J2018*($H2018+INDEX(DarlTilgung,5))/100/12,IF(AND($G2018=0,$G2017=1),MAX($K2017,$J2018*($H2018+1)/100/12),$K2017))))</f>
      </c>
      <c r="L2018" s="43">
        <f>IF($I2018=0,0,$J2018*$H2018/100/12)</f>
      </c>
      <c r="M2018" s="43">
        <f>IF($I2018=0,0,IF(OR(INDEX(DarlOhneTilgung,5)=1,AND(INDEX(DarlTilgStart,5)&gt;0,$E2018&lt;INDEX(DarlTilgStart,5))),0,MIN(MAX(0,$K2018-$L2018),$J2018)))</f>
      </c>
      <c r="N2018" s="43">
        <f>IF($I2018=0,0,MIN(SUMIFS(SondBetrag,SondDarl,5,SondDatum,"&gt;="&amp;$E2018,SondDatum,"&lt;="&amp;EOMONTH($E2018,0)),$J2018-$M2018))</f>
      </c>
      <c r="O2018" s="43">
        <f>IF($I2018=0,0,INDEX(DarlErsatzRate,5))</f>
      </c>
      <c r="P2018" s="43">
        <f>IF($I2018=0,0,$Q2017*INDEX(DarlErsatzZins,5))</f>
      </c>
      <c r="Q2018" s="43">
        <f>IF($I2018=0,0,$Q2017+$P2018+$O2018)</f>
      </c>
      <c r="R2018" s="43">
        <f>IF($I2018=0,0,$J2018-$M2018-$N2018)</f>
      </c>
    </row>
    <row r="2019">
      <c r="A2019"/>
      <c r="B2019">
        <v>5</v>
      </c>
      <c r="C2019" s="43">
        <f>INDEX(DarlObj,5)</f>
      </c>
      <c r="D2019">
        <v>96</v>
      </c>
      <c r="E2019" s="51">
        <f>IF(INDEX(DarlBelegt,5)=0,0,EOMONTH(INDEX(DarlAuszahlung,5),95)+1)</f>
      </c>
      <c r="F2019" s="43">
        <f>IF($E2019=0,0,YEAR($E2019))</f>
      </c>
      <c r="G2019" s="43">
        <f>IF(INDEX(DarlBindung,5)="",1,IF($E2019&lt;=INDEX(DarlBindung,5),1,0))</f>
      </c>
      <c r="H2019" s="43">
        <f>IF($G2019=1,INDEX(DarlSollzins,5),INDEX(DarlAnschluss,5))</f>
      </c>
      <c r="I2019" s="43">
        <f>IF(INDEX(DarlBelegt,5)=0,0,IF(INDEX(DarlOhneTilgung,5)=1,IF(INDEX(DarlBindung,5)="",1,$G2019),IF($J2019&gt;0.005,1,0)))</f>
      </c>
      <c r="J2019" s="43">
        <f>IF($I2018=0,0,$R2018)</f>
      </c>
      <c r="K2019" s="43">
        <f>IF($I2019=0,0,IF(INDEX(DarlOhneTilgung,5)=1,0,IF(AND(INDEX(DarlTilgStart,5)&gt;0,$E2019=INDEX(DarlTilgStart,5)),$J2019*($H2019+INDEX(DarlTilgung,5))/100/12,IF(AND($G2019=0,$G2018=1),MAX($K2018,$J2019*($H2019+1)/100/12),$K2018))))</f>
      </c>
      <c r="L2019" s="43">
        <f>IF($I2019=0,0,$J2019*$H2019/100/12)</f>
      </c>
      <c r="M2019" s="43">
        <f>IF($I2019=0,0,IF(OR(INDEX(DarlOhneTilgung,5)=1,AND(INDEX(DarlTilgStart,5)&gt;0,$E2019&lt;INDEX(DarlTilgStart,5))),0,MIN(MAX(0,$K2019-$L2019),$J2019)))</f>
      </c>
      <c r="N2019" s="43">
        <f>IF($I2019=0,0,MIN(SUMIFS(SondBetrag,SondDarl,5,SondDatum,"&gt;="&amp;$E2019,SondDatum,"&lt;="&amp;EOMONTH($E2019,0)),$J2019-$M2019))</f>
      </c>
      <c r="O2019" s="43">
        <f>IF($I2019=0,0,INDEX(DarlErsatzRate,5))</f>
      </c>
      <c r="P2019" s="43">
        <f>IF($I2019=0,0,$Q2018*INDEX(DarlErsatzZins,5))</f>
      </c>
      <c r="Q2019" s="43">
        <f>IF($I2019=0,0,$Q2018+$P2019+$O2019)</f>
      </c>
      <c r="R2019" s="43">
        <f>IF($I2019=0,0,$J2019-$M2019-$N2019)</f>
      </c>
    </row>
    <row r="2020">
      <c r="A2020"/>
      <c r="B2020">
        <v>5</v>
      </c>
      <c r="C2020" s="43">
        <f>INDEX(DarlObj,5)</f>
      </c>
      <c r="D2020">
        <v>97</v>
      </c>
      <c r="E2020" s="51">
        <f>IF(INDEX(DarlBelegt,5)=0,0,EOMONTH(INDEX(DarlAuszahlung,5),96)+1)</f>
      </c>
      <c r="F2020" s="43">
        <f>IF($E2020=0,0,YEAR($E2020))</f>
      </c>
      <c r="G2020" s="43">
        <f>IF(INDEX(DarlBindung,5)="",1,IF($E2020&lt;=INDEX(DarlBindung,5),1,0))</f>
      </c>
      <c r="H2020" s="43">
        <f>IF($G2020=1,INDEX(DarlSollzins,5),INDEX(DarlAnschluss,5))</f>
      </c>
      <c r="I2020" s="43">
        <f>IF(INDEX(DarlBelegt,5)=0,0,IF(INDEX(DarlOhneTilgung,5)=1,IF(INDEX(DarlBindung,5)="",1,$G2020),IF($J2020&gt;0.005,1,0)))</f>
      </c>
      <c r="J2020" s="43">
        <f>IF($I2019=0,0,$R2019)</f>
      </c>
      <c r="K2020" s="43">
        <f>IF($I2020=0,0,IF(INDEX(DarlOhneTilgung,5)=1,0,IF(AND(INDEX(DarlTilgStart,5)&gt;0,$E2020=INDEX(DarlTilgStart,5)),$J2020*($H2020+INDEX(DarlTilgung,5))/100/12,IF(AND($G2020=0,$G2019=1),MAX($K2019,$J2020*($H2020+1)/100/12),$K2019))))</f>
      </c>
      <c r="L2020" s="43">
        <f>IF($I2020=0,0,$J2020*$H2020/100/12)</f>
      </c>
      <c r="M2020" s="43">
        <f>IF($I2020=0,0,IF(OR(INDEX(DarlOhneTilgung,5)=1,AND(INDEX(DarlTilgStart,5)&gt;0,$E2020&lt;INDEX(DarlTilgStart,5))),0,MIN(MAX(0,$K2020-$L2020),$J2020)))</f>
      </c>
      <c r="N2020" s="43">
        <f>IF($I2020=0,0,MIN(SUMIFS(SondBetrag,SondDarl,5,SondDatum,"&gt;="&amp;$E2020,SondDatum,"&lt;="&amp;EOMONTH($E2020,0)),$J2020-$M2020))</f>
      </c>
      <c r="O2020" s="43">
        <f>IF($I2020=0,0,INDEX(DarlErsatzRate,5))</f>
      </c>
      <c r="P2020" s="43">
        <f>IF($I2020=0,0,$Q2019*INDEX(DarlErsatzZins,5))</f>
      </c>
      <c r="Q2020" s="43">
        <f>IF($I2020=0,0,$Q2019+$P2020+$O2020)</f>
      </c>
      <c r="R2020" s="43">
        <f>IF($I2020=0,0,$J2020-$M2020-$N2020)</f>
      </c>
    </row>
    <row r="2021">
      <c r="A2021"/>
      <c r="B2021">
        <v>5</v>
      </c>
      <c r="C2021" s="43">
        <f>INDEX(DarlObj,5)</f>
      </c>
      <c r="D2021">
        <v>98</v>
      </c>
      <c r="E2021" s="51">
        <f>IF(INDEX(DarlBelegt,5)=0,0,EOMONTH(INDEX(DarlAuszahlung,5),97)+1)</f>
      </c>
      <c r="F2021" s="43">
        <f>IF($E2021=0,0,YEAR($E2021))</f>
      </c>
      <c r="G2021" s="43">
        <f>IF(INDEX(DarlBindung,5)="",1,IF($E2021&lt;=INDEX(DarlBindung,5),1,0))</f>
      </c>
      <c r="H2021" s="43">
        <f>IF($G2021=1,INDEX(DarlSollzins,5),INDEX(DarlAnschluss,5))</f>
      </c>
      <c r="I2021" s="43">
        <f>IF(INDEX(DarlBelegt,5)=0,0,IF(INDEX(DarlOhneTilgung,5)=1,IF(INDEX(DarlBindung,5)="",1,$G2021),IF($J2021&gt;0.005,1,0)))</f>
      </c>
      <c r="J2021" s="43">
        <f>IF($I2020=0,0,$R2020)</f>
      </c>
      <c r="K2021" s="43">
        <f>IF($I2021=0,0,IF(INDEX(DarlOhneTilgung,5)=1,0,IF(AND(INDEX(DarlTilgStart,5)&gt;0,$E2021=INDEX(DarlTilgStart,5)),$J2021*($H2021+INDEX(DarlTilgung,5))/100/12,IF(AND($G2021=0,$G2020=1),MAX($K2020,$J2021*($H2021+1)/100/12),$K2020))))</f>
      </c>
      <c r="L2021" s="43">
        <f>IF($I2021=0,0,$J2021*$H2021/100/12)</f>
      </c>
      <c r="M2021" s="43">
        <f>IF($I2021=0,0,IF(OR(INDEX(DarlOhneTilgung,5)=1,AND(INDEX(DarlTilgStart,5)&gt;0,$E2021&lt;INDEX(DarlTilgStart,5))),0,MIN(MAX(0,$K2021-$L2021),$J2021)))</f>
      </c>
      <c r="N2021" s="43">
        <f>IF($I2021=0,0,MIN(SUMIFS(SondBetrag,SondDarl,5,SondDatum,"&gt;="&amp;$E2021,SondDatum,"&lt;="&amp;EOMONTH($E2021,0)),$J2021-$M2021))</f>
      </c>
      <c r="O2021" s="43">
        <f>IF($I2021=0,0,INDEX(DarlErsatzRate,5))</f>
      </c>
      <c r="P2021" s="43">
        <f>IF($I2021=0,0,$Q2020*INDEX(DarlErsatzZins,5))</f>
      </c>
      <c r="Q2021" s="43">
        <f>IF($I2021=0,0,$Q2020+$P2021+$O2021)</f>
      </c>
      <c r="R2021" s="43">
        <f>IF($I2021=0,0,$J2021-$M2021-$N2021)</f>
      </c>
    </row>
    <row r="2022">
      <c r="A2022"/>
      <c r="B2022">
        <v>5</v>
      </c>
      <c r="C2022" s="43">
        <f>INDEX(DarlObj,5)</f>
      </c>
      <c r="D2022">
        <v>99</v>
      </c>
      <c r="E2022" s="51">
        <f>IF(INDEX(DarlBelegt,5)=0,0,EOMONTH(INDEX(DarlAuszahlung,5),98)+1)</f>
      </c>
      <c r="F2022" s="43">
        <f>IF($E2022=0,0,YEAR($E2022))</f>
      </c>
      <c r="G2022" s="43">
        <f>IF(INDEX(DarlBindung,5)="",1,IF($E2022&lt;=INDEX(DarlBindung,5),1,0))</f>
      </c>
      <c r="H2022" s="43">
        <f>IF($G2022=1,INDEX(DarlSollzins,5),INDEX(DarlAnschluss,5))</f>
      </c>
      <c r="I2022" s="43">
        <f>IF(INDEX(DarlBelegt,5)=0,0,IF(INDEX(DarlOhneTilgung,5)=1,IF(INDEX(DarlBindung,5)="",1,$G2022),IF($J2022&gt;0.005,1,0)))</f>
      </c>
      <c r="J2022" s="43">
        <f>IF($I2021=0,0,$R2021)</f>
      </c>
      <c r="K2022" s="43">
        <f>IF($I2022=0,0,IF(INDEX(DarlOhneTilgung,5)=1,0,IF(AND(INDEX(DarlTilgStart,5)&gt;0,$E2022=INDEX(DarlTilgStart,5)),$J2022*($H2022+INDEX(DarlTilgung,5))/100/12,IF(AND($G2022=0,$G2021=1),MAX($K2021,$J2022*($H2022+1)/100/12),$K2021))))</f>
      </c>
      <c r="L2022" s="43">
        <f>IF($I2022=0,0,$J2022*$H2022/100/12)</f>
      </c>
      <c r="M2022" s="43">
        <f>IF($I2022=0,0,IF(OR(INDEX(DarlOhneTilgung,5)=1,AND(INDEX(DarlTilgStart,5)&gt;0,$E2022&lt;INDEX(DarlTilgStart,5))),0,MIN(MAX(0,$K2022-$L2022),$J2022)))</f>
      </c>
      <c r="N2022" s="43">
        <f>IF($I2022=0,0,MIN(SUMIFS(SondBetrag,SondDarl,5,SondDatum,"&gt;="&amp;$E2022,SondDatum,"&lt;="&amp;EOMONTH($E2022,0)),$J2022-$M2022))</f>
      </c>
      <c r="O2022" s="43">
        <f>IF($I2022=0,0,INDEX(DarlErsatzRate,5))</f>
      </c>
      <c r="P2022" s="43">
        <f>IF($I2022=0,0,$Q2021*INDEX(DarlErsatzZins,5))</f>
      </c>
      <c r="Q2022" s="43">
        <f>IF($I2022=0,0,$Q2021+$P2022+$O2022)</f>
      </c>
      <c r="R2022" s="43">
        <f>IF($I2022=0,0,$J2022-$M2022-$N2022)</f>
      </c>
    </row>
    <row r="2023">
      <c r="A2023"/>
      <c r="B2023">
        <v>5</v>
      </c>
      <c r="C2023" s="43">
        <f>INDEX(DarlObj,5)</f>
      </c>
      <c r="D2023">
        <v>100</v>
      </c>
      <c r="E2023" s="51">
        <f>IF(INDEX(DarlBelegt,5)=0,0,EOMONTH(INDEX(DarlAuszahlung,5),99)+1)</f>
      </c>
      <c r="F2023" s="43">
        <f>IF($E2023=0,0,YEAR($E2023))</f>
      </c>
      <c r="G2023" s="43">
        <f>IF(INDEX(DarlBindung,5)="",1,IF($E2023&lt;=INDEX(DarlBindung,5),1,0))</f>
      </c>
      <c r="H2023" s="43">
        <f>IF($G2023=1,INDEX(DarlSollzins,5),INDEX(DarlAnschluss,5))</f>
      </c>
      <c r="I2023" s="43">
        <f>IF(INDEX(DarlBelegt,5)=0,0,IF(INDEX(DarlOhneTilgung,5)=1,IF(INDEX(DarlBindung,5)="",1,$G2023),IF($J2023&gt;0.005,1,0)))</f>
      </c>
      <c r="J2023" s="43">
        <f>IF($I2022=0,0,$R2022)</f>
      </c>
      <c r="K2023" s="43">
        <f>IF($I2023=0,0,IF(INDEX(DarlOhneTilgung,5)=1,0,IF(AND(INDEX(DarlTilgStart,5)&gt;0,$E2023=INDEX(DarlTilgStart,5)),$J2023*($H2023+INDEX(DarlTilgung,5))/100/12,IF(AND($G2023=0,$G2022=1),MAX($K2022,$J2023*($H2023+1)/100/12),$K2022))))</f>
      </c>
      <c r="L2023" s="43">
        <f>IF($I2023=0,0,$J2023*$H2023/100/12)</f>
      </c>
      <c r="M2023" s="43">
        <f>IF($I2023=0,0,IF(OR(INDEX(DarlOhneTilgung,5)=1,AND(INDEX(DarlTilgStart,5)&gt;0,$E2023&lt;INDEX(DarlTilgStart,5))),0,MIN(MAX(0,$K2023-$L2023),$J2023)))</f>
      </c>
      <c r="N2023" s="43">
        <f>IF($I2023=0,0,MIN(SUMIFS(SondBetrag,SondDarl,5,SondDatum,"&gt;="&amp;$E2023,SondDatum,"&lt;="&amp;EOMONTH($E2023,0)),$J2023-$M2023))</f>
      </c>
      <c r="O2023" s="43">
        <f>IF($I2023=0,0,INDEX(DarlErsatzRate,5))</f>
      </c>
      <c r="P2023" s="43">
        <f>IF($I2023=0,0,$Q2022*INDEX(DarlErsatzZins,5))</f>
      </c>
      <c r="Q2023" s="43">
        <f>IF($I2023=0,0,$Q2022+$P2023+$O2023)</f>
      </c>
      <c r="R2023" s="43">
        <f>IF($I2023=0,0,$J2023-$M2023-$N2023)</f>
      </c>
    </row>
    <row r="2024">
      <c r="A2024"/>
      <c r="B2024">
        <v>5</v>
      </c>
      <c r="C2024" s="43">
        <f>INDEX(DarlObj,5)</f>
      </c>
      <c r="D2024">
        <v>101</v>
      </c>
      <c r="E2024" s="51">
        <f>IF(INDEX(DarlBelegt,5)=0,0,EOMONTH(INDEX(DarlAuszahlung,5),100)+1)</f>
      </c>
      <c r="F2024" s="43">
        <f>IF($E2024=0,0,YEAR($E2024))</f>
      </c>
      <c r="G2024" s="43">
        <f>IF(INDEX(DarlBindung,5)="",1,IF($E2024&lt;=INDEX(DarlBindung,5),1,0))</f>
      </c>
      <c r="H2024" s="43">
        <f>IF($G2024=1,INDEX(DarlSollzins,5),INDEX(DarlAnschluss,5))</f>
      </c>
      <c r="I2024" s="43">
        <f>IF(INDEX(DarlBelegt,5)=0,0,IF(INDEX(DarlOhneTilgung,5)=1,IF(INDEX(DarlBindung,5)="",1,$G2024),IF($J2024&gt;0.005,1,0)))</f>
      </c>
      <c r="J2024" s="43">
        <f>IF($I2023=0,0,$R2023)</f>
      </c>
      <c r="K2024" s="43">
        <f>IF($I2024=0,0,IF(INDEX(DarlOhneTilgung,5)=1,0,IF(AND(INDEX(DarlTilgStart,5)&gt;0,$E2024=INDEX(DarlTilgStart,5)),$J2024*($H2024+INDEX(DarlTilgung,5))/100/12,IF(AND($G2024=0,$G2023=1),MAX($K2023,$J2024*($H2024+1)/100/12),$K2023))))</f>
      </c>
      <c r="L2024" s="43">
        <f>IF($I2024=0,0,$J2024*$H2024/100/12)</f>
      </c>
      <c r="M2024" s="43">
        <f>IF($I2024=0,0,IF(OR(INDEX(DarlOhneTilgung,5)=1,AND(INDEX(DarlTilgStart,5)&gt;0,$E2024&lt;INDEX(DarlTilgStart,5))),0,MIN(MAX(0,$K2024-$L2024),$J2024)))</f>
      </c>
      <c r="N2024" s="43">
        <f>IF($I2024=0,0,MIN(SUMIFS(SondBetrag,SondDarl,5,SondDatum,"&gt;="&amp;$E2024,SondDatum,"&lt;="&amp;EOMONTH($E2024,0)),$J2024-$M2024))</f>
      </c>
      <c r="O2024" s="43">
        <f>IF($I2024=0,0,INDEX(DarlErsatzRate,5))</f>
      </c>
      <c r="P2024" s="43">
        <f>IF($I2024=0,0,$Q2023*INDEX(DarlErsatzZins,5))</f>
      </c>
      <c r="Q2024" s="43">
        <f>IF($I2024=0,0,$Q2023+$P2024+$O2024)</f>
      </c>
      <c r="R2024" s="43">
        <f>IF($I2024=0,0,$J2024-$M2024-$N2024)</f>
      </c>
    </row>
    <row r="2025">
      <c r="A2025"/>
      <c r="B2025">
        <v>5</v>
      </c>
      <c r="C2025" s="43">
        <f>INDEX(DarlObj,5)</f>
      </c>
      <c r="D2025">
        <v>102</v>
      </c>
      <c r="E2025" s="51">
        <f>IF(INDEX(DarlBelegt,5)=0,0,EOMONTH(INDEX(DarlAuszahlung,5),101)+1)</f>
      </c>
      <c r="F2025" s="43">
        <f>IF($E2025=0,0,YEAR($E2025))</f>
      </c>
      <c r="G2025" s="43">
        <f>IF(INDEX(DarlBindung,5)="",1,IF($E2025&lt;=INDEX(DarlBindung,5),1,0))</f>
      </c>
      <c r="H2025" s="43">
        <f>IF($G2025=1,INDEX(DarlSollzins,5),INDEX(DarlAnschluss,5))</f>
      </c>
      <c r="I2025" s="43">
        <f>IF(INDEX(DarlBelegt,5)=0,0,IF(INDEX(DarlOhneTilgung,5)=1,IF(INDEX(DarlBindung,5)="",1,$G2025),IF($J2025&gt;0.005,1,0)))</f>
      </c>
      <c r="J2025" s="43">
        <f>IF($I2024=0,0,$R2024)</f>
      </c>
      <c r="K2025" s="43">
        <f>IF($I2025=0,0,IF(INDEX(DarlOhneTilgung,5)=1,0,IF(AND(INDEX(DarlTilgStart,5)&gt;0,$E2025=INDEX(DarlTilgStart,5)),$J2025*($H2025+INDEX(DarlTilgung,5))/100/12,IF(AND($G2025=0,$G2024=1),MAX($K2024,$J2025*($H2025+1)/100/12),$K2024))))</f>
      </c>
      <c r="L2025" s="43">
        <f>IF($I2025=0,0,$J2025*$H2025/100/12)</f>
      </c>
      <c r="M2025" s="43">
        <f>IF($I2025=0,0,IF(OR(INDEX(DarlOhneTilgung,5)=1,AND(INDEX(DarlTilgStart,5)&gt;0,$E2025&lt;INDEX(DarlTilgStart,5))),0,MIN(MAX(0,$K2025-$L2025),$J2025)))</f>
      </c>
      <c r="N2025" s="43">
        <f>IF($I2025=0,0,MIN(SUMIFS(SondBetrag,SondDarl,5,SondDatum,"&gt;="&amp;$E2025,SondDatum,"&lt;="&amp;EOMONTH($E2025,0)),$J2025-$M2025))</f>
      </c>
      <c r="O2025" s="43">
        <f>IF($I2025=0,0,INDEX(DarlErsatzRate,5))</f>
      </c>
      <c r="P2025" s="43">
        <f>IF($I2025=0,0,$Q2024*INDEX(DarlErsatzZins,5))</f>
      </c>
      <c r="Q2025" s="43">
        <f>IF($I2025=0,0,$Q2024+$P2025+$O2025)</f>
      </c>
      <c r="R2025" s="43">
        <f>IF($I2025=0,0,$J2025-$M2025-$N2025)</f>
      </c>
    </row>
    <row r="2026">
      <c r="A2026"/>
      <c r="B2026">
        <v>5</v>
      </c>
      <c r="C2026" s="43">
        <f>INDEX(DarlObj,5)</f>
      </c>
      <c r="D2026">
        <v>103</v>
      </c>
      <c r="E2026" s="51">
        <f>IF(INDEX(DarlBelegt,5)=0,0,EOMONTH(INDEX(DarlAuszahlung,5),102)+1)</f>
      </c>
      <c r="F2026" s="43">
        <f>IF($E2026=0,0,YEAR($E2026))</f>
      </c>
      <c r="G2026" s="43">
        <f>IF(INDEX(DarlBindung,5)="",1,IF($E2026&lt;=INDEX(DarlBindung,5),1,0))</f>
      </c>
      <c r="H2026" s="43">
        <f>IF($G2026=1,INDEX(DarlSollzins,5),INDEX(DarlAnschluss,5))</f>
      </c>
      <c r="I2026" s="43">
        <f>IF(INDEX(DarlBelegt,5)=0,0,IF(INDEX(DarlOhneTilgung,5)=1,IF(INDEX(DarlBindung,5)="",1,$G2026),IF($J2026&gt;0.005,1,0)))</f>
      </c>
      <c r="J2026" s="43">
        <f>IF($I2025=0,0,$R2025)</f>
      </c>
      <c r="K2026" s="43">
        <f>IF($I2026=0,0,IF(INDEX(DarlOhneTilgung,5)=1,0,IF(AND(INDEX(DarlTilgStart,5)&gt;0,$E2026=INDEX(DarlTilgStart,5)),$J2026*($H2026+INDEX(DarlTilgung,5))/100/12,IF(AND($G2026=0,$G2025=1),MAX($K2025,$J2026*($H2026+1)/100/12),$K2025))))</f>
      </c>
      <c r="L2026" s="43">
        <f>IF($I2026=0,0,$J2026*$H2026/100/12)</f>
      </c>
      <c r="M2026" s="43">
        <f>IF($I2026=0,0,IF(OR(INDEX(DarlOhneTilgung,5)=1,AND(INDEX(DarlTilgStart,5)&gt;0,$E2026&lt;INDEX(DarlTilgStart,5))),0,MIN(MAX(0,$K2026-$L2026),$J2026)))</f>
      </c>
      <c r="N2026" s="43">
        <f>IF($I2026=0,0,MIN(SUMIFS(SondBetrag,SondDarl,5,SondDatum,"&gt;="&amp;$E2026,SondDatum,"&lt;="&amp;EOMONTH($E2026,0)),$J2026-$M2026))</f>
      </c>
      <c r="O2026" s="43">
        <f>IF($I2026=0,0,INDEX(DarlErsatzRate,5))</f>
      </c>
      <c r="P2026" s="43">
        <f>IF($I2026=0,0,$Q2025*INDEX(DarlErsatzZins,5))</f>
      </c>
      <c r="Q2026" s="43">
        <f>IF($I2026=0,0,$Q2025+$P2026+$O2026)</f>
      </c>
      <c r="R2026" s="43">
        <f>IF($I2026=0,0,$J2026-$M2026-$N2026)</f>
      </c>
    </row>
    <row r="2027">
      <c r="A2027"/>
      <c r="B2027">
        <v>5</v>
      </c>
      <c r="C2027" s="43">
        <f>INDEX(DarlObj,5)</f>
      </c>
      <c r="D2027">
        <v>104</v>
      </c>
      <c r="E2027" s="51">
        <f>IF(INDEX(DarlBelegt,5)=0,0,EOMONTH(INDEX(DarlAuszahlung,5),103)+1)</f>
      </c>
      <c r="F2027" s="43">
        <f>IF($E2027=0,0,YEAR($E2027))</f>
      </c>
      <c r="G2027" s="43">
        <f>IF(INDEX(DarlBindung,5)="",1,IF($E2027&lt;=INDEX(DarlBindung,5),1,0))</f>
      </c>
      <c r="H2027" s="43">
        <f>IF($G2027=1,INDEX(DarlSollzins,5),INDEX(DarlAnschluss,5))</f>
      </c>
      <c r="I2027" s="43">
        <f>IF(INDEX(DarlBelegt,5)=0,0,IF(INDEX(DarlOhneTilgung,5)=1,IF(INDEX(DarlBindung,5)="",1,$G2027),IF($J2027&gt;0.005,1,0)))</f>
      </c>
      <c r="J2027" s="43">
        <f>IF($I2026=0,0,$R2026)</f>
      </c>
      <c r="K2027" s="43">
        <f>IF($I2027=0,0,IF(INDEX(DarlOhneTilgung,5)=1,0,IF(AND(INDEX(DarlTilgStart,5)&gt;0,$E2027=INDEX(DarlTilgStart,5)),$J2027*($H2027+INDEX(DarlTilgung,5))/100/12,IF(AND($G2027=0,$G2026=1),MAX($K2026,$J2027*($H2027+1)/100/12),$K2026))))</f>
      </c>
      <c r="L2027" s="43">
        <f>IF($I2027=0,0,$J2027*$H2027/100/12)</f>
      </c>
      <c r="M2027" s="43">
        <f>IF($I2027=0,0,IF(OR(INDEX(DarlOhneTilgung,5)=1,AND(INDEX(DarlTilgStart,5)&gt;0,$E2027&lt;INDEX(DarlTilgStart,5))),0,MIN(MAX(0,$K2027-$L2027),$J2027)))</f>
      </c>
      <c r="N2027" s="43">
        <f>IF($I2027=0,0,MIN(SUMIFS(SondBetrag,SondDarl,5,SondDatum,"&gt;="&amp;$E2027,SondDatum,"&lt;="&amp;EOMONTH($E2027,0)),$J2027-$M2027))</f>
      </c>
      <c r="O2027" s="43">
        <f>IF($I2027=0,0,INDEX(DarlErsatzRate,5))</f>
      </c>
      <c r="P2027" s="43">
        <f>IF($I2027=0,0,$Q2026*INDEX(DarlErsatzZins,5))</f>
      </c>
      <c r="Q2027" s="43">
        <f>IF($I2027=0,0,$Q2026+$P2027+$O2027)</f>
      </c>
      <c r="R2027" s="43">
        <f>IF($I2027=0,0,$J2027-$M2027-$N2027)</f>
      </c>
    </row>
    <row r="2028">
      <c r="A2028"/>
      <c r="B2028">
        <v>5</v>
      </c>
      <c r="C2028" s="43">
        <f>INDEX(DarlObj,5)</f>
      </c>
      <c r="D2028">
        <v>105</v>
      </c>
      <c r="E2028" s="51">
        <f>IF(INDEX(DarlBelegt,5)=0,0,EOMONTH(INDEX(DarlAuszahlung,5),104)+1)</f>
      </c>
      <c r="F2028" s="43">
        <f>IF($E2028=0,0,YEAR($E2028))</f>
      </c>
      <c r="G2028" s="43">
        <f>IF(INDEX(DarlBindung,5)="",1,IF($E2028&lt;=INDEX(DarlBindung,5),1,0))</f>
      </c>
      <c r="H2028" s="43">
        <f>IF($G2028=1,INDEX(DarlSollzins,5),INDEX(DarlAnschluss,5))</f>
      </c>
      <c r="I2028" s="43">
        <f>IF(INDEX(DarlBelegt,5)=0,0,IF(INDEX(DarlOhneTilgung,5)=1,IF(INDEX(DarlBindung,5)="",1,$G2028),IF($J2028&gt;0.005,1,0)))</f>
      </c>
      <c r="J2028" s="43">
        <f>IF($I2027=0,0,$R2027)</f>
      </c>
      <c r="K2028" s="43">
        <f>IF($I2028=0,0,IF(INDEX(DarlOhneTilgung,5)=1,0,IF(AND(INDEX(DarlTilgStart,5)&gt;0,$E2028=INDEX(DarlTilgStart,5)),$J2028*($H2028+INDEX(DarlTilgung,5))/100/12,IF(AND($G2028=0,$G2027=1),MAX($K2027,$J2028*($H2028+1)/100/12),$K2027))))</f>
      </c>
      <c r="L2028" s="43">
        <f>IF($I2028=0,0,$J2028*$H2028/100/12)</f>
      </c>
      <c r="M2028" s="43">
        <f>IF($I2028=0,0,IF(OR(INDEX(DarlOhneTilgung,5)=1,AND(INDEX(DarlTilgStart,5)&gt;0,$E2028&lt;INDEX(DarlTilgStart,5))),0,MIN(MAX(0,$K2028-$L2028),$J2028)))</f>
      </c>
      <c r="N2028" s="43">
        <f>IF($I2028=0,0,MIN(SUMIFS(SondBetrag,SondDarl,5,SondDatum,"&gt;="&amp;$E2028,SondDatum,"&lt;="&amp;EOMONTH($E2028,0)),$J2028-$M2028))</f>
      </c>
      <c r="O2028" s="43">
        <f>IF($I2028=0,0,INDEX(DarlErsatzRate,5))</f>
      </c>
      <c r="P2028" s="43">
        <f>IF($I2028=0,0,$Q2027*INDEX(DarlErsatzZins,5))</f>
      </c>
      <c r="Q2028" s="43">
        <f>IF($I2028=0,0,$Q2027+$P2028+$O2028)</f>
      </c>
      <c r="R2028" s="43">
        <f>IF($I2028=0,0,$J2028-$M2028-$N2028)</f>
      </c>
    </row>
    <row r="2029">
      <c r="A2029"/>
      <c r="B2029">
        <v>5</v>
      </c>
      <c r="C2029" s="43">
        <f>INDEX(DarlObj,5)</f>
      </c>
      <c r="D2029">
        <v>106</v>
      </c>
      <c r="E2029" s="51">
        <f>IF(INDEX(DarlBelegt,5)=0,0,EOMONTH(INDEX(DarlAuszahlung,5),105)+1)</f>
      </c>
      <c r="F2029" s="43">
        <f>IF($E2029=0,0,YEAR($E2029))</f>
      </c>
      <c r="G2029" s="43">
        <f>IF(INDEX(DarlBindung,5)="",1,IF($E2029&lt;=INDEX(DarlBindung,5),1,0))</f>
      </c>
      <c r="H2029" s="43">
        <f>IF($G2029=1,INDEX(DarlSollzins,5),INDEX(DarlAnschluss,5))</f>
      </c>
      <c r="I2029" s="43">
        <f>IF(INDEX(DarlBelegt,5)=0,0,IF(INDEX(DarlOhneTilgung,5)=1,IF(INDEX(DarlBindung,5)="",1,$G2029),IF($J2029&gt;0.005,1,0)))</f>
      </c>
      <c r="J2029" s="43">
        <f>IF($I2028=0,0,$R2028)</f>
      </c>
      <c r="K2029" s="43">
        <f>IF($I2029=0,0,IF(INDEX(DarlOhneTilgung,5)=1,0,IF(AND(INDEX(DarlTilgStart,5)&gt;0,$E2029=INDEX(DarlTilgStart,5)),$J2029*($H2029+INDEX(DarlTilgung,5))/100/12,IF(AND($G2029=0,$G2028=1),MAX($K2028,$J2029*($H2029+1)/100/12),$K2028))))</f>
      </c>
      <c r="L2029" s="43">
        <f>IF($I2029=0,0,$J2029*$H2029/100/12)</f>
      </c>
      <c r="M2029" s="43">
        <f>IF($I2029=0,0,IF(OR(INDEX(DarlOhneTilgung,5)=1,AND(INDEX(DarlTilgStart,5)&gt;0,$E2029&lt;INDEX(DarlTilgStart,5))),0,MIN(MAX(0,$K2029-$L2029),$J2029)))</f>
      </c>
      <c r="N2029" s="43">
        <f>IF($I2029=0,0,MIN(SUMIFS(SondBetrag,SondDarl,5,SondDatum,"&gt;="&amp;$E2029,SondDatum,"&lt;="&amp;EOMONTH($E2029,0)),$J2029-$M2029))</f>
      </c>
      <c r="O2029" s="43">
        <f>IF($I2029=0,0,INDEX(DarlErsatzRate,5))</f>
      </c>
      <c r="P2029" s="43">
        <f>IF($I2029=0,0,$Q2028*INDEX(DarlErsatzZins,5))</f>
      </c>
      <c r="Q2029" s="43">
        <f>IF($I2029=0,0,$Q2028+$P2029+$O2029)</f>
      </c>
      <c r="R2029" s="43">
        <f>IF($I2029=0,0,$J2029-$M2029-$N2029)</f>
      </c>
    </row>
    <row r="2030">
      <c r="A2030"/>
      <c r="B2030">
        <v>5</v>
      </c>
      <c r="C2030" s="43">
        <f>INDEX(DarlObj,5)</f>
      </c>
      <c r="D2030">
        <v>107</v>
      </c>
      <c r="E2030" s="51">
        <f>IF(INDEX(DarlBelegt,5)=0,0,EOMONTH(INDEX(DarlAuszahlung,5),106)+1)</f>
      </c>
      <c r="F2030" s="43">
        <f>IF($E2030=0,0,YEAR($E2030))</f>
      </c>
      <c r="G2030" s="43">
        <f>IF(INDEX(DarlBindung,5)="",1,IF($E2030&lt;=INDEX(DarlBindung,5),1,0))</f>
      </c>
      <c r="H2030" s="43">
        <f>IF($G2030=1,INDEX(DarlSollzins,5),INDEX(DarlAnschluss,5))</f>
      </c>
      <c r="I2030" s="43">
        <f>IF(INDEX(DarlBelegt,5)=0,0,IF(INDEX(DarlOhneTilgung,5)=1,IF(INDEX(DarlBindung,5)="",1,$G2030),IF($J2030&gt;0.005,1,0)))</f>
      </c>
      <c r="J2030" s="43">
        <f>IF($I2029=0,0,$R2029)</f>
      </c>
      <c r="K2030" s="43">
        <f>IF($I2030=0,0,IF(INDEX(DarlOhneTilgung,5)=1,0,IF(AND(INDEX(DarlTilgStart,5)&gt;0,$E2030=INDEX(DarlTilgStart,5)),$J2030*($H2030+INDEX(DarlTilgung,5))/100/12,IF(AND($G2030=0,$G2029=1),MAX($K2029,$J2030*($H2030+1)/100/12),$K2029))))</f>
      </c>
      <c r="L2030" s="43">
        <f>IF($I2030=0,0,$J2030*$H2030/100/12)</f>
      </c>
      <c r="M2030" s="43">
        <f>IF($I2030=0,0,IF(OR(INDEX(DarlOhneTilgung,5)=1,AND(INDEX(DarlTilgStart,5)&gt;0,$E2030&lt;INDEX(DarlTilgStart,5))),0,MIN(MAX(0,$K2030-$L2030),$J2030)))</f>
      </c>
      <c r="N2030" s="43">
        <f>IF($I2030=0,0,MIN(SUMIFS(SondBetrag,SondDarl,5,SondDatum,"&gt;="&amp;$E2030,SondDatum,"&lt;="&amp;EOMONTH($E2030,0)),$J2030-$M2030))</f>
      </c>
      <c r="O2030" s="43">
        <f>IF($I2030=0,0,INDEX(DarlErsatzRate,5))</f>
      </c>
      <c r="P2030" s="43">
        <f>IF($I2030=0,0,$Q2029*INDEX(DarlErsatzZins,5))</f>
      </c>
      <c r="Q2030" s="43">
        <f>IF($I2030=0,0,$Q2029+$P2030+$O2030)</f>
      </c>
      <c r="R2030" s="43">
        <f>IF($I2030=0,0,$J2030-$M2030-$N2030)</f>
      </c>
    </row>
    <row r="2031">
      <c r="A2031"/>
      <c r="B2031">
        <v>5</v>
      </c>
      <c r="C2031" s="43">
        <f>INDEX(DarlObj,5)</f>
      </c>
      <c r="D2031">
        <v>108</v>
      </c>
      <c r="E2031" s="51">
        <f>IF(INDEX(DarlBelegt,5)=0,0,EOMONTH(INDEX(DarlAuszahlung,5),107)+1)</f>
      </c>
      <c r="F2031" s="43">
        <f>IF($E2031=0,0,YEAR($E2031))</f>
      </c>
      <c r="G2031" s="43">
        <f>IF(INDEX(DarlBindung,5)="",1,IF($E2031&lt;=INDEX(DarlBindung,5),1,0))</f>
      </c>
      <c r="H2031" s="43">
        <f>IF($G2031=1,INDEX(DarlSollzins,5),INDEX(DarlAnschluss,5))</f>
      </c>
      <c r="I2031" s="43">
        <f>IF(INDEX(DarlBelegt,5)=0,0,IF(INDEX(DarlOhneTilgung,5)=1,IF(INDEX(DarlBindung,5)="",1,$G2031),IF($J2031&gt;0.005,1,0)))</f>
      </c>
      <c r="J2031" s="43">
        <f>IF($I2030=0,0,$R2030)</f>
      </c>
      <c r="K2031" s="43">
        <f>IF($I2031=0,0,IF(INDEX(DarlOhneTilgung,5)=1,0,IF(AND(INDEX(DarlTilgStart,5)&gt;0,$E2031=INDEX(DarlTilgStart,5)),$J2031*($H2031+INDEX(DarlTilgung,5))/100/12,IF(AND($G2031=0,$G2030=1),MAX($K2030,$J2031*($H2031+1)/100/12),$K2030))))</f>
      </c>
      <c r="L2031" s="43">
        <f>IF($I2031=0,0,$J2031*$H2031/100/12)</f>
      </c>
      <c r="M2031" s="43">
        <f>IF($I2031=0,0,IF(OR(INDEX(DarlOhneTilgung,5)=1,AND(INDEX(DarlTilgStart,5)&gt;0,$E2031&lt;INDEX(DarlTilgStart,5))),0,MIN(MAX(0,$K2031-$L2031),$J2031)))</f>
      </c>
      <c r="N2031" s="43">
        <f>IF($I2031=0,0,MIN(SUMIFS(SondBetrag,SondDarl,5,SondDatum,"&gt;="&amp;$E2031,SondDatum,"&lt;="&amp;EOMONTH($E2031,0)),$J2031-$M2031))</f>
      </c>
      <c r="O2031" s="43">
        <f>IF($I2031=0,0,INDEX(DarlErsatzRate,5))</f>
      </c>
      <c r="P2031" s="43">
        <f>IF($I2031=0,0,$Q2030*INDEX(DarlErsatzZins,5))</f>
      </c>
      <c r="Q2031" s="43">
        <f>IF($I2031=0,0,$Q2030+$P2031+$O2031)</f>
      </c>
      <c r="R2031" s="43">
        <f>IF($I2031=0,0,$J2031-$M2031-$N2031)</f>
      </c>
    </row>
    <row r="2032">
      <c r="A2032"/>
      <c r="B2032">
        <v>5</v>
      </c>
      <c r="C2032" s="43">
        <f>INDEX(DarlObj,5)</f>
      </c>
      <c r="D2032">
        <v>109</v>
      </c>
      <c r="E2032" s="51">
        <f>IF(INDEX(DarlBelegt,5)=0,0,EOMONTH(INDEX(DarlAuszahlung,5),108)+1)</f>
      </c>
      <c r="F2032" s="43">
        <f>IF($E2032=0,0,YEAR($E2032))</f>
      </c>
      <c r="G2032" s="43">
        <f>IF(INDEX(DarlBindung,5)="",1,IF($E2032&lt;=INDEX(DarlBindung,5),1,0))</f>
      </c>
      <c r="H2032" s="43">
        <f>IF($G2032=1,INDEX(DarlSollzins,5),INDEX(DarlAnschluss,5))</f>
      </c>
      <c r="I2032" s="43">
        <f>IF(INDEX(DarlBelegt,5)=0,0,IF(INDEX(DarlOhneTilgung,5)=1,IF(INDEX(DarlBindung,5)="",1,$G2032),IF($J2032&gt;0.005,1,0)))</f>
      </c>
      <c r="J2032" s="43">
        <f>IF($I2031=0,0,$R2031)</f>
      </c>
      <c r="K2032" s="43">
        <f>IF($I2032=0,0,IF(INDEX(DarlOhneTilgung,5)=1,0,IF(AND(INDEX(DarlTilgStart,5)&gt;0,$E2032=INDEX(DarlTilgStart,5)),$J2032*($H2032+INDEX(DarlTilgung,5))/100/12,IF(AND($G2032=0,$G2031=1),MAX($K2031,$J2032*($H2032+1)/100/12),$K2031))))</f>
      </c>
      <c r="L2032" s="43">
        <f>IF($I2032=0,0,$J2032*$H2032/100/12)</f>
      </c>
      <c r="M2032" s="43">
        <f>IF($I2032=0,0,IF(OR(INDEX(DarlOhneTilgung,5)=1,AND(INDEX(DarlTilgStart,5)&gt;0,$E2032&lt;INDEX(DarlTilgStart,5))),0,MIN(MAX(0,$K2032-$L2032),$J2032)))</f>
      </c>
      <c r="N2032" s="43">
        <f>IF($I2032=0,0,MIN(SUMIFS(SondBetrag,SondDarl,5,SondDatum,"&gt;="&amp;$E2032,SondDatum,"&lt;="&amp;EOMONTH($E2032,0)),$J2032-$M2032))</f>
      </c>
      <c r="O2032" s="43">
        <f>IF($I2032=0,0,INDEX(DarlErsatzRate,5))</f>
      </c>
      <c r="P2032" s="43">
        <f>IF($I2032=0,0,$Q2031*INDEX(DarlErsatzZins,5))</f>
      </c>
      <c r="Q2032" s="43">
        <f>IF($I2032=0,0,$Q2031+$P2032+$O2032)</f>
      </c>
      <c r="R2032" s="43">
        <f>IF($I2032=0,0,$J2032-$M2032-$N2032)</f>
      </c>
    </row>
    <row r="2033">
      <c r="A2033"/>
      <c r="B2033">
        <v>5</v>
      </c>
      <c r="C2033" s="43">
        <f>INDEX(DarlObj,5)</f>
      </c>
      <c r="D2033">
        <v>110</v>
      </c>
      <c r="E2033" s="51">
        <f>IF(INDEX(DarlBelegt,5)=0,0,EOMONTH(INDEX(DarlAuszahlung,5),109)+1)</f>
      </c>
      <c r="F2033" s="43">
        <f>IF($E2033=0,0,YEAR($E2033))</f>
      </c>
      <c r="G2033" s="43">
        <f>IF(INDEX(DarlBindung,5)="",1,IF($E2033&lt;=INDEX(DarlBindung,5),1,0))</f>
      </c>
      <c r="H2033" s="43">
        <f>IF($G2033=1,INDEX(DarlSollzins,5),INDEX(DarlAnschluss,5))</f>
      </c>
      <c r="I2033" s="43">
        <f>IF(INDEX(DarlBelegt,5)=0,0,IF(INDEX(DarlOhneTilgung,5)=1,IF(INDEX(DarlBindung,5)="",1,$G2033),IF($J2033&gt;0.005,1,0)))</f>
      </c>
      <c r="J2033" s="43">
        <f>IF($I2032=0,0,$R2032)</f>
      </c>
      <c r="K2033" s="43">
        <f>IF($I2033=0,0,IF(INDEX(DarlOhneTilgung,5)=1,0,IF(AND(INDEX(DarlTilgStart,5)&gt;0,$E2033=INDEX(DarlTilgStart,5)),$J2033*($H2033+INDEX(DarlTilgung,5))/100/12,IF(AND($G2033=0,$G2032=1),MAX($K2032,$J2033*($H2033+1)/100/12),$K2032))))</f>
      </c>
      <c r="L2033" s="43">
        <f>IF($I2033=0,0,$J2033*$H2033/100/12)</f>
      </c>
      <c r="M2033" s="43">
        <f>IF($I2033=0,0,IF(OR(INDEX(DarlOhneTilgung,5)=1,AND(INDEX(DarlTilgStart,5)&gt;0,$E2033&lt;INDEX(DarlTilgStart,5))),0,MIN(MAX(0,$K2033-$L2033),$J2033)))</f>
      </c>
      <c r="N2033" s="43">
        <f>IF($I2033=0,0,MIN(SUMIFS(SondBetrag,SondDarl,5,SondDatum,"&gt;="&amp;$E2033,SondDatum,"&lt;="&amp;EOMONTH($E2033,0)),$J2033-$M2033))</f>
      </c>
      <c r="O2033" s="43">
        <f>IF($I2033=0,0,INDEX(DarlErsatzRate,5))</f>
      </c>
      <c r="P2033" s="43">
        <f>IF($I2033=0,0,$Q2032*INDEX(DarlErsatzZins,5))</f>
      </c>
      <c r="Q2033" s="43">
        <f>IF($I2033=0,0,$Q2032+$P2033+$O2033)</f>
      </c>
      <c r="R2033" s="43">
        <f>IF($I2033=0,0,$J2033-$M2033-$N2033)</f>
      </c>
    </row>
    <row r="2034">
      <c r="A2034"/>
      <c r="B2034">
        <v>5</v>
      </c>
      <c r="C2034" s="43">
        <f>INDEX(DarlObj,5)</f>
      </c>
      <c r="D2034">
        <v>111</v>
      </c>
      <c r="E2034" s="51">
        <f>IF(INDEX(DarlBelegt,5)=0,0,EOMONTH(INDEX(DarlAuszahlung,5),110)+1)</f>
      </c>
      <c r="F2034" s="43">
        <f>IF($E2034=0,0,YEAR($E2034))</f>
      </c>
      <c r="G2034" s="43">
        <f>IF(INDEX(DarlBindung,5)="",1,IF($E2034&lt;=INDEX(DarlBindung,5),1,0))</f>
      </c>
      <c r="H2034" s="43">
        <f>IF($G2034=1,INDEX(DarlSollzins,5),INDEX(DarlAnschluss,5))</f>
      </c>
      <c r="I2034" s="43">
        <f>IF(INDEX(DarlBelegt,5)=0,0,IF(INDEX(DarlOhneTilgung,5)=1,IF(INDEX(DarlBindung,5)="",1,$G2034),IF($J2034&gt;0.005,1,0)))</f>
      </c>
      <c r="J2034" s="43">
        <f>IF($I2033=0,0,$R2033)</f>
      </c>
      <c r="K2034" s="43">
        <f>IF($I2034=0,0,IF(INDEX(DarlOhneTilgung,5)=1,0,IF(AND(INDEX(DarlTilgStart,5)&gt;0,$E2034=INDEX(DarlTilgStart,5)),$J2034*($H2034+INDEX(DarlTilgung,5))/100/12,IF(AND($G2034=0,$G2033=1),MAX($K2033,$J2034*($H2034+1)/100/12),$K2033))))</f>
      </c>
      <c r="L2034" s="43">
        <f>IF($I2034=0,0,$J2034*$H2034/100/12)</f>
      </c>
      <c r="M2034" s="43">
        <f>IF($I2034=0,0,IF(OR(INDEX(DarlOhneTilgung,5)=1,AND(INDEX(DarlTilgStart,5)&gt;0,$E2034&lt;INDEX(DarlTilgStart,5))),0,MIN(MAX(0,$K2034-$L2034),$J2034)))</f>
      </c>
      <c r="N2034" s="43">
        <f>IF($I2034=0,0,MIN(SUMIFS(SondBetrag,SondDarl,5,SondDatum,"&gt;="&amp;$E2034,SondDatum,"&lt;="&amp;EOMONTH($E2034,0)),$J2034-$M2034))</f>
      </c>
      <c r="O2034" s="43">
        <f>IF($I2034=0,0,INDEX(DarlErsatzRate,5))</f>
      </c>
      <c r="P2034" s="43">
        <f>IF($I2034=0,0,$Q2033*INDEX(DarlErsatzZins,5))</f>
      </c>
      <c r="Q2034" s="43">
        <f>IF($I2034=0,0,$Q2033+$P2034+$O2034)</f>
      </c>
      <c r="R2034" s="43">
        <f>IF($I2034=0,0,$J2034-$M2034-$N2034)</f>
      </c>
    </row>
    <row r="2035">
      <c r="A2035"/>
      <c r="B2035">
        <v>5</v>
      </c>
      <c r="C2035" s="43">
        <f>INDEX(DarlObj,5)</f>
      </c>
      <c r="D2035">
        <v>112</v>
      </c>
      <c r="E2035" s="51">
        <f>IF(INDEX(DarlBelegt,5)=0,0,EOMONTH(INDEX(DarlAuszahlung,5),111)+1)</f>
      </c>
      <c r="F2035" s="43">
        <f>IF($E2035=0,0,YEAR($E2035))</f>
      </c>
      <c r="G2035" s="43">
        <f>IF(INDEX(DarlBindung,5)="",1,IF($E2035&lt;=INDEX(DarlBindung,5),1,0))</f>
      </c>
      <c r="H2035" s="43">
        <f>IF($G2035=1,INDEX(DarlSollzins,5),INDEX(DarlAnschluss,5))</f>
      </c>
      <c r="I2035" s="43">
        <f>IF(INDEX(DarlBelegt,5)=0,0,IF(INDEX(DarlOhneTilgung,5)=1,IF(INDEX(DarlBindung,5)="",1,$G2035),IF($J2035&gt;0.005,1,0)))</f>
      </c>
      <c r="J2035" s="43">
        <f>IF($I2034=0,0,$R2034)</f>
      </c>
      <c r="K2035" s="43">
        <f>IF($I2035=0,0,IF(INDEX(DarlOhneTilgung,5)=1,0,IF(AND(INDEX(DarlTilgStart,5)&gt;0,$E2035=INDEX(DarlTilgStart,5)),$J2035*($H2035+INDEX(DarlTilgung,5))/100/12,IF(AND($G2035=0,$G2034=1),MAX($K2034,$J2035*($H2035+1)/100/12),$K2034))))</f>
      </c>
      <c r="L2035" s="43">
        <f>IF($I2035=0,0,$J2035*$H2035/100/12)</f>
      </c>
      <c r="M2035" s="43">
        <f>IF($I2035=0,0,IF(OR(INDEX(DarlOhneTilgung,5)=1,AND(INDEX(DarlTilgStart,5)&gt;0,$E2035&lt;INDEX(DarlTilgStart,5))),0,MIN(MAX(0,$K2035-$L2035),$J2035)))</f>
      </c>
      <c r="N2035" s="43">
        <f>IF($I2035=0,0,MIN(SUMIFS(SondBetrag,SondDarl,5,SondDatum,"&gt;="&amp;$E2035,SondDatum,"&lt;="&amp;EOMONTH($E2035,0)),$J2035-$M2035))</f>
      </c>
      <c r="O2035" s="43">
        <f>IF($I2035=0,0,INDEX(DarlErsatzRate,5))</f>
      </c>
      <c r="P2035" s="43">
        <f>IF($I2035=0,0,$Q2034*INDEX(DarlErsatzZins,5))</f>
      </c>
      <c r="Q2035" s="43">
        <f>IF($I2035=0,0,$Q2034+$P2035+$O2035)</f>
      </c>
      <c r="R2035" s="43">
        <f>IF($I2035=0,0,$J2035-$M2035-$N2035)</f>
      </c>
    </row>
    <row r="2036">
      <c r="A2036"/>
      <c r="B2036">
        <v>5</v>
      </c>
      <c r="C2036" s="43">
        <f>INDEX(DarlObj,5)</f>
      </c>
      <c r="D2036">
        <v>113</v>
      </c>
      <c r="E2036" s="51">
        <f>IF(INDEX(DarlBelegt,5)=0,0,EOMONTH(INDEX(DarlAuszahlung,5),112)+1)</f>
      </c>
      <c r="F2036" s="43">
        <f>IF($E2036=0,0,YEAR($E2036))</f>
      </c>
      <c r="G2036" s="43">
        <f>IF(INDEX(DarlBindung,5)="",1,IF($E2036&lt;=INDEX(DarlBindung,5),1,0))</f>
      </c>
      <c r="H2036" s="43">
        <f>IF($G2036=1,INDEX(DarlSollzins,5),INDEX(DarlAnschluss,5))</f>
      </c>
      <c r="I2036" s="43">
        <f>IF(INDEX(DarlBelegt,5)=0,0,IF(INDEX(DarlOhneTilgung,5)=1,IF(INDEX(DarlBindung,5)="",1,$G2036),IF($J2036&gt;0.005,1,0)))</f>
      </c>
      <c r="J2036" s="43">
        <f>IF($I2035=0,0,$R2035)</f>
      </c>
      <c r="K2036" s="43">
        <f>IF($I2036=0,0,IF(INDEX(DarlOhneTilgung,5)=1,0,IF(AND(INDEX(DarlTilgStart,5)&gt;0,$E2036=INDEX(DarlTilgStart,5)),$J2036*($H2036+INDEX(DarlTilgung,5))/100/12,IF(AND($G2036=0,$G2035=1),MAX($K2035,$J2036*($H2036+1)/100/12),$K2035))))</f>
      </c>
      <c r="L2036" s="43">
        <f>IF($I2036=0,0,$J2036*$H2036/100/12)</f>
      </c>
      <c r="M2036" s="43">
        <f>IF($I2036=0,0,IF(OR(INDEX(DarlOhneTilgung,5)=1,AND(INDEX(DarlTilgStart,5)&gt;0,$E2036&lt;INDEX(DarlTilgStart,5))),0,MIN(MAX(0,$K2036-$L2036),$J2036)))</f>
      </c>
      <c r="N2036" s="43">
        <f>IF($I2036=0,0,MIN(SUMIFS(SondBetrag,SondDarl,5,SondDatum,"&gt;="&amp;$E2036,SondDatum,"&lt;="&amp;EOMONTH($E2036,0)),$J2036-$M2036))</f>
      </c>
      <c r="O2036" s="43">
        <f>IF($I2036=0,0,INDEX(DarlErsatzRate,5))</f>
      </c>
      <c r="P2036" s="43">
        <f>IF($I2036=0,0,$Q2035*INDEX(DarlErsatzZins,5))</f>
      </c>
      <c r="Q2036" s="43">
        <f>IF($I2036=0,0,$Q2035+$P2036+$O2036)</f>
      </c>
      <c r="R2036" s="43">
        <f>IF($I2036=0,0,$J2036-$M2036-$N2036)</f>
      </c>
    </row>
    <row r="2037">
      <c r="A2037"/>
      <c r="B2037">
        <v>5</v>
      </c>
      <c r="C2037" s="43">
        <f>INDEX(DarlObj,5)</f>
      </c>
      <c r="D2037">
        <v>114</v>
      </c>
      <c r="E2037" s="51">
        <f>IF(INDEX(DarlBelegt,5)=0,0,EOMONTH(INDEX(DarlAuszahlung,5),113)+1)</f>
      </c>
      <c r="F2037" s="43">
        <f>IF($E2037=0,0,YEAR($E2037))</f>
      </c>
      <c r="G2037" s="43">
        <f>IF(INDEX(DarlBindung,5)="",1,IF($E2037&lt;=INDEX(DarlBindung,5),1,0))</f>
      </c>
      <c r="H2037" s="43">
        <f>IF($G2037=1,INDEX(DarlSollzins,5),INDEX(DarlAnschluss,5))</f>
      </c>
      <c r="I2037" s="43">
        <f>IF(INDEX(DarlBelegt,5)=0,0,IF(INDEX(DarlOhneTilgung,5)=1,IF(INDEX(DarlBindung,5)="",1,$G2037),IF($J2037&gt;0.005,1,0)))</f>
      </c>
      <c r="J2037" s="43">
        <f>IF($I2036=0,0,$R2036)</f>
      </c>
      <c r="K2037" s="43">
        <f>IF($I2037=0,0,IF(INDEX(DarlOhneTilgung,5)=1,0,IF(AND(INDEX(DarlTilgStart,5)&gt;0,$E2037=INDEX(DarlTilgStart,5)),$J2037*($H2037+INDEX(DarlTilgung,5))/100/12,IF(AND($G2037=0,$G2036=1),MAX($K2036,$J2037*($H2037+1)/100/12),$K2036))))</f>
      </c>
      <c r="L2037" s="43">
        <f>IF($I2037=0,0,$J2037*$H2037/100/12)</f>
      </c>
      <c r="M2037" s="43">
        <f>IF($I2037=0,0,IF(OR(INDEX(DarlOhneTilgung,5)=1,AND(INDEX(DarlTilgStart,5)&gt;0,$E2037&lt;INDEX(DarlTilgStart,5))),0,MIN(MAX(0,$K2037-$L2037),$J2037)))</f>
      </c>
      <c r="N2037" s="43">
        <f>IF($I2037=0,0,MIN(SUMIFS(SondBetrag,SondDarl,5,SondDatum,"&gt;="&amp;$E2037,SondDatum,"&lt;="&amp;EOMONTH($E2037,0)),$J2037-$M2037))</f>
      </c>
      <c r="O2037" s="43">
        <f>IF($I2037=0,0,INDEX(DarlErsatzRate,5))</f>
      </c>
      <c r="P2037" s="43">
        <f>IF($I2037=0,0,$Q2036*INDEX(DarlErsatzZins,5))</f>
      </c>
      <c r="Q2037" s="43">
        <f>IF($I2037=0,0,$Q2036+$P2037+$O2037)</f>
      </c>
      <c r="R2037" s="43">
        <f>IF($I2037=0,0,$J2037-$M2037-$N2037)</f>
      </c>
    </row>
    <row r="2038">
      <c r="A2038"/>
      <c r="B2038">
        <v>5</v>
      </c>
      <c r="C2038" s="43">
        <f>INDEX(DarlObj,5)</f>
      </c>
      <c r="D2038">
        <v>115</v>
      </c>
      <c r="E2038" s="51">
        <f>IF(INDEX(DarlBelegt,5)=0,0,EOMONTH(INDEX(DarlAuszahlung,5),114)+1)</f>
      </c>
      <c r="F2038" s="43">
        <f>IF($E2038=0,0,YEAR($E2038))</f>
      </c>
      <c r="G2038" s="43">
        <f>IF(INDEX(DarlBindung,5)="",1,IF($E2038&lt;=INDEX(DarlBindung,5),1,0))</f>
      </c>
      <c r="H2038" s="43">
        <f>IF($G2038=1,INDEX(DarlSollzins,5),INDEX(DarlAnschluss,5))</f>
      </c>
      <c r="I2038" s="43">
        <f>IF(INDEX(DarlBelegt,5)=0,0,IF(INDEX(DarlOhneTilgung,5)=1,IF(INDEX(DarlBindung,5)="",1,$G2038),IF($J2038&gt;0.005,1,0)))</f>
      </c>
      <c r="J2038" s="43">
        <f>IF($I2037=0,0,$R2037)</f>
      </c>
      <c r="K2038" s="43">
        <f>IF($I2038=0,0,IF(INDEX(DarlOhneTilgung,5)=1,0,IF(AND(INDEX(DarlTilgStart,5)&gt;0,$E2038=INDEX(DarlTilgStart,5)),$J2038*($H2038+INDEX(DarlTilgung,5))/100/12,IF(AND($G2038=0,$G2037=1),MAX($K2037,$J2038*($H2038+1)/100/12),$K2037))))</f>
      </c>
      <c r="L2038" s="43">
        <f>IF($I2038=0,0,$J2038*$H2038/100/12)</f>
      </c>
      <c r="M2038" s="43">
        <f>IF($I2038=0,0,IF(OR(INDEX(DarlOhneTilgung,5)=1,AND(INDEX(DarlTilgStart,5)&gt;0,$E2038&lt;INDEX(DarlTilgStart,5))),0,MIN(MAX(0,$K2038-$L2038),$J2038)))</f>
      </c>
      <c r="N2038" s="43">
        <f>IF($I2038=0,0,MIN(SUMIFS(SondBetrag,SondDarl,5,SondDatum,"&gt;="&amp;$E2038,SondDatum,"&lt;="&amp;EOMONTH($E2038,0)),$J2038-$M2038))</f>
      </c>
      <c r="O2038" s="43">
        <f>IF($I2038=0,0,INDEX(DarlErsatzRate,5))</f>
      </c>
      <c r="P2038" s="43">
        <f>IF($I2038=0,0,$Q2037*INDEX(DarlErsatzZins,5))</f>
      </c>
      <c r="Q2038" s="43">
        <f>IF($I2038=0,0,$Q2037+$P2038+$O2038)</f>
      </c>
      <c r="R2038" s="43">
        <f>IF($I2038=0,0,$J2038-$M2038-$N2038)</f>
      </c>
    </row>
    <row r="2039">
      <c r="A2039"/>
      <c r="B2039">
        <v>5</v>
      </c>
      <c r="C2039" s="43">
        <f>INDEX(DarlObj,5)</f>
      </c>
      <c r="D2039">
        <v>116</v>
      </c>
      <c r="E2039" s="51">
        <f>IF(INDEX(DarlBelegt,5)=0,0,EOMONTH(INDEX(DarlAuszahlung,5),115)+1)</f>
      </c>
      <c r="F2039" s="43">
        <f>IF($E2039=0,0,YEAR($E2039))</f>
      </c>
      <c r="G2039" s="43">
        <f>IF(INDEX(DarlBindung,5)="",1,IF($E2039&lt;=INDEX(DarlBindung,5),1,0))</f>
      </c>
      <c r="H2039" s="43">
        <f>IF($G2039=1,INDEX(DarlSollzins,5),INDEX(DarlAnschluss,5))</f>
      </c>
      <c r="I2039" s="43">
        <f>IF(INDEX(DarlBelegt,5)=0,0,IF(INDEX(DarlOhneTilgung,5)=1,IF(INDEX(DarlBindung,5)="",1,$G2039),IF($J2039&gt;0.005,1,0)))</f>
      </c>
      <c r="J2039" s="43">
        <f>IF($I2038=0,0,$R2038)</f>
      </c>
      <c r="K2039" s="43">
        <f>IF($I2039=0,0,IF(INDEX(DarlOhneTilgung,5)=1,0,IF(AND(INDEX(DarlTilgStart,5)&gt;0,$E2039=INDEX(DarlTilgStart,5)),$J2039*($H2039+INDEX(DarlTilgung,5))/100/12,IF(AND($G2039=0,$G2038=1),MAX($K2038,$J2039*($H2039+1)/100/12),$K2038))))</f>
      </c>
      <c r="L2039" s="43">
        <f>IF($I2039=0,0,$J2039*$H2039/100/12)</f>
      </c>
      <c r="M2039" s="43">
        <f>IF($I2039=0,0,IF(OR(INDEX(DarlOhneTilgung,5)=1,AND(INDEX(DarlTilgStart,5)&gt;0,$E2039&lt;INDEX(DarlTilgStart,5))),0,MIN(MAX(0,$K2039-$L2039),$J2039)))</f>
      </c>
      <c r="N2039" s="43">
        <f>IF($I2039=0,0,MIN(SUMIFS(SondBetrag,SondDarl,5,SondDatum,"&gt;="&amp;$E2039,SondDatum,"&lt;="&amp;EOMONTH($E2039,0)),$J2039-$M2039))</f>
      </c>
      <c r="O2039" s="43">
        <f>IF($I2039=0,0,INDEX(DarlErsatzRate,5))</f>
      </c>
      <c r="P2039" s="43">
        <f>IF($I2039=0,0,$Q2038*INDEX(DarlErsatzZins,5))</f>
      </c>
      <c r="Q2039" s="43">
        <f>IF($I2039=0,0,$Q2038+$P2039+$O2039)</f>
      </c>
      <c r="R2039" s="43">
        <f>IF($I2039=0,0,$J2039-$M2039-$N2039)</f>
      </c>
    </row>
    <row r="2040">
      <c r="A2040"/>
      <c r="B2040">
        <v>5</v>
      </c>
      <c r="C2040" s="43">
        <f>INDEX(DarlObj,5)</f>
      </c>
      <c r="D2040">
        <v>117</v>
      </c>
      <c r="E2040" s="51">
        <f>IF(INDEX(DarlBelegt,5)=0,0,EOMONTH(INDEX(DarlAuszahlung,5),116)+1)</f>
      </c>
      <c r="F2040" s="43">
        <f>IF($E2040=0,0,YEAR($E2040))</f>
      </c>
      <c r="G2040" s="43">
        <f>IF(INDEX(DarlBindung,5)="",1,IF($E2040&lt;=INDEX(DarlBindung,5),1,0))</f>
      </c>
      <c r="H2040" s="43">
        <f>IF($G2040=1,INDEX(DarlSollzins,5),INDEX(DarlAnschluss,5))</f>
      </c>
      <c r="I2040" s="43">
        <f>IF(INDEX(DarlBelegt,5)=0,0,IF(INDEX(DarlOhneTilgung,5)=1,IF(INDEX(DarlBindung,5)="",1,$G2040),IF($J2040&gt;0.005,1,0)))</f>
      </c>
      <c r="J2040" s="43">
        <f>IF($I2039=0,0,$R2039)</f>
      </c>
      <c r="K2040" s="43">
        <f>IF($I2040=0,0,IF(INDEX(DarlOhneTilgung,5)=1,0,IF(AND(INDEX(DarlTilgStart,5)&gt;0,$E2040=INDEX(DarlTilgStart,5)),$J2040*($H2040+INDEX(DarlTilgung,5))/100/12,IF(AND($G2040=0,$G2039=1),MAX($K2039,$J2040*($H2040+1)/100/12),$K2039))))</f>
      </c>
      <c r="L2040" s="43">
        <f>IF($I2040=0,0,$J2040*$H2040/100/12)</f>
      </c>
      <c r="M2040" s="43">
        <f>IF($I2040=0,0,IF(OR(INDEX(DarlOhneTilgung,5)=1,AND(INDEX(DarlTilgStart,5)&gt;0,$E2040&lt;INDEX(DarlTilgStart,5))),0,MIN(MAX(0,$K2040-$L2040),$J2040)))</f>
      </c>
      <c r="N2040" s="43">
        <f>IF($I2040=0,0,MIN(SUMIFS(SondBetrag,SondDarl,5,SondDatum,"&gt;="&amp;$E2040,SondDatum,"&lt;="&amp;EOMONTH($E2040,0)),$J2040-$M2040))</f>
      </c>
      <c r="O2040" s="43">
        <f>IF($I2040=0,0,INDEX(DarlErsatzRate,5))</f>
      </c>
      <c r="P2040" s="43">
        <f>IF($I2040=0,0,$Q2039*INDEX(DarlErsatzZins,5))</f>
      </c>
      <c r="Q2040" s="43">
        <f>IF($I2040=0,0,$Q2039+$P2040+$O2040)</f>
      </c>
      <c r="R2040" s="43">
        <f>IF($I2040=0,0,$J2040-$M2040-$N2040)</f>
      </c>
    </row>
    <row r="2041">
      <c r="A2041"/>
      <c r="B2041">
        <v>5</v>
      </c>
      <c r="C2041" s="43">
        <f>INDEX(DarlObj,5)</f>
      </c>
      <c r="D2041">
        <v>118</v>
      </c>
      <c r="E2041" s="51">
        <f>IF(INDEX(DarlBelegt,5)=0,0,EOMONTH(INDEX(DarlAuszahlung,5),117)+1)</f>
      </c>
      <c r="F2041" s="43">
        <f>IF($E2041=0,0,YEAR($E2041))</f>
      </c>
      <c r="G2041" s="43">
        <f>IF(INDEX(DarlBindung,5)="",1,IF($E2041&lt;=INDEX(DarlBindung,5),1,0))</f>
      </c>
      <c r="H2041" s="43">
        <f>IF($G2041=1,INDEX(DarlSollzins,5),INDEX(DarlAnschluss,5))</f>
      </c>
      <c r="I2041" s="43">
        <f>IF(INDEX(DarlBelegt,5)=0,0,IF(INDEX(DarlOhneTilgung,5)=1,IF(INDEX(DarlBindung,5)="",1,$G2041),IF($J2041&gt;0.005,1,0)))</f>
      </c>
      <c r="J2041" s="43">
        <f>IF($I2040=0,0,$R2040)</f>
      </c>
      <c r="K2041" s="43">
        <f>IF($I2041=0,0,IF(INDEX(DarlOhneTilgung,5)=1,0,IF(AND(INDEX(DarlTilgStart,5)&gt;0,$E2041=INDEX(DarlTilgStart,5)),$J2041*($H2041+INDEX(DarlTilgung,5))/100/12,IF(AND($G2041=0,$G2040=1),MAX($K2040,$J2041*($H2041+1)/100/12),$K2040))))</f>
      </c>
      <c r="L2041" s="43">
        <f>IF($I2041=0,0,$J2041*$H2041/100/12)</f>
      </c>
      <c r="M2041" s="43">
        <f>IF($I2041=0,0,IF(OR(INDEX(DarlOhneTilgung,5)=1,AND(INDEX(DarlTilgStart,5)&gt;0,$E2041&lt;INDEX(DarlTilgStart,5))),0,MIN(MAX(0,$K2041-$L2041),$J2041)))</f>
      </c>
      <c r="N2041" s="43">
        <f>IF($I2041=0,0,MIN(SUMIFS(SondBetrag,SondDarl,5,SondDatum,"&gt;="&amp;$E2041,SondDatum,"&lt;="&amp;EOMONTH($E2041,0)),$J2041-$M2041))</f>
      </c>
      <c r="O2041" s="43">
        <f>IF($I2041=0,0,INDEX(DarlErsatzRate,5))</f>
      </c>
      <c r="P2041" s="43">
        <f>IF($I2041=0,0,$Q2040*INDEX(DarlErsatzZins,5))</f>
      </c>
      <c r="Q2041" s="43">
        <f>IF($I2041=0,0,$Q2040+$P2041+$O2041)</f>
      </c>
      <c r="R2041" s="43">
        <f>IF($I2041=0,0,$J2041-$M2041-$N2041)</f>
      </c>
    </row>
    <row r="2042">
      <c r="A2042"/>
      <c r="B2042">
        <v>5</v>
      </c>
      <c r="C2042" s="43">
        <f>INDEX(DarlObj,5)</f>
      </c>
      <c r="D2042">
        <v>119</v>
      </c>
      <c r="E2042" s="51">
        <f>IF(INDEX(DarlBelegt,5)=0,0,EOMONTH(INDEX(DarlAuszahlung,5),118)+1)</f>
      </c>
      <c r="F2042" s="43">
        <f>IF($E2042=0,0,YEAR($E2042))</f>
      </c>
      <c r="G2042" s="43">
        <f>IF(INDEX(DarlBindung,5)="",1,IF($E2042&lt;=INDEX(DarlBindung,5),1,0))</f>
      </c>
      <c r="H2042" s="43">
        <f>IF($G2042=1,INDEX(DarlSollzins,5),INDEX(DarlAnschluss,5))</f>
      </c>
      <c r="I2042" s="43">
        <f>IF(INDEX(DarlBelegt,5)=0,0,IF(INDEX(DarlOhneTilgung,5)=1,IF(INDEX(DarlBindung,5)="",1,$G2042),IF($J2042&gt;0.005,1,0)))</f>
      </c>
      <c r="J2042" s="43">
        <f>IF($I2041=0,0,$R2041)</f>
      </c>
      <c r="K2042" s="43">
        <f>IF($I2042=0,0,IF(INDEX(DarlOhneTilgung,5)=1,0,IF(AND(INDEX(DarlTilgStart,5)&gt;0,$E2042=INDEX(DarlTilgStart,5)),$J2042*($H2042+INDEX(DarlTilgung,5))/100/12,IF(AND($G2042=0,$G2041=1),MAX($K2041,$J2042*($H2042+1)/100/12),$K2041))))</f>
      </c>
      <c r="L2042" s="43">
        <f>IF($I2042=0,0,$J2042*$H2042/100/12)</f>
      </c>
      <c r="M2042" s="43">
        <f>IF($I2042=0,0,IF(OR(INDEX(DarlOhneTilgung,5)=1,AND(INDEX(DarlTilgStart,5)&gt;0,$E2042&lt;INDEX(DarlTilgStart,5))),0,MIN(MAX(0,$K2042-$L2042),$J2042)))</f>
      </c>
      <c r="N2042" s="43">
        <f>IF($I2042=0,0,MIN(SUMIFS(SondBetrag,SondDarl,5,SondDatum,"&gt;="&amp;$E2042,SondDatum,"&lt;="&amp;EOMONTH($E2042,0)),$J2042-$M2042))</f>
      </c>
      <c r="O2042" s="43">
        <f>IF($I2042=0,0,INDEX(DarlErsatzRate,5))</f>
      </c>
      <c r="P2042" s="43">
        <f>IF($I2042=0,0,$Q2041*INDEX(DarlErsatzZins,5))</f>
      </c>
      <c r="Q2042" s="43">
        <f>IF($I2042=0,0,$Q2041+$P2042+$O2042)</f>
      </c>
      <c r="R2042" s="43">
        <f>IF($I2042=0,0,$J2042-$M2042-$N2042)</f>
      </c>
    </row>
    <row r="2043">
      <c r="A2043"/>
      <c r="B2043">
        <v>5</v>
      </c>
      <c r="C2043" s="43">
        <f>INDEX(DarlObj,5)</f>
      </c>
      <c r="D2043">
        <v>120</v>
      </c>
      <c r="E2043" s="51">
        <f>IF(INDEX(DarlBelegt,5)=0,0,EOMONTH(INDEX(DarlAuszahlung,5),119)+1)</f>
      </c>
      <c r="F2043" s="43">
        <f>IF($E2043=0,0,YEAR($E2043))</f>
      </c>
      <c r="G2043" s="43">
        <f>IF(INDEX(DarlBindung,5)="",1,IF($E2043&lt;=INDEX(DarlBindung,5),1,0))</f>
      </c>
      <c r="H2043" s="43">
        <f>IF($G2043=1,INDEX(DarlSollzins,5),INDEX(DarlAnschluss,5))</f>
      </c>
      <c r="I2043" s="43">
        <f>IF(INDEX(DarlBelegt,5)=0,0,IF(INDEX(DarlOhneTilgung,5)=1,IF(INDEX(DarlBindung,5)="",1,$G2043),IF($J2043&gt;0.005,1,0)))</f>
      </c>
      <c r="J2043" s="43">
        <f>IF($I2042=0,0,$R2042)</f>
      </c>
      <c r="K2043" s="43">
        <f>IF($I2043=0,0,IF(INDEX(DarlOhneTilgung,5)=1,0,IF(AND(INDEX(DarlTilgStart,5)&gt;0,$E2043=INDEX(DarlTilgStart,5)),$J2043*($H2043+INDEX(DarlTilgung,5))/100/12,IF(AND($G2043=0,$G2042=1),MAX($K2042,$J2043*($H2043+1)/100/12),$K2042))))</f>
      </c>
      <c r="L2043" s="43">
        <f>IF($I2043=0,0,$J2043*$H2043/100/12)</f>
      </c>
      <c r="M2043" s="43">
        <f>IF($I2043=0,0,IF(OR(INDEX(DarlOhneTilgung,5)=1,AND(INDEX(DarlTilgStart,5)&gt;0,$E2043&lt;INDEX(DarlTilgStart,5))),0,MIN(MAX(0,$K2043-$L2043),$J2043)))</f>
      </c>
      <c r="N2043" s="43">
        <f>IF($I2043=0,0,MIN(SUMIFS(SondBetrag,SondDarl,5,SondDatum,"&gt;="&amp;$E2043,SondDatum,"&lt;="&amp;EOMONTH($E2043,0)),$J2043-$M2043))</f>
      </c>
      <c r="O2043" s="43">
        <f>IF($I2043=0,0,INDEX(DarlErsatzRate,5))</f>
      </c>
      <c r="P2043" s="43">
        <f>IF($I2043=0,0,$Q2042*INDEX(DarlErsatzZins,5))</f>
      </c>
      <c r="Q2043" s="43">
        <f>IF($I2043=0,0,$Q2042+$P2043+$O2043)</f>
      </c>
      <c r="R2043" s="43">
        <f>IF($I2043=0,0,$J2043-$M2043-$N2043)</f>
      </c>
    </row>
    <row r="2044">
      <c r="A2044"/>
      <c r="B2044">
        <v>5</v>
      </c>
      <c r="C2044" s="43">
        <f>INDEX(DarlObj,5)</f>
      </c>
      <c r="D2044">
        <v>121</v>
      </c>
      <c r="E2044" s="51">
        <f>IF(INDEX(DarlBelegt,5)=0,0,EOMONTH(INDEX(DarlAuszahlung,5),120)+1)</f>
      </c>
      <c r="F2044" s="43">
        <f>IF($E2044=0,0,YEAR($E2044))</f>
      </c>
      <c r="G2044" s="43">
        <f>IF(INDEX(DarlBindung,5)="",1,IF($E2044&lt;=INDEX(DarlBindung,5),1,0))</f>
      </c>
      <c r="H2044" s="43">
        <f>IF($G2044=1,INDEX(DarlSollzins,5),INDEX(DarlAnschluss,5))</f>
      </c>
      <c r="I2044" s="43">
        <f>IF(INDEX(DarlBelegt,5)=0,0,IF(INDEX(DarlOhneTilgung,5)=1,IF(INDEX(DarlBindung,5)="",1,$G2044),IF($J2044&gt;0.005,1,0)))</f>
      </c>
      <c r="J2044" s="43">
        <f>IF($I2043=0,0,$R2043)</f>
      </c>
      <c r="K2044" s="43">
        <f>IF($I2044=0,0,IF(INDEX(DarlOhneTilgung,5)=1,0,IF(AND(INDEX(DarlTilgStart,5)&gt;0,$E2044=INDEX(DarlTilgStart,5)),$J2044*($H2044+INDEX(DarlTilgung,5))/100/12,IF(AND($G2044=0,$G2043=1),MAX($K2043,$J2044*($H2044+1)/100/12),$K2043))))</f>
      </c>
      <c r="L2044" s="43">
        <f>IF($I2044=0,0,$J2044*$H2044/100/12)</f>
      </c>
      <c r="M2044" s="43">
        <f>IF($I2044=0,0,IF(OR(INDEX(DarlOhneTilgung,5)=1,AND(INDEX(DarlTilgStart,5)&gt;0,$E2044&lt;INDEX(DarlTilgStart,5))),0,MIN(MAX(0,$K2044-$L2044),$J2044)))</f>
      </c>
      <c r="N2044" s="43">
        <f>IF($I2044=0,0,MIN(SUMIFS(SondBetrag,SondDarl,5,SondDatum,"&gt;="&amp;$E2044,SondDatum,"&lt;="&amp;EOMONTH($E2044,0)),$J2044-$M2044))</f>
      </c>
      <c r="O2044" s="43">
        <f>IF($I2044=0,0,INDEX(DarlErsatzRate,5))</f>
      </c>
      <c r="P2044" s="43">
        <f>IF($I2044=0,0,$Q2043*INDEX(DarlErsatzZins,5))</f>
      </c>
      <c r="Q2044" s="43">
        <f>IF($I2044=0,0,$Q2043+$P2044+$O2044)</f>
      </c>
      <c r="R2044" s="43">
        <f>IF($I2044=0,0,$J2044-$M2044-$N2044)</f>
      </c>
    </row>
    <row r="2045">
      <c r="A2045"/>
      <c r="B2045">
        <v>5</v>
      </c>
      <c r="C2045" s="43">
        <f>INDEX(DarlObj,5)</f>
      </c>
      <c r="D2045">
        <v>122</v>
      </c>
      <c r="E2045" s="51">
        <f>IF(INDEX(DarlBelegt,5)=0,0,EOMONTH(INDEX(DarlAuszahlung,5),121)+1)</f>
      </c>
      <c r="F2045" s="43">
        <f>IF($E2045=0,0,YEAR($E2045))</f>
      </c>
      <c r="G2045" s="43">
        <f>IF(INDEX(DarlBindung,5)="",1,IF($E2045&lt;=INDEX(DarlBindung,5),1,0))</f>
      </c>
      <c r="H2045" s="43">
        <f>IF($G2045=1,INDEX(DarlSollzins,5),INDEX(DarlAnschluss,5))</f>
      </c>
      <c r="I2045" s="43">
        <f>IF(INDEX(DarlBelegt,5)=0,0,IF(INDEX(DarlOhneTilgung,5)=1,IF(INDEX(DarlBindung,5)="",1,$G2045),IF($J2045&gt;0.005,1,0)))</f>
      </c>
      <c r="J2045" s="43">
        <f>IF($I2044=0,0,$R2044)</f>
      </c>
      <c r="K2045" s="43">
        <f>IF($I2045=0,0,IF(INDEX(DarlOhneTilgung,5)=1,0,IF(AND(INDEX(DarlTilgStart,5)&gt;0,$E2045=INDEX(DarlTilgStart,5)),$J2045*($H2045+INDEX(DarlTilgung,5))/100/12,IF(AND($G2045=0,$G2044=1),MAX($K2044,$J2045*($H2045+1)/100/12),$K2044))))</f>
      </c>
      <c r="L2045" s="43">
        <f>IF($I2045=0,0,$J2045*$H2045/100/12)</f>
      </c>
      <c r="M2045" s="43">
        <f>IF($I2045=0,0,IF(OR(INDEX(DarlOhneTilgung,5)=1,AND(INDEX(DarlTilgStart,5)&gt;0,$E2045&lt;INDEX(DarlTilgStart,5))),0,MIN(MAX(0,$K2045-$L2045),$J2045)))</f>
      </c>
      <c r="N2045" s="43">
        <f>IF($I2045=0,0,MIN(SUMIFS(SondBetrag,SondDarl,5,SondDatum,"&gt;="&amp;$E2045,SondDatum,"&lt;="&amp;EOMONTH($E2045,0)),$J2045-$M2045))</f>
      </c>
      <c r="O2045" s="43">
        <f>IF($I2045=0,0,INDEX(DarlErsatzRate,5))</f>
      </c>
      <c r="P2045" s="43">
        <f>IF($I2045=0,0,$Q2044*INDEX(DarlErsatzZins,5))</f>
      </c>
      <c r="Q2045" s="43">
        <f>IF($I2045=0,0,$Q2044+$P2045+$O2045)</f>
      </c>
      <c r="R2045" s="43">
        <f>IF($I2045=0,0,$J2045-$M2045-$N2045)</f>
      </c>
    </row>
    <row r="2046">
      <c r="A2046"/>
      <c r="B2046">
        <v>5</v>
      </c>
      <c r="C2046" s="43">
        <f>INDEX(DarlObj,5)</f>
      </c>
      <c r="D2046">
        <v>123</v>
      </c>
      <c r="E2046" s="51">
        <f>IF(INDEX(DarlBelegt,5)=0,0,EOMONTH(INDEX(DarlAuszahlung,5),122)+1)</f>
      </c>
      <c r="F2046" s="43">
        <f>IF($E2046=0,0,YEAR($E2046))</f>
      </c>
      <c r="G2046" s="43">
        <f>IF(INDEX(DarlBindung,5)="",1,IF($E2046&lt;=INDEX(DarlBindung,5),1,0))</f>
      </c>
      <c r="H2046" s="43">
        <f>IF($G2046=1,INDEX(DarlSollzins,5),INDEX(DarlAnschluss,5))</f>
      </c>
      <c r="I2046" s="43">
        <f>IF(INDEX(DarlBelegt,5)=0,0,IF(INDEX(DarlOhneTilgung,5)=1,IF(INDEX(DarlBindung,5)="",1,$G2046),IF($J2046&gt;0.005,1,0)))</f>
      </c>
      <c r="J2046" s="43">
        <f>IF($I2045=0,0,$R2045)</f>
      </c>
      <c r="K2046" s="43">
        <f>IF($I2046=0,0,IF(INDEX(DarlOhneTilgung,5)=1,0,IF(AND(INDEX(DarlTilgStart,5)&gt;0,$E2046=INDEX(DarlTilgStart,5)),$J2046*($H2046+INDEX(DarlTilgung,5))/100/12,IF(AND($G2046=0,$G2045=1),MAX($K2045,$J2046*($H2046+1)/100/12),$K2045))))</f>
      </c>
      <c r="L2046" s="43">
        <f>IF($I2046=0,0,$J2046*$H2046/100/12)</f>
      </c>
      <c r="M2046" s="43">
        <f>IF($I2046=0,0,IF(OR(INDEX(DarlOhneTilgung,5)=1,AND(INDEX(DarlTilgStart,5)&gt;0,$E2046&lt;INDEX(DarlTilgStart,5))),0,MIN(MAX(0,$K2046-$L2046),$J2046)))</f>
      </c>
      <c r="N2046" s="43">
        <f>IF($I2046=0,0,MIN(SUMIFS(SondBetrag,SondDarl,5,SondDatum,"&gt;="&amp;$E2046,SondDatum,"&lt;="&amp;EOMONTH($E2046,0)),$J2046-$M2046))</f>
      </c>
      <c r="O2046" s="43">
        <f>IF($I2046=0,0,INDEX(DarlErsatzRate,5))</f>
      </c>
      <c r="P2046" s="43">
        <f>IF($I2046=0,0,$Q2045*INDEX(DarlErsatzZins,5))</f>
      </c>
      <c r="Q2046" s="43">
        <f>IF($I2046=0,0,$Q2045+$P2046+$O2046)</f>
      </c>
      <c r="R2046" s="43">
        <f>IF($I2046=0,0,$J2046-$M2046-$N2046)</f>
      </c>
    </row>
    <row r="2047">
      <c r="A2047"/>
      <c r="B2047">
        <v>5</v>
      </c>
      <c r="C2047" s="43">
        <f>INDEX(DarlObj,5)</f>
      </c>
      <c r="D2047">
        <v>124</v>
      </c>
      <c r="E2047" s="51">
        <f>IF(INDEX(DarlBelegt,5)=0,0,EOMONTH(INDEX(DarlAuszahlung,5),123)+1)</f>
      </c>
      <c r="F2047" s="43">
        <f>IF($E2047=0,0,YEAR($E2047))</f>
      </c>
      <c r="G2047" s="43">
        <f>IF(INDEX(DarlBindung,5)="",1,IF($E2047&lt;=INDEX(DarlBindung,5),1,0))</f>
      </c>
      <c r="H2047" s="43">
        <f>IF($G2047=1,INDEX(DarlSollzins,5),INDEX(DarlAnschluss,5))</f>
      </c>
      <c r="I2047" s="43">
        <f>IF(INDEX(DarlBelegt,5)=0,0,IF(INDEX(DarlOhneTilgung,5)=1,IF(INDEX(DarlBindung,5)="",1,$G2047),IF($J2047&gt;0.005,1,0)))</f>
      </c>
      <c r="J2047" s="43">
        <f>IF($I2046=0,0,$R2046)</f>
      </c>
      <c r="K2047" s="43">
        <f>IF($I2047=0,0,IF(INDEX(DarlOhneTilgung,5)=1,0,IF(AND(INDEX(DarlTilgStart,5)&gt;0,$E2047=INDEX(DarlTilgStart,5)),$J2047*($H2047+INDEX(DarlTilgung,5))/100/12,IF(AND($G2047=0,$G2046=1),MAX($K2046,$J2047*($H2047+1)/100/12),$K2046))))</f>
      </c>
      <c r="L2047" s="43">
        <f>IF($I2047=0,0,$J2047*$H2047/100/12)</f>
      </c>
      <c r="M2047" s="43">
        <f>IF($I2047=0,0,IF(OR(INDEX(DarlOhneTilgung,5)=1,AND(INDEX(DarlTilgStart,5)&gt;0,$E2047&lt;INDEX(DarlTilgStart,5))),0,MIN(MAX(0,$K2047-$L2047),$J2047)))</f>
      </c>
      <c r="N2047" s="43">
        <f>IF($I2047=0,0,MIN(SUMIFS(SondBetrag,SondDarl,5,SondDatum,"&gt;="&amp;$E2047,SondDatum,"&lt;="&amp;EOMONTH($E2047,0)),$J2047-$M2047))</f>
      </c>
      <c r="O2047" s="43">
        <f>IF($I2047=0,0,INDEX(DarlErsatzRate,5))</f>
      </c>
      <c r="P2047" s="43">
        <f>IF($I2047=0,0,$Q2046*INDEX(DarlErsatzZins,5))</f>
      </c>
      <c r="Q2047" s="43">
        <f>IF($I2047=0,0,$Q2046+$P2047+$O2047)</f>
      </c>
      <c r="R2047" s="43">
        <f>IF($I2047=0,0,$J2047-$M2047-$N2047)</f>
      </c>
    </row>
    <row r="2048">
      <c r="A2048"/>
      <c r="B2048">
        <v>5</v>
      </c>
      <c r="C2048" s="43">
        <f>INDEX(DarlObj,5)</f>
      </c>
      <c r="D2048">
        <v>125</v>
      </c>
      <c r="E2048" s="51">
        <f>IF(INDEX(DarlBelegt,5)=0,0,EOMONTH(INDEX(DarlAuszahlung,5),124)+1)</f>
      </c>
      <c r="F2048" s="43">
        <f>IF($E2048=0,0,YEAR($E2048))</f>
      </c>
      <c r="G2048" s="43">
        <f>IF(INDEX(DarlBindung,5)="",1,IF($E2048&lt;=INDEX(DarlBindung,5),1,0))</f>
      </c>
      <c r="H2048" s="43">
        <f>IF($G2048=1,INDEX(DarlSollzins,5),INDEX(DarlAnschluss,5))</f>
      </c>
      <c r="I2048" s="43">
        <f>IF(INDEX(DarlBelegt,5)=0,0,IF(INDEX(DarlOhneTilgung,5)=1,IF(INDEX(DarlBindung,5)="",1,$G2048),IF($J2048&gt;0.005,1,0)))</f>
      </c>
      <c r="J2048" s="43">
        <f>IF($I2047=0,0,$R2047)</f>
      </c>
      <c r="K2048" s="43">
        <f>IF($I2048=0,0,IF(INDEX(DarlOhneTilgung,5)=1,0,IF(AND(INDEX(DarlTilgStart,5)&gt;0,$E2048=INDEX(DarlTilgStart,5)),$J2048*($H2048+INDEX(DarlTilgung,5))/100/12,IF(AND($G2048=0,$G2047=1),MAX($K2047,$J2048*($H2048+1)/100/12),$K2047))))</f>
      </c>
      <c r="L2048" s="43">
        <f>IF($I2048=0,0,$J2048*$H2048/100/12)</f>
      </c>
      <c r="M2048" s="43">
        <f>IF($I2048=0,0,IF(OR(INDEX(DarlOhneTilgung,5)=1,AND(INDEX(DarlTilgStart,5)&gt;0,$E2048&lt;INDEX(DarlTilgStart,5))),0,MIN(MAX(0,$K2048-$L2048),$J2048)))</f>
      </c>
      <c r="N2048" s="43">
        <f>IF($I2048=0,0,MIN(SUMIFS(SondBetrag,SondDarl,5,SondDatum,"&gt;="&amp;$E2048,SondDatum,"&lt;="&amp;EOMONTH($E2048,0)),$J2048-$M2048))</f>
      </c>
      <c r="O2048" s="43">
        <f>IF($I2048=0,0,INDEX(DarlErsatzRate,5))</f>
      </c>
      <c r="P2048" s="43">
        <f>IF($I2048=0,0,$Q2047*INDEX(DarlErsatzZins,5))</f>
      </c>
      <c r="Q2048" s="43">
        <f>IF($I2048=0,0,$Q2047+$P2048+$O2048)</f>
      </c>
      <c r="R2048" s="43">
        <f>IF($I2048=0,0,$J2048-$M2048-$N2048)</f>
      </c>
    </row>
    <row r="2049">
      <c r="A2049"/>
      <c r="B2049">
        <v>5</v>
      </c>
      <c r="C2049" s="43">
        <f>INDEX(DarlObj,5)</f>
      </c>
      <c r="D2049">
        <v>126</v>
      </c>
      <c r="E2049" s="51">
        <f>IF(INDEX(DarlBelegt,5)=0,0,EOMONTH(INDEX(DarlAuszahlung,5),125)+1)</f>
      </c>
      <c r="F2049" s="43">
        <f>IF($E2049=0,0,YEAR($E2049))</f>
      </c>
      <c r="G2049" s="43">
        <f>IF(INDEX(DarlBindung,5)="",1,IF($E2049&lt;=INDEX(DarlBindung,5),1,0))</f>
      </c>
      <c r="H2049" s="43">
        <f>IF($G2049=1,INDEX(DarlSollzins,5),INDEX(DarlAnschluss,5))</f>
      </c>
      <c r="I2049" s="43">
        <f>IF(INDEX(DarlBelegt,5)=0,0,IF(INDEX(DarlOhneTilgung,5)=1,IF(INDEX(DarlBindung,5)="",1,$G2049),IF($J2049&gt;0.005,1,0)))</f>
      </c>
      <c r="J2049" s="43">
        <f>IF($I2048=0,0,$R2048)</f>
      </c>
      <c r="K2049" s="43">
        <f>IF($I2049=0,0,IF(INDEX(DarlOhneTilgung,5)=1,0,IF(AND(INDEX(DarlTilgStart,5)&gt;0,$E2049=INDEX(DarlTilgStart,5)),$J2049*($H2049+INDEX(DarlTilgung,5))/100/12,IF(AND($G2049=0,$G2048=1),MAX($K2048,$J2049*($H2049+1)/100/12),$K2048))))</f>
      </c>
      <c r="L2049" s="43">
        <f>IF($I2049=0,0,$J2049*$H2049/100/12)</f>
      </c>
      <c r="M2049" s="43">
        <f>IF($I2049=0,0,IF(OR(INDEX(DarlOhneTilgung,5)=1,AND(INDEX(DarlTilgStart,5)&gt;0,$E2049&lt;INDEX(DarlTilgStart,5))),0,MIN(MAX(0,$K2049-$L2049),$J2049)))</f>
      </c>
      <c r="N2049" s="43">
        <f>IF($I2049=0,0,MIN(SUMIFS(SondBetrag,SondDarl,5,SondDatum,"&gt;="&amp;$E2049,SondDatum,"&lt;="&amp;EOMONTH($E2049,0)),$J2049-$M2049))</f>
      </c>
      <c r="O2049" s="43">
        <f>IF($I2049=0,0,INDEX(DarlErsatzRate,5))</f>
      </c>
      <c r="P2049" s="43">
        <f>IF($I2049=0,0,$Q2048*INDEX(DarlErsatzZins,5))</f>
      </c>
      <c r="Q2049" s="43">
        <f>IF($I2049=0,0,$Q2048+$P2049+$O2049)</f>
      </c>
      <c r="R2049" s="43">
        <f>IF($I2049=0,0,$J2049-$M2049-$N2049)</f>
      </c>
    </row>
    <row r="2050">
      <c r="A2050"/>
      <c r="B2050">
        <v>5</v>
      </c>
      <c r="C2050" s="43">
        <f>INDEX(DarlObj,5)</f>
      </c>
      <c r="D2050">
        <v>127</v>
      </c>
      <c r="E2050" s="51">
        <f>IF(INDEX(DarlBelegt,5)=0,0,EOMONTH(INDEX(DarlAuszahlung,5),126)+1)</f>
      </c>
      <c r="F2050" s="43">
        <f>IF($E2050=0,0,YEAR($E2050))</f>
      </c>
      <c r="G2050" s="43">
        <f>IF(INDEX(DarlBindung,5)="",1,IF($E2050&lt;=INDEX(DarlBindung,5),1,0))</f>
      </c>
      <c r="H2050" s="43">
        <f>IF($G2050=1,INDEX(DarlSollzins,5),INDEX(DarlAnschluss,5))</f>
      </c>
      <c r="I2050" s="43">
        <f>IF(INDEX(DarlBelegt,5)=0,0,IF(INDEX(DarlOhneTilgung,5)=1,IF(INDEX(DarlBindung,5)="",1,$G2050),IF($J2050&gt;0.005,1,0)))</f>
      </c>
      <c r="J2050" s="43">
        <f>IF($I2049=0,0,$R2049)</f>
      </c>
      <c r="K2050" s="43">
        <f>IF($I2050=0,0,IF(INDEX(DarlOhneTilgung,5)=1,0,IF(AND(INDEX(DarlTilgStart,5)&gt;0,$E2050=INDEX(DarlTilgStart,5)),$J2050*($H2050+INDEX(DarlTilgung,5))/100/12,IF(AND($G2050=0,$G2049=1),MAX($K2049,$J2050*($H2050+1)/100/12),$K2049))))</f>
      </c>
      <c r="L2050" s="43">
        <f>IF($I2050=0,0,$J2050*$H2050/100/12)</f>
      </c>
      <c r="M2050" s="43">
        <f>IF($I2050=0,0,IF(OR(INDEX(DarlOhneTilgung,5)=1,AND(INDEX(DarlTilgStart,5)&gt;0,$E2050&lt;INDEX(DarlTilgStart,5))),0,MIN(MAX(0,$K2050-$L2050),$J2050)))</f>
      </c>
      <c r="N2050" s="43">
        <f>IF($I2050=0,0,MIN(SUMIFS(SondBetrag,SondDarl,5,SondDatum,"&gt;="&amp;$E2050,SondDatum,"&lt;="&amp;EOMONTH($E2050,0)),$J2050-$M2050))</f>
      </c>
      <c r="O2050" s="43">
        <f>IF($I2050=0,0,INDEX(DarlErsatzRate,5))</f>
      </c>
      <c r="P2050" s="43">
        <f>IF($I2050=0,0,$Q2049*INDEX(DarlErsatzZins,5))</f>
      </c>
      <c r="Q2050" s="43">
        <f>IF($I2050=0,0,$Q2049+$P2050+$O2050)</f>
      </c>
      <c r="R2050" s="43">
        <f>IF($I2050=0,0,$J2050-$M2050-$N2050)</f>
      </c>
    </row>
    <row r="2051">
      <c r="A2051"/>
      <c r="B2051">
        <v>5</v>
      </c>
      <c r="C2051" s="43">
        <f>INDEX(DarlObj,5)</f>
      </c>
      <c r="D2051">
        <v>128</v>
      </c>
      <c r="E2051" s="51">
        <f>IF(INDEX(DarlBelegt,5)=0,0,EOMONTH(INDEX(DarlAuszahlung,5),127)+1)</f>
      </c>
      <c r="F2051" s="43">
        <f>IF($E2051=0,0,YEAR($E2051))</f>
      </c>
      <c r="G2051" s="43">
        <f>IF(INDEX(DarlBindung,5)="",1,IF($E2051&lt;=INDEX(DarlBindung,5),1,0))</f>
      </c>
      <c r="H2051" s="43">
        <f>IF($G2051=1,INDEX(DarlSollzins,5),INDEX(DarlAnschluss,5))</f>
      </c>
      <c r="I2051" s="43">
        <f>IF(INDEX(DarlBelegt,5)=0,0,IF(INDEX(DarlOhneTilgung,5)=1,IF(INDEX(DarlBindung,5)="",1,$G2051),IF($J2051&gt;0.005,1,0)))</f>
      </c>
      <c r="J2051" s="43">
        <f>IF($I2050=0,0,$R2050)</f>
      </c>
      <c r="K2051" s="43">
        <f>IF($I2051=0,0,IF(INDEX(DarlOhneTilgung,5)=1,0,IF(AND(INDEX(DarlTilgStart,5)&gt;0,$E2051=INDEX(DarlTilgStart,5)),$J2051*($H2051+INDEX(DarlTilgung,5))/100/12,IF(AND($G2051=0,$G2050=1),MAX($K2050,$J2051*($H2051+1)/100/12),$K2050))))</f>
      </c>
      <c r="L2051" s="43">
        <f>IF($I2051=0,0,$J2051*$H2051/100/12)</f>
      </c>
      <c r="M2051" s="43">
        <f>IF($I2051=0,0,IF(OR(INDEX(DarlOhneTilgung,5)=1,AND(INDEX(DarlTilgStart,5)&gt;0,$E2051&lt;INDEX(DarlTilgStart,5))),0,MIN(MAX(0,$K2051-$L2051),$J2051)))</f>
      </c>
      <c r="N2051" s="43">
        <f>IF($I2051=0,0,MIN(SUMIFS(SondBetrag,SondDarl,5,SondDatum,"&gt;="&amp;$E2051,SondDatum,"&lt;="&amp;EOMONTH($E2051,0)),$J2051-$M2051))</f>
      </c>
      <c r="O2051" s="43">
        <f>IF($I2051=0,0,INDEX(DarlErsatzRate,5))</f>
      </c>
      <c r="P2051" s="43">
        <f>IF($I2051=0,0,$Q2050*INDEX(DarlErsatzZins,5))</f>
      </c>
      <c r="Q2051" s="43">
        <f>IF($I2051=0,0,$Q2050+$P2051+$O2051)</f>
      </c>
      <c r="R2051" s="43">
        <f>IF($I2051=0,0,$J2051-$M2051-$N2051)</f>
      </c>
    </row>
    <row r="2052">
      <c r="A2052"/>
      <c r="B2052">
        <v>5</v>
      </c>
      <c r="C2052" s="43">
        <f>INDEX(DarlObj,5)</f>
      </c>
      <c r="D2052">
        <v>129</v>
      </c>
      <c r="E2052" s="51">
        <f>IF(INDEX(DarlBelegt,5)=0,0,EOMONTH(INDEX(DarlAuszahlung,5),128)+1)</f>
      </c>
      <c r="F2052" s="43">
        <f>IF($E2052=0,0,YEAR($E2052))</f>
      </c>
      <c r="G2052" s="43">
        <f>IF(INDEX(DarlBindung,5)="",1,IF($E2052&lt;=INDEX(DarlBindung,5),1,0))</f>
      </c>
      <c r="H2052" s="43">
        <f>IF($G2052=1,INDEX(DarlSollzins,5),INDEX(DarlAnschluss,5))</f>
      </c>
      <c r="I2052" s="43">
        <f>IF(INDEX(DarlBelegt,5)=0,0,IF(INDEX(DarlOhneTilgung,5)=1,IF(INDEX(DarlBindung,5)="",1,$G2052),IF($J2052&gt;0.005,1,0)))</f>
      </c>
      <c r="J2052" s="43">
        <f>IF($I2051=0,0,$R2051)</f>
      </c>
      <c r="K2052" s="43">
        <f>IF($I2052=0,0,IF(INDEX(DarlOhneTilgung,5)=1,0,IF(AND(INDEX(DarlTilgStart,5)&gt;0,$E2052=INDEX(DarlTilgStart,5)),$J2052*($H2052+INDEX(DarlTilgung,5))/100/12,IF(AND($G2052=0,$G2051=1),MAX($K2051,$J2052*($H2052+1)/100/12),$K2051))))</f>
      </c>
      <c r="L2052" s="43">
        <f>IF($I2052=0,0,$J2052*$H2052/100/12)</f>
      </c>
      <c r="M2052" s="43">
        <f>IF($I2052=0,0,IF(OR(INDEX(DarlOhneTilgung,5)=1,AND(INDEX(DarlTilgStart,5)&gt;0,$E2052&lt;INDEX(DarlTilgStart,5))),0,MIN(MAX(0,$K2052-$L2052),$J2052)))</f>
      </c>
      <c r="N2052" s="43">
        <f>IF($I2052=0,0,MIN(SUMIFS(SondBetrag,SondDarl,5,SondDatum,"&gt;="&amp;$E2052,SondDatum,"&lt;="&amp;EOMONTH($E2052,0)),$J2052-$M2052))</f>
      </c>
      <c r="O2052" s="43">
        <f>IF($I2052=0,0,INDEX(DarlErsatzRate,5))</f>
      </c>
      <c r="P2052" s="43">
        <f>IF($I2052=0,0,$Q2051*INDEX(DarlErsatzZins,5))</f>
      </c>
      <c r="Q2052" s="43">
        <f>IF($I2052=0,0,$Q2051+$P2052+$O2052)</f>
      </c>
      <c r="R2052" s="43">
        <f>IF($I2052=0,0,$J2052-$M2052-$N2052)</f>
      </c>
    </row>
    <row r="2053">
      <c r="A2053"/>
      <c r="B2053">
        <v>5</v>
      </c>
      <c r="C2053" s="43">
        <f>INDEX(DarlObj,5)</f>
      </c>
      <c r="D2053">
        <v>130</v>
      </c>
      <c r="E2053" s="51">
        <f>IF(INDEX(DarlBelegt,5)=0,0,EOMONTH(INDEX(DarlAuszahlung,5),129)+1)</f>
      </c>
      <c r="F2053" s="43">
        <f>IF($E2053=0,0,YEAR($E2053))</f>
      </c>
      <c r="G2053" s="43">
        <f>IF(INDEX(DarlBindung,5)="",1,IF($E2053&lt;=INDEX(DarlBindung,5),1,0))</f>
      </c>
      <c r="H2053" s="43">
        <f>IF($G2053=1,INDEX(DarlSollzins,5),INDEX(DarlAnschluss,5))</f>
      </c>
      <c r="I2053" s="43">
        <f>IF(INDEX(DarlBelegt,5)=0,0,IF(INDEX(DarlOhneTilgung,5)=1,IF(INDEX(DarlBindung,5)="",1,$G2053),IF($J2053&gt;0.005,1,0)))</f>
      </c>
      <c r="J2053" s="43">
        <f>IF($I2052=0,0,$R2052)</f>
      </c>
      <c r="K2053" s="43">
        <f>IF($I2053=0,0,IF(INDEX(DarlOhneTilgung,5)=1,0,IF(AND(INDEX(DarlTilgStart,5)&gt;0,$E2053=INDEX(DarlTilgStart,5)),$J2053*($H2053+INDEX(DarlTilgung,5))/100/12,IF(AND($G2053=0,$G2052=1),MAX($K2052,$J2053*($H2053+1)/100/12),$K2052))))</f>
      </c>
      <c r="L2053" s="43">
        <f>IF($I2053=0,0,$J2053*$H2053/100/12)</f>
      </c>
      <c r="M2053" s="43">
        <f>IF($I2053=0,0,IF(OR(INDEX(DarlOhneTilgung,5)=1,AND(INDEX(DarlTilgStart,5)&gt;0,$E2053&lt;INDEX(DarlTilgStart,5))),0,MIN(MAX(0,$K2053-$L2053),$J2053)))</f>
      </c>
      <c r="N2053" s="43">
        <f>IF($I2053=0,0,MIN(SUMIFS(SondBetrag,SondDarl,5,SondDatum,"&gt;="&amp;$E2053,SondDatum,"&lt;="&amp;EOMONTH($E2053,0)),$J2053-$M2053))</f>
      </c>
      <c r="O2053" s="43">
        <f>IF($I2053=0,0,INDEX(DarlErsatzRate,5))</f>
      </c>
      <c r="P2053" s="43">
        <f>IF($I2053=0,0,$Q2052*INDEX(DarlErsatzZins,5))</f>
      </c>
      <c r="Q2053" s="43">
        <f>IF($I2053=0,0,$Q2052+$P2053+$O2053)</f>
      </c>
      <c r="R2053" s="43">
        <f>IF($I2053=0,0,$J2053-$M2053-$N2053)</f>
      </c>
    </row>
    <row r="2054">
      <c r="A2054"/>
      <c r="B2054">
        <v>5</v>
      </c>
      <c r="C2054" s="43">
        <f>INDEX(DarlObj,5)</f>
      </c>
      <c r="D2054">
        <v>131</v>
      </c>
      <c r="E2054" s="51">
        <f>IF(INDEX(DarlBelegt,5)=0,0,EOMONTH(INDEX(DarlAuszahlung,5),130)+1)</f>
      </c>
      <c r="F2054" s="43">
        <f>IF($E2054=0,0,YEAR($E2054))</f>
      </c>
      <c r="G2054" s="43">
        <f>IF(INDEX(DarlBindung,5)="",1,IF($E2054&lt;=INDEX(DarlBindung,5),1,0))</f>
      </c>
      <c r="H2054" s="43">
        <f>IF($G2054=1,INDEX(DarlSollzins,5),INDEX(DarlAnschluss,5))</f>
      </c>
      <c r="I2054" s="43">
        <f>IF(INDEX(DarlBelegt,5)=0,0,IF(INDEX(DarlOhneTilgung,5)=1,IF(INDEX(DarlBindung,5)="",1,$G2054),IF($J2054&gt;0.005,1,0)))</f>
      </c>
      <c r="J2054" s="43">
        <f>IF($I2053=0,0,$R2053)</f>
      </c>
      <c r="K2054" s="43">
        <f>IF($I2054=0,0,IF(INDEX(DarlOhneTilgung,5)=1,0,IF(AND(INDEX(DarlTilgStart,5)&gt;0,$E2054=INDEX(DarlTilgStart,5)),$J2054*($H2054+INDEX(DarlTilgung,5))/100/12,IF(AND($G2054=0,$G2053=1),MAX($K2053,$J2054*($H2054+1)/100/12),$K2053))))</f>
      </c>
      <c r="L2054" s="43">
        <f>IF($I2054=0,0,$J2054*$H2054/100/12)</f>
      </c>
      <c r="M2054" s="43">
        <f>IF($I2054=0,0,IF(OR(INDEX(DarlOhneTilgung,5)=1,AND(INDEX(DarlTilgStart,5)&gt;0,$E2054&lt;INDEX(DarlTilgStart,5))),0,MIN(MAX(0,$K2054-$L2054),$J2054)))</f>
      </c>
      <c r="N2054" s="43">
        <f>IF($I2054=0,0,MIN(SUMIFS(SondBetrag,SondDarl,5,SondDatum,"&gt;="&amp;$E2054,SondDatum,"&lt;="&amp;EOMONTH($E2054,0)),$J2054-$M2054))</f>
      </c>
      <c r="O2054" s="43">
        <f>IF($I2054=0,0,INDEX(DarlErsatzRate,5))</f>
      </c>
      <c r="P2054" s="43">
        <f>IF($I2054=0,0,$Q2053*INDEX(DarlErsatzZins,5))</f>
      </c>
      <c r="Q2054" s="43">
        <f>IF($I2054=0,0,$Q2053+$P2054+$O2054)</f>
      </c>
      <c r="R2054" s="43">
        <f>IF($I2054=0,0,$J2054-$M2054-$N2054)</f>
      </c>
    </row>
    <row r="2055">
      <c r="A2055"/>
      <c r="B2055">
        <v>5</v>
      </c>
      <c r="C2055" s="43">
        <f>INDEX(DarlObj,5)</f>
      </c>
      <c r="D2055">
        <v>132</v>
      </c>
      <c r="E2055" s="51">
        <f>IF(INDEX(DarlBelegt,5)=0,0,EOMONTH(INDEX(DarlAuszahlung,5),131)+1)</f>
      </c>
      <c r="F2055" s="43">
        <f>IF($E2055=0,0,YEAR($E2055))</f>
      </c>
      <c r="G2055" s="43">
        <f>IF(INDEX(DarlBindung,5)="",1,IF($E2055&lt;=INDEX(DarlBindung,5),1,0))</f>
      </c>
      <c r="H2055" s="43">
        <f>IF($G2055=1,INDEX(DarlSollzins,5),INDEX(DarlAnschluss,5))</f>
      </c>
      <c r="I2055" s="43">
        <f>IF(INDEX(DarlBelegt,5)=0,0,IF(INDEX(DarlOhneTilgung,5)=1,IF(INDEX(DarlBindung,5)="",1,$G2055),IF($J2055&gt;0.005,1,0)))</f>
      </c>
      <c r="J2055" s="43">
        <f>IF($I2054=0,0,$R2054)</f>
      </c>
      <c r="K2055" s="43">
        <f>IF($I2055=0,0,IF(INDEX(DarlOhneTilgung,5)=1,0,IF(AND(INDEX(DarlTilgStart,5)&gt;0,$E2055=INDEX(DarlTilgStart,5)),$J2055*($H2055+INDEX(DarlTilgung,5))/100/12,IF(AND($G2055=0,$G2054=1),MAX($K2054,$J2055*($H2055+1)/100/12),$K2054))))</f>
      </c>
      <c r="L2055" s="43">
        <f>IF($I2055=0,0,$J2055*$H2055/100/12)</f>
      </c>
      <c r="M2055" s="43">
        <f>IF($I2055=0,0,IF(OR(INDEX(DarlOhneTilgung,5)=1,AND(INDEX(DarlTilgStart,5)&gt;0,$E2055&lt;INDEX(DarlTilgStart,5))),0,MIN(MAX(0,$K2055-$L2055),$J2055)))</f>
      </c>
      <c r="N2055" s="43">
        <f>IF($I2055=0,0,MIN(SUMIFS(SondBetrag,SondDarl,5,SondDatum,"&gt;="&amp;$E2055,SondDatum,"&lt;="&amp;EOMONTH($E2055,0)),$J2055-$M2055))</f>
      </c>
      <c r="O2055" s="43">
        <f>IF($I2055=0,0,INDEX(DarlErsatzRate,5))</f>
      </c>
      <c r="P2055" s="43">
        <f>IF($I2055=0,0,$Q2054*INDEX(DarlErsatzZins,5))</f>
      </c>
      <c r="Q2055" s="43">
        <f>IF($I2055=0,0,$Q2054+$P2055+$O2055)</f>
      </c>
      <c r="R2055" s="43">
        <f>IF($I2055=0,0,$J2055-$M2055-$N2055)</f>
      </c>
    </row>
    <row r="2056">
      <c r="A2056"/>
      <c r="B2056">
        <v>5</v>
      </c>
      <c r="C2056" s="43">
        <f>INDEX(DarlObj,5)</f>
      </c>
      <c r="D2056">
        <v>133</v>
      </c>
      <c r="E2056" s="51">
        <f>IF(INDEX(DarlBelegt,5)=0,0,EOMONTH(INDEX(DarlAuszahlung,5),132)+1)</f>
      </c>
      <c r="F2056" s="43">
        <f>IF($E2056=0,0,YEAR($E2056))</f>
      </c>
      <c r="G2056" s="43">
        <f>IF(INDEX(DarlBindung,5)="",1,IF($E2056&lt;=INDEX(DarlBindung,5),1,0))</f>
      </c>
      <c r="H2056" s="43">
        <f>IF($G2056=1,INDEX(DarlSollzins,5),INDEX(DarlAnschluss,5))</f>
      </c>
      <c r="I2056" s="43">
        <f>IF(INDEX(DarlBelegt,5)=0,0,IF(INDEX(DarlOhneTilgung,5)=1,IF(INDEX(DarlBindung,5)="",1,$G2056),IF($J2056&gt;0.005,1,0)))</f>
      </c>
      <c r="J2056" s="43">
        <f>IF($I2055=0,0,$R2055)</f>
      </c>
      <c r="K2056" s="43">
        <f>IF($I2056=0,0,IF(INDEX(DarlOhneTilgung,5)=1,0,IF(AND(INDEX(DarlTilgStart,5)&gt;0,$E2056=INDEX(DarlTilgStart,5)),$J2056*($H2056+INDEX(DarlTilgung,5))/100/12,IF(AND($G2056=0,$G2055=1),MAX($K2055,$J2056*($H2056+1)/100/12),$K2055))))</f>
      </c>
      <c r="L2056" s="43">
        <f>IF($I2056=0,0,$J2056*$H2056/100/12)</f>
      </c>
      <c r="M2056" s="43">
        <f>IF($I2056=0,0,IF(OR(INDEX(DarlOhneTilgung,5)=1,AND(INDEX(DarlTilgStart,5)&gt;0,$E2056&lt;INDEX(DarlTilgStart,5))),0,MIN(MAX(0,$K2056-$L2056),$J2056)))</f>
      </c>
      <c r="N2056" s="43">
        <f>IF($I2056=0,0,MIN(SUMIFS(SondBetrag,SondDarl,5,SondDatum,"&gt;="&amp;$E2056,SondDatum,"&lt;="&amp;EOMONTH($E2056,0)),$J2056-$M2056))</f>
      </c>
      <c r="O2056" s="43">
        <f>IF($I2056=0,0,INDEX(DarlErsatzRate,5))</f>
      </c>
      <c r="P2056" s="43">
        <f>IF($I2056=0,0,$Q2055*INDEX(DarlErsatzZins,5))</f>
      </c>
      <c r="Q2056" s="43">
        <f>IF($I2056=0,0,$Q2055+$P2056+$O2056)</f>
      </c>
      <c r="R2056" s="43">
        <f>IF($I2056=0,0,$J2056-$M2056-$N2056)</f>
      </c>
    </row>
    <row r="2057">
      <c r="A2057"/>
      <c r="B2057">
        <v>5</v>
      </c>
      <c r="C2057" s="43">
        <f>INDEX(DarlObj,5)</f>
      </c>
      <c r="D2057">
        <v>134</v>
      </c>
      <c r="E2057" s="51">
        <f>IF(INDEX(DarlBelegt,5)=0,0,EOMONTH(INDEX(DarlAuszahlung,5),133)+1)</f>
      </c>
      <c r="F2057" s="43">
        <f>IF($E2057=0,0,YEAR($E2057))</f>
      </c>
      <c r="G2057" s="43">
        <f>IF(INDEX(DarlBindung,5)="",1,IF($E2057&lt;=INDEX(DarlBindung,5),1,0))</f>
      </c>
      <c r="H2057" s="43">
        <f>IF($G2057=1,INDEX(DarlSollzins,5),INDEX(DarlAnschluss,5))</f>
      </c>
      <c r="I2057" s="43">
        <f>IF(INDEX(DarlBelegt,5)=0,0,IF(INDEX(DarlOhneTilgung,5)=1,IF(INDEX(DarlBindung,5)="",1,$G2057),IF($J2057&gt;0.005,1,0)))</f>
      </c>
      <c r="J2057" s="43">
        <f>IF($I2056=0,0,$R2056)</f>
      </c>
      <c r="K2057" s="43">
        <f>IF($I2057=0,0,IF(INDEX(DarlOhneTilgung,5)=1,0,IF(AND(INDEX(DarlTilgStart,5)&gt;0,$E2057=INDEX(DarlTilgStart,5)),$J2057*($H2057+INDEX(DarlTilgung,5))/100/12,IF(AND($G2057=0,$G2056=1),MAX($K2056,$J2057*($H2057+1)/100/12),$K2056))))</f>
      </c>
      <c r="L2057" s="43">
        <f>IF($I2057=0,0,$J2057*$H2057/100/12)</f>
      </c>
      <c r="M2057" s="43">
        <f>IF($I2057=0,0,IF(OR(INDEX(DarlOhneTilgung,5)=1,AND(INDEX(DarlTilgStart,5)&gt;0,$E2057&lt;INDEX(DarlTilgStart,5))),0,MIN(MAX(0,$K2057-$L2057),$J2057)))</f>
      </c>
      <c r="N2057" s="43">
        <f>IF($I2057=0,0,MIN(SUMIFS(SondBetrag,SondDarl,5,SondDatum,"&gt;="&amp;$E2057,SondDatum,"&lt;="&amp;EOMONTH($E2057,0)),$J2057-$M2057))</f>
      </c>
      <c r="O2057" s="43">
        <f>IF($I2057=0,0,INDEX(DarlErsatzRate,5))</f>
      </c>
      <c r="P2057" s="43">
        <f>IF($I2057=0,0,$Q2056*INDEX(DarlErsatzZins,5))</f>
      </c>
      <c r="Q2057" s="43">
        <f>IF($I2057=0,0,$Q2056+$P2057+$O2057)</f>
      </c>
      <c r="R2057" s="43">
        <f>IF($I2057=0,0,$J2057-$M2057-$N2057)</f>
      </c>
    </row>
    <row r="2058">
      <c r="A2058"/>
      <c r="B2058">
        <v>5</v>
      </c>
      <c r="C2058" s="43">
        <f>INDEX(DarlObj,5)</f>
      </c>
      <c r="D2058">
        <v>135</v>
      </c>
      <c r="E2058" s="51">
        <f>IF(INDEX(DarlBelegt,5)=0,0,EOMONTH(INDEX(DarlAuszahlung,5),134)+1)</f>
      </c>
      <c r="F2058" s="43">
        <f>IF($E2058=0,0,YEAR($E2058))</f>
      </c>
      <c r="G2058" s="43">
        <f>IF(INDEX(DarlBindung,5)="",1,IF($E2058&lt;=INDEX(DarlBindung,5),1,0))</f>
      </c>
      <c r="H2058" s="43">
        <f>IF($G2058=1,INDEX(DarlSollzins,5),INDEX(DarlAnschluss,5))</f>
      </c>
      <c r="I2058" s="43">
        <f>IF(INDEX(DarlBelegt,5)=0,0,IF(INDEX(DarlOhneTilgung,5)=1,IF(INDEX(DarlBindung,5)="",1,$G2058),IF($J2058&gt;0.005,1,0)))</f>
      </c>
      <c r="J2058" s="43">
        <f>IF($I2057=0,0,$R2057)</f>
      </c>
      <c r="K2058" s="43">
        <f>IF($I2058=0,0,IF(INDEX(DarlOhneTilgung,5)=1,0,IF(AND(INDEX(DarlTilgStart,5)&gt;0,$E2058=INDEX(DarlTilgStart,5)),$J2058*($H2058+INDEX(DarlTilgung,5))/100/12,IF(AND($G2058=0,$G2057=1),MAX($K2057,$J2058*($H2058+1)/100/12),$K2057))))</f>
      </c>
      <c r="L2058" s="43">
        <f>IF($I2058=0,0,$J2058*$H2058/100/12)</f>
      </c>
      <c r="M2058" s="43">
        <f>IF($I2058=0,0,IF(OR(INDEX(DarlOhneTilgung,5)=1,AND(INDEX(DarlTilgStart,5)&gt;0,$E2058&lt;INDEX(DarlTilgStart,5))),0,MIN(MAX(0,$K2058-$L2058),$J2058)))</f>
      </c>
      <c r="N2058" s="43">
        <f>IF($I2058=0,0,MIN(SUMIFS(SondBetrag,SondDarl,5,SondDatum,"&gt;="&amp;$E2058,SondDatum,"&lt;="&amp;EOMONTH($E2058,0)),$J2058-$M2058))</f>
      </c>
      <c r="O2058" s="43">
        <f>IF($I2058=0,0,INDEX(DarlErsatzRate,5))</f>
      </c>
      <c r="P2058" s="43">
        <f>IF($I2058=0,0,$Q2057*INDEX(DarlErsatzZins,5))</f>
      </c>
      <c r="Q2058" s="43">
        <f>IF($I2058=0,0,$Q2057+$P2058+$O2058)</f>
      </c>
      <c r="R2058" s="43">
        <f>IF($I2058=0,0,$J2058-$M2058-$N2058)</f>
      </c>
    </row>
    <row r="2059">
      <c r="A2059"/>
      <c r="B2059">
        <v>5</v>
      </c>
      <c r="C2059" s="43">
        <f>INDEX(DarlObj,5)</f>
      </c>
      <c r="D2059">
        <v>136</v>
      </c>
      <c r="E2059" s="51">
        <f>IF(INDEX(DarlBelegt,5)=0,0,EOMONTH(INDEX(DarlAuszahlung,5),135)+1)</f>
      </c>
      <c r="F2059" s="43">
        <f>IF($E2059=0,0,YEAR($E2059))</f>
      </c>
      <c r="G2059" s="43">
        <f>IF(INDEX(DarlBindung,5)="",1,IF($E2059&lt;=INDEX(DarlBindung,5),1,0))</f>
      </c>
      <c r="H2059" s="43">
        <f>IF($G2059=1,INDEX(DarlSollzins,5),INDEX(DarlAnschluss,5))</f>
      </c>
      <c r="I2059" s="43">
        <f>IF(INDEX(DarlBelegt,5)=0,0,IF(INDEX(DarlOhneTilgung,5)=1,IF(INDEX(DarlBindung,5)="",1,$G2059),IF($J2059&gt;0.005,1,0)))</f>
      </c>
      <c r="J2059" s="43">
        <f>IF($I2058=0,0,$R2058)</f>
      </c>
      <c r="K2059" s="43">
        <f>IF($I2059=0,0,IF(INDEX(DarlOhneTilgung,5)=1,0,IF(AND(INDEX(DarlTilgStart,5)&gt;0,$E2059=INDEX(DarlTilgStart,5)),$J2059*($H2059+INDEX(DarlTilgung,5))/100/12,IF(AND($G2059=0,$G2058=1),MAX($K2058,$J2059*($H2059+1)/100/12),$K2058))))</f>
      </c>
      <c r="L2059" s="43">
        <f>IF($I2059=0,0,$J2059*$H2059/100/12)</f>
      </c>
      <c r="M2059" s="43">
        <f>IF($I2059=0,0,IF(OR(INDEX(DarlOhneTilgung,5)=1,AND(INDEX(DarlTilgStart,5)&gt;0,$E2059&lt;INDEX(DarlTilgStart,5))),0,MIN(MAX(0,$K2059-$L2059),$J2059)))</f>
      </c>
      <c r="N2059" s="43">
        <f>IF($I2059=0,0,MIN(SUMIFS(SondBetrag,SondDarl,5,SondDatum,"&gt;="&amp;$E2059,SondDatum,"&lt;="&amp;EOMONTH($E2059,0)),$J2059-$M2059))</f>
      </c>
      <c r="O2059" s="43">
        <f>IF($I2059=0,0,INDEX(DarlErsatzRate,5))</f>
      </c>
      <c r="P2059" s="43">
        <f>IF($I2059=0,0,$Q2058*INDEX(DarlErsatzZins,5))</f>
      </c>
      <c r="Q2059" s="43">
        <f>IF($I2059=0,0,$Q2058+$P2059+$O2059)</f>
      </c>
      <c r="R2059" s="43">
        <f>IF($I2059=0,0,$J2059-$M2059-$N2059)</f>
      </c>
    </row>
    <row r="2060">
      <c r="A2060"/>
      <c r="B2060">
        <v>5</v>
      </c>
      <c r="C2060" s="43">
        <f>INDEX(DarlObj,5)</f>
      </c>
      <c r="D2060">
        <v>137</v>
      </c>
      <c r="E2060" s="51">
        <f>IF(INDEX(DarlBelegt,5)=0,0,EOMONTH(INDEX(DarlAuszahlung,5),136)+1)</f>
      </c>
      <c r="F2060" s="43">
        <f>IF($E2060=0,0,YEAR($E2060))</f>
      </c>
      <c r="G2060" s="43">
        <f>IF(INDEX(DarlBindung,5)="",1,IF($E2060&lt;=INDEX(DarlBindung,5),1,0))</f>
      </c>
      <c r="H2060" s="43">
        <f>IF($G2060=1,INDEX(DarlSollzins,5),INDEX(DarlAnschluss,5))</f>
      </c>
      <c r="I2060" s="43">
        <f>IF(INDEX(DarlBelegt,5)=0,0,IF(INDEX(DarlOhneTilgung,5)=1,IF(INDEX(DarlBindung,5)="",1,$G2060),IF($J2060&gt;0.005,1,0)))</f>
      </c>
      <c r="J2060" s="43">
        <f>IF($I2059=0,0,$R2059)</f>
      </c>
      <c r="K2060" s="43">
        <f>IF($I2060=0,0,IF(INDEX(DarlOhneTilgung,5)=1,0,IF(AND(INDEX(DarlTilgStart,5)&gt;0,$E2060=INDEX(DarlTilgStart,5)),$J2060*($H2060+INDEX(DarlTilgung,5))/100/12,IF(AND($G2060=0,$G2059=1),MAX($K2059,$J2060*($H2060+1)/100/12),$K2059))))</f>
      </c>
      <c r="L2060" s="43">
        <f>IF($I2060=0,0,$J2060*$H2060/100/12)</f>
      </c>
      <c r="M2060" s="43">
        <f>IF($I2060=0,0,IF(OR(INDEX(DarlOhneTilgung,5)=1,AND(INDEX(DarlTilgStart,5)&gt;0,$E2060&lt;INDEX(DarlTilgStart,5))),0,MIN(MAX(0,$K2060-$L2060),$J2060)))</f>
      </c>
      <c r="N2060" s="43">
        <f>IF($I2060=0,0,MIN(SUMIFS(SondBetrag,SondDarl,5,SondDatum,"&gt;="&amp;$E2060,SondDatum,"&lt;="&amp;EOMONTH($E2060,0)),$J2060-$M2060))</f>
      </c>
      <c r="O2060" s="43">
        <f>IF($I2060=0,0,INDEX(DarlErsatzRate,5))</f>
      </c>
      <c r="P2060" s="43">
        <f>IF($I2060=0,0,$Q2059*INDEX(DarlErsatzZins,5))</f>
      </c>
      <c r="Q2060" s="43">
        <f>IF($I2060=0,0,$Q2059+$P2060+$O2060)</f>
      </c>
      <c r="R2060" s="43">
        <f>IF($I2060=0,0,$J2060-$M2060-$N2060)</f>
      </c>
    </row>
    <row r="2061">
      <c r="A2061"/>
      <c r="B2061">
        <v>5</v>
      </c>
      <c r="C2061" s="43">
        <f>INDEX(DarlObj,5)</f>
      </c>
      <c r="D2061">
        <v>138</v>
      </c>
      <c r="E2061" s="51">
        <f>IF(INDEX(DarlBelegt,5)=0,0,EOMONTH(INDEX(DarlAuszahlung,5),137)+1)</f>
      </c>
      <c r="F2061" s="43">
        <f>IF($E2061=0,0,YEAR($E2061))</f>
      </c>
      <c r="G2061" s="43">
        <f>IF(INDEX(DarlBindung,5)="",1,IF($E2061&lt;=INDEX(DarlBindung,5),1,0))</f>
      </c>
      <c r="H2061" s="43">
        <f>IF($G2061=1,INDEX(DarlSollzins,5),INDEX(DarlAnschluss,5))</f>
      </c>
      <c r="I2061" s="43">
        <f>IF(INDEX(DarlBelegt,5)=0,0,IF(INDEX(DarlOhneTilgung,5)=1,IF(INDEX(DarlBindung,5)="",1,$G2061),IF($J2061&gt;0.005,1,0)))</f>
      </c>
      <c r="J2061" s="43">
        <f>IF($I2060=0,0,$R2060)</f>
      </c>
      <c r="K2061" s="43">
        <f>IF($I2061=0,0,IF(INDEX(DarlOhneTilgung,5)=1,0,IF(AND(INDEX(DarlTilgStart,5)&gt;0,$E2061=INDEX(DarlTilgStart,5)),$J2061*($H2061+INDEX(DarlTilgung,5))/100/12,IF(AND($G2061=0,$G2060=1),MAX($K2060,$J2061*($H2061+1)/100/12),$K2060))))</f>
      </c>
      <c r="L2061" s="43">
        <f>IF($I2061=0,0,$J2061*$H2061/100/12)</f>
      </c>
      <c r="M2061" s="43">
        <f>IF($I2061=0,0,IF(OR(INDEX(DarlOhneTilgung,5)=1,AND(INDEX(DarlTilgStart,5)&gt;0,$E2061&lt;INDEX(DarlTilgStart,5))),0,MIN(MAX(0,$K2061-$L2061),$J2061)))</f>
      </c>
      <c r="N2061" s="43">
        <f>IF($I2061=0,0,MIN(SUMIFS(SondBetrag,SondDarl,5,SondDatum,"&gt;="&amp;$E2061,SondDatum,"&lt;="&amp;EOMONTH($E2061,0)),$J2061-$M2061))</f>
      </c>
      <c r="O2061" s="43">
        <f>IF($I2061=0,0,INDEX(DarlErsatzRate,5))</f>
      </c>
      <c r="P2061" s="43">
        <f>IF($I2061=0,0,$Q2060*INDEX(DarlErsatzZins,5))</f>
      </c>
      <c r="Q2061" s="43">
        <f>IF($I2061=0,0,$Q2060+$P2061+$O2061)</f>
      </c>
      <c r="R2061" s="43">
        <f>IF($I2061=0,0,$J2061-$M2061-$N2061)</f>
      </c>
    </row>
    <row r="2062">
      <c r="A2062"/>
      <c r="B2062">
        <v>5</v>
      </c>
      <c r="C2062" s="43">
        <f>INDEX(DarlObj,5)</f>
      </c>
      <c r="D2062">
        <v>139</v>
      </c>
      <c r="E2062" s="51">
        <f>IF(INDEX(DarlBelegt,5)=0,0,EOMONTH(INDEX(DarlAuszahlung,5),138)+1)</f>
      </c>
      <c r="F2062" s="43">
        <f>IF($E2062=0,0,YEAR($E2062))</f>
      </c>
      <c r="G2062" s="43">
        <f>IF(INDEX(DarlBindung,5)="",1,IF($E2062&lt;=INDEX(DarlBindung,5),1,0))</f>
      </c>
      <c r="H2062" s="43">
        <f>IF($G2062=1,INDEX(DarlSollzins,5),INDEX(DarlAnschluss,5))</f>
      </c>
      <c r="I2062" s="43">
        <f>IF(INDEX(DarlBelegt,5)=0,0,IF(INDEX(DarlOhneTilgung,5)=1,IF(INDEX(DarlBindung,5)="",1,$G2062),IF($J2062&gt;0.005,1,0)))</f>
      </c>
      <c r="J2062" s="43">
        <f>IF($I2061=0,0,$R2061)</f>
      </c>
      <c r="K2062" s="43">
        <f>IF($I2062=0,0,IF(INDEX(DarlOhneTilgung,5)=1,0,IF(AND(INDEX(DarlTilgStart,5)&gt;0,$E2062=INDEX(DarlTilgStart,5)),$J2062*($H2062+INDEX(DarlTilgung,5))/100/12,IF(AND($G2062=0,$G2061=1),MAX($K2061,$J2062*($H2062+1)/100/12),$K2061))))</f>
      </c>
      <c r="L2062" s="43">
        <f>IF($I2062=0,0,$J2062*$H2062/100/12)</f>
      </c>
      <c r="M2062" s="43">
        <f>IF($I2062=0,0,IF(OR(INDEX(DarlOhneTilgung,5)=1,AND(INDEX(DarlTilgStart,5)&gt;0,$E2062&lt;INDEX(DarlTilgStart,5))),0,MIN(MAX(0,$K2062-$L2062),$J2062)))</f>
      </c>
      <c r="N2062" s="43">
        <f>IF($I2062=0,0,MIN(SUMIFS(SondBetrag,SondDarl,5,SondDatum,"&gt;="&amp;$E2062,SondDatum,"&lt;="&amp;EOMONTH($E2062,0)),$J2062-$M2062))</f>
      </c>
      <c r="O2062" s="43">
        <f>IF($I2062=0,0,INDEX(DarlErsatzRate,5))</f>
      </c>
      <c r="P2062" s="43">
        <f>IF($I2062=0,0,$Q2061*INDEX(DarlErsatzZins,5))</f>
      </c>
      <c r="Q2062" s="43">
        <f>IF($I2062=0,0,$Q2061+$P2062+$O2062)</f>
      </c>
      <c r="R2062" s="43">
        <f>IF($I2062=0,0,$J2062-$M2062-$N2062)</f>
      </c>
    </row>
    <row r="2063">
      <c r="A2063"/>
      <c r="B2063">
        <v>5</v>
      </c>
      <c r="C2063" s="43">
        <f>INDEX(DarlObj,5)</f>
      </c>
      <c r="D2063">
        <v>140</v>
      </c>
      <c r="E2063" s="51">
        <f>IF(INDEX(DarlBelegt,5)=0,0,EOMONTH(INDEX(DarlAuszahlung,5),139)+1)</f>
      </c>
      <c r="F2063" s="43">
        <f>IF($E2063=0,0,YEAR($E2063))</f>
      </c>
      <c r="G2063" s="43">
        <f>IF(INDEX(DarlBindung,5)="",1,IF($E2063&lt;=INDEX(DarlBindung,5),1,0))</f>
      </c>
      <c r="H2063" s="43">
        <f>IF($G2063=1,INDEX(DarlSollzins,5),INDEX(DarlAnschluss,5))</f>
      </c>
      <c r="I2063" s="43">
        <f>IF(INDEX(DarlBelegt,5)=0,0,IF(INDEX(DarlOhneTilgung,5)=1,IF(INDEX(DarlBindung,5)="",1,$G2063),IF($J2063&gt;0.005,1,0)))</f>
      </c>
      <c r="J2063" s="43">
        <f>IF($I2062=0,0,$R2062)</f>
      </c>
      <c r="K2063" s="43">
        <f>IF($I2063=0,0,IF(INDEX(DarlOhneTilgung,5)=1,0,IF(AND(INDEX(DarlTilgStart,5)&gt;0,$E2063=INDEX(DarlTilgStart,5)),$J2063*($H2063+INDEX(DarlTilgung,5))/100/12,IF(AND($G2063=0,$G2062=1),MAX($K2062,$J2063*($H2063+1)/100/12),$K2062))))</f>
      </c>
      <c r="L2063" s="43">
        <f>IF($I2063=0,0,$J2063*$H2063/100/12)</f>
      </c>
      <c r="M2063" s="43">
        <f>IF($I2063=0,0,IF(OR(INDEX(DarlOhneTilgung,5)=1,AND(INDEX(DarlTilgStart,5)&gt;0,$E2063&lt;INDEX(DarlTilgStart,5))),0,MIN(MAX(0,$K2063-$L2063),$J2063)))</f>
      </c>
      <c r="N2063" s="43">
        <f>IF($I2063=0,0,MIN(SUMIFS(SondBetrag,SondDarl,5,SondDatum,"&gt;="&amp;$E2063,SondDatum,"&lt;="&amp;EOMONTH($E2063,0)),$J2063-$M2063))</f>
      </c>
      <c r="O2063" s="43">
        <f>IF($I2063=0,0,INDEX(DarlErsatzRate,5))</f>
      </c>
      <c r="P2063" s="43">
        <f>IF($I2063=0,0,$Q2062*INDEX(DarlErsatzZins,5))</f>
      </c>
      <c r="Q2063" s="43">
        <f>IF($I2063=0,0,$Q2062+$P2063+$O2063)</f>
      </c>
      <c r="R2063" s="43">
        <f>IF($I2063=0,0,$J2063-$M2063-$N2063)</f>
      </c>
    </row>
    <row r="2064">
      <c r="A2064"/>
      <c r="B2064">
        <v>5</v>
      </c>
      <c r="C2064" s="43">
        <f>INDEX(DarlObj,5)</f>
      </c>
      <c r="D2064">
        <v>141</v>
      </c>
      <c r="E2064" s="51">
        <f>IF(INDEX(DarlBelegt,5)=0,0,EOMONTH(INDEX(DarlAuszahlung,5),140)+1)</f>
      </c>
      <c r="F2064" s="43">
        <f>IF($E2064=0,0,YEAR($E2064))</f>
      </c>
      <c r="G2064" s="43">
        <f>IF(INDEX(DarlBindung,5)="",1,IF($E2064&lt;=INDEX(DarlBindung,5),1,0))</f>
      </c>
      <c r="H2064" s="43">
        <f>IF($G2064=1,INDEX(DarlSollzins,5),INDEX(DarlAnschluss,5))</f>
      </c>
      <c r="I2064" s="43">
        <f>IF(INDEX(DarlBelegt,5)=0,0,IF(INDEX(DarlOhneTilgung,5)=1,IF(INDEX(DarlBindung,5)="",1,$G2064),IF($J2064&gt;0.005,1,0)))</f>
      </c>
      <c r="J2064" s="43">
        <f>IF($I2063=0,0,$R2063)</f>
      </c>
      <c r="K2064" s="43">
        <f>IF($I2064=0,0,IF(INDEX(DarlOhneTilgung,5)=1,0,IF(AND(INDEX(DarlTilgStart,5)&gt;0,$E2064=INDEX(DarlTilgStart,5)),$J2064*($H2064+INDEX(DarlTilgung,5))/100/12,IF(AND($G2064=0,$G2063=1),MAX($K2063,$J2064*($H2064+1)/100/12),$K2063))))</f>
      </c>
      <c r="L2064" s="43">
        <f>IF($I2064=0,0,$J2064*$H2064/100/12)</f>
      </c>
      <c r="M2064" s="43">
        <f>IF($I2064=0,0,IF(OR(INDEX(DarlOhneTilgung,5)=1,AND(INDEX(DarlTilgStart,5)&gt;0,$E2064&lt;INDEX(DarlTilgStart,5))),0,MIN(MAX(0,$K2064-$L2064),$J2064)))</f>
      </c>
      <c r="N2064" s="43">
        <f>IF($I2064=0,0,MIN(SUMIFS(SondBetrag,SondDarl,5,SondDatum,"&gt;="&amp;$E2064,SondDatum,"&lt;="&amp;EOMONTH($E2064,0)),$J2064-$M2064))</f>
      </c>
      <c r="O2064" s="43">
        <f>IF($I2064=0,0,INDEX(DarlErsatzRate,5))</f>
      </c>
      <c r="P2064" s="43">
        <f>IF($I2064=0,0,$Q2063*INDEX(DarlErsatzZins,5))</f>
      </c>
      <c r="Q2064" s="43">
        <f>IF($I2064=0,0,$Q2063+$P2064+$O2064)</f>
      </c>
      <c r="R2064" s="43">
        <f>IF($I2064=0,0,$J2064-$M2064-$N2064)</f>
      </c>
    </row>
    <row r="2065">
      <c r="A2065"/>
      <c r="B2065">
        <v>5</v>
      </c>
      <c r="C2065" s="43">
        <f>INDEX(DarlObj,5)</f>
      </c>
      <c r="D2065">
        <v>142</v>
      </c>
      <c r="E2065" s="51">
        <f>IF(INDEX(DarlBelegt,5)=0,0,EOMONTH(INDEX(DarlAuszahlung,5),141)+1)</f>
      </c>
      <c r="F2065" s="43">
        <f>IF($E2065=0,0,YEAR($E2065))</f>
      </c>
      <c r="G2065" s="43">
        <f>IF(INDEX(DarlBindung,5)="",1,IF($E2065&lt;=INDEX(DarlBindung,5),1,0))</f>
      </c>
      <c r="H2065" s="43">
        <f>IF($G2065=1,INDEX(DarlSollzins,5),INDEX(DarlAnschluss,5))</f>
      </c>
      <c r="I2065" s="43">
        <f>IF(INDEX(DarlBelegt,5)=0,0,IF(INDEX(DarlOhneTilgung,5)=1,IF(INDEX(DarlBindung,5)="",1,$G2065),IF($J2065&gt;0.005,1,0)))</f>
      </c>
      <c r="J2065" s="43">
        <f>IF($I2064=0,0,$R2064)</f>
      </c>
      <c r="K2065" s="43">
        <f>IF($I2065=0,0,IF(INDEX(DarlOhneTilgung,5)=1,0,IF(AND(INDEX(DarlTilgStart,5)&gt;0,$E2065=INDEX(DarlTilgStart,5)),$J2065*($H2065+INDEX(DarlTilgung,5))/100/12,IF(AND($G2065=0,$G2064=1),MAX($K2064,$J2065*($H2065+1)/100/12),$K2064))))</f>
      </c>
      <c r="L2065" s="43">
        <f>IF($I2065=0,0,$J2065*$H2065/100/12)</f>
      </c>
      <c r="M2065" s="43">
        <f>IF($I2065=0,0,IF(OR(INDEX(DarlOhneTilgung,5)=1,AND(INDEX(DarlTilgStart,5)&gt;0,$E2065&lt;INDEX(DarlTilgStart,5))),0,MIN(MAX(0,$K2065-$L2065),$J2065)))</f>
      </c>
      <c r="N2065" s="43">
        <f>IF($I2065=0,0,MIN(SUMIFS(SondBetrag,SondDarl,5,SondDatum,"&gt;="&amp;$E2065,SondDatum,"&lt;="&amp;EOMONTH($E2065,0)),$J2065-$M2065))</f>
      </c>
      <c r="O2065" s="43">
        <f>IF($I2065=0,0,INDEX(DarlErsatzRate,5))</f>
      </c>
      <c r="P2065" s="43">
        <f>IF($I2065=0,0,$Q2064*INDEX(DarlErsatzZins,5))</f>
      </c>
      <c r="Q2065" s="43">
        <f>IF($I2065=0,0,$Q2064+$P2065+$O2065)</f>
      </c>
      <c r="R2065" s="43">
        <f>IF($I2065=0,0,$J2065-$M2065-$N2065)</f>
      </c>
    </row>
    <row r="2066">
      <c r="A2066"/>
      <c r="B2066">
        <v>5</v>
      </c>
      <c r="C2066" s="43">
        <f>INDEX(DarlObj,5)</f>
      </c>
      <c r="D2066">
        <v>143</v>
      </c>
      <c r="E2066" s="51">
        <f>IF(INDEX(DarlBelegt,5)=0,0,EOMONTH(INDEX(DarlAuszahlung,5),142)+1)</f>
      </c>
      <c r="F2066" s="43">
        <f>IF($E2066=0,0,YEAR($E2066))</f>
      </c>
      <c r="G2066" s="43">
        <f>IF(INDEX(DarlBindung,5)="",1,IF($E2066&lt;=INDEX(DarlBindung,5),1,0))</f>
      </c>
      <c r="H2066" s="43">
        <f>IF($G2066=1,INDEX(DarlSollzins,5),INDEX(DarlAnschluss,5))</f>
      </c>
      <c r="I2066" s="43">
        <f>IF(INDEX(DarlBelegt,5)=0,0,IF(INDEX(DarlOhneTilgung,5)=1,IF(INDEX(DarlBindung,5)="",1,$G2066),IF($J2066&gt;0.005,1,0)))</f>
      </c>
      <c r="J2066" s="43">
        <f>IF($I2065=0,0,$R2065)</f>
      </c>
      <c r="K2066" s="43">
        <f>IF($I2066=0,0,IF(INDEX(DarlOhneTilgung,5)=1,0,IF(AND(INDEX(DarlTilgStart,5)&gt;0,$E2066=INDEX(DarlTilgStart,5)),$J2066*($H2066+INDEX(DarlTilgung,5))/100/12,IF(AND($G2066=0,$G2065=1),MAX($K2065,$J2066*($H2066+1)/100/12),$K2065))))</f>
      </c>
      <c r="L2066" s="43">
        <f>IF($I2066=0,0,$J2066*$H2066/100/12)</f>
      </c>
      <c r="M2066" s="43">
        <f>IF($I2066=0,0,IF(OR(INDEX(DarlOhneTilgung,5)=1,AND(INDEX(DarlTilgStart,5)&gt;0,$E2066&lt;INDEX(DarlTilgStart,5))),0,MIN(MAX(0,$K2066-$L2066),$J2066)))</f>
      </c>
      <c r="N2066" s="43">
        <f>IF($I2066=0,0,MIN(SUMIFS(SondBetrag,SondDarl,5,SondDatum,"&gt;="&amp;$E2066,SondDatum,"&lt;="&amp;EOMONTH($E2066,0)),$J2066-$M2066))</f>
      </c>
      <c r="O2066" s="43">
        <f>IF($I2066=0,0,INDEX(DarlErsatzRate,5))</f>
      </c>
      <c r="P2066" s="43">
        <f>IF($I2066=0,0,$Q2065*INDEX(DarlErsatzZins,5))</f>
      </c>
      <c r="Q2066" s="43">
        <f>IF($I2066=0,0,$Q2065+$P2066+$O2066)</f>
      </c>
      <c r="R2066" s="43">
        <f>IF($I2066=0,0,$J2066-$M2066-$N2066)</f>
      </c>
    </row>
    <row r="2067">
      <c r="A2067"/>
      <c r="B2067">
        <v>5</v>
      </c>
      <c r="C2067" s="43">
        <f>INDEX(DarlObj,5)</f>
      </c>
      <c r="D2067">
        <v>144</v>
      </c>
      <c r="E2067" s="51">
        <f>IF(INDEX(DarlBelegt,5)=0,0,EOMONTH(INDEX(DarlAuszahlung,5),143)+1)</f>
      </c>
      <c r="F2067" s="43">
        <f>IF($E2067=0,0,YEAR($E2067))</f>
      </c>
      <c r="G2067" s="43">
        <f>IF(INDEX(DarlBindung,5)="",1,IF($E2067&lt;=INDEX(DarlBindung,5),1,0))</f>
      </c>
      <c r="H2067" s="43">
        <f>IF($G2067=1,INDEX(DarlSollzins,5),INDEX(DarlAnschluss,5))</f>
      </c>
      <c r="I2067" s="43">
        <f>IF(INDEX(DarlBelegt,5)=0,0,IF(INDEX(DarlOhneTilgung,5)=1,IF(INDEX(DarlBindung,5)="",1,$G2067),IF($J2067&gt;0.005,1,0)))</f>
      </c>
      <c r="J2067" s="43">
        <f>IF($I2066=0,0,$R2066)</f>
      </c>
      <c r="K2067" s="43">
        <f>IF($I2067=0,0,IF(INDEX(DarlOhneTilgung,5)=1,0,IF(AND(INDEX(DarlTilgStart,5)&gt;0,$E2067=INDEX(DarlTilgStart,5)),$J2067*($H2067+INDEX(DarlTilgung,5))/100/12,IF(AND($G2067=0,$G2066=1),MAX($K2066,$J2067*($H2067+1)/100/12),$K2066))))</f>
      </c>
      <c r="L2067" s="43">
        <f>IF($I2067=0,0,$J2067*$H2067/100/12)</f>
      </c>
      <c r="M2067" s="43">
        <f>IF($I2067=0,0,IF(OR(INDEX(DarlOhneTilgung,5)=1,AND(INDEX(DarlTilgStart,5)&gt;0,$E2067&lt;INDEX(DarlTilgStart,5))),0,MIN(MAX(0,$K2067-$L2067),$J2067)))</f>
      </c>
      <c r="N2067" s="43">
        <f>IF($I2067=0,0,MIN(SUMIFS(SondBetrag,SondDarl,5,SondDatum,"&gt;="&amp;$E2067,SondDatum,"&lt;="&amp;EOMONTH($E2067,0)),$J2067-$M2067))</f>
      </c>
      <c r="O2067" s="43">
        <f>IF($I2067=0,0,INDEX(DarlErsatzRate,5))</f>
      </c>
      <c r="P2067" s="43">
        <f>IF($I2067=0,0,$Q2066*INDEX(DarlErsatzZins,5))</f>
      </c>
      <c r="Q2067" s="43">
        <f>IF($I2067=0,0,$Q2066+$P2067+$O2067)</f>
      </c>
      <c r="R2067" s="43">
        <f>IF($I2067=0,0,$J2067-$M2067-$N2067)</f>
      </c>
    </row>
    <row r="2068">
      <c r="A2068"/>
      <c r="B2068">
        <v>5</v>
      </c>
      <c r="C2068" s="43">
        <f>INDEX(DarlObj,5)</f>
      </c>
      <c r="D2068">
        <v>145</v>
      </c>
      <c r="E2068" s="51">
        <f>IF(INDEX(DarlBelegt,5)=0,0,EOMONTH(INDEX(DarlAuszahlung,5),144)+1)</f>
      </c>
      <c r="F2068" s="43">
        <f>IF($E2068=0,0,YEAR($E2068))</f>
      </c>
      <c r="G2068" s="43">
        <f>IF(INDEX(DarlBindung,5)="",1,IF($E2068&lt;=INDEX(DarlBindung,5),1,0))</f>
      </c>
      <c r="H2068" s="43">
        <f>IF($G2068=1,INDEX(DarlSollzins,5),INDEX(DarlAnschluss,5))</f>
      </c>
      <c r="I2068" s="43">
        <f>IF(INDEX(DarlBelegt,5)=0,0,IF(INDEX(DarlOhneTilgung,5)=1,IF(INDEX(DarlBindung,5)="",1,$G2068),IF($J2068&gt;0.005,1,0)))</f>
      </c>
      <c r="J2068" s="43">
        <f>IF($I2067=0,0,$R2067)</f>
      </c>
      <c r="K2068" s="43">
        <f>IF($I2068=0,0,IF(INDEX(DarlOhneTilgung,5)=1,0,IF(AND(INDEX(DarlTilgStart,5)&gt;0,$E2068=INDEX(DarlTilgStart,5)),$J2068*($H2068+INDEX(DarlTilgung,5))/100/12,IF(AND($G2068=0,$G2067=1),MAX($K2067,$J2068*($H2068+1)/100/12),$K2067))))</f>
      </c>
      <c r="L2068" s="43">
        <f>IF($I2068=0,0,$J2068*$H2068/100/12)</f>
      </c>
      <c r="M2068" s="43">
        <f>IF($I2068=0,0,IF(OR(INDEX(DarlOhneTilgung,5)=1,AND(INDEX(DarlTilgStart,5)&gt;0,$E2068&lt;INDEX(DarlTilgStart,5))),0,MIN(MAX(0,$K2068-$L2068),$J2068)))</f>
      </c>
      <c r="N2068" s="43">
        <f>IF($I2068=0,0,MIN(SUMIFS(SondBetrag,SondDarl,5,SondDatum,"&gt;="&amp;$E2068,SondDatum,"&lt;="&amp;EOMONTH($E2068,0)),$J2068-$M2068))</f>
      </c>
      <c r="O2068" s="43">
        <f>IF($I2068=0,0,INDEX(DarlErsatzRate,5))</f>
      </c>
      <c r="P2068" s="43">
        <f>IF($I2068=0,0,$Q2067*INDEX(DarlErsatzZins,5))</f>
      </c>
      <c r="Q2068" s="43">
        <f>IF($I2068=0,0,$Q2067+$P2068+$O2068)</f>
      </c>
      <c r="R2068" s="43">
        <f>IF($I2068=0,0,$J2068-$M2068-$N2068)</f>
      </c>
    </row>
    <row r="2069">
      <c r="A2069"/>
      <c r="B2069">
        <v>5</v>
      </c>
      <c r="C2069" s="43">
        <f>INDEX(DarlObj,5)</f>
      </c>
      <c r="D2069">
        <v>146</v>
      </c>
      <c r="E2069" s="51">
        <f>IF(INDEX(DarlBelegt,5)=0,0,EOMONTH(INDEX(DarlAuszahlung,5),145)+1)</f>
      </c>
      <c r="F2069" s="43">
        <f>IF($E2069=0,0,YEAR($E2069))</f>
      </c>
      <c r="G2069" s="43">
        <f>IF(INDEX(DarlBindung,5)="",1,IF($E2069&lt;=INDEX(DarlBindung,5),1,0))</f>
      </c>
      <c r="H2069" s="43">
        <f>IF($G2069=1,INDEX(DarlSollzins,5),INDEX(DarlAnschluss,5))</f>
      </c>
      <c r="I2069" s="43">
        <f>IF(INDEX(DarlBelegt,5)=0,0,IF(INDEX(DarlOhneTilgung,5)=1,IF(INDEX(DarlBindung,5)="",1,$G2069),IF($J2069&gt;0.005,1,0)))</f>
      </c>
      <c r="J2069" s="43">
        <f>IF($I2068=0,0,$R2068)</f>
      </c>
      <c r="K2069" s="43">
        <f>IF($I2069=0,0,IF(INDEX(DarlOhneTilgung,5)=1,0,IF(AND(INDEX(DarlTilgStart,5)&gt;0,$E2069=INDEX(DarlTilgStart,5)),$J2069*($H2069+INDEX(DarlTilgung,5))/100/12,IF(AND($G2069=0,$G2068=1),MAX($K2068,$J2069*($H2069+1)/100/12),$K2068))))</f>
      </c>
      <c r="L2069" s="43">
        <f>IF($I2069=0,0,$J2069*$H2069/100/12)</f>
      </c>
      <c r="M2069" s="43">
        <f>IF($I2069=0,0,IF(OR(INDEX(DarlOhneTilgung,5)=1,AND(INDEX(DarlTilgStart,5)&gt;0,$E2069&lt;INDEX(DarlTilgStart,5))),0,MIN(MAX(0,$K2069-$L2069),$J2069)))</f>
      </c>
      <c r="N2069" s="43">
        <f>IF($I2069=0,0,MIN(SUMIFS(SondBetrag,SondDarl,5,SondDatum,"&gt;="&amp;$E2069,SondDatum,"&lt;="&amp;EOMONTH($E2069,0)),$J2069-$M2069))</f>
      </c>
      <c r="O2069" s="43">
        <f>IF($I2069=0,0,INDEX(DarlErsatzRate,5))</f>
      </c>
      <c r="P2069" s="43">
        <f>IF($I2069=0,0,$Q2068*INDEX(DarlErsatzZins,5))</f>
      </c>
      <c r="Q2069" s="43">
        <f>IF($I2069=0,0,$Q2068+$P2069+$O2069)</f>
      </c>
      <c r="R2069" s="43">
        <f>IF($I2069=0,0,$J2069-$M2069-$N2069)</f>
      </c>
    </row>
    <row r="2070">
      <c r="A2070"/>
      <c r="B2070">
        <v>5</v>
      </c>
      <c r="C2070" s="43">
        <f>INDEX(DarlObj,5)</f>
      </c>
      <c r="D2070">
        <v>147</v>
      </c>
      <c r="E2070" s="51">
        <f>IF(INDEX(DarlBelegt,5)=0,0,EOMONTH(INDEX(DarlAuszahlung,5),146)+1)</f>
      </c>
      <c r="F2070" s="43">
        <f>IF($E2070=0,0,YEAR($E2070))</f>
      </c>
      <c r="G2070" s="43">
        <f>IF(INDEX(DarlBindung,5)="",1,IF($E2070&lt;=INDEX(DarlBindung,5),1,0))</f>
      </c>
      <c r="H2070" s="43">
        <f>IF($G2070=1,INDEX(DarlSollzins,5),INDEX(DarlAnschluss,5))</f>
      </c>
      <c r="I2070" s="43">
        <f>IF(INDEX(DarlBelegt,5)=0,0,IF(INDEX(DarlOhneTilgung,5)=1,IF(INDEX(DarlBindung,5)="",1,$G2070),IF($J2070&gt;0.005,1,0)))</f>
      </c>
      <c r="J2070" s="43">
        <f>IF($I2069=0,0,$R2069)</f>
      </c>
      <c r="K2070" s="43">
        <f>IF($I2070=0,0,IF(INDEX(DarlOhneTilgung,5)=1,0,IF(AND(INDEX(DarlTilgStart,5)&gt;0,$E2070=INDEX(DarlTilgStart,5)),$J2070*($H2070+INDEX(DarlTilgung,5))/100/12,IF(AND($G2070=0,$G2069=1),MAX($K2069,$J2070*($H2070+1)/100/12),$K2069))))</f>
      </c>
      <c r="L2070" s="43">
        <f>IF($I2070=0,0,$J2070*$H2070/100/12)</f>
      </c>
      <c r="M2070" s="43">
        <f>IF($I2070=0,0,IF(OR(INDEX(DarlOhneTilgung,5)=1,AND(INDEX(DarlTilgStart,5)&gt;0,$E2070&lt;INDEX(DarlTilgStart,5))),0,MIN(MAX(0,$K2070-$L2070),$J2070)))</f>
      </c>
      <c r="N2070" s="43">
        <f>IF($I2070=0,0,MIN(SUMIFS(SondBetrag,SondDarl,5,SondDatum,"&gt;="&amp;$E2070,SondDatum,"&lt;="&amp;EOMONTH($E2070,0)),$J2070-$M2070))</f>
      </c>
      <c r="O2070" s="43">
        <f>IF($I2070=0,0,INDEX(DarlErsatzRate,5))</f>
      </c>
      <c r="P2070" s="43">
        <f>IF($I2070=0,0,$Q2069*INDEX(DarlErsatzZins,5))</f>
      </c>
      <c r="Q2070" s="43">
        <f>IF($I2070=0,0,$Q2069+$P2070+$O2070)</f>
      </c>
      <c r="R2070" s="43">
        <f>IF($I2070=0,0,$J2070-$M2070-$N2070)</f>
      </c>
    </row>
    <row r="2071">
      <c r="A2071"/>
      <c r="B2071">
        <v>5</v>
      </c>
      <c r="C2071" s="43">
        <f>INDEX(DarlObj,5)</f>
      </c>
      <c r="D2071">
        <v>148</v>
      </c>
      <c r="E2071" s="51">
        <f>IF(INDEX(DarlBelegt,5)=0,0,EOMONTH(INDEX(DarlAuszahlung,5),147)+1)</f>
      </c>
      <c r="F2071" s="43">
        <f>IF($E2071=0,0,YEAR($E2071))</f>
      </c>
      <c r="G2071" s="43">
        <f>IF(INDEX(DarlBindung,5)="",1,IF($E2071&lt;=INDEX(DarlBindung,5),1,0))</f>
      </c>
      <c r="H2071" s="43">
        <f>IF($G2071=1,INDEX(DarlSollzins,5),INDEX(DarlAnschluss,5))</f>
      </c>
      <c r="I2071" s="43">
        <f>IF(INDEX(DarlBelegt,5)=0,0,IF(INDEX(DarlOhneTilgung,5)=1,IF(INDEX(DarlBindung,5)="",1,$G2071),IF($J2071&gt;0.005,1,0)))</f>
      </c>
      <c r="J2071" s="43">
        <f>IF($I2070=0,0,$R2070)</f>
      </c>
      <c r="K2071" s="43">
        <f>IF($I2071=0,0,IF(INDEX(DarlOhneTilgung,5)=1,0,IF(AND(INDEX(DarlTilgStart,5)&gt;0,$E2071=INDEX(DarlTilgStart,5)),$J2071*($H2071+INDEX(DarlTilgung,5))/100/12,IF(AND($G2071=0,$G2070=1),MAX($K2070,$J2071*($H2071+1)/100/12),$K2070))))</f>
      </c>
      <c r="L2071" s="43">
        <f>IF($I2071=0,0,$J2071*$H2071/100/12)</f>
      </c>
      <c r="M2071" s="43">
        <f>IF($I2071=0,0,IF(OR(INDEX(DarlOhneTilgung,5)=1,AND(INDEX(DarlTilgStart,5)&gt;0,$E2071&lt;INDEX(DarlTilgStart,5))),0,MIN(MAX(0,$K2071-$L2071),$J2071)))</f>
      </c>
      <c r="N2071" s="43">
        <f>IF($I2071=0,0,MIN(SUMIFS(SondBetrag,SondDarl,5,SondDatum,"&gt;="&amp;$E2071,SondDatum,"&lt;="&amp;EOMONTH($E2071,0)),$J2071-$M2071))</f>
      </c>
      <c r="O2071" s="43">
        <f>IF($I2071=0,0,INDEX(DarlErsatzRate,5))</f>
      </c>
      <c r="P2071" s="43">
        <f>IF($I2071=0,0,$Q2070*INDEX(DarlErsatzZins,5))</f>
      </c>
      <c r="Q2071" s="43">
        <f>IF($I2071=0,0,$Q2070+$P2071+$O2071)</f>
      </c>
      <c r="R2071" s="43">
        <f>IF($I2071=0,0,$J2071-$M2071-$N2071)</f>
      </c>
    </row>
    <row r="2072">
      <c r="A2072"/>
      <c r="B2072">
        <v>5</v>
      </c>
      <c r="C2072" s="43">
        <f>INDEX(DarlObj,5)</f>
      </c>
      <c r="D2072">
        <v>149</v>
      </c>
      <c r="E2072" s="51">
        <f>IF(INDEX(DarlBelegt,5)=0,0,EOMONTH(INDEX(DarlAuszahlung,5),148)+1)</f>
      </c>
      <c r="F2072" s="43">
        <f>IF($E2072=0,0,YEAR($E2072))</f>
      </c>
      <c r="G2072" s="43">
        <f>IF(INDEX(DarlBindung,5)="",1,IF($E2072&lt;=INDEX(DarlBindung,5),1,0))</f>
      </c>
      <c r="H2072" s="43">
        <f>IF($G2072=1,INDEX(DarlSollzins,5),INDEX(DarlAnschluss,5))</f>
      </c>
      <c r="I2072" s="43">
        <f>IF(INDEX(DarlBelegt,5)=0,0,IF(INDEX(DarlOhneTilgung,5)=1,IF(INDEX(DarlBindung,5)="",1,$G2072),IF($J2072&gt;0.005,1,0)))</f>
      </c>
      <c r="J2072" s="43">
        <f>IF($I2071=0,0,$R2071)</f>
      </c>
      <c r="K2072" s="43">
        <f>IF($I2072=0,0,IF(INDEX(DarlOhneTilgung,5)=1,0,IF(AND(INDEX(DarlTilgStart,5)&gt;0,$E2072=INDEX(DarlTilgStart,5)),$J2072*($H2072+INDEX(DarlTilgung,5))/100/12,IF(AND($G2072=0,$G2071=1),MAX($K2071,$J2072*($H2072+1)/100/12),$K2071))))</f>
      </c>
      <c r="L2072" s="43">
        <f>IF($I2072=0,0,$J2072*$H2072/100/12)</f>
      </c>
      <c r="M2072" s="43">
        <f>IF($I2072=0,0,IF(OR(INDEX(DarlOhneTilgung,5)=1,AND(INDEX(DarlTilgStart,5)&gt;0,$E2072&lt;INDEX(DarlTilgStart,5))),0,MIN(MAX(0,$K2072-$L2072),$J2072)))</f>
      </c>
      <c r="N2072" s="43">
        <f>IF($I2072=0,0,MIN(SUMIFS(SondBetrag,SondDarl,5,SondDatum,"&gt;="&amp;$E2072,SondDatum,"&lt;="&amp;EOMONTH($E2072,0)),$J2072-$M2072))</f>
      </c>
      <c r="O2072" s="43">
        <f>IF($I2072=0,0,INDEX(DarlErsatzRate,5))</f>
      </c>
      <c r="P2072" s="43">
        <f>IF($I2072=0,0,$Q2071*INDEX(DarlErsatzZins,5))</f>
      </c>
      <c r="Q2072" s="43">
        <f>IF($I2072=0,0,$Q2071+$P2072+$O2072)</f>
      </c>
      <c r="R2072" s="43">
        <f>IF($I2072=0,0,$J2072-$M2072-$N2072)</f>
      </c>
    </row>
    <row r="2073">
      <c r="A2073"/>
      <c r="B2073">
        <v>5</v>
      </c>
      <c r="C2073" s="43">
        <f>INDEX(DarlObj,5)</f>
      </c>
      <c r="D2073">
        <v>150</v>
      </c>
      <c r="E2073" s="51">
        <f>IF(INDEX(DarlBelegt,5)=0,0,EOMONTH(INDEX(DarlAuszahlung,5),149)+1)</f>
      </c>
      <c r="F2073" s="43">
        <f>IF($E2073=0,0,YEAR($E2073))</f>
      </c>
      <c r="G2073" s="43">
        <f>IF(INDEX(DarlBindung,5)="",1,IF($E2073&lt;=INDEX(DarlBindung,5),1,0))</f>
      </c>
      <c r="H2073" s="43">
        <f>IF($G2073=1,INDEX(DarlSollzins,5),INDEX(DarlAnschluss,5))</f>
      </c>
      <c r="I2073" s="43">
        <f>IF(INDEX(DarlBelegt,5)=0,0,IF(INDEX(DarlOhneTilgung,5)=1,IF(INDEX(DarlBindung,5)="",1,$G2073),IF($J2073&gt;0.005,1,0)))</f>
      </c>
      <c r="J2073" s="43">
        <f>IF($I2072=0,0,$R2072)</f>
      </c>
      <c r="K2073" s="43">
        <f>IF($I2073=0,0,IF(INDEX(DarlOhneTilgung,5)=1,0,IF(AND(INDEX(DarlTilgStart,5)&gt;0,$E2073=INDEX(DarlTilgStart,5)),$J2073*($H2073+INDEX(DarlTilgung,5))/100/12,IF(AND($G2073=0,$G2072=1),MAX($K2072,$J2073*($H2073+1)/100/12),$K2072))))</f>
      </c>
      <c r="L2073" s="43">
        <f>IF($I2073=0,0,$J2073*$H2073/100/12)</f>
      </c>
      <c r="M2073" s="43">
        <f>IF($I2073=0,0,IF(OR(INDEX(DarlOhneTilgung,5)=1,AND(INDEX(DarlTilgStart,5)&gt;0,$E2073&lt;INDEX(DarlTilgStart,5))),0,MIN(MAX(0,$K2073-$L2073),$J2073)))</f>
      </c>
      <c r="N2073" s="43">
        <f>IF($I2073=0,0,MIN(SUMIFS(SondBetrag,SondDarl,5,SondDatum,"&gt;="&amp;$E2073,SondDatum,"&lt;="&amp;EOMONTH($E2073,0)),$J2073-$M2073))</f>
      </c>
      <c r="O2073" s="43">
        <f>IF($I2073=0,0,INDEX(DarlErsatzRate,5))</f>
      </c>
      <c r="P2073" s="43">
        <f>IF($I2073=0,0,$Q2072*INDEX(DarlErsatzZins,5))</f>
      </c>
      <c r="Q2073" s="43">
        <f>IF($I2073=0,0,$Q2072+$P2073+$O2073)</f>
      </c>
      <c r="R2073" s="43">
        <f>IF($I2073=0,0,$J2073-$M2073-$N2073)</f>
      </c>
    </row>
    <row r="2074">
      <c r="A2074"/>
      <c r="B2074">
        <v>5</v>
      </c>
      <c r="C2074" s="43">
        <f>INDEX(DarlObj,5)</f>
      </c>
      <c r="D2074">
        <v>151</v>
      </c>
      <c r="E2074" s="51">
        <f>IF(INDEX(DarlBelegt,5)=0,0,EOMONTH(INDEX(DarlAuszahlung,5),150)+1)</f>
      </c>
      <c r="F2074" s="43">
        <f>IF($E2074=0,0,YEAR($E2074))</f>
      </c>
      <c r="G2074" s="43">
        <f>IF(INDEX(DarlBindung,5)="",1,IF($E2074&lt;=INDEX(DarlBindung,5),1,0))</f>
      </c>
      <c r="H2074" s="43">
        <f>IF($G2074=1,INDEX(DarlSollzins,5),INDEX(DarlAnschluss,5))</f>
      </c>
      <c r="I2074" s="43">
        <f>IF(INDEX(DarlBelegt,5)=0,0,IF(INDEX(DarlOhneTilgung,5)=1,IF(INDEX(DarlBindung,5)="",1,$G2074),IF($J2074&gt;0.005,1,0)))</f>
      </c>
      <c r="J2074" s="43">
        <f>IF($I2073=0,0,$R2073)</f>
      </c>
      <c r="K2074" s="43">
        <f>IF($I2074=0,0,IF(INDEX(DarlOhneTilgung,5)=1,0,IF(AND(INDEX(DarlTilgStart,5)&gt;0,$E2074=INDEX(DarlTilgStart,5)),$J2074*($H2074+INDEX(DarlTilgung,5))/100/12,IF(AND($G2074=0,$G2073=1),MAX($K2073,$J2074*($H2074+1)/100/12),$K2073))))</f>
      </c>
      <c r="L2074" s="43">
        <f>IF($I2074=0,0,$J2074*$H2074/100/12)</f>
      </c>
      <c r="M2074" s="43">
        <f>IF($I2074=0,0,IF(OR(INDEX(DarlOhneTilgung,5)=1,AND(INDEX(DarlTilgStart,5)&gt;0,$E2074&lt;INDEX(DarlTilgStart,5))),0,MIN(MAX(0,$K2074-$L2074),$J2074)))</f>
      </c>
      <c r="N2074" s="43">
        <f>IF($I2074=0,0,MIN(SUMIFS(SondBetrag,SondDarl,5,SondDatum,"&gt;="&amp;$E2074,SondDatum,"&lt;="&amp;EOMONTH($E2074,0)),$J2074-$M2074))</f>
      </c>
      <c r="O2074" s="43">
        <f>IF($I2074=0,0,INDEX(DarlErsatzRate,5))</f>
      </c>
      <c r="P2074" s="43">
        <f>IF($I2074=0,0,$Q2073*INDEX(DarlErsatzZins,5))</f>
      </c>
      <c r="Q2074" s="43">
        <f>IF($I2074=0,0,$Q2073+$P2074+$O2074)</f>
      </c>
      <c r="R2074" s="43">
        <f>IF($I2074=0,0,$J2074-$M2074-$N2074)</f>
      </c>
    </row>
    <row r="2075">
      <c r="A2075"/>
      <c r="B2075">
        <v>5</v>
      </c>
      <c r="C2075" s="43">
        <f>INDEX(DarlObj,5)</f>
      </c>
      <c r="D2075">
        <v>152</v>
      </c>
      <c r="E2075" s="51">
        <f>IF(INDEX(DarlBelegt,5)=0,0,EOMONTH(INDEX(DarlAuszahlung,5),151)+1)</f>
      </c>
      <c r="F2075" s="43">
        <f>IF($E2075=0,0,YEAR($E2075))</f>
      </c>
      <c r="G2075" s="43">
        <f>IF(INDEX(DarlBindung,5)="",1,IF($E2075&lt;=INDEX(DarlBindung,5),1,0))</f>
      </c>
      <c r="H2075" s="43">
        <f>IF($G2075=1,INDEX(DarlSollzins,5),INDEX(DarlAnschluss,5))</f>
      </c>
      <c r="I2075" s="43">
        <f>IF(INDEX(DarlBelegt,5)=0,0,IF(INDEX(DarlOhneTilgung,5)=1,IF(INDEX(DarlBindung,5)="",1,$G2075),IF($J2075&gt;0.005,1,0)))</f>
      </c>
      <c r="J2075" s="43">
        <f>IF($I2074=0,0,$R2074)</f>
      </c>
      <c r="K2075" s="43">
        <f>IF($I2075=0,0,IF(INDEX(DarlOhneTilgung,5)=1,0,IF(AND(INDEX(DarlTilgStart,5)&gt;0,$E2075=INDEX(DarlTilgStart,5)),$J2075*($H2075+INDEX(DarlTilgung,5))/100/12,IF(AND($G2075=0,$G2074=1),MAX($K2074,$J2075*($H2075+1)/100/12),$K2074))))</f>
      </c>
      <c r="L2075" s="43">
        <f>IF($I2075=0,0,$J2075*$H2075/100/12)</f>
      </c>
      <c r="M2075" s="43">
        <f>IF($I2075=0,0,IF(OR(INDEX(DarlOhneTilgung,5)=1,AND(INDEX(DarlTilgStart,5)&gt;0,$E2075&lt;INDEX(DarlTilgStart,5))),0,MIN(MAX(0,$K2075-$L2075),$J2075)))</f>
      </c>
      <c r="N2075" s="43">
        <f>IF($I2075=0,0,MIN(SUMIFS(SondBetrag,SondDarl,5,SondDatum,"&gt;="&amp;$E2075,SondDatum,"&lt;="&amp;EOMONTH($E2075,0)),$J2075-$M2075))</f>
      </c>
      <c r="O2075" s="43">
        <f>IF($I2075=0,0,INDEX(DarlErsatzRate,5))</f>
      </c>
      <c r="P2075" s="43">
        <f>IF($I2075=0,0,$Q2074*INDEX(DarlErsatzZins,5))</f>
      </c>
      <c r="Q2075" s="43">
        <f>IF($I2075=0,0,$Q2074+$P2075+$O2075)</f>
      </c>
      <c r="R2075" s="43">
        <f>IF($I2075=0,0,$J2075-$M2075-$N2075)</f>
      </c>
    </row>
    <row r="2076">
      <c r="A2076"/>
      <c r="B2076">
        <v>5</v>
      </c>
      <c r="C2076" s="43">
        <f>INDEX(DarlObj,5)</f>
      </c>
      <c r="D2076">
        <v>153</v>
      </c>
      <c r="E2076" s="51">
        <f>IF(INDEX(DarlBelegt,5)=0,0,EOMONTH(INDEX(DarlAuszahlung,5),152)+1)</f>
      </c>
      <c r="F2076" s="43">
        <f>IF($E2076=0,0,YEAR($E2076))</f>
      </c>
      <c r="G2076" s="43">
        <f>IF(INDEX(DarlBindung,5)="",1,IF($E2076&lt;=INDEX(DarlBindung,5),1,0))</f>
      </c>
      <c r="H2076" s="43">
        <f>IF($G2076=1,INDEX(DarlSollzins,5),INDEX(DarlAnschluss,5))</f>
      </c>
      <c r="I2076" s="43">
        <f>IF(INDEX(DarlBelegt,5)=0,0,IF(INDEX(DarlOhneTilgung,5)=1,IF(INDEX(DarlBindung,5)="",1,$G2076),IF($J2076&gt;0.005,1,0)))</f>
      </c>
      <c r="J2076" s="43">
        <f>IF($I2075=0,0,$R2075)</f>
      </c>
      <c r="K2076" s="43">
        <f>IF($I2076=0,0,IF(INDEX(DarlOhneTilgung,5)=1,0,IF(AND(INDEX(DarlTilgStart,5)&gt;0,$E2076=INDEX(DarlTilgStart,5)),$J2076*($H2076+INDEX(DarlTilgung,5))/100/12,IF(AND($G2076=0,$G2075=1),MAX($K2075,$J2076*($H2076+1)/100/12),$K2075))))</f>
      </c>
      <c r="L2076" s="43">
        <f>IF($I2076=0,0,$J2076*$H2076/100/12)</f>
      </c>
      <c r="M2076" s="43">
        <f>IF($I2076=0,0,IF(OR(INDEX(DarlOhneTilgung,5)=1,AND(INDEX(DarlTilgStart,5)&gt;0,$E2076&lt;INDEX(DarlTilgStart,5))),0,MIN(MAX(0,$K2076-$L2076),$J2076)))</f>
      </c>
      <c r="N2076" s="43">
        <f>IF($I2076=0,0,MIN(SUMIFS(SondBetrag,SondDarl,5,SondDatum,"&gt;="&amp;$E2076,SondDatum,"&lt;="&amp;EOMONTH($E2076,0)),$J2076-$M2076))</f>
      </c>
      <c r="O2076" s="43">
        <f>IF($I2076=0,0,INDEX(DarlErsatzRate,5))</f>
      </c>
      <c r="P2076" s="43">
        <f>IF($I2076=0,0,$Q2075*INDEX(DarlErsatzZins,5))</f>
      </c>
      <c r="Q2076" s="43">
        <f>IF($I2076=0,0,$Q2075+$P2076+$O2076)</f>
      </c>
      <c r="R2076" s="43">
        <f>IF($I2076=0,0,$J2076-$M2076-$N2076)</f>
      </c>
    </row>
    <row r="2077">
      <c r="A2077"/>
      <c r="B2077">
        <v>5</v>
      </c>
      <c r="C2077" s="43">
        <f>INDEX(DarlObj,5)</f>
      </c>
      <c r="D2077">
        <v>154</v>
      </c>
      <c r="E2077" s="51">
        <f>IF(INDEX(DarlBelegt,5)=0,0,EOMONTH(INDEX(DarlAuszahlung,5),153)+1)</f>
      </c>
      <c r="F2077" s="43">
        <f>IF($E2077=0,0,YEAR($E2077))</f>
      </c>
      <c r="G2077" s="43">
        <f>IF(INDEX(DarlBindung,5)="",1,IF($E2077&lt;=INDEX(DarlBindung,5),1,0))</f>
      </c>
      <c r="H2077" s="43">
        <f>IF($G2077=1,INDEX(DarlSollzins,5),INDEX(DarlAnschluss,5))</f>
      </c>
      <c r="I2077" s="43">
        <f>IF(INDEX(DarlBelegt,5)=0,0,IF(INDEX(DarlOhneTilgung,5)=1,IF(INDEX(DarlBindung,5)="",1,$G2077),IF($J2077&gt;0.005,1,0)))</f>
      </c>
      <c r="J2077" s="43">
        <f>IF($I2076=0,0,$R2076)</f>
      </c>
      <c r="K2077" s="43">
        <f>IF($I2077=0,0,IF(INDEX(DarlOhneTilgung,5)=1,0,IF(AND(INDEX(DarlTilgStart,5)&gt;0,$E2077=INDEX(DarlTilgStart,5)),$J2077*($H2077+INDEX(DarlTilgung,5))/100/12,IF(AND($G2077=0,$G2076=1),MAX($K2076,$J2077*($H2077+1)/100/12),$K2076))))</f>
      </c>
      <c r="L2077" s="43">
        <f>IF($I2077=0,0,$J2077*$H2077/100/12)</f>
      </c>
      <c r="M2077" s="43">
        <f>IF($I2077=0,0,IF(OR(INDEX(DarlOhneTilgung,5)=1,AND(INDEX(DarlTilgStart,5)&gt;0,$E2077&lt;INDEX(DarlTilgStart,5))),0,MIN(MAX(0,$K2077-$L2077),$J2077)))</f>
      </c>
      <c r="N2077" s="43">
        <f>IF($I2077=0,0,MIN(SUMIFS(SondBetrag,SondDarl,5,SondDatum,"&gt;="&amp;$E2077,SondDatum,"&lt;="&amp;EOMONTH($E2077,0)),$J2077-$M2077))</f>
      </c>
      <c r="O2077" s="43">
        <f>IF($I2077=0,0,INDEX(DarlErsatzRate,5))</f>
      </c>
      <c r="P2077" s="43">
        <f>IF($I2077=0,0,$Q2076*INDEX(DarlErsatzZins,5))</f>
      </c>
      <c r="Q2077" s="43">
        <f>IF($I2077=0,0,$Q2076+$P2077+$O2077)</f>
      </c>
      <c r="R2077" s="43">
        <f>IF($I2077=0,0,$J2077-$M2077-$N2077)</f>
      </c>
    </row>
    <row r="2078">
      <c r="A2078"/>
      <c r="B2078">
        <v>5</v>
      </c>
      <c r="C2078" s="43">
        <f>INDEX(DarlObj,5)</f>
      </c>
      <c r="D2078">
        <v>155</v>
      </c>
      <c r="E2078" s="51">
        <f>IF(INDEX(DarlBelegt,5)=0,0,EOMONTH(INDEX(DarlAuszahlung,5),154)+1)</f>
      </c>
      <c r="F2078" s="43">
        <f>IF($E2078=0,0,YEAR($E2078))</f>
      </c>
      <c r="G2078" s="43">
        <f>IF(INDEX(DarlBindung,5)="",1,IF($E2078&lt;=INDEX(DarlBindung,5),1,0))</f>
      </c>
      <c r="H2078" s="43">
        <f>IF($G2078=1,INDEX(DarlSollzins,5),INDEX(DarlAnschluss,5))</f>
      </c>
      <c r="I2078" s="43">
        <f>IF(INDEX(DarlBelegt,5)=0,0,IF(INDEX(DarlOhneTilgung,5)=1,IF(INDEX(DarlBindung,5)="",1,$G2078),IF($J2078&gt;0.005,1,0)))</f>
      </c>
      <c r="J2078" s="43">
        <f>IF($I2077=0,0,$R2077)</f>
      </c>
      <c r="K2078" s="43">
        <f>IF($I2078=0,0,IF(INDEX(DarlOhneTilgung,5)=1,0,IF(AND(INDEX(DarlTilgStart,5)&gt;0,$E2078=INDEX(DarlTilgStart,5)),$J2078*($H2078+INDEX(DarlTilgung,5))/100/12,IF(AND($G2078=0,$G2077=1),MAX($K2077,$J2078*($H2078+1)/100/12),$K2077))))</f>
      </c>
      <c r="L2078" s="43">
        <f>IF($I2078=0,0,$J2078*$H2078/100/12)</f>
      </c>
      <c r="M2078" s="43">
        <f>IF($I2078=0,0,IF(OR(INDEX(DarlOhneTilgung,5)=1,AND(INDEX(DarlTilgStart,5)&gt;0,$E2078&lt;INDEX(DarlTilgStart,5))),0,MIN(MAX(0,$K2078-$L2078),$J2078)))</f>
      </c>
      <c r="N2078" s="43">
        <f>IF($I2078=0,0,MIN(SUMIFS(SondBetrag,SondDarl,5,SondDatum,"&gt;="&amp;$E2078,SondDatum,"&lt;="&amp;EOMONTH($E2078,0)),$J2078-$M2078))</f>
      </c>
      <c r="O2078" s="43">
        <f>IF($I2078=0,0,INDEX(DarlErsatzRate,5))</f>
      </c>
      <c r="P2078" s="43">
        <f>IF($I2078=0,0,$Q2077*INDEX(DarlErsatzZins,5))</f>
      </c>
      <c r="Q2078" s="43">
        <f>IF($I2078=0,0,$Q2077+$P2078+$O2078)</f>
      </c>
      <c r="R2078" s="43">
        <f>IF($I2078=0,0,$J2078-$M2078-$N2078)</f>
      </c>
    </row>
    <row r="2079">
      <c r="A2079"/>
      <c r="B2079">
        <v>5</v>
      </c>
      <c r="C2079" s="43">
        <f>INDEX(DarlObj,5)</f>
      </c>
      <c r="D2079">
        <v>156</v>
      </c>
      <c r="E2079" s="51">
        <f>IF(INDEX(DarlBelegt,5)=0,0,EOMONTH(INDEX(DarlAuszahlung,5),155)+1)</f>
      </c>
      <c r="F2079" s="43">
        <f>IF($E2079=0,0,YEAR($E2079))</f>
      </c>
      <c r="G2079" s="43">
        <f>IF(INDEX(DarlBindung,5)="",1,IF($E2079&lt;=INDEX(DarlBindung,5),1,0))</f>
      </c>
      <c r="H2079" s="43">
        <f>IF($G2079=1,INDEX(DarlSollzins,5),INDEX(DarlAnschluss,5))</f>
      </c>
      <c r="I2079" s="43">
        <f>IF(INDEX(DarlBelegt,5)=0,0,IF(INDEX(DarlOhneTilgung,5)=1,IF(INDEX(DarlBindung,5)="",1,$G2079),IF($J2079&gt;0.005,1,0)))</f>
      </c>
      <c r="J2079" s="43">
        <f>IF($I2078=0,0,$R2078)</f>
      </c>
      <c r="K2079" s="43">
        <f>IF($I2079=0,0,IF(INDEX(DarlOhneTilgung,5)=1,0,IF(AND(INDEX(DarlTilgStart,5)&gt;0,$E2079=INDEX(DarlTilgStart,5)),$J2079*($H2079+INDEX(DarlTilgung,5))/100/12,IF(AND($G2079=0,$G2078=1),MAX($K2078,$J2079*($H2079+1)/100/12),$K2078))))</f>
      </c>
      <c r="L2079" s="43">
        <f>IF($I2079=0,0,$J2079*$H2079/100/12)</f>
      </c>
      <c r="M2079" s="43">
        <f>IF($I2079=0,0,IF(OR(INDEX(DarlOhneTilgung,5)=1,AND(INDEX(DarlTilgStart,5)&gt;0,$E2079&lt;INDEX(DarlTilgStart,5))),0,MIN(MAX(0,$K2079-$L2079),$J2079)))</f>
      </c>
      <c r="N2079" s="43">
        <f>IF($I2079=0,0,MIN(SUMIFS(SondBetrag,SondDarl,5,SondDatum,"&gt;="&amp;$E2079,SondDatum,"&lt;="&amp;EOMONTH($E2079,0)),$J2079-$M2079))</f>
      </c>
      <c r="O2079" s="43">
        <f>IF($I2079=0,0,INDEX(DarlErsatzRate,5))</f>
      </c>
      <c r="P2079" s="43">
        <f>IF($I2079=0,0,$Q2078*INDEX(DarlErsatzZins,5))</f>
      </c>
      <c r="Q2079" s="43">
        <f>IF($I2079=0,0,$Q2078+$P2079+$O2079)</f>
      </c>
      <c r="R2079" s="43">
        <f>IF($I2079=0,0,$J2079-$M2079-$N2079)</f>
      </c>
    </row>
    <row r="2080">
      <c r="A2080"/>
      <c r="B2080">
        <v>5</v>
      </c>
      <c r="C2080" s="43">
        <f>INDEX(DarlObj,5)</f>
      </c>
      <c r="D2080">
        <v>157</v>
      </c>
      <c r="E2080" s="51">
        <f>IF(INDEX(DarlBelegt,5)=0,0,EOMONTH(INDEX(DarlAuszahlung,5),156)+1)</f>
      </c>
      <c r="F2080" s="43">
        <f>IF($E2080=0,0,YEAR($E2080))</f>
      </c>
      <c r="G2080" s="43">
        <f>IF(INDEX(DarlBindung,5)="",1,IF($E2080&lt;=INDEX(DarlBindung,5),1,0))</f>
      </c>
      <c r="H2080" s="43">
        <f>IF($G2080=1,INDEX(DarlSollzins,5),INDEX(DarlAnschluss,5))</f>
      </c>
      <c r="I2080" s="43">
        <f>IF(INDEX(DarlBelegt,5)=0,0,IF(INDEX(DarlOhneTilgung,5)=1,IF(INDEX(DarlBindung,5)="",1,$G2080),IF($J2080&gt;0.005,1,0)))</f>
      </c>
      <c r="J2080" s="43">
        <f>IF($I2079=0,0,$R2079)</f>
      </c>
      <c r="K2080" s="43">
        <f>IF($I2080=0,0,IF(INDEX(DarlOhneTilgung,5)=1,0,IF(AND(INDEX(DarlTilgStart,5)&gt;0,$E2080=INDEX(DarlTilgStart,5)),$J2080*($H2080+INDEX(DarlTilgung,5))/100/12,IF(AND($G2080=0,$G2079=1),MAX($K2079,$J2080*($H2080+1)/100/12),$K2079))))</f>
      </c>
      <c r="L2080" s="43">
        <f>IF($I2080=0,0,$J2080*$H2080/100/12)</f>
      </c>
      <c r="M2080" s="43">
        <f>IF($I2080=0,0,IF(OR(INDEX(DarlOhneTilgung,5)=1,AND(INDEX(DarlTilgStart,5)&gt;0,$E2080&lt;INDEX(DarlTilgStart,5))),0,MIN(MAX(0,$K2080-$L2080),$J2080)))</f>
      </c>
      <c r="N2080" s="43">
        <f>IF($I2080=0,0,MIN(SUMIFS(SondBetrag,SondDarl,5,SondDatum,"&gt;="&amp;$E2080,SondDatum,"&lt;="&amp;EOMONTH($E2080,0)),$J2080-$M2080))</f>
      </c>
      <c r="O2080" s="43">
        <f>IF($I2080=0,0,INDEX(DarlErsatzRate,5))</f>
      </c>
      <c r="P2080" s="43">
        <f>IF($I2080=0,0,$Q2079*INDEX(DarlErsatzZins,5))</f>
      </c>
      <c r="Q2080" s="43">
        <f>IF($I2080=0,0,$Q2079+$P2080+$O2080)</f>
      </c>
      <c r="R2080" s="43">
        <f>IF($I2080=0,0,$J2080-$M2080-$N2080)</f>
      </c>
    </row>
    <row r="2081">
      <c r="A2081"/>
      <c r="B2081">
        <v>5</v>
      </c>
      <c r="C2081" s="43">
        <f>INDEX(DarlObj,5)</f>
      </c>
      <c r="D2081">
        <v>158</v>
      </c>
      <c r="E2081" s="51">
        <f>IF(INDEX(DarlBelegt,5)=0,0,EOMONTH(INDEX(DarlAuszahlung,5),157)+1)</f>
      </c>
      <c r="F2081" s="43">
        <f>IF($E2081=0,0,YEAR($E2081))</f>
      </c>
      <c r="G2081" s="43">
        <f>IF(INDEX(DarlBindung,5)="",1,IF($E2081&lt;=INDEX(DarlBindung,5),1,0))</f>
      </c>
      <c r="H2081" s="43">
        <f>IF($G2081=1,INDEX(DarlSollzins,5),INDEX(DarlAnschluss,5))</f>
      </c>
      <c r="I2081" s="43">
        <f>IF(INDEX(DarlBelegt,5)=0,0,IF(INDEX(DarlOhneTilgung,5)=1,IF(INDEX(DarlBindung,5)="",1,$G2081),IF($J2081&gt;0.005,1,0)))</f>
      </c>
      <c r="J2081" s="43">
        <f>IF($I2080=0,0,$R2080)</f>
      </c>
      <c r="K2081" s="43">
        <f>IF($I2081=0,0,IF(INDEX(DarlOhneTilgung,5)=1,0,IF(AND(INDEX(DarlTilgStart,5)&gt;0,$E2081=INDEX(DarlTilgStart,5)),$J2081*($H2081+INDEX(DarlTilgung,5))/100/12,IF(AND($G2081=0,$G2080=1),MAX($K2080,$J2081*($H2081+1)/100/12),$K2080))))</f>
      </c>
      <c r="L2081" s="43">
        <f>IF($I2081=0,0,$J2081*$H2081/100/12)</f>
      </c>
      <c r="M2081" s="43">
        <f>IF($I2081=0,0,IF(OR(INDEX(DarlOhneTilgung,5)=1,AND(INDEX(DarlTilgStart,5)&gt;0,$E2081&lt;INDEX(DarlTilgStart,5))),0,MIN(MAX(0,$K2081-$L2081),$J2081)))</f>
      </c>
      <c r="N2081" s="43">
        <f>IF($I2081=0,0,MIN(SUMIFS(SondBetrag,SondDarl,5,SondDatum,"&gt;="&amp;$E2081,SondDatum,"&lt;="&amp;EOMONTH($E2081,0)),$J2081-$M2081))</f>
      </c>
      <c r="O2081" s="43">
        <f>IF($I2081=0,0,INDEX(DarlErsatzRate,5))</f>
      </c>
      <c r="P2081" s="43">
        <f>IF($I2081=0,0,$Q2080*INDEX(DarlErsatzZins,5))</f>
      </c>
      <c r="Q2081" s="43">
        <f>IF($I2081=0,0,$Q2080+$P2081+$O2081)</f>
      </c>
      <c r="R2081" s="43">
        <f>IF($I2081=0,0,$J2081-$M2081-$N2081)</f>
      </c>
    </row>
    <row r="2082">
      <c r="A2082"/>
      <c r="B2082">
        <v>5</v>
      </c>
      <c r="C2082" s="43">
        <f>INDEX(DarlObj,5)</f>
      </c>
      <c r="D2082">
        <v>159</v>
      </c>
      <c r="E2082" s="51">
        <f>IF(INDEX(DarlBelegt,5)=0,0,EOMONTH(INDEX(DarlAuszahlung,5),158)+1)</f>
      </c>
      <c r="F2082" s="43">
        <f>IF($E2082=0,0,YEAR($E2082))</f>
      </c>
      <c r="G2082" s="43">
        <f>IF(INDEX(DarlBindung,5)="",1,IF($E2082&lt;=INDEX(DarlBindung,5),1,0))</f>
      </c>
      <c r="H2082" s="43">
        <f>IF($G2082=1,INDEX(DarlSollzins,5),INDEX(DarlAnschluss,5))</f>
      </c>
      <c r="I2082" s="43">
        <f>IF(INDEX(DarlBelegt,5)=0,0,IF(INDEX(DarlOhneTilgung,5)=1,IF(INDEX(DarlBindung,5)="",1,$G2082),IF($J2082&gt;0.005,1,0)))</f>
      </c>
      <c r="J2082" s="43">
        <f>IF($I2081=0,0,$R2081)</f>
      </c>
      <c r="K2082" s="43">
        <f>IF($I2082=0,0,IF(INDEX(DarlOhneTilgung,5)=1,0,IF(AND(INDEX(DarlTilgStart,5)&gt;0,$E2082=INDEX(DarlTilgStart,5)),$J2082*($H2082+INDEX(DarlTilgung,5))/100/12,IF(AND($G2082=0,$G2081=1),MAX($K2081,$J2082*($H2082+1)/100/12),$K2081))))</f>
      </c>
      <c r="L2082" s="43">
        <f>IF($I2082=0,0,$J2082*$H2082/100/12)</f>
      </c>
      <c r="M2082" s="43">
        <f>IF($I2082=0,0,IF(OR(INDEX(DarlOhneTilgung,5)=1,AND(INDEX(DarlTilgStart,5)&gt;0,$E2082&lt;INDEX(DarlTilgStart,5))),0,MIN(MAX(0,$K2082-$L2082),$J2082)))</f>
      </c>
      <c r="N2082" s="43">
        <f>IF($I2082=0,0,MIN(SUMIFS(SondBetrag,SondDarl,5,SondDatum,"&gt;="&amp;$E2082,SondDatum,"&lt;="&amp;EOMONTH($E2082,0)),$J2082-$M2082))</f>
      </c>
      <c r="O2082" s="43">
        <f>IF($I2082=0,0,INDEX(DarlErsatzRate,5))</f>
      </c>
      <c r="P2082" s="43">
        <f>IF($I2082=0,0,$Q2081*INDEX(DarlErsatzZins,5))</f>
      </c>
      <c r="Q2082" s="43">
        <f>IF($I2082=0,0,$Q2081+$P2082+$O2082)</f>
      </c>
      <c r="R2082" s="43">
        <f>IF($I2082=0,0,$J2082-$M2082-$N2082)</f>
      </c>
    </row>
    <row r="2083">
      <c r="A2083"/>
      <c r="B2083">
        <v>5</v>
      </c>
      <c r="C2083" s="43">
        <f>INDEX(DarlObj,5)</f>
      </c>
      <c r="D2083">
        <v>160</v>
      </c>
      <c r="E2083" s="51">
        <f>IF(INDEX(DarlBelegt,5)=0,0,EOMONTH(INDEX(DarlAuszahlung,5),159)+1)</f>
      </c>
      <c r="F2083" s="43">
        <f>IF($E2083=0,0,YEAR($E2083))</f>
      </c>
      <c r="G2083" s="43">
        <f>IF(INDEX(DarlBindung,5)="",1,IF($E2083&lt;=INDEX(DarlBindung,5),1,0))</f>
      </c>
      <c r="H2083" s="43">
        <f>IF($G2083=1,INDEX(DarlSollzins,5),INDEX(DarlAnschluss,5))</f>
      </c>
      <c r="I2083" s="43">
        <f>IF(INDEX(DarlBelegt,5)=0,0,IF(INDEX(DarlOhneTilgung,5)=1,IF(INDEX(DarlBindung,5)="",1,$G2083),IF($J2083&gt;0.005,1,0)))</f>
      </c>
      <c r="J2083" s="43">
        <f>IF($I2082=0,0,$R2082)</f>
      </c>
      <c r="K2083" s="43">
        <f>IF($I2083=0,0,IF(INDEX(DarlOhneTilgung,5)=1,0,IF(AND(INDEX(DarlTilgStart,5)&gt;0,$E2083=INDEX(DarlTilgStart,5)),$J2083*($H2083+INDEX(DarlTilgung,5))/100/12,IF(AND($G2083=0,$G2082=1),MAX($K2082,$J2083*($H2083+1)/100/12),$K2082))))</f>
      </c>
      <c r="L2083" s="43">
        <f>IF($I2083=0,0,$J2083*$H2083/100/12)</f>
      </c>
      <c r="M2083" s="43">
        <f>IF($I2083=0,0,IF(OR(INDEX(DarlOhneTilgung,5)=1,AND(INDEX(DarlTilgStart,5)&gt;0,$E2083&lt;INDEX(DarlTilgStart,5))),0,MIN(MAX(0,$K2083-$L2083),$J2083)))</f>
      </c>
      <c r="N2083" s="43">
        <f>IF($I2083=0,0,MIN(SUMIFS(SondBetrag,SondDarl,5,SondDatum,"&gt;="&amp;$E2083,SondDatum,"&lt;="&amp;EOMONTH($E2083,0)),$J2083-$M2083))</f>
      </c>
      <c r="O2083" s="43">
        <f>IF($I2083=0,0,INDEX(DarlErsatzRate,5))</f>
      </c>
      <c r="P2083" s="43">
        <f>IF($I2083=0,0,$Q2082*INDEX(DarlErsatzZins,5))</f>
      </c>
      <c r="Q2083" s="43">
        <f>IF($I2083=0,0,$Q2082+$P2083+$O2083)</f>
      </c>
      <c r="R2083" s="43">
        <f>IF($I2083=0,0,$J2083-$M2083-$N2083)</f>
      </c>
    </row>
    <row r="2084">
      <c r="A2084"/>
      <c r="B2084">
        <v>5</v>
      </c>
      <c r="C2084" s="43">
        <f>INDEX(DarlObj,5)</f>
      </c>
      <c r="D2084">
        <v>161</v>
      </c>
      <c r="E2084" s="51">
        <f>IF(INDEX(DarlBelegt,5)=0,0,EOMONTH(INDEX(DarlAuszahlung,5),160)+1)</f>
      </c>
      <c r="F2084" s="43">
        <f>IF($E2084=0,0,YEAR($E2084))</f>
      </c>
      <c r="G2084" s="43">
        <f>IF(INDEX(DarlBindung,5)="",1,IF($E2084&lt;=INDEX(DarlBindung,5),1,0))</f>
      </c>
      <c r="H2084" s="43">
        <f>IF($G2084=1,INDEX(DarlSollzins,5),INDEX(DarlAnschluss,5))</f>
      </c>
      <c r="I2084" s="43">
        <f>IF(INDEX(DarlBelegt,5)=0,0,IF(INDEX(DarlOhneTilgung,5)=1,IF(INDEX(DarlBindung,5)="",1,$G2084),IF($J2084&gt;0.005,1,0)))</f>
      </c>
      <c r="J2084" s="43">
        <f>IF($I2083=0,0,$R2083)</f>
      </c>
      <c r="K2084" s="43">
        <f>IF($I2084=0,0,IF(INDEX(DarlOhneTilgung,5)=1,0,IF(AND(INDEX(DarlTilgStart,5)&gt;0,$E2084=INDEX(DarlTilgStart,5)),$J2084*($H2084+INDEX(DarlTilgung,5))/100/12,IF(AND($G2084=0,$G2083=1),MAX($K2083,$J2084*($H2084+1)/100/12),$K2083))))</f>
      </c>
      <c r="L2084" s="43">
        <f>IF($I2084=0,0,$J2084*$H2084/100/12)</f>
      </c>
      <c r="M2084" s="43">
        <f>IF($I2084=0,0,IF(OR(INDEX(DarlOhneTilgung,5)=1,AND(INDEX(DarlTilgStart,5)&gt;0,$E2084&lt;INDEX(DarlTilgStart,5))),0,MIN(MAX(0,$K2084-$L2084),$J2084)))</f>
      </c>
      <c r="N2084" s="43">
        <f>IF($I2084=0,0,MIN(SUMIFS(SondBetrag,SondDarl,5,SondDatum,"&gt;="&amp;$E2084,SondDatum,"&lt;="&amp;EOMONTH($E2084,0)),$J2084-$M2084))</f>
      </c>
      <c r="O2084" s="43">
        <f>IF($I2084=0,0,INDEX(DarlErsatzRate,5))</f>
      </c>
      <c r="P2084" s="43">
        <f>IF($I2084=0,0,$Q2083*INDEX(DarlErsatzZins,5))</f>
      </c>
      <c r="Q2084" s="43">
        <f>IF($I2084=0,0,$Q2083+$P2084+$O2084)</f>
      </c>
      <c r="R2084" s="43">
        <f>IF($I2084=0,0,$J2084-$M2084-$N2084)</f>
      </c>
    </row>
    <row r="2085">
      <c r="A2085"/>
      <c r="B2085">
        <v>5</v>
      </c>
      <c r="C2085" s="43">
        <f>INDEX(DarlObj,5)</f>
      </c>
      <c r="D2085">
        <v>162</v>
      </c>
      <c r="E2085" s="51">
        <f>IF(INDEX(DarlBelegt,5)=0,0,EOMONTH(INDEX(DarlAuszahlung,5),161)+1)</f>
      </c>
      <c r="F2085" s="43">
        <f>IF($E2085=0,0,YEAR($E2085))</f>
      </c>
      <c r="G2085" s="43">
        <f>IF(INDEX(DarlBindung,5)="",1,IF($E2085&lt;=INDEX(DarlBindung,5),1,0))</f>
      </c>
      <c r="H2085" s="43">
        <f>IF($G2085=1,INDEX(DarlSollzins,5),INDEX(DarlAnschluss,5))</f>
      </c>
      <c r="I2085" s="43">
        <f>IF(INDEX(DarlBelegt,5)=0,0,IF(INDEX(DarlOhneTilgung,5)=1,IF(INDEX(DarlBindung,5)="",1,$G2085),IF($J2085&gt;0.005,1,0)))</f>
      </c>
      <c r="J2085" s="43">
        <f>IF($I2084=0,0,$R2084)</f>
      </c>
      <c r="K2085" s="43">
        <f>IF($I2085=0,0,IF(INDEX(DarlOhneTilgung,5)=1,0,IF(AND(INDEX(DarlTilgStart,5)&gt;0,$E2085=INDEX(DarlTilgStart,5)),$J2085*($H2085+INDEX(DarlTilgung,5))/100/12,IF(AND($G2085=0,$G2084=1),MAX($K2084,$J2085*($H2085+1)/100/12),$K2084))))</f>
      </c>
      <c r="L2085" s="43">
        <f>IF($I2085=0,0,$J2085*$H2085/100/12)</f>
      </c>
      <c r="M2085" s="43">
        <f>IF($I2085=0,0,IF(OR(INDEX(DarlOhneTilgung,5)=1,AND(INDEX(DarlTilgStart,5)&gt;0,$E2085&lt;INDEX(DarlTilgStart,5))),0,MIN(MAX(0,$K2085-$L2085),$J2085)))</f>
      </c>
      <c r="N2085" s="43">
        <f>IF($I2085=0,0,MIN(SUMIFS(SondBetrag,SondDarl,5,SondDatum,"&gt;="&amp;$E2085,SondDatum,"&lt;="&amp;EOMONTH($E2085,0)),$J2085-$M2085))</f>
      </c>
      <c r="O2085" s="43">
        <f>IF($I2085=0,0,INDEX(DarlErsatzRate,5))</f>
      </c>
      <c r="P2085" s="43">
        <f>IF($I2085=0,0,$Q2084*INDEX(DarlErsatzZins,5))</f>
      </c>
      <c r="Q2085" s="43">
        <f>IF($I2085=0,0,$Q2084+$P2085+$O2085)</f>
      </c>
      <c r="R2085" s="43">
        <f>IF($I2085=0,0,$J2085-$M2085-$N2085)</f>
      </c>
    </row>
    <row r="2086">
      <c r="A2086"/>
      <c r="B2086">
        <v>5</v>
      </c>
      <c r="C2086" s="43">
        <f>INDEX(DarlObj,5)</f>
      </c>
      <c r="D2086">
        <v>163</v>
      </c>
      <c r="E2086" s="51">
        <f>IF(INDEX(DarlBelegt,5)=0,0,EOMONTH(INDEX(DarlAuszahlung,5),162)+1)</f>
      </c>
      <c r="F2086" s="43">
        <f>IF($E2086=0,0,YEAR($E2086))</f>
      </c>
      <c r="G2086" s="43">
        <f>IF(INDEX(DarlBindung,5)="",1,IF($E2086&lt;=INDEX(DarlBindung,5),1,0))</f>
      </c>
      <c r="H2086" s="43">
        <f>IF($G2086=1,INDEX(DarlSollzins,5),INDEX(DarlAnschluss,5))</f>
      </c>
      <c r="I2086" s="43">
        <f>IF(INDEX(DarlBelegt,5)=0,0,IF(INDEX(DarlOhneTilgung,5)=1,IF(INDEX(DarlBindung,5)="",1,$G2086),IF($J2086&gt;0.005,1,0)))</f>
      </c>
      <c r="J2086" s="43">
        <f>IF($I2085=0,0,$R2085)</f>
      </c>
      <c r="K2086" s="43">
        <f>IF($I2086=0,0,IF(INDEX(DarlOhneTilgung,5)=1,0,IF(AND(INDEX(DarlTilgStart,5)&gt;0,$E2086=INDEX(DarlTilgStart,5)),$J2086*($H2086+INDEX(DarlTilgung,5))/100/12,IF(AND($G2086=0,$G2085=1),MAX($K2085,$J2086*($H2086+1)/100/12),$K2085))))</f>
      </c>
      <c r="L2086" s="43">
        <f>IF($I2086=0,0,$J2086*$H2086/100/12)</f>
      </c>
      <c r="M2086" s="43">
        <f>IF($I2086=0,0,IF(OR(INDEX(DarlOhneTilgung,5)=1,AND(INDEX(DarlTilgStart,5)&gt;0,$E2086&lt;INDEX(DarlTilgStart,5))),0,MIN(MAX(0,$K2086-$L2086),$J2086)))</f>
      </c>
      <c r="N2086" s="43">
        <f>IF($I2086=0,0,MIN(SUMIFS(SondBetrag,SondDarl,5,SondDatum,"&gt;="&amp;$E2086,SondDatum,"&lt;="&amp;EOMONTH($E2086,0)),$J2086-$M2086))</f>
      </c>
      <c r="O2086" s="43">
        <f>IF($I2086=0,0,INDEX(DarlErsatzRate,5))</f>
      </c>
      <c r="P2086" s="43">
        <f>IF($I2086=0,0,$Q2085*INDEX(DarlErsatzZins,5))</f>
      </c>
      <c r="Q2086" s="43">
        <f>IF($I2086=0,0,$Q2085+$P2086+$O2086)</f>
      </c>
      <c r="R2086" s="43">
        <f>IF($I2086=0,0,$J2086-$M2086-$N2086)</f>
      </c>
    </row>
    <row r="2087">
      <c r="A2087"/>
      <c r="B2087">
        <v>5</v>
      </c>
      <c r="C2087" s="43">
        <f>INDEX(DarlObj,5)</f>
      </c>
      <c r="D2087">
        <v>164</v>
      </c>
      <c r="E2087" s="51">
        <f>IF(INDEX(DarlBelegt,5)=0,0,EOMONTH(INDEX(DarlAuszahlung,5),163)+1)</f>
      </c>
      <c r="F2087" s="43">
        <f>IF($E2087=0,0,YEAR($E2087))</f>
      </c>
      <c r="G2087" s="43">
        <f>IF(INDEX(DarlBindung,5)="",1,IF($E2087&lt;=INDEX(DarlBindung,5),1,0))</f>
      </c>
      <c r="H2087" s="43">
        <f>IF($G2087=1,INDEX(DarlSollzins,5),INDEX(DarlAnschluss,5))</f>
      </c>
      <c r="I2087" s="43">
        <f>IF(INDEX(DarlBelegt,5)=0,0,IF(INDEX(DarlOhneTilgung,5)=1,IF(INDEX(DarlBindung,5)="",1,$G2087),IF($J2087&gt;0.005,1,0)))</f>
      </c>
      <c r="J2087" s="43">
        <f>IF($I2086=0,0,$R2086)</f>
      </c>
      <c r="K2087" s="43">
        <f>IF($I2087=0,0,IF(INDEX(DarlOhneTilgung,5)=1,0,IF(AND(INDEX(DarlTilgStart,5)&gt;0,$E2087=INDEX(DarlTilgStart,5)),$J2087*($H2087+INDEX(DarlTilgung,5))/100/12,IF(AND($G2087=0,$G2086=1),MAX($K2086,$J2087*($H2087+1)/100/12),$K2086))))</f>
      </c>
      <c r="L2087" s="43">
        <f>IF($I2087=0,0,$J2087*$H2087/100/12)</f>
      </c>
      <c r="M2087" s="43">
        <f>IF($I2087=0,0,IF(OR(INDEX(DarlOhneTilgung,5)=1,AND(INDEX(DarlTilgStart,5)&gt;0,$E2087&lt;INDEX(DarlTilgStart,5))),0,MIN(MAX(0,$K2087-$L2087),$J2087)))</f>
      </c>
      <c r="N2087" s="43">
        <f>IF($I2087=0,0,MIN(SUMIFS(SondBetrag,SondDarl,5,SondDatum,"&gt;="&amp;$E2087,SondDatum,"&lt;="&amp;EOMONTH($E2087,0)),$J2087-$M2087))</f>
      </c>
      <c r="O2087" s="43">
        <f>IF($I2087=0,0,INDEX(DarlErsatzRate,5))</f>
      </c>
      <c r="P2087" s="43">
        <f>IF($I2087=0,0,$Q2086*INDEX(DarlErsatzZins,5))</f>
      </c>
      <c r="Q2087" s="43">
        <f>IF($I2087=0,0,$Q2086+$P2087+$O2087)</f>
      </c>
      <c r="R2087" s="43">
        <f>IF($I2087=0,0,$J2087-$M2087-$N2087)</f>
      </c>
    </row>
    <row r="2088">
      <c r="A2088"/>
      <c r="B2088">
        <v>5</v>
      </c>
      <c r="C2088" s="43">
        <f>INDEX(DarlObj,5)</f>
      </c>
      <c r="D2088">
        <v>165</v>
      </c>
      <c r="E2088" s="51">
        <f>IF(INDEX(DarlBelegt,5)=0,0,EOMONTH(INDEX(DarlAuszahlung,5),164)+1)</f>
      </c>
      <c r="F2088" s="43">
        <f>IF($E2088=0,0,YEAR($E2088))</f>
      </c>
      <c r="G2088" s="43">
        <f>IF(INDEX(DarlBindung,5)="",1,IF($E2088&lt;=INDEX(DarlBindung,5),1,0))</f>
      </c>
      <c r="H2088" s="43">
        <f>IF($G2088=1,INDEX(DarlSollzins,5),INDEX(DarlAnschluss,5))</f>
      </c>
      <c r="I2088" s="43">
        <f>IF(INDEX(DarlBelegt,5)=0,0,IF(INDEX(DarlOhneTilgung,5)=1,IF(INDEX(DarlBindung,5)="",1,$G2088),IF($J2088&gt;0.005,1,0)))</f>
      </c>
      <c r="J2088" s="43">
        <f>IF($I2087=0,0,$R2087)</f>
      </c>
      <c r="K2088" s="43">
        <f>IF($I2088=0,0,IF(INDEX(DarlOhneTilgung,5)=1,0,IF(AND(INDEX(DarlTilgStart,5)&gt;0,$E2088=INDEX(DarlTilgStart,5)),$J2088*($H2088+INDEX(DarlTilgung,5))/100/12,IF(AND($G2088=0,$G2087=1),MAX($K2087,$J2088*($H2088+1)/100/12),$K2087))))</f>
      </c>
      <c r="L2088" s="43">
        <f>IF($I2088=0,0,$J2088*$H2088/100/12)</f>
      </c>
      <c r="M2088" s="43">
        <f>IF($I2088=0,0,IF(OR(INDEX(DarlOhneTilgung,5)=1,AND(INDEX(DarlTilgStart,5)&gt;0,$E2088&lt;INDEX(DarlTilgStart,5))),0,MIN(MAX(0,$K2088-$L2088),$J2088)))</f>
      </c>
      <c r="N2088" s="43">
        <f>IF($I2088=0,0,MIN(SUMIFS(SondBetrag,SondDarl,5,SondDatum,"&gt;="&amp;$E2088,SondDatum,"&lt;="&amp;EOMONTH($E2088,0)),$J2088-$M2088))</f>
      </c>
      <c r="O2088" s="43">
        <f>IF($I2088=0,0,INDEX(DarlErsatzRate,5))</f>
      </c>
      <c r="P2088" s="43">
        <f>IF($I2088=0,0,$Q2087*INDEX(DarlErsatzZins,5))</f>
      </c>
      <c r="Q2088" s="43">
        <f>IF($I2088=0,0,$Q2087+$P2088+$O2088)</f>
      </c>
      <c r="R2088" s="43">
        <f>IF($I2088=0,0,$J2088-$M2088-$N2088)</f>
      </c>
    </row>
    <row r="2089">
      <c r="A2089"/>
      <c r="B2089">
        <v>5</v>
      </c>
      <c r="C2089" s="43">
        <f>INDEX(DarlObj,5)</f>
      </c>
      <c r="D2089">
        <v>166</v>
      </c>
      <c r="E2089" s="51">
        <f>IF(INDEX(DarlBelegt,5)=0,0,EOMONTH(INDEX(DarlAuszahlung,5),165)+1)</f>
      </c>
      <c r="F2089" s="43">
        <f>IF($E2089=0,0,YEAR($E2089))</f>
      </c>
      <c r="G2089" s="43">
        <f>IF(INDEX(DarlBindung,5)="",1,IF($E2089&lt;=INDEX(DarlBindung,5),1,0))</f>
      </c>
      <c r="H2089" s="43">
        <f>IF($G2089=1,INDEX(DarlSollzins,5),INDEX(DarlAnschluss,5))</f>
      </c>
      <c r="I2089" s="43">
        <f>IF(INDEX(DarlBelegt,5)=0,0,IF(INDEX(DarlOhneTilgung,5)=1,IF(INDEX(DarlBindung,5)="",1,$G2089),IF($J2089&gt;0.005,1,0)))</f>
      </c>
      <c r="J2089" s="43">
        <f>IF($I2088=0,0,$R2088)</f>
      </c>
      <c r="K2089" s="43">
        <f>IF($I2089=0,0,IF(INDEX(DarlOhneTilgung,5)=1,0,IF(AND(INDEX(DarlTilgStart,5)&gt;0,$E2089=INDEX(DarlTilgStart,5)),$J2089*($H2089+INDEX(DarlTilgung,5))/100/12,IF(AND($G2089=0,$G2088=1),MAX($K2088,$J2089*($H2089+1)/100/12),$K2088))))</f>
      </c>
      <c r="L2089" s="43">
        <f>IF($I2089=0,0,$J2089*$H2089/100/12)</f>
      </c>
      <c r="M2089" s="43">
        <f>IF($I2089=0,0,IF(OR(INDEX(DarlOhneTilgung,5)=1,AND(INDEX(DarlTilgStart,5)&gt;0,$E2089&lt;INDEX(DarlTilgStart,5))),0,MIN(MAX(0,$K2089-$L2089),$J2089)))</f>
      </c>
      <c r="N2089" s="43">
        <f>IF($I2089=0,0,MIN(SUMIFS(SondBetrag,SondDarl,5,SondDatum,"&gt;="&amp;$E2089,SondDatum,"&lt;="&amp;EOMONTH($E2089,0)),$J2089-$M2089))</f>
      </c>
      <c r="O2089" s="43">
        <f>IF($I2089=0,0,INDEX(DarlErsatzRate,5))</f>
      </c>
      <c r="P2089" s="43">
        <f>IF($I2089=0,0,$Q2088*INDEX(DarlErsatzZins,5))</f>
      </c>
      <c r="Q2089" s="43">
        <f>IF($I2089=0,0,$Q2088+$P2089+$O2089)</f>
      </c>
      <c r="R2089" s="43">
        <f>IF($I2089=0,0,$J2089-$M2089-$N2089)</f>
      </c>
    </row>
    <row r="2090">
      <c r="A2090"/>
      <c r="B2090">
        <v>5</v>
      </c>
      <c r="C2090" s="43">
        <f>INDEX(DarlObj,5)</f>
      </c>
      <c r="D2090">
        <v>167</v>
      </c>
      <c r="E2090" s="51">
        <f>IF(INDEX(DarlBelegt,5)=0,0,EOMONTH(INDEX(DarlAuszahlung,5),166)+1)</f>
      </c>
      <c r="F2090" s="43">
        <f>IF($E2090=0,0,YEAR($E2090))</f>
      </c>
      <c r="G2090" s="43">
        <f>IF(INDEX(DarlBindung,5)="",1,IF($E2090&lt;=INDEX(DarlBindung,5),1,0))</f>
      </c>
      <c r="H2090" s="43">
        <f>IF($G2090=1,INDEX(DarlSollzins,5),INDEX(DarlAnschluss,5))</f>
      </c>
      <c r="I2090" s="43">
        <f>IF(INDEX(DarlBelegt,5)=0,0,IF(INDEX(DarlOhneTilgung,5)=1,IF(INDEX(DarlBindung,5)="",1,$G2090),IF($J2090&gt;0.005,1,0)))</f>
      </c>
      <c r="J2090" s="43">
        <f>IF($I2089=0,0,$R2089)</f>
      </c>
      <c r="K2090" s="43">
        <f>IF($I2090=0,0,IF(INDEX(DarlOhneTilgung,5)=1,0,IF(AND(INDEX(DarlTilgStart,5)&gt;0,$E2090=INDEX(DarlTilgStart,5)),$J2090*($H2090+INDEX(DarlTilgung,5))/100/12,IF(AND($G2090=0,$G2089=1),MAX($K2089,$J2090*($H2090+1)/100/12),$K2089))))</f>
      </c>
      <c r="L2090" s="43">
        <f>IF($I2090=0,0,$J2090*$H2090/100/12)</f>
      </c>
      <c r="M2090" s="43">
        <f>IF($I2090=0,0,IF(OR(INDEX(DarlOhneTilgung,5)=1,AND(INDEX(DarlTilgStart,5)&gt;0,$E2090&lt;INDEX(DarlTilgStart,5))),0,MIN(MAX(0,$K2090-$L2090),$J2090)))</f>
      </c>
      <c r="N2090" s="43">
        <f>IF($I2090=0,0,MIN(SUMIFS(SondBetrag,SondDarl,5,SondDatum,"&gt;="&amp;$E2090,SondDatum,"&lt;="&amp;EOMONTH($E2090,0)),$J2090-$M2090))</f>
      </c>
      <c r="O2090" s="43">
        <f>IF($I2090=0,0,INDEX(DarlErsatzRate,5))</f>
      </c>
      <c r="P2090" s="43">
        <f>IF($I2090=0,0,$Q2089*INDEX(DarlErsatzZins,5))</f>
      </c>
      <c r="Q2090" s="43">
        <f>IF($I2090=0,0,$Q2089+$P2090+$O2090)</f>
      </c>
      <c r="R2090" s="43">
        <f>IF($I2090=0,0,$J2090-$M2090-$N2090)</f>
      </c>
    </row>
    <row r="2091">
      <c r="A2091"/>
      <c r="B2091">
        <v>5</v>
      </c>
      <c r="C2091" s="43">
        <f>INDEX(DarlObj,5)</f>
      </c>
      <c r="D2091">
        <v>168</v>
      </c>
      <c r="E2091" s="51">
        <f>IF(INDEX(DarlBelegt,5)=0,0,EOMONTH(INDEX(DarlAuszahlung,5),167)+1)</f>
      </c>
      <c r="F2091" s="43">
        <f>IF($E2091=0,0,YEAR($E2091))</f>
      </c>
      <c r="G2091" s="43">
        <f>IF(INDEX(DarlBindung,5)="",1,IF($E2091&lt;=INDEX(DarlBindung,5),1,0))</f>
      </c>
      <c r="H2091" s="43">
        <f>IF($G2091=1,INDEX(DarlSollzins,5),INDEX(DarlAnschluss,5))</f>
      </c>
      <c r="I2091" s="43">
        <f>IF(INDEX(DarlBelegt,5)=0,0,IF(INDEX(DarlOhneTilgung,5)=1,IF(INDEX(DarlBindung,5)="",1,$G2091),IF($J2091&gt;0.005,1,0)))</f>
      </c>
      <c r="J2091" s="43">
        <f>IF($I2090=0,0,$R2090)</f>
      </c>
      <c r="K2091" s="43">
        <f>IF($I2091=0,0,IF(INDEX(DarlOhneTilgung,5)=1,0,IF(AND(INDEX(DarlTilgStart,5)&gt;0,$E2091=INDEX(DarlTilgStart,5)),$J2091*($H2091+INDEX(DarlTilgung,5))/100/12,IF(AND($G2091=0,$G2090=1),MAX($K2090,$J2091*($H2091+1)/100/12),$K2090))))</f>
      </c>
      <c r="L2091" s="43">
        <f>IF($I2091=0,0,$J2091*$H2091/100/12)</f>
      </c>
      <c r="M2091" s="43">
        <f>IF($I2091=0,0,IF(OR(INDEX(DarlOhneTilgung,5)=1,AND(INDEX(DarlTilgStart,5)&gt;0,$E2091&lt;INDEX(DarlTilgStart,5))),0,MIN(MAX(0,$K2091-$L2091),$J2091)))</f>
      </c>
      <c r="N2091" s="43">
        <f>IF($I2091=0,0,MIN(SUMIFS(SondBetrag,SondDarl,5,SondDatum,"&gt;="&amp;$E2091,SondDatum,"&lt;="&amp;EOMONTH($E2091,0)),$J2091-$M2091))</f>
      </c>
      <c r="O2091" s="43">
        <f>IF($I2091=0,0,INDEX(DarlErsatzRate,5))</f>
      </c>
      <c r="P2091" s="43">
        <f>IF($I2091=0,0,$Q2090*INDEX(DarlErsatzZins,5))</f>
      </c>
      <c r="Q2091" s="43">
        <f>IF($I2091=0,0,$Q2090+$P2091+$O2091)</f>
      </c>
      <c r="R2091" s="43">
        <f>IF($I2091=0,0,$J2091-$M2091-$N2091)</f>
      </c>
    </row>
    <row r="2092">
      <c r="A2092"/>
      <c r="B2092">
        <v>5</v>
      </c>
      <c r="C2092" s="43">
        <f>INDEX(DarlObj,5)</f>
      </c>
      <c r="D2092">
        <v>169</v>
      </c>
      <c r="E2092" s="51">
        <f>IF(INDEX(DarlBelegt,5)=0,0,EOMONTH(INDEX(DarlAuszahlung,5),168)+1)</f>
      </c>
      <c r="F2092" s="43">
        <f>IF($E2092=0,0,YEAR($E2092))</f>
      </c>
      <c r="G2092" s="43">
        <f>IF(INDEX(DarlBindung,5)="",1,IF($E2092&lt;=INDEX(DarlBindung,5),1,0))</f>
      </c>
      <c r="H2092" s="43">
        <f>IF($G2092=1,INDEX(DarlSollzins,5),INDEX(DarlAnschluss,5))</f>
      </c>
      <c r="I2092" s="43">
        <f>IF(INDEX(DarlBelegt,5)=0,0,IF(INDEX(DarlOhneTilgung,5)=1,IF(INDEX(DarlBindung,5)="",1,$G2092),IF($J2092&gt;0.005,1,0)))</f>
      </c>
      <c r="J2092" s="43">
        <f>IF($I2091=0,0,$R2091)</f>
      </c>
      <c r="K2092" s="43">
        <f>IF($I2092=0,0,IF(INDEX(DarlOhneTilgung,5)=1,0,IF(AND(INDEX(DarlTilgStart,5)&gt;0,$E2092=INDEX(DarlTilgStart,5)),$J2092*($H2092+INDEX(DarlTilgung,5))/100/12,IF(AND($G2092=0,$G2091=1),MAX($K2091,$J2092*($H2092+1)/100/12),$K2091))))</f>
      </c>
      <c r="L2092" s="43">
        <f>IF($I2092=0,0,$J2092*$H2092/100/12)</f>
      </c>
      <c r="M2092" s="43">
        <f>IF($I2092=0,0,IF(OR(INDEX(DarlOhneTilgung,5)=1,AND(INDEX(DarlTilgStart,5)&gt;0,$E2092&lt;INDEX(DarlTilgStart,5))),0,MIN(MAX(0,$K2092-$L2092),$J2092)))</f>
      </c>
      <c r="N2092" s="43">
        <f>IF($I2092=0,0,MIN(SUMIFS(SondBetrag,SondDarl,5,SondDatum,"&gt;="&amp;$E2092,SondDatum,"&lt;="&amp;EOMONTH($E2092,0)),$J2092-$M2092))</f>
      </c>
      <c r="O2092" s="43">
        <f>IF($I2092=0,0,INDEX(DarlErsatzRate,5))</f>
      </c>
      <c r="P2092" s="43">
        <f>IF($I2092=0,0,$Q2091*INDEX(DarlErsatzZins,5))</f>
      </c>
      <c r="Q2092" s="43">
        <f>IF($I2092=0,0,$Q2091+$P2092+$O2092)</f>
      </c>
      <c r="R2092" s="43">
        <f>IF($I2092=0,0,$J2092-$M2092-$N2092)</f>
      </c>
    </row>
    <row r="2093">
      <c r="A2093"/>
      <c r="B2093">
        <v>5</v>
      </c>
      <c r="C2093" s="43">
        <f>INDEX(DarlObj,5)</f>
      </c>
      <c r="D2093">
        <v>170</v>
      </c>
      <c r="E2093" s="51">
        <f>IF(INDEX(DarlBelegt,5)=0,0,EOMONTH(INDEX(DarlAuszahlung,5),169)+1)</f>
      </c>
      <c r="F2093" s="43">
        <f>IF($E2093=0,0,YEAR($E2093))</f>
      </c>
      <c r="G2093" s="43">
        <f>IF(INDEX(DarlBindung,5)="",1,IF($E2093&lt;=INDEX(DarlBindung,5),1,0))</f>
      </c>
      <c r="H2093" s="43">
        <f>IF($G2093=1,INDEX(DarlSollzins,5),INDEX(DarlAnschluss,5))</f>
      </c>
      <c r="I2093" s="43">
        <f>IF(INDEX(DarlBelegt,5)=0,0,IF(INDEX(DarlOhneTilgung,5)=1,IF(INDEX(DarlBindung,5)="",1,$G2093),IF($J2093&gt;0.005,1,0)))</f>
      </c>
      <c r="J2093" s="43">
        <f>IF($I2092=0,0,$R2092)</f>
      </c>
      <c r="K2093" s="43">
        <f>IF($I2093=0,0,IF(INDEX(DarlOhneTilgung,5)=1,0,IF(AND(INDEX(DarlTilgStart,5)&gt;0,$E2093=INDEX(DarlTilgStart,5)),$J2093*($H2093+INDEX(DarlTilgung,5))/100/12,IF(AND($G2093=0,$G2092=1),MAX($K2092,$J2093*($H2093+1)/100/12),$K2092))))</f>
      </c>
      <c r="L2093" s="43">
        <f>IF($I2093=0,0,$J2093*$H2093/100/12)</f>
      </c>
      <c r="M2093" s="43">
        <f>IF($I2093=0,0,IF(OR(INDEX(DarlOhneTilgung,5)=1,AND(INDEX(DarlTilgStart,5)&gt;0,$E2093&lt;INDEX(DarlTilgStart,5))),0,MIN(MAX(0,$K2093-$L2093),$J2093)))</f>
      </c>
      <c r="N2093" s="43">
        <f>IF($I2093=0,0,MIN(SUMIFS(SondBetrag,SondDarl,5,SondDatum,"&gt;="&amp;$E2093,SondDatum,"&lt;="&amp;EOMONTH($E2093,0)),$J2093-$M2093))</f>
      </c>
      <c r="O2093" s="43">
        <f>IF($I2093=0,0,INDEX(DarlErsatzRate,5))</f>
      </c>
      <c r="P2093" s="43">
        <f>IF($I2093=0,0,$Q2092*INDEX(DarlErsatzZins,5))</f>
      </c>
      <c r="Q2093" s="43">
        <f>IF($I2093=0,0,$Q2092+$P2093+$O2093)</f>
      </c>
      <c r="R2093" s="43">
        <f>IF($I2093=0,0,$J2093-$M2093-$N2093)</f>
      </c>
    </row>
    <row r="2094">
      <c r="A2094"/>
      <c r="B2094">
        <v>5</v>
      </c>
      <c r="C2094" s="43">
        <f>INDEX(DarlObj,5)</f>
      </c>
      <c r="D2094">
        <v>171</v>
      </c>
      <c r="E2094" s="51">
        <f>IF(INDEX(DarlBelegt,5)=0,0,EOMONTH(INDEX(DarlAuszahlung,5),170)+1)</f>
      </c>
      <c r="F2094" s="43">
        <f>IF($E2094=0,0,YEAR($E2094))</f>
      </c>
      <c r="G2094" s="43">
        <f>IF(INDEX(DarlBindung,5)="",1,IF($E2094&lt;=INDEX(DarlBindung,5),1,0))</f>
      </c>
      <c r="H2094" s="43">
        <f>IF($G2094=1,INDEX(DarlSollzins,5),INDEX(DarlAnschluss,5))</f>
      </c>
      <c r="I2094" s="43">
        <f>IF(INDEX(DarlBelegt,5)=0,0,IF(INDEX(DarlOhneTilgung,5)=1,IF(INDEX(DarlBindung,5)="",1,$G2094),IF($J2094&gt;0.005,1,0)))</f>
      </c>
      <c r="J2094" s="43">
        <f>IF($I2093=0,0,$R2093)</f>
      </c>
      <c r="K2094" s="43">
        <f>IF($I2094=0,0,IF(INDEX(DarlOhneTilgung,5)=1,0,IF(AND(INDEX(DarlTilgStart,5)&gt;0,$E2094=INDEX(DarlTilgStart,5)),$J2094*($H2094+INDEX(DarlTilgung,5))/100/12,IF(AND($G2094=0,$G2093=1),MAX($K2093,$J2094*($H2094+1)/100/12),$K2093))))</f>
      </c>
      <c r="L2094" s="43">
        <f>IF($I2094=0,0,$J2094*$H2094/100/12)</f>
      </c>
      <c r="M2094" s="43">
        <f>IF($I2094=0,0,IF(OR(INDEX(DarlOhneTilgung,5)=1,AND(INDEX(DarlTilgStart,5)&gt;0,$E2094&lt;INDEX(DarlTilgStart,5))),0,MIN(MAX(0,$K2094-$L2094),$J2094)))</f>
      </c>
      <c r="N2094" s="43">
        <f>IF($I2094=0,0,MIN(SUMIFS(SondBetrag,SondDarl,5,SondDatum,"&gt;="&amp;$E2094,SondDatum,"&lt;="&amp;EOMONTH($E2094,0)),$J2094-$M2094))</f>
      </c>
      <c r="O2094" s="43">
        <f>IF($I2094=0,0,INDEX(DarlErsatzRate,5))</f>
      </c>
      <c r="P2094" s="43">
        <f>IF($I2094=0,0,$Q2093*INDEX(DarlErsatzZins,5))</f>
      </c>
      <c r="Q2094" s="43">
        <f>IF($I2094=0,0,$Q2093+$P2094+$O2094)</f>
      </c>
      <c r="R2094" s="43">
        <f>IF($I2094=0,0,$J2094-$M2094-$N2094)</f>
      </c>
    </row>
    <row r="2095">
      <c r="A2095"/>
      <c r="B2095">
        <v>5</v>
      </c>
      <c r="C2095" s="43">
        <f>INDEX(DarlObj,5)</f>
      </c>
      <c r="D2095">
        <v>172</v>
      </c>
      <c r="E2095" s="51">
        <f>IF(INDEX(DarlBelegt,5)=0,0,EOMONTH(INDEX(DarlAuszahlung,5),171)+1)</f>
      </c>
      <c r="F2095" s="43">
        <f>IF($E2095=0,0,YEAR($E2095))</f>
      </c>
      <c r="G2095" s="43">
        <f>IF(INDEX(DarlBindung,5)="",1,IF($E2095&lt;=INDEX(DarlBindung,5),1,0))</f>
      </c>
      <c r="H2095" s="43">
        <f>IF($G2095=1,INDEX(DarlSollzins,5),INDEX(DarlAnschluss,5))</f>
      </c>
      <c r="I2095" s="43">
        <f>IF(INDEX(DarlBelegt,5)=0,0,IF(INDEX(DarlOhneTilgung,5)=1,IF(INDEX(DarlBindung,5)="",1,$G2095),IF($J2095&gt;0.005,1,0)))</f>
      </c>
      <c r="J2095" s="43">
        <f>IF($I2094=0,0,$R2094)</f>
      </c>
      <c r="K2095" s="43">
        <f>IF($I2095=0,0,IF(INDEX(DarlOhneTilgung,5)=1,0,IF(AND(INDEX(DarlTilgStart,5)&gt;0,$E2095=INDEX(DarlTilgStart,5)),$J2095*($H2095+INDEX(DarlTilgung,5))/100/12,IF(AND($G2095=0,$G2094=1),MAX($K2094,$J2095*($H2095+1)/100/12),$K2094))))</f>
      </c>
      <c r="L2095" s="43">
        <f>IF($I2095=0,0,$J2095*$H2095/100/12)</f>
      </c>
      <c r="M2095" s="43">
        <f>IF($I2095=0,0,IF(OR(INDEX(DarlOhneTilgung,5)=1,AND(INDEX(DarlTilgStart,5)&gt;0,$E2095&lt;INDEX(DarlTilgStart,5))),0,MIN(MAX(0,$K2095-$L2095),$J2095)))</f>
      </c>
      <c r="N2095" s="43">
        <f>IF($I2095=0,0,MIN(SUMIFS(SondBetrag,SondDarl,5,SondDatum,"&gt;="&amp;$E2095,SondDatum,"&lt;="&amp;EOMONTH($E2095,0)),$J2095-$M2095))</f>
      </c>
      <c r="O2095" s="43">
        <f>IF($I2095=0,0,INDEX(DarlErsatzRate,5))</f>
      </c>
      <c r="P2095" s="43">
        <f>IF($I2095=0,0,$Q2094*INDEX(DarlErsatzZins,5))</f>
      </c>
      <c r="Q2095" s="43">
        <f>IF($I2095=0,0,$Q2094+$P2095+$O2095)</f>
      </c>
      <c r="R2095" s="43">
        <f>IF($I2095=0,0,$J2095-$M2095-$N2095)</f>
      </c>
    </row>
    <row r="2096">
      <c r="A2096"/>
      <c r="B2096">
        <v>5</v>
      </c>
      <c r="C2096" s="43">
        <f>INDEX(DarlObj,5)</f>
      </c>
      <c r="D2096">
        <v>173</v>
      </c>
      <c r="E2096" s="51">
        <f>IF(INDEX(DarlBelegt,5)=0,0,EOMONTH(INDEX(DarlAuszahlung,5),172)+1)</f>
      </c>
      <c r="F2096" s="43">
        <f>IF($E2096=0,0,YEAR($E2096))</f>
      </c>
      <c r="G2096" s="43">
        <f>IF(INDEX(DarlBindung,5)="",1,IF($E2096&lt;=INDEX(DarlBindung,5),1,0))</f>
      </c>
      <c r="H2096" s="43">
        <f>IF($G2096=1,INDEX(DarlSollzins,5),INDEX(DarlAnschluss,5))</f>
      </c>
      <c r="I2096" s="43">
        <f>IF(INDEX(DarlBelegt,5)=0,0,IF(INDEX(DarlOhneTilgung,5)=1,IF(INDEX(DarlBindung,5)="",1,$G2096),IF($J2096&gt;0.005,1,0)))</f>
      </c>
      <c r="J2096" s="43">
        <f>IF($I2095=0,0,$R2095)</f>
      </c>
      <c r="K2096" s="43">
        <f>IF($I2096=0,0,IF(INDEX(DarlOhneTilgung,5)=1,0,IF(AND(INDEX(DarlTilgStart,5)&gt;0,$E2096=INDEX(DarlTilgStart,5)),$J2096*($H2096+INDEX(DarlTilgung,5))/100/12,IF(AND($G2096=0,$G2095=1),MAX($K2095,$J2096*($H2096+1)/100/12),$K2095))))</f>
      </c>
      <c r="L2096" s="43">
        <f>IF($I2096=0,0,$J2096*$H2096/100/12)</f>
      </c>
      <c r="M2096" s="43">
        <f>IF($I2096=0,0,IF(OR(INDEX(DarlOhneTilgung,5)=1,AND(INDEX(DarlTilgStart,5)&gt;0,$E2096&lt;INDEX(DarlTilgStart,5))),0,MIN(MAX(0,$K2096-$L2096),$J2096)))</f>
      </c>
      <c r="N2096" s="43">
        <f>IF($I2096=0,0,MIN(SUMIFS(SondBetrag,SondDarl,5,SondDatum,"&gt;="&amp;$E2096,SondDatum,"&lt;="&amp;EOMONTH($E2096,0)),$J2096-$M2096))</f>
      </c>
      <c r="O2096" s="43">
        <f>IF($I2096=0,0,INDEX(DarlErsatzRate,5))</f>
      </c>
      <c r="P2096" s="43">
        <f>IF($I2096=0,0,$Q2095*INDEX(DarlErsatzZins,5))</f>
      </c>
      <c r="Q2096" s="43">
        <f>IF($I2096=0,0,$Q2095+$P2096+$O2096)</f>
      </c>
      <c r="R2096" s="43">
        <f>IF($I2096=0,0,$J2096-$M2096-$N2096)</f>
      </c>
    </row>
    <row r="2097">
      <c r="A2097"/>
      <c r="B2097">
        <v>5</v>
      </c>
      <c r="C2097" s="43">
        <f>INDEX(DarlObj,5)</f>
      </c>
      <c r="D2097">
        <v>174</v>
      </c>
      <c r="E2097" s="51">
        <f>IF(INDEX(DarlBelegt,5)=0,0,EOMONTH(INDEX(DarlAuszahlung,5),173)+1)</f>
      </c>
      <c r="F2097" s="43">
        <f>IF($E2097=0,0,YEAR($E2097))</f>
      </c>
      <c r="G2097" s="43">
        <f>IF(INDEX(DarlBindung,5)="",1,IF($E2097&lt;=INDEX(DarlBindung,5),1,0))</f>
      </c>
      <c r="H2097" s="43">
        <f>IF($G2097=1,INDEX(DarlSollzins,5),INDEX(DarlAnschluss,5))</f>
      </c>
      <c r="I2097" s="43">
        <f>IF(INDEX(DarlBelegt,5)=0,0,IF(INDEX(DarlOhneTilgung,5)=1,IF(INDEX(DarlBindung,5)="",1,$G2097),IF($J2097&gt;0.005,1,0)))</f>
      </c>
      <c r="J2097" s="43">
        <f>IF($I2096=0,0,$R2096)</f>
      </c>
      <c r="K2097" s="43">
        <f>IF($I2097=0,0,IF(INDEX(DarlOhneTilgung,5)=1,0,IF(AND(INDEX(DarlTilgStart,5)&gt;0,$E2097=INDEX(DarlTilgStart,5)),$J2097*($H2097+INDEX(DarlTilgung,5))/100/12,IF(AND($G2097=0,$G2096=1),MAX($K2096,$J2097*($H2097+1)/100/12),$K2096))))</f>
      </c>
      <c r="L2097" s="43">
        <f>IF($I2097=0,0,$J2097*$H2097/100/12)</f>
      </c>
      <c r="M2097" s="43">
        <f>IF($I2097=0,0,IF(OR(INDEX(DarlOhneTilgung,5)=1,AND(INDEX(DarlTilgStart,5)&gt;0,$E2097&lt;INDEX(DarlTilgStart,5))),0,MIN(MAX(0,$K2097-$L2097),$J2097)))</f>
      </c>
      <c r="N2097" s="43">
        <f>IF($I2097=0,0,MIN(SUMIFS(SondBetrag,SondDarl,5,SondDatum,"&gt;="&amp;$E2097,SondDatum,"&lt;="&amp;EOMONTH($E2097,0)),$J2097-$M2097))</f>
      </c>
      <c r="O2097" s="43">
        <f>IF($I2097=0,0,INDEX(DarlErsatzRate,5))</f>
      </c>
      <c r="P2097" s="43">
        <f>IF($I2097=0,0,$Q2096*INDEX(DarlErsatzZins,5))</f>
      </c>
      <c r="Q2097" s="43">
        <f>IF($I2097=0,0,$Q2096+$P2097+$O2097)</f>
      </c>
      <c r="R2097" s="43">
        <f>IF($I2097=0,0,$J2097-$M2097-$N2097)</f>
      </c>
    </row>
    <row r="2098">
      <c r="A2098"/>
      <c r="B2098">
        <v>5</v>
      </c>
      <c r="C2098" s="43">
        <f>INDEX(DarlObj,5)</f>
      </c>
      <c r="D2098">
        <v>175</v>
      </c>
      <c r="E2098" s="51">
        <f>IF(INDEX(DarlBelegt,5)=0,0,EOMONTH(INDEX(DarlAuszahlung,5),174)+1)</f>
      </c>
      <c r="F2098" s="43">
        <f>IF($E2098=0,0,YEAR($E2098))</f>
      </c>
      <c r="G2098" s="43">
        <f>IF(INDEX(DarlBindung,5)="",1,IF($E2098&lt;=INDEX(DarlBindung,5),1,0))</f>
      </c>
      <c r="H2098" s="43">
        <f>IF($G2098=1,INDEX(DarlSollzins,5),INDEX(DarlAnschluss,5))</f>
      </c>
      <c r="I2098" s="43">
        <f>IF(INDEX(DarlBelegt,5)=0,0,IF(INDEX(DarlOhneTilgung,5)=1,IF(INDEX(DarlBindung,5)="",1,$G2098),IF($J2098&gt;0.005,1,0)))</f>
      </c>
      <c r="J2098" s="43">
        <f>IF($I2097=0,0,$R2097)</f>
      </c>
      <c r="K2098" s="43">
        <f>IF($I2098=0,0,IF(INDEX(DarlOhneTilgung,5)=1,0,IF(AND(INDEX(DarlTilgStart,5)&gt;0,$E2098=INDEX(DarlTilgStart,5)),$J2098*($H2098+INDEX(DarlTilgung,5))/100/12,IF(AND($G2098=0,$G2097=1),MAX($K2097,$J2098*($H2098+1)/100/12),$K2097))))</f>
      </c>
      <c r="L2098" s="43">
        <f>IF($I2098=0,0,$J2098*$H2098/100/12)</f>
      </c>
      <c r="M2098" s="43">
        <f>IF($I2098=0,0,IF(OR(INDEX(DarlOhneTilgung,5)=1,AND(INDEX(DarlTilgStart,5)&gt;0,$E2098&lt;INDEX(DarlTilgStart,5))),0,MIN(MAX(0,$K2098-$L2098),$J2098)))</f>
      </c>
      <c r="N2098" s="43">
        <f>IF($I2098=0,0,MIN(SUMIFS(SondBetrag,SondDarl,5,SondDatum,"&gt;="&amp;$E2098,SondDatum,"&lt;="&amp;EOMONTH($E2098,0)),$J2098-$M2098))</f>
      </c>
      <c r="O2098" s="43">
        <f>IF($I2098=0,0,INDEX(DarlErsatzRate,5))</f>
      </c>
      <c r="P2098" s="43">
        <f>IF($I2098=0,0,$Q2097*INDEX(DarlErsatzZins,5))</f>
      </c>
      <c r="Q2098" s="43">
        <f>IF($I2098=0,0,$Q2097+$P2098+$O2098)</f>
      </c>
      <c r="R2098" s="43">
        <f>IF($I2098=0,0,$J2098-$M2098-$N2098)</f>
      </c>
    </row>
    <row r="2099">
      <c r="A2099"/>
      <c r="B2099">
        <v>5</v>
      </c>
      <c r="C2099" s="43">
        <f>INDEX(DarlObj,5)</f>
      </c>
      <c r="D2099">
        <v>176</v>
      </c>
      <c r="E2099" s="51">
        <f>IF(INDEX(DarlBelegt,5)=0,0,EOMONTH(INDEX(DarlAuszahlung,5),175)+1)</f>
      </c>
      <c r="F2099" s="43">
        <f>IF($E2099=0,0,YEAR($E2099))</f>
      </c>
      <c r="G2099" s="43">
        <f>IF(INDEX(DarlBindung,5)="",1,IF($E2099&lt;=INDEX(DarlBindung,5),1,0))</f>
      </c>
      <c r="H2099" s="43">
        <f>IF($G2099=1,INDEX(DarlSollzins,5),INDEX(DarlAnschluss,5))</f>
      </c>
      <c r="I2099" s="43">
        <f>IF(INDEX(DarlBelegt,5)=0,0,IF(INDEX(DarlOhneTilgung,5)=1,IF(INDEX(DarlBindung,5)="",1,$G2099),IF($J2099&gt;0.005,1,0)))</f>
      </c>
      <c r="J2099" s="43">
        <f>IF($I2098=0,0,$R2098)</f>
      </c>
      <c r="K2099" s="43">
        <f>IF($I2099=0,0,IF(INDEX(DarlOhneTilgung,5)=1,0,IF(AND(INDEX(DarlTilgStart,5)&gt;0,$E2099=INDEX(DarlTilgStart,5)),$J2099*($H2099+INDEX(DarlTilgung,5))/100/12,IF(AND($G2099=0,$G2098=1),MAX($K2098,$J2099*($H2099+1)/100/12),$K2098))))</f>
      </c>
      <c r="L2099" s="43">
        <f>IF($I2099=0,0,$J2099*$H2099/100/12)</f>
      </c>
      <c r="M2099" s="43">
        <f>IF($I2099=0,0,IF(OR(INDEX(DarlOhneTilgung,5)=1,AND(INDEX(DarlTilgStart,5)&gt;0,$E2099&lt;INDEX(DarlTilgStart,5))),0,MIN(MAX(0,$K2099-$L2099),$J2099)))</f>
      </c>
      <c r="N2099" s="43">
        <f>IF($I2099=0,0,MIN(SUMIFS(SondBetrag,SondDarl,5,SondDatum,"&gt;="&amp;$E2099,SondDatum,"&lt;="&amp;EOMONTH($E2099,0)),$J2099-$M2099))</f>
      </c>
      <c r="O2099" s="43">
        <f>IF($I2099=0,0,INDEX(DarlErsatzRate,5))</f>
      </c>
      <c r="P2099" s="43">
        <f>IF($I2099=0,0,$Q2098*INDEX(DarlErsatzZins,5))</f>
      </c>
      <c r="Q2099" s="43">
        <f>IF($I2099=0,0,$Q2098+$P2099+$O2099)</f>
      </c>
      <c r="R2099" s="43">
        <f>IF($I2099=0,0,$J2099-$M2099-$N2099)</f>
      </c>
    </row>
    <row r="2100">
      <c r="A2100"/>
      <c r="B2100">
        <v>5</v>
      </c>
      <c r="C2100" s="43">
        <f>INDEX(DarlObj,5)</f>
      </c>
      <c r="D2100">
        <v>177</v>
      </c>
      <c r="E2100" s="51">
        <f>IF(INDEX(DarlBelegt,5)=0,0,EOMONTH(INDEX(DarlAuszahlung,5),176)+1)</f>
      </c>
      <c r="F2100" s="43">
        <f>IF($E2100=0,0,YEAR($E2100))</f>
      </c>
      <c r="G2100" s="43">
        <f>IF(INDEX(DarlBindung,5)="",1,IF($E2100&lt;=INDEX(DarlBindung,5),1,0))</f>
      </c>
      <c r="H2100" s="43">
        <f>IF($G2100=1,INDEX(DarlSollzins,5),INDEX(DarlAnschluss,5))</f>
      </c>
      <c r="I2100" s="43">
        <f>IF(INDEX(DarlBelegt,5)=0,0,IF(INDEX(DarlOhneTilgung,5)=1,IF(INDEX(DarlBindung,5)="",1,$G2100),IF($J2100&gt;0.005,1,0)))</f>
      </c>
      <c r="J2100" s="43">
        <f>IF($I2099=0,0,$R2099)</f>
      </c>
      <c r="K2100" s="43">
        <f>IF($I2100=0,0,IF(INDEX(DarlOhneTilgung,5)=1,0,IF(AND(INDEX(DarlTilgStart,5)&gt;0,$E2100=INDEX(DarlTilgStart,5)),$J2100*($H2100+INDEX(DarlTilgung,5))/100/12,IF(AND($G2100=0,$G2099=1),MAX($K2099,$J2100*($H2100+1)/100/12),$K2099))))</f>
      </c>
      <c r="L2100" s="43">
        <f>IF($I2100=0,0,$J2100*$H2100/100/12)</f>
      </c>
      <c r="M2100" s="43">
        <f>IF($I2100=0,0,IF(OR(INDEX(DarlOhneTilgung,5)=1,AND(INDEX(DarlTilgStart,5)&gt;0,$E2100&lt;INDEX(DarlTilgStart,5))),0,MIN(MAX(0,$K2100-$L2100),$J2100)))</f>
      </c>
      <c r="N2100" s="43">
        <f>IF($I2100=0,0,MIN(SUMIFS(SondBetrag,SondDarl,5,SondDatum,"&gt;="&amp;$E2100,SondDatum,"&lt;="&amp;EOMONTH($E2100,0)),$J2100-$M2100))</f>
      </c>
      <c r="O2100" s="43">
        <f>IF($I2100=0,0,INDEX(DarlErsatzRate,5))</f>
      </c>
      <c r="P2100" s="43">
        <f>IF($I2100=0,0,$Q2099*INDEX(DarlErsatzZins,5))</f>
      </c>
      <c r="Q2100" s="43">
        <f>IF($I2100=0,0,$Q2099+$P2100+$O2100)</f>
      </c>
      <c r="R2100" s="43">
        <f>IF($I2100=0,0,$J2100-$M2100-$N2100)</f>
      </c>
    </row>
    <row r="2101">
      <c r="A2101"/>
      <c r="B2101">
        <v>5</v>
      </c>
      <c r="C2101" s="43">
        <f>INDEX(DarlObj,5)</f>
      </c>
      <c r="D2101">
        <v>178</v>
      </c>
      <c r="E2101" s="51">
        <f>IF(INDEX(DarlBelegt,5)=0,0,EOMONTH(INDEX(DarlAuszahlung,5),177)+1)</f>
      </c>
      <c r="F2101" s="43">
        <f>IF($E2101=0,0,YEAR($E2101))</f>
      </c>
      <c r="G2101" s="43">
        <f>IF(INDEX(DarlBindung,5)="",1,IF($E2101&lt;=INDEX(DarlBindung,5),1,0))</f>
      </c>
      <c r="H2101" s="43">
        <f>IF($G2101=1,INDEX(DarlSollzins,5),INDEX(DarlAnschluss,5))</f>
      </c>
      <c r="I2101" s="43">
        <f>IF(INDEX(DarlBelegt,5)=0,0,IF(INDEX(DarlOhneTilgung,5)=1,IF(INDEX(DarlBindung,5)="",1,$G2101),IF($J2101&gt;0.005,1,0)))</f>
      </c>
      <c r="J2101" s="43">
        <f>IF($I2100=0,0,$R2100)</f>
      </c>
      <c r="K2101" s="43">
        <f>IF($I2101=0,0,IF(INDEX(DarlOhneTilgung,5)=1,0,IF(AND(INDEX(DarlTilgStart,5)&gt;0,$E2101=INDEX(DarlTilgStart,5)),$J2101*($H2101+INDEX(DarlTilgung,5))/100/12,IF(AND($G2101=0,$G2100=1),MAX($K2100,$J2101*($H2101+1)/100/12),$K2100))))</f>
      </c>
      <c r="L2101" s="43">
        <f>IF($I2101=0,0,$J2101*$H2101/100/12)</f>
      </c>
      <c r="M2101" s="43">
        <f>IF($I2101=0,0,IF(OR(INDEX(DarlOhneTilgung,5)=1,AND(INDEX(DarlTilgStart,5)&gt;0,$E2101&lt;INDEX(DarlTilgStart,5))),0,MIN(MAX(0,$K2101-$L2101),$J2101)))</f>
      </c>
      <c r="N2101" s="43">
        <f>IF($I2101=0,0,MIN(SUMIFS(SondBetrag,SondDarl,5,SondDatum,"&gt;="&amp;$E2101,SondDatum,"&lt;="&amp;EOMONTH($E2101,0)),$J2101-$M2101))</f>
      </c>
      <c r="O2101" s="43">
        <f>IF($I2101=0,0,INDEX(DarlErsatzRate,5))</f>
      </c>
      <c r="P2101" s="43">
        <f>IF($I2101=0,0,$Q2100*INDEX(DarlErsatzZins,5))</f>
      </c>
      <c r="Q2101" s="43">
        <f>IF($I2101=0,0,$Q2100+$P2101+$O2101)</f>
      </c>
      <c r="R2101" s="43">
        <f>IF($I2101=0,0,$J2101-$M2101-$N2101)</f>
      </c>
    </row>
    <row r="2102">
      <c r="A2102"/>
      <c r="B2102">
        <v>5</v>
      </c>
      <c r="C2102" s="43">
        <f>INDEX(DarlObj,5)</f>
      </c>
      <c r="D2102">
        <v>179</v>
      </c>
      <c r="E2102" s="51">
        <f>IF(INDEX(DarlBelegt,5)=0,0,EOMONTH(INDEX(DarlAuszahlung,5),178)+1)</f>
      </c>
      <c r="F2102" s="43">
        <f>IF($E2102=0,0,YEAR($E2102))</f>
      </c>
      <c r="G2102" s="43">
        <f>IF(INDEX(DarlBindung,5)="",1,IF($E2102&lt;=INDEX(DarlBindung,5),1,0))</f>
      </c>
      <c r="H2102" s="43">
        <f>IF($G2102=1,INDEX(DarlSollzins,5),INDEX(DarlAnschluss,5))</f>
      </c>
      <c r="I2102" s="43">
        <f>IF(INDEX(DarlBelegt,5)=0,0,IF(INDEX(DarlOhneTilgung,5)=1,IF(INDEX(DarlBindung,5)="",1,$G2102),IF($J2102&gt;0.005,1,0)))</f>
      </c>
      <c r="J2102" s="43">
        <f>IF($I2101=0,0,$R2101)</f>
      </c>
      <c r="K2102" s="43">
        <f>IF($I2102=0,0,IF(INDEX(DarlOhneTilgung,5)=1,0,IF(AND(INDEX(DarlTilgStart,5)&gt;0,$E2102=INDEX(DarlTilgStart,5)),$J2102*($H2102+INDEX(DarlTilgung,5))/100/12,IF(AND($G2102=0,$G2101=1),MAX($K2101,$J2102*($H2102+1)/100/12),$K2101))))</f>
      </c>
      <c r="L2102" s="43">
        <f>IF($I2102=0,0,$J2102*$H2102/100/12)</f>
      </c>
      <c r="M2102" s="43">
        <f>IF($I2102=0,0,IF(OR(INDEX(DarlOhneTilgung,5)=1,AND(INDEX(DarlTilgStart,5)&gt;0,$E2102&lt;INDEX(DarlTilgStart,5))),0,MIN(MAX(0,$K2102-$L2102),$J2102)))</f>
      </c>
      <c r="N2102" s="43">
        <f>IF($I2102=0,0,MIN(SUMIFS(SondBetrag,SondDarl,5,SondDatum,"&gt;="&amp;$E2102,SondDatum,"&lt;="&amp;EOMONTH($E2102,0)),$J2102-$M2102))</f>
      </c>
      <c r="O2102" s="43">
        <f>IF($I2102=0,0,INDEX(DarlErsatzRate,5))</f>
      </c>
      <c r="P2102" s="43">
        <f>IF($I2102=0,0,$Q2101*INDEX(DarlErsatzZins,5))</f>
      </c>
      <c r="Q2102" s="43">
        <f>IF($I2102=0,0,$Q2101+$P2102+$O2102)</f>
      </c>
      <c r="R2102" s="43">
        <f>IF($I2102=0,0,$J2102-$M2102-$N2102)</f>
      </c>
    </row>
    <row r="2103">
      <c r="A2103"/>
      <c r="B2103">
        <v>5</v>
      </c>
      <c r="C2103" s="43">
        <f>INDEX(DarlObj,5)</f>
      </c>
      <c r="D2103">
        <v>180</v>
      </c>
      <c r="E2103" s="51">
        <f>IF(INDEX(DarlBelegt,5)=0,0,EOMONTH(INDEX(DarlAuszahlung,5),179)+1)</f>
      </c>
      <c r="F2103" s="43">
        <f>IF($E2103=0,0,YEAR($E2103))</f>
      </c>
      <c r="G2103" s="43">
        <f>IF(INDEX(DarlBindung,5)="",1,IF($E2103&lt;=INDEX(DarlBindung,5),1,0))</f>
      </c>
      <c r="H2103" s="43">
        <f>IF($G2103=1,INDEX(DarlSollzins,5),INDEX(DarlAnschluss,5))</f>
      </c>
      <c r="I2103" s="43">
        <f>IF(INDEX(DarlBelegt,5)=0,0,IF(INDEX(DarlOhneTilgung,5)=1,IF(INDEX(DarlBindung,5)="",1,$G2103),IF($J2103&gt;0.005,1,0)))</f>
      </c>
      <c r="J2103" s="43">
        <f>IF($I2102=0,0,$R2102)</f>
      </c>
      <c r="K2103" s="43">
        <f>IF($I2103=0,0,IF(INDEX(DarlOhneTilgung,5)=1,0,IF(AND(INDEX(DarlTilgStart,5)&gt;0,$E2103=INDEX(DarlTilgStart,5)),$J2103*($H2103+INDEX(DarlTilgung,5))/100/12,IF(AND($G2103=0,$G2102=1),MAX($K2102,$J2103*($H2103+1)/100/12),$K2102))))</f>
      </c>
      <c r="L2103" s="43">
        <f>IF($I2103=0,0,$J2103*$H2103/100/12)</f>
      </c>
      <c r="M2103" s="43">
        <f>IF($I2103=0,0,IF(OR(INDEX(DarlOhneTilgung,5)=1,AND(INDEX(DarlTilgStart,5)&gt;0,$E2103&lt;INDEX(DarlTilgStart,5))),0,MIN(MAX(0,$K2103-$L2103),$J2103)))</f>
      </c>
      <c r="N2103" s="43">
        <f>IF($I2103=0,0,MIN(SUMIFS(SondBetrag,SondDarl,5,SondDatum,"&gt;="&amp;$E2103,SondDatum,"&lt;="&amp;EOMONTH($E2103,0)),$J2103-$M2103))</f>
      </c>
      <c r="O2103" s="43">
        <f>IF($I2103=0,0,INDEX(DarlErsatzRate,5))</f>
      </c>
      <c r="P2103" s="43">
        <f>IF($I2103=0,0,$Q2102*INDEX(DarlErsatzZins,5))</f>
      </c>
      <c r="Q2103" s="43">
        <f>IF($I2103=0,0,$Q2102+$P2103+$O2103)</f>
      </c>
      <c r="R2103" s="43">
        <f>IF($I2103=0,0,$J2103-$M2103-$N2103)</f>
      </c>
    </row>
    <row r="2104">
      <c r="A2104"/>
      <c r="B2104">
        <v>5</v>
      </c>
      <c r="C2104" s="43">
        <f>INDEX(DarlObj,5)</f>
      </c>
      <c r="D2104">
        <v>181</v>
      </c>
      <c r="E2104" s="51">
        <f>IF(INDEX(DarlBelegt,5)=0,0,EOMONTH(INDEX(DarlAuszahlung,5),180)+1)</f>
      </c>
      <c r="F2104" s="43">
        <f>IF($E2104=0,0,YEAR($E2104))</f>
      </c>
      <c r="G2104" s="43">
        <f>IF(INDEX(DarlBindung,5)="",1,IF($E2104&lt;=INDEX(DarlBindung,5),1,0))</f>
      </c>
      <c r="H2104" s="43">
        <f>IF($G2104=1,INDEX(DarlSollzins,5),INDEX(DarlAnschluss,5))</f>
      </c>
      <c r="I2104" s="43">
        <f>IF(INDEX(DarlBelegt,5)=0,0,IF(INDEX(DarlOhneTilgung,5)=1,IF(INDEX(DarlBindung,5)="",1,$G2104),IF($J2104&gt;0.005,1,0)))</f>
      </c>
      <c r="J2104" s="43">
        <f>IF($I2103=0,0,$R2103)</f>
      </c>
      <c r="K2104" s="43">
        <f>IF($I2104=0,0,IF(INDEX(DarlOhneTilgung,5)=1,0,IF(AND(INDEX(DarlTilgStart,5)&gt;0,$E2104=INDEX(DarlTilgStart,5)),$J2104*($H2104+INDEX(DarlTilgung,5))/100/12,IF(AND($G2104=0,$G2103=1),MAX($K2103,$J2104*($H2104+1)/100/12),$K2103))))</f>
      </c>
      <c r="L2104" s="43">
        <f>IF($I2104=0,0,$J2104*$H2104/100/12)</f>
      </c>
      <c r="M2104" s="43">
        <f>IF($I2104=0,0,IF(OR(INDEX(DarlOhneTilgung,5)=1,AND(INDEX(DarlTilgStart,5)&gt;0,$E2104&lt;INDEX(DarlTilgStart,5))),0,MIN(MAX(0,$K2104-$L2104),$J2104)))</f>
      </c>
      <c r="N2104" s="43">
        <f>IF($I2104=0,0,MIN(SUMIFS(SondBetrag,SondDarl,5,SondDatum,"&gt;="&amp;$E2104,SondDatum,"&lt;="&amp;EOMONTH($E2104,0)),$J2104-$M2104))</f>
      </c>
      <c r="O2104" s="43">
        <f>IF($I2104=0,0,INDEX(DarlErsatzRate,5))</f>
      </c>
      <c r="P2104" s="43">
        <f>IF($I2104=0,0,$Q2103*INDEX(DarlErsatzZins,5))</f>
      </c>
      <c r="Q2104" s="43">
        <f>IF($I2104=0,0,$Q2103+$P2104+$O2104)</f>
      </c>
      <c r="R2104" s="43">
        <f>IF($I2104=0,0,$J2104-$M2104-$N2104)</f>
      </c>
    </row>
    <row r="2105">
      <c r="A2105"/>
      <c r="B2105">
        <v>5</v>
      </c>
      <c r="C2105" s="43">
        <f>INDEX(DarlObj,5)</f>
      </c>
      <c r="D2105">
        <v>182</v>
      </c>
      <c r="E2105" s="51">
        <f>IF(INDEX(DarlBelegt,5)=0,0,EOMONTH(INDEX(DarlAuszahlung,5),181)+1)</f>
      </c>
      <c r="F2105" s="43">
        <f>IF($E2105=0,0,YEAR($E2105))</f>
      </c>
      <c r="G2105" s="43">
        <f>IF(INDEX(DarlBindung,5)="",1,IF($E2105&lt;=INDEX(DarlBindung,5),1,0))</f>
      </c>
      <c r="H2105" s="43">
        <f>IF($G2105=1,INDEX(DarlSollzins,5),INDEX(DarlAnschluss,5))</f>
      </c>
      <c r="I2105" s="43">
        <f>IF(INDEX(DarlBelegt,5)=0,0,IF(INDEX(DarlOhneTilgung,5)=1,IF(INDEX(DarlBindung,5)="",1,$G2105),IF($J2105&gt;0.005,1,0)))</f>
      </c>
      <c r="J2105" s="43">
        <f>IF($I2104=0,0,$R2104)</f>
      </c>
      <c r="K2105" s="43">
        <f>IF($I2105=0,0,IF(INDEX(DarlOhneTilgung,5)=1,0,IF(AND(INDEX(DarlTilgStart,5)&gt;0,$E2105=INDEX(DarlTilgStart,5)),$J2105*($H2105+INDEX(DarlTilgung,5))/100/12,IF(AND($G2105=0,$G2104=1),MAX($K2104,$J2105*($H2105+1)/100/12),$K2104))))</f>
      </c>
      <c r="L2105" s="43">
        <f>IF($I2105=0,0,$J2105*$H2105/100/12)</f>
      </c>
      <c r="M2105" s="43">
        <f>IF($I2105=0,0,IF(OR(INDEX(DarlOhneTilgung,5)=1,AND(INDEX(DarlTilgStart,5)&gt;0,$E2105&lt;INDEX(DarlTilgStart,5))),0,MIN(MAX(0,$K2105-$L2105),$J2105)))</f>
      </c>
      <c r="N2105" s="43">
        <f>IF($I2105=0,0,MIN(SUMIFS(SondBetrag,SondDarl,5,SondDatum,"&gt;="&amp;$E2105,SondDatum,"&lt;="&amp;EOMONTH($E2105,0)),$J2105-$M2105))</f>
      </c>
      <c r="O2105" s="43">
        <f>IF($I2105=0,0,INDEX(DarlErsatzRate,5))</f>
      </c>
      <c r="P2105" s="43">
        <f>IF($I2105=0,0,$Q2104*INDEX(DarlErsatzZins,5))</f>
      </c>
      <c r="Q2105" s="43">
        <f>IF($I2105=0,0,$Q2104+$P2105+$O2105)</f>
      </c>
      <c r="R2105" s="43">
        <f>IF($I2105=0,0,$J2105-$M2105-$N2105)</f>
      </c>
    </row>
    <row r="2106">
      <c r="A2106"/>
      <c r="B2106">
        <v>5</v>
      </c>
      <c r="C2106" s="43">
        <f>INDEX(DarlObj,5)</f>
      </c>
      <c r="D2106">
        <v>183</v>
      </c>
      <c r="E2106" s="51">
        <f>IF(INDEX(DarlBelegt,5)=0,0,EOMONTH(INDEX(DarlAuszahlung,5),182)+1)</f>
      </c>
      <c r="F2106" s="43">
        <f>IF($E2106=0,0,YEAR($E2106))</f>
      </c>
      <c r="G2106" s="43">
        <f>IF(INDEX(DarlBindung,5)="",1,IF($E2106&lt;=INDEX(DarlBindung,5),1,0))</f>
      </c>
      <c r="H2106" s="43">
        <f>IF($G2106=1,INDEX(DarlSollzins,5),INDEX(DarlAnschluss,5))</f>
      </c>
      <c r="I2106" s="43">
        <f>IF(INDEX(DarlBelegt,5)=0,0,IF(INDEX(DarlOhneTilgung,5)=1,IF(INDEX(DarlBindung,5)="",1,$G2106),IF($J2106&gt;0.005,1,0)))</f>
      </c>
      <c r="J2106" s="43">
        <f>IF($I2105=0,0,$R2105)</f>
      </c>
      <c r="K2106" s="43">
        <f>IF($I2106=0,0,IF(INDEX(DarlOhneTilgung,5)=1,0,IF(AND(INDEX(DarlTilgStart,5)&gt;0,$E2106=INDEX(DarlTilgStart,5)),$J2106*($H2106+INDEX(DarlTilgung,5))/100/12,IF(AND($G2106=0,$G2105=1),MAX($K2105,$J2106*($H2106+1)/100/12),$K2105))))</f>
      </c>
      <c r="L2106" s="43">
        <f>IF($I2106=0,0,$J2106*$H2106/100/12)</f>
      </c>
      <c r="M2106" s="43">
        <f>IF($I2106=0,0,IF(OR(INDEX(DarlOhneTilgung,5)=1,AND(INDEX(DarlTilgStart,5)&gt;0,$E2106&lt;INDEX(DarlTilgStart,5))),0,MIN(MAX(0,$K2106-$L2106),$J2106)))</f>
      </c>
      <c r="N2106" s="43">
        <f>IF($I2106=0,0,MIN(SUMIFS(SondBetrag,SondDarl,5,SondDatum,"&gt;="&amp;$E2106,SondDatum,"&lt;="&amp;EOMONTH($E2106,0)),$J2106-$M2106))</f>
      </c>
      <c r="O2106" s="43">
        <f>IF($I2106=0,0,INDEX(DarlErsatzRate,5))</f>
      </c>
      <c r="P2106" s="43">
        <f>IF($I2106=0,0,$Q2105*INDEX(DarlErsatzZins,5))</f>
      </c>
      <c r="Q2106" s="43">
        <f>IF($I2106=0,0,$Q2105+$P2106+$O2106)</f>
      </c>
      <c r="R2106" s="43">
        <f>IF($I2106=0,0,$J2106-$M2106-$N2106)</f>
      </c>
    </row>
    <row r="2107">
      <c r="A2107"/>
      <c r="B2107">
        <v>5</v>
      </c>
      <c r="C2107" s="43">
        <f>INDEX(DarlObj,5)</f>
      </c>
      <c r="D2107">
        <v>184</v>
      </c>
      <c r="E2107" s="51">
        <f>IF(INDEX(DarlBelegt,5)=0,0,EOMONTH(INDEX(DarlAuszahlung,5),183)+1)</f>
      </c>
      <c r="F2107" s="43">
        <f>IF($E2107=0,0,YEAR($E2107))</f>
      </c>
      <c r="G2107" s="43">
        <f>IF(INDEX(DarlBindung,5)="",1,IF($E2107&lt;=INDEX(DarlBindung,5),1,0))</f>
      </c>
      <c r="H2107" s="43">
        <f>IF($G2107=1,INDEX(DarlSollzins,5),INDEX(DarlAnschluss,5))</f>
      </c>
      <c r="I2107" s="43">
        <f>IF(INDEX(DarlBelegt,5)=0,0,IF(INDEX(DarlOhneTilgung,5)=1,IF(INDEX(DarlBindung,5)="",1,$G2107),IF($J2107&gt;0.005,1,0)))</f>
      </c>
      <c r="J2107" s="43">
        <f>IF($I2106=0,0,$R2106)</f>
      </c>
      <c r="K2107" s="43">
        <f>IF($I2107=0,0,IF(INDEX(DarlOhneTilgung,5)=1,0,IF(AND(INDEX(DarlTilgStart,5)&gt;0,$E2107=INDEX(DarlTilgStart,5)),$J2107*($H2107+INDEX(DarlTilgung,5))/100/12,IF(AND($G2107=0,$G2106=1),MAX($K2106,$J2107*($H2107+1)/100/12),$K2106))))</f>
      </c>
      <c r="L2107" s="43">
        <f>IF($I2107=0,0,$J2107*$H2107/100/12)</f>
      </c>
      <c r="M2107" s="43">
        <f>IF($I2107=0,0,IF(OR(INDEX(DarlOhneTilgung,5)=1,AND(INDEX(DarlTilgStart,5)&gt;0,$E2107&lt;INDEX(DarlTilgStart,5))),0,MIN(MAX(0,$K2107-$L2107),$J2107)))</f>
      </c>
      <c r="N2107" s="43">
        <f>IF($I2107=0,0,MIN(SUMIFS(SondBetrag,SondDarl,5,SondDatum,"&gt;="&amp;$E2107,SondDatum,"&lt;="&amp;EOMONTH($E2107,0)),$J2107-$M2107))</f>
      </c>
      <c r="O2107" s="43">
        <f>IF($I2107=0,0,INDEX(DarlErsatzRate,5))</f>
      </c>
      <c r="P2107" s="43">
        <f>IF($I2107=0,0,$Q2106*INDEX(DarlErsatzZins,5))</f>
      </c>
      <c r="Q2107" s="43">
        <f>IF($I2107=0,0,$Q2106+$P2107+$O2107)</f>
      </c>
      <c r="R2107" s="43">
        <f>IF($I2107=0,0,$J2107-$M2107-$N2107)</f>
      </c>
    </row>
    <row r="2108">
      <c r="A2108"/>
      <c r="B2108">
        <v>5</v>
      </c>
      <c r="C2108" s="43">
        <f>INDEX(DarlObj,5)</f>
      </c>
      <c r="D2108">
        <v>185</v>
      </c>
      <c r="E2108" s="51">
        <f>IF(INDEX(DarlBelegt,5)=0,0,EOMONTH(INDEX(DarlAuszahlung,5),184)+1)</f>
      </c>
      <c r="F2108" s="43">
        <f>IF($E2108=0,0,YEAR($E2108))</f>
      </c>
      <c r="G2108" s="43">
        <f>IF(INDEX(DarlBindung,5)="",1,IF($E2108&lt;=INDEX(DarlBindung,5),1,0))</f>
      </c>
      <c r="H2108" s="43">
        <f>IF($G2108=1,INDEX(DarlSollzins,5),INDEX(DarlAnschluss,5))</f>
      </c>
      <c r="I2108" s="43">
        <f>IF(INDEX(DarlBelegt,5)=0,0,IF(INDEX(DarlOhneTilgung,5)=1,IF(INDEX(DarlBindung,5)="",1,$G2108),IF($J2108&gt;0.005,1,0)))</f>
      </c>
      <c r="J2108" s="43">
        <f>IF($I2107=0,0,$R2107)</f>
      </c>
      <c r="K2108" s="43">
        <f>IF($I2108=0,0,IF(INDEX(DarlOhneTilgung,5)=1,0,IF(AND(INDEX(DarlTilgStart,5)&gt;0,$E2108=INDEX(DarlTilgStart,5)),$J2108*($H2108+INDEX(DarlTilgung,5))/100/12,IF(AND($G2108=0,$G2107=1),MAX($K2107,$J2108*($H2108+1)/100/12),$K2107))))</f>
      </c>
      <c r="L2108" s="43">
        <f>IF($I2108=0,0,$J2108*$H2108/100/12)</f>
      </c>
      <c r="M2108" s="43">
        <f>IF($I2108=0,0,IF(OR(INDEX(DarlOhneTilgung,5)=1,AND(INDEX(DarlTilgStart,5)&gt;0,$E2108&lt;INDEX(DarlTilgStart,5))),0,MIN(MAX(0,$K2108-$L2108),$J2108)))</f>
      </c>
      <c r="N2108" s="43">
        <f>IF($I2108=0,0,MIN(SUMIFS(SondBetrag,SondDarl,5,SondDatum,"&gt;="&amp;$E2108,SondDatum,"&lt;="&amp;EOMONTH($E2108,0)),$J2108-$M2108))</f>
      </c>
      <c r="O2108" s="43">
        <f>IF($I2108=0,0,INDEX(DarlErsatzRate,5))</f>
      </c>
      <c r="P2108" s="43">
        <f>IF($I2108=0,0,$Q2107*INDEX(DarlErsatzZins,5))</f>
      </c>
      <c r="Q2108" s="43">
        <f>IF($I2108=0,0,$Q2107+$P2108+$O2108)</f>
      </c>
      <c r="R2108" s="43">
        <f>IF($I2108=0,0,$J2108-$M2108-$N2108)</f>
      </c>
    </row>
    <row r="2109">
      <c r="A2109"/>
      <c r="B2109">
        <v>5</v>
      </c>
      <c r="C2109" s="43">
        <f>INDEX(DarlObj,5)</f>
      </c>
      <c r="D2109">
        <v>186</v>
      </c>
      <c r="E2109" s="51">
        <f>IF(INDEX(DarlBelegt,5)=0,0,EOMONTH(INDEX(DarlAuszahlung,5),185)+1)</f>
      </c>
      <c r="F2109" s="43">
        <f>IF($E2109=0,0,YEAR($E2109))</f>
      </c>
      <c r="G2109" s="43">
        <f>IF(INDEX(DarlBindung,5)="",1,IF($E2109&lt;=INDEX(DarlBindung,5),1,0))</f>
      </c>
      <c r="H2109" s="43">
        <f>IF($G2109=1,INDEX(DarlSollzins,5),INDEX(DarlAnschluss,5))</f>
      </c>
      <c r="I2109" s="43">
        <f>IF(INDEX(DarlBelegt,5)=0,0,IF(INDEX(DarlOhneTilgung,5)=1,IF(INDEX(DarlBindung,5)="",1,$G2109),IF($J2109&gt;0.005,1,0)))</f>
      </c>
      <c r="J2109" s="43">
        <f>IF($I2108=0,0,$R2108)</f>
      </c>
      <c r="K2109" s="43">
        <f>IF($I2109=0,0,IF(INDEX(DarlOhneTilgung,5)=1,0,IF(AND(INDEX(DarlTilgStart,5)&gt;0,$E2109=INDEX(DarlTilgStart,5)),$J2109*($H2109+INDEX(DarlTilgung,5))/100/12,IF(AND($G2109=0,$G2108=1),MAX($K2108,$J2109*($H2109+1)/100/12),$K2108))))</f>
      </c>
      <c r="L2109" s="43">
        <f>IF($I2109=0,0,$J2109*$H2109/100/12)</f>
      </c>
      <c r="M2109" s="43">
        <f>IF($I2109=0,0,IF(OR(INDEX(DarlOhneTilgung,5)=1,AND(INDEX(DarlTilgStart,5)&gt;0,$E2109&lt;INDEX(DarlTilgStart,5))),0,MIN(MAX(0,$K2109-$L2109),$J2109)))</f>
      </c>
      <c r="N2109" s="43">
        <f>IF($I2109=0,0,MIN(SUMIFS(SondBetrag,SondDarl,5,SondDatum,"&gt;="&amp;$E2109,SondDatum,"&lt;="&amp;EOMONTH($E2109,0)),$J2109-$M2109))</f>
      </c>
      <c r="O2109" s="43">
        <f>IF($I2109=0,0,INDEX(DarlErsatzRate,5))</f>
      </c>
      <c r="P2109" s="43">
        <f>IF($I2109=0,0,$Q2108*INDEX(DarlErsatzZins,5))</f>
      </c>
      <c r="Q2109" s="43">
        <f>IF($I2109=0,0,$Q2108+$P2109+$O2109)</f>
      </c>
      <c r="R2109" s="43">
        <f>IF($I2109=0,0,$J2109-$M2109-$N2109)</f>
      </c>
    </row>
    <row r="2110">
      <c r="A2110"/>
      <c r="B2110">
        <v>5</v>
      </c>
      <c r="C2110" s="43">
        <f>INDEX(DarlObj,5)</f>
      </c>
      <c r="D2110">
        <v>187</v>
      </c>
      <c r="E2110" s="51">
        <f>IF(INDEX(DarlBelegt,5)=0,0,EOMONTH(INDEX(DarlAuszahlung,5),186)+1)</f>
      </c>
      <c r="F2110" s="43">
        <f>IF($E2110=0,0,YEAR($E2110))</f>
      </c>
      <c r="G2110" s="43">
        <f>IF(INDEX(DarlBindung,5)="",1,IF($E2110&lt;=INDEX(DarlBindung,5),1,0))</f>
      </c>
      <c r="H2110" s="43">
        <f>IF($G2110=1,INDEX(DarlSollzins,5),INDEX(DarlAnschluss,5))</f>
      </c>
      <c r="I2110" s="43">
        <f>IF(INDEX(DarlBelegt,5)=0,0,IF(INDEX(DarlOhneTilgung,5)=1,IF(INDEX(DarlBindung,5)="",1,$G2110),IF($J2110&gt;0.005,1,0)))</f>
      </c>
      <c r="J2110" s="43">
        <f>IF($I2109=0,0,$R2109)</f>
      </c>
      <c r="K2110" s="43">
        <f>IF($I2110=0,0,IF(INDEX(DarlOhneTilgung,5)=1,0,IF(AND(INDEX(DarlTilgStart,5)&gt;0,$E2110=INDEX(DarlTilgStart,5)),$J2110*($H2110+INDEX(DarlTilgung,5))/100/12,IF(AND($G2110=0,$G2109=1),MAX($K2109,$J2110*($H2110+1)/100/12),$K2109))))</f>
      </c>
      <c r="L2110" s="43">
        <f>IF($I2110=0,0,$J2110*$H2110/100/12)</f>
      </c>
      <c r="M2110" s="43">
        <f>IF($I2110=0,0,IF(OR(INDEX(DarlOhneTilgung,5)=1,AND(INDEX(DarlTilgStart,5)&gt;0,$E2110&lt;INDEX(DarlTilgStart,5))),0,MIN(MAX(0,$K2110-$L2110),$J2110)))</f>
      </c>
      <c r="N2110" s="43">
        <f>IF($I2110=0,0,MIN(SUMIFS(SondBetrag,SondDarl,5,SondDatum,"&gt;="&amp;$E2110,SondDatum,"&lt;="&amp;EOMONTH($E2110,0)),$J2110-$M2110))</f>
      </c>
      <c r="O2110" s="43">
        <f>IF($I2110=0,0,INDEX(DarlErsatzRate,5))</f>
      </c>
      <c r="P2110" s="43">
        <f>IF($I2110=0,0,$Q2109*INDEX(DarlErsatzZins,5))</f>
      </c>
      <c r="Q2110" s="43">
        <f>IF($I2110=0,0,$Q2109+$P2110+$O2110)</f>
      </c>
      <c r="R2110" s="43">
        <f>IF($I2110=0,0,$J2110-$M2110-$N2110)</f>
      </c>
    </row>
    <row r="2111">
      <c r="A2111"/>
      <c r="B2111">
        <v>5</v>
      </c>
      <c r="C2111" s="43">
        <f>INDEX(DarlObj,5)</f>
      </c>
      <c r="D2111">
        <v>188</v>
      </c>
      <c r="E2111" s="51">
        <f>IF(INDEX(DarlBelegt,5)=0,0,EOMONTH(INDEX(DarlAuszahlung,5),187)+1)</f>
      </c>
      <c r="F2111" s="43">
        <f>IF($E2111=0,0,YEAR($E2111))</f>
      </c>
      <c r="G2111" s="43">
        <f>IF(INDEX(DarlBindung,5)="",1,IF($E2111&lt;=INDEX(DarlBindung,5),1,0))</f>
      </c>
      <c r="H2111" s="43">
        <f>IF($G2111=1,INDEX(DarlSollzins,5),INDEX(DarlAnschluss,5))</f>
      </c>
      <c r="I2111" s="43">
        <f>IF(INDEX(DarlBelegt,5)=0,0,IF(INDEX(DarlOhneTilgung,5)=1,IF(INDEX(DarlBindung,5)="",1,$G2111),IF($J2111&gt;0.005,1,0)))</f>
      </c>
      <c r="J2111" s="43">
        <f>IF($I2110=0,0,$R2110)</f>
      </c>
      <c r="K2111" s="43">
        <f>IF($I2111=0,0,IF(INDEX(DarlOhneTilgung,5)=1,0,IF(AND(INDEX(DarlTilgStart,5)&gt;0,$E2111=INDEX(DarlTilgStart,5)),$J2111*($H2111+INDEX(DarlTilgung,5))/100/12,IF(AND($G2111=0,$G2110=1),MAX($K2110,$J2111*($H2111+1)/100/12),$K2110))))</f>
      </c>
      <c r="L2111" s="43">
        <f>IF($I2111=0,0,$J2111*$H2111/100/12)</f>
      </c>
      <c r="M2111" s="43">
        <f>IF($I2111=0,0,IF(OR(INDEX(DarlOhneTilgung,5)=1,AND(INDEX(DarlTilgStart,5)&gt;0,$E2111&lt;INDEX(DarlTilgStart,5))),0,MIN(MAX(0,$K2111-$L2111),$J2111)))</f>
      </c>
      <c r="N2111" s="43">
        <f>IF($I2111=0,0,MIN(SUMIFS(SondBetrag,SondDarl,5,SondDatum,"&gt;="&amp;$E2111,SondDatum,"&lt;="&amp;EOMONTH($E2111,0)),$J2111-$M2111))</f>
      </c>
      <c r="O2111" s="43">
        <f>IF($I2111=0,0,INDEX(DarlErsatzRate,5))</f>
      </c>
      <c r="P2111" s="43">
        <f>IF($I2111=0,0,$Q2110*INDEX(DarlErsatzZins,5))</f>
      </c>
      <c r="Q2111" s="43">
        <f>IF($I2111=0,0,$Q2110+$P2111+$O2111)</f>
      </c>
      <c r="R2111" s="43">
        <f>IF($I2111=0,0,$J2111-$M2111-$N2111)</f>
      </c>
    </row>
    <row r="2112">
      <c r="A2112"/>
      <c r="B2112">
        <v>5</v>
      </c>
      <c r="C2112" s="43">
        <f>INDEX(DarlObj,5)</f>
      </c>
      <c r="D2112">
        <v>189</v>
      </c>
      <c r="E2112" s="51">
        <f>IF(INDEX(DarlBelegt,5)=0,0,EOMONTH(INDEX(DarlAuszahlung,5),188)+1)</f>
      </c>
      <c r="F2112" s="43">
        <f>IF($E2112=0,0,YEAR($E2112))</f>
      </c>
      <c r="G2112" s="43">
        <f>IF(INDEX(DarlBindung,5)="",1,IF($E2112&lt;=INDEX(DarlBindung,5),1,0))</f>
      </c>
      <c r="H2112" s="43">
        <f>IF($G2112=1,INDEX(DarlSollzins,5),INDEX(DarlAnschluss,5))</f>
      </c>
      <c r="I2112" s="43">
        <f>IF(INDEX(DarlBelegt,5)=0,0,IF(INDEX(DarlOhneTilgung,5)=1,IF(INDEX(DarlBindung,5)="",1,$G2112),IF($J2112&gt;0.005,1,0)))</f>
      </c>
      <c r="J2112" s="43">
        <f>IF($I2111=0,0,$R2111)</f>
      </c>
      <c r="K2112" s="43">
        <f>IF($I2112=0,0,IF(INDEX(DarlOhneTilgung,5)=1,0,IF(AND(INDEX(DarlTilgStart,5)&gt;0,$E2112=INDEX(DarlTilgStart,5)),$J2112*($H2112+INDEX(DarlTilgung,5))/100/12,IF(AND($G2112=0,$G2111=1),MAX($K2111,$J2112*($H2112+1)/100/12),$K2111))))</f>
      </c>
      <c r="L2112" s="43">
        <f>IF($I2112=0,0,$J2112*$H2112/100/12)</f>
      </c>
      <c r="M2112" s="43">
        <f>IF($I2112=0,0,IF(OR(INDEX(DarlOhneTilgung,5)=1,AND(INDEX(DarlTilgStart,5)&gt;0,$E2112&lt;INDEX(DarlTilgStart,5))),0,MIN(MAX(0,$K2112-$L2112),$J2112)))</f>
      </c>
      <c r="N2112" s="43">
        <f>IF($I2112=0,0,MIN(SUMIFS(SondBetrag,SondDarl,5,SondDatum,"&gt;="&amp;$E2112,SondDatum,"&lt;="&amp;EOMONTH($E2112,0)),$J2112-$M2112))</f>
      </c>
      <c r="O2112" s="43">
        <f>IF($I2112=0,0,INDEX(DarlErsatzRate,5))</f>
      </c>
      <c r="P2112" s="43">
        <f>IF($I2112=0,0,$Q2111*INDEX(DarlErsatzZins,5))</f>
      </c>
      <c r="Q2112" s="43">
        <f>IF($I2112=0,0,$Q2111+$P2112+$O2112)</f>
      </c>
      <c r="R2112" s="43">
        <f>IF($I2112=0,0,$J2112-$M2112-$N2112)</f>
      </c>
    </row>
    <row r="2113">
      <c r="A2113"/>
      <c r="B2113">
        <v>5</v>
      </c>
      <c r="C2113" s="43">
        <f>INDEX(DarlObj,5)</f>
      </c>
      <c r="D2113">
        <v>190</v>
      </c>
      <c r="E2113" s="51">
        <f>IF(INDEX(DarlBelegt,5)=0,0,EOMONTH(INDEX(DarlAuszahlung,5),189)+1)</f>
      </c>
      <c r="F2113" s="43">
        <f>IF($E2113=0,0,YEAR($E2113))</f>
      </c>
      <c r="G2113" s="43">
        <f>IF(INDEX(DarlBindung,5)="",1,IF($E2113&lt;=INDEX(DarlBindung,5),1,0))</f>
      </c>
      <c r="H2113" s="43">
        <f>IF($G2113=1,INDEX(DarlSollzins,5),INDEX(DarlAnschluss,5))</f>
      </c>
      <c r="I2113" s="43">
        <f>IF(INDEX(DarlBelegt,5)=0,0,IF(INDEX(DarlOhneTilgung,5)=1,IF(INDEX(DarlBindung,5)="",1,$G2113),IF($J2113&gt;0.005,1,0)))</f>
      </c>
      <c r="J2113" s="43">
        <f>IF($I2112=0,0,$R2112)</f>
      </c>
      <c r="K2113" s="43">
        <f>IF($I2113=0,0,IF(INDEX(DarlOhneTilgung,5)=1,0,IF(AND(INDEX(DarlTilgStart,5)&gt;0,$E2113=INDEX(DarlTilgStart,5)),$J2113*($H2113+INDEX(DarlTilgung,5))/100/12,IF(AND($G2113=0,$G2112=1),MAX($K2112,$J2113*($H2113+1)/100/12),$K2112))))</f>
      </c>
      <c r="L2113" s="43">
        <f>IF($I2113=0,0,$J2113*$H2113/100/12)</f>
      </c>
      <c r="M2113" s="43">
        <f>IF($I2113=0,0,IF(OR(INDEX(DarlOhneTilgung,5)=1,AND(INDEX(DarlTilgStart,5)&gt;0,$E2113&lt;INDEX(DarlTilgStart,5))),0,MIN(MAX(0,$K2113-$L2113),$J2113)))</f>
      </c>
      <c r="N2113" s="43">
        <f>IF($I2113=0,0,MIN(SUMIFS(SondBetrag,SondDarl,5,SondDatum,"&gt;="&amp;$E2113,SondDatum,"&lt;="&amp;EOMONTH($E2113,0)),$J2113-$M2113))</f>
      </c>
      <c r="O2113" s="43">
        <f>IF($I2113=0,0,INDEX(DarlErsatzRate,5))</f>
      </c>
      <c r="P2113" s="43">
        <f>IF($I2113=0,0,$Q2112*INDEX(DarlErsatzZins,5))</f>
      </c>
      <c r="Q2113" s="43">
        <f>IF($I2113=0,0,$Q2112+$P2113+$O2113)</f>
      </c>
      <c r="R2113" s="43">
        <f>IF($I2113=0,0,$J2113-$M2113-$N2113)</f>
      </c>
    </row>
    <row r="2114">
      <c r="A2114"/>
      <c r="B2114">
        <v>5</v>
      </c>
      <c r="C2114" s="43">
        <f>INDEX(DarlObj,5)</f>
      </c>
      <c r="D2114">
        <v>191</v>
      </c>
      <c r="E2114" s="51">
        <f>IF(INDEX(DarlBelegt,5)=0,0,EOMONTH(INDEX(DarlAuszahlung,5),190)+1)</f>
      </c>
      <c r="F2114" s="43">
        <f>IF($E2114=0,0,YEAR($E2114))</f>
      </c>
      <c r="G2114" s="43">
        <f>IF(INDEX(DarlBindung,5)="",1,IF($E2114&lt;=INDEX(DarlBindung,5),1,0))</f>
      </c>
      <c r="H2114" s="43">
        <f>IF($G2114=1,INDEX(DarlSollzins,5),INDEX(DarlAnschluss,5))</f>
      </c>
      <c r="I2114" s="43">
        <f>IF(INDEX(DarlBelegt,5)=0,0,IF(INDEX(DarlOhneTilgung,5)=1,IF(INDEX(DarlBindung,5)="",1,$G2114),IF($J2114&gt;0.005,1,0)))</f>
      </c>
      <c r="J2114" s="43">
        <f>IF($I2113=0,0,$R2113)</f>
      </c>
      <c r="K2114" s="43">
        <f>IF($I2114=0,0,IF(INDEX(DarlOhneTilgung,5)=1,0,IF(AND(INDEX(DarlTilgStart,5)&gt;0,$E2114=INDEX(DarlTilgStart,5)),$J2114*($H2114+INDEX(DarlTilgung,5))/100/12,IF(AND($G2114=0,$G2113=1),MAX($K2113,$J2114*($H2114+1)/100/12),$K2113))))</f>
      </c>
      <c r="L2114" s="43">
        <f>IF($I2114=0,0,$J2114*$H2114/100/12)</f>
      </c>
      <c r="M2114" s="43">
        <f>IF($I2114=0,0,IF(OR(INDEX(DarlOhneTilgung,5)=1,AND(INDEX(DarlTilgStart,5)&gt;0,$E2114&lt;INDEX(DarlTilgStart,5))),0,MIN(MAX(0,$K2114-$L2114),$J2114)))</f>
      </c>
      <c r="N2114" s="43">
        <f>IF($I2114=0,0,MIN(SUMIFS(SondBetrag,SondDarl,5,SondDatum,"&gt;="&amp;$E2114,SondDatum,"&lt;="&amp;EOMONTH($E2114,0)),$J2114-$M2114))</f>
      </c>
      <c r="O2114" s="43">
        <f>IF($I2114=0,0,INDEX(DarlErsatzRate,5))</f>
      </c>
      <c r="P2114" s="43">
        <f>IF($I2114=0,0,$Q2113*INDEX(DarlErsatzZins,5))</f>
      </c>
      <c r="Q2114" s="43">
        <f>IF($I2114=0,0,$Q2113+$P2114+$O2114)</f>
      </c>
      <c r="R2114" s="43">
        <f>IF($I2114=0,0,$J2114-$M2114-$N2114)</f>
      </c>
    </row>
    <row r="2115">
      <c r="A2115"/>
      <c r="B2115">
        <v>5</v>
      </c>
      <c r="C2115" s="43">
        <f>INDEX(DarlObj,5)</f>
      </c>
      <c r="D2115">
        <v>192</v>
      </c>
      <c r="E2115" s="51">
        <f>IF(INDEX(DarlBelegt,5)=0,0,EOMONTH(INDEX(DarlAuszahlung,5),191)+1)</f>
      </c>
      <c r="F2115" s="43">
        <f>IF($E2115=0,0,YEAR($E2115))</f>
      </c>
      <c r="G2115" s="43">
        <f>IF(INDEX(DarlBindung,5)="",1,IF($E2115&lt;=INDEX(DarlBindung,5),1,0))</f>
      </c>
      <c r="H2115" s="43">
        <f>IF($G2115=1,INDEX(DarlSollzins,5),INDEX(DarlAnschluss,5))</f>
      </c>
      <c r="I2115" s="43">
        <f>IF(INDEX(DarlBelegt,5)=0,0,IF(INDEX(DarlOhneTilgung,5)=1,IF(INDEX(DarlBindung,5)="",1,$G2115),IF($J2115&gt;0.005,1,0)))</f>
      </c>
      <c r="J2115" s="43">
        <f>IF($I2114=0,0,$R2114)</f>
      </c>
      <c r="K2115" s="43">
        <f>IF($I2115=0,0,IF(INDEX(DarlOhneTilgung,5)=1,0,IF(AND(INDEX(DarlTilgStart,5)&gt;0,$E2115=INDEX(DarlTilgStart,5)),$J2115*($H2115+INDEX(DarlTilgung,5))/100/12,IF(AND($G2115=0,$G2114=1),MAX($K2114,$J2115*($H2115+1)/100/12),$K2114))))</f>
      </c>
      <c r="L2115" s="43">
        <f>IF($I2115=0,0,$J2115*$H2115/100/12)</f>
      </c>
      <c r="M2115" s="43">
        <f>IF($I2115=0,0,IF(OR(INDEX(DarlOhneTilgung,5)=1,AND(INDEX(DarlTilgStart,5)&gt;0,$E2115&lt;INDEX(DarlTilgStart,5))),0,MIN(MAX(0,$K2115-$L2115),$J2115)))</f>
      </c>
      <c r="N2115" s="43">
        <f>IF($I2115=0,0,MIN(SUMIFS(SondBetrag,SondDarl,5,SondDatum,"&gt;="&amp;$E2115,SondDatum,"&lt;="&amp;EOMONTH($E2115,0)),$J2115-$M2115))</f>
      </c>
      <c r="O2115" s="43">
        <f>IF($I2115=0,0,INDEX(DarlErsatzRate,5))</f>
      </c>
      <c r="P2115" s="43">
        <f>IF($I2115=0,0,$Q2114*INDEX(DarlErsatzZins,5))</f>
      </c>
      <c r="Q2115" s="43">
        <f>IF($I2115=0,0,$Q2114+$P2115+$O2115)</f>
      </c>
      <c r="R2115" s="43">
        <f>IF($I2115=0,0,$J2115-$M2115-$N2115)</f>
      </c>
    </row>
    <row r="2116">
      <c r="A2116"/>
      <c r="B2116">
        <v>5</v>
      </c>
      <c r="C2116" s="43">
        <f>INDEX(DarlObj,5)</f>
      </c>
      <c r="D2116">
        <v>193</v>
      </c>
      <c r="E2116" s="51">
        <f>IF(INDEX(DarlBelegt,5)=0,0,EOMONTH(INDEX(DarlAuszahlung,5),192)+1)</f>
      </c>
      <c r="F2116" s="43">
        <f>IF($E2116=0,0,YEAR($E2116))</f>
      </c>
      <c r="G2116" s="43">
        <f>IF(INDEX(DarlBindung,5)="",1,IF($E2116&lt;=INDEX(DarlBindung,5),1,0))</f>
      </c>
      <c r="H2116" s="43">
        <f>IF($G2116=1,INDEX(DarlSollzins,5),INDEX(DarlAnschluss,5))</f>
      </c>
      <c r="I2116" s="43">
        <f>IF(INDEX(DarlBelegt,5)=0,0,IF(INDEX(DarlOhneTilgung,5)=1,IF(INDEX(DarlBindung,5)="",1,$G2116),IF($J2116&gt;0.005,1,0)))</f>
      </c>
      <c r="J2116" s="43">
        <f>IF($I2115=0,0,$R2115)</f>
      </c>
      <c r="K2116" s="43">
        <f>IF($I2116=0,0,IF(INDEX(DarlOhneTilgung,5)=1,0,IF(AND(INDEX(DarlTilgStart,5)&gt;0,$E2116=INDEX(DarlTilgStart,5)),$J2116*($H2116+INDEX(DarlTilgung,5))/100/12,IF(AND($G2116=0,$G2115=1),MAX($K2115,$J2116*($H2116+1)/100/12),$K2115))))</f>
      </c>
      <c r="L2116" s="43">
        <f>IF($I2116=0,0,$J2116*$H2116/100/12)</f>
      </c>
      <c r="M2116" s="43">
        <f>IF($I2116=0,0,IF(OR(INDEX(DarlOhneTilgung,5)=1,AND(INDEX(DarlTilgStart,5)&gt;0,$E2116&lt;INDEX(DarlTilgStart,5))),0,MIN(MAX(0,$K2116-$L2116),$J2116)))</f>
      </c>
      <c r="N2116" s="43">
        <f>IF($I2116=0,0,MIN(SUMIFS(SondBetrag,SondDarl,5,SondDatum,"&gt;="&amp;$E2116,SondDatum,"&lt;="&amp;EOMONTH($E2116,0)),$J2116-$M2116))</f>
      </c>
      <c r="O2116" s="43">
        <f>IF($I2116=0,0,INDEX(DarlErsatzRate,5))</f>
      </c>
      <c r="P2116" s="43">
        <f>IF($I2116=0,0,$Q2115*INDEX(DarlErsatzZins,5))</f>
      </c>
      <c r="Q2116" s="43">
        <f>IF($I2116=0,0,$Q2115+$P2116+$O2116)</f>
      </c>
      <c r="R2116" s="43">
        <f>IF($I2116=0,0,$J2116-$M2116-$N2116)</f>
      </c>
    </row>
    <row r="2117">
      <c r="A2117"/>
      <c r="B2117">
        <v>5</v>
      </c>
      <c r="C2117" s="43">
        <f>INDEX(DarlObj,5)</f>
      </c>
      <c r="D2117">
        <v>194</v>
      </c>
      <c r="E2117" s="51">
        <f>IF(INDEX(DarlBelegt,5)=0,0,EOMONTH(INDEX(DarlAuszahlung,5),193)+1)</f>
      </c>
      <c r="F2117" s="43">
        <f>IF($E2117=0,0,YEAR($E2117))</f>
      </c>
      <c r="G2117" s="43">
        <f>IF(INDEX(DarlBindung,5)="",1,IF($E2117&lt;=INDEX(DarlBindung,5),1,0))</f>
      </c>
      <c r="H2117" s="43">
        <f>IF($G2117=1,INDEX(DarlSollzins,5),INDEX(DarlAnschluss,5))</f>
      </c>
      <c r="I2117" s="43">
        <f>IF(INDEX(DarlBelegt,5)=0,0,IF(INDEX(DarlOhneTilgung,5)=1,IF(INDEX(DarlBindung,5)="",1,$G2117),IF($J2117&gt;0.005,1,0)))</f>
      </c>
      <c r="J2117" s="43">
        <f>IF($I2116=0,0,$R2116)</f>
      </c>
      <c r="K2117" s="43">
        <f>IF($I2117=0,0,IF(INDEX(DarlOhneTilgung,5)=1,0,IF(AND(INDEX(DarlTilgStart,5)&gt;0,$E2117=INDEX(DarlTilgStart,5)),$J2117*($H2117+INDEX(DarlTilgung,5))/100/12,IF(AND($G2117=0,$G2116=1),MAX($K2116,$J2117*($H2117+1)/100/12),$K2116))))</f>
      </c>
      <c r="L2117" s="43">
        <f>IF($I2117=0,0,$J2117*$H2117/100/12)</f>
      </c>
      <c r="M2117" s="43">
        <f>IF($I2117=0,0,IF(OR(INDEX(DarlOhneTilgung,5)=1,AND(INDEX(DarlTilgStart,5)&gt;0,$E2117&lt;INDEX(DarlTilgStart,5))),0,MIN(MAX(0,$K2117-$L2117),$J2117)))</f>
      </c>
      <c r="N2117" s="43">
        <f>IF($I2117=0,0,MIN(SUMIFS(SondBetrag,SondDarl,5,SondDatum,"&gt;="&amp;$E2117,SondDatum,"&lt;="&amp;EOMONTH($E2117,0)),$J2117-$M2117))</f>
      </c>
      <c r="O2117" s="43">
        <f>IF($I2117=0,0,INDEX(DarlErsatzRate,5))</f>
      </c>
      <c r="P2117" s="43">
        <f>IF($I2117=0,0,$Q2116*INDEX(DarlErsatzZins,5))</f>
      </c>
      <c r="Q2117" s="43">
        <f>IF($I2117=0,0,$Q2116+$P2117+$O2117)</f>
      </c>
      <c r="R2117" s="43">
        <f>IF($I2117=0,0,$J2117-$M2117-$N2117)</f>
      </c>
    </row>
    <row r="2118">
      <c r="A2118"/>
      <c r="B2118">
        <v>5</v>
      </c>
      <c r="C2118" s="43">
        <f>INDEX(DarlObj,5)</f>
      </c>
      <c r="D2118">
        <v>195</v>
      </c>
      <c r="E2118" s="51">
        <f>IF(INDEX(DarlBelegt,5)=0,0,EOMONTH(INDEX(DarlAuszahlung,5),194)+1)</f>
      </c>
      <c r="F2118" s="43">
        <f>IF($E2118=0,0,YEAR($E2118))</f>
      </c>
      <c r="G2118" s="43">
        <f>IF(INDEX(DarlBindung,5)="",1,IF($E2118&lt;=INDEX(DarlBindung,5),1,0))</f>
      </c>
      <c r="H2118" s="43">
        <f>IF($G2118=1,INDEX(DarlSollzins,5),INDEX(DarlAnschluss,5))</f>
      </c>
      <c r="I2118" s="43">
        <f>IF(INDEX(DarlBelegt,5)=0,0,IF(INDEX(DarlOhneTilgung,5)=1,IF(INDEX(DarlBindung,5)="",1,$G2118),IF($J2118&gt;0.005,1,0)))</f>
      </c>
      <c r="J2118" s="43">
        <f>IF($I2117=0,0,$R2117)</f>
      </c>
      <c r="K2118" s="43">
        <f>IF($I2118=0,0,IF(INDEX(DarlOhneTilgung,5)=1,0,IF(AND(INDEX(DarlTilgStart,5)&gt;0,$E2118=INDEX(DarlTilgStart,5)),$J2118*($H2118+INDEX(DarlTilgung,5))/100/12,IF(AND($G2118=0,$G2117=1),MAX($K2117,$J2118*($H2118+1)/100/12),$K2117))))</f>
      </c>
      <c r="L2118" s="43">
        <f>IF($I2118=0,0,$J2118*$H2118/100/12)</f>
      </c>
      <c r="M2118" s="43">
        <f>IF($I2118=0,0,IF(OR(INDEX(DarlOhneTilgung,5)=1,AND(INDEX(DarlTilgStart,5)&gt;0,$E2118&lt;INDEX(DarlTilgStart,5))),0,MIN(MAX(0,$K2118-$L2118),$J2118)))</f>
      </c>
      <c r="N2118" s="43">
        <f>IF($I2118=0,0,MIN(SUMIFS(SondBetrag,SondDarl,5,SondDatum,"&gt;="&amp;$E2118,SondDatum,"&lt;="&amp;EOMONTH($E2118,0)),$J2118-$M2118))</f>
      </c>
      <c r="O2118" s="43">
        <f>IF($I2118=0,0,INDEX(DarlErsatzRate,5))</f>
      </c>
      <c r="P2118" s="43">
        <f>IF($I2118=0,0,$Q2117*INDEX(DarlErsatzZins,5))</f>
      </c>
      <c r="Q2118" s="43">
        <f>IF($I2118=0,0,$Q2117+$P2118+$O2118)</f>
      </c>
      <c r="R2118" s="43">
        <f>IF($I2118=0,0,$J2118-$M2118-$N2118)</f>
      </c>
    </row>
    <row r="2119">
      <c r="A2119"/>
      <c r="B2119">
        <v>5</v>
      </c>
      <c r="C2119" s="43">
        <f>INDEX(DarlObj,5)</f>
      </c>
      <c r="D2119">
        <v>196</v>
      </c>
      <c r="E2119" s="51">
        <f>IF(INDEX(DarlBelegt,5)=0,0,EOMONTH(INDEX(DarlAuszahlung,5),195)+1)</f>
      </c>
      <c r="F2119" s="43">
        <f>IF($E2119=0,0,YEAR($E2119))</f>
      </c>
      <c r="G2119" s="43">
        <f>IF(INDEX(DarlBindung,5)="",1,IF($E2119&lt;=INDEX(DarlBindung,5),1,0))</f>
      </c>
      <c r="H2119" s="43">
        <f>IF($G2119=1,INDEX(DarlSollzins,5),INDEX(DarlAnschluss,5))</f>
      </c>
      <c r="I2119" s="43">
        <f>IF(INDEX(DarlBelegt,5)=0,0,IF(INDEX(DarlOhneTilgung,5)=1,IF(INDEX(DarlBindung,5)="",1,$G2119),IF($J2119&gt;0.005,1,0)))</f>
      </c>
      <c r="J2119" s="43">
        <f>IF($I2118=0,0,$R2118)</f>
      </c>
      <c r="K2119" s="43">
        <f>IF($I2119=0,0,IF(INDEX(DarlOhneTilgung,5)=1,0,IF(AND(INDEX(DarlTilgStart,5)&gt;0,$E2119=INDEX(DarlTilgStart,5)),$J2119*($H2119+INDEX(DarlTilgung,5))/100/12,IF(AND($G2119=0,$G2118=1),MAX($K2118,$J2119*($H2119+1)/100/12),$K2118))))</f>
      </c>
      <c r="L2119" s="43">
        <f>IF($I2119=0,0,$J2119*$H2119/100/12)</f>
      </c>
      <c r="M2119" s="43">
        <f>IF($I2119=0,0,IF(OR(INDEX(DarlOhneTilgung,5)=1,AND(INDEX(DarlTilgStart,5)&gt;0,$E2119&lt;INDEX(DarlTilgStart,5))),0,MIN(MAX(0,$K2119-$L2119),$J2119)))</f>
      </c>
      <c r="N2119" s="43">
        <f>IF($I2119=0,0,MIN(SUMIFS(SondBetrag,SondDarl,5,SondDatum,"&gt;="&amp;$E2119,SondDatum,"&lt;="&amp;EOMONTH($E2119,0)),$J2119-$M2119))</f>
      </c>
      <c r="O2119" s="43">
        <f>IF($I2119=0,0,INDEX(DarlErsatzRate,5))</f>
      </c>
      <c r="P2119" s="43">
        <f>IF($I2119=0,0,$Q2118*INDEX(DarlErsatzZins,5))</f>
      </c>
      <c r="Q2119" s="43">
        <f>IF($I2119=0,0,$Q2118+$P2119+$O2119)</f>
      </c>
      <c r="R2119" s="43">
        <f>IF($I2119=0,0,$J2119-$M2119-$N2119)</f>
      </c>
    </row>
    <row r="2120">
      <c r="A2120"/>
      <c r="B2120">
        <v>5</v>
      </c>
      <c r="C2120" s="43">
        <f>INDEX(DarlObj,5)</f>
      </c>
      <c r="D2120">
        <v>197</v>
      </c>
      <c r="E2120" s="51">
        <f>IF(INDEX(DarlBelegt,5)=0,0,EOMONTH(INDEX(DarlAuszahlung,5),196)+1)</f>
      </c>
      <c r="F2120" s="43">
        <f>IF($E2120=0,0,YEAR($E2120))</f>
      </c>
      <c r="G2120" s="43">
        <f>IF(INDEX(DarlBindung,5)="",1,IF($E2120&lt;=INDEX(DarlBindung,5),1,0))</f>
      </c>
      <c r="H2120" s="43">
        <f>IF($G2120=1,INDEX(DarlSollzins,5),INDEX(DarlAnschluss,5))</f>
      </c>
      <c r="I2120" s="43">
        <f>IF(INDEX(DarlBelegt,5)=0,0,IF(INDEX(DarlOhneTilgung,5)=1,IF(INDEX(DarlBindung,5)="",1,$G2120),IF($J2120&gt;0.005,1,0)))</f>
      </c>
      <c r="J2120" s="43">
        <f>IF($I2119=0,0,$R2119)</f>
      </c>
      <c r="K2120" s="43">
        <f>IF($I2120=0,0,IF(INDEX(DarlOhneTilgung,5)=1,0,IF(AND(INDEX(DarlTilgStart,5)&gt;0,$E2120=INDEX(DarlTilgStart,5)),$J2120*($H2120+INDEX(DarlTilgung,5))/100/12,IF(AND($G2120=0,$G2119=1),MAX($K2119,$J2120*($H2120+1)/100/12),$K2119))))</f>
      </c>
      <c r="L2120" s="43">
        <f>IF($I2120=0,0,$J2120*$H2120/100/12)</f>
      </c>
      <c r="M2120" s="43">
        <f>IF($I2120=0,0,IF(OR(INDEX(DarlOhneTilgung,5)=1,AND(INDEX(DarlTilgStart,5)&gt;0,$E2120&lt;INDEX(DarlTilgStart,5))),0,MIN(MAX(0,$K2120-$L2120),$J2120)))</f>
      </c>
      <c r="N2120" s="43">
        <f>IF($I2120=0,0,MIN(SUMIFS(SondBetrag,SondDarl,5,SondDatum,"&gt;="&amp;$E2120,SondDatum,"&lt;="&amp;EOMONTH($E2120,0)),$J2120-$M2120))</f>
      </c>
      <c r="O2120" s="43">
        <f>IF($I2120=0,0,INDEX(DarlErsatzRate,5))</f>
      </c>
      <c r="P2120" s="43">
        <f>IF($I2120=0,0,$Q2119*INDEX(DarlErsatzZins,5))</f>
      </c>
      <c r="Q2120" s="43">
        <f>IF($I2120=0,0,$Q2119+$P2120+$O2120)</f>
      </c>
      <c r="R2120" s="43">
        <f>IF($I2120=0,0,$J2120-$M2120-$N2120)</f>
      </c>
    </row>
    <row r="2121">
      <c r="A2121"/>
      <c r="B2121">
        <v>5</v>
      </c>
      <c r="C2121" s="43">
        <f>INDEX(DarlObj,5)</f>
      </c>
      <c r="D2121">
        <v>198</v>
      </c>
      <c r="E2121" s="51">
        <f>IF(INDEX(DarlBelegt,5)=0,0,EOMONTH(INDEX(DarlAuszahlung,5),197)+1)</f>
      </c>
      <c r="F2121" s="43">
        <f>IF($E2121=0,0,YEAR($E2121))</f>
      </c>
      <c r="G2121" s="43">
        <f>IF(INDEX(DarlBindung,5)="",1,IF($E2121&lt;=INDEX(DarlBindung,5),1,0))</f>
      </c>
      <c r="H2121" s="43">
        <f>IF($G2121=1,INDEX(DarlSollzins,5),INDEX(DarlAnschluss,5))</f>
      </c>
      <c r="I2121" s="43">
        <f>IF(INDEX(DarlBelegt,5)=0,0,IF(INDEX(DarlOhneTilgung,5)=1,IF(INDEX(DarlBindung,5)="",1,$G2121),IF($J2121&gt;0.005,1,0)))</f>
      </c>
      <c r="J2121" s="43">
        <f>IF($I2120=0,0,$R2120)</f>
      </c>
      <c r="K2121" s="43">
        <f>IF($I2121=0,0,IF(INDEX(DarlOhneTilgung,5)=1,0,IF(AND(INDEX(DarlTilgStart,5)&gt;0,$E2121=INDEX(DarlTilgStart,5)),$J2121*($H2121+INDEX(DarlTilgung,5))/100/12,IF(AND($G2121=0,$G2120=1),MAX($K2120,$J2121*($H2121+1)/100/12),$K2120))))</f>
      </c>
      <c r="L2121" s="43">
        <f>IF($I2121=0,0,$J2121*$H2121/100/12)</f>
      </c>
      <c r="M2121" s="43">
        <f>IF($I2121=0,0,IF(OR(INDEX(DarlOhneTilgung,5)=1,AND(INDEX(DarlTilgStart,5)&gt;0,$E2121&lt;INDEX(DarlTilgStart,5))),0,MIN(MAX(0,$K2121-$L2121),$J2121)))</f>
      </c>
      <c r="N2121" s="43">
        <f>IF($I2121=0,0,MIN(SUMIFS(SondBetrag,SondDarl,5,SondDatum,"&gt;="&amp;$E2121,SondDatum,"&lt;="&amp;EOMONTH($E2121,0)),$J2121-$M2121))</f>
      </c>
      <c r="O2121" s="43">
        <f>IF($I2121=0,0,INDEX(DarlErsatzRate,5))</f>
      </c>
      <c r="P2121" s="43">
        <f>IF($I2121=0,0,$Q2120*INDEX(DarlErsatzZins,5))</f>
      </c>
      <c r="Q2121" s="43">
        <f>IF($I2121=0,0,$Q2120+$P2121+$O2121)</f>
      </c>
      <c r="R2121" s="43">
        <f>IF($I2121=0,0,$J2121-$M2121-$N2121)</f>
      </c>
    </row>
    <row r="2122">
      <c r="A2122"/>
      <c r="B2122">
        <v>5</v>
      </c>
      <c r="C2122" s="43">
        <f>INDEX(DarlObj,5)</f>
      </c>
      <c r="D2122">
        <v>199</v>
      </c>
      <c r="E2122" s="51">
        <f>IF(INDEX(DarlBelegt,5)=0,0,EOMONTH(INDEX(DarlAuszahlung,5),198)+1)</f>
      </c>
      <c r="F2122" s="43">
        <f>IF($E2122=0,0,YEAR($E2122))</f>
      </c>
      <c r="G2122" s="43">
        <f>IF(INDEX(DarlBindung,5)="",1,IF($E2122&lt;=INDEX(DarlBindung,5),1,0))</f>
      </c>
      <c r="H2122" s="43">
        <f>IF($G2122=1,INDEX(DarlSollzins,5),INDEX(DarlAnschluss,5))</f>
      </c>
      <c r="I2122" s="43">
        <f>IF(INDEX(DarlBelegt,5)=0,0,IF(INDEX(DarlOhneTilgung,5)=1,IF(INDEX(DarlBindung,5)="",1,$G2122),IF($J2122&gt;0.005,1,0)))</f>
      </c>
      <c r="J2122" s="43">
        <f>IF($I2121=0,0,$R2121)</f>
      </c>
      <c r="K2122" s="43">
        <f>IF($I2122=0,0,IF(INDEX(DarlOhneTilgung,5)=1,0,IF(AND(INDEX(DarlTilgStart,5)&gt;0,$E2122=INDEX(DarlTilgStart,5)),$J2122*($H2122+INDEX(DarlTilgung,5))/100/12,IF(AND($G2122=0,$G2121=1),MAX($K2121,$J2122*($H2122+1)/100/12),$K2121))))</f>
      </c>
      <c r="L2122" s="43">
        <f>IF($I2122=0,0,$J2122*$H2122/100/12)</f>
      </c>
      <c r="M2122" s="43">
        <f>IF($I2122=0,0,IF(OR(INDEX(DarlOhneTilgung,5)=1,AND(INDEX(DarlTilgStart,5)&gt;0,$E2122&lt;INDEX(DarlTilgStart,5))),0,MIN(MAX(0,$K2122-$L2122),$J2122)))</f>
      </c>
      <c r="N2122" s="43">
        <f>IF($I2122=0,0,MIN(SUMIFS(SondBetrag,SondDarl,5,SondDatum,"&gt;="&amp;$E2122,SondDatum,"&lt;="&amp;EOMONTH($E2122,0)),$J2122-$M2122))</f>
      </c>
      <c r="O2122" s="43">
        <f>IF($I2122=0,0,INDEX(DarlErsatzRate,5))</f>
      </c>
      <c r="P2122" s="43">
        <f>IF($I2122=0,0,$Q2121*INDEX(DarlErsatzZins,5))</f>
      </c>
      <c r="Q2122" s="43">
        <f>IF($I2122=0,0,$Q2121+$P2122+$O2122)</f>
      </c>
      <c r="R2122" s="43">
        <f>IF($I2122=0,0,$J2122-$M2122-$N2122)</f>
      </c>
    </row>
    <row r="2123">
      <c r="A2123"/>
      <c r="B2123">
        <v>5</v>
      </c>
      <c r="C2123" s="43">
        <f>INDEX(DarlObj,5)</f>
      </c>
      <c r="D2123">
        <v>200</v>
      </c>
      <c r="E2123" s="51">
        <f>IF(INDEX(DarlBelegt,5)=0,0,EOMONTH(INDEX(DarlAuszahlung,5),199)+1)</f>
      </c>
      <c r="F2123" s="43">
        <f>IF($E2123=0,0,YEAR($E2123))</f>
      </c>
      <c r="G2123" s="43">
        <f>IF(INDEX(DarlBindung,5)="",1,IF($E2123&lt;=INDEX(DarlBindung,5),1,0))</f>
      </c>
      <c r="H2123" s="43">
        <f>IF($G2123=1,INDEX(DarlSollzins,5),INDEX(DarlAnschluss,5))</f>
      </c>
      <c r="I2123" s="43">
        <f>IF(INDEX(DarlBelegt,5)=0,0,IF(INDEX(DarlOhneTilgung,5)=1,IF(INDEX(DarlBindung,5)="",1,$G2123),IF($J2123&gt;0.005,1,0)))</f>
      </c>
      <c r="J2123" s="43">
        <f>IF($I2122=0,0,$R2122)</f>
      </c>
      <c r="K2123" s="43">
        <f>IF($I2123=0,0,IF(INDEX(DarlOhneTilgung,5)=1,0,IF(AND(INDEX(DarlTilgStart,5)&gt;0,$E2123=INDEX(DarlTilgStart,5)),$J2123*($H2123+INDEX(DarlTilgung,5))/100/12,IF(AND($G2123=0,$G2122=1),MAX($K2122,$J2123*($H2123+1)/100/12),$K2122))))</f>
      </c>
      <c r="L2123" s="43">
        <f>IF($I2123=0,0,$J2123*$H2123/100/12)</f>
      </c>
      <c r="M2123" s="43">
        <f>IF($I2123=0,0,IF(OR(INDEX(DarlOhneTilgung,5)=1,AND(INDEX(DarlTilgStart,5)&gt;0,$E2123&lt;INDEX(DarlTilgStart,5))),0,MIN(MAX(0,$K2123-$L2123),$J2123)))</f>
      </c>
      <c r="N2123" s="43">
        <f>IF($I2123=0,0,MIN(SUMIFS(SondBetrag,SondDarl,5,SondDatum,"&gt;="&amp;$E2123,SondDatum,"&lt;="&amp;EOMONTH($E2123,0)),$J2123-$M2123))</f>
      </c>
      <c r="O2123" s="43">
        <f>IF($I2123=0,0,INDEX(DarlErsatzRate,5))</f>
      </c>
      <c r="P2123" s="43">
        <f>IF($I2123=0,0,$Q2122*INDEX(DarlErsatzZins,5))</f>
      </c>
      <c r="Q2123" s="43">
        <f>IF($I2123=0,0,$Q2122+$P2123+$O2123)</f>
      </c>
      <c r="R2123" s="43">
        <f>IF($I2123=0,0,$J2123-$M2123-$N2123)</f>
      </c>
    </row>
    <row r="2124">
      <c r="A2124"/>
      <c r="B2124">
        <v>5</v>
      </c>
      <c r="C2124" s="43">
        <f>INDEX(DarlObj,5)</f>
      </c>
      <c r="D2124">
        <v>201</v>
      </c>
      <c r="E2124" s="51">
        <f>IF(INDEX(DarlBelegt,5)=0,0,EOMONTH(INDEX(DarlAuszahlung,5),200)+1)</f>
      </c>
      <c r="F2124" s="43">
        <f>IF($E2124=0,0,YEAR($E2124))</f>
      </c>
      <c r="G2124" s="43">
        <f>IF(INDEX(DarlBindung,5)="",1,IF($E2124&lt;=INDEX(DarlBindung,5),1,0))</f>
      </c>
      <c r="H2124" s="43">
        <f>IF($G2124=1,INDEX(DarlSollzins,5),INDEX(DarlAnschluss,5))</f>
      </c>
      <c r="I2124" s="43">
        <f>IF(INDEX(DarlBelegt,5)=0,0,IF(INDEX(DarlOhneTilgung,5)=1,IF(INDEX(DarlBindung,5)="",1,$G2124),IF($J2124&gt;0.005,1,0)))</f>
      </c>
      <c r="J2124" s="43">
        <f>IF($I2123=0,0,$R2123)</f>
      </c>
      <c r="K2124" s="43">
        <f>IF($I2124=0,0,IF(INDEX(DarlOhneTilgung,5)=1,0,IF(AND(INDEX(DarlTilgStart,5)&gt;0,$E2124=INDEX(DarlTilgStart,5)),$J2124*($H2124+INDEX(DarlTilgung,5))/100/12,IF(AND($G2124=0,$G2123=1),MAX($K2123,$J2124*($H2124+1)/100/12),$K2123))))</f>
      </c>
      <c r="L2124" s="43">
        <f>IF($I2124=0,0,$J2124*$H2124/100/12)</f>
      </c>
      <c r="M2124" s="43">
        <f>IF($I2124=0,0,IF(OR(INDEX(DarlOhneTilgung,5)=1,AND(INDEX(DarlTilgStart,5)&gt;0,$E2124&lt;INDEX(DarlTilgStart,5))),0,MIN(MAX(0,$K2124-$L2124),$J2124)))</f>
      </c>
      <c r="N2124" s="43">
        <f>IF($I2124=0,0,MIN(SUMIFS(SondBetrag,SondDarl,5,SondDatum,"&gt;="&amp;$E2124,SondDatum,"&lt;="&amp;EOMONTH($E2124,0)),$J2124-$M2124))</f>
      </c>
      <c r="O2124" s="43">
        <f>IF($I2124=0,0,INDEX(DarlErsatzRate,5))</f>
      </c>
      <c r="P2124" s="43">
        <f>IF($I2124=0,0,$Q2123*INDEX(DarlErsatzZins,5))</f>
      </c>
      <c r="Q2124" s="43">
        <f>IF($I2124=0,0,$Q2123+$P2124+$O2124)</f>
      </c>
      <c r="R2124" s="43">
        <f>IF($I2124=0,0,$J2124-$M2124-$N2124)</f>
      </c>
    </row>
    <row r="2125">
      <c r="A2125"/>
      <c r="B2125">
        <v>5</v>
      </c>
      <c r="C2125" s="43">
        <f>INDEX(DarlObj,5)</f>
      </c>
      <c r="D2125">
        <v>202</v>
      </c>
      <c r="E2125" s="51">
        <f>IF(INDEX(DarlBelegt,5)=0,0,EOMONTH(INDEX(DarlAuszahlung,5),201)+1)</f>
      </c>
      <c r="F2125" s="43">
        <f>IF($E2125=0,0,YEAR($E2125))</f>
      </c>
      <c r="G2125" s="43">
        <f>IF(INDEX(DarlBindung,5)="",1,IF($E2125&lt;=INDEX(DarlBindung,5),1,0))</f>
      </c>
      <c r="H2125" s="43">
        <f>IF($G2125=1,INDEX(DarlSollzins,5),INDEX(DarlAnschluss,5))</f>
      </c>
      <c r="I2125" s="43">
        <f>IF(INDEX(DarlBelegt,5)=0,0,IF(INDEX(DarlOhneTilgung,5)=1,IF(INDEX(DarlBindung,5)="",1,$G2125),IF($J2125&gt;0.005,1,0)))</f>
      </c>
      <c r="J2125" s="43">
        <f>IF($I2124=0,0,$R2124)</f>
      </c>
      <c r="K2125" s="43">
        <f>IF($I2125=0,0,IF(INDEX(DarlOhneTilgung,5)=1,0,IF(AND(INDEX(DarlTilgStart,5)&gt;0,$E2125=INDEX(DarlTilgStart,5)),$J2125*($H2125+INDEX(DarlTilgung,5))/100/12,IF(AND($G2125=0,$G2124=1),MAX($K2124,$J2125*($H2125+1)/100/12),$K2124))))</f>
      </c>
      <c r="L2125" s="43">
        <f>IF($I2125=0,0,$J2125*$H2125/100/12)</f>
      </c>
      <c r="M2125" s="43">
        <f>IF($I2125=0,0,IF(OR(INDEX(DarlOhneTilgung,5)=1,AND(INDEX(DarlTilgStart,5)&gt;0,$E2125&lt;INDEX(DarlTilgStart,5))),0,MIN(MAX(0,$K2125-$L2125),$J2125)))</f>
      </c>
      <c r="N2125" s="43">
        <f>IF($I2125=0,0,MIN(SUMIFS(SondBetrag,SondDarl,5,SondDatum,"&gt;="&amp;$E2125,SondDatum,"&lt;="&amp;EOMONTH($E2125,0)),$J2125-$M2125))</f>
      </c>
      <c r="O2125" s="43">
        <f>IF($I2125=0,0,INDEX(DarlErsatzRate,5))</f>
      </c>
      <c r="P2125" s="43">
        <f>IF($I2125=0,0,$Q2124*INDEX(DarlErsatzZins,5))</f>
      </c>
      <c r="Q2125" s="43">
        <f>IF($I2125=0,0,$Q2124+$P2125+$O2125)</f>
      </c>
      <c r="R2125" s="43">
        <f>IF($I2125=0,0,$J2125-$M2125-$N2125)</f>
      </c>
    </row>
    <row r="2126">
      <c r="A2126"/>
      <c r="B2126">
        <v>5</v>
      </c>
      <c r="C2126" s="43">
        <f>INDEX(DarlObj,5)</f>
      </c>
      <c r="D2126">
        <v>203</v>
      </c>
      <c r="E2126" s="51">
        <f>IF(INDEX(DarlBelegt,5)=0,0,EOMONTH(INDEX(DarlAuszahlung,5),202)+1)</f>
      </c>
      <c r="F2126" s="43">
        <f>IF($E2126=0,0,YEAR($E2126))</f>
      </c>
      <c r="G2126" s="43">
        <f>IF(INDEX(DarlBindung,5)="",1,IF($E2126&lt;=INDEX(DarlBindung,5),1,0))</f>
      </c>
      <c r="H2126" s="43">
        <f>IF($G2126=1,INDEX(DarlSollzins,5),INDEX(DarlAnschluss,5))</f>
      </c>
      <c r="I2126" s="43">
        <f>IF(INDEX(DarlBelegt,5)=0,0,IF(INDEX(DarlOhneTilgung,5)=1,IF(INDEX(DarlBindung,5)="",1,$G2126),IF($J2126&gt;0.005,1,0)))</f>
      </c>
      <c r="J2126" s="43">
        <f>IF($I2125=0,0,$R2125)</f>
      </c>
      <c r="K2126" s="43">
        <f>IF($I2126=0,0,IF(INDEX(DarlOhneTilgung,5)=1,0,IF(AND(INDEX(DarlTilgStart,5)&gt;0,$E2126=INDEX(DarlTilgStart,5)),$J2126*($H2126+INDEX(DarlTilgung,5))/100/12,IF(AND($G2126=0,$G2125=1),MAX($K2125,$J2126*($H2126+1)/100/12),$K2125))))</f>
      </c>
      <c r="L2126" s="43">
        <f>IF($I2126=0,0,$J2126*$H2126/100/12)</f>
      </c>
      <c r="M2126" s="43">
        <f>IF($I2126=0,0,IF(OR(INDEX(DarlOhneTilgung,5)=1,AND(INDEX(DarlTilgStart,5)&gt;0,$E2126&lt;INDEX(DarlTilgStart,5))),0,MIN(MAX(0,$K2126-$L2126),$J2126)))</f>
      </c>
      <c r="N2126" s="43">
        <f>IF($I2126=0,0,MIN(SUMIFS(SondBetrag,SondDarl,5,SondDatum,"&gt;="&amp;$E2126,SondDatum,"&lt;="&amp;EOMONTH($E2126,0)),$J2126-$M2126))</f>
      </c>
      <c r="O2126" s="43">
        <f>IF($I2126=0,0,INDEX(DarlErsatzRate,5))</f>
      </c>
      <c r="P2126" s="43">
        <f>IF($I2126=0,0,$Q2125*INDEX(DarlErsatzZins,5))</f>
      </c>
      <c r="Q2126" s="43">
        <f>IF($I2126=0,0,$Q2125+$P2126+$O2126)</f>
      </c>
      <c r="R2126" s="43">
        <f>IF($I2126=0,0,$J2126-$M2126-$N2126)</f>
      </c>
    </row>
    <row r="2127">
      <c r="A2127"/>
      <c r="B2127">
        <v>5</v>
      </c>
      <c r="C2127" s="43">
        <f>INDEX(DarlObj,5)</f>
      </c>
      <c r="D2127">
        <v>204</v>
      </c>
      <c r="E2127" s="51">
        <f>IF(INDEX(DarlBelegt,5)=0,0,EOMONTH(INDEX(DarlAuszahlung,5),203)+1)</f>
      </c>
      <c r="F2127" s="43">
        <f>IF($E2127=0,0,YEAR($E2127))</f>
      </c>
      <c r="G2127" s="43">
        <f>IF(INDEX(DarlBindung,5)="",1,IF($E2127&lt;=INDEX(DarlBindung,5),1,0))</f>
      </c>
      <c r="H2127" s="43">
        <f>IF($G2127=1,INDEX(DarlSollzins,5),INDEX(DarlAnschluss,5))</f>
      </c>
      <c r="I2127" s="43">
        <f>IF(INDEX(DarlBelegt,5)=0,0,IF(INDEX(DarlOhneTilgung,5)=1,IF(INDEX(DarlBindung,5)="",1,$G2127),IF($J2127&gt;0.005,1,0)))</f>
      </c>
      <c r="J2127" s="43">
        <f>IF($I2126=0,0,$R2126)</f>
      </c>
      <c r="K2127" s="43">
        <f>IF($I2127=0,0,IF(INDEX(DarlOhneTilgung,5)=1,0,IF(AND(INDEX(DarlTilgStart,5)&gt;0,$E2127=INDEX(DarlTilgStart,5)),$J2127*($H2127+INDEX(DarlTilgung,5))/100/12,IF(AND($G2127=0,$G2126=1),MAX($K2126,$J2127*($H2127+1)/100/12),$K2126))))</f>
      </c>
      <c r="L2127" s="43">
        <f>IF($I2127=0,0,$J2127*$H2127/100/12)</f>
      </c>
      <c r="M2127" s="43">
        <f>IF($I2127=0,0,IF(OR(INDEX(DarlOhneTilgung,5)=1,AND(INDEX(DarlTilgStart,5)&gt;0,$E2127&lt;INDEX(DarlTilgStart,5))),0,MIN(MAX(0,$K2127-$L2127),$J2127)))</f>
      </c>
      <c r="N2127" s="43">
        <f>IF($I2127=0,0,MIN(SUMIFS(SondBetrag,SondDarl,5,SondDatum,"&gt;="&amp;$E2127,SondDatum,"&lt;="&amp;EOMONTH($E2127,0)),$J2127-$M2127))</f>
      </c>
      <c r="O2127" s="43">
        <f>IF($I2127=0,0,INDEX(DarlErsatzRate,5))</f>
      </c>
      <c r="P2127" s="43">
        <f>IF($I2127=0,0,$Q2126*INDEX(DarlErsatzZins,5))</f>
      </c>
      <c r="Q2127" s="43">
        <f>IF($I2127=0,0,$Q2126+$P2127+$O2127)</f>
      </c>
      <c r="R2127" s="43">
        <f>IF($I2127=0,0,$J2127-$M2127-$N2127)</f>
      </c>
    </row>
    <row r="2128">
      <c r="A2128"/>
      <c r="B2128">
        <v>5</v>
      </c>
      <c r="C2128" s="43">
        <f>INDEX(DarlObj,5)</f>
      </c>
      <c r="D2128">
        <v>205</v>
      </c>
      <c r="E2128" s="51">
        <f>IF(INDEX(DarlBelegt,5)=0,0,EOMONTH(INDEX(DarlAuszahlung,5),204)+1)</f>
      </c>
      <c r="F2128" s="43">
        <f>IF($E2128=0,0,YEAR($E2128))</f>
      </c>
      <c r="G2128" s="43">
        <f>IF(INDEX(DarlBindung,5)="",1,IF($E2128&lt;=INDEX(DarlBindung,5),1,0))</f>
      </c>
      <c r="H2128" s="43">
        <f>IF($G2128=1,INDEX(DarlSollzins,5),INDEX(DarlAnschluss,5))</f>
      </c>
      <c r="I2128" s="43">
        <f>IF(INDEX(DarlBelegt,5)=0,0,IF(INDEX(DarlOhneTilgung,5)=1,IF(INDEX(DarlBindung,5)="",1,$G2128),IF($J2128&gt;0.005,1,0)))</f>
      </c>
      <c r="J2128" s="43">
        <f>IF($I2127=0,0,$R2127)</f>
      </c>
      <c r="K2128" s="43">
        <f>IF($I2128=0,0,IF(INDEX(DarlOhneTilgung,5)=1,0,IF(AND(INDEX(DarlTilgStart,5)&gt;0,$E2128=INDEX(DarlTilgStart,5)),$J2128*($H2128+INDEX(DarlTilgung,5))/100/12,IF(AND($G2128=0,$G2127=1),MAX($K2127,$J2128*($H2128+1)/100/12),$K2127))))</f>
      </c>
      <c r="L2128" s="43">
        <f>IF($I2128=0,0,$J2128*$H2128/100/12)</f>
      </c>
      <c r="M2128" s="43">
        <f>IF($I2128=0,0,IF(OR(INDEX(DarlOhneTilgung,5)=1,AND(INDEX(DarlTilgStart,5)&gt;0,$E2128&lt;INDEX(DarlTilgStart,5))),0,MIN(MAX(0,$K2128-$L2128),$J2128)))</f>
      </c>
      <c r="N2128" s="43">
        <f>IF($I2128=0,0,MIN(SUMIFS(SondBetrag,SondDarl,5,SondDatum,"&gt;="&amp;$E2128,SondDatum,"&lt;="&amp;EOMONTH($E2128,0)),$J2128-$M2128))</f>
      </c>
      <c r="O2128" s="43">
        <f>IF($I2128=0,0,INDEX(DarlErsatzRate,5))</f>
      </c>
      <c r="P2128" s="43">
        <f>IF($I2128=0,0,$Q2127*INDEX(DarlErsatzZins,5))</f>
      </c>
      <c r="Q2128" s="43">
        <f>IF($I2128=0,0,$Q2127+$P2128+$O2128)</f>
      </c>
      <c r="R2128" s="43">
        <f>IF($I2128=0,0,$J2128-$M2128-$N2128)</f>
      </c>
    </row>
    <row r="2129">
      <c r="A2129"/>
      <c r="B2129">
        <v>5</v>
      </c>
      <c r="C2129" s="43">
        <f>INDEX(DarlObj,5)</f>
      </c>
      <c r="D2129">
        <v>206</v>
      </c>
      <c r="E2129" s="51">
        <f>IF(INDEX(DarlBelegt,5)=0,0,EOMONTH(INDEX(DarlAuszahlung,5),205)+1)</f>
      </c>
      <c r="F2129" s="43">
        <f>IF($E2129=0,0,YEAR($E2129))</f>
      </c>
      <c r="G2129" s="43">
        <f>IF(INDEX(DarlBindung,5)="",1,IF($E2129&lt;=INDEX(DarlBindung,5),1,0))</f>
      </c>
      <c r="H2129" s="43">
        <f>IF($G2129=1,INDEX(DarlSollzins,5),INDEX(DarlAnschluss,5))</f>
      </c>
      <c r="I2129" s="43">
        <f>IF(INDEX(DarlBelegt,5)=0,0,IF(INDEX(DarlOhneTilgung,5)=1,IF(INDEX(DarlBindung,5)="",1,$G2129),IF($J2129&gt;0.005,1,0)))</f>
      </c>
      <c r="J2129" s="43">
        <f>IF($I2128=0,0,$R2128)</f>
      </c>
      <c r="K2129" s="43">
        <f>IF($I2129=0,0,IF(INDEX(DarlOhneTilgung,5)=1,0,IF(AND(INDEX(DarlTilgStart,5)&gt;0,$E2129=INDEX(DarlTilgStart,5)),$J2129*($H2129+INDEX(DarlTilgung,5))/100/12,IF(AND($G2129=0,$G2128=1),MAX($K2128,$J2129*($H2129+1)/100/12),$K2128))))</f>
      </c>
      <c r="L2129" s="43">
        <f>IF($I2129=0,0,$J2129*$H2129/100/12)</f>
      </c>
      <c r="M2129" s="43">
        <f>IF($I2129=0,0,IF(OR(INDEX(DarlOhneTilgung,5)=1,AND(INDEX(DarlTilgStart,5)&gt;0,$E2129&lt;INDEX(DarlTilgStart,5))),0,MIN(MAX(0,$K2129-$L2129),$J2129)))</f>
      </c>
      <c r="N2129" s="43">
        <f>IF($I2129=0,0,MIN(SUMIFS(SondBetrag,SondDarl,5,SondDatum,"&gt;="&amp;$E2129,SondDatum,"&lt;="&amp;EOMONTH($E2129,0)),$J2129-$M2129))</f>
      </c>
      <c r="O2129" s="43">
        <f>IF($I2129=0,0,INDEX(DarlErsatzRate,5))</f>
      </c>
      <c r="P2129" s="43">
        <f>IF($I2129=0,0,$Q2128*INDEX(DarlErsatzZins,5))</f>
      </c>
      <c r="Q2129" s="43">
        <f>IF($I2129=0,0,$Q2128+$P2129+$O2129)</f>
      </c>
      <c r="R2129" s="43">
        <f>IF($I2129=0,0,$J2129-$M2129-$N2129)</f>
      </c>
    </row>
    <row r="2130">
      <c r="A2130"/>
      <c r="B2130">
        <v>5</v>
      </c>
      <c r="C2130" s="43">
        <f>INDEX(DarlObj,5)</f>
      </c>
      <c r="D2130">
        <v>207</v>
      </c>
      <c r="E2130" s="51">
        <f>IF(INDEX(DarlBelegt,5)=0,0,EOMONTH(INDEX(DarlAuszahlung,5),206)+1)</f>
      </c>
      <c r="F2130" s="43">
        <f>IF($E2130=0,0,YEAR($E2130))</f>
      </c>
      <c r="G2130" s="43">
        <f>IF(INDEX(DarlBindung,5)="",1,IF($E2130&lt;=INDEX(DarlBindung,5),1,0))</f>
      </c>
      <c r="H2130" s="43">
        <f>IF($G2130=1,INDEX(DarlSollzins,5),INDEX(DarlAnschluss,5))</f>
      </c>
      <c r="I2130" s="43">
        <f>IF(INDEX(DarlBelegt,5)=0,0,IF(INDEX(DarlOhneTilgung,5)=1,IF(INDEX(DarlBindung,5)="",1,$G2130),IF($J2130&gt;0.005,1,0)))</f>
      </c>
      <c r="J2130" s="43">
        <f>IF($I2129=0,0,$R2129)</f>
      </c>
      <c r="K2130" s="43">
        <f>IF($I2130=0,0,IF(INDEX(DarlOhneTilgung,5)=1,0,IF(AND(INDEX(DarlTilgStart,5)&gt;0,$E2130=INDEX(DarlTilgStart,5)),$J2130*($H2130+INDEX(DarlTilgung,5))/100/12,IF(AND($G2130=0,$G2129=1),MAX($K2129,$J2130*($H2130+1)/100/12),$K2129))))</f>
      </c>
      <c r="L2130" s="43">
        <f>IF($I2130=0,0,$J2130*$H2130/100/12)</f>
      </c>
      <c r="M2130" s="43">
        <f>IF($I2130=0,0,IF(OR(INDEX(DarlOhneTilgung,5)=1,AND(INDEX(DarlTilgStart,5)&gt;0,$E2130&lt;INDEX(DarlTilgStart,5))),0,MIN(MAX(0,$K2130-$L2130),$J2130)))</f>
      </c>
      <c r="N2130" s="43">
        <f>IF($I2130=0,0,MIN(SUMIFS(SondBetrag,SondDarl,5,SondDatum,"&gt;="&amp;$E2130,SondDatum,"&lt;="&amp;EOMONTH($E2130,0)),$J2130-$M2130))</f>
      </c>
      <c r="O2130" s="43">
        <f>IF($I2130=0,0,INDEX(DarlErsatzRate,5))</f>
      </c>
      <c r="P2130" s="43">
        <f>IF($I2130=0,0,$Q2129*INDEX(DarlErsatzZins,5))</f>
      </c>
      <c r="Q2130" s="43">
        <f>IF($I2130=0,0,$Q2129+$P2130+$O2130)</f>
      </c>
      <c r="R2130" s="43">
        <f>IF($I2130=0,0,$J2130-$M2130-$N2130)</f>
      </c>
    </row>
    <row r="2131">
      <c r="A2131"/>
      <c r="B2131">
        <v>5</v>
      </c>
      <c r="C2131" s="43">
        <f>INDEX(DarlObj,5)</f>
      </c>
      <c r="D2131">
        <v>208</v>
      </c>
      <c r="E2131" s="51">
        <f>IF(INDEX(DarlBelegt,5)=0,0,EOMONTH(INDEX(DarlAuszahlung,5),207)+1)</f>
      </c>
      <c r="F2131" s="43">
        <f>IF($E2131=0,0,YEAR($E2131))</f>
      </c>
      <c r="G2131" s="43">
        <f>IF(INDEX(DarlBindung,5)="",1,IF($E2131&lt;=INDEX(DarlBindung,5),1,0))</f>
      </c>
      <c r="H2131" s="43">
        <f>IF($G2131=1,INDEX(DarlSollzins,5),INDEX(DarlAnschluss,5))</f>
      </c>
      <c r="I2131" s="43">
        <f>IF(INDEX(DarlBelegt,5)=0,0,IF(INDEX(DarlOhneTilgung,5)=1,IF(INDEX(DarlBindung,5)="",1,$G2131),IF($J2131&gt;0.005,1,0)))</f>
      </c>
      <c r="J2131" s="43">
        <f>IF($I2130=0,0,$R2130)</f>
      </c>
      <c r="K2131" s="43">
        <f>IF($I2131=0,0,IF(INDEX(DarlOhneTilgung,5)=1,0,IF(AND(INDEX(DarlTilgStart,5)&gt;0,$E2131=INDEX(DarlTilgStart,5)),$J2131*($H2131+INDEX(DarlTilgung,5))/100/12,IF(AND($G2131=0,$G2130=1),MAX($K2130,$J2131*($H2131+1)/100/12),$K2130))))</f>
      </c>
      <c r="L2131" s="43">
        <f>IF($I2131=0,0,$J2131*$H2131/100/12)</f>
      </c>
      <c r="M2131" s="43">
        <f>IF($I2131=0,0,IF(OR(INDEX(DarlOhneTilgung,5)=1,AND(INDEX(DarlTilgStart,5)&gt;0,$E2131&lt;INDEX(DarlTilgStart,5))),0,MIN(MAX(0,$K2131-$L2131),$J2131)))</f>
      </c>
      <c r="N2131" s="43">
        <f>IF($I2131=0,0,MIN(SUMIFS(SondBetrag,SondDarl,5,SondDatum,"&gt;="&amp;$E2131,SondDatum,"&lt;="&amp;EOMONTH($E2131,0)),$J2131-$M2131))</f>
      </c>
      <c r="O2131" s="43">
        <f>IF($I2131=0,0,INDEX(DarlErsatzRate,5))</f>
      </c>
      <c r="P2131" s="43">
        <f>IF($I2131=0,0,$Q2130*INDEX(DarlErsatzZins,5))</f>
      </c>
      <c r="Q2131" s="43">
        <f>IF($I2131=0,0,$Q2130+$P2131+$O2131)</f>
      </c>
      <c r="R2131" s="43">
        <f>IF($I2131=0,0,$J2131-$M2131-$N2131)</f>
      </c>
    </row>
    <row r="2132">
      <c r="A2132"/>
      <c r="B2132">
        <v>5</v>
      </c>
      <c r="C2132" s="43">
        <f>INDEX(DarlObj,5)</f>
      </c>
      <c r="D2132">
        <v>209</v>
      </c>
      <c r="E2132" s="51">
        <f>IF(INDEX(DarlBelegt,5)=0,0,EOMONTH(INDEX(DarlAuszahlung,5),208)+1)</f>
      </c>
      <c r="F2132" s="43">
        <f>IF($E2132=0,0,YEAR($E2132))</f>
      </c>
      <c r="G2132" s="43">
        <f>IF(INDEX(DarlBindung,5)="",1,IF($E2132&lt;=INDEX(DarlBindung,5),1,0))</f>
      </c>
      <c r="H2132" s="43">
        <f>IF($G2132=1,INDEX(DarlSollzins,5),INDEX(DarlAnschluss,5))</f>
      </c>
      <c r="I2132" s="43">
        <f>IF(INDEX(DarlBelegt,5)=0,0,IF(INDEX(DarlOhneTilgung,5)=1,IF(INDEX(DarlBindung,5)="",1,$G2132),IF($J2132&gt;0.005,1,0)))</f>
      </c>
      <c r="J2132" s="43">
        <f>IF($I2131=0,0,$R2131)</f>
      </c>
      <c r="K2132" s="43">
        <f>IF($I2132=0,0,IF(INDEX(DarlOhneTilgung,5)=1,0,IF(AND(INDEX(DarlTilgStart,5)&gt;0,$E2132=INDEX(DarlTilgStart,5)),$J2132*($H2132+INDEX(DarlTilgung,5))/100/12,IF(AND($G2132=0,$G2131=1),MAX($K2131,$J2132*($H2132+1)/100/12),$K2131))))</f>
      </c>
      <c r="L2132" s="43">
        <f>IF($I2132=0,0,$J2132*$H2132/100/12)</f>
      </c>
      <c r="M2132" s="43">
        <f>IF($I2132=0,0,IF(OR(INDEX(DarlOhneTilgung,5)=1,AND(INDEX(DarlTilgStart,5)&gt;0,$E2132&lt;INDEX(DarlTilgStart,5))),0,MIN(MAX(0,$K2132-$L2132),$J2132)))</f>
      </c>
      <c r="N2132" s="43">
        <f>IF($I2132=0,0,MIN(SUMIFS(SondBetrag,SondDarl,5,SondDatum,"&gt;="&amp;$E2132,SondDatum,"&lt;="&amp;EOMONTH($E2132,0)),$J2132-$M2132))</f>
      </c>
      <c r="O2132" s="43">
        <f>IF($I2132=0,0,INDEX(DarlErsatzRate,5))</f>
      </c>
      <c r="P2132" s="43">
        <f>IF($I2132=0,0,$Q2131*INDEX(DarlErsatzZins,5))</f>
      </c>
      <c r="Q2132" s="43">
        <f>IF($I2132=0,0,$Q2131+$P2132+$O2132)</f>
      </c>
      <c r="R2132" s="43">
        <f>IF($I2132=0,0,$J2132-$M2132-$N2132)</f>
      </c>
    </row>
    <row r="2133">
      <c r="A2133"/>
      <c r="B2133">
        <v>5</v>
      </c>
      <c r="C2133" s="43">
        <f>INDEX(DarlObj,5)</f>
      </c>
      <c r="D2133">
        <v>210</v>
      </c>
      <c r="E2133" s="51">
        <f>IF(INDEX(DarlBelegt,5)=0,0,EOMONTH(INDEX(DarlAuszahlung,5),209)+1)</f>
      </c>
      <c r="F2133" s="43">
        <f>IF($E2133=0,0,YEAR($E2133))</f>
      </c>
      <c r="G2133" s="43">
        <f>IF(INDEX(DarlBindung,5)="",1,IF($E2133&lt;=INDEX(DarlBindung,5),1,0))</f>
      </c>
      <c r="H2133" s="43">
        <f>IF($G2133=1,INDEX(DarlSollzins,5),INDEX(DarlAnschluss,5))</f>
      </c>
      <c r="I2133" s="43">
        <f>IF(INDEX(DarlBelegt,5)=0,0,IF(INDEX(DarlOhneTilgung,5)=1,IF(INDEX(DarlBindung,5)="",1,$G2133),IF($J2133&gt;0.005,1,0)))</f>
      </c>
      <c r="J2133" s="43">
        <f>IF($I2132=0,0,$R2132)</f>
      </c>
      <c r="K2133" s="43">
        <f>IF($I2133=0,0,IF(INDEX(DarlOhneTilgung,5)=1,0,IF(AND(INDEX(DarlTilgStart,5)&gt;0,$E2133=INDEX(DarlTilgStart,5)),$J2133*($H2133+INDEX(DarlTilgung,5))/100/12,IF(AND($G2133=0,$G2132=1),MAX($K2132,$J2133*($H2133+1)/100/12),$K2132))))</f>
      </c>
      <c r="L2133" s="43">
        <f>IF($I2133=0,0,$J2133*$H2133/100/12)</f>
      </c>
      <c r="M2133" s="43">
        <f>IF($I2133=0,0,IF(OR(INDEX(DarlOhneTilgung,5)=1,AND(INDEX(DarlTilgStart,5)&gt;0,$E2133&lt;INDEX(DarlTilgStart,5))),0,MIN(MAX(0,$K2133-$L2133),$J2133)))</f>
      </c>
      <c r="N2133" s="43">
        <f>IF($I2133=0,0,MIN(SUMIFS(SondBetrag,SondDarl,5,SondDatum,"&gt;="&amp;$E2133,SondDatum,"&lt;="&amp;EOMONTH($E2133,0)),$J2133-$M2133))</f>
      </c>
      <c r="O2133" s="43">
        <f>IF($I2133=0,0,INDEX(DarlErsatzRate,5))</f>
      </c>
      <c r="P2133" s="43">
        <f>IF($I2133=0,0,$Q2132*INDEX(DarlErsatzZins,5))</f>
      </c>
      <c r="Q2133" s="43">
        <f>IF($I2133=0,0,$Q2132+$P2133+$O2133)</f>
      </c>
      <c r="R2133" s="43">
        <f>IF($I2133=0,0,$J2133-$M2133-$N2133)</f>
      </c>
    </row>
    <row r="2134">
      <c r="A2134"/>
      <c r="B2134">
        <v>5</v>
      </c>
      <c r="C2134" s="43">
        <f>INDEX(DarlObj,5)</f>
      </c>
      <c r="D2134">
        <v>211</v>
      </c>
      <c r="E2134" s="51">
        <f>IF(INDEX(DarlBelegt,5)=0,0,EOMONTH(INDEX(DarlAuszahlung,5),210)+1)</f>
      </c>
      <c r="F2134" s="43">
        <f>IF($E2134=0,0,YEAR($E2134))</f>
      </c>
      <c r="G2134" s="43">
        <f>IF(INDEX(DarlBindung,5)="",1,IF($E2134&lt;=INDEX(DarlBindung,5),1,0))</f>
      </c>
      <c r="H2134" s="43">
        <f>IF($G2134=1,INDEX(DarlSollzins,5),INDEX(DarlAnschluss,5))</f>
      </c>
      <c r="I2134" s="43">
        <f>IF(INDEX(DarlBelegt,5)=0,0,IF(INDEX(DarlOhneTilgung,5)=1,IF(INDEX(DarlBindung,5)="",1,$G2134),IF($J2134&gt;0.005,1,0)))</f>
      </c>
      <c r="J2134" s="43">
        <f>IF($I2133=0,0,$R2133)</f>
      </c>
      <c r="K2134" s="43">
        <f>IF($I2134=0,0,IF(INDEX(DarlOhneTilgung,5)=1,0,IF(AND(INDEX(DarlTilgStart,5)&gt;0,$E2134=INDEX(DarlTilgStart,5)),$J2134*($H2134+INDEX(DarlTilgung,5))/100/12,IF(AND($G2134=0,$G2133=1),MAX($K2133,$J2134*($H2134+1)/100/12),$K2133))))</f>
      </c>
      <c r="L2134" s="43">
        <f>IF($I2134=0,0,$J2134*$H2134/100/12)</f>
      </c>
      <c r="M2134" s="43">
        <f>IF($I2134=0,0,IF(OR(INDEX(DarlOhneTilgung,5)=1,AND(INDEX(DarlTilgStart,5)&gt;0,$E2134&lt;INDEX(DarlTilgStart,5))),0,MIN(MAX(0,$K2134-$L2134),$J2134)))</f>
      </c>
      <c r="N2134" s="43">
        <f>IF($I2134=0,0,MIN(SUMIFS(SondBetrag,SondDarl,5,SondDatum,"&gt;="&amp;$E2134,SondDatum,"&lt;="&amp;EOMONTH($E2134,0)),$J2134-$M2134))</f>
      </c>
      <c r="O2134" s="43">
        <f>IF($I2134=0,0,INDEX(DarlErsatzRate,5))</f>
      </c>
      <c r="P2134" s="43">
        <f>IF($I2134=0,0,$Q2133*INDEX(DarlErsatzZins,5))</f>
      </c>
      <c r="Q2134" s="43">
        <f>IF($I2134=0,0,$Q2133+$P2134+$O2134)</f>
      </c>
      <c r="R2134" s="43">
        <f>IF($I2134=0,0,$J2134-$M2134-$N2134)</f>
      </c>
    </row>
    <row r="2135">
      <c r="A2135"/>
      <c r="B2135">
        <v>5</v>
      </c>
      <c r="C2135" s="43">
        <f>INDEX(DarlObj,5)</f>
      </c>
      <c r="D2135">
        <v>212</v>
      </c>
      <c r="E2135" s="51">
        <f>IF(INDEX(DarlBelegt,5)=0,0,EOMONTH(INDEX(DarlAuszahlung,5),211)+1)</f>
      </c>
      <c r="F2135" s="43">
        <f>IF($E2135=0,0,YEAR($E2135))</f>
      </c>
      <c r="G2135" s="43">
        <f>IF(INDEX(DarlBindung,5)="",1,IF($E2135&lt;=INDEX(DarlBindung,5),1,0))</f>
      </c>
      <c r="H2135" s="43">
        <f>IF($G2135=1,INDEX(DarlSollzins,5),INDEX(DarlAnschluss,5))</f>
      </c>
      <c r="I2135" s="43">
        <f>IF(INDEX(DarlBelegt,5)=0,0,IF(INDEX(DarlOhneTilgung,5)=1,IF(INDEX(DarlBindung,5)="",1,$G2135),IF($J2135&gt;0.005,1,0)))</f>
      </c>
      <c r="J2135" s="43">
        <f>IF($I2134=0,0,$R2134)</f>
      </c>
      <c r="K2135" s="43">
        <f>IF($I2135=0,0,IF(INDEX(DarlOhneTilgung,5)=1,0,IF(AND(INDEX(DarlTilgStart,5)&gt;0,$E2135=INDEX(DarlTilgStart,5)),$J2135*($H2135+INDEX(DarlTilgung,5))/100/12,IF(AND($G2135=0,$G2134=1),MAX($K2134,$J2135*($H2135+1)/100/12),$K2134))))</f>
      </c>
      <c r="L2135" s="43">
        <f>IF($I2135=0,0,$J2135*$H2135/100/12)</f>
      </c>
      <c r="M2135" s="43">
        <f>IF($I2135=0,0,IF(OR(INDEX(DarlOhneTilgung,5)=1,AND(INDEX(DarlTilgStart,5)&gt;0,$E2135&lt;INDEX(DarlTilgStart,5))),0,MIN(MAX(0,$K2135-$L2135),$J2135)))</f>
      </c>
      <c r="N2135" s="43">
        <f>IF($I2135=0,0,MIN(SUMIFS(SondBetrag,SondDarl,5,SondDatum,"&gt;="&amp;$E2135,SondDatum,"&lt;="&amp;EOMONTH($E2135,0)),$J2135-$M2135))</f>
      </c>
      <c r="O2135" s="43">
        <f>IF($I2135=0,0,INDEX(DarlErsatzRate,5))</f>
      </c>
      <c r="P2135" s="43">
        <f>IF($I2135=0,0,$Q2134*INDEX(DarlErsatzZins,5))</f>
      </c>
      <c r="Q2135" s="43">
        <f>IF($I2135=0,0,$Q2134+$P2135+$O2135)</f>
      </c>
      <c r="R2135" s="43">
        <f>IF($I2135=0,0,$J2135-$M2135-$N2135)</f>
      </c>
    </row>
    <row r="2136">
      <c r="A2136"/>
      <c r="B2136">
        <v>5</v>
      </c>
      <c r="C2136" s="43">
        <f>INDEX(DarlObj,5)</f>
      </c>
      <c r="D2136">
        <v>213</v>
      </c>
      <c r="E2136" s="51">
        <f>IF(INDEX(DarlBelegt,5)=0,0,EOMONTH(INDEX(DarlAuszahlung,5),212)+1)</f>
      </c>
      <c r="F2136" s="43">
        <f>IF($E2136=0,0,YEAR($E2136))</f>
      </c>
      <c r="G2136" s="43">
        <f>IF(INDEX(DarlBindung,5)="",1,IF($E2136&lt;=INDEX(DarlBindung,5),1,0))</f>
      </c>
      <c r="H2136" s="43">
        <f>IF($G2136=1,INDEX(DarlSollzins,5),INDEX(DarlAnschluss,5))</f>
      </c>
      <c r="I2136" s="43">
        <f>IF(INDEX(DarlBelegt,5)=0,0,IF(INDEX(DarlOhneTilgung,5)=1,IF(INDEX(DarlBindung,5)="",1,$G2136),IF($J2136&gt;0.005,1,0)))</f>
      </c>
      <c r="J2136" s="43">
        <f>IF($I2135=0,0,$R2135)</f>
      </c>
      <c r="K2136" s="43">
        <f>IF($I2136=0,0,IF(INDEX(DarlOhneTilgung,5)=1,0,IF(AND(INDEX(DarlTilgStart,5)&gt;0,$E2136=INDEX(DarlTilgStart,5)),$J2136*($H2136+INDEX(DarlTilgung,5))/100/12,IF(AND($G2136=0,$G2135=1),MAX($K2135,$J2136*($H2136+1)/100/12),$K2135))))</f>
      </c>
      <c r="L2136" s="43">
        <f>IF($I2136=0,0,$J2136*$H2136/100/12)</f>
      </c>
      <c r="M2136" s="43">
        <f>IF($I2136=0,0,IF(OR(INDEX(DarlOhneTilgung,5)=1,AND(INDEX(DarlTilgStart,5)&gt;0,$E2136&lt;INDEX(DarlTilgStart,5))),0,MIN(MAX(0,$K2136-$L2136),$J2136)))</f>
      </c>
      <c r="N2136" s="43">
        <f>IF($I2136=0,0,MIN(SUMIFS(SondBetrag,SondDarl,5,SondDatum,"&gt;="&amp;$E2136,SondDatum,"&lt;="&amp;EOMONTH($E2136,0)),$J2136-$M2136))</f>
      </c>
      <c r="O2136" s="43">
        <f>IF($I2136=0,0,INDEX(DarlErsatzRate,5))</f>
      </c>
      <c r="P2136" s="43">
        <f>IF($I2136=0,0,$Q2135*INDEX(DarlErsatzZins,5))</f>
      </c>
      <c r="Q2136" s="43">
        <f>IF($I2136=0,0,$Q2135+$P2136+$O2136)</f>
      </c>
      <c r="R2136" s="43">
        <f>IF($I2136=0,0,$J2136-$M2136-$N2136)</f>
      </c>
    </row>
    <row r="2137">
      <c r="A2137"/>
      <c r="B2137">
        <v>5</v>
      </c>
      <c r="C2137" s="43">
        <f>INDEX(DarlObj,5)</f>
      </c>
      <c r="D2137">
        <v>214</v>
      </c>
      <c r="E2137" s="51">
        <f>IF(INDEX(DarlBelegt,5)=0,0,EOMONTH(INDEX(DarlAuszahlung,5),213)+1)</f>
      </c>
      <c r="F2137" s="43">
        <f>IF($E2137=0,0,YEAR($E2137))</f>
      </c>
      <c r="G2137" s="43">
        <f>IF(INDEX(DarlBindung,5)="",1,IF($E2137&lt;=INDEX(DarlBindung,5),1,0))</f>
      </c>
      <c r="H2137" s="43">
        <f>IF($G2137=1,INDEX(DarlSollzins,5),INDEX(DarlAnschluss,5))</f>
      </c>
      <c r="I2137" s="43">
        <f>IF(INDEX(DarlBelegt,5)=0,0,IF(INDEX(DarlOhneTilgung,5)=1,IF(INDEX(DarlBindung,5)="",1,$G2137),IF($J2137&gt;0.005,1,0)))</f>
      </c>
      <c r="J2137" s="43">
        <f>IF($I2136=0,0,$R2136)</f>
      </c>
      <c r="K2137" s="43">
        <f>IF($I2137=0,0,IF(INDEX(DarlOhneTilgung,5)=1,0,IF(AND(INDEX(DarlTilgStart,5)&gt;0,$E2137=INDEX(DarlTilgStart,5)),$J2137*($H2137+INDEX(DarlTilgung,5))/100/12,IF(AND($G2137=0,$G2136=1),MAX($K2136,$J2137*($H2137+1)/100/12),$K2136))))</f>
      </c>
      <c r="L2137" s="43">
        <f>IF($I2137=0,0,$J2137*$H2137/100/12)</f>
      </c>
      <c r="M2137" s="43">
        <f>IF($I2137=0,0,IF(OR(INDEX(DarlOhneTilgung,5)=1,AND(INDEX(DarlTilgStart,5)&gt;0,$E2137&lt;INDEX(DarlTilgStart,5))),0,MIN(MAX(0,$K2137-$L2137),$J2137)))</f>
      </c>
      <c r="N2137" s="43">
        <f>IF($I2137=0,0,MIN(SUMIFS(SondBetrag,SondDarl,5,SondDatum,"&gt;="&amp;$E2137,SondDatum,"&lt;="&amp;EOMONTH($E2137,0)),$J2137-$M2137))</f>
      </c>
      <c r="O2137" s="43">
        <f>IF($I2137=0,0,INDEX(DarlErsatzRate,5))</f>
      </c>
      <c r="P2137" s="43">
        <f>IF($I2137=0,0,$Q2136*INDEX(DarlErsatzZins,5))</f>
      </c>
      <c r="Q2137" s="43">
        <f>IF($I2137=0,0,$Q2136+$P2137+$O2137)</f>
      </c>
      <c r="R2137" s="43">
        <f>IF($I2137=0,0,$J2137-$M2137-$N2137)</f>
      </c>
    </row>
    <row r="2138">
      <c r="A2138"/>
      <c r="B2138">
        <v>5</v>
      </c>
      <c r="C2138" s="43">
        <f>INDEX(DarlObj,5)</f>
      </c>
      <c r="D2138">
        <v>215</v>
      </c>
      <c r="E2138" s="51">
        <f>IF(INDEX(DarlBelegt,5)=0,0,EOMONTH(INDEX(DarlAuszahlung,5),214)+1)</f>
      </c>
      <c r="F2138" s="43">
        <f>IF($E2138=0,0,YEAR($E2138))</f>
      </c>
      <c r="G2138" s="43">
        <f>IF(INDEX(DarlBindung,5)="",1,IF($E2138&lt;=INDEX(DarlBindung,5),1,0))</f>
      </c>
      <c r="H2138" s="43">
        <f>IF($G2138=1,INDEX(DarlSollzins,5),INDEX(DarlAnschluss,5))</f>
      </c>
      <c r="I2138" s="43">
        <f>IF(INDEX(DarlBelegt,5)=0,0,IF(INDEX(DarlOhneTilgung,5)=1,IF(INDEX(DarlBindung,5)="",1,$G2138),IF($J2138&gt;0.005,1,0)))</f>
      </c>
      <c r="J2138" s="43">
        <f>IF($I2137=0,0,$R2137)</f>
      </c>
      <c r="K2138" s="43">
        <f>IF($I2138=0,0,IF(INDEX(DarlOhneTilgung,5)=1,0,IF(AND(INDEX(DarlTilgStart,5)&gt;0,$E2138=INDEX(DarlTilgStart,5)),$J2138*($H2138+INDEX(DarlTilgung,5))/100/12,IF(AND($G2138=0,$G2137=1),MAX($K2137,$J2138*($H2138+1)/100/12),$K2137))))</f>
      </c>
      <c r="L2138" s="43">
        <f>IF($I2138=0,0,$J2138*$H2138/100/12)</f>
      </c>
      <c r="M2138" s="43">
        <f>IF($I2138=0,0,IF(OR(INDEX(DarlOhneTilgung,5)=1,AND(INDEX(DarlTilgStart,5)&gt;0,$E2138&lt;INDEX(DarlTilgStart,5))),0,MIN(MAX(0,$K2138-$L2138),$J2138)))</f>
      </c>
      <c r="N2138" s="43">
        <f>IF($I2138=0,0,MIN(SUMIFS(SondBetrag,SondDarl,5,SondDatum,"&gt;="&amp;$E2138,SondDatum,"&lt;="&amp;EOMONTH($E2138,0)),$J2138-$M2138))</f>
      </c>
      <c r="O2138" s="43">
        <f>IF($I2138=0,0,INDEX(DarlErsatzRate,5))</f>
      </c>
      <c r="P2138" s="43">
        <f>IF($I2138=0,0,$Q2137*INDEX(DarlErsatzZins,5))</f>
      </c>
      <c r="Q2138" s="43">
        <f>IF($I2138=0,0,$Q2137+$P2138+$O2138)</f>
      </c>
      <c r="R2138" s="43">
        <f>IF($I2138=0,0,$J2138-$M2138-$N2138)</f>
      </c>
    </row>
    <row r="2139">
      <c r="A2139"/>
      <c r="B2139">
        <v>5</v>
      </c>
      <c r="C2139" s="43">
        <f>INDEX(DarlObj,5)</f>
      </c>
      <c r="D2139">
        <v>216</v>
      </c>
      <c r="E2139" s="51">
        <f>IF(INDEX(DarlBelegt,5)=0,0,EOMONTH(INDEX(DarlAuszahlung,5),215)+1)</f>
      </c>
      <c r="F2139" s="43">
        <f>IF($E2139=0,0,YEAR($E2139))</f>
      </c>
      <c r="G2139" s="43">
        <f>IF(INDEX(DarlBindung,5)="",1,IF($E2139&lt;=INDEX(DarlBindung,5),1,0))</f>
      </c>
      <c r="H2139" s="43">
        <f>IF($G2139=1,INDEX(DarlSollzins,5),INDEX(DarlAnschluss,5))</f>
      </c>
      <c r="I2139" s="43">
        <f>IF(INDEX(DarlBelegt,5)=0,0,IF(INDEX(DarlOhneTilgung,5)=1,IF(INDEX(DarlBindung,5)="",1,$G2139),IF($J2139&gt;0.005,1,0)))</f>
      </c>
      <c r="J2139" s="43">
        <f>IF($I2138=0,0,$R2138)</f>
      </c>
      <c r="K2139" s="43">
        <f>IF($I2139=0,0,IF(INDEX(DarlOhneTilgung,5)=1,0,IF(AND(INDEX(DarlTilgStart,5)&gt;0,$E2139=INDEX(DarlTilgStart,5)),$J2139*($H2139+INDEX(DarlTilgung,5))/100/12,IF(AND($G2139=0,$G2138=1),MAX($K2138,$J2139*($H2139+1)/100/12),$K2138))))</f>
      </c>
      <c r="L2139" s="43">
        <f>IF($I2139=0,0,$J2139*$H2139/100/12)</f>
      </c>
      <c r="M2139" s="43">
        <f>IF($I2139=0,0,IF(OR(INDEX(DarlOhneTilgung,5)=1,AND(INDEX(DarlTilgStart,5)&gt;0,$E2139&lt;INDEX(DarlTilgStart,5))),0,MIN(MAX(0,$K2139-$L2139),$J2139)))</f>
      </c>
      <c r="N2139" s="43">
        <f>IF($I2139=0,0,MIN(SUMIFS(SondBetrag,SondDarl,5,SondDatum,"&gt;="&amp;$E2139,SondDatum,"&lt;="&amp;EOMONTH($E2139,0)),$J2139-$M2139))</f>
      </c>
      <c r="O2139" s="43">
        <f>IF($I2139=0,0,INDEX(DarlErsatzRate,5))</f>
      </c>
      <c r="P2139" s="43">
        <f>IF($I2139=0,0,$Q2138*INDEX(DarlErsatzZins,5))</f>
      </c>
      <c r="Q2139" s="43">
        <f>IF($I2139=0,0,$Q2138+$P2139+$O2139)</f>
      </c>
      <c r="R2139" s="43">
        <f>IF($I2139=0,0,$J2139-$M2139-$N2139)</f>
      </c>
    </row>
    <row r="2140">
      <c r="A2140"/>
      <c r="B2140">
        <v>5</v>
      </c>
      <c r="C2140" s="43">
        <f>INDEX(DarlObj,5)</f>
      </c>
      <c r="D2140">
        <v>217</v>
      </c>
      <c r="E2140" s="51">
        <f>IF(INDEX(DarlBelegt,5)=0,0,EOMONTH(INDEX(DarlAuszahlung,5),216)+1)</f>
      </c>
      <c r="F2140" s="43">
        <f>IF($E2140=0,0,YEAR($E2140))</f>
      </c>
      <c r="G2140" s="43">
        <f>IF(INDEX(DarlBindung,5)="",1,IF($E2140&lt;=INDEX(DarlBindung,5),1,0))</f>
      </c>
      <c r="H2140" s="43">
        <f>IF($G2140=1,INDEX(DarlSollzins,5),INDEX(DarlAnschluss,5))</f>
      </c>
      <c r="I2140" s="43">
        <f>IF(INDEX(DarlBelegt,5)=0,0,IF(INDEX(DarlOhneTilgung,5)=1,IF(INDEX(DarlBindung,5)="",1,$G2140),IF($J2140&gt;0.005,1,0)))</f>
      </c>
      <c r="J2140" s="43">
        <f>IF($I2139=0,0,$R2139)</f>
      </c>
      <c r="K2140" s="43">
        <f>IF($I2140=0,0,IF(INDEX(DarlOhneTilgung,5)=1,0,IF(AND(INDEX(DarlTilgStart,5)&gt;0,$E2140=INDEX(DarlTilgStart,5)),$J2140*($H2140+INDEX(DarlTilgung,5))/100/12,IF(AND($G2140=0,$G2139=1),MAX($K2139,$J2140*($H2140+1)/100/12),$K2139))))</f>
      </c>
      <c r="L2140" s="43">
        <f>IF($I2140=0,0,$J2140*$H2140/100/12)</f>
      </c>
      <c r="M2140" s="43">
        <f>IF($I2140=0,0,IF(OR(INDEX(DarlOhneTilgung,5)=1,AND(INDEX(DarlTilgStart,5)&gt;0,$E2140&lt;INDEX(DarlTilgStart,5))),0,MIN(MAX(0,$K2140-$L2140),$J2140)))</f>
      </c>
      <c r="N2140" s="43">
        <f>IF($I2140=0,0,MIN(SUMIFS(SondBetrag,SondDarl,5,SondDatum,"&gt;="&amp;$E2140,SondDatum,"&lt;="&amp;EOMONTH($E2140,0)),$J2140-$M2140))</f>
      </c>
      <c r="O2140" s="43">
        <f>IF($I2140=0,0,INDEX(DarlErsatzRate,5))</f>
      </c>
      <c r="P2140" s="43">
        <f>IF($I2140=0,0,$Q2139*INDEX(DarlErsatzZins,5))</f>
      </c>
      <c r="Q2140" s="43">
        <f>IF($I2140=0,0,$Q2139+$P2140+$O2140)</f>
      </c>
      <c r="R2140" s="43">
        <f>IF($I2140=0,0,$J2140-$M2140-$N2140)</f>
      </c>
    </row>
    <row r="2141">
      <c r="A2141"/>
      <c r="B2141">
        <v>5</v>
      </c>
      <c r="C2141" s="43">
        <f>INDEX(DarlObj,5)</f>
      </c>
      <c r="D2141">
        <v>218</v>
      </c>
      <c r="E2141" s="51">
        <f>IF(INDEX(DarlBelegt,5)=0,0,EOMONTH(INDEX(DarlAuszahlung,5),217)+1)</f>
      </c>
      <c r="F2141" s="43">
        <f>IF($E2141=0,0,YEAR($E2141))</f>
      </c>
      <c r="G2141" s="43">
        <f>IF(INDEX(DarlBindung,5)="",1,IF($E2141&lt;=INDEX(DarlBindung,5),1,0))</f>
      </c>
      <c r="H2141" s="43">
        <f>IF($G2141=1,INDEX(DarlSollzins,5),INDEX(DarlAnschluss,5))</f>
      </c>
      <c r="I2141" s="43">
        <f>IF(INDEX(DarlBelegt,5)=0,0,IF(INDEX(DarlOhneTilgung,5)=1,IF(INDEX(DarlBindung,5)="",1,$G2141),IF($J2141&gt;0.005,1,0)))</f>
      </c>
      <c r="J2141" s="43">
        <f>IF($I2140=0,0,$R2140)</f>
      </c>
      <c r="K2141" s="43">
        <f>IF($I2141=0,0,IF(INDEX(DarlOhneTilgung,5)=1,0,IF(AND(INDEX(DarlTilgStart,5)&gt;0,$E2141=INDEX(DarlTilgStart,5)),$J2141*($H2141+INDEX(DarlTilgung,5))/100/12,IF(AND($G2141=0,$G2140=1),MAX($K2140,$J2141*($H2141+1)/100/12),$K2140))))</f>
      </c>
      <c r="L2141" s="43">
        <f>IF($I2141=0,0,$J2141*$H2141/100/12)</f>
      </c>
      <c r="M2141" s="43">
        <f>IF($I2141=0,0,IF(OR(INDEX(DarlOhneTilgung,5)=1,AND(INDEX(DarlTilgStart,5)&gt;0,$E2141&lt;INDEX(DarlTilgStart,5))),0,MIN(MAX(0,$K2141-$L2141),$J2141)))</f>
      </c>
      <c r="N2141" s="43">
        <f>IF($I2141=0,0,MIN(SUMIFS(SondBetrag,SondDarl,5,SondDatum,"&gt;="&amp;$E2141,SondDatum,"&lt;="&amp;EOMONTH($E2141,0)),$J2141-$M2141))</f>
      </c>
      <c r="O2141" s="43">
        <f>IF($I2141=0,0,INDEX(DarlErsatzRate,5))</f>
      </c>
      <c r="P2141" s="43">
        <f>IF($I2141=0,0,$Q2140*INDEX(DarlErsatzZins,5))</f>
      </c>
      <c r="Q2141" s="43">
        <f>IF($I2141=0,0,$Q2140+$P2141+$O2141)</f>
      </c>
      <c r="R2141" s="43">
        <f>IF($I2141=0,0,$J2141-$M2141-$N2141)</f>
      </c>
    </row>
    <row r="2142">
      <c r="A2142"/>
      <c r="B2142">
        <v>5</v>
      </c>
      <c r="C2142" s="43">
        <f>INDEX(DarlObj,5)</f>
      </c>
      <c r="D2142">
        <v>219</v>
      </c>
      <c r="E2142" s="51">
        <f>IF(INDEX(DarlBelegt,5)=0,0,EOMONTH(INDEX(DarlAuszahlung,5),218)+1)</f>
      </c>
      <c r="F2142" s="43">
        <f>IF($E2142=0,0,YEAR($E2142))</f>
      </c>
      <c r="G2142" s="43">
        <f>IF(INDEX(DarlBindung,5)="",1,IF($E2142&lt;=INDEX(DarlBindung,5),1,0))</f>
      </c>
      <c r="H2142" s="43">
        <f>IF($G2142=1,INDEX(DarlSollzins,5),INDEX(DarlAnschluss,5))</f>
      </c>
      <c r="I2142" s="43">
        <f>IF(INDEX(DarlBelegt,5)=0,0,IF(INDEX(DarlOhneTilgung,5)=1,IF(INDEX(DarlBindung,5)="",1,$G2142),IF($J2142&gt;0.005,1,0)))</f>
      </c>
      <c r="J2142" s="43">
        <f>IF($I2141=0,0,$R2141)</f>
      </c>
      <c r="K2142" s="43">
        <f>IF($I2142=0,0,IF(INDEX(DarlOhneTilgung,5)=1,0,IF(AND(INDEX(DarlTilgStart,5)&gt;0,$E2142=INDEX(DarlTilgStart,5)),$J2142*($H2142+INDEX(DarlTilgung,5))/100/12,IF(AND($G2142=0,$G2141=1),MAX($K2141,$J2142*($H2142+1)/100/12),$K2141))))</f>
      </c>
      <c r="L2142" s="43">
        <f>IF($I2142=0,0,$J2142*$H2142/100/12)</f>
      </c>
      <c r="M2142" s="43">
        <f>IF($I2142=0,0,IF(OR(INDEX(DarlOhneTilgung,5)=1,AND(INDEX(DarlTilgStart,5)&gt;0,$E2142&lt;INDEX(DarlTilgStart,5))),0,MIN(MAX(0,$K2142-$L2142),$J2142)))</f>
      </c>
      <c r="N2142" s="43">
        <f>IF($I2142=0,0,MIN(SUMIFS(SondBetrag,SondDarl,5,SondDatum,"&gt;="&amp;$E2142,SondDatum,"&lt;="&amp;EOMONTH($E2142,0)),$J2142-$M2142))</f>
      </c>
      <c r="O2142" s="43">
        <f>IF($I2142=0,0,INDEX(DarlErsatzRate,5))</f>
      </c>
      <c r="P2142" s="43">
        <f>IF($I2142=0,0,$Q2141*INDEX(DarlErsatzZins,5))</f>
      </c>
      <c r="Q2142" s="43">
        <f>IF($I2142=0,0,$Q2141+$P2142+$O2142)</f>
      </c>
      <c r="R2142" s="43">
        <f>IF($I2142=0,0,$J2142-$M2142-$N2142)</f>
      </c>
    </row>
    <row r="2143">
      <c r="A2143"/>
      <c r="B2143">
        <v>5</v>
      </c>
      <c r="C2143" s="43">
        <f>INDEX(DarlObj,5)</f>
      </c>
      <c r="D2143">
        <v>220</v>
      </c>
      <c r="E2143" s="51">
        <f>IF(INDEX(DarlBelegt,5)=0,0,EOMONTH(INDEX(DarlAuszahlung,5),219)+1)</f>
      </c>
      <c r="F2143" s="43">
        <f>IF($E2143=0,0,YEAR($E2143))</f>
      </c>
      <c r="G2143" s="43">
        <f>IF(INDEX(DarlBindung,5)="",1,IF($E2143&lt;=INDEX(DarlBindung,5),1,0))</f>
      </c>
      <c r="H2143" s="43">
        <f>IF($G2143=1,INDEX(DarlSollzins,5),INDEX(DarlAnschluss,5))</f>
      </c>
      <c r="I2143" s="43">
        <f>IF(INDEX(DarlBelegt,5)=0,0,IF(INDEX(DarlOhneTilgung,5)=1,IF(INDEX(DarlBindung,5)="",1,$G2143),IF($J2143&gt;0.005,1,0)))</f>
      </c>
      <c r="J2143" s="43">
        <f>IF($I2142=0,0,$R2142)</f>
      </c>
      <c r="K2143" s="43">
        <f>IF($I2143=0,0,IF(INDEX(DarlOhneTilgung,5)=1,0,IF(AND(INDEX(DarlTilgStart,5)&gt;0,$E2143=INDEX(DarlTilgStart,5)),$J2143*($H2143+INDEX(DarlTilgung,5))/100/12,IF(AND($G2143=0,$G2142=1),MAX($K2142,$J2143*($H2143+1)/100/12),$K2142))))</f>
      </c>
      <c r="L2143" s="43">
        <f>IF($I2143=0,0,$J2143*$H2143/100/12)</f>
      </c>
      <c r="M2143" s="43">
        <f>IF($I2143=0,0,IF(OR(INDEX(DarlOhneTilgung,5)=1,AND(INDEX(DarlTilgStart,5)&gt;0,$E2143&lt;INDEX(DarlTilgStart,5))),0,MIN(MAX(0,$K2143-$L2143),$J2143)))</f>
      </c>
      <c r="N2143" s="43">
        <f>IF($I2143=0,0,MIN(SUMIFS(SondBetrag,SondDarl,5,SondDatum,"&gt;="&amp;$E2143,SondDatum,"&lt;="&amp;EOMONTH($E2143,0)),$J2143-$M2143))</f>
      </c>
      <c r="O2143" s="43">
        <f>IF($I2143=0,0,INDEX(DarlErsatzRate,5))</f>
      </c>
      <c r="P2143" s="43">
        <f>IF($I2143=0,0,$Q2142*INDEX(DarlErsatzZins,5))</f>
      </c>
      <c r="Q2143" s="43">
        <f>IF($I2143=0,0,$Q2142+$P2143+$O2143)</f>
      </c>
      <c r="R2143" s="43">
        <f>IF($I2143=0,0,$J2143-$M2143-$N2143)</f>
      </c>
    </row>
    <row r="2144">
      <c r="A2144"/>
      <c r="B2144">
        <v>5</v>
      </c>
      <c r="C2144" s="43">
        <f>INDEX(DarlObj,5)</f>
      </c>
      <c r="D2144">
        <v>221</v>
      </c>
      <c r="E2144" s="51">
        <f>IF(INDEX(DarlBelegt,5)=0,0,EOMONTH(INDEX(DarlAuszahlung,5),220)+1)</f>
      </c>
      <c r="F2144" s="43">
        <f>IF($E2144=0,0,YEAR($E2144))</f>
      </c>
      <c r="G2144" s="43">
        <f>IF(INDEX(DarlBindung,5)="",1,IF($E2144&lt;=INDEX(DarlBindung,5),1,0))</f>
      </c>
      <c r="H2144" s="43">
        <f>IF($G2144=1,INDEX(DarlSollzins,5),INDEX(DarlAnschluss,5))</f>
      </c>
      <c r="I2144" s="43">
        <f>IF(INDEX(DarlBelegt,5)=0,0,IF(INDEX(DarlOhneTilgung,5)=1,IF(INDEX(DarlBindung,5)="",1,$G2144),IF($J2144&gt;0.005,1,0)))</f>
      </c>
      <c r="J2144" s="43">
        <f>IF($I2143=0,0,$R2143)</f>
      </c>
      <c r="K2144" s="43">
        <f>IF($I2144=0,0,IF(INDEX(DarlOhneTilgung,5)=1,0,IF(AND(INDEX(DarlTilgStart,5)&gt;0,$E2144=INDEX(DarlTilgStart,5)),$J2144*($H2144+INDEX(DarlTilgung,5))/100/12,IF(AND($G2144=0,$G2143=1),MAX($K2143,$J2144*($H2144+1)/100/12),$K2143))))</f>
      </c>
      <c r="L2144" s="43">
        <f>IF($I2144=0,0,$J2144*$H2144/100/12)</f>
      </c>
      <c r="M2144" s="43">
        <f>IF($I2144=0,0,IF(OR(INDEX(DarlOhneTilgung,5)=1,AND(INDEX(DarlTilgStart,5)&gt;0,$E2144&lt;INDEX(DarlTilgStart,5))),0,MIN(MAX(0,$K2144-$L2144),$J2144)))</f>
      </c>
      <c r="N2144" s="43">
        <f>IF($I2144=0,0,MIN(SUMIFS(SondBetrag,SondDarl,5,SondDatum,"&gt;="&amp;$E2144,SondDatum,"&lt;="&amp;EOMONTH($E2144,0)),$J2144-$M2144))</f>
      </c>
      <c r="O2144" s="43">
        <f>IF($I2144=0,0,INDEX(DarlErsatzRate,5))</f>
      </c>
      <c r="P2144" s="43">
        <f>IF($I2144=0,0,$Q2143*INDEX(DarlErsatzZins,5))</f>
      </c>
      <c r="Q2144" s="43">
        <f>IF($I2144=0,0,$Q2143+$P2144+$O2144)</f>
      </c>
      <c r="R2144" s="43">
        <f>IF($I2144=0,0,$J2144-$M2144-$N2144)</f>
      </c>
    </row>
    <row r="2145">
      <c r="A2145"/>
      <c r="B2145">
        <v>5</v>
      </c>
      <c r="C2145" s="43">
        <f>INDEX(DarlObj,5)</f>
      </c>
      <c r="D2145">
        <v>222</v>
      </c>
      <c r="E2145" s="51">
        <f>IF(INDEX(DarlBelegt,5)=0,0,EOMONTH(INDEX(DarlAuszahlung,5),221)+1)</f>
      </c>
      <c r="F2145" s="43">
        <f>IF($E2145=0,0,YEAR($E2145))</f>
      </c>
      <c r="G2145" s="43">
        <f>IF(INDEX(DarlBindung,5)="",1,IF($E2145&lt;=INDEX(DarlBindung,5),1,0))</f>
      </c>
      <c r="H2145" s="43">
        <f>IF($G2145=1,INDEX(DarlSollzins,5),INDEX(DarlAnschluss,5))</f>
      </c>
      <c r="I2145" s="43">
        <f>IF(INDEX(DarlBelegt,5)=0,0,IF(INDEX(DarlOhneTilgung,5)=1,IF(INDEX(DarlBindung,5)="",1,$G2145),IF($J2145&gt;0.005,1,0)))</f>
      </c>
      <c r="J2145" s="43">
        <f>IF($I2144=0,0,$R2144)</f>
      </c>
      <c r="K2145" s="43">
        <f>IF($I2145=0,0,IF(INDEX(DarlOhneTilgung,5)=1,0,IF(AND(INDEX(DarlTilgStart,5)&gt;0,$E2145=INDEX(DarlTilgStart,5)),$J2145*($H2145+INDEX(DarlTilgung,5))/100/12,IF(AND($G2145=0,$G2144=1),MAX($K2144,$J2145*($H2145+1)/100/12),$K2144))))</f>
      </c>
      <c r="L2145" s="43">
        <f>IF($I2145=0,0,$J2145*$H2145/100/12)</f>
      </c>
      <c r="M2145" s="43">
        <f>IF($I2145=0,0,IF(OR(INDEX(DarlOhneTilgung,5)=1,AND(INDEX(DarlTilgStart,5)&gt;0,$E2145&lt;INDEX(DarlTilgStart,5))),0,MIN(MAX(0,$K2145-$L2145),$J2145)))</f>
      </c>
      <c r="N2145" s="43">
        <f>IF($I2145=0,0,MIN(SUMIFS(SondBetrag,SondDarl,5,SondDatum,"&gt;="&amp;$E2145,SondDatum,"&lt;="&amp;EOMONTH($E2145,0)),$J2145-$M2145))</f>
      </c>
      <c r="O2145" s="43">
        <f>IF($I2145=0,0,INDEX(DarlErsatzRate,5))</f>
      </c>
      <c r="P2145" s="43">
        <f>IF($I2145=0,0,$Q2144*INDEX(DarlErsatzZins,5))</f>
      </c>
      <c r="Q2145" s="43">
        <f>IF($I2145=0,0,$Q2144+$P2145+$O2145)</f>
      </c>
      <c r="R2145" s="43">
        <f>IF($I2145=0,0,$J2145-$M2145-$N2145)</f>
      </c>
    </row>
    <row r="2146">
      <c r="A2146"/>
      <c r="B2146">
        <v>5</v>
      </c>
      <c r="C2146" s="43">
        <f>INDEX(DarlObj,5)</f>
      </c>
      <c r="D2146">
        <v>223</v>
      </c>
      <c r="E2146" s="51">
        <f>IF(INDEX(DarlBelegt,5)=0,0,EOMONTH(INDEX(DarlAuszahlung,5),222)+1)</f>
      </c>
      <c r="F2146" s="43">
        <f>IF($E2146=0,0,YEAR($E2146))</f>
      </c>
      <c r="G2146" s="43">
        <f>IF(INDEX(DarlBindung,5)="",1,IF($E2146&lt;=INDEX(DarlBindung,5),1,0))</f>
      </c>
      <c r="H2146" s="43">
        <f>IF($G2146=1,INDEX(DarlSollzins,5),INDEX(DarlAnschluss,5))</f>
      </c>
      <c r="I2146" s="43">
        <f>IF(INDEX(DarlBelegt,5)=0,0,IF(INDEX(DarlOhneTilgung,5)=1,IF(INDEX(DarlBindung,5)="",1,$G2146),IF($J2146&gt;0.005,1,0)))</f>
      </c>
      <c r="J2146" s="43">
        <f>IF($I2145=0,0,$R2145)</f>
      </c>
      <c r="K2146" s="43">
        <f>IF($I2146=0,0,IF(INDEX(DarlOhneTilgung,5)=1,0,IF(AND(INDEX(DarlTilgStart,5)&gt;0,$E2146=INDEX(DarlTilgStart,5)),$J2146*($H2146+INDEX(DarlTilgung,5))/100/12,IF(AND($G2146=0,$G2145=1),MAX($K2145,$J2146*($H2146+1)/100/12),$K2145))))</f>
      </c>
      <c r="L2146" s="43">
        <f>IF($I2146=0,0,$J2146*$H2146/100/12)</f>
      </c>
      <c r="M2146" s="43">
        <f>IF($I2146=0,0,IF(OR(INDEX(DarlOhneTilgung,5)=1,AND(INDEX(DarlTilgStart,5)&gt;0,$E2146&lt;INDEX(DarlTilgStart,5))),0,MIN(MAX(0,$K2146-$L2146),$J2146)))</f>
      </c>
      <c r="N2146" s="43">
        <f>IF($I2146=0,0,MIN(SUMIFS(SondBetrag,SondDarl,5,SondDatum,"&gt;="&amp;$E2146,SondDatum,"&lt;="&amp;EOMONTH($E2146,0)),$J2146-$M2146))</f>
      </c>
      <c r="O2146" s="43">
        <f>IF($I2146=0,0,INDEX(DarlErsatzRate,5))</f>
      </c>
      <c r="P2146" s="43">
        <f>IF($I2146=0,0,$Q2145*INDEX(DarlErsatzZins,5))</f>
      </c>
      <c r="Q2146" s="43">
        <f>IF($I2146=0,0,$Q2145+$P2146+$O2146)</f>
      </c>
      <c r="R2146" s="43">
        <f>IF($I2146=0,0,$J2146-$M2146-$N2146)</f>
      </c>
    </row>
    <row r="2147">
      <c r="A2147"/>
      <c r="B2147">
        <v>5</v>
      </c>
      <c r="C2147" s="43">
        <f>INDEX(DarlObj,5)</f>
      </c>
      <c r="D2147">
        <v>224</v>
      </c>
      <c r="E2147" s="51">
        <f>IF(INDEX(DarlBelegt,5)=0,0,EOMONTH(INDEX(DarlAuszahlung,5),223)+1)</f>
      </c>
      <c r="F2147" s="43">
        <f>IF($E2147=0,0,YEAR($E2147))</f>
      </c>
      <c r="G2147" s="43">
        <f>IF(INDEX(DarlBindung,5)="",1,IF($E2147&lt;=INDEX(DarlBindung,5),1,0))</f>
      </c>
      <c r="H2147" s="43">
        <f>IF($G2147=1,INDEX(DarlSollzins,5),INDEX(DarlAnschluss,5))</f>
      </c>
      <c r="I2147" s="43">
        <f>IF(INDEX(DarlBelegt,5)=0,0,IF(INDEX(DarlOhneTilgung,5)=1,IF(INDEX(DarlBindung,5)="",1,$G2147),IF($J2147&gt;0.005,1,0)))</f>
      </c>
      <c r="J2147" s="43">
        <f>IF($I2146=0,0,$R2146)</f>
      </c>
      <c r="K2147" s="43">
        <f>IF($I2147=0,0,IF(INDEX(DarlOhneTilgung,5)=1,0,IF(AND(INDEX(DarlTilgStart,5)&gt;0,$E2147=INDEX(DarlTilgStart,5)),$J2147*($H2147+INDEX(DarlTilgung,5))/100/12,IF(AND($G2147=0,$G2146=1),MAX($K2146,$J2147*($H2147+1)/100/12),$K2146))))</f>
      </c>
      <c r="L2147" s="43">
        <f>IF($I2147=0,0,$J2147*$H2147/100/12)</f>
      </c>
      <c r="M2147" s="43">
        <f>IF($I2147=0,0,IF(OR(INDEX(DarlOhneTilgung,5)=1,AND(INDEX(DarlTilgStart,5)&gt;0,$E2147&lt;INDEX(DarlTilgStart,5))),0,MIN(MAX(0,$K2147-$L2147),$J2147)))</f>
      </c>
      <c r="N2147" s="43">
        <f>IF($I2147=0,0,MIN(SUMIFS(SondBetrag,SondDarl,5,SondDatum,"&gt;="&amp;$E2147,SondDatum,"&lt;="&amp;EOMONTH($E2147,0)),$J2147-$M2147))</f>
      </c>
      <c r="O2147" s="43">
        <f>IF($I2147=0,0,INDEX(DarlErsatzRate,5))</f>
      </c>
      <c r="P2147" s="43">
        <f>IF($I2147=0,0,$Q2146*INDEX(DarlErsatzZins,5))</f>
      </c>
      <c r="Q2147" s="43">
        <f>IF($I2147=0,0,$Q2146+$P2147+$O2147)</f>
      </c>
      <c r="R2147" s="43">
        <f>IF($I2147=0,0,$J2147-$M2147-$N2147)</f>
      </c>
    </row>
    <row r="2148">
      <c r="A2148"/>
      <c r="B2148">
        <v>5</v>
      </c>
      <c r="C2148" s="43">
        <f>INDEX(DarlObj,5)</f>
      </c>
      <c r="D2148">
        <v>225</v>
      </c>
      <c r="E2148" s="51">
        <f>IF(INDEX(DarlBelegt,5)=0,0,EOMONTH(INDEX(DarlAuszahlung,5),224)+1)</f>
      </c>
      <c r="F2148" s="43">
        <f>IF($E2148=0,0,YEAR($E2148))</f>
      </c>
      <c r="G2148" s="43">
        <f>IF(INDEX(DarlBindung,5)="",1,IF($E2148&lt;=INDEX(DarlBindung,5),1,0))</f>
      </c>
      <c r="H2148" s="43">
        <f>IF($G2148=1,INDEX(DarlSollzins,5),INDEX(DarlAnschluss,5))</f>
      </c>
      <c r="I2148" s="43">
        <f>IF(INDEX(DarlBelegt,5)=0,0,IF(INDEX(DarlOhneTilgung,5)=1,IF(INDEX(DarlBindung,5)="",1,$G2148),IF($J2148&gt;0.005,1,0)))</f>
      </c>
      <c r="J2148" s="43">
        <f>IF($I2147=0,0,$R2147)</f>
      </c>
      <c r="K2148" s="43">
        <f>IF($I2148=0,0,IF(INDEX(DarlOhneTilgung,5)=1,0,IF(AND(INDEX(DarlTilgStart,5)&gt;0,$E2148=INDEX(DarlTilgStart,5)),$J2148*($H2148+INDEX(DarlTilgung,5))/100/12,IF(AND($G2148=0,$G2147=1),MAX($K2147,$J2148*($H2148+1)/100/12),$K2147))))</f>
      </c>
      <c r="L2148" s="43">
        <f>IF($I2148=0,0,$J2148*$H2148/100/12)</f>
      </c>
      <c r="M2148" s="43">
        <f>IF($I2148=0,0,IF(OR(INDEX(DarlOhneTilgung,5)=1,AND(INDEX(DarlTilgStart,5)&gt;0,$E2148&lt;INDEX(DarlTilgStart,5))),0,MIN(MAX(0,$K2148-$L2148),$J2148)))</f>
      </c>
      <c r="N2148" s="43">
        <f>IF($I2148=0,0,MIN(SUMIFS(SondBetrag,SondDarl,5,SondDatum,"&gt;="&amp;$E2148,SondDatum,"&lt;="&amp;EOMONTH($E2148,0)),$J2148-$M2148))</f>
      </c>
      <c r="O2148" s="43">
        <f>IF($I2148=0,0,INDEX(DarlErsatzRate,5))</f>
      </c>
      <c r="P2148" s="43">
        <f>IF($I2148=0,0,$Q2147*INDEX(DarlErsatzZins,5))</f>
      </c>
      <c r="Q2148" s="43">
        <f>IF($I2148=0,0,$Q2147+$P2148+$O2148)</f>
      </c>
      <c r="R2148" s="43">
        <f>IF($I2148=0,0,$J2148-$M2148-$N2148)</f>
      </c>
    </row>
    <row r="2149">
      <c r="A2149"/>
      <c r="B2149">
        <v>5</v>
      </c>
      <c r="C2149" s="43">
        <f>INDEX(DarlObj,5)</f>
      </c>
      <c r="D2149">
        <v>226</v>
      </c>
      <c r="E2149" s="51">
        <f>IF(INDEX(DarlBelegt,5)=0,0,EOMONTH(INDEX(DarlAuszahlung,5),225)+1)</f>
      </c>
      <c r="F2149" s="43">
        <f>IF($E2149=0,0,YEAR($E2149))</f>
      </c>
      <c r="G2149" s="43">
        <f>IF(INDEX(DarlBindung,5)="",1,IF($E2149&lt;=INDEX(DarlBindung,5),1,0))</f>
      </c>
      <c r="H2149" s="43">
        <f>IF($G2149=1,INDEX(DarlSollzins,5),INDEX(DarlAnschluss,5))</f>
      </c>
      <c r="I2149" s="43">
        <f>IF(INDEX(DarlBelegt,5)=0,0,IF(INDEX(DarlOhneTilgung,5)=1,IF(INDEX(DarlBindung,5)="",1,$G2149),IF($J2149&gt;0.005,1,0)))</f>
      </c>
      <c r="J2149" s="43">
        <f>IF($I2148=0,0,$R2148)</f>
      </c>
      <c r="K2149" s="43">
        <f>IF($I2149=0,0,IF(INDEX(DarlOhneTilgung,5)=1,0,IF(AND(INDEX(DarlTilgStart,5)&gt;0,$E2149=INDEX(DarlTilgStart,5)),$J2149*($H2149+INDEX(DarlTilgung,5))/100/12,IF(AND($G2149=0,$G2148=1),MAX($K2148,$J2149*($H2149+1)/100/12),$K2148))))</f>
      </c>
      <c r="L2149" s="43">
        <f>IF($I2149=0,0,$J2149*$H2149/100/12)</f>
      </c>
      <c r="M2149" s="43">
        <f>IF($I2149=0,0,IF(OR(INDEX(DarlOhneTilgung,5)=1,AND(INDEX(DarlTilgStart,5)&gt;0,$E2149&lt;INDEX(DarlTilgStart,5))),0,MIN(MAX(0,$K2149-$L2149),$J2149)))</f>
      </c>
      <c r="N2149" s="43">
        <f>IF($I2149=0,0,MIN(SUMIFS(SondBetrag,SondDarl,5,SondDatum,"&gt;="&amp;$E2149,SondDatum,"&lt;="&amp;EOMONTH($E2149,0)),$J2149-$M2149))</f>
      </c>
      <c r="O2149" s="43">
        <f>IF($I2149=0,0,INDEX(DarlErsatzRate,5))</f>
      </c>
      <c r="P2149" s="43">
        <f>IF($I2149=0,0,$Q2148*INDEX(DarlErsatzZins,5))</f>
      </c>
      <c r="Q2149" s="43">
        <f>IF($I2149=0,0,$Q2148+$P2149+$O2149)</f>
      </c>
      <c r="R2149" s="43">
        <f>IF($I2149=0,0,$J2149-$M2149-$N2149)</f>
      </c>
    </row>
    <row r="2150">
      <c r="A2150"/>
      <c r="B2150">
        <v>5</v>
      </c>
      <c r="C2150" s="43">
        <f>INDEX(DarlObj,5)</f>
      </c>
      <c r="D2150">
        <v>227</v>
      </c>
      <c r="E2150" s="51">
        <f>IF(INDEX(DarlBelegt,5)=0,0,EOMONTH(INDEX(DarlAuszahlung,5),226)+1)</f>
      </c>
      <c r="F2150" s="43">
        <f>IF($E2150=0,0,YEAR($E2150))</f>
      </c>
      <c r="G2150" s="43">
        <f>IF(INDEX(DarlBindung,5)="",1,IF($E2150&lt;=INDEX(DarlBindung,5),1,0))</f>
      </c>
      <c r="H2150" s="43">
        <f>IF($G2150=1,INDEX(DarlSollzins,5),INDEX(DarlAnschluss,5))</f>
      </c>
      <c r="I2150" s="43">
        <f>IF(INDEX(DarlBelegt,5)=0,0,IF(INDEX(DarlOhneTilgung,5)=1,IF(INDEX(DarlBindung,5)="",1,$G2150),IF($J2150&gt;0.005,1,0)))</f>
      </c>
      <c r="J2150" s="43">
        <f>IF($I2149=0,0,$R2149)</f>
      </c>
      <c r="K2150" s="43">
        <f>IF($I2150=0,0,IF(INDEX(DarlOhneTilgung,5)=1,0,IF(AND(INDEX(DarlTilgStart,5)&gt;0,$E2150=INDEX(DarlTilgStart,5)),$J2150*($H2150+INDEX(DarlTilgung,5))/100/12,IF(AND($G2150=0,$G2149=1),MAX($K2149,$J2150*($H2150+1)/100/12),$K2149))))</f>
      </c>
      <c r="L2150" s="43">
        <f>IF($I2150=0,0,$J2150*$H2150/100/12)</f>
      </c>
      <c r="M2150" s="43">
        <f>IF($I2150=0,0,IF(OR(INDEX(DarlOhneTilgung,5)=1,AND(INDEX(DarlTilgStart,5)&gt;0,$E2150&lt;INDEX(DarlTilgStart,5))),0,MIN(MAX(0,$K2150-$L2150),$J2150)))</f>
      </c>
      <c r="N2150" s="43">
        <f>IF($I2150=0,0,MIN(SUMIFS(SondBetrag,SondDarl,5,SondDatum,"&gt;="&amp;$E2150,SondDatum,"&lt;="&amp;EOMONTH($E2150,0)),$J2150-$M2150))</f>
      </c>
      <c r="O2150" s="43">
        <f>IF($I2150=0,0,INDEX(DarlErsatzRate,5))</f>
      </c>
      <c r="P2150" s="43">
        <f>IF($I2150=0,0,$Q2149*INDEX(DarlErsatzZins,5))</f>
      </c>
      <c r="Q2150" s="43">
        <f>IF($I2150=0,0,$Q2149+$P2150+$O2150)</f>
      </c>
      <c r="R2150" s="43">
        <f>IF($I2150=0,0,$J2150-$M2150-$N2150)</f>
      </c>
    </row>
    <row r="2151">
      <c r="A2151"/>
      <c r="B2151">
        <v>5</v>
      </c>
      <c r="C2151" s="43">
        <f>INDEX(DarlObj,5)</f>
      </c>
      <c r="D2151">
        <v>228</v>
      </c>
      <c r="E2151" s="51">
        <f>IF(INDEX(DarlBelegt,5)=0,0,EOMONTH(INDEX(DarlAuszahlung,5),227)+1)</f>
      </c>
      <c r="F2151" s="43">
        <f>IF($E2151=0,0,YEAR($E2151))</f>
      </c>
      <c r="G2151" s="43">
        <f>IF(INDEX(DarlBindung,5)="",1,IF($E2151&lt;=INDEX(DarlBindung,5),1,0))</f>
      </c>
      <c r="H2151" s="43">
        <f>IF($G2151=1,INDEX(DarlSollzins,5),INDEX(DarlAnschluss,5))</f>
      </c>
      <c r="I2151" s="43">
        <f>IF(INDEX(DarlBelegt,5)=0,0,IF(INDEX(DarlOhneTilgung,5)=1,IF(INDEX(DarlBindung,5)="",1,$G2151),IF($J2151&gt;0.005,1,0)))</f>
      </c>
      <c r="J2151" s="43">
        <f>IF($I2150=0,0,$R2150)</f>
      </c>
      <c r="K2151" s="43">
        <f>IF($I2151=0,0,IF(INDEX(DarlOhneTilgung,5)=1,0,IF(AND(INDEX(DarlTilgStart,5)&gt;0,$E2151=INDEX(DarlTilgStart,5)),$J2151*($H2151+INDEX(DarlTilgung,5))/100/12,IF(AND($G2151=0,$G2150=1),MAX($K2150,$J2151*($H2151+1)/100/12),$K2150))))</f>
      </c>
      <c r="L2151" s="43">
        <f>IF($I2151=0,0,$J2151*$H2151/100/12)</f>
      </c>
      <c r="M2151" s="43">
        <f>IF($I2151=0,0,IF(OR(INDEX(DarlOhneTilgung,5)=1,AND(INDEX(DarlTilgStart,5)&gt;0,$E2151&lt;INDEX(DarlTilgStart,5))),0,MIN(MAX(0,$K2151-$L2151),$J2151)))</f>
      </c>
      <c r="N2151" s="43">
        <f>IF($I2151=0,0,MIN(SUMIFS(SondBetrag,SondDarl,5,SondDatum,"&gt;="&amp;$E2151,SondDatum,"&lt;="&amp;EOMONTH($E2151,0)),$J2151-$M2151))</f>
      </c>
      <c r="O2151" s="43">
        <f>IF($I2151=0,0,INDEX(DarlErsatzRate,5))</f>
      </c>
      <c r="P2151" s="43">
        <f>IF($I2151=0,0,$Q2150*INDEX(DarlErsatzZins,5))</f>
      </c>
      <c r="Q2151" s="43">
        <f>IF($I2151=0,0,$Q2150+$P2151+$O2151)</f>
      </c>
      <c r="R2151" s="43">
        <f>IF($I2151=0,0,$J2151-$M2151-$N2151)</f>
      </c>
    </row>
    <row r="2152">
      <c r="A2152"/>
      <c r="B2152">
        <v>5</v>
      </c>
      <c r="C2152" s="43">
        <f>INDEX(DarlObj,5)</f>
      </c>
      <c r="D2152">
        <v>229</v>
      </c>
      <c r="E2152" s="51">
        <f>IF(INDEX(DarlBelegt,5)=0,0,EOMONTH(INDEX(DarlAuszahlung,5),228)+1)</f>
      </c>
      <c r="F2152" s="43">
        <f>IF($E2152=0,0,YEAR($E2152))</f>
      </c>
      <c r="G2152" s="43">
        <f>IF(INDEX(DarlBindung,5)="",1,IF($E2152&lt;=INDEX(DarlBindung,5),1,0))</f>
      </c>
      <c r="H2152" s="43">
        <f>IF($G2152=1,INDEX(DarlSollzins,5),INDEX(DarlAnschluss,5))</f>
      </c>
      <c r="I2152" s="43">
        <f>IF(INDEX(DarlBelegt,5)=0,0,IF(INDEX(DarlOhneTilgung,5)=1,IF(INDEX(DarlBindung,5)="",1,$G2152),IF($J2152&gt;0.005,1,0)))</f>
      </c>
      <c r="J2152" s="43">
        <f>IF($I2151=0,0,$R2151)</f>
      </c>
      <c r="K2152" s="43">
        <f>IF($I2152=0,0,IF(INDEX(DarlOhneTilgung,5)=1,0,IF(AND(INDEX(DarlTilgStart,5)&gt;0,$E2152=INDEX(DarlTilgStart,5)),$J2152*($H2152+INDEX(DarlTilgung,5))/100/12,IF(AND($G2152=0,$G2151=1),MAX($K2151,$J2152*($H2152+1)/100/12),$K2151))))</f>
      </c>
      <c r="L2152" s="43">
        <f>IF($I2152=0,0,$J2152*$H2152/100/12)</f>
      </c>
      <c r="M2152" s="43">
        <f>IF($I2152=0,0,IF(OR(INDEX(DarlOhneTilgung,5)=1,AND(INDEX(DarlTilgStart,5)&gt;0,$E2152&lt;INDEX(DarlTilgStart,5))),0,MIN(MAX(0,$K2152-$L2152),$J2152)))</f>
      </c>
      <c r="N2152" s="43">
        <f>IF($I2152=0,0,MIN(SUMIFS(SondBetrag,SondDarl,5,SondDatum,"&gt;="&amp;$E2152,SondDatum,"&lt;="&amp;EOMONTH($E2152,0)),$J2152-$M2152))</f>
      </c>
      <c r="O2152" s="43">
        <f>IF($I2152=0,0,INDEX(DarlErsatzRate,5))</f>
      </c>
      <c r="P2152" s="43">
        <f>IF($I2152=0,0,$Q2151*INDEX(DarlErsatzZins,5))</f>
      </c>
      <c r="Q2152" s="43">
        <f>IF($I2152=0,0,$Q2151+$P2152+$O2152)</f>
      </c>
      <c r="R2152" s="43">
        <f>IF($I2152=0,0,$J2152-$M2152-$N2152)</f>
      </c>
    </row>
    <row r="2153">
      <c r="A2153"/>
      <c r="B2153">
        <v>5</v>
      </c>
      <c r="C2153" s="43">
        <f>INDEX(DarlObj,5)</f>
      </c>
      <c r="D2153">
        <v>230</v>
      </c>
      <c r="E2153" s="51">
        <f>IF(INDEX(DarlBelegt,5)=0,0,EOMONTH(INDEX(DarlAuszahlung,5),229)+1)</f>
      </c>
      <c r="F2153" s="43">
        <f>IF($E2153=0,0,YEAR($E2153))</f>
      </c>
      <c r="G2153" s="43">
        <f>IF(INDEX(DarlBindung,5)="",1,IF($E2153&lt;=INDEX(DarlBindung,5),1,0))</f>
      </c>
      <c r="H2153" s="43">
        <f>IF($G2153=1,INDEX(DarlSollzins,5),INDEX(DarlAnschluss,5))</f>
      </c>
      <c r="I2153" s="43">
        <f>IF(INDEX(DarlBelegt,5)=0,0,IF(INDEX(DarlOhneTilgung,5)=1,IF(INDEX(DarlBindung,5)="",1,$G2153),IF($J2153&gt;0.005,1,0)))</f>
      </c>
      <c r="J2153" s="43">
        <f>IF($I2152=0,0,$R2152)</f>
      </c>
      <c r="K2153" s="43">
        <f>IF($I2153=0,0,IF(INDEX(DarlOhneTilgung,5)=1,0,IF(AND(INDEX(DarlTilgStart,5)&gt;0,$E2153=INDEX(DarlTilgStart,5)),$J2153*($H2153+INDEX(DarlTilgung,5))/100/12,IF(AND($G2153=0,$G2152=1),MAX($K2152,$J2153*($H2153+1)/100/12),$K2152))))</f>
      </c>
      <c r="L2153" s="43">
        <f>IF($I2153=0,0,$J2153*$H2153/100/12)</f>
      </c>
      <c r="M2153" s="43">
        <f>IF($I2153=0,0,IF(OR(INDEX(DarlOhneTilgung,5)=1,AND(INDEX(DarlTilgStart,5)&gt;0,$E2153&lt;INDEX(DarlTilgStart,5))),0,MIN(MAX(0,$K2153-$L2153),$J2153)))</f>
      </c>
      <c r="N2153" s="43">
        <f>IF($I2153=0,0,MIN(SUMIFS(SondBetrag,SondDarl,5,SondDatum,"&gt;="&amp;$E2153,SondDatum,"&lt;="&amp;EOMONTH($E2153,0)),$J2153-$M2153))</f>
      </c>
      <c r="O2153" s="43">
        <f>IF($I2153=0,0,INDEX(DarlErsatzRate,5))</f>
      </c>
      <c r="P2153" s="43">
        <f>IF($I2153=0,0,$Q2152*INDEX(DarlErsatzZins,5))</f>
      </c>
      <c r="Q2153" s="43">
        <f>IF($I2153=0,0,$Q2152+$P2153+$O2153)</f>
      </c>
      <c r="R2153" s="43">
        <f>IF($I2153=0,0,$J2153-$M2153-$N2153)</f>
      </c>
    </row>
    <row r="2154">
      <c r="A2154"/>
      <c r="B2154">
        <v>5</v>
      </c>
      <c r="C2154" s="43">
        <f>INDEX(DarlObj,5)</f>
      </c>
      <c r="D2154">
        <v>231</v>
      </c>
      <c r="E2154" s="51">
        <f>IF(INDEX(DarlBelegt,5)=0,0,EOMONTH(INDEX(DarlAuszahlung,5),230)+1)</f>
      </c>
      <c r="F2154" s="43">
        <f>IF($E2154=0,0,YEAR($E2154))</f>
      </c>
      <c r="G2154" s="43">
        <f>IF(INDEX(DarlBindung,5)="",1,IF($E2154&lt;=INDEX(DarlBindung,5),1,0))</f>
      </c>
      <c r="H2154" s="43">
        <f>IF($G2154=1,INDEX(DarlSollzins,5),INDEX(DarlAnschluss,5))</f>
      </c>
      <c r="I2154" s="43">
        <f>IF(INDEX(DarlBelegt,5)=0,0,IF(INDEX(DarlOhneTilgung,5)=1,IF(INDEX(DarlBindung,5)="",1,$G2154),IF($J2154&gt;0.005,1,0)))</f>
      </c>
      <c r="J2154" s="43">
        <f>IF($I2153=0,0,$R2153)</f>
      </c>
      <c r="K2154" s="43">
        <f>IF($I2154=0,0,IF(INDEX(DarlOhneTilgung,5)=1,0,IF(AND(INDEX(DarlTilgStart,5)&gt;0,$E2154=INDEX(DarlTilgStart,5)),$J2154*($H2154+INDEX(DarlTilgung,5))/100/12,IF(AND($G2154=0,$G2153=1),MAX($K2153,$J2154*($H2154+1)/100/12),$K2153))))</f>
      </c>
      <c r="L2154" s="43">
        <f>IF($I2154=0,0,$J2154*$H2154/100/12)</f>
      </c>
      <c r="M2154" s="43">
        <f>IF($I2154=0,0,IF(OR(INDEX(DarlOhneTilgung,5)=1,AND(INDEX(DarlTilgStart,5)&gt;0,$E2154&lt;INDEX(DarlTilgStart,5))),0,MIN(MAX(0,$K2154-$L2154),$J2154)))</f>
      </c>
      <c r="N2154" s="43">
        <f>IF($I2154=0,0,MIN(SUMIFS(SondBetrag,SondDarl,5,SondDatum,"&gt;="&amp;$E2154,SondDatum,"&lt;="&amp;EOMONTH($E2154,0)),$J2154-$M2154))</f>
      </c>
      <c r="O2154" s="43">
        <f>IF($I2154=0,0,INDEX(DarlErsatzRate,5))</f>
      </c>
      <c r="P2154" s="43">
        <f>IF($I2154=0,0,$Q2153*INDEX(DarlErsatzZins,5))</f>
      </c>
      <c r="Q2154" s="43">
        <f>IF($I2154=0,0,$Q2153+$P2154+$O2154)</f>
      </c>
      <c r="R2154" s="43">
        <f>IF($I2154=0,0,$J2154-$M2154-$N2154)</f>
      </c>
    </row>
    <row r="2155">
      <c r="A2155"/>
      <c r="B2155">
        <v>5</v>
      </c>
      <c r="C2155" s="43">
        <f>INDEX(DarlObj,5)</f>
      </c>
      <c r="D2155">
        <v>232</v>
      </c>
      <c r="E2155" s="51">
        <f>IF(INDEX(DarlBelegt,5)=0,0,EOMONTH(INDEX(DarlAuszahlung,5),231)+1)</f>
      </c>
      <c r="F2155" s="43">
        <f>IF($E2155=0,0,YEAR($E2155))</f>
      </c>
      <c r="G2155" s="43">
        <f>IF(INDEX(DarlBindung,5)="",1,IF($E2155&lt;=INDEX(DarlBindung,5),1,0))</f>
      </c>
      <c r="H2155" s="43">
        <f>IF($G2155=1,INDEX(DarlSollzins,5),INDEX(DarlAnschluss,5))</f>
      </c>
      <c r="I2155" s="43">
        <f>IF(INDEX(DarlBelegt,5)=0,0,IF(INDEX(DarlOhneTilgung,5)=1,IF(INDEX(DarlBindung,5)="",1,$G2155),IF($J2155&gt;0.005,1,0)))</f>
      </c>
      <c r="J2155" s="43">
        <f>IF($I2154=0,0,$R2154)</f>
      </c>
      <c r="K2155" s="43">
        <f>IF($I2155=0,0,IF(INDEX(DarlOhneTilgung,5)=1,0,IF(AND(INDEX(DarlTilgStart,5)&gt;0,$E2155=INDEX(DarlTilgStart,5)),$J2155*($H2155+INDEX(DarlTilgung,5))/100/12,IF(AND($G2155=0,$G2154=1),MAX($K2154,$J2155*($H2155+1)/100/12),$K2154))))</f>
      </c>
      <c r="L2155" s="43">
        <f>IF($I2155=0,0,$J2155*$H2155/100/12)</f>
      </c>
      <c r="M2155" s="43">
        <f>IF($I2155=0,0,IF(OR(INDEX(DarlOhneTilgung,5)=1,AND(INDEX(DarlTilgStart,5)&gt;0,$E2155&lt;INDEX(DarlTilgStart,5))),0,MIN(MAX(0,$K2155-$L2155),$J2155)))</f>
      </c>
      <c r="N2155" s="43">
        <f>IF($I2155=0,0,MIN(SUMIFS(SondBetrag,SondDarl,5,SondDatum,"&gt;="&amp;$E2155,SondDatum,"&lt;="&amp;EOMONTH($E2155,0)),$J2155-$M2155))</f>
      </c>
      <c r="O2155" s="43">
        <f>IF($I2155=0,0,INDEX(DarlErsatzRate,5))</f>
      </c>
      <c r="P2155" s="43">
        <f>IF($I2155=0,0,$Q2154*INDEX(DarlErsatzZins,5))</f>
      </c>
      <c r="Q2155" s="43">
        <f>IF($I2155=0,0,$Q2154+$P2155+$O2155)</f>
      </c>
      <c r="R2155" s="43">
        <f>IF($I2155=0,0,$J2155-$M2155-$N2155)</f>
      </c>
    </row>
    <row r="2156">
      <c r="A2156"/>
      <c r="B2156">
        <v>5</v>
      </c>
      <c r="C2156" s="43">
        <f>INDEX(DarlObj,5)</f>
      </c>
      <c r="D2156">
        <v>233</v>
      </c>
      <c r="E2156" s="51">
        <f>IF(INDEX(DarlBelegt,5)=0,0,EOMONTH(INDEX(DarlAuszahlung,5),232)+1)</f>
      </c>
      <c r="F2156" s="43">
        <f>IF($E2156=0,0,YEAR($E2156))</f>
      </c>
      <c r="G2156" s="43">
        <f>IF(INDEX(DarlBindung,5)="",1,IF($E2156&lt;=INDEX(DarlBindung,5),1,0))</f>
      </c>
      <c r="H2156" s="43">
        <f>IF($G2156=1,INDEX(DarlSollzins,5),INDEX(DarlAnschluss,5))</f>
      </c>
      <c r="I2156" s="43">
        <f>IF(INDEX(DarlBelegt,5)=0,0,IF(INDEX(DarlOhneTilgung,5)=1,IF(INDEX(DarlBindung,5)="",1,$G2156),IF($J2156&gt;0.005,1,0)))</f>
      </c>
      <c r="J2156" s="43">
        <f>IF($I2155=0,0,$R2155)</f>
      </c>
      <c r="K2156" s="43">
        <f>IF($I2156=0,0,IF(INDEX(DarlOhneTilgung,5)=1,0,IF(AND(INDEX(DarlTilgStart,5)&gt;0,$E2156=INDEX(DarlTilgStart,5)),$J2156*($H2156+INDEX(DarlTilgung,5))/100/12,IF(AND($G2156=0,$G2155=1),MAX($K2155,$J2156*($H2156+1)/100/12),$K2155))))</f>
      </c>
      <c r="L2156" s="43">
        <f>IF($I2156=0,0,$J2156*$H2156/100/12)</f>
      </c>
      <c r="M2156" s="43">
        <f>IF($I2156=0,0,IF(OR(INDEX(DarlOhneTilgung,5)=1,AND(INDEX(DarlTilgStart,5)&gt;0,$E2156&lt;INDEX(DarlTilgStart,5))),0,MIN(MAX(0,$K2156-$L2156),$J2156)))</f>
      </c>
      <c r="N2156" s="43">
        <f>IF($I2156=0,0,MIN(SUMIFS(SondBetrag,SondDarl,5,SondDatum,"&gt;="&amp;$E2156,SondDatum,"&lt;="&amp;EOMONTH($E2156,0)),$J2156-$M2156))</f>
      </c>
      <c r="O2156" s="43">
        <f>IF($I2156=0,0,INDEX(DarlErsatzRate,5))</f>
      </c>
      <c r="P2156" s="43">
        <f>IF($I2156=0,0,$Q2155*INDEX(DarlErsatzZins,5))</f>
      </c>
      <c r="Q2156" s="43">
        <f>IF($I2156=0,0,$Q2155+$P2156+$O2156)</f>
      </c>
      <c r="R2156" s="43">
        <f>IF($I2156=0,0,$J2156-$M2156-$N2156)</f>
      </c>
    </row>
    <row r="2157">
      <c r="A2157"/>
      <c r="B2157">
        <v>5</v>
      </c>
      <c r="C2157" s="43">
        <f>INDEX(DarlObj,5)</f>
      </c>
      <c r="D2157">
        <v>234</v>
      </c>
      <c r="E2157" s="51">
        <f>IF(INDEX(DarlBelegt,5)=0,0,EOMONTH(INDEX(DarlAuszahlung,5),233)+1)</f>
      </c>
      <c r="F2157" s="43">
        <f>IF($E2157=0,0,YEAR($E2157))</f>
      </c>
      <c r="G2157" s="43">
        <f>IF(INDEX(DarlBindung,5)="",1,IF($E2157&lt;=INDEX(DarlBindung,5),1,0))</f>
      </c>
      <c r="H2157" s="43">
        <f>IF($G2157=1,INDEX(DarlSollzins,5),INDEX(DarlAnschluss,5))</f>
      </c>
      <c r="I2157" s="43">
        <f>IF(INDEX(DarlBelegt,5)=0,0,IF(INDEX(DarlOhneTilgung,5)=1,IF(INDEX(DarlBindung,5)="",1,$G2157),IF($J2157&gt;0.005,1,0)))</f>
      </c>
      <c r="J2157" s="43">
        <f>IF($I2156=0,0,$R2156)</f>
      </c>
      <c r="K2157" s="43">
        <f>IF($I2157=0,0,IF(INDEX(DarlOhneTilgung,5)=1,0,IF(AND(INDEX(DarlTilgStart,5)&gt;0,$E2157=INDEX(DarlTilgStart,5)),$J2157*($H2157+INDEX(DarlTilgung,5))/100/12,IF(AND($G2157=0,$G2156=1),MAX($K2156,$J2157*($H2157+1)/100/12),$K2156))))</f>
      </c>
      <c r="L2157" s="43">
        <f>IF($I2157=0,0,$J2157*$H2157/100/12)</f>
      </c>
      <c r="M2157" s="43">
        <f>IF($I2157=0,0,IF(OR(INDEX(DarlOhneTilgung,5)=1,AND(INDEX(DarlTilgStart,5)&gt;0,$E2157&lt;INDEX(DarlTilgStart,5))),0,MIN(MAX(0,$K2157-$L2157),$J2157)))</f>
      </c>
      <c r="N2157" s="43">
        <f>IF($I2157=0,0,MIN(SUMIFS(SondBetrag,SondDarl,5,SondDatum,"&gt;="&amp;$E2157,SondDatum,"&lt;="&amp;EOMONTH($E2157,0)),$J2157-$M2157))</f>
      </c>
      <c r="O2157" s="43">
        <f>IF($I2157=0,0,INDEX(DarlErsatzRate,5))</f>
      </c>
      <c r="P2157" s="43">
        <f>IF($I2157=0,0,$Q2156*INDEX(DarlErsatzZins,5))</f>
      </c>
      <c r="Q2157" s="43">
        <f>IF($I2157=0,0,$Q2156+$P2157+$O2157)</f>
      </c>
      <c r="R2157" s="43">
        <f>IF($I2157=0,0,$J2157-$M2157-$N2157)</f>
      </c>
    </row>
    <row r="2158">
      <c r="A2158"/>
      <c r="B2158">
        <v>5</v>
      </c>
      <c r="C2158" s="43">
        <f>INDEX(DarlObj,5)</f>
      </c>
      <c r="D2158">
        <v>235</v>
      </c>
      <c r="E2158" s="51">
        <f>IF(INDEX(DarlBelegt,5)=0,0,EOMONTH(INDEX(DarlAuszahlung,5),234)+1)</f>
      </c>
      <c r="F2158" s="43">
        <f>IF($E2158=0,0,YEAR($E2158))</f>
      </c>
      <c r="G2158" s="43">
        <f>IF(INDEX(DarlBindung,5)="",1,IF($E2158&lt;=INDEX(DarlBindung,5),1,0))</f>
      </c>
      <c r="H2158" s="43">
        <f>IF($G2158=1,INDEX(DarlSollzins,5),INDEX(DarlAnschluss,5))</f>
      </c>
      <c r="I2158" s="43">
        <f>IF(INDEX(DarlBelegt,5)=0,0,IF(INDEX(DarlOhneTilgung,5)=1,IF(INDEX(DarlBindung,5)="",1,$G2158),IF($J2158&gt;0.005,1,0)))</f>
      </c>
      <c r="J2158" s="43">
        <f>IF($I2157=0,0,$R2157)</f>
      </c>
      <c r="K2158" s="43">
        <f>IF($I2158=0,0,IF(INDEX(DarlOhneTilgung,5)=1,0,IF(AND(INDEX(DarlTilgStart,5)&gt;0,$E2158=INDEX(DarlTilgStart,5)),$J2158*($H2158+INDEX(DarlTilgung,5))/100/12,IF(AND($G2158=0,$G2157=1),MAX($K2157,$J2158*($H2158+1)/100/12),$K2157))))</f>
      </c>
      <c r="L2158" s="43">
        <f>IF($I2158=0,0,$J2158*$H2158/100/12)</f>
      </c>
      <c r="M2158" s="43">
        <f>IF($I2158=0,0,IF(OR(INDEX(DarlOhneTilgung,5)=1,AND(INDEX(DarlTilgStart,5)&gt;0,$E2158&lt;INDEX(DarlTilgStart,5))),0,MIN(MAX(0,$K2158-$L2158),$J2158)))</f>
      </c>
      <c r="N2158" s="43">
        <f>IF($I2158=0,0,MIN(SUMIFS(SondBetrag,SondDarl,5,SondDatum,"&gt;="&amp;$E2158,SondDatum,"&lt;="&amp;EOMONTH($E2158,0)),$J2158-$M2158))</f>
      </c>
      <c r="O2158" s="43">
        <f>IF($I2158=0,0,INDEX(DarlErsatzRate,5))</f>
      </c>
      <c r="P2158" s="43">
        <f>IF($I2158=0,0,$Q2157*INDEX(DarlErsatzZins,5))</f>
      </c>
      <c r="Q2158" s="43">
        <f>IF($I2158=0,0,$Q2157+$P2158+$O2158)</f>
      </c>
      <c r="R2158" s="43">
        <f>IF($I2158=0,0,$J2158-$M2158-$N2158)</f>
      </c>
    </row>
    <row r="2159">
      <c r="A2159"/>
      <c r="B2159">
        <v>5</v>
      </c>
      <c r="C2159" s="43">
        <f>INDEX(DarlObj,5)</f>
      </c>
      <c r="D2159">
        <v>236</v>
      </c>
      <c r="E2159" s="51">
        <f>IF(INDEX(DarlBelegt,5)=0,0,EOMONTH(INDEX(DarlAuszahlung,5),235)+1)</f>
      </c>
      <c r="F2159" s="43">
        <f>IF($E2159=0,0,YEAR($E2159))</f>
      </c>
      <c r="G2159" s="43">
        <f>IF(INDEX(DarlBindung,5)="",1,IF($E2159&lt;=INDEX(DarlBindung,5),1,0))</f>
      </c>
      <c r="H2159" s="43">
        <f>IF($G2159=1,INDEX(DarlSollzins,5),INDEX(DarlAnschluss,5))</f>
      </c>
      <c r="I2159" s="43">
        <f>IF(INDEX(DarlBelegt,5)=0,0,IF(INDEX(DarlOhneTilgung,5)=1,IF(INDEX(DarlBindung,5)="",1,$G2159),IF($J2159&gt;0.005,1,0)))</f>
      </c>
      <c r="J2159" s="43">
        <f>IF($I2158=0,0,$R2158)</f>
      </c>
      <c r="K2159" s="43">
        <f>IF($I2159=0,0,IF(INDEX(DarlOhneTilgung,5)=1,0,IF(AND(INDEX(DarlTilgStart,5)&gt;0,$E2159=INDEX(DarlTilgStart,5)),$J2159*($H2159+INDEX(DarlTilgung,5))/100/12,IF(AND($G2159=0,$G2158=1),MAX($K2158,$J2159*($H2159+1)/100/12),$K2158))))</f>
      </c>
      <c r="L2159" s="43">
        <f>IF($I2159=0,0,$J2159*$H2159/100/12)</f>
      </c>
      <c r="M2159" s="43">
        <f>IF($I2159=0,0,IF(OR(INDEX(DarlOhneTilgung,5)=1,AND(INDEX(DarlTilgStart,5)&gt;0,$E2159&lt;INDEX(DarlTilgStart,5))),0,MIN(MAX(0,$K2159-$L2159),$J2159)))</f>
      </c>
      <c r="N2159" s="43">
        <f>IF($I2159=0,0,MIN(SUMIFS(SondBetrag,SondDarl,5,SondDatum,"&gt;="&amp;$E2159,SondDatum,"&lt;="&amp;EOMONTH($E2159,0)),$J2159-$M2159))</f>
      </c>
      <c r="O2159" s="43">
        <f>IF($I2159=0,0,INDEX(DarlErsatzRate,5))</f>
      </c>
      <c r="P2159" s="43">
        <f>IF($I2159=0,0,$Q2158*INDEX(DarlErsatzZins,5))</f>
      </c>
      <c r="Q2159" s="43">
        <f>IF($I2159=0,0,$Q2158+$P2159+$O2159)</f>
      </c>
      <c r="R2159" s="43">
        <f>IF($I2159=0,0,$J2159-$M2159-$N2159)</f>
      </c>
    </row>
    <row r="2160">
      <c r="A2160"/>
      <c r="B2160">
        <v>5</v>
      </c>
      <c r="C2160" s="43">
        <f>INDEX(DarlObj,5)</f>
      </c>
      <c r="D2160">
        <v>237</v>
      </c>
      <c r="E2160" s="51">
        <f>IF(INDEX(DarlBelegt,5)=0,0,EOMONTH(INDEX(DarlAuszahlung,5),236)+1)</f>
      </c>
      <c r="F2160" s="43">
        <f>IF($E2160=0,0,YEAR($E2160))</f>
      </c>
      <c r="G2160" s="43">
        <f>IF(INDEX(DarlBindung,5)="",1,IF($E2160&lt;=INDEX(DarlBindung,5),1,0))</f>
      </c>
      <c r="H2160" s="43">
        <f>IF($G2160=1,INDEX(DarlSollzins,5),INDEX(DarlAnschluss,5))</f>
      </c>
      <c r="I2160" s="43">
        <f>IF(INDEX(DarlBelegt,5)=0,0,IF(INDEX(DarlOhneTilgung,5)=1,IF(INDEX(DarlBindung,5)="",1,$G2160),IF($J2160&gt;0.005,1,0)))</f>
      </c>
      <c r="J2160" s="43">
        <f>IF($I2159=0,0,$R2159)</f>
      </c>
      <c r="K2160" s="43">
        <f>IF($I2160=0,0,IF(INDEX(DarlOhneTilgung,5)=1,0,IF(AND(INDEX(DarlTilgStart,5)&gt;0,$E2160=INDEX(DarlTilgStart,5)),$J2160*($H2160+INDEX(DarlTilgung,5))/100/12,IF(AND($G2160=0,$G2159=1),MAX($K2159,$J2160*($H2160+1)/100/12),$K2159))))</f>
      </c>
      <c r="L2160" s="43">
        <f>IF($I2160=0,0,$J2160*$H2160/100/12)</f>
      </c>
      <c r="M2160" s="43">
        <f>IF($I2160=0,0,IF(OR(INDEX(DarlOhneTilgung,5)=1,AND(INDEX(DarlTilgStart,5)&gt;0,$E2160&lt;INDEX(DarlTilgStart,5))),0,MIN(MAX(0,$K2160-$L2160),$J2160)))</f>
      </c>
      <c r="N2160" s="43">
        <f>IF($I2160=0,0,MIN(SUMIFS(SondBetrag,SondDarl,5,SondDatum,"&gt;="&amp;$E2160,SondDatum,"&lt;="&amp;EOMONTH($E2160,0)),$J2160-$M2160))</f>
      </c>
      <c r="O2160" s="43">
        <f>IF($I2160=0,0,INDEX(DarlErsatzRate,5))</f>
      </c>
      <c r="P2160" s="43">
        <f>IF($I2160=0,0,$Q2159*INDEX(DarlErsatzZins,5))</f>
      </c>
      <c r="Q2160" s="43">
        <f>IF($I2160=0,0,$Q2159+$P2160+$O2160)</f>
      </c>
      <c r="R2160" s="43">
        <f>IF($I2160=0,0,$J2160-$M2160-$N2160)</f>
      </c>
    </row>
    <row r="2161">
      <c r="A2161"/>
      <c r="B2161">
        <v>5</v>
      </c>
      <c r="C2161" s="43">
        <f>INDEX(DarlObj,5)</f>
      </c>
      <c r="D2161">
        <v>238</v>
      </c>
      <c r="E2161" s="51">
        <f>IF(INDEX(DarlBelegt,5)=0,0,EOMONTH(INDEX(DarlAuszahlung,5),237)+1)</f>
      </c>
      <c r="F2161" s="43">
        <f>IF($E2161=0,0,YEAR($E2161))</f>
      </c>
      <c r="G2161" s="43">
        <f>IF(INDEX(DarlBindung,5)="",1,IF($E2161&lt;=INDEX(DarlBindung,5),1,0))</f>
      </c>
      <c r="H2161" s="43">
        <f>IF($G2161=1,INDEX(DarlSollzins,5),INDEX(DarlAnschluss,5))</f>
      </c>
      <c r="I2161" s="43">
        <f>IF(INDEX(DarlBelegt,5)=0,0,IF(INDEX(DarlOhneTilgung,5)=1,IF(INDEX(DarlBindung,5)="",1,$G2161),IF($J2161&gt;0.005,1,0)))</f>
      </c>
      <c r="J2161" s="43">
        <f>IF($I2160=0,0,$R2160)</f>
      </c>
      <c r="K2161" s="43">
        <f>IF($I2161=0,0,IF(INDEX(DarlOhneTilgung,5)=1,0,IF(AND(INDEX(DarlTilgStart,5)&gt;0,$E2161=INDEX(DarlTilgStart,5)),$J2161*($H2161+INDEX(DarlTilgung,5))/100/12,IF(AND($G2161=0,$G2160=1),MAX($K2160,$J2161*($H2161+1)/100/12),$K2160))))</f>
      </c>
      <c r="L2161" s="43">
        <f>IF($I2161=0,0,$J2161*$H2161/100/12)</f>
      </c>
      <c r="M2161" s="43">
        <f>IF($I2161=0,0,IF(OR(INDEX(DarlOhneTilgung,5)=1,AND(INDEX(DarlTilgStart,5)&gt;0,$E2161&lt;INDEX(DarlTilgStart,5))),0,MIN(MAX(0,$K2161-$L2161),$J2161)))</f>
      </c>
      <c r="N2161" s="43">
        <f>IF($I2161=0,0,MIN(SUMIFS(SondBetrag,SondDarl,5,SondDatum,"&gt;="&amp;$E2161,SondDatum,"&lt;="&amp;EOMONTH($E2161,0)),$J2161-$M2161))</f>
      </c>
      <c r="O2161" s="43">
        <f>IF($I2161=0,0,INDEX(DarlErsatzRate,5))</f>
      </c>
      <c r="P2161" s="43">
        <f>IF($I2161=0,0,$Q2160*INDEX(DarlErsatzZins,5))</f>
      </c>
      <c r="Q2161" s="43">
        <f>IF($I2161=0,0,$Q2160+$P2161+$O2161)</f>
      </c>
      <c r="R2161" s="43">
        <f>IF($I2161=0,0,$J2161-$M2161-$N2161)</f>
      </c>
    </row>
    <row r="2162">
      <c r="A2162"/>
      <c r="B2162">
        <v>5</v>
      </c>
      <c r="C2162" s="43">
        <f>INDEX(DarlObj,5)</f>
      </c>
      <c r="D2162">
        <v>239</v>
      </c>
      <c r="E2162" s="51">
        <f>IF(INDEX(DarlBelegt,5)=0,0,EOMONTH(INDEX(DarlAuszahlung,5),238)+1)</f>
      </c>
      <c r="F2162" s="43">
        <f>IF($E2162=0,0,YEAR($E2162))</f>
      </c>
      <c r="G2162" s="43">
        <f>IF(INDEX(DarlBindung,5)="",1,IF($E2162&lt;=INDEX(DarlBindung,5),1,0))</f>
      </c>
      <c r="H2162" s="43">
        <f>IF($G2162=1,INDEX(DarlSollzins,5),INDEX(DarlAnschluss,5))</f>
      </c>
      <c r="I2162" s="43">
        <f>IF(INDEX(DarlBelegt,5)=0,0,IF(INDEX(DarlOhneTilgung,5)=1,IF(INDEX(DarlBindung,5)="",1,$G2162),IF($J2162&gt;0.005,1,0)))</f>
      </c>
      <c r="J2162" s="43">
        <f>IF($I2161=0,0,$R2161)</f>
      </c>
      <c r="K2162" s="43">
        <f>IF($I2162=0,0,IF(INDEX(DarlOhneTilgung,5)=1,0,IF(AND(INDEX(DarlTilgStart,5)&gt;0,$E2162=INDEX(DarlTilgStart,5)),$J2162*($H2162+INDEX(DarlTilgung,5))/100/12,IF(AND($G2162=0,$G2161=1),MAX($K2161,$J2162*($H2162+1)/100/12),$K2161))))</f>
      </c>
      <c r="L2162" s="43">
        <f>IF($I2162=0,0,$J2162*$H2162/100/12)</f>
      </c>
      <c r="M2162" s="43">
        <f>IF($I2162=0,0,IF(OR(INDEX(DarlOhneTilgung,5)=1,AND(INDEX(DarlTilgStart,5)&gt;0,$E2162&lt;INDEX(DarlTilgStart,5))),0,MIN(MAX(0,$K2162-$L2162),$J2162)))</f>
      </c>
      <c r="N2162" s="43">
        <f>IF($I2162=0,0,MIN(SUMIFS(SondBetrag,SondDarl,5,SondDatum,"&gt;="&amp;$E2162,SondDatum,"&lt;="&amp;EOMONTH($E2162,0)),$J2162-$M2162))</f>
      </c>
      <c r="O2162" s="43">
        <f>IF($I2162=0,0,INDEX(DarlErsatzRate,5))</f>
      </c>
      <c r="P2162" s="43">
        <f>IF($I2162=0,0,$Q2161*INDEX(DarlErsatzZins,5))</f>
      </c>
      <c r="Q2162" s="43">
        <f>IF($I2162=0,0,$Q2161+$P2162+$O2162)</f>
      </c>
      <c r="R2162" s="43">
        <f>IF($I2162=0,0,$J2162-$M2162-$N2162)</f>
      </c>
    </row>
    <row r="2163">
      <c r="A2163"/>
      <c r="B2163">
        <v>5</v>
      </c>
      <c r="C2163" s="43">
        <f>INDEX(DarlObj,5)</f>
      </c>
      <c r="D2163">
        <v>240</v>
      </c>
      <c r="E2163" s="51">
        <f>IF(INDEX(DarlBelegt,5)=0,0,EOMONTH(INDEX(DarlAuszahlung,5),239)+1)</f>
      </c>
      <c r="F2163" s="43">
        <f>IF($E2163=0,0,YEAR($E2163))</f>
      </c>
      <c r="G2163" s="43">
        <f>IF(INDEX(DarlBindung,5)="",1,IF($E2163&lt;=INDEX(DarlBindung,5),1,0))</f>
      </c>
      <c r="H2163" s="43">
        <f>IF($G2163=1,INDEX(DarlSollzins,5),INDEX(DarlAnschluss,5))</f>
      </c>
      <c r="I2163" s="43">
        <f>IF(INDEX(DarlBelegt,5)=0,0,IF(INDEX(DarlOhneTilgung,5)=1,IF(INDEX(DarlBindung,5)="",1,$G2163),IF($J2163&gt;0.005,1,0)))</f>
      </c>
      <c r="J2163" s="43">
        <f>IF($I2162=0,0,$R2162)</f>
      </c>
      <c r="K2163" s="43">
        <f>IF($I2163=0,0,IF(INDEX(DarlOhneTilgung,5)=1,0,IF(AND(INDEX(DarlTilgStart,5)&gt;0,$E2163=INDEX(DarlTilgStart,5)),$J2163*($H2163+INDEX(DarlTilgung,5))/100/12,IF(AND($G2163=0,$G2162=1),MAX($K2162,$J2163*($H2163+1)/100/12),$K2162))))</f>
      </c>
      <c r="L2163" s="43">
        <f>IF($I2163=0,0,$J2163*$H2163/100/12)</f>
      </c>
      <c r="M2163" s="43">
        <f>IF($I2163=0,0,IF(OR(INDEX(DarlOhneTilgung,5)=1,AND(INDEX(DarlTilgStart,5)&gt;0,$E2163&lt;INDEX(DarlTilgStart,5))),0,MIN(MAX(0,$K2163-$L2163),$J2163)))</f>
      </c>
      <c r="N2163" s="43">
        <f>IF($I2163=0,0,MIN(SUMIFS(SondBetrag,SondDarl,5,SondDatum,"&gt;="&amp;$E2163,SondDatum,"&lt;="&amp;EOMONTH($E2163,0)),$J2163-$M2163))</f>
      </c>
      <c r="O2163" s="43">
        <f>IF($I2163=0,0,INDEX(DarlErsatzRate,5))</f>
      </c>
      <c r="P2163" s="43">
        <f>IF($I2163=0,0,$Q2162*INDEX(DarlErsatzZins,5))</f>
      </c>
      <c r="Q2163" s="43">
        <f>IF($I2163=0,0,$Q2162+$P2163+$O2163)</f>
      </c>
      <c r="R2163" s="43">
        <f>IF($I2163=0,0,$J2163-$M2163-$N2163)</f>
      </c>
    </row>
    <row r="2164">
      <c r="A2164"/>
      <c r="B2164">
        <v>5</v>
      </c>
      <c r="C2164" s="43">
        <f>INDEX(DarlObj,5)</f>
      </c>
      <c r="D2164">
        <v>241</v>
      </c>
      <c r="E2164" s="51">
        <f>IF(INDEX(DarlBelegt,5)=0,0,EOMONTH(INDEX(DarlAuszahlung,5),240)+1)</f>
      </c>
      <c r="F2164" s="43">
        <f>IF($E2164=0,0,YEAR($E2164))</f>
      </c>
      <c r="G2164" s="43">
        <f>IF(INDEX(DarlBindung,5)="",1,IF($E2164&lt;=INDEX(DarlBindung,5),1,0))</f>
      </c>
      <c r="H2164" s="43">
        <f>IF($G2164=1,INDEX(DarlSollzins,5),INDEX(DarlAnschluss,5))</f>
      </c>
      <c r="I2164" s="43">
        <f>IF(INDEX(DarlBelegt,5)=0,0,IF(INDEX(DarlOhneTilgung,5)=1,IF(INDEX(DarlBindung,5)="",1,$G2164),IF($J2164&gt;0.005,1,0)))</f>
      </c>
      <c r="J2164" s="43">
        <f>IF($I2163=0,0,$R2163)</f>
      </c>
      <c r="K2164" s="43">
        <f>IF($I2164=0,0,IF(INDEX(DarlOhneTilgung,5)=1,0,IF(AND(INDEX(DarlTilgStart,5)&gt;0,$E2164=INDEX(DarlTilgStart,5)),$J2164*($H2164+INDEX(DarlTilgung,5))/100/12,IF(AND($G2164=0,$G2163=1),MAX($K2163,$J2164*($H2164+1)/100/12),$K2163))))</f>
      </c>
      <c r="L2164" s="43">
        <f>IF($I2164=0,0,$J2164*$H2164/100/12)</f>
      </c>
      <c r="M2164" s="43">
        <f>IF($I2164=0,0,IF(OR(INDEX(DarlOhneTilgung,5)=1,AND(INDEX(DarlTilgStart,5)&gt;0,$E2164&lt;INDEX(DarlTilgStart,5))),0,MIN(MAX(0,$K2164-$L2164),$J2164)))</f>
      </c>
      <c r="N2164" s="43">
        <f>IF($I2164=0,0,MIN(SUMIFS(SondBetrag,SondDarl,5,SondDatum,"&gt;="&amp;$E2164,SondDatum,"&lt;="&amp;EOMONTH($E2164,0)),$J2164-$M2164))</f>
      </c>
      <c r="O2164" s="43">
        <f>IF($I2164=0,0,INDEX(DarlErsatzRate,5))</f>
      </c>
      <c r="P2164" s="43">
        <f>IF($I2164=0,0,$Q2163*INDEX(DarlErsatzZins,5))</f>
      </c>
      <c r="Q2164" s="43">
        <f>IF($I2164=0,0,$Q2163+$P2164+$O2164)</f>
      </c>
      <c r="R2164" s="43">
        <f>IF($I2164=0,0,$J2164-$M2164-$N2164)</f>
      </c>
    </row>
    <row r="2165">
      <c r="A2165"/>
      <c r="B2165">
        <v>5</v>
      </c>
      <c r="C2165" s="43">
        <f>INDEX(DarlObj,5)</f>
      </c>
      <c r="D2165">
        <v>242</v>
      </c>
      <c r="E2165" s="51">
        <f>IF(INDEX(DarlBelegt,5)=0,0,EOMONTH(INDEX(DarlAuszahlung,5),241)+1)</f>
      </c>
      <c r="F2165" s="43">
        <f>IF($E2165=0,0,YEAR($E2165))</f>
      </c>
      <c r="G2165" s="43">
        <f>IF(INDEX(DarlBindung,5)="",1,IF($E2165&lt;=INDEX(DarlBindung,5),1,0))</f>
      </c>
      <c r="H2165" s="43">
        <f>IF($G2165=1,INDEX(DarlSollzins,5),INDEX(DarlAnschluss,5))</f>
      </c>
      <c r="I2165" s="43">
        <f>IF(INDEX(DarlBelegt,5)=0,0,IF(INDEX(DarlOhneTilgung,5)=1,IF(INDEX(DarlBindung,5)="",1,$G2165),IF($J2165&gt;0.005,1,0)))</f>
      </c>
      <c r="J2165" s="43">
        <f>IF($I2164=0,0,$R2164)</f>
      </c>
      <c r="K2165" s="43">
        <f>IF($I2165=0,0,IF(INDEX(DarlOhneTilgung,5)=1,0,IF(AND(INDEX(DarlTilgStart,5)&gt;0,$E2165=INDEX(DarlTilgStart,5)),$J2165*($H2165+INDEX(DarlTilgung,5))/100/12,IF(AND($G2165=0,$G2164=1),MAX($K2164,$J2165*($H2165+1)/100/12),$K2164))))</f>
      </c>
      <c r="L2165" s="43">
        <f>IF($I2165=0,0,$J2165*$H2165/100/12)</f>
      </c>
      <c r="M2165" s="43">
        <f>IF($I2165=0,0,IF(OR(INDEX(DarlOhneTilgung,5)=1,AND(INDEX(DarlTilgStart,5)&gt;0,$E2165&lt;INDEX(DarlTilgStart,5))),0,MIN(MAX(0,$K2165-$L2165),$J2165)))</f>
      </c>
      <c r="N2165" s="43">
        <f>IF($I2165=0,0,MIN(SUMIFS(SondBetrag,SondDarl,5,SondDatum,"&gt;="&amp;$E2165,SondDatum,"&lt;="&amp;EOMONTH($E2165,0)),$J2165-$M2165))</f>
      </c>
      <c r="O2165" s="43">
        <f>IF($I2165=0,0,INDEX(DarlErsatzRate,5))</f>
      </c>
      <c r="P2165" s="43">
        <f>IF($I2165=0,0,$Q2164*INDEX(DarlErsatzZins,5))</f>
      </c>
      <c r="Q2165" s="43">
        <f>IF($I2165=0,0,$Q2164+$P2165+$O2165)</f>
      </c>
      <c r="R2165" s="43">
        <f>IF($I2165=0,0,$J2165-$M2165-$N2165)</f>
      </c>
    </row>
    <row r="2166">
      <c r="A2166"/>
      <c r="B2166">
        <v>5</v>
      </c>
      <c r="C2166" s="43">
        <f>INDEX(DarlObj,5)</f>
      </c>
      <c r="D2166">
        <v>243</v>
      </c>
      <c r="E2166" s="51">
        <f>IF(INDEX(DarlBelegt,5)=0,0,EOMONTH(INDEX(DarlAuszahlung,5),242)+1)</f>
      </c>
      <c r="F2166" s="43">
        <f>IF($E2166=0,0,YEAR($E2166))</f>
      </c>
      <c r="G2166" s="43">
        <f>IF(INDEX(DarlBindung,5)="",1,IF($E2166&lt;=INDEX(DarlBindung,5),1,0))</f>
      </c>
      <c r="H2166" s="43">
        <f>IF($G2166=1,INDEX(DarlSollzins,5),INDEX(DarlAnschluss,5))</f>
      </c>
      <c r="I2166" s="43">
        <f>IF(INDEX(DarlBelegt,5)=0,0,IF(INDEX(DarlOhneTilgung,5)=1,IF(INDEX(DarlBindung,5)="",1,$G2166),IF($J2166&gt;0.005,1,0)))</f>
      </c>
      <c r="J2166" s="43">
        <f>IF($I2165=0,0,$R2165)</f>
      </c>
      <c r="K2166" s="43">
        <f>IF($I2166=0,0,IF(INDEX(DarlOhneTilgung,5)=1,0,IF(AND(INDEX(DarlTilgStart,5)&gt;0,$E2166=INDEX(DarlTilgStart,5)),$J2166*($H2166+INDEX(DarlTilgung,5))/100/12,IF(AND($G2166=0,$G2165=1),MAX($K2165,$J2166*($H2166+1)/100/12),$K2165))))</f>
      </c>
      <c r="L2166" s="43">
        <f>IF($I2166=0,0,$J2166*$H2166/100/12)</f>
      </c>
      <c r="M2166" s="43">
        <f>IF($I2166=0,0,IF(OR(INDEX(DarlOhneTilgung,5)=1,AND(INDEX(DarlTilgStart,5)&gt;0,$E2166&lt;INDEX(DarlTilgStart,5))),0,MIN(MAX(0,$K2166-$L2166),$J2166)))</f>
      </c>
      <c r="N2166" s="43">
        <f>IF($I2166=0,0,MIN(SUMIFS(SondBetrag,SondDarl,5,SondDatum,"&gt;="&amp;$E2166,SondDatum,"&lt;="&amp;EOMONTH($E2166,0)),$J2166-$M2166))</f>
      </c>
      <c r="O2166" s="43">
        <f>IF($I2166=0,0,INDEX(DarlErsatzRate,5))</f>
      </c>
      <c r="P2166" s="43">
        <f>IF($I2166=0,0,$Q2165*INDEX(DarlErsatzZins,5))</f>
      </c>
      <c r="Q2166" s="43">
        <f>IF($I2166=0,0,$Q2165+$P2166+$O2166)</f>
      </c>
      <c r="R2166" s="43">
        <f>IF($I2166=0,0,$J2166-$M2166-$N2166)</f>
      </c>
    </row>
    <row r="2167">
      <c r="A2167"/>
      <c r="B2167">
        <v>5</v>
      </c>
      <c r="C2167" s="43">
        <f>INDEX(DarlObj,5)</f>
      </c>
      <c r="D2167">
        <v>244</v>
      </c>
      <c r="E2167" s="51">
        <f>IF(INDEX(DarlBelegt,5)=0,0,EOMONTH(INDEX(DarlAuszahlung,5),243)+1)</f>
      </c>
      <c r="F2167" s="43">
        <f>IF($E2167=0,0,YEAR($E2167))</f>
      </c>
      <c r="G2167" s="43">
        <f>IF(INDEX(DarlBindung,5)="",1,IF($E2167&lt;=INDEX(DarlBindung,5),1,0))</f>
      </c>
      <c r="H2167" s="43">
        <f>IF($G2167=1,INDEX(DarlSollzins,5),INDEX(DarlAnschluss,5))</f>
      </c>
      <c r="I2167" s="43">
        <f>IF(INDEX(DarlBelegt,5)=0,0,IF(INDEX(DarlOhneTilgung,5)=1,IF(INDEX(DarlBindung,5)="",1,$G2167),IF($J2167&gt;0.005,1,0)))</f>
      </c>
      <c r="J2167" s="43">
        <f>IF($I2166=0,0,$R2166)</f>
      </c>
      <c r="K2167" s="43">
        <f>IF($I2167=0,0,IF(INDEX(DarlOhneTilgung,5)=1,0,IF(AND(INDEX(DarlTilgStart,5)&gt;0,$E2167=INDEX(DarlTilgStart,5)),$J2167*($H2167+INDEX(DarlTilgung,5))/100/12,IF(AND($G2167=0,$G2166=1),MAX($K2166,$J2167*($H2167+1)/100/12),$K2166))))</f>
      </c>
      <c r="L2167" s="43">
        <f>IF($I2167=0,0,$J2167*$H2167/100/12)</f>
      </c>
      <c r="M2167" s="43">
        <f>IF($I2167=0,0,IF(OR(INDEX(DarlOhneTilgung,5)=1,AND(INDEX(DarlTilgStart,5)&gt;0,$E2167&lt;INDEX(DarlTilgStart,5))),0,MIN(MAX(0,$K2167-$L2167),$J2167)))</f>
      </c>
      <c r="N2167" s="43">
        <f>IF($I2167=0,0,MIN(SUMIFS(SondBetrag,SondDarl,5,SondDatum,"&gt;="&amp;$E2167,SondDatum,"&lt;="&amp;EOMONTH($E2167,0)),$J2167-$M2167))</f>
      </c>
      <c r="O2167" s="43">
        <f>IF($I2167=0,0,INDEX(DarlErsatzRate,5))</f>
      </c>
      <c r="P2167" s="43">
        <f>IF($I2167=0,0,$Q2166*INDEX(DarlErsatzZins,5))</f>
      </c>
      <c r="Q2167" s="43">
        <f>IF($I2167=0,0,$Q2166+$P2167+$O2167)</f>
      </c>
      <c r="R2167" s="43">
        <f>IF($I2167=0,0,$J2167-$M2167-$N2167)</f>
      </c>
    </row>
    <row r="2168">
      <c r="A2168"/>
      <c r="B2168">
        <v>5</v>
      </c>
      <c r="C2168" s="43">
        <f>INDEX(DarlObj,5)</f>
      </c>
      <c r="D2168">
        <v>245</v>
      </c>
      <c r="E2168" s="51">
        <f>IF(INDEX(DarlBelegt,5)=0,0,EOMONTH(INDEX(DarlAuszahlung,5),244)+1)</f>
      </c>
      <c r="F2168" s="43">
        <f>IF($E2168=0,0,YEAR($E2168))</f>
      </c>
      <c r="G2168" s="43">
        <f>IF(INDEX(DarlBindung,5)="",1,IF($E2168&lt;=INDEX(DarlBindung,5),1,0))</f>
      </c>
      <c r="H2168" s="43">
        <f>IF($G2168=1,INDEX(DarlSollzins,5),INDEX(DarlAnschluss,5))</f>
      </c>
      <c r="I2168" s="43">
        <f>IF(INDEX(DarlBelegt,5)=0,0,IF(INDEX(DarlOhneTilgung,5)=1,IF(INDEX(DarlBindung,5)="",1,$G2168),IF($J2168&gt;0.005,1,0)))</f>
      </c>
      <c r="J2168" s="43">
        <f>IF($I2167=0,0,$R2167)</f>
      </c>
      <c r="K2168" s="43">
        <f>IF($I2168=0,0,IF(INDEX(DarlOhneTilgung,5)=1,0,IF(AND(INDEX(DarlTilgStart,5)&gt;0,$E2168=INDEX(DarlTilgStart,5)),$J2168*($H2168+INDEX(DarlTilgung,5))/100/12,IF(AND($G2168=0,$G2167=1),MAX($K2167,$J2168*($H2168+1)/100/12),$K2167))))</f>
      </c>
      <c r="L2168" s="43">
        <f>IF($I2168=0,0,$J2168*$H2168/100/12)</f>
      </c>
      <c r="M2168" s="43">
        <f>IF($I2168=0,0,IF(OR(INDEX(DarlOhneTilgung,5)=1,AND(INDEX(DarlTilgStart,5)&gt;0,$E2168&lt;INDEX(DarlTilgStart,5))),0,MIN(MAX(0,$K2168-$L2168),$J2168)))</f>
      </c>
      <c r="N2168" s="43">
        <f>IF($I2168=0,0,MIN(SUMIFS(SondBetrag,SondDarl,5,SondDatum,"&gt;="&amp;$E2168,SondDatum,"&lt;="&amp;EOMONTH($E2168,0)),$J2168-$M2168))</f>
      </c>
      <c r="O2168" s="43">
        <f>IF($I2168=0,0,INDEX(DarlErsatzRate,5))</f>
      </c>
      <c r="P2168" s="43">
        <f>IF($I2168=0,0,$Q2167*INDEX(DarlErsatzZins,5))</f>
      </c>
      <c r="Q2168" s="43">
        <f>IF($I2168=0,0,$Q2167+$P2168+$O2168)</f>
      </c>
      <c r="R2168" s="43">
        <f>IF($I2168=0,0,$J2168-$M2168-$N2168)</f>
      </c>
    </row>
    <row r="2169">
      <c r="A2169"/>
      <c r="B2169">
        <v>5</v>
      </c>
      <c r="C2169" s="43">
        <f>INDEX(DarlObj,5)</f>
      </c>
      <c r="D2169">
        <v>246</v>
      </c>
      <c r="E2169" s="51">
        <f>IF(INDEX(DarlBelegt,5)=0,0,EOMONTH(INDEX(DarlAuszahlung,5),245)+1)</f>
      </c>
      <c r="F2169" s="43">
        <f>IF($E2169=0,0,YEAR($E2169))</f>
      </c>
      <c r="G2169" s="43">
        <f>IF(INDEX(DarlBindung,5)="",1,IF($E2169&lt;=INDEX(DarlBindung,5),1,0))</f>
      </c>
      <c r="H2169" s="43">
        <f>IF($G2169=1,INDEX(DarlSollzins,5),INDEX(DarlAnschluss,5))</f>
      </c>
      <c r="I2169" s="43">
        <f>IF(INDEX(DarlBelegt,5)=0,0,IF(INDEX(DarlOhneTilgung,5)=1,IF(INDEX(DarlBindung,5)="",1,$G2169),IF($J2169&gt;0.005,1,0)))</f>
      </c>
      <c r="J2169" s="43">
        <f>IF($I2168=0,0,$R2168)</f>
      </c>
      <c r="K2169" s="43">
        <f>IF($I2169=0,0,IF(INDEX(DarlOhneTilgung,5)=1,0,IF(AND(INDEX(DarlTilgStart,5)&gt;0,$E2169=INDEX(DarlTilgStart,5)),$J2169*($H2169+INDEX(DarlTilgung,5))/100/12,IF(AND($G2169=0,$G2168=1),MAX($K2168,$J2169*($H2169+1)/100/12),$K2168))))</f>
      </c>
      <c r="L2169" s="43">
        <f>IF($I2169=0,0,$J2169*$H2169/100/12)</f>
      </c>
      <c r="M2169" s="43">
        <f>IF($I2169=0,0,IF(OR(INDEX(DarlOhneTilgung,5)=1,AND(INDEX(DarlTilgStart,5)&gt;0,$E2169&lt;INDEX(DarlTilgStart,5))),0,MIN(MAX(0,$K2169-$L2169),$J2169)))</f>
      </c>
      <c r="N2169" s="43">
        <f>IF($I2169=0,0,MIN(SUMIFS(SondBetrag,SondDarl,5,SondDatum,"&gt;="&amp;$E2169,SondDatum,"&lt;="&amp;EOMONTH($E2169,0)),$J2169-$M2169))</f>
      </c>
      <c r="O2169" s="43">
        <f>IF($I2169=0,0,INDEX(DarlErsatzRate,5))</f>
      </c>
      <c r="P2169" s="43">
        <f>IF($I2169=0,0,$Q2168*INDEX(DarlErsatzZins,5))</f>
      </c>
      <c r="Q2169" s="43">
        <f>IF($I2169=0,0,$Q2168+$P2169+$O2169)</f>
      </c>
      <c r="R2169" s="43">
        <f>IF($I2169=0,0,$J2169-$M2169-$N2169)</f>
      </c>
    </row>
    <row r="2170">
      <c r="A2170"/>
      <c r="B2170">
        <v>5</v>
      </c>
      <c r="C2170" s="43">
        <f>INDEX(DarlObj,5)</f>
      </c>
      <c r="D2170">
        <v>247</v>
      </c>
      <c r="E2170" s="51">
        <f>IF(INDEX(DarlBelegt,5)=0,0,EOMONTH(INDEX(DarlAuszahlung,5),246)+1)</f>
      </c>
      <c r="F2170" s="43">
        <f>IF($E2170=0,0,YEAR($E2170))</f>
      </c>
      <c r="G2170" s="43">
        <f>IF(INDEX(DarlBindung,5)="",1,IF($E2170&lt;=INDEX(DarlBindung,5),1,0))</f>
      </c>
      <c r="H2170" s="43">
        <f>IF($G2170=1,INDEX(DarlSollzins,5),INDEX(DarlAnschluss,5))</f>
      </c>
      <c r="I2170" s="43">
        <f>IF(INDEX(DarlBelegt,5)=0,0,IF(INDEX(DarlOhneTilgung,5)=1,IF(INDEX(DarlBindung,5)="",1,$G2170),IF($J2170&gt;0.005,1,0)))</f>
      </c>
      <c r="J2170" s="43">
        <f>IF($I2169=0,0,$R2169)</f>
      </c>
      <c r="K2170" s="43">
        <f>IF($I2170=0,0,IF(INDEX(DarlOhneTilgung,5)=1,0,IF(AND(INDEX(DarlTilgStart,5)&gt;0,$E2170=INDEX(DarlTilgStart,5)),$J2170*($H2170+INDEX(DarlTilgung,5))/100/12,IF(AND($G2170=0,$G2169=1),MAX($K2169,$J2170*($H2170+1)/100/12),$K2169))))</f>
      </c>
      <c r="L2170" s="43">
        <f>IF($I2170=0,0,$J2170*$H2170/100/12)</f>
      </c>
      <c r="M2170" s="43">
        <f>IF($I2170=0,0,IF(OR(INDEX(DarlOhneTilgung,5)=1,AND(INDEX(DarlTilgStart,5)&gt;0,$E2170&lt;INDEX(DarlTilgStart,5))),0,MIN(MAX(0,$K2170-$L2170),$J2170)))</f>
      </c>
      <c r="N2170" s="43">
        <f>IF($I2170=0,0,MIN(SUMIFS(SondBetrag,SondDarl,5,SondDatum,"&gt;="&amp;$E2170,SondDatum,"&lt;="&amp;EOMONTH($E2170,0)),$J2170-$M2170))</f>
      </c>
      <c r="O2170" s="43">
        <f>IF($I2170=0,0,INDEX(DarlErsatzRate,5))</f>
      </c>
      <c r="P2170" s="43">
        <f>IF($I2170=0,0,$Q2169*INDEX(DarlErsatzZins,5))</f>
      </c>
      <c r="Q2170" s="43">
        <f>IF($I2170=0,0,$Q2169+$P2170+$O2170)</f>
      </c>
      <c r="R2170" s="43">
        <f>IF($I2170=0,0,$J2170-$M2170-$N2170)</f>
      </c>
    </row>
    <row r="2171">
      <c r="A2171"/>
      <c r="B2171">
        <v>5</v>
      </c>
      <c r="C2171" s="43">
        <f>INDEX(DarlObj,5)</f>
      </c>
      <c r="D2171">
        <v>248</v>
      </c>
      <c r="E2171" s="51">
        <f>IF(INDEX(DarlBelegt,5)=0,0,EOMONTH(INDEX(DarlAuszahlung,5),247)+1)</f>
      </c>
      <c r="F2171" s="43">
        <f>IF($E2171=0,0,YEAR($E2171))</f>
      </c>
      <c r="G2171" s="43">
        <f>IF(INDEX(DarlBindung,5)="",1,IF($E2171&lt;=INDEX(DarlBindung,5),1,0))</f>
      </c>
      <c r="H2171" s="43">
        <f>IF($G2171=1,INDEX(DarlSollzins,5),INDEX(DarlAnschluss,5))</f>
      </c>
      <c r="I2171" s="43">
        <f>IF(INDEX(DarlBelegt,5)=0,0,IF(INDEX(DarlOhneTilgung,5)=1,IF(INDEX(DarlBindung,5)="",1,$G2171),IF($J2171&gt;0.005,1,0)))</f>
      </c>
      <c r="J2171" s="43">
        <f>IF($I2170=0,0,$R2170)</f>
      </c>
      <c r="K2171" s="43">
        <f>IF($I2171=0,0,IF(INDEX(DarlOhneTilgung,5)=1,0,IF(AND(INDEX(DarlTilgStart,5)&gt;0,$E2171=INDEX(DarlTilgStart,5)),$J2171*($H2171+INDEX(DarlTilgung,5))/100/12,IF(AND($G2171=0,$G2170=1),MAX($K2170,$J2171*($H2171+1)/100/12),$K2170))))</f>
      </c>
      <c r="L2171" s="43">
        <f>IF($I2171=0,0,$J2171*$H2171/100/12)</f>
      </c>
      <c r="M2171" s="43">
        <f>IF($I2171=0,0,IF(OR(INDEX(DarlOhneTilgung,5)=1,AND(INDEX(DarlTilgStart,5)&gt;0,$E2171&lt;INDEX(DarlTilgStart,5))),0,MIN(MAX(0,$K2171-$L2171),$J2171)))</f>
      </c>
      <c r="N2171" s="43">
        <f>IF($I2171=0,0,MIN(SUMIFS(SondBetrag,SondDarl,5,SondDatum,"&gt;="&amp;$E2171,SondDatum,"&lt;="&amp;EOMONTH($E2171,0)),$J2171-$M2171))</f>
      </c>
      <c r="O2171" s="43">
        <f>IF($I2171=0,0,INDEX(DarlErsatzRate,5))</f>
      </c>
      <c r="P2171" s="43">
        <f>IF($I2171=0,0,$Q2170*INDEX(DarlErsatzZins,5))</f>
      </c>
      <c r="Q2171" s="43">
        <f>IF($I2171=0,0,$Q2170+$P2171+$O2171)</f>
      </c>
      <c r="R2171" s="43">
        <f>IF($I2171=0,0,$J2171-$M2171-$N2171)</f>
      </c>
    </row>
    <row r="2172">
      <c r="A2172"/>
      <c r="B2172">
        <v>5</v>
      </c>
      <c r="C2172" s="43">
        <f>INDEX(DarlObj,5)</f>
      </c>
      <c r="D2172">
        <v>249</v>
      </c>
      <c r="E2172" s="51">
        <f>IF(INDEX(DarlBelegt,5)=0,0,EOMONTH(INDEX(DarlAuszahlung,5),248)+1)</f>
      </c>
      <c r="F2172" s="43">
        <f>IF($E2172=0,0,YEAR($E2172))</f>
      </c>
      <c r="G2172" s="43">
        <f>IF(INDEX(DarlBindung,5)="",1,IF($E2172&lt;=INDEX(DarlBindung,5),1,0))</f>
      </c>
      <c r="H2172" s="43">
        <f>IF($G2172=1,INDEX(DarlSollzins,5),INDEX(DarlAnschluss,5))</f>
      </c>
      <c r="I2172" s="43">
        <f>IF(INDEX(DarlBelegt,5)=0,0,IF(INDEX(DarlOhneTilgung,5)=1,IF(INDEX(DarlBindung,5)="",1,$G2172),IF($J2172&gt;0.005,1,0)))</f>
      </c>
      <c r="J2172" s="43">
        <f>IF($I2171=0,0,$R2171)</f>
      </c>
      <c r="K2172" s="43">
        <f>IF($I2172=0,0,IF(INDEX(DarlOhneTilgung,5)=1,0,IF(AND(INDEX(DarlTilgStart,5)&gt;0,$E2172=INDEX(DarlTilgStart,5)),$J2172*($H2172+INDEX(DarlTilgung,5))/100/12,IF(AND($G2172=0,$G2171=1),MAX($K2171,$J2172*($H2172+1)/100/12),$K2171))))</f>
      </c>
      <c r="L2172" s="43">
        <f>IF($I2172=0,0,$J2172*$H2172/100/12)</f>
      </c>
      <c r="M2172" s="43">
        <f>IF($I2172=0,0,IF(OR(INDEX(DarlOhneTilgung,5)=1,AND(INDEX(DarlTilgStart,5)&gt;0,$E2172&lt;INDEX(DarlTilgStart,5))),0,MIN(MAX(0,$K2172-$L2172),$J2172)))</f>
      </c>
      <c r="N2172" s="43">
        <f>IF($I2172=0,0,MIN(SUMIFS(SondBetrag,SondDarl,5,SondDatum,"&gt;="&amp;$E2172,SondDatum,"&lt;="&amp;EOMONTH($E2172,0)),$J2172-$M2172))</f>
      </c>
      <c r="O2172" s="43">
        <f>IF($I2172=0,0,INDEX(DarlErsatzRate,5))</f>
      </c>
      <c r="P2172" s="43">
        <f>IF($I2172=0,0,$Q2171*INDEX(DarlErsatzZins,5))</f>
      </c>
      <c r="Q2172" s="43">
        <f>IF($I2172=0,0,$Q2171+$P2172+$O2172)</f>
      </c>
      <c r="R2172" s="43">
        <f>IF($I2172=0,0,$J2172-$M2172-$N2172)</f>
      </c>
    </row>
    <row r="2173">
      <c r="A2173"/>
      <c r="B2173">
        <v>5</v>
      </c>
      <c r="C2173" s="43">
        <f>INDEX(DarlObj,5)</f>
      </c>
      <c r="D2173">
        <v>250</v>
      </c>
      <c r="E2173" s="51">
        <f>IF(INDEX(DarlBelegt,5)=0,0,EOMONTH(INDEX(DarlAuszahlung,5),249)+1)</f>
      </c>
      <c r="F2173" s="43">
        <f>IF($E2173=0,0,YEAR($E2173))</f>
      </c>
      <c r="G2173" s="43">
        <f>IF(INDEX(DarlBindung,5)="",1,IF($E2173&lt;=INDEX(DarlBindung,5),1,0))</f>
      </c>
      <c r="H2173" s="43">
        <f>IF($G2173=1,INDEX(DarlSollzins,5),INDEX(DarlAnschluss,5))</f>
      </c>
      <c r="I2173" s="43">
        <f>IF(INDEX(DarlBelegt,5)=0,0,IF(INDEX(DarlOhneTilgung,5)=1,IF(INDEX(DarlBindung,5)="",1,$G2173),IF($J2173&gt;0.005,1,0)))</f>
      </c>
      <c r="J2173" s="43">
        <f>IF($I2172=0,0,$R2172)</f>
      </c>
      <c r="K2173" s="43">
        <f>IF($I2173=0,0,IF(INDEX(DarlOhneTilgung,5)=1,0,IF(AND(INDEX(DarlTilgStart,5)&gt;0,$E2173=INDEX(DarlTilgStart,5)),$J2173*($H2173+INDEX(DarlTilgung,5))/100/12,IF(AND($G2173=0,$G2172=1),MAX($K2172,$J2173*($H2173+1)/100/12),$K2172))))</f>
      </c>
      <c r="L2173" s="43">
        <f>IF($I2173=0,0,$J2173*$H2173/100/12)</f>
      </c>
      <c r="M2173" s="43">
        <f>IF($I2173=0,0,IF(OR(INDEX(DarlOhneTilgung,5)=1,AND(INDEX(DarlTilgStart,5)&gt;0,$E2173&lt;INDEX(DarlTilgStart,5))),0,MIN(MAX(0,$K2173-$L2173),$J2173)))</f>
      </c>
      <c r="N2173" s="43">
        <f>IF($I2173=0,0,MIN(SUMIFS(SondBetrag,SondDarl,5,SondDatum,"&gt;="&amp;$E2173,SondDatum,"&lt;="&amp;EOMONTH($E2173,0)),$J2173-$M2173))</f>
      </c>
      <c r="O2173" s="43">
        <f>IF($I2173=0,0,INDEX(DarlErsatzRate,5))</f>
      </c>
      <c r="P2173" s="43">
        <f>IF($I2173=0,0,$Q2172*INDEX(DarlErsatzZins,5))</f>
      </c>
      <c r="Q2173" s="43">
        <f>IF($I2173=0,0,$Q2172+$P2173+$O2173)</f>
      </c>
      <c r="R2173" s="43">
        <f>IF($I2173=0,0,$J2173-$M2173-$N2173)</f>
      </c>
    </row>
    <row r="2174">
      <c r="A2174"/>
      <c r="B2174">
        <v>5</v>
      </c>
      <c r="C2174" s="43">
        <f>INDEX(DarlObj,5)</f>
      </c>
      <c r="D2174">
        <v>251</v>
      </c>
      <c r="E2174" s="51">
        <f>IF(INDEX(DarlBelegt,5)=0,0,EOMONTH(INDEX(DarlAuszahlung,5),250)+1)</f>
      </c>
      <c r="F2174" s="43">
        <f>IF($E2174=0,0,YEAR($E2174))</f>
      </c>
      <c r="G2174" s="43">
        <f>IF(INDEX(DarlBindung,5)="",1,IF($E2174&lt;=INDEX(DarlBindung,5),1,0))</f>
      </c>
      <c r="H2174" s="43">
        <f>IF($G2174=1,INDEX(DarlSollzins,5),INDEX(DarlAnschluss,5))</f>
      </c>
      <c r="I2174" s="43">
        <f>IF(INDEX(DarlBelegt,5)=0,0,IF(INDEX(DarlOhneTilgung,5)=1,IF(INDEX(DarlBindung,5)="",1,$G2174),IF($J2174&gt;0.005,1,0)))</f>
      </c>
      <c r="J2174" s="43">
        <f>IF($I2173=0,0,$R2173)</f>
      </c>
      <c r="K2174" s="43">
        <f>IF($I2174=0,0,IF(INDEX(DarlOhneTilgung,5)=1,0,IF(AND(INDEX(DarlTilgStart,5)&gt;0,$E2174=INDEX(DarlTilgStart,5)),$J2174*($H2174+INDEX(DarlTilgung,5))/100/12,IF(AND($G2174=0,$G2173=1),MAX($K2173,$J2174*($H2174+1)/100/12),$K2173))))</f>
      </c>
      <c r="L2174" s="43">
        <f>IF($I2174=0,0,$J2174*$H2174/100/12)</f>
      </c>
      <c r="M2174" s="43">
        <f>IF($I2174=0,0,IF(OR(INDEX(DarlOhneTilgung,5)=1,AND(INDEX(DarlTilgStart,5)&gt;0,$E2174&lt;INDEX(DarlTilgStart,5))),0,MIN(MAX(0,$K2174-$L2174),$J2174)))</f>
      </c>
      <c r="N2174" s="43">
        <f>IF($I2174=0,0,MIN(SUMIFS(SondBetrag,SondDarl,5,SondDatum,"&gt;="&amp;$E2174,SondDatum,"&lt;="&amp;EOMONTH($E2174,0)),$J2174-$M2174))</f>
      </c>
      <c r="O2174" s="43">
        <f>IF($I2174=0,0,INDEX(DarlErsatzRate,5))</f>
      </c>
      <c r="P2174" s="43">
        <f>IF($I2174=0,0,$Q2173*INDEX(DarlErsatzZins,5))</f>
      </c>
      <c r="Q2174" s="43">
        <f>IF($I2174=0,0,$Q2173+$P2174+$O2174)</f>
      </c>
      <c r="R2174" s="43">
        <f>IF($I2174=0,0,$J2174-$M2174-$N2174)</f>
      </c>
    </row>
    <row r="2175">
      <c r="A2175"/>
      <c r="B2175">
        <v>5</v>
      </c>
      <c r="C2175" s="43">
        <f>INDEX(DarlObj,5)</f>
      </c>
      <c r="D2175">
        <v>252</v>
      </c>
      <c r="E2175" s="51">
        <f>IF(INDEX(DarlBelegt,5)=0,0,EOMONTH(INDEX(DarlAuszahlung,5),251)+1)</f>
      </c>
      <c r="F2175" s="43">
        <f>IF($E2175=0,0,YEAR($E2175))</f>
      </c>
      <c r="G2175" s="43">
        <f>IF(INDEX(DarlBindung,5)="",1,IF($E2175&lt;=INDEX(DarlBindung,5),1,0))</f>
      </c>
      <c r="H2175" s="43">
        <f>IF($G2175=1,INDEX(DarlSollzins,5),INDEX(DarlAnschluss,5))</f>
      </c>
      <c r="I2175" s="43">
        <f>IF(INDEX(DarlBelegt,5)=0,0,IF(INDEX(DarlOhneTilgung,5)=1,IF(INDEX(DarlBindung,5)="",1,$G2175),IF($J2175&gt;0.005,1,0)))</f>
      </c>
      <c r="J2175" s="43">
        <f>IF($I2174=0,0,$R2174)</f>
      </c>
      <c r="K2175" s="43">
        <f>IF($I2175=0,0,IF(INDEX(DarlOhneTilgung,5)=1,0,IF(AND(INDEX(DarlTilgStart,5)&gt;0,$E2175=INDEX(DarlTilgStart,5)),$J2175*($H2175+INDEX(DarlTilgung,5))/100/12,IF(AND($G2175=0,$G2174=1),MAX($K2174,$J2175*($H2175+1)/100/12),$K2174))))</f>
      </c>
      <c r="L2175" s="43">
        <f>IF($I2175=0,0,$J2175*$H2175/100/12)</f>
      </c>
      <c r="M2175" s="43">
        <f>IF($I2175=0,0,IF(OR(INDEX(DarlOhneTilgung,5)=1,AND(INDEX(DarlTilgStart,5)&gt;0,$E2175&lt;INDEX(DarlTilgStart,5))),0,MIN(MAX(0,$K2175-$L2175),$J2175)))</f>
      </c>
      <c r="N2175" s="43">
        <f>IF($I2175=0,0,MIN(SUMIFS(SondBetrag,SondDarl,5,SondDatum,"&gt;="&amp;$E2175,SondDatum,"&lt;="&amp;EOMONTH($E2175,0)),$J2175-$M2175))</f>
      </c>
      <c r="O2175" s="43">
        <f>IF($I2175=0,0,INDEX(DarlErsatzRate,5))</f>
      </c>
      <c r="P2175" s="43">
        <f>IF($I2175=0,0,$Q2174*INDEX(DarlErsatzZins,5))</f>
      </c>
      <c r="Q2175" s="43">
        <f>IF($I2175=0,0,$Q2174+$P2175+$O2175)</f>
      </c>
      <c r="R2175" s="43">
        <f>IF($I2175=0,0,$J2175-$M2175-$N2175)</f>
      </c>
    </row>
    <row r="2176">
      <c r="A2176"/>
      <c r="B2176">
        <v>5</v>
      </c>
      <c r="C2176" s="43">
        <f>INDEX(DarlObj,5)</f>
      </c>
      <c r="D2176">
        <v>253</v>
      </c>
      <c r="E2176" s="51">
        <f>IF(INDEX(DarlBelegt,5)=0,0,EOMONTH(INDEX(DarlAuszahlung,5),252)+1)</f>
      </c>
      <c r="F2176" s="43">
        <f>IF($E2176=0,0,YEAR($E2176))</f>
      </c>
      <c r="G2176" s="43">
        <f>IF(INDEX(DarlBindung,5)="",1,IF($E2176&lt;=INDEX(DarlBindung,5),1,0))</f>
      </c>
      <c r="H2176" s="43">
        <f>IF($G2176=1,INDEX(DarlSollzins,5),INDEX(DarlAnschluss,5))</f>
      </c>
      <c r="I2176" s="43">
        <f>IF(INDEX(DarlBelegt,5)=0,0,IF(INDEX(DarlOhneTilgung,5)=1,IF(INDEX(DarlBindung,5)="",1,$G2176),IF($J2176&gt;0.005,1,0)))</f>
      </c>
      <c r="J2176" s="43">
        <f>IF($I2175=0,0,$R2175)</f>
      </c>
      <c r="K2176" s="43">
        <f>IF($I2176=0,0,IF(INDEX(DarlOhneTilgung,5)=1,0,IF(AND(INDEX(DarlTilgStart,5)&gt;0,$E2176=INDEX(DarlTilgStart,5)),$J2176*($H2176+INDEX(DarlTilgung,5))/100/12,IF(AND($G2176=0,$G2175=1),MAX($K2175,$J2176*($H2176+1)/100/12),$K2175))))</f>
      </c>
      <c r="L2176" s="43">
        <f>IF($I2176=0,0,$J2176*$H2176/100/12)</f>
      </c>
      <c r="M2176" s="43">
        <f>IF($I2176=0,0,IF(OR(INDEX(DarlOhneTilgung,5)=1,AND(INDEX(DarlTilgStart,5)&gt;0,$E2176&lt;INDEX(DarlTilgStart,5))),0,MIN(MAX(0,$K2176-$L2176),$J2176)))</f>
      </c>
      <c r="N2176" s="43">
        <f>IF($I2176=0,0,MIN(SUMIFS(SondBetrag,SondDarl,5,SondDatum,"&gt;="&amp;$E2176,SondDatum,"&lt;="&amp;EOMONTH($E2176,0)),$J2176-$M2176))</f>
      </c>
      <c r="O2176" s="43">
        <f>IF($I2176=0,0,INDEX(DarlErsatzRate,5))</f>
      </c>
      <c r="P2176" s="43">
        <f>IF($I2176=0,0,$Q2175*INDEX(DarlErsatzZins,5))</f>
      </c>
      <c r="Q2176" s="43">
        <f>IF($I2176=0,0,$Q2175+$P2176+$O2176)</f>
      </c>
      <c r="R2176" s="43">
        <f>IF($I2176=0,0,$J2176-$M2176-$N2176)</f>
      </c>
    </row>
    <row r="2177">
      <c r="A2177"/>
      <c r="B2177">
        <v>5</v>
      </c>
      <c r="C2177" s="43">
        <f>INDEX(DarlObj,5)</f>
      </c>
      <c r="D2177">
        <v>254</v>
      </c>
      <c r="E2177" s="51">
        <f>IF(INDEX(DarlBelegt,5)=0,0,EOMONTH(INDEX(DarlAuszahlung,5),253)+1)</f>
      </c>
      <c r="F2177" s="43">
        <f>IF($E2177=0,0,YEAR($E2177))</f>
      </c>
      <c r="G2177" s="43">
        <f>IF(INDEX(DarlBindung,5)="",1,IF($E2177&lt;=INDEX(DarlBindung,5),1,0))</f>
      </c>
      <c r="H2177" s="43">
        <f>IF($G2177=1,INDEX(DarlSollzins,5),INDEX(DarlAnschluss,5))</f>
      </c>
      <c r="I2177" s="43">
        <f>IF(INDEX(DarlBelegt,5)=0,0,IF(INDEX(DarlOhneTilgung,5)=1,IF(INDEX(DarlBindung,5)="",1,$G2177),IF($J2177&gt;0.005,1,0)))</f>
      </c>
      <c r="J2177" s="43">
        <f>IF($I2176=0,0,$R2176)</f>
      </c>
      <c r="K2177" s="43">
        <f>IF($I2177=0,0,IF(INDEX(DarlOhneTilgung,5)=1,0,IF(AND(INDEX(DarlTilgStart,5)&gt;0,$E2177=INDEX(DarlTilgStart,5)),$J2177*($H2177+INDEX(DarlTilgung,5))/100/12,IF(AND($G2177=0,$G2176=1),MAX($K2176,$J2177*($H2177+1)/100/12),$K2176))))</f>
      </c>
      <c r="L2177" s="43">
        <f>IF($I2177=0,0,$J2177*$H2177/100/12)</f>
      </c>
      <c r="M2177" s="43">
        <f>IF($I2177=0,0,IF(OR(INDEX(DarlOhneTilgung,5)=1,AND(INDEX(DarlTilgStart,5)&gt;0,$E2177&lt;INDEX(DarlTilgStart,5))),0,MIN(MAX(0,$K2177-$L2177),$J2177)))</f>
      </c>
      <c r="N2177" s="43">
        <f>IF($I2177=0,0,MIN(SUMIFS(SondBetrag,SondDarl,5,SondDatum,"&gt;="&amp;$E2177,SondDatum,"&lt;="&amp;EOMONTH($E2177,0)),$J2177-$M2177))</f>
      </c>
      <c r="O2177" s="43">
        <f>IF($I2177=0,0,INDEX(DarlErsatzRate,5))</f>
      </c>
      <c r="P2177" s="43">
        <f>IF($I2177=0,0,$Q2176*INDEX(DarlErsatzZins,5))</f>
      </c>
      <c r="Q2177" s="43">
        <f>IF($I2177=0,0,$Q2176+$P2177+$O2177)</f>
      </c>
      <c r="R2177" s="43">
        <f>IF($I2177=0,0,$J2177-$M2177-$N2177)</f>
      </c>
    </row>
    <row r="2178">
      <c r="A2178"/>
      <c r="B2178">
        <v>5</v>
      </c>
      <c r="C2178" s="43">
        <f>INDEX(DarlObj,5)</f>
      </c>
      <c r="D2178">
        <v>255</v>
      </c>
      <c r="E2178" s="51">
        <f>IF(INDEX(DarlBelegt,5)=0,0,EOMONTH(INDEX(DarlAuszahlung,5),254)+1)</f>
      </c>
      <c r="F2178" s="43">
        <f>IF($E2178=0,0,YEAR($E2178))</f>
      </c>
      <c r="G2178" s="43">
        <f>IF(INDEX(DarlBindung,5)="",1,IF($E2178&lt;=INDEX(DarlBindung,5),1,0))</f>
      </c>
      <c r="H2178" s="43">
        <f>IF($G2178=1,INDEX(DarlSollzins,5),INDEX(DarlAnschluss,5))</f>
      </c>
      <c r="I2178" s="43">
        <f>IF(INDEX(DarlBelegt,5)=0,0,IF(INDEX(DarlOhneTilgung,5)=1,IF(INDEX(DarlBindung,5)="",1,$G2178),IF($J2178&gt;0.005,1,0)))</f>
      </c>
      <c r="J2178" s="43">
        <f>IF($I2177=0,0,$R2177)</f>
      </c>
      <c r="K2178" s="43">
        <f>IF($I2178=0,0,IF(INDEX(DarlOhneTilgung,5)=1,0,IF(AND(INDEX(DarlTilgStart,5)&gt;0,$E2178=INDEX(DarlTilgStart,5)),$J2178*($H2178+INDEX(DarlTilgung,5))/100/12,IF(AND($G2178=0,$G2177=1),MAX($K2177,$J2178*($H2178+1)/100/12),$K2177))))</f>
      </c>
      <c r="L2178" s="43">
        <f>IF($I2178=0,0,$J2178*$H2178/100/12)</f>
      </c>
      <c r="M2178" s="43">
        <f>IF($I2178=0,0,IF(OR(INDEX(DarlOhneTilgung,5)=1,AND(INDEX(DarlTilgStart,5)&gt;0,$E2178&lt;INDEX(DarlTilgStart,5))),0,MIN(MAX(0,$K2178-$L2178),$J2178)))</f>
      </c>
      <c r="N2178" s="43">
        <f>IF($I2178=0,0,MIN(SUMIFS(SondBetrag,SondDarl,5,SondDatum,"&gt;="&amp;$E2178,SondDatum,"&lt;="&amp;EOMONTH($E2178,0)),$J2178-$M2178))</f>
      </c>
      <c r="O2178" s="43">
        <f>IF($I2178=0,0,INDEX(DarlErsatzRate,5))</f>
      </c>
      <c r="P2178" s="43">
        <f>IF($I2178=0,0,$Q2177*INDEX(DarlErsatzZins,5))</f>
      </c>
      <c r="Q2178" s="43">
        <f>IF($I2178=0,0,$Q2177+$P2178+$O2178)</f>
      </c>
      <c r="R2178" s="43">
        <f>IF($I2178=0,0,$J2178-$M2178-$N2178)</f>
      </c>
    </row>
    <row r="2179">
      <c r="A2179"/>
      <c r="B2179">
        <v>5</v>
      </c>
      <c r="C2179" s="43">
        <f>INDEX(DarlObj,5)</f>
      </c>
      <c r="D2179">
        <v>256</v>
      </c>
      <c r="E2179" s="51">
        <f>IF(INDEX(DarlBelegt,5)=0,0,EOMONTH(INDEX(DarlAuszahlung,5),255)+1)</f>
      </c>
      <c r="F2179" s="43">
        <f>IF($E2179=0,0,YEAR($E2179))</f>
      </c>
      <c r="G2179" s="43">
        <f>IF(INDEX(DarlBindung,5)="",1,IF($E2179&lt;=INDEX(DarlBindung,5),1,0))</f>
      </c>
      <c r="H2179" s="43">
        <f>IF($G2179=1,INDEX(DarlSollzins,5),INDEX(DarlAnschluss,5))</f>
      </c>
      <c r="I2179" s="43">
        <f>IF(INDEX(DarlBelegt,5)=0,0,IF(INDEX(DarlOhneTilgung,5)=1,IF(INDEX(DarlBindung,5)="",1,$G2179),IF($J2179&gt;0.005,1,0)))</f>
      </c>
      <c r="J2179" s="43">
        <f>IF($I2178=0,0,$R2178)</f>
      </c>
      <c r="K2179" s="43">
        <f>IF($I2179=0,0,IF(INDEX(DarlOhneTilgung,5)=1,0,IF(AND(INDEX(DarlTilgStart,5)&gt;0,$E2179=INDEX(DarlTilgStart,5)),$J2179*($H2179+INDEX(DarlTilgung,5))/100/12,IF(AND($G2179=0,$G2178=1),MAX($K2178,$J2179*($H2179+1)/100/12),$K2178))))</f>
      </c>
      <c r="L2179" s="43">
        <f>IF($I2179=0,0,$J2179*$H2179/100/12)</f>
      </c>
      <c r="M2179" s="43">
        <f>IF($I2179=0,0,IF(OR(INDEX(DarlOhneTilgung,5)=1,AND(INDEX(DarlTilgStart,5)&gt;0,$E2179&lt;INDEX(DarlTilgStart,5))),0,MIN(MAX(0,$K2179-$L2179),$J2179)))</f>
      </c>
      <c r="N2179" s="43">
        <f>IF($I2179=0,0,MIN(SUMIFS(SondBetrag,SondDarl,5,SondDatum,"&gt;="&amp;$E2179,SondDatum,"&lt;="&amp;EOMONTH($E2179,0)),$J2179-$M2179))</f>
      </c>
      <c r="O2179" s="43">
        <f>IF($I2179=0,0,INDEX(DarlErsatzRate,5))</f>
      </c>
      <c r="P2179" s="43">
        <f>IF($I2179=0,0,$Q2178*INDEX(DarlErsatzZins,5))</f>
      </c>
      <c r="Q2179" s="43">
        <f>IF($I2179=0,0,$Q2178+$P2179+$O2179)</f>
      </c>
      <c r="R2179" s="43">
        <f>IF($I2179=0,0,$J2179-$M2179-$N2179)</f>
      </c>
    </row>
    <row r="2180">
      <c r="A2180"/>
      <c r="B2180">
        <v>5</v>
      </c>
      <c r="C2180" s="43">
        <f>INDEX(DarlObj,5)</f>
      </c>
      <c r="D2180">
        <v>257</v>
      </c>
      <c r="E2180" s="51">
        <f>IF(INDEX(DarlBelegt,5)=0,0,EOMONTH(INDEX(DarlAuszahlung,5),256)+1)</f>
      </c>
      <c r="F2180" s="43">
        <f>IF($E2180=0,0,YEAR($E2180))</f>
      </c>
      <c r="G2180" s="43">
        <f>IF(INDEX(DarlBindung,5)="",1,IF($E2180&lt;=INDEX(DarlBindung,5),1,0))</f>
      </c>
      <c r="H2180" s="43">
        <f>IF($G2180=1,INDEX(DarlSollzins,5),INDEX(DarlAnschluss,5))</f>
      </c>
      <c r="I2180" s="43">
        <f>IF(INDEX(DarlBelegt,5)=0,0,IF(INDEX(DarlOhneTilgung,5)=1,IF(INDEX(DarlBindung,5)="",1,$G2180),IF($J2180&gt;0.005,1,0)))</f>
      </c>
      <c r="J2180" s="43">
        <f>IF($I2179=0,0,$R2179)</f>
      </c>
      <c r="K2180" s="43">
        <f>IF($I2180=0,0,IF(INDEX(DarlOhneTilgung,5)=1,0,IF(AND(INDEX(DarlTilgStart,5)&gt;0,$E2180=INDEX(DarlTilgStart,5)),$J2180*($H2180+INDEX(DarlTilgung,5))/100/12,IF(AND($G2180=0,$G2179=1),MAX($K2179,$J2180*($H2180+1)/100/12),$K2179))))</f>
      </c>
      <c r="L2180" s="43">
        <f>IF($I2180=0,0,$J2180*$H2180/100/12)</f>
      </c>
      <c r="M2180" s="43">
        <f>IF($I2180=0,0,IF(OR(INDEX(DarlOhneTilgung,5)=1,AND(INDEX(DarlTilgStart,5)&gt;0,$E2180&lt;INDEX(DarlTilgStart,5))),0,MIN(MAX(0,$K2180-$L2180),$J2180)))</f>
      </c>
      <c r="N2180" s="43">
        <f>IF($I2180=0,0,MIN(SUMIFS(SondBetrag,SondDarl,5,SondDatum,"&gt;="&amp;$E2180,SondDatum,"&lt;="&amp;EOMONTH($E2180,0)),$J2180-$M2180))</f>
      </c>
      <c r="O2180" s="43">
        <f>IF($I2180=0,0,INDEX(DarlErsatzRate,5))</f>
      </c>
      <c r="P2180" s="43">
        <f>IF($I2180=0,0,$Q2179*INDEX(DarlErsatzZins,5))</f>
      </c>
      <c r="Q2180" s="43">
        <f>IF($I2180=0,0,$Q2179+$P2180+$O2180)</f>
      </c>
      <c r="R2180" s="43">
        <f>IF($I2180=0,0,$J2180-$M2180-$N2180)</f>
      </c>
    </row>
    <row r="2181">
      <c r="A2181"/>
      <c r="B2181">
        <v>5</v>
      </c>
      <c r="C2181" s="43">
        <f>INDEX(DarlObj,5)</f>
      </c>
      <c r="D2181">
        <v>258</v>
      </c>
      <c r="E2181" s="51">
        <f>IF(INDEX(DarlBelegt,5)=0,0,EOMONTH(INDEX(DarlAuszahlung,5),257)+1)</f>
      </c>
      <c r="F2181" s="43">
        <f>IF($E2181=0,0,YEAR($E2181))</f>
      </c>
      <c r="G2181" s="43">
        <f>IF(INDEX(DarlBindung,5)="",1,IF($E2181&lt;=INDEX(DarlBindung,5),1,0))</f>
      </c>
      <c r="H2181" s="43">
        <f>IF($G2181=1,INDEX(DarlSollzins,5),INDEX(DarlAnschluss,5))</f>
      </c>
      <c r="I2181" s="43">
        <f>IF(INDEX(DarlBelegt,5)=0,0,IF(INDEX(DarlOhneTilgung,5)=1,IF(INDEX(DarlBindung,5)="",1,$G2181),IF($J2181&gt;0.005,1,0)))</f>
      </c>
      <c r="J2181" s="43">
        <f>IF($I2180=0,0,$R2180)</f>
      </c>
      <c r="K2181" s="43">
        <f>IF($I2181=0,0,IF(INDEX(DarlOhneTilgung,5)=1,0,IF(AND(INDEX(DarlTilgStart,5)&gt;0,$E2181=INDEX(DarlTilgStart,5)),$J2181*($H2181+INDEX(DarlTilgung,5))/100/12,IF(AND($G2181=0,$G2180=1),MAX($K2180,$J2181*($H2181+1)/100/12),$K2180))))</f>
      </c>
      <c r="L2181" s="43">
        <f>IF($I2181=0,0,$J2181*$H2181/100/12)</f>
      </c>
      <c r="M2181" s="43">
        <f>IF($I2181=0,0,IF(OR(INDEX(DarlOhneTilgung,5)=1,AND(INDEX(DarlTilgStart,5)&gt;0,$E2181&lt;INDEX(DarlTilgStart,5))),0,MIN(MAX(0,$K2181-$L2181),$J2181)))</f>
      </c>
      <c r="N2181" s="43">
        <f>IF($I2181=0,0,MIN(SUMIFS(SondBetrag,SondDarl,5,SondDatum,"&gt;="&amp;$E2181,SondDatum,"&lt;="&amp;EOMONTH($E2181,0)),$J2181-$M2181))</f>
      </c>
      <c r="O2181" s="43">
        <f>IF($I2181=0,0,INDEX(DarlErsatzRate,5))</f>
      </c>
      <c r="P2181" s="43">
        <f>IF($I2181=0,0,$Q2180*INDEX(DarlErsatzZins,5))</f>
      </c>
      <c r="Q2181" s="43">
        <f>IF($I2181=0,0,$Q2180+$P2181+$O2181)</f>
      </c>
      <c r="R2181" s="43">
        <f>IF($I2181=0,0,$J2181-$M2181-$N2181)</f>
      </c>
    </row>
    <row r="2182">
      <c r="A2182"/>
      <c r="B2182">
        <v>5</v>
      </c>
      <c r="C2182" s="43">
        <f>INDEX(DarlObj,5)</f>
      </c>
      <c r="D2182">
        <v>259</v>
      </c>
      <c r="E2182" s="51">
        <f>IF(INDEX(DarlBelegt,5)=0,0,EOMONTH(INDEX(DarlAuszahlung,5),258)+1)</f>
      </c>
      <c r="F2182" s="43">
        <f>IF($E2182=0,0,YEAR($E2182))</f>
      </c>
      <c r="G2182" s="43">
        <f>IF(INDEX(DarlBindung,5)="",1,IF($E2182&lt;=INDEX(DarlBindung,5),1,0))</f>
      </c>
      <c r="H2182" s="43">
        <f>IF($G2182=1,INDEX(DarlSollzins,5),INDEX(DarlAnschluss,5))</f>
      </c>
      <c r="I2182" s="43">
        <f>IF(INDEX(DarlBelegt,5)=0,0,IF(INDEX(DarlOhneTilgung,5)=1,IF(INDEX(DarlBindung,5)="",1,$G2182),IF($J2182&gt;0.005,1,0)))</f>
      </c>
      <c r="J2182" s="43">
        <f>IF($I2181=0,0,$R2181)</f>
      </c>
      <c r="K2182" s="43">
        <f>IF($I2182=0,0,IF(INDEX(DarlOhneTilgung,5)=1,0,IF(AND(INDEX(DarlTilgStart,5)&gt;0,$E2182=INDEX(DarlTilgStart,5)),$J2182*($H2182+INDEX(DarlTilgung,5))/100/12,IF(AND($G2182=0,$G2181=1),MAX($K2181,$J2182*($H2182+1)/100/12),$K2181))))</f>
      </c>
      <c r="L2182" s="43">
        <f>IF($I2182=0,0,$J2182*$H2182/100/12)</f>
      </c>
      <c r="M2182" s="43">
        <f>IF($I2182=0,0,IF(OR(INDEX(DarlOhneTilgung,5)=1,AND(INDEX(DarlTilgStart,5)&gt;0,$E2182&lt;INDEX(DarlTilgStart,5))),0,MIN(MAX(0,$K2182-$L2182),$J2182)))</f>
      </c>
      <c r="N2182" s="43">
        <f>IF($I2182=0,0,MIN(SUMIFS(SondBetrag,SondDarl,5,SondDatum,"&gt;="&amp;$E2182,SondDatum,"&lt;="&amp;EOMONTH($E2182,0)),$J2182-$M2182))</f>
      </c>
      <c r="O2182" s="43">
        <f>IF($I2182=0,0,INDEX(DarlErsatzRate,5))</f>
      </c>
      <c r="P2182" s="43">
        <f>IF($I2182=0,0,$Q2181*INDEX(DarlErsatzZins,5))</f>
      </c>
      <c r="Q2182" s="43">
        <f>IF($I2182=0,0,$Q2181+$P2182+$O2182)</f>
      </c>
      <c r="R2182" s="43">
        <f>IF($I2182=0,0,$J2182-$M2182-$N2182)</f>
      </c>
    </row>
    <row r="2183">
      <c r="A2183"/>
      <c r="B2183">
        <v>5</v>
      </c>
      <c r="C2183" s="43">
        <f>INDEX(DarlObj,5)</f>
      </c>
      <c r="D2183">
        <v>260</v>
      </c>
      <c r="E2183" s="51">
        <f>IF(INDEX(DarlBelegt,5)=0,0,EOMONTH(INDEX(DarlAuszahlung,5),259)+1)</f>
      </c>
      <c r="F2183" s="43">
        <f>IF($E2183=0,0,YEAR($E2183))</f>
      </c>
      <c r="G2183" s="43">
        <f>IF(INDEX(DarlBindung,5)="",1,IF($E2183&lt;=INDEX(DarlBindung,5),1,0))</f>
      </c>
      <c r="H2183" s="43">
        <f>IF($G2183=1,INDEX(DarlSollzins,5),INDEX(DarlAnschluss,5))</f>
      </c>
      <c r="I2183" s="43">
        <f>IF(INDEX(DarlBelegt,5)=0,0,IF(INDEX(DarlOhneTilgung,5)=1,IF(INDEX(DarlBindung,5)="",1,$G2183),IF($J2183&gt;0.005,1,0)))</f>
      </c>
      <c r="J2183" s="43">
        <f>IF($I2182=0,0,$R2182)</f>
      </c>
      <c r="K2183" s="43">
        <f>IF($I2183=0,0,IF(INDEX(DarlOhneTilgung,5)=1,0,IF(AND(INDEX(DarlTilgStart,5)&gt;0,$E2183=INDEX(DarlTilgStart,5)),$J2183*($H2183+INDEX(DarlTilgung,5))/100/12,IF(AND($G2183=0,$G2182=1),MAX($K2182,$J2183*($H2183+1)/100/12),$K2182))))</f>
      </c>
      <c r="L2183" s="43">
        <f>IF($I2183=0,0,$J2183*$H2183/100/12)</f>
      </c>
      <c r="M2183" s="43">
        <f>IF($I2183=0,0,IF(OR(INDEX(DarlOhneTilgung,5)=1,AND(INDEX(DarlTilgStart,5)&gt;0,$E2183&lt;INDEX(DarlTilgStart,5))),0,MIN(MAX(0,$K2183-$L2183),$J2183)))</f>
      </c>
      <c r="N2183" s="43">
        <f>IF($I2183=0,0,MIN(SUMIFS(SondBetrag,SondDarl,5,SondDatum,"&gt;="&amp;$E2183,SondDatum,"&lt;="&amp;EOMONTH($E2183,0)),$J2183-$M2183))</f>
      </c>
      <c r="O2183" s="43">
        <f>IF($I2183=0,0,INDEX(DarlErsatzRate,5))</f>
      </c>
      <c r="P2183" s="43">
        <f>IF($I2183=0,0,$Q2182*INDEX(DarlErsatzZins,5))</f>
      </c>
      <c r="Q2183" s="43">
        <f>IF($I2183=0,0,$Q2182+$P2183+$O2183)</f>
      </c>
      <c r="R2183" s="43">
        <f>IF($I2183=0,0,$J2183-$M2183-$N2183)</f>
      </c>
    </row>
    <row r="2184">
      <c r="A2184"/>
      <c r="B2184">
        <v>5</v>
      </c>
      <c r="C2184" s="43">
        <f>INDEX(DarlObj,5)</f>
      </c>
      <c r="D2184">
        <v>261</v>
      </c>
      <c r="E2184" s="51">
        <f>IF(INDEX(DarlBelegt,5)=0,0,EOMONTH(INDEX(DarlAuszahlung,5),260)+1)</f>
      </c>
      <c r="F2184" s="43">
        <f>IF($E2184=0,0,YEAR($E2184))</f>
      </c>
      <c r="G2184" s="43">
        <f>IF(INDEX(DarlBindung,5)="",1,IF($E2184&lt;=INDEX(DarlBindung,5),1,0))</f>
      </c>
      <c r="H2184" s="43">
        <f>IF($G2184=1,INDEX(DarlSollzins,5),INDEX(DarlAnschluss,5))</f>
      </c>
      <c r="I2184" s="43">
        <f>IF(INDEX(DarlBelegt,5)=0,0,IF(INDEX(DarlOhneTilgung,5)=1,IF(INDEX(DarlBindung,5)="",1,$G2184),IF($J2184&gt;0.005,1,0)))</f>
      </c>
      <c r="J2184" s="43">
        <f>IF($I2183=0,0,$R2183)</f>
      </c>
      <c r="K2184" s="43">
        <f>IF($I2184=0,0,IF(INDEX(DarlOhneTilgung,5)=1,0,IF(AND(INDEX(DarlTilgStart,5)&gt;0,$E2184=INDEX(DarlTilgStart,5)),$J2184*($H2184+INDEX(DarlTilgung,5))/100/12,IF(AND($G2184=0,$G2183=1),MAX($K2183,$J2184*($H2184+1)/100/12),$K2183))))</f>
      </c>
      <c r="L2184" s="43">
        <f>IF($I2184=0,0,$J2184*$H2184/100/12)</f>
      </c>
      <c r="M2184" s="43">
        <f>IF($I2184=0,0,IF(OR(INDEX(DarlOhneTilgung,5)=1,AND(INDEX(DarlTilgStart,5)&gt;0,$E2184&lt;INDEX(DarlTilgStart,5))),0,MIN(MAX(0,$K2184-$L2184),$J2184)))</f>
      </c>
      <c r="N2184" s="43">
        <f>IF($I2184=0,0,MIN(SUMIFS(SondBetrag,SondDarl,5,SondDatum,"&gt;="&amp;$E2184,SondDatum,"&lt;="&amp;EOMONTH($E2184,0)),$J2184-$M2184))</f>
      </c>
      <c r="O2184" s="43">
        <f>IF($I2184=0,0,INDEX(DarlErsatzRate,5))</f>
      </c>
      <c r="P2184" s="43">
        <f>IF($I2184=0,0,$Q2183*INDEX(DarlErsatzZins,5))</f>
      </c>
      <c r="Q2184" s="43">
        <f>IF($I2184=0,0,$Q2183+$P2184+$O2184)</f>
      </c>
      <c r="R2184" s="43">
        <f>IF($I2184=0,0,$J2184-$M2184-$N2184)</f>
      </c>
    </row>
    <row r="2185">
      <c r="A2185"/>
      <c r="B2185">
        <v>5</v>
      </c>
      <c r="C2185" s="43">
        <f>INDEX(DarlObj,5)</f>
      </c>
      <c r="D2185">
        <v>262</v>
      </c>
      <c r="E2185" s="51">
        <f>IF(INDEX(DarlBelegt,5)=0,0,EOMONTH(INDEX(DarlAuszahlung,5),261)+1)</f>
      </c>
      <c r="F2185" s="43">
        <f>IF($E2185=0,0,YEAR($E2185))</f>
      </c>
      <c r="G2185" s="43">
        <f>IF(INDEX(DarlBindung,5)="",1,IF($E2185&lt;=INDEX(DarlBindung,5),1,0))</f>
      </c>
      <c r="H2185" s="43">
        <f>IF($G2185=1,INDEX(DarlSollzins,5),INDEX(DarlAnschluss,5))</f>
      </c>
      <c r="I2185" s="43">
        <f>IF(INDEX(DarlBelegt,5)=0,0,IF(INDEX(DarlOhneTilgung,5)=1,IF(INDEX(DarlBindung,5)="",1,$G2185),IF($J2185&gt;0.005,1,0)))</f>
      </c>
      <c r="J2185" s="43">
        <f>IF($I2184=0,0,$R2184)</f>
      </c>
      <c r="K2185" s="43">
        <f>IF($I2185=0,0,IF(INDEX(DarlOhneTilgung,5)=1,0,IF(AND(INDEX(DarlTilgStart,5)&gt;0,$E2185=INDEX(DarlTilgStart,5)),$J2185*($H2185+INDEX(DarlTilgung,5))/100/12,IF(AND($G2185=0,$G2184=1),MAX($K2184,$J2185*($H2185+1)/100/12),$K2184))))</f>
      </c>
      <c r="L2185" s="43">
        <f>IF($I2185=0,0,$J2185*$H2185/100/12)</f>
      </c>
      <c r="M2185" s="43">
        <f>IF($I2185=0,0,IF(OR(INDEX(DarlOhneTilgung,5)=1,AND(INDEX(DarlTilgStart,5)&gt;0,$E2185&lt;INDEX(DarlTilgStart,5))),0,MIN(MAX(0,$K2185-$L2185),$J2185)))</f>
      </c>
      <c r="N2185" s="43">
        <f>IF($I2185=0,0,MIN(SUMIFS(SondBetrag,SondDarl,5,SondDatum,"&gt;="&amp;$E2185,SondDatum,"&lt;="&amp;EOMONTH($E2185,0)),$J2185-$M2185))</f>
      </c>
      <c r="O2185" s="43">
        <f>IF($I2185=0,0,INDEX(DarlErsatzRate,5))</f>
      </c>
      <c r="P2185" s="43">
        <f>IF($I2185=0,0,$Q2184*INDEX(DarlErsatzZins,5))</f>
      </c>
      <c r="Q2185" s="43">
        <f>IF($I2185=0,0,$Q2184+$P2185+$O2185)</f>
      </c>
      <c r="R2185" s="43">
        <f>IF($I2185=0,0,$J2185-$M2185-$N2185)</f>
      </c>
    </row>
    <row r="2186">
      <c r="A2186"/>
      <c r="B2186">
        <v>5</v>
      </c>
      <c r="C2186" s="43">
        <f>INDEX(DarlObj,5)</f>
      </c>
      <c r="D2186">
        <v>263</v>
      </c>
      <c r="E2186" s="51">
        <f>IF(INDEX(DarlBelegt,5)=0,0,EOMONTH(INDEX(DarlAuszahlung,5),262)+1)</f>
      </c>
      <c r="F2186" s="43">
        <f>IF($E2186=0,0,YEAR($E2186))</f>
      </c>
      <c r="G2186" s="43">
        <f>IF(INDEX(DarlBindung,5)="",1,IF($E2186&lt;=INDEX(DarlBindung,5),1,0))</f>
      </c>
      <c r="H2186" s="43">
        <f>IF($G2186=1,INDEX(DarlSollzins,5),INDEX(DarlAnschluss,5))</f>
      </c>
      <c r="I2186" s="43">
        <f>IF(INDEX(DarlBelegt,5)=0,0,IF(INDEX(DarlOhneTilgung,5)=1,IF(INDEX(DarlBindung,5)="",1,$G2186),IF($J2186&gt;0.005,1,0)))</f>
      </c>
      <c r="J2186" s="43">
        <f>IF($I2185=0,0,$R2185)</f>
      </c>
      <c r="K2186" s="43">
        <f>IF($I2186=0,0,IF(INDEX(DarlOhneTilgung,5)=1,0,IF(AND(INDEX(DarlTilgStart,5)&gt;0,$E2186=INDEX(DarlTilgStart,5)),$J2186*($H2186+INDEX(DarlTilgung,5))/100/12,IF(AND($G2186=0,$G2185=1),MAX($K2185,$J2186*($H2186+1)/100/12),$K2185))))</f>
      </c>
      <c r="L2186" s="43">
        <f>IF($I2186=0,0,$J2186*$H2186/100/12)</f>
      </c>
      <c r="M2186" s="43">
        <f>IF($I2186=0,0,IF(OR(INDEX(DarlOhneTilgung,5)=1,AND(INDEX(DarlTilgStart,5)&gt;0,$E2186&lt;INDEX(DarlTilgStart,5))),0,MIN(MAX(0,$K2186-$L2186),$J2186)))</f>
      </c>
      <c r="N2186" s="43">
        <f>IF($I2186=0,0,MIN(SUMIFS(SondBetrag,SondDarl,5,SondDatum,"&gt;="&amp;$E2186,SondDatum,"&lt;="&amp;EOMONTH($E2186,0)),$J2186-$M2186))</f>
      </c>
      <c r="O2186" s="43">
        <f>IF($I2186=0,0,INDEX(DarlErsatzRate,5))</f>
      </c>
      <c r="P2186" s="43">
        <f>IF($I2186=0,0,$Q2185*INDEX(DarlErsatzZins,5))</f>
      </c>
      <c r="Q2186" s="43">
        <f>IF($I2186=0,0,$Q2185+$P2186+$O2186)</f>
      </c>
      <c r="R2186" s="43">
        <f>IF($I2186=0,0,$J2186-$M2186-$N2186)</f>
      </c>
    </row>
    <row r="2187">
      <c r="A2187"/>
      <c r="B2187">
        <v>5</v>
      </c>
      <c r="C2187" s="43">
        <f>INDEX(DarlObj,5)</f>
      </c>
      <c r="D2187">
        <v>264</v>
      </c>
      <c r="E2187" s="51">
        <f>IF(INDEX(DarlBelegt,5)=0,0,EOMONTH(INDEX(DarlAuszahlung,5),263)+1)</f>
      </c>
      <c r="F2187" s="43">
        <f>IF($E2187=0,0,YEAR($E2187))</f>
      </c>
      <c r="G2187" s="43">
        <f>IF(INDEX(DarlBindung,5)="",1,IF($E2187&lt;=INDEX(DarlBindung,5),1,0))</f>
      </c>
      <c r="H2187" s="43">
        <f>IF($G2187=1,INDEX(DarlSollzins,5),INDEX(DarlAnschluss,5))</f>
      </c>
      <c r="I2187" s="43">
        <f>IF(INDEX(DarlBelegt,5)=0,0,IF(INDEX(DarlOhneTilgung,5)=1,IF(INDEX(DarlBindung,5)="",1,$G2187),IF($J2187&gt;0.005,1,0)))</f>
      </c>
      <c r="J2187" s="43">
        <f>IF($I2186=0,0,$R2186)</f>
      </c>
      <c r="K2187" s="43">
        <f>IF($I2187=0,0,IF(INDEX(DarlOhneTilgung,5)=1,0,IF(AND(INDEX(DarlTilgStart,5)&gt;0,$E2187=INDEX(DarlTilgStart,5)),$J2187*($H2187+INDEX(DarlTilgung,5))/100/12,IF(AND($G2187=0,$G2186=1),MAX($K2186,$J2187*($H2187+1)/100/12),$K2186))))</f>
      </c>
      <c r="L2187" s="43">
        <f>IF($I2187=0,0,$J2187*$H2187/100/12)</f>
      </c>
      <c r="M2187" s="43">
        <f>IF($I2187=0,0,IF(OR(INDEX(DarlOhneTilgung,5)=1,AND(INDEX(DarlTilgStart,5)&gt;0,$E2187&lt;INDEX(DarlTilgStart,5))),0,MIN(MAX(0,$K2187-$L2187),$J2187)))</f>
      </c>
      <c r="N2187" s="43">
        <f>IF($I2187=0,0,MIN(SUMIFS(SondBetrag,SondDarl,5,SondDatum,"&gt;="&amp;$E2187,SondDatum,"&lt;="&amp;EOMONTH($E2187,0)),$J2187-$M2187))</f>
      </c>
      <c r="O2187" s="43">
        <f>IF($I2187=0,0,INDEX(DarlErsatzRate,5))</f>
      </c>
      <c r="P2187" s="43">
        <f>IF($I2187=0,0,$Q2186*INDEX(DarlErsatzZins,5))</f>
      </c>
      <c r="Q2187" s="43">
        <f>IF($I2187=0,0,$Q2186+$P2187+$O2187)</f>
      </c>
      <c r="R2187" s="43">
        <f>IF($I2187=0,0,$J2187-$M2187-$N2187)</f>
      </c>
    </row>
    <row r="2188">
      <c r="A2188"/>
      <c r="B2188">
        <v>5</v>
      </c>
      <c r="C2188" s="43">
        <f>INDEX(DarlObj,5)</f>
      </c>
      <c r="D2188">
        <v>265</v>
      </c>
      <c r="E2188" s="51">
        <f>IF(INDEX(DarlBelegt,5)=0,0,EOMONTH(INDEX(DarlAuszahlung,5),264)+1)</f>
      </c>
      <c r="F2188" s="43">
        <f>IF($E2188=0,0,YEAR($E2188))</f>
      </c>
      <c r="G2188" s="43">
        <f>IF(INDEX(DarlBindung,5)="",1,IF($E2188&lt;=INDEX(DarlBindung,5),1,0))</f>
      </c>
      <c r="H2188" s="43">
        <f>IF($G2188=1,INDEX(DarlSollzins,5),INDEX(DarlAnschluss,5))</f>
      </c>
      <c r="I2188" s="43">
        <f>IF(INDEX(DarlBelegt,5)=0,0,IF(INDEX(DarlOhneTilgung,5)=1,IF(INDEX(DarlBindung,5)="",1,$G2188),IF($J2188&gt;0.005,1,0)))</f>
      </c>
      <c r="J2188" s="43">
        <f>IF($I2187=0,0,$R2187)</f>
      </c>
      <c r="K2188" s="43">
        <f>IF($I2188=0,0,IF(INDEX(DarlOhneTilgung,5)=1,0,IF(AND(INDEX(DarlTilgStart,5)&gt;0,$E2188=INDEX(DarlTilgStart,5)),$J2188*($H2188+INDEX(DarlTilgung,5))/100/12,IF(AND($G2188=0,$G2187=1),MAX($K2187,$J2188*($H2188+1)/100/12),$K2187))))</f>
      </c>
      <c r="L2188" s="43">
        <f>IF($I2188=0,0,$J2188*$H2188/100/12)</f>
      </c>
      <c r="M2188" s="43">
        <f>IF($I2188=0,0,IF(OR(INDEX(DarlOhneTilgung,5)=1,AND(INDEX(DarlTilgStart,5)&gt;0,$E2188&lt;INDEX(DarlTilgStart,5))),0,MIN(MAX(0,$K2188-$L2188),$J2188)))</f>
      </c>
      <c r="N2188" s="43">
        <f>IF($I2188=0,0,MIN(SUMIFS(SondBetrag,SondDarl,5,SondDatum,"&gt;="&amp;$E2188,SondDatum,"&lt;="&amp;EOMONTH($E2188,0)),$J2188-$M2188))</f>
      </c>
      <c r="O2188" s="43">
        <f>IF($I2188=0,0,INDEX(DarlErsatzRate,5))</f>
      </c>
      <c r="P2188" s="43">
        <f>IF($I2188=0,0,$Q2187*INDEX(DarlErsatzZins,5))</f>
      </c>
      <c r="Q2188" s="43">
        <f>IF($I2188=0,0,$Q2187+$P2188+$O2188)</f>
      </c>
      <c r="R2188" s="43">
        <f>IF($I2188=0,0,$J2188-$M2188-$N2188)</f>
      </c>
    </row>
    <row r="2189">
      <c r="A2189"/>
      <c r="B2189">
        <v>5</v>
      </c>
      <c r="C2189" s="43">
        <f>INDEX(DarlObj,5)</f>
      </c>
      <c r="D2189">
        <v>266</v>
      </c>
      <c r="E2189" s="51">
        <f>IF(INDEX(DarlBelegt,5)=0,0,EOMONTH(INDEX(DarlAuszahlung,5),265)+1)</f>
      </c>
      <c r="F2189" s="43">
        <f>IF($E2189=0,0,YEAR($E2189))</f>
      </c>
      <c r="G2189" s="43">
        <f>IF(INDEX(DarlBindung,5)="",1,IF($E2189&lt;=INDEX(DarlBindung,5),1,0))</f>
      </c>
      <c r="H2189" s="43">
        <f>IF($G2189=1,INDEX(DarlSollzins,5),INDEX(DarlAnschluss,5))</f>
      </c>
      <c r="I2189" s="43">
        <f>IF(INDEX(DarlBelegt,5)=0,0,IF(INDEX(DarlOhneTilgung,5)=1,IF(INDEX(DarlBindung,5)="",1,$G2189),IF($J2189&gt;0.005,1,0)))</f>
      </c>
      <c r="J2189" s="43">
        <f>IF($I2188=0,0,$R2188)</f>
      </c>
      <c r="K2189" s="43">
        <f>IF($I2189=0,0,IF(INDEX(DarlOhneTilgung,5)=1,0,IF(AND(INDEX(DarlTilgStart,5)&gt;0,$E2189=INDEX(DarlTilgStart,5)),$J2189*($H2189+INDEX(DarlTilgung,5))/100/12,IF(AND($G2189=0,$G2188=1),MAX($K2188,$J2189*($H2189+1)/100/12),$K2188))))</f>
      </c>
      <c r="L2189" s="43">
        <f>IF($I2189=0,0,$J2189*$H2189/100/12)</f>
      </c>
      <c r="M2189" s="43">
        <f>IF($I2189=0,0,IF(OR(INDEX(DarlOhneTilgung,5)=1,AND(INDEX(DarlTilgStart,5)&gt;0,$E2189&lt;INDEX(DarlTilgStart,5))),0,MIN(MAX(0,$K2189-$L2189),$J2189)))</f>
      </c>
      <c r="N2189" s="43">
        <f>IF($I2189=0,0,MIN(SUMIFS(SondBetrag,SondDarl,5,SondDatum,"&gt;="&amp;$E2189,SondDatum,"&lt;="&amp;EOMONTH($E2189,0)),$J2189-$M2189))</f>
      </c>
      <c r="O2189" s="43">
        <f>IF($I2189=0,0,INDEX(DarlErsatzRate,5))</f>
      </c>
      <c r="P2189" s="43">
        <f>IF($I2189=0,0,$Q2188*INDEX(DarlErsatzZins,5))</f>
      </c>
      <c r="Q2189" s="43">
        <f>IF($I2189=0,0,$Q2188+$P2189+$O2189)</f>
      </c>
      <c r="R2189" s="43">
        <f>IF($I2189=0,0,$J2189-$M2189-$N2189)</f>
      </c>
    </row>
    <row r="2190">
      <c r="A2190"/>
      <c r="B2190">
        <v>5</v>
      </c>
      <c r="C2190" s="43">
        <f>INDEX(DarlObj,5)</f>
      </c>
      <c r="D2190">
        <v>267</v>
      </c>
      <c r="E2190" s="51">
        <f>IF(INDEX(DarlBelegt,5)=0,0,EOMONTH(INDEX(DarlAuszahlung,5),266)+1)</f>
      </c>
      <c r="F2190" s="43">
        <f>IF($E2190=0,0,YEAR($E2190))</f>
      </c>
      <c r="G2190" s="43">
        <f>IF(INDEX(DarlBindung,5)="",1,IF($E2190&lt;=INDEX(DarlBindung,5),1,0))</f>
      </c>
      <c r="H2190" s="43">
        <f>IF($G2190=1,INDEX(DarlSollzins,5),INDEX(DarlAnschluss,5))</f>
      </c>
      <c r="I2190" s="43">
        <f>IF(INDEX(DarlBelegt,5)=0,0,IF(INDEX(DarlOhneTilgung,5)=1,IF(INDEX(DarlBindung,5)="",1,$G2190),IF($J2190&gt;0.005,1,0)))</f>
      </c>
      <c r="J2190" s="43">
        <f>IF($I2189=0,0,$R2189)</f>
      </c>
      <c r="K2190" s="43">
        <f>IF($I2190=0,0,IF(INDEX(DarlOhneTilgung,5)=1,0,IF(AND(INDEX(DarlTilgStart,5)&gt;0,$E2190=INDEX(DarlTilgStart,5)),$J2190*($H2190+INDEX(DarlTilgung,5))/100/12,IF(AND($G2190=0,$G2189=1),MAX($K2189,$J2190*($H2190+1)/100/12),$K2189))))</f>
      </c>
      <c r="L2190" s="43">
        <f>IF($I2190=0,0,$J2190*$H2190/100/12)</f>
      </c>
      <c r="M2190" s="43">
        <f>IF($I2190=0,0,IF(OR(INDEX(DarlOhneTilgung,5)=1,AND(INDEX(DarlTilgStart,5)&gt;0,$E2190&lt;INDEX(DarlTilgStart,5))),0,MIN(MAX(0,$K2190-$L2190),$J2190)))</f>
      </c>
      <c r="N2190" s="43">
        <f>IF($I2190=0,0,MIN(SUMIFS(SondBetrag,SondDarl,5,SondDatum,"&gt;="&amp;$E2190,SondDatum,"&lt;="&amp;EOMONTH($E2190,0)),$J2190-$M2190))</f>
      </c>
      <c r="O2190" s="43">
        <f>IF($I2190=0,0,INDEX(DarlErsatzRate,5))</f>
      </c>
      <c r="P2190" s="43">
        <f>IF($I2190=0,0,$Q2189*INDEX(DarlErsatzZins,5))</f>
      </c>
      <c r="Q2190" s="43">
        <f>IF($I2190=0,0,$Q2189+$P2190+$O2190)</f>
      </c>
      <c r="R2190" s="43">
        <f>IF($I2190=0,0,$J2190-$M2190-$N2190)</f>
      </c>
    </row>
    <row r="2191">
      <c r="A2191"/>
      <c r="B2191">
        <v>5</v>
      </c>
      <c r="C2191" s="43">
        <f>INDEX(DarlObj,5)</f>
      </c>
      <c r="D2191">
        <v>268</v>
      </c>
      <c r="E2191" s="51">
        <f>IF(INDEX(DarlBelegt,5)=0,0,EOMONTH(INDEX(DarlAuszahlung,5),267)+1)</f>
      </c>
      <c r="F2191" s="43">
        <f>IF($E2191=0,0,YEAR($E2191))</f>
      </c>
      <c r="G2191" s="43">
        <f>IF(INDEX(DarlBindung,5)="",1,IF($E2191&lt;=INDEX(DarlBindung,5),1,0))</f>
      </c>
      <c r="H2191" s="43">
        <f>IF($G2191=1,INDEX(DarlSollzins,5),INDEX(DarlAnschluss,5))</f>
      </c>
      <c r="I2191" s="43">
        <f>IF(INDEX(DarlBelegt,5)=0,0,IF(INDEX(DarlOhneTilgung,5)=1,IF(INDEX(DarlBindung,5)="",1,$G2191),IF($J2191&gt;0.005,1,0)))</f>
      </c>
      <c r="J2191" s="43">
        <f>IF($I2190=0,0,$R2190)</f>
      </c>
      <c r="K2191" s="43">
        <f>IF($I2191=0,0,IF(INDEX(DarlOhneTilgung,5)=1,0,IF(AND(INDEX(DarlTilgStart,5)&gt;0,$E2191=INDEX(DarlTilgStart,5)),$J2191*($H2191+INDEX(DarlTilgung,5))/100/12,IF(AND($G2191=0,$G2190=1),MAX($K2190,$J2191*($H2191+1)/100/12),$K2190))))</f>
      </c>
      <c r="L2191" s="43">
        <f>IF($I2191=0,0,$J2191*$H2191/100/12)</f>
      </c>
      <c r="M2191" s="43">
        <f>IF($I2191=0,0,IF(OR(INDEX(DarlOhneTilgung,5)=1,AND(INDEX(DarlTilgStart,5)&gt;0,$E2191&lt;INDEX(DarlTilgStart,5))),0,MIN(MAX(0,$K2191-$L2191),$J2191)))</f>
      </c>
      <c r="N2191" s="43">
        <f>IF($I2191=0,0,MIN(SUMIFS(SondBetrag,SondDarl,5,SondDatum,"&gt;="&amp;$E2191,SondDatum,"&lt;="&amp;EOMONTH($E2191,0)),$J2191-$M2191))</f>
      </c>
      <c r="O2191" s="43">
        <f>IF($I2191=0,0,INDEX(DarlErsatzRate,5))</f>
      </c>
      <c r="P2191" s="43">
        <f>IF($I2191=0,0,$Q2190*INDEX(DarlErsatzZins,5))</f>
      </c>
      <c r="Q2191" s="43">
        <f>IF($I2191=0,0,$Q2190+$P2191+$O2191)</f>
      </c>
      <c r="R2191" s="43">
        <f>IF($I2191=0,0,$J2191-$M2191-$N2191)</f>
      </c>
    </row>
    <row r="2192">
      <c r="A2192"/>
      <c r="B2192">
        <v>5</v>
      </c>
      <c r="C2192" s="43">
        <f>INDEX(DarlObj,5)</f>
      </c>
      <c r="D2192">
        <v>269</v>
      </c>
      <c r="E2192" s="51">
        <f>IF(INDEX(DarlBelegt,5)=0,0,EOMONTH(INDEX(DarlAuszahlung,5),268)+1)</f>
      </c>
      <c r="F2192" s="43">
        <f>IF($E2192=0,0,YEAR($E2192))</f>
      </c>
      <c r="G2192" s="43">
        <f>IF(INDEX(DarlBindung,5)="",1,IF($E2192&lt;=INDEX(DarlBindung,5),1,0))</f>
      </c>
      <c r="H2192" s="43">
        <f>IF($G2192=1,INDEX(DarlSollzins,5),INDEX(DarlAnschluss,5))</f>
      </c>
      <c r="I2192" s="43">
        <f>IF(INDEX(DarlBelegt,5)=0,0,IF(INDEX(DarlOhneTilgung,5)=1,IF(INDEX(DarlBindung,5)="",1,$G2192),IF($J2192&gt;0.005,1,0)))</f>
      </c>
      <c r="J2192" s="43">
        <f>IF($I2191=0,0,$R2191)</f>
      </c>
      <c r="K2192" s="43">
        <f>IF($I2192=0,0,IF(INDEX(DarlOhneTilgung,5)=1,0,IF(AND(INDEX(DarlTilgStart,5)&gt;0,$E2192=INDEX(DarlTilgStart,5)),$J2192*($H2192+INDEX(DarlTilgung,5))/100/12,IF(AND($G2192=0,$G2191=1),MAX($K2191,$J2192*($H2192+1)/100/12),$K2191))))</f>
      </c>
      <c r="L2192" s="43">
        <f>IF($I2192=0,0,$J2192*$H2192/100/12)</f>
      </c>
      <c r="M2192" s="43">
        <f>IF($I2192=0,0,IF(OR(INDEX(DarlOhneTilgung,5)=1,AND(INDEX(DarlTilgStart,5)&gt;0,$E2192&lt;INDEX(DarlTilgStart,5))),0,MIN(MAX(0,$K2192-$L2192),$J2192)))</f>
      </c>
      <c r="N2192" s="43">
        <f>IF($I2192=0,0,MIN(SUMIFS(SondBetrag,SondDarl,5,SondDatum,"&gt;="&amp;$E2192,SondDatum,"&lt;="&amp;EOMONTH($E2192,0)),$J2192-$M2192))</f>
      </c>
      <c r="O2192" s="43">
        <f>IF($I2192=0,0,INDEX(DarlErsatzRate,5))</f>
      </c>
      <c r="P2192" s="43">
        <f>IF($I2192=0,0,$Q2191*INDEX(DarlErsatzZins,5))</f>
      </c>
      <c r="Q2192" s="43">
        <f>IF($I2192=0,0,$Q2191+$P2192+$O2192)</f>
      </c>
      <c r="R2192" s="43">
        <f>IF($I2192=0,0,$J2192-$M2192-$N2192)</f>
      </c>
    </row>
    <row r="2193">
      <c r="A2193"/>
      <c r="B2193">
        <v>5</v>
      </c>
      <c r="C2193" s="43">
        <f>INDEX(DarlObj,5)</f>
      </c>
      <c r="D2193">
        <v>270</v>
      </c>
      <c r="E2193" s="51">
        <f>IF(INDEX(DarlBelegt,5)=0,0,EOMONTH(INDEX(DarlAuszahlung,5),269)+1)</f>
      </c>
      <c r="F2193" s="43">
        <f>IF($E2193=0,0,YEAR($E2193))</f>
      </c>
      <c r="G2193" s="43">
        <f>IF(INDEX(DarlBindung,5)="",1,IF($E2193&lt;=INDEX(DarlBindung,5),1,0))</f>
      </c>
      <c r="H2193" s="43">
        <f>IF($G2193=1,INDEX(DarlSollzins,5),INDEX(DarlAnschluss,5))</f>
      </c>
      <c r="I2193" s="43">
        <f>IF(INDEX(DarlBelegt,5)=0,0,IF(INDEX(DarlOhneTilgung,5)=1,IF(INDEX(DarlBindung,5)="",1,$G2193),IF($J2193&gt;0.005,1,0)))</f>
      </c>
      <c r="J2193" s="43">
        <f>IF($I2192=0,0,$R2192)</f>
      </c>
      <c r="K2193" s="43">
        <f>IF($I2193=0,0,IF(INDEX(DarlOhneTilgung,5)=1,0,IF(AND(INDEX(DarlTilgStart,5)&gt;0,$E2193=INDEX(DarlTilgStart,5)),$J2193*($H2193+INDEX(DarlTilgung,5))/100/12,IF(AND($G2193=0,$G2192=1),MAX($K2192,$J2193*($H2193+1)/100/12),$K2192))))</f>
      </c>
      <c r="L2193" s="43">
        <f>IF($I2193=0,0,$J2193*$H2193/100/12)</f>
      </c>
      <c r="M2193" s="43">
        <f>IF($I2193=0,0,IF(OR(INDEX(DarlOhneTilgung,5)=1,AND(INDEX(DarlTilgStart,5)&gt;0,$E2193&lt;INDEX(DarlTilgStart,5))),0,MIN(MAX(0,$K2193-$L2193),$J2193)))</f>
      </c>
      <c r="N2193" s="43">
        <f>IF($I2193=0,0,MIN(SUMIFS(SondBetrag,SondDarl,5,SondDatum,"&gt;="&amp;$E2193,SondDatum,"&lt;="&amp;EOMONTH($E2193,0)),$J2193-$M2193))</f>
      </c>
      <c r="O2193" s="43">
        <f>IF($I2193=0,0,INDEX(DarlErsatzRate,5))</f>
      </c>
      <c r="P2193" s="43">
        <f>IF($I2193=0,0,$Q2192*INDEX(DarlErsatzZins,5))</f>
      </c>
      <c r="Q2193" s="43">
        <f>IF($I2193=0,0,$Q2192+$P2193+$O2193)</f>
      </c>
      <c r="R2193" s="43">
        <f>IF($I2193=0,0,$J2193-$M2193-$N2193)</f>
      </c>
    </row>
    <row r="2194">
      <c r="A2194"/>
      <c r="B2194">
        <v>5</v>
      </c>
      <c r="C2194" s="43">
        <f>INDEX(DarlObj,5)</f>
      </c>
      <c r="D2194">
        <v>271</v>
      </c>
      <c r="E2194" s="51">
        <f>IF(INDEX(DarlBelegt,5)=0,0,EOMONTH(INDEX(DarlAuszahlung,5),270)+1)</f>
      </c>
      <c r="F2194" s="43">
        <f>IF($E2194=0,0,YEAR($E2194))</f>
      </c>
      <c r="G2194" s="43">
        <f>IF(INDEX(DarlBindung,5)="",1,IF($E2194&lt;=INDEX(DarlBindung,5),1,0))</f>
      </c>
      <c r="H2194" s="43">
        <f>IF($G2194=1,INDEX(DarlSollzins,5),INDEX(DarlAnschluss,5))</f>
      </c>
      <c r="I2194" s="43">
        <f>IF(INDEX(DarlBelegt,5)=0,0,IF(INDEX(DarlOhneTilgung,5)=1,IF(INDEX(DarlBindung,5)="",1,$G2194),IF($J2194&gt;0.005,1,0)))</f>
      </c>
      <c r="J2194" s="43">
        <f>IF($I2193=0,0,$R2193)</f>
      </c>
      <c r="K2194" s="43">
        <f>IF($I2194=0,0,IF(INDEX(DarlOhneTilgung,5)=1,0,IF(AND(INDEX(DarlTilgStart,5)&gt;0,$E2194=INDEX(DarlTilgStart,5)),$J2194*($H2194+INDEX(DarlTilgung,5))/100/12,IF(AND($G2194=0,$G2193=1),MAX($K2193,$J2194*($H2194+1)/100/12),$K2193))))</f>
      </c>
      <c r="L2194" s="43">
        <f>IF($I2194=0,0,$J2194*$H2194/100/12)</f>
      </c>
      <c r="M2194" s="43">
        <f>IF($I2194=0,0,IF(OR(INDEX(DarlOhneTilgung,5)=1,AND(INDEX(DarlTilgStart,5)&gt;0,$E2194&lt;INDEX(DarlTilgStart,5))),0,MIN(MAX(0,$K2194-$L2194),$J2194)))</f>
      </c>
      <c r="N2194" s="43">
        <f>IF($I2194=0,0,MIN(SUMIFS(SondBetrag,SondDarl,5,SondDatum,"&gt;="&amp;$E2194,SondDatum,"&lt;="&amp;EOMONTH($E2194,0)),$J2194-$M2194))</f>
      </c>
      <c r="O2194" s="43">
        <f>IF($I2194=0,0,INDEX(DarlErsatzRate,5))</f>
      </c>
      <c r="P2194" s="43">
        <f>IF($I2194=0,0,$Q2193*INDEX(DarlErsatzZins,5))</f>
      </c>
      <c r="Q2194" s="43">
        <f>IF($I2194=0,0,$Q2193+$P2194+$O2194)</f>
      </c>
      <c r="R2194" s="43">
        <f>IF($I2194=0,0,$J2194-$M2194-$N2194)</f>
      </c>
    </row>
    <row r="2195">
      <c r="A2195"/>
      <c r="B2195">
        <v>5</v>
      </c>
      <c r="C2195" s="43">
        <f>INDEX(DarlObj,5)</f>
      </c>
      <c r="D2195">
        <v>272</v>
      </c>
      <c r="E2195" s="51">
        <f>IF(INDEX(DarlBelegt,5)=0,0,EOMONTH(INDEX(DarlAuszahlung,5),271)+1)</f>
      </c>
      <c r="F2195" s="43">
        <f>IF($E2195=0,0,YEAR($E2195))</f>
      </c>
      <c r="G2195" s="43">
        <f>IF(INDEX(DarlBindung,5)="",1,IF($E2195&lt;=INDEX(DarlBindung,5),1,0))</f>
      </c>
      <c r="H2195" s="43">
        <f>IF($G2195=1,INDEX(DarlSollzins,5),INDEX(DarlAnschluss,5))</f>
      </c>
      <c r="I2195" s="43">
        <f>IF(INDEX(DarlBelegt,5)=0,0,IF(INDEX(DarlOhneTilgung,5)=1,IF(INDEX(DarlBindung,5)="",1,$G2195),IF($J2195&gt;0.005,1,0)))</f>
      </c>
      <c r="J2195" s="43">
        <f>IF($I2194=0,0,$R2194)</f>
      </c>
      <c r="K2195" s="43">
        <f>IF($I2195=0,0,IF(INDEX(DarlOhneTilgung,5)=1,0,IF(AND(INDEX(DarlTilgStart,5)&gt;0,$E2195=INDEX(DarlTilgStart,5)),$J2195*($H2195+INDEX(DarlTilgung,5))/100/12,IF(AND($G2195=0,$G2194=1),MAX($K2194,$J2195*($H2195+1)/100/12),$K2194))))</f>
      </c>
      <c r="L2195" s="43">
        <f>IF($I2195=0,0,$J2195*$H2195/100/12)</f>
      </c>
      <c r="M2195" s="43">
        <f>IF($I2195=0,0,IF(OR(INDEX(DarlOhneTilgung,5)=1,AND(INDEX(DarlTilgStart,5)&gt;0,$E2195&lt;INDEX(DarlTilgStart,5))),0,MIN(MAX(0,$K2195-$L2195),$J2195)))</f>
      </c>
      <c r="N2195" s="43">
        <f>IF($I2195=0,0,MIN(SUMIFS(SondBetrag,SondDarl,5,SondDatum,"&gt;="&amp;$E2195,SondDatum,"&lt;="&amp;EOMONTH($E2195,0)),$J2195-$M2195))</f>
      </c>
      <c r="O2195" s="43">
        <f>IF($I2195=0,0,INDEX(DarlErsatzRate,5))</f>
      </c>
      <c r="P2195" s="43">
        <f>IF($I2195=0,0,$Q2194*INDEX(DarlErsatzZins,5))</f>
      </c>
      <c r="Q2195" s="43">
        <f>IF($I2195=0,0,$Q2194+$P2195+$O2195)</f>
      </c>
      <c r="R2195" s="43">
        <f>IF($I2195=0,0,$J2195-$M2195-$N2195)</f>
      </c>
    </row>
    <row r="2196">
      <c r="A2196"/>
      <c r="B2196">
        <v>5</v>
      </c>
      <c r="C2196" s="43">
        <f>INDEX(DarlObj,5)</f>
      </c>
      <c r="D2196">
        <v>273</v>
      </c>
      <c r="E2196" s="51">
        <f>IF(INDEX(DarlBelegt,5)=0,0,EOMONTH(INDEX(DarlAuszahlung,5),272)+1)</f>
      </c>
      <c r="F2196" s="43">
        <f>IF($E2196=0,0,YEAR($E2196))</f>
      </c>
      <c r="G2196" s="43">
        <f>IF(INDEX(DarlBindung,5)="",1,IF($E2196&lt;=INDEX(DarlBindung,5),1,0))</f>
      </c>
      <c r="H2196" s="43">
        <f>IF($G2196=1,INDEX(DarlSollzins,5),INDEX(DarlAnschluss,5))</f>
      </c>
      <c r="I2196" s="43">
        <f>IF(INDEX(DarlBelegt,5)=0,0,IF(INDEX(DarlOhneTilgung,5)=1,IF(INDEX(DarlBindung,5)="",1,$G2196),IF($J2196&gt;0.005,1,0)))</f>
      </c>
      <c r="J2196" s="43">
        <f>IF($I2195=0,0,$R2195)</f>
      </c>
      <c r="K2196" s="43">
        <f>IF($I2196=0,0,IF(INDEX(DarlOhneTilgung,5)=1,0,IF(AND(INDEX(DarlTilgStart,5)&gt;0,$E2196=INDEX(DarlTilgStart,5)),$J2196*($H2196+INDEX(DarlTilgung,5))/100/12,IF(AND($G2196=0,$G2195=1),MAX($K2195,$J2196*($H2196+1)/100/12),$K2195))))</f>
      </c>
      <c r="L2196" s="43">
        <f>IF($I2196=0,0,$J2196*$H2196/100/12)</f>
      </c>
      <c r="M2196" s="43">
        <f>IF($I2196=0,0,IF(OR(INDEX(DarlOhneTilgung,5)=1,AND(INDEX(DarlTilgStart,5)&gt;0,$E2196&lt;INDEX(DarlTilgStart,5))),0,MIN(MAX(0,$K2196-$L2196),$J2196)))</f>
      </c>
      <c r="N2196" s="43">
        <f>IF($I2196=0,0,MIN(SUMIFS(SondBetrag,SondDarl,5,SondDatum,"&gt;="&amp;$E2196,SondDatum,"&lt;="&amp;EOMONTH($E2196,0)),$J2196-$M2196))</f>
      </c>
      <c r="O2196" s="43">
        <f>IF($I2196=0,0,INDEX(DarlErsatzRate,5))</f>
      </c>
      <c r="P2196" s="43">
        <f>IF($I2196=0,0,$Q2195*INDEX(DarlErsatzZins,5))</f>
      </c>
      <c r="Q2196" s="43">
        <f>IF($I2196=0,0,$Q2195+$P2196+$O2196)</f>
      </c>
      <c r="R2196" s="43">
        <f>IF($I2196=0,0,$J2196-$M2196-$N2196)</f>
      </c>
    </row>
    <row r="2197">
      <c r="A2197"/>
      <c r="B2197">
        <v>5</v>
      </c>
      <c r="C2197" s="43">
        <f>INDEX(DarlObj,5)</f>
      </c>
      <c r="D2197">
        <v>274</v>
      </c>
      <c r="E2197" s="51">
        <f>IF(INDEX(DarlBelegt,5)=0,0,EOMONTH(INDEX(DarlAuszahlung,5),273)+1)</f>
      </c>
      <c r="F2197" s="43">
        <f>IF($E2197=0,0,YEAR($E2197))</f>
      </c>
      <c r="G2197" s="43">
        <f>IF(INDEX(DarlBindung,5)="",1,IF($E2197&lt;=INDEX(DarlBindung,5),1,0))</f>
      </c>
      <c r="H2197" s="43">
        <f>IF($G2197=1,INDEX(DarlSollzins,5),INDEX(DarlAnschluss,5))</f>
      </c>
      <c r="I2197" s="43">
        <f>IF(INDEX(DarlBelegt,5)=0,0,IF(INDEX(DarlOhneTilgung,5)=1,IF(INDEX(DarlBindung,5)="",1,$G2197),IF($J2197&gt;0.005,1,0)))</f>
      </c>
      <c r="J2197" s="43">
        <f>IF($I2196=0,0,$R2196)</f>
      </c>
      <c r="K2197" s="43">
        <f>IF($I2197=0,0,IF(INDEX(DarlOhneTilgung,5)=1,0,IF(AND(INDEX(DarlTilgStart,5)&gt;0,$E2197=INDEX(DarlTilgStart,5)),$J2197*($H2197+INDEX(DarlTilgung,5))/100/12,IF(AND($G2197=0,$G2196=1),MAX($K2196,$J2197*($H2197+1)/100/12),$K2196))))</f>
      </c>
      <c r="L2197" s="43">
        <f>IF($I2197=0,0,$J2197*$H2197/100/12)</f>
      </c>
      <c r="M2197" s="43">
        <f>IF($I2197=0,0,IF(OR(INDEX(DarlOhneTilgung,5)=1,AND(INDEX(DarlTilgStart,5)&gt;0,$E2197&lt;INDEX(DarlTilgStart,5))),0,MIN(MAX(0,$K2197-$L2197),$J2197)))</f>
      </c>
      <c r="N2197" s="43">
        <f>IF($I2197=0,0,MIN(SUMIFS(SondBetrag,SondDarl,5,SondDatum,"&gt;="&amp;$E2197,SondDatum,"&lt;="&amp;EOMONTH($E2197,0)),$J2197-$M2197))</f>
      </c>
      <c r="O2197" s="43">
        <f>IF($I2197=0,0,INDEX(DarlErsatzRate,5))</f>
      </c>
      <c r="P2197" s="43">
        <f>IF($I2197=0,0,$Q2196*INDEX(DarlErsatzZins,5))</f>
      </c>
      <c r="Q2197" s="43">
        <f>IF($I2197=0,0,$Q2196+$P2197+$O2197)</f>
      </c>
      <c r="R2197" s="43">
        <f>IF($I2197=0,0,$J2197-$M2197-$N2197)</f>
      </c>
    </row>
    <row r="2198">
      <c r="A2198"/>
      <c r="B2198">
        <v>5</v>
      </c>
      <c r="C2198" s="43">
        <f>INDEX(DarlObj,5)</f>
      </c>
      <c r="D2198">
        <v>275</v>
      </c>
      <c r="E2198" s="51">
        <f>IF(INDEX(DarlBelegt,5)=0,0,EOMONTH(INDEX(DarlAuszahlung,5),274)+1)</f>
      </c>
      <c r="F2198" s="43">
        <f>IF($E2198=0,0,YEAR($E2198))</f>
      </c>
      <c r="G2198" s="43">
        <f>IF(INDEX(DarlBindung,5)="",1,IF($E2198&lt;=INDEX(DarlBindung,5),1,0))</f>
      </c>
      <c r="H2198" s="43">
        <f>IF($G2198=1,INDEX(DarlSollzins,5),INDEX(DarlAnschluss,5))</f>
      </c>
      <c r="I2198" s="43">
        <f>IF(INDEX(DarlBelegt,5)=0,0,IF(INDEX(DarlOhneTilgung,5)=1,IF(INDEX(DarlBindung,5)="",1,$G2198),IF($J2198&gt;0.005,1,0)))</f>
      </c>
      <c r="J2198" s="43">
        <f>IF($I2197=0,0,$R2197)</f>
      </c>
      <c r="K2198" s="43">
        <f>IF($I2198=0,0,IF(INDEX(DarlOhneTilgung,5)=1,0,IF(AND(INDEX(DarlTilgStart,5)&gt;0,$E2198=INDEX(DarlTilgStart,5)),$J2198*($H2198+INDEX(DarlTilgung,5))/100/12,IF(AND($G2198=0,$G2197=1),MAX($K2197,$J2198*($H2198+1)/100/12),$K2197))))</f>
      </c>
      <c r="L2198" s="43">
        <f>IF($I2198=0,0,$J2198*$H2198/100/12)</f>
      </c>
      <c r="M2198" s="43">
        <f>IF($I2198=0,0,IF(OR(INDEX(DarlOhneTilgung,5)=1,AND(INDEX(DarlTilgStart,5)&gt;0,$E2198&lt;INDEX(DarlTilgStart,5))),0,MIN(MAX(0,$K2198-$L2198),$J2198)))</f>
      </c>
      <c r="N2198" s="43">
        <f>IF($I2198=0,0,MIN(SUMIFS(SondBetrag,SondDarl,5,SondDatum,"&gt;="&amp;$E2198,SondDatum,"&lt;="&amp;EOMONTH($E2198,0)),$J2198-$M2198))</f>
      </c>
      <c r="O2198" s="43">
        <f>IF($I2198=0,0,INDEX(DarlErsatzRate,5))</f>
      </c>
      <c r="P2198" s="43">
        <f>IF($I2198=0,0,$Q2197*INDEX(DarlErsatzZins,5))</f>
      </c>
      <c r="Q2198" s="43">
        <f>IF($I2198=0,0,$Q2197+$P2198+$O2198)</f>
      </c>
      <c r="R2198" s="43">
        <f>IF($I2198=0,0,$J2198-$M2198-$N2198)</f>
      </c>
    </row>
    <row r="2199">
      <c r="A2199"/>
      <c r="B2199">
        <v>5</v>
      </c>
      <c r="C2199" s="43">
        <f>INDEX(DarlObj,5)</f>
      </c>
      <c r="D2199">
        <v>276</v>
      </c>
      <c r="E2199" s="51">
        <f>IF(INDEX(DarlBelegt,5)=0,0,EOMONTH(INDEX(DarlAuszahlung,5),275)+1)</f>
      </c>
      <c r="F2199" s="43">
        <f>IF($E2199=0,0,YEAR($E2199))</f>
      </c>
      <c r="G2199" s="43">
        <f>IF(INDEX(DarlBindung,5)="",1,IF($E2199&lt;=INDEX(DarlBindung,5),1,0))</f>
      </c>
      <c r="H2199" s="43">
        <f>IF($G2199=1,INDEX(DarlSollzins,5),INDEX(DarlAnschluss,5))</f>
      </c>
      <c r="I2199" s="43">
        <f>IF(INDEX(DarlBelegt,5)=0,0,IF(INDEX(DarlOhneTilgung,5)=1,IF(INDEX(DarlBindung,5)="",1,$G2199),IF($J2199&gt;0.005,1,0)))</f>
      </c>
      <c r="J2199" s="43">
        <f>IF($I2198=0,0,$R2198)</f>
      </c>
      <c r="K2199" s="43">
        <f>IF($I2199=0,0,IF(INDEX(DarlOhneTilgung,5)=1,0,IF(AND(INDEX(DarlTilgStart,5)&gt;0,$E2199=INDEX(DarlTilgStart,5)),$J2199*($H2199+INDEX(DarlTilgung,5))/100/12,IF(AND($G2199=0,$G2198=1),MAX($K2198,$J2199*($H2199+1)/100/12),$K2198))))</f>
      </c>
      <c r="L2199" s="43">
        <f>IF($I2199=0,0,$J2199*$H2199/100/12)</f>
      </c>
      <c r="M2199" s="43">
        <f>IF($I2199=0,0,IF(OR(INDEX(DarlOhneTilgung,5)=1,AND(INDEX(DarlTilgStart,5)&gt;0,$E2199&lt;INDEX(DarlTilgStart,5))),0,MIN(MAX(0,$K2199-$L2199),$J2199)))</f>
      </c>
      <c r="N2199" s="43">
        <f>IF($I2199=0,0,MIN(SUMIFS(SondBetrag,SondDarl,5,SondDatum,"&gt;="&amp;$E2199,SondDatum,"&lt;="&amp;EOMONTH($E2199,0)),$J2199-$M2199))</f>
      </c>
      <c r="O2199" s="43">
        <f>IF($I2199=0,0,INDEX(DarlErsatzRate,5))</f>
      </c>
      <c r="P2199" s="43">
        <f>IF($I2199=0,0,$Q2198*INDEX(DarlErsatzZins,5))</f>
      </c>
      <c r="Q2199" s="43">
        <f>IF($I2199=0,0,$Q2198+$P2199+$O2199)</f>
      </c>
      <c r="R2199" s="43">
        <f>IF($I2199=0,0,$J2199-$M2199-$N2199)</f>
      </c>
    </row>
    <row r="2200">
      <c r="A2200"/>
      <c r="B2200">
        <v>5</v>
      </c>
      <c r="C2200" s="43">
        <f>INDEX(DarlObj,5)</f>
      </c>
      <c r="D2200">
        <v>277</v>
      </c>
      <c r="E2200" s="51">
        <f>IF(INDEX(DarlBelegt,5)=0,0,EOMONTH(INDEX(DarlAuszahlung,5),276)+1)</f>
      </c>
      <c r="F2200" s="43">
        <f>IF($E2200=0,0,YEAR($E2200))</f>
      </c>
      <c r="G2200" s="43">
        <f>IF(INDEX(DarlBindung,5)="",1,IF($E2200&lt;=INDEX(DarlBindung,5),1,0))</f>
      </c>
      <c r="H2200" s="43">
        <f>IF($G2200=1,INDEX(DarlSollzins,5),INDEX(DarlAnschluss,5))</f>
      </c>
      <c r="I2200" s="43">
        <f>IF(INDEX(DarlBelegt,5)=0,0,IF(INDEX(DarlOhneTilgung,5)=1,IF(INDEX(DarlBindung,5)="",1,$G2200),IF($J2200&gt;0.005,1,0)))</f>
      </c>
      <c r="J2200" s="43">
        <f>IF($I2199=0,0,$R2199)</f>
      </c>
      <c r="K2200" s="43">
        <f>IF($I2200=0,0,IF(INDEX(DarlOhneTilgung,5)=1,0,IF(AND(INDEX(DarlTilgStart,5)&gt;0,$E2200=INDEX(DarlTilgStart,5)),$J2200*($H2200+INDEX(DarlTilgung,5))/100/12,IF(AND($G2200=0,$G2199=1),MAX($K2199,$J2200*($H2200+1)/100/12),$K2199))))</f>
      </c>
      <c r="L2200" s="43">
        <f>IF($I2200=0,0,$J2200*$H2200/100/12)</f>
      </c>
      <c r="M2200" s="43">
        <f>IF($I2200=0,0,IF(OR(INDEX(DarlOhneTilgung,5)=1,AND(INDEX(DarlTilgStart,5)&gt;0,$E2200&lt;INDEX(DarlTilgStart,5))),0,MIN(MAX(0,$K2200-$L2200),$J2200)))</f>
      </c>
      <c r="N2200" s="43">
        <f>IF($I2200=0,0,MIN(SUMIFS(SondBetrag,SondDarl,5,SondDatum,"&gt;="&amp;$E2200,SondDatum,"&lt;="&amp;EOMONTH($E2200,0)),$J2200-$M2200))</f>
      </c>
      <c r="O2200" s="43">
        <f>IF($I2200=0,0,INDEX(DarlErsatzRate,5))</f>
      </c>
      <c r="P2200" s="43">
        <f>IF($I2200=0,0,$Q2199*INDEX(DarlErsatzZins,5))</f>
      </c>
      <c r="Q2200" s="43">
        <f>IF($I2200=0,0,$Q2199+$P2200+$O2200)</f>
      </c>
      <c r="R2200" s="43">
        <f>IF($I2200=0,0,$J2200-$M2200-$N2200)</f>
      </c>
    </row>
    <row r="2201">
      <c r="A2201"/>
      <c r="B2201">
        <v>5</v>
      </c>
      <c r="C2201" s="43">
        <f>INDEX(DarlObj,5)</f>
      </c>
      <c r="D2201">
        <v>278</v>
      </c>
      <c r="E2201" s="51">
        <f>IF(INDEX(DarlBelegt,5)=0,0,EOMONTH(INDEX(DarlAuszahlung,5),277)+1)</f>
      </c>
      <c r="F2201" s="43">
        <f>IF($E2201=0,0,YEAR($E2201))</f>
      </c>
      <c r="G2201" s="43">
        <f>IF(INDEX(DarlBindung,5)="",1,IF($E2201&lt;=INDEX(DarlBindung,5),1,0))</f>
      </c>
      <c r="H2201" s="43">
        <f>IF($G2201=1,INDEX(DarlSollzins,5),INDEX(DarlAnschluss,5))</f>
      </c>
      <c r="I2201" s="43">
        <f>IF(INDEX(DarlBelegt,5)=0,0,IF(INDEX(DarlOhneTilgung,5)=1,IF(INDEX(DarlBindung,5)="",1,$G2201),IF($J2201&gt;0.005,1,0)))</f>
      </c>
      <c r="J2201" s="43">
        <f>IF($I2200=0,0,$R2200)</f>
      </c>
      <c r="K2201" s="43">
        <f>IF($I2201=0,0,IF(INDEX(DarlOhneTilgung,5)=1,0,IF(AND(INDEX(DarlTilgStart,5)&gt;0,$E2201=INDEX(DarlTilgStart,5)),$J2201*($H2201+INDEX(DarlTilgung,5))/100/12,IF(AND($G2201=0,$G2200=1),MAX($K2200,$J2201*($H2201+1)/100/12),$K2200))))</f>
      </c>
      <c r="L2201" s="43">
        <f>IF($I2201=0,0,$J2201*$H2201/100/12)</f>
      </c>
      <c r="M2201" s="43">
        <f>IF($I2201=0,0,IF(OR(INDEX(DarlOhneTilgung,5)=1,AND(INDEX(DarlTilgStart,5)&gt;0,$E2201&lt;INDEX(DarlTilgStart,5))),0,MIN(MAX(0,$K2201-$L2201),$J2201)))</f>
      </c>
      <c r="N2201" s="43">
        <f>IF($I2201=0,0,MIN(SUMIFS(SondBetrag,SondDarl,5,SondDatum,"&gt;="&amp;$E2201,SondDatum,"&lt;="&amp;EOMONTH($E2201,0)),$J2201-$M2201))</f>
      </c>
      <c r="O2201" s="43">
        <f>IF($I2201=0,0,INDEX(DarlErsatzRate,5))</f>
      </c>
      <c r="P2201" s="43">
        <f>IF($I2201=0,0,$Q2200*INDEX(DarlErsatzZins,5))</f>
      </c>
      <c r="Q2201" s="43">
        <f>IF($I2201=0,0,$Q2200+$P2201+$O2201)</f>
      </c>
      <c r="R2201" s="43">
        <f>IF($I2201=0,0,$J2201-$M2201-$N2201)</f>
      </c>
    </row>
    <row r="2202">
      <c r="A2202"/>
      <c r="B2202">
        <v>5</v>
      </c>
      <c r="C2202" s="43">
        <f>INDEX(DarlObj,5)</f>
      </c>
      <c r="D2202">
        <v>279</v>
      </c>
      <c r="E2202" s="51">
        <f>IF(INDEX(DarlBelegt,5)=0,0,EOMONTH(INDEX(DarlAuszahlung,5),278)+1)</f>
      </c>
      <c r="F2202" s="43">
        <f>IF($E2202=0,0,YEAR($E2202))</f>
      </c>
      <c r="G2202" s="43">
        <f>IF(INDEX(DarlBindung,5)="",1,IF($E2202&lt;=INDEX(DarlBindung,5),1,0))</f>
      </c>
      <c r="H2202" s="43">
        <f>IF($G2202=1,INDEX(DarlSollzins,5),INDEX(DarlAnschluss,5))</f>
      </c>
      <c r="I2202" s="43">
        <f>IF(INDEX(DarlBelegt,5)=0,0,IF(INDEX(DarlOhneTilgung,5)=1,IF(INDEX(DarlBindung,5)="",1,$G2202),IF($J2202&gt;0.005,1,0)))</f>
      </c>
      <c r="J2202" s="43">
        <f>IF($I2201=0,0,$R2201)</f>
      </c>
      <c r="K2202" s="43">
        <f>IF($I2202=0,0,IF(INDEX(DarlOhneTilgung,5)=1,0,IF(AND(INDEX(DarlTilgStart,5)&gt;0,$E2202=INDEX(DarlTilgStart,5)),$J2202*($H2202+INDEX(DarlTilgung,5))/100/12,IF(AND($G2202=0,$G2201=1),MAX($K2201,$J2202*($H2202+1)/100/12),$K2201))))</f>
      </c>
      <c r="L2202" s="43">
        <f>IF($I2202=0,0,$J2202*$H2202/100/12)</f>
      </c>
      <c r="M2202" s="43">
        <f>IF($I2202=0,0,IF(OR(INDEX(DarlOhneTilgung,5)=1,AND(INDEX(DarlTilgStart,5)&gt;0,$E2202&lt;INDEX(DarlTilgStart,5))),0,MIN(MAX(0,$K2202-$L2202),$J2202)))</f>
      </c>
      <c r="N2202" s="43">
        <f>IF($I2202=0,0,MIN(SUMIFS(SondBetrag,SondDarl,5,SondDatum,"&gt;="&amp;$E2202,SondDatum,"&lt;="&amp;EOMONTH($E2202,0)),$J2202-$M2202))</f>
      </c>
      <c r="O2202" s="43">
        <f>IF($I2202=0,0,INDEX(DarlErsatzRate,5))</f>
      </c>
      <c r="P2202" s="43">
        <f>IF($I2202=0,0,$Q2201*INDEX(DarlErsatzZins,5))</f>
      </c>
      <c r="Q2202" s="43">
        <f>IF($I2202=0,0,$Q2201+$P2202+$O2202)</f>
      </c>
      <c r="R2202" s="43">
        <f>IF($I2202=0,0,$J2202-$M2202-$N2202)</f>
      </c>
    </row>
    <row r="2203">
      <c r="A2203"/>
      <c r="B2203">
        <v>5</v>
      </c>
      <c r="C2203" s="43">
        <f>INDEX(DarlObj,5)</f>
      </c>
      <c r="D2203">
        <v>280</v>
      </c>
      <c r="E2203" s="51">
        <f>IF(INDEX(DarlBelegt,5)=0,0,EOMONTH(INDEX(DarlAuszahlung,5),279)+1)</f>
      </c>
      <c r="F2203" s="43">
        <f>IF($E2203=0,0,YEAR($E2203))</f>
      </c>
      <c r="G2203" s="43">
        <f>IF(INDEX(DarlBindung,5)="",1,IF($E2203&lt;=INDEX(DarlBindung,5),1,0))</f>
      </c>
      <c r="H2203" s="43">
        <f>IF($G2203=1,INDEX(DarlSollzins,5),INDEX(DarlAnschluss,5))</f>
      </c>
      <c r="I2203" s="43">
        <f>IF(INDEX(DarlBelegt,5)=0,0,IF(INDEX(DarlOhneTilgung,5)=1,IF(INDEX(DarlBindung,5)="",1,$G2203),IF($J2203&gt;0.005,1,0)))</f>
      </c>
      <c r="J2203" s="43">
        <f>IF($I2202=0,0,$R2202)</f>
      </c>
      <c r="K2203" s="43">
        <f>IF($I2203=0,0,IF(INDEX(DarlOhneTilgung,5)=1,0,IF(AND(INDEX(DarlTilgStart,5)&gt;0,$E2203=INDEX(DarlTilgStart,5)),$J2203*($H2203+INDEX(DarlTilgung,5))/100/12,IF(AND($G2203=0,$G2202=1),MAX($K2202,$J2203*($H2203+1)/100/12),$K2202))))</f>
      </c>
      <c r="L2203" s="43">
        <f>IF($I2203=0,0,$J2203*$H2203/100/12)</f>
      </c>
      <c r="M2203" s="43">
        <f>IF($I2203=0,0,IF(OR(INDEX(DarlOhneTilgung,5)=1,AND(INDEX(DarlTilgStart,5)&gt;0,$E2203&lt;INDEX(DarlTilgStart,5))),0,MIN(MAX(0,$K2203-$L2203),$J2203)))</f>
      </c>
      <c r="N2203" s="43">
        <f>IF($I2203=0,0,MIN(SUMIFS(SondBetrag,SondDarl,5,SondDatum,"&gt;="&amp;$E2203,SondDatum,"&lt;="&amp;EOMONTH($E2203,0)),$J2203-$M2203))</f>
      </c>
      <c r="O2203" s="43">
        <f>IF($I2203=0,0,INDEX(DarlErsatzRate,5))</f>
      </c>
      <c r="P2203" s="43">
        <f>IF($I2203=0,0,$Q2202*INDEX(DarlErsatzZins,5))</f>
      </c>
      <c r="Q2203" s="43">
        <f>IF($I2203=0,0,$Q2202+$P2203+$O2203)</f>
      </c>
      <c r="R2203" s="43">
        <f>IF($I2203=0,0,$J2203-$M2203-$N2203)</f>
      </c>
    </row>
    <row r="2204">
      <c r="A2204"/>
      <c r="B2204">
        <v>5</v>
      </c>
      <c r="C2204" s="43">
        <f>INDEX(DarlObj,5)</f>
      </c>
      <c r="D2204">
        <v>281</v>
      </c>
      <c r="E2204" s="51">
        <f>IF(INDEX(DarlBelegt,5)=0,0,EOMONTH(INDEX(DarlAuszahlung,5),280)+1)</f>
      </c>
      <c r="F2204" s="43">
        <f>IF($E2204=0,0,YEAR($E2204))</f>
      </c>
      <c r="G2204" s="43">
        <f>IF(INDEX(DarlBindung,5)="",1,IF($E2204&lt;=INDEX(DarlBindung,5),1,0))</f>
      </c>
      <c r="H2204" s="43">
        <f>IF($G2204=1,INDEX(DarlSollzins,5),INDEX(DarlAnschluss,5))</f>
      </c>
      <c r="I2204" s="43">
        <f>IF(INDEX(DarlBelegt,5)=0,0,IF(INDEX(DarlOhneTilgung,5)=1,IF(INDEX(DarlBindung,5)="",1,$G2204),IF($J2204&gt;0.005,1,0)))</f>
      </c>
      <c r="J2204" s="43">
        <f>IF($I2203=0,0,$R2203)</f>
      </c>
      <c r="K2204" s="43">
        <f>IF($I2204=0,0,IF(INDEX(DarlOhneTilgung,5)=1,0,IF(AND(INDEX(DarlTilgStart,5)&gt;0,$E2204=INDEX(DarlTilgStart,5)),$J2204*($H2204+INDEX(DarlTilgung,5))/100/12,IF(AND($G2204=0,$G2203=1),MAX($K2203,$J2204*($H2204+1)/100/12),$K2203))))</f>
      </c>
      <c r="L2204" s="43">
        <f>IF($I2204=0,0,$J2204*$H2204/100/12)</f>
      </c>
      <c r="M2204" s="43">
        <f>IF($I2204=0,0,IF(OR(INDEX(DarlOhneTilgung,5)=1,AND(INDEX(DarlTilgStart,5)&gt;0,$E2204&lt;INDEX(DarlTilgStart,5))),0,MIN(MAX(0,$K2204-$L2204),$J2204)))</f>
      </c>
      <c r="N2204" s="43">
        <f>IF($I2204=0,0,MIN(SUMIFS(SondBetrag,SondDarl,5,SondDatum,"&gt;="&amp;$E2204,SondDatum,"&lt;="&amp;EOMONTH($E2204,0)),$J2204-$M2204))</f>
      </c>
      <c r="O2204" s="43">
        <f>IF($I2204=0,0,INDEX(DarlErsatzRate,5))</f>
      </c>
      <c r="P2204" s="43">
        <f>IF($I2204=0,0,$Q2203*INDEX(DarlErsatzZins,5))</f>
      </c>
      <c r="Q2204" s="43">
        <f>IF($I2204=0,0,$Q2203+$P2204+$O2204)</f>
      </c>
      <c r="R2204" s="43">
        <f>IF($I2204=0,0,$J2204-$M2204-$N2204)</f>
      </c>
    </row>
    <row r="2205">
      <c r="A2205"/>
      <c r="B2205">
        <v>5</v>
      </c>
      <c r="C2205" s="43">
        <f>INDEX(DarlObj,5)</f>
      </c>
      <c r="D2205">
        <v>282</v>
      </c>
      <c r="E2205" s="51">
        <f>IF(INDEX(DarlBelegt,5)=0,0,EOMONTH(INDEX(DarlAuszahlung,5),281)+1)</f>
      </c>
      <c r="F2205" s="43">
        <f>IF($E2205=0,0,YEAR($E2205))</f>
      </c>
      <c r="G2205" s="43">
        <f>IF(INDEX(DarlBindung,5)="",1,IF($E2205&lt;=INDEX(DarlBindung,5),1,0))</f>
      </c>
      <c r="H2205" s="43">
        <f>IF($G2205=1,INDEX(DarlSollzins,5),INDEX(DarlAnschluss,5))</f>
      </c>
      <c r="I2205" s="43">
        <f>IF(INDEX(DarlBelegt,5)=0,0,IF(INDEX(DarlOhneTilgung,5)=1,IF(INDEX(DarlBindung,5)="",1,$G2205),IF($J2205&gt;0.005,1,0)))</f>
      </c>
      <c r="J2205" s="43">
        <f>IF($I2204=0,0,$R2204)</f>
      </c>
      <c r="K2205" s="43">
        <f>IF($I2205=0,0,IF(INDEX(DarlOhneTilgung,5)=1,0,IF(AND(INDEX(DarlTilgStart,5)&gt;0,$E2205=INDEX(DarlTilgStart,5)),$J2205*($H2205+INDEX(DarlTilgung,5))/100/12,IF(AND($G2205=0,$G2204=1),MAX($K2204,$J2205*($H2205+1)/100/12),$K2204))))</f>
      </c>
      <c r="L2205" s="43">
        <f>IF($I2205=0,0,$J2205*$H2205/100/12)</f>
      </c>
      <c r="M2205" s="43">
        <f>IF($I2205=0,0,IF(OR(INDEX(DarlOhneTilgung,5)=1,AND(INDEX(DarlTilgStart,5)&gt;0,$E2205&lt;INDEX(DarlTilgStart,5))),0,MIN(MAX(0,$K2205-$L2205),$J2205)))</f>
      </c>
      <c r="N2205" s="43">
        <f>IF($I2205=0,0,MIN(SUMIFS(SondBetrag,SondDarl,5,SondDatum,"&gt;="&amp;$E2205,SondDatum,"&lt;="&amp;EOMONTH($E2205,0)),$J2205-$M2205))</f>
      </c>
      <c r="O2205" s="43">
        <f>IF($I2205=0,0,INDEX(DarlErsatzRate,5))</f>
      </c>
      <c r="P2205" s="43">
        <f>IF($I2205=0,0,$Q2204*INDEX(DarlErsatzZins,5))</f>
      </c>
      <c r="Q2205" s="43">
        <f>IF($I2205=0,0,$Q2204+$P2205+$O2205)</f>
      </c>
      <c r="R2205" s="43">
        <f>IF($I2205=0,0,$J2205-$M2205-$N2205)</f>
      </c>
    </row>
    <row r="2206">
      <c r="A2206"/>
      <c r="B2206">
        <v>5</v>
      </c>
      <c r="C2206" s="43">
        <f>INDEX(DarlObj,5)</f>
      </c>
      <c r="D2206">
        <v>283</v>
      </c>
      <c r="E2206" s="51">
        <f>IF(INDEX(DarlBelegt,5)=0,0,EOMONTH(INDEX(DarlAuszahlung,5),282)+1)</f>
      </c>
      <c r="F2206" s="43">
        <f>IF($E2206=0,0,YEAR($E2206))</f>
      </c>
      <c r="G2206" s="43">
        <f>IF(INDEX(DarlBindung,5)="",1,IF($E2206&lt;=INDEX(DarlBindung,5),1,0))</f>
      </c>
      <c r="H2206" s="43">
        <f>IF($G2206=1,INDEX(DarlSollzins,5),INDEX(DarlAnschluss,5))</f>
      </c>
      <c r="I2206" s="43">
        <f>IF(INDEX(DarlBelegt,5)=0,0,IF(INDEX(DarlOhneTilgung,5)=1,IF(INDEX(DarlBindung,5)="",1,$G2206),IF($J2206&gt;0.005,1,0)))</f>
      </c>
      <c r="J2206" s="43">
        <f>IF($I2205=0,0,$R2205)</f>
      </c>
      <c r="K2206" s="43">
        <f>IF($I2206=0,0,IF(INDEX(DarlOhneTilgung,5)=1,0,IF(AND(INDEX(DarlTilgStart,5)&gt;0,$E2206=INDEX(DarlTilgStart,5)),$J2206*($H2206+INDEX(DarlTilgung,5))/100/12,IF(AND($G2206=0,$G2205=1),MAX($K2205,$J2206*($H2206+1)/100/12),$K2205))))</f>
      </c>
      <c r="L2206" s="43">
        <f>IF($I2206=0,0,$J2206*$H2206/100/12)</f>
      </c>
      <c r="M2206" s="43">
        <f>IF($I2206=0,0,IF(OR(INDEX(DarlOhneTilgung,5)=1,AND(INDEX(DarlTilgStart,5)&gt;0,$E2206&lt;INDEX(DarlTilgStart,5))),0,MIN(MAX(0,$K2206-$L2206),$J2206)))</f>
      </c>
      <c r="N2206" s="43">
        <f>IF($I2206=0,0,MIN(SUMIFS(SondBetrag,SondDarl,5,SondDatum,"&gt;="&amp;$E2206,SondDatum,"&lt;="&amp;EOMONTH($E2206,0)),$J2206-$M2206))</f>
      </c>
      <c r="O2206" s="43">
        <f>IF($I2206=0,0,INDEX(DarlErsatzRate,5))</f>
      </c>
      <c r="P2206" s="43">
        <f>IF($I2206=0,0,$Q2205*INDEX(DarlErsatzZins,5))</f>
      </c>
      <c r="Q2206" s="43">
        <f>IF($I2206=0,0,$Q2205+$P2206+$O2206)</f>
      </c>
      <c r="R2206" s="43">
        <f>IF($I2206=0,0,$J2206-$M2206-$N2206)</f>
      </c>
    </row>
    <row r="2207">
      <c r="A2207"/>
      <c r="B2207">
        <v>5</v>
      </c>
      <c r="C2207" s="43">
        <f>INDEX(DarlObj,5)</f>
      </c>
      <c r="D2207">
        <v>284</v>
      </c>
      <c r="E2207" s="51">
        <f>IF(INDEX(DarlBelegt,5)=0,0,EOMONTH(INDEX(DarlAuszahlung,5),283)+1)</f>
      </c>
      <c r="F2207" s="43">
        <f>IF($E2207=0,0,YEAR($E2207))</f>
      </c>
      <c r="G2207" s="43">
        <f>IF(INDEX(DarlBindung,5)="",1,IF($E2207&lt;=INDEX(DarlBindung,5),1,0))</f>
      </c>
      <c r="H2207" s="43">
        <f>IF($G2207=1,INDEX(DarlSollzins,5),INDEX(DarlAnschluss,5))</f>
      </c>
      <c r="I2207" s="43">
        <f>IF(INDEX(DarlBelegt,5)=0,0,IF(INDEX(DarlOhneTilgung,5)=1,IF(INDEX(DarlBindung,5)="",1,$G2207),IF($J2207&gt;0.005,1,0)))</f>
      </c>
      <c r="J2207" s="43">
        <f>IF($I2206=0,0,$R2206)</f>
      </c>
      <c r="K2207" s="43">
        <f>IF($I2207=0,0,IF(INDEX(DarlOhneTilgung,5)=1,0,IF(AND(INDEX(DarlTilgStart,5)&gt;0,$E2207=INDEX(DarlTilgStart,5)),$J2207*($H2207+INDEX(DarlTilgung,5))/100/12,IF(AND($G2207=0,$G2206=1),MAX($K2206,$J2207*($H2207+1)/100/12),$K2206))))</f>
      </c>
      <c r="L2207" s="43">
        <f>IF($I2207=0,0,$J2207*$H2207/100/12)</f>
      </c>
      <c r="M2207" s="43">
        <f>IF($I2207=0,0,IF(OR(INDEX(DarlOhneTilgung,5)=1,AND(INDEX(DarlTilgStart,5)&gt;0,$E2207&lt;INDEX(DarlTilgStart,5))),0,MIN(MAX(0,$K2207-$L2207),$J2207)))</f>
      </c>
      <c r="N2207" s="43">
        <f>IF($I2207=0,0,MIN(SUMIFS(SondBetrag,SondDarl,5,SondDatum,"&gt;="&amp;$E2207,SondDatum,"&lt;="&amp;EOMONTH($E2207,0)),$J2207-$M2207))</f>
      </c>
      <c r="O2207" s="43">
        <f>IF($I2207=0,0,INDEX(DarlErsatzRate,5))</f>
      </c>
      <c r="P2207" s="43">
        <f>IF($I2207=0,0,$Q2206*INDEX(DarlErsatzZins,5))</f>
      </c>
      <c r="Q2207" s="43">
        <f>IF($I2207=0,0,$Q2206+$P2207+$O2207)</f>
      </c>
      <c r="R2207" s="43">
        <f>IF($I2207=0,0,$J2207-$M2207-$N2207)</f>
      </c>
    </row>
    <row r="2208">
      <c r="A2208"/>
      <c r="B2208">
        <v>5</v>
      </c>
      <c r="C2208" s="43">
        <f>INDEX(DarlObj,5)</f>
      </c>
      <c r="D2208">
        <v>285</v>
      </c>
      <c r="E2208" s="51">
        <f>IF(INDEX(DarlBelegt,5)=0,0,EOMONTH(INDEX(DarlAuszahlung,5),284)+1)</f>
      </c>
      <c r="F2208" s="43">
        <f>IF($E2208=0,0,YEAR($E2208))</f>
      </c>
      <c r="G2208" s="43">
        <f>IF(INDEX(DarlBindung,5)="",1,IF($E2208&lt;=INDEX(DarlBindung,5),1,0))</f>
      </c>
      <c r="H2208" s="43">
        <f>IF($G2208=1,INDEX(DarlSollzins,5),INDEX(DarlAnschluss,5))</f>
      </c>
      <c r="I2208" s="43">
        <f>IF(INDEX(DarlBelegt,5)=0,0,IF(INDEX(DarlOhneTilgung,5)=1,IF(INDEX(DarlBindung,5)="",1,$G2208),IF($J2208&gt;0.005,1,0)))</f>
      </c>
      <c r="J2208" s="43">
        <f>IF($I2207=0,0,$R2207)</f>
      </c>
      <c r="K2208" s="43">
        <f>IF($I2208=0,0,IF(INDEX(DarlOhneTilgung,5)=1,0,IF(AND(INDEX(DarlTilgStart,5)&gt;0,$E2208=INDEX(DarlTilgStart,5)),$J2208*($H2208+INDEX(DarlTilgung,5))/100/12,IF(AND($G2208=0,$G2207=1),MAX($K2207,$J2208*($H2208+1)/100/12),$K2207))))</f>
      </c>
      <c r="L2208" s="43">
        <f>IF($I2208=0,0,$J2208*$H2208/100/12)</f>
      </c>
      <c r="M2208" s="43">
        <f>IF($I2208=0,0,IF(OR(INDEX(DarlOhneTilgung,5)=1,AND(INDEX(DarlTilgStart,5)&gt;0,$E2208&lt;INDEX(DarlTilgStart,5))),0,MIN(MAX(0,$K2208-$L2208),$J2208)))</f>
      </c>
      <c r="N2208" s="43">
        <f>IF($I2208=0,0,MIN(SUMIFS(SondBetrag,SondDarl,5,SondDatum,"&gt;="&amp;$E2208,SondDatum,"&lt;="&amp;EOMONTH($E2208,0)),$J2208-$M2208))</f>
      </c>
      <c r="O2208" s="43">
        <f>IF($I2208=0,0,INDEX(DarlErsatzRate,5))</f>
      </c>
      <c r="P2208" s="43">
        <f>IF($I2208=0,0,$Q2207*INDEX(DarlErsatzZins,5))</f>
      </c>
      <c r="Q2208" s="43">
        <f>IF($I2208=0,0,$Q2207+$P2208+$O2208)</f>
      </c>
      <c r="R2208" s="43">
        <f>IF($I2208=0,0,$J2208-$M2208-$N2208)</f>
      </c>
    </row>
    <row r="2209">
      <c r="A2209"/>
      <c r="B2209">
        <v>5</v>
      </c>
      <c r="C2209" s="43">
        <f>INDEX(DarlObj,5)</f>
      </c>
      <c r="D2209">
        <v>286</v>
      </c>
      <c r="E2209" s="51">
        <f>IF(INDEX(DarlBelegt,5)=0,0,EOMONTH(INDEX(DarlAuszahlung,5),285)+1)</f>
      </c>
      <c r="F2209" s="43">
        <f>IF($E2209=0,0,YEAR($E2209))</f>
      </c>
      <c r="G2209" s="43">
        <f>IF(INDEX(DarlBindung,5)="",1,IF($E2209&lt;=INDEX(DarlBindung,5),1,0))</f>
      </c>
      <c r="H2209" s="43">
        <f>IF($G2209=1,INDEX(DarlSollzins,5),INDEX(DarlAnschluss,5))</f>
      </c>
      <c r="I2209" s="43">
        <f>IF(INDEX(DarlBelegt,5)=0,0,IF(INDEX(DarlOhneTilgung,5)=1,IF(INDEX(DarlBindung,5)="",1,$G2209),IF($J2209&gt;0.005,1,0)))</f>
      </c>
      <c r="J2209" s="43">
        <f>IF($I2208=0,0,$R2208)</f>
      </c>
      <c r="K2209" s="43">
        <f>IF($I2209=0,0,IF(INDEX(DarlOhneTilgung,5)=1,0,IF(AND(INDEX(DarlTilgStart,5)&gt;0,$E2209=INDEX(DarlTilgStart,5)),$J2209*($H2209+INDEX(DarlTilgung,5))/100/12,IF(AND($G2209=0,$G2208=1),MAX($K2208,$J2209*($H2209+1)/100/12),$K2208))))</f>
      </c>
      <c r="L2209" s="43">
        <f>IF($I2209=0,0,$J2209*$H2209/100/12)</f>
      </c>
      <c r="M2209" s="43">
        <f>IF($I2209=0,0,IF(OR(INDEX(DarlOhneTilgung,5)=1,AND(INDEX(DarlTilgStart,5)&gt;0,$E2209&lt;INDEX(DarlTilgStart,5))),0,MIN(MAX(0,$K2209-$L2209),$J2209)))</f>
      </c>
      <c r="N2209" s="43">
        <f>IF($I2209=0,0,MIN(SUMIFS(SondBetrag,SondDarl,5,SondDatum,"&gt;="&amp;$E2209,SondDatum,"&lt;="&amp;EOMONTH($E2209,0)),$J2209-$M2209))</f>
      </c>
      <c r="O2209" s="43">
        <f>IF($I2209=0,0,INDEX(DarlErsatzRate,5))</f>
      </c>
      <c r="P2209" s="43">
        <f>IF($I2209=0,0,$Q2208*INDEX(DarlErsatzZins,5))</f>
      </c>
      <c r="Q2209" s="43">
        <f>IF($I2209=0,0,$Q2208+$P2209+$O2209)</f>
      </c>
      <c r="R2209" s="43">
        <f>IF($I2209=0,0,$J2209-$M2209-$N2209)</f>
      </c>
    </row>
    <row r="2210">
      <c r="A2210"/>
      <c r="B2210">
        <v>5</v>
      </c>
      <c r="C2210" s="43">
        <f>INDEX(DarlObj,5)</f>
      </c>
      <c r="D2210">
        <v>287</v>
      </c>
      <c r="E2210" s="51">
        <f>IF(INDEX(DarlBelegt,5)=0,0,EOMONTH(INDEX(DarlAuszahlung,5),286)+1)</f>
      </c>
      <c r="F2210" s="43">
        <f>IF($E2210=0,0,YEAR($E2210))</f>
      </c>
      <c r="G2210" s="43">
        <f>IF(INDEX(DarlBindung,5)="",1,IF($E2210&lt;=INDEX(DarlBindung,5),1,0))</f>
      </c>
      <c r="H2210" s="43">
        <f>IF($G2210=1,INDEX(DarlSollzins,5),INDEX(DarlAnschluss,5))</f>
      </c>
      <c r="I2210" s="43">
        <f>IF(INDEX(DarlBelegt,5)=0,0,IF(INDEX(DarlOhneTilgung,5)=1,IF(INDEX(DarlBindung,5)="",1,$G2210),IF($J2210&gt;0.005,1,0)))</f>
      </c>
      <c r="J2210" s="43">
        <f>IF($I2209=0,0,$R2209)</f>
      </c>
      <c r="K2210" s="43">
        <f>IF($I2210=0,0,IF(INDEX(DarlOhneTilgung,5)=1,0,IF(AND(INDEX(DarlTilgStart,5)&gt;0,$E2210=INDEX(DarlTilgStart,5)),$J2210*($H2210+INDEX(DarlTilgung,5))/100/12,IF(AND($G2210=0,$G2209=1),MAX($K2209,$J2210*($H2210+1)/100/12),$K2209))))</f>
      </c>
      <c r="L2210" s="43">
        <f>IF($I2210=0,0,$J2210*$H2210/100/12)</f>
      </c>
      <c r="M2210" s="43">
        <f>IF($I2210=0,0,IF(OR(INDEX(DarlOhneTilgung,5)=1,AND(INDEX(DarlTilgStart,5)&gt;0,$E2210&lt;INDEX(DarlTilgStart,5))),0,MIN(MAX(0,$K2210-$L2210),$J2210)))</f>
      </c>
      <c r="N2210" s="43">
        <f>IF($I2210=0,0,MIN(SUMIFS(SondBetrag,SondDarl,5,SondDatum,"&gt;="&amp;$E2210,SondDatum,"&lt;="&amp;EOMONTH($E2210,0)),$J2210-$M2210))</f>
      </c>
      <c r="O2210" s="43">
        <f>IF($I2210=0,0,INDEX(DarlErsatzRate,5))</f>
      </c>
      <c r="P2210" s="43">
        <f>IF($I2210=0,0,$Q2209*INDEX(DarlErsatzZins,5))</f>
      </c>
      <c r="Q2210" s="43">
        <f>IF($I2210=0,0,$Q2209+$P2210+$O2210)</f>
      </c>
      <c r="R2210" s="43">
        <f>IF($I2210=0,0,$J2210-$M2210-$N2210)</f>
      </c>
    </row>
    <row r="2211">
      <c r="A2211"/>
      <c r="B2211">
        <v>5</v>
      </c>
      <c r="C2211" s="43">
        <f>INDEX(DarlObj,5)</f>
      </c>
      <c r="D2211">
        <v>288</v>
      </c>
      <c r="E2211" s="51">
        <f>IF(INDEX(DarlBelegt,5)=0,0,EOMONTH(INDEX(DarlAuszahlung,5),287)+1)</f>
      </c>
      <c r="F2211" s="43">
        <f>IF($E2211=0,0,YEAR($E2211))</f>
      </c>
      <c r="G2211" s="43">
        <f>IF(INDEX(DarlBindung,5)="",1,IF($E2211&lt;=INDEX(DarlBindung,5),1,0))</f>
      </c>
      <c r="H2211" s="43">
        <f>IF($G2211=1,INDEX(DarlSollzins,5),INDEX(DarlAnschluss,5))</f>
      </c>
      <c r="I2211" s="43">
        <f>IF(INDEX(DarlBelegt,5)=0,0,IF(INDEX(DarlOhneTilgung,5)=1,IF(INDEX(DarlBindung,5)="",1,$G2211),IF($J2211&gt;0.005,1,0)))</f>
      </c>
      <c r="J2211" s="43">
        <f>IF($I2210=0,0,$R2210)</f>
      </c>
      <c r="K2211" s="43">
        <f>IF($I2211=0,0,IF(INDEX(DarlOhneTilgung,5)=1,0,IF(AND(INDEX(DarlTilgStart,5)&gt;0,$E2211=INDEX(DarlTilgStart,5)),$J2211*($H2211+INDEX(DarlTilgung,5))/100/12,IF(AND($G2211=0,$G2210=1),MAX($K2210,$J2211*($H2211+1)/100/12),$K2210))))</f>
      </c>
      <c r="L2211" s="43">
        <f>IF($I2211=0,0,$J2211*$H2211/100/12)</f>
      </c>
      <c r="M2211" s="43">
        <f>IF($I2211=0,0,IF(OR(INDEX(DarlOhneTilgung,5)=1,AND(INDEX(DarlTilgStart,5)&gt;0,$E2211&lt;INDEX(DarlTilgStart,5))),0,MIN(MAX(0,$K2211-$L2211),$J2211)))</f>
      </c>
      <c r="N2211" s="43">
        <f>IF($I2211=0,0,MIN(SUMIFS(SondBetrag,SondDarl,5,SondDatum,"&gt;="&amp;$E2211,SondDatum,"&lt;="&amp;EOMONTH($E2211,0)),$J2211-$M2211))</f>
      </c>
      <c r="O2211" s="43">
        <f>IF($I2211=0,0,INDEX(DarlErsatzRate,5))</f>
      </c>
      <c r="P2211" s="43">
        <f>IF($I2211=0,0,$Q2210*INDEX(DarlErsatzZins,5))</f>
      </c>
      <c r="Q2211" s="43">
        <f>IF($I2211=0,0,$Q2210+$P2211+$O2211)</f>
      </c>
      <c r="R2211" s="43">
        <f>IF($I2211=0,0,$J2211-$M2211-$N2211)</f>
      </c>
    </row>
    <row r="2212">
      <c r="A2212"/>
      <c r="B2212">
        <v>5</v>
      </c>
      <c r="C2212" s="43">
        <f>INDEX(DarlObj,5)</f>
      </c>
      <c r="D2212">
        <v>289</v>
      </c>
      <c r="E2212" s="51">
        <f>IF(INDEX(DarlBelegt,5)=0,0,EOMONTH(INDEX(DarlAuszahlung,5),288)+1)</f>
      </c>
      <c r="F2212" s="43">
        <f>IF($E2212=0,0,YEAR($E2212))</f>
      </c>
      <c r="G2212" s="43">
        <f>IF(INDEX(DarlBindung,5)="",1,IF($E2212&lt;=INDEX(DarlBindung,5),1,0))</f>
      </c>
      <c r="H2212" s="43">
        <f>IF($G2212=1,INDEX(DarlSollzins,5),INDEX(DarlAnschluss,5))</f>
      </c>
      <c r="I2212" s="43">
        <f>IF(INDEX(DarlBelegt,5)=0,0,IF(INDEX(DarlOhneTilgung,5)=1,IF(INDEX(DarlBindung,5)="",1,$G2212),IF($J2212&gt;0.005,1,0)))</f>
      </c>
      <c r="J2212" s="43">
        <f>IF($I2211=0,0,$R2211)</f>
      </c>
      <c r="K2212" s="43">
        <f>IF($I2212=0,0,IF(INDEX(DarlOhneTilgung,5)=1,0,IF(AND(INDEX(DarlTilgStart,5)&gt;0,$E2212=INDEX(DarlTilgStart,5)),$J2212*($H2212+INDEX(DarlTilgung,5))/100/12,IF(AND($G2212=0,$G2211=1),MAX($K2211,$J2212*($H2212+1)/100/12),$K2211))))</f>
      </c>
      <c r="L2212" s="43">
        <f>IF($I2212=0,0,$J2212*$H2212/100/12)</f>
      </c>
      <c r="M2212" s="43">
        <f>IF($I2212=0,0,IF(OR(INDEX(DarlOhneTilgung,5)=1,AND(INDEX(DarlTilgStart,5)&gt;0,$E2212&lt;INDEX(DarlTilgStart,5))),0,MIN(MAX(0,$K2212-$L2212),$J2212)))</f>
      </c>
      <c r="N2212" s="43">
        <f>IF($I2212=0,0,MIN(SUMIFS(SondBetrag,SondDarl,5,SondDatum,"&gt;="&amp;$E2212,SondDatum,"&lt;="&amp;EOMONTH($E2212,0)),$J2212-$M2212))</f>
      </c>
      <c r="O2212" s="43">
        <f>IF($I2212=0,0,INDEX(DarlErsatzRate,5))</f>
      </c>
      <c r="P2212" s="43">
        <f>IF($I2212=0,0,$Q2211*INDEX(DarlErsatzZins,5))</f>
      </c>
      <c r="Q2212" s="43">
        <f>IF($I2212=0,0,$Q2211+$P2212+$O2212)</f>
      </c>
      <c r="R2212" s="43">
        <f>IF($I2212=0,0,$J2212-$M2212-$N2212)</f>
      </c>
    </row>
    <row r="2213">
      <c r="A2213"/>
      <c r="B2213">
        <v>5</v>
      </c>
      <c r="C2213" s="43">
        <f>INDEX(DarlObj,5)</f>
      </c>
      <c r="D2213">
        <v>290</v>
      </c>
      <c r="E2213" s="51">
        <f>IF(INDEX(DarlBelegt,5)=0,0,EOMONTH(INDEX(DarlAuszahlung,5),289)+1)</f>
      </c>
      <c r="F2213" s="43">
        <f>IF($E2213=0,0,YEAR($E2213))</f>
      </c>
      <c r="G2213" s="43">
        <f>IF(INDEX(DarlBindung,5)="",1,IF($E2213&lt;=INDEX(DarlBindung,5),1,0))</f>
      </c>
      <c r="H2213" s="43">
        <f>IF($G2213=1,INDEX(DarlSollzins,5),INDEX(DarlAnschluss,5))</f>
      </c>
      <c r="I2213" s="43">
        <f>IF(INDEX(DarlBelegt,5)=0,0,IF(INDEX(DarlOhneTilgung,5)=1,IF(INDEX(DarlBindung,5)="",1,$G2213),IF($J2213&gt;0.005,1,0)))</f>
      </c>
      <c r="J2213" s="43">
        <f>IF($I2212=0,0,$R2212)</f>
      </c>
      <c r="K2213" s="43">
        <f>IF($I2213=0,0,IF(INDEX(DarlOhneTilgung,5)=1,0,IF(AND(INDEX(DarlTilgStart,5)&gt;0,$E2213=INDEX(DarlTilgStart,5)),$J2213*($H2213+INDEX(DarlTilgung,5))/100/12,IF(AND($G2213=0,$G2212=1),MAX($K2212,$J2213*($H2213+1)/100/12),$K2212))))</f>
      </c>
      <c r="L2213" s="43">
        <f>IF($I2213=0,0,$J2213*$H2213/100/12)</f>
      </c>
      <c r="M2213" s="43">
        <f>IF($I2213=0,0,IF(OR(INDEX(DarlOhneTilgung,5)=1,AND(INDEX(DarlTilgStart,5)&gt;0,$E2213&lt;INDEX(DarlTilgStart,5))),0,MIN(MAX(0,$K2213-$L2213),$J2213)))</f>
      </c>
      <c r="N2213" s="43">
        <f>IF($I2213=0,0,MIN(SUMIFS(SondBetrag,SondDarl,5,SondDatum,"&gt;="&amp;$E2213,SondDatum,"&lt;="&amp;EOMONTH($E2213,0)),$J2213-$M2213))</f>
      </c>
      <c r="O2213" s="43">
        <f>IF($I2213=0,0,INDEX(DarlErsatzRate,5))</f>
      </c>
      <c r="P2213" s="43">
        <f>IF($I2213=0,0,$Q2212*INDEX(DarlErsatzZins,5))</f>
      </c>
      <c r="Q2213" s="43">
        <f>IF($I2213=0,0,$Q2212+$P2213+$O2213)</f>
      </c>
      <c r="R2213" s="43">
        <f>IF($I2213=0,0,$J2213-$M2213-$N2213)</f>
      </c>
    </row>
    <row r="2214">
      <c r="A2214"/>
      <c r="B2214">
        <v>5</v>
      </c>
      <c r="C2214" s="43">
        <f>INDEX(DarlObj,5)</f>
      </c>
      <c r="D2214">
        <v>291</v>
      </c>
      <c r="E2214" s="51">
        <f>IF(INDEX(DarlBelegt,5)=0,0,EOMONTH(INDEX(DarlAuszahlung,5),290)+1)</f>
      </c>
      <c r="F2214" s="43">
        <f>IF($E2214=0,0,YEAR($E2214))</f>
      </c>
      <c r="G2214" s="43">
        <f>IF(INDEX(DarlBindung,5)="",1,IF($E2214&lt;=INDEX(DarlBindung,5),1,0))</f>
      </c>
      <c r="H2214" s="43">
        <f>IF($G2214=1,INDEX(DarlSollzins,5),INDEX(DarlAnschluss,5))</f>
      </c>
      <c r="I2214" s="43">
        <f>IF(INDEX(DarlBelegt,5)=0,0,IF(INDEX(DarlOhneTilgung,5)=1,IF(INDEX(DarlBindung,5)="",1,$G2214),IF($J2214&gt;0.005,1,0)))</f>
      </c>
      <c r="J2214" s="43">
        <f>IF($I2213=0,0,$R2213)</f>
      </c>
      <c r="K2214" s="43">
        <f>IF($I2214=0,0,IF(INDEX(DarlOhneTilgung,5)=1,0,IF(AND(INDEX(DarlTilgStart,5)&gt;0,$E2214=INDEX(DarlTilgStart,5)),$J2214*($H2214+INDEX(DarlTilgung,5))/100/12,IF(AND($G2214=0,$G2213=1),MAX($K2213,$J2214*($H2214+1)/100/12),$K2213))))</f>
      </c>
      <c r="L2214" s="43">
        <f>IF($I2214=0,0,$J2214*$H2214/100/12)</f>
      </c>
      <c r="M2214" s="43">
        <f>IF($I2214=0,0,IF(OR(INDEX(DarlOhneTilgung,5)=1,AND(INDEX(DarlTilgStart,5)&gt;0,$E2214&lt;INDEX(DarlTilgStart,5))),0,MIN(MAX(0,$K2214-$L2214),$J2214)))</f>
      </c>
      <c r="N2214" s="43">
        <f>IF($I2214=0,0,MIN(SUMIFS(SondBetrag,SondDarl,5,SondDatum,"&gt;="&amp;$E2214,SondDatum,"&lt;="&amp;EOMONTH($E2214,0)),$J2214-$M2214))</f>
      </c>
      <c r="O2214" s="43">
        <f>IF($I2214=0,0,INDEX(DarlErsatzRate,5))</f>
      </c>
      <c r="P2214" s="43">
        <f>IF($I2214=0,0,$Q2213*INDEX(DarlErsatzZins,5))</f>
      </c>
      <c r="Q2214" s="43">
        <f>IF($I2214=0,0,$Q2213+$P2214+$O2214)</f>
      </c>
      <c r="R2214" s="43">
        <f>IF($I2214=0,0,$J2214-$M2214-$N2214)</f>
      </c>
    </row>
    <row r="2215">
      <c r="A2215"/>
      <c r="B2215">
        <v>5</v>
      </c>
      <c r="C2215" s="43">
        <f>INDEX(DarlObj,5)</f>
      </c>
      <c r="D2215">
        <v>292</v>
      </c>
      <c r="E2215" s="51">
        <f>IF(INDEX(DarlBelegt,5)=0,0,EOMONTH(INDEX(DarlAuszahlung,5),291)+1)</f>
      </c>
      <c r="F2215" s="43">
        <f>IF($E2215=0,0,YEAR($E2215))</f>
      </c>
      <c r="G2215" s="43">
        <f>IF(INDEX(DarlBindung,5)="",1,IF($E2215&lt;=INDEX(DarlBindung,5),1,0))</f>
      </c>
      <c r="H2215" s="43">
        <f>IF($G2215=1,INDEX(DarlSollzins,5),INDEX(DarlAnschluss,5))</f>
      </c>
      <c r="I2215" s="43">
        <f>IF(INDEX(DarlBelegt,5)=0,0,IF(INDEX(DarlOhneTilgung,5)=1,IF(INDEX(DarlBindung,5)="",1,$G2215),IF($J2215&gt;0.005,1,0)))</f>
      </c>
      <c r="J2215" s="43">
        <f>IF($I2214=0,0,$R2214)</f>
      </c>
      <c r="K2215" s="43">
        <f>IF($I2215=0,0,IF(INDEX(DarlOhneTilgung,5)=1,0,IF(AND(INDEX(DarlTilgStart,5)&gt;0,$E2215=INDEX(DarlTilgStart,5)),$J2215*($H2215+INDEX(DarlTilgung,5))/100/12,IF(AND($G2215=0,$G2214=1),MAX($K2214,$J2215*($H2215+1)/100/12),$K2214))))</f>
      </c>
      <c r="L2215" s="43">
        <f>IF($I2215=0,0,$J2215*$H2215/100/12)</f>
      </c>
      <c r="M2215" s="43">
        <f>IF($I2215=0,0,IF(OR(INDEX(DarlOhneTilgung,5)=1,AND(INDEX(DarlTilgStart,5)&gt;0,$E2215&lt;INDEX(DarlTilgStart,5))),0,MIN(MAX(0,$K2215-$L2215),$J2215)))</f>
      </c>
      <c r="N2215" s="43">
        <f>IF($I2215=0,0,MIN(SUMIFS(SondBetrag,SondDarl,5,SondDatum,"&gt;="&amp;$E2215,SondDatum,"&lt;="&amp;EOMONTH($E2215,0)),$J2215-$M2215))</f>
      </c>
      <c r="O2215" s="43">
        <f>IF($I2215=0,0,INDEX(DarlErsatzRate,5))</f>
      </c>
      <c r="P2215" s="43">
        <f>IF($I2215=0,0,$Q2214*INDEX(DarlErsatzZins,5))</f>
      </c>
      <c r="Q2215" s="43">
        <f>IF($I2215=0,0,$Q2214+$P2215+$O2215)</f>
      </c>
      <c r="R2215" s="43">
        <f>IF($I2215=0,0,$J2215-$M2215-$N2215)</f>
      </c>
    </row>
    <row r="2216">
      <c r="A2216"/>
      <c r="B2216">
        <v>5</v>
      </c>
      <c r="C2216" s="43">
        <f>INDEX(DarlObj,5)</f>
      </c>
      <c r="D2216">
        <v>293</v>
      </c>
      <c r="E2216" s="51">
        <f>IF(INDEX(DarlBelegt,5)=0,0,EOMONTH(INDEX(DarlAuszahlung,5),292)+1)</f>
      </c>
      <c r="F2216" s="43">
        <f>IF($E2216=0,0,YEAR($E2216))</f>
      </c>
      <c r="G2216" s="43">
        <f>IF(INDEX(DarlBindung,5)="",1,IF($E2216&lt;=INDEX(DarlBindung,5),1,0))</f>
      </c>
      <c r="H2216" s="43">
        <f>IF($G2216=1,INDEX(DarlSollzins,5),INDEX(DarlAnschluss,5))</f>
      </c>
      <c r="I2216" s="43">
        <f>IF(INDEX(DarlBelegt,5)=0,0,IF(INDEX(DarlOhneTilgung,5)=1,IF(INDEX(DarlBindung,5)="",1,$G2216),IF($J2216&gt;0.005,1,0)))</f>
      </c>
      <c r="J2216" s="43">
        <f>IF($I2215=0,0,$R2215)</f>
      </c>
      <c r="K2216" s="43">
        <f>IF($I2216=0,0,IF(INDEX(DarlOhneTilgung,5)=1,0,IF(AND(INDEX(DarlTilgStart,5)&gt;0,$E2216=INDEX(DarlTilgStart,5)),$J2216*($H2216+INDEX(DarlTilgung,5))/100/12,IF(AND($G2216=0,$G2215=1),MAX($K2215,$J2216*($H2216+1)/100/12),$K2215))))</f>
      </c>
      <c r="L2216" s="43">
        <f>IF($I2216=0,0,$J2216*$H2216/100/12)</f>
      </c>
      <c r="M2216" s="43">
        <f>IF($I2216=0,0,IF(OR(INDEX(DarlOhneTilgung,5)=1,AND(INDEX(DarlTilgStart,5)&gt;0,$E2216&lt;INDEX(DarlTilgStart,5))),0,MIN(MAX(0,$K2216-$L2216),$J2216)))</f>
      </c>
      <c r="N2216" s="43">
        <f>IF($I2216=0,0,MIN(SUMIFS(SondBetrag,SondDarl,5,SondDatum,"&gt;="&amp;$E2216,SondDatum,"&lt;="&amp;EOMONTH($E2216,0)),$J2216-$M2216))</f>
      </c>
      <c r="O2216" s="43">
        <f>IF($I2216=0,0,INDEX(DarlErsatzRate,5))</f>
      </c>
      <c r="P2216" s="43">
        <f>IF($I2216=0,0,$Q2215*INDEX(DarlErsatzZins,5))</f>
      </c>
      <c r="Q2216" s="43">
        <f>IF($I2216=0,0,$Q2215+$P2216+$O2216)</f>
      </c>
      <c r="R2216" s="43">
        <f>IF($I2216=0,0,$J2216-$M2216-$N2216)</f>
      </c>
    </row>
    <row r="2217">
      <c r="A2217"/>
      <c r="B2217">
        <v>5</v>
      </c>
      <c r="C2217" s="43">
        <f>INDEX(DarlObj,5)</f>
      </c>
      <c r="D2217">
        <v>294</v>
      </c>
      <c r="E2217" s="51">
        <f>IF(INDEX(DarlBelegt,5)=0,0,EOMONTH(INDEX(DarlAuszahlung,5),293)+1)</f>
      </c>
      <c r="F2217" s="43">
        <f>IF($E2217=0,0,YEAR($E2217))</f>
      </c>
      <c r="G2217" s="43">
        <f>IF(INDEX(DarlBindung,5)="",1,IF($E2217&lt;=INDEX(DarlBindung,5),1,0))</f>
      </c>
      <c r="H2217" s="43">
        <f>IF($G2217=1,INDEX(DarlSollzins,5),INDEX(DarlAnschluss,5))</f>
      </c>
      <c r="I2217" s="43">
        <f>IF(INDEX(DarlBelegt,5)=0,0,IF(INDEX(DarlOhneTilgung,5)=1,IF(INDEX(DarlBindung,5)="",1,$G2217),IF($J2217&gt;0.005,1,0)))</f>
      </c>
      <c r="J2217" s="43">
        <f>IF($I2216=0,0,$R2216)</f>
      </c>
      <c r="K2217" s="43">
        <f>IF($I2217=0,0,IF(INDEX(DarlOhneTilgung,5)=1,0,IF(AND(INDEX(DarlTilgStart,5)&gt;0,$E2217=INDEX(DarlTilgStart,5)),$J2217*($H2217+INDEX(DarlTilgung,5))/100/12,IF(AND($G2217=0,$G2216=1),MAX($K2216,$J2217*($H2217+1)/100/12),$K2216))))</f>
      </c>
      <c r="L2217" s="43">
        <f>IF($I2217=0,0,$J2217*$H2217/100/12)</f>
      </c>
      <c r="M2217" s="43">
        <f>IF($I2217=0,0,IF(OR(INDEX(DarlOhneTilgung,5)=1,AND(INDEX(DarlTilgStart,5)&gt;0,$E2217&lt;INDEX(DarlTilgStart,5))),0,MIN(MAX(0,$K2217-$L2217),$J2217)))</f>
      </c>
      <c r="N2217" s="43">
        <f>IF($I2217=0,0,MIN(SUMIFS(SondBetrag,SondDarl,5,SondDatum,"&gt;="&amp;$E2217,SondDatum,"&lt;="&amp;EOMONTH($E2217,0)),$J2217-$M2217))</f>
      </c>
      <c r="O2217" s="43">
        <f>IF($I2217=0,0,INDEX(DarlErsatzRate,5))</f>
      </c>
      <c r="P2217" s="43">
        <f>IF($I2217=0,0,$Q2216*INDEX(DarlErsatzZins,5))</f>
      </c>
      <c r="Q2217" s="43">
        <f>IF($I2217=0,0,$Q2216+$P2217+$O2217)</f>
      </c>
      <c r="R2217" s="43">
        <f>IF($I2217=0,0,$J2217-$M2217-$N2217)</f>
      </c>
    </row>
    <row r="2218">
      <c r="A2218"/>
      <c r="B2218">
        <v>5</v>
      </c>
      <c r="C2218" s="43">
        <f>INDEX(DarlObj,5)</f>
      </c>
      <c r="D2218">
        <v>295</v>
      </c>
      <c r="E2218" s="51">
        <f>IF(INDEX(DarlBelegt,5)=0,0,EOMONTH(INDEX(DarlAuszahlung,5),294)+1)</f>
      </c>
      <c r="F2218" s="43">
        <f>IF($E2218=0,0,YEAR($E2218))</f>
      </c>
      <c r="G2218" s="43">
        <f>IF(INDEX(DarlBindung,5)="",1,IF($E2218&lt;=INDEX(DarlBindung,5),1,0))</f>
      </c>
      <c r="H2218" s="43">
        <f>IF($G2218=1,INDEX(DarlSollzins,5),INDEX(DarlAnschluss,5))</f>
      </c>
      <c r="I2218" s="43">
        <f>IF(INDEX(DarlBelegt,5)=0,0,IF(INDEX(DarlOhneTilgung,5)=1,IF(INDEX(DarlBindung,5)="",1,$G2218),IF($J2218&gt;0.005,1,0)))</f>
      </c>
      <c r="J2218" s="43">
        <f>IF($I2217=0,0,$R2217)</f>
      </c>
      <c r="K2218" s="43">
        <f>IF($I2218=0,0,IF(INDEX(DarlOhneTilgung,5)=1,0,IF(AND(INDEX(DarlTilgStart,5)&gt;0,$E2218=INDEX(DarlTilgStart,5)),$J2218*($H2218+INDEX(DarlTilgung,5))/100/12,IF(AND($G2218=0,$G2217=1),MAX($K2217,$J2218*($H2218+1)/100/12),$K2217))))</f>
      </c>
      <c r="L2218" s="43">
        <f>IF($I2218=0,0,$J2218*$H2218/100/12)</f>
      </c>
      <c r="M2218" s="43">
        <f>IF($I2218=0,0,IF(OR(INDEX(DarlOhneTilgung,5)=1,AND(INDEX(DarlTilgStart,5)&gt;0,$E2218&lt;INDEX(DarlTilgStart,5))),0,MIN(MAX(0,$K2218-$L2218),$J2218)))</f>
      </c>
      <c r="N2218" s="43">
        <f>IF($I2218=0,0,MIN(SUMIFS(SondBetrag,SondDarl,5,SondDatum,"&gt;="&amp;$E2218,SondDatum,"&lt;="&amp;EOMONTH($E2218,0)),$J2218-$M2218))</f>
      </c>
      <c r="O2218" s="43">
        <f>IF($I2218=0,0,INDEX(DarlErsatzRate,5))</f>
      </c>
      <c r="P2218" s="43">
        <f>IF($I2218=0,0,$Q2217*INDEX(DarlErsatzZins,5))</f>
      </c>
      <c r="Q2218" s="43">
        <f>IF($I2218=0,0,$Q2217+$P2218+$O2218)</f>
      </c>
      <c r="R2218" s="43">
        <f>IF($I2218=0,0,$J2218-$M2218-$N2218)</f>
      </c>
    </row>
    <row r="2219">
      <c r="A2219"/>
      <c r="B2219">
        <v>5</v>
      </c>
      <c r="C2219" s="43">
        <f>INDEX(DarlObj,5)</f>
      </c>
      <c r="D2219">
        <v>296</v>
      </c>
      <c r="E2219" s="51">
        <f>IF(INDEX(DarlBelegt,5)=0,0,EOMONTH(INDEX(DarlAuszahlung,5),295)+1)</f>
      </c>
      <c r="F2219" s="43">
        <f>IF($E2219=0,0,YEAR($E2219))</f>
      </c>
      <c r="G2219" s="43">
        <f>IF(INDEX(DarlBindung,5)="",1,IF($E2219&lt;=INDEX(DarlBindung,5),1,0))</f>
      </c>
      <c r="H2219" s="43">
        <f>IF($G2219=1,INDEX(DarlSollzins,5),INDEX(DarlAnschluss,5))</f>
      </c>
      <c r="I2219" s="43">
        <f>IF(INDEX(DarlBelegt,5)=0,0,IF(INDEX(DarlOhneTilgung,5)=1,IF(INDEX(DarlBindung,5)="",1,$G2219),IF($J2219&gt;0.005,1,0)))</f>
      </c>
      <c r="J2219" s="43">
        <f>IF($I2218=0,0,$R2218)</f>
      </c>
      <c r="K2219" s="43">
        <f>IF($I2219=0,0,IF(INDEX(DarlOhneTilgung,5)=1,0,IF(AND(INDEX(DarlTilgStart,5)&gt;0,$E2219=INDEX(DarlTilgStart,5)),$J2219*($H2219+INDEX(DarlTilgung,5))/100/12,IF(AND($G2219=0,$G2218=1),MAX($K2218,$J2219*($H2219+1)/100/12),$K2218))))</f>
      </c>
      <c r="L2219" s="43">
        <f>IF($I2219=0,0,$J2219*$H2219/100/12)</f>
      </c>
      <c r="M2219" s="43">
        <f>IF($I2219=0,0,IF(OR(INDEX(DarlOhneTilgung,5)=1,AND(INDEX(DarlTilgStart,5)&gt;0,$E2219&lt;INDEX(DarlTilgStart,5))),0,MIN(MAX(0,$K2219-$L2219),$J2219)))</f>
      </c>
      <c r="N2219" s="43">
        <f>IF($I2219=0,0,MIN(SUMIFS(SondBetrag,SondDarl,5,SondDatum,"&gt;="&amp;$E2219,SondDatum,"&lt;="&amp;EOMONTH($E2219,0)),$J2219-$M2219))</f>
      </c>
      <c r="O2219" s="43">
        <f>IF($I2219=0,0,INDEX(DarlErsatzRate,5))</f>
      </c>
      <c r="P2219" s="43">
        <f>IF($I2219=0,0,$Q2218*INDEX(DarlErsatzZins,5))</f>
      </c>
      <c r="Q2219" s="43">
        <f>IF($I2219=0,0,$Q2218+$P2219+$O2219)</f>
      </c>
      <c r="R2219" s="43">
        <f>IF($I2219=0,0,$J2219-$M2219-$N2219)</f>
      </c>
    </row>
    <row r="2220">
      <c r="A2220"/>
      <c r="B2220">
        <v>5</v>
      </c>
      <c r="C2220" s="43">
        <f>INDEX(DarlObj,5)</f>
      </c>
      <c r="D2220">
        <v>297</v>
      </c>
      <c r="E2220" s="51">
        <f>IF(INDEX(DarlBelegt,5)=0,0,EOMONTH(INDEX(DarlAuszahlung,5),296)+1)</f>
      </c>
      <c r="F2220" s="43">
        <f>IF($E2220=0,0,YEAR($E2220))</f>
      </c>
      <c r="G2220" s="43">
        <f>IF(INDEX(DarlBindung,5)="",1,IF($E2220&lt;=INDEX(DarlBindung,5),1,0))</f>
      </c>
      <c r="H2220" s="43">
        <f>IF($G2220=1,INDEX(DarlSollzins,5),INDEX(DarlAnschluss,5))</f>
      </c>
      <c r="I2220" s="43">
        <f>IF(INDEX(DarlBelegt,5)=0,0,IF(INDEX(DarlOhneTilgung,5)=1,IF(INDEX(DarlBindung,5)="",1,$G2220),IF($J2220&gt;0.005,1,0)))</f>
      </c>
      <c r="J2220" s="43">
        <f>IF($I2219=0,0,$R2219)</f>
      </c>
      <c r="K2220" s="43">
        <f>IF($I2220=0,0,IF(INDEX(DarlOhneTilgung,5)=1,0,IF(AND(INDEX(DarlTilgStart,5)&gt;0,$E2220=INDEX(DarlTilgStart,5)),$J2220*($H2220+INDEX(DarlTilgung,5))/100/12,IF(AND($G2220=0,$G2219=1),MAX($K2219,$J2220*($H2220+1)/100/12),$K2219))))</f>
      </c>
      <c r="L2220" s="43">
        <f>IF($I2220=0,0,$J2220*$H2220/100/12)</f>
      </c>
      <c r="M2220" s="43">
        <f>IF($I2220=0,0,IF(OR(INDEX(DarlOhneTilgung,5)=1,AND(INDEX(DarlTilgStart,5)&gt;0,$E2220&lt;INDEX(DarlTilgStart,5))),0,MIN(MAX(0,$K2220-$L2220),$J2220)))</f>
      </c>
      <c r="N2220" s="43">
        <f>IF($I2220=0,0,MIN(SUMIFS(SondBetrag,SondDarl,5,SondDatum,"&gt;="&amp;$E2220,SondDatum,"&lt;="&amp;EOMONTH($E2220,0)),$J2220-$M2220))</f>
      </c>
      <c r="O2220" s="43">
        <f>IF($I2220=0,0,INDEX(DarlErsatzRate,5))</f>
      </c>
      <c r="P2220" s="43">
        <f>IF($I2220=0,0,$Q2219*INDEX(DarlErsatzZins,5))</f>
      </c>
      <c r="Q2220" s="43">
        <f>IF($I2220=0,0,$Q2219+$P2220+$O2220)</f>
      </c>
      <c r="R2220" s="43">
        <f>IF($I2220=0,0,$J2220-$M2220-$N2220)</f>
      </c>
    </row>
    <row r="2221">
      <c r="A2221"/>
      <c r="B2221">
        <v>5</v>
      </c>
      <c r="C2221" s="43">
        <f>INDEX(DarlObj,5)</f>
      </c>
      <c r="D2221">
        <v>298</v>
      </c>
      <c r="E2221" s="51">
        <f>IF(INDEX(DarlBelegt,5)=0,0,EOMONTH(INDEX(DarlAuszahlung,5),297)+1)</f>
      </c>
      <c r="F2221" s="43">
        <f>IF($E2221=0,0,YEAR($E2221))</f>
      </c>
      <c r="G2221" s="43">
        <f>IF(INDEX(DarlBindung,5)="",1,IF($E2221&lt;=INDEX(DarlBindung,5),1,0))</f>
      </c>
      <c r="H2221" s="43">
        <f>IF($G2221=1,INDEX(DarlSollzins,5),INDEX(DarlAnschluss,5))</f>
      </c>
      <c r="I2221" s="43">
        <f>IF(INDEX(DarlBelegt,5)=0,0,IF(INDEX(DarlOhneTilgung,5)=1,IF(INDEX(DarlBindung,5)="",1,$G2221),IF($J2221&gt;0.005,1,0)))</f>
      </c>
      <c r="J2221" s="43">
        <f>IF($I2220=0,0,$R2220)</f>
      </c>
      <c r="K2221" s="43">
        <f>IF($I2221=0,0,IF(INDEX(DarlOhneTilgung,5)=1,0,IF(AND(INDEX(DarlTilgStart,5)&gt;0,$E2221=INDEX(DarlTilgStart,5)),$J2221*($H2221+INDEX(DarlTilgung,5))/100/12,IF(AND($G2221=0,$G2220=1),MAX($K2220,$J2221*($H2221+1)/100/12),$K2220))))</f>
      </c>
      <c r="L2221" s="43">
        <f>IF($I2221=0,0,$J2221*$H2221/100/12)</f>
      </c>
      <c r="M2221" s="43">
        <f>IF($I2221=0,0,IF(OR(INDEX(DarlOhneTilgung,5)=1,AND(INDEX(DarlTilgStart,5)&gt;0,$E2221&lt;INDEX(DarlTilgStart,5))),0,MIN(MAX(0,$K2221-$L2221),$J2221)))</f>
      </c>
      <c r="N2221" s="43">
        <f>IF($I2221=0,0,MIN(SUMIFS(SondBetrag,SondDarl,5,SondDatum,"&gt;="&amp;$E2221,SondDatum,"&lt;="&amp;EOMONTH($E2221,0)),$J2221-$M2221))</f>
      </c>
      <c r="O2221" s="43">
        <f>IF($I2221=0,0,INDEX(DarlErsatzRate,5))</f>
      </c>
      <c r="P2221" s="43">
        <f>IF($I2221=0,0,$Q2220*INDEX(DarlErsatzZins,5))</f>
      </c>
      <c r="Q2221" s="43">
        <f>IF($I2221=0,0,$Q2220+$P2221+$O2221)</f>
      </c>
      <c r="R2221" s="43">
        <f>IF($I2221=0,0,$J2221-$M2221-$N2221)</f>
      </c>
    </row>
    <row r="2222">
      <c r="A2222"/>
      <c r="B2222">
        <v>5</v>
      </c>
      <c r="C2222" s="43">
        <f>INDEX(DarlObj,5)</f>
      </c>
      <c r="D2222">
        <v>299</v>
      </c>
      <c r="E2222" s="51">
        <f>IF(INDEX(DarlBelegt,5)=0,0,EOMONTH(INDEX(DarlAuszahlung,5),298)+1)</f>
      </c>
      <c r="F2222" s="43">
        <f>IF($E2222=0,0,YEAR($E2222))</f>
      </c>
      <c r="G2222" s="43">
        <f>IF(INDEX(DarlBindung,5)="",1,IF($E2222&lt;=INDEX(DarlBindung,5),1,0))</f>
      </c>
      <c r="H2222" s="43">
        <f>IF($G2222=1,INDEX(DarlSollzins,5),INDEX(DarlAnschluss,5))</f>
      </c>
      <c r="I2222" s="43">
        <f>IF(INDEX(DarlBelegt,5)=0,0,IF(INDEX(DarlOhneTilgung,5)=1,IF(INDEX(DarlBindung,5)="",1,$G2222),IF($J2222&gt;0.005,1,0)))</f>
      </c>
      <c r="J2222" s="43">
        <f>IF($I2221=0,0,$R2221)</f>
      </c>
      <c r="K2222" s="43">
        <f>IF($I2222=0,0,IF(INDEX(DarlOhneTilgung,5)=1,0,IF(AND(INDEX(DarlTilgStart,5)&gt;0,$E2222=INDEX(DarlTilgStart,5)),$J2222*($H2222+INDEX(DarlTilgung,5))/100/12,IF(AND($G2222=0,$G2221=1),MAX($K2221,$J2222*($H2222+1)/100/12),$K2221))))</f>
      </c>
      <c r="L2222" s="43">
        <f>IF($I2222=0,0,$J2222*$H2222/100/12)</f>
      </c>
      <c r="M2222" s="43">
        <f>IF($I2222=0,0,IF(OR(INDEX(DarlOhneTilgung,5)=1,AND(INDEX(DarlTilgStart,5)&gt;0,$E2222&lt;INDEX(DarlTilgStart,5))),0,MIN(MAX(0,$K2222-$L2222),$J2222)))</f>
      </c>
      <c r="N2222" s="43">
        <f>IF($I2222=0,0,MIN(SUMIFS(SondBetrag,SondDarl,5,SondDatum,"&gt;="&amp;$E2222,SondDatum,"&lt;="&amp;EOMONTH($E2222,0)),$J2222-$M2222))</f>
      </c>
      <c r="O2222" s="43">
        <f>IF($I2222=0,0,INDEX(DarlErsatzRate,5))</f>
      </c>
      <c r="P2222" s="43">
        <f>IF($I2222=0,0,$Q2221*INDEX(DarlErsatzZins,5))</f>
      </c>
      <c r="Q2222" s="43">
        <f>IF($I2222=0,0,$Q2221+$P2222+$O2222)</f>
      </c>
      <c r="R2222" s="43">
        <f>IF($I2222=0,0,$J2222-$M2222-$N2222)</f>
      </c>
    </row>
    <row r="2223">
      <c r="A2223"/>
      <c r="B2223">
        <v>5</v>
      </c>
      <c r="C2223" s="43">
        <f>INDEX(DarlObj,5)</f>
      </c>
      <c r="D2223">
        <v>300</v>
      </c>
      <c r="E2223" s="51">
        <f>IF(INDEX(DarlBelegt,5)=0,0,EOMONTH(INDEX(DarlAuszahlung,5),299)+1)</f>
      </c>
      <c r="F2223" s="43">
        <f>IF($E2223=0,0,YEAR($E2223))</f>
      </c>
      <c r="G2223" s="43">
        <f>IF(INDEX(DarlBindung,5)="",1,IF($E2223&lt;=INDEX(DarlBindung,5),1,0))</f>
      </c>
      <c r="H2223" s="43">
        <f>IF($G2223=1,INDEX(DarlSollzins,5),INDEX(DarlAnschluss,5))</f>
      </c>
      <c r="I2223" s="43">
        <f>IF(INDEX(DarlBelegt,5)=0,0,IF(INDEX(DarlOhneTilgung,5)=1,IF(INDEX(DarlBindung,5)="",1,$G2223),IF($J2223&gt;0.005,1,0)))</f>
      </c>
      <c r="J2223" s="43">
        <f>IF($I2222=0,0,$R2222)</f>
      </c>
      <c r="K2223" s="43">
        <f>IF($I2223=0,0,IF(INDEX(DarlOhneTilgung,5)=1,0,IF(AND(INDEX(DarlTilgStart,5)&gt;0,$E2223=INDEX(DarlTilgStart,5)),$J2223*($H2223+INDEX(DarlTilgung,5))/100/12,IF(AND($G2223=0,$G2222=1),MAX($K2222,$J2223*($H2223+1)/100/12),$K2222))))</f>
      </c>
      <c r="L2223" s="43">
        <f>IF($I2223=0,0,$J2223*$H2223/100/12)</f>
      </c>
      <c r="M2223" s="43">
        <f>IF($I2223=0,0,IF(OR(INDEX(DarlOhneTilgung,5)=1,AND(INDEX(DarlTilgStart,5)&gt;0,$E2223&lt;INDEX(DarlTilgStart,5))),0,MIN(MAX(0,$K2223-$L2223),$J2223)))</f>
      </c>
      <c r="N2223" s="43">
        <f>IF($I2223=0,0,MIN(SUMIFS(SondBetrag,SondDarl,5,SondDatum,"&gt;="&amp;$E2223,SondDatum,"&lt;="&amp;EOMONTH($E2223,0)),$J2223-$M2223))</f>
      </c>
      <c r="O2223" s="43">
        <f>IF($I2223=0,0,INDEX(DarlErsatzRate,5))</f>
      </c>
      <c r="P2223" s="43">
        <f>IF($I2223=0,0,$Q2222*INDEX(DarlErsatzZins,5))</f>
      </c>
      <c r="Q2223" s="43">
        <f>IF($I2223=0,0,$Q2222+$P2223+$O2223)</f>
      </c>
      <c r="R2223" s="43">
        <f>IF($I2223=0,0,$J2223-$M2223-$N2223)</f>
      </c>
    </row>
    <row r="2224">
      <c r="A2224"/>
      <c r="B2224">
        <v>5</v>
      </c>
      <c r="C2224" s="43">
        <f>INDEX(DarlObj,5)</f>
      </c>
      <c r="D2224">
        <v>301</v>
      </c>
      <c r="E2224" s="51">
        <f>IF(INDEX(DarlBelegt,5)=0,0,EOMONTH(INDEX(DarlAuszahlung,5),300)+1)</f>
      </c>
      <c r="F2224" s="43">
        <f>IF($E2224=0,0,YEAR($E2224))</f>
      </c>
      <c r="G2224" s="43">
        <f>IF(INDEX(DarlBindung,5)="",1,IF($E2224&lt;=INDEX(DarlBindung,5),1,0))</f>
      </c>
      <c r="H2224" s="43">
        <f>IF($G2224=1,INDEX(DarlSollzins,5),INDEX(DarlAnschluss,5))</f>
      </c>
      <c r="I2224" s="43">
        <f>IF(INDEX(DarlBelegt,5)=0,0,IF(INDEX(DarlOhneTilgung,5)=1,IF(INDEX(DarlBindung,5)="",1,$G2224),IF($J2224&gt;0.005,1,0)))</f>
      </c>
      <c r="J2224" s="43">
        <f>IF($I2223=0,0,$R2223)</f>
      </c>
      <c r="K2224" s="43">
        <f>IF($I2224=0,0,IF(INDEX(DarlOhneTilgung,5)=1,0,IF(AND(INDEX(DarlTilgStart,5)&gt;0,$E2224=INDEX(DarlTilgStart,5)),$J2224*($H2224+INDEX(DarlTilgung,5))/100/12,IF(AND($G2224=0,$G2223=1),MAX($K2223,$J2224*($H2224+1)/100/12),$K2223))))</f>
      </c>
      <c r="L2224" s="43">
        <f>IF($I2224=0,0,$J2224*$H2224/100/12)</f>
      </c>
      <c r="M2224" s="43">
        <f>IF($I2224=0,0,IF(OR(INDEX(DarlOhneTilgung,5)=1,AND(INDEX(DarlTilgStart,5)&gt;0,$E2224&lt;INDEX(DarlTilgStart,5))),0,MIN(MAX(0,$K2224-$L2224),$J2224)))</f>
      </c>
      <c r="N2224" s="43">
        <f>IF($I2224=0,0,MIN(SUMIFS(SondBetrag,SondDarl,5,SondDatum,"&gt;="&amp;$E2224,SondDatum,"&lt;="&amp;EOMONTH($E2224,0)),$J2224-$M2224))</f>
      </c>
      <c r="O2224" s="43">
        <f>IF($I2224=0,0,INDEX(DarlErsatzRate,5))</f>
      </c>
      <c r="P2224" s="43">
        <f>IF($I2224=0,0,$Q2223*INDEX(DarlErsatzZins,5))</f>
      </c>
      <c r="Q2224" s="43">
        <f>IF($I2224=0,0,$Q2223+$P2224+$O2224)</f>
      </c>
      <c r="R2224" s="43">
        <f>IF($I2224=0,0,$J2224-$M2224-$N2224)</f>
      </c>
    </row>
    <row r="2225">
      <c r="A2225"/>
      <c r="B2225">
        <v>5</v>
      </c>
      <c r="C2225" s="43">
        <f>INDEX(DarlObj,5)</f>
      </c>
      <c r="D2225">
        <v>302</v>
      </c>
      <c r="E2225" s="51">
        <f>IF(INDEX(DarlBelegt,5)=0,0,EOMONTH(INDEX(DarlAuszahlung,5),301)+1)</f>
      </c>
      <c r="F2225" s="43">
        <f>IF($E2225=0,0,YEAR($E2225))</f>
      </c>
      <c r="G2225" s="43">
        <f>IF(INDEX(DarlBindung,5)="",1,IF($E2225&lt;=INDEX(DarlBindung,5),1,0))</f>
      </c>
      <c r="H2225" s="43">
        <f>IF($G2225=1,INDEX(DarlSollzins,5),INDEX(DarlAnschluss,5))</f>
      </c>
      <c r="I2225" s="43">
        <f>IF(INDEX(DarlBelegt,5)=0,0,IF(INDEX(DarlOhneTilgung,5)=1,IF(INDEX(DarlBindung,5)="",1,$G2225),IF($J2225&gt;0.005,1,0)))</f>
      </c>
      <c r="J2225" s="43">
        <f>IF($I2224=0,0,$R2224)</f>
      </c>
      <c r="K2225" s="43">
        <f>IF($I2225=0,0,IF(INDEX(DarlOhneTilgung,5)=1,0,IF(AND(INDEX(DarlTilgStart,5)&gt;0,$E2225=INDEX(DarlTilgStart,5)),$J2225*($H2225+INDEX(DarlTilgung,5))/100/12,IF(AND($G2225=0,$G2224=1),MAX($K2224,$J2225*($H2225+1)/100/12),$K2224))))</f>
      </c>
      <c r="L2225" s="43">
        <f>IF($I2225=0,0,$J2225*$H2225/100/12)</f>
      </c>
      <c r="M2225" s="43">
        <f>IF($I2225=0,0,IF(OR(INDEX(DarlOhneTilgung,5)=1,AND(INDEX(DarlTilgStart,5)&gt;0,$E2225&lt;INDEX(DarlTilgStart,5))),0,MIN(MAX(0,$K2225-$L2225),$J2225)))</f>
      </c>
      <c r="N2225" s="43">
        <f>IF($I2225=0,0,MIN(SUMIFS(SondBetrag,SondDarl,5,SondDatum,"&gt;="&amp;$E2225,SondDatum,"&lt;="&amp;EOMONTH($E2225,0)),$J2225-$M2225))</f>
      </c>
      <c r="O2225" s="43">
        <f>IF($I2225=0,0,INDEX(DarlErsatzRate,5))</f>
      </c>
      <c r="P2225" s="43">
        <f>IF($I2225=0,0,$Q2224*INDEX(DarlErsatzZins,5))</f>
      </c>
      <c r="Q2225" s="43">
        <f>IF($I2225=0,0,$Q2224+$P2225+$O2225)</f>
      </c>
      <c r="R2225" s="43">
        <f>IF($I2225=0,0,$J2225-$M2225-$N2225)</f>
      </c>
    </row>
    <row r="2226">
      <c r="A2226"/>
      <c r="B2226">
        <v>5</v>
      </c>
      <c r="C2226" s="43">
        <f>INDEX(DarlObj,5)</f>
      </c>
      <c r="D2226">
        <v>303</v>
      </c>
      <c r="E2226" s="51">
        <f>IF(INDEX(DarlBelegt,5)=0,0,EOMONTH(INDEX(DarlAuszahlung,5),302)+1)</f>
      </c>
      <c r="F2226" s="43">
        <f>IF($E2226=0,0,YEAR($E2226))</f>
      </c>
      <c r="G2226" s="43">
        <f>IF(INDEX(DarlBindung,5)="",1,IF($E2226&lt;=INDEX(DarlBindung,5),1,0))</f>
      </c>
      <c r="H2226" s="43">
        <f>IF($G2226=1,INDEX(DarlSollzins,5),INDEX(DarlAnschluss,5))</f>
      </c>
      <c r="I2226" s="43">
        <f>IF(INDEX(DarlBelegt,5)=0,0,IF(INDEX(DarlOhneTilgung,5)=1,IF(INDEX(DarlBindung,5)="",1,$G2226),IF($J2226&gt;0.005,1,0)))</f>
      </c>
      <c r="J2226" s="43">
        <f>IF($I2225=0,0,$R2225)</f>
      </c>
      <c r="K2226" s="43">
        <f>IF($I2226=0,0,IF(INDEX(DarlOhneTilgung,5)=1,0,IF(AND(INDEX(DarlTilgStart,5)&gt;0,$E2226=INDEX(DarlTilgStart,5)),$J2226*($H2226+INDEX(DarlTilgung,5))/100/12,IF(AND($G2226=0,$G2225=1),MAX($K2225,$J2226*($H2226+1)/100/12),$K2225))))</f>
      </c>
      <c r="L2226" s="43">
        <f>IF($I2226=0,0,$J2226*$H2226/100/12)</f>
      </c>
      <c r="M2226" s="43">
        <f>IF($I2226=0,0,IF(OR(INDEX(DarlOhneTilgung,5)=1,AND(INDEX(DarlTilgStart,5)&gt;0,$E2226&lt;INDEX(DarlTilgStart,5))),0,MIN(MAX(0,$K2226-$L2226),$J2226)))</f>
      </c>
      <c r="N2226" s="43">
        <f>IF($I2226=0,0,MIN(SUMIFS(SondBetrag,SondDarl,5,SondDatum,"&gt;="&amp;$E2226,SondDatum,"&lt;="&amp;EOMONTH($E2226,0)),$J2226-$M2226))</f>
      </c>
      <c r="O2226" s="43">
        <f>IF($I2226=0,0,INDEX(DarlErsatzRate,5))</f>
      </c>
      <c r="P2226" s="43">
        <f>IF($I2226=0,0,$Q2225*INDEX(DarlErsatzZins,5))</f>
      </c>
      <c r="Q2226" s="43">
        <f>IF($I2226=0,0,$Q2225+$P2226+$O2226)</f>
      </c>
      <c r="R2226" s="43">
        <f>IF($I2226=0,0,$J2226-$M2226-$N2226)</f>
      </c>
    </row>
    <row r="2227">
      <c r="A2227"/>
      <c r="B2227">
        <v>5</v>
      </c>
      <c r="C2227" s="43">
        <f>INDEX(DarlObj,5)</f>
      </c>
      <c r="D2227">
        <v>304</v>
      </c>
      <c r="E2227" s="51">
        <f>IF(INDEX(DarlBelegt,5)=0,0,EOMONTH(INDEX(DarlAuszahlung,5),303)+1)</f>
      </c>
      <c r="F2227" s="43">
        <f>IF($E2227=0,0,YEAR($E2227))</f>
      </c>
      <c r="G2227" s="43">
        <f>IF(INDEX(DarlBindung,5)="",1,IF($E2227&lt;=INDEX(DarlBindung,5),1,0))</f>
      </c>
      <c r="H2227" s="43">
        <f>IF($G2227=1,INDEX(DarlSollzins,5),INDEX(DarlAnschluss,5))</f>
      </c>
      <c r="I2227" s="43">
        <f>IF(INDEX(DarlBelegt,5)=0,0,IF(INDEX(DarlOhneTilgung,5)=1,IF(INDEX(DarlBindung,5)="",1,$G2227),IF($J2227&gt;0.005,1,0)))</f>
      </c>
      <c r="J2227" s="43">
        <f>IF($I2226=0,0,$R2226)</f>
      </c>
      <c r="K2227" s="43">
        <f>IF($I2227=0,0,IF(INDEX(DarlOhneTilgung,5)=1,0,IF(AND(INDEX(DarlTilgStart,5)&gt;0,$E2227=INDEX(DarlTilgStart,5)),$J2227*($H2227+INDEX(DarlTilgung,5))/100/12,IF(AND($G2227=0,$G2226=1),MAX($K2226,$J2227*($H2227+1)/100/12),$K2226))))</f>
      </c>
      <c r="L2227" s="43">
        <f>IF($I2227=0,0,$J2227*$H2227/100/12)</f>
      </c>
      <c r="M2227" s="43">
        <f>IF($I2227=0,0,IF(OR(INDEX(DarlOhneTilgung,5)=1,AND(INDEX(DarlTilgStart,5)&gt;0,$E2227&lt;INDEX(DarlTilgStart,5))),0,MIN(MAX(0,$K2227-$L2227),$J2227)))</f>
      </c>
      <c r="N2227" s="43">
        <f>IF($I2227=0,0,MIN(SUMIFS(SondBetrag,SondDarl,5,SondDatum,"&gt;="&amp;$E2227,SondDatum,"&lt;="&amp;EOMONTH($E2227,0)),$J2227-$M2227))</f>
      </c>
      <c r="O2227" s="43">
        <f>IF($I2227=0,0,INDEX(DarlErsatzRate,5))</f>
      </c>
      <c r="P2227" s="43">
        <f>IF($I2227=0,0,$Q2226*INDEX(DarlErsatzZins,5))</f>
      </c>
      <c r="Q2227" s="43">
        <f>IF($I2227=0,0,$Q2226+$P2227+$O2227)</f>
      </c>
      <c r="R2227" s="43">
        <f>IF($I2227=0,0,$J2227-$M2227-$N2227)</f>
      </c>
    </row>
    <row r="2228">
      <c r="A2228"/>
      <c r="B2228">
        <v>5</v>
      </c>
      <c r="C2228" s="43">
        <f>INDEX(DarlObj,5)</f>
      </c>
      <c r="D2228">
        <v>305</v>
      </c>
      <c r="E2228" s="51">
        <f>IF(INDEX(DarlBelegt,5)=0,0,EOMONTH(INDEX(DarlAuszahlung,5),304)+1)</f>
      </c>
      <c r="F2228" s="43">
        <f>IF($E2228=0,0,YEAR($E2228))</f>
      </c>
      <c r="G2228" s="43">
        <f>IF(INDEX(DarlBindung,5)="",1,IF($E2228&lt;=INDEX(DarlBindung,5),1,0))</f>
      </c>
      <c r="H2228" s="43">
        <f>IF($G2228=1,INDEX(DarlSollzins,5),INDEX(DarlAnschluss,5))</f>
      </c>
      <c r="I2228" s="43">
        <f>IF(INDEX(DarlBelegt,5)=0,0,IF(INDEX(DarlOhneTilgung,5)=1,IF(INDEX(DarlBindung,5)="",1,$G2228),IF($J2228&gt;0.005,1,0)))</f>
      </c>
      <c r="J2228" s="43">
        <f>IF($I2227=0,0,$R2227)</f>
      </c>
      <c r="K2228" s="43">
        <f>IF($I2228=0,0,IF(INDEX(DarlOhneTilgung,5)=1,0,IF(AND(INDEX(DarlTilgStart,5)&gt;0,$E2228=INDEX(DarlTilgStart,5)),$J2228*($H2228+INDEX(DarlTilgung,5))/100/12,IF(AND($G2228=0,$G2227=1),MAX($K2227,$J2228*($H2228+1)/100/12),$K2227))))</f>
      </c>
      <c r="L2228" s="43">
        <f>IF($I2228=0,0,$J2228*$H2228/100/12)</f>
      </c>
      <c r="M2228" s="43">
        <f>IF($I2228=0,0,IF(OR(INDEX(DarlOhneTilgung,5)=1,AND(INDEX(DarlTilgStart,5)&gt;0,$E2228&lt;INDEX(DarlTilgStart,5))),0,MIN(MAX(0,$K2228-$L2228),$J2228)))</f>
      </c>
      <c r="N2228" s="43">
        <f>IF($I2228=0,0,MIN(SUMIFS(SondBetrag,SondDarl,5,SondDatum,"&gt;="&amp;$E2228,SondDatum,"&lt;="&amp;EOMONTH($E2228,0)),$J2228-$M2228))</f>
      </c>
      <c r="O2228" s="43">
        <f>IF($I2228=0,0,INDEX(DarlErsatzRate,5))</f>
      </c>
      <c r="P2228" s="43">
        <f>IF($I2228=0,0,$Q2227*INDEX(DarlErsatzZins,5))</f>
      </c>
      <c r="Q2228" s="43">
        <f>IF($I2228=0,0,$Q2227+$P2228+$O2228)</f>
      </c>
      <c r="R2228" s="43">
        <f>IF($I2228=0,0,$J2228-$M2228-$N2228)</f>
      </c>
    </row>
    <row r="2229">
      <c r="A2229"/>
      <c r="B2229">
        <v>5</v>
      </c>
      <c r="C2229" s="43">
        <f>INDEX(DarlObj,5)</f>
      </c>
      <c r="D2229">
        <v>306</v>
      </c>
      <c r="E2229" s="51">
        <f>IF(INDEX(DarlBelegt,5)=0,0,EOMONTH(INDEX(DarlAuszahlung,5),305)+1)</f>
      </c>
      <c r="F2229" s="43">
        <f>IF($E2229=0,0,YEAR($E2229))</f>
      </c>
      <c r="G2229" s="43">
        <f>IF(INDEX(DarlBindung,5)="",1,IF($E2229&lt;=INDEX(DarlBindung,5),1,0))</f>
      </c>
      <c r="H2229" s="43">
        <f>IF($G2229=1,INDEX(DarlSollzins,5),INDEX(DarlAnschluss,5))</f>
      </c>
      <c r="I2229" s="43">
        <f>IF(INDEX(DarlBelegt,5)=0,0,IF(INDEX(DarlOhneTilgung,5)=1,IF(INDEX(DarlBindung,5)="",1,$G2229),IF($J2229&gt;0.005,1,0)))</f>
      </c>
      <c r="J2229" s="43">
        <f>IF($I2228=0,0,$R2228)</f>
      </c>
      <c r="K2229" s="43">
        <f>IF($I2229=0,0,IF(INDEX(DarlOhneTilgung,5)=1,0,IF(AND(INDEX(DarlTilgStart,5)&gt;0,$E2229=INDEX(DarlTilgStart,5)),$J2229*($H2229+INDEX(DarlTilgung,5))/100/12,IF(AND($G2229=0,$G2228=1),MAX($K2228,$J2229*($H2229+1)/100/12),$K2228))))</f>
      </c>
      <c r="L2229" s="43">
        <f>IF($I2229=0,0,$J2229*$H2229/100/12)</f>
      </c>
      <c r="M2229" s="43">
        <f>IF($I2229=0,0,IF(OR(INDEX(DarlOhneTilgung,5)=1,AND(INDEX(DarlTilgStart,5)&gt;0,$E2229&lt;INDEX(DarlTilgStart,5))),0,MIN(MAX(0,$K2229-$L2229),$J2229)))</f>
      </c>
      <c r="N2229" s="43">
        <f>IF($I2229=0,0,MIN(SUMIFS(SondBetrag,SondDarl,5,SondDatum,"&gt;="&amp;$E2229,SondDatum,"&lt;="&amp;EOMONTH($E2229,0)),$J2229-$M2229))</f>
      </c>
      <c r="O2229" s="43">
        <f>IF($I2229=0,0,INDEX(DarlErsatzRate,5))</f>
      </c>
      <c r="P2229" s="43">
        <f>IF($I2229=0,0,$Q2228*INDEX(DarlErsatzZins,5))</f>
      </c>
      <c r="Q2229" s="43">
        <f>IF($I2229=0,0,$Q2228+$P2229+$O2229)</f>
      </c>
      <c r="R2229" s="43">
        <f>IF($I2229=0,0,$J2229-$M2229-$N2229)</f>
      </c>
    </row>
    <row r="2230">
      <c r="A2230"/>
      <c r="B2230">
        <v>5</v>
      </c>
      <c r="C2230" s="43">
        <f>INDEX(DarlObj,5)</f>
      </c>
      <c r="D2230">
        <v>307</v>
      </c>
      <c r="E2230" s="51">
        <f>IF(INDEX(DarlBelegt,5)=0,0,EOMONTH(INDEX(DarlAuszahlung,5),306)+1)</f>
      </c>
      <c r="F2230" s="43">
        <f>IF($E2230=0,0,YEAR($E2230))</f>
      </c>
      <c r="G2230" s="43">
        <f>IF(INDEX(DarlBindung,5)="",1,IF($E2230&lt;=INDEX(DarlBindung,5),1,0))</f>
      </c>
      <c r="H2230" s="43">
        <f>IF($G2230=1,INDEX(DarlSollzins,5),INDEX(DarlAnschluss,5))</f>
      </c>
      <c r="I2230" s="43">
        <f>IF(INDEX(DarlBelegt,5)=0,0,IF(INDEX(DarlOhneTilgung,5)=1,IF(INDEX(DarlBindung,5)="",1,$G2230),IF($J2230&gt;0.005,1,0)))</f>
      </c>
      <c r="J2230" s="43">
        <f>IF($I2229=0,0,$R2229)</f>
      </c>
      <c r="K2230" s="43">
        <f>IF($I2230=0,0,IF(INDEX(DarlOhneTilgung,5)=1,0,IF(AND(INDEX(DarlTilgStart,5)&gt;0,$E2230=INDEX(DarlTilgStart,5)),$J2230*($H2230+INDEX(DarlTilgung,5))/100/12,IF(AND($G2230=0,$G2229=1),MAX($K2229,$J2230*($H2230+1)/100/12),$K2229))))</f>
      </c>
      <c r="L2230" s="43">
        <f>IF($I2230=0,0,$J2230*$H2230/100/12)</f>
      </c>
      <c r="M2230" s="43">
        <f>IF($I2230=0,0,IF(OR(INDEX(DarlOhneTilgung,5)=1,AND(INDEX(DarlTilgStart,5)&gt;0,$E2230&lt;INDEX(DarlTilgStart,5))),0,MIN(MAX(0,$K2230-$L2230),$J2230)))</f>
      </c>
      <c r="N2230" s="43">
        <f>IF($I2230=0,0,MIN(SUMIFS(SondBetrag,SondDarl,5,SondDatum,"&gt;="&amp;$E2230,SondDatum,"&lt;="&amp;EOMONTH($E2230,0)),$J2230-$M2230))</f>
      </c>
      <c r="O2230" s="43">
        <f>IF($I2230=0,0,INDEX(DarlErsatzRate,5))</f>
      </c>
      <c r="P2230" s="43">
        <f>IF($I2230=0,0,$Q2229*INDEX(DarlErsatzZins,5))</f>
      </c>
      <c r="Q2230" s="43">
        <f>IF($I2230=0,0,$Q2229+$P2230+$O2230)</f>
      </c>
      <c r="R2230" s="43">
        <f>IF($I2230=0,0,$J2230-$M2230-$N2230)</f>
      </c>
    </row>
    <row r="2231">
      <c r="A2231"/>
      <c r="B2231">
        <v>5</v>
      </c>
      <c r="C2231" s="43">
        <f>INDEX(DarlObj,5)</f>
      </c>
      <c r="D2231">
        <v>308</v>
      </c>
      <c r="E2231" s="51">
        <f>IF(INDEX(DarlBelegt,5)=0,0,EOMONTH(INDEX(DarlAuszahlung,5),307)+1)</f>
      </c>
      <c r="F2231" s="43">
        <f>IF($E2231=0,0,YEAR($E2231))</f>
      </c>
      <c r="G2231" s="43">
        <f>IF(INDEX(DarlBindung,5)="",1,IF($E2231&lt;=INDEX(DarlBindung,5),1,0))</f>
      </c>
      <c r="H2231" s="43">
        <f>IF($G2231=1,INDEX(DarlSollzins,5),INDEX(DarlAnschluss,5))</f>
      </c>
      <c r="I2231" s="43">
        <f>IF(INDEX(DarlBelegt,5)=0,0,IF(INDEX(DarlOhneTilgung,5)=1,IF(INDEX(DarlBindung,5)="",1,$G2231),IF($J2231&gt;0.005,1,0)))</f>
      </c>
      <c r="J2231" s="43">
        <f>IF($I2230=0,0,$R2230)</f>
      </c>
      <c r="K2231" s="43">
        <f>IF($I2231=0,0,IF(INDEX(DarlOhneTilgung,5)=1,0,IF(AND(INDEX(DarlTilgStart,5)&gt;0,$E2231=INDEX(DarlTilgStart,5)),$J2231*($H2231+INDEX(DarlTilgung,5))/100/12,IF(AND($G2231=0,$G2230=1),MAX($K2230,$J2231*($H2231+1)/100/12),$K2230))))</f>
      </c>
      <c r="L2231" s="43">
        <f>IF($I2231=0,0,$J2231*$H2231/100/12)</f>
      </c>
      <c r="M2231" s="43">
        <f>IF($I2231=0,0,IF(OR(INDEX(DarlOhneTilgung,5)=1,AND(INDEX(DarlTilgStart,5)&gt;0,$E2231&lt;INDEX(DarlTilgStart,5))),0,MIN(MAX(0,$K2231-$L2231),$J2231)))</f>
      </c>
      <c r="N2231" s="43">
        <f>IF($I2231=0,0,MIN(SUMIFS(SondBetrag,SondDarl,5,SondDatum,"&gt;="&amp;$E2231,SondDatum,"&lt;="&amp;EOMONTH($E2231,0)),$J2231-$M2231))</f>
      </c>
      <c r="O2231" s="43">
        <f>IF($I2231=0,0,INDEX(DarlErsatzRate,5))</f>
      </c>
      <c r="P2231" s="43">
        <f>IF($I2231=0,0,$Q2230*INDEX(DarlErsatzZins,5))</f>
      </c>
      <c r="Q2231" s="43">
        <f>IF($I2231=0,0,$Q2230+$P2231+$O2231)</f>
      </c>
      <c r="R2231" s="43">
        <f>IF($I2231=0,0,$J2231-$M2231-$N2231)</f>
      </c>
    </row>
    <row r="2232">
      <c r="A2232"/>
      <c r="B2232">
        <v>5</v>
      </c>
      <c r="C2232" s="43">
        <f>INDEX(DarlObj,5)</f>
      </c>
      <c r="D2232">
        <v>309</v>
      </c>
      <c r="E2232" s="51">
        <f>IF(INDEX(DarlBelegt,5)=0,0,EOMONTH(INDEX(DarlAuszahlung,5),308)+1)</f>
      </c>
      <c r="F2232" s="43">
        <f>IF($E2232=0,0,YEAR($E2232))</f>
      </c>
      <c r="G2232" s="43">
        <f>IF(INDEX(DarlBindung,5)="",1,IF($E2232&lt;=INDEX(DarlBindung,5),1,0))</f>
      </c>
      <c r="H2232" s="43">
        <f>IF($G2232=1,INDEX(DarlSollzins,5),INDEX(DarlAnschluss,5))</f>
      </c>
      <c r="I2232" s="43">
        <f>IF(INDEX(DarlBelegt,5)=0,0,IF(INDEX(DarlOhneTilgung,5)=1,IF(INDEX(DarlBindung,5)="",1,$G2232),IF($J2232&gt;0.005,1,0)))</f>
      </c>
      <c r="J2232" s="43">
        <f>IF($I2231=0,0,$R2231)</f>
      </c>
      <c r="K2232" s="43">
        <f>IF($I2232=0,0,IF(INDEX(DarlOhneTilgung,5)=1,0,IF(AND(INDEX(DarlTilgStart,5)&gt;0,$E2232=INDEX(DarlTilgStart,5)),$J2232*($H2232+INDEX(DarlTilgung,5))/100/12,IF(AND($G2232=0,$G2231=1),MAX($K2231,$J2232*($H2232+1)/100/12),$K2231))))</f>
      </c>
      <c r="L2232" s="43">
        <f>IF($I2232=0,0,$J2232*$H2232/100/12)</f>
      </c>
      <c r="M2232" s="43">
        <f>IF($I2232=0,0,IF(OR(INDEX(DarlOhneTilgung,5)=1,AND(INDEX(DarlTilgStart,5)&gt;0,$E2232&lt;INDEX(DarlTilgStart,5))),0,MIN(MAX(0,$K2232-$L2232),$J2232)))</f>
      </c>
      <c r="N2232" s="43">
        <f>IF($I2232=0,0,MIN(SUMIFS(SondBetrag,SondDarl,5,SondDatum,"&gt;="&amp;$E2232,SondDatum,"&lt;="&amp;EOMONTH($E2232,0)),$J2232-$M2232))</f>
      </c>
      <c r="O2232" s="43">
        <f>IF($I2232=0,0,INDEX(DarlErsatzRate,5))</f>
      </c>
      <c r="P2232" s="43">
        <f>IF($I2232=0,0,$Q2231*INDEX(DarlErsatzZins,5))</f>
      </c>
      <c r="Q2232" s="43">
        <f>IF($I2232=0,0,$Q2231+$P2232+$O2232)</f>
      </c>
      <c r="R2232" s="43">
        <f>IF($I2232=0,0,$J2232-$M2232-$N2232)</f>
      </c>
    </row>
    <row r="2233">
      <c r="A2233"/>
      <c r="B2233">
        <v>5</v>
      </c>
      <c r="C2233" s="43">
        <f>INDEX(DarlObj,5)</f>
      </c>
      <c r="D2233">
        <v>310</v>
      </c>
      <c r="E2233" s="51">
        <f>IF(INDEX(DarlBelegt,5)=0,0,EOMONTH(INDEX(DarlAuszahlung,5),309)+1)</f>
      </c>
      <c r="F2233" s="43">
        <f>IF($E2233=0,0,YEAR($E2233))</f>
      </c>
      <c r="G2233" s="43">
        <f>IF(INDEX(DarlBindung,5)="",1,IF($E2233&lt;=INDEX(DarlBindung,5),1,0))</f>
      </c>
      <c r="H2233" s="43">
        <f>IF($G2233=1,INDEX(DarlSollzins,5),INDEX(DarlAnschluss,5))</f>
      </c>
      <c r="I2233" s="43">
        <f>IF(INDEX(DarlBelegt,5)=0,0,IF(INDEX(DarlOhneTilgung,5)=1,IF(INDEX(DarlBindung,5)="",1,$G2233),IF($J2233&gt;0.005,1,0)))</f>
      </c>
      <c r="J2233" s="43">
        <f>IF($I2232=0,0,$R2232)</f>
      </c>
      <c r="K2233" s="43">
        <f>IF($I2233=0,0,IF(INDEX(DarlOhneTilgung,5)=1,0,IF(AND(INDEX(DarlTilgStart,5)&gt;0,$E2233=INDEX(DarlTilgStart,5)),$J2233*($H2233+INDEX(DarlTilgung,5))/100/12,IF(AND($G2233=0,$G2232=1),MAX($K2232,$J2233*($H2233+1)/100/12),$K2232))))</f>
      </c>
      <c r="L2233" s="43">
        <f>IF($I2233=0,0,$J2233*$H2233/100/12)</f>
      </c>
      <c r="M2233" s="43">
        <f>IF($I2233=0,0,IF(OR(INDEX(DarlOhneTilgung,5)=1,AND(INDEX(DarlTilgStart,5)&gt;0,$E2233&lt;INDEX(DarlTilgStart,5))),0,MIN(MAX(0,$K2233-$L2233),$J2233)))</f>
      </c>
      <c r="N2233" s="43">
        <f>IF($I2233=0,0,MIN(SUMIFS(SondBetrag,SondDarl,5,SondDatum,"&gt;="&amp;$E2233,SondDatum,"&lt;="&amp;EOMONTH($E2233,0)),$J2233-$M2233))</f>
      </c>
      <c r="O2233" s="43">
        <f>IF($I2233=0,0,INDEX(DarlErsatzRate,5))</f>
      </c>
      <c r="P2233" s="43">
        <f>IF($I2233=0,0,$Q2232*INDEX(DarlErsatzZins,5))</f>
      </c>
      <c r="Q2233" s="43">
        <f>IF($I2233=0,0,$Q2232+$P2233+$O2233)</f>
      </c>
      <c r="R2233" s="43">
        <f>IF($I2233=0,0,$J2233-$M2233-$N2233)</f>
      </c>
    </row>
    <row r="2234">
      <c r="A2234"/>
      <c r="B2234">
        <v>5</v>
      </c>
      <c r="C2234" s="43">
        <f>INDEX(DarlObj,5)</f>
      </c>
      <c r="D2234">
        <v>311</v>
      </c>
      <c r="E2234" s="51">
        <f>IF(INDEX(DarlBelegt,5)=0,0,EOMONTH(INDEX(DarlAuszahlung,5),310)+1)</f>
      </c>
      <c r="F2234" s="43">
        <f>IF($E2234=0,0,YEAR($E2234))</f>
      </c>
      <c r="G2234" s="43">
        <f>IF(INDEX(DarlBindung,5)="",1,IF($E2234&lt;=INDEX(DarlBindung,5),1,0))</f>
      </c>
      <c r="H2234" s="43">
        <f>IF($G2234=1,INDEX(DarlSollzins,5),INDEX(DarlAnschluss,5))</f>
      </c>
      <c r="I2234" s="43">
        <f>IF(INDEX(DarlBelegt,5)=0,0,IF(INDEX(DarlOhneTilgung,5)=1,IF(INDEX(DarlBindung,5)="",1,$G2234),IF($J2234&gt;0.005,1,0)))</f>
      </c>
      <c r="J2234" s="43">
        <f>IF($I2233=0,0,$R2233)</f>
      </c>
      <c r="K2234" s="43">
        <f>IF($I2234=0,0,IF(INDEX(DarlOhneTilgung,5)=1,0,IF(AND(INDEX(DarlTilgStart,5)&gt;0,$E2234=INDEX(DarlTilgStart,5)),$J2234*($H2234+INDEX(DarlTilgung,5))/100/12,IF(AND($G2234=0,$G2233=1),MAX($K2233,$J2234*($H2234+1)/100/12),$K2233))))</f>
      </c>
      <c r="L2234" s="43">
        <f>IF($I2234=0,0,$J2234*$H2234/100/12)</f>
      </c>
      <c r="M2234" s="43">
        <f>IF($I2234=0,0,IF(OR(INDEX(DarlOhneTilgung,5)=1,AND(INDEX(DarlTilgStart,5)&gt;0,$E2234&lt;INDEX(DarlTilgStart,5))),0,MIN(MAX(0,$K2234-$L2234),$J2234)))</f>
      </c>
      <c r="N2234" s="43">
        <f>IF($I2234=0,0,MIN(SUMIFS(SondBetrag,SondDarl,5,SondDatum,"&gt;="&amp;$E2234,SondDatum,"&lt;="&amp;EOMONTH($E2234,0)),$J2234-$M2234))</f>
      </c>
      <c r="O2234" s="43">
        <f>IF($I2234=0,0,INDEX(DarlErsatzRate,5))</f>
      </c>
      <c r="P2234" s="43">
        <f>IF($I2234=0,0,$Q2233*INDEX(DarlErsatzZins,5))</f>
      </c>
      <c r="Q2234" s="43">
        <f>IF($I2234=0,0,$Q2233+$P2234+$O2234)</f>
      </c>
      <c r="R2234" s="43">
        <f>IF($I2234=0,0,$J2234-$M2234-$N2234)</f>
      </c>
    </row>
    <row r="2235">
      <c r="A2235"/>
      <c r="B2235">
        <v>5</v>
      </c>
      <c r="C2235" s="43">
        <f>INDEX(DarlObj,5)</f>
      </c>
      <c r="D2235">
        <v>312</v>
      </c>
      <c r="E2235" s="51">
        <f>IF(INDEX(DarlBelegt,5)=0,0,EOMONTH(INDEX(DarlAuszahlung,5),311)+1)</f>
      </c>
      <c r="F2235" s="43">
        <f>IF($E2235=0,0,YEAR($E2235))</f>
      </c>
      <c r="G2235" s="43">
        <f>IF(INDEX(DarlBindung,5)="",1,IF($E2235&lt;=INDEX(DarlBindung,5),1,0))</f>
      </c>
      <c r="H2235" s="43">
        <f>IF($G2235=1,INDEX(DarlSollzins,5),INDEX(DarlAnschluss,5))</f>
      </c>
      <c r="I2235" s="43">
        <f>IF(INDEX(DarlBelegt,5)=0,0,IF(INDEX(DarlOhneTilgung,5)=1,IF(INDEX(DarlBindung,5)="",1,$G2235),IF($J2235&gt;0.005,1,0)))</f>
      </c>
      <c r="J2235" s="43">
        <f>IF($I2234=0,0,$R2234)</f>
      </c>
      <c r="K2235" s="43">
        <f>IF($I2235=0,0,IF(INDEX(DarlOhneTilgung,5)=1,0,IF(AND(INDEX(DarlTilgStart,5)&gt;0,$E2235=INDEX(DarlTilgStart,5)),$J2235*($H2235+INDEX(DarlTilgung,5))/100/12,IF(AND($G2235=0,$G2234=1),MAX($K2234,$J2235*($H2235+1)/100/12),$K2234))))</f>
      </c>
      <c r="L2235" s="43">
        <f>IF($I2235=0,0,$J2235*$H2235/100/12)</f>
      </c>
      <c r="M2235" s="43">
        <f>IF($I2235=0,0,IF(OR(INDEX(DarlOhneTilgung,5)=1,AND(INDEX(DarlTilgStart,5)&gt;0,$E2235&lt;INDEX(DarlTilgStart,5))),0,MIN(MAX(0,$K2235-$L2235),$J2235)))</f>
      </c>
      <c r="N2235" s="43">
        <f>IF($I2235=0,0,MIN(SUMIFS(SondBetrag,SondDarl,5,SondDatum,"&gt;="&amp;$E2235,SondDatum,"&lt;="&amp;EOMONTH($E2235,0)),$J2235-$M2235))</f>
      </c>
      <c r="O2235" s="43">
        <f>IF($I2235=0,0,INDEX(DarlErsatzRate,5))</f>
      </c>
      <c r="P2235" s="43">
        <f>IF($I2235=0,0,$Q2234*INDEX(DarlErsatzZins,5))</f>
      </c>
      <c r="Q2235" s="43">
        <f>IF($I2235=0,0,$Q2234+$P2235+$O2235)</f>
      </c>
      <c r="R2235" s="43">
        <f>IF($I2235=0,0,$J2235-$M2235-$N2235)</f>
      </c>
    </row>
    <row r="2236">
      <c r="A2236"/>
      <c r="B2236">
        <v>5</v>
      </c>
      <c r="C2236" s="43">
        <f>INDEX(DarlObj,5)</f>
      </c>
      <c r="D2236">
        <v>313</v>
      </c>
      <c r="E2236" s="51">
        <f>IF(INDEX(DarlBelegt,5)=0,0,EOMONTH(INDEX(DarlAuszahlung,5),312)+1)</f>
      </c>
      <c r="F2236" s="43">
        <f>IF($E2236=0,0,YEAR($E2236))</f>
      </c>
      <c r="G2236" s="43">
        <f>IF(INDEX(DarlBindung,5)="",1,IF($E2236&lt;=INDEX(DarlBindung,5),1,0))</f>
      </c>
      <c r="H2236" s="43">
        <f>IF($G2236=1,INDEX(DarlSollzins,5),INDEX(DarlAnschluss,5))</f>
      </c>
      <c r="I2236" s="43">
        <f>IF(INDEX(DarlBelegt,5)=0,0,IF(INDEX(DarlOhneTilgung,5)=1,IF(INDEX(DarlBindung,5)="",1,$G2236),IF($J2236&gt;0.005,1,0)))</f>
      </c>
      <c r="J2236" s="43">
        <f>IF($I2235=0,0,$R2235)</f>
      </c>
      <c r="K2236" s="43">
        <f>IF($I2236=0,0,IF(INDEX(DarlOhneTilgung,5)=1,0,IF(AND(INDEX(DarlTilgStart,5)&gt;0,$E2236=INDEX(DarlTilgStart,5)),$J2236*($H2236+INDEX(DarlTilgung,5))/100/12,IF(AND($G2236=0,$G2235=1),MAX($K2235,$J2236*($H2236+1)/100/12),$K2235))))</f>
      </c>
      <c r="L2236" s="43">
        <f>IF($I2236=0,0,$J2236*$H2236/100/12)</f>
      </c>
      <c r="M2236" s="43">
        <f>IF($I2236=0,0,IF(OR(INDEX(DarlOhneTilgung,5)=1,AND(INDEX(DarlTilgStart,5)&gt;0,$E2236&lt;INDEX(DarlTilgStart,5))),0,MIN(MAX(0,$K2236-$L2236),$J2236)))</f>
      </c>
      <c r="N2236" s="43">
        <f>IF($I2236=0,0,MIN(SUMIFS(SondBetrag,SondDarl,5,SondDatum,"&gt;="&amp;$E2236,SondDatum,"&lt;="&amp;EOMONTH($E2236,0)),$J2236-$M2236))</f>
      </c>
      <c r="O2236" s="43">
        <f>IF($I2236=0,0,INDEX(DarlErsatzRate,5))</f>
      </c>
      <c r="P2236" s="43">
        <f>IF($I2236=0,0,$Q2235*INDEX(DarlErsatzZins,5))</f>
      </c>
      <c r="Q2236" s="43">
        <f>IF($I2236=0,0,$Q2235+$P2236+$O2236)</f>
      </c>
      <c r="R2236" s="43">
        <f>IF($I2236=0,0,$J2236-$M2236-$N2236)</f>
      </c>
    </row>
    <row r="2237">
      <c r="A2237"/>
      <c r="B2237">
        <v>5</v>
      </c>
      <c r="C2237" s="43">
        <f>INDEX(DarlObj,5)</f>
      </c>
      <c r="D2237">
        <v>314</v>
      </c>
      <c r="E2237" s="51">
        <f>IF(INDEX(DarlBelegt,5)=0,0,EOMONTH(INDEX(DarlAuszahlung,5),313)+1)</f>
      </c>
      <c r="F2237" s="43">
        <f>IF($E2237=0,0,YEAR($E2237))</f>
      </c>
      <c r="G2237" s="43">
        <f>IF(INDEX(DarlBindung,5)="",1,IF($E2237&lt;=INDEX(DarlBindung,5),1,0))</f>
      </c>
      <c r="H2237" s="43">
        <f>IF($G2237=1,INDEX(DarlSollzins,5),INDEX(DarlAnschluss,5))</f>
      </c>
      <c r="I2237" s="43">
        <f>IF(INDEX(DarlBelegt,5)=0,0,IF(INDEX(DarlOhneTilgung,5)=1,IF(INDEX(DarlBindung,5)="",1,$G2237),IF($J2237&gt;0.005,1,0)))</f>
      </c>
      <c r="J2237" s="43">
        <f>IF($I2236=0,0,$R2236)</f>
      </c>
      <c r="K2237" s="43">
        <f>IF($I2237=0,0,IF(INDEX(DarlOhneTilgung,5)=1,0,IF(AND(INDEX(DarlTilgStart,5)&gt;0,$E2237=INDEX(DarlTilgStart,5)),$J2237*($H2237+INDEX(DarlTilgung,5))/100/12,IF(AND($G2237=0,$G2236=1),MAX($K2236,$J2237*($H2237+1)/100/12),$K2236))))</f>
      </c>
      <c r="L2237" s="43">
        <f>IF($I2237=0,0,$J2237*$H2237/100/12)</f>
      </c>
      <c r="M2237" s="43">
        <f>IF($I2237=0,0,IF(OR(INDEX(DarlOhneTilgung,5)=1,AND(INDEX(DarlTilgStart,5)&gt;0,$E2237&lt;INDEX(DarlTilgStart,5))),0,MIN(MAX(0,$K2237-$L2237),$J2237)))</f>
      </c>
      <c r="N2237" s="43">
        <f>IF($I2237=0,0,MIN(SUMIFS(SondBetrag,SondDarl,5,SondDatum,"&gt;="&amp;$E2237,SondDatum,"&lt;="&amp;EOMONTH($E2237,0)),$J2237-$M2237))</f>
      </c>
      <c r="O2237" s="43">
        <f>IF($I2237=0,0,INDEX(DarlErsatzRate,5))</f>
      </c>
      <c r="P2237" s="43">
        <f>IF($I2237=0,0,$Q2236*INDEX(DarlErsatzZins,5))</f>
      </c>
      <c r="Q2237" s="43">
        <f>IF($I2237=0,0,$Q2236+$P2237+$O2237)</f>
      </c>
      <c r="R2237" s="43">
        <f>IF($I2237=0,0,$J2237-$M2237-$N2237)</f>
      </c>
    </row>
    <row r="2238">
      <c r="A2238"/>
      <c r="B2238">
        <v>5</v>
      </c>
      <c r="C2238" s="43">
        <f>INDEX(DarlObj,5)</f>
      </c>
      <c r="D2238">
        <v>315</v>
      </c>
      <c r="E2238" s="51">
        <f>IF(INDEX(DarlBelegt,5)=0,0,EOMONTH(INDEX(DarlAuszahlung,5),314)+1)</f>
      </c>
      <c r="F2238" s="43">
        <f>IF($E2238=0,0,YEAR($E2238))</f>
      </c>
      <c r="G2238" s="43">
        <f>IF(INDEX(DarlBindung,5)="",1,IF($E2238&lt;=INDEX(DarlBindung,5),1,0))</f>
      </c>
      <c r="H2238" s="43">
        <f>IF($G2238=1,INDEX(DarlSollzins,5),INDEX(DarlAnschluss,5))</f>
      </c>
      <c r="I2238" s="43">
        <f>IF(INDEX(DarlBelegt,5)=0,0,IF(INDEX(DarlOhneTilgung,5)=1,IF(INDEX(DarlBindung,5)="",1,$G2238),IF($J2238&gt;0.005,1,0)))</f>
      </c>
      <c r="J2238" s="43">
        <f>IF($I2237=0,0,$R2237)</f>
      </c>
      <c r="K2238" s="43">
        <f>IF($I2238=0,0,IF(INDEX(DarlOhneTilgung,5)=1,0,IF(AND(INDEX(DarlTilgStart,5)&gt;0,$E2238=INDEX(DarlTilgStart,5)),$J2238*($H2238+INDEX(DarlTilgung,5))/100/12,IF(AND($G2238=0,$G2237=1),MAX($K2237,$J2238*($H2238+1)/100/12),$K2237))))</f>
      </c>
      <c r="L2238" s="43">
        <f>IF($I2238=0,0,$J2238*$H2238/100/12)</f>
      </c>
      <c r="M2238" s="43">
        <f>IF($I2238=0,0,IF(OR(INDEX(DarlOhneTilgung,5)=1,AND(INDEX(DarlTilgStart,5)&gt;0,$E2238&lt;INDEX(DarlTilgStart,5))),0,MIN(MAX(0,$K2238-$L2238),$J2238)))</f>
      </c>
      <c r="N2238" s="43">
        <f>IF($I2238=0,0,MIN(SUMIFS(SondBetrag,SondDarl,5,SondDatum,"&gt;="&amp;$E2238,SondDatum,"&lt;="&amp;EOMONTH($E2238,0)),$J2238-$M2238))</f>
      </c>
      <c r="O2238" s="43">
        <f>IF($I2238=0,0,INDEX(DarlErsatzRate,5))</f>
      </c>
      <c r="P2238" s="43">
        <f>IF($I2238=0,0,$Q2237*INDEX(DarlErsatzZins,5))</f>
      </c>
      <c r="Q2238" s="43">
        <f>IF($I2238=0,0,$Q2237+$P2238+$O2238)</f>
      </c>
      <c r="R2238" s="43">
        <f>IF($I2238=0,0,$J2238-$M2238-$N2238)</f>
      </c>
    </row>
    <row r="2239">
      <c r="A2239"/>
      <c r="B2239">
        <v>5</v>
      </c>
      <c r="C2239" s="43">
        <f>INDEX(DarlObj,5)</f>
      </c>
      <c r="D2239">
        <v>316</v>
      </c>
      <c r="E2239" s="51">
        <f>IF(INDEX(DarlBelegt,5)=0,0,EOMONTH(INDEX(DarlAuszahlung,5),315)+1)</f>
      </c>
      <c r="F2239" s="43">
        <f>IF($E2239=0,0,YEAR($E2239))</f>
      </c>
      <c r="G2239" s="43">
        <f>IF(INDEX(DarlBindung,5)="",1,IF($E2239&lt;=INDEX(DarlBindung,5),1,0))</f>
      </c>
      <c r="H2239" s="43">
        <f>IF($G2239=1,INDEX(DarlSollzins,5),INDEX(DarlAnschluss,5))</f>
      </c>
      <c r="I2239" s="43">
        <f>IF(INDEX(DarlBelegt,5)=0,0,IF(INDEX(DarlOhneTilgung,5)=1,IF(INDEX(DarlBindung,5)="",1,$G2239),IF($J2239&gt;0.005,1,0)))</f>
      </c>
      <c r="J2239" s="43">
        <f>IF($I2238=0,0,$R2238)</f>
      </c>
      <c r="K2239" s="43">
        <f>IF($I2239=0,0,IF(INDEX(DarlOhneTilgung,5)=1,0,IF(AND(INDEX(DarlTilgStart,5)&gt;0,$E2239=INDEX(DarlTilgStart,5)),$J2239*($H2239+INDEX(DarlTilgung,5))/100/12,IF(AND($G2239=0,$G2238=1),MAX($K2238,$J2239*($H2239+1)/100/12),$K2238))))</f>
      </c>
      <c r="L2239" s="43">
        <f>IF($I2239=0,0,$J2239*$H2239/100/12)</f>
      </c>
      <c r="M2239" s="43">
        <f>IF($I2239=0,0,IF(OR(INDEX(DarlOhneTilgung,5)=1,AND(INDEX(DarlTilgStart,5)&gt;0,$E2239&lt;INDEX(DarlTilgStart,5))),0,MIN(MAX(0,$K2239-$L2239),$J2239)))</f>
      </c>
      <c r="N2239" s="43">
        <f>IF($I2239=0,0,MIN(SUMIFS(SondBetrag,SondDarl,5,SondDatum,"&gt;="&amp;$E2239,SondDatum,"&lt;="&amp;EOMONTH($E2239,0)),$J2239-$M2239))</f>
      </c>
      <c r="O2239" s="43">
        <f>IF($I2239=0,0,INDEX(DarlErsatzRate,5))</f>
      </c>
      <c r="P2239" s="43">
        <f>IF($I2239=0,0,$Q2238*INDEX(DarlErsatzZins,5))</f>
      </c>
      <c r="Q2239" s="43">
        <f>IF($I2239=0,0,$Q2238+$P2239+$O2239)</f>
      </c>
      <c r="R2239" s="43">
        <f>IF($I2239=0,0,$J2239-$M2239-$N2239)</f>
      </c>
    </row>
    <row r="2240">
      <c r="A2240"/>
      <c r="B2240">
        <v>5</v>
      </c>
      <c r="C2240" s="43">
        <f>INDEX(DarlObj,5)</f>
      </c>
      <c r="D2240">
        <v>317</v>
      </c>
      <c r="E2240" s="51">
        <f>IF(INDEX(DarlBelegt,5)=0,0,EOMONTH(INDEX(DarlAuszahlung,5),316)+1)</f>
      </c>
      <c r="F2240" s="43">
        <f>IF($E2240=0,0,YEAR($E2240))</f>
      </c>
      <c r="G2240" s="43">
        <f>IF(INDEX(DarlBindung,5)="",1,IF($E2240&lt;=INDEX(DarlBindung,5),1,0))</f>
      </c>
      <c r="H2240" s="43">
        <f>IF($G2240=1,INDEX(DarlSollzins,5),INDEX(DarlAnschluss,5))</f>
      </c>
      <c r="I2240" s="43">
        <f>IF(INDEX(DarlBelegt,5)=0,0,IF(INDEX(DarlOhneTilgung,5)=1,IF(INDEX(DarlBindung,5)="",1,$G2240),IF($J2240&gt;0.005,1,0)))</f>
      </c>
      <c r="J2240" s="43">
        <f>IF($I2239=0,0,$R2239)</f>
      </c>
      <c r="K2240" s="43">
        <f>IF($I2240=0,0,IF(INDEX(DarlOhneTilgung,5)=1,0,IF(AND(INDEX(DarlTilgStart,5)&gt;0,$E2240=INDEX(DarlTilgStart,5)),$J2240*($H2240+INDEX(DarlTilgung,5))/100/12,IF(AND($G2240=0,$G2239=1),MAX($K2239,$J2240*($H2240+1)/100/12),$K2239))))</f>
      </c>
      <c r="L2240" s="43">
        <f>IF($I2240=0,0,$J2240*$H2240/100/12)</f>
      </c>
      <c r="M2240" s="43">
        <f>IF($I2240=0,0,IF(OR(INDEX(DarlOhneTilgung,5)=1,AND(INDEX(DarlTilgStart,5)&gt;0,$E2240&lt;INDEX(DarlTilgStart,5))),0,MIN(MAX(0,$K2240-$L2240),$J2240)))</f>
      </c>
      <c r="N2240" s="43">
        <f>IF($I2240=0,0,MIN(SUMIFS(SondBetrag,SondDarl,5,SondDatum,"&gt;="&amp;$E2240,SondDatum,"&lt;="&amp;EOMONTH($E2240,0)),$J2240-$M2240))</f>
      </c>
      <c r="O2240" s="43">
        <f>IF($I2240=0,0,INDEX(DarlErsatzRate,5))</f>
      </c>
      <c r="P2240" s="43">
        <f>IF($I2240=0,0,$Q2239*INDEX(DarlErsatzZins,5))</f>
      </c>
      <c r="Q2240" s="43">
        <f>IF($I2240=0,0,$Q2239+$P2240+$O2240)</f>
      </c>
      <c r="R2240" s="43">
        <f>IF($I2240=0,0,$J2240-$M2240-$N2240)</f>
      </c>
    </row>
    <row r="2241">
      <c r="A2241"/>
      <c r="B2241">
        <v>5</v>
      </c>
      <c r="C2241" s="43">
        <f>INDEX(DarlObj,5)</f>
      </c>
      <c r="D2241">
        <v>318</v>
      </c>
      <c r="E2241" s="51">
        <f>IF(INDEX(DarlBelegt,5)=0,0,EOMONTH(INDEX(DarlAuszahlung,5),317)+1)</f>
      </c>
      <c r="F2241" s="43">
        <f>IF($E2241=0,0,YEAR($E2241))</f>
      </c>
      <c r="G2241" s="43">
        <f>IF(INDEX(DarlBindung,5)="",1,IF($E2241&lt;=INDEX(DarlBindung,5),1,0))</f>
      </c>
      <c r="H2241" s="43">
        <f>IF($G2241=1,INDEX(DarlSollzins,5),INDEX(DarlAnschluss,5))</f>
      </c>
      <c r="I2241" s="43">
        <f>IF(INDEX(DarlBelegt,5)=0,0,IF(INDEX(DarlOhneTilgung,5)=1,IF(INDEX(DarlBindung,5)="",1,$G2241),IF($J2241&gt;0.005,1,0)))</f>
      </c>
      <c r="J2241" s="43">
        <f>IF($I2240=0,0,$R2240)</f>
      </c>
      <c r="K2241" s="43">
        <f>IF($I2241=0,0,IF(INDEX(DarlOhneTilgung,5)=1,0,IF(AND(INDEX(DarlTilgStart,5)&gt;0,$E2241=INDEX(DarlTilgStart,5)),$J2241*($H2241+INDEX(DarlTilgung,5))/100/12,IF(AND($G2241=0,$G2240=1),MAX($K2240,$J2241*($H2241+1)/100/12),$K2240))))</f>
      </c>
      <c r="L2241" s="43">
        <f>IF($I2241=0,0,$J2241*$H2241/100/12)</f>
      </c>
      <c r="M2241" s="43">
        <f>IF($I2241=0,0,IF(OR(INDEX(DarlOhneTilgung,5)=1,AND(INDEX(DarlTilgStart,5)&gt;0,$E2241&lt;INDEX(DarlTilgStart,5))),0,MIN(MAX(0,$K2241-$L2241),$J2241)))</f>
      </c>
      <c r="N2241" s="43">
        <f>IF($I2241=0,0,MIN(SUMIFS(SondBetrag,SondDarl,5,SondDatum,"&gt;="&amp;$E2241,SondDatum,"&lt;="&amp;EOMONTH($E2241,0)),$J2241-$M2241))</f>
      </c>
      <c r="O2241" s="43">
        <f>IF($I2241=0,0,INDEX(DarlErsatzRate,5))</f>
      </c>
      <c r="P2241" s="43">
        <f>IF($I2241=0,0,$Q2240*INDEX(DarlErsatzZins,5))</f>
      </c>
      <c r="Q2241" s="43">
        <f>IF($I2241=0,0,$Q2240+$P2241+$O2241)</f>
      </c>
      <c r="R2241" s="43">
        <f>IF($I2241=0,0,$J2241-$M2241-$N2241)</f>
      </c>
    </row>
    <row r="2242">
      <c r="A2242"/>
      <c r="B2242">
        <v>5</v>
      </c>
      <c r="C2242" s="43">
        <f>INDEX(DarlObj,5)</f>
      </c>
      <c r="D2242">
        <v>319</v>
      </c>
      <c r="E2242" s="51">
        <f>IF(INDEX(DarlBelegt,5)=0,0,EOMONTH(INDEX(DarlAuszahlung,5),318)+1)</f>
      </c>
      <c r="F2242" s="43">
        <f>IF($E2242=0,0,YEAR($E2242))</f>
      </c>
      <c r="G2242" s="43">
        <f>IF(INDEX(DarlBindung,5)="",1,IF($E2242&lt;=INDEX(DarlBindung,5),1,0))</f>
      </c>
      <c r="H2242" s="43">
        <f>IF($G2242=1,INDEX(DarlSollzins,5),INDEX(DarlAnschluss,5))</f>
      </c>
      <c r="I2242" s="43">
        <f>IF(INDEX(DarlBelegt,5)=0,0,IF(INDEX(DarlOhneTilgung,5)=1,IF(INDEX(DarlBindung,5)="",1,$G2242),IF($J2242&gt;0.005,1,0)))</f>
      </c>
      <c r="J2242" s="43">
        <f>IF($I2241=0,0,$R2241)</f>
      </c>
      <c r="K2242" s="43">
        <f>IF($I2242=0,0,IF(INDEX(DarlOhneTilgung,5)=1,0,IF(AND(INDEX(DarlTilgStart,5)&gt;0,$E2242=INDEX(DarlTilgStart,5)),$J2242*($H2242+INDEX(DarlTilgung,5))/100/12,IF(AND($G2242=0,$G2241=1),MAX($K2241,$J2242*($H2242+1)/100/12),$K2241))))</f>
      </c>
      <c r="L2242" s="43">
        <f>IF($I2242=0,0,$J2242*$H2242/100/12)</f>
      </c>
      <c r="M2242" s="43">
        <f>IF($I2242=0,0,IF(OR(INDEX(DarlOhneTilgung,5)=1,AND(INDEX(DarlTilgStart,5)&gt;0,$E2242&lt;INDEX(DarlTilgStart,5))),0,MIN(MAX(0,$K2242-$L2242),$J2242)))</f>
      </c>
      <c r="N2242" s="43">
        <f>IF($I2242=0,0,MIN(SUMIFS(SondBetrag,SondDarl,5,SondDatum,"&gt;="&amp;$E2242,SondDatum,"&lt;="&amp;EOMONTH($E2242,0)),$J2242-$M2242))</f>
      </c>
      <c r="O2242" s="43">
        <f>IF($I2242=0,0,INDEX(DarlErsatzRate,5))</f>
      </c>
      <c r="P2242" s="43">
        <f>IF($I2242=0,0,$Q2241*INDEX(DarlErsatzZins,5))</f>
      </c>
      <c r="Q2242" s="43">
        <f>IF($I2242=0,0,$Q2241+$P2242+$O2242)</f>
      </c>
      <c r="R2242" s="43">
        <f>IF($I2242=0,0,$J2242-$M2242-$N2242)</f>
      </c>
    </row>
    <row r="2243">
      <c r="A2243"/>
      <c r="B2243">
        <v>5</v>
      </c>
      <c r="C2243" s="43">
        <f>INDEX(DarlObj,5)</f>
      </c>
      <c r="D2243">
        <v>320</v>
      </c>
      <c r="E2243" s="51">
        <f>IF(INDEX(DarlBelegt,5)=0,0,EOMONTH(INDEX(DarlAuszahlung,5),319)+1)</f>
      </c>
      <c r="F2243" s="43">
        <f>IF($E2243=0,0,YEAR($E2243))</f>
      </c>
      <c r="G2243" s="43">
        <f>IF(INDEX(DarlBindung,5)="",1,IF($E2243&lt;=INDEX(DarlBindung,5),1,0))</f>
      </c>
      <c r="H2243" s="43">
        <f>IF($G2243=1,INDEX(DarlSollzins,5),INDEX(DarlAnschluss,5))</f>
      </c>
      <c r="I2243" s="43">
        <f>IF(INDEX(DarlBelegt,5)=0,0,IF(INDEX(DarlOhneTilgung,5)=1,IF(INDEX(DarlBindung,5)="",1,$G2243),IF($J2243&gt;0.005,1,0)))</f>
      </c>
      <c r="J2243" s="43">
        <f>IF($I2242=0,0,$R2242)</f>
      </c>
      <c r="K2243" s="43">
        <f>IF($I2243=0,0,IF(INDEX(DarlOhneTilgung,5)=1,0,IF(AND(INDEX(DarlTilgStart,5)&gt;0,$E2243=INDEX(DarlTilgStart,5)),$J2243*($H2243+INDEX(DarlTilgung,5))/100/12,IF(AND($G2243=0,$G2242=1),MAX($K2242,$J2243*($H2243+1)/100/12),$K2242))))</f>
      </c>
      <c r="L2243" s="43">
        <f>IF($I2243=0,0,$J2243*$H2243/100/12)</f>
      </c>
      <c r="M2243" s="43">
        <f>IF($I2243=0,0,IF(OR(INDEX(DarlOhneTilgung,5)=1,AND(INDEX(DarlTilgStart,5)&gt;0,$E2243&lt;INDEX(DarlTilgStart,5))),0,MIN(MAX(0,$K2243-$L2243),$J2243)))</f>
      </c>
      <c r="N2243" s="43">
        <f>IF($I2243=0,0,MIN(SUMIFS(SondBetrag,SondDarl,5,SondDatum,"&gt;="&amp;$E2243,SondDatum,"&lt;="&amp;EOMONTH($E2243,0)),$J2243-$M2243))</f>
      </c>
      <c r="O2243" s="43">
        <f>IF($I2243=0,0,INDEX(DarlErsatzRate,5))</f>
      </c>
      <c r="P2243" s="43">
        <f>IF($I2243=0,0,$Q2242*INDEX(DarlErsatzZins,5))</f>
      </c>
      <c r="Q2243" s="43">
        <f>IF($I2243=0,0,$Q2242+$P2243+$O2243)</f>
      </c>
      <c r="R2243" s="43">
        <f>IF($I2243=0,0,$J2243-$M2243-$N2243)</f>
      </c>
    </row>
    <row r="2244">
      <c r="A2244"/>
      <c r="B2244">
        <v>5</v>
      </c>
      <c r="C2244" s="43">
        <f>INDEX(DarlObj,5)</f>
      </c>
      <c r="D2244">
        <v>321</v>
      </c>
      <c r="E2244" s="51">
        <f>IF(INDEX(DarlBelegt,5)=0,0,EOMONTH(INDEX(DarlAuszahlung,5),320)+1)</f>
      </c>
      <c r="F2244" s="43">
        <f>IF($E2244=0,0,YEAR($E2244))</f>
      </c>
      <c r="G2244" s="43">
        <f>IF(INDEX(DarlBindung,5)="",1,IF($E2244&lt;=INDEX(DarlBindung,5),1,0))</f>
      </c>
      <c r="H2244" s="43">
        <f>IF($G2244=1,INDEX(DarlSollzins,5),INDEX(DarlAnschluss,5))</f>
      </c>
      <c r="I2244" s="43">
        <f>IF(INDEX(DarlBelegt,5)=0,0,IF(INDEX(DarlOhneTilgung,5)=1,IF(INDEX(DarlBindung,5)="",1,$G2244),IF($J2244&gt;0.005,1,0)))</f>
      </c>
      <c r="J2244" s="43">
        <f>IF($I2243=0,0,$R2243)</f>
      </c>
      <c r="K2244" s="43">
        <f>IF($I2244=0,0,IF(INDEX(DarlOhneTilgung,5)=1,0,IF(AND(INDEX(DarlTilgStart,5)&gt;0,$E2244=INDEX(DarlTilgStart,5)),$J2244*($H2244+INDEX(DarlTilgung,5))/100/12,IF(AND($G2244=0,$G2243=1),MAX($K2243,$J2244*($H2244+1)/100/12),$K2243))))</f>
      </c>
      <c r="L2244" s="43">
        <f>IF($I2244=0,0,$J2244*$H2244/100/12)</f>
      </c>
      <c r="M2244" s="43">
        <f>IF($I2244=0,0,IF(OR(INDEX(DarlOhneTilgung,5)=1,AND(INDEX(DarlTilgStart,5)&gt;0,$E2244&lt;INDEX(DarlTilgStart,5))),0,MIN(MAX(0,$K2244-$L2244),$J2244)))</f>
      </c>
      <c r="N2244" s="43">
        <f>IF($I2244=0,0,MIN(SUMIFS(SondBetrag,SondDarl,5,SondDatum,"&gt;="&amp;$E2244,SondDatum,"&lt;="&amp;EOMONTH($E2244,0)),$J2244-$M2244))</f>
      </c>
      <c r="O2244" s="43">
        <f>IF($I2244=0,0,INDEX(DarlErsatzRate,5))</f>
      </c>
      <c r="P2244" s="43">
        <f>IF($I2244=0,0,$Q2243*INDEX(DarlErsatzZins,5))</f>
      </c>
      <c r="Q2244" s="43">
        <f>IF($I2244=0,0,$Q2243+$P2244+$O2244)</f>
      </c>
      <c r="R2244" s="43">
        <f>IF($I2244=0,0,$J2244-$M2244-$N2244)</f>
      </c>
    </row>
    <row r="2245">
      <c r="A2245"/>
      <c r="B2245">
        <v>5</v>
      </c>
      <c r="C2245" s="43">
        <f>INDEX(DarlObj,5)</f>
      </c>
      <c r="D2245">
        <v>322</v>
      </c>
      <c r="E2245" s="51">
        <f>IF(INDEX(DarlBelegt,5)=0,0,EOMONTH(INDEX(DarlAuszahlung,5),321)+1)</f>
      </c>
      <c r="F2245" s="43">
        <f>IF($E2245=0,0,YEAR($E2245))</f>
      </c>
      <c r="G2245" s="43">
        <f>IF(INDEX(DarlBindung,5)="",1,IF($E2245&lt;=INDEX(DarlBindung,5),1,0))</f>
      </c>
      <c r="H2245" s="43">
        <f>IF($G2245=1,INDEX(DarlSollzins,5),INDEX(DarlAnschluss,5))</f>
      </c>
      <c r="I2245" s="43">
        <f>IF(INDEX(DarlBelegt,5)=0,0,IF(INDEX(DarlOhneTilgung,5)=1,IF(INDEX(DarlBindung,5)="",1,$G2245),IF($J2245&gt;0.005,1,0)))</f>
      </c>
      <c r="J2245" s="43">
        <f>IF($I2244=0,0,$R2244)</f>
      </c>
      <c r="K2245" s="43">
        <f>IF($I2245=0,0,IF(INDEX(DarlOhneTilgung,5)=1,0,IF(AND(INDEX(DarlTilgStart,5)&gt;0,$E2245=INDEX(DarlTilgStart,5)),$J2245*($H2245+INDEX(DarlTilgung,5))/100/12,IF(AND($G2245=0,$G2244=1),MAX($K2244,$J2245*($H2245+1)/100/12),$K2244))))</f>
      </c>
      <c r="L2245" s="43">
        <f>IF($I2245=0,0,$J2245*$H2245/100/12)</f>
      </c>
      <c r="M2245" s="43">
        <f>IF($I2245=0,0,IF(OR(INDEX(DarlOhneTilgung,5)=1,AND(INDEX(DarlTilgStart,5)&gt;0,$E2245&lt;INDEX(DarlTilgStart,5))),0,MIN(MAX(0,$K2245-$L2245),$J2245)))</f>
      </c>
      <c r="N2245" s="43">
        <f>IF($I2245=0,0,MIN(SUMIFS(SondBetrag,SondDarl,5,SondDatum,"&gt;="&amp;$E2245,SondDatum,"&lt;="&amp;EOMONTH($E2245,0)),$J2245-$M2245))</f>
      </c>
      <c r="O2245" s="43">
        <f>IF($I2245=0,0,INDEX(DarlErsatzRate,5))</f>
      </c>
      <c r="P2245" s="43">
        <f>IF($I2245=0,0,$Q2244*INDEX(DarlErsatzZins,5))</f>
      </c>
      <c r="Q2245" s="43">
        <f>IF($I2245=0,0,$Q2244+$P2245+$O2245)</f>
      </c>
      <c r="R2245" s="43">
        <f>IF($I2245=0,0,$J2245-$M2245-$N2245)</f>
      </c>
    </row>
    <row r="2246">
      <c r="A2246"/>
      <c r="B2246">
        <v>5</v>
      </c>
      <c r="C2246" s="43">
        <f>INDEX(DarlObj,5)</f>
      </c>
      <c r="D2246">
        <v>323</v>
      </c>
      <c r="E2246" s="51">
        <f>IF(INDEX(DarlBelegt,5)=0,0,EOMONTH(INDEX(DarlAuszahlung,5),322)+1)</f>
      </c>
      <c r="F2246" s="43">
        <f>IF($E2246=0,0,YEAR($E2246))</f>
      </c>
      <c r="G2246" s="43">
        <f>IF(INDEX(DarlBindung,5)="",1,IF($E2246&lt;=INDEX(DarlBindung,5),1,0))</f>
      </c>
      <c r="H2246" s="43">
        <f>IF($G2246=1,INDEX(DarlSollzins,5),INDEX(DarlAnschluss,5))</f>
      </c>
      <c r="I2246" s="43">
        <f>IF(INDEX(DarlBelegt,5)=0,0,IF(INDEX(DarlOhneTilgung,5)=1,IF(INDEX(DarlBindung,5)="",1,$G2246),IF($J2246&gt;0.005,1,0)))</f>
      </c>
      <c r="J2246" s="43">
        <f>IF($I2245=0,0,$R2245)</f>
      </c>
      <c r="K2246" s="43">
        <f>IF($I2246=0,0,IF(INDEX(DarlOhneTilgung,5)=1,0,IF(AND(INDEX(DarlTilgStart,5)&gt;0,$E2246=INDEX(DarlTilgStart,5)),$J2246*($H2246+INDEX(DarlTilgung,5))/100/12,IF(AND($G2246=0,$G2245=1),MAX($K2245,$J2246*($H2246+1)/100/12),$K2245))))</f>
      </c>
      <c r="L2246" s="43">
        <f>IF($I2246=0,0,$J2246*$H2246/100/12)</f>
      </c>
      <c r="M2246" s="43">
        <f>IF($I2246=0,0,IF(OR(INDEX(DarlOhneTilgung,5)=1,AND(INDEX(DarlTilgStart,5)&gt;0,$E2246&lt;INDEX(DarlTilgStart,5))),0,MIN(MAX(0,$K2246-$L2246),$J2246)))</f>
      </c>
      <c r="N2246" s="43">
        <f>IF($I2246=0,0,MIN(SUMIFS(SondBetrag,SondDarl,5,SondDatum,"&gt;="&amp;$E2246,SondDatum,"&lt;="&amp;EOMONTH($E2246,0)),$J2246-$M2246))</f>
      </c>
      <c r="O2246" s="43">
        <f>IF($I2246=0,0,INDEX(DarlErsatzRate,5))</f>
      </c>
      <c r="P2246" s="43">
        <f>IF($I2246=0,0,$Q2245*INDEX(DarlErsatzZins,5))</f>
      </c>
      <c r="Q2246" s="43">
        <f>IF($I2246=0,0,$Q2245+$P2246+$O2246)</f>
      </c>
      <c r="R2246" s="43">
        <f>IF($I2246=0,0,$J2246-$M2246-$N2246)</f>
      </c>
    </row>
    <row r="2247">
      <c r="A2247"/>
      <c r="B2247">
        <v>5</v>
      </c>
      <c r="C2247" s="43">
        <f>INDEX(DarlObj,5)</f>
      </c>
      <c r="D2247">
        <v>324</v>
      </c>
      <c r="E2247" s="51">
        <f>IF(INDEX(DarlBelegt,5)=0,0,EOMONTH(INDEX(DarlAuszahlung,5),323)+1)</f>
      </c>
      <c r="F2247" s="43">
        <f>IF($E2247=0,0,YEAR($E2247))</f>
      </c>
      <c r="G2247" s="43">
        <f>IF(INDEX(DarlBindung,5)="",1,IF($E2247&lt;=INDEX(DarlBindung,5),1,0))</f>
      </c>
      <c r="H2247" s="43">
        <f>IF($G2247=1,INDEX(DarlSollzins,5),INDEX(DarlAnschluss,5))</f>
      </c>
      <c r="I2247" s="43">
        <f>IF(INDEX(DarlBelegt,5)=0,0,IF(INDEX(DarlOhneTilgung,5)=1,IF(INDEX(DarlBindung,5)="",1,$G2247),IF($J2247&gt;0.005,1,0)))</f>
      </c>
      <c r="J2247" s="43">
        <f>IF($I2246=0,0,$R2246)</f>
      </c>
      <c r="K2247" s="43">
        <f>IF($I2247=0,0,IF(INDEX(DarlOhneTilgung,5)=1,0,IF(AND(INDEX(DarlTilgStart,5)&gt;0,$E2247=INDEX(DarlTilgStart,5)),$J2247*($H2247+INDEX(DarlTilgung,5))/100/12,IF(AND($G2247=0,$G2246=1),MAX($K2246,$J2247*($H2247+1)/100/12),$K2246))))</f>
      </c>
      <c r="L2247" s="43">
        <f>IF($I2247=0,0,$J2247*$H2247/100/12)</f>
      </c>
      <c r="M2247" s="43">
        <f>IF($I2247=0,0,IF(OR(INDEX(DarlOhneTilgung,5)=1,AND(INDEX(DarlTilgStart,5)&gt;0,$E2247&lt;INDEX(DarlTilgStart,5))),0,MIN(MAX(0,$K2247-$L2247),$J2247)))</f>
      </c>
      <c r="N2247" s="43">
        <f>IF($I2247=0,0,MIN(SUMIFS(SondBetrag,SondDarl,5,SondDatum,"&gt;="&amp;$E2247,SondDatum,"&lt;="&amp;EOMONTH($E2247,0)),$J2247-$M2247))</f>
      </c>
      <c r="O2247" s="43">
        <f>IF($I2247=0,0,INDEX(DarlErsatzRate,5))</f>
      </c>
      <c r="P2247" s="43">
        <f>IF($I2247=0,0,$Q2246*INDEX(DarlErsatzZins,5))</f>
      </c>
      <c r="Q2247" s="43">
        <f>IF($I2247=0,0,$Q2246+$P2247+$O2247)</f>
      </c>
      <c r="R2247" s="43">
        <f>IF($I2247=0,0,$J2247-$M2247-$N2247)</f>
      </c>
    </row>
    <row r="2248">
      <c r="A2248"/>
      <c r="B2248">
        <v>5</v>
      </c>
      <c r="C2248" s="43">
        <f>INDEX(DarlObj,5)</f>
      </c>
      <c r="D2248">
        <v>325</v>
      </c>
      <c r="E2248" s="51">
        <f>IF(INDEX(DarlBelegt,5)=0,0,EOMONTH(INDEX(DarlAuszahlung,5),324)+1)</f>
      </c>
      <c r="F2248" s="43">
        <f>IF($E2248=0,0,YEAR($E2248))</f>
      </c>
      <c r="G2248" s="43">
        <f>IF(INDEX(DarlBindung,5)="",1,IF($E2248&lt;=INDEX(DarlBindung,5),1,0))</f>
      </c>
      <c r="H2248" s="43">
        <f>IF($G2248=1,INDEX(DarlSollzins,5),INDEX(DarlAnschluss,5))</f>
      </c>
      <c r="I2248" s="43">
        <f>IF(INDEX(DarlBelegt,5)=0,0,IF(INDEX(DarlOhneTilgung,5)=1,IF(INDEX(DarlBindung,5)="",1,$G2248),IF($J2248&gt;0.005,1,0)))</f>
      </c>
      <c r="J2248" s="43">
        <f>IF($I2247=0,0,$R2247)</f>
      </c>
      <c r="K2248" s="43">
        <f>IF($I2248=0,0,IF(INDEX(DarlOhneTilgung,5)=1,0,IF(AND(INDEX(DarlTilgStart,5)&gt;0,$E2248=INDEX(DarlTilgStart,5)),$J2248*($H2248+INDEX(DarlTilgung,5))/100/12,IF(AND($G2248=0,$G2247=1),MAX($K2247,$J2248*($H2248+1)/100/12),$K2247))))</f>
      </c>
      <c r="L2248" s="43">
        <f>IF($I2248=0,0,$J2248*$H2248/100/12)</f>
      </c>
      <c r="M2248" s="43">
        <f>IF($I2248=0,0,IF(OR(INDEX(DarlOhneTilgung,5)=1,AND(INDEX(DarlTilgStart,5)&gt;0,$E2248&lt;INDEX(DarlTilgStart,5))),0,MIN(MAX(0,$K2248-$L2248),$J2248)))</f>
      </c>
      <c r="N2248" s="43">
        <f>IF($I2248=0,0,MIN(SUMIFS(SondBetrag,SondDarl,5,SondDatum,"&gt;="&amp;$E2248,SondDatum,"&lt;="&amp;EOMONTH($E2248,0)),$J2248-$M2248))</f>
      </c>
      <c r="O2248" s="43">
        <f>IF($I2248=0,0,INDEX(DarlErsatzRate,5))</f>
      </c>
      <c r="P2248" s="43">
        <f>IF($I2248=0,0,$Q2247*INDEX(DarlErsatzZins,5))</f>
      </c>
      <c r="Q2248" s="43">
        <f>IF($I2248=0,0,$Q2247+$P2248+$O2248)</f>
      </c>
      <c r="R2248" s="43">
        <f>IF($I2248=0,0,$J2248-$M2248-$N2248)</f>
      </c>
    </row>
    <row r="2249">
      <c r="A2249"/>
      <c r="B2249">
        <v>5</v>
      </c>
      <c r="C2249" s="43">
        <f>INDEX(DarlObj,5)</f>
      </c>
      <c r="D2249">
        <v>326</v>
      </c>
      <c r="E2249" s="51">
        <f>IF(INDEX(DarlBelegt,5)=0,0,EOMONTH(INDEX(DarlAuszahlung,5),325)+1)</f>
      </c>
      <c r="F2249" s="43">
        <f>IF($E2249=0,0,YEAR($E2249))</f>
      </c>
      <c r="G2249" s="43">
        <f>IF(INDEX(DarlBindung,5)="",1,IF($E2249&lt;=INDEX(DarlBindung,5),1,0))</f>
      </c>
      <c r="H2249" s="43">
        <f>IF($G2249=1,INDEX(DarlSollzins,5),INDEX(DarlAnschluss,5))</f>
      </c>
      <c r="I2249" s="43">
        <f>IF(INDEX(DarlBelegt,5)=0,0,IF(INDEX(DarlOhneTilgung,5)=1,IF(INDEX(DarlBindung,5)="",1,$G2249),IF($J2249&gt;0.005,1,0)))</f>
      </c>
      <c r="J2249" s="43">
        <f>IF($I2248=0,0,$R2248)</f>
      </c>
      <c r="K2249" s="43">
        <f>IF($I2249=0,0,IF(INDEX(DarlOhneTilgung,5)=1,0,IF(AND(INDEX(DarlTilgStart,5)&gt;0,$E2249=INDEX(DarlTilgStart,5)),$J2249*($H2249+INDEX(DarlTilgung,5))/100/12,IF(AND($G2249=0,$G2248=1),MAX($K2248,$J2249*($H2249+1)/100/12),$K2248))))</f>
      </c>
      <c r="L2249" s="43">
        <f>IF($I2249=0,0,$J2249*$H2249/100/12)</f>
      </c>
      <c r="M2249" s="43">
        <f>IF($I2249=0,0,IF(OR(INDEX(DarlOhneTilgung,5)=1,AND(INDEX(DarlTilgStart,5)&gt;0,$E2249&lt;INDEX(DarlTilgStart,5))),0,MIN(MAX(0,$K2249-$L2249),$J2249)))</f>
      </c>
      <c r="N2249" s="43">
        <f>IF($I2249=0,0,MIN(SUMIFS(SondBetrag,SondDarl,5,SondDatum,"&gt;="&amp;$E2249,SondDatum,"&lt;="&amp;EOMONTH($E2249,0)),$J2249-$M2249))</f>
      </c>
      <c r="O2249" s="43">
        <f>IF($I2249=0,0,INDEX(DarlErsatzRate,5))</f>
      </c>
      <c r="P2249" s="43">
        <f>IF($I2249=0,0,$Q2248*INDEX(DarlErsatzZins,5))</f>
      </c>
      <c r="Q2249" s="43">
        <f>IF($I2249=0,0,$Q2248+$P2249+$O2249)</f>
      </c>
      <c r="R2249" s="43">
        <f>IF($I2249=0,0,$J2249-$M2249-$N2249)</f>
      </c>
    </row>
    <row r="2250">
      <c r="A2250"/>
      <c r="B2250">
        <v>5</v>
      </c>
      <c r="C2250" s="43">
        <f>INDEX(DarlObj,5)</f>
      </c>
      <c r="D2250">
        <v>327</v>
      </c>
      <c r="E2250" s="51">
        <f>IF(INDEX(DarlBelegt,5)=0,0,EOMONTH(INDEX(DarlAuszahlung,5),326)+1)</f>
      </c>
      <c r="F2250" s="43">
        <f>IF($E2250=0,0,YEAR($E2250))</f>
      </c>
      <c r="G2250" s="43">
        <f>IF(INDEX(DarlBindung,5)="",1,IF($E2250&lt;=INDEX(DarlBindung,5),1,0))</f>
      </c>
      <c r="H2250" s="43">
        <f>IF($G2250=1,INDEX(DarlSollzins,5),INDEX(DarlAnschluss,5))</f>
      </c>
      <c r="I2250" s="43">
        <f>IF(INDEX(DarlBelegt,5)=0,0,IF(INDEX(DarlOhneTilgung,5)=1,IF(INDEX(DarlBindung,5)="",1,$G2250),IF($J2250&gt;0.005,1,0)))</f>
      </c>
      <c r="J2250" s="43">
        <f>IF($I2249=0,0,$R2249)</f>
      </c>
      <c r="K2250" s="43">
        <f>IF($I2250=0,0,IF(INDEX(DarlOhneTilgung,5)=1,0,IF(AND(INDEX(DarlTilgStart,5)&gt;0,$E2250=INDEX(DarlTilgStart,5)),$J2250*($H2250+INDEX(DarlTilgung,5))/100/12,IF(AND($G2250=0,$G2249=1),MAX($K2249,$J2250*($H2250+1)/100/12),$K2249))))</f>
      </c>
      <c r="L2250" s="43">
        <f>IF($I2250=0,0,$J2250*$H2250/100/12)</f>
      </c>
      <c r="M2250" s="43">
        <f>IF($I2250=0,0,IF(OR(INDEX(DarlOhneTilgung,5)=1,AND(INDEX(DarlTilgStart,5)&gt;0,$E2250&lt;INDEX(DarlTilgStart,5))),0,MIN(MAX(0,$K2250-$L2250),$J2250)))</f>
      </c>
      <c r="N2250" s="43">
        <f>IF($I2250=0,0,MIN(SUMIFS(SondBetrag,SondDarl,5,SondDatum,"&gt;="&amp;$E2250,SondDatum,"&lt;="&amp;EOMONTH($E2250,0)),$J2250-$M2250))</f>
      </c>
      <c r="O2250" s="43">
        <f>IF($I2250=0,0,INDEX(DarlErsatzRate,5))</f>
      </c>
      <c r="P2250" s="43">
        <f>IF($I2250=0,0,$Q2249*INDEX(DarlErsatzZins,5))</f>
      </c>
      <c r="Q2250" s="43">
        <f>IF($I2250=0,0,$Q2249+$P2250+$O2250)</f>
      </c>
      <c r="R2250" s="43">
        <f>IF($I2250=0,0,$J2250-$M2250-$N2250)</f>
      </c>
    </row>
    <row r="2251">
      <c r="A2251"/>
      <c r="B2251">
        <v>5</v>
      </c>
      <c r="C2251" s="43">
        <f>INDEX(DarlObj,5)</f>
      </c>
      <c r="D2251">
        <v>328</v>
      </c>
      <c r="E2251" s="51">
        <f>IF(INDEX(DarlBelegt,5)=0,0,EOMONTH(INDEX(DarlAuszahlung,5),327)+1)</f>
      </c>
      <c r="F2251" s="43">
        <f>IF($E2251=0,0,YEAR($E2251))</f>
      </c>
      <c r="G2251" s="43">
        <f>IF(INDEX(DarlBindung,5)="",1,IF($E2251&lt;=INDEX(DarlBindung,5),1,0))</f>
      </c>
      <c r="H2251" s="43">
        <f>IF($G2251=1,INDEX(DarlSollzins,5),INDEX(DarlAnschluss,5))</f>
      </c>
      <c r="I2251" s="43">
        <f>IF(INDEX(DarlBelegt,5)=0,0,IF(INDEX(DarlOhneTilgung,5)=1,IF(INDEX(DarlBindung,5)="",1,$G2251),IF($J2251&gt;0.005,1,0)))</f>
      </c>
      <c r="J2251" s="43">
        <f>IF($I2250=0,0,$R2250)</f>
      </c>
      <c r="K2251" s="43">
        <f>IF($I2251=0,0,IF(INDEX(DarlOhneTilgung,5)=1,0,IF(AND(INDEX(DarlTilgStart,5)&gt;0,$E2251=INDEX(DarlTilgStart,5)),$J2251*($H2251+INDEX(DarlTilgung,5))/100/12,IF(AND($G2251=0,$G2250=1),MAX($K2250,$J2251*($H2251+1)/100/12),$K2250))))</f>
      </c>
      <c r="L2251" s="43">
        <f>IF($I2251=0,0,$J2251*$H2251/100/12)</f>
      </c>
      <c r="M2251" s="43">
        <f>IF($I2251=0,0,IF(OR(INDEX(DarlOhneTilgung,5)=1,AND(INDEX(DarlTilgStart,5)&gt;0,$E2251&lt;INDEX(DarlTilgStart,5))),0,MIN(MAX(0,$K2251-$L2251),$J2251)))</f>
      </c>
      <c r="N2251" s="43">
        <f>IF($I2251=0,0,MIN(SUMIFS(SondBetrag,SondDarl,5,SondDatum,"&gt;="&amp;$E2251,SondDatum,"&lt;="&amp;EOMONTH($E2251,0)),$J2251-$M2251))</f>
      </c>
      <c r="O2251" s="43">
        <f>IF($I2251=0,0,INDEX(DarlErsatzRate,5))</f>
      </c>
      <c r="P2251" s="43">
        <f>IF($I2251=0,0,$Q2250*INDEX(DarlErsatzZins,5))</f>
      </c>
      <c r="Q2251" s="43">
        <f>IF($I2251=0,0,$Q2250+$P2251+$O2251)</f>
      </c>
      <c r="R2251" s="43">
        <f>IF($I2251=0,0,$J2251-$M2251-$N2251)</f>
      </c>
    </row>
    <row r="2252">
      <c r="A2252"/>
      <c r="B2252">
        <v>5</v>
      </c>
      <c r="C2252" s="43">
        <f>INDEX(DarlObj,5)</f>
      </c>
      <c r="D2252">
        <v>329</v>
      </c>
      <c r="E2252" s="51">
        <f>IF(INDEX(DarlBelegt,5)=0,0,EOMONTH(INDEX(DarlAuszahlung,5),328)+1)</f>
      </c>
      <c r="F2252" s="43">
        <f>IF($E2252=0,0,YEAR($E2252))</f>
      </c>
      <c r="G2252" s="43">
        <f>IF(INDEX(DarlBindung,5)="",1,IF($E2252&lt;=INDEX(DarlBindung,5),1,0))</f>
      </c>
      <c r="H2252" s="43">
        <f>IF($G2252=1,INDEX(DarlSollzins,5),INDEX(DarlAnschluss,5))</f>
      </c>
      <c r="I2252" s="43">
        <f>IF(INDEX(DarlBelegt,5)=0,0,IF(INDEX(DarlOhneTilgung,5)=1,IF(INDEX(DarlBindung,5)="",1,$G2252),IF($J2252&gt;0.005,1,0)))</f>
      </c>
      <c r="J2252" s="43">
        <f>IF($I2251=0,0,$R2251)</f>
      </c>
      <c r="K2252" s="43">
        <f>IF($I2252=0,0,IF(INDEX(DarlOhneTilgung,5)=1,0,IF(AND(INDEX(DarlTilgStart,5)&gt;0,$E2252=INDEX(DarlTilgStart,5)),$J2252*($H2252+INDEX(DarlTilgung,5))/100/12,IF(AND($G2252=0,$G2251=1),MAX($K2251,$J2252*($H2252+1)/100/12),$K2251))))</f>
      </c>
      <c r="L2252" s="43">
        <f>IF($I2252=0,0,$J2252*$H2252/100/12)</f>
      </c>
      <c r="M2252" s="43">
        <f>IF($I2252=0,0,IF(OR(INDEX(DarlOhneTilgung,5)=1,AND(INDEX(DarlTilgStart,5)&gt;0,$E2252&lt;INDEX(DarlTilgStart,5))),0,MIN(MAX(0,$K2252-$L2252),$J2252)))</f>
      </c>
      <c r="N2252" s="43">
        <f>IF($I2252=0,0,MIN(SUMIFS(SondBetrag,SondDarl,5,SondDatum,"&gt;="&amp;$E2252,SondDatum,"&lt;="&amp;EOMONTH($E2252,0)),$J2252-$M2252))</f>
      </c>
      <c r="O2252" s="43">
        <f>IF($I2252=0,0,INDEX(DarlErsatzRate,5))</f>
      </c>
      <c r="P2252" s="43">
        <f>IF($I2252=0,0,$Q2251*INDEX(DarlErsatzZins,5))</f>
      </c>
      <c r="Q2252" s="43">
        <f>IF($I2252=0,0,$Q2251+$P2252+$O2252)</f>
      </c>
      <c r="R2252" s="43">
        <f>IF($I2252=0,0,$J2252-$M2252-$N2252)</f>
      </c>
    </row>
    <row r="2253">
      <c r="A2253"/>
      <c r="B2253">
        <v>5</v>
      </c>
      <c r="C2253" s="43">
        <f>INDEX(DarlObj,5)</f>
      </c>
      <c r="D2253">
        <v>330</v>
      </c>
      <c r="E2253" s="51">
        <f>IF(INDEX(DarlBelegt,5)=0,0,EOMONTH(INDEX(DarlAuszahlung,5),329)+1)</f>
      </c>
      <c r="F2253" s="43">
        <f>IF($E2253=0,0,YEAR($E2253))</f>
      </c>
      <c r="G2253" s="43">
        <f>IF(INDEX(DarlBindung,5)="",1,IF($E2253&lt;=INDEX(DarlBindung,5),1,0))</f>
      </c>
      <c r="H2253" s="43">
        <f>IF($G2253=1,INDEX(DarlSollzins,5),INDEX(DarlAnschluss,5))</f>
      </c>
      <c r="I2253" s="43">
        <f>IF(INDEX(DarlBelegt,5)=0,0,IF(INDEX(DarlOhneTilgung,5)=1,IF(INDEX(DarlBindung,5)="",1,$G2253),IF($J2253&gt;0.005,1,0)))</f>
      </c>
      <c r="J2253" s="43">
        <f>IF($I2252=0,0,$R2252)</f>
      </c>
      <c r="K2253" s="43">
        <f>IF($I2253=0,0,IF(INDEX(DarlOhneTilgung,5)=1,0,IF(AND(INDEX(DarlTilgStart,5)&gt;0,$E2253=INDEX(DarlTilgStart,5)),$J2253*($H2253+INDEX(DarlTilgung,5))/100/12,IF(AND($G2253=0,$G2252=1),MAX($K2252,$J2253*($H2253+1)/100/12),$K2252))))</f>
      </c>
      <c r="L2253" s="43">
        <f>IF($I2253=0,0,$J2253*$H2253/100/12)</f>
      </c>
      <c r="M2253" s="43">
        <f>IF($I2253=0,0,IF(OR(INDEX(DarlOhneTilgung,5)=1,AND(INDEX(DarlTilgStart,5)&gt;0,$E2253&lt;INDEX(DarlTilgStart,5))),0,MIN(MAX(0,$K2253-$L2253),$J2253)))</f>
      </c>
      <c r="N2253" s="43">
        <f>IF($I2253=0,0,MIN(SUMIFS(SondBetrag,SondDarl,5,SondDatum,"&gt;="&amp;$E2253,SondDatum,"&lt;="&amp;EOMONTH($E2253,0)),$J2253-$M2253))</f>
      </c>
      <c r="O2253" s="43">
        <f>IF($I2253=0,0,INDEX(DarlErsatzRate,5))</f>
      </c>
      <c r="P2253" s="43">
        <f>IF($I2253=0,0,$Q2252*INDEX(DarlErsatzZins,5))</f>
      </c>
      <c r="Q2253" s="43">
        <f>IF($I2253=0,0,$Q2252+$P2253+$O2253)</f>
      </c>
      <c r="R2253" s="43">
        <f>IF($I2253=0,0,$J2253-$M2253-$N2253)</f>
      </c>
    </row>
    <row r="2254">
      <c r="A2254"/>
      <c r="B2254">
        <v>5</v>
      </c>
      <c r="C2254" s="43">
        <f>INDEX(DarlObj,5)</f>
      </c>
      <c r="D2254">
        <v>331</v>
      </c>
      <c r="E2254" s="51">
        <f>IF(INDEX(DarlBelegt,5)=0,0,EOMONTH(INDEX(DarlAuszahlung,5),330)+1)</f>
      </c>
      <c r="F2254" s="43">
        <f>IF($E2254=0,0,YEAR($E2254))</f>
      </c>
      <c r="G2254" s="43">
        <f>IF(INDEX(DarlBindung,5)="",1,IF($E2254&lt;=INDEX(DarlBindung,5),1,0))</f>
      </c>
      <c r="H2254" s="43">
        <f>IF($G2254=1,INDEX(DarlSollzins,5),INDEX(DarlAnschluss,5))</f>
      </c>
      <c r="I2254" s="43">
        <f>IF(INDEX(DarlBelegt,5)=0,0,IF(INDEX(DarlOhneTilgung,5)=1,IF(INDEX(DarlBindung,5)="",1,$G2254),IF($J2254&gt;0.005,1,0)))</f>
      </c>
      <c r="J2254" s="43">
        <f>IF($I2253=0,0,$R2253)</f>
      </c>
      <c r="K2254" s="43">
        <f>IF($I2254=0,0,IF(INDEX(DarlOhneTilgung,5)=1,0,IF(AND(INDEX(DarlTilgStart,5)&gt;0,$E2254=INDEX(DarlTilgStart,5)),$J2254*($H2254+INDEX(DarlTilgung,5))/100/12,IF(AND($G2254=0,$G2253=1),MAX($K2253,$J2254*($H2254+1)/100/12),$K2253))))</f>
      </c>
      <c r="L2254" s="43">
        <f>IF($I2254=0,0,$J2254*$H2254/100/12)</f>
      </c>
      <c r="M2254" s="43">
        <f>IF($I2254=0,0,IF(OR(INDEX(DarlOhneTilgung,5)=1,AND(INDEX(DarlTilgStart,5)&gt;0,$E2254&lt;INDEX(DarlTilgStart,5))),0,MIN(MAX(0,$K2254-$L2254),$J2254)))</f>
      </c>
      <c r="N2254" s="43">
        <f>IF($I2254=0,0,MIN(SUMIFS(SondBetrag,SondDarl,5,SondDatum,"&gt;="&amp;$E2254,SondDatum,"&lt;="&amp;EOMONTH($E2254,0)),$J2254-$M2254))</f>
      </c>
      <c r="O2254" s="43">
        <f>IF($I2254=0,0,INDEX(DarlErsatzRate,5))</f>
      </c>
      <c r="P2254" s="43">
        <f>IF($I2254=0,0,$Q2253*INDEX(DarlErsatzZins,5))</f>
      </c>
      <c r="Q2254" s="43">
        <f>IF($I2254=0,0,$Q2253+$P2254+$O2254)</f>
      </c>
      <c r="R2254" s="43">
        <f>IF($I2254=0,0,$J2254-$M2254-$N2254)</f>
      </c>
    </row>
    <row r="2255">
      <c r="A2255"/>
      <c r="B2255">
        <v>5</v>
      </c>
      <c r="C2255" s="43">
        <f>INDEX(DarlObj,5)</f>
      </c>
      <c r="D2255">
        <v>332</v>
      </c>
      <c r="E2255" s="51">
        <f>IF(INDEX(DarlBelegt,5)=0,0,EOMONTH(INDEX(DarlAuszahlung,5),331)+1)</f>
      </c>
      <c r="F2255" s="43">
        <f>IF($E2255=0,0,YEAR($E2255))</f>
      </c>
      <c r="G2255" s="43">
        <f>IF(INDEX(DarlBindung,5)="",1,IF($E2255&lt;=INDEX(DarlBindung,5),1,0))</f>
      </c>
      <c r="H2255" s="43">
        <f>IF($G2255=1,INDEX(DarlSollzins,5),INDEX(DarlAnschluss,5))</f>
      </c>
      <c r="I2255" s="43">
        <f>IF(INDEX(DarlBelegt,5)=0,0,IF(INDEX(DarlOhneTilgung,5)=1,IF(INDEX(DarlBindung,5)="",1,$G2255),IF($J2255&gt;0.005,1,0)))</f>
      </c>
      <c r="J2255" s="43">
        <f>IF($I2254=0,0,$R2254)</f>
      </c>
      <c r="K2255" s="43">
        <f>IF($I2255=0,0,IF(INDEX(DarlOhneTilgung,5)=1,0,IF(AND(INDEX(DarlTilgStart,5)&gt;0,$E2255=INDEX(DarlTilgStart,5)),$J2255*($H2255+INDEX(DarlTilgung,5))/100/12,IF(AND($G2255=0,$G2254=1),MAX($K2254,$J2255*($H2255+1)/100/12),$K2254))))</f>
      </c>
      <c r="L2255" s="43">
        <f>IF($I2255=0,0,$J2255*$H2255/100/12)</f>
      </c>
      <c r="M2255" s="43">
        <f>IF($I2255=0,0,IF(OR(INDEX(DarlOhneTilgung,5)=1,AND(INDEX(DarlTilgStart,5)&gt;0,$E2255&lt;INDEX(DarlTilgStart,5))),0,MIN(MAX(0,$K2255-$L2255),$J2255)))</f>
      </c>
      <c r="N2255" s="43">
        <f>IF($I2255=0,0,MIN(SUMIFS(SondBetrag,SondDarl,5,SondDatum,"&gt;="&amp;$E2255,SondDatum,"&lt;="&amp;EOMONTH($E2255,0)),$J2255-$M2255))</f>
      </c>
      <c r="O2255" s="43">
        <f>IF($I2255=0,0,INDEX(DarlErsatzRate,5))</f>
      </c>
      <c r="P2255" s="43">
        <f>IF($I2255=0,0,$Q2254*INDEX(DarlErsatzZins,5))</f>
      </c>
      <c r="Q2255" s="43">
        <f>IF($I2255=0,0,$Q2254+$P2255+$O2255)</f>
      </c>
      <c r="R2255" s="43">
        <f>IF($I2255=0,0,$J2255-$M2255-$N2255)</f>
      </c>
    </row>
    <row r="2256">
      <c r="A2256"/>
      <c r="B2256">
        <v>5</v>
      </c>
      <c r="C2256" s="43">
        <f>INDEX(DarlObj,5)</f>
      </c>
      <c r="D2256">
        <v>333</v>
      </c>
      <c r="E2256" s="51">
        <f>IF(INDEX(DarlBelegt,5)=0,0,EOMONTH(INDEX(DarlAuszahlung,5),332)+1)</f>
      </c>
      <c r="F2256" s="43">
        <f>IF($E2256=0,0,YEAR($E2256))</f>
      </c>
      <c r="G2256" s="43">
        <f>IF(INDEX(DarlBindung,5)="",1,IF($E2256&lt;=INDEX(DarlBindung,5),1,0))</f>
      </c>
      <c r="H2256" s="43">
        <f>IF($G2256=1,INDEX(DarlSollzins,5),INDEX(DarlAnschluss,5))</f>
      </c>
      <c r="I2256" s="43">
        <f>IF(INDEX(DarlBelegt,5)=0,0,IF(INDEX(DarlOhneTilgung,5)=1,IF(INDEX(DarlBindung,5)="",1,$G2256),IF($J2256&gt;0.005,1,0)))</f>
      </c>
      <c r="J2256" s="43">
        <f>IF($I2255=0,0,$R2255)</f>
      </c>
      <c r="K2256" s="43">
        <f>IF($I2256=0,0,IF(INDEX(DarlOhneTilgung,5)=1,0,IF(AND(INDEX(DarlTilgStart,5)&gt;0,$E2256=INDEX(DarlTilgStart,5)),$J2256*($H2256+INDEX(DarlTilgung,5))/100/12,IF(AND($G2256=0,$G2255=1),MAX($K2255,$J2256*($H2256+1)/100/12),$K2255))))</f>
      </c>
      <c r="L2256" s="43">
        <f>IF($I2256=0,0,$J2256*$H2256/100/12)</f>
      </c>
      <c r="M2256" s="43">
        <f>IF($I2256=0,0,IF(OR(INDEX(DarlOhneTilgung,5)=1,AND(INDEX(DarlTilgStart,5)&gt;0,$E2256&lt;INDEX(DarlTilgStart,5))),0,MIN(MAX(0,$K2256-$L2256),$J2256)))</f>
      </c>
      <c r="N2256" s="43">
        <f>IF($I2256=0,0,MIN(SUMIFS(SondBetrag,SondDarl,5,SondDatum,"&gt;="&amp;$E2256,SondDatum,"&lt;="&amp;EOMONTH($E2256,0)),$J2256-$M2256))</f>
      </c>
      <c r="O2256" s="43">
        <f>IF($I2256=0,0,INDEX(DarlErsatzRate,5))</f>
      </c>
      <c r="P2256" s="43">
        <f>IF($I2256=0,0,$Q2255*INDEX(DarlErsatzZins,5))</f>
      </c>
      <c r="Q2256" s="43">
        <f>IF($I2256=0,0,$Q2255+$P2256+$O2256)</f>
      </c>
      <c r="R2256" s="43">
        <f>IF($I2256=0,0,$J2256-$M2256-$N2256)</f>
      </c>
    </row>
    <row r="2257">
      <c r="A2257"/>
      <c r="B2257">
        <v>5</v>
      </c>
      <c r="C2257" s="43">
        <f>INDEX(DarlObj,5)</f>
      </c>
      <c r="D2257">
        <v>334</v>
      </c>
      <c r="E2257" s="51">
        <f>IF(INDEX(DarlBelegt,5)=0,0,EOMONTH(INDEX(DarlAuszahlung,5),333)+1)</f>
      </c>
      <c r="F2257" s="43">
        <f>IF($E2257=0,0,YEAR($E2257))</f>
      </c>
      <c r="G2257" s="43">
        <f>IF(INDEX(DarlBindung,5)="",1,IF($E2257&lt;=INDEX(DarlBindung,5),1,0))</f>
      </c>
      <c r="H2257" s="43">
        <f>IF($G2257=1,INDEX(DarlSollzins,5),INDEX(DarlAnschluss,5))</f>
      </c>
      <c r="I2257" s="43">
        <f>IF(INDEX(DarlBelegt,5)=0,0,IF(INDEX(DarlOhneTilgung,5)=1,IF(INDEX(DarlBindung,5)="",1,$G2257),IF($J2257&gt;0.005,1,0)))</f>
      </c>
      <c r="J2257" s="43">
        <f>IF($I2256=0,0,$R2256)</f>
      </c>
      <c r="K2257" s="43">
        <f>IF($I2257=0,0,IF(INDEX(DarlOhneTilgung,5)=1,0,IF(AND(INDEX(DarlTilgStart,5)&gt;0,$E2257=INDEX(DarlTilgStart,5)),$J2257*($H2257+INDEX(DarlTilgung,5))/100/12,IF(AND($G2257=0,$G2256=1),MAX($K2256,$J2257*($H2257+1)/100/12),$K2256))))</f>
      </c>
      <c r="L2257" s="43">
        <f>IF($I2257=0,0,$J2257*$H2257/100/12)</f>
      </c>
      <c r="M2257" s="43">
        <f>IF($I2257=0,0,IF(OR(INDEX(DarlOhneTilgung,5)=1,AND(INDEX(DarlTilgStart,5)&gt;0,$E2257&lt;INDEX(DarlTilgStart,5))),0,MIN(MAX(0,$K2257-$L2257),$J2257)))</f>
      </c>
      <c r="N2257" s="43">
        <f>IF($I2257=0,0,MIN(SUMIFS(SondBetrag,SondDarl,5,SondDatum,"&gt;="&amp;$E2257,SondDatum,"&lt;="&amp;EOMONTH($E2257,0)),$J2257-$M2257))</f>
      </c>
      <c r="O2257" s="43">
        <f>IF($I2257=0,0,INDEX(DarlErsatzRate,5))</f>
      </c>
      <c r="P2257" s="43">
        <f>IF($I2257=0,0,$Q2256*INDEX(DarlErsatzZins,5))</f>
      </c>
      <c r="Q2257" s="43">
        <f>IF($I2257=0,0,$Q2256+$P2257+$O2257)</f>
      </c>
      <c r="R2257" s="43">
        <f>IF($I2257=0,0,$J2257-$M2257-$N2257)</f>
      </c>
    </row>
    <row r="2258">
      <c r="A2258"/>
      <c r="B2258">
        <v>5</v>
      </c>
      <c r="C2258" s="43">
        <f>INDEX(DarlObj,5)</f>
      </c>
      <c r="D2258">
        <v>335</v>
      </c>
      <c r="E2258" s="51">
        <f>IF(INDEX(DarlBelegt,5)=0,0,EOMONTH(INDEX(DarlAuszahlung,5),334)+1)</f>
      </c>
      <c r="F2258" s="43">
        <f>IF($E2258=0,0,YEAR($E2258))</f>
      </c>
      <c r="G2258" s="43">
        <f>IF(INDEX(DarlBindung,5)="",1,IF($E2258&lt;=INDEX(DarlBindung,5),1,0))</f>
      </c>
      <c r="H2258" s="43">
        <f>IF($G2258=1,INDEX(DarlSollzins,5),INDEX(DarlAnschluss,5))</f>
      </c>
      <c r="I2258" s="43">
        <f>IF(INDEX(DarlBelegt,5)=0,0,IF(INDEX(DarlOhneTilgung,5)=1,IF(INDEX(DarlBindung,5)="",1,$G2258),IF($J2258&gt;0.005,1,0)))</f>
      </c>
      <c r="J2258" s="43">
        <f>IF($I2257=0,0,$R2257)</f>
      </c>
      <c r="K2258" s="43">
        <f>IF($I2258=0,0,IF(INDEX(DarlOhneTilgung,5)=1,0,IF(AND(INDEX(DarlTilgStart,5)&gt;0,$E2258=INDEX(DarlTilgStart,5)),$J2258*($H2258+INDEX(DarlTilgung,5))/100/12,IF(AND($G2258=0,$G2257=1),MAX($K2257,$J2258*($H2258+1)/100/12),$K2257))))</f>
      </c>
      <c r="L2258" s="43">
        <f>IF($I2258=0,0,$J2258*$H2258/100/12)</f>
      </c>
      <c r="M2258" s="43">
        <f>IF($I2258=0,0,IF(OR(INDEX(DarlOhneTilgung,5)=1,AND(INDEX(DarlTilgStart,5)&gt;0,$E2258&lt;INDEX(DarlTilgStart,5))),0,MIN(MAX(0,$K2258-$L2258),$J2258)))</f>
      </c>
      <c r="N2258" s="43">
        <f>IF($I2258=0,0,MIN(SUMIFS(SondBetrag,SondDarl,5,SondDatum,"&gt;="&amp;$E2258,SondDatum,"&lt;="&amp;EOMONTH($E2258,0)),$J2258-$M2258))</f>
      </c>
      <c r="O2258" s="43">
        <f>IF($I2258=0,0,INDEX(DarlErsatzRate,5))</f>
      </c>
      <c r="P2258" s="43">
        <f>IF($I2258=0,0,$Q2257*INDEX(DarlErsatzZins,5))</f>
      </c>
      <c r="Q2258" s="43">
        <f>IF($I2258=0,0,$Q2257+$P2258+$O2258)</f>
      </c>
      <c r="R2258" s="43">
        <f>IF($I2258=0,0,$J2258-$M2258-$N2258)</f>
      </c>
    </row>
    <row r="2259">
      <c r="A2259"/>
      <c r="B2259">
        <v>5</v>
      </c>
      <c r="C2259" s="43">
        <f>INDEX(DarlObj,5)</f>
      </c>
      <c r="D2259">
        <v>336</v>
      </c>
      <c r="E2259" s="51">
        <f>IF(INDEX(DarlBelegt,5)=0,0,EOMONTH(INDEX(DarlAuszahlung,5),335)+1)</f>
      </c>
      <c r="F2259" s="43">
        <f>IF($E2259=0,0,YEAR($E2259))</f>
      </c>
      <c r="G2259" s="43">
        <f>IF(INDEX(DarlBindung,5)="",1,IF($E2259&lt;=INDEX(DarlBindung,5),1,0))</f>
      </c>
      <c r="H2259" s="43">
        <f>IF($G2259=1,INDEX(DarlSollzins,5),INDEX(DarlAnschluss,5))</f>
      </c>
      <c r="I2259" s="43">
        <f>IF(INDEX(DarlBelegt,5)=0,0,IF(INDEX(DarlOhneTilgung,5)=1,IF(INDEX(DarlBindung,5)="",1,$G2259),IF($J2259&gt;0.005,1,0)))</f>
      </c>
      <c r="J2259" s="43">
        <f>IF($I2258=0,0,$R2258)</f>
      </c>
      <c r="K2259" s="43">
        <f>IF($I2259=0,0,IF(INDEX(DarlOhneTilgung,5)=1,0,IF(AND(INDEX(DarlTilgStart,5)&gt;0,$E2259=INDEX(DarlTilgStart,5)),$J2259*($H2259+INDEX(DarlTilgung,5))/100/12,IF(AND($G2259=0,$G2258=1),MAX($K2258,$J2259*($H2259+1)/100/12),$K2258))))</f>
      </c>
      <c r="L2259" s="43">
        <f>IF($I2259=0,0,$J2259*$H2259/100/12)</f>
      </c>
      <c r="M2259" s="43">
        <f>IF($I2259=0,0,IF(OR(INDEX(DarlOhneTilgung,5)=1,AND(INDEX(DarlTilgStart,5)&gt;0,$E2259&lt;INDEX(DarlTilgStart,5))),0,MIN(MAX(0,$K2259-$L2259),$J2259)))</f>
      </c>
      <c r="N2259" s="43">
        <f>IF($I2259=0,0,MIN(SUMIFS(SondBetrag,SondDarl,5,SondDatum,"&gt;="&amp;$E2259,SondDatum,"&lt;="&amp;EOMONTH($E2259,0)),$J2259-$M2259))</f>
      </c>
      <c r="O2259" s="43">
        <f>IF($I2259=0,0,INDEX(DarlErsatzRate,5))</f>
      </c>
      <c r="P2259" s="43">
        <f>IF($I2259=0,0,$Q2258*INDEX(DarlErsatzZins,5))</f>
      </c>
      <c r="Q2259" s="43">
        <f>IF($I2259=0,0,$Q2258+$P2259+$O2259)</f>
      </c>
      <c r="R2259" s="43">
        <f>IF($I2259=0,0,$J2259-$M2259-$N2259)</f>
      </c>
    </row>
    <row r="2260">
      <c r="A2260"/>
      <c r="B2260">
        <v>5</v>
      </c>
      <c r="C2260" s="43">
        <f>INDEX(DarlObj,5)</f>
      </c>
      <c r="D2260">
        <v>337</v>
      </c>
      <c r="E2260" s="51">
        <f>IF(INDEX(DarlBelegt,5)=0,0,EOMONTH(INDEX(DarlAuszahlung,5),336)+1)</f>
      </c>
      <c r="F2260" s="43">
        <f>IF($E2260=0,0,YEAR($E2260))</f>
      </c>
      <c r="G2260" s="43">
        <f>IF(INDEX(DarlBindung,5)="",1,IF($E2260&lt;=INDEX(DarlBindung,5),1,0))</f>
      </c>
      <c r="H2260" s="43">
        <f>IF($G2260=1,INDEX(DarlSollzins,5),INDEX(DarlAnschluss,5))</f>
      </c>
      <c r="I2260" s="43">
        <f>IF(INDEX(DarlBelegt,5)=0,0,IF(INDEX(DarlOhneTilgung,5)=1,IF(INDEX(DarlBindung,5)="",1,$G2260),IF($J2260&gt;0.005,1,0)))</f>
      </c>
      <c r="J2260" s="43">
        <f>IF($I2259=0,0,$R2259)</f>
      </c>
      <c r="K2260" s="43">
        <f>IF($I2260=0,0,IF(INDEX(DarlOhneTilgung,5)=1,0,IF(AND(INDEX(DarlTilgStart,5)&gt;0,$E2260=INDEX(DarlTilgStart,5)),$J2260*($H2260+INDEX(DarlTilgung,5))/100/12,IF(AND($G2260=0,$G2259=1),MAX($K2259,$J2260*($H2260+1)/100/12),$K2259))))</f>
      </c>
      <c r="L2260" s="43">
        <f>IF($I2260=0,0,$J2260*$H2260/100/12)</f>
      </c>
      <c r="M2260" s="43">
        <f>IF($I2260=0,0,IF(OR(INDEX(DarlOhneTilgung,5)=1,AND(INDEX(DarlTilgStart,5)&gt;0,$E2260&lt;INDEX(DarlTilgStart,5))),0,MIN(MAX(0,$K2260-$L2260),$J2260)))</f>
      </c>
      <c r="N2260" s="43">
        <f>IF($I2260=0,0,MIN(SUMIFS(SondBetrag,SondDarl,5,SondDatum,"&gt;="&amp;$E2260,SondDatum,"&lt;="&amp;EOMONTH($E2260,0)),$J2260-$M2260))</f>
      </c>
      <c r="O2260" s="43">
        <f>IF($I2260=0,0,INDEX(DarlErsatzRate,5))</f>
      </c>
      <c r="P2260" s="43">
        <f>IF($I2260=0,0,$Q2259*INDEX(DarlErsatzZins,5))</f>
      </c>
      <c r="Q2260" s="43">
        <f>IF($I2260=0,0,$Q2259+$P2260+$O2260)</f>
      </c>
      <c r="R2260" s="43">
        <f>IF($I2260=0,0,$J2260-$M2260-$N2260)</f>
      </c>
    </row>
    <row r="2261">
      <c r="A2261"/>
      <c r="B2261">
        <v>5</v>
      </c>
      <c r="C2261" s="43">
        <f>INDEX(DarlObj,5)</f>
      </c>
      <c r="D2261">
        <v>338</v>
      </c>
      <c r="E2261" s="51">
        <f>IF(INDEX(DarlBelegt,5)=0,0,EOMONTH(INDEX(DarlAuszahlung,5),337)+1)</f>
      </c>
      <c r="F2261" s="43">
        <f>IF($E2261=0,0,YEAR($E2261))</f>
      </c>
      <c r="G2261" s="43">
        <f>IF(INDEX(DarlBindung,5)="",1,IF($E2261&lt;=INDEX(DarlBindung,5),1,0))</f>
      </c>
      <c r="H2261" s="43">
        <f>IF($G2261=1,INDEX(DarlSollzins,5),INDEX(DarlAnschluss,5))</f>
      </c>
      <c r="I2261" s="43">
        <f>IF(INDEX(DarlBelegt,5)=0,0,IF(INDEX(DarlOhneTilgung,5)=1,IF(INDEX(DarlBindung,5)="",1,$G2261),IF($J2261&gt;0.005,1,0)))</f>
      </c>
      <c r="J2261" s="43">
        <f>IF($I2260=0,0,$R2260)</f>
      </c>
      <c r="K2261" s="43">
        <f>IF($I2261=0,0,IF(INDEX(DarlOhneTilgung,5)=1,0,IF(AND(INDEX(DarlTilgStart,5)&gt;0,$E2261=INDEX(DarlTilgStart,5)),$J2261*($H2261+INDEX(DarlTilgung,5))/100/12,IF(AND($G2261=0,$G2260=1),MAX($K2260,$J2261*($H2261+1)/100/12),$K2260))))</f>
      </c>
      <c r="L2261" s="43">
        <f>IF($I2261=0,0,$J2261*$H2261/100/12)</f>
      </c>
      <c r="M2261" s="43">
        <f>IF($I2261=0,0,IF(OR(INDEX(DarlOhneTilgung,5)=1,AND(INDEX(DarlTilgStart,5)&gt;0,$E2261&lt;INDEX(DarlTilgStart,5))),0,MIN(MAX(0,$K2261-$L2261),$J2261)))</f>
      </c>
      <c r="N2261" s="43">
        <f>IF($I2261=0,0,MIN(SUMIFS(SondBetrag,SondDarl,5,SondDatum,"&gt;="&amp;$E2261,SondDatum,"&lt;="&amp;EOMONTH($E2261,0)),$J2261-$M2261))</f>
      </c>
      <c r="O2261" s="43">
        <f>IF($I2261=0,0,INDEX(DarlErsatzRate,5))</f>
      </c>
      <c r="P2261" s="43">
        <f>IF($I2261=0,0,$Q2260*INDEX(DarlErsatzZins,5))</f>
      </c>
      <c r="Q2261" s="43">
        <f>IF($I2261=0,0,$Q2260+$P2261+$O2261)</f>
      </c>
      <c r="R2261" s="43">
        <f>IF($I2261=0,0,$J2261-$M2261-$N2261)</f>
      </c>
    </row>
    <row r="2262">
      <c r="A2262"/>
      <c r="B2262">
        <v>5</v>
      </c>
      <c r="C2262" s="43">
        <f>INDEX(DarlObj,5)</f>
      </c>
      <c r="D2262">
        <v>339</v>
      </c>
      <c r="E2262" s="51">
        <f>IF(INDEX(DarlBelegt,5)=0,0,EOMONTH(INDEX(DarlAuszahlung,5),338)+1)</f>
      </c>
      <c r="F2262" s="43">
        <f>IF($E2262=0,0,YEAR($E2262))</f>
      </c>
      <c r="G2262" s="43">
        <f>IF(INDEX(DarlBindung,5)="",1,IF($E2262&lt;=INDEX(DarlBindung,5),1,0))</f>
      </c>
      <c r="H2262" s="43">
        <f>IF($G2262=1,INDEX(DarlSollzins,5),INDEX(DarlAnschluss,5))</f>
      </c>
      <c r="I2262" s="43">
        <f>IF(INDEX(DarlBelegt,5)=0,0,IF(INDEX(DarlOhneTilgung,5)=1,IF(INDEX(DarlBindung,5)="",1,$G2262),IF($J2262&gt;0.005,1,0)))</f>
      </c>
      <c r="J2262" s="43">
        <f>IF($I2261=0,0,$R2261)</f>
      </c>
      <c r="K2262" s="43">
        <f>IF($I2262=0,0,IF(INDEX(DarlOhneTilgung,5)=1,0,IF(AND(INDEX(DarlTilgStart,5)&gt;0,$E2262=INDEX(DarlTilgStart,5)),$J2262*($H2262+INDEX(DarlTilgung,5))/100/12,IF(AND($G2262=0,$G2261=1),MAX($K2261,$J2262*($H2262+1)/100/12),$K2261))))</f>
      </c>
      <c r="L2262" s="43">
        <f>IF($I2262=0,0,$J2262*$H2262/100/12)</f>
      </c>
      <c r="M2262" s="43">
        <f>IF($I2262=0,0,IF(OR(INDEX(DarlOhneTilgung,5)=1,AND(INDEX(DarlTilgStart,5)&gt;0,$E2262&lt;INDEX(DarlTilgStart,5))),0,MIN(MAX(0,$K2262-$L2262),$J2262)))</f>
      </c>
      <c r="N2262" s="43">
        <f>IF($I2262=0,0,MIN(SUMIFS(SondBetrag,SondDarl,5,SondDatum,"&gt;="&amp;$E2262,SondDatum,"&lt;="&amp;EOMONTH($E2262,0)),$J2262-$M2262))</f>
      </c>
      <c r="O2262" s="43">
        <f>IF($I2262=0,0,INDEX(DarlErsatzRate,5))</f>
      </c>
      <c r="P2262" s="43">
        <f>IF($I2262=0,0,$Q2261*INDEX(DarlErsatzZins,5))</f>
      </c>
      <c r="Q2262" s="43">
        <f>IF($I2262=0,0,$Q2261+$P2262+$O2262)</f>
      </c>
      <c r="R2262" s="43">
        <f>IF($I2262=0,0,$J2262-$M2262-$N2262)</f>
      </c>
    </row>
    <row r="2263">
      <c r="A2263"/>
      <c r="B2263">
        <v>5</v>
      </c>
      <c r="C2263" s="43">
        <f>INDEX(DarlObj,5)</f>
      </c>
      <c r="D2263">
        <v>340</v>
      </c>
      <c r="E2263" s="51">
        <f>IF(INDEX(DarlBelegt,5)=0,0,EOMONTH(INDEX(DarlAuszahlung,5),339)+1)</f>
      </c>
      <c r="F2263" s="43">
        <f>IF($E2263=0,0,YEAR($E2263))</f>
      </c>
      <c r="G2263" s="43">
        <f>IF(INDEX(DarlBindung,5)="",1,IF($E2263&lt;=INDEX(DarlBindung,5),1,0))</f>
      </c>
      <c r="H2263" s="43">
        <f>IF($G2263=1,INDEX(DarlSollzins,5),INDEX(DarlAnschluss,5))</f>
      </c>
      <c r="I2263" s="43">
        <f>IF(INDEX(DarlBelegt,5)=0,0,IF(INDEX(DarlOhneTilgung,5)=1,IF(INDEX(DarlBindung,5)="",1,$G2263),IF($J2263&gt;0.005,1,0)))</f>
      </c>
      <c r="J2263" s="43">
        <f>IF($I2262=0,0,$R2262)</f>
      </c>
      <c r="K2263" s="43">
        <f>IF($I2263=0,0,IF(INDEX(DarlOhneTilgung,5)=1,0,IF(AND(INDEX(DarlTilgStart,5)&gt;0,$E2263=INDEX(DarlTilgStart,5)),$J2263*($H2263+INDEX(DarlTilgung,5))/100/12,IF(AND($G2263=0,$G2262=1),MAX($K2262,$J2263*($H2263+1)/100/12),$K2262))))</f>
      </c>
      <c r="L2263" s="43">
        <f>IF($I2263=0,0,$J2263*$H2263/100/12)</f>
      </c>
      <c r="M2263" s="43">
        <f>IF($I2263=0,0,IF(OR(INDEX(DarlOhneTilgung,5)=1,AND(INDEX(DarlTilgStart,5)&gt;0,$E2263&lt;INDEX(DarlTilgStart,5))),0,MIN(MAX(0,$K2263-$L2263),$J2263)))</f>
      </c>
      <c r="N2263" s="43">
        <f>IF($I2263=0,0,MIN(SUMIFS(SondBetrag,SondDarl,5,SondDatum,"&gt;="&amp;$E2263,SondDatum,"&lt;="&amp;EOMONTH($E2263,0)),$J2263-$M2263))</f>
      </c>
      <c r="O2263" s="43">
        <f>IF($I2263=0,0,INDEX(DarlErsatzRate,5))</f>
      </c>
      <c r="P2263" s="43">
        <f>IF($I2263=0,0,$Q2262*INDEX(DarlErsatzZins,5))</f>
      </c>
      <c r="Q2263" s="43">
        <f>IF($I2263=0,0,$Q2262+$P2263+$O2263)</f>
      </c>
      <c r="R2263" s="43">
        <f>IF($I2263=0,0,$J2263-$M2263-$N2263)</f>
      </c>
    </row>
    <row r="2264">
      <c r="A2264"/>
      <c r="B2264">
        <v>5</v>
      </c>
      <c r="C2264" s="43">
        <f>INDEX(DarlObj,5)</f>
      </c>
      <c r="D2264">
        <v>341</v>
      </c>
      <c r="E2264" s="51">
        <f>IF(INDEX(DarlBelegt,5)=0,0,EOMONTH(INDEX(DarlAuszahlung,5),340)+1)</f>
      </c>
      <c r="F2264" s="43">
        <f>IF($E2264=0,0,YEAR($E2264))</f>
      </c>
      <c r="G2264" s="43">
        <f>IF(INDEX(DarlBindung,5)="",1,IF($E2264&lt;=INDEX(DarlBindung,5),1,0))</f>
      </c>
      <c r="H2264" s="43">
        <f>IF($G2264=1,INDEX(DarlSollzins,5),INDEX(DarlAnschluss,5))</f>
      </c>
      <c r="I2264" s="43">
        <f>IF(INDEX(DarlBelegt,5)=0,0,IF(INDEX(DarlOhneTilgung,5)=1,IF(INDEX(DarlBindung,5)="",1,$G2264),IF($J2264&gt;0.005,1,0)))</f>
      </c>
      <c r="J2264" s="43">
        <f>IF($I2263=0,0,$R2263)</f>
      </c>
      <c r="K2264" s="43">
        <f>IF($I2264=0,0,IF(INDEX(DarlOhneTilgung,5)=1,0,IF(AND(INDEX(DarlTilgStart,5)&gt;0,$E2264=INDEX(DarlTilgStart,5)),$J2264*($H2264+INDEX(DarlTilgung,5))/100/12,IF(AND($G2264=0,$G2263=1),MAX($K2263,$J2264*($H2264+1)/100/12),$K2263))))</f>
      </c>
      <c r="L2264" s="43">
        <f>IF($I2264=0,0,$J2264*$H2264/100/12)</f>
      </c>
      <c r="M2264" s="43">
        <f>IF($I2264=0,0,IF(OR(INDEX(DarlOhneTilgung,5)=1,AND(INDEX(DarlTilgStart,5)&gt;0,$E2264&lt;INDEX(DarlTilgStart,5))),0,MIN(MAX(0,$K2264-$L2264),$J2264)))</f>
      </c>
      <c r="N2264" s="43">
        <f>IF($I2264=0,0,MIN(SUMIFS(SondBetrag,SondDarl,5,SondDatum,"&gt;="&amp;$E2264,SondDatum,"&lt;="&amp;EOMONTH($E2264,0)),$J2264-$M2264))</f>
      </c>
      <c r="O2264" s="43">
        <f>IF($I2264=0,0,INDEX(DarlErsatzRate,5))</f>
      </c>
      <c r="P2264" s="43">
        <f>IF($I2264=0,0,$Q2263*INDEX(DarlErsatzZins,5))</f>
      </c>
      <c r="Q2264" s="43">
        <f>IF($I2264=0,0,$Q2263+$P2264+$O2264)</f>
      </c>
      <c r="R2264" s="43">
        <f>IF($I2264=0,0,$J2264-$M2264-$N2264)</f>
      </c>
    </row>
    <row r="2265">
      <c r="A2265"/>
      <c r="B2265">
        <v>5</v>
      </c>
      <c r="C2265" s="43">
        <f>INDEX(DarlObj,5)</f>
      </c>
      <c r="D2265">
        <v>342</v>
      </c>
      <c r="E2265" s="51">
        <f>IF(INDEX(DarlBelegt,5)=0,0,EOMONTH(INDEX(DarlAuszahlung,5),341)+1)</f>
      </c>
      <c r="F2265" s="43">
        <f>IF($E2265=0,0,YEAR($E2265))</f>
      </c>
      <c r="G2265" s="43">
        <f>IF(INDEX(DarlBindung,5)="",1,IF($E2265&lt;=INDEX(DarlBindung,5),1,0))</f>
      </c>
      <c r="H2265" s="43">
        <f>IF($G2265=1,INDEX(DarlSollzins,5),INDEX(DarlAnschluss,5))</f>
      </c>
      <c r="I2265" s="43">
        <f>IF(INDEX(DarlBelegt,5)=0,0,IF(INDEX(DarlOhneTilgung,5)=1,IF(INDEX(DarlBindung,5)="",1,$G2265),IF($J2265&gt;0.005,1,0)))</f>
      </c>
      <c r="J2265" s="43">
        <f>IF($I2264=0,0,$R2264)</f>
      </c>
      <c r="K2265" s="43">
        <f>IF($I2265=0,0,IF(INDEX(DarlOhneTilgung,5)=1,0,IF(AND(INDEX(DarlTilgStart,5)&gt;0,$E2265=INDEX(DarlTilgStart,5)),$J2265*($H2265+INDEX(DarlTilgung,5))/100/12,IF(AND($G2265=0,$G2264=1),MAX($K2264,$J2265*($H2265+1)/100/12),$K2264))))</f>
      </c>
      <c r="L2265" s="43">
        <f>IF($I2265=0,0,$J2265*$H2265/100/12)</f>
      </c>
      <c r="M2265" s="43">
        <f>IF($I2265=0,0,IF(OR(INDEX(DarlOhneTilgung,5)=1,AND(INDEX(DarlTilgStart,5)&gt;0,$E2265&lt;INDEX(DarlTilgStart,5))),0,MIN(MAX(0,$K2265-$L2265),$J2265)))</f>
      </c>
      <c r="N2265" s="43">
        <f>IF($I2265=0,0,MIN(SUMIFS(SondBetrag,SondDarl,5,SondDatum,"&gt;="&amp;$E2265,SondDatum,"&lt;="&amp;EOMONTH($E2265,0)),$J2265-$M2265))</f>
      </c>
      <c r="O2265" s="43">
        <f>IF($I2265=0,0,INDEX(DarlErsatzRate,5))</f>
      </c>
      <c r="P2265" s="43">
        <f>IF($I2265=0,0,$Q2264*INDEX(DarlErsatzZins,5))</f>
      </c>
      <c r="Q2265" s="43">
        <f>IF($I2265=0,0,$Q2264+$P2265+$O2265)</f>
      </c>
      <c r="R2265" s="43">
        <f>IF($I2265=0,0,$J2265-$M2265-$N2265)</f>
      </c>
    </row>
    <row r="2266">
      <c r="A2266"/>
      <c r="B2266">
        <v>5</v>
      </c>
      <c r="C2266" s="43">
        <f>INDEX(DarlObj,5)</f>
      </c>
      <c r="D2266">
        <v>343</v>
      </c>
      <c r="E2266" s="51">
        <f>IF(INDEX(DarlBelegt,5)=0,0,EOMONTH(INDEX(DarlAuszahlung,5),342)+1)</f>
      </c>
      <c r="F2266" s="43">
        <f>IF($E2266=0,0,YEAR($E2266))</f>
      </c>
      <c r="G2266" s="43">
        <f>IF(INDEX(DarlBindung,5)="",1,IF($E2266&lt;=INDEX(DarlBindung,5),1,0))</f>
      </c>
      <c r="H2266" s="43">
        <f>IF($G2266=1,INDEX(DarlSollzins,5),INDEX(DarlAnschluss,5))</f>
      </c>
      <c r="I2266" s="43">
        <f>IF(INDEX(DarlBelegt,5)=0,0,IF(INDEX(DarlOhneTilgung,5)=1,IF(INDEX(DarlBindung,5)="",1,$G2266),IF($J2266&gt;0.005,1,0)))</f>
      </c>
      <c r="J2266" s="43">
        <f>IF($I2265=0,0,$R2265)</f>
      </c>
      <c r="K2266" s="43">
        <f>IF($I2266=0,0,IF(INDEX(DarlOhneTilgung,5)=1,0,IF(AND(INDEX(DarlTilgStart,5)&gt;0,$E2266=INDEX(DarlTilgStart,5)),$J2266*($H2266+INDEX(DarlTilgung,5))/100/12,IF(AND($G2266=0,$G2265=1),MAX($K2265,$J2266*($H2266+1)/100/12),$K2265))))</f>
      </c>
      <c r="L2266" s="43">
        <f>IF($I2266=0,0,$J2266*$H2266/100/12)</f>
      </c>
      <c r="M2266" s="43">
        <f>IF($I2266=0,0,IF(OR(INDEX(DarlOhneTilgung,5)=1,AND(INDEX(DarlTilgStart,5)&gt;0,$E2266&lt;INDEX(DarlTilgStart,5))),0,MIN(MAX(0,$K2266-$L2266),$J2266)))</f>
      </c>
      <c r="N2266" s="43">
        <f>IF($I2266=0,0,MIN(SUMIFS(SondBetrag,SondDarl,5,SondDatum,"&gt;="&amp;$E2266,SondDatum,"&lt;="&amp;EOMONTH($E2266,0)),$J2266-$M2266))</f>
      </c>
      <c r="O2266" s="43">
        <f>IF($I2266=0,0,INDEX(DarlErsatzRate,5))</f>
      </c>
      <c r="P2266" s="43">
        <f>IF($I2266=0,0,$Q2265*INDEX(DarlErsatzZins,5))</f>
      </c>
      <c r="Q2266" s="43">
        <f>IF($I2266=0,0,$Q2265+$P2266+$O2266)</f>
      </c>
      <c r="R2266" s="43">
        <f>IF($I2266=0,0,$J2266-$M2266-$N2266)</f>
      </c>
    </row>
    <row r="2267">
      <c r="A2267"/>
      <c r="B2267">
        <v>5</v>
      </c>
      <c r="C2267" s="43">
        <f>INDEX(DarlObj,5)</f>
      </c>
      <c r="D2267">
        <v>344</v>
      </c>
      <c r="E2267" s="51">
        <f>IF(INDEX(DarlBelegt,5)=0,0,EOMONTH(INDEX(DarlAuszahlung,5),343)+1)</f>
      </c>
      <c r="F2267" s="43">
        <f>IF($E2267=0,0,YEAR($E2267))</f>
      </c>
      <c r="G2267" s="43">
        <f>IF(INDEX(DarlBindung,5)="",1,IF($E2267&lt;=INDEX(DarlBindung,5),1,0))</f>
      </c>
      <c r="H2267" s="43">
        <f>IF($G2267=1,INDEX(DarlSollzins,5),INDEX(DarlAnschluss,5))</f>
      </c>
      <c r="I2267" s="43">
        <f>IF(INDEX(DarlBelegt,5)=0,0,IF(INDEX(DarlOhneTilgung,5)=1,IF(INDEX(DarlBindung,5)="",1,$G2267),IF($J2267&gt;0.005,1,0)))</f>
      </c>
      <c r="J2267" s="43">
        <f>IF($I2266=0,0,$R2266)</f>
      </c>
      <c r="K2267" s="43">
        <f>IF($I2267=0,0,IF(INDEX(DarlOhneTilgung,5)=1,0,IF(AND(INDEX(DarlTilgStart,5)&gt;0,$E2267=INDEX(DarlTilgStart,5)),$J2267*($H2267+INDEX(DarlTilgung,5))/100/12,IF(AND($G2267=0,$G2266=1),MAX($K2266,$J2267*($H2267+1)/100/12),$K2266))))</f>
      </c>
      <c r="L2267" s="43">
        <f>IF($I2267=0,0,$J2267*$H2267/100/12)</f>
      </c>
      <c r="M2267" s="43">
        <f>IF($I2267=0,0,IF(OR(INDEX(DarlOhneTilgung,5)=1,AND(INDEX(DarlTilgStart,5)&gt;0,$E2267&lt;INDEX(DarlTilgStart,5))),0,MIN(MAX(0,$K2267-$L2267),$J2267)))</f>
      </c>
      <c r="N2267" s="43">
        <f>IF($I2267=0,0,MIN(SUMIFS(SondBetrag,SondDarl,5,SondDatum,"&gt;="&amp;$E2267,SondDatum,"&lt;="&amp;EOMONTH($E2267,0)),$J2267-$M2267))</f>
      </c>
      <c r="O2267" s="43">
        <f>IF($I2267=0,0,INDEX(DarlErsatzRate,5))</f>
      </c>
      <c r="P2267" s="43">
        <f>IF($I2267=0,0,$Q2266*INDEX(DarlErsatzZins,5))</f>
      </c>
      <c r="Q2267" s="43">
        <f>IF($I2267=0,0,$Q2266+$P2267+$O2267)</f>
      </c>
      <c r="R2267" s="43">
        <f>IF($I2267=0,0,$J2267-$M2267-$N2267)</f>
      </c>
    </row>
    <row r="2268">
      <c r="A2268"/>
      <c r="B2268">
        <v>5</v>
      </c>
      <c r="C2268" s="43">
        <f>INDEX(DarlObj,5)</f>
      </c>
      <c r="D2268">
        <v>345</v>
      </c>
      <c r="E2268" s="51">
        <f>IF(INDEX(DarlBelegt,5)=0,0,EOMONTH(INDEX(DarlAuszahlung,5),344)+1)</f>
      </c>
      <c r="F2268" s="43">
        <f>IF($E2268=0,0,YEAR($E2268))</f>
      </c>
      <c r="G2268" s="43">
        <f>IF(INDEX(DarlBindung,5)="",1,IF($E2268&lt;=INDEX(DarlBindung,5),1,0))</f>
      </c>
      <c r="H2268" s="43">
        <f>IF($G2268=1,INDEX(DarlSollzins,5),INDEX(DarlAnschluss,5))</f>
      </c>
      <c r="I2268" s="43">
        <f>IF(INDEX(DarlBelegt,5)=0,0,IF(INDEX(DarlOhneTilgung,5)=1,IF(INDEX(DarlBindung,5)="",1,$G2268),IF($J2268&gt;0.005,1,0)))</f>
      </c>
      <c r="J2268" s="43">
        <f>IF($I2267=0,0,$R2267)</f>
      </c>
      <c r="K2268" s="43">
        <f>IF($I2268=0,0,IF(INDEX(DarlOhneTilgung,5)=1,0,IF(AND(INDEX(DarlTilgStart,5)&gt;0,$E2268=INDEX(DarlTilgStart,5)),$J2268*($H2268+INDEX(DarlTilgung,5))/100/12,IF(AND($G2268=0,$G2267=1),MAX($K2267,$J2268*($H2268+1)/100/12),$K2267))))</f>
      </c>
      <c r="L2268" s="43">
        <f>IF($I2268=0,0,$J2268*$H2268/100/12)</f>
      </c>
      <c r="M2268" s="43">
        <f>IF($I2268=0,0,IF(OR(INDEX(DarlOhneTilgung,5)=1,AND(INDEX(DarlTilgStart,5)&gt;0,$E2268&lt;INDEX(DarlTilgStart,5))),0,MIN(MAX(0,$K2268-$L2268),$J2268)))</f>
      </c>
      <c r="N2268" s="43">
        <f>IF($I2268=0,0,MIN(SUMIFS(SondBetrag,SondDarl,5,SondDatum,"&gt;="&amp;$E2268,SondDatum,"&lt;="&amp;EOMONTH($E2268,0)),$J2268-$M2268))</f>
      </c>
      <c r="O2268" s="43">
        <f>IF($I2268=0,0,INDEX(DarlErsatzRate,5))</f>
      </c>
      <c r="P2268" s="43">
        <f>IF($I2268=0,0,$Q2267*INDEX(DarlErsatzZins,5))</f>
      </c>
      <c r="Q2268" s="43">
        <f>IF($I2268=0,0,$Q2267+$P2268+$O2268)</f>
      </c>
      <c r="R2268" s="43">
        <f>IF($I2268=0,0,$J2268-$M2268-$N2268)</f>
      </c>
    </row>
    <row r="2269">
      <c r="A2269"/>
      <c r="B2269">
        <v>5</v>
      </c>
      <c r="C2269" s="43">
        <f>INDEX(DarlObj,5)</f>
      </c>
      <c r="D2269">
        <v>346</v>
      </c>
      <c r="E2269" s="51">
        <f>IF(INDEX(DarlBelegt,5)=0,0,EOMONTH(INDEX(DarlAuszahlung,5),345)+1)</f>
      </c>
      <c r="F2269" s="43">
        <f>IF($E2269=0,0,YEAR($E2269))</f>
      </c>
      <c r="G2269" s="43">
        <f>IF(INDEX(DarlBindung,5)="",1,IF($E2269&lt;=INDEX(DarlBindung,5),1,0))</f>
      </c>
      <c r="H2269" s="43">
        <f>IF($G2269=1,INDEX(DarlSollzins,5),INDEX(DarlAnschluss,5))</f>
      </c>
      <c r="I2269" s="43">
        <f>IF(INDEX(DarlBelegt,5)=0,0,IF(INDEX(DarlOhneTilgung,5)=1,IF(INDEX(DarlBindung,5)="",1,$G2269),IF($J2269&gt;0.005,1,0)))</f>
      </c>
      <c r="J2269" s="43">
        <f>IF($I2268=0,0,$R2268)</f>
      </c>
      <c r="K2269" s="43">
        <f>IF($I2269=0,0,IF(INDEX(DarlOhneTilgung,5)=1,0,IF(AND(INDEX(DarlTilgStart,5)&gt;0,$E2269=INDEX(DarlTilgStart,5)),$J2269*($H2269+INDEX(DarlTilgung,5))/100/12,IF(AND($G2269=0,$G2268=1),MAX($K2268,$J2269*($H2269+1)/100/12),$K2268))))</f>
      </c>
      <c r="L2269" s="43">
        <f>IF($I2269=0,0,$J2269*$H2269/100/12)</f>
      </c>
      <c r="M2269" s="43">
        <f>IF($I2269=0,0,IF(OR(INDEX(DarlOhneTilgung,5)=1,AND(INDEX(DarlTilgStart,5)&gt;0,$E2269&lt;INDEX(DarlTilgStart,5))),0,MIN(MAX(0,$K2269-$L2269),$J2269)))</f>
      </c>
      <c r="N2269" s="43">
        <f>IF($I2269=0,0,MIN(SUMIFS(SondBetrag,SondDarl,5,SondDatum,"&gt;="&amp;$E2269,SondDatum,"&lt;="&amp;EOMONTH($E2269,0)),$J2269-$M2269))</f>
      </c>
      <c r="O2269" s="43">
        <f>IF($I2269=0,0,INDEX(DarlErsatzRate,5))</f>
      </c>
      <c r="P2269" s="43">
        <f>IF($I2269=0,0,$Q2268*INDEX(DarlErsatzZins,5))</f>
      </c>
      <c r="Q2269" s="43">
        <f>IF($I2269=0,0,$Q2268+$P2269+$O2269)</f>
      </c>
      <c r="R2269" s="43">
        <f>IF($I2269=0,0,$J2269-$M2269-$N2269)</f>
      </c>
    </row>
    <row r="2270">
      <c r="A2270"/>
      <c r="B2270">
        <v>5</v>
      </c>
      <c r="C2270" s="43">
        <f>INDEX(DarlObj,5)</f>
      </c>
      <c r="D2270">
        <v>347</v>
      </c>
      <c r="E2270" s="51">
        <f>IF(INDEX(DarlBelegt,5)=0,0,EOMONTH(INDEX(DarlAuszahlung,5),346)+1)</f>
      </c>
      <c r="F2270" s="43">
        <f>IF($E2270=0,0,YEAR($E2270))</f>
      </c>
      <c r="G2270" s="43">
        <f>IF(INDEX(DarlBindung,5)="",1,IF($E2270&lt;=INDEX(DarlBindung,5),1,0))</f>
      </c>
      <c r="H2270" s="43">
        <f>IF($G2270=1,INDEX(DarlSollzins,5),INDEX(DarlAnschluss,5))</f>
      </c>
      <c r="I2270" s="43">
        <f>IF(INDEX(DarlBelegt,5)=0,0,IF(INDEX(DarlOhneTilgung,5)=1,IF(INDEX(DarlBindung,5)="",1,$G2270),IF($J2270&gt;0.005,1,0)))</f>
      </c>
      <c r="J2270" s="43">
        <f>IF($I2269=0,0,$R2269)</f>
      </c>
      <c r="K2270" s="43">
        <f>IF($I2270=0,0,IF(INDEX(DarlOhneTilgung,5)=1,0,IF(AND(INDEX(DarlTilgStart,5)&gt;0,$E2270=INDEX(DarlTilgStart,5)),$J2270*($H2270+INDEX(DarlTilgung,5))/100/12,IF(AND($G2270=0,$G2269=1),MAX($K2269,$J2270*($H2270+1)/100/12),$K2269))))</f>
      </c>
      <c r="L2270" s="43">
        <f>IF($I2270=0,0,$J2270*$H2270/100/12)</f>
      </c>
      <c r="M2270" s="43">
        <f>IF($I2270=0,0,IF(OR(INDEX(DarlOhneTilgung,5)=1,AND(INDEX(DarlTilgStart,5)&gt;0,$E2270&lt;INDEX(DarlTilgStart,5))),0,MIN(MAX(0,$K2270-$L2270),$J2270)))</f>
      </c>
      <c r="N2270" s="43">
        <f>IF($I2270=0,0,MIN(SUMIFS(SondBetrag,SondDarl,5,SondDatum,"&gt;="&amp;$E2270,SondDatum,"&lt;="&amp;EOMONTH($E2270,0)),$J2270-$M2270))</f>
      </c>
      <c r="O2270" s="43">
        <f>IF($I2270=0,0,INDEX(DarlErsatzRate,5))</f>
      </c>
      <c r="P2270" s="43">
        <f>IF($I2270=0,0,$Q2269*INDEX(DarlErsatzZins,5))</f>
      </c>
      <c r="Q2270" s="43">
        <f>IF($I2270=0,0,$Q2269+$P2270+$O2270)</f>
      </c>
      <c r="R2270" s="43">
        <f>IF($I2270=0,0,$J2270-$M2270-$N2270)</f>
      </c>
    </row>
    <row r="2271">
      <c r="A2271"/>
      <c r="B2271">
        <v>5</v>
      </c>
      <c r="C2271" s="43">
        <f>INDEX(DarlObj,5)</f>
      </c>
      <c r="D2271">
        <v>348</v>
      </c>
      <c r="E2271" s="51">
        <f>IF(INDEX(DarlBelegt,5)=0,0,EOMONTH(INDEX(DarlAuszahlung,5),347)+1)</f>
      </c>
      <c r="F2271" s="43">
        <f>IF($E2271=0,0,YEAR($E2271))</f>
      </c>
      <c r="G2271" s="43">
        <f>IF(INDEX(DarlBindung,5)="",1,IF($E2271&lt;=INDEX(DarlBindung,5),1,0))</f>
      </c>
      <c r="H2271" s="43">
        <f>IF($G2271=1,INDEX(DarlSollzins,5),INDEX(DarlAnschluss,5))</f>
      </c>
      <c r="I2271" s="43">
        <f>IF(INDEX(DarlBelegt,5)=0,0,IF(INDEX(DarlOhneTilgung,5)=1,IF(INDEX(DarlBindung,5)="",1,$G2271),IF($J2271&gt;0.005,1,0)))</f>
      </c>
      <c r="J2271" s="43">
        <f>IF($I2270=0,0,$R2270)</f>
      </c>
      <c r="K2271" s="43">
        <f>IF($I2271=0,0,IF(INDEX(DarlOhneTilgung,5)=1,0,IF(AND(INDEX(DarlTilgStart,5)&gt;0,$E2271=INDEX(DarlTilgStart,5)),$J2271*($H2271+INDEX(DarlTilgung,5))/100/12,IF(AND($G2271=0,$G2270=1),MAX($K2270,$J2271*($H2271+1)/100/12),$K2270))))</f>
      </c>
      <c r="L2271" s="43">
        <f>IF($I2271=0,0,$J2271*$H2271/100/12)</f>
      </c>
      <c r="M2271" s="43">
        <f>IF($I2271=0,0,IF(OR(INDEX(DarlOhneTilgung,5)=1,AND(INDEX(DarlTilgStart,5)&gt;0,$E2271&lt;INDEX(DarlTilgStart,5))),0,MIN(MAX(0,$K2271-$L2271),$J2271)))</f>
      </c>
      <c r="N2271" s="43">
        <f>IF($I2271=0,0,MIN(SUMIFS(SondBetrag,SondDarl,5,SondDatum,"&gt;="&amp;$E2271,SondDatum,"&lt;="&amp;EOMONTH($E2271,0)),$J2271-$M2271))</f>
      </c>
      <c r="O2271" s="43">
        <f>IF($I2271=0,0,INDEX(DarlErsatzRate,5))</f>
      </c>
      <c r="P2271" s="43">
        <f>IF($I2271=0,0,$Q2270*INDEX(DarlErsatzZins,5))</f>
      </c>
      <c r="Q2271" s="43">
        <f>IF($I2271=0,0,$Q2270+$P2271+$O2271)</f>
      </c>
      <c r="R2271" s="43">
        <f>IF($I2271=0,0,$J2271-$M2271-$N2271)</f>
      </c>
    </row>
    <row r="2272">
      <c r="A2272"/>
      <c r="B2272">
        <v>5</v>
      </c>
      <c r="C2272" s="43">
        <f>INDEX(DarlObj,5)</f>
      </c>
      <c r="D2272">
        <v>349</v>
      </c>
      <c r="E2272" s="51">
        <f>IF(INDEX(DarlBelegt,5)=0,0,EOMONTH(INDEX(DarlAuszahlung,5),348)+1)</f>
      </c>
      <c r="F2272" s="43">
        <f>IF($E2272=0,0,YEAR($E2272))</f>
      </c>
      <c r="G2272" s="43">
        <f>IF(INDEX(DarlBindung,5)="",1,IF($E2272&lt;=INDEX(DarlBindung,5),1,0))</f>
      </c>
      <c r="H2272" s="43">
        <f>IF($G2272=1,INDEX(DarlSollzins,5),INDEX(DarlAnschluss,5))</f>
      </c>
      <c r="I2272" s="43">
        <f>IF(INDEX(DarlBelegt,5)=0,0,IF(INDEX(DarlOhneTilgung,5)=1,IF(INDEX(DarlBindung,5)="",1,$G2272),IF($J2272&gt;0.005,1,0)))</f>
      </c>
      <c r="J2272" s="43">
        <f>IF($I2271=0,0,$R2271)</f>
      </c>
      <c r="K2272" s="43">
        <f>IF($I2272=0,0,IF(INDEX(DarlOhneTilgung,5)=1,0,IF(AND(INDEX(DarlTilgStart,5)&gt;0,$E2272=INDEX(DarlTilgStart,5)),$J2272*($H2272+INDEX(DarlTilgung,5))/100/12,IF(AND($G2272=0,$G2271=1),MAX($K2271,$J2272*($H2272+1)/100/12),$K2271))))</f>
      </c>
      <c r="L2272" s="43">
        <f>IF($I2272=0,0,$J2272*$H2272/100/12)</f>
      </c>
      <c r="M2272" s="43">
        <f>IF($I2272=0,0,IF(OR(INDEX(DarlOhneTilgung,5)=1,AND(INDEX(DarlTilgStart,5)&gt;0,$E2272&lt;INDEX(DarlTilgStart,5))),0,MIN(MAX(0,$K2272-$L2272),$J2272)))</f>
      </c>
      <c r="N2272" s="43">
        <f>IF($I2272=0,0,MIN(SUMIFS(SondBetrag,SondDarl,5,SondDatum,"&gt;="&amp;$E2272,SondDatum,"&lt;="&amp;EOMONTH($E2272,0)),$J2272-$M2272))</f>
      </c>
      <c r="O2272" s="43">
        <f>IF($I2272=0,0,INDEX(DarlErsatzRate,5))</f>
      </c>
      <c r="P2272" s="43">
        <f>IF($I2272=0,0,$Q2271*INDEX(DarlErsatzZins,5))</f>
      </c>
      <c r="Q2272" s="43">
        <f>IF($I2272=0,0,$Q2271+$P2272+$O2272)</f>
      </c>
      <c r="R2272" s="43">
        <f>IF($I2272=0,0,$J2272-$M2272-$N2272)</f>
      </c>
    </row>
    <row r="2273">
      <c r="A2273"/>
      <c r="B2273">
        <v>5</v>
      </c>
      <c r="C2273" s="43">
        <f>INDEX(DarlObj,5)</f>
      </c>
      <c r="D2273">
        <v>350</v>
      </c>
      <c r="E2273" s="51">
        <f>IF(INDEX(DarlBelegt,5)=0,0,EOMONTH(INDEX(DarlAuszahlung,5),349)+1)</f>
      </c>
      <c r="F2273" s="43">
        <f>IF($E2273=0,0,YEAR($E2273))</f>
      </c>
      <c r="G2273" s="43">
        <f>IF(INDEX(DarlBindung,5)="",1,IF($E2273&lt;=INDEX(DarlBindung,5),1,0))</f>
      </c>
      <c r="H2273" s="43">
        <f>IF($G2273=1,INDEX(DarlSollzins,5),INDEX(DarlAnschluss,5))</f>
      </c>
      <c r="I2273" s="43">
        <f>IF(INDEX(DarlBelegt,5)=0,0,IF(INDEX(DarlOhneTilgung,5)=1,IF(INDEX(DarlBindung,5)="",1,$G2273),IF($J2273&gt;0.005,1,0)))</f>
      </c>
      <c r="J2273" s="43">
        <f>IF($I2272=0,0,$R2272)</f>
      </c>
      <c r="K2273" s="43">
        <f>IF($I2273=0,0,IF(INDEX(DarlOhneTilgung,5)=1,0,IF(AND(INDEX(DarlTilgStart,5)&gt;0,$E2273=INDEX(DarlTilgStart,5)),$J2273*($H2273+INDEX(DarlTilgung,5))/100/12,IF(AND($G2273=0,$G2272=1),MAX($K2272,$J2273*($H2273+1)/100/12),$K2272))))</f>
      </c>
      <c r="L2273" s="43">
        <f>IF($I2273=0,0,$J2273*$H2273/100/12)</f>
      </c>
      <c r="M2273" s="43">
        <f>IF($I2273=0,0,IF(OR(INDEX(DarlOhneTilgung,5)=1,AND(INDEX(DarlTilgStart,5)&gt;0,$E2273&lt;INDEX(DarlTilgStart,5))),0,MIN(MAX(0,$K2273-$L2273),$J2273)))</f>
      </c>
      <c r="N2273" s="43">
        <f>IF($I2273=0,0,MIN(SUMIFS(SondBetrag,SondDarl,5,SondDatum,"&gt;="&amp;$E2273,SondDatum,"&lt;="&amp;EOMONTH($E2273,0)),$J2273-$M2273))</f>
      </c>
      <c r="O2273" s="43">
        <f>IF($I2273=0,0,INDEX(DarlErsatzRate,5))</f>
      </c>
      <c r="P2273" s="43">
        <f>IF($I2273=0,0,$Q2272*INDEX(DarlErsatzZins,5))</f>
      </c>
      <c r="Q2273" s="43">
        <f>IF($I2273=0,0,$Q2272+$P2273+$O2273)</f>
      </c>
      <c r="R2273" s="43">
        <f>IF($I2273=0,0,$J2273-$M2273-$N2273)</f>
      </c>
    </row>
    <row r="2274">
      <c r="A2274"/>
      <c r="B2274">
        <v>5</v>
      </c>
      <c r="C2274" s="43">
        <f>INDEX(DarlObj,5)</f>
      </c>
      <c r="D2274">
        <v>351</v>
      </c>
      <c r="E2274" s="51">
        <f>IF(INDEX(DarlBelegt,5)=0,0,EOMONTH(INDEX(DarlAuszahlung,5),350)+1)</f>
      </c>
      <c r="F2274" s="43">
        <f>IF($E2274=0,0,YEAR($E2274))</f>
      </c>
      <c r="G2274" s="43">
        <f>IF(INDEX(DarlBindung,5)="",1,IF($E2274&lt;=INDEX(DarlBindung,5),1,0))</f>
      </c>
      <c r="H2274" s="43">
        <f>IF($G2274=1,INDEX(DarlSollzins,5),INDEX(DarlAnschluss,5))</f>
      </c>
      <c r="I2274" s="43">
        <f>IF(INDEX(DarlBelegt,5)=0,0,IF(INDEX(DarlOhneTilgung,5)=1,IF(INDEX(DarlBindung,5)="",1,$G2274),IF($J2274&gt;0.005,1,0)))</f>
      </c>
      <c r="J2274" s="43">
        <f>IF($I2273=0,0,$R2273)</f>
      </c>
      <c r="K2274" s="43">
        <f>IF($I2274=0,0,IF(INDEX(DarlOhneTilgung,5)=1,0,IF(AND(INDEX(DarlTilgStart,5)&gt;0,$E2274=INDEX(DarlTilgStart,5)),$J2274*($H2274+INDEX(DarlTilgung,5))/100/12,IF(AND($G2274=0,$G2273=1),MAX($K2273,$J2274*($H2274+1)/100/12),$K2273))))</f>
      </c>
      <c r="L2274" s="43">
        <f>IF($I2274=0,0,$J2274*$H2274/100/12)</f>
      </c>
      <c r="M2274" s="43">
        <f>IF($I2274=0,0,IF(OR(INDEX(DarlOhneTilgung,5)=1,AND(INDEX(DarlTilgStart,5)&gt;0,$E2274&lt;INDEX(DarlTilgStart,5))),0,MIN(MAX(0,$K2274-$L2274),$J2274)))</f>
      </c>
      <c r="N2274" s="43">
        <f>IF($I2274=0,0,MIN(SUMIFS(SondBetrag,SondDarl,5,SondDatum,"&gt;="&amp;$E2274,SondDatum,"&lt;="&amp;EOMONTH($E2274,0)),$J2274-$M2274))</f>
      </c>
      <c r="O2274" s="43">
        <f>IF($I2274=0,0,INDEX(DarlErsatzRate,5))</f>
      </c>
      <c r="P2274" s="43">
        <f>IF($I2274=0,0,$Q2273*INDEX(DarlErsatzZins,5))</f>
      </c>
      <c r="Q2274" s="43">
        <f>IF($I2274=0,0,$Q2273+$P2274+$O2274)</f>
      </c>
      <c r="R2274" s="43">
        <f>IF($I2274=0,0,$J2274-$M2274-$N2274)</f>
      </c>
    </row>
    <row r="2275">
      <c r="A2275"/>
      <c r="B2275">
        <v>5</v>
      </c>
      <c r="C2275" s="43">
        <f>INDEX(DarlObj,5)</f>
      </c>
      <c r="D2275">
        <v>352</v>
      </c>
      <c r="E2275" s="51">
        <f>IF(INDEX(DarlBelegt,5)=0,0,EOMONTH(INDEX(DarlAuszahlung,5),351)+1)</f>
      </c>
      <c r="F2275" s="43">
        <f>IF($E2275=0,0,YEAR($E2275))</f>
      </c>
      <c r="G2275" s="43">
        <f>IF(INDEX(DarlBindung,5)="",1,IF($E2275&lt;=INDEX(DarlBindung,5),1,0))</f>
      </c>
      <c r="H2275" s="43">
        <f>IF($G2275=1,INDEX(DarlSollzins,5),INDEX(DarlAnschluss,5))</f>
      </c>
      <c r="I2275" s="43">
        <f>IF(INDEX(DarlBelegt,5)=0,0,IF(INDEX(DarlOhneTilgung,5)=1,IF(INDEX(DarlBindung,5)="",1,$G2275),IF($J2275&gt;0.005,1,0)))</f>
      </c>
      <c r="J2275" s="43">
        <f>IF($I2274=0,0,$R2274)</f>
      </c>
      <c r="K2275" s="43">
        <f>IF($I2275=0,0,IF(INDEX(DarlOhneTilgung,5)=1,0,IF(AND(INDEX(DarlTilgStart,5)&gt;0,$E2275=INDEX(DarlTilgStart,5)),$J2275*($H2275+INDEX(DarlTilgung,5))/100/12,IF(AND($G2275=0,$G2274=1),MAX($K2274,$J2275*($H2275+1)/100/12),$K2274))))</f>
      </c>
      <c r="L2275" s="43">
        <f>IF($I2275=0,0,$J2275*$H2275/100/12)</f>
      </c>
      <c r="M2275" s="43">
        <f>IF($I2275=0,0,IF(OR(INDEX(DarlOhneTilgung,5)=1,AND(INDEX(DarlTilgStart,5)&gt;0,$E2275&lt;INDEX(DarlTilgStart,5))),0,MIN(MAX(0,$K2275-$L2275),$J2275)))</f>
      </c>
      <c r="N2275" s="43">
        <f>IF($I2275=0,0,MIN(SUMIFS(SondBetrag,SondDarl,5,SondDatum,"&gt;="&amp;$E2275,SondDatum,"&lt;="&amp;EOMONTH($E2275,0)),$J2275-$M2275))</f>
      </c>
      <c r="O2275" s="43">
        <f>IF($I2275=0,0,INDEX(DarlErsatzRate,5))</f>
      </c>
      <c r="P2275" s="43">
        <f>IF($I2275=0,0,$Q2274*INDEX(DarlErsatzZins,5))</f>
      </c>
      <c r="Q2275" s="43">
        <f>IF($I2275=0,0,$Q2274+$P2275+$O2275)</f>
      </c>
      <c r="R2275" s="43">
        <f>IF($I2275=0,0,$J2275-$M2275-$N2275)</f>
      </c>
    </row>
    <row r="2276">
      <c r="A2276"/>
      <c r="B2276">
        <v>5</v>
      </c>
      <c r="C2276" s="43">
        <f>INDEX(DarlObj,5)</f>
      </c>
      <c r="D2276">
        <v>353</v>
      </c>
      <c r="E2276" s="51">
        <f>IF(INDEX(DarlBelegt,5)=0,0,EOMONTH(INDEX(DarlAuszahlung,5),352)+1)</f>
      </c>
      <c r="F2276" s="43">
        <f>IF($E2276=0,0,YEAR($E2276))</f>
      </c>
      <c r="G2276" s="43">
        <f>IF(INDEX(DarlBindung,5)="",1,IF($E2276&lt;=INDEX(DarlBindung,5),1,0))</f>
      </c>
      <c r="H2276" s="43">
        <f>IF($G2276=1,INDEX(DarlSollzins,5),INDEX(DarlAnschluss,5))</f>
      </c>
      <c r="I2276" s="43">
        <f>IF(INDEX(DarlBelegt,5)=0,0,IF(INDEX(DarlOhneTilgung,5)=1,IF(INDEX(DarlBindung,5)="",1,$G2276),IF($J2276&gt;0.005,1,0)))</f>
      </c>
      <c r="J2276" s="43">
        <f>IF($I2275=0,0,$R2275)</f>
      </c>
      <c r="K2276" s="43">
        <f>IF($I2276=0,0,IF(INDEX(DarlOhneTilgung,5)=1,0,IF(AND(INDEX(DarlTilgStart,5)&gt;0,$E2276=INDEX(DarlTilgStart,5)),$J2276*($H2276+INDEX(DarlTilgung,5))/100/12,IF(AND($G2276=0,$G2275=1),MAX($K2275,$J2276*($H2276+1)/100/12),$K2275))))</f>
      </c>
      <c r="L2276" s="43">
        <f>IF($I2276=0,0,$J2276*$H2276/100/12)</f>
      </c>
      <c r="M2276" s="43">
        <f>IF($I2276=0,0,IF(OR(INDEX(DarlOhneTilgung,5)=1,AND(INDEX(DarlTilgStart,5)&gt;0,$E2276&lt;INDEX(DarlTilgStart,5))),0,MIN(MAX(0,$K2276-$L2276),$J2276)))</f>
      </c>
      <c r="N2276" s="43">
        <f>IF($I2276=0,0,MIN(SUMIFS(SondBetrag,SondDarl,5,SondDatum,"&gt;="&amp;$E2276,SondDatum,"&lt;="&amp;EOMONTH($E2276,0)),$J2276-$M2276))</f>
      </c>
      <c r="O2276" s="43">
        <f>IF($I2276=0,0,INDEX(DarlErsatzRate,5))</f>
      </c>
      <c r="P2276" s="43">
        <f>IF($I2276=0,0,$Q2275*INDEX(DarlErsatzZins,5))</f>
      </c>
      <c r="Q2276" s="43">
        <f>IF($I2276=0,0,$Q2275+$P2276+$O2276)</f>
      </c>
      <c r="R2276" s="43">
        <f>IF($I2276=0,0,$J2276-$M2276-$N2276)</f>
      </c>
    </row>
    <row r="2277">
      <c r="A2277"/>
      <c r="B2277">
        <v>5</v>
      </c>
      <c r="C2277" s="43">
        <f>INDEX(DarlObj,5)</f>
      </c>
      <c r="D2277">
        <v>354</v>
      </c>
      <c r="E2277" s="51">
        <f>IF(INDEX(DarlBelegt,5)=0,0,EOMONTH(INDEX(DarlAuszahlung,5),353)+1)</f>
      </c>
      <c r="F2277" s="43">
        <f>IF($E2277=0,0,YEAR($E2277))</f>
      </c>
      <c r="G2277" s="43">
        <f>IF(INDEX(DarlBindung,5)="",1,IF($E2277&lt;=INDEX(DarlBindung,5),1,0))</f>
      </c>
      <c r="H2277" s="43">
        <f>IF($G2277=1,INDEX(DarlSollzins,5),INDEX(DarlAnschluss,5))</f>
      </c>
      <c r="I2277" s="43">
        <f>IF(INDEX(DarlBelegt,5)=0,0,IF(INDEX(DarlOhneTilgung,5)=1,IF(INDEX(DarlBindung,5)="",1,$G2277),IF($J2277&gt;0.005,1,0)))</f>
      </c>
      <c r="J2277" s="43">
        <f>IF($I2276=0,0,$R2276)</f>
      </c>
      <c r="K2277" s="43">
        <f>IF($I2277=0,0,IF(INDEX(DarlOhneTilgung,5)=1,0,IF(AND(INDEX(DarlTilgStart,5)&gt;0,$E2277=INDEX(DarlTilgStart,5)),$J2277*($H2277+INDEX(DarlTilgung,5))/100/12,IF(AND($G2277=0,$G2276=1),MAX($K2276,$J2277*($H2277+1)/100/12),$K2276))))</f>
      </c>
      <c r="L2277" s="43">
        <f>IF($I2277=0,0,$J2277*$H2277/100/12)</f>
      </c>
      <c r="M2277" s="43">
        <f>IF($I2277=0,0,IF(OR(INDEX(DarlOhneTilgung,5)=1,AND(INDEX(DarlTilgStart,5)&gt;0,$E2277&lt;INDEX(DarlTilgStart,5))),0,MIN(MAX(0,$K2277-$L2277),$J2277)))</f>
      </c>
      <c r="N2277" s="43">
        <f>IF($I2277=0,0,MIN(SUMIFS(SondBetrag,SondDarl,5,SondDatum,"&gt;="&amp;$E2277,SondDatum,"&lt;="&amp;EOMONTH($E2277,0)),$J2277-$M2277))</f>
      </c>
      <c r="O2277" s="43">
        <f>IF($I2277=0,0,INDEX(DarlErsatzRate,5))</f>
      </c>
      <c r="P2277" s="43">
        <f>IF($I2277=0,0,$Q2276*INDEX(DarlErsatzZins,5))</f>
      </c>
      <c r="Q2277" s="43">
        <f>IF($I2277=0,0,$Q2276+$P2277+$O2277)</f>
      </c>
      <c r="R2277" s="43">
        <f>IF($I2277=0,0,$J2277-$M2277-$N2277)</f>
      </c>
    </row>
    <row r="2278">
      <c r="A2278"/>
      <c r="B2278">
        <v>5</v>
      </c>
      <c r="C2278" s="43">
        <f>INDEX(DarlObj,5)</f>
      </c>
      <c r="D2278">
        <v>355</v>
      </c>
      <c r="E2278" s="51">
        <f>IF(INDEX(DarlBelegt,5)=0,0,EOMONTH(INDEX(DarlAuszahlung,5),354)+1)</f>
      </c>
      <c r="F2278" s="43">
        <f>IF($E2278=0,0,YEAR($E2278))</f>
      </c>
      <c r="G2278" s="43">
        <f>IF(INDEX(DarlBindung,5)="",1,IF($E2278&lt;=INDEX(DarlBindung,5),1,0))</f>
      </c>
      <c r="H2278" s="43">
        <f>IF($G2278=1,INDEX(DarlSollzins,5),INDEX(DarlAnschluss,5))</f>
      </c>
      <c r="I2278" s="43">
        <f>IF(INDEX(DarlBelegt,5)=0,0,IF(INDEX(DarlOhneTilgung,5)=1,IF(INDEX(DarlBindung,5)="",1,$G2278),IF($J2278&gt;0.005,1,0)))</f>
      </c>
      <c r="J2278" s="43">
        <f>IF($I2277=0,0,$R2277)</f>
      </c>
      <c r="K2278" s="43">
        <f>IF($I2278=0,0,IF(INDEX(DarlOhneTilgung,5)=1,0,IF(AND(INDEX(DarlTilgStart,5)&gt;0,$E2278=INDEX(DarlTilgStart,5)),$J2278*($H2278+INDEX(DarlTilgung,5))/100/12,IF(AND($G2278=0,$G2277=1),MAX($K2277,$J2278*($H2278+1)/100/12),$K2277))))</f>
      </c>
      <c r="L2278" s="43">
        <f>IF($I2278=0,0,$J2278*$H2278/100/12)</f>
      </c>
      <c r="M2278" s="43">
        <f>IF($I2278=0,0,IF(OR(INDEX(DarlOhneTilgung,5)=1,AND(INDEX(DarlTilgStart,5)&gt;0,$E2278&lt;INDEX(DarlTilgStart,5))),0,MIN(MAX(0,$K2278-$L2278),$J2278)))</f>
      </c>
      <c r="N2278" s="43">
        <f>IF($I2278=0,0,MIN(SUMIFS(SondBetrag,SondDarl,5,SondDatum,"&gt;="&amp;$E2278,SondDatum,"&lt;="&amp;EOMONTH($E2278,0)),$J2278-$M2278))</f>
      </c>
      <c r="O2278" s="43">
        <f>IF($I2278=0,0,INDEX(DarlErsatzRate,5))</f>
      </c>
      <c r="P2278" s="43">
        <f>IF($I2278=0,0,$Q2277*INDEX(DarlErsatzZins,5))</f>
      </c>
      <c r="Q2278" s="43">
        <f>IF($I2278=0,0,$Q2277+$P2278+$O2278)</f>
      </c>
      <c r="R2278" s="43">
        <f>IF($I2278=0,0,$J2278-$M2278-$N2278)</f>
      </c>
    </row>
    <row r="2279">
      <c r="A2279"/>
      <c r="B2279">
        <v>5</v>
      </c>
      <c r="C2279" s="43">
        <f>INDEX(DarlObj,5)</f>
      </c>
      <c r="D2279">
        <v>356</v>
      </c>
      <c r="E2279" s="51">
        <f>IF(INDEX(DarlBelegt,5)=0,0,EOMONTH(INDEX(DarlAuszahlung,5),355)+1)</f>
      </c>
      <c r="F2279" s="43">
        <f>IF($E2279=0,0,YEAR($E2279))</f>
      </c>
      <c r="G2279" s="43">
        <f>IF(INDEX(DarlBindung,5)="",1,IF($E2279&lt;=INDEX(DarlBindung,5),1,0))</f>
      </c>
      <c r="H2279" s="43">
        <f>IF($G2279=1,INDEX(DarlSollzins,5),INDEX(DarlAnschluss,5))</f>
      </c>
      <c r="I2279" s="43">
        <f>IF(INDEX(DarlBelegt,5)=0,0,IF(INDEX(DarlOhneTilgung,5)=1,IF(INDEX(DarlBindung,5)="",1,$G2279),IF($J2279&gt;0.005,1,0)))</f>
      </c>
      <c r="J2279" s="43">
        <f>IF($I2278=0,0,$R2278)</f>
      </c>
      <c r="K2279" s="43">
        <f>IF($I2279=0,0,IF(INDEX(DarlOhneTilgung,5)=1,0,IF(AND(INDEX(DarlTilgStart,5)&gt;0,$E2279=INDEX(DarlTilgStart,5)),$J2279*($H2279+INDEX(DarlTilgung,5))/100/12,IF(AND($G2279=0,$G2278=1),MAX($K2278,$J2279*($H2279+1)/100/12),$K2278))))</f>
      </c>
      <c r="L2279" s="43">
        <f>IF($I2279=0,0,$J2279*$H2279/100/12)</f>
      </c>
      <c r="M2279" s="43">
        <f>IF($I2279=0,0,IF(OR(INDEX(DarlOhneTilgung,5)=1,AND(INDEX(DarlTilgStart,5)&gt;0,$E2279&lt;INDEX(DarlTilgStart,5))),0,MIN(MAX(0,$K2279-$L2279),$J2279)))</f>
      </c>
      <c r="N2279" s="43">
        <f>IF($I2279=0,0,MIN(SUMIFS(SondBetrag,SondDarl,5,SondDatum,"&gt;="&amp;$E2279,SondDatum,"&lt;="&amp;EOMONTH($E2279,0)),$J2279-$M2279))</f>
      </c>
      <c r="O2279" s="43">
        <f>IF($I2279=0,0,INDEX(DarlErsatzRate,5))</f>
      </c>
      <c r="P2279" s="43">
        <f>IF($I2279=0,0,$Q2278*INDEX(DarlErsatzZins,5))</f>
      </c>
      <c r="Q2279" s="43">
        <f>IF($I2279=0,0,$Q2278+$P2279+$O2279)</f>
      </c>
      <c r="R2279" s="43">
        <f>IF($I2279=0,0,$J2279-$M2279-$N2279)</f>
      </c>
    </row>
    <row r="2280">
      <c r="A2280"/>
      <c r="B2280">
        <v>5</v>
      </c>
      <c r="C2280" s="43">
        <f>INDEX(DarlObj,5)</f>
      </c>
      <c r="D2280">
        <v>357</v>
      </c>
      <c r="E2280" s="51">
        <f>IF(INDEX(DarlBelegt,5)=0,0,EOMONTH(INDEX(DarlAuszahlung,5),356)+1)</f>
      </c>
      <c r="F2280" s="43">
        <f>IF($E2280=0,0,YEAR($E2280))</f>
      </c>
      <c r="G2280" s="43">
        <f>IF(INDEX(DarlBindung,5)="",1,IF($E2280&lt;=INDEX(DarlBindung,5),1,0))</f>
      </c>
      <c r="H2280" s="43">
        <f>IF($G2280=1,INDEX(DarlSollzins,5),INDEX(DarlAnschluss,5))</f>
      </c>
      <c r="I2280" s="43">
        <f>IF(INDEX(DarlBelegt,5)=0,0,IF(INDEX(DarlOhneTilgung,5)=1,IF(INDEX(DarlBindung,5)="",1,$G2280),IF($J2280&gt;0.005,1,0)))</f>
      </c>
      <c r="J2280" s="43">
        <f>IF($I2279=0,0,$R2279)</f>
      </c>
      <c r="K2280" s="43">
        <f>IF($I2280=0,0,IF(INDEX(DarlOhneTilgung,5)=1,0,IF(AND(INDEX(DarlTilgStart,5)&gt;0,$E2280=INDEX(DarlTilgStart,5)),$J2280*($H2280+INDEX(DarlTilgung,5))/100/12,IF(AND($G2280=0,$G2279=1),MAX($K2279,$J2280*($H2280+1)/100/12),$K2279))))</f>
      </c>
      <c r="L2280" s="43">
        <f>IF($I2280=0,0,$J2280*$H2280/100/12)</f>
      </c>
      <c r="M2280" s="43">
        <f>IF($I2280=0,0,IF(OR(INDEX(DarlOhneTilgung,5)=1,AND(INDEX(DarlTilgStart,5)&gt;0,$E2280&lt;INDEX(DarlTilgStart,5))),0,MIN(MAX(0,$K2280-$L2280),$J2280)))</f>
      </c>
      <c r="N2280" s="43">
        <f>IF($I2280=0,0,MIN(SUMIFS(SondBetrag,SondDarl,5,SondDatum,"&gt;="&amp;$E2280,SondDatum,"&lt;="&amp;EOMONTH($E2280,0)),$J2280-$M2280))</f>
      </c>
      <c r="O2280" s="43">
        <f>IF($I2280=0,0,INDEX(DarlErsatzRate,5))</f>
      </c>
      <c r="P2280" s="43">
        <f>IF($I2280=0,0,$Q2279*INDEX(DarlErsatzZins,5))</f>
      </c>
      <c r="Q2280" s="43">
        <f>IF($I2280=0,0,$Q2279+$P2280+$O2280)</f>
      </c>
      <c r="R2280" s="43">
        <f>IF($I2280=0,0,$J2280-$M2280-$N2280)</f>
      </c>
    </row>
    <row r="2281">
      <c r="A2281"/>
      <c r="B2281">
        <v>5</v>
      </c>
      <c r="C2281" s="43">
        <f>INDEX(DarlObj,5)</f>
      </c>
      <c r="D2281">
        <v>358</v>
      </c>
      <c r="E2281" s="51">
        <f>IF(INDEX(DarlBelegt,5)=0,0,EOMONTH(INDEX(DarlAuszahlung,5),357)+1)</f>
      </c>
      <c r="F2281" s="43">
        <f>IF($E2281=0,0,YEAR($E2281))</f>
      </c>
      <c r="G2281" s="43">
        <f>IF(INDEX(DarlBindung,5)="",1,IF($E2281&lt;=INDEX(DarlBindung,5),1,0))</f>
      </c>
      <c r="H2281" s="43">
        <f>IF($G2281=1,INDEX(DarlSollzins,5),INDEX(DarlAnschluss,5))</f>
      </c>
      <c r="I2281" s="43">
        <f>IF(INDEX(DarlBelegt,5)=0,0,IF(INDEX(DarlOhneTilgung,5)=1,IF(INDEX(DarlBindung,5)="",1,$G2281),IF($J2281&gt;0.005,1,0)))</f>
      </c>
      <c r="J2281" s="43">
        <f>IF($I2280=0,0,$R2280)</f>
      </c>
      <c r="K2281" s="43">
        <f>IF($I2281=0,0,IF(INDEX(DarlOhneTilgung,5)=1,0,IF(AND(INDEX(DarlTilgStart,5)&gt;0,$E2281=INDEX(DarlTilgStart,5)),$J2281*($H2281+INDEX(DarlTilgung,5))/100/12,IF(AND($G2281=0,$G2280=1),MAX($K2280,$J2281*($H2281+1)/100/12),$K2280))))</f>
      </c>
      <c r="L2281" s="43">
        <f>IF($I2281=0,0,$J2281*$H2281/100/12)</f>
      </c>
      <c r="M2281" s="43">
        <f>IF($I2281=0,0,IF(OR(INDEX(DarlOhneTilgung,5)=1,AND(INDEX(DarlTilgStart,5)&gt;0,$E2281&lt;INDEX(DarlTilgStart,5))),0,MIN(MAX(0,$K2281-$L2281),$J2281)))</f>
      </c>
      <c r="N2281" s="43">
        <f>IF($I2281=0,0,MIN(SUMIFS(SondBetrag,SondDarl,5,SondDatum,"&gt;="&amp;$E2281,SondDatum,"&lt;="&amp;EOMONTH($E2281,0)),$J2281-$M2281))</f>
      </c>
      <c r="O2281" s="43">
        <f>IF($I2281=0,0,INDEX(DarlErsatzRate,5))</f>
      </c>
      <c r="P2281" s="43">
        <f>IF($I2281=0,0,$Q2280*INDEX(DarlErsatzZins,5))</f>
      </c>
      <c r="Q2281" s="43">
        <f>IF($I2281=0,0,$Q2280+$P2281+$O2281)</f>
      </c>
      <c r="R2281" s="43">
        <f>IF($I2281=0,0,$J2281-$M2281-$N2281)</f>
      </c>
    </row>
    <row r="2282">
      <c r="A2282"/>
      <c r="B2282">
        <v>5</v>
      </c>
      <c r="C2282" s="43">
        <f>INDEX(DarlObj,5)</f>
      </c>
      <c r="D2282">
        <v>359</v>
      </c>
      <c r="E2282" s="51">
        <f>IF(INDEX(DarlBelegt,5)=0,0,EOMONTH(INDEX(DarlAuszahlung,5),358)+1)</f>
      </c>
      <c r="F2282" s="43">
        <f>IF($E2282=0,0,YEAR($E2282))</f>
      </c>
      <c r="G2282" s="43">
        <f>IF(INDEX(DarlBindung,5)="",1,IF($E2282&lt;=INDEX(DarlBindung,5),1,0))</f>
      </c>
      <c r="H2282" s="43">
        <f>IF($G2282=1,INDEX(DarlSollzins,5),INDEX(DarlAnschluss,5))</f>
      </c>
      <c r="I2282" s="43">
        <f>IF(INDEX(DarlBelegt,5)=0,0,IF(INDEX(DarlOhneTilgung,5)=1,IF(INDEX(DarlBindung,5)="",1,$G2282),IF($J2282&gt;0.005,1,0)))</f>
      </c>
      <c r="J2282" s="43">
        <f>IF($I2281=0,0,$R2281)</f>
      </c>
      <c r="K2282" s="43">
        <f>IF($I2282=0,0,IF(INDEX(DarlOhneTilgung,5)=1,0,IF(AND(INDEX(DarlTilgStart,5)&gt;0,$E2282=INDEX(DarlTilgStart,5)),$J2282*($H2282+INDEX(DarlTilgung,5))/100/12,IF(AND($G2282=0,$G2281=1),MAX($K2281,$J2282*($H2282+1)/100/12),$K2281))))</f>
      </c>
      <c r="L2282" s="43">
        <f>IF($I2282=0,0,$J2282*$H2282/100/12)</f>
      </c>
      <c r="M2282" s="43">
        <f>IF($I2282=0,0,IF(OR(INDEX(DarlOhneTilgung,5)=1,AND(INDEX(DarlTilgStart,5)&gt;0,$E2282&lt;INDEX(DarlTilgStart,5))),0,MIN(MAX(0,$K2282-$L2282),$J2282)))</f>
      </c>
      <c r="N2282" s="43">
        <f>IF($I2282=0,0,MIN(SUMIFS(SondBetrag,SondDarl,5,SondDatum,"&gt;="&amp;$E2282,SondDatum,"&lt;="&amp;EOMONTH($E2282,0)),$J2282-$M2282))</f>
      </c>
      <c r="O2282" s="43">
        <f>IF($I2282=0,0,INDEX(DarlErsatzRate,5))</f>
      </c>
      <c r="P2282" s="43">
        <f>IF($I2282=0,0,$Q2281*INDEX(DarlErsatzZins,5))</f>
      </c>
      <c r="Q2282" s="43">
        <f>IF($I2282=0,0,$Q2281+$P2282+$O2282)</f>
      </c>
      <c r="R2282" s="43">
        <f>IF($I2282=0,0,$J2282-$M2282-$N2282)</f>
      </c>
    </row>
    <row r="2283">
      <c r="A2283"/>
      <c r="B2283">
        <v>5</v>
      </c>
      <c r="C2283" s="43">
        <f>INDEX(DarlObj,5)</f>
      </c>
      <c r="D2283">
        <v>360</v>
      </c>
      <c r="E2283" s="51">
        <f>IF(INDEX(DarlBelegt,5)=0,0,EOMONTH(INDEX(DarlAuszahlung,5),359)+1)</f>
      </c>
      <c r="F2283" s="43">
        <f>IF($E2283=0,0,YEAR($E2283))</f>
      </c>
      <c r="G2283" s="43">
        <f>IF(INDEX(DarlBindung,5)="",1,IF($E2283&lt;=INDEX(DarlBindung,5),1,0))</f>
      </c>
      <c r="H2283" s="43">
        <f>IF($G2283=1,INDEX(DarlSollzins,5),INDEX(DarlAnschluss,5))</f>
      </c>
      <c r="I2283" s="43">
        <f>IF(INDEX(DarlBelegt,5)=0,0,IF(INDEX(DarlOhneTilgung,5)=1,IF(INDEX(DarlBindung,5)="",1,$G2283),IF($J2283&gt;0.005,1,0)))</f>
      </c>
      <c r="J2283" s="43">
        <f>IF($I2282=0,0,$R2282)</f>
      </c>
      <c r="K2283" s="43">
        <f>IF($I2283=0,0,IF(INDEX(DarlOhneTilgung,5)=1,0,IF(AND(INDEX(DarlTilgStart,5)&gt;0,$E2283=INDEX(DarlTilgStart,5)),$J2283*($H2283+INDEX(DarlTilgung,5))/100/12,IF(AND($G2283=0,$G2282=1),MAX($K2282,$J2283*($H2283+1)/100/12),$K2282))))</f>
      </c>
      <c r="L2283" s="43">
        <f>IF($I2283=0,0,$J2283*$H2283/100/12)</f>
      </c>
      <c r="M2283" s="43">
        <f>IF($I2283=0,0,IF(OR(INDEX(DarlOhneTilgung,5)=1,AND(INDEX(DarlTilgStart,5)&gt;0,$E2283&lt;INDEX(DarlTilgStart,5))),0,MIN(MAX(0,$K2283-$L2283),$J2283)))</f>
      </c>
      <c r="N2283" s="43">
        <f>IF($I2283=0,0,MIN(SUMIFS(SondBetrag,SondDarl,5,SondDatum,"&gt;="&amp;$E2283,SondDatum,"&lt;="&amp;EOMONTH($E2283,0)),$J2283-$M2283))</f>
      </c>
      <c r="O2283" s="43">
        <f>IF($I2283=0,0,INDEX(DarlErsatzRate,5))</f>
      </c>
      <c r="P2283" s="43">
        <f>IF($I2283=0,0,$Q2282*INDEX(DarlErsatzZins,5))</f>
      </c>
      <c r="Q2283" s="43">
        <f>IF($I2283=0,0,$Q2282+$P2283+$O2283)</f>
      </c>
      <c r="R2283" s="43">
        <f>IF($I2283=0,0,$J2283-$M2283-$N2283)</f>
      </c>
    </row>
    <row r="2284">
      <c r="A2284"/>
      <c r="B2284">
        <v>5</v>
      </c>
      <c r="C2284" s="43">
        <f>INDEX(DarlObj,5)</f>
      </c>
      <c r="D2284">
        <v>361</v>
      </c>
      <c r="E2284" s="51">
        <f>IF(INDEX(DarlBelegt,5)=0,0,EOMONTH(INDEX(DarlAuszahlung,5),360)+1)</f>
      </c>
      <c r="F2284" s="43">
        <f>IF($E2284=0,0,YEAR($E2284))</f>
      </c>
      <c r="G2284" s="43">
        <f>IF(INDEX(DarlBindung,5)="",1,IF($E2284&lt;=INDEX(DarlBindung,5),1,0))</f>
      </c>
      <c r="H2284" s="43">
        <f>IF($G2284=1,INDEX(DarlSollzins,5),INDEX(DarlAnschluss,5))</f>
      </c>
      <c r="I2284" s="43">
        <f>IF(INDEX(DarlBelegt,5)=0,0,IF(INDEX(DarlOhneTilgung,5)=1,IF(INDEX(DarlBindung,5)="",1,$G2284),IF($J2284&gt;0.005,1,0)))</f>
      </c>
      <c r="J2284" s="43">
        <f>IF($I2283=0,0,$R2283)</f>
      </c>
      <c r="K2284" s="43">
        <f>IF($I2284=0,0,IF(INDEX(DarlOhneTilgung,5)=1,0,IF(AND(INDEX(DarlTilgStart,5)&gt;0,$E2284=INDEX(DarlTilgStart,5)),$J2284*($H2284+INDEX(DarlTilgung,5))/100/12,IF(AND($G2284=0,$G2283=1),MAX($K2283,$J2284*($H2284+1)/100/12),$K2283))))</f>
      </c>
      <c r="L2284" s="43">
        <f>IF($I2284=0,0,$J2284*$H2284/100/12)</f>
      </c>
      <c r="M2284" s="43">
        <f>IF($I2284=0,0,IF(OR(INDEX(DarlOhneTilgung,5)=1,AND(INDEX(DarlTilgStart,5)&gt;0,$E2284&lt;INDEX(DarlTilgStart,5))),0,MIN(MAX(0,$K2284-$L2284),$J2284)))</f>
      </c>
      <c r="N2284" s="43">
        <f>IF($I2284=0,0,MIN(SUMIFS(SondBetrag,SondDarl,5,SondDatum,"&gt;="&amp;$E2284,SondDatum,"&lt;="&amp;EOMONTH($E2284,0)),$J2284-$M2284))</f>
      </c>
      <c r="O2284" s="43">
        <f>IF($I2284=0,0,INDEX(DarlErsatzRate,5))</f>
      </c>
      <c r="P2284" s="43">
        <f>IF($I2284=0,0,$Q2283*INDEX(DarlErsatzZins,5))</f>
      </c>
      <c r="Q2284" s="43">
        <f>IF($I2284=0,0,$Q2283+$P2284+$O2284)</f>
      </c>
      <c r="R2284" s="43">
        <f>IF($I2284=0,0,$J2284-$M2284-$N2284)</f>
      </c>
    </row>
    <row r="2285">
      <c r="A2285"/>
      <c r="B2285">
        <v>5</v>
      </c>
      <c r="C2285" s="43">
        <f>INDEX(DarlObj,5)</f>
      </c>
      <c r="D2285">
        <v>362</v>
      </c>
      <c r="E2285" s="51">
        <f>IF(INDEX(DarlBelegt,5)=0,0,EOMONTH(INDEX(DarlAuszahlung,5),361)+1)</f>
      </c>
      <c r="F2285" s="43">
        <f>IF($E2285=0,0,YEAR($E2285))</f>
      </c>
      <c r="G2285" s="43">
        <f>IF(INDEX(DarlBindung,5)="",1,IF($E2285&lt;=INDEX(DarlBindung,5),1,0))</f>
      </c>
      <c r="H2285" s="43">
        <f>IF($G2285=1,INDEX(DarlSollzins,5),INDEX(DarlAnschluss,5))</f>
      </c>
      <c r="I2285" s="43">
        <f>IF(INDEX(DarlBelegt,5)=0,0,IF(INDEX(DarlOhneTilgung,5)=1,IF(INDEX(DarlBindung,5)="",1,$G2285),IF($J2285&gt;0.005,1,0)))</f>
      </c>
      <c r="J2285" s="43">
        <f>IF($I2284=0,0,$R2284)</f>
      </c>
      <c r="K2285" s="43">
        <f>IF($I2285=0,0,IF(INDEX(DarlOhneTilgung,5)=1,0,IF(AND(INDEX(DarlTilgStart,5)&gt;0,$E2285=INDEX(DarlTilgStart,5)),$J2285*($H2285+INDEX(DarlTilgung,5))/100/12,IF(AND($G2285=0,$G2284=1),MAX($K2284,$J2285*($H2285+1)/100/12),$K2284))))</f>
      </c>
      <c r="L2285" s="43">
        <f>IF($I2285=0,0,$J2285*$H2285/100/12)</f>
      </c>
      <c r="M2285" s="43">
        <f>IF($I2285=0,0,IF(OR(INDEX(DarlOhneTilgung,5)=1,AND(INDEX(DarlTilgStart,5)&gt;0,$E2285&lt;INDEX(DarlTilgStart,5))),0,MIN(MAX(0,$K2285-$L2285),$J2285)))</f>
      </c>
      <c r="N2285" s="43">
        <f>IF($I2285=0,0,MIN(SUMIFS(SondBetrag,SondDarl,5,SondDatum,"&gt;="&amp;$E2285,SondDatum,"&lt;="&amp;EOMONTH($E2285,0)),$J2285-$M2285))</f>
      </c>
      <c r="O2285" s="43">
        <f>IF($I2285=0,0,INDEX(DarlErsatzRate,5))</f>
      </c>
      <c r="P2285" s="43">
        <f>IF($I2285=0,0,$Q2284*INDEX(DarlErsatzZins,5))</f>
      </c>
      <c r="Q2285" s="43">
        <f>IF($I2285=0,0,$Q2284+$P2285+$O2285)</f>
      </c>
      <c r="R2285" s="43">
        <f>IF($I2285=0,0,$J2285-$M2285-$N2285)</f>
      </c>
    </row>
    <row r="2286">
      <c r="A2286"/>
      <c r="B2286">
        <v>5</v>
      </c>
      <c r="C2286" s="43">
        <f>INDEX(DarlObj,5)</f>
      </c>
      <c r="D2286">
        <v>363</v>
      </c>
      <c r="E2286" s="51">
        <f>IF(INDEX(DarlBelegt,5)=0,0,EOMONTH(INDEX(DarlAuszahlung,5),362)+1)</f>
      </c>
      <c r="F2286" s="43">
        <f>IF($E2286=0,0,YEAR($E2286))</f>
      </c>
      <c r="G2286" s="43">
        <f>IF(INDEX(DarlBindung,5)="",1,IF($E2286&lt;=INDEX(DarlBindung,5),1,0))</f>
      </c>
      <c r="H2286" s="43">
        <f>IF($G2286=1,INDEX(DarlSollzins,5),INDEX(DarlAnschluss,5))</f>
      </c>
      <c r="I2286" s="43">
        <f>IF(INDEX(DarlBelegt,5)=0,0,IF(INDEX(DarlOhneTilgung,5)=1,IF(INDEX(DarlBindung,5)="",1,$G2286),IF($J2286&gt;0.005,1,0)))</f>
      </c>
      <c r="J2286" s="43">
        <f>IF($I2285=0,0,$R2285)</f>
      </c>
      <c r="K2286" s="43">
        <f>IF($I2286=0,0,IF(INDEX(DarlOhneTilgung,5)=1,0,IF(AND(INDEX(DarlTilgStart,5)&gt;0,$E2286=INDEX(DarlTilgStart,5)),$J2286*($H2286+INDEX(DarlTilgung,5))/100/12,IF(AND($G2286=0,$G2285=1),MAX($K2285,$J2286*($H2286+1)/100/12),$K2285))))</f>
      </c>
      <c r="L2286" s="43">
        <f>IF($I2286=0,0,$J2286*$H2286/100/12)</f>
      </c>
      <c r="M2286" s="43">
        <f>IF($I2286=0,0,IF(OR(INDEX(DarlOhneTilgung,5)=1,AND(INDEX(DarlTilgStart,5)&gt;0,$E2286&lt;INDEX(DarlTilgStart,5))),0,MIN(MAX(0,$K2286-$L2286),$J2286)))</f>
      </c>
      <c r="N2286" s="43">
        <f>IF($I2286=0,0,MIN(SUMIFS(SondBetrag,SondDarl,5,SondDatum,"&gt;="&amp;$E2286,SondDatum,"&lt;="&amp;EOMONTH($E2286,0)),$J2286-$M2286))</f>
      </c>
      <c r="O2286" s="43">
        <f>IF($I2286=0,0,INDEX(DarlErsatzRate,5))</f>
      </c>
      <c r="P2286" s="43">
        <f>IF($I2286=0,0,$Q2285*INDEX(DarlErsatzZins,5))</f>
      </c>
      <c r="Q2286" s="43">
        <f>IF($I2286=0,0,$Q2285+$P2286+$O2286)</f>
      </c>
      <c r="R2286" s="43">
        <f>IF($I2286=0,0,$J2286-$M2286-$N2286)</f>
      </c>
    </row>
    <row r="2287">
      <c r="A2287"/>
      <c r="B2287">
        <v>5</v>
      </c>
      <c r="C2287" s="43">
        <f>INDEX(DarlObj,5)</f>
      </c>
      <c r="D2287">
        <v>364</v>
      </c>
      <c r="E2287" s="51">
        <f>IF(INDEX(DarlBelegt,5)=0,0,EOMONTH(INDEX(DarlAuszahlung,5),363)+1)</f>
      </c>
      <c r="F2287" s="43">
        <f>IF($E2287=0,0,YEAR($E2287))</f>
      </c>
      <c r="G2287" s="43">
        <f>IF(INDEX(DarlBindung,5)="",1,IF($E2287&lt;=INDEX(DarlBindung,5),1,0))</f>
      </c>
      <c r="H2287" s="43">
        <f>IF($G2287=1,INDEX(DarlSollzins,5),INDEX(DarlAnschluss,5))</f>
      </c>
      <c r="I2287" s="43">
        <f>IF(INDEX(DarlBelegt,5)=0,0,IF(INDEX(DarlOhneTilgung,5)=1,IF(INDEX(DarlBindung,5)="",1,$G2287),IF($J2287&gt;0.005,1,0)))</f>
      </c>
      <c r="J2287" s="43">
        <f>IF($I2286=0,0,$R2286)</f>
      </c>
      <c r="K2287" s="43">
        <f>IF($I2287=0,0,IF(INDEX(DarlOhneTilgung,5)=1,0,IF(AND(INDEX(DarlTilgStart,5)&gt;0,$E2287=INDEX(DarlTilgStart,5)),$J2287*($H2287+INDEX(DarlTilgung,5))/100/12,IF(AND($G2287=0,$G2286=1),MAX($K2286,$J2287*($H2287+1)/100/12),$K2286))))</f>
      </c>
      <c r="L2287" s="43">
        <f>IF($I2287=0,0,$J2287*$H2287/100/12)</f>
      </c>
      <c r="M2287" s="43">
        <f>IF($I2287=0,0,IF(OR(INDEX(DarlOhneTilgung,5)=1,AND(INDEX(DarlTilgStart,5)&gt;0,$E2287&lt;INDEX(DarlTilgStart,5))),0,MIN(MAX(0,$K2287-$L2287),$J2287)))</f>
      </c>
      <c r="N2287" s="43">
        <f>IF($I2287=0,0,MIN(SUMIFS(SondBetrag,SondDarl,5,SondDatum,"&gt;="&amp;$E2287,SondDatum,"&lt;="&amp;EOMONTH($E2287,0)),$J2287-$M2287))</f>
      </c>
      <c r="O2287" s="43">
        <f>IF($I2287=0,0,INDEX(DarlErsatzRate,5))</f>
      </c>
      <c r="P2287" s="43">
        <f>IF($I2287=0,0,$Q2286*INDEX(DarlErsatzZins,5))</f>
      </c>
      <c r="Q2287" s="43">
        <f>IF($I2287=0,0,$Q2286+$P2287+$O2287)</f>
      </c>
      <c r="R2287" s="43">
        <f>IF($I2287=0,0,$J2287-$M2287-$N2287)</f>
      </c>
    </row>
    <row r="2288">
      <c r="A2288"/>
      <c r="B2288">
        <v>5</v>
      </c>
      <c r="C2288" s="43">
        <f>INDEX(DarlObj,5)</f>
      </c>
      <c r="D2288">
        <v>365</v>
      </c>
      <c r="E2288" s="51">
        <f>IF(INDEX(DarlBelegt,5)=0,0,EOMONTH(INDEX(DarlAuszahlung,5),364)+1)</f>
      </c>
      <c r="F2288" s="43">
        <f>IF($E2288=0,0,YEAR($E2288))</f>
      </c>
      <c r="G2288" s="43">
        <f>IF(INDEX(DarlBindung,5)="",1,IF($E2288&lt;=INDEX(DarlBindung,5),1,0))</f>
      </c>
      <c r="H2288" s="43">
        <f>IF($G2288=1,INDEX(DarlSollzins,5),INDEX(DarlAnschluss,5))</f>
      </c>
      <c r="I2288" s="43">
        <f>IF(INDEX(DarlBelegt,5)=0,0,IF(INDEX(DarlOhneTilgung,5)=1,IF(INDEX(DarlBindung,5)="",1,$G2288),IF($J2288&gt;0.005,1,0)))</f>
      </c>
      <c r="J2288" s="43">
        <f>IF($I2287=0,0,$R2287)</f>
      </c>
      <c r="K2288" s="43">
        <f>IF($I2288=0,0,IF(INDEX(DarlOhneTilgung,5)=1,0,IF(AND(INDEX(DarlTilgStart,5)&gt;0,$E2288=INDEX(DarlTilgStart,5)),$J2288*($H2288+INDEX(DarlTilgung,5))/100/12,IF(AND($G2288=0,$G2287=1),MAX($K2287,$J2288*($H2288+1)/100/12),$K2287))))</f>
      </c>
      <c r="L2288" s="43">
        <f>IF($I2288=0,0,$J2288*$H2288/100/12)</f>
      </c>
      <c r="M2288" s="43">
        <f>IF($I2288=0,0,IF(OR(INDEX(DarlOhneTilgung,5)=1,AND(INDEX(DarlTilgStart,5)&gt;0,$E2288&lt;INDEX(DarlTilgStart,5))),0,MIN(MAX(0,$K2288-$L2288),$J2288)))</f>
      </c>
      <c r="N2288" s="43">
        <f>IF($I2288=0,0,MIN(SUMIFS(SondBetrag,SondDarl,5,SondDatum,"&gt;="&amp;$E2288,SondDatum,"&lt;="&amp;EOMONTH($E2288,0)),$J2288-$M2288))</f>
      </c>
      <c r="O2288" s="43">
        <f>IF($I2288=0,0,INDEX(DarlErsatzRate,5))</f>
      </c>
      <c r="P2288" s="43">
        <f>IF($I2288=0,0,$Q2287*INDEX(DarlErsatzZins,5))</f>
      </c>
      <c r="Q2288" s="43">
        <f>IF($I2288=0,0,$Q2287+$P2288+$O2288)</f>
      </c>
      <c r="R2288" s="43">
        <f>IF($I2288=0,0,$J2288-$M2288-$N2288)</f>
      </c>
    </row>
    <row r="2289">
      <c r="A2289"/>
      <c r="B2289">
        <v>5</v>
      </c>
      <c r="C2289" s="43">
        <f>INDEX(DarlObj,5)</f>
      </c>
      <c r="D2289">
        <v>366</v>
      </c>
      <c r="E2289" s="51">
        <f>IF(INDEX(DarlBelegt,5)=0,0,EOMONTH(INDEX(DarlAuszahlung,5),365)+1)</f>
      </c>
      <c r="F2289" s="43">
        <f>IF($E2289=0,0,YEAR($E2289))</f>
      </c>
      <c r="G2289" s="43">
        <f>IF(INDEX(DarlBindung,5)="",1,IF($E2289&lt;=INDEX(DarlBindung,5),1,0))</f>
      </c>
      <c r="H2289" s="43">
        <f>IF($G2289=1,INDEX(DarlSollzins,5),INDEX(DarlAnschluss,5))</f>
      </c>
      <c r="I2289" s="43">
        <f>IF(INDEX(DarlBelegt,5)=0,0,IF(INDEX(DarlOhneTilgung,5)=1,IF(INDEX(DarlBindung,5)="",1,$G2289),IF($J2289&gt;0.005,1,0)))</f>
      </c>
      <c r="J2289" s="43">
        <f>IF($I2288=0,0,$R2288)</f>
      </c>
      <c r="K2289" s="43">
        <f>IF($I2289=0,0,IF(INDEX(DarlOhneTilgung,5)=1,0,IF(AND(INDEX(DarlTilgStart,5)&gt;0,$E2289=INDEX(DarlTilgStart,5)),$J2289*($H2289+INDEX(DarlTilgung,5))/100/12,IF(AND($G2289=0,$G2288=1),MAX($K2288,$J2289*($H2289+1)/100/12),$K2288))))</f>
      </c>
      <c r="L2289" s="43">
        <f>IF($I2289=0,0,$J2289*$H2289/100/12)</f>
      </c>
      <c r="M2289" s="43">
        <f>IF($I2289=0,0,IF(OR(INDEX(DarlOhneTilgung,5)=1,AND(INDEX(DarlTilgStart,5)&gt;0,$E2289&lt;INDEX(DarlTilgStart,5))),0,MIN(MAX(0,$K2289-$L2289),$J2289)))</f>
      </c>
      <c r="N2289" s="43">
        <f>IF($I2289=0,0,MIN(SUMIFS(SondBetrag,SondDarl,5,SondDatum,"&gt;="&amp;$E2289,SondDatum,"&lt;="&amp;EOMONTH($E2289,0)),$J2289-$M2289))</f>
      </c>
      <c r="O2289" s="43">
        <f>IF($I2289=0,0,INDEX(DarlErsatzRate,5))</f>
      </c>
      <c r="P2289" s="43">
        <f>IF($I2289=0,0,$Q2288*INDEX(DarlErsatzZins,5))</f>
      </c>
      <c r="Q2289" s="43">
        <f>IF($I2289=0,0,$Q2288+$P2289+$O2289)</f>
      </c>
      <c r="R2289" s="43">
        <f>IF($I2289=0,0,$J2289-$M2289-$N2289)</f>
      </c>
    </row>
    <row r="2290">
      <c r="A2290"/>
      <c r="B2290">
        <v>5</v>
      </c>
      <c r="C2290" s="43">
        <f>INDEX(DarlObj,5)</f>
      </c>
      <c r="D2290">
        <v>367</v>
      </c>
      <c r="E2290" s="51">
        <f>IF(INDEX(DarlBelegt,5)=0,0,EOMONTH(INDEX(DarlAuszahlung,5),366)+1)</f>
      </c>
      <c r="F2290" s="43">
        <f>IF($E2290=0,0,YEAR($E2290))</f>
      </c>
      <c r="G2290" s="43">
        <f>IF(INDEX(DarlBindung,5)="",1,IF($E2290&lt;=INDEX(DarlBindung,5),1,0))</f>
      </c>
      <c r="H2290" s="43">
        <f>IF($G2290=1,INDEX(DarlSollzins,5),INDEX(DarlAnschluss,5))</f>
      </c>
      <c r="I2290" s="43">
        <f>IF(INDEX(DarlBelegt,5)=0,0,IF(INDEX(DarlOhneTilgung,5)=1,IF(INDEX(DarlBindung,5)="",1,$G2290),IF($J2290&gt;0.005,1,0)))</f>
      </c>
      <c r="J2290" s="43">
        <f>IF($I2289=0,0,$R2289)</f>
      </c>
      <c r="K2290" s="43">
        <f>IF($I2290=0,0,IF(INDEX(DarlOhneTilgung,5)=1,0,IF(AND(INDEX(DarlTilgStart,5)&gt;0,$E2290=INDEX(DarlTilgStart,5)),$J2290*($H2290+INDEX(DarlTilgung,5))/100/12,IF(AND($G2290=0,$G2289=1),MAX($K2289,$J2290*($H2290+1)/100/12),$K2289))))</f>
      </c>
      <c r="L2290" s="43">
        <f>IF($I2290=0,0,$J2290*$H2290/100/12)</f>
      </c>
      <c r="M2290" s="43">
        <f>IF($I2290=0,0,IF(OR(INDEX(DarlOhneTilgung,5)=1,AND(INDEX(DarlTilgStart,5)&gt;0,$E2290&lt;INDEX(DarlTilgStart,5))),0,MIN(MAX(0,$K2290-$L2290),$J2290)))</f>
      </c>
      <c r="N2290" s="43">
        <f>IF($I2290=0,0,MIN(SUMIFS(SondBetrag,SondDarl,5,SondDatum,"&gt;="&amp;$E2290,SondDatum,"&lt;="&amp;EOMONTH($E2290,0)),$J2290-$M2290))</f>
      </c>
      <c r="O2290" s="43">
        <f>IF($I2290=0,0,INDEX(DarlErsatzRate,5))</f>
      </c>
      <c r="P2290" s="43">
        <f>IF($I2290=0,0,$Q2289*INDEX(DarlErsatzZins,5))</f>
      </c>
      <c r="Q2290" s="43">
        <f>IF($I2290=0,0,$Q2289+$P2290+$O2290)</f>
      </c>
      <c r="R2290" s="43">
        <f>IF($I2290=0,0,$J2290-$M2290-$N2290)</f>
      </c>
    </row>
    <row r="2291">
      <c r="A2291"/>
      <c r="B2291">
        <v>5</v>
      </c>
      <c r="C2291" s="43">
        <f>INDEX(DarlObj,5)</f>
      </c>
      <c r="D2291">
        <v>368</v>
      </c>
      <c r="E2291" s="51">
        <f>IF(INDEX(DarlBelegt,5)=0,0,EOMONTH(INDEX(DarlAuszahlung,5),367)+1)</f>
      </c>
      <c r="F2291" s="43">
        <f>IF($E2291=0,0,YEAR($E2291))</f>
      </c>
      <c r="G2291" s="43">
        <f>IF(INDEX(DarlBindung,5)="",1,IF($E2291&lt;=INDEX(DarlBindung,5),1,0))</f>
      </c>
      <c r="H2291" s="43">
        <f>IF($G2291=1,INDEX(DarlSollzins,5),INDEX(DarlAnschluss,5))</f>
      </c>
      <c r="I2291" s="43">
        <f>IF(INDEX(DarlBelegt,5)=0,0,IF(INDEX(DarlOhneTilgung,5)=1,IF(INDEX(DarlBindung,5)="",1,$G2291),IF($J2291&gt;0.005,1,0)))</f>
      </c>
      <c r="J2291" s="43">
        <f>IF($I2290=0,0,$R2290)</f>
      </c>
      <c r="K2291" s="43">
        <f>IF($I2291=0,0,IF(INDEX(DarlOhneTilgung,5)=1,0,IF(AND(INDEX(DarlTilgStart,5)&gt;0,$E2291=INDEX(DarlTilgStart,5)),$J2291*($H2291+INDEX(DarlTilgung,5))/100/12,IF(AND($G2291=0,$G2290=1),MAX($K2290,$J2291*($H2291+1)/100/12),$K2290))))</f>
      </c>
      <c r="L2291" s="43">
        <f>IF($I2291=0,0,$J2291*$H2291/100/12)</f>
      </c>
      <c r="M2291" s="43">
        <f>IF($I2291=0,0,IF(OR(INDEX(DarlOhneTilgung,5)=1,AND(INDEX(DarlTilgStart,5)&gt;0,$E2291&lt;INDEX(DarlTilgStart,5))),0,MIN(MAX(0,$K2291-$L2291),$J2291)))</f>
      </c>
      <c r="N2291" s="43">
        <f>IF($I2291=0,0,MIN(SUMIFS(SondBetrag,SondDarl,5,SondDatum,"&gt;="&amp;$E2291,SondDatum,"&lt;="&amp;EOMONTH($E2291,0)),$J2291-$M2291))</f>
      </c>
      <c r="O2291" s="43">
        <f>IF($I2291=0,0,INDEX(DarlErsatzRate,5))</f>
      </c>
      <c r="P2291" s="43">
        <f>IF($I2291=0,0,$Q2290*INDEX(DarlErsatzZins,5))</f>
      </c>
      <c r="Q2291" s="43">
        <f>IF($I2291=0,0,$Q2290+$P2291+$O2291)</f>
      </c>
      <c r="R2291" s="43">
        <f>IF($I2291=0,0,$J2291-$M2291-$N2291)</f>
      </c>
    </row>
    <row r="2292">
      <c r="A2292"/>
      <c r="B2292">
        <v>5</v>
      </c>
      <c r="C2292" s="43">
        <f>INDEX(DarlObj,5)</f>
      </c>
      <c r="D2292">
        <v>369</v>
      </c>
      <c r="E2292" s="51">
        <f>IF(INDEX(DarlBelegt,5)=0,0,EOMONTH(INDEX(DarlAuszahlung,5),368)+1)</f>
      </c>
      <c r="F2292" s="43">
        <f>IF($E2292=0,0,YEAR($E2292))</f>
      </c>
      <c r="G2292" s="43">
        <f>IF(INDEX(DarlBindung,5)="",1,IF($E2292&lt;=INDEX(DarlBindung,5),1,0))</f>
      </c>
      <c r="H2292" s="43">
        <f>IF($G2292=1,INDEX(DarlSollzins,5),INDEX(DarlAnschluss,5))</f>
      </c>
      <c r="I2292" s="43">
        <f>IF(INDEX(DarlBelegt,5)=0,0,IF(INDEX(DarlOhneTilgung,5)=1,IF(INDEX(DarlBindung,5)="",1,$G2292),IF($J2292&gt;0.005,1,0)))</f>
      </c>
      <c r="J2292" s="43">
        <f>IF($I2291=0,0,$R2291)</f>
      </c>
      <c r="K2292" s="43">
        <f>IF($I2292=0,0,IF(INDEX(DarlOhneTilgung,5)=1,0,IF(AND(INDEX(DarlTilgStart,5)&gt;0,$E2292=INDEX(DarlTilgStart,5)),$J2292*($H2292+INDEX(DarlTilgung,5))/100/12,IF(AND($G2292=0,$G2291=1),MAX($K2291,$J2292*($H2292+1)/100/12),$K2291))))</f>
      </c>
      <c r="L2292" s="43">
        <f>IF($I2292=0,0,$J2292*$H2292/100/12)</f>
      </c>
      <c r="M2292" s="43">
        <f>IF($I2292=0,0,IF(OR(INDEX(DarlOhneTilgung,5)=1,AND(INDEX(DarlTilgStart,5)&gt;0,$E2292&lt;INDEX(DarlTilgStart,5))),0,MIN(MAX(0,$K2292-$L2292),$J2292)))</f>
      </c>
      <c r="N2292" s="43">
        <f>IF($I2292=0,0,MIN(SUMIFS(SondBetrag,SondDarl,5,SondDatum,"&gt;="&amp;$E2292,SondDatum,"&lt;="&amp;EOMONTH($E2292,0)),$J2292-$M2292))</f>
      </c>
      <c r="O2292" s="43">
        <f>IF($I2292=0,0,INDEX(DarlErsatzRate,5))</f>
      </c>
      <c r="P2292" s="43">
        <f>IF($I2292=0,0,$Q2291*INDEX(DarlErsatzZins,5))</f>
      </c>
      <c r="Q2292" s="43">
        <f>IF($I2292=0,0,$Q2291+$P2292+$O2292)</f>
      </c>
      <c r="R2292" s="43">
        <f>IF($I2292=0,0,$J2292-$M2292-$N2292)</f>
      </c>
    </row>
    <row r="2293">
      <c r="A2293"/>
      <c r="B2293">
        <v>5</v>
      </c>
      <c r="C2293" s="43">
        <f>INDEX(DarlObj,5)</f>
      </c>
      <c r="D2293">
        <v>370</v>
      </c>
      <c r="E2293" s="51">
        <f>IF(INDEX(DarlBelegt,5)=0,0,EOMONTH(INDEX(DarlAuszahlung,5),369)+1)</f>
      </c>
      <c r="F2293" s="43">
        <f>IF($E2293=0,0,YEAR($E2293))</f>
      </c>
      <c r="G2293" s="43">
        <f>IF(INDEX(DarlBindung,5)="",1,IF($E2293&lt;=INDEX(DarlBindung,5),1,0))</f>
      </c>
      <c r="H2293" s="43">
        <f>IF($G2293=1,INDEX(DarlSollzins,5),INDEX(DarlAnschluss,5))</f>
      </c>
      <c r="I2293" s="43">
        <f>IF(INDEX(DarlBelegt,5)=0,0,IF(INDEX(DarlOhneTilgung,5)=1,IF(INDEX(DarlBindung,5)="",1,$G2293),IF($J2293&gt;0.005,1,0)))</f>
      </c>
      <c r="J2293" s="43">
        <f>IF($I2292=0,0,$R2292)</f>
      </c>
      <c r="K2293" s="43">
        <f>IF($I2293=0,0,IF(INDEX(DarlOhneTilgung,5)=1,0,IF(AND(INDEX(DarlTilgStart,5)&gt;0,$E2293=INDEX(DarlTilgStart,5)),$J2293*($H2293+INDEX(DarlTilgung,5))/100/12,IF(AND($G2293=0,$G2292=1),MAX($K2292,$J2293*($H2293+1)/100/12),$K2292))))</f>
      </c>
      <c r="L2293" s="43">
        <f>IF($I2293=0,0,$J2293*$H2293/100/12)</f>
      </c>
      <c r="M2293" s="43">
        <f>IF($I2293=0,0,IF(OR(INDEX(DarlOhneTilgung,5)=1,AND(INDEX(DarlTilgStart,5)&gt;0,$E2293&lt;INDEX(DarlTilgStart,5))),0,MIN(MAX(0,$K2293-$L2293),$J2293)))</f>
      </c>
      <c r="N2293" s="43">
        <f>IF($I2293=0,0,MIN(SUMIFS(SondBetrag,SondDarl,5,SondDatum,"&gt;="&amp;$E2293,SondDatum,"&lt;="&amp;EOMONTH($E2293,0)),$J2293-$M2293))</f>
      </c>
      <c r="O2293" s="43">
        <f>IF($I2293=0,0,INDEX(DarlErsatzRate,5))</f>
      </c>
      <c r="P2293" s="43">
        <f>IF($I2293=0,0,$Q2292*INDEX(DarlErsatzZins,5))</f>
      </c>
      <c r="Q2293" s="43">
        <f>IF($I2293=0,0,$Q2292+$P2293+$O2293)</f>
      </c>
      <c r="R2293" s="43">
        <f>IF($I2293=0,0,$J2293-$M2293-$N2293)</f>
      </c>
    </row>
    <row r="2294">
      <c r="A2294"/>
      <c r="B2294">
        <v>5</v>
      </c>
      <c r="C2294" s="43">
        <f>INDEX(DarlObj,5)</f>
      </c>
      <c r="D2294">
        <v>371</v>
      </c>
      <c r="E2294" s="51">
        <f>IF(INDEX(DarlBelegt,5)=0,0,EOMONTH(INDEX(DarlAuszahlung,5),370)+1)</f>
      </c>
      <c r="F2294" s="43">
        <f>IF($E2294=0,0,YEAR($E2294))</f>
      </c>
      <c r="G2294" s="43">
        <f>IF(INDEX(DarlBindung,5)="",1,IF($E2294&lt;=INDEX(DarlBindung,5),1,0))</f>
      </c>
      <c r="H2294" s="43">
        <f>IF($G2294=1,INDEX(DarlSollzins,5),INDEX(DarlAnschluss,5))</f>
      </c>
      <c r="I2294" s="43">
        <f>IF(INDEX(DarlBelegt,5)=0,0,IF(INDEX(DarlOhneTilgung,5)=1,IF(INDEX(DarlBindung,5)="",1,$G2294),IF($J2294&gt;0.005,1,0)))</f>
      </c>
      <c r="J2294" s="43">
        <f>IF($I2293=0,0,$R2293)</f>
      </c>
      <c r="K2294" s="43">
        <f>IF($I2294=0,0,IF(INDEX(DarlOhneTilgung,5)=1,0,IF(AND(INDEX(DarlTilgStart,5)&gt;0,$E2294=INDEX(DarlTilgStart,5)),$J2294*($H2294+INDEX(DarlTilgung,5))/100/12,IF(AND($G2294=0,$G2293=1),MAX($K2293,$J2294*($H2294+1)/100/12),$K2293))))</f>
      </c>
      <c r="L2294" s="43">
        <f>IF($I2294=0,0,$J2294*$H2294/100/12)</f>
      </c>
      <c r="M2294" s="43">
        <f>IF($I2294=0,0,IF(OR(INDEX(DarlOhneTilgung,5)=1,AND(INDEX(DarlTilgStart,5)&gt;0,$E2294&lt;INDEX(DarlTilgStart,5))),0,MIN(MAX(0,$K2294-$L2294),$J2294)))</f>
      </c>
      <c r="N2294" s="43">
        <f>IF($I2294=0,0,MIN(SUMIFS(SondBetrag,SondDarl,5,SondDatum,"&gt;="&amp;$E2294,SondDatum,"&lt;="&amp;EOMONTH($E2294,0)),$J2294-$M2294))</f>
      </c>
      <c r="O2294" s="43">
        <f>IF($I2294=0,0,INDEX(DarlErsatzRate,5))</f>
      </c>
      <c r="P2294" s="43">
        <f>IF($I2294=0,0,$Q2293*INDEX(DarlErsatzZins,5))</f>
      </c>
      <c r="Q2294" s="43">
        <f>IF($I2294=0,0,$Q2293+$P2294+$O2294)</f>
      </c>
      <c r="R2294" s="43">
        <f>IF($I2294=0,0,$J2294-$M2294-$N2294)</f>
      </c>
    </row>
    <row r="2295">
      <c r="A2295"/>
      <c r="B2295">
        <v>5</v>
      </c>
      <c r="C2295" s="43">
        <f>INDEX(DarlObj,5)</f>
      </c>
      <c r="D2295">
        <v>372</v>
      </c>
      <c r="E2295" s="51">
        <f>IF(INDEX(DarlBelegt,5)=0,0,EOMONTH(INDEX(DarlAuszahlung,5),371)+1)</f>
      </c>
      <c r="F2295" s="43">
        <f>IF($E2295=0,0,YEAR($E2295))</f>
      </c>
      <c r="G2295" s="43">
        <f>IF(INDEX(DarlBindung,5)="",1,IF($E2295&lt;=INDEX(DarlBindung,5),1,0))</f>
      </c>
      <c r="H2295" s="43">
        <f>IF($G2295=1,INDEX(DarlSollzins,5),INDEX(DarlAnschluss,5))</f>
      </c>
      <c r="I2295" s="43">
        <f>IF(INDEX(DarlBelegt,5)=0,0,IF(INDEX(DarlOhneTilgung,5)=1,IF(INDEX(DarlBindung,5)="",1,$G2295),IF($J2295&gt;0.005,1,0)))</f>
      </c>
      <c r="J2295" s="43">
        <f>IF($I2294=0,0,$R2294)</f>
      </c>
      <c r="K2295" s="43">
        <f>IF($I2295=0,0,IF(INDEX(DarlOhneTilgung,5)=1,0,IF(AND(INDEX(DarlTilgStart,5)&gt;0,$E2295=INDEX(DarlTilgStart,5)),$J2295*($H2295+INDEX(DarlTilgung,5))/100/12,IF(AND($G2295=0,$G2294=1),MAX($K2294,$J2295*($H2295+1)/100/12),$K2294))))</f>
      </c>
      <c r="L2295" s="43">
        <f>IF($I2295=0,0,$J2295*$H2295/100/12)</f>
      </c>
      <c r="M2295" s="43">
        <f>IF($I2295=0,0,IF(OR(INDEX(DarlOhneTilgung,5)=1,AND(INDEX(DarlTilgStart,5)&gt;0,$E2295&lt;INDEX(DarlTilgStart,5))),0,MIN(MAX(0,$K2295-$L2295),$J2295)))</f>
      </c>
      <c r="N2295" s="43">
        <f>IF($I2295=0,0,MIN(SUMIFS(SondBetrag,SondDarl,5,SondDatum,"&gt;="&amp;$E2295,SondDatum,"&lt;="&amp;EOMONTH($E2295,0)),$J2295-$M2295))</f>
      </c>
      <c r="O2295" s="43">
        <f>IF($I2295=0,0,INDEX(DarlErsatzRate,5))</f>
      </c>
      <c r="P2295" s="43">
        <f>IF($I2295=0,0,$Q2294*INDEX(DarlErsatzZins,5))</f>
      </c>
      <c r="Q2295" s="43">
        <f>IF($I2295=0,0,$Q2294+$P2295+$O2295)</f>
      </c>
      <c r="R2295" s="43">
        <f>IF($I2295=0,0,$J2295-$M2295-$N2295)</f>
      </c>
    </row>
    <row r="2296">
      <c r="A2296"/>
      <c r="B2296">
        <v>5</v>
      </c>
      <c r="C2296" s="43">
        <f>INDEX(DarlObj,5)</f>
      </c>
      <c r="D2296">
        <v>373</v>
      </c>
      <c r="E2296" s="51">
        <f>IF(INDEX(DarlBelegt,5)=0,0,EOMONTH(INDEX(DarlAuszahlung,5),372)+1)</f>
      </c>
      <c r="F2296" s="43">
        <f>IF($E2296=0,0,YEAR($E2296))</f>
      </c>
      <c r="G2296" s="43">
        <f>IF(INDEX(DarlBindung,5)="",1,IF($E2296&lt;=INDEX(DarlBindung,5),1,0))</f>
      </c>
      <c r="H2296" s="43">
        <f>IF($G2296=1,INDEX(DarlSollzins,5),INDEX(DarlAnschluss,5))</f>
      </c>
      <c r="I2296" s="43">
        <f>IF(INDEX(DarlBelegt,5)=0,0,IF(INDEX(DarlOhneTilgung,5)=1,IF(INDEX(DarlBindung,5)="",1,$G2296),IF($J2296&gt;0.005,1,0)))</f>
      </c>
      <c r="J2296" s="43">
        <f>IF($I2295=0,0,$R2295)</f>
      </c>
      <c r="K2296" s="43">
        <f>IF($I2296=0,0,IF(INDEX(DarlOhneTilgung,5)=1,0,IF(AND(INDEX(DarlTilgStart,5)&gt;0,$E2296=INDEX(DarlTilgStart,5)),$J2296*($H2296+INDEX(DarlTilgung,5))/100/12,IF(AND($G2296=0,$G2295=1),MAX($K2295,$J2296*($H2296+1)/100/12),$K2295))))</f>
      </c>
      <c r="L2296" s="43">
        <f>IF($I2296=0,0,$J2296*$H2296/100/12)</f>
      </c>
      <c r="M2296" s="43">
        <f>IF($I2296=0,0,IF(OR(INDEX(DarlOhneTilgung,5)=1,AND(INDEX(DarlTilgStart,5)&gt;0,$E2296&lt;INDEX(DarlTilgStart,5))),0,MIN(MAX(0,$K2296-$L2296),$J2296)))</f>
      </c>
      <c r="N2296" s="43">
        <f>IF($I2296=0,0,MIN(SUMIFS(SondBetrag,SondDarl,5,SondDatum,"&gt;="&amp;$E2296,SondDatum,"&lt;="&amp;EOMONTH($E2296,0)),$J2296-$M2296))</f>
      </c>
      <c r="O2296" s="43">
        <f>IF($I2296=0,0,INDEX(DarlErsatzRate,5))</f>
      </c>
      <c r="P2296" s="43">
        <f>IF($I2296=0,0,$Q2295*INDEX(DarlErsatzZins,5))</f>
      </c>
      <c r="Q2296" s="43">
        <f>IF($I2296=0,0,$Q2295+$P2296+$O2296)</f>
      </c>
      <c r="R2296" s="43">
        <f>IF($I2296=0,0,$J2296-$M2296-$N2296)</f>
      </c>
    </row>
    <row r="2297">
      <c r="A2297"/>
      <c r="B2297">
        <v>5</v>
      </c>
      <c r="C2297" s="43">
        <f>INDEX(DarlObj,5)</f>
      </c>
      <c r="D2297">
        <v>374</v>
      </c>
      <c r="E2297" s="51">
        <f>IF(INDEX(DarlBelegt,5)=0,0,EOMONTH(INDEX(DarlAuszahlung,5),373)+1)</f>
      </c>
      <c r="F2297" s="43">
        <f>IF($E2297=0,0,YEAR($E2297))</f>
      </c>
      <c r="G2297" s="43">
        <f>IF(INDEX(DarlBindung,5)="",1,IF($E2297&lt;=INDEX(DarlBindung,5),1,0))</f>
      </c>
      <c r="H2297" s="43">
        <f>IF($G2297=1,INDEX(DarlSollzins,5),INDEX(DarlAnschluss,5))</f>
      </c>
      <c r="I2297" s="43">
        <f>IF(INDEX(DarlBelegt,5)=0,0,IF(INDEX(DarlOhneTilgung,5)=1,IF(INDEX(DarlBindung,5)="",1,$G2297),IF($J2297&gt;0.005,1,0)))</f>
      </c>
      <c r="J2297" s="43">
        <f>IF($I2296=0,0,$R2296)</f>
      </c>
      <c r="K2297" s="43">
        <f>IF($I2297=0,0,IF(INDEX(DarlOhneTilgung,5)=1,0,IF(AND(INDEX(DarlTilgStart,5)&gt;0,$E2297=INDEX(DarlTilgStart,5)),$J2297*($H2297+INDEX(DarlTilgung,5))/100/12,IF(AND($G2297=0,$G2296=1),MAX($K2296,$J2297*($H2297+1)/100/12),$K2296))))</f>
      </c>
      <c r="L2297" s="43">
        <f>IF($I2297=0,0,$J2297*$H2297/100/12)</f>
      </c>
      <c r="M2297" s="43">
        <f>IF($I2297=0,0,IF(OR(INDEX(DarlOhneTilgung,5)=1,AND(INDEX(DarlTilgStart,5)&gt;0,$E2297&lt;INDEX(DarlTilgStart,5))),0,MIN(MAX(0,$K2297-$L2297),$J2297)))</f>
      </c>
      <c r="N2297" s="43">
        <f>IF($I2297=0,0,MIN(SUMIFS(SondBetrag,SondDarl,5,SondDatum,"&gt;="&amp;$E2297,SondDatum,"&lt;="&amp;EOMONTH($E2297,0)),$J2297-$M2297))</f>
      </c>
      <c r="O2297" s="43">
        <f>IF($I2297=0,0,INDEX(DarlErsatzRate,5))</f>
      </c>
      <c r="P2297" s="43">
        <f>IF($I2297=0,0,$Q2296*INDEX(DarlErsatzZins,5))</f>
      </c>
      <c r="Q2297" s="43">
        <f>IF($I2297=0,0,$Q2296+$P2297+$O2297)</f>
      </c>
      <c r="R2297" s="43">
        <f>IF($I2297=0,0,$J2297-$M2297-$N2297)</f>
      </c>
    </row>
    <row r="2298">
      <c r="A2298"/>
      <c r="B2298">
        <v>5</v>
      </c>
      <c r="C2298" s="43">
        <f>INDEX(DarlObj,5)</f>
      </c>
      <c r="D2298">
        <v>375</v>
      </c>
      <c r="E2298" s="51">
        <f>IF(INDEX(DarlBelegt,5)=0,0,EOMONTH(INDEX(DarlAuszahlung,5),374)+1)</f>
      </c>
      <c r="F2298" s="43">
        <f>IF($E2298=0,0,YEAR($E2298))</f>
      </c>
      <c r="G2298" s="43">
        <f>IF(INDEX(DarlBindung,5)="",1,IF($E2298&lt;=INDEX(DarlBindung,5),1,0))</f>
      </c>
      <c r="H2298" s="43">
        <f>IF($G2298=1,INDEX(DarlSollzins,5),INDEX(DarlAnschluss,5))</f>
      </c>
      <c r="I2298" s="43">
        <f>IF(INDEX(DarlBelegt,5)=0,0,IF(INDEX(DarlOhneTilgung,5)=1,IF(INDEX(DarlBindung,5)="",1,$G2298),IF($J2298&gt;0.005,1,0)))</f>
      </c>
      <c r="J2298" s="43">
        <f>IF($I2297=0,0,$R2297)</f>
      </c>
      <c r="K2298" s="43">
        <f>IF($I2298=0,0,IF(INDEX(DarlOhneTilgung,5)=1,0,IF(AND(INDEX(DarlTilgStart,5)&gt;0,$E2298=INDEX(DarlTilgStart,5)),$J2298*($H2298+INDEX(DarlTilgung,5))/100/12,IF(AND($G2298=0,$G2297=1),MAX($K2297,$J2298*($H2298+1)/100/12),$K2297))))</f>
      </c>
      <c r="L2298" s="43">
        <f>IF($I2298=0,0,$J2298*$H2298/100/12)</f>
      </c>
      <c r="M2298" s="43">
        <f>IF($I2298=0,0,IF(OR(INDEX(DarlOhneTilgung,5)=1,AND(INDEX(DarlTilgStart,5)&gt;0,$E2298&lt;INDEX(DarlTilgStart,5))),0,MIN(MAX(0,$K2298-$L2298),$J2298)))</f>
      </c>
      <c r="N2298" s="43">
        <f>IF($I2298=0,0,MIN(SUMIFS(SondBetrag,SondDarl,5,SondDatum,"&gt;="&amp;$E2298,SondDatum,"&lt;="&amp;EOMONTH($E2298,0)),$J2298-$M2298))</f>
      </c>
      <c r="O2298" s="43">
        <f>IF($I2298=0,0,INDEX(DarlErsatzRate,5))</f>
      </c>
      <c r="P2298" s="43">
        <f>IF($I2298=0,0,$Q2297*INDEX(DarlErsatzZins,5))</f>
      </c>
      <c r="Q2298" s="43">
        <f>IF($I2298=0,0,$Q2297+$P2298+$O2298)</f>
      </c>
      <c r="R2298" s="43">
        <f>IF($I2298=0,0,$J2298-$M2298-$N2298)</f>
      </c>
    </row>
    <row r="2299">
      <c r="A2299"/>
      <c r="B2299">
        <v>5</v>
      </c>
      <c r="C2299" s="43">
        <f>INDEX(DarlObj,5)</f>
      </c>
      <c r="D2299">
        <v>376</v>
      </c>
      <c r="E2299" s="51">
        <f>IF(INDEX(DarlBelegt,5)=0,0,EOMONTH(INDEX(DarlAuszahlung,5),375)+1)</f>
      </c>
      <c r="F2299" s="43">
        <f>IF($E2299=0,0,YEAR($E2299))</f>
      </c>
      <c r="G2299" s="43">
        <f>IF(INDEX(DarlBindung,5)="",1,IF($E2299&lt;=INDEX(DarlBindung,5),1,0))</f>
      </c>
      <c r="H2299" s="43">
        <f>IF($G2299=1,INDEX(DarlSollzins,5),INDEX(DarlAnschluss,5))</f>
      </c>
      <c r="I2299" s="43">
        <f>IF(INDEX(DarlBelegt,5)=0,0,IF(INDEX(DarlOhneTilgung,5)=1,IF(INDEX(DarlBindung,5)="",1,$G2299),IF($J2299&gt;0.005,1,0)))</f>
      </c>
      <c r="J2299" s="43">
        <f>IF($I2298=0,0,$R2298)</f>
      </c>
      <c r="K2299" s="43">
        <f>IF($I2299=0,0,IF(INDEX(DarlOhneTilgung,5)=1,0,IF(AND(INDEX(DarlTilgStart,5)&gt;0,$E2299=INDEX(DarlTilgStart,5)),$J2299*($H2299+INDEX(DarlTilgung,5))/100/12,IF(AND($G2299=0,$G2298=1),MAX($K2298,$J2299*($H2299+1)/100/12),$K2298))))</f>
      </c>
      <c r="L2299" s="43">
        <f>IF($I2299=0,0,$J2299*$H2299/100/12)</f>
      </c>
      <c r="M2299" s="43">
        <f>IF($I2299=0,0,IF(OR(INDEX(DarlOhneTilgung,5)=1,AND(INDEX(DarlTilgStart,5)&gt;0,$E2299&lt;INDEX(DarlTilgStart,5))),0,MIN(MAX(0,$K2299-$L2299),$J2299)))</f>
      </c>
      <c r="N2299" s="43">
        <f>IF($I2299=0,0,MIN(SUMIFS(SondBetrag,SondDarl,5,SondDatum,"&gt;="&amp;$E2299,SondDatum,"&lt;="&amp;EOMONTH($E2299,0)),$J2299-$M2299))</f>
      </c>
      <c r="O2299" s="43">
        <f>IF($I2299=0,0,INDEX(DarlErsatzRate,5))</f>
      </c>
      <c r="P2299" s="43">
        <f>IF($I2299=0,0,$Q2298*INDEX(DarlErsatzZins,5))</f>
      </c>
      <c r="Q2299" s="43">
        <f>IF($I2299=0,0,$Q2298+$P2299+$O2299)</f>
      </c>
      <c r="R2299" s="43">
        <f>IF($I2299=0,0,$J2299-$M2299-$N2299)</f>
      </c>
    </row>
    <row r="2300">
      <c r="A2300"/>
      <c r="B2300">
        <v>5</v>
      </c>
      <c r="C2300" s="43">
        <f>INDEX(DarlObj,5)</f>
      </c>
      <c r="D2300">
        <v>377</v>
      </c>
      <c r="E2300" s="51">
        <f>IF(INDEX(DarlBelegt,5)=0,0,EOMONTH(INDEX(DarlAuszahlung,5),376)+1)</f>
      </c>
      <c r="F2300" s="43">
        <f>IF($E2300=0,0,YEAR($E2300))</f>
      </c>
      <c r="G2300" s="43">
        <f>IF(INDEX(DarlBindung,5)="",1,IF($E2300&lt;=INDEX(DarlBindung,5),1,0))</f>
      </c>
      <c r="H2300" s="43">
        <f>IF($G2300=1,INDEX(DarlSollzins,5),INDEX(DarlAnschluss,5))</f>
      </c>
      <c r="I2300" s="43">
        <f>IF(INDEX(DarlBelegt,5)=0,0,IF(INDEX(DarlOhneTilgung,5)=1,IF(INDEX(DarlBindung,5)="",1,$G2300),IF($J2300&gt;0.005,1,0)))</f>
      </c>
      <c r="J2300" s="43">
        <f>IF($I2299=0,0,$R2299)</f>
      </c>
      <c r="K2300" s="43">
        <f>IF($I2300=0,0,IF(INDEX(DarlOhneTilgung,5)=1,0,IF(AND(INDEX(DarlTilgStart,5)&gt;0,$E2300=INDEX(DarlTilgStart,5)),$J2300*($H2300+INDEX(DarlTilgung,5))/100/12,IF(AND($G2300=0,$G2299=1),MAX($K2299,$J2300*($H2300+1)/100/12),$K2299))))</f>
      </c>
      <c r="L2300" s="43">
        <f>IF($I2300=0,0,$J2300*$H2300/100/12)</f>
      </c>
      <c r="M2300" s="43">
        <f>IF($I2300=0,0,IF(OR(INDEX(DarlOhneTilgung,5)=1,AND(INDEX(DarlTilgStart,5)&gt;0,$E2300&lt;INDEX(DarlTilgStart,5))),0,MIN(MAX(0,$K2300-$L2300),$J2300)))</f>
      </c>
      <c r="N2300" s="43">
        <f>IF($I2300=0,0,MIN(SUMIFS(SondBetrag,SondDarl,5,SondDatum,"&gt;="&amp;$E2300,SondDatum,"&lt;="&amp;EOMONTH($E2300,0)),$J2300-$M2300))</f>
      </c>
      <c r="O2300" s="43">
        <f>IF($I2300=0,0,INDEX(DarlErsatzRate,5))</f>
      </c>
      <c r="P2300" s="43">
        <f>IF($I2300=0,0,$Q2299*INDEX(DarlErsatzZins,5))</f>
      </c>
      <c r="Q2300" s="43">
        <f>IF($I2300=0,0,$Q2299+$P2300+$O2300)</f>
      </c>
      <c r="R2300" s="43">
        <f>IF($I2300=0,0,$J2300-$M2300-$N2300)</f>
      </c>
    </row>
    <row r="2301">
      <c r="A2301"/>
      <c r="B2301">
        <v>5</v>
      </c>
      <c r="C2301" s="43">
        <f>INDEX(DarlObj,5)</f>
      </c>
      <c r="D2301">
        <v>378</v>
      </c>
      <c r="E2301" s="51">
        <f>IF(INDEX(DarlBelegt,5)=0,0,EOMONTH(INDEX(DarlAuszahlung,5),377)+1)</f>
      </c>
      <c r="F2301" s="43">
        <f>IF($E2301=0,0,YEAR($E2301))</f>
      </c>
      <c r="G2301" s="43">
        <f>IF(INDEX(DarlBindung,5)="",1,IF($E2301&lt;=INDEX(DarlBindung,5),1,0))</f>
      </c>
      <c r="H2301" s="43">
        <f>IF($G2301=1,INDEX(DarlSollzins,5),INDEX(DarlAnschluss,5))</f>
      </c>
      <c r="I2301" s="43">
        <f>IF(INDEX(DarlBelegt,5)=0,0,IF(INDEX(DarlOhneTilgung,5)=1,IF(INDEX(DarlBindung,5)="",1,$G2301),IF($J2301&gt;0.005,1,0)))</f>
      </c>
      <c r="J2301" s="43">
        <f>IF($I2300=0,0,$R2300)</f>
      </c>
      <c r="K2301" s="43">
        <f>IF($I2301=0,0,IF(INDEX(DarlOhneTilgung,5)=1,0,IF(AND(INDEX(DarlTilgStart,5)&gt;0,$E2301=INDEX(DarlTilgStart,5)),$J2301*($H2301+INDEX(DarlTilgung,5))/100/12,IF(AND($G2301=0,$G2300=1),MAX($K2300,$J2301*($H2301+1)/100/12),$K2300))))</f>
      </c>
      <c r="L2301" s="43">
        <f>IF($I2301=0,0,$J2301*$H2301/100/12)</f>
      </c>
      <c r="M2301" s="43">
        <f>IF($I2301=0,0,IF(OR(INDEX(DarlOhneTilgung,5)=1,AND(INDEX(DarlTilgStart,5)&gt;0,$E2301&lt;INDEX(DarlTilgStart,5))),0,MIN(MAX(0,$K2301-$L2301),$J2301)))</f>
      </c>
      <c r="N2301" s="43">
        <f>IF($I2301=0,0,MIN(SUMIFS(SondBetrag,SondDarl,5,SondDatum,"&gt;="&amp;$E2301,SondDatum,"&lt;="&amp;EOMONTH($E2301,0)),$J2301-$M2301))</f>
      </c>
      <c r="O2301" s="43">
        <f>IF($I2301=0,0,INDEX(DarlErsatzRate,5))</f>
      </c>
      <c r="P2301" s="43">
        <f>IF($I2301=0,0,$Q2300*INDEX(DarlErsatzZins,5))</f>
      </c>
      <c r="Q2301" s="43">
        <f>IF($I2301=0,0,$Q2300+$P2301+$O2301)</f>
      </c>
      <c r="R2301" s="43">
        <f>IF($I2301=0,0,$J2301-$M2301-$N2301)</f>
      </c>
    </row>
    <row r="2302">
      <c r="A2302"/>
      <c r="B2302">
        <v>5</v>
      </c>
      <c r="C2302" s="43">
        <f>INDEX(DarlObj,5)</f>
      </c>
      <c r="D2302">
        <v>379</v>
      </c>
      <c r="E2302" s="51">
        <f>IF(INDEX(DarlBelegt,5)=0,0,EOMONTH(INDEX(DarlAuszahlung,5),378)+1)</f>
      </c>
      <c r="F2302" s="43">
        <f>IF($E2302=0,0,YEAR($E2302))</f>
      </c>
      <c r="G2302" s="43">
        <f>IF(INDEX(DarlBindung,5)="",1,IF($E2302&lt;=INDEX(DarlBindung,5),1,0))</f>
      </c>
      <c r="H2302" s="43">
        <f>IF($G2302=1,INDEX(DarlSollzins,5),INDEX(DarlAnschluss,5))</f>
      </c>
      <c r="I2302" s="43">
        <f>IF(INDEX(DarlBelegt,5)=0,0,IF(INDEX(DarlOhneTilgung,5)=1,IF(INDEX(DarlBindung,5)="",1,$G2302),IF($J2302&gt;0.005,1,0)))</f>
      </c>
      <c r="J2302" s="43">
        <f>IF($I2301=0,0,$R2301)</f>
      </c>
      <c r="K2302" s="43">
        <f>IF($I2302=0,0,IF(INDEX(DarlOhneTilgung,5)=1,0,IF(AND(INDEX(DarlTilgStart,5)&gt;0,$E2302=INDEX(DarlTilgStart,5)),$J2302*($H2302+INDEX(DarlTilgung,5))/100/12,IF(AND($G2302=0,$G2301=1),MAX($K2301,$J2302*($H2302+1)/100/12),$K2301))))</f>
      </c>
      <c r="L2302" s="43">
        <f>IF($I2302=0,0,$J2302*$H2302/100/12)</f>
      </c>
      <c r="M2302" s="43">
        <f>IF($I2302=0,0,IF(OR(INDEX(DarlOhneTilgung,5)=1,AND(INDEX(DarlTilgStart,5)&gt;0,$E2302&lt;INDEX(DarlTilgStart,5))),0,MIN(MAX(0,$K2302-$L2302),$J2302)))</f>
      </c>
      <c r="N2302" s="43">
        <f>IF($I2302=0,0,MIN(SUMIFS(SondBetrag,SondDarl,5,SondDatum,"&gt;="&amp;$E2302,SondDatum,"&lt;="&amp;EOMONTH($E2302,0)),$J2302-$M2302))</f>
      </c>
      <c r="O2302" s="43">
        <f>IF($I2302=0,0,INDEX(DarlErsatzRate,5))</f>
      </c>
      <c r="P2302" s="43">
        <f>IF($I2302=0,0,$Q2301*INDEX(DarlErsatzZins,5))</f>
      </c>
      <c r="Q2302" s="43">
        <f>IF($I2302=0,0,$Q2301+$P2302+$O2302)</f>
      </c>
      <c r="R2302" s="43">
        <f>IF($I2302=0,0,$J2302-$M2302-$N2302)</f>
      </c>
    </row>
    <row r="2303">
      <c r="A2303"/>
      <c r="B2303">
        <v>5</v>
      </c>
      <c r="C2303" s="43">
        <f>INDEX(DarlObj,5)</f>
      </c>
      <c r="D2303">
        <v>380</v>
      </c>
      <c r="E2303" s="51">
        <f>IF(INDEX(DarlBelegt,5)=0,0,EOMONTH(INDEX(DarlAuszahlung,5),379)+1)</f>
      </c>
      <c r="F2303" s="43">
        <f>IF($E2303=0,0,YEAR($E2303))</f>
      </c>
      <c r="G2303" s="43">
        <f>IF(INDEX(DarlBindung,5)="",1,IF($E2303&lt;=INDEX(DarlBindung,5),1,0))</f>
      </c>
      <c r="H2303" s="43">
        <f>IF($G2303=1,INDEX(DarlSollzins,5),INDEX(DarlAnschluss,5))</f>
      </c>
      <c r="I2303" s="43">
        <f>IF(INDEX(DarlBelegt,5)=0,0,IF(INDEX(DarlOhneTilgung,5)=1,IF(INDEX(DarlBindung,5)="",1,$G2303),IF($J2303&gt;0.005,1,0)))</f>
      </c>
      <c r="J2303" s="43">
        <f>IF($I2302=0,0,$R2302)</f>
      </c>
      <c r="K2303" s="43">
        <f>IF($I2303=0,0,IF(INDEX(DarlOhneTilgung,5)=1,0,IF(AND(INDEX(DarlTilgStart,5)&gt;0,$E2303=INDEX(DarlTilgStart,5)),$J2303*($H2303+INDEX(DarlTilgung,5))/100/12,IF(AND($G2303=0,$G2302=1),MAX($K2302,$J2303*($H2303+1)/100/12),$K2302))))</f>
      </c>
      <c r="L2303" s="43">
        <f>IF($I2303=0,0,$J2303*$H2303/100/12)</f>
      </c>
      <c r="M2303" s="43">
        <f>IF($I2303=0,0,IF(OR(INDEX(DarlOhneTilgung,5)=1,AND(INDEX(DarlTilgStart,5)&gt;0,$E2303&lt;INDEX(DarlTilgStart,5))),0,MIN(MAX(0,$K2303-$L2303),$J2303)))</f>
      </c>
      <c r="N2303" s="43">
        <f>IF($I2303=0,0,MIN(SUMIFS(SondBetrag,SondDarl,5,SondDatum,"&gt;="&amp;$E2303,SondDatum,"&lt;="&amp;EOMONTH($E2303,0)),$J2303-$M2303))</f>
      </c>
      <c r="O2303" s="43">
        <f>IF($I2303=0,0,INDEX(DarlErsatzRate,5))</f>
      </c>
      <c r="P2303" s="43">
        <f>IF($I2303=0,0,$Q2302*INDEX(DarlErsatzZins,5))</f>
      </c>
      <c r="Q2303" s="43">
        <f>IF($I2303=0,0,$Q2302+$P2303+$O2303)</f>
      </c>
      <c r="R2303" s="43">
        <f>IF($I2303=0,0,$J2303-$M2303-$N2303)</f>
      </c>
    </row>
    <row r="2304">
      <c r="A2304"/>
      <c r="B2304">
        <v>5</v>
      </c>
      <c r="C2304" s="43">
        <f>INDEX(DarlObj,5)</f>
      </c>
      <c r="D2304">
        <v>381</v>
      </c>
      <c r="E2304" s="51">
        <f>IF(INDEX(DarlBelegt,5)=0,0,EOMONTH(INDEX(DarlAuszahlung,5),380)+1)</f>
      </c>
      <c r="F2304" s="43">
        <f>IF($E2304=0,0,YEAR($E2304))</f>
      </c>
      <c r="G2304" s="43">
        <f>IF(INDEX(DarlBindung,5)="",1,IF($E2304&lt;=INDEX(DarlBindung,5),1,0))</f>
      </c>
      <c r="H2304" s="43">
        <f>IF($G2304=1,INDEX(DarlSollzins,5),INDEX(DarlAnschluss,5))</f>
      </c>
      <c r="I2304" s="43">
        <f>IF(INDEX(DarlBelegt,5)=0,0,IF(INDEX(DarlOhneTilgung,5)=1,IF(INDEX(DarlBindung,5)="",1,$G2304),IF($J2304&gt;0.005,1,0)))</f>
      </c>
      <c r="J2304" s="43">
        <f>IF($I2303=0,0,$R2303)</f>
      </c>
      <c r="K2304" s="43">
        <f>IF($I2304=0,0,IF(INDEX(DarlOhneTilgung,5)=1,0,IF(AND(INDEX(DarlTilgStart,5)&gt;0,$E2304=INDEX(DarlTilgStart,5)),$J2304*($H2304+INDEX(DarlTilgung,5))/100/12,IF(AND($G2304=0,$G2303=1),MAX($K2303,$J2304*($H2304+1)/100/12),$K2303))))</f>
      </c>
      <c r="L2304" s="43">
        <f>IF($I2304=0,0,$J2304*$H2304/100/12)</f>
      </c>
      <c r="M2304" s="43">
        <f>IF($I2304=0,0,IF(OR(INDEX(DarlOhneTilgung,5)=1,AND(INDEX(DarlTilgStart,5)&gt;0,$E2304&lt;INDEX(DarlTilgStart,5))),0,MIN(MAX(0,$K2304-$L2304),$J2304)))</f>
      </c>
      <c r="N2304" s="43">
        <f>IF($I2304=0,0,MIN(SUMIFS(SondBetrag,SondDarl,5,SondDatum,"&gt;="&amp;$E2304,SondDatum,"&lt;="&amp;EOMONTH($E2304,0)),$J2304-$M2304))</f>
      </c>
      <c r="O2304" s="43">
        <f>IF($I2304=0,0,INDEX(DarlErsatzRate,5))</f>
      </c>
      <c r="P2304" s="43">
        <f>IF($I2304=0,0,$Q2303*INDEX(DarlErsatzZins,5))</f>
      </c>
      <c r="Q2304" s="43">
        <f>IF($I2304=0,0,$Q2303+$P2304+$O2304)</f>
      </c>
      <c r="R2304" s="43">
        <f>IF($I2304=0,0,$J2304-$M2304-$N2304)</f>
      </c>
    </row>
    <row r="2305">
      <c r="A2305"/>
      <c r="B2305">
        <v>5</v>
      </c>
      <c r="C2305" s="43">
        <f>INDEX(DarlObj,5)</f>
      </c>
      <c r="D2305">
        <v>382</v>
      </c>
      <c r="E2305" s="51">
        <f>IF(INDEX(DarlBelegt,5)=0,0,EOMONTH(INDEX(DarlAuszahlung,5),381)+1)</f>
      </c>
      <c r="F2305" s="43">
        <f>IF($E2305=0,0,YEAR($E2305))</f>
      </c>
      <c r="G2305" s="43">
        <f>IF(INDEX(DarlBindung,5)="",1,IF($E2305&lt;=INDEX(DarlBindung,5),1,0))</f>
      </c>
      <c r="H2305" s="43">
        <f>IF($G2305=1,INDEX(DarlSollzins,5),INDEX(DarlAnschluss,5))</f>
      </c>
      <c r="I2305" s="43">
        <f>IF(INDEX(DarlBelegt,5)=0,0,IF(INDEX(DarlOhneTilgung,5)=1,IF(INDEX(DarlBindung,5)="",1,$G2305),IF($J2305&gt;0.005,1,0)))</f>
      </c>
      <c r="J2305" s="43">
        <f>IF($I2304=0,0,$R2304)</f>
      </c>
      <c r="K2305" s="43">
        <f>IF($I2305=0,0,IF(INDEX(DarlOhneTilgung,5)=1,0,IF(AND(INDEX(DarlTilgStart,5)&gt;0,$E2305=INDEX(DarlTilgStart,5)),$J2305*($H2305+INDEX(DarlTilgung,5))/100/12,IF(AND($G2305=0,$G2304=1),MAX($K2304,$J2305*($H2305+1)/100/12),$K2304))))</f>
      </c>
      <c r="L2305" s="43">
        <f>IF($I2305=0,0,$J2305*$H2305/100/12)</f>
      </c>
      <c r="M2305" s="43">
        <f>IF($I2305=0,0,IF(OR(INDEX(DarlOhneTilgung,5)=1,AND(INDEX(DarlTilgStart,5)&gt;0,$E2305&lt;INDEX(DarlTilgStart,5))),0,MIN(MAX(0,$K2305-$L2305),$J2305)))</f>
      </c>
      <c r="N2305" s="43">
        <f>IF($I2305=0,0,MIN(SUMIFS(SondBetrag,SondDarl,5,SondDatum,"&gt;="&amp;$E2305,SondDatum,"&lt;="&amp;EOMONTH($E2305,0)),$J2305-$M2305))</f>
      </c>
      <c r="O2305" s="43">
        <f>IF($I2305=0,0,INDEX(DarlErsatzRate,5))</f>
      </c>
      <c r="P2305" s="43">
        <f>IF($I2305=0,0,$Q2304*INDEX(DarlErsatzZins,5))</f>
      </c>
      <c r="Q2305" s="43">
        <f>IF($I2305=0,0,$Q2304+$P2305+$O2305)</f>
      </c>
      <c r="R2305" s="43">
        <f>IF($I2305=0,0,$J2305-$M2305-$N2305)</f>
      </c>
    </row>
    <row r="2306">
      <c r="A2306"/>
      <c r="B2306">
        <v>5</v>
      </c>
      <c r="C2306" s="43">
        <f>INDEX(DarlObj,5)</f>
      </c>
      <c r="D2306">
        <v>383</v>
      </c>
      <c r="E2306" s="51">
        <f>IF(INDEX(DarlBelegt,5)=0,0,EOMONTH(INDEX(DarlAuszahlung,5),382)+1)</f>
      </c>
      <c r="F2306" s="43">
        <f>IF($E2306=0,0,YEAR($E2306))</f>
      </c>
      <c r="G2306" s="43">
        <f>IF(INDEX(DarlBindung,5)="",1,IF($E2306&lt;=INDEX(DarlBindung,5),1,0))</f>
      </c>
      <c r="H2306" s="43">
        <f>IF($G2306=1,INDEX(DarlSollzins,5),INDEX(DarlAnschluss,5))</f>
      </c>
      <c r="I2306" s="43">
        <f>IF(INDEX(DarlBelegt,5)=0,0,IF(INDEX(DarlOhneTilgung,5)=1,IF(INDEX(DarlBindung,5)="",1,$G2306),IF($J2306&gt;0.005,1,0)))</f>
      </c>
      <c r="J2306" s="43">
        <f>IF($I2305=0,0,$R2305)</f>
      </c>
      <c r="K2306" s="43">
        <f>IF($I2306=0,0,IF(INDEX(DarlOhneTilgung,5)=1,0,IF(AND(INDEX(DarlTilgStart,5)&gt;0,$E2306=INDEX(DarlTilgStart,5)),$J2306*($H2306+INDEX(DarlTilgung,5))/100/12,IF(AND($G2306=0,$G2305=1),MAX($K2305,$J2306*($H2306+1)/100/12),$K2305))))</f>
      </c>
      <c r="L2306" s="43">
        <f>IF($I2306=0,0,$J2306*$H2306/100/12)</f>
      </c>
      <c r="M2306" s="43">
        <f>IF($I2306=0,0,IF(OR(INDEX(DarlOhneTilgung,5)=1,AND(INDEX(DarlTilgStart,5)&gt;0,$E2306&lt;INDEX(DarlTilgStart,5))),0,MIN(MAX(0,$K2306-$L2306),$J2306)))</f>
      </c>
      <c r="N2306" s="43">
        <f>IF($I2306=0,0,MIN(SUMIFS(SondBetrag,SondDarl,5,SondDatum,"&gt;="&amp;$E2306,SondDatum,"&lt;="&amp;EOMONTH($E2306,0)),$J2306-$M2306))</f>
      </c>
      <c r="O2306" s="43">
        <f>IF($I2306=0,0,INDEX(DarlErsatzRate,5))</f>
      </c>
      <c r="P2306" s="43">
        <f>IF($I2306=0,0,$Q2305*INDEX(DarlErsatzZins,5))</f>
      </c>
      <c r="Q2306" s="43">
        <f>IF($I2306=0,0,$Q2305+$P2306+$O2306)</f>
      </c>
      <c r="R2306" s="43">
        <f>IF($I2306=0,0,$J2306-$M2306-$N2306)</f>
      </c>
    </row>
    <row r="2307">
      <c r="A2307"/>
      <c r="B2307">
        <v>5</v>
      </c>
      <c r="C2307" s="43">
        <f>INDEX(DarlObj,5)</f>
      </c>
      <c r="D2307">
        <v>384</v>
      </c>
      <c r="E2307" s="51">
        <f>IF(INDEX(DarlBelegt,5)=0,0,EOMONTH(INDEX(DarlAuszahlung,5),383)+1)</f>
      </c>
      <c r="F2307" s="43">
        <f>IF($E2307=0,0,YEAR($E2307))</f>
      </c>
      <c r="G2307" s="43">
        <f>IF(INDEX(DarlBindung,5)="",1,IF($E2307&lt;=INDEX(DarlBindung,5),1,0))</f>
      </c>
      <c r="H2307" s="43">
        <f>IF($G2307=1,INDEX(DarlSollzins,5),INDEX(DarlAnschluss,5))</f>
      </c>
      <c r="I2307" s="43">
        <f>IF(INDEX(DarlBelegt,5)=0,0,IF(INDEX(DarlOhneTilgung,5)=1,IF(INDEX(DarlBindung,5)="",1,$G2307),IF($J2307&gt;0.005,1,0)))</f>
      </c>
      <c r="J2307" s="43">
        <f>IF($I2306=0,0,$R2306)</f>
      </c>
      <c r="K2307" s="43">
        <f>IF($I2307=0,0,IF(INDEX(DarlOhneTilgung,5)=1,0,IF(AND(INDEX(DarlTilgStart,5)&gt;0,$E2307=INDEX(DarlTilgStart,5)),$J2307*($H2307+INDEX(DarlTilgung,5))/100/12,IF(AND($G2307=0,$G2306=1),MAX($K2306,$J2307*($H2307+1)/100/12),$K2306))))</f>
      </c>
      <c r="L2307" s="43">
        <f>IF($I2307=0,0,$J2307*$H2307/100/12)</f>
      </c>
      <c r="M2307" s="43">
        <f>IF($I2307=0,0,IF(OR(INDEX(DarlOhneTilgung,5)=1,AND(INDEX(DarlTilgStart,5)&gt;0,$E2307&lt;INDEX(DarlTilgStart,5))),0,MIN(MAX(0,$K2307-$L2307),$J2307)))</f>
      </c>
      <c r="N2307" s="43">
        <f>IF($I2307=0,0,MIN(SUMIFS(SondBetrag,SondDarl,5,SondDatum,"&gt;="&amp;$E2307,SondDatum,"&lt;="&amp;EOMONTH($E2307,0)),$J2307-$M2307))</f>
      </c>
      <c r="O2307" s="43">
        <f>IF($I2307=0,0,INDEX(DarlErsatzRate,5))</f>
      </c>
      <c r="P2307" s="43">
        <f>IF($I2307=0,0,$Q2306*INDEX(DarlErsatzZins,5))</f>
      </c>
      <c r="Q2307" s="43">
        <f>IF($I2307=0,0,$Q2306+$P2307+$O2307)</f>
      </c>
      <c r="R2307" s="43">
        <f>IF($I2307=0,0,$J2307-$M2307-$N2307)</f>
      </c>
    </row>
    <row r="2308">
      <c r="A2308"/>
      <c r="B2308">
        <v>5</v>
      </c>
      <c r="C2308" s="43">
        <f>INDEX(DarlObj,5)</f>
      </c>
      <c r="D2308">
        <v>385</v>
      </c>
      <c r="E2308" s="51">
        <f>IF(INDEX(DarlBelegt,5)=0,0,EOMONTH(INDEX(DarlAuszahlung,5),384)+1)</f>
      </c>
      <c r="F2308" s="43">
        <f>IF($E2308=0,0,YEAR($E2308))</f>
      </c>
      <c r="G2308" s="43">
        <f>IF(INDEX(DarlBindung,5)="",1,IF($E2308&lt;=INDEX(DarlBindung,5),1,0))</f>
      </c>
      <c r="H2308" s="43">
        <f>IF($G2308=1,INDEX(DarlSollzins,5),INDEX(DarlAnschluss,5))</f>
      </c>
      <c r="I2308" s="43">
        <f>IF(INDEX(DarlBelegt,5)=0,0,IF(INDEX(DarlOhneTilgung,5)=1,IF(INDEX(DarlBindung,5)="",1,$G2308),IF($J2308&gt;0.005,1,0)))</f>
      </c>
      <c r="J2308" s="43">
        <f>IF($I2307=0,0,$R2307)</f>
      </c>
      <c r="K2308" s="43">
        <f>IF($I2308=0,0,IF(INDEX(DarlOhneTilgung,5)=1,0,IF(AND(INDEX(DarlTilgStart,5)&gt;0,$E2308=INDEX(DarlTilgStart,5)),$J2308*($H2308+INDEX(DarlTilgung,5))/100/12,IF(AND($G2308=0,$G2307=1),MAX($K2307,$J2308*($H2308+1)/100/12),$K2307))))</f>
      </c>
      <c r="L2308" s="43">
        <f>IF($I2308=0,0,$J2308*$H2308/100/12)</f>
      </c>
      <c r="M2308" s="43">
        <f>IF($I2308=0,0,IF(OR(INDEX(DarlOhneTilgung,5)=1,AND(INDEX(DarlTilgStart,5)&gt;0,$E2308&lt;INDEX(DarlTilgStart,5))),0,MIN(MAX(0,$K2308-$L2308),$J2308)))</f>
      </c>
      <c r="N2308" s="43">
        <f>IF($I2308=0,0,MIN(SUMIFS(SondBetrag,SondDarl,5,SondDatum,"&gt;="&amp;$E2308,SondDatum,"&lt;="&amp;EOMONTH($E2308,0)),$J2308-$M2308))</f>
      </c>
      <c r="O2308" s="43">
        <f>IF($I2308=0,0,INDEX(DarlErsatzRate,5))</f>
      </c>
      <c r="P2308" s="43">
        <f>IF($I2308=0,0,$Q2307*INDEX(DarlErsatzZins,5))</f>
      </c>
      <c r="Q2308" s="43">
        <f>IF($I2308=0,0,$Q2307+$P2308+$O2308)</f>
      </c>
      <c r="R2308" s="43">
        <f>IF($I2308=0,0,$J2308-$M2308-$N2308)</f>
      </c>
    </row>
    <row r="2309">
      <c r="A2309"/>
      <c r="B2309">
        <v>5</v>
      </c>
      <c r="C2309" s="43">
        <f>INDEX(DarlObj,5)</f>
      </c>
      <c r="D2309">
        <v>386</v>
      </c>
      <c r="E2309" s="51">
        <f>IF(INDEX(DarlBelegt,5)=0,0,EOMONTH(INDEX(DarlAuszahlung,5),385)+1)</f>
      </c>
      <c r="F2309" s="43">
        <f>IF($E2309=0,0,YEAR($E2309))</f>
      </c>
      <c r="G2309" s="43">
        <f>IF(INDEX(DarlBindung,5)="",1,IF($E2309&lt;=INDEX(DarlBindung,5),1,0))</f>
      </c>
      <c r="H2309" s="43">
        <f>IF($G2309=1,INDEX(DarlSollzins,5),INDEX(DarlAnschluss,5))</f>
      </c>
      <c r="I2309" s="43">
        <f>IF(INDEX(DarlBelegt,5)=0,0,IF(INDEX(DarlOhneTilgung,5)=1,IF(INDEX(DarlBindung,5)="",1,$G2309),IF($J2309&gt;0.005,1,0)))</f>
      </c>
      <c r="J2309" s="43">
        <f>IF($I2308=0,0,$R2308)</f>
      </c>
      <c r="K2309" s="43">
        <f>IF($I2309=0,0,IF(INDEX(DarlOhneTilgung,5)=1,0,IF(AND(INDEX(DarlTilgStart,5)&gt;0,$E2309=INDEX(DarlTilgStart,5)),$J2309*($H2309+INDEX(DarlTilgung,5))/100/12,IF(AND($G2309=0,$G2308=1),MAX($K2308,$J2309*($H2309+1)/100/12),$K2308))))</f>
      </c>
      <c r="L2309" s="43">
        <f>IF($I2309=0,0,$J2309*$H2309/100/12)</f>
      </c>
      <c r="M2309" s="43">
        <f>IF($I2309=0,0,IF(OR(INDEX(DarlOhneTilgung,5)=1,AND(INDEX(DarlTilgStart,5)&gt;0,$E2309&lt;INDEX(DarlTilgStart,5))),0,MIN(MAX(0,$K2309-$L2309),$J2309)))</f>
      </c>
      <c r="N2309" s="43">
        <f>IF($I2309=0,0,MIN(SUMIFS(SondBetrag,SondDarl,5,SondDatum,"&gt;="&amp;$E2309,SondDatum,"&lt;="&amp;EOMONTH($E2309,0)),$J2309-$M2309))</f>
      </c>
      <c r="O2309" s="43">
        <f>IF($I2309=0,0,INDEX(DarlErsatzRate,5))</f>
      </c>
      <c r="P2309" s="43">
        <f>IF($I2309=0,0,$Q2308*INDEX(DarlErsatzZins,5))</f>
      </c>
      <c r="Q2309" s="43">
        <f>IF($I2309=0,0,$Q2308+$P2309+$O2309)</f>
      </c>
      <c r="R2309" s="43">
        <f>IF($I2309=0,0,$J2309-$M2309-$N2309)</f>
      </c>
    </row>
    <row r="2310">
      <c r="A2310"/>
      <c r="B2310">
        <v>5</v>
      </c>
      <c r="C2310" s="43">
        <f>INDEX(DarlObj,5)</f>
      </c>
      <c r="D2310">
        <v>387</v>
      </c>
      <c r="E2310" s="51">
        <f>IF(INDEX(DarlBelegt,5)=0,0,EOMONTH(INDEX(DarlAuszahlung,5),386)+1)</f>
      </c>
      <c r="F2310" s="43">
        <f>IF($E2310=0,0,YEAR($E2310))</f>
      </c>
      <c r="G2310" s="43">
        <f>IF(INDEX(DarlBindung,5)="",1,IF($E2310&lt;=INDEX(DarlBindung,5),1,0))</f>
      </c>
      <c r="H2310" s="43">
        <f>IF($G2310=1,INDEX(DarlSollzins,5),INDEX(DarlAnschluss,5))</f>
      </c>
      <c r="I2310" s="43">
        <f>IF(INDEX(DarlBelegt,5)=0,0,IF(INDEX(DarlOhneTilgung,5)=1,IF(INDEX(DarlBindung,5)="",1,$G2310),IF($J2310&gt;0.005,1,0)))</f>
      </c>
      <c r="J2310" s="43">
        <f>IF($I2309=0,0,$R2309)</f>
      </c>
      <c r="K2310" s="43">
        <f>IF($I2310=0,0,IF(INDEX(DarlOhneTilgung,5)=1,0,IF(AND(INDEX(DarlTilgStart,5)&gt;0,$E2310=INDEX(DarlTilgStart,5)),$J2310*($H2310+INDEX(DarlTilgung,5))/100/12,IF(AND($G2310=0,$G2309=1),MAX($K2309,$J2310*($H2310+1)/100/12),$K2309))))</f>
      </c>
      <c r="L2310" s="43">
        <f>IF($I2310=0,0,$J2310*$H2310/100/12)</f>
      </c>
      <c r="M2310" s="43">
        <f>IF($I2310=0,0,IF(OR(INDEX(DarlOhneTilgung,5)=1,AND(INDEX(DarlTilgStart,5)&gt;0,$E2310&lt;INDEX(DarlTilgStart,5))),0,MIN(MAX(0,$K2310-$L2310),$J2310)))</f>
      </c>
      <c r="N2310" s="43">
        <f>IF($I2310=0,0,MIN(SUMIFS(SondBetrag,SondDarl,5,SondDatum,"&gt;="&amp;$E2310,SondDatum,"&lt;="&amp;EOMONTH($E2310,0)),$J2310-$M2310))</f>
      </c>
      <c r="O2310" s="43">
        <f>IF($I2310=0,0,INDEX(DarlErsatzRate,5))</f>
      </c>
      <c r="P2310" s="43">
        <f>IF($I2310=0,0,$Q2309*INDEX(DarlErsatzZins,5))</f>
      </c>
      <c r="Q2310" s="43">
        <f>IF($I2310=0,0,$Q2309+$P2310+$O2310)</f>
      </c>
      <c r="R2310" s="43">
        <f>IF($I2310=0,0,$J2310-$M2310-$N2310)</f>
      </c>
    </row>
    <row r="2311">
      <c r="A2311"/>
      <c r="B2311">
        <v>5</v>
      </c>
      <c r="C2311" s="43">
        <f>INDEX(DarlObj,5)</f>
      </c>
      <c r="D2311">
        <v>388</v>
      </c>
      <c r="E2311" s="51">
        <f>IF(INDEX(DarlBelegt,5)=0,0,EOMONTH(INDEX(DarlAuszahlung,5),387)+1)</f>
      </c>
      <c r="F2311" s="43">
        <f>IF($E2311=0,0,YEAR($E2311))</f>
      </c>
      <c r="G2311" s="43">
        <f>IF(INDEX(DarlBindung,5)="",1,IF($E2311&lt;=INDEX(DarlBindung,5),1,0))</f>
      </c>
      <c r="H2311" s="43">
        <f>IF($G2311=1,INDEX(DarlSollzins,5),INDEX(DarlAnschluss,5))</f>
      </c>
      <c r="I2311" s="43">
        <f>IF(INDEX(DarlBelegt,5)=0,0,IF(INDEX(DarlOhneTilgung,5)=1,IF(INDEX(DarlBindung,5)="",1,$G2311),IF($J2311&gt;0.005,1,0)))</f>
      </c>
      <c r="J2311" s="43">
        <f>IF($I2310=0,0,$R2310)</f>
      </c>
      <c r="K2311" s="43">
        <f>IF($I2311=0,0,IF(INDEX(DarlOhneTilgung,5)=1,0,IF(AND(INDEX(DarlTilgStart,5)&gt;0,$E2311=INDEX(DarlTilgStart,5)),$J2311*($H2311+INDEX(DarlTilgung,5))/100/12,IF(AND($G2311=0,$G2310=1),MAX($K2310,$J2311*($H2311+1)/100/12),$K2310))))</f>
      </c>
      <c r="L2311" s="43">
        <f>IF($I2311=0,0,$J2311*$H2311/100/12)</f>
      </c>
      <c r="M2311" s="43">
        <f>IF($I2311=0,0,IF(OR(INDEX(DarlOhneTilgung,5)=1,AND(INDEX(DarlTilgStart,5)&gt;0,$E2311&lt;INDEX(DarlTilgStart,5))),0,MIN(MAX(0,$K2311-$L2311),$J2311)))</f>
      </c>
      <c r="N2311" s="43">
        <f>IF($I2311=0,0,MIN(SUMIFS(SondBetrag,SondDarl,5,SondDatum,"&gt;="&amp;$E2311,SondDatum,"&lt;="&amp;EOMONTH($E2311,0)),$J2311-$M2311))</f>
      </c>
      <c r="O2311" s="43">
        <f>IF($I2311=0,0,INDEX(DarlErsatzRate,5))</f>
      </c>
      <c r="P2311" s="43">
        <f>IF($I2311=0,0,$Q2310*INDEX(DarlErsatzZins,5))</f>
      </c>
      <c r="Q2311" s="43">
        <f>IF($I2311=0,0,$Q2310+$P2311+$O2311)</f>
      </c>
      <c r="R2311" s="43">
        <f>IF($I2311=0,0,$J2311-$M2311-$N2311)</f>
      </c>
    </row>
    <row r="2312">
      <c r="A2312"/>
      <c r="B2312">
        <v>5</v>
      </c>
      <c r="C2312" s="43">
        <f>INDEX(DarlObj,5)</f>
      </c>
      <c r="D2312">
        <v>389</v>
      </c>
      <c r="E2312" s="51">
        <f>IF(INDEX(DarlBelegt,5)=0,0,EOMONTH(INDEX(DarlAuszahlung,5),388)+1)</f>
      </c>
      <c r="F2312" s="43">
        <f>IF($E2312=0,0,YEAR($E2312))</f>
      </c>
      <c r="G2312" s="43">
        <f>IF(INDEX(DarlBindung,5)="",1,IF($E2312&lt;=INDEX(DarlBindung,5),1,0))</f>
      </c>
      <c r="H2312" s="43">
        <f>IF($G2312=1,INDEX(DarlSollzins,5),INDEX(DarlAnschluss,5))</f>
      </c>
      <c r="I2312" s="43">
        <f>IF(INDEX(DarlBelegt,5)=0,0,IF(INDEX(DarlOhneTilgung,5)=1,IF(INDEX(DarlBindung,5)="",1,$G2312),IF($J2312&gt;0.005,1,0)))</f>
      </c>
      <c r="J2312" s="43">
        <f>IF($I2311=0,0,$R2311)</f>
      </c>
      <c r="K2312" s="43">
        <f>IF($I2312=0,0,IF(INDEX(DarlOhneTilgung,5)=1,0,IF(AND(INDEX(DarlTilgStart,5)&gt;0,$E2312=INDEX(DarlTilgStart,5)),$J2312*($H2312+INDEX(DarlTilgung,5))/100/12,IF(AND($G2312=0,$G2311=1),MAX($K2311,$J2312*($H2312+1)/100/12),$K2311))))</f>
      </c>
      <c r="L2312" s="43">
        <f>IF($I2312=0,0,$J2312*$H2312/100/12)</f>
      </c>
      <c r="M2312" s="43">
        <f>IF($I2312=0,0,IF(OR(INDEX(DarlOhneTilgung,5)=1,AND(INDEX(DarlTilgStart,5)&gt;0,$E2312&lt;INDEX(DarlTilgStart,5))),0,MIN(MAX(0,$K2312-$L2312),$J2312)))</f>
      </c>
      <c r="N2312" s="43">
        <f>IF($I2312=0,0,MIN(SUMIFS(SondBetrag,SondDarl,5,SondDatum,"&gt;="&amp;$E2312,SondDatum,"&lt;="&amp;EOMONTH($E2312,0)),$J2312-$M2312))</f>
      </c>
      <c r="O2312" s="43">
        <f>IF($I2312=0,0,INDEX(DarlErsatzRate,5))</f>
      </c>
      <c r="P2312" s="43">
        <f>IF($I2312=0,0,$Q2311*INDEX(DarlErsatzZins,5))</f>
      </c>
      <c r="Q2312" s="43">
        <f>IF($I2312=0,0,$Q2311+$P2312+$O2312)</f>
      </c>
      <c r="R2312" s="43">
        <f>IF($I2312=0,0,$J2312-$M2312-$N2312)</f>
      </c>
    </row>
    <row r="2313">
      <c r="A2313"/>
      <c r="B2313">
        <v>5</v>
      </c>
      <c r="C2313" s="43">
        <f>INDEX(DarlObj,5)</f>
      </c>
      <c r="D2313">
        <v>390</v>
      </c>
      <c r="E2313" s="51">
        <f>IF(INDEX(DarlBelegt,5)=0,0,EOMONTH(INDEX(DarlAuszahlung,5),389)+1)</f>
      </c>
      <c r="F2313" s="43">
        <f>IF($E2313=0,0,YEAR($E2313))</f>
      </c>
      <c r="G2313" s="43">
        <f>IF(INDEX(DarlBindung,5)="",1,IF($E2313&lt;=INDEX(DarlBindung,5),1,0))</f>
      </c>
      <c r="H2313" s="43">
        <f>IF($G2313=1,INDEX(DarlSollzins,5),INDEX(DarlAnschluss,5))</f>
      </c>
      <c r="I2313" s="43">
        <f>IF(INDEX(DarlBelegt,5)=0,0,IF(INDEX(DarlOhneTilgung,5)=1,IF(INDEX(DarlBindung,5)="",1,$G2313),IF($J2313&gt;0.005,1,0)))</f>
      </c>
      <c r="J2313" s="43">
        <f>IF($I2312=0,0,$R2312)</f>
      </c>
      <c r="K2313" s="43">
        <f>IF($I2313=0,0,IF(INDEX(DarlOhneTilgung,5)=1,0,IF(AND(INDEX(DarlTilgStart,5)&gt;0,$E2313=INDEX(DarlTilgStart,5)),$J2313*($H2313+INDEX(DarlTilgung,5))/100/12,IF(AND($G2313=0,$G2312=1),MAX($K2312,$J2313*($H2313+1)/100/12),$K2312))))</f>
      </c>
      <c r="L2313" s="43">
        <f>IF($I2313=0,0,$J2313*$H2313/100/12)</f>
      </c>
      <c r="M2313" s="43">
        <f>IF($I2313=0,0,IF(OR(INDEX(DarlOhneTilgung,5)=1,AND(INDEX(DarlTilgStart,5)&gt;0,$E2313&lt;INDEX(DarlTilgStart,5))),0,MIN(MAX(0,$K2313-$L2313),$J2313)))</f>
      </c>
      <c r="N2313" s="43">
        <f>IF($I2313=0,0,MIN(SUMIFS(SondBetrag,SondDarl,5,SondDatum,"&gt;="&amp;$E2313,SondDatum,"&lt;="&amp;EOMONTH($E2313,0)),$J2313-$M2313))</f>
      </c>
      <c r="O2313" s="43">
        <f>IF($I2313=0,0,INDEX(DarlErsatzRate,5))</f>
      </c>
      <c r="P2313" s="43">
        <f>IF($I2313=0,0,$Q2312*INDEX(DarlErsatzZins,5))</f>
      </c>
      <c r="Q2313" s="43">
        <f>IF($I2313=0,0,$Q2312+$P2313+$O2313)</f>
      </c>
      <c r="R2313" s="43">
        <f>IF($I2313=0,0,$J2313-$M2313-$N2313)</f>
      </c>
    </row>
    <row r="2314">
      <c r="A2314"/>
      <c r="B2314">
        <v>5</v>
      </c>
      <c r="C2314" s="43">
        <f>INDEX(DarlObj,5)</f>
      </c>
      <c r="D2314">
        <v>391</v>
      </c>
      <c r="E2314" s="51">
        <f>IF(INDEX(DarlBelegt,5)=0,0,EOMONTH(INDEX(DarlAuszahlung,5),390)+1)</f>
      </c>
      <c r="F2314" s="43">
        <f>IF($E2314=0,0,YEAR($E2314))</f>
      </c>
      <c r="G2314" s="43">
        <f>IF(INDEX(DarlBindung,5)="",1,IF($E2314&lt;=INDEX(DarlBindung,5),1,0))</f>
      </c>
      <c r="H2314" s="43">
        <f>IF($G2314=1,INDEX(DarlSollzins,5),INDEX(DarlAnschluss,5))</f>
      </c>
      <c r="I2314" s="43">
        <f>IF(INDEX(DarlBelegt,5)=0,0,IF(INDEX(DarlOhneTilgung,5)=1,IF(INDEX(DarlBindung,5)="",1,$G2314),IF($J2314&gt;0.005,1,0)))</f>
      </c>
      <c r="J2314" s="43">
        <f>IF($I2313=0,0,$R2313)</f>
      </c>
      <c r="K2314" s="43">
        <f>IF($I2314=0,0,IF(INDEX(DarlOhneTilgung,5)=1,0,IF(AND(INDEX(DarlTilgStart,5)&gt;0,$E2314=INDEX(DarlTilgStart,5)),$J2314*($H2314+INDEX(DarlTilgung,5))/100/12,IF(AND($G2314=0,$G2313=1),MAX($K2313,$J2314*($H2314+1)/100/12),$K2313))))</f>
      </c>
      <c r="L2314" s="43">
        <f>IF($I2314=0,0,$J2314*$H2314/100/12)</f>
      </c>
      <c r="M2314" s="43">
        <f>IF($I2314=0,0,IF(OR(INDEX(DarlOhneTilgung,5)=1,AND(INDEX(DarlTilgStart,5)&gt;0,$E2314&lt;INDEX(DarlTilgStart,5))),0,MIN(MAX(0,$K2314-$L2314),$J2314)))</f>
      </c>
      <c r="N2314" s="43">
        <f>IF($I2314=0,0,MIN(SUMIFS(SondBetrag,SondDarl,5,SondDatum,"&gt;="&amp;$E2314,SondDatum,"&lt;="&amp;EOMONTH($E2314,0)),$J2314-$M2314))</f>
      </c>
      <c r="O2314" s="43">
        <f>IF($I2314=0,0,INDEX(DarlErsatzRate,5))</f>
      </c>
      <c r="P2314" s="43">
        <f>IF($I2314=0,0,$Q2313*INDEX(DarlErsatzZins,5))</f>
      </c>
      <c r="Q2314" s="43">
        <f>IF($I2314=0,0,$Q2313+$P2314+$O2314)</f>
      </c>
      <c r="R2314" s="43">
        <f>IF($I2314=0,0,$J2314-$M2314-$N2314)</f>
      </c>
    </row>
    <row r="2315">
      <c r="A2315"/>
      <c r="B2315">
        <v>5</v>
      </c>
      <c r="C2315" s="43">
        <f>INDEX(DarlObj,5)</f>
      </c>
      <c r="D2315">
        <v>392</v>
      </c>
      <c r="E2315" s="51">
        <f>IF(INDEX(DarlBelegt,5)=0,0,EOMONTH(INDEX(DarlAuszahlung,5),391)+1)</f>
      </c>
      <c r="F2315" s="43">
        <f>IF($E2315=0,0,YEAR($E2315))</f>
      </c>
      <c r="G2315" s="43">
        <f>IF(INDEX(DarlBindung,5)="",1,IF($E2315&lt;=INDEX(DarlBindung,5),1,0))</f>
      </c>
      <c r="H2315" s="43">
        <f>IF($G2315=1,INDEX(DarlSollzins,5),INDEX(DarlAnschluss,5))</f>
      </c>
      <c r="I2315" s="43">
        <f>IF(INDEX(DarlBelegt,5)=0,0,IF(INDEX(DarlOhneTilgung,5)=1,IF(INDEX(DarlBindung,5)="",1,$G2315),IF($J2315&gt;0.005,1,0)))</f>
      </c>
      <c r="J2315" s="43">
        <f>IF($I2314=0,0,$R2314)</f>
      </c>
      <c r="K2315" s="43">
        <f>IF($I2315=0,0,IF(INDEX(DarlOhneTilgung,5)=1,0,IF(AND(INDEX(DarlTilgStart,5)&gt;0,$E2315=INDEX(DarlTilgStart,5)),$J2315*($H2315+INDEX(DarlTilgung,5))/100/12,IF(AND($G2315=0,$G2314=1),MAX($K2314,$J2315*($H2315+1)/100/12),$K2314))))</f>
      </c>
      <c r="L2315" s="43">
        <f>IF($I2315=0,0,$J2315*$H2315/100/12)</f>
      </c>
      <c r="M2315" s="43">
        <f>IF($I2315=0,0,IF(OR(INDEX(DarlOhneTilgung,5)=1,AND(INDEX(DarlTilgStart,5)&gt;0,$E2315&lt;INDEX(DarlTilgStart,5))),0,MIN(MAX(0,$K2315-$L2315),$J2315)))</f>
      </c>
      <c r="N2315" s="43">
        <f>IF($I2315=0,0,MIN(SUMIFS(SondBetrag,SondDarl,5,SondDatum,"&gt;="&amp;$E2315,SondDatum,"&lt;="&amp;EOMONTH($E2315,0)),$J2315-$M2315))</f>
      </c>
      <c r="O2315" s="43">
        <f>IF($I2315=0,0,INDEX(DarlErsatzRate,5))</f>
      </c>
      <c r="P2315" s="43">
        <f>IF($I2315=0,0,$Q2314*INDEX(DarlErsatzZins,5))</f>
      </c>
      <c r="Q2315" s="43">
        <f>IF($I2315=0,0,$Q2314+$P2315+$O2315)</f>
      </c>
      <c r="R2315" s="43">
        <f>IF($I2315=0,0,$J2315-$M2315-$N2315)</f>
      </c>
    </row>
    <row r="2316">
      <c r="A2316"/>
      <c r="B2316">
        <v>5</v>
      </c>
      <c r="C2316" s="43">
        <f>INDEX(DarlObj,5)</f>
      </c>
      <c r="D2316">
        <v>393</v>
      </c>
      <c r="E2316" s="51">
        <f>IF(INDEX(DarlBelegt,5)=0,0,EOMONTH(INDEX(DarlAuszahlung,5),392)+1)</f>
      </c>
      <c r="F2316" s="43">
        <f>IF($E2316=0,0,YEAR($E2316))</f>
      </c>
      <c r="G2316" s="43">
        <f>IF(INDEX(DarlBindung,5)="",1,IF($E2316&lt;=INDEX(DarlBindung,5),1,0))</f>
      </c>
      <c r="H2316" s="43">
        <f>IF($G2316=1,INDEX(DarlSollzins,5),INDEX(DarlAnschluss,5))</f>
      </c>
      <c r="I2316" s="43">
        <f>IF(INDEX(DarlBelegt,5)=0,0,IF(INDEX(DarlOhneTilgung,5)=1,IF(INDEX(DarlBindung,5)="",1,$G2316),IF($J2316&gt;0.005,1,0)))</f>
      </c>
      <c r="J2316" s="43">
        <f>IF($I2315=0,0,$R2315)</f>
      </c>
      <c r="K2316" s="43">
        <f>IF($I2316=0,0,IF(INDEX(DarlOhneTilgung,5)=1,0,IF(AND(INDEX(DarlTilgStart,5)&gt;0,$E2316=INDEX(DarlTilgStart,5)),$J2316*($H2316+INDEX(DarlTilgung,5))/100/12,IF(AND($G2316=0,$G2315=1),MAX($K2315,$J2316*($H2316+1)/100/12),$K2315))))</f>
      </c>
      <c r="L2316" s="43">
        <f>IF($I2316=0,0,$J2316*$H2316/100/12)</f>
      </c>
      <c r="M2316" s="43">
        <f>IF($I2316=0,0,IF(OR(INDEX(DarlOhneTilgung,5)=1,AND(INDEX(DarlTilgStart,5)&gt;0,$E2316&lt;INDEX(DarlTilgStart,5))),0,MIN(MAX(0,$K2316-$L2316),$J2316)))</f>
      </c>
      <c r="N2316" s="43">
        <f>IF($I2316=0,0,MIN(SUMIFS(SondBetrag,SondDarl,5,SondDatum,"&gt;="&amp;$E2316,SondDatum,"&lt;="&amp;EOMONTH($E2316,0)),$J2316-$M2316))</f>
      </c>
      <c r="O2316" s="43">
        <f>IF($I2316=0,0,INDEX(DarlErsatzRate,5))</f>
      </c>
      <c r="P2316" s="43">
        <f>IF($I2316=0,0,$Q2315*INDEX(DarlErsatzZins,5))</f>
      </c>
      <c r="Q2316" s="43">
        <f>IF($I2316=0,0,$Q2315+$P2316+$O2316)</f>
      </c>
      <c r="R2316" s="43">
        <f>IF($I2316=0,0,$J2316-$M2316-$N2316)</f>
      </c>
    </row>
    <row r="2317">
      <c r="A2317"/>
      <c r="B2317">
        <v>5</v>
      </c>
      <c r="C2317" s="43">
        <f>INDEX(DarlObj,5)</f>
      </c>
      <c r="D2317">
        <v>394</v>
      </c>
      <c r="E2317" s="51">
        <f>IF(INDEX(DarlBelegt,5)=0,0,EOMONTH(INDEX(DarlAuszahlung,5),393)+1)</f>
      </c>
      <c r="F2317" s="43">
        <f>IF($E2317=0,0,YEAR($E2317))</f>
      </c>
      <c r="G2317" s="43">
        <f>IF(INDEX(DarlBindung,5)="",1,IF($E2317&lt;=INDEX(DarlBindung,5),1,0))</f>
      </c>
      <c r="H2317" s="43">
        <f>IF($G2317=1,INDEX(DarlSollzins,5),INDEX(DarlAnschluss,5))</f>
      </c>
      <c r="I2317" s="43">
        <f>IF(INDEX(DarlBelegt,5)=0,0,IF(INDEX(DarlOhneTilgung,5)=1,IF(INDEX(DarlBindung,5)="",1,$G2317),IF($J2317&gt;0.005,1,0)))</f>
      </c>
      <c r="J2317" s="43">
        <f>IF($I2316=0,0,$R2316)</f>
      </c>
      <c r="K2317" s="43">
        <f>IF($I2317=0,0,IF(INDEX(DarlOhneTilgung,5)=1,0,IF(AND(INDEX(DarlTilgStart,5)&gt;0,$E2317=INDEX(DarlTilgStart,5)),$J2317*($H2317+INDEX(DarlTilgung,5))/100/12,IF(AND($G2317=0,$G2316=1),MAX($K2316,$J2317*($H2317+1)/100/12),$K2316))))</f>
      </c>
      <c r="L2317" s="43">
        <f>IF($I2317=0,0,$J2317*$H2317/100/12)</f>
      </c>
      <c r="M2317" s="43">
        <f>IF($I2317=0,0,IF(OR(INDEX(DarlOhneTilgung,5)=1,AND(INDEX(DarlTilgStart,5)&gt;0,$E2317&lt;INDEX(DarlTilgStart,5))),0,MIN(MAX(0,$K2317-$L2317),$J2317)))</f>
      </c>
      <c r="N2317" s="43">
        <f>IF($I2317=0,0,MIN(SUMIFS(SondBetrag,SondDarl,5,SondDatum,"&gt;="&amp;$E2317,SondDatum,"&lt;="&amp;EOMONTH($E2317,0)),$J2317-$M2317))</f>
      </c>
      <c r="O2317" s="43">
        <f>IF($I2317=0,0,INDEX(DarlErsatzRate,5))</f>
      </c>
      <c r="P2317" s="43">
        <f>IF($I2317=0,0,$Q2316*INDEX(DarlErsatzZins,5))</f>
      </c>
      <c r="Q2317" s="43">
        <f>IF($I2317=0,0,$Q2316+$P2317+$O2317)</f>
      </c>
      <c r="R2317" s="43">
        <f>IF($I2317=0,0,$J2317-$M2317-$N2317)</f>
      </c>
    </row>
    <row r="2318">
      <c r="A2318"/>
      <c r="B2318">
        <v>5</v>
      </c>
      <c r="C2318" s="43">
        <f>INDEX(DarlObj,5)</f>
      </c>
      <c r="D2318">
        <v>395</v>
      </c>
      <c r="E2318" s="51">
        <f>IF(INDEX(DarlBelegt,5)=0,0,EOMONTH(INDEX(DarlAuszahlung,5),394)+1)</f>
      </c>
      <c r="F2318" s="43">
        <f>IF($E2318=0,0,YEAR($E2318))</f>
      </c>
      <c r="G2318" s="43">
        <f>IF(INDEX(DarlBindung,5)="",1,IF($E2318&lt;=INDEX(DarlBindung,5),1,0))</f>
      </c>
      <c r="H2318" s="43">
        <f>IF($G2318=1,INDEX(DarlSollzins,5),INDEX(DarlAnschluss,5))</f>
      </c>
      <c r="I2318" s="43">
        <f>IF(INDEX(DarlBelegt,5)=0,0,IF(INDEX(DarlOhneTilgung,5)=1,IF(INDEX(DarlBindung,5)="",1,$G2318),IF($J2318&gt;0.005,1,0)))</f>
      </c>
      <c r="J2318" s="43">
        <f>IF($I2317=0,0,$R2317)</f>
      </c>
      <c r="K2318" s="43">
        <f>IF($I2318=0,0,IF(INDEX(DarlOhneTilgung,5)=1,0,IF(AND(INDEX(DarlTilgStart,5)&gt;0,$E2318=INDEX(DarlTilgStart,5)),$J2318*($H2318+INDEX(DarlTilgung,5))/100/12,IF(AND($G2318=0,$G2317=1),MAX($K2317,$J2318*($H2318+1)/100/12),$K2317))))</f>
      </c>
      <c r="L2318" s="43">
        <f>IF($I2318=0,0,$J2318*$H2318/100/12)</f>
      </c>
      <c r="M2318" s="43">
        <f>IF($I2318=0,0,IF(OR(INDEX(DarlOhneTilgung,5)=1,AND(INDEX(DarlTilgStart,5)&gt;0,$E2318&lt;INDEX(DarlTilgStart,5))),0,MIN(MAX(0,$K2318-$L2318),$J2318)))</f>
      </c>
      <c r="N2318" s="43">
        <f>IF($I2318=0,0,MIN(SUMIFS(SondBetrag,SondDarl,5,SondDatum,"&gt;="&amp;$E2318,SondDatum,"&lt;="&amp;EOMONTH($E2318,0)),$J2318-$M2318))</f>
      </c>
      <c r="O2318" s="43">
        <f>IF($I2318=0,0,INDEX(DarlErsatzRate,5))</f>
      </c>
      <c r="P2318" s="43">
        <f>IF($I2318=0,0,$Q2317*INDEX(DarlErsatzZins,5))</f>
      </c>
      <c r="Q2318" s="43">
        <f>IF($I2318=0,0,$Q2317+$P2318+$O2318)</f>
      </c>
      <c r="R2318" s="43">
        <f>IF($I2318=0,0,$J2318-$M2318-$N2318)</f>
      </c>
    </row>
    <row r="2319">
      <c r="A2319"/>
      <c r="B2319">
        <v>5</v>
      </c>
      <c r="C2319" s="43">
        <f>INDEX(DarlObj,5)</f>
      </c>
      <c r="D2319">
        <v>396</v>
      </c>
      <c r="E2319" s="51">
        <f>IF(INDEX(DarlBelegt,5)=0,0,EOMONTH(INDEX(DarlAuszahlung,5),395)+1)</f>
      </c>
      <c r="F2319" s="43">
        <f>IF($E2319=0,0,YEAR($E2319))</f>
      </c>
      <c r="G2319" s="43">
        <f>IF(INDEX(DarlBindung,5)="",1,IF($E2319&lt;=INDEX(DarlBindung,5),1,0))</f>
      </c>
      <c r="H2319" s="43">
        <f>IF($G2319=1,INDEX(DarlSollzins,5),INDEX(DarlAnschluss,5))</f>
      </c>
      <c r="I2319" s="43">
        <f>IF(INDEX(DarlBelegt,5)=0,0,IF(INDEX(DarlOhneTilgung,5)=1,IF(INDEX(DarlBindung,5)="",1,$G2319),IF($J2319&gt;0.005,1,0)))</f>
      </c>
      <c r="J2319" s="43">
        <f>IF($I2318=0,0,$R2318)</f>
      </c>
      <c r="K2319" s="43">
        <f>IF($I2319=0,0,IF(INDEX(DarlOhneTilgung,5)=1,0,IF(AND(INDEX(DarlTilgStart,5)&gt;0,$E2319=INDEX(DarlTilgStart,5)),$J2319*($H2319+INDEX(DarlTilgung,5))/100/12,IF(AND($G2319=0,$G2318=1),MAX($K2318,$J2319*($H2319+1)/100/12),$K2318))))</f>
      </c>
      <c r="L2319" s="43">
        <f>IF($I2319=0,0,$J2319*$H2319/100/12)</f>
      </c>
      <c r="M2319" s="43">
        <f>IF($I2319=0,0,IF(OR(INDEX(DarlOhneTilgung,5)=1,AND(INDEX(DarlTilgStart,5)&gt;0,$E2319&lt;INDEX(DarlTilgStart,5))),0,MIN(MAX(0,$K2319-$L2319),$J2319)))</f>
      </c>
      <c r="N2319" s="43">
        <f>IF($I2319=0,0,MIN(SUMIFS(SondBetrag,SondDarl,5,SondDatum,"&gt;="&amp;$E2319,SondDatum,"&lt;="&amp;EOMONTH($E2319,0)),$J2319-$M2319))</f>
      </c>
      <c r="O2319" s="43">
        <f>IF($I2319=0,0,INDEX(DarlErsatzRate,5))</f>
      </c>
      <c r="P2319" s="43">
        <f>IF($I2319=0,0,$Q2318*INDEX(DarlErsatzZins,5))</f>
      </c>
      <c r="Q2319" s="43">
        <f>IF($I2319=0,0,$Q2318+$P2319+$O2319)</f>
      </c>
      <c r="R2319" s="43">
        <f>IF($I2319=0,0,$J2319-$M2319-$N2319)</f>
      </c>
    </row>
    <row r="2320">
      <c r="A2320"/>
      <c r="B2320">
        <v>5</v>
      </c>
      <c r="C2320" s="43">
        <f>INDEX(DarlObj,5)</f>
      </c>
      <c r="D2320">
        <v>397</v>
      </c>
      <c r="E2320" s="51">
        <f>IF(INDEX(DarlBelegt,5)=0,0,EOMONTH(INDEX(DarlAuszahlung,5),396)+1)</f>
      </c>
      <c r="F2320" s="43">
        <f>IF($E2320=0,0,YEAR($E2320))</f>
      </c>
      <c r="G2320" s="43">
        <f>IF(INDEX(DarlBindung,5)="",1,IF($E2320&lt;=INDEX(DarlBindung,5),1,0))</f>
      </c>
      <c r="H2320" s="43">
        <f>IF($G2320=1,INDEX(DarlSollzins,5),INDEX(DarlAnschluss,5))</f>
      </c>
      <c r="I2320" s="43">
        <f>IF(INDEX(DarlBelegt,5)=0,0,IF(INDEX(DarlOhneTilgung,5)=1,IF(INDEX(DarlBindung,5)="",1,$G2320),IF($J2320&gt;0.005,1,0)))</f>
      </c>
      <c r="J2320" s="43">
        <f>IF($I2319=0,0,$R2319)</f>
      </c>
      <c r="K2320" s="43">
        <f>IF($I2320=0,0,IF(INDEX(DarlOhneTilgung,5)=1,0,IF(AND(INDEX(DarlTilgStart,5)&gt;0,$E2320=INDEX(DarlTilgStart,5)),$J2320*($H2320+INDEX(DarlTilgung,5))/100/12,IF(AND($G2320=0,$G2319=1),MAX($K2319,$J2320*($H2320+1)/100/12),$K2319))))</f>
      </c>
      <c r="L2320" s="43">
        <f>IF($I2320=0,0,$J2320*$H2320/100/12)</f>
      </c>
      <c r="M2320" s="43">
        <f>IF($I2320=0,0,IF(OR(INDEX(DarlOhneTilgung,5)=1,AND(INDEX(DarlTilgStart,5)&gt;0,$E2320&lt;INDEX(DarlTilgStart,5))),0,MIN(MAX(0,$K2320-$L2320),$J2320)))</f>
      </c>
      <c r="N2320" s="43">
        <f>IF($I2320=0,0,MIN(SUMIFS(SondBetrag,SondDarl,5,SondDatum,"&gt;="&amp;$E2320,SondDatum,"&lt;="&amp;EOMONTH($E2320,0)),$J2320-$M2320))</f>
      </c>
      <c r="O2320" s="43">
        <f>IF($I2320=0,0,INDEX(DarlErsatzRate,5))</f>
      </c>
      <c r="P2320" s="43">
        <f>IF($I2320=0,0,$Q2319*INDEX(DarlErsatzZins,5))</f>
      </c>
      <c r="Q2320" s="43">
        <f>IF($I2320=0,0,$Q2319+$P2320+$O2320)</f>
      </c>
      <c r="R2320" s="43">
        <f>IF($I2320=0,0,$J2320-$M2320-$N2320)</f>
      </c>
    </row>
    <row r="2321">
      <c r="A2321"/>
      <c r="B2321">
        <v>5</v>
      </c>
      <c r="C2321" s="43">
        <f>INDEX(DarlObj,5)</f>
      </c>
      <c r="D2321">
        <v>398</v>
      </c>
      <c r="E2321" s="51">
        <f>IF(INDEX(DarlBelegt,5)=0,0,EOMONTH(INDEX(DarlAuszahlung,5),397)+1)</f>
      </c>
      <c r="F2321" s="43">
        <f>IF($E2321=0,0,YEAR($E2321))</f>
      </c>
      <c r="G2321" s="43">
        <f>IF(INDEX(DarlBindung,5)="",1,IF($E2321&lt;=INDEX(DarlBindung,5),1,0))</f>
      </c>
      <c r="H2321" s="43">
        <f>IF($G2321=1,INDEX(DarlSollzins,5),INDEX(DarlAnschluss,5))</f>
      </c>
      <c r="I2321" s="43">
        <f>IF(INDEX(DarlBelegt,5)=0,0,IF(INDEX(DarlOhneTilgung,5)=1,IF(INDEX(DarlBindung,5)="",1,$G2321),IF($J2321&gt;0.005,1,0)))</f>
      </c>
      <c r="J2321" s="43">
        <f>IF($I2320=0,0,$R2320)</f>
      </c>
      <c r="K2321" s="43">
        <f>IF($I2321=0,0,IF(INDEX(DarlOhneTilgung,5)=1,0,IF(AND(INDEX(DarlTilgStart,5)&gt;0,$E2321=INDEX(DarlTilgStart,5)),$J2321*($H2321+INDEX(DarlTilgung,5))/100/12,IF(AND($G2321=0,$G2320=1),MAX($K2320,$J2321*($H2321+1)/100/12),$K2320))))</f>
      </c>
      <c r="L2321" s="43">
        <f>IF($I2321=0,0,$J2321*$H2321/100/12)</f>
      </c>
      <c r="M2321" s="43">
        <f>IF($I2321=0,0,IF(OR(INDEX(DarlOhneTilgung,5)=1,AND(INDEX(DarlTilgStart,5)&gt;0,$E2321&lt;INDEX(DarlTilgStart,5))),0,MIN(MAX(0,$K2321-$L2321),$J2321)))</f>
      </c>
      <c r="N2321" s="43">
        <f>IF($I2321=0,0,MIN(SUMIFS(SondBetrag,SondDarl,5,SondDatum,"&gt;="&amp;$E2321,SondDatum,"&lt;="&amp;EOMONTH($E2321,0)),$J2321-$M2321))</f>
      </c>
      <c r="O2321" s="43">
        <f>IF($I2321=0,0,INDEX(DarlErsatzRate,5))</f>
      </c>
      <c r="P2321" s="43">
        <f>IF($I2321=0,0,$Q2320*INDEX(DarlErsatzZins,5))</f>
      </c>
      <c r="Q2321" s="43">
        <f>IF($I2321=0,0,$Q2320+$P2321+$O2321)</f>
      </c>
      <c r="R2321" s="43">
        <f>IF($I2321=0,0,$J2321-$M2321-$N2321)</f>
      </c>
    </row>
    <row r="2322">
      <c r="A2322"/>
      <c r="B2322">
        <v>5</v>
      </c>
      <c r="C2322" s="43">
        <f>INDEX(DarlObj,5)</f>
      </c>
      <c r="D2322">
        <v>399</v>
      </c>
      <c r="E2322" s="51">
        <f>IF(INDEX(DarlBelegt,5)=0,0,EOMONTH(INDEX(DarlAuszahlung,5),398)+1)</f>
      </c>
      <c r="F2322" s="43">
        <f>IF($E2322=0,0,YEAR($E2322))</f>
      </c>
      <c r="G2322" s="43">
        <f>IF(INDEX(DarlBindung,5)="",1,IF($E2322&lt;=INDEX(DarlBindung,5),1,0))</f>
      </c>
      <c r="H2322" s="43">
        <f>IF($G2322=1,INDEX(DarlSollzins,5),INDEX(DarlAnschluss,5))</f>
      </c>
      <c r="I2322" s="43">
        <f>IF(INDEX(DarlBelegt,5)=0,0,IF(INDEX(DarlOhneTilgung,5)=1,IF(INDEX(DarlBindung,5)="",1,$G2322),IF($J2322&gt;0.005,1,0)))</f>
      </c>
      <c r="J2322" s="43">
        <f>IF($I2321=0,0,$R2321)</f>
      </c>
      <c r="K2322" s="43">
        <f>IF($I2322=0,0,IF(INDEX(DarlOhneTilgung,5)=1,0,IF(AND(INDEX(DarlTilgStart,5)&gt;0,$E2322=INDEX(DarlTilgStart,5)),$J2322*($H2322+INDEX(DarlTilgung,5))/100/12,IF(AND($G2322=0,$G2321=1),MAX($K2321,$J2322*($H2322+1)/100/12),$K2321))))</f>
      </c>
      <c r="L2322" s="43">
        <f>IF($I2322=0,0,$J2322*$H2322/100/12)</f>
      </c>
      <c r="M2322" s="43">
        <f>IF($I2322=0,0,IF(OR(INDEX(DarlOhneTilgung,5)=1,AND(INDEX(DarlTilgStart,5)&gt;0,$E2322&lt;INDEX(DarlTilgStart,5))),0,MIN(MAX(0,$K2322-$L2322),$J2322)))</f>
      </c>
      <c r="N2322" s="43">
        <f>IF($I2322=0,0,MIN(SUMIFS(SondBetrag,SondDarl,5,SondDatum,"&gt;="&amp;$E2322,SondDatum,"&lt;="&amp;EOMONTH($E2322,0)),$J2322-$M2322))</f>
      </c>
      <c r="O2322" s="43">
        <f>IF($I2322=0,0,INDEX(DarlErsatzRate,5))</f>
      </c>
      <c r="P2322" s="43">
        <f>IF($I2322=0,0,$Q2321*INDEX(DarlErsatzZins,5))</f>
      </c>
      <c r="Q2322" s="43">
        <f>IF($I2322=0,0,$Q2321+$P2322+$O2322)</f>
      </c>
      <c r="R2322" s="43">
        <f>IF($I2322=0,0,$J2322-$M2322-$N2322)</f>
      </c>
    </row>
    <row r="2323">
      <c r="A2323"/>
      <c r="B2323">
        <v>5</v>
      </c>
      <c r="C2323" s="43">
        <f>INDEX(DarlObj,5)</f>
      </c>
      <c r="D2323">
        <v>400</v>
      </c>
      <c r="E2323" s="51">
        <f>IF(INDEX(DarlBelegt,5)=0,0,EOMONTH(INDEX(DarlAuszahlung,5),399)+1)</f>
      </c>
      <c r="F2323" s="43">
        <f>IF($E2323=0,0,YEAR($E2323))</f>
      </c>
      <c r="G2323" s="43">
        <f>IF(INDEX(DarlBindung,5)="",1,IF($E2323&lt;=INDEX(DarlBindung,5),1,0))</f>
      </c>
      <c r="H2323" s="43">
        <f>IF($G2323=1,INDEX(DarlSollzins,5),INDEX(DarlAnschluss,5))</f>
      </c>
      <c r="I2323" s="43">
        <f>IF(INDEX(DarlBelegt,5)=0,0,IF(INDEX(DarlOhneTilgung,5)=1,IF(INDEX(DarlBindung,5)="",1,$G2323),IF($J2323&gt;0.005,1,0)))</f>
      </c>
      <c r="J2323" s="43">
        <f>IF($I2322=0,0,$R2322)</f>
      </c>
      <c r="K2323" s="43">
        <f>IF($I2323=0,0,IF(INDEX(DarlOhneTilgung,5)=1,0,IF(AND(INDEX(DarlTilgStart,5)&gt;0,$E2323=INDEX(DarlTilgStart,5)),$J2323*($H2323+INDEX(DarlTilgung,5))/100/12,IF(AND($G2323=0,$G2322=1),MAX($K2322,$J2323*($H2323+1)/100/12),$K2322))))</f>
      </c>
      <c r="L2323" s="43">
        <f>IF($I2323=0,0,$J2323*$H2323/100/12)</f>
      </c>
      <c r="M2323" s="43">
        <f>IF($I2323=0,0,IF(OR(INDEX(DarlOhneTilgung,5)=1,AND(INDEX(DarlTilgStart,5)&gt;0,$E2323&lt;INDEX(DarlTilgStart,5))),0,MIN(MAX(0,$K2323-$L2323),$J2323)))</f>
      </c>
      <c r="N2323" s="43">
        <f>IF($I2323=0,0,MIN(SUMIFS(SondBetrag,SondDarl,5,SondDatum,"&gt;="&amp;$E2323,SondDatum,"&lt;="&amp;EOMONTH($E2323,0)),$J2323-$M2323))</f>
      </c>
      <c r="O2323" s="43">
        <f>IF($I2323=0,0,INDEX(DarlErsatzRate,5))</f>
      </c>
      <c r="P2323" s="43">
        <f>IF($I2323=0,0,$Q2322*INDEX(DarlErsatzZins,5))</f>
      </c>
      <c r="Q2323" s="43">
        <f>IF($I2323=0,0,$Q2322+$P2323+$O2323)</f>
      </c>
      <c r="R2323" s="43">
        <f>IF($I2323=0,0,$J2323-$M2323-$N2323)</f>
      </c>
    </row>
    <row r="2324">
      <c r="A2324"/>
      <c r="B2324">
        <v>5</v>
      </c>
      <c r="C2324" s="43">
        <f>INDEX(DarlObj,5)</f>
      </c>
      <c r="D2324">
        <v>401</v>
      </c>
      <c r="E2324" s="51">
        <f>IF(INDEX(DarlBelegt,5)=0,0,EOMONTH(INDEX(DarlAuszahlung,5),400)+1)</f>
      </c>
      <c r="F2324" s="43">
        <f>IF($E2324=0,0,YEAR($E2324))</f>
      </c>
      <c r="G2324" s="43">
        <f>IF(INDEX(DarlBindung,5)="",1,IF($E2324&lt;=INDEX(DarlBindung,5),1,0))</f>
      </c>
      <c r="H2324" s="43">
        <f>IF($G2324=1,INDEX(DarlSollzins,5),INDEX(DarlAnschluss,5))</f>
      </c>
      <c r="I2324" s="43">
        <f>IF(INDEX(DarlBelegt,5)=0,0,IF(INDEX(DarlOhneTilgung,5)=1,IF(INDEX(DarlBindung,5)="",1,$G2324),IF($J2324&gt;0.005,1,0)))</f>
      </c>
      <c r="J2324" s="43">
        <f>IF($I2323=0,0,$R2323)</f>
      </c>
      <c r="K2324" s="43">
        <f>IF($I2324=0,0,IF(INDEX(DarlOhneTilgung,5)=1,0,IF(AND(INDEX(DarlTilgStart,5)&gt;0,$E2324=INDEX(DarlTilgStart,5)),$J2324*($H2324+INDEX(DarlTilgung,5))/100/12,IF(AND($G2324=0,$G2323=1),MAX($K2323,$J2324*($H2324+1)/100/12),$K2323))))</f>
      </c>
      <c r="L2324" s="43">
        <f>IF($I2324=0,0,$J2324*$H2324/100/12)</f>
      </c>
      <c r="M2324" s="43">
        <f>IF($I2324=0,0,IF(OR(INDEX(DarlOhneTilgung,5)=1,AND(INDEX(DarlTilgStart,5)&gt;0,$E2324&lt;INDEX(DarlTilgStart,5))),0,MIN(MAX(0,$K2324-$L2324),$J2324)))</f>
      </c>
      <c r="N2324" s="43">
        <f>IF($I2324=0,0,MIN(SUMIFS(SondBetrag,SondDarl,5,SondDatum,"&gt;="&amp;$E2324,SondDatum,"&lt;="&amp;EOMONTH($E2324,0)),$J2324-$M2324))</f>
      </c>
      <c r="O2324" s="43">
        <f>IF($I2324=0,0,INDEX(DarlErsatzRate,5))</f>
      </c>
      <c r="P2324" s="43">
        <f>IF($I2324=0,0,$Q2323*INDEX(DarlErsatzZins,5))</f>
      </c>
      <c r="Q2324" s="43">
        <f>IF($I2324=0,0,$Q2323+$P2324+$O2324)</f>
      </c>
      <c r="R2324" s="43">
        <f>IF($I2324=0,0,$J2324-$M2324-$N2324)</f>
      </c>
    </row>
    <row r="2325">
      <c r="A2325"/>
      <c r="B2325">
        <v>5</v>
      </c>
      <c r="C2325" s="43">
        <f>INDEX(DarlObj,5)</f>
      </c>
      <c r="D2325">
        <v>402</v>
      </c>
      <c r="E2325" s="51">
        <f>IF(INDEX(DarlBelegt,5)=0,0,EOMONTH(INDEX(DarlAuszahlung,5),401)+1)</f>
      </c>
      <c r="F2325" s="43">
        <f>IF($E2325=0,0,YEAR($E2325))</f>
      </c>
      <c r="G2325" s="43">
        <f>IF(INDEX(DarlBindung,5)="",1,IF($E2325&lt;=INDEX(DarlBindung,5),1,0))</f>
      </c>
      <c r="H2325" s="43">
        <f>IF($G2325=1,INDEX(DarlSollzins,5),INDEX(DarlAnschluss,5))</f>
      </c>
      <c r="I2325" s="43">
        <f>IF(INDEX(DarlBelegt,5)=0,0,IF(INDEX(DarlOhneTilgung,5)=1,IF(INDEX(DarlBindung,5)="",1,$G2325),IF($J2325&gt;0.005,1,0)))</f>
      </c>
      <c r="J2325" s="43">
        <f>IF($I2324=0,0,$R2324)</f>
      </c>
      <c r="K2325" s="43">
        <f>IF($I2325=0,0,IF(INDEX(DarlOhneTilgung,5)=1,0,IF(AND(INDEX(DarlTilgStart,5)&gt;0,$E2325=INDEX(DarlTilgStart,5)),$J2325*($H2325+INDEX(DarlTilgung,5))/100/12,IF(AND($G2325=0,$G2324=1),MAX($K2324,$J2325*($H2325+1)/100/12),$K2324))))</f>
      </c>
      <c r="L2325" s="43">
        <f>IF($I2325=0,0,$J2325*$H2325/100/12)</f>
      </c>
      <c r="M2325" s="43">
        <f>IF($I2325=0,0,IF(OR(INDEX(DarlOhneTilgung,5)=1,AND(INDEX(DarlTilgStart,5)&gt;0,$E2325&lt;INDEX(DarlTilgStart,5))),0,MIN(MAX(0,$K2325-$L2325),$J2325)))</f>
      </c>
      <c r="N2325" s="43">
        <f>IF($I2325=0,0,MIN(SUMIFS(SondBetrag,SondDarl,5,SondDatum,"&gt;="&amp;$E2325,SondDatum,"&lt;="&amp;EOMONTH($E2325,0)),$J2325-$M2325))</f>
      </c>
      <c r="O2325" s="43">
        <f>IF($I2325=0,0,INDEX(DarlErsatzRate,5))</f>
      </c>
      <c r="P2325" s="43">
        <f>IF($I2325=0,0,$Q2324*INDEX(DarlErsatzZins,5))</f>
      </c>
      <c r="Q2325" s="43">
        <f>IF($I2325=0,0,$Q2324+$P2325+$O2325)</f>
      </c>
      <c r="R2325" s="43">
        <f>IF($I2325=0,0,$J2325-$M2325-$N2325)</f>
      </c>
    </row>
    <row r="2326">
      <c r="A2326"/>
      <c r="B2326">
        <v>5</v>
      </c>
      <c r="C2326" s="43">
        <f>INDEX(DarlObj,5)</f>
      </c>
      <c r="D2326">
        <v>403</v>
      </c>
      <c r="E2326" s="51">
        <f>IF(INDEX(DarlBelegt,5)=0,0,EOMONTH(INDEX(DarlAuszahlung,5),402)+1)</f>
      </c>
      <c r="F2326" s="43">
        <f>IF($E2326=0,0,YEAR($E2326))</f>
      </c>
      <c r="G2326" s="43">
        <f>IF(INDEX(DarlBindung,5)="",1,IF($E2326&lt;=INDEX(DarlBindung,5),1,0))</f>
      </c>
      <c r="H2326" s="43">
        <f>IF($G2326=1,INDEX(DarlSollzins,5),INDEX(DarlAnschluss,5))</f>
      </c>
      <c r="I2326" s="43">
        <f>IF(INDEX(DarlBelegt,5)=0,0,IF(INDEX(DarlOhneTilgung,5)=1,IF(INDEX(DarlBindung,5)="",1,$G2326),IF($J2326&gt;0.005,1,0)))</f>
      </c>
      <c r="J2326" s="43">
        <f>IF($I2325=0,0,$R2325)</f>
      </c>
      <c r="K2326" s="43">
        <f>IF($I2326=0,0,IF(INDEX(DarlOhneTilgung,5)=1,0,IF(AND(INDEX(DarlTilgStart,5)&gt;0,$E2326=INDEX(DarlTilgStart,5)),$J2326*($H2326+INDEX(DarlTilgung,5))/100/12,IF(AND($G2326=0,$G2325=1),MAX($K2325,$J2326*($H2326+1)/100/12),$K2325))))</f>
      </c>
      <c r="L2326" s="43">
        <f>IF($I2326=0,0,$J2326*$H2326/100/12)</f>
      </c>
      <c r="M2326" s="43">
        <f>IF($I2326=0,0,IF(OR(INDEX(DarlOhneTilgung,5)=1,AND(INDEX(DarlTilgStart,5)&gt;0,$E2326&lt;INDEX(DarlTilgStart,5))),0,MIN(MAX(0,$K2326-$L2326),$J2326)))</f>
      </c>
      <c r="N2326" s="43">
        <f>IF($I2326=0,0,MIN(SUMIFS(SondBetrag,SondDarl,5,SondDatum,"&gt;="&amp;$E2326,SondDatum,"&lt;="&amp;EOMONTH($E2326,0)),$J2326-$M2326))</f>
      </c>
      <c r="O2326" s="43">
        <f>IF($I2326=0,0,INDEX(DarlErsatzRate,5))</f>
      </c>
      <c r="P2326" s="43">
        <f>IF($I2326=0,0,$Q2325*INDEX(DarlErsatzZins,5))</f>
      </c>
      <c r="Q2326" s="43">
        <f>IF($I2326=0,0,$Q2325+$P2326+$O2326)</f>
      </c>
      <c r="R2326" s="43">
        <f>IF($I2326=0,0,$J2326-$M2326-$N2326)</f>
      </c>
    </row>
    <row r="2327">
      <c r="A2327"/>
      <c r="B2327">
        <v>5</v>
      </c>
      <c r="C2327" s="43">
        <f>INDEX(DarlObj,5)</f>
      </c>
      <c r="D2327">
        <v>404</v>
      </c>
      <c r="E2327" s="51">
        <f>IF(INDEX(DarlBelegt,5)=0,0,EOMONTH(INDEX(DarlAuszahlung,5),403)+1)</f>
      </c>
      <c r="F2327" s="43">
        <f>IF($E2327=0,0,YEAR($E2327))</f>
      </c>
      <c r="G2327" s="43">
        <f>IF(INDEX(DarlBindung,5)="",1,IF($E2327&lt;=INDEX(DarlBindung,5),1,0))</f>
      </c>
      <c r="H2327" s="43">
        <f>IF($G2327=1,INDEX(DarlSollzins,5),INDEX(DarlAnschluss,5))</f>
      </c>
      <c r="I2327" s="43">
        <f>IF(INDEX(DarlBelegt,5)=0,0,IF(INDEX(DarlOhneTilgung,5)=1,IF(INDEX(DarlBindung,5)="",1,$G2327),IF($J2327&gt;0.005,1,0)))</f>
      </c>
      <c r="J2327" s="43">
        <f>IF($I2326=0,0,$R2326)</f>
      </c>
      <c r="K2327" s="43">
        <f>IF($I2327=0,0,IF(INDEX(DarlOhneTilgung,5)=1,0,IF(AND(INDEX(DarlTilgStart,5)&gt;0,$E2327=INDEX(DarlTilgStart,5)),$J2327*($H2327+INDEX(DarlTilgung,5))/100/12,IF(AND($G2327=0,$G2326=1),MAX($K2326,$J2327*($H2327+1)/100/12),$K2326))))</f>
      </c>
      <c r="L2327" s="43">
        <f>IF($I2327=0,0,$J2327*$H2327/100/12)</f>
      </c>
      <c r="M2327" s="43">
        <f>IF($I2327=0,0,IF(OR(INDEX(DarlOhneTilgung,5)=1,AND(INDEX(DarlTilgStart,5)&gt;0,$E2327&lt;INDEX(DarlTilgStart,5))),0,MIN(MAX(0,$K2327-$L2327),$J2327)))</f>
      </c>
      <c r="N2327" s="43">
        <f>IF($I2327=0,0,MIN(SUMIFS(SondBetrag,SondDarl,5,SondDatum,"&gt;="&amp;$E2327,SondDatum,"&lt;="&amp;EOMONTH($E2327,0)),$J2327-$M2327))</f>
      </c>
      <c r="O2327" s="43">
        <f>IF($I2327=0,0,INDEX(DarlErsatzRate,5))</f>
      </c>
      <c r="P2327" s="43">
        <f>IF($I2327=0,0,$Q2326*INDEX(DarlErsatzZins,5))</f>
      </c>
      <c r="Q2327" s="43">
        <f>IF($I2327=0,0,$Q2326+$P2327+$O2327)</f>
      </c>
      <c r="R2327" s="43">
        <f>IF($I2327=0,0,$J2327-$M2327-$N2327)</f>
      </c>
    </row>
    <row r="2328">
      <c r="A2328"/>
      <c r="B2328">
        <v>5</v>
      </c>
      <c r="C2328" s="43">
        <f>INDEX(DarlObj,5)</f>
      </c>
      <c r="D2328">
        <v>405</v>
      </c>
      <c r="E2328" s="51">
        <f>IF(INDEX(DarlBelegt,5)=0,0,EOMONTH(INDEX(DarlAuszahlung,5),404)+1)</f>
      </c>
      <c r="F2328" s="43">
        <f>IF($E2328=0,0,YEAR($E2328))</f>
      </c>
      <c r="G2328" s="43">
        <f>IF(INDEX(DarlBindung,5)="",1,IF($E2328&lt;=INDEX(DarlBindung,5),1,0))</f>
      </c>
      <c r="H2328" s="43">
        <f>IF($G2328=1,INDEX(DarlSollzins,5),INDEX(DarlAnschluss,5))</f>
      </c>
      <c r="I2328" s="43">
        <f>IF(INDEX(DarlBelegt,5)=0,0,IF(INDEX(DarlOhneTilgung,5)=1,IF(INDEX(DarlBindung,5)="",1,$G2328),IF($J2328&gt;0.005,1,0)))</f>
      </c>
      <c r="J2328" s="43">
        <f>IF($I2327=0,0,$R2327)</f>
      </c>
      <c r="K2328" s="43">
        <f>IF($I2328=0,0,IF(INDEX(DarlOhneTilgung,5)=1,0,IF(AND(INDEX(DarlTilgStart,5)&gt;0,$E2328=INDEX(DarlTilgStart,5)),$J2328*($H2328+INDEX(DarlTilgung,5))/100/12,IF(AND($G2328=0,$G2327=1),MAX($K2327,$J2328*($H2328+1)/100/12),$K2327))))</f>
      </c>
      <c r="L2328" s="43">
        <f>IF($I2328=0,0,$J2328*$H2328/100/12)</f>
      </c>
      <c r="M2328" s="43">
        <f>IF($I2328=0,0,IF(OR(INDEX(DarlOhneTilgung,5)=1,AND(INDEX(DarlTilgStart,5)&gt;0,$E2328&lt;INDEX(DarlTilgStart,5))),0,MIN(MAX(0,$K2328-$L2328),$J2328)))</f>
      </c>
      <c r="N2328" s="43">
        <f>IF($I2328=0,0,MIN(SUMIFS(SondBetrag,SondDarl,5,SondDatum,"&gt;="&amp;$E2328,SondDatum,"&lt;="&amp;EOMONTH($E2328,0)),$J2328-$M2328))</f>
      </c>
      <c r="O2328" s="43">
        <f>IF($I2328=0,0,INDEX(DarlErsatzRate,5))</f>
      </c>
      <c r="P2328" s="43">
        <f>IF($I2328=0,0,$Q2327*INDEX(DarlErsatzZins,5))</f>
      </c>
      <c r="Q2328" s="43">
        <f>IF($I2328=0,0,$Q2327+$P2328+$O2328)</f>
      </c>
      <c r="R2328" s="43">
        <f>IF($I2328=0,0,$J2328-$M2328-$N2328)</f>
      </c>
    </row>
    <row r="2329">
      <c r="A2329"/>
      <c r="B2329">
        <v>5</v>
      </c>
      <c r="C2329" s="43">
        <f>INDEX(DarlObj,5)</f>
      </c>
      <c r="D2329">
        <v>406</v>
      </c>
      <c r="E2329" s="51">
        <f>IF(INDEX(DarlBelegt,5)=0,0,EOMONTH(INDEX(DarlAuszahlung,5),405)+1)</f>
      </c>
      <c r="F2329" s="43">
        <f>IF($E2329=0,0,YEAR($E2329))</f>
      </c>
      <c r="G2329" s="43">
        <f>IF(INDEX(DarlBindung,5)="",1,IF($E2329&lt;=INDEX(DarlBindung,5),1,0))</f>
      </c>
      <c r="H2329" s="43">
        <f>IF($G2329=1,INDEX(DarlSollzins,5),INDEX(DarlAnschluss,5))</f>
      </c>
      <c r="I2329" s="43">
        <f>IF(INDEX(DarlBelegt,5)=0,0,IF(INDEX(DarlOhneTilgung,5)=1,IF(INDEX(DarlBindung,5)="",1,$G2329),IF($J2329&gt;0.005,1,0)))</f>
      </c>
      <c r="J2329" s="43">
        <f>IF($I2328=0,0,$R2328)</f>
      </c>
      <c r="K2329" s="43">
        <f>IF($I2329=0,0,IF(INDEX(DarlOhneTilgung,5)=1,0,IF(AND(INDEX(DarlTilgStart,5)&gt;0,$E2329=INDEX(DarlTilgStart,5)),$J2329*($H2329+INDEX(DarlTilgung,5))/100/12,IF(AND($G2329=0,$G2328=1),MAX($K2328,$J2329*($H2329+1)/100/12),$K2328))))</f>
      </c>
      <c r="L2329" s="43">
        <f>IF($I2329=0,0,$J2329*$H2329/100/12)</f>
      </c>
      <c r="M2329" s="43">
        <f>IF($I2329=0,0,IF(OR(INDEX(DarlOhneTilgung,5)=1,AND(INDEX(DarlTilgStart,5)&gt;0,$E2329&lt;INDEX(DarlTilgStart,5))),0,MIN(MAX(0,$K2329-$L2329),$J2329)))</f>
      </c>
      <c r="N2329" s="43">
        <f>IF($I2329=0,0,MIN(SUMIFS(SondBetrag,SondDarl,5,SondDatum,"&gt;="&amp;$E2329,SondDatum,"&lt;="&amp;EOMONTH($E2329,0)),$J2329-$M2329))</f>
      </c>
      <c r="O2329" s="43">
        <f>IF($I2329=0,0,INDEX(DarlErsatzRate,5))</f>
      </c>
      <c r="P2329" s="43">
        <f>IF($I2329=0,0,$Q2328*INDEX(DarlErsatzZins,5))</f>
      </c>
      <c r="Q2329" s="43">
        <f>IF($I2329=0,0,$Q2328+$P2329+$O2329)</f>
      </c>
      <c r="R2329" s="43">
        <f>IF($I2329=0,0,$J2329-$M2329-$N2329)</f>
      </c>
    </row>
    <row r="2330">
      <c r="A2330"/>
      <c r="B2330">
        <v>5</v>
      </c>
      <c r="C2330" s="43">
        <f>INDEX(DarlObj,5)</f>
      </c>
      <c r="D2330">
        <v>407</v>
      </c>
      <c r="E2330" s="51">
        <f>IF(INDEX(DarlBelegt,5)=0,0,EOMONTH(INDEX(DarlAuszahlung,5),406)+1)</f>
      </c>
      <c r="F2330" s="43">
        <f>IF($E2330=0,0,YEAR($E2330))</f>
      </c>
      <c r="G2330" s="43">
        <f>IF(INDEX(DarlBindung,5)="",1,IF($E2330&lt;=INDEX(DarlBindung,5),1,0))</f>
      </c>
      <c r="H2330" s="43">
        <f>IF($G2330=1,INDEX(DarlSollzins,5),INDEX(DarlAnschluss,5))</f>
      </c>
      <c r="I2330" s="43">
        <f>IF(INDEX(DarlBelegt,5)=0,0,IF(INDEX(DarlOhneTilgung,5)=1,IF(INDEX(DarlBindung,5)="",1,$G2330),IF($J2330&gt;0.005,1,0)))</f>
      </c>
      <c r="J2330" s="43">
        <f>IF($I2329=0,0,$R2329)</f>
      </c>
      <c r="K2330" s="43">
        <f>IF($I2330=0,0,IF(INDEX(DarlOhneTilgung,5)=1,0,IF(AND(INDEX(DarlTilgStart,5)&gt;0,$E2330=INDEX(DarlTilgStart,5)),$J2330*($H2330+INDEX(DarlTilgung,5))/100/12,IF(AND($G2330=0,$G2329=1),MAX($K2329,$J2330*($H2330+1)/100/12),$K2329))))</f>
      </c>
      <c r="L2330" s="43">
        <f>IF($I2330=0,0,$J2330*$H2330/100/12)</f>
      </c>
      <c r="M2330" s="43">
        <f>IF($I2330=0,0,IF(OR(INDEX(DarlOhneTilgung,5)=1,AND(INDEX(DarlTilgStart,5)&gt;0,$E2330&lt;INDEX(DarlTilgStart,5))),0,MIN(MAX(0,$K2330-$L2330),$J2330)))</f>
      </c>
      <c r="N2330" s="43">
        <f>IF($I2330=0,0,MIN(SUMIFS(SondBetrag,SondDarl,5,SondDatum,"&gt;="&amp;$E2330,SondDatum,"&lt;="&amp;EOMONTH($E2330,0)),$J2330-$M2330))</f>
      </c>
      <c r="O2330" s="43">
        <f>IF($I2330=0,0,INDEX(DarlErsatzRate,5))</f>
      </c>
      <c r="P2330" s="43">
        <f>IF($I2330=0,0,$Q2329*INDEX(DarlErsatzZins,5))</f>
      </c>
      <c r="Q2330" s="43">
        <f>IF($I2330=0,0,$Q2329+$P2330+$O2330)</f>
      </c>
      <c r="R2330" s="43">
        <f>IF($I2330=0,0,$J2330-$M2330-$N2330)</f>
      </c>
    </row>
    <row r="2331">
      <c r="A2331"/>
      <c r="B2331">
        <v>5</v>
      </c>
      <c r="C2331" s="43">
        <f>INDEX(DarlObj,5)</f>
      </c>
      <c r="D2331">
        <v>408</v>
      </c>
      <c r="E2331" s="51">
        <f>IF(INDEX(DarlBelegt,5)=0,0,EOMONTH(INDEX(DarlAuszahlung,5),407)+1)</f>
      </c>
      <c r="F2331" s="43">
        <f>IF($E2331=0,0,YEAR($E2331))</f>
      </c>
      <c r="G2331" s="43">
        <f>IF(INDEX(DarlBindung,5)="",1,IF($E2331&lt;=INDEX(DarlBindung,5),1,0))</f>
      </c>
      <c r="H2331" s="43">
        <f>IF($G2331=1,INDEX(DarlSollzins,5),INDEX(DarlAnschluss,5))</f>
      </c>
      <c r="I2331" s="43">
        <f>IF(INDEX(DarlBelegt,5)=0,0,IF(INDEX(DarlOhneTilgung,5)=1,IF(INDEX(DarlBindung,5)="",1,$G2331),IF($J2331&gt;0.005,1,0)))</f>
      </c>
      <c r="J2331" s="43">
        <f>IF($I2330=0,0,$R2330)</f>
      </c>
      <c r="K2331" s="43">
        <f>IF($I2331=0,0,IF(INDEX(DarlOhneTilgung,5)=1,0,IF(AND(INDEX(DarlTilgStart,5)&gt;0,$E2331=INDEX(DarlTilgStart,5)),$J2331*($H2331+INDEX(DarlTilgung,5))/100/12,IF(AND($G2331=0,$G2330=1),MAX($K2330,$J2331*($H2331+1)/100/12),$K2330))))</f>
      </c>
      <c r="L2331" s="43">
        <f>IF($I2331=0,0,$J2331*$H2331/100/12)</f>
      </c>
      <c r="M2331" s="43">
        <f>IF($I2331=0,0,IF(OR(INDEX(DarlOhneTilgung,5)=1,AND(INDEX(DarlTilgStart,5)&gt;0,$E2331&lt;INDEX(DarlTilgStart,5))),0,MIN(MAX(0,$K2331-$L2331),$J2331)))</f>
      </c>
      <c r="N2331" s="43">
        <f>IF($I2331=0,0,MIN(SUMIFS(SondBetrag,SondDarl,5,SondDatum,"&gt;="&amp;$E2331,SondDatum,"&lt;="&amp;EOMONTH($E2331,0)),$J2331-$M2331))</f>
      </c>
      <c r="O2331" s="43">
        <f>IF($I2331=0,0,INDEX(DarlErsatzRate,5))</f>
      </c>
      <c r="P2331" s="43">
        <f>IF($I2331=0,0,$Q2330*INDEX(DarlErsatzZins,5))</f>
      </c>
      <c r="Q2331" s="43">
        <f>IF($I2331=0,0,$Q2330+$P2331+$O2331)</f>
      </c>
      <c r="R2331" s="43">
        <f>IF($I2331=0,0,$J2331-$M2331-$N2331)</f>
      </c>
    </row>
    <row r="2332">
      <c r="A2332"/>
      <c r="B2332">
        <v>5</v>
      </c>
      <c r="C2332" s="43">
        <f>INDEX(DarlObj,5)</f>
      </c>
      <c r="D2332">
        <v>409</v>
      </c>
      <c r="E2332" s="51">
        <f>IF(INDEX(DarlBelegt,5)=0,0,EOMONTH(INDEX(DarlAuszahlung,5),408)+1)</f>
      </c>
      <c r="F2332" s="43">
        <f>IF($E2332=0,0,YEAR($E2332))</f>
      </c>
      <c r="G2332" s="43">
        <f>IF(INDEX(DarlBindung,5)="",1,IF($E2332&lt;=INDEX(DarlBindung,5),1,0))</f>
      </c>
      <c r="H2332" s="43">
        <f>IF($G2332=1,INDEX(DarlSollzins,5),INDEX(DarlAnschluss,5))</f>
      </c>
      <c r="I2332" s="43">
        <f>IF(INDEX(DarlBelegt,5)=0,0,IF(INDEX(DarlOhneTilgung,5)=1,IF(INDEX(DarlBindung,5)="",1,$G2332),IF($J2332&gt;0.005,1,0)))</f>
      </c>
      <c r="J2332" s="43">
        <f>IF($I2331=0,0,$R2331)</f>
      </c>
      <c r="K2332" s="43">
        <f>IF($I2332=0,0,IF(INDEX(DarlOhneTilgung,5)=1,0,IF(AND(INDEX(DarlTilgStart,5)&gt;0,$E2332=INDEX(DarlTilgStart,5)),$J2332*($H2332+INDEX(DarlTilgung,5))/100/12,IF(AND($G2332=0,$G2331=1),MAX($K2331,$J2332*($H2332+1)/100/12),$K2331))))</f>
      </c>
      <c r="L2332" s="43">
        <f>IF($I2332=0,0,$J2332*$H2332/100/12)</f>
      </c>
      <c r="M2332" s="43">
        <f>IF($I2332=0,0,IF(OR(INDEX(DarlOhneTilgung,5)=1,AND(INDEX(DarlTilgStart,5)&gt;0,$E2332&lt;INDEX(DarlTilgStart,5))),0,MIN(MAX(0,$K2332-$L2332),$J2332)))</f>
      </c>
      <c r="N2332" s="43">
        <f>IF($I2332=0,0,MIN(SUMIFS(SondBetrag,SondDarl,5,SondDatum,"&gt;="&amp;$E2332,SondDatum,"&lt;="&amp;EOMONTH($E2332,0)),$J2332-$M2332))</f>
      </c>
      <c r="O2332" s="43">
        <f>IF($I2332=0,0,INDEX(DarlErsatzRate,5))</f>
      </c>
      <c r="P2332" s="43">
        <f>IF($I2332=0,0,$Q2331*INDEX(DarlErsatzZins,5))</f>
      </c>
      <c r="Q2332" s="43">
        <f>IF($I2332=0,0,$Q2331+$P2332+$O2332)</f>
      </c>
      <c r="R2332" s="43">
        <f>IF($I2332=0,0,$J2332-$M2332-$N2332)</f>
      </c>
    </row>
    <row r="2333">
      <c r="A2333"/>
      <c r="B2333">
        <v>5</v>
      </c>
      <c r="C2333" s="43">
        <f>INDEX(DarlObj,5)</f>
      </c>
      <c r="D2333">
        <v>410</v>
      </c>
      <c r="E2333" s="51">
        <f>IF(INDEX(DarlBelegt,5)=0,0,EOMONTH(INDEX(DarlAuszahlung,5),409)+1)</f>
      </c>
      <c r="F2333" s="43">
        <f>IF($E2333=0,0,YEAR($E2333))</f>
      </c>
      <c r="G2333" s="43">
        <f>IF(INDEX(DarlBindung,5)="",1,IF($E2333&lt;=INDEX(DarlBindung,5),1,0))</f>
      </c>
      <c r="H2333" s="43">
        <f>IF($G2333=1,INDEX(DarlSollzins,5),INDEX(DarlAnschluss,5))</f>
      </c>
      <c r="I2333" s="43">
        <f>IF(INDEX(DarlBelegt,5)=0,0,IF(INDEX(DarlOhneTilgung,5)=1,IF(INDEX(DarlBindung,5)="",1,$G2333),IF($J2333&gt;0.005,1,0)))</f>
      </c>
      <c r="J2333" s="43">
        <f>IF($I2332=0,0,$R2332)</f>
      </c>
      <c r="K2333" s="43">
        <f>IF($I2333=0,0,IF(INDEX(DarlOhneTilgung,5)=1,0,IF(AND(INDEX(DarlTilgStart,5)&gt;0,$E2333=INDEX(DarlTilgStart,5)),$J2333*($H2333+INDEX(DarlTilgung,5))/100/12,IF(AND($G2333=0,$G2332=1),MAX($K2332,$J2333*($H2333+1)/100/12),$K2332))))</f>
      </c>
      <c r="L2333" s="43">
        <f>IF($I2333=0,0,$J2333*$H2333/100/12)</f>
      </c>
      <c r="M2333" s="43">
        <f>IF($I2333=0,0,IF(OR(INDEX(DarlOhneTilgung,5)=1,AND(INDEX(DarlTilgStart,5)&gt;0,$E2333&lt;INDEX(DarlTilgStart,5))),0,MIN(MAX(0,$K2333-$L2333),$J2333)))</f>
      </c>
      <c r="N2333" s="43">
        <f>IF($I2333=0,0,MIN(SUMIFS(SondBetrag,SondDarl,5,SondDatum,"&gt;="&amp;$E2333,SondDatum,"&lt;="&amp;EOMONTH($E2333,0)),$J2333-$M2333))</f>
      </c>
      <c r="O2333" s="43">
        <f>IF($I2333=0,0,INDEX(DarlErsatzRate,5))</f>
      </c>
      <c r="P2333" s="43">
        <f>IF($I2333=0,0,$Q2332*INDEX(DarlErsatzZins,5))</f>
      </c>
      <c r="Q2333" s="43">
        <f>IF($I2333=0,0,$Q2332+$P2333+$O2333)</f>
      </c>
      <c r="R2333" s="43">
        <f>IF($I2333=0,0,$J2333-$M2333-$N2333)</f>
      </c>
    </row>
    <row r="2334">
      <c r="A2334"/>
      <c r="B2334">
        <v>5</v>
      </c>
      <c r="C2334" s="43">
        <f>INDEX(DarlObj,5)</f>
      </c>
      <c r="D2334">
        <v>411</v>
      </c>
      <c r="E2334" s="51">
        <f>IF(INDEX(DarlBelegt,5)=0,0,EOMONTH(INDEX(DarlAuszahlung,5),410)+1)</f>
      </c>
      <c r="F2334" s="43">
        <f>IF($E2334=0,0,YEAR($E2334))</f>
      </c>
      <c r="G2334" s="43">
        <f>IF(INDEX(DarlBindung,5)="",1,IF($E2334&lt;=INDEX(DarlBindung,5),1,0))</f>
      </c>
      <c r="H2334" s="43">
        <f>IF($G2334=1,INDEX(DarlSollzins,5),INDEX(DarlAnschluss,5))</f>
      </c>
      <c r="I2334" s="43">
        <f>IF(INDEX(DarlBelegt,5)=0,0,IF(INDEX(DarlOhneTilgung,5)=1,IF(INDEX(DarlBindung,5)="",1,$G2334),IF($J2334&gt;0.005,1,0)))</f>
      </c>
      <c r="J2334" s="43">
        <f>IF($I2333=0,0,$R2333)</f>
      </c>
      <c r="K2334" s="43">
        <f>IF($I2334=0,0,IF(INDEX(DarlOhneTilgung,5)=1,0,IF(AND(INDEX(DarlTilgStart,5)&gt;0,$E2334=INDEX(DarlTilgStart,5)),$J2334*($H2334+INDEX(DarlTilgung,5))/100/12,IF(AND($G2334=0,$G2333=1),MAX($K2333,$J2334*($H2334+1)/100/12),$K2333))))</f>
      </c>
      <c r="L2334" s="43">
        <f>IF($I2334=0,0,$J2334*$H2334/100/12)</f>
      </c>
      <c r="M2334" s="43">
        <f>IF($I2334=0,0,IF(OR(INDEX(DarlOhneTilgung,5)=1,AND(INDEX(DarlTilgStart,5)&gt;0,$E2334&lt;INDEX(DarlTilgStart,5))),0,MIN(MAX(0,$K2334-$L2334),$J2334)))</f>
      </c>
      <c r="N2334" s="43">
        <f>IF($I2334=0,0,MIN(SUMIFS(SondBetrag,SondDarl,5,SondDatum,"&gt;="&amp;$E2334,SondDatum,"&lt;="&amp;EOMONTH($E2334,0)),$J2334-$M2334))</f>
      </c>
      <c r="O2334" s="43">
        <f>IF($I2334=0,0,INDEX(DarlErsatzRate,5))</f>
      </c>
      <c r="P2334" s="43">
        <f>IF($I2334=0,0,$Q2333*INDEX(DarlErsatzZins,5))</f>
      </c>
      <c r="Q2334" s="43">
        <f>IF($I2334=0,0,$Q2333+$P2334+$O2334)</f>
      </c>
      <c r="R2334" s="43">
        <f>IF($I2334=0,0,$J2334-$M2334-$N2334)</f>
      </c>
    </row>
    <row r="2335">
      <c r="A2335"/>
      <c r="B2335">
        <v>5</v>
      </c>
      <c r="C2335" s="43">
        <f>INDEX(DarlObj,5)</f>
      </c>
      <c r="D2335">
        <v>412</v>
      </c>
      <c r="E2335" s="51">
        <f>IF(INDEX(DarlBelegt,5)=0,0,EOMONTH(INDEX(DarlAuszahlung,5),411)+1)</f>
      </c>
      <c r="F2335" s="43">
        <f>IF($E2335=0,0,YEAR($E2335))</f>
      </c>
      <c r="G2335" s="43">
        <f>IF(INDEX(DarlBindung,5)="",1,IF($E2335&lt;=INDEX(DarlBindung,5),1,0))</f>
      </c>
      <c r="H2335" s="43">
        <f>IF($G2335=1,INDEX(DarlSollzins,5),INDEX(DarlAnschluss,5))</f>
      </c>
      <c r="I2335" s="43">
        <f>IF(INDEX(DarlBelegt,5)=0,0,IF(INDEX(DarlOhneTilgung,5)=1,IF(INDEX(DarlBindung,5)="",1,$G2335),IF($J2335&gt;0.005,1,0)))</f>
      </c>
      <c r="J2335" s="43">
        <f>IF($I2334=0,0,$R2334)</f>
      </c>
      <c r="K2335" s="43">
        <f>IF($I2335=0,0,IF(INDEX(DarlOhneTilgung,5)=1,0,IF(AND(INDEX(DarlTilgStart,5)&gt;0,$E2335=INDEX(DarlTilgStart,5)),$J2335*($H2335+INDEX(DarlTilgung,5))/100/12,IF(AND($G2335=0,$G2334=1),MAX($K2334,$J2335*($H2335+1)/100/12),$K2334))))</f>
      </c>
      <c r="L2335" s="43">
        <f>IF($I2335=0,0,$J2335*$H2335/100/12)</f>
      </c>
      <c r="M2335" s="43">
        <f>IF($I2335=0,0,IF(OR(INDEX(DarlOhneTilgung,5)=1,AND(INDEX(DarlTilgStart,5)&gt;0,$E2335&lt;INDEX(DarlTilgStart,5))),0,MIN(MAX(0,$K2335-$L2335),$J2335)))</f>
      </c>
      <c r="N2335" s="43">
        <f>IF($I2335=0,0,MIN(SUMIFS(SondBetrag,SondDarl,5,SondDatum,"&gt;="&amp;$E2335,SondDatum,"&lt;="&amp;EOMONTH($E2335,0)),$J2335-$M2335))</f>
      </c>
      <c r="O2335" s="43">
        <f>IF($I2335=0,0,INDEX(DarlErsatzRate,5))</f>
      </c>
      <c r="P2335" s="43">
        <f>IF($I2335=0,0,$Q2334*INDEX(DarlErsatzZins,5))</f>
      </c>
      <c r="Q2335" s="43">
        <f>IF($I2335=0,0,$Q2334+$P2335+$O2335)</f>
      </c>
      <c r="R2335" s="43">
        <f>IF($I2335=0,0,$J2335-$M2335-$N2335)</f>
      </c>
    </row>
    <row r="2336">
      <c r="A2336"/>
      <c r="B2336">
        <v>5</v>
      </c>
      <c r="C2336" s="43">
        <f>INDEX(DarlObj,5)</f>
      </c>
      <c r="D2336">
        <v>413</v>
      </c>
      <c r="E2336" s="51">
        <f>IF(INDEX(DarlBelegt,5)=0,0,EOMONTH(INDEX(DarlAuszahlung,5),412)+1)</f>
      </c>
      <c r="F2336" s="43">
        <f>IF($E2336=0,0,YEAR($E2336))</f>
      </c>
      <c r="G2336" s="43">
        <f>IF(INDEX(DarlBindung,5)="",1,IF($E2336&lt;=INDEX(DarlBindung,5),1,0))</f>
      </c>
      <c r="H2336" s="43">
        <f>IF($G2336=1,INDEX(DarlSollzins,5),INDEX(DarlAnschluss,5))</f>
      </c>
      <c r="I2336" s="43">
        <f>IF(INDEX(DarlBelegt,5)=0,0,IF(INDEX(DarlOhneTilgung,5)=1,IF(INDEX(DarlBindung,5)="",1,$G2336),IF($J2336&gt;0.005,1,0)))</f>
      </c>
      <c r="J2336" s="43">
        <f>IF($I2335=0,0,$R2335)</f>
      </c>
      <c r="K2336" s="43">
        <f>IF($I2336=0,0,IF(INDEX(DarlOhneTilgung,5)=1,0,IF(AND(INDEX(DarlTilgStart,5)&gt;0,$E2336=INDEX(DarlTilgStart,5)),$J2336*($H2336+INDEX(DarlTilgung,5))/100/12,IF(AND($G2336=0,$G2335=1),MAX($K2335,$J2336*($H2336+1)/100/12),$K2335))))</f>
      </c>
      <c r="L2336" s="43">
        <f>IF($I2336=0,0,$J2336*$H2336/100/12)</f>
      </c>
      <c r="M2336" s="43">
        <f>IF($I2336=0,0,IF(OR(INDEX(DarlOhneTilgung,5)=1,AND(INDEX(DarlTilgStart,5)&gt;0,$E2336&lt;INDEX(DarlTilgStart,5))),0,MIN(MAX(0,$K2336-$L2336),$J2336)))</f>
      </c>
      <c r="N2336" s="43">
        <f>IF($I2336=0,0,MIN(SUMIFS(SondBetrag,SondDarl,5,SondDatum,"&gt;="&amp;$E2336,SondDatum,"&lt;="&amp;EOMONTH($E2336,0)),$J2336-$M2336))</f>
      </c>
      <c r="O2336" s="43">
        <f>IF($I2336=0,0,INDEX(DarlErsatzRate,5))</f>
      </c>
      <c r="P2336" s="43">
        <f>IF($I2336=0,0,$Q2335*INDEX(DarlErsatzZins,5))</f>
      </c>
      <c r="Q2336" s="43">
        <f>IF($I2336=0,0,$Q2335+$P2336+$O2336)</f>
      </c>
      <c r="R2336" s="43">
        <f>IF($I2336=0,0,$J2336-$M2336-$N2336)</f>
      </c>
    </row>
    <row r="2337">
      <c r="A2337"/>
      <c r="B2337">
        <v>5</v>
      </c>
      <c r="C2337" s="43">
        <f>INDEX(DarlObj,5)</f>
      </c>
      <c r="D2337">
        <v>414</v>
      </c>
      <c r="E2337" s="51">
        <f>IF(INDEX(DarlBelegt,5)=0,0,EOMONTH(INDEX(DarlAuszahlung,5),413)+1)</f>
      </c>
      <c r="F2337" s="43">
        <f>IF($E2337=0,0,YEAR($E2337))</f>
      </c>
      <c r="G2337" s="43">
        <f>IF(INDEX(DarlBindung,5)="",1,IF($E2337&lt;=INDEX(DarlBindung,5),1,0))</f>
      </c>
      <c r="H2337" s="43">
        <f>IF($G2337=1,INDEX(DarlSollzins,5),INDEX(DarlAnschluss,5))</f>
      </c>
      <c r="I2337" s="43">
        <f>IF(INDEX(DarlBelegt,5)=0,0,IF(INDEX(DarlOhneTilgung,5)=1,IF(INDEX(DarlBindung,5)="",1,$G2337),IF($J2337&gt;0.005,1,0)))</f>
      </c>
      <c r="J2337" s="43">
        <f>IF($I2336=0,0,$R2336)</f>
      </c>
      <c r="K2337" s="43">
        <f>IF($I2337=0,0,IF(INDEX(DarlOhneTilgung,5)=1,0,IF(AND(INDEX(DarlTilgStart,5)&gt;0,$E2337=INDEX(DarlTilgStart,5)),$J2337*($H2337+INDEX(DarlTilgung,5))/100/12,IF(AND($G2337=0,$G2336=1),MAX($K2336,$J2337*($H2337+1)/100/12),$K2336))))</f>
      </c>
      <c r="L2337" s="43">
        <f>IF($I2337=0,0,$J2337*$H2337/100/12)</f>
      </c>
      <c r="M2337" s="43">
        <f>IF($I2337=0,0,IF(OR(INDEX(DarlOhneTilgung,5)=1,AND(INDEX(DarlTilgStart,5)&gt;0,$E2337&lt;INDEX(DarlTilgStart,5))),0,MIN(MAX(0,$K2337-$L2337),$J2337)))</f>
      </c>
      <c r="N2337" s="43">
        <f>IF($I2337=0,0,MIN(SUMIFS(SondBetrag,SondDarl,5,SondDatum,"&gt;="&amp;$E2337,SondDatum,"&lt;="&amp;EOMONTH($E2337,0)),$J2337-$M2337))</f>
      </c>
      <c r="O2337" s="43">
        <f>IF($I2337=0,0,INDEX(DarlErsatzRate,5))</f>
      </c>
      <c r="P2337" s="43">
        <f>IF($I2337=0,0,$Q2336*INDEX(DarlErsatzZins,5))</f>
      </c>
      <c r="Q2337" s="43">
        <f>IF($I2337=0,0,$Q2336+$P2337+$O2337)</f>
      </c>
      <c r="R2337" s="43">
        <f>IF($I2337=0,0,$J2337-$M2337-$N2337)</f>
      </c>
    </row>
    <row r="2338">
      <c r="A2338"/>
      <c r="B2338">
        <v>5</v>
      </c>
      <c r="C2338" s="43">
        <f>INDEX(DarlObj,5)</f>
      </c>
      <c r="D2338">
        <v>415</v>
      </c>
      <c r="E2338" s="51">
        <f>IF(INDEX(DarlBelegt,5)=0,0,EOMONTH(INDEX(DarlAuszahlung,5),414)+1)</f>
      </c>
      <c r="F2338" s="43">
        <f>IF($E2338=0,0,YEAR($E2338))</f>
      </c>
      <c r="G2338" s="43">
        <f>IF(INDEX(DarlBindung,5)="",1,IF($E2338&lt;=INDEX(DarlBindung,5),1,0))</f>
      </c>
      <c r="H2338" s="43">
        <f>IF($G2338=1,INDEX(DarlSollzins,5),INDEX(DarlAnschluss,5))</f>
      </c>
      <c r="I2338" s="43">
        <f>IF(INDEX(DarlBelegt,5)=0,0,IF(INDEX(DarlOhneTilgung,5)=1,IF(INDEX(DarlBindung,5)="",1,$G2338),IF($J2338&gt;0.005,1,0)))</f>
      </c>
      <c r="J2338" s="43">
        <f>IF($I2337=0,0,$R2337)</f>
      </c>
      <c r="K2338" s="43">
        <f>IF($I2338=0,0,IF(INDEX(DarlOhneTilgung,5)=1,0,IF(AND(INDEX(DarlTilgStart,5)&gt;0,$E2338=INDEX(DarlTilgStart,5)),$J2338*($H2338+INDEX(DarlTilgung,5))/100/12,IF(AND($G2338=0,$G2337=1),MAX($K2337,$J2338*($H2338+1)/100/12),$K2337))))</f>
      </c>
      <c r="L2338" s="43">
        <f>IF($I2338=0,0,$J2338*$H2338/100/12)</f>
      </c>
      <c r="M2338" s="43">
        <f>IF($I2338=0,0,IF(OR(INDEX(DarlOhneTilgung,5)=1,AND(INDEX(DarlTilgStart,5)&gt;0,$E2338&lt;INDEX(DarlTilgStart,5))),0,MIN(MAX(0,$K2338-$L2338),$J2338)))</f>
      </c>
      <c r="N2338" s="43">
        <f>IF($I2338=0,0,MIN(SUMIFS(SondBetrag,SondDarl,5,SondDatum,"&gt;="&amp;$E2338,SondDatum,"&lt;="&amp;EOMONTH($E2338,0)),$J2338-$M2338))</f>
      </c>
      <c r="O2338" s="43">
        <f>IF($I2338=0,0,INDEX(DarlErsatzRate,5))</f>
      </c>
      <c r="P2338" s="43">
        <f>IF($I2338=0,0,$Q2337*INDEX(DarlErsatzZins,5))</f>
      </c>
      <c r="Q2338" s="43">
        <f>IF($I2338=0,0,$Q2337+$P2338+$O2338)</f>
      </c>
      <c r="R2338" s="43">
        <f>IF($I2338=0,0,$J2338-$M2338-$N2338)</f>
      </c>
    </row>
    <row r="2339">
      <c r="A2339"/>
      <c r="B2339">
        <v>5</v>
      </c>
      <c r="C2339" s="43">
        <f>INDEX(DarlObj,5)</f>
      </c>
      <c r="D2339">
        <v>416</v>
      </c>
      <c r="E2339" s="51">
        <f>IF(INDEX(DarlBelegt,5)=0,0,EOMONTH(INDEX(DarlAuszahlung,5),415)+1)</f>
      </c>
      <c r="F2339" s="43">
        <f>IF($E2339=0,0,YEAR($E2339))</f>
      </c>
      <c r="G2339" s="43">
        <f>IF(INDEX(DarlBindung,5)="",1,IF($E2339&lt;=INDEX(DarlBindung,5),1,0))</f>
      </c>
      <c r="H2339" s="43">
        <f>IF($G2339=1,INDEX(DarlSollzins,5),INDEX(DarlAnschluss,5))</f>
      </c>
      <c r="I2339" s="43">
        <f>IF(INDEX(DarlBelegt,5)=0,0,IF(INDEX(DarlOhneTilgung,5)=1,IF(INDEX(DarlBindung,5)="",1,$G2339),IF($J2339&gt;0.005,1,0)))</f>
      </c>
      <c r="J2339" s="43">
        <f>IF($I2338=0,0,$R2338)</f>
      </c>
      <c r="K2339" s="43">
        <f>IF($I2339=0,0,IF(INDEX(DarlOhneTilgung,5)=1,0,IF(AND(INDEX(DarlTilgStart,5)&gt;0,$E2339=INDEX(DarlTilgStart,5)),$J2339*($H2339+INDEX(DarlTilgung,5))/100/12,IF(AND($G2339=0,$G2338=1),MAX($K2338,$J2339*($H2339+1)/100/12),$K2338))))</f>
      </c>
      <c r="L2339" s="43">
        <f>IF($I2339=0,0,$J2339*$H2339/100/12)</f>
      </c>
      <c r="M2339" s="43">
        <f>IF($I2339=0,0,IF(OR(INDEX(DarlOhneTilgung,5)=1,AND(INDEX(DarlTilgStart,5)&gt;0,$E2339&lt;INDEX(DarlTilgStart,5))),0,MIN(MAX(0,$K2339-$L2339),$J2339)))</f>
      </c>
      <c r="N2339" s="43">
        <f>IF($I2339=0,0,MIN(SUMIFS(SondBetrag,SondDarl,5,SondDatum,"&gt;="&amp;$E2339,SondDatum,"&lt;="&amp;EOMONTH($E2339,0)),$J2339-$M2339))</f>
      </c>
      <c r="O2339" s="43">
        <f>IF($I2339=0,0,INDEX(DarlErsatzRate,5))</f>
      </c>
      <c r="P2339" s="43">
        <f>IF($I2339=0,0,$Q2338*INDEX(DarlErsatzZins,5))</f>
      </c>
      <c r="Q2339" s="43">
        <f>IF($I2339=0,0,$Q2338+$P2339+$O2339)</f>
      </c>
      <c r="R2339" s="43">
        <f>IF($I2339=0,0,$J2339-$M2339-$N2339)</f>
      </c>
    </row>
    <row r="2340">
      <c r="A2340"/>
      <c r="B2340">
        <v>5</v>
      </c>
      <c r="C2340" s="43">
        <f>INDEX(DarlObj,5)</f>
      </c>
      <c r="D2340">
        <v>417</v>
      </c>
      <c r="E2340" s="51">
        <f>IF(INDEX(DarlBelegt,5)=0,0,EOMONTH(INDEX(DarlAuszahlung,5),416)+1)</f>
      </c>
      <c r="F2340" s="43">
        <f>IF($E2340=0,0,YEAR($E2340))</f>
      </c>
      <c r="G2340" s="43">
        <f>IF(INDEX(DarlBindung,5)="",1,IF($E2340&lt;=INDEX(DarlBindung,5),1,0))</f>
      </c>
      <c r="H2340" s="43">
        <f>IF($G2340=1,INDEX(DarlSollzins,5),INDEX(DarlAnschluss,5))</f>
      </c>
      <c r="I2340" s="43">
        <f>IF(INDEX(DarlBelegt,5)=0,0,IF(INDEX(DarlOhneTilgung,5)=1,IF(INDEX(DarlBindung,5)="",1,$G2340),IF($J2340&gt;0.005,1,0)))</f>
      </c>
      <c r="J2340" s="43">
        <f>IF($I2339=0,0,$R2339)</f>
      </c>
      <c r="K2340" s="43">
        <f>IF($I2340=0,0,IF(INDEX(DarlOhneTilgung,5)=1,0,IF(AND(INDEX(DarlTilgStart,5)&gt;0,$E2340=INDEX(DarlTilgStart,5)),$J2340*($H2340+INDEX(DarlTilgung,5))/100/12,IF(AND($G2340=0,$G2339=1),MAX($K2339,$J2340*($H2340+1)/100/12),$K2339))))</f>
      </c>
      <c r="L2340" s="43">
        <f>IF($I2340=0,0,$J2340*$H2340/100/12)</f>
      </c>
      <c r="M2340" s="43">
        <f>IF($I2340=0,0,IF(OR(INDEX(DarlOhneTilgung,5)=1,AND(INDEX(DarlTilgStart,5)&gt;0,$E2340&lt;INDEX(DarlTilgStart,5))),0,MIN(MAX(0,$K2340-$L2340),$J2340)))</f>
      </c>
      <c r="N2340" s="43">
        <f>IF($I2340=0,0,MIN(SUMIFS(SondBetrag,SondDarl,5,SondDatum,"&gt;="&amp;$E2340,SondDatum,"&lt;="&amp;EOMONTH($E2340,0)),$J2340-$M2340))</f>
      </c>
      <c r="O2340" s="43">
        <f>IF($I2340=0,0,INDEX(DarlErsatzRate,5))</f>
      </c>
      <c r="P2340" s="43">
        <f>IF($I2340=0,0,$Q2339*INDEX(DarlErsatzZins,5))</f>
      </c>
      <c r="Q2340" s="43">
        <f>IF($I2340=0,0,$Q2339+$P2340+$O2340)</f>
      </c>
      <c r="R2340" s="43">
        <f>IF($I2340=0,0,$J2340-$M2340-$N2340)</f>
      </c>
    </row>
    <row r="2341">
      <c r="A2341"/>
      <c r="B2341">
        <v>5</v>
      </c>
      <c r="C2341" s="43">
        <f>INDEX(DarlObj,5)</f>
      </c>
      <c r="D2341">
        <v>418</v>
      </c>
      <c r="E2341" s="51">
        <f>IF(INDEX(DarlBelegt,5)=0,0,EOMONTH(INDEX(DarlAuszahlung,5),417)+1)</f>
      </c>
      <c r="F2341" s="43">
        <f>IF($E2341=0,0,YEAR($E2341))</f>
      </c>
      <c r="G2341" s="43">
        <f>IF(INDEX(DarlBindung,5)="",1,IF($E2341&lt;=INDEX(DarlBindung,5),1,0))</f>
      </c>
      <c r="H2341" s="43">
        <f>IF($G2341=1,INDEX(DarlSollzins,5),INDEX(DarlAnschluss,5))</f>
      </c>
      <c r="I2341" s="43">
        <f>IF(INDEX(DarlBelegt,5)=0,0,IF(INDEX(DarlOhneTilgung,5)=1,IF(INDEX(DarlBindung,5)="",1,$G2341),IF($J2341&gt;0.005,1,0)))</f>
      </c>
      <c r="J2341" s="43">
        <f>IF($I2340=0,0,$R2340)</f>
      </c>
      <c r="K2341" s="43">
        <f>IF($I2341=0,0,IF(INDEX(DarlOhneTilgung,5)=1,0,IF(AND(INDEX(DarlTilgStart,5)&gt;0,$E2341=INDEX(DarlTilgStart,5)),$J2341*($H2341+INDEX(DarlTilgung,5))/100/12,IF(AND($G2341=0,$G2340=1),MAX($K2340,$J2341*($H2341+1)/100/12),$K2340))))</f>
      </c>
      <c r="L2341" s="43">
        <f>IF($I2341=0,0,$J2341*$H2341/100/12)</f>
      </c>
      <c r="M2341" s="43">
        <f>IF($I2341=0,0,IF(OR(INDEX(DarlOhneTilgung,5)=1,AND(INDEX(DarlTilgStart,5)&gt;0,$E2341&lt;INDEX(DarlTilgStart,5))),0,MIN(MAX(0,$K2341-$L2341),$J2341)))</f>
      </c>
      <c r="N2341" s="43">
        <f>IF($I2341=0,0,MIN(SUMIFS(SondBetrag,SondDarl,5,SondDatum,"&gt;="&amp;$E2341,SondDatum,"&lt;="&amp;EOMONTH($E2341,0)),$J2341-$M2341))</f>
      </c>
      <c r="O2341" s="43">
        <f>IF($I2341=0,0,INDEX(DarlErsatzRate,5))</f>
      </c>
      <c r="P2341" s="43">
        <f>IF($I2341=0,0,$Q2340*INDEX(DarlErsatzZins,5))</f>
      </c>
      <c r="Q2341" s="43">
        <f>IF($I2341=0,0,$Q2340+$P2341+$O2341)</f>
      </c>
      <c r="R2341" s="43">
        <f>IF($I2341=0,0,$J2341-$M2341-$N2341)</f>
      </c>
    </row>
    <row r="2342">
      <c r="A2342"/>
      <c r="B2342">
        <v>5</v>
      </c>
      <c r="C2342" s="43">
        <f>INDEX(DarlObj,5)</f>
      </c>
      <c r="D2342">
        <v>419</v>
      </c>
      <c r="E2342" s="51">
        <f>IF(INDEX(DarlBelegt,5)=0,0,EOMONTH(INDEX(DarlAuszahlung,5),418)+1)</f>
      </c>
      <c r="F2342" s="43">
        <f>IF($E2342=0,0,YEAR($E2342))</f>
      </c>
      <c r="G2342" s="43">
        <f>IF(INDEX(DarlBindung,5)="",1,IF($E2342&lt;=INDEX(DarlBindung,5),1,0))</f>
      </c>
      <c r="H2342" s="43">
        <f>IF($G2342=1,INDEX(DarlSollzins,5),INDEX(DarlAnschluss,5))</f>
      </c>
      <c r="I2342" s="43">
        <f>IF(INDEX(DarlBelegt,5)=0,0,IF(INDEX(DarlOhneTilgung,5)=1,IF(INDEX(DarlBindung,5)="",1,$G2342),IF($J2342&gt;0.005,1,0)))</f>
      </c>
      <c r="J2342" s="43">
        <f>IF($I2341=0,0,$R2341)</f>
      </c>
      <c r="K2342" s="43">
        <f>IF($I2342=0,0,IF(INDEX(DarlOhneTilgung,5)=1,0,IF(AND(INDEX(DarlTilgStart,5)&gt;0,$E2342=INDEX(DarlTilgStart,5)),$J2342*($H2342+INDEX(DarlTilgung,5))/100/12,IF(AND($G2342=0,$G2341=1),MAX($K2341,$J2342*($H2342+1)/100/12),$K2341))))</f>
      </c>
      <c r="L2342" s="43">
        <f>IF($I2342=0,0,$J2342*$H2342/100/12)</f>
      </c>
      <c r="M2342" s="43">
        <f>IF($I2342=0,0,IF(OR(INDEX(DarlOhneTilgung,5)=1,AND(INDEX(DarlTilgStart,5)&gt;0,$E2342&lt;INDEX(DarlTilgStart,5))),0,MIN(MAX(0,$K2342-$L2342),$J2342)))</f>
      </c>
      <c r="N2342" s="43">
        <f>IF($I2342=0,0,MIN(SUMIFS(SondBetrag,SondDarl,5,SondDatum,"&gt;="&amp;$E2342,SondDatum,"&lt;="&amp;EOMONTH($E2342,0)),$J2342-$M2342))</f>
      </c>
      <c r="O2342" s="43">
        <f>IF($I2342=0,0,INDEX(DarlErsatzRate,5))</f>
      </c>
      <c r="P2342" s="43">
        <f>IF($I2342=0,0,$Q2341*INDEX(DarlErsatzZins,5))</f>
      </c>
      <c r="Q2342" s="43">
        <f>IF($I2342=0,0,$Q2341+$P2342+$O2342)</f>
      </c>
      <c r="R2342" s="43">
        <f>IF($I2342=0,0,$J2342-$M2342-$N2342)</f>
      </c>
    </row>
    <row r="2343">
      <c r="A2343"/>
      <c r="B2343">
        <v>5</v>
      </c>
      <c r="C2343" s="43">
        <f>INDEX(DarlObj,5)</f>
      </c>
      <c r="D2343">
        <v>420</v>
      </c>
      <c r="E2343" s="51">
        <f>IF(INDEX(DarlBelegt,5)=0,0,EOMONTH(INDEX(DarlAuszahlung,5),419)+1)</f>
      </c>
      <c r="F2343" s="43">
        <f>IF($E2343=0,0,YEAR($E2343))</f>
      </c>
      <c r="G2343" s="43">
        <f>IF(INDEX(DarlBindung,5)="",1,IF($E2343&lt;=INDEX(DarlBindung,5),1,0))</f>
      </c>
      <c r="H2343" s="43">
        <f>IF($G2343=1,INDEX(DarlSollzins,5),INDEX(DarlAnschluss,5))</f>
      </c>
      <c r="I2343" s="43">
        <f>IF(INDEX(DarlBelegt,5)=0,0,IF(INDEX(DarlOhneTilgung,5)=1,IF(INDEX(DarlBindung,5)="",1,$G2343),IF($J2343&gt;0.005,1,0)))</f>
      </c>
      <c r="J2343" s="43">
        <f>IF($I2342=0,0,$R2342)</f>
      </c>
      <c r="K2343" s="43">
        <f>IF($I2343=0,0,IF(INDEX(DarlOhneTilgung,5)=1,0,IF(AND(INDEX(DarlTilgStart,5)&gt;0,$E2343=INDEX(DarlTilgStart,5)),$J2343*($H2343+INDEX(DarlTilgung,5))/100/12,IF(AND($G2343=0,$G2342=1),MAX($K2342,$J2343*($H2343+1)/100/12),$K2342))))</f>
      </c>
      <c r="L2343" s="43">
        <f>IF($I2343=0,0,$J2343*$H2343/100/12)</f>
      </c>
      <c r="M2343" s="43">
        <f>IF($I2343=0,0,IF(OR(INDEX(DarlOhneTilgung,5)=1,AND(INDEX(DarlTilgStart,5)&gt;0,$E2343&lt;INDEX(DarlTilgStart,5))),0,MIN(MAX(0,$K2343-$L2343),$J2343)))</f>
      </c>
      <c r="N2343" s="43">
        <f>IF($I2343=0,0,MIN(SUMIFS(SondBetrag,SondDarl,5,SondDatum,"&gt;="&amp;$E2343,SondDatum,"&lt;="&amp;EOMONTH($E2343,0)),$J2343-$M2343))</f>
      </c>
      <c r="O2343" s="43">
        <f>IF($I2343=0,0,INDEX(DarlErsatzRate,5))</f>
      </c>
      <c r="P2343" s="43">
        <f>IF($I2343=0,0,$Q2342*INDEX(DarlErsatzZins,5))</f>
      </c>
      <c r="Q2343" s="43">
        <f>IF($I2343=0,0,$Q2342+$P2343+$O2343)</f>
      </c>
      <c r="R2343" s="43">
        <f>IF($I2343=0,0,$J2343-$M2343-$N2343)</f>
      </c>
    </row>
    <row r="2344">
      <c r="A2344"/>
      <c r="B2344">
        <v>5</v>
      </c>
      <c r="C2344" s="43">
        <f>INDEX(DarlObj,5)</f>
      </c>
      <c r="D2344">
        <v>421</v>
      </c>
      <c r="E2344" s="51">
        <f>IF(INDEX(DarlBelegt,5)=0,0,EOMONTH(INDEX(DarlAuszahlung,5),420)+1)</f>
      </c>
      <c r="F2344" s="43">
        <f>IF($E2344=0,0,YEAR($E2344))</f>
      </c>
      <c r="G2344" s="43">
        <f>IF(INDEX(DarlBindung,5)="",1,IF($E2344&lt;=INDEX(DarlBindung,5),1,0))</f>
      </c>
      <c r="H2344" s="43">
        <f>IF($G2344=1,INDEX(DarlSollzins,5),INDEX(DarlAnschluss,5))</f>
      </c>
      <c r="I2344" s="43">
        <f>IF(INDEX(DarlBelegt,5)=0,0,IF(INDEX(DarlOhneTilgung,5)=1,IF(INDEX(DarlBindung,5)="",1,$G2344),IF($J2344&gt;0.005,1,0)))</f>
      </c>
      <c r="J2344" s="43">
        <f>IF($I2343=0,0,$R2343)</f>
      </c>
      <c r="K2344" s="43">
        <f>IF($I2344=0,0,IF(INDEX(DarlOhneTilgung,5)=1,0,IF(AND(INDEX(DarlTilgStart,5)&gt;0,$E2344=INDEX(DarlTilgStart,5)),$J2344*($H2344+INDEX(DarlTilgung,5))/100/12,IF(AND($G2344=0,$G2343=1),MAX($K2343,$J2344*($H2344+1)/100/12),$K2343))))</f>
      </c>
      <c r="L2344" s="43">
        <f>IF($I2344=0,0,$J2344*$H2344/100/12)</f>
      </c>
      <c r="M2344" s="43">
        <f>IF($I2344=0,0,IF(OR(INDEX(DarlOhneTilgung,5)=1,AND(INDEX(DarlTilgStart,5)&gt;0,$E2344&lt;INDEX(DarlTilgStart,5))),0,MIN(MAX(0,$K2344-$L2344),$J2344)))</f>
      </c>
      <c r="N2344" s="43">
        <f>IF($I2344=0,0,MIN(SUMIFS(SondBetrag,SondDarl,5,SondDatum,"&gt;="&amp;$E2344,SondDatum,"&lt;="&amp;EOMONTH($E2344,0)),$J2344-$M2344))</f>
      </c>
      <c r="O2344" s="43">
        <f>IF($I2344=0,0,INDEX(DarlErsatzRate,5))</f>
      </c>
      <c r="P2344" s="43">
        <f>IF($I2344=0,0,$Q2343*INDEX(DarlErsatzZins,5))</f>
      </c>
      <c r="Q2344" s="43">
        <f>IF($I2344=0,0,$Q2343+$P2344+$O2344)</f>
      </c>
      <c r="R2344" s="43">
        <f>IF($I2344=0,0,$J2344-$M2344-$N2344)</f>
      </c>
    </row>
    <row r="2345">
      <c r="A2345"/>
      <c r="B2345">
        <v>5</v>
      </c>
      <c r="C2345" s="43">
        <f>INDEX(DarlObj,5)</f>
      </c>
      <c r="D2345">
        <v>422</v>
      </c>
      <c r="E2345" s="51">
        <f>IF(INDEX(DarlBelegt,5)=0,0,EOMONTH(INDEX(DarlAuszahlung,5),421)+1)</f>
      </c>
      <c r="F2345" s="43">
        <f>IF($E2345=0,0,YEAR($E2345))</f>
      </c>
      <c r="G2345" s="43">
        <f>IF(INDEX(DarlBindung,5)="",1,IF($E2345&lt;=INDEX(DarlBindung,5),1,0))</f>
      </c>
      <c r="H2345" s="43">
        <f>IF($G2345=1,INDEX(DarlSollzins,5),INDEX(DarlAnschluss,5))</f>
      </c>
      <c r="I2345" s="43">
        <f>IF(INDEX(DarlBelegt,5)=0,0,IF(INDEX(DarlOhneTilgung,5)=1,IF(INDEX(DarlBindung,5)="",1,$G2345),IF($J2345&gt;0.005,1,0)))</f>
      </c>
      <c r="J2345" s="43">
        <f>IF($I2344=0,0,$R2344)</f>
      </c>
      <c r="K2345" s="43">
        <f>IF($I2345=0,0,IF(INDEX(DarlOhneTilgung,5)=1,0,IF(AND(INDEX(DarlTilgStart,5)&gt;0,$E2345=INDEX(DarlTilgStart,5)),$J2345*($H2345+INDEX(DarlTilgung,5))/100/12,IF(AND($G2345=0,$G2344=1),MAX($K2344,$J2345*($H2345+1)/100/12),$K2344))))</f>
      </c>
      <c r="L2345" s="43">
        <f>IF($I2345=0,0,$J2345*$H2345/100/12)</f>
      </c>
      <c r="M2345" s="43">
        <f>IF($I2345=0,0,IF(OR(INDEX(DarlOhneTilgung,5)=1,AND(INDEX(DarlTilgStart,5)&gt;0,$E2345&lt;INDEX(DarlTilgStart,5))),0,MIN(MAX(0,$K2345-$L2345),$J2345)))</f>
      </c>
      <c r="N2345" s="43">
        <f>IF($I2345=0,0,MIN(SUMIFS(SondBetrag,SondDarl,5,SondDatum,"&gt;="&amp;$E2345,SondDatum,"&lt;="&amp;EOMONTH($E2345,0)),$J2345-$M2345))</f>
      </c>
      <c r="O2345" s="43">
        <f>IF($I2345=0,0,INDEX(DarlErsatzRate,5))</f>
      </c>
      <c r="P2345" s="43">
        <f>IF($I2345=0,0,$Q2344*INDEX(DarlErsatzZins,5))</f>
      </c>
      <c r="Q2345" s="43">
        <f>IF($I2345=0,0,$Q2344+$P2345+$O2345)</f>
      </c>
      <c r="R2345" s="43">
        <f>IF($I2345=0,0,$J2345-$M2345-$N2345)</f>
      </c>
    </row>
    <row r="2346">
      <c r="A2346"/>
      <c r="B2346">
        <v>5</v>
      </c>
      <c r="C2346" s="43">
        <f>INDEX(DarlObj,5)</f>
      </c>
      <c r="D2346">
        <v>423</v>
      </c>
      <c r="E2346" s="51">
        <f>IF(INDEX(DarlBelegt,5)=0,0,EOMONTH(INDEX(DarlAuszahlung,5),422)+1)</f>
      </c>
      <c r="F2346" s="43">
        <f>IF($E2346=0,0,YEAR($E2346))</f>
      </c>
      <c r="G2346" s="43">
        <f>IF(INDEX(DarlBindung,5)="",1,IF($E2346&lt;=INDEX(DarlBindung,5),1,0))</f>
      </c>
      <c r="H2346" s="43">
        <f>IF($G2346=1,INDEX(DarlSollzins,5),INDEX(DarlAnschluss,5))</f>
      </c>
      <c r="I2346" s="43">
        <f>IF(INDEX(DarlBelegt,5)=0,0,IF(INDEX(DarlOhneTilgung,5)=1,IF(INDEX(DarlBindung,5)="",1,$G2346),IF($J2346&gt;0.005,1,0)))</f>
      </c>
      <c r="J2346" s="43">
        <f>IF($I2345=0,0,$R2345)</f>
      </c>
      <c r="K2346" s="43">
        <f>IF($I2346=0,0,IF(INDEX(DarlOhneTilgung,5)=1,0,IF(AND(INDEX(DarlTilgStart,5)&gt;0,$E2346=INDEX(DarlTilgStart,5)),$J2346*($H2346+INDEX(DarlTilgung,5))/100/12,IF(AND($G2346=0,$G2345=1),MAX($K2345,$J2346*($H2346+1)/100/12),$K2345))))</f>
      </c>
      <c r="L2346" s="43">
        <f>IF($I2346=0,0,$J2346*$H2346/100/12)</f>
      </c>
      <c r="M2346" s="43">
        <f>IF($I2346=0,0,IF(OR(INDEX(DarlOhneTilgung,5)=1,AND(INDEX(DarlTilgStart,5)&gt;0,$E2346&lt;INDEX(DarlTilgStart,5))),0,MIN(MAX(0,$K2346-$L2346),$J2346)))</f>
      </c>
      <c r="N2346" s="43">
        <f>IF($I2346=0,0,MIN(SUMIFS(SondBetrag,SondDarl,5,SondDatum,"&gt;="&amp;$E2346,SondDatum,"&lt;="&amp;EOMONTH($E2346,0)),$J2346-$M2346))</f>
      </c>
      <c r="O2346" s="43">
        <f>IF($I2346=0,0,INDEX(DarlErsatzRate,5))</f>
      </c>
      <c r="P2346" s="43">
        <f>IF($I2346=0,0,$Q2345*INDEX(DarlErsatzZins,5))</f>
      </c>
      <c r="Q2346" s="43">
        <f>IF($I2346=0,0,$Q2345+$P2346+$O2346)</f>
      </c>
      <c r="R2346" s="43">
        <f>IF($I2346=0,0,$J2346-$M2346-$N2346)</f>
      </c>
    </row>
    <row r="2347">
      <c r="A2347"/>
      <c r="B2347">
        <v>5</v>
      </c>
      <c r="C2347" s="43">
        <f>INDEX(DarlObj,5)</f>
      </c>
      <c r="D2347">
        <v>424</v>
      </c>
      <c r="E2347" s="51">
        <f>IF(INDEX(DarlBelegt,5)=0,0,EOMONTH(INDEX(DarlAuszahlung,5),423)+1)</f>
      </c>
      <c r="F2347" s="43">
        <f>IF($E2347=0,0,YEAR($E2347))</f>
      </c>
      <c r="G2347" s="43">
        <f>IF(INDEX(DarlBindung,5)="",1,IF($E2347&lt;=INDEX(DarlBindung,5),1,0))</f>
      </c>
      <c r="H2347" s="43">
        <f>IF($G2347=1,INDEX(DarlSollzins,5),INDEX(DarlAnschluss,5))</f>
      </c>
      <c r="I2347" s="43">
        <f>IF(INDEX(DarlBelegt,5)=0,0,IF(INDEX(DarlOhneTilgung,5)=1,IF(INDEX(DarlBindung,5)="",1,$G2347),IF($J2347&gt;0.005,1,0)))</f>
      </c>
      <c r="J2347" s="43">
        <f>IF($I2346=0,0,$R2346)</f>
      </c>
      <c r="K2347" s="43">
        <f>IF($I2347=0,0,IF(INDEX(DarlOhneTilgung,5)=1,0,IF(AND(INDEX(DarlTilgStart,5)&gt;0,$E2347=INDEX(DarlTilgStart,5)),$J2347*($H2347+INDEX(DarlTilgung,5))/100/12,IF(AND($G2347=0,$G2346=1),MAX($K2346,$J2347*($H2347+1)/100/12),$K2346))))</f>
      </c>
      <c r="L2347" s="43">
        <f>IF($I2347=0,0,$J2347*$H2347/100/12)</f>
      </c>
      <c r="M2347" s="43">
        <f>IF($I2347=0,0,IF(OR(INDEX(DarlOhneTilgung,5)=1,AND(INDEX(DarlTilgStart,5)&gt;0,$E2347&lt;INDEX(DarlTilgStart,5))),0,MIN(MAX(0,$K2347-$L2347),$J2347)))</f>
      </c>
      <c r="N2347" s="43">
        <f>IF($I2347=0,0,MIN(SUMIFS(SondBetrag,SondDarl,5,SondDatum,"&gt;="&amp;$E2347,SondDatum,"&lt;="&amp;EOMONTH($E2347,0)),$J2347-$M2347))</f>
      </c>
      <c r="O2347" s="43">
        <f>IF($I2347=0,0,INDEX(DarlErsatzRate,5))</f>
      </c>
      <c r="P2347" s="43">
        <f>IF($I2347=0,0,$Q2346*INDEX(DarlErsatzZins,5))</f>
      </c>
      <c r="Q2347" s="43">
        <f>IF($I2347=0,0,$Q2346+$P2347+$O2347)</f>
      </c>
      <c r="R2347" s="43">
        <f>IF($I2347=0,0,$J2347-$M2347-$N2347)</f>
      </c>
    </row>
    <row r="2348">
      <c r="A2348"/>
      <c r="B2348">
        <v>5</v>
      </c>
      <c r="C2348" s="43">
        <f>INDEX(DarlObj,5)</f>
      </c>
      <c r="D2348">
        <v>425</v>
      </c>
      <c r="E2348" s="51">
        <f>IF(INDEX(DarlBelegt,5)=0,0,EOMONTH(INDEX(DarlAuszahlung,5),424)+1)</f>
      </c>
      <c r="F2348" s="43">
        <f>IF($E2348=0,0,YEAR($E2348))</f>
      </c>
      <c r="G2348" s="43">
        <f>IF(INDEX(DarlBindung,5)="",1,IF($E2348&lt;=INDEX(DarlBindung,5),1,0))</f>
      </c>
      <c r="H2348" s="43">
        <f>IF($G2348=1,INDEX(DarlSollzins,5),INDEX(DarlAnschluss,5))</f>
      </c>
      <c r="I2348" s="43">
        <f>IF(INDEX(DarlBelegt,5)=0,0,IF(INDEX(DarlOhneTilgung,5)=1,IF(INDEX(DarlBindung,5)="",1,$G2348),IF($J2348&gt;0.005,1,0)))</f>
      </c>
      <c r="J2348" s="43">
        <f>IF($I2347=0,0,$R2347)</f>
      </c>
      <c r="K2348" s="43">
        <f>IF($I2348=0,0,IF(INDEX(DarlOhneTilgung,5)=1,0,IF(AND(INDEX(DarlTilgStart,5)&gt;0,$E2348=INDEX(DarlTilgStart,5)),$J2348*($H2348+INDEX(DarlTilgung,5))/100/12,IF(AND($G2348=0,$G2347=1),MAX($K2347,$J2348*($H2348+1)/100/12),$K2347))))</f>
      </c>
      <c r="L2348" s="43">
        <f>IF($I2348=0,0,$J2348*$H2348/100/12)</f>
      </c>
      <c r="M2348" s="43">
        <f>IF($I2348=0,0,IF(OR(INDEX(DarlOhneTilgung,5)=1,AND(INDEX(DarlTilgStart,5)&gt;0,$E2348&lt;INDEX(DarlTilgStart,5))),0,MIN(MAX(0,$K2348-$L2348),$J2348)))</f>
      </c>
      <c r="N2348" s="43">
        <f>IF($I2348=0,0,MIN(SUMIFS(SondBetrag,SondDarl,5,SondDatum,"&gt;="&amp;$E2348,SondDatum,"&lt;="&amp;EOMONTH($E2348,0)),$J2348-$M2348))</f>
      </c>
      <c r="O2348" s="43">
        <f>IF($I2348=0,0,INDEX(DarlErsatzRate,5))</f>
      </c>
      <c r="P2348" s="43">
        <f>IF($I2348=0,0,$Q2347*INDEX(DarlErsatzZins,5))</f>
      </c>
      <c r="Q2348" s="43">
        <f>IF($I2348=0,0,$Q2347+$P2348+$O2348)</f>
      </c>
      <c r="R2348" s="43">
        <f>IF($I2348=0,0,$J2348-$M2348-$N2348)</f>
      </c>
    </row>
    <row r="2349">
      <c r="A2349"/>
      <c r="B2349">
        <v>5</v>
      </c>
      <c r="C2349" s="43">
        <f>INDEX(DarlObj,5)</f>
      </c>
      <c r="D2349">
        <v>426</v>
      </c>
      <c r="E2349" s="51">
        <f>IF(INDEX(DarlBelegt,5)=0,0,EOMONTH(INDEX(DarlAuszahlung,5),425)+1)</f>
      </c>
      <c r="F2349" s="43">
        <f>IF($E2349=0,0,YEAR($E2349))</f>
      </c>
      <c r="G2349" s="43">
        <f>IF(INDEX(DarlBindung,5)="",1,IF($E2349&lt;=INDEX(DarlBindung,5),1,0))</f>
      </c>
      <c r="H2349" s="43">
        <f>IF($G2349=1,INDEX(DarlSollzins,5),INDEX(DarlAnschluss,5))</f>
      </c>
      <c r="I2349" s="43">
        <f>IF(INDEX(DarlBelegt,5)=0,0,IF(INDEX(DarlOhneTilgung,5)=1,IF(INDEX(DarlBindung,5)="",1,$G2349),IF($J2349&gt;0.005,1,0)))</f>
      </c>
      <c r="J2349" s="43">
        <f>IF($I2348=0,0,$R2348)</f>
      </c>
      <c r="K2349" s="43">
        <f>IF($I2349=0,0,IF(INDEX(DarlOhneTilgung,5)=1,0,IF(AND(INDEX(DarlTilgStart,5)&gt;0,$E2349=INDEX(DarlTilgStart,5)),$J2349*($H2349+INDEX(DarlTilgung,5))/100/12,IF(AND($G2349=0,$G2348=1),MAX($K2348,$J2349*($H2349+1)/100/12),$K2348))))</f>
      </c>
      <c r="L2349" s="43">
        <f>IF($I2349=0,0,$J2349*$H2349/100/12)</f>
      </c>
      <c r="M2349" s="43">
        <f>IF($I2349=0,0,IF(OR(INDEX(DarlOhneTilgung,5)=1,AND(INDEX(DarlTilgStart,5)&gt;0,$E2349&lt;INDEX(DarlTilgStart,5))),0,MIN(MAX(0,$K2349-$L2349),$J2349)))</f>
      </c>
      <c r="N2349" s="43">
        <f>IF($I2349=0,0,MIN(SUMIFS(SondBetrag,SondDarl,5,SondDatum,"&gt;="&amp;$E2349,SondDatum,"&lt;="&amp;EOMONTH($E2349,0)),$J2349-$M2349))</f>
      </c>
      <c r="O2349" s="43">
        <f>IF($I2349=0,0,INDEX(DarlErsatzRate,5))</f>
      </c>
      <c r="P2349" s="43">
        <f>IF($I2349=0,0,$Q2348*INDEX(DarlErsatzZins,5))</f>
      </c>
      <c r="Q2349" s="43">
        <f>IF($I2349=0,0,$Q2348+$P2349+$O2349)</f>
      </c>
      <c r="R2349" s="43">
        <f>IF($I2349=0,0,$J2349-$M2349-$N2349)</f>
      </c>
    </row>
    <row r="2350">
      <c r="A2350"/>
      <c r="B2350">
        <v>5</v>
      </c>
      <c r="C2350" s="43">
        <f>INDEX(DarlObj,5)</f>
      </c>
      <c r="D2350">
        <v>427</v>
      </c>
      <c r="E2350" s="51">
        <f>IF(INDEX(DarlBelegt,5)=0,0,EOMONTH(INDEX(DarlAuszahlung,5),426)+1)</f>
      </c>
      <c r="F2350" s="43">
        <f>IF($E2350=0,0,YEAR($E2350))</f>
      </c>
      <c r="G2350" s="43">
        <f>IF(INDEX(DarlBindung,5)="",1,IF($E2350&lt;=INDEX(DarlBindung,5),1,0))</f>
      </c>
      <c r="H2350" s="43">
        <f>IF($G2350=1,INDEX(DarlSollzins,5),INDEX(DarlAnschluss,5))</f>
      </c>
      <c r="I2350" s="43">
        <f>IF(INDEX(DarlBelegt,5)=0,0,IF(INDEX(DarlOhneTilgung,5)=1,IF(INDEX(DarlBindung,5)="",1,$G2350),IF($J2350&gt;0.005,1,0)))</f>
      </c>
      <c r="J2350" s="43">
        <f>IF($I2349=0,0,$R2349)</f>
      </c>
      <c r="K2350" s="43">
        <f>IF($I2350=0,0,IF(INDEX(DarlOhneTilgung,5)=1,0,IF(AND(INDEX(DarlTilgStart,5)&gt;0,$E2350=INDEX(DarlTilgStart,5)),$J2350*($H2350+INDEX(DarlTilgung,5))/100/12,IF(AND($G2350=0,$G2349=1),MAX($K2349,$J2350*($H2350+1)/100/12),$K2349))))</f>
      </c>
      <c r="L2350" s="43">
        <f>IF($I2350=0,0,$J2350*$H2350/100/12)</f>
      </c>
      <c r="M2350" s="43">
        <f>IF($I2350=0,0,IF(OR(INDEX(DarlOhneTilgung,5)=1,AND(INDEX(DarlTilgStart,5)&gt;0,$E2350&lt;INDEX(DarlTilgStart,5))),0,MIN(MAX(0,$K2350-$L2350),$J2350)))</f>
      </c>
      <c r="N2350" s="43">
        <f>IF($I2350=0,0,MIN(SUMIFS(SondBetrag,SondDarl,5,SondDatum,"&gt;="&amp;$E2350,SondDatum,"&lt;="&amp;EOMONTH($E2350,0)),$J2350-$M2350))</f>
      </c>
      <c r="O2350" s="43">
        <f>IF($I2350=0,0,INDEX(DarlErsatzRate,5))</f>
      </c>
      <c r="P2350" s="43">
        <f>IF($I2350=0,0,$Q2349*INDEX(DarlErsatzZins,5))</f>
      </c>
      <c r="Q2350" s="43">
        <f>IF($I2350=0,0,$Q2349+$P2350+$O2350)</f>
      </c>
      <c r="R2350" s="43">
        <f>IF($I2350=0,0,$J2350-$M2350-$N2350)</f>
      </c>
    </row>
    <row r="2351">
      <c r="A2351"/>
      <c r="B2351">
        <v>5</v>
      </c>
      <c r="C2351" s="43">
        <f>INDEX(DarlObj,5)</f>
      </c>
      <c r="D2351">
        <v>428</v>
      </c>
      <c r="E2351" s="51">
        <f>IF(INDEX(DarlBelegt,5)=0,0,EOMONTH(INDEX(DarlAuszahlung,5),427)+1)</f>
      </c>
      <c r="F2351" s="43">
        <f>IF($E2351=0,0,YEAR($E2351))</f>
      </c>
      <c r="G2351" s="43">
        <f>IF(INDEX(DarlBindung,5)="",1,IF($E2351&lt;=INDEX(DarlBindung,5),1,0))</f>
      </c>
      <c r="H2351" s="43">
        <f>IF($G2351=1,INDEX(DarlSollzins,5),INDEX(DarlAnschluss,5))</f>
      </c>
      <c r="I2351" s="43">
        <f>IF(INDEX(DarlBelegt,5)=0,0,IF(INDEX(DarlOhneTilgung,5)=1,IF(INDEX(DarlBindung,5)="",1,$G2351),IF($J2351&gt;0.005,1,0)))</f>
      </c>
      <c r="J2351" s="43">
        <f>IF($I2350=0,0,$R2350)</f>
      </c>
      <c r="K2351" s="43">
        <f>IF($I2351=0,0,IF(INDEX(DarlOhneTilgung,5)=1,0,IF(AND(INDEX(DarlTilgStart,5)&gt;0,$E2351=INDEX(DarlTilgStart,5)),$J2351*($H2351+INDEX(DarlTilgung,5))/100/12,IF(AND($G2351=0,$G2350=1),MAX($K2350,$J2351*($H2351+1)/100/12),$K2350))))</f>
      </c>
      <c r="L2351" s="43">
        <f>IF($I2351=0,0,$J2351*$H2351/100/12)</f>
      </c>
      <c r="M2351" s="43">
        <f>IF($I2351=0,0,IF(OR(INDEX(DarlOhneTilgung,5)=1,AND(INDEX(DarlTilgStart,5)&gt;0,$E2351&lt;INDEX(DarlTilgStart,5))),0,MIN(MAX(0,$K2351-$L2351),$J2351)))</f>
      </c>
      <c r="N2351" s="43">
        <f>IF($I2351=0,0,MIN(SUMIFS(SondBetrag,SondDarl,5,SondDatum,"&gt;="&amp;$E2351,SondDatum,"&lt;="&amp;EOMONTH($E2351,0)),$J2351-$M2351))</f>
      </c>
      <c r="O2351" s="43">
        <f>IF($I2351=0,0,INDEX(DarlErsatzRate,5))</f>
      </c>
      <c r="P2351" s="43">
        <f>IF($I2351=0,0,$Q2350*INDEX(DarlErsatzZins,5))</f>
      </c>
      <c r="Q2351" s="43">
        <f>IF($I2351=0,0,$Q2350+$P2351+$O2351)</f>
      </c>
      <c r="R2351" s="43">
        <f>IF($I2351=0,0,$J2351-$M2351-$N2351)</f>
      </c>
    </row>
    <row r="2352">
      <c r="A2352"/>
      <c r="B2352">
        <v>5</v>
      </c>
      <c r="C2352" s="43">
        <f>INDEX(DarlObj,5)</f>
      </c>
      <c r="D2352">
        <v>429</v>
      </c>
      <c r="E2352" s="51">
        <f>IF(INDEX(DarlBelegt,5)=0,0,EOMONTH(INDEX(DarlAuszahlung,5),428)+1)</f>
      </c>
      <c r="F2352" s="43">
        <f>IF($E2352=0,0,YEAR($E2352))</f>
      </c>
      <c r="G2352" s="43">
        <f>IF(INDEX(DarlBindung,5)="",1,IF($E2352&lt;=INDEX(DarlBindung,5),1,0))</f>
      </c>
      <c r="H2352" s="43">
        <f>IF($G2352=1,INDEX(DarlSollzins,5),INDEX(DarlAnschluss,5))</f>
      </c>
      <c r="I2352" s="43">
        <f>IF(INDEX(DarlBelegt,5)=0,0,IF(INDEX(DarlOhneTilgung,5)=1,IF(INDEX(DarlBindung,5)="",1,$G2352),IF($J2352&gt;0.005,1,0)))</f>
      </c>
      <c r="J2352" s="43">
        <f>IF($I2351=0,0,$R2351)</f>
      </c>
      <c r="K2352" s="43">
        <f>IF($I2352=0,0,IF(INDEX(DarlOhneTilgung,5)=1,0,IF(AND(INDEX(DarlTilgStart,5)&gt;0,$E2352=INDEX(DarlTilgStart,5)),$J2352*($H2352+INDEX(DarlTilgung,5))/100/12,IF(AND($G2352=0,$G2351=1),MAX($K2351,$J2352*($H2352+1)/100/12),$K2351))))</f>
      </c>
      <c r="L2352" s="43">
        <f>IF($I2352=0,0,$J2352*$H2352/100/12)</f>
      </c>
      <c r="M2352" s="43">
        <f>IF($I2352=0,0,IF(OR(INDEX(DarlOhneTilgung,5)=1,AND(INDEX(DarlTilgStart,5)&gt;0,$E2352&lt;INDEX(DarlTilgStart,5))),0,MIN(MAX(0,$K2352-$L2352),$J2352)))</f>
      </c>
      <c r="N2352" s="43">
        <f>IF($I2352=0,0,MIN(SUMIFS(SondBetrag,SondDarl,5,SondDatum,"&gt;="&amp;$E2352,SondDatum,"&lt;="&amp;EOMONTH($E2352,0)),$J2352-$M2352))</f>
      </c>
      <c r="O2352" s="43">
        <f>IF($I2352=0,0,INDEX(DarlErsatzRate,5))</f>
      </c>
      <c r="P2352" s="43">
        <f>IF($I2352=0,0,$Q2351*INDEX(DarlErsatzZins,5))</f>
      </c>
      <c r="Q2352" s="43">
        <f>IF($I2352=0,0,$Q2351+$P2352+$O2352)</f>
      </c>
      <c r="R2352" s="43">
        <f>IF($I2352=0,0,$J2352-$M2352-$N2352)</f>
      </c>
    </row>
    <row r="2353">
      <c r="A2353"/>
      <c r="B2353">
        <v>5</v>
      </c>
      <c r="C2353" s="43">
        <f>INDEX(DarlObj,5)</f>
      </c>
      <c r="D2353">
        <v>430</v>
      </c>
      <c r="E2353" s="51">
        <f>IF(INDEX(DarlBelegt,5)=0,0,EOMONTH(INDEX(DarlAuszahlung,5),429)+1)</f>
      </c>
      <c r="F2353" s="43">
        <f>IF($E2353=0,0,YEAR($E2353))</f>
      </c>
      <c r="G2353" s="43">
        <f>IF(INDEX(DarlBindung,5)="",1,IF($E2353&lt;=INDEX(DarlBindung,5),1,0))</f>
      </c>
      <c r="H2353" s="43">
        <f>IF($G2353=1,INDEX(DarlSollzins,5),INDEX(DarlAnschluss,5))</f>
      </c>
      <c r="I2353" s="43">
        <f>IF(INDEX(DarlBelegt,5)=0,0,IF(INDEX(DarlOhneTilgung,5)=1,IF(INDEX(DarlBindung,5)="",1,$G2353),IF($J2353&gt;0.005,1,0)))</f>
      </c>
      <c r="J2353" s="43">
        <f>IF($I2352=0,0,$R2352)</f>
      </c>
      <c r="K2353" s="43">
        <f>IF($I2353=0,0,IF(INDEX(DarlOhneTilgung,5)=1,0,IF(AND(INDEX(DarlTilgStart,5)&gt;0,$E2353=INDEX(DarlTilgStart,5)),$J2353*($H2353+INDEX(DarlTilgung,5))/100/12,IF(AND($G2353=0,$G2352=1),MAX($K2352,$J2353*($H2353+1)/100/12),$K2352))))</f>
      </c>
      <c r="L2353" s="43">
        <f>IF($I2353=0,0,$J2353*$H2353/100/12)</f>
      </c>
      <c r="M2353" s="43">
        <f>IF($I2353=0,0,IF(OR(INDEX(DarlOhneTilgung,5)=1,AND(INDEX(DarlTilgStart,5)&gt;0,$E2353&lt;INDEX(DarlTilgStart,5))),0,MIN(MAX(0,$K2353-$L2353),$J2353)))</f>
      </c>
      <c r="N2353" s="43">
        <f>IF($I2353=0,0,MIN(SUMIFS(SondBetrag,SondDarl,5,SondDatum,"&gt;="&amp;$E2353,SondDatum,"&lt;="&amp;EOMONTH($E2353,0)),$J2353-$M2353))</f>
      </c>
      <c r="O2353" s="43">
        <f>IF($I2353=0,0,INDEX(DarlErsatzRate,5))</f>
      </c>
      <c r="P2353" s="43">
        <f>IF($I2353=0,0,$Q2352*INDEX(DarlErsatzZins,5))</f>
      </c>
      <c r="Q2353" s="43">
        <f>IF($I2353=0,0,$Q2352+$P2353+$O2353)</f>
      </c>
      <c r="R2353" s="43">
        <f>IF($I2353=0,0,$J2353-$M2353-$N2353)</f>
      </c>
    </row>
    <row r="2354">
      <c r="A2354"/>
      <c r="B2354">
        <v>5</v>
      </c>
      <c r="C2354" s="43">
        <f>INDEX(DarlObj,5)</f>
      </c>
      <c r="D2354">
        <v>431</v>
      </c>
      <c r="E2354" s="51">
        <f>IF(INDEX(DarlBelegt,5)=0,0,EOMONTH(INDEX(DarlAuszahlung,5),430)+1)</f>
      </c>
      <c r="F2354" s="43">
        <f>IF($E2354=0,0,YEAR($E2354))</f>
      </c>
      <c r="G2354" s="43">
        <f>IF(INDEX(DarlBindung,5)="",1,IF($E2354&lt;=INDEX(DarlBindung,5),1,0))</f>
      </c>
      <c r="H2354" s="43">
        <f>IF($G2354=1,INDEX(DarlSollzins,5),INDEX(DarlAnschluss,5))</f>
      </c>
      <c r="I2354" s="43">
        <f>IF(INDEX(DarlBelegt,5)=0,0,IF(INDEX(DarlOhneTilgung,5)=1,IF(INDEX(DarlBindung,5)="",1,$G2354),IF($J2354&gt;0.005,1,0)))</f>
      </c>
      <c r="J2354" s="43">
        <f>IF($I2353=0,0,$R2353)</f>
      </c>
      <c r="K2354" s="43">
        <f>IF($I2354=0,0,IF(INDEX(DarlOhneTilgung,5)=1,0,IF(AND(INDEX(DarlTilgStart,5)&gt;0,$E2354=INDEX(DarlTilgStart,5)),$J2354*($H2354+INDEX(DarlTilgung,5))/100/12,IF(AND($G2354=0,$G2353=1),MAX($K2353,$J2354*($H2354+1)/100/12),$K2353))))</f>
      </c>
      <c r="L2354" s="43">
        <f>IF($I2354=0,0,$J2354*$H2354/100/12)</f>
      </c>
      <c r="M2354" s="43">
        <f>IF($I2354=0,0,IF(OR(INDEX(DarlOhneTilgung,5)=1,AND(INDEX(DarlTilgStart,5)&gt;0,$E2354&lt;INDEX(DarlTilgStart,5))),0,MIN(MAX(0,$K2354-$L2354),$J2354)))</f>
      </c>
      <c r="N2354" s="43">
        <f>IF($I2354=0,0,MIN(SUMIFS(SondBetrag,SondDarl,5,SondDatum,"&gt;="&amp;$E2354,SondDatum,"&lt;="&amp;EOMONTH($E2354,0)),$J2354-$M2354))</f>
      </c>
      <c r="O2354" s="43">
        <f>IF($I2354=0,0,INDEX(DarlErsatzRate,5))</f>
      </c>
      <c r="P2354" s="43">
        <f>IF($I2354=0,0,$Q2353*INDEX(DarlErsatzZins,5))</f>
      </c>
      <c r="Q2354" s="43">
        <f>IF($I2354=0,0,$Q2353+$P2354+$O2354)</f>
      </c>
      <c r="R2354" s="43">
        <f>IF($I2354=0,0,$J2354-$M2354-$N2354)</f>
      </c>
    </row>
    <row r="2355">
      <c r="A2355"/>
      <c r="B2355">
        <v>5</v>
      </c>
      <c r="C2355" s="43">
        <f>INDEX(DarlObj,5)</f>
      </c>
      <c r="D2355">
        <v>432</v>
      </c>
      <c r="E2355" s="51">
        <f>IF(INDEX(DarlBelegt,5)=0,0,EOMONTH(INDEX(DarlAuszahlung,5),431)+1)</f>
      </c>
      <c r="F2355" s="43">
        <f>IF($E2355=0,0,YEAR($E2355))</f>
      </c>
      <c r="G2355" s="43">
        <f>IF(INDEX(DarlBindung,5)="",1,IF($E2355&lt;=INDEX(DarlBindung,5),1,0))</f>
      </c>
      <c r="H2355" s="43">
        <f>IF($G2355=1,INDEX(DarlSollzins,5),INDEX(DarlAnschluss,5))</f>
      </c>
      <c r="I2355" s="43">
        <f>IF(INDEX(DarlBelegt,5)=0,0,IF(INDEX(DarlOhneTilgung,5)=1,IF(INDEX(DarlBindung,5)="",1,$G2355),IF($J2355&gt;0.005,1,0)))</f>
      </c>
      <c r="J2355" s="43">
        <f>IF($I2354=0,0,$R2354)</f>
      </c>
      <c r="K2355" s="43">
        <f>IF($I2355=0,0,IF(INDEX(DarlOhneTilgung,5)=1,0,IF(AND(INDEX(DarlTilgStart,5)&gt;0,$E2355=INDEX(DarlTilgStart,5)),$J2355*($H2355+INDEX(DarlTilgung,5))/100/12,IF(AND($G2355=0,$G2354=1),MAX($K2354,$J2355*($H2355+1)/100/12),$K2354))))</f>
      </c>
      <c r="L2355" s="43">
        <f>IF($I2355=0,0,$J2355*$H2355/100/12)</f>
      </c>
      <c r="M2355" s="43">
        <f>IF($I2355=0,0,IF(OR(INDEX(DarlOhneTilgung,5)=1,AND(INDEX(DarlTilgStart,5)&gt;0,$E2355&lt;INDEX(DarlTilgStart,5))),0,MIN(MAX(0,$K2355-$L2355),$J2355)))</f>
      </c>
      <c r="N2355" s="43">
        <f>IF($I2355=0,0,MIN(SUMIFS(SondBetrag,SondDarl,5,SondDatum,"&gt;="&amp;$E2355,SondDatum,"&lt;="&amp;EOMONTH($E2355,0)),$J2355-$M2355))</f>
      </c>
      <c r="O2355" s="43">
        <f>IF($I2355=0,0,INDEX(DarlErsatzRate,5))</f>
      </c>
      <c r="P2355" s="43">
        <f>IF($I2355=0,0,$Q2354*INDEX(DarlErsatzZins,5))</f>
      </c>
      <c r="Q2355" s="43">
        <f>IF($I2355=0,0,$Q2354+$P2355+$O2355)</f>
      </c>
      <c r="R2355" s="43">
        <f>IF($I2355=0,0,$J2355-$M2355-$N2355)</f>
      </c>
    </row>
    <row r="2356">
      <c r="A2356"/>
      <c r="B2356">
        <v>5</v>
      </c>
      <c r="C2356" s="43">
        <f>INDEX(DarlObj,5)</f>
      </c>
      <c r="D2356">
        <v>433</v>
      </c>
      <c r="E2356" s="51">
        <f>IF(INDEX(DarlBelegt,5)=0,0,EOMONTH(INDEX(DarlAuszahlung,5),432)+1)</f>
      </c>
      <c r="F2356" s="43">
        <f>IF($E2356=0,0,YEAR($E2356))</f>
      </c>
      <c r="G2356" s="43">
        <f>IF(INDEX(DarlBindung,5)="",1,IF($E2356&lt;=INDEX(DarlBindung,5),1,0))</f>
      </c>
      <c r="H2356" s="43">
        <f>IF($G2356=1,INDEX(DarlSollzins,5),INDEX(DarlAnschluss,5))</f>
      </c>
      <c r="I2356" s="43">
        <f>IF(INDEX(DarlBelegt,5)=0,0,IF(INDEX(DarlOhneTilgung,5)=1,IF(INDEX(DarlBindung,5)="",1,$G2356),IF($J2356&gt;0.005,1,0)))</f>
      </c>
      <c r="J2356" s="43">
        <f>IF($I2355=0,0,$R2355)</f>
      </c>
      <c r="K2356" s="43">
        <f>IF($I2356=0,0,IF(INDEX(DarlOhneTilgung,5)=1,0,IF(AND(INDEX(DarlTilgStart,5)&gt;0,$E2356=INDEX(DarlTilgStart,5)),$J2356*($H2356+INDEX(DarlTilgung,5))/100/12,IF(AND($G2356=0,$G2355=1),MAX($K2355,$J2356*($H2356+1)/100/12),$K2355))))</f>
      </c>
      <c r="L2356" s="43">
        <f>IF($I2356=0,0,$J2356*$H2356/100/12)</f>
      </c>
      <c r="M2356" s="43">
        <f>IF($I2356=0,0,IF(OR(INDEX(DarlOhneTilgung,5)=1,AND(INDEX(DarlTilgStart,5)&gt;0,$E2356&lt;INDEX(DarlTilgStart,5))),0,MIN(MAX(0,$K2356-$L2356),$J2356)))</f>
      </c>
      <c r="N2356" s="43">
        <f>IF($I2356=0,0,MIN(SUMIFS(SondBetrag,SondDarl,5,SondDatum,"&gt;="&amp;$E2356,SondDatum,"&lt;="&amp;EOMONTH($E2356,0)),$J2356-$M2356))</f>
      </c>
      <c r="O2356" s="43">
        <f>IF($I2356=0,0,INDEX(DarlErsatzRate,5))</f>
      </c>
      <c r="P2356" s="43">
        <f>IF($I2356=0,0,$Q2355*INDEX(DarlErsatzZins,5))</f>
      </c>
      <c r="Q2356" s="43">
        <f>IF($I2356=0,0,$Q2355+$P2356+$O2356)</f>
      </c>
      <c r="R2356" s="43">
        <f>IF($I2356=0,0,$J2356-$M2356-$N2356)</f>
      </c>
    </row>
    <row r="2357">
      <c r="A2357"/>
      <c r="B2357">
        <v>5</v>
      </c>
      <c r="C2357" s="43">
        <f>INDEX(DarlObj,5)</f>
      </c>
      <c r="D2357">
        <v>434</v>
      </c>
      <c r="E2357" s="51">
        <f>IF(INDEX(DarlBelegt,5)=0,0,EOMONTH(INDEX(DarlAuszahlung,5),433)+1)</f>
      </c>
      <c r="F2357" s="43">
        <f>IF($E2357=0,0,YEAR($E2357))</f>
      </c>
      <c r="G2357" s="43">
        <f>IF(INDEX(DarlBindung,5)="",1,IF($E2357&lt;=INDEX(DarlBindung,5),1,0))</f>
      </c>
      <c r="H2357" s="43">
        <f>IF($G2357=1,INDEX(DarlSollzins,5),INDEX(DarlAnschluss,5))</f>
      </c>
      <c r="I2357" s="43">
        <f>IF(INDEX(DarlBelegt,5)=0,0,IF(INDEX(DarlOhneTilgung,5)=1,IF(INDEX(DarlBindung,5)="",1,$G2357),IF($J2357&gt;0.005,1,0)))</f>
      </c>
      <c r="J2357" s="43">
        <f>IF($I2356=0,0,$R2356)</f>
      </c>
      <c r="K2357" s="43">
        <f>IF($I2357=0,0,IF(INDEX(DarlOhneTilgung,5)=1,0,IF(AND(INDEX(DarlTilgStart,5)&gt;0,$E2357=INDEX(DarlTilgStart,5)),$J2357*($H2357+INDEX(DarlTilgung,5))/100/12,IF(AND($G2357=0,$G2356=1),MAX($K2356,$J2357*($H2357+1)/100/12),$K2356))))</f>
      </c>
      <c r="L2357" s="43">
        <f>IF($I2357=0,0,$J2357*$H2357/100/12)</f>
      </c>
      <c r="M2357" s="43">
        <f>IF($I2357=0,0,IF(OR(INDEX(DarlOhneTilgung,5)=1,AND(INDEX(DarlTilgStart,5)&gt;0,$E2357&lt;INDEX(DarlTilgStart,5))),0,MIN(MAX(0,$K2357-$L2357),$J2357)))</f>
      </c>
      <c r="N2357" s="43">
        <f>IF($I2357=0,0,MIN(SUMIFS(SondBetrag,SondDarl,5,SondDatum,"&gt;="&amp;$E2357,SondDatum,"&lt;="&amp;EOMONTH($E2357,0)),$J2357-$M2357))</f>
      </c>
      <c r="O2357" s="43">
        <f>IF($I2357=0,0,INDEX(DarlErsatzRate,5))</f>
      </c>
      <c r="P2357" s="43">
        <f>IF($I2357=0,0,$Q2356*INDEX(DarlErsatzZins,5))</f>
      </c>
      <c r="Q2357" s="43">
        <f>IF($I2357=0,0,$Q2356+$P2357+$O2357)</f>
      </c>
      <c r="R2357" s="43">
        <f>IF($I2357=0,0,$J2357-$M2357-$N2357)</f>
      </c>
    </row>
    <row r="2358">
      <c r="A2358"/>
      <c r="B2358">
        <v>5</v>
      </c>
      <c r="C2358" s="43">
        <f>INDEX(DarlObj,5)</f>
      </c>
      <c r="D2358">
        <v>435</v>
      </c>
      <c r="E2358" s="51">
        <f>IF(INDEX(DarlBelegt,5)=0,0,EOMONTH(INDEX(DarlAuszahlung,5),434)+1)</f>
      </c>
      <c r="F2358" s="43">
        <f>IF($E2358=0,0,YEAR($E2358))</f>
      </c>
      <c r="G2358" s="43">
        <f>IF(INDEX(DarlBindung,5)="",1,IF($E2358&lt;=INDEX(DarlBindung,5),1,0))</f>
      </c>
      <c r="H2358" s="43">
        <f>IF($G2358=1,INDEX(DarlSollzins,5),INDEX(DarlAnschluss,5))</f>
      </c>
      <c r="I2358" s="43">
        <f>IF(INDEX(DarlBelegt,5)=0,0,IF(INDEX(DarlOhneTilgung,5)=1,IF(INDEX(DarlBindung,5)="",1,$G2358),IF($J2358&gt;0.005,1,0)))</f>
      </c>
      <c r="J2358" s="43">
        <f>IF($I2357=0,0,$R2357)</f>
      </c>
      <c r="K2358" s="43">
        <f>IF($I2358=0,0,IF(INDEX(DarlOhneTilgung,5)=1,0,IF(AND(INDEX(DarlTilgStart,5)&gt;0,$E2358=INDEX(DarlTilgStart,5)),$J2358*($H2358+INDEX(DarlTilgung,5))/100/12,IF(AND($G2358=0,$G2357=1),MAX($K2357,$J2358*($H2358+1)/100/12),$K2357))))</f>
      </c>
      <c r="L2358" s="43">
        <f>IF($I2358=0,0,$J2358*$H2358/100/12)</f>
      </c>
      <c r="M2358" s="43">
        <f>IF($I2358=0,0,IF(OR(INDEX(DarlOhneTilgung,5)=1,AND(INDEX(DarlTilgStart,5)&gt;0,$E2358&lt;INDEX(DarlTilgStart,5))),0,MIN(MAX(0,$K2358-$L2358),$J2358)))</f>
      </c>
      <c r="N2358" s="43">
        <f>IF($I2358=0,0,MIN(SUMIFS(SondBetrag,SondDarl,5,SondDatum,"&gt;="&amp;$E2358,SondDatum,"&lt;="&amp;EOMONTH($E2358,0)),$J2358-$M2358))</f>
      </c>
      <c r="O2358" s="43">
        <f>IF($I2358=0,0,INDEX(DarlErsatzRate,5))</f>
      </c>
      <c r="P2358" s="43">
        <f>IF($I2358=0,0,$Q2357*INDEX(DarlErsatzZins,5))</f>
      </c>
      <c r="Q2358" s="43">
        <f>IF($I2358=0,0,$Q2357+$P2358+$O2358)</f>
      </c>
      <c r="R2358" s="43">
        <f>IF($I2358=0,0,$J2358-$M2358-$N2358)</f>
      </c>
    </row>
    <row r="2359">
      <c r="A2359"/>
      <c r="B2359">
        <v>5</v>
      </c>
      <c r="C2359" s="43">
        <f>INDEX(DarlObj,5)</f>
      </c>
      <c r="D2359">
        <v>436</v>
      </c>
      <c r="E2359" s="51">
        <f>IF(INDEX(DarlBelegt,5)=0,0,EOMONTH(INDEX(DarlAuszahlung,5),435)+1)</f>
      </c>
      <c r="F2359" s="43">
        <f>IF($E2359=0,0,YEAR($E2359))</f>
      </c>
      <c r="G2359" s="43">
        <f>IF(INDEX(DarlBindung,5)="",1,IF($E2359&lt;=INDEX(DarlBindung,5),1,0))</f>
      </c>
      <c r="H2359" s="43">
        <f>IF($G2359=1,INDEX(DarlSollzins,5),INDEX(DarlAnschluss,5))</f>
      </c>
      <c r="I2359" s="43">
        <f>IF(INDEX(DarlBelegt,5)=0,0,IF(INDEX(DarlOhneTilgung,5)=1,IF(INDEX(DarlBindung,5)="",1,$G2359),IF($J2359&gt;0.005,1,0)))</f>
      </c>
      <c r="J2359" s="43">
        <f>IF($I2358=0,0,$R2358)</f>
      </c>
      <c r="K2359" s="43">
        <f>IF($I2359=0,0,IF(INDEX(DarlOhneTilgung,5)=1,0,IF(AND(INDEX(DarlTilgStart,5)&gt;0,$E2359=INDEX(DarlTilgStart,5)),$J2359*($H2359+INDEX(DarlTilgung,5))/100/12,IF(AND($G2359=0,$G2358=1),MAX($K2358,$J2359*($H2359+1)/100/12),$K2358))))</f>
      </c>
      <c r="L2359" s="43">
        <f>IF($I2359=0,0,$J2359*$H2359/100/12)</f>
      </c>
      <c r="M2359" s="43">
        <f>IF($I2359=0,0,IF(OR(INDEX(DarlOhneTilgung,5)=1,AND(INDEX(DarlTilgStart,5)&gt;0,$E2359&lt;INDEX(DarlTilgStart,5))),0,MIN(MAX(0,$K2359-$L2359),$J2359)))</f>
      </c>
      <c r="N2359" s="43">
        <f>IF($I2359=0,0,MIN(SUMIFS(SondBetrag,SondDarl,5,SondDatum,"&gt;="&amp;$E2359,SondDatum,"&lt;="&amp;EOMONTH($E2359,0)),$J2359-$M2359))</f>
      </c>
      <c r="O2359" s="43">
        <f>IF($I2359=0,0,INDEX(DarlErsatzRate,5))</f>
      </c>
      <c r="P2359" s="43">
        <f>IF($I2359=0,0,$Q2358*INDEX(DarlErsatzZins,5))</f>
      </c>
      <c r="Q2359" s="43">
        <f>IF($I2359=0,0,$Q2358+$P2359+$O2359)</f>
      </c>
      <c r="R2359" s="43">
        <f>IF($I2359=0,0,$J2359-$M2359-$N2359)</f>
      </c>
    </row>
    <row r="2360">
      <c r="A2360"/>
      <c r="B2360">
        <v>5</v>
      </c>
      <c r="C2360" s="43">
        <f>INDEX(DarlObj,5)</f>
      </c>
      <c r="D2360">
        <v>437</v>
      </c>
      <c r="E2360" s="51">
        <f>IF(INDEX(DarlBelegt,5)=0,0,EOMONTH(INDEX(DarlAuszahlung,5),436)+1)</f>
      </c>
      <c r="F2360" s="43">
        <f>IF($E2360=0,0,YEAR($E2360))</f>
      </c>
      <c r="G2360" s="43">
        <f>IF(INDEX(DarlBindung,5)="",1,IF($E2360&lt;=INDEX(DarlBindung,5),1,0))</f>
      </c>
      <c r="H2360" s="43">
        <f>IF($G2360=1,INDEX(DarlSollzins,5),INDEX(DarlAnschluss,5))</f>
      </c>
      <c r="I2360" s="43">
        <f>IF(INDEX(DarlBelegt,5)=0,0,IF(INDEX(DarlOhneTilgung,5)=1,IF(INDEX(DarlBindung,5)="",1,$G2360),IF($J2360&gt;0.005,1,0)))</f>
      </c>
      <c r="J2360" s="43">
        <f>IF($I2359=0,0,$R2359)</f>
      </c>
      <c r="K2360" s="43">
        <f>IF($I2360=0,0,IF(INDEX(DarlOhneTilgung,5)=1,0,IF(AND(INDEX(DarlTilgStart,5)&gt;0,$E2360=INDEX(DarlTilgStart,5)),$J2360*($H2360+INDEX(DarlTilgung,5))/100/12,IF(AND($G2360=0,$G2359=1),MAX($K2359,$J2360*($H2360+1)/100/12),$K2359))))</f>
      </c>
      <c r="L2360" s="43">
        <f>IF($I2360=0,0,$J2360*$H2360/100/12)</f>
      </c>
      <c r="M2360" s="43">
        <f>IF($I2360=0,0,IF(OR(INDEX(DarlOhneTilgung,5)=1,AND(INDEX(DarlTilgStart,5)&gt;0,$E2360&lt;INDEX(DarlTilgStart,5))),0,MIN(MAX(0,$K2360-$L2360),$J2360)))</f>
      </c>
      <c r="N2360" s="43">
        <f>IF($I2360=0,0,MIN(SUMIFS(SondBetrag,SondDarl,5,SondDatum,"&gt;="&amp;$E2360,SondDatum,"&lt;="&amp;EOMONTH($E2360,0)),$J2360-$M2360))</f>
      </c>
      <c r="O2360" s="43">
        <f>IF($I2360=0,0,INDEX(DarlErsatzRate,5))</f>
      </c>
      <c r="P2360" s="43">
        <f>IF($I2360=0,0,$Q2359*INDEX(DarlErsatzZins,5))</f>
      </c>
      <c r="Q2360" s="43">
        <f>IF($I2360=0,0,$Q2359+$P2360+$O2360)</f>
      </c>
      <c r="R2360" s="43">
        <f>IF($I2360=0,0,$J2360-$M2360-$N2360)</f>
      </c>
    </row>
    <row r="2361">
      <c r="A2361"/>
      <c r="B2361">
        <v>5</v>
      </c>
      <c r="C2361" s="43">
        <f>INDEX(DarlObj,5)</f>
      </c>
      <c r="D2361">
        <v>438</v>
      </c>
      <c r="E2361" s="51">
        <f>IF(INDEX(DarlBelegt,5)=0,0,EOMONTH(INDEX(DarlAuszahlung,5),437)+1)</f>
      </c>
      <c r="F2361" s="43">
        <f>IF($E2361=0,0,YEAR($E2361))</f>
      </c>
      <c r="G2361" s="43">
        <f>IF(INDEX(DarlBindung,5)="",1,IF($E2361&lt;=INDEX(DarlBindung,5),1,0))</f>
      </c>
      <c r="H2361" s="43">
        <f>IF($G2361=1,INDEX(DarlSollzins,5),INDEX(DarlAnschluss,5))</f>
      </c>
      <c r="I2361" s="43">
        <f>IF(INDEX(DarlBelegt,5)=0,0,IF(INDEX(DarlOhneTilgung,5)=1,IF(INDEX(DarlBindung,5)="",1,$G2361),IF($J2361&gt;0.005,1,0)))</f>
      </c>
      <c r="J2361" s="43">
        <f>IF($I2360=0,0,$R2360)</f>
      </c>
      <c r="K2361" s="43">
        <f>IF($I2361=0,0,IF(INDEX(DarlOhneTilgung,5)=1,0,IF(AND(INDEX(DarlTilgStart,5)&gt;0,$E2361=INDEX(DarlTilgStart,5)),$J2361*($H2361+INDEX(DarlTilgung,5))/100/12,IF(AND($G2361=0,$G2360=1),MAX($K2360,$J2361*($H2361+1)/100/12),$K2360))))</f>
      </c>
      <c r="L2361" s="43">
        <f>IF($I2361=0,0,$J2361*$H2361/100/12)</f>
      </c>
      <c r="M2361" s="43">
        <f>IF($I2361=0,0,IF(OR(INDEX(DarlOhneTilgung,5)=1,AND(INDEX(DarlTilgStart,5)&gt;0,$E2361&lt;INDEX(DarlTilgStart,5))),0,MIN(MAX(0,$K2361-$L2361),$J2361)))</f>
      </c>
      <c r="N2361" s="43">
        <f>IF($I2361=0,0,MIN(SUMIFS(SondBetrag,SondDarl,5,SondDatum,"&gt;="&amp;$E2361,SondDatum,"&lt;="&amp;EOMONTH($E2361,0)),$J2361-$M2361))</f>
      </c>
      <c r="O2361" s="43">
        <f>IF($I2361=0,0,INDEX(DarlErsatzRate,5))</f>
      </c>
      <c r="P2361" s="43">
        <f>IF($I2361=0,0,$Q2360*INDEX(DarlErsatzZins,5))</f>
      </c>
      <c r="Q2361" s="43">
        <f>IF($I2361=0,0,$Q2360+$P2361+$O2361)</f>
      </c>
      <c r="R2361" s="43">
        <f>IF($I2361=0,0,$J2361-$M2361-$N2361)</f>
      </c>
    </row>
    <row r="2362">
      <c r="A2362"/>
      <c r="B2362">
        <v>5</v>
      </c>
      <c r="C2362" s="43">
        <f>INDEX(DarlObj,5)</f>
      </c>
      <c r="D2362">
        <v>439</v>
      </c>
      <c r="E2362" s="51">
        <f>IF(INDEX(DarlBelegt,5)=0,0,EOMONTH(INDEX(DarlAuszahlung,5),438)+1)</f>
      </c>
      <c r="F2362" s="43">
        <f>IF($E2362=0,0,YEAR($E2362))</f>
      </c>
      <c r="G2362" s="43">
        <f>IF(INDEX(DarlBindung,5)="",1,IF($E2362&lt;=INDEX(DarlBindung,5),1,0))</f>
      </c>
      <c r="H2362" s="43">
        <f>IF($G2362=1,INDEX(DarlSollzins,5),INDEX(DarlAnschluss,5))</f>
      </c>
      <c r="I2362" s="43">
        <f>IF(INDEX(DarlBelegt,5)=0,0,IF(INDEX(DarlOhneTilgung,5)=1,IF(INDEX(DarlBindung,5)="",1,$G2362),IF($J2362&gt;0.005,1,0)))</f>
      </c>
      <c r="J2362" s="43">
        <f>IF($I2361=0,0,$R2361)</f>
      </c>
      <c r="K2362" s="43">
        <f>IF($I2362=0,0,IF(INDEX(DarlOhneTilgung,5)=1,0,IF(AND(INDEX(DarlTilgStart,5)&gt;0,$E2362=INDEX(DarlTilgStart,5)),$J2362*($H2362+INDEX(DarlTilgung,5))/100/12,IF(AND($G2362=0,$G2361=1),MAX($K2361,$J2362*($H2362+1)/100/12),$K2361))))</f>
      </c>
      <c r="L2362" s="43">
        <f>IF($I2362=0,0,$J2362*$H2362/100/12)</f>
      </c>
      <c r="M2362" s="43">
        <f>IF($I2362=0,0,IF(OR(INDEX(DarlOhneTilgung,5)=1,AND(INDEX(DarlTilgStart,5)&gt;0,$E2362&lt;INDEX(DarlTilgStart,5))),0,MIN(MAX(0,$K2362-$L2362),$J2362)))</f>
      </c>
      <c r="N2362" s="43">
        <f>IF($I2362=0,0,MIN(SUMIFS(SondBetrag,SondDarl,5,SondDatum,"&gt;="&amp;$E2362,SondDatum,"&lt;="&amp;EOMONTH($E2362,0)),$J2362-$M2362))</f>
      </c>
      <c r="O2362" s="43">
        <f>IF($I2362=0,0,INDEX(DarlErsatzRate,5))</f>
      </c>
      <c r="P2362" s="43">
        <f>IF($I2362=0,0,$Q2361*INDEX(DarlErsatzZins,5))</f>
      </c>
      <c r="Q2362" s="43">
        <f>IF($I2362=0,0,$Q2361+$P2362+$O2362)</f>
      </c>
      <c r="R2362" s="43">
        <f>IF($I2362=0,0,$J2362-$M2362-$N2362)</f>
      </c>
    </row>
    <row r="2363">
      <c r="A2363"/>
      <c r="B2363">
        <v>5</v>
      </c>
      <c r="C2363" s="43">
        <f>INDEX(DarlObj,5)</f>
      </c>
      <c r="D2363">
        <v>440</v>
      </c>
      <c r="E2363" s="51">
        <f>IF(INDEX(DarlBelegt,5)=0,0,EOMONTH(INDEX(DarlAuszahlung,5),439)+1)</f>
      </c>
      <c r="F2363" s="43">
        <f>IF($E2363=0,0,YEAR($E2363))</f>
      </c>
      <c r="G2363" s="43">
        <f>IF(INDEX(DarlBindung,5)="",1,IF($E2363&lt;=INDEX(DarlBindung,5),1,0))</f>
      </c>
      <c r="H2363" s="43">
        <f>IF($G2363=1,INDEX(DarlSollzins,5),INDEX(DarlAnschluss,5))</f>
      </c>
      <c r="I2363" s="43">
        <f>IF(INDEX(DarlBelegt,5)=0,0,IF(INDEX(DarlOhneTilgung,5)=1,IF(INDEX(DarlBindung,5)="",1,$G2363),IF($J2363&gt;0.005,1,0)))</f>
      </c>
      <c r="J2363" s="43">
        <f>IF($I2362=0,0,$R2362)</f>
      </c>
      <c r="K2363" s="43">
        <f>IF($I2363=0,0,IF(INDEX(DarlOhneTilgung,5)=1,0,IF(AND(INDEX(DarlTilgStart,5)&gt;0,$E2363=INDEX(DarlTilgStart,5)),$J2363*($H2363+INDEX(DarlTilgung,5))/100/12,IF(AND($G2363=0,$G2362=1),MAX($K2362,$J2363*($H2363+1)/100/12),$K2362))))</f>
      </c>
      <c r="L2363" s="43">
        <f>IF($I2363=0,0,$J2363*$H2363/100/12)</f>
      </c>
      <c r="M2363" s="43">
        <f>IF($I2363=0,0,IF(OR(INDEX(DarlOhneTilgung,5)=1,AND(INDEX(DarlTilgStart,5)&gt;0,$E2363&lt;INDEX(DarlTilgStart,5))),0,MIN(MAX(0,$K2363-$L2363),$J2363)))</f>
      </c>
      <c r="N2363" s="43">
        <f>IF($I2363=0,0,MIN(SUMIFS(SondBetrag,SondDarl,5,SondDatum,"&gt;="&amp;$E2363,SondDatum,"&lt;="&amp;EOMONTH($E2363,0)),$J2363-$M2363))</f>
      </c>
      <c r="O2363" s="43">
        <f>IF($I2363=0,0,INDEX(DarlErsatzRate,5))</f>
      </c>
      <c r="P2363" s="43">
        <f>IF($I2363=0,0,$Q2362*INDEX(DarlErsatzZins,5))</f>
      </c>
      <c r="Q2363" s="43">
        <f>IF($I2363=0,0,$Q2362+$P2363+$O2363)</f>
      </c>
      <c r="R2363" s="43">
        <f>IF($I2363=0,0,$J2363-$M2363-$N2363)</f>
      </c>
    </row>
    <row r="2364">
      <c r="A2364"/>
      <c r="B2364">
        <v>5</v>
      </c>
      <c r="C2364" s="43">
        <f>INDEX(DarlObj,5)</f>
      </c>
      <c r="D2364">
        <v>441</v>
      </c>
      <c r="E2364" s="51">
        <f>IF(INDEX(DarlBelegt,5)=0,0,EOMONTH(INDEX(DarlAuszahlung,5),440)+1)</f>
      </c>
      <c r="F2364" s="43">
        <f>IF($E2364=0,0,YEAR($E2364))</f>
      </c>
      <c r="G2364" s="43">
        <f>IF(INDEX(DarlBindung,5)="",1,IF($E2364&lt;=INDEX(DarlBindung,5),1,0))</f>
      </c>
      <c r="H2364" s="43">
        <f>IF($G2364=1,INDEX(DarlSollzins,5),INDEX(DarlAnschluss,5))</f>
      </c>
      <c r="I2364" s="43">
        <f>IF(INDEX(DarlBelegt,5)=0,0,IF(INDEX(DarlOhneTilgung,5)=1,IF(INDEX(DarlBindung,5)="",1,$G2364),IF($J2364&gt;0.005,1,0)))</f>
      </c>
      <c r="J2364" s="43">
        <f>IF($I2363=0,0,$R2363)</f>
      </c>
      <c r="K2364" s="43">
        <f>IF($I2364=0,0,IF(INDEX(DarlOhneTilgung,5)=1,0,IF(AND(INDEX(DarlTilgStart,5)&gt;0,$E2364=INDEX(DarlTilgStart,5)),$J2364*($H2364+INDEX(DarlTilgung,5))/100/12,IF(AND($G2364=0,$G2363=1),MAX($K2363,$J2364*($H2364+1)/100/12),$K2363))))</f>
      </c>
      <c r="L2364" s="43">
        <f>IF($I2364=0,0,$J2364*$H2364/100/12)</f>
      </c>
      <c r="M2364" s="43">
        <f>IF($I2364=0,0,IF(OR(INDEX(DarlOhneTilgung,5)=1,AND(INDEX(DarlTilgStart,5)&gt;0,$E2364&lt;INDEX(DarlTilgStart,5))),0,MIN(MAX(0,$K2364-$L2364),$J2364)))</f>
      </c>
      <c r="N2364" s="43">
        <f>IF($I2364=0,0,MIN(SUMIFS(SondBetrag,SondDarl,5,SondDatum,"&gt;="&amp;$E2364,SondDatum,"&lt;="&amp;EOMONTH($E2364,0)),$J2364-$M2364))</f>
      </c>
      <c r="O2364" s="43">
        <f>IF($I2364=0,0,INDEX(DarlErsatzRate,5))</f>
      </c>
      <c r="P2364" s="43">
        <f>IF($I2364=0,0,$Q2363*INDEX(DarlErsatzZins,5))</f>
      </c>
      <c r="Q2364" s="43">
        <f>IF($I2364=0,0,$Q2363+$P2364+$O2364)</f>
      </c>
      <c r="R2364" s="43">
        <f>IF($I2364=0,0,$J2364-$M2364-$N2364)</f>
      </c>
    </row>
    <row r="2365">
      <c r="A2365"/>
      <c r="B2365">
        <v>5</v>
      </c>
      <c r="C2365" s="43">
        <f>INDEX(DarlObj,5)</f>
      </c>
      <c r="D2365">
        <v>442</v>
      </c>
      <c r="E2365" s="51">
        <f>IF(INDEX(DarlBelegt,5)=0,0,EOMONTH(INDEX(DarlAuszahlung,5),441)+1)</f>
      </c>
      <c r="F2365" s="43">
        <f>IF($E2365=0,0,YEAR($E2365))</f>
      </c>
      <c r="G2365" s="43">
        <f>IF(INDEX(DarlBindung,5)="",1,IF($E2365&lt;=INDEX(DarlBindung,5),1,0))</f>
      </c>
      <c r="H2365" s="43">
        <f>IF($G2365=1,INDEX(DarlSollzins,5),INDEX(DarlAnschluss,5))</f>
      </c>
      <c r="I2365" s="43">
        <f>IF(INDEX(DarlBelegt,5)=0,0,IF(INDEX(DarlOhneTilgung,5)=1,IF(INDEX(DarlBindung,5)="",1,$G2365),IF($J2365&gt;0.005,1,0)))</f>
      </c>
      <c r="J2365" s="43">
        <f>IF($I2364=0,0,$R2364)</f>
      </c>
      <c r="K2365" s="43">
        <f>IF($I2365=0,0,IF(INDEX(DarlOhneTilgung,5)=1,0,IF(AND(INDEX(DarlTilgStart,5)&gt;0,$E2365=INDEX(DarlTilgStart,5)),$J2365*($H2365+INDEX(DarlTilgung,5))/100/12,IF(AND($G2365=0,$G2364=1),MAX($K2364,$J2365*($H2365+1)/100/12),$K2364))))</f>
      </c>
      <c r="L2365" s="43">
        <f>IF($I2365=0,0,$J2365*$H2365/100/12)</f>
      </c>
      <c r="M2365" s="43">
        <f>IF($I2365=0,0,IF(OR(INDEX(DarlOhneTilgung,5)=1,AND(INDEX(DarlTilgStart,5)&gt;0,$E2365&lt;INDEX(DarlTilgStart,5))),0,MIN(MAX(0,$K2365-$L2365),$J2365)))</f>
      </c>
      <c r="N2365" s="43">
        <f>IF($I2365=0,0,MIN(SUMIFS(SondBetrag,SondDarl,5,SondDatum,"&gt;="&amp;$E2365,SondDatum,"&lt;="&amp;EOMONTH($E2365,0)),$J2365-$M2365))</f>
      </c>
      <c r="O2365" s="43">
        <f>IF($I2365=0,0,INDEX(DarlErsatzRate,5))</f>
      </c>
      <c r="P2365" s="43">
        <f>IF($I2365=0,0,$Q2364*INDEX(DarlErsatzZins,5))</f>
      </c>
      <c r="Q2365" s="43">
        <f>IF($I2365=0,0,$Q2364+$P2365+$O2365)</f>
      </c>
      <c r="R2365" s="43">
        <f>IF($I2365=0,0,$J2365-$M2365-$N2365)</f>
      </c>
    </row>
    <row r="2366">
      <c r="A2366"/>
      <c r="B2366">
        <v>5</v>
      </c>
      <c r="C2366" s="43">
        <f>INDEX(DarlObj,5)</f>
      </c>
      <c r="D2366">
        <v>443</v>
      </c>
      <c r="E2366" s="51">
        <f>IF(INDEX(DarlBelegt,5)=0,0,EOMONTH(INDEX(DarlAuszahlung,5),442)+1)</f>
      </c>
      <c r="F2366" s="43">
        <f>IF($E2366=0,0,YEAR($E2366))</f>
      </c>
      <c r="G2366" s="43">
        <f>IF(INDEX(DarlBindung,5)="",1,IF($E2366&lt;=INDEX(DarlBindung,5),1,0))</f>
      </c>
      <c r="H2366" s="43">
        <f>IF($G2366=1,INDEX(DarlSollzins,5),INDEX(DarlAnschluss,5))</f>
      </c>
      <c r="I2366" s="43">
        <f>IF(INDEX(DarlBelegt,5)=0,0,IF(INDEX(DarlOhneTilgung,5)=1,IF(INDEX(DarlBindung,5)="",1,$G2366),IF($J2366&gt;0.005,1,0)))</f>
      </c>
      <c r="J2366" s="43">
        <f>IF($I2365=0,0,$R2365)</f>
      </c>
      <c r="K2366" s="43">
        <f>IF($I2366=0,0,IF(INDEX(DarlOhneTilgung,5)=1,0,IF(AND(INDEX(DarlTilgStart,5)&gt;0,$E2366=INDEX(DarlTilgStart,5)),$J2366*($H2366+INDEX(DarlTilgung,5))/100/12,IF(AND($G2366=0,$G2365=1),MAX($K2365,$J2366*($H2366+1)/100/12),$K2365))))</f>
      </c>
      <c r="L2366" s="43">
        <f>IF($I2366=0,0,$J2366*$H2366/100/12)</f>
      </c>
      <c r="M2366" s="43">
        <f>IF($I2366=0,0,IF(OR(INDEX(DarlOhneTilgung,5)=1,AND(INDEX(DarlTilgStart,5)&gt;0,$E2366&lt;INDEX(DarlTilgStart,5))),0,MIN(MAX(0,$K2366-$L2366),$J2366)))</f>
      </c>
      <c r="N2366" s="43">
        <f>IF($I2366=0,0,MIN(SUMIFS(SondBetrag,SondDarl,5,SondDatum,"&gt;="&amp;$E2366,SondDatum,"&lt;="&amp;EOMONTH($E2366,0)),$J2366-$M2366))</f>
      </c>
      <c r="O2366" s="43">
        <f>IF($I2366=0,0,INDEX(DarlErsatzRate,5))</f>
      </c>
      <c r="P2366" s="43">
        <f>IF($I2366=0,0,$Q2365*INDEX(DarlErsatzZins,5))</f>
      </c>
      <c r="Q2366" s="43">
        <f>IF($I2366=0,0,$Q2365+$P2366+$O2366)</f>
      </c>
      <c r="R2366" s="43">
        <f>IF($I2366=0,0,$J2366-$M2366-$N2366)</f>
      </c>
    </row>
    <row r="2367">
      <c r="A2367"/>
      <c r="B2367">
        <v>5</v>
      </c>
      <c r="C2367" s="43">
        <f>INDEX(DarlObj,5)</f>
      </c>
      <c r="D2367">
        <v>444</v>
      </c>
      <c r="E2367" s="51">
        <f>IF(INDEX(DarlBelegt,5)=0,0,EOMONTH(INDEX(DarlAuszahlung,5),443)+1)</f>
      </c>
      <c r="F2367" s="43">
        <f>IF($E2367=0,0,YEAR($E2367))</f>
      </c>
      <c r="G2367" s="43">
        <f>IF(INDEX(DarlBindung,5)="",1,IF($E2367&lt;=INDEX(DarlBindung,5),1,0))</f>
      </c>
      <c r="H2367" s="43">
        <f>IF($G2367=1,INDEX(DarlSollzins,5),INDEX(DarlAnschluss,5))</f>
      </c>
      <c r="I2367" s="43">
        <f>IF(INDEX(DarlBelegt,5)=0,0,IF(INDEX(DarlOhneTilgung,5)=1,IF(INDEX(DarlBindung,5)="",1,$G2367),IF($J2367&gt;0.005,1,0)))</f>
      </c>
      <c r="J2367" s="43">
        <f>IF($I2366=0,0,$R2366)</f>
      </c>
      <c r="K2367" s="43">
        <f>IF($I2367=0,0,IF(INDEX(DarlOhneTilgung,5)=1,0,IF(AND(INDEX(DarlTilgStart,5)&gt;0,$E2367=INDEX(DarlTilgStart,5)),$J2367*($H2367+INDEX(DarlTilgung,5))/100/12,IF(AND($G2367=0,$G2366=1),MAX($K2366,$J2367*($H2367+1)/100/12),$K2366))))</f>
      </c>
      <c r="L2367" s="43">
        <f>IF($I2367=0,0,$J2367*$H2367/100/12)</f>
      </c>
      <c r="M2367" s="43">
        <f>IF($I2367=0,0,IF(OR(INDEX(DarlOhneTilgung,5)=1,AND(INDEX(DarlTilgStart,5)&gt;0,$E2367&lt;INDEX(DarlTilgStart,5))),0,MIN(MAX(0,$K2367-$L2367),$J2367)))</f>
      </c>
      <c r="N2367" s="43">
        <f>IF($I2367=0,0,MIN(SUMIFS(SondBetrag,SondDarl,5,SondDatum,"&gt;="&amp;$E2367,SondDatum,"&lt;="&amp;EOMONTH($E2367,0)),$J2367-$M2367))</f>
      </c>
      <c r="O2367" s="43">
        <f>IF($I2367=0,0,INDEX(DarlErsatzRate,5))</f>
      </c>
      <c r="P2367" s="43">
        <f>IF($I2367=0,0,$Q2366*INDEX(DarlErsatzZins,5))</f>
      </c>
      <c r="Q2367" s="43">
        <f>IF($I2367=0,0,$Q2366+$P2367+$O2367)</f>
      </c>
      <c r="R2367" s="43">
        <f>IF($I2367=0,0,$J2367-$M2367-$N2367)</f>
      </c>
    </row>
    <row r="2368">
      <c r="A2368"/>
      <c r="B2368">
        <v>5</v>
      </c>
      <c r="C2368" s="43">
        <f>INDEX(DarlObj,5)</f>
      </c>
      <c r="D2368">
        <v>445</v>
      </c>
      <c r="E2368" s="51">
        <f>IF(INDEX(DarlBelegt,5)=0,0,EOMONTH(INDEX(DarlAuszahlung,5),444)+1)</f>
      </c>
      <c r="F2368" s="43">
        <f>IF($E2368=0,0,YEAR($E2368))</f>
      </c>
      <c r="G2368" s="43">
        <f>IF(INDEX(DarlBindung,5)="",1,IF($E2368&lt;=INDEX(DarlBindung,5),1,0))</f>
      </c>
      <c r="H2368" s="43">
        <f>IF($G2368=1,INDEX(DarlSollzins,5),INDEX(DarlAnschluss,5))</f>
      </c>
      <c r="I2368" s="43">
        <f>IF(INDEX(DarlBelegt,5)=0,0,IF(INDEX(DarlOhneTilgung,5)=1,IF(INDEX(DarlBindung,5)="",1,$G2368),IF($J2368&gt;0.005,1,0)))</f>
      </c>
      <c r="J2368" s="43">
        <f>IF($I2367=0,0,$R2367)</f>
      </c>
      <c r="K2368" s="43">
        <f>IF($I2368=0,0,IF(INDEX(DarlOhneTilgung,5)=1,0,IF(AND(INDEX(DarlTilgStart,5)&gt;0,$E2368=INDEX(DarlTilgStart,5)),$J2368*($H2368+INDEX(DarlTilgung,5))/100/12,IF(AND($G2368=0,$G2367=1),MAX($K2367,$J2368*($H2368+1)/100/12),$K2367))))</f>
      </c>
      <c r="L2368" s="43">
        <f>IF($I2368=0,0,$J2368*$H2368/100/12)</f>
      </c>
      <c r="M2368" s="43">
        <f>IF($I2368=0,0,IF(OR(INDEX(DarlOhneTilgung,5)=1,AND(INDEX(DarlTilgStart,5)&gt;0,$E2368&lt;INDEX(DarlTilgStart,5))),0,MIN(MAX(0,$K2368-$L2368),$J2368)))</f>
      </c>
      <c r="N2368" s="43">
        <f>IF($I2368=0,0,MIN(SUMIFS(SondBetrag,SondDarl,5,SondDatum,"&gt;="&amp;$E2368,SondDatum,"&lt;="&amp;EOMONTH($E2368,0)),$J2368-$M2368))</f>
      </c>
      <c r="O2368" s="43">
        <f>IF($I2368=0,0,INDEX(DarlErsatzRate,5))</f>
      </c>
      <c r="P2368" s="43">
        <f>IF($I2368=0,0,$Q2367*INDEX(DarlErsatzZins,5))</f>
      </c>
      <c r="Q2368" s="43">
        <f>IF($I2368=0,0,$Q2367+$P2368+$O2368)</f>
      </c>
      <c r="R2368" s="43">
        <f>IF($I2368=0,0,$J2368-$M2368-$N2368)</f>
      </c>
    </row>
    <row r="2369">
      <c r="A2369"/>
      <c r="B2369">
        <v>5</v>
      </c>
      <c r="C2369" s="43">
        <f>INDEX(DarlObj,5)</f>
      </c>
      <c r="D2369">
        <v>446</v>
      </c>
      <c r="E2369" s="51">
        <f>IF(INDEX(DarlBelegt,5)=0,0,EOMONTH(INDEX(DarlAuszahlung,5),445)+1)</f>
      </c>
      <c r="F2369" s="43">
        <f>IF($E2369=0,0,YEAR($E2369))</f>
      </c>
      <c r="G2369" s="43">
        <f>IF(INDEX(DarlBindung,5)="",1,IF($E2369&lt;=INDEX(DarlBindung,5),1,0))</f>
      </c>
      <c r="H2369" s="43">
        <f>IF($G2369=1,INDEX(DarlSollzins,5),INDEX(DarlAnschluss,5))</f>
      </c>
      <c r="I2369" s="43">
        <f>IF(INDEX(DarlBelegt,5)=0,0,IF(INDEX(DarlOhneTilgung,5)=1,IF(INDEX(DarlBindung,5)="",1,$G2369),IF($J2369&gt;0.005,1,0)))</f>
      </c>
      <c r="J2369" s="43">
        <f>IF($I2368=0,0,$R2368)</f>
      </c>
      <c r="K2369" s="43">
        <f>IF($I2369=0,0,IF(INDEX(DarlOhneTilgung,5)=1,0,IF(AND(INDEX(DarlTilgStart,5)&gt;0,$E2369=INDEX(DarlTilgStart,5)),$J2369*($H2369+INDEX(DarlTilgung,5))/100/12,IF(AND($G2369=0,$G2368=1),MAX($K2368,$J2369*($H2369+1)/100/12),$K2368))))</f>
      </c>
      <c r="L2369" s="43">
        <f>IF($I2369=0,0,$J2369*$H2369/100/12)</f>
      </c>
      <c r="M2369" s="43">
        <f>IF($I2369=0,0,IF(OR(INDEX(DarlOhneTilgung,5)=1,AND(INDEX(DarlTilgStart,5)&gt;0,$E2369&lt;INDEX(DarlTilgStart,5))),0,MIN(MAX(0,$K2369-$L2369),$J2369)))</f>
      </c>
      <c r="N2369" s="43">
        <f>IF($I2369=0,0,MIN(SUMIFS(SondBetrag,SondDarl,5,SondDatum,"&gt;="&amp;$E2369,SondDatum,"&lt;="&amp;EOMONTH($E2369,0)),$J2369-$M2369))</f>
      </c>
      <c r="O2369" s="43">
        <f>IF($I2369=0,0,INDEX(DarlErsatzRate,5))</f>
      </c>
      <c r="P2369" s="43">
        <f>IF($I2369=0,0,$Q2368*INDEX(DarlErsatzZins,5))</f>
      </c>
      <c r="Q2369" s="43">
        <f>IF($I2369=0,0,$Q2368+$P2369+$O2369)</f>
      </c>
      <c r="R2369" s="43">
        <f>IF($I2369=0,0,$J2369-$M2369-$N2369)</f>
      </c>
    </row>
    <row r="2370">
      <c r="A2370"/>
      <c r="B2370">
        <v>5</v>
      </c>
      <c r="C2370" s="43">
        <f>INDEX(DarlObj,5)</f>
      </c>
      <c r="D2370">
        <v>447</v>
      </c>
      <c r="E2370" s="51">
        <f>IF(INDEX(DarlBelegt,5)=0,0,EOMONTH(INDEX(DarlAuszahlung,5),446)+1)</f>
      </c>
      <c r="F2370" s="43">
        <f>IF($E2370=0,0,YEAR($E2370))</f>
      </c>
      <c r="G2370" s="43">
        <f>IF(INDEX(DarlBindung,5)="",1,IF($E2370&lt;=INDEX(DarlBindung,5),1,0))</f>
      </c>
      <c r="H2370" s="43">
        <f>IF($G2370=1,INDEX(DarlSollzins,5),INDEX(DarlAnschluss,5))</f>
      </c>
      <c r="I2370" s="43">
        <f>IF(INDEX(DarlBelegt,5)=0,0,IF(INDEX(DarlOhneTilgung,5)=1,IF(INDEX(DarlBindung,5)="",1,$G2370),IF($J2370&gt;0.005,1,0)))</f>
      </c>
      <c r="J2370" s="43">
        <f>IF($I2369=0,0,$R2369)</f>
      </c>
      <c r="K2370" s="43">
        <f>IF($I2370=0,0,IF(INDEX(DarlOhneTilgung,5)=1,0,IF(AND(INDEX(DarlTilgStart,5)&gt;0,$E2370=INDEX(DarlTilgStart,5)),$J2370*($H2370+INDEX(DarlTilgung,5))/100/12,IF(AND($G2370=0,$G2369=1),MAX($K2369,$J2370*($H2370+1)/100/12),$K2369))))</f>
      </c>
      <c r="L2370" s="43">
        <f>IF($I2370=0,0,$J2370*$H2370/100/12)</f>
      </c>
      <c r="M2370" s="43">
        <f>IF($I2370=0,0,IF(OR(INDEX(DarlOhneTilgung,5)=1,AND(INDEX(DarlTilgStart,5)&gt;0,$E2370&lt;INDEX(DarlTilgStart,5))),0,MIN(MAX(0,$K2370-$L2370),$J2370)))</f>
      </c>
      <c r="N2370" s="43">
        <f>IF($I2370=0,0,MIN(SUMIFS(SondBetrag,SondDarl,5,SondDatum,"&gt;="&amp;$E2370,SondDatum,"&lt;="&amp;EOMONTH($E2370,0)),$J2370-$M2370))</f>
      </c>
      <c r="O2370" s="43">
        <f>IF($I2370=0,0,INDEX(DarlErsatzRate,5))</f>
      </c>
      <c r="P2370" s="43">
        <f>IF($I2370=0,0,$Q2369*INDEX(DarlErsatzZins,5))</f>
      </c>
      <c r="Q2370" s="43">
        <f>IF($I2370=0,0,$Q2369+$P2370+$O2370)</f>
      </c>
      <c r="R2370" s="43">
        <f>IF($I2370=0,0,$J2370-$M2370-$N2370)</f>
      </c>
    </row>
    <row r="2371">
      <c r="A2371"/>
      <c r="B2371">
        <v>5</v>
      </c>
      <c r="C2371" s="43">
        <f>INDEX(DarlObj,5)</f>
      </c>
      <c r="D2371">
        <v>448</v>
      </c>
      <c r="E2371" s="51">
        <f>IF(INDEX(DarlBelegt,5)=0,0,EOMONTH(INDEX(DarlAuszahlung,5),447)+1)</f>
      </c>
      <c r="F2371" s="43">
        <f>IF($E2371=0,0,YEAR($E2371))</f>
      </c>
      <c r="G2371" s="43">
        <f>IF(INDEX(DarlBindung,5)="",1,IF($E2371&lt;=INDEX(DarlBindung,5),1,0))</f>
      </c>
      <c r="H2371" s="43">
        <f>IF($G2371=1,INDEX(DarlSollzins,5),INDEX(DarlAnschluss,5))</f>
      </c>
      <c r="I2371" s="43">
        <f>IF(INDEX(DarlBelegt,5)=0,0,IF(INDEX(DarlOhneTilgung,5)=1,IF(INDEX(DarlBindung,5)="",1,$G2371),IF($J2371&gt;0.005,1,0)))</f>
      </c>
      <c r="J2371" s="43">
        <f>IF($I2370=0,0,$R2370)</f>
      </c>
      <c r="K2371" s="43">
        <f>IF($I2371=0,0,IF(INDEX(DarlOhneTilgung,5)=1,0,IF(AND(INDEX(DarlTilgStart,5)&gt;0,$E2371=INDEX(DarlTilgStart,5)),$J2371*($H2371+INDEX(DarlTilgung,5))/100/12,IF(AND($G2371=0,$G2370=1),MAX($K2370,$J2371*($H2371+1)/100/12),$K2370))))</f>
      </c>
      <c r="L2371" s="43">
        <f>IF($I2371=0,0,$J2371*$H2371/100/12)</f>
      </c>
      <c r="M2371" s="43">
        <f>IF($I2371=0,0,IF(OR(INDEX(DarlOhneTilgung,5)=1,AND(INDEX(DarlTilgStart,5)&gt;0,$E2371&lt;INDEX(DarlTilgStart,5))),0,MIN(MAX(0,$K2371-$L2371),$J2371)))</f>
      </c>
      <c r="N2371" s="43">
        <f>IF($I2371=0,0,MIN(SUMIFS(SondBetrag,SondDarl,5,SondDatum,"&gt;="&amp;$E2371,SondDatum,"&lt;="&amp;EOMONTH($E2371,0)),$J2371-$M2371))</f>
      </c>
      <c r="O2371" s="43">
        <f>IF($I2371=0,0,INDEX(DarlErsatzRate,5))</f>
      </c>
      <c r="P2371" s="43">
        <f>IF($I2371=0,0,$Q2370*INDEX(DarlErsatzZins,5))</f>
      </c>
      <c r="Q2371" s="43">
        <f>IF($I2371=0,0,$Q2370+$P2371+$O2371)</f>
      </c>
      <c r="R2371" s="43">
        <f>IF($I2371=0,0,$J2371-$M2371-$N2371)</f>
      </c>
    </row>
    <row r="2372">
      <c r="A2372"/>
      <c r="B2372">
        <v>5</v>
      </c>
      <c r="C2372" s="43">
        <f>INDEX(DarlObj,5)</f>
      </c>
      <c r="D2372">
        <v>449</v>
      </c>
      <c r="E2372" s="51">
        <f>IF(INDEX(DarlBelegt,5)=0,0,EOMONTH(INDEX(DarlAuszahlung,5),448)+1)</f>
      </c>
      <c r="F2372" s="43">
        <f>IF($E2372=0,0,YEAR($E2372))</f>
      </c>
      <c r="G2372" s="43">
        <f>IF(INDEX(DarlBindung,5)="",1,IF($E2372&lt;=INDEX(DarlBindung,5),1,0))</f>
      </c>
      <c r="H2372" s="43">
        <f>IF($G2372=1,INDEX(DarlSollzins,5),INDEX(DarlAnschluss,5))</f>
      </c>
      <c r="I2372" s="43">
        <f>IF(INDEX(DarlBelegt,5)=0,0,IF(INDEX(DarlOhneTilgung,5)=1,IF(INDEX(DarlBindung,5)="",1,$G2372),IF($J2372&gt;0.005,1,0)))</f>
      </c>
      <c r="J2372" s="43">
        <f>IF($I2371=0,0,$R2371)</f>
      </c>
      <c r="K2372" s="43">
        <f>IF($I2372=0,0,IF(INDEX(DarlOhneTilgung,5)=1,0,IF(AND(INDEX(DarlTilgStart,5)&gt;0,$E2372=INDEX(DarlTilgStart,5)),$J2372*($H2372+INDEX(DarlTilgung,5))/100/12,IF(AND($G2372=0,$G2371=1),MAX($K2371,$J2372*($H2372+1)/100/12),$K2371))))</f>
      </c>
      <c r="L2372" s="43">
        <f>IF($I2372=0,0,$J2372*$H2372/100/12)</f>
      </c>
      <c r="M2372" s="43">
        <f>IF($I2372=0,0,IF(OR(INDEX(DarlOhneTilgung,5)=1,AND(INDEX(DarlTilgStart,5)&gt;0,$E2372&lt;INDEX(DarlTilgStart,5))),0,MIN(MAX(0,$K2372-$L2372),$J2372)))</f>
      </c>
      <c r="N2372" s="43">
        <f>IF($I2372=0,0,MIN(SUMIFS(SondBetrag,SondDarl,5,SondDatum,"&gt;="&amp;$E2372,SondDatum,"&lt;="&amp;EOMONTH($E2372,0)),$J2372-$M2372))</f>
      </c>
      <c r="O2372" s="43">
        <f>IF($I2372=0,0,INDEX(DarlErsatzRate,5))</f>
      </c>
      <c r="P2372" s="43">
        <f>IF($I2372=0,0,$Q2371*INDEX(DarlErsatzZins,5))</f>
      </c>
      <c r="Q2372" s="43">
        <f>IF($I2372=0,0,$Q2371+$P2372+$O2372)</f>
      </c>
      <c r="R2372" s="43">
        <f>IF($I2372=0,0,$J2372-$M2372-$N2372)</f>
      </c>
    </row>
    <row r="2373">
      <c r="A2373"/>
      <c r="B2373">
        <v>5</v>
      </c>
      <c r="C2373" s="43">
        <f>INDEX(DarlObj,5)</f>
      </c>
      <c r="D2373">
        <v>450</v>
      </c>
      <c r="E2373" s="51">
        <f>IF(INDEX(DarlBelegt,5)=0,0,EOMONTH(INDEX(DarlAuszahlung,5),449)+1)</f>
      </c>
      <c r="F2373" s="43">
        <f>IF($E2373=0,0,YEAR($E2373))</f>
      </c>
      <c r="G2373" s="43">
        <f>IF(INDEX(DarlBindung,5)="",1,IF($E2373&lt;=INDEX(DarlBindung,5),1,0))</f>
      </c>
      <c r="H2373" s="43">
        <f>IF($G2373=1,INDEX(DarlSollzins,5),INDEX(DarlAnschluss,5))</f>
      </c>
      <c r="I2373" s="43">
        <f>IF(INDEX(DarlBelegt,5)=0,0,IF(INDEX(DarlOhneTilgung,5)=1,IF(INDEX(DarlBindung,5)="",1,$G2373),IF($J2373&gt;0.005,1,0)))</f>
      </c>
      <c r="J2373" s="43">
        <f>IF($I2372=0,0,$R2372)</f>
      </c>
      <c r="K2373" s="43">
        <f>IF($I2373=0,0,IF(INDEX(DarlOhneTilgung,5)=1,0,IF(AND(INDEX(DarlTilgStart,5)&gt;0,$E2373=INDEX(DarlTilgStart,5)),$J2373*($H2373+INDEX(DarlTilgung,5))/100/12,IF(AND($G2373=0,$G2372=1),MAX($K2372,$J2373*($H2373+1)/100/12),$K2372))))</f>
      </c>
      <c r="L2373" s="43">
        <f>IF($I2373=0,0,$J2373*$H2373/100/12)</f>
      </c>
      <c r="M2373" s="43">
        <f>IF($I2373=0,0,IF(OR(INDEX(DarlOhneTilgung,5)=1,AND(INDEX(DarlTilgStart,5)&gt;0,$E2373&lt;INDEX(DarlTilgStart,5))),0,MIN(MAX(0,$K2373-$L2373),$J2373)))</f>
      </c>
      <c r="N2373" s="43">
        <f>IF($I2373=0,0,MIN(SUMIFS(SondBetrag,SondDarl,5,SondDatum,"&gt;="&amp;$E2373,SondDatum,"&lt;="&amp;EOMONTH($E2373,0)),$J2373-$M2373))</f>
      </c>
      <c r="O2373" s="43">
        <f>IF($I2373=0,0,INDEX(DarlErsatzRate,5))</f>
      </c>
      <c r="P2373" s="43">
        <f>IF($I2373=0,0,$Q2372*INDEX(DarlErsatzZins,5))</f>
      </c>
      <c r="Q2373" s="43">
        <f>IF($I2373=0,0,$Q2372+$P2373+$O2373)</f>
      </c>
      <c r="R2373" s="43">
        <f>IF($I2373=0,0,$J2373-$M2373-$N2373)</f>
      </c>
    </row>
    <row r="2374">
      <c r="A2374"/>
      <c r="B2374">
        <v>5</v>
      </c>
      <c r="C2374" s="43">
        <f>INDEX(DarlObj,5)</f>
      </c>
      <c r="D2374">
        <v>451</v>
      </c>
      <c r="E2374" s="51">
        <f>IF(INDEX(DarlBelegt,5)=0,0,EOMONTH(INDEX(DarlAuszahlung,5),450)+1)</f>
      </c>
      <c r="F2374" s="43">
        <f>IF($E2374=0,0,YEAR($E2374))</f>
      </c>
      <c r="G2374" s="43">
        <f>IF(INDEX(DarlBindung,5)="",1,IF($E2374&lt;=INDEX(DarlBindung,5),1,0))</f>
      </c>
      <c r="H2374" s="43">
        <f>IF($G2374=1,INDEX(DarlSollzins,5),INDEX(DarlAnschluss,5))</f>
      </c>
      <c r="I2374" s="43">
        <f>IF(INDEX(DarlBelegt,5)=0,0,IF(INDEX(DarlOhneTilgung,5)=1,IF(INDEX(DarlBindung,5)="",1,$G2374),IF($J2374&gt;0.005,1,0)))</f>
      </c>
      <c r="J2374" s="43">
        <f>IF($I2373=0,0,$R2373)</f>
      </c>
      <c r="K2374" s="43">
        <f>IF($I2374=0,0,IF(INDEX(DarlOhneTilgung,5)=1,0,IF(AND(INDEX(DarlTilgStart,5)&gt;0,$E2374=INDEX(DarlTilgStart,5)),$J2374*($H2374+INDEX(DarlTilgung,5))/100/12,IF(AND($G2374=0,$G2373=1),MAX($K2373,$J2374*($H2374+1)/100/12),$K2373))))</f>
      </c>
      <c r="L2374" s="43">
        <f>IF($I2374=0,0,$J2374*$H2374/100/12)</f>
      </c>
      <c r="M2374" s="43">
        <f>IF($I2374=0,0,IF(OR(INDEX(DarlOhneTilgung,5)=1,AND(INDEX(DarlTilgStart,5)&gt;0,$E2374&lt;INDEX(DarlTilgStart,5))),0,MIN(MAX(0,$K2374-$L2374),$J2374)))</f>
      </c>
      <c r="N2374" s="43">
        <f>IF($I2374=0,0,MIN(SUMIFS(SondBetrag,SondDarl,5,SondDatum,"&gt;="&amp;$E2374,SondDatum,"&lt;="&amp;EOMONTH($E2374,0)),$J2374-$M2374))</f>
      </c>
      <c r="O2374" s="43">
        <f>IF($I2374=0,0,INDEX(DarlErsatzRate,5))</f>
      </c>
      <c r="P2374" s="43">
        <f>IF($I2374=0,0,$Q2373*INDEX(DarlErsatzZins,5))</f>
      </c>
      <c r="Q2374" s="43">
        <f>IF($I2374=0,0,$Q2373+$P2374+$O2374)</f>
      </c>
      <c r="R2374" s="43">
        <f>IF($I2374=0,0,$J2374-$M2374-$N2374)</f>
      </c>
    </row>
    <row r="2375">
      <c r="A2375"/>
      <c r="B2375">
        <v>5</v>
      </c>
      <c r="C2375" s="43">
        <f>INDEX(DarlObj,5)</f>
      </c>
      <c r="D2375">
        <v>452</v>
      </c>
      <c r="E2375" s="51">
        <f>IF(INDEX(DarlBelegt,5)=0,0,EOMONTH(INDEX(DarlAuszahlung,5),451)+1)</f>
      </c>
      <c r="F2375" s="43">
        <f>IF($E2375=0,0,YEAR($E2375))</f>
      </c>
      <c r="G2375" s="43">
        <f>IF(INDEX(DarlBindung,5)="",1,IF($E2375&lt;=INDEX(DarlBindung,5),1,0))</f>
      </c>
      <c r="H2375" s="43">
        <f>IF($G2375=1,INDEX(DarlSollzins,5),INDEX(DarlAnschluss,5))</f>
      </c>
      <c r="I2375" s="43">
        <f>IF(INDEX(DarlBelegt,5)=0,0,IF(INDEX(DarlOhneTilgung,5)=1,IF(INDEX(DarlBindung,5)="",1,$G2375),IF($J2375&gt;0.005,1,0)))</f>
      </c>
      <c r="J2375" s="43">
        <f>IF($I2374=0,0,$R2374)</f>
      </c>
      <c r="K2375" s="43">
        <f>IF($I2375=0,0,IF(INDEX(DarlOhneTilgung,5)=1,0,IF(AND(INDEX(DarlTilgStart,5)&gt;0,$E2375=INDEX(DarlTilgStart,5)),$J2375*($H2375+INDEX(DarlTilgung,5))/100/12,IF(AND($G2375=0,$G2374=1),MAX($K2374,$J2375*($H2375+1)/100/12),$K2374))))</f>
      </c>
      <c r="L2375" s="43">
        <f>IF($I2375=0,0,$J2375*$H2375/100/12)</f>
      </c>
      <c r="M2375" s="43">
        <f>IF($I2375=0,0,IF(OR(INDEX(DarlOhneTilgung,5)=1,AND(INDEX(DarlTilgStart,5)&gt;0,$E2375&lt;INDEX(DarlTilgStart,5))),0,MIN(MAX(0,$K2375-$L2375),$J2375)))</f>
      </c>
      <c r="N2375" s="43">
        <f>IF($I2375=0,0,MIN(SUMIFS(SondBetrag,SondDarl,5,SondDatum,"&gt;="&amp;$E2375,SondDatum,"&lt;="&amp;EOMONTH($E2375,0)),$J2375-$M2375))</f>
      </c>
      <c r="O2375" s="43">
        <f>IF($I2375=0,0,INDEX(DarlErsatzRate,5))</f>
      </c>
      <c r="P2375" s="43">
        <f>IF($I2375=0,0,$Q2374*INDEX(DarlErsatzZins,5))</f>
      </c>
      <c r="Q2375" s="43">
        <f>IF($I2375=0,0,$Q2374+$P2375+$O2375)</f>
      </c>
      <c r="R2375" s="43">
        <f>IF($I2375=0,0,$J2375-$M2375-$N2375)</f>
      </c>
    </row>
    <row r="2376">
      <c r="A2376"/>
      <c r="B2376">
        <v>5</v>
      </c>
      <c r="C2376" s="43">
        <f>INDEX(DarlObj,5)</f>
      </c>
      <c r="D2376">
        <v>453</v>
      </c>
      <c r="E2376" s="51">
        <f>IF(INDEX(DarlBelegt,5)=0,0,EOMONTH(INDEX(DarlAuszahlung,5),452)+1)</f>
      </c>
      <c r="F2376" s="43">
        <f>IF($E2376=0,0,YEAR($E2376))</f>
      </c>
      <c r="G2376" s="43">
        <f>IF(INDEX(DarlBindung,5)="",1,IF($E2376&lt;=INDEX(DarlBindung,5),1,0))</f>
      </c>
      <c r="H2376" s="43">
        <f>IF($G2376=1,INDEX(DarlSollzins,5),INDEX(DarlAnschluss,5))</f>
      </c>
      <c r="I2376" s="43">
        <f>IF(INDEX(DarlBelegt,5)=0,0,IF(INDEX(DarlOhneTilgung,5)=1,IF(INDEX(DarlBindung,5)="",1,$G2376),IF($J2376&gt;0.005,1,0)))</f>
      </c>
      <c r="J2376" s="43">
        <f>IF($I2375=0,0,$R2375)</f>
      </c>
      <c r="K2376" s="43">
        <f>IF($I2376=0,0,IF(INDEX(DarlOhneTilgung,5)=1,0,IF(AND(INDEX(DarlTilgStart,5)&gt;0,$E2376=INDEX(DarlTilgStart,5)),$J2376*($H2376+INDEX(DarlTilgung,5))/100/12,IF(AND($G2376=0,$G2375=1),MAX($K2375,$J2376*($H2376+1)/100/12),$K2375))))</f>
      </c>
      <c r="L2376" s="43">
        <f>IF($I2376=0,0,$J2376*$H2376/100/12)</f>
      </c>
      <c r="M2376" s="43">
        <f>IF($I2376=0,0,IF(OR(INDEX(DarlOhneTilgung,5)=1,AND(INDEX(DarlTilgStart,5)&gt;0,$E2376&lt;INDEX(DarlTilgStart,5))),0,MIN(MAX(0,$K2376-$L2376),$J2376)))</f>
      </c>
      <c r="N2376" s="43">
        <f>IF($I2376=0,0,MIN(SUMIFS(SondBetrag,SondDarl,5,SondDatum,"&gt;="&amp;$E2376,SondDatum,"&lt;="&amp;EOMONTH($E2376,0)),$J2376-$M2376))</f>
      </c>
      <c r="O2376" s="43">
        <f>IF($I2376=0,0,INDEX(DarlErsatzRate,5))</f>
      </c>
      <c r="P2376" s="43">
        <f>IF($I2376=0,0,$Q2375*INDEX(DarlErsatzZins,5))</f>
      </c>
      <c r="Q2376" s="43">
        <f>IF($I2376=0,0,$Q2375+$P2376+$O2376)</f>
      </c>
      <c r="R2376" s="43">
        <f>IF($I2376=0,0,$J2376-$M2376-$N2376)</f>
      </c>
    </row>
    <row r="2377">
      <c r="A2377"/>
      <c r="B2377">
        <v>5</v>
      </c>
      <c r="C2377" s="43">
        <f>INDEX(DarlObj,5)</f>
      </c>
      <c r="D2377">
        <v>454</v>
      </c>
      <c r="E2377" s="51">
        <f>IF(INDEX(DarlBelegt,5)=0,0,EOMONTH(INDEX(DarlAuszahlung,5),453)+1)</f>
      </c>
      <c r="F2377" s="43">
        <f>IF($E2377=0,0,YEAR($E2377))</f>
      </c>
      <c r="G2377" s="43">
        <f>IF(INDEX(DarlBindung,5)="",1,IF($E2377&lt;=INDEX(DarlBindung,5),1,0))</f>
      </c>
      <c r="H2377" s="43">
        <f>IF($G2377=1,INDEX(DarlSollzins,5),INDEX(DarlAnschluss,5))</f>
      </c>
      <c r="I2377" s="43">
        <f>IF(INDEX(DarlBelegt,5)=0,0,IF(INDEX(DarlOhneTilgung,5)=1,IF(INDEX(DarlBindung,5)="",1,$G2377),IF($J2377&gt;0.005,1,0)))</f>
      </c>
      <c r="J2377" s="43">
        <f>IF($I2376=0,0,$R2376)</f>
      </c>
      <c r="K2377" s="43">
        <f>IF($I2377=0,0,IF(INDEX(DarlOhneTilgung,5)=1,0,IF(AND(INDEX(DarlTilgStart,5)&gt;0,$E2377=INDEX(DarlTilgStart,5)),$J2377*($H2377+INDEX(DarlTilgung,5))/100/12,IF(AND($G2377=0,$G2376=1),MAX($K2376,$J2377*($H2377+1)/100/12),$K2376))))</f>
      </c>
      <c r="L2377" s="43">
        <f>IF($I2377=0,0,$J2377*$H2377/100/12)</f>
      </c>
      <c r="M2377" s="43">
        <f>IF($I2377=0,0,IF(OR(INDEX(DarlOhneTilgung,5)=1,AND(INDEX(DarlTilgStart,5)&gt;0,$E2377&lt;INDEX(DarlTilgStart,5))),0,MIN(MAX(0,$K2377-$L2377),$J2377)))</f>
      </c>
      <c r="N2377" s="43">
        <f>IF($I2377=0,0,MIN(SUMIFS(SondBetrag,SondDarl,5,SondDatum,"&gt;="&amp;$E2377,SondDatum,"&lt;="&amp;EOMONTH($E2377,0)),$J2377-$M2377))</f>
      </c>
      <c r="O2377" s="43">
        <f>IF($I2377=0,0,INDEX(DarlErsatzRate,5))</f>
      </c>
      <c r="P2377" s="43">
        <f>IF($I2377=0,0,$Q2376*INDEX(DarlErsatzZins,5))</f>
      </c>
      <c r="Q2377" s="43">
        <f>IF($I2377=0,0,$Q2376+$P2377+$O2377)</f>
      </c>
      <c r="R2377" s="43">
        <f>IF($I2377=0,0,$J2377-$M2377-$N2377)</f>
      </c>
    </row>
    <row r="2378">
      <c r="A2378"/>
      <c r="B2378">
        <v>5</v>
      </c>
      <c r="C2378" s="43">
        <f>INDEX(DarlObj,5)</f>
      </c>
      <c r="D2378">
        <v>455</v>
      </c>
      <c r="E2378" s="51">
        <f>IF(INDEX(DarlBelegt,5)=0,0,EOMONTH(INDEX(DarlAuszahlung,5),454)+1)</f>
      </c>
      <c r="F2378" s="43">
        <f>IF($E2378=0,0,YEAR($E2378))</f>
      </c>
      <c r="G2378" s="43">
        <f>IF(INDEX(DarlBindung,5)="",1,IF($E2378&lt;=INDEX(DarlBindung,5),1,0))</f>
      </c>
      <c r="H2378" s="43">
        <f>IF($G2378=1,INDEX(DarlSollzins,5),INDEX(DarlAnschluss,5))</f>
      </c>
      <c r="I2378" s="43">
        <f>IF(INDEX(DarlBelegt,5)=0,0,IF(INDEX(DarlOhneTilgung,5)=1,IF(INDEX(DarlBindung,5)="",1,$G2378),IF($J2378&gt;0.005,1,0)))</f>
      </c>
      <c r="J2378" s="43">
        <f>IF($I2377=0,0,$R2377)</f>
      </c>
      <c r="K2378" s="43">
        <f>IF($I2378=0,0,IF(INDEX(DarlOhneTilgung,5)=1,0,IF(AND(INDEX(DarlTilgStart,5)&gt;0,$E2378=INDEX(DarlTilgStart,5)),$J2378*($H2378+INDEX(DarlTilgung,5))/100/12,IF(AND($G2378=0,$G2377=1),MAX($K2377,$J2378*($H2378+1)/100/12),$K2377))))</f>
      </c>
      <c r="L2378" s="43">
        <f>IF($I2378=0,0,$J2378*$H2378/100/12)</f>
      </c>
      <c r="M2378" s="43">
        <f>IF($I2378=0,0,IF(OR(INDEX(DarlOhneTilgung,5)=1,AND(INDEX(DarlTilgStart,5)&gt;0,$E2378&lt;INDEX(DarlTilgStart,5))),0,MIN(MAX(0,$K2378-$L2378),$J2378)))</f>
      </c>
      <c r="N2378" s="43">
        <f>IF($I2378=0,0,MIN(SUMIFS(SondBetrag,SondDarl,5,SondDatum,"&gt;="&amp;$E2378,SondDatum,"&lt;="&amp;EOMONTH($E2378,0)),$J2378-$M2378))</f>
      </c>
      <c r="O2378" s="43">
        <f>IF($I2378=0,0,INDEX(DarlErsatzRate,5))</f>
      </c>
      <c r="P2378" s="43">
        <f>IF($I2378=0,0,$Q2377*INDEX(DarlErsatzZins,5))</f>
      </c>
      <c r="Q2378" s="43">
        <f>IF($I2378=0,0,$Q2377+$P2378+$O2378)</f>
      </c>
      <c r="R2378" s="43">
        <f>IF($I2378=0,0,$J2378-$M2378-$N2378)</f>
      </c>
    </row>
    <row r="2379">
      <c r="A2379"/>
      <c r="B2379">
        <v>5</v>
      </c>
      <c r="C2379" s="43">
        <f>INDEX(DarlObj,5)</f>
      </c>
      <c r="D2379">
        <v>456</v>
      </c>
      <c r="E2379" s="51">
        <f>IF(INDEX(DarlBelegt,5)=0,0,EOMONTH(INDEX(DarlAuszahlung,5),455)+1)</f>
      </c>
      <c r="F2379" s="43">
        <f>IF($E2379=0,0,YEAR($E2379))</f>
      </c>
      <c r="G2379" s="43">
        <f>IF(INDEX(DarlBindung,5)="",1,IF($E2379&lt;=INDEX(DarlBindung,5),1,0))</f>
      </c>
      <c r="H2379" s="43">
        <f>IF($G2379=1,INDEX(DarlSollzins,5),INDEX(DarlAnschluss,5))</f>
      </c>
      <c r="I2379" s="43">
        <f>IF(INDEX(DarlBelegt,5)=0,0,IF(INDEX(DarlOhneTilgung,5)=1,IF(INDEX(DarlBindung,5)="",1,$G2379),IF($J2379&gt;0.005,1,0)))</f>
      </c>
      <c r="J2379" s="43">
        <f>IF($I2378=0,0,$R2378)</f>
      </c>
      <c r="K2379" s="43">
        <f>IF($I2379=0,0,IF(INDEX(DarlOhneTilgung,5)=1,0,IF(AND(INDEX(DarlTilgStart,5)&gt;0,$E2379=INDEX(DarlTilgStart,5)),$J2379*($H2379+INDEX(DarlTilgung,5))/100/12,IF(AND($G2379=0,$G2378=1),MAX($K2378,$J2379*($H2379+1)/100/12),$K2378))))</f>
      </c>
      <c r="L2379" s="43">
        <f>IF($I2379=0,0,$J2379*$H2379/100/12)</f>
      </c>
      <c r="M2379" s="43">
        <f>IF($I2379=0,0,IF(OR(INDEX(DarlOhneTilgung,5)=1,AND(INDEX(DarlTilgStart,5)&gt;0,$E2379&lt;INDEX(DarlTilgStart,5))),0,MIN(MAX(0,$K2379-$L2379),$J2379)))</f>
      </c>
      <c r="N2379" s="43">
        <f>IF($I2379=0,0,MIN(SUMIFS(SondBetrag,SondDarl,5,SondDatum,"&gt;="&amp;$E2379,SondDatum,"&lt;="&amp;EOMONTH($E2379,0)),$J2379-$M2379))</f>
      </c>
      <c r="O2379" s="43">
        <f>IF($I2379=0,0,INDEX(DarlErsatzRate,5))</f>
      </c>
      <c r="P2379" s="43">
        <f>IF($I2379=0,0,$Q2378*INDEX(DarlErsatzZins,5))</f>
      </c>
      <c r="Q2379" s="43">
        <f>IF($I2379=0,0,$Q2378+$P2379+$O2379)</f>
      </c>
      <c r="R2379" s="43">
        <f>IF($I2379=0,0,$J2379-$M2379-$N2379)</f>
      </c>
    </row>
    <row r="2380">
      <c r="A2380"/>
      <c r="B2380">
        <v>5</v>
      </c>
      <c r="C2380" s="43">
        <f>INDEX(DarlObj,5)</f>
      </c>
      <c r="D2380">
        <v>457</v>
      </c>
      <c r="E2380" s="51">
        <f>IF(INDEX(DarlBelegt,5)=0,0,EOMONTH(INDEX(DarlAuszahlung,5),456)+1)</f>
      </c>
      <c r="F2380" s="43">
        <f>IF($E2380=0,0,YEAR($E2380))</f>
      </c>
      <c r="G2380" s="43">
        <f>IF(INDEX(DarlBindung,5)="",1,IF($E2380&lt;=INDEX(DarlBindung,5),1,0))</f>
      </c>
      <c r="H2380" s="43">
        <f>IF($G2380=1,INDEX(DarlSollzins,5),INDEX(DarlAnschluss,5))</f>
      </c>
      <c r="I2380" s="43">
        <f>IF(INDEX(DarlBelegt,5)=0,0,IF(INDEX(DarlOhneTilgung,5)=1,IF(INDEX(DarlBindung,5)="",1,$G2380),IF($J2380&gt;0.005,1,0)))</f>
      </c>
      <c r="J2380" s="43">
        <f>IF($I2379=0,0,$R2379)</f>
      </c>
      <c r="K2380" s="43">
        <f>IF($I2380=0,0,IF(INDEX(DarlOhneTilgung,5)=1,0,IF(AND(INDEX(DarlTilgStart,5)&gt;0,$E2380=INDEX(DarlTilgStart,5)),$J2380*($H2380+INDEX(DarlTilgung,5))/100/12,IF(AND($G2380=0,$G2379=1),MAX($K2379,$J2380*($H2380+1)/100/12),$K2379))))</f>
      </c>
      <c r="L2380" s="43">
        <f>IF($I2380=0,0,$J2380*$H2380/100/12)</f>
      </c>
      <c r="M2380" s="43">
        <f>IF($I2380=0,0,IF(OR(INDEX(DarlOhneTilgung,5)=1,AND(INDEX(DarlTilgStart,5)&gt;0,$E2380&lt;INDEX(DarlTilgStart,5))),0,MIN(MAX(0,$K2380-$L2380),$J2380)))</f>
      </c>
      <c r="N2380" s="43">
        <f>IF($I2380=0,0,MIN(SUMIFS(SondBetrag,SondDarl,5,SondDatum,"&gt;="&amp;$E2380,SondDatum,"&lt;="&amp;EOMONTH($E2380,0)),$J2380-$M2380))</f>
      </c>
      <c r="O2380" s="43">
        <f>IF($I2380=0,0,INDEX(DarlErsatzRate,5))</f>
      </c>
      <c r="P2380" s="43">
        <f>IF($I2380=0,0,$Q2379*INDEX(DarlErsatzZins,5))</f>
      </c>
      <c r="Q2380" s="43">
        <f>IF($I2380=0,0,$Q2379+$P2380+$O2380)</f>
      </c>
      <c r="R2380" s="43">
        <f>IF($I2380=0,0,$J2380-$M2380-$N2380)</f>
      </c>
    </row>
    <row r="2381">
      <c r="A2381"/>
      <c r="B2381">
        <v>5</v>
      </c>
      <c r="C2381" s="43">
        <f>INDEX(DarlObj,5)</f>
      </c>
      <c r="D2381">
        <v>458</v>
      </c>
      <c r="E2381" s="51">
        <f>IF(INDEX(DarlBelegt,5)=0,0,EOMONTH(INDEX(DarlAuszahlung,5),457)+1)</f>
      </c>
      <c r="F2381" s="43">
        <f>IF($E2381=0,0,YEAR($E2381))</f>
      </c>
      <c r="G2381" s="43">
        <f>IF(INDEX(DarlBindung,5)="",1,IF($E2381&lt;=INDEX(DarlBindung,5),1,0))</f>
      </c>
      <c r="H2381" s="43">
        <f>IF($G2381=1,INDEX(DarlSollzins,5),INDEX(DarlAnschluss,5))</f>
      </c>
      <c r="I2381" s="43">
        <f>IF(INDEX(DarlBelegt,5)=0,0,IF(INDEX(DarlOhneTilgung,5)=1,IF(INDEX(DarlBindung,5)="",1,$G2381),IF($J2381&gt;0.005,1,0)))</f>
      </c>
      <c r="J2381" s="43">
        <f>IF($I2380=0,0,$R2380)</f>
      </c>
      <c r="K2381" s="43">
        <f>IF($I2381=0,0,IF(INDEX(DarlOhneTilgung,5)=1,0,IF(AND(INDEX(DarlTilgStart,5)&gt;0,$E2381=INDEX(DarlTilgStart,5)),$J2381*($H2381+INDEX(DarlTilgung,5))/100/12,IF(AND($G2381=0,$G2380=1),MAX($K2380,$J2381*($H2381+1)/100/12),$K2380))))</f>
      </c>
      <c r="L2381" s="43">
        <f>IF($I2381=0,0,$J2381*$H2381/100/12)</f>
      </c>
      <c r="M2381" s="43">
        <f>IF($I2381=0,0,IF(OR(INDEX(DarlOhneTilgung,5)=1,AND(INDEX(DarlTilgStart,5)&gt;0,$E2381&lt;INDEX(DarlTilgStart,5))),0,MIN(MAX(0,$K2381-$L2381),$J2381)))</f>
      </c>
      <c r="N2381" s="43">
        <f>IF($I2381=0,0,MIN(SUMIFS(SondBetrag,SondDarl,5,SondDatum,"&gt;="&amp;$E2381,SondDatum,"&lt;="&amp;EOMONTH($E2381,0)),$J2381-$M2381))</f>
      </c>
      <c r="O2381" s="43">
        <f>IF($I2381=0,0,INDEX(DarlErsatzRate,5))</f>
      </c>
      <c r="P2381" s="43">
        <f>IF($I2381=0,0,$Q2380*INDEX(DarlErsatzZins,5))</f>
      </c>
      <c r="Q2381" s="43">
        <f>IF($I2381=0,0,$Q2380+$P2381+$O2381)</f>
      </c>
      <c r="R2381" s="43">
        <f>IF($I2381=0,0,$J2381-$M2381-$N2381)</f>
      </c>
    </row>
    <row r="2382">
      <c r="A2382"/>
      <c r="B2382">
        <v>5</v>
      </c>
      <c r="C2382" s="43">
        <f>INDEX(DarlObj,5)</f>
      </c>
      <c r="D2382">
        <v>459</v>
      </c>
      <c r="E2382" s="51">
        <f>IF(INDEX(DarlBelegt,5)=0,0,EOMONTH(INDEX(DarlAuszahlung,5),458)+1)</f>
      </c>
      <c r="F2382" s="43">
        <f>IF($E2382=0,0,YEAR($E2382))</f>
      </c>
      <c r="G2382" s="43">
        <f>IF(INDEX(DarlBindung,5)="",1,IF($E2382&lt;=INDEX(DarlBindung,5),1,0))</f>
      </c>
      <c r="H2382" s="43">
        <f>IF($G2382=1,INDEX(DarlSollzins,5),INDEX(DarlAnschluss,5))</f>
      </c>
      <c r="I2382" s="43">
        <f>IF(INDEX(DarlBelegt,5)=0,0,IF(INDEX(DarlOhneTilgung,5)=1,IF(INDEX(DarlBindung,5)="",1,$G2382),IF($J2382&gt;0.005,1,0)))</f>
      </c>
      <c r="J2382" s="43">
        <f>IF($I2381=0,0,$R2381)</f>
      </c>
      <c r="K2382" s="43">
        <f>IF($I2382=0,0,IF(INDEX(DarlOhneTilgung,5)=1,0,IF(AND(INDEX(DarlTilgStart,5)&gt;0,$E2382=INDEX(DarlTilgStart,5)),$J2382*($H2382+INDEX(DarlTilgung,5))/100/12,IF(AND($G2382=0,$G2381=1),MAX($K2381,$J2382*($H2382+1)/100/12),$K2381))))</f>
      </c>
      <c r="L2382" s="43">
        <f>IF($I2382=0,0,$J2382*$H2382/100/12)</f>
      </c>
      <c r="M2382" s="43">
        <f>IF($I2382=0,0,IF(OR(INDEX(DarlOhneTilgung,5)=1,AND(INDEX(DarlTilgStart,5)&gt;0,$E2382&lt;INDEX(DarlTilgStart,5))),0,MIN(MAX(0,$K2382-$L2382),$J2382)))</f>
      </c>
      <c r="N2382" s="43">
        <f>IF($I2382=0,0,MIN(SUMIFS(SondBetrag,SondDarl,5,SondDatum,"&gt;="&amp;$E2382,SondDatum,"&lt;="&amp;EOMONTH($E2382,0)),$J2382-$M2382))</f>
      </c>
      <c r="O2382" s="43">
        <f>IF($I2382=0,0,INDEX(DarlErsatzRate,5))</f>
      </c>
      <c r="P2382" s="43">
        <f>IF($I2382=0,0,$Q2381*INDEX(DarlErsatzZins,5))</f>
      </c>
      <c r="Q2382" s="43">
        <f>IF($I2382=0,0,$Q2381+$P2382+$O2382)</f>
      </c>
      <c r="R2382" s="43">
        <f>IF($I2382=0,0,$J2382-$M2382-$N2382)</f>
      </c>
    </row>
    <row r="2383">
      <c r="A2383"/>
      <c r="B2383">
        <v>5</v>
      </c>
      <c r="C2383" s="43">
        <f>INDEX(DarlObj,5)</f>
      </c>
      <c r="D2383">
        <v>460</v>
      </c>
      <c r="E2383" s="51">
        <f>IF(INDEX(DarlBelegt,5)=0,0,EOMONTH(INDEX(DarlAuszahlung,5),459)+1)</f>
      </c>
      <c r="F2383" s="43">
        <f>IF($E2383=0,0,YEAR($E2383))</f>
      </c>
      <c r="G2383" s="43">
        <f>IF(INDEX(DarlBindung,5)="",1,IF($E2383&lt;=INDEX(DarlBindung,5),1,0))</f>
      </c>
      <c r="H2383" s="43">
        <f>IF($G2383=1,INDEX(DarlSollzins,5),INDEX(DarlAnschluss,5))</f>
      </c>
      <c r="I2383" s="43">
        <f>IF(INDEX(DarlBelegt,5)=0,0,IF(INDEX(DarlOhneTilgung,5)=1,IF(INDEX(DarlBindung,5)="",1,$G2383),IF($J2383&gt;0.005,1,0)))</f>
      </c>
      <c r="J2383" s="43">
        <f>IF($I2382=0,0,$R2382)</f>
      </c>
      <c r="K2383" s="43">
        <f>IF($I2383=0,0,IF(INDEX(DarlOhneTilgung,5)=1,0,IF(AND(INDEX(DarlTilgStart,5)&gt;0,$E2383=INDEX(DarlTilgStart,5)),$J2383*($H2383+INDEX(DarlTilgung,5))/100/12,IF(AND($G2383=0,$G2382=1),MAX($K2382,$J2383*($H2383+1)/100/12),$K2382))))</f>
      </c>
      <c r="L2383" s="43">
        <f>IF($I2383=0,0,$J2383*$H2383/100/12)</f>
      </c>
      <c r="M2383" s="43">
        <f>IF($I2383=0,0,IF(OR(INDEX(DarlOhneTilgung,5)=1,AND(INDEX(DarlTilgStart,5)&gt;0,$E2383&lt;INDEX(DarlTilgStart,5))),0,MIN(MAX(0,$K2383-$L2383),$J2383)))</f>
      </c>
      <c r="N2383" s="43">
        <f>IF($I2383=0,0,MIN(SUMIFS(SondBetrag,SondDarl,5,SondDatum,"&gt;="&amp;$E2383,SondDatum,"&lt;="&amp;EOMONTH($E2383,0)),$J2383-$M2383))</f>
      </c>
      <c r="O2383" s="43">
        <f>IF($I2383=0,0,INDEX(DarlErsatzRate,5))</f>
      </c>
      <c r="P2383" s="43">
        <f>IF($I2383=0,0,$Q2382*INDEX(DarlErsatzZins,5))</f>
      </c>
      <c r="Q2383" s="43">
        <f>IF($I2383=0,0,$Q2382+$P2383+$O2383)</f>
      </c>
      <c r="R2383" s="43">
        <f>IF($I2383=0,0,$J2383-$M2383-$N2383)</f>
      </c>
    </row>
    <row r="2384">
      <c r="A2384"/>
      <c r="B2384">
        <v>5</v>
      </c>
      <c r="C2384" s="43">
        <f>INDEX(DarlObj,5)</f>
      </c>
      <c r="D2384">
        <v>461</v>
      </c>
      <c r="E2384" s="51">
        <f>IF(INDEX(DarlBelegt,5)=0,0,EOMONTH(INDEX(DarlAuszahlung,5),460)+1)</f>
      </c>
      <c r="F2384" s="43">
        <f>IF($E2384=0,0,YEAR($E2384))</f>
      </c>
      <c r="G2384" s="43">
        <f>IF(INDEX(DarlBindung,5)="",1,IF($E2384&lt;=INDEX(DarlBindung,5),1,0))</f>
      </c>
      <c r="H2384" s="43">
        <f>IF($G2384=1,INDEX(DarlSollzins,5),INDEX(DarlAnschluss,5))</f>
      </c>
      <c r="I2384" s="43">
        <f>IF(INDEX(DarlBelegt,5)=0,0,IF(INDEX(DarlOhneTilgung,5)=1,IF(INDEX(DarlBindung,5)="",1,$G2384),IF($J2384&gt;0.005,1,0)))</f>
      </c>
      <c r="J2384" s="43">
        <f>IF($I2383=0,0,$R2383)</f>
      </c>
      <c r="K2384" s="43">
        <f>IF($I2384=0,0,IF(INDEX(DarlOhneTilgung,5)=1,0,IF(AND(INDEX(DarlTilgStart,5)&gt;0,$E2384=INDEX(DarlTilgStart,5)),$J2384*($H2384+INDEX(DarlTilgung,5))/100/12,IF(AND($G2384=0,$G2383=1),MAX($K2383,$J2384*($H2384+1)/100/12),$K2383))))</f>
      </c>
      <c r="L2384" s="43">
        <f>IF($I2384=0,0,$J2384*$H2384/100/12)</f>
      </c>
      <c r="M2384" s="43">
        <f>IF($I2384=0,0,IF(OR(INDEX(DarlOhneTilgung,5)=1,AND(INDEX(DarlTilgStart,5)&gt;0,$E2384&lt;INDEX(DarlTilgStart,5))),0,MIN(MAX(0,$K2384-$L2384),$J2384)))</f>
      </c>
      <c r="N2384" s="43">
        <f>IF($I2384=0,0,MIN(SUMIFS(SondBetrag,SondDarl,5,SondDatum,"&gt;="&amp;$E2384,SondDatum,"&lt;="&amp;EOMONTH($E2384,0)),$J2384-$M2384))</f>
      </c>
      <c r="O2384" s="43">
        <f>IF($I2384=0,0,INDEX(DarlErsatzRate,5))</f>
      </c>
      <c r="P2384" s="43">
        <f>IF($I2384=0,0,$Q2383*INDEX(DarlErsatzZins,5))</f>
      </c>
      <c r="Q2384" s="43">
        <f>IF($I2384=0,0,$Q2383+$P2384+$O2384)</f>
      </c>
      <c r="R2384" s="43">
        <f>IF($I2384=0,0,$J2384-$M2384-$N2384)</f>
      </c>
    </row>
    <row r="2385">
      <c r="A2385"/>
      <c r="B2385">
        <v>5</v>
      </c>
      <c r="C2385" s="43">
        <f>INDEX(DarlObj,5)</f>
      </c>
      <c r="D2385">
        <v>462</v>
      </c>
      <c r="E2385" s="51">
        <f>IF(INDEX(DarlBelegt,5)=0,0,EOMONTH(INDEX(DarlAuszahlung,5),461)+1)</f>
      </c>
      <c r="F2385" s="43">
        <f>IF($E2385=0,0,YEAR($E2385))</f>
      </c>
      <c r="G2385" s="43">
        <f>IF(INDEX(DarlBindung,5)="",1,IF($E2385&lt;=INDEX(DarlBindung,5),1,0))</f>
      </c>
      <c r="H2385" s="43">
        <f>IF($G2385=1,INDEX(DarlSollzins,5),INDEX(DarlAnschluss,5))</f>
      </c>
      <c r="I2385" s="43">
        <f>IF(INDEX(DarlBelegt,5)=0,0,IF(INDEX(DarlOhneTilgung,5)=1,IF(INDEX(DarlBindung,5)="",1,$G2385),IF($J2385&gt;0.005,1,0)))</f>
      </c>
      <c r="J2385" s="43">
        <f>IF($I2384=0,0,$R2384)</f>
      </c>
      <c r="K2385" s="43">
        <f>IF($I2385=0,0,IF(INDEX(DarlOhneTilgung,5)=1,0,IF(AND(INDEX(DarlTilgStart,5)&gt;0,$E2385=INDEX(DarlTilgStart,5)),$J2385*($H2385+INDEX(DarlTilgung,5))/100/12,IF(AND($G2385=0,$G2384=1),MAX($K2384,$J2385*($H2385+1)/100/12),$K2384))))</f>
      </c>
      <c r="L2385" s="43">
        <f>IF($I2385=0,0,$J2385*$H2385/100/12)</f>
      </c>
      <c r="M2385" s="43">
        <f>IF($I2385=0,0,IF(OR(INDEX(DarlOhneTilgung,5)=1,AND(INDEX(DarlTilgStart,5)&gt;0,$E2385&lt;INDEX(DarlTilgStart,5))),0,MIN(MAX(0,$K2385-$L2385),$J2385)))</f>
      </c>
      <c r="N2385" s="43">
        <f>IF($I2385=0,0,MIN(SUMIFS(SondBetrag,SondDarl,5,SondDatum,"&gt;="&amp;$E2385,SondDatum,"&lt;="&amp;EOMONTH($E2385,0)),$J2385-$M2385))</f>
      </c>
      <c r="O2385" s="43">
        <f>IF($I2385=0,0,INDEX(DarlErsatzRate,5))</f>
      </c>
      <c r="P2385" s="43">
        <f>IF($I2385=0,0,$Q2384*INDEX(DarlErsatzZins,5))</f>
      </c>
      <c r="Q2385" s="43">
        <f>IF($I2385=0,0,$Q2384+$P2385+$O2385)</f>
      </c>
      <c r="R2385" s="43">
        <f>IF($I2385=0,0,$J2385-$M2385-$N2385)</f>
      </c>
    </row>
    <row r="2386">
      <c r="A2386"/>
      <c r="B2386">
        <v>5</v>
      </c>
      <c r="C2386" s="43">
        <f>INDEX(DarlObj,5)</f>
      </c>
      <c r="D2386">
        <v>463</v>
      </c>
      <c r="E2386" s="51">
        <f>IF(INDEX(DarlBelegt,5)=0,0,EOMONTH(INDEX(DarlAuszahlung,5),462)+1)</f>
      </c>
      <c r="F2386" s="43">
        <f>IF($E2386=0,0,YEAR($E2386))</f>
      </c>
      <c r="G2386" s="43">
        <f>IF(INDEX(DarlBindung,5)="",1,IF($E2386&lt;=INDEX(DarlBindung,5),1,0))</f>
      </c>
      <c r="H2386" s="43">
        <f>IF($G2386=1,INDEX(DarlSollzins,5),INDEX(DarlAnschluss,5))</f>
      </c>
      <c r="I2386" s="43">
        <f>IF(INDEX(DarlBelegt,5)=0,0,IF(INDEX(DarlOhneTilgung,5)=1,IF(INDEX(DarlBindung,5)="",1,$G2386),IF($J2386&gt;0.005,1,0)))</f>
      </c>
      <c r="J2386" s="43">
        <f>IF($I2385=0,0,$R2385)</f>
      </c>
      <c r="K2386" s="43">
        <f>IF($I2386=0,0,IF(INDEX(DarlOhneTilgung,5)=1,0,IF(AND(INDEX(DarlTilgStart,5)&gt;0,$E2386=INDEX(DarlTilgStart,5)),$J2386*($H2386+INDEX(DarlTilgung,5))/100/12,IF(AND($G2386=0,$G2385=1),MAX($K2385,$J2386*($H2386+1)/100/12),$K2385))))</f>
      </c>
      <c r="L2386" s="43">
        <f>IF($I2386=0,0,$J2386*$H2386/100/12)</f>
      </c>
      <c r="M2386" s="43">
        <f>IF($I2386=0,0,IF(OR(INDEX(DarlOhneTilgung,5)=1,AND(INDEX(DarlTilgStart,5)&gt;0,$E2386&lt;INDEX(DarlTilgStart,5))),0,MIN(MAX(0,$K2386-$L2386),$J2386)))</f>
      </c>
      <c r="N2386" s="43">
        <f>IF($I2386=0,0,MIN(SUMIFS(SondBetrag,SondDarl,5,SondDatum,"&gt;="&amp;$E2386,SondDatum,"&lt;="&amp;EOMONTH($E2386,0)),$J2386-$M2386))</f>
      </c>
      <c r="O2386" s="43">
        <f>IF($I2386=0,0,INDEX(DarlErsatzRate,5))</f>
      </c>
      <c r="P2386" s="43">
        <f>IF($I2386=0,0,$Q2385*INDEX(DarlErsatzZins,5))</f>
      </c>
      <c r="Q2386" s="43">
        <f>IF($I2386=0,0,$Q2385+$P2386+$O2386)</f>
      </c>
      <c r="R2386" s="43">
        <f>IF($I2386=0,0,$J2386-$M2386-$N2386)</f>
      </c>
    </row>
    <row r="2387">
      <c r="A2387"/>
      <c r="B2387">
        <v>5</v>
      </c>
      <c r="C2387" s="43">
        <f>INDEX(DarlObj,5)</f>
      </c>
      <c r="D2387">
        <v>464</v>
      </c>
      <c r="E2387" s="51">
        <f>IF(INDEX(DarlBelegt,5)=0,0,EOMONTH(INDEX(DarlAuszahlung,5),463)+1)</f>
      </c>
      <c r="F2387" s="43">
        <f>IF($E2387=0,0,YEAR($E2387))</f>
      </c>
      <c r="G2387" s="43">
        <f>IF(INDEX(DarlBindung,5)="",1,IF($E2387&lt;=INDEX(DarlBindung,5),1,0))</f>
      </c>
      <c r="H2387" s="43">
        <f>IF($G2387=1,INDEX(DarlSollzins,5),INDEX(DarlAnschluss,5))</f>
      </c>
      <c r="I2387" s="43">
        <f>IF(INDEX(DarlBelegt,5)=0,0,IF(INDEX(DarlOhneTilgung,5)=1,IF(INDEX(DarlBindung,5)="",1,$G2387),IF($J2387&gt;0.005,1,0)))</f>
      </c>
      <c r="J2387" s="43">
        <f>IF($I2386=0,0,$R2386)</f>
      </c>
      <c r="K2387" s="43">
        <f>IF($I2387=0,0,IF(INDEX(DarlOhneTilgung,5)=1,0,IF(AND(INDEX(DarlTilgStart,5)&gt;0,$E2387=INDEX(DarlTilgStart,5)),$J2387*($H2387+INDEX(DarlTilgung,5))/100/12,IF(AND($G2387=0,$G2386=1),MAX($K2386,$J2387*($H2387+1)/100/12),$K2386))))</f>
      </c>
      <c r="L2387" s="43">
        <f>IF($I2387=0,0,$J2387*$H2387/100/12)</f>
      </c>
      <c r="M2387" s="43">
        <f>IF($I2387=0,0,IF(OR(INDEX(DarlOhneTilgung,5)=1,AND(INDEX(DarlTilgStart,5)&gt;0,$E2387&lt;INDEX(DarlTilgStart,5))),0,MIN(MAX(0,$K2387-$L2387),$J2387)))</f>
      </c>
      <c r="N2387" s="43">
        <f>IF($I2387=0,0,MIN(SUMIFS(SondBetrag,SondDarl,5,SondDatum,"&gt;="&amp;$E2387,SondDatum,"&lt;="&amp;EOMONTH($E2387,0)),$J2387-$M2387))</f>
      </c>
      <c r="O2387" s="43">
        <f>IF($I2387=0,0,INDEX(DarlErsatzRate,5))</f>
      </c>
      <c r="P2387" s="43">
        <f>IF($I2387=0,0,$Q2386*INDEX(DarlErsatzZins,5))</f>
      </c>
      <c r="Q2387" s="43">
        <f>IF($I2387=0,0,$Q2386+$P2387+$O2387)</f>
      </c>
      <c r="R2387" s="43">
        <f>IF($I2387=0,0,$J2387-$M2387-$N2387)</f>
      </c>
    </row>
    <row r="2388">
      <c r="A2388"/>
      <c r="B2388">
        <v>5</v>
      </c>
      <c r="C2388" s="43">
        <f>INDEX(DarlObj,5)</f>
      </c>
      <c r="D2388">
        <v>465</v>
      </c>
      <c r="E2388" s="51">
        <f>IF(INDEX(DarlBelegt,5)=0,0,EOMONTH(INDEX(DarlAuszahlung,5),464)+1)</f>
      </c>
      <c r="F2388" s="43">
        <f>IF($E2388=0,0,YEAR($E2388))</f>
      </c>
      <c r="G2388" s="43">
        <f>IF(INDEX(DarlBindung,5)="",1,IF($E2388&lt;=INDEX(DarlBindung,5),1,0))</f>
      </c>
      <c r="H2388" s="43">
        <f>IF($G2388=1,INDEX(DarlSollzins,5),INDEX(DarlAnschluss,5))</f>
      </c>
      <c r="I2388" s="43">
        <f>IF(INDEX(DarlBelegt,5)=0,0,IF(INDEX(DarlOhneTilgung,5)=1,IF(INDEX(DarlBindung,5)="",1,$G2388),IF($J2388&gt;0.005,1,0)))</f>
      </c>
      <c r="J2388" s="43">
        <f>IF($I2387=0,0,$R2387)</f>
      </c>
      <c r="K2388" s="43">
        <f>IF($I2388=0,0,IF(INDEX(DarlOhneTilgung,5)=1,0,IF(AND(INDEX(DarlTilgStart,5)&gt;0,$E2388=INDEX(DarlTilgStart,5)),$J2388*($H2388+INDEX(DarlTilgung,5))/100/12,IF(AND($G2388=0,$G2387=1),MAX($K2387,$J2388*($H2388+1)/100/12),$K2387))))</f>
      </c>
      <c r="L2388" s="43">
        <f>IF($I2388=0,0,$J2388*$H2388/100/12)</f>
      </c>
      <c r="M2388" s="43">
        <f>IF($I2388=0,0,IF(OR(INDEX(DarlOhneTilgung,5)=1,AND(INDEX(DarlTilgStart,5)&gt;0,$E2388&lt;INDEX(DarlTilgStart,5))),0,MIN(MAX(0,$K2388-$L2388),$J2388)))</f>
      </c>
      <c r="N2388" s="43">
        <f>IF($I2388=0,0,MIN(SUMIFS(SondBetrag,SondDarl,5,SondDatum,"&gt;="&amp;$E2388,SondDatum,"&lt;="&amp;EOMONTH($E2388,0)),$J2388-$M2388))</f>
      </c>
      <c r="O2388" s="43">
        <f>IF($I2388=0,0,INDEX(DarlErsatzRate,5))</f>
      </c>
      <c r="P2388" s="43">
        <f>IF($I2388=0,0,$Q2387*INDEX(DarlErsatzZins,5))</f>
      </c>
      <c r="Q2388" s="43">
        <f>IF($I2388=0,0,$Q2387+$P2388+$O2388)</f>
      </c>
      <c r="R2388" s="43">
        <f>IF($I2388=0,0,$J2388-$M2388-$N2388)</f>
      </c>
    </row>
    <row r="2389">
      <c r="A2389"/>
      <c r="B2389">
        <v>5</v>
      </c>
      <c r="C2389" s="43">
        <f>INDEX(DarlObj,5)</f>
      </c>
      <c r="D2389">
        <v>466</v>
      </c>
      <c r="E2389" s="51">
        <f>IF(INDEX(DarlBelegt,5)=0,0,EOMONTH(INDEX(DarlAuszahlung,5),465)+1)</f>
      </c>
      <c r="F2389" s="43">
        <f>IF($E2389=0,0,YEAR($E2389))</f>
      </c>
      <c r="G2389" s="43">
        <f>IF(INDEX(DarlBindung,5)="",1,IF($E2389&lt;=INDEX(DarlBindung,5),1,0))</f>
      </c>
      <c r="H2389" s="43">
        <f>IF($G2389=1,INDEX(DarlSollzins,5),INDEX(DarlAnschluss,5))</f>
      </c>
      <c r="I2389" s="43">
        <f>IF(INDEX(DarlBelegt,5)=0,0,IF(INDEX(DarlOhneTilgung,5)=1,IF(INDEX(DarlBindung,5)="",1,$G2389),IF($J2389&gt;0.005,1,0)))</f>
      </c>
      <c r="J2389" s="43">
        <f>IF($I2388=0,0,$R2388)</f>
      </c>
      <c r="K2389" s="43">
        <f>IF($I2389=0,0,IF(INDEX(DarlOhneTilgung,5)=1,0,IF(AND(INDEX(DarlTilgStart,5)&gt;0,$E2389=INDEX(DarlTilgStart,5)),$J2389*($H2389+INDEX(DarlTilgung,5))/100/12,IF(AND($G2389=0,$G2388=1),MAX($K2388,$J2389*($H2389+1)/100/12),$K2388))))</f>
      </c>
      <c r="L2389" s="43">
        <f>IF($I2389=0,0,$J2389*$H2389/100/12)</f>
      </c>
      <c r="M2389" s="43">
        <f>IF($I2389=0,0,IF(OR(INDEX(DarlOhneTilgung,5)=1,AND(INDEX(DarlTilgStart,5)&gt;0,$E2389&lt;INDEX(DarlTilgStart,5))),0,MIN(MAX(0,$K2389-$L2389),$J2389)))</f>
      </c>
      <c r="N2389" s="43">
        <f>IF($I2389=0,0,MIN(SUMIFS(SondBetrag,SondDarl,5,SondDatum,"&gt;="&amp;$E2389,SondDatum,"&lt;="&amp;EOMONTH($E2389,0)),$J2389-$M2389))</f>
      </c>
      <c r="O2389" s="43">
        <f>IF($I2389=0,0,INDEX(DarlErsatzRate,5))</f>
      </c>
      <c r="P2389" s="43">
        <f>IF($I2389=0,0,$Q2388*INDEX(DarlErsatzZins,5))</f>
      </c>
      <c r="Q2389" s="43">
        <f>IF($I2389=0,0,$Q2388+$P2389+$O2389)</f>
      </c>
      <c r="R2389" s="43">
        <f>IF($I2389=0,0,$J2389-$M2389-$N2389)</f>
      </c>
    </row>
    <row r="2390">
      <c r="A2390"/>
      <c r="B2390">
        <v>5</v>
      </c>
      <c r="C2390" s="43">
        <f>INDEX(DarlObj,5)</f>
      </c>
      <c r="D2390">
        <v>467</v>
      </c>
      <c r="E2390" s="51">
        <f>IF(INDEX(DarlBelegt,5)=0,0,EOMONTH(INDEX(DarlAuszahlung,5),466)+1)</f>
      </c>
      <c r="F2390" s="43">
        <f>IF($E2390=0,0,YEAR($E2390))</f>
      </c>
      <c r="G2390" s="43">
        <f>IF(INDEX(DarlBindung,5)="",1,IF($E2390&lt;=INDEX(DarlBindung,5),1,0))</f>
      </c>
      <c r="H2390" s="43">
        <f>IF($G2390=1,INDEX(DarlSollzins,5),INDEX(DarlAnschluss,5))</f>
      </c>
      <c r="I2390" s="43">
        <f>IF(INDEX(DarlBelegt,5)=0,0,IF(INDEX(DarlOhneTilgung,5)=1,IF(INDEX(DarlBindung,5)="",1,$G2390),IF($J2390&gt;0.005,1,0)))</f>
      </c>
      <c r="J2390" s="43">
        <f>IF($I2389=0,0,$R2389)</f>
      </c>
      <c r="K2390" s="43">
        <f>IF($I2390=0,0,IF(INDEX(DarlOhneTilgung,5)=1,0,IF(AND(INDEX(DarlTilgStart,5)&gt;0,$E2390=INDEX(DarlTilgStart,5)),$J2390*($H2390+INDEX(DarlTilgung,5))/100/12,IF(AND($G2390=0,$G2389=1),MAX($K2389,$J2390*($H2390+1)/100/12),$K2389))))</f>
      </c>
      <c r="L2390" s="43">
        <f>IF($I2390=0,0,$J2390*$H2390/100/12)</f>
      </c>
      <c r="M2390" s="43">
        <f>IF($I2390=0,0,IF(OR(INDEX(DarlOhneTilgung,5)=1,AND(INDEX(DarlTilgStart,5)&gt;0,$E2390&lt;INDEX(DarlTilgStart,5))),0,MIN(MAX(0,$K2390-$L2390),$J2390)))</f>
      </c>
      <c r="N2390" s="43">
        <f>IF($I2390=0,0,MIN(SUMIFS(SondBetrag,SondDarl,5,SondDatum,"&gt;="&amp;$E2390,SondDatum,"&lt;="&amp;EOMONTH($E2390,0)),$J2390-$M2390))</f>
      </c>
      <c r="O2390" s="43">
        <f>IF($I2390=0,0,INDEX(DarlErsatzRate,5))</f>
      </c>
      <c r="P2390" s="43">
        <f>IF($I2390=0,0,$Q2389*INDEX(DarlErsatzZins,5))</f>
      </c>
      <c r="Q2390" s="43">
        <f>IF($I2390=0,0,$Q2389+$P2390+$O2390)</f>
      </c>
      <c r="R2390" s="43">
        <f>IF($I2390=0,0,$J2390-$M2390-$N2390)</f>
      </c>
    </row>
    <row r="2391">
      <c r="A2391"/>
      <c r="B2391">
        <v>5</v>
      </c>
      <c r="C2391" s="43">
        <f>INDEX(DarlObj,5)</f>
      </c>
      <c r="D2391">
        <v>468</v>
      </c>
      <c r="E2391" s="51">
        <f>IF(INDEX(DarlBelegt,5)=0,0,EOMONTH(INDEX(DarlAuszahlung,5),467)+1)</f>
      </c>
      <c r="F2391" s="43">
        <f>IF($E2391=0,0,YEAR($E2391))</f>
      </c>
      <c r="G2391" s="43">
        <f>IF(INDEX(DarlBindung,5)="",1,IF($E2391&lt;=INDEX(DarlBindung,5),1,0))</f>
      </c>
      <c r="H2391" s="43">
        <f>IF($G2391=1,INDEX(DarlSollzins,5),INDEX(DarlAnschluss,5))</f>
      </c>
      <c r="I2391" s="43">
        <f>IF(INDEX(DarlBelegt,5)=0,0,IF(INDEX(DarlOhneTilgung,5)=1,IF(INDEX(DarlBindung,5)="",1,$G2391),IF($J2391&gt;0.005,1,0)))</f>
      </c>
      <c r="J2391" s="43">
        <f>IF($I2390=0,0,$R2390)</f>
      </c>
      <c r="K2391" s="43">
        <f>IF($I2391=0,0,IF(INDEX(DarlOhneTilgung,5)=1,0,IF(AND(INDEX(DarlTilgStart,5)&gt;0,$E2391=INDEX(DarlTilgStart,5)),$J2391*($H2391+INDEX(DarlTilgung,5))/100/12,IF(AND($G2391=0,$G2390=1),MAX($K2390,$J2391*($H2391+1)/100/12),$K2390))))</f>
      </c>
      <c r="L2391" s="43">
        <f>IF($I2391=0,0,$J2391*$H2391/100/12)</f>
      </c>
      <c r="M2391" s="43">
        <f>IF($I2391=0,0,IF(OR(INDEX(DarlOhneTilgung,5)=1,AND(INDEX(DarlTilgStart,5)&gt;0,$E2391&lt;INDEX(DarlTilgStart,5))),0,MIN(MAX(0,$K2391-$L2391),$J2391)))</f>
      </c>
      <c r="N2391" s="43">
        <f>IF($I2391=0,0,MIN(SUMIFS(SondBetrag,SondDarl,5,SondDatum,"&gt;="&amp;$E2391,SondDatum,"&lt;="&amp;EOMONTH($E2391,0)),$J2391-$M2391))</f>
      </c>
      <c r="O2391" s="43">
        <f>IF($I2391=0,0,INDEX(DarlErsatzRate,5))</f>
      </c>
      <c r="P2391" s="43">
        <f>IF($I2391=0,0,$Q2390*INDEX(DarlErsatzZins,5))</f>
      </c>
      <c r="Q2391" s="43">
        <f>IF($I2391=0,0,$Q2390+$P2391+$O2391)</f>
      </c>
      <c r="R2391" s="43">
        <f>IF($I2391=0,0,$J2391-$M2391-$N2391)</f>
      </c>
    </row>
    <row r="2392">
      <c r="A2392"/>
      <c r="B2392">
        <v>5</v>
      </c>
      <c r="C2392" s="43">
        <f>INDEX(DarlObj,5)</f>
      </c>
      <c r="D2392">
        <v>469</v>
      </c>
      <c r="E2392" s="51">
        <f>IF(INDEX(DarlBelegt,5)=0,0,EOMONTH(INDEX(DarlAuszahlung,5),468)+1)</f>
      </c>
      <c r="F2392" s="43">
        <f>IF($E2392=0,0,YEAR($E2392))</f>
      </c>
      <c r="G2392" s="43">
        <f>IF(INDEX(DarlBindung,5)="",1,IF($E2392&lt;=INDEX(DarlBindung,5),1,0))</f>
      </c>
      <c r="H2392" s="43">
        <f>IF($G2392=1,INDEX(DarlSollzins,5),INDEX(DarlAnschluss,5))</f>
      </c>
      <c r="I2392" s="43">
        <f>IF(INDEX(DarlBelegt,5)=0,0,IF(INDEX(DarlOhneTilgung,5)=1,IF(INDEX(DarlBindung,5)="",1,$G2392),IF($J2392&gt;0.005,1,0)))</f>
      </c>
      <c r="J2392" s="43">
        <f>IF($I2391=0,0,$R2391)</f>
      </c>
      <c r="K2392" s="43">
        <f>IF($I2392=0,0,IF(INDEX(DarlOhneTilgung,5)=1,0,IF(AND(INDEX(DarlTilgStart,5)&gt;0,$E2392=INDEX(DarlTilgStart,5)),$J2392*($H2392+INDEX(DarlTilgung,5))/100/12,IF(AND($G2392=0,$G2391=1),MAX($K2391,$J2392*($H2392+1)/100/12),$K2391))))</f>
      </c>
      <c r="L2392" s="43">
        <f>IF($I2392=0,0,$J2392*$H2392/100/12)</f>
      </c>
      <c r="M2392" s="43">
        <f>IF($I2392=0,0,IF(OR(INDEX(DarlOhneTilgung,5)=1,AND(INDEX(DarlTilgStart,5)&gt;0,$E2392&lt;INDEX(DarlTilgStart,5))),0,MIN(MAX(0,$K2392-$L2392),$J2392)))</f>
      </c>
      <c r="N2392" s="43">
        <f>IF($I2392=0,0,MIN(SUMIFS(SondBetrag,SondDarl,5,SondDatum,"&gt;="&amp;$E2392,SondDatum,"&lt;="&amp;EOMONTH($E2392,0)),$J2392-$M2392))</f>
      </c>
      <c r="O2392" s="43">
        <f>IF($I2392=0,0,INDEX(DarlErsatzRate,5))</f>
      </c>
      <c r="P2392" s="43">
        <f>IF($I2392=0,0,$Q2391*INDEX(DarlErsatzZins,5))</f>
      </c>
      <c r="Q2392" s="43">
        <f>IF($I2392=0,0,$Q2391+$P2392+$O2392)</f>
      </c>
      <c r="R2392" s="43">
        <f>IF($I2392=0,0,$J2392-$M2392-$N2392)</f>
      </c>
    </row>
    <row r="2393">
      <c r="A2393"/>
      <c r="B2393">
        <v>5</v>
      </c>
      <c r="C2393" s="43">
        <f>INDEX(DarlObj,5)</f>
      </c>
      <c r="D2393">
        <v>470</v>
      </c>
      <c r="E2393" s="51">
        <f>IF(INDEX(DarlBelegt,5)=0,0,EOMONTH(INDEX(DarlAuszahlung,5),469)+1)</f>
      </c>
      <c r="F2393" s="43">
        <f>IF($E2393=0,0,YEAR($E2393))</f>
      </c>
      <c r="G2393" s="43">
        <f>IF(INDEX(DarlBindung,5)="",1,IF($E2393&lt;=INDEX(DarlBindung,5),1,0))</f>
      </c>
      <c r="H2393" s="43">
        <f>IF($G2393=1,INDEX(DarlSollzins,5),INDEX(DarlAnschluss,5))</f>
      </c>
      <c r="I2393" s="43">
        <f>IF(INDEX(DarlBelegt,5)=0,0,IF(INDEX(DarlOhneTilgung,5)=1,IF(INDEX(DarlBindung,5)="",1,$G2393),IF($J2393&gt;0.005,1,0)))</f>
      </c>
      <c r="J2393" s="43">
        <f>IF($I2392=0,0,$R2392)</f>
      </c>
      <c r="K2393" s="43">
        <f>IF($I2393=0,0,IF(INDEX(DarlOhneTilgung,5)=1,0,IF(AND(INDEX(DarlTilgStart,5)&gt;0,$E2393=INDEX(DarlTilgStart,5)),$J2393*($H2393+INDEX(DarlTilgung,5))/100/12,IF(AND($G2393=0,$G2392=1),MAX($K2392,$J2393*($H2393+1)/100/12),$K2392))))</f>
      </c>
      <c r="L2393" s="43">
        <f>IF($I2393=0,0,$J2393*$H2393/100/12)</f>
      </c>
      <c r="M2393" s="43">
        <f>IF($I2393=0,0,IF(OR(INDEX(DarlOhneTilgung,5)=1,AND(INDEX(DarlTilgStart,5)&gt;0,$E2393&lt;INDEX(DarlTilgStart,5))),0,MIN(MAX(0,$K2393-$L2393),$J2393)))</f>
      </c>
      <c r="N2393" s="43">
        <f>IF($I2393=0,0,MIN(SUMIFS(SondBetrag,SondDarl,5,SondDatum,"&gt;="&amp;$E2393,SondDatum,"&lt;="&amp;EOMONTH($E2393,0)),$J2393-$M2393))</f>
      </c>
      <c r="O2393" s="43">
        <f>IF($I2393=0,0,INDEX(DarlErsatzRate,5))</f>
      </c>
      <c r="P2393" s="43">
        <f>IF($I2393=0,0,$Q2392*INDEX(DarlErsatzZins,5))</f>
      </c>
      <c r="Q2393" s="43">
        <f>IF($I2393=0,0,$Q2392+$P2393+$O2393)</f>
      </c>
      <c r="R2393" s="43">
        <f>IF($I2393=0,0,$J2393-$M2393-$N2393)</f>
      </c>
    </row>
    <row r="2394">
      <c r="A2394"/>
      <c r="B2394">
        <v>5</v>
      </c>
      <c r="C2394" s="43">
        <f>INDEX(DarlObj,5)</f>
      </c>
      <c r="D2394">
        <v>471</v>
      </c>
      <c r="E2394" s="51">
        <f>IF(INDEX(DarlBelegt,5)=0,0,EOMONTH(INDEX(DarlAuszahlung,5),470)+1)</f>
      </c>
      <c r="F2394" s="43">
        <f>IF($E2394=0,0,YEAR($E2394))</f>
      </c>
      <c r="G2394" s="43">
        <f>IF(INDEX(DarlBindung,5)="",1,IF($E2394&lt;=INDEX(DarlBindung,5),1,0))</f>
      </c>
      <c r="H2394" s="43">
        <f>IF($G2394=1,INDEX(DarlSollzins,5),INDEX(DarlAnschluss,5))</f>
      </c>
      <c r="I2394" s="43">
        <f>IF(INDEX(DarlBelegt,5)=0,0,IF(INDEX(DarlOhneTilgung,5)=1,IF(INDEX(DarlBindung,5)="",1,$G2394),IF($J2394&gt;0.005,1,0)))</f>
      </c>
      <c r="J2394" s="43">
        <f>IF($I2393=0,0,$R2393)</f>
      </c>
      <c r="K2394" s="43">
        <f>IF($I2394=0,0,IF(INDEX(DarlOhneTilgung,5)=1,0,IF(AND(INDEX(DarlTilgStart,5)&gt;0,$E2394=INDEX(DarlTilgStart,5)),$J2394*($H2394+INDEX(DarlTilgung,5))/100/12,IF(AND($G2394=0,$G2393=1),MAX($K2393,$J2394*($H2394+1)/100/12),$K2393))))</f>
      </c>
      <c r="L2394" s="43">
        <f>IF($I2394=0,0,$J2394*$H2394/100/12)</f>
      </c>
      <c r="M2394" s="43">
        <f>IF($I2394=0,0,IF(OR(INDEX(DarlOhneTilgung,5)=1,AND(INDEX(DarlTilgStart,5)&gt;0,$E2394&lt;INDEX(DarlTilgStart,5))),0,MIN(MAX(0,$K2394-$L2394),$J2394)))</f>
      </c>
      <c r="N2394" s="43">
        <f>IF($I2394=0,0,MIN(SUMIFS(SondBetrag,SondDarl,5,SondDatum,"&gt;="&amp;$E2394,SondDatum,"&lt;="&amp;EOMONTH($E2394,0)),$J2394-$M2394))</f>
      </c>
      <c r="O2394" s="43">
        <f>IF($I2394=0,0,INDEX(DarlErsatzRate,5))</f>
      </c>
      <c r="P2394" s="43">
        <f>IF($I2394=0,0,$Q2393*INDEX(DarlErsatzZins,5))</f>
      </c>
      <c r="Q2394" s="43">
        <f>IF($I2394=0,0,$Q2393+$P2394+$O2394)</f>
      </c>
      <c r="R2394" s="43">
        <f>IF($I2394=0,0,$J2394-$M2394-$N2394)</f>
      </c>
    </row>
    <row r="2395">
      <c r="A2395"/>
      <c r="B2395">
        <v>5</v>
      </c>
      <c r="C2395" s="43">
        <f>INDEX(DarlObj,5)</f>
      </c>
      <c r="D2395">
        <v>472</v>
      </c>
      <c r="E2395" s="51">
        <f>IF(INDEX(DarlBelegt,5)=0,0,EOMONTH(INDEX(DarlAuszahlung,5),471)+1)</f>
      </c>
      <c r="F2395" s="43">
        <f>IF($E2395=0,0,YEAR($E2395))</f>
      </c>
      <c r="G2395" s="43">
        <f>IF(INDEX(DarlBindung,5)="",1,IF($E2395&lt;=INDEX(DarlBindung,5),1,0))</f>
      </c>
      <c r="H2395" s="43">
        <f>IF($G2395=1,INDEX(DarlSollzins,5),INDEX(DarlAnschluss,5))</f>
      </c>
      <c r="I2395" s="43">
        <f>IF(INDEX(DarlBelegt,5)=0,0,IF(INDEX(DarlOhneTilgung,5)=1,IF(INDEX(DarlBindung,5)="",1,$G2395),IF($J2395&gt;0.005,1,0)))</f>
      </c>
      <c r="J2395" s="43">
        <f>IF($I2394=0,0,$R2394)</f>
      </c>
      <c r="K2395" s="43">
        <f>IF($I2395=0,0,IF(INDEX(DarlOhneTilgung,5)=1,0,IF(AND(INDEX(DarlTilgStart,5)&gt;0,$E2395=INDEX(DarlTilgStart,5)),$J2395*($H2395+INDEX(DarlTilgung,5))/100/12,IF(AND($G2395=0,$G2394=1),MAX($K2394,$J2395*($H2395+1)/100/12),$K2394))))</f>
      </c>
      <c r="L2395" s="43">
        <f>IF($I2395=0,0,$J2395*$H2395/100/12)</f>
      </c>
      <c r="M2395" s="43">
        <f>IF($I2395=0,0,IF(OR(INDEX(DarlOhneTilgung,5)=1,AND(INDEX(DarlTilgStart,5)&gt;0,$E2395&lt;INDEX(DarlTilgStart,5))),0,MIN(MAX(0,$K2395-$L2395),$J2395)))</f>
      </c>
      <c r="N2395" s="43">
        <f>IF($I2395=0,0,MIN(SUMIFS(SondBetrag,SondDarl,5,SondDatum,"&gt;="&amp;$E2395,SondDatum,"&lt;="&amp;EOMONTH($E2395,0)),$J2395-$M2395))</f>
      </c>
      <c r="O2395" s="43">
        <f>IF($I2395=0,0,INDEX(DarlErsatzRate,5))</f>
      </c>
      <c r="P2395" s="43">
        <f>IF($I2395=0,0,$Q2394*INDEX(DarlErsatzZins,5))</f>
      </c>
      <c r="Q2395" s="43">
        <f>IF($I2395=0,0,$Q2394+$P2395+$O2395)</f>
      </c>
      <c r="R2395" s="43">
        <f>IF($I2395=0,0,$J2395-$M2395-$N2395)</f>
      </c>
    </row>
    <row r="2396">
      <c r="A2396"/>
      <c r="B2396">
        <v>5</v>
      </c>
      <c r="C2396" s="43">
        <f>INDEX(DarlObj,5)</f>
      </c>
      <c r="D2396">
        <v>473</v>
      </c>
      <c r="E2396" s="51">
        <f>IF(INDEX(DarlBelegt,5)=0,0,EOMONTH(INDEX(DarlAuszahlung,5),472)+1)</f>
      </c>
      <c r="F2396" s="43">
        <f>IF($E2396=0,0,YEAR($E2396))</f>
      </c>
      <c r="G2396" s="43">
        <f>IF(INDEX(DarlBindung,5)="",1,IF($E2396&lt;=INDEX(DarlBindung,5),1,0))</f>
      </c>
      <c r="H2396" s="43">
        <f>IF($G2396=1,INDEX(DarlSollzins,5),INDEX(DarlAnschluss,5))</f>
      </c>
      <c r="I2396" s="43">
        <f>IF(INDEX(DarlBelegt,5)=0,0,IF(INDEX(DarlOhneTilgung,5)=1,IF(INDEX(DarlBindung,5)="",1,$G2396),IF($J2396&gt;0.005,1,0)))</f>
      </c>
      <c r="J2396" s="43">
        <f>IF($I2395=0,0,$R2395)</f>
      </c>
      <c r="K2396" s="43">
        <f>IF($I2396=0,0,IF(INDEX(DarlOhneTilgung,5)=1,0,IF(AND(INDEX(DarlTilgStart,5)&gt;0,$E2396=INDEX(DarlTilgStart,5)),$J2396*($H2396+INDEX(DarlTilgung,5))/100/12,IF(AND($G2396=0,$G2395=1),MAX($K2395,$J2396*($H2396+1)/100/12),$K2395))))</f>
      </c>
      <c r="L2396" s="43">
        <f>IF($I2396=0,0,$J2396*$H2396/100/12)</f>
      </c>
      <c r="M2396" s="43">
        <f>IF($I2396=0,0,IF(OR(INDEX(DarlOhneTilgung,5)=1,AND(INDEX(DarlTilgStart,5)&gt;0,$E2396&lt;INDEX(DarlTilgStart,5))),0,MIN(MAX(0,$K2396-$L2396),$J2396)))</f>
      </c>
      <c r="N2396" s="43">
        <f>IF($I2396=0,0,MIN(SUMIFS(SondBetrag,SondDarl,5,SondDatum,"&gt;="&amp;$E2396,SondDatum,"&lt;="&amp;EOMONTH($E2396,0)),$J2396-$M2396))</f>
      </c>
      <c r="O2396" s="43">
        <f>IF($I2396=0,0,INDEX(DarlErsatzRate,5))</f>
      </c>
      <c r="P2396" s="43">
        <f>IF($I2396=0,0,$Q2395*INDEX(DarlErsatzZins,5))</f>
      </c>
      <c r="Q2396" s="43">
        <f>IF($I2396=0,0,$Q2395+$P2396+$O2396)</f>
      </c>
      <c r="R2396" s="43">
        <f>IF($I2396=0,0,$J2396-$M2396-$N2396)</f>
      </c>
    </row>
    <row r="2397">
      <c r="A2397"/>
      <c r="B2397">
        <v>5</v>
      </c>
      <c r="C2397" s="43">
        <f>INDEX(DarlObj,5)</f>
      </c>
      <c r="D2397">
        <v>474</v>
      </c>
      <c r="E2397" s="51">
        <f>IF(INDEX(DarlBelegt,5)=0,0,EOMONTH(INDEX(DarlAuszahlung,5),473)+1)</f>
      </c>
      <c r="F2397" s="43">
        <f>IF($E2397=0,0,YEAR($E2397))</f>
      </c>
      <c r="G2397" s="43">
        <f>IF(INDEX(DarlBindung,5)="",1,IF($E2397&lt;=INDEX(DarlBindung,5),1,0))</f>
      </c>
      <c r="H2397" s="43">
        <f>IF($G2397=1,INDEX(DarlSollzins,5),INDEX(DarlAnschluss,5))</f>
      </c>
      <c r="I2397" s="43">
        <f>IF(INDEX(DarlBelegt,5)=0,0,IF(INDEX(DarlOhneTilgung,5)=1,IF(INDEX(DarlBindung,5)="",1,$G2397),IF($J2397&gt;0.005,1,0)))</f>
      </c>
      <c r="J2397" s="43">
        <f>IF($I2396=0,0,$R2396)</f>
      </c>
      <c r="K2397" s="43">
        <f>IF($I2397=0,0,IF(INDEX(DarlOhneTilgung,5)=1,0,IF(AND(INDEX(DarlTilgStart,5)&gt;0,$E2397=INDEX(DarlTilgStart,5)),$J2397*($H2397+INDEX(DarlTilgung,5))/100/12,IF(AND($G2397=0,$G2396=1),MAX($K2396,$J2397*($H2397+1)/100/12),$K2396))))</f>
      </c>
      <c r="L2397" s="43">
        <f>IF($I2397=0,0,$J2397*$H2397/100/12)</f>
      </c>
      <c r="M2397" s="43">
        <f>IF($I2397=0,0,IF(OR(INDEX(DarlOhneTilgung,5)=1,AND(INDEX(DarlTilgStart,5)&gt;0,$E2397&lt;INDEX(DarlTilgStart,5))),0,MIN(MAX(0,$K2397-$L2397),$J2397)))</f>
      </c>
      <c r="N2397" s="43">
        <f>IF($I2397=0,0,MIN(SUMIFS(SondBetrag,SondDarl,5,SondDatum,"&gt;="&amp;$E2397,SondDatum,"&lt;="&amp;EOMONTH($E2397,0)),$J2397-$M2397))</f>
      </c>
      <c r="O2397" s="43">
        <f>IF($I2397=0,0,INDEX(DarlErsatzRate,5))</f>
      </c>
      <c r="P2397" s="43">
        <f>IF($I2397=0,0,$Q2396*INDEX(DarlErsatzZins,5))</f>
      </c>
      <c r="Q2397" s="43">
        <f>IF($I2397=0,0,$Q2396+$P2397+$O2397)</f>
      </c>
      <c r="R2397" s="43">
        <f>IF($I2397=0,0,$J2397-$M2397-$N2397)</f>
      </c>
    </row>
    <row r="2398">
      <c r="A2398"/>
      <c r="B2398">
        <v>5</v>
      </c>
      <c r="C2398" s="43">
        <f>INDEX(DarlObj,5)</f>
      </c>
      <c r="D2398">
        <v>475</v>
      </c>
      <c r="E2398" s="51">
        <f>IF(INDEX(DarlBelegt,5)=0,0,EOMONTH(INDEX(DarlAuszahlung,5),474)+1)</f>
      </c>
      <c r="F2398" s="43">
        <f>IF($E2398=0,0,YEAR($E2398))</f>
      </c>
      <c r="G2398" s="43">
        <f>IF(INDEX(DarlBindung,5)="",1,IF($E2398&lt;=INDEX(DarlBindung,5),1,0))</f>
      </c>
      <c r="H2398" s="43">
        <f>IF($G2398=1,INDEX(DarlSollzins,5),INDEX(DarlAnschluss,5))</f>
      </c>
      <c r="I2398" s="43">
        <f>IF(INDEX(DarlBelegt,5)=0,0,IF(INDEX(DarlOhneTilgung,5)=1,IF(INDEX(DarlBindung,5)="",1,$G2398),IF($J2398&gt;0.005,1,0)))</f>
      </c>
      <c r="J2398" s="43">
        <f>IF($I2397=0,0,$R2397)</f>
      </c>
      <c r="K2398" s="43">
        <f>IF($I2398=0,0,IF(INDEX(DarlOhneTilgung,5)=1,0,IF(AND(INDEX(DarlTilgStart,5)&gt;0,$E2398=INDEX(DarlTilgStart,5)),$J2398*($H2398+INDEX(DarlTilgung,5))/100/12,IF(AND($G2398=0,$G2397=1),MAX($K2397,$J2398*($H2398+1)/100/12),$K2397))))</f>
      </c>
      <c r="L2398" s="43">
        <f>IF($I2398=0,0,$J2398*$H2398/100/12)</f>
      </c>
      <c r="M2398" s="43">
        <f>IF($I2398=0,0,IF(OR(INDEX(DarlOhneTilgung,5)=1,AND(INDEX(DarlTilgStart,5)&gt;0,$E2398&lt;INDEX(DarlTilgStart,5))),0,MIN(MAX(0,$K2398-$L2398),$J2398)))</f>
      </c>
      <c r="N2398" s="43">
        <f>IF($I2398=0,0,MIN(SUMIFS(SondBetrag,SondDarl,5,SondDatum,"&gt;="&amp;$E2398,SondDatum,"&lt;="&amp;EOMONTH($E2398,0)),$J2398-$M2398))</f>
      </c>
      <c r="O2398" s="43">
        <f>IF($I2398=0,0,INDEX(DarlErsatzRate,5))</f>
      </c>
      <c r="P2398" s="43">
        <f>IF($I2398=0,0,$Q2397*INDEX(DarlErsatzZins,5))</f>
      </c>
      <c r="Q2398" s="43">
        <f>IF($I2398=0,0,$Q2397+$P2398+$O2398)</f>
      </c>
      <c r="R2398" s="43">
        <f>IF($I2398=0,0,$J2398-$M2398-$N2398)</f>
      </c>
    </row>
    <row r="2399">
      <c r="A2399"/>
      <c r="B2399">
        <v>5</v>
      </c>
      <c r="C2399" s="43">
        <f>INDEX(DarlObj,5)</f>
      </c>
      <c r="D2399">
        <v>476</v>
      </c>
      <c r="E2399" s="51">
        <f>IF(INDEX(DarlBelegt,5)=0,0,EOMONTH(INDEX(DarlAuszahlung,5),475)+1)</f>
      </c>
      <c r="F2399" s="43">
        <f>IF($E2399=0,0,YEAR($E2399))</f>
      </c>
      <c r="G2399" s="43">
        <f>IF(INDEX(DarlBindung,5)="",1,IF($E2399&lt;=INDEX(DarlBindung,5),1,0))</f>
      </c>
      <c r="H2399" s="43">
        <f>IF($G2399=1,INDEX(DarlSollzins,5),INDEX(DarlAnschluss,5))</f>
      </c>
      <c r="I2399" s="43">
        <f>IF(INDEX(DarlBelegt,5)=0,0,IF(INDEX(DarlOhneTilgung,5)=1,IF(INDEX(DarlBindung,5)="",1,$G2399),IF($J2399&gt;0.005,1,0)))</f>
      </c>
      <c r="J2399" s="43">
        <f>IF($I2398=0,0,$R2398)</f>
      </c>
      <c r="K2399" s="43">
        <f>IF($I2399=0,0,IF(INDEX(DarlOhneTilgung,5)=1,0,IF(AND(INDEX(DarlTilgStart,5)&gt;0,$E2399=INDEX(DarlTilgStart,5)),$J2399*($H2399+INDEX(DarlTilgung,5))/100/12,IF(AND($G2399=0,$G2398=1),MAX($K2398,$J2399*($H2399+1)/100/12),$K2398))))</f>
      </c>
      <c r="L2399" s="43">
        <f>IF($I2399=0,0,$J2399*$H2399/100/12)</f>
      </c>
      <c r="M2399" s="43">
        <f>IF($I2399=0,0,IF(OR(INDEX(DarlOhneTilgung,5)=1,AND(INDEX(DarlTilgStart,5)&gt;0,$E2399&lt;INDEX(DarlTilgStart,5))),0,MIN(MAX(0,$K2399-$L2399),$J2399)))</f>
      </c>
      <c r="N2399" s="43">
        <f>IF($I2399=0,0,MIN(SUMIFS(SondBetrag,SondDarl,5,SondDatum,"&gt;="&amp;$E2399,SondDatum,"&lt;="&amp;EOMONTH($E2399,0)),$J2399-$M2399))</f>
      </c>
      <c r="O2399" s="43">
        <f>IF($I2399=0,0,INDEX(DarlErsatzRate,5))</f>
      </c>
      <c r="P2399" s="43">
        <f>IF($I2399=0,0,$Q2398*INDEX(DarlErsatzZins,5))</f>
      </c>
      <c r="Q2399" s="43">
        <f>IF($I2399=0,0,$Q2398+$P2399+$O2399)</f>
      </c>
      <c r="R2399" s="43">
        <f>IF($I2399=0,0,$J2399-$M2399-$N2399)</f>
      </c>
    </row>
    <row r="2400">
      <c r="A2400"/>
      <c r="B2400">
        <v>5</v>
      </c>
      <c r="C2400" s="43">
        <f>INDEX(DarlObj,5)</f>
      </c>
      <c r="D2400">
        <v>477</v>
      </c>
      <c r="E2400" s="51">
        <f>IF(INDEX(DarlBelegt,5)=0,0,EOMONTH(INDEX(DarlAuszahlung,5),476)+1)</f>
      </c>
      <c r="F2400" s="43">
        <f>IF($E2400=0,0,YEAR($E2400))</f>
      </c>
      <c r="G2400" s="43">
        <f>IF(INDEX(DarlBindung,5)="",1,IF($E2400&lt;=INDEX(DarlBindung,5),1,0))</f>
      </c>
      <c r="H2400" s="43">
        <f>IF($G2400=1,INDEX(DarlSollzins,5),INDEX(DarlAnschluss,5))</f>
      </c>
      <c r="I2400" s="43">
        <f>IF(INDEX(DarlBelegt,5)=0,0,IF(INDEX(DarlOhneTilgung,5)=1,IF(INDEX(DarlBindung,5)="",1,$G2400),IF($J2400&gt;0.005,1,0)))</f>
      </c>
      <c r="J2400" s="43">
        <f>IF($I2399=0,0,$R2399)</f>
      </c>
      <c r="K2400" s="43">
        <f>IF($I2400=0,0,IF(INDEX(DarlOhneTilgung,5)=1,0,IF(AND(INDEX(DarlTilgStart,5)&gt;0,$E2400=INDEX(DarlTilgStart,5)),$J2400*($H2400+INDEX(DarlTilgung,5))/100/12,IF(AND($G2400=0,$G2399=1),MAX($K2399,$J2400*($H2400+1)/100/12),$K2399))))</f>
      </c>
      <c r="L2400" s="43">
        <f>IF($I2400=0,0,$J2400*$H2400/100/12)</f>
      </c>
      <c r="M2400" s="43">
        <f>IF($I2400=0,0,IF(OR(INDEX(DarlOhneTilgung,5)=1,AND(INDEX(DarlTilgStart,5)&gt;0,$E2400&lt;INDEX(DarlTilgStart,5))),0,MIN(MAX(0,$K2400-$L2400),$J2400)))</f>
      </c>
      <c r="N2400" s="43">
        <f>IF($I2400=0,0,MIN(SUMIFS(SondBetrag,SondDarl,5,SondDatum,"&gt;="&amp;$E2400,SondDatum,"&lt;="&amp;EOMONTH($E2400,0)),$J2400-$M2400))</f>
      </c>
      <c r="O2400" s="43">
        <f>IF($I2400=0,0,INDEX(DarlErsatzRate,5))</f>
      </c>
      <c r="P2400" s="43">
        <f>IF($I2400=0,0,$Q2399*INDEX(DarlErsatzZins,5))</f>
      </c>
      <c r="Q2400" s="43">
        <f>IF($I2400=0,0,$Q2399+$P2400+$O2400)</f>
      </c>
      <c r="R2400" s="43">
        <f>IF($I2400=0,0,$J2400-$M2400-$N2400)</f>
      </c>
    </row>
    <row r="2401">
      <c r="A2401"/>
      <c r="B2401">
        <v>5</v>
      </c>
      <c r="C2401" s="43">
        <f>INDEX(DarlObj,5)</f>
      </c>
      <c r="D2401">
        <v>478</v>
      </c>
      <c r="E2401" s="51">
        <f>IF(INDEX(DarlBelegt,5)=0,0,EOMONTH(INDEX(DarlAuszahlung,5),477)+1)</f>
      </c>
      <c r="F2401" s="43">
        <f>IF($E2401=0,0,YEAR($E2401))</f>
      </c>
      <c r="G2401" s="43">
        <f>IF(INDEX(DarlBindung,5)="",1,IF($E2401&lt;=INDEX(DarlBindung,5),1,0))</f>
      </c>
      <c r="H2401" s="43">
        <f>IF($G2401=1,INDEX(DarlSollzins,5),INDEX(DarlAnschluss,5))</f>
      </c>
      <c r="I2401" s="43">
        <f>IF(INDEX(DarlBelegt,5)=0,0,IF(INDEX(DarlOhneTilgung,5)=1,IF(INDEX(DarlBindung,5)="",1,$G2401),IF($J2401&gt;0.005,1,0)))</f>
      </c>
      <c r="J2401" s="43">
        <f>IF($I2400=0,0,$R2400)</f>
      </c>
      <c r="K2401" s="43">
        <f>IF($I2401=0,0,IF(INDEX(DarlOhneTilgung,5)=1,0,IF(AND(INDEX(DarlTilgStart,5)&gt;0,$E2401=INDEX(DarlTilgStart,5)),$J2401*($H2401+INDEX(DarlTilgung,5))/100/12,IF(AND($G2401=0,$G2400=1),MAX($K2400,$J2401*($H2401+1)/100/12),$K2400))))</f>
      </c>
      <c r="L2401" s="43">
        <f>IF($I2401=0,0,$J2401*$H2401/100/12)</f>
      </c>
      <c r="M2401" s="43">
        <f>IF($I2401=0,0,IF(OR(INDEX(DarlOhneTilgung,5)=1,AND(INDEX(DarlTilgStart,5)&gt;0,$E2401&lt;INDEX(DarlTilgStart,5))),0,MIN(MAX(0,$K2401-$L2401),$J2401)))</f>
      </c>
      <c r="N2401" s="43">
        <f>IF($I2401=0,0,MIN(SUMIFS(SondBetrag,SondDarl,5,SondDatum,"&gt;="&amp;$E2401,SondDatum,"&lt;="&amp;EOMONTH($E2401,0)),$J2401-$M2401))</f>
      </c>
      <c r="O2401" s="43">
        <f>IF($I2401=0,0,INDEX(DarlErsatzRate,5))</f>
      </c>
      <c r="P2401" s="43">
        <f>IF($I2401=0,0,$Q2400*INDEX(DarlErsatzZins,5))</f>
      </c>
      <c r="Q2401" s="43">
        <f>IF($I2401=0,0,$Q2400+$P2401+$O2401)</f>
      </c>
      <c r="R2401" s="43">
        <f>IF($I2401=0,0,$J2401-$M2401-$N2401)</f>
      </c>
    </row>
    <row r="2402">
      <c r="A2402"/>
      <c r="B2402">
        <v>5</v>
      </c>
      <c r="C2402" s="43">
        <f>INDEX(DarlObj,5)</f>
      </c>
      <c r="D2402">
        <v>479</v>
      </c>
      <c r="E2402" s="51">
        <f>IF(INDEX(DarlBelegt,5)=0,0,EOMONTH(INDEX(DarlAuszahlung,5),478)+1)</f>
      </c>
      <c r="F2402" s="43">
        <f>IF($E2402=0,0,YEAR($E2402))</f>
      </c>
      <c r="G2402" s="43">
        <f>IF(INDEX(DarlBindung,5)="",1,IF($E2402&lt;=INDEX(DarlBindung,5),1,0))</f>
      </c>
      <c r="H2402" s="43">
        <f>IF($G2402=1,INDEX(DarlSollzins,5),INDEX(DarlAnschluss,5))</f>
      </c>
      <c r="I2402" s="43">
        <f>IF(INDEX(DarlBelegt,5)=0,0,IF(INDEX(DarlOhneTilgung,5)=1,IF(INDEX(DarlBindung,5)="",1,$G2402),IF($J2402&gt;0.005,1,0)))</f>
      </c>
      <c r="J2402" s="43">
        <f>IF($I2401=0,0,$R2401)</f>
      </c>
      <c r="K2402" s="43">
        <f>IF($I2402=0,0,IF(INDEX(DarlOhneTilgung,5)=1,0,IF(AND(INDEX(DarlTilgStart,5)&gt;0,$E2402=INDEX(DarlTilgStart,5)),$J2402*($H2402+INDEX(DarlTilgung,5))/100/12,IF(AND($G2402=0,$G2401=1),MAX($K2401,$J2402*($H2402+1)/100/12),$K2401))))</f>
      </c>
      <c r="L2402" s="43">
        <f>IF($I2402=0,0,$J2402*$H2402/100/12)</f>
      </c>
      <c r="M2402" s="43">
        <f>IF($I2402=0,0,IF(OR(INDEX(DarlOhneTilgung,5)=1,AND(INDEX(DarlTilgStart,5)&gt;0,$E2402&lt;INDEX(DarlTilgStart,5))),0,MIN(MAX(0,$K2402-$L2402),$J2402)))</f>
      </c>
      <c r="N2402" s="43">
        <f>IF($I2402=0,0,MIN(SUMIFS(SondBetrag,SondDarl,5,SondDatum,"&gt;="&amp;$E2402,SondDatum,"&lt;="&amp;EOMONTH($E2402,0)),$J2402-$M2402))</f>
      </c>
      <c r="O2402" s="43">
        <f>IF($I2402=0,0,INDEX(DarlErsatzRate,5))</f>
      </c>
      <c r="P2402" s="43">
        <f>IF($I2402=0,0,$Q2401*INDEX(DarlErsatzZins,5))</f>
      </c>
      <c r="Q2402" s="43">
        <f>IF($I2402=0,0,$Q2401+$P2402+$O2402)</f>
      </c>
      <c r="R2402" s="43">
        <f>IF($I2402=0,0,$J2402-$M2402-$N2402)</f>
      </c>
    </row>
    <row r="2403">
      <c r="A2403"/>
      <c r="B2403">
        <v>5</v>
      </c>
      <c r="C2403" s="43">
        <f>INDEX(DarlObj,5)</f>
      </c>
      <c r="D2403">
        <v>480</v>
      </c>
      <c r="E2403" s="51">
        <f>IF(INDEX(DarlBelegt,5)=0,0,EOMONTH(INDEX(DarlAuszahlung,5),479)+1)</f>
      </c>
      <c r="F2403" s="43">
        <f>IF($E2403=0,0,YEAR($E2403))</f>
      </c>
      <c r="G2403" s="43">
        <f>IF(INDEX(DarlBindung,5)="",1,IF($E2403&lt;=INDEX(DarlBindung,5),1,0))</f>
      </c>
      <c r="H2403" s="43">
        <f>IF($G2403=1,INDEX(DarlSollzins,5),INDEX(DarlAnschluss,5))</f>
      </c>
      <c r="I2403" s="43">
        <f>IF(INDEX(DarlBelegt,5)=0,0,IF(INDEX(DarlOhneTilgung,5)=1,IF(INDEX(DarlBindung,5)="",1,$G2403),IF($J2403&gt;0.005,1,0)))</f>
      </c>
      <c r="J2403" s="43">
        <f>IF($I2402=0,0,$R2402)</f>
      </c>
      <c r="K2403" s="43">
        <f>IF($I2403=0,0,IF(INDEX(DarlOhneTilgung,5)=1,0,IF(AND(INDEX(DarlTilgStart,5)&gt;0,$E2403=INDEX(DarlTilgStart,5)),$J2403*($H2403+INDEX(DarlTilgung,5))/100/12,IF(AND($G2403=0,$G2402=1),MAX($K2402,$J2403*($H2403+1)/100/12),$K2402))))</f>
      </c>
      <c r="L2403" s="43">
        <f>IF($I2403=0,0,$J2403*$H2403/100/12)</f>
      </c>
      <c r="M2403" s="43">
        <f>IF($I2403=0,0,IF(OR(INDEX(DarlOhneTilgung,5)=1,AND(INDEX(DarlTilgStart,5)&gt;0,$E2403&lt;INDEX(DarlTilgStart,5))),0,MIN(MAX(0,$K2403-$L2403),$J2403)))</f>
      </c>
      <c r="N2403" s="43">
        <f>IF($I2403=0,0,MIN(SUMIFS(SondBetrag,SondDarl,5,SondDatum,"&gt;="&amp;$E2403,SondDatum,"&lt;="&amp;EOMONTH($E2403,0)),$J2403-$M2403))</f>
      </c>
      <c r="O2403" s="43">
        <f>IF($I2403=0,0,INDEX(DarlErsatzRate,5))</f>
      </c>
      <c r="P2403" s="43">
        <f>IF($I2403=0,0,$Q2402*INDEX(DarlErsatzZins,5))</f>
      </c>
      <c r="Q2403" s="43">
        <f>IF($I2403=0,0,$Q2402+$P2403+$O2403)</f>
      </c>
      <c r="R2403" s="43">
        <f>IF($I2403=0,0,$J2403-$M2403-$N2403)</f>
      </c>
    </row>
    <row r="2404">
      <c r="A2404"/>
      <c r="B2404">
        <v>6</v>
      </c>
      <c r="C2404" s="43">
        <f>INDEX(DarlObj,6)</f>
      </c>
      <c r="D2404">
        <v>1</v>
      </c>
      <c r="E2404" s="51">
        <f>IF(INDEX(DarlBelegt,6)=0,0,EOMONTH(INDEX(DarlAuszahlung,6),0)+1)</f>
      </c>
      <c r="F2404" s="43">
        <f>IF($E2404=0,0,YEAR($E2404))</f>
      </c>
      <c r="G2404" s="43">
        <f>IF(INDEX(DarlBindung,6)="",1,IF($E2404&lt;=INDEX(DarlBindung,6),1,0))</f>
      </c>
      <c r="H2404" s="43">
        <f>IF($G2404=1,INDEX(DarlSollzins,6),INDEX(DarlAnschluss,6))</f>
      </c>
      <c r="I2404" s="43">
        <f>IF(INDEX(DarlBelegt,6)=0,0,IF(INDEX(DarlOhneTilgung,6)=1,IF(INDEX(DarlBindung,6)="",1,$G2404),IF($J2404&gt;0.005,1,0)))</f>
      </c>
      <c r="J2404" s="43">
        <f>IF(INDEX(DarlBelegt,6)=0,0,INDEX(DarlBetrag,6))</f>
      </c>
      <c r="K2404" s="43">
        <f>IF($I2404=0,0,IF(INDEX(DarlOhneTilgung,6)=1,0,INDEX(DarlRate1,6)))</f>
      </c>
      <c r="L2404" s="43">
        <f>IF($I2404=0,0,$J2404*$H2404/100/12)</f>
      </c>
      <c r="M2404" s="43">
        <f>IF($I2404=0,0,IF(OR(INDEX(DarlOhneTilgung,6)=1,AND(INDEX(DarlTilgStart,6)&gt;0,$E2404&lt;INDEX(DarlTilgStart,6))),0,MIN(MAX(0,$K2404-$L2404),$J2404)))</f>
      </c>
      <c r="N2404" s="43">
        <f>IF($I2404=0,0,MIN(SUMIFS(SondBetrag,SondDarl,6,SondDatum,"&gt;="&amp;$E2404,SondDatum,"&lt;="&amp;EOMONTH($E2404,0)),$J2404-$M2404))</f>
      </c>
      <c r="O2404" s="43">
        <f>IF($I2404=0,0,INDEX(DarlErsatzRate,6))</f>
      </c>
      <c r="P2404" s="43">
        <f>0</f>
      </c>
      <c r="Q2404" s="43">
        <f>IF($I2404=0,0,$P2404+$O2404)</f>
      </c>
      <c r="R2404" s="43">
        <f>IF($I2404=0,0,$J2404-$M2404-$N2404)</f>
      </c>
    </row>
    <row r="2405">
      <c r="A2405"/>
      <c r="B2405">
        <v>6</v>
      </c>
      <c r="C2405" s="43">
        <f>INDEX(DarlObj,6)</f>
      </c>
      <c r="D2405">
        <v>2</v>
      </c>
      <c r="E2405" s="51">
        <f>IF(INDEX(DarlBelegt,6)=0,0,EOMONTH(INDEX(DarlAuszahlung,6),1)+1)</f>
      </c>
      <c r="F2405" s="43">
        <f>IF($E2405=0,0,YEAR($E2405))</f>
      </c>
      <c r="G2405" s="43">
        <f>IF(INDEX(DarlBindung,6)="",1,IF($E2405&lt;=INDEX(DarlBindung,6),1,0))</f>
      </c>
      <c r="H2405" s="43">
        <f>IF($G2405=1,INDEX(DarlSollzins,6),INDEX(DarlAnschluss,6))</f>
      </c>
      <c r="I2405" s="43">
        <f>IF(INDEX(DarlBelegt,6)=0,0,IF(INDEX(DarlOhneTilgung,6)=1,IF(INDEX(DarlBindung,6)="",1,$G2405),IF($J2405&gt;0.005,1,0)))</f>
      </c>
      <c r="J2405" s="43">
        <f>IF($I2404=0,0,$R2404)</f>
      </c>
      <c r="K2405" s="43">
        <f>IF($I2405=0,0,IF(INDEX(DarlOhneTilgung,6)=1,0,IF(AND(INDEX(DarlTilgStart,6)&gt;0,$E2405=INDEX(DarlTilgStart,6)),$J2405*($H2405+INDEX(DarlTilgung,6))/100/12,IF(AND($G2405=0,$G2404=1),MAX($K2404,$J2405*($H2405+1)/100/12),$K2404))))</f>
      </c>
      <c r="L2405" s="43">
        <f>IF($I2405=0,0,$J2405*$H2405/100/12)</f>
      </c>
      <c r="M2405" s="43">
        <f>IF($I2405=0,0,IF(OR(INDEX(DarlOhneTilgung,6)=1,AND(INDEX(DarlTilgStart,6)&gt;0,$E2405&lt;INDEX(DarlTilgStart,6))),0,MIN(MAX(0,$K2405-$L2405),$J2405)))</f>
      </c>
      <c r="N2405" s="43">
        <f>IF($I2405=0,0,MIN(SUMIFS(SondBetrag,SondDarl,6,SondDatum,"&gt;="&amp;$E2405,SondDatum,"&lt;="&amp;EOMONTH($E2405,0)),$J2405-$M2405))</f>
      </c>
      <c r="O2405" s="43">
        <f>IF($I2405=0,0,INDEX(DarlErsatzRate,6))</f>
      </c>
      <c r="P2405" s="43">
        <f>IF($I2405=0,0,$Q2404*INDEX(DarlErsatzZins,6))</f>
      </c>
      <c r="Q2405" s="43">
        <f>IF($I2405=0,0,$Q2404+$P2405+$O2405)</f>
      </c>
      <c r="R2405" s="43">
        <f>IF($I2405=0,0,$J2405-$M2405-$N2405)</f>
      </c>
    </row>
    <row r="2406">
      <c r="A2406"/>
      <c r="B2406">
        <v>6</v>
      </c>
      <c r="C2406" s="43">
        <f>INDEX(DarlObj,6)</f>
      </c>
      <c r="D2406">
        <v>3</v>
      </c>
      <c r="E2406" s="51">
        <f>IF(INDEX(DarlBelegt,6)=0,0,EOMONTH(INDEX(DarlAuszahlung,6),2)+1)</f>
      </c>
      <c r="F2406" s="43">
        <f>IF($E2406=0,0,YEAR($E2406))</f>
      </c>
      <c r="G2406" s="43">
        <f>IF(INDEX(DarlBindung,6)="",1,IF($E2406&lt;=INDEX(DarlBindung,6),1,0))</f>
      </c>
      <c r="H2406" s="43">
        <f>IF($G2406=1,INDEX(DarlSollzins,6),INDEX(DarlAnschluss,6))</f>
      </c>
      <c r="I2406" s="43">
        <f>IF(INDEX(DarlBelegt,6)=0,0,IF(INDEX(DarlOhneTilgung,6)=1,IF(INDEX(DarlBindung,6)="",1,$G2406),IF($J2406&gt;0.005,1,0)))</f>
      </c>
      <c r="J2406" s="43">
        <f>IF($I2405=0,0,$R2405)</f>
      </c>
      <c r="K2406" s="43">
        <f>IF($I2406=0,0,IF(INDEX(DarlOhneTilgung,6)=1,0,IF(AND(INDEX(DarlTilgStart,6)&gt;0,$E2406=INDEX(DarlTilgStart,6)),$J2406*($H2406+INDEX(DarlTilgung,6))/100/12,IF(AND($G2406=0,$G2405=1),MAX($K2405,$J2406*($H2406+1)/100/12),$K2405))))</f>
      </c>
      <c r="L2406" s="43">
        <f>IF($I2406=0,0,$J2406*$H2406/100/12)</f>
      </c>
      <c r="M2406" s="43">
        <f>IF($I2406=0,0,IF(OR(INDEX(DarlOhneTilgung,6)=1,AND(INDEX(DarlTilgStart,6)&gt;0,$E2406&lt;INDEX(DarlTilgStart,6))),0,MIN(MAX(0,$K2406-$L2406),$J2406)))</f>
      </c>
      <c r="N2406" s="43">
        <f>IF($I2406=0,0,MIN(SUMIFS(SondBetrag,SondDarl,6,SondDatum,"&gt;="&amp;$E2406,SondDatum,"&lt;="&amp;EOMONTH($E2406,0)),$J2406-$M2406))</f>
      </c>
      <c r="O2406" s="43">
        <f>IF($I2406=0,0,INDEX(DarlErsatzRate,6))</f>
      </c>
      <c r="P2406" s="43">
        <f>IF($I2406=0,0,$Q2405*INDEX(DarlErsatzZins,6))</f>
      </c>
      <c r="Q2406" s="43">
        <f>IF($I2406=0,0,$Q2405+$P2406+$O2406)</f>
      </c>
      <c r="R2406" s="43">
        <f>IF($I2406=0,0,$J2406-$M2406-$N2406)</f>
      </c>
    </row>
    <row r="2407">
      <c r="A2407"/>
      <c r="B2407">
        <v>6</v>
      </c>
      <c r="C2407" s="43">
        <f>INDEX(DarlObj,6)</f>
      </c>
      <c r="D2407">
        <v>4</v>
      </c>
      <c r="E2407" s="51">
        <f>IF(INDEX(DarlBelegt,6)=0,0,EOMONTH(INDEX(DarlAuszahlung,6),3)+1)</f>
      </c>
      <c r="F2407" s="43">
        <f>IF($E2407=0,0,YEAR($E2407))</f>
      </c>
      <c r="G2407" s="43">
        <f>IF(INDEX(DarlBindung,6)="",1,IF($E2407&lt;=INDEX(DarlBindung,6),1,0))</f>
      </c>
      <c r="H2407" s="43">
        <f>IF($G2407=1,INDEX(DarlSollzins,6),INDEX(DarlAnschluss,6))</f>
      </c>
      <c r="I2407" s="43">
        <f>IF(INDEX(DarlBelegt,6)=0,0,IF(INDEX(DarlOhneTilgung,6)=1,IF(INDEX(DarlBindung,6)="",1,$G2407),IF($J2407&gt;0.005,1,0)))</f>
      </c>
      <c r="J2407" s="43">
        <f>IF($I2406=0,0,$R2406)</f>
      </c>
      <c r="K2407" s="43">
        <f>IF($I2407=0,0,IF(INDEX(DarlOhneTilgung,6)=1,0,IF(AND(INDEX(DarlTilgStart,6)&gt;0,$E2407=INDEX(DarlTilgStart,6)),$J2407*($H2407+INDEX(DarlTilgung,6))/100/12,IF(AND($G2407=0,$G2406=1),MAX($K2406,$J2407*($H2407+1)/100/12),$K2406))))</f>
      </c>
      <c r="L2407" s="43">
        <f>IF($I2407=0,0,$J2407*$H2407/100/12)</f>
      </c>
      <c r="M2407" s="43">
        <f>IF($I2407=0,0,IF(OR(INDEX(DarlOhneTilgung,6)=1,AND(INDEX(DarlTilgStart,6)&gt;0,$E2407&lt;INDEX(DarlTilgStart,6))),0,MIN(MAX(0,$K2407-$L2407),$J2407)))</f>
      </c>
      <c r="N2407" s="43">
        <f>IF($I2407=0,0,MIN(SUMIFS(SondBetrag,SondDarl,6,SondDatum,"&gt;="&amp;$E2407,SondDatum,"&lt;="&amp;EOMONTH($E2407,0)),$J2407-$M2407))</f>
      </c>
      <c r="O2407" s="43">
        <f>IF($I2407=0,0,INDEX(DarlErsatzRate,6))</f>
      </c>
      <c r="P2407" s="43">
        <f>IF($I2407=0,0,$Q2406*INDEX(DarlErsatzZins,6))</f>
      </c>
      <c r="Q2407" s="43">
        <f>IF($I2407=0,0,$Q2406+$P2407+$O2407)</f>
      </c>
      <c r="R2407" s="43">
        <f>IF($I2407=0,0,$J2407-$M2407-$N2407)</f>
      </c>
    </row>
    <row r="2408">
      <c r="A2408"/>
      <c r="B2408">
        <v>6</v>
      </c>
      <c r="C2408" s="43">
        <f>INDEX(DarlObj,6)</f>
      </c>
      <c r="D2408">
        <v>5</v>
      </c>
      <c r="E2408" s="51">
        <f>IF(INDEX(DarlBelegt,6)=0,0,EOMONTH(INDEX(DarlAuszahlung,6),4)+1)</f>
      </c>
      <c r="F2408" s="43">
        <f>IF($E2408=0,0,YEAR($E2408))</f>
      </c>
      <c r="G2408" s="43">
        <f>IF(INDEX(DarlBindung,6)="",1,IF($E2408&lt;=INDEX(DarlBindung,6),1,0))</f>
      </c>
      <c r="H2408" s="43">
        <f>IF($G2408=1,INDEX(DarlSollzins,6),INDEX(DarlAnschluss,6))</f>
      </c>
      <c r="I2408" s="43">
        <f>IF(INDEX(DarlBelegt,6)=0,0,IF(INDEX(DarlOhneTilgung,6)=1,IF(INDEX(DarlBindung,6)="",1,$G2408),IF($J2408&gt;0.005,1,0)))</f>
      </c>
      <c r="J2408" s="43">
        <f>IF($I2407=0,0,$R2407)</f>
      </c>
      <c r="K2408" s="43">
        <f>IF($I2408=0,0,IF(INDEX(DarlOhneTilgung,6)=1,0,IF(AND(INDEX(DarlTilgStart,6)&gt;0,$E2408=INDEX(DarlTilgStart,6)),$J2408*($H2408+INDEX(DarlTilgung,6))/100/12,IF(AND($G2408=0,$G2407=1),MAX($K2407,$J2408*($H2408+1)/100/12),$K2407))))</f>
      </c>
      <c r="L2408" s="43">
        <f>IF($I2408=0,0,$J2408*$H2408/100/12)</f>
      </c>
      <c r="M2408" s="43">
        <f>IF($I2408=0,0,IF(OR(INDEX(DarlOhneTilgung,6)=1,AND(INDEX(DarlTilgStart,6)&gt;0,$E2408&lt;INDEX(DarlTilgStart,6))),0,MIN(MAX(0,$K2408-$L2408),$J2408)))</f>
      </c>
      <c r="N2408" s="43">
        <f>IF($I2408=0,0,MIN(SUMIFS(SondBetrag,SondDarl,6,SondDatum,"&gt;="&amp;$E2408,SondDatum,"&lt;="&amp;EOMONTH($E2408,0)),$J2408-$M2408))</f>
      </c>
      <c r="O2408" s="43">
        <f>IF($I2408=0,0,INDEX(DarlErsatzRate,6))</f>
      </c>
      <c r="P2408" s="43">
        <f>IF($I2408=0,0,$Q2407*INDEX(DarlErsatzZins,6))</f>
      </c>
      <c r="Q2408" s="43">
        <f>IF($I2408=0,0,$Q2407+$P2408+$O2408)</f>
      </c>
      <c r="R2408" s="43">
        <f>IF($I2408=0,0,$J2408-$M2408-$N2408)</f>
      </c>
    </row>
    <row r="2409">
      <c r="A2409"/>
      <c r="B2409">
        <v>6</v>
      </c>
      <c r="C2409" s="43">
        <f>INDEX(DarlObj,6)</f>
      </c>
      <c r="D2409">
        <v>6</v>
      </c>
      <c r="E2409" s="51">
        <f>IF(INDEX(DarlBelegt,6)=0,0,EOMONTH(INDEX(DarlAuszahlung,6),5)+1)</f>
      </c>
      <c r="F2409" s="43">
        <f>IF($E2409=0,0,YEAR($E2409))</f>
      </c>
      <c r="G2409" s="43">
        <f>IF(INDEX(DarlBindung,6)="",1,IF($E2409&lt;=INDEX(DarlBindung,6),1,0))</f>
      </c>
      <c r="H2409" s="43">
        <f>IF($G2409=1,INDEX(DarlSollzins,6),INDEX(DarlAnschluss,6))</f>
      </c>
      <c r="I2409" s="43">
        <f>IF(INDEX(DarlBelegt,6)=0,0,IF(INDEX(DarlOhneTilgung,6)=1,IF(INDEX(DarlBindung,6)="",1,$G2409),IF($J2409&gt;0.005,1,0)))</f>
      </c>
      <c r="J2409" s="43">
        <f>IF($I2408=0,0,$R2408)</f>
      </c>
      <c r="K2409" s="43">
        <f>IF($I2409=0,0,IF(INDEX(DarlOhneTilgung,6)=1,0,IF(AND(INDEX(DarlTilgStart,6)&gt;0,$E2409=INDEX(DarlTilgStart,6)),$J2409*($H2409+INDEX(DarlTilgung,6))/100/12,IF(AND($G2409=0,$G2408=1),MAX($K2408,$J2409*($H2409+1)/100/12),$K2408))))</f>
      </c>
      <c r="L2409" s="43">
        <f>IF($I2409=0,0,$J2409*$H2409/100/12)</f>
      </c>
      <c r="M2409" s="43">
        <f>IF($I2409=0,0,IF(OR(INDEX(DarlOhneTilgung,6)=1,AND(INDEX(DarlTilgStart,6)&gt;0,$E2409&lt;INDEX(DarlTilgStart,6))),0,MIN(MAX(0,$K2409-$L2409),$J2409)))</f>
      </c>
      <c r="N2409" s="43">
        <f>IF($I2409=0,0,MIN(SUMIFS(SondBetrag,SondDarl,6,SondDatum,"&gt;="&amp;$E2409,SondDatum,"&lt;="&amp;EOMONTH($E2409,0)),$J2409-$M2409))</f>
      </c>
      <c r="O2409" s="43">
        <f>IF($I2409=0,0,INDEX(DarlErsatzRate,6))</f>
      </c>
      <c r="P2409" s="43">
        <f>IF($I2409=0,0,$Q2408*INDEX(DarlErsatzZins,6))</f>
      </c>
      <c r="Q2409" s="43">
        <f>IF($I2409=0,0,$Q2408+$P2409+$O2409)</f>
      </c>
      <c r="R2409" s="43">
        <f>IF($I2409=0,0,$J2409-$M2409-$N2409)</f>
      </c>
    </row>
    <row r="2410">
      <c r="A2410"/>
      <c r="B2410">
        <v>6</v>
      </c>
      <c r="C2410" s="43">
        <f>INDEX(DarlObj,6)</f>
      </c>
      <c r="D2410">
        <v>7</v>
      </c>
      <c r="E2410" s="51">
        <f>IF(INDEX(DarlBelegt,6)=0,0,EOMONTH(INDEX(DarlAuszahlung,6),6)+1)</f>
      </c>
      <c r="F2410" s="43">
        <f>IF($E2410=0,0,YEAR($E2410))</f>
      </c>
      <c r="G2410" s="43">
        <f>IF(INDEX(DarlBindung,6)="",1,IF($E2410&lt;=INDEX(DarlBindung,6),1,0))</f>
      </c>
      <c r="H2410" s="43">
        <f>IF($G2410=1,INDEX(DarlSollzins,6),INDEX(DarlAnschluss,6))</f>
      </c>
      <c r="I2410" s="43">
        <f>IF(INDEX(DarlBelegt,6)=0,0,IF(INDEX(DarlOhneTilgung,6)=1,IF(INDEX(DarlBindung,6)="",1,$G2410),IF($J2410&gt;0.005,1,0)))</f>
      </c>
      <c r="J2410" s="43">
        <f>IF($I2409=0,0,$R2409)</f>
      </c>
      <c r="K2410" s="43">
        <f>IF($I2410=0,0,IF(INDEX(DarlOhneTilgung,6)=1,0,IF(AND(INDEX(DarlTilgStart,6)&gt;0,$E2410=INDEX(DarlTilgStart,6)),$J2410*($H2410+INDEX(DarlTilgung,6))/100/12,IF(AND($G2410=0,$G2409=1),MAX($K2409,$J2410*($H2410+1)/100/12),$K2409))))</f>
      </c>
      <c r="L2410" s="43">
        <f>IF($I2410=0,0,$J2410*$H2410/100/12)</f>
      </c>
      <c r="M2410" s="43">
        <f>IF($I2410=0,0,IF(OR(INDEX(DarlOhneTilgung,6)=1,AND(INDEX(DarlTilgStart,6)&gt;0,$E2410&lt;INDEX(DarlTilgStart,6))),0,MIN(MAX(0,$K2410-$L2410),$J2410)))</f>
      </c>
      <c r="N2410" s="43">
        <f>IF($I2410=0,0,MIN(SUMIFS(SondBetrag,SondDarl,6,SondDatum,"&gt;="&amp;$E2410,SondDatum,"&lt;="&amp;EOMONTH($E2410,0)),$J2410-$M2410))</f>
      </c>
      <c r="O2410" s="43">
        <f>IF($I2410=0,0,INDEX(DarlErsatzRate,6))</f>
      </c>
      <c r="P2410" s="43">
        <f>IF($I2410=0,0,$Q2409*INDEX(DarlErsatzZins,6))</f>
      </c>
      <c r="Q2410" s="43">
        <f>IF($I2410=0,0,$Q2409+$P2410+$O2410)</f>
      </c>
      <c r="R2410" s="43">
        <f>IF($I2410=0,0,$J2410-$M2410-$N2410)</f>
      </c>
    </row>
    <row r="2411">
      <c r="A2411"/>
      <c r="B2411">
        <v>6</v>
      </c>
      <c r="C2411" s="43">
        <f>INDEX(DarlObj,6)</f>
      </c>
      <c r="D2411">
        <v>8</v>
      </c>
      <c r="E2411" s="51">
        <f>IF(INDEX(DarlBelegt,6)=0,0,EOMONTH(INDEX(DarlAuszahlung,6),7)+1)</f>
      </c>
      <c r="F2411" s="43">
        <f>IF($E2411=0,0,YEAR($E2411))</f>
      </c>
      <c r="G2411" s="43">
        <f>IF(INDEX(DarlBindung,6)="",1,IF($E2411&lt;=INDEX(DarlBindung,6),1,0))</f>
      </c>
      <c r="H2411" s="43">
        <f>IF($G2411=1,INDEX(DarlSollzins,6),INDEX(DarlAnschluss,6))</f>
      </c>
      <c r="I2411" s="43">
        <f>IF(INDEX(DarlBelegt,6)=0,0,IF(INDEX(DarlOhneTilgung,6)=1,IF(INDEX(DarlBindung,6)="",1,$G2411),IF($J2411&gt;0.005,1,0)))</f>
      </c>
      <c r="J2411" s="43">
        <f>IF($I2410=0,0,$R2410)</f>
      </c>
      <c r="K2411" s="43">
        <f>IF($I2411=0,0,IF(INDEX(DarlOhneTilgung,6)=1,0,IF(AND(INDEX(DarlTilgStart,6)&gt;0,$E2411=INDEX(DarlTilgStart,6)),$J2411*($H2411+INDEX(DarlTilgung,6))/100/12,IF(AND($G2411=0,$G2410=1),MAX($K2410,$J2411*($H2411+1)/100/12),$K2410))))</f>
      </c>
      <c r="L2411" s="43">
        <f>IF($I2411=0,0,$J2411*$H2411/100/12)</f>
      </c>
      <c r="M2411" s="43">
        <f>IF($I2411=0,0,IF(OR(INDEX(DarlOhneTilgung,6)=1,AND(INDEX(DarlTilgStart,6)&gt;0,$E2411&lt;INDEX(DarlTilgStart,6))),0,MIN(MAX(0,$K2411-$L2411),$J2411)))</f>
      </c>
      <c r="N2411" s="43">
        <f>IF($I2411=0,0,MIN(SUMIFS(SondBetrag,SondDarl,6,SondDatum,"&gt;="&amp;$E2411,SondDatum,"&lt;="&amp;EOMONTH($E2411,0)),$J2411-$M2411))</f>
      </c>
      <c r="O2411" s="43">
        <f>IF($I2411=0,0,INDEX(DarlErsatzRate,6))</f>
      </c>
      <c r="P2411" s="43">
        <f>IF($I2411=0,0,$Q2410*INDEX(DarlErsatzZins,6))</f>
      </c>
      <c r="Q2411" s="43">
        <f>IF($I2411=0,0,$Q2410+$P2411+$O2411)</f>
      </c>
      <c r="R2411" s="43">
        <f>IF($I2411=0,0,$J2411-$M2411-$N2411)</f>
      </c>
    </row>
    <row r="2412">
      <c r="A2412"/>
      <c r="B2412">
        <v>6</v>
      </c>
      <c r="C2412" s="43">
        <f>INDEX(DarlObj,6)</f>
      </c>
      <c r="D2412">
        <v>9</v>
      </c>
      <c r="E2412" s="51">
        <f>IF(INDEX(DarlBelegt,6)=0,0,EOMONTH(INDEX(DarlAuszahlung,6),8)+1)</f>
      </c>
      <c r="F2412" s="43">
        <f>IF($E2412=0,0,YEAR($E2412))</f>
      </c>
      <c r="G2412" s="43">
        <f>IF(INDEX(DarlBindung,6)="",1,IF($E2412&lt;=INDEX(DarlBindung,6),1,0))</f>
      </c>
      <c r="H2412" s="43">
        <f>IF($G2412=1,INDEX(DarlSollzins,6),INDEX(DarlAnschluss,6))</f>
      </c>
      <c r="I2412" s="43">
        <f>IF(INDEX(DarlBelegt,6)=0,0,IF(INDEX(DarlOhneTilgung,6)=1,IF(INDEX(DarlBindung,6)="",1,$G2412),IF($J2412&gt;0.005,1,0)))</f>
      </c>
      <c r="J2412" s="43">
        <f>IF($I2411=0,0,$R2411)</f>
      </c>
      <c r="K2412" s="43">
        <f>IF($I2412=0,0,IF(INDEX(DarlOhneTilgung,6)=1,0,IF(AND(INDEX(DarlTilgStart,6)&gt;0,$E2412=INDEX(DarlTilgStart,6)),$J2412*($H2412+INDEX(DarlTilgung,6))/100/12,IF(AND($G2412=0,$G2411=1),MAX($K2411,$J2412*($H2412+1)/100/12),$K2411))))</f>
      </c>
      <c r="L2412" s="43">
        <f>IF($I2412=0,0,$J2412*$H2412/100/12)</f>
      </c>
      <c r="M2412" s="43">
        <f>IF($I2412=0,0,IF(OR(INDEX(DarlOhneTilgung,6)=1,AND(INDEX(DarlTilgStart,6)&gt;0,$E2412&lt;INDEX(DarlTilgStart,6))),0,MIN(MAX(0,$K2412-$L2412),$J2412)))</f>
      </c>
      <c r="N2412" s="43">
        <f>IF($I2412=0,0,MIN(SUMIFS(SondBetrag,SondDarl,6,SondDatum,"&gt;="&amp;$E2412,SondDatum,"&lt;="&amp;EOMONTH($E2412,0)),$J2412-$M2412))</f>
      </c>
      <c r="O2412" s="43">
        <f>IF($I2412=0,0,INDEX(DarlErsatzRate,6))</f>
      </c>
      <c r="P2412" s="43">
        <f>IF($I2412=0,0,$Q2411*INDEX(DarlErsatzZins,6))</f>
      </c>
      <c r="Q2412" s="43">
        <f>IF($I2412=0,0,$Q2411+$P2412+$O2412)</f>
      </c>
      <c r="R2412" s="43">
        <f>IF($I2412=0,0,$J2412-$M2412-$N2412)</f>
      </c>
    </row>
    <row r="2413">
      <c r="A2413"/>
      <c r="B2413">
        <v>6</v>
      </c>
      <c r="C2413" s="43">
        <f>INDEX(DarlObj,6)</f>
      </c>
      <c r="D2413">
        <v>10</v>
      </c>
      <c r="E2413" s="51">
        <f>IF(INDEX(DarlBelegt,6)=0,0,EOMONTH(INDEX(DarlAuszahlung,6),9)+1)</f>
      </c>
      <c r="F2413" s="43">
        <f>IF($E2413=0,0,YEAR($E2413))</f>
      </c>
      <c r="G2413" s="43">
        <f>IF(INDEX(DarlBindung,6)="",1,IF($E2413&lt;=INDEX(DarlBindung,6),1,0))</f>
      </c>
      <c r="H2413" s="43">
        <f>IF($G2413=1,INDEX(DarlSollzins,6),INDEX(DarlAnschluss,6))</f>
      </c>
      <c r="I2413" s="43">
        <f>IF(INDEX(DarlBelegt,6)=0,0,IF(INDEX(DarlOhneTilgung,6)=1,IF(INDEX(DarlBindung,6)="",1,$G2413),IF($J2413&gt;0.005,1,0)))</f>
      </c>
      <c r="J2413" s="43">
        <f>IF($I2412=0,0,$R2412)</f>
      </c>
      <c r="K2413" s="43">
        <f>IF($I2413=0,0,IF(INDEX(DarlOhneTilgung,6)=1,0,IF(AND(INDEX(DarlTilgStart,6)&gt;0,$E2413=INDEX(DarlTilgStart,6)),$J2413*($H2413+INDEX(DarlTilgung,6))/100/12,IF(AND($G2413=0,$G2412=1),MAX($K2412,$J2413*($H2413+1)/100/12),$K2412))))</f>
      </c>
      <c r="L2413" s="43">
        <f>IF($I2413=0,0,$J2413*$H2413/100/12)</f>
      </c>
      <c r="M2413" s="43">
        <f>IF($I2413=0,0,IF(OR(INDEX(DarlOhneTilgung,6)=1,AND(INDEX(DarlTilgStart,6)&gt;0,$E2413&lt;INDEX(DarlTilgStart,6))),0,MIN(MAX(0,$K2413-$L2413),$J2413)))</f>
      </c>
      <c r="N2413" s="43">
        <f>IF($I2413=0,0,MIN(SUMIFS(SondBetrag,SondDarl,6,SondDatum,"&gt;="&amp;$E2413,SondDatum,"&lt;="&amp;EOMONTH($E2413,0)),$J2413-$M2413))</f>
      </c>
      <c r="O2413" s="43">
        <f>IF($I2413=0,0,INDEX(DarlErsatzRate,6))</f>
      </c>
      <c r="P2413" s="43">
        <f>IF($I2413=0,0,$Q2412*INDEX(DarlErsatzZins,6))</f>
      </c>
      <c r="Q2413" s="43">
        <f>IF($I2413=0,0,$Q2412+$P2413+$O2413)</f>
      </c>
      <c r="R2413" s="43">
        <f>IF($I2413=0,0,$J2413-$M2413-$N2413)</f>
      </c>
    </row>
    <row r="2414">
      <c r="A2414"/>
      <c r="B2414">
        <v>6</v>
      </c>
      <c r="C2414" s="43">
        <f>INDEX(DarlObj,6)</f>
      </c>
      <c r="D2414">
        <v>11</v>
      </c>
      <c r="E2414" s="51">
        <f>IF(INDEX(DarlBelegt,6)=0,0,EOMONTH(INDEX(DarlAuszahlung,6),10)+1)</f>
      </c>
      <c r="F2414" s="43">
        <f>IF($E2414=0,0,YEAR($E2414))</f>
      </c>
      <c r="G2414" s="43">
        <f>IF(INDEX(DarlBindung,6)="",1,IF($E2414&lt;=INDEX(DarlBindung,6),1,0))</f>
      </c>
      <c r="H2414" s="43">
        <f>IF($G2414=1,INDEX(DarlSollzins,6),INDEX(DarlAnschluss,6))</f>
      </c>
      <c r="I2414" s="43">
        <f>IF(INDEX(DarlBelegt,6)=0,0,IF(INDEX(DarlOhneTilgung,6)=1,IF(INDEX(DarlBindung,6)="",1,$G2414),IF($J2414&gt;0.005,1,0)))</f>
      </c>
      <c r="J2414" s="43">
        <f>IF($I2413=0,0,$R2413)</f>
      </c>
      <c r="K2414" s="43">
        <f>IF($I2414=0,0,IF(INDEX(DarlOhneTilgung,6)=1,0,IF(AND(INDEX(DarlTilgStart,6)&gt;0,$E2414=INDEX(DarlTilgStart,6)),$J2414*($H2414+INDEX(DarlTilgung,6))/100/12,IF(AND($G2414=0,$G2413=1),MAX($K2413,$J2414*($H2414+1)/100/12),$K2413))))</f>
      </c>
      <c r="L2414" s="43">
        <f>IF($I2414=0,0,$J2414*$H2414/100/12)</f>
      </c>
      <c r="M2414" s="43">
        <f>IF($I2414=0,0,IF(OR(INDEX(DarlOhneTilgung,6)=1,AND(INDEX(DarlTilgStart,6)&gt;0,$E2414&lt;INDEX(DarlTilgStart,6))),0,MIN(MAX(0,$K2414-$L2414),$J2414)))</f>
      </c>
      <c r="N2414" s="43">
        <f>IF($I2414=0,0,MIN(SUMIFS(SondBetrag,SondDarl,6,SondDatum,"&gt;="&amp;$E2414,SondDatum,"&lt;="&amp;EOMONTH($E2414,0)),$J2414-$M2414))</f>
      </c>
      <c r="O2414" s="43">
        <f>IF($I2414=0,0,INDEX(DarlErsatzRate,6))</f>
      </c>
      <c r="P2414" s="43">
        <f>IF($I2414=0,0,$Q2413*INDEX(DarlErsatzZins,6))</f>
      </c>
      <c r="Q2414" s="43">
        <f>IF($I2414=0,0,$Q2413+$P2414+$O2414)</f>
      </c>
      <c r="R2414" s="43">
        <f>IF($I2414=0,0,$J2414-$M2414-$N2414)</f>
      </c>
    </row>
    <row r="2415">
      <c r="A2415"/>
      <c r="B2415">
        <v>6</v>
      </c>
      <c r="C2415" s="43">
        <f>INDEX(DarlObj,6)</f>
      </c>
      <c r="D2415">
        <v>12</v>
      </c>
      <c r="E2415" s="51">
        <f>IF(INDEX(DarlBelegt,6)=0,0,EOMONTH(INDEX(DarlAuszahlung,6),11)+1)</f>
      </c>
      <c r="F2415" s="43">
        <f>IF($E2415=0,0,YEAR($E2415))</f>
      </c>
      <c r="G2415" s="43">
        <f>IF(INDEX(DarlBindung,6)="",1,IF($E2415&lt;=INDEX(DarlBindung,6),1,0))</f>
      </c>
      <c r="H2415" s="43">
        <f>IF($G2415=1,INDEX(DarlSollzins,6),INDEX(DarlAnschluss,6))</f>
      </c>
      <c r="I2415" s="43">
        <f>IF(INDEX(DarlBelegt,6)=0,0,IF(INDEX(DarlOhneTilgung,6)=1,IF(INDEX(DarlBindung,6)="",1,$G2415),IF($J2415&gt;0.005,1,0)))</f>
      </c>
      <c r="J2415" s="43">
        <f>IF($I2414=0,0,$R2414)</f>
      </c>
      <c r="K2415" s="43">
        <f>IF($I2415=0,0,IF(INDEX(DarlOhneTilgung,6)=1,0,IF(AND(INDEX(DarlTilgStart,6)&gt;0,$E2415=INDEX(DarlTilgStart,6)),$J2415*($H2415+INDEX(DarlTilgung,6))/100/12,IF(AND($G2415=0,$G2414=1),MAX($K2414,$J2415*($H2415+1)/100/12),$K2414))))</f>
      </c>
      <c r="L2415" s="43">
        <f>IF($I2415=0,0,$J2415*$H2415/100/12)</f>
      </c>
      <c r="M2415" s="43">
        <f>IF($I2415=0,0,IF(OR(INDEX(DarlOhneTilgung,6)=1,AND(INDEX(DarlTilgStart,6)&gt;0,$E2415&lt;INDEX(DarlTilgStart,6))),0,MIN(MAX(0,$K2415-$L2415),$J2415)))</f>
      </c>
      <c r="N2415" s="43">
        <f>IF($I2415=0,0,MIN(SUMIFS(SondBetrag,SondDarl,6,SondDatum,"&gt;="&amp;$E2415,SondDatum,"&lt;="&amp;EOMONTH($E2415,0)),$J2415-$M2415))</f>
      </c>
      <c r="O2415" s="43">
        <f>IF($I2415=0,0,INDEX(DarlErsatzRate,6))</f>
      </c>
      <c r="P2415" s="43">
        <f>IF($I2415=0,0,$Q2414*INDEX(DarlErsatzZins,6))</f>
      </c>
      <c r="Q2415" s="43">
        <f>IF($I2415=0,0,$Q2414+$P2415+$O2415)</f>
      </c>
      <c r="R2415" s="43">
        <f>IF($I2415=0,0,$J2415-$M2415-$N2415)</f>
      </c>
    </row>
    <row r="2416">
      <c r="A2416"/>
      <c r="B2416">
        <v>6</v>
      </c>
      <c r="C2416" s="43">
        <f>INDEX(DarlObj,6)</f>
      </c>
      <c r="D2416">
        <v>13</v>
      </c>
      <c r="E2416" s="51">
        <f>IF(INDEX(DarlBelegt,6)=0,0,EOMONTH(INDEX(DarlAuszahlung,6),12)+1)</f>
      </c>
      <c r="F2416" s="43">
        <f>IF($E2416=0,0,YEAR($E2416))</f>
      </c>
      <c r="G2416" s="43">
        <f>IF(INDEX(DarlBindung,6)="",1,IF($E2416&lt;=INDEX(DarlBindung,6),1,0))</f>
      </c>
      <c r="H2416" s="43">
        <f>IF($G2416=1,INDEX(DarlSollzins,6),INDEX(DarlAnschluss,6))</f>
      </c>
      <c r="I2416" s="43">
        <f>IF(INDEX(DarlBelegt,6)=0,0,IF(INDEX(DarlOhneTilgung,6)=1,IF(INDEX(DarlBindung,6)="",1,$G2416),IF($J2416&gt;0.005,1,0)))</f>
      </c>
      <c r="J2416" s="43">
        <f>IF($I2415=0,0,$R2415)</f>
      </c>
      <c r="K2416" s="43">
        <f>IF($I2416=0,0,IF(INDEX(DarlOhneTilgung,6)=1,0,IF(AND(INDEX(DarlTilgStart,6)&gt;0,$E2416=INDEX(DarlTilgStart,6)),$J2416*($H2416+INDEX(DarlTilgung,6))/100/12,IF(AND($G2416=0,$G2415=1),MAX($K2415,$J2416*($H2416+1)/100/12),$K2415))))</f>
      </c>
      <c r="L2416" s="43">
        <f>IF($I2416=0,0,$J2416*$H2416/100/12)</f>
      </c>
      <c r="M2416" s="43">
        <f>IF($I2416=0,0,IF(OR(INDEX(DarlOhneTilgung,6)=1,AND(INDEX(DarlTilgStart,6)&gt;0,$E2416&lt;INDEX(DarlTilgStart,6))),0,MIN(MAX(0,$K2416-$L2416),$J2416)))</f>
      </c>
      <c r="N2416" s="43">
        <f>IF($I2416=0,0,MIN(SUMIFS(SondBetrag,SondDarl,6,SondDatum,"&gt;="&amp;$E2416,SondDatum,"&lt;="&amp;EOMONTH($E2416,0)),$J2416-$M2416))</f>
      </c>
      <c r="O2416" s="43">
        <f>IF($I2416=0,0,INDEX(DarlErsatzRate,6))</f>
      </c>
      <c r="P2416" s="43">
        <f>IF($I2416=0,0,$Q2415*INDEX(DarlErsatzZins,6))</f>
      </c>
      <c r="Q2416" s="43">
        <f>IF($I2416=0,0,$Q2415+$P2416+$O2416)</f>
      </c>
      <c r="R2416" s="43">
        <f>IF($I2416=0,0,$J2416-$M2416-$N2416)</f>
      </c>
    </row>
    <row r="2417">
      <c r="A2417"/>
      <c r="B2417">
        <v>6</v>
      </c>
      <c r="C2417" s="43">
        <f>INDEX(DarlObj,6)</f>
      </c>
      <c r="D2417">
        <v>14</v>
      </c>
      <c r="E2417" s="51">
        <f>IF(INDEX(DarlBelegt,6)=0,0,EOMONTH(INDEX(DarlAuszahlung,6),13)+1)</f>
      </c>
      <c r="F2417" s="43">
        <f>IF($E2417=0,0,YEAR($E2417))</f>
      </c>
      <c r="G2417" s="43">
        <f>IF(INDEX(DarlBindung,6)="",1,IF($E2417&lt;=INDEX(DarlBindung,6),1,0))</f>
      </c>
      <c r="H2417" s="43">
        <f>IF($G2417=1,INDEX(DarlSollzins,6),INDEX(DarlAnschluss,6))</f>
      </c>
      <c r="I2417" s="43">
        <f>IF(INDEX(DarlBelegt,6)=0,0,IF(INDEX(DarlOhneTilgung,6)=1,IF(INDEX(DarlBindung,6)="",1,$G2417),IF($J2417&gt;0.005,1,0)))</f>
      </c>
      <c r="J2417" s="43">
        <f>IF($I2416=0,0,$R2416)</f>
      </c>
      <c r="K2417" s="43">
        <f>IF($I2417=0,0,IF(INDEX(DarlOhneTilgung,6)=1,0,IF(AND(INDEX(DarlTilgStart,6)&gt;0,$E2417=INDEX(DarlTilgStart,6)),$J2417*($H2417+INDEX(DarlTilgung,6))/100/12,IF(AND($G2417=0,$G2416=1),MAX($K2416,$J2417*($H2417+1)/100/12),$K2416))))</f>
      </c>
      <c r="L2417" s="43">
        <f>IF($I2417=0,0,$J2417*$H2417/100/12)</f>
      </c>
      <c r="M2417" s="43">
        <f>IF($I2417=0,0,IF(OR(INDEX(DarlOhneTilgung,6)=1,AND(INDEX(DarlTilgStart,6)&gt;0,$E2417&lt;INDEX(DarlTilgStart,6))),0,MIN(MAX(0,$K2417-$L2417),$J2417)))</f>
      </c>
      <c r="N2417" s="43">
        <f>IF($I2417=0,0,MIN(SUMIFS(SondBetrag,SondDarl,6,SondDatum,"&gt;="&amp;$E2417,SondDatum,"&lt;="&amp;EOMONTH($E2417,0)),$J2417-$M2417))</f>
      </c>
      <c r="O2417" s="43">
        <f>IF($I2417=0,0,INDEX(DarlErsatzRate,6))</f>
      </c>
      <c r="P2417" s="43">
        <f>IF($I2417=0,0,$Q2416*INDEX(DarlErsatzZins,6))</f>
      </c>
      <c r="Q2417" s="43">
        <f>IF($I2417=0,0,$Q2416+$P2417+$O2417)</f>
      </c>
      <c r="R2417" s="43">
        <f>IF($I2417=0,0,$J2417-$M2417-$N2417)</f>
      </c>
    </row>
    <row r="2418">
      <c r="A2418"/>
      <c r="B2418">
        <v>6</v>
      </c>
      <c r="C2418" s="43">
        <f>INDEX(DarlObj,6)</f>
      </c>
      <c r="D2418">
        <v>15</v>
      </c>
      <c r="E2418" s="51">
        <f>IF(INDEX(DarlBelegt,6)=0,0,EOMONTH(INDEX(DarlAuszahlung,6),14)+1)</f>
      </c>
      <c r="F2418" s="43">
        <f>IF($E2418=0,0,YEAR($E2418))</f>
      </c>
      <c r="G2418" s="43">
        <f>IF(INDEX(DarlBindung,6)="",1,IF($E2418&lt;=INDEX(DarlBindung,6),1,0))</f>
      </c>
      <c r="H2418" s="43">
        <f>IF($G2418=1,INDEX(DarlSollzins,6),INDEX(DarlAnschluss,6))</f>
      </c>
      <c r="I2418" s="43">
        <f>IF(INDEX(DarlBelegt,6)=0,0,IF(INDEX(DarlOhneTilgung,6)=1,IF(INDEX(DarlBindung,6)="",1,$G2418),IF($J2418&gt;0.005,1,0)))</f>
      </c>
      <c r="J2418" s="43">
        <f>IF($I2417=0,0,$R2417)</f>
      </c>
      <c r="K2418" s="43">
        <f>IF($I2418=0,0,IF(INDEX(DarlOhneTilgung,6)=1,0,IF(AND(INDEX(DarlTilgStart,6)&gt;0,$E2418=INDEX(DarlTilgStart,6)),$J2418*($H2418+INDEX(DarlTilgung,6))/100/12,IF(AND($G2418=0,$G2417=1),MAX($K2417,$J2418*($H2418+1)/100/12),$K2417))))</f>
      </c>
      <c r="L2418" s="43">
        <f>IF($I2418=0,0,$J2418*$H2418/100/12)</f>
      </c>
      <c r="M2418" s="43">
        <f>IF($I2418=0,0,IF(OR(INDEX(DarlOhneTilgung,6)=1,AND(INDEX(DarlTilgStart,6)&gt;0,$E2418&lt;INDEX(DarlTilgStart,6))),0,MIN(MAX(0,$K2418-$L2418),$J2418)))</f>
      </c>
      <c r="N2418" s="43">
        <f>IF($I2418=0,0,MIN(SUMIFS(SondBetrag,SondDarl,6,SondDatum,"&gt;="&amp;$E2418,SondDatum,"&lt;="&amp;EOMONTH($E2418,0)),$J2418-$M2418))</f>
      </c>
      <c r="O2418" s="43">
        <f>IF($I2418=0,0,INDEX(DarlErsatzRate,6))</f>
      </c>
      <c r="P2418" s="43">
        <f>IF($I2418=0,0,$Q2417*INDEX(DarlErsatzZins,6))</f>
      </c>
      <c r="Q2418" s="43">
        <f>IF($I2418=0,0,$Q2417+$P2418+$O2418)</f>
      </c>
      <c r="R2418" s="43">
        <f>IF($I2418=0,0,$J2418-$M2418-$N2418)</f>
      </c>
    </row>
    <row r="2419">
      <c r="A2419"/>
      <c r="B2419">
        <v>6</v>
      </c>
      <c r="C2419" s="43">
        <f>INDEX(DarlObj,6)</f>
      </c>
      <c r="D2419">
        <v>16</v>
      </c>
      <c r="E2419" s="51">
        <f>IF(INDEX(DarlBelegt,6)=0,0,EOMONTH(INDEX(DarlAuszahlung,6),15)+1)</f>
      </c>
      <c r="F2419" s="43">
        <f>IF($E2419=0,0,YEAR($E2419))</f>
      </c>
      <c r="G2419" s="43">
        <f>IF(INDEX(DarlBindung,6)="",1,IF($E2419&lt;=INDEX(DarlBindung,6),1,0))</f>
      </c>
      <c r="H2419" s="43">
        <f>IF($G2419=1,INDEX(DarlSollzins,6),INDEX(DarlAnschluss,6))</f>
      </c>
      <c r="I2419" s="43">
        <f>IF(INDEX(DarlBelegt,6)=0,0,IF(INDEX(DarlOhneTilgung,6)=1,IF(INDEX(DarlBindung,6)="",1,$G2419),IF($J2419&gt;0.005,1,0)))</f>
      </c>
      <c r="J2419" s="43">
        <f>IF($I2418=0,0,$R2418)</f>
      </c>
      <c r="K2419" s="43">
        <f>IF($I2419=0,0,IF(INDEX(DarlOhneTilgung,6)=1,0,IF(AND(INDEX(DarlTilgStart,6)&gt;0,$E2419=INDEX(DarlTilgStart,6)),$J2419*($H2419+INDEX(DarlTilgung,6))/100/12,IF(AND($G2419=0,$G2418=1),MAX($K2418,$J2419*($H2419+1)/100/12),$K2418))))</f>
      </c>
      <c r="L2419" s="43">
        <f>IF($I2419=0,0,$J2419*$H2419/100/12)</f>
      </c>
      <c r="M2419" s="43">
        <f>IF($I2419=0,0,IF(OR(INDEX(DarlOhneTilgung,6)=1,AND(INDEX(DarlTilgStart,6)&gt;0,$E2419&lt;INDEX(DarlTilgStart,6))),0,MIN(MAX(0,$K2419-$L2419),$J2419)))</f>
      </c>
      <c r="N2419" s="43">
        <f>IF($I2419=0,0,MIN(SUMIFS(SondBetrag,SondDarl,6,SondDatum,"&gt;="&amp;$E2419,SondDatum,"&lt;="&amp;EOMONTH($E2419,0)),$J2419-$M2419))</f>
      </c>
      <c r="O2419" s="43">
        <f>IF($I2419=0,0,INDEX(DarlErsatzRate,6))</f>
      </c>
      <c r="P2419" s="43">
        <f>IF($I2419=0,0,$Q2418*INDEX(DarlErsatzZins,6))</f>
      </c>
      <c r="Q2419" s="43">
        <f>IF($I2419=0,0,$Q2418+$P2419+$O2419)</f>
      </c>
      <c r="R2419" s="43">
        <f>IF($I2419=0,0,$J2419-$M2419-$N2419)</f>
      </c>
    </row>
    <row r="2420">
      <c r="A2420"/>
      <c r="B2420">
        <v>6</v>
      </c>
      <c r="C2420" s="43">
        <f>INDEX(DarlObj,6)</f>
      </c>
      <c r="D2420">
        <v>17</v>
      </c>
      <c r="E2420" s="51">
        <f>IF(INDEX(DarlBelegt,6)=0,0,EOMONTH(INDEX(DarlAuszahlung,6),16)+1)</f>
      </c>
      <c r="F2420" s="43">
        <f>IF($E2420=0,0,YEAR($E2420))</f>
      </c>
      <c r="G2420" s="43">
        <f>IF(INDEX(DarlBindung,6)="",1,IF($E2420&lt;=INDEX(DarlBindung,6),1,0))</f>
      </c>
      <c r="H2420" s="43">
        <f>IF($G2420=1,INDEX(DarlSollzins,6),INDEX(DarlAnschluss,6))</f>
      </c>
      <c r="I2420" s="43">
        <f>IF(INDEX(DarlBelegt,6)=0,0,IF(INDEX(DarlOhneTilgung,6)=1,IF(INDEX(DarlBindung,6)="",1,$G2420),IF($J2420&gt;0.005,1,0)))</f>
      </c>
      <c r="J2420" s="43">
        <f>IF($I2419=0,0,$R2419)</f>
      </c>
      <c r="K2420" s="43">
        <f>IF($I2420=0,0,IF(INDEX(DarlOhneTilgung,6)=1,0,IF(AND(INDEX(DarlTilgStart,6)&gt;0,$E2420=INDEX(DarlTilgStart,6)),$J2420*($H2420+INDEX(DarlTilgung,6))/100/12,IF(AND($G2420=0,$G2419=1),MAX($K2419,$J2420*($H2420+1)/100/12),$K2419))))</f>
      </c>
      <c r="L2420" s="43">
        <f>IF($I2420=0,0,$J2420*$H2420/100/12)</f>
      </c>
      <c r="M2420" s="43">
        <f>IF($I2420=0,0,IF(OR(INDEX(DarlOhneTilgung,6)=1,AND(INDEX(DarlTilgStart,6)&gt;0,$E2420&lt;INDEX(DarlTilgStart,6))),0,MIN(MAX(0,$K2420-$L2420),$J2420)))</f>
      </c>
      <c r="N2420" s="43">
        <f>IF($I2420=0,0,MIN(SUMIFS(SondBetrag,SondDarl,6,SondDatum,"&gt;="&amp;$E2420,SondDatum,"&lt;="&amp;EOMONTH($E2420,0)),$J2420-$M2420))</f>
      </c>
      <c r="O2420" s="43">
        <f>IF($I2420=0,0,INDEX(DarlErsatzRate,6))</f>
      </c>
      <c r="P2420" s="43">
        <f>IF($I2420=0,0,$Q2419*INDEX(DarlErsatzZins,6))</f>
      </c>
      <c r="Q2420" s="43">
        <f>IF($I2420=0,0,$Q2419+$P2420+$O2420)</f>
      </c>
      <c r="R2420" s="43">
        <f>IF($I2420=0,0,$J2420-$M2420-$N2420)</f>
      </c>
    </row>
    <row r="2421">
      <c r="A2421"/>
      <c r="B2421">
        <v>6</v>
      </c>
      <c r="C2421" s="43">
        <f>INDEX(DarlObj,6)</f>
      </c>
      <c r="D2421">
        <v>18</v>
      </c>
      <c r="E2421" s="51">
        <f>IF(INDEX(DarlBelegt,6)=0,0,EOMONTH(INDEX(DarlAuszahlung,6),17)+1)</f>
      </c>
      <c r="F2421" s="43">
        <f>IF($E2421=0,0,YEAR($E2421))</f>
      </c>
      <c r="G2421" s="43">
        <f>IF(INDEX(DarlBindung,6)="",1,IF($E2421&lt;=INDEX(DarlBindung,6),1,0))</f>
      </c>
      <c r="H2421" s="43">
        <f>IF($G2421=1,INDEX(DarlSollzins,6),INDEX(DarlAnschluss,6))</f>
      </c>
      <c r="I2421" s="43">
        <f>IF(INDEX(DarlBelegt,6)=0,0,IF(INDEX(DarlOhneTilgung,6)=1,IF(INDEX(DarlBindung,6)="",1,$G2421),IF($J2421&gt;0.005,1,0)))</f>
      </c>
      <c r="J2421" s="43">
        <f>IF($I2420=0,0,$R2420)</f>
      </c>
      <c r="K2421" s="43">
        <f>IF($I2421=0,0,IF(INDEX(DarlOhneTilgung,6)=1,0,IF(AND(INDEX(DarlTilgStart,6)&gt;0,$E2421=INDEX(DarlTilgStart,6)),$J2421*($H2421+INDEX(DarlTilgung,6))/100/12,IF(AND($G2421=0,$G2420=1),MAX($K2420,$J2421*($H2421+1)/100/12),$K2420))))</f>
      </c>
      <c r="L2421" s="43">
        <f>IF($I2421=0,0,$J2421*$H2421/100/12)</f>
      </c>
      <c r="M2421" s="43">
        <f>IF($I2421=0,0,IF(OR(INDEX(DarlOhneTilgung,6)=1,AND(INDEX(DarlTilgStart,6)&gt;0,$E2421&lt;INDEX(DarlTilgStart,6))),0,MIN(MAX(0,$K2421-$L2421),$J2421)))</f>
      </c>
      <c r="N2421" s="43">
        <f>IF($I2421=0,0,MIN(SUMIFS(SondBetrag,SondDarl,6,SondDatum,"&gt;="&amp;$E2421,SondDatum,"&lt;="&amp;EOMONTH($E2421,0)),$J2421-$M2421))</f>
      </c>
      <c r="O2421" s="43">
        <f>IF($I2421=0,0,INDEX(DarlErsatzRate,6))</f>
      </c>
      <c r="P2421" s="43">
        <f>IF($I2421=0,0,$Q2420*INDEX(DarlErsatzZins,6))</f>
      </c>
      <c r="Q2421" s="43">
        <f>IF($I2421=0,0,$Q2420+$P2421+$O2421)</f>
      </c>
      <c r="R2421" s="43">
        <f>IF($I2421=0,0,$J2421-$M2421-$N2421)</f>
      </c>
    </row>
    <row r="2422">
      <c r="A2422"/>
      <c r="B2422">
        <v>6</v>
      </c>
      <c r="C2422" s="43">
        <f>INDEX(DarlObj,6)</f>
      </c>
      <c r="D2422">
        <v>19</v>
      </c>
      <c r="E2422" s="51">
        <f>IF(INDEX(DarlBelegt,6)=0,0,EOMONTH(INDEX(DarlAuszahlung,6),18)+1)</f>
      </c>
      <c r="F2422" s="43">
        <f>IF($E2422=0,0,YEAR($E2422))</f>
      </c>
      <c r="G2422" s="43">
        <f>IF(INDEX(DarlBindung,6)="",1,IF($E2422&lt;=INDEX(DarlBindung,6),1,0))</f>
      </c>
      <c r="H2422" s="43">
        <f>IF($G2422=1,INDEX(DarlSollzins,6),INDEX(DarlAnschluss,6))</f>
      </c>
      <c r="I2422" s="43">
        <f>IF(INDEX(DarlBelegt,6)=0,0,IF(INDEX(DarlOhneTilgung,6)=1,IF(INDEX(DarlBindung,6)="",1,$G2422),IF($J2422&gt;0.005,1,0)))</f>
      </c>
      <c r="J2422" s="43">
        <f>IF($I2421=0,0,$R2421)</f>
      </c>
      <c r="K2422" s="43">
        <f>IF($I2422=0,0,IF(INDEX(DarlOhneTilgung,6)=1,0,IF(AND(INDEX(DarlTilgStart,6)&gt;0,$E2422=INDEX(DarlTilgStart,6)),$J2422*($H2422+INDEX(DarlTilgung,6))/100/12,IF(AND($G2422=0,$G2421=1),MAX($K2421,$J2422*($H2422+1)/100/12),$K2421))))</f>
      </c>
      <c r="L2422" s="43">
        <f>IF($I2422=0,0,$J2422*$H2422/100/12)</f>
      </c>
      <c r="M2422" s="43">
        <f>IF($I2422=0,0,IF(OR(INDEX(DarlOhneTilgung,6)=1,AND(INDEX(DarlTilgStart,6)&gt;0,$E2422&lt;INDEX(DarlTilgStart,6))),0,MIN(MAX(0,$K2422-$L2422),$J2422)))</f>
      </c>
      <c r="N2422" s="43">
        <f>IF($I2422=0,0,MIN(SUMIFS(SondBetrag,SondDarl,6,SondDatum,"&gt;="&amp;$E2422,SondDatum,"&lt;="&amp;EOMONTH($E2422,0)),$J2422-$M2422))</f>
      </c>
      <c r="O2422" s="43">
        <f>IF($I2422=0,0,INDEX(DarlErsatzRate,6))</f>
      </c>
      <c r="P2422" s="43">
        <f>IF($I2422=0,0,$Q2421*INDEX(DarlErsatzZins,6))</f>
      </c>
      <c r="Q2422" s="43">
        <f>IF($I2422=0,0,$Q2421+$P2422+$O2422)</f>
      </c>
      <c r="R2422" s="43">
        <f>IF($I2422=0,0,$J2422-$M2422-$N2422)</f>
      </c>
    </row>
    <row r="2423">
      <c r="A2423"/>
      <c r="B2423">
        <v>6</v>
      </c>
      <c r="C2423" s="43">
        <f>INDEX(DarlObj,6)</f>
      </c>
      <c r="D2423">
        <v>20</v>
      </c>
      <c r="E2423" s="51">
        <f>IF(INDEX(DarlBelegt,6)=0,0,EOMONTH(INDEX(DarlAuszahlung,6),19)+1)</f>
      </c>
      <c r="F2423" s="43">
        <f>IF($E2423=0,0,YEAR($E2423))</f>
      </c>
      <c r="G2423" s="43">
        <f>IF(INDEX(DarlBindung,6)="",1,IF($E2423&lt;=INDEX(DarlBindung,6),1,0))</f>
      </c>
      <c r="H2423" s="43">
        <f>IF($G2423=1,INDEX(DarlSollzins,6),INDEX(DarlAnschluss,6))</f>
      </c>
      <c r="I2423" s="43">
        <f>IF(INDEX(DarlBelegt,6)=0,0,IF(INDEX(DarlOhneTilgung,6)=1,IF(INDEX(DarlBindung,6)="",1,$G2423),IF($J2423&gt;0.005,1,0)))</f>
      </c>
      <c r="J2423" s="43">
        <f>IF($I2422=0,0,$R2422)</f>
      </c>
      <c r="K2423" s="43">
        <f>IF($I2423=0,0,IF(INDEX(DarlOhneTilgung,6)=1,0,IF(AND(INDEX(DarlTilgStart,6)&gt;0,$E2423=INDEX(DarlTilgStart,6)),$J2423*($H2423+INDEX(DarlTilgung,6))/100/12,IF(AND($G2423=0,$G2422=1),MAX($K2422,$J2423*($H2423+1)/100/12),$K2422))))</f>
      </c>
      <c r="L2423" s="43">
        <f>IF($I2423=0,0,$J2423*$H2423/100/12)</f>
      </c>
      <c r="M2423" s="43">
        <f>IF($I2423=0,0,IF(OR(INDEX(DarlOhneTilgung,6)=1,AND(INDEX(DarlTilgStart,6)&gt;0,$E2423&lt;INDEX(DarlTilgStart,6))),0,MIN(MAX(0,$K2423-$L2423),$J2423)))</f>
      </c>
      <c r="N2423" s="43">
        <f>IF($I2423=0,0,MIN(SUMIFS(SondBetrag,SondDarl,6,SondDatum,"&gt;="&amp;$E2423,SondDatum,"&lt;="&amp;EOMONTH($E2423,0)),$J2423-$M2423))</f>
      </c>
      <c r="O2423" s="43">
        <f>IF($I2423=0,0,INDEX(DarlErsatzRate,6))</f>
      </c>
      <c r="P2423" s="43">
        <f>IF($I2423=0,0,$Q2422*INDEX(DarlErsatzZins,6))</f>
      </c>
      <c r="Q2423" s="43">
        <f>IF($I2423=0,0,$Q2422+$P2423+$O2423)</f>
      </c>
      <c r="R2423" s="43">
        <f>IF($I2423=0,0,$J2423-$M2423-$N2423)</f>
      </c>
    </row>
    <row r="2424">
      <c r="A2424"/>
      <c r="B2424">
        <v>6</v>
      </c>
      <c r="C2424" s="43">
        <f>INDEX(DarlObj,6)</f>
      </c>
      <c r="D2424">
        <v>21</v>
      </c>
      <c r="E2424" s="51">
        <f>IF(INDEX(DarlBelegt,6)=0,0,EOMONTH(INDEX(DarlAuszahlung,6),20)+1)</f>
      </c>
      <c r="F2424" s="43">
        <f>IF($E2424=0,0,YEAR($E2424))</f>
      </c>
      <c r="G2424" s="43">
        <f>IF(INDEX(DarlBindung,6)="",1,IF($E2424&lt;=INDEX(DarlBindung,6),1,0))</f>
      </c>
      <c r="H2424" s="43">
        <f>IF($G2424=1,INDEX(DarlSollzins,6),INDEX(DarlAnschluss,6))</f>
      </c>
      <c r="I2424" s="43">
        <f>IF(INDEX(DarlBelegt,6)=0,0,IF(INDEX(DarlOhneTilgung,6)=1,IF(INDEX(DarlBindung,6)="",1,$G2424),IF($J2424&gt;0.005,1,0)))</f>
      </c>
      <c r="J2424" s="43">
        <f>IF($I2423=0,0,$R2423)</f>
      </c>
      <c r="K2424" s="43">
        <f>IF($I2424=0,0,IF(INDEX(DarlOhneTilgung,6)=1,0,IF(AND(INDEX(DarlTilgStart,6)&gt;0,$E2424=INDEX(DarlTilgStart,6)),$J2424*($H2424+INDEX(DarlTilgung,6))/100/12,IF(AND($G2424=0,$G2423=1),MAX($K2423,$J2424*($H2424+1)/100/12),$K2423))))</f>
      </c>
      <c r="L2424" s="43">
        <f>IF($I2424=0,0,$J2424*$H2424/100/12)</f>
      </c>
      <c r="M2424" s="43">
        <f>IF($I2424=0,0,IF(OR(INDEX(DarlOhneTilgung,6)=1,AND(INDEX(DarlTilgStart,6)&gt;0,$E2424&lt;INDEX(DarlTilgStart,6))),0,MIN(MAX(0,$K2424-$L2424),$J2424)))</f>
      </c>
      <c r="N2424" s="43">
        <f>IF($I2424=0,0,MIN(SUMIFS(SondBetrag,SondDarl,6,SondDatum,"&gt;="&amp;$E2424,SondDatum,"&lt;="&amp;EOMONTH($E2424,0)),$J2424-$M2424))</f>
      </c>
      <c r="O2424" s="43">
        <f>IF($I2424=0,0,INDEX(DarlErsatzRate,6))</f>
      </c>
      <c r="P2424" s="43">
        <f>IF($I2424=0,0,$Q2423*INDEX(DarlErsatzZins,6))</f>
      </c>
      <c r="Q2424" s="43">
        <f>IF($I2424=0,0,$Q2423+$P2424+$O2424)</f>
      </c>
      <c r="R2424" s="43">
        <f>IF($I2424=0,0,$J2424-$M2424-$N2424)</f>
      </c>
    </row>
    <row r="2425">
      <c r="A2425"/>
      <c r="B2425">
        <v>6</v>
      </c>
      <c r="C2425" s="43">
        <f>INDEX(DarlObj,6)</f>
      </c>
      <c r="D2425">
        <v>22</v>
      </c>
      <c r="E2425" s="51">
        <f>IF(INDEX(DarlBelegt,6)=0,0,EOMONTH(INDEX(DarlAuszahlung,6),21)+1)</f>
      </c>
      <c r="F2425" s="43">
        <f>IF($E2425=0,0,YEAR($E2425))</f>
      </c>
      <c r="G2425" s="43">
        <f>IF(INDEX(DarlBindung,6)="",1,IF($E2425&lt;=INDEX(DarlBindung,6),1,0))</f>
      </c>
      <c r="H2425" s="43">
        <f>IF($G2425=1,INDEX(DarlSollzins,6),INDEX(DarlAnschluss,6))</f>
      </c>
      <c r="I2425" s="43">
        <f>IF(INDEX(DarlBelegt,6)=0,0,IF(INDEX(DarlOhneTilgung,6)=1,IF(INDEX(DarlBindung,6)="",1,$G2425),IF($J2425&gt;0.005,1,0)))</f>
      </c>
      <c r="J2425" s="43">
        <f>IF($I2424=0,0,$R2424)</f>
      </c>
      <c r="K2425" s="43">
        <f>IF($I2425=0,0,IF(INDEX(DarlOhneTilgung,6)=1,0,IF(AND(INDEX(DarlTilgStart,6)&gt;0,$E2425=INDEX(DarlTilgStart,6)),$J2425*($H2425+INDEX(DarlTilgung,6))/100/12,IF(AND($G2425=0,$G2424=1),MAX($K2424,$J2425*($H2425+1)/100/12),$K2424))))</f>
      </c>
      <c r="L2425" s="43">
        <f>IF($I2425=0,0,$J2425*$H2425/100/12)</f>
      </c>
      <c r="M2425" s="43">
        <f>IF($I2425=0,0,IF(OR(INDEX(DarlOhneTilgung,6)=1,AND(INDEX(DarlTilgStart,6)&gt;0,$E2425&lt;INDEX(DarlTilgStart,6))),0,MIN(MAX(0,$K2425-$L2425),$J2425)))</f>
      </c>
      <c r="N2425" s="43">
        <f>IF($I2425=0,0,MIN(SUMIFS(SondBetrag,SondDarl,6,SondDatum,"&gt;="&amp;$E2425,SondDatum,"&lt;="&amp;EOMONTH($E2425,0)),$J2425-$M2425))</f>
      </c>
      <c r="O2425" s="43">
        <f>IF($I2425=0,0,INDEX(DarlErsatzRate,6))</f>
      </c>
      <c r="P2425" s="43">
        <f>IF($I2425=0,0,$Q2424*INDEX(DarlErsatzZins,6))</f>
      </c>
      <c r="Q2425" s="43">
        <f>IF($I2425=0,0,$Q2424+$P2425+$O2425)</f>
      </c>
      <c r="R2425" s="43">
        <f>IF($I2425=0,0,$J2425-$M2425-$N2425)</f>
      </c>
    </row>
    <row r="2426">
      <c r="A2426"/>
      <c r="B2426">
        <v>6</v>
      </c>
      <c r="C2426" s="43">
        <f>INDEX(DarlObj,6)</f>
      </c>
      <c r="D2426">
        <v>23</v>
      </c>
      <c r="E2426" s="51">
        <f>IF(INDEX(DarlBelegt,6)=0,0,EOMONTH(INDEX(DarlAuszahlung,6),22)+1)</f>
      </c>
      <c r="F2426" s="43">
        <f>IF($E2426=0,0,YEAR($E2426))</f>
      </c>
      <c r="G2426" s="43">
        <f>IF(INDEX(DarlBindung,6)="",1,IF($E2426&lt;=INDEX(DarlBindung,6),1,0))</f>
      </c>
      <c r="H2426" s="43">
        <f>IF($G2426=1,INDEX(DarlSollzins,6),INDEX(DarlAnschluss,6))</f>
      </c>
      <c r="I2426" s="43">
        <f>IF(INDEX(DarlBelegt,6)=0,0,IF(INDEX(DarlOhneTilgung,6)=1,IF(INDEX(DarlBindung,6)="",1,$G2426),IF($J2426&gt;0.005,1,0)))</f>
      </c>
      <c r="J2426" s="43">
        <f>IF($I2425=0,0,$R2425)</f>
      </c>
      <c r="K2426" s="43">
        <f>IF($I2426=0,0,IF(INDEX(DarlOhneTilgung,6)=1,0,IF(AND(INDEX(DarlTilgStart,6)&gt;0,$E2426=INDEX(DarlTilgStart,6)),$J2426*($H2426+INDEX(DarlTilgung,6))/100/12,IF(AND($G2426=0,$G2425=1),MAX($K2425,$J2426*($H2426+1)/100/12),$K2425))))</f>
      </c>
      <c r="L2426" s="43">
        <f>IF($I2426=0,0,$J2426*$H2426/100/12)</f>
      </c>
      <c r="M2426" s="43">
        <f>IF($I2426=0,0,IF(OR(INDEX(DarlOhneTilgung,6)=1,AND(INDEX(DarlTilgStart,6)&gt;0,$E2426&lt;INDEX(DarlTilgStart,6))),0,MIN(MAX(0,$K2426-$L2426),$J2426)))</f>
      </c>
      <c r="N2426" s="43">
        <f>IF($I2426=0,0,MIN(SUMIFS(SondBetrag,SondDarl,6,SondDatum,"&gt;="&amp;$E2426,SondDatum,"&lt;="&amp;EOMONTH($E2426,0)),$J2426-$M2426))</f>
      </c>
      <c r="O2426" s="43">
        <f>IF($I2426=0,0,INDEX(DarlErsatzRate,6))</f>
      </c>
      <c r="P2426" s="43">
        <f>IF($I2426=0,0,$Q2425*INDEX(DarlErsatzZins,6))</f>
      </c>
      <c r="Q2426" s="43">
        <f>IF($I2426=0,0,$Q2425+$P2426+$O2426)</f>
      </c>
      <c r="R2426" s="43">
        <f>IF($I2426=0,0,$J2426-$M2426-$N2426)</f>
      </c>
    </row>
    <row r="2427">
      <c r="A2427"/>
      <c r="B2427">
        <v>6</v>
      </c>
      <c r="C2427" s="43">
        <f>INDEX(DarlObj,6)</f>
      </c>
      <c r="D2427">
        <v>24</v>
      </c>
      <c r="E2427" s="51">
        <f>IF(INDEX(DarlBelegt,6)=0,0,EOMONTH(INDEX(DarlAuszahlung,6),23)+1)</f>
      </c>
      <c r="F2427" s="43">
        <f>IF($E2427=0,0,YEAR($E2427))</f>
      </c>
      <c r="G2427" s="43">
        <f>IF(INDEX(DarlBindung,6)="",1,IF($E2427&lt;=INDEX(DarlBindung,6),1,0))</f>
      </c>
      <c r="H2427" s="43">
        <f>IF($G2427=1,INDEX(DarlSollzins,6),INDEX(DarlAnschluss,6))</f>
      </c>
      <c r="I2427" s="43">
        <f>IF(INDEX(DarlBelegt,6)=0,0,IF(INDEX(DarlOhneTilgung,6)=1,IF(INDEX(DarlBindung,6)="",1,$G2427),IF($J2427&gt;0.005,1,0)))</f>
      </c>
      <c r="J2427" s="43">
        <f>IF($I2426=0,0,$R2426)</f>
      </c>
      <c r="K2427" s="43">
        <f>IF($I2427=0,0,IF(INDEX(DarlOhneTilgung,6)=1,0,IF(AND(INDEX(DarlTilgStart,6)&gt;0,$E2427=INDEX(DarlTilgStart,6)),$J2427*($H2427+INDEX(DarlTilgung,6))/100/12,IF(AND($G2427=0,$G2426=1),MAX($K2426,$J2427*($H2427+1)/100/12),$K2426))))</f>
      </c>
      <c r="L2427" s="43">
        <f>IF($I2427=0,0,$J2427*$H2427/100/12)</f>
      </c>
      <c r="M2427" s="43">
        <f>IF($I2427=0,0,IF(OR(INDEX(DarlOhneTilgung,6)=1,AND(INDEX(DarlTilgStart,6)&gt;0,$E2427&lt;INDEX(DarlTilgStart,6))),0,MIN(MAX(0,$K2427-$L2427),$J2427)))</f>
      </c>
      <c r="N2427" s="43">
        <f>IF($I2427=0,0,MIN(SUMIFS(SondBetrag,SondDarl,6,SondDatum,"&gt;="&amp;$E2427,SondDatum,"&lt;="&amp;EOMONTH($E2427,0)),$J2427-$M2427))</f>
      </c>
      <c r="O2427" s="43">
        <f>IF($I2427=0,0,INDEX(DarlErsatzRate,6))</f>
      </c>
      <c r="P2427" s="43">
        <f>IF($I2427=0,0,$Q2426*INDEX(DarlErsatzZins,6))</f>
      </c>
      <c r="Q2427" s="43">
        <f>IF($I2427=0,0,$Q2426+$P2427+$O2427)</f>
      </c>
      <c r="R2427" s="43">
        <f>IF($I2427=0,0,$J2427-$M2427-$N2427)</f>
      </c>
    </row>
    <row r="2428">
      <c r="A2428"/>
      <c r="B2428">
        <v>6</v>
      </c>
      <c r="C2428" s="43">
        <f>INDEX(DarlObj,6)</f>
      </c>
      <c r="D2428">
        <v>25</v>
      </c>
      <c r="E2428" s="51">
        <f>IF(INDEX(DarlBelegt,6)=0,0,EOMONTH(INDEX(DarlAuszahlung,6),24)+1)</f>
      </c>
      <c r="F2428" s="43">
        <f>IF($E2428=0,0,YEAR($E2428))</f>
      </c>
      <c r="G2428" s="43">
        <f>IF(INDEX(DarlBindung,6)="",1,IF($E2428&lt;=INDEX(DarlBindung,6),1,0))</f>
      </c>
      <c r="H2428" s="43">
        <f>IF($G2428=1,INDEX(DarlSollzins,6),INDEX(DarlAnschluss,6))</f>
      </c>
      <c r="I2428" s="43">
        <f>IF(INDEX(DarlBelegt,6)=0,0,IF(INDEX(DarlOhneTilgung,6)=1,IF(INDEX(DarlBindung,6)="",1,$G2428),IF($J2428&gt;0.005,1,0)))</f>
      </c>
      <c r="J2428" s="43">
        <f>IF($I2427=0,0,$R2427)</f>
      </c>
      <c r="K2428" s="43">
        <f>IF($I2428=0,0,IF(INDEX(DarlOhneTilgung,6)=1,0,IF(AND(INDEX(DarlTilgStart,6)&gt;0,$E2428=INDEX(DarlTilgStart,6)),$J2428*($H2428+INDEX(DarlTilgung,6))/100/12,IF(AND($G2428=0,$G2427=1),MAX($K2427,$J2428*($H2428+1)/100/12),$K2427))))</f>
      </c>
      <c r="L2428" s="43">
        <f>IF($I2428=0,0,$J2428*$H2428/100/12)</f>
      </c>
      <c r="M2428" s="43">
        <f>IF($I2428=0,0,IF(OR(INDEX(DarlOhneTilgung,6)=1,AND(INDEX(DarlTilgStart,6)&gt;0,$E2428&lt;INDEX(DarlTilgStart,6))),0,MIN(MAX(0,$K2428-$L2428),$J2428)))</f>
      </c>
      <c r="N2428" s="43">
        <f>IF($I2428=0,0,MIN(SUMIFS(SondBetrag,SondDarl,6,SondDatum,"&gt;="&amp;$E2428,SondDatum,"&lt;="&amp;EOMONTH($E2428,0)),$J2428-$M2428))</f>
      </c>
      <c r="O2428" s="43">
        <f>IF($I2428=0,0,INDEX(DarlErsatzRate,6))</f>
      </c>
      <c r="P2428" s="43">
        <f>IF($I2428=0,0,$Q2427*INDEX(DarlErsatzZins,6))</f>
      </c>
      <c r="Q2428" s="43">
        <f>IF($I2428=0,0,$Q2427+$P2428+$O2428)</f>
      </c>
      <c r="R2428" s="43">
        <f>IF($I2428=0,0,$J2428-$M2428-$N2428)</f>
      </c>
    </row>
    <row r="2429">
      <c r="A2429"/>
      <c r="B2429">
        <v>6</v>
      </c>
      <c r="C2429" s="43">
        <f>INDEX(DarlObj,6)</f>
      </c>
      <c r="D2429">
        <v>26</v>
      </c>
      <c r="E2429" s="51">
        <f>IF(INDEX(DarlBelegt,6)=0,0,EOMONTH(INDEX(DarlAuszahlung,6),25)+1)</f>
      </c>
      <c r="F2429" s="43">
        <f>IF($E2429=0,0,YEAR($E2429))</f>
      </c>
      <c r="G2429" s="43">
        <f>IF(INDEX(DarlBindung,6)="",1,IF($E2429&lt;=INDEX(DarlBindung,6),1,0))</f>
      </c>
      <c r="H2429" s="43">
        <f>IF($G2429=1,INDEX(DarlSollzins,6),INDEX(DarlAnschluss,6))</f>
      </c>
      <c r="I2429" s="43">
        <f>IF(INDEX(DarlBelegt,6)=0,0,IF(INDEX(DarlOhneTilgung,6)=1,IF(INDEX(DarlBindung,6)="",1,$G2429),IF($J2429&gt;0.005,1,0)))</f>
      </c>
      <c r="J2429" s="43">
        <f>IF($I2428=0,0,$R2428)</f>
      </c>
      <c r="K2429" s="43">
        <f>IF($I2429=0,0,IF(INDEX(DarlOhneTilgung,6)=1,0,IF(AND(INDEX(DarlTilgStart,6)&gt;0,$E2429=INDEX(DarlTilgStart,6)),$J2429*($H2429+INDEX(DarlTilgung,6))/100/12,IF(AND($G2429=0,$G2428=1),MAX($K2428,$J2429*($H2429+1)/100/12),$K2428))))</f>
      </c>
      <c r="L2429" s="43">
        <f>IF($I2429=0,0,$J2429*$H2429/100/12)</f>
      </c>
      <c r="M2429" s="43">
        <f>IF($I2429=0,0,IF(OR(INDEX(DarlOhneTilgung,6)=1,AND(INDEX(DarlTilgStart,6)&gt;0,$E2429&lt;INDEX(DarlTilgStart,6))),0,MIN(MAX(0,$K2429-$L2429),$J2429)))</f>
      </c>
      <c r="N2429" s="43">
        <f>IF($I2429=0,0,MIN(SUMIFS(SondBetrag,SondDarl,6,SondDatum,"&gt;="&amp;$E2429,SondDatum,"&lt;="&amp;EOMONTH($E2429,0)),$J2429-$M2429))</f>
      </c>
      <c r="O2429" s="43">
        <f>IF($I2429=0,0,INDEX(DarlErsatzRate,6))</f>
      </c>
      <c r="P2429" s="43">
        <f>IF($I2429=0,0,$Q2428*INDEX(DarlErsatzZins,6))</f>
      </c>
      <c r="Q2429" s="43">
        <f>IF($I2429=0,0,$Q2428+$P2429+$O2429)</f>
      </c>
      <c r="R2429" s="43">
        <f>IF($I2429=0,0,$J2429-$M2429-$N2429)</f>
      </c>
    </row>
    <row r="2430">
      <c r="A2430"/>
      <c r="B2430">
        <v>6</v>
      </c>
      <c r="C2430" s="43">
        <f>INDEX(DarlObj,6)</f>
      </c>
      <c r="D2430">
        <v>27</v>
      </c>
      <c r="E2430" s="51">
        <f>IF(INDEX(DarlBelegt,6)=0,0,EOMONTH(INDEX(DarlAuszahlung,6),26)+1)</f>
      </c>
      <c r="F2430" s="43">
        <f>IF($E2430=0,0,YEAR($E2430))</f>
      </c>
      <c r="G2430" s="43">
        <f>IF(INDEX(DarlBindung,6)="",1,IF($E2430&lt;=INDEX(DarlBindung,6),1,0))</f>
      </c>
      <c r="H2430" s="43">
        <f>IF($G2430=1,INDEX(DarlSollzins,6),INDEX(DarlAnschluss,6))</f>
      </c>
      <c r="I2430" s="43">
        <f>IF(INDEX(DarlBelegt,6)=0,0,IF(INDEX(DarlOhneTilgung,6)=1,IF(INDEX(DarlBindung,6)="",1,$G2430),IF($J2430&gt;0.005,1,0)))</f>
      </c>
      <c r="J2430" s="43">
        <f>IF($I2429=0,0,$R2429)</f>
      </c>
      <c r="K2430" s="43">
        <f>IF($I2430=0,0,IF(INDEX(DarlOhneTilgung,6)=1,0,IF(AND(INDEX(DarlTilgStart,6)&gt;0,$E2430=INDEX(DarlTilgStart,6)),$J2430*($H2430+INDEX(DarlTilgung,6))/100/12,IF(AND($G2430=0,$G2429=1),MAX($K2429,$J2430*($H2430+1)/100/12),$K2429))))</f>
      </c>
      <c r="L2430" s="43">
        <f>IF($I2430=0,0,$J2430*$H2430/100/12)</f>
      </c>
      <c r="M2430" s="43">
        <f>IF($I2430=0,0,IF(OR(INDEX(DarlOhneTilgung,6)=1,AND(INDEX(DarlTilgStart,6)&gt;0,$E2430&lt;INDEX(DarlTilgStart,6))),0,MIN(MAX(0,$K2430-$L2430),$J2430)))</f>
      </c>
      <c r="N2430" s="43">
        <f>IF($I2430=0,0,MIN(SUMIFS(SondBetrag,SondDarl,6,SondDatum,"&gt;="&amp;$E2430,SondDatum,"&lt;="&amp;EOMONTH($E2430,0)),$J2430-$M2430))</f>
      </c>
      <c r="O2430" s="43">
        <f>IF($I2430=0,0,INDEX(DarlErsatzRate,6))</f>
      </c>
      <c r="P2430" s="43">
        <f>IF($I2430=0,0,$Q2429*INDEX(DarlErsatzZins,6))</f>
      </c>
      <c r="Q2430" s="43">
        <f>IF($I2430=0,0,$Q2429+$P2430+$O2430)</f>
      </c>
      <c r="R2430" s="43">
        <f>IF($I2430=0,0,$J2430-$M2430-$N2430)</f>
      </c>
    </row>
    <row r="2431">
      <c r="A2431"/>
      <c r="B2431">
        <v>6</v>
      </c>
      <c r="C2431" s="43">
        <f>INDEX(DarlObj,6)</f>
      </c>
      <c r="D2431">
        <v>28</v>
      </c>
      <c r="E2431" s="51">
        <f>IF(INDEX(DarlBelegt,6)=0,0,EOMONTH(INDEX(DarlAuszahlung,6),27)+1)</f>
      </c>
      <c r="F2431" s="43">
        <f>IF($E2431=0,0,YEAR($E2431))</f>
      </c>
      <c r="G2431" s="43">
        <f>IF(INDEX(DarlBindung,6)="",1,IF($E2431&lt;=INDEX(DarlBindung,6),1,0))</f>
      </c>
      <c r="H2431" s="43">
        <f>IF($G2431=1,INDEX(DarlSollzins,6),INDEX(DarlAnschluss,6))</f>
      </c>
      <c r="I2431" s="43">
        <f>IF(INDEX(DarlBelegt,6)=0,0,IF(INDEX(DarlOhneTilgung,6)=1,IF(INDEX(DarlBindung,6)="",1,$G2431),IF($J2431&gt;0.005,1,0)))</f>
      </c>
      <c r="J2431" s="43">
        <f>IF($I2430=0,0,$R2430)</f>
      </c>
      <c r="K2431" s="43">
        <f>IF($I2431=0,0,IF(INDEX(DarlOhneTilgung,6)=1,0,IF(AND(INDEX(DarlTilgStart,6)&gt;0,$E2431=INDEX(DarlTilgStart,6)),$J2431*($H2431+INDEX(DarlTilgung,6))/100/12,IF(AND($G2431=0,$G2430=1),MAX($K2430,$J2431*($H2431+1)/100/12),$K2430))))</f>
      </c>
      <c r="L2431" s="43">
        <f>IF($I2431=0,0,$J2431*$H2431/100/12)</f>
      </c>
      <c r="M2431" s="43">
        <f>IF($I2431=0,0,IF(OR(INDEX(DarlOhneTilgung,6)=1,AND(INDEX(DarlTilgStart,6)&gt;0,$E2431&lt;INDEX(DarlTilgStart,6))),0,MIN(MAX(0,$K2431-$L2431),$J2431)))</f>
      </c>
      <c r="N2431" s="43">
        <f>IF($I2431=0,0,MIN(SUMIFS(SondBetrag,SondDarl,6,SondDatum,"&gt;="&amp;$E2431,SondDatum,"&lt;="&amp;EOMONTH($E2431,0)),$J2431-$M2431))</f>
      </c>
      <c r="O2431" s="43">
        <f>IF($I2431=0,0,INDEX(DarlErsatzRate,6))</f>
      </c>
      <c r="P2431" s="43">
        <f>IF($I2431=0,0,$Q2430*INDEX(DarlErsatzZins,6))</f>
      </c>
      <c r="Q2431" s="43">
        <f>IF($I2431=0,0,$Q2430+$P2431+$O2431)</f>
      </c>
      <c r="R2431" s="43">
        <f>IF($I2431=0,0,$J2431-$M2431-$N2431)</f>
      </c>
    </row>
    <row r="2432">
      <c r="A2432"/>
      <c r="B2432">
        <v>6</v>
      </c>
      <c r="C2432" s="43">
        <f>INDEX(DarlObj,6)</f>
      </c>
      <c r="D2432">
        <v>29</v>
      </c>
      <c r="E2432" s="51">
        <f>IF(INDEX(DarlBelegt,6)=0,0,EOMONTH(INDEX(DarlAuszahlung,6),28)+1)</f>
      </c>
      <c r="F2432" s="43">
        <f>IF($E2432=0,0,YEAR($E2432))</f>
      </c>
      <c r="G2432" s="43">
        <f>IF(INDEX(DarlBindung,6)="",1,IF($E2432&lt;=INDEX(DarlBindung,6),1,0))</f>
      </c>
      <c r="H2432" s="43">
        <f>IF($G2432=1,INDEX(DarlSollzins,6),INDEX(DarlAnschluss,6))</f>
      </c>
      <c r="I2432" s="43">
        <f>IF(INDEX(DarlBelegt,6)=0,0,IF(INDEX(DarlOhneTilgung,6)=1,IF(INDEX(DarlBindung,6)="",1,$G2432),IF($J2432&gt;0.005,1,0)))</f>
      </c>
      <c r="J2432" s="43">
        <f>IF($I2431=0,0,$R2431)</f>
      </c>
      <c r="K2432" s="43">
        <f>IF($I2432=0,0,IF(INDEX(DarlOhneTilgung,6)=1,0,IF(AND(INDEX(DarlTilgStart,6)&gt;0,$E2432=INDEX(DarlTilgStart,6)),$J2432*($H2432+INDEX(DarlTilgung,6))/100/12,IF(AND($G2432=0,$G2431=1),MAX($K2431,$J2432*($H2432+1)/100/12),$K2431))))</f>
      </c>
      <c r="L2432" s="43">
        <f>IF($I2432=0,0,$J2432*$H2432/100/12)</f>
      </c>
      <c r="M2432" s="43">
        <f>IF($I2432=0,0,IF(OR(INDEX(DarlOhneTilgung,6)=1,AND(INDEX(DarlTilgStart,6)&gt;0,$E2432&lt;INDEX(DarlTilgStart,6))),0,MIN(MAX(0,$K2432-$L2432),$J2432)))</f>
      </c>
      <c r="N2432" s="43">
        <f>IF($I2432=0,0,MIN(SUMIFS(SondBetrag,SondDarl,6,SondDatum,"&gt;="&amp;$E2432,SondDatum,"&lt;="&amp;EOMONTH($E2432,0)),$J2432-$M2432))</f>
      </c>
      <c r="O2432" s="43">
        <f>IF($I2432=0,0,INDEX(DarlErsatzRate,6))</f>
      </c>
      <c r="P2432" s="43">
        <f>IF($I2432=0,0,$Q2431*INDEX(DarlErsatzZins,6))</f>
      </c>
      <c r="Q2432" s="43">
        <f>IF($I2432=0,0,$Q2431+$P2432+$O2432)</f>
      </c>
      <c r="R2432" s="43">
        <f>IF($I2432=0,0,$J2432-$M2432-$N2432)</f>
      </c>
    </row>
    <row r="2433">
      <c r="A2433"/>
      <c r="B2433">
        <v>6</v>
      </c>
      <c r="C2433" s="43">
        <f>INDEX(DarlObj,6)</f>
      </c>
      <c r="D2433">
        <v>30</v>
      </c>
      <c r="E2433" s="51">
        <f>IF(INDEX(DarlBelegt,6)=0,0,EOMONTH(INDEX(DarlAuszahlung,6),29)+1)</f>
      </c>
      <c r="F2433" s="43">
        <f>IF($E2433=0,0,YEAR($E2433))</f>
      </c>
      <c r="G2433" s="43">
        <f>IF(INDEX(DarlBindung,6)="",1,IF($E2433&lt;=INDEX(DarlBindung,6),1,0))</f>
      </c>
      <c r="H2433" s="43">
        <f>IF($G2433=1,INDEX(DarlSollzins,6),INDEX(DarlAnschluss,6))</f>
      </c>
      <c r="I2433" s="43">
        <f>IF(INDEX(DarlBelegt,6)=0,0,IF(INDEX(DarlOhneTilgung,6)=1,IF(INDEX(DarlBindung,6)="",1,$G2433),IF($J2433&gt;0.005,1,0)))</f>
      </c>
      <c r="J2433" s="43">
        <f>IF($I2432=0,0,$R2432)</f>
      </c>
      <c r="K2433" s="43">
        <f>IF($I2433=0,0,IF(INDEX(DarlOhneTilgung,6)=1,0,IF(AND(INDEX(DarlTilgStart,6)&gt;0,$E2433=INDEX(DarlTilgStart,6)),$J2433*($H2433+INDEX(DarlTilgung,6))/100/12,IF(AND($G2433=0,$G2432=1),MAX($K2432,$J2433*($H2433+1)/100/12),$K2432))))</f>
      </c>
      <c r="L2433" s="43">
        <f>IF($I2433=0,0,$J2433*$H2433/100/12)</f>
      </c>
      <c r="M2433" s="43">
        <f>IF($I2433=0,0,IF(OR(INDEX(DarlOhneTilgung,6)=1,AND(INDEX(DarlTilgStart,6)&gt;0,$E2433&lt;INDEX(DarlTilgStart,6))),0,MIN(MAX(0,$K2433-$L2433),$J2433)))</f>
      </c>
      <c r="N2433" s="43">
        <f>IF($I2433=0,0,MIN(SUMIFS(SondBetrag,SondDarl,6,SondDatum,"&gt;="&amp;$E2433,SondDatum,"&lt;="&amp;EOMONTH($E2433,0)),$J2433-$M2433))</f>
      </c>
      <c r="O2433" s="43">
        <f>IF($I2433=0,0,INDEX(DarlErsatzRate,6))</f>
      </c>
      <c r="P2433" s="43">
        <f>IF($I2433=0,0,$Q2432*INDEX(DarlErsatzZins,6))</f>
      </c>
      <c r="Q2433" s="43">
        <f>IF($I2433=0,0,$Q2432+$P2433+$O2433)</f>
      </c>
      <c r="R2433" s="43">
        <f>IF($I2433=0,0,$J2433-$M2433-$N2433)</f>
      </c>
    </row>
    <row r="2434">
      <c r="A2434"/>
      <c r="B2434">
        <v>6</v>
      </c>
      <c r="C2434" s="43">
        <f>INDEX(DarlObj,6)</f>
      </c>
      <c r="D2434">
        <v>31</v>
      </c>
      <c r="E2434" s="51">
        <f>IF(INDEX(DarlBelegt,6)=0,0,EOMONTH(INDEX(DarlAuszahlung,6),30)+1)</f>
      </c>
      <c r="F2434" s="43">
        <f>IF($E2434=0,0,YEAR($E2434))</f>
      </c>
      <c r="G2434" s="43">
        <f>IF(INDEX(DarlBindung,6)="",1,IF($E2434&lt;=INDEX(DarlBindung,6),1,0))</f>
      </c>
      <c r="H2434" s="43">
        <f>IF($G2434=1,INDEX(DarlSollzins,6),INDEX(DarlAnschluss,6))</f>
      </c>
      <c r="I2434" s="43">
        <f>IF(INDEX(DarlBelegt,6)=0,0,IF(INDEX(DarlOhneTilgung,6)=1,IF(INDEX(DarlBindung,6)="",1,$G2434),IF($J2434&gt;0.005,1,0)))</f>
      </c>
      <c r="J2434" s="43">
        <f>IF($I2433=0,0,$R2433)</f>
      </c>
      <c r="K2434" s="43">
        <f>IF($I2434=0,0,IF(INDEX(DarlOhneTilgung,6)=1,0,IF(AND(INDEX(DarlTilgStart,6)&gt;0,$E2434=INDEX(DarlTilgStart,6)),$J2434*($H2434+INDEX(DarlTilgung,6))/100/12,IF(AND($G2434=0,$G2433=1),MAX($K2433,$J2434*($H2434+1)/100/12),$K2433))))</f>
      </c>
      <c r="L2434" s="43">
        <f>IF($I2434=0,0,$J2434*$H2434/100/12)</f>
      </c>
      <c r="M2434" s="43">
        <f>IF($I2434=0,0,IF(OR(INDEX(DarlOhneTilgung,6)=1,AND(INDEX(DarlTilgStart,6)&gt;0,$E2434&lt;INDEX(DarlTilgStart,6))),0,MIN(MAX(0,$K2434-$L2434),$J2434)))</f>
      </c>
      <c r="N2434" s="43">
        <f>IF($I2434=0,0,MIN(SUMIFS(SondBetrag,SondDarl,6,SondDatum,"&gt;="&amp;$E2434,SondDatum,"&lt;="&amp;EOMONTH($E2434,0)),$J2434-$M2434))</f>
      </c>
      <c r="O2434" s="43">
        <f>IF($I2434=0,0,INDEX(DarlErsatzRate,6))</f>
      </c>
      <c r="P2434" s="43">
        <f>IF($I2434=0,0,$Q2433*INDEX(DarlErsatzZins,6))</f>
      </c>
      <c r="Q2434" s="43">
        <f>IF($I2434=0,0,$Q2433+$P2434+$O2434)</f>
      </c>
      <c r="R2434" s="43">
        <f>IF($I2434=0,0,$J2434-$M2434-$N2434)</f>
      </c>
    </row>
    <row r="2435">
      <c r="A2435"/>
      <c r="B2435">
        <v>6</v>
      </c>
      <c r="C2435" s="43">
        <f>INDEX(DarlObj,6)</f>
      </c>
      <c r="D2435">
        <v>32</v>
      </c>
      <c r="E2435" s="51">
        <f>IF(INDEX(DarlBelegt,6)=0,0,EOMONTH(INDEX(DarlAuszahlung,6),31)+1)</f>
      </c>
      <c r="F2435" s="43">
        <f>IF($E2435=0,0,YEAR($E2435))</f>
      </c>
      <c r="G2435" s="43">
        <f>IF(INDEX(DarlBindung,6)="",1,IF($E2435&lt;=INDEX(DarlBindung,6),1,0))</f>
      </c>
      <c r="H2435" s="43">
        <f>IF($G2435=1,INDEX(DarlSollzins,6),INDEX(DarlAnschluss,6))</f>
      </c>
      <c r="I2435" s="43">
        <f>IF(INDEX(DarlBelegt,6)=0,0,IF(INDEX(DarlOhneTilgung,6)=1,IF(INDEX(DarlBindung,6)="",1,$G2435),IF($J2435&gt;0.005,1,0)))</f>
      </c>
      <c r="J2435" s="43">
        <f>IF($I2434=0,0,$R2434)</f>
      </c>
      <c r="K2435" s="43">
        <f>IF($I2435=0,0,IF(INDEX(DarlOhneTilgung,6)=1,0,IF(AND(INDEX(DarlTilgStart,6)&gt;0,$E2435=INDEX(DarlTilgStart,6)),$J2435*($H2435+INDEX(DarlTilgung,6))/100/12,IF(AND($G2435=0,$G2434=1),MAX($K2434,$J2435*($H2435+1)/100/12),$K2434))))</f>
      </c>
      <c r="L2435" s="43">
        <f>IF($I2435=0,0,$J2435*$H2435/100/12)</f>
      </c>
      <c r="M2435" s="43">
        <f>IF($I2435=0,0,IF(OR(INDEX(DarlOhneTilgung,6)=1,AND(INDEX(DarlTilgStart,6)&gt;0,$E2435&lt;INDEX(DarlTilgStart,6))),0,MIN(MAX(0,$K2435-$L2435),$J2435)))</f>
      </c>
      <c r="N2435" s="43">
        <f>IF($I2435=0,0,MIN(SUMIFS(SondBetrag,SondDarl,6,SondDatum,"&gt;="&amp;$E2435,SondDatum,"&lt;="&amp;EOMONTH($E2435,0)),$J2435-$M2435))</f>
      </c>
      <c r="O2435" s="43">
        <f>IF($I2435=0,0,INDEX(DarlErsatzRate,6))</f>
      </c>
      <c r="P2435" s="43">
        <f>IF($I2435=0,0,$Q2434*INDEX(DarlErsatzZins,6))</f>
      </c>
      <c r="Q2435" s="43">
        <f>IF($I2435=0,0,$Q2434+$P2435+$O2435)</f>
      </c>
      <c r="R2435" s="43">
        <f>IF($I2435=0,0,$J2435-$M2435-$N2435)</f>
      </c>
    </row>
    <row r="2436">
      <c r="A2436"/>
      <c r="B2436">
        <v>6</v>
      </c>
      <c r="C2436" s="43">
        <f>INDEX(DarlObj,6)</f>
      </c>
      <c r="D2436">
        <v>33</v>
      </c>
      <c r="E2436" s="51">
        <f>IF(INDEX(DarlBelegt,6)=0,0,EOMONTH(INDEX(DarlAuszahlung,6),32)+1)</f>
      </c>
      <c r="F2436" s="43">
        <f>IF($E2436=0,0,YEAR($E2436))</f>
      </c>
      <c r="G2436" s="43">
        <f>IF(INDEX(DarlBindung,6)="",1,IF($E2436&lt;=INDEX(DarlBindung,6),1,0))</f>
      </c>
      <c r="H2436" s="43">
        <f>IF($G2436=1,INDEX(DarlSollzins,6),INDEX(DarlAnschluss,6))</f>
      </c>
      <c r="I2436" s="43">
        <f>IF(INDEX(DarlBelegt,6)=0,0,IF(INDEX(DarlOhneTilgung,6)=1,IF(INDEX(DarlBindung,6)="",1,$G2436),IF($J2436&gt;0.005,1,0)))</f>
      </c>
      <c r="J2436" s="43">
        <f>IF($I2435=0,0,$R2435)</f>
      </c>
      <c r="K2436" s="43">
        <f>IF($I2436=0,0,IF(INDEX(DarlOhneTilgung,6)=1,0,IF(AND(INDEX(DarlTilgStart,6)&gt;0,$E2436=INDEX(DarlTilgStart,6)),$J2436*($H2436+INDEX(DarlTilgung,6))/100/12,IF(AND($G2436=0,$G2435=1),MAX($K2435,$J2436*($H2436+1)/100/12),$K2435))))</f>
      </c>
      <c r="L2436" s="43">
        <f>IF($I2436=0,0,$J2436*$H2436/100/12)</f>
      </c>
      <c r="M2436" s="43">
        <f>IF($I2436=0,0,IF(OR(INDEX(DarlOhneTilgung,6)=1,AND(INDEX(DarlTilgStart,6)&gt;0,$E2436&lt;INDEX(DarlTilgStart,6))),0,MIN(MAX(0,$K2436-$L2436),$J2436)))</f>
      </c>
      <c r="N2436" s="43">
        <f>IF($I2436=0,0,MIN(SUMIFS(SondBetrag,SondDarl,6,SondDatum,"&gt;="&amp;$E2436,SondDatum,"&lt;="&amp;EOMONTH($E2436,0)),$J2436-$M2436))</f>
      </c>
      <c r="O2436" s="43">
        <f>IF($I2436=0,0,INDEX(DarlErsatzRate,6))</f>
      </c>
      <c r="P2436" s="43">
        <f>IF($I2436=0,0,$Q2435*INDEX(DarlErsatzZins,6))</f>
      </c>
      <c r="Q2436" s="43">
        <f>IF($I2436=0,0,$Q2435+$P2436+$O2436)</f>
      </c>
      <c r="R2436" s="43">
        <f>IF($I2436=0,0,$J2436-$M2436-$N2436)</f>
      </c>
    </row>
    <row r="2437">
      <c r="A2437"/>
      <c r="B2437">
        <v>6</v>
      </c>
      <c r="C2437" s="43">
        <f>INDEX(DarlObj,6)</f>
      </c>
      <c r="D2437">
        <v>34</v>
      </c>
      <c r="E2437" s="51">
        <f>IF(INDEX(DarlBelegt,6)=0,0,EOMONTH(INDEX(DarlAuszahlung,6),33)+1)</f>
      </c>
      <c r="F2437" s="43">
        <f>IF($E2437=0,0,YEAR($E2437))</f>
      </c>
      <c r="G2437" s="43">
        <f>IF(INDEX(DarlBindung,6)="",1,IF($E2437&lt;=INDEX(DarlBindung,6),1,0))</f>
      </c>
      <c r="H2437" s="43">
        <f>IF($G2437=1,INDEX(DarlSollzins,6),INDEX(DarlAnschluss,6))</f>
      </c>
      <c r="I2437" s="43">
        <f>IF(INDEX(DarlBelegt,6)=0,0,IF(INDEX(DarlOhneTilgung,6)=1,IF(INDEX(DarlBindung,6)="",1,$G2437),IF($J2437&gt;0.005,1,0)))</f>
      </c>
      <c r="J2437" s="43">
        <f>IF($I2436=0,0,$R2436)</f>
      </c>
      <c r="K2437" s="43">
        <f>IF($I2437=0,0,IF(INDEX(DarlOhneTilgung,6)=1,0,IF(AND(INDEX(DarlTilgStart,6)&gt;0,$E2437=INDEX(DarlTilgStart,6)),$J2437*($H2437+INDEX(DarlTilgung,6))/100/12,IF(AND($G2437=0,$G2436=1),MAX($K2436,$J2437*($H2437+1)/100/12),$K2436))))</f>
      </c>
      <c r="L2437" s="43">
        <f>IF($I2437=0,0,$J2437*$H2437/100/12)</f>
      </c>
      <c r="M2437" s="43">
        <f>IF($I2437=0,0,IF(OR(INDEX(DarlOhneTilgung,6)=1,AND(INDEX(DarlTilgStart,6)&gt;0,$E2437&lt;INDEX(DarlTilgStart,6))),0,MIN(MAX(0,$K2437-$L2437),$J2437)))</f>
      </c>
      <c r="N2437" s="43">
        <f>IF($I2437=0,0,MIN(SUMIFS(SondBetrag,SondDarl,6,SondDatum,"&gt;="&amp;$E2437,SondDatum,"&lt;="&amp;EOMONTH($E2437,0)),$J2437-$M2437))</f>
      </c>
      <c r="O2437" s="43">
        <f>IF($I2437=0,0,INDEX(DarlErsatzRate,6))</f>
      </c>
      <c r="P2437" s="43">
        <f>IF($I2437=0,0,$Q2436*INDEX(DarlErsatzZins,6))</f>
      </c>
      <c r="Q2437" s="43">
        <f>IF($I2437=0,0,$Q2436+$P2437+$O2437)</f>
      </c>
      <c r="R2437" s="43">
        <f>IF($I2437=0,0,$J2437-$M2437-$N2437)</f>
      </c>
    </row>
    <row r="2438">
      <c r="A2438"/>
      <c r="B2438">
        <v>6</v>
      </c>
      <c r="C2438" s="43">
        <f>INDEX(DarlObj,6)</f>
      </c>
      <c r="D2438">
        <v>35</v>
      </c>
      <c r="E2438" s="51">
        <f>IF(INDEX(DarlBelegt,6)=0,0,EOMONTH(INDEX(DarlAuszahlung,6),34)+1)</f>
      </c>
      <c r="F2438" s="43">
        <f>IF($E2438=0,0,YEAR($E2438))</f>
      </c>
      <c r="G2438" s="43">
        <f>IF(INDEX(DarlBindung,6)="",1,IF($E2438&lt;=INDEX(DarlBindung,6),1,0))</f>
      </c>
      <c r="H2438" s="43">
        <f>IF($G2438=1,INDEX(DarlSollzins,6),INDEX(DarlAnschluss,6))</f>
      </c>
      <c r="I2438" s="43">
        <f>IF(INDEX(DarlBelegt,6)=0,0,IF(INDEX(DarlOhneTilgung,6)=1,IF(INDEX(DarlBindung,6)="",1,$G2438),IF($J2438&gt;0.005,1,0)))</f>
      </c>
      <c r="J2438" s="43">
        <f>IF($I2437=0,0,$R2437)</f>
      </c>
      <c r="K2438" s="43">
        <f>IF($I2438=0,0,IF(INDEX(DarlOhneTilgung,6)=1,0,IF(AND(INDEX(DarlTilgStart,6)&gt;0,$E2438=INDEX(DarlTilgStart,6)),$J2438*($H2438+INDEX(DarlTilgung,6))/100/12,IF(AND($G2438=0,$G2437=1),MAX($K2437,$J2438*($H2438+1)/100/12),$K2437))))</f>
      </c>
      <c r="L2438" s="43">
        <f>IF($I2438=0,0,$J2438*$H2438/100/12)</f>
      </c>
      <c r="M2438" s="43">
        <f>IF($I2438=0,0,IF(OR(INDEX(DarlOhneTilgung,6)=1,AND(INDEX(DarlTilgStart,6)&gt;0,$E2438&lt;INDEX(DarlTilgStart,6))),0,MIN(MAX(0,$K2438-$L2438),$J2438)))</f>
      </c>
      <c r="N2438" s="43">
        <f>IF($I2438=0,0,MIN(SUMIFS(SondBetrag,SondDarl,6,SondDatum,"&gt;="&amp;$E2438,SondDatum,"&lt;="&amp;EOMONTH($E2438,0)),$J2438-$M2438))</f>
      </c>
      <c r="O2438" s="43">
        <f>IF($I2438=0,0,INDEX(DarlErsatzRate,6))</f>
      </c>
      <c r="P2438" s="43">
        <f>IF($I2438=0,0,$Q2437*INDEX(DarlErsatzZins,6))</f>
      </c>
      <c r="Q2438" s="43">
        <f>IF($I2438=0,0,$Q2437+$P2438+$O2438)</f>
      </c>
      <c r="R2438" s="43">
        <f>IF($I2438=0,0,$J2438-$M2438-$N2438)</f>
      </c>
    </row>
    <row r="2439">
      <c r="A2439"/>
      <c r="B2439">
        <v>6</v>
      </c>
      <c r="C2439" s="43">
        <f>INDEX(DarlObj,6)</f>
      </c>
      <c r="D2439">
        <v>36</v>
      </c>
      <c r="E2439" s="51">
        <f>IF(INDEX(DarlBelegt,6)=0,0,EOMONTH(INDEX(DarlAuszahlung,6),35)+1)</f>
      </c>
      <c r="F2439" s="43">
        <f>IF($E2439=0,0,YEAR($E2439))</f>
      </c>
      <c r="G2439" s="43">
        <f>IF(INDEX(DarlBindung,6)="",1,IF($E2439&lt;=INDEX(DarlBindung,6),1,0))</f>
      </c>
      <c r="H2439" s="43">
        <f>IF($G2439=1,INDEX(DarlSollzins,6),INDEX(DarlAnschluss,6))</f>
      </c>
      <c r="I2439" s="43">
        <f>IF(INDEX(DarlBelegt,6)=0,0,IF(INDEX(DarlOhneTilgung,6)=1,IF(INDEX(DarlBindung,6)="",1,$G2439),IF($J2439&gt;0.005,1,0)))</f>
      </c>
      <c r="J2439" s="43">
        <f>IF($I2438=0,0,$R2438)</f>
      </c>
      <c r="K2439" s="43">
        <f>IF($I2439=0,0,IF(INDEX(DarlOhneTilgung,6)=1,0,IF(AND(INDEX(DarlTilgStart,6)&gt;0,$E2439=INDEX(DarlTilgStart,6)),$J2439*($H2439+INDEX(DarlTilgung,6))/100/12,IF(AND($G2439=0,$G2438=1),MAX($K2438,$J2439*($H2439+1)/100/12),$K2438))))</f>
      </c>
      <c r="L2439" s="43">
        <f>IF($I2439=0,0,$J2439*$H2439/100/12)</f>
      </c>
      <c r="M2439" s="43">
        <f>IF($I2439=0,0,IF(OR(INDEX(DarlOhneTilgung,6)=1,AND(INDEX(DarlTilgStart,6)&gt;0,$E2439&lt;INDEX(DarlTilgStart,6))),0,MIN(MAX(0,$K2439-$L2439),$J2439)))</f>
      </c>
      <c r="N2439" s="43">
        <f>IF($I2439=0,0,MIN(SUMIFS(SondBetrag,SondDarl,6,SondDatum,"&gt;="&amp;$E2439,SondDatum,"&lt;="&amp;EOMONTH($E2439,0)),$J2439-$M2439))</f>
      </c>
      <c r="O2439" s="43">
        <f>IF($I2439=0,0,INDEX(DarlErsatzRate,6))</f>
      </c>
      <c r="P2439" s="43">
        <f>IF($I2439=0,0,$Q2438*INDEX(DarlErsatzZins,6))</f>
      </c>
      <c r="Q2439" s="43">
        <f>IF($I2439=0,0,$Q2438+$P2439+$O2439)</f>
      </c>
      <c r="R2439" s="43">
        <f>IF($I2439=0,0,$J2439-$M2439-$N2439)</f>
      </c>
    </row>
    <row r="2440">
      <c r="A2440"/>
      <c r="B2440">
        <v>6</v>
      </c>
      <c r="C2440" s="43">
        <f>INDEX(DarlObj,6)</f>
      </c>
      <c r="D2440">
        <v>37</v>
      </c>
      <c r="E2440" s="51">
        <f>IF(INDEX(DarlBelegt,6)=0,0,EOMONTH(INDEX(DarlAuszahlung,6),36)+1)</f>
      </c>
      <c r="F2440" s="43">
        <f>IF($E2440=0,0,YEAR($E2440))</f>
      </c>
      <c r="G2440" s="43">
        <f>IF(INDEX(DarlBindung,6)="",1,IF($E2440&lt;=INDEX(DarlBindung,6),1,0))</f>
      </c>
      <c r="H2440" s="43">
        <f>IF($G2440=1,INDEX(DarlSollzins,6),INDEX(DarlAnschluss,6))</f>
      </c>
      <c r="I2440" s="43">
        <f>IF(INDEX(DarlBelegt,6)=0,0,IF(INDEX(DarlOhneTilgung,6)=1,IF(INDEX(DarlBindung,6)="",1,$G2440),IF($J2440&gt;0.005,1,0)))</f>
      </c>
      <c r="J2440" s="43">
        <f>IF($I2439=0,0,$R2439)</f>
      </c>
      <c r="K2440" s="43">
        <f>IF($I2440=0,0,IF(INDEX(DarlOhneTilgung,6)=1,0,IF(AND(INDEX(DarlTilgStart,6)&gt;0,$E2440=INDEX(DarlTilgStart,6)),$J2440*($H2440+INDEX(DarlTilgung,6))/100/12,IF(AND($G2440=0,$G2439=1),MAX($K2439,$J2440*($H2440+1)/100/12),$K2439))))</f>
      </c>
      <c r="L2440" s="43">
        <f>IF($I2440=0,0,$J2440*$H2440/100/12)</f>
      </c>
      <c r="M2440" s="43">
        <f>IF($I2440=0,0,IF(OR(INDEX(DarlOhneTilgung,6)=1,AND(INDEX(DarlTilgStart,6)&gt;0,$E2440&lt;INDEX(DarlTilgStart,6))),0,MIN(MAX(0,$K2440-$L2440),$J2440)))</f>
      </c>
      <c r="N2440" s="43">
        <f>IF($I2440=0,0,MIN(SUMIFS(SondBetrag,SondDarl,6,SondDatum,"&gt;="&amp;$E2440,SondDatum,"&lt;="&amp;EOMONTH($E2440,0)),$J2440-$M2440))</f>
      </c>
      <c r="O2440" s="43">
        <f>IF($I2440=0,0,INDEX(DarlErsatzRate,6))</f>
      </c>
      <c r="P2440" s="43">
        <f>IF($I2440=0,0,$Q2439*INDEX(DarlErsatzZins,6))</f>
      </c>
      <c r="Q2440" s="43">
        <f>IF($I2440=0,0,$Q2439+$P2440+$O2440)</f>
      </c>
      <c r="R2440" s="43">
        <f>IF($I2440=0,0,$J2440-$M2440-$N2440)</f>
      </c>
    </row>
    <row r="2441">
      <c r="A2441"/>
      <c r="B2441">
        <v>6</v>
      </c>
      <c r="C2441" s="43">
        <f>INDEX(DarlObj,6)</f>
      </c>
      <c r="D2441">
        <v>38</v>
      </c>
      <c r="E2441" s="51">
        <f>IF(INDEX(DarlBelegt,6)=0,0,EOMONTH(INDEX(DarlAuszahlung,6),37)+1)</f>
      </c>
      <c r="F2441" s="43">
        <f>IF($E2441=0,0,YEAR($E2441))</f>
      </c>
      <c r="G2441" s="43">
        <f>IF(INDEX(DarlBindung,6)="",1,IF($E2441&lt;=INDEX(DarlBindung,6),1,0))</f>
      </c>
      <c r="H2441" s="43">
        <f>IF($G2441=1,INDEX(DarlSollzins,6),INDEX(DarlAnschluss,6))</f>
      </c>
      <c r="I2441" s="43">
        <f>IF(INDEX(DarlBelegt,6)=0,0,IF(INDEX(DarlOhneTilgung,6)=1,IF(INDEX(DarlBindung,6)="",1,$G2441),IF($J2441&gt;0.005,1,0)))</f>
      </c>
      <c r="J2441" s="43">
        <f>IF($I2440=0,0,$R2440)</f>
      </c>
      <c r="K2441" s="43">
        <f>IF($I2441=0,0,IF(INDEX(DarlOhneTilgung,6)=1,0,IF(AND(INDEX(DarlTilgStart,6)&gt;0,$E2441=INDEX(DarlTilgStart,6)),$J2441*($H2441+INDEX(DarlTilgung,6))/100/12,IF(AND($G2441=0,$G2440=1),MAX($K2440,$J2441*($H2441+1)/100/12),$K2440))))</f>
      </c>
      <c r="L2441" s="43">
        <f>IF($I2441=0,0,$J2441*$H2441/100/12)</f>
      </c>
      <c r="M2441" s="43">
        <f>IF($I2441=0,0,IF(OR(INDEX(DarlOhneTilgung,6)=1,AND(INDEX(DarlTilgStart,6)&gt;0,$E2441&lt;INDEX(DarlTilgStart,6))),0,MIN(MAX(0,$K2441-$L2441),$J2441)))</f>
      </c>
      <c r="N2441" s="43">
        <f>IF($I2441=0,0,MIN(SUMIFS(SondBetrag,SondDarl,6,SondDatum,"&gt;="&amp;$E2441,SondDatum,"&lt;="&amp;EOMONTH($E2441,0)),$J2441-$M2441))</f>
      </c>
      <c r="O2441" s="43">
        <f>IF($I2441=0,0,INDEX(DarlErsatzRate,6))</f>
      </c>
      <c r="P2441" s="43">
        <f>IF($I2441=0,0,$Q2440*INDEX(DarlErsatzZins,6))</f>
      </c>
      <c r="Q2441" s="43">
        <f>IF($I2441=0,0,$Q2440+$P2441+$O2441)</f>
      </c>
      <c r="R2441" s="43">
        <f>IF($I2441=0,0,$J2441-$M2441-$N2441)</f>
      </c>
    </row>
    <row r="2442">
      <c r="A2442"/>
      <c r="B2442">
        <v>6</v>
      </c>
      <c r="C2442" s="43">
        <f>INDEX(DarlObj,6)</f>
      </c>
      <c r="D2442">
        <v>39</v>
      </c>
      <c r="E2442" s="51">
        <f>IF(INDEX(DarlBelegt,6)=0,0,EOMONTH(INDEX(DarlAuszahlung,6),38)+1)</f>
      </c>
      <c r="F2442" s="43">
        <f>IF($E2442=0,0,YEAR($E2442))</f>
      </c>
      <c r="G2442" s="43">
        <f>IF(INDEX(DarlBindung,6)="",1,IF($E2442&lt;=INDEX(DarlBindung,6),1,0))</f>
      </c>
      <c r="H2442" s="43">
        <f>IF($G2442=1,INDEX(DarlSollzins,6),INDEX(DarlAnschluss,6))</f>
      </c>
      <c r="I2442" s="43">
        <f>IF(INDEX(DarlBelegt,6)=0,0,IF(INDEX(DarlOhneTilgung,6)=1,IF(INDEX(DarlBindung,6)="",1,$G2442),IF($J2442&gt;0.005,1,0)))</f>
      </c>
      <c r="J2442" s="43">
        <f>IF($I2441=0,0,$R2441)</f>
      </c>
      <c r="K2442" s="43">
        <f>IF($I2442=0,0,IF(INDEX(DarlOhneTilgung,6)=1,0,IF(AND(INDEX(DarlTilgStart,6)&gt;0,$E2442=INDEX(DarlTilgStart,6)),$J2442*($H2442+INDEX(DarlTilgung,6))/100/12,IF(AND($G2442=0,$G2441=1),MAX($K2441,$J2442*($H2442+1)/100/12),$K2441))))</f>
      </c>
      <c r="L2442" s="43">
        <f>IF($I2442=0,0,$J2442*$H2442/100/12)</f>
      </c>
      <c r="M2442" s="43">
        <f>IF($I2442=0,0,IF(OR(INDEX(DarlOhneTilgung,6)=1,AND(INDEX(DarlTilgStart,6)&gt;0,$E2442&lt;INDEX(DarlTilgStart,6))),0,MIN(MAX(0,$K2442-$L2442),$J2442)))</f>
      </c>
      <c r="N2442" s="43">
        <f>IF($I2442=0,0,MIN(SUMIFS(SondBetrag,SondDarl,6,SondDatum,"&gt;="&amp;$E2442,SondDatum,"&lt;="&amp;EOMONTH($E2442,0)),$J2442-$M2442))</f>
      </c>
      <c r="O2442" s="43">
        <f>IF($I2442=0,0,INDEX(DarlErsatzRate,6))</f>
      </c>
      <c r="P2442" s="43">
        <f>IF($I2442=0,0,$Q2441*INDEX(DarlErsatzZins,6))</f>
      </c>
      <c r="Q2442" s="43">
        <f>IF($I2442=0,0,$Q2441+$P2442+$O2442)</f>
      </c>
      <c r="R2442" s="43">
        <f>IF($I2442=0,0,$J2442-$M2442-$N2442)</f>
      </c>
    </row>
    <row r="2443">
      <c r="A2443"/>
      <c r="B2443">
        <v>6</v>
      </c>
      <c r="C2443" s="43">
        <f>INDEX(DarlObj,6)</f>
      </c>
      <c r="D2443">
        <v>40</v>
      </c>
      <c r="E2443" s="51">
        <f>IF(INDEX(DarlBelegt,6)=0,0,EOMONTH(INDEX(DarlAuszahlung,6),39)+1)</f>
      </c>
      <c r="F2443" s="43">
        <f>IF($E2443=0,0,YEAR($E2443))</f>
      </c>
      <c r="G2443" s="43">
        <f>IF(INDEX(DarlBindung,6)="",1,IF($E2443&lt;=INDEX(DarlBindung,6),1,0))</f>
      </c>
      <c r="H2443" s="43">
        <f>IF($G2443=1,INDEX(DarlSollzins,6),INDEX(DarlAnschluss,6))</f>
      </c>
      <c r="I2443" s="43">
        <f>IF(INDEX(DarlBelegt,6)=0,0,IF(INDEX(DarlOhneTilgung,6)=1,IF(INDEX(DarlBindung,6)="",1,$G2443),IF($J2443&gt;0.005,1,0)))</f>
      </c>
      <c r="J2443" s="43">
        <f>IF($I2442=0,0,$R2442)</f>
      </c>
      <c r="K2443" s="43">
        <f>IF($I2443=0,0,IF(INDEX(DarlOhneTilgung,6)=1,0,IF(AND(INDEX(DarlTilgStart,6)&gt;0,$E2443=INDEX(DarlTilgStart,6)),$J2443*($H2443+INDEX(DarlTilgung,6))/100/12,IF(AND($G2443=0,$G2442=1),MAX($K2442,$J2443*($H2443+1)/100/12),$K2442))))</f>
      </c>
      <c r="L2443" s="43">
        <f>IF($I2443=0,0,$J2443*$H2443/100/12)</f>
      </c>
      <c r="M2443" s="43">
        <f>IF($I2443=0,0,IF(OR(INDEX(DarlOhneTilgung,6)=1,AND(INDEX(DarlTilgStart,6)&gt;0,$E2443&lt;INDEX(DarlTilgStart,6))),0,MIN(MAX(0,$K2443-$L2443),$J2443)))</f>
      </c>
      <c r="N2443" s="43">
        <f>IF($I2443=0,0,MIN(SUMIFS(SondBetrag,SondDarl,6,SondDatum,"&gt;="&amp;$E2443,SondDatum,"&lt;="&amp;EOMONTH($E2443,0)),$J2443-$M2443))</f>
      </c>
      <c r="O2443" s="43">
        <f>IF($I2443=0,0,INDEX(DarlErsatzRate,6))</f>
      </c>
      <c r="P2443" s="43">
        <f>IF($I2443=0,0,$Q2442*INDEX(DarlErsatzZins,6))</f>
      </c>
      <c r="Q2443" s="43">
        <f>IF($I2443=0,0,$Q2442+$P2443+$O2443)</f>
      </c>
      <c r="R2443" s="43">
        <f>IF($I2443=0,0,$J2443-$M2443-$N2443)</f>
      </c>
    </row>
    <row r="2444">
      <c r="A2444"/>
      <c r="B2444">
        <v>6</v>
      </c>
      <c r="C2444" s="43">
        <f>INDEX(DarlObj,6)</f>
      </c>
      <c r="D2444">
        <v>41</v>
      </c>
      <c r="E2444" s="51">
        <f>IF(INDEX(DarlBelegt,6)=0,0,EOMONTH(INDEX(DarlAuszahlung,6),40)+1)</f>
      </c>
      <c r="F2444" s="43">
        <f>IF($E2444=0,0,YEAR($E2444))</f>
      </c>
      <c r="G2444" s="43">
        <f>IF(INDEX(DarlBindung,6)="",1,IF($E2444&lt;=INDEX(DarlBindung,6),1,0))</f>
      </c>
      <c r="H2444" s="43">
        <f>IF($G2444=1,INDEX(DarlSollzins,6),INDEX(DarlAnschluss,6))</f>
      </c>
      <c r="I2444" s="43">
        <f>IF(INDEX(DarlBelegt,6)=0,0,IF(INDEX(DarlOhneTilgung,6)=1,IF(INDEX(DarlBindung,6)="",1,$G2444),IF($J2444&gt;0.005,1,0)))</f>
      </c>
      <c r="J2444" s="43">
        <f>IF($I2443=0,0,$R2443)</f>
      </c>
      <c r="K2444" s="43">
        <f>IF($I2444=0,0,IF(INDEX(DarlOhneTilgung,6)=1,0,IF(AND(INDEX(DarlTilgStart,6)&gt;0,$E2444=INDEX(DarlTilgStart,6)),$J2444*($H2444+INDEX(DarlTilgung,6))/100/12,IF(AND($G2444=0,$G2443=1),MAX($K2443,$J2444*($H2444+1)/100/12),$K2443))))</f>
      </c>
      <c r="L2444" s="43">
        <f>IF($I2444=0,0,$J2444*$H2444/100/12)</f>
      </c>
      <c r="M2444" s="43">
        <f>IF($I2444=0,0,IF(OR(INDEX(DarlOhneTilgung,6)=1,AND(INDEX(DarlTilgStart,6)&gt;0,$E2444&lt;INDEX(DarlTilgStart,6))),0,MIN(MAX(0,$K2444-$L2444),$J2444)))</f>
      </c>
      <c r="N2444" s="43">
        <f>IF($I2444=0,0,MIN(SUMIFS(SondBetrag,SondDarl,6,SondDatum,"&gt;="&amp;$E2444,SondDatum,"&lt;="&amp;EOMONTH($E2444,0)),$J2444-$M2444))</f>
      </c>
      <c r="O2444" s="43">
        <f>IF($I2444=0,0,INDEX(DarlErsatzRate,6))</f>
      </c>
      <c r="P2444" s="43">
        <f>IF($I2444=0,0,$Q2443*INDEX(DarlErsatzZins,6))</f>
      </c>
      <c r="Q2444" s="43">
        <f>IF($I2444=0,0,$Q2443+$P2444+$O2444)</f>
      </c>
      <c r="R2444" s="43">
        <f>IF($I2444=0,0,$J2444-$M2444-$N2444)</f>
      </c>
    </row>
    <row r="2445">
      <c r="A2445"/>
      <c r="B2445">
        <v>6</v>
      </c>
      <c r="C2445" s="43">
        <f>INDEX(DarlObj,6)</f>
      </c>
      <c r="D2445">
        <v>42</v>
      </c>
      <c r="E2445" s="51">
        <f>IF(INDEX(DarlBelegt,6)=0,0,EOMONTH(INDEX(DarlAuszahlung,6),41)+1)</f>
      </c>
      <c r="F2445" s="43">
        <f>IF($E2445=0,0,YEAR($E2445))</f>
      </c>
      <c r="G2445" s="43">
        <f>IF(INDEX(DarlBindung,6)="",1,IF($E2445&lt;=INDEX(DarlBindung,6),1,0))</f>
      </c>
      <c r="H2445" s="43">
        <f>IF($G2445=1,INDEX(DarlSollzins,6),INDEX(DarlAnschluss,6))</f>
      </c>
      <c r="I2445" s="43">
        <f>IF(INDEX(DarlBelegt,6)=0,0,IF(INDEX(DarlOhneTilgung,6)=1,IF(INDEX(DarlBindung,6)="",1,$G2445),IF($J2445&gt;0.005,1,0)))</f>
      </c>
      <c r="J2445" s="43">
        <f>IF($I2444=0,0,$R2444)</f>
      </c>
      <c r="K2445" s="43">
        <f>IF($I2445=0,0,IF(INDEX(DarlOhneTilgung,6)=1,0,IF(AND(INDEX(DarlTilgStart,6)&gt;0,$E2445=INDEX(DarlTilgStart,6)),$J2445*($H2445+INDEX(DarlTilgung,6))/100/12,IF(AND($G2445=0,$G2444=1),MAX($K2444,$J2445*($H2445+1)/100/12),$K2444))))</f>
      </c>
      <c r="L2445" s="43">
        <f>IF($I2445=0,0,$J2445*$H2445/100/12)</f>
      </c>
      <c r="M2445" s="43">
        <f>IF($I2445=0,0,IF(OR(INDEX(DarlOhneTilgung,6)=1,AND(INDEX(DarlTilgStart,6)&gt;0,$E2445&lt;INDEX(DarlTilgStart,6))),0,MIN(MAX(0,$K2445-$L2445),$J2445)))</f>
      </c>
      <c r="N2445" s="43">
        <f>IF($I2445=0,0,MIN(SUMIFS(SondBetrag,SondDarl,6,SondDatum,"&gt;="&amp;$E2445,SondDatum,"&lt;="&amp;EOMONTH($E2445,0)),$J2445-$M2445))</f>
      </c>
      <c r="O2445" s="43">
        <f>IF($I2445=0,0,INDEX(DarlErsatzRate,6))</f>
      </c>
      <c r="P2445" s="43">
        <f>IF($I2445=0,0,$Q2444*INDEX(DarlErsatzZins,6))</f>
      </c>
      <c r="Q2445" s="43">
        <f>IF($I2445=0,0,$Q2444+$P2445+$O2445)</f>
      </c>
      <c r="R2445" s="43">
        <f>IF($I2445=0,0,$J2445-$M2445-$N2445)</f>
      </c>
    </row>
    <row r="2446">
      <c r="A2446"/>
      <c r="B2446">
        <v>6</v>
      </c>
      <c r="C2446" s="43">
        <f>INDEX(DarlObj,6)</f>
      </c>
      <c r="D2446">
        <v>43</v>
      </c>
      <c r="E2446" s="51">
        <f>IF(INDEX(DarlBelegt,6)=0,0,EOMONTH(INDEX(DarlAuszahlung,6),42)+1)</f>
      </c>
      <c r="F2446" s="43">
        <f>IF($E2446=0,0,YEAR($E2446))</f>
      </c>
      <c r="G2446" s="43">
        <f>IF(INDEX(DarlBindung,6)="",1,IF($E2446&lt;=INDEX(DarlBindung,6),1,0))</f>
      </c>
      <c r="H2446" s="43">
        <f>IF($G2446=1,INDEX(DarlSollzins,6),INDEX(DarlAnschluss,6))</f>
      </c>
      <c r="I2446" s="43">
        <f>IF(INDEX(DarlBelegt,6)=0,0,IF(INDEX(DarlOhneTilgung,6)=1,IF(INDEX(DarlBindung,6)="",1,$G2446),IF($J2446&gt;0.005,1,0)))</f>
      </c>
      <c r="J2446" s="43">
        <f>IF($I2445=0,0,$R2445)</f>
      </c>
      <c r="K2446" s="43">
        <f>IF($I2446=0,0,IF(INDEX(DarlOhneTilgung,6)=1,0,IF(AND(INDEX(DarlTilgStart,6)&gt;0,$E2446=INDEX(DarlTilgStart,6)),$J2446*($H2446+INDEX(DarlTilgung,6))/100/12,IF(AND($G2446=0,$G2445=1),MAX($K2445,$J2446*($H2446+1)/100/12),$K2445))))</f>
      </c>
      <c r="L2446" s="43">
        <f>IF($I2446=0,0,$J2446*$H2446/100/12)</f>
      </c>
      <c r="M2446" s="43">
        <f>IF($I2446=0,0,IF(OR(INDEX(DarlOhneTilgung,6)=1,AND(INDEX(DarlTilgStart,6)&gt;0,$E2446&lt;INDEX(DarlTilgStart,6))),0,MIN(MAX(0,$K2446-$L2446),$J2446)))</f>
      </c>
      <c r="N2446" s="43">
        <f>IF($I2446=0,0,MIN(SUMIFS(SondBetrag,SondDarl,6,SondDatum,"&gt;="&amp;$E2446,SondDatum,"&lt;="&amp;EOMONTH($E2446,0)),$J2446-$M2446))</f>
      </c>
      <c r="O2446" s="43">
        <f>IF($I2446=0,0,INDEX(DarlErsatzRate,6))</f>
      </c>
      <c r="P2446" s="43">
        <f>IF($I2446=0,0,$Q2445*INDEX(DarlErsatzZins,6))</f>
      </c>
      <c r="Q2446" s="43">
        <f>IF($I2446=0,0,$Q2445+$P2446+$O2446)</f>
      </c>
      <c r="R2446" s="43">
        <f>IF($I2446=0,0,$J2446-$M2446-$N2446)</f>
      </c>
    </row>
    <row r="2447">
      <c r="A2447"/>
      <c r="B2447">
        <v>6</v>
      </c>
      <c r="C2447" s="43">
        <f>INDEX(DarlObj,6)</f>
      </c>
      <c r="D2447">
        <v>44</v>
      </c>
      <c r="E2447" s="51">
        <f>IF(INDEX(DarlBelegt,6)=0,0,EOMONTH(INDEX(DarlAuszahlung,6),43)+1)</f>
      </c>
      <c r="F2447" s="43">
        <f>IF($E2447=0,0,YEAR($E2447))</f>
      </c>
      <c r="G2447" s="43">
        <f>IF(INDEX(DarlBindung,6)="",1,IF($E2447&lt;=INDEX(DarlBindung,6),1,0))</f>
      </c>
      <c r="H2447" s="43">
        <f>IF($G2447=1,INDEX(DarlSollzins,6),INDEX(DarlAnschluss,6))</f>
      </c>
      <c r="I2447" s="43">
        <f>IF(INDEX(DarlBelegt,6)=0,0,IF(INDEX(DarlOhneTilgung,6)=1,IF(INDEX(DarlBindung,6)="",1,$G2447),IF($J2447&gt;0.005,1,0)))</f>
      </c>
      <c r="J2447" s="43">
        <f>IF($I2446=0,0,$R2446)</f>
      </c>
      <c r="K2447" s="43">
        <f>IF($I2447=0,0,IF(INDEX(DarlOhneTilgung,6)=1,0,IF(AND(INDEX(DarlTilgStart,6)&gt;0,$E2447=INDEX(DarlTilgStart,6)),$J2447*($H2447+INDEX(DarlTilgung,6))/100/12,IF(AND($G2447=0,$G2446=1),MAX($K2446,$J2447*($H2447+1)/100/12),$K2446))))</f>
      </c>
      <c r="L2447" s="43">
        <f>IF($I2447=0,0,$J2447*$H2447/100/12)</f>
      </c>
      <c r="M2447" s="43">
        <f>IF($I2447=0,0,IF(OR(INDEX(DarlOhneTilgung,6)=1,AND(INDEX(DarlTilgStart,6)&gt;0,$E2447&lt;INDEX(DarlTilgStart,6))),0,MIN(MAX(0,$K2447-$L2447),$J2447)))</f>
      </c>
      <c r="N2447" s="43">
        <f>IF($I2447=0,0,MIN(SUMIFS(SondBetrag,SondDarl,6,SondDatum,"&gt;="&amp;$E2447,SondDatum,"&lt;="&amp;EOMONTH($E2447,0)),$J2447-$M2447))</f>
      </c>
      <c r="O2447" s="43">
        <f>IF($I2447=0,0,INDEX(DarlErsatzRate,6))</f>
      </c>
      <c r="P2447" s="43">
        <f>IF($I2447=0,0,$Q2446*INDEX(DarlErsatzZins,6))</f>
      </c>
      <c r="Q2447" s="43">
        <f>IF($I2447=0,0,$Q2446+$P2447+$O2447)</f>
      </c>
      <c r="R2447" s="43">
        <f>IF($I2447=0,0,$J2447-$M2447-$N2447)</f>
      </c>
    </row>
    <row r="2448">
      <c r="A2448"/>
      <c r="B2448">
        <v>6</v>
      </c>
      <c r="C2448" s="43">
        <f>INDEX(DarlObj,6)</f>
      </c>
      <c r="D2448">
        <v>45</v>
      </c>
      <c r="E2448" s="51">
        <f>IF(INDEX(DarlBelegt,6)=0,0,EOMONTH(INDEX(DarlAuszahlung,6),44)+1)</f>
      </c>
      <c r="F2448" s="43">
        <f>IF($E2448=0,0,YEAR($E2448))</f>
      </c>
      <c r="G2448" s="43">
        <f>IF(INDEX(DarlBindung,6)="",1,IF($E2448&lt;=INDEX(DarlBindung,6),1,0))</f>
      </c>
      <c r="H2448" s="43">
        <f>IF($G2448=1,INDEX(DarlSollzins,6),INDEX(DarlAnschluss,6))</f>
      </c>
      <c r="I2448" s="43">
        <f>IF(INDEX(DarlBelegt,6)=0,0,IF(INDEX(DarlOhneTilgung,6)=1,IF(INDEX(DarlBindung,6)="",1,$G2448),IF($J2448&gt;0.005,1,0)))</f>
      </c>
      <c r="J2448" s="43">
        <f>IF($I2447=0,0,$R2447)</f>
      </c>
      <c r="K2448" s="43">
        <f>IF($I2448=0,0,IF(INDEX(DarlOhneTilgung,6)=1,0,IF(AND(INDEX(DarlTilgStart,6)&gt;0,$E2448=INDEX(DarlTilgStart,6)),$J2448*($H2448+INDEX(DarlTilgung,6))/100/12,IF(AND($G2448=0,$G2447=1),MAX($K2447,$J2448*($H2448+1)/100/12),$K2447))))</f>
      </c>
      <c r="L2448" s="43">
        <f>IF($I2448=0,0,$J2448*$H2448/100/12)</f>
      </c>
      <c r="M2448" s="43">
        <f>IF($I2448=0,0,IF(OR(INDEX(DarlOhneTilgung,6)=1,AND(INDEX(DarlTilgStart,6)&gt;0,$E2448&lt;INDEX(DarlTilgStart,6))),0,MIN(MAX(0,$K2448-$L2448),$J2448)))</f>
      </c>
      <c r="N2448" s="43">
        <f>IF($I2448=0,0,MIN(SUMIFS(SondBetrag,SondDarl,6,SondDatum,"&gt;="&amp;$E2448,SondDatum,"&lt;="&amp;EOMONTH($E2448,0)),$J2448-$M2448))</f>
      </c>
      <c r="O2448" s="43">
        <f>IF($I2448=0,0,INDEX(DarlErsatzRate,6))</f>
      </c>
      <c r="P2448" s="43">
        <f>IF($I2448=0,0,$Q2447*INDEX(DarlErsatzZins,6))</f>
      </c>
      <c r="Q2448" s="43">
        <f>IF($I2448=0,0,$Q2447+$P2448+$O2448)</f>
      </c>
      <c r="R2448" s="43">
        <f>IF($I2448=0,0,$J2448-$M2448-$N2448)</f>
      </c>
    </row>
    <row r="2449">
      <c r="A2449"/>
      <c r="B2449">
        <v>6</v>
      </c>
      <c r="C2449" s="43">
        <f>INDEX(DarlObj,6)</f>
      </c>
      <c r="D2449">
        <v>46</v>
      </c>
      <c r="E2449" s="51">
        <f>IF(INDEX(DarlBelegt,6)=0,0,EOMONTH(INDEX(DarlAuszahlung,6),45)+1)</f>
      </c>
      <c r="F2449" s="43">
        <f>IF($E2449=0,0,YEAR($E2449))</f>
      </c>
      <c r="G2449" s="43">
        <f>IF(INDEX(DarlBindung,6)="",1,IF($E2449&lt;=INDEX(DarlBindung,6),1,0))</f>
      </c>
      <c r="H2449" s="43">
        <f>IF($G2449=1,INDEX(DarlSollzins,6),INDEX(DarlAnschluss,6))</f>
      </c>
      <c r="I2449" s="43">
        <f>IF(INDEX(DarlBelegt,6)=0,0,IF(INDEX(DarlOhneTilgung,6)=1,IF(INDEX(DarlBindung,6)="",1,$G2449),IF($J2449&gt;0.005,1,0)))</f>
      </c>
      <c r="J2449" s="43">
        <f>IF($I2448=0,0,$R2448)</f>
      </c>
      <c r="K2449" s="43">
        <f>IF($I2449=0,0,IF(INDEX(DarlOhneTilgung,6)=1,0,IF(AND(INDEX(DarlTilgStart,6)&gt;0,$E2449=INDEX(DarlTilgStart,6)),$J2449*($H2449+INDEX(DarlTilgung,6))/100/12,IF(AND($G2449=0,$G2448=1),MAX($K2448,$J2449*($H2449+1)/100/12),$K2448))))</f>
      </c>
      <c r="L2449" s="43">
        <f>IF($I2449=0,0,$J2449*$H2449/100/12)</f>
      </c>
      <c r="M2449" s="43">
        <f>IF($I2449=0,0,IF(OR(INDEX(DarlOhneTilgung,6)=1,AND(INDEX(DarlTilgStart,6)&gt;0,$E2449&lt;INDEX(DarlTilgStart,6))),0,MIN(MAX(0,$K2449-$L2449),$J2449)))</f>
      </c>
      <c r="N2449" s="43">
        <f>IF($I2449=0,0,MIN(SUMIFS(SondBetrag,SondDarl,6,SondDatum,"&gt;="&amp;$E2449,SondDatum,"&lt;="&amp;EOMONTH($E2449,0)),$J2449-$M2449))</f>
      </c>
      <c r="O2449" s="43">
        <f>IF($I2449=0,0,INDEX(DarlErsatzRate,6))</f>
      </c>
      <c r="P2449" s="43">
        <f>IF($I2449=0,0,$Q2448*INDEX(DarlErsatzZins,6))</f>
      </c>
      <c r="Q2449" s="43">
        <f>IF($I2449=0,0,$Q2448+$P2449+$O2449)</f>
      </c>
      <c r="R2449" s="43">
        <f>IF($I2449=0,0,$J2449-$M2449-$N2449)</f>
      </c>
    </row>
    <row r="2450">
      <c r="A2450"/>
      <c r="B2450">
        <v>6</v>
      </c>
      <c r="C2450" s="43">
        <f>INDEX(DarlObj,6)</f>
      </c>
      <c r="D2450">
        <v>47</v>
      </c>
      <c r="E2450" s="51">
        <f>IF(INDEX(DarlBelegt,6)=0,0,EOMONTH(INDEX(DarlAuszahlung,6),46)+1)</f>
      </c>
      <c r="F2450" s="43">
        <f>IF($E2450=0,0,YEAR($E2450))</f>
      </c>
      <c r="G2450" s="43">
        <f>IF(INDEX(DarlBindung,6)="",1,IF($E2450&lt;=INDEX(DarlBindung,6),1,0))</f>
      </c>
      <c r="H2450" s="43">
        <f>IF($G2450=1,INDEX(DarlSollzins,6),INDEX(DarlAnschluss,6))</f>
      </c>
      <c r="I2450" s="43">
        <f>IF(INDEX(DarlBelegt,6)=0,0,IF(INDEX(DarlOhneTilgung,6)=1,IF(INDEX(DarlBindung,6)="",1,$G2450),IF($J2450&gt;0.005,1,0)))</f>
      </c>
      <c r="J2450" s="43">
        <f>IF($I2449=0,0,$R2449)</f>
      </c>
      <c r="K2450" s="43">
        <f>IF($I2450=0,0,IF(INDEX(DarlOhneTilgung,6)=1,0,IF(AND(INDEX(DarlTilgStart,6)&gt;0,$E2450=INDEX(DarlTilgStart,6)),$J2450*($H2450+INDEX(DarlTilgung,6))/100/12,IF(AND($G2450=0,$G2449=1),MAX($K2449,$J2450*($H2450+1)/100/12),$K2449))))</f>
      </c>
      <c r="L2450" s="43">
        <f>IF($I2450=0,0,$J2450*$H2450/100/12)</f>
      </c>
      <c r="M2450" s="43">
        <f>IF($I2450=0,0,IF(OR(INDEX(DarlOhneTilgung,6)=1,AND(INDEX(DarlTilgStart,6)&gt;0,$E2450&lt;INDEX(DarlTilgStart,6))),0,MIN(MAX(0,$K2450-$L2450),$J2450)))</f>
      </c>
      <c r="N2450" s="43">
        <f>IF($I2450=0,0,MIN(SUMIFS(SondBetrag,SondDarl,6,SondDatum,"&gt;="&amp;$E2450,SondDatum,"&lt;="&amp;EOMONTH($E2450,0)),$J2450-$M2450))</f>
      </c>
      <c r="O2450" s="43">
        <f>IF($I2450=0,0,INDEX(DarlErsatzRate,6))</f>
      </c>
      <c r="P2450" s="43">
        <f>IF($I2450=0,0,$Q2449*INDEX(DarlErsatzZins,6))</f>
      </c>
      <c r="Q2450" s="43">
        <f>IF($I2450=0,0,$Q2449+$P2450+$O2450)</f>
      </c>
      <c r="R2450" s="43">
        <f>IF($I2450=0,0,$J2450-$M2450-$N2450)</f>
      </c>
    </row>
    <row r="2451">
      <c r="A2451"/>
      <c r="B2451">
        <v>6</v>
      </c>
      <c r="C2451" s="43">
        <f>INDEX(DarlObj,6)</f>
      </c>
      <c r="D2451">
        <v>48</v>
      </c>
      <c r="E2451" s="51">
        <f>IF(INDEX(DarlBelegt,6)=0,0,EOMONTH(INDEX(DarlAuszahlung,6),47)+1)</f>
      </c>
      <c r="F2451" s="43">
        <f>IF($E2451=0,0,YEAR($E2451))</f>
      </c>
      <c r="G2451" s="43">
        <f>IF(INDEX(DarlBindung,6)="",1,IF($E2451&lt;=INDEX(DarlBindung,6),1,0))</f>
      </c>
      <c r="H2451" s="43">
        <f>IF($G2451=1,INDEX(DarlSollzins,6),INDEX(DarlAnschluss,6))</f>
      </c>
      <c r="I2451" s="43">
        <f>IF(INDEX(DarlBelegt,6)=0,0,IF(INDEX(DarlOhneTilgung,6)=1,IF(INDEX(DarlBindung,6)="",1,$G2451),IF($J2451&gt;0.005,1,0)))</f>
      </c>
      <c r="J2451" s="43">
        <f>IF($I2450=0,0,$R2450)</f>
      </c>
      <c r="K2451" s="43">
        <f>IF($I2451=0,0,IF(INDEX(DarlOhneTilgung,6)=1,0,IF(AND(INDEX(DarlTilgStart,6)&gt;0,$E2451=INDEX(DarlTilgStart,6)),$J2451*($H2451+INDEX(DarlTilgung,6))/100/12,IF(AND($G2451=0,$G2450=1),MAX($K2450,$J2451*($H2451+1)/100/12),$K2450))))</f>
      </c>
      <c r="L2451" s="43">
        <f>IF($I2451=0,0,$J2451*$H2451/100/12)</f>
      </c>
      <c r="M2451" s="43">
        <f>IF($I2451=0,0,IF(OR(INDEX(DarlOhneTilgung,6)=1,AND(INDEX(DarlTilgStart,6)&gt;0,$E2451&lt;INDEX(DarlTilgStart,6))),0,MIN(MAX(0,$K2451-$L2451),$J2451)))</f>
      </c>
      <c r="N2451" s="43">
        <f>IF($I2451=0,0,MIN(SUMIFS(SondBetrag,SondDarl,6,SondDatum,"&gt;="&amp;$E2451,SondDatum,"&lt;="&amp;EOMONTH($E2451,0)),$J2451-$M2451))</f>
      </c>
      <c r="O2451" s="43">
        <f>IF($I2451=0,0,INDEX(DarlErsatzRate,6))</f>
      </c>
      <c r="P2451" s="43">
        <f>IF($I2451=0,0,$Q2450*INDEX(DarlErsatzZins,6))</f>
      </c>
      <c r="Q2451" s="43">
        <f>IF($I2451=0,0,$Q2450+$P2451+$O2451)</f>
      </c>
      <c r="R2451" s="43">
        <f>IF($I2451=0,0,$J2451-$M2451-$N2451)</f>
      </c>
    </row>
    <row r="2452">
      <c r="A2452"/>
      <c r="B2452">
        <v>6</v>
      </c>
      <c r="C2452" s="43">
        <f>INDEX(DarlObj,6)</f>
      </c>
      <c r="D2452">
        <v>49</v>
      </c>
      <c r="E2452" s="51">
        <f>IF(INDEX(DarlBelegt,6)=0,0,EOMONTH(INDEX(DarlAuszahlung,6),48)+1)</f>
      </c>
      <c r="F2452" s="43">
        <f>IF($E2452=0,0,YEAR($E2452))</f>
      </c>
      <c r="G2452" s="43">
        <f>IF(INDEX(DarlBindung,6)="",1,IF($E2452&lt;=INDEX(DarlBindung,6),1,0))</f>
      </c>
      <c r="H2452" s="43">
        <f>IF($G2452=1,INDEX(DarlSollzins,6),INDEX(DarlAnschluss,6))</f>
      </c>
      <c r="I2452" s="43">
        <f>IF(INDEX(DarlBelegt,6)=0,0,IF(INDEX(DarlOhneTilgung,6)=1,IF(INDEX(DarlBindung,6)="",1,$G2452),IF($J2452&gt;0.005,1,0)))</f>
      </c>
      <c r="J2452" s="43">
        <f>IF($I2451=0,0,$R2451)</f>
      </c>
      <c r="K2452" s="43">
        <f>IF($I2452=0,0,IF(INDEX(DarlOhneTilgung,6)=1,0,IF(AND(INDEX(DarlTilgStart,6)&gt;0,$E2452=INDEX(DarlTilgStart,6)),$J2452*($H2452+INDEX(DarlTilgung,6))/100/12,IF(AND($G2452=0,$G2451=1),MAX($K2451,$J2452*($H2452+1)/100/12),$K2451))))</f>
      </c>
      <c r="L2452" s="43">
        <f>IF($I2452=0,0,$J2452*$H2452/100/12)</f>
      </c>
      <c r="M2452" s="43">
        <f>IF($I2452=0,0,IF(OR(INDEX(DarlOhneTilgung,6)=1,AND(INDEX(DarlTilgStart,6)&gt;0,$E2452&lt;INDEX(DarlTilgStart,6))),0,MIN(MAX(0,$K2452-$L2452),$J2452)))</f>
      </c>
      <c r="N2452" s="43">
        <f>IF($I2452=0,0,MIN(SUMIFS(SondBetrag,SondDarl,6,SondDatum,"&gt;="&amp;$E2452,SondDatum,"&lt;="&amp;EOMONTH($E2452,0)),$J2452-$M2452))</f>
      </c>
      <c r="O2452" s="43">
        <f>IF($I2452=0,0,INDEX(DarlErsatzRate,6))</f>
      </c>
      <c r="P2452" s="43">
        <f>IF($I2452=0,0,$Q2451*INDEX(DarlErsatzZins,6))</f>
      </c>
      <c r="Q2452" s="43">
        <f>IF($I2452=0,0,$Q2451+$P2452+$O2452)</f>
      </c>
      <c r="R2452" s="43">
        <f>IF($I2452=0,0,$J2452-$M2452-$N2452)</f>
      </c>
    </row>
    <row r="2453">
      <c r="A2453"/>
      <c r="B2453">
        <v>6</v>
      </c>
      <c r="C2453" s="43">
        <f>INDEX(DarlObj,6)</f>
      </c>
      <c r="D2453">
        <v>50</v>
      </c>
      <c r="E2453" s="51">
        <f>IF(INDEX(DarlBelegt,6)=0,0,EOMONTH(INDEX(DarlAuszahlung,6),49)+1)</f>
      </c>
      <c r="F2453" s="43">
        <f>IF($E2453=0,0,YEAR($E2453))</f>
      </c>
      <c r="G2453" s="43">
        <f>IF(INDEX(DarlBindung,6)="",1,IF($E2453&lt;=INDEX(DarlBindung,6),1,0))</f>
      </c>
      <c r="H2453" s="43">
        <f>IF($G2453=1,INDEX(DarlSollzins,6),INDEX(DarlAnschluss,6))</f>
      </c>
      <c r="I2453" s="43">
        <f>IF(INDEX(DarlBelegt,6)=0,0,IF(INDEX(DarlOhneTilgung,6)=1,IF(INDEX(DarlBindung,6)="",1,$G2453),IF($J2453&gt;0.005,1,0)))</f>
      </c>
      <c r="J2453" s="43">
        <f>IF($I2452=0,0,$R2452)</f>
      </c>
      <c r="K2453" s="43">
        <f>IF($I2453=0,0,IF(INDEX(DarlOhneTilgung,6)=1,0,IF(AND(INDEX(DarlTilgStart,6)&gt;0,$E2453=INDEX(DarlTilgStart,6)),$J2453*($H2453+INDEX(DarlTilgung,6))/100/12,IF(AND($G2453=0,$G2452=1),MAX($K2452,$J2453*($H2453+1)/100/12),$K2452))))</f>
      </c>
      <c r="L2453" s="43">
        <f>IF($I2453=0,0,$J2453*$H2453/100/12)</f>
      </c>
      <c r="M2453" s="43">
        <f>IF($I2453=0,0,IF(OR(INDEX(DarlOhneTilgung,6)=1,AND(INDEX(DarlTilgStart,6)&gt;0,$E2453&lt;INDEX(DarlTilgStart,6))),0,MIN(MAX(0,$K2453-$L2453),$J2453)))</f>
      </c>
      <c r="N2453" s="43">
        <f>IF($I2453=0,0,MIN(SUMIFS(SondBetrag,SondDarl,6,SondDatum,"&gt;="&amp;$E2453,SondDatum,"&lt;="&amp;EOMONTH($E2453,0)),$J2453-$M2453))</f>
      </c>
      <c r="O2453" s="43">
        <f>IF($I2453=0,0,INDEX(DarlErsatzRate,6))</f>
      </c>
      <c r="P2453" s="43">
        <f>IF($I2453=0,0,$Q2452*INDEX(DarlErsatzZins,6))</f>
      </c>
      <c r="Q2453" s="43">
        <f>IF($I2453=0,0,$Q2452+$P2453+$O2453)</f>
      </c>
      <c r="R2453" s="43">
        <f>IF($I2453=0,0,$J2453-$M2453-$N2453)</f>
      </c>
    </row>
    <row r="2454">
      <c r="A2454"/>
      <c r="B2454">
        <v>6</v>
      </c>
      <c r="C2454" s="43">
        <f>INDEX(DarlObj,6)</f>
      </c>
      <c r="D2454">
        <v>51</v>
      </c>
      <c r="E2454" s="51">
        <f>IF(INDEX(DarlBelegt,6)=0,0,EOMONTH(INDEX(DarlAuszahlung,6),50)+1)</f>
      </c>
      <c r="F2454" s="43">
        <f>IF($E2454=0,0,YEAR($E2454))</f>
      </c>
      <c r="G2454" s="43">
        <f>IF(INDEX(DarlBindung,6)="",1,IF($E2454&lt;=INDEX(DarlBindung,6),1,0))</f>
      </c>
      <c r="H2454" s="43">
        <f>IF($G2454=1,INDEX(DarlSollzins,6),INDEX(DarlAnschluss,6))</f>
      </c>
      <c r="I2454" s="43">
        <f>IF(INDEX(DarlBelegt,6)=0,0,IF(INDEX(DarlOhneTilgung,6)=1,IF(INDEX(DarlBindung,6)="",1,$G2454),IF($J2454&gt;0.005,1,0)))</f>
      </c>
      <c r="J2454" s="43">
        <f>IF($I2453=0,0,$R2453)</f>
      </c>
      <c r="K2454" s="43">
        <f>IF($I2454=0,0,IF(INDEX(DarlOhneTilgung,6)=1,0,IF(AND(INDEX(DarlTilgStart,6)&gt;0,$E2454=INDEX(DarlTilgStart,6)),$J2454*($H2454+INDEX(DarlTilgung,6))/100/12,IF(AND($G2454=0,$G2453=1),MAX($K2453,$J2454*($H2454+1)/100/12),$K2453))))</f>
      </c>
      <c r="L2454" s="43">
        <f>IF($I2454=0,0,$J2454*$H2454/100/12)</f>
      </c>
      <c r="M2454" s="43">
        <f>IF($I2454=0,0,IF(OR(INDEX(DarlOhneTilgung,6)=1,AND(INDEX(DarlTilgStart,6)&gt;0,$E2454&lt;INDEX(DarlTilgStart,6))),0,MIN(MAX(0,$K2454-$L2454),$J2454)))</f>
      </c>
      <c r="N2454" s="43">
        <f>IF($I2454=0,0,MIN(SUMIFS(SondBetrag,SondDarl,6,SondDatum,"&gt;="&amp;$E2454,SondDatum,"&lt;="&amp;EOMONTH($E2454,0)),$J2454-$M2454))</f>
      </c>
      <c r="O2454" s="43">
        <f>IF($I2454=0,0,INDEX(DarlErsatzRate,6))</f>
      </c>
      <c r="P2454" s="43">
        <f>IF($I2454=0,0,$Q2453*INDEX(DarlErsatzZins,6))</f>
      </c>
      <c r="Q2454" s="43">
        <f>IF($I2454=0,0,$Q2453+$P2454+$O2454)</f>
      </c>
      <c r="R2454" s="43">
        <f>IF($I2454=0,0,$J2454-$M2454-$N2454)</f>
      </c>
    </row>
    <row r="2455">
      <c r="A2455"/>
      <c r="B2455">
        <v>6</v>
      </c>
      <c r="C2455" s="43">
        <f>INDEX(DarlObj,6)</f>
      </c>
      <c r="D2455">
        <v>52</v>
      </c>
      <c r="E2455" s="51">
        <f>IF(INDEX(DarlBelegt,6)=0,0,EOMONTH(INDEX(DarlAuszahlung,6),51)+1)</f>
      </c>
      <c r="F2455" s="43">
        <f>IF($E2455=0,0,YEAR($E2455))</f>
      </c>
      <c r="G2455" s="43">
        <f>IF(INDEX(DarlBindung,6)="",1,IF($E2455&lt;=INDEX(DarlBindung,6),1,0))</f>
      </c>
      <c r="H2455" s="43">
        <f>IF($G2455=1,INDEX(DarlSollzins,6),INDEX(DarlAnschluss,6))</f>
      </c>
      <c r="I2455" s="43">
        <f>IF(INDEX(DarlBelegt,6)=0,0,IF(INDEX(DarlOhneTilgung,6)=1,IF(INDEX(DarlBindung,6)="",1,$G2455),IF($J2455&gt;0.005,1,0)))</f>
      </c>
      <c r="J2455" s="43">
        <f>IF($I2454=0,0,$R2454)</f>
      </c>
      <c r="K2455" s="43">
        <f>IF($I2455=0,0,IF(INDEX(DarlOhneTilgung,6)=1,0,IF(AND(INDEX(DarlTilgStart,6)&gt;0,$E2455=INDEX(DarlTilgStart,6)),$J2455*($H2455+INDEX(DarlTilgung,6))/100/12,IF(AND($G2455=0,$G2454=1),MAX($K2454,$J2455*($H2455+1)/100/12),$K2454))))</f>
      </c>
      <c r="L2455" s="43">
        <f>IF($I2455=0,0,$J2455*$H2455/100/12)</f>
      </c>
      <c r="M2455" s="43">
        <f>IF($I2455=0,0,IF(OR(INDEX(DarlOhneTilgung,6)=1,AND(INDEX(DarlTilgStart,6)&gt;0,$E2455&lt;INDEX(DarlTilgStart,6))),0,MIN(MAX(0,$K2455-$L2455),$J2455)))</f>
      </c>
      <c r="N2455" s="43">
        <f>IF($I2455=0,0,MIN(SUMIFS(SondBetrag,SondDarl,6,SondDatum,"&gt;="&amp;$E2455,SondDatum,"&lt;="&amp;EOMONTH($E2455,0)),$J2455-$M2455))</f>
      </c>
      <c r="O2455" s="43">
        <f>IF($I2455=0,0,INDEX(DarlErsatzRate,6))</f>
      </c>
      <c r="P2455" s="43">
        <f>IF($I2455=0,0,$Q2454*INDEX(DarlErsatzZins,6))</f>
      </c>
      <c r="Q2455" s="43">
        <f>IF($I2455=0,0,$Q2454+$P2455+$O2455)</f>
      </c>
      <c r="R2455" s="43">
        <f>IF($I2455=0,0,$J2455-$M2455-$N2455)</f>
      </c>
    </row>
    <row r="2456">
      <c r="A2456"/>
      <c r="B2456">
        <v>6</v>
      </c>
      <c r="C2456" s="43">
        <f>INDEX(DarlObj,6)</f>
      </c>
      <c r="D2456">
        <v>53</v>
      </c>
      <c r="E2456" s="51">
        <f>IF(INDEX(DarlBelegt,6)=0,0,EOMONTH(INDEX(DarlAuszahlung,6),52)+1)</f>
      </c>
      <c r="F2456" s="43">
        <f>IF($E2456=0,0,YEAR($E2456))</f>
      </c>
      <c r="G2456" s="43">
        <f>IF(INDEX(DarlBindung,6)="",1,IF($E2456&lt;=INDEX(DarlBindung,6),1,0))</f>
      </c>
      <c r="H2456" s="43">
        <f>IF($G2456=1,INDEX(DarlSollzins,6),INDEX(DarlAnschluss,6))</f>
      </c>
      <c r="I2456" s="43">
        <f>IF(INDEX(DarlBelegt,6)=0,0,IF(INDEX(DarlOhneTilgung,6)=1,IF(INDEX(DarlBindung,6)="",1,$G2456),IF($J2456&gt;0.005,1,0)))</f>
      </c>
      <c r="J2456" s="43">
        <f>IF($I2455=0,0,$R2455)</f>
      </c>
      <c r="K2456" s="43">
        <f>IF($I2456=0,0,IF(INDEX(DarlOhneTilgung,6)=1,0,IF(AND(INDEX(DarlTilgStart,6)&gt;0,$E2456=INDEX(DarlTilgStart,6)),$J2456*($H2456+INDEX(DarlTilgung,6))/100/12,IF(AND($G2456=0,$G2455=1),MAX($K2455,$J2456*($H2456+1)/100/12),$K2455))))</f>
      </c>
      <c r="L2456" s="43">
        <f>IF($I2456=0,0,$J2456*$H2456/100/12)</f>
      </c>
      <c r="M2456" s="43">
        <f>IF($I2456=0,0,IF(OR(INDEX(DarlOhneTilgung,6)=1,AND(INDEX(DarlTilgStart,6)&gt;0,$E2456&lt;INDEX(DarlTilgStart,6))),0,MIN(MAX(0,$K2456-$L2456),$J2456)))</f>
      </c>
      <c r="N2456" s="43">
        <f>IF($I2456=0,0,MIN(SUMIFS(SondBetrag,SondDarl,6,SondDatum,"&gt;="&amp;$E2456,SondDatum,"&lt;="&amp;EOMONTH($E2456,0)),$J2456-$M2456))</f>
      </c>
      <c r="O2456" s="43">
        <f>IF($I2456=0,0,INDEX(DarlErsatzRate,6))</f>
      </c>
      <c r="P2456" s="43">
        <f>IF($I2456=0,0,$Q2455*INDEX(DarlErsatzZins,6))</f>
      </c>
      <c r="Q2456" s="43">
        <f>IF($I2456=0,0,$Q2455+$P2456+$O2456)</f>
      </c>
      <c r="R2456" s="43">
        <f>IF($I2456=0,0,$J2456-$M2456-$N2456)</f>
      </c>
    </row>
    <row r="2457">
      <c r="A2457"/>
      <c r="B2457">
        <v>6</v>
      </c>
      <c r="C2457" s="43">
        <f>INDEX(DarlObj,6)</f>
      </c>
      <c r="D2457">
        <v>54</v>
      </c>
      <c r="E2457" s="51">
        <f>IF(INDEX(DarlBelegt,6)=0,0,EOMONTH(INDEX(DarlAuszahlung,6),53)+1)</f>
      </c>
      <c r="F2457" s="43">
        <f>IF($E2457=0,0,YEAR($E2457))</f>
      </c>
      <c r="G2457" s="43">
        <f>IF(INDEX(DarlBindung,6)="",1,IF($E2457&lt;=INDEX(DarlBindung,6),1,0))</f>
      </c>
      <c r="H2457" s="43">
        <f>IF($G2457=1,INDEX(DarlSollzins,6),INDEX(DarlAnschluss,6))</f>
      </c>
      <c r="I2457" s="43">
        <f>IF(INDEX(DarlBelegt,6)=0,0,IF(INDEX(DarlOhneTilgung,6)=1,IF(INDEX(DarlBindung,6)="",1,$G2457),IF($J2457&gt;0.005,1,0)))</f>
      </c>
      <c r="J2457" s="43">
        <f>IF($I2456=0,0,$R2456)</f>
      </c>
      <c r="K2457" s="43">
        <f>IF($I2457=0,0,IF(INDEX(DarlOhneTilgung,6)=1,0,IF(AND(INDEX(DarlTilgStart,6)&gt;0,$E2457=INDEX(DarlTilgStart,6)),$J2457*($H2457+INDEX(DarlTilgung,6))/100/12,IF(AND($G2457=0,$G2456=1),MAX($K2456,$J2457*($H2457+1)/100/12),$K2456))))</f>
      </c>
      <c r="L2457" s="43">
        <f>IF($I2457=0,0,$J2457*$H2457/100/12)</f>
      </c>
      <c r="M2457" s="43">
        <f>IF($I2457=0,0,IF(OR(INDEX(DarlOhneTilgung,6)=1,AND(INDEX(DarlTilgStart,6)&gt;0,$E2457&lt;INDEX(DarlTilgStart,6))),0,MIN(MAX(0,$K2457-$L2457),$J2457)))</f>
      </c>
      <c r="N2457" s="43">
        <f>IF($I2457=0,0,MIN(SUMIFS(SondBetrag,SondDarl,6,SondDatum,"&gt;="&amp;$E2457,SondDatum,"&lt;="&amp;EOMONTH($E2457,0)),$J2457-$M2457))</f>
      </c>
      <c r="O2457" s="43">
        <f>IF($I2457=0,0,INDEX(DarlErsatzRate,6))</f>
      </c>
      <c r="P2457" s="43">
        <f>IF($I2457=0,0,$Q2456*INDEX(DarlErsatzZins,6))</f>
      </c>
      <c r="Q2457" s="43">
        <f>IF($I2457=0,0,$Q2456+$P2457+$O2457)</f>
      </c>
      <c r="R2457" s="43">
        <f>IF($I2457=0,0,$J2457-$M2457-$N2457)</f>
      </c>
    </row>
    <row r="2458">
      <c r="A2458"/>
      <c r="B2458">
        <v>6</v>
      </c>
      <c r="C2458" s="43">
        <f>INDEX(DarlObj,6)</f>
      </c>
      <c r="D2458">
        <v>55</v>
      </c>
      <c r="E2458" s="51">
        <f>IF(INDEX(DarlBelegt,6)=0,0,EOMONTH(INDEX(DarlAuszahlung,6),54)+1)</f>
      </c>
      <c r="F2458" s="43">
        <f>IF($E2458=0,0,YEAR($E2458))</f>
      </c>
      <c r="G2458" s="43">
        <f>IF(INDEX(DarlBindung,6)="",1,IF($E2458&lt;=INDEX(DarlBindung,6),1,0))</f>
      </c>
      <c r="H2458" s="43">
        <f>IF($G2458=1,INDEX(DarlSollzins,6),INDEX(DarlAnschluss,6))</f>
      </c>
      <c r="I2458" s="43">
        <f>IF(INDEX(DarlBelegt,6)=0,0,IF(INDEX(DarlOhneTilgung,6)=1,IF(INDEX(DarlBindung,6)="",1,$G2458),IF($J2458&gt;0.005,1,0)))</f>
      </c>
      <c r="J2458" s="43">
        <f>IF($I2457=0,0,$R2457)</f>
      </c>
      <c r="K2458" s="43">
        <f>IF($I2458=0,0,IF(INDEX(DarlOhneTilgung,6)=1,0,IF(AND(INDEX(DarlTilgStart,6)&gt;0,$E2458=INDEX(DarlTilgStart,6)),$J2458*($H2458+INDEX(DarlTilgung,6))/100/12,IF(AND($G2458=0,$G2457=1),MAX($K2457,$J2458*($H2458+1)/100/12),$K2457))))</f>
      </c>
      <c r="L2458" s="43">
        <f>IF($I2458=0,0,$J2458*$H2458/100/12)</f>
      </c>
      <c r="M2458" s="43">
        <f>IF($I2458=0,0,IF(OR(INDEX(DarlOhneTilgung,6)=1,AND(INDEX(DarlTilgStart,6)&gt;0,$E2458&lt;INDEX(DarlTilgStart,6))),0,MIN(MAX(0,$K2458-$L2458),$J2458)))</f>
      </c>
      <c r="N2458" s="43">
        <f>IF($I2458=0,0,MIN(SUMIFS(SondBetrag,SondDarl,6,SondDatum,"&gt;="&amp;$E2458,SondDatum,"&lt;="&amp;EOMONTH($E2458,0)),$J2458-$M2458))</f>
      </c>
      <c r="O2458" s="43">
        <f>IF($I2458=0,0,INDEX(DarlErsatzRate,6))</f>
      </c>
      <c r="P2458" s="43">
        <f>IF($I2458=0,0,$Q2457*INDEX(DarlErsatzZins,6))</f>
      </c>
      <c r="Q2458" s="43">
        <f>IF($I2458=0,0,$Q2457+$P2458+$O2458)</f>
      </c>
      <c r="R2458" s="43">
        <f>IF($I2458=0,0,$J2458-$M2458-$N2458)</f>
      </c>
    </row>
    <row r="2459">
      <c r="A2459"/>
      <c r="B2459">
        <v>6</v>
      </c>
      <c r="C2459" s="43">
        <f>INDEX(DarlObj,6)</f>
      </c>
      <c r="D2459">
        <v>56</v>
      </c>
      <c r="E2459" s="51">
        <f>IF(INDEX(DarlBelegt,6)=0,0,EOMONTH(INDEX(DarlAuszahlung,6),55)+1)</f>
      </c>
      <c r="F2459" s="43">
        <f>IF($E2459=0,0,YEAR($E2459))</f>
      </c>
      <c r="G2459" s="43">
        <f>IF(INDEX(DarlBindung,6)="",1,IF($E2459&lt;=INDEX(DarlBindung,6),1,0))</f>
      </c>
      <c r="H2459" s="43">
        <f>IF($G2459=1,INDEX(DarlSollzins,6),INDEX(DarlAnschluss,6))</f>
      </c>
      <c r="I2459" s="43">
        <f>IF(INDEX(DarlBelegt,6)=0,0,IF(INDEX(DarlOhneTilgung,6)=1,IF(INDEX(DarlBindung,6)="",1,$G2459),IF($J2459&gt;0.005,1,0)))</f>
      </c>
      <c r="J2459" s="43">
        <f>IF($I2458=0,0,$R2458)</f>
      </c>
      <c r="K2459" s="43">
        <f>IF($I2459=0,0,IF(INDEX(DarlOhneTilgung,6)=1,0,IF(AND(INDEX(DarlTilgStart,6)&gt;0,$E2459=INDEX(DarlTilgStart,6)),$J2459*($H2459+INDEX(DarlTilgung,6))/100/12,IF(AND($G2459=0,$G2458=1),MAX($K2458,$J2459*($H2459+1)/100/12),$K2458))))</f>
      </c>
      <c r="L2459" s="43">
        <f>IF($I2459=0,0,$J2459*$H2459/100/12)</f>
      </c>
      <c r="M2459" s="43">
        <f>IF($I2459=0,0,IF(OR(INDEX(DarlOhneTilgung,6)=1,AND(INDEX(DarlTilgStart,6)&gt;0,$E2459&lt;INDEX(DarlTilgStart,6))),0,MIN(MAX(0,$K2459-$L2459),$J2459)))</f>
      </c>
      <c r="N2459" s="43">
        <f>IF($I2459=0,0,MIN(SUMIFS(SondBetrag,SondDarl,6,SondDatum,"&gt;="&amp;$E2459,SondDatum,"&lt;="&amp;EOMONTH($E2459,0)),$J2459-$M2459))</f>
      </c>
      <c r="O2459" s="43">
        <f>IF($I2459=0,0,INDEX(DarlErsatzRate,6))</f>
      </c>
      <c r="P2459" s="43">
        <f>IF($I2459=0,0,$Q2458*INDEX(DarlErsatzZins,6))</f>
      </c>
      <c r="Q2459" s="43">
        <f>IF($I2459=0,0,$Q2458+$P2459+$O2459)</f>
      </c>
      <c r="R2459" s="43">
        <f>IF($I2459=0,0,$J2459-$M2459-$N2459)</f>
      </c>
    </row>
    <row r="2460">
      <c r="A2460"/>
      <c r="B2460">
        <v>6</v>
      </c>
      <c r="C2460" s="43">
        <f>INDEX(DarlObj,6)</f>
      </c>
      <c r="D2460">
        <v>57</v>
      </c>
      <c r="E2460" s="51">
        <f>IF(INDEX(DarlBelegt,6)=0,0,EOMONTH(INDEX(DarlAuszahlung,6),56)+1)</f>
      </c>
      <c r="F2460" s="43">
        <f>IF($E2460=0,0,YEAR($E2460))</f>
      </c>
      <c r="G2460" s="43">
        <f>IF(INDEX(DarlBindung,6)="",1,IF($E2460&lt;=INDEX(DarlBindung,6),1,0))</f>
      </c>
      <c r="H2460" s="43">
        <f>IF($G2460=1,INDEX(DarlSollzins,6),INDEX(DarlAnschluss,6))</f>
      </c>
      <c r="I2460" s="43">
        <f>IF(INDEX(DarlBelegt,6)=0,0,IF(INDEX(DarlOhneTilgung,6)=1,IF(INDEX(DarlBindung,6)="",1,$G2460),IF($J2460&gt;0.005,1,0)))</f>
      </c>
      <c r="J2460" s="43">
        <f>IF($I2459=0,0,$R2459)</f>
      </c>
      <c r="K2460" s="43">
        <f>IF($I2460=0,0,IF(INDEX(DarlOhneTilgung,6)=1,0,IF(AND(INDEX(DarlTilgStart,6)&gt;0,$E2460=INDEX(DarlTilgStart,6)),$J2460*($H2460+INDEX(DarlTilgung,6))/100/12,IF(AND($G2460=0,$G2459=1),MAX($K2459,$J2460*($H2460+1)/100/12),$K2459))))</f>
      </c>
      <c r="L2460" s="43">
        <f>IF($I2460=0,0,$J2460*$H2460/100/12)</f>
      </c>
      <c r="M2460" s="43">
        <f>IF($I2460=0,0,IF(OR(INDEX(DarlOhneTilgung,6)=1,AND(INDEX(DarlTilgStart,6)&gt;0,$E2460&lt;INDEX(DarlTilgStart,6))),0,MIN(MAX(0,$K2460-$L2460),$J2460)))</f>
      </c>
      <c r="N2460" s="43">
        <f>IF($I2460=0,0,MIN(SUMIFS(SondBetrag,SondDarl,6,SondDatum,"&gt;="&amp;$E2460,SondDatum,"&lt;="&amp;EOMONTH($E2460,0)),$J2460-$M2460))</f>
      </c>
      <c r="O2460" s="43">
        <f>IF($I2460=0,0,INDEX(DarlErsatzRate,6))</f>
      </c>
      <c r="P2460" s="43">
        <f>IF($I2460=0,0,$Q2459*INDEX(DarlErsatzZins,6))</f>
      </c>
      <c r="Q2460" s="43">
        <f>IF($I2460=0,0,$Q2459+$P2460+$O2460)</f>
      </c>
      <c r="R2460" s="43">
        <f>IF($I2460=0,0,$J2460-$M2460-$N2460)</f>
      </c>
    </row>
    <row r="2461">
      <c r="A2461"/>
      <c r="B2461">
        <v>6</v>
      </c>
      <c r="C2461" s="43">
        <f>INDEX(DarlObj,6)</f>
      </c>
      <c r="D2461">
        <v>58</v>
      </c>
      <c r="E2461" s="51">
        <f>IF(INDEX(DarlBelegt,6)=0,0,EOMONTH(INDEX(DarlAuszahlung,6),57)+1)</f>
      </c>
      <c r="F2461" s="43">
        <f>IF($E2461=0,0,YEAR($E2461))</f>
      </c>
      <c r="G2461" s="43">
        <f>IF(INDEX(DarlBindung,6)="",1,IF($E2461&lt;=INDEX(DarlBindung,6),1,0))</f>
      </c>
      <c r="H2461" s="43">
        <f>IF($G2461=1,INDEX(DarlSollzins,6),INDEX(DarlAnschluss,6))</f>
      </c>
      <c r="I2461" s="43">
        <f>IF(INDEX(DarlBelegt,6)=0,0,IF(INDEX(DarlOhneTilgung,6)=1,IF(INDEX(DarlBindung,6)="",1,$G2461),IF($J2461&gt;0.005,1,0)))</f>
      </c>
      <c r="J2461" s="43">
        <f>IF($I2460=0,0,$R2460)</f>
      </c>
      <c r="K2461" s="43">
        <f>IF($I2461=0,0,IF(INDEX(DarlOhneTilgung,6)=1,0,IF(AND(INDEX(DarlTilgStart,6)&gt;0,$E2461=INDEX(DarlTilgStart,6)),$J2461*($H2461+INDEX(DarlTilgung,6))/100/12,IF(AND($G2461=0,$G2460=1),MAX($K2460,$J2461*($H2461+1)/100/12),$K2460))))</f>
      </c>
      <c r="L2461" s="43">
        <f>IF($I2461=0,0,$J2461*$H2461/100/12)</f>
      </c>
      <c r="M2461" s="43">
        <f>IF($I2461=0,0,IF(OR(INDEX(DarlOhneTilgung,6)=1,AND(INDEX(DarlTilgStart,6)&gt;0,$E2461&lt;INDEX(DarlTilgStart,6))),0,MIN(MAX(0,$K2461-$L2461),$J2461)))</f>
      </c>
      <c r="N2461" s="43">
        <f>IF($I2461=0,0,MIN(SUMIFS(SondBetrag,SondDarl,6,SondDatum,"&gt;="&amp;$E2461,SondDatum,"&lt;="&amp;EOMONTH($E2461,0)),$J2461-$M2461))</f>
      </c>
      <c r="O2461" s="43">
        <f>IF($I2461=0,0,INDEX(DarlErsatzRate,6))</f>
      </c>
      <c r="P2461" s="43">
        <f>IF($I2461=0,0,$Q2460*INDEX(DarlErsatzZins,6))</f>
      </c>
      <c r="Q2461" s="43">
        <f>IF($I2461=0,0,$Q2460+$P2461+$O2461)</f>
      </c>
      <c r="R2461" s="43">
        <f>IF($I2461=0,0,$J2461-$M2461-$N2461)</f>
      </c>
    </row>
    <row r="2462">
      <c r="A2462"/>
      <c r="B2462">
        <v>6</v>
      </c>
      <c r="C2462" s="43">
        <f>INDEX(DarlObj,6)</f>
      </c>
      <c r="D2462">
        <v>59</v>
      </c>
      <c r="E2462" s="51">
        <f>IF(INDEX(DarlBelegt,6)=0,0,EOMONTH(INDEX(DarlAuszahlung,6),58)+1)</f>
      </c>
      <c r="F2462" s="43">
        <f>IF($E2462=0,0,YEAR($E2462))</f>
      </c>
      <c r="G2462" s="43">
        <f>IF(INDEX(DarlBindung,6)="",1,IF($E2462&lt;=INDEX(DarlBindung,6),1,0))</f>
      </c>
      <c r="H2462" s="43">
        <f>IF($G2462=1,INDEX(DarlSollzins,6),INDEX(DarlAnschluss,6))</f>
      </c>
      <c r="I2462" s="43">
        <f>IF(INDEX(DarlBelegt,6)=0,0,IF(INDEX(DarlOhneTilgung,6)=1,IF(INDEX(DarlBindung,6)="",1,$G2462),IF($J2462&gt;0.005,1,0)))</f>
      </c>
      <c r="J2462" s="43">
        <f>IF($I2461=0,0,$R2461)</f>
      </c>
      <c r="K2462" s="43">
        <f>IF($I2462=0,0,IF(INDEX(DarlOhneTilgung,6)=1,0,IF(AND(INDEX(DarlTilgStart,6)&gt;0,$E2462=INDEX(DarlTilgStart,6)),$J2462*($H2462+INDEX(DarlTilgung,6))/100/12,IF(AND($G2462=0,$G2461=1),MAX($K2461,$J2462*($H2462+1)/100/12),$K2461))))</f>
      </c>
      <c r="L2462" s="43">
        <f>IF($I2462=0,0,$J2462*$H2462/100/12)</f>
      </c>
      <c r="M2462" s="43">
        <f>IF($I2462=0,0,IF(OR(INDEX(DarlOhneTilgung,6)=1,AND(INDEX(DarlTilgStart,6)&gt;0,$E2462&lt;INDEX(DarlTilgStart,6))),0,MIN(MAX(0,$K2462-$L2462),$J2462)))</f>
      </c>
      <c r="N2462" s="43">
        <f>IF($I2462=0,0,MIN(SUMIFS(SondBetrag,SondDarl,6,SondDatum,"&gt;="&amp;$E2462,SondDatum,"&lt;="&amp;EOMONTH($E2462,0)),$J2462-$M2462))</f>
      </c>
      <c r="O2462" s="43">
        <f>IF($I2462=0,0,INDEX(DarlErsatzRate,6))</f>
      </c>
      <c r="P2462" s="43">
        <f>IF($I2462=0,0,$Q2461*INDEX(DarlErsatzZins,6))</f>
      </c>
      <c r="Q2462" s="43">
        <f>IF($I2462=0,0,$Q2461+$P2462+$O2462)</f>
      </c>
      <c r="R2462" s="43">
        <f>IF($I2462=0,0,$J2462-$M2462-$N2462)</f>
      </c>
    </row>
    <row r="2463">
      <c r="A2463"/>
      <c r="B2463">
        <v>6</v>
      </c>
      <c r="C2463" s="43">
        <f>INDEX(DarlObj,6)</f>
      </c>
      <c r="D2463">
        <v>60</v>
      </c>
      <c r="E2463" s="51">
        <f>IF(INDEX(DarlBelegt,6)=0,0,EOMONTH(INDEX(DarlAuszahlung,6),59)+1)</f>
      </c>
      <c r="F2463" s="43">
        <f>IF($E2463=0,0,YEAR($E2463))</f>
      </c>
      <c r="G2463" s="43">
        <f>IF(INDEX(DarlBindung,6)="",1,IF($E2463&lt;=INDEX(DarlBindung,6),1,0))</f>
      </c>
      <c r="H2463" s="43">
        <f>IF($G2463=1,INDEX(DarlSollzins,6),INDEX(DarlAnschluss,6))</f>
      </c>
      <c r="I2463" s="43">
        <f>IF(INDEX(DarlBelegt,6)=0,0,IF(INDEX(DarlOhneTilgung,6)=1,IF(INDEX(DarlBindung,6)="",1,$G2463),IF($J2463&gt;0.005,1,0)))</f>
      </c>
      <c r="J2463" s="43">
        <f>IF($I2462=0,0,$R2462)</f>
      </c>
      <c r="K2463" s="43">
        <f>IF($I2463=0,0,IF(INDEX(DarlOhneTilgung,6)=1,0,IF(AND(INDEX(DarlTilgStart,6)&gt;0,$E2463=INDEX(DarlTilgStart,6)),$J2463*($H2463+INDEX(DarlTilgung,6))/100/12,IF(AND($G2463=0,$G2462=1),MAX($K2462,$J2463*($H2463+1)/100/12),$K2462))))</f>
      </c>
      <c r="L2463" s="43">
        <f>IF($I2463=0,0,$J2463*$H2463/100/12)</f>
      </c>
      <c r="M2463" s="43">
        <f>IF($I2463=0,0,IF(OR(INDEX(DarlOhneTilgung,6)=1,AND(INDEX(DarlTilgStart,6)&gt;0,$E2463&lt;INDEX(DarlTilgStart,6))),0,MIN(MAX(0,$K2463-$L2463),$J2463)))</f>
      </c>
      <c r="N2463" s="43">
        <f>IF($I2463=0,0,MIN(SUMIFS(SondBetrag,SondDarl,6,SondDatum,"&gt;="&amp;$E2463,SondDatum,"&lt;="&amp;EOMONTH($E2463,0)),$J2463-$M2463))</f>
      </c>
      <c r="O2463" s="43">
        <f>IF($I2463=0,0,INDEX(DarlErsatzRate,6))</f>
      </c>
      <c r="P2463" s="43">
        <f>IF($I2463=0,0,$Q2462*INDEX(DarlErsatzZins,6))</f>
      </c>
      <c r="Q2463" s="43">
        <f>IF($I2463=0,0,$Q2462+$P2463+$O2463)</f>
      </c>
      <c r="R2463" s="43">
        <f>IF($I2463=0,0,$J2463-$M2463-$N2463)</f>
      </c>
    </row>
    <row r="2464">
      <c r="A2464"/>
      <c r="B2464">
        <v>6</v>
      </c>
      <c r="C2464" s="43">
        <f>INDEX(DarlObj,6)</f>
      </c>
      <c r="D2464">
        <v>61</v>
      </c>
      <c r="E2464" s="51">
        <f>IF(INDEX(DarlBelegt,6)=0,0,EOMONTH(INDEX(DarlAuszahlung,6),60)+1)</f>
      </c>
      <c r="F2464" s="43">
        <f>IF($E2464=0,0,YEAR($E2464))</f>
      </c>
      <c r="G2464" s="43">
        <f>IF(INDEX(DarlBindung,6)="",1,IF($E2464&lt;=INDEX(DarlBindung,6),1,0))</f>
      </c>
      <c r="H2464" s="43">
        <f>IF($G2464=1,INDEX(DarlSollzins,6),INDEX(DarlAnschluss,6))</f>
      </c>
      <c r="I2464" s="43">
        <f>IF(INDEX(DarlBelegt,6)=0,0,IF(INDEX(DarlOhneTilgung,6)=1,IF(INDEX(DarlBindung,6)="",1,$G2464),IF($J2464&gt;0.005,1,0)))</f>
      </c>
      <c r="J2464" s="43">
        <f>IF($I2463=0,0,$R2463)</f>
      </c>
      <c r="K2464" s="43">
        <f>IF($I2464=0,0,IF(INDEX(DarlOhneTilgung,6)=1,0,IF(AND(INDEX(DarlTilgStart,6)&gt;0,$E2464=INDEX(DarlTilgStart,6)),$J2464*($H2464+INDEX(DarlTilgung,6))/100/12,IF(AND($G2464=0,$G2463=1),MAX($K2463,$J2464*($H2464+1)/100/12),$K2463))))</f>
      </c>
      <c r="L2464" s="43">
        <f>IF($I2464=0,0,$J2464*$H2464/100/12)</f>
      </c>
      <c r="M2464" s="43">
        <f>IF($I2464=0,0,IF(OR(INDEX(DarlOhneTilgung,6)=1,AND(INDEX(DarlTilgStart,6)&gt;0,$E2464&lt;INDEX(DarlTilgStart,6))),0,MIN(MAX(0,$K2464-$L2464),$J2464)))</f>
      </c>
      <c r="N2464" s="43">
        <f>IF($I2464=0,0,MIN(SUMIFS(SondBetrag,SondDarl,6,SondDatum,"&gt;="&amp;$E2464,SondDatum,"&lt;="&amp;EOMONTH($E2464,0)),$J2464-$M2464))</f>
      </c>
      <c r="O2464" s="43">
        <f>IF($I2464=0,0,INDEX(DarlErsatzRate,6))</f>
      </c>
      <c r="P2464" s="43">
        <f>IF($I2464=0,0,$Q2463*INDEX(DarlErsatzZins,6))</f>
      </c>
      <c r="Q2464" s="43">
        <f>IF($I2464=0,0,$Q2463+$P2464+$O2464)</f>
      </c>
      <c r="R2464" s="43">
        <f>IF($I2464=0,0,$J2464-$M2464-$N2464)</f>
      </c>
    </row>
    <row r="2465">
      <c r="A2465"/>
      <c r="B2465">
        <v>6</v>
      </c>
      <c r="C2465" s="43">
        <f>INDEX(DarlObj,6)</f>
      </c>
      <c r="D2465">
        <v>62</v>
      </c>
      <c r="E2465" s="51">
        <f>IF(INDEX(DarlBelegt,6)=0,0,EOMONTH(INDEX(DarlAuszahlung,6),61)+1)</f>
      </c>
      <c r="F2465" s="43">
        <f>IF($E2465=0,0,YEAR($E2465))</f>
      </c>
      <c r="G2465" s="43">
        <f>IF(INDEX(DarlBindung,6)="",1,IF($E2465&lt;=INDEX(DarlBindung,6),1,0))</f>
      </c>
      <c r="H2465" s="43">
        <f>IF($G2465=1,INDEX(DarlSollzins,6),INDEX(DarlAnschluss,6))</f>
      </c>
      <c r="I2465" s="43">
        <f>IF(INDEX(DarlBelegt,6)=0,0,IF(INDEX(DarlOhneTilgung,6)=1,IF(INDEX(DarlBindung,6)="",1,$G2465),IF($J2465&gt;0.005,1,0)))</f>
      </c>
      <c r="J2465" s="43">
        <f>IF($I2464=0,0,$R2464)</f>
      </c>
      <c r="K2465" s="43">
        <f>IF($I2465=0,0,IF(INDEX(DarlOhneTilgung,6)=1,0,IF(AND(INDEX(DarlTilgStart,6)&gt;0,$E2465=INDEX(DarlTilgStart,6)),$J2465*($H2465+INDEX(DarlTilgung,6))/100/12,IF(AND($G2465=0,$G2464=1),MAX($K2464,$J2465*($H2465+1)/100/12),$K2464))))</f>
      </c>
      <c r="L2465" s="43">
        <f>IF($I2465=0,0,$J2465*$H2465/100/12)</f>
      </c>
      <c r="M2465" s="43">
        <f>IF($I2465=0,0,IF(OR(INDEX(DarlOhneTilgung,6)=1,AND(INDEX(DarlTilgStart,6)&gt;0,$E2465&lt;INDEX(DarlTilgStart,6))),0,MIN(MAX(0,$K2465-$L2465),$J2465)))</f>
      </c>
      <c r="N2465" s="43">
        <f>IF($I2465=0,0,MIN(SUMIFS(SondBetrag,SondDarl,6,SondDatum,"&gt;="&amp;$E2465,SondDatum,"&lt;="&amp;EOMONTH($E2465,0)),$J2465-$M2465))</f>
      </c>
      <c r="O2465" s="43">
        <f>IF($I2465=0,0,INDEX(DarlErsatzRate,6))</f>
      </c>
      <c r="P2465" s="43">
        <f>IF($I2465=0,0,$Q2464*INDEX(DarlErsatzZins,6))</f>
      </c>
      <c r="Q2465" s="43">
        <f>IF($I2465=0,0,$Q2464+$P2465+$O2465)</f>
      </c>
      <c r="R2465" s="43">
        <f>IF($I2465=0,0,$J2465-$M2465-$N2465)</f>
      </c>
    </row>
    <row r="2466">
      <c r="A2466"/>
      <c r="B2466">
        <v>6</v>
      </c>
      <c r="C2466" s="43">
        <f>INDEX(DarlObj,6)</f>
      </c>
      <c r="D2466">
        <v>63</v>
      </c>
      <c r="E2466" s="51">
        <f>IF(INDEX(DarlBelegt,6)=0,0,EOMONTH(INDEX(DarlAuszahlung,6),62)+1)</f>
      </c>
      <c r="F2466" s="43">
        <f>IF($E2466=0,0,YEAR($E2466))</f>
      </c>
      <c r="G2466" s="43">
        <f>IF(INDEX(DarlBindung,6)="",1,IF($E2466&lt;=INDEX(DarlBindung,6),1,0))</f>
      </c>
      <c r="H2466" s="43">
        <f>IF($G2466=1,INDEX(DarlSollzins,6),INDEX(DarlAnschluss,6))</f>
      </c>
      <c r="I2466" s="43">
        <f>IF(INDEX(DarlBelegt,6)=0,0,IF(INDEX(DarlOhneTilgung,6)=1,IF(INDEX(DarlBindung,6)="",1,$G2466),IF($J2466&gt;0.005,1,0)))</f>
      </c>
      <c r="J2466" s="43">
        <f>IF($I2465=0,0,$R2465)</f>
      </c>
      <c r="K2466" s="43">
        <f>IF($I2466=0,0,IF(INDEX(DarlOhneTilgung,6)=1,0,IF(AND(INDEX(DarlTilgStart,6)&gt;0,$E2466=INDEX(DarlTilgStart,6)),$J2466*($H2466+INDEX(DarlTilgung,6))/100/12,IF(AND($G2466=0,$G2465=1),MAX($K2465,$J2466*($H2466+1)/100/12),$K2465))))</f>
      </c>
      <c r="L2466" s="43">
        <f>IF($I2466=0,0,$J2466*$H2466/100/12)</f>
      </c>
      <c r="M2466" s="43">
        <f>IF($I2466=0,0,IF(OR(INDEX(DarlOhneTilgung,6)=1,AND(INDEX(DarlTilgStart,6)&gt;0,$E2466&lt;INDEX(DarlTilgStart,6))),0,MIN(MAX(0,$K2466-$L2466),$J2466)))</f>
      </c>
      <c r="N2466" s="43">
        <f>IF($I2466=0,0,MIN(SUMIFS(SondBetrag,SondDarl,6,SondDatum,"&gt;="&amp;$E2466,SondDatum,"&lt;="&amp;EOMONTH($E2466,0)),$J2466-$M2466))</f>
      </c>
      <c r="O2466" s="43">
        <f>IF($I2466=0,0,INDEX(DarlErsatzRate,6))</f>
      </c>
      <c r="P2466" s="43">
        <f>IF($I2466=0,0,$Q2465*INDEX(DarlErsatzZins,6))</f>
      </c>
      <c r="Q2466" s="43">
        <f>IF($I2466=0,0,$Q2465+$P2466+$O2466)</f>
      </c>
      <c r="R2466" s="43">
        <f>IF($I2466=0,0,$J2466-$M2466-$N2466)</f>
      </c>
    </row>
    <row r="2467">
      <c r="A2467"/>
      <c r="B2467">
        <v>6</v>
      </c>
      <c r="C2467" s="43">
        <f>INDEX(DarlObj,6)</f>
      </c>
      <c r="D2467">
        <v>64</v>
      </c>
      <c r="E2467" s="51">
        <f>IF(INDEX(DarlBelegt,6)=0,0,EOMONTH(INDEX(DarlAuszahlung,6),63)+1)</f>
      </c>
      <c r="F2467" s="43">
        <f>IF($E2467=0,0,YEAR($E2467))</f>
      </c>
      <c r="G2467" s="43">
        <f>IF(INDEX(DarlBindung,6)="",1,IF($E2467&lt;=INDEX(DarlBindung,6),1,0))</f>
      </c>
      <c r="H2467" s="43">
        <f>IF($G2467=1,INDEX(DarlSollzins,6),INDEX(DarlAnschluss,6))</f>
      </c>
      <c r="I2467" s="43">
        <f>IF(INDEX(DarlBelegt,6)=0,0,IF(INDEX(DarlOhneTilgung,6)=1,IF(INDEX(DarlBindung,6)="",1,$G2467),IF($J2467&gt;0.005,1,0)))</f>
      </c>
      <c r="J2467" s="43">
        <f>IF($I2466=0,0,$R2466)</f>
      </c>
      <c r="K2467" s="43">
        <f>IF($I2467=0,0,IF(INDEX(DarlOhneTilgung,6)=1,0,IF(AND(INDEX(DarlTilgStart,6)&gt;0,$E2467=INDEX(DarlTilgStart,6)),$J2467*($H2467+INDEX(DarlTilgung,6))/100/12,IF(AND($G2467=0,$G2466=1),MAX($K2466,$J2467*($H2467+1)/100/12),$K2466))))</f>
      </c>
      <c r="L2467" s="43">
        <f>IF($I2467=0,0,$J2467*$H2467/100/12)</f>
      </c>
      <c r="M2467" s="43">
        <f>IF($I2467=0,0,IF(OR(INDEX(DarlOhneTilgung,6)=1,AND(INDEX(DarlTilgStart,6)&gt;0,$E2467&lt;INDEX(DarlTilgStart,6))),0,MIN(MAX(0,$K2467-$L2467),$J2467)))</f>
      </c>
      <c r="N2467" s="43">
        <f>IF($I2467=0,0,MIN(SUMIFS(SondBetrag,SondDarl,6,SondDatum,"&gt;="&amp;$E2467,SondDatum,"&lt;="&amp;EOMONTH($E2467,0)),$J2467-$M2467))</f>
      </c>
      <c r="O2467" s="43">
        <f>IF($I2467=0,0,INDEX(DarlErsatzRate,6))</f>
      </c>
      <c r="P2467" s="43">
        <f>IF($I2467=0,0,$Q2466*INDEX(DarlErsatzZins,6))</f>
      </c>
      <c r="Q2467" s="43">
        <f>IF($I2467=0,0,$Q2466+$P2467+$O2467)</f>
      </c>
      <c r="R2467" s="43">
        <f>IF($I2467=0,0,$J2467-$M2467-$N2467)</f>
      </c>
    </row>
    <row r="2468">
      <c r="A2468"/>
      <c r="B2468">
        <v>6</v>
      </c>
      <c r="C2468" s="43">
        <f>INDEX(DarlObj,6)</f>
      </c>
      <c r="D2468">
        <v>65</v>
      </c>
      <c r="E2468" s="51">
        <f>IF(INDEX(DarlBelegt,6)=0,0,EOMONTH(INDEX(DarlAuszahlung,6),64)+1)</f>
      </c>
      <c r="F2468" s="43">
        <f>IF($E2468=0,0,YEAR($E2468))</f>
      </c>
      <c r="G2468" s="43">
        <f>IF(INDEX(DarlBindung,6)="",1,IF($E2468&lt;=INDEX(DarlBindung,6),1,0))</f>
      </c>
      <c r="H2468" s="43">
        <f>IF($G2468=1,INDEX(DarlSollzins,6),INDEX(DarlAnschluss,6))</f>
      </c>
      <c r="I2468" s="43">
        <f>IF(INDEX(DarlBelegt,6)=0,0,IF(INDEX(DarlOhneTilgung,6)=1,IF(INDEX(DarlBindung,6)="",1,$G2468),IF($J2468&gt;0.005,1,0)))</f>
      </c>
      <c r="J2468" s="43">
        <f>IF($I2467=0,0,$R2467)</f>
      </c>
      <c r="K2468" s="43">
        <f>IF($I2468=0,0,IF(INDEX(DarlOhneTilgung,6)=1,0,IF(AND(INDEX(DarlTilgStart,6)&gt;0,$E2468=INDEX(DarlTilgStart,6)),$J2468*($H2468+INDEX(DarlTilgung,6))/100/12,IF(AND($G2468=0,$G2467=1),MAX($K2467,$J2468*($H2468+1)/100/12),$K2467))))</f>
      </c>
      <c r="L2468" s="43">
        <f>IF($I2468=0,0,$J2468*$H2468/100/12)</f>
      </c>
      <c r="M2468" s="43">
        <f>IF($I2468=0,0,IF(OR(INDEX(DarlOhneTilgung,6)=1,AND(INDEX(DarlTilgStart,6)&gt;0,$E2468&lt;INDEX(DarlTilgStart,6))),0,MIN(MAX(0,$K2468-$L2468),$J2468)))</f>
      </c>
      <c r="N2468" s="43">
        <f>IF($I2468=0,0,MIN(SUMIFS(SondBetrag,SondDarl,6,SondDatum,"&gt;="&amp;$E2468,SondDatum,"&lt;="&amp;EOMONTH($E2468,0)),$J2468-$M2468))</f>
      </c>
      <c r="O2468" s="43">
        <f>IF($I2468=0,0,INDEX(DarlErsatzRate,6))</f>
      </c>
      <c r="P2468" s="43">
        <f>IF($I2468=0,0,$Q2467*INDEX(DarlErsatzZins,6))</f>
      </c>
      <c r="Q2468" s="43">
        <f>IF($I2468=0,0,$Q2467+$P2468+$O2468)</f>
      </c>
      <c r="R2468" s="43">
        <f>IF($I2468=0,0,$J2468-$M2468-$N2468)</f>
      </c>
    </row>
    <row r="2469">
      <c r="A2469"/>
      <c r="B2469">
        <v>6</v>
      </c>
      <c r="C2469" s="43">
        <f>INDEX(DarlObj,6)</f>
      </c>
      <c r="D2469">
        <v>66</v>
      </c>
      <c r="E2469" s="51">
        <f>IF(INDEX(DarlBelegt,6)=0,0,EOMONTH(INDEX(DarlAuszahlung,6),65)+1)</f>
      </c>
      <c r="F2469" s="43">
        <f>IF($E2469=0,0,YEAR($E2469))</f>
      </c>
      <c r="G2469" s="43">
        <f>IF(INDEX(DarlBindung,6)="",1,IF($E2469&lt;=INDEX(DarlBindung,6),1,0))</f>
      </c>
      <c r="H2469" s="43">
        <f>IF($G2469=1,INDEX(DarlSollzins,6),INDEX(DarlAnschluss,6))</f>
      </c>
      <c r="I2469" s="43">
        <f>IF(INDEX(DarlBelegt,6)=0,0,IF(INDEX(DarlOhneTilgung,6)=1,IF(INDEX(DarlBindung,6)="",1,$G2469),IF($J2469&gt;0.005,1,0)))</f>
      </c>
      <c r="J2469" s="43">
        <f>IF($I2468=0,0,$R2468)</f>
      </c>
      <c r="K2469" s="43">
        <f>IF($I2469=0,0,IF(INDEX(DarlOhneTilgung,6)=1,0,IF(AND(INDEX(DarlTilgStart,6)&gt;0,$E2469=INDEX(DarlTilgStart,6)),$J2469*($H2469+INDEX(DarlTilgung,6))/100/12,IF(AND($G2469=0,$G2468=1),MAX($K2468,$J2469*($H2469+1)/100/12),$K2468))))</f>
      </c>
      <c r="L2469" s="43">
        <f>IF($I2469=0,0,$J2469*$H2469/100/12)</f>
      </c>
      <c r="M2469" s="43">
        <f>IF($I2469=0,0,IF(OR(INDEX(DarlOhneTilgung,6)=1,AND(INDEX(DarlTilgStart,6)&gt;0,$E2469&lt;INDEX(DarlTilgStart,6))),0,MIN(MAX(0,$K2469-$L2469),$J2469)))</f>
      </c>
      <c r="N2469" s="43">
        <f>IF($I2469=0,0,MIN(SUMIFS(SondBetrag,SondDarl,6,SondDatum,"&gt;="&amp;$E2469,SondDatum,"&lt;="&amp;EOMONTH($E2469,0)),$J2469-$M2469))</f>
      </c>
      <c r="O2469" s="43">
        <f>IF($I2469=0,0,INDEX(DarlErsatzRate,6))</f>
      </c>
      <c r="P2469" s="43">
        <f>IF($I2469=0,0,$Q2468*INDEX(DarlErsatzZins,6))</f>
      </c>
      <c r="Q2469" s="43">
        <f>IF($I2469=0,0,$Q2468+$P2469+$O2469)</f>
      </c>
      <c r="R2469" s="43">
        <f>IF($I2469=0,0,$J2469-$M2469-$N2469)</f>
      </c>
    </row>
    <row r="2470">
      <c r="A2470"/>
      <c r="B2470">
        <v>6</v>
      </c>
      <c r="C2470" s="43">
        <f>INDEX(DarlObj,6)</f>
      </c>
      <c r="D2470">
        <v>67</v>
      </c>
      <c r="E2470" s="51">
        <f>IF(INDEX(DarlBelegt,6)=0,0,EOMONTH(INDEX(DarlAuszahlung,6),66)+1)</f>
      </c>
      <c r="F2470" s="43">
        <f>IF($E2470=0,0,YEAR($E2470))</f>
      </c>
      <c r="G2470" s="43">
        <f>IF(INDEX(DarlBindung,6)="",1,IF($E2470&lt;=INDEX(DarlBindung,6),1,0))</f>
      </c>
      <c r="H2470" s="43">
        <f>IF($G2470=1,INDEX(DarlSollzins,6),INDEX(DarlAnschluss,6))</f>
      </c>
      <c r="I2470" s="43">
        <f>IF(INDEX(DarlBelegt,6)=0,0,IF(INDEX(DarlOhneTilgung,6)=1,IF(INDEX(DarlBindung,6)="",1,$G2470),IF($J2470&gt;0.005,1,0)))</f>
      </c>
      <c r="J2470" s="43">
        <f>IF($I2469=0,0,$R2469)</f>
      </c>
      <c r="K2470" s="43">
        <f>IF($I2470=0,0,IF(INDEX(DarlOhneTilgung,6)=1,0,IF(AND(INDEX(DarlTilgStart,6)&gt;0,$E2470=INDEX(DarlTilgStart,6)),$J2470*($H2470+INDEX(DarlTilgung,6))/100/12,IF(AND($G2470=0,$G2469=1),MAX($K2469,$J2470*($H2470+1)/100/12),$K2469))))</f>
      </c>
      <c r="L2470" s="43">
        <f>IF($I2470=0,0,$J2470*$H2470/100/12)</f>
      </c>
      <c r="M2470" s="43">
        <f>IF($I2470=0,0,IF(OR(INDEX(DarlOhneTilgung,6)=1,AND(INDEX(DarlTilgStart,6)&gt;0,$E2470&lt;INDEX(DarlTilgStart,6))),0,MIN(MAX(0,$K2470-$L2470),$J2470)))</f>
      </c>
      <c r="N2470" s="43">
        <f>IF($I2470=0,0,MIN(SUMIFS(SondBetrag,SondDarl,6,SondDatum,"&gt;="&amp;$E2470,SondDatum,"&lt;="&amp;EOMONTH($E2470,0)),$J2470-$M2470))</f>
      </c>
      <c r="O2470" s="43">
        <f>IF($I2470=0,0,INDEX(DarlErsatzRate,6))</f>
      </c>
      <c r="P2470" s="43">
        <f>IF($I2470=0,0,$Q2469*INDEX(DarlErsatzZins,6))</f>
      </c>
      <c r="Q2470" s="43">
        <f>IF($I2470=0,0,$Q2469+$P2470+$O2470)</f>
      </c>
      <c r="R2470" s="43">
        <f>IF($I2470=0,0,$J2470-$M2470-$N2470)</f>
      </c>
    </row>
    <row r="2471">
      <c r="A2471"/>
      <c r="B2471">
        <v>6</v>
      </c>
      <c r="C2471" s="43">
        <f>INDEX(DarlObj,6)</f>
      </c>
      <c r="D2471">
        <v>68</v>
      </c>
      <c r="E2471" s="51">
        <f>IF(INDEX(DarlBelegt,6)=0,0,EOMONTH(INDEX(DarlAuszahlung,6),67)+1)</f>
      </c>
      <c r="F2471" s="43">
        <f>IF($E2471=0,0,YEAR($E2471))</f>
      </c>
      <c r="G2471" s="43">
        <f>IF(INDEX(DarlBindung,6)="",1,IF($E2471&lt;=INDEX(DarlBindung,6),1,0))</f>
      </c>
      <c r="H2471" s="43">
        <f>IF($G2471=1,INDEX(DarlSollzins,6),INDEX(DarlAnschluss,6))</f>
      </c>
      <c r="I2471" s="43">
        <f>IF(INDEX(DarlBelegt,6)=0,0,IF(INDEX(DarlOhneTilgung,6)=1,IF(INDEX(DarlBindung,6)="",1,$G2471),IF($J2471&gt;0.005,1,0)))</f>
      </c>
      <c r="J2471" s="43">
        <f>IF($I2470=0,0,$R2470)</f>
      </c>
      <c r="K2471" s="43">
        <f>IF($I2471=0,0,IF(INDEX(DarlOhneTilgung,6)=1,0,IF(AND(INDEX(DarlTilgStart,6)&gt;0,$E2471=INDEX(DarlTilgStart,6)),$J2471*($H2471+INDEX(DarlTilgung,6))/100/12,IF(AND($G2471=0,$G2470=1),MAX($K2470,$J2471*($H2471+1)/100/12),$K2470))))</f>
      </c>
      <c r="L2471" s="43">
        <f>IF($I2471=0,0,$J2471*$H2471/100/12)</f>
      </c>
      <c r="M2471" s="43">
        <f>IF($I2471=0,0,IF(OR(INDEX(DarlOhneTilgung,6)=1,AND(INDEX(DarlTilgStart,6)&gt;0,$E2471&lt;INDEX(DarlTilgStart,6))),0,MIN(MAX(0,$K2471-$L2471),$J2471)))</f>
      </c>
      <c r="N2471" s="43">
        <f>IF($I2471=0,0,MIN(SUMIFS(SondBetrag,SondDarl,6,SondDatum,"&gt;="&amp;$E2471,SondDatum,"&lt;="&amp;EOMONTH($E2471,0)),$J2471-$M2471))</f>
      </c>
      <c r="O2471" s="43">
        <f>IF($I2471=0,0,INDEX(DarlErsatzRate,6))</f>
      </c>
      <c r="P2471" s="43">
        <f>IF($I2471=0,0,$Q2470*INDEX(DarlErsatzZins,6))</f>
      </c>
      <c r="Q2471" s="43">
        <f>IF($I2471=0,0,$Q2470+$P2471+$O2471)</f>
      </c>
      <c r="R2471" s="43">
        <f>IF($I2471=0,0,$J2471-$M2471-$N2471)</f>
      </c>
    </row>
    <row r="2472">
      <c r="A2472"/>
      <c r="B2472">
        <v>6</v>
      </c>
      <c r="C2472" s="43">
        <f>INDEX(DarlObj,6)</f>
      </c>
      <c r="D2472">
        <v>69</v>
      </c>
      <c r="E2472" s="51">
        <f>IF(INDEX(DarlBelegt,6)=0,0,EOMONTH(INDEX(DarlAuszahlung,6),68)+1)</f>
      </c>
      <c r="F2472" s="43">
        <f>IF($E2472=0,0,YEAR($E2472))</f>
      </c>
      <c r="G2472" s="43">
        <f>IF(INDEX(DarlBindung,6)="",1,IF($E2472&lt;=INDEX(DarlBindung,6),1,0))</f>
      </c>
      <c r="H2472" s="43">
        <f>IF($G2472=1,INDEX(DarlSollzins,6),INDEX(DarlAnschluss,6))</f>
      </c>
      <c r="I2472" s="43">
        <f>IF(INDEX(DarlBelegt,6)=0,0,IF(INDEX(DarlOhneTilgung,6)=1,IF(INDEX(DarlBindung,6)="",1,$G2472),IF($J2472&gt;0.005,1,0)))</f>
      </c>
      <c r="J2472" s="43">
        <f>IF($I2471=0,0,$R2471)</f>
      </c>
      <c r="K2472" s="43">
        <f>IF($I2472=0,0,IF(INDEX(DarlOhneTilgung,6)=1,0,IF(AND(INDEX(DarlTilgStart,6)&gt;0,$E2472=INDEX(DarlTilgStart,6)),$J2472*($H2472+INDEX(DarlTilgung,6))/100/12,IF(AND($G2472=0,$G2471=1),MAX($K2471,$J2472*($H2472+1)/100/12),$K2471))))</f>
      </c>
      <c r="L2472" s="43">
        <f>IF($I2472=0,0,$J2472*$H2472/100/12)</f>
      </c>
      <c r="M2472" s="43">
        <f>IF($I2472=0,0,IF(OR(INDEX(DarlOhneTilgung,6)=1,AND(INDEX(DarlTilgStart,6)&gt;0,$E2472&lt;INDEX(DarlTilgStart,6))),0,MIN(MAX(0,$K2472-$L2472),$J2472)))</f>
      </c>
      <c r="N2472" s="43">
        <f>IF($I2472=0,0,MIN(SUMIFS(SondBetrag,SondDarl,6,SondDatum,"&gt;="&amp;$E2472,SondDatum,"&lt;="&amp;EOMONTH($E2472,0)),$J2472-$M2472))</f>
      </c>
      <c r="O2472" s="43">
        <f>IF($I2472=0,0,INDEX(DarlErsatzRate,6))</f>
      </c>
      <c r="P2472" s="43">
        <f>IF($I2472=0,0,$Q2471*INDEX(DarlErsatzZins,6))</f>
      </c>
      <c r="Q2472" s="43">
        <f>IF($I2472=0,0,$Q2471+$P2472+$O2472)</f>
      </c>
      <c r="R2472" s="43">
        <f>IF($I2472=0,0,$J2472-$M2472-$N2472)</f>
      </c>
    </row>
    <row r="2473">
      <c r="A2473"/>
      <c r="B2473">
        <v>6</v>
      </c>
      <c r="C2473" s="43">
        <f>INDEX(DarlObj,6)</f>
      </c>
      <c r="D2473">
        <v>70</v>
      </c>
      <c r="E2473" s="51">
        <f>IF(INDEX(DarlBelegt,6)=0,0,EOMONTH(INDEX(DarlAuszahlung,6),69)+1)</f>
      </c>
      <c r="F2473" s="43">
        <f>IF($E2473=0,0,YEAR($E2473))</f>
      </c>
      <c r="G2473" s="43">
        <f>IF(INDEX(DarlBindung,6)="",1,IF($E2473&lt;=INDEX(DarlBindung,6),1,0))</f>
      </c>
      <c r="H2473" s="43">
        <f>IF($G2473=1,INDEX(DarlSollzins,6),INDEX(DarlAnschluss,6))</f>
      </c>
      <c r="I2473" s="43">
        <f>IF(INDEX(DarlBelegt,6)=0,0,IF(INDEX(DarlOhneTilgung,6)=1,IF(INDEX(DarlBindung,6)="",1,$G2473),IF($J2473&gt;0.005,1,0)))</f>
      </c>
      <c r="J2473" s="43">
        <f>IF($I2472=0,0,$R2472)</f>
      </c>
      <c r="K2473" s="43">
        <f>IF($I2473=0,0,IF(INDEX(DarlOhneTilgung,6)=1,0,IF(AND(INDEX(DarlTilgStart,6)&gt;0,$E2473=INDEX(DarlTilgStart,6)),$J2473*($H2473+INDEX(DarlTilgung,6))/100/12,IF(AND($G2473=0,$G2472=1),MAX($K2472,$J2473*($H2473+1)/100/12),$K2472))))</f>
      </c>
      <c r="L2473" s="43">
        <f>IF($I2473=0,0,$J2473*$H2473/100/12)</f>
      </c>
      <c r="M2473" s="43">
        <f>IF($I2473=0,0,IF(OR(INDEX(DarlOhneTilgung,6)=1,AND(INDEX(DarlTilgStart,6)&gt;0,$E2473&lt;INDEX(DarlTilgStart,6))),0,MIN(MAX(0,$K2473-$L2473),$J2473)))</f>
      </c>
      <c r="N2473" s="43">
        <f>IF($I2473=0,0,MIN(SUMIFS(SondBetrag,SondDarl,6,SondDatum,"&gt;="&amp;$E2473,SondDatum,"&lt;="&amp;EOMONTH($E2473,0)),$J2473-$M2473))</f>
      </c>
      <c r="O2473" s="43">
        <f>IF($I2473=0,0,INDEX(DarlErsatzRate,6))</f>
      </c>
      <c r="P2473" s="43">
        <f>IF($I2473=0,0,$Q2472*INDEX(DarlErsatzZins,6))</f>
      </c>
      <c r="Q2473" s="43">
        <f>IF($I2473=0,0,$Q2472+$P2473+$O2473)</f>
      </c>
      <c r="R2473" s="43">
        <f>IF($I2473=0,0,$J2473-$M2473-$N2473)</f>
      </c>
    </row>
    <row r="2474">
      <c r="A2474"/>
      <c r="B2474">
        <v>6</v>
      </c>
      <c r="C2474" s="43">
        <f>INDEX(DarlObj,6)</f>
      </c>
      <c r="D2474">
        <v>71</v>
      </c>
      <c r="E2474" s="51">
        <f>IF(INDEX(DarlBelegt,6)=0,0,EOMONTH(INDEX(DarlAuszahlung,6),70)+1)</f>
      </c>
      <c r="F2474" s="43">
        <f>IF($E2474=0,0,YEAR($E2474))</f>
      </c>
      <c r="G2474" s="43">
        <f>IF(INDEX(DarlBindung,6)="",1,IF($E2474&lt;=INDEX(DarlBindung,6),1,0))</f>
      </c>
      <c r="H2474" s="43">
        <f>IF($G2474=1,INDEX(DarlSollzins,6),INDEX(DarlAnschluss,6))</f>
      </c>
      <c r="I2474" s="43">
        <f>IF(INDEX(DarlBelegt,6)=0,0,IF(INDEX(DarlOhneTilgung,6)=1,IF(INDEX(DarlBindung,6)="",1,$G2474),IF($J2474&gt;0.005,1,0)))</f>
      </c>
      <c r="J2474" s="43">
        <f>IF($I2473=0,0,$R2473)</f>
      </c>
      <c r="K2474" s="43">
        <f>IF($I2474=0,0,IF(INDEX(DarlOhneTilgung,6)=1,0,IF(AND(INDEX(DarlTilgStart,6)&gt;0,$E2474=INDEX(DarlTilgStart,6)),$J2474*($H2474+INDEX(DarlTilgung,6))/100/12,IF(AND($G2474=0,$G2473=1),MAX($K2473,$J2474*($H2474+1)/100/12),$K2473))))</f>
      </c>
      <c r="L2474" s="43">
        <f>IF($I2474=0,0,$J2474*$H2474/100/12)</f>
      </c>
      <c r="M2474" s="43">
        <f>IF($I2474=0,0,IF(OR(INDEX(DarlOhneTilgung,6)=1,AND(INDEX(DarlTilgStart,6)&gt;0,$E2474&lt;INDEX(DarlTilgStart,6))),0,MIN(MAX(0,$K2474-$L2474),$J2474)))</f>
      </c>
      <c r="N2474" s="43">
        <f>IF($I2474=0,0,MIN(SUMIFS(SondBetrag,SondDarl,6,SondDatum,"&gt;="&amp;$E2474,SondDatum,"&lt;="&amp;EOMONTH($E2474,0)),$J2474-$M2474))</f>
      </c>
      <c r="O2474" s="43">
        <f>IF($I2474=0,0,INDEX(DarlErsatzRate,6))</f>
      </c>
      <c r="P2474" s="43">
        <f>IF($I2474=0,0,$Q2473*INDEX(DarlErsatzZins,6))</f>
      </c>
      <c r="Q2474" s="43">
        <f>IF($I2474=0,0,$Q2473+$P2474+$O2474)</f>
      </c>
      <c r="R2474" s="43">
        <f>IF($I2474=0,0,$J2474-$M2474-$N2474)</f>
      </c>
    </row>
    <row r="2475">
      <c r="A2475"/>
      <c r="B2475">
        <v>6</v>
      </c>
      <c r="C2475" s="43">
        <f>INDEX(DarlObj,6)</f>
      </c>
      <c r="D2475">
        <v>72</v>
      </c>
      <c r="E2475" s="51">
        <f>IF(INDEX(DarlBelegt,6)=0,0,EOMONTH(INDEX(DarlAuszahlung,6),71)+1)</f>
      </c>
      <c r="F2475" s="43">
        <f>IF($E2475=0,0,YEAR($E2475))</f>
      </c>
      <c r="G2475" s="43">
        <f>IF(INDEX(DarlBindung,6)="",1,IF($E2475&lt;=INDEX(DarlBindung,6),1,0))</f>
      </c>
      <c r="H2475" s="43">
        <f>IF($G2475=1,INDEX(DarlSollzins,6),INDEX(DarlAnschluss,6))</f>
      </c>
      <c r="I2475" s="43">
        <f>IF(INDEX(DarlBelegt,6)=0,0,IF(INDEX(DarlOhneTilgung,6)=1,IF(INDEX(DarlBindung,6)="",1,$G2475),IF($J2475&gt;0.005,1,0)))</f>
      </c>
      <c r="J2475" s="43">
        <f>IF($I2474=0,0,$R2474)</f>
      </c>
      <c r="K2475" s="43">
        <f>IF($I2475=0,0,IF(INDEX(DarlOhneTilgung,6)=1,0,IF(AND(INDEX(DarlTilgStart,6)&gt;0,$E2475=INDEX(DarlTilgStart,6)),$J2475*($H2475+INDEX(DarlTilgung,6))/100/12,IF(AND($G2475=0,$G2474=1),MAX($K2474,$J2475*($H2475+1)/100/12),$K2474))))</f>
      </c>
      <c r="L2475" s="43">
        <f>IF($I2475=0,0,$J2475*$H2475/100/12)</f>
      </c>
      <c r="M2475" s="43">
        <f>IF($I2475=0,0,IF(OR(INDEX(DarlOhneTilgung,6)=1,AND(INDEX(DarlTilgStart,6)&gt;0,$E2475&lt;INDEX(DarlTilgStart,6))),0,MIN(MAX(0,$K2475-$L2475),$J2475)))</f>
      </c>
      <c r="N2475" s="43">
        <f>IF($I2475=0,0,MIN(SUMIFS(SondBetrag,SondDarl,6,SondDatum,"&gt;="&amp;$E2475,SondDatum,"&lt;="&amp;EOMONTH($E2475,0)),$J2475-$M2475))</f>
      </c>
      <c r="O2475" s="43">
        <f>IF($I2475=0,0,INDEX(DarlErsatzRate,6))</f>
      </c>
      <c r="P2475" s="43">
        <f>IF($I2475=0,0,$Q2474*INDEX(DarlErsatzZins,6))</f>
      </c>
      <c r="Q2475" s="43">
        <f>IF($I2475=0,0,$Q2474+$P2475+$O2475)</f>
      </c>
      <c r="R2475" s="43">
        <f>IF($I2475=0,0,$J2475-$M2475-$N2475)</f>
      </c>
    </row>
    <row r="2476">
      <c r="A2476"/>
      <c r="B2476">
        <v>6</v>
      </c>
      <c r="C2476" s="43">
        <f>INDEX(DarlObj,6)</f>
      </c>
      <c r="D2476">
        <v>73</v>
      </c>
      <c r="E2476" s="51">
        <f>IF(INDEX(DarlBelegt,6)=0,0,EOMONTH(INDEX(DarlAuszahlung,6),72)+1)</f>
      </c>
      <c r="F2476" s="43">
        <f>IF($E2476=0,0,YEAR($E2476))</f>
      </c>
      <c r="G2476" s="43">
        <f>IF(INDEX(DarlBindung,6)="",1,IF($E2476&lt;=INDEX(DarlBindung,6),1,0))</f>
      </c>
      <c r="H2476" s="43">
        <f>IF($G2476=1,INDEX(DarlSollzins,6),INDEX(DarlAnschluss,6))</f>
      </c>
      <c r="I2476" s="43">
        <f>IF(INDEX(DarlBelegt,6)=0,0,IF(INDEX(DarlOhneTilgung,6)=1,IF(INDEX(DarlBindung,6)="",1,$G2476),IF($J2476&gt;0.005,1,0)))</f>
      </c>
      <c r="J2476" s="43">
        <f>IF($I2475=0,0,$R2475)</f>
      </c>
      <c r="K2476" s="43">
        <f>IF($I2476=0,0,IF(INDEX(DarlOhneTilgung,6)=1,0,IF(AND(INDEX(DarlTilgStart,6)&gt;0,$E2476=INDEX(DarlTilgStart,6)),$J2476*($H2476+INDEX(DarlTilgung,6))/100/12,IF(AND($G2476=0,$G2475=1),MAX($K2475,$J2476*($H2476+1)/100/12),$K2475))))</f>
      </c>
      <c r="L2476" s="43">
        <f>IF($I2476=0,0,$J2476*$H2476/100/12)</f>
      </c>
      <c r="M2476" s="43">
        <f>IF($I2476=0,0,IF(OR(INDEX(DarlOhneTilgung,6)=1,AND(INDEX(DarlTilgStart,6)&gt;0,$E2476&lt;INDEX(DarlTilgStart,6))),0,MIN(MAX(0,$K2476-$L2476),$J2476)))</f>
      </c>
      <c r="N2476" s="43">
        <f>IF($I2476=0,0,MIN(SUMIFS(SondBetrag,SondDarl,6,SondDatum,"&gt;="&amp;$E2476,SondDatum,"&lt;="&amp;EOMONTH($E2476,0)),$J2476-$M2476))</f>
      </c>
      <c r="O2476" s="43">
        <f>IF($I2476=0,0,INDEX(DarlErsatzRate,6))</f>
      </c>
      <c r="P2476" s="43">
        <f>IF($I2476=0,0,$Q2475*INDEX(DarlErsatzZins,6))</f>
      </c>
      <c r="Q2476" s="43">
        <f>IF($I2476=0,0,$Q2475+$P2476+$O2476)</f>
      </c>
      <c r="R2476" s="43">
        <f>IF($I2476=0,0,$J2476-$M2476-$N2476)</f>
      </c>
    </row>
    <row r="2477">
      <c r="A2477"/>
      <c r="B2477">
        <v>6</v>
      </c>
      <c r="C2477" s="43">
        <f>INDEX(DarlObj,6)</f>
      </c>
      <c r="D2477">
        <v>74</v>
      </c>
      <c r="E2477" s="51">
        <f>IF(INDEX(DarlBelegt,6)=0,0,EOMONTH(INDEX(DarlAuszahlung,6),73)+1)</f>
      </c>
      <c r="F2477" s="43">
        <f>IF($E2477=0,0,YEAR($E2477))</f>
      </c>
      <c r="G2477" s="43">
        <f>IF(INDEX(DarlBindung,6)="",1,IF($E2477&lt;=INDEX(DarlBindung,6),1,0))</f>
      </c>
      <c r="H2477" s="43">
        <f>IF($G2477=1,INDEX(DarlSollzins,6),INDEX(DarlAnschluss,6))</f>
      </c>
      <c r="I2477" s="43">
        <f>IF(INDEX(DarlBelegt,6)=0,0,IF(INDEX(DarlOhneTilgung,6)=1,IF(INDEX(DarlBindung,6)="",1,$G2477),IF($J2477&gt;0.005,1,0)))</f>
      </c>
      <c r="J2477" s="43">
        <f>IF($I2476=0,0,$R2476)</f>
      </c>
      <c r="K2477" s="43">
        <f>IF($I2477=0,0,IF(INDEX(DarlOhneTilgung,6)=1,0,IF(AND(INDEX(DarlTilgStart,6)&gt;0,$E2477=INDEX(DarlTilgStart,6)),$J2477*($H2477+INDEX(DarlTilgung,6))/100/12,IF(AND($G2477=0,$G2476=1),MAX($K2476,$J2477*($H2477+1)/100/12),$K2476))))</f>
      </c>
      <c r="L2477" s="43">
        <f>IF($I2477=0,0,$J2477*$H2477/100/12)</f>
      </c>
      <c r="M2477" s="43">
        <f>IF($I2477=0,0,IF(OR(INDEX(DarlOhneTilgung,6)=1,AND(INDEX(DarlTilgStart,6)&gt;0,$E2477&lt;INDEX(DarlTilgStart,6))),0,MIN(MAX(0,$K2477-$L2477),$J2477)))</f>
      </c>
      <c r="N2477" s="43">
        <f>IF($I2477=0,0,MIN(SUMIFS(SondBetrag,SondDarl,6,SondDatum,"&gt;="&amp;$E2477,SondDatum,"&lt;="&amp;EOMONTH($E2477,0)),$J2477-$M2477))</f>
      </c>
      <c r="O2477" s="43">
        <f>IF($I2477=0,0,INDEX(DarlErsatzRate,6))</f>
      </c>
      <c r="P2477" s="43">
        <f>IF($I2477=0,0,$Q2476*INDEX(DarlErsatzZins,6))</f>
      </c>
      <c r="Q2477" s="43">
        <f>IF($I2477=0,0,$Q2476+$P2477+$O2477)</f>
      </c>
      <c r="R2477" s="43">
        <f>IF($I2477=0,0,$J2477-$M2477-$N2477)</f>
      </c>
    </row>
    <row r="2478">
      <c r="A2478"/>
      <c r="B2478">
        <v>6</v>
      </c>
      <c r="C2478" s="43">
        <f>INDEX(DarlObj,6)</f>
      </c>
      <c r="D2478">
        <v>75</v>
      </c>
      <c r="E2478" s="51">
        <f>IF(INDEX(DarlBelegt,6)=0,0,EOMONTH(INDEX(DarlAuszahlung,6),74)+1)</f>
      </c>
      <c r="F2478" s="43">
        <f>IF($E2478=0,0,YEAR($E2478))</f>
      </c>
      <c r="G2478" s="43">
        <f>IF(INDEX(DarlBindung,6)="",1,IF($E2478&lt;=INDEX(DarlBindung,6),1,0))</f>
      </c>
      <c r="H2478" s="43">
        <f>IF($G2478=1,INDEX(DarlSollzins,6),INDEX(DarlAnschluss,6))</f>
      </c>
      <c r="I2478" s="43">
        <f>IF(INDEX(DarlBelegt,6)=0,0,IF(INDEX(DarlOhneTilgung,6)=1,IF(INDEX(DarlBindung,6)="",1,$G2478),IF($J2478&gt;0.005,1,0)))</f>
      </c>
      <c r="J2478" s="43">
        <f>IF($I2477=0,0,$R2477)</f>
      </c>
      <c r="K2478" s="43">
        <f>IF($I2478=0,0,IF(INDEX(DarlOhneTilgung,6)=1,0,IF(AND(INDEX(DarlTilgStart,6)&gt;0,$E2478=INDEX(DarlTilgStart,6)),$J2478*($H2478+INDEX(DarlTilgung,6))/100/12,IF(AND($G2478=0,$G2477=1),MAX($K2477,$J2478*($H2478+1)/100/12),$K2477))))</f>
      </c>
      <c r="L2478" s="43">
        <f>IF($I2478=0,0,$J2478*$H2478/100/12)</f>
      </c>
      <c r="M2478" s="43">
        <f>IF($I2478=0,0,IF(OR(INDEX(DarlOhneTilgung,6)=1,AND(INDEX(DarlTilgStart,6)&gt;0,$E2478&lt;INDEX(DarlTilgStart,6))),0,MIN(MAX(0,$K2478-$L2478),$J2478)))</f>
      </c>
      <c r="N2478" s="43">
        <f>IF($I2478=0,0,MIN(SUMIFS(SondBetrag,SondDarl,6,SondDatum,"&gt;="&amp;$E2478,SondDatum,"&lt;="&amp;EOMONTH($E2478,0)),$J2478-$M2478))</f>
      </c>
      <c r="O2478" s="43">
        <f>IF($I2478=0,0,INDEX(DarlErsatzRate,6))</f>
      </c>
      <c r="P2478" s="43">
        <f>IF($I2478=0,0,$Q2477*INDEX(DarlErsatzZins,6))</f>
      </c>
      <c r="Q2478" s="43">
        <f>IF($I2478=0,0,$Q2477+$P2478+$O2478)</f>
      </c>
      <c r="R2478" s="43">
        <f>IF($I2478=0,0,$J2478-$M2478-$N2478)</f>
      </c>
    </row>
    <row r="2479">
      <c r="A2479"/>
      <c r="B2479">
        <v>6</v>
      </c>
      <c r="C2479" s="43">
        <f>INDEX(DarlObj,6)</f>
      </c>
      <c r="D2479">
        <v>76</v>
      </c>
      <c r="E2479" s="51">
        <f>IF(INDEX(DarlBelegt,6)=0,0,EOMONTH(INDEX(DarlAuszahlung,6),75)+1)</f>
      </c>
      <c r="F2479" s="43">
        <f>IF($E2479=0,0,YEAR($E2479))</f>
      </c>
      <c r="G2479" s="43">
        <f>IF(INDEX(DarlBindung,6)="",1,IF($E2479&lt;=INDEX(DarlBindung,6),1,0))</f>
      </c>
      <c r="H2479" s="43">
        <f>IF($G2479=1,INDEX(DarlSollzins,6),INDEX(DarlAnschluss,6))</f>
      </c>
      <c r="I2479" s="43">
        <f>IF(INDEX(DarlBelegt,6)=0,0,IF(INDEX(DarlOhneTilgung,6)=1,IF(INDEX(DarlBindung,6)="",1,$G2479),IF($J2479&gt;0.005,1,0)))</f>
      </c>
      <c r="J2479" s="43">
        <f>IF($I2478=0,0,$R2478)</f>
      </c>
      <c r="K2479" s="43">
        <f>IF($I2479=0,0,IF(INDEX(DarlOhneTilgung,6)=1,0,IF(AND(INDEX(DarlTilgStart,6)&gt;0,$E2479=INDEX(DarlTilgStart,6)),$J2479*($H2479+INDEX(DarlTilgung,6))/100/12,IF(AND($G2479=0,$G2478=1),MAX($K2478,$J2479*($H2479+1)/100/12),$K2478))))</f>
      </c>
      <c r="L2479" s="43">
        <f>IF($I2479=0,0,$J2479*$H2479/100/12)</f>
      </c>
      <c r="M2479" s="43">
        <f>IF($I2479=0,0,IF(OR(INDEX(DarlOhneTilgung,6)=1,AND(INDEX(DarlTilgStart,6)&gt;0,$E2479&lt;INDEX(DarlTilgStart,6))),0,MIN(MAX(0,$K2479-$L2479),$J2479)))</f>
      </c>
      <c r="N2479" s="43">
        <f>IF($I2479=0,0,MIN(SUMIFS(SondBetrag,SondDarl,6,SondDatum,"&gt;="&amp;$E2479,SondDatum,"&lt;="&amp;EOMONTH($E2479,0)),$J2479-$M2479))</f>
      </c>
      <c r="O2479" s="43">
        <f>IF($I2479=0,0,INDEX(DarlErsatzRate,6))</f>
      </c>
      <c r="P2479" s="43">
        <f>IF($I2479=0,0,$Q2478*INDEX(DarlErsatzZins,6))</f>
      </c>
      <c r="Q2479" s="43">
        <f>IF($I2479=0,0,$Q2478+$P2479+$O2479)</f>
      </c>
      <c r="R2479" s="43">
        <f>IF($I2479=0,0,$J2479-$M2479-$N2479)</f>
      </c>
    </row>
    <row r="2480">
      <c r="A2480"/>
      <c r="B2480">
        <v>6</v>
      </c>
      <c r="C2480" s="43">
        <f>INDEX(DarlObj,6)</f>
      </c>
      <c r="D2480">
        <v>77</v>
      </c>
      <c r="E2480" s="51">
        <f>IF(INDEX(DarlBelegt,6)=0,0,EOMONTH(INDEX(DarlAuszahlung,6),76)+1)</f>
      </c>
      <c r="F2480" s="43">
        <f>IF($E2480=0,0,YEAR($E2480))</f>
      </c>
      <c r="G2480" s="43">
        <f>IF(INDEX(DarlBindung,6)="",1,IF($E2480&lt;=INDEX(DarlBindung,6),1,0))</f>
      </c>
      <c r="H2480" s="43">
        <f>IF($G2480=1,INDEX(DarlSollzins,6),INDEX(DarlAnschluss,6))</f>
      </c>
      <c r="I2480" s="43">
        <f>IF(INDEX(DarlBelegt,6)=0,0,IF(INDEX(DarlOhneTilgung,6)=1,IF(INDEX(DarlBindung,6)="",1,$G2480),IF($J2480&gt;0.005,1,0)))</f>
      </c>
      <c r="J2480" s="43">
        <f>IF($I2479=0,0,$R2479)</f>
      </c>
      <c r="K2480" s="43">
        <f>IF($I2480=0,0,IF(INDEX(DarlOhneTilgung,6)=1,0,IF(AND(INDEX(DarlTilgStart,6)&gt;0,$E2480=INDEX(DarlTilgStart,6)),$J2480*($H2480+INDEX(DarlTilgung,6))/100/12,IF(AND($G2480=0,$G2479=1),MAX($K2479,$J2480*($H2480+1)/100/12),$K2479))))</f>
      </c>
      <c r="L2480" s="43">
        <f>IF($I2480=0,0,$J2480*$H2480/100/12)</f>
      </c>
      <c r="M2480" s="43">
        <f>IF($I2480=0,0,IF(OR(INDEX(DarlOhneTilgung,6)=1,AND(INDEX(DarlTilgStart,6)&gt;0,$E2480&lt;INDEX(DarlTilgStart,6))),0,MIN(MAX(0,$K2480-$L2480),$J2480)))</f>
      </c>
      <c r="N2480" s="43">
        <f>IF($I2480=0,0,MIN(SUMIFS(SondBetrag,SondDarl,6,SondDatum,"&gt;="&amp;$E2480,SondDatum,"&lt;="&amp;EOMONTH($E2480,0)),$J2480-$M2480))</f>
      </c>
      <c r="O2480" s="43">
        <f>IF($I2480=0,0,INDEX(DarlErsatzRate,6))</f>
      </c>
      <c r="P2480" s="43">
        <f>IF($I2480=0,0,$Q2479*INDEX(DarlErsatzZins,6))</f>
      </c>
      <c r="Q2480" s="43">
        <f>IF($I2480=0,0,$Q2479+$P2480+$O2480)</f>
      </c>
      <c r="R2480" s="43">
        <f>IF($I2480=0,0,$J2480-$M2480-$N2480)</f>
      </c>
    </row>
    <row r="2481">
      <c r="A2481"/>
      <c r="B2481">
        <v>6</v>
      </c>
      <c r="C2481" s="43">
        <f>INDEX(DarlObj,6)</f>
      </c>
      <c r="D2481">
        <v>78</v>
      </c>
      <c r="E2481" s="51">
        <f>IF(INDEX(DarlBelegt,6)=0,0,EOMONTH(INDEX(DarlAuszahlung,6),77)+1)</f>
      </c>
      <c r="F2481" s="43">
        <f>IF($E2481=0,0,YEAR($E2481))</f>
      </c>
      <c r="G2481" s="43">
        <f>IF(INDEX(DarlBindung,6)="",1,IF($E2481&lt;=INDEX(DarlBindung,6),1,0))</f>
      </c>
      <c r="H2481" s="43">
        <f>IF($G2481=1,INDEX(DarlSollzins,6),INDEX(DarlAnschluss,6))</f>
      </c>
      <c r="I2481" s="43">
        <f>IF(INDEX(DarlBelegt,6)=0,0,IF(INDEX(DarlOhneTilgung,6)=1,IF(INDEX(DarlBindung,6)="",1,$G2481),IF($J2481&gt;0.005,1,0)))</f>
      </c>
      <c r="J2481" s="43">
        <f>IF($I2480=0,0,$R2480)</f>
      </c>
      <c r="K2481" s="43">
        <f>IF($I2481=0,0,IF(INDEX(DarlOhneTilgung,6)=1,0,IF(AND(INDEX(DarlTilgStart,6)&gt;0,$E2481=INDEX(DarlTilgStart,6)),$J2481*($H2481+INDEX(DarlTilgung,6))/100/12,IF(AND($G2481=0,$G2480=1),MAX($K2480,$J2481*($H2481+1)/100/12),$K2480))))</f>
      </c>
      <c r="L2481" s="43">
        <f>IF($I2481=0,0,$J2481*$H2481/100/12)</f>
      </c>
      <c r="M2481" s="43">
        <f>IF($I2481=0,0,IF(OR(INDEX(DarlOhneTilgung,6)=1,AND(INDEX(DarlTilgStart,6)&gt;0,$E2481&lt;INDEX(DarlTilgStart,6))),0,MIN(MAX(0,$K2481-$L2481),$J2481)))</f>
      </c>
      <c r="N2481" s="43">
        <f>IF($I2481=0,0,MIN(SUMIFS(SondBetrag,SondDarl,6,SondDatum,"&gt;="&amp;$E2481,SondDatum,"&lt;="&amp;EOMONTH($E2481,0)),$J2481-$M2481))</f>
      </c>
      <c r="O2481" s="43">
        <f>IF($I2481=0,0,INDEX(DarlErsatzRate,6))</f>
      </c>
      <c r="P2481" s="43">
        <f>IF($I2481=0,0,$Q2480*INDEX(DarlErsatzZins,6))</f>
      </c>
      <c r="Q2481" s="43">
        <f>IF($I2481=0,0,$Q2480+$P2481+$O2481)</f>
      </c>
      <c r="R2481" s="43">
        <f>IF($I2481=0,0,$J2481-$M2481-$N2481)</f>
      </c>
    </row>
    <row r="2482">
      <c r="A2482"/>
      <c r="B2482">
        <v>6</v>
      </c>
      <c r="C2482" s="43">
        <f>INDEX(DarlObj,6)</f>
      </c>
      <c r="D2482">
        <v>79</v>
      </c>
      <c r="E2482" s="51">
        <f>IF(INDEX(DarlBelegt,6)=0,0,EOMONTH(INDEX(DarlAuszahlung,6),78)+1)</f>
      </c>
      <c r="F2482" s="43">
        <f>IF($E2482=0,0,YEAR($E2482))</f>
      </c>
      <c r="G2482" s="43">
        <f>IF(INDEX(DarlBindung,6)="",1,IF($E2482&lt;=INDEX(DarlBindung,6),1,0))</f>
      </c>
      <c r="H2482" s="43">
        <f>IF($G2482=1,INDEX(DarlSollzins,6),INDEX(DarlAnschluss,6))</f>
      </c>
      <c r="I2482" s="43">
        <f>IF(INDEX(DarlBelegt,6)=0,0,IF(INDEX(DarlOhneTilgung,6)=1,IF(INDEX(DarlBindung,6)="",1,$G2482),IF($J2482&gt;0.005,1,0)))</f>
      </c>
      <c r="J2482" s="43">
        <f>IF($I2481=0,0,$R2481)</f>
      </c>
      <c r="K2482" s="43">
        <f>IF($I2482=0,0,IF(INDEX(DarlOhneTilgung,6)=1,0,IF(AND(INDEX(DarlTilgStart,6)&gt;0,$E2482=INDEX(DarlTilgStart,6)),$J2482*($H2482+INDEX(DarlTilgung,6))/100/12,IF(AND($G2482=0,$G2481=1),MAX($K2481,$J2482*($H2482+1)/100/12),$K2481))))</f>
      </c>
      <c r="L2482" s="43">
        <f>IF($I2482=0,0,$J2482*$H2482/100/12)</f>
      </c>
      <c r="M2482" s="43">
        <f>IF($I2482=0,0,IF(OR(INDEX(DarlOhneTilgung,6)=1,AND(INDEX(DarlTilgStart,6)&gt;0,$E2482&lt;INDEX(DarlTilgStart,6))),0,MIN(MAX(0,$K2482-$L2482),$J2482)))</f>
      </c>
      <c r="N2482" s="43">
        <f>IF($I2482=0,0,MIN(SUMIFS(SondBetrag,SondDarl,6,SondDatum,"&gt;="&amp;$E2482,SondDatum,"&lt;="&amp;EOMONTH($E2482,0)),$J2482-$M2482))</f>
      </c>
      <c r="O2482" s="43">
        <f>IF($I2482=0,0,INDEX(DarlErsatzRate,6))</f>
      </c>
      <c r="P2482" s="43">
        <f>IF($I2482=0,0,$Q2481*INDEX(DarlErsatzZins,6))</f>
      </c>
      <c r="Q2482" s="43">
        <f>IF($I2482=0,0,$Q2481+$P2482+$O2482)</f>
      </c>
      <c r="R2482" s="43">
        <f>IF($I2482=0,0,$J2482-$M2482-$N2482)</f>
      </c>
    </row>
    <row r="2483">
      <c r="A2483"/>
      <c r="B2483">
        <v>6</v>
      </c>
      <c r="C2483" s="43">
        <f>INDEX(DarlObj,6)</f>
      </c>
      <c r="D2483">
        <v>80</v>
      </c>
      <c r="E2483" s="51">
        <f>IF(INDEX(DarlBelegt,6)=0,0,EOMONTH(INDEX(DarlAuszahlung,6),79)+1)</f>
      </c>
      <c r="F2483" s="43">
        <f>IF($E2483=0,0,YEAR($E2483))</f>
      </c>
      <c r="G2483" s="43">
        <f>IF(INDEX(DarlBindung,6)="",1,IF($E2483&lt;=INDEX(DarlBindung,6),1,0))</f>
      </c>
      <c r="H2483" s="43">
        <f>IF($G2483=1,INDEX(DarlSollzins,6),INDEX(DarlAnschluss,6))</f>
      </c>
      <c r="I2483" s="43">
        <f>IF(INDEX(DarlBelegt,6)=0,0,IF(INDEX(DarlOhneTilgung,6)=1,IF(INDEX(DarlBindung,6)="",1,$G2483),IF($J2483&gt;0.005,1,0)))</f>
      </c>
      <c r="J2483" s="43">
        <f>IF($I2482=0,0,$R2482)</f>
      </c>
      <c r="K2483" s="43">
        <f>IF($I2483=0,0,IF(INDEX(DarlOhneTilgung,6)=1,0,IF(AND(INDEX(DarlTilgStart,6)&gt;0,$E2483=INDEX(DarlTilgStart,6)),$J2483*($H2483+INDEX(DarlTilgung,6))/100/12,IF(AND($G2483=0,$G2482=1),MAX($K2482,$J2483*($H2483+1)/100/12),$K2482))))</f>
      </c>
      <c r="L2483" s="43">
        <f>IF($I2483=0,0,$J2483*$H2483/100/12)</f>
      </c>
      <c r="M2483" s="43">
        <f>IF($I2483=0,0,IF(OR(INDEX(DarlOhneTilgung,6)=1,AND(INDEX(DarlTilgStart,6)&gt;0,$E2483&lt;INDEX(DarlTilgStart,6))),0,MIN(MAX(0,$K2483-$L2483),$J2483)))</f>
      </c>
      <c r="N2483" s="43">
        <f>IF($I2483=0,0,MIN(SUMIFS(SondBetrag,SondDarl,6,SondDatum,"&gt;="&amp;$E2483,SondDatum,"&lt;="&amp;EOMONTH($E2483,0)),$J2483-$M2483))</f>
      </c>
      <c r="O2483" s="43">
        <f>IF($I2483=0,0,INDEX(DarlErsatzRate,6))</f>
      </c>
      <c r="P2483" s="43">
        <f>IF($I2483=0,0,$Q2482*INDEX(DarlErsatzZins,6))</f>
      </c>
      <c r="Q2483" s="43">
        <f>IF($I2483=0,0,$Q2482+$P2483+$O2483)</f>
      </c>
      <c r="R2483" s="43">
        <f>IF($I2483=0,0,$J2483-$M2483-$N2483)</f>
      </c>
    </row>
    <row r="2484">
      <c r="A2484"/>
      <c r="B2484">
        <v>6</v>
      </c>
      <c r="C2484" s="43">
        <f>INDEX(DarlObj,6)</f>
      </c>
      <c r="D2484">
        <v>81</v>
      </c>
      <c r="E2484" s="51">
        <f>IF(INDEX(DarlBelegt,6)=0,0,EOMONTH(INDEX(DarlAuszahlung,6),80)+1)</f>
      </c>
      <c r="F2484" s="43">
        <f>IF($E2484=0,0,YEAR($E2484))</f>
      </c>
      <c r="G2484" s="43">
        <f>IF(INDEX(DarlBindung,6)="",1,IF($E2484&lt;=INDEX(DarlBindung,6),1,0))</f>
      </c>
      <c r="H2484" s="43">
        <f>IF($G2484=1,INDEX(DarlSollzins,6),INDEX(DarlAnschluss,6))</f>
      </c>
      <c r="I2484" s="43">
        <f>IF(INDEX(DarlBelegt,6)=0,0,IF(INDEX(DarlOhneTilgung,6)=1,IF(INDEX(DarlBindung,6)="",1,$G2484),IF($J2484&gt;0.005,1,0)))</f>
      </c>
      <c r="J2484" s="43">
        <f>IF($I2483=0,0,$R2483)</f>
      </c>
      <c r="K2484" s="43">
        <f>IF($I2484=0,0,IF(INDEX(DarlOhneTilgung,6)=1,0,IF(AND(INDEX(DarlTilgStart,6)&gt;0,$E2484=INDEX(DarlTilgStart,6)),$J2484*($H2484+INDEX(DarlTilgung,6))/100/12,IF(AND($G2484=0,$G2483=1),MAX($K2483,$J2484*($H2484+1)/100/12),$K2483))))</f>
      </c>
      <c r="L2484" s="43">
        <f>IF($I2484=0,0,$J2484*$H2484/100/12)</f>
      </c>
      <c r="M2484" s="43">
        <f>IF($I2484=0,0,IF(OR(INDEX(DarlOhneTilgung,6)=1,AND(INDEX(DarlTilgStart,6)&gt;0,$E2484&lt;INDEX(DarlTilgStart,6))),0,MIN(MAX(0,$K2484-$L2484),$J2484)))</f>
      </c>
      <c r="N2484" s="43">
        <f>IF($I2484=0,0,MIN(SUMIFS(SondBetrag,SondDarl,6,SondDatum,"&gt;="&amp;$E2484,SondDatum,"&lt;="&amp;EOMONTH($E2484,0)),$J2484-$M2484))</f>
      </c>
      <c r="O2484" s="43">
        <f>IF($I2484=0,0,INDEX(DarlErsatzRate,6))</f>
      </c>
      <c r="P2484" s="43">
        <f>IF($I2484=0,0,$Q2483*INDEX(DarlErsatzZins,6))</f>
      </c>
      <c r="Q2484" s="43">
        <f>IF($I2484=0,0,$Q2483+$P2484+$O2484)</f>
      </c>
      <c r="R2484" s="43">
        <f>IF($I2484=0,0,$J2484-$M2484-$N2484)</f>
      </c>
    </row>
    <row r="2485">
      <c r="A2485"/>
      <c r="B2485">
        <v>6</v>
      </c>
      <c r="C2485" s="43">
        <f>INDEX(DarlObj,6)</f>
      </c>
      <c r="D2485">
        <v>82</v>
      </c>
      <c r="E2485" s="51">
        <f>IF(INDEX(DarlBelegt,6)=0,0,EOMONTH(INDEX(DarlAuszahlung,6),81)+1)</f>
      </c>
      <c r="F2485" s="43">
        <f>IF($E2485=0,0,YEAR($E2485))</f>
      </c>
      <c r="G2485" s="43">
        <f>IF(INDEX(DarlBindung,6)="",1,IF($E2485&lt;=INDEX(DarlBindung,6),1,0))</f>
      </c>
      <c r="H2485" s="43">
        <f>IF($G2485=1,INDEX(DarlSollzins,6),INDEX(DarlAnschluss,6))</f>
      </c>
      <c r="I2485" s="43">
        <f>IF(INDEX(DarlBelegt,6)=0,0,IF(INDEX(DarlOhneTilgung,6)=1,IF(INDEX(DarlBindung,6)="",1,$G2485),IF($J2485&gt;0.005,1,0)))</f>
      </c>
      <c r="J2485" s="43">
        <f>IF($I2484=0,0,$R2484)</f>
      </c>
      <c r="K2485" s="43">
        <f>IF($I2485=0,0,IF(INDEX(DarlOhneTilgung,6)=1,0,IF(AND(INDEX(DarlTilgStart,6)&gt;0,$E2485=INDEX(DarlTilgStart,6)),$J2485*($H2485+INDEX(DarlTilgung,6))/100/12,IF(AND($G2485=0,$G2484=1),MAX($K2484,$J2485*($H2485+1)/100/12),$K2484))))</f>
      </c>
      <c r="L2485" s="43">
        <f>IF($I2485=0,0,$J2485*$H2485/100/12)</f>
      </c>
      <c r="M2485" s="43">
        <f>IF($I2485=0,0,IF(OR(INDEX(DarlOhneTilgung,6)=1,AND(INDEX(DarlTilgStart,6)&gt;0,$E2485&lt;INDEX(DarlTilgStart,6))),0,MIN(MAX(0,$K2485-$L2485),$J2485)))</f>
      </c>
      <c r="N2485" s="43">
        <f>IF($I2485=0,0,MIN(SUMIFS(SondBetrag,SondDarl,6,SondDatum,"&gt;="&amp;$E2485,SondDatum,"&lt;="&amp;EOMONTH($E2485,0)),$J2485-$M2485))</f>
      </c>
      <c r="O2485" s="43">
        <f>IF($I2485=0,0,INDEX(DarlErsatzRate,6))</f>
      </c>
      <c r="P2485" s="43">
        <f>IF($I2485=0,0,$Q2484*INDEX(DarlErsatzZins,6))</f>
      </c>
      <c r="Q2485" s="43">
        <f>IF($I2485=0,0,$Q2484+$P2485+$O2485)</f>
      </c>
      <c r="R2485" s="43">
        <f>IF($I2485=0,0,$J2485-$M2485-$N2485)</f>
      </c>
    </row>
    <row r="2486">
      <c r="A2486"/>
      <c r="B2486">
        <v>6</v>
      </c>
      <c r="C2486" s="43">
        <f>INDEX(DarlObj,6)</f>
      </c>
      <c r="D2486">
        <v>83</v>
      </c>
      <c r="E2486" s="51">
        <f>IF(INDEX(DarlBelegt,6)=0,0,EOMONTH(INDEX(DarlAuszahlung,6),82)+1)</f>
      </c>
      <c r="F2486" s="43">
        <f>IF($E2486=0,0,YEAR($E2486))</f>
      </c>
      <c r="G2486" s="43">
        <f>IF(INDEX(DarlBindung,6)="",1,IF($E2486&lt;=INDEX(DarlBindung,6),1,0))</f>
      </c>
      <c r="H2486" s="43">
        <f>IF($G2486=1,INDEX(DarlSollzins,6),INDEX(DarlAnschluss,6))</f>
      </c>
      <c r="I2486" s="43">
        <f>IF(INDEX(DarlBelegt,6)=0,0,IF(INDEX(DarlOhneTilgung,6)=1,IF(INDEX(DarlBindung,6)="",1,$G2486),IF($J2486&gt;0.005,1,0)))</f>
      </c>
      <c r="J2486" s="43">
        <f>IF($I2485=0,0,$R2485)</f>
      </c>
      <c r="K2486" s="43">
        <f>IF($I2486=0,0,IF(INDEX(DarlOhneTilgung,6)=1,0,IF(AND(INDEX(DarlTilgStart,6)&gt;0,$E2486=INDEX(DarlTilgStart,6)),$J2486*($H2486+INDEX(DarlTilgung,6))/100/12,IF(AND($G2486=0,$G2485=1),MAX($K2485,$J2486*($H2486+1)/100/12),$K2485))))</f>
      </c>
      <c r="L2486" s="43">
        <f>IF($I2486=0,0,$J2486*$H2486/100/12)</f>
      </c>
      <c r="M2486" s="43">
        <f>IF($I2486=0,0,IF(OR(INDEX(DarlOhneTilgung,6)=1,AND(INDEX(DarlTilgStart,6)&gt;0,$E2486&lt;INDEX(DarlTilgStart,6))),0,MIN(MAX(0,$K2486-$L2486),$J2486)))</f>
      </c>
      <c r="N2486" s="43">
        <f>IF($I2486=0,0,MIN(SUMIFS(SondBetrag,SondDarl,6,SondDatum,"&gt;="&amp;$E2486,SondDatum,"&lt;="&amp;EOMONTH($E2486,0)),$J2486-$M2486))</f>
      </c>
      <c r="O2486" s="43">
        <f>IF($I2486=0,0,INDEX(DarlErsatzRate,6))</f>
      </c>
      <c r="P2486" s="43">
        <f>IF($I2486=0,0,$Q2485*INDEX(DarlErsatzZins,6))</f>
      </c>
      <c r="Q2486" s="43">
        <f>IF($I2486=0,0,$Q2485+$P2486+$O2486)</f>
      </c>
      <c r="R2486" s="43">
        <f>IF($I2486=0,0,$J2486-$M2486-$N2486)</f>
      </c>
    </row>
    <row r="2487">
      <c r="A2487"/>
      <c r="B2487">
        <v>6</v>
      </c>
      <c r="C2487" s="43">
        <f>INDEX(DarlObj,6)</f>
      </c>
      <c r="D2487">
        <v>84</v>
      </c>
      <c r="E2487" s="51">
        <f>IF(INDEX(DarlBelegt,6)=0,0,EOMONTH(INDEX(DarlAuszahlung,6),83)+1)</f>
      </c>
      <c r="F2487" s="43">
        <f>IF($E2487=0,0,YEAR($E2487))</f>
      </c>
      <c r="G2487" s="43">
        <f>IF(INDEX(DarlBindung,6)="",1,IF($E2487&lt;=INDEX(DarlBindung,6),1,0))</f>
      </c>
      <c r="H2487" s="43">
        <f>IF($G2487=1,INDEX(DarlSollzins,6),INDEX(DarlAnschluss,6))</f>
      </c>
      <c r="I2487" s="43">
        <f>IF(INDEX(DarlBelegt,6)=0,0,IF(INDEX(DarlOhneTilgung,6)=1,IF(INDEX(DarlBindung,6)="",1,$G2487),IF($J2487&gt;0.005,1,0)))</f>
      </c>
      <c r="J2487" s="43">
        <f>IF($I2486=0,0,$R2486)</f>
      </c>
      <c r="K2487" s="43">
        <f>IF($I2487=0,0,IF(INDEX(DarlOhneTilgung,6)=1,0,IF(AND(INDEX(DarlTilgStart,6)&gt;0,$E2487=INDEX(DarlTilgStart,6)),$J2487*($H2487+INDEX(DarlTilgung,6))/100/12,IF(AND($G2487=0,$G2486=1),MAX($K2486,$J2487*($H2487+1)/100/12),$K2486))))</f>
      </c>
      <c r="L2487" s="43">
        <f>IF($I2487=0,0,$J2487*$H2487/100/12)</f>
      </c>
      <c r="M2487" s="43">
        <f>IF($I2487=0,0,IF(OR(INDEX(DarlOhneTilgung,6)=1,AND(INDEX(DarlTilgStart,6)&gt;0,$E2487&lt;INDEX(DarlTilgStart,6))),0,MIN(MAX(0,$K2487-$L2487),$J2487)))</f>
      </c>
      <c r="N2487" s="43">
        <f>IF($I2487=0,0,MIN(SUMIFS(SondBetrag,SondDarl,6,SondDatum,"&gt;="&amp;$E2487,SondDatum,"&lt;="&amp;EOMONTH($E2487,0)),$J2487-$M2487))</f>
      </c>
      <c r="O2487" s="43">
        <f>IF($I2487=0,0,INDEX(DarlErsatzRate,6))</f>
      </c>
      <c r="P2487" s="43">
        <f>IF($I2487=0,0,$Q2486*INDEX(DarlErsatzZins,6))</f>
      </c>
      <c r="Q2487" s="43">
        <f>IF($I2487=0,0,$Q2486+$P2487+$O2487)</f>
      </c>
      <c r="R2487" s="43">
        <f>IF($I2487=0,0,$J2487-$M2487-$N2487)</f>
      </c>
    </row>
    <row r="2488">
      <c r="A2488"/>
      <c r="B2488">
        <v>6</v>
      </c>
      <c r="C2488" s="43">
        <f>INDEX(DarlObj,6)</f>
      </c>
      <c r="D2488">
        <v>85</v>
      </c>
      <c r="E2488" s="51">
        <f>IF(INDEX(DarlBelegt,6)=0,0,EOMONTH(INDEX(DarlAuszahlung,6),84)+1)</f>
      </c>
      <c r="F2488" s="43">
        <f>IF($E2488=0,0,YEAR($E2488))</f>
      </c>
      <c r="G2488" s="43">
        <f>IF(INDEX(DarlBindung,6)="",1,IF($E2488&lt;=INDEX(DarlBindung,6),1,0))</f>
      </c>
      <c r="H2488" s="43">
        <f>IF($G2488=1,INDEX(DarlSollzins,6),INDEX(DarlAnschluss,6))</f>
      </c>
      <c r="I2488" s="43">
        <f>IF(INDEX(DarlBelegt,6)=0,0,IF(INDEX(DarlOhneTilgung,6)=1,IF(INDEX(DarlBindung,6)="",1,$G2488),IF($J2488&gt;0.005,1,0)))</f>
      </c>
      <c r="J2488" s="43">
        <f>IF($I2487=0,0,$R2487)</f>
      </c>
      <c r="K2488" s="43">
        <f>IF($I2488=0,0,IF(INDEX(DarlOhneTilgung,6)=1,0,IF(AND(INDEX(DarlTilgStart,6)&gt;0,$E2488=INDEX(DarlTilgStart,6)),$J2488*($H2488+INDEX(DarlTilgung,6))/100/12,IF(AND($G2488=0,$G2487=1),MAX($K2487,$J2488*($H2488+1)/100/12),$K2487))))</f>
      </c>
      <c r="L2488" s="43">
        <f>IF($I2488=0,0,$J2488*$H2488/100/12)</f>
      </c>
      <c r="M2488" s="43">
        <f>IF($I2488=0,0,IF(OR(INDEX(DarlOhneTilgung,6)=1,AND(INDEX(DarlTilgStart,6)&gt;0,$E2488&lt;INDEX(DarlTilgStart,6))),0,MIN(MAX(0,$K2488-$L2488),$J2488)))</f>
      </c>
      <c r="N2488" s="43">
        <f>IF($I2488=0,0,MIN(SUMIFS(SondBetrag,SondDarl,6,SondDatum,"&gt;="&amp;$E2488,SondDatum,"&lt;="&amp;EOMONTH($E2488,0)),$J2488-$M2488))</f>
      </c>
      <c r="O2488" s="43">
        <f>IF($I2488=0,0,INDEX(DarlErsatzRate,6))</f>
      </c>
      <c r="P2488" s="43">
        <f>IF($I2488=0,0,$Q2487*INDEX(DarlErsatzZins,6))</f>
      </c>
      <c r="Q2488" s="43">
        <f>IF($I2488=0,0,$Q2487+$P2488+$O2488)</f>
      </c>
      <c r="R2488" s="43">
        <f>IF($I2488=0,0,$J2488-$M2488-$N2488)</f>
      </c>
    </row>
    <row r="2489">
      <c r="A2489"/>
      <c r="B2489">
        <v>6</v>
      </c>
      <c r="C2489" s="43">
        <f>INDEX(DarlObj,6)</f>
      </c>
      <c r="D2489">
        <v>86</v>
      </c>
      <c r="E2489" s="51">
        <f>IF(INDEX(DarlBelegt,6)=0,0,EOMONTH(INDEX(DarlAuszahlung,6),85)+1)</f>
      </c>
      <c r="F2489" s="43">
        <f>IF($E2489=0,0,YEAR($E2489))</f>
      </c>
      <c r="G2489" s="43">
        <f>IF(INDEX(DarlBindung,6)="",1,IF($E2489&lt;=INDEX(DarlBindung,6),1,0))</f>
      </c>
      <c r="H2489" s="43">
        <f>IF($G2489=1,INDEX(DarlSollzins,6),INDEX(DarlAnschluss,6))</f>
      </c>
      <c r="I2489" s="43">
        <f>IF(INDEX(DarlBelegt,6)=0,0,IF(INDEX(DarlOhneTilgung,6)=1,IF(INDEX(DarlBindung,6)="",1,$G2489),IF($J2489&gt;0.005,1,0)))</f>
      </c>
      <c r="J2489" s="43">
        <f>IF($I2488=0,0,$R2488)</f>
      </c>
      <c r="K2489" s="43">
        <f>IF($I2489=0,0,IF(INDEX(DarlOhneTilgung,6)=1,0,IF(AND(INDEX(DarlTilgStart,6)&gt;0,$E2489=INDEX(DarlTilgStart,6)),$J2489*($H2489+INDEX(DarlTilgung,6))/100/12,IF(AND($G2489=0,$G2488=1),MAX($K2488,$J2489*($H2489+1)/100/12),$K2488))))</f>
      </c>
      <c r="L2489" s="43">
        <f>IF($I2489=0,0,$J2489*$H2489/100/12)</f>
      </c>
      <c r="M2489" s="43">
        <f>IF($I2489=0,0,IF(OR(INDEX(DarlOhneTilgung,6)=1,AND(INDEX(DarlTilgStart,6)&gt;0,$E2489&lt;INDEX(DarlTilgStart,6))),0,MIN(MAX(0,$K2489-$L2489),$J2489)))</f>
      </c>
      <c r="N2489" s="43">
        <f>IF($I2489=0,0,MIN(SUMIFS(SondBetrag,SondDarl,6,SondDatum,"&gt;="&amp;$E2489,SondDatum,"&lt;="&amp;EOMONTH($E2489,0)),$J2489-$M2489))</f>
      </c>
      <c r="O2489" s="43">
        <f>IF($I2489=0,0,INDEX(DarlErsatzRate,6))</f>
      </c>
      <c r="P2489" s="43">
        <f>IF($I2489=0,0,$Q2488*INDEX(DarlErsatzZins,6))</f>
      </c>
      <c r="Q2489" s="43">
        <f>IF($I2489=0,0,$Q2488+$P2489+$O2489)</f>
      </c>
      <c r="R2489" s="43">
        <f>IF($I2489=0,0,$J2489-$M2489-$N2489)</f>
      </c>
    </row>
    <row r="2490">
      <c r="A2490"/>
      <c r="B2490">
        <v>6</v>
      </c>
      <c r="C2490" s="43">
        <f>INDEX(DarlObj,6)</f>
      </c>
      <c r="D2490">
        <v>87</v>
      </c>
      <c r="E2490" s="51">
        <f>IF(INDEX(DarlBelegt,6)=0,0,EOMONTH(INDEX(DarlAuszahlung,6),86)+1)</f>
      </c>
      <c r="F2490" s="43">
        <f>IF($E2490=0,0,YEAR($E2490))</f>
      </c>
      <c r="G2490" s="43">
        <f>IF(INDEX(DarlBindung,6)="",1,IF($E2490&lt;=INDEX(DarlBindung,6),1,0))</f>
      </c>
      <c r="H2490" s="43">
        <f>IF($G2490=1,INDEX(DarlSollzins,6),INDEX(DarlAnschluss,6))</f>
      </c>
      <c r="I2490" s="43">
        <f>IF(INDEX(DarlBelegt,6)=0,0,IF(INDEX(DarlOhneTilgung,6)=1,IF(INDEX(DarlBindung,6)="",1,$G2490),IF($J2490&gt;0.005,1,0)))</f>
      </c>
      <c r="J2490" s="43">
        <f>IF($I2489=0,0,$R2489)</f>
      </c>
      <c r="K2490" s="43">
        <f>IF($I2490=0,0,IF(INDEX(DarlOhneTilgung,6)=1,0,IF(AND(INDEX(DarlTilgStart,6)&gt;0,$E2490=INDEX(DarlTilgStart,6)),$J2490*($H2490+INDEX(DarlTilgung,6))/100/12,IF(AND($G2490=0,$G2489=1),MAX($K2489,$J2490*($H2490+1)/100/12),$K2489))))</f>
      </c>
      <c r="L2490" s="43">
        <f>IF($I2490=0,0,$J2490*$H2490/100/12)</f>
      </c>
      <c r="M2490" s="43">
        <f>IF($I2490=0,0,IF(OR(INDEX(DarlOhneTilgung,6)=1,AND(INDEX(DarlTilgStart,6)&gt;0,$E2490&lt;INDEX(DarlTilgStart,6))),0,MIN(MAX(0,$K2490-$L2490),$J2490)))</f>
      </c>
      <c r="N2490" s="43">
        <f>IF($I2490=0,0,MIN(SUMIFS(SondBetrag,SondDarl,6,SondDatum,"&gt;="&amp;$E2490,SondDatum,"&lt;="&amp;EOMONTH($E2490,0)),$J2490-$M2490))</f>
      </c>
      <c r="O2490" s="43">
        <f>IF($I2490=0,0,INDEX(DarlErsatzRate,6))</f>
      </c>
      <c r="P2490" s="43">
        <f>IF($I2490=0,0,$Q2489*INDEX(DarlErsatzZins,6))</f>
      </c>
      <c r="Q2490" s="43">
        <f>IF($I2490=0,0,$Q2489+$P2490+$O2490)</f>
      </c>
      <c r="R2490" s="43">
        <f>IF($I2490=0,0,$J2490-$M2490-$N2490)</f>
      </c>
    </row>
    <row r="2491">
      <c r="A2491"/>
      <c r="B2491">
        <v>6</v>
      </c>
      <c r="C2491" s="43">
        <f>INDEX(DarlObj,6)</f>
      </c>
      <c r="D2491">
        <v>88</v>
      </c>
      <c r="E2491" s="51">
        <f>IF(INDEX(DarlBelegt,6)=0,0,EOMONTH(INDEX(DarlAuszahlung,6),87)+1)</f>
      </c>
      <c r="F2491" s="43">
        <f>IF($E2491=0,0,YEAR($E2491))</f>
      </c>
      <c r="G2491" s="43">
        <f>IF(INDEX(DarlBindung,6)="",1,IF($E2491&lt;=INDEX(DarlBindung,6),1,0))</f>
      </c>
      <c r="H2491" s="43">
        <f>IF($G2491=1,INDEX(DarlSollzins,6),INDEX(DarlAnschluss,6))</f>
      </c>
      <c r="I2491" s="43">
        <f>IF(INDEX(DarlBelegt,6)=0,0,IF(INDEX(DarlOhneTilgung,6)=1,IF(INDEX(DarlBindung,6)="",1,$G2491),IF($J2491&gt;0.005,1,0)))</f>
      </c>
      <c r="J2491" s="43">
        <f>IF($I2490=0,0,$R2490)</f>
      </c>
      <c r="K2491" s="43">
        <f>IF($I2491=0,0,IF(INDEX(DarlOhneTilgung,6)=1,0,IF(AND(INDEX(DarlTilgStart,6)&gt;0,$E2491=INDEX(DarlTilgStart,6)),$J2491*($H2491+INDEX(DarlTilgung,6))/100/12,IF(AND($G2491=0,$G2490=1),MAX($K2490,$J2491*($H2491+1)/100/12),$K2490))))</f>
      </c>
      <c r="L2491" s="43">
        <f>IF($I2491=0,0,$J2491*$H2491/100/12)</f>
      </c>
      <c r="M2491" s="43">
        <f>IF($I2491=0,0,IF(OR(INDEX(DarlOhneTilgung,6)=1,AND(INDEX(DarlTilgStart,6)&gt;0,$E2491&lt;INDEX(DarlTilgStart,6))),0,MIN(MAX(0,$K2491-$L2491),$J2491)))</f>
      </c>
      <c r="N2491" s="43">
        <f>IF($I2491=0,0,MIN(SUMIFS(SondBetrag,SondDarl,6,SondDatum,"&gt;="&amp;$E2491,SondDatum,"&lt;="&amp;EOMONTH($E2491,0)),$J2491-$M2491))</f>
      </c>
      <c r="O2491" s="43">
        <f>IF($I2491=0,0,INDEX(DarlErsatzRate,6))</f>
      </c>
      <c r="P2491" s="43">
        <f>IF($I2491=0,0,$Q2490*INDEX(DarlErsatzZins,6))</f>
      </c>
      <c r="Q2491" s="43">
        <f>IF($I2491=0,0,$Q2490+$P2491+$O2491)</f>
      </c>
      <c r="R2491" s="43">
        <f>IF($I2491=0,0,$J2491-$M2491-$N2491)</f>
      </c>
    </row>
    <row r="2492">
      <c r="A2492"/>
      <c r="B2492">
        <v>6</v>
      </c>
      <c r="C2492" s="43">
        <f>INDEX(DarlObj,6)</f>
      </c>
      <c r="D2492">
        <v>89</v>
      </c>
      <c r="E2492" s="51">
        <f>IF(INDEX(DarlBelegt,6)=0,0,EOMONTH(INDEX(DarlAuszahlung,6),88)+1)</f>
      </c>
      <c r="F2492" s="43">
        <f>IF($E2492=0,0,YEAR($E2492))</f>
      </c>
      <c r="G2492" s="43">
        <f>IF(INDEX(DarlBindung,6)="",1,IF($E2492&lt;=INDEX(DarlBindung,6),1,0))</f>
      </c>
      <c r="H2492" s="43">
        <f>IF($G2492=1,INDEX(DarlSollzins,6),INDEX(DarlAnschluss,6))</f>
      </c>
      <c r="I2492" s="43">
        <f>IF(INDEX(DarlBelegt,6)=0,0,IF(INDEX(DarlOhneTilgung,6)=1,IF(INDEX(DarlBindung,6)="",1,$G2492),IF($J2492&gt;0.005,1,0)))</f>
      </c>
      <c r="J2492" s="43">
        <f>IF($I2491=0,0,$R2491)</f>
      </c>
      <c r="K2492" s="43">
        <f>IF($I2492=0,0,IF(INDEX(DarlOhneTilgung,6)=1,0,IF(AND(INDEX(DarlTilgStart,6)&gt;0,$E2492=INDEX(DarlTilgStart,6)),$J2492*($H2492+INDEX(DarlTilgung,6))/100/12,IF(AND($G2492=0,$G2491=1),MAX($K2491,$J2492*($H2492+1)/100/12),$K2491))))</f>
      </c>
      <c r="L2492" s="43">
        <f>IF($I2492=0,0,$J2492*$H2492/100/12)</f>
      </c>
      <c r="M2492" s="43">
        <f>IF($I2492=0,0,IF(OR(INDEX(DarlOhneTilgung,6)=1,AND(INDEX(DarlTilgStart,6)&gt;0,$E2492&lt;INDEX(DarlTilgStart,6))),0,MIN(MAX(0,$K2492-$L2492),$J2492)))</f>
      </c>
      <c r="N2492" s="43">
        <f>IF($I2492=0,0,MIN(SUMIFS(SondBetrag,SondDarl,6,SondDatum,"&gt;="&amp;$E2492,SondDatum,"&lt;="&amp;EOMONTH($E2492,0)),$J2492-$M2492))</f>
      </c>
      <c r="O2492" s="43">
        <f>IF($I2492=0,0,INDEX(DarlErsatzRate,6))</f>
      </c>
      <c r="P2492" s="43">
        <f>IF($I2492=0,0,$Q2491*INDEX(DarlErsatzZins,6))</f>
      </c>
      <c r="Q2492" s="43">
        <f>IF($I2492=0,0,$Q2491+$P2492+$O2492)</f>
      </c>
      <c r="R2492" s="43">
        <f>IF($I2492=0,0,$J2492-$M2492-$N2492)</f>
      </c>
    </row>
    <row r="2493">
      <c r="A2493"/>
      <c r="B2493">
        <v>6</v>
      </c>
      <c r="C2493" s="43">
        <f>INDEX(DarlObj,6)</f>
      </c>
      <c r="D2493">
        <v>90</v>
      </c>
      <c r="E2493" s="51">
        <f>IF(INDEX(DarlBelegt,6)=0,0,EOMONTH(INDEX(DarlAuszahlung,6),89)+1)</f>
      </c>
      <c r="F2493" s="43">
        <f>IF($E2493=0,0,YEAR($E2493))</f>
      </c>
      <c r="G2493" s="43">
        <f>IF(INDEX(DarlBindung,6)="",1,IF($E2493&lt;=INDEX(DarlBindung,6),1,0))</f>
      </c>
      <c r="H2493" s="43">
        <f>IF($G2493=1,INDEX(DarlSollzins,6),INDEX(DarlAnschluss,6))</f>
      </c>
      <c r="I2493" s="43">
        <f>IF(INDEX(DarlBelegt,6)=0,0,IF(INDEX(DarlOhneTilgung,6)=1,IF(INDEX(DarlBindung,6)="",1,$G2493),IF($J2493&gt;0.005,1,0)))</f>
      </c>
      <c r="J2493" s="43">
        <f>IF($I2492=0,0,$R2492)</f>
      </c>
      <c r="K2493" s="43">
        <f>IF($I2493=0,0,IF(INDEX(DarlOhneTilgung,6)=1,0,IF(AND(INDEX(DarlTilgStart,6)&gt;0,$E2493=INDEX(DarlTilgStart,6)),$J2493*($H2493+INDEX(DarlTilgung,6))/100/12,IF(AND($G2493=0,$G2492=1),MAX($K2492,$J2493*($H2493+1)/100/12),$K2492))))</f>
      </c>
      <c r="L2493" s="43">
        <f>IF($I2493=0,0,$J2493*$H2493/100/12)</f>
      </c>
      <c r="M2493" s="43">
        <f>IF($I2493=0,0,IF(OR(INDEX(DarlOhneTilgung,6)=1,AND(INDEX(DarlTilgStart,6)&gt;0,$E2493&lt;INDEX(DarlTilgStart,6))),0,MIN(MAX(0,$K2493-$L2493),$J2493)))</f>
      </c>
      <c r="N2493" s="43">
        <f>IF($I2493=0,0,MIN(SUMIFS(SondBetrag,SondDarl,6,SondDatum,"&gt;="&amp;$E2493,SondDatum,"&lt;="&amp;EOMONTH($E2493,0)),$J2493-$M2493))</f>
      </c>
      <c r="O2493" s="43">
        <f>IF($I2493=0,0,INDEX(DarlErsatzRate,6))</f>
      </c>
      <c r="P2493" s="43">
        <f>IF($I2493=0,0,$Q2492*INDEX(DarlErsatzZins,6))</f>
      </c>
      <c r="Q2493" s="43">
        <f>IF($I2493=0,0,$Q2492+$P2493+$O2493)</f>
      </c>
      <c r="R2493" s="43">
        <f>IF($I2493=0,0,$J2493-$M2493-$N2493)</f>
      </c>
    </row>
    <row r="2494">
      <c r="A2494"/>
      <c r="B2494">
        <v>6</v>
      </c>
      <c r="C2494" s="43">
        <f>INDEX(DarlObj,6)</f>
      </c>
      <c r="D2494">
        <v>91</v>
      </c>
      <c r="E2494" s="51">
        <f>IF(INDEX(DarlBelegt,6)=0,0,EOMONTH(INDEX(DarlAuszahlung,6),90)+1)</f>
      </c>
      <c r="F2494" s="43">
        <f>IF($E2494=0,0,YEAR($E2494))</f>
      </c>
      <c r="G2494" s="43">
        <f>IF(INDEX(DarlBindung,6)="",1,IF($E2494&lt;=INDEX(DarlBindung,6),1,0))</f>
      </c>
      <c r="H2494" s="43">
        <f>IF($G2494=1,INDEX(DarlSollzins,6),INDEX(DarlAnschluss,6))</f>
      </c>
      <c r="I2494" s="43">
        <f>IF(INDEX(DarlBelegt,6)=0,0,IF(INDEX(DarlOhneTilgung,6)=1,IF(INDEX(DarlBindung,6)="",1,$G2494),IF($J2494&gt;0.005,1,0)))</f>
      </c>
      <c r="J2494" s="43">
        <f>IF($I2493=0,0,$R2493)</f>
      </c>
      <c r="K2494" s="43">
        <f>IF($I2494=0,0,IF(INDEX(DarlOhneTilgung,6)=1,0,IF(AND(INDEX(DarlTilgStart,6)&gt;0,$E2494=INDEX(DarlTilgStart,6)),$J2494*($H2494+INDEX(DarlTilgung,6))/100/12,IF(AND($G2494=0,$G2493=1),MAX($K2493,$J2494*($H2494+1)/100/12),$K2493))))</f>
      </c>
      <c r="L2494" s="43">
        <f>IF($I2494=0,0,$J2494*$H2494/100/12)</f>
      </c>
      <c r="M2494" s="43">
        <f>IF($I2494=0,0,IF(OR(INDEX(DarlOhneTilgung,6)=1,AND(INDEX(DarlTilgStart,6)&gt;0,$E2494&lt;INDEX(DarlTilgStart,6))),0,MIN(MAX(0,$K2494-$L2494),$J2494)))</f>
      </c>
      <c r="N2494" s="43">
        <f>IF($I2494=0,0,MIN(SUMIFS(SondBetrag,SondDarl,6,SondDatum,"&gt;="&amp;$E2494,SondDatum,"&lt;="&amp;EOMONTH($E2494,0)),$J2494-$M2494))</f>
      </c>
      <c r="O2494" s="43">
        <f>IF($I2494=0,0,INDEX(DarlErsatzRate,6))</f>
      </c>
      <c r="P2494" s="43">
        <f>IF($I2494=0,0,$Q2493*INDEX(DarlErsatzZins,6))</f>
      </c>
      <c r="Q2494" s="43">
        <f>IF($I2494=0,0,$Q2493+$P2494+$O2494)</f>
      </c>
      <c r="R2494" s="43">
        <f>IF($I2494=0,0,$J2494-$M2494-$N2494)</f>
      </c>
    </row>
    <row r="2495">
      <c r="A2495"/>
      <c r="B2495">
        <v>6</v>
      </c>
      <c r="C2495" s="43">
        <f>INDEX(DarlObj,6)</f>
      </c>
      <c r="D2495">
        <v>92</v>
      </c>
      <c r="E2495" s="51">
        <f>IF(INDEX(DarlBelegt,6)=0,0,EOMONTH(INDEX(DarlAuszahlung,6),91)+1)</f>
      </c>
      <c r="F2495" s="43">
        <f>IF($E2495=0,0,YEAR($E2495))</f>
      </c>
      <c r="G2495" s="43">
        <f>IF(INDEX(DarlBindung,6)="",1,IF($E2495&lt;=INDEX(DarlBindung,6),1,0))</f>
      </c>
      <c r="H2495" s="43">
        <f>IF($G2495=1,INDEX(DarlSollzins,6),INDEX(DarlAnschluss,6))</f>
      </c>
      <c r="I2495" s="43">
        <f>IF(INDEX(DarlBelegt,6)=0,0,IF(INDEX(DarlOhneTilgung,6)=1,IF(INDEX(DarlBindung,6)="",1,$G2495),IF($J2495&gt;0.005,1,0)))</f>
      </c>
      <c r="J2495" s="43">
        <f>IF($I2494=0,0,$R2494)</f>
      </c>
      <c r="K2495" s="43">
        <f>IF($I2495=0,0,IF(INDEX(DarlOhneTilgung,6)=1,0,IF(AND(INDEX(DarlTilgStart,6)&gt;0,$E2495=INDEX(DarlTilgStart,6)),$J2495*($H2495+INDEX(DarlTilgung,6))/100/12,IF(AND($G2495=0,$G2494=1),MAX($K2494,$J2495*($H2495+1)/100/12),$K2494))))</f>
      </c>
      <c r="L2495" s="43">
        <f>IF($I2495=0,0,$J2495*$H2495/100/12)</f>
      </c>
      <c r="M2495" s="43">
        <f>IF($I2495=0,0,IF(OR(INDEX(DarlOhneTilgung,6)=1,AND(INDEX(DarlTilgStart,6)&gt;0,$E2495&lt;INDEX(DarlTilgStart,6))),0,MIN(MAX(0,$K2495-$L2495),$J2495)))</f>
      </c>
      <c r="N2495" s="43">
        <f>IF($I2495=0,0,MIN(SUMIFS(SondBetrag,SondDarl,6,SondDatum,"&gt;="&amp;$E2495,SondDatum,"&lt;="&amp;EOMONTH($E2495,0)),$J2495-$M2495))</f>
      </c>
      <c r="O2495" s="43">
        <f>IF($I2495=0,0,INDEX(DarlErsatzRate,6))</f>
      </c>
      <c r="P2495" s="43">
        <f>IF($I2495=0,0,$Q2494*INDEX(DarlErsatzZins,6))</f>
      </c>
      <c r="Q2495" s="43">
        <f>IF($I2495=0,0,$Q2494+$P2495+$O2495)</f>
      </c>
      <c r="R2495" s="43">
        <f>IF($I2495=0,0,$J2495-$M2495-$N2495)</f>
      </c>
    </row>
    <row r="2496">
      <c r="A2496"/>
      <c r="B2496">
        <v>6</v>
      </c>
      <c r="C2496" s="43">
        <f>INDEX(DarlObj,6)</f>
      </c>
      <c r="D2496">
        <v>93</v>
      </c>
      <c r="E2496" s="51">
        <f>IF(INDEX(DarlBelegt,6)=0,0,EOMONTH(INDEX(DarlAuszahlung,6),92)+1)</f>
      </c>
      <c r="F2496" s="43">
        <f>IF($E2496=0,0,YEAR($E2496))</f>
      </c>
      <c r="G2496" s="43">
        <f>IF(INDEX(DarlBindung,6)="",1,IF($E2496&lt;=INDEX(DarlBindung,6),1,0))</f>
      </c>
      <c r="H2496" s="43">
        <f>IF($G2496=1,INDEX(DarlSollzins,6),INDEX(DarlAnschluss,6))</f>
      </c>
      <c r="I2496" s="43">
        <f>IF(INDEX(DarlBelegt,6)=0,0,IF(INDEX(DarlOhneTilgung,6)=1,IF(INDEX(DarlBindung,6)="",1,$G2496),IF($J2496&gt;0.005,1,0)))</f>
      </c>
      <c r="J2496" s="43">
        <f>IF($I2495=0,0,$R2495)</f>
      </c>
      <c r="K2496" s="43">
        <f>IF($I2496=0,0,IF(INDEX(DarlOhneTilgung,6)=1,0,IF(AND(INDEX(DarlTilgStart,6)&gt;0,$E2496=INDEX(DarlTilgStart,6)),$J2496*($H2496+INDEX(DarlTilgung,6))/100/12,IF(AND($G2496=0,$G2495=1),MAX($K2495,$J2496*($H2496+1)/100/12),$K2495))))</f>
      </c>
      <c r="L2496" s="43">
        <f>IF($I2496=0,0,$J2496*$H2496/100/12)</f>
      </c>
      <c r="M2496" s="43">
        <f>IF($I2496=0,0,IF(OR(INDEX(DarlOhneTilgung,6)=1,AND(INDEX(DarlTilgStart,6)&gt;0,$E2496&lt;INDEX(DarlTilgStart,6))),0,MIN(MAX(0,$K2496-$L2496),$J2496)))</f>
      </c>
      <c r="N2496" s="43">
        <f>IF($I2496=0,0,MIN(SUMIFS(SondBetrag,SondDarl,6,SondDatum,"&gt;="&amp;$E2496,SondDatum,"&lt;="&amp;EOMONTH($E2496,0)),$J2496-$M2496))</f>
      </c>
      <c r="O2496" s="43">
        <f>IF($I2496=0,0,INDEX(DarlErsatzRate,6))</f>
      </c>
      <c r="P2496" s="43">
        <f>IF($I2496=0,0,$Q2495*INDEX(DarlErsatzZins,6))</f>
      </c>
      <c r="Q2496" s="43">
        <f>IF($I2496=0,0,$Q2495+$P2496+$O2496)</f>
      </c>
      <c r="R2496" s="43">
        <f>IF($I2496=0,0,$J2496-$M2496-$N2496)</f>
      </c>
    </row>
    <row r="2497">
      <c r="A2497"/>
      <c r="B2497">
        <v>6</v>
      </c>
      <c r="C2497" s="43">
        <f>INDEX(DarlObj,6)</f>
      </c>
      <c r="D2497">
        <v>94</v>
      </c>
      <c r="E2497" s="51">
        <f>IF(INDEX(DarlBelegt,6)=0,0,EOMONTH(INDEX(DarlAuszahlung,6),93)+1)</f>
      </c>
      <c r="F2497" s="43">
        <f>IF($E2497=0,0,YEAR($E2497))</f>
      </c>
      <c r="G2497" s="43">
        <f>IF(INDEX(DarlBindung,6)="",1,IF($E2497&lt;=INDEX(DarlBindung,6),1,0))</f>
      </c>
      <c r="H2497" s="43">
        <f>IF($G2497=1,INDEX(DarlSollzins,6),INDEX(DarlAnschluss,6))</f>
      </c>
      <c r="I2497" s="43">
        <f>IF(INDEX(DarlBelegt,6)=0,0,IF(INDEX(DarlOhneTilgung,6)=1,IF(INDEX(DarlBindung,6)="",1,$G2497),IF($J2497&gt;0.005,1,0)))</f>
      </c>
      <c r="J2497" s="43">
        <f>IF($I2496=0,0,$R2496)</f>
      </c>
      <c r="K2497" s="43">
        <f>IF($I2497=0,0,IF(INDEX(DarlOhneTilgung,6)=1,0,IF(AND(INDEX(DarlTilgStart,6)&gt;0,$E2497=INDEX(DarlTilgStart,6)),$J2497*($H2497+INDEX(DarlTilgung,6))/100/12,IF(AND($G2497=0,$G2496=1),MAX($K2496,$J2497*($H2497+1)/100/12),$K2496))))</f>
      </c>
      <c r="L2497" s="43">
        <f>IF($I2497=0,0,$J2497*$H2497/100/12)</f>
      </c>
      <c r="M2497" s="43">
        <f>IF($I2497=0,0,IF(OR(INDEX(DarlOhneTilgung,6)=1,AND(INDEX(DarlTilgStart,6)&gt;0,$E2497&lt;INDEX(DarlTilgStart,6))),0,MIN(MAX(0,$K2497-$L2497),$J2497)))</f>
      </c>
      <c r="N2497" s="43">
        <f>IF($I2497=0,0,MIN(SUMIFS(SondBetrag,SondDarl,6,SondDatum,"&gt;="&amp;$E2497,SondDatum,"&lt;="&amp;EOMONTH($E2497,0)),$J2497-$M2497))</f>
      </c>
      <c r="O2497" s="43">
        <f>IF($I2497=0,0,INDEX(DarlErsatzRate,6))</f>
      </c>
      <c r="P2497" s="43">
        <f>IF($I2497=0,0,$Q2496*INDEX(DarlErsatzZins,6))</f>
      </c>
      <c r="Q2497" s="43">
        <f>IF($I2497=0,0,$Q2496+$P2497+$O2497)</f>
      </c>
      <c r="R2497" s="43">
        <f>IF($I2497=0,0,$J2497-$M2497-$N2497)</f>
      </c>
    </row>
    <row r="2498">
      <c r="A2498"/>
      <c r="B2498">
        <v>6</v>
      </c>
      <c r="C2498" s="43">
        <f>INDEX(DarlObj,6)</f>
      </c>
      <c r="D2498">
        <v>95</v>
      </c>
      <c r="E2498" s="51">
        <f>IF(INDEX(DarlBelegt,6)=0,0,EOMONTH(INDEX(DarlAuszahlung,6),94)+1)</f>
      </c>
      <c r="F2498" s="43">
        <f>IF($E2498=0,0,YEAR($E2498))</f>
      </c>
      <c r="G2498" s="43">
        <f>IF(INDEX(DarlBindung,6)="",1,IF($E2498&lt;=INDEX(DarlBindung,6),1,0))</f>
      </c>
      <c r="H2498" s="43">
        <f>IF($G2498=1,INDEX(DarlSollzins,6),INDEX(DarlAnschluss,6))</f>
      </c>
      <c r="I2498" s="43">
        <f>IF(INDEX(DarlBelegt,6)=0,0,IF(INDEX(DarlOhneTilgung,6)=1,IF(INDEX(DarlBindung,6)="",1,$G2498),IF($J2498&gt;0.005,1,0)))</f>
      </c>
      <c r="J2498" s="43">
        <f>IF($I2497=0,0,$R2497)</f>
      </c>
      <c r="K2498" s="43">
        <f>IF($I2498=0,0,IF(INDEX(DarlOhneTilgung,6)=1,0,IF(AND(INDEX(DarlTilgStart,6)&gt;0,$E2498=INDEX(DarlTilgStart,6)),$J2498*($H2498+INDEX(DarlTilgung,6))/100/12,IF(AND($G2498=0,$G2497=1),MAX($K2497,$J2498*($H2498+1)/100/12),$K2497))))</f>
      </c>
      <c r="L2498" s="43">
        <f>IF($I2498=0,0,$J2498*$H2498/100/12)</f>
      </c>
      <c r="M2498" s="43">
        <f>IF($I2498=0,0,IF(OR(INDEX(DarlOhneTilgung,6)=1,AND(INDEX(DarlTilgStart,6)&gt;0,$E2498&lt;INDEX(DarlTilgStart,6))),0,MIN(MAX(0,$K2498-$L2498),$J2498)))</f>
      </c>
      <c r="N2498" s="43">
        <f>IF($I2498=0,0,MIN(SUMIFS(SondBetrag,SondDarl,6,SondDatum,"&gt;="&amp;$E2498,SondDatum,"&lt;="&amp;EOMONTH($E2498,0)),$J2498-$M2498))</f>
      </c>
      <c r="O2498" s="43">
        <f>IF($I2498=0,0,INDEX(DarlErsatzRate,6))</f>
      </c>
      <c r="P2498" s="43">
        <f>IF($I2498=0,0,$Q2497*INDEX(DarlErsatzZins,6))</f>
      </c>
      <c r="Q2498" s="43">
        <f>IF($I2498=0,0,$Q2497+$P2498+$O2498)</f>
      </c>
      <c r="R2498" s="43">
        <f>IF($I2498=0,0,$J2498-$M2498-$N2498)</f>
      </c>
    </row>
    <row r="2499">
      <c r="A2499"/>
      <c r="B2499">
        <v>6</v>
      </c>
      <c r="C2499" s="43">
        <f>INDEX(DarlObj,6)</f>
      </c>
      <c r="D2499">
        <v>96</v>
      </c>
      <c r="E2499" s="51">
        <f>IF(INDEX(DarlBelegt,6)=0,0,EOMONTH(INDEX(DarlAuszahlung,6),95)+1)</f>
      </c>
      <c r="F2499" s="43">
        <f>IF($E2499=0,0,YEAR($E2499))</f>
      </c>
      <c r="G2499" s="43">
        <f>IF(INDEX(DarlBindung,6)="",1,IF($E2499&lt;=INDEX(DarlBindung,6),1,0))</f>
      </c>
      <c r="H2499" s="43">
        <f>IF($G2499=1,INDEX(DarlSollzins,6),INDEX(DarlAnschluss,6))</f>
      </c>
      <c r="I2499" s="43">
        <f>IF(INDEX(DarlBelegt,6)=0,0,IF(INDEX(DarlOhneTilgung,6)=1,IF(INDEX(DarlBindung,6)="",1,$G2499),IF($J2499&gt;0.005,1,0)))</f>
      </c>
      <c r="J2499" s="43">
        <f>IF($I2498=0,0,$R2498)</f>
      </c>
      <c r="K2499" s="43">
        <f>IF($I2499=0,0,IF(INDEX(DarlOhneTilgung,6)=1,0,IF(AND(INDEX(DarlTilgStart,6)&gt;0,$E2499=INDEX(DarlTilgStart,6)),$J2499*($H2499+INDEX(DarlTilgung,6))/100/12,IF(AND($G2499=0,$G2498=1),MAX($K2498,$J2499*($H2499+1)/100/12),$K2498))))</f>
      </c>
      <c r="L2499" s="43">
        <f>IF($I2499=0,0,$J2499*$H2499/100/12)</f>
      </c>
      <c r="M2499" s="43">
        <f>IF($I2499=0,0,IF(OR(INDEX(DarlOhneTilgung,6)=1,AND(INDEX(DarlTilgStart,6)&gt;0,$E2499&lt;INDEX(DarlTilgStart,6))),0,MIN(MAX(0,$K2499-$L2499),$J2499)))</f>
      </c>
      <c r="N2499" s="43">
        <f>IF($I2499=0,0,MIN(SUMIFS(SondBetrag,SondDarl,6,SondDatum,"&gt;="&amp;$E2499,SondDatum,"&lt;="&amp;EOMONTH($E2499,0)),$J2499-$M2499))</f>
      </c>
      <c r="O2499" s="43">
        <f>IF($I2499=0,0,INDEX(DarlErsatzRate,6))</f>
      </c>
      <c r="P2499" s="43">
        <f>IF($I2499=0,0,$Q2498*INDEX(DarlErsatzZins,6))</f>
      </c>
      <c r="Q2499" s="43">
        <f>IF($I2499=0,0,$Q2498+$P2499+$O2499)</f>
      </c>
      <c r="R2499" s="43">
        <f>IF($I2499=0,0,$J2499-$M2499-$N2499)</f>
      </c>
    </row>
    <row r="2500">
      <c r="A2500"/>
      <c r="B2500">
        <v>6</v>
      </c>
      <c r="C2500" s="43">
        <f>INDEX(DarlObj,6)</f>
      </c>
      <c r="D2500">
        <v>97</v>
      </c>
      <c r="E2500" s="51">
        <f>IF(INDEX(DarlBelegt,6)=0,0,EOMONTH(INDEX(DarlAuszahlung,6),96)+1)</f>
      </c>
      <c r="F2500" s="43">
        <f>IF($E2500=0,0,YEAR($E2500))</f>
      </c>
      <c r="G2500" s="43">
        <f>IF(INDEX(DarlBindung,6)="",1,IF($E2500&lt;=INDEX(DarlBindung,6),1,0))</f>
      </c>
      <c r="H2500" s="43">
        <f>IF($G2500=1,INDEX(DarlSollzins,6),INDEX(DarlAnschluss,6))</f>
      </c>
      <c r="I2500" s="43">
        <f>IF(INDEX(DarlBelegt,6)=0,0,IF(INDEX(DarlOhneTilgung,6)=1,IF(INDEX(DarlBindung,6)="",1,$G2500),IF($J2500&gt;0.005,1,0)))</f>
      </c>
      <c r="J2500" s="43">
        <f>IF($I2499=0,0,$R2499)</f>
      </c>
      <c r="K2500" s="43">
        <f>IF($I2500=0,0,IF(INDEX(DarlOhneTilgung,6)=1,0,IF(AND(INDEX(DarlTilgStart,6)&gt;0,$E2500=INDEX(DarlTilgStart,6)),$J2500*($H2500+INDEX(DarlTilgung,6))/100/12,IF(AND($G2500=0,$G2499=1),MAX($K2499,$J2500*($H2500+1)/100/12),$K2499))))</f>
      </c>
      <c r="L2500" s="43">
        <f>IF($I2500=0,0,$J2500*$H2500/100/12)</f>
      </c>
      <c r="M2500" s="43">
        <f>IF($I2500=0,0,IF(OR(INDEX(DarlOhneTilgung,6)=1,AND(INDEX(DarlTilgStart,6)&gt;0,$E2500&lt;INDEX(DarlTilgStart,6))),0,MIN(MAX(0,$K2500-$L2500),$J2500)))</f>
      </c>
      <c r="N2500" s="43">
        <f>IF($I2500=0,0,MIN(SUMIFS(SondBetrag,SondDarl,6,SondDatum,"&gt;="&amp;$E2500,SondDatum,"&lt;="&amp;EOMONTH($E2500,0)),$J2500-$M2500))</f>
      </c>
      <c r="O2500" s="43">
        <f>IF($I2500=0,0,INDEX(DarlErsatzRate,6))</f>
      </c>
      <c r="P2500" s="43">
        <f>IF($I2500=0,0,$Q2499*INDEX(DarlErsatzZins,6))</f>
      </c>
      <c r="Q2500" s="43">
        <f>IF($I2500=0,0,$Q2499+$P2500+$O2500)</f>
      </c>
      <c r="R2500" s="43">
        <f>IF($I2500=0,0,$J2500-$M2500-$N2500)</f>
      </c>
    </row>
    <row r="2501">
      <c r="A2501"/>
      <c r="B2501">
        <v>6</v>
      </c>
      <c r="C2501" s="43">
        <f>INDEX(DarlObj,6)</f>
      </c>
      <c r="D2501">
        <v>98</v>
      </c>
      <c r="E2501" s="51">
        <f>IF(INDEX(DarlBelegt,6)=0,0,EOMONTH(INDEX(DarlAuszahlung,6),97)+1)</f>
      </c>
      <c r="F2501" s="43">
        <f>IF($E2501=0,0,YEAR($E2501))</f>
      </c>
      <c r="G2501" s="43">
        <f>IF(INDEX(DarlBindung,6)="",1,IF($E2501&lt;=INDEX(DarlBindung,6),1,0))</f>
      </c>
      <c r="H2501" s="43">
        <f>IF($G2501=1,INDEX(DarlSollzins,6),INDEX(DarlAnschluss,6))</f>
      </c>
      <c r="I2501" s="43">
        <f>IF(INDEX(DarlBelegt,6)=0,0,IF(INDEX(DarlOhneTilgung,6)=1,IF(INDEX(DarlBindung,6)="",1,$G2501),IF($J2501&gt;0.005,1,0)))</f>
      </c>
      <c r="J2501" s="43">
        <f>IF($I2500=0,0,$R2500)</f>
      </c>
      <c r="K2501" s="43">
        <f>IF($I2501=0,0,IF(INDEX(DarlOhneTilgung,6)=1,0,IF(AND(INDEX(DarlTilgStart,6)&gt;0,$E2501=INDEX(DarlTilgStart,6)),$J2501*($H2501+INDEX(DarlTilgung,6))/100/12,IF(AND($G2501=0,$G2500=1),MAX($K2500,$J2501*($H2501+1)/100/12),$K2500))))</f>
      </c>
      <c r="L2501" s="43">
        <f>IF($I2501=0,0,$J2501*$H2501/100/12)</f>
      </c>
      <c r="M2501" s="43">
        <f>IF($I2501=0,0,IF(OR(INDEX(DarlOhneTilgung,6)=1,AND(INDEX(DarlTilgStart,6)&gt;0,$E2501&lt;INDEX(DarlTilgStart,6))),0,MIN(MAX(0,$K2501-$L2501),$J2501)))</f>
      </c>
      <c r="N2501" s="43">
        <f>IF($I2501=0,0,MIN(SUMIFS(SondBetrag,SondDarl,6,SondDatum,"&gt;="&amp;$E2501,SondDatum,"&lt;="&amp;EOMONTH($E2501,0)),$J2501-$M2501))</f>
      </c>
      <c r="O2501" s="43">
        <f>IF($I2501=0,0,INDEX(DarlErsatzRate,6))</f>
      </c>
      <c r="P2501" s="43">
        <f>IF($I2501=0,0,$Q2500*INDEX(DarlErsatzZins,6))</f>
      </c>
      <c r="Q2501" s="43">
        <f>IF($I2501=0,0,$Q2500+$P2501+$O2501)</f>
      </c>
      <c r="R2501" s="43">
        <f>IF($I2501=0,0,$J2501-$M2501-$N2501)</f>
      </c>
    </row>
    <row r="2502">
      <c r="A2502"/>
      <c r="B2502">
        <v>6</v>
      </c>
      <c r="C2502" s="43">
        <f>INDEX(DarlObj,6)</f>
      </c>
      <c r="D2502">
        <v>99</v>
      </c>
      <c r="E2502" s="51">
        <f>IF(INDEX(DarlBelegt,6)=0,0,EOMONTH(INDEX(DarlAuszahlung,6),98)+1)</f>
      </c>
      <c r="F2502" s="43">
        <f>IF($E2502=0,0,YEAR($E2502))</f>
      </c>
      <c r="G2502" s="43">
        <f>IF(INDEX(DarlBindung,6)="",1,IF($E2502&lt;=INDEX(DarlBindung,6),1,0))</f>
      </c>
      <c r="H2502" s="43">
        <f>IF($G2502=1,INDEX(DarlSollzins,6),INDEX(DarlAnschluss,6))</f>
      </c>
      <c r="I2502" s="43">
        <f>IF(INDEX(DarlBelegt,6)=0,0,IF(INDEX(DarlOhneTilgung,6)=1,IF(INDEX(DarlBindung,6)="",1,$G2502),IF($J2502&gt;0.005,1,0)))</f>
      </c>
      <c r="J2502" s="43">
        <f>IF($I2501=0,0,$R2501)</f>
      </c>
      <c r="K2502" s="43">
        <f>IF($I2502=0,0,IF(INDEX(DarlOhneTilgung,6)=1,0,IF(AND(INDEX(DarlTilgStart,6)&gt;0,$E2502=INDEX(DarlTilgStart,6)),$J2502*($H2502+INDEX(DarlTilgung,6))/100/12,IF(AND($G2502=0,$G2501=1),MAX($K2501,$J2502*($H2502+1)/100/12),$K2501))))</f>
      </c>
      <c r="L2502" s="43">
        <f>IF($I2502=0,0,$J2502*$H2502/100/12)</f>
      </c>
      <c r="M2502" s="43">
        <f>IF($I2502=0,0,IF(OR(INDEX(DarlOhneTilgung,6)=1,AND(INDEX(DarlTilgStart,6)&gt;0,$E2502&lt;INDEX(DarlTilgStart,6))),0,MIN(MAX(0,$K2502-$L2502),$J2502)))</f>
      </c>
      <c r="N2502" s="43">
        <f>IF($I2502=0,0,MIN(SUMIFS(SondBetrag,SondDarl,6,SondDatum,"&gt;="&amp;$E2502,SondDatum,"&lt;="&amp;EOMONTH($E2502,0)),$J2502-$M2502))</f>
      </c>
      <c r="O2502" s="43">
        <f>IF($I2502=0,0,INDEX(DarlErsatzRate,6))</f>
      </c>
      <c r="P2502" s="43">
        <f>IF($I2502=0,0,$Q2501*INDEX(DarlErsatzZins,6))</f>
      </c>
      <c r="Q2502" s="43">
        <f>IF($I2502=0,0,$Q2501+$P2502+$O2502)</f>
      </c>
      <c r="R2502" s="43">
        <f>IF($I2502=0,0,$J2502-$M2502-$N2502)</f>
      </c>
    </row>
    <row r="2503">
      <c r="A2503"/>
      <c r="B2503">
        <v>6</v>
      </c>
      <c r="C2503" s="43">
        <f>INDEX(DarlObj,6)</f>
      </c>
      <c r="D2503">
        <v>100</v>
      </c>
      <c r="E2503" s="51">
        <f>IF(INDEX(DarlBelegt,6)=0,0,EOMONTH(INDEX(DarlAuszahlung,6),99)+1)</f>
      </c>
      <c r="F2503" s="43">
        <f>IF($E2503=0,0,YEAR($E2503))</f>
      </c>
      <c r="G2503" s="43">
        <f>IF(INDEX(DarlBindung,6)="",1,IF($E2503&lt;=INDEX(DarlBindung,6),1,0))</f>
      </c>
      <c r="H2503" s="43">
        <f>IF($G2503=1,INDEX(DarlSollzins,6),INDEX(DarlAnschluss,6))</f>
      </c>
      <c r="I2503" s="43">
        <f>IF(INDEX(DarlBelegt,6)=0,0,IF(INDEX(DarlOhneTilgung,6)=1,IF(INDEX(DarlBindung,6)="",1,$G2503),IF($J2503&gt;0.005,1,0)))</f>
      </c>
      <c r="J2503" s="43">
        <f>IF($I2502=0,0,$R2502)</f>
      </c>
      <c r="K2503" s="43">
        <f>IF($I2503=0,0,IF(INDEX(DarlOhneTilgung,6)=1,0,IF(AND(INDEX(DarlTilgStart,6)&gt;0,$E2503=INDEX(DarlTilgStart,6)),$J2503*($H2503+INDEX(DarlTilgung,6))/100/12,IF(AND($G2503=0,$G2502=1),MAX($K2502,$J2503*($H2503+1)/100/12),$K2502))))</f>
      </c>
      <c r="L2503" s="43">
        <f>IF($I2503=0,0,$J2503*$H2503/100/12)</f>
      </c>
      <c r="M2503" s="43">
        <f>IF($I2503=0,0,IF(OR(INDEX(DarlOhneTilgung,6)=1,AND(INDEX(DarlTilgStart,6)&gt;0,$E2503&lt;INDEX(DarlTilgStart,6))),0,MIN(MAX(0,$K2503-$L2503),$J2503)))</f>
      </c>
      <c r="N2503" s="43">
        <f>IF($I2503=0,0,MIN(SUMIFS(SondBetrag,SondDarl,6,SondDatum,"&gt;="&amp;$E2503,SondDatum,"&lt;="&amp;EOMONTH($E2503,0)),$J2503-$M2503))</f>
      </c>
      <c r="O2503" s="43">
        <f>IF($I2503=0,0,INDEX(DarlErsatzRate,6))</f>
      </c>
      <c r="P2503" s="43">
        <f>IF($I2503=0,0,$Q2502*INDEX(DarlErsatzZins,6))</f>
      </c>
      <c r="Q2503" s="43">
        <f>IF($I2503=0,0,$Q2502+$P2503+$O2503)</f>
      </c>
      <c r="R2503" s="43">
        <f>IF($I2503=0,0,$J2503-$M2503-$N2503)</f>
      </c>
    </row>
    <row r="2504">
      <c r="A2504"/>
      <c r="B2504">
        <v>6</v>
      </c>
      <c r="C2504" s="43">
        <f>INDEX(DarlObj,6)</f>
      </c>
      <c r="D2504">
        <v>101</v>
      </c>
      <c r="E2504" s="51">
        <f>IF(INDEX(DarlBelegt,6)=0,0,EOMONTH(INDEX(DarlAuszahlung,6),100)+1)</f>
      </c>
      <c r="F2504" s="43">
        <f>IF($E2504=0,0,YEAR($E2504))</f>
      </c>
      <c r="G2504" s="43">
        <f>IF(INDEX(DarlBindung,6)="",1,IF($E2504&lt;=INDEX(DarlBindung,6),1,0))</f>
      </c>
      <c r="H2504" s="43">
        <f>IF($G2504=1,INDEX(DarlSollzins,6),INDEX(DarlAnschluss,6))</f>
      </c>
      <c r="I2504" s="43">
        <f>IF(INDEX(DarlBelegt,6)=0,0,IF(INDEX(DarlOhneTilgung,6)=1,IF(INDEX(DarlBindung,6)="",1,$G2504),IF($J2504&gt;0.005,1,0)))</f>
      </c>
      <c r="J2504" s="43">
        <f>IF($I2503=0,0,$R2503)</f>
      </c>
      <c r="K2504" s="43">
        <f>IF($I2504=0,0,IF(INDEX(DarlOhneTilgung,6)=1,0,IF(AND(INDEX(DarlTilgStart,6)&gt;0,$E2504=INDEX(DarlTilgStart,6)),$J2504*($H2504+INDEX(DarlTilgung,6))/100/12,IF(AND($G2504=0,$G2503=1),MAX($K2503,$J2504*($H2504+1)/100/12),$K2503))))</f>
      </c>
      <c r="L2504" s="43">
        <f>IF($I2504=0,0,$J2504*$H2504/100/12)</f>
      </c>
      <c r="M2504" s="43">
        <f>IF($I2504=0,0,IF(OR(INDEX(DarlOhneTilgung,6)=1,AND(INDEX(DarlTilgStart,6)&gt;0,$E2504&lt;INDEX(DarlTilgStart,6))),0,MIN(MAX(0,$K2504-$L2504),$J2504)))</f>
      </c>
      <c r="N2504" s="43">
        <f>IF($I2504=0,0,MIN(SUMIFS(SondBetrag,SondDarl,6,SondDatum,"&gt;="&amp;$E2504,SondDatum,"&lt;="&amp;EOMONTH($E2504,0)),$J2504-$M2504))</f>
      </c>
      <c r="O2504" s="43">
        <f>IF($I2504=0,0,INDEX(DarlErsatzRate,6))</f>
      </c>
      <c r="P2504" s="43">
        <f>IF($I2504=0,0,$Q2503*INDEX(DarlErsatzZins,6))</f>
      </c>
      <c r="Q2504" s="43">
        <f>IF($I2504=0,0,$Q2503+$P2504+$O2504)</f>
      </c>
      <c r="R2504" s="43">
        <f>IF($I2504=0,0,$J2504-$M2504-$N2504)</f>
      </c>
    </row>
    <row r="2505">
      <c r="A2505"/>
      <c r="B2505">
        <v>6</v>
      </c>
      <c r="C2505" s="43">
        <f>INDEX(DarlObj,6)</f>
      </c>
      <c r="D2505">
        <v>102</v>
      </c>
      <c r="E2505" s="51">
        <f>IF(INDEX(DarlBelegt,6)=0,0,EOMONTH(INDEX(DarlAuszahlung,6),101)+1)</f>
      </c>
      <c r="F2505" s="43">
        <f>IF($E2505=0,0,YEAR($E2505))</f>
      </c>
      <c r="G2505" s="43">
        <f>IF(INDEX(DarlBindung,6)="",1,IF($E2505&lt;=INDEX(DarlBindung,6),1,0))</f>
      </c>
      <c r="H2505" s="43">
        <f>IF($G2505=1,INDEX(DarlSollzins,6),INDEX(DarlAnschluss,6))</f>
      </c>
      <c r="I2505" s="43">
        <f>IF(INDEX(DarlBelegt,6)=0,0,IF(INDEX(DarlOhneTilgung,6)=1,IF(INDEX(DarlBindung,6)="",1,$G2505),IF($J2505&gt;0.005,1,0)))</f>
      </c>
      <c r="J2505" s="43">
        <f>IF($I2504=0,0,$R2504)</f>
      </c>
      <c r="K2505" s="43">
        <f>IF($I2505=0,0,IF(INDEX(DarlOhneTilgung,6)=1,0,IF(AND(INDEX(DarlTilgStart,6)&gt;0,$E2505=INDEX(DarlTilgStart,6)),$J2505*($H2505+INDEX(DarlTilgung,6))/100/12,IF(AND($G2505=0,$G2504=1),MAX($K2504,$J2505*($H2505+1)/100/12),$K2504))))</f>
      </c>
      <c r="L2505" s="43">
        <f>IF($I2505=0,0,$J2505*$H2505/100/12)</f>
      </c>
      <c r="M2505" s="43">
        <f>IF($I2505=0,0,IF(OR(INDEX(DarlOhneTilgung,6)=1,AND(INDEX(DarlTilgStart,6)&gt;0,$E2505&lt;INDEX(DarlTilgStart,6))),0,MIN(MAX(0,$K2505-$L2505),$J2505)))</f>
      </c>
      <c r="N2505" s="43">
        <f>IF($I2505=0,0,MIN(SUMIFS(SondBetrag,SondDarl,6,SondDatum,"&gt;="&amp;$E2505,SondDatum,"&lt;="&amp;EOMONTH($E2505,0)),$J2505-$M2505))</f>
      </c>
      <c r="O2505" s="43">
        <f>IF($I2505=0,0,INDEX(DarlErsatzRate,6))</f>
      </c>
      <c r="P2505" s="43">
        <f>IF($I2505=0,0,$Q2504*INDEX(DarlErsatzZins,6))</f>
      </c>
      <c r="Q2505" s="43">
        <f>IF($I2505=0,0,$Q2504+$P2505+$O2505)</f>
      </c>
      <c r="R2505" s="43">
        <f>IF($I2505=0,0,$J2505-$M2505-$N2505)</f>
      </c>
    </row>
    <row r="2506">
      <c r="A2506"/>
      <c r="B2506">
        <v>6</v>
      </c>
      <c r="C2506" s="43">
        <f>INDEX(DarlObj,6)</f>
      </c>
      <c r="D2506">
        <v>103</v>
      </c>
      <c r="E2506" s="51">
        <f>IF(INDEX(DarlBelegt,6)=0,0,EOMONTH(INDEX(DarlAuszahlung,6),102)+1)</f>
      </c>
      <c r="F2506" s="43">
        <f>IF($E2506=0,0,YEAR($E2506))</f>
      </c>
      <c r="G2506" s="43">
        <f>IF(INDEX(DarlBindung,6)="",1,IF($E2506&lt;=INDEX(DarlBindung,6),1,0))</f>
      </c>
      <c r="H2506" s="43">
        <f>IF($G2506=1,INDEX(DarlSollzins,6),INDEX(DarlAnschluss,6))</f>
      </c>
      <c r="I2506" s="43">
        <f>IF(INDEX(DarlBelegt,6)=0,0,IF(INDEX(DarlOhneTilgung,6)=1,IF(INDEX(DarlBindung,6)="",1,$G2506),IF($J2506&gt;0.005,1,0)))</f>
      </c>
      <c r="J2506" s="43">
        <f>IF($I2505=0,0,$R2505)</f>
      </c>
      <c r="K2506" s="43">
        <f>IF($I2506=0,0,IF(INDEX(DarlOhneTilgung,6)=1,0,IF(AND(INDEX(DarlTilgStart,6)&gt;0,$E2506=INDEX(DarlTilgStart,6)),$J2506*($H2506+INDEX(DarlTilgung,6))/100/12,IF(AND($G2506=0,$G2505=1),MAX($K2505,$J2506*($H2506+1)/100/12),$K2505))))</f>
      </c>
      <c r="L2506" s="43">
        <f>IF($I2506=0,0,$J2506*$H2506/100/12)</f>
      </c>
      <c r="M2506" s="43">
        <f>IF($I2506=0,0,IF(OR(INDEX(DarlOhneTilgung,6)=1,AND(INDEX(DarlTilgStart,6)&gt;0,$E2506&lt;INDEX(DarlTilgStart,6))),0,MIN(MAX(0,$K2506-$L2506),$J2506)))</f>
      </c>
      <c r="N2506" s="43">
        <f>IF($I2506=0,0,MIN(SUMIFS(SondBetrag,SondDarl,6,SondDatum,"&gt;="&amp;$E2506,SondDatum,"&lt;="&amp;EOMONTH($E2506,0)),$J2506-$M2506))</f>
      </c>
      <c r="O2506" s="43">
        <f>IF($I2506=0,0,INDEX(DarlErsatzRate,6))</f>
      </c>
      <c r="P2506" s="43">
        <f>IF($I2506=0,0,$Q2505*INDEX(DarlErsatzZins,6))</f>
      </c>
      <c r="Q2506" s="43">
        <f>IF($I2506=0,0,$Q2505+$P2506+$O2506)</f>
      </c>
      <c r="R2506" s="43">
        <f>IF($I2506=0,0,$J2506-$M2506-$N2506)</f>
      </c>
    </row>
    <row r="2507">
      <c r="A2507"/>
      <c r="B2507">
        <v>6</v>
      </c>
      <c r="C2507" s="43">
        <f>INDEX(DarlObj,6)</f>
      </c>
      <c r="D2507">
        <v>104</v>
      </c>
      <c r="E2507" s="51">
        <f>IF(INDEX(DarlBelegt,6)=0,0,EOMONTH(INDEX(DarlAuszahlung,6),103)+1)</f>
      </c>
      <c r="F2507" s="43">
        <f>IF($E2507=0,0,YEAR($E2507))</f>
      </c>
      <c r="G2507" s="43">
        <f>IF(INDEX(DarlBindung,6)="",1,IF($E2507&lt;=INDEX(DarlBindung,6),1,0))</f>
      </c>
      <c r="H2507" s="43">
        <f>IF($G2507=1,INDEX(DarlSollzins,6),INDEX(DarlAnschluss,6))</f>
      </c>
      <c r="I2507" s="43">
        <f>IF(INDEX(DarlBelegt,6)=0,0,IF(INDEX(DarlOhneTilgung,6)=1,IF(INDEX(DarlBindung,6)="",1,$G2507),IF($J2507&gt;0.005,1,0)))</f>
      </c>
      <c r="J2507" s="43">
        <f>IF($I2506=0,0,$R2506)</f>
      </c>
      <c r="K2507" s="43">
        <f>IF($I2507=0,0,IF(INDEX(DarlOhneTilgung,6)=1,0,IF(AND(INDEX(DarlTilgStart,6)&gt;0,$E2507=INDEX(DarlTilgStart,6)),$J2507*($H2507+INDEX(DarlTilgung,6))/100/12,IF(AND($G2507=0,$G2506=1),MAX($K2506,$J2507*($H2507+1)/100/12),$K2506))))</f>
      </c>
      <c r="L2507" s="43">
        <f>IF($I2507=0,0,$J2507*$H2507/100/12)</f>
      </c>
      <c r="M2507" s="43">
        <f>IF($I2507=0,0,IF(OR(INDEX(DarlOhneTilgung,6)=1,AND(INDEX(DarlTilgStart,6)&gt;0,$E2507&lt;INDEX(DarlTilgStart,6))),0,MIN(MAX(0,$K2507-$L2507),$J2507)))</f>
      </c>
      <c r="N2507" s="43">
        <f>IF($I2507=0,0,MIN(SUMIFS(SondBetrag,SondDarl,6,SondDatum,"&gt;="&amp;$E2507,SondDatum,"&lt;="&amp;EOMONTH($E2507,0)),$J2507-$M2507))</f>
      </c>
      <c r="O2507" s="43">
        <f>IF($I2507=0,0,INDEX(DarlErsatzRate,6))</f>
      </c>
      <c r="P2507" s="43">
        <f>IF($I2507=0,0,$Q2506*INDEX(DarlErsatzZins,6))</f>
      </c>
      <c r="Q2507" s="43">
        <f>IF($I2507=0,0,$Q2506+$P2507+$O2507)</f>
      </c>
      <c r="R2507" s="43">
        <f>IF($I2507=0,0,$J2507-$M2507-$N2507)</f>
      </c>
    </row>
    <row r="2508">
      <c r="A2508"/>
      <c r="B2508">
        <v>6</v>
      </c>
      <c r="C2508" s="43">
        <f>INDEX(DarlObj,6)</f>
      </c>
      <c r="D2508">
        <v>105</v>
      </c>
      <c r="E2508" s="51">
        <f>IF(INDEX(DarlBelegt,6)=0,0,EOMONTH(INDEX(DarlAuszahlung,6),104)+1)</f>
      </c>
      <c r="F2508" s="43">
        <f>IF($E2508=0,0,YEAR($E2508))</f>
      </c>
      <c r="G2508" s="43">
        <f>IF(INDEX(DarlBindung,6)="",1,IF($E2508&lt;=INDEX(DarlBindung,6),1,0))</f>
      </c>
      <c r="H2508" s="43">
        <f>IF($G2508=1,INDEX(DarlSollzins,6),INDEX(DarlAnschluss,6))</f>
      </c>
      <c r="I2508" s="43">
        <f>IF(INDEX(DarlBelegt,6)=0,0,IF(INDEX(DarlOhneTilgung,6)=1,IF(INDEX(DarlBindung,6)="",1,$G2508),IF($J2508&gt;0.005,1,0)))</f>
      </c>
      <c r="J2508" s="43">
        <f>IF($I2507=0,0,$R2507)</f>
      </c>
      <c r="K2508" s="43">
        <f>IF($I2508=0,0,IF(INDEX(DarlOhneTilgung,6)=1,0,IF(AND(INDEX(DarlTilgStart,6)&gt;0,$E2508=INDEX(DarlTilgStart,6)),$J2508*($H2508+INDEX(DarlTilgung,6))/100/12,IF(AND($G2508=0,$G2507=1),MAX($K2507,$J2508*($H2508+1)/100/12),$K2507))))</f>
      </c>
      <c r="L2508" s="43">
        <f>IF($I2508=0,0,$J2508*$H2508/100/12)</f>
      </c>
      <c r="M2508" s="43">
        <f>IF($I2508=0,0,IF(OR(INDEX(DarlOhneTilgung,6)=1,AND(INDEX(DarlTilgStart,6)&gt;0,$E2508&lt;INDEX(DarlTilgStart,6))),0,MIN(MAX(0,$K2508-$L2508),$J2508)))</f>
      </c>
      <c r="N2508" s="43">
        <f>IF($I2508=0,0,MIN(SUMIFS(SondBetrag,SondDarl,6,SondDatum,"&gt;="&amp;$E2508,SondDatum,"&lt;="&amp;EOMONTH($E2508,0)),$J2508-$M2508))</f>
      </c>
      <c r="O2508" s="43">
        <f>IF($I2508=0,0,INDEX(DarlErsatzRate,6))</f>
      </c>
      <c r="P2508" s="43">
        <f>IF($I2508=0,0,$Q2507*INDEX(DarlErsatzZins,6))</f>
      </c>
      <c r="Q2508" s="43">
        <f>IF($I2508=0,0,$Q2507+$P2508+$O2508)</f>
      </c>
      <c r="R2508" s="43">
        <f>IF($I2508=0,0,$J2508-$M2508-$N2508)</f>
      </c>
    </row>
    <row r="2509">
      <c r="A2509"/>
      <c r="B2509">
        <v>6</v>
      </c>
      <c r="C2509" s="43">
        <f>INDEX(DarlObj,6)</f>
      </c>
      <c r="D2509">
        <v>106</v>
      </c>
      <c r="E2509" s="51">
        <f>IF(INDEX(DarlBelegt,6)=0,0,EOMONTH(INDEX(DarlAuszahlung,6),105)+1)</f>
      </c>
      <c r="F2509" s="43">
        <f>IF($E2509=0,0,YEAR($E2509))</f>
      </c>
      <c r="G2509" s="43">
        <f>IF(INDEX(DarlBindung,6)="",1,IF($E2509&lt;=INDEX(DarlBindung,6),1,0))</f>
      </c>
      <c r="H2509" s="43">
        <f>IF($G2509=1,INDEX(DarlSollzins,6),INDEX(DarlAnschluss,6))</f>
      </c>
      <c r="I2509" s="43">
        <f>IF(INDEX(DarlBelegt,6)=0,0,IF(INDEX(DarlOhneTilgung,6)=1,IF(INDEX(DarlBindung,6)="",1,$G2509),IF($J2509&gt;0.005,1,0)))</f>
      </c>
      <c r="J2509" s="43">
        <f>IF($I2508=0,0,$R2508)</f>
      </c>
      <c r="K2509" s="43">
        <f>IF($I2509=0,0,IF(INDEX(DarlOhneTilgung,6)=1,0,IF(AND(INDEX(DarlTilgStart,6)&gt;0,$E2509=INDEX(DarlTilgStart,6)),$J2509*($H2509+INDEX(DarlTilgung,6))/100/12,IF(AND($G2509=0,$G2508=1),MAX($K2508,$J2509*($H2509+1)/100/12),$K2508))))</f>
      </c>
      <c r="L2509" s="43">
        <f>IF($I2509=0,0,$J2509*$H2509/100/12)</f>
      </c>
      <c r="M2509" s="43">
        <f>IF($I2509=0,0,IF(OR(INDEX(DarlOhneTilgung,6)=1,AND(INDEX(DarlTilgStart,6)&gt;0,$E2509&lt;INDEX(DarlTilgStart,6))),0,MIN(MAX(0,$K2509-$L2509),$J2509)))</f>
      </c>
      <c r="N2509" s="43">
        <f>IF($I2509=0,0,MIN(SUMIFS(SondBetrag,SondDarl,6,SondDatum,"&gt;="&amp;$E2509,SondDatum,"&lt;="&amp;EOMONTH($E2509,0)),$J2509-$M2509))</f>
      </c>
      <c r="O2509" s="43">
        <f>IF($I2509=0,0,INDEX(DarlErsatzRate,6))</f>
      </c>
      <c r="P2509" s="43">
        <f>IF($I2509=0,0,$Q2508*INDEX(DarlErsatzZins,6))</f>
      </c>
      <c r="Q2509" s="43">
        <f>IF($I2509=0,0,$Q2508+$P2509+$O2509)</f>
      </c>
      <c r="R2509" s="43">
        <f>IF($I2509=0,0,$J2509-$M2509-$N2509)</f>
      </c>
    </row>
    <row r="2510">
      <c r="A2510"/>
      <c r="B2510">
        <v>6</v>
      </c>
      <c r="C2510" s="43">
        <f>INDEX(DarlObj,6)</f>
      </c>
      <c r="D2510">
        <v>107</v>
      </c>
      <c r="E2510" s="51">
        <f>IF(INDEX(DarlBelegt,6)=0,0,EOMONTH(INDEX(DarlAuszahlung,6),106)+1)</f>
      </c>
      <c r="F2510" s="43">
        <f>IF($E2510=0,0,YEAR($E2510))</f>
      </c>
      <c r="G2510" s="43">
        <f>IF(INDEX(DarlBindung,6)="",1,IF($E2510&lt;=INDEX(DarlBindung,6),1,0))</f>
      </c>
      <c r="H2510" s="43">
        <f>IF($G2510=1,INDEX(DarlSollzins,6),INDEX(DarlAnschluss,6))</f>
      </c>
      <c r="I2510" s="43">
        <f>IF(INDEX(DarlBelegt,6)=0,0,IF(INDEX(DarlOhneTilgung,6)=1,IF(INDEX(DarlBindung,6)="",1,$G2510),IF($J2510&gt;0.005,1,0)))</f>
      </c>
      <c r="J2510" s="43">
        <f>IF($I2509=0,0,$R2509)</f>
      </c>
      <c r="K2510" s="43">
        <f>IF($I2510=0,0,IF(INDEX(DarlOhneTilgung,6)=1,0,IF(AND(INDEX(DarlTilgStart,6)&gt;0,$E2510=INDEX(DarlTilgStart,6)),$J2510*($H2510+INDEX(DarlTilgung,6))/100/12,IF(AND($G2510=0,$G2509=1),MAX($K2509,$J2510*($H2510+1)/100/12),$K2509))))</f>
      </c>
      <c r="L2510" s="43">
        <f>IF($I2510=0,0,$J2510*$H2510/100/12)</f>
      </c>
      <c r="M2510" s="43">
        <f>IF($I2510=0,0,IF(OR(INDEX(DarlOhneTilgung,6)=1,AND(INDEX(DarlTilgStart,6)&gt;0,$E2510&lt;INDEX(DarlTilgStart,6))),0,MIN(MAX(0,$K2510-$L2510),$J2510)))</f>
      </c>
      <c r="N2510" s="43">
        <f>IF($I2510=0,0,MIN(SUMIFS(SondBetrag,SondDarl,6,SondDatum,"&gt;="&amp;$E2510,SondDatum,"&lt;="&amp;EOMONTH($E2510,0)),$J2510-$M2510))</f>
      </c>
      <c r="O2510" s="43">
        <f>IF($I2510=0,0,INDEX(DarlErsatzRate,6))</f>
      </c>
      <c r="P2510" s="43">
        <f>IF($I2510=0,0,$Q2509*INDEX(DarlErsatzZins,6))</f>
      </c>
      <c r="Q2510" s="43">
        <f>IF($I2510=0,0,$Q2509+$P2510+$O2510)</f>
      </c>
      <c r="R2510" s="43">
        <f>IF($I2510=0,0,$J2510-$M2510-$N2510)</f>
      </c>
    </row>
    <row r="2511">
      <c r="A2511"/>
      <c r="B2511">
        <v>6</v>
      </c>
      <c r="C2511" s="43">
        <f>INDEX(DarlObj,6)</f>
      </c>
      <c r="D2511">
        <v>108</v>
      </c>
      <c r="E2511" s="51">
        <f>IF(INDEX(DarlBelegt,6)=0,0,EOMONTH(INDEX(DarlAuszahlung,6),107)+1)</f>
      </c>
      <c r="F2511" s="43">
        <f>IF($E2511=0,0,YEAR($E2511))</f>
      </c>
      <c r="G2511" s="43">
        <f>IF(INDEX(DarlBindung,6)="",1,IF($E2511&lt;=INDEX(DarlBindung,6),1,0))</f>
      </c>
      <c r="H2511" s="43">
        <f>IF($G2511=1,INDEX(DarlSollzins,6),INDEX(DarlAnschluss,6))</f>
      </c>
      <c r="I2511" s="43">
        <f>IF(INDEX(DarlBelegt,6)=0,0,IF(INDEX(DarlOhneTilgung,6)=1,IF(INDEX(DarlBindung,6)="",1,$G2511),IF($J2511&gt;0.005,1,0)))</f>
      </c>
      <c r="J2511" s="43">
        <f>IF($I2510=0,0,$R2510)</f>
      </c>
      <c r="K2511" s="43">
        <f>IF($I2511=0,0,IF(INDEX(DarlOhneTilgung,6)=1,0,IF(AND(INDEX(DarlTilgStart,6)&gt;0,$E2511=INDEX(DarlTilgStart,6)),$J2511*($H2511+INDEX(DarlTilgung,6))/100/12,IF(AND($G2511=0,$G2510=1),MAX($K2510,$J2511*($H2511+1)/100/12),$K2510))))</f>
      </c>
      <c r="L2511" s="43">
        <f>IF($I2511=0,0,$J2511*$H2511/100/12)</f>
      </c>
      <c r="M2511" s="43">
        <f>IF($I2511=0,0,IF(OR(INDEX(DarlOhneTilgung,6)=1,AND(INDEX(DarlTilgStart,6)&gt;0,$E2511&lt;INDEX(DarlTilgStart,6))),0,MIN(MAX(0,$K2511-$L2511),$J2511)))</f>
      </c>
      <c r="N2511" s="43">
        <f>IF($I2511=0,0,MIN(SUMIFS(SondBetrag,SondDarl,6,SondDatum,"&gt;="&amp;$E2511,SondDatum,"&lt;="&amp;EOMONTH($E2511,0)),$J2511-$M2511))</f>
      </c>
      <c r="O2511" s="43">
        <f>IF($I2511=0,0,INDEX(DarlErsatzRate,6))</f>
      </c>
      <c r="P2511" s="43">
        <f>IF($I2511=0,0,$Q2510*INDEX(DarlErsatzZins,6))</f>
      </c>
      <c r="Q2511" s="43">
        <f>IF($I2511=0,0,$Q2510+$P2511+$O2511)</f>
      </c>
      <c r="R2511" s="43">
        <f>IF($I2511=0,0,$J2511-$M2511-$N2511)</f>
      </c>
    </row>
    <row r="2512">
      <c r="A2512"/>
      <c r="B2512">
        <v>6</v>
      </c>
      <c r="C2512" s="43">
        <f>INDEX(DarlObj,6)</f>
      </c>
      <c r="D2512">
        <v>109</v>
      </c>
      <c r="E2512" s="51">
        <f>IF(INDEX(DarlBelegt,6)=0,0,EOMONTH(INDEX(DarlAuszahlung,6),108)+1)</f>
      </c>
      <c r="F2512" s="43">
        <f>IF($E2512=0,0,YEAR($E2512))</f>
      </c>
      <c r="G2512" s="43">
        <f>IF(INDEX(DarlBindung,6)="",1,IF($E2512&lt;=INDEX(DarlBindung,6),1,0))</f>
      </c>
      <c r="H2512" s="43">
        <f>IF($G2512=1,INDEX(DarlSollzins,6),INDEX(DarlAnschluss,6))</f>
      </c>
      <c r="I2512" s="43">
        <f>IF(INDEX(DarlBelegt,6)=0,0,IF(INDEX(DarlOhneTilgung,6)=1,IF(INDEX(DarlBindung,6)="",1,$G2512),IF($J2512&gt;0.005,1,0)))</f>
      </c>
      <c r="J2512" s="43">
        <f>IF($I2511=0,0,$R2511)</f>
      </c>
      <c r="K2512" s="43">
        <f>IF($I2512=0,0,IF(INDEX(DarlOhneTilgung,6)=1,0,IF(AND(INDEX(DarlTilgStart,6)&gt;0,$E2512=INDEX(DarlTilgStart,6)),$J2512*($H2512+INDEX(DarlTilgung,6))/100/12,IF(AND($G2512=0,$G2511=1),MAX($K2511,$J2512*($H2512+1)/100/12),$K2511))))</f>
      </c>
      <c r="L2512" s="43">
        <f>IF($I2512=0,0,$J2512*$H2512/100/12)</f>
      </c>
      <c r="M2512" s="43">
        <f>IF($I2512=0,0,IF(OR(INDEX(DarlOhneTilgung,6)=1,AND(INDEX(DarlTilgStart,6)&gt;0,$E2512&lt;INDEX(DarlTilgStart,6))),0,MIN(MAX(0,$K2512-$L2512),$J2512)))</f>
      </c>
      <c r="N2512" s="43">
        <f>IF($I2512=0,0,MIN(SUMIFS(SondBetrag,SondDarl,6,SondDatum,"&gt;="&amp;$E2512,SondDatum,"&lt;="&amp;EOMONTH($E2512,0)),$J2512-$M2512))</f>
      </c>
      <c r="O2512" s="43">
        <f>IF($I2512=0,0,INDEX(DarlErsatzRate,6))</f>
      </c>
      <c r="P2512" s="43">
        <f>IF($I2512=0,0,$Q2511*INDEX(DarlErsatzZins,6))</f>
      </c>
      <c r="Q2512" s="43">
        <f>IF($I2512=0,0,$Q2511+$P2512+$O2512)</f>
      </c>
      <c r="R2512" s="43">
        <f>IF($I2512=0,0,$J2512-$M2512-$N2512)</f>
      </c>
    </row>
    <row r="2513">
      <c r="A2513"/>
      <c r="B2513">
        <v>6</v>
      </c>
      <c r="C2513" s="43">
        <f>INDEX(DarlObj,6)</f>
      </c>
      <c r="D2513">
        <v>110</v>
      </c>
      <c r="E2513" s="51">
        <f>IF(INDEX(DarlBelegt,6)=0,0,EOMONTH(INDEX(DarlAuszahlung,6),109)+1)</f>
      </c>
      <c r="F2513" s="43">
        <f>IF($E2513=0,0,YEAR($E2513))</f>
      </c>
      <c r="G2513" s="43">
        <f>IF(INDEX(DarlBindung,6)="",1,IF($E2513&lt;=INDEX(DarlBindung,6),1,0))</f>
      </c>
      <c r="H2513" s="43">
        <f>IF($G2513=1,INDEX(DarlSollzins,6),INDEX(DarlAnschluss,6))</f>
      </c>
      <c r="I2513" s="43">
        <f>IF(INDEX(DarlBelegt,6)=0,0,IF(INDEX(DarlOhneTilgung,6)=1,IF(INDEX(DarlBindung,6)="",1,$G2513),IF($J2513&gt;0.005,1,0)))</f>
      </c>
      <c r="J2513" s="43">
        <f>IF($I2512=0,0,$R2512)</f>
      </c>
      <c r="K2513" s="43">
        <f>IF($I2513=0,0,IF(INDEX(DarlOhneTilgung,6)=1,0,IF(AND(INDEX(DarlTilgStart,6)&gt;0,$E2513=INDEX(DarlTilgStart,6)),$J2513*($H2513+INDEX(DarlTilgung,6))/100/12,IF(AND($G2513=0,$G2512=1),MAX($K2512,$J2513*($H2513+1)/100/12),$K2512))))</f>
      </c>
      <c r="L2513" s="43">
        <f>IF($I2513=0,0,$J2513*$H2513/100/12)</f>
      </c>
      <c r="M2513" s="43">
        <f>IF($I2513=0,0,IF(OR(INDEX(DarlOhneTilgung,6)=1,AND(INDEX(DarlTilgStart,6)&gt;0,$E2513&lt;INDEX(DarlTilgStart,6))),0,MIN(MAX(0,$K2513-$L2513),$J2513)))</f>
      </c>
      <c r="N2513" s="43">
        <f>IF($I2513=0,0,MIN(SUMIFS(SondBetrag,SondDarl,6,SondDatum,"&gt;="&amp;$E2513,SondDatum,"&lt;="&amp;EOMONTH($E2513,0)),$J2513-$M2513))</f>
      </c>
      <c r="O2513" s="43">
        <f>IF($I2513=0,0,INDEX(DarlErsatzRate,6))</f>
      </c>
      <c r="P2513" s="43">
        <f>IF($I2513=0,0,$Q2512*INDEX(DarlErsatzZins,6))</f>
      </c>
      <c r="Q2513" s="43">
        <f>IF($I2513=0,0,$Q2512+$P2513+$O2513)</f>
      </c>
      <c r="R2513" s="43">
        <f>IF($I2513=0,0,$J2513-$M2513-$N2513)</f>
      </c>
    </row>
    <row r="2514">
      <c r="A2514"/>
      <c r="B2514">
        <v>6</v>
      </c>
      <c r="C2514" s="43">
        <f>INDEX(DarlObj,6)</f>
      </c>
      <c r="D2514">
        <v>111</v>
      </c>
      <c r="E2514" s="51">
        <f>IF(INDEX(DarlBelegt,6)=0,0,EOMONTH(INDEX(DarlAuszahlung,6),110)+1)</f>
      </c>
      <c r="F2514" s="43">
        <f>IF($E2514=0,0,YEAR($E2514))</f>
      </c>
      <c r="G2514" s="43">
        <f>IF(INDEX(DarlBindung,6)="",1,IF($E2514&lt;=INDEX(DarlBindung,6),1,0))</f>
      </c>
      <c r="H2514" s="43">
        <f>IF($G2514=1,INDEX(DarlSollzins,6),INDEX(DarlAnschluss,6))</f>
      </c>
      <c r="I2514" s="43">
        <f>IF(INDEX(DarlBelegt,6)=0,0,IF(INDEX(DarlOhneTilgung,6)=1,IF(INDEX(DarlBindung,6)="",1,$G2514),IF($J2514&gt;0.005,1,0)))</f>
      </c>
      <c r="J2514" s="43">
        <f>IF($I2513=0,0,$R2513)</f>
      </c>
      <c r="K2514" s="43">
        <f>IF($I2514=0,0,IF(INDEX(DarlOhneTilgung,6)=1,0,IF(AND(INDEX(DarlTilgStart,6)&gt;0,$E2514=INDEX(DarlTilgStart,6)),$J2514*($H2514+INDEX(DarlTilgung,6))/100/12,IF(AND($G2514=0,$G2513=1),MAX($K2513,$J2514*($H2514+1)/100/12),$K2513))))</f>
      </c>
      <c r="L2514" s="43">
        <f>IF($I2514=0,0,$J2514*$H2514/100/12)</f>
      </c>
      <c r="M2514" s="43">
        <f>IF($I2514=0,0,IF(OR(INDEX(DarlOhneTilgung,6)=1,AND(INDEX(DarlTilgStart,6)&gt;0,$E2514&lt;INDEX(DarlTilgStart,6))),0,MIN(MAX(0,$K2514-$L2514),$J2514)))</f>
      </c>
      <c r="N2514" s="43">
        <f>IF($I2514=0,0,MIN(SUMIFS(SondBetrag,SondDarl,6,SondDatum,"&gt;="&amp;$E2514,SondDatum,"&lt;="&amp;EOMONTH($E2514,0)),$J2514-$M2514))</f>
      </c>
      <c r="O2514" s="43">
        <f>IF($I2514=0,0,INDEX(DarlErsatzRate,6))</f>
      </c>
      <c r="P2514" s="43">
        <f>IF($I2514=0,0,$Q2513*INDEX(DarlErsatzZins,6))</f>
      </c>
      <c r="Q2514" s="43">
        <f>IF($I2514=0,0,$Q2513+$P2514+$O2514)</f>
      </c>
      <c r="R2514" s="43">
        <f>IF($I2514=0,0,$J2514-$M2514-$N2514)</f>
      </c>
    </row>
    <row r="2515">
      <c r="A2515"/>
      <c r="B2515">
        <v>6</v>
      </c>
      <c r="C2515" s="43">
        <f>INDEX(DarlObj,6)</f>
      </c>
      <c r="D2515">
        <v>112</v>
      </c>
      <c r="E2515" s="51">
        <f>IF(INDEX(DarlBelegt,6)=0,0,EOMONTH(INDEX(DarlAuszahlung,6),111)+1)</f>
      </c>
      <c r="F2515" s="43">
        <f>IF($E2515=0,0,YEAR($E2515))</f>
      </c>
      <c r="G2515" s="43">
        <f>IF(INDEX(DarlBindung,6)="",1,IF($E2515&lt;=INDEX(DarlBindung,6),1,0))</f>
      </c>
      <c r="H2515" s="43">
        <f>IF($G2515=1,INDEX(DarlSollzins,6),INDEX(DarlAnschluss,6))</f>
      </c>
      <c r="I2515" s="43">
        <f>IF(INDEX(DarlBelegt,6)=0,0,IF(INDEX(DarlOhneTilgung,6)=1,IF(INDEX(DarlBindung,6)="",1,$G2515),IF($J2515&gt;0.005,1,0)))</f>
      </c>
      <c r="J2515" s="43">
        <f>IF($I2514=0,0,$R2514)</f>
      </c>
      <c r="K2515" s="43">
        <f>IF($I2515=0,0,IF(INDEX(DarlOhneTilgung,6)=1,0,IF(AND(INDEX(DarlTilgStart,6)&gt;0,$E2515=INDEX(DarlTilgStart,6)),$J2515*($H2515+INDEX(DarlTilgung,6))/100/12,IF(AND($G2515=0,$G2514=1),MAX($K2514,$J2515*($H2515+1)/100/12),$K2514))))</f>
      </c>
      <c r="L2515" s="43">
        <f>IF($I2515=0,0,$J2515*$H2515/100/12)</f>
      </c>
      <c r="M2515" s="43">
        <f>IF($I2515=0,0,IF(OR(INDEX(DarlOhneTilgung,6)=1,AND(INDEX(DarlTilgStart,6)&gt;0,$E2515&lt;INDEX(DarlTilgStart,6))),0,MIN(MAX(0,$K2515-$L2515),$J2515)))</f>
      </c>
      <c r="N2515" s="43">
        <f>IF($I2515=0,0,MIN(SUMIFS(SondBetrag,SondDarl,6,SondDatum,"&gt;="&amp;$E2515,SondDatum,"&lt;="&amp;EOMONTH($E2515,0)),$J2515-$M2515))</f>
      </c>
      <c r="O2515" s="43">
        <f>IF($I2515=0,0,INDEX(DarlErsatzRate,6))</f>
      </c>
      <c r="P2515" s="43">
        <f>IF($I2515=0,0,$Q2514*INDEX(DarlErsatzZins,6))</f>
      </c>
      <c r="Q2515" s="43">
        <f>IF($I2515=0,0,$Q2514+$P2515+$O2515)</f>
      </c>
      <c r="R2515" s="43">
        <f>IF($I2515=0,0,$J2515-$M2515-$N2515)</f>
      </c>
    </row>
    <row r="2516">
      <c r="A2516"/>
      <c r="B2516">
        <v>6</v>
      </c>
      <c r="C2516" s="43">
        <f>INDEX(DarlObj,6)</f>
      </c>
      <c r="D2516">
        <v>113</v>
      </c>
      <c r="E2516" s="51">
        <f>IF(INDEX(DarlBelegt,6)=0,0,EOMONTH(INDEX(DarlAuszahlung,6),112)+1)</f>
      </c>
      <c r="F2516" s="43">
        <f>IF($E2516=0,0,YEAR($E2516))</f>
      </c>
      <c r="G2516" s="43">
        <f>IF(INDEX(DarlBindung,6)="",1,IF($E2516&lt;=INDEX(DarlBindung,6),1,0))</f>
      </c>
      <c r="H2516" s="43">
        <f>IF($G2516=1,INDEX(DarlSollzins,6),INDEX(DarlAnschluss,6))</f>
      </c>
      <c r="I2516" s="43">
        <f>IF(INDEX(DarlBelegt,6)=0,0,IF(INDEX(DarlOhneTilgung,6)=1,IF(INDEX(DarlBindung,6)="",1,$G2516),IF($J2516&gt;0.005,1,0)))</f>
      </c>
      <c r="J2516" s="43">
        <f>IF($I2515=0,0,$R2515)</f>
      </c>
      <c r="K2516" s="43">
        <f>IF($I2516=0,0,IF(INDEX(DarlOhneTilgung,6)=1,0,IF(AND(INDEX(DarlTilgStart,6)&gt;0,$E2516=INDEX(DarlTilgStart,6)),$J2516*($H2516+INDEX(DarlTilgung,6))/100/12,IF(AND($G2516=0,$G2515=1),MAX($K2515,$J2516*($H2516+1)/100/12),$K2515))))</f>
      </c>
      <c r="L2516" s="43">
        <f>IF($I2516=0,0,$J2516*$H2516/100/12)</f>
      </c>
      <c r="M2516" s="43">
        <f>IF($I2516=0,0,IF(OR(INDEX(DarlOhneTilgung,6)=1,AND(INDEX(DarlTilgStart,6)&gt;0,$E2516&lt;INDEX(DarlTilgStart,6))),0,MIN(MAX(0,$K2516-$L2516),$J2516)))</f>
      </c>
      <c r="N2516" s="43">
        <f>IF($I2516=0,0,MIN(SUMIFS(SondBetrag,SondDarl,6,SondDatum,"&gt;="&amp;$E2516,SondDatum,"&lt;="&amp;EOMONTH($E2516,0)),$J2516-$M2516))</f>
      </c>
      <c r="O2516" s="43">
        <f>IF($I2516=0,0,INDEX(DarlErsatzRate,6))</f>
      </c>
      <c r="P2516" s="43">
        <f>IF($I2516=0,0,$Q2515*INDEX(DarlErsatzZins,6))</f>
      </c>
      <c r="Q2516" s="43">
        <f>IF($I2516=0,0,$Q2515+$P2516+$O2516)</f>
      </c>
      <c r="R2516" s="43">
        <f>IF($I2516=0,0,$J2516-$M2516-$N2516)</f>
      </c>
    </row>
    <row r="2517">
      <c r="A2517"/>
      <c r="B2517">
        <v>6</v>
      </c>
      <c r="C2517" s="43">
        <f>INDEX(DarlObj,6)</f>
      </c>
      <c r="D2517">
        <v>114</v>
      </c>
      <c r="E2517" s="51">
        <f>IF(INDEX(DarlBelegt,6)=0,0,EOMONTH(INDEX(DarlAuszahlung,6),113)+1)</f>
      </c>
      <c r="F2517" s="43">
        <f>IF($E2517=0,0,YEAR($E2517))</f>
      </c>
      <c r="G2517" s="43">
        <f>IF(INDEX(DarlBindung,6)="",1,IF($E2517&lt;=INDEX(DarlBindung,6),1,0))</f>
      </c>
      <c r="H2517" s="43">
        <f>IF($G2517=1,INDEX(DarlSollzins,6),INDEX(DarlAnschluss,6))</f>
      </c>
      <c r="I2517" s="43">
        <f>IF(INDEX(DarlBelegt,6)=0,0,IF(INDEX(DarlOhneTilgung,6)=1,IF(INDEX(DarlBindung,6)="",1,$G2517),IF($J2517&gt;0.005,1,0)))</f>
      </c>
      <c r="J2517" s="43">
        <f>IF($I2516=0,0,$R2516)</f>
      </c>
      <c r="K2517" s="43">
        <f>IF($I2517=0,0,IF(INDEX(DarlOhneTilgung,6)=1,0,IF(AND(INDEX(DarlTilgStart,6)&gt;0,$E2517=INDEX(DarlTilgStart,6)),$J2517*($H2517+INDEX(DarlTilgung,6))/100/12,IF(AND($G2517=0,$G2516=1),MAX($K2516,$J2517*($H2517+1)/100/12),$K2516))))</f>
      </c>
      <c r="L2517" s="43">
        <f>IF($I2517=0,0,$J2517*$H2517/100/12)</f>
      </c>
      <c r="M2517" s="43">
        <f>IF($I2517=0,0,IF(OR(INDEX(DarlOhneTilgung,6)=1,AND(INDEX(DarlTilgStart,6)&gt;0,$E2517&lt;INDEX(DarlTilgStart,6))),0,MIN(MAX(0,$K2517-$L2517),$J2517)))</f>
      </c>
      <c r="N2517" s="43">
        <f>IF($I2517=0,0,MIN(SUMIFS(SondBetrag,SondDarl,6,SondDatum,"&gt;="&amp;$E2517,SondDatum,"&lt;="&amp;EOMONTH($E2517,0)),$J2517-$M2517))</f>
      </c>
      <c r="O2517" s="43">
        <f>IF($I2517=0,0,INDEX(DarlErsatzRate,6))</f>
      </c>
      <c r="P2517" s="43">
        <f>IF($I2517=0,0,$Q2516*INDEX(DarlErsatzZins,6))</f>
      </c>
      <c r="Q2517" s="43">
        <f>IF($I2517=0,0,$Q2516+$P2517+$O2517)</f>
      </c>
      <c r="R2517" s="43">
        <f>IF($I2517=0,0,$J2517-$M2517-$N2517)</f>
      </c>
    </row>
    <row r="2518">
      <c r="A2518"/>
      <c r="B2518">
        <v>6</v>
      </c>
      <c r="C2518" s="43">
        <f>INDEX(DarlObj,6)</f>
      </c>
      <c r="D2518">
        <v>115</v>
      </c>
      <c r="E2518" s="51">
        <f>IF(INDEX(DarlBelegt,6)=0,0,EOMONTH(INDEX(DarlAuszahlung,6),114)+1)</f>
      </c>
      <c r="F2518" s="43">
        <f>IF($E2518=0,0,YEAR($E2518))</f>
      </c>
      <c r="G2518" s="43">
        <f>IF(INDEX(DarlBindung,6)="",1,IF($E2518&lt;=INDEX(DarlBindung,6),1,0))</f>
      </c>
      <c r="H2518" s="43">
        <f>IF($G2518=1,INDEX(DarlSollzins,6),INDEX(DarlAnschluss,6))</f>
      </c>
      <c r="I2518" s="43">
        <f>IF(INDEX(DarlBelegt,6)=0,0,IF(INDEX(DarlOhneTilgung,6)=1,IF(INDEX(DarlBindung,6)="",1,$G2518),IF($J2518&gt;0.005,1,0)))</f>
      </c>
      <c r="J2518" s="43">
        <f>IF($I2517=0,0,$R2517)</f>
      </c>
      <c r="K2518" s="43">
        <f>IF($I2518=0,0,IF(INDEX(DarlOhneTilgung,6)=1,0,IF(AND(INDEX(DarlTilgStart,6)&gt;0,$E2518=INDEX(DarlTilgStart,6)),$J2518*($H2518+INDEX(DarlTilgung,6))/100/12,IF(AND($G2518=0,$G2517=1),MAX($K2517,$J2518*($H2518+1)/100/12),$K2517))))</f>
      </c>
      <c r="L2518" s="43">
        <f>IF($I2518=0,0,$J2518*$H2518/100/12)</f>
      </c>
      <c r="M2518" s="43">
        <f>IF($I2518=0,0,IF(OR(INDEX(DarlOhneTilgung,6)=1,AND(INDEX(DarlTilgStart,6)&gt;0,$E2518&lt;INDEX(DarlTilgStart,6))),0,MIN(MAX(0,$K2518-$L2518),$J2518)))</f>
      </c>
      <c r="N2518" s="43">
        <f>IF($I2518=0,0,MIN(SUMIFS(SondBetrag,SondDarl,6,SondDatum,"&gt;="&amp;$E2518,SondDatum,"&lt;="&amp;EOMONTH($E2518,0)),$J2518-$M2518))</f>
      </c>
      <c r="O2518" s="43">
        <f>IF($I2518=0,0,INDEX(DarlErsatzRate,6))</f>
      </c>
      <c r="P2518" s="43">
        <f>IF($I2518=0,0,$Q2517*INDEX(DarlErsatzZins,6))</f>
      </c>
      <c r="Q2518" s="43">
        <f>IF($I2518=0,0,$Q2517+$P2518+$O2518)</f>
      </c>
      <c r="R2518" s="43">
        <f>IF($I2518=0,0,$J2518-$M2518-$N2518)</f>
      </c>
    </row>
    <row r="2519">
      <c r="A2519"/>
      <c r="B2519">
        <v>6</v>
      </c>
      <c r="C2519" s="43">
        <f>INDEX(DarlObj,6)</f>
      </c>
      <c r="D2519">
        <v>116</v>
      </c>
      <c r="E2519" s="51">
        <f>IF(INDEX(DarlBelegt,6)=0,0,EOMONTH(INDEX(DarlAuszahlung,6),115)+1)</f>
      </c>
      <c r="F2519" s="43">
        <f>IF($E2519=0,0,YEAR($E2519))</f>
      </c>
      <c r="G2519" s="43">
        <f>IF(INDEX(DarlBindung,6)="",1,IF($E2519&lt;=INDEX(DarlBindung,6),1,0))</f>
      </c>
      <c r="H2519" s="43">
        <f>IF($G2519=1,INDEX(DarlSollzins,6),INDEX(DarlAnschluss,6))</f>
      </c>
      <c r="I2519" s="43">
        <f>IF(INDEX(DarlBelegt,6)=0,0,IF(INDEX(DarlOhneTilgung,6)=1,IF(INDEX(DarlBindung,6)="",1,$G2519),IF($J2519&gt;0.005,1,0)))</f>
      </c>
      <c r="J2519" s="43">
        <f>IF($I2518=0,0,$R2518)</f>
      </c>
      <c r="K2519" s="43">
        <f>IF($I2519=0,0,IF(INDEX(DarlOhneTilgung,6)=1,0,IF(AND(INDEX(DarlTilgStart,6)&gt;0,$E2519=INDEX(DarlTilgStart,6)),$J2519*($H2519+INDEX(DarlTilgung,6))/100/12,IF(AND($G2519=0,$G2518=1),MAX($K2518,$J2519*($H2519+1)/100/12),$K2518))))</f>
      </c>
      <c r="L2519" s="43">
        <f>IF($I2519=0,0,$J2519*$H2519/100/12)</f>
      </c>
      <c r="M2519" s="43">
        <f>IF($I2519=0,0,IF(OR(INDEX(DarlOhneTilgung,6)=1,AND(INDEX(DarlTilgStart,6)&gt;0,$E2519&lt;INDEX(DarlTilgStart,6))),0,MIN(MAX(0,$K2519-$L2519),$J2519)))</f>
      </c>
      <c r="N2519" s="43">
        <f>IF($I2519=0,0,MIN(SUMIFS(SondBetrag,SondDarl,6,SondDatum,"&gt;="&amp;$E2519,SondDatum,"&lt;="&amp;EOMONTH($E2519,0)),$J2519-$M2519))</f>
      </c>
      <c r="O2519" s="43">
        <f>IF($I2519=0,0,INDEX(DarlErsatzRate,6))</f>
      </c>
      <c r="P2519" s="43">
        <f>IF($I2519=0,0,$Q2518*INDEX(DarlErsatzZins,6))</f>
      </c>
      <c r="Q2519" s="43">
        <f>IF($I2519=0,0,$Q2518+$P2519+$O2519)</f>
      </c>
      <c r="R2519" s="43">
        <f>IF($I2519=0,0,$J2519-$M2519-$N2519)</f>
      </c>
    </row>
    <row r="2520">
      <c r="A2520"/>
      <c r="B2520">
        <v>6</v>
      </c>
      <c r="C2520" s="43">
        <f>INDEX(DarlObj,6)</f>
      </c>
      <c r="D2520">
        <v>117</v>
      </c>
      <c r="E2520" s="51">
        <f>IF(INDEX(DarlBelegt,6)=0,0,EOMONTH(INDEX(DarlAuszahlung,6),116)+1)</f>
      </c>
      <c r="F2520" s="43">
        <f>IF($E2520=0,0,YEAR($E2520))</f>
      </c>
      <c r="G2520" s="43">
        <f>IF(INDEX(DarlBindung,6)="",1,IF($E2520&lt;=INDEX(DarlBindung,6),1,0))</f>
      </c>
      <c r="H2520" s="43">
        <f>IF($G2520=1,INDEX(DarlSollzins,6),INDEX(DarlAnschluss,6))</f>
      </c>
      <c r="I2520" s="43">
        <f>IF(INDEX(DarlBelegt,6)=0,0,IF(INDEX(DarlOhneTilgung,6)=1,IF(INDEX(DarlBindung,6)="",1,$G2520),IF($J2520&gt;0.005,1,0)))</f>
      </c>
      <c r="J2520" s="43">
        <f>IF($I2519=0,0,$R2519)</f>
      </c>
      <c r="K2520" s="43">
        <f>IF($I2520=0,0,IF(INDEX(DarlOhneTilgung,6)=1,0,IF(AND(INDEX(DarlTilgStart,6)&gt;0,$E2520=INDEX(DarlTilgStart,6)),$J2520*($H2520+INDEX(DarlTilgung,6))/100/12,IF(AND($G2520=0,$G2519=1),MAX($K2519,$J2520*($H2520+1)/100/12),$K2519))))</f>
      </c>
      <c r="L2520" s="43">
        <f>IF($I2520=0,0,$J2520*$H2520/100/12)</f>
      </c>
      <c r="M2520" s="43">
        <f>IF($I2520=0,0,IF(OR(INDEX(DarlOhneTilgung,6)=1,AND(INDEX(DarlTilgStart,6)&gt;0,$E2520&lt;INDEX(DarlTilgStart,6))),0,MIN(MAX(0,$K2520-$L2520),$J2520)))</f>
      </c>
      <c r="N2520" s="43">
        <f>IF($I2520=0,0,MIN(SUMIFS(SondBetrag,SondDarl,6,SondDatum,"&gt;="&amp;$E2520,SondDatum,"&lt;="&amp;EOMONTH($E2520,0)),$J2520-$M2520))</f>
      </c>
      <c r="O2520" s="43">
        <f>IF($I2520=0,0,INDEX(DarlErsatzRate,6))</f>
      </c>
      <c r="P2520" s="43">
        <f>IF($I2520=0,0,$Q2519*INDEX(DarlErsatzZins,6))</f>
      </c>
      <c r="Q2520" s="43">
        <f>IF($I2520=0,0,$Q2519+$P2520+$O2520)</f>
      </c>
      <c r="R2520" s="43">
        <f>IF($I2520=0,0,$J2520-$M2520-$N2520)</f>
      </c>
    </row>
    <row r="2521">
      <c r="A2521"/>
      <c r="B2521">
        <v>6</v>
      </c>
      <c r="C2521" s="43">
        <f>INDEX(DarlObj,6)</f>
      </c>
      <c r="D2521">
        <v>118</v>
      </c>
      <c r="E2521" s="51">
        <f>IF(INDEX(DarlBelegt,6)=0,0,EOMONTH(INDEX(DarlAuszahlung,6),117)+1)</f>
      </c>
      <c r="F2521" s="43">
        <f>IF($E2521=0,0,YEAR($E2521))</f>
      </c>
      <c r="G2521" s="43">
        <f>IF(INDEX(DarlBindung,6)="",1,IF($E2521&lt;=INDEX(DarlBindung,6),1,0))</f>
      </c>
      <c r="H2521" s="43">
        <f>IF($G2521=1,INDEX(DarlSollzins,6),INDEX(DarlAnschluss,6))</f>
      </c>
      <c r="I2521" s="43">
        <f>IF(INDEX(DarlBelegt,6)=0,0,IF(INDEX(DarlOhneTilgung,6)=1,IF(INDEX(DarlBindung,6)="",1,$G2521),IF($J2521&gt;0.005,1,0)))</f>
      </c>
      <c r="J2521" s="43">
        <f>IF($I2520=0,0,$R2520)</f>
      </c>
      <c r="K2521" s="43">
        <f>IF($I2521=0,0,IF(INDEX(DarlOhneTilgung,6)=1,0,IF(AND(INDEX(DarlTilgStart,6)&gt;0,$E2521=INDEX(DarlTilgStart,6)),$J2521*($H2521+INDEX(DarlTilgung,6))/100/12,IF(AND($G2521=0,$G2520=1),MAX($K2520,$J2521*($H2521+1)/100/12),$K2520))))</f>
      </c>
      <c r="L2521" s="43">
        <f>IF($I2521=0,0,$J2521*$H2521/100/12)</f>
      </c>
      <c r="M2521" s="43">
        <f>IF($I2521=0,0,IF(OR(INDEX(DarlOhneTilgung,6)=1,AND(INDEX(DarlTilgStart,6)&gt;0,$E2521&lt;INDEX(DarlTilgStart,6))),0,MIN(MAX(0,$K2521-$L2521),$J2521)))</f>
      </c>
      <c r="N2521" s="43">
        <f>IF($I2521=0,0,MIN(SUMIFS(SondBetrag,SondDarl,6,SondDatum,"&gt;="&amp;$E2521,SondDatum,"&lt;="&amp;EOMONTH($E2521,0)),$J2521-$M2521))</f>
      </c>
      <c r="O2521" s="43">
        <f>IF($I2521=0,0,INDEX(DarlErsatzRate,6))</f>
      </c>
      <c r="P2521" s="43">
        <f>IF($I2521=0,0,$Q2520*INDEX(DarlErsatzZins,6))</f>
      </c>
      <c r="Q2521" s="43">
        <f>IF($I2521=0,0,$Q2520+$P2521+$O2521)</f>
      </c>
      <c r="R2521" s="43">
        <f>IF($I2521=0,0,$J2521-$M2521-$N2521)</f>
      </c>
    </row>
    <row r="2522">
      <c r="A2522"/>
      <c r="B2522">
        <v>6</v>
      </c>
      <c r="C2522" s="43">
        <f>INDEX(DarlObj,6)</f>
      </c>
      <c r="D2522">
        <v>119</v>
      </c>
      <c r="E2522" s="51">
        <f>IF(INDEX(DarlBelegt,6)=0,0,EOMONTH(INDEX(DarlAuszahlung,6),118)+1)</f>
      </c>
      <c r="F2522" s="43">
        <f>IF($E2522=0,0,YEAR($E2522))</f>
      </c>
      <c r="G2522" s="43">
        <f>IF(INDEX(DarlBindung,6)="",1,IF($E2522&lt;=INDEX(DarlBindung,6),1,0))</f>
      </c>
      <c r="H2522" s="43">
        <f>IF($G2522=1,INDEX(DarlSollzins,6),INDEX(DarlAnschluss,6))</f>
      </c>
      <c r="I2522" s="43">
        <f>IF(INDEX(DarlBelegt,6)=0,0,IF(INDEX(DarlOhneTilgung,6)=1,IF(INDEX(DarlBindung,6)="",1,$G2522),IF($J2522&gt;0.005,1,0)))</f>
      </c>
      <c r="J2522" s="43">
        <f>IF($I2521=0,0,$R2521)</f>
      </c>
      <c r="K2522" s="43">
        <f>IF($I2522=0,0,IF(INDEX(DarlOhneTilgung,6)=1,0,IF(AND(INDEX(DarlTilgStart,6)&gt;0,$E2522=INDEX(DarlTilgStart,6)),$J2522*($H2522+INDEX(DarlTilgung,6))/100/12,IF(AND($G2522=0,$G2521=1),MAX($K2521,$J2522*($H2522+1)/100/12),$K2521))))</f>
      </c>
      <c r="L2522" s="43">
        <f>IF($I2522=0,0,$J2522*$H2522/100/12)</f>
      </c>
      <c r="M2522" s="43">
        <f>IF($I2522=0,0,IF(OR(INDEX(DarlOhneTilgung,6)=1,AND(INDEX(DarlTilgStart,6)&gt;0,$E2522&lt;INDEX(DarlTilgStart,6))),0,MIN(MAX(0,$K2522-$L2522),$J2522)))</f>
      </c>
      <c r="N2522" s="43">
        <f>IF($I2522=0,0,MIN(SUMIFS(SondBetrag,SondDarl,6,SondDatum,"&gt;="&amp;$E2522,SondDatum,"&lt;="&amp;EOMONTH($E2522,0)),$J2522-$M2522))</f>
      </c>
      <c r="O2522" s="43">
        <f>IF($I2522=0,0,INDEX(DarlErsatzRate,6))</f>
      </c>
      <c r="P2522" s="43">
        <f>IF($I2522=0,0,$Q2521*INDEX(DarlErsatzZins,6))</f>
      </c>
      <c r="Q2522" s="43">
        <f>IF($I2522=0,0,$Q2521+$P2522+$O2522)</f>
      </c>
      <c r="R2522" s="43">
        <f>IF($I2522=0,0,$J2522-$M2522-$N2522)</f>
      </c>
    </row>
    <row r="2523">
      <c r="A2523"/>
      <c r="B2523">
        <v>6</v>
      </c>
      <c r="C2523" s="43">
        <f>INDEX(DarlObj,6)</f>
      </c>
      <c r="D2523">
        <v>120</v>
      </c>
      <c r="E2523" s="51">
        <f>IF(INDEX(DarlBelegt,6)=0,0,EOMONTH(INDEX(DarlAuszahlung,6),119)+1)</f>
      </c>
      <c r="F2523" s="43">
        <f>IF($E2523=0,0,YEAR($E2523))</f>
      </c>
      <c r="G2523" s="43">
        <f>IF(INDEX(DarlBindung,6)="",1,IF($E2523&lt;=INDEX(DarlBindung,6),1,0))</f>
      </c>
      <c r="H2523" s="43">
        <f>IF($G2523=1,INDEX(DarlSollzins,6),INDEX(DarlAnschluss,6))</f>
      </c>
      <c r="I2523" s="43">
        <f>IF(INDEX(DarlBelegt,6)=0,0,IF(INDEX(DarlOhneTilgung,6)=1,IF(INDEX(DarlBindung,6)="",1,$G2523),IF($J2523&gt;0.005,1,0)))</f>
      </c>
      <c r="J2523" s="43">
        <f>IF($I2522=0,0,$R2522)</f>
      </c>
      <c r="K2523" s="43">
        <f>IF($I2523=0,0,IF(INDEX(DarlOhneTilgung,6)=1,0,IF(AND(INDEX(DarlTilgStart,6)&gt;0,$E2523=INDEX(DarlTilgStart,6)),$J2523*($H2523+INDEX(DarlTilgung,6))/100/12,IF(AND($G2523=0,$G2522=1),MAX($K2522,$J2523*($H2523+1)/100/12),$K2522))))</f>
      </c>
      <c r="L2523" s="43">
        <f>IF($I2523=0,0,$J2523*$H2523/100/12)</f>
      </c>
      <c r="M2523" s="43">
        <f>IF($I2523=0,0,IF(OR(INDEX(DarlOhneTilgung,6)=1,AND(INDEX(DarlTilgStart,6)&gt;0,$E2523&lt;INDEX(DarlTilgStart,6))),0,MIN(MAX(0,$K2523-$L2523),$J2523)))</f>
      </c>
      <c r="N2523" s="43">
        <f>IF($I2523=0,0,MIN(SUMIFS(SondBetrag,SondDarl,6,SondDatum,"&gt;="&amp;$E2523,SondDatum,"&lt;="&amp;EOMONTH($E2523,0)),$J2523-$M2523))</f>
      </c>
      <c r="O2523" s="43">
        <f>IF($I2523=0,0,INDEX(DarlErsatzRate,6))</f>
      </c>
      <c r="P2523" s="43">
        <f>IF($I2523=0,0,$Q2522*INDEX(DarlErsatzZins,6))</f>
      </c>
      <c r="Q2523" s="43">
        <f>IF($I2523=0,0,$Q2522+$P2523+$O2523)</f>
      </c>
      <c r="R2523" s="43">
        <f>IF($I2523=0,0,$J2523-$M2523-$N2523)</f>
      </c>
    </row>
    <row r="2524">
      <c r="A2524"/>
      <c r="B2524">
        <v>6</v>
      </c>
      <c r="C2524" s="43">
        <f>INDEX(DarlObj,6)</f>
      </c>
      <c r="D2524">
        <v>121</v>
      </c>
      <c r="E2524" s="51">
        <f>IF(INDEX(DarlBelegt,6)=0,0,EOMONTH(INDEX(DarlAuszahlung,6),120)+1)</f>
      </c>
      <c r="F2524" s="43">
        <f>IF($E2524=0,0,YEAR($E2524))</f>
      </c>
      <c r="G2524" s="43">
        <f>IF(INDEX(DarlBindung,6)="",1,IF($E2524&lt;=INDEX(DarlBindung,6),1,0))</f>
      </c>
      <c r="H2524" s="43">
        <f>IF($G2524=1,INDEX(DarlSollzins,6),INDEX(DarlAnschluss,6))</f>
      </c>
      <c r="I2524" s="43">
        <f>IF(INDEX(DarlBelegt,6)=0,0,IF(INDEX(DarlOhneTilgung,6)=1,IF(INDEX(DarlBindung,6)="",1,$G2524),IF($J2524&gt;0.005,1,0)))</f>
      </c>
      <c r="J2524" s="43">
        <f>IF($I2523=0,0,$R2523)</f>
      </c>
      <c r="K2524" s="43">
        <f>IF($I2524=0,0,IF(INDEX(DarlOhneTilgung,6)=1,0,IF(AND(INDEX(DarlTilgStart,6)&gt;0,$E2524=INDEX(DarlTilgStart,6)),$J2524*($H2524+INDEX(DarlTilgung,6))/100/12,IF(AND($G2524=0,$G2523=1),MAX($K2523,$J2524*($H2524+1)/100/12),$K2523))))</f>
      </c>
      <c r="L2524" s="43">
        <f>IF($I2524=0,0,$J2524*$H2524/100/12)</f>
      </c>
      <c r="M2524" s="43">
        <f>IF($I2524=0,0,IF(OR(INDEX(DarlOhneTilgung,6)=1,AND(INDEX(DarlTilgStart,6)&gt;0,$E2524&lt;INDEX(DarlTilgStart,6))),0,MIN(MAX(0,$K2524-$L2524),$J2524)))</f>
      </c>
      <c r="N2524" s="43">
        <f>IF($I2524=0,0,MIN(SUMIFS(SondBetrag,SondDarl,6,SondDatum,"&gt;="&amp;$E2524,SondDatum,"&lt;="&amp;EOMONTH($E2524,0)),$J2524-$M2524))</f>
      </c>
      <c r="O2524" s="43">
        <f>IF($I2524=0,0,INDEX(DarlErsatzRate,6))</f>
      </c>
      <c r="P2524" s="43">
        <f>IF($I2524=0,0,$Q2523*INDEX(DarlErsatzZins,6))</f>
      </c>
      <c r="Q2524" s="43">
        <f>IF($I2524=0,0,$Q2523+$P2524+$O2524)</f>
      </c>
      <c r="R2524" s="43">
        <f>IF($I2524=0,0,$J2524-$M2524-$N2524)</f>
      </c>
    </row>
    <row r="2525">
      <c r="A2525"/>
      <c r="B2525">
        <v>6</v>
      </c>
      <c r="C2525" s="43">
        <f>INDEX(DarlObj,6)</f>
      </c>
      <c r="D2525">
        <v>122</v>
      </c>
      <c r="E2525" s="51">
        <f>IF(INDEX(DarlBelegt,6)=0,0,EOMONTH(INDEX(DarlAuszahlung,6),121)+1)</f>
      </c>
      <c r="F2525" s="43">
        <f>IF($E2525=0,0,YEAR($E2525))</f>
      </c>
      <c r="G2525" s="43">
        <f>IF(INDEX(DarlBindung,6)="",1,IF($E2525&lt;=INDEX(DarlBindung,6),1,0))</f>
      </c>
      <c r="H2525" s="43">
        <f>IF($G2525=1,INDEX(DarlSollzins,6),INDEX(DarlAnschluss,6))</f>
      </c>
      <c r="I2525" s="43">
        <f>IF(INDEX(DarlBelegt,6)=0,0,IF(INDEX(DarlOhneTilgung,6)=1,IF(INDEX(DarlBindung,6)="",1,$G2525),IF($J2525&gt;0.005,1,0)))</f>
      </c>
      <c r="J2525" s="43">
        <f>IF($I2524=0,0,$R2524)</f>
      </c>
      <c r="K2525" s="43">
        <f>IF($I2525=0,0,IF(INDEX(DarlOhneTilgung,6)=1,0,IF(AND(INDEX(DarlTilgStart,6)&gt;0,$E2525=INDEX(DarlTilgStart,6)),$J2525*($H2525+INDEX(DarlTilgung,6))/100/12,IF(AND($G2525=0,$G2524=1),MAX($K2524,$J2525*($H2525+1)/100/12),$K2524))))</f>
      </c>
      <c r="L2525" s="43">
        <f>IF($I2525=0,0,$J2525*$H2525/100/12)</f>
      </c>
      <c r="M2525" s="43">
        <f>IF($I2525=0,0,IF(OR(INDEX(DarlOhneTilgung,6)=1,AND(INDEX(DarlTilgStart,6)&gt;0,$E2525&lt;INDEX(DarlTilgStart,6))),0,MIN(MAX(0,$K2525-$L2525),$J2525)))</f>
      </c>
      <c r="N2525" s="43">
        <f>IF($I2525=0,0,MIN(SUMIFS(SondBetrag,SondDarl,6,SondDatum,"&gt;="&amp;$E2525,SondDatum,"&lt;="&amp;EOMONTH($E2525,0)),$J2525-$M2525))</f>
      </c>
      <c r="O2525" s="43">
        <f>IF($I2525=0,0,INDEX(DarlErsatzRate,6))</f>
      </c>
      <c r="P2525" s="43">
        <f>IF($I2525=0,0,$Q2524*INDEX(DarlErsatzZins,6))</f>
      </c>
      <c r="Q2525" s="43">
        <f>IF($I2525=0,0,$Q2524+$P2525+$O2525)</f>
      </c>
      <c r="R2525" s="43">
        <f>IF($I2525=0,0,$J2525-$M2525-$N2525)</f>
      </c>
    </row>
    <row r="2526">
      <c r="A2526"/>
      <c r="B2526">
        <v>6</v>
      </c>
      <c r="C2526" s="43">
        <f>INDEX(DarlObj,6)</f>
      </c>
      <c r="D2526">
        <v>123</v>
      </c>
      <c r="E2526" s="51">
        <f>IF(INDEX(DarlBelegt,6)=0,0,EOMONTH(INDEX(DarlAuszahlung,6),122)+1)</f>
      </c>
      <c r="F2526" s="43">
        <f>IF($E2526=0,0,YEAR($E2526))</f>
      </c>
      <c r="G2526" s="43">
        <f>IF(INDEX(DarlBindung,6)="",1,IF($E2526&lt;=INDEX(DarlBindung,6),1,0))</f>
      </c>
      <c r="H2526" s="43">
        <f>IF($G2526=1,INDEX(DarlSollzins,6),INDEX(DarlAnschluss,6))</f>
      </c>
      <c r="I2526" s="43">
        <f>IF(INDEX(DarlBelegt,6)=0,0,IF(INDEX(DarlOhneTilgung,6)=1,IF(INDEX(DarlBindung,6)="",1,$G2526),IF($J2526&gt;0.005,1,0)))</f>
      </c>
      <c r="J2526" s="43">
        <f>IF($I2525=0,0,$R2525)</f>
      </c>
      <c r="K2526" s="43">
        <f>IF($I2526=0,0,IF(INDEX(DarlOhneTilgung,6)=1,0,IF(AND(INDEX(DarlTilgStart,6)&gt;0,$E2526=INDEX(DarlTilgStart,6)),$J2526*($H2526+INDEX(DarlTilgung,6))/100/12,IF(AND($G2526=0,$G2525=1),MAX($K2525,$J2526*($H2526+1)/100/12),$K2525))))</f>
      </c>
      <c r="L2526" s="43">
        <f>IF($I2526=0,0,$J2526*$H2526/100/12)</f>
      </c>
      <c r="M2526" s="43">
        <f>IF($I2526=0,0,IF(OR(INDEX(DarlOhneTilgung,6)=1,AND(INDEX(DarlTilgStart,6)&gt;0,$E2526&lt;INDEX(DarlTilgStart,6))),0,MIN(MAX(0,$K2526-$L2526),$J2526)))</f>
      </c>
      <c r="N2526" s="43">
        <f>IF($I2526=0,0,MIN(SUMIFS(SondBetrag,SondDarl,6,SondDatum,"&gt;="&amp;$E2526,SondDatum,"&lt;="&amp;EOMONTH($E2526,0)),$J2526-$M2526))</f>
      </c>
      <c r="O2526" s="43">
        <f>IF($I2526=0,0,INDEX(DarlErsatzRate,6))</f>
      </c>
      <c r="P2526" s="43">
        <f>IF($I2526=0,0,$Q2525*INDEX(DarlErsatzZins,6))</f>
      </c>
      <c r="Q2526" s="43">
        <f>IF($I2526=0,0,$Q2525+$P2526+$O2526)</f>
      </c>
      <c r="R2526" s="43">
        <f>IF($I2526=0,0,$J2526-$M2526-$N2526)</f>
      </c>
    </row>
    <row r="2527">
      <c r="A2527"/>
      <c r="B2527">
        <v>6</v>
      </c>
      <c r="C2527" s="43">
        <f>INDEX(DarlObj,6)</f>
      </c>
      <c r="D2527">
        <v>124</v>
      </c>
      <c r="E2527" s="51">
        <f>IF(INDEX(DarlBelegt,6)=0,0,EOMONTH(INDEX(DarlAuszahlung,6),123)+1)</f>
      </c>
      <c r="F2527" s="43">
        <f>IF($E2527=0,0,YEAR($E2527))</f>
      </c>
      <c r="G2527" s="43">
        <f>IF(INDEX(DarlBindung,6)="",1,IF($E2527&lt;=INDEX(DarlBindung,6),1,0))</f>
      </c>
      <c r="H2527" s="43">
        <f>IF($G2527=1,INDEX(DarlSollzins,6),INDEX(DarlAnschluss,6))</f>
      </c>
      <c r="I2527" s="43">
        <f>IF(INDEX(DarlBelegt,6)=0,0,IF(INDEX(DarlOhneTilgung,6)=1,IF(INDEX(DarlBindung,6)="",1,$G2527),IF($J2527&gt;0.005,1,0)))</f>
      </c>
      <c r="J2527" s="43">
        <f>IF($I2526=0,0,$R2526)</f>
      </c>
      <c r="K2527" s="43">
        <f>IF($I2527=0,0,IF(INDEX(DarlOhneTilgung,6)=1,0,IF(AND(INDEX(DarlTilgStart,6)&gt;0,$E2527=INDEX(DarlTilgStart,6)),$J2527*($H2527+INDEX(DarlTilgung,6))/100/12,IF(AND($G2527=0,$G2526=1),MAX($K2526,$J2527*($H2527+1)/100/12),$K2526))))</f>
      </c>
      <c r="L2527" s="43">
        <f>IF($I2527=0,0,$J2527*$H2527/100/12)</f>
      </c>
      <c r="M2527" s="43">
        <f>IF($I2527=0,0,IF(OR(INDEX(DarlOhneTilgung,6)=1,AND(INDEX(DarlTilgStart,6)&gt;0,$E2527&lt;INDEX(DarlTilgStart,6))),0,MIN(MAX(0,$K2527-$L2527),$J2527)))</f>
      </c>
      <c r="N2527" s="43">
        <f>IF($I2527=0,0,MIN(SUMIFS(SondBetrag,SondDarl,6,SondDatum,"&gt;="&amp;$E2527,SondDatum,"&lt;="&amp;EOMONTH($E2527,0)),$J2527-$M2527))</f>
      </c>
      <c r="O2527" s="43">
        <f>IF($I2527=0,0,INDEX(DarlErsatzRate,6))</f>
      </c>
      <c r="P2527" s="43">
        <f>IF($I2527=0,0,$Q2526*INDEX(DarlErsatzZins,6))</f>
      </c>
      <c r="Q2527" s="43">
        <f>IF($I2527=0,0,$Q2526+$P2527+$O2527)</f>
      </c>
      <c r="R2527" s="43">
        <f>IF($I2527=0,0,$J2527-$M2527-$N2527)</f>
      </c>
    </row>
    <row r="2528">
      <c r="A2528"/>
      <c r="B2528">
        <v>6</v>
      </c>
      <c r="C2528" s="43">
        <f>INDEX(DarlObj,6)</f>
      </c>
      <c r="D2528">
        <v>125</v>
      </c>
      <c r="E2528" s="51">
        <f>IF(INDEX(DarlBelegt,6)=0,0,EOMONTH(INDEX(DarlAuszahlung,6),124)+1)</f>
      </c>
      <c r="F2528" s="43">
        <f>IF($E2528=0,0,YEAR($E2528))</f>
      </c>
      <c r="G2528" s="43">
        <f>IF(INDEX(DarlBindung,6)="",1,IF($E2528&lt;=INDEX(DarlBindung,6),1,0))</f>
      </c>
      <c r="H2528" s="43">
        <f>IF($G2528=1,INDEX(DarlSollzins,6),INDEX(DarlAnschluss,6))</f>
      </c>
      <c r="I2528" s="43">
        <f>IF(INDEX(DarlBelegt,6)=0,0,IF(INDEX(DarlOhneTilgung,6)=1,IF(INDEX(DarlBindung,6)="",1,$G2528),IF($J2528&gt;0.005,1,0)))</f>
      </c>
      <c r="J2528" s="43">
        <f>IF($I2527=0,0,$R2527)</f>
      </c>
      <c r="K2528" s="43">
        <f>IF($I2528=0,0,IF(INDEX(DarlOhneTilgung,6)=1,0,IF(AND(INDEX(DarlTilgStart,6)&gt;0,$E2528=INDEX(DarlTilgStart,6)),$J2528*($H2528+INDEX(DarlTilgung,6))/100/12,IF(AND($G2528=0,$G2527=1),MAX($K2527,$J2528*($H2528+1)/100/12),$K2527))))</f>
      </c>
      <c r="L2528" s="43">
        <f>IF($I2528=0,0,$J2528*$H2528/100/12)</f>
      </c>
      <c r="M2528" s="43">
        <f>IF($I2528=0,0,IF(OR(INDEX(DarlOhneTilgung,6)=1,AND(INDEX(DarlTilgStart,6)&gt;0,$E2528&lt;INDEX(DarlTilgStart,6))),0,MIN(MAX(0,$K2528-$L2528),$J2528)))</f>
      </c>
      <c r="N2528" s="43">
        <f>IF($I2528=0,0,MIN(SUMIFS(SondBetrag,SondDarl,6,SondDatum,"&gt;="&amp;$E2528,SondDatum,"&lt;="&amp;EOMONTH($E2528,0)),$J2528-$M2528))</f>
      </c>
      <c r="O2528" s="43">
        <f>IF($I2528=0,0,INDEX(DarlErsatzRate,6))</f>
      </c>
      <c r="P2528" s="43">
        <f>IF($I2528=0,0,$Q2527*INDEX(DarlErsatzZins,6))</f>
      </c>
      <c r="Q2528" s="43">
        <f>IF($I2528=0,0,$Q2527+$P2528+$O2528)</f>
      </c>
      <c r="R2528" s="43">
        <f>IF($I2528=0,0,$J2528-$M2528-$N2528)</f>
      </c>
    </row>
    <row r="2529">
      <c r="A2529"/>
      <c r="B2529">
        <v>6</v>
      </c>
      <c r="C2529" s="43">
        <f>INDEX(DarlObj,6)</f>
      </c>
      <c r="D2529">
        <v>126</v>
      </c>
      <c r="E2529" s="51">
        <f>IF(INDEX(DarlBelegt,6)=0,0,EOMONTH(INDEX(DarlAuszahlung,6),125)+1)</f>
      </c>
      <c r="F2529" s="43">
        <f>IF($E2529=0,0,YEAR($E2529))</f>
      </c>
      <c r="G2529" s="43">
        <f>IF(INDEX(DarlBindung,6)="",1,IF($E2529&lt;=INDEX(DarlBindung,6),1,0))</f>
      </c>
      <c r="H2529" s="43">
        <f>IF($G2529=1,INDEX(DarlSollzins,6),INDEX(DarlAnschluss,6))</f>
      </c>
      <c r="I2529" s="43">
        <f>IF(INDEX(DarlBelegt,6)=0,0,IF(INDEX(DarlOhneTilgung,6)=1,IF(INDEX(DarlBindung,6)="",1,$G2529),IF($J2529&gt;0.005,1,0)))</f>
      </c>
      <c r="J2529" s="43">
        <f>IF($I2528=0,0,$R2528)</f>
      </c>
      <c r="K2529" s="43">
        <f>IF($I2529=0,0,IF(INDEX(DarlOhneTilgung,6)=1,0,IF(AND(INDEX(DarlTilgStart,6)&gt;0,$E2529=INDEX(DarlTilgStart,6)),$J2529*($H2529+INDEX(DarlTilgung,6))/100/12,IF(AND($G2529=0,$G2528=1),MAX($K2528,$J2529*($H2529+1)/100/12),$K2528))))</f>
      </c>
      <c r="L2529" s="43">
        <f>IF($I2529=0,0,$J2529*$H2529/100/12)</f>
      </c>
      <c r="M2529" s="43">
        <f>IF($I2529=0,0,IF(OR(INDEX(DarlOhneTilgung,6)=1,AND(INDEX(DarlTilgStart,6)&gt;0,$E2529&lt;INDEX(DarlTilgStart,6))),0,MIN(MAX(0,$K2529-$L2529),$J2529)))</f>
      </c>
      <c r="N2529" s="43">
        <f>IF($I2529=0,0,MIN(SUMIFS(SondBetrag,SondDarl,6,SondDatum,"&gt;="&amp;$E2529,SondDatum,"&lt;="&amp;EOMONTH($E2529,0)),$J2529-$M2529))</f>
      </c>
      <c r="O2529" s="43">
        <f>IF($I2529=0,0,INDEX(DarlErsatzRate,6))</f>
      </c>
      <c r="P2529" s="43">
        <f>IF($I2529=0,0,$Q2528*INDEX(DarlErsatzZins,6))</f>
      </c>
      <c r="Q2529" s="43">
        <f>IF($I2529=0,0,$Q2528+$P2529+$O2529)</f>
      </c>
      <c r="R2529" s="43">
        <f>IF($I2529=0,0,$J2529-$M2529-$N2529)</f>
      </c>
    </row>
    <row r="2530">
      <c r="A2530"/>
      <c r="B2530">
        <v>6</v>
      </c>
      <c r="C2530" s="43">
        <f>INDEX(DarlObj,6)</f>
      </c>
      <c r="D2530">
        <v>127</v>
      </c>
      <c r="E2530" s="51">
        <f>IF(INDEX(DarlBelegt,6)=0,0,EOMONTH(INDEX(DarlAuszahlung,6),126)+1)</f>
      </c>
      <c r="F2530" s="43">
        <f>IF($E2530=0,0,YEAR($E2530))</f>
      </c>
      <c r="G2530" s="43">
        <f>IF(INDEX(DarlBindung,6)="",1,IF($E2530&lt;=INDEX(DarlBindung,6),1,0))</f>
      </c>
      <c r="H2530" s="43">
        <f>IF($G2530=1,INDEX(DarlSollzins,6),INDEX(DarlAnschluss,6))</f>
      </c>
      <c r="I2530" s="43">
        <f>IF(INDEX(DarlBelegt,6)=0,0,IF(INDEX(DarlOhneTilgung,6)=1,IF(INDEX(DarlBindung,6)="",1,$G2530),IF($J2530&gt;0.005,1,0)))</f>
      </c>
      <c r="J2530" s="43">
        <f>IF($I2529=0,0,$R2529)</f>
      </c>
      <c r="K2530" s="43">
        <f>IF($I2530=0,0,IF(INDEX(DarlOhneTilgung,6)=1,0,IF(AND(INDEX(DarlTilgStart,6)&gt;0,$E2530=INDEX(DarlTilgStart,6)),$J2530*($H2530+INDEX(DarlTilgung,6))/100/12,IF(AND($G2530=0,$G2529=1),MAX($K2529,$J2530*($H2530+1)/100/12),$K2529))))</f>
      </c>
      <c r="L2530" s="43">
        <f>IF($I2530=0,0,$J2530*$H2530/100/12)</f>
      </c>
      <c r="M2530" s="43">
        <f>IF($I2530=0,0,IF(OR(INDEX(DarlOhneTilgung,6)=1,AND(INDEX(DarlTilgStart,6)&gt;0,$E2530&lt;INDEX(DarlTilgStart,6))),0,MIN(MAX(0,$K2530-$L2530),$J2530)))</f>
      </c>
      <c r="N2530" s="43">
        <f>IF($I2530=0,0,MIN(SUMIFS(SondBetrag,SondDarl,6,SondDatum,"&gt;="&amp;$E2530,SondDatum,"&lt;="&amp;EOMONTH($E2530,0)),$J2530-$M2530))</f>
      </c>
      <c r="O2530" s="43">
        <f>IF($I2530=0,0,INDEX(DarlErsatzRate,6))</f>
      </c>
      <c r="P2530" s="43">
        <f>IF($I2530=0,0,$Q2529*INDEX(DarlErsatzZins,6))</f>
      </c>
      <c r="Q2530" s="43">
        <f>IF($I2530=0,0,$Q2529+$P2530+$O2530)</f>
      </c>
      <c r="R2530" s="43">
        <f>IF($I2530=0,0,$J2530-$M2530-$N2530)</f>
      </c>
    </row>
    <row r="2531">
      <c r="A2531"/>
      <c r="B2531">
        <v>6</v>
      </c>
      <c r="C2531" s="43">
        <f>INDEX(DarlObj,6)</f>
      </c>
      <c r="D2531">
        <v>128</v>
      </c>
      <c r="E2531" s="51">
        <f>IF(INDEX(DarlBelegt,6)=0,0,EOMONTH(INDEX(DarlAuszahlung,6),127)+1)</f>
      </c>
      <c r="F2531" s="43">
        <f>IF($E2531=0,0,YEAR($E2531))</f>
      </c>
      <c r="G2531" s="43">
        <f>IF(INDEX(DarlBindung,6)="",1,IF($E2531&lt;=INDEX(DarlBindung,6),1,0))</f>
      </c>
      <c r="H2531" s="43">
        <f>IF($G2531=1,INDEX(DarlSollzins,6),INDEX(DarlAnschluss,6))</f>
      </c>
      <c r="I2531" s="43">
        <f>IF(INDEX(DarlBelegt,6)=0,0,IF(INDEX(DarlOhneTilgung,6)=1,IF(INDEX(DarlBindung,6)="",1,$G2531),IF($J2531&gt;0.005,1,0)))</f>
      </c>
      <c r="J2531" s="43">
        <f>IF($I2530=0,0,$R2530)</f>
      </c>
      <c r="K2531" s="43">
        <f>IF($I2531=0,0,IF(INDEX(DarlOhneTilgung,6)=1,0,IF(AND(INDEX(DarlTilgStart,6)&gt;0,$E2531=INDEX(DarlTilgStart,6)),$J2531*($H2531+INDEX(DarlTilgung,6))/100/12,IF(AND($G2531=0,$G2530=1),MAX($K2530,$J2531*($H2531+1)/100/12),$K2530))))</f>
      </c>
      <c r="L2531" s="43">
        <f>IF($I2531=0,0,$J2531*$H2531/100/12)</f>
      </c>
      <c r="M2531" s="43">
        <f>IF($I2531=0,0,IF(OR(INDEX(DarlOhneTilgung,6)=1,AND(INDEX(DarlTilgStart,6)&gt;0,$E2531&lt;INDEX(DarlTilgStart,6))),0,MIN(MAX(0,$K2531-$L2531),$J2531)))</f>
      </c>
      <c r="N2531" s="43">
        <f>IF($I2531=0,0,MIN(SUMIFS(SondBetrag,SondDarl,6,SondDatum,"&gt;="&amp;$E2531,SondDatum,"&lt;="&amp;EOMONTH($E2531,0)),$J2531-$M2531))</f>
      </c>
      <c r="O2531" s="43">
        <f>IF($I2531=0,0,INDEX(DarlErsatzRate,6))</f>
      </c>
      <c r="P2531" s="43">
        <f>IF($I2531=0,0,$Q2530*INDEX(DarlErsatzZins,6))</f>
      </c>
      <c r="Q2531" s="43">
        <f>IF($I2531=0,0,$Q2530+$P2531+$O2531)</f>
      </c>
      <c r="R2531" s="43">
        <f>IF($I2531=0,0,$J2531-$M2531-$N2531)</f>
      </c>
    </row>
    <row r="2532">
      <c r="A2532"/>
      <c r="B2532">
        <v>6</v>
      </c>
      <c r="C2532" s="43">
        <f>INDEX(DarlObj,6)</f>
      </c>
      <c r="D2532">
        <v>129</v>
      </c>
      <c r="E2532" s="51">
        <f>IF(INDEX(DarlBelegt,6)=0,0,EOMONTH(INDEX(DarlAuszahlung,6),128)+1)</f>
      </c>
      <c r="F2532" s="43">
        <f>IF($E2532=0,0,YEAR($E2532))</f>
      </c>
      <c r="G2532" s="43">
        <f>IF(INDEX(DarlBindung,6)="",1,IF($E2532&lt;=INDEX(DarlBindung,6),1,0))</f>
      </c>
      <c r="H2532" s="43">
        <f>IF($G2532=1,INDEX(DarlSollzins,6),INDEX(DarlAnschluss,6))</f>
      </c>
      <c r="I2532" s="43">
        <f>IF(INDEX(DarlBelegt,6)=0,0,IF(INDEX(DarlOhneTilgung,6)=1,IF(INDEX(DarlBindung,6)="",1,$G2532),IF($J2532&gt;0.005,1,0)))</f>
      </c>
      <c r="J2532" s="43">
        <f>IF($I2531=0,0,$R2531)</f>
      </c>
      <c r="K2532" s="43">
        <f>IF($I2532=0,0,IF(INDEX(DarlOhneTilgung,6)=1,0,IF(AND(INDEX(DarlTilgStart,6)&gt;0,$E2532=INDEX(DarlTilgStart,6)),$J2532*($H2532+INDEX(DarlTilgung,6))/100/12,IF(AND($G2532=0,$G2531=1),MAX($K2531,$J2532*($H2532+1)/100/12),$K2531))))</f>
      </c>
      <c r="L2532" s="43">
        <f>IF($I2532=0,0,$J2532*$H2532/100/12)</f>
      </c>
      <c r="M2532" s="43">
        <f>IF($I2532=0,0,IF(OR(INDEX(DarlOhneTilgung,6)=1,AND(INDEX(DarlTilgStart,6)&gt;0,$E2532&lt;INDEX(DarlTilgStart,6))),0,MIN(MAX(0,$K2532-$L2532),$J2532)))</f>
      </c>
      <c r="N2532" s="43">
        <f>IF($I2532=0,0,MIN(SUMIFS(SondBetrag,SondDarl,6,SondDatum,"&gt;="&amp;$E2532,SondDatum,"&lt;="&amp;EOMONTH($E2532,0)),$J2532-$M2532))</f>
      </c>
      <c r="O2532" s="43">
        <f>IF($I2532=0,0,INDEX(DarlErsatzRate,6))</f>
      </c>
      <c r="P2532" s="43">
        <f>IF($I2532=0,0,$Q2531*INDEX(DarlErsatzZins,6))</f>
      </c>
      <c r="Q2532" s="43">
        <f>IF($I2532=0,0,$Q2531+$P2532+$O2532)</f>
      </c>
      <c r="R2532" s="43">
        <f>IF($I2532=0,0,$J2532-$M2532-$N2532)</f>
      </c>
    </row>
    <row r="2533">
      <c r="A2533"/>
      <c r="B2533">
        <v>6</v>
      </c>
      <c r="C2533" s="43">
        <f>INDEX(DarlObj,6)</f>
      </c>
      <c r="D2533">
        <v>130</v>
      </c>
      <c r="E2533" s="51">
        <f>IF(INDEX(DarlBelegt,6)=0,0,EOMONTH(INDEX(DarlAuszahlung,6),129)+1)</f>
      </c>
      <c r="F2533" s="43">
        <f>IF($E2533=0,0,YEAR($E2533))</f>
      </c>
      <c r="G2533" s="43">
        <f>IF(INDEX(DarlBindung,6)="",1,IF($E2533&lt;=INDEX(DarlBindung,6),1,0))</f>
      </c>
      <c r="H2533" s="43">
        <f>IF($G2533=1,INDEX(DarlSollzins,6),INDEX(DarlAnschluss,6))</f>
      </c>
      <c r="I2533" s="43">
        <f>IF(INDEX(DarlBelegt,6)=0,0,IF(INDEX(DarlOhneTilgung,6)=1,IF(INDEX(DarlBindung,6)="",1,$G2533),IF($J2533&gt;0.005,1,0)))</f>
      </c>
      <c r="J2533" s="43">
        <f>IF($I2532=0,0,$R2532)</f>
      </c>
      <c r="K2533" s="43">
        <f>IF($I2533=0,0,IF(INDEX(DarlOhneTilgung,6)=1,0,IF(AND(INDEX(DarlTilgStart,6)&gt;0,$E2533=INDEX(DarlTilgStart,6)),$J2533*($H2533+INDEX(DarlTilgung,6))/100/12,IF(AND($G2533=0,$G2532=1),MAX($K2532,$J2533*($H2533+1)/100/12),$K2532))))</f>
      </c>
      <c r="L2533" s="43">
        <f>IF($I2533=0,0,$J2533*$H2533/100/12)</f>
      </c>
      <c r="M2533" s="43">
        <f>IF($I2533=0,0,IF(OR(INDEX(DarlOhneTilgung,6)=1,AND(INDEX(DarlTilgStart,6)&gt;0,$E2533&lt;INDEX(DarlTilgStart,6))),0,MIN(MAX(0,$K2533-$L2533),$J2533)))</f>
      </c>
      <c r="N2533" s="43">
        <f>IF($I2533=0,0,MIN(SUMIFS(SondBetrag,SondDarl,6,SondDatum,"&gt;="&amp;$E2533,SondDatum,"&lt;="&amp;EOMONTH($E2533,0)),$J2533-$M2533))</f>
      </c>
      <c r="O2533" s="43">
        <f>IF($I2533=0,0,INDEX(DarlErsatzRate,6))</f>
      </c>
      <c r="P2533" s="43">
        <f>IF($I2533=0,0,$Q2532*INDEX(DarlErsatzZins,6))</f>
      </c>
      <c r="Q2533" s="43">
        <f>IF($I2533=0,0,$Q2532+$P2533+$O2533)</f>
      </c>
      <c r="R2533" s="43">
        <f>IF($I2533=0,0,$J2533-$M2533-$N2533)</f>
      </c>
    </row>
    <row r="2534">
      <c r="A2534"/>
      <c r="B2534">
        <v>6</v>
      </c>
      <c r="C2534" s="43">
        <f>INDEX(DarlObj,6)</f>
      </c>
      <c r="D2534">
        <v>131</v>
      </c>
      <c r="E2534" s="51">
        <f>IF(INDEX(DarlBelegt,6)=0,0,EOMONTH(INDEX(DarlAuszahlung,6),130)+1)</f>
      </c>
      <c r="F2534" s="43">
        <f>IF($E2534=0,0,YEAR($E2534))</f>
      </c>
      <c r="G2534" s="43">
        <f>IF(INDEX(DarlBindung,6)="",1,IF($E2534&lt;=INDEX(DarlBindung,6),1,0))</f>
      </c>
      <c r="H2534" s="43">
        <f>IF($G2534=1,INDEX(DarlSollzins,6),INDEX(DarlAnschluss,6))</f>
      </c>
      <c r="I2534" s="43">
        <f>IF(INDEX(DarlBelegt,6)=0,0,IF(INDEX(DarlOhneTilgung,6)=1,IF(INDEX(DarlBindung,6)="",1,$G2534),IF($J2534&gt;0.005,1,0)))</f>
      </c>
      <c r="J2534" s="43">
        <f>IF($I2533=0,0,$R2533)</f>
      </c>
      <c r="K2534" s="43">
        <f>IF($I2534=0,0,IF(INDEX(DarlOhneTilgung,6)=1,0,IF(AND(INDEX(DarlTilgStart,6)&gt;0,$E2534=INDEX(DarlTilgStart,6)),$J2534*($H2534+INDEX(DarlTilgung,6))/100/12,IF(AND($G2534=0,$G2533=1),MAX($K2533,$J2534*($H2534+1)/100/12),$K2533))))</f>
      </c>
      <c r="L2534" s="43">
        <f>IF($I2534=0,0,$J2534*$H2534/100/12)</f>
      </c>
      <c r="M2534" s="43">
        <f>IF($I2534=0,0,IF(OR(INDEX(DarlOhneTilgung,6)=1,AND(INDEX(DarlTilgStart,6)&gt;0,$E2534&lt;INDEX(DarlTilgStart,6))),0,MIN(MAX(0,$K2534-$L2534),$J2534)))</f>
      </c>
      <c r="N2534" s="43">
        <f>IF($I2534=0,0,MIN(SUMIFS(SondBetrag,SondDarl,6,SondDatum,"&gt;="&amp;$E2534,SondDatum,"&lt;="&amp;EOMONTH($E2534,0)),$J2534-$M2534))</f>
      </c>
      <c r="O2534" s="43">
        <f>IF($I2534=0,0,INDEX(DarlErsatzRate,6))</f>
      </c>
      <c r="P2534" s="43">
        <f>IF($I2534=0,0,$Q2533*INDEX(DarlErsatzZins,6))</f>
      </c>
      <c r="Q2534" s="43">
        <f>IF($I2534=0,0,$Q2533+$P2534+$O2534)</f>
      </c>
      <c r="R2534" s="43">
        <f>IF($I2534=0,0,$J2534-$M2534-$N2534)</f>
      </c>
    </row>
    <row r="2535">
      <c r="A2535"/>
      <c r="B2535">
        <v>6</v>
      </c>
      <c r="C2535" s="43">
        <f>INDEX(DarlObj,6)</f>
      </c>
      <c r="D2535">
        <v>132</v>
      </c>
      <c r="E2535" s="51">
        <f>IF(INDEX(DarlBelegt,6)=0,0,EOMONTH(INDEX(DarlAuszahlung,6),131)+1)</f>
      </c>
      <c r="F2535" s="43">
        <f>IF($E2535=0,0,YEAR($E2535))</f>
      </c>
      <c r="G2535" s="43">
        <f>IF(INDEX(DarlBindung,6)="",1,IF($E2535&lt;=INDEX(DarlBindung,6),1,0))</f>
      </c>
      <c r="H2535" s="43">
        <f>IF($G2535=1,INDEX(DarlSollzins,6),INDEX(DarlAnschluss,6))</f>
      </c>
      <c r="I2535" s="43">
        <f>IF(INDEX(DarlBelegt,6)=0,0,IF(INDEX(DarlOhneTilgung,6)=1,IF(INDEX(DarlBindung,6)="",1,$G2535),IF($J2535&gt;0.005,1,0)))</f>
      </c>
      <c r="J2535" s="43">
        <f>IF($I2534=0,0,$R2534)</f>
      </c>
      <c r="K2535" s="43">
        <f>IF($I2535=0,0,IF(INDEX(DarlOhneTilgung,6)=1,0,IF(AND(INDEX(DarlTilgStart,6)&gt;0,$E2535=INDEX(DarlTilgStart,6)),$J2535*($H2535+INDEX(DarlTilgung,6))/100/12,IF(AND($G2535=0,$G2534=1),MAX($K2534,$J2535*($H2535+1)/100/12),$K2534))))</f>
      </c>
      <c r="L2535" s="43">
        <f>IF($I2535=0,0,$J2535*$H2535/100/12)</f>
      </c>
      <c r="M2535" s="43">
        <f>IF($I2535=0,0,IF(OR(INDEX(DarlOhneTilgung,6)=1,AND(INDEX(DarlTilgStart,6)&gt;0,$E2535&lt;INDEX(DarlTilgStart,6))),0,MIN(MAX(0,$K2535-$L2535),$J2535)))</f>
      </c>
      <c r="N2535" s="43">
        <f>IF($I2535=0,0,MIN(SUMIFS(SondBetrag,SondDarl,6,SondDatum,"&gt;="&amp;$E2535,SondDatum,"&lt;="&amp;EOMONTH($E2535,0)),$J2535-$M2535))</f>
      </c>
      <c r="O2535" s="43">
        <f>IF($I2535=0,0,INDEX(DarlErsatzRate,6))</f>
      </c>
      <c r="P2535" s="43">
        <f>IF($I2535=0,0,$Q2534*INDEX(DarlErsatzZins,6))</f>
      </c>
      <c r="Q2535" s="43">
        <f>IF($I2535=0,0,$Q2534+$P2535+$O2535)</f>
      </c>
      <c r="R2535" s="43">
        <f>IF($I2535=0,0,$J2535-$M2535-$N2535)</f>
      </c>
    </row>
    <row r="2536">
      <c r="A2536"/>
      <c r="B2536">
        <v>6</v>
      </c>
      <c r="C2536" s="43">
        <f>INDEX(DarlObj,6)</f>
      </c>
      <c r="D2536">
        <v>133</v>
      </c>
      <c r="E2536" s="51">
        <f>IF(INDEX(DarlBelegt,6)=0,0,EOMONTH(INDEX(DarlAuszahlung,6),132)+1)</f>
      </c>
      <c r="F2536" s="43">
        <f>IF($E2536=0,0,YEAR($E2536))</f>
      </c>
      <c r="G2536" s="43">
        <f>IF(INDEX(DarlBindung,6)="",1,IF($E2536&lt;=INDEX(DarlBindung,6),1,0))</f>
      </c>
      <c r="H2536" s="43">
        <f>IF($G2536=1,INDEX(DarlSollzins,6),INDEX(DarlAnschluss,6))</f>
      </c>
      <c r="I2536" s="43">
        <f>IF(INDEX(DarlBelegt,6)=0,0,IF(INDEX(DarlOhneTilgung,6)=1,IF(INDEX(DarlBindung,6)="",1,$G2536),IF($J2536&gt;0.005,1,0)))</f>
      </c>
      <c r="J2536" s="43">
        <f>IF($I2535=0,0,$R2535)</f>
      </c>
      <c r="K2536" s="43">
        <f>IF($I2536=0,0,IF(INDEX(DarlOhneTilgung,6)=1,0,IF(AND(INDEX(DarlTilgStart,6)&gt;0,$E2536=INDEX(DarlTilgStart,6)),$J2536*($H2536+INDEX(DarlTilgung,6))/100/12,IF(AND($G2536=0,$G2535=1),MAX($K2535,$J2536*($H2536+1)/100/12),$K2535))))</f>
      </c>
      <c r="L2536" s="43">
        <f>IF($I2536=0,0,$J2536*$H2536/100/12)</f>
      </c>
      <c r="M2536" s="43">
        <f>IF($I2536=0,0,IF(OR(INDEX(DarlOhneTilgung,6)=1,AND(INDEX(DarlTilgStart,6)&gt;0,$E2536&lt;INDEX(DarlTilgStart,6))),0,MIN(MAX(0,$K2536-$L2536),$J2536)))</f>
      </c>
      <c r="N2536" s="43">
        <f>IF($I2536=0,0,MIN(SUMIFS(SondBetrag,SondDarl,6,SondDatum,"&gt;="&amp;$E2536,SondDatum,"&lt;="&amp;EOMONTH($E2536,0)),$J2536-$M2536))</f>
      </c>
      <c r="O2536" s="43">
        <f>IF($I2536=0,0,INDEX(DarlErsatzRate,6))</f>
      </c>
      <c r="P2536" s="43">
        <f>IF($I2536=0,0,$Q2535*INDEX(DarlErsatzZins,6))</f>
      </c>
      <c r="Q2536" s="43">
        <f>IF($I2536=0,0,$Q2535+$P2536+$O2536)</f>
      </c>
      <c r="R2536" s="43">
        <f>IF($I2536=0,0,$J2536-$M2536-$N2536)</f>
      </c>
    </row>
    <row r="2537">
      <c r="A2537"/>
      <c r="B2537">
        <v>6</v>
      </c>
      <c r="C2537" s="43">
        <f>INDEX(DarlObj,6)</f>
      </c>
      <c r="D2537">
        <v>134</v>
      </c>
      <c r="E2537" s="51">
        <f>IF(INDEX(DarlBelegt,6)=0,0,EOMONTH(INDEX(DarlAuszahlung,6),133)+1)</f>
      </c>
      <c r="F2537" s="43">
        <f>IF($E2537=0,0,YEAR($E2537))</f>
      </c>
      <c r="G2537" s="43">
        <f>IF(INDEX(DarlBindung,6)="",1,IF($E2537&lt;=INDEX(DarlBindung,6),1,0))</f>
      </c>
      <c r="H2537" s="43">
        <f>IF($G2537=1,INDEX(DarlSollzins,6),INDEX(DarlAnschluss,6))</f>
      </c>
      <c r="I2537" s="43">
        <f>IF(INDEX(DarlBelegt,6)=0,0,IF(INDEX(DarlOhneTilgung,6)=1,IF(INDEX(DarlBindung,6)="",1,$G2537),IF($J2537&gt;0.005,1,0)))</f>
      </c>
      <c r="J2537" s="43">
        <f>IF($I2536=0,0,$R2536)</f>
      </c>
      <c r="K2537" s="43">
        <f>IF($I2537=0,0,IF(INDEX(DarlOhneTilgung,6)=1,0,IF(AND(INDEX(DarlTilgStart,6)&gt;0,$E2537=INDEX(DarlTilgStart,6)),$J2537*($H2537+INDEX(DarlTilgung,6))/100/12,IF(AND($G2537=0,$G2536=1),MAX($K2536,$J2537*($H2537+1)/100/12),$K2536))))</f>
      </c>
      <c r="L2537" s="43">
        <f>IF($I2537=0,0,$J2537*$H2537/100/12)</f>
      </c>
      <c r="M2537" s="43">
        <f>IF($I2537=0,0,IF(OR(INDEX(DarlOhneTilgung,6)=1,AND(INDEX(DarlTilgStart,6)&gt;0,$E2537&lt;INDEX(DarlTilgStart,6))),0,MIN(MAX(0,$K2537-$L2537),$J2537)))</f>
      </c>
      <c r="N2537" s="43">
        <f>IF($I2537=0,0,MIN(SUMIFS(SondBetrag,SondDarl,6,SondDatum,"&gt;="&amp;$E2537,SondDatum,"&lt;="&amp;EOMONTH($E2537,0)),$J2537-$M2537))</f>
      </c>
      <c r="O2537" s="43">
        <f>IF($I2537=0,0,INDEX(DarlErsatzRate,6))</f>
      </c>
      <c r="P2537" s="43">
        <f>IF($I2537=0,0,$Q2536*INDEX(DarlErsatzZins,6))</f>
      </c>
      <c r="Q2537" s="43">
        <f>IF($I2537=0,0,$Q2536+$P2537+$O2537)</f>
      </c>
      <c r="R2537" s="43">
        <f>IF($I2537=0,0,$J2537-$M2537-$N2537)</f>
      </c>
    </row>
    <row r="2538">
      <c r="A2538"/>
      <c r="B2538">
        <v>6</v>
      </c>
      <c r="C2538" s="43">
        <f>INDEX(DarlObj,6)</f>
      </c>
      <c r="D2538">
        <v>135</v>
      </c>
      <c r="E2538" s="51">
        <f>IF(INDEX(DarlBelegt,6)=0,0,EOMONTH(INDEX(DarlAuszahlung,6),134)+1)</f>
      </c>
      <c r="F2538" s="43">
        <f>IF($E2538=0,0,YEAR($E2538))</f>
      </c>
      <c r="G2538" s="43">
        <f>IF(INDEX(DarlBindung,6)="",1,IF($E2538&lt;=INDEX(DarlBindung,6),1,0))</f>
      </c>
      <c r="H2538" s="43">
        <f>IF($G2538=1,INDEX(DarlSollzins,6),INDEX(DarlAnschluss,6))</f>
      </c>
      <c r="I2538" s="43">
        <f>IF(INDEX(DarlBelegt,6)=0,0,IF(INDEX(DarlOhneTilgung,6)=1,IF(INDEX(DarlBindung,6)="",1,$G2538),IF($J2538&gt;0.005,1,0)))</f>
      </c>
      <c r="J2538" s="43">
        <f>IF($I2537=0,0,$R2537)</f>
      </c>
      <c r="K2538" s="43">
        <f>IF($I2538=0,0,IF(INDEX(DarlOhneTilgung,6)=1,0,IF(AND(INDEX(DarlTilgStart,6)&gt;0,$E2538=INDEX(DarlTilgStart,6)),$J2538*($H2538+INDEX(DarlTilgung,6))/100/12,IF(AND($G2538=0,$G2537=1),MAX($K2537,$J2538*($H2538+1)/100/12),$K2537))))</f>
      </c>
      <c r="L2538" s="43">
        <f>IF($I2538=0,0,$J2538*$H2538/100/12)</f>
      </c>
      <c r="M2538" s="43">
        <f>IF($I2538=0,0,IF(OR(INDEX(DarlOhneTilgung,6)=1,AND(INDEX(DarlTilgStart,6)&gt;0,$E2538&lt;INDEX(DarlTilgStart,6))),0,MIN(MAX(0,$K2538-$L2538),$J2538)))</f>
      </c>
      <c r="N2538" s="43">
        <f>IF($I2538=0,0,MIN(SUMIFS(SondBetrag,SondDarl,6,SondDatum,"&gt;="&amp;$E2538,SondDatum,"&lt;="&amp;EOMONTH($E2538,0)),$J2538-$M2538))</f>
      </c>
      <c r="O2538" s="43">
        <f>IF($I2538=0,0,INDEX(DarlErsatzRate,6))</f>
      </c>
      <c r="P2538" s="43">
        <f>IF($I2538=0,0,$Q2537*INDEX(DarlErsatzZins,6))</f>
      </c>
      <c r="Q2538" s="43">
        <f>IF($I2538=0,0,$Q2537+$P2538+$O2538)</f>
      </c>
      <c r="R2538" s="43">
        <f>IF($I2538=0,0,$J2538-$M2538-$N2538)</f>
      </c>
    </row>
    <row r="2539">
      <c r="A2539"/>
      <c r="B2539">
        <v>6</v>
      </c>
      <c r="C2539" s="43">
        <f>INDEX(DarlObj,6)</f>
      </c>
      <c r="D2539">
        <v>136</v>
      </c>
      <c r="E2539" s="51">
        <f>IF(INDEX(DarlBelegt,6)=0,0,EOMONTH(INDEX(DarlAuszahlung,6),135)+1)</f>
      </c>
      <c r="F2539" s="43">
        <f>IF($E2539=0,0,YEAR($E2539))</f>
      </c>
      <c r="G2539" s="43">
        <f>IF(INDEX(DarlBindung,6)="",1,IF($E2539&lt;=INDEX(DarlBindung,6),1,0))</f>
      </c>
      <c r="H2539" s="43">
        <f>IF($G2539=1,INDEX(DarlSollzins,6),INDEX(DarlAnschluss,6))</f>
      </c>
      <c r="I2539" s="43">
        <f>IF(INDEX(DarlBelegt,6)=0,0,IF(INDEX(DarlOhneTilgung,6)=1,IF(INDEX(DarlBindung,6)="",1,$G2539),IF($J2539&gt;0.005,1,0)))</f>
      </c>
      <c r="J2539" s="43">
        <f>IF($I2538=0,0,$R2538)</f>
      </c>
      <c r="K2539" s="43">
        <f>IF($I2539=0,0,IF(INDEX(DarlOhneTilgung,6)=1,0,IF(AND(INDEX(DarlTilgStart,6)&gt;0,$E2539=INDEX(DarlTilgStart,6)),$J2539*($H2539+INDEX(DarlTilgung,6))/100/12,IF(AND($G2539=0,$G2538=1),MAX($K2538,$J2539*($H2539+1)/100/12),$K2538))))</f>
      </c>
      <c r="L2539" s="43">
        <f>IF($I2539=0,0,$J2539*$H2539/100/12)</f>
      </c>
      <c r="M2539" s="43">
        <f>IF($I2539=0,0,IF(OR(INDEX(DarlOhneTilgung,6)=1,AND(INDEX(DarlTilgStart,6)&gt;0,$E2539&lt;INDEX(DarlTilgStart,6))),0,MIN(MAX(0,$K2539-$L2539),$J2539)))</f>
      </c>
      <c r="N2539" s="43">
        <f>IF($I2539=0,0,MIN(SUMIFS(SondBetrag,SondDarl,6,SondDatum,"&gt;="&amp;$E2539,SondDatum,"&lt;="&amp;EOMONTH($E2539,0)),$J2539-$M2539))</f>
      </c>
      <c r="O2539" s="43">
        <f>IF($I2539=0,0,INDEX(DarlErsatzRate,6))</f>
      </c>
      <c r="P2539" s="43">
        <f>IF($I2539=0,0,$Q2538*INDEX(DarlErsatzZins,6))</f>
      </c>
      <c r="Q2539" s="43">
        <f>IF($I2539=0,0,$Q2538+$P2539+$O2539)</f>
      </c>
      <c r="R2539" s="43">
        <f>IF($I2539=0,0,$J2539-$M2539-$N2539)</f>
      </c>
    </row>
    <row r="2540">
      <c r="A2540"/>
      <c r="B2540">
        <v>6</v>
      </c>
      <c r="C2540" s="43">
        <f>INDEX(DarlObj,6)</f>
      </c>
      <c r="D2540">
        <v>137</v>
      </c>
      <c r="E2540" s="51">
        <f>IF(INDEX(DarlBelegt,6)=0,0,EOMONTH(INDEX(DarlAuszahlung,6),136)+1)</f>
      </c>
      <c r="F2540" s="43">
        <f>IF($E2540=0,0,YEAR($E2540))</f>
      </c>
      <c r="G2540" s="43">
        <f>IF(INDEX(DarlBindung,6)="",1,IF($E2540&lt;=INDEX(DarlBindung,6),1,0))</f>
      </c>
      <c r="H2540" s="43">
        <f>IF($G2540=1,INDEX(DarlSollzins,6),INDEX(DarlAnschluss,6))</f>
      </c>
      <c r="I2540" s="43">
        <f>IF(INDEX(DarlBelegt,6)=0,0,IF(INDEX(DarlOhneTilgung,6)=1,IF(INDEX(DarlBindung,6)="",1,$G2540),IF($J2540&gt;0.005,1,0)))</f>
      </c>
      <c r="J2540" s="43">
        <f>IF($I2539=0,0,$R2539)</f>
      </c>
      <c r="K2540" s="43">
        <f>IF($I2540=0,0,IF(INDEX(DarlOhneTilgung,6)=1,0,IF(AND(INDEX(DarlTilgStart,6)&gt;0,$E2540=INDEX(DarlTilgStart,6)),$J2540*($H2540+INDEX(DarlTilgung,6))/100/12,IF(AND($G2540=0,$G2539=1),MAX($K2539,$J2540*($H2540+1)/100/12),$K2539))))</f>
      </c>
      <c r="L2540" s="43">
        <f>IF($I2540=0,0,$J2540*$H2540/100/12)</f>
      </c>
      <c r="M2540" s="43">
        <f>IF($I2540=0,0,IF(OR(INDEX(DarlOhneTilgung,6)=1,AND(INDEX(DarlTilgStart,6)&gt;0,$E2540&lt;INDEX(DarlTilgStart,6))),0,MIN(MAX(0,$K2540-$L2540),$J2540)))</f>
      </c>
      <c r="N2540" s="43">
        <f>IF($I2540=0,0,MIN(SUMIFS(SondBetrag,SondDarl,6,SondDatum,"&gt;="&amp;$E2540,SondDatum,"&lt;="&amp;EOMONTH($E2540,0)),$J2540-$M2540))</f>
      </c>
      <c r="O2540" s="43">
        <f>IF($I2540=0,0,INDEX(DarlErsatzRate,6))</f>
      </c>
      <c r="P2540" s="43">
        <f>IF($I2540=0,0,$Q2539*INDEX(DarlErsatzZins,6))</f>
      </c>
      <c r="Q2540" s="43">
        <f>IF($I2540=0,0,$Q2539+$P2540+$O2540)</f>
      </c>
      <c r="R2540" s="43">
        <f>IF($I2540=0,0,$J2540-$M2540-$N2540)</f>
      </c>
    </row>
    <row r="2541">
      <c r="A2541"/>
      <c r="B2541">
        <v>6</v>
      </c>
      <c r="C2541" s="43">
        <f>INDEX(DarlObj,6)</f>
      </c>
      <c r="D2541">
        <v>138</v>
      </c>
      <c r="E2541" s="51">
        <f>IF(INDEX(DarlBelegt,6)=0,0,EOMONTH(INDEX(DarlAuszahlung,6),137)+1)</f>
      </c>
      <c r="F2541" s="43">
        <f>IF($E2541=0,0,YEAR($E2541))</f>
      </c>
      <c r="G2541" s="43">
        <f>IF(INDEX(DarlBindung,6)="",1,IF($E2541&lt;=INDEX(DarlBindung,6),1,0))</f>
      </c>
      <c r="H2541" s="43">
        <f>IF($G2541=1,INDEX(DarlSollzins,6),INDEX(DarlAnschluss,6))</f>
      </c>
      <c r="I2541" s="43">
        <f>IF(INDEX(DarlBelegt,6)=0,0,IF(INDEX(DarlOhneTilgung,6)=1,IF(INDEX(DarlBindung,6)="",1,$G2541),IF($J2541&gt;0.005,1,0)))</f>
      </c>
      <c r="J2541" s="43">
        <f>IF($I2540=0,0,$R2540)</f>
      </c>
      <c r="K2541" s="43">
        <f>IF($I2541=0,0,IF(INDEX(DarlOhneTilgung,6)=1,0,IF(AND(INDEX(DarlTilgStart,6)&gt;0,$E2541=INDEX(DarlTilgStart,6)),$J2541*($H2541+INDEX(DarlTilgung,6))/100/12,IF(AND($G2541=0,$G2540=1),MAX($K2540,$J2541*($H2541+1)/100/12),$K2540))))</f>
      </c>
      <c r="L2541" s="43">
        <f>IF($I2541=0,0,$J2541*$H2541/100/12)</f>
      </c>
      <c r="M2541" s="43">
        <f>IF($I2541=0,0,IF(OR(INDEX(DarlOhneTilgung,6)=1,AND(INDEX(DarlTilgStart,6)&gt;0,$E2541&lt;INDEX(DarlTilgStart,6))),0,MIN(MAX(0,$K2541-$L2541),$J2541)))</f>
      </c>
      <c r="N2541" s="43">
        <f>IF($I2541=0,0,MIN(SUMIFS(SondBetrag,SondDarl,6,SondDatum,"&gt;="&amp;$E2541,SondDatum,"&lt;="&amp;EOMONTH($E2541,0)),$J2541-$M2541))</f>
      </c>
      <c r="O2541" s="43">
        <f>IF($I2541=0,0,INDEX(DarlErsatzRate,6))</f>
      </c>
      <c r="P2541" s="43">
        <f>IF($I2541=0,0,$Q2540*INDEX(DarlErsatzZins,6))</f>
      </c>
      <c r="Q2541" s="43">
        <f>IF($I2541=0,0,$Q2540+$P2541+$O2541)</f>
      </c>
      <c r="R2541" s="43">
        <f>IF($I2541=0,0,$J2541-$M2541-$N2541)</f>
      </c>
    </row>
    <row r="2542">
      <c r="A2542"/>
      <c r="B2542">
        <v>6</v>
      </c>
      <c r="C2542" s="43">
        <f>INDEX(DarlObj,6)</f>
      </c>
      <c r="D2542">
        <v>139</v>
      </c>
      <c r="E2542" s="51">
        <f>IF(INDEX(DarlBelegt,6)=0,0,EOMONTH(INDEX(DarlAuszahlung,6),138)+1)</f>
      </c>
      <c r="F2542" s="43">
        <f>IF($E2542=0,0,YEAR($E2542))</f>
      </c>
      <c r="G2542" s="43">
        <f>IF(INDEX(DarlBindung,6)="",1,IF($E2542&lt;=INDEX(DarlBindung,6),1,0))</f>
      </c>
      <c r="H2542" s="43">
        <f>IF($G2542=1,INDEX(DarlSollzins,6),INDEX(DarlAnschluss,6))</f>
      </c>
      <c r="I2542" s="43">
        <f>IF(INDEX(DarlBelegt,6)=0,0,IF(INDEX(DarlOhneTilgung,6)=1,IF(INDEX(DarlBindung,6)="",1,$G2542),IF($J2542&gt;0.005,1,0)))</f>
      </c>
      <c r="J2542" s="43">
        <f>IF($I2541=0,0,$R2541)</f>
      </c>
      <c r="K2542" s="43">
        <f>IF($I2542=0,0,IF(INDEX(DarlOhneTilgung,6)=1,0,IF(AND(INDEX(DarlTilgStart,6)&gt;0,$E2542=INDEX(DarlTilgStart,6)),$J2542*($H2542+INDEX(DarlTilgung,6))/100/12,IF(AND($G2542=0,$G2541=1),MAX($K2541,$J2542*($H2542+1)/100/12),$K2541))))</f>
      </c>
      <c r="L2542" s="43">
        <f>IF($I2542=0,0,$J2542*$H2542/100/12)</f>
      </c>
      <c r="M2542" s="43">
        <f>IF($I2542=0,0,IF(OR(INDEX(DarlOhneTilgung,6)=1,AND(INDEX(DarlTilgStart,6)&gt;0,$E2542&lt;INDEX(DarlTilgStart,6))),0,MIN(MAX(0,$K2542-$L2542),$J2542)))</f>
      </c>
      <c r="N2542" s="43">
        <f>IF($I2542=0,0,MIN(SUMIFS(SondBetrag,SondDarl,6,SondDatum,"&gt;="&amp;$E2542,SondDatum,"&lt;="&amp;EOMONTH($E2542,0)),$J2542-$M2542))</f>
      </c>
      <c r="O2542" s="43">
        <f>IF($I2542=0,0,INDEX(DarlErsatzRate,6))</f>
      </c>
      <c r="P2542" s="43">
        <f>IF($I2542=0,0,$Q2541*INDEX(DarlErsatzZins,6))</f>
      </c>
      <c r="Q2542" s="43">
        <f>IF($I2542=0,0,$Q2541+$P2542+$O2542)</f>
      </c>
      <c r="R2542" s="43">
        <f>IF($I2542=0,0,$J2542-$M2542-$N2542)</f>
      </c>
    </row>
    <row r="2543">
      <c r="A2543"/>
      <c r="B2543">
        <v>6</v>
      </c>
      <c r="C2543" s="43">
        <f>INDEX(DarlObj,6)</f>
      </c>
      <c r="D2543">
        <v>140</v>
      </c>
      <c r="E2543" s="51">
        <f>IF(INDEX(DarlBelegt,6)=0,0,EOMONTH(INDEX(DarlAuszahlung,6),139)+1)</f>
      </c>
      <c r="F2543" s="43">
        <f>IF($E2543=0,0,YEAR($E2543))</f>
      </c>
      <c r="G2543" s="43">
        <f>IF(INDEX(DarlBindung,6)="",1,IF($E2543&lt;=INDEX(DarlBindung,6),1,0))</f>
      </c>
      <c r="H2543" s="43">
        <f>IF($G2543=1,INDEX(DarlSollzins,6),INDEX(DarlAnschluss,6))</f>
      </c>
      <c r="I2543" s="43">
        <f>IF(INDEX(DarlBelegt,6)=0,0,IF(INDEX(DarlOhneTilgung,6)=1,IF(INDEX(DarlBindung,6)="",1,$G2543),IF($J2543&gt;0.005,1,0)))</f>
      </c>
      <c r="J2543" s="43">
        <f>IF($I2542=0,0,$R2542)</f>
      </c>
      <c r="K2543" s="43">
        <f>IF($I2543=0,0,IF(INDEX(DarlOhneTilgung,6)=1,0,IF(AND(INDEX(DarlTilgStart,6)&gt;0,$E2543=INDEX(DarlTilgStart,6)),$J2543*($H2543+INDEX(DarlTilgung,6))/100/12,IF(AND($G2543=0,$G2542=1),MAX($K2542,$J2543*($H2543+1)/100/12),$K2542))))</f>
      </c>
      <c r="L2543" s="43">
        <f>IF($I2543=0,0,$J2543*$H2543/100/12)</f>
      </c>
      <c r="M2543" s="43">
        <f>IF($I2543=0,0,IF(OR(INDEX(DarlOhneTilgung,6)=1,AND(INDEX(DarlTilgStart,6)&gt;0,$E2543&lt;INDEX(DarlTilgStart,6))),0,MIN(MAX(0,$K2543-$L2543),$J2543)))</f>
      </c>
      <c r="N2543" s="43">
        <f>IF($I2543=0,0,MIN(SUMIFS(SondBetrag,SondDarl,6,SondDatum,"&gt;="&amp;$E2543,SondDatum,"&lt;="&amp;EOMONTH($E2543,0)),$J2543-$M2543))</f>
      </c>
      <c r="O2543" s="43">
        <f>IF($I2543=0,0,INDEX(DarlErsatzRate,6))</f>
      </c>
      <c r="P2543" s="43">
        <f>IF($I2543=0,0,$Q2542*INDEX(DarlErsatzZins,6))</f>
      </c>
      <c r="Q2543" s="43">
        <f>IF($I2543=0,0,$Q2542+$P2543+$O2543)</f>
      </c>
      <c r="R2543" s="43">
        <f>IF($I2543=0,0,$J2543-$M2543-$N2543)</f>
      </c>
    </row>
    <row r="2544">
      <c r="A2544"/>
      <c r="B2544">
        <v>6</v>
      </c>
      <c r="C2544" s="43">
        <f>INDEX(DarlObj,6)</f>
      </c>
      <c r="D2544">
        <v>141</v>
      </c>
      <c r="E2544" s="51">
        <f>IF(INDEX(DarlBelegt,6)=0,0,EOMONTH(INDEX(DarlAuszahlung,6),140)+1)</f>
      </c>
      <c r="F2544" s="43">
        <f>IF($E2544=0,0,YEAR($E2544))</f>
      </c>
      <c r="G2544" s="43">
        <f>IF(INDEX(DarlBindung,6)="",1,IF($E2544&lt;=INDEX(DarlBindung,6),1,0))</f>
      </c>
      <c r="H2544" s="43">
        <f>IF($G2544=1,INDEX(DarlSollzins,6),INDEX(DarlAnschluss,6))</f>
      </c>
      <c r="I2544" s="43">
        <f>IF(INDEX(DarlBelegt,6)=0,0,IF(INDEX(DarlOhneTilgung,6)=1,IF(INDEX(DarlBindung,6)="",1,$G2544),IF($J2544&gt;0.005,1,0)))</f>
      </c>
      <c r="J2544" s="43">
        <f>IF($I2543=0,0,$R2543)</f>
      </c>
      <c r="K2544" s="43">
        <f>IF($I2544=0,0,IF(INDEX(DarlOhneTilgung,6)=1,0,IF(AND(INDEX(DarlTilgStart,6)&gt;0,$E2544=INDEX(DarlTilgStart,6)),$J2544*($H2544+INDEX(DarlTilgung,6))/100/12,IF(AND($G2544=0,$G2543=1),MAX($K2543,$J2544*($H2544+1)/100/12),$K2543))))</f>
      </c>
      <c r="L2544" s="43">
        <f>IF($I2544=0,0,$J2544*$H2544/100/12)</f>
      </c>
      <c r="M2544" s="43">
        <f>IF($I2544=0,0,IF(OR(INDEX(DarlOhneTilgung,6)=1,AND(INDEX(DarlTilgStart,6)&gt;0,$E2544&lt;INDEX(DarlTilgStart,6))),0,MIN(MAX(0,$K2544-$L2544),$J2544)))</f>
      </c>
      <c r="N2544" s="43">
        <f>IF($I2544=0,0,MIN(SUMIFS(SondBetrag,SondDarl,6,SondDatum,"&gt;="&amp;$E2544,SondDatum,"&lt;="&amp;EOMONTH($E2544,0)),$J2544-$M2544))</f>
      </c>
      <c r="O2544" s="43">
        <f>IF($I2544=0,0,INDEX(DarlErsatzRate,6))</f>
      </c>
      <c r="P2544" s="43">
        <f>IF($I2544=0,0,$Q2543*INDEX(DarlErsatzZins,6))</f>
      </c>
      <c r="Q2544" s="43">
        <f>IF($I2544=0,0,$Q2543+$P2544+$O2544)</f>
      </c>
      <c r="R2544" s="43">
        <f>IF($I2544=0,0,$J2544-$M2544-$N2544)</f>
      </c>
    </row>
    <row r="2545">
      <c r="A2545"/>
      <c r="B2545">
        <v>6</v>
      </c>
      <c r="C2545" s="43">
        <f>INDEX(DarlObj,6)</f>
      </c>
      <c r="D2545">
        <v>142</v>
      </c>
      <c r="E2545" s="51">
        <f>IF(INDEX(DarlBelegt,6)=0,0,EOMONTH(INDEX(DarlAuszahlung,6),141)+1)</f>
      </c>
      <c r="F2545" s="43">
        <f>IF($E2545=0,0,YEAR($E2545))</f>
      </c>
      <c r="G2545" s="43">
        <f>IF(INDEX(DarlBindung,6)="",1,IF($E2545&lt;=INDEX(DarlBindung,6),1,0))</f>
      </c>
      <c r="H2545" s="43">
        <f>IF($G2545=1,INDEX(DarlSollzins,6),INDEX(DarlAnschluss,6))</f>
      </c>
      <c r="I2545" s="43">
        <f>IF(INDEX(DarlBelegt,6)=0,0,IF(INDEX(DarlOhneTilgung,6)=1,IF(INDEX(DarlBindung,6)="",1,$G2545),IF($J2545&gt;0.005,1,0)))</f>
      </c>
      <c r="J2545" s="43">
        <f>IF($I2544=0,0,$R2544)</f>
      </c>
      <c r="K2545" s="43">
        <f>IF($I2545=0,0,IF(INDEX(DarlOhneTilgung,6)=1,0,IF(AND(INDEX(DarlTilgStart,6)&gt;0,$E2545=INDEX(DarlTilgStart,6)),$J2545*($H2545+INDEX(DarlTilgung,6))/100/12,IF(AND($G2545=0,$G2544=1),MAX($K2544,$J2545*($H2545+1)/100/12),$K2544))))</f>
      </c>
      <c r="L2545" s="43">
        <f>IF($I2545=0,0,$J2545*$H2545/100/12)</f>
      </c>
      <c r="M2545" s="43">
        <f>IF($I2545=0,0,IF(OR(INDEX(DarlOhneTilgung,6)=1,AND(INDEX(DarlTilgStart,6)&gt;0,$E2545&lt;INDEX(DarlTilgStart,6))),0,MIN(MAX(0,$K2545-$L2545),$J2545)))</f>
      </c>
      <c r="N2545" s="43">
        <f>IF($I2545=0,0,MIN(SUMIFS(SondBetrag,SondDarl,6,SondDatum,"&gt;="&amp;$E2545,SondDatum,"&lt;="&amp;EOMONTH($E2545,0)),$J2545-$M2545))</f>
      </c>
      <c r="O2545" s="43">
        <f>IF($I2545=0,0,INDEX(DarlErsatzRate,6))</f>
      </c>
      <c r="P2545" s="43">
        <f>IF($I2545=0,0,$Q2544*INDEX(DarlErsatzZins,6))</f>
      </c>
      <c r="Q2545" s="43">
        <f>IF($I2545=0,0,$Q2544+$P2545+$O2545)</f>
      </c>
      <c r="R2545" s="43">
        <f>IF($I2545=0,0,$J2545-$M2545-$N2545)</f>
      </c>
    </row>
    <row r="2546">
      <c r="A2546"/>
      <c r="B2546">
        <v>6</v>
      </c>
      <c r="C2546" s="43">
        <f>INDEX(DarlObj,6)</f>
      </c>
      <c r="D2546">
        <v>143</v>
      </c>
      <c r="E2546" s="51">
        <f>IF(INDEX(DarlBelegt,6)=0,0,EOMONTH(INDEX(DarlAuszahlung,6),142)+1)</f>
      </c>
      <c r="F2546" s="43">
        <f>IF($E2546=0,0,YEAR($E2546))</f>
      </c>
      <c r="G2546" s="43">
        <f>IF(INDEX(DarlBindung,6)="",1,IF($E2546&lt;=INDEX(DarlBindung,6),1,0))</f>
      </c>
      <c r="H2546" s="43">
        <f>IF($G2546=1,INDEX(DarlSollzins,6),INDEX(DarlAnschluss,6))</f>
      </c>
      <c r="I2546" s="43">
        <f>IF(INDEX(DarlBelegt,6)=0,0,IF(INDEX(DarlOhneTilgung,6)=1,IF(INDEX(DarlBindung,6)="",1,$G2546),IF($J2546&gt;0.005,1,0)))</f>
      </c>
      <c r="J2546" s="43">
        <f>IF($I2545=0,0,$R2545)</f>
      </c>
      <c r="K2546" s="43">
        <f>IF($I2546=0,0,IF(INDEX(DarlOhneTilgung,6)=1,0,IF(AND(INDEX(DarlTilgStart,6)&gt;0,$E2546=INDEX(DarlTilgStart,6)),$J2546*($H2546+INDEX(DarlTilgung,6))/100/12,IF(AND($G2546=0,$G2545=1),MAX($K2545,$J2546*($H2546+1)/100/12),$K2545))))</f>
      </c>
      <c r="L2546" s="43">
        <f>IF($I2546=0,0,$J2546*$H2546/100/12)</f>
      </c>
      <c r="M2546" s="43">
        <f>IF($I2546=0,0,IF(OR(INDEX(DarlOhneTilgung,6)=1,AND(INDEX(DarlTilgStart,6)&gt;0,$E2546&lt;INDEX(DarlTilgStart,6))),0,MIN(MAX(0,$K2546-$L2546),$J2546)))</f>
      </c>
      <c r="N2546" s="43">
        <f>IF($I2546=0,0,MIN(SUMIFS(SondBetrag,SondDarl,6,SondDatum,"&gt;="&amp;$E2546,SondDatum,"&lt;="&amp;EOMONTH($E2546,0)),$J2546-$M2546))</f>
      </c>
      <c r="O2546" s="43">
        <f>IF($I2546=0,0,INDEX(DarlErsatzRate,6))</f>
      </c>
      <c r="P2546" s="43">
        <f>IF($I2546=0,0,$Q2545*INDEX(DarlErsatzZins,6))</f>
      </c>
      <c r="Q2546" s="43">
        <f>IF($I2546=0,0,$Q2545+$P2546+$O2546)</f>
      </c>
      <c r="R2546" s="43">
        <f>IF($I2546=0,0,$J2546-$M2546-$N2546)</f>
      </c>
    </row>
    <row r="2547">
      <c r="A2547"/>
      <c r="B2547">
        <v>6</v>
      </c>
      <c r="C2547" s="43">
        <f>INDEX(DarlObj,6)</f>
      </c>
      <c r="D2547">
        <v>144</v>
      </c>
      <c r="E2547" s="51">
        <f>IF(INDEX(DarlBelegt,6)=0,0,EOMONTH(INDEX(DarlAuszahlung,6),143)+1)</f>
      </c>
      <c r="F2547" s="43">
        <f>IF($E2547=0,0,YEAR($E2547))</f>
      </c>
      <c r="G2547" s="43">
        <f>IF(INDEX(DarlBindung,6)="",1,IF($E2547&lt;=INDEX(DarlBindung,6),1,0))</f>
      </c>
      <c r="H2547" s="43">
        <f>IF($G2547=1,INDEX(DarlSollzins,6),INDEX(DarlAnschluss,6))</f>
      </c>
      <c r="I2547" s="43">
        <f>IF(INDEX(DarlBelegt,6)=0,0,IF(INDEX(DarlOhneTilgung,6)=1,IF(INDEX(DarlBindung,6)="",1,$G2547),IF($J2547&gt;0.005,1,0)))</f>
      </c>
      <c r="J2547" s="43">
        <f>IF($I2546=0,0,$R2546)</f>
      </c>
      <c r="K2547" s="43">
        <f>IF($I2547=0,0,IF(INDEX(DarlOhneTilgung,6)=1,0,IF(AND(INDEX(DarlTilgStart,6)&gt;0,$E2547=INDEX(DarlTilgStart,6)),$J2547*($H2547+INDEX(DarlTilgung,6))/100/12,IF(AND($G2547=0,$G2546=1),MAX($K2546,$J2547*($H2547+1)/100/12),$K2546))))</f>
      </c>
      <c r="L2547" s="43">
        <f>IF($I2547=0,0,$J2547*$H2547/100/12)</f>
      </c>
      <c r="M2547" s="43">
        <f>IF($I2547=0,0,IF(OR(INDEX(DarlOhneTilgung,6)=1,AND(INDEX(DarlTilgStart,6)&gt;0,$E2547&lt;INDEX(DarlTilgStart,6))),0,MIN(MAX(0,$K2547-$L2547),$J2547)))</f>
      </c>
      <c r="N2547" s="43">
        <f>IF($I2547=0,0,MIN(SUMIFS(SondBetrag,SondDarl,6,SondDatum,"&gt;="&amp;$E2547,SondDatum,"&lt;="&amp;EOMONTH($E2547,0)),$J2547-$M2547))</f>
      </c>
      <c r="O2547" s="43">
        <f>IF($I2547=0,0,INDEX(DarlErsatzRate,6))</f>
      </c>
      <c r="P2547" s="43">
        <f>IF($I2547=0,0,$Q2546*INDEX(DarlErsatzZins,6))</f>
      </c>
      <c r="Q2547" s="43">
        <f>IF($I2547=0,0,$Q2546+$P2547+$O2547)</f>
      </c>
      <c r="R2547" s="43">
        <f>IF($I2547=0,0,$J2547-$M2547-$N2547)</f>
      </c>
    </row>
    <row r="2548">
      <c r="A2548"/>
      <c r="B2548">
        <v>6</v>
      </c>
      <c r="C2548" s="43">
        <f>INDEX(DarlObj,6)</f>
      </c>
      <c r="D2548">
        <v>145</v>
      </c>
      <c r="E2548" s="51">
        <f>IF(INDEX(DarlBelegt,6)=0,0,EOMONTH(INDEX(DarlAuszahlung,6),144)+1)</f>
      </c>
      <c r="F2548" s="43">
        <f>IF($E2548=0,0,YEAR($E2548))</f>
      </c>
      <c r="G2548" s="43">
        <f>IF(INDEX(DarlBindung,6)="",1,IF($E2548&lt;=INDEX(DarlBindung,6),1,0))</f>
      </c>
      <c r="H2548" s="43">
        <f>IF($G2548=1,INDEX(DarlSollzins,6),INDEX(DarlAnschluss,6))</f>
      </c>
      <c r="I2548" s="43">
        <f>IF(INDEX(DarlBelegt,6)=0,0,IF(INDEX(DarlOhneTilgung,6)=1,IF(INDEX(DarlBindung,6)="",1,$G2548),IF($J2548&gt;0.005,1,0)))</f>
      </c>
      <c r="J2548" s="43">
        <f>IF($I2547=0,0,$R2547)</f>
      </c>
      <c r="K2548" s="43">
        <f>IF($I2548=0,0,IF(INDEX(DarlOhneTilgung,6)=1,0,IF(AND(INDEX(DarlTilgStart,6)&gt;0,$E2548=INDEX(DarlTilgStart,6)),$J2548*($H2548+INDEX(DarlTilgung,6))/100/12,IF(AND($G2548=0,$G2547=1),MAX($K2547,$J2548*($H2548+1)/100/12),$K2547))))</f>
      </c>
      <c r="L2548" s="43">
        <f>IF($I2548=0,0,$J2548*$H2548/100/12)</f>
      </c>
      <c r="M2548" s="43">
        <f>IF($I2548=0,0,IF(OR(INDEX(DarlOhneTilgung,6)=1,AND(INDEX(DarlTilgStart,6)&gt;0,$E2548&lt;INDEX(DarlTilgStart,6))),0,MIN(MAX(0,$K2548-$L2548),$J2548)))</f>
      </c>
      <c r="N2548" s="43">
        <f>IF($I2548=0,0,MIN(SUMIFS(SondBetrag,SondDarl,6,SondDatum,"&gt;="&amp;$E2548,SondDatum,"&lt;="&amp;EOMONTH($E2548,0)),$J2548-$M2548))</f>
      </c>
      <c r="O2548" s="43">
        <f>IF($I2548=0,0,INDEX(DarlErsatzRate,6))</f>
      </c>
      <c r="P2548" s="43">
        <f>IF($I2548=0,0,$Q2547*INDEX(DarlErsatzZins,6))</f>
      </c>
      <c r="Q2548" s="43">
        <f>IF($I2548=0,0,$Q2547+$P2548+$O2548)</f>
      </c>
      <c r="R2548" s="43">
        <f>IF($I2548=0,0,$J2548-$M2548-$N2548)</f>
      </c>
    </row>
    <row r="2549">
      <c r="A2549"/>
      <c r="B2549">
        <v>6</v>
      </c>
      <c r="C2549" s="43">
        <f>INDEX(DarlObj,6)</f>
      </c>
      <c r="D2549">
        <v>146</v>
      </c>
      <c r="E2549" s="51">
        <f>IF(INDEX(DarlBelegt,6)=0,0,EOMONTH(INDEX(DarlAuszahlung,6),145)+1)</f>
      </c>
      <c r="F2549" s="43">
        <f>IF($E2549=0,0,YEAR($E2549))</f>
      </c>
      <c r="G2549" s="43">
        <f>IF(INDEX(DarlBindung,6)="",1,IF($E2549&lt;=INDEX(DarlBindung,6),1,0))</f>
      </c>
      <c r="H2549" s="43">
        <f>IF($G2549=1,INDEX(DarlSollzins,6),INDEX(DarlAnschluss,6))</f>
      </c>
      <c r="I2549" s="43">
        <f>IF(INDEX(DarlBelegt,6)=0,0,IF(INDEX(DarlOhneTilgung,6)=1,IF(INDEX(DarlBindung,6)="",1,$G2549),IF($J2549&gt;0.005,1,0)))</f>
      </c>
      <c r="J2549" s="43">
        <f>IF($I2548=0,0,$R2548)</f>
      </c>
      <c r="K2549" s="43">
        <f>IF($I2549=0,0,IF(INDEX(DarlOhneTilgung,6)=1,0,IF(AND(INDEX(DarlTilgStart,6)&gt;0,$E2549=INDEX(DarlTilgStart,6)),$J2549*($H2549+INDEX(DarlTilgung,6))/100/12,IF(AND($G2549=0,$G2548=1),MAX($K2548,$J2549*($H2549+1)/100/12),$K2548))))</f>
      </c>
      <c r="L2549" s="43">
        <f>IF($I2549=0,0,$J2549*$H2549/100/12)</f>
      </c>
      <c r="M2549" s="43">
        <f>IF($I2549=0,0,IF(OR(INDEX(DarlOhneTilgung,6)=1,AND(INDEX(DarlTilgStart,6)&gt;0,$E2549&lt;INDEX(DarlTilgStart,6))),0,MIN(MAX(0,$K2549-$L2549),$J2549)))</f>
      </c>
      <c r="N2549" s="43">
        <f>IF($I2549=0,0,MIN(SUMIFS(SondBetrag,SondDarl,6,SondDatum,"&gt;="&amp;$E2549,SondDatum,"&lt;="&amp;EOMONTH($E2549,0)),$J2549-$M2549))</f>
      </c>
      <c r="O2549" s="43">
        <f>IF($I2549=0,0,INDEX(DarlErsatzRate,6))</f>
      </c>
      <c r="P2549" s="43">
        <f>IF($I2549=0,0,$Q2548*INDEX(DarlErsatzZins,6))</f>
      </c>
      <c r="Q2549" s="43">
        <f>IF($I2549=0,0,$Q2548+$P2549+$O2549)</f>
      </c>
      <c r="R2549" s="43">
        <f>IF($I2549=0,0,$J2549-$M2549-$N2549)</f>
      </c>
    </row>
    <row r="2550">
      <c r="A2550"/>
      <c r="B2550">
        <v>6</v>
      </c>
      <c r="C2550" s="43">
        <f>INDEX(DarlObj,6)</f>
      </c>
      <c r="D2550">
        <v>147</v>
      </c>
      <c r="E2550" s="51">
        <f>IF(INDEX(DarlBelegt,6)=0,0,EOMONTH(INDEX(DarlAuszahlung,6),146)+1)</f>
      </c>
      <c r="F2550" s="43">
        <f>IF($E2550=0,0,YEAR($E2550))</f>
      </c>
      <c r="G2550" s="43">
        <f>IF(INDEX(DarlBindung,6)="",1,IF($E2550&lt;=INDEX(DarlBindung,6),1,0))</f>
      </c>
      <c r="H2550" s="43">
        <f>IF($G2550=1,INDEX(DarlSollzins,6),INDEX(DarlAnschluss,6))</f>
      </c>
      <c r="I2550" s="43">
        <f>IF(INDEX(DarlBelegt,6)=0,0,IF(INDEX(DarlOhneTilgung,6)=1,IF(INDEX(DarlBindung,6)="",1,$G2550),IF($J2550&gt;0.005,1,0)))</f>
      </c>
      <c r="J2550" s="43">
        <f>IF($I2549=0,0,$R2549)</f>
      </c>
      <c r="K2550" s="43">
        <f>IF($I2550=0,0,IF(INDEX(DarlOhneTilgung,6)=1,0,IF(AND(INDEX(DarlTilgStart,6)&gt;0,$E2550=INDEX(DarlTilgStart,6)),$J2550*($H2550+INDEX(DarlTilgung,6))/100/12,IF(AND($G2550=0,$G2549=1),MAX($K2549,$J2550*($H2550+1)/100/12),$K2549))))</f>
      </c>
      <c r="L2550" s="43">
        <f>IF($I2550=0,0,$J2550*$H2550/100/12)</f>
      </c>
      <c r="M2550" s="43">
        <f>IF($I2550=0,0,IF(OR(INDEX(DarlOhneTilgung,6)=1,AND(INDEX(DarlTilgStart,6)&gt;0,$E2550&lt;INDEX(DarlTilgStart,6))),0,MIN(MAX(0,$K2550-$L2550),$J2550)))</f>
      </c>
      <c r="N2550" s="43">
        <f>IF($I2550=0,0,MIN(SUMIFS(SondBetrag,SondDarl,6,SondDatum,"&gt;="&amp;$E2550,SondDatum,"&lt;="&amp;EOMONTH($E2550,0)),$J2550-$M2550))</f>
      </c>
      <c r="O2550" s="43">
        <f>IF($I2550=0,0,INDEX(DarlErsatzRate,6))</f>
      </c>
      <c r="P2550" s="43">
        <f>IF($I2550=0,0,$Q2549*INDEX(DarlErsatzZins,6))</f>
      </c>
      <c r="Q2550" s="43">
        <f>IF($I2550=0,0,$Q2549+$P2550+$O2550)</f>
      </c>
      <c r="R2550" s="43">
        <f>IF($I2550=0,0,$J2550-$M2550-$N2550)</f>
      </c>
    </row>
    <row r="2551">
      <c r="A2551"/>
      <c r="B2551">
        <v>6</v>
      </c>
      <c r="C2551" s="43">
        <f>INDEX(DarlObj,6)</f>
      </c>
      <c r="D2551">
        <v>148</v>
      </c>
      <c r="E2551" s="51">
        <f>IF(INDEX(DarlBelegt,6)=0,0,EOMONTH(INDEX(DarlAuszahlung,6),147)+1)</f>
      </c>
      <c r="F2551" s="43">
        <f>IF($E2551=0,0,YEAR($E2551))</f>
      </c>
      <c r="G2551" s="43">
        <f>IF(INDEX(DarlBindung,6)="",1,IF($E2551&lt;=INDEX(DarlBindung,6),1,0))</f>
      </c>
      <c r="H2551" s="43">
        <f>IF($G2551=1,INDEX(DarlSollzins,6),INDEX(DarlAnschluss,6))</f>
      </c>
      <c r="I2551" s="43">
        <f>IF(INDEX(DarlBelegt,6)=0,0,IF(INDEX(DarlOhneTilgung,6)=1,IF(INDEX(DarlBindung,6)="",1,$G2551),IF($J2551&gt;0.005,1,0)))</f>
      </c>
      <c r="J2551" s="43">
        <f>IF($I2550=0,0,$R2550)</f>
      </c>
      <c r="K2551" s="43">
        <f>IF($I2551=0,0,IF(INDEX(DarlOhneTilgung,6)=1,0,IF(AND(INDEX(DarlTilgStart,6)&gt;0,$E2551=INDEX(DarlTilgStart,6)),$J2551*($H2551+INDEX(DarlTilgung,6))/100/12,IF(AND($G2551=0,$G2550=1),MAX($K2550,$J2551*($H2551+1)/100/12),$K2550))))</f>
      </c>
      <c r="L2551" s="43">
        <f>IF($I2551=0,0,$J2551*$H2551/100/12)</f>
      </c>
      <c r="M2551" s="43">
        <f>IF($I2551=0,0,IF(OR(INDEX(DarlOhneTilgung,6)=1,AND(INDEX(DarlTilgStart,6)&gt;0,$E2551&lt;INDEX(DarlTilgStart,6))),0,MIN(MAX(0,$K2551-$L2551),$J2551)))</f>
      </c>
      <c r="N2551" s="43">
        <f>IF($I2551=0,0,MIN(SUMIFS(SondBetrag,SondDarl,6,SondDatum,"&gt;="&amp;$E2551,SondDatum,"&lt;="&amp;EOMONTH($E2551,0)),$J2551-$M2551))</f>
      </c>
      <c r="O2551" s="43">
        <f>IF($I2551=0,0,INDEX(DarlErsatzRate,6))</f>
      </c>
      <c r="P2551" s="43">
        <f>IF($I2551=0,0,$Q2550*INDEX(DarlErsatzZins,6))</f>
      </c>
      <c r="Q2551" s="43">
        <f>IF($I2551=0,0,$Q2550+$P2551+$O2551)</f>
      </c>
      <c r="R2551" s="43">
        <f>IF($I2551=0,0,$J2551-$M2551-$N2551)</f>
      </c>
    </row>
    <row r="2552">
      <c r="A2552"/>
      <c r="B2552">
        <v>6</v>
      </c>
      <c r="C2552" s="43">
        <f>INDEX(DarlObj,6)</f>
      </c>
      <c r="D2552">
        <v>149</v>
      </c>
      <c r="E2552" s="51">
        <f>IF(INDEX(DarlBelegt,6)=0,0,EOMONTH(INDEX(DarlAuszahlung,6),148)+1)</f>
      </c>
      <c r="F2552" s="43">
        <f>IF($E2552=0,0,YEAR($E2552))</f>
      </c>
      <c r="G2552" s="43">
        <f>IF(INDEX(DarlBindung,6)="",1,IF($E2552&lt;=INDEX(DarlBindung,6),1,0))</f>
      </c>
      <c r="H2552" s="43">
        <f>IF($G2552=1,INDEX(DarlSollzins,6),INDEX(DarlAnschluss,6))</f>
      </c>
      <c r="I2552" s="43">
        <f>IF(INDEX(DarlBelegt,6)=0,0,IF(INDEX(DarlOhneTilgung,6)=1,IF(INDEX(DarlBindung,6)="",1,$G2552),IF($J2552&gt;0.005,1,0)))</f>
      </c>
      <c r="J2552" s="43">
        <f>IF($I2551=0,0,$R2551)</f>
      </c>
      <c r="K2552" s="43">
        <f>IF($I2552=0,0,IF(INDEX(DarlOhneTilgung,6)=1,0,IF(AND(INDEX(DarlTilgStart,6)&gt;0,$E2552=INDEX(DarlTilgStart,6)),$J2552*($H2552+INDEX(DarlTilgung,6))/100/12,IF(AND($G2552=0,$G2551=1),MAX($K2551,$J2552*($H2552+1)/100/12),$K2551))))</f>
      </c>
      <c r="L2552" s="43">
        <f>IF($I2552=0,0,$J2552*$H2552/100/12)</f>
      </c>
      <c r="M2552" s="43">
        <f>IF($I2552=0,0,IF(OR(INDEX(DarlOhneTilgung,6)=1,AND(INDEX(DarlTilgStart,6)&gt;0,$E2552&lt;INDEX(DarlTilgStart,6))),0,MIN(MAX(0,$K2552-$L2552),$J2552)))</f>
      </c>
      <c r="N2552" s="43">
        <f>IF($I2552=0,0,MIN(SUMIFS(SondBetrag,SondDarl,6,SondDatum,"&gt;="&amp;$E2552,SondDatum,"&lt;="&amp;EOMONTH($E2552,0)),$J2552-$M2552))</f>
      </c>
      <c r="O2552" s="43">
        <f>IF($I2552=0,0,INDEX(DarlErsatzRate,6))</f>
      </c>
      <c r="P2552" s="43">
        <f>IF($I2552=0,0,$Q2551*INDEX(DarlErsatzZins,6))</f>
      </c>
      <c r="Q2552" s="43">
        <f>IF($I2552=0,0,$Q2551+$P2552+$O2552)</f>
      </c>
      <c r="R2552" s="43">
        <f>IF($I2552=0,0,$J2552-$M2552-$N2552)</f>
      </c>
    </row>
    <row r="2553">
      <c r="A2553"/>
      <c r="B2553">
        <v>6</v>
      </c>
      <c r="C2553" s="43">
        <f>INDEX(DarlObj,6)</f>
      </c>
      <c r="D2553">
        <v>150</v>
      </c>
      <c r="E2553" s="51">
        <f>IF(INDEX(DarlBelegt,6)=0,0,EOMONTH(INDEX(DarlAuszahlung,6),149)+1)</f>
      </c>
      <c r="F2553" s="43">
        <f>IF($E2553=0,0,YEAR($E2553))</f>
      </c>
      <c r="G2553" s="43">
        <f>IF(INDEX(DarlBindung,6)="",1,IF($E2553&lt;=INDEX(DarlBindung,6),1,0))</f>
      </c>
      <c r="H2553" s="43">
        <f>IF($G2553=1,INDEX(DarlSollzins,6),INDEX(DarlAnschluss,6))</f>
      </c>
      <c r="I2553" s="43">
        <f>IF(INDEX(DarlBelegt,6)=0,0,IF(INDEX(DarlOhneTilgung,6)=1,IF(INDEX(DarlBindung,6)="",1,$G2553),IF($J2553&gt;0.005,1,0)))</f>
      </c>
      <c r="J2553" s="43">
        <f>IF($I2552=0,0,$R2552)</f>
      </c>
      <c r="K2553" s="43">
        <f>IF($I2553=0,0,IF(INDEX(DarlOhneTilgung,6)=1,0,IF(AND(INDEX(DarlTilgStart,6)&gt;0,$E2553=INDEX(DarlTilgStart,6)),$J2553*($H2553+INDEX(DarlTilgung,6))/100/12,IF(AND($G2553=0,$G2552=1),MAX($K2552,$J2553*($H2553+1)/100/12),$K2552))))</f>
      </c>
      <c r="L2553" s="43">
        <f>IF($I2553=0,0,$J2553*$H2553/100/12)</f>
      </c>
      <c r="M2553" s="43">
        <f>IF($I2553=0,0,IF(OR(INDEX(DarlOhneTilgung,6)=1,AND(INDEX(DarlTilgStart,6)&gt;0,$E2553&lt;INDEX(DarlTilgStart,6))),0,MIN(MAX(0,$K2553-$L2553),$J2553)))</f>
      </c>
      <c r="N2553" s="43">
        <f>IF($I2553=0,0,MIN(SUMIFS(SondBetrag,SondDarl,6,SondDatum,"&gt;="&amp;$E2553,SondDatum,"&lt;="&amp;EOMONTH($E2553,0)),$J2553-$M2553))</f>
      </c>
      <c r="O2553" s="43">
        <f>IF($I2553=0,0,INDEX(DarlErsatzRate,6))</f>
      </c>
      <c r="P2553" s="43">
        <f>IF($I2553=0,0,$Q2552*INDEX(DarlErsatzZins,6))</f>
      </c>
      <c r="Q2553" s="43">
        <f>IF($I2553=0,0,$Q2552+$P2553+$O2553)</f>
      </c>
      <c r="R2553" s="43">
        <f>IF($I2553=0,0,$J2553-$M2553-$N2553)</f>
      </c>
    </row>
    <row r="2554">
      <c r="A2554"/>
      <c r="B2554">
        <v>6</v>
      </c>
      <c r="C2554" s="43">
        <f>INDEX(DarlObj,6)</f>
      </c>
      <c r="D2554">
        <v>151</v>
      </c>
      <c r="E2554" s="51">
        <f>IF(INDEX(DarlBelegt,6)=0,0,EOMONTH(INDEX(DarlAuszahlung,6),150)+1)</f>
      </c>
      <c r="F2554" s="43">
        <f>IF($E2554=0,0,YEAR($E2554))</f>
      </c>
      <c r="G2554" s="43">
        <f>IF(INDEX(DarlBindung,6)="",1,IF($E2554&lt;=INDEX(DarlBindung,6),1,0))</f>
      </c>
      <c r="H2554" s="43">
        <f>IF($G2554=1,INDEX(DarlSollzins,6),INDEX(DarlAnschluss,6))</f>
      </c>
      <c r="I2554" s="43">
        <f>IF(INDEX(DarlBelegt,6)=0,0,IF(INDEX(DarlOhneTilgung,6)=1,IF(INDEX(DarlBindung,6)="",1,$G2554),IF($J2554&gt;0.005,1,0)))</f>
      </c>
      <c r="J2554" s="43">
        <f>IF($I2553=0,0,$R2553)</f>
      </c>
      <c r="K2554" s="43">
        <f>IF($I2554=0,0,IF(INDEX(DarlOhneTilgung,6)=1,0,IF(AND(INDEX(DarlTilgStart,6)&gt;0,$E2554=INDEX(DarlTilgStart,6)),$J2554*($H2554+INDEX(DarlTilgung,6))/100/12,IF(AND($G2554=0,$G2553=1),MAX($K2553,$J2554*($H2554+1)/100/12),$K2553))))</f>
      </c>
      <c r="L2554" s="43">
        <f>IF($I2554=0,0,$J2554*$H2554/100/12)</f>
      </c>
      <c r="M2554" s="43">
        <f>IF($I2554=0,0,IF(OR(INDEX(DarlOhneTilgung,6)=1,AND(INDEX(DarlTilgStart,6)&gt;0,$E2554&lt;INDEX(DarlTilgStart,6))),0,MIN(MAX(0,$K2554-$L2554),$J2554)))</f>
      </c>
      <c r="N2554" s="43">
        <f>IF($I2554=0,0,MIN(SUMIFS(SondBetrag,SondDarl,6,SondDatum,"&gt;="&amp;$E2554,SondDatum,"&lt;="&amp;EOMONTH($E2554,0)),$J2554-$M2554))</f>
      </c>
      <c r="O2554" s="43">
        <f>IF($I2554=0,0,INDEX(DarlErsatzRate,6))</f>
      </c>
      <c r="P2554" s="43">
        <f>IF($I2554=0,0,$Q2553*INDEX(DarlErsatzZins,6))</f>
      </c>
      <c r="Q2554" s="43">
        <f>IF($I2554=0,0,$Q2553+$P2554+$O2554)</f>
      </c>
      <c r="R2554" s="43">
        <f>IF($I2554=0,0,$J2554-$M2554-$N2554)</f>
      </c>
    </row>
    <row r="2555">
      <c r="A2555"/>
      <c r="B2555">
        <v>6</v>
      </c>
      <c r="C2555" s="43">
        <f>INDEX(DarlObj,6)</f>
      </c>
      <c r="D2555">
        <v>152</v>
      </c>
      <c r="E2555" s="51">
        <f>IF(INDEX(DarlBelegt,6)=0,0,EOMONTH(INDEX(DarlAuszahlung,6),151)+1)</f>
      </c>
      <c r="F2555" s="43">
        <f>IF($E2555=0,0,YEAR($E2555))</f>
      </c>
      <c r="G2555" s="43">
        <f>IF(INDEX(DarlBindung,6)="",1,IF($E2555&lt;=INDEX(DarlBindung,6),1,0))</f>
      </c>
      <c r="H2555" s="43">
        <f>IF($G2555=1,INDEX(DarlSollzins,6),INDEX(DarlAnschluss,6))</f>
      </c>
      <c r="I2555" s="43">
        <f>IF(INDEX(DarlBelegt,6)=0,0,IF(INDEX(DarlOhneTilgung,6)=1,IF(INDEX(DarlBindung,6)="",1,$G2555),IF($J2555&gt;0.005,1,0)))</f>
      </c>
      <c r="J2555" s="43">
        <f>IF($I2554=0,0,$R2554)</f>
      </c>
      <c r="K2555" s="43">
        <f>IF($I2555=0,0,IF(INDEX(DarlOhneTilgung,6)=1,0,IF(AND(INDEX(DarlTilgStart,6)&gt;0,$E2555=INDEX(DarlTilgStart,6)),$J2555*($H2555+INDEX(DarlTilgung,6))/100/12,IF(AND($G2555=0,$G2554=1),MAX($K2554,$J2555*($H2555+1)/100/12),$K2554))))</f>
      </c>
      <c r="L2555" s="43">
        <f>IF($I2555=0,0,$J2555*$H2555/100/12)</f>
      </c>
      <c r="M2555" s="43">
        <f>IF($I2555=0,0,IF(OR(INDEX(DarlOhneTilgung,6)=1,AND(INDEX(DarlTilgStart,6)&gt;0,$E2555&lt;INDEX(DarlTilgStart,6))),0,MIN(MAX(0,$K2555-$L2555),$J2555)))</f>
      </c>
      <c r="N2555" s="43">
        <f>IF($I2555=0,0,MIN(SUMIFS(SondBetrag,SondDarl,6,SondDatum,"&gt;="&amp;$E2555,SondDatum,"&lt;="&amp;EOMONTH($E2555,0)),$J2555-$M2555))</f>
      </c>
      <c r="O2555" s="43">
        <f>IF($I2555=0,0,INDEX(DarlErsatzRate,6))</f>
      </c>
      <c r="P2555" s="43">
        <f>IF($I2555=0,0,$Q2554*INDEX(DarlErsatzZins,6))</f>
      </c>
      <c r="Q2555" s="43">
        <f>IF($I2555=0,0,$Q2554+$P2555+$O2555)</f>
      </c>
      <c r="R2555" s="43">
        <f>IF($I2555=0,0,$J2555-$M2555-$N2555)</f>
      </c>
    </row>
    <row r="2556">
      <c r="A2556"/>
      <c r="B2556">
        <v>6</v>
      </c>
      <c r="C2556" s="43">
        <f>INDEX(DarlObj,6)</f>
      </c>
      <c r="D2556">
        <v>153</v>
      </c>
      <c r="E2556" s="51">
        <f>IF(INDEX(DarlBelegt,6)=0,0,EOMONTH(INDEX(DarlAuszahlung,6),152)+1)</f>
      </c>
      <c r="F2556" s="43">
        <f>IF($E2556=0,0,YEAR($E2556))</f>
      </c>
      <c r="G2556" s="43">
        <f>IF(INDEX(DarlBindung,6)="",1,IF($E2556&lt;=INDEX(DarlBindung,6),1,0))</f>
      </c>
      <c r="H2556" s="43">
        <f>IF($G2556=1,INDEX(DarlSollzins,6),INDEX(DarlAnschluss,6))</f>
      </c>
      <c r="I2556" s="43">
        <f>IF(INDEX(DarlBelegt,6)=0,0,IF(INDEX(DarlOhneTilgung,6)=1,IF(INDEX(DarlBindung,6)="",1,$G2556),IF($J2556&gt;0.005,1,0)))</f>
      </c>
      <c r="J2556" s="43">
        <f>IF($I2555=0,0,$R2555)</f>
      </c>
      <c r="K2556" s="43">
        <f>IF($I2556=0,0,IF(INDEX(DarlOhneTilgung,6)=1,0,IF(AND(INDEX(DarlTilgStart,6)&gt;0,$E2556=INDEX(DarlTilgStart,6)),$J2556*($H2556+INDEX(DarlTilgung,6))/100/12,IF(AND($G2556=0,$G2555=1),MAX($K2555,$J2556*($H2556+1)/100/12),$K2555))))</f>
      </c>
      <c r="L2556" s="43">
        <f>IF($I2556=0,0,$J2556*$H2556/100/12)</f>
      </c>
      <c r="M2556" s="43">
        <f>IF($I2556=0,0,IF(OR(INDEX(DarlOhneTilgung,6)=1,AND(INDEX(DarlTilgStart,6)&gt;0,$E2556&lt;INDEX(DarlTilgStart,6))),0,MIN(MAX(0,$K2556-$L2556),$J2556)))</f>
      </c>
      <c r="N2556" s="43">
        <f>IF($I2556=0,0,MIN(SUMIFS(SondBetrag,SondDarl,6,SondDatum,"&gt;="&amp;$E2556,SondDatum,"&lt;="&amp;EOMONTH($E2556,0)),$J2556-$M2556))</f>
      </c>
      <c r="O2556" s="43">
        <f>IF($I2556=0,0,INDEX(DarlErsatzRate,6))</f>
      </c>
      <c r="P2556" s="43">
        <f>IF($I2556=0,0,$Q2555*INDEX(DarlErsatzZins,6))</f>
      </c>
      <c r="Q2556" s="43">
        <f>IF($I2556=0,0,$Q2555+$P2556+$O2556)</f>
      </c>
      <c r="R2556" s="43">
        <f>IF($I2556=0,0,$J2556-$M2556-$N2556)</f>
      </c>
    </row>
    <row r="2557">
      <c r="A2557"/>
      <c r="B2557">
        <v>6</v>
      </c>
      <c r="C2557" s="43">
        <f>INDEX(DarlObj,6)</f>
      </c>
      <c r="D2557">
        <v>154</v>
      </c>
      <c r="E2557" s="51">
        <f>IF(INDEX(DarlBelegt,6)=0,0,EOMONTH(INDEX(DarlAuszahlung,6),153)+1)</f>
      </c>
      <c r="F2557" s="43">
        <f>IF($E2557=0,0,YEAR($E2557))</f>
      </c>
      <c r="G2557" s="43">
        <f>IF(INDEX(DarlBindung,6)="",1,IF($E2557&lt;=INDEX(DarlBindung,6),1,0))</f>
      </c>
      <c r="H2557" s="43">
        <f>IF($G2557=1,INDEX(DarlSollzins,6),INDEX(DarlAnschluss,6))</f>
      </c>
      <c r="I2557" s="43">
        <f>IF(INDEX(DarlBelegt,6)=0,0,IF(INDEX(DarlOhneTilgung,6)=1,IF(INDEX(DarlBindung,6)="",1,$G2557),IF($J2557&gt;0.005,1,0)))</f>
      </c>
      <c r="J2557" s="43">
        <f>IF($I2556=0,0,$R2556)</f>
      </c>
      <c r="K2557" s="43">
        <f>IF($I2557=0,0,IF(INDEX(DarlOhneTilgung,6)=1,0,IF(AND(INDEX(DarlTilgStart,6)&gt;0,$E2557=INDEX(DarlTilgStart,6)),$J2557*($H2557+INDEX(DarlTilgung,6))/100/12,IF(AND($G2557=0,$G2556=1),MAX($K2556,$J2557*($H2557+1)/100/12),$K2556))))</f>
      </c>
      <c r="L2557" s="43">
        <f>IF($I2557=0,0,$J2557*$H2557/100/12)</f>
      </c>
      <c r="M2557" s="43">
        <f>IF($I2557=0,0,IF(OR(INDEX(DarlOhneTilgung,6)=1,AND(INDEX(DarlTilgStart,6)&gt;0,$E2557&lt;INDEX(DarlTilgStart,6))),0,MIN(MAX(0,$K2557-$L2557),$J2557)))</f>
      </c>
      <c r="N2557" s="43">
        <f>IF($I2557=0,0,MIN(SUMIFS(SondBetrag,SondDarl,6,SondDatum,"&gt;="&amp;$E2557,SondDatum,"&lt;="&amp;EOMONTH($E2557,0)),$J2557-$M2557))</f>
      </c>
      <c r="O2557" s="43">
        <f>IF($I2557=0,0,INDEX(DarlErsatzRate,6))</f>
      </c>
      <c r="P2557" s="43">
        <f>IF($I2557=0,0,$Q2556*INDEX(DarlErsatzZins,6))</f>
      </c>
      <c r="Q2557" s="43">
        <f>IF($I2557=0,0,$Q2556+$P2557+$O2557)</f>
      </c>
      <c r="R2557" s="43">
        <f>IF($I2557=0,0,$J2557-$M2557-$N2557)</f>
      </c>
    </row>
    <row r="2558">
      <c r="A2558"/>
      <c r="B2558">
        <v>6</v>
      </c>
      <c r="C2558" s="43">
        <f>INDEX(DarlObj,6)</f>
      </c>
      <c r="D2558">
        <v>155</v>
      </c>
      <c r="E2558" s="51">
        <f>IF(INDEX(DarlBelegt,6)=0,0,EOMONTH(INDEX(DarlAuszahlung,6),154)+1)</f>
      </c>
      <c r="F2558" s="43">
        <f>IF($E2558=0,0,YEAR($E2558))</f>
      </c>
      <c r="G2558" s="43">
        <f>IF(INDEX(DarlBindung,6)="",1,IF($E2558&lt;=INDEX(DarlBindung,6),1,0))</f>
      </c>
      <c r="H2558" s="43">
        <f>IF($G2558=1,INDEX(DarlSollzins,6),INDEX(DarlAnschluss,6))</f>
      </c>
      <c r="I2558" s="43">
        <f>IF(INDEX(DarlBelegt,6)=0,0,IF(INDEX(DarlOhneTilgung,6)=1,IF(INDEX(DarlBindung,6)="",1,$G2558),IF($J2558&gt;0.005,1,0)))</f>
      </c>
      <c r="J2558" s="43">
        <f>IF($I2557=0,0,$R2557)</f>
      </c>
      <c r="K2558" s="43">
        <f>IF($I2558=0,0,IF(INDEX(DarlOhneTilgung,6)=1,0,IF(AND(INDEX(DarlTilgStart,6)&gt;0,$E2558=INDEX(DarlTilgStart,6)),$J2558*($H2558+INDEX(DarlTilgung,6))/100/12,IF(AND($G2558=0,$G2557=1),MAX($K2557,$J2558*($H2558+1)/100/12),$K2557))))</f>
      </c>
      <c r="L2558" s="43">
        <f>IF($I2558=0,0,$J2558*$H2558/100/12)</f>
      </c>
      <c r="M2558" s="43">
        <f>IF($I2558=0,0,IF(OR(INDEX(DarlOhneTilgung,6)=1,AND(INDEX(DarlTilgStart,6)&gt;0,$E2558&lt;INDEX(DarlTilgStart,6))),0,MIN(MAX(0,$K2558-$L2558),$J2558)))</f>
      </c>
      <c r="N2558" s="43">
        <f>IF($I2558=0,0,MIN(SUMIFS(SondBetrag,SondDarl,6,SondDatum,"&gt;="&amp;$E2558,SondDatum,"&lt;="&amp;EOMONTH($E2558,0)),$J2558-$M2558))</f>
      </c>
      <c r="O2558" s="43">
        <f>IF($I2558=0,0,INDEX(DarlErsatzRate,6))</f>
      </c>
      <c r="P2558" s="43">
        <f>IF($I2558=0,0,$Q2557*INDEX(DarlErsatzZins,6))</f>
      </c>
      <c r="Q2558" s="43">
        <f>IF($I2558=0,0,$Q2557+$P2558+$O2558)</f>
      </c>
      <c r="R2558" s="43">
        <f>IF($I2558=0,0,$J2558-$M2558-$N2558)</f>
      </c>
    </row>
    <row r="2559">
      <c r="A2559"/>
      <c r="B2559">
        <v>6</v>
      </c>
      <c r="C2559" s="43">
        <f>INDEX(DarlObj,6)</f>
      </c>
      <c r="D2559">
        <v>156</v>
      </c>
      <c r="E2559" s="51">
        <f>IF(INDEX(DarlBelegt,6)=0,0,EOMONTH(INDEX(DarlAuszahlung,6),155)+1)</f>
      </c>
      <c r="F2559" s="43">
        <f>IF($E2559=0,0,YEAR($E2559))</f>
      </c>
      <c r="G2559" s="43">
        <f>IF(INDEX(DarlBindung,6)="",1,IF($E2559&lt;=INDEX(DarlBindung,6),1,0))</f>
      </c>
      <c r="H2559" s="43">
        <f>IF($G2559=1,INDEX(DarlSollzins,6),INDEX(DarlAnschluss,6))</f>
      </c>
      <c r="I2559" s="43">
        <f>IF(INDEX(DarlBelegt,6)=0,0,IF(INDEX(DarlOhneTilgung,6)=1,IF(INDEX(DarlBindung,6)="",1,$G2559),IF($J2559&gt;0.005,1,0)))</f>
      </c>
      <c r="J2559" s="43">
        <f>IF($I2558=0,0,$R2558)</f>
      </c>
      <c r="K2559" s="43">
        <f>IF($I2559=0,0,IF(INDEX(DarlOhneTilgung,6)=1,0,IF(AND(INDEX(DarlTilgStart,6)&gt;0,$E2559=INDEX(DarlTilgStart,6)),$J2559*($H2559+INDEX(DarlTilgung,6))/100/12,IF(AND($G2559=0,$G2558=1),MAX($K2558,$J2559*($H2559+1)/100/12),$K2558))))</f>
      </c>
      <c r="L2559" s="43">
        <f>IF($I2559=0,0,$J2559*$H2559/100/12)</f>
      </c>
      <c r="M2559" s="43">
        <f>IF($I2559=0,0,IF(OR(INDEX(DarlOhneTilgung,6)=1,AND(INDEX(DarlTilgStart,6)&gt;0,$E2559&lt;INDEX(DarlTilgStart,6))),0,MIN(MAX(0,$K2559-$L2559),$J2559)))</f>
      </c>
      <c r="N2559" s="43">
        <f>IF($I2559=0,0,MIN(SUMIFS(SondBetrag,SondDarl,6,SondDatum,"&gt;="&amp;$E2559,SondDatum,"&lt;="&amp;EOMONTH($E2559,0)),$J2559-$M2559))</f>
      </c>
      <c r="O2559" s="43">
        <f>IF($I2559=0,0,INDEX(DarlErsatzRate,6))</f>
      </c>
      <c r="P2559" s="43">
        <f>IF($I2559=0,0,$Q2558*INDEX(DarlErsatzZins,6))</f>
      </c>
      <c r="Q2559" s="43">
        <f>IF($I2559=0,0,$Q2558+$P2559+$O2559)</f>
      </c>
      <c r="R2559" s="43">
        <f>IF($I2559=0,0,$J2559-$M2559-$N2559)</f>
      </c>
    </row>
    <row r="2560">
      <c r="A2560"/>
      <c r="B2560">
        <v>6</v>
      </c>
      <c r="C2560" s="43">
        <f>INDEX(DarlObj,6)</f>
      </c>
      <c r="D2560">
        <v>157</v>
      </c>
      <c r="E2560" s="51">
        <f>IF(INDEX(DarlBelegt,6)=0,0,EOMONTH(INDEX(DarlAuszahlung,6),156)+1)</f>
      </c>
      <c r="F2560" s="43">
        <f>IF($E2560=0,0,YEAR($E2560))</f>
      </c>
      <c r="G2560" s="43">
        <f>IF(INDEX(DarlBindung,6)="",1,IF($E2560&lt;=INDEX(DarlBindung,6),1,0))</f>
      </c>
      <c r="H2560" s="43">
        <f>IF($G2560=1,INDEX(DarlSollzins,6),INDEX(DarlAnschluss,6))</f>
      </c>
      <c r="I2560" s="43">
        <f>IF(INDEX(DarlBelegt,6)=0,0,IF(INDEX(DarlOhneTilgung,6)=1,IF(INDEX(DarlBindung,6)="",1,$G2560),IF($J2560&gt;0.005,1,0)))</f>
      </c>
      <c r="J2560" s="43">
        <f>IF($I2559=0,0,$R2559)</f>
      </c>
      <c r="K2560" s="43">
        <f>IF($I2560=0,0,IF(INDEX(DarlOhneTilgung,6)=1,0,IF(AND(INDEX(DarlTilgStart,6)&gt;0,$E2560=INDEX(DarlTilgStart,6)),$J2560*($H2560+INDEX(DarlTilgung,6))/100/12,IF(AND($G2560=0,$G2559=1),MAX($K2559,$J2560*($H2560+1)/100/12),$K2559))))</f>
      </c>
      <c r="L2560" s="43">
        <f>IF($I2560=0,0,$J2560*$H2560/100/12)</f>
      </c>
      <c r="M2560" s="43">
        <f>IF($I2560=0,0,IF(OR(INDEX(DarlOhneTilgung,6)=1,AND(INDEX(DarlTilgStart,6)&gt;0,$E2560&lt;INDEX(DarlTilgStart,6))),0,MIN(MAX(0,$K2560-$L2560),$J2560)))</f>
      </c>
      <c r="N2560" s="43">
        <f>IF($I2560=0,0,MIN(SUMIFS(SondBetrag,SondDarl,6,SondDatum,"&gt;="&amp;$E2560,SondDatum,"&lt;="&amp;EOMONTH($E2560,0)),$J2560-$M2560))</f>
      </c>
      <c r="O2560" s="43">
        <f>IF($I2560=0,0,INDEX(DarlErsatzRate,6))</f>
      </c>
      <c r="P2560" s="43">
        <f>IF($I2560=0,0,$Q2559*INDEX(DarlErsatzZins,6))</f>
      </c>
      <c r="Q2560" s="43">
        <f>IF($I2560=0,0,$Q2559+$P2560+$O2560)</f>
      </c>
      <c r="R2560" s="43">
        <f>IF($I2560=0,0,$J2560-$M2560-$N2560)</f>
      </c>
    </row>
    <row r="2561">
      <c r="A2561"/>
      <c r="B2561">
        <v>6</v>
      </c>
      <c r="C2561" s="43">
        <f>INDEX(DarlObj,6)</f>
      </c>
      <c r="D2561">
        <v>158</v>
      </c>
      <c r="E2561" s="51">
        <f>IF(INDEX(DarlBelegt,6)=0,0,EOMONTH(INDEX(DarlAuszahlung,6),157)+1)</f>
      </c>
      <c r="F2561" s="43">
        <f>IF($E2561=0,0,YEAR($E2561))</f>
      </c>
      <c r="G2561" s="43">
        <f>IF(INDEX(DarlBindung,6)="",1,IF($E2561&lt;=INDEX(DarlBindung,6),1,0))</f>
      </c>
      <c r="H2561" s="43">
        <f>IF($G2561=1,INDEX(DarlSollzins,6),INDEX(DarlAnschluss,6))</f>
      </c>
      <c r="I2561" s="43">
        <f>IF(INDEX(DarlBelegt,6)=0,0,IF(INDEX(DarlOhneTilgung,6)=1,IF(INDEX(DarlBindung,6)="",1,$G2561),IF($J2561&gt;0.005,1,0)))</f>
      </c>
      <c r="J2561" s="43">
        <f>IF($I2560=0,0,$R2560)</f>
      </c>
      <c r="K2561" s="43">
        <f>IF($I2561=0,0,IF(INDEX(DarlOhneTilgung,6)=1,0,IF(AND(INDEX(DarlTilgStart,6)&gt;0,$E2561=INDEX(DarlTilgStart,6)),$J2561*($H2561+INDEX(DarlTilgung,6))/100/12,IF(AND($G2561=0,$G2560=1),MAX($K2560,$J2561*($H2561+1)/100/12),$K2560))))</f>
      </c>
      <c r="L2561" s="43">
        <f>IF($I2561=0,0,$J2561*$H2561/100/12)</f>
      </c>
      <c r="M2561" s="43">
        <f>IF($I2561=0,0,IF(OR(INDEX(DarlOhneTilgung,6)=1,AND(INDEX(DarlTilgStart,6)&gt;0,$E2561&lt;INDEX(DarlTilgStart,6))),0,MIN(MAX(0,$K2561-$L2561),$J2561)))</f>
      </c>
      <c r="N2561" s="43">
        <f>IF($I2561=0,0,MIN(SUMIFS(SondBetrag,SondDarl,6,SondDatum,"&gt;="&amp;$E2561,SondDatum,"&lt;="&amp;EOMONTH($E2561,0)),$J2561-$M2561))</f>
      </c>
      <c r="O2561" s="43">
        <f>IF($I2561=0,0,INDEX(DarlErsatzRate,6))</f>
      </c>
      <c r="P2561" s="43">
        <f>IF($I2561=0,0,$Q2560*INDEX(DarlErsatzZins,6))</f>
      </c>
      <c r="Q2561" s="43">
        <f>IF($I2561=0,0,$Q2560+$P2561+$O2561)</f>
      </c>
      <c r="R2561" s="43">
        <f>IF($I2561=0,0,$J2561-$M2561-$N2561)</f>
      </c>
    </row>
    <row r="2562">
      <c r="A2562"/>
      <c r="B2562">
        <v>6</v>
      </c>
      <c r="C2562" s="43">
        <f>INDEX(DarlObj,6)</f>
      </c>
      <c r="D2562">
        <v>159</v>
      </c>
      <c r="E2562" s="51">
        <f>IF(INDEX(DarlBelegt,6)=0,0,EOMONTH(INDEX(DarlAuszahlung,6),158)+1)</f>
      </c>
      <c r="F2562" s="43">
        <f>IF($E2562=0,0,YEAR($E2562))</f>
      </c>
      <c r="G2562" s="43">
        <f>IF(INDEX(DarlBindung,6)="",1,IF($E2562&lt;=INDEX(DarlBindung,6),1,0))</f>
      </c>
      <c r="H2562" s="43">
        <f>IF($G2562=1,INDEX(DarlSollzins,6),INDEX(DarlAnschluss,6))</f>
      </c>
      <c r="I2562" s="43">
        <f>IF(INDEX(DarlBelegt,6)=0,0,IF(INDEX(DarlOhneTilgung,6)=1,IF(INDEX(DarlBindung,6)="",1,$G2562),IF($J2562&gt;0.005,1,0)))</f>
      </c>
      <c r="J2562" s="43">
        <f>IF($I2561=0,0,$R2561)</f>
      </c>
      <c r="K2562" s="43">
        <f>IF($I2562=0,0,IF(INDEX(DarlOhneTilgung,6)=1,0,IF(AND(INDEX(DarlTilgStart,6)&gt;0,$E2562=INDEX(DarlTilgStart,6)),$J2562*($H2562+INDEX(DarlTilgung,6))/100/12,IF(AND($G2562=0,$G2561=1),MAX($K2561,$J2562*($H2562+1)/100/12),$K2561))))</f>
      </c>
      <c r="L2562" s="43">
        <f>IF($I2562=0,0,$J2562*$H2562/100/12)</f>
      </c>
      <c r="M2562" s="43">
        <f>IF($I2562=0,0,IF(OR(INDEX(DarlOhneTilgung,6)=1,AND(INDEX(DarlTilgStart,6)&gt;0,$E2562&lt;INDEX(DarlTilgStart,6))),0,MIN(MAX(0,$K2562-$L2562),$J2562)))</f>
      </c>
      <c r="N2562" s="43">
        <f>IF($I2562=0,0,MIN(SUMIFS(SondBetrag,SondDarl,6,SondDatum,"&gt;="&amp;$E2562,SondDatum,"&lt;="&amp;EOMONTH($E2562,0)),$J2562-$M2562))</f>
      </c>
      <c r="O2562" s="43">
        <f>IF($I2562=0,0,INDEX(DarlErsatzRate,6))</f>
      </c>
      <c r="P2562" s="43">
        <f>IF($I2562=0,0,$Q2561*INDEX(DarlErsatzZins,6))</f>
      </c>
      <c r="Q2562" s="43">
        <f>IF($I2562=0,0,$Q2561+$P2562+$O2562)</f>
      </c>
      <c r="R2562" s="43">
        <f>IF($I2562=0,0,$J2562-$M2562-$N2562)</f>
      </c>
    </row>
    <row r="2563">
      <c r="A2563"/>
      <c r="B2563">
        <v>6</v>
      </c>
      <c r="C2563" s="43">
        <f>INDEX(DarlObj,6)</f>
      </c>
      <c r="D2563">
        <v>160</v>
      </c>
      <c r="E2563" s="51">
        <f>IF(INDEX(DarlBelegt,6)=0,0,EOMONTH(INDEX(DarlAuszahlung,6),159)+1)</f>
      </c>
      <c r="F2563" s="43">
        <f>IF($E2563=0,0,YEAR($E2563))</f>
      </c>
      <c r="G2563" s="43">
        <f>IF(INDEX(DarlBindung,6)="",1,IF($E2563&lt;=INDEX(DarlBindung,6),1,0))</f>
      </c>
      <c r="H2563" s="43">
        <f>IF($G2563=1,INDEX(DarlSollzins,6),INDEX(DarlAnschluss,6))</f>
      </c>
      <c r="I2563" s="43">
        <f>IF(INDEX(DarlBelegt,6)=0,0,IF(INDEX(DarlOhneTilgung,6)=1,IF(INDEX(DarlBindung,6)="",1,$G2563),IF($J2563&gt;0.005,1,0)))</f>
      </c>
      <c r="J2563" s="43">
        <f>IF($I2562=0,0,$R2562)</f>
      </c>
      <c r="K2563" s="43">
        <f>IF($I2563=0,0,IF(INDEX(DarlOhneTilgung,6)=1,0,IF(AND(INDEX(DarlTilgStart,6)&gt;0,$E2563=INDEX(DarlTilgStart,6)),$J2563*($H2563+INDEX(DarlTilgung,6))/100/12,IF(AND($G2563=0,$G2562=1),MAX($K2562,$J2563*($H2563+1)/100/12),$K2562))))</f>
      </c>
      <c r="L2563" s="43">
        <f>IF($I2563=0,0,$J2563*$H2563/100/12)</f>
      </c>
      <c r="M2563" s="43">
        <f>IF($I2563=0,0,IF(OR(INDEX(DarlOhneTilgung,6)=1,AND(INDEX(DarlTilgStart,6)&gt;0,$E2563&lt;INDEX(DarlTilgStart,6))),0,MIN(MAX(0,$K2563-$L2563),$J2563)))</f>
      </c>
      <c r="N2563" s="43">
        <f>IF($I2563=0,0,MIN(SUMIFS(SondBetrag,SondDarl,6,SondDatum,"&gt;="&amp;$E2563,SondDatum,"&lt;="&amp;EOMONTH($E2563,0)),$J2563-$M2563))</f>
      </c>
      <c r="O2563" s="43">
        <f>IF($I2563=0,0,INDEX(DarlErsatzRate,6))</f>
      </c>
      <c r="P2563" s="43">
        <f>IF($I2563=0,0,$Q2562*INDEX(DarlErsatzZins,6))</f>
      </c>
      <c r="Q2563" s="43">
        <f>IF($I2563=0,0,$Q2562+$P2563+$O2563)</f>
      </c>
      <c r="R2563" s="43">
        <f>IF($I2563=0,0,$J2563-$M2563-$N2563)</f>
      </c>
    </row>
    <row r="2564">
      <c r="A2564"/>
      <c r="B2564">
        <v>6</v>
      </c>
      <c r="C2564" s="43">
        <f>INDEX(DarlObj,6)</f>
      </c>
      <c r="D2564">
        <v>161</v>
      </c>
      <c r="E2564" s="51">
        <f>IF(INDEX(DarlBelegt,6)=0,0,EOMONTH(INDEX(DarlAuszahlung,6),160)+1)</f>
      </c>
      <c r="F2564" s="43">
        <f>IF($E2564=0,0,YEAR($E2564))</f>
      </c>
      <c r="G2564" s="43">
        <f>IF(INDEX(DarlBindung,6)="",1,IF($E2564&lt;=INDEX(DarlBindung,6),1,0))</f>
      </c>
      <c r="H2564" s="43">
        <f>IF($G2564=1,INDEX(DarlSollzins,6),INDEX(DarlAnschluss,6))</f>
      </c>
      <c r="I2564" s="43">
        <f>IF(INDEX(DarlBelegt,6)=0,0,IF(INDEX(DarlOhneTilgung,6)=1,IF(INDEX(DarlBindung,6)="",1,$G2564),IF($J2564&gt;0.005,1,0)))</f>
      </c>
      <c r="J2564" s="43">
        <f>IF($I2563=0,0,$R2563)</f>
      </c>
      <c r="K2564" s="43">
        <f>IF($I2564=0,0,IF(INDEX(DarlOhneTilgung,6)=1,0,IF(AND(INDEX(DarlTilgStart,6)&gt;0,$E2564=INDEX(DarlTilgStart,6)),$J2564*($H2564+INDEX(DarlTilgung,6))/100/12,IF(AND($G2564=0,$G2563=1),MAX($K2563,$J2564*($H2564+1)/100/12),$K2563))))</f>
      </c>
      <c r="L2564" s="43">
        <f>IF($I2564=0,0,$J2564*$H2564/100/12)</f>
      </c>
      <c r="M2564" s="43">
        <f>IF($I2564=0,0,IF(OR(INDEX(DarlOhneTilgung,6)=1,AND(INDEX(DarlTilgStart,6)&gt;0,$E2564&lt;INDEX(DarlTilgStart,6))),0,MIN(MAX(0,$K2564-$L2564),$J2564)))</f>
      </c>
      <c r="N2564" s="43">
        <f>IF($I2564=0,0,MIN(SUMIFS(SondBetrag,SondDarl,6,SondDatum,"&gt;="&amp;$E2564,SondDatum,"&lt;="&amp;EOMONTH($E2564,0)),$J2564-$M2564))</f>
      </c>
      <c r="O2564" s="43">
        <f>IF($I2564=0,0,INDEX(DarlErsatzRate,6))</f>
      </c>
      <c r="P2564" s="43">
        <f>IF($I2564=0,0,$Q2563*INDEX(DarlErsatzZins,6))</f>
      </c>
      <c r="Q2564" s="43">
        <f>IF($I2564=0,0,$Q2563+$P2564+$O2564)</f>
      </c>
      <c r="R2564" s="43">
        <f>IF($I2564=0,0,$J2564-$M2564-$N2564)</f>
      </c>
    </row>
    <row r="2565">
      <c r="A2565"/>
      <c r="B2565">
        <v>6</v>
      </c>
      <c r="C2565" s="43">
        <f>INDEX(DarlObj,6)</f>
      </c>
      <c r="D2565">
        <v>162</v>
      </c>
      <c r="E2565" s="51">
        <f>IF(INDEX(DarlBelegt,6)=0,0,EOMONTH(INDEX(DarlAuszahlung,6),161)+1)</f>
      </c>
      <c r="F2565" s="43">
        <f>IF($E2565=0,0,YEAR($E2565))</f>
      </c>
      <c r="G2565" s="43">
        <f>IF(INDEX(DarlBindung,6)="",1,IF($E2565&lt;=INDEX(DarlBindung,6),1,0))</f>
      </c>
      <c r="H2565" s="43">
        <f>IF($G2565=1,INDEX(DarlSollzins,6),INDEX(DarlAnschluss,6))</f>
      </c>
      <c r="I2565" s="43">
        <f>IF(INDEX(DarlBelegt,6)=0,0,IF(INDEX(DarlOhneTilgung,6)=1,IF(INDEX(DarlBindung,6)="",1,$G2565),IF($J2565&gt;0.005,1,0)))</f>
      </c>
      <c r="J2565" s="43">
        <f>IF($I2564=0,0,$R2564)</f>
      </c>
      <c r="K2565" s="43">
        <f>IF($I2565=0,0,IF(INDEX(DarlOhneTilgung,6)=1,0,IF(AND(INDEX(DarlTilgStart,6)&gt;0,$E2565=INDEX(DarlTilgStart,6)),$J2565*($H2565+INDEX(DarlTilgung,6))/100/12,IF(AND($G2565=0,$G2564=1),MAX($K2564,$J2565*($H2565+1)/100/12),$K2564))))</f>
      </c>
      <c r="L2565" s="43">
        <f>IF($I2565=0,0,$J2565*$H2565/100/12)</f>
      </c>
      <c r="M2565" s="43">
        <f>IF($I2565=0,0,IF(OR(INDEX(DarlOhneTilgung,6)=1,AND(INDEX(DarlTilgStart,6)&gt;0,$E2565&lt;INDEX(DarlTilgStart,6))),0,MIN(MAX(0,$K2565-$L2565),$J2565)))</f>
      </c>
      <c r="N2565" s="43">
        <f>IF($I2565=0,0,MIN(SUMIFS(SondBetrag,SondDarl,6,SondDatum,"&gt;="&amp;$E2565,SondDatum,"&lt;="&amp;EOMONTH($E2565,0)),$J2565-$M2565))</f>
      </c>
      <c r="O2565" s="43">
        <f>IF($I2565=0,0,INDEX(DarlErsatzRate,6))</f>
      </c>
      <c r="P2565" s="43">
        <f>IF($I2565=0,0,$Q2564*INDEX(DarlErsatzZins,6))</f>
      </c>
      <c r="Q2565" s="43">
        <f>IF($I2565=0,0,$Q2564+$P2565+$O2565)</f>
      </c>
      <c r="R2565" s="43">
        <f>IF($I2565=0,0,$J2565-$M2565-$N2565)</f>
      </c>
    </row>
    <row r="2566">
      <c r="A2566"/>
      <c r="B2566">
        <v>6</v>
      </c>
      <c r="C2566" s="43">
        <f>INDEX(DarlObj,6)</f>
      </c>
      <c r="D2566">
        <v>163</v>
      </c>
      <c r="E2566" s="51">
        <f>IF(INDEX(DarlBelegt,6)=0,0,EOMONTH(INDEX(DarlAuszahlung,6),162)+1)</f>
      </c>
      <c r="F2566" s="43">
        <f>IF($E2566=0,0,YEAR($E2566))</f>
      </c>
      <c r="G2566" s="43">
        <f>IF(INDEX(DarlBindung,6)="",1,IF($E2566&lt;=INDEX(DarlBindung,6),1,0))</f>
      </c>
      <c r="H2566" s="43">
        <f>IF($G2566=1,INDEX(DarlSollzins,6),INDEX(DarlAnschluss,6))</f>
      </c>
      <c r="I2566" s="43">
        <f>IF(INDEX(DarlBelegt,6)=0,0,IF(INDEX(DarlOhneTilgung,6)=1,IF(INDEX(DarlBindung,6)="",1,$G2566),IF($J2566&gt;0.005,1,0)))</f>
      </c>
      <c r="J2566" s="43">
        <f>IF($I2565=0,0,$R2565)</f>
      </c>
      <c r="K2566" s="43">
        <f>IF($I2566=0,0,IF(INDEX(DarlOhneTilgung,6)=1,0,IF(AND(INDEX(DarlTilgStart,6)&gt;0,$E2566=INDEX(DarlTilgStart,6)),$J2566*($H2566+INDEX(DarlTilgung,6))/100/12,IF(AND($G2566=0,$G2565=1),MAX($K2565,$J2566*($H2566+1)/100/12),$K2565))))</f>
      </c>
      <c r="L2566" s="43">
        <f>IF($I2566=0,0,$J2566*$H2566/100/12)</f>
      </c>
      <c r="M2566" s="43">
        <f>IF($I2566=0,0,IF(OR(INDEX(DarlOhneTilgung,6)=1,AND(INDEX(DarlTilgStart,6)&gt;0,$E2566&lt;INDEX(DarlTilgStart,6))),0,MIN(MAX(0,$K2566-$L2566),$J2566)))</f>
      </c>
      <c r="N2566" s="43">
        <f>IF($I2566=0,0,MIN(SUMIFS(SondBetrag,SondDarl,6,SondDatum,"&gt;="&amp;$E2566,SondDatum,"&lt;="&amp;EOMONTH($E2566,0)),$J2566-$M2566))</f>
      </c>
      <c r="O2566" s="43">
        <f>IF($I2566=0,0,INDEX(DarlErsatzRate,6))</f>
      </c>
      <c r="P2566" s="43">
        <f>IF($I2566=0,0,$Q2565*INDEX(DarlErsatzZins,6))</f>
      </c>
      <c r="Q2566" s="43">
        <f>IF($I2566=0,0,$Q2565+$P2566+$O2566)</f>
      </c>
      <c r="R2566" s="43">
        <f>IF($I2566=0,0,$J2566-$M2566-$N2566)</f>
      </c>
    </row>
    <row r="2567">
      <c r="A2567"/>
      <c r="B2567">
        <v>6</v>
      </c>
      <c r="C2567" s="43">
        <f>INDEX(DarlObj,6)</f>
      </c>
      <c r="D2567">
        <v>164</v>
      </c>
      <c r="E2567" s="51">
        <f>IF(INDEX(DarlBelegt,6)=0,0,EOMONTH(INDEX(DarlAuszahlung,6),163)+1)</f>
      </c>
      <c r="F2567" s="43">
        <f>IF($E2567=0,0,YEAR($E2567))</f>
      </c>
      <c r="G2567" s="43">
        <f>IF(INDEX(DarlBindung,6)="",1,IF($E2567&lt;=INDEX(DarlBindung,6),1,0))</f>
      </c>
      <c r="H2567" s="43">
        <f>IF($G2567=1,INDEX(DarlSollzins,6),INDEX(DarlAnschluss,6))</f>
      </c>
      <c r="I2567" s="43">
        <f>IF(INDEX(DarlBelegt,6)=0,0,IF(INDEX(DarlOhneTilgung,6)=1,IF(INDEX(DarlBindung,6)="",1,$G2567),IF($J2567&gt;0.005,1,0)))</f>
      </c>
      <c r="J2567" s="43">
        <f>IF($I2566=0,0,$R2566)</f>
      </c>
      <c r="K2567" s="43">
        <f>IF($I2567=0,0,IF(INDEX(DarlOhneTilgung,6)=1,0,IF(AND(INDEX(DarlTilgStart,6)&gt;0,$E2567=INDEX(DarlTilgStart,6)),$J2567*($H2567+INDEX(DarlTilgung,6))/100/12,IF(AND($G2567=0,$G2566=1),MAX($K2566,$J2567*($H2567+1)/100/12),$K2566))))</f>
      </c>
      <c r="L2567" s="43">
        <f>IF($I2567=0,0,$J2567*$H2567/100/12)</f>
      </c>
      <c r="M2567" s="43">
        <f>IF($I2567=0,0,IF(OR(INDEX(DarlOhneTilgung,6)=1,AND(INDEX(DarlTilgStart,6)&gt;0,$E2567&lt;INDEX(DarlTilgStart,6))),0,MIN(MAX(0,$K2567-$L2567),$J2567)))</f>
      </c>
      <c r="N2567" s="43">
        <f>IF($I2567=0,0,MIN(SUMIFS(SondBetrag,SondDarl,6,SondDatum,"&gt;="&amp;$E2567,SondDatum,"&lt;="&amp;EOMONTH($E2567,0)),$J2567-$M2567))</f>
      </c>
      <c r="O2567" s="43">
        <f>IF($I2567=0,0,INDEX(DarlErsatzRate,6))</f>
      </c>
      <c r="P2567" s="43">
        <f>IF($I2567=0,0,$Q2566*INDEX(DarlErsatzZins,6))</f>
      </c>
      <c r="Q2567" s="43">
        <f>IF($I2567=0,0,$Q2566+$P2567+$O2567)</f>
      </c>
      <c r="R2567" s="43">
        <f>IF($I2567=0,0,$J2567-$M2567-$N2567)</f>
      </c>
    </row>
    <row r="2568">
      <c r="A2568"/>
      <c r="B2568">
        <v>6</v>
      </c>
      <c r="C2568" s="43">
        <f>INDEX(DarlObj,6)</f>
      </c>
      <c r="D2568">
        <v>165</v>
      </c>
      <c r="E2568" s="51">
        <f>IF(INDEX(DarlBelegt,6)=0,0,EOMONTH(INDEX(DarlAuszahlung,6),164)+1)</f>
      </c>
      <c r="F2568" s="43">
        <f>IF($E2568=0,0,YEAR($E2568))</f>
      </c>
      <c r="G2568" s="43">
        <f>IF(INDEX(DarlBindung,6)="",1,IF($E2568&lt;=INDEX(DarlBindung,6),1,0))</f>
      </c>
      <c r="H2568" s="43">
        <f>IF($G2568=1,INDEX(DarlSollzins,6),INDEX(DarlAnschluss,6))</f>
      </c>
      <c r="I2568" s="43">
        <f>IF(INDEX(DarlBelegt,6)=0,0,IF(INDEX(DarlOhneTilgung,6)=1,IF(INDEX(DarlBindung,6)="",1,$G2568),IF($J2568&gt;0.005,1,0)))</f>
      </c>
      <c r="J2568" s="43">
        <f>IF($I2567=0,0,$R2567)</f>
      </c>
      <c r="K2568" s="43">
        <f>IF($I2568=0,0,IF(INDEX(DarlOhneTilgung,6)=1,0,IF(AND(INDEX(DarlTilgStart,6)&gt;0,$E2568=INDEX(DarlTilgStart,6)),$J2568*($H2568+INDEX(DarlTilgung,6))/100/12,IF(AND($G2568=0,$G2567=1),MAX($K2567,$J2568*($H2568+1)/100/12),$K2567))))</f>
      </c>
      <c r="L2568" s="43">
        <f>IF($I2568=0,0,$J2568*$H2568/100/12)</f>
      </c>
      <c r="M2568" s="43">
        <f>IF($I2568=0,0,IF(OR(INDEX(DarlOhneTilgung,6)=1,AND(INDEX(DarlTilgStart,6)&gt;0,$E2568&lt;INDEX(DarlTilgStart,6))),0,MIN(MAX(0,$K2568-$L2568),$J2568)))</f>
      </c>
      <c r="N2568" s="43">
        <f>IF($I2568=0,0,MIN(SUMIFS(SondBetrag,SondDarl,6,SondDatum,"&gt;="&amp;$E2568,SondDatum,"&lt;="&amp;EOMONTH($E2568,0)),$J2568-$M2568))</f>
      </c>
      <c r="O2568" s="43">
        <f>IF($I2568=0,0,INDEX(DarlErsatzRate,6))</f>
      </c>
      <c r="P2568" s="43">
        <f>IF($I2568=0,0,$Q2567*INDEX(DarlErsatzZins,6))</f>
      </c>
      <c r="Q2568" s="43">
        <f>IF($I2568=0,0,$Q2567+$P2568+$O2568)</f>
      </c>
      <c r="R2568" s="43">
        <f>IF($I2568=0,0,$J2568-$M2568-$N2568)</f>
      </c>
    </row>
    <row r="2569">
      <c r="A2569"/>
      <c r="B2569">
        <v>6</v>
      </c>
      <c r="C2569" s="43">
        <f>INDEX(DarlObj,6)</f>
      </c>
      <c r="D2569">
        <v>166</v>
      </c>
      <c r="E2569" s="51">
        <f>IF(INDEX(DarlBelegt,6)=0,0,EOMONTH(INDEX(DarlAuszahlung,6),165)+1)</f>
      </c>
      <c r="F2569" s="43">
        <f>IF($E2569=0,0,YEAR($E2569))</f>
      </c>
      <c r="G2569" s="43">
        <f>IF(INDEX(DarlBindung,6)="",1,IF($E2569&lt;=INDEX(DarlBindung,6),1,0))</f>
      </c>
      <c r="H2569" s="43">
        <f>IF($G2569=1,INDEX(DarlSollzins,6),INDEX(DarlAnschluss,6))</f>
      </c>
      <c r="I2569" s="43">
        <f>IF(INDEX(DarlBelegt,6)=0,0,IF(INDEX(DarlOhneTilgung,6)=1,IF(INDEX(DarlBindung,6)="",1,$G2569),IF($J2569&gt;0.005,1,0)))</f>
      </c>
      <c r="J2569" s="43">
        <f>IF($I2568=0,0,$R2568)</f>
      </c>
      <c r="K2569" s="43">
        <f>IF($I2569=0,0,IF(INDEX(DarlOhneTilgung,6)=1,0,IF(AND(INDEX(DarlTilgStart,6)&gt;0,$E2569=INDEX(DarlTilgStart,6)),$J2569*($H2569+INDEX(DarlTilgung,6))/100/12,IF(AND($G2569=0,$G2568=1),MAX($K2568,$J2569*($H2569+1)/100/12),$K2568))))</f>
      </c>
      <c r="L2569" s="43">
        <f>IF($I2569=0,0,$J2569*$H2569/100/12)</f>
      </c>
      <c r="M2569" s="43">
        <f>IF($I2569=0,0,IF(OR(INDEX(DarlOhneTilgung,6)=1,AND(INDEX(DarlTilgStart,6)&gt;0,$E2569&lt;INDEX(DarlTilgStart,6))),0,MIN(MAX(0,$K2569-$L2569),$J2569)))</f>
      </c>
      <c r="N2569" s="43">
        <f>IF($I2569=0,0,MIN(SUMIFS(SondBetrag,SondDarl,6,SondDatum,"&gt;="&amp;$E2569,SondDatum,"&lt;="&amp;EOMONTH($E2569,0)),$J2569-$M2569))</f>
      </c>
      <c r="O2569" s="43">
        <f>IF($I2569=0,0,INDEX(DarlErsatzRate,6))</f>
      </c>
      <c r="P2569" s="43">
        <f>IF($I2569=0,0,$Q2568*INDEX(DarlErsatzZins,6))</f>
      </c>
      <c r="Q2569" s="43">
        <f>IF($I2569=0,0,$Q2568+$P2569+$O2569)</f>
      </c>
      <c r="R2569" s="43">
        <f>IF($I2569=0,0,$J2569-$M2569-$N2569)</f>
      </c>
    </row>
    <row r="2570">
      <c r="A2570"/>
      <c r="B2570">
        <v>6</v>
      </c>
      <c r="C2570" s="43">
        <f>INDEX(DarlObj,6)</f>
      </c>
      <c r="D2570">
        <v>167</v>
      </c>
      <c r="E2570" s="51">
        <f>IF(INDEX(DarlBelegt,6)=0,0,EOMONTH(INDEX(DarlAuszahlung,6),166)+1)</f>
      </c>
      <c r="F2570" s="43">
        <f>IF($E2570=0,0,YEAR($E2570))</f>
      </c>
      <c r="G2570" s="43">
        <f>IF(INDEX(DarlBindung,6)="",1,IF($E2570&lt;=INDEX(DarlBindung,6),1,0))</f>
      </c>
      <c r="H2570" s="43">
        <f>IF($G2570=1,INDEX(DarlSollzins,6),INDEX(DarlAnschluss,6))</f>
      </c>
      <c r="I2570" s="43">
        <f>IF(INDEX(DarlBelegt,6)=0,0,IF(INDEX(DarlOhneTilgung,6)=1,IF(INDEX(DarlBindung,6)="",1,$G2570),IF($J2570&gt;0.005,1,0)))</f>
      </c>
      <c r="J2570" s="43">
        <f>IF($I2569=0,0,$R2569)</f>
      </c>
      <c r="K2570" s="43">
        <f>IF($I2570=0,0,IF(INDEX(DarlOhneTilgung,6)=1,0,IF(AND(INDEX(DarlTilgStart,6)&gt;0,$E2570=INDEX(DarlTilgStart,6)),$J2570*($H2570+INDEX(DarlTilgung,6))/100/12,IF(AND($G2570=0,$G2569=1),MAX($K2569,$J2570*($H2570+1)/100/12),$K2569))))</f>
      </c>
      <c r="L2570" s="43">
        <f>IF($I2570=0,0,$J2570*$H2570/100/12)</f>
      </c>
      <c r="M2570" s="43">
        <f>IF($I2570=0,0,IF(OR(INDEX(DarlOhneTilgung,6)=1,AND(INDEX(DarlTilgStart,6)&gt;0,$E2570&lt;INDEX(DarlTilgStart,6))),0,MIN(MAX(0,$K2570-$L2570),$J2570)))</f>
      </c>
      <c r="N2570" s="43">
        <f>IF($I2570=0,0,MIN(SUMIFS(SondBetrag,SondDarl,6,SondDatum,"&gt;="&amp;$E2570,SondDatum,"&lt;="&amp;EOMONTH($E2570,0)),$J2570-$M2570))</f>
      </c>
      <c r="O2570" s="43">
        <f>IF($I2570=0,0,INDEX(DarlErsatzRate,6))</f>
      </c>
      <c r="P2570" s="43">
        <f>IF($I2570=0,0,$Q2569*INDEX(DarlErsatzZins,6))</f>
      </c>
      <c r="Q2570" s="43">
        <f>IF($I2570=0,0,$Q2569+$P2570+$O2570)</f>
      </c>
      <c r="R2570" s="43">
        <f>IF($I2570=0,0,$J2570-$M2570-$N2570)</f>
      </c>
    </row>
    <row r="2571">
      <c r="A2571"/>
      <c r="B2571">
        <v>6</v>
      </c>
      <c r="C2571" s="43">
        <f>INDEX(DarlObj,6)</f>
      </c>
      <c r="D2571">
        <v>168</v>
      </c>
      <c r="E2571" s="51">
        <f>IF(INDEX(DarlBelegt,6)=0,0,EOMONTH(INDEX(DarlAuszahlung,6),167)+1)</f>
      </c>
      <c r="F2571" s="43">
        <f>IF($E2571=0,0,YEAR($E2571))</f>
      </c>
      <c r="G2571" s="43">
        <f>IF(INDEX(DarlBindung,6)="",1,IF($E2571&lt;=INDEX(DarlBindung,6),1,0))</f>
      </c>
      <c r="H2571" s="43">
        <f>IF($G2571=1,INDEX(DarlSollzins,6),INDEX(DarlAnschluss,6))</f>
      </c>
      <c r="I2571" s="43">
        <f>IF(INDEX(DarlBelegt,6)=0,0,IF(INDEX(DarlOhneTilgung,6)=1,IF(INDEX(DarlBindung,6)="",1,$G2571),IF($J2571&gt;0.005,1,0)))</f>
      </c>
      <c r="J2571" s="43">
        <f>IF($I2570=0,0,$R2570)</f>
      </c>
      <c r="K2571" s="43">
        <f>IF($I2571=0,0,IF(INDEX(DarlOhneTilgung,6)=1,0,IF(AND(INDEX(DarlTilgStart,6)&gt;0,$E2571=INDEX(DarlTilgStart,6)),$J2571*($H2571+INDEX(DarlTilgung,6))/100/12,IF(AND($G2571=0,$G2570=1),MAX($K2570,$J2571*($H2571+1)/100/12),$K2570))))</f>
      </c>
      <c r="L2571" s="43">
        <f>IF($I2571=0,0,$J2571*$H2571/100/12)</f>
      </c>
      <c r="M2571" s="43">
        <f>IF($I2571=0,0,IF(OR(INDEX(DarlOhneTilgung,6)=1,AND(INDEX(DarlTilgStart,6)&gt;0,$E2571&lt;INDEX(DarlTilgStart,6))),0,MIN(MAX(0,$K2571-$L2571),$J2571)))</f>
      </c>
      <c r="N2571" s="43">
        <f>IF($I2571=0,0,MIN(SUMIFS(SondBetrag,SondDarl,6,SondDatum,"&gt;="&amp;$E2571,SondDatum,"&lt;="&amp;EOMONTH($E2571,0)),$J2571-$M2571))</f>
      </c>
      <c r="O2571" s="43">
        <f>IF($I2571=0,0,INDEX(DarlErsatzRate,6))</f>
      </c>
      <c r="P2571" s="43">
        <f>IF($I2571=0,0,$Q2570*INDEX(DarlErsatzZins,6))</f>
      </c>
      <c r="Q2571" s="43">
        <f>IF($I2571=0,0,$Q2570+$P2571+$O2571)</f>
      </c>
      <c r="R2571" s="43">
        <f>IF($I2571=0,0,$J2571-$M2571-$N2571)</f>
      </c>
    </row>
    <row r="2572">
      <c r="A2572"/>
      <c r="B2572">
        <v>6</v>
      </c>
      <c r="C2572" s="43">
        <f>INDEX(DarlObj,6)</f>
      </c>
      <c r="D2572">
        <v>169</v>
      </c>
      <c r="E2572" s="51">
        <f>IF(INDEX(DarlBelegt,6)=0,0,EOMONTH(INDEX(DarlAuszahlung,6),168)+1)</f>
      </c>
      <c r="F2572" s="43">
        <f>IF($E2572=0,0,YEAR($E2572))</f>
      </c>
      <c r="G2572" s="43">
        <f>IF(INDEX(DarlBindung,6)="",1,IF($E2572&lt;=INDEX(DarlBindung,6),1,0))</f>
      </c>
      <c r="H2572" s="43">
        <f>IF($G2572=1,INDEX(DarlSollzins,6),INDEX(DarlAnschluss,6))</f>
      </c>
      <c r="I2572" s="43">
        <f>IF(INDEX(DarlBelegt,6)=0,0,IF(INDEX(DarlOhneTilgung,6)=1,IF(INDEX(DarlBindung,6)="",1,$G2572),IF($J2572&gt;0.005,1,0)))</f>
      </c>
      <c r="J2572" s="43">
        <f>IF($I2571=0,0,$R2571)</f>
      </c>
      <c r="K2572" s="43">
        <f>IF($I2572=0,0,IF(INDEX(DarlOhneTilgung,6)=1,0,IF(AND(INDEX(DarlTilgStart,6)&gt;0,$E2572=INDEX(DarlTilgStart,6)),$J2572*($H2572+INDEX(DarlTilgung,6))/100/12,IF(AND($G2572=0,$G2571=1),MAX($K2571,$J2572*($H2572+1)/100/12),$K2571))))</f>
      </c>
      <c r="L2572" s="43">
        <f>IF($I2572=0,0,$J2572*$H2572/100/12)</f>
      </c>
      <c r="M2572" s="43">
        <f>IF($I2572=0,0,IF(OR(INDEX(DarlOhneTilgung,6)=1,AND(INDEX(DarlTilgStart,6)&gt;0,$E2572&lt;INDEX(DarlTilgStart,6))),0,MIN(MAX(0,$K2572-$L2572),$J2572)))</f>
      </c>
      <c r="N2572" s="43">
        <f>IF($I2572=0,0,MIN(SUMIFS(SondBetrag,SondDarl,6,SondDatum,"&gt;="&amp;$E2572,SondDatum,"&lt;="&amp;EOMONTH($E2572,0)),$J2572-$M2572))</f>
      </c>
      <c r="O2572" s="43">
        <f>IF($I2572=0,0,INDEX(DarlErsatzRate,6))</f>
      </c>
      <c r="P2572" s="43">
        <f>IF($I2572=0,0,$Q2571*INDEX(DarlErsatzZins,6))</f>
      </c>
      <c r="Q2572" s="43">
        <f>IF($I2572=0,0,$Q2571+$P2572+$O2572)</f>
      </c>
      <c r="R2572" s="43">
        <f>IF($I2572=0,0,$J2572-$M2572-$N2572)</f>
      </c>
    </row>
    <row r="2573">
      <c r="A2573"/>
      <c r="B2573">
        <v>6</v>
      </c>
      <c r="C2573" s="43">
        <f>INDEX(DarlObj,6)</f>
      </c>
      <c r="D2573">
        <v>170</v>
      </c>
      <c r="E2573" s="51">
        <f>IF(INDEX(DarlBelegt,6)=0,0,EOMONTH(INDEX(DarlAuszahlung,6),169)+1)</f>
      </c>
      <c r="F2573" s="43">
        <f>IF($E2573=0,0,YEAR($E2573))</f>
      </c>
      <c r="G2573" s="43">
        <f>IF(INDEX(DarlBindung,6)="",1,IF($E2573&lt;=INDEX(DarlBindung,6),1,0))</f>
      </c>
      <c r="H2573" s="43">
        <f>IF($G2573=1,INDEX(DarlSollzins,6),INDEX(DarlAnschluss,6))</f>
      </c>
      <c r="I2573" s="43">
        <f>IF(INDEX(DarlBelegt,6)=0,0,IF(INDEX(DarlOhneTilgung,6)=1,IF(INDEX(DarlBindung,6)="",1,$G2573),IF($J2573&gt;0.005,1,0)))</f>
      </c>
      <c r="J2573" s="43">
        <f>IF($I2572=0,0,$R2572)</f>
      </c>
      <c r="K2573" s="43">
        <f>IF($I2573=0,0,IF(INDEX(DarlOhneTilgung,6)=1,0,IF(AND(INDEX(DarlTilgStart,6)&gt;0,$E2573=INDEX(DarlTilgStart,6)),$J2573*($H2573+INDEX(DarlTilgung,6))/100/12,IF(AND($G2573=0,$G2572=1),MAX($K2572,$J2573*($H2573+1)/100/12),$K2572))))</f>
      </c>
      <c r="L2573" s="43">
        <f>IF($I2573=0,0,$J2573*$H2573/100/12)</f>
      </c>
      <c r="M2573" s="43">
        <f>IF($I2573=0,0,IF(OR(INDEX(DarlOhneTilgung,6)=1,AND(INDEX(DarlTilgStart,6)&gt;0,$E2573&lt;INDEX(DarlTilgStart,6))),0,MIN(MAX(0,$K2573-$L2573),$J2573)))</f>
      </c>
      <c r="N2573" s="43">
        <f>IF($I2573=0,0,MIN(SUMIFS(SondBetrag,SondDarl,6,SondDatum,"&gt;="&amp;$E2573,SondDatum,"&lt;="&amp;EOMONTH($E2573,0)),$J2573-$M2573))</f>
      </c>
      <c r="O2573" s="43">
        <f>IF($I2573=0,0,INDEX(DarlErsatzRate,6))</f>
      </c>
      <c r="P2573" s="43">
        <f>IF($I2573=0,0,$Q2572*INDEX(DarlErsatzZins,6))</f>
      </c>
      <c r="Q2573" s="43">
        <f>IF($I2573=0,0,$Q2572+$P2573+$O2573)</f>
      </c>
      <c r="R2573" s="43">
        <f>IF($I2573=0,0,$J2573-$M2573-$N2573)</f>
      </c>
    </row>
    <row r="2574">
      <c r="A2574"/>
      <c r="B2574">
        <v>6</v>
      </c>
      <c r="C2574" s="43">
        <f>INDEX(DarlObj,6)</f>
      </c>
      <c r="D2574">
        <v>171</v>
      </c>
      <c r="E2574" s="51">
        <f>IF(INDEX(DarlBelegt,6)=0,0,EOMONTH(INDEX(DarlAuszahlung,6),170)+1)</f>
      </c>
      <c r="F2574" s="43">
        <f>IF($E2574=0,0,YEAR($E2574))</f>
      </c>
      <c r="G2574" s="43">
        <f>IF(INDEX(DarlBindung,6)="",1,IF($E2574&lt;=INDEX(DarlBindung,6),1,0))</f>
      </c>
      <c r="H2574" s="43">
        <f>IF($G2574=1,INDEX(DarlSollzins,6),INDEX(DarlAnschluss,6))</f>
      </c>
      <c r="I2574" s="43">
        <f>IF(INDEX(DarlBelegt,6)=0,0,IF(INDEX(DarlOhneTilgung,6)=1,IF(INDEX(DarlBindung,6)="",1,$G2574),IF($J2574&gt;0.005,1,0)))</f>
      </c>
      <c r="J2574" s="43">
        <f>IF($I2573=0,0,$R2573)</f>
      </c>
      <c r="K2574" s="43">
        <f>IF($I2574=0,0,IF(INDEX(DarlOhneTilgung,6)=1,0,IF(AND(INDEX(DarlTilgStart,6)&gt;0,$E2574=INDEX(DarlTilgStart,6)),$J2574*($H2574+INDEX(DarlTilgung,6))/100/12,IF(AND($G2574=0,$G2573=1),MAX($K2573,$J2574*($H2574+1)/100/12),$K2573))))</f>
      </c>
      <c r="L2574" s="43">
        <f>IF($I2574=0,0,$J2574*$H2574/100/12)</f>
      </c>
      <c r="M2574" s="43">
        <f>IF($I2574=0,0,IF(OR(INDEX(DarlOhneTilgung,6)=1,AND(INDEX(DarlTilgStart,6)&gt;0,$E2574&lt;INDEX(DarlTilgStart,6))),0,MIN(MAX(0,$K2574-$L2574),$J2574)))</f>
      </c>
      <c r="N2574" s="43">
        <f>IF($I2574=0,0,MIN(SUMIFS(SondBetrag,SondDarl,6,SondDatum,"&gt;="&amp;$E2574,SondDatum,"&lt;="&amp;EOMONTH($E2574,0)),$J2574-$M2574))</f>
      </c>
      <c r="O2574" s="43">
        <f>IF($I2574=0,0,INDEX(DarlErsatzRate,6))</f>
      </c>
      <c r="P2574" s="43">
        <f>IF($I2574=0,0,$Q2573*INDEX(DarlErsatzZins,6))</f>
      </c>
      <c r="Q2574" s="43">
        <f>IF($I2574=0,0,$Q2573+$P2574+$O2574)</f>
      </c>
      <c r="R2574" s="43">
        <f>IF($I2574=0,0,$J2574-$M2574-$N2574)</f>
      </c>
    </row>
    <row r="2575">
      <c r="A2575"/>
      <c r="B2575">
        <v>6</v>
      </c>
      <c r="C2575" s="43">
        <f>INDEX(DarlObj,6)</f>
      </c>
      <c r="D2575">
        <v>172</v>
      </c>
      <c r="E2575" s="51">
        <f>IF(INDEX(DarlBelegt,6)=0,0,EOMONTH(INDEX(DarlAuszahlung,6),171)+1)</f>
      </c>
      <c r="F2575" s="43">
        <f>IF($E2575=0,0,YEAR($E2575))</f>
      </c>
      <c r="G2575" s="43">
        <f>IF(INDEX(DarlBindung,6)="",1,IF($E2575&lt;=INDEX(DarlBindung,6),1,0))</f>
      </c>
      <c r="H2575" s="43">
        <f>IF($G2575=1,INDEX(DarlSollzins,6),INDEX(DarlAnschluss,6))</f>
      </c>
      <c r="I2575" s="43">
        <f>IF(INDEX(DarlBelegt,6)=0,0,IF(INDEX(DarlOhneTilgung,6)=1,IF(INDEX(DarlBindung,6)="",1,$G2575),IF($J2575&gt;0.005,1,0)))</f>
      </c>
      <c r="J2575" s="43">
        <f>IF($I2574=0,0,$R2574)</f>
      </c>
      <c r="K2575" s="43">
        <f>IF($I2575=0,0,IF(INDEX(DarlOhneTilgung,6)=1,0,IF(AND(INDEX(DarlTilgStart,6)&gt;0,$E2575=INDEX(DarlTilgStart,6)),$J2575*($H2575+INDEX(DarlTilgung,6))/100/12,IF(AND($G2575=0,$G2574=1),MAX($K2574,$J2575*($H2575+1)/100/12),$K2574))))</f>
      </c>
      <c r="L2575" s="43">
        <f>IF($I2575=0,0,$J2575*$H2575/100/12)</f>
      </c>
      <c r="M2575" s="43">
        <f>IF($I2575=0,0,IF(OR(INDEX(DarlOhneTilgung,6)=1,AND(INDEX(DarlTilgStart,6)&gt;0,$E2575&lt;INDEX(DarlTilgStart,6))),0,MIN(MAX(0,$K2575-$L2575),$J2575)))</f>
      </c>
      <c r="N2575" s="43">
        <f>IF($I2575=0,0,MIN(SUMIFS(SondBetrag,SondDarl,6,SondDatum,"&gt;="&amp;$E2575,SondDatum,"&lt;="&amp;EOMONTH($E2575,0)),$J2575-$M2575))</f>
      </c>
      <c r="O2575" s="43">
        <f>IF($I2575=0,0,INDEX(DarlErsatzRate,6))</f>
      </c>
      <c r="P2575" s="43">
        <f>IF($I2575=0,0,$Q2574*INDEX(DarlErsatzZins,6))</f>
      </c>
      <c r="Q2575" s="43">
        <f>IF($I2575=0,0,$Q2574+$P2575+$O2575)</f>
      </c>
      <c r="R2575" s="43">
        <f>IF($I2575=0,0,$J2575-$M2575-$N2575)</f>
      </c>
    </row>
    <row r="2576">
      <c r="A2576"/>
      <c r="B2576">
        <v>6</v>
      </c>
      <c r="C2576" s="43">
        <f>INDEX(DarlObj,6)</f>
      </c>
      <c r="D2576">
        <v>173</v>
      </c>
      <c r="E2576" s="51">
        <f>IF(INDEX(DarlBelegt,6)=0,0,EOMONTH(INDEX(DarlAuszahlung,6),172)+1)</f>
      </c>
      <c r="F2576" s="43">
        <f>IF($E2576=0,0,YEAR($E2576))</f>
      </c>
      <c r="G2576" s="43">
        <f>IF(INDEX(DarlBindung,6)="",1,IF($E2576&lt;=INDEX(DarlBindung,6),1,0))</f>
      </c>
      <c r="H2576" s="43">
        <f>IF($G2576=1,INDEX(DarlSollzins,6),INDEX(DarlAnschluss,6))</f>
      </c>
      <c r="I2576" s="43">
        <f>IF(INDEX(DarlBelegt,6)=0,0,IF(INDEX(DarlOhneTilgung,6)=1,IF(INDEX(DarlBindung,6)="",1,$G2576),IF($J2576&gt;0.005,1,0)))</f>
      </c>
      <c r="J2576" s="43">
        <f>IF($I2575=0,0,$R2575)</f>
      </c>
      <c r="K2576" s="43">
        <f>IF($I2576=0,0,IF(INDEX(DarlOhneTilgung,6)=1,0,IF(AND(INDEX(DarlTilgStart,6)&gt;0,$E2576=INDEX(DarlTilgStart,6)),$J2576*($H2576+INDEX(DarlTilgung,6))/100/12,IF(AND($G2576=0,$G2575=1),MAX($K2575,$J2576*($H2576+1)/100/12),$K2575))))</f>
      </c>
      <c r="L2576" s="43">
        <f>IF($I2576=0,0,$J2576*$H2576/100/12)</f>
      </c>
      <c r="M2576" s="43">
        <f>IF($I2576=0,0,IF(OR(INDEX(DarlOhneTilgung,6)=1,AND(INDEX(DarlTilgStart,6)&gt;0,$E2576&lt;INDEX(DarlTilgStart,6))),0,MIN(MAX(0,$K2576-$L2576),$J2576)))</f>
      </c>
      <c r="N2576" s="43">
        <f>IF($I2576=0,0,MIN(SUMIFS(SondBetrag,SondDarl,6,SondDatum,"&gt;="&amp;$E2576,SondDatum,"&lt;="&amp;EOMONTH($E2576,0)),$J2576-$M2576))</f>
      </c>
      <c r="O2576" s="43">
        <f>IF($I2576=0,0,INDEX(DarlErsatzRate,6))</f>
      </c>
      <c r="P2576" s="43">
        <f>IF($I2576=0,0,$Q2575*INDEX(DarlErsatzZins,6))</f>
      </c>
      <c r="Q2576" s="43">
        <f>IF($I2576=0,0,$Q2575+$P2576+$O2576)</f>
      </c>
      <c r="R2576" s="43">
        <f>IF($I2576=0,0,$J2576-$M2576-$N2576)</f>
      </c>
    </row>
    <row r="2577">
      <c r="A2577"/>
      <c r="B2577">
        <v>6</v>
      </c>
      <c r="C2577" s="43">
        <f>INDEX(DarlObj,6)</f>
      </c>
      <c r="D2577">
        <v>174</v>
      </c>
      <c r="E2577" s="51">
        <f>IF(INDEX(DarlBelegt,6)=0,0,EOMONTH(INDEX(DarlAuszahlung,6),173)+1)</f>
      </c>
      <c r="F2577" s="43">
        <f>IF($E2577=0,0,YEAR($E2577))</f>
      </c>
      <c r="G2577" s="43">
        <f>IF(INDEX(DarlBindung,6)="",1,IF($E2577&lt;=INDEX(DarlBindung,6),1,0))</f>
      </c>
      <c r="H2577" s="43">
        <f>IF($G2577=1,INDEX(DarlSollzins,6),INDEX(DarlAnschluss,6))</f>
      </c>
      <c r="I2577" s="43">
        <f>IF(INDEX(DarlBelegt,6)=0,0,IF(INDEX(DarlOhneTilgung,6)=1,IF(INDEX(DarlBindung,6)="",1,$G2577),IF($J2577&gt;0.005,1,0)))</f>
      </c>
      <c r="J2577" s="43">
        <f>IF($I2576=0,0,$R2576)</f>
      </c>
      <c r="K2577" s="43">
        <f>IF($I2577=0,0,IF(INDEX(DarlOhneTilgung,6)=1,0,IF(AND(INDEX(DarlTilgStart,6)&gt;0,$E2577=INDEX(DarlTilgStart,6)),$J2577*($H2577+INDEX(DarlTilgung,6))/100/12,IF(AND($G2577=0,$G2576=1),MAX($K2576,$J2577*($H2577+1)/100/12),$K2576))))</f>
      </c>
      <c r="L2577" s="43">
        <f>IF($I2577=0,0,$J2577*$H2577/100/12)</f>
      </c>
      <c r="M2577" s="43">
        <f>IF($I2577=0,0,IF(OR(INDEX(DarlOhneTilgung,6)=1,AND(INDEX(DarlTilgStart,6)&gt;0,$E2577&lt;INDEX(DarlTilgStart,6))),0,MIN(MAX(0,$K2577-$L2577),$J2577)))</f>
      </c>
      <c r="N2577" s="43">
        <f>IF($I2577=0,0,MIN(SUMIFS(SondBetrag,SondDarl,6,SondDatum,"&gt;="&amp;$E2577,SondDatum,"&lt;="&amp;EOMONTH($E2577,0)),$J2577-$M2577))</f>
      </c>
      <c r="O2577" s="43">
        <f>IF($I2577=0,0,INDEX(DarlErsatzRate,6))</f>
      </c>
      <c r="P2577" s="43">
        <f>IF($I2577=0,0,$Q2576*INDEX(DarlErsatzZins,6))</f>
      </c>
      <c r="Q2577" s="43">
        <f>IF($I2577=0,0,$Q2576+$P2577+$O2577)</f>
      </c>
      <c r="R2577" s="43">
        <f>IF($I2577=0,0,$J2577-$M2577-$N2577)</f>
      </c>
    </row>
    <row r="2578">
      <c r="A2578"/>
      <c r="B2578">
        <v>6</v>
      </c>
      <c r="C2578" s="43">
        <f>INDEX(DarlObj,6)</f>
      </c>
      <c r="D2578">
        <v>175</v>
      </c>
      <c r="E2578" s="51">
        <f>IF(INDEX(DarlBelegt,6)=0,0,EOMONTH(INDEX(DarlAuszahlung,6),174)+1)</f>
      </c>
      <c r="F2578" s="43">
        <f>IF($E2578=0,0,YEAR($E2578))</f>
      </c>
      <c r="G2578" s="43">
        <f>IF(INDEX(DarlBindung,6)="",1,IF($E2578&lt;=INDEX(DarlBindung,6),1,0))</f>
      </c>
      <c r="H2578" s="43">
        <f>IF($G2578=1,INDEX(DarlSollzins,6),INDEX(DarlAnschluss,6))</f>
      </c>
      <c r="I2578" s="43">
        <f>IF(INDEX(DarlBelegt,6)=0,0,IF(INDEX(DarlOhneTilgung,6)=1,IF(INDEX(DarlBindung,6)="",1,$G2578),IF($J2578&gt;0.005,1,0)))</f>
      </c>
      <c r="J2578" s="43">
        <f>IF($I2577=0,0,$R2577)</f>
      </c>
      <c r="K2578" s="43">
        <f>IF($I2578=0,0,IF(INDEX(DarlOhneTilgung,6)=1,0,IF(AND(INDEX(DarlTilgStart,6)&gt;0,$E2578=INDEX(DarlTilgStart,6)),$J2578*($H2578+INDEX(DarlTilgung,6))/100/12,IF(AND($G2578=0,$G2577=1),MAX($K2577,$J2578*($H2578+1)/100/12),$K2577))))</f>
      </c>
      <c r="L2578" s="43">
        <f>IF($I2578=0,0,$J2578*$H2578/100/12)</f>
      </c>
      <c r="M2578" s="43">
        <f>IF($I2578=0,0,IF(OR(INDEX(DarlOhneTilgung,6)=1,AND(INDEX(DarlTilgStart,6)&gt;0,$E2578&lt;INDEX(DarlTilgStart,6))),0,MIN(MAX(0,$K2578-$L2578),$J2578)))</f>
      </c>
      <c r="N2578" s="43">
        <f>IF($I2578=0,0,MIN(SUMIFS(SondBetrag,SondDarl,6,SondDatum,"&gt;="&amp;$E2578,SondDatum,"&lt;="&amp;EOMONTH($E2578,0)),$J2578-$M2578))</f>
      </c>
      <c r="O2578" s="43">
        <f>IF($I2578=0,0,INDEX(DarlErsatzRate,6))</f>
      </c>
      <c r="P2578" s="43">
        <f>IF($I2578=0,0,$Q2577*INDEX(DarlErsatzZins,6))</f>
      </c>
      <c r="Q2578" s="43">
        <f>IF($I2578=0,0,$Q2577+$P2578+$O2578)</f>
      </c>
      <c r="R2578" s="43">
        <f>IF($I2578=0,0,$J2578-$M2578-$N2578)</f>
      </c>
    </row>
    <row r="2579">
      <c r="A2579"/>
      <c r="B2579">
        <v>6</v>
      </c>
      <c r="C2579" s="43">
        <f>INDEX(DarlObj,6)</f>
      </c>
      <c r="D2579">
        <v>176</v>
      </c>
      <c r="E2579" s="51">
        <f>IF(INDEX(DarlBelegt,6)=0,0,EOMONTH(INDEX(DarlAuszahlung,6),175)+1)</f>
      </c>
      <c r="F2579" s="43">
        <f>IF($E2579=0,0,YEAR($E2579))</f>
      </c>
      <c r="G2579" s="43">
        <f>IF(INDEX(DarlBindung,6)="",1,IF($E2579&lt;=INDEX(DarlBindung,6),1,0))</f>
      </c>
      <c r="H2579" s="43">
        <f>IF($G2579=1,INDEX(DarlSollzins,6),INDEX(DarlAnschluss,6))</f>
      </c>
      <c r="I2579" s="43">
        <f>IF(INDEX(DarlBelegt,6)=0,0,IF(INDEX(DarlOhneTilgung,6)=1,IF(INDEX(DarlBindung,6)="",1,$G2579),IF($J2579&gt;0.005,1,0)))</f>
      </c>
      <c r="J2579" s="43">
        <f>IF($I2578=0,0,$R2578)</f>
      </c>
      <c r="K2579" s="43">
        <f>IF($I2579=0,0,IF(INDEX(DarlOhneTilgung,6)=1,0,IF(AND(INDEX(DarlTilgStart,6)&gt;0,$E2579=INDEX(DarlTilgStart,6)),$J2579*($H2579+INDEX(DarlTilgung,6))/100/12,IF(AND($G2579=0,$G2578=1),MAX($K2578,$J2579*($H2579+1)/100/12),$K2578))))</f>
      </c>
      <c r="L2579" s="43">
        <f>IF($I2579=0,0,$J2579*$H2579/100/12)</f>
      </c>
      <c r="M2579" s="43">
        <f>IF($I2579=0,0,IF(OR(INDEX(DarlOhneTilgung,6)=1,AND(INDEX(DarlTilgStart,6)&gt;0,$E2579&lt;INDEX(DarlTilgStart,6))),0,MIN(MAX(0,$K2579-$L2579),$J2579)))</f>
      </c>
      <c r="N2579" s="43">
        <f>IF($I2579=0,0,MIN(SUMIFS(SondBetrag,SondDarl,6,SondDatum,"&gt;="&amp;$E2579,SondDatum,"&lt;="&amp;EOMONTH($E2579,0)),$J2579-$M2579))</f>
      </c>
      <c r="O2579" s="43">
        <f>IF($I2579=0,0,INDEX(DarlErsatzRate,6))</f>
      </c>
      <c r="P2579" s="43">
        <f>IF($I2579=0,0,$Q2578*INDEX(DarlErsatzZins,6))</f>
      </c>
      <c r="Q2579" s="43">
        <f>IF($I2579=0,0,$Q2578+$P2579+$O2579)</f>
      </c>
      <c r="R2579" s="43">
        <f>IF($I2579=0,0,$J2579-$M2579-$N2579)</f>
      </c>
    </row>
    <row r="2580">
      <c r="A2580"/>
      <c r="B2580">
        <v>6</v>
      </c>
      <c r="C2580" s="43">
        <f>INDEX(DarlObj,6)</f>
      </c>
      <c r="D2580">
        <v>177</v>
      </c>
      <c r="E2580" s="51">
        <f>IF(INDEX(DarlBelegt,6)=0,0,EOMONTH(INDEX(DarlAuszahlung,6),176)+1)</f>
      </c>
      <c r="F2580" s="43">
        <f>IF($E2580=0,0,YEAR($E2580))</f>
      </c>
      <c r="G2580" s="43">
        <f>IF(INDEX(DarlBindung,6)="",1,IF($E2580&lt;=INDEX(DarlBindung,6),1,0))</f>
      </c>
      <c r="H2580" s="43">
        <f>IF($G2580=1,INDEX(DarlSollzins,6),INDEX(DarlAnschluss,6))</f>
      </c>
      <c r="I2580" s="43">
        <f>IF(INDEX(DarlBelegt,6)=0,0,IF(INDEX(DarlOhneTilgung,6)=1,IF(INDEX(DarlBindung,6)="",1,$G2580),IF($J2580&gt;0.005,1,0)))</f>
      </c>
      <c r="J2580" s="43">
        <f>IF($I2579=0,0,$R2579)</f>
      </c>
      <c r="K2580" s="43">
        <f>IF($I2580=0,0,IF(INDEX(DarlOhneTilgung,6)=1,0,IF(AND(INDEX(DarlTilgStart,6)&gt;0,$E2580=INDEX(DarlTilgStart,6)),$J2580*($H2580+INDEX(DarlTilgung,6))/100/12,IF(AND($G2580=0,$G2579=1),MAX($K2579,$J2580*($H2580+1)/100/12),$K2579))))</f>
      </c>
      <c r="L2580" s="43">
        <f>IF($I2580=0,0,$J2580*$H2580/100/12)</f>
      </c>
      <c r="M2580" s="43">
        <f>IF($I2580=0,0,IF(OR(INDEX(DarlOhneTilgung,6)=1,AND(INDEX(DarlTilgStart,6)&gt;0,$E2580&lt;INDEX(DarlTilgStart,6))),0,MIN(MAX(0,$K2580-$L2580),$J2580)))</f>
      </c>
      <c r="N2580" s="43">
        <f>IF($I2580=0,0,MIN(SUMIFS(SondBetrag,SondDarl,6,SondDatum,"&gt;="&amp;$E2580,SondDatum,"&lt;="&amp;EOMONTH($E2580,0)),$J2580-$M2580))</f>
      </c>
      <c r="O2580" s="43">
        <f>IF($I2580=0,0,INDEX(DarlErsatzRate,6))</f>
      </c>
      <c r="P2580" s="43">
        <f>IF($I2580=0,0,$Q2579*INDEX(DarlErsatzZins,6))</f>
      </c>
      <c r="Q2580" s="43">
        <f>IF($I2580=0,0,$Q2579+$P2580+$O2580)</f>
      </c>
      <c r="R2580" s="43">
        <f>IF($I2580=0,0,$J2580-$M2580-$N2580)</f>
      </c>
    </row>
    <row r="2581">
      <c r="A2581"/>
      <c r="B2581">
        <v>6</v>
      </c>
      <c r="C2581" s="43">
        <f>INDEX(DarlObj,6)</f>
      </c>
      <c r="D2581">
        <v>178</v>
      </c>
      <c r="E2581" s="51">
        <f>IF(INDEX(DarlBelegt,6)=0,0,EOMONTH(INDEX(DarlAuszahlung,6),177)+1)</f>
      </c>
      <c r="F2581" s="43">
        <f>IF($E2581=0,0,YEAR($E2581))</f>
      </c>
      <c r="G2581" s="43">
        <f>IF(INDEX(DarlBindung,6)="",1,IF($E2581&lt;=INDEX(DarlBindung,6),1,0))</f>
      </c>
      <c r="H2581" s="43">
        <f>IF($G2581=1,INDEX(DarlSollzins,6),INDEX(DarlAnschluss,6))</f>
      </c>
      <c r="I2581" s="43">
        <f>IF(INDEX(DarlBelegt,6)=0,0,IF(INDEX(DarlOhneTilgung,6)=1,IF(INDEX(DarlBindung,6)="",1,$G2581),IF($J2581&gt;0.005,1,0)))</f>
      </c>
      <c r="J2581" s="43">
        <f>IF($I2580=0,0,$R2580)</f>
      </c>
      <c r="K2581" s="43">
        <f>IF($I2581=0,0,IF(INDEX(DarlOhneTilgung,6)=1,0,IF(AND(INDEX(DarlTilgStart,6)&gt;0,$E2581=INDEX(DarlTilgStart,6)),$J2581*($H2581+INDEX(DarlTilgung,6))/100/12,IF(AND($G2581=0,$G2580=1),MAX($K2580,$J2581*($H2581+1)/100/12),$K2580))))</f>
      </c>
      <c r="L2581" s="43">
        <f>IF($I2581=0,0,$J2581*$H2581/100/12)</f>
      </c>
      <c r="M2581" s="43">
        <f>IF($I2581=0,0,IF(OR(INDEX(DarlOhneTilgung,6)=1,AND(INDEX(DarlTilgStart,6)&gt;0,$E2581&lt;INDEX(DarlTilgStart,6))),0,MIN(MAX(0,$K2581-$L2581),$J2581)))</f>
      </c>
      <c r="N2581" s="43">
        <f>IF($I2581=0,0,MIN(SUMIFS(SondBetrag,SondDarl,6,SondDatum,"&gt;="&amp;$E2581,SondDatum,"&lt;="&amp;EOMONTH($E2581,0)),$J2581-$M2581))</f>
      </c>
      <c r="O2581" s="43">
        <f>IF($I2581=0,0,INDEX(DarlErsatzRate,6))</f>
      </c>
      <c r="P2581" s="43">
        <f>IF($I2581=0,0,$Q2580*INDEX(DarlErsatzZins,6))</f>
      </c>
      <c r="Q2581" s="43">
        <f>IF($I2581=0,0,$Q2580+$P2581+$O2581)</f>
      </c>
      <c r="R2581" s="43">
        <f>IF($I2581=0,0,$J2581-$M2581-$N2581)</f>
      </c>
    </row>
    <row r="2582">
      <c r="A2582"/>
      <c r="B2582">
        <v>6</v>
      </c>
      <c r="C2582" s="43">
        <f>INDEX(DarlObj,6)</f>
      </c>
      <c r="D2582">
        <v>179</v>
      </c>
      <c r="E2582" s="51">
        <f>IF(INDEX(DarlBelegt,6)=0,0,EOMONTH(INDEX(DarlAuszahlung,6),178)+1)</f>
      </c>
      <c r="F2582" s="43">
        <f>IF($E2582=0,0,YEAR($E2582))</f>
      </c>
      <c r="G2582" s="43">
        <f>IF(INDEX(DarlBindung,6)="",1,IF($E2582&lt;=INDEX(DarlBindung,6),1,0))</f>
      </c>
      <c r="H2582" s="43">
        <f>IF($G2582=1,INDEX(DarlSollzins,6),INDEX(DarlAnschluss,6))</f>
      </c>
      <c r="I2582" s="43">
        <f>IF(INDEX(DarlBelegt,6)=0,0,IF(INDEX(DarlOhneTilgung,6)=1,IF(INDEX(DarlBindung,6)="",1,$G2582),IF($J2582&gt;0.005,1,0)))</f>
      </c>
      <c r="J2582" s="43">
        <f>IF($I2581=0,0,$R2581)</f>
      </c>
      <c r="K2582" s="43">
        <f>IF($I2582=0,0,IF(INDEX(DarlOhneTilgung,6)=1,0,IF(AND(INDEX(DarlTilgStart,6)&gt;0,$E2582=INDEX(DarlTilgStart,6)),$J2582*($H2582+INDEX(DarlTilgung,6))/100/12,IF(AND($G2582=0,$G2581=1),MAX($K2581,$J2582*($H2582+1)/100/12),$K2581))))</f>
      </c>
      <c r="L2582" s="43">
        <f>IF($I2582=0,0,$J2582*$H2582/100/12)</f>
      </c>
      <c r="M2582" s="43">
        <f>IF($I2582=0,0,IF(OR(INDEX(DarlOhneTilgung,6)=1,AND(INDEX(DarlTilgStart,6)&gt;0,$E2582&lt;INDEX(DarlTilgStart,6))),0,MIN(MAX(0,$K2582-$L2582),$J2582)))</f>
      </c>
      <c r="N2582" s="43">
        <f>IF($I2582=0,0,MIN(SUMIFS(SondBetrag,SondDarl,6,SondDatum,"&gt;="&amp;$E2582,SondDatum,"&lt;="&amp;EOMONTH($E2582,0)),$J2582-$M2582))</f>
      </c>
      <c r="O2582" s="43">
        <f>IF($I2582=0,0,INDEX(DarlErsatzRate,6))</f>
      </c>
      <c r="P2582" s="43">
        <f>IF($I2582=0,0,$Q2581*INDEX(DarlErsatzZins,6))</f>
      </c>
      <c r="Q2582" s="43">
        <f>IF($I2582=0,0,$Q2581+$P2582+$O2582)</f>
      </c>
      <c r="R2582" s="43">
        <f>IF($I2582=0,0,$J2582-$M2582-$N2582)</f>
      </c>
    </row>
    <row r="2583">
      <c r="A2583"/>
      <c r="B2583">
        <v>6</v>
      </c>
      <c r="C2583" s="43">
        <f>INDEX(DarlObj,6)</f>
      </c>
      <c r="D2583">
        <v>180</v>
      </c>
      <c r="E2583" s="51">
        <f>IF(INDEX(DarlBelegt,6)=0,0,EOMONTH(INDEX(DarlAuszahlung,6),179)+1)</f>
      </c>
      <c r="F2583" s="43">
        <f>IF($E2583=0,0,YEAR($E2583))</f>
      </c>
      <c r="G2583" s="43">
        <f>IF(INDEX(DarlBindung,6)="",1,IF($E2583&lt;=INDEX(DarlBindung,6),1,0))</f>
      </c>
      <c r="H2583" s="43">
        <f>IF($G2583=1,INDEX(DarlSollzins,6),INDEX(DarlAnschluss,6))</f>
      </c>
      <c r="I2583" s="43">
        <f>IF(INDEX(DarlBelegt,6)=0,0,IF(INDEX(DarlOhneTilgung,6)=1,IF(INDEX(DarlBindung,6)="",1,$G2583),IF($J2583&gt;0.005,1,0)))</f>
      </c>
      <c r="J2583" s="43">
        <f>IF($I2582=0,0,$R2582)</f>
      </c>
      <c r="K2583" s="43">
        <f>IF($I2583=0,0,IF(INDEX(DarlOhneTilgung,6)=1,0,IF(AND(INDEX(DarlTilgStart,6)&gt;0,$E2583=INDEX(DarlTilgStart,6)),$J2583*($H2583+INDEX(DarlTilgung,6))/100/12,IF(AND($G2583=0,$G2582=1),MAX($K2582,$J2583*($H2583+1)/100/12),$K2582))))</f>
      </c>
      <c r="L2583" s="43">
        <f>IF($I2583=0,0,$J2583*$H2583/100/12)</f>
      </c>
      <c r="M2583" s="43">
        <f>IF($I2583=0,0,IF(OR(INDEX(DarlOhneTilgung,6)=1,AND(INDEX(DarlTilgStart,6)&gt;0,$E2583&lt;INDEX(DarlTilgStart,6))),0,MIN(MAX(0,$K2583-$L2583),$J2583)))</f>
      </c>
      <c r="N2583" s="43">
        <f>IF($I2583=0,0,MIN(SUMIFS(SondBetrag,SondDarl,6,SondDatum,"&gt;="&amp;$E2583,SondDatum,"&lt;="&amp;EOMONTH($E2583,0)),$J2583-$M2583))</f>
      </c>
      <c r="O2583" s="43">
        <f>IF($I2583=0,0,INDEX(DarlErsatzRate,6))</f>
      </c>
      <c r="P2583" s="43">
        <f>IF($I2583=0,0,$Q2582*INDEX(DarlErsatzZins,6))</f>
      </c>
      <c r="Q2583" s="43">
        <f>IF($I2583=0,0,$Q2582+$P2583+$O2583)</f>
      </c>
      <c r="R2583" s="43">
        <f>IF($I2583=0,0,$J2583-$M2583-$N2583)</f>
      </c>
    </row>
    <row r="2584">
      <c r="A2584"/>
      <c r="B2584">
        <v>6</v>
      </c>
      <c r="C2584" s="43">
        <f>INDEX(DarlObj,6)</f>
      </c>
      <c r="D2584">
        <v>181</v>
      </c>
      <c r="E2584" s="51">
        <f>IF(INDEX(DarlBelegt,6)=0,0,EOMONTH(INDEX(DarlAuszahlung,6),180)+1)</f>
      </c>
      <c r="F2584" s="43">
        <f>IF($E2584=0,0,YEAR($E2584))</f>
      </c>
      <c r="G2584" s="43">
        <f>IF(INDEX(DarlBindung,6)="",1,IF($E2584&lt;=INDEX(DarlBindung,6),1,0))</f>
      </c>
      <c r="H2584" s="43">
        <f>IF($G2584=1,INDEX(DarlSollzins,6),INDEX(DarlAnschluss,6))</f>
      </c>
      <c r="I2584" s="43">
        <f>IF(INDEX(DarlBelegt,6)=0,0,IF(INDEX(DarlOhneTilgung,6)=1,IF(INDEX(DarlBindung,6)="",1,$G2584),IF($J2584&gt;0.005,1,0)))</f>
      </c>
      <c r="J2584" s="43">
        <f>IF($I2583=0,0,$R2583)</f>
      </c>
      <c r="K2584" s="43">
        <f>IF($I2584=0,0,IF(INDEX(DarlOhneTilgung,6)=1,0,IF(AND(INDEX(DarlTilgStart,6)&gt;0,$E2584=INDEX(DarlTilgStart,6)),$J2584*($H2584+INDEX(DarlTilgung,6))/100/12,IF(AND($G2584=0,$G2583=1),MAX($K2583,$J2584*($H2584+1)/100/12),$K2583))))</f>
      </c>
      <c r="L2584" s="43">
        <f>IF($I2584=0,0,$J2584*$H2584/100/12)</f>
      </c>
      <c r="M2584" s="43">
        <f>IF($I2584=0,0,IF(OR(INDEX(DarlOhneTilgung,6)=1,AND(INDEX(DarlTilgStart,6)&gt;0,$E2584&lt;INDEX(DarlTilgStart,6))),0,MIN(MAX(0,$K2584-$L2584),$J2584)))</f>
      </c>
      <c r="N2584" s="43">
        <f>IF($I2584=0,0,MIN(SUMIFS(SondBetrag,SondDarl,6,SondDatum,"&gt;="&amp;$E2584,SondDatum,"&lt;="&amp;EOMONTH($E2584,0)),$J2584-$M2584))</f>
      </c>
      <c r="O2584" s="43">
        <f>IF($I2584=0,0,INDEX(DarlErsatzRate,6))</f>
      </c>
      <c r="P2584" s="43">
        <f>IF($I2584=0,0,$Q2583*INDEX(DarlErsatzZins,6))</f>
      </c>
      <c r="Q2584" s="43">
        <f>IF($I2584=0,0,$Q2583+$P2584+$O2584)</f>
      </c>
      <c r="R2584" s="43">
        <f>IF($I2584=0,0,$J2584-$M2584-$N2584)</f>
      </c>
    </row>
    <row r="2585">
      <c r="A2585"/>
      <c r="B2585">
        <v>6</v>
      </c>
      <c r="C2585" s="43">
        <f>INDEX(DarlObj,6)</f>
      </c>
      <c r="D2585">
        <v>182</v>
      </c>
      <c r="E2585" s="51">
        <f>IF(INDEX(DarlBelegt,6)=0,0,EOMONTH(INDEX(DarlAuszahlung,6),181)+1)</f>
      </c>
      <c r="F2585" s="43">
        <f>IF($E2585=0,0,YEAR($E2585))</f>
      </c>
      <c r="G2585" s="43">
        <f>IF(INDEX(DarlBindung,6)="",1,IF($E2585&lt;=INDEX(DarlBindung,6),1,0))</f>
      </c>
      <c r="H2585" s="43">
        <f>IF($G2585=1,INDEX(DarlSollzins,6),INDEX(DarlAnschluss,6))</f>
      </c>
      <c r="I2585" s="43">
        <f>IF(INDEX(DarlBelegt,6)=0,0,IF(INDEX(DarlOhneTilgung,6)=1,IF(INDEX(DarlBindung,6)="",1,$G2585),IF($J2585&gt;0.005,1,0)))</f>
      </c>
      <c r="J2585" s="43">
        <f>IF($I2584=0,0,$R2584)</f>
      </c>
      <c r="K2585" s="43">
        <f>IF($I2585=0,0,IF(INDEX(DarlOhneTilgung,6)=1,0,IF(AND(INDEX(DarlTilgStart,6)&gt;0,$E2585=INDEX(DarlTilgStart,6)),$J2585*($H2585+INDEX(DarlTilgung,6))/100/12,IF(AND($G2585=0,$G2584=1),MAX($K2584,$J2585*($H2585+1)/100/12),$K2584))))</f>
      </c>
      <c r="L2585" s="43">
        <f>IF($I2585=0,0,$J2585*$H2585/100/12)</f>
      </c>
      <c r="M2585" s="43">
        <f>IF($I2585=0,0,IF(OR(INDEX(DarlOhneTilgung,6)=1,AND(INDEX(DarlTilgStart,6)&gt;0,$E2585&lt;INDEX(DarlTilgStart,6))),0,MIN(MAX(0,$K2585-$L2585),$J2585)))</f>
      </c>
      <c r="N2585" s="43">
        <f>IF($I2585=0,0,MIN(SUMIFS(SondBetrag,SondDarl,6,SondDatum,"&gt;="&amp;$E2585,SondDatum,"&lt;="&amp;EOMONTH($E2585,0)),$J2585-$M2585))</f>
      </c>
      <c r="O2585" s="43">
        <f>IF($I2585=0,0,INDEX(DarlErsatzRate,6))</f>
      </c>
      <c r="P2585" s="43">
        <f>IF($I2585=0,0,$Q2584*INDEX(DarlErsatzZins,6))</f>
      </c>
      <c r="Q2585" s="43">
        <f>IF($I2585=0,0,$Q2584+$P2585+$O2585)</f>
      </c>
      <c r="R2585" s="43">
        <f>IF($I2585=0,0,$J2585-$M2585-$N2585)</f>
      </c>
    </row>
    <row r="2586">
      <c r="A2586"/>
      <c r="B2586">
        <v>6</v>
      </c>
      <c r="C2586" s="43">
        <f>INDEX(DarlObj,6)</f>
      </c>
      <c r="D2586">
        <v>183</v>
      </c>
      <c r="E2586" s="51">
        <f>IF(INDEX(DarlBelegt,6)=0,0,EOMONTH(INDEX(DarlAuszahlung,6),182)+1)</f>
      </c>
      <c r="F2586" s="43">
        <f>IF($E2586=0,0,YEAR($E2586))</f>
      </c>
      <c r="G2586" s="43">
        <f>IF(INDEX(DarlBindung,6)="",1,IF($E2586&lt;=INDEX(DarlBindung,6),1,0))</f>
      </c>
      <c r="H2586" s="43">
        <f>IF($G2586=1,INDEX(DarlSollzins,6),INDEX(DarlAnschluss,6))</f>
      </c>
      <c r="I2586" s="43">
        <f>IF(INDEX(DarlBelegt,6)=0,0,IF(INDEX(DarlOhneTilgung,6)=1,IF(INDEX(DarlBindung,6)="",1,$G2586),IF($J2586&gt;0.005,1,0)))</f>
      </c>
      <c r="J2586" s="43">
        <f>IF($I2585=0,0,$R2585)</f>
      </c>
      <c r="K2586" s="43">
        <f>IF($I2586=0,0,IF(INDEX(DarlOhneTilgung,6)=1,0,IF(AND(INDEX(DarlTilgStart,6)&gt;0,$E2586=INDEX(DarlTilgStart,6)),$J2586*($H2586+INDEX(DarlTilgung,6))/100/12,IF(AND($G2586=0,$G2585=1),MAX($K2585,$J2586*($H2586+1)/100/12),$K2585))))</f>
      </c>
      <c r="L2586" s="43">
        <f>IF($I2586=0,0,$J2586*$H2586/100/12)</f>
      </c>
      <c r="M2586" s="43">
        <f>IF($I2586=0,0,IF(OR(INDEX(DarlOhneTilgung,6)=1,AND(INDEX(DarlTilgStart,6)&gt;0,$E2586&lt;INDEX(DarlTilgStart,6))),0,MIN(MAX(0,$K2586-$L2586),$J2586)))</f>
      </c>
      <c r="N2586" s="43">
        <f>IF($I2586=0,0,MIN(SUMIFS(SondBetrag,SondDarl,6,SondDatum,"&gt;="&amp;$E2586,SondDatum,"&lt;="&amp;EOMONTH($E2586,0)),$J2586-$M2586))</f>
      </c>
      <c r="O2586" s="43">
        <f>IF($I2586=0,0,INDEX(DarlErsatzRate,6))</f>
      </c>
      <c r="P2586" s="43">
        <f>IF($I2586=0,0,$Q2585*INDEX(DarlErsatzZins,6))</f>
      </c>
      <c r="Q2586" s="43">
        <f>IF($I2586=0,0,$Q2585+$P2586+$O2586)</f>
      </c>
      <c r="R2586" s="43">
        <f>IF($I2586=0,0,$J2586-$M2586-$N2586)</f>
      </c>
    </row>
    <row r="2587">
      <c r="A2587"/>
      <c r="B2587">
        <v>6</v>
      </c>
      <c r="C2587" s="43">
        <f>INDEX(DarlObj,6)</f>
      </c>
      <c r="D2587">
        <v>184</v>
      </c>
      <c r="E2587" s="51">
        <f>IF(INDEX(DarlBelegt,6)=0,0,EOMONTH(INDEX(DarlAuszahlung,6),183)+1)</f>
      </c>
      <c r="F2587" s="43">
        <f>IF($E2587=0,0,YEAR($E2587))</f>
      </c>
      <c r="G2587" s="43">
        <f>IF(INDEX(DarlBindung,6)="",1,IF($E2587&lt;=INDEX(DarlBindung,6),1,0))</f>
      </c>
      <c r="H2587" s="43">
        <f>IF($G2587=1,INDEX(DarlSollzins,6),INDEX(DarlAnschluss,6))</f>
      </c>
      <c r="I2587" s="43">
        <f>IF(INDEX(DarlBelegt,6)=0,0,IF(INDEX(DarlOhneTilgung,6)=1,IF(INDEX(DarlBindung,6)="",1,$G2587),IF($J2587&gt;0.005,1,0)))</f>
      </c>
      <c r="J2587" s="43">
        <f>IF($I2586=0,0,$R2586)</f>
      </c>
      <c r="K2587" s="43">
        <f>IF($I2587=0,0,IF(INDEX(DarlOhneTilgung,6)=1,0,IF(AND(INDEX(DarlTilgStart,6)&gt;0,$E2587=INDEX(DarlTilgStart,6)),$J2587*($H2587+INDEX(DarlTilgung,6))/100/12,IF(AND($G2587=0,$G2586=1),MAX($K2586,$J2587*($H2587+1)/100/12),$K2586))))</f>
      </c>
      <c r="L2587" s="43">
        <f>IF($I2587=0,0,$J2587*$H2587/100/12)</f>
      </c>
      <c r="M2587" s="43">
        <f>IF($I2587=0,0,IF(OR(INDEX(DarlOhneTilgung,6)=1,AND(INDEX(DarlTilgStart,6)&gt;0,$E2587&lt;INDEX(DarlTilgStart,6))),0,MIN(MAX(0,$K2587-$L2587),$J2587)))</f>
      </c>
      <c r="N2587" s="43">
        <f>IF($I2587=0,0,MIN(SUMIFS(SondBetrag,SondDarl,6,SondDatum,"&gt;="&amp;$E2587,SondDatum,"&lt;="&amp;EOMONTH($E2587,0)),$J2587-$M2587))</f>
      </c>
      <c r="O2587" s="43">
        <f>IF($I2587=0,0,INDEX(DarlErsatzRate,6))</f>
      </c>
      <c r="P2587" s="43">
        <f>IF($I2587=0,0,$Q2586*INDEX(DarlErsatzZins,6))</f>
      </c>
      <c r="Q2587" s="43">
        <f>IF($I2587=0,0,$Q2586+$P2587+$O2587)</f>
      </c>
      <c r="R2587" s="43">
        <f>IF($I2587=0,0,$J2587-$M2587-$N2587)</f>
      </c>
    </row>
    <row r="2588">
      <c r="A2588"/>
      <c r="B2588">
        <v>6</v>
      </c>
      <c r="C2588" s="43">
        <f>INDEX(DarlObj,6)</f>
      </c>
      <c r="D2588">
        <v>185</v>
      </c>
      <c r="E2588" s="51">
        <f>IF(INDEX(DarlBelegt,6)=0,0,EOMONTH(INDEX(DarlAuszahlung,6),184)+1)</f>
      </c>
      <c r="F2588" s="43">
        <f>IF($E2588=0,0,YEAR($E2588))</f>
      </c>
      <c r="G2588" s="43">
        <f>IF(INDEX(DarlBindung,6)="",1,IF($E2588&lt;=INDEX(DarlBindung,6),1,0))</f>
      </c>
      <c r="H2588" s="43">
        <f>IF($G2588=1,INDEX(DarlSollzins,6),INDEX(DarlAnschluss,6))</f>
      </c>
      <c r="I2588" s="43">
        <f>IF(INDEX(DarlBelegt,6)=0,0,IF(INDEX(DarlOhneTilgung,6)=1,IF(INDEX(DarlBindung,6)="",1,$G2588),IF($J2588&gt;0.005,1,0)))</f>
      </c>
      <c r="J2588" s="43">
        <f>IF($I2587=0,0,$R2587)</f>
      </c>
      <c r="K2588" s="43">
        <f>IF($I2588=0,0,IF(INDEX(DarlOhneTilgung,6)=1,0,IF(AND(INDEX(DarlTilgStart,6)&gt;0,$E2588=INDEX(DarlTilgStart,6)),$J2588*($H2588+INDEX(DarlTilgung,6))/100/12,IF(AND($G2588=0,$G2587=1),MAX($K2587,$J2588*($H2588+1)/100/12),$K2587))))</f>
      </c>
      <c r="L2588" s="43">
        <f>IF($I2588=0,0,$J2588*$H2588/100/12)</f>
      </c>
      <c r="M2588" s="43">
        <f>IF($I2588=0,0,IF(OR(INDEX(DarlOhneTilgung,6)=1,AND(INDEX(DarlTilgStart,6)&gt;0,$E2588&lt;INDEX(DarlTilgStart,6))),0,MIN(MAX(0,$K2588-$L2588),$J2588)))</f>
      </c>
      <c r="N2588" s="43">
        <f>IF($I2588=0,0,MIN(SUMIFS(SondBetrag,SondDarl,6,SondDatum,"&gt;="&amp;$E2588,SondDatum,"&lt;="&amp;EOMONTH($E2588,0)),$J2588-$M2588))</f>
      </c>
      <c r="O2588" s="43">
        <f>IF($I2588=0,0,INDEX(DarlErsatzRate,6))</f>
      </c>
      <c r="P2588" s="43">
        <f>IF($I2588=0,0,$Q2587*INDEX(DarlErsatzZins,6))</f>
      </c>
      <c r="Q2588" s="43">
        <f>IF($I2588=0,0,$Q2587+$P2588+$O2588)</f>
      </c>
      <c r="R2588" s="43">
        <f>IF($I2588=0,0,$J2588-$M2588-$N2588)</f>
      </c>
    </row>
    <row r="2589">
      <c r="A2589"/>
      <c r="B2589">
        <v>6</v>
      </c>
      <c r="C2589" s="43">
        <f>INDEX(DarlObj,6)</f>
      </c>
      <c r="D2589">
        <v>186</v>
      </c>
      <c r="E2589" s="51">
        <f>IF(INDEX(DarlBelegt,6)=0,0,EOMONTH(INDEX(DarlAuszahlung,6),185)+1)</f>
      </c>
      <c r="F2589" s="43">
        <f>IF($E2589=0,0,YEAR($E2589))</f>
      </c>
      <c r="G2589" s="43">
        <f>IF(INDEX(DarlBindung,6)="",1,IF($E2589&lt;=INDEX(DarlBindung,6),1,0))</f>
      </c>
      <c r="H2589" s="43">
        <f>IF($G2589=1,INDEX(DarlSollzins,6),INDEX(DarlAnschluss,6))</f>
      </c>
      <c r="I2589" s="43">
        <f>IF(INDEX(DarlBelegt,6)=0,0,IF(INDEX(DarlOhneTilgung,6)=1,IF(INDEX(DarlBindung,6)="",1,$G2589),IF($J2589&gt;0.005,1,0)))</f>
      </c>
      <c r="J2589" s="43">
        <f>IF($I2588=0,0,$R2588)</f>
      </c>
      <c r="K2589" s="43">
        <f>IF($I2589=0,0,IF(INDEX(DarlOhneTilgung,6)=1,0,IF(AND(INDEX(DarlTilgStart,6)&gt;0,$E2589=INDEX(DarlTilgStart,6)),$J2589*($H2589+INDEX(DarlTilgung,6))/100/12,IF(AND($G2589=0,$G2588=1),MAX($K2588,$J2589*($H2589+1)/100/12),$K2588))))</f>
      </c>
      <c r="L2589" s="43">
        <f>IF($I2589=0,0,$J2589*$H2589/100/12)</f>
      </c>
      <c r="M2589" s="43">
        <f>IF($I2589=0,0,IF(OR(INDEX(DarlOhneTilgung,6)=1,AND(INDEX(DarlTilgStart,6)&gt;0,$E2589&lt;INDEX(DarlTilgStart,6))),0,MIN(MAX(0,$K2589-$L2589),$J2589)))</f>
      </c>
      <c r="N2589" s="43">
        <f>IF($I2589=0,0,MIN(SUMIFS(SondBetrag,SondDarl,6,SondDatum,"&gt;="&amp;$E2589,SondDatum,"&lt;="&amp;EOMONTH($E2589,0)),$J2589-$M2589))</f>
      </c>
      <c r="O2589" s="43">
        <f>IF($I2589=0,0,INDEX(DarlErsatzRate,6))</f>
      </c>
      <c r="P2589" s="43">
        <f>IF($I2589=0,0,$Q2588*INDEX(DarlErsatzZins,6))</f>
      </c>
      <c r="Q2589" s="43">
        <f>IF($I2589=0,0,$Q2588+$P2589+$O2589)</f>
      </c>
      <c r="R2589" s="43">
        <f>IF($I2589=0,0,$J2589-$M2589-$N2589)</f>
      </c>
    </row>
    <row r="2590">
      <c r="A2590"/>
      <c r="B2590">
        <v>6</v>
      </c>
      <c r="C2590" s="43">
        <f>INDEX(DarlObj,6)</f>
      </c>
      <c r="D2590">
        <v>187</v>
      </c>
      <c r="E2590" s="51">
        <f>IF(INDEX(DarlBelegt,6)=0,0,EOMONTH(INDEX(DarlAuszahlung,6),186)+1)</f>
      </c>
      <c r="F2590" s="43">
        <f>IF($E2590=0,0,YEAR($E2590))</f>
      </c>
      <c r="G2590" s="43">
        <f>IF(INDEX(DarlBindung,6)="",1,IF($E2590&lt;=INDEX(DarlBindung,6),1,0))</f>
      </c>
      <c r="H2590" s="43">
        <f>IF($G2590=1,INDEX(DarlSollzins,6),INDEX(DarlAnschluss,6))</f>
      </c>
      <c r="I2590" s="43">
        <f>IF(INDEX(DarlBelegt,6)=0,0,IF(INDEX(DarlOhneTilgung,6)=1,IF(INDEX(DarlBindung,6)="",1,$G2590),IF($J2590&gt;0.005,1,0)))</f>
      </c>
      <c r="J2590" s="43">
        <f>IF($I2589=0,0,$R2589)</f>
      </c>
      <c r="K2590" s="43">
        <f>IF($I2590=0,0,IF(INDEX(DarlOhneTilgung,6)=1,0,IF(AND(INDEX(DarlTilgStart,6)&gt;0,$E2590=INDEX(DarlTilgStart,6)),$J2590*($H2590+INDEX(DarlTilgung,6))/100/12,IF(AND($G2590=0,$G2589=1),MAX($K2589,$J2590*($H2590+1)/100/12),$K2589))))</f>
      </c>
      <c r="L2590" s="43">
        <f>IF($I2590=0,0,$J2590*$H2590/100/12)</f>
      </c>
      <c r="M2590" s="43">
        <f>IF($I2590=0,0,IF(OR(INDEX(DarlOhneTilgung,6)=1,AND(INDEX(DarlTilgStart,6)&gt;0,$E2590&lt;INDEX(DarlTilgStart,6))),0,MIN(MAX(0,$K2590-$L2590),$J2590)))</f>
      </c>
      <c r="N2590" s="43">
        <f>IF($I2590=0,0,MIN(SUMIFS(SondBetrag,SondDarl,6,SondDatum,"&gt;="&amp;$E2590,SondDatum,"&lt;="&amp;EOMONTH($E2590,0)),$J2590-$M2590))</f>
      </c>
      <c r="O2590" s="43">
        <f>IF($I2590=0,0,INDEX(DarlErsatzRate,6))</f>
      </c>
      <c r="P2590" s="43">
        <f>IF($I2590=0,0,$Q2589*INDEX(DarlErsatzZins,6))</f>
      </c>
      <c r="Q2590" s="43">
        <f>IF($I2590=0,0,$Q2589+$P2590+$O2590)</f>
      </c>
      <c r="R2590" s="43">
        <f>IF($I2590=0,0,$J2590-$M2590-$N2590)</f>
      </c>
    </row>
    <row r="2591">
      <c r="A2591"/>
      <c r="B2591">
        <v>6</v>
      </c>
      <c r="C2591" s="43">
        <f>INDEX(DarlObj,6)</f>
      </c>
      <c r="D2591">
        <v>188</v>
      </c>
      <c r="E2591" s="51">
        <f>IF(INDEX(DarlBelegt,6)=0,0,EOMONTH(INDEX(DarlAuszahlung,6),187)+1)</f>
      </c>
      <c r="F2591" s="43">
        <f>IF($E2591=0,0,YEAR($E2591))</f>
      </c>
      <c r="G2591" s="43">
        <f>IF(INDEX(DarlBindung,6)="",1,IF($E2591&lt;=INDEX(DarlBindung,6),1,0))</f>
      </c>
      <c r="H2591" s="43">
        <f>IF($G2591=1,INDEX(DarlSollzins,6),INDEX(DarlAnschluss,6))</f>
      </c>
      <c r="I2591" s="43">
        <f>IF(INDEX(DarlBelegt,6)=0,0,IF(INDEX(DarlOhneTilgung,6)=1,IF(INDEX(DarlBindung,6)="",1,$G2591),IF($J2591&gt;0.005,1,0)))</f>
      </c>
      <c r="J2591" s="43">
        <f>IF($I2590=0,0,$R2590)</f>
      </c>
      <c r="K2591" s="43">
        <f>IF($I2591=0,0,IF(INDEX(DarlOhneTilgung,6)=1,0,IF(AND(INDEX(DarlTilgStart,6)&gt;0,$E2591=INDEX(DarlTilgStart,6)),$J2591*($H2591+INDEX(DarlTilgung,6))/100/12,IF(AND($G2591=0,$G2590=1),MAX($K2590,$J2591*($H2591+1)/100/12),$K2590))))</f>
      </c>
      <c r="L2591" s="43">
        <f>IF($I2591=0,0,$J2591*$H2591/100/12)</f>
      </c>
      <c r="M2591" s="43">
        <f>IF($I2591=0,0,IF(OR(INDEX(DarlOhneTilgung,6)=1,AND(INDEX(DarlTilgStart,6)&gt;0,$E2591&lt;INDEX(DarlTilgStart,6))),0,MIN(MAX(0,$K2591-$L2591),$J2591)))</f>
      </c>
      <c r="N2591" s="43">
        <f>IF($I2591=0,0,MIN(SUMIFS(SondBetrag,SondDarl,6,SondDatum,"&gt;="&amp;$E2591,SondDatum,"&lt;="&amp;EOMONTH($E2591,0)),$J2591-$M2591))</f>
      </c>
      <c r="O2591" s="43">
        <f>IF($I2591=0,0,INDEX(DarlErsatzRate,6))</f>
      </c>
      <c r="P2591" s="43">
        <f>IF($I2591=0,0,$Q2590*INDEX(DarlErsatzZins,6))</f>
      </c>
      <c r="Q2591" s="43">
        <f>IF($I2591=0,0,$Q2590+$P2591+$O2591)</f>
      </c>
      <c r="R2591" s="43">
        <f>IF($I2591=0,0,$J2591-$M2591-$N2591)</f>
      </c>
    </row>
    <row r="2592">
      <c r="A2592"/>
      <c r="B2592">
        <v>6</v>
      </c>
      <c r="C2592" s="43">
        <f>INDEX(DarlObj,6)</f>
      </c>
      <c r="D2592">
        <v>189</v>
      </c>
      <c r="E2592" s="51">
        <f>IF(INDEX(DarlBelegt,6)=0,0,EOMONTH(INDEX(DarlAuszahlung,6),188)+1)</f>
      </c>
      <c r="F2592" s="43">
        <f>IF($E2592=0,0,YEAR($E2592))</f>
      </c>
      <c r="G2592" s="43">
        <f>IF(INDEX(DarlBindung,6)="",1,IF($E2592&lt;=INDEX(DarlBindung,6),1,0))</f>
      </c>
      <c r="H2592" s="43">
        <f>IF($G2592=1,INDEX(DarlSollzins,6),INDEX(DarlAnschluss,6))</f>
      </c>
      <c r="I2592" s="43">
        <f>IF(INDEX(DarlBelegt,6)=0,0,IF(INDEX(DarlOhneTilgung,6)=1,IF(INDEX(DarlBindung,6)="",1,$G2592),IF($J2592&gt;0.005,1,0)))</f>
      </c>
      <c r="J2592" s="43">
        <f>IF($I2591=0,0,$R2591)</f>
      </c>
      <c r="K2592" s="43">
        <f>IF($I2592=0,0,IF(INDEX(DarlOhneTilgung,6)=1,0,IF(AND(INDEX(DarlTilgStart,6)&gt;0,$E2592=INDEX(DarlTilgStart,6)),$J2592*($H2592+INDEX(DarlTilgung,6))/100/12,IF(AND($G2592=0,$G2591=1),MAX($K2591,$J2592*($H2592+1)/100/12),$K2591))))</f>
      </c>
      <c r="L2592" s="43">
        <f>IF($I2592=0,0,$J2592*$H2592/100/12)</f>
      </c>
      <c r="M2592" s="43">
        <f>IF($I2592=0,0,IF(OR(INDEX(DarlOhneTilgung,6)=1,AND(INDEX(DarlTilgStart,6)&gt;0,$E2592&lt;INDEX(DarlTilgStart,6))),0,MIN(MAX(0,$K2592-$L2592),$J2592)))</f>
      </c>
      <c r="N2592" s="43">
        <f>IF($I2592=0,0,MIN(SUMIFS(SondBetrag,SondDarl,6,SondDatum,"&gt;="&amp;$E2592,SondDatum,"&lt;="&amp;EOMONTH($E2592,0)),$J2592-$M2592))</f>
      </c>
      <c r="O2592" s="43">
        <f>IF($I2592=0,0,INDEX(DarlErsatzRate,6))</f>
      </c>
      <c r="P2592" s="43">
        <f>IF($I2592=0,0,$Q2591*INDEX(DarlErsatzZins,6))</f>
      </c>
      <c r="Q2592" s="43">
        <f>IF($I2592=0,0,$Q2591+$P2592+$O2592)</f>
      </c>
      <c r="R2592" s="43">
        <f>IF($I2592=0,0,$J2592-$M2592-$N2592)</f>
      </c>
    </row>
    <row r="2593">
      <c r="A2593"/>
      <c r="B2593">
        <v>6</v>
      </c>
      <c r="C2593" s="43">
        <f>INDEX(DarlObj,6)</f>
      </c>
      <c r="D2593">
        <v>190</v>
      </c>
      <c r="E2593" s="51">
        <f>IF(INDEX(DarlBelegt,6)=0,0,EOMONTH(INDEX(DarlAuszahlung,6),189)+1)</f>
      </c>
      <c r="F2593" s="43">
        <f>IF($E2593=0,0,YEAR($E2593))</f>
      </c>
      <c r="G2593" s="43">
        <f>IF(INDEX(DarlBindung,6)="",1,IF($E2593&lt;=INDEX(DarlBindung,6),1,0))</f>
      </c>
      <c r="H2593" s="43">
        <f>IF($G2593=1,INDEX(DarlSollzins,6),INDEX(DarlAnschluss,6))</f>
      </c>
      <c r="I2593" s="43">
        <f>IF(INDEX(DarlBelegt,6)=0,0,IF(INDEX(DarlOhneTilgung,6)=1,IF(INDEX(DarlBindung,6)="",1,$G2593),IF($J2593&gt;0.005,1,0)))</f>
      </c>
      <c r="J2593" s="43">
        <f>IF($I2592=0,0,$R2592)</f>
      </c>
      <c r="K2593" s="43">
        <f>IF($I2593=0,0,IF(INDEX(DarlOhneTilgung,6)=1,0,IF(AND(INDEX(DarlTilgStart,6)&gt;0,$E2593=INDEX(DarlTilgStart,6)),$J2593*($H2593+INDEX(DarlTilgung,6))/100/12,IF(AND($G2593=0,$G2592=1),MAX($K2592,$J2593*($H2593+1)/100/12),$K2592))))</f>
      </c>
      <c r="L2593" s="43">
        <f>IF($I2593=0,0,$J2593*$H2593/100/12)</f>
      </c>
      <c r="M2593" s="43">
        <f>IF($I2593=0,0,IF(OR(INDEX(DarlOhneTilgung,6)=1,AND(INDEX(DarlTilgStart,6)&gt;0,$E2593&lt;INDEX(DarlTilgStart,6))),0,MIN(MAX(0,$K2593-$L2593),$J2593)))</f>
      </c>
      <c r="N2593" s="43">
        <f>IF($I2593=0,0,MIN(SUMIFS(SondBetrag,SondDarl,6,SondDatum,"&gt;="&amp;$E2593,SondDatum,"&lt;="&amp;EOMONTH($E2593,0)),$J2593-$M2593))</f>
      </c>
      <c r="O2593" s="43">
        <f>IF($I2593=0,0,INDEX(DarlErsatzRate,6))</f>
      </c>
      <c r="P2593" s="43">
        <f>IF($I2593=0,0,$Q2592*INDEX(DarlErsatzZins,6))</f>
      </c>
      <c r="Q2593" s="43">
        <f>IF($I2593=0,0,$Q2592+$P2593+$O2593)</f>
      </c>
      <c r="R2593" s="43">
        <f>IF($I2593=0,0,$J2593-$M2593-$N2593)</f>
      </c>
    </row>
    <row r="2594">
      <c r="A2594"/>
      <c r="B2594">
        <v>6</v>
      </c>
      <c r="C2594" s="43">
        <f>INDEX(DarlObj,6)</f>
      </c>
      <c r="D2594">
        <v>191</v>
      </c>
      <c r="E2594" s="51">
        <f>IF(INDEX(DarlBelegt,6)=0,0,EOMONTH(INDEX(DarlAuszahlung,6),190)+1)</f>
      </c>
      <c r="F2594" s="43">
        <f>IF($E2594=0,0,YEAR($E2594))</f>
      </c>
      <c r="G2594" s="43">
        <f>IF(INDEX(DarlBindung,6)="",1,IF($E2594&lt;=INDEX(DarlBindung,6),1,0))</f>
      </c>
      <c r="H2594" s="43">
        <f>IF($G2594=1,INDEX(DarlSollzins,6),INDEX(DarlAnschluss,6))</f>
      </c>
      <c r="I2594" s="43">
        <f>IF(INDEX(DarlBelegt,6)=0,0,IF(INDEX(DarlOhneTilgung,6)=1,IF(INDEX(DarlBindung,6)="",1,$G2594),IF($J2594&gt;0.005,1,0)))</f>
      </c>
      <c r="J2594" s="43">
        <f>IF($I2593=0,0,$R2593)</f>
      </c>
      <c r="K2594" s="43">
        <f>IF($I2594=0,0,IF(INDEX(DarlOhneTilgung,6)=1,0,IF(AND(INDEX(DarlTilgStart,6)&gt;0,$E2594=INDEX(DarlTilgStart,6)),$J2594*($H2594+INDEX(DarlTilgung,6))/100/12,IF(AND($G2594=0,$G2593=1),MAX($K2593,$J2594*($H2594+1)/100/12),$K2593))))</f>
      </c>
      <c r="L2594" s="43">
        <f>IF($I2594=0,0,$J2594*$H2594/100/12)</f>
      </c>
      <c r="M2594" s="43">
        <f>IF($I2594=0,0,IF(OR(INDEX(DarlOhneTilgung,6)=1,AND(INDEX(DarlTilgStart,6)&gt;0,$E2594&lt;INDEX(DarlTilgStart,6))),0,MIN(MAX(0,$K2594-$L2594),$J2594)))</f>
      </c>
      <c r="N2594" s="43">
        <f>IF($I2594=0,0,MIN(SUMIFS(SondBetrag,SondDarl,6,SondDatum,"&gt;="&amp;$E2594,SondDatum,"&lt;="&amp;EOMONTH($E2594,0)),$J2594-$M2594))</f>
      </c>
      <c r="O2594" s="43">
        <f>IF($I2594=0,0,INDEX(DarlErsatzRate,6))</f>
      </c>
      <c r="P2594" s="43">
        <f>IF($I2594=0,0,$Q2593*INDEX(DarlErsatzZins,6))</f>
      </c>
      <c r="Q2594" s="43">
        <f>IF($I2594=0,0,$Q2593+$P2594+$O2594)</f>
      </c>
      <c r="R2594" s="43">
        <f>IF($I2594=0,0,$J2594-$M2594-$N2594)</f>
      </c>
    </row>
    <row r="2595">
      <c r="A2595"/>
      <c r="B2595">
        <v>6</v>
      </c>
      <c r="C2595" s="43">
        <f>INDEX(DarlObj,6)</f>
      </c>
      <c r="D2595">
        <v>192</v>
      </c>
      <c r="E2595" s="51">
        <f>IF(INDEX(DarlBelegt,6)=0,0,EOMONTH(INDEX(DarlAuszahlung,6),191)+1)</f>
      </c>
      <c r="F2595" s="43">
        <f>IF($E2595=0,0,YEAR($E2595))</f>
      </c>
      <c r="G2595" s="43">
        <f>IF(INDEX(DarlBindung,6)="",1,IF($E2595&lt;=INDEX(DarlBindung,6),1,0))</f>
      </c>
      <c r="H2595" s="43">
        <f>IF($G2595=1,INDEX(DarlSollzins,6),INDEX(DarlAnschluss,6))</f>
      </c>
      <c r="I2595" s="43">
        <f>IF(INDEX(DarlBelegt,6)=0,0,IF(INDEX(DarlOhneTilgung,6)=1,IF(INDEX(DarlBindung,6)="",1,$G2595),IF($J2595&gt;0.005,1,0)))</f>
      </c>
      <c r="J2595" s="43">
        <f>IF($I2594=0,0,$R2594)</f>
      </c>
      <c r="K2595" s="43">
        <f>IF($I2595=0,0,IF(INDEX(DarlOhneTilgung,6)=1,0,IF(AND(INDEX(DarlTilgStart,6)&gt;0,$E2595=INDEX(DarlTilgStart,6)),$J2595*($H2595+INDEX(DarlTilgung,6))/100/12,IF(AND($G2595=0,$G2594=1),MAX($K2594,$J2595*($H2595+1)/100/12),$K2594))))</f>
      </c>
      <c r="L2595" s="43">
        <f>IF($I2595=0,0,$J2595*$H2595/100/12)</f>
      </c>
      <c r="M2595" s="43">
        <f>IF($I2595=0,0,IF(OR(INDEX(DarlOhneTilgung,6)=1,AND(INDEX(DarlTilgStart,6)&gt;0,$E2595&lt;INDEX(DarlTilgStart,6))),0,MIN(MAX(0,$K2595-$L2595),$J2595)))</f>
      </c>
      <c r="N2595" s="43">
        <f>IF($I2595=0,0,MIN(SUMIFS(SondBetrag,SondDarl,6,SondDatum,"&gt;="&amp;$E2595,SondDatum,"&lt;="&amp;EOMONTH($E2595,0)),$J2595-$M2595))</f>
      </c>
      <c r="O2595" s="43">
        <f>IF($I2595=0,0,INDEX(DarlErsatzRate,6))</f>
      </c>
      <c r="P2595" s="43">
        <f>IF($I2595=0,0,$Q2594*INDEX(DarlErsatzZins,6))</f>
      </c>
      <c r="Q2595" s="43">
        <f>IF($I2595=0,0,$Q2594+$P2595+$O2595)</f>
      </c>
      <c r="R2595" s="43">
        <f>IF($I2595=0,0,$J2595-$M2595-$N2595)</f>
      </c>
    </row>
    <row r="2596">
      <c r="A2596"/>
      <c r="B2596">
        <v>6</v>
      </c>
      <c r="C2596" s="43">
        <f>INDEX(DarlObj,6)</f>
      </c>
      <c r="D2596">
        <v>193</v>
      </c>
      <c r="E2596" s="51">
        <f>IF(INDEX(DarlBelegt,6)=0,0,EOMONTH(INDEX(DarlAuszahlung,6),192)+1)</f>
      </c>
      <c r="F2596" s="43">
        <f>IF($E2596=0,0,YEAR($E2596))</f>
      </c>
      <c r="G2596" s="43">
        <f>IF(INDEX(DarlBindung,6)="",1,IF($E2596&lt;=INDEX(DarlBindung,6),1,0))</f>
      </c>
      <c r="H2596" s="43">
        <f>IF($G2596=1,INDEX(DarlSollzins,6),INDEX(DarlAnschluss,6))</f>
      </c>
      <c r="I2596" s="43">
        <f>IF(INDEX(DarlBelegt,6)=0,0,IF(INDEX(DarlOhneTilgung,6)=1,IF(INDEX(DarlBindung,6)="",1,$G2596),IF($J2596&gt;0.005,1,0)))</f>
      </c>
      <c r="J2596" s="43">
        <f>IF($I2595=0,0,$R2595)</f>
      </c>
      <c r="K2596" s="43">
        <f>IF($I2596=0,0,IF(INDEX(DarlOhneTilgung,6)=1,0,IF(AND(INDEX(DarlTilgStart,6)&gt;0,$E2596=INDEX(DarlTilgStart,6)),$J2596*($H2596+INDEX(DarlTilgung,6))/100/12,IF(AND($G2596=0,$G2595=1),MAX($K2595,$J2596*($H2596+1)/100/12),$K2595))))</f>
      </c>
      <c r="L2596" s="43">
        <f>IF($I2596=0,0,$J2596*$H2596/100/12)</f>
      </c>
      <c r="M2596" s="43">
        <f>IF($I2596=0,0,IF(OR(INDEX(DarlOhneTilgung,6)=1,AND(INDEX(DarlTilgStart,6)&gt;0,$E2596&lt;INDEX(DarlTilgStart,6))),0,MIN(MAX(0,$K2596-$L2596),$J2596)))</f>
      </c>
      <c r="N2596" s="43">
        <f>IF($I2596=0,0,MIN(SUMIFS(SondBetrag,SondDarl,6,SondDatum,"&gt;="&amp;$E2596,SondDatum,"&lt;="&amp;EOMONTH($E2596,0)),$J2596-$M2596))</f>
      </c>
      <c r="O2596" s="43">
        <f>IF($I2596=0,0,INDEX(DarlErsatzRate,6))</f>
      </c>
      <c r="P2596" s="43">
        <f>IF($I2596=0,0,$Q2595*INDEX(DarlErsatzZins,6))</f>
      </c>
      <c r="Q2596" s="43">
        <f>IF($I2596=0,0,$Q2595+$P2596+$O2596)</f>
      </c>
      <c r="R2596" s="43">
        <f>IF($I2596=0,0,$J2596-$M2596-$N2596)</f>
      </c>
    </row>
    <row r="2597">
      <c r="A2597"/>
      <c r="B2597">
        <v>6</v>
      </c>
      <c r="C2597" s="43">
        <f>INDEX(DarlObj,6)</f>
      </c>
      <c r="D2597">
        <v>194</v>
      </c>
      <c r="E2597" s="51">
        <f>IF(INDEX(DarlBelegt,6)=0,0,EOMONTH(INDEX(DarlAuszahlung,6),193)+1)</f>
      </c>
      <c r="F2597" s="43">
        <f>IF($E2597=0,0,YEAR($E2597))</f>
      </c>
      <c r="G2597" s="43">
        <f>IF(INDEX(DarlBindung,6)="",1,IF($E2597&lt;=INDEX(DarlBindung,6),1,0))</f>
      </c>
      <c r="H2597" s="43">
        <f>IF($G2597=1,INDEX(DarlSollzins,6),INDEX(DarlAnschluss,6))</f>
      </c>
      <c r="I2597" s="43">
        <f>IF(INDEX(DarlBelegt,6)=0,0,IF(INDEX(DarlOhneTilgung,6)=1,IF(INDEX(DarlBindung,6)="",1,$G2597),IF($J2597&gt;0.005,1,0)))</f>
      </c>
      <c r="J2597" s="43">
        <f>IF($I2596=0,0,$R2596)</f>
      </c>
      <c r="K2597" s="43">
        <f>IF($I2597=0,0,IF(INDEX(DarlOhneTilgung,6)=1,0,IF(AND(INDEX(DarlTilgStart,6)&gt;0,$E2597=INDEX(DarlTilgStart,6)),$J2597*($H2597+INDEX(DarlTilgung,6))/100/12,IF(AND($G2597=0,$G2596=1),MAX($K2596,$J2597*($H2597+1)/100/12),$K2596))))</f>
      </c>
      <c r="L2597" s="43">
        <f>IF($I2597=0,0,$J2597*$H2597/100/12)</f>
      </c>
      <c r="M2597" s="43">
        <f>IF($I2597=0,0,IF(OR(INDEX(DarlOhneTilgung,6)=1,AND(INDEX(DarlTilgStart,6)&gt;0,$E2597&lt;INDEX(DarlTilgStart,6))),0,MIN(MAX(0,$K2597-$L2597),$J2597)))</f>
      </c>
      <c r="N2597" s="43">
        <f>IF($I2597=0,0,MIN(SUMIFS(SondBetrag,SondDarl,6,SondDatum,"&gt;="&amp;$E2597,SondDatum,"&lt;="&amp;EOMONTH($E2597,0)),$J2597-$M2597))</f>
      </c>
      <c r="O2597" s="43">
        <f>IF($I2597=0,0,INDEX(DarlErsatzRate,6))</f>
      </c>
      <c r="P2597" s="43">
        <f>IF($I2597=0,0,$Q2596*INDEX(DarlErsatzZins,6))</f>
      </c>
      <c r="Q2597" s="43">
        <f>IF($I2597=0,0,$Q2596+$P2597+$O2597)</f>
      </c>
      <c r="R2597" s="43">
        <f>IF($I2597=0,0,$J2597-$M2597-$N2597)</f>
      </c>
    </row>
    <row r="2598">
      <c r="A2598"/>
      <c r="B2598">
        <v>6</v>
      </c>
      <c r="C2598" s="43">
        <f>INDEX(DarlObj,6)</f>
      </c>
      <c r="D2598">
        <v>195</v>
      </c>
      <c r="E2598" s="51">
        <f>IF(INDEX(DarlBelegt,6)=0,0,EOMONTH(INDEX(DarlAuszahlung,6),194)+1)</f>
      </c>
      <c r="F2598" s="43">
        <f>IF($E2598=0,0,YEAR($E2598))</f>
      </c>
      <c r="G2598" s="43">
        <f>IF(INDEX(DarlBindung,6)="",1,IF($E2598&lt;=INDEX(DarlBindung,6),1,0))</f>
      </c>
      <c r="H2598" s="43">
        <f>IF($G2598=1,INDEX(DarlSollzins,6),INDEX(DarlAnschluss,6))</f>
      </c>
      <c r="I2598" s="43">
        <f>IF(INDEX(DarlBelegt,6)=0,0,IF(INDEX(DarlOhneTilgung,6)=1,IF(INDEX(DarlBindung,6)="",1,$G2598),IF($J2598&gt;0.005,1,0)))</f>
      </c>
      <c r="J2598" s="43">
        <f>IF($I2597=0,0,$R2597)</f>
      </c>
      <c r="K2598" s="43">
        <f>IF($I2598=0,0,IF(INDEX(DarlOhneTilgung,6)=1,0,IF(AND(INDEX(DarlTilgStart,6)&gt;0,$E2598=INDEX(DarlTilgStart,6)),$J2598*($H2598+INDEX(DarlTilgung,6))/100/12,IF(AND($G2598=0,$G2597=1),MAX($K2597,$J2598*($H2598+1)/100/12),$K2597))))</f>
      </c>
      <c r="L2598" s="43">
        <f>IF($I2598=0,0,$J2598*$H2598/100/12)</f>
      </c>
      <c r="M2598" s="43">
        <f>IF($I2598=0,0,IF(OR(INDEX(DarlOhneTilgung,6)=1,AND(INDEX(DarlTilgStart,6)&gt;0,$E2598&lt;INDEX(DarlTilgStart,6))),0,MIN(MAX(0,$K2598-$L2598),$J2598)))</f>
      </c>
      <c r="N2598" s="43">
        <f>IF($I2598=0,0,MIN(SUMIFS(SondBetrag,SondDarl,6,SondDatum,"&gt;="&amp;$E2598,SondDatum,"&lt;="&amp;EOMONTH($E2598,0)),$J2598-$M2598))</f>
      </c>
      <c r="O2598" s="43">
        <f>IF($I2598=0,0,INDEX(DarlErsatzRate,6))</f>
      </c>
      <c r="P2598" s="43">
        <f>IF($I2598=0,0,$Q2597*INDEX(DarlErsatzZins,6))</f>
      </c>
      <c r="Q2598" s="43">
        <f>IF($I2598=0,0,$Q2597+$P2598+$O2598)</f>
      </c>
      <c r="R2598" s="43">
        <f>IF($I2598=0,0,$J2598-$M2598-$N2598)</f>
      </c>
    </row>
    <row r="2599">
      <c r="A2599"/>
      <c r="B2599">
        <v>6</v>
      </c>
      <c r="C2599" s="43">
        <f>INDEX(DarlObj,6)</f>
      </c>
      <c r="D2599">
        <v>196</v>
      </c>
      <c r="E2599" s="51">
        <f>IF(INDEX(DarlBelegt,6)=0,0,EOMONTH(INDEX(DarlAuszahlung,6),195)+1)</f>
      </c>
      <c r="F2599" s="43">
        <f>IF($E2599=0,0,YEAR($E2599))</f>
      </c>
      <c r="G2599" s="43">
        <f>IF(INDEX(DarlBindung,6)="",1,IF($E2599&lt;=INDEX(DarlBindung,6),1,0))</f>
      </c>
      <c r="H2599" s="43">
        <f>IF($G2599=1,INDEX(DarlSollzins,6),INDEX(DarlAnschluss,6))</f>
      </c>
      <c r="I2599" s="43">
        <f>IF(INDEX(DarlBelegt,6)=0,0,IF(INDEX(DarlOhneTilgung,6)=1,IF(INDEX(DarlBindung,6)="",1,$G2599),IF($J2599&gt;0.005,1,0)))</f>
      </c>
      <c r="J2599" s="43">
        <f>IF($I2598=0,0,$R2598)</f>
      </c>
      <c r="K2599" s="43">
        <f>IF($I2599=0,0,IF(INDEX(DarlOhneTilgung,6)=1,0,IF(AND(INDEX(DarlTilgStart,6)&gt;0,$E2599=INDEX(DarlTilgStart,6)),$J2599*($H2599+INDEX(DarlTilgung,6))/100/12,IF(AND($G2599=0,$G2598=1),MAX($K2598,$J2599*($H2599+1)/100/12),$K2598))))</f>
      </c>
      <c r="L2599" s="43">
        <f>IF($I2599=0,0,$J2599*$H2599/100/12)</f>
      </c>
      <c r="M2599" s="43">
        <f>IF($I2599=0,0,IF(OR(INDEX(DarlOhneTilgung,6)=1,AND(INDEX(DarlTilgStart,6)&gt;0,$E2599&lt;INDEX(DarlTilgStart,6))),0,MIN(MAX(0,$K2599-$L2599),$J2599)))</f>
      </c>
      <c r="N2599" s="43">
        <f>IF($I2599=0,0,MIN(SUMIFS(SondBetrag,SondDarl,6,SondDatum,"&gt;="&amp;$E2599,SondDatum,"&lt;="&amp;EOMONTH($E2599,0)),$J2599-$M2599))</f>
      </c>
      <c r="O2599" s="43">
        <f>IF($I2599=0,0,INDEX(DarlErsatzRate,6))</f>
      </c>
      <c r="P2599" s="43">
        <f>IF($I2599=0,0,$Q2598*INDEX(DarlErsatzZins,6))</f>
      </c>
      <c r="Q2599" s="43">
        <f>IF($I2599=0,0,$Q2598+$P2599+$O2599)</f>
      </c>
      <c r="R2599" s="43">
        <f>IF($I2599=0,0,$J2599-$M2599-$N2599)</f>
      </c>
    </row>
    <row r="2600">
      <c r="A2600"/>
      <c r="B2600">
        <v>6</v>
      </c>
      <c r="C2600" s="43">
        <f>INDEX(DarlObj,6)</f>
      </c>
      <c r="D2600">
        <v>197</v>
      </c>
      <c r="E2600" s="51">
        <f>IF(INDEX(DarlBelegt,6)=0,0,EOMONTH(INDEX(DarlAuszahlung,6),196)+1)</f>
      </c>
      <c r="F2600" s="43">
        <f>IF($E2600=0,0,YEAR($E2600))</f>
      </c>
      <c r="G2600" s="43">
        <f>IF(INDEX(DarlBindung,6)="",1,IF($E2600&lt;=INDEX(DarlBindung,6),1,0))</f>
      </c>
      <c r="H2600" s="43">
        <f>IF($G2600=1,INDEX(DarlSollzins,6),INDEX(DarlAnschluss,6))</f>
      </c>
      <c r="I2600" s="43">
        <f>IF(INDEX(DarlBelegt,6)=0,0,IF(INDEX(DarlOhneTilgung,6)=1,IF(INDEX(DarlBindung,6)="",1,$G2600),IF($J2600&gt;0.005,1,0)))</f>
      </c>
      <c r="J2600" s="43">
        <f>IF($I2599=0,0,$R2599)</f>
      </c>
      <c r="K2600" s="43">
        <f>IF($I2600=0,0,IF(INDEX(DarlOhneTilgung,6)=1,0,IF(AND(INDEX(DarlTilgStart,6)&gt;0,$E2600=INDEX(DarlTilgStart,6)),$J2600*($H2600+INDEX(DarlTilgung,6))/100/12,IF(AND($G2600=0,$G2599=1),MAX($K2599,$J2600*($H2600+1)/100/12),$K2599))))</f>
      </c>
      <c r="L2600" s="43">
        <f>IF($I2600=0,0,$J2600*$H2600/100/12)</f>
      </c>
      <c r="M2600" s="43">
        <f>IF($I2600=0,0,IF(OR(INDEX(DarlOhneTilgung,6)=1,AND(INDEX(DarlTilgStart,6)&gt;0,$E2600&lt;INDEX(DarlTilgStart,6))),0,MIN(MAX(0,$K2600-$L2600),$J2600)))</f>
      </c>
      <c r="N2600" s="43">
        <f>IF($I2600=0,0,MIN(SUMIFS(SondBetrag,SondDarl,6,SondDatum,"&gt;="&amp;$E2600,SondDatum,"&lt;="&amp;EOMONTH($E2600,0)),$J2600-$M2600))</f>
      </c>
      <c r="O2600" s="43">
        <f>IF($I2600=0,0,INDEX(DarlErsatzRate,6))</f>
      </c>
      <c r="P2600" s="43">
        <f>IF($I2600=0,0,$Q2599*INDEX(DarlErsatzZins,6))</f>
      </c>
      <c r="Q2600" s="43">
        <f>IF($I2600=0,0,$Q2599+$P2600+$O2600)</f>
      </c>
      <c r="R2600" s="43">
        <f>IF($I2600=0,0,$J2600-$M2600-$N2600)</f>
      </c>
    </row>
    <row r="2601">
      <c r="A2601"/>
      <c r="B2601">
        <v>6</v>
      </c>
      <c r="C2601" s="43">
        <f>INDEX(DarlObj,6)</f>
      </c>
      <c r="D2601">
        <v>198</v>
      </c>
      <c r="E2601" s="51">
        <f>IF(INDEX(DarlBelegt,6)=0,0,EOMONTH(INDEX(DarlAuszahlung,6),197)+1)</f>
      </c>
      <c r="F2601" s="43">
        <f>IF($E2601=0,0,YEAR($E2601))</f>
      </c>
      <c r="G2601" s="43">
        <f>IF(INDEX(DarlBindung,6)="",1,IF($E2601&lt;=INDEX(DarlBindung,6),1,0))</f>
      </c>
      <c r="H2601" s="43">
        <f>IF($G2601=1,INDEX(DarlSollzins,6),INDEX(DarlAnschluss,6))</f>
      </c>
      <c r="I2601" s="43">
        <f>IF(INDEX(DarlBelegt,6)=0,0,IF(INDEX(DarlOhneTilgung,6)=1,IF(INDEX(DarlBindung,6)="",1,$G2601),IF($J2601&gt;0.005,1,0)))</f>
      </c>
      <c r="J2601" s="43">
        <f>IF($I2600=0,0,$R2600)</f>
      </c>
      <c r="K2601" s="43">
        <f>IF($I2601=0,0,IF(INDEX(DarlOhneTilgung,6)=1,0,IF(AND(INDEX(DarlTilgStart,6)&gt;0,$E2601=INDEX(DarlTilgStart,6)),$J2601*($H2601+INDEX(DarlTilgung,6))/100/12,IF(AND($G2601=0,$G2600=1),MAX($K2600,$J2601*($H2601+1)/100/12),$K2600))))</f>
      </c>
      <c r="L2601" s="43">
        <f>IF($I2601=0,0,$J2601*$H2601/100/12)</f>
      </c>
      <c r="M2601" s="43">
        <f>IF($I2601=0,0,IF(OR(INDEX(DarlOhneTilgung,6)=1,AND(INDEX(DarlTilgStart,6)&gt;0,$E2601&lt;INDEX(DarlTilgStart,6))),0,MIN(MAX(0,$K2601-$L2601),$J2601)))</f>
      </c>
      <c r="N2601" s="43">
        <f>IF($I2601=0,0,MIN(SUMIFS(SondBetrag,SondDarl,6,SondDatum,"&gt;="&amp;$E2601,SondDatum,"&lt;="&amp;EOMONTH($E2601,0)),$J2601-$M2601))</f>
      </c>
      <c r="O2601" s="43">
        <f>IF($I2601=0,0,INDEX(DarlErsatzRate,6))</f>
      </c>
      <c r="P2601" s="43">
        <f>IF($I2601=0,0,$Q2600*INDEX(DarlErsatzZins,6))</f>
      </c>
      <c r="Q2601" s="43">
        <f>IF($I2601=0,0,$Q2600+$P2601+$O2601)</f>
      </c>
      <c r="R2601" s="43">
        <f>IF($I2601=0,0,$J2601-$M2601-$N2601)</f>
      </c>
    </row>
    <row r="2602">
      <c r="A2602"/>
      <c r="B2602">
        <v>6</v>
      </c>
      <c r="C2602" s="43">
        <f>INDEX(DarlObj,6)</f>
      </c>
      <c r="D2602">
        <v>199</v>
      </c>
      <c r="E2602" s="51">
        <f>IF(INDEX(DarlBelegt,6)=0,0,EOMONTH(INDEX(DarlAuszahlung,6),198)+1)</f>
      </c>
      <c r="F2602" s="43">
        <f>IF($E2602=0,0,YEAR($E2602))</f>
      </c>
      <c r="G2602" s="43">
        <f>IF(INDEX(DarlBindung,6)="",1,IF($E2602&lt;=INDEX(DarlBindung,6),1,0))</f>
      </c>
      <c r="H2602" s="43">
        <f>IF($G2602=1,INDEX(DarlSollzins,6),INDEX(DarlAnschluss,6))</f>
      </c>
      <c r="I2602" s="43">
        <f>IF(INDEX(DarlBelegt,6)=0,0,IF(INDEX(DarlOhneTilgung,6)=1,IF(INDEX(DarlBindung,6)="",1,$G2602),IF($J2602&gt;0.005,1,0)))</f>
      </c>
      <c r="J2602" s="43">
        <f>IF($I2601=0,0,$R2601)</f>
      </c>
      <c r="K2602" s="43">
        <f>IF($I2602=0,0,IF(INDEX(DarlOhneTilgung,6)=1,0,IF(AND(INDEX(DarlTilgStart,6)&gt;0,$E2602=INDEX(DarlTilgStart,6)),$J2602*($H2602+INDEX(DarlTilgung,6))/100/12,IF(AND($G2602=0,$G2601=1),MAX($K2601,$J2602*($H2602+1)/100/12),$K2601))))</f>
      </c>
      <c r="L2602" s="43">
        <f>IF($I2602=0,0,$J2602*$H2602/100/12)</f>
      </c>
      <c r="M2602" s="43">
        <f>IF($I2602=0,0,IF(OR(INDEX(DarlOhneTilgung,6)=1,AND(INDEX(DarlTilgStart,6)&gt;0,$E2602&lt;INDEX(DarlTilgStart,6))),0,MIN(MAX(0,$K2602-$L2602),$J2602)))</f>
      </c>
      <c r="N2602" s="43">
        <f>IF($I2602=0,0,MIN(SUMIFS(SondBetrag,SondDarl,6,SondDatum,"&gt;="&amp;$E2602,SondDatum,"&lt;="&amp;EOMONTH($E2602,0)),$J2602-$M2602))</f>
      </c>
      <c r="O2602" s="43">
        <f>IF($I2602=0,0,INDEX(DarlErsatzRate,6))</f>
      </c>
      <c r="P2602" s="43">
        <f>IF($I2602=0,0,$Q2601*INDEX(DarlErsatzZins,6))</f>
      </c>
      <c r="Q2602" s="43">
        <f>IF($I2602=0,0,$Q2601+$P2602+$O2602)</f>
      </c>
      <c r="R2602" s="43">
        <f>IF($I2602=0,0,$J2602-$M2602-$N2602)</f>
      </c>
    </row>
    <row r="2603">
      <c r="A2603"/>
      <c r="B2603">
        <v>6</v>
      </c>
      <c r="C2603" s="43">
        <f>INDEX(DarlObj,6)</f>
      </c>
      <c r="D2603">
        <v>200</v>
      </c>
      <c r="E2603" s="51">
        <f>IF(INDEX(DarlBelegt,6)=0,0,EOMONTH(INDEX(DarlAuszahlung,6),199)+1)</f>
      </c>
      <c r="F2603" s="43">
        <f>IF($E2603=0,0,YEAR($E2603))</f>
      </c>
      <c r="G2603" s="43">
        <f>IF(INDEX(DarlBindung,6)="",1,IF($E2603&lt;=INDEX(DarlBindung,6),1,0))</f>
      </c>
      <c r="H2603" s="43">
        <f>IF($G2603=1,INDEX(DarlSollzins,6),INDEX(DarlAnschluss,6))</f>
      </c>
      <c r="I2603" s="43">
        <f>IF(INDEX(DarlBelegt,6)=0,0,IF(INDEX(DarlOhneTilgung,6)=1,IF(INDEX(DarlBindung,6)="",1,$G2603),IF($J2603&gt;0.005,1,0)))</f>
      </c>
      <c r="J2603" s="43">
        <f>IF($I2602=0,0,$R2602)</f>
      </c>
      <c r="K2603" s="43">
        <f>IF($I2603=0,0,IF(INDEX(DarlOhneTilgung,6)=1,0,IF(AND(INDEX(DarlTilgStart,6)&gt;0,$E2603=INDEX(DarlTilgStart,6)),$J2603*($H2603+INDEX(DarlTilgung,6))/100/12,IF(AND($G2603=0,$G2602=1),MAX($K2602,$J2603*($H2603+1)/100/12),$K2602))))</f>
      </c>
      <c r="L2603" s="43">
        <f>IF($I2603=0,0,$J2603*$H2603/100/12)</f>
      </c>
      <c r="M2603" s="43">
        <f>IF($I2603=0,0,IF(OR(INDEX(DarlOhneTilgung,6)=1,AND(INDEX(DarlTilgStart,6)&gt;0,$E2603&lt;INDEX(DarlTilgStart,6))),0,MIN(MAX(0,$K2603-$L2603),$J2603)))</f>
      </c>
      <c r="N2603" s="43">
        <f>IF($I2603=0,0,MIN(SUMIFS(SondBetrag,SondDarl,6,SondDatum,"&gt;="&amp;$E2603,SondDatum,"&lt;="&amp;EOMONTH($E2603,0)),$J2603-$M2603))</f>
      </c>
      <c r="O2603" s="43">
        <f>IF($I2603=0,0,INDEX(DarlErsatzRate,6))</f>
      </c>
      <c r="P2603" s="43">
        <f>IF($I2603=0,0,$Q2602*INDEX(DarlErsatzZins,6))</f>
      </c>
      <c r="Q2603" s="43">
        <f>IF($I2603=0,0,$Q2602+$P2603+$O2603)</f>
      </c>
      <c r="R2603" s="43">
        <f>IF($I2603=0,0,$J2603-$M2603-$N2603)</f>
      </c>
    </row>
    <row r="2604">
      <c r="A2604"/>
      <c r="B2604">
        <v>6</v>
      </c>
      <c r="C2604" s="43">
        <f>INDEX(DarlObj,6)</f>
      </c>
      <c r="D2604">
        <v>201</v>
      </c>
      <c r="E2604" s="51">
        <f>IF(INDEX(DarlBelegt,6)=0,0,EOMONTH(INDEX(DarlAuszahlung,6),200)+1)</f>
      </c>
      <c r="F2604" s="43">
        <f>IF($E2604=0,0,YEAR($E2604))</f>
      </c>
      <c r="G2604" s="43">
        <f>IF(INDEX(DarlBindung,6)="",1,IF($E2604&lt;=INDEX(DarlBindung,6),1,0))</f>
      </c>
      <c r="H2604" s="43">
        <f>IF($G2604=1,INDEX(DarlSollzins,6),INDEX(DarlAnschluss,6))</f>
      </c>
      <c r="I2604" s="43">
        <f>IF(INDEX(DarlBelegt,6)=0,0,IF(INDEX(DarlOhneTilgung,6)=1,IF(INDEX(DarlBindung,6)="",1,$G2604),IF($J2604&gt;0.005,1,0)))</f>
      </c>
      <c r="J2604" s="43">
        <f>IF($I2603=0,0,$R2603)</f>
      </c>
      <c r="K2604" s="43">
        <f>IF($I2604=0,0,IF(INDEX(DarlOhneTilgung,6)=1,0,IF(AND(INDEX(DarlTilgStart,6)&gt;0,$E2604=INDEX(DarlTilgStart,6)),$J2604*($H2604+INDEX(DarlTilgung,6))/100/12,IF(AND($G2604=0,$G2603=1),MAX($K2603,$J2604*($H2604+1)/100/12),$K2603))))</f>
      </c>
      <c r="L2604" s="43">
        <f>IF($I2604=0,0,$J2604*$H2604/100/12)</f>
      </c>
      <c r="M2604" s="43">
        <f>IF($I2604=0,0,IF(OR(INDEX(DarlOhneTilgung,6)=1,AND(INDEX(DarlTilgStart,6)&gt;0,$E2604&lt;INDEX(DarlTilgStart,6))),0,MIN(MAX(0,$K2604-$L2604),$J2604)))</f>
      </c>
      <c r="N2604" s="43">
        <f>IF($I2604=0,0,MIN(SUMIFS(SondBetrag,SondDarl,6,SondDatum,"&gt;="&amp;$E2604,SondDatum,"&lt;="&amp;EOMONTH($E2604,0)),$J2604-$M2604))</f>
      </c>
      <c r="O2604" s="43">
        <f>IF($I2604=0,0,INDEX(DarlErsatzRate,6))</f>
      </c>
      <c r="P2604" s="43">
        <f>IF($I2604=0,0,$Q2603*INDEX(DarlErsatzZins,6))</f>
      </c>
      <c r="Q2604" s="43">
        <f>IF($I2604=0,0,$Q2603+$P2604+$O2604)</f>
      </c>
      <c r="R2604" s="43">
        <f>IF($I2604=0,0,$J2604-$M2604-$N2604)</f>
      </c>
    </row>
    <row r="2605">
      <c r="A2605"/>
      <c r="B2605">
        <v>6</v>
      </c>
      <c r="C2605" s="43">
        <f>INDEX(DarlObj,6)</f>
      </c>
      <c r="D2605">
        <v>202</v>
      </c>
      <c r="E2605" s="51">
        <f>IF(INDEX(DarlBelegt,6)=0,0,EOMONTH(INDEX(DarlAuszahlung,6),201)+1)</f>
      </c>
      <c r="F2605" s="43">
        <f>IF($E2605=0,0,YEAR($E2605))</f>
      </c>
      <c r="G2605" s="43">
        <f>IF(INDEX(DarlBindung,6)="",1,IF($E2605&lt;=INDEX(DarlBindung,6),1,0))</f>
      </c>
      <c r="H2605" s="43">
        <f>IF($G2605=1,INDEX(DarlSollzins,6),INDEX(DarlAnschluss,6))</f>
      </c>
      <c r="I2605" s="43">
        <f>IF(INDEX(DarlBelegt,6)=0,0,IF(INDEX(DarlOhneTilgung,6)=1,IF(INDEX(DarlBindung,6)="",1,$G2605),IF($J2605&gt;0.005,1,0)))</f>
      </c>
      <c r="J2605" s="43">
        <f>IF($I2604=0,0,$R2604)</f>
      </c>
      <c r="K2605" s="43">
        <f>IF($I2605=0,0,IF(INDEX(DarlOhneTilgung,6)=1,0,IF(AND(INDEX(DarlTilgStart,6)&gt;0,$E2605=INDEX(DarlTilgStart,6)),$J2605*($H2605+INDEX(DarlTilgung,6))/100/12,IF(AND($G2605=0,$G2604=1),MAX($K2604,$J2605*($H2605+1)/100/12),$K2604))))</f>
      </c>
      <c r="L2605" s="43">
        <f>IF($I2605=0,0,$J2605*$H2605/100/12)</f>
      </c>
      <c r="M2605" s="43">
        <f>IF($I2605=0,0,IF(OR(INDEX(DarlOhneTilgung,6)=1,AND(INDEX(DarlTilgStart,6)&gt;0,$E2605&lt;INDEX(DarlTilgStart,6))),0,MIN(MAX(0,$K2605-$L2605),$J2605)))</f>
      </c>
      <c r="N2605" s="43">
        <f>IF($I2605=0,0,MIN(SUMIFS(SondBetrag,SondDarl,6,SondDatum,"&gt;="&amp;$E2605,SondDatum,"&lt;="&amp;EOMONTH($E2605,0)),$J2605-$M2605))</f>
      </c>
      <c r="O2605" s="43">
        <f>IF($I2605=0,0,INDEX(DarlErsatzRate,6))</f>
      </c>
      <c r="P2605" s="43">
        <f>IF($I2605=0,0,$Q2604*INDEX(DarlErsatzZins,6))</f>
      </c>
      <c r="Q2605" s="43">
        <f>IF($I2605=0,0,$Q2604+$P2605+$O2605)</f>
      </c>
      <c r="R2605" s="43">
        <f>IF($I2605=0,0,$J2605-$M2605-$N2605)</f>
      </c>
    </row>
    <row r="2606">
      <c r="A2606"/>
      <c r="B2606">
        <v>6</v>
      </c>
      <c r="C2606" s="43">
        <f>INDEX(DarlObj,6)</f>
      </c>
      <c r="D2606">
        <v>203</v>
      </c>
      <c r="E2606" s="51">
        <f>IF(INDEX(DarlBelegt,6)=0,0,EOMONTH(INDEX(DarlAuszahlung,6),202)+1)</f>
      </c>
      <c r="F2606" s="43">
        <f>IF($E2606=0,0,YEAR($E2606))</f>
      </c>
      <c r="G2606" s="43">
        <f>IF(INDEX(DarlBindung,6)="",1,IF($E2606&lt;=INDEX(DarlBindung,6),1,0))</f>
      </c>
      <c r="H2606" s="43">
        <f>IF($G2606=1,INDEX(DarlSollzins,6),INDEX(DarlAnschluss,6))</f>
      </c>
      <c r="I2606" s="43">
        <f>IF(INDEX(DarlBelegt,6)=0,0,IF(INDEX(DarlOhneTilgung,6)=1,IF(INDEX(DarlBindung,6)="",1,$G2606),IF($J2606&gt;0.005,1,0)))</f>
      </c>
      <c r="J2606" s="43">
        <f>IF($I2605=0,0,$R2605)</f>
      </c>
      <c r="K2606" s="43">
        <f>IF($I2606=0,0,IF(INDEX(DarlOhneTilgung,6)=1,0,IF(AND(INDEX(DarlTilgStart,6)&gt;0,$E2606=INDEX(DarlTilgStart,6)),$J2606*($H2606+INDEX(DarlTilgung,6))/100/12,IF(AND($G2606=0,$G2605=1),MAX($K2605,$J2606*($H2606+1)/100/12),$K2605))))</f>
      </c>
      <c r="L2606" s="43">
        <f>IF($I2606=0,0,$J2606*$H2606/100/12)</f>
      </c>
      <c r="M2606" s="43">
        <f>IF($I2606=0,0,IF(OR(INDEX(DarlOhneTilgung,6)=1,AND(INDEX(DarlTilgStart,6)&gt;0,$E2606&lt;INDEX(DarlTilgStart,6))),0,MIN(MAX(0,$K2606-$L2606),$J2606)))</f>
      </c>
      <c r="N2606" s="43">
        <f>IF($I2606=0,0,MIN(SUMIFS(SondBetrag,SondDarl,6,SondDatum,"&gt;="&amp;$E2606,SondDatum,"&lt;="&amp;EOMONTH($E2606,0)),$J2606-$M2606))</f>
      </c>
      <c r="O2606" s="43">
        <f>IF($I2606=0,0,INDEX(DarlErsatzRate,6))</f>
      </c>
      <c r="P2606" s="43">
        <f>IF($I2606=0,0,$Q2605*INDEX(DarlErsatzZins,6))</f>
      </c>
      <c r="Q2606" s="43">
        <f>IF($I2606=0,0,$Q2605+$P2606+$O2606)</f>
      </c>
      <c r="R2606" s="43">
        <f>IF($I2606=0,0,$J2606-$M2606-$N2606)</f>
      </c>
    </row>
    <row r="2607">
      <c r="A2607"/>
      <c r="B2607">
        <v>6</v>
      </c>
      <c r="C2607" s="43">
        <f>INDEX(DarlObj,6)</f>
      </c>
      <c r="D2607">
        <v>204</v>
      </c>
      <c r="E2607" s="51">
        <f>IF(INDEX(DarlBelegt,6)=0,0,EOMONTH(INDEX(DarlAuszahlung,6),203)+1)</f>
      </c>
      <c r="F2607" s="43">
        <f>IF($E2607=0,0,YEAR($E2607))</f>
      </c>
      <c r="G2607" s="43">
        <f>IF(INDEX(DarlBindung,6)="",1,IF($E2607&lt;=INDEX(DarlBindung,6),1,0))</f>
      </c>
      <c r="H2607" s="43">
        <f>IF($G2607=1,INDEX(DarlSollzins,6),INDEX(DarlAnschluss,6))</f>
      </c>
      <c r="I2607" s="43">
        <f>IF(INDEX(DarlBelegt,6)=0,0,IF(INDEX(DarlOhneTilgung,6)=1,IF(INDEX(DarlBindung,6)="",1,$G2607),IF($J2607&gt;0.005,1,0)))</f>
      </c>
      <c r="J2607" s="43">
        <f>IF($I2606=0,0,$R2606)</f>
      </c>
      <c r="K2607" s="43">
        <f>IF($I2607=0,0,IF(INDEX(DarlOhneTilgung,6)=1,0,IF(AND(INDEX(DarlTilgStart,6)&gt;0,$E2607=INDEX(DarlTilgStart,6)),$J2607*($H2607+INDEX(DarlTilgung,6))/100/12,IF(AND($G2607=0,$G2606=1),MAX($K2606,$J2607*($H2607+1)/100/12),$K2606))))</f>
      </c>
      <c r="L2607" s="43">
        <f>IF($I2607=0,0,$J2607*$H2607/100/12)</f>
      </c>
      <c r="M2607" s="43">
        <f>IF($I2607=0,0,IF(OR(INDEX(DarlOhneTilgung,6)=1,AND(INDEX(DarlTilgStart,6)&gt;0,$E2607&lt;INDEX(DarlTilgStart,6))),0,MIN(MAX(0,$K2607-$L2607),$J2607)))</f>
      </c>
      <c r="N2607" s="43">
        <f>IF($I2607=0,0,MIN(SUMIFS(SondBetrag,SondDarl,6,SondDatum,"&gt;="&amp;$E2607,SondDatum,"&lt;="&amp;EOMONTH($E2607,0)),$J2607-$M2607))</f>
      </c>
      <c r="O2607" s="43">
        <f>IF($I2607=0,0,INDEX(DarlErsatzRate,6))</f>
      </c>
      <c r="P2607" s="43">
        <f>IF($I2607=0,0,$Q2606*INDEX(DarlErsatzZins,6))</f>
      </c>
      <c r="Q2607" s="43">
        <f>IF($I2607=0,0,$Q2606+$P2607+$O2607)</f>
      </c>
      <c r="R2607" s="43">
        <f>IF($I2607=0,0,$J2607-$M2607-$N2607)</f>
      </c>
    </row>
    <row r="2608">
      <c r="A2608"/>
      <c r="B2608">
        <v>6</v>
      </c>
      <c r="C2608" s="43">
        <f>INDEX(DarlObj,6)</f>
      </c>
      <c r="D2608">
        <v>205</v>
      </c>
      <c r="E2608" s="51">
        <f>IF(INDEX(DarlBelegt,6)=0,0,EOMONTH(INDEX(DarlAuszahlung,6),204)+1)</f>
      </c>
      <c r="F2608" s="43">
        <f>IF($E2608=0,0,YEAR($E2608))</f>
      </c>
      <c r="G2608" s="43">
        <f>IF(INDEX(DarlBindung,6)="",1,IF($E2608&lt;=INDEX(DarlBindung,6),1,0))</f>
      </c>
      <c r="H2608" s="43">
        <f>IF($G2608=1,INDEX(DarlSollzins,6),INDEX(DarlAnschluss,6))</f>
      </c>
      <c r="I2608" s="43">
        <f>IF(INDEX(DarlBelegt,6)=0,0,IF(INDEX(DarlOhneTilgung,6)=1,IF(INDEX(DarlBindung,6)="",1,$G2608),IF($J2608&gt;0.005,1,0)))</f>
      </c>
      <c r="J2608" s="43">
        <f>IF($I2607=0,0,$R2607)</f>
      </c>
      <c r="K2608" s="43">
        <f>IF($I2608=0,0,IF(INDEX(DarlOhneTilgung,6)=1,0,IF(AND(INDEX(DarlTilgStart,6)&gt;0,$E2608=INDEX(DarlTilgStart,6)),$J2608*($H2608+INDEX(DarlTilgung,6))/100/12,IF(AND($G2608=0,$G2607=1),MAX($K2607,$J2608*($H2608+1)/100/12),$K2607))))</f>
      </c>
      <c r="L2608" s="43">
        <f>IF($I2608=0,0,$J2608*$H2608/100/12)</f>
      </c>
      <c r="M2608" s="43">
        <f>IF($I2608=0,0,IF(OR(INDEX(DarlOhneTilgung,6)=1,AND(INDEX(DarlTilgStart,6)&gt;0,$E2608&lt;INDEX(DarlTilgStart,6))),0,MIN(MAX(0,$K2608-$L2608),$J2608)))</f>
      </c>
      <c r="N2608" s="43">
        <f>IF($I2608=0,0,MIN(SUMIFS(SondBetrag,SondDarl,6,SondDatum,"&gt;="&amp;$E2608,SondDatum,"&lt;="&amp;EOMONTH($E2608,0)),$J2608-$M2608))</f>
      </c>
      <c r="O2608" s="43">
        <f>IF($I2608=0,0,INDEX(DarlErsatzRate,6))</f>
      </c>
      <c r="P2608" s="43">
        <f>IF($I2608=0,0,$Q2607*INDEX(DarlErsatzZins,6))</f>
      </c>
      <c r="Q2608" s="43">
        <f>IF($I2608=0,0,$Q2607+$P2608+$O2608)</f>
      </c>
      <c r="R2608" s="43">
        <f>IF($I2608=0,0,$J2608-$M2608-$N2608)</f>
      </c>
    </row>
    <row r="2609">
      <c r="A2609"/>
      <c r="B2609">
        <v>6</v>
      </c>
      <c r="C2609" s="43">
        <f>INDEX(DarlObj,6)</f>
      </c>
      <c r="D2609">
        <v>206</v>
      </c>
      <c r="E2609" s="51">
        <f>IF(INDEX(DarlBelegt,6)=0,0,EOMONTH(INDEX(DarlAuszahlung,6),205)+1)</f>
      </c>
      <c r="F2609" s="43">
        <f>IF($E2609=0,0,YEAR($E2609))</f>
      </c>
      <c r="G2609" s="43">
        <f>IF(INDEX(DarlBindung,6)="",1,IF($E2609&lt;=INDEX(DarlBindung,6),1,0))</f>
      </c>
      <c r="H2609" s="43">
        <f>IF($G2609=1,INDEX(DarlSollzins,6),INDEX(DarlAnschluss,6))</f>
      </c>
      <c r="I2609" s="43">
        <f>IF(INDEX(DarlBelegt,6)=0,0,IF(INDEX(DarlOhneTilgung,6)=1,IF(INDEX(DarlBindung,6)="",1,$G2609),IF($J2609&gt;0.005,1,0)))</f>
      </c>
      <c r="J2609" s="43">
        <f>IF($I2608=0,0,$R2608)</f>
      </c>
      <c r="K2609" s="43">
        <f>IF($I2609=0,0,IF(INDEX(DarlOhneTilgung,6)=1,0,IF(AND(INDEX(DarlTilgStart,6)&gt;0,$E2609=INDEX(DarlTilgStart,6)),$J2609*($H2609+INDEX(DarlTilgung,6))/100/12,IF(AND($G2609=0,$G2608=1),MAX($K2608,$J2609*($H2609+1)/100/12),$K2608))))</f>
      </c>
      <c r="L2609" s="43">
        <f>IF($I2609=0,0,$J2609*$H2609/100/12)</f>
      </c>
      <c r="M2609" s="43">
        <f>IF($I2609=0,0,IF(OR(INDEX(DarlOhneTilgung,6)=1,AND(INDEX(DarlTilgStart,6)&gt;0,$E2609&lt;INDEX(DarlTilgStart,6))),0,MIN(MAX(0,$K2609-$L2609),$J2609)))</f>
      </c>
      <c r="N2609" s="43">
        <f>IF($I2609=0,0,MIN(SUMIFS(SondBetrag,SondDarl,6,SondDatum,"&gt;="&amp;$E2609,SondDatum,"&lt;="&amp;EOMONTH($E2609,0)),$J2609-$M2609))</f>
      </c>
      <c r="O2609" s="43">
        <f>IF($I2609=0,0,INDEX(DarlErsatzRate,6))</f>
      </c>
      <c r="P2609" s="43">
        <f>IF($I2609=0,0,$Q2608*INDEX(DarlErsatzZins,6))</f>
      </c>
      <c r="Q2609" s="43">
        <f>IF($I2609=0,0,$Q2608+$P2609+$O2609)</f>
      </c>
      <c r="R2609" s="43">
        <f>IF($I2609=0,0,$J2609-$M2609-$N2609)</f>
      </c>
    </row>
    <row r="2610">
      <c r="A2610"/>
      <c r="B2610">
        <v>6</v>
      </c>
      <c r="C2610" s="43">
        <f>INDEX(DarlObj,6)</f>
      </c>
      <c r="D2610">
        <v>207</v>
      </c>
      <c r="E2610" s="51">
        <f>IF(INDEX(DarlBelegt,6)=0,0,EOMONTH(INDEX(DarlAuszahlung,6),206)+1)</f>
      </c>
      <c r="F2610" s="43">
        <f>IF($E2610=0,0,YEAR($E2610))</f>
      </c>
      <c r="G2610" s="43">
        <f>IF(INDEX(DarlBindung,6)="",1,IF($E2610&lt;=INDEX(DarlBindung,6),1,0))</f>
      </c>
      <c r="H2610" s="43">
        <f>IF($G2610=1,INDEX(DarlSollzins,6),INDEX(DarlAnschluss,6))</f>
      </c>
      <c r="I2610" s="43">
        <f>IF(INDEX(DarlBelegt,6)=0,0,IF(INDEX(DarlOhneTilgung,6)=1,IF(INDEX(DarlBindung,6)="",1,$G2610),IF($J2610&gt;0.005,1,0)))</f>
      </c>
      <c r="J2610" s="43">
        <f>IF($I2609=0,0,$R2609)</f>
      </c>
      <c r="K2610" s="43">
        <f>IF($I2610=0,0,IF(INDEX(DarlOhneTilgung,6)=1,0,IF(AND(INDEX(DarlTilgStart,6)&gt;0,$E2610=INDEX(DarlTilgStart,6)),$J2610*($H2610+INDEX(DarlTilgung,6))/100/12,IF(AND($G2610=0,$G2609=1),MAX($K2609,$J2610*($H2610+1)/100/12),$K2609))))</f>
      </c>
      <c r="L2610" s="43">
        <f>IF($I2610=0,0,$J2610*$H2610/100/12)</f>
      </c>
      <c r="M2610" s="43">
        <f>IF($I2610=0,0,IF(OR(INDEX(DarlOhneTilgung,6)=1,AND(INDEX(DarlTilgStart,6)&gt;0,$E2610&lt;INDEX(DarlTilgStart,6))),0,MIN(MAX(0,$K2610-$L2610),$J2610)))</f>
      </c>
      <c r="N2610" s="43">
        <f>IF($I2610=0,0,MIN(SUMIFS(SondBetrag,SondDarl,6,SondDatum,"&gt;="&amp;$E2610,SondDatum,"&lt;="&amp;EOMONTH($E2610,0)),$J2610-$M2610))</f>
      </c>
      <c r="O2610" s="43">
        <f>IF($I2610=0,0,INDEX(DarlErsatzRate,6))</f>
      </c>
      <c r="P2610" s="43">
        <f>IF($I2610=0,0,$Q2609*INDEX(DarlErsatzZins,6))</f>
      </c>
      <c r="Q2610" s="43">
        <f>IF($I2610=0,0,$Q2609+$P2610+$O2610)</f>
      </c>
      <c r="R2610" s="43">
        <f>IF($I2610=0,0,$J2610-$M2610-$N2610)</f>
      </c>
    </row>
    <row r="2611">
      <c r="A2611"/>
      <c r="B2611">
        <v>6</v>
      </c>
      <c r="C2611" s="43">
        <f>INDEX(DarlObj,6)</f>
      </c>
      <c r="D2611">
        <v>208</v>
      </c>
      <c r="E2611" s="51">
        <f>IF(INDEX(DarlBelegt,6)=0,0,EOMONTH(INDEX(DarlAuszahlung,6),207)+1)</f>
      </c>
      <c r="F2611" s="43">
        <f>IF($E2611=0,0,YEAR($E2611))</f>
      </c>
      <c r="G2611" s="43">
        <f>IF(INDEX(DarlBindung,6)="",1,IF($E2611&lt;=INDEX(DarlBindung,6),1,0))</f>
      </c>
      <c r="H2611" s="43">
        <f>IF($G2611=1,INDEX(DarlSollzins,6),INDEX(DarlAnschluss,6))</f>
      </c>
      <c r="I2611" s="43">
        <f>IF(INDEX(DarlBelegt,6)=0,0,IF(INDEX(DarlOhneTilgung,6)=1,IF(INDEX(DarlBindung,6)="",1,$G2611),IF($J2611&gt;0.005,1,0)))</f>
      </c>
      <c r="J2611" s="43">
        <f>IF($I2610=0,0,$R2610)</f>
      </c>
      <c r="K2611" s="43">
        <f>IF($I2611=0,0,IF(INDEX(DarlOhneTilgung,6)=1,0,IF(AND(INDEX(DarlTilgStart,6)&gt;0,$E2611=INDEX(DarlTilgStart,6)),$J2611*($H2611+INDEX(DarlTilgung,6))/100/12,IF(AND($G2611=0,$G2610=1),MAX($K2610,$J2611*($H2611+1)/100/12),$K2610))))</f>
      </c>
      <c r="L2611" s="43">
        <f>IF($I2611=0,0,$J2611*$H2611/100/12)</f>
      </c>
      <c r="M2611" s="43">
        <f>IF($I2611=0,0,IF(OR(INDEX(DarlOhneTilgung,6)=1,AND(INDEX(DarlTilgStart,6)&gt;0,$E2611&lt;INDEX(DarlTilgStart,6))),0,MIN(MAX(0,$K2611-$L2611),$J2611)))</f>
      </c>
      <c r="N2611" s="43">
        <f>IF($I2611=0,0,MIN(SUMIFS(SondBetrag,SondDarl,6,SondDatum,"&gt;="&amp;$E2611,SondDatum,"&lt;="&amp;EOMONTH($E2611,0)),$J2611-$M2611))</f>
      </c>
      <c r="O2611" s="43">
        <f>IF($I2611=0,0,INDEX(DarlErsatzRate,6))</f>
      </c>
      <c r="P2611" s="43">
        <f>IF($I2611=0,0,$Q2610*INDEX(DarlErsatzZins,6))</f>
      </c>
      <c r="Q2611" s="43">
        <f>IF($I2611=0,0,$Q2610+$P2611+$O2611)</f>
      </c>
      <c r="R2611" s="43">
        <f>IF($I2611=0,0,$J2611-$M2611-$N2611)</f>
      </c>
    </row>
    <row r="2612">
      <c r="A2612"/>
      <c r="B2612">
        <v>6</v>
      </c>
      <c r="C2612" s="43">
        <f>INDEX(DarlObj,6)</f>
      </c>
      <c r="D2612">
        <v>209</v>
      </c>
      <c r="E2612" s="51">
        <f>IF(INDEX(DarlBelegt,6)=0,0,EOMONTH(INDEX(DarlAuszahlung,6),208)+1)</f>
      </c>
      <c r="F2612" s="43">
        <f>IF($E2612=0,0,YEAR($E2612))</f>
      </c>
      <c r="G2612" s="43">
        <f>IF(INDEX(DarlBindung,6)="",1,IF($E2612&lt;=INDEX(DarlBindung,6),1,0))</f>
      </c>
      <c r="H2612" s="43">
        <f>IF($G2612=1,INDEX(DarlSollzins,6),INDEX(DarlAnschluss,6))</f>
      </c>
      <c r="I2612" s="43">
        <f>IF(INDEX(DarlBelegt,6)=0,0,IF(INDEX(DarlOhneTilgung,6)=1,IF(INDEX(DarlBindung,6)="",1,$G2612),IF($J2612&gt;0.005,1,0)))</f>
      </c>
      <c r="J2612" s="43">
        <f>IF($I2611=0,0,$R2611)</f>
      </c>
      <c r="K2612" s="43">
        <f>IF($I2612=0,0,IF(INDEX(DarlOhneTilgung,6)=1,0,IF(AND(INDEX(DarlTilgStart,6)&gt;0,$E2612=INDEX(DarlTilgStart,6)),$J2612*($H2612+INDEX(DarlTilgung,6))/100/12,IF(AND($G2612=0,$G2611=1),MAX($K2611,$J2612*($H2612+1)/100/12),$K2611))))</f>
      </c>
      <c r="L2612" s="43">
        <f>IF($I2612=0,0,$J2612*$H2612/100/12)</f>
      </c>
      <c r="M2612" s="43">
        <f>IF($I2612=0,0,IF(OR(INDEX(DarlOhneTilgung,6)=1,AND(INDEX(DarlTilgStart,6)&gt;0,$E2612&lt;INDEX(DarlTilgStart,6))),0,MIN(MAX(0,$K2612-$L2612),$J2612)))</f>
      </c>
      <c r="N2612" s="43">
        <f>IF($I2612=0,0,MIN(SUMIFS(SondBetrag,SondDarl,6,SondDatum,"&gt;="&amp;$E2612,SondDatum,"&lt;="&amp;EOMONTH($E2612,0)),$J2612-$M2612))</f>
      </c>
      <c r="O2612" s="43">
        <f>IF($I2612=0,0,INDEX(DarlErsatzRate,6))</f>
      </c>
      <c r="P2612" s="43">
        <f>IF($I2612=0,0,$Q2611*INDEX(DarlErsatzZins,6))</f>
      </c>
      <c r="Q2612" s="43">
        <f>IF($I2612=0,0,$Q2611+$P2612+$O2612)</f>
      </c>
      <c r="R2612" s="43">
        <f>IF($I2612=0,0,$J2612-$M2612-$N2612)</f>
      </c>
    </row>
    <row r="2613">
      <c r="A2613"/>
      <c r="B2613">
        <v>6</v>
      </c>
      <c r="C2613" s="43">
        <f>INDEX(DarlObj,6)</f>
      </c>
      <c r="D2613">
        <v>210</v>
      </c>
      <c r="E2613" s="51">
        <f>IF(INDEX(DarlBelegt,6)=0,0,EOMONTH(INDEX(DarlAuszahlung,6),209)+1)</f>
      </c>
      <c r="F2613" s="43">
        <f>IF($E2613=0,0,YEAR($E2613))</f>
      </c>
      <c r="G2613" s="43">
        <f>IF(INDEX(DarlBindung,6)="",1,IF($E2613&lt;=INDEX(DarlBindung,6),1,0))</f>
      </c>
      <c r="H2613" s="43">
        <f>IF($G2613=1,INDEX(DarlSollzins,6),INDEX(DarlAnschluss,6))</f>
      </c>
      <c r="I2613" s="43">
        <f>IF(INDEX(DarlBelegt,6)=0,0,IF(INDEX(DarlOhneTilgung,6)=1,IF(INDEX(DarlBindung,6)="",1,$G2613),IF($J2613&gt;0.005,1,0)))</f>
      </c>
      <c r="J2613" s="43">
        <f>IF($I2612=0,0,$R2612)</f>
      </c>
      <c r="K2613" s="43">
        <f>IF($I2613=0,0,IF(INDEX(DarlOhneTilgung,6)=1,0,IF(AND(INDEX(DarlTilgStart,6)&gt;0,$E2613=INDEX(DarlTilgStart,6)),$J2613*($H2613+INDEX(DarlTilgung,6))/100/12,IF(AND($G2613=0,$G2612=1),MAX($K2612,$J2613*($H2613+1)/100/12),$K2612))))</f>
      </c>
      <c r="L2613" s="43">
        <f>IF($I2613=0,0,$J2613*$H2613/100/12)</f>
      </c>
      <c r="M2613" s="43">
        <f>IF($I2613=0,0,IF(OR(INDEX(DarlOhneTilgung,6)=1,AND(INDEX(DarlTilgStart,6)&gt;0,$E2613&lt;INDEX(DarlTilgStart,6))),0,MIN(MAX(0,$K2613-$L2613),$J2613)))</f>
      </c>
      <c r="N2613" s="43">
        <f>IF($I2613=0,0,MIN(SUMIFS(SondBetrag,SondDarl,6,SondDatum,"&gt;="&amp;$E2613,SondDatum,"&lt;="&amp;EOMONTH($E2613,0)),$J2613-$M2613))</f>
      </c>
      <c r="O2613" s="43">
        <f>IF($I2613=0,0,INDEX(DarlErsatzRate,6))</f>
      </c>
      <c r="P2613" s="43">
        <f>IF($I2613=0,0,$Q2612*INDEX(DarlErsatzZins,6))</f>
      </c>
      <c r="Q2613" s="43">
        <f>IF($I2613=0,0,$Q2612+$P2613+$O2613)</f>
      </c>
      <c r="R2613" s="43">
        <f>IF($I2613=0,0,$J2613-$M2613-$N2613)</f>
      </c>
    </row>
    <row r="2614">
      <c r="A2614"/>
      <c r="B2614">
        <v>6</v>
      </c>
      <c r="C2614" s="43">
        <f>INDEX(DarlObj,6)</f>
      </c>
      <c r="D2614">
        <v>211</v>
      </c>
      <c r="E2614" s="51">
        <f>IF(INDEX(DarlBelegt,6)=0,0,EOMONTH(INDEX(DarlAuszahlung,6),210)+1)</f>
      </c>
      <c r="F2614" s="43">
        <f>IF($E2614=0,0,YEAR($E2614))</f>
      </c>
      <c r="G2614" s="43">
        <f>IF(INDEX(DarlBindung,6)="",1,IF($E2614&lt;=INDEX(DarlBindung,6),1,0))</f>
      </c>
      <c r="H2614" s="43">
        <f>IF($G2614=1,INDEX(DarlSollzins,6),INDEX(DarlAnschluss,6))</f>
      </c>
      <c r="I2614" s="43">
        <f>IF(INDEX(DarlBelegt,6)=0,0,IF(INDEX(DarlOhneTilgung,6)=1,IF(INDEX(DarlBindung,6)="",1,$G2614),IF($J2614&gt;0.005,1,0)))</f>
      </c>
      <c r="J2614" s="43">
        <f>IF($I2613=0,0,$R2613)</f>
      </c>
      <c r="K2614" s="43">
        <f>IF($I2614=0,0,IF(INDEX(DarlOhneTilgung,6)=1,0,IF(AND(INDEX(DarlTilgStart,6)&gt;0,$E2614=INDEX(DarlTilgStart,6)),$J2614*($H2614+INDEX(DarlTilgung,6))/100/12,IF(AND($G2614=0,$G2613=1),MAX($K2613,$J2614*($H2614+1)/100/12),$K2613))))</f>
      </c>
      <c r="L2614" s="43">
        <f>IF($I2614=0,0,$J2614*$H2614/100/12)</f>
      </c>
      <c r="M2614" s="43">
        <f>IF($I2614=0,0,IF(OR(INDEX(DarlOhneTilgung,6)=1,AND(INDEX(DarlTilgStart,6)&gt;0,$E2614&lt;INDEX(DarlTilgStart,6))),0,MIN(MAX(0,$K2614-$L2614),$J2614)))</f>
      </c>
      <c r="N2614" s="43">
        <f>IF($I2614=0,0,MIN(SUMIFS(SondBetrag,SondDarl,6,SondDatum,"&gt;="&amp;$E2614,SondDatum,"&lt;="&amp;EOMONTH($E2614,0)),$J2614-$M2614))</f>
      </c>
      <c r="O2614" s="43">
        <f>IF($I2614=0,0,INDEX(DarlErsatzRate,6))</f>
      </c>
      <c r="P2614" s="43">
        <f>IF($I2614=0,0,$Q2613*INDEX(DarlErsatzZins,6))</f>
      </c>
      <c r="Q2614" s="43">
        <f>IF($I2614=0,0,$Q2613+$P2614+$O2614)</f>
      </c>
      <c r="R2614" s="43">
        <f>IF($I2614=0,0,$J2614-$M2614-$N2614)</f>
      </c>
    </row>
    <row r="2615">
      <c r="A2615"/>
      <c r="B2615">
        <v>6</v>
      </c>
      <c r="C2615" s="43">
        <f>INDEX(DarlObj,6)</f>
      </c>
      <c r="D2615">
        <v>212</v>
      </c>
      <c r="E2615" s="51">
        <f>IF(INDEX(DarlBelegt,6)=0,0,EOMONTH(INDEX(DarlAuszahlung,6),211)+1)</f>
      </c>
      <c r="F2615" s="43">
        <f>IF($E2615=0,0,YEAR($E2615))</f>
      </c>
      <c r="G2615" s="43">
        <f>IF(INDEX(DarlBindung,6)="",1,IF($E2615&lt;=INDEX(DarlBindung,6),1,0))</f>
      </c>
      <c r="H2615" s="43">
        <f>IF($G2615=1,INDEX(DarlSollzins,6),INDEX(DarlAnschluss,6))</f>
      </c>
      <c r="I2615" s="43">
        <f>IF(INDEX(DarlBelegt,6)=0,0,IF(INDEX(DarlOhneTilgung,6)=1,IF(INDEX(DarlBindung,6)="",1,$G2615),IF($J2615&gt;0.005,1,0)))</f>
      </c>
      <c r="J2615" s="43">
        <f>IF($I2614=0,0,$R2614)</f>
      </c>
      <c r="K2615" s="43">
        <f>IF($I2615=0,0,IF(INDEX(DarlOhneTilgung,6)=1,0,IF(AND(INDEX(DarlTilgStart,6)&gt;0,$E2615=INDEX(DarlTilgStart,6)),$J2615*($H2615+INDEX(DarlTilgung,6))/100/12,IF(AND($G2615=0,$G2614=1),MAX($K2614,$J2615*($H2615+1)/100/12),$K2614))))</f>
      </c>
      <c r="L2615" s="43">
        <f>IF($I2615=0,0,$J2615*$H2615/100/12)</f>
      </c>
      <c r="M2615" s="43">
        <f>IF($I2615=0,0,IF(OR(INDEX(DarlOhneTilgung,6)=1,AND(INDEX(DarlTilgStart,6)&gt;0,$E2615&lt;INDEX(DarlTilgStart,6))),0,MIN(MAX(0,$K2615-$L2615),$J2615)))</f>
      </c>
      <c r="N2615" s="43">
        <f>IF($I2615=0,0,MIN(SUMIFS(SondBetrag,SondDarl,6,SondDatum,"&gt;="&amp;$E2615,SondDatum,"&lt;="&amp;EOMONTH($E2615,0)),$J2615-$M2615))</f>
      </c>
      <c r="O2615" s="43">
        <f>IF($I2615=0,0,INDEX(DarlErsatzRate,6))</f>
      </c>
      <c r="P2615" s="43">
        <f>IF($I2615=0,0,$Q2614*INDEX(DarlErsatzZins,6))</f>
      </c>
      <c r="Q2615" s="43">
        <f>IF($I2615=0,0,$Q2614+$P2615+$O2615)</f>
      </c>
      <c r="R2615" s="43">
        <f>IF($I2615=0,0,$J2615-$M2615-$N2615)</f>
      </c>
    </row>
    <row r="2616">
      <c r="A2616"/>
      <c r="B2616">
        <v>6</v>
      </c>
      <c r="C2616" s="43">
        <f>INDEX(DarlObj,6)</f>
      </c>
      <c r="D2616">
        <v>213</v>
      </c>
      <c r="E2616" s="51">
        <f>IF(INDEX(DarlBelegt,6)=0,0,EOMONTH(INDEX(DarlAuszahlung,6),212)+1)</f>
      </c>
      <c r="F2616" s="43">
        <f>IF($E2616=0,0,YEAR($E2616))</f>
      </c>
      <c r="G2616" s="43">
        <f>IF(INDEX(DarlBindung,6)="",1,IF($E2616&lt;=INDEX(DarlBindung,6),1,0))</f>
      </c>
      <c r="H2616" s="43">
        <f>IF($G2616=1,INDEX(DarlSollzins,6),INDEX(DarlAnschluss,6))</f>
      </c>
      <c r="I2616" s="43">
        <f>IF(INDEX(DarlBelegt,6)=0,0,IF(INDEX(DarlOhneTilgung,6)=1,IF(INDEX(DarlBindung,6)="",1,$G2616),IF($J2616&gt;0.005,1,0)))</f>
      </c>
      <c r="J2616" s="43">
        <f>IF($I2615=0,0,$R2615)</f>
      </c>
      <c r="K2616" s="43">
        <f>IF($I2616=0,0,IF(INDEX(DarlOhneTilgung,6)=1,0,IF(AND(INDEX(DarlTilgStart,6)&gt;0,$E2616=INDEX(DarlTilgStart,6)),$J2616*($H2616+INDEX(DarlTilgung,6))/100/12,IF(AND($G2616=0,$G2615=1),MAX($K2615,$J2616*($H2616+1)/100/12),$K2615))))</f>
      </c>
      <c r="L2616" s="43">
        <f>IF($I2616=0,0,$J2616*$H2616/100/12)</f>
      </c>
      <c r="M2616" s="43">
        <f>IF($I2616=0,0,IF(OR(INDEX(DarlOhneTilgung,6)=1,AND(INDEX(DarlTilgStart,6)&gt;0,$E2616&lt;INDEX(DarlTilgStart,6))),0,MIN(MAX(0,$K2616-$L2616),$J2616)))</f>
      </c>
      <c r="N2616" s="43">
        <f>IF($I2616=0,0,MIN(SUMIFS(SondBetrag,SondDarl,6,SondDatum,"&gt;="&amp;$E2616,SondDatum,"&lt;="&amp;EOMONTH($E2616,0)),$J2616-$M2616))</f>
      </c>
      <c r="O2616" s="43">
        <f>IF($I2616=0,0,INDEX(DarlErsatzRate,6))</f>
      </c>
      <c r="P2616" s="43">
        <f>IF($I2616=0,0,$Q2615*INDEX(DarlErsatzZins,6))</f>
      </c>
      <c r="Q2616" s="43">
        <f>IF($I2616=0,0,$Q2615+$P2616+$O2616)</f>
      </c>
      <c r="R2616" s="43">
        <f>IF($I2616=0,0,$J2616-$M2616-$N2616)</f>
      </c>
    </row>
    <row r="2617">
      <c r="A2617"/>
      <c r="B2617">
        <v>6</v>
      </c>
      <c r="C2617" s="43">
        <f>INDEX(DarlObj,6)</f>
      </c>
      <c r="D2617">
        <v>214</v>
      </c>
      <c r="E2617" s="51">
        <f>IF(INDEX(DarlBelegt,6)=0,0,EOMONTH(INDEX(DarlAuszahlung,6),213)+1)</f>
      </c>
      <c r="F2617" s="43">
        <f>IF($E2617=0,0,YEAR($E2617))</f>
      </c>
      <c r="G2617" s="43">
        <f>IF(INDEX(DarlBindung,6)="",1,IF($E2617&lt;=INDEX(DarlBindung,6),1,0))</f>
      </c>
      <c r="H2617" s="43">
        <f>IF($G2617=1,INDEX(DarlSollzins,6),INDEX(DarlAnschluss,6))</f>
      </c>
      <c r="I2617" s="43">
        <f>IF(INDEX(DarlBelegt,6)=0,0,IF(INDEX(DarlOhneTilgung,6)=1,IF(INDEX(DarlBindung,6)="",1,$G2617),IF($J2617&gt;0.005,1,0)))</f>
      </c>
      <c r="J2617" s="43">
        <f>IF($I2616=0,0,$R2616)</f>
      </c>
      <c r="K2617" s="43">
        <f>IF($I2617=0,0,IF(INDEX(DarlOhneTilgung,6)=1,0,IF(AND(INDEX(DarlTilgStart,6)&gt;0,$E2617=INDEX(DarlTilgStart,6)),$J2617*($H2617+INDEX(DarlTilgung,6))/100/12,IF(AND($G2617=0,$G2616=1),MAX($K2616,$J2617*($H2617+1)/100/12),$K2616))))</f>
      </c>
      <c r="L2617" s="43">
        <f>IF($I2617=0,0,$J2617*$H2617/100/12)</f>
      </c>
      <c r="M2617" s="43">
        <f>IF($I2617=0,0,IF(OR(INDEX(DarlOhneTilgung,6)=1,AND(INDEX(DarlTilgStart,6)&gt;0,$E2617&lt;INDEX(DarlTilgStart,6))),0,MIN(MAX(0,$K2617-$L2617),$J2617)))</f>
      </c>
      <c r="N2617" s="43">
        <f>IF($I2617=0,0,MIN(SUMIFS(SondBetrag,SondDarl,6,SondDatum,"&gt;="&amp;$E2617,SondDatum,"&lt;="&amp;EOMONTH($E2617,0)),$J2617-$M2617))</f>
      </c>
      <c r="O2617" s="43">
        <f>IF($I2617=0,0,INDEX(DarlErsatzRate,6))</f>
      </c>
      <c r="P2617" s="43">
        <f>IF($I2617=0,0,$Q2616*INDEX(DarlErsatzZins,6))</f>
      </c>
      <c r="Q2617" s="43">
        <f>IF($I2617=0,0,$Q2616+$P2617+$O2617)</f>
      </c>
      <c r="R2617" s="43">
        <f>IF($I2617=0,0,$J2617-$M2617-$N2617)</f>
      </c>
    </row>
    <row r="2618">
      <c r="A2618"/>
      <c r="B2618">
        <v>6</v>
      </c>
      <c r="C2618" s="43">
        <f>INDEX(DarlObj,6)</f>
      </c>
      <c r="D2618">
        <v>215</v>
      </c>
      <c r="E2618" s="51">
        <f>IF(INDEX(DarlBelegt,6)=0,0,EOMONTH(INDEX(DarlAuszahlung,6),214)+1)</f>
      </c>
      <c r="F2618" s="43">
        <f>IF($E2618=0,0,YEAR($E2618))</f>
      </c>
      <c r="G2618" s="43">
        <f>IF(INDEX(DarlBindung,6)="",1,IF($E2618&lt;=INDEX(DarlBindung,6),1,0))</f>
      </c>
      <c r="H2618" s="43">
        <f>IF($G2618=1,INDEX(DarlSollzins,6),INDEX(DarlAnschluss,6))</f>
      </c>
      <c r="I2618" s="43">
        <f>IF(INDEX(DarlBelegt,6)=0,0,IF(INDEX(DarlOhneTilgung,6)=1,IF(INDEX(DarlBindung,6)="",1,$G2618),IF($J2618&gt;0.005,1,0)))</f>
      </c>
      <c r="J2618" s="43">
        <f>IF($I2617=0,0,$R2617)</f>
      </c>
      <c r="K2618" s="43">
        <f>IF($I2618=0,0,IF(INDEX(DarlOhneTilgung,6)=1,0,IF(AND(INDEX(DarlTilgStart,6)&gt;0,$E2618=INDEX(DarlTilgStart,6)),$J2618*($H2618+INDEX(DarlTilgung,6))/100/12,IF(AND($G2618=0,$G2617=1),MAX($K2617,$J2618*($H2618+1)/100/12),$K2617))))</f>
      </c>
      <c r="L2618" s="43">
        <f>IF($I2618=0,0,$J2618*$H2618/100/12)</f>
      </c>
      <c r="M2618" s="43">
        <f>IF($I2618=0,0,IF(OR(INDEX(DarlOhneTilgung,6)=1,AND(INDEX(DarlTilgStart,6)&gt;0,$E2618&lt;INDEX(DarlTilgStart,6))),0,MIN(MAX(0,$K2618-$L2618),$J2618)))</f>
      </c>
      <c r="N2618" s="43">
        <f>IF($I2618=0,0,MIN(SUMIFS(SondBetrag,SondDarl,6,SondDatum,"&gt;="&amp;$E2618,SondDatum,"&lt;="&amp;EOMONTH($E2618,0)),$J2618-$M2618))</f>
      </c>
      <c r="O2618" s="43">
        <f>IF($I2618=0,0,INDEX(DarlErsatzRate,6))</f>
      </c>
      <c r="P2618" s="43">
        <f>IF($I2618=0,0,$Q2617*INDEX(DarlErsatzZins,6))</f>
      </c>
      <c r="Q2618" s="43">
        <f>IF($I2618=0,0,$Q2617+$P2618+$O2618)</f>
      </c>
      <c r="R2618" s="43">
        <f>IF($I2618=0,0,$J2618-$M2618-$N2618)</f>
      </c>
    </row>
    <row r="2619">
      <c r="A2619"/>
      <c r="B2619">
        <v>6</v>
      </c>
      <c r="C2619" s="43">
        <f>INDEX(DarlObj,6)</f>
      </c>
      <c r="D2619">
        <v>216</v>
      </c>
      <c r="E2619" s="51">
        <f>IF(INDEX(DarlBelegt,6)=0,0,EOMONTH(INDEX(DarlAuszahlung,6),215)+1)</f>
      </c>
      <c r="F2619" s="43">
        <f>IF($E2619=0,0,YEAR($E2619))</f>
      </c>
      <c r="G2619" s="43">
        <f>IF(INDEX(DarlBindung,6)="",1,IF($E2619&lt;=INDEX(DarlBindung,6),1,0))</f>
      </c>
      <c r="H2619" s="43">
        <f>IF($G2619=1,INDEX(DarlSollzins,6),INDEX(DarlAnschluss,6))</f>
      </c>
      <c r="I2619" s="43">
        <f>IF(INDEX(DarlBelegt,6)=0,0,IF(INDEX(DarlOhneTilgung,6)=1,IF(INDEX(DarlBindung,6)="",1,$G2619),IF($J2619&gt;0.005,1,0)))</f>
      </c>
      <c r="J2619" s="43">
        <f>IF($I2618=0,0,$R2618)</f>
      </c>
      <c r="K2619" s="43">
        <f>IF($I2619=0,0,IF(INDEX(DarlOhneTilgung,6)=1,0,IF(AND(INDEX(DarlTilgStart,6)&gt;0,$E2619=INDEX(DarlTilgStart,6)),$J2619*($H2619+INDEX(DarlTilgung,6))/100/12,IF(AND($G2619=0,$G2618=1),MAX($K2618,$J2619*($H2619+1)/100/12),$K2618))))</f>
      </c>
      <c r="L2619" s="43">
        <f>IF($I2619=0,0,$J2619*$H2619/100/12)</f>
      </c>
      <c r="M2619" s="43">
        <f>IF($I2619=0,0,IF(OR(INDEX(DarlOhneTilgung,6)=1,AND(INDEX(DarlTilgStart,6)&gt;0,$E2619&lt;INDEX(DarlTilgStart,6))),0,MIN(MAX(0,$K2619-$L2619),$J2619)))</f>
      </c>
      <c r="N2619" s="43">
        <f>IF($I2619=0,0,MIN(SUMIFS(SondBetrag,SondDarl,6,SondDatum,"&gt;="&amp;$E2619,SondDatum,"&lt;="&amp;EOMONTH($E2619,0)),$J2619-$M2619))</f>
      </c>
      <c r="O2619" s="43">
        <f>IF($I2619=0,0,INDEX(DarlErsatzRate,6))</f>
      </c>
      <c r="P2619" s="43">
        <f>IF($I2619=0,0,$Q2618*INDEX(DarlErsatzZins,6))</f>
      </c>
      <c r="Q2619" s="43">
        <f>IF($I2619=0,0,$Q2618+$P2619+$O2619)</f>
      </c>
      <c r="R2619" s="43">
        <f>IF($I2619=0,0,$J2619-$M2619-$N2619)</f>
      </c>
    </row>
    <row r="2620">
      <c r="A2620"/>
      <c r="B2620">
        <v>6</v>
      </c>
      <c r="C2620" s="43">
        <f>INDEX(DarlObj,6)</f>
      </c>
      <c r="D2620">
        <v>217</v>
      </c>
      <c r="E2620" s="51">
        <f>IF(INDEX(DarlBelegt,6)=0,0,EOMONTH(INDEX(DarlAuszahlung,6),216)+1)</f>
      </c>
      <c r="F2620" s="43">
        <f>IF($E2620=0,0,YEAR($E2620))</f>
      </c>
      <c r="G2620" s="43">
        <f>IF(INDEX(DarlBindung,6)="",1,IF($E2620&lt;=INDEX(DarlBindung,6),1,0))</f>
      </c>
      <c r="H2620" s="43">
        <f>IF($G2620=1,INDEX(DarlSollzins,6),INDEX(DarlAnschluss,6))</f>
      </c>
      <c r="I2620" s="43">
        <f>IF(INDEX(DarlBelegt,6)=0,0,IF(INDEX(DarlOhneTilgung,6)=1,IF(INDEX(DarlBindung,6)="",1,$G2620),IF($J2620&gt;0.005,1,0)))</f>
      </c>
      <c r="J2620" s="43">
        <f>IF($I2619=0,0,$R2619)</f>
      </c>
      <c r="K2620" s="43">
        <f>IF($I2620=0,0,IF(INDEX(DarlOhneTilgung,6)=1,0,IF(AND(INDEX(DarlTilgStart,6)&gt;0,$E2620=INDEX(DarlTilgStart,6)),$J2620*($H2620+INDEX(DarlTilgung,6))/100/12,IF(AND($G2620=0,$G2619=1),MAX($K2619,$J2620*($H2620+1)/100/12),$K2619))))</f>
      </c>
      <c r="L2620" s="43">
        <f>IF($I2620=0,0,$J2620*$H2620/100/12)</f>
      </c>
      <c r="M2620" s="43">
        <f>IF($I2620=0,0,IF(OR(INDEX(DarlOhneTilgung,6)=1,AND(INDEX(DarlTilgStart,6)&gt;0,$E2620&lt;INDEX(DarlTilgStart,6))),0,MIN(MAX(0,$K2620-$L2620),$J2620)))</f>
      </c>
      <c r="N2620" s="43">
        <f>IF($I2620=0,0,MIN(SUMIFS(SondBetrag,SondDarl,6,SondDatum,"&gt;="&amp;$E2620,SondDatum,"&lt;="&amp;EOMONTH($E2620,0)),$J2620-$M2620))</f>
      </c>
      <c r="O2620" s="43">
        <f>IF($I2620=0,0,INDEX(DarlErsatzRate,6))</f>
      </c>
      <c r="P2620" s="43">
        <f>IF($I2620=0,0,$Q2619*INDEX(DarlErsatzZins,6))</f>
      </c>
      <c r="Q2620" s="43">
        <f>IF($I2620=0,0,$Q2619+$P2620+$O2620)</f>
      </c>
      <c r="R2620" s="43">
        <f>IF($I2620=0,0,$J2620-$M2620-$N2620)</f>
      </c>
    </row>
    <row r="2621">
      <c r="A2621"/>
      <c r="B2621">
        <v>6</v>
      </c>
      <c r="C2621" s="43">
        <f>INDEX(DarlObj,6)</f>
      </c>
      <c r="D2621">
        <v>218</v>
      </c>
      <c r="E2621" s="51">
        <f>IF(INDEX(DarlBelegt,6)=0,0,EOMONTH(INDEX(DarlAuszahlung,6),217)+1)</f>
      </c>
      <c r="F2621" s="43">
        <f>IF($E2621=0,0,YEAR($E2621))</f>
      </c>
      <c r="G2621" s="43">
        <f>IF(INDEX(DarlBindung,6)="",1,IF($E2621&lt;=INDEX(DarlBindung,6),1,0))</f>
      </c>
      <c r="H2621" s="43">
        <f>IF($G2621=1,INDEX(DarlSollzins,6),INDEX(DarlAnschluss,6))</f>
      </c>
      <c r="I2621" s="43">
        <f>IF(INDEX(DarlBelegt,6)=0,0,IF(INDEX(DarlOhneTilgung,6)=1,IF(INDEX(DarlBindung,6)="",1,$G2621),IF($J2621&gt;0.005,1,0)))</f>
      </c>
      <c r="J2621" s="43">
        <f>IF($I2620=0,0,$R2620)</f>
      </c>
      <c r="K2621" s="43">
        <f>IF($I2621=0,0,IF(INDEX(DarlOhneTilgung,6)=1,0,IF(AND(INDEX(DarlTilgStart,6)&gt;0,$E2621=INDEX(DarlTilgStart,6)),$J2621*($H2621+INDEX(DarlTilgung,6))/100/12,IF(AND($G2621=0,$G2620=1),MAX($K2620,$J2621*($H2621+1)/100/12),$K2620))))</f>
      </c>
      <c r="L2621" s="43">
        <f>IF($I2621=0,0,$J2621*$H2621/100/12)</f>
      </c>
      <c r="M2621" s="43">
        <f>IF($I2621=0,0,IF(OR(INDEX(DarlOhneTilgung,6)=1,AND(INDEX(DarlTilgStart,6)&gt;0,$E2621&lt;INDEX(DarlTilgStart,6))),0,MIN(MAX(0,$K2621-$L2621),$J2621)))</f>
      </c>
      <c r="N2621" s="43">
        <f>IF($I2621=0,0,MIN(SUMIFS(SondBetrag,SondDarl,6,SondDatum,"&gt;="&amp;$E2621,SondDatum,"&lt;="&amp;EOMONTH($E2621,0)),$J2621-$M2621))</f>
      </c>
      <c r="O2621" s="43">
        <f>IF($I2621=0,0,INDEX(DarlErsatzRate,6))</f>
      </c>
      <c r="P2621" s="43">
        <f>IF($I2621=0,0,$Q2620*INDEX(DarlErsatzZins,6))</f>
      </c>
      <c r="Q2621" s="43">
        <f>IF($I2621=0,0,$Q2620+$P2621+$O2621)</f>
      </c>
      <c r="R2621" s="43">
        <f>IF($I2621=0,0,$J2621-$M2621-$N2621)</f>
      </c>
    </row>
    <row r="2622">
      <c r="A2622"/>
      <c r="B2622">
        <v>6</v>
      </c>
      <c r="C2622" s="43">
        <f>INDEX(DarlObj,6)</f>
      </c>
      <c r="D2622">
        <v>219</v>
      </c>
      <c r="E2622" s="51">
        <f>IF(INDEX(DarlBelegt,6)=0,0,EOMONTH(INDEX(DarlAuszahlung,6),218)+1)</f>
      </c>
      <c r="F2622" s="43">
        <f>IF($E2622=0,0,YEAR($E2622))</f>
      </c>
      <c r="G2622" s="43">
        <f>IF(INDEX(DarlBindung,6)="",1,IF($E2622&lt;=INDEX(DarlBindung,6),1,0))</f>
      </c>
      <c r="H2622" s="43">
        <f>IF($G2622=1,INDEX(DarlSollzins,6),INDEX(DarlAnschluss,6))</f>
      </c>
      <c r="I2622" s="43">
        <f>IF(INDEX(DarlBelegt,6)=0,0,IF(INDEX(DarlOhneTilgung,6)=1,IF(INDEX(DarlBindung,6)="",1,$G2622),IF($J2622&gt;0.005,1,0)))</f>
      </c>
      <c r="J2622" s="43">
        <f>IF($I2621=0,0,$R2621)</f>
      </c>
      <c r="K2622" s="43">
        <f>IF($I2622=0,0,IF(INDEX(DarlOhneTilgung,6)=1,0,IF(AND(INDEX(DarlTilgStart,6)&gt;0,$E2622=INDEX(DarlTilgStart,6)),$J2622*($H2622+INDEX(DarlTilgung,6))/100/12,IF(AND($G2622=0,$G2621=1),MAX($K2621,$J2622*($H2622+1)/100/12),$K2621))))</f>
      </c>
      <c r="L2622" s="43">
        <f>IF($I2622=0,0,$J2622*$H2622/100/12)</f>
      </c>
      <c r="M2622" s="43">
        <f>IF($I2622=0,0,IF(OR(INDEX(DarlOhneTilgung,6)=1,AND(INDEX(DarlTilgStart,6)&gt;0,$E2622&lt;INDEX(DarlTilgStart,6))),0,MIN(MAX(0,$K2622-$L2622),$J2622)))</f>
      </c>
      <c r="N2622" s="43">
        <f>IF($I2622=0,0,MIN(SUMIFS(SondBetrag,SondDarl,6,SondDatum,"&gt;="&amp;$E2622,SondDatum,"&lt;="&amp;EOMONTH($E2622,0)),$J2622-$M2622))</f>
      </c>
      <c r="O2622" s="43">
        <f>IF($I2622=0,0,INDEX(DarlErsatzRate,6))</f>
      </c>
      <c r="P2622" s="43">
        <f>IF($I2622=0,0,$Q2621*INDEX(DarlErsatzZins,6))</f>
      </c>
      <c r="Q2622" s="43">
        <f>IF($I2622=0,0,$Q2621+$P2622+$O2622)</f>
      </c>
      <c r="R2622" s="43">
        <f>IF($I2622=0,0,$J2622-$M2622-$N2622)</f>
      </c>
    </row>
    <row r="2623">
      <c r="A2623"/>
      <c r="B2623">
        <v>6</v>
      </c>
      <c r="C2623" s="43">
        <f>INDEX(DarlObj,6)</f>
      </c>
      <c r="D2623">
        <v>220</v>
      </c>
      <c r="E2623" s="51">
        <f>IF(INDEX(DarlBelegt,6)=0,0,EOMONTH(INDEX(DarlAuszahlung,6),219)+1)</f>
      </c>
      <c r="F2623" s="43">
        <f>IF($E2623=0,0,YEAR($E2623))</f>
      </c>
      <c r="G2623" s="43">
        <f>IF(INDEX(DarlBindung,6)="",1,IF($E2623&lt;=INDEX(DarlBindung,6),1,0))</f>
      </c>
      <c r="H2623" s="43">
        <f>IF($G2623=1,INDEX(DarlSollzins,6),INDEX(DarlAnschluss,6))</f>
      </c>
      <c r="I2623" s="43">
        <f>IF(INDEX(DarlBelegt,6)=0,0,IF(INDEX(DarlOhneTilgung,6)=1,IF(INDEX(DarlBindung,6)="",1,$G2623),IF($J2623&gt;0.005,1,0)))</f>
      </c>
      <c r="J2623" s="43">
        <f>IF($I2622=0,0,$R2622)</f>
      </c>
      <c r="K2623" s="43">
        <f>IF($I2623=0,0,IF(INDEX(DarlOhneTilgung,6)=1,0,IF(AND(INDEX(DarlTilgStart,6)&gt;0,$E2623=INDEX(DarlTilgStart,6)),$J2623*($H2623+INDEX(DarlTilgung,6))/100/12,IF(AND($G2623=0,$G2622=1),MAX($K2622,$J2623*($H2623+1)/100/12),$K2622))))</f>
      </c>
      <c r="L2623" s="43">
        <f>IF($I2623=0,0,$J2623*$H2623/100/12)</f>
      </c>
      <c r="M2623" s="43">
        <f>IF($I2623=0,0,IF(OR(INDEX(DarlOhneTilgung,6)=1,AND(INDEX(DarlTilgStart,6)&gt;0,$E2623&lt;INDEX(DarlTilgStart,6))),0,MIN(MAX(0,$K2623-$L2623),$J2623)))</f>
      </c>
      <c r="N2623" s="43">
        <f>IF($I2623=0,0,MIN(SUMIFS(SondBetrag,SondDarl,6,SondDatum,"&gt;="&amp;$E2623,SondDatum,"&lt;="&amp;EOMONTH($E2623,0)),$J2623-$M2623))</f>
      </c>
      <c r="O2623" s="43">
        <f>IF($I2623=0,0,INDEX(DarlErsatzRate,6))</f>
      </c>
      <c r="P2623" s="43">
        <f>IF($I2623=0,0,$Q2622*INDEX(DarlErsatzZins,6))</f>
      </c>
      <c r="Q2623" s="43">
        <f>IF($I2623=0,0,$Q2622+$P2623+$O2623)</f>
      </c>
      <c r="R2623" s="43">
        <f>IF($I2623=0,0,$J2623-$M2623-$N2623)</f>
      </c>
    </row>
    <row r="2624">
      <c r="A2624"/>
      <c r="B2624">
        <v>6</v>
      </c>
      <c r="C2624" s="43">
        <f>INDEX(DarlObj,6)</f>
      </c>
      <c r="D2624">
        <v>221</v>
      </c>
      <c r="E2624" s="51">
        <f>IF(INDEX(DarlBelegt,6)=0,0,EOMONTH(INDEX(DarlAuszahlung,6),220)+1)</f>
      </c>
      <c r="F2624" s="43">
        <f>IF($E2624=0,0,YEAR($E2624))</f>
      </c>
      <c r="G2624" s="43">
        <f>IF(INDEX(DarlBindung,6)="",1,IF($E2624&lt;=INDEX(DarlBindung,6),1,0))</f>
      </c>
      <c r="H2624" s="43">
        <f>IF($G2624=1,INDEX(DarlSollzins,6),INDEX(DarlAnschluss,6))</f>
      </c>
      <c r="I2624" s="43">
        <f>IF(INDEX(DarlBelegt,6)=0,0,IF(INDEX(DarlOhneTilgung,6)=1,IF(INDEX(DarlBindung,6)="",1,$G2624),IF($J2624&gt;0.005,1,0)))</f>
      </c>
      <c r="J2624" s="43">
        <f>IF($I2623=0,0,$R2623)</f>
      </c>
      <c r="K2624" s="43">
        <f>IF($I2624=0,0,IF(INDEX(DarlOhneTilgung,6)=1,0,IF(AND(INDEX(DarlTilgStart,6)&gt;0,$E2624=INDEX(DarlTilgStart,6)),$J2624*($H2624+INDEX(DarlTilgung,6))/100/12,IF(AND($G2624=0,$G2623=1),MAX($K2623,$J2624*($H2624+1)/100/12),$K2623))))</f>
      </c>
      <c r="L2624" s="43">
        <f>IF($I2624=0,0,$J2624*$H2624/100/12)</f>
      </c>
      <c r="M2624" s="43">
        <f>IF($I2624=0,0,IF(OR(INDEX(DarlOhneTilgung,6)=1,AND(INDEX(DarlTilgStart,6)&gt;0,$E2624&lt;INDEX(DarlTilgStart,6))),0,MIN(MAX(0,$K2624-$L2624),$J2624)))</f>
      </c>
      <c r="N2624" s="43">
        <f>IF($I2624=0,0,MIN(SUMIFS(SondBetrag,SondDarl,6,SondDatum,"&gt;="&amp;$E2624,SondDatum,"&lt;="&amp;EOMONTH($E2624,0)),$J2624-$M2624))</f>
      </c>
      <c r="O2624" s="43">
        <f>IF($I2624=0,0,INDEX(DarlErsatzRate,6))</f>
      </c>
      <c r="P2624" s="43">
        <f>IF($I2624=0,0,$Q2623*INDEX(DarlErsatzZins,6))</f>
      </c>
      <c r="Q2624" s="43">
        <f>IF($I2624=0,0,$Q2623+$P2624+$O2624)</f>
      </c>
      <c r="R2624" s="43">
        <f>IF($I2624=0,0,$J2624-$M2624-$N2624)</f>
      </c>
    </row>
    <row r="2625">
      <c r="A2625"/>
      <c r="B2625">
        <v>6</v>
      </c>
      <c r="C2625" s="43">
        <f>INDEX(DarlObj,6)</f>
      </c>
      <c r="D2625">
        <v>222</v>
      </c>
      <c r="E2625" s="51">
        <f>IF(INDEX(DarlBelegt,6)=0,0,EOMONTH(INDEX(DarlAuszahlung,6),221)+1)</f>
      </c>
      <c r="F2625" s="43">
        <f>IF($E2625=0,0,YEAR($E2625))</f>
      </c>
      <c r="G2625" s="43">
        <f>IF(INDEX(DarlBindung,6)="",1,IF($E2625&lt;=INDEX(DarlBindung,6),1,0))</f>
      </c>
      <c r="H2625" s="43">
        <f>IF($G2625=1,INDEX(DarlSollzins,6),INDEX(DarlAnschluss,6))</f>
      </c>
      <c r="I2625" s="43">
        <f>IF(INDEX(DarlBelegt,6)=0,0,IF(INDEX(DarlOhneTilgung,6)=1,IF(INDEX(DarlBindung,6)="",1,$G2625),IF($J2625&gt;0.005,1,0)))</f>
      </c>
      <c r="J2625" s="43">
        <f>IF($I2624=0,0,$R2624)</f>
      </c>
      <c r="K2625" s="43">
        <f>IF($I2625=0,0,IF(INDEX(DarlOhneTilgung,6)=1,0,IF(AND(INDEX(DarlTilgStart,6)&gt;0,$E2625=INDEX(DarlTilgStart,6)),$J2625*($H2625+INDEX(DarlTilgung,6))/100/12,IF(AND($G2625=0,$G2624=1),MAX($K2624,$J2625*($H2625+1)/100/12),$K2624))))</f>
      </c>
      <c r="L2625" s="43">
        <f>IF($I2625=0,0,$J2625*$H2625/100/12)</f>
      </c>
      <c r="M2625" s="43">
        <f>IF($I2625=0,0,IF(OR(INDEX(DarlOhneTilgung,6)=1,AND(INDEX(DarlTilgStart,6)&gt;0,$E2625&lt;INDEX(DarlTilgStart,6))),0,MIN(MAX(0,$K2625-$L2625),$J2625)))</f>
      </c>
      <c r="N2625" s="43">
        <f>IF($I2625=0,0,MIN(SUMIFS(SondBetrag,SondDarl,6,SondDatum,"&gt;="&amp;$E2625,SondDatum,"&lt;="&amp;EOMONTH($E2625,0)),$J2625-$M2625))</f>
      </c>
      <c r="O2625" s="43">
        <f>IF($I2625=0,0,INDEX(DarlErsatzRate,6))</f>
      </c>
      <c r="P2625" s="43">
        <f>IF($I2625=0,0,$Q2624*INDEX(DarlErsatzZins,6))</f>
      </c>
      <c r="Q2625" s="43">
        <f>IF($I2625=0,0,$Q2624+$P2625+$O2625)</f>
      </c>
      <c r="R2625" s="43">
        <f>IF($I2625=0,0,$J2625-$M2625-$N2625)</f>
      </c>
    </row>
    <row r="2626">
      <c r="A2626"/>
      <c r="B2626">
        <v>6</v>
      </c>
      <c r="C2626" s="43">
        <f>INDEX(DarlObj,6)</f>
      </c>
      <c r="D2626">
        <v>223</v>
      </c>
      <c r="E2626" s="51">
        <f>IF(INDEX(DarlBelegt,6)=0,0,EOMONTH(INDEX(DarlAuszahlung,6),222)+1)</f>
      </c>
      <c r="F2626" s="43">
        <f>IF($E2626=0,0,YEAR($E2626))</f>
      </c>
      <c r="G2626" s="43">
        <f>IF(INDEX(DarlBindung,6)="",1,IF($E2626&lt;=INDEX(DarlBindung,6),1,0))</f>
      </c>
      <c r="H2626" s="43">
        <f>IF($G2626=1,INDEX(DarlSollzins,6),INDEX(DarlAnschluss,6))</f>
      </c>
      <c r="I2626" s="43">
        <f>IF(INDEX(DarlBelegt,6)=0,0,IF(INDEX(DarlOhneTilgung,6)=1,IF(INDEX(DarlBindung,6)="",1,$G2626),IF($J2626&gt;0.005,1,0)))</f>
      </c>
      <c r="J2626" s="43">
        <f>IF($I2625=0,0,$R2625)</f>
      </c>
      <c r="K2626" s="43">
        <f>IF($I2626=0,0,IF(INDEX(DarlOhneTilgung,6)=1,0,IF(AND(INDEX(DarlTilgStart,6)&gt;0,$E2626=INDEX(DarlTilgStart,6)),$J2626*($H2626+INDEX(DarlTilgung,6))/100/12,IF(AND($G2626=0,$G2625=1),MAX($K2625,$J2626*($H2626+1)/100/12),$K2625))))</f>
      </c>
      <c r="L2626" s="43">
        <f>IF($I2626=0,0,$J2626*$H2626/100/12)</f>
      </c>
      <c r="M2626" s="43">
        <f>IF($I2626=0,0,IF(OR(INDEX(DarlOhneTilgung,6)=1,AND(INDEX(DarlTilgStart,6)&gt;0,$E2626&lt;INDEX(DarlTilgStart,6))),0,MIN(MAX(0,$K2626-$L2626),$J2626)))</f>
      </c>
      <c r="N2626" s="43">
        <f>IF($I2626=0,0,MIN(SUMIFS(SondBetrag,SondDarl,6,SondDatum,"&gt;="&amp;$E2626,SondDatum,"&lt;="&amp;EOMONTH($E2626,0)),$J2626-$M2626))</f>
      </c>
      <c r="O2626" s="43">
        <f>IF($I2626=0,0,INDEX(DarlErsatzRate,6))</f>
      </c>
      <c r="P2626" s="43">
        <f>IF($I2626=0,0,$Q2625*INDEX(DarlErsatzZins,6))</f>
      </c>
      <c r="Q2626" s="43">
        <f>IF($I2626=0,0,$Q2625+$P2626+$O2626)</f>
      </c>
      <c r="R2626" s="43">
        <f>IF($I2626=0,0,$J2626-$M2626-$N2626)</f>
      </c>
    </row>
    <row r="2627">
      <c r="A2627"/>
      <c r="B2627">
        <v>6</v>
      </c>
      <c r="C2627" s="43">
        <f>INDEX(DarlObj,6)</f>
      </c>
      <c r="D2627">
        <v>224</v>
      </c>
      <c r="E2627" s="51">
        <f>IF(INDEX(DarlBelegt,6)=0,0,EOMONTH(INDEX(DarlAuszahlung,6),223)+1)</f>
      </c>
      <c r="F2627" s="43">
        <f>IF($E2627=0,0,YEAR($E2627))</f>
      </c>
      <c r="G2627" s="43">
        <f>IF(INDEX(DarlBindung,6)="",1,IF($E2627&lt;=INDEX(DarlBindung,6),1,0))</f>
      </c>
      <c r="H2627" s="43">
        <f>IF($G2627=1,INDEX(DarlSollzins,6),INDEX(DarlAnschluss,6))</f>
      </c>
      <c r="I2627" s="43">
        <f>IF(INDEX(DarlBelegt,6)=0,0,IF(INDEX(DarlOhneTilgung,6)=1,IF(INDEX(DarlBindung,6)="",1,$G2627),IF($J2627&gt;0.005,1,0)))</f>
      </c>
      <c r="J2627" s="43">
        <f>IF($I2626=0,0,$R2626)</f>
      </c>
      <c r="K2627" s="43">
        <f>IF($I2627=0,0,IF(INDEX(DarlOhneTilgung,6)=1,0,IF(AND(INDEX(DarlTilgStart,6)&gt;0,$E2627=INDEX(DarlTilgStart,6)),$J2627*($H2627+INDEX(DarlTilgung,6))/100/12,IF(AND($G2627=0,$G2626=1),MAX($K2626,$J2627*($H2627+1)/100/12),$K2626))))</f>
      </c>
      <c r="L2627" s="43">
        <f>IF($I2627=0,0,$J2627*$H2627/100/12)</f>
      </c>
      <c r="M2627" s="43">
        <f>IF($I2627=0,0,IF(OR(INDEX(DarlOhneTilgung,6)=1,AND(INDEX(DarlTilgStart,6)&gt;0,$E2627&lt;INDEX(DarlTilgStart,6))),0,MIN(MAX(0,$K2627-$L2627),$J2627)))</f>
      </c>
      <c r="N2627" s="43">
        <f>IF($I2627=0,0,MIN(SUMIFS(SondBetrag,SondDarl,6,SondDatum,"&gt;="&amp;$E2627,SondDatum,"&lt;="&amp;EOMONTH($E2627,0)),$J2627-$M2627))</f>
      </c>
      <c r="O2627" s="43">
        <f>IF($I2627=0,0,INDEX(DarlErsatzRate,6))</f>
      </c>
      <c r="P2627" s="43">
        <f>IF($I2627=0,0,$Q2626*INDEX(DarlErsatzZins,6))</f>
      </c>
      <c r="Q2627" s="43">
        <f>IF($I2627=0,0,$Q2626+$P2627+$O2627)</f>
      </c>
      <c r="R2627" s="43">
        <f>IF($I2627=0,0,$J2627-$M2627-$N2627)</f>
      </c>
    </row>
    <row r="2628">
      <c r="A2628"/>
      <c r="B2628">
        <v>6</v>
      </c>
      <c r="C2628" s="43">
        <f>INDEX(DarlObj,6)</f>
      </c>
      <c r="D2628">
        <v>225</v>
      </c>
      <c r="E2628" s="51">
        <f>IF(INDEX(DarlBelegt,6)=0,0,EOMONTH(INDEX(DarlAuszahlung,6),224)+1)</f>
      </c>
      <c r="F2628" s="43">
        <f>IF($E2628=0,0,YEAR($E2628))</f>
      </c>
      <c r="G2628" s="43">
        <f>IF(INDEX(DarlBindung,6)="",1,IF($E2628&lt;=INDEX(DarlBindung,6),1,0))</f>
      </c>
      <c r="H2628" s="43">
        <f>IF($G2628=1,INDEX(DarlSollzins,6),INDEX(DarlAnschluss,6))</f>
      </c>
      <c r="I2628" s="43">
        <f>IF(INDEX(DarlBelegt,6)=0,0,IF(INDEX(DarlOhneTilgung,6)=1,IF(INDEX(DarlBindung,6)="",1,$G2628),IF($J2628&gt;0.005,1,0)))</f>
      </c>
      <c r="J2628" s="43">
        <f>IF($I2627=0,0,$R2627)</f>
      </c>
      <c r="K2628" s="43">
        <f>IF($I2628=0,0,IF(INDEX(DarlOhneTilgung,6)=1,0,IF(AND(INDEX(DarlTilgStart,6)&gt;0,$E2628=INDEX(DarlTilgStart,6)),$J2628*($H2628+INDEX(DarlTilgung,6))/100/12,IF(AND($G2628=0,$G2627=1),MAX($K2627,$J2628*($H2628+1)/100/12),$K2627))))</f>
      </c>
      <c r="L2628" s="43">
        <f>IF($I2628=0,0,$J2628*$H2628/100/12)</f>
      </c>
      <c r="M2628" s="43">
        <f>IF($I2628=0,0,IF(OR(INDEX(DarlOhneTilgung,6)=1,AND(INDEX(DarlTilgStart,6)&gt;0,$E2628&lt;INDEX(DarlTilgStart,6))),0,MIN(MAX(0,$K2628-$L2628),$J2628)))</f>
      </c>
      <c r="N2628" s="43">
        <f>IF($I2628=0,0,MIN(SUMIFS(SondBetrag,SondDarl,6,SondDatum,"&gt;="&amp;$E2628,SondDatum,"&lt;="&amp;EOMONTH($E2628,0)),$J2628-$M2628))</f>
      </c>
      <c r="O2628" s="43">
        <f>IF($I2628=0,0,INDEX(DarlErsatzRate,6))</f>
      </c>
      <c r="P2628" s="43">
        <f>IF($I2628=0,0,$Q2627*INDEX(DarlErsatzZins,6))</f>
      </c>
      <c r="Q2628" s="43">
        <f>IF($I2628=0,0,$Q2627+$P2628+$O2628)</f>
      </c>
      <c r="R2628" s="43">
        <f>IF($I2628=0,0,$J2628-$M2628-$N2628)</f>
      </c>
    </row>
    <row r="2629">
      <c r="A2629"/>
      <c r="B2629">
        <v>6</v>
      </c>
      <c r="C2629" s="43">
        <f>INDEX(DarlObj,6)</f>
      </c>
      <c r="D2629">
        <v>226</v>
      </c>
      <c r="E2629" s="51">
        <f>IF(INDEX(DarlBelegt,6)=0,0,EOMONTH(INDEX(DarlAuszahlung,6),225)+1)</f>
      </c>
      <c r="F2629" s="43">
        <f>IF($E2629=0,0,YEAR($E2629))</f>
      </c>
      <c r="G2629" s="43">
        <f>IF(INDEX(DarlBindung,6)="",1,IF($E2629&lt;=INDEX(DarlBindung,6),1,0))</f>
      </c>
      <c r="H2629" s="43">
        <f>IF($G2629=1,INDEX(DarlSollzins,6),INDEX(DarlAnschluss,6))</f>
      </c>
      <c r="I2629" s="43">
        <f>IF(INDEX(DarlBelegt,6)=0,0,IF(INDEX(DarlOhneTilgung,6)=1,IF(INDEX(DarlBindung,6)="",1,$G2629),IF($J2629&gt;0.005,1,0)))</f>
      </c>
      <c r="J2629" s="43">
        <f>IF($I2628=0,0,$R2628)</f>
      </c>
      <c r="K2629" s="43">
        <f>IF($I2629=0,0,IF(INDEX(DarlOhneTilgung,6)=1,0,IF(AND(INDEX(DarlTilgStart,6)&gt;0,$E2629=INDEX(DarlTilgStart,6)),$J2629*($H2629+INDEX(DarlTilgung,6))/100/12,IF(AND($G2629=0,$G2628=1),MAX($K2628,$J2629*($H2629+1)/100/12),$K2628))))</f>
      </c>
      <c r="L2629" s="43">
        <f>IF($I2629=0,0,$J2629*$H2629/100/12)</f>
      </c>
      <c r="M2629" s="43">
        <f>IF($I2629=0,0,IF(OR(INDEX(DarlOhneTilgung,6)=1,AND(INDEX(DarlTilgStart,6)&gt;0,$E2629&lt;INDEX(DarlTilgStart,6))),0,MIN(MAX(0,$K2629-$L2629),$J2629)))</f>
      </c>
      <c r="N2629" s="43">
        <f>IF($I2629=0,0,MIN(SUMIFS(SondBetrag,SondDarl,6,SondDatum,"&gt;="&amp;$E2629,SondDatum,"&lt;="&amp;EOMONTH($E2629,0)),$J2629-$M2629))</f>
      </c>
      <c r="O2629" s="43">
        <f>IF($I2629=0,0,INDEX(DarlErsatzRate,6))</f>
      </c>
      <c r="P2629" s="43">
        <f>IF($I2629=0,0,$Q2628*INDEX(DarlErsatzZins,6))</f>
      </c>
      <c r="Q2629" s="43">
        <f>IF($I2629=0,0,$Q2628+$P2629+$O2629)</f>
      </c>
      <c r="R2629" s="43">
        <f>IF($I2629=0,0,$J2629-$M2629-$N2629)</f>
      </c>
    </row>
    <row r="2630">
      <c r="A2630"/>
      <c r="B2630">
        <v>6</v>
      </c>
      <c r="C2630" s="43">
        <f>INDEX(DarlObj,6)</f>
      </c>
      <c r="D2630">
        <v>227</v>
      </c>
      <c r="E2630" s="51">
        <f>IF(INDEX(DarlBelegt,6)=0,0,EOMONTH(INDEX(DarlAuszahlung,6),226)+1)</f>
      </c>
      <c r="F2630" s="43">
        <f>IF($E2630=0,0,YEAR($E2630))</f>
      </c>
      <c r="G2630" s="43">
        <f>IF(INDEX(DarlBindung,6)="",1,IF($E2630&lt;=INDEX(DarlBindung,6),1,0))</f>
      </c>
      <c r="H2630" s="43">
        <f>IF($G2630=1,INDEX(DarlSollzins,6),INDEX(DarlAnschluss,6))</f>
      </c>
      <c r="I2630" s="43">
        <f>IF(INDEX(DarlBelegt,6)=0,0,IF(INDEX(DarlOhneTilgung,6)=1,IF(INDEX(DarlBindung,6)="",1,$G2630),IF($J2630&gt;0.005,1,0)))</f>
      </c>
      <c r="J2630" s="43">
        <f>IF($I2629=0,0,$R2629)</f>
      </c>
      <c r="K2630" s="43">
        <f>IF($I2630=0,0,IF(INDEX(DarlOhneTilgung,6)=1,0,IF(AND(INDEX(DarlTilgStart,6)&gt;0,$E2630=INDEX(DarlTilgStart,6)),$J2630*($H2630+INDEX(DarlTilgung,6))/100/12,IF(AND($G2630=0,$G2629=1),MAX($K2629,$J2630*($H2630+1)/100/12),$K2629))))</f>
      </c>
      <c r="L2630" s="43">
        <f>IF($I2630=0,0,$J2630*$H2630/100/12)</f>
      </c>
      <c r="M2630" s="43">
        <f>IF($I2630=0,0,IF(OR(INDEX(DarlOhneTilgung,6)=1,AND(INDEX(DarlTilgStart,6)&gt;0,$E2630&lt;INDEX(DarlTilgStart,6))),0,MIN(MAX(0,$K2630-$L2630),$J2630)))</f>
      </c>
      <c r="N2630" s="43">
        <f>IF($I2630=0,0,MIN(SUMIFS(SondBetrag,SondDarl,6,SondDatum,"&gt;="&amp;$E2630,SondDatum,"&lt;="&amp;EOMONTH($E2630,0)),$J2630-$M2630))</f>
      </c>
      <c r="O2630" s="43">
        <f>IF($I2630=0,0,INDEX(DarlErsatzRate,6))</f>
      </c>
      <c r="P2630" s="43">
        <f>IF($I2630=0,0,$Q2629*INDEX(DarlErsatzZins,6))</f>
      </c>
      <c r="Q2630" s="43">
        <f>IF($I2630=0,0,$Q2629+$P2630+$O2630)</f>
      </c>
      <c r="R2630" s="43">
        <f>IF($I2630=0,0,$J2630-$M2630-$N2630)</f>
      </c>
    </row>
    <row r="2631">
      <c r="A2631"/>
      <c r="B2631">
        <v>6</v>
      </c>
      <c r="C2631" s="43">
        <f>INDEX(DarlObj,6)</f>
      </c>
      <c r="D2631">
        <v>228</v>
      </c>
      <c r="E2631" s="51">
        <f>IF(INDEX(DarlBelegt,6)=0,0,EOMONTH(INDEX(DarlAuszahlung,6),227)+1)</f>
      </c>
      <c r="F2631" s="43">
        <f>IF($E2631=0,0,YEAR($E2631))</f>
      </c>
      <c r="G2631" s="43">
        <f>IF(INDEX(DarlBindung,6)="",1,IF($E2631&lt;=INDEX(DarlBindung,6),1,0))</f>
      </c>
      <c r="H2631" s="43">
        <f>IF($G2631=1,INDEX(DarlSollzins,6),INDEX(DarlAnschluss,6))</f>
      </c>
      <c r="I2631" s="43">
        <f>IF(INDEX(DarlBelegt,6)=0,0,IF(INDEX(DarlOhneTilgung,6)=1,IF(INDEX(DarlBindung,6)="",1,$G2631),IF($J2631&gt;0.005,1,0)))</f>
      </c>
      <c r="J2631" s="43">
        <f>IF($I2630=0,0,$R2630)</f>
      </c>
      <c r="K2631" s="43">
        <f>IF($I2631=0,0,IF(INDEX(DarlOhneTilgung,6)=1,0,IF(AND(INDEX(DarlTilgStart,6)&gt;0,$E2631=INDEX(DarlTilgStart,6)),$J2631*($H2631+INDEX(DarlTilgung,6))/100/12,IF(AND($G2631=0,$G2630=1),MAX($K2630,$J2631*($H2631+1)/100/12),$K2630))))</f>
      </c>
      <c r="L2631" s="43">
        <f>IF($I2631=0,0,$J2631*$H2631/100/12)</f>
      </c>
      <c r="M2631" s="43">
        <f>IF($I2631=0,0,IF(OR(INDEX(DarlOhneTilgung,6)=1,AND(INDEX(DarlTilgStart,6)&gt;0,$E2631&lt;INDEX(DarlTilgStart,6))),0,MIN(MAX(0,$K2631-$L2631),$J2631)))</f>
      </c>
      <c r="N2631" s="43">
        <f>IF($I2631=0,0,MIN(SUMIFS(SondBetrag,SondDarl,6,SondDatum,"&gt;="&amp;$E2631,SondDatum,"&lt;="&amp;EOMONTH($E2631,0)),$J2631-$M2631))</f>
      </c>
      <c r="O2631" s="43">
        <f>IF($I2631=0,0,INDEX(DarlErsatzRate,6))</f>
      </c>
      <c r="P2631" s="43">
        <f>IF($I2631=0,0,$Q2630*INDEX(DarlErsatzZins,6))</f>
      </c>
      <c r="Q2631" s="43">
        <f>IF($I2631=0,0,$Q2630+$P2631+$O2631)</f>
      </c>
      <c r="R2631" s="43">
        <f>IF($I2631=0,0,$J2631-$M2631-$N2631)</f>
      </c>
    </row>
    <row r="2632">
      <c r="A2632"/>
      <c r="B2632">
        <v>6</v>
      </c>
      <c r="C2632" s="43">
        <f>INDEX(DarlObj,6)</f>
      </c>
      <c r="D2632">
        <v>229</v>
      </c>
      <c r="E2632" s="51">
        <f>IF(INDEX(DarlBelegt,6)=0,0,EOMONTH(INDEX(DarlAuszahlung,6),228)+1)</f>
      </c>
      <c r="F2632" s="43">
        <f>IF($E2632=0,0,YEAR($E2632))</f>
      </c>
      <c r="G2632" s="43">
        <f>IF(INDEX(DarlBindung,6)="",1,IF($E2632&lt;=INDEX(DarlBindung,6),1,0))</f>
      </c>
      <c r="H2632" s="43">
        <f>IF($G2632=1,INDEX(DarlSollzins,6),INDEX(DarlAnschluss,6))</f>
      </c>
      <c r="I2632" s="43">
        <f>IF(INDEX(DarlBelegt,6)=0,0,IF(INDEX(DarlOhneTilgung,6)=1,IF(INDEX(DarlBindung,6)="",1,$G2632),IF($J2632&gt;0.005,1,0)))</f>
      </c>
      <c r="J2632" s="43">
        <f>IF($I2631=0,0,$R2631)</f>
      </c>
      <c r="K2632" s="43">
        <f>IF($I2632=0,0,IF(INDEX(DarlOhneTilgung,6)=1,0,IF(AND(INDEX(DarlTilgStart,6)&gt;0,$E2632=INDEX(DarlTilgStart,6)),$J2632*($H2632+INDEX(DarlTilgung,6))/100/12,IF(AND($G2632=0,$G2631=1),MAX($K2631,$J2632*($H2632+1)/100/12),$K2631))))</f>
      </c>
      <c r="L2632" s="43">
        <f>IF($I2632=0,0,$J2632*$H2632/100/12)</f>
      </c>
      <c r="M2632" s="43">
        <f>IF($I2632=0,0,IF(OR(INDEX(DarlOhneTilgung,6)=1,AND(INDEX(DarlTilgStart,6)&gt;0,$E2632&lt;INDEX(DarlTilgStart,6))),0,MIN(MAX(0,$K2632-$L2632),$J2632)))</f>
      </c>
      <c r="N2632" s="43">
        <f>IF($I2632=0,0,MIN(SUMIFS(SondBetrag,SondDarl,6,SondDatum,"&gt;="&amp;$E2632,SondDatum,"&lt;="&amp;EOMONTH($E2632,0)),$J2632-$M2632))</f>
      </c>
      <c r="O2632" s="43">
        <f>IF($I2632=0,0,INDEX(DarlErsatzRate,6))</f>
      </c>
      <c r="P2632" s="43">
        <f>IF($I2632=0,0,$Q2631*INDEX(DarlErsatzZins,6))</f>
      </c>
      <c r="Q2632" s="43">
        <f>IF($I2632=0,0,$Q2631+$P2632+$O2632)</f>
      </c>
      <c r="R2632" s="43">
        <f>IF($I2632=0,0,$J2632-$M2632-$N2632)</f>
      </c>
    </row>
    <row r="2633">
      <c r="A2633"/>
      <c r="B2633">
        <v>6</v>
      </c>
      <c r="C2633" s="43">
        <f>INDEX(DarlObj,6)</f>
      </c>
      <c r="D2633">
        <v>230</v>
      </c>
      <c r="E2633" s="51">
        <f>IF(INDEX(DarlBelegt,6)=0,0,EOMONTH(INDEX(DarlAuszahlung,6),229)+1)</f>
      </c>
      <c r="F2633" s="43">
        <f>IF($E2633=0,0,YEAR($E2633))</f>
      </c>
      <c r="G2633" s="43">
        <f>IF(INDEX(DarlBindung,6)="",1,IF($E2633&lt;=INDEX(DarlBindung,6),1,0))</f>
      </c>
      <c r="H2633" s="43">
        <f>IF($G2633=1,INDEX(DarlSollzins,6),INDEX(DarlAnschluss,6))</f>
      </c>
      <c r="I2633" s="43">
        <f>IF(INDEX(DarlBelegt,6)=0,0,IF(INDEX(DarlOhneTilgung,6)=1,IF(INDEX(DarlBindung,6)="",1,$G2633),IF($J2633&gt;0.005,1,0)))</f>
      </c>
      <c r="J2633" s="43">
        <f>IF($I2632=0,0,$R2632)</f>
      </c>
      <c r="K2633" s="43">
        <f>IF($I2633=0,0,IF(INDEX(DarlOhneTilgung,6)=1,0,IF(AND(INDEX(DarlTilgStart,6)&gt;0,$E2633=INDEX(DarlTilgStart,6)),$J2633*($H2633+INDEX(DarlTilgung,6))/100/12,IF(AND($G2633=0,$G2632=1),MAX($K2632,$J2633*($H2633+1)/100/12),$K2632))))</f>
      </c>
      <c r="L2633" s="43">
        <f>IF($I2633=0,0,$J2633*$H2633/100/12)</f>
      </c>
      <c r="M2633" s="43">
        <f>IF($I2633=0,0,IF(OR(INDEX(DarlOhneTilgung,6)=1,AND(INDEX(DarlTilgStart,6)&gt;0,$E2633&lt;INDEX(DarlTilgStart,6))),0,MIN(MAX(0,$K2633-$L2633),$J2633)))</f>
      </c>
      <c r="N2633" s="43">
        <f>IF($I2633=0,0,MIN(SUMIFS(SondBetrag,SondDarl,6,SondDatum,"&gt;="&amp;$E2633,SondDatum,"&lt;="&amp;EOMONTH($E2633,0)),$J2633-$M2633))</f>
      </c>
      <c r="O2633" s="43">
        <f>IF($I2633=0,0,INDEX(DarlErsatzRate,6))</f>
      </c>
      <c r="P2633" s="43">
        <f>IF($I2633=0,0,$Q2632*INDEX(DarlErsatzZins,6))</f>
      </c>
      <c r="Q2633" s="43">
        <f>IF($I2633=0,0,$Q2632+$P2633+$O2633)</f>
      </c>
      <c r="R2633" s="43">
        <f>IF($I2633=0,0,$J2633-$M2633-$N2633)</f>
      </c>
    </row>
    <row r="2634">
      <c r="A2634"/>
      <c r="B2634">
        <v>6</v>
      </c>
      <c r="C2634" s="43">
        <f>INDEX(DarlObj,6)</f>
      </c>
      <c r="D2634">
        <v>231</v>
      </c>
      <c r="E2634" s="51">
        <f>IF(INDEX(DarlBelegt,6)=0,0,EOMONTH(INDEX(DarlAuszahlung,6),230)+1)</f>
      </c>
      <c r="F2634" s="43">
        <f>IF($E2634=0,0,YEAR($E2634))</f>
      </c>
      <c r="G2634" s="43">
        <f>IF(INDEX(DarlBindung,6)="",1,IF($E2634&lt;=INDEX(DarlBindung,6),1,0))</f>
      </c>
      <c r="H2634" s="43">
        <f>IF($G2634=1,INDEX(DarlSollzins,6),INDEX(DarlAnschluss,6))</f>
      </c>
      <c r="I2634" s="43">
        <f>IF(INDEX(DarlBelegt,6)=0,0,IF(INDEX(DarlOhneTilgung,6)=1,IF(INDEX(DarlBindung,6)="",1,$G2634),IF($J2634&gt;0.005,1,0)))</f>
      </c>
      <c r="J2634" s="43">
        <f>IF($I2633=0,0,$R2633)</f>
      </c>
      <c r="K2634" s="43">
        <f>IF($I2634=0,0,IF(INDEX(DarlOhneTilgung,6)=1,0,IF(AND(INDEX(DarlTilgStart,6)&gt;0,$E2634=INDEX(DarlTilgStart,6)),$J2634*($H2634+INDEX(DarlTilgung,6))/100/12,IF(AND($G2634=0,$G2633=1),MAX($K2633,$J2634*($H2634+1)/100/12),$K2633))))</f>
      </c>
      <c r="L2634" s="43">
        <f>IF($I2634=0,0,$J2634*$H2634/100/12)</f>
      </c>
      <c r="M2634" s="43">
        <f>IF($I2634=0,0,IF(OR(INDEX(DarlOhneTilgung,6)=1,AND(INDEX(DarlTilgStart,6)&gt;0,$E2634&lt;INDEX(DarlTilgStart,6))),0,MIN(MAX(0,$K2634-$L2634),$J2634)))</f>
      </c>
      <c r="N2634" s="43">
        <f>IF($I2634=0,0,MIN(SUMIFS(SondBetrag,SondDarl,6,SondDatum,"&gt;="&amp;$E2634,SondDatum,"&lt;="&amp;EOMONTH($E2634,0)),$J2634-$M2634))</f>
      </c>
      <c r="O2634" s="43">
        <f>IF($I2634=0,0,INDEX(DarlErsatzRate,6))</f>
      </c>
      <c r="P2634" s="43">
        <f>IF($I2634=0,0,$Q2633*INDEX(DarlErsatzZins,6))</f>
      </c>
      <c r="Q2634" s="43">
        <f>IF($I2634=0,0,$Q2633+$P2634+$O2634)</f>
      </c>
      <c r="R2634" s="43">
        <f>IF($I2634=0,0,$J2634-$M2634-$N2634)</f>
      </c>
    </row>
    <row r="2635">
      <c r="A2635"/>
      <c r="B2635">
        <v>6</v>
      </c>
      <c r="C2635" s="43">
        <f>INDEX(DarlObj,6)</f>
      </c>
      <c r="D2635">
        <v>232</v>
      </c>
      <c r="E2635" s="51">
        <f>IF(INDEX(DarlBelegt,6)=0,0,EOMONTH(INDEX(DarlAuszahlung,6),231)+1)</f>
      </c>
      <c r="F2635" s="43">
        <f>IF($E2635=0,0,YEAR($E2635))</f>
      </c>
      <c r="G2635" s="43">
        <f>IF(INDEX(DarlBindung,6)="",1,IF($E2635&lt;=INDEX(DarlBindung,6),1,0))</f>
      </c>
      <c r="H2635" s="43">
        <f>IF($G2635=1,INDEX(DarlSollzins,6),INDEX(DarlAnschluss,6))</f>
      </c>
      <c r="I2635" s="43">
        <f>IF(INDEX(DarlBelegt,6)=0,0,IF(INDEX(DarlOhneTilgung,6)=1,IF(INDEX(DarlBindung,6)="",1,$G2635),IF($J2635&gt;0.005,1,0)))</f>
      </c>
      <c r="J2635" s="43">
        <f>IF($I2634=0,0,$R2634)</f>
      </c>
      <c r="K2635" s="43">
        <f>IF($I2635=0,0,IF(INDEX(DarlOhneTilgung,6)=1,0,IF(AND(INDEX(DarlTilgStart,6)&gt;0,$E2635=INDEX(DarlTilgStart,6)),$J2635*($H2635+INDEX(DarlTilgung,6))/100/12,IF(AND($G2635=0,$G2634=1),MAX($K2634,$J2635*($H2635+1)/100/12),$K2634))))</f>
      </c>
      <c r="L2635" s="43">
        <f>IF($I2635=0,0,$J2635*$H2635/100/12)</f>
      </c>
      <c r="M2635" s="43">
        <f>IF($I2635=0,0,IF(OR(INDEX(DarlOhneTilgung,6)=1,AND(INDEX(DarlTilgStart,6)&gt;0,$E2635&lt;INDEX(DarlTilgStart,6))),0,MIN(MAX(0,$K2635-$L2635),$J2635)))</f>
      </c>
      <c r="N2635" s="43">
        <f>IF($I2635=0,0,MIN(SUMIFS(SondBetrag,SondDarl,6,SondDatum,"&gt;="&amp;$E2635,SondDatum,"&lt;="&amp;EOMONTH($E2635,0)),$J2635-$M2635))</f>
      </c>
      <c r="O2635" s="43">
        <f>IF($I2635=0,0,INDEX(DarlErsatzRate,6))</f>
      </c>
      <c r="P2635" s="43">
        <f>IF($I2635=0,0,$Q2634*INDEX(DarlErsatzZins,6))</f>
      </c>
      <c r="Q2635" s="43">
        <f>IF($I2635=0,0,$Q2634+$P2635+$O2635)</f>
      </c>
      <c r="R2635" s="43">
        <f>IF($I2635=0,0,$J2635-$M2635-$N2635)</f>
      </c>
    </row>
    <row r="2636">
      <c r="A2636"/>
      <c r="B2636">
        <v>6</v>
      </c>
      <c r="C2636" s="43">
        <f>INDEX(DarlObj,6)</f>
      </c>
      <c r="D2636">
        <v>233</v>
      </c>
      <c r="E2636" s="51">
        <f>IF(INDEX(DarlBelegt,6)=0,0,EOMONTH(INDEX(DarlAuszahlung,6),232)+1)</f>
      </c>
      <c r="F2636" s="43">
        <f>IF($E2636=0,0,YEAR($E2636))</f>
      </c>
      <c r="G2636" s="43">
        <f>IF(INDEX(DarlBindung,6)="",1,IF($E2636&lt;=INDEX(DarlBindung,6),1,0))</f>
      </c>
      <c r="H2636" s="43">
        <f>IF($G2636=1,INDEX(DarlSollzins,6),INDEX(DarlAnschluss,6))</f>
      </c>
      <c r="I2636" s="43">
        <f>IF(INDEX(DarlBelegt,6)=0,0,IF(INDEX(DarlOhneTilgung,6)=1,IF(INDEX(DarlBindung,6)="",1,$G2636),IF($J2636&gt;0.005,1,0)))</f>
      </c>
      <c r="J2636" s="43">
        <f>IF($I2635=0,0,$R2635)</f>
      </c>
      <c r="K2636" s="43">
        <f>IF($I2636=0,0,IF(INDEX(DarlOhneTilgung,6)=1,0,IF(AND(INDEX(DarlTilgStart,6)&gt;0,$E2636=INDEX(DarlTilgStart,6)),$J2636*($H2636+INDEX(DarlTilgung,6))/100/12,IF(AND($G2636=0,$G2635=1),MAX($K2635,$J2636*($H2636+1)/100/12),$K2635))))</f>
      </c>
      <c r="L2636" s="43">
        <f>IF($I2636=0,0,$J2636*$H2636/100/12)</f>
      </c>
      <c r="M2636" s="43">
        <f>IF($I2636=0,0,IF(OR(INDEX(DarlOhneTilgung,6)=1,AND(INDEX(DarlTilgStart,6)&gt;0,$E2636&lt;INDEX(DarlTilgStart,6))),0,MIN(MAX(0,$K2636-$L2636),$J2636)))</f>
      </c>
      <c r="N2636" s="43">
        <f>IF($I2636=0,0,MIN(SUMIFS(SondBetrag,SondDarl,6,SondDatum,"&gt;="&amp;$E2636,SondDatum,"&lt;="&amp;EOMONTH($E2636,0)),$J2636-$M2636))</f>
      </c>
      <c r="O2636" s="43">
        <f>IF($I2636=0,0,INDEX(DarlErsatzRate,6))</f>
      </c>
      <c r="P2636" s="43">
        <f>IF($I2636=0,0,$Q2635*INDEX(DarlErsatzZins,6))</f>
      </c>
      <c r="Q2636" s="43">
        <f>IF($I2636=0,0,$Q2635+$P2636+$O2636)</f>
      </c>
      <c r="R2636" s="43">
        <f>IF($I2636=0,0,$J2636-$M2636-$N2636)</f>
      </c>
    </row>
    <row r="2637">
      <c r="A2637"/>
      <c r="B2637">
        <v>6</v>
      </c>
      <c r="C2637" s="43">
        <f>INDEX(DarlObj,6)</f>
      </c>
      <c r="D2637">
        <v>234</v>
      </c>
      <c r="E2637" s="51">
        <f>IF(INDEX(DarlBelegt,6)=0,0,EOMONTH(INDEX(DarlAuszahlung,6),233)+1)</f>
      </c>
      <c r="F2637" s="43">
        <f>IF($E2637=0,0,YEAR($E2637))</f>
      </c>
      <c r="G2637" s="43">
        <f>IF(INDEX(DarlBindung,6)="",1,IF($E2637&lt;=INDEX(DarlBindung,6),1,0))</f>
      </c>
      <c r="H2637" s="43">
        <f>IF($G2637=1,INDEX(DarlSollzins,6),INDEX(DarlAnschluss,6))</f>
      </c>
      <c r="I2637" s="43">
        <f>IF(INDEX(DarlBelegt,6)=0,0,IF(INDEX(DarlOhneTilgung,6)=1,IF(INDEX(DarlBindung,6)="",1,$G2637),IF($J2637&gt;0.005,1,0)))</f>
      </c>
      <c r="J2637" s="43">
        <f>IF($I2636=0,0,$R2636)</f>
      </c>
      <c r="K2637" s="43">
        <f>IF($I2637=0,0,IF(INDEX(DarlOhneTilgung,6)=1,0,IF(AND(INDEX(DarlTilgStart,6)&gt;0,$E2637=INDEX(DarlTilgStart,6)),$J2637*($H2637+INDEX(DarlTilgung,6))/100/12,IF(AND($G2637=0,$G2636=1),MAX($K2636,$J2637*($H2637+1)/100/12),$K2636))))</f>
      </c>
      <c r="L2637" s="43">
        <f>IF($I2637=0,0,$J2637*$H2637/100/12)</f>
      </c>
      <c r="M2637" s="43">
        <f>IF($I2637=0,0,IF(OR(INDEX(DarlOhneTilgung,6)=1,AND(INDEX(DarlTilgStart,6)&gt;0,$E2637&lt;INDEX(DarlTilgStart,6))),0,MIN(MAX(0,$K2637-$L2637),$J2637)))</f>
      </c>
      <c r="N2637" s="43">
        <f>IF($I2637=0,0,MIN(SUMIFS(SondBetrag,SondDarl,6,SondDatum,"&gt;="&amp;$E2637,SondDatum,"&lt;="&amp;EOMONTH($E2637,0)),$J2637-$M2637))</f>
      </c>
      <c r="O2637" s="43">
        <f>IF($I2637=0,0,INDEX(DarlErsatzRate,6))</f>
      </c>
      <c r="P2637" s="43">
        <f>IF($I2637=0,0,$Q2636*INDEX(DarlErsatzZins,6))</f>
      </c>
      <c r="Q2637" s="43">
        <f>IF($I2637=0,0,$Q2636+$P2637+$O2637)</f>
      </c>
      <c r="R2637" s="43">
        <f>IF($I2637=0,0,$J2637-$M2637-$N2637)</f>
      </c>
    </row>
    <row r="2638">
      <c r="A2638"/>
      <c r="B2638">
        <v>6</v>
      </c>
      <c r="C2638" s="43">
        <f>INDEX(DarlObj,6)</f>
      </c>
      <c r="D2638">
        <v>235</v>
      </c>
      <c r="E2638" s="51">
        <f>IF(INDEX(DarlBelegt,6)=0,0,EOMONTH(INDEX(DarlAuszahlung,6),234)+1)</f>
      </c>
      <c r="F2638" s="43">
        <f>IF($E2638=0,0,YEAR($E2638))</f>
      </c>
      <c r="G2638" s="43">
        <f>IF(INDEX(DarlBindung,6)="",1,IF($E2638&lt;=INDEX(DarlBindung,6),1,0))</f>
      </c>
      <c r="H2638" s="43">
        <f>IF($G2638=1,INDEX(DarlSollzins,6),INDEX(DarlAnschluss,6))</f>
      </c>
      <c r="I2638" s="43">
        <f>IF(INDEX(DarlBelegt,6)=0,0,IF(INDEX(DarlOhneTilgung,6)=1,IF(INDEX(DarlBindung,6)="",1,$G2638),IF($J2638&gt;0.005,1,0)))</f>
      </c>
      <c r="J2638" s="43">
        <f>IF($I2637=0,0,$R2637)</f>
      </c>
      <c r="K2638" s="43">
        <f>IF($I2638=0,0,IF(INDEX(DarlOhneTilgung,6)=1,0,IF(AND(INDEX(DarlTilgStart,6)&gt;0,$E2638=INDEX(DarlTilgStart,6)),$J2638*($H2638+INDEX(DarlTilgung,6))/100/12,IF(AND($G2638=0,$G2637=1),MAX($K2637,$J2638*($H2638+1)/100/12),$K2637))))</f>
      </c>
      <c r="L2638" s="43">
        <f>IF($I2638=0,0,$J2638*$H2638/100/12)</f>
      </c>
      <c r="M2638" s="43">
        <f>IF($I2638=0,0,IF(OR(INDEX(DarlOhneTilgung,6)=1,AND(INDEX(DarlTilgStart,6)&gt;0,$E2638&lt;INDEX(DarlTilgStart,6))),0,MIN(MAX(0,$K2638-$L2638),$J2638)))</f>
      </c>
      <c r="N2638" s="43">
        <f>IF($I2638=0,0,MIN(SUMIFS(SondBetrag,SondDarl,6,SondDatum,"&gt;="&amp;$E2638,SondDatum,"&lt;="&amp;EOMONTH($E2638,0)),$J2638-$M2638))</f>
      </c>
      <c r="O2638" s="43">
        <f>IF($I2638=0,0,INDEX(DarlErsatzRate,6))</f>
      </c>
      <c r="P2638" s="43">
        <f>IF($I2638=0,0,$Q2637*INDEX(DarlErsatzZins,6))</f>
      </c>
      <c r="Q2638" s="43">
        <f>IF($I2638=0,0,$Q2637+$P2638+$O2638)</f>
      </c>
      <c r="R2638" s="43">
        <f>IF($I2638=0,0,$J2638-$M2638-$N2638)</f>
      </c>
    </row>
    <row r="2639">
      <c r="A2639"/>
      <c r="B2639">
        <v>6</v>
      </c>
      <c r="C2639" s="43">
        <f>INDEX(DarlObj,6)</f>
      </c>
      <c r="D2639">
        <v>236</v>
      </c>
      <c r="E2639" s="51">
        <f>IF(INDEX(DarlBelegt,6)=0,0,EOMONTH(INDEX(DarlAuszahlung,6),235)+1)</f>
      </c>
      <c r="F2639" s="43">
        <f>IF($E2639=0,0,YEAR($E2639))</f>
      </c>
      <c r="G2639" s="43">
        <f>IF(INDEX(DarlBindung,6)="",1,IF($E2639&lt;=INDEX(DarlBindung,6),1,0))</f>
      </c>
      <c r="H2639" s="43">
        <f>IF($G2639=1,INDEX(DarlSollzins,6),INDEX(DarlAnschluss,6))</f>
      </c>
      <c r="I2639" s="43">
        <f>IF(INDEX(DarlBelegt,6)=0,0,IF(INDEX(DarlOhneTilgung,6)=1,IF(INDEX(DarlBindung,6)="",1,$G2639),IF($J2639&gt;0.005,1,0)))</f>
      </c>
      <c r="J2639" s="43">
        <f>IF($I2638=0,0,$R2638)</f>
      </c>
      <c r="K2639" s="43">
        <f>IF($I2639=0,0,IF(INDEX(DarlOhneTilgung,6)=1,0,IF(AND(INDEX(DarlTilgStart,6)&gt;0,$E2639=INDEX(DarlTilgStart,6)),$J2639*($H2639+INDEX(DarlTilgung,6))/100/12,IF(AND($G2639=0,$G2638=1),MAX($K2638,$J2639*($H2639+1)/100/12),$K2638))))</f>
      </c>
      <c r="L2639" s="43">
        <f>IF($I2639=0,0,$J2639*$H2639/100/12)</f>
      </c>
      <c r="M2639" s="43">
        <f>IF($I2639=0,0,IF(OR(INDEX(DarlOhneTilgung,6)=1,AND(INDEX(DarlTilgStart,6)&gt;0,$E2639&lt;INDEX(DarlTilgStart,6))),0,MIN(MAX(0,$K2639-$L2639),$J2639)))</f>
      </c>
      <c r="N2639" s="43">
        <f>IF($I2639=0,0,MIN(SUMIFS(SondBetrag,SondDarl,6,SondDatum,"&gt;="&amp;$E2639,SondDatum,"&lt;="&amp;EOMONTH($E2639,0)),$J2639-$M2639))</f>
      </c>
      <c r="O2639" s="43">
        <f>IF($I2639=0,0,INDEX(DarlErsatzRate,6))</f>
      </c>
      <c r="P2639" s="43">
        <f>IF($I2639=0,0,$Q2638*INDEX(DarlErsatzZins,6))</f>
      </c>
      <c r="Q2639" s="43">
        <f>IF($I2639=0,0,$Q2638+$P2639+$O2639)</f>
      </c>
      <c r="R2639" s="43">
        <f>IF($I2639=0,0,$J2639-$M2639-$N2639)</f>
      </c>
    </row>
    <row r="2640">
      <c r="A2640"/>
      <c r="B2640">
        <v>6</v>
      </c>
      <c r="C2640" s="43">
        <f>INDEX(DarlObj,6)</f>
      </c>
      <c r="D2640">
        <v>237</v>
      </c>
      <c r="E2640" s="51">
        <f>IF(INDEX(DarlBelegt,6)=0,0,EOMONTH(INDEX(DarlAuszahlung,6),236)+1)</f>
      </c>
      <c r="F2640" s="43">
        <f>IF($E2640=0,0,YEAR($E2640))</f>
      </c>
      <c r="G2640" s="43">
        <f>IF(INDEX(DarlBindung,6)="",1,IF($E2640&lt;=INDEX(DarlBindung,6),1,0))</f>
      </c>
      <c r="H2640" s="43">
        <f>IF($G2640=1,INDEX(DarlSollzins,6),INDEX(DarlAnschluss,6))</f>
      </c>
      <c r="I2640" s="43">
        <f>IF(INDEX(DarlBelegt,6)=0,0,IF(INDEX(DarlOhneTilgung,6)=1,IF(INDEX(DarlBindung,6)="",1,$G2640),IF($J2640&gt;0.005,1,0)))</f>
      </c>
      <c r="J2640" s="43">
        <f>IF($I2639=0,0,$R2639)</f>
      </c>
      <c r="K2640" s="43">
        <f>IF($I2640=0,0,IF(INDEX(DarlOhneTilgung,6)=1,0,IF(AND(INDEX(DarlTilgStart,6)&gt;0,$E2640=INDEX(DarlTilgStart,6)),$J2640*($H2640+INDEX(DarlTilgung,6))/100/12,IF(AND($G2640=0,$G2639=1),MAX($K2639,$J2640*($H2640+1)/100/12),$K2639))))</f>
      </c>
      <c r="L2640" s="43">
        <f>IF($I2640=0,0,$J2640*$H2640/100/12)</f>
      </c>
      <c r="M2640" s="43">
        <f>IF($I2640=0,0,IF(OR(INDEX(DarlOhneTilgung,6)=1,AND(INDEX(DarlTilgStart,6)&gt;0,$E2640&lt;INDEX(DarlTilgStart,6))),0,MIN(MAX(0,$K2640-$L2640),$J2640)))</f>
      </c>
      <c r="N2640" s="43">
        <f>IF($I2640=0,0,MIN(SUMIFS(SondBetrag,SondDarl,6,SondDatum,"&gt;="&amp;$E2640,SondDatum,"&lt;="&amp;EOMONTH($E2640,0)),$J2640-$M2640))</f>
      </c>
      <c r="O2640" s="43">
        <f>IF($I2640=0,0,INDEX(DarlErsatzRate,6))</f>
      </c>
      <c r="P2640" s="43">
        <f>IF($I2640=0,0,$Q2639*INDEX(DarlErsatzZins,6))</f>
      </c>
      <c r="Q2640" s="43">
        <f>IF($I2640=0,0,$Q2639+$P2640+$O2640)</f>
      </c>
      <c r="R2640" s="43">
        <f>IF($I2640=0,0,$J2640-$M2640-$N2640)</f>
      </c>
    </row>
    <row r="2641">
      <c r="A2641"/>
      <c r="B2641">
        <v>6</v>
      </c>
      <c r="C2641" s="43">
        <f>INDEX(DarlObj,6)</f>
      </c>
      <c r="D2641">
        <v>238</v>
      </c>
      <c r="E2641" s="51">
        <f>IF(INDEX(DarlBelegt,6)=0,0,EOMONTH(INDEX(DarlAuszahlung,6),237)+1)</f>
      </c>
      <c r="F2641" s="43">
        <f>IF($E2641=0,0,YEAR($E2641))</f>
      </c>
      <c r="G2641" s="43">
        <f>IF(INDEX(DarlBindung,6)="",1,IF($E2641&lt;=INDEX(DarlBindung,6),1,0))</f>
      </c>
      <c r="H2641" s="43">
        <f>IF($G2641=1,INDEX(DarlSollzins,6),INDEX(DarlAnschluss,6))</f>
      </c>
      <c r="I2641" s="43">
        <f>IF(INDEX(DarlBelegt,6)=0,0,IF(INDEX(DarlOhneTilgung,6)=1,IF(INDEX(DarlBindung,6)="",1,$G2641),IF($J2641&gt;0.005,1,0)))</f>
      </c>
      <c r="J2641" s="43">
        <f>IF($I2640=0,0,$R2640)</f>
      </c>
      <c r="K2641" s="43">
        <f>IF($I2641=0,0,IF(INDEX(DarlOhneTilgung,6)=1,0,IF(AND(INDEX(DarlTilgStart,6)&gt;0,$E2641=INDEX(DarlTilgStart,6)),$J2641*($H2641+INDEX(DarlTilgung,6))/100/12,IF(AND($G2641=0,$G2640=1),MAX($K2640,$J2641*($H2641+1)/100/12),$K2640))))</f>
      </c>
      <c r="L2641" s="43">
        <f>IF($I2641=0,0,$J2641*$H2641/100/12)</f>
      </c>
      <c r="M2641" s="43">
        <f>IF($I2641=0,0,IF(OR(INDEX(DarlOhneTilgung,6)=1,AND(INDEX(DarlTilgStart,6)&gt;0,$E2641&lt;INDEX(DarlTilgStart,6))),0,MIN(MAX(0,$K2641-$L2641),$J2641)))</f>
      </c>
      <c r="N2641" s="43">
        <f>IF($I2641=0,0,MIN(SUMIFS(SondBetrag,SondDarl,6,SondDatum,"&gt;="&amp;$E2641,SondDatum,"&lt;="&amp;EOMONTH($E2641,0)),$J2641-$M2641))</f>
      </c>
      <c r="O2641" s="43">
        <f>IF($I2641=0,0,INDEX(DarlErsatzRate,6))</f>
      </c>
      <c r="P2641" s="43">
        <f>IF($I2641=0,0,$Q2640*INDEX(DarlErsatzZins,6))</f>
      </c>
      <c r="Q2641" s="43">
        <f>IF($I2641=0,0,$Q2640+$P2641+$O2641)</f>
      </c>
      <c r="R2641" s="43">
        <f>IF($I2641=0,0,$J2641-$M2641-$N2641)</f>
      </c>
    </row>
    <row r="2642">
      <c r="A2642"/>
      <c r="B2642">
        <v>6</v>
      </c>
      <c r="C2642" s="43">
        <f>INDEX(DarlObj,6)</f>
      </c>
      <c r="D2642">
        <v>239</v>
      </c>
      <c r="E2642" s="51">
        <f>IF(INDEX(DarlBelegt,6)=0,0,EOMONTH(INDEX(DarlAuszahlung,6),238)+1)</f>
      </c>
      <c r="F2642" s="43">
        <f>IF($E2642=0,0,YEAR($E2642))</f>
      </c>
      <c r="G2642" s="43">
        <f>IF(INDEX(DarlBindung,6)="",1,IF($E2642&lt;=INDEX(DarlBindung,6),1,0))</f>
      </c>
      <c r="H2642" s="43">
        <f>IF($G2642=1,INDEX(DarlSollzins,6),INDEX(DarlAnschluss,6))</f>
      </c>
      <c r="I2642" s="43">
        <f>IF(INDEX(DarlBelegt,6)=0,0,IF(INDEX(DarlOhneTilgung,6)=1,IF(INDEX(DarlBindung,6)="",1,$G2642),IF($J2642&gt;0.005,1,0)))</f>
      </c>
      <c r="J2642" s="43">
        <f>IF($I2641=0,0,$R2641)</f>
      </c>
      <c r="K2642" s="43">
        <f>IF($I2642=0,0,IF(INDEX(DarlOhneTilgung,6)=1,0,IF(AND(INDEX(DarlTilgStart,6)&gt;0,$E2642=INDEX(DarlTilgStart,6)),$J2642*($H2642+INDEX(DarlTilgung,6))/100/12,IF(AND($G2642=0,$G2641=1),MAX($K2641,$J2642*($H2642+1)/100/12),$K2641))))</f>
      </c>
      <c r="L2642" s="43">
        <f>IF($I2642=0,0,$J2642*$H2642/100/12)</f>
      </c>
      <c r="M2642" s="43">
        <f>IF($I2642=0,0,IF(OR(INDEX(DarlOhneTilgung,6)=1,AND(INDEX(DarlTilgStart,6)&gt;0,$E2642&lt;INDEX(DarlTilgStart,6))),0,MIN(MAX(0,$K2642-$L2642),$J2642)))</f>
      </c>
      <c r="N2642" s="43">
        <f>IF($I2642=0,0,MIN(SUMIFS(SondBetrag,SondDarl,6,SondDatum,"&gt;="&amp;$E2642,SondDatum,"&lt;="&amp;EOMONTH($E2642,0)),$J2642-$M2642))</f>
      </c>
      <c r="O2642" s="43">
        <f>IF($I2642=0,0,INDEX(DarlErsatzRate,6))</f>
      </c>
      <c r="P2642" s="43">
        <f>IF($I2642=0,0,$Q2641*INDEX(DarlErsatzZins,6))</f>
      </c>
      <c r="Q2642" s="43">
        <f>IF($I2642=0,0,$Q2641+$P2642+$O2642)</f>
      </c>
      <c r="R2642" s="43">
        <f>IF($I2642=0,0,$J2642-$M2642-$N2642)</f>
      </c>
    </row>
    <row r="2643">
      <c r="A2643"/>
      <c r="B2643">
        <v>6</v>
      </c>
      <c r="C2643" s="43">
        <f>INDEX(DarlObj,6)</f>
      </c>
      <c r="D2643">
        <v>240</v>
      </c>
      <c r="E2643" s="51">
        <f>IF(INDEX(DarlBelegt,6)=0,0,EOMONTH(INDEX(DarlAuszahlung,6),239)+1)</f>
      </c>
      <c r="F2643" s="43">
        <f>IF($E2643=0,0,YEAR($E2643))</f>
      </c>
      <c r="G2643" s="43">
        <f>IF(INDEX(DarlBindung,6)="",1,IF($E2643&lt;=INDEX(DarlBindung,6),1,0))</f>
      </c>
      <c r="H2643" s="43">
        <f>IF($G2643=1,INDEX(DarlSollzins,6),INDEX(DarlAnschluss,6))</f>
      </c>
      <c r="I2643" s="43">
        <f>IF(INDEX(DarlBelegt,6)=0,0,IF(INDEX(DarlOhneTilgung,6)=1,IF(INDEX(DarlBindung,6)="",1,$G2643),IF($J2643&gt;0.005,1,0)))</f>
      </c>
      <c r="J2643" s="43">
        <f>IF($I2642=0,0,$R2642)</f>
      </c>
      <c r="K2643" s="43">
        <f>IF($I2643=0,0,IF(INDEX(DarlOhneTilgung,6)=1,0,IF(AND(INDEX(DarlTilgStart,6)&gt;0,$E2643=INDEX(DarlTilgStart,6)),$J2643*($H2643+INDEX(DarlTilgung,6))/100/12,IF(AND($G2643=0,$G2642=1),MAX($K2642,$J2643*($H2643+1)/100/12),$K2642))))</f>
      </c>
      <c r="L2643" s="43">
        <f>IF($I2643=0,0,$J2643*$H2643/100/12)</f>
      </c>
      <c r="M2643" s="43">
        <f>IF($I2643=0,0,IF(OR(INDEX(DarlOhneTilgung,6)=1,AND(INDEX(DarlTilgStart,6)&gt;0,$E2643&lt;INDEX(DarlTilgStart,6))),0,MIN(MAX(0,$K2643-$L2643),$J2643)))</f>
      </c>
      <c r="N2643" s="43">
        <f>IF($I2643=0,0,MIN(SUMIFS(SondBetrag,SondDarl,6,SondDatum,"&gt;="&amp;$E2643,SondDatum,"&lt;="&amp;EOMONTH($E2643,0)),$J2643-$M2643))</f>
      </c>
      <c r="O2643" s="43">
        <f>IF($I2643=0,0,INDEX(DarlErsatzRate,6))</f>
      </c>
      <c r="P2643" s="43">
        <f>IF($I2643=0,0,$Q2642*INDEX(DarlErsatzZins,6))</f>
      </c>
      <c r="Q2643" s="43">
        <f>IF($I2643=0,0,$Q2642+$P2643+$O2643)</f>
      </c>
      <c r="R2643" s="43">
        <f>IF($I2643=0,0,$J2643-$M2643-$N2643)</f>
      </c>
    </row>
    <row r="2644">
      <c r="A2644"/>
      <c r="B2644">
        <v>6</v>
      </c>
      <c r="C2644" s="43">
        <f>INDEX(DarlObj,6)</f>
      </c>
      <c r="D2644">
        <v>241</v>
      </c>
      <c r="E2644" s="51">
        <f>IF(INDEX(DarlBelegt,6)=0,0,EOMONTH(INDEX(DarlAuszahlung,6),240)+1)</f>
      </c>
      <c r="F2644" s="43">
        <f>IF($E2644=0,0,YEAR($E2644))</f>
      </c>
      <c r="G2644" s="43">
        <f>IF(INDEX(DarlBindung,6)="",1,IF($E2644&lt;=INDEX(DarlBindung,6),1,0))</f>
      </c>
      <c r="H2644" s="43">
        <f>IF($G2644=1,INDEX(DarlSollzins,6),INDEX(DarlAnschluss,6))</f>
      </c>
      <c r="I2644" s="43">
        <f>IF(INDEX(DarlBelegt,6)=0,0,IF(INDEX(DarlOhneTilgung,6)=1,IF(INDEX(DarlBindung,6)="",1,$G2644),IF($J2644&gt;0.005,1,0)))</f>
      </c>
      <c r="J2644" s="43">
        <f>IF($I2643=0,0,$R2643)</f>
      </c>
      <c r="K2644" s="43">
        <f>IF($I2644=0,0,IF(INDEX(DarlOhneTilgung,6)=1,0,IF(AND(INDEX(DarlTilgStart,6)&gt;0,$E2644=INDEX(DarlTilgStart,6)),$J2644*($H2644+INDEX(DarlTilgung,6))/100/12,IF(AND($G2644=0,$G2643=1),MAX($K2643,$J2644*($H2644+1)/100/12),$K2643))))</f>
      </c>
      <c r="L2644" s="43">
        <f>IF($I2644=0,0,$J2644*$H2644/100/12)</f>
      </c>
      <c r="M2644" s="43">
        <f>IF($I2644=0,0,IF(OR(INDEX(DarlOhneTilgung,6)=1,AND(INDEX(DarlTilgStart,6)&gt;0,$E2644&lt;INDEX(DarlTilgStart,6))),0,MIN(MAX(0,$K2644-$L2644),$J2644)))</f>
      </c>
      <c r="N2644" s="43">
        <f>IF($I2644=0,0,MIN(SUMIFS(SondBetrag,SondDarl,6,SondDatum,"&gt;="&amp;$E2644,SondDatum,"&lt;="&amp;EOMONTH($E2644,0)),$J2644-$M2644))</f>
      </c>
      <c r="O2644" s="43">
        <f>IF($I2644=0,0,INDEX(DarlErsatzRate,6))</f>
      </c>
      <c r="P2644" s="43">
        <f>IF($I2644=0,0,$Q2643*INDEX(DarlErsatzZins,6))</f>
      </c>
      <c r="Q2644" s="43">
        <f>IF($I2644=0,0,$Q2643+$P2644+$O2644)</f>
      </c>
      <c r="R2644" s="43">
        <f>IF($I2644=0,0,$J2644-$M2644-$N2644)</f>
      </c>
    </row>
    <row r="2645">
      <c r="A2645"/>
      <c r="B2645">
        <v>6</v>
      </c>
      <c r="C2645" s="43">
        <f>INDEX(DarlObj,6)</f>
      </c>
      <c r="D2645">
        <v>242</v>
      </c>
      <c r="E2645" s="51">
        <f>IF(INDEX(DarlBelegt,6)=0,0,EOMONTH(INDEX(DarlAuszahlung,6),241)+1)</f>
      </c>
      <c r="F2645" s="43">
        <f>IF($E2645=0,0,YEAR($E2645))</f>
      </c>
      <c r="G2645" s="43">
        <f>IF(INDEX(DarlBindung,6)="",1,IF($E2645&lt;=INDEX(DarlBindung,6),1,0))</f>
      </c>
      <c r="H2645" s="43">
        <f>IF($G2645=1,INDEX(DarlSollzins,6),INDEX(DarlAnschluss,6))</f>
      </c>
      <c r="I2645" s="43">
        <f>IF(INDEX(DarlBelegt,6)=0,0,IF(INDEX(DarlOhneTilgung,6)=1,IF(INDEX(DarlBindung,6)="",1,$G2645),IF($J2645&gt;0.005,1,0)))</f>
      </c>
      <c r="J2645" s="43">
        <f>IF($I2644=0,0,$R2644)</f>
      </c>
      <c r="K2645" s="43">
        <f>IF($I2645=0,0,IF(INDEX(DarlOhneTilgung,6)=1,0,IF(AND(INDEX(DarlTilgStart,6)&gt;0,$E2645=INDEX(DarlTilgStart,6)),$J2645*($H2645+INDEX(DarlTilgung,6))/100/12,IF(AND($G2645=0,$G2644=1),MAX($K2644,$J2645*($H2645+1)/100/12),$K2644))))</f>
      </c>
      <c r="L2645" s="43">
        <f>IF($I2645=0,0,$J2645*$H2645/100/12)</f>
      </c>
      <c r="M2645" s="43">
        <f>IF($I2645=0,0,IF(OR(INDEX(DarlOhneTilgung,6)=1,AND(INDEX(DarlTilgStart,6)&gt;0,$E2645&lt;INDEX(DarlTilgStart,6))),0,MIN(MAX(0,$K2645-$L2645),$J2645)))</f>
      </c>
      <c r="N2645" s="43">
        <f>IF($I2645=0,0,MIN(SUMIFS(SondBetrag,SondDarl,6,SondDatum,"&gt;="&amp;$E2645,SondDatum,"&lt;="&amp;EOMONTH($E2645,0)),$J2645-$M2645))</f>
      </c>
      <c r="O2645" s="43">
        <f>IF($I2645=0,0,INDEX(DarlErsatzRate,6))</f>
      </c>
      <c r="P2645" s="43">
        <f>IF($I2645=0,0,$Q2644*INDEX(DarlErsatzZins,6))</f>
      </c>
      <c r="Q2645" s="43">
        <f>IF($I2645=0,0,$Q2644+$P2645+$O2645)</f>
      </c>
      <c r="R2645" s="43">
        <f>IF($I2645=0,0,$J2645-$M2645-$N2645)</f>
      </c>
    </row>
    <row r="2646">
      <c r="A2646"/>
      <c r="B2646">
        <v>6</v>
      </c>
      <c r="C2646" s="43">
        <f>INDEX(DarlObj,6)</f>
      </c>
      <c r="D2646">
        <v>243</v>
      </c>
      <c r="E2646" s="51">
        <f>IF(INDEX(DarlBelegt,6)=0,0,EOMONTH(INDEX(DarlAuszahlung,6),242)+1)</f>
      </c>
      <c r="F2646" s="43">
        <f>IF($E2646=0,0,YEAR($E2646))</f>
      </c>
      <c r="G2646" s="43">
        <f>IF(INDEX(DarlBindung,6)="",1,IF($E2646&lt;=INDEX(DarlBindung,6),1,0))</f>
      </c>
      <c r="H2646" s="43">
        <f>IF($G2646=1,INDEX(DarlSollzins,6),INDEX(DarlAnschluss,6))</f>
      </c>
      <c r="I2646" s="43">
        <f>IF(INDEX(DarlBelegt,6)=0,0,IF(INDEX(DarlOhneTilgung,6)=1,IF(INDEX(DarlBindung,6)="",1,$G2646),IF($J2646&gt;0.005,1,0)))</f>
      </c>
      <c r="J2646" s="43">
        <f>IF($I2645=0,0,$R2645)</f>
      </c>
      <c r="K2646" s="43">
        <f>IF($I2646=0,0,IF(INDEX(DarlOhneTilgung,6)=1,0,IF(AND(INDEX(DarlTilgStart,6)&gt;0,$E2646=INDEX(DarlTilgStart,6)),$J2646*($H2646+INDEX(DarlTilgung,6))/100/12,IF(AND($G2646=0,$G2645=1),MAX($K2645,$J2646*($H2646+1)/100/12),$K2645))))</f>
      </c>
      <c r="L2646" s="43">
        <f>IF($I2646=0,0,$J2646*$H2646/100/12)</f>
      </c>
      <c r="M2646" s="43">
        <f>IF($I2646=0,0,IF(OR(INDEX(DarlOhneTilgung,6)=1,AND(INDEX(DarlTilgStart,6)&gt;0,$E2646&lt;INDEX(DarlTilgStart,6))),0,MIN(MAX(0,$K2646-$L2646),$J2646)))</f>
      </c>
      <c r="N2646" s="43">
        <f>IF($I2646=0,0,MIN(SUMIFS(SondBetrag,SondDarl,6,SondDatum,"&gt;="&amp;$E2646,SondDatum,"&lt;="&amp;EOMONTH($E2646,0)),$J2646-$M2646))</f>
      </c>
      <c r="O2646" s="43">
        <f>IF($I2646=0,0,INDEX(DarlErsatzRate,6))</f>
      </c>
      <c r="P2646" s="43">
        <f>IF($I2646=0,0,$Q2645*INDEX(DarlErsatzZins,6))</f>
      </c>
      <c r="Q2646" s="43">
        <f>IF($I2646=0,0,$Q2645+$P2646+$O2646)</f>
      </c>
      <c r="R2646" s="43">
        <f>IF($I2646=0,0,$J2646-$M2646-$N2646)</f>
      </c>
    </row>
    <row r="2647">
      <c r="A2647"/>
      <c r="B2647">
        <v>6</v>
      </c>
      <c r="C2647" s="43">
        <f>INDEX(DarlObj,6)</f>
      </c>
      <c r="D2647">
        <v>244</v>
      </c>
      <c r="E2647" s="51">
        <f>IF(INDEX(DarlBelegt,6)=0,0,EOMONTH(INDEX(DarlAuszahlung,6),243)+1)</f>
      </c>
      <c r="F2647" s="43">
        <f>IF($E2647=0,0,YEAR($E2647))</f>
      </c>
      <c r="G2647" s="43">
        <f>IF(INDEX(DarlBindung,6)="",1,IF($E2647&lt;=INDEX(DarlBindung,6),1,0))</f>
      </c>
      <c r="H2647" s="43">
        <f>IF($G2647=1,INDEX(DarlSollzins,6),INDEX(DarlAnschluss,6))</f>
      </c>
      <c r="I2647" s="43">
        <f>IF(INDEX(DarlBelegt,6)=0,0,IF(INDEX(DarlOhneTilgung,6)=1,IF(INDEX(DarlBindung,6)="",1,$G2647),IF($J2647&gt;0.005,1,0)))</f>
      </c>
      <c r="J2647" s="43">
        <f>IF($I2646=0,0,$R2646)</f>
      </c>
      <c r="K2647" s="43">
        <f>IF($I2647=0,0,IF(INDEX(DarlOhneTilgung,6)=1,0,IF(AND(INDEX(DarlTilgStart,6)&gt;0,$E2647=INDEX(DarlTilgStart,6)),$J2647*($H2647+INDEX(DarlTilgung,6))/100/12,IF(AND($G2647=0,$G2646=1),MAX($K2646,$J2647*($H2647+1)/100/12),$K2646))))</f>
      </c>
      <c r="L2647" s="43">
        <f>IF($I2647=0,0,$J2647*$H2647/100/12)</f>
      </c>
      <c r="M2647" s="43">
        <f>IF($I2647=0,0,IF(OR(INDEX(DarlOhneTilgung,6)=1,AND(INDEX(DarlTilgStart,6)&gt;0,$E2647&lt;INDEX(DarlTilgStart,6))),0,MIN(MAX(0,$K2647-$L2647),$J2647)))</f>
      </c>
      <c r="N2647" s="43">
        <f>IF($I2647=0,0,MIN(SUMIFS(SondBetrag,SondDarl,6,SondDatum,"&gt;="&amp;$E2647,SondDatum,"&lt;="&amp;EOMONTH($E2647,0)),$J2647-$M2647))</f>
      </c>
      <c r="O2647" s="43">
        <f>IF($I2647=0,0,INDEX(DarlErsatzRate,6))</f>
      </c>
      <c r="P2647" s="43">
        <f>IF($I2647=0,0,$Q2646*INDEX(DarlErsatzZins,6))</f>
      </c>
      <c r="Q2647" s="43">
        <f>IF($I2647=0,0,$Q2646+$P2647+$O2647)</f>
      </c>
      <c r="R2647" s="43">
        <f>IF($I2647=0,0,$J2647-$M2647-$N2647)</f>
      </c>
    </row>
    <row r="2648">
      <c r="A2648"/>
      <c r="B2648">
        <v>6</v>
      </c>
      <c r="C2648" s="43">
        <f>INDEX(DarlObj,6)</f>
      </c>
      <c r="D2648">
        <v>245</v>
      </c>
      <c r="E2648" s="51">
        <f>IF(INDEX(DarlBelegt,6)=0,0,EOMONTH(INDEX(DarlAuszahlung,6),244)+1)</f>
      </c>
      <c r="F2648" s="43">
        <f>IF($E2648=0,0,YEAR($E2648))</f>
      </c>
      <c r="G2648" s="43">
        <f>IF(INDEX(DarlBindung,6)="",1,IF($E2648&lt;=INDEX(DarlBindung,6),1,0))</f>
      </c>
      <c r="H2648" s="43">
        <f>IF($G2648=1,INDEX(DarlSollzins,6),INDEX(DarlAnschluss,6))</f>
      </c>
      <c r="I2648" s="43">
        <f>IF(INDEX(DarlBelegt,6)=0,0,IF(INDEX(DarlOhneTilgung,6)=1,IF(INDEX(DarlBindung,6)="",1,$G2648),IF($J2648&gt;0.005,1,0)))</f>
      </c>
      <c r="J2648" s="43">
        <f>IF($I2647=0,0,$R2647)</f>
      </c>
      <c r="K2648" s="43">
        <f>IF($I2648=0,0,IF(INDEX(DarlOhneTilgung,6)=1,0,IF(AND(INDEX(DarlTilgStart,6)&gt;0,$E2648=INDEX(DarlTilgStart,6)),$J2648*($H2648+INDEX(DarlTilgung,6))/100/12,IF(AND($G2648=0,$G2647=1),MAX($K2647,$J2648*($H2648+1)/100/12),$K2647))))</f>
      </c>
      <c r="L2648" s="43">
        <f>IF($I2648=0,0,$J2648*$H2648/100/12)</f>
      </c>
      <c r="M2648" s="43">
        <f>IF($I2648=0,0,IF(OR(INDEX(DarlOhneTilgung,6)=1,AND(INDEX(DarlTilgStart,6)&gt;0,$E2648&lt;INDEX(DarlTilgStart,6))),0,MIN(MAX(0,$K2648-$L2648),$J2648)))</f>
      </c>
      <c r="N2648" s="43">
        <f>IF($I2648=0,0,MIN(SUMIFS(SondBetrag,SondDarl,6,SondDatum,"&gt;="&amp;$E2648,SondDatum,"&lt;="&amp;EOMONTH($E2648,0)),$J2648-$M2648))</f>
      </c>
      <c r="O2648" s="43">
        <f>IF($I2648=0,0,INDEX(DarlErsatzRate,6))</f>
      </c>
      <c r="P2648" s="43">
        <f>IF($I2648=0,0,$Q2647*INDEX(DarlErsatzZins,6))</f>
      </c>
      <c r="Q2648" s="43">
        <f>IF($I2648=0,0,$Q2647+$P2648+$O2648)</f>
      </c>
      <c r="R2648" s="43">
        <f>IF($I2648=0,0,$J2648-$M2648-$N2648)</f>
      </c>
    </row>
    <row r="2649">
      <c r="A2649"/>
      <c r="B2649">
        <v>6</v>
      </c>
      <c r="C2649" s="43">
        <f>INDEX(DarlObj,6)</f>
      </c>
      <c r="D2649">
        <v>246</v>
      </c>
      <c r="E2649" s="51">
        <f>IF(INDEX(DarlBelegt,6)=0,0,EOMONTH(INDEX(DarlAuszahlung,6),245)+1)</f>
      </c>
      <c r="F2649" s="43">
        <f>IF($E2649=0,0,YEAR($E2649))</f>
      </c>
      <c r="G2649" s="43">
        <f>IF(INDEX(DarlBindung,6)="",1,IF($E2649&lt;=INDEX(DarlBindung,6),1,0))</f>
      </c>
      <c r="H2649" s="43">
        <f>IF($G2649=1,INDEX(DarlSollzins,6),INDEX(DarlAnschluss,6))</f>
      </c>
      <c r="I2649" s="43">
        <f>IF(INDEX(DarlBelegt,6)=0,0,IF(INDEX(DarlOhneTilgung,6)=1,IF(INDEX(DarlBindung,6)="",1,$G2649),IF($J2649&gt;0.005,1,0)))</f>
      </c>
      <c r="J2649" s="43">
        <f>IF($I2648=0,0,$R2648)</f>
      </c>
      <c r="K2649" s="43">
        <f>IF($I2649=0,0,IF(INDEX(DarlOhneTilgung,6)=1,0,IF(AND(INDEX(DarlTilgStart,6)&gt;0,$E2649=INDEX(DarlTilgStart,6)),$J2649*($H2649+INDEX(DarlTilgung,6))/100/12,IF(AND($G2649=0,$G2648=1),MAX($K2648,$J2649*($H2649+1)/100/12),$K2648))))</f>
      </c>
      <c r="L2649" s="43">
        <f>IF($I2649=0,0,$J2649*$H2649/100/12)</f>
      </c>
      <c r="M2649" s="43">
        <f>IF($I2649=0,0,IF(OR(INDEX(DarlOhneTilgung,6)=1,AND(INDEX(DarlTilgStart,6)&gt;0,$E2649&lt;INDEX(DarlTilgStart,6))),0,MIN(MAX(0,$K2649-$L2649),$J2649)))</f>
      </c>
      <c r="N2649" s="43">
        <f>IF($I2649=0,0,MIN(SUMIFS(SondBetrag,SondDarl,6,SondDatum,"&gt;="&amp;$E2649,SondDatum,"&lt;="&amp;EOMONTH($E2649,0)),$J2649-$M2649))</f>
      </c>
      <c r="O2649" s="43">
        <f>IF($I2649=0,0,INDEX(DarlErsatzRate,6))</f>
      </c>
      <c r="P2649" s="43">
        <f>IF($I2649=0,0,$Q2648*INDEX(DarlErsatzZins,6))</f>
      </c>
      <c r="Q2649" s="43">
        <f>IF($I2649=0,0,$Q2648+$P2649+$O2649)</f>
      </c>
      <c r="R2649" s="43">
        <f>IF($I2649=0,0,$J2649-$M2649-$N2649)</f>
      </c>
    </row>
    <row r="2650">
      <c r="A2650"/>
      <c r="B2650">
        <v>6</v>
      </c>
      <c r="C2650" s="43">
        <f>INDEX(DarlObj,6)</f>
      </c>
      <c r="D2650">
        <v>247</v>
      </c>
      <c r="E2650" s="51">
        <f>IF(INDEX(DarlBelegt,6)=0,0,EOMONTH(INDEX(DarlAuszahlung,6),246)+1)</f>
      </c>
      <c r="F2650" s="43">
        <f>IF($E2650=0,0,YEAR($E2650))</f>
      </c>
      <c r="G2650" s="43">
        <f>IF(INDEX(DarlBindung,6)="",1,IF($E2650&lt;=INDEX(DarlBindung,6),1,0))</f>
      </c>
      <c r="H2650" s="43">
        <f>IF($G2650=1,INDEX(DarlSollzins,6),INDEX(DarlAnschluss,6))</f>
      </c>
      <c r="I2650" s="43">
        <f>IF(INDEX(DarlBelegt,6)=0,0,IF(INDEX(DarlOhneTilgung,6)=1,IF(INDEX(DarlBindung,6)="",1,$G2650),IF($J2650&gt;0.005,1,0)))</f>
      </c>
      <c r="J2650" s="43">
        <f>IF($I2649=0,0,$R2649)</f>
      </c>
      <c r="K2650" s="43">
        <f>IF($I2650=0,0,IF(INDEX(DarlOhneTilgung,6)=1,0,IF(AND(INDEX(DarlTilgStart,6)&gt;0,$E2650=INDEX(DarlTilgStart,6)),$J2650*($H2650+INDEX(DarlTilgung,6))/100/12,IF(AND($G2650=0,$G2649=1),MAX($K2649,$J2650*($H2650+1)/100/12),$K2649))))</f>
      </c>
      <c r="L2650" s="43">
        <f>IF($I2650=0,0,$J2650*$H2650/100/12)</f>
      </c>
      <c r="M2650" s="43">
        <f>IF($I2650=0,0,IF(OR(INDEX(DarlOhneTilgung,6)=1,AND(INDEX(DarlTilgStart,6)&gt;0,$E2650&lt;INDEX(DarlTilgStart,6))),0,MIN(MAX(0,$K2650-$L2650),$J2650)))</f>
      </c>
      <c r="N2650" s="43">
        <f>IF($I2650=0,0,MIN(SUMIFS(SondBetrag,SondDarl,6,SondDatum,"&gt;="&amp;$E2650,SondDatum,"&lt;="&amp;EOMONTH($E2650,0)),$J2650-$M2650))</f>
      </c>
      <c r="O2650" s="43">
        <f>IF($I2650=0,0,INDEX(DarlErsatzRate,6))</f>
      </c>
      <c r="P2650" s="43">
        <f>IF($I2650=0,0,$Q2649*INDEX(DarlErsatzZins,6))</f>
      </c>
      <c r="Q2650" s="43">
        <f>IF($I2650=0,0,$Q2649+$P2650+$O2650)</f>
      </c>
      <c r="R2650" s="43">
        <f>IF($I2650=0,0,$J2650-$M2650-$N2650)</f>
      </c>
    </row>
    <row r="2651">
      <c r="A2651"/>
      <c r="B2651">
        <v>6</v>
      </c>
      <c r="C2651" s="43">
        <f>INDEX(DarlObj,6)</f>
      </c>
      <c r="D2651">
        <v>248</v>
      </c>
      <c r="E2651" s="51">
        <f>IF(INDEX(DarlBelegt,6)=0,0,EOMONTH(INDEX(DarlAuszahlung,6),247)+1)</f>
      </c>
      <c r="F2651" s="43">
        <f>IF($E2651=0,0,YEAR($E2651))</f>
      </c>
      <c r="G2651" s="43">
        <f>IF(INDEX(DarlBindung,6)="",1,IF($E2651&lt;=INDEX(DarlBindung,6),1,0))</f>
      </c>
      <c r="H2651" s="43">
        <f>IF($G2651=1,INDEX(DarlSollzins,6),INDEX(DarlAnschluss,6))</f>
      </c>
      <c r="I2651" s="43">
        <f>IF(INDEX(DarlBelegt,6)=0,0,IF(INDEX(DarlOhneTilgung,6)=1,IF(INDEX(DarlBindung,6)="",1,$G2651),IF($J2651&gt;0.005,1,0)))</f>
      </c>
      <c r="J2651" s="43">
        <f>IF($I2650=0,0,$R2650)</f>
      </c>
      <c r="K2651" s="43">
        <f>IF($I2651=0,0,IF(INDEX(DarlOhneTilgung,6)=1,0,IF(AND(INDEX(DarlTilgStart,6)&gt;0,$E2651=INDEX(DarlTilgStart,6)),$J2651*($H2651+INDEX(DarlTilgung,6))/100/12,IF(AND($G2651=0,$G2650=1),MAX($K2650,$J2651*($H2651+1)/100/12),$K2650))))</f>
      </c>
      <c r="L2651" s="43">
        <f>IF($I2651=0,0,$J2651*$H2651/100/12)</f>
      </c>
      <c r="M2651" s="43">
        <f>IF($I2651=0,0,IF(OR(INDEX(DarlOhneTilgung,6)=1,AND(INDEX(DarlTilgStart,6)&gt;0,$E2651&lt;INDEX(DarlTilgStart,6))),0,MIN(MAX(0,$K2651-$L2651),$J2651)))</f>
      </c>
      <c r="N2651" s="43">
        <f>IF($I2651=0,0,MIN(SUMIFS(SondBetrag,SondDarl,6,SondDatum,"&gt;="&amp;$E2651,SondDatum,"&lt;="&amp;EOMONTH($E2651,0)),$J2651-$M2651))</f>
      </c>
      <c r="O2651" s="43">
        <f>IF($I2651=0,0,INDEX(DarlErsatzRate,6))</f>
      </c>
      <c r="P2651" s="43">
        <f>IF($I2651=0,0,$Q2650*INDEX(DarlErsatzZins,6))</f>
      </c>
      <c r="Q2651" s="43">
        <f>IF($I2651=0,0,$Q2650+$P2651+$O2651)</f>
      </c>
      <c r="R2651" s="43">
        <f>IF($I2651=0,0,$J2651-$M2651-$N2651)</f>
      </c>
    </row>
    <row r="2652">
      <c r="A2652"/>
      <c r="B2652">
        <v>6</v>
      </c>
      <c r="C2652" s="43">
        <f>INDEX(DarlObj,6)</f>
      </c>
      <c r="D2652">
        <v>249</v>
      </c>
      <c r="E2652" s="51">
        <f>IF(INDEX(DarlBelegt,6)=0,0,EOMONTH(INDEX(DarlAuszahlung,6),248)+1)</f>
      </c>
      <c r="F2652" s="43">
        <f>IF($E2652=0,0,YEAR($E2652))</f>
      </c>
      <c r="G2652" s="43">
        <f>IF(INDEX(DarlBindung,6)="",1,IF($E2652&lt;=INDEX(DarlBindung,6),1,0))</f>
      </c>
      <c r="H2652" s="43">
        <f>IF($G2652=1,INDEX(DarlSollzins,6),INDEX(DarlAnschluss,6))</f>
      </c>
      <c r="I2652" s="43">
        <f>IF(INDEX(DarlBelegt,6)=0,0,IF(INDEX(DarlOhneTilgung,6)=1,IF(INDEX(DarlBindung,6)="",1,$G2652),IF($J2652&gt;0.005,1,0)))</f>
      </c>
      <c r="J2652" s="43">
        <f>IF($I2651=0,0,$R2651)</f>
      </c>
      <c r="K2652" s="43">
        <f>IF($I2652=0,0,IF(INDEX(DarlOhneTilgung,6)=1,0,IF(AND(INDEX(DarlTilgStart,6)&gt;0,$E2652=INDEX(DarlTilgStart,6)),$J2652*($H2652+INDEX(DarlTilgung,6))/100/12,IF(AND($G2652=0,$G2651=1),MAX($K2651,$J2652*($H2652+1)/100/12),$K2651))))</f>
      </c>
      <c r="L2652" s="43">
        <f>IF($I2652=0,0,$J2652*$H2652/100/12)</f>
      </c>
      <c r="M2652" s="43">
        <f>IF($I2652=0,0,IF(OR(INDEX(DarlOhneTilgung,6)=1,AND(INDEX(DarlTilgStart,6)&gt;0,$E2652&lt;INDEX(DarlTilgStart,6))),0,MIN(MAX(0,$K2652-$L2652),$J2652)))</f>
      </c>
      <c r="N2652" s="43">
        <f>IF($I2652=0,0,MIN(SUMIFS(SondBetrag,SondDarl,6,SondDatum,"&gt;="&amp;$E2652,SondDatum,"&lt;="&amp;EOMONTH($E2652,0)),$J2652-$M2652))</f>
      </c>
      <c r="O2652" s="43">
        <f>IF($I2652=0,0,INDEX(DarlErsatzRate,6))</f>
      </c>
      <c r="P2652" s="43">
        <f>IF($I2652=0,0,$Q2651*INDEX(DarlErsatzZins,6))</f>
      </c>
      <c r="Q2652" s="43">
        <f>IF($I2652=0,0,$Q2651+$P2652+$O2652)</f>
      </c>
      <c r="R2652" s="43">
        <f>IF($I2652=0,0,$J2652-$M2652-$N2652)</f>
      </c>
    </row>
    <row r="2653">
      <c r="A2653"/>
      <c r="B2653">
        <v>6</v>
      </c>
      <c r="C2653" s="43">
        <f>INDEX(DarlObj,6)</f>
      </c>
      <c r="D2653">
        <v>250</v>
      </c>
      <c r="E2653" s="51">
        <f>IF(INDEX(DarlBelegt,6)=0,0,EOMONTH(INDEX(DarlAuszahlung,6),249)+1)</f>
      </c>
      <c r="F2653" s="43">
        <f>IF($E2653=0,0,YEAR($E2653))</f>
      </c>
      <c r="G2653" s="43">
        <f>IF(INDEX(DarlBindung,6)="",1,IF($E2653&lt;=INDEX(DarlBindung,6),1,0))</f>
      </c>
      <c r="H2653" s="43">
        <f>IF($G2653=1,INDEX(DarlSollzins,6),INDEX(DarlAnschluss,6))</f>
      </c>
      <c r="I2653" s="43">
        <f>IF(INDEX(DarlBelegt,6)=0,0,IF(INDEX(DarlOhneTilgung,6)=1,IF(INDEX(DarlBindung,6)="",1,$G2653),IF($J2653&gt;0.005,1,0)))</f>
      </c>
      <c r="J2653" s="43">
        <f>IF($I2652=0,0,$R2652)</f>
      </c>
      <c r="K2653" s="43">
        <f>IF($I2653=0,0,IF(INDEX(DarlOhneTilgung,6)=1,0,IF(AND(INDEX(DarlTilgStart,6)&gt;0,$E2653=INDEX(DarlTilgStart,6)),$J2653*($H2653+INDEX(DarlTilgung,6))/100/12,IF(AND($G2653=0,$G2652=1),MAX($K2652,$J2653*($H2653+1)/100/12),$K2652))))</f>
      </c>
      <c r="L2653" s="43">
        <f>IF($I2653=0,0,$J2653*$H2653/100/12)</f>
      </c>
      <c r="M2653" s="43">
        <f>IF($I2653=0,0,IF(OR(INDEX(DarlOhneTilgung,6)=1,AND(INDEX(DarlTilgStart,6)&gt;0,$E2653&lt;INDEX(DarlTilgStart,6))),0,MIN(MAX(0,$K2653-$L2653),$J2653)))</f>
      </c>
      <c r="N2653" s="43">
        <f>IF($I2653=0,0,MIN(SUMIFS(SondBetrag,SondDarl,6,SondDatum,"&gt;="&amp;$E2653,SondDatum,"&lt;="&amp;EOMONTH($E2653,0)),$J2653-$M2653))</f>
      </c>
      <c r="O2653" s="43">
        <f>IF($I2653=0,0,INDEX(DarlErsatzRate,6))</f>
      </c>
      <c r="P2653" s="43">
        <f>IF($I2653=0,0,$Q2652*INDEX(DarlErsatzZins,6))</f>
      </c>
      <c r="Q2653" s="43">
        <f>IF($I2653=0,0,$Q2652+$P2653+$O2653)</f>
      </c>
      <c r="R2653" s="43">
        <f>IF($I2653=0,0,$J2653-$M2653-$N2653)</f>
      </c>
    </row>
    <row r="2654">
      <c r="A2654"/>
      <c r="B2654">
        <v>6</v>
      </c>
      <c r="C2654" s="43">
        <f>INDEX(DarlObj,6)</f>
      </c>
      <c r="D2654">
        <v>251</v>
      </c>
      <c r="E2654" s="51">
        <f>IF(INDEX(DarlBelegt,6)=0,0,EOMONTH(INDEX(DarlAuszahlung,6),250)+1)</f>
      </c>
      <c r="F2654" s="43">
        <f>IF($E2654=0,0,YEAR($E2654))</f>
      </c>
      <c r="G2654" s="43">
        <f>IF(INDEX(DarlBindung,6)="",1,IF($E2654&lt;=INDEX(DarlBindung,6),1,0))</f>
      </c>
      <c r="H2654" s="43">
        <f>IF($G2654=1,INDEX(DarlSollzins,6),INDEX(DarlAnschluss,6))</f>
      </c>
      <c r="I2654" s="43">
        <f>IF(INDEX(DarlBelegt,6)=0,0,IF(INDEX(DarlOhneTilgung,6)=1,IF(INDEX(DarlBindung,6)="",1,$G2654),IF($J2654&gt;0.005,1,0)))</f>
      </c>
      <c r="J2654" s="43">
        <f>IF($I2653=0,0,$R2653)</f>
      </c>
      <c r="K2654" s="43">
        <f>IF($I2654=0,0,IF(INDEX(DarlOhneTilgung,6)=1,0,IF(AND(INDEX(DarlTilgStart,6)&gt;0,$E2654=INDEX(DarlTilgStart,6)),$J2654*($H2654+INDEX(DarlTilgung,6))/100/12,IF(AND($G2654=0,$G2653=1),MAX($K2653,$J2654*($H2654+1)/100/12),$K2653))))</f>
      </c>
      <c r="L2654" s="43">
        <f>IF($I2654=0,0,$J2654*$H2654/100/12)</f>
      </c>
      <c r="M2654" s="43">
        <f>IF($I2654=0,0,IF(OR(INDEX(DarlOhneTilgung,6)=1,AND(INDEX(DarlTilgStart,6)&gt;0,$E2654&lt;INDEX(DarlTilgStart,6))),0,MIN(MAX(0,$K2654-$L2654),$J2654)))</f>
      </c>
      <c r="N2654" s="43">
        <f>IF($I2654=0,0,MIN(SUMIFS(SondBetrag,SondDarl,6,SondDatum,"&gt;="&amp;$E2654,SondDatum,"&lt;="&amp;EOMONTH($E2654,0)),$J2654-$M2654))</f>
      </c>
      <c r="O2654" s="43">
        <f>IF($I2654=0,0,INDEX(DarlErsatzRate,6))</f>
      </c>
      <c r="P2654" s="43">
        <f>IF($I2654=0,0,$Q2653*INDEX(DarlErsatzZins,6))</f>
      </c>
      <c r="Q2654" s="43">
        <f>IF($I2654=0,0,$Q2653+$P2654+$O2654)</f>
      </c>
      <c r="R2654" s="43">
        <f>IF($I2654=0,0,$J2654-$M2654-$N2654)</f>
      </c>
    </row>
    <row r="2655">
      <c r="A2655"/>
      <c r="B2655">
        <v>6</v>
      </c>
      <c r="C2655" s="43">
        <f>INDEX(DarlObj,6)</f>
      </c>
      <c r="D2655">
        <v>252</v>
      </c>
      <c r="E2655" s="51">
        <f>IF(INDEX(DarlBelegt,6)=0,0,EOMONTH(INDEX(DarlAuszahlung,6),251)+1)</f>
      </c>
      <c r="F2655" s="43">
        <f>IF($E2655=0,0,YEAR($E2655))</f>
      </c>
      <c r="G2655" s="43">
        <f>IF(INDEX(DarlBindung,6)="",1,IF($E2655&lt;=INDEX(DarlBindung,6),1,0))</f>
      </c>
      <c r="H2655" s="43">
        <f>IF($G2655=1,INDEX(DarlSollzins,6),INDEX(DarlAnschluss,6))</f>
      </c>
      <c r="I2655" s="43">
        <f>IF(INDEX(DarlBelegt,6)=0,0,IF(INDEX(DarlOhneTilgung,6)=1,IF(INDEX(DarlBindung,6)="",1,$G2655),IF($J2655&gt;0.005,1,0)))</f>
      </c>
      <c r="J2655" s="43">
        <f>IF($I2654=0,0,$R2654)</f>
      </c>
      <c r="K2655" s="43">
        <f>IF($I2655=0,0,IF(INDEX(DarlOhneTilgung,6)=1,0,IF(AND(INDEX(DarlTilgStart,6)&gt;0,$E2655=INDEX(DarlTilgStart,6)),$J2655*($H2655+INDEX(DarlTilgung,6))/100/12,IF(AND($G2655=0,$G2654=1),MAX($K2654,$J2655*($H2655+1)/100/12),$K2654))))</f>
      </c>
      <c r="L2655" s="43">
        <f>IF($I2655=0,0,$J2655*$H2655/100/12)</f>
      </c>
      <c r="M2655" s="43">
        <f>IF($I2655=0,0,IF(OR(INDEX(DarlOhneTilgung,6)=1,AND(INDEX(DarlTilgStart,6)&gt;0,$E2655&lt;INDEX(DarlTilgStart,6))),0,MIN(MAX(0,$K2655-$L2655),$J2655)))</f>
      </c>
      <c r="N2655" s="43">
        <f>IF($I2655=0,0,MIN(SUMIFS(SondBetrag,SondDarl,6,SondDatum,"&gt;="&amp;$E2655,SondDatum,"&lt;="&amp;EOMONTH($E2655,0)),$J2655-$M2655))</f>
      </c>
      <c r="O2655" s="43">
        <f>IF($I2655=0,0,INDEX(DarlErsatzRate,6))</f>
      </c>
      <c r="P2655" s="43">
        <f>IF($I2655=0,0,$Q2654*INDEX(DarlErsatzZins,6))</f>
      </c>
      <c r="Q2655" s="43">
        <f>IF($I2655=0,0,$Q2654+$P2655+$O2655)</f>
      </c>
      <c r="R2655" s="43">
        <f>IF($I2655=0,0,$J2655-$M2655-$N2655)</f>
      </c>
    </row>
    <row r="2656">
      <c r="A2656"/>
      <c r="B2656">
        <v>6</v>
      </c>
      <c r="C2656" s="43">
        <f>INDEX(DarlObj,6)</f>
      </c>
      <c r="D2656">
        <v>253</v>
      </c>
      <c r="E2656" s="51">
        <f>IF(INDEX(DarlBelegt,6)=0,0,EOMONTH(INDEX(DarlAuszahlung,6),252)+1)</f>
      </c>
      <c r="F2656" s="43">
        <f>IF($E2656=0,0,YEAR($E2656))</f>
      </c>
      <c r="G2656" s="43">
        <f>IF(INDEX(DarlBindung,6)="",1,IF($E2656&lt;=INDEX(DarlBindung,6),1,0))</f>
      </c>
      <c r="H2656" s="43">
        <f>IF($G2656=1,INDEX(DarlSollzins,6),INDEX(DarlAnschluss,6))</f>
      </c>
      <c r="I2656" s="43">
        <f>IF(INDEX(DarlBelegt,6)=0,0,IF(INDEX(DarlOhneTilgung,6)=1,IF(INDEX(DarlBindung,6)="",1,$G2656),IF($J2656&gt;0.005,1,0)))</f>
      </c>
      <c r="J2656" s="43">
        <f>IF($I2655=0,0,$R2655)</f>
      </c>
      <c r="K2656" s="43">
        <f>IF($I2656=0,0,IF(INDEX(DarlOhneTilgung,6)=1,0,IF(AND(INDEX(DarlTilgStart,6)&gt;0,$E2656=INDEX(DarlTilgStart,6)),$J2656*($H2656+INDEX(DarlTilgung,6))/100/12,IF(AND($G2656=0,$G2655=1),MAX($K2655,$J2656*($H2656+1)/100/12),$K2655))))</f>
      </c>
      <c r="L2656" s="43">
        <f>IF($I2656=0,0,$J2656*$H2656/100/12)</f>
      </c>
      <c r="M2656" s="43">
        <f>IF($I2656=0,0,IF(OR(INDEX(DarlOhneTilgung,6)=1,AND(INDEX(DarlTilgStart,6)&gt;0,$E2656&lt;INDEX(DarlTilgStart,6))),0,MIN(MAX(0,$K2656-$L2656),$J2656)))</f>
      </c>
      <c r="N2656" s="43">
        <f>IF($I2656=0,0,MIN(SUMIFS(SondBetrag,SondDarl,6,SondDatum,"&gt;="&amp;$E2656,SondDatum,"&lt;="&amp;EOMONTH($E2656,0)),$J2656-$M2656))</f>
      </c>
      <c r="O2656" s="43">
        <f>IF($I2656=0,0,INDEX(DarlErsatzRate,6))</f>
      </c>
      <c r="P2656" s="43">
        <f>IF($I2656=0,0,$Q2655*INDEX(DarlErsatzZins,6))</f>
      </c>
      <c r="Q2656" s="43">
        <f>IF($I2656=0,0,$Q2655+$P2656+$O2656)</f>
      </c>
      <c r="R2656" s="43">
        <f>IF($I2656=0,0,$J2656-$M2656-$N2656)</f>
      </c>
    </row>
    <row r="2657">
      <c r="A2657"/>
      <c r="B2657">
        <v>6</v>
      </c>
      <c r="C2657" s="43">
        <f>INDEX(DarlObj,6)</f>
      </c>
      <c r="D2657">
        <v>254</v>
      </c>
      <c r="E2657" s="51">
        <f>IF(INDEX(DarlBelegt,6)=0,0,EOMONTH(INDEX(DarlAuszahlung,6),253)+1)</f>
      </c>
      <c r="F2657" s="43">
        <f>IF($E2657=0,0,YEAR($E2657))</f>
      </c>
      <c r="G2657" s="43">
        <f>IF(INDEX(DarlBindung,6)="",1,IF($E2657&lt;=INDEX(DarlBindung,6),1,0))</f>
      </c>
      <c r="H2657" s="43">
        <f>IF($G2657=1,INDEX(DarlSollzins,6),INDEX(DarlAnschluss,6))</f>
      </c>
      <c r="I2657" s="43">
        <f>IF(INDEX(DarlBelegt,6)=0,0,IF(INDEX(DarlOhneTilgung,6)=1,IF(INDEX(DarlBindung,6)="",1,$G2657),IF($J2657&gt;0.005,1,0)))</f>
      </c>
      <c r="J2657" s="43">
        <f>IF($I2656=0,0,$R2656)</f>
      </c>
      <c r="K2657" s="43">
        <f>IF($I2657=0,0,IF(INDEX(DarlOhneTilgung,6)=1,0,IF(AND(INDEX(DarlTilgStart,6)&gt;0,$E2657=INDEX(DarlTilgStart,6)),$J2657*($H2657+INDEX(DarlTilgung,6))/100/12,IF(AND($G2657=0,$G2656=1),MAX($K2656,$J2657*($H2657+1)/100/12),$K2656))))</f>
      </c>
      <c r="L2657" s="43">
        <f>IF($I2657=0,0,$J2657*$H2657/100/12)</f>
      </c>
      <c r="M2657" s="43">
        <f>IF($I2657=0,0,IF(OR(INDEX(DarlOhneTilgung,6)=1,AND(INDEX(DarlTilgStart,6)&gt;0,$E2657&lt;INDEX(DarlTilgStart,6))),0,MIN(MAX(0,$K2657-$L2657),$J2657)))</f>
      </c>
      <c r="N2657" s="43">
        <f>IF($I2657=0,0,MIN(SUMIFS(SondBetrag,SondDarl,6,SondDatum,"&gt;="&amp;$E2657,SondDatum,"&lt;="&amp;EOMONTH($E2657,0)),$J2657-$M2657))</f>
      </c>
      <c r="O2657" s="43">
        <f>IF($I2657=0,0,INDEX(DarlErsatzRate,6))</f>
      </c>
      <c r="P2657" s="43">
        <f>IF($I2657=0,0,$Q2656*INDEX(DarlErsatzZins,6))</f>
      </c>
      <c r="Q2657" s="43">
        <f>IF($I2657=0,0,$Q2656+$P2657+$O2657)</f>
      </c>
      <c r="R2657" s="43">
        <f>IF($I2657=0,0,$J2657-$M2657-$N2657)</f>
      </c>
    </row>
    <row r="2658">
      <c r="A2658"/>
      <c r="B2658">
        <v>6</v>
      </c>
      <c r="C2658" s="43">
        <f>INDEX(DarlObj,6)</f>
      </c>
      <c r="D2658">
        <v>255</v>
      </c>
      <c r="E2658" s="51">
        <f>IF(INDEX(DarlBelegt,6)=0,0,EOMONTH(INDEX(DarlAuszahlung,6),254)+1)</f>
      </c>
      <c r="F2658" s="43">
        <f>IF($E2658=0,0,YEAR($E2658))</f>
      </c>
      <c r="G2658" s="43">
        <f>IF(INDEX(DarlBindung,6)="",1,IF($E2658&lt;=INDEX(DarlBindung,6),1,0))</f>
      </c>
      <c r="H2658" s="43">
        <f>IF($G2658=1,INDEX(DarlSollzins,6),INDEX(DarlAnschluss,6))</f>
      </c>
      <c r="I2658" s="43">
        <f>IF(INDEX(DarlBelegt,6)=0,0,IF(INDEX(DarlOhneTilgung,6)=1,IF(INDEX(DarlBindung,6)="",1,$G2658),IF($J2658&gt;0.005,1,0)))</f>
      </c>
      <c r="J2658" s="43">
        <f>IF($I2657=0,0,$R2657)</f>
      </c>
      <c r="K2658" s="43">
        <f>IF($I2658=0,0,IF(INDEX(DarlOhneTilgung,6)=1,0,IF(AND(INDEX(DarlTilgStart,6)&gt;0,$E2658=INDEX(DarlTilgStart,6)),$J2658*($H2658+INDEX(DarlTilgung,6))/100/12,IF(AND($G2658=0,$G2657=1),MAX($K2657,$J2658*($H2658+1)/100/12),$K2657))))</f>
      </c>
      <c r="L2658" s="43">
        <f>IF($I2658=0,0,$J2658*$H2658/100/12)</f>
      </c>
      <c r="M2658" s="43">
        <f>IF($I2658=0,0,IF(OR(INDEX(DarlOhneTilgung,6)=1,AND(INDEX(DarlTilgStart,6)&gt;0,$E2658&lt;INDEX(DarlTilgStart,6))),0,MIN(MAX(0,$K2658-$L2658),$J2658)))</f>
      </c>
      <c r="N2658" s="43">
        <f>IF($I2658=0,0,MIN(SUMIFS(SondBetrag,SondDarl,6,SondDatum,"&gt;="&amp;$E2658,SondDatum,"&lt;="&amp;EOMONTH($E2658,0)),$J2658-$M2658))</f>
      </c>
      <c r="O2658" s="43">
        <f>IF($I2658=0,0,INDEX(DarlErsatzRate,6))</f>
      </c>
      <c r="P2658" s="43">
        <f>IF($I2658=0,0,$Q2657*INDEX(DarlErsatzZins,6))</f>
      </c>
      <c r="Q2658" s="43">
        <f>IF($I2658=0,0,$Q2657+$P2658+$O2658)</f>
      </c>
      <c r="R2658" s="43">
        <f>IF($I2658=0,0,$J2658-$M2658-$N2658)</f>
      </c>
    </row>
    <row r="2659">
      <c r="A2659"/>
      <c r="B2659">
        <v>6</v>
      </c>
      <c r="C2659" s="43">
        <f>INDEX(DarlObj,6)</f>
      </c>
      <c r="D2659">
        <v>256</v>
      </c>
      <c r="E2659" s="51">
        <f>IF(INDEX(DarlBelegt,6)=0,0,EOMONTH(INDEX(DarlAuszahlung,6),255)+1)</f>
      </c>
      <c r="F2659" s="43">
        <f>IF($E2659=0,0,YEAR($E2659))</f>
      </c>
      <c r="G2659" s="43">
        <f>IF(INDEX(DarlBindung,6)="",1,IF($E2659&lt;=INDEX(DarlBindung,6),1,0))</f>
      </c>
      <c r="H2659" s="43">
        <f>IF($G2659=1,INDEX(DarlSollzins,6),INDEX(DarlAnschluss,6))</f>
      </c>
      <c r="I2659" s="43">
        <f>IF(INDEX(DarlBelegt,6)=0,0,IF(INDEX(DarlOhneTilgung,6)=1,IF(INDEX(DarlBindung,6)="",1,$G2659),IF($J2659&gt;0.005,1,0)))</f>
      </c>
      <c r="J2659" s="43">
        <f>IF($I2658=0,0,$R2658)</f>
      </c>
      <c r="K2659" s="43">
        <f>IF($I2659=0,0,IF(INDEX(DarlOhneTilgung,6)=1,0,IF(AND(INDEX(DarlTilgStart,6)&gt;0,$E2659=INDEX(DarlTilgStart,6)),$J2659*($H2659+INDEX(DarlTilgung,6))/100/12,IF(AND($G2659=0,$G2658=1),MAX($K2658,$J2659*($H2659+1)/100/12),$K2658))))</f>
      </c>
      <c r="L2659" s="43">
        <f>IF($I2659=0,0,$J2659*$H2659/100/12)</f>
      </c>
      <c r="M2659" s="43">
        <f>IF($I2659=0,0,IF(OR(INDEX(DarlOhneTilgung,6)=1,AND(INDEX(DarlTilgStart,6)&gt;0,$E2659&lt;INDEX(DarlTilgStart,6))),0,MIN(MAX(0,$K2659-$L2659),$J2659)))</f>
      </c>
      <c r="N2659" s="43">
        <f>IF($I2659=0,0,MIN(SUMIFS(SondBetrag,SondDarl,6,SondDatum,"&gt;="&amp;$E2659,SondDatum,"&lt;="&amp;EOMONTH($E2659,0)),$J2659-$M2659))</f>
      </c>
      <c r="O2659" s="43">
        <f>IF($I2659=0,0,INDEX(DarlErsatzRate,6))</f>
      </c>
      <c r="P2659" s="43">
        <f>IF($I2659=0,0,$Q2658*INDEX(DarlErsatzZins,6))</f>
      </c>
      <c r="Q2659" s="43">
        <f>IF($I2659=0,0,$Q2658+$P2659+$O2659)</f>
      </c>
      <c r="R2659" s="43">
        <f>IF($I2659=0,0,$J2659-$M2659-$N2659)</f>
      </c>
    </row>
    <row r="2660">
      <c r="A2660"/>
      <c r="B2660">
        <v>6</v>
      </c>
      <c r="C2660" s="43">
        <f>INDEX(DarlObj,6)</f>
      </c>
      <c r="D2660">
        <v>257</v>
      </c>
      <c r="E2660" s="51">
        <f>IF(INDEX(DarlBelegt,6)=0,0,EOMONTH(INDEX(DarlAuszahlung,6),256)+1)</f>
      </c>
      <c r="F2660" s="43">
        <f>IF($E2660=0,0,YEAR($E2660))</f>
      </c>
      <c r="G2660" s="43">
        <f>IF(INDEX(DarlBindung,6)="",1,IF($E2660&lt;=INDEX(DarlBindung,6),1,0))</f>
      </c>
      <c r="H2660" s="43">
        <f>IF($G2660=1,INDEX(DarlSollzins,6),INDEX(DarlAnschluss,6))</f>
      </c>
      <c r="I2660" s="43">
        <f>IF(INDEX(DarlBelegt,6)=0,0,IF(INDEX(DarlOhneTilgung,6)=1,IF(INDEX(DarlBindung,6)="",1,$G2660),IF($J2660&gt;0.005,1,0)))</f>
      </c>
      <c r="J2660" s="43">
        <f>IF($I2659=0,0,$R2659)</f>
      </c>
      <c r="K2660" s="43">
        <f>IF($I2660=0,0,IF(INDEX(DarlOhneTilgung,6)=1,0,IF(AND(INDEX(DarlTilgStart,6)&gt;0,$E2660=INDEX(DarlTilgStart,6)),$J2660*($H2660+INDEX(DarlTilgung,6))/100/12,IF(AND($G2660=0,$G2659=1),MAX($K2659,$J2660*($H2660+1)/100/12),$K2659))))</f>
      </c>
      <c r="L2660" s="43">
        <f>IF($I2660=0,0,$J2660*$H2660/100/12)</f>
      </c>
      <c r="M2660" s="43">
        <f>IF($I2660=0,0,IF(OR(INDEX(DarlOhneTilgung,6)=1,AND(INDEX(DarlTilgStart,6)&gt;0,$E2660&lt;INDEX(DarlTilgStart,6))),0,MIN(MAX(0,$K2660-$L2660),$J2660)))</f>
      </c>
      <c r="N2660" s="43">
        <f>IF($I2660=0,0,MIN(SUMIFS(SondBetrag,SondDarl,6,SondDatum,"&gt;="&amp;$E2660,SondDatum,"&lt;="&amp;EOMONTH($E2660,0)),$J2660-$M2660))</f>
      </c>
      <c r="O2660" s="43">
        <f>IF($I2660=0,0,INDEX(DarlErsatzRate,6))</f>
      </c>
      <c r="P2660" s="43">
        <f>IF($I2660=0,0,$Q2659*INDEX(DarlErsatzZins,6))</f>
      </c>
      <c r="Q2660" s="43">
        <f>IF($I2660=0,0,$Q2659+$P2660+$O2660)</f>
      </c>
      <c r="R2660" s="43">
        <f>IF($I2660=0,0,$J2660-$M2660-$N2660)</f>
      </c>
    </row>
    <row r="2661">
      <c r="A2661"/>
      <c r="B2661">
        <v>6</v>
      </c>
      <c r="C2661" s="43">
        <f>INDEX(DarlObj,6)</f>
      </c>
      <c r="D2661">
        <v>258</v>
      </c>
      <c r="E2661" s="51">
        <f>IF(INDEX(DarlBelegt,6)=0,0,EOMONTH(INDEX(DarlAuszahlung,6),257)+1)</f>
      </c>
      <c r="F2661" s="43">
        <f>IF($E2661=0,0,YEAR($E2661))</f>
      </c>
      <c r="G2661" s="43">
        <f>IF(INDEX(DarlBindung,6)="",1,IF($E2661&lt;=INDEX(DarlBindung,6),1,0))</f>
      </c>
      <c r="H2661" s="43">
        <f>IF($G2661=1,INDEX(DarlSollzins,6),INDEX(DarlAnschluss,6))</f>
      </c>
      <c r="I2661" s="43">
        <f>IF(INDEX(DarlBelegt,6)=0,0,IF(INDEX(DarlOhneTilgung,6)=1,IF(INDEX(DarlBindung,6)="",1,$G2661),IF($J2661&gt;0.005,1,0)))</f>
      </c>
      <c r="J2661" s="43">
        <f>IF($I2660=0,0,$R2660)</f>
      </c>
      <c r="K2661" s="43">
        <f>IF($I2661=0,0,IF(INDEX(DarlOhneTilgung,6)=1,0,IF(AND(INDEX(DarlTilgStart,6)&gt;0,$E2661=INDEX(DarlTilgStart,6)),$J2661*($H2661+INDEX(DarlTilgung,6))/100/12,IF(AND($G2661=0,$G2660=1),MAX($K2660,$J2661*($H2661+1)/100/12),$K2660))))</f>
      </c>
      <c r="L2661" s="43">
        <f>IF($I2661=0,0,$J2661*$H2661/100/12)</f>
      </c>
      <c r="M2661" s="43">
        <f>IF($I2661=0,0,IF(OR(INDEX(DarlOhneTilgung,6)=1,AND(INDEX(DarlTilgStart,6)&gt;0,$E2661&lt;INDEX(DarlTilgStart,6))),0,MIN(MAX(0,$K2661-$L2661),$J2661)))</f>
      </c>
      <c r="N2661" s="43">
        <f>IF($I2661=0,0,MIN(SUMIFS(SondBetrag,SondDarl,6,SondDatum,"&gt;="&amp;$E2661,SondDatum,"&lt;="&amp;EOMONTH($E2661,0)),$J2661-$M2661))</f>
      </c>
      <c r="O2661" s="43">
        <f>IF($I2661=0,0,INDEX(DarlErsatzRate,6))</f>
      </c>
      <c r="P2661" s="43">
        <f>IF($I2661=0,0,$Q2660*INDEX(DarlErsatzZins,6))</f>
      </c>
      <c r="Q2661" s="43">
        <f>IF($I2661=0,0,$Q2660+$P2661+$O2661)</f>
      </c>
      <c r="R2661" s="43">
        <f>IF($I2661=0,0,$J2661-$M2661-$N2661)</f>
      </c>
    </row>
    <row r="2662">
      <c r="A2662"/>
      <c r="B2662">
        <v>6</v>
      </c>
      <c r="C2662" s="43">
        <f>INDEX(DarlObj,6)</f>
      </c>
      <c r="D2662">
        <v>259</v>
      </c>
      <c r="E2662" s="51">
        <f>IF(INDEX(DarlBelegt,6)=0,0,EOMONTH(INDEX(DarlAuszahlung,6),258)+1)</f>
      </c>
      <c r="F2662" s="43">
        <f>IF($E2662=0,0,YEAR($E2662))</f>
      </c>
      <c r="G2662" s="43">
        <f>IF(INDEX(DarlBindung,6)="",1,IF($E2662&lt;=INDEX(DarlBindung,6),1,0))</f>
      </c>
      <c r="H2662" s="43">
        <f>IF($G2662=1,INDEX(DarlSollzins,6),INDEX(DarlAnschluss,6))</f>
      </c>
      <c r="I2662" s="43">
        <f>IF(INDEX(DarlBelegt,6)=0,0,IF(INDEX(DarlOhneTilgung,6)=1,IF(INDEX(DarlBindung,6)="",1,$G2662),IF($J2662&gt;0.005,1,0)))</f>
      </c>
      <c r="J2662" s="43">
        <f>IF($I2661=0,0,$R2661)</f>
      </c>
      <c r="K2662" s="43">
        <f>IF($I2662=0,0,IF(INDEX(DarlOhneTilgung,6)=1,0,IF(AND(INDEX(DarlTilgStart,6)&gt;0,$E2662=INDEX(DarlTilgStart,6)),$J2662*($H2662+INDEX(DarlTilgung,6))/100/12,IF(AND($G2662=0,$G2661=1),MAX($K2661,$J2662*($H2662+1)/100/12),$K2661))))</f>
      </c>
      <c r="L2662" s="43">
        <f>IF($I2662=0,0,$J2662*$H2662/100/12)</f>
      </c>
      <c r="M2662" s="43">
        <f>IF($I2662=0,0,IF(OR(INDEX(DarlOhneTilgung,6)=1,AND(INDEX(DarlTilgStart,6)&gt;0,$E2662&lt;INDEX(DarlTilgStart,6))),0,MIN(MAX(0,$K2662-$L2662),$J2662)))</f>
      </c>
      <c r="N2662" s="43">
        <f>IF($I2662=0,0,MIN(SUMIFS(SondBetrag,SondDarl,6,SondDatum,"&gt;="&amp;$E2662,SondDatum,"&lt;="&amp;EOMONTH($E2662,0)),$J2662-$M2662))</f>
      </c>
      <c r="O2662" s="43">
        <f>IF($I2662=0,0,INDEX(DarlErsatzRate,6))</f>
      </c>
      <c r="P2662" s="43">
        <f>IF($I2662=0,0,$Q2661*INDEX(DarlErsatzZins,6))</f>
      </c>
      <c r="Q2662" s="43">
        <f>IF($I2662=0,0,$Q2661+$P2662+$O2662)</f>
      </c>
      <c r="R2662" s="43">
        <f>IF($I2662=0,0,$J2662-$M2662-$N2662)</f>
      </c>
    </row>
    <row r="2663">
      <c r="A2663"/>
      <c r="B2663">
        <v>6</v>
      </c>
      <c r="C2663" s="43">
        <f>INDEX(DarlObj,6)</f>
      </c>
      <c r="D2663">
        <v>260</v>
      </c>
      <c r="E2663" s="51">
        <f>IF(INDEX(DarlBelegt,6)=0,0,EOMONTH(INDEX(DarlAuszahlung,6),259)+1)</f>
      </c>
      <c r="F2663" s="43">
        <f>IF($E2663=0,0,YEAR($E2663))</f>
      </c>
      <c r="G2663" s="43">
        <f>IF(INDEX(DarlBindung,6)="",1,IF($E2663&lt;=INDEX(DarlBindung,6),1,0))</f>
      </c>
      <c r="H2663" s="43">
        <f>IF($G2663=1,INDEX(DarlSollzins,6),INDEX(DarlAnschluss,6))</f>
      </c>
      <c r="I2663" s="43">
        <f>IF(INDEX(DarlBelegt,6)=0,0,IF(INDEX(DarlOhneTilgung,6)=1,IF(INDEX(DarlBindung,6)="",1,$G2663),IF($J2663&gt;0.005,1,0)))</f>
      </c>
      <c r="J2663" s="43">
        <f>IF($I2662=0,0,$R2662)</f>
      </c>
      <c r="K2663" s="43">
        <f>IF($I2663=0,0,IF(INDEX(DarlOhneTilgung,6)=1,0,IF(AND(INDEX(DarlTilgStart,6)&gt;0,$E2663=INDEX(DarlTilgStart,6)),$J2663*($H2663+INDEX(DarlTilgung,6))/100/12,IF(AND($G2663=0,$G2662=1),MAX($K2662,$J2663*($H2663+1)/100/12),$K2662))))</f>
      </c>
      <c r="L2663" s="43">
        <f>IF($I2663=0,0,$J2663*$H2663/100/12)</f>
      </c>
      <c r="M2663" s="43">
        <f>IF($I2663=0,0,IF(OR(INDEX(DarlOhneTilgung,6)=1,AND(INDEX(DarlTilgStart,6)&gt;0,$E2663&lt;INDEX(DarlTilgStart,6))),0,MIN(MAX(0,$K2663-$L2663),$J2663)))</f>
      </c>
      <c r="N2663" s="43">
        <f>IF($I2663=0,0,MIN(SUMIFS(SondBetrag,SondDarl,6,SondDatum,"&gt;="&amp;$E2663,SondDatum,"&lt;="&amp;EOMONTH($E2663,0)),$J2663-$M2663))</f>
      </c>
      <c r="O2663" s="43">
        <f>IF($I2663=0,0,INDEX(DarlErsatzRate,6))</f>
      </c>
      <c r="P2663" s="43">
        <f>IF($I2663=0,0,$Q2662*INDEX(DarlErsatzZins,6))</f>
      </c>
      <c r="Q2663" s="43">
        <f>IF($I2663=0,0,$Q2662+$P2663+$O2663)</f>
      </c>
      <c r="R2663" s="43">
        <f>IF($I2663=0,0,$J2663-$M2663-$N2663)</f>
      </c>
    </row>
    <row r="2664">
      <c r="A2664"/>
      <c r="B2664">
        <v>6</v>
      </c>
      <c r="C2664" s="43">
        <f>INDEX(DarlObj,6)</f>
      </c>
      <c r="D2664">
        <v>261</v>
      </c>
      <c r="E2664" s="51">
        <f>IF(INDEX(DarlBelegt,6)=0,0,EOMONTH(INDEX(DarlAuszahlung,6),260)+1)</f>
      </c>
      <c r="F2664" s="43">
        <f>IF($E2664=0,0,YEAR($E2664))</f>
      </c>
      <c r="G2664" s="43">
        <f>IF(INDEX(DarlBindung,6)="",1,IF($E2664&lt;=INDEX(DarlBindung,6),1,0))</f>
      </c>
      <c r="H2664" s="43">
        <f>IF($G2664=1,INDEX(DarlSollzins,6),INDEX(DarlAnschluss,6))</f>
      </c>
      <c r="I2664" s="43">
        <f>IF(INDEX(DarlBelegt,6)=0,0,IF(INDEX(DarlOhneTilgung,6)=1,IF(INDEX(DarlBindung,6)="",1,$G2664),IF($J2664&gt;0.005,1,0)))</f>
      </c>
      <c r="J2664" s="43">
        <f>IF($I2663=0,0,$R2663)</f>
      </c>
      <c r="K2664" s="43">
        <f>IF($I2664=0,0,IF(INDEX(DarlOhneTilgung,6)=1,0,IF(AND(INDEX(DarlTilgStart,6)&gt;0,$E2664=INDEX(DarlTilgStart,6)),$J2664*($H2664+INDEX(DarlTilgung,6))/100/12,IF(AND($G2664=0,$G2663=1),MAX($K2663,$J2664*($H2664+1)/100/12),$K2663))))</f>
      </c>
      <c r="L2664" s="43">
        <f>IF($I2664=0,0,$J2664*$H2664/100/12)</f>
      </c>
      <c r="M2664" s="43">
        <f>IF($I2664=0,0,IF(OR(INDEX(DarlOhneTilgung,6)=1,AND(INDEX(DarlTilgStart,6)&gt;0,$E2664&lt;INDEX(DarlTilgStart,6))),0,MIN(MAX(0,$K2664-$L2664),$J2664)))</f>
      </c>
      <c r="N2664" s="43">
        <f>IF($I2664=0,0,MIN(SUMIFS(SondBetrag,SondDarl,6,SondDatum,"&gt;="&amp;$E2664,SondDatum,"&lt;="&amp;EOMONTH($E2664,0)),$J2664-$M2664))</f>
      </c>
      <c r="O2664" s="43">
        <f>IF($I2664=0,0,INDEX(DarlErsatzRate,6))</f>
      </c>
      <c r="P2664" s="43">
        <f>IF($I2664=0,0,$Q2663*INDEX(DarlErsatzZins,6))</f>
      </c>
      <c r="Q2664" s="43">
        <f>IF($I2664=0,0,$Q2663+$P2664+$O2664)</f>
      </c>
      <c r="R2664" s="43">
        <f>IF($I2664=0,0,$J2664-$M2664-$N2664)</f>
      </c>
    </row>
    <row r="2665">
      <c r="A2665"/>
      <c r="B2665">
        <v>6</v>
      </c>
      <c r="C2665" s="43">
        <f>INDEX(DarlObj,6)</f>
      </c>
      <c r="D2665">
        <v>262</v>
      </c>
      <c r="E2665" s="51">
        <f>IF(INDEX(DarlBelegt,6)=0,0,EOMONTH(INDEX(DarlAuszahlung,6),261)+1)</f>
      </c>
      <c r="F2665" s="43">
        <f>IF($E2665=0,0,YEAR($E2665))</f>
      </c>
      <c r="G2665" s="43">
        <f>IF(INDEX(DarlBindung,6)="",1,IF($E2665&lt;=INDEX(DarlBindung,6),1,0))</f>
      </c>
      <c r="H2665" s="43">
        <f>IF($G2665=1,INDEX(DarlSollzins,6),INDEX(DarlAnschluss,6))</f>
      </c>
      <c r="I2665" s="43">
        <f>IF(INDEX(DarlBelegt,6)=0,0,IF(INDEX(DarlOhneTilgung,6)=1,IF(INDEX(DarlBindung,6)="",1,$G2665),IF($J2665&gt;0.005,1,0)))</f>
      </c>
      <c r="J2665" s="43">
        <f>IF($I2664=0,0,$R2664)</f>
      </c>
      <c r="K2665" s="43">
        <f>IF($I2665=0,0,IF(INDEX(DarlOhneTilgung,6)=1,0,IF(AND(INDEX(DarlTilgStart,6)&gt;0,$E2665=INDEX(DarlTilgStart,6)),$J2665*($H2665+INDEX(DarlTilgung,6))/100/12,IF(AND($G2665=0,$G2664=1),MAX($K2664,$J2665*($H2665+1)/100/12),$K2664))))</f>
      </c>
      <c r="L2665" s="43">
        <f>IF($I2665=0,0,$J2665*$H2665/100/12)</f>
      </c>
      <c r="M2665" s="43">
        <f>IF($I2665=0,0,IF(OR(INDEX(DarlOhneTilgung,6)=1,AND(INDEX(DarlTilgStart,6)&gt;0,$E2665&lt;INDEX(DarlTilgStart,6))),0,MIN(MAX(0,$K2665-$L2665),$J2665)))</f>
      </c>
      <c r="N2665" s="43">
        <f>IF($I2665=0,0,MIN(SUMIFS(SondBetrag,SondDarl,6,SondDatum,"&gt;="&amp;$E2665,SondDatum,"&lt;="&amp;EOMONTH($E2665,0)),$J2665-$M2665))</f>
      </c>
      <c r="O2665" s="43">
        <f>IF($I2665=0,0,INDEX(DarlErsatzRate,6))</f>
      </c>
      <c r="P2665" s="43">
        <f>IF($I2665=0,0,$Q2664*INDEX(DarlErsatzZins,6))</f>
      </c>
      <c r="Q2665" s="43">
        <f>IF($I2665=0,0,$Q2664+$P2665+$O2665)</f>
      </c>
      <c r="R2665" s="43">
        <f>IF($I2665=0,0,$J2665-$M2665-$N2665)</f>
      </c>
    </row>
    <row r="2666">
      <c r="A2666"/>
      <c r="B2666">
        <v>6</v>
      </c>
      <c r="C2666" s="43">
        <f>INDEX(DarlObj,6)</f>
      </c>
      <c r="D2666">
        <v>263</v>
      </c>
      <c r="E2666" s="51">
        <f>IF(INDEX(DarlBelegt,6)=0,0,EOMONTH(INDEX(DarlAuszahlung,6),262)+1)</f>
      </c>
      <c r="F2666" s="43">
        <f>IF($E2666=0,0,YEAR($E2666))</f>
      </c>
      <c r="G2666" s="43">
        <f>IF(INDEX(DarlBindung,6)="",1,IF($E2666&lt;=INDEX(DarlBindung,6),1,0))</f>
      </c>
      <c r="H2666" s="43">
        <f>IF($G2666=1,INDEX(DarlSollzins,6),INDEX(DarlAnschluss,6))</f>
      </c>
      <c r="I2666" s="43">
        <f>IF(INDEX(DarlBelegt,6)=0,0,IF(INDEX(DarlOhneTilgung,6)=1,IF(INDEX(DarlBindung,6)="",1,$G2666),IF($J2666&gt;0.005,1,0)))</f>
      </c>
      <c r="J2666" s="43">
        <f>IF($I2665=0,0,$R2665)</f>
      </c>
      <c r="K2666" s="43">
        <f>IF($I2666=0,0,IF(INDEX(DarlOhneTilgung,6)=1,0,IF(AND(INDEX(DarlTilgStart,6)&gt;0,$E2666=INDEX(DarlTilgStart,6)),$J2666*($H2666+INDEX(DarlTilgung,6))/100/12,IF(AND($G2666=0,$G2665=1),MAX($K2665,$J2666*($H2666+1)/100/12),$K2665))))</f>
      </c>
      <c r="L2666" s="43">
        <f>IF($I2666=0,0,$J2666*$H2666/100/12)</f>
      </c>
      <c r="M2666" s="43">
        <f>IF($I2666=0,0,IF(OR(INDEX(DarlOhneTilgung,6)=1,AND(INDEX(DarlTilgStart,6)&gt;0,$E2666&lt;INDEX(DarlTilgStart,6))),0,MIN(MAX(0,$K2666-$L2666),$J2666)))</f>
      </c>
      <c r="N2666" s="43">
        <f>IF($I2666=0,0,MIN(SUMIFS(SondBetrag,SondDarl,6,SondDatum,"&gt;="&amp;$E2666,SondDatum,"&lt;="&amp;EOMONTH($E2666,0)),$J2666-$M2666))</f>
      </c>
      <c r="O2666" s="43">
        <f>IF($I2666=0,0,INDEX(DarlErsatzRate,6))</f>
      </c>
      <c r="P2666" s="43">
        <f>IF($I2666=0,0,$Q2665*INDEX(DarlErsatzZins,6))</f>
      </c>
      <c r="Q2666" s="43">
        <f>IF($I2666=0,0,$Q2665+$P2666+$O2666)</f>
      </c>
      <c r="R2666" s="43">
        <f>IF($I2666=0,0,$J2666-$M2666-$N2666)</f>
      </c>
    </row>
    <row r="2667">
      <c r="A2667"/>
      <c r="B2667">
        <v>6</v>
      </c>
      <c r="C2667" s="43">
        <f>INDEX(DarlObj,6)</f>
      </c>
      <c r="D2667">
        <v>264</v>
      </c>
      <c r="E2667" s="51">
        <f>IF(INDEX(DarlBelegt,6)=0,0,EOMONTH(INDEX(DarlAuszahlung,6),263)+1)</f>
      </c>
      <c r="F2667" s="43">
        <f>IF($E2667=0,0,YEAR($E2667))</f>
      </c>
      <c r="G2667" s="43">
        <f>IF(INDEX(DarlBindung,6)="",1,IF($E2667&lt;=INDEX(DarlBindung,6),1,0))</f>
      </c>
      <c r="H2667" s="43">
        <f>IF($G2667=1,INDEX(DarlSollzins,6),INDEX(DarlAnschluss,6))</f>
      </c>
      <c r="I2667" s="43">
        <f>IF(INDEX(DarlBelegt,6)=0,0,IF(INDEX(DarlOhneTilgung,6)=1,IF(INDEX(DarlBindung,6)="",1,$G2667),IF($J2667&gt;0.005,1,0)))</f>
      </c>
      <c r="J2667" s="43">
        <f>IF($I2666=0,0,$R2666)</f>
      </c>
      <c r="K2667" s="43">
        <f>IF($I2667=0,0,IF(INDEX(DarlOhneTilgung,6)=1,0,IF(AND(INDEX(DarlTilgStart,6)&gt;0,$E2667=INDEX(DarlTilgStart,6)),$J2667*($H2667+INDEX(DarlTilgung,6))/100/12,IF(AND($G2667=0,$G2666=1),MAX($K2666,$J2667*($H2667+1)/100/12),$K2666))))</f>
      </c>
      <c r="L2667" s="43">
        <f>IF($I2667=0,0,$J2667*$H2667/100/12)</f>
      </c>
      <c r="M2667" s="43">
        <f>IF($I2667=0,0,IF(OR(INDEX(DarlOhneTilgung,6)=1,AND(INDEX(DarlTilgStart,6)&gt;0,$E2667&lt;INDEX(DarlTilgStart,6))),0,MIN(MAX(0,$K2667-$L2667),$J2667)))</f>
      </c>
      <c r="N2667" s="43">
        <f>IF($I2667=0,0,MIN(SUMIFS(SondBetrag,SondDarl,6,SondDatum,"&gt;="&amp;$E2667,SondDatum,"&lt;="&amp;EOMONTH($E2667,0)),$J2667-$M2667))</f>
      </c>
      <c r="O2667" s="43">
        <f>IF($I2667=0,0,INDEX(DarlErsatzRate,6))</f>
      </c>
      <c r="P2667" s="43">
        <f>IF($I2667=0,0,$Q2666*INDEX(DarlErsatzZins,6))</f>
      </c>
      <c r="Q2667" s="43">
        <f>IF($I2667=0,0,$Q2666+$P2667+$O2667)</f>
      </c>
      <c r="R2667" s="43">
        <f>IF($I2667=0,0,$J2667-$M2667-$N2667)</f>
      </c>
    </row>
    <row r="2668">
      <c r="A2668"/>
      <c r="B2668">
        <v>6</v>
      </c>
      <c r="C2668" s="43">
        <f>INDEX(DarlObj,6)</f>
      </c>
      <c r="D2668">
        <v>265</v>
      </c>
      <c r="E2668" s="51">
        <f>IF(INDEX(DarlBelegt,6)=0,0,EOMONTH(INDEX(DarlAuszahlung,6),264)+1)</f>
      </c>
      <c r="F2668" s="43">
        <f>IF($E2668=0,0,YEAR($E2668))</f>
      </c>
      <c r="G2668" s="43">
        <f>IF(INDEX(DarlBindung,6)="",1,IF($E2668&lt;=INDEX(DarlBindung,6),1,0))</f>
      </c>
      <c r="H2668" s="43">
        <f>IF($G2668=1,INDEX(DarlSollzins,6),INDEX(DarlAnschluss,6))</f>
      </c>
      <c r="I2668" s="43">
        <f>IF(INDEX(DarlBelegt,6)=0,0,IF(INDEX(DarlOhneTilgung,6)=1,IF(INDEX(DarlBindung,6)="",1,$G2668),IF($J2668&gt;0.005,1,0)))</f>
      </c>
      <c r="J2668" s="43">
        <f>IF($I2667=0,0,$R2667)</f>
      </c>
      <c r="K2668" s="43">
        <f>IF($I2668=0,0,IF(INDEX(DarlOhneTilgung,6)=1,0,IF(AND(INDEX(DarlTilgStart,6)&gt;0,$E2668=INDEX(DarlTilgStart,6)),$J2668*($H2668+INDEX(DarlTilgung,6))/100/12,IF(AND($G2668=0,$G2667=1),MAX($K2667,$J2668*($H2668+1)/100/12),$K2667))))</f>
      </c>
      <c r="L2668" s="43">
        <f>IF($I2668=0,0,$J2668*$H2668/100/12)</f>
      </c>
      <c r="M2668" s="43">
        <f>IF($I2668=0,0,IF(OR(INDEX(DarlOhneTilgung,6)=1,AND(INDEX(DarlTilgStart,6)&gt;0,$E2668&lt;INDEX(DarlTilgStart,6))),0,MIN(MAX(0,$K2668-$L2668),$J2668)))</f>
      </c>
      <c r="N2668" s="43">
        <f>IF($I2668=0,0,MIN(SUMIFS(SondBetrag,SondDarl,6,SondDatum,"&gt;="&amp;$E2668,SondDatum,"&lt;="&amp;EOMONTH($E2668,0)),$J2668-$M2668))</f>
      </c>
      <c r="O2668" s="43">
        <f>IF($I2668=0,0,INDEX(DarlErsatzRate,6))</f>
      </c>
      <c r="P2668" s="43">
        <f>IF($I2668=0,0,$Q2667*INDEX(DarlErsatzZins,6))</f>
      </c>
      <c r="Q2668" s="43">
        <f>IF($I2668=0,0,$Q2667+$P2668+$O2668)</f>
      </c>
      <c r="R2668" s="43">
        <f>IF($I2668=0,0,$J2668-$M2668-$N2668)</f>
      </c>
    </row>
    <row r="2669">
      <c r="A2669"/>
      <c r="B2669">
        <v>6</v>
      </c>
      <c r="C2669" s="43">
        <f>INDEX(DarlObj,6)</f>
      </c>
      <c r="D2669">
        <v>266</v>
      </c>
      <c r="E2669" s="51">
        <f>IF(INDEX(DarlBelegt,6)=0,0,EOMONTH(INDEX(DarlAuszahlung,6),265)+1)</f>
      </c>
      <c r="F2669" s="43">
        <f>IF($E2669=0,0,YEAR($E2669))</f>
      </c>
      <c r="G2669" s="43">
        <f>IF(INDEX(DarlBindung,6)="",1,IF($E2669&lt;=INDEX(DarlBindung,6),1,0))</f>
      </c>
      <c r="H2669" s="43">
        <f>IF($G2669=1,INDEX(DarlSollzins,6),INDEX(DarlAnschluss,6))</f>
      </c>
      <c r="I2669" s="43">
        <f>IF(INDEX(DarlBelegt,6)=0,0,IF(INDEX(DarlOhneTilgung,6)=1,IF(INDEX(DarlBindung,6)="",1,$G2669),IF($J2669&gt;0.005,1,0)))</f>
      </c>
      <c r="J2669" s="43">
        <f>IF($I2668=0,0,$R2668)</f>
      </c>
      <c r="K2669" s="43">
        <f>IF($I2669=0,0,IF(INDEX(DarlOhneTilgung,6)=1,0,IF(AND(INDEX(DarlTilgStart,6)&gt;0,$E2669=INDEX(DarlTilgStart,6)),$J2669*($H2669+INDEX(DarlTilgung,6))/100/12,IF(AND($G2669=0,$G2668=1),MAX($K2668,$J2669*($H2669+1)/100/12),$K2668))))</f>
      </c>
      <c r="L2669" s="43">
        <f>IF($I2669=0,0,$J2669*$H2669/100/12)</f>
      </c>
      <c r="M2669" s="43">
        <f>IF($I2669=0,0,IF(OR(INDEX(DarlOhneTilgung,6)=1,AND(INDEX(DarlTilgStart,6)&gt;0,$E2669&lt;INDEX(DarlTilgStart,6))),0,MIN(MAX(0,$K2669-$L2669),$J2669)))</f>
      </c>
      <c r="N2669" s="43">
        <f>IF($I2669=0,0,MIN(SUMIFS(SondBetrag,SondDarl,6,SondDatum,"&gt;="&amp;$E2669,SondDatum,"&lt;="&amp;EOMONTH($E2669,0)),$J2669-$M2669))</f>
      </c>
      <c r="O2669" s="43">
        <f>IF($I2669=0,0,INDEX(DarlErsatzRate,6))</f>
      </c>
      <c r="P2669" s="43">
        <f>IF($I2669=0,0,$Q2668*INDEX(DarlErsatzZins,6))</f>
      </c>
      <c r="Q2669" s="43">
        <f>IF($I2669=0,0,$Q2668+$P2669+$O2669)</f>
      </c>
      <c r="R2669" s="43">
        <f>IF($I2669=0,0,$J2669-$M2669-$N2669)</f>
      </c>
    </row>
    <row r="2670">
      <c r="A2670"/>
      <c r="B2670">
        <v>6</v>
      </c>
      <c r="C2670" s="43">
        <f>INDEX(DarlObj,6)</f>
      </c>
      <c r="D2670">
        <v>267</v>
      </c>
      <c r="E2670" s="51">
        <f>IF(INDEX(DarlBelegt,6)=0,0,EOMONTH(INDEX(DarlAuszahlung,6),266)+1)</f>
      </c>
      <c r="F2670" s="43">
        <f>IF($E2670=0,0,YEAR($E2670))</f>
      </c>
      <c r="G2670" s="43">
        <f>IF(INDEX(DarlBindung,6)="",1,IF($E2670&lt;=INDEX(DarlBindung,6),1,0))</f>
      </c>
      <c r="H2670" s="43">
        <f>IF($G2670=1,INDEX(DarlSollzins,6),INDEX(DarlAnschluss,6))</f>
      </c>
      <c r="I2670" s="43">
        <f>IF(INDEX(DarlBelegt,6)=0,0,IF(INDEX(DarlOhneTilgung,6)=1,IF(INDEX(DarlBindung,6)="",1,$G2670),IF($J2670&gt;0.005,1,0)))</f>
      </c>
      <c r="J2670" s="43">
        <f>IF($I2669=0,0,$R2669)</f>
      </c>
      <c r="K2670" s="43">
        <f>IF($I2670=0,0,IF(INDEX(DarlOhneTilgung,6)=1,0,IF(AND(INDEX(DarlTilgStart,6)&gt;0,$E2670=INDEX(DarlTilgStart,6)),$J2670*($H2670+INDEX(DarlTilgung,6))/100/12,IF(AND($G2670=0,$G2669=1),MAX($K2669,$J2670*($H2670+1)/100/12),$K2669))))</f>
      </c>
      <c r="L2670" s="43">
        <f>IF($I2670=0,0,$J2670*$H2670/100/12)</f>
      </c>
      <c r="M2670" s="43">
        <f>IF($I2670=0,0,IF(OR(INDEX(DarlOhneTilgung,6)=1,AND(INDEX(DarlTilgStart,6)&gt;0,$E2670&lt;INDEX(DarlTilgStart,6))),0,MIN(MAX(0,$K2670-$L2670),$J2670)))</f>
      </c>
      <c r="N2670" s="43">
        <f>IF($I2670=0,0,MIN(SUMIFS(SondBetrag,SondDarl,6,SondDatum,"&gt;="&amp;$E2670,SondDatum,"&lt;="&amp;EOMONTH($E2670,0)),$J2670-$M2670))</f>
      </c>
      <c r="O2670" s="43">
        <f>IF($I2670=0,0,INDEX(DarlErsatzRate,6))</f>
      </c>
      <c r="P2670" s="43">
        <f>IF($I2670=0,0,$Q2669*INDEX(DarlErsatzZins,6))</f>
      </c>
      <c r="Q2670" s="43">
        <f>IF($I2670=0,0,$Q2669+$P2670+$O2670)</f>
      </c>
      <c r="R2670" s="43">
        <f>IF($I2670=0,0,$J2670-$M2670-$N2670)</f>
      </c>
    </row>
    <row r="2671">
      <c r="A2671"/>
      <c r="B2671">
        <v>6</v>
      </c>
      <c r="C2671" s="43">
        <f>INDEX(DarlObj,6)</f>
      </c>
      <c r="D2671">
        <v>268</v>
      </c>
      <c r="E2671" s="51">
        <f>IF(INDEX(DarlBelegt,6)=0,0,EOMONTH(INDEX(DarlAuszahlung,6),267)+1)</f>
      </c>
      <c r="F2671" s="43">
        <f>IF($E2671=0,0,YEAR($E2671))</f>
      </c>
      <c r="G2671" s="43">
        <f>IF(INDEX(DarlBindung,6)="",1,IF($E2671&lt;=INDEX(DarlBindung,6),1,0))</f>
      </c>
      <c r="H2671" s="43">
        <f>IF($G2671=1,INDEX(DarlSollzins,6),INDEX(DarlAnschluss,6))</f>
      </c>
      <c r="I2671" s="43">
        <f>IF(INDEX(DarlBelegt,6)=0,0,IF(INDEX(DarlOhneTilgung,6)=1,IF(INDEX(DarlBindung,6)="",1,$G2671),IF($J2671&gt;0.005,1,0)))</f>
      </c>
      <c r="J2671" s="43">
        <f>IF($I2670=0,0,$R2670)</f>
      </c>
      <c r="K2671" s="43">
        <f>IF($I2671=0,0,IF(INDEX(DarlOhneTilgung,6)=1,0,IF(AND(INDEX(DarlTilgStart,6)&gt;0,$E2671=INDEX(DarlTilgStart,6)),$J2671*($H2671+INDEX(DarlTilgung,6))/100/12,IF(AND($G2671=0,$G2670=1),MAX($K2670,$J2671*($H2671+1)/100/12),$K2670))))</f>
      </c>
      <c r="L2671" s="43">
        <f>IF($I2671=0,0,$J2671*$H2671/100/12)</f>
      </c>
      <c r="M2671" s="43">
        <f>IF($I2671=0,0,IF(OR(INDEX(DarlOhneTilgung,6)=1,AND(INDEX(DarlTilgStart,6)&gt;0,$E2671&lt;INDEX(DarlTilgStart,6))),0,MIN(MAX(0,$K2671-$L2671),$J2671)))</f>
      </c>
      <c r="N2671" s="43">
        <f>IF($I2671=0,0,MIN(SUMIFS(SondBetrag,SondDarl,6,SondDatum,"&gt;="&amp;$E2671,SondDatum,"&lt;="&amp;EOMONTH($E2671,0)),$J2671-$M2671))</f>
      </c>
      <c r="O2671" s="43">
        <f>IF($I2671=0,0,INDEX(DarlErsatzRate,6))</f>
      </c>
      <c r="P2671" s="43">
        <f>IF($I2671=0,0,$Q2670*INDEX(DarlErsatzZins,6))</f>
      </c>
      <c r="Q2671" s="43">
        <f>IF($I2671=0,0,$Q2670+$P2671+$O2671)</f>
      </c>
      <c r="R2671" s="43">
        <f>IF($I2671=0,0,$J2671-$M2671-$N2671)</f>
      </c>
    </row>
    <row r="2672">
      <c r="A2672"/>
      <c r="B2672">
        <v>6</v>
      </c>
      <c r="C2672" s="43">
        <f>INDEX(DarlObj,6)</f>
      </c>
      <c r="D2672">
        <v>269</v>
      </c>
      <c r="E2672" s="51">
        <f>IF(INDEX(DarlBelegt,6)=0,0,EOMONTH(INDEX(DarlAuszahlung,6),268)+1)</f>
      </c>
      <c r="F2672" s="43">
        <f>IF($E2672=0,0,YEAR($E2672))</f>
      </c>
      <c r="G2672" s="43">
        <f>IF(INDEX(DarlBindung,6)="",1,IF($E2672&lt;=INDEX(DarlBindung,6),1,0))</f>
      </c>
      <c r="H2672" s="43">
        <f>IF($G2672=1,INDEX(DarlSollzins,6),INDEX(DarlAnschluss,6))</f>
      </c>
      <c r="I2672" s="43">
        <f>IF(INDEX(DarlBelegt,6)=0,0,IF(INDEX(DarlOhneTilgung,6)=1,IF(INDEX(DarlBindung,6)="",1,$G2672),IF($J2672&gt;0.005,1,0)))</f>
      </c>
      <c r="J2672" s="43">
        <f>IF($I2671=0,0,$R2671)</f>
      </c>
      <c r="K2672" s="43">
        <f>IF($I2672=0,0,IF(INDEX(DarlOhneTilgung,6)=1,0,IF(AND(INDEX(DarlTilgStart,6)&gt;0,$E2672=INDEX(DarlTilgStart,6)),$J2672*($H2672+INDEX(DarlTilgung,6))/100/12,IF(AND($G2672=0,$G2671=1),MAX($K2671,$J2672*($H2672+1)/100/12),$K2671))))</f>
      </c>
      <c r="L2672" s="43">
        <f>IF($I2672=0,0,$J2672*$H2672/100/12)</f>
      </c>
      <c r="M2672" s="43">
        <f>IF($I2672=0,0,IF(OR(INDEX(DarlOhneTilgung,6)=1,AND(INDEX(DarlTilgStart,6)&gt;0,$E2672&lt;INDEX(DarlTilgStart,6))),0,MIN(MAX(0,$K2672-$L2672),$J2672)))</f>
      </c>
      <c r="N2672" s="43">
        <f>IF($I2672=0,0,MIN(SUMIFS(SondBetrag,SondDarl,6,SondDatum,"&gt;="&amp;$E2672,SondDatum,"&lt;="&amp;EOMONTH($E2672,0)),$J2672-$M2672))</f>
      </c>
      <c r="O2672" s="43">
        <f>IF($I2672=0,0,INDEX(DarlErsatzRate,6))</f>
      </c>
      <c r="P2672" s="43">
        <f>IF($I2672=0,0,$Q2671*INDEX(DarlErsatzZins,6))</f>
      </c>
      <c r="Q2672" s="43">
        <f>IF($I2672=0,0,$Q2671+$P2672+$O2672)</f>
      </c>
      <c r="R2672" s="43">
        <f>IF($I2672=0,0,$J2672-$M2672-$N2672)</f>
      </c>
    </row>
    <row r="2673">
      <c r="A2673"/>
      <c r="B2673">
        <v>6</v>
      </c>
      <c r="C2673" s="43">
        <f>INDEX(DarlObj,6)</f>
      </c>
      <c r="D2673">
        <v>270</v>
      </c>
      <c r="E2673" s="51">
        <f>IF(INDEX(DarlBelegt,6)=0,0,EOMONTH(INDEX(DarlAuszahlung,6),269)+1)</f>
      </c>
      <c r="F2673" s="43">
        <f>IF($E2673=0,0,YEAR($E2673))</f>
      </c>
      <c r="G2673" s="43">
        <f>IF(INDEX(DarlBindung,6)="",1,IF($E2673&lt;=INDEX(DarlBindung,6),1,0))</f>
      </c>
      <c r="H2673" s="43">
        <f>IF($G2673=1,INDEX(DarlSollzins,6),INDEX(DarlAnschluss,6))</f>
      </c>
      <c r="I2673" s="43">
        <f>IF(INDEX(DarlBelegt,6)=0,0,IF(INDEX(DarlOhneTilgung,6)=1,IF(INDEX(DarlBindung,6)="",1,$G2673),IF($J2673&gt;0.005,1,0)))</f>
      </c>
      <c r="J2673" s="43">
        <f>IF($I2672=0,0,$R2672)</f>
      </c>
      <c r="K2673" s="43">
        <f>IF($I2673=0,0,IF(INDEX(DarlOhneTilgung,6)=1,0,IF(AND(INDEX(DarlTilgStart,6)&gt;0,$E2673=INDEX(DarlTilgStart,6)),$J2673*($H2673+INDEX(DarlTilgung,6))/100/12,IF(AND($G2673=0,$G2672=1),MAX($K2672,$J2673*($H2673+1)/100/12),$K2672))))</f>
      </c>
      <c r="L2673" s="43">
        <f>IF($I2673=0,0,$J2673*$H2673/100/12)</f>
      </c>
      <c r="M2673" s="43">
        <f>IF($I2673=0,0,IF(OR(INDEX(DarlOhneTilgung,6)=1,AND(INDEX(DarlTilgStart,6)&gt;0,$E2673&lt;INDEX(DarlTilgStart,6))),0,MIN(MAX(0,$K2673-$L2673),$J2673)))</f>
      </c>
      <c r="N2673" s="43">
        <f>IF($I2673=0,0,MIN(SUMIFS(SondBetrag,SondDarl,6,SondDatum,"&gt;="&amp;$E2673,SondDatum,"&lt;="&amp;EOMONTH($E2673,0)),$J2673-$M2673))</f>
      </c>
      <c r="O2673" s="43">
        <f>IF($I2673=0,0,INDEX(DarlErsatzRate,6))</f>
      </c>
      <c r="P2673" s="43">
        <f>IF($I2673=0,0,$Q2672*INDEX(DarlErsatzZins,6))</f>
      </c>
      <c r="Q2673" s="43">
        <f>IF($I2673=0,0,$Q2672+$P2673+$O2673)</f>
      </c>
      <c r="R2673" s="43">
        <f>IF($I2673=0,0,$J2673-$M2673-$N2673)</f>
      </c>
    </row>
    <row r="2674">
      <c r="A2674"/>
      <c r="B2674">
        <v>6</v>
      </c>
      <c r="C2674" s="43">
        <f>INDEX(DarlObj,6)</f>
      </c>
      <c r="D2674">
        <v>271</v>
      </c>
      <c r="E2674" s="51">
        <f>IF(INDEX(DarlBelegt,6)=0,0,EOMONTH(INDEX(DarlAuszahlung,6),270)+1)</f>
      </c>
      <c r="F2674" s="43">
        <f>IF($E2674=0,0,YEAR($E2674))</f>
      </c>
      <c r="G2674" s="43">
        <f>IF(INDEX(DarlBindung,6)="",1,IF($E2674&lt;=INDEX(DarlBindung,6),1,0))</f>
      </c>
      <c r="H2674" s="43">
        <f>IF($G2674=1,INDEX(DarlSollzins,6),INDEX(DarlAnschluss,6))</f>
      </c>
      <c r="I2674" s="43">
        <f>IF(INDEX(DarlBelegt,6)=0,0,IF(INDEX(DarlOhneTilgung,6)=1,IF(INDEX(DarlBindung,6)="",1,$G2674),IF($J2674&gt;0.005,1,0)))</f>
      </c>
      <c r="J2674" s="43">
        <f>IF($I2673=0,0,$R2673)</f>
      </c>
      <c r="K2674" s="43">
        <f>IF($I2674=0,0,IF(INDEX(DarlOhneTilgung,6)=1,0,IF(AND(INDEX(DarlTilgStart,6)&gt;0,$E2674=INDEX(DarlTilgStart,6)),$J2674*($H2674+INDEX(DarlTilgung,6))/100/12,IF(AND($G2674=0,$G2673=1),MAX($K2673,$J2674*($H2674+1)/100/12),$K2673))))</f>
      </c>
      <c r="L2674" s="43">
        <f>IF($I2674=0,0,$J2674*$H2674/100/12)</f>
      </c>
      <c r="M2674" s="43">
        <f>IF($I2674=0,0,IF(OR(INDEX(DarlOhneTilgung,6)=1,AND(INDEX(DarlTilgStart,6)&gt;0,$E2674&lt;INDEX(DarlTilgStart,6))),0,MIN(MAX(0,$K2674-$L2674),$J2674)))</f>
      </c>
      <c r="N2674" s="43">
        <f>IF($I2674=0,0,MIN(SUMIFS(SondBetrag,SondDarl,6,SondDatum,"&gt;="&amp;$E2674,SondDatum,"&lt;="&amp;EOMONTH($E2674,0)),$J2674-$M2674))</f>
      </c>
      <c r="O2674" s="43">
        <f>IF($I2674=0,0,INDEX(DarlErsatzRate,6))</f>
      </c>
      <c r="P2674" s="43">
        <f>IF($I2674=0,0,$Q2673*INDEX(DarlErsatzZins,6))</f>
      </c>
      <c r="Q2674" s="43">
        <f>IF($I2674=0,0,$Q2673+$P2674+$O2674)</f>
      </c>
      <c r="R2674" s="43">
        <f>IF($I2674=0,0,$J2674-$M2674-$N2674)</f>
      </c>
    </row>
    <row r="2675">
      <c r="A2675"/>
      <c r="B2675">
        <v>6</v>
      </c>
      <c r="C2675" s="43">
        <f>INDEX(DarlObj,6)</f>
      </c>
      <c r="D2675">
        <v>272</v>
      </c>
      <c r="E2675" s="51">
        <f>IF(INDEX(DarlBelegt,6)=0,0,EOMONTH(INDEX(DarlAuszahlung,6),271)+1)</f>
      </c>
      <c r="F2675" s="43">
        <f>IF($E2675=0,0,YEAR($E2675))</f>
      </c>
      <c r="G2675" s="43">
        <f>IF(INDEX(DarlBindung,6)="",1,IF($E2675&lt;=INDEX(DarlBindung,6),1,0))</f>
      </c>
      <c r="H2675" s="43">
        <f>IF($G2675=1,INDEX(DarlSollzins,6),INDEX(DarlAnschluss,6))</f>
      </c>
      <c r="I2675" s="43">
        <f>IF(INDEX(DarlBelegt,6)=0,0,IF(INDEX(DarlOhneTilgung,6)=1,IF(INDEX(DarlBindung,6)="",1,$G2675),IF($J2675&gt;0.005,1,0)))</f>
      </c>
      <c r="J2675" s="43">
        <f>IF($I2674=0,0,$R2674)</f>
      </c>
      <c r="K2675" s="43">
        <f>IF($I2675=0,0,IF(INDEX(DarlOhneTilgung,6)=1,0,IF(AND(INDEX(DarlTilgStart,6)&gt;0,$E2675=INDEX(DarlTilgStart,6)),$J2675*($H2675+INDEX(DarlTilgung,6))/100/12,IF(AND($G2675=0,$G2674=1),MAX($K2674,$J2675*($H2675+1)/100/12),$K2674))))</f>
      </c>
      <c r="L2675" s="43">
        <f>IF($I2675=0,0,$J2675*$H2675/100/12)</f>
      </c>
      <c r="M2675" s="43">
        <f>IF($I2675=0,0,IF(OR(INDEX(DarlOhneTilgung,6)=1,AND(INDEX(DarlTilgStart,6)&gt;0,$E2675&lt;INDEX(DarlTilgStart,6))),0,MIN(MAX(0,$K2675-$L2675),$J2675)))</f>
      </c>
      <c r="N2675" s="43">
        <f>IF($I2675=0,0,MIN(SUMIFS(SondBetrag,SondDarl,6,SondDatum,"&gt;="&amp;$E2675,SondDatum,"&lt;="&amp;EOMONTH($E2675,0)),$J2675-$M2675))</f>
      </c>
      <c r="O2675" s="43">
        <f>IF($I2675=0,0,INDEX(DarlErsatzRate,6))</f>
      </c>
      <c r="P2675" s="43">
        <f>IF($I2675=0,0,$Q2674*INDEX(DarlErsatzZins,6))</f>
      </c>
      <c r="Q2675" s="43">
        <f>IF($I2675=0,0,$Q2674+$P2675+$O2675)</f>
      </c>
      <c r="R2675" s="43">
        <f>IF($I2675=0,0,$J2675-$M2675-$N2675)</f>
      </c>
    </row>
    <row r="2676">
      <c r="A2676"/>
      <c r="B2676">
        <v>6</v>
      </c>
      <c r="C2676" s="43">
        <f>INDEX(DarlObj,6)</f>
      </c>
      <c r="D2676">
        <v>273</v>
      </c>
      <c r="E2676" s="51">
        <f>IF(INDEX(DarlBelegt,6)=0,0,EOMONTH(INDEX(DarlAuszahlung,6),272)+1)</f>
      </c>
      <c r="F2676" s="43">
        <f>IF($E2676=0,0,YEAR($E2676))</f>
      </c>
      <c r="G2676" s="43">
        <f>IF(INDEX(DarlBindung,6)="",1,IF($E2676&lt;=INDEX(DarlBindung,6),1,0))</f>
      </c>
      <c r="H2676" s="43">
        <f>IF($G2676=1,INDEX(DarlSollzins,6),INDEX(DarlAnschluss,6))</f>
      </c>
      <c r="I2676" s="43">
        <f>IF(INDEX(DarlBelegt,6)=0,0,IF(INDEX(DarlOhneTilgung,6)=1,IF(INDEX(DarlBindung,6)="",1,$G2676),IF($J2676&gt;0.005,1,0)))</f>
      </c>
      <c r="J2676" s="43">
        <f>IF($I2675=0,0,$R2675)</f>
      </c>
      <c r="K2676" s="43">
        <f>IF($I2676=0,0,IF(INDEX(DarlOhneTilgung,6)=1,0,IF(AND(INDEX(DarlTilgStart,6)&gt;0,$E2676=INDEX(DarlTilgStart,6)),$J2676*($H2676+INDEX(DarlTilgung,6))/100/12,IF(AND($G2676=0,$G2675=1),MAX($K2675,$J2676*($H2676+1)/100/12),$K2675))))</f>
      </c>
      <c r="L2676" s="43">
        <f>IF($I2676=0,0,$J2676*$H2676/100/12)</f>
      </c>
      <c r="M2676" s="43">
        <f>IF($I2676=0,0,IF(OR(INDEX(DarlOhneTilgung,6)=1,AND(INDEX(DarlTilgStart,6)&gt;0,$E2676&lt;INDEX(DarlTilgStart,6))),0,MIN(MAX(0,$K2676-$L2676),$J2676)))</f>
      </c>
      <c r="N2676" s="43">
        <f>IF($I2676=0,0,MIN(SUMIFS(SondBetrag,SondDarl,6,SondDatum,"&gt;="&amp;$E2676,SondDatum,"&lt;="&amp;EOMONTH($E2676,0)),$J2676-$M2676))</f>
      </c>
      <c r="O2676" s="43">
        <f>IF($I2676=0,0,INDEX(DarlErsatzRate,6))</f>
      </c>
      <c r="P2676" s="43">
        <f>IF($I2676=0,0,$Q2675*INDEX(DarlErsatzZins,6))</f>
      </c>
      <c r="Q2676" s="43">
        <f>IF($I2676=0,0,$Q2675+$P2676+$O2676)</f>
      </c>
      <c r="R2676" s="43">
        <f>IF($I2676=0,0,$J2676-$M2676-$N2676)</f>
      </c>
    </row>
    <row r="2677">
      <c r="A2677"/>
      <c r="B2677">
        <v>6</v>
      </c>
      <c r="C2677" s="43">
        <f>INDEX(DarlObj,6)</f>
      </c>
      <c r="D2677">
        <v>274</v>
      </c>
      <c r="E2677" s="51">
        <f>IF(INDEX(DarlBelegt,6)=0,0,EOMONTH(INDEX(DarlAuszahlung,6),273)+1)</f>
      </c>
      <c r="F2677" s="43">
        <f>IF($E2677=0,0,YEAR($E2677))</f>
      </c>
      <c r="G2677" s="43">
        <f>IF(INDEX(DarlBindung,6)="",1,IF($E2677&lt;=INDEX(DarlBindung,6),1,0))</f>
      </c>
      <c r="H2677" s="43">
        <f>IF($G2677=1,INDEX(DarlSollzins,6),INDEX(DarlAnschluss,6))</f>
      </c>
      <c r="I2677" s="43">
        <f>IF(INDEX(DarlBelegt,6)=0,0,IF(INDEX(DarlOhneTilgung,6)=1,IF(INDEX(DarlBindung,6)="",1,$G2677),IF($J2677&gt;0.005,1,0)))</f>
      </c>
      <c r="J2677" s="43">
        <f>IF($I2676=0,0,$R2676)</f>
      </c>
      <c r="K2677" s="43">
        <f>IF($I2677=0,0,IF(INDEX(DarlOhneTilgung,6)=1,0,IF(AND(INDEX(DarlTilgStart,6)&gt;0,$E2677=INDEX(DarlTilgStart,6)),$J2677*($H2677+INDEX(DarlTilgung,6))/100/12,IF(AND($G2677=0,$G2676=1),MAX($K2676,$J2677*($H2677+1)/100/12),$K2676))))</f>
      </c>
      <c r="L2677" s="43">
        <f>IF($I2677=0,0,$J2677*$H2677/100/12)</f>
      </c>
      <c r="M2677" s="43">
        <f>IF($I2677=0,0,IF(OR(INDEX(DarlOhneTilgung,6)=1,AND(INDEX(DarlTilgStart,6)&gt;0,$E2677&lt;INDEX(DarlTilgStart,6))),0,MIN(MAX(0,$K2677-$L2677),$J2677)))</f>
      </c>
      <c r="N2677" s="43">
        <f>IF($I2677=0,0,MIN(SUMIFS(SondBetrag,SondDarl,6,SondDatum,"&gt;="&amp;$E2677,SondDatum,"&lt;="&amp;EOMONTH($E2677,0)),$J2677-$M2677))</f>
      </c>
      <c r="O2677" s="43">
        <f>IF($I2677=0,0,INDEX(DarlErsatzRate,6))</f>
      </c>
      <c r="P2677" s="43">
        <f>IF($I2677=0,0,$Q2676*INDEX(DarlErsatzZins,6))</f>
      </c>
      <c r="Q2677" s="43">
        <f>IF($I2677=0,0,$Q2676+$P2677+$O2677)</f>
      </c>
      <c r="R2677" s="43">
        <f>IF($I2677=0,0,$J2677-$M2677-$N2677)</f>
      </c>
    </row>
    <row r="2678">
      <c r="A2678"/>
      <c r="B2678">
        <v>6</v>
      </c>
      <c r="C2678" s="43">
        <f>INDEX(DarlObj,6)</f>
      </c>
      <c r="D2678">
        <v>275</v>
      </c>
      <c r="E2678" s="51">
        <f>IF(INDEX(DarlBelegt,6)=0,0,EOMONTH(INDEX(DarlAuszahlung,6),274)+1)</f>
      </c>
      <c r="F2678" s="43">
        <f>IF($E2678=0,0,YEAR($E2678))</f>
      </c>
      <c r="G2678" s="43">
        <f>IF(INDEX(DarlBindung,6)="",1,IF($E2678&lt;=INDEX(DarlBindung,6),1,0))</f>
      </c>
      <c r="H2678" s="43">
        <f>IF($G2678=1,INDEX(DarlSollzins,6),INDEX(DarlAnschluss,6))</f>
      </c>
      <c r="I2678" s="43">
        <f>IF(INDEX(DarlBelegt,6)=0,0,IF(INDEX(DarlOhneTilgung,6)=1,IF(INDEX(DarlBindung,6)="",1,$G2678),IF($J2678&gt;0.005,1,0)))</f>
      </c>
      <c r="J2678" s="43">
        <f>IF($I2677=0,0,$R2677)</f>
      </c>
      <c r="K2678" s="43">
        <f>IF($I2678=0,0,IF(INDEX(DarlOhneTilgung,6)=1,0,IF(AND(INDEX(DarlTilgStart,6)&gt;0,$E2678=INDEX(DarlTilgStart,6)),$J2678*($H2678+INDEX(DarlTilgung,6))/100/12,IF(AND($G2678=0,$G2677=1),MAX($K2677,$J2678*($H2678+1)/100/12),$K2677))))</f>
      </c>
      <c r="L2678" s="43">
        <f>IF($I2678=0,0,$J2678*$H2678/100/12)</f>
      </c>
      <c r="M2678" s="43">
        <f>IF($I2678=0,0,IF(OR(INDEX(DarlOhneTilgung,6)=1,AND(INDEX(DarlTilgStart,6)&gt;0,$E2678&lt;INDEX(DarlTilgStart,6))),0,MIN(MAX(0,$K2678-$L2678),$J2678)))</f>
      </c>
      <c r="N2678" s="43">
        <f>IF($I2678=0,0,MIN(SUMIFS(SondBetrag,SondDarl,6,SondDatum,"&gt;="&amp;$E2678,SondDatum,"&lt;="&amp;EOMONTH($E2678,0)),$J2678-$M2678))</f>
      </c>
      <c r="O2678" s="43">
        <f>IF($I2678=0,0,INDEX(DarlErsatzRate,6))</f>
      </c>
      <c r="P2678" s="43">
        <f>IF($I2678=0,0,$Q2677*INDEX(DarlErsatzZins,6))</f>
      </c>
      <c r="Q2678" s="43">
        <f>IF($I2678=0,0,$Q2677+$P2678+$O2678)</f>
      </c>
      <c r="R2678" s="43">
        <f>IF($I2678=0,0,$J2678-$M2678-$N2678)</f>
      </c>
    </row>
    <row r="2679">
      <c r="A2679"/>
      <c r="B2679">
        <v>6</v>
      </c>
      <c r="C2679" s="43">
        <f>INDEX(DarlObj,6)</f>
      </c>
      <c r="D2679">
        <v>276</v>
      </c>
      <c r="E2679" s="51">
        <f>IF(INDEX(DarlBelegt,6)=0,0,EOMONTH(INDEX(DarlAuszahlung,6),275)+1)</f>
      </c>
      <c r="F2679" s="43">
        <f>IF($E2679=0,0,YEAR($E2679))</f>
      </c>
      <c r="G2679" s="43">
        <f>IF(INDEX(DarlBindung,6)="",1,IF($E2679&lt;=INDEX(DarlBindung,6),1,0))</f>
      </c>
      <c r="H2679" s="43">
        <f>IF($G2679=1,INDEX(DarlSollzins,6),INDEX(DarlAnschluss,6))</f>
      </c>
      <c r="I2679" s="43">
        <f>IF(INDEX(DarlBelegt,6)=0,0,IF(INDEX(DarlOhneTilgung,6)=1,IF(INDEX(DarlBindung,6)="",1,$G2679),IF($J2679&gt;0.005,1,0)))</f>
      </c>
      <c r="J2679" s="43">
        <f>IF($I2678=0,0,$R2678)</f>
      </c>
      <c r="K2679" s="43">
        <f>IF($I2679=0,0,IF(INDEX(DarlOhneTilgung,6)=1,0,IF(AND(INDEX(DarlTilgStart,6)&gt;0,$E2679=INDEX(DarlTilgStart,6)),$J2679*($H2679+INDEX(DarlTilgung,6))/100/12,IF(AND($G2679=0,$G2678=1),MAX($K2678,$J2679*($H2679+1)/100/12),$K2678))))</f>
      </c>
      <c r="L2679" s="43">
        <f>IF($I2679=0,0,$J2679*$H2679/100/12)</f>
      </c>
      <c r="M2679" s="43">
        <f>IF($I2679=0,0,IF(OR(INDEX(DarlOhneTilgung,6)=1,AND(INDEX(DarlTilgStart,6)&gt;0,$E2679&lt;INDEX(DarlTilgStart,6))),0,MIN(MAX(0,$K2679-$L2679),$J2679)))</f>
      </c>
      <c r="N2679" s="43">
        <f>IF($I2679=0,0,MIN(SUMIFS(SondBetrag,SondDarl,6,SondDatum,"&gt;="&amp;$E2679,SondDatum,"&lt;="&amp;EOMONTH($E2679,0)),$J2679-$M2679))</f>
      </c>
      <c r="O2679" s="43">
        <f>IF($I2679=0,0,INDEX(DarlErsatzRate,6))</f>
      </c>
      <c r="P2679" s="43">
        <f>IF($I2679=0,0,$Q2678*INDEX(DarlErsatzZins,6))</f>
      </c>
      <c r="Q2679" s="43">
        <f>IF($I2679=0,0,$Q2678+$P2679+$O2679)</f>
      </c>
      <c r="R2679" s="43">
        <f>IF($I2679=0,0,$J2679-$M2679-$N2679)</f>
      </c>
    </row>
    <row r="2680">
      <c r="A2680"/>
      <c r="B2680">
        <v>6</v>
      </c>
      <c r="C2680" s="43">
        <f>INDEX(DarlObj,6)</f>
      </c>
      <c r="D2680">
        <v>277</v>
      </c>
      <c r="E2680" s="51">
        <f>IF(INDEX(DarlBelegt,6)=0,0,EOMONTH(INDEX(DarlAuszahlung,6),276)+1)</f>
      </c>
      <c r="F2680" s="43">
        <f>IF($E2680=0,0,YEAR($E2680))</f>
      </c>
      <c r="G2680" s="43">
        <f>IF(INDEX(DarlBindung,6)="",1,IF($E2680&lt;=INDEX(DarlBindung,6),1,0))</f>
      </c>
      <c r="H2680" s="43">
        <f>IF($G2680=1,INDEX(DarlSollzins,6),INDEX(DarlAnschluss,6))</f>
      </c>
      <c r="I2680" s="43">
        <f>IF(INDEX(DarlBelegt,6)=0,0,IF(INDEX(DarlOhneTilgung,6)=1,IF(INDEX(DarlBindung,6)="",1,$G2680),IF($J2680&gt;0.005,1,0)))</f>
      </c>
      <c r="J2680" s="43">
        <f>IF($I2679=0,0,$R2679)</f>
      </c>
      <c r="K2680" s="43">
        <f>IF($I2680=0,0,IF(INDEX(DarlOhneTilgung,6)=1,0,IF(AND(INDEX(DarlTilgStart,6)&gt;0,$E2680=INDEX(DarlTilgStart,6)),$J2680*($H2680+INDEX(DarlTilgung,6))/100/12,IF(AND($G2680=0,$G2679=1),MAX($K2679,$J2680*($H2680+1)/100/12),$K2679))))</f>
      </c>
      <c r="L2680" s="43">
        <f>IF($I2680=0,0,$J2680*$H2680/100/12)</f>
      </c>
      <c r="M2680" s="43">
        <f>IF($I2680=0,0,IF(OR(INDEX(DarlOhneTilgung,6)=1,AND(INDEX(DarlTilgStart,6)&gt;0,$E2680&lt;INDEX(DarlTilgStart,6))),0,MIN(MAX(0,$K2680-$L2680),$J2680)))</f>
      </c>
      <c r="N2680" s="43">
        <f>IF($I2680=0,0,MIN(SUMIFS(SondBetrag,SondDarl,6,SondDatum,"&gt;="&amp;$E2680,SondDatum,"&lt;="&amp;EOMONTH($E2680,0)),$J2680-$M2680))</f>
      </c>
      <c r="O2680" s="43">
        <f>IF($I2680=0,0,INDEX(DarlErsatzRate,6))</f>
      </c>
      <c r="P2680" s="43">
        <f>IF($I2680=0,0,$Q2679*INDEX(DarlErsatzZins,6))</f>
      </c>
      <c r="Q2680" s="43">
        <f>IF($I2680=0,0,$Q2679+$P2680+$O2680)</f>
      </c>
      <c r="R2680" s="43">
        <f>IF($I2680=0,0,$J2680-$M2680-$N2680)</f>
      </c>
    </row>
    <row r="2681">
      <c r="A2681"/>
      <c r="B2681">
        <v>6</v>
      </c>
      <c r="C2681" s="43">
        <f>INDEX(DarlObj,6)</f>
      </c>
      <c r="D2681">
        <v>278</v>
      </c>
      <c r="E2681" s="51">
        <f>IF(INDEX(DarlBelegt,6)=0,0,EOMONTH(INDEX(DarlAuszahlung,6),277)+1)</f>
      </c>
      <c r="F2681" s="43">
        <f>IF($E2681=0,0,YEAR($E2681))</f>
      </c>
      <c r="G2681" s="43">
        <f>IF(INDEX(DarlBindung,6)="",1,IF($E2681&lt;=INDEX(DarlBindung,6),1,0))</f>
      </c>
      <c r="H2681" s="43">
        <f>IF($G2681=1,INDEX(DarlSollzins,6),INDEX(DarlAnschluss,6))</f>
      </c>
      <c r="I2681" s="43">
        <f>IF(INDEX(DarlBelegt,6)=0,0,IF(INDEX(DarlOhneTilgung,6)=1,IF(INDEX(DarlBindung,6)="",1,$G2681),IF($J2681&gt;0.005,1,0)))</f>
      </c>
      <c r="J2681" s="43">
        <f>IF($I2680=0,0,$R2680)</f>
      </c>
      <c r="K2681" s="43">
        <f>IF($I2681=0,0,IF(INDEX(DarlOhneTilgung,6)=1,0,IF(AND(INDEX(DarlTilgStart,6)&gt;0,$E2681=INDEX(DarlTilgStart,6)),$J2681*($H2681+INDEX(DarlTilgung,6))/100/12,IF(AND($G2681=0,$G2680=1),MAX($K2680,$J2681*($H2681+1)/100/12),$K2680))))</f>
      </c>
      <c r="L2681" s="43">
        <f>IF($I2681=0,0,$J2681*$H2681/100/12)</f>
      </c>
      <c r="M2681" s="43">
        <f>IF($I2681=0,0,IF(OR(INDEX(DarlOhneTilgung,6)=1,AND(INDEX(DarlTilgStart,6)&gt;0,$E2681&lt;INDEX(DarlTilgStart,6))),0,MIN(MAX(0,$K2681-$L2681),$J2681)))</f>
      </c>
      <c r="N2681" s="43">
        <f>IF($I2681=0,0,MIN(SUMIFS(SondBetrag,SondDarl,6,SondDatum,"&gt;="&amp;$E2681,SondDatum,"&lt;="&amp;EOMONTH($E2681,0)),$J2681-$M2681))</f>
      </c>
      <c r="O2681" s="43">
        <f>IF($I2681=0,0,INDEX(DarlErsatzRate,6))</f>
      </c>
      <c r="P2681" s="43">
        <f>IF($I2681=0,0,$Q2680*INDEX(DarlErsatzZins,6))</f>
      </c>
      <c r="Q2681" s="43">
        <f>IF($I2681=0,0,$Q2680+$P2681+$O2681)</f>
      </c>
      <c r="R2681" s="43">
        <f>IF($I2681=0,0,$J2681-$M2681-$N2681)</f>
      </c>
    </row>
    <row r="2682">
      <c r="A2682"/>
      <c r="B2682">
        <v>6</v>
      </c>
      <c r="C2682" s="43">
        <f>INDEX(DarlObj,6)</f>
      </c>
      <c r="D2682">
        <v>279</v>
      </c>
      <c r="E2682" s="51">
        <f>IF(INDEX(DarlBelegt,6)=0,0,EOMONTH(INDEX(DarlAuszahlung,6),278)+1)</f>
      </c>
      <c r="F2682" s="43">
        <f>IF($E2682=0,0,YEAR($E2682))</f>
      </c>
      <c r="G2682" s="43">
        <f>IF(INDEX(DarlBindung,6)="",1,IF($E2682&lt;=INDEX(DarlBindung,6),1,0))</f>
      </c>
      <c r="H2682" s="43">
        <f>IF($G2682=1,INDEX(DarlSollzins,6),INDEX(DarlAnschluss,6))</f>
      </c>
      <c r="I2682" s="43">
        <f>IF(INDEX(DarlBelegt,6)=0,0,IF(INDEX(DarlOhneTilgung,6)=1,IF(INDEX(DarlBindung,6)="",1,$G2682),IF($J2682&gt;0.005,1,0)))</f>
      </c>
      <c r="J2682" s="43">
        <f>IF($I2681=0,0,$R2681)</f>
      </c>
      <c r="K2682" s="43">
        <f>IF($I2682=0,0,IF(INDEX(DarlOhneTilgung,6)=1,0,IF(AND(INDEX(DarlTilgStart,6)&gt;0,$E2682=INDEX(DarlTilgStart,6)),$J2682*($H2682+INDEX(DarlTilgung,6))/100/12,IF(AND($G2682=0,$G2681=1),MAX($K2681,$J2682*($H2682+1)/100/12),$K2681))))</f>
      </c>
      <c r="L2682" s="43">
        <f>IF($I2682=0,0,$J2682*$H2682/100/12)</f>
      </c>
      <c r="M2682" s="43">
        <f>IF($I2682=0,0,IF(OR(INDEX(DarlOhneTilgung,6)=1,AND(INDEX(DarlTilgStart,6)&gt;0,$E2682&lt;INDEX(DarlTilgStart,6))),0,MIN(MAX(0,$K2682-$L2682),$J2682)))</f>
      </c>
      <c r="N2682" s="43">
        <f>IF($I2682=0,0,MIN(SUMIFS(SondBetrag,SondDarl,6,SondDatum,"&gt;="&amp;$E2682,SondDatum,"&lt;="&amp;EOMONTH($E2682,0)),$J2682-$M2682))</f>
      </c>
      <c r="O2682" s="43">
        <f>IF($I2682=0,0,INDEX(DarlErsatzRate,6))</f>
      </c>
      <c r="P2682" s="43">
        <f>IF($I2682=0,0,$Q2681*INDEX(DarlErsatzZins,6))</f>
      </c>
      <c r="Q2682" s="43">
        <f>IF($I2682=0,0,$Q2681+$P2682+$O2682)</f>
      </c>
      <c r="R2682" s="43">
        <f>IF($I2682=0,0,$J2682-$M2682-$N2682)</f>
      </c>
    </row>
    <row r="2683">
      <c r="A2683"/>
      <c r="B2683">
        <v>6</v>
      </c>
      <c r="C2683" s="43">
        <f>INDEX(DarlObj,6)</f>
      </c>
      <c r="D2683">
        <v>280</v>
      </c>
      <c r="E2683" s="51">
        <f>IF(INDEX(DarlBelegt,6)=0,0,EOMONTH(INDEX(DarlAuszahlung,6),279)+1)</f>
      </c>
      <c r="F2683" s="43">
        <f>IF($E2683=0,0,YEAR($E2683))</f>
      </c>
      <c r="G2683" s="43">
        <f>IF(INDEX(DarlBindung,6)="",1,IF($E2683&lt;=INDEX(DarlBindung,6),1,0))</f>
      </c>
      <c r="H2683" s="43">
        <f>IF($G2683=1,INDEX(DarlSollzins,6),INDEX(DarlAnschluss,6))</f>
      </c>
      <c r="I2683" s="43">
        <f>IF(INDEX(DarlBelegt,6)=0,0,IF(INDEX(DarlOhneTilgung,6)=1,IF(INDEX(DarlBindung,6)="",1,$G2683),IF($J2683&gt;0.005,1,0)))</f>
      </c>
      <c r="J2683" s="43">
        <f>IF($I2682=0,0,$R2682)</f>
      </c>
      <c r="K2683" s="43">
        <f>IF($I2683=0,0,IF(INDEX(DarlOhneTilgung,6)=1,0,IF(AND(INDEX(DarlTilgStart,6)&gt;0,$E2683=INDEX(DarlTilgStart,6)),$J2683*($H2683+INDEX(DarlTilgung,6))/100/12,IF(AND($G2683=0,$G2682=1),MAX($K2682,$J2683*($H2683+1)/100/12),$K2682))))</f>
      </c>
      <c r="L2683" s="43">
        <f>IF($I2683=0,0,$J2683*$H2683/100/12)</f>
      </c>
      <c r="M2683" s="43">
        <f>IF($I2683=0,0,IF(OR(INDEX(DarlOhneTilgung,6)=1,AND(INDEX(DarlTilgStart,6)&gt;0,$E2683&lt;INDEX(DarlTilgStart,6))),0,MIN(MAX(0,$K2683-$L2683),$J2683)))</f>
      </c>
      <c r="N2683" s="43">
        <f>IF($I2683=0,0,MIN(SUMIFS(SondBetrag,SondDarl,6,SondDatum,"&gt;="&amp;$E2683,SondDatum,"&lt;="&amp;EOMONTH($E2683,0)),$J2683-$M2683))</f>
      </c>
      <c r="O2683" s="43">
        <f>IF($I2683=0,0,INDEX(DarlErsatzRate,6))</f>
      </c>
      <c r="P2683" s="43">
        <f>IF($I2683=0,0,$Q2682*INDEX(DarlErsatzZins,6))</f>
      </c>
      <c r="Q2683" s="43">
        <f>IF($I2683=0,0,$Q2682+$P2683+$O2683)</f>
      </c>
      <c r="R2683" s="43">
        <f>IF($I2683=0,0,$J2683-$M2683-$N2683)</f>
      </c>
    </row>
    <row r="2684">
      <c r="A2684"/>
      <c r="B2684">
        <v>6</v>
      </c>
      <c r="C2684" s="43">
        <f>INDEX(DarlObj,6)</f>
      </c>
      <c r="D2684">
        <v>281</v>
      </c>
      <c r="E2684" s="51">
        <f>IF(INDEX(DarlBelegt,6)=0,0,EOMONTH(INDEX(DarlAuszahlung,6),280)+1)</f>
      </c>
      <c r="F2684" s="43">
        <f>IF($E2684=0,0,YEAR($E2684))</f>
      </c>
      <c r="G2684" s="43">
        <f>IF(INDEX(DarlBindung,6)="",1,IF($E2684&lt;=INDEX(DarlBindung,6),1,0))</f>
      </c>
      <c r="H2684" s="43">
        <f>IF($G2684=1,INDEX(DarlSollzins,6),INDEX(DarlAnschluss,6))</f>
      </c>
      <c r="I2684" s="43">
        <f>IF(INDEX(DarlBelegt,6)=0,0,IF(INDEX(DarlOhneTilgung,6)=1,IF(INDEX(DarlBindung,6)="",1,$G2684),IF($J2684&gt;0.005,1,0)))</f>
      </c>
      <c r="J2684" s="43">
        <f>IF($I2683=0,0,$R2683)</f>
      </c>
      <c r="K2684" s="43">
        <f>IF($I2684=0,0,IF(INDEX(DarlOhneTilgung,6)=1,0,IF(AND(INDEX(DarlTilgStart,6)&gt;0,$E2684=INDEX(DarlTilgStart,6)),$J2684*($H2684+INDEX(DarlTilgung,6))/100/12,IF(AND($G2684=0,$G2683=1),MAX($K2683,$J2684*($H2684+1)/100/12),$K2683))))</f>
      </c>
      <c r="L2684" s="43">
        <f>IF($I2684=0,0,$J2684*$H2684/100/12)</f>
      </c>
      <c r="M2684" s="43">
        <f>IF($I2684=0,0,IF(OR(INDEX(DarlOhneTilgung,6)=1,AND(INDEX(DarlTilgStart,6)&gt;0,$E2684&lt;INDEX(DarlTilgStart,6))),0,MIN(MAX(0,$K2684-$L2684),$J2684)))</f>
      </c>
      <c r="N2684" s="43">
        <f>IF($I2684=0,0,MIN(SUMIFS(SondBetrag,SondDarl,6,SondDatum,"&gt;="&amp;$E2684,SondDatum,"&lt;="&amp;EOMONTH($E2684,0)),$J2684-$M2684))</f>
      </c>
      <c r="O2684" s="43">
        <f>IF($I2684=0,0,INDEX(DarlErsatzRate,6))</f>
      </c>
      <c r="P2684" s="43">
        <f>IF($I2684=0,0,$Q2683*INDEX(DarlErsatzZins,6))</f>
      </c>
      <c r="Q2684" s="43">
        <f>IF($I2684=0,0,$Q2683+$P2684+$O2684)</f>
      </c>
      <c r="R2684" s="43">
        <f>IF($I2684=0,0,$J2684-$M2684-$N2684)</f>
      </c>
    </row>
    <row r="2685">
      <c r="A2685"/>
      <c r="B2685">
        <v>6</v>
      </c>
      <c r="C2685" s="43">
        <f>INDEX(DarlObj,6)</f>
      </c>
      <c r="D2685">
        <v>282</v>
      </c>
      <c r="E2685" s="51">
        <f>IF(INDEX(DarlBelegt,6)=0,0,EOMONTH(INDEX(DarlAuszahlung,6),281)+1)</f>
      </c>
      <c r="F2685" s="43">
        <f>IF($E2685=0,0,YEAR($E2685))</f>
      </c>
      <c r="G2685" s="43">
        <f>IF(INDEX(DarlBindung,6)="",1,IF($E2685&lt;=INDEX(DarlBindung,6),1,0))</f>
      </c>
      <c r="H2685" s="43">
        <f>IF($G2685=1,INDEX(DarlSollzins,6),INDEX(DarlAnschluss,6))</f>
      </c>
      <c r="I2685" s="43">
        <f>IF(INDEX(DarlBelegt,6)=0,0,IF(INDEX(DarlOhneTilgung,6)=1,IF(INDEX(DarlBindung,6)="",1,$G2685),IF($J2685&gt;0.005,1,0)))</f>
      </c>
      <c r="J2685" s="43">
        <f>IF($I2684=0,0,$R2684)</f>
      </c>
      <c r="K2685" s="43">
        <f>IF($I2685=0,0,IF(INDEX(DarlOhneTilgung,6)=1,0,IF(AND(INDEX(DarlTilgStart,6)&gt;0,$E2685=INDEX(DarlTilgStart,6)),$J2685*($H2685+INDEX(DarlTilgung,6))/100/12,IF(AND($G2685=0,$G2684=1),MAX($K2684,$J2685*($H2685+1)/100/12),$K2684))))</f>
      </c>
      <c r="L2685" s="43">
        <f>IF($I2685=0,0,$J2685*$H2685/100/12)</f>
      </c>
      <c r="M2685" s="43">
        <f>IF($I2685=0,0,IF(OR(INDEX(DarlOhneTilgung,6)=1,AND(INDEX(DarlTilgStart,6)&gt;0,$E2685&lt;INDEX(DarlTilgStart,6))),0,MIN(MAX(0,$K2685-$L2685),$J2685)))</f>
      </c>
      <c r="N2685" s="43">
        <f>IF($I2685=0,0,MIN(SUMIFS(SondBetrag,SondDarl,6,SondDatum,"&gt;="&amp;$E2685,SondDatum,"&lt;="&amp;EOMONTH($E2685,0)),$J2685-$M2685))</f>
      </c>
      <c r="O2685" s="43">
        <f>IF($I2685=0,0,INDEX(DarlErsatzRate,6))</f>
      </c>
      <c r="P2685" s="43">
        <f>IF($I2685=0,0,$Q2684*INDEX(DarlErsatzZins,6))</f>
      </c>
      <c r="Q2685" s="43">
        <f>IF($I2685=0,0,$Q2684+$P2685+$O2685)</f>
      </c>
      <c r="R2685" s="43">
        <f>IF($I2685=0,0,$J2685-$M2685-$N2685)</f>
      </c>
    </row>
    <row r="2686">
      <c r="A2686"/>
      <c r="B2686">
        <v>6</v>
      </c>
      <c r="C2686" s="43">
        <f>INDEX(DarlObj,6)</f>
      </c>
      <c r="D2686">
        <v>283</v>
      </c>
      <c r="E2686" s="51">
        <f>IF(INDEX(DarlBelegt,6)=0,0,EOMONTH(INDEX(DarlAuszahlung,6),282)+1)</f>
      </c>
      <c r="F2686" s="43">
        <f>IF($E2686=0,0,YEAR($E2686))</f>
      </c>
      <c r="G2686" s="43">
        <f>IF(INDEX(DarlBindung,6)="",1,IF($E2686&lt;=INDEX(DarlBindung,6),1,0))</f>
      </c>
      <c r="H2686" s="43">
        <f>IF($G2686=1,INDEX(DarlSollzins,6),INDEX(DarlAnschluss,6))</f>
      </c>
      <c r="I2686" s="43">
        <f>IF(INDEX(DarlBelegt,6)=0,0,IF(INDEX(DarlOhneTilgung,6)=1,IF(INDEX(DarlBindung,6)="",1,$G2686),IF($J2686&gt;0.005,1,0)))</f>
      </c>
      <c r="J2686" s="43">
        <f>IF($I2685=0,0,$R2685)</f>
      </c>
      <c r="K2686" s="43">
        <f>IF($I2686=0,0,IF(INDEX(DarlOhneTilgung,6)=1,0,IF(AND(INDEX(DarlTilgStart,6)&gt;0,$E2686=INDEX(DarlTilgStart,6)),$J2686*($H2686+INDEX(DarlTilgung,6))/100/12,IF(AND($G2686=0,$G2685=1),MAX($K2685,$J2686*($H2686+1)/100/12),$K2685))))</f>
      </c>
      <c r="L2686" s="43">
        <f>IF($I2686=0,0,$J2686*$H2686/100/12)</f>
      </c>
      <c r="M2686" s="43">
        <f>IF($I2686=0,0,IF(OR(INDEX(DarlOhneTilgung,6)=1,AND(INDEX(DarlTilgStart,6)&gt;0,$E2686&lt;INDEX(DarlTilgStart,6))),0,MIN(MAX(0,$K2686-$L2686),$J2686)))</f>
      </c>
      <c r="N2686" s="43">
        <f>IF($I2686=0,0,MIN(SUMIFS(SondBetrag,SondDarl,6,SondDatum,"&gt;="&amp;$E2686,SondDatum,"&lt;="&amp;EOMONTH($E2686,0)),$J2686-$M2686))</f>
      </c>
      <c r="O2686" s="43">
        <f>IF($I2686=0,0,INDEX(DarlErsatzRate,6))</f>
      </c>
      <c r="P2686" s="43">
        <f>IF($I2686=0,0,$Q2685*INDEX(DarlErsatzZins,6))</f>
      </c>
      <c r="Q2686" s="43">
        <f>IF($I2686=0,0,$Q2685+$P2686+$O2686)</f>
      </c>
      <c r="R2686" s="43">
        <f>IF($I2686=0,0,$J2686-$M2686-$N2686)</f>
      </c>
    </row>
    <row r="2687">
      <c r="A2687"/>
      <c r="B2687">
        <v>6</v>
      </c>
      <c r="C2687" s="43">
        <f>INDEX(DarlObj,6)</f>
      </c>
      <c r="D2687">
        <v>284</v>
      </c>
      <c r="E2687" s="51">
        <f>IF(INDEX(DarlBelegt,6)=0,0,EOMONTH(INDEX(DarlAuszahlung,6),283)+1)</f>
      </c>
      <c r="F2687" s="43">
        <f>IF($E2687=0,0,YEAR($E2687))</f>
      </c>
      <c r="G2687" s="43">
        <f>IF(INDEX(DarlBindung,6)="",1,IF($E2687&lt;=INDEX(DarlBindung,6),1,0))</f>
      </c>
      <c r="H2687" s="43">
        <f>IF($G2687=1,INDEX(DarlSollzins,6),INDEX(DarlAnschluss,6))</f>
      </c>
      <c r="I2687" s="43">
        <f>IF(INDEX(DarlBelegt,6)=0,0,IF(INDEX(DarlOhneTilgung,6)=1,IF(INDEX(DarlBindung,6)="",1,$G2687),IF($J2687&gt;0.005,1,0)))</f>
      </c>
      <c r="J2687" s="43">
        <f>IF($I2686=0,0,$R2686)</f>
      </c>
      <c r="K2687" s="43">
        <f>IF($I2687=0,0,IF(INDEX(DarlOhneTilgung,6)=1,0,IF(AND(INDEX(DarlTilgStart,6)&gt;0,$E2687=INDEX(DarlTilgStart,6)),$J2687*($H2687+INDEX(DarlTilgung,6))/100/12,IF(AND($G2687=0,$G2686=1),MAX($K2686,$J2687*($H2687+1)/100/12),$K2686))))</f>
      </c>
      <c r="L2687" s="43">
        <f>IF($I2687=0,0,$J2687*$H2687/100/12)</f>
      </c>
      <c r="M2687" s="43">
        <f>IF($I2687=0,0,IF(OR(INDEX(DarlOhneTilgung,6)=1,AND(INDEX(DarlTilgStart,6)&gt;0,$E2687&lt;INDEX(DarlTilgStart,6))),0,MIN(MAX(0,$K2687-$L2687),$J2687)))</f>
      </c>
      <c r="N2687" s="43">
        <f>IF($I2687=0,0,MIN(SUMIFS(SondBetrag,SondDarl,6,SondDatum,"&gt;="&amp;$E2687,SondDatum,"&lt;="&amp;EOMONTH($E2687,0)),$J2687-$M2687))</f>
      </c>
      <c r="O2687" s="43">
        <f>IF($I2687=0,0,INDEX(DarlErsatzRate,6))</f>
      </c>
      <c r="P2687" s="43">
        <f>IF($I2687=0,0,$Q2686*INDEX(DarlErsatzZins,6))</f>
      </c>
      <c r="Q2687" s="43">
        <f>IF($I2687=0,0,$Q2686+$P2687+$O2687)</f>
      </c>
      <c r="R2687" s="43">
        <f>IF($I2687=0,0,$J2687-$M2687-$N2687)</f>
      </c>
    </row>
    <row r="2688">
      <c r="A2688"/>
      <c r="B2688">
        <v>6</v>
      </c>
      <c r="C2688" s="43">
        <f>INDEX(DarlObj,6)</f>
      </c>
      <c r="D2688">
        <v>285</v>
      </c>
      <c r="E2688" s="51">
        <f>IF(INDEX(DarlBelegt,6)=0,0,EOMONTH(INDEX(DarlAuszahlung,6),284)+1)</f>
      </c>
      <c r="F2688" s="43">
        <f>IF($E2688=0,0,YEAR($E2688))</f>
      </c>
      <c r="G2688" s="43">
        <f>IF(INDEX(DarlBindung,6)="",1,IF($E2688&lt;=INDEX(DarlBindung,6),1,0))</f>
      </c>
      <c r="H2688" s="43">
        <f>IF($G2688=1,INDEX(DarlSollzins,6),INDEX(DarlAnschluss,6))</f>
      </c>
      <c r="I2688" s="43">
        <f>IF(INDEX(DarlBelegt,6)=0,0,IF(INDEX(DarlOhneTilgung,6)=1,IF(INDEX(DarlBindung,6)="",1,$G2688),IF($J2688&gt;0.005,1,0)))</f>
      </c>
      <c r="J2688" s="43">
        <f>IF($I2687=0,0,$R2687)</f>
      </c>
      <c r="K2688" s="43">
        <f>IF($I2688=0,0,IF(INDEX(DarlOhneTilgung,6)=1,0,IF(AND(INDEX(DarlTilgStart,6)&gt;0,$E2688=INDEX(DarlTilgStart,6)),$J2688*($H2688+INDEX(DarlTilgung,6))/100/12,IF(AND($G2688=0,$G2687=1),MAX($K2687,$J2688*($H2688+1)/100/12),$K2687))))</f>
      </c>
      <c r="L2688" s="43">
        <f>IF($I2688=0,0,$J2688*$H2688/100/12)</f>
      </c>
      <c r="M2688" s="43">
        <f>IF($I2688=0,0,IF(OR(INDEX(DarlOhneTilgung,6)=1,AND(INDEX(DarlTilgStart,6)&gt;0,$E2688&lt;INDEX(DarlTilgStart,6))),0,MIN(MAX(0,$K2688-$L2688),$J2688)))</f>
      </c>
      <c r="N2688" s="43">
        <f>IF($I2688=0,0,MIN(SUMIFS(SondBetrag,SondDarl,6,SondDatum,"&gt;="&amp;$E2688,SondDatum,"&lt;="&amp;EOMONTH($E2688,0)),$J2688-$M2688))</f>
      </c>
      <c r="O2688" s="43">
        <f>IF($I2688=0,0,INDEX(DarlErsatzRate,6))</f>
      </c>
      <c r="P2688" s="43">
        <f>IF($I2688=0,0,$Q2687*INDEX(DarlErsatzZins,6))</f>
      </c>
      <c r="Q2688" s="43">
        <f>IF($I2688=0,0,$Q2687+$P2688+$O2688)</f>
      </c>
      <c r="R2688" s="43">
        <f>IF($I2688=0,0,$J2688-$M2688-$N2688)</f>
      </c>
    </row>
    <row r="2689">
      <c r="A2689"/>
      <c r="B2689">
        <v>6</v>
      </c>
      <c r="C2689" s="43">
        <f>INDEX(DarlObj,6)</f>
      </c>
      <c r="D2689">
        <v>286</v>
      </c>
      <c r="E2689" s="51">
        <f>IF(INDEX(DarlBelegt,6)=0,0,EOMONTH(INDEX(DarlAuszahlung,6),285)+1)</f>
      </c>
      <c r="F2689" s="43">
        <f>IF($E2689=0,0,YEAR($E2689))</f>
      </c>
      <c r="G2689" s="43">
        <f>IF(INDEX(DarlBindung,6)="",1,IF($E2689&lt;=INDEX(DarlBindung,6),1,0))</f>
      </c>
      <c r="H2689" s="43">
        <f>IF($G2689=1,INDEX(DarlSollzins,6),INDEX(DarlAnschluss,6))</f>
      </c>
      <c r="I2689" s="43">
        <f>IF(INDEX(DarlBelegt,6)=0,0,IF(INDEX(DarlOhneTilgung,6)=1,IF(INDEX(DarlBindung,6)="",1,$G2689),IF($J2689&gt;0.005,1,0)))</f>
      </c>
      <c r="J2689" s="43">
        <f>IF($I2688=0,0,$R2688)</f>
      </c>
      <c r="K2689" s="43">
        <f>IF($I2689=0,0,IF(INDEX(DarlOhneTilgung,6)=1,0,IF(AND(INDEX(DarlTilgStart,6)&gt;0,$E2689=INDEX(DarlTilgStart,6)),$J2689*($H2689+INDEX(DarlTilgung,6))/100/12,IF(AND($G2689=0,$G2688=1),MAX($K2688,$J2689*($H2689+1)/100/12),$K2688))))</f>
      </c>
      <c r="L2689" s="43">
        <f>IF($I2689=0,0,$J2689*$H2689/100/12)</f>
      </c>
      <c r="M2689" s="43">
        <f>IF($I2689=0,0,IF(OR(INDEX(DarlOhneTilgung,6)=1,AND(INDEX(DarlTilgStart,6)&gt;0,$E2689&lt;INDEX(DarlTilgStart,6))),0,MIN(MAX(0,$K2689-$L2689),$J2689)))</f>
      </c>
      <c r="N2689" s="43">
        <f>IF($I2689=0,0,MIN(SUMIFS(SondBetrag,SondDarl,6,SondDatum,"&gt;="&amp;$E2689,SondDatum,"&lt;="&amp;EOMONTH($E2689,0)),$J2689-$M2689))</f>
      </c>
      <c r="O2689" s="43">
        <f>IF($I2689=0,0,INDEX(DarlErsatzRate,6))</f>
      </c>
      <c r="P2689" s="43">
        <f>IF($I2689=0,0,$Q2688*INDEX(DarlErsatzZins,6))</f>
      </c>
      <c r="Q2689" s="43">
        <f>IF($I2689=0,0,$Q2688+$P2689+$O2689)</f>
      </c>
      <c r="R2689" s="43">
        <f>IF($I2689=0,0,$J2689-$M2689-$N2689)</f>
      </c>
    </row>
    <row r="2690">
      <c r="A2690"/>
      <c r="B2690">
        <v>6</v>
      </c>
      <c r="C2690" s="43">
        <f>INDEX(DarlObj,6)</f>
      </c>
      <c r="D2690">
        <v>287</v>
      </c>
      <c r="E2690" s="51">
        <f>IF(INDEX(DarlBelegt,6)=0,0,EOMONTH(INDEX(DarlAuszahlung,6),286)+1)</f>
      </c>
      <c r="F2690" s="43">
        <f>IF($E2690=0,0,YEAR($E2690))</f>
      </c>
      <c r="G2690" s="43">
        <f>IF(INDEX(DarlBindung,6)="",1,IF($E2690&lt;=INDEX(DarlBindung,6),1,0))</f>
      </c>
      <c r="H2690" s="43">
        <f>IF($G2690=1,INDEX(DarlSollzins,6),INDEX(DarlAnschluss,6))</f>
      </c>
      <c r="I2690" s="43">
        <f>IF(INDEX(DarlBelegt,6)=0,0,IF(INDEX(DarlOhneTilgung,6)=1,IF(INDEX(DarlBindung,6)="",1,$G2690),IF($J2690&gt;0.005,1,0)))</f>
      </c>
      <c r="J2690" s="43">
        <f>IF($I2689=0,0,$R2689)</f>
      </c>
      <c r="K2690" s="43">
        <f>IF($I2690=0,0,IF(INDEX(DarlOhneTilgung,6)=1,0,IF(AND(INDEX(DarlTilgStart,6)&gt;0,$E2690=INDEX(DarlTilgStart,6)),$J2690*($H2690+INDEX(DarlTilgung,6))/100/12,IF(AND($G2690=0,$G2689=1),MAX($K2689,$J2690*($H2690+1)/100/12),$K2689))))</f>
      </c>
      <c r="L2690" s="43">
        <f>IF($I2690=0,0,$J2690*$H2690/100/12)</f>
      </c>
      <c r="M2690" s="43">
        <f>IF($I2690=0,0,IF(OR(INDEX(DarlOhneTilgung,6)=1,AND(INDEX(DarlTilgStart,6)&gt;0,$E2690&lt;INDEX(DarlTilgStart,6))),0,MIN(MAX(0,$K2690-$L2690),$J2690)))</f>
      </c>
      <c r="N2690" s="43">
        <f>IF($I2690=0,0,MIN(SUMIFS(SondBetrag,SondDarl,6,SondDatum,"&gt;="&amp;$E2690,SondDatum,"&lt;="&amp;EOMONTH($E2690,0)),$J2690-$M2690))</f>
      </c>
      <c r="O2690" s="43">
        <f>IF($I2690=0,0,INDEX(DarlErsatzRate,6))</f>
      </c>
      <c r="P2690" s="43">
        <f>IF($I2690=0,0,$Q2689*INDEX(DarlErsatzZins,6))</f>
      </c>
      <c r="Q2690" s="43">
        <f>IF($I2690=0,0,$Q2689+$P2690+$O2690)</f>
      </c>
      <c r="R2690" s="43">
        <f>IF($I2690=0,0,$J2690-$M2690-$N2690)</f>
      </c>
    </row>
    <row r="2691">
      <c r="A2691"/>
      <c r="B2691">
        <v>6</v>
      </c>
      <c r="C2691" s="43">
        <f>INDEX(DarlObj,6)</f>
      </c>
      <c r="D2691">
        <v>288</v>
      </c>
      <c r="E2691" s="51">
        <f>IF(INDEX(DarlBelegt,6)=0,0,EOMONTH(INDEX(DarlAuszahlung,6),287)+1)</f>
      </c>
      <c r="F2691" s="43">
        <f>IF($E2691=0,0,YEAR($E2691))</f>
      </c>
      <c r="G2691" s="43">
        <f>IF(INDEX(DarlBindung,6)="",1,IF($E2691&lt;=INDEX(DarlBindung,6),1,0))</f>
      </c>
      <c r="H2691" s="43">
        <f>IF($G2691=1,INDEX(DarlSollzins,6),INDEX(DarlAnschluss,6))</f>
      </c>
      <c r="I2691" s="43">
        <f>IF(INDEX(DarlBelegt,6)=0,0,IF(INDEX(DarlOhneTilgung,6)=1,IF(INDEX(DarlBindung,6)="",1,$G2691),IF($J2691&gt;0.005,1,0)))</f>
      </c>
      <c r="J2691" s="43">
        <f>IF($I2690=0,0,$R2690)</f>
      </c>
      <c r="K2691" s="43">
        <f>IF($I2691=0,0,IF(INDEX(DarlOhneTilgung,6)=1,0,IF(AND(INDEX(DarlTilgStart,6)&gt;0,$E2691=INDEX(DarlTilgStart,6)),$J2691*($H2691+INDEX(DarlTilgung,6))/100/12,IF(AND($G2691=0,$G2690=1),MAX($K2690,$J2691*($H2691+1)/100/12),$K2690))))</f>
      </c>
      <c r="L2691" s="43">
        <f>IF($I2691=0,0,$J2691*$H2691/100/12)</f>
      </c>
      <c r="M2691" s="43">
        <f>IF($I2691=0,0,IF(OR(INDEX(DarlOhneTilgung,6)=1,AND(INDEX(DarlTilgStart,6)&gt;0,$E2691&lt;INDEX(DarlTilgStart,6))),0,MIN(MAX(0,$K2691-$L2691),$J2691)))</f>
      </c>
      <c r="N2691" s="43">
        <f>IF($I2691=0,0,MIN(SUMIFS(SondBetrag,SondDarl,6,SondDatum,"&gt;="&amp;$E2691,SondDatum,"&lt;="&amp;EOMONTH($E2691,0)),$J2691-$M2691))</f>
      </c>
      <c r="O2691" s="43">
        <f>IF($I2691=0,0,INDEX(DarlErsatzRate,6))</f>
      </c>
      <c r="P2691" s="43">
        <f>IF($I2691=0,0,$Q2690*INDEX(DarlErsatzZins,6))</f>
      </c>
      <c r="Q2691" s="43">
        <f>IF($I2691=0,0,$Q2690+$P2691+$O2691)</f>
      </c>
      <c r="R2691" s="43">
        <f>IF($I2691=0,0,$J2691-$M2691-$N2691)</f>
      </c>
    </row>
    <row r="2692">
      <c r="A2692"/>
      <c r="B2692">
        <v>6</v>
      </c>
      <c r="C2692" s="43">
        <f>INDEX(DarlObj,6)</f>
      </c>
      <c r="D2692">
        <v>289</v>
      </c>
      <c r="E2692" s="51">
        <f>IF(INDEX(DarlBelegt,6)=0,0,EOMONTH(INDEX(DarlAuszahlung,6),288)+1)</f>
      </c>
      <c r="F2692" s="43">
        <f>IF($E2692=0,0,YEAR($E2692))</f>
      </c>
      <c r="G2692" s="43">
        <f>IF(INDEX(DarlBindung,6)="",1,IF($E2692&lt;=INDEX(DarlBindung,6),1,0))</f>
      </c>
      <c r="H2692" s="43">
        <f>IF($G2692=1,INDEX(DarlSollzins,6),INDEX(DarlAnschluss,6))</f>
      </c>
      <c r="I2692" s="43">
        <f>IF(INDEX(DarlBelegt,6)=0,0,IF(INDEX(DarlOhneTilgung,6)=1,IF(INDEX(DarlBindung,6)="",1,$G2692),IF($J2692&gt;0.005,1,0)))</f>
      </c>
      <c r="J2692" s="43">
        <f>IF($I2691=0,0,$R2691)</f>
      </c>
      <c r="K2692" s="43">
        <f>IF($I2692=0,0,IF(INDEX(DarlOhneTilgung,6)=1,0,IF(AND(INDEX(DarlTilgStart,6)&gt;0,$E2692=INDEX(DarlTilgStart,6)),$J2692*($H2692+INDEX(DarlTilgung,6))/100/12,IF(AND($G2692=0,$G2691=1),MAX($K2691,$J2692*($H2692+1)/100/12),$K2691))))</f>
      </c>
      <c r="L2692" s="43">
        <f>IF($I2692=0,0,$J2692*$H2692/100/12)</f>
      </c>
      <c r="M2692" s="43">
        <f>IF($I2692=0,0,IF(OR(INDEX(DarlOhneTilgung,6)=1,AND(INDEX(DarlTilgStart,6)&gt;0,$E2692&lt;INDEX(DarlTilgStart,6))),0,MIN(MAX(0,$K2692-$L2692),$J2692)))</f>
      </c>
      <c r="N2692" s="43">
        <f>IF($I2692=0,0,MIN(SUMIFS(SondBetrag,SondDarl,6,SondDatum,"&gt;="&amp;$E2692,SondDatum,"&lt;="&amp;EOMONTH($E2692,0)),$J2692-$M2692))</f>
      </c>
      <c r="O2692" s="43">
        <f>IF($I2692=0,0,INDEX(DarlErsatzRate,6))</f>
      </c>
      <c r="P2692" s="43">
        <f>IF($I2692=0,0,$Q2691*INDEX(DarlErsatzZins,6))</f>
      </c>
      <c r="Q2692" s="43">
        <f>IF($I2692=0,0,$Q2691+$P2692+$O2692)</f>
      </c>
      <c r="R2692" s="43">
        <f>IF($I2692=0,0,$J2692-$M2692-$N2692)</f>
      </c>
    </row>
    <row r="2693">
      <c r="A2693"/>
      <c r="B2693">
        <v>6</v>
      </c>
      <c r="C2693" s="43">
        <f>INDEX(DarlObj,6)</f>
      </c>
      <c r="D2693">
        <v>290</v>
      </c>
      <c r="E2693" s="51">
        <f>IF(INDEX(DarlBelegt,6)=0,0,EOMONTH(INDEX(DarlAuszahlung,6),289)+1)</f>
      </c>
      <c r="F2693" s="43">
        <f>IF($E2693=0,0,YEAR($E2693))</f>
      </c>
      <c r="G2693" s="43">
        <f>IF(INDEX(DarlBindung,6)="",1,IF($E2693&lt;=INDEX(DarlBindung,6),1,0))</f>
      </c>
      <c r="H2693" s="43">
        <f>IF($G2693=1,INDEX(DarlSollzins,6),INDEX(DarlAnschluss,6))</f>
      </c>
      <c r="I2693" s="43">
        <f>IF(INDEX(DarlBelegt,6)=0,0,IF(INDEX(DarlOhneTilgung,6)=1,IF(INDEX(DarlBindung,6)="",1,$G2693),IF($J2693&gt;0.005,1,0)))</f>
      </c>
      <c r="J2693" s="43">
        <f>IF($I2692=0,0,$R2692)</f>
      </c>
      <c r="K2693" s="43">
        <f>IF($I2693=0,0,IF(INDEX(DarlOhneTilgung,6)=1,0,IF(AND(INDEX(DarlTilgStart,6)&gt;0,$E2693=INDEX(DarlTilgStart,6)),$J2693*($H2693+INDEX(DarlTilgung,6))/100/12,IF(AND($G2693=0,$G2692=1),MAX($K2692,$J2693*($H2693+1)/100/12),$K2692))))</f>
      </c>
      <c r="L2693" s="43">
        <f>IF($I2693=0,0,$J2693*$H2693/100/12)</f>
      </c>
      <c r="M2693" s="43">
        <f>IF($I2693=0,0,IF(OR(INDEX(DarlOhneTilgung,6)=1,AND(INDEX(DarlTilgStart,6)&gt;0,$E2693&lt;INDEX(DarlTilgStart,6))),0,MIN(MAX(0,$K2693-$L2693),$J2693)))</f>
      </c>
      <c r="N2693" s="43">
        <f>IF($I2693=0,0,MIN(SUMIFS(SondBetrag,SondDarl,6,SondDatum,"&gt;="&amp;$E2693,SondDatum,"&lt;="&amp;EOMONTH($E2693,0)),$J2693-$M2693))</f>
      </c>
      <c r="O2693" s="43">
        <f>IF($I2693=0,0,INDEX(DarlErsatzRate,6))</f>
      </c>
      <c r="P2693" s="43">
        <f>IF($I2693=0,0,$Q2692*INDEX(DarlErsatzZins,6))</f>
      </c>
      <c r="Q2693" s="43">
        <f>IF($I2693=0,0,$Q2692+$P2693+$O2693)</f>
      </c>
      <c r="R2693" s="43">
        <f>IF($I2693=0,0,$J2693-$M2693-$N2693)</f>
      </c>
    </row>
    <row r="2694">
      <c r="A2694"/>
      <c r="B2694">
        <v>6</v>
      </c>
      <c r="C2694" s="43">
        <f>INDEX(DarlObj,6)</f>
      </c>
      <c r="D2694">
        <v>291</v>
      </c>
      <c r="E2694" s="51">
        <f>IF(INDEX(DarlBelegt,6)=0,0,EOMONTH(INDEX(DarlAuszahlung,6),290)+1)</f>
      </c>
      <c r="F2694" s="43">
        <f>IF($E2694=0,0,YEAR($E2694))</f>
      </c>
      <c r="G2694" s="43">
        <f>IF(INDEX(DarlBindung,6)="",1,IF($E2694&lt;=INDEX(DarlBindung,6),1,0))</f>
      </c>
      <c r="H2694" s="43">
        <f>IF($G2694=1,INDEX(DarlSollzins,6),INDEX(DarlAnschluss,6))</f>
      </c>
      <c r="I2694" s="43">
        <f>IF(INDEX(DarlBelegt,6)=0,0,IF(INDEX(DarlOhneTilgung,6)=1,IF(INDEX(DarlBindung,6)="",1,$G2694),IF($J2694&gt;0.005,1,0)))</f>
      </c>
      <c r="J2694" s="43">
        <f>IF($I2693=0,0,$R2693)</f>
      </c>
      <c r="K2694" s="43">
        <f>IF($I2694=0,0,IF(INDEX(DarlOhneTilgung,6)=1,0,IF(AND(INDEX(DarlTilgStart,6)&gt;0,$E2694=INDEX(DarlTilgStart,6)),$J2694*($H2694+INDEX(DarlTilgung,6))/100/12,IF(AND($G2694=0,$G2693=1),MAX($K2693,$J2694*($H2694+1)/100/12),$K2693))))</f>
      </c>
      <c r="L2694" s="43">
        <f>IF($I2694=0,0,$J2694*$H2694/100/12)</f>
      </c>
      <c r="M2694" s="43">
        <f>IF($I2694=0,0,IF(OR(INDEX(DarlOhneTilgung,6)=1,AND(INDEX(DarlTilgStart,6)&gt;0,$E2694&lt;INDEX(DarlTilgStart,6))),0,MIN(MAX(0,$K2694-$L2694),$J2694)))</f>
      </c>
      <c r="N2694" s="43">
        <f>IF($I2694=0,0,MIN(SUMIFS(SondBetrag,SondDarl,6,SondDatum,"&gt;="&amp;$E2694,SondDatum,"&lt;="&amp;EOMONTH($E2694,0)),$J2694-$M2694))</f>
      </c>
      <c r="O2694" s="43">
        <f>IF($I2694=0,0,INDEX(DarlErsatzRate,6))</f>
      </c>
      <c r="P2694" s="43">
        <f>IF($I2694=0,0,$Q2693*INDEX(DarlErsatzZins,6))</f>
      </c>
      <c r="Q2694" s="43">
        <f>IF($I2694=0,0,$Q2693+$P2694+$O2694)</f>
      </c>
      <c r="R2694" s="43">
        <f>IF($I2694=0,0,$J2694-$M2694-$N2694)</f>
      </c>
    </row>
    <row r="2695">
      <c r="A2695"/>
      <c r="B2695">
        <v>6</v>
      </c>
      <c r="C2695" s="43">
        <f>INDEX(DarlObj,6)</f>
      </c>
      <c r="D2695">
        <v>292</v>
      </c>
      <c r="E2695" s="51">
        <f>IF(INDEX(DarlBelegt,6)=0,0,EOMONTH(INDEX(DarlAuszahlung,6),291)+1)</f>
      </c>
      <c r="F2695" s="43">
        <f>IF($E2695=0,0,YEAR($E2695))</f>
      </c>
      <c r="G2695" s="43">
        <f>IF(INDEX(DarlBindung,6)="",1,IF($E2695&lt;=INDEX(DarlBindung,6),1,0))</f>
      </c>
      <c r="H2695" s="43">
        <f>IF($G2695=1,INDEX(DarlSollzins,6),INDEX(DarlAnschluss,6))</f>
      </c>
      <c r="I2695" s="43">
        <f>IF(INDEX(DarlBelegt,6)=0,0,IF(INDEX(DarlOhneTilgung,6)=1,IF(INDEX(DarlBindung,6)="",1,$G2695),IF($J2695&gt;0.005,1,0)))</f>
      </c>
      <c r="J2695" s="43">
        <f>IF($I2694=0,0,$R2694)</f>
      </c>
      <c r="K2695" s="43">
        <f>IF($I2695=0,0,IF(INDEX(DarlOhneTilgung,6)=1,0,IF(AND(INDEX(DarlTilgStart,6)&gt;0,$E2695=INDEX(DarlTilgStart,6)),$J2695*($H2695+INDEX(DarlTilgung,6))/100/12,IF(AND($G2695=0,$G2694=1),MAX($K2694,$J2695*($H2695+1)/100/12),$K2694))))</f>
      </c>
      <c r="L2695" s="43">
        <f>IF($I2695=0,0,$J2695*$H2695/100/12)</f>
      </c>
      <c r="M2695" s="43">
        <f>IF($I2695=0,0,IF(OR(INDEX(DarlOhneTilgung,6)=1,AND(INDEX(DarlTilgStart,6)&gt;0,$E2695&lt;INDEX(DarlTilgStart,6))),0,MIN(MAX(0,$K2695-$L2695),$J2695)))</f>
      </c>
      <c r="N2695" s="43">
        <f>IF($I2695=0,0,MIN(SUMIFS(SondBetrag,SondDarl,6,SondDatum,"&gt;="&amp;$E2695,SondDatum,"&lt;="&amp;EOMONTH($E2695,0)),$J2695-$M2695))</f>
      </c>
      <c r="O2695" s="43">
        <f>IF($I2695=0,0,INDEX(DarlErsatzRate,6))</f>
      </c>
      <c r="P2695" s="43">
        <f>IF($I2695=0,0,$Q2694*INDEX(DarlErsatzZins,6))</f>
      </c>
      <c r="Q2695" s="43">
        <f>IF($I2695=0,0,$Q2694+$P2695+$O2695)</f>
      </c>
      <c r="R2695" s="43">
        <f>IF($I2695=0,0,$J2695-$M2695-$N2695)</f>
      </c>
    </row>
    <row r="2696">
      <c r="A2696"/>
      <c r="B2696">
        <v>6</v>
      </c>
      <c r="C2696" s="43">
        <f>INDEX(DarlObj,6)</f>
      </c>
      <c r="D2696">
        <v>293</v>
      </c>
      <c r="E2696" s="51">
        <f>IF(INDEX(DarlBelegt,6)=0,0,EOMONTH(INDEX(DarlAuszahlung,6),292)+1)</f>
      </c>
      <c r="F2696" s="43">
        <f>IF($E2696=0,0,YEAR($E2696))</f>
      </c>
      <c r="G2696" s="43">
        <f>IF(INDEX(DarlBindung,6)="",1,IF($E2696&lt;=INDEX(DarlBindung,6),1,0))</f>
      </c>
      <c r="H2696" s="43">
        <f>IF($G2696=1,INDEX(DarlSollzins,6),INDEX(DarlAnschluss,6))</f>
      </c>
      <c r="I2696" s="43">
        <f>IF(INDEX(DarlBelegt,6)=0,0,IF(INDEX(DarlOhneTilgung,6)=1,IF(INDEX(DarlBindung,6)="",1,$G2696),IF($J2696&gt;0.005,1,0)))</f>
      </c>
      <c r="J2696" s="43">
        <f>IF($I2695=0,0,$R2695)</f>
      </c>
      <c r="K2696" s="43">
        <f>IF($I2696=0,0,IF(INDEX(DarlOhneTilgung,6)=1,0,IF(AND(INDEX(DarlTilgStart,6)&gt;0,$E2696=INDEX(DarlTilgStart,6)),$J2696*($H2696+INDEX(DarlTilgung,6))/100/12,IF(AND($G2696=0,$G2695=1),MAX($K2695,$J2696*($H2696+1)/100/12),$K2695))))</f>
      </c>
      <c r="L2696" s="43">
        <f>IF($I2696=0,0,$J2696*$H2696/100/12)</f>
      </c>
      <c r="M2696" s="43">
        <f>IF($I2696=0,0,IF(OR(INDEX(DarlOhneTilgung,6)=1,AND(INDEX(DarlTilgStart,6)&gt;0,$E2696&lt;INDEX(DarlTilgStart,6))),0,MIN(MAX(0,$K2696-$L2696),$J2696)))</f>
      </c>
      <c r="N2696" s="43">
        <f>IF($I2696=0,0,MIN(SUMIFS(SondBetrag,SondDarl,6,SondDatum,"&gt;="&amp;$E2696,SondDatum,"&lt;="&amp;EOMONTH($E2696,0)),$J2696-$M2696))</f>
      </c>
      <c r="O2696" s="43">
        <f>IF($I2696=0,0,INDEX(DarlErsatzRate,6))</f>
      </c>
      <c r="P2696" s="43">
        <f>IF($I2696=0,0,$Q2695*INDEX(DarlErsatzZins,6))</f>
      </c>
      <c r="Q2696" s="43">
        <f>IF($I2696=0,0,$Q2695+$P2696+$O2696)</f>
      </c>
      <c r="R2696" s="43">
        <f>IF($I2696=0,0,$J2696-$M2696-$N2696)</f>
      </c>
    </row>
    <row r="2697">
      <c r="A2697"/>
      <c r="B2697">
        <v>6</v>
      </c>
      <c r="C2697" s="43">
        <f>INDEX(DarlObj,6)</f>
      </c>
      <c r="D2697">
        <v>294</v>
      </c>
      <c r="E2697" s="51">
        <f>IF(INDEX(DarlBelegt,6)=0,0,EOMONTH(INDEX(DarlAuszahlung,6),293)+1)</f>
      </c>
      <c r="F2697" s="43">
        <f>IF($E2697=0,0,YEAR($E2697))</f>
      </c>
      <c r="G2697" s="43">
        <f>IF(INDEX(DarlBindung,6)="",1,IF($E2697&lt;=INDEX(DarlBindung,6),1,0))</f>
      </c>
      <c r="H2697" s="43">
        <f>IF($G2697=1,INDEX(DarlSollzins,6),INDEX(DarlAnschluss,6))</f>
      </c>
      <c r="I2697" s="43">
        <f>IF(INDEX(DarlBelegt,6)=0,0,IF(INDEX(DarlOhneTilgung,6)=1,IF(INDEX(DarlBindung,6)="",1,$G2697),IF($J2697&gt;0.005,1,0)))</f>
      </c>
      <c r="J2697" s="43">
        <f>IF($I2696=0,0,$R2696)</f>
      </c>
      <c r="K2697" s="43">
        <f>IF($I2697=0,0,IF(INDEX(DarlOhneTilgung,6)=1,0,IF(AND(INDEX(DarlTilgStart,6)&gt;0,$E2697=INDEX(DarlTilgStart,6)),$J2697*($H2697+INDEX(DarlTilgung,6))/100/12,IF(AND($G2697=0,$G2696=1),MAX($K2696,$J2697*($H2697+1)/100/12),$K2696))))</f>
      </c>
      <c r="L2697" s="43">
        <f>IF($I2697=0,0,$J2697*$H2697/100/12)</f>
      </c>
      <c r="M2697" s="43">
        <f>IF($I2697=0,0,IF(OR(INDEX(DarlOhneTilgung,6)=1,AND(INDEX(DarlTilgStart,6)&gt;0,$E2697&lt;INDEX(DarlTilgStart,6))),0,MIN(MAX(0,$K2697-$L2697),$J2697)))</f>
      </c>
      <c r="N2697" s="43">
        <f>IF($I2697=0,0,MIN(SUMIFS(SondBetrag,SondDarl,6,SondDatum,"&gt;="&amp;$E2697,SondDatum,"&lt;="&amp;EOMONTH($E2697,0)),$J2697-$M2697))</f>
      </c>
      <c r="O2697" s="43">
        <f>IF($I2697=0,0,INDEX(DarlErsatzRate,6))</f>
      </c>
      <c r="P2697" s="43">
        <f>IF($I2697=0,0,$Q2696*INDEX(DarlErsatzZins,6))</f>
      </c>
      <c r="Q2697" s="43">
        <f>IF($I2697=0,0,$Q2696+$P2697+$O2697)</f>
      </c>
      <c r="R2697" s="43">
        <f>IF($I2697=0,0,$J2697-$M2697-$N2697)</f>
      </c>
    </row>
    <row r="2698">
      <c r="A2698"/>
      <c r="B2698">
        <v>6</v>
      </c>
      <c r="C2698" s="43">
        <f>INDEX(DarlObj,6)</f>
      </c>
      <c r="D2698">
        <v>295</v>
      </c>
      <c r="E2698" s="51">
        <f>IF(INDEX(DarlBelegt,6)=0,0,EOMONTH(INDEX(DarlAuszahlung,6),294)+1)</f>
      </c>
      <c r="F2698" s="43">
        <f>IF($E2698=0,0,YEAR($E2698))</f>
      </c>
      <c r="G2698" s="43">
        <f>IF(INDEX(DarlBindung,6)="",1,IF($E2698&lt;=INDEX(DarlBindung,6),1,0))</f>
      </c>
      <c r="H2698" s="43">
        <f>IF($G2698=1,INDEX(DarlSollzins,6),INDEX(DarlAnschluss,6))</f>
      </c>
      <c r="I2698" s="43">
        <f>IF(INDEX(DarlBelegt,6)=0,0,IF(INDEX(DarlOhneTilgung,6)=1,IF(INDEX(DarlBindung,6)="",1,$G2698),IF($J2698&gt;0.005,1,0)))</f>
      </c>
      <c r="J2698" s="43">
        <f>IF($I2697=0,0,$R2697)</f>
      </c>
      <c r="K2698" s="43">
        <f>IF($I2698=0,0,IF(INDEX(DarlOhneTilgung,6)=1,0,IF(AND(INDEX(DarlTilgStart,6)&gt;0,$E2698=INDEX(DarlTilgStart,6)),$J2698*($H2698+INDEX(DarlTilgung,6))/100/12,IF(AND($G2698=0,$G2697=1),MAX($K2697,$J2698*($H2698+1)/100/12),$K2697))))</f>
      </c>
      <c r="L2698" s="43">
        <f>IF($I2698=0,0,$J2698*$H2698/100/12)</f>
      </c>
      <c r="M2698" s="43">
        <f>IF($I2698=0,0,IF(OR(INDEX(DarlOhneTilgung,6)=1,AND(INDEX(DarlTilgStart,6)&gt;0,$E2698&lt;INDEX(DarlTilgStart,6))),0,MIN(MAX(0,$K2698-$L2698),$J2698)))</f>
      </c>
      <c r="N2698" s="43">
        <f>IF($I2698=0,0,MIN(SUMIFS(SondBetrag,SondDarl,6,SondDatum,"&gt;="&amp;$E2698,SondDatum,"&lt;="&amp;EOMONTH($E2698,0)),$J2698-$M2698))</f>
      </c>
      <c r="O2698" s="43">
        <f>IF($I2698=0,0,INDEX(DarlErsatzRate,6))</f>
      </c>
      <c r="P2698" s="43">
        <f>IF($I2698=0,0,$Q2697*INDEX(DarlErsatzZins,6))</f>
      </c>
      <c r="Q2698" s="43">
        <f>IF($I2698=0,0,$Q2697+$P2698+$O2698)</f>
      </c>
      <c r="R2698" s="43">
        <f>IF($I2698=0,0,$J2698-$M2698-$N2698)</f>
      </c>
    </row>
    <row r="2699">
      <c r="A2699"/>
      <c r="B2699">
        <v>6</v>
      </c>
      <c r="C2699" s="43">
        <f>INDEX(DarlObj,6)</f>
      </c>
      <c r="D2699">
        <v>296</v>
      </c>
      <c r="E2699" s="51">
        <f>IF(INDEX(DarlBelegt,6)=0,0,EOMONTH(INDEX(DarlAuszahlung,6),295)+1)</f>
      </c>
      <c r="F2699" s="43">
        <f>IF($E2699=0,0,YEAR($E2699))</f>
      </c>
      <c r="G2699" s="43">
        <f>IF(INDEX(DarlBindung,6)="",1,IF($E2699&lt;=INDEX(DarlBindung,6),1,0))</f>
      </c>
      <c r="H2699" s="43">
        <f>IF($G2699=1,INDEX(DarlSollzins,6),INDEX(DarlAnschluss,6))</f>
      </c>
      <c r="I2699" s="43">
        <f>IF(INDEX(DarlBelegt,6)=0,0,IF(INDEX(DarlOhneTilgung,6)=1,IF(INDEX(DarlBindung,6)="",1,$G2699),IF($J2699&gt;0.005,1,0)))</f>
      </c>
      <c r="J2699" s="43">
        <f>IF($I2698=0,0,$R2698)</f>
      </c>
      <c r="K2699" s="43">
        <f>IF($I2699=0,0,IF(INDEX(DarlOhneTilgung,6)=1,0,IF(AND(INDEX(DarlTilgStart,6)&gt;0,$E2699=INDEX(DarlTilgStart,6)),$J2699*($H2699+INDEX(DarlTilgung,6))/100/12,IF(AND($G2699=0,$G2698=1),MAX($K2698,$J2699*($H2699+1)/100/12),$K2698))))</f>
      </c>
      <c r="L2699" s="43">
        <f>IF($I2699=0,0,$J2699*$H2699/100/12)</f>
      </c>
      <c r="M2699" s="43">
        <f>IF($I2699=0,0,IF(OR(INDEX(DarlOhneTilgung,6)=1,AND(INDEX(DarlTilgStart,6)&gt;0,$E2699&lt;INDEX(DarlTilgStart,6))),0,MIN(MAX(0,$K2699-$L2699),$J2699)))</f>
      </c>
      <c r="N2699" s="43">
        <f>IF($I2699=0,0,MIN(SUMIFS(SondBetrag,SondDarl,6,SondDatum,"&gt;="&amp;$E2699,SondDatum,"&lt;="&amp;EOMONTH($E2699,0)),$J2699-$M2699))</f>
      </c>
      <c r="O2699" s="43">
        <f>IF($I2699=0,0,INDEX(DarlErsatzRate,6))</f>
      </c>
      <c r="P2699" s="43">
        <f>IF($I2699=0,0,$Q2698*INDEX(DarlErsatzZins,6))</f>
      </c>
      <c r="Q2699" s="43">
        <f>IF($I2699=0,0,$Q2698+$P2699+$O2699)</f>
      </c>
      <c r="R2699" s="43">
        <f>IF($I2699=0,0,$J2699-$M2699-$N2699)</f>
      </c>
    </row>
    <row r="2700">
      <c r="A2700"/>
      <c r="B2700">
        <v>6</v>
      </c>
      <c r="C2700" s="43">
        <f>INDEX(DarlObj,6)</f>
      </c>
      <c r="D2700">
        <v>297</v>
      </c>
      <c r="E2700" s="51">
        <f>IF(INDEX(DarlBelegt,6)=0,0,EOMONTH(INDEX(DarlAuszahlung,6),296)+1)</f>
      </c>
      <c r="F2700" s="43">
        <f>IF($E2700=0,0,YEAR($E2700))</f>
      </c>
      <c r="G2700" s="43">
        <f>IF(INDEX(DarlBindung,6)="",1,IF($E2700&lt;=INDEX(DarlBindung,6),1,0))</f>
      </c>
      <c r="H2700" s="43">
        <f>IF($G2700=1,INDEX(DarlSollzins,6),INDEX(DarlAnschluss,6))</f>
      </c>
      <c r="I2700" s="43">
        <f>IF(INDEX(DarlBelegt,6)=0,0,IF(INDEX(DarlOhneTilgung,6)=1,IF(INDEX(DarlBindung,6)="",1,$G2700),IF($J2700&gt;0.005,1,0)))</f>
      </c>
      <c r="J2700" s="43">
        <f>IF($I2699=0,0,$R2699)</f>
      </c>
      <c r="K2700" s="43">
        <f>IF($I2700=0,0,IF(INDEX(DarlOhneTilgung,6)=1,0,IF(AND(INDEX(DarlTilgStart,6)&gt;0,$E2700=INDEX(DarlTilgStart,6)),$J2700*($H2700+INDEX(DarlTilgung,6))/100/12,IF(AND($G2700=0,$G2699=1),MAX($K2699,$J2700*($H2700+1)/100/12),$K2699))))</f>
      </c>
      <c r="L2700" s="43">
        <f>IF($I2700=0,0,$J2700*$H2700/100/12)</f>
      </c>
      <c r="M2700" s="43">
        <f>IF($I2700=0,0,IF(OR(INDEX(DarlOhneTilgung,6)=1,AND(INDEX(DarlTilgStart,6)&gt;0,$E2700&lt;INDEX(DarlTilgStart,6))),0,MIN(MAX(0,$K2700-$L2700),$J2700)))</f>
      </c>
      <c r="N2700" s="43">
        <f>IF($I2700=0,0,MIN(SUMIFS(SondBetrag,SondDarl,6,SondDatum,"&gt;="&amp;$E2700,SondDatum,"&lt;="&amp;EOMONTH($E2700,0)),$J2700-$M2700))</f>
      </c>
      <c r="O2700" s="43">
        <f>IF($I2700=0,0,INDEX(DarlErsatzRate,6))</f>
      </c>
      <c r="P2700" s="43">
        <f>IF($I2700=0,0,$Q2699*INDEX(DarlErsatzZins,6))</f>
      </c>
      <c r="Q2700" s="43">
        <f>IF($I2700=0,0,$Q2699+$P2700+$O2700)</f>
      </c>
      <c r="R2700" s="43">
        <f>IF($I2700=0,0,$J2700-$M2700-$N2700)</f>
      </c>
    </row>
    <row r="2701">
      <c r="A2701"/>
      <c r="B2701">
        <v>6</v>
      </c>
      <c r="C2701" s="43">
        <f>INDEX(DarlObj,6)</f>
      </c>
      <c r="D2701">
        <v>298</v>
      </c>
      <c r="E2701" s="51">
        <f>IF(INDEX(DarlBelegt,6)=0,0,EOMONTH(INDEX(DarlAuszahlung,6),297)+1)</f>
      </c>
      <c r="F2701" s="43">
        <f>IF($E2701=0,0,YEAR($E2701))</f>
      </c>
      <c r="G2701" s="43">
        <f>IF(INDEX(DarlBindung,6)="",1,IF($E2701&lt;=INDEX(DarlBindung,6),1,0))</f>
      </c>
      <c r="H2701" s="43">
        <f>IF($G2701=1,INDEX(DarlSollzins,6),INDEX(DarlAnschluss,6))</f>
      </c>
      <c r="I2701" s="43">
        <f>IF(INDEX(DarlBelegt,6)=0,0,IF(INDEX(DarlOhneTilgung,6)=1,IF(INDEX(DarlBindung,6)="",1,$G2701),IF($J2701&gt;0.005,1,0)))</f>
      </c>
      <c r="J2701" s="43">
        <f>IF($I2700=0,0,$R2700)</f>
      </c>
      <c r="K2701" s="43">
        <f>IF($I2701=0,0,IF(INDEX(DarlOhneTilgung,6)=1,0,IF(AND(INDEX(DarlTilgStart,6)&gt;0,$E2701=INDEX(DarlTilgStart,6)),$J2701*($H2701+INDEX(DarlTilgung,6))/100/12,IF(AND($G2701=0,$G2700=1),MAX($K2700,$J2701*($H2701+1)/100/12),$K2700))))</f>
      </c>
      <c r="L2701" s="43">
        <f>IF($I2701=0,0,$J2701*$H2701/100/12)</f>
      </c>
      <c r="M2701" s="43">
        <f>IF($I2701=0,0,IF(OR(INDEX(DarlOhneTilgung,6)=1,AND(INDEX(DarlTilgStart,6)&gt;0,$E2701&lt;INDEX(DarlTilgStart,6))),0,MIN(MAX(0,$K2701-$L2701),$J2701)))</f>
      </c>
      <c r="N2701" s="43">
        <f>IF($I2701=0,0,MIN(SUMIFS(SondBetrag,SondDarl,6,SondDatum,"&gt;="&amp;$E2701,SondDatum,"&lt;="&amp;EOMONTH($E2701,0)),$J2701-$M2701))</f>
      </c>
      <c r="O2701" s="43">
        <f>IF($I2701=0,0,INDEX(DarlErsatzRate,6))</f>
      </c>
      <c r="P2701" s="43">
        <f>IF($I2701=0,0,$Q2700*INDEX(DarlErsatzZins,6))</f>
      </c>
      <c r="Q2701" s="43">
        <f>IF($I2701=0,0,$Q2700+$P2701+$O2701)</f>
      </c>
      <c r="R2701" s="43">
        <f>IF($I2701=0,0,$J2701-$M2701-$N2701)</f>
      </c>
    </row>
    <row r="2702">
      <c r="A2702"/>
      <c r="B2702">
        <v>6</v>
      </c>
      <c r="C2702" s="43">
        <f>INDEX(DarlObj,6)</f>
      </c>
      <c r="D2702">
        <v>299</v>
      </c>
      <c r="E2702" s="51">
        <f>IF(INDEX(DarlBelegt,6)=0,0,EOMONTH(INDEX(DarlAuszahlung,6),298)+1)</f>
      </c>
      <c r="F2702" s="43">
        <f>IF($E2702=0,0,YEAR($E2702))</f>
      </c>
      <c r="G2702" s="43">
        <f>IF(INDEX(DarlBindung,6)="",1,IF($E2702&lt;=INDEX(DarlBindung,6),1,0))</f>
      </c>
      <c r="H2702" s="43">
        <f>IF($G2702=1,INDEX(DarlSollzins,6),INDEX(DarlAnschluss,6))</f>
      </c>
      <c r="I2702" s="43">
        <f>IF(INDEX(DarlBelegt,6)=0,0,IF(INDEX(DarlOhneTilgung,6)=1,IF(INDEX(DarlBindung,6)="",1,$G2702),IF($J2702&gt;0.005,1,0)))</f>
      </c>
      <c r="J2702" s="43">
        <f>IF($I2701=0,0,$R2701)</f>
      </c>
      <c r="K2702" s="43">
        <f>IF($I2702=0,0,IF(INDEX(DarlOhneTilgung,6)=1,0,IF(AND(INDEX(DarlTilgStart,6)&gt;0,$E2702=INDEX(DarlTilgStart,6)),$J2702*($H2702+INDEX(DarlTilgung,6))/100/12,IF(AND($G2702=0,$G2701=1),MAX($K2701,$J2702*($H2702+1)/100/12),$K2701))))</f>
      </c>
      <c r="L2702" s="43">
        <f>IF($I2702=0,0,$J2702*$H2702/100/12)</f>
      </c>
      <c r="M2702" s="43">
        <f>IF($I2702=0,0,IF(OR(INDEX(DarlOhneTilgung,6)=1,AND(INDEX(DarlTilgStart,6)&gt;0,$E2702&lt;INDEX(DarlTilgStart,6))),0,MIN(MAX(0,$K2702-$L2702),$J2702)))</f>
      </c>
      <c r="N2702" s="43">
        <f>IF($I2702=0,0,MIN(SUMIFS(SondBetrag,SondDarl,6,SondDatum,"&gt;="&amp;$E2702,SondDatum,"&lt;="&amp;EOMONTH($E2702,0)),$J2702-$M2702))</f>
      </c>
      <c r="O2702" s="43">
        <f>IF($I2702=0,0,INDEX(DarlErsatzRate,6))</f>
      </c>
      <c r="P2702" s="43">
        <f>IF($I2702=0,0,$Q2701*INDEX(DarlErsatzZins,6))</f>
      </c>
      <c r="Q2702" s="43">
        <f>IF($I2702=0,0,$Q2701+$P2702+$O2702)</f>
      </c>
      <c r="R2702" s="43">
        <f>IF($I2702=0,0,$J2702-$M2702-$N2702)</f>
      </c>
    </row>
    <row r="2703">
      <c r="A2703"/>
      <c r="B2703">
        <v>6</v>
      </c>
      <c r="C2703" s="43">
        <f>INDEX(DarlObj,6)</f>
      </c>
      <c r="D2703">
        <v>300</v>
      </c>
      <c r="E2703" s="51">
        <f>IF(INDEX(DarlBelegt,6)=0,0,EOMONTH(INDEX(DarlAuszahlung,6),299)+1)</f>
      </c>
      <c r="F2703" s="43">
        <f>IF($E2703=0,0,YEAR($E2703))</f>
      </c>
      <c r="G2703" s="43">
        <f>IF(INDEX(DarlBindung,6)="",1,IF($E2703&lt;=INDEX(DarlBindung,6),1,0))</f>
      </c>
      <c r="H2703" s="43">
        <f>IF($G2703=1,INDEX(DarlSollzins,6),INDEX(DarlAnschluss,6))</f>
      </c>
      <c r="I2703" s="43">
        <f>IF(INDEX(DarlBelegt,6)=0,0,IF(INDEX(DarlOhneTilgung,6)=1,IF(INDEX(DarlBindung,6)="",1,$G2703),IF($J2703&gt;0.005,1,0)))</f>
      </c>
      <c r="J2703" s="43">
        <f>IF($I2702=0,0,$R2702)</f>
      </c>
      <c r="K2703" s="43">
        <f>IF($I2703=0,0,IF(INDEX(DarlOhneTilgung,6)=1,0,IF(AND(INDEX(DarlTilgStart,6)&gt;0,$E2703=INDEX(DarlTilgStart,6)),$J2703*($H2703+INDEX(DarlTilgung,6))/100/12,IF(AND($G2703=0,$G2702=1),MAX($K2702,$J2703*($H2703+1)/100/12),$K2702))))</f>
      </c>
      <c r="L2703" s="43">
        <f>IF($I2703=0,0,$J2703*$H2703/100/12)</f>
      </c>
      <c r="M2703" s="43">
        <f>IF($I2703=0,0,IF(OR(INDEX(DarlOhneTilgung,6)=1,AND(INDEX(DarlTilgStart,6)&gt;0,$E2703&lt;INDEX(DarlTilgStart,6))),0,MIN(MAX(0,$K2703-$L2703),$J2703)))</f>
      </c>
      <c r="N2703" s="43">
        <f>IF($I2703=0,0,MIN(SUMIFS(SondBetrag,SondDarl,6,SondDatum,"&gt;="&amp;$E2703,SondDatum,"&lt;="&amp;EOMONTH($E2703,0)),$J2703-$M2703))</f>
      </c>
      <c r="O2703" s="43">
        <f>IF($I2703=0,0,INDEX(DarlErsatzRate,6))</f>
      </c>
      <c r="P2703" s="43">
        <f>IF($I2703=0,0,$Q2702*INDEX(DarlErsatzZins,6))</f>
      </c>
      <c r="Q2703" s="43">
        <f>IF($I2703=0,0,$Q2702+$P2703+$O2703)</f>
      </c>
      <c r="R2703" s="43">
        <f>IF($I2703=0,0,$J2703-$M2703-$N2703)</f>
      </c>
    </row>
    <row r="2704">
      <c r="A2704"/>
      <c r="B2704">
        <v>6</v>
      </c>
      <c r="C2704" s="43">
        <f>INDEX(DarlObj,6)</f>
      </c>
      <c r="D2704">
        <v>301</v>
      </c>
      <c r="E2704" s="51">
        <f>IF(INDEX(DarlBelegt,6)=0,0,EOMONTH(INDEX(DarlAuszahlung,6),300)+1)</f>
      </c>
      <c r="F2704" s="43">
        <f>IF($E2704=0,0,YEAR($E2704))</f>
      </c>
      <c r="G2704" s="43">
        <f>IF(INDEX(DarlBindung,6)="",1,IF($E2704&lt;=INDEX(DarlBindung,6),1,0))</f>
      </c>
      <c r="H2704" s="43">
        <f>IF($G2704=1,INDEX(DarlSollzins,6),INDEX(DarlAnschluss,6))</f>
      </c>
      <c r="I2704" s="43">
        <f>IF(INDEX(DarlBelegt,6)=0,0,IF(INDEX(DarlOhneTilgung,6)=1,IF(INDEX(DarlBindung,6)="",1,$G2704),IF($J2704&gt;0.005,1,0)))</f>
      </c>
      <c r="J2704" s="43">
        <f>IF($I2703=0,0,$R2703)</f>
      </c>
      <c r="K2704" s="43">
        <f>IF($I2704=0,0,IF(INDEX(DarlOhneTilgung,6)=1,0,IF(AND(INDEX(DarlTilgStart,6)&gt;0,$E2704=INDEX(DarlTilgStart,6)),$J2704*($H2704+INDEX(DarlTilgung,6))/100/12,IF(AND($G2704=0,$G2703=1),MAX($K2703,$J2704*($H2704+1)/100/12),$K2703))))</f>
      </c>
      <c r="L2704" s="43">
        <f>IF($I2704=0,0,$J2704*$H2704/100/12)</f>
      </c>
      <c r="M2704" s="43">
        <f>IF($I2704=0,0,IF(OR(INDEX(DarlOhneTilgung,6)=1,AND(INDEX(DarlTilgStart,6)&gt;0,$E2704&lt;INDEX(DarlTilgStart,6))),0,MIN(MAX(0,$K2704-$L2704),$J2704)))</f>
      </c>
      <c r="N2704" s="43">
        <f>IF($I2704=0,0,MIN(SUMIFS(SondBetrag,SondDarl,6,SondDatum,"&gt;="&amp;$E2704,SondDatum,"&lt;="&amp;EOMONTH($E2704,0)),$J2704-$M2704))</f>
      </c>
      <c r="O2704" s="43">
        <f>IF($I2704=0,0,INDEX(DarlErsatzRate,6))</f>
      </c>
      <c r="P2704" s="43">
        <f>IF($I2704=0,0,$Q2703*INDEX(DarlErsatzZins,6))</f>
      </c>
      <c r="Q2704" s="43">
        <f>IF($I2704=0,0,$Q2703+$P2704+$O2704)</f>
      </c>
      <c r="R2704" s="43">
        <f>IF($I2704=0,0,$J2704-$M2704-$N2704)</f>
      </c>
    </row>
    <row r="2705">
      <c r="A2705"/>
      <c r="B2705">
        <v>6</v>
      </c>
      <c r="C2705" s="43">
        <f>INDEX(DarlObj,6)</f>
      </c>
      <c r="D2705">
        <v>302</v>
      </c>
      <c r="E2705" s="51">
        <f>IF(INDEX(DarlBelegt,6)=0,0,EOMONTH(INDEX(DarlAuszahlung,6),301)+1)</f>
      </c>
      <c r="F2705" s="43">
        <f>IF($E2705=0,0,YEAR($E2705))</f>
      </c>
      <c r="G2705" s="43">
        <f>IF(INDEX(DarlBindung,6)="",1,IF($E2705&lt;=INDEX(DarlBindung,6),1,0))</f>
      </c>
      <c r="H2705" s="43">
        <f>IF($G2705=1,INDEX(DarlSollzins,6),INDEX(DarlAnschluss,6))</f>
      </c>
      <c r="I2705" s="43">
        <f>IF(INDEX(DarlBelegt,6)=0,0,IF(INDEX(DarlOhneTilgung,6)=1,IF(INDEX(DarlBindung,6)="",1,$G2705),IF($J2705&gt;0.005,1,0)))</f>
      </c>
      <c r="J2705" s="43">
        <f>IF($I2704=0,0,$R2704)</f>
      </c>
      <c r="K2705" s="43">
        <f>IF($I2705=0,0,IF(INDEX(DarlOhneTilgung,6)=1,0,IF(AND(INDEX(DarlTilgStart,6)&gt;0,$E2705=INDEX(DarlTilgStart,6)),$J2705*($H2705+INDEX(DarlTilgung,6))/100/12,IF(AND($G2705=0,$G2704=1),MAX($K2704,$J2705*($H2705+1)/100/12),$K2704))))</f>
      </c>
      <c r="L2705" s="43">
        <f>IF($I2705=0,0,$J2705*$H2705/100/12)</f>
      </c>
      <c r="M2705" s="43">
        <f>IF($I2705=0,0,IF(OR(INDEX(DarlOhneTilgung,6)=1,AND(INDEX(DarlTilgStart,6)&gt;0,$E2705&lt;INDEX(DarlTilgStart,6))),0,MIN(MAX(0,$K2705-$L2705),$J2705)))</f>
      </c>
      <c r="N2705" s="43">
        <f>IF($I2705=0,0,MIN(SUMIFS(SondBetrag,SondDarl,6,SondDatum,"&gt;="&amp;$E2705,SondDatum,"&lt;="&amp;EOMONTH($E2705,0)),$J2705-$M2705))</f>
      </c>
      <c r="O2705" s="43">
        <f>IF($I2705=0,0,INDEX(DarlErsatzRate,6))</f>
      </c>
      <c r="P2705" s="43">
        <f>IF($I2705=0,0,$Q2704*INDEX(DarlErsatzZins,6))</f>
      </c>
      <c r="Q2705" s="43">
        <f>IF($I2705=0,0,$Q2704+$P2705+$O2705)</f>
      </c>
      <c r="R2705" s="43">
        <f>IF($I2705=0,0,$J2705-$M2705-$N2705)</f>
      </c>
    </row>
    <row r="2706">
      <c r="A2706"/>
      <c r="B2706">
        <v>6</v>
      </c>
      <c r="C2706" s="43">
        <f>INDEX(DarlObj,6)</f>
      </c>
      <c r="D2706">
        <v>303</v>
      </c>
      <c r="E2706" s="51">
        <f>IF(INDEX(DarlBelegt,6)=0,0,EOMONTH(INDEX(DarlAuszahlung,6),302)+1)</f>
      </c>
      <c r="F2706" s="43">
        <f>IF($E2706=0,0,YEAR($E2706))</f>
      </c>
      <c r="G2706" s="43">
        <f>IF(INDEX(DarlBindung,6)="",1,IF($E2706&lt;=INDEX(DarlBindung,6),1,0))</f>
      </c>
      <c r="H2706" s="43">
        <f>IF($G2706=1,INDEX(DarlSollzins,6),INDEX(DarlAnschluss,6))</f>
      </c>
      <c r="I2706" s="43">
        <f>IF(INDEX(DarlBelegt,6)=0,0,IF(INDEX(DarlOhneTilgung,6)=1,IF(INDEX(DarlBindung,6)="",1,$G2706),IF($J2706&gt;0.005,1,0)))</f>
      </c>
      <c r="J2706" s="43">
        <f>IF($I2705=0,0,$R2705)</f>
      </c>
      <c r="K2706" s="43">
        <f>IF($I2706=0,0,IF(INDEX(DarlOhneTilgung,6)=1,0,IF(AND(INDEX(DarlTilgStart,6)&gt;0,$E2706=INDEX(DarlTilgStart,6)),$J2706*($H2706+INDEX(DarlTilgung,6))/100/12,IF(AND($G2706=0,$G2705=1),MAX($K2705,$J2706*($H2706+1)/100/12),$K2705))))</f>
      </c>
      <c r="L2706" s="43">
        <f>IF($I2706=0,0,$J2706*$H2706/100/12)</f>
      </c>
      <c r="M2706" s="43">
        <f>IF($I2706=0,0,IF(OR(INDEX(DarlOhneTilgung,6)=1,AND(INDEX(DarlTilgStart,6)&gt;0,$E2706&lt;INDEX(DarlTilgStart,6))),0,MIN(MAX(0,$K2706-$L2706),$J2706)))</f>
      </c>
      <c r="N2706" s="43">
        <f>IF($I2706=0,0,MIN(SUMIFS(SondBetrag,SondDarl,6,SondDatum,"&gt;="&amp;$E2706,SondDatum,"&lt;="&amp;EOMONTH($E2706,0)),$J2706-$M2706))</f>
      </c>
      <c r="O2706" s="43">
        <f>IF($I2706=0,0,INDEX(DarlErsatzRate,6))</f>
      </c>
      <c r="P2706" s="43">
        <f>IF($I2706=0,0,$Q2705*INDEX(DarlErsatzZins,6))</f>
      </c>
      <c r="Q2706" s="43">
        <f>IF($I2706=0,0,$Q2705+$P2706+$O2706)</f>
      </c>
      <c r="R2706" s="43">
        <f>IF($I2706=0,0,$J2706-$M2706-$N2706)</f>
      </c>
    </row>
    <row r="2707">
      <c r="A2707"/>
      <c r="B2707">
        <v>6</v>
      </c>
      <c r="C2707" s="43">
        <f>INDEX(DarlObj,6)</f>
      </c>
      <c r="D2707">
        <v>304</v>
      </c>
      <c r="E2707" s="51">
        <f>IF(INDEX(DarlBelegt,6)=0,0,EOMONTH(INDEX(DarlAuszahlung,6),303)+1)</f>
      </c>
      <c r="F2707" s="43">
        <f>IF($E2707=0,0,YEAR($E2707))</f>
      </c>
      <c r="G2707" s="43">
        <f>IF(INDEX(DarlBindung,6)="",1,IF($E2707&lt;=INDEX(DarlBindung,6),1,0))</f>
      </c>
      <c r="H2707" s="43">
        <f>IF($G2707=1,INDEX(DarlSollzins,6),INDEX(DarlAnschluss,6))</f>
      </c>
      <c r="I2707" s="43">
        <f>IF(INDEX(DarlBelegt,6)=0,0,IF(INDEX(DarlOhneTilgung,6)=1,IF(INDEX(DarlBindung,6)="",1,$G2707),IF($J2707&gt;0.005,1,0)))</f>
      </c>
      <c r="J2707" s="43">
        <f>IF($I2706=0,0,$R2706)</f>
      </c>
      <c r="K2707" s="43">
        <f>IF($I2707=0,0,IF(INDEX(DarlOhneTilgung,6)=1,0,IF(AND(INDEX(DarlTilgStart,6)&gt;0,$E2707=INDEX(DarlTilgStart,6)),$J2707*($H2707+INDEX(DarlTilgung,6))/100/12,IF(AND($G2707=0,$G2706=1),MAX($K2706,$J2707*($H2707+1)/100/12),$K2706))))</f>
      </c>
      <c r="L2707" s="43">
        <f>IF($I2707=0,0,$J2707*$H2707/100/12)</f>
      </c>
      <c r="M2707" s="43">
        <f>IF($I2707=0,0,IF(OR(INDEX(DarlOhneTilgung,6)=1,AND(INDEX(DarlTilgStart,6)&gt;0,$E2707&lt;INDEX(DarlTilgStart,6))),0,MIN(MAX(0,$K2707-$L2707),$J2707)))</f>
      </c>
      <c r="N2707" s="43">
        <f>IF($I2707=0,0,MIN(SUMIFS(SondBetrag,SondDarl,6,SondDatum,"&gt;="&amp;$E2707,SondDatum,"&lt;="&amp;EOMONTH($E2707,0)),$J2707-$M2707))</f>
      </c>
      <c r="O2707" s="43">
        <f>IF($I2707=0,0,INDEX(DarlErsatzRate,6))</f>
      </c>
      <c r="P2707" s="43">
        <f>IF($I2707=0,0,$Q2706*INDEX(DarlErsatzZins,6))</f>
      </c>
      <c r="Q2707" s="43">
        <f>IF($I2707=0,0,$Q2706+$P2707+$O2707)</f>
      </c>
      <c r="R2707" s="43">
        <f>IF($I2707=0,0,$J2707-$M2707-$N2707)</f>
      </c>
    </row>
    <row r="2708">
      <c r="A2708"/>
      <c r="B2708">
        <v>6</v>
      </c>
      <c r="C2708" s="43">
        <f>INDEX(DarlObj,6)</f>
      </c>
      <c r="D2708">
        <v>305</v>
      </c>
      <c r="E2708" s="51">
        <f>IF(INDEX(DarlBelegt,6)=0,0,EOMONTH(INDEX(DarlAuszahlung,6),304)+1)</f>
      </c>
      <c r="F2708" s="43">
        <f>IF($E2708=0,0,YEAR($E2708))</f>
      </c>
      <c r="G2708" s="43">
        <f>IF(INDEX(DarlBindung,6)="",1,IF($E2708&lt;=INDEX(DarlBindung,6),1,0))</f>
      </c>
      <c r="H2708" s="43">
        <f>IF($G2708=1,INDEX(DarlSollzins,6),INDEX(DarlAnschluss,6))</f>
      </c>
      <c r="I2708" s="43">
        <f>IF(INDEX(DarlBelegt,6)=0,0,IF(INDEX(DarlOhneTilgung,6)=1,IF(INDEX(DarlBindung,6)="",1,$G2708),IF($J2708&gt;0.005,1,0)))</f>
      </c>
      <c r="J2708" s="43">
        <f>IF($I2707=0,0,$R2707)</f>
      </c>
      <c r="K2708" s="43">
        <f>IF($I2708=0,0,IF(INDEX(DarlOhneTilgung,6)=1,0,IF(AND(INDEX(DarlTilgStart,6)&gt;0,$E2708=INDEX(DarlTilgStart,6)),$J2708*($H2708+INDEX(DarlTilgung,6))/100/12,IF(AND($G2708=0,$G2707=1),MAX($K2707,$J2708*($H2708+1)/100/12),$K2707))))</f>
      </c>
      <c r="L2708" s="43">
        <f>IF($I2708=0,0,$J2708*$H2708/100/12)</f>
      </c>
      <c r="M2708" s="43">
        <f>IF($I2708=0,0,IF(OR(INDEX(DarlOhneTilgung,6)=1,AND(INDEX(DarlTilgStart,6)&gt;0,$E2708&lt;INDEX(DarlTilgStart,6))),0,MIN(MAX(0,$K2708-$L2708),$J2708)))</f>
      </c>
      <c r="N2708" s="43">
        <f>IF($I2708=0,0,MIN(SUMIFS(SondBetrag,SondDarl,6,SondDatum,"&gt;="&amp;$E2708,SondDatum,"&lt;="&amp;EOMONTH($E2708,0)),$J2708-$M2708))</f>
      </c>
      <c r="O2708" s="43">
        <f>IF($I2708=0,0,INDEX(DarlErsatzRate,6))</f>
      </c>
      <c r="P2708" s="43">
        <f>IF($I2708=0,0,$Q2707*INDEX(DarlErsatzZins,6))</f>
      </c>
      <c r="Q2708" s="43">
        <f>IF($I2708=0,0,$Q2707+$P2708+$O2708)</f>
      </c>
      <c r="R2708" s="43">
        <f>IF($I2708=0,0,$J2708-$M2708-$N2708)</f>
      </c>
    </row>
    <row r="2709">
      <c r="A2709"/>
      <c r="B2709">
        <v>6</v>
      </c>
      <c r="C2709" s="43">
        <f>INDEX(DarlObj,6)</f>
      </c>
      <c r="D2709">
        <v>306</v>
      </c>
      <c r="E2709" s="51">
        <f>IF(INDEX(DarlBelegt,6)=0,0,EOMONTH(INDEX(DarlAuszahlung,6),305)+1)</f>
      </c>
      <c r="F2709" s="43">
        <f>IF($E2709=0,0,YEAR($E2709))</f>
      </c>
      <c r="G2709" s="43">
        <f>IF(INDEX(DarlBindung,6)="",1,IF($E2709&lt;=INDEX(DarlBindung,6),1,0))</f>
      </c>
      <c r="H2709" s="43">
        <f>IF($G2709=1,INDEX(DarlSollzins,6),INDEX(DarlAnschluss,6))</f>
      </c>
      <c r="I2709" s="43">
        <f>IF(INDEX(DarlBelegt,6)=0,0,IF(INDEX(DarlOhneTilgung,6)=1,IF(INDEX(DarlBindung,6)="",1,$G2709),IF($J2709&gt;0.005,1,0)))</f>
      </c>
      <c r="J2709" s="43">
        <f>IF($I2708=0,0,$R2708)</f>
      </c>
      <c r="K2709" s="43">
        <f>IF($I2709=0,0,IF(INDEX(DarlOhneTilgung,6)=1,0,IF(AND(INDEX(DarlTilgStart,6)&gt;0,$E2709=INDEX(DarlTilgStart,6)),$J2709*($H2709+INDEX(DarlTilgung,6))/100/12,IF(AND($G2709=0,$G2708=1),MAX($K2708,$J2709*($H2709+1)/100/12),$K2708))))</f>
      </c>
      <c r="L2709" s="43">
        <f>IF($I2709=0,0,$J2709*$H2709/100/12)</f>
      </c>
      <c r="M2709" s="43">
        <f>IF($I2709=0,0,IF(OR(INDEX(DarlOhneTilgung,6)=1,AND(INDEX(DarlTilgStart,6)&gt;0,$E2709&lt;INDEX(DarlTilgStart,6))),0,MIN(MAX(0,$K2709-$L2709),$J2709)))</f>
      </c>
      <c r="N2709" s="43">
        <f>IF($I2709=0,0,MIN(SUMIFS(SondBetrag,SondDarl,6,SondDatum,"&gt;="&amp;$E2709,SondDatum,"&lt;="&amp;EOMONTH($E2709,0)),$J2709-$M2709))</f>
      </c>
      <c r="O2709" s="43">
        <f>IF($I2709=0,0,INDEX(DarlErsatzRate,6))</f>
      </c>
      <c r="P2709" s="43">
        <f>IF($I2709=0,0,$Q2708*INDEX(DarlErsatzZins,6))</f>
      </c>
      <c r="Q2709" s="43">
        <f>IF($I2709=0,0,$Q2708+$P2709+$O2709)</f>
      </c>
      <c r="R2709" s="43">
        <f>IF($I2709=0,0,$J2709-$M2709-$N2709)</f>
      </c>
    </row>
    <row r="2710">
      <c r="A2710"/>
      <c r="B2710">
        <v>6</v>
      </c>
      <c r="C2710" s="43">
        <f>INDEX(DarlObj,6)</f>
      </c>
      <c r="D2710">
        <v>307</v>
      </c>
      <c r="E2710" s="51">
        <f>IF(INDEX(DarlBelegt,6)=0,0,EOMONTH(INDEX(DarlAuszahlung,6),306)+1)</f>
      </c>
      <c r="F2710" s="43">
        <f>IF($E2710=0,0,YEAR($E2710))</f>
      </c>
      <c r="G2710" s="43">
        <f>IF(INDEX(DarlBindung,6)="",1,IF($E2710&lt;=INDEX(DarlBindung,6),1,0))</f>
      </c>
      <c r="H2710" s="43">
        <f>IF($G2710=1,INDEX(DarlSollzins,6),INDEX(DarlAnschluss,6))</f>
      </c>
      <c r="I2710" s="43">
        <f>IF(INDEX(DarlBelegt,6)=0,0,IF(INDEX(DarlOhneTilgung,6)=1,IF(INDEX(DarlBindung,6)="",1,$G2710),IF($J2710&gt;0.005,1,0)))</f>
      </c>
      <c r="J2710" s="43">
        <f>IF($I2709=0,0,$R2709)</f>
      </c>
      <c r="K2710" s="43">
        <f>IF($I2710=0,0,IF(INDEX(DarlOhneTilgung,6)=1,0,IF(AND(INDEX(DarlTilgStart,6)&gt;0,$E2710=INDEX(DarlTilgStart,6)),$J2710*($H2710+INDEX(DarlTilgung,6))/100/12,IF(AND($G2710=0,$G2709=1),MAX($K2709,$J2710*($H2710+1)/100/12),$K2709))))</f>
      </c>
      <c r="L2710" s="43">
        <f>IF($I2710=0,0,$J2710*$H2710/100/12)</f>
      </c>
      <c r="M2710" s="43">
        <f>IF($I2710=0,0,IF(OR(INDEX(DarlOhneTilgung,6)=1,AND(INDEX(DarlTilgStart,6)&gt;0,$E2710&lt;INDEX(DarlTilgStart,6))),0,MIN(MAX(0,$K2710-$L2710),$J2710)))</f>
      </c>
      <c r="N2710" s="43">
        <f>IF($I2710=0,0,MIN(SUMIFS(SondBetrag,SondDarl,6,SondDatum,"&gt;="&amp;$E2710,SondDatum,"&lt;="&amp;EOMONTH($E2710,0)),$J2710-$M2710))</f>
      </c>
      <c r="O2710" s="43">
        <f>IF($I2710=0,0,INDEX(DarlErsatzRate,6))</f>
      </c>
      <c r="P2710" s="43">
        <f>IF($I2710=0,0,$Q2709*INDEX(DarlErsatzZins,6))</f>
      </c>
      <c r="Q2710" s="43">
        <f>IF($I2710=0,0,$Q2709+$P2710+$O2710)</f>
      </c>
      <c r="R2710" s="43">
        <f>IF($I2710=0,0,$J2710-$M2710-$N2710)</f>
      </c>
    </row>
    <row r="2711">
      <c r="A2711"/>
      <c r="B2711">
        <v>6</v>
      </c>
      <c r="C2711" s="43">
        <f>INDEX(DarlObj,6)</f>
      </c>
      <c r="D2711">
        <v>308</v>
      </c>
      <c r="E2711" s="51">
        <f>IF(INDEX(DarlBelegt,6)=0,0,EOMONTH(INDEX(DarlAuszahlung,6),307)+1)</f>
      </c>
      <c r="F2711" s="43">
        <f>IF($E2711=0,0,YEAR($E2711))</f>
      </c>
      <c r="G2711" s="43">
        <f>IF(INDEX(DarlBindung,6)="",1,IF($E2711&lt;=INDEX(DarlBindung,6),1,0))</f>
      </c>
      <c r="H2711" s="43">
        <f>IF($G2711=1,INDEX(DarlSollzins,6),INDEX(DarlAnschluss,6))</f>
      </c>
      <c r="I2711" s="43">
        <f>IF(INDEX(DarlBelegt,6)=0,0,IF(INDEX(DarlOhneTilgung,6)=1,IF(INDEX(DarlBindung,6)="",1,$G2711),IF($J2711&gt;0.005,1,0)))</f>
      </c>
      <c r="J2711" s="43">
        <f>IF($I2710=0,0,$R2710)</f>
      </c>
      <c r="K2711" s="43">
        <f>IF($I2711=0,0,IF(INDEX(DarlOhneTilgung,6)=1,0,IF(AND(INDEX(DarlTilgStart,6)&gt;0,$E2711=INDEX(DarlTilgStart,6)),$J2711*($H2711+INDEX(DarlTilgung,6))/100/12,IF(AND($G2711=0,$G2710=1),MAX($K2710,$J2711*($H2711+1)/100/12),$K2710))))</f>
      </c>
      <c r="L2711" s="43">
        <f>IF($I2711=0,0,$J2711*$H2711/100/12)</f>
      </c>
      <c r="M2711" s="43">
        <f>IF($I2711=0,0,IF(OR(INDEX(DarlOhneTilgung,6)=1,AND(INDEX(DarlTilgStart,6)&gt;0,$E2711&lt;INDEX(DarlTilgStart,6))),0,MIN(MAX(0,$K2711-$L2711),$J2711)))</f>
      </c>
      <c r="N2711" s="43">
        <f>IF($I2711=0,0,MIN(SUMIFS(SondBetrag,SondDarl,6,SondDatum,"&gt;="&amp;$E2711,SondDatum,"&lt;="&amp;EOMONTH($E2711,0)),$J2711-$M2711))</f>
      </c>
      <c r="O2711" s="43">
        <f>IF($I2711=0,0,INDEX(DarlErsatzRate,6))</f>
      </c>
      <c r="P2711" s="43">
        <f>IF($I2711=0,0,$Q2710*INDEX(DarlErsatzZins,6))</f>
      </c>
      <c r="Q2711" s="43">
        <f>IF($I2711=0,0,$Q2710+$P2711+$O2711)</f>
      </c>
      <c r="R2711" s="43">
        <f>IF($I2711=0,0,$J2711-$M2711-$N2711)</f>
      </c>
    </row>
    <row r="2712">
      <c r="A2712"/>
      <c r="B2712">
        <v>6</v>
      </c>
      <c r="C2712" s="43">
        <f>INDEX(DarlObj,6)</f>
      </c>
      <c r="D2712">
        <v>309</v>
      </c>
      <c r="E2712" s="51">
        <f>IF(INDEX(DarlBelegt,6)=0,0,EOMONTH(INDEX(DarlAuszahlung,6),308)+1)</f>
      </c>
      <c r="F2712" s="43">
        <f>IF($E2712=0,0,YEAR($E2712))</f>
      </c>
      <c r="G2712" s="43">
        <f>IF(INDEX(DarlBindung,6)="",1,IF($E2712&lt;=INDEX(DarlBindung,6),1,0))</f>
      </c>
      <c r="H2712" s="43">
        <f>IF($G2712=1,INDEX(DarlSollzins,6),INDEX(DarlAnschluss,6))</f>
      </c>
      <c r="I2712" s="43">
        <f>IF(INDEX(DarlBelegt,6)=0,0,IF(INDEX(DarlOhneTilgung,6)=1,IF(INDEX(DarlBindung,6)="",1,$G2712),IF($J2712&gt;0.005,1,0)))</f>
      </c>
      <c r="J2712" s="43">
        <f>IF($I2711=0,0,$R2711)</f>
      </c>
      <c r="K2712" s="43">
        <f>IF($I2712=0,0,IF(INDEX(DarlOhneTilgung,6)=1,0,IF(AND(INDEX(DarlTilgStart,6)&gt;0,$E2712=INDEX(DarlTilgStart,6)),$J2712*($H2712+INDEX(DarlTilgung,6))/100/12,IF(AND($G2712=0,$G2711=1),MAX($K2711,$J2712*($H2712+1)/100/12),$K2711))))</f>
      </c>
      <c r="L2712" s="43">
        <f>IF($I2712=0,0,$J2712*$H2712/100/12)</f>
      </c>
      <c r="M2712" s="43">
        <f>IF($I2712=0,0,IF(OR(INDEX(DarlOhneTilgung,6)=1,AND(INDEX(DarlTilgStart,6)&gt;0,$E2712&lt;INDEX(DarlTilgStart,6))),0,MIN(MAX(0,$K2712-$L2712),$J2712)))</f>
      </c>
      <c r="N2712" s="43">
        <f>IF($I2712=0,0,MIN(SUMIFS(SondBetrag,SondDarl,6,SondDatum,"&gt;="&amp;$E2712,SondDatum,"&lt;="&amp;EOMONTH($E2712,0)),$J2712-$M2712))</f>
      </c>
      <c r="O2712" s="43">
        <f>IF($I2712=0,0,INDEX(DarlErsatzRate,6))</f>
      </c>
      <c r="P2712" s="43">
        <f>IF($I2712=0,0,$Q2711*INDEX(DarlErsatzZins,6))</f>
      </c>
      <c r="Q2712" s="43">
        <f>IF($I2712=0,0,$Q2711+$P2712+$O2712)</f>
      </c>
      <c r="R2712" s="43">
        <f>IF($I2712=0,0,$J2712-$M2712-$N2712)</f>
      </c>
    </row>
    <row r="2713">
      <c r="A2713"/>
      <c r="B2713">
        <v>6</v>
      </c>
      <c r="C2713" s="43">
        <f>INDEX(DarlObj,6)</f>
      </c>
      <c r="D2713">
        <v>310</v>
      </c>
      <c r="E2713" s="51">
        <f>IF(INDEX(DarlBelegt,6)=0,0,EOMONTH(INDEX(DarlAuszahlung,6),309)+1)</f>
      </c>
      <c r="F2713" s="43">
        <f>IF($E2713=0,0,YEAR($E2713))</f>
      </c>
      <c r="G2713" s="43">
        <f>IF(INDEX(DarlBindung,6)="",1,IF($E2713&lt;=INDEX(DarlBindung,6),1,0))</f>
      </c>
      <c r="H2713" s="43">
        <f>IF($G2713=1,INDEX(DarlSollzins,6),INDEX(DarlAnschluss,6))</f>
      </c>
      <c r="I2713" s="43">
        <f>IF(INDEX(DarlBelegt,6)=0,0,IF(INDEX(DarlOhneTilgung,6)=1,IF(INDEX(DarlBindung,6)="",1,$G2713),IF($J2713&gt;0.005,1,0)))</f>
      </c>
      <c r="J2713" s="43">
        <f>IF($I2712=0,0,$R2712)</f>
      </c>
      <c r="K2713" s="43">
        <f>IF($I2713=0,0,IF(INDEX(DarlOhneTilgung,6)=1,0,IF(AND(INDEX(DarlTilgStart,6)&gt;0,$E2713=INDEX(DarlTilgStart,6)),$J2713*($H2713+INDEX(DarlTilgung,6))/100/12,IF(AND($G2713=0,$G2712=1),MAX($K2712,$J2713*($H2713+1)/100/12),$K2712))))</f>
      </c>
      <c r="L2713" s="43">
        <f>IF($I2713=0,0,$J2713*$H2713/100/12)</f>
      </c>
      <c r="M2713" s="43">
        <f>IF($I2713=0,0,IF(OR(INDEX(DarlOhneTilgung,6)=1,AND(INDEX(DarlTilgStart,6)&gt;0,$E2713&lt;INDEX(DarlTilgStart,6))),0,MIN(MAX(0,$K2713-$L2713),$J2713)))</f>
      </c>
      <c r="N2713" s="43">
        <f>IF($I2713=0,0,MIN(SUMIFS(SondBetrag,SondDarl,6,SondDatum,"&gt;="&amp;$E2713,SondDatum,"&lt;="&amp;EOMONTH($E2713,0)),$J2713-$M2713))</f>
      </c>
      <c r="O2713" s="43">
        <f>IF($I2713=0,0,INDEX(DarlErsatzRate,6))</f>
      </c>
      <c r="P2713" s="43">
        <f>IF($I2713=0,0,$Q2712*INDEX(DarlErsatzZins,6))</f>
      </c>
      <c r="Q2713" s="43">
        <f>IF($I2713=0,0,$Q2712+$P2713+$O2713)</f>
      </c>
      <c r="R2713" s="43">
        <f>IF($I2713=0,0,$J2713-$M2713-$N2713)</f>
      </c>
    </row>
    <row r="2714">
      <c r="A2714"/>
      <c r="B2714">
        <v>6</v>
      </c>
      <c r="C2714" s="43">
        <f>INDEX(DarlObj,6)</f>
      </c>
      <c r="D2714">
        <v>311</v>
      </c>
      <c r="E2714" s="51">
        <f>IF(INDEX(DarlBelegt,6)=0,0,EOMONTH(INDEX(DarlAuszahlung,6),310)+1)</f>
      </c>
      <c r="F2714" s="43">
        <f>IF($E2714=0,0,YEAR($E2714))</f>
      </c>
      <c r="G2714" s="43">
        <f>IF(INDEX(DarlBindung,6)="",1,IF($E2714&lt;=INDEX(DarlBindung,6),1,0))</f>
      </c>
      <c r="H2714" s="43">
        <f>IF($G2714=1,INDEX(DarlSollzins,6),INDEX(DarlAnschluss,6))</f>
      </c>
      <c r="I2714" s="43">
        <f>IF(INDEX(DarlBelegt,6)=0,0,IF(INDEX(DarlOhneTilgung,6)=1,IF(INDEX(DarlBindung,6)="",1,$G2714),IF($J2714&gt;0.005,1,0)))</f>
      </c>
      <c r="J2714" s="43">
        <f>IF($I2713=0,0,$R2713)</f>
      </c>
      <c r="K2714" s="43">
        <f>IF($I2714=0,0,IF(INDEX(DarlOhneTilgung,6)=1,0,IF(AND(INDEX(DarlTilgStart,6)&gt;0,$E2714=INDEX(DarlTilgStart,6)),$J2714*($H2714+INDEX(DarlTilgung,6))/100/12,IF(AND($G2714=0,$G2713=1),MAX($K2713,$J2714*($H2714+1)/100/12),$K2713))))</f>
      </c>
      <c r="L2714" s="43">
        <f>IF($I2714=0,0,$J2714*$H2714/100/12)</f>
      </c>
      <c r="M2714" s="43">
        <f>IF($I2714=0,0,IF(OR(INDEX(DarlOhneTilgung,6)=1,AND(INDEX(DarlTilgStart,6)&gt;0,$E2714&lt;INDEX(DarlTilgStart,6))),0,MIN(MAX(0,$K2714-$L2714),$J2714)))</f>
      </c>
      <c r="N2714" s="43">
        <f>IF($I2714=0,0,MIN(SUMIFS(SondBetrag,SondDarl,6,SondDatum,"&gt;="&amp;$E2714,SondDatum,"&lt;="&amp;EOMONTH($E2714,0)),$J2714-$M2714))</f>
      </c>
      <c r="O2714" s="43">
        <f>IF($I2714=0,0,INDEX(DarlErsatzRate,6))</f>
      </c>
      <c r="P2714" s="43">
        <f>IF($I2714=0,0,$Q2713*INDEX(DarlErsatzZins,6))</f>
      </c>
      <c r="Q2714" s="43">
        <f>IF($I2714=0,0,$Q2713+$P2714+$O2714)</f>
      </c>
      <c r="R2714" s="43">
        <f>IF($I2714=0,0,$J2714-$M2714-$N2714)</f>
      </c>
    </row>
    <row r="2715">
      <c r="A2715"/>
      <c r="B2715">
        <v>6</v>
      </c>
      <c r="C2715" s="43">
        <f>INDEX(DarlObj,6)</f>
      </c>
      <c r="D2715">
        <v>312</v>
      </c>
      <c r="E2715" s="51">
        <f>IF(INDEX(DarlBelegt,6)=0,0,EOMONTH(INDEX(DarlAuszahlung,6),311)+1)</f>
      </c>
      <c r="F2715" s="43">
        <f>IF($E2715=0,0,YEAR($E2715))</f>
      </c>
      <c r="G2715" s="43">
        <f>IF(INDEX(DarlBindung,6)="",1,IF($E2715&lt;=INDEX(DarlBindung,6),1,0))</f>
      </c>
      <c r="H2715" s="43">
        <f>IF($G2715=1,INDEX(DarlSollzins,6),INDEX(DarlAnschluss,6))</f>
      </c>
      <c r="I2715" s="43">
        <f>IF(INDEX(DarlBelegt,6)=0,0,IF(INDEX(DarlOhneTilgung,6)=1,IF(INDEX(DarlBindung,6)="",1,$G2715),IF($J2715&gt;0.005,1,0)))</f>
      </c>
      <c r="J2715" s="43">
        <f>IF($I2714=0,0,$R2714)</f>
      </c>
      <c r="K2715" s="43">
        <f>IF($I2715=0,0,IF(INDEX(DarlOhneTilgung,6)=1,0,IF(AND(INDEX(DarlTilgStart,6)&gt;0,$E2715=INDEX(DarlTilgStart,6)),$J2715*($H2715+INDEX(DarlTilgung,6))/100/12,IF(AND($G2715=0,$G2714=1),MAX($K2714,$J2715*($H2715+1)/100/12),$K2714))))</f>
      </c>
      <c r="L2715" s="43">
        <f>IF($I2715=0,0,$J2715*$H2715/100/12)</f>
      </c>
      <c r="M2715" s="43">
        <f>IF($I2715=0,0,IF(OR(INDEX(DarlOhneTilgung,6)=1,AND(INDEX(DarlTilgStart,6)&gt;0,$E2715&lt;INDEX(DarlTilgStart,6))),0,MIN(MAX(0,$K2715-$L2715),$J2715)))</f>
      </c>
      <c r="N2715" s="43">
        <f>IF($I2715=0,0,MIN(SUMIFS(SondBetrag,SondDarl,6,SondDatum,"&gt;="&amp;$E2715,SondDatum,"&lt;="&amp;EOMONTH($E2715,0)),$J2715-$M2715))</f>
      </c>
      <c r="O2715" s="43">
        <f>IF($I2715=0,0,INDEX(DarlErsatzRate,6))</f>
      </c>
      <c r="P2715" s="43">
        <f>IF($I2715=0,0,$Q2714*INDEX(DarlErsatzZins,6))</f>
      </c>
      <c r="Q2715" s="43">
        <f>IF($I2715=0,0,$Q2714+$P2715+$O2715)</f>
      </c>
      <c r="R2715" s="43">
        <f>IF($I2715=0,0,$J2715-$M2715-$N2715)</f>
      </c>
    </row>
    <row r="2716">
      <c r="A2716"/>
      <c r="B2716">
        <v>6</v>
      </c>
      <c r="C2716" s="43">
        <f>INDEX(DarlObj,6)</f>
      </c>
      <c r="D2716">
        <v>313</v>
      </c>
      <c r="E2716" s="51">
        <f>IF(INDEX(DarlBelegt,6)=0,0,EOMONTH(INDEX(DarlAuszahlung,6),312)+1)</f>
      </c>
      <c r="F2716" s="43">
        <f>IF($E2716=0,0,YEAR($E2716))</f>
      </c>
      <c r="G2716" s="43">
        <f>IF(INDEX(DarlBindung,6)="",1,IF($E2716&lt;=INDEX(DarlBindung,6),1,0))</f>
      </c>
      <c r="H2716" s="43">
        <f>IF($G2716=1,INDEX(DarlSollzins,6),INDEX(DarlAnschluss,6))</f>
      </c>
      <c r="I2716" s="43">
        <f>IF(INDEX(DarlBelegt,6)=0,0,IF(INDEX(DarlOhneTilgung,6)=1,IF(INDEX(DarlBindung,6)="",1,$G2716),IF($J2716&gt;0.005,1,0)))</f>
      </c>
      <c r="J2716" s="43">
        <f>IF($I2715=0,0,$R2715)</f>
      </c>
      <c r="K2716" s="43">
        <f>IF($I2716=0,0,IF(INDEX(DarlOhneTilgung,6)=1,0,IF(AND(INDEX(DarlTilgStart,6)&gt;0,$E2716=INDEX(DarlTilgStart,6)),$J2716*($H2716+INDEX(DarlTilgung,6))/100/12,IF(AND($G2716=0,$G2715=1),MAX($K2715,$J2716*($H2716+1)/100/12),$K2715))))</f>
      </c>
      <c r="L2716" s="43">
        <f>IF($I2716=0,0,$J2716*$H2716/100/12)</f>
      </c>
      <c r="M2716" s="43">
        <f>IF($I2716=0,0,IF(OR(INDEX(DarlOhneTilgung,6)=1,AND(INDEX(DarlTilgStart,6)&gt;0,$E2716&lt;INDEX(DarlTilgStart,6))),0,MIN(MAX(0,$K2716-$L2716),$J2716)))</f>
      </c>
      <c r="N2716" s="43">
        <f>IF($I2716=0,0,MIN(SUMIFS(SondBetrag,SondDarl,6,SondDatum,"&gt;="&amp;$E2716,SondDatum,"&lt;="&amp;EOMONTH($E2716,0)),$J2716-$M2716))</f>
      </c>
      <c r="O2716" s="43">
        <f>IF($I2716=0,0,INDEX(DarlErsatzRate,6))</f>
      </c>
      <c r="P2716" s="43">
        <f>IF($I2716=0,0,$Q2715*INDEX(DarlErsatzZins,6))</f>
      </c>
      <c r="Q2716" s="43">
        <f>IF($I2716=0,0,$Q2715+$P2716+$O2716)</f>
      </c>
      <c r="R2716" s="43">
        <f>IF($I2716=0,0,$J2716-$M2716-$N2716)</f>
      </c>
    </row>
    <row r="2717">
      <c r="A2717"/>
      <c r="B2717">
        <v>6</v>
      </c>
      <c r="C2717" s="43">
        <f>INDEX(DarlObj,6)</f>
      </c>
      <c r="D2717">
        <v>314</v>
      </c>
      <c r="E2717" s="51">
        <f>IF(INDEX(DarlBelegt,6)=0,0,EOMONTH(INDEX(DarlAuszahlung,6),313)+1)</f>
      </c>
      <c r="F2717" s="43">
        <f>IF($E2717=0,0,YEAR($E2717))</f>
      </c>
      <c r="G2717" s="43">
        <f>IF(INDEX(DarlBindung,6)="",1,IF($E2717&lt;=INDEX(DarlBindung,6),1,0))</f>
      </c>
      <c r="H2717" s="43">
        <f>IF($G2717=1,INDEX(DarlSollzins,6),INDEX(DarlAnschluss,6))</f>
      </c>
      <c r="I2717" s="43">
        <f>IF(INDEX(DarlBelegt,6)=0,0,IF(INDEX(DarlOhneTilgung,6)=1,IF(INDEX(DarlBindung,6)="",1,$G2717),IF($J2717&gt;0.005,1,0)))</f>
      </c>
      <c r="J2717" s="43">
        <f>IF($I2716=0,0,$R2716)</f>
      </c>
      <c r="K2717" s="43">
        <f>IF($I2717=0,0,IF(INDEX(DarlOhneTilgung,6)=1,0,IF(AND(INDEX(DarlTilgStart,6)&gt;0,$E2717=INDEX(DarlTilgStart,6)),$J2717*($H2717+INDEX(DarlTilgung,6))/100/12,IF(AND($G2717=0,$G2716=1),MAX($K2716,$J2717*($H2717+1)/100/12),$K2716))))</f>
      </c>
      <c r="L2717" s="43">
        <f>IF($I2717=0,0,$J2717*$H2717/100/12)</f>
      </c>
      <c r="M2717" s="43">
        <f>IF($I2717=0,0,IF(OR(INDEX(DarlOhneTilgung,6)=1,AND(INDEX(DarlTilgStart,6)&gt;0,$E2717&lt;INDEX(DarlTilgStart,6))),0,MIN(MAX(0,$K2717-$L2717),$J2717)))</f>
      </c>
      <c r="N2717" s="43">
        <f>IF($I2717=0,0,MIN(SUMIFS(SondBetrag,SondDarl,6,SondDatum,"&gt;="&amp;$E2717,SondDatum,"&lt;="&amp;EOMONTH($E2717,0)),$J2717-$M2717))</f>
      </c>
      <c r="O2717" s="43">
        <f>IF($I2717=0,0,INDEX(DarlErsatzRate,6))</f>
      </c>
      <c r="P2717" s="43">
        <f>IF($I2717=0,0,$Q2716*INDEX(DarlErsatzZins,6))</f>
      </c>
      <c r="Q2717" s="43">
        <f>IF($I2717=0,0,$Q2716+$P2717+$O2717)</f>
      </c>
      <c r="R2717" s="43">
        <f>IF($I2717=0,0,$J2717-$M2717-$N2717)</f>
      </c>
    </row>
    <row r="2718">
      <c r="A2718"/>
      <c r="B2718">
        <v>6</v>
      </c>
      <c r="C2718" s="43">
        <f>INDEX(DarlObj,6)</f>
      </c>
      <c r="D2718">
        <v>315</v>
      </c>
      <c r="E2718" s="51">
        <f>IF(INDEX(DarlBelegt,6)=0,0,EOMONTH(INDEX(DarlAuszahlung,6),314)+1)</f>
      </c>
      <c r="F2718" s="43">
        <f>IF($E2718=0,0,YEAR($E2718))</f>
      </c>
      <c r="G2718" s="43">
        <f>IF(INDEX(DarlBindung,6)="",1,IF($E2718&lt;=INDEX(DarlBindung,6),1,0))</f>
      </c>
      <c r="H2718" s="43">
        <f>IF($G2718=1,INDEX(DarlSollzins,6),INDEX(DarlAnschluss,6))</f>
      </c>
      <c r="I2718" s="43">
        <f>IF(INDEX(DarlBelegt,6)=0,0,IF(INDEX(DarlOhneTilgung,6)=1,IF(INDEX(DarlBindung,6)="",1,$G2718),IF($J2718&gt;0.005,1,0)))</f>
      </c>
      <c r="J2718" s="43">
        <f>IF($I2717=0,0,$R2717)</f>
      </c>
      <c r="K2718" s="43">
        <f>IF($I2718=0,0,IF(INDEX(DarlOhneTilgung,6)=1,0,IF(AND(INDEX(DarlTilgStart,6)&gt;0,$E2718=INDEX(DarlTilgStart,6)),$J2718*($H2718+INDEX(DarlTilgung,6))/100/12,IF(AND($G2718=0,$G2717=1),MAX($K2717,$J2718*($H2718+1)/100/12),$K2717))))</f>
      </c>
      <c r="L2718" s="43">
        <f>IF($I2718=0,0,$J2718*$H2718/100/12)</f>
      </c>
      <c r="M2718" s="43">
        <f>IF($I2718=0,0,IF(OR(INDEX(DarlOhneTilgung,6)=1,AND(INDEX(DarlTilgStart,6)&gt;0,$E2718&lt;INDEX(DarlTilgStart,6))),0,MIN(MAX(0,$K2718-$L2718),$J2718)))</f>
      </c>
      <c r="N2718" s="43">
        <f>IF($I2718=0,0,MIN(SUMIFS(SondBetrag,SondDarl,6,SondDatum,"&gt;="&amp;$E2718,SondDatum,"&lt;="&amp;EOMONTH($E2718,0)),$J2718-$M2718))</f>
      </c>
      <c r="O2718" s="43">
        <f>IF($I2718=0,0,INDEX(DarlErsatzRate,6))</f>
      </c>
      <c r="P2718" s="43">
        <f>IF($I2718=0,0,$Q2717*INDEX(DarlErsatzZins,6))</f>
      </c>
      <c r="Q2718" s="43">
        <f>IF($I2718=0,0,$Q2717+$P2718+$O2718)</f>
      </c>
      <c r="R2718" s="43">
        <f>IF($I2718=0,0,$J2718-$M2718-$N2718)</f>
      </c>
    </row>
    <row r="2719">
      <c r="A2719"/>
      <c r="B2719">
        <v>6</v>
      </c>
      <c r="C2719" s="43">
        <f>INDEX(DarlObj,6)</f>
      </c>
      <c r="D2719">
        <v>316</v>
      </c>
      <c r="E2719" s="51">
        <f>IF(INDEX(DarlBelegt,6)=0,0,EOMONTH(INDEX(DarlAuszahlung,6),315)+1)</f>
      </c>
      <c r="F2719" s="43">
        <f>IF($E2719=0,0,YEAR($E2719))</f>
      </c>
      <c r="G2719" s="43">
        <f>IF(INDEX(DarlBindung,6)="",1,IF($E2719&lt;=INDEX(DarlBindung,6),1,0))</f>
      </c>
      <c r="H2719" s="43">
        <f>IF($G2719=1,INDEX(DarlSollzins,6),INDEX(DarlAnschluss,6))</f>
      </c>
      <c r="I2719" s="43">
        <f>IF(INDEX(DarlBelegt,6)=0,0,IF(INDEX(DarlOhneTilgung,6)=1,IF(INDEX(DarlBindung,6)="",1,$G2719),IF($J2719&gt;0.005,1,0)))</f>
      </c>
      <c r="J2719" s="43">
        <f>IF($I2718=0,0,$R2718)</f>
      </c>
      <c r="K2719" s="43">
        <f>IF($I2719=0,0,IF(INDEX(DarlOhneTilgung,6)=1,0,IF(AND(INDEX(DarlTilgStart,6)&gt;0,$E2719=INDEX(DarlTilgStart,6)),$J2719*($H2719+INDEX(DarlTilgung,6))/100/12,IF(AND($G2719=0,$G2718=1),MAX($K2718,$J2719*($H2719+1)/100/12),$K2718))))</f>
      </c>
      <c r="L2719" s="43">
        <f>IF($I2719=0,0,$J2719*$H2719/100/12)</f>
      </c>
      <c r="M2719" s="43">
        <f>IF($I2719=0,0,IF(OR(INDEX(DarlOhneTilgung,6)=1,AND(INDEX(DarlTilgStart,6)&gt;0,$E2719&lt;INDEX(DarlTilgStart,6))),0,MIN(MAX(0,$K2719-$L2719),$J2719)))</f>
      </c>
      <c r="N2719" s="43">
        <f>IF($I2719=0,0,MIN(SUMIFS(SondBetrag,SondDarl,6,SondDatum,"&gt;="&amp;$E2719,SondDatum,"&lt;="&amp;EOMONTH($E2719,0)),$J2719-$M2719))</f>
      </c>
      <c r="O2719" s="43">
        <f>IF($I2719=0,0,INDEX(DarlErsatzRate,6))</f>
      </c>
      <c r="P2719" s="43">
        <f>IF($I2719=0,0,$Q2718*INDEX(DarlErsatzZins,6))</f>
      </c>
      <c r="Q2719" s="43">
        <f>IF($I2719=0,0,$Q2718+$P2719+$O2719)</f>
      </c>
      <c r="R2719" s="43">
        <f>IF($I2719=0,0,$J2719-$M2719-$N2719)</f>
      </c>
    </row>
    <row r="2720">
      <c r="A2720"/>
      <c r="B2720">
        <v>6</v>
      </c>
      <c r="C2720" s="43">
        <f>INDEX(DarlObj,6)</f>
      </c>
      <c r="D2720">
        <v>317</v>
      </c>
      <c r="E2720" s="51">
        <f>IF(INDEX(DarlBelegt,6)=0,0,EOMONTH(INDEX(DarlAuszahlung,6),316)+1)</f>
      </c>
      <c r="F2720" s="43">
        <f>IF($E2720=0,0,YEAR($E2720))</f>
      </c>
      <c r="G2720" s="43">
        <f>IF(INDEX(DarlBindung,6)="",1,IF($E2720&lt;=INDEX(DarlBindung,6),1,0))</f>
      </c>
      <c r="H2720" s="43">
        <f>IF($G2720=1,INDEX(DarlSollzins,6),INDEX(DarlAnschluss,6))</f>
      </c>
      <c r="I2720" s="43">
        <f>IF(INDEX(DarlBelegt,6)=0,0,IF(INDEX(DarlOhneTilgung,6)=1,IF(INDEX(DarlBindung,6)="",1,$G2720),IF($J2720&gt;0.005,1,0)))</f>
      </c>
      <c r="J2720" s="43">
        <f>IF($I2719=0,0,$R2719)</f>
      </c>
      <c r="K2720" s="43">
        <f>IF($I2720=0,0,IF(INDEX(DarlOhneTilgung,6)=1,0,IF(AND(INDEX(DarlTilgStart,6)&gt;0,$E2720=INDEX(DarlTilgStart,6)),$J2720*($H2720+INDEX(DarlTilgung,6))/100/12,IF(AND($G2720=0,$G2719=1),MAX($K2719,$J2720*($H2720+1)/100/12),$K2719))))</f>
      </c>
      <c r="L2720" s="43">
        <f>IF($I2720=0,0,$J2720*$H2720/100/12)</f>
      </c>
      <c r="M2720" s="43">
        <f>IF($I2720=0,0,IF(OR(INDEX(DarlOhneTilgung,6)=1,AND(INDEX(DarlTilgStart,6)&gt;0,$E2720&lt;INDEX(DarlTilgStart,6))),0,MIN(MAX(0,$K2720-$L2720),$J2720)))</f>
      </c>
      <c r="N2720" s="43">
        <f>IF($I2720=0,0,MIN(SUMIFS(SondBetrag,SondDarl,6,SondDatum,"&gt;="&amp;$E2720,SondDatum,"&lt;="&amp;EOMONTH($E2720,0)),$J2720-$M2720))</f>
      </c>
      <c r="O2720" s="43">
        <f>IF($I2720=0,0,INDEX(DarlErsatzRate,6))</f>
      </c>
      <c r="P2720" s="43">
        <f>IF($I2720=0,0,$Q2719*INDEX(DarlErsatzZins,6))</f>
      </c>
      <c r="Q2720" s="43">
        <f>IF($I2720=0,0,$Q2719+$P2720+$O2720)</f>
      </c>
      <c r="R2720" s="43">
        <f>IF($I2720=0,0,$J2720-$M2720-$N2720)</f>
      </c>
    </row>
    <row r="2721">
      <c r="A2721"/>
      <c r="B2721">
        <v>6</v>
      </c>
      <c r="C2721" s="43">
        <f>INDEX(DarlObj,6)</f>
      </c>
      <c r="D2721">
        <v>318</v>
      </c>
      <c r="E2721" s="51">
        <f>IF(INDEX(DarlBelegt,6)=0,0,EOMONTH(INDEX(DarlAuszahlung,6),317)+1)</f>
      </c>
      <c r="F2721" s="43">
        <f>IF($E2721=0,0,YEAR($E2721))</f>
      </c>
      <c r="G2721" s="43">
        <f>IF(INDEX(DarlBindung,6)="",1,IF($E2721&lt;=INDEX(DarlBindung,6),1,0))</f>
      </c>
      <c r="H2721" s="43">
        <f>IF($G2721=1,INDEX(DarlSollzins,6),INDEX(DarlAnschluss,6))</f>
      </c>
      <c r="I2721" s="43">
        <f>IF(INDEX(DarlBelegt,6)=0,0,IF(INDEX(DarlOhneTilgung,6)=1,IF(INDEX(DarlBindung,6)="",1,$G2721),IF($J2721&gt;0.005,1,0)))</f>
      </c>
      <c r="J2721" s="43">
        <f>IF($I2720=0,0,$R2720)</f>
      </c>
      <c r="K2721" s="43">
        <f>IF($I2721=0,0,IF(INDEX(DarlOhneTilgung,6)=1,0,IF(AND(INDEX(DarlTilgStart,6)&gt;0,$E2721=INDEX(DarlTilgStart,6)),$J2721*($H2721+INDEX(DarlTilgung,6))/100/12,IF(AND($G2721=0,$G2720=1),MAX($K2720,$J2721*($H2721+1)/100/12),$K2720))))</f>
      </c>
      <c r="L2721" s="43">
        <f>IF($I2721=0,0,$J2721*$H2721/100/12)</f>
      </c>
      <c r="M2721" s="43">
        <f>IF($I2721=0,0,IF(OR(INDEX(DarlOhneTilgung,6)=1,AND(INDEX(DarlTilgStart,6)&gt;0,$E2721&lt;INDEX(DarlTilgStart,6))),0,MIN(MAX(0,$K2721-$L2721),$J2721)))</f>
      </c>
      <c r="N2721" s="43">
        <f>IF($I2721=0,0,MIN(SUMIFS(SondBetrag,SondDarl,6,SondDatum,"&gt;="&amp;$E2721,SondDatum,"&lt;="&amp;EOMONTH($E2721,0)),$J2721-$M2721))</f>
      </c>
      <c r="O2721" s="43">
        <f>IF($I2721=0,0,INDEX(DarlErsatzRate,6))</f>
      </c>
      <c r="P2721" s="43">
        <f>IF($I2721=0,0,$Q2720*INDEX(DarlErsatzZins,6))</f>
      </c>
      <c r="Q2721" s="43">
        <f>IF($I2721=0,0,$Q2720+$P2721+$O2721)</f>
      </c>
      <c r="R2721" s="43">
        <f>IF($I2721=0,0,$J2721-$M2721-$N2721)</f>
      </c>
    </row>
    <row r="2722">
      <c r="A2722"/>
      <c r="B2722">
        <v>6</v>
      </c>
      <c r="C2722" s="43">
        <f>INDEX(DarlObj,6)</f>
      </c>
      <c r="D2722">
        <v>319</v>
      </c>
      <c r="E2722" s="51">
        <f>IF(INDEX(DarlBelegt,6)=0,0,EOMONTH(INDEX(DarlAuszahlung,6),318)+1)</f>
      </c>
      <c r="F2722" s="43">
        <f>IF($E2722=0,0,YEAR($E2722))</f>
      </c>
      <c r="G2722" s="43">
        <f>IF(INDEX(DarlBindung,6)="",1,IF($E2722&lt;=INDEX(DarlBindung,6),1,0))</f>
      </c>
      <c r="H2722" s="43">
        <f>IF($G2722=1,INDEX(DarlSollzins,6),INDEX(DarlAnschluss,6))</f>
      </c>
      <c r="I2722" s="43">
        <f>IF(INDEX(DarlBelegt,6)=0,0,IF(INDEX(DarlOhneTilgung,6)=1,IF(INDEX(DarlBindung,6)="",1,$G2722),IF($J2722&gt;0.005,1,0)))</f>
      </c>
      <c r="J2722" s="43">
        <f>IF($I2721=0,0,$R2721)</f>
      </c>
      <c r="K2722" s="43">
        <f>IF($I2722=0,0,IF(INDEX(DarlOhneTilgung,6)=1,0,IF(AND(INDEX(DarlTilgStart,6)&gt;0,$E2722=INDEX(DarlTilgStart,6)),$J2722*($H2722+INDEX(DarlTilgung,6))/100/12,IF(AND($G2722=0,$G2721=1),MAX($K2721,$J2722*($H2722+1)/100/12),$K2721))))</f>
      </c>
      <c r="L2722" s="43">
        <f>IF($I2722=0,0,$J2722*$H2722/100/12)</f>
      </c>
      <c r="M2722" s="43">
        <f>IF($I2722=0,0,IF(OR(INDEX(DarlOhneTilgung,6)=1,AND(INDEX(DarlTilgStart,6)&gt;0,$E2722&lt;INDEX(DarlTilgStart,6))),0,MIN(MAX(0,$K2722-$L2722),$J2722)))</f>
      </c>
      <c r="N2722" s="43">
        <f>IF($I2722=0,0,MIN(SUMIFS(SondBetrag,SondDarl,6,SondDatum,"&gt;="&amp;$E2722,SondDatum,"&lt;="&amp;EOMONTH($E2722,0)),$J2722-$M2722))</f>
      </c>
      <c r="O2722" s="43">
        <f>IF($I2722=0,0,INDEX(DarlErsatzRate,6))</f>
      </c>
      <c r="P2722" s="43">
        <f>IF($I2722=0,0,$Q2721*INDEX(DarlErsatzZins,6))</f>
      </c>
      <c r="Q2722" s="43">
        <f>IF($I2722=0,0,$Q2721+$P2722+$O2722)</f>
      </c>
      <c r="R2722" s="43">
        <f>IF($I2722=0,0,$J2722-$M2722-$N2722)</f>
      </c>
    </row>
    <row r="2723">
      <c r="A2723"/>
      <c r="B2723">
        <v>6</v>
      </c>
      <c r="C2723" s="43">
        <f>INDEX(DarlObj,6)</f>
      </c>
      <c r="D2723">
        <v>320</v>
      </c>
      <c r="E2723" s="51">
        <f>IF(INDEX(DarlBelegt,6)=0,0,EOMONTH(INDEX(DarlAuszahlung,6),319)+1)</f>
      </c>
      <c r="F2723" s="43">
        <f>IF($E2723=0,0,YEAR($E2723))</f>
      </c>
      <c r="G2723" s="43">
        <f>IF(INDEX(DarlBindung,6)="",1,IF($E2723&lt;=INDEX(DarlBindung,6),1,0))</f>
      </c>
      <c r="H2723" s="43">
        <f>IF($G2723=1,INDEX(DarlSollzins,6),INDEX(DarlAnschluss,6))</f>
      </c>
      <c r="I2723" s="43">
        <f>IF(INDEX(DarlBelegt,6)=0,0,IF(INDEX(DarlOhneTilgung,6)=1,IF(INDEX(DarlBindung,6)="",1,$G2723),IF($J2723&gt;0.005,1,0)))</f>
      </c>
      <c r="J2723" s="43">
        <f>IF($I2722=0,0,$R2722)</f>
      </c>
      <c r="K2723" s="43">
        <f>IF($I2723=0,0,IF(INDEX(DarlOhneTilgung,6)=1,0,IF(AND(INDEX(DarlTilgStart,6)&gt;0,$E2723=INDEX(DarlTilgStart,6)),$J2723*($H2723+INDEX(DarlTilgung,6))/100/12,IF(AND($G2723=0,$G2722=1),MAX($K2722,$J2723*($H2723+1)/100/12),$K2722))))</f>
      </c>
      <c r="L2723" s="43">
        <f>IF($I2723=0,0,$J2723*$H2723/100/12)</f>
      </c>
      <c r="M2723" s="43">
        <f>IF($I2723=0,0,IF(OR(INDEX(DarlOhneTilgung,6)=1,AND(INDEX(DarlTilgStart,6)&gt;0,$E2723&lt;INDEX(DarlTilgStart,6))),0,MIN(MAX(0,$K2723-$L2723),$J2723)))</f>
      </c>
      <c r="N2723" s="43">
        <f>IF($I2723=0,0,MIN(SUMIFS(SondBetrag,SondDarl,6,SondDatum,"&gt;="&amp;$E2723,SondDatum,"&lt;="&amp;EOMONTH($E2723,0)),$J2723-$M2723))</f>
      </c>
      <c r="O2723" s="43">
        <f>IF($I2723=0,0,INDEX(DarlErsatzRate,6))</f>
      </c>
      <c r="P2723" s="43">
        <f>IF($I2723=0,0,$Q2722*INDEX(DarlErsatzZins,6))</f>
      </c>
      <c r="Q2723" s="43">
        <f>IF($I2723=0,0,$Q2722+$P2723+$O2723)</f>
      </c>
      <c r="R2723" s="43">
        <f>IF($I2723=0,0,$J2723-$M2723-$N2723)</f>
      </c>
    </row>
    <row r="2724">
      <c r="A2724"/>
      <c r="B2724">
        <v>6</v>
      </c>
      <c r="C2724" s="43">
        <f>INDEX(DarlObj,6)</f>
      </c>
      <c r="D2724">
        <v>321</v>
      </c>
      <c r="E2724" s="51">
        <f>IF(INDEX(DarlBelegt,6)=0,0,EOMONTH(INDEX(DarlAuszahlung,6),320)+1)</f>
      </c>
      <c r="F2724" s="43">
        <f>IF($E2724=0,0,YEAR($E2724))</f>
      </c>
      <c r="G2724" s="43">
        <f>IF(INDEX(DarlBindung,6)="",1,IF($E2724&lt;=INDEX(DarlBindung,6),1,0))</f>
      </c>
      <c r="H2724" s="43">
        <f>IF($G2724=1,INDEX(DarlSollzins,6),INDEX(DarlAnschluss,6))</f>
      </c>
      <c r="I2724" s="43">
        <f>IF(INDEX(DarlBelegt,6)=0,0,IF(INDEX(DarlOhneTilgung,6)=1,IF(INDEX(DarlBindung,6)="",1,$G2724),IF($J2724&gt;0.005,1,0)))</f>
      </c>
      <c r="J2724" s="43">
        <f>IF($I2723=0,0,$R2723)</f>
      </c>
      <c r="K2724" s="43">
        <f>IF($I2724=0,0,IF(INDEX(DarlOhneTilgung,6)=1,0,IF(AND(INDEX(DarlTilgStart,6)&gt;0,$E2724=INDEX(DarlTilgStart,6)),$J2724*($H2724+INDEX(DarlTilgung,6))/100/12,IF(AND($G2724=0,$G2723=1),MAX($K2723,$J2724*($H2724+1)/100/12),$K2723))))</f>
      </c>
      <c r="L2724" s="43">
        <f>IF($I2724=0,0,$J2724*$H2724/100/12)</f>
      </c>
      <c r="M2724" s="43">
        <f>IF($I2724=0,0,IF(OR(INDEX(DarlOhneTilgung,6)=1,AND(INDEX(DarlTilgStart,6)&gt;0,$E2724&lt;INDEX(DarlTilgStart,6))),0,MIN(MAX(0,$K2724-$L2724),$J2724)))</f>
      </c>
      <c r="N2724" s="43">
        <f>IF($I2724=0,0,MIN(SUMIFS(SondBetrag,SondDarl,6,SondDatum,"&gt;="&amp;$E2724,SondDatum,"&lt;="&amp;EOMONTH($E2724,0)),$J2724-$M2724))</f>
      </c>
      <c r="O2724" s="43">
        <f>IF($I2724=0,0,INDEX(DarlErsatzRate,6))</f>
      </c>
      <c r="P2724" s="43">
        <f>IF($I2724=0,0,$Q2723*INDEX(DarlErsatzZins,6))</f>
      </c>
      <c r="Q2724" s="43">
        <f>IF($I2724=0,0,$Q2723+$P2724+$O2724)</f>
      </c>
      <c r="R2724" s="43">
        <f>IF($I2724=0,0,$J2724-$M2724-$N2724)</f>
      </c>
    </row>
    <row r="2725">
      <c r="A2725"/>
      <c r="B2725">
        <v>6</v>
      </c>
      <c r="C2725" s="43">
        <f>INDEX(DarlObj,6)</f>
      </c>
      <c r="D2725">
        <v>322</v>
      </c>
      <c r="E2725" s="51">
        <f>IF(INDEX(DarlBelegt,6)=0,0,EOMONTH(INDEX(DarlAuszahlung,6),321)+1)</f>
      </c>
      <c r="F2725" s="43">
        <f>IF($E2725=0,0,YEAR($E2725))</f>
      </c>
      <c r="G2725" s="43">
        <f>IF(INDEX(DarlBindung,6)="",1,IF($E2725&lt;=INDEX(DarlBindung,6),1,0))</f>
      </c>
      <c r="H2725" s="43">
        <f>IF($G2725=1,INDEX(DarlSollzins,6),INDEX(DarlAnschluss,6))</f>
      </c>
      <c r="I2725" s="43">
        <f>IF(INDEX(DarlBelegt,6)=0,0,IF(INDEX(DarlOhneTilgung,6)=1,IF(INDEX(DarlBindung,6)="",1,$G2725),IF($J2725&gt;0.005,1,0)))</f>
      </c>
      <c r="J2725" s="43">
        <f>IF($I2724=0,0,$R2724)</f>
      </c>
      <c r="K2725" s="43">
        <f>IF($I2725=0,0,IF(INDEX(DarlOhneTilgung,6)=1,0,IF(AND(INDEX(DarlTilgStart,6)&gt;0,$E2725=INDEX(DarlTilgStart,6)),$J2725*($H2725+INDEX(DarlTilgung,6))/100/12,IF(AND($G2725=0,$G2724=1),MAX($K2724,$J2725*($H2725+1)/100/12),$K2724))))</f>
      </c>
      <c r="L2725" s="43">
        <f>IF($I2725=0,0,$J2725*$H2725/100/12)</f>
      </c>
      <c r="M2725" s="43">
        <f>IF($I2725=0,0,IF(OR(INDEX(DarlOhneTilgung,6)=1,AND(INDEX(DarlTilgStart,6)&gt;0,$E2725&lt;INDEX(DarlTilgStart,6))),0,MIN(MAX(0,$K2725-$L2725),$J2725)))</f>
      </c>
      <c r="N2725" s="43">
        <f>IF($I2725=0,0,MIN(SUMIFS(SondBetrag,SondDarl,6,SondDatum,"&gt;="&amp;$E2725,SondDatum,"&lt;="&amp;EOMONTH($E2725,0)),$J2725-$M2725))</f>
      </c>
      <c r="O2725" s="43">
        <f>IF($I2725=0,0,INDEX(DarlErsatzRate,6))</f>
      </c>
      <c r="P2725" s="43">
        <f>IF($I2725=0,0,$Q2724*INDEX(DarlErsatzZins,6))</f>
      </c>
      <c r="Q2725" s="43">
        <f>IF($I2725=0,0,$Q2724+$P2725+$O2725)</f>
      </c>
      <c r="R2725" s="43">
        <f>IF($I2725=0,0,$J2725-$M2725-$N2725)</f>
      </c>
    </row>
    <row r="2726">
      <c r="A2726"/>
      <c r="B2726">
        <v>6</v>
      </c>
      <c r="C2726" s="43">
        <f>INDEX(DarlObj,6)</f>
      </c>
      <c r="D2726">
        <v>323</v>
      </c>
      <c r="E2726" s="51">
        <f>IF(INDEX(DarlBelegt,6)=0,0,EOMONTH(INDEX(DarlAuszahlung,6),322)+1)</f>
      </c>
      <c r="F2726" s="43">
        <f>IF($E2726=0,0,YEAR($E2726))</f>
      </c>
      <c r="G2726" s="43">
        <f>IF(INDEX(DarlBindung,6)="",1,IF($E2726&lt;=INDEX(DarlBindung,6),1,0))</f>
      </c>
      <c r="H2726" s="43">
        <f>IF($G2726=1,INDEX(DarlSollzins,6),INDEX(DarlAnschluss,6))</f>
      </c>
      <c r="I2726" s="43">
        <f>IF(INDEX(DarlBelegt,6)=0,0,IF(INDEX(DarlOhneTilgung,6)=1,IF(INDEX(DarlBindung,6)="",1,$G2726),IF($J2726&gt;0.005,1,0)))</f>
      </c>
      <c r="J2726" s="43">
        <f>IF($I2725=0,0,$R2725)</f>
      </c>
      <c r="K2726" s="43">
        <f>IF($I2726=0,0,IF(INDEX(DarlOhneTilgung,6)=1,0,IF(AND(INDEX(DarlTilgStart,6)&gt;0,$E2726=INDEX(DarlTilgStart,6)),$J2726*($H2726+INDEX(DarlTilgung,6))/100/12,IF(AND($G2726=0,$G2725=1),MAX($K2725,$J2726*($H2726+1)/100/12),$K2725))))</f>
      </c>
      <c r="L2726" s="43">
        <f>IF($I2726=0,0,$J2726*$H2726/100/12)</f>
      </c>
      <c r="M2726" s="43">
        <f>IF($I2726=0,0,IF(OR(INDEX(DarlOhneTilgung,6)=1,AND(INDEX(DarlTilgStart,6)&gt;0,$E2726&lt;INDEX(DarlTilgStart,6))),0,MIN(MAX(0,$K2726-$L2726),$J2726)))</f>
      </c>
      <c r="N2726" s="43">
        <f>IF($I2726=0,0,MIN(SUMIFS(SondBetrag,SondDarl,6,SondDatum,"&gt;="&amp;$E2726,SondDatum,"&lt;="&amp;EOMONTH($E2726,0)),$J2726-$M2726))</f>
      </c>
      <c r="O2726" s="43">
        <f>IF($I2726=0,0,INDEX(DarlErsatzRate,6))</f>
      </c>
      <c r="P2726" s="43">
        <f>IF($I2726=0,0,$Q2725*INDEX(DarlErsatzZins,6))</f>
      </c>
      <c r="Q2726" s="43">
        <f>IF($I2726=0,0,$Q2725+$P2726+$O2726)</f>
      </c>
      <c r="R2726" s="43">
        <f>IF($I2726=0,0,$J2726-$M2726-$N2726)</f>
      </c>
    </row>
    <row r="2727">
      <c r="A2727"/>
      <c r="B2727">
        <v>6</v>
      </c>
      <c r="C2727" s="43">
        <f>INDEX(DarlObj,6)</f>
      </c>
      <c r="D2727">
        <v>324</v>
      </c>
      <c r="E2727" s="51">
        <f>IF(INDEX(DarlBelegt,6)=0,0,EOMONTH(INDEX(DarlAuszahlung,6),323)+1)</f>
      </c>
      <c r="F2727" s="43">
        <f>IF($E2727=0,0,YEAR($E2727))</f>
      </c>
      <c r="G2727" s="43">
        <f>IF(INDEX(DarlBindung,6)="",1,IF($E2727&lt;=INDEX(DarlBindung,6),1,0))</f>
      </c>
      <c r="H2727" s="43">
        <f>IF($G2727=1,INDEX(DarlSollzins,6),INDEX(DarlAnschluss,6))</f>
      </c>
      <c r="I2727" s="43">
        <f>IF(INDEX(DarlBelegt,6)=0,0,IF(INDEX(DarlOhneTilgung,6)=1,IF(INDEX(DarlBindung,6)="",1,$G2727),IF($J2727&gt;0.005,1,0)))</f>
      </c>
      <c r="J2727" s="43">
        <f>IF($I2726=0,0,$R2726)</f>
      </c>
      <c r="K2727" s="43">
        <f>IF($I2727=0,0,IF(INDEX(DarlOhneTilgung,6)=1,0,IF(AND(INDEX(DarlTilgStart,6)&gt;0,$E2727=INDEX(DarlTilgStart,6)),$J2727*($H2727+INDEX(DarlTilgung,6))/100/12,IF(AND($G2727=0,$G2726=1),MAX($K2726,$J2727*($H2727+1)/100/12),$K2726))))</f>
      </c>
      <c r="L2727" s="43">
        <f>IF($I2727=0,0,$J2727*$H2727/100/12)</f>
      </c>
      <c r="M2727" s="43">
        <f>IF($I2727=0,0,IF(OR(INDEX(DarlOhneTilgung,6)=1,AND(INDEX(DarlTilgStart,6)&gt;0,$E2727&lt;INDEX(DarlTilgStart,6))),0,MIN(MAX(0,$K2727-$L2727),$J2727)))</f>
      </c>
      <c r="N2727" s="43">
        <f>IF($I2727=0,0,MIN(SUMIFS(SondBetrag,SondDarl,6,SondDatum,"&gt;="&amp;$E2727,SondDatum,"&lt;="&amp;EOMONTH($E2727,0)),$J2727-$M2727))</f>
      </c>
      <c r="O2727" s="43">
        <f>IF($I2727=0,0,INDEX(DarlErsatzRate,6))</f>
      </c>
      <c r="P2727" s="43">
        <f>IF($I2727=0,0,$Q2726*INDEX(DarlErsatzZins,6))</f>
      </c>
      <c r="Q2727" s="43">
        <f>IF($I2727=0,0,$Q2726+$P2727+$O2727)</f>
      </c>
      <c r="R2727" s="43">
        <f>IF($I2727=0,0,$J2727-$M2727-$N2727)</f>
      </c>
    </row>
    <row r="2728">
      <c r="A2728"/>
      <c r="B2728">
        <v>6</v>
      </c>
      <c r="C2728" s="43">
        <f>INDEX(DarlObj,6)</f>
      </c>
      <c r="D2728">
        <v>325</v>
      </c>
      <c r="E2728" s="51">
        <f>IF(INDEX(DarlBelegt,6)=0,0,EOMONTH(INDEX(DarlAuszahlung,6),324)+1)</f>
      </c>
      <c r="F2728" s="43">
        <f>IF($E2728=0,0,YEAR($E2728))</f>
      </c>
      <c r="G2728" s="43">
        <f>IF(INDEX(DarlBindung,6)="",1,IF($E2728&lt;=INDEX(DarlBindung,6),1,0))</f>
      </c>
      <c r="H2728" s="43">
        <f>IF($G2728=1,INDEX(DarlSollzins,6),INDEX(DarlAnschluss,6))</f>
      </c>
      <c r="I2728" s="43">
        <f>IF(INDEX(DarlBelegt,6)=0,0,IF(INDEX(DarlOhneTilgung,6)=1,IF(INDEX(DarlBindung,6)="",1,$G2728),IF($J2728&gt;0.005,1,0)))</f>
      </c>
      <c r="J2728" s="43">
        <f>IF($I2727=0,0,$R2727)</f>
      </c>
      <c r="K2728" s="43">
        <f>IF($I2728=0,0,IF(INDEX(DarlOhneTilgung,6)=1,0,IF(AND(INDEX(DarlTilgStart,6)&gt;0,$E2728=INDEX(DarlTilgStart,6)),$J2728*($H2728+INDEX(DarlTilgung,6))/100/12,IF(AND($G2728=0,$G2727=1),MAX($K2727,$J2728*($H2728+1)/100/12),$K2727))))</f>
      </c>
      <c r="L2728" s="43">
        <f>IF($I2728=0,0,$J2728*$H2728/100/12)</f>
      </c>
      <c r="M2728" s="43">
        <f>IF($I2728=0,0,IF(OR(INDEX(DarlOhneTilgung,6)=1,AND(INDEX(DarlTilgStart,6)&gt;0,$E2728&lt;INDEX(DarlTilgStart,6))),0,MIN(MAX(0,$K2728-$L2728),$J2728)))</f>
      </c>
      <c r="N2728" s="43">
        <f>IF($I2728=0,0,MIN(SUMIFS(SondBetrag,SondDarl,6,SondDatum,"&gt;="&amp;$E2728,SondDatum,"&lt;="&amp;EOMONTH($E2728,0)),$J2728-$M2728))</f>
      </c>
      <c r="O2728" s="43">
        <f>IF($I2728=0,0,INDEX(DarlErsatzRate,6))</f>
      </c>
      <c r="P2728" s="43">
        <f>IF($I2728=0,0,$Q2727*INDEX(DarlErsatzZins,6))</f>
      </c>
      <c r="Q2728" s="43">
        <f>IF($I2728=0,0,$Q2727+$P2728+$O2728)</f>
      </c>
      <c r="R2728" s="43">
        <f>IF($I2728=0,0,$J2728-$M2728-$N2728)</f>
      </c>
    </row>
    <row r="2729">
      <c r="A2729"/>
      <c r="B2729">
        <v>6</v>
      </c>
      <c r="C2729" s="43">
        <f>INDEX(DarlObj,6)</f>
      </c>
      <c r="D2729">
        <v>326</v>
      </c>
      <c r="E2729" s="51">
        <f>IF(INDEX(DarlBelegt,6)=0,0,EOMONTH(INDEX(DarlAuszahlung,6),325)+1)</f>
      </c>
      <c r="F2729" s="43">
        <f>IF($E2729=0,0,YEAR($E2729))</f>
      </c>
      <c r="G2729" s="43">
        <f>IF(INDEX(DarlBindung,6)="",1,IF($E2729&lt;=INDEX(DarlBindung,6),1,0))</f>
      </c>
      <c r="H2729" s="43">
        <f>IF($G2729=1,INDEX(DarlSollzins,6),INDEX(DarlAnschluss,6))</f>
      </c>
      <c r="I2729" s="43">
        <f>IF(INDEX(DarlBelegt,6)=0,0,IF(INDEX(DarlOhneTilgung,6)=1,IF(INDEX(DarlBindung,6)="",1,$G2729),IF($J2729&gt;0.005,1,0)))</f>
      </c>
      <c r="J2729" s="43">
        <f>IF($I2728=0,0,$R2728)</f>
      </c>
      <c r="K2729" s="43">
        <f>IF($I2729=0,0,IF(INDEX(DarlOhneTilgung,6)=1,0,IF(AND(INDEX(DarlTilgStart,6)&gt;0,$E2729=INDEX(DarlTilgStart,6)),$J2729*($H2729+INDEX(DarlTilgung,6))/100/12,IF(AND($G2729=0,$G2728=1),MAX($K2728,$J2729*($H2729+1)/100/12),$K2728))))</f>
      </c>
      <c r="L2729" s="43">
        <f>IF($I2729=0,0,$J2729*$H2729/100/12)</f>
      </c>
      <c r="M2729" s="43">
        <f>IF($I2729=0,0,IF(OR(INDEX(DarlOhneTilgung,6)=1,AND(INDEX(DarlTilgStart,6)&gt;0,$E2729&lt;INDEX(DarlTilgStart,6))),0,MIN(MAX(0,$K2729-$L2729),$J2729)))</f>
      </c>
      <c r="N2729" s="43">
        <f>IF($I2729=0,0,MIN(SUMIFS(SondBetrag,SondDarl,6,SondDatum,"&gt;="&amp;$E2729,SondDatum,"&lt;="&amp;EOMONTH($E2729,0)),$J2729-$M2729))</f>
      </c>
      <c r="O2729" s="43">
        <f>IF($I2729=0,0,INDEX(DarlErsatzRate,6))</f>
      </c>
      <c r="P2729" s="43">
        <f>IF($I2729=0,0,$Q2728*INDEX(DarlErsatzZins,6))</f>
      </c>
      <c r="Q2729" s="43">
        <f>IF($I2729=0,0,$Q2728+$P2729+$O2729)</f>
      </c>
      <c r="R2729" s="43">
        <f>IF($I2729=0,0,$J2729-$M2729-$N2729)</f>
      </c>
    </row>
    <row r="2730">
      <c r="A2730"/>
      <c r="B2730">
        <v>6</v>
      </c>
      <c r="C2730" s="43">
        <f>INDEX(DarlObj,6)</f>
      </c>
      <c r="D2730">
        <v>327</v>
      </c>
      <c r="E2730" s="51">
        <f>IF(INDEX(DarlBelegt,6)=0,0,EOMONTH(INDEX(DarlAuszahlung,6),326)+1)</f>
      </c>
      <c r="F2730" s="43">
        <f>IF($E2730=0,0,YEAR($E2730))</f>
      </c>
      <c r="G2730" s="43">
        <f>IF(INDEX(DarlBindung,6)="",1,IF($E2730&lt;=INDEX(DarlBindung,6),1,0))</f>
      </c>
      <c r="H2730" s="43">
        <f>IF($G2730=1,INDEX(DarlSollzins,6),INDEX(DarlAnschluss,6))</f>
      </c>
      <c r="I2730" s="43">
        <f>IF(INDEX(DarlBelegt,6)=0,0,IF(INDEX(DarlOhneTilgung,6)=1,IF(INDEX(DarlBindung,6)="",1,$G2730),IF($J2730&gt;0.005,1,0)))</f>
      </c>
      <c r="J2730" s="43">
        <f>IF($I2729=0,0,$R2729)</f>
      </c>
      <c r="K2730" s="43">
        <f>IF($I2730=0,0,IF(INDEX(DarlOhneTilgung,6)=1,0,IF(AND(INDEX(DarlTilgStart,6)&gt;0,$E2730=INDEX(DarlTilgStart,6)),$J2730*($H2730+INDEX(DarlTilgung,6))/100/12,IF(AND($G2730=0,$G2729=1),MAX($K2729,$J2730*($H2730+1)/100/12),$K2729))))</f>
      </c>
      <c r="L2730" s="43">
        <f>IF($I2730=0,0,$J2730*$H2730/100/12)</f>
      </c>
      <c r="M2730" s="43">
        <f>IF($I2730=0,0,IF(OR(INDEX(DarlOhneTilgung,6)=1,AND(INDEX(DarlTilgStart,6)&gt;0,$E2730&lt;INDEX(DarlTilgStart,6))),0,MIN(MAX(0,$K2730-$L2730),$J2730)))</f>
      </c>
      <c r="N2730" s="43">
        <f>IF($I2730=0,0,MIN(SUMIFS(SondBetrag,SondDarl,6,SondDatum,"&gt;="&amp;$E2730,SondDatum,"&lt;="&amp;EOMONTH($E2730,0)),$J2730-$M2730))</f>
      </c>
      <c r="O2730" s="43">
        <f>IF($I2730=0,0,INDEX(DarlErsatzRate,6))</f>
      </c>
      <c r="P2730" s="43">
        <f>IF($I2730=0,0,$Q2729*INDEX(DarlErsatzZins,6))</f>
      </c>
      <c r="Q2730" s="43">
        <f>IF($I2730=0,0,$Q2729+$P2730+$O2730)</f>
      </c>
      <c r="R2730" s="43">
        <f>IF($I2730=0,0,$J2730-$M2730-$N2730)</f>
      </c>
    </row>
    <row r="2731">
      <c r="A2731"/>
      <c r="B2731">
        <v>6</v>
      </c>
      <c r="C2731" s="43">
        <f>INDEX(DarlObj,6)</f>
      </c>
      <c r="D2731">
        <v>328</v>
      </c>
      <c r="E2731" s="51">
        <f>IF(INDEX(DarlBelegt,6)=0,0,EOMONTH(INDEX(DarlAuszahlung,6),327)+1)</f>
      </c>
      <c r="F2731" s="43">
        <f>IF($E2731=0,0,YEAR($E2731))</f>
      </c>
      <c r="G2731" s="43">
        <f>IF(INDEX(DarlBindung,6)="",1,IF($E2731&lt;=INDEX(DarlBindung,6),1,0))</f>
      </c>
      <c r="H2731" s="43">
        <f>IF($G2731=1,INDEX(DarlSollzins,6),INDEX(DarlAnschluss,6))</f>
      </c>
      <c r="I2731" s="43">
        <f>IF(INDEX(DarlBelegt,6)=0,0,IF(INDEX(DarlOhneTilgung,6)=1,IF(INDEX(DarlBindung,6)="",1,$G2731),IF($J2731&gt;0.005,1,0)))</f>
      </c>
      <c r="J2731" s="43">
        <f>IF($I2730=0,0,$R2730)</f>
      </c>
      <c r="K2731" s="43">
        <f>IF($I2731=0,0,IF(INDEX(DarlOhneTilgung,6)=1,0,IF(AND(INDEX(DarlTilgStart,6)&gt;0,$E2731=INDEX(DarlTilgStart,6)),$J2731*($H2731+INDEX(DarlTilgung,6))/100/12,IF(AND($G2731=0,$G2730=1),MAX($K2730,$J2731*($H2731+1)/100/12),$K2730))))</f>
      </c>
      <c r="L2731" s="43">
        <f>IF($I2731=0,0,$J2731*$H2731/100/12)</f>
      </c>
      <c r="M2731" s="43">
        <f>IF($I2731=0,0,IF(OR(INDEX(DarlOhneTilgung,6)=1,AND(INDEX(DarlTilgStart,6)&gt;0,$E2731&lt;INDEX(DarlTilgStart,6))),0,MIN(MAX(0,$K2731-$L2731),$J2731)))</f>
      </c>
      <c r="N2731" s="43">
        <f>IF($I2731=0,0,MIN(SUMIFS(SondBetrag,SondDarl,6,SondDatum,"&gt;="&amp;$E2731,SondDatum,"&lt;="&amp;EOMONTH($E2731,0)),$J2731-$M2731))</f>
      </c>
      <c r="O2731" s="43">
        <f>IF($I2731=0,0,INDEX(DarlErsatzRate,6))</f>
      </c>
      <c r="P2731" s="43">
        <f>IF($I2731=0,0,$Q2730*INDEX(DarlErsatzZins,6))</f>
      </c>
      <c r="Q2731" s="43">
        <f>IF($I2731=0,0,$Q2730+$P2731+$O2731)</f>
      </c>
      <c r="R2731" s="43">
        <f>IF($I2731=0,0,$J2731-$M2731-$N2731)</f>
      </c>
    </row>
    <row r="2732">
      <c r="A2732"/>
      <c r="B2732">
        <v>6</v>
      </c>
      <c r="C2732" s="43">
        <f>INDEX(DarlObj,6)</f>
      </c>
      <c r="D2732">
        <v>329</v>
      </c>
      <c r="E2732" s="51">
        <f>IF(INDEX(DarlBelegt,6)=0,0,EOMONTH(INDEX(DarlAuszahlung,6),328)+1)</f>
      </c>
      <c r="F2732" s="43">
        <f>IF($E2732=0,0,YEAR($E2732))</f>
      </c>
      <c r="G2732" s="43">
        <f>IF(INDEX(DarlBindung,6)="",1,IF($E2732&lt;=INDEX(DarlBindung,6),1,0))</f>
      </c>
      <c r="H2732" s="43">
        <f>IF($G2732=1,INDEX(DarlSollzins,6),INDEX(DarlAnschluss,6))</f>
      </c>
      <c r="I2732" s="43">
        <f>IF(INDEX(DarlBelegt,6)=0,0,IF(INDEX(DarlOhneTilgung,6)=1,IF(INDEX(DarlBindung,6)="",1,$G2732),IF($J2732&gt;0.005,1,0)))</f>
      </c>
      <c r="J2732" s="43">
        <f>IF($I2731=0,0,$R2731)</f>
      </c>
      <c r="K2732" s="43">
        <f>IF($I2732=0,0,IF(INDEX(DarlOhneTilgung,6)=1,0,IF(AND(INDEX(DarlTilgStart,6)&gt;0,$E2732=INDEX(DarlTilgStart,6)),$J2732*($H2732+INDEX(DarlTilgung,6))/100/12,IF(AND($G2732=0,$G2731=1),MAX($K2731,$J2732*($H2732+1)/100/12),$K2731))))</f>
      </c>
      <c r="L2732" s="43">
        <f>IF($I2732=0,0,$J2732*$H2732/100/12)</f>
      </c>
      <c r="M2732" s="43">
        <f>IF($I2732=0,0,IF(OR(INDEX(DarlOhneTilgung,6)=1,AND(INDEX(DarlTilgStart,6)&gt;0,$E2732&lt;INDEX(DarlTilgStart,6))),0,MIN(MAX(0,$K2732-$L2732),$J2732)))</f>
      </c>
      <c r="N2732" s="43">
        <f>IF($I2732=0,0,MIN(SUMIFS(SondBetrag,SondDarl,6,SondDatum,"&gt;="&amp;$E2732,SondDatum,"&lt;="&amp;EOMONTH($E2732,0)),$J2732-$M2732))</f>
      </c>
      <c r="O2732" s="43">
        <f>IF($I2732=0,0,INDEX(DarlErsatzRate,6))</f>
      </c>
      <c r="P2732" s="43">
        <f>IF($I2732=0,0,$Q2731*INDEX(DarlErsatzZins,6))</f>
      </c>
      <c r="Q2732" s="43">
        <f>IF($I2732=0,0,$Q2731+$P2732+$O2732)</f>
      </c>
      <c r="R2732" s="43">
        <f>IF($I2732=0,0,$J2732-$M2732-$N2732)</f>
      </c>
    </row>
    <row r="2733">
      <c r="A2733"/>
      <c r="B2733">
        <v>6</v>
      </c>
      <c r="C2733" s="43">
        <f>INDEX(DarlObj,6)</f>
      </c>
      <c r="D2733">
        <v>330</v>
      </c>
      <c r="E2733" s="51">
        <f>IF(INDEX(DarlBelegt,6)=0,0,EOMONTH(INDEX(DarlAuszahlung,6),329)+1)</f>
      </c>
      <c r="F2733" s="43">
        <f>IF($E2733=0,0,YEAR($E2733))</f>
      </c>
      <c r="G2733" s="43">
        <f>IF(INDEX(DarlBindung,6)="",1,IF($E2733&lt;=INDEX(DarlBindung,6),1,0))</f>
      </c>
      <c r="H2733" s="43">
        <f>IF($G2733=1,INDEX(DarlSollzins,6),INDEX(DarlAnschluss,6))</f>
      </c>
      <c r="I2733" s="43">
        <f>IF(INDEX(DarlBelegt,6)=0,0,IF(INDEX(DarlOhneTilgung,6)=1,IF(INDEX(DarlBindung,6)="",1,$G2733),IF($J2733&gt;0.005,1,0)))</f>
      </c>
      <c r="J2733" s="43">
        <f>IF($I2732=0,0,$R2732)</f>
      </c>
      <c r="K2733" s="43">
        <f>IF($I2733=0,0,IF(INDEX(DarlOhneTilgung,6)=1,0,IF(AND(INDEX(DarlTilgStart,6)&gt;0,$E2733=INDEX(DarlTilgStart,6)),$J2733*($H2733+INDEX(DarlTilgung,6))/100/12,IF(AND($G2733=0,$G2732=1),MAX($K2732,$J2733*($H2733+1)/100/12),$K2732))))</f>
      </c>
      <c r="L2733" s="43">
        <f>IF($I2733=0,0,$J2733*$H2733/100/12)</f>
      </c>
      <c r="M2733" s="43">
        <f>IF($I2733=0,0,IF(OR(INDEX(DarlOhneTilgung,6)=1,AND(INDEX(DarlTilgStart,6)&gt;0,$E2733&lt;INDEX(DarlTilgStart,6))),0,MIN(MAX(0,$K2733-$L2733),$J2733)))</f>
      </c>
      <c r="N2733" s="43">
        <f>IF($I2733=0,0,MIN(SUMIFS(SondBetrag,SondDarl,6,SondDatum,"&gt;="&amp;$E2733,SondDatum,"&lt;="&amp;EOMONTH($E2733,0)),$J2733-$M2733))</f>
      </c>
      <c r="O2733" s="43">
        <f>IF($I2733=0,0,INDEX(DarlErsatzRate,6))</f>
      </c>
      <c r="P2733" s="43">
        <f>IF($I2733=0,0,$Q2732*INDEX(DarlErsatzZins,6))</f>
      </c>
      <c r="Q2733" s="43">
        <f>IF($I2733=0,0,$Q2732+$P2733+$O2733)</f>
      </c>
      <c r="R2733" s="43">
        <f>IF($I2733=0,0,$J2733-$M2733-$N2733)</f>
      </c>
    </row>
    <row r="2734">
      <c r="A2734"/>
      <c r="B2734">
        <v>6</v>
      </c>
      <c r="C2734" s="43">
        <f>INDEX(DarlObj,6)</f>
      </c>
      <c r="D2734">
        <v>331</v>
      </c>
      <c r="E2734" s="51">
        <f>IF(INDEX(DarlBelegt,6)=0,0,EOMONTH(INDEX(DarlAuszahlung,6),330)+1)</f>
      </c>
      <c r="F2734" s="43">
        <f>IF($E2734=0,0,YEAR($E2734))</f>
      </c>
      <c r="G2734" s="43">
        <f>IF(INDEX(DarlBindung,6)="",1,IF($E2734&lt;=INDEX(DarlBindung,6),1,0))</f>
      </c>
      <c r="H2734" s="43">
        <f>IF($G2734=1,INDEX(DarlSollzins,6),INDEX(DarlAnschluss,6))</f>
      </c>
      <c r="I2734" s="43">
        <f>IF(INDEX(DarlBelegt,6)=0,0,IF(INDEX(DarlOhneTilgung,6)=1,IF(INDEX(DarlBindung,6)="",1,$G2734),IF($J2734&gt;0.005,1,0)))</f>
      </c>
      <c r="J2734" s="43">
        <f>IF($I2733=0,0,$R2733)</f>
      </c>
      <c r="K2734" s="43">
        <f>IF($I2734=0,0,IF(INDEX(DarlOhneTilgung,6)=1,0,IF(AND(INDEX(DarlTilgStart,6)&gt;0,$E2734=INDEX(DarlTilgStart,6)),$J2734*($H2734+INDEX(DarlTilgung,6))/100/12,IF(AND($G2734=0,$G2733=1),MAX($K2733,$J2734*($H2734+1)/100/12),$K2733))))</f>
      </c>
      <c r="L2734" s="43">
        <f>IF($I2734=0,0,$J2734*$H2734/100/12)</f>
      </c>
      <c r="M2734" s="43">
        <f>IF($I2734=0,0,IF(OR(INDEX(DarlOhneTilgung,6)=1,AND(INDEX(DarlTilgStart,6)&gt;0,$E2734&lt;INDEX(DarlTilgStart,6))),0,MIN(MAX(0,$K2734-$L2734),$J2734)))</f>
      </c>
      <c r="N2734" s="43">
        <f>IF($I2734=0,0,MIN(SUMIFS(SondBetrag,SondDarl,6,SondDatum,"&gt;="&amp;$E2734,SondDatum,"&lt;="&amp;EOMONTH($E2734,0)),$J2734-$M2734))</f>
      </c>
      <c r="O2734" s="43">
        <f>IF($I2734=0,0,INDEX(DarlErsatzRate,6))</f>
      </c>
      <c r="P2734" s="43">
        <f>IF($I2734=0,0,$Q2733*INDEX(DarlErsatzZins,6))</f>
      </c>
      <c r="Q2734" s="43">
        <f>IF($I2734=0,0,$Q2733+$P2734+$O2734)</f>
      </c>
      <c r="R2734" s="43">
        <f>IF($I2734=0,0,$J2734-$M2734-$N2734)</f>
      </c>
    </row>
    <row r="2735">
      <c r="A2735"/>
      <c r="B2735">
        <v>6</v>
      </c>
      <c r="C2735" s="43">
        <f>INDEX(DarlObj,6)</f>
      </c>
      <c r="D2735">
        <v>332</v>
      </c>
      <c r="E2735" s="51">
        <f>IF(INDEX(DarlBelegt,6)=0,0,EOMONTH(INDEX(DarlAuszahlung,6),331)+1)</f>
      </c>
      <c r="F2735" s="43">
        <f>IF($E2735=0,0,YEAR($E2735))</f>
      </c>
      <c r="G2735" s="43">
        <f>IF(INDEX(DarlBindung,6)="",1,IF($E2735&lt;=INDEX(DarlBindung,6),1,0))</f>
      </c>
      <c r="H2735" s="43">
        <f>IF($G2735=1,INDEX(DarlSollzins,6),INDEX(DarlAnschluss,6))</f>
      </c>
      <c r="I2735" s="43">
        <f>IF(INDEX(DarlBelegt,6)=0,0,IF(INDEX(DarlOhneTilgung,6)=1,IF(INDEX(DarlBindung,6)="",1,$G2735),IF($J2735&gt;0.005,1,0)))</f>
      </c>
      <c r="J2735" s="43">
        <f>IF($I2734=0,0,$R2734)</f>
      </c>
      <c r="K2735" s="43">
        <f>IF($I2735=0,0,IF(INDEX(DarlOhneTilgung,6)=1,0,IF(AND(INDEX(DarlTilgStart,6)&gt;0,$E2735=INDEX(DarlTilgStart,6)),$J2735*($H2735+INDEX(DarlTilgung,6))/100/12,IF(AND($G2735=0,$G2734=1),MAX($K2734,$J2735*($H2735+1)/100/12),$K2734))))</f>
      </c>
      <c r="L2735" s="43">
        <f>IF($I2735=0,0,$J2735*$H2735/100/12)</f>
      </c>
      <c r="M2735" s="43">
        <f>IF($I2735=0,0,IF(OR(INDEX(DarlOhneTilgung,6)=1,AND(INDEX(DarlTilgStart,6)&gt;0,$E2735&lt;INDEX(DarlTilgStart,6))),0,MIN(MAX(0,$K2735-$L2735),$J2735)))</f>
      </c>
      <c r="N2735" s="43">
        <f>IF($I2735=0,0,MIN(SUMIFS(SondBetrag,SondDarl,6,SondDatum,"&gt;="&amp;$E2735,SondDatum,"&lt;="&amp;EOMONTH($E2735,0)),$J2735-$M2735))</f>
      </c>
      <c r="O2735" s="43">
        <f>IF($I2735=0,0,INDEX(DarlErsatzRate,6))</f>
      </c>
      <c r="P2735" s="43">
        <f>IF($I2735=0,0,$Q2734*INDEX(DarlErsatzZins,6))</f>
      </c>
      <c r="Q2735" s="43">
        <f>IF($I2735=0,0,$Q2734+$P2735+$O2735)</f>
      </c>
      <c r="R2735" s="43">
        <f>IF($I2735=0,0,$J2735-$M2735-$N2735)</f>
      </c>
    </row>
    <row r="2736">
      <c r="A2736"/>
      <c r="B2736">
        <v>6</v>
      </c>
      <c r="C2736" s="43">
        <f>INDEX(DarlObj,6)</f>
      </c>
      <c r="D2736">
        <v>333</v>
      </c>
      <c r="E2736" s="51">
        <f>IF(INDEX(DarlBelegt,6)=0,0,EOMONTH(INDEX(DarlAuszahlung,6),332)+1)</f>
      </c>
      <c r="F2736" s="43">
        <f>IF($E2736=0,0,YEAR($E2736))</f>
      </c>
      <c r="G2736" s="43">
        <f>IF(INDEX(DarlBindung,6)="",1,IF($E2736&lt;=INDEX(DarlBindung,6),1,0))</f>
      </c>
      <c r="H2736" s="43">
        <f>IF($G2736=1,INDEX(DarlSollzins,6),INDEX(DarlAnschluss,6))</f>
      </c>
      <c r="I2736" s="43">
        <f>IF(INDEX(DarlBelegt,6)=0,0,IF(INDEX(DarlOhneTilgung,6)=1,IF(INDEX(DarlBindung,6)="",1,$G2736),IF($J2736&gt;0.005,1,0)))</f>
      </c>
      <c r="J2736" s="43">
        <f>IF($I2735=0,0,$R2735)</f>
      </c>
      <c r="K2736" s="43">
        <f>IF($I2736=0,0,IF(INDEX(DarlOhneTilgung,6)=1,0,IF(AND(INDEX(DarlTilgStart,6)&gt;0,$E2736=INDEX(DarlTilgStart,6)),$J2736*($H2736+INDEX(DarlTilgung,6))/100/12,IF(AND($G2736=0,$G2735=1),MAX($K2735,$J2736*($H2736+1)/100/12),$K2735))))</f>
      </c>
      <c r="L2736" s="43">
        <f>IF($I2736=0,0,$J2736*$H2736/100/12)</f>
      </c>
      <c r="M2736" s="43">
        <f>IF($I2736=0,0,IF(OR(INDEX(DarlOhneTilgung,6)=1,AND(INDEX(DarlTilgStart,6)&gt;0,$E2736&lt;INDEX(DarlTilgStart,6))),0,MIN(MAX(0,$K2736-$L2736),$J2736)))</f>
      </c>
      <c r="N2736" s="43">
        <f>IF($I2736=0,0,MIN(SUMIFS(SondBetrag,SondDarl,6,SondDatum,"&gt;="&amp;$E2736,SondDatum,"&lt;="&amp;EOMONTH($E2736,0)),$J2736-$M2736))</f>
      </c>
      <c r="O2736" s="43">
        <f>IF($I2736=0,0,INDEX(DarlErsatzRate,6))</f>
      </c>
      <c r="P2736" s="43">
        <f>IF($I2736=0,0,$Q2735*INDEX(DarlErsatzZins,6))</f>
      </c>
      <c r="Q2736" s="43">
        <f>IF($I2736=0,0,$Q2735+$P2736+$O2736)</f>
      </c>
      <c r="R2736" s="43">
        <f>IF($I2736=0,0,$J2736-$M2736-$N2736)</f>
      </c>
    </row>
    <row r="2737">
      <c r="A2737"/>
      <c r="B2737">
        <v>6</v>
      </c>
      <c r="C2737" s="43">
        <f>INDEX(DarlObj,6)</f>
      </c>
      <c r="D2737">
        <v>334</v>
      </c>
      <c r="E2737" s="51">
        <f>IF(INDEX(DarlBelegt,6)=0,0,EOMONTH(INDEX(DarlAuszahlung,6),333)+1)</f>
      </c>
      <c r="F2737" s="43">
        <f>IF($E2737=0,0,YEAR($E2737))</f>
      </c>
      <c r="G2737" s="43">
        <f>IF(INDEX(DarlBindung,6)="",1,IF($E2737&lt;=INDEX(DarlBindung,6),1,0))</f>
      </c>
      <c r="H2737" s="43">
        <f>IF($G2737=1,INDEX(DarlSollzins,6),INDEX(DarlAnschluss,6))</f>
      </c>
      <c r="I2737" s="43">
        <f>IF(INDEX(DarlBelegt,6)=0,0,IF(INDEX(DarlOhneTilgung,6)=1,IF(INDEX(DarlBindung,6)="",1,$G2737),IF($J2737&gt;0.005,1,0)))</f>
      </c>
      <c r="J2737" s="43">
        <f>IF($I2736=0,0,$R2736)</f>
      </c>
      <c r="K2737" s="43">
        <f>IF($I2737=0,0,IF(INDEX(DarlOhneTilgung,6)=1,0,IF(AND(INDEX(DarlTilgStart,6)&gt;0,$E2737=INDEX(DarlTilgStart,6)),$J2737*($H2737+INDEX(DarlTilgung,6))/100/12,IF(AND($G2737=0,$G2736=1),MAX($K2736,$J2737*($H2737+1)/100/12),$K2736))))</f>
      </c>
      <c r="L2737" s="43">
        <f>IF($I2737=0,0,$J2737*$H2737/100/12)</f>
      </c>
      <c r="M2737" s="43">
        <f>IF($I2737=0,0,IF(OR(INDEX(DarlOhneTilgung,6)=1,AND(INDEX(DarlTilgStart,6)&gt;0,$E2737&lt;INDEX(DarlTilgStart,6))),0,MIN(MAX(0,$K2737-$L2737),$J2737)))</f>
      </c>
      <c r="N2737" s="43">
        <f>IF($I2737=0,0,MIN(SUMIFS(SondBetrag,SondDarl,6,SondDatum,"&gt;="&amp;$E2737,SondDatum,"&lt;="&amp;EOMONTH($E2737,0)),$J2737-$M2737))</f>
      </c>
      <c r="O2737" s="43">
        <f>IF($I2737=0,0,INDEX(DarlErsatzRate,6))</f>
      </c>
      <c r="P2737" s="43">
        <f>IF($I2737=0,0,$Q2736*INDEX(DarlErsatzZins,6))</f>
      </c>
      <c r="Q2737" s="43">
        <f>IF($I2737=0,0,$Q2736+$P2737+$O2737)</f>
      </c>
      <c r="R2737" s="43">
        <f>IF($I2737=0,0,$J2737-$M2737-$N2737)</f>
      </c>
    </row>
    <row r="2738">
      <c r="A2738"/>
      <c r="B2738">
        <v>6</v>
      </c>
      <c r="C2738" s="43">
        <f>INDEX(DarlObj,6)</f>
      </c>
      <c r="D2738">
        <v>335</v>
      </c>
      <c r="E2738" s="51">
        <f>IF(INDEX(DarlBelegt,6)=0,0,EOMONTH(INDEX(DarlAuszahlung,6),334)+1)</f>
      </c>
      <c r="F2738" s="43">
        <f>IF($E2738=0,0,YEAR($E2738))</f>
      </c>
      <c r="G2738" s="43">
        <f>IF(INDEX(DarlBindung,6)="",1,IF($E2738&lt;=INDEX(DarlBindung,6),1,0))</f>
      </c>
      <c r="H2738" s="43">
        <f>IF($G2738=1,INDEX(DarlSollzins,6),INDEX(DarlAnschluss,6))</f>
      </c>
      <c r="I2738" s="43">
        <f>IF(INDEX(DarlBelegt,6)=0,0,IF(INDEX(DarlOhneTilgung,6)=1,IF(INDEX(DarlBindung,6)="",1,$G2738),IF($J2738&gt;0.005,1,0)))</f>
      </c>
      <c r="J2738" s="43">
        <f>IF($I2737=0,0,$R2737)</f>
      </c>
      <c r="K2738" s="43">
        <f>IF($I2738=0,0,IF(INDEX(DarlOhneTilgung,6)=1,0,IF(AND(INDEX(DarlTilgStart,6)&gt;0,$E2738=INDEX(DarlTilgStart,6)),$J2738*($H2738+INDEX(DarlTilgung,6))/100/12,IF(AND($G2738=0,$G2737=1),MAX($K2737,$J2738*($H2738+1)/100/12),$K2737))))</f>
      </c>
      <c r="L2738" s="43">
        <f>IF($I2738=0,0,$J2738*$H2738/100/12)</f>
      </c>
      <c r="M2738" s="43">
        <f>IF($I2738=0,0,IF(OR(INDEX(DarlOhneTilgung,6)=1,AND(INDEX(DarlTilgStart,6)&gt;0,$E2738&lt;INDEX(DarlTilgStart,6))),0,MIN(MAX(0,$K2738-$L2738),$J2738)))</f>
      </c>
      <c r="N2738" s="43">
        <f>IF($I2738=0,0,MIN(SUMIFS(SondBetrag,SondDarl,6,SondDatum,"&gt;="&amp;$E2738,SondDatum,"&lt;="&amp;EOMONTH($E2738,0)),$J2738-$M2738))</f>
      </c>
      <c r="O2738" s="43">
        <f>IF($I2738=0,0,INDEX(DarlErsatzRate,6))</f>
      </c>
      <c r="P2738" s="43">
        <f>IF($I2738=0,0,$Q2737*INDEX(DarlErsatzZins,6))</f>
      </c>
      <c r="Q2738" s="43">
        <f>IF($I2738=0,0,$Q2737+$P2738+$O2738)</f>
      </c>
      <c r="R2738" s="43">
        <f>IF($I2738=0,0,$J2738-$M2738-$N2738)</f>
      </c>
    </row>
    <row r="2739">
      <c r="A2739"/>
      <c r="B2739">
        <v>6</v>
      </c>
      <c r="C2739" s="43">
        <f>INDEX(DarlObj,6)</f>
      </c>
      <c r="D2739">
        <v>336</v>
      </c>
      <c r="E2739" s="51">
        <f>IF(INDEX(DarlBelegt,6)=0,0,EOMONTH(INDEX(DarlAuszahlung,6),335)+1)</f>
      </c>
      <c r="F2739" s="43">
        <f>IF($E2739=0,0,YEAR($E2739))</f>
      </c>
      <c r="G2739" s="43">
        <f>IF(INDEX(DarlBindung,6)="",1,IF($E2739&lt;=INDEX(DarlBindung,6),1,0))</f>
      </c>
      <c r="H2739" s="43">
        <f>IF($G2739=1,INDEX(DarlSollzins,6),INDEX(DarlAnschluss,6))</f>
      </c>
      <c r="I2739" s="43">
        <f>IF(INDEX(DarlBelegt,6)=0,0,IF(INDEX(DarlOhneTilgung,6)=1,IF(INDEX(DarlBindung,6)="",1,$G2739),IF($J2739&gt;0.005,1,0)))</f>
      </c>
      <c r="J2739" s="43">
        <f>IF($I2738=0,0,$R2738)</f>
      </c>
      <c r="K2739" s="43">
        <f>IF($I2739=0,0,IF(INDEX(DarlOhneTilgung,6)=1,0,IF(AND(INDEX(DarlTilgStart,6)&gt;0,$E2739=INDEX(DarlTilgStart,6)),$J2739*($H2739+INDEX(DarlTilgung,6))/100/12,IF(AND($G2739=0,$G2738=1),MAX($K2738,$J2739*($H2739+1)/100/12),$K2738))))</f>
      </c>
      <c r="L2739" s="43">
        <f>IF($I2739=0,0,$J2739*$H2739/100/12)</f>
      </c>
      <c r="M2739" s="43">
        <f>IF($I2739=0,0,IF(OR(INDEX(DarlOhneTilgung,6)=1,AND(INDEX(DarlTilgStart,6)&gt;0,$E2739&lt;INDEX(DarlTilgStart,6))),0,MIN(MAX(0,$K2739-$L2739),$J2739)))</f>
      </c>
      <c r="N2739" s="43">
        <f>IF($I2739=0,0,MIN(SUMIFS(SondBetrag,SondDarl,6,SondDatum,"&gt;="&amp;$E2739,SondDatum,"&lt;="&amp;EOMONTH($E2739,0)),$J2739-$M2739))</f>
      </c>
      <c r="O2739" s="43">
        <f>IF($I2739=0,0,INDEX(DarlErsatzRate,6))</f>
      </c>
      <c r="P2739" s="43">
        <f>IF($I2739=0,0,$Q2738*INDEX(DarlErsatzZins,6))</f>
      </c>
      <c r="Q2739" s="43">
        <f>IF($I2739=0,0,$Q2738+$P2739+$O2739)</f>
      </c>
      <c r="R2739" s="43">
        <f>IF($I2739=0,0,$J2739-$M2739-$N2739)</f>
      </c>
    </row>
    <row r="2740">
      <c r="A2740"/>
      <c r="B2740">
        <v>6</v>
      </c>
      <c r="C2740" s="43">
        <f>INDEX(DarlObj,6)</f>
      </c>
      <c r="D2740">
        <v>337</v>
      </c>
      <c r="E2740" s="51">
        <f>IF(INDEX(DarlBelegt,6)=0,0,EOMONTH(INDEX(DarlAuszahlung,6),336)+1)</f>
      </c>
      <c r="F2740" s="43">
        <f>IF($E2740=0,0,YEAR($E2740))</f>
      </c>
      <c r="G2740" s="43">
        <f>IF(INDEX(DarlBindung,6)="",1,IF($E2740&lt;=INDEX(DarlBindung,6),1,0))</f>
      </c>
      <c r="H2740" s="43">
        <f>IF($G2740=1,INDEX(DarlSollzins,6),INDEX(DarlAnschluss,6))</f>
      </c>
      <c r="I2740" s="43">
        <f>IF(INDEX(DarlBelegt,6)=0,0,IF(INDEX(DarlOhneTilgung,6)=1,IF(INDEX(DarlBindung,6)="",1,$G2740),IF($J2740&gt;0.005,1,0)))</f>
      </c>
      <c r="J2740" s="43">
        <f>IF($I2739=0,0,$R2739)</f>
      </c>
      <c r="K2740" s="43">
        <f>IF($I2740=0,0,IF(INDEX(DarlOhneTilgung,6)=1,0,IF(AND(INDEX(DarlTilgStart,6)&gt;0,$E2740=INDEX(DarlTilgStart,6)),$J2740*($H2740+INDEX(DarlTilgung,6))/100/12,IF(AND($G2740=0,$G2739=1),MAX($K2739,$J2740*($H2740+1)/100/12),$K2739))))</f>
      </c>
      <c r="L2740" s="43">
        <f>IF($I2740=0,0,$J2740*$H2740/100/12)</f>
      </c>
      <c r="M2740" s="43">
        <f>IF($I2740=0,0,IF(OR(INDEX(DarlOhneTilgung,6)=1,AND(INDEX(DarlTilgStart,6)&gt;0,$E2740&lt;INDEX(DarlTilgStart,6))),0,MIN(MAX(0,$K2740-$L2740),$J2740)))</f>
      </c>
      <c r="N2740" s="43">
        <f>IF($I2740=0,0,MIN(SUMIFS(SondBetrag,SondDarl,6,SondDatum,"&gt;="&amp;$E2740,SondDatum,"&lt;="&amp;EOMONTH($E2740,0)),$J2740-$M2740))</f>
      </c>
      <c r="O2740" s="43">
        <f>IF($I2740=0,0,INDEX(DarlErsatzRate,6))</f>
      </c>
      <c r="P2740" s="43">
        <f>IF($I2740=0,0,$Q2739*INDEX(DarlErsatzZins,6))</f>
      </c>
      <c r="Q2740" s="43">
        <f>IF($I2740=0,0,$Q2739+$P2740+$O2740)</f>
      </c>
      <c r="R2740" s="43">
        <f>IF($I2740=0,0,$J2740-$M2740-$N2740)</f>
      </c>
    </row>
    <row r="2741">
      <c r="A2741"/>
      <c r="B2741">
        <v>6</v>
      </c>
      <c r="C2741" s="43">
        <f>INDEX(DarlObj,6)</f>
      </c>
      <c r="D2741">
        <v>338</v>
      </c>
      <c r="E2741" s="51">
        <f>IF(INDEX(DarlBelegt,6)=0,0,EOMONTH(INDEX(DarlAuszahlung,6),337)+1)</f>
      </c>
      <c r="F2741" s="43">
        <f>IF($E2741=0,0,YEAR($E2741))</f>
      </c>
      <c r="G2741" s="43">
        <f>IF(INDEX(DarlBindung,6)="",1,IF($E2741&lt;=INDEX(DarlBindung,6),1,0))</f>
      </c>
      <c r="H2741" s="43">
        <f>IF($G2741=1,INDEX(DarlSollzins,6),INDEX(DarlAnschluss,6))</f>
      </c>
      <c r="I2741" s="43">
        <f>IF(INDEX(DarlBelegt,6)=0,0,IF(INDEX(DarlOhneTilgung,6)=1,IF(INDEX(DarlBindung,6)="",1,$G2741),IF($J2741&gt;0.005,1,0)))</f>
      </c>
      <c r="J2741" s="43">
        <f>IF($I2740=0,0,$R2740)</f>
      </c>
      <c r="K2741" s="43">
        <f>IF($I2741=0,0,IF(INDEX(DarlOhneTilgung,6)=1,0,IF(AND(INDEX(DarlTilgStart,6)&gt;0,$E2741=INDEX(DarlTilgStart,6)),$J2741*($H2741+INDEX(DarlTilgung,6))/100/12,IF(AND($G2741=0,$G2740=1),MAX($K2740,$J2741*($H2741+1)/100/12),$K2740))))</f>
      </c>
      <c r="L2741" s="43">
        <f>IF($I2741=0,0,$J2741*$H2741/100/12)</f>
      </c>
      <c r="M2741" s="43">
        <f>IF($I2741=0,0,IF(OR(INDEX(DarlOhneTilgung,6)=1,AND(INDEX(DarlTilgStart,6)&gt;0,$E2741&lt;INDEX(DarlTilgStart,6))),0,MIN(MAX(0,$K2741-$L2741),$J2741)))</f>
      </c>
      <c r="N2741" s="43">
        <f>IF($I2741=0,0,MIN(SUMIFS(SondBetrag,SondDarl,6,SondDatum,"&gt;="&amp;$E2741,SondDatum,"&lt;="&amp;EOMONTH($E2741,0)),$J2741-$M2741))</f>
      </c>
      <c r="O2741" s="43">
        <f>IF($I2741=0,0,INDEX(DarlErsatzRate,6))</f>
      </c>
      <c r="P2741" s="43">
        <f>IF($I2741=0,0,$Q2740*INDEX(DarlErsatzZins,6))</f>
      </c>
      <c r="Q2741" s="43">
        <f>IF($I2741=0,0,$Q2740+$P2741+$O2741)</f>
      </c>
      <c r="R2741" s="43">
        <f>IF($I2741=0,0,$J2741-$M2741-$N2741)</f>
      </c>
    </row>
    <row r="2742">
      <c r="A2742"/>
      <c r="B2742">
        <v>6</v>
      </c>
      <c r="C2742" s="43">
        <f>INDEX(DarlObj,6)</f>
      </c>
      <c r="D2742">
        <v>339</v>
      </c>
      <c r="E2742" s="51">
        <f>IF(INDEX(DarlBelegt,6)=0,0,EOMONTH(INDEX(DarlAuszahlung,6),338)+1)</f>
      </c>
      <c r="F2742" s="43">
        <f>IF($E2742=0,0,YEAR($E2742))</f>
      </c>
      <c r="G2742" s="43">
        <f>IF(INDEX(DarlBindung,6)="",1,IF($E2742&lt;=INDEX(DarlBindung,6),1,0))</f>
      </c>
      <c r="H2742" s="43">
        <f>IF($G2742=1,INDEX(DarlSollzins,6),INDEX(DarlAnschluss,6))</f>
      </c>
      <c r="I2742" s="43">
        <f>IF(INDEX(DarlBelegt,6)=0,0,IF(INDEX(DarlOhneTilgung,6)=1,IF(INDEX(DarlBindung,6)="",1,$G2742),IF($J2742&gt;0.005,1,0)))</f>
      </c>
      <c r="J2742" s="43">
        <f>IF($I2741=0,0,$R2741)</f>
      </c>
      <c r="K2742" s="43">
        <f>IF($I2742=0,0,IF(INDEX(DarlOhneTilgung,6)=1,0,IF(AND(INDEX(DarlTilgStart,6)&gt;0,$E2742=INDEX(DarlTilgStart,6)),$J2742*($H2742+INDEX(DarlTilgung,6))/100/12,IF(AND($G2742=0,$G2741=1),MAX($K2741,$J2742*($H2742+1)/100/12),$K2741))))</f>
      </c>
      <c r="L2742" s="43">
        <f>IF($I2742=0,0,$J2742*$H2742/100/12)</f>
      </c>
      <c r="M2742" s="43">
        <f>IF($I2742=0,0,IF(OR(INDEX(DarlOhneTilgung,6)=1,AND(INDEX(DarlTilgStart,6)&gt;0,$E2742&lt;INDEX(DarlTilgStart,6))),0,MIN(MAX(0,$K2742-$L2742),$J2742)))</f>
      </c>
      <c r="N2742" s="43">
        <f>IF($I2742=0,0,MIN(SUMIFS(SondBetrag,SondDarl,6,SondDatum,"&gt;="&amp;$E2742,SondDatum,"&lt;="&amp;EOMONTH($E2742,0)),$J2742-$M2742))</f>
      </c>
      <c r="O2742" s="43">
        <f>IF($I2742=0,0,INDEX(DarlErsatzRate,6))</f>
      </c>
      <c r="P2742" s="43">
        <f>IF($I2742=0,0,$Q2741*INDEX(DarlErsatzZins,6))</f>
      </c>
      <c r="Q2742" s="43">
        <f>IF($I2742=0,0,$Q2741+$P2742+$O2742)</f>
      </c>
      <c r="R2742" s="43">
        <f>IF($I2742=0,0,$J2742-$M2742-$N2742)</f>
      </c>
    </row>
    <row r="2743">
      <c r="A2743"/>
      <c r="B2743">
        <v>6</v>
      </c>
      <c r="C2743" s="43">
        <f>INDEX(DarlObj,6)</f>
      </c>
      <c r="D2743">
        <v>340</v>
      </c>
      <c r="E2743" s="51">
        <f>IF(INDEX(DarlBelegt,6)=0,0,EOMONTH(INDEX(DarlAuszahlung,6),339)+1)</f>
      </c>
      <c r="F2743" s="43">
        <f>IF($E2743=0,0,YEAR($E2743))</f>
      </c>
      <c r="G2743" s="43">
        <f>IF(INDEX(DarlBindung,6)="",1,IF($E2743&lt;=INDEX(DarlBindung,6),1,0))</f>
      </c>
      <c r="H2743" s="43">
        <f>IF($G2743=1,INDEX(DarlSollzins,6),INDEX(DarlAnschluss,6))</f>
      </c>
      <c r="I2743" s="43">
        <f>IF(INDEX(DarlBelegt,6)=0,0,IF(INDEX(DarlOhneTilgung,6)=1,IF(INDEX(DarlBindung,6)="",1,$G2743),IF($J2743&gt;0.005,1,0)))</f>
      </c>
      <c r="J2743" s="43">
        <f>IF($I2742=0,0,$R2742)</f>
      </c>
      <c r="K2743" s="43">
        <f>IF($I2743=0,0,IF(INDEX(DarlOhneTilgung,6)=1,0,IF(AND(INDEX(DarlTilgStart,6)&gt;0,$E2743=INDEX(DarlTilgStart,6)),$J2743*($H2743+INDEX(DarlTilgung,6))/100/12,IF(AND($G2743=0,$G2742=1),MAX($K2742,$J2743*($H2743+1)/100/12),$K2742))))</f>
      </c>
      <c r="L2743" s="43">
        <f>IF($I2743=0,0,$J2743*$H2743/100/12)</f>
      </c>
      <c r="M2743" s="43">
        <f>IF($I2743=0,0,IF(OR(INDEX(DarlOhneTilgung,6)=1,AND(INDEX(DarlTilgStart,6)&gt;0,$E2743&lt;INDEX(DarlTilgStart,6))),0,MIN(MAX(0,$K2743-$L2743),$J2743)))</f>
      </c>
      <c r="N2743" s="43">
        <f>IF($I2743=0,0,MIN(SUMIFS(SondBetrag,SondDarl,6,SondDatum,"&gt;="&amp;$E2743,SondDatum,"&lt;="&amp;EOMONTH($E2743,0)),$J2743-$M2743))</f>
      </c>
      <c r="O2743" s="43">
        <f>IF($I2743=0,0,INDEX(DarlErsatzRate,6))</f>
      </c>
      <c r="P2743" s="43">
        <f>IF($I2743=0,0,$Q2742*INDEX(DarlErsatzZins,6))</f>
      </c>
      <c r="Q2743" s="43">
        <f>IF($I2743=0,0,$Q2742+$P2743+$O2743)</f>
      </c>
      <c r="R2743" s="43">
        <f>IF($I2743=0,0,$J2743-$M2743-$N2743)</f>
      </c>
    </row>
    <row r="2744">
      <c r="A2744"/>
      <c r="B2744">
        <v>6</v>
      </c>
      <c r="C2744" s="43">
        <f>INDEX(DarlObj,6)</f>
      </c>
      <c r="D2744">
        <v>341</v>
      </c>
      <c r="E2744" s="51">
        <f>IF(INDEX(DarlBelegt,6)=0,0,EOMONTH(INDEX(DarlAuszahlung,6),340)+1)</f>
      </c>
      <c r="F2744" s="43">
        <f>IF($E2744=0,0,YEAR($E2744))</f>
      </c>
      <c r="G2744" s="43">
        <f>IF(INDEX(DarlBindung,6)="",1,IF($E2744&lt;=INDEX(DarlBindung,6),1,0))</f>
      </c>
      <c r="H2744" s="43">
        <f>IF($G2744=1,INDEX(DarlSollzins,6),INDEX(DarlAnschluss,6))</f>
      </c>
      <c r="I2744" s="43">
        <f>IF(INDEX(DarlBelegt,6)=0,0,IF(INDEX(DarlOhneTilgung,6)=1,IF(INDEX(DarlBindung,6)="",1,$G2744),IF($J2744&gt;0.005,1,0)))</f>
      </c>
      <c r="J2744" s="43">
        <f>IF($I2743=0,0,$R2743)</f>
      </c>
      <c r="K2744" s="43">
        <f>IF($I2744=0,0,IF(INDEX(DarlOhneTilgung,6)=1,0,IF(AND(INDEX(DarlTilgStart,6)&gt;0,$E2744=INDEX(DarlTilgStart,6)),$J2744*($H2744+INDEX(DarlTilgung,6))/100/12,IF(AND($G2744=0,$G2743=1),MAX($K2743,$J2744*($H2744+1)/100/12),$K2743))))</f>
      </c>
      <c r="L2744" s="43">
        <f>IF($I2744=0,0,$J2744*$H2744/100/12)</f>
      </c>
      <c r="M2744" s="43">
        <f>IF($I2744=0,0,IF(OR(INDEX(DarlOhneTilgung,6)=1,AND(INDEX(DarlTilgStart,6)&gt;0,$E2744&lt;INDEX(DarlTilgStart,6))),0,MIN(MAX(0,$K2744-$L2744),$J2744)))</f>
      </c>
      <c r="N2744" s="43">
        <f>IF($I2744=0,0,MIN(SUMIFS(SondBetrag,SondDarl,6,SondDatum,"&gt;="&amp;$E2744,SondDatum,"&lt;="&amp;EOMONTH($E2744,0)),$J2744-$M2744))</f>
      </c>
      <c r="O2744" s="43">
        <f>IF($I2744=0,0,INDEX(DarlErsatzRate,6))</f>
      </c>
      <c r="P2744" s="43">
        <f>IF($I2744=0,0,$Q2743*INDEX(DarlErsatzZins,6))</f>
      </c>
      <c r="Q2744" s="43">
        <f>IF($I2744=0,0,$Q2743+$P2744+$O2744)</f>
      </c>
      <c r="R2744" s="43">
        <f>IF($I2744=0,0,$J2744-$M2744-$N2744)</f>
      </c>
    </row>
    <row r="2745">
      <c r="A2745"/>
      <c r="B2745">
        <v>6</v>
      </c>
      <c r="C2745" s="43">
        <f>INDEX(DarlObj,6)</f>
      </c>
      <c r="D2745">
        <v>342</v>
      </c>
      <c r="E2745" s="51">
        <f>IF(INDEX(DarlBelegt,6)=0,0,EOMONTH(INDEX(DarlAuszahlung,6),341)+1)</f>
      </c>
      <c r="F2745" s="43">
        <f>IF($E2745=0,0,YEAR($E2745))</f>
      </c>
      <c r="G2745" s="43">
        <f>IF(INDEX(DarlBindung,6)="",1,IF($E2745&lt;=INDEX(DarlBindung,6),1,0))</f>
      </c>
      <c r="H2745" s="43">
        <f>IF($G2745=1,INDEX(DarlSollzins,6),INDEX(DarlAnschluss,6))</f>
      </c>
      <c r="I2745" s="43">
        <f>IF(INDEX(DarlBelegt,6)=0,0,IF(INDEX(DarlOhneTilgung,6)=1,IF(INDEX(DarlBindung,6)="",1,$G2745),IF($J2745&gt;0.005,1,0)))</f>
      </c>
      <c r="J2745" s="43">
        <f>IF($I2744=0,0,$R2744)</f>
      </c>
      <c r="K2745" s="43">
        <f>IF($I2745=0,0,IF(INDEX(DarlOhneTilgung,6)=1,0,IF(AND(INDEX(DarlTilgStart,6)&gt;0,$E2745=INDEX(DarlTilgStart,6)),$J2745*($H2745+INDEX(DarlTilgung,6))/100/12,IF(AND($G2745=0,$G2744=1),MAX($K2744,$J2745*($H2745+1)/100/12),$K2744))))</f>
      </c>
      <c r="L2745" s="43">
        <f>IF($I2745=0,0,$J2745*$H2745/100/12)</f>
      </c>
      <c r="M2745" s="43">
        <f>IF($I2745=0,0,IF(OR(INDEX(DarlOhneTilgung,6)=1,AND(INDEX(DarlTilgStart,6)&gt;0,$E2745&lt;INDEX(DarlTilgStart,6))),0,MIN(MAX(0,$K2745-$L2745),$J2745)))</f>
      </c>
      <c r="N2745" s="43">
        <f>IF($I2745=0,0,MIN(SUMIFS(SondBetrag,SondDarl,6,SondDatum,"&gt;="&amp;$E2745,SondDatum,"&lt;="&amp;EOMONTH($E2745,0)),$J2745-$M2745))</f>
      </c>
      <c r="O2745" s="43">
        <f>IF($I2745=0,0,INDEX(DarlErsatzRate,6))</f>
      </c>
      <c r="P2745" s="43">
        <f>IF($I2745=0,0,$Q2744*INDEX(DarlErsatzZins,6))</f>
      </c>
      <c r="Q2745" s="43">
        <f>IF($I2745=0,0,$Q2744+$P2745+$O2745)</f>
      </c>
      <c r="R2745" s="43">
        <f>IF($I2745=0,0,$J2745-$M2745-$N2745)</f>
      </c>
    </row>
    <row r="2746">
      <c r="A2746"/>
      <c r="B2746">
        <v>6</v>
      </c>
      <c r="C2746" s="43">
        <f>INDEX(DarlObj,6)</f>
      </c>
      <c r="D2746">
        <v>343</v>
      </c>
      <c r="E2746" s="51">
        <f>IF(INDEX(DarlBelegt,6)=0,0,EOMONTH(INDEX(DarlAuszahlung,6),342)+1)</f>
      </c>
      <c r="F2746" s="43">
        <f>IF($E2746=0,0,YEAR($E2746))</f>
      </c>
      <c r="G2746" s="43">
        <f>IF(INDEX(DarlBindung,6)="",1,IF($E2746&lt;=INDEX(DarlBindung,6),1,0))</f>
      </c>
      <c r="H2746" s="43">
        <f>IF($G2746=1,INDEX(DarlSollzins,6),INDEX(DarlAnschluss,6))</f>
      </c>
      <c r="I2746" s="43">
        <f>IF(INDEX(DarlBelegt,6)=0,0,IF(INDEX(DarlOhneTilgung,6)=1,IF(INDEX(DarlBindung,6)="",1,$G2746),IF($J2746&gt;0.005,1,0)))</f>
      </c>
      <c r="J2746" s="43">
        <f>IF($I2745=0,0,$R2745)</f>
      </c>
      <c r="K2746" s="43">
        <f>IF($I2746=0,0,IF(INDEX(DarlOhneTilgung,6)=1,0,IF(AND(INDEX(DarlTilgStart,6)&gt;0,$E2746=INDEX(DarlTilgStart,6)),$J2746*($H2746+INDEX(DarlTilgung,6))/100/12,IF(AND($G2746=0,$G2745=1),MAX($K2745,$J2746*($H2746+1)/100/12),$K2745))))</f>
      </c>
      <c r="L2746" s="43">
        <f>IF($I2746=0,0,$J2746*$H2746/100/12)</f>
      </c>
      <c r="M2746" s="43">
        <f>IF($I2746=0,0,IF(OR(INDEX(DarlOhneTilgung,6)=1,AND(INDEX(DarlTilgStart,6)&gt;0,$E2746&lt;INDEX(DarlTilgStart,6))),0,MIN(MAX(0,$K2746-$L2746),$J2746)))</f>
      </c>
      <c r="N2746" s="43">
        <f>IF($I2746=0,0,MIN(SUMIFS(SondBetrag,SondDarl,6,SondDatum,"&gt;="&amp;$E2746,SondDatum,"&lt;="&amp;EOMONTH($E2746,0)),$J2746-$M2746))</f>
      </c>
      <c r="O2746" s="43">
        <f>IF($I2746=0,0,INDEX(DarlErsatzRate,6))</f>
      </c>
      <c r="P2746" s="43">
        <f>IF($I2746=0,0,$Q2745*INDEX(DarlErsatzZins,6))</f>
      </c>
      <c r="Q2746" s="43">
        <f>IF($I2746=0,0,$Q2745+$P2746+$O2746)</f>
      </c>
      <c r="R2746" s="43">
        <f>IF($I2746=0,0,$J2746-$M2746-$N2746)</f>
      </c>
    </row>
    <row r="2747">
      <c r="A2747"/>
      <c r="B2747">
        <v>6</v>
      </c>
      <c r="C2747" s="43">
        <f>INDEX(DarlObj,6)</f>
      </c>
      <c r="D2747">
        <v>344</v>
      </c>
      <c r="E2747" s="51">
        <f>IF(INDEX(DarlBelegt,6)=0,0,EOMONTH(INDEX(DarlAuszahlung,6),343)+1)</f>
      </c>
      <c r="F2747" s="43">
        <f>IF($E2747=0,0,YEAR($E2747))</f>
      </c>
      <c r="G2747" s="43">
        <f>IF(INDEX(DarlBindung,6)="",1,IF($E2747&lt;=INDEX(DarlBindung,6),1,0))</f>
      </c>
      <c r="H2747" s="43">
        <f>IF($G2747=1,INDEX(DarlSollzins,6),INDEX(DarlAnschluss,6))</f>
      </c>
      <c r="I2747" s="43">
        <f>IF(INDEX(DarlBelegt,6)=0,0,IF(INDEX(DarlOhneTilgung,6)=1,IF(INDEX(DarlBindung,6)="",1,$G2747),IF($J2747&gt;0.005,1,0)))</f>
      </c>
      <c r="J2747" s="43">
        <f>IF($I2746=0,0,$R2746)</f>
      </c>
      <c r="K2747" s="43">
        <f>IF($I2747=0,0,IF(INDEX(DarlOhneTilgung,6)=1,0,IF(AND(INDEX(DarlTilgStart,6)&gt;0,$E2747=INDEX(DarlTilgStart,6)),$J2747*($H2747+INDEX(DarlTilgung,6))/100/12,IF(AND($G2747=0,$G2746=1),MAX($K2746,$J2747*($H2747+1)/100/12),$K2746))))</f>
      </c>
      <c r="L2747" s="43">
        <f>IF($I2747=0,0,$J2747*$H2747/100/12)</f>
      </c>
      <c r="M2747" s="43">
        <f>IF($I2747=0,0,IF(OR(INDEX(DarlOhneTilgung,6)=1,AND(INDEX(DarlTilgStart,6)&gt;0,$E2747&lt;INDEX(DarlTilgStart,6))),0,MIN(MAX(0,$K2747-$L2747),$J2747)))</f>
      </c>
      <c r="N2747" s="43">
        <f>IF($I2747=0,0,MIN(SUMIFS(SondBetrag,SondDarl,6,SondDatum,"&gt;="&amp;$E2747,SondDatum,"&lt;="&amp;EOMONTH($E2747,0)),$J2747-$M2747))</f>
      </c>
      <c r="O2747" s="43">
        <f>IF($I2747=0,0,INDEX(DarlErsatzRate,6))</f>
      </c>
      <c r="P2747" s="43">
        <f>IF($I2747=0,0,$Q2746*INDEX(DarlErsatzZins,6))</f>
      </c>
      <c r="Q2747" s="43">
        <f>IF($I2747=0,0,$Q2746+$P2747+$O2747)</f>
      </c>
      <c r="R2747" s="43">
        <f>IF($I2747=0,0,$J2747-$M2747-$N2747)</f>
      </c>
    </row>
    <row r="2748">
      <c r="A2748"/>
      <c r="B2748">
        <v>6</v>
      </c>
      <c r="C2748" s="43">
        <f>INDEX(DarlObj,6)</f>
      </c>
      <c r="D2748">
        <v>345</v>
      </c>
      <c r="E2748" s="51">
        <f>IF(INDEX(DarlBelegt,6)=0,0,EOMONTH(INDEX(DarlAuszahlung,6),344)+1)</f>
      </c>
      <c r="F2748" s="43">
        <f>IF($E2748=0,0,YEAR($E2748))</f>
      </c>
      <c r="G2748" s="43">
        <f>IF(INDEX(DarlBindung,6)="",1,IF($E2748&lt;=INDEX(DarlBindung,6),1,0))</f>
      </c>
      <c r="H2748" s="43">
        <f>IF($G2748=1,INDEX(DarlSollzins,6),INDEX(DarlAnschluss,6))</f>
      </c>
      <c r="I2748" s="43">
        <f>IF(INDEX(DarlBelegt,6)=0,0,IF(INDEX(DarlOhneTilgung,6)=1,IF(INDEX(DarlBindung,6)="",1,$G2748),IF($J2748&gt;0.005,1,0)))</f>
      </c>
      <c r="J2748" s="43">
        <f>IF($I2747=0,0,$R2747)</f>
      </c>
      <c r="K2748" s="43">
        <f>IF($I2748=0,0,IF(INDEX(DarlOhneTilgung,6)=1,0,IF(AND(INDEX(DarlTilgStart,6)&gt;0,$E2748=INDEX(DarlTilgStart,6)),$J2748*($H2748+INDEX(DarlTilgung,6))/100/12,IF(AND($G2748=0,$G2747=1),MAX($K2747,$J2748*($H2748+1)/100/12),$K2747))))</f>
      </c>
      <c r="L2748" s="43">
        <f>IF($I2748=0,0,$J2748*$H2748/100/12)</f>
      </c>
      <c r="M2748" s="43">
        <f>IF($I2748=0,0,IF(OR(INDEX(DarlOhneTilgung,6)=1,AND(INDEX(DarlTilgStart,6)&gt;0,$E2748&lt;INDEX(DarlTilgStart,6))),0,MIN(MAX(0,$K2748-$L2748),$J2748)))</f>
      </c>
      <c r="N2748" s="43">
        <f>IF($I2748=0,0,MIN(SUMIFS(SondBetrag,SondDarl,6,SondDatum,"&gt;="&amp;$E2748,SondDatum,"&lt;="&amp;EOMONTH($E2748,0)),$J2748-$M2748))</f>
      </c>
      <c r="O2748" s="43">
        <f>IF($I2748=0,0,INDEX(DarlErsatzRate,6))</f>
      </c>
      <c r="P2748" s="43">
        <f>IF($I2748=0,0,$Q2747*INDEX(DarlErsatzZins,6))</f>
      </c>
      <c r="Q2748" s="43">
        <f>IF($I2748=0,0,$Q2747+$P2748+$O2748)</f>
      </c>
      <c r="R2748" s="43">
        <f>IF($I2748=0,0,$J2748-$M2748-$N2748)</f>
      </c>
    </row>
    <row r="2749">
      <c r="A2749"/>
      <c r="B2749">
        <v>6</v>
      </c>
      <c r="C2749" s="43">
        <f>INDEX(DarlObj,6)</f>
      </c>
      <c r="D2749">
        <v>346</v>
      </c>
      <c r="E2749" s="51">
        <f>IF(INDEX(DarlBelegt,6)=0,0,EOMONTH(INDEX(DarlAuszahlung,6),345)+1)</f>
      </c>
      <c r="F2749" s="43">
        <f>IF($E2749=0,0,YEAR($E2749))</f>
      </c>
      <c r="G2749" s="43">
        <f>IF(INDEX(DarlBindung,6)="",1,IF($E2749&lt;=INDEX(DarlBindung,6),1,0))</f>
      </c>
      <c r="H2749" s="43">
        <f>IF($G2749=1,INDEX(DarlSollzins,6),INDEX(DarlAnschluss,6))</f>
      </c>
      <c r="I2749" s="43">
        <f>IF(INDEX(DarlBelegt,6)=0,0,IF(INDEX(DarlOhneTilgung,6)=1,IF(INDEX(DarlBindung,6)="",1,$G2749),IF($J2749&gt;0.005,1,0)))</f>
      </c>
      <c r="J2749" s="43">
        <f>IF($I2748=0,0,$R2748)</f>
      </c>
      <c r="K2749" s="43">
        <f>IF($I2749=0,0,IF(INDEX(DarlOhneTilgung,6)=1,0,IF(AND(INDEX(DarlTilgStart,6)&gt;0,$E2749=INDEX(DarlTilgStart,6)),$J2749*($H2749+INDEX(DarlTilgung,6))/100/12,IF(AND($G2749=0,$G2748=1),MAX($K2748,$J2749*($H2749+1)/100/12),$K2748))))</f>
      </c>
      <c r="L2749" s="43">
        <f>IF($I2749=0,0,$J2749*$H2749/100/12)</f>
      </c>
      <c r="M2749" s="43">
        <f>IF($I2749=0,0,IF(OR(INDEX(DarlOhneTilgung,6)=1,AND(INDEX(DarlTilgStart,6)&gt;0,$E2749&lt;INDEX(DarlTilgStart,6))),0,MIN(MAX(0,$K2749-$L2749),$J2749)))</f>
      </c>
      <c r="N2749" s="43">
        <f>IF($I2749=0,0,MIN(SUMIFS(SondBetrag,SondDarl,6,SondDatum,"&gt;="&amp;$E2749,SondDatum,"&lt;="&amp;EOMONTH($E2749,0)),$J2749-$M2749))</f>
      </c>
      <c r="O2749" s="43">
        <f>IF($I2749=0,0,INDEX(DarlErsatzRate,6))</f>
      </c>
      <c r="P2749" s="43">
        <f>IF($I2749=0,0,$Q2748*INDEX(DarlErsatzZins,6))</f>
      </c>
      <c r="Q2749" s="43">
        <f>IF($I2749=0,0,$Q2748+$P2749+$O2749)</f>
      </c>
      <c r="R2749" s="43">
        <f>IF($I2749=0,0,$J2749-$M2749-$N2749)</f>
      </c>
    </row>
    <row r="2750">
      <c r="A2750"/>
      <c r="B2750">
        <v>6</v>
      </c>
      <c r="C2750" s="43">
        <f>INDEX(DarlObj,6)</f>
      </c>
      <c r="D2750">
        <v>347</v>
      </c>
      <c r="E2750" s="51">
        <f>IF(INDEX(DarlBelegt,6)=0,0,EOMONTH(INDEX(DarlAuszahlung,6),346)+1)</f>
      </c>
      <c r="F2750" s="43">
        <f>IF($E2750=0,0,YEAR($E2750))</f>
      </c>
      <c r="G2750" s="43">
        <f>IF(INDEX(DarlBindung,6)="",1,IF($E2750&lt;=INDEX(DarlBindung,6),1,0))</f>
      </c>
      <c r="H2750" s="43">
        <f>IF($G2750=1,INDEX(DarlSollzins,6),INDEX(DarlAnschluss,6))</f>
      </c>
      <c r="I2750" s="43">
        <f>IF(INDEX(DarlBelegt,6)=0,0,IF(INDEX(DarlOhneTilgung,6)=1,IF(INDEX(DarlBindung,6)="",1,$G2750),IF($J2750&gt;0.005,1,0)))</f>
      </c>
      <c r="J2750" s="43">
        <f>IF($I2749=0,0,$R2749)</f>
      </c>
      <c r="K2750" s="43">
        <f>IF($I2750=0,0,IF(INDEX(DarlOhneTilgung,6)=1,0,IF(AND(INDEX(DarlTilgStart,6)&gt;0,$E2750=INDEX(DarlTilgStart,6)),$J2750*($H2750+INDEX(DarlTilgung,6))/100/12,IF(AND($G2750=0,$G2749=1),MAX($K2749,$J2750*($H2750+1)/100/12),$K2749))))</f>
      </c>
      <c r="L2750" s="43">
        <f>IF($I2750=0,0,$J2750*$H2750/100/12)</f>
      </c>
      <c r="M2750" s="43">
        <f>IF($I2750=0,0,IF(OR(INDEX(DarlOhneTilgung,6)=1,AND(INDEX(DarlTilgStart,6)&gt;0,$E2750&lt;INDEX(DarlTilgStart,6))),0,MIN(MAX(0,$K2750-$L2750),$J2750)))</f>
      </c>
      <c r="N2750" s="43">
        <f>IF($I2750=0,0,MIN(SUMIFS(SondBetrag,SondDarl,6,SondDatum,"&gt;="&amp;$E2750,SondDatum,"&lt;="&amp;EOMONTH($E2750,0)),$J2750-$M2750))</f>
      </c>
      <c r="O2750" s="43">
        <f>IF($I2750=0,0,INDEX(DarlErsatzRate,6))</f>
      </c>
      <c r="P2750" s="43">
        <f>IF($I2750=0,0,$Q2749*INDEX(DarlErsatzZins,6))</f>
      </c>
      <c r="Q2750" s="43">
        <f>IF($I2750=0,0,$Q2749+$P2750+$O2750)</f>
      </c>
      <c r="R2750" s="43">
        <f>IF($I2750=0,0,$J2750-$M2750-$N2750)</f>
      </c>
    </row>
    <row r="2751">
      <c r="A2751"/>
      <c r="B2751">
        <v>6</v>
      </c>
      <c r="C2751" s="43">
        <f>INDEX(DarlObj,6)</f>
      </c>
      <c r="D2751">
        <v>348</v>
      </c>
      <c r="E2751" s="51">
        <f>IF(INDEX(DarlBelegt,6)=0,0,EOMONTH(INDEX(DarlAuszahlung,6),347)+1)</f>
      </c>
      <c r="F2751" s="43">
        <f>IF($E2751=0,0,YEAR($E2751))</f>
      </c>
      <c r="G2751" s="43">
        <f>IF(INDEX(DarlBindung,6)="",1,IF($E2751&lt;=INDEX(DarlBindung,6),1,0))</f>
      </c>
      <c r="H2751" s="43">
        <f>IF($G2751=1,INDEX(DarlSollzins,6),INDEX(DarlAnschluss,6))</f>
      </c>
      <c r="I2751" s="43">
        <f>IF(INDEX(DarlBelegt,6)=0,0,IF(INDEX(DarlOhneTilgung,6)=1,IF(INDEX(DarlBindung,6)="",1,$G2751),IF($J2751&gt;0.005,1,0)))</f>
      </c>
      <c r="J2751" s="43">
        <f>IF($I2750=0,0,$R2750)</f>
      </c>
      <c r="K2751" s="43">
        <f>IF($I2751=0,0,IF(INDEX(DarlOhneTilgung,6)=1,0,IF(AND(INDEX(DarlTilgStart,6)&gt;0,$E2751=INDEX(DarlTilgStart,6)),$J2751*($H2751+INDEX(DarlTilgung,6))/100/12,IF(AND($G2751=0,$G2750=1),MAX($K2750,$J2751*($H2751+1)/100/12),$K2750))))</f>
      </c>
      <c r="L2751" s="43">
        <f>IF($I2751=0,0,$J2751*$H2751/100/12)</f>
      </c>
      <c r="M2751" s="43">
        <f>IF($I2751=0,0,IF(OR(INDEX(DarlOhneTilgung,6)=1,AND(INDEX(DarlTilgStart,6)&gt;0,$E2751&lt;INDEX(DarlTilgStart,6))),0,MIN(MAX(0,$K2751-$L2751),$J2751)))</f>
      </c>
      <c r="N2751" s="43">
        <f>IF($I2751=0,0,MIN(SUMIFS(SondBetrag,SondDarl,6,SondDatum,"&gt;="&amp;$E2751,SondDatum,"&lt;="&amp;EOMONTH($E2751,0)),$J2751-$M2751))</f>
      </c>
      <c r="O2751" s="43">
        <f>IF($I2751=0,0,INDEX(DarlErsatzRate,6))</f>
      </c>
      <c r="P2751" s="43">
        <f>IF($I2751=0,0,$Q2750*INDEX(DarlErsatzZins,6))</f>
      </c>
      <c r="Q2751" s="43">
        <f>IF($I2751=0,0,$Q2750+$P2751+$O2751)</f>
      </c>
      <c r="R2751" s="43">
        <f>IF($I2751=0,0,$J2751-$M2751-$N2751)</f>
      </c>
    </row>
    <row r="2752">
      <c r="A2752"/>
      <c r="B2752">
        <v>6</v>
      </c>
      <c r="C2752" s="43">
        <f>INDEX(DarlObj,6)</f>
      </c>
      <c r="D2752">
        <v>349</v>
      </c>
      <c r="E2752" s="51">
        <f>IF(INDEX(DarlBelegt,6)=0,0,EOMONTH(INDEX(DarlAuszahlung,6),348)+1)</f>
      </c>
      <c r="F2752" s="43">
        <f>IF($E2752=0,0,YEAR($E2752))</f>
      </c>
      <c r="G2752" s="43">
        <f>IF(INDEX(DarlBindung,6)="",1,IF($E2752&lt;=INDEX(DarlBindung,6),1,0))</f>
      </c>
      <c r="H2752" s="43">
        <f>IF($G2752=1,INDEX(DarlSollzins,6),INDEX(DarlAnschluss,6))</f>
      </c>
      <c r="I2752" s="43">
        <f>IF(INDEX(DarlBelegt,6)=0,0,IF(INDEX(DarlOhneTilgung,6)=1,IF(INDEX(DarlBindung,6)="",1,$G2752),IF($J2752&gt;0.005,1,0)))</f>
      </c>
      <c r="J2752" s="43">
        <f>IF($I2751=0,0,$R2751)</f>
      </c>
      <c r="K2752" s="43">
        <f>IF($I2752=0,0,IF(INDEX(DarlOhneTilgung,6)=1,0,IF(AND(INDEX(DarlTilgStart,6)&gt;0,$E2752=INDEX(DarlTilgStart,6)),$J2752*($H2752+INDEX(DarlTilgung,6))/100/12,IF(AND($G2752=0,$G2751=1),MAX($K2751,$J2752*($H2752+1)/100/12),$K2751))))</f>
      </c>
      <c r="L2752" s="43">
        <f>IF($I2752=0,0,$J2752*$H2752/100/12)</f>
      </c>
      <c r="M2752" s="43">
        <f>IF($I2752=0,0,IF(OR(INDEX(DarlOhneTilgung,6)=1,AND(INDEX(DarlTilgStart,6)&gt;0,$E2752&lt;INDEX(DarlTilgStart,6))),0,MIN(MAX(0,$K2752-$L2752),$J2752)))</f>
      </c>
      <c r="N2752" s="43">
        <f>IF($I2752=0,0,MIN(SUMIFS(SondBetrag,SondDarl,6,SondDatum,"&gt;="&amp;$E2752,SondDatum,"&lt;="&amp;EOMONTH($E2752,0)),$J2752-$M2752))</f>
      </c>
      <c r="O2752" s="43">
        <f>IF($I2752=0,0,INDEX(DarlErsatzRate,6))</f>
      </c>
      <c r="P2752" s="43">
        <f>IF($I2752=0,0,$Q2751*INDEX(DarlErsatzZins,6))</f>
      </c>
      <c r="Q2752" s="43">
        <f>IF($I2752=0,0,$Q2751+$P2752+$O2752)</f>
      </c>
      <c r="R2752" s="43">
        <f>IF($I2752=0,0,$J2752-$M2752-$N2752)</f>
      </c>
    </row>
    <row r="2753">
      <c r="A2753"/>
      <c r="B2753">
        <v>6</v>
      </c>
      <c r="C2753" s="43">
        <f>INDEX(DarlObj,6)</f>
      </c>
      <c r="D2753">
        <v>350</v>
      </c>
      <c r="E2753" s="51">
        <f>IF(INDEX(DarlBelegt,6)=0,0,EOMONTH(INDEX(DarlAuszahlung,6),349)+1)</f>
      </c>
      <c r="F2753" s="43">
        <f>IF($E2753=0,0,YEAR($E2753))</f>
      </c>
      <c r="G2753" s="43">
        <f>IF(INDEX(DarlBindung,6)="",1,IF($E2753&lt;=INDEX(DarlBindung,6),1,0))</f>
      </c>
      <c r="H2753" s="43">
        <f>IF($G2753=1,INDEX(DarlSollzins,6),INDEX(DarlAnschluss,6))</f>
      </c>
      <c r="I2753" s="43">
        <f>IF(INDEX(DarlBelegt,6)=0,0,IF(INDEX(DarlOhneTilgung,6)=1,IF(INDEX(DarlBindung,6)="",1,$G2753),IF($J2753&gt;0.005,1,0)))</f>
      </c>
      <c r="J2753" s="43">
        <f>IF($I2752=0,0,$R2752)</f>
      </c>
      <c r="K2753" s="43">
        <f>IF($I2753=0,0,IF(INDEX(DarlOhneTilgung,6)=1,0,IF(AND(INDEX(DarlTilgStart,6)&gt;0,$E2753=INDEX(DarlTilgStart,6)),$J2753*($H2753+INDEX(DarlTilgung,6))/100/12,IF(AND($G2753=0,$G2752=1),MAX($K2752,$J2753*($H2753+1)/100/12),$K2752))))</f>
      </c>
      <c r="L2753" s="43">
        <f>IF($I2753=0,0,$J2753*$H2753/100/12)</f>
      </c>
      <c r="M2753" s="43">
        <f>IF($I2753=0,0,IF(OR(INDEX(DarlOhneTilgung,6)=1,AND(INDEX(DarlTilgStart,6)&gt;0,$E2753&lt;INDEX(DarlTilgStart,6))),0,MIN(MAX(0,$K2753-$L2753),$J2753)))</f>
      </c>
      <c r="N2753" s="43">
        <f>IF($I2753=0,0,MIN(SUMIFS(SondBetrag,SondDarl,6,SondDatum,"&gt;="&amp;$E2753,SondDatum,"&lt;="&amp;EOMONTH($E2753,0)),$J2753-$M2753))</f>
      </c>
      <c r="O2753" s="43">
        <f>IF($I2753=0,0,INDEX(DarlErsatzRate,6))</f>
      </c>
      <c r="P2753" s="43">
        <f>IF($I2753=0,0,$Q2752*INDEX(DarlErsatzZins,6))</f>
      </c>
      <c r="Q2753" s="43">
        <f>IF($I2753=0,0,$Q2752+$P2753+$O2753)</f>
      </c>
      <c r="R2753" s="43">
        <f>IF($I2753=0,0,$J2753-$M2753-$N2753)</f>
      </c>
    </row>
    <row r="2754">
      <c r="A2754"/>
      <c r="B2754">
        <v>6</v>
      </c>
      <c r="C2754" s="43">
        <f>INDEX(DarlObj,6)</f>
      </c>
      <c r="D2754">
        <v>351</v>
      </c>
      <c r="E2754" s="51">
        <f>IF(INDEX(DarlBelegt,6)=0,0,EOMONTH(INDEX(DarlAuszahlung,6),350)+1)</f>
      </c>
      <c r="F2754" s="43">
        <f>IF($E2754=0,0,YEAR($E2754))</f>
      </c>
      <c r="G2754" s="43">
        <f>IF(INDEX(DarlBindung,6)="",1,IF($E2754&lt;=INDEX(DarlBindung,6),1,0))</f>
      </c>
      <c r="H2754" s="43">
        <f>IF($G2754=1,INDEX(DarlSollzins,6),INDEX(DarlAnschluss,6))</f>
      </c>
      <c r="I2754" s="43">
        <f>IF(INDEX(DarlBelegt,6)=0,0,IF(INDEX(DarlOhneTilgung,6)=1,IF(INDEX(DarlBindung,6)="",1,$G2754),IF($J2754&gt;0.005,1,0)))</f>
      </c>
      <c r="J2754" s="43">
        <f>IF($I2753=0,0,$R2753)</f>
      </c>
      <c r="K2754" s="43">
        <f>IF($I2754=0,0,IF(INDEX(DarlOhneTilgung,6)=1,0,IF(AND(INDEX(DarlTilgStart,6)&gt;0,$E2754=INDEX(DarlTilgStart,6)),$J2754*($H2754+INDEX(DarlTilgung,6))/100/12,IF(AND($G2754=0,$G2753=1),MAX($K2753,$J2754*($H2754+1)/100/12),$K2753))))</f>
      </c>
      <c r="L2754" s="43">
        <f>IF($I2754=0,0,$J2754*$H2754/100/12)</f>
      </c>
      <c r="M2754" s="43">
        <f>IF($I2754=0,0,IF(OR(INDEX(DarlOhneTilgung,6)=1,AND(INDEX(DarlTilgStart,6)&gt;0,$E2754&lt;INDEX(DarlTilgStart,6))),0,MIN(MAX(0,$K2754-$L2754),$J2754)))</f>
      </c>
      <c r="N2754" s="43">
        <f>IF($I2754=0,0,MIN(SUMIFS(SondBetrag,SondDarl,6,SondDatum,"&gt;="&amp;$E2754,SondDatum,"&lt;="&amp;EOMONTH($E2754,0)),$J2754-$M2754))</f>
      </c>
      <c r="O2754" s="43">
        <f>IF($I2754=0,0,INDEX(DarlErsatzRate,6))</f>
      </c>
      <c r="P2754" s="43">
        <f>IF($I2754=0,0,$Q2753*INDEX(DarlErsatzZins,6))</f>
      </c>
      <c r="Q2754" s="43">
        <f>IF($I2754=0,0,$Q2753+$P2754+$O2754)</f>
      </c>
      <c r="R2754" s="43">
        <f>IF($I2754=0,0,$J2754-$M2754-$N2754)</f>
      </c>
    </row>
    <row r="2755">
      <c r="A2755"/>
      <c r="B2755">
        <v>6</v>
      </c>
      <c r="C2755" s="43">
        <f>INDEX(DarlObj,6)</f>
      </c>
      <c r="D2755">
        <v>352</v>
      </c>
      <c r="E2755" s="51">
        <f>IF(INDEX(DarlBelegt,6)=0,0,EOMONTH(INDEX(DarlAuszahlung,6),351)+1)</f>
      </c>
      <c r="F2755" s="43">
        <f>IF($E2755=0,0,YEAR($E2755))</f>
      </c>
      <c r="G2755" s="43">
        <f>IF(INDEX(DarlBindung,6)="",1,IF($E2755&lt;=INDEX(DarlBindung,6),1,0))</f>
      </c>
      <c r="H2755" s="43">
        <f>IF($G2755=1,INDEX(DarlSollzins,6),INDEX(DarlAnschluss,6))</f>
      </c>
      <c r="I2755" s="43">
        <f>IF(INDEX(DarlBelegt,6)=0,0,IF(INDEX(DarlOhneTilgung,6)=1,IF(INDEX(DarlBindung,6)="",1,$G2755),IF($J2755&gt;0.005,1,0)))</f>
      </c>
      <c r="J2755" s="43">
        <f>IF($I2754=0,0,$R2754)</f>
      </c>
      <c r="K2755" s="43">
        <f>IF($I2755=0,0,IF(INDEX(DarlOhneTilgung,6)=1,0,IF(AND(INDEX(DarlTilgStart,6)&gt;0,$E2755=INDEX(DarlTilgStart,6)),$J2755*($H2755+INDEX(DarlTilgung,6))/100/12,IF(AND($G2755=0,$G2754=1),MAX($K2754,$J2755*($H2755+1)/100/12),$K2754))))</f>
      </c>
      <c r="L2755" s="43">
        <f>IF($I2755=0,0,$J2755*$H2755/100/12)</f>
      </c>
      <c r="M2755" s="43">
        <f>IF($I2755=0,0,IF(OR(INDEX(DarlOhneTilgung,6)=1,AND(INDEX(DarlTilgStart,6)&gt;0,$E2755&lt;INDEX(DarlTilgStart,6))),0,MIN(MAX(0,$K2755-$L2755),$J2755)))</f>
      </c>
      <c r="N2755" s="43">
        <f>IF($I2755=0,0,MIN(SUMIFS(SondBetrag,SondDarl,6,SondDatum,"&gt;="&amp;$E2755,SondDatum,"&lt;="&amp;EOMONTH($E2755,0)),$J2755-$M2755))</f>
      </c>
      <c r="O2755" s="43">
        <f>IF($I2755=0,0,INDEX(DarlErsatzRate,6))</f>
      </c>
      <c r="P2755" s="43">
        <f>IF($I2755=0,0,$Q2754*INDEX(DarlErsatzZins,6))</f>
      </c>
      <c r="Q2755" s="43">
        <f>IF($I2755=0,0,$Q2754+$P2755+$O2755)</f>
      </c>
      <c r="R2755" s="43">
        <f>IF($I2755=0,0,$J2755-$M2755-$N2755)</f>
      </c>
    </row>
    <row r="2756">
      <c r="A2756"/>
      <c r="B2756">
        <v>6</v>
      </c>
      <c r="C2756" s="43">
        <f>INDEX(DarlObj,6)</f>
      </c>
      <c r="D2756">
        <v>353</v>
      </c>
      <c r="E2756" s="51">
        <f>IF(INDEX(DarlBelegt,6)=0,0,EOMONTH(INDEX(DarlAuszahlung,6),352)+1)</f>
      </c>
      <c r="F2756" s="43">
        <f>IF($E2756=0,0,YEAR($E2756))</f>
      </c>
      <c r="G2756" s="43">
        <f>IF(INDEX(DarlBindung,6)="",1,IF($E2756&lt;=INDEX(DarlBindung,6),1,0))</f>
      </c>
      <c r="H2756" s="43">
        <f>IF($G2756=1,INDEX(DarlSollzins,6),INDEX(DarlAnschluss,6))</f>
      </c>
      <c r="I2756" s="43">
        <f>IF(INDEX(DarlBelegt,6)=0,0,IF(INDEX(DarlOhneTilgung,6)=1,IF(INDEX(DarlBindung,6)="",1,$G2756),IF($J2756&gt;0.005,1,0)))</f>
      </c>
      <c r="J2756" s="43">
        <f>IF($I2755=0,0,$R2755)</f>
      </c>
      <c r="K2756" s="43">
        <f>IF($I2756=0,0,IF(INDEX(DarlOhneTilgung,6)=1,0,IF(AND(INDEX(DarlTilgStart,6)&gt;0,$E2756=INDEX(DarlTilgStart,6)),$J2756*($H2756+INDEX(DarlTilgung,6))/100/12,IF(AND($G2756=0,$G2755=1),MAX($K2755,$J2756*($H2756+1)/100/12),$K2755))))</f>
      </c>
      <c r="L2756" s="43">
        <f>IF($I2756=0,0,$J2756*$H2756/100/12)</f>
      </c>
      <c r="M2756" s="43">
        <f>IF($I2756=0,0,IF(OR(INDEX(DarlOhneTilgung,6)=1,AND(INDEX(DarlTilgStart,6)&gt;0,$E2756&lt;INDEX(DarlTilgStart,6))),0,MIN(MAX(0,$K2756-$L2756),$J2756)))</f>
      </c>
      <c r="N2756" s="43">
        <f>IF($I2756=0,0,MIN(SUMIFS(SondBetrag,SondDarl,6,SondDatum,"&gt;="&amp;$E2756,SondDatum,"&lt;="&amp;EOMONTH($E2756,0)),$J2756-$M2756))</f>
      </c>
      <c r="O2756" s="43">
        <f>IF($I2756=0,0,INDEX(DarlErsatzRate,6))</f>
      </c>
      <c r="P2756" s="43">
        <f>IF($I2756=0,0,$Q2755*INDEX(DarlErsatzZins,6))</f>
      </c>
      <c r="Q2756" s="43">
        <f>IF($I2756=0,0,$Q2755+$P2756+$O2756)</f>
      </c>
      <c r="R2756" s="43">
        <f>IF($I2756=0,0,$J2756-$M2756-$N2756)</f>
      </c>
    </row>
    <row r="2757">
      <c r="A2757"/>
      <c r="B2757">
        <v>6</v>
      </c>
      <c r="C2757" s="43">
        <f>INDEX(DarlObj,6)</f>
      </c>
      <c r="D2757">
        <v>354</v>
      </c>
      <c r="E2757" s="51">
        <f>IF(INDEX(DarlBelegt,6)=0,0,EOMONTH(INDEX(DarlAuszahlung,6),353)+1)</f>
      </c>
      <c r="F2757" s="43">
        <f>IF($E2757=0,0,YEAR($E2757))</f>
      </c>
      <c r="G2757" s="43">
        <f>IF(INDEX(DarlBindung,6)="",1,IF($E2757&lt;=INDEX(DarlBindung,6),1,0))</f>
      </c>
      <c r="H2757" s="43">
        <f>IF($G2757=1,INDEX(DarlSollzins,6),INDEX(DarlAnschluss,6))</f>
      </c>
      <c r="I2757" s="43">
        <f>IF(INDEX(DarlBelegt,6)=0,0,IF(INDEX(DarlOhneTilgung,6)=1,IF(INDEX(DarlBindung,6)="",1,$G2757),IF($J2757&gt;0.005,1,0)))</f>
      </c>
      <c r="J2757" s="43">
        <f>IF($I2756=0,0,$R2756)</f>
      </c>
      <c r="K2757" s="43">
        <f>IF($I2757=0,0,IF(INDEX(DarlOhneTilgung,6)=1,0,IF(AND(INDEX(DarlTilgStart,6)&gt;0,$E2757=INDEX(DarlTilgStart,6)),$J2757*($H2757+INDEX(DarlTilgung,6))/100/12,IF(AND($G2757=0,$G2756=1),MAX($K2756,$J2757*($H2757+1)/100/12),$K2756))))</f>
      </c>
      <c r="L2757" s="43">
        <f>IF($I2757=0,0,$J2757*$H2757/100/12)</f>
      </c>
      <c r="M2757" s="43">
        <f>IF($I2757=0,0,IF(OR(INDEX(DarlOhneTilgung,6)=1,AND(INDEX(DarlTilgStart,6)&gt;0,$E2757&lt;INDEX(DarlTilgStart,6))),0,MIN(MAX(0,$K2757-$L2757),$J2757)))</f>
      </c>
      <c r="N2757" s="43">
        <f>IF($I2757=0,0,MIN(SUMIFS(SondBetrag,SondDarl,6,SondDatum,"&gt;="&amp;$E2757,SondDatum,"&lt;="&amp;EOMONTH($E2757,0)),$J2757-$M2757))</f>
      </c>
      <c r="O2757" s="43">
        <f>IF($I2757=0,0,INDEX(DarlErsatzRate,6))</f>
      </c>
      <c r="P2757" s="43">
        <f>IF($I2757=0,0,$Q2756*INDEX(DarlErsatzZins,6))</f>
      </c>
      <c r="Q2757" s="43">
        <f>IF($I2757=0,0,$Q2756+$P2757+$O2757)</f>
      </c>
      <c r="R2757" s="43">
        <f>IF($I2757=0,0,$J2757-$M2757-$N2757)</f>
      </c>
    </row>
    <row r="2758">
      <c r="A2758"/>
      <c r="B2758">
        <v>6</v>
      </c>
      <c r="C2758" s="43">
        <f>INDEX(DarlObj,6)</f>
      </c>
      <c r="D2758">
        <v>355</v>
      </c>
      <c r="E2758" s="51">
        <f>IF(INDEX(DarlBelegt,6)=0,0,EOMONTH(INDEX(DarlAuszahlung,6),354)+1)</f>
      </c>
      <c r="F2758" s="43">
        <f>IF($E2758=0,0,YEAR($E2758))</f>
      </c>
      <c r="G2758" s="43">
        <f>IF(INDEX(DarlBindung,6)="",1,IF($E2758&lt;=INDEX(DarlBindung,6),1,0))</f>
      </c>
      <c r="H2758" s="43">
        <f>IF($G2758=1,INDEX(DarlSollzins,6),INDEX(DarlAnschluss,6))</f>
      </c>
      <c r="I2758" s="43">
        <f>IF(INDEX(DarlBelegt,6)=0,0,IF(INDEX(DarlOhneTilgung,6)=1,IF(INDEX(DarlBindung,6)="",1,$G2758),IF($J2758&gt;0.005,1,0)))</f>
      </c>
      <c r="J2758" s="43">
        <f>IF($I2757=0,0,$R2757)</f>
      </c>
      <c r="K2758" s="43">
        <f>IF($I2758=0,0,IF(INDEX(DarlOhneTilgung,6)=1,0,IF(AND(INDEX(DarlTilgStart,6)&gt;0,$E2758=INDEX(DarlTilgStart,6)),$J2758*($H2758+INDEX(DarlTilgung,6))/100/12,IF(AND($G2758=0,$G2757=1),MAX($K2757,$J2758*($H2758+1)/100/12),$K2757))))</f>
      </c>
      <c r="L2758" s="43">
        <f>IF($I2758=0,0,$J2758*$H2758/100/12)</f>
      </c>
      <c r="M2758" s="43">
        <f>IF($I2758=0,0,IF(OR(INDEX(DarlOhneTilgung,6)=1,AND(INDEX(DarlTilgStart,6)&gt;0,$E2758&lt;INDEX(DarlTilgStart,6))),0,MIN(MAX(0,$K2758-$L2758),$J2758)))</f>
      </c>
      <c r="N2758" s="43">
        <f>IF($I2758=0,0,MIN(SUMIFS(SondBetrag,SondDarl,6,SondDatum,"&gt;="&amp;$E2758,SondDatum,"&lt;="&amp;EOMONTH($E2758,0)),$J2758-$M2758))</f>
      </c>
      <c r="O2758" s="43">
        <f>IF($I2758=0,0,INDEX(DarlErsatzRate,6))</f>
      </c>
      <c r="P2758" s="43">
        <f>IF($I2758=0,0,$Q2757*INDEX(DarlErsatzZins,6))</f>
      </c>
      <c r="Q2758" s="43">
        <f>IF($I2758=0,0,$Q2757+$P2758+$O2758)</f>
      </c>
      <c r="R2758" s="43">
        <f>IF($I2758=0,0,$J2758-$M2758-$N2758)</f>
      </c>
    </row>
    <row r="2759">
      <c r="A2759"/>
      <c r="B2759">
        <v>6</v>
      </c>
      <c r="C2759" s="43">
        <f>INDEX(DarlObj,6)</f>
      </c>
      <c r="D2759">
        <v>356</v>
      </c>
      <c r="E2759" s="51">
        <f>IF(INDEX(DarlBelegt,6)=0,0,EOMONTH(INDEX(DarlAuszahlung,6),355)+1)</f>
      </c>
      <c r="F2759" s="43">
        <f>IF($E2759=0,0,YEAR($E2759))</f>
      </c>
      <c r="G2759" s="43">
        <f>IF(INDEX(DarlBindung,6)="",1,IF($E2759&lt;=INDEX(DarlBindung,6),1,0))</f>
      </c>
      <c r="H2759" s="43">
        <f>IF($G2759=1,INDEX(DarlSollzins,6),INDEX(DarlAnschluss,6))</f>
      </c>
      <c r="I2759" s="43">
        <f>IF(INDEX(DarlBelegt,6)=0,0,IF(INDEX(DarlOhneTilgung,6)=1,IF(INDEX(DarlBindung,6)="",1,$G2759),IF($J2759&gt;0.005,1,0)))</f>
      </c>
      <c r="J2759" s="43">
        <f>IF($I2758=0,0,$R2758)</f>
      </c>
      <c r="K2759" s="43">
        <f>IF($I2759=0,0,IF(INDEX(DarlOhneTilgung,6)=1,0,IF(AND(INDEX(DarlTilgStart,6)&gt;0,$E2759=INDEX(DarlTilgStart,6)),$J2759*($H2759+INDEX(DarlTilgung,6))/100/12,IF(AND($G2759=0,$G2758=1),MAX($K2758,$J2759*($H2759+1)/100/12),$K2758))))</f>
      </c>
      <c r="L2759" s="43">
        <f>IF($I2759=0,0,$J2759*$H2759/100/12)</f>
      </c>
      <c r="M2759" s="43">
        <f>IF($I2759=0,0,IF(OR(INDEX(DarlOhneTilgung,6)=1,AND(INDEX(DarlTilgStart,6)&gt;0,$E2759&lt;INDEX(DarlTilgStart,6))),0,MIN(MAX(0,$K2759-$L2759),$J2759)))</f>
      </c>
      <c r="N2759" s="43">
        <f>IF($I2759=0,0,MIN(SUMIFS(SondBetrag,SondDarl,6,SondDatum,"&gt;="&amp;$E2759,SondDatum,"&lt;="&amp;EOMONTH($E2759,0)),$J2759-$M2759))</f>
      </c>
      <c r="O2759" s="43">
        <f>IF($I2759=0,0,INDEX(DarlErsatzRate,6))</f>
      </c>
      <c r="P2759" s="43">
        <f>IF($I2759=0,0,$Q2758*INDEX(DarlErsatzZins,6))</f>
      </c>
      <c r="Q2759" s="43">
        <f>IF($I2759=0,0,$Q2758+$P2759+$O2759)</f>
      </c>
      <c r="R2759" s="43">
        <f>IF($I2759=0,0,$J2759-$M2759-$N2759)</f>
      </c>
    </row>
    <row r="2760">
      <c r="A2760"/>
      <c r="B2760">
        <v>6</v>
      </c>
      <c r="C2760" s="43">
        <f>INDEX(DarlObj,6)</f>
      </c>
      <c r="D2760">
        <v>357</v>
      </c>
      <c r="E2760" s="51">
        <f>IF(INDEX(DarlBelegt,6)=0,0,EOMONTH(INDEX(DarlAuszahlung,6),356)+1)</f>
      </c>
      <c r="F2760" s="43">
        <f>IF($E2760=0,0,YEAR($E2760))</f>
      </c>
      <c r="G2760" s="43">
        <f>IF(INDEX(DarlBindung,6)="",1,IF($E2760&lt;=INDEX(DarlBindung,6),1,0))</f>
      </c>
      <c r="H2760" s="43">
        <f>IF($G2760=1,INDEX(DarlSollzins,6),INDEX(DarlAnschluss,6))</f>
      </c>
      <c r="I2760" s="43">
        <f>IF(INDEX(DarlBelegt,6)=0,0,IF(INDEX(DarlOhneTilgung,6)=1,IF(INDEX(DarlBindung,6)="",1,$G2760),IF($J2760&gt;0.005,1,0)))</f>
      </c>
      <c r="J2760" s="43">
        <f>IF($I2759=0,0,$R2759)</f>
      </c>
      <c r="K2760" s="43">
        <f>IF($I2760=0,0,IF(INDEX(DarlOhneTilgung,6)=1,0,IF(AND(INDEX(DarlTilgStart,6)&gt;0,$E2760=INDEX(DarlTilgStart,6)),$J2760*($H2760+INDEX(DarlTilgung,6))/100/12,IF(AND($G2760=0,$G2759=1),MAX($K2759,$J2760*($H2760+1)/100/12),$K2759))))</f>
      </c>
      <c r="L2760" s="43">
        <f>IF($I2760=0,0,$J2760*$H2760/100/12)</f>
      </c>
      <c r="M2760" s="43">
        <f>IF($I2760=0,0,IF(OR(INDEX(DarlOhneTilgung,6)=1,AND(INDEX(DarlTilgStart,6)&gt;0,$E2760&lt;INDEX(DarlTilgStart,6))),0,MIN(MAX(0,$K2760-$L2760),$J2760)))</f>
      </c>
      <c r="N2760" s="43">
        <f>IF($I2760=0,0,MIN(SUMIFS(SondBetrag,SondDarl,6,SondDatum,"&gt;="&amp;$E2760,SondDatum,"&lt;="&amp;EOMONTH($E2760,0)),$J2760-$M2760))</f>
      </c>
      <c r="O2760" s="43">
        <f>IF($I2760=0,0,INDEX(DarlErsatzRate,6))</f>
      </c>
      <c r="P2760" s="43">
        <f>IF($I2760=0,0,$Q2759*INDEX(DarlErsatzZins,6))</f>
      </c>
      <c r="Q2760" s="43">
        <f>IF($I2760=0,0,$Q2759+$P2760+$O2760)</f>
      </c>
      <c r="R2760" s="43">
        <f>IF($I2760=0,0,$J2760-$M2760-$N2760)</f>
      </c>
    </row>
    <row r="2761">
      <c r="A2761"/>
      <c r="B2761">
        <v>6</v>
      </c>
      <c r="C2761" s="43">
        <f>INDEX(DarlObj,6)</f>
      </c>
      <c r="D2761">
        <v>358</v>
      </c>
      <c r="E2761" s="51">
        <f>IF(INDEX(DarlBelegt,6)=0,0,EOMONTH(INDEX(DarlAuszahlung,6),357)+1)</f>
      </c>
      <c r="F2761" s="43">
        <f>IF($E2761=0,0,YEAR($E2761))</f>
      </c>
      <c r="G2761" s="43">
        <f>IF(INDEX(DarlBindung,6)="",1,IF($E2761&lt;=INDEX(DarlBindung,6),1,0))</f>
      </c>
      <c r="H2761" s="43">
        <f>IF($G2761=1,INDEX(DarlSollzins,6),INDEX(DarlAnschluss,6))</f>
      </c>
      <c r="I2761" s="43">
        <f>IF(INDEX(DarlBelegt,6)=0,0,IF(INDEX(DarlOhneTilgung,6)=1,IF(INDEX(DarlBindung,6)="",1,$G2761),IF($J2761&gt;0.005,1,0)))</f>
      </c>
      <c r="J2761" s="43">
        <f>IF($I2760=0,0,$R2760)</f>
      </c>
      <c r="K2761" s="43">
        <f>IF($I2761=0,0,IF(INDEX(DarlOhneTilgung,6)=1,0,IF(AND(INDEX(DarlTilgStart,6)&gt;0,$E2761=INDEX(DarlTilgStart,6)),$J2761*($H2761+INDEX(DarlTilgung,6))/100/12,IF(AND($G2761=0,$G2760=1),MAX($K2760,$J2761*($H2761+1)/100/12),$K2760))))</f>
      </c>
      <c r="L2761" s="43">
        <f>IF($I2761=0,0,$J2761*$H2761/100/12)</f>
      </c>
      <c r="M2761" s="43">
        <f>IF($I2761=0,0,IF(OR(INDEX(DarlOhneTilgung,6)=1,AND(INDEX(DarlTilgStart,6)&gt;0,$E2761&lt;INDEX(DarlTilgStart,6))),0,MIN(MAX(0,$K2761-$L2761),$J2761)))</f>
      </c>
      <c r="N2761" s="43">
        <f>IF($I2761=0,0,MIN(SUMIFS(SondBetrag,SondDarl,6,SondDatum,"&gt;="&amp;$E2761,SondDatum,"&lt;="&amp;EOMONTH($E2761,0)),$J2761-$M2761))</f>
      </c>
      <c r="O2761" s="43">
        <f>IF($I2761=0,0,INDEX(DarlErsatzRate,6))</f>
      </c>
      <c r="P2761" s="43">
        <f>IF($I2761=0,0,$Q2760*INDEX(DarlErsatzZins,6))</f>
      </c>
      <c r="Q2761" s="43">
        <f>IF($I2761=0,0,$Q2760+$P2761+$O2761)</f>
      </c>
      <c r="R2761" s="43">
        <f>IF($I2761=0,0,$J2761-$M2761-$N2761)</f>
      </c>
    </row>
    <row r="2762">
      <c r="A2762"/>
      <c r="B2762">
        <v>6</v>
      </c>
      <c r="C2762" s="43">
        <f>INDEX(DarlObj,6)</f>
      </c>
      <c r="D2762">
        <v>359</v>
      </c>
      <c r="E2762" s="51">
        <f>IF(INDEX(DarlBelegt,6)=0,0,EOMONTH(INDEX(DarlAuszahlung,6),358)+1)</f>
      </c>
      <c r="F2762" s="43">
        <f>IF($E2762=0,0,YEAR($E2762))</f>
      </c>
      <c r="G2762" s="43">
        <f>IF(INDEX(DarlBindung,6)="",1,IF($E2762&lt;=INDEX(DarlBindung,6),1,0))</f>
      </c>
      <c r="H2762" s="43">
        <f>IF($G2762=1,INDEX(DarlSollzins,6),INDEX(DarlAnschluss,6))</f>
      </c>
      <c r="I2762" s="43">
        <f>IF(INDEX(DarlBelegt,6)=0,0,IF(INDEX(DarlOhneTilgung,6)=1,IF(INDEX(DarlBindung,6)="",1,$G2762),IF($J2762&gt;0.005,1,0)))</f>
      </c>
      <c r="J2762" s="43">
        <f>IF($I2761=0,0,$R2761)</f>
      </c>
      <c r="K2762" s="43">
        <f>IF($I2762=0,0,IF(INDEX(DarlOhneTilgung,6)=1,0,IF(AND(INDEX(DarlTilgStart,6)&gt;0,$E2762=INDEX(DarlTilgStart,6)),$J2762*($H2762+INDEX(DarlTilgung,6))/100/12,IF(AND($G2762=0,$G2761=1),MAX($K2761,$J2762*($H2762+1)/100/12),$K2761))))</f>
      </c>
      <c r="L2762" s="43">
        <f>IF($I2762=0,0,$J2762*$H2762/100/12)</f>
      </c>
      <c r="M2762" s="43">
        <f>IF($I2762=0,0,IF(OR(INDEX(DarlOhneTilgung,6)=1,AND(INDEX(DarlTilgStart,6)&gt;0,$E2762&lt;INDEX(DarlTilgStart,6))),0,MIN(MAX(0,$K2762-$L2762),$J2762)))</f>
      </c>
      <c r="N2762" s="43">
        <f>IF($I2762=0,0,MIN(SUMIFS(SondBetrag,SondDarl,6,SondDatum,"&gt;="&amp;$E2762,SondDatum,"&lt;="&amp;EOMONTH($E2762,0)),$J2762-$M2762))</f>
      </c>
      <c r="O2762" s="43">
        <f>IF($I2762=0,0,INDEX(DarlErsatzRate,6))</f>
      </c>
      <c r="P2762" s="43">
        <f>IF($I2762=0,0,$Q2761*INDEX(DarlErsatzZins,6))</f>
      </c>
      <c r="Q2762" s="43">
        <f>IF($I2762=0,0,$Q2761+$P2762+$O2762)</f>
      </c>
      <c r="R2762" s="43">
        <f>IF($I2762=0,0,$J2762-$M2762-$N2762)</f>
      </c>
    </row>
    <row r="2763">
      <c r="A2763"/>
      <c r="B2763">
        <v>6</v>
      </c>
      <c r="C2763" s="43">
        <f>INDEX(DarlObj,6)</f>
      </c>
      <c r="D2763">
        <v>360</v>
      </c>
      <c r="E2763" s="51">
        <f>IF(INDEX(DarlBelegt,6)=0,0,EOMONTH(INDEX(DarlAuszahlung,6),359)+1)</f>
      </c>
      <c r="F2763" s="43">
        <f>IF($E2763=0,0,YEAR($E2763))</f>
      </c>
      <c r="G2763" s="43">
        <f>IF(INDEX(DarlBindung,6)="",1,IF($E2763&lt;=INDEX(DarlBindung,6),1,0))</f>
      </c>
      <c r="H2763" s="43">
        <f>IF($G2763=1,INDEX(DarlSollzins,6),INDEX(DarlAnschluss,6))</f>
      </c>
      <c r="I2763" s="43">
        <f>IF(INDEX(DarlBelegt,6)=0,0,IF(INDEX(DarlOhneTilgung,6)=1,IF(INDEX(DarlBindung,6)="",1,$G2763),IF($J2763&gt;0.005,1,0)))</f>
      </c>
      <c r="J2763" s="43">
        <f>IF($I2762=0,0,$R2762)</f>
      </c>
      <c r="K2763" s="43">
        <f>IF($I2763=0,0,IF(INDEX(DarlOhneTilgung,6)=1,0,IF(AND(INDEX(DarlTilgStart,6)&gt;0,$E2763=INDEX(DarlTilgStart,6)),$J2763*($H2763+INDEX(DarlTilgung,6))/100/12,IF(AND($G2763=0,$G2762=1),MAX($K2762,$J2763*($H2763+1)/100/12),$K2762))))</f>
      </c>
      <c r="L2763" s="43">
        <f>IF($I2763=0,0,$J2763*$H2763/100/12)</f>
      </c>
      <c r="M2763" s="43">
        <f>IF($I2763=0,0,IF(OR(INDEX(DarlOhneTilgung,6)=1,AND(INDEX(DarlTilgStart,6)&gt;0,$E2763&lt;INDEX(DarlTilgStart,6))),0,MIN(MAX(0,$K2763-$L2763),$J2763)))</f>
      </c>
      <c r="N2763" s="43">
        <f>IF($I2763=0,0,MIN(SUMIFS(SondBetrag,SondDarl,6,SondDatum,"&gt;="&amp;$E2763,SondDatum,"&lt;="&amp;EOMONTH($E2763,0)),$J2763-$M2763))</f>
      </c>
      <c r="O2763" s="43">
        <f>IF($I2763=0,0,INDEX(DarlErsatzRate,6))</f>
      </c>
      <c r="P2763" s="43">
        <f>IF($I2763=0,0,$Q2762*INDEX(DarlErsatzZins,6))</f>
      </c>
      <c r="Q2763" s="43">
        <f>IF($I2763=0,0,$Q2762+$P2763+$O2763)</f>
      </c>
      <c r="R2763" s="43">
        <f>IF($I2763=0,0,$J2763-$M2763-$N2763)</f>
      </c>
    </row>
    <row r="2764">
      <c r="A2764"/>
      <c r="B2764">
        <v>6</v>
      </c>
      <c r="C2764" s="43">
        <f>INDEX(DarlObj,6)</f>
      </c>
      <c r="D2764">
        <v>361</v>
      </c>
      <c r="E2764" s="51">
        <f>IF(INDEX(DarlBelegt,6)=0,0,EOMONTH(INDEX(DarlAuszahlung,6),360)+1)</f>
      </c>
      <c r="F2764" s="43">
        <f>IF($E2764=0,0,YEAR($E2764))</f>
      </c>
      <c r="G2764" s="43">
        <f>IF(INDEX(DarlBindung,6)="",1,IF($E2764&lt;=INDEX(DarlBindung,6),1,0))</f>
      </c>
      <c r="H2764" s="43">
        <f>IF($G2764=1,INDEX(DarlSollzins,6),INDEX(DarlAnschluss,6))</f>
      </c>
      <c r="I2764" s="43">
        <f>IF(INDEX(DarlBelegt,6)=0,0,IF(INDEX(DarlOhneTilgung,6)=1,IF(INDEX(DarlBindung,6)="",1,$G2764),IF($J2764&gt;0.005,1,0)))</f>
      </c>
      <c r="J2764" s="43">
        <f>IF($I2763=0,0,$R2763)</f>
      </c>
      <c r="K2764" s="43">
        <f>IF($I2764=0,0,IF(INDEX(DarlOhneTilgung,6)=1,0,IF(AND(INDEX(DarlTilgStart,6)&gt;0,$E2764=INDEX(DarlTilgStart,6)),$J2764*($H2764+INDEX(DarlTilgung,6))/100/12,IF(AND($G2764=0,$G2763=1),MAX($K2763,$J2764*($H2764+1)/100/12),$K2763))))</f>
      </c>
      <c r="L2764" s="43">
        <f>IF($I2764=0,0,$J2764*$H2764/100/12)</f>
      </c>
      <c r="M2764" s="43">
        <f>IF($I2764=0,0,IF(OR(INDEX(DarlOhneTilgung,6)=1,AND(INDEX(DarlTilgStart,6)&gt;0,$E2764&lt;INDEX(DarlTilgStart,6))),0,MIN(MAX(0,$K2764-$L2764),$J2764)))</f>
      </c>
      <c r="N2764" s="43">
        <f>IF($I2764=0,0,MIN(SUMIFS(SondBetrag,SondDarl,6,SondDatum,"&gt;="&amp;$E2764,SondDatum,"&lt;="&amp;EOMONTH($E2764,0)),$J2764-$M2764))</f>
      </c>
      <c r="O2764" s="43">
        <f>IF($I2764=0,0,INDEX(DarlErsatzRate,6))</f>
      </c>
      <c r="P2764" s="43">
        <f>IF($I2764=0,0,$Q2763*INDEX(DarlErsatzZins,6))</f>
      </c>
      <c r="Q2764" s="43">
        <f>IF($I2764=0,0,$Q2763+$P2764+$O2764)</f>
      </c>
      <c r="R2764" s="43">
        <f>IF($I2764=0,0,$J2764-$M2764-$N2764)</f>
      </c>
    </row>
    <row r="2765">
      <c r="A2765"/>
      <c r="B2765">
        <v>6</v>
      </c>
      <c r="C2765" s="43">
        <f>INDEX(DarlObj,6)</f>
      </c>
      <c r="D2765">
        <v>362</v>
      </c>
      <c r="E2765" s="51">
        <f>IF(INDEX(DarlBelegt,6)=0,0,EOMONTH(INDEX(DarlAuszahlung,6),361)+1)</f>
      </c>
      <c r="F2765" s="43">
        <f>IF($E2765=0,0,YEAR($E2765))</f>
      </c>
      <c r="G2765" s="43">
        <f>IF(INDEX(DarlBindung,6)="",1,IF($E2765&lt;=INDEX(DarlBindung,6),1,0))</f>
      </c>
      <c r="H2765" s="43">
        <f>IF($G2765=1,INDEX(DarlSollzins,6),INDEX(DarlAnschluss,6))</f>
      </c>
      <c r="I2765" s="43">
        <f>IF(INDEX(DarlBelegt,6)=0,0,IF(INDEX(DarlOhneTilgung,6)=1,IF(INDEX(DarlBindung,6)="",1,$G2765),IF($J2765&gt;0.005,1,0)))</f>
      </c>
      <c r="J2765" s="43">
        <f>IF($I2764=0,0,$R2764)</f>
      </c>
      <c r="K2765" s="43">
        <f>IF($I2765=0,0,IF(INDEX(DarlOhneTilgung,6)=1,0,IF(AND(INDEX(DarlTilgStart,6)&gt;0,$E2765=INDEX(DarlTilgStart,6)),$J2765*($H2765+INDEX(DarlTilgung,6))/100/12,IF(AND($G2765=0,$G2764=1),MAX($K2764,$J2765*($H2765+1)/100/12),$K2764))))</f>
      </c>
      <c r="L2765" s="43">
        <f>IF($I2765=0,0,$J2765*$H2765/100/12)</f>
      </c>
      <c r="M2765" s="43">
        <f>IF($I2765=0,0,IF(OR(INDEX(DarlOhneTilgung,6)=1,AND(INDEX(DarlTilgStart,6)&gt;0,$E2765&lt;INDEX(DarlTilgStart,6))),0,MIN(MAX(0,$K2765-$L2765),$J2765)))</f>
      </c>
      <c r="N2765" s="43">
        <f>IF($I2765=0,0,MIN(SUMIFS(SondBetrag,SondDarl,6,SondDatum,"&gt;="&amp;$E2765,SondDatum,"&lt;="&amp;EOMONTH($E2765,0)),$J2765-$M2765))</f>
      </c>
      <c r="O2765" s="43">
        <f>IF($I2765=0,0,INDEX(DarlErsatzRate,6))</f>
      </c>
      <c r="P2765" s="43">
        <f>IF($I2765=0,0,$Q2764*INDEX(DarlErsatzZins,6))</f>
      </c>
      <c r="Q2765" s="43">
        <f>IF($I2765=0,0,$Q2764+$P2765+$O2765)</f>
      </c>
      <c r="R2765" s="43">
        <f>IF($I2765=0,0,$J2765-$M2765-$N2765)</f>
      </c>
    </row>
    <row r="2766">
      <c r="A2766"/>
      <c r="B2766">
        <v>6</v>
      </c>
      <c r="C2766" s="43">
        <f>INDEX(DarlObj,6)</f>
      </c>
      <c r="D2766">
        <v>363</v>
      </c>
      <c r="E2766" s="51">
        <f>IF(INDEX(DarlBelegt,6)=0,0,EOMONTH(INDEX(DarlAuszahlung,6),362)+1)</f>
      </c>
      <c r="F2766" s="43">
        <f>IF($E2766=0,0,YEAR($E2766))</f>
      </c>
      <c r="G2766" s="43">
        <f>IF(INDEX(DarlBindung,6)="",1,IF($E2766&lt;=INDEX(DarlBindung,6),1,0))</f>
      </c>
      <c r="H2766" s="43">
        <f>IF($G2766=1,INDEX(DarlSollzins,6),INDEX(DarlAnschluss,6))</f>
      </c>
      <c r="I2766" s="43">
        <f>IF(INDEX(DarlBelegt,6)=0,0,IF(INDEX(DarlOhneTilgung,6)=1,IF(INDEX(DarlBindung,6)="",1,$G2766),IF($J2766&gt;0.005,1,0)))</f>
      </c>
      <c r="J2766" s="43">
        <f>IF($I2765=0,0,$R2765)</f>
      </c>
      <c r="K2766" s="43">
        <f>IF($I2766=0,0,IF(INDEX(DarlOhneTilgung,6)=1,0,IF(AND(INDEX(DarlTilgStart,6)&gt;0,$E2766=INDEX(DarlTilgStart,6)),$J2766*($H2766+INDEX(DarlTilgung,6))/100/12,IF(AND($G2766=0,$G2765=1),MAX($K2765,$J2766*($H2766+1)/100/12),$K2765))))</f>
      </c>
      <c r="L2766" s="43">
        <f>IF($I2766=0,0,$J2766*$H2766/100/12)</f>
      </c>
      <c r="M2766" s="43">
        <f>IF($I2766=0,0,IF(OR(INDEX(DarlOhneTilgung,6)=1,AND(INDEX(DarlTilgStart,6)&gt;0,$E2766&lt;INDEX(DarlTilgStart,6))),0,MIN(MAX(0,$K2766-$L2766),$J2766)))</f>
      </c>
      <c r="N2766" s="43">
        <f>IF($I2766=0,0,MIN(SUMIFS(SondBetrag,SondDarl,6,SondDatum,"&gt;="&amp;$E2766,SondDatum,"&lt;="&amp;EOMONTH($E2766,0)),$J2766-$M2766))</f>
      </c>
      <c r="O2766" s="43">
        <f>IF($I2766=0,0,INDEX(DarlErsatzRate,6))</f>
      </c>
      <c r="P2766" s="43">
        <f>IF($I2766=0,0,$Q2765*INDEX(DarlErsatzZins,6))</f>
      </c>
      <c r="Q2766" s="43">
        <f>IF($I2766=0,0,$Q2765+$P2766+$O2766)</f>
      </c>
      <c r="R2766" s="43">
        <f>IF($I2766=0,0,$J2766-$M2766-$N2766)</f>
      </c>
    </row>
    <row r="2767">
      <c r="A2767"/>
      <c r="B2767">
        <v>6</v>
      </c>
      <c r="C2767" s="43">
        <f>INDEX(DarlObj,6)</f>
      </c>
      <c r="D2767">
        <v>364</v>
      </c>
      <c r="E2767" s="51">
        <f>IF(INDEX(DarlBelegt,6)=0,0,EOMONTH(INDEX(DarlAuszahlung,6),363)+1)</f>
      </c>
      <c r="F2767" s="43">
        <f>IF($E2767=0,0,YEAR($E2767))</f>
      </c>
      <c r="G2767" s="43">
        <f>IF(INDEX(DarlBindung,6)="",1,IF($E2767&lt;=INDEX(DarlBindung,6),1,0))</f>
      </c>
      <c r="H2767" s="43">
        <f>IF($G2767=1,INDEX(DarlSollzins,6),INDEX(DarlAnschluss,6))</f>
      </c>
      <c r="I2767" s="43">
        <f>IF(INDEX(DarlBelegt,6)=0,0,IF(INDEX(DarlOhneTilgung,6)=1,IF(INDEX(DarlBindung,6)="",1,$G2767),IF($J2767&gt;0.005,1,0)))</f>
      </c>
      <c r="J2767" s="43">
        <f>IF($I2766=0,0,$R2766)</f>
      </c>
      <c r="K2767" s="43">
        <f>IF($I2767=0,0,IF(INDEX(DarlOhneTilgung,6)=1,0,IF(AND(INDEX(DarlTilgStart,6)&gt;0,$E2767=INDEX(DarlTilgStart,6)),$J2767*($H2767+INDEX(DarlTilgung,6))/100/12,IF(AND($G2767=0,$G2766=1),MAX($K2766,$J2767*($H2767+1)/100/12),$K2766))))</f>
      </c>
      <c r="L2767" s="43">
        <f>IF($I2767=0,0,$J2767*$H2767/100/12)</f>
      </c>
      <c r="M2767" s="43">
        <f>IF($I2767=0,0,IF(OR(INDEX(DarlOhneTilgung,6)=1,AND(INDEX(DarlTilgStart,6)&gt;0,$E2767&lt;INDEX(DarlTilgStart,6))),0,MIN(MAX(0,$K2767-$L2767),$J2767)))</f>
      </c>
      <c r="N2767" s="43">
        <f>IF($I2767=0,0,MIN(SUMIFS(SondBetrag,SondDarl,6,SondDatum,"&gt;="&amp;$E2767,SondDatum,"&lt;="&amp;EOMONTH($E2767,0)),$J2767-$M2767))</f>
      </c>
      <c r="O2767" s="43">
        <f>IF($I2767=0,0,INDEX(DarlErsatzRate,6))</f>
      </c>
      <c r="P2767" s="43">
        <f>IF($I2767=0,0,$Q2766*INDEX(DarlErsatzZins,6))</f>
      </c>
      <c r="Q2767" s="43">
        <f>IF($I2767=0,0,$Q2766+$P2767+$O2767)</f>
      </c>
      <c r="R2767" s="43">
        <f>IF($I2767=0,0,$J2767-$M2767-$N2767)</f>
      </c>
    </row>
    <row r="2768">
      <c r="A2768"/>
      <c r="B2768">
        <v>6</v>
      </c>
      <c r="C2768" s="43">
        <f>INDEX(DarlObj,6)</f>
      </c>
      <c r="D2768">
        <v>365</v>
      </c>
      <c r="E2768" s="51">
        <f>IF(INDEX(DarlBelegt,6)=0,0,EOMONTH(INDEX(DarlAuszahlung,6),364)+1)</f>
      </c>
      <c r="F2768" s="43">
        <f>IF($E2768=0,0,YEAR($E2768))</f>
      </c>
      <c r="G2768" s="43">
        <f>IF(INDEX(DarlBindung,6)="",1,IF($E2768&lt;=INDEX(DarlBindung,6),1,0))</f>
      </c>
      <c r="H2768" s="43">
        <f>IF($G2768=1,INDEX(DarlSollzins,6),INDEX(DarlAnschluss,6))</f>
      </c>
      <c r="I2768" s="43">
        <f>IF(INDEX(DarlBelegt,6)=0,0,IF(INDEX(DarlOhneTilgung,6)=1,IF(INDEX(DarlBindung,6)="",1,$G2768),IF($J2768&gt;0.005,1,0)))</f>
      </c>
      <c r="J2768" s="43">
        <f>IF($I2767=0,0,$R2767)</f>
      </c>
      <c r="K2768" s="43">
        <f>IF($I2768=0,0,IF(INDEX(DarlOhneTilgung,6)=1,0,IF(AND(INDEX(DarlTilgStart,6)&gt;0,$E2768=INDEX(DarlTilgStart,6)),$J2768*($H2768+INDEX(DarlTilgung,6))/100/12,IF(AND($G2768=0,$G2767=1),MAX($K2767,$J2768*($H2768+1)/100/12),$K2767))))</f>
      </c>
      <c r="L2768" s="43">
        <f>IF($I2768=0,0,$J2768*$H2768/100/12)</f>
      </c>
      <c r="M2768" s="43">
        <f>IF($I2768=0,0,IF(OR(INDEX(DarlOhneTilgung,6)=1,AND(INDEX(DarlTilgStart,6)&gt;0,$E2768&lt;INDEX(DarlTilgStart,6))),0,MIN(MAX(0,$K2768-$L2768),$J2768)))</f>
      </c>
      <c r="N2768" s="43">
        <f>IF($I2768=0,0,MIN(SUMIFS(SondBetrag,SondDarl,6,SondDatum,"&gt;="&amp;$E2768,SondDatum,"&lt;="&amp;EOMONTH($E2768,0)),$J2768-$M2768))</f>
      </c>
      <c r="O2768" s="43">
        <f>IF($I2768=0,0,INDEX(DarlErsatzRate,6))</f>
      </c>
      <c r="P2768" s="43">
        <f>IF($I2768=0,0,$Q2767*INDEX(DarlErsatzZins,6))</f>
      </c>
      <c r="Q2768" s="43">
        <f>IF($I2768=0,0,$Q2767+$P2768+$O2768)</f>
      </c>
      <c r="R2768" s="43">
        <f>IF($I2768=0,0,$J2768-$M2768-$N2768)</f>
      </c>
    </row>
    <row r="2769">
      <c r="A2769"/>
      <c r="B2769">
        <v>6</v>
      </c>
      <c r="C2769" s="43">
        <f>INDEX(DarlObj,6)</f>
      </c>
      <c r="D2769">
        <v>366</v>
      </c>
      <c r="E2769" s="51">
        <f>IF(INDEX(DarlBelegt,6)=0,0,EOMONTH(INDEX(DarlAuszahlung,6),365)+1)</f>
      </c>
      <c r="F2769" s="43">
        <f>IF($E2769=0,0,YEAR($E2769))</f>
      </c>
      <c r="G2769" s="43">
        <f>IF(INDEX(DarlBindung,6)="",1,IF($E2769&lt;=INDEX(DarlBindung,6),1,0))</f>
      </c>
      <c r="H2769" s="43">
        <f>IF($G2769=1,INDEX(DarlSollzins,6),INDEX(DarlAnschluss,6))</f>
      </c>
      <c r="I2769" s="43">
        <f>IF(INDEX(DarlBelegt,6)=0,0,IF(INDEX(DarlOhneTilgung,6)=1,IF(INDEX(DarlBindung,6)="",1,$G2769),IF($J2769&gt;0.005,1,0)))</f>
      </c>
      <c r="J2769" s="43">
        <f>IF($I2768=0,0,$R2768)</f>
      </c>
      <c r="K2769" s="43">
        <f>IF($I2769=0,0,IF(INDEX(DarlOhneTilgung,6)=1,0,IF(AND(INDEX(DarlTilgStart,6)&gt;0,$E2769=INDEX(DarlTilgStart,6)),$J2769*($H2769+INDEX(DarlTilgung,6))/100/12,IF(AND($G2769=0,$G2768=1),MAX($K2768,$J2769*($H2769+1)/100/12),$K2768))))</f>
      </c>
      <c r="L2769" s="43">
        <f>IF($I2769=0,0,$J2769*$H2769/100/12)</f>
      </c>
      <c r="M2769" s="43">
        <f>IF($I2769=0,0,IF(OR(INDEX(DarlOhneTilgung,6)=1,AND(INDEX(DarlTilgStart,6)&gt;0,$E2769&lt;INDEX(DarlTilgStart,6))),0,MIN(MAX(0,$K2769-$L2769),$J2769)))</f>
      </c>
      <c r="N2769" s="43">
        <f>IF($I2769=0,0,MIN(SUMIFS(SondBetrag,SondDarl,6,SondDatum,"&gt;="&amp;$E2769,SondDatum,"&lt;="&amp;EOMONTH($E2769,0)),$J2769-$M2769))</f>
      </c>
      <c r="O2769" s="43">
        <f>IF($I2769=0,0,INDEX(DarlErsatzRate,6))</f>
      </c>
      <c r="P2769" s="43">
        <f>IF($I2769=0,0,$Q2768*INDEX(DarlErsatzZins,6))</f>
      </c>
      <c r="Q2769" s="43">
        <f>IF($I2769=0,0,$Q2768+$P2769+$O2769)</f>
      </c>
      <c r="R2769" s="43">
        <f>IF($I2769=0,0,$J2769-$M2769-$N2769)</f>
      </c>
    </row>
    <row r="2770">
      <c r="A2770"/>
      <c r="B2770">
        <v>6</v>
      </c>
      <c r="C2770" s="43">
        <f>INDEX(DarlObj,6)</f>
      </c>
      <c r="D2770">
        <v>367</v>
      </c>
      <c r="E2770" s="51">
        <f>IF(INDEX(DarlBelegt,6)=0,0,EOMONTH(INDEX(DarlAuszahlung,6),366)+1)</f>
      </c>
      <c r="F2770" s="43">
        <f>IF($E2770=0,0,YEAR($E2770))</f>
      </c>
      <c r="G2770" s="43">
        <f>IF(INDEX(DarlBindung,6)="",1,IF($E2770&lt;=INDEX(DarlBindung,6),1,0))</f>
      </c>
      <c r="H2770" s="43">
        <f>IF($G2770=1,INDEX(DarlSollzins,6),INDEX(DarlAnschluss,6))</f>
      </c>
      <c r="I2770" s="43">
        <f>IF(INDEX(DarlBelegt,6)=0,0,IF(INDEX(DarlOhneTilgung,6)=1,IF(INDEX(DarlBindung,6)="",1,$G2770),IF($J2770&gt;0.005,1,0)))</f>
      </c>
      <c r="J2770" s="43">
        <f>IF($I2769=0,0,$R2769)</f>
      </c>
      <c r="K2770" s="43">
        <f>IF($I2770=0,0,IF(INDEX(DarlOhneTilgung,6)=1,0,IF(AND(INDEX(DarlTilgStart,6)&gt;0,$E2770=INDEX(DarlTilgStart,6)),$J2770*($H2770+INDEX(DarlTilgung,6))/100/12,IF(AND($G2770=0,$G2769=1),MAX($K2769,$J2770*($H2770+1)/100/12),$K2769))))</f>
      </c>
      <c r="L2770" s="43">
        <f>IF($I2770=0,0,$J2770*$H2770/100/12)</f>
      </c>
      <c r="M2770" s="43">
        <f>IF($I2770=0,0,IF(OR(INDEX(DarlOhneTilgung,6)=1,AND(INDEX(DarlTilgStart,6)&gt;0,$E2770&lt;INDEX(DarlTilgStart,6))),0,MIN(MAX(0,$K2770-$L2770),$J2770)))</f>
      </c>
      <c r="N2770" s="43">
        <f>IF($I2770=0,0,MIN(SUMIFS(SondBetrag,SondDarl,6,SondDatum,"&gt;="&amp;$E2770,SondDatum,"&lt;="&amp;EOMONTH($E2770,0)),$J2770-$M2770))</f>
      </c>
      <c r="O2770" s="43">
        <f>IF($I2770=0,0,INDEX(DarlErsatzRate,6))</f>
      </c>
      <c r="P2770" s="43">
        <f>IF($I2770=0,0,$Q2769*INDEX(DarlErsatzZins,6))</f>
      </c>
      <c r="Q2770" s="43">
        <f>IF($I2770=0,0,$Q2769+$P2770+$O2770)</f>
      </c>
      <c r="R2770" s="43">
        <f>IF($I2770=0,0,$J2770-$M2770-$N2770)</f>
      </c>
    </row>
    <row r="2771">
      <c r="A2771"/>
      <c r="B2771">
        <v>6</v>
      </c>
      <c r="C2771" s="43">
        <f>INDEX(DarlObj,6)</f>
      </c>
      <c r="D2771">
        <v>368</v>
      </c>
      <c r="E2771" s="51">
        <f>IF(INDEX(DarlBelegt,6)=0,0,EOMONTH(INDEX(DarlAuszahlung,6),367)+1)</f>
      </c>
      <c r="F2771" s="43">
        <f>IF($E2771=0,0,YEAR($E2771))</f>
      </c>
      <c r="G2771" s="43">
        <f>IF(INDEX(DarlBindung,6)="",1,IF($E2771&lt;=INDEX(DarlBindung,6),1,0))</f>
      </c>
      <c r="H2771" s="43">
        <f>IF($G2771=1,INDEX(DarlSollzins,6),INDEX(DarlAnschluss,6))</f>
      </c>
      <c r="I2771" s="43">
        <f>IF(INDEX(DarlBelegt,6)=0,0,IF(INDEX(DarlOhneTilgung,6)=1,IF(INDEX(DarlBindung,6)="",1,$G2771),IF($J2771&gt;0.005,1,0)))</f>
      </c>
      <c r="J2771" s="43">
        <f>IF($I2770=0,0,$R2770)</f>
      </c>
      <c r="K2771" s="43">
        <f>IF($I2771=0,0,IF(INDEX(DarlOhneTilgung,6)=1,0,IF(AND(INDEX(DarlTilgStart,6)&gt;0,$E2771=INDEX(DarlTilgStart,6)),$J2771*($H2771+INDEX(DarlTilgung,6))/100/12,IF(AND($G2771=0,$G2770=1),MAX($K2770,$J2771*($H2771+1)/100/12),$K2770))))</f>
      </c>
      <c r="L2771" s="43">
        <f>IF($I2771=0,0,$J2771*$H2771/100/12)</f>
      </c>
      <c r="M2771" s="43">
        <f>IF($I2771=0,0,IF(OR(INDEX(DarlOhneTilgung,6)=1,AND(INDEX(DarlTilgStart,6)&gt;0,$E2771&lt;INDEX(DarlTilgStart,6))),0,MIN(MAX(0,$K2771-$L2771),$J2771)))</f>
      </c>
      <c r="N2771" s="43">
        <f>IF($I2771=0,0,MIN(SUMIFS(SondBetrag,SondDarl,6,SondDatum,"&gt;="&amp;$E2771,SondDatum,"&lt;="&amp;EOMONTH($E2771,0)),$J2771-$M2771))</f>
      </c>
      <c r="O2771" s="43">
        <f>IF($I2771=0,0,INDEX(DarlErsatzRate,6))</f>
      </c>
      <c r="P2771" s="43">
        <f>IF($I2771=0,0,$Q2770*INDEX(DarlErsatzZins,6))</f>
      </c>
      <c r="Q2771" s="43">
        <f>IF($I2771=0,0,$Q2770+$P2771+$O2771)</f>
      </c>
      <c r="R2771" s="43">
        <f>IF($I2771=0,0,$J2771-$M2771-$N2771)</f>
      </c>
    </row>
    <row r="2772">
      <c r="A2772"/>
      <c r="B2772">
        <v>6</v>
      </c>
      <c r="C2772" s="43">
        <f>INDEX(DarlObj,6)</f>
      </c>
      <c r="D2772">
        <v>369</v>
      </c>
      <c r="E2772" s="51">
        <f>IF(INDEX(DarlBelegt,6)=0,0,EOMONTH(INDEX(DarlAuszahlung,6),368)+1)</f>
      </c>
      <c r="F2772" s="43">
        <f>IF($E2772=0,0,YEAR($E2772))</f>
      </c>
      <c r="G2772" s="43">
        <f>IF(INDEX(DarlBindung,6)="",1,IF($E2772&lt;=INDEX(DarlBindung,6),1,0))</f>
      </c>
      <c r="H2772" s="43">
        <f>IF($G2772=1,INDEX(DarlSollzins,6),INDEX(DarlAnschluss,6))</f>
      </c>
      <c r="I2772" s="43">
        <f>IF(INDEX(DarlBelegt,6)=0,0,IF(INDEX(DarlOhneTilgung,6)=1,IF(INDEX(DarlBindung,6)="",1,$G2772),IF($J2772&gt;0.005,1,0)))</f>
      </c>
      <c r="J2772" s="43">
        <f>IF($I2771=0,0,$R2771)</f>
      </c>
      <c r="K2772" s="43">
        <f>IF($I2772=0,0,IF(INDEX(DarlOhneTilgung,6)=1,0,IF(AND(INDEX(DarlTilgStart,6)&gt;0,$E2772=INDEX(DarlTilgStart,6)),$J2772*($H2772+INDEX(DarlTilgung,6))/100/12,IF(AND($G2772=0,$G2771=1),MAX($K2771,$J2772*($H2772+1)/100/12),$K2771))))</f>
      </c>
      <c r="L2772" s="43">
        <f>IF($I2772=0,0,$J2772*$H2772/100/12)</f>
      </c>
      <c r="M2772" s="43">
        <f>IF($I2772=0,0,IF(OR(INDEX(DarlOhneTilgung,6)=1,AND(INDEX(DarlTilgStart,6)&gt;0,$E2772&lt;INDEX(DarlTilgStart,6))),0,MIN(MAX(0,$K2772-$L2772),$J2772)))</f>
      </c>
      <c r="N2772" s="43">
        <f>IF($I2772=0,0,MIN(SUMIFS(SondBetrag,SondDarl,6,SondDatum,"&gt;="&amp;$E2772,SondDatum,"&lt;="&amp;EOMONTH($E2772,0)),$J2772-$M2772))</f>
      </c>
      <c r="O2772" s="43">
        <f>IF($I2772=0,0,INDEX(DarlErsatzRate,6))</f>
      </c>
      <c r="P2772" s="43">
        <f>IF($I2772=0,0,$Q2771*INDEX(DarlErsatzZins,6))</f>
      </c>
      <c r="Q2772" s="43">
        <f>IF($I2772=0,0,$Q2771+$P2772+$O2772)</f>
      </c>
      <c r="R2772" s="43">
        <f>IF($I2772=0,0,$J2772-$M2772-$N2772)</f>
      </c>
    </row>
    <row r="2773">
      <c r="A2773"/>
      <c r="B2773">
        <v>6</v>
      </c>
      <c r="C2773" s="43">
        <f>INDEX(DarlObj,6)</f>
      </c>
      <c r="D2773">
        <v>370</v>
      </c>
      <c r="E2773" s="51">
        <f>IF(INDEX(DarlBelegt,6)=0,0,EOMONTH(INDEX(DarlAuszahlung,6),369)+1)</f>
      </c>
      <c r="F2773" s="43">
        <f>IF($E2773=0,0,YEAR($E2773))</f>
      </c>
      <c r="G2773" s="43">
        <f>IF(INDEX(DarlBindung,6)="",1,IF($E2773&lt;=INDEX(DarlBindung,6),1,0))</f>
      </c>
      <c r="H2773" s="43">
        <f>IF($G2773=1,INDEX(DarlSollzins,6),INDEX(DarlAnschluss,6))</f>
      </c>
      <c r="I2773" s="43">
        <f>IF(INDEX(DarlBelegt,6)=0,0,IF(INDEX(DarlOhneTilgung,6)=1,IF(INDEX(DarlBindung,6)="",1,$G2773),IF($J2773&gt;0.005,1,0)))</f>
      </c>
      <c r="J2773" s="43">
        <f>IF($I2772=0,0,$R2772)</f>
      </c>
      <c r="K2773" s="43">
        <f>IF($I2773=0,0,IF(INDEX(DarlOhneTilgung,6)=1,0,IF(AND(INDEX(DarlTilgStart,6)&gt;0,$E2773=INDEX(DarlTilgStart,6)),$J2773*($H2773+INDEX(DarlTilgung,6))/100/12,IF(AND($G2773=0,$G2772=1),MAX($K2772,$J2773*($H2773+1)/100/12),$K2772))))</f>
      </c>
      <c r="L2773" s="43">
        <f>IF($I2773=0,0,$J2773*$H2773/100/12)</f>
      </c>
      <c r="M2773" s="43">
        <f>IF($I2773=0,0,IF(OR(INDEX(DarlOhneTilgung,6)=1,AND(INDEX(DarlTilgStart,6)&gt;0,$E2773&lt;INDEX(DarlTilgStart,6))),0,MIN(MAX(0,$K2773-$L2773),$J2773)))</f>
      </c>
      <c r="N2773" s="43">
        <f>IF($I2773=0,0,MIN(SUMIFS(SondBetrag,SondDarl,6,SondDatum,"&gt;="&amp;$E2773,SondDatum,"&lt;="&amp;EOMONTH($E2773,0)),$J2773-$M2773))</f>
      </c>
      <c r="O2773" s="43">
        <f>IF($I2773=0,0,INDEX(DarlErsatzRate,6))</f>
      </c>
      <c r="P2773" s="43">
        <f>IF($I2773=0,0,$Q2772*INDEX(DarlErsatzZins,6))</f>
      </c>
      <c r="Q2773" s="43">
        <f>IF($I2773=0,0,$Q2772+$P2773+$O2773)</f>
      </c>
      <c r="R2773" s="43">
        <f>IF($I2773=0,0,$J2773-$M2773-$N2773)</f>
      </c>
    </row>
    <row r="2774">
      <c r="A2774"/>
      <c r="B2774">
        <v>6</v>
      </c>
      <c r="C2774" s="43">
        <f>INDEX(DarlObj,6)</f>
      </c>
      <c r="D2774">
        <v>371</v>
      </c>
      <c r="E2774" s="51">
        <f>IF(INDEX(DarlBelegt,6)=0,0,EOMONTH(INDEX(DarlAuszahlung,6),370)+1)</f>
      </c>
      <c r="F2774" s="43">
        <f>IF($E2774=0,0,YEAR($E2774))</f>
      </c>
      <c r="G2774" s="43">
        <f>IF(INDEX(DarlBindung,6)="",1,IF($E2774&lt;=INDEX(DarlBindung,6),1,0))</f>
      </c>
      <c r="H2774" s="43">
        <f>IF($G2774=1,INDEX(DarlSollzins,6),INDEX(DarlAnschluss,6))</f>
      </c>
      <c r="I2774" s="43">
        <f>IF(INDEX(DarlBelegt,6)=0,0,IF(INDEX(DarlOhneTilgung,6)=1,IF(INDEX(DarlBindung,6)="",1,$G2774),IF($J2774&gt;0.005,1,0)))</f>
      </c>
      <c r="J2774" s="43">
        <f>IF($I2773=0,0,$R2773)</f>
      </c>
      <c r="K2774" s="43">
        <f>IF($I2774=0,0,IF(INDEX(DarlOhneTilgung,6)=1,0,IF(AND(INDEX(DarlTilgStart,6)&gt;0,$E2774=INDEX(DarlTilgStart,6)),$J2774*($H2774+INDEX(DarlTilgung,6))/100/12,IF(AND($G2774=0,$G2773=1),MAX($K2773,$J2774*($H2774+1)/100/12),$K2773))))</f>
      </c>
      <c r="L2774" s="43">
        <f>IF($I2774=0,0,$J2774*$H2774/100/12)</f>
      </c>
      <c r="M2774" s="43">
        <f>IF($I2774=0,0,IF(OR(INDEX(DarlOhneTilgung,6)=1,AND(INDEX(DarlTilgStart,6)&gt;0,$E2774&lt;INDEX(DarlTilgStart,6))),0,MIN(MAX(0,$K2774-$L2774),$J2774)))</f>
      </c>
      <c r="N2774" s="43">
        <f>IF($I2774=0,0,MIN(SUMIFS(SondBetrag,SondDarl,6,SondDatum,"&gt;="&amp;$E2774,SondDatum,"&lt;="&amp;EOMONTH($E2774,0)),$J2774-$M2774))</f>
      </c>
      <c r="O2774" s="43">
        <f>IF($I2774=0,0,INDEX(DarlErsatzRate,6))</f>
      </c>
      <c r="P2774" s="43">
        <f>IF($I2774=0,0,$Q2773*INDEX(DarlErsatzZins,6))</f>
      </c>
      <c r="Q2774" s="43">
        <f>IF($I2774=0,0,$Q2773+$P2774+$O2774)</f>
      </c>
      <c r="R2774" s="43">
        <f>IF($I2774=0,0,$J2774-$M2774-$N2774)</f>
      </c>
    </row>
    <row r="2775">
      <c r="A2775"/>
      <c r="B2775">
        <v>6</v>
      </c>
      <c r="C2775" s="43">
        <f>INDEX(DarlObj,6)</f>
      </c>
      <c r="D2775">
        <v>372</v>
      </c>
      <c r="E2775" s="51">
        <f>IF(INDEX(DarlBelegt,6)=0,0,EOMONTH(INDEX(DarlAuszahlung,6),371)+1)</f>
      </c>
      <c r="F2775" s="43">
        <f>IF($E2775=0,0,YEAR($E2775))</f>
      </c>
      <c r="G2775" s="43">
        <f>IF(INDEX(DarlBindung,6)="",1,IF($E2775&lt;=INDEX(DarlBindung,6),1,0))</f>
      </c>
      <c r="H2775" s="43">
        <f>IF($G2775=1,INDEX(DarlSollzins,6),INDEX(DarlAnschluss,6))</f>
      </c>
      <c r="I2775" s="43">
        <f>IF(INDEX(DarlBelegt,6)=0,0,IF(INDEX(DarlOhneTilgung,6)=1,IF(INDEX(DarlBindung,6)="",1,$G2775),IF($J2775&gt;0.005,1,0)))</f>
      </c>
      <c r="J2775" s="43">
        <f>IF($I2774=0,0,$R2774)</f>
      </c>
      <c r="K2775" s="43">
        <f>IF($I2775=0,0,IF(INDEX(DarlOhneTilgung,6)=1,0,IF(AND(INDEX(DarlTilgStart,6)&gt;0,$E2775=INDEX(DarlTilgStart,6)),$J2775*($H2775+INDEX(DarlTilgung,6))/100/12,IF(AND($G2775=0,$G2774=1),MAX($K2774,$J2775*($H2775+1)/100/12),$K2774))))</f>
      </c>
      <c r="L2775" s="43">
        <f>IF($I2775=0,0,$J2775*$H2775/100/12)</f>
      </c>
      <c r="M2775" s="43">
        <f>IF($I2775=0,0,IF(OR(INDEX(DarlOhneTilgung,6)=1,AND(INDEX(DarlTilgStart,6)&gt;0,$E2775&lt;INDEX(DarlTilgStart,6))),0,MIN(MAX(0,$K2775-$L2775),$J2775)))</f>
      </c>
      <c r="N2775" s="43">
        <f>IF($I2775=0,0,MIN(SUMIFS(SondBetrag,SondDarl,6,SondDatum,"&gt;="&amp;$E2775,SondDatum,"&lt;="&amp;EOMONTH($E2775,0)),$J2775-$M2775))</f>
      </c>
      <c r="O2775" s="43">
        <f>IF($I2775=0,0,INDEX(DarlErsatzRate,6))</f>
      </c>
      <c r="P2775" s="43">
        <f>IF($I2775=0,0,$Q2774*INDEX(DarlErsatzZins,6))</f>
      </c>
      <c r="Q2775" s="43">
        <f>IF($I2775=0,0,$Q2774+$P2775+$O2775)</f>
      </c>
      <c r="R2775" s="43">
        <f>IF($I2775=0,0,$J2775-$M2775-$N2775)</f>
      </c>
    </row>
    <row r="2776">
      <c r="A2776"/>
      <c r="B2776">
        <v>6</v>
      </c>
      <c r="C2776" s="43">
        <f>INDEX(DarlObj,6)</f>
      </c>
      <c r="D2776">
        <v>373</v>
      </c>
      <c r="E2776" s="51">
        <f>IF(INDEX(DarlBelegt,6)=0,0,EOMONTH(INDEX(DarlAuszahlung,6),372)+1)</f>
      </c>
      <c r="F2776" s="43">
        <f>IF($E2776=0,0,YEAR($E2776))</f>
      </c>
      <c r="G2776" s="43">
        <f>IF(INDEX(DarlBindung,6)="",1,IF($E2776&lt;=INDEX(DarlBindung,6),1,0))</f>
      </c>
      <c r="H2776" s="43">
        <f>IF($G2776=1,INDEX(DarlSollzins,6),INDEX(DarlAnschluss,6))</f>
      </c>
      <c r="I2776" s="43">
        <f>IF(INDEX(DarlBelegt,6)=0,0,IF(INDEX(DarlOhneTilgung,6)=1,IF(INDEX(DarlBindung,6)="",1,$G2776),IF($J2776&gt;0.005,1,0)))</f>
      </c>
      <c r="J2776" s="43">
        <f>IF($I2775=0,0,$R2775)</f>
      </c>
      <c r="K2776" s="43">
        <f>IF($I2776=0,0,IF(INDEX(DarlOhneTilgung,6)=1,0,IF(AND(INDEX(DarlTilgStart,6)&gt;0,$E2776=INDEX(DarlTilgStart,6)),$J2776*($H2776+INDEX(DarlTilgung,6))/100/12,IF(AND($G2776=0,$G2775=1),MAX($K2775,$J2776*($H2776+1)/100/12),$K2775))))</f>
      </c>
      <c r="L2776" s="43">
        <f>IF($I2776=0,0,$J2776*$H2776/100/12)</f>
      </c>
      <c r="M2776" s="43">
        <f>IF($I2776=0,0,IF(OR(INDEX(DarlOhneTilgung,6)=1,AND(INDEX(DarlTilgStart,6)&gt;0,$E2776&lt;INDEX(DarlTilgStart,6))),0,MIN(MAX(0,$K2776-$L2776),$J2776)))</f>
      </c>
      <c r="N2776" s="43">
        <f>IF($I2776=0,0,MIN(SUMIFS(SondBetrag,SondDarl,6,SondDatum,"&gt;="&amp;$E2776,SondDatum,"&lt;="&amp;EOMONTH($E2776,0)),$J2776-$M2776))</f>
      </c>
      <c r="O2776" s="43">
        <f>IF($I2776=0,0,INDEX(DarlErsatzRate,6))</f>
      </c>
      <c r="P2776" s="43">
        <f>IF($I2776=0,0,$Q2775*INDEX(DarlErsatzZins,6))</f>
      </c>
      <c r="Q2776" s="43">
        <f>IF($I2776=0,0,$Q2775+$P2776+$O2776)</f>
      </c>
      <c r="R2776" s="43">
        <f>IF($I2776=0,0,$J2776-$M2776-$N2776)</f>
      </c>
    </row>
    <row r="2777">
      <c r="A2777"/>
      <c r="B2777">
        <v>6</v>
      </c>
      <c r="C2777" s="43">
        <f>INDEX(DarlObj,6)</f>
      </c>
      <c r="D2777">
        <v>374</v>
      </c>
      <c r="E2777" s="51">
        <f>IF(INDEX(DarlBelegt,6)=0,0,EOMONTH(INDEX(DarlAuszahlung,6),373)+1)</f>
      </c>
      <c r="F2777" s="43">
        <f>IF($E2777=0,0,YEAR($E2777))</f>
      </c>
      <c r="G2777" s="43">
        <f>IF(INDEX(DarlBindung,6)="",1,IF($E2777&lt;=INDEX(DarlBindung,6),1,0))</f>
      </c>
      <c r="H2777" s="43">
        <f>IF($G2777=1,INDEX(DarlSollzins,6),INDEX(DarlAnschluss,6))</f>
      </c>
      <c r="I2777" s="43">
        <f>IF(INDEX(DarlBelegt,6)=0,0,IF(INDEX(DarlOhneTilgung,6)=1,IF(INDEX(DarlBindung,6)="",1,$G2777),IF($J2777&gt;0.005,1,0)))</f>
      </c>
      <c r="J2777" s="43">
        <f>IF($I2776=0,0,$R2776)</f>
      </c>
      <c r="K2777" s="43">
        <f>IF($I2777=0,0,IF(INDEX(DarlOhneTilgung,6)=1,0,IF(AND(INDEX(DarlTilgStart,6)&gt;0,$E2777=INDEX(DarlTilgStart,6)),$J2777*($H2777+INDEX(DarlTilgung,6))/100/12,IF(AND($G2777=0,$G2776=1),MAX($K2776,$J2777*($H2777+1)/100/12),$K2776))))</f>
      </c>
      <c r="L2777" s="43">
        <f>IF($I2777=0,0,$J2777*$H2777/100/12)</f>
      </c>
      <c r="M2777" s="43">
        <f>IF($I2777=0,0,IF(OR(INDEX(DarlOhneTilgung,6)=1,AND(INDEX(DarlTilgStart,6)&gt;0,$E2777&lt;INDEX(DarlTilgStart,6))),0,MIN(MAX(0,$K2777-$L2777),$J2777)))</f>
      </c>
      <c r="N2777" s="43">
        <f>IF($I2777=0,0,MIN(SUMIFS(SondBetrag,SondDarl,6,SondDatum,"&gt;="&amp;$E2777,SondDatum,"&lt;="&amp;EOMONTH($E2777,0)),$J2777-$M2777))</f>
      </c>
      <c r="O2777" s="43">
        <f>IF($I2777=0,0,INDEX(DarlErsatzRate,6))</f>
      </c>
      <c r="P2777" s="43">
        <f>IF($I2777=0,0,$Q2776*INDEX(DarlErsatzZins,6))</f>
      </c>
      <c r="Q2777" s="43">
        <f>IF($I2777=0,0,$Q2776+$P2777+$O2777)</f>
      </c>
      <c r="R2777" s="43">
        <f>IF($I2777=0,0,$J2777-$M2777-$N2777)</f>
      </c>
    </row>
    <row r="2778">
      <c r="A2778"/>
      <c r="B2778">
        <v>6</v>
      </c>
      <c r="C2778" s="43">
        <f>INDEX(DarlObj,6)</f>
      </c>
      <c r="D2778">
        <v>375</v>
      </c>
      <c r="E2778" s="51">
        <f>IF(INDEX(DarlBelegt,6)=0,0,EOMONTH(INDEX(DarlAuszahlung,6),374)+1)</f>
      </c>
      <c r="F2778" s="43">
        <f>IF($E2778=0,0,YEAR($E2778))</f>
      </c>
      <c r="G2778" s="43">
        <f>IF(INDEX(DarlBindung,6)="",1,IF($E2778&lt;=INDEX(DarlBindung,6),1,0))</f>
      </c>
      <c r="H2778" s="43">
        <f>IF($G2778=1,INDEX(DarlSollzins,6),INDEX(DarlAnschluss,6))</f>
      </c>
      <c r="I2778" s="43">
        <f>IF(INDEX(DarlBelegt,6)=0,0,IF(INDEX(DarlOhneTilgung,6)=1,IF(INDEX(DarlBindung,6)="",1,$G2778),IF($J2778&gt;0.005,1,0)))</f>
      </c>
      <c r="J2778" s="43">
        <f>IF($I2777=0,0,$R2777)</f>
      </c>
      <c r="K2778" s="43">
        <f>IF($I2778=0,0,IF(INDEX(DarlOhneTilgung,6)=1,0,IF(AND(INDEX(DarlTilgStart,6)&gt;0,$E2778=INDEX(DarlTilgStart,6)),$J2778*($H2778+INDEX(DarlTilgung,6))/100/12,IF(AND($G2778=0,$G2777=1),MAX($K2777,$J2778*($H2778+1)/100/12),$K2777))))</f>
      </c>
      <c r="L2778" s="43">
        <f>IF($I2778=0,0,$J2778*$H2778/100/12)</f>
      </c>
      <c r="M2778" s="43">
        <f>IF($I2778=0,0,IF(OR(INDEX(DarlOhneTilgung,6)=1,AND(INDEX(DarlTilgStart,6)&gt;0,$E2778&lt;INDEX(DarlTilgStart,6))),0,MIN(MAX(0,$K2778-$L2778),$J2778)))</f>
      </c>
      <c r="N2778" s="43">
        <f>IF($I2778=0,0,MIN(SUMIFS(SondBetrag,SondDarl,6,SondDatum,"&gt;="&amp;$E2778,SondDatum,"&lt;="&amp;EOMONTH($E2778,0)),$J2778-$M2778))</f>
      </c>
      <c r="O2778" s="43">
        <f>IF($I2778=0,0,INDEX(DarlErsatzRate,6))</f>
      </c>
      <c r="P2778" s="43">
        <f>IF($I2778=0,0,$Q2777*INDEX(DarlErsatzZins,6))</f>
      </c>
      <c r="Q2778" s="43">
        <f>IF($I2778=0,0,$Q2777+$P2778+$O2778)</f>
      </c>
      <c r="R2778" s="43">
        <f>IF($I2778=0,0,$J2778-$M2778-$N2778)</f>
      </c>
    </row>
    <row r="2779">
      <c r="A2779"/>
      <c r="B2779">
        <v>6</v>
      </c>
      <c r="C2779" s="43">
        <f>INDEX(DarlObj,6)</f>
      </c>
      <c r="D2779">
        <v>376</v>
      </c>
      <c r="E2779" s="51">
        <f>IF(INDEX(DarlBelegt,6)=0,0,EOMONTH(INDEX(DarlAuszahlung,6),375)+1)</f>
      </c>
      <c r="F2779" s="43">
        <f>IF($E2779=0,0,YEAR($E2779))</f>
      </c>
      <c r="G2779" s="43">
        <f>IF(INDEX(DarlBindung,6)="",1,IF($E2779&lt;=INDEX(DarlBindung,6),1,0))</f>
      </c>
      <c r="H2779" s="43">
        <f>IF($G2779=1,INDEX(DarlSollzins,6),INDEX(DarlAnschluss,6))</f>
      </c>
      <c r="I2779" s="43">
        <f>IF(INDEX(DarlBelegt,6)=0,0,IF(INDEX(DarlOhneTilgung,6)=1,IF(INDEX(DarlBindung,6)="",1,$G2779),IF($J2779&gt;0.005,1,0)))</f>
      </c>
      <c r="J2779" s="43">
        <f>IF($I2778=0,0,$R2778)</f>
      </c>
      <c r="K2779" s="43">
        <f>IF($I2779=0,0,IF(INDEX(DarlOhneTilgung,6)=1,0,IF(AND(INDEX(DarlTilgStart,6)&gt;0,$E2779=INDEX(DarlTilgStart,6)),$J2779*($H2779+INDEX(DarlTilgung,6))/100/12,IF(AND($G2779=0,$G2778=1),MAX($K2778,$J2779*($H2779+1)/100/12),$K2778))))</f>
      </c>
      <c r="L2779" s="43">
        <f>IF($I2779=0,0,$J2779*$H2779/100/12)</f>
      </c>
      <c r="M2779" s="43">
        <f>IF($I2779=0,0,IF(OR(INDEX(DarlOhneTilgung,6)=1,AND(INDEX(DarlTilgStart,6)&gt;0,$E2779&lt;INDEX(DarlTilgStart,6))),0,MIN(MAX(0,$K2779-$L2779),$J2779)))</f>
      </c>
      <c r="N2779" s="43">
        <f>IF($I2779=0,0,MIN(SUMIFS(SondBetrag,SondDarl,6,SondDatum,"&gt;="&amp;$E2779,SondDatum,"&lt;="&amp;EOMONTH($E2779,0)),$J2779-$M2779))</f>
      </c>
      <c r="O2779" s="43">
        <f>IF($I2779=0,0,INDEX(DarlErsatzRate,6))</f>
      </c>
      <c r="P2779" s="43">
        <f>IF($I2779=0,0,$Q2778*INDEX(DarlErsatzZins,6))</f>
      </c>
      <c r="Q2779" s="43">
        <f>IF($I2779=0,0,$Q2778+$P2779+$O2779)</f>
      </c>
      <c r="R2779" s="43">
        <f>IF($I2779=0,0,$J2779-$M2779-$N2779)</f>
      </c>
    </row>
    <row r="2780">
      <c r="A2780"/>
      <c r="B2780">
        <v>6</v>
      </c>
      <c r="C2780" s="43">
        <f>INDEX(DarlObj,6)</f>
      </c>
      <c r="D2780">
        <v>377</v>
      </c>
      <c r="E2780" s="51">
        <f>IF(INDEX(DarlBelegt,6)=0,0,EOMONTH(INDEX(DarlAuszahlung,6),376)+1)</f>
      </c>
      <c r="F2780" s="43">
        <f>IF($E2780=0,0,YEAR($E2780))</f>
      </c>
      <c r="G2780" s="43">
        <f>IF(INDEX(DarlBindung,6)="",1,IF($E2780&lt;=INDEX(DarlBindung,6),1,0))</f>
      </c>
      <c r="H2780" s="43">
        <f>IF($G2780=1,INDEX(DarlSollzins,6),INDEX(DarlAnschluss,6))</f>
      </c>
      <c r="I2780" s="43">
        <f>IF(INDEX(DarlBelegt,6)=0,0,IF(INDEX(DarlOhneTilgung,6)=1,IF(INDEX(DarlBindung,6)="",1,$G2780),IF($J2780&gt;0.005,1,0)))</f>
      </c>
      <c r="J2780" s="43">
        <f>IF($I2779=0,0,$R2779)</f>
      </c>
      <c r="K2780" s="43">
        <f>IF($I2780=0,0,IF(INDEX(DarlOhneTilgung,6)=1,0,IF(AND(INDEX(DarlTilgStart,6)&gt;0,$E2780=INDEX(DarlTilgStart,6)),$J2780*($H2780+INDEX(DarlTilgung,6))/100/12,IF(AND($G2780=0,$G2779=1),MAX($K2779,$J2780*($H2780+1)/100/12),$K2779))))</f>
      </c>
      <c r="L2780" s="43">
        <f>IF($I2780=0,0,$J2780*$H2780/100/12)</f>
      </c>
      <c r="M2780" s="43">
        <f>IF($I2780=0,0,IF(OR(INDEX(DarlOhneTilgung,6)=1,AND(INDEX(DarlTilgStart,6)&gt;0,$E2780&lt;INDEX(DarlTilgStart,6))),0,MIN(MAX(0,$K2780-$L2780),$J2780)))</f>
      </c>
      <c r="N2780" s="43">
        <f>IF($I2780=0,0,MIN(SUMIFS(SondBetrag,SondDarl,6,SondDatum,"&gt;="&amp;$E2780,SondDatum,"&lt;="&amp;EOMONTH($E2780,0)),$J2780-$M2780))</f>
      </c>
      <c r="O2780" s="43">
        <f>IF($I2780=0,0,INDEX(DarlErsatzRate,6))</f>
      </c>
      <c r="P2780" s="43">
        <f>IF($I2780=0,0,$Q2779*INDEX(DarlErsatzZins,6))</f>
      </c>
      <c r="Q2780" s="43">
        <f>IF($I2780=0,0,$Q2779+$P2780+$O2780)</f>
      </c>
      <c r="R2780" s="43">
        <f>IF($I2780=0,0,$J2780-$M2780-$N2780)</f>
      </c>
    </row>
    <row r="2781">
      <c r="A2781"/>
      <c r="B2781">
        <v>6</v>
      </c>
      <c r="C2781" s="43">
        <f>INDEX(DarlObj,6)</f>
      </c>
      <c r="D2781">
        <v>378</v>
      </c>
      <c r="E2781" s="51">
        <f>IF(INDEX(DarlBelegt,6)=0,0,EOMONTH(INDEX(DarlAuszahlung,6),377)+1)</f>
      </c>
      <c r="F2781" s="43">
        <f>IF($E2781=0,0,YEAR($E2781))</f>
      </c>
      <c r="G2781" s="43">
        <f>IF(INDEX(DarlBindung,6)="",1,IF($E2781&lt;=INDEX(DarlBindung,6),1,0))</f>
      </c>
      <c r="H2781" s="43">
        <f>IF($G2781=1,INDEX(DarlSollzins,6),INDEX(DarlAnschluss,6))</f>
      </c>
      <c r="I2781" s="43">
        <f>IF(INDEX(DarlBelegt,6)=0,0,IF(INDEX(DarlOhneTilgung,6)=1,IF(INDEX(DarlBindung,6)="",1,$G2781),IF($J2781&gt;0.005,1,0)))</f>
      </c>
      <c r="J2781" s="43">
        <f>IF($I2780=0,0,$R2780)</f>
      </c>
      <c r="K2781" s="43">
        <f>IF($I2781=0,0,IF(INDEX(DarlOhneTilgung,6)=1,0,IF(AND(INDEX(DarlTilgStart,6)&gt;0,$E2781=INDEX(DarlTilgStart,6)),$J2781*($H2781+INDEX(DarlTilgung,6))/100/12,IF(AND($G2781=0,$G2780=1),MAX($K2780,$J2781*($H2781+1)/100/12),$K2780))))</f>
      </c>
      <c r="L2781" s="43">
        <f>IF($I2781=0,0,$J2781*$H2781/100/12)</f>
      </c>
      <c r="M2781" s="43">
        <f>IF($I2781=0,0,IF(OR(INDEX(DarlOhneTilgung,6)=1,AND(INDEX(DarlTilgStart,6)&gt;0,$E2781&lt;INDEX(DarlTilgStart,6))),0,MIN(MAX(0,$K2781-$L2781),$J2781)))</f>
      </c>
      <c r="N2781" s="43">
        <f>IF($I2781=0,0,MIN(SUMIFS(SondBetrag,SondDarl,6,SondDatum,"&gt;="&amp;$E2781,SondDatum,"&lt;="&amp;EOMONTH($E2781,0)),$J2781-$M2781))</f>
      </c>
      <c r="O2781" s="43">
        <f>IF($I2781=0,0,INDEX(DarlErsatzRate,6))</f>
      </c>
      <c r="P2781" s="43">
        <f>IF($I2781=0,0,$Q2780*INDEX(DarlErsatzZins,6))</f>
      </c>
      <c r="Q2781" s="43">
        <f>IF($I2781=0,0,$Q2780+$P2781+$O2781)</f>
      </c>
      <c r="R2781" s="43">
        <f>IF($I2781=0,0,$J2781-$M2781-$N2781)</f>
      </c>
    </row>
    <row r="2782">
      <c r="A2782"/>
      <c r="B2782">
        <v>6</v>
      </c>
      <c r="C2782" s="43">
        <f>INDEX(DarlObj,6)</f>
      </c>
      <c r="D2782">
        <v>379</v>
      </c>
      <c r="E2782" s="51">
        <f>IF(INDEX(DarlBelegt,6)=0,0,EOMONTH(INDEX(DarlAuszahlung,6),378)+1)</f>
      </c>
      <c r="F2782" s="43">
        <f>IF($E2782=0,0,YEAR($E2782))</f>
      </c>
      <c r="G2782" s="43">
        <f>IF(INDEX(DarlBindung,6)="",1,IF($E2782&lt;=INDEX(DarlBindung,6),1,0))</f>
      </c>
      <c r="H2782" s="43">
        <f>IF($G2782=1,INDEX(DarlSollzins,6),INDEX(DarlAnschluss,6))</f>
      </c>
      <c r="I2782" s="43">
        <f>IF(INDEX(DarlBelegt,6)=0,0,IF(INDEX(DarlOhneTilgung,6)=1,IF(INDEX(DarlBindung,6)="",1,$G2782),IF($J2782&gt;0.005,1,0)))</f>
      </c>
      <c r="J2782" s="43">
        <f>IF($I2781=0,0,$R2781)</f>
      </c>
      <c r="K2782" s="43">
        <f>IF($I2782=0,0,IF(INDEX(DarlOhneTilgung,6)=1,0,IF(AND(INDEX(DarlTilgStart,6)&gt;0,$E2782=INDEX(DarlTilgStart,6)),$J2782*($H2782+INDEX(DarlTilgung,6))/100/12,IF(AND($G2782=0,$G2781=1),MAX($K2781,$J2782*($H2782+1)/100/12),$K2781))))</f>
      </c>
      <c r="L2782" s="43">
        <f>IF($I2782=0,0,$J2782*$H2782/100/12)</f>
      </c>
      <c r="M2782" s="43">
        <f>IF($I2782=0,0,IF(OR(INDEX(DarlOhneTilgung,6)=1,AND(INDEX(DarlTilgStart,6)&gt;0,$E2782&lt;INDEX(DarlTilgStart,6))),0,MIN(MAX(0,$K2782-$L2782),$J2782)))</f>
      </c>
      <c r="N2782" s="43">
        <f>IF($I2782=0,0,MIN(SUMIFS(SondBetrag,SondDarl,6,SondDatum,"&gt;="&amp;$E2782,SondDatum,"&lt;="&amp;EOMONTH($E2782,0)),$J2782-$M2782))</f>
      </c>
      <c r="O2782" s="43">
        <f>IF($I2782=0,0,INDEX(DarlErsatzRate,6))</f>
      </c>
      <c r="P2782" s="43">
        <f>IF($I2782=0,0,$Q2781*INDEX(DarlErsatzZins,6))</f>
      </c>
      <c r="Q2782" s="43">
        <f>IF($I2782=0,0,$Q2781+$P2782+$O2782)</f>
      </c>
      <c r="R2782" s="43">
        <f>IF($I2782=0,0,$J2782-$M2782-$N2782)</f>
      </c>
    </row>
    <row r="2783">
      <c r="A2783"/>
      <c r="B2783">
        <v>6</v>
      </c>
      <c r="C2783" s="43">
        <f>INDEX(DarlObj,6)</f>
      </c>
      <c r="D2783">
        <v>380</v>
      </c>
      <c r="E2783" s="51">
        <f>IF(INDEX(DarlBelegt,6)=0,0,EOMONTH(INDEX(DarlAuszahlung,6),379)+1)</f>
      </c>
      <c r="F2783" s="43">
        <f>IF($E2783=0,0,YEAR($E2783))</f>
      </c>
      <c r="G2783" s="43">
        <f>IF(INDEX(DarlBindung,6)="",1,IF($E2783&lt;=INDEX(DarlBindung,6),1,0))</f>
      </c>
      <c r="H2783" s="43">
        <f>IF($G2783=1,INDEX(DarlSollzins,6),INDEX(DarlAnschluss,6))</f>
      </c>
      <c r="I2783" s="43">
        <f>IF(INDEX(DarlBelegt,6)=0,0,IF(INDEX(DarlOhneTilgung,6)=1,IF(INDEX(DarlBindung,6)="",1,$G2783),IF($J2783&gt;0.005,1,0)))</f>
      </c>
      <c r="J2783" s="43">
        <f>IF($I2782=0,0,$R2782)</f>
      </c>
      <c r="K2783" s="43">
        <f>IF($I2783=0,0,IF(INDEX(DarlOhneTilgung,6)=1,0,IF(AND(INDEX(DarlTilgStart,6)&gt;0,$E2783=INDEX(DarlTilgStart,6)),$J2783*($H2783+INDEX(DarlTilgung,6))/100/12,IF(AND($G2783=0,$G2782=1),MAX($K2782,$J2783*($H2783+1)/100/12),$K2782))))</f>
      </c>
      <c r="L2783" s="43">
        <f>IF($I2783=0,0,$J2783*$H2783/100/12)</f>
      </c>
      <c r="M2783" s="43">
        <f>IF($I2783=0,0,IF(OR(INDEX(DarlOhneTilgung,6)=1,AND(INDEX(DarlTilgStart,6)&gt;0,$E2783&lt;INDEX(DarlTilgStart,6))),0,MIN(MAX(0,$K2783-$L2783),$J2783)))</f>
      </c>
      <c r="N2783" s="43">
        <f>IF($I2783=0,0,MIN(SUMIFS(SondBetrag,SondDarl,6,SondDatum,"&gt;="&amp;$E2783,SondDatum,"&lt;="&amp;EOMONTH($E2783,0)),$J2783-$M2783))</f>
      </c>
      <c r="O2783" s="43">
        <f>IF($I2783=0,0,INDEX(DarlErsatzRate,6))</f>
      </c>
      <c r="P2783" s="43">
        <f>IF($I2783=0,0,$Q2782*INDEX(DarlErsatzZins,6))</f>
      </c>
      <c r="Q2783" s="43">
        <f>IF($I2783=0,0,$Q2782+$P2783+$O2783)</f>
      </c>
      <c r="R2783" s="43">
        <f>IF($I2783=0,0,$J2783-$M2783-$N2783)</f>
      </c>
    </row>
    <row r="2784">
      <c r="A2784"/>
      <c r="B2784">
        <v>6</v>
      </c>
      <c r="C2784" s="43">
        <f>INDEX(DarlObj,6)</f>
      </c>
      <c r="D2784">
        <v>381</v>
      </c>
      <c r="E2784" s="51">
        <f>IF(INDEX(DarlBelegt,6)=0,0,EOMONTH(INDEX(DarlAuszahlung,6),380)+1)</f>
      </c>
      <c r="F2784" s="43">
        <f>IF($E2784=0,0,YEAR($E2784))</f>
      </c>
      <c r="G2784" s="43">
        <f>IF(INDEX(DarlBindung,6)="",1,IF($E2784&lt;=INDEX(DarlBindung,6),1,0))</f>
      </c>
      <c r="H2784" s="43">
        <f>IF($G2784=1,INDEX(DarlSollzins,6),INDEX(DarlAnschluss,6))</f>
      </c>
      <c r="I2784" s="43">
        <f>IF(INDEX(DarlBelegt,6)=0,0,IF(INDEX(DarlOhneTilgung,6)=1,IF(INDEX(DarlBindung,6)="",1,$G2784),IF($J2784&gt;0.005,1,0)))</f>
      </c>
      <c r="J2784" s="43">
        <f>IF($I2783=0,0,$R2783)</f>
      </c>
      <c r="K2784" s="43">
        <f>IF($I2784=0,0,IF(INDEX(DarlOhneTilgung,6)=1,0,IF(AND(INDEX(DarlTilgStart,6)&gt;0,$E2784=INDEX(DarlTilgStart,6)),$J2784*($H2784+INDEX(DarlTilgung,6))/100/12,IF(AND($G2784=0,$G2783=1),MAX($K2783,$J2784*($H2784+1)/100/12),$K2783))))</f>
      </c>
      <c r="L2784" s="43">
        <f>IF($I2784=0,0,$J2784*$H2784/100/12)</f>
      </c>
      <c r="M2784" s="43">
        <f>IF($I2784=0,0,IF(OR(INDEX(DarlOhneTilgung,6)=1,AND(INDEX(DarlTilgStart,6)&gt;0,$E2784&lt;INDEX(DarlTilgStart,6))),0,MIN(MAX(0,$K2784-$L2784),$J2784)))</f>
      </c>
      <c r="N2784" s="43">
        <f>IF($I2784=0,0,MIN(SUMIFS(SondBetrag,SondDarl,6,SondDatum,"&gt;="&amp;$E2784,SondDatum,"&lt;="&amp;EOMONTH($E2784,0)),$J2784-$M2784))</f>
      </c>
      <c r="O2784" s="43">
        <f>IF($I2784=0,0,INDEX(DarlErsatzRate,6))</f>
      </c>
      <c r="P2784" s="43">
        <f>IF($I2784=0,0,$Q2783*INDEX(DarlErsatzZins,6))</f>
      </c>
      <c r="Q2784" s="43">
        <f>IF($I2784=0,0,$Q2783+$P2784+$O2784)</f>
      </c>
      <c r="R2784" s="43">
        <f>IF($I2784=0,0,$J2784-$M2784-$N2784)</f>
      </c>
    </row>
    <row r="2785">
      <c r="A2785"/>
      <c r="B2785">
        <v>6</v>
      </c>
      <c r="C2785" s="43">
        <f>INDEX(DarlObj,6)</f>
      </c>
      <c r="D2785">
        <v>382</v>
      </c>
      <c r="E2785" s="51">
        <f>IF(INDEX(DarlBelegt,6)=0,0,EOMONTH(INDEX(DarlAuszahlung,6),381)+1)</f>
      </c>
      <c r="F2785" s="43">
        <f>IF($E2785=0,0,YEAR($E2785))</f>
      </c>
      <c r="G2785" s="43">
        <f>IF(INDEX(DarlBindung,6)="",1,IF($E2785&lt;=INDEX(DarlBindung,6),1,0))</f>
      </c>
      <c r="H2785" s="43">
        <f>IF($G2785=1,INDEX(DarlSollzins,6),INDEX(DarlAnschluss,6))</f>
      </c>
      <c r="I2785" s="43">
        <f>IF(INDEX(DarlBelegt,6)=0,0,IF(INDEX(DarlOhneTilgung,6)=1,IF(INDEX(DarlBindung,6)="",1,$G2785),IF($J2785&gt;0.005,1,0)))</f>
      </c>
      <c r="J2785" s="43">
        <f>IF($I2784=0,0,$R2784)</f>
      </c>
      <c r="K2785" s="43">
        <f>IF($I2785=0,0,IF(INDEX(DarlOhneTilgung,6)=1,0,IF(AND(INDEX(DarlTilgStart,6)&gt;0,$E2785=INDEX(DarlTilgStart,6)),$J2785*($H2785+INDEX(DarlTilgung,6))/100/12,IF(AND($G2785=0,$G2784=1),MAX($K2784,$J2785*($H2785+1)/100/12),$K2784))))</f>
      </c>
      <c r="L2785" s="43">
        <f>IF($I2785=0,0,$J2785*$H2785/100/12)</f>
      </c>
      <c r="M2785" s="43">
        <f>IF($I2785=0,0,IF(OR(INDEX(DarlOhneTilgung,6)=1,AND(INDEX(DarlTilgStart,6)&gt;0,$E2785&lt;INDEX(DarlTilgStart,6))),0,MIN(MAX(0,$K2785-$L2785),$J2785)))</f>
      </c>
      <c r="N2785" s="43">
        <f>IF($I2785=0,0,MIN(SUMIFS(SondBetrag,SondDarl,6,SondDatum,"&gt;="&amp;$E2785,SondDatum,"&lt;="&amp;EOMONTH($E2785,0)),$J2785-$M2785))</f>
      </c>
      <c r="O2785" s="43">
        <f>IF($I2785=0,0,INDEX(DarlErsatzRate,6))</f>
      </c>
      <c r="P2785" s="43">
        <f>IF($I2785=0,0,$Q2784*INDEX(DarlErsatzZins,6))</f>
      </c>
      <c r="Q2785" s="43">
        <f>IF($I2785=0,0,$Q2784+$P2785+$O2785)</f>
      </c>
      <c r="R2785" s="43">
        <f>IF($I2785=0,0,$J2785-$M2785-$N2785)</f>
      </c>
    </row>
    <row r="2786">
      <c r="A2786"/>
      <c r="B2786">
        <v>6</v>
      </c>
      <c r="C2786" s="43">
        <f>INDEX(DarlObj,6)</f>
      </c>
      <c r="D2786">
        <v>383</v>
      </c>
      <c r="E2786" s="51">
        <f>IF(INDEX(DarlBelegt,6)=0,0,EOMONTH(INDEX(DarlAuszahlung,6),382)+1)</f>
      </c>
      <c r="F2786" s="43">
        <f>IF($E2786=0,0,YEAR($E2786))</f>
      </c>
      <c r="G2786" s="43">
        <f>IF(INDEX(DarlBindung,6)="",1,IF($E2786&lt;=INDEX(DarlBindung,6),1,0))</f>
      </c>
      <c r="H2786" s="43">
        <f>IF($G2786=1,INDEX(DarlSollzins,6),INDEX(DarlAnschluss,6))</f>
      </c>
      <c r="I2786" s="43">
        <f>IF(INDEX(DarlBelegt,6)=0,0,IF(INDEX(DarlOhneTilgung,6)=1,IF(INDEX(DarlBindung,6)="",1,$G2786),IF($J2786&gt;0.005,1,0)))</f>
      </c>
      <c r="J2786" s="43">
        <f>IF($I2785=0,0,$R2785)</f>
      </c>
      <c r="K2786" s="43">
        <f>IF($I2786=0,0,IF(INDEX(DarlOhneTilgung,6)=1,0,IF(AND(INDEX(DarlTilgStart,6)&gt;0,$E2786=INDEX(DarlTilgStart,6)),$J2786*($H2786+INDEX(DarlTilgung,6))/100/12,IF(AND($G2786=0,$G2785=1),MAX($K2785,$J2786*($H2786+1)/100/12),$K2785))))</f>
      </c>
      <c r="L2786" s="43">
        <f>IF($I2786=0,0,$J2786*$H2786/100/12)</f>
      </c>
      <c r="M2786" s="43">
        <f>IF($I2786=0,0,IF(OR(INDEX(DarlOhneTilgung,6)=1,AND(INDEX(DarlTilgStart,6)&gt;0,$E2786&lt;INDEX(DarlTilgStart,6))),0,MIN(MAX(0,$K2786-$L2786),$J2786)))</f>
      </c>
      <c r="N2786" s="43">
        <f>IF($I2786=0,0,MIN(SUMIFS(SondBetrag,SondDarl,6,SondDatum,"&gt;="&amp;$E2786,SondDatum,"&lt;="&amp;EOMONTH($E2786,0)),$J2786-$M2786))</f>
      </c>
      <c r="O2786" s="43">
        <f>IF($I2786=0,0,INDEX(DarlErsatzRate,6))</f>
      </c>
      <c r="P2786" s="43">
        <f>IF($I2786=0,0,$Q2785*INDEX(DarlErsatzZins,6))</f>
      </c>
      <c r="Q2786" s="43">
        <f>IF($I2786=0,0,$Q2785+$P2786+$O2786)</f>
      </c>
      <c r="R2786" s="43">
        <f>IF($I2786=0,0,$J2786-$M2786-$N2786)</f>
      </c>
    </row>
    <row r="2787">
      <c r="A2787"/>
      <c r="B2787">
        <v>6</v>
      </c>
      <c r="C2787" s="43">
        <f>INDEX(DarlObj,6)</f>
      </c>
      <c r="D2787">
        <v>384</v>
      </c>
      <c r="E2787" s="51">
        <f>IF(INDEX(DarlBelegt,6)=0,0,EOMONTH(INDEX(DarlAuszahlung,6),383)+1)</f>
      </c>
      <c r="F2787" s="43">
        <f>IF($E2787=0,0,YEAR($E2787))</f>
      </c>
      <c r="G2787" s="43">
        <f>IF(INDEX(DarlBindung,6)="",1,IF($E2787&lt;=INDEX(DarlBindung,6),1,0))</f>
      </c>
      <c r="H2787" s="43">
        <f>IF($G2787=1,INDEX(DarlSollzins,6),INDEX(DarlAnschluss,6))</f>
      </c>
      <c r="I2787" s="43">
        <f>IF(INDEX(DarlBelegt,6)=0,0,IF(INDEX(DarlOhneTilgung,6)=1,IF(INDEX(DarlBindung,6)="",1,$G2787),IF($J2787&gt;0.005,1,0)))</f>
      </c>
      <c r="J2787" s="43">
        <f>IF($I2786=0,0,$R2786)</f>
      </c>
      <c r="K2787" s="43">
        <f>IF($I2787=0,0,IF(INDEX(DarlOhneTilgung,6)=1,0,IF(AND(INDEX(DarlTilgStart,6)&gt;0,$E2787=INDEX(DarlTilgStart,6)),$J2787*($H2787+INDEX(DarlTilgung,6))/100/12,IF(AND($G2787=0,$G2786=1),MAX($K2786,$J2787*($H2787+1)/100/12),$K2786))))</f>
      </c>
      <c r="L2787" s="43">
        <f>IF($I2787=0,0,$J2787*$H2787/100/12)</f>
      </c>
      <c r="M2787" s="43">
        <f>IF($I2787=0,0,IF(OR(INDEX(DarlOhneTilgung,6)=1,AND(INDEX(DarlTilgStart,6)&gt;0,$E2787&lt;INDEX(DarlTilgStart,6))),0,MIN(MAX(0,$K2787-$L2787),$J2787)))</f>
      </c>
      <c r="N2787" s="43">
        <f>IF($I2787=0,0,MIN(SUMIFS(SondBetrag,SondDarl,6,SondDatum,"&gt;="&amp;$E2787,SondDatum,"&lt;="&amp;EOMONTH($E2787,0)),$J2787-$M2787))</f>
      </c>
      <c r="O2787" s="43">
        <f>IF($I2787=0,0,INDEX(DarlErsatzRate,6))</f>
      </c>
      <c r="P2787" s="43">
        <f>IF($I2787=0,0,$Q2786*INDEX(DarlErsatzZins,6))</f>
      </c>
      <c r="Q2787" s="43">
        <f>IF($I2787=0,0,$Q2786+$P2787+$O2787)</f>
      </c>
      <c r="R2787" s="43">
        <f>IF($I2787=0,0,$J2787-$M2787-$N2787)</f>
      </c>
    </row>
    <row r="2788">
      <c r="A2788"/>
      <c r="B2788">
        <v>6</v>
      </c>
      <c r="C2788" s="43">
        <f>INDEX(DarlObj,6)</f>
      </c>
      <c r="D2788">
        <v>385</v>
      </c>
      <c r="E2788" s="51">
        <f>IF(INDEX(DarlBelegt,6)=0,0,EOMONTH(INDEX(DarlAuszahlung,6),384)+1)</f>
      </c>
      <c r="F2788" s="43">
        <f>IF($E2788=0,0,YEAR($E2788))</f>
      </c>
      <c r="G2788" s="43">
        <f>IF(INDEX(DarlBindung,6)="",1,IF($E2788&lt;=INDEX(DarlBindung,6),1,0))</f>
      </c>
      <c r="H2788" s="43">
        <f>IF($G2788=1,INDEX(DarlSollzins,6),INDEX(DarlAnschluss,6))</f>
      </c>
      <c r="I2788" s="43">
        <f>IF(INDEX(DarlBelegt,6)=0,0,IF(INDEX(DarlOhneTilgung,6)=1,IF(INDEX(DarlBindung,6)="",1,$G2788),IF($J2788&gt;0.005,1,0)))</f>
      </c>
      <c r="J2788" s="43">
        <f>IF($I2787=0,0,$R2787)</f>
      </c>
      <c r="K2788" s="43">
        <f>IF($I2788=0,0,IF(INDEX(DarlOhneTilgung,6)=1,0,IF(AND(INDEX(DarlTilgStart,6)&gt;0,$E2788=INDEX(DarlTilgStart,6)),$J2788*($H2788+INDEX(DarlTilgung,6))/100/12,IF(AND($G2788=0,$G2787=1),MAX($K2787,$J2788*($H2788+1)/100/12),$K2787))))</f>
      </c>
      <c r="L2788" s="43">
        <f>IF($I2788=0,0,$J2788*$H2788/100/12)</f>
      </c>
      <c r="M2788" s="43">
        <f>IF($I2788=0,0,IF(OR(INDEX(DarlOhneTilgung,6)=1,AND(INDEX(DarlTilgStart,6)&gt;0,$E2788&lt;INDEX(DarlTilgStart,6))),0,MIN(MAX(0,$K2788-$L2788),$J2788)))</f>
      </c>
      <c r="N2788" s="43">
        <f>IF($I2788=0,0,MIN(SUMIFS(SondBetrag,SondDarl,6,SondDatum,"&gt;="&amp;$E2788,SondDatum,"&lt;="&amp;EOMONTH($E2788,0)),$J2788-$M2788))</f>
      </c>
      <c r="O2788" s="43">
        <f>IF($I2788=0,0,INDEX(DarlErsatzRate,6))</f>
      </c>
      <c r="P2788" s="43">
        <f>IF($I2788=0,0,$Q2787*INDEX(DarlErsatzZins,6))</f>
      </c>
      <c r="Q2788" s="43">
        <f>IF($I2788=0,0,$Q2787+$P2788+$O2788)</f>
      </c>
      <c r="R2788" s="43">
        <f>IF($I2788=0,0,$J2788-$M2788-$N2788)</f>
      </c>
    </row>
    <row r="2789">
      <c r="A2789"/>
      <c r="B2789">
        <v>6</v>
      </c>
      <c r="C2789" s="43">
        <f>INDEX(DarlObj,6)</f>
      </c>
      <c r="D2789">
        <v>386</v>
      </c>
      <c r="E2789" s="51">
        <f>IF(INDEX(DarlBelegt,6)=0,0,EOMONTH(INDEX(DarlAuszahlung,6),385)+1)</f>
      </c>
      <c r="F2789" s="43">
        <f>IF($E2789=0,0,YEAR($E2789))</f>
      </c>
      <c r="G2789" s="43">
        <f>IF(INDEX(DarlBindung,6)="",1,IF($E2789&lt;=INDEX(DarlBindung,6),1,0))</f>
      </c>
      <c r="H2789" s="43">
        <f>IF($G2789=1,INDEX(DarlSollzins,6),INDEX(DarlAnschluss,6))</f>
      </c>
      <c r="I2789" s="43">
        <f>IF(INDEX(DarlBelegt,6)=0,0,IF(INDEX(DarlOhneTilgung,6)=1,IF(INDEX(DarlBindung,6)="",1,$G2789),IF($J2789&gt;0.005,1,0)))</f>
      </c>
      <c r="J2789" s="43">
        <f>IF($I2788=0,0,$R2788)</f>
      </c>
      <c r="K2789" s="43">
        <f>IF($I2789=0,0,IF(INDEX(DarlOhneTilgung,6)=1,0,IF(AND(INDEX(DarlTilgStart,6)&gt;0,$E2789=INDEX(DarlTilgStart,6)),$J2789*($H2789+INDEX(DarlTilgung,6))/100/12,IF(AND($G2789=0,$G2788=1),MAX($K2788,$J2789*($H2789+1)/100/12),$K2788))))</f>
      </c>
      <c r="L2789" s="43">
        <f>IF($I2789=0,0,$J2789*$H2789/100/12)</f>
      </c>
      <c r="M2789" s="43">
        <f>IF($I2789=0,0,IF(OR(INDEX(DarlOhneTilgung,6)=1,AND(INDEX(DarlTilgStart,6)&gt;0,$E2789&lt;INDEX(DarlTilgStart,6))),0,MIN(MAX(0,$K2789-$L2789),$J2789)))</f>
      </c>
      <c r="N2789" s="43">
        <f>IF($I2789=0,0,MIN(SUMIFS(SondBetrag,SondDarl,6,SondDatum,"&gt;="&amp;$E2789,SondDatum,"&lt;="&amp;EOMONTH($E2789,0)),$J2789-$M2789))</f>
      </c>
      <c r="O2789" s="43">
        <f>IF($I2789=0,0,INDEX(DarlErsatzRate,6))</f>
      </c>
      <c r="P2789" s="43">
        <f>IF($I2789=0,0,$Q2788*INDEX(DarlErsatzZins,6))</f>
      </c>
      <c r="Q2789" s="43">
        <f>IF($I2789=0,0,$Q2788+$P2789+$O2789)</f>
      </c>
      <c r="R2789" s="43">
        <f>IF($I2789=0,0,$J2789-$M2789-$N2789)</f>
      </c>
    </row>
    <row r="2790">
      <c r="A2790"/>
      <c r="B2790">
        <v>6</v>
      </c>
      <c r="C2790" s="43">
        <f>INDEX(DarlObj,6)</f>
      </c>
      <c r="D2790">
        <v>387</v>
      </c>
      <c r="E2790" s="51">
        <f>IF(INDEX(DarlBelegt,6)=0,0,EOMONTH(INDEX(DarlAuszahlung,6),386)+1)</f>
      </c>
      <c r="F2790" s="43">
        <f>IF($E2790=0,0,YEAR($E2790))</f>
      </c>
      <c r="G2790" s="43">
        <f>IF(INDEX(DarlBindung,6)="",1,IF($E2790&lt;=INDEX(DarlBindung,6),1,0))</f>
      </c>
      <c r="H2790" s="43">
        <f>IF($G2790=1,INDEX(DarlSollzins,6),INDEX(DarlAnschluss,6))</f>
      </c>
      <c r="I2790" s="43">
        <f>IF(INDEX(DarlBelegt,6)=0,0,IF(INDEX(DarlOhneTilgung,6)=1,IF(INDEX(DarlBindung,6)="",1,$G2790),IF($J2790&gt;0.005,1,0)))</f>
      </c>
      <c r="J2790" s="43">
        <f>IF($I2789=0,0,$R2789)</f>
      </c>
      <c r="K2790" s="43">
        <f>IF($I2790=0,0,IF(INDEX(DarlOhneTilgung,6)=1,0,IF(AND(INDEX(DarlTilgStart,6)&gt;0,$E2790=INDEX(DarlTilgStart,6)),$J2790*($H2790+INDEX(DarlTilgung,6))/100/12,IF(AND($G2790=0,$G2789=1),MAX($K2789,$J2790*($H2790+1)/100/12),$K2789))))</f>
      </c>
      <c r="L2790" s="43">
        <f>IF($I2790=0,0,$J2790*$H2790/100/12)</f>
      </c>
      <c r="M2790" s="43">
        <f>IF($I2790=0,0,IF(OR(INDEX(DarlOhneTilgung,6)=1,AND(INDEX(DarlTilgStart,6)&gt;0,$E2790&lt;INDEX(DarlTilgStart,6))),0,MIN(MAX(0,$K2790-$L2790),$J2790)))</f>
      </c>
      <c r="N2790" s="43">
        <f>IF($I2790=0,0,MIN(SUMIFS(SondBetrag,SondDarl,6,SondDatum,"&gt;="&amp;$E2790,SondDatum,"&lt;="&amp;EOMONTH($E2790,0)),$J2790-$M2790))</f>
      </c>
      <c r="O2790" s="43">
        <f>IF($I2790=0,0,INDEX(DarlErsatzRate,6))</f>
      </c>
      <c r="P2790" s="43">
        <f>IF($I2790=0,0,$Q2789*INDEX(DarlErsatzZins,6))</f>
      </c>
      <c r="Q2790" s="43">
        <f>IF($I2790=0,0,$Q2789+$P2790+$O2790)</f>
      </c>
      <c r="R2790" s="43">
        <f>IF($I2790=0,0,$J2790-$M2790-$N2790)</f>
      </c>
    </row>
    <row r="2791">
      <c r="A2791"/>
      <c r="B2791">
        <v>6</v>
      </c>
      <c r="C2791" s="43">
        <f>INDEX(DarlObj,6)</f>
      </c>
      <c r="D2791">
        <v>388</v>
      </c>
      <c r="E2791" s="51">
        <f>IF(INDEX(DarlBelegt,6)=0,0,EOMONTH(INDEX(DarlAuszahlung,6),387)+1)</f>
      </c>
      <c r="F2791" s="43">
        <f>IF($E2791=0,0,YEAR($E2791))</f>
      </c>
      <c r="G2791" s="43">
        <f>IF(INDEX(DarlBindung,6)="",1,IF($E2791&lt;=INDEX(DarlBindung,6),1,0))</f>
      </c>
      <c r="H2791" s="43">
        <f>IF($G2791=1,INDEX(DarlSollzins,6),INDEX(DarlAnschluss,6))</f>
      </c>
      <c r="I2791" s="43">
        <f>IF(INDEX(DarlBelegt,6)=0,0,IF(INDEX(DarlOhneTilgung,6)=1,IF(INDEX(DarlBindung,6)="",1,$G2791),IF($J2791&gt;0.005,1,0)))</f>
      </c>
      <c r="J2791" s="43">
        <f>IF($I2790=0,0,$R2790)</f>
      </c>
      <c r="K2791" s="43">
        <f>IF($I2791=0,0,IF(INDEX(DarlOhneTilgung,6)=1,0,IF(AND(INDEX(DarlTilgStart,6)&gt;0,$E2791=INDEX(DarlTilgStart,6)),$J2791*($H2791+INDEX(DarlTilgung,6))/100/12,IF(AND($G2791=0,$G2790=1),MAX($K2790,$J2791*($H2791+1)/100/12),$K2790))))</f>
      </c>
      <c r="L2791" s="43">
        <f>IF($I2791=0,0,$J2791*$H2791/100/12)</f>
      </c>
      <c r="M2791" s="43">
        <f>IF($I2791=0,0,IF(OR(INDEX(DarlOhneTilgung,6)=1,AND(INDEX(DarlTilgStart,6)&gt;0,$E2791&lt;INDEX(DarlTilgStart,6))),0,MIN(MAX(0,$K2791-$L2791),$J2791)))</f>
      </c>
      <c r="N2791" s="43">
        <f>IF($I2791=0,0,MIN(SUMIFS(SondBetrag,SondDarl,6,SondDatum,"&gt;="&amp;$E2791,SondDatum,"&lt;="&amp;EOMONTH($E2791,0)),$J2791-$M2791))</f>
      </c>
      <c r="O2791" s="43">
        <f>IF($I2791=0,0,INDEX(DarlErsatzRate,6))</f>
      </c>
      <c r="P2791" s="43">
        <f>IF($I2791=0,0,$Q2790*INDEX(DarlErsatzZins,6))</f>
      </c>
      <c r="Q2791" s="43">
        <f>IF($I2791=0,0,$Q2790+$P2791+$O2791)</f>
      </c>
      <c r="R2791" s="43">
        <f>IF($I2791=0,0,$J2791-$M2791-$N2791)</f>
      </c>
    </row>
    <row r="2792">
      <c r="A2792"/>
      <c r="B2792">
        <v>6</v>
      </c>
      <c r="C2792" s="43">
        <f>INDEX(DarlObj,6)</f>
      </c>
      <c r="D2792">
        <v>389</v>
      </c>
      <c r="E2792" s="51">
        <f>IF(INDEX(DarlBelegt,6)=0,0,EOMONTH(INDEX(DarlAuszahlung,6),388)+1)</f>
      </c>
      <c r="F2792" s="43">
        <f>IF($E2792=0,0,YEAR($E2792))</f>
      </c>
      <c r="G2792" s="43">
        <f>IF(INDEX(DarlBindung,6)="",1,IF($E2792&lt;=INDEX(DarlBindung,6),1,0))</f>
      </c>
      <c r="H2792" s="43">
        <f>IF($G2792=1,INDEX(DarlSollzins,6),INDEX(DarlAnschluss,6))</f>
      </c>
      <c r="I2792" s="43">
        <f>IF(INDEX(DarlBelegt,6)=0,0,IF(INDEX(DarlOhneTilgung,6)=1,IF(INDEX(DarlBindung,6)="",1,$G2792),IF($J2792&gt;0.005,1,0)))</f>
      </c>
      <c r="J2792" s="43">
        <f>IF($I2791=0,0,$R2791)</f>
      </c>
      <c r="K2792" s="43">
        <f>IF($I2792=0,0,IF(INDEX(DarlOhneTilgung,6)=1,0,IF(AND(INDEX(DarlTilgStart,6)&gt;0,$E2792=INDEX(DarlTilgStart,6)),$J2792*($H2792+INDEX(DarlTilgung,6))/100/12,IF(AND($G2792=0,$G2791=1),MAX($K2791,$J2792*($H2792+1)/100/12),$K2791))))</f>
      </c>
      <c r="L2792" s="43">
        <f>IF($I2792=0,0,$J2792*$H2792/100/12)</f>
      </c>
      <c r="M2792" s="43">
        <f>IF($I2792=0,0,IF(OR(INDEX(DarlOhneTilgung,6)=1,AND(INDEX(DarlTilgStart,6)&gt;0,$E2792&lt;INDEX(DarlTilgStart,6))),0,MIN(MAX(0,$K2792-$L2792),$J2792)))</f>
      </c>
      <c r="N2792" s="43">
        <f>IF($I2792=0,0,MIN(SUMIFS(SondBetrag,SondDarl,6,SondDatum,"&gt;="&amp;$E2792,SondDatum,"&lt;="&amp;EOMONTH($E2792,0)),$J2792-$M2792))</f>
      </c>
      <c r="O2792" s="43">
        <f>IF($I2792=0,0,INDEX(DarlErsatzRate,6))</f>
      </c>
      <c r="P2792" s="43">
        <f>IF($I2792=0,0,$Q2791*INDEX(DarlErsatzZins,6))</f>
      </c>
      <c r="Q2792" s="43">
        <f>IF($I2792=0,0,$Q2791+$P2792+$O2792)</f>
      </c>
      <c r="R2792" s="43">
        <f>IF($I2792=0,0,$J2792-$M2792-$N2792)</f>
      </c>
    </row>
    <row r="2793">
      <c r="A2793"/>
      <c r="B2793">
        <v>6</v>
      </c>
      <c r="C2793" s="43">
        <f>INDEX(DarlObj,6)</f>
      </c>
      <c r="D2793">
        <v>390</v>
      </c>
      <c r="E2793" s="51">
        <f>IF(INDEX(DarlBelegt,6)=0,0,EOMONTH(INDEX(DarlAuszahlung,6),389)+1)</f>
      </c>
      <c r="F2793" s="43">
        <f>IF($E2793=0,0,YEAR($E2793))</f>
      </c>
      <c r="G2793" s="43">
        <f>IF(INDEX(DarlBindung,6)="",1,IF($E2793&lt;=INDEX(DarlBindung,6),1,0))</f>
      </c>
      <c r="H2793" s="43">
        <f>IF($G2793=1,INDEX(DarlSollzins,6),INDEX(DarlAnschluss,6))</f>
      </c>
      <c r="I2793" s="43">
        <f>IF(INDEX(DarlBelegt,6)=0,0,IF(INDEX(DarlOhneTilgung,6)=1,IF(INDEX(DarlBindung,6)="",1,$G2793),IF($J2793&gt;0.005,1,0)))</f>
      </c>
      <c r="J2793" s="43">
        <f>IF($I2792=0,0,$R2792)</f>
      </c>
      <c r="K2793" s="43">
        <f>IF($I2793=0,0,IF(INDEX(DarlOhneTilgung,6)=1,0,IF(AND(INDEX(DarlTilgStart,6)&gt;0,$E2793=INDEX(DarlTilgStart,6)),$J2793*($H2793+INDEX(DarlTilgung,6))/100/12,IF(AND($G2793=0,$G2792=1),MAX($K2792,$J2793*($H2793+1)/100/12),$K2792))))</f>
      </c>
      <c r="L2793" s="43">
        <f>IF($I2793=0,0,$J2793*$H2793/100/12)</f>
      </c>
      <c r="M2793" s="43">
        <f>IF($I2793=0,0,IF(OR(INDEX(DarlOhneTilgung,6)=1,AND(INDEX(DarlTilgStart,6)&gt;0,$E2793&lt;INDEX(DarlTilgStart,6))),0,MIN(MAX(0,$K2793-$L2793),$J2793)))</f>
      </c>
      <c r="N2793" s="43">
        <f>IF($I2793=0,0,MIN(SUMIFS(SondBetrag,SondDarl,6,SondDatum,"&gt;="&amp;$E2793,SondDatum,"&lt;="&amp;EOMONTH($E2793,0)),$J2793-$M2793))</f>
      </c>
      <c r="O2793" s="43">
        <f>IF($I2793=0,0,INDEX(DarlErsatzRate,6))</f>
      </c>
      <c r="P2793" s="43">
        <f>IF($I2793=0,0,$Q2792*INDEX(DarlErsatzZins,6))</f>
      </c>
      <c r="Q2793" s="43">
        <f>IF($I2793=0,0,$Q2792+$P2793+$O2793)</f>
      </c>
      <c r="R2793" s="43">
        <f>IF($I2793=0,0,$J2793-$M2793-$N2793)</f>
      </c>
    </row>
    <row r="2794">
      <c r="A2794"/>
      <c r="B2794">
        <v>6</v>
      </c>
      <c r="C2794" s="43">
        <f>INDEX(DarlObj,6)</f>
      </c>
      <c r="D2794">
        <v>391</v>
      </c>
      <c r="E2794" s="51">
        <f>IF(INDEX(DarlBelegt,6)=0,0,EOMONTH(INDEX(DarlAuszahlung,6),390)+1)</f>
      </c>
      <c r="F2794" s="43">
        <f>IF($E2794=0,0,YEAR($E2794))</f>
      </c>
      <c r="G2794" s="43">
        <f>IF(INDEX(DarlBindung,6)="",1,IF($E2794&lt;=INDEX(DarlBindung,6),1,0))</f>
      </c>
      <c r="H2794" s="43">
        <f>IF($G2794=1,INDEX(DarlSollzins,6),INDEX(DarlAnschluss,6))</f>
      </c>
      <c r="I2794" s="43">
        <f>IF(INDEX(DarlBelegt,6)=0,0,IF(INDEX(DarlOhneTilgung,6)=1,IF(INDEX(DarlBindung,6)="",1,$G2794),IF($J2794&gt;0.005,1,0)))</f>
      </c>
      <c r="J2794" s="43">
        <f>IF($I2793=0,0,$R2793)</f>
      </c>
      <c r="K2794" s="43">
        <f>IF($I2794=0,0,IF(INDEX(DarlOhneTilgung,6)=1,0,IF(AND(INDEX(DarlTilgStart,6)&gt;0,$E2794=INDEX(DarlTilgStart,6)),$J2794*($H2794+INDEX(DarlTilgung,6))/100/12,IF(AND($G2794=0,$G2793=1),MAX($K2793,$J2794*($H2794+1)/100/12),$K2793))))</f>
      </c>
      <c r="L2794" s="43">
        <f>IF($I2794=0,0,$J2794*$H2794/100/12)</f>
      </c>
      <c r="M2794" s="43">
        <f>IF($I2794=0,0,IF(OR(INDEX(DarlOhneTilgung,6)=1,AND(INDEX(DarlTilgStart,6)&gt;0,$E2794&lt;INDEX(DarlTilgStart,6))),0,MIN(MAX(0,$K2794-$L2794),$J2794)))</f>
      </c>
      <c r="N2794" s="43">
        <f>IF($I2794=0,0,MIN(SUMIFS(SondBetrag,SondDarl,6,SondDatum,"&gt;="&amp;$E2794,SondDatum,"&lt;="&amp;EOMONTH($E2794,0)),$J2794-$M2794))</f>
      </c>
      <c r="O2794" s="43">
        <f>IF($I2794=0,0,INDEX(DarlErsatzRate,6))</f>
      </c>
      <c r="P2794" s="43">
        <f>IF($I2794=0,0,$Q2793*INDEX(DarlErsatzZins,6))</f>
      </c>
      <c r="Q2794" s="43">
        <f>IF($I2794=0,0,$Q2793+$P2794+$O2794)</f>
      </c>
      <c r="R2794" s="43">
        <f>IF($I2794=0,0,$J2794-$M2794-$N2794)</f>
      </c>
    </row>
    <row r="2795">
      <c r="A2795"/>
      <c r="B2795">
        <v>6</v>
      </c>
      <c r="C2795" s="43">
        <f>INDEX(DarlObj,6)</f>
      </c>
      <c r="D2795">
        <v>392</v>
      </c>
      <c r="E2795" s="51">
        <f>IF(INDEX(DarlBelegt,6)=0,0,EOMONTH(INDEX(DarlAuszahlung,6),391)+1)</f>
      </c>
      <c r="F2795" s="43">
        <f>IF($E2795=0,0,YEAR($E2795))</f>
      </c>
      <c r="G2795" s="43">
        <f>IF(INDEX(DarlBindung,6)="",1,IF($E2795&lt;=INDEX(DarlBindung,6),1,0))</f>
      </c>
      <c r="H2795" s="43">
        <f>IF($G2795=1,INDEX(DarlSollzins,6),INDEX(DarlAnschluss,6))</f>
      </c>
      <c r="I2795" s="43">
        <f>IF(INDEX(DarlBelegt,6)=0,0,IF(INDEX(DarlOhneTilgung,6)=1,IF(INDEX(DarlBindung,6)="",1,$G2795),IF($J2795&gt;0.005,1,0)))</f>
      </c>
      <c r="J2795" s="43">
        <f>IF($I2794=0,0,$R2794)</f>
      </c>
      <c r="K2795" s="43">
        <f>IF($I2795=0,0,IF(INDEX(DarlOhneTilgung,6)=1,0,IF(AND(INDEX(DarlTilgStart,6)&gt;0,$E2795=INDEX(DarlTilgStart,6)),$J2795*($H2795+INDEX(DarlTilgung,6))/100/12,IF(AND($G2795=0,$G2794=1),MAX($K2794,$J2795*($H2795+1)/100/12),$K2794))))</f>
      </c>
      <c r="L2795" s="43">
        <f>IF($I2795=0,0,$J2795*$H2795/100/12)</f>
      </c>
      <c r="M2795" s="43">
        <f>IF($I2795=0,0,IF(OR(INDEX(DarlOhneTilgung,6)=1,AND(INDEX(DarlTilgStart,6)&gt;0,$E2795&lt;INDEX(DarlTilgStart,6))),0,MIN(MAX(0,$K2795-$L2795),$J2795)))</f>
      </c>
      <c r="N2795" s="43">
        <f>IF($I2795=0,0,MIN(SUMIFS(SondBetrag,SondDarl,6,SondDatum,"&gt;="&amp;$E2795,SondDatum,"&lt;="&amp;EOMONTH($E2795,0)),$J2795-$M2795))</f>
      </c>
      <c r="O2795" s="43">
        <f>IF($I2795=0,0,INDEX(DarlErsatzRate,6))</f>
      </c>
      <c r="P2795" s="43">
        <f>IF($I2795=0,0,$Q2794*INDEX(DarlErsatzZins,6))</f>
      </c>
      <c r="Q2795" s="43">
        <f>IF($I2795=0,0,$Q2794+$P2795+$O2795)</f>
      </c>
      <c r="R2795" s="43">
        <f>IF($I2795=0,0,$J2795-$M2795-$N2795)</f>
      </c>
    </row>
    <row r="2796">
      <c r="A2796"/>
      <c r="B2796">
        <v>6</v>
      </c>
      <c r="C2796" s="43">
        <f>INDEX(DarlObj,6)</f>
      </c>
      <c r="D2796">
        <v>393</v>
      </c>
      <c r="E2796" s="51">
        <f>IF(INDEX(DarlBelegt,6)=0,0,EOMONTH(INDEX(DarlAuszahlung,6),392)+1)</f>
      </c>
      <c r="F2796" s="43">
        <f>IF($E2796=0,0,YEAR($E2796))</f>
      </c>
      <c r="G2796" s="43">
        <f>IF(INDEX(DarlBindung,6)="",1,IF($E2796&lt;=INDEX(DarlBindung,6),1,0))</f>
      </c>
      <c r="H2796" s="43">
        <f>IF($G2796=1,INDEX(DarlSollzins,6),INDEX(DarlAnschluss,6))</f>
      </c>
      <c r="I2796" s="43">
        <f>IF(INDEX(DarlBelegt,6)=0,0,IF(INDEX(DarlOhneTilgung,6)=1,IF(INDEX(DarlBindung,6)="",1,$G2796),IF($J2796&gt;0.005,1,0)))</f>
      </c>
      <c r="J2796" s="43">
        <f>IF($I2795=0,0,$R2795)</f>
      </c>
      <c r="K2796" s="43">
        <f>IF($I2796=0,0,IF(INDEX(DarlOhneTilgung,6)=1,0,IF(AND(INDEX(DarlTilgStart,6)&gt;0,$E2796=INDEX(DarlTilgStart,6)),$J2796*($H2796+INDEX(DarlTilgung,6))/100/12,IF(AND($G2796=0,$G2795=1),MAX($K2795,$J2796*($H2796+1)/100/12),$K2795))))</f>
      </c>
      <c r="L2796" s="43">
        <f>IF($I2796=0,0,$J2796*$H2796/100/12)</f>
      </c>
      <c r="M2796" s="43">
        <f>IF($I2796=0,0,IF(OR(INDEX(DarlOhneTilgung,6)=1,AND(INDEX(DarlTilgStart,6)&gt;0,$E2796&lt;INDEX(DarlTilgStart,6))),0,MIN(MAX(0,$K2796-$L2796),$J2796)))</f>
      </c>
      <c r="N2796" s="43">
        <f>IF($I2796=0,0,MIN(SUMIFS(SondBetrag,SondDarl,6,SondDatum,"&gt;="&amp;$E2796,SondDatum,"&lt;="&amp;EOMONTH($E2796,0)),$J2796-$M2796))</f>
      </c>
      <c r="O2796" s="43">
        <f>IF($I2796=0,0,INDEX(DarlErsatzRate,6))</f>
      </c>
      <c r="P2796" s="43">
        <f>IF($I2796=0,0,$Q2795*INDEX(DarlErsatzZins,6))</f>
      </c>
      <c r="Q2796" s="43">
        <f>IF($I2796=0,0,$Q2795+$P2796+$O2796)</f>
      </c>
      <c r="R2796" s="43">
        <f>IF($I2796=0,0,$J2796-$M2796-$N2796)</f>
      </c>
    </row>
    <row r="2797">
      <c r="A2797"/>
      <c r="B2797">
        <v>6</v>
      </c>
      <c r="C2797" s="43">
        <f>INDEX(DarlObj,6)</f>
      </c>
      <c r="D2797">
        <v>394</v>
      </c>
      <c r="E2797" s="51">
        <f>IF(INDEX(DarlBelegt,6)=0,0,EOMONTH(INDEX(DarlAuszahlung,6),393)+1)</f>
      </c>
      <c r="F2797" s="43">
        <f>IF($E2797=0,0,YEAR($E2797))</f>
      </c>
      <c r="G2797" s="43">
        <f>IF(INDEX(DarlBindung,6)="",1,IF($E2797&lt;=INDEX(DarlBindung,6),1,0))</f>
      </c>
      <c r="H2797" s="43">
        <f>IF($G2797=1,INDEX(DarlSollzins,6),INDEX(DarlAnschluss,6))</f>
      </c>
      <c r="I2797" s="43">
        <f>IF(INDEX(DarlBelegt,6)=0,0,IF(INDEX(DarlOhneTilgung,6)=1,IF(INDEX(DarlBindung,6)="",1,$G2797),IF($J2797&gt;0.005,1,0)))</f>
      </c>
      <c r="J2797" s="43">
        <f>IF($I2796=0,0,$R2796)</f>
      </c>
      <c r="K2797" s="43">
        <f>IF($I2797=0,0,IF(INDEX(DarlOhneTilgung,6)=1,0,IF(AND(INDEX(DarlTilgStart,6)&gt;0,$E2797=INDEX(DarlTilgStart,6)),$J2797*($H2797+INDEX(DarlTilgung,6))/100/12,IF(AND($G2797=0,$G2796=1),MAX($K2796,$J2797*($H2797+1)/100/12),$K2796))))</f>
      </c>
      <c r="L2797" s="43">
        <f>IF($I2797=0,0,$J2797*$H2797/100/12)</f>
      </c>
      <c r="M2797" s="43">
        <f>IF($I2797=0,0,IF(OR(INDEX(DarlOhneTilgung,6)=1,AND(INDEX(DarlTilgStart,6)&gt;0,$E2797&lt;INDEX(DarlTilgStart,6))),0,MIN(MAX(0,$K2797-$L2797),$J2797)))</f>
      </c>
      <c r="N2797" s="43">
        <f>IF($I2797=0,0,MIN(SUMIFS(SondBetrag,SondDarl,6,SondDatum,"&gt;="&amp;$E2797,SondDatum,"&lt;="&amp;EOMONTH($E2797,0)),$J2797-$M2797))</f>
      </c>
      <c r="O2797" s="43">
        <f>IF($I2797=0,0,INDEX(DarlErsatzRate,6))</f>
      </c>
      <c r="P2797" s="43">
        <f>IF($I2797=0,0,$Q2796*INDEX(DarlErsatzZins,6))</f>
      </c>
      <c r="Q2797" s="43">
        <f>IF($I2797=0,0,$Q2796+$P2797+$O2797)</f>
      </c>
      <c r="R2797" s="43">
        <f>IF($I2797=0,0,$J2797-$M2797-$N2797)</f>
      </c>
    </row>
    <row r="2798">
      <c r="A2798"/>
      <c r="B2798">
        <v>6</v>
      </c>
      <c r="C2798" s="43">
        <f>INDEX(DarlObj,6)</f>
      </c>
      <c r="D2798">
        <v>395</v>
      </c>
      <c r="E2798" s="51">
        <f>IF(INDEX(DarlBelegt,6)=0,0,EOMONTH(INDEX(DarlAuszahlung,6),394)+1)</f>
      </c>
      <c r="F2798" s="43">
        <f>IF($E2798=0,0,YEAR($E2798))</f>
      </c>
      <c r="G2798" s="43">
        <f>IF(INDEX(DarlBindung,6)="",1,IF($E2798&lt;=INDEX(DarlBindung,6),1,0))</f>
      </c>
      <c r="H2798" s="43">
        <f>IF($G2798=1,INDEX(DarlSollzins,6),INDEX(DarlAnschluss,6))</f>
      </c>
      <c r="I2798" s="43">
        <f>IF(INDEX(DarlBelegt,6)=0,0,IF(INDEX(DarlOhneTilgung,6)=1,IF(INDEX(DarlBindung,6)="",1,$G2798),IF($J2798&gt;0.005,1,0)))</f>
      </c>
      <c r="J2798" s="43">
        <f>IF($I2797=0,0,$R2797)</f>
      </c>
      <c r="K2798" s="43">
        <f>IF($I2798=0,0,IF(INDEX(DarlOhneTilgung,6)=1,0,IF(AND(INDEX(DarlTilgStart,6)&gt;0,$E2798=INDEX(DarlTilgStart,6)),$J2798*($H2798+INDEX(DarlTilgung,6))/100/12,IF(AND($G2798=0,$G2797=1),MAX($K2797,$J2798*($H2798+1)/100/12),$K2797))))</f>
      </c>
      <c r="L2798" s="43">
        <f>IF($I2798=0,0,$J2798*$H2798/100/12)</f>
      </c>
      <c r="M2798" s="43">
        <f>IF($I2798=0,0,IF(OR(INDEX(DarlOhneTilgung,6)=1,AND(INDEX(DarlTilgStart,6)&gt;0,$E2798&lt;INDEX(DarlTilgStart,6))),0,MIN(MAX(0,$K2798-$L2798),$J2798)))</f>
      </c>
      <c r="N2798" s="43">
        <f>IF($I2798=0,0,MIN(SUMIFS(SondBetrag,SondDarl,6,SondDatum,"&gt;="&amp;$E2798,SondDatum,"&lt;="&amp;EOMONTH($E2798,0)),$J2798-$M2798))</f>
      </c>
      <c r="O2798" s="43">
        <f>IF($I2798=0,0,INDEX(DarlErsatzRate,6))</f>
      </c>
      <c r="P2798" s="43">
        <f>IF($I2798=0,0,$Q2797*INDEX(DarlErsatzZins,6))</f>
      </c>
      <c r="Q2798" s="43">
        <f>IF($I2798=0,0,$Q2797+$P2798+$O2798)</f>
      </c>
      <c r="R2798" s="43">
        <f>IF($I2798=0,0,$J2798-$M2798-$N2798)</f>
      </c>
    </row>
    <row r="2799">
      <c r="A2799"/>
      <c r="B2799">
        <v>6</v>
      </c>
      <c r="C2799" s="43">
        <f>INDEX(DarlObj,6)</f>
      </c>
      <c r="D2799">
        <v>396</v>
      </c>
      <c r="E2799" s="51">
        <f>IF(INDEX(DarlBelegt,6)=0,0,EOMONTH(INDEX(DarlAuszahlung,6),395)+1)</f>
      </c>
      <c r="F2799" s="43">
        <f>IF($E2799=0,0,YEAR($E2799))</f>
      </c>
      <c r="G2799" s="43">
        <f>IF(INDEX(DarlBindung,6)="",1,IF($E2799&lt;=INDEX(DarlBindung,6),1,0))</f>
      </c>
      <c r="H2799" s="43">
        <f>IF($G2799=1,INDEX(DarlSollzins,6),INDEX(DarlAnschluss,6))</f>
      </c>
      <c r="I2799" s="43">
        <f>IF(INDEX(DarlBelegt,6)=0,0,IF(INDEX(DarlOhneTilgung,6)=1,IF(INDEX(DarlBindung,6)="",1,$G2799),IF($J2799&gt;0.005,1,0)))</f>
      </c>
      <c r="J2799" s="43">
        <f>IF($I2798=0,0,$R2798)</f>
      </c>
      <c r="K2799" s="43">
        <f>IF($I2799=0,0,IF(INDEX(DarlOhneTilgung,6)=1,0,IF(AND(INDEX(DarlTilgStart,6)&gt;0,$E2799=INDEX(DarlTilgStart,6)),$J2799*($H2799+INDEX(DarlTilgung,6))/100/12,IF(AND($G2799=0,$G2798=1),MAX($K2798,$J2799*($H2799+1)/100/12),$K2798))))</f>
      </c>
      <c r="L2799" s="43">
        <f>IF($I2799=0,0,$J2799*$H2799/100/12)</f>
      </c>
      <c r="M2799" s="43">
        <f>IF($I2799=0,0,IF(OR(INDEX(DarlOhneTilgung,6)=1,AND(INDEX(DarlTilgStart,6)&gt;0,$E2799&lt;INDEX(DarlTilgStart,6))),0,MIN(MAX(0,$K2799-$L2799),$J2799)))</f>
      </c>
      <c r="N2799" s="43">
        <f>IF($I2799=0,0,MIN(SUMIFS(SondBetrag,SondDarl,6,SondDatum,"&gt;="&amp;$E2799,SondDatum,"&lt;="&amp;EOMONTH($E2799,0)),$J2799-$M2799))</f>
      </c>
      <c r="O2799" s="43">
        <f>IF($I2799=0,0,INDEX(DarlErsatzRate,6))</f>
      </c>
      <c r="P2799" s="43">
        <f>IF($I2799=0,0,$Q2798*INDEX(DarlErsatzZins,6))</f>
      </c>
      <c r="Q2799" s="43">
        <f>IF($I2799=0,0,$Q2798+$P2799+$O2799)</f>
      </c>
      <c r="R2799" s="43">
        <f>IF($I2799=0,0,$J2799-$M2799-$N2799)</f>
      </c>
    </row>
    <row r="2800">
      <c r="A2800"/>
      <c r="B2800">
        <v>6</v>
      </c>
      <c r="C2800" s="43">
        <f>INDEX(DarlObj,6)</f>
      </c>
      <c r="D2800">
        <v>397</v>
      </c>
      <c r="E2800" s="51">
        <f>IF(INDEX(DarlBelegt,6)=0,0,EOMONTH(INDEX(DarlAuszahlung,6),396)+1)</f>
      </c>
      <c r="F2800" s="43">
        <f>IF($E2800=0,0,YEAR($E2800))</f>
      </c>
      <c r="G2800" s="43">
        <f>IF(INDEX(DarlBindung,6)="",1,IF($E2800&lt;=INDEX(DarlBindung,6),1,0))</f>
      </c>
      <c r="H2800" s="43">
        <f>IF($G2800=1,INDEX(DarlSollzins,6),INDEX(DarlAnschluss,6))</f>
      </c>
      <c r="I2800" s="43">
        <f>IF(INDEX(DarlBelegt,6)=0,0,IF(INDEX(DarlOhneTilgung,6)=1,IF(INDEX(DarlBindung,6)="",1,$G2800),IF($J2800&gt;0.005,1,0)))</f>
      </c>
      <c r="J2800" s="43">
        <f>IF($I2799=0,0,$R2799)</f>
      </c>
      <c r="K2800" s="43">
        <f>IF($I2800=0,0,IF(INDEX(DarlOhneTilgung,6)=1,0,IF(AND(INDEX(DarlTilgStart,6)&gt;0,$E2800=INDEX(DarlTilgStart,6)),$J2800*($H2800+INDEX(DarlTilgung,6))/100/12,IF(AND($G2800=0,$G2799=1),MAX($K2799,$J2800*($H2800+1)/100/12),$K2799))))</f>
      </c>
      <c r="L2800" s="43">
        <f>IF($I2800=0,0,$J2800*$H2800/100/12)</f>
      </c>
      <c r="M2800" s="43">
        <f>IF($I2800=0,0,IF(OR(INDEX(DarlOhneTilgung,6)=1,AND(INDEX(DarlTilgStart,6)&gt;0,$E2800&lt;INDEX(DarlTilgStart,6))),0,MIN(MAX(0,$K2800-$L2800),$J2800)))</f>
      </c>
      <c r="N2800" s="43">
        <f>IF($I2800=0,0,MIN(SUMIFS(SondBetrag,SondDarl,6,SondDatum,"&gt;="&amp;$E2800,SondDatum,"&lt;="&amp;EOMONTH($E2800,0)),$J2800-$M2800))</f>
      </c>
      <c r="O2800" s="43">
        <f>IF($I2800=0,0,INDEX(DarlErsatzRate,6))</f>
      </c>
      <c r="P2800" s="43">
        <f>IF($I2800=0,0,$Q2799*INDEX(DarlErsatzZins,6))</f>
      </c>
      <c r="Q2800" s="43">
        <f>IF($I2800=0,0,$Q2799+$P2800+$O2800)</f>
      </c>
      <c r="R2800" s="43">
        <f>IF($I2800=0,0,$J2800-$M2800-$N2800)</f>
      </c>
    </row>
    <row r="2801">
      <c r="A2801"/>
      <c r="B2801">
        <v>6</v>
      </c>
      <c r="C2801" s="43">
        <f>INDEX(DarlObj,6)</f>
      </c>
      <c r="D2801">
        <v>398</v>
      </c>
      <c r="E2801" s="51">
        <f>IF(INDEX(DarlBelegt,6)=0,0,EOMONTH(INDEX(DarlAuszahlung,6),397)+1)</f>
      </c>
      <c r="F2801" s="43">
        <f>IF($E2801=0,0,YEAR($E2801))</f>
      </c>
      <c r="G2801" s="43">
        <f>IF(INDEX(DarlBindung,6)="",1,IF($E2801&lt;=INDEX(DarlBindung,6),1,0))</f>
      </c>
      <c r="H2801" s="43">
        <f>IF($G2801=1,INDEX(DarlSollzins,6),INDEX(DarlAnschluss,6))</f>
      </c>
      <c r="I2801" s="43">
        <f>IF(INDEX(DarlBelegt,6)=0,0,IF(INDEX(DarlOhneTilgung,6)=1,IF(INDEX(DarlBindung,6)="",1,$G2801),IF($J2801&gt;0.005,1,0)))</f>
      </c>
      <c r="J2801" s="43">
        <f>IF($I2800=0,0,$R2800)</f>
      </c>
      <c r="K2801" s="43">
        <f>IF($I2801=0,0,IF(INDEX(DarlOhneTilgung,6)=1,0,IF(AND(INDEX(DarlTilgStart,6)&gt;0,$E2801=INDEX(DarlTilgStart,6)),$J2801*($H2801+INDEX(DarlTilgung,6))/100/12,IF(AND($G2801=0,$G2800=1),MAX($K2800,$J2801*($H2801+1)/100/12),$K2800))))</f>
      </c>
      <c r="L2801" s="43">
        <f>IF($I2801=0,0,$J2801*$H2801/100/12)</f>
      </c>
      <c r="M2801" s="43">
        <f>IF($I2801=0,0,IF(OR(INDEX(DarlOhneTilgung,6)=1,AND(INDEX(DarlTilgStart,6)&gt;0,$E2801&lt;INDEX(DarlTilgStart,6))),0,MIN(MAX(0,$K2801-$L2801),$J2801)))</f>
      </c>
      <c r="N2801" s="43">
        <f>IF($I2801=0,0,MIN(SUMIFS(SondBetrag,SondDarl,6,SondDatum,"&gt;="&amp;$E2801,SondDatum,"&lt;="&amp;EOMONTH($E2801,0)),$J2801-$M2801))</f>
      </c>
      <c r="O2801" s="43">
        <f>IF($I2801=0,0,INDEX(DarlErsatzRate,6))</f>
      </c>
      <c r="P2801" s="43">
        <f>IF($I2801=0,0,$Q2800*INDEX(DarlErsatzZins,6))</f>
      </c>
      <c r="Q2801" s="43">
        <f>IF($I2801=0,0,$Q2800+$P2801+$O2801)</f>
      </c>
      <c r="R2801" s="43">
        <f>IF($I2801=0,0,$J2801-$M2801-$N2801)</f>
      </c>
    </row>
    <row r="2802">
      <c r="A2802"/>
      <c r="B2802">
        <v>6</v>
      </c>
      <c r="C2802" s="43">
        <f>INDEX(DarlObj,6)</f>
      </c>
      <c r="D2802">
        <v>399</v>
      </c>
      <c r="E2802" s="51">
        <f>IF(INDEX(DarlBelegt,6)=0,0,EOMONTH(INDEX(DarlAuszahlung,6),398)+1)</f>
      </c>
      <c r="F2802" s="43">
        <f>IF($E2802=0,0,YEAR($E2802))</f>
      </c>
      <c r="G2802" s="43">
        <f>IF(INDEX(DarlBindung,6)="",1,IF($E2802&lt;=INDEX(DarlBindung,6),1,0))</f>
      </c>
      <c r="H2802" s="43">
        <f>IF($G2802=1,INDEX(DarlSollzins,6),INDEX(DarlAnschluss,6))</f>
      </c>
      <c r="I2802" s="43">
        <f>IF(INDEX(DarlBelegt,6)=0,0,IF(INDEX(DarlOhneTilgung,6)=1,IF(INDEX(DarlBindung,6)="",1,$G2802),IF($J2802&gt;0.005,1,0)))</f>
      </c>
      <c r="J2802" s="43">
        <f>IF($I2801=0,0,$R2801)</f>
      </c>
      <c r="K2802" s="43">
        <f>IF($I2802=0,0,IF(INDEX(DarlOhneTilgung,6)=1,0,IF(AND(INDEX(DarlTilgStart,6)&gt;0,$E2802=INDEX(DarlTilgStart,6)),$J2802*($H2802+INDEX(DarlTilgung,6))/100/12,IF(AND($G2802=0,$G2801=1),MAX($K2801,$J2802*($H2802+1)/100/12),$K2801))))</f>
      </c>
      <c r="L2802" s="43">
        <f>IF($I2802=0,0,$J2802*$H2802/100/12)</f>
      </c>
      <c r="M2802" s="43">
        <f>IF($I2802=0,0,IF(OR(INDEX(DarlOhneTilgung,6)=1,AND(INDEX(DarlTilgStart,6)&gt;0,$E2802&lt;INDEX(DarlTilgStart,6))),0,MIN(MAX(0,$K2802-$L2802),$J2802)))</f>
      </c>
      <c r="N2802" s="43">
        <f>IF($I2802=0,0,MIN(SUMIFS(SondBetrag,SondDarl,6,SondDatum,"&gt;="&amp;$E2802,SondDatum,"&lt;="&amp;EOMONTH($E2802,0)),$J2802-$M2802))</f>
      </c>
      <c r="O2802" s="43">
        <f>IF($I2802=0,0,INDEX(DarlErsatzRate,6))</f>
      </c>
      <c r="P2802" s="43">
        <f>IF($I2802=0,0,$Q2801*INDEX(DarlErsatzZins,6))</f>
      </c>
      <c r="Q2802" s="43">
        <f>IF($I2802=0,0,$Q2801+$P2802+$O2802)</f>
      </c>
      <c r="R2802" s="43">
        <f>IF($I2802=0,0,$J2802-$M2802-$N2802)</f>
      </c>
    </row>
    <row r="2803">
      <c r="A2803"/>
      <c r="B2803">
        <v>6</v>
      </c>
      <c r="C2803" s="43">
        <f>INDEX(DarlObj,6)</f>
      </c>
      <c r="D2803">
        <v>400</v>
      </c>
      <c r="E2803" s="51">
        <f>IF(INDEX(DarlBelegt,6)=0,0,EOMONTH(INDEX(DarlAuszahlung,6),399)+1)</f>
      </c>
      <c r="F2803" s="43">
        <f>IF($E2803=0,0,YEAR($E2803))</f>
      </c>
      <c r="G2803" s="43">
        <f>IF(INDEX(DarlBindung,6)="",1,IF($E2803&lt;=INDEX(DarlBindung,6),1,0))</f>
      </c>
      <c r="H2803" s="43">
        <f>IF($G2803=1,INDEX(DarlSollzins,6),INDEX(DarlAnschluss,6))</f>
      </c>
      <c r="I2803" s="43">
        <f>IF(INDEX(DarlBelegt,6)=0,0,IF(INDEX(DarlOhneTilgung,6)=1,IF(INDEX(DarlBindung,6)="",1,$G2803),IF($J2803&gt;0.005,1,0)))</f>
      </c>
      <c r="J2803" s="43">
        <f>IF($I2802=0,0,$R2802)</f>
      </c>
      <c r="K2803" s="43">
        <f>IF($I2803=0,0,IF(INDEX(DarlOhneTilgung,6)=1,0,IF(AND(INDEX(DarlTilgStart,6)&gt;0,$E2803=INDEX(DarlTilgStart,6)),$J2803*($H2803+INDEX(DarlTilgung,6))/100/12,IF(AND($G2803=0,$G2802=1),MAX($K2802,$J2803*($H2803+1)/100/12),$K2802))))</f>
      </c>
      <c r="L2803" s="43">
        <f>IF($I2803=0,0,$J2803*$H2803/100/12)</f>
      </c>
      <c r="M2803" s="43">
        <f>IF($I2803=0,0,IF(OR(INDEX(DarlOhneTilgung,6)=1,AND(INDEX(DarlTilgStart,6)&gt;0,$E2803&lt;INDEX(DarlTilgStart,6))),0,MIN(MAX(0,$K2803-$L2803),$J2803)))</f>
      </c>
      <c r="N2803" s="43">
        <f>IF($I2803=0,0,MIN(SUMIFS(SondBetrag,SondDarl,6,SondDatum,"&gt;="&amp;$E2803,SondDatum,"&lt;="&amp;EOMONTH($E2803,0)),$J2803-$M2803))</f>
      </c>
      <c r="O2803" s="43">
        <f>IF($I2803=0,0,INDEX(DarlErsatzRate,6))</f>
      </c>
      <c r="P2803" s="43">
        <f>IF($I2803=0,0,$Q2802*INDEX(DarlErsatzZins,6))</f>
      </c>
      <c r="Q2803" s="43">
        <f>IF($I2803=0,0,$Q2802+$P2803+$O2803)</f>
      </c>
      <c r="R2803" s="43">
        <f>IF($I2803=0,0,$J2803-$M2803-$N2803)</f>
      </c>
    </row>
    <row r="2804">
      <c r="A2804"/>
      <c r="B2804">
        <v>6</v>
      </c>
      <c r="C2804" s="43">
        <f>INDEX(DarlObj,6)</f>
      </c>
      <c r="D2804">
        <v>401</v>
      </c>
      <c r="E2804" s="51">
        <f>IF(INDEX(DarlBelegt,6)=0,0,EOMONTH(INDEX(DarlAuszahlung,6),400)+1)</f>
      </c>
      <c r="F2804" s="43">
        <f>IF($E2804=0,0,YEAR($E2804))</f>
      </c>
      <c r="G2804" s="43">
        <f>IF(INDEX(DarlBindung,6)="",1,IF($E2804&lt;=INDEX(DarlBindung,6),1,0))</f>
      </c>
      <c r="H2804" s="43">
        <f>IF($G2804=1,INDEX(DarlSollzins,6),INDEX(DarlAnschluss,6))</f>
      </c>
      <c r="I2804" s="43">
        <f>IF(INDEX(DarlBelegt,6)=0,0,IF(INDEX(DarlOhneTilgung,6)=1,IF(INDEX(DarlBindung,6)="",1,$G2804),IF($J2804&gt;0.005,1,0)))</f>
      </c>
      <c r="J2804" s="43">
        <f>IF($I2803=0,0,$R2803)</f>
      </c>
      <c r="K2804" s="43">
        <f>IF($I2804=0,0,IF(INDEX(DarlOhneTilgung,6)=1,0,IF(AND(INDEX(DarlTilgStart,6)&gt;0,$E2804=INDEX(DarlTilgStart,6)),$J2804*($H2804+INDEX(DarlTilgung,6))/100/12,IF(AND($G2804=0,$G2803=1),MAX($K2803,$J2804*($H2804+1)/100/12),$K2803))))</f>
      </c>
      <c r="L2804" s="43">
        <f>IF($I2804=0,0,$J2804*$H2804/100/12)</f>
      </c>
      <c r="M2804" s="43">
        <f>IF($I2804=0,0,IF(OR(INDEX(DarlOhneTilgung,6)=1,AND(INDEX(DarlTilgStart,6)&gt;0,$E2804&lt;INDEX(DarlTilgStart,6))),0,MIN(MAX(0,$K2804-$L2804),$J2804)))</f>
      </c>
      <c r="N2804" s="43">
        <f>IF($I2804=0,0,MIN(SUMIFS(SondBetrag,SondDarl,6,SondDatum,"&gt;="&amp;$E2804,SondDatum,"&lt;="&amp;EOMONTH($E2804,0)),$J2804-$M2804))</f>
      </c>
      <c r="O2804" s="43">
        <f>IF($I2804=0,0,INDEX(DarlErsatzRate,6))</f>
      </c>
      <c r="P2804" s="43">
        <f>IF($I2804=0,0,$Q2803*INDEX(DarlErsatzZins,6))</f>
      </c>
      <c r="Q2804" s="43">
        <f>IF($I2804=0,0,$Q2803+$P2804+$O2804)</f>
      </c>
      <c r="R2804" s="43">
        <f>IF($I2804=0,0,$J2804-$M2804-$N2804)</f>
      </c>
    </row>
    <row r="2805">
      <c r="A2805"/>
      <c r="B2805">
        <v>6</v>
      </c>
      <c r="C2805" s="43">
        <f>INDEX(DarlObj,6)</f>
      </c>
      <c r="D2805">
        <v>402</v>
      </c>
      <c r="E2805" s="51">
        <f>IF(INDEX(DarlBelegt,6)=0,0,EOMONTH(INDEX(DarlAuszahlung,6),401)+1)</f>
      </c>
      <c r="F2805" s="43">
        <f>IF($E2805=0,0,YEAR($E2805))</f>
      </c>
      <c r="G2805" s="43">
        <f>IF(INDEX(DarlBindung,6)="",1,IF($E2805&lt;=INDEX(DarlBindung,6),1,0))</f>
      </c>
      <c r="H2805" s="43">
        <f>IF($G2805=1,INDEX(DarlSollzins,6),INDEX(DarlAnschluss,6))</f>
      </c>
      <c r="I2805" s="43">
        <f>IF(INDEX(DarlBelegt,6)=0,0,IF(INDEX(DarlOhneTilgung,6)=1,IF(INDEX(DarlBindung,6)="",1,$G2805),IF($J2805&gt;0.005,1,0)))</f>
      </c>
      <c r="J2805" s="43">
        <f>IF($I2804=0,0,$R2804)</f>
      </c>
      <c r="K2805" s="43">
        <f>IF($I2805=0,0,IF(INDEX(DarlOhneTilgung,6)=1,0,IF(AND(INDEX(DarlTilgStart,6)&gt;0,$E2805=INDEX(DarlTilgStart,6)),$J2805*($H2805+INDEX(DarlTilgung,6))/100/12,IF(AND($G2805=0,$G2804=1),MAX($K2804,$J2805*($H2805+1)/100/12),$K2804))))</f>
      </c>
      <c r="L2805" s="43">
        <f>IF($I2805=0,0,$J2805*$H2805/100/12)</f>
      </c>
      <c r="M2805" s="43">
        <f>IF($I2805=0,0,IF(OR(INDEX(DarlOhneTilgung,6)=1,AND(INDEX(DarlTilgStart,6)&gt;0,$E2805&lt;INDEX(DarlTilgStart,6))),0,MIN(MAX(0,$K2805-$L2805),$J2805)))</f>
      </c>
      <c r="N2805" s="43">
        <f>IF($I2805=0,0,MIN(SUMIFS(SondBetrag,SondDarl,6,SondDatum,"&gt;="&amp;$E2805,SondDatum,"&lt;="&amp;EOMONTH($E2805,0)),$J2805-$M2805))</f>
      </c>
      <c r="O2805" s="43">
        <f>IF($I2805=0,0,INDEX(DarlErsatzRate,6))</f>
      </c>
      <c r="P2805" s="43">
        <f>IF($I2805=0,0,$Q2804*INDEX(DarlErsatzZins,6))</f>
      </c>
      <c r="Q2805" s="43">
        <f>IF($I2805=0,0,$Q2804+$P2805+$O2805)</f>
      </c>
      <c r="R2805" s="43">
        <f>IF($I2805=0,0,$J2805-$M2805-$N2805)</f>
      </c>
    </row>
    <row r="2806">
      <c r="A2806"/>
      <c r="B2806">
        <v>6</v>
      </c>
      <c r="C2806" s="43">
        <f>INDEX(DarlObj,6)</f>
      </c>
      <c r="D2806">
        <v>403</v>
      </c>
      <c r="E2806" s="51">
        <f>IF(INDEX(DarlBelegt,6)=0,0,EOMONTH(INDEX(DarlAuszahlung,6),402)+1)</f>
      </c>
      <c r="F2806" s="43">
        <f>IF($E2806=0,0,YEAR($E2806))</f>
      </c>
      <c r="G2806" s="43">
        <f>IF(INDEX(DarlBindung,6)="",1,IF($E2806&lt;=INDEX(DarlBindung,6),1,0))</f>
      </c>
      <c r="H2806" s="43">
        <f>IF($G2806=1,INDEX(DarlSollzins,6),INDEX(DarlAnschluss,6))</f>
      </c>
      <c r="I2806" s="43">
        <f>IF(INDEX(DarlBelegt,6)=0,0,IF(INDEX(DarlOhneTilgung,6)=1,IF(INDEX(DarlBindung,6)="",1,$G2806),IF($J2806&gt;0.005,1,0)))</f>
      </c>
      <c r="J2806" s="43">
        <f>IF($I2805=0,0,$R2805)</f>
      </c>
      <c r="K2806" s="43">
        <f>IF($I2806=0,0,IF(INDEX(DarlOhneTilgung,6)=1,0,IF(AND(INDEX(DarlTilgStart,6)&gt;0,$E2806=INDEX(DarlTilgStart,6)),$J2806*($H2806+INDEX(DarlTilgung,6))/100/12,IF(AND($G2806=0,$G2805=1),MAX($K2805,$J2806*($H2806+1)/100/12),$K2805))))</f>
      </c>
      <c r="L2806" s="43">
        <f>IF($I2806=0,0,$J2806*$H2806/100/12)</f>
      </c>
      <c r="M2806" s="43">
        <f>IF($I2806=0,0,IF(OR(INDEX(DarlOhneTilgung,6)=1,AND(INDEX(DarlTilgStart,6)&gt;0,$E2806&lt;INDEX(DarlTilgStart,6))),0,MIN(MAX(0,$K2806-$L2806),$J2806)))</f>
      </c>
      <c r="N2806" s="43">
        <f>IF($I2806=0,0,MIN(SUMIFS(SondBetrag,SondDarl,6,SondDatum,"&gt;="&amp;$E2806,SondDatum,"&lt;="&amp;EOMONTH($E2806,0)),$J2806-$M2806))</f>
      </c>
      <c r="O2806" s="43">
        <f>IF($I2806=0,0,INDEX(DarlErsatzRate,6))</f>
      </c>
      <c r="P2806" s="43">
        <f>IF($I2806=0,0,$Q2805*INDEX(DarlErsatzZins,6))</f>
      </c>
      <c r="Q2806" s="43">
        <f>IF($I2806=0,0,$Q2805+$P2806+$O2806)</f>
      </c>
      <c r="R2806" s="43">
        <f>IF($I2806=0,0,$J2806-$M2806-$N2806)</f>
      </c>
    </row>
    <row r="2807">
      <c r="A2807"/>
      <c r="B2807">
        <v>6</v>
      </c>
      <c r="C2807" s="43">
        <f>INDEX(DarlObj,6)</f>
      </c>
      <c r="D2807">
        <v>404</v>
      </c>
      <c r="E2807" s="51">
        <f>IF(INDEX(DarlBelegt,6)=0,0,EOMONTH(INDEX(DarlAuszahlung,6),403)+1)</f>
      </c>
      <c r="F2807" s="43">
        <f>IF($E2807=0,0,YEAR($E2807))</f>
      </c>
      <c r="G2807" s="43">
        <f>IF(INDEX(DarlBindung,6)="",1,IF($E2807&lt;=INDEX(DarlBindung,6),1,0))</f>
      </c>
      <c r="H2807" s="43">
        <f>IF($G2807=1,INDEX(DarlSollzins,6),INDEX(DarlAnschluss,6))</f>
      </c>
      <c r="I2807" s="43">
        <f>IF(INDEX(DarlBelegt,6)=0,0,IF(INDEX(DarlOhneTilgung,6)=1,IF(INDEX(DarlBindung,6)="",1,$G2807),IF($J2807&gt;0.005,1,0)))</f>
      </c>
      <c r="J2807" s="43">
        <f>IF($I2806=0,0,$R2806)</f>
      </c>
      <c r="K2807" s="43">
        <f>IF($I2807=0,0,IF(INDEX(DarlOhneTilgung,6)=1,0,IF(AND(INDEX(DarlTilgStart,6)&gt;0,$E2807=INDEX(DarlTilgStart,6)),$J2807*($H2807+INDEX(DarlTilgung,6))/100/12,IF(AND($G2807=0,$G2806=1),MAX($K2806,$J2807*($H2807+1)/100/12),$K2806))))</f>
      </c>
      <c r="L2807" s="43">
        <f>IF($I2807=0,0,$J2807*$H2807/100/12)</f>
      </c>
      <c r="M2807" s="43">
        <f>IF($I2807=0,0,IF(OR(INDEX(DarlOhneTilgung,6)=1,AND(INDEX(DarlTilgStart,6)&gt;0,$E2807&lt;INDEX(DarlTilgStart,6))),0,MIN(MAX(0,$K2807-$L2807),$J2807)))</f>
      </c>
      <c r="N2807" s="43">
        <f>IF($I2807=0,0,MIN(SUMIFS(SondBetrag,SondDarl,6,SondDatum,"&gt;="&amp;$E2807,SondDatum,"&lt;="&amp;EOMONTH($E2807,0)),$J2807-$M2807))</f>
      </c>
      <c r="O2807" s="43">
        <f>IF($I2807=0,0,INDEX(DarlErsatzRate,6))</f>
      </c>
      <c r="P2807" s="43">
        <f>IF($I2807=0,0,$Q2806*INDEX(DarlErsatzZins,6))</f>
      </c>
      <c r="Q2807" s="43">
        <f>IF($I2807=0,0,$Q2806+$P2807+$O2807)</f>
      </c>
      <c r="R2807" s="43">
        <f>IF($I2807=0,0,$J2807-$M2807-$N2807)</f>
      </c>
    </row>
    <row r="2808">
      <c r="A2808"/>
      <c r="B2808">
        <v>6</v>
      </c>
      <c r="C2808" s="43">
        <f>INDEX(DarlObj,6)</f>
      </c>
      <c r="D2808">
        <v>405</v>
      </c>
      <c r="E2808" s="51">
        <f>IF(INDEX(DarlBelegt,6)=0,0,EOMONTH(INDEX(DarlAuszahlung,6),404)+1)</f>
      </c>
      <c r="F2808" s="43">
        <f>IF($E2808=0,0,YEAR($E2808))</f>
      </c>
      <c r="G2808" s="43">
        <f>IF(INDEX(DarlBindung,6)="",1,IF($E2808&lt;=INDEX(DarlBindung,6),1,0))</f>
      </c>
      <c r="H2808" s="43">
        <f>IF($G2808=1,INDEX(DarlSollzins,6),INDEX(DarlAnschluss,6))</f>
      </c>
      <c r="I2808" s="43">
        <f>IF(INDEX(DarlBelegt,6)=0,0,IF(INDEX(DarlOhneTilgung,6)=1,IF(INDEX(DarlBindung,6)="",1,$G2808),IF($J2808&gt;0.005,1,0)))</f>
      </c>
      <c r="J2808" s="43">
        <f>IF($I2807=0,0,$R2807)</f>
      </c>
      <c r="K2808" s="43">
        <f>IF($I2808=0,0,IF(INDEX(DarlOhneTilgung,6)=1,0,IF(AND(INDEX(DarlTilgStart,6)&gt;0,$E2808=INDEX(DarlTilgStart,6)),$J2808*($H2808+INDEX(DarlTilgung,6))/100/12,IF(AND($G2808=0,$G2807=1),MAX($K2807,$J2808*($H2808+1)/100/12),$K2807))))</f>
      </c>
      <c r="L2808" s="43">
        <f>IF($I2808=0,0,$J2808*$H2808/100/12)</f>
      </c>
      <c r="M2808" s="43">
        <f>IF($I2808=0,0,IF(OR(INDEX(DarlOhneTilgung,6)=1,AND(INDEX(DarlTilgStart,6)&gt;0,$E2808&lt;INDEX(DarlTilgStart,6))),0,MIN(MAX(0,$K2808-$L2808),$J2808)))</f>
      </c>
      <c r="N2808" s="43">
        <f>IF($I2808=0,0,MIN(SUMIFS(SondBetrag,SondDarl,6,SondDatum,"&gt;="&amp;$E2808,SondDatum,"&lt;="&amp;EOMONTH($E2808,0)),$J2808-$M2808))</f>
      </c>
      <c r="O2808" s="43">
        <f>IF($I2808=0,0,INDEX(DarlErsatzRate,6))</f>
      </c>
      <c r="P2808" s="43">
        <f>IF($I2808=0,0,$Q2807*INDEX(DarlErsatzZins,6))</f>
      </c>
      <c r="Q2808" s="43">
        <f>IF($I2808=0,0,$Q2807+$P2808+$O2808)</f>
      </c>
      <c r="R2808" s="43">
        <f>IF($I2808=0,0,$J2808-$M2808-$N2808)</f>
      </c>
    </row>
    <row r="2809">
      <c r="A2809"/>
      <c r="B2809">
        <v>6</v>
      </c>
      <c r="C2809" s="43">
        <f>INDEX(DarlObj,6)</f>
      </c>
      <c r="D2809">
        <v>406</v>
      </c>
      <c r="E2809" s="51">
        <f>IF(INDEX(DarlBelegt,6)=0,0,EOMONTH(INDEX(DarlAuszahlung,6),405)+1)</f>
      </c>
      <c r="F2809" s="43">
        <f>IF($E2809=0,0,YEAR($E2809))</f>
      </c>
      <c r="G2809" s="43">
        <f>IF(INDEX(DarlBindung,6)="",1,IF($E2809&lt;=INDEX(DarlBindung,6),1,0))</f>
      </c>
      <c r="H2809" s="43">
        <f>IF($G2809=1,INDEX(DarlSollzins,6),INDEX(DarlAnschluss,6))</f>
      </c>
      <c r="I2809" s="43">
        <f>IF(INDEX(DarlBelegt,6)=0,0,IF(INDEX(DarlOhneTilgung,6)=1,IF(INDEX(DarlBindung,6)="",1,$G2809),IF($J2809&gt;0.005,1,0)))</f>
      </c>
      <c r="J2809" s="43">
        <f>IF($I2808=0,0,$R2808)</f>
      </c>
      <c r="K2809" s="43">
        <f>IF($I2809=0,0,IF(INDEX(DarlOhneTilgung,6)=1,0,IF(AND(INDEX(DarlTilgStart,6)&gt;0,$E2809=INDEX(DarlTilgStart,6)),$J2809*($H2809+INDEX(DarlTilgung,6))/100/12,IF(AND($G2809=0,$G2808=1),MAX($K2808,$J2809*($H2809+1)/100/12),$K2808))))</f>
      </c>
      <c r="L2809" s="43">
        <f>IF($I2809=0,0,$J2809*$H2809/100/12)</f>
      </c>
      <c r="M2809" s="43">
        <f>IF($I2809=0,0,IF(OR(INDEX(DarlOhneTilgung,6)=1,AND(INDEX(DarlTilgStart,6)&gt;0,$E2809&lt;INDEX(DarlTilgStart,6))),0,MIN(MAX(0,$K2809-$L2809),$J2809)))</f>
      </c>
      <c r="N2809" s="43">
        <f>IF($I2809=0,0,MIN(SUMIFS(SondBetrag,SondDarl,6,SondDatum,"&gt;="&amp;$E2809,SondDatum,"&lt;="&amp;EOMONTH($E2809,0)),$J2809-$M2809))</f>
      </c>
      <c r="O2809" s="43">
        <f>IF($I2809=0,0,INDEX(DarlErsatzRate,6))</f>
      </c>
      <c r="P2809" s="43">
        <f>IF($I2809=0,0,$Q2808*INDEX(DarlErsatzZins,6))</f>
      </c>
      <c r="Q2809" s="43">
        <f>IF($I2809=0,0,$Q2808+$P2809+$O2809)</f>
      </c>
      <c r="R2809" s="43">
        <f>IF($I2809=0,0,$J2809-$M2809-$N2809)</f>
      </c>
    </row>
    <row r="2810">
      <c r="A2810"/>
      <c r="B2810">
        <v>6</v>
      </c>
      <c r="C2810" s="43">
        <f>INDEX(DarlObj,6)</f>
      </c>
      <c r="D2810">
        <v>407</v>
      </c>
      <c r="E2810" s="51">
        <f>IF(INDEX(DarlBelegt,6)=0,0,EOMONTH(INDEX(DarlAuszahlung,6),406)+1)</f>
      </c>
      <c r="F2810" s="43">
        <f>IF($E2810=0,0,YEAR($E2810))</f>
      </c>
      <c r="G2810" s="43">
        <f>IF(INDEX(DarlBindung,6)="",1,IF($E2810&lt;=INDEX(DarlBindung,6),1,0))</f>
      </c>
      <c r="H2810" s="43">
        <f>IF($G2810=1,INDEX(DarlSollzins,6),INDEX(DarlAnschluss,6))</f>
      </c>
      <c r="I2810" s="43">
        <f>IF(INDEX(DarlBelegt,6)=0,0,IF(INDEX(DarlOhneTilgung,6)=1,IF(INDEX(DarlBindung,6)="",1,$G2810),IF($J2810&gt;0.005,1,0)))</f>
      </c>
      <c r="J2810" s="43">
        <f>IF($I2809=0,0,$R2809)</f>
      </c>
      <c r="K2810" s="43">
        <f>IF($I2810=0,0,IF(INDEX(DarlOhneTilgung,6)=1,0,IF(AND(INDEX(DarlTilgStart,6)&gt;0,$E2810=INDEX(DarlTilgStart,6)),$J2810*($H2810+INDEX(DarlTilgung,6))/100/12,IF(AND($G2810=0,$G2809=1),MAX($K2809,$J2810*($H2810+1)/100/12),$K2809))))</f>
      </c>
      <c r="L2810" s="43">
        <f>IF($I2810=0,0,$J2810*$H2810/100/12)</f>
      </c>
      <c r="M2810" s="43">
        <f>IF($I2810=0,0,IF(OR(INDEX(DarlOhneTilgung,6)=1,AND(INDEX(DarlTilgStart,6)&gt;0,$E2810&lt;INDEX(DarlTilgStart,6))),0,MIN(MAX(0,$K2810-$L2810),$J2810)))</f>
      </c>
      <c r="N2810" s="43">
        <f>IF($I2810=0,0,MIN(SUMIFS(SondBetrag,SondDarl,6,SondDatum,"&gt;="&amp;$E2810,SondDatum,"&lt;="&amp;EOMONTH($E2810,0)),$J2810-$M2810))</f>
      </c>
      <c r="O2810" s="43">
        <f>IF($I2810=0,0,INDEX(DarlErsatzRate,6))</f>
      </c>
      <c r="P2810" s="43">
        <f>IF($I2810=0,0,$Q2809*INDEX(DarlErsatzZins,6))</f>
      </c>
      <c r="Q2810" s="43">
        <f>IF($I2810=0,0,$Q2809+$P2810+$O2810)</f>
      </c>
      <c r="R2810" s="43">
        <f>IF($I2810=0,0,$J2810-$M2810-$N2810)</f>
      </c>
    </row>
    <row r="2811">
      <c r="A2811"/>
      <c r="B2811">
        <v>6</v>
      </c>
      <c r="C2811" s="43">
        <f>INDEX(DarlObj,6)</f>
      </c>
      <c r="D2811">
        <v>408</v>
      </c>
      <c r="E2811" s="51">
        <f>IF(INDEX(DarlBelegt,6)=0,0,EOMONTH(INDEX(DarlAuszahlung,6),407)+1)</f>
      </c>
      <c r="F2811" s="43">
        <f>IF($E2811=0,0,YEAR($E2811))</f>
      </c>
      <c r="G2811" s="43">
        <f>IF(INDEX(DarlBindung,6)="",1,IF($E2811&lt;=INDEX(DarlBindung,6),1,0))</f>
      </c>
      <c r="H2811" s="43">
        <f>IF($G2811=1,INDEX(DarlSollzins,6),INDEX(DarlAnschluss,6))</f>
      </c>
      <c r="I2811" s="43">
        <f>IF(INDEX(DarlBelegt,6)=0,0,IF(INDEX(DarlOhneTilgung,6)=1,IF(INDEX(DarlBindung,6)="",1,$G2811),IF($J2811&gt;0.005,1,0)))</f>
      </c>
      <c r="J2811" s="43">
        <f>IF($I2810=0,0,$R2810)</f>
      </c>
      <c r="K2811" s="43">
        <f>IF($I2811=0,0,IF(INDEX(DarlOhneTilgung,6)=1,0,IF(AND(INDEX(DarlTilgStart,6)&gt;0,$E2811=INDEX(DarlTilgStart,6)),$J2811*($H2811+INDEX(DarlTilgung,6))/100/12,IF(AND($G2811=0,$G2810=1),MAX($K2810,$J2811*($H2811+1)/100/12),$K2810))))</f>
      </c>
      <c r="L2811" s="43">
        <f>IF($I2811=0,0,$J2811*$H2811/100/12)</f>
      </c>
      <c r="M2811" s="43">
        <f>IF($I2811=0,0,IF(OR(INDEX(DarlOhneTilgung,6)=1,AND(INDEX(DarlTilgStart,6)&gt;0,$E2811&lt;INDEX(DarlTilgStart,6))),0,MIN(MAX(0,$K2811-$L2811),$J2811)))</f>
      </c>
      <c r="N2811" s="43">
        <f>IF($I2811=0,0,MIN(SUMIFS(SondBetrag,SondDarl,6,SondDatum,"&gt;="&amp;$E2811,SondDatum,"&lt;="&amp;EOMONTH($E2811,0)),$J2811-$M2811))</f>
      </c>
      <c r="O2811" s="43">
        <f>IF($I2811=0,0,INDEX(DarlErsatzRate,6))</f>
      </c>
      <c r="P2811" s="43">
        <f>IF($I2811=0,0,$Q2810*INDEX(DarlErsatzZins,6))</f>
      </c>
      <c r="Q2811" s="43">
        <f>IF($I2811=0,0,$Q2810+$P2811+$O2811)</f>
      </c>
      <c r="R2811" s="43">
        <f>IF($I2811=0,0,$J2811-$M2811-$N2811)</f>
      </c>
    </row>
    <row r="2812">
      <c r="A2812"/>
      <c r="B2812">
        <v>6</v>
      </c>
      <c r="C2812" s="43">
        <f>INDEX(DarlObj,6)</f>
      </c>
      <c r="D2812">
        <v>409</v>
      </c>
      <c r="E2812" s="51">
        <f>IF(INDEX(DarlBelegt,6)=0,0,EOMONTH(INDEX(DarlAuszahlung,6),408)+1)</f>
      </c>
      <c r="F2812" s="43">
        <f>IF($E2812=0,0,YEAR($E2812))</f>
      </c>
      <c r="G2812" s="43">
        <f>IF(INDEX(DarlBindung,6)="",1,IF($E2812&lt;=INDEX(DarlBindung,6),1,0))</f>
      </c>
      <c r="H2812" s="43">
        <f>IF($G2812=1,INDEX(DarlSollzins,6),INDEX(DarlAnschluss,6))</f>
      </c>
      <c r="I2812" s="43">
        <f>IF(INDEX(DarlBelegt,6)=0,0,IF(INDEX(DarlOhneTilgung,6)=1,IF(INDEX(DarlBindung,6)="",1,$G2812),IF($J2812&gt;0.005,1,0)))</f>
      </c>
      <c r="J2812" s="43">
        <f>IF($I2811=0,0,$R2811)</f>
      </c>
      <c r="K2812" s="43">
        <f>IF($I2812=0,0,IF(INDEX(DarlOhneTilgung,6)=1,0,IF(AND(INDEX(DarlTilgStart,6)&gt;0,$E2812=INDEX(DarlTilgStart,6)),$J2812*($H2812+INDEX(DarlTilgung,6))/100/12,IF(AND($G2812=0,$G2811=1),MAX($K2811,$J2812*($H2812+1)/100/12),$K2811))))</f>
      </c>
      <c r="L2812" s="43">
        <f>IF($I2812=0,0,$J2812*$H2812/100/12)</f>
      </c>
      <c r="M2812" s="43">
        <f>IF($I2812=0,0,IF(OR(INDEX(DarlOhneTilgung,6)=1,AND(INDEX(DarlTilgStart,6)&gt;0,$E2812&lt;INDEX(DarlTilgStart,6))),0,MIN(MAX(0,$K2812-$L2812),$J2812)))</f>
      </c>
      <c r="N2812" s="43">
        <f>IF($I2812=0,0,MIN(SUMIFS(SondBetrag,SondDarl,6,SondDatum,"&gt;="&amp;$E2812,SondDatum,"&lt;="&amp;EOMONTH($E2812,0)),$J2812-$M2812))</f>
      </c>
      <c r="O2812" s="43">
        <f>IF($I2812=0,0,INDEX(DarlErsatzRate,6))</f>
      </c>
      <c r="P2812" s="43">
        <f>IF($I2812=0,0,$Q2811*INDEX(DarlErsatzZins,6))</f>
      </c>
      <c r="Q2812" s="43">
        <f>IF($I2812=0,0,$Q2811+$P2812+$O2812)</f>
      </c>
      <c r="R2812" s="43">
        <f>IF($I2812=0,0,$J2812-$M2812-$N2812)</f>
      </c>
    </row>
    <row r="2813">
      <c r="A2813"/>
      <c r="B2813">
        <v>6</v>
      </c>
      <c r="C2813" s="43">
        <f>INDEX(DarlObj,6)</f>
      </c>
      <c r="D2813">
        <v>410</v>
      </c>
      <c r="E2813" s="51">
        <f>IF(INDEX(DarlBelegt,6)=0,0,EOMONTH(INDEX(DarlAuszahlung,6),409)+1)</f>
      </c>
      <c r="F2813" s="43">
        <f>IF($E2813=0,0,YEAR($E2813))</f>
      </c>
      <c r="G2813" s="43">
        <f>IF(INDEX(DarlBindung,6)="",1,IF($E2813&lt;=INDEX(DarlBindung,6),1,0))</f>
      </c>
      <c r="H2813" s="43">
        <f>IF($G2813=1,INDEX(DarlSollzins,6),INDEX(DarlAnschluss,6))</f>
      </c>
      <c r="I2813" s="43">
        <f>IF(INDEX(DarlBelegt,6)=0,0,IF(INDEX(DarlOhneTilgung,6)=1,IF(INDEX(DarlBindung,6)="",1,$G2813),IF($J2813&gt;0.005,1,0)))</f>
      </c>
      <c r="J2813" s="43">
        <f>IF($I2812=0,0,$R2812)</f>
      </c>
      <c r="K2813" s="43">
        <f>IF($I2813=0,0,IF(INDEX(DarlOhneTilgung,6)=1,0,IF(AND(INDEX(DarlTilgStart,6)&gt;0,$E2813=INDEX(DarlTilgStart,6)),$J2813*($H2813+INDEX(DarlTilgung,6))/100/12,IF(AND($G2813=0,$G2812=1),MAX($K2812,$J2813*($H2813+1)/100/12),$K2812))))</f>
      </c>
      <c r="L2813" s="43">
        <f>IF($I2813=0,0,$J2813*$H2813/100/12)</f>
      </c>
      <c r="M2813" s="43">
        <f>IF($I2813=0,0,IF(OR(INDEX(DarlOhneTilgung,6)=1,AND(INDEX(DarlTilgStart,6)&gt;0,$E2813&lt;INDEX(DarlTilgStart,6))),0,MIN(MAX(0,$K2813-$L2813),$J2813)))</f>
      </c>
      <c r="N2813" s="43">
        <f>IF($I2813=0,0,MIN(SUMIFS(SondBetrag,SondDarl,6,SondDatum,"&gt;="&amp;$E2813,SondDatum,"&lt;="&amp;EOMONTH($E2813,0)),$J2813-$M2813))</f>
      </c>
      <c r="O2813" s="43">
        <f>IF($I2813=0,0,INDEX(DarlErsatzRate,6))</f>
      </c>
      <c r="P2813" s="43">
        <f>IF($I2813=0,0,$Q2812*INDEX(DarlErsatzZins,6))</f>
      </c>
      <c r="Q2813" s="43">
        <f>IF($I2813=0,0,$Q2812+$P2813+$O2813)</f>
      </c>
      <c r="R2813" s="43">
        <f>IF($I2813=0,0,$J2813-$M2813-$N2813)</f>
      </c>
    </row>
    <row r="2814">
      <c r="A2814"/>
      <c r="B2814">
        <v>6</v>
      </c>
      <c r="C2814" s="43">
        <f>INDEX(DarlObj,6)</f>
      </c>
      <c r="D2814">
        <v>411</v>
      </c>
      <c r="E2814" s="51">
        <f>IF(INDEX(DarlBelegt,6)=0,0,EOMONTH(INDEX(DarlAuszahlung,6),410)+1)</f>
      </c>
      <c r="F2814" s="43">
        <f>IF($E2814=0,0,YEAR($E2814))</f>
      </c>
      <c r="G2814" s="43">
        <f>IF(INDEX(DarlBindung,6)="",1,IF($E2814&lt;=INDEX(DarlBindung,6),1,0))</f>
      </c>
      <c r="H2814" s="43">
        <f>IF($G2814=1,INDEX(DarlSollzins,6),INDEX(DarlAnschluss,6))</f>
      </c>
      <c r="I2814" s="43">
        <f>IF(INDEX(DarlBelegt,6)=0,0,IF(INDEX(DarlOhneTilgung,6)=1,IF(INDEX(DarlBindung,6)="",1,$G2814),IF($J2814&gt;0.005,1,0)))</f>
      </c>
      <c r="J2814" s="43">
        <f>IF($I2813=0,0,$R2813)</f>
      </c>
      <c r="K2814" s="43">
        <f>IF($I2814=0,0,IF(INDEX(DarlOhneTilgung,6)=1,0,IF(AND(INDEX(DarlTilgStart,6)&gt;0,$E2814=INDEX(DarlTilgStart,6)),$J2814*($H2814+INDEX(DarlTilgung,6))/100/12,IF(AND($G2814=0,$G2813=1),MAX($K2813,$J2814*($H2814+1)/100/12),$K2813))))</f>
      </c>
      <c r="L2814" s="43">
        <f>IF($I2814=0,0,$J2814*$H2814/100/12)</f>
      </c>
      <c r="M2814" s="43">
        <f>IF($I2814=0,0,IF(OR(INDEX(DarlOhneTilgung,6)=1,AND(INDEX(DarlTilgStart,6)&gt;0,$E2814&lt;INDEX(DarlTilgStart,6))),0,MIN(MAX(0,$K2814-$L2814),$J2814)))</f>
      </c>
      <c r="N2814" s="43">
        <f>IF($I2814=0,0,MIN(SUMIFS(SondBetrag,SondDarl,6,SondDatum,"&gt;="&amp;$E2814,SondDatum,"&lt;="&amp;EOMONTH($E2814,0)),$J2814-$M2814))</f>
      </c>
      <c r="O2814" s="43">
        <f>IF($I2814=0,0,INDEX(DarlErsatzRate,6))</f>
      </c>
      <c r="P2814" s="43">
        <f>IF($I2814=0,0,$Q2813*INDEX(DarlErsatzZins,6))</f>
      </c>
      <c r="Q2814" s="43">
        <f>IF($I2814=0,0,$Q2813+$P2814+$O2814)</f>
      </c>
      <c r="R2814" s="43">
        <f>IF($I2814=0,0,$J2814-$M2814-$N2814)</f>
      </c>
    </row>
    <row r="2815">
      <c r="A2815"/>
      <c r="B2815">
        <v>6</v>
      </c>
      <c r="C2815" s="43">
        <f>INDEX(DarlObj,6)</f>
      </c>
      <c r="D2815">
        <v>412</v>
      </c>
      <c r="E2815" s="51">
        <f>IF(INDEX(DarlBelegt,6)=0,0,EOMONTH(INDEX(DarlAuszahlung,6),411)+1)</f>
      </c>
      <c r="F2815" s="43">
        <f>IF($E2815=0,0,YEAR($E2815))</f>
      </c>
      <c r="G2815" s="43">
        <f>IF(INDEX(DarlBindung,6)="",1,IF($E2815&lt;=INDEX(DarlBindung,6),1,0))</f>
      </c>
      <c r="H2815" s="43">
        <f>IF($G2815=1,INDEX(DarlSollzins,6),INDEX(DarlAnschluss,6))</f>
      </c>
      <c r="I2815" s="43">
        <f>IF(INDEX(DarlBelegt,6)=0,0,IF(INDEX(DarlOhneTilgung,6)=1,IF(INDEX(DarlBindung,6)="",1,$G2815),IF($J2815&gt;0.005,1,0)))</f>
      </c>
      <c r="J2815" s="43">
        <f>IF($I2814=0,0,$R2814)</f>
      </c>
      <c r="K2815" s="43">
        <f>IF($I2815=0,0,IF(INDEX(DarlOhneTilgung,6)=1,0,IF(AND(INDEX(DarlTilgStart,6)&gt;0,$E2815=INDEX(DarlTilgStart,6)),$J2815*($H2815+INDEX(DarlTilgung,6))/100/12,IF(AND($G2815=0,$G2814=1),MAX($K2814,$J2815*($H2815+1)/100/12),$K2814))))</f>
      </c>
      <c r="L2815" s="43">
        <f>IF($I2815=0,0,$J2815*$H2815/100/12)</f>
      </c>
      <c r="M2815" s="43">
        <f>IF($I2815=0,0,IF(OR(INDEX(DarlOhneTilgung,6)=1,AND(INDEX(DarlTilgStart,6)&gt;0,$E2815&lt;INDEX(DarlTilgStart,6))),0,MIN(MAX(0,$K2815-$L2815),$J2815)))</f>
      </c>
      <c r="N2815" s="43">
        <f>IF($I2815=0,0,MIN(SUMIFS(SondBetrag,SondDarl,6,SondDatum,"&gt;="&amp;$E2815,SondDatum,"&lt;="&amp;EOMONTH($E2815,0)),$J2815-$M2815))</f>
      </c>
      <c r="O2815" s="43">
        <f>IF($I2815=0,0,INDEX(DarlErsatzRate,6))</f>
      </c>
      <c r="P2815" s="43">
        <f>IF($I2815=0,0,$Q2814*INDEX(DarlErsatzZins,6))</f>
      </c>
      <c r="Q2815" s="43">
        <f>IF($I2815=0,0,$Q2814+$P2815+$O2815)</f>
      </c>
      <c r="R2815" s="43">
        <f>IF($I2815=0,0,$J2815-$M2815-$N2815)</f>
      </c>
    </row>
    <row r="2816">
      <c r="A2816"/>
      <c r="B2816">
        <v>6</v>
      </c>
      <c r="C2816" s="43">
        <f>INDEX(DarlObj,6)</f>
      </c>
      <c r="D2816">
        <v>413</v>
      </c>
      <c r="E2816" s="51">
        <f>IF(INDEX(DarlBelegt,6)=0,0,EOMONTH(INDEX(DarlAuszahlung,6),412)+1)</f>
      </c>
      <c r="F2816" s="43">
        <f>IF($E2816=0,0,YEAR($E2816))</f>
      </c>
      <c r="G2816" s="43">
        <f>IF(INDEX(DarlBindung,6)="",1,IF($E2816&lt;=INDEX(DarlBindung,6),1,0))</f>
      </c>
      <c r="H2816" s="43">
        <f>IF($G2816=1,INDEX(DarlSollzins,6),INDEX(DarlAnschluss,6))</f>
      </c>
      <c r="I2816" s="43">
        <f>IF(INDEX(DarlBelegt,6)=0,0,IF(INDEX(DarlOhneTilgung,6)=1,IF(INDEX(DarlBindung,6)="",1,$G2816),IF($J2816&gt;0.005,1,0)))</f>
      </c>
      <c r="J2816" s="43">
        <f>IF($I2815=0,0,$R2815)</f>
      </c>
      <c r="K2816" s="43">
        <f>IF($I2816=0,0,IF(INDEX(DarlOhneTilgung,6)=1,0,IF(AND(INDEX(DarlTilgStart,6)&gt;0,$E2816=INDEX(DarlTilgStart,6)),$J2816*($H2816+INDEX(DarlTilgung,6))/100/12,IF(AND($G2816=0,$G2815=1),MAX($K2815,$J2816*($H2816+1)/100/12),$K2815))))</f>
      </c>
      <c r="L2816" s="43">
        <f>IF($I2816=0,0,$J2816*$H2816/100/12)</f>
      </c>
      <c r="M2816" s="43">
        <f>IF($I2816=0,0,IF(OR(INDEX(DarlOhneTilgung,6)=1,AND(INDEX(DarlTilgStart,6)&gt;0,$E2816&lt;INDEX(DarlTilgStart,6))),0,MIN(MAX(0,$K2816-$L2816),$J2816)))</f>
      </c>
      <c r="N2816" s="43">
        <f>IF($I2816=0,0,MIN(SUMIFS(SondBetrag,SondDarl,6,SondDatum,"&gt;="&amp;$E2816,SondDatum,"&lt;="&amp;EOMONTH($E2816,0)),$J2816-$M2816))</f>
      </c>
      <c r="O2816" s="43">
        <f>IF($I2816=0,0,INDEX(DarlErsatzRate,6))</f>
      </c>
      <c r="P2816" s="43">
        <f>IF($I2816=0,0,$Q2815*INDEX(DarlErsatzZins,6))</f>
      </c>
      <c r="Q2816" s="43">
        <f>IF($I2816=0,0,$Q2815+$P2816+$O2816)</f>
      </c>
      <c r="R2816" s="43">
        <f>IF($I2816=0,0,$J2816-$M2816-$N2816)</f>
      </c>
    </row>
    <row r="2817">
      <c r="A2817"/>
      <c r="B2817">
        <v>6</v>
      </c>
      <c r="C2817" s="43">
        <f>INDEX(DarlObj,6)</f>
      </c>
      <c r="D2817">
        <v>414</v>
      </c>
      <c r="E2817" s="51">
        <f>IF(INDEX(DarlBelegt,6)=0,0,EOMONTH(INDEX(DarlAuszahlung,6),413)+1)</f>
      </c>
      <c r="F2817" s="43">
        <f>IF($E2817=0,0,YEAR($E2817))</f>
      </c>
      <c r="G2817" s="43">
        <f>IF(INDEX(DarlBindung,6)="",1,IF($E2817&lt;=INDEX(DarlBindung,6),1,0))</f>
      </c>
      <c r="H2817" s="43">
        <f>IF($G2817=1,INDEX(DarlSollzins,6),INDEX(DarlAnschluss,6))</f>
      </c>
      <c r="I2817" s="43">
        <f>IF(INDEX(DarlBelegt,6)=0,0,IF(INDEX(DarlOhneTilgung,6)=1,IF(INDEX(DarlBindung,6)="",1,$G2817),IF($J2817&gt;0.005,1,0)))</f>
      </c>
      <c r="J2817" s="43">
        <f>IF($I2816=0,0,$R2816)</f>
      </c>
      <c r="K2817" s="43">
        <f>IF($I2817=0,0,IF(INDEX(DarlOhneTilgung,6)=1,0,IF(AND(INDEX(DarlTilgStart,6)&gt;0,$E2817=INDEX(DarlTilgStart,6)),$J2817*($H2817+INDEX(DarlTilgung,6))/100/12,IF(AND($G2817=0,$G2816=1),MAX($K2816,$J2817*($H2817+1)/100/12),$K2816))))</f>
      </c>
      <c r="L2817" s="43">
        <f>IF($I2817=0,0,$J2817*$H2817/100/12)</f>
      </c>
      <c r="M2817" s="43">
        <f>IF($I2817=0,0,IF(OR(INDEX(DarlOhneTilgung,6)=1,AND(INDEX(DarlTilgStart,6)&gt;0,$E2817&lt;INDEX(DarlTilgStart,6))),0,MIN(MAX(0,$K2817-$L2817),$J2817)))</f>
      </c>
      <c r="N2817" s="43">
        <f>IF($I2817=0,0,MIN(SUMIFS(SondBetrag,SondDarl,6,SondDatum,"&gt;="&amp;$E2817,SondDatum,"&lt;="&amp;EOMONTH($E2817,0)),$J2817-$M2817))</f>
      </c>
      <c r="O2817" s="43">
        <f>IF($I2817=0,0,INDEX(DarlErsatzRate,6))</f>
      </c>
      <c r="P2817" s="43">
        <f>IF($I2817=0,0,$Q2816*INDEX(DarlErsatzZins,6))</f>
      </c>
      <c r="Q2817" s="43">
        <f>IF($I2817=0,0,$Q2816+$P2817+$O2817)</f>
      </c>
      <c r="R2817" s="43">
        <f>IF($I2817=0,0,$J2817-$M2817-$N2817)</f>
      </c>
    </row>
    <row r="2818">
      <c r="A2818"/>
      <c r="B2818">
        <v>6</v>
      </c>
      <c r="C2818" s="43">
        <f>INDEX(DarlObj,6)</f>
      </c>
      <c r="D2818">
        <v>415</v>
      </c>
      <c r="E2818" s="51">
        <f>IF(INDEX(DarlBelegt,6)=0,0,EOMONTH(INDEX(DarlAuszahlung,6),414)+1)</f>
      </c>
      <c r="F2818" s="43">
        <f>IF($E2818=0,0,YEAR($E2818))</f>
      </c>
      <c r="G2818" s="43">
        <f>IF(INDEX(DarlBindung,6)="",1,IF($E2818&lt;=INDEX(DarlBindung,6),1,0))</f>
      </c>
      <c r="H2818" s="43">
        <f>IF($G2818=1,INDEX(DarlSollzins,6),INDEX(DarlAnschluss,6))</f>
      </c>
      <c r="I2818" s="43">
        <f>IF(INDEX(DarlBelegt,6)=0,0,IF(INDEX(DarlOhneTilgung,6)=1,IF(INDEX(DarlBindung,6)="",1,$G2818),IF($J2818&gt;0.005,1,0)))</f>
      </c>
      <c r="J2818" s="43">
        <f>IF($I2817=0,0,$R2817)</f>
      </c>
      <c r="K2818" s="43">
        <f>IF($I2818=0,0,IF(INDEX(DarlOhneTilgung,6)=1,0,IF(AND(INDEX(DarlTilgStart,6)&gt;0,$E2818=INDEX(DarlTilgStart,6)),$J2818*($H2818+INDEX(DarlTilgung,6))/100/12,IF(AND($G2818=0,$G2817=1),MAX($K2817,$J2818*($H2818+1)/100/12),$K2817))))</f>
      </c>
      <c r="L2818" s="43">
        <f>IF($I2818=0,0,$J2818*$H2818/100/12)</f>
      </c>
      <c r="M2818" s="43">
        <f>IF($I2818=0,0,IF(OR(INDEX(DarlOhneTilgung,6)=1,AND(INDEX(DarlTilgStart,6)&gt;0,$E2818&lt;INDEX(DarlTilgStart,6))),0,MIN(MAX(0,$K2818-$L2818),$J2818)))</f>
      </c>
      <c r="N2818" s="43">
        <f>IF($I2818=0,0,MIN(SUMIFS(SondBetrag,SondDarl,6,SondDatum,"&gt;="&amp;$E2818,SondDatum,"&lt;="&amp;EOMONTH($E2818,0)),$J2818-$M2818))</f>
      </c>
      <c r="O2818" s="43">
        <f>IF($I2818=0,0,INDEX(DarlErsatzRate,6))</f>
      </c>
      <c r="P2818" s="43">
        <f>IF($I2818=0,0,$Q2817*INDEX(DarlErsatzZins,6))</f>
      </c>
      <c r="Q2818" s="43">
        <f>IF($I2818=0,0,$Q2817+$P2818+$O2818)</f>
      </c>
      <c r="R2818" s="43">
        <f>IF($I2818=0,0,$J2818-$M2818-$N2818)</f>
      </c>
    </row>
    <row r="2819">
      <c r="A2819"/>
      <c r="B2819">
        <v>6</v>
      </c>
      <c r="C2819" s="43">
        <f>INDEX(DarlObj,6)</f>
      </c>
      <c r="D2819">
        <v>416</v>
      </c>
      <c r="E2819" s="51">
        <f>IF(INDEX(DarlBelegt,6)=0,0,EOMONTH(INDEX(DarlAuszahlung,6),415)+1)</f>
      </c>
      <c r="F2819" s="43">
        <f>IF($E2819=0,0,YEAR($E2819))</f>
      </c>
      <c r="G2819" s="43">
        <f>IF(INDEX(DarlBindung,6)="",1,IF($E2819&lt;=INDEX(DarlBindung,6),1,0))</f>
      </c>
      <c r="H2819" s="43">
        <f>IF($G2819=1,INDEX(DarlSollzins,6),INDEX(DarlAnschluss,6))</f>
      </c>
      <c r="I2819" s="43">
        <f>IF(INDEX(DarlBelegt,6)=0,0,IF(INDEX(DarlOhneTilgung,6)=1,IF(INDEX(DarlBindung,6)="",1,$G2819),IF($J2819&gt;0.005,1,0)))</f>
      </c>
      <c r="J2819" s="43">
        <f>IF($I2818=0,0,$R2818)</f>
      </c>
      <c r="K2819" s="43">
        <f>IF($I2819=0,0,IF(INDEX(DarlOhneTilgung,6)=1,0,IF(AND(INDEX(DarlTilgStart,6)&gt;0,$E2819=INDEX(DarlTilgStart,6)),$J2819*($H2819+INDEX(DarlTilgung,6))/100/12,IF(AND($G2819=0,$G2818=1),MAX($K2818,$J2819*($H2819+1)/100/12),$K2818))))</f>
      </c>
      <c r="L2819" s="43">
        <f>IF($I2819=0,0,$J2819*$H2819/100/12)</f>
      </c>
      <c r="M2819" s="43">
        <f>IF($I2819=0,0,IF(OR(INDEX(DarlOhneTilgung,6)=1,AND(INDEX(DarlTilgStart,6)&gt;0,$E2819&lt;INDEX(DarlTilgStart,6))),0,MIN(MAX(0,$K2819-$L2819),$J2819)))</f>
      </c>
      <c r="N2819" s="43">
        <f>IF($I2819=0,0,MIN(SUMIFS(SondBetrag,SondDarl,6,SondDatum,"&gt;="&amp;$E2819,SondDatum,"&lt;="&amp;EOMONTH($E2819,0)),$J2819-$M2819))</f>
      </c>
      <c r="O2819" s="43">
        <f>IF($I2819=0,0,INDEX(DarlErsatzRate,6))</f>
      </c>
      <c r="P2819" s="43">
        <f>IF($I2819=0,0,$Q2818*INDEX(DarlErsatzZins,6))</f>
      </c>
      <c r="Q2819" s="43">
        <f>IF($I2819=0,0,$Q2818+$P2819+$O2819)</f>
      </c>
      <c r="R2819" s="43">
        <f>IF($I2819=0,0,$J2819-$M2819-$N2819)</f>
      </c>
    </row>
    <row r="2820">
      <c r="A2820"/>
      <c r="B2820">
        <v>6</v>
      </c>
      <c r="C2820" s="43">
        <f>INDEX(DarlObj,6)</f>
      </c>
      <c r="D2820">
        <v>417</v>
      </c>
      <c r="E2820" s="51">
        <f>IF(INDEX(DarlBelegt,6)=0,0,EOMONTH(INDEX(DarlAuszahlung,6),416)+1)</f>
      </c>
      <c r="F2820" s="43">
        <f>IF($E2820=0,0,YEAR($E2820))</f>
      </c>
      <c r="G2820" s="43">
        <f>IF(INDEX(DarlBindung,6)="",1,IF($E2820&lt;=INDEX(DarlBindung,6),1,0))</f>
      </c>
      <c r="H2820" s="43">
        <f>IF($G2820=1,INDEX(DarlSollzins,6),INDEX(DarlAnschluss,6))</f>
      </c>
      <c r="I2820" s="43">
        <f>IF(INDEX(DarlBelegt,6)=0,0,IF(INDEX(DarlOhneTilgung,6)=1,IF(INDEX(DarlBindung,6)="",1,$G2820),IF($J2820&gt;0.005,1,0)))</f>
      </c>
      <c r="J2820" s="43">
        <f>IF($I2819=0,0,$R2819)</f>
      </c>
      <c r="K2820" s="43">
        <f>IF($I2820=0,0,IF(INDEX(DarlOhneTilgung,6)=1,0,IF(AND(INDEX(DarlTilgStart,6)&gt;0,$E2820=INDEX(DarlTilgStart,6)),$J2820*($H2820+INDEX(DarlTilgung,6))/100/12,IF(AND($G2820=0,$G2819=1),MAX($K2819,$J2820*($H2820+1)/100/12),$K2819))))</f>
      </c>
      <c r="L2820" s="43">
        <f>IF($I2820=0,0,$J2820*$H2820/100/12)</f>
      </c>
      <c r="M2820" s="43">
        <f>IF($I2820=0,0,IF(OR(INDEX(DarlOhneTilgung,6)=1,AND(INDEX(DarlTilgStart,6)&gt;0,$E2820&lt;INDEX(DarlTilgStart,6))),0,MIN(MAX(0,$K2820-$L2820),$J2820)))</f>
      </c>
      <c r="N2820" s="43">
        <f>IF($I2820=0,0,MIN(SUMIFS(SondBetrag,SondDarl,6,SondDatum,"&gt;="&amp;$E2820,SondDatum,"&lt;="&amp;EOMONTH($E2820,0)),$J2820-$M2820))</f>
      </c>
      <c r="O2820" s="43">
        <f>IF($I2820=0,0,INDEX(DarlErsatzRate,6))</f>
      </c>
      <c r="P2820" s="43">
        <f>IF($I2820=0,0,$Q2819*INDEX(DarlErsatzZins,6))</f>
      </c>
      <c r="Q2820" s="43">
        <f>IF($I2820=0,0,$Q2819+$P2820+$O2820)</f>
      </c>
      <c r="R2820" s="43">
        <f>IF($I2820=0,0,$J2820-$M2820-$N2820)</f>
      </c>
    </row>
    <row r="2821">
      <c r="A2821"/>
      <c r="B2821">
        <v>6</v>
      </c>
      <c r="C2821" s="43">
        <f>INDEX(DarlObj,6)</f>
      </c>
      <c r="D2821">
        <v>418</v>
      </c>
      <c r="E2821" s="51">
        <f>IF(INDEX(DarlBelegt,6)=0,0,EOMONTH(INDEX(DarlAuszahlung,6),417)+1)</f>
      </c>
      <c r="F2821" s="43">
        <f>IF($E2821=0,0,YEAR($E2821))</f>
      </c>
      <c r="G2821" s="43">
        <f>IF(INDEX(DarlBindung,6)="",1,IF($E2821&lt;=INDEX(DarlBindung,6),1,0))</f>
      </c>
      <c r="H2821" s="43">
        <f>IF($G2821=1,INDEX(DarlSollzins,6),INDEX(DarlAnschluss,6))</f>
      </c>
      <c r="I2821" s="43">
        <f>IF(INDEX(DarlBelegt,6)=0,0,IF(INDEX(DarlOhneTilgung,6)=1,IF(INDEX(DarlBindung,6)="",1,$G2821),IF($J2821&gt;0.005,1,0)))</f>
      </c>
      <c r="J2821" s="43">
        <f>IF($I2820=0,0,$R2820)</f>
      </c>
      <c r="K2821" s="43">
        <f>IF($I2821=0,0,IF(INDEX(DarlOhneTilgung,6)=1,0,IF(AND(INDEX(DarlTilgStart,6)&gt;0,$E2821=INDEX(DarlTilgStart,6)),$J2821*($H2821+INDEX(DarlTilgung,6))/100/12,IF(AND($G2821=0,$G2820=1),MAX($K2820,$J2821*($H2821+1)/100/12),$K2820))))</f>
      </c>
      <c r="L2821" s="43">
        <f>IF($I2821=0,0,$J2821*$H2821/100/12)</f>
      </c>
      <c r="M2821" s="43">
        <f>IF($I2821=0,0,IF(OR(INDEX(DarlOhneTilgung,6)=1,AND(INDEX(DarlTilgStart,6)&gt;0,$E2821&lt;INDEX(DarlTilgStart,6))),0,MIN(MAX(0,$K2821-$L2821),$J2821)))</f>
      </c>
      <c r="N2821" s="43">
        <f>IF($I2821=0,0,MIN(SUMIFS(SondBetrag,SondDarl,6,SondDatum,"&gt;="&amp;$E2821,SondDatum,"&lt;="&amp;EOMONTH($E2821,0)),$J2821-$M2821))</f>
      </c>
      <c r="O2821" s="43">
        <f>IF($I2821=0,0,INDEX(DarlErsatzRate,6))</f>
      </c>
      <c r="P2821" s="43">
        <f>IF($I2821=0,0,$Q2820*INDEX(DarlErsatzZins,6))</f>
      </c>
      <c r="Q2821" s="43">
        <f>IF($I2821=0,0,$Q2820+$P2821+$O2821)</f>
      </c>
      <c r="R2821" s="43">
        <f>IF($I2821=0,0,$J2821-$M2821-$N2821)</f>
      </c>
    </row>
    <row r="2822">
      <c r="A2822"/>
      <c r="B2822">
        <v>6</v>
      </c>
      <c r="C2822" s="43">
        <f>INDEX(DarlObj,6)</f>
      </c>
      <c r="D2822">
        <v>419</v>
      </c>
      <c r="E2822" s="51">
        <f>IF(INDEX(DarlBelegt,6)=0,0,EOMONTH(INDEX(DarlAuszahlung,6),418)+1)</f>
      </c>
      <c r="F2822" s="43">
        <f>IF($E2822=0,0,YEAR($E2822))</f>
      </c>
      <c r="G2822" s="43">
        <f>IF(INDEX(DarlBindung,6)="",1,IF($E2822&lt;=INDEX(DarlBindung,6),1,0))</f>
      </c>
      <c r="H2822" s="43">
        <f>IF($G2822=1,INDEX(DarlSollzins,6),INDEX(DarlAnschluss,6))</f>
      </c>
      <c r="I2822" s="43">
        <f>IF(INDEX(DarlBelegt,6)=0,0,IF(INDEX(DarlOhneTilgung,6)=1,IF(INDEX(DarlBindung,6)="",1,$G2822),IF($J2822&gt;0.005,1,0)))</f>
      </c>
      <c r="J2822" s="43">
        <f>IF($I2821=0,0,$R2821)</f>
      </c>
      <c r="K2822" s="43">
        <f>IF($I2822=0,0,IF(INDEX(DarlOhneTilgung,6)=1,0,IF(AND(INDEX(DarlTilgStart,6)&gt;0,$E2822=INDEX(DarlTilgStart,6)),$J2822*($H2822+INDEX(DarlTilgung,6))/100/12,IF(AND($G2822=0,$G2821=1),MAX($K2821,$J2822*($H2822+1)/100/12),$K2821))))</f>
      </c>
      <c r="L2822" s="43">
        <f>IF($I2822=0,0,$J2822*$H2822/100/12)</f>
      </c>
      <c r="M2822" s="43">
        <f>IF($I2822=0,0,IF(OR(INDEX(DarlOhneTilgung,6)=1,AND(INDEX(DarlTilgStart,6)&gt;0,$E2822&lt;INDEX(DarlTilgStart,6))),0,MIN(MAX(0,$K2822-$L2822),$J2822)))</f>
      </c>
      <c r="N2822" s="43">
        <f>IF($I2822=0,0,MIN(SUMIFS(SondBetrag,SondDarl,6,SondDatum,"&gt;="&amp;$E2822,SondDatum,"&lt;="&amp;EOMONTH($E2822,0)),$J2822-$M2822))</f>
      </c>
      <c r="O2822" s="43">
        <f>IF($I2822=0,0,INDEX(DarlErsatzRate,6))</f>
      </c>
      <c r="P2822" s="43">
        <f>IF($I2822=0,0,$Q2821*INDEX(DarlErsatzZins,6))</f>
      </c>
      <c r="Q2822" s="43">
        <f>IF($I2822=0,0,$Q2821+$P2822+$O2822)</f>
      </c>
      <c r="R2822" s="43">
        <f>IF($I2822=0,0,$J2822-$M2822-$N2822)</f>
      </c>
    </row>
    <row r="2823">
      <c r="A2823"/>
      <c r="B2823">
        <v>6</v>
      </c>
      <c r="C2823" s="43">
        <f>INDEX(DarlObj,6)</f>
      </c>
      <c r="D2823">
        <v>420</v>
      </c>
      <c r="E2823" s="51">
        <f>IF(INDEX(DarlBelegt,6)=0,0,EOMONTH(INDEX(DarlAuszahlung,6),419)+1)</f>
      </c>
      <c r="F2823" s="43">
        <f>IF($E2823=0,0,YEAR($E2823))</f>
      </c>
      <c r="G2823" s="43">
        <f>IF(INDEX(DarlBindung,6)="",1,IF($E2823&lt;=INDEX(DarlBindung,6),1,0))</f>
      </c>
      <c r="H2823" s="43">
        <f>IF($G2823=1,INDEX(DarlSollzins,6),INDEX(DarlAnschluss,6))</f>
      </c>
      <c r="I2823" s="43">
        <f>IF(INDEX(DarlBelegt,6)=0,0,IF(INDEX(DarlOhneTilgung,6)=1,IF(INDEX(DarlBindung,6)="",1,$G2823),IF($J2823&gt;0.005,1,0)))</f>
      </c>
      <c r="J2823" s="43">
        <f>IF($I2822=0,0,$R2822)</f>
      </c>
      <c r="K2823" s="43">
        <f>IF($I2823=0,0,IF(INDEX(DarlOhneTilgung,6)=1,0,IF(AND(INDEX(DarlTilgStart,6)&gt;0,$E2823=INDEX(DarlTilgStart,6)),$J2823*($H2823+INDEX(DarlTilgung,6))/100/12,IF(AND($G2823=0,$G2822=1),MAX($K2822,$J2823*($H2823+1)/100/12),$K2822))))</f>
      </c>
      <c r="L2823" s="43">
        <f>IF($I2823=0,0,$J2823*$H2823/100/12)</f>
      </c>
      <c r="M2823" s="43">
        <f>IF($I2823=0,0,IF(OR(INDEX(DarlOhneTilgung,6)=1,AND(INDEX(DarlTilgStart,6)&gt;0,$E2823&lt;INDEX(DarlTilgStart,6))),0,MIN(MAX(0,$K2823-$L2823),$J2823)))</f>
      </c>
      <c r="N2823" s="43">
        <f>IF($I2823=0,0,MIN(SUMIFS(SondBetrag,SondDarl,6,SondDatum,"&gt;="&amp;$E2823,SondDatum,"&lt;="&amp;EOMONTH($E2823,0)),$J2823-$M2823))</f>
      </c>
      <c r="O2823" s="43">
        <f>IF($I2823=0,0,INDEX(DarlErsatzRate,6))</f>
      </c>
      <c r="P2823" s="43">
        <f>IF($I2823=0,0,$Q2822*INDEX(DarlErsatzZins,6))</f>
      </c>
      <c r="Q2823" s="43">
        <f>IF($I2823=0,0,$Q2822+$P2823+$O2823)</f>
      </c>
      <c r="R2823" s="43">
        <f>IF($I2823=0,0,$J2823-$M2823-$N2823)</f>
      </c>
    </row>
    <row r="2824">
      <c r="A2824"/>
      <c r="B2824">
        <v>6</v>
      </c>
      <c r="C2824" s="43">
        <f>INDEX(DarlObj,6)</f>
      </c>
      <c r="D2824">
        <v>421</v>
      </c>
      <c r="E2824" s="51">
        <f>IF(INDEX(DarlBelegt,6)=0,0,EOMONTH(INDEX(DarlAuszahlung,6),420)+1)</f>
      </c>
      <c r="F2824" s="43">
        <f>IF($E2824=0,0,YEAR($E2824))</f>
      </c>
      <c r="G2824" s="43">
        <f>IF(INDEX(DarlBindung,6)="",1,IF($E2824&lt;=INDEX(DarlBindung,6),1,0))</f>
      </c>
      <c r="H2824" s="43">
        <f>IF($G2824=1,INDEX(DarlSollzins,6),INDEX(DarlAnschluss,6))</f>
      </c>
      <c r="I2824" s="43">
        <f>IF(INDEX(DarlBelegt,6)=0,0,IF(INDEX(DarlOhneTilgung,6)=1,IF(INDEX(DarlBindung,6)="",1,$G2824),IF($J2824&gt;0.005,1,0)))</f>
      </c>
      <c r="J2824" s="43">
        <f>IF($I2823=0,0,$R2823)</f>
      </c>
      <c r="K2824" s="43">
        <f>IF($I2824=0,0,IF(INDEX(DarlOhneTilgung,6)=1,0,IF(AND(INDEX(DarlTilgStart,6)&gt;0,$E2824=INDEX(DarlTilgStart,6)),$J2824*($H2824+INDEX(DarlTilgung,6))/100/12,IF(AND($G2824=0,$G2823=1),MAX($K2823,$J2824*($H2824+1)/100/12),$K2823))))</f>
      </c>
      <c r="L2824" s="43">
        <f>IF($I2824=0,0,$J2824*$H2824/100/12)</f>
      </c>
      <c r="M2824" s="43">
        <f>IF($I2824=0,0,IF(OR(INDEX(DarlOhneTilgung,6)=1,AND(INDEX(DarlTilgStart,6)&gt;0,$E2824&lt;INDEX(DarlTilgStart,6))),0,MIN(MAX(0,$K2824-$L2824),$J2824)))</f>
      </c>
      <c r="N2824" s="43">
        <f>IF($I2824=0,0,MIN(SUMIFS(SondBetrag,SondDarl,6,SondDatum,"&gt;="&amp;$E2824,SondDatum,"&lt;="&amp;EOMONTH($E2824,0)),$J2824-$M2824))</f>
      </c>
      <c r="O2824" s="43">
        <f>IF($I2824=0,0,INDEX(DarlErsatzRate,6))</f>
      </c>
      <c r="P2824" s="43">
        <f>IF($I2824=0,0,$Q2823*INDEX(DarlErsatzZins,6))</f>
      </c>
      <c r="Q2824" s="43">
        <f>IF($I2824=0,0,$Q2823+$P2824+$O2824)</f>
      </c>
      <c r="R2824" s="43">
        <f>IF($I2824=0,0,$J2824-$M2824-$N2824)</f>
      </c>
    </row>
    <row r="2825">
      <c r="A2825"/>
      <c r="B2825">
        <v>6</v>
      </c>
      <c r="C2825" s="43">
        <f>INDEX(DarlObj,6)</f>
      </c>
      <c r="D2825">
        <v>422</v>
      </c>
      <c r="E2825" s="51">
        <f>IF(INDEX(DarlBelegt,6)=0,0,EOMONTH(INDEX(DarlAuszahlung,6),421)+1)</f>
      </c>
      <c r="F2825" s="43">
        <f>IF($E2825=0,0,YEAR($E2825))</f>
      </c>
      <c r="G2825" s="43">
        <f>IF(INDEX(DarlBindung,6)="",1,IF($E2825&lt;=INDEX(DarlBindung,6),1,0))</f>
      </c>
      <c r="H2825" s="43">
        <f>IF($G2825=1,INDEX(DarlSollzins,6),INDEX(DarlAnschluss,6))</f>
      </c>
      <c r="I2825" s="43">
        <f>IF(INDEX(DarlBelegt,6)=0,0,IF(INDEX(DarlOhneTilgung,6)=1,IF(INDEX(DarlBindung,6)="",1,$G2825),IF($J2825&gt;0.005,1,0)))</f>
      </c>
      <c r="J2825" s="43">
        <f>IF($I2824=0,0,$R2824)</f>
      </c>
      <c r="K2825" s="43">
        <f>IF($I2825=0,0,IF(INDEX(DarlOhneTilgung,6)=1,0,IF(AND(INDEX(DarlTilgStart,6)&gt;0,$E2825=INDEX(DarlTilgStart,6)),$J2825*($H2825+INDEX(DarlTilgung,6))/100/12,IF(AND($G2825=0,$G2824=1),MAX($K2824,$J2825*($H2825+1)/100/12),$K2824))))</f>
      </c>
      <c r="L2825" s="43">
        <f>IF($I2825=0,0,$J2825*$H2825/100/12)</f>
      </c>
      <c r="M2825" s="43">
        <f>IF($I2825=0,0,IF(OR(INDEX(DarlOhneTilgung,6)=1,AND(INDEX(DarlTilgStart,6)&gt;0,$E2825&lt;INDEX(DarlTilgStart,6))),0,MIN(MAX(0,$K2825-$L2825),$J2825)))</f>
      </c>
      <c r="N2825" s="43">
        <f>IF($I2825=0,0,MIN(SUMIFS(SondBetrag,SondDarl,6,SondDatum,"&gt;="&amp;$E2825,SondDatum,"&lt;="&amp;EOMONTH($E2825,0)),$J2825-$M2825))</f>
      </c>
      <c r="O2825" s="43">
        <f>IF($I2825=0,0,INDEX(DarlErsatzRate,6))</f>
      </c>
      <c r="P2825" s="43">
        <f>IF($I2825=0,0,$Q2824*INDEX(DarlErsatzZins,6))</f>
      </c>
      <c r="Q2825" s="43">
        <f>IF($I2825=0,0,$Q2824+$P2825+$O2825)</f>
      </c>
      <c r="R2825" s="43">
        <f>IF($I2825=0,0,$J2825-$M2825-$N2825)</f>
      </c>
    </row>
    <row r="2826">
      <c r="A2826"/>
      <c r="B2826">
        <v>6</v>
      </c>
      <c r="C2826" s="43">
        <f>INDEX(DarlObj,6)</f>
      </c>
      <c r="D2826">
        <v>423</v>
      </c>
      <c r="E2826" s="51">
        <f>IF(INDEX(DarlBelegt,6)=0,0,EOMONTH(INDEX(DarlAuszahlung,6),422)+1)</f>
      </c>
      <c r="F2826" s="43">
        <f>IF($E2826=0,0,YEAR($E2826))</f>
      </c>
      <c r="G2826" s="43">
        <f>IF(INDEX(DarlBindung,6)="",1,IF($E2826&lt;=INDEX(DarlBindung,6),1,0))</f>
      </c>
      <c r="H2826" s="43">
        <f>IF($G2826=1,INDEX(DarlSollzins,6),INDEX(DarlAnschluss,6))</f>
      </c>
      <c r="I2826" s="43">
        <f>IF(INDEX(DarlBelegt,6)=0,0,IF(INDEX(DarlOhneTilgung,6)=1,IF(INDEX(DarlBindung,6)="",1,$G2826),IF($J2826&gt;0.005,1,0)))</f>
      </c>
      <c r="J2826" s="43">
        <f>IF($I2825=0,0,$R2825)</f>
      </c>
      <c r="K2826" s="43">
        <f>IF($I2826=0,0,IF(INDEX(DarlOhneTilgung,6)=1,0,IF(AND(INDEX(DarlTilgStart,6)&gt;0,$E2826=INDEX(DarlTilgStart,6)),$J2826*($H2826+INDEX(DarlTilgung,6))/100/12,IF(AND($G2826=0,$G2825=1),MAX($K2825,$J2826*($H2826+1)/100/12),$K2825))))</f>
      </c>
      <c r="L2826" s="43">
        <f>IF($I2826=0,0,$J2826*$H2826/100/12)</f>
      </c>
      <c r="M2826" s="43">
        <f>IF($I2826=0,0,IF(OR(INDEX(DarlOhneTilgung,6)=1,AND(INDEX(DarlTilgStart,6)&gt;0,$E2826&lt;INDEX(DarlTilgStart,6))),0,MIN(MAX(0,$K2826-$L2826),$J2826)))</f>
      </c>
      <c r="N2826" s="43">
        <f>IF($I2826=0,0,MIN(SUMIFS(SondBetrag,SondDarl,6,SondDatum,"&gt;="&amp;$E2826,SondDatum,"&lt;="&amp;EOMONTH($E2826,0)),$J2826-$M2826))</f>
      </c>
      <c r="O2826" s="43">
        <f>IF($I2826=0,0,INDEX(DarlErsatzRate,6))</f>
      </c>
      <c r="P2826" s="43">
        <f>IF($I2826=0,0,$Q2825*INDEX(DarlErsatzZins,6))</f>
      </c>
      <c r="Q2826" s="43">
        <f>IF($I2826=0,0,$Q2825+$P2826+$O2826)</f>
      </c>
      <c r="R2826" s="43">
        <f>IF($I2826=0,0,$J2826-$M2826-$N2826)</f>
      </c>
    </row>
    <row r="2827">
      <c r="A2827"/>
      <c r="B2827">
        <v>6</v>
      </c>
      <c r="C2827" s="43">
        <f>INDEX(DarlObj,6)</f>
      </c>
      <c r="D2827">
        <v>424</v>
      </c>
      <c r="E2827" s="51">
        <f>IF(INDEX(DarlBelegt,6)=0,0,EOMONTH(INDEX(DarlAuszahlung,6),423)+1)</f>
      </c>
      <c r="F2827" s="43">
        <f>IF($E2827=0,0,YEAR($E2827))</f>
      </c>
      <c r="G2827" s="43">
        <f>IF(INDEX(DarlBindung,6)="",1,IF($E2827&lt;=INDEX(DarlBindung,6),1,0))</f>
      </c>
      <c r="H2827" s="43">
        <f>IF($G2827=1,INDEX(DarlSollzins,6),INDEX(DarlAnschluss,6))</f>
      </c>
      <c r="I2827" s="43">
        <f>IF(INDEX(DarlBelegt,6)=0,0,IF(INDEX(DarlOhneTilgung,6)=1,IF(INDEX(DarlBindung,6)="",1,$G2827),IF($J2827&gt;0.005,1,0)))</f>
      </c>
      <c r="J2827" s="43">
        <f>IF($I2826=0,0,$R2826)</f>
      </c>
      <c r="K2827" s="43">
        <f>IF($I2827=0,0,IF(INDEX(DarlOhneTilgung,6)=1,0,IF(AND(INDEX(DarlTilgStart,6)&gt;0,$E2827=INDEX(DarlTilgStart,6)),$J2827*($H2827+INDEX(DarlTilgung,6))/100/12,IF(AND($G2827=0,$G2826=1),MAX($K2826,$J2827*($H2827+1)/100/12),$K2826))))</f>
      </c>
      <c r="L2827" s="43">
        <f>IF($I2827=0,0,$J2827*$H2827/100/12)</f>
      </c>
      <c r="M2827" s="43">
        <f>IF($I2827=0,0,IF(OR(INDEX(DarlOhneTilgung,6)=1,AND(INDEX(DarlTilgStart,6)&gt;0,$E2827&lt;INDEX(DarlTilgStart,6))),0,MIN(MAX(0,$K2827-$L2827),$J2827)))</f>
      </c>
      <c r="N2827" s="43">
        <f>IF($I2827=0,0,MIN(SUMIFS(SondBetrag,SondDarl,6,SondDatum,"&gt;="&amp;$E2827,SondDatum,"&lt;="&amp;EOMONTH($E2827,0)),$J2827-$M2827))</f>
      </c>
      <c r="O2827" s="43">
        <f>IF($I2827=0,0,INDEX(DarlErsatzRate,6))</f>
      </c>
      <c r="P2827" s="43">
        <f>IF($I2827=0,0,$Q2826*INDEX(DarlErsatzZins,6))</f>
      </c>
      <c r="Q2827" s="43">
        <f>IF($I2827=0,0,$Q2826+$P2827+$O2827)</f>
      </c>
      <c r="R2827" s="43">
        <f>IF($I2827=0,0,$J2827-$M2827-$N2827)</f>
      </c>
    </row>
    <row r="2828">
      <c r="A2828"/>
      <c r="B2828">
        <v>6</v>
      </c>
      <c r="C2828" s="43">
        <f>INDEX(DarlObj,6)</f>
      </c>
      <c r="D2828">
        <v>425</v>
      </c>
      <c r="E2828" s="51">
        <f>IF(INDEX(DarlBelegt,6)=0,0,EOMONTH(INDEX(DarlAuszahlung,6),424)+1)</f>
      </c>
      <c r="F2828" s="43">
        <f>IF($E2828=0,0,YEAR($E2828))</f>
      </c>
      <c r="G2828" s="43">
        <f>IF(INDEX(DarlBindung,6)="",1,IF($E2828&lt;=INDEX(DarlBindung,6),1,0))</f>
      </c>
      <c r="H2828" s="43">
        <f>IF($G2828=1,INDEX(DarlSollzins,6),INDEX(DarlAnschluss,6))</f>
      </c>
      <c r="I2828" s="43">
        <f>IF(INDEX(DarlBelegt,6)=0,0,IF(INDEX(DarlOhneTilgung,6)=1,IF(INDEX(DarlBindung,6)="",1,$G2828),IF($J2828&gt;0.005,1,0)))</f>
      </c>
      <c r="J2828" s="43">
        <f>IF($I2827=0,0,$R2827)</f>
      </c>
      <c r="K2828" s="43">
        <f>IF($I2828=0,0,IF(INDEX(DarlOhneTilgung,6)=1,0,IF(AND(INDEX(DarlTilgStart,6)&gt;0,$E2828=INDEX(DarlTilgStart,6)),$J2828*($H2828+INDEX(DarlTilgung,6))/100/12,IF(AND($G2828=0,$G2827=1),MAX($K2827,$J2828*($H2828+1)/100/12),$K2827))))</f>
      </c>
      <c r="L2828" s="43">
        <f>IF($I2828=0,0,$J2828*$H2828/100/12)</f>
      </c>
      <c r="M2828" s="43">
        <f>IF($I2828=0,0,IF(OR(INDEX(DarlOhneTilgung,6)=1,AND(INDEX(DarlTilgStart,6)&gt;0,$E2828&lt;INDEX(DarlTilgStart,6))),0,MIN(MAX(0,$K2828-$L2828),$J2828)))</f>
      </c>
      <c r="N2828" s="43">
        <f>IF($I2828=0,0,MIN(SUMIFS(SondBetrag,SondDarl,6,SondDatum,"&gt;="&amp;$E2828,SondDatum,"&lt;="&amp;EOMONTH($E2828,0)),$J2828-$M2828))</f>
      </c>
      <c r="O2828" s="43">
        <f>IF($I2828=0,0,INDEX(DarlErsatzRate,6))</f>
      </c>
      <c r="P2828" s="43">
        <f>IF($I2828=0,0,$Q2827*INDEX(DarlErsatzZins,6))</f>
      </c>
      <c r="Q2828" s="43">
        <f>IF($I2828=0,0,$Q2827+$P2828+$O2828)</f>
      </c>
      <c r="R2828" s="43">
        <f>IF($I2828=0,0,$J2828-$M2828-$N2828)</f>
      </c>
    </row>
    <row r="2829">
      <c r="A2829"/>
      <c r="B2829">
        <v>6</v>
      </c>
      <c r="C2829" s="43">
        <f>INDEX(DarlObj,6)</f>
      </c>
      <c r="D2829">
        <v>426</v>
      </c>
      <c r="E2829" s="51">
        <f>IF(INDEX(DarlBelegt,6)=0,0,EOMONTH(INDEX(DarlAuszahlung,6),425)+1)</f>
      </c>
      <c r="F2829" s="43">
        <f>IF($E2829=0,0,YEAR($E2829))</f>
      </c>
      <c r="G2829" s="43">
        <f>IF(INDEX(DarlBindung,6)="",1,IF($E2829&lt;=INDEX(DarlBindung,6),1,0))</f>
      </c>
      <c r="H2829" s="43">
        <f>IF($G2829=1,INDEX(DarlSollzins,6),INDEX(DarlAnschluss,6))</f>
      </c>
      <c r="I2829" s="43">
        <f>IF(INDEX(DarlBelegt,6)=0,0,IF(INDEX(DarlOhneTilgung,6)=1,IF(INDEX(DarlBindung,6)="",1,$G2829),IF($J2829&gt;0.005,1,0)))</f>
      </c>
      <c r="J2829" s="43">
        <f>IF($I2828=0,0,$R2828)</f>
      </c>
      <c r="K2829" s="43">
        <f>IF($I2829=0,0,IF(INDEX(DarlOhneTilgung,6)=1,0,IF(AND(INDEX(DarlTilgStart,6)&gt;0,$E2829=INDEX(DarlTilgStart,6)),$J2829*($H2829+INDEX(DarlTilgung,6))/100/12,IF(AND($G2829=0,$G2828=1),MAX($K2828,$J2829*($H2829+1)/100/12),$K2828))))</f>
      </c>
      <c r="L2829" s="43">
        <f>IF($I2829=0,0,$J2829*$H2829/100/12)</f>
      </c>
      <c r="M2829" s="43">
        <f>IF($I2829=0,0,IF(OR(INDEX(DarlOhneTilgung,6)=1,AND(INDEX(DarlTilgStart,6)&gt;0,$E2829&lt;INDEX(DarlTilgStart,6))),0,MIN(MAX(0,$K2829-$L2829),$J2829)))</f>
      </c>
      <c r="N2829" s="43">
        <f>IF($I2829=0,0,MIN(SUMIFS(SondBetrag,SondDarl,6,SondDatum,"&gt;="&amp;$E2829,SondDatum,"&lt;="&amp;EOMONTH($E2829,0)),$J2829-$M2829))</f>
      </c>
      <c r="O2829" s="43">
        <f>IF($I2829=0,0,INDEX(DarlErsatzRate,6))</f>
      </c>
      <c r="P2829" s="43">
        <f>IF($I2829=0,0,$Q2828*INDEX(DarlErsatzZins,6))</f>
      </c>
      <c r="Q2829" s="43">
        <f>IF($I2829=0,0,$Q2828+$P2829+$O2829)</f>
      </c>
      <c r="R2829" s="43">
        <f>IF($I2829=0,0,$J2829-$M2829-$N2829)</f>
      </c>
    </row>
    <row r="2830">
      <c r="A2830"/>
      <c r="B2830">
        <v>6</v>
      </c>
      <c r="C2830" s="43">
        <f>INDEX(DarlObj,6)</f>
      </c>
      <c r="D2830">
        <v>427</v>
      </c>
      <c r="E2830" s="51">
        <f>IF(INDEX(DarlBelegt,6)=0,0,EOMONTH(INDEX(DarlAuszahlung,6),426)+1)</f>
      </c>
      <c r="F2830" s="43">
        <f>IF($E2830=0,0,YEAR($E2830))</f>
      </c>
      <c r="G2830" s="43">
        <f>IF(INDEX(DarlBindung,6)="",1,IF($E2830&lt;=INDEX(DarlBindung,6),1,0))</f>
      </c>
      <c r="H2830" s="43">
        <f>IF($G2830=1,INDEX(DarlSollzins,6),INDEX(DarlAnschluss,6))</f>
      </c>
      <c r="I2830" s="43">
        <f>IF(INDEX(DarlBelegt,6)=0,0,IF(INDEX(DarlOhneTilgung,6)=1,IF(INDEX(DarlBindung,6)="",1,$G2830),IF($J2830&gt;0.005,1,0)))</f>
      </c>
      <c r="J2830" s="43">
        <f>IF($I2829=0,0,$R2829)</f>
      </c>
      <c r="K2830" s="43">
        <f>IF($I2830=0,0,IF(INDEX(DarlOhneTilgung,6)=1,0,IF(AND(INDEX(DarlTilgStart,6)&gt;0,$E2830=INDEX(DarlTilgStart,6)),$J2830*($H2830+INDEX(DarlTilgung,6))/100/12,IF(AND($G2830=0,$G2829=1),MAX($K2829,$J2830*($H2830+1)/100/12),$K2829))))</f>
      </c>
      <c r="L2830" s="43">
        <f>IF($I2830=0,0,$J2830*$H2830/100/12)</f>
      </c>
      <c r="M2830" s="43">
        <f>IF($I2830=0,0,IF(OR(INDEX(DarlOhneTilgung,6)=1,AND(INDEX(DarlTilgStart,6)&gt;0,$E2830&lt;INDEX(DarlTilgStart,6))),0,MIN(MAX(0,$K2830-$L2830),$J2830)))</f>
      </c>
      <c r="N2830" s="43">
        <f>IF($I2830=0,0,MIN(SUMIFS(SondBetrag,SondDarl,6,SondDatum,"&gt;="&amp;$E2830,SondDatum,"&lt;="&amp;EOMONTH($E2830,0)),$J2830-$M2830))</f>
      </c>
      <c r="O2830" s="43">
        <f>IF($I2830=0,0,INDEX(DarlErsatzRate,6))</f>
      </c>
      <c r="P2830" s="43">
        <f>IF($I2830=0,0,$Q2829*INDEX(DarlErsatzZins,6))</f>
      </c>
      <c r="Q2830" s="43">
        <f>IF($I2830=0,0,$Q2829+$P2830+$O2830)</f>
      </c>
      <c r="R2830" s="43">
        <f>IF($I2830=0,0,$J2830-$M2830-$N2830)</f>
      </c>
    </row>
    <row r="2831">
      <c r="A2831"/>
      <c r="B2831">
        <v>6</v>
      </c>
      <c r="C2831" s="43">
        <f>INDEX(DarlObj,6)</f>
      </c>
      <c r="D2831">
        <v>428</v>
      </c>
      <c r="E2831" s="51">
        <f>IF(INDEX(DarlBelegt,6)=0,0,EOMONTH(INDEX(DarlAuszahlung,6),427)+1)</f>
      </c>
      <c r="F2831" s="43">
        <f>IF($E2831=0,0,YEAR($E2831))</f>
      </c>
      <c r="G2831" s="43">
        <f>IF(INDEX(DarlBindung,6)="",1,IF($E2831&lt;=INDEX(DarlBindung,6),1,0))</f>
      </c>
      <c r="H2831" s="43">
        <f>IF($G2831=1,INDEX(DarlSollzins,6),INDEX(DarlAnschluss,6))</f>
      </c>
      <c r="I2831" s="43">
        <f>IF(INDEX(DarlBelegt,6)=0,0,IF(INDEX(DarlOhneTilgung,6)=1,IF(INDEX(DarlBindung,6)="",1,$G2831),IF($J2831&gt;0.005,1,0)))</f>
      </c>
      <c r="J2831" s="43">
        <f>IF($I2830=0,0,$R2830)</f>
      </c>
      <c r="K2831" s="43">
        <f>IF($I2831=0,0,IF(INDEX(DarlOhneTilgung,6)=1,0,IF(AND(INDEX(DarlTilgStart,6)&gt;0,$E2831=INDEX(DarlTilgStart,6)),$J2831*($H2831+INDEX(DarlTilgung,6))/100/12,IF(AND($G2831=0,$G2830=1),MAX($K2830,$J2831*($H2831+1)/100/12),$K2830))))</f>
      </c>
      <c r="L2831" s="43">
        <f>IF($I2831=0,0,$J2831*$H2831/100/12)</f>
      </c>
      <c r="M2831" s="43">
        <f>IF($I2831=0,0,IF(OR(INDEX(DarlOhneTilgung,6)=1,AND(INDEX(DarlTilgStart,6)&gt;0,$E2831&lt;INDEX(DarlTilgStart,6))),0,MIN(MAX(0,$K2831-$L2831),$J2831)))</f>
      </c>
      <c r="N2831" s="43">
        <f>IF($I2831=0,0,MIN(SUMIFS(SondBetrag,SondDarl,6,SondDatum,"&gt;="&amp;$E2831,SondDatum,"&lt;="&amp;EOMONTH($E2831,0)),$J2831-$M2831))</f>
      </c>
      <c r="O2831" s="43">
        <f>IF($I2831=0,0,INDEX(DarlErsatzRate,6))</f>
      </c>
      <c r="P2831" s="43">
        <f>IF($I2831=0,0,$Q2830*INDEX(DarlErsatzZins,6))</f>
      </c>
      <c r="Q2831" s="43">
        <f>IF($I2831=0,0,$Q2830+$P2831+$O2831)</f>
      </c>
      <c r="R2831" s="43">
        <f>IF($I2831=0,0,$J2831-$M2831-$N2831)</f>
      </c>
    </row>
    <row r="2832">
      <c r="A2832"/>
      <c r="B2832">
        <v>6</v>
      </c>
      <c r="C2832" s="43">
        <f>INDEX(DarlObj,6)</f>
      </c>
      <c r="D2832">
        <v>429</v>
      </c>
      <c r="E2832" s="51">
        <f>IF(INDEX(DarlBelegt,6)=0,0,EOMONTH(INDEX(DarlAuszahlung,6),428)+1)</f>
      </c>
      <c r="F2832" s="43">
        <f>IF($E2832=0,0,YEAR($E2832))</f>
      </c>
      <c r="G2832" s="43">
        <f>IF(INDEX(DarlBindung,6)="",1,IF($E2832&lt;=INDEX(DarlBindung,6),1,0))</f>
      </c>
      <c r="H2832" s="43">
        <f>IF($G2832=1,INDEX(DarlSollzins,6),INDEX(DarlAnschluss,6))</f>
      </c>
      <c r="I2832" s="43">
        <f>IF(INDEX(DarlBelegt,6)=0,0,IF(INDEX(DarlOhneTilgung,6)=1,IF(INDEX(DarlBindung,6)="",1,$G2832),IF($J2832&gt;0.005,1,0)))</f>
      </c>
      <c r="J2832" s="43">
        <f>IF($I2831=0,0,$R2831)</f>
      </c>
      <c r="K2832" s="43">
        <f>IF($I2832=0,0,IF(INDEX(DarlOhneTilgung,6)=1,0,IF(AND(INDEX(DarlTilgStart,6)&gt;0,$E2832=INDEX(DarlTilgStart,6)),$J2832*($H2832+INDEX(DarlTilgung,6))/100/12,IF(AND($G2832=0,$G2831=1),MAX($K2831,$J2832*($H2832+1)/100/12),$K2831))))</f>
      </c>
      <c r="L2832" s="43">
        <f>IF($I2832=0,0,$J2832*$H2832/100/12)</f>
      </c>
      <c r="M2832" s="43">
        <f>IF($I2832=0,0,IF(OR(INDEX(DarlOhneTilgung,6)=1,AND(INDEX(DarlTilgStart,6)&gt;0,$E2832&lt;INDEX(DarlTilgStart,6))),0,MIN(MAX(0,$K2832-$L2832),$J2832)))</f>
      </c>
      <c r="N2832" s="43">
        <f>IF($I2832=0,0,MIN(SUMIFS(SondBetrag,SondDarl,6,SondDatum,"&gt;="&amp;$E2832,SondDatum,"&lt;="&amp;EOMONTH($E2832,0)),$J2832-$M2832))</f>
      </c>
      <c r="O2832" s="43">
        <f>IF($I2832=0,0,INDEX(DarlErsatzRate,6))</f>
      </c>
      <c r="P2832" s="43">
        <f>IF($I2832=0,0,$Q2831*INDEX(DarlErsatzZins,6))</f>
      </c>
      <c r="Q2832" s="43">
        <f>IF($I2832=0,0,$Q2831+$P2832+$O2832)</f>
      </c>
      <c r="R2832" s="43">
        <f>IF($I2832=0,0,$J2832-$M2832-$N2832)</f>
      </c>
    </row>
    <row r="2833">
      <c r="A2833"/>
      <c r="B2833">
        <v>6</v>
      </c>
      <c r="C2833" s="43">
        <f>INDEX(DarlObj,6)</f>
      </c>
      <c r="D2833">
        <v>430</v>
      </c>
      <c r="E2833" s="51">
        <f>IF(INDEX(DarlBelegt,6)=0,0,EOMONTH(INDEX(DarlAuszahlung,6),429)+1)</f>
      </c>
      <c r="F2833" s="43">
        <f>IF($E2833=0,0,YEAR($E2833))</f>
      </c>
      <c r="G2833" s="43">
        <f>IF(INDEX(DarlBindung,6)="",1,IF($E2833&lt;=INDEX(DarlBindung,6),1,0))</f>
      </c>
      <c r="H2833" s="43">
        <f>IF($G2833=1,INDEX(DarlSollzins,6),INDEX(DarlAnschluss,6))</f>
      </c>
      <c r="I2833" s="43">
        <f>IF(INDEX(DarlBelegt,6)=0,0,IF(INDEX(DarlOhneTilgung,6)=1,IF(INDEX(DarlBindung,6)="",1,$G2833),IF($J2833&gt;0.005,1,0)))</f>
      </c>
      <c r="J2833" s="43">
        <f>IF($I2832=0,0,$R2832)</f>
      </c>
      <c r="K2833" s="43">
        <f>IF($I2833=0,0,IF(INDEX(DarlOhneTilgung,6)=1,0,IF(AND(INDEX(DarlTilgStart,6)&gt;0,$E2833=INDEX(DarlTilgStart,6)),$J2833*($H2833+INDEX(DarlTilgung,6))/100/12,IF(AND($G2833=0,$G2832=1),MAX($K2832,$J2833*($H2833+1)/100/12),$K2832))))</f>
      </c>
      <c r="L2833" s="43">
        <f>IF($I2833=0,0,$J2833*$H2833/100/12)</f>
      </c>
      <c r="M2833" s="43">
        <f>IF($I2833=0,0,IF(OR(INDEX(DarlOhneTilgung,6)=1,AND(INDEX(DarlTilgStart,6)&gt;0,$E2833&lt;INDEX(DarlTilgStart,6))),0,MIN(MAX(0,$K2833-$L2833),$J2833)))</f>
      </c>
      <c r="N2833" s="43">
        <f>IF($I2833=0,0,MIN(SUMIFS(SondBetrag,SondDarl,6,SondDatum,"&gt;="&amp;$E2833,SondDatum,"&lt;="&amp;EOMONTH($E2833,0)),$J2833-$M2833))</f>
      </c>
      <c r="O2833" s="43">
        <f>IF($I2833=0,0,INDEX(DarlErsatzRate,6))</f>
      </c>
      <c r="P2833" s="43">
        <f>IF($I2833=0,0,$Q2832*INDEX(DarlErsatzZins,6))</f>
      </c>
      <c r="Q2833" s="43">
        <f>IF($I2833=0,0,$Q2832+$P2833+$O2833)</f>
      </c>
      <c r="R2833" s="43">
        <f>IF($I2833=0,0,$J2833-$M2833-$N2833)</f>
      </c>
    </row>
    <row r="2834">
      <c r="A2834"/>
      <c r="B2834">
        <v>6</v>
      </c>
      <c r="C2834" s="43">
        <f>INDEX(DarlObj,6)</f>
      </c>
      <c r="D2834">
        <v>431</v>
      </c>
      <c r="E2834" s="51">
        <f>IF(INDEX(DarlBelegt,6)=0,0,EOMONTH(INDEX(DarlAuszahlung,6),430)+1)</f>
      </c>
      <c r="F2834" s="43">
        <f>IF($E2834=0,0,YEAR($E2834))</f>
      </c>
      <c r="G2834" s="43">
        <f>IF(INDEX(DarlBindung,6)="",1,IF($E2834&lt;=INDEX(DarlBindung,6),1,0))</f>
      </c>
      <c r="H2834" s="43">
        <f>IF($G2834=1,INDEX(DarlSollzins,6),INDEX(DarlAnschluss,6))</f>
      </c>
      <c r="I2834" s="43">
        <f>IF(INDEX(DarlBelegt,6)=0,0,IF(INDEX(DarlOhneTilgung,6)=1,IF(INDEX(DarlBindung,6)="",1,$G2834),IF($J2834&gt;0.005,1,0)))</f>
      </c>
      <c r="J2834" s="43">
        <f>IF($I2833=0,0,$R2833)</f>
      </c>
      <c r="K2834" s="43">
        <f>IF($I2834=0,0,IF(INDEX(DarlOhneTilgung,6)=1,0,IF(AND(INDEX(DarlTilgStart,6)&gt;0,$E2834=INDEX(DarlTilgStart,6)),$J2834*($H2834+INDEX(DarlTilgung,6))/100/12,IF(AND($G2834=0,$G2833=1),MAX($K2833,$J2834*($H2834+1)/100/12),$K2833))))</f>
      </c>
      <c r="L2834" s="43">
        <f>IF($I2834=0,0,$J2834*$H2834/100/12)</f>
      </c>
      <c r="M2834" s="43">
        <f>IF($I2834=0,0,IF(OR(INDEX(DarlOhneTilgung,6)=1,AND(INDEX(DarlTilgStart,6)&gt;0,$E2834&lt;INDEX(DarlTilgStart,6))),0,MIN(MAX(0,$K2834-$L2834),$J2834)))</f>
      </c>
      <c r="N2834" s="43">
        <f>IF($I2834=0,0,MIN(SUMIFS(SondBetrag,SondDarl,6,SondDatum,"&gt;="&amp;$E2834,SondDatum,"&lt;="&amp;EOMONTH($E2834,0)),$J2834-$M2834))</f>
      </c>
      <c r="O2834" s="43">
        <f>IF($I2834=0,0,INDEX(DarlErsatzRate,6))</f>
      </c>
      <c r="P2834" s="43">
        <f>IF($I2834=0,0,$Q2833*INDEX(DarlErsatzZins,6))</f>
      </c>
      <c r="Q2834" s="43">
        <f>IF($I2834=0,0,$Q2833+$P2834+$O2834)</f>
      </c>
      <c r="R2834" s="43">
        <f>IF($I2834=0,0,$J2834-$M2834-$N2834)</f>
      </c>
    </row>
    <row r="2835">
      <c r="A2835"/>
      <c r="B2835">
        <v>6</v>
      </c>
      <c r="C2835" s="43">
        <f>INDEX(DarlObj,6)</f>
      </c>
      <c r="D2835">
        <v>432</v>
      </c>
      <c r="E2835" s="51">
        <f>IF(INDEX(DarlBelegt,6)=0,0,EOMONTH(INDEX(DarlAuszahlung,6),431)+1)</f>
      </c>
      <c r="F2835" s="43">
        <f>IF($E2835=0,0,YEAR($E2835))</f>
      </c>
      <c r="G2835" s="43">
        <f>IF(INDEX(DarlBindung,6)="",1,IF($E2835&lt;=INDEX(DarlBindung,6),1,0))</f>
      </c>
      <c r="H2835" s="43">
        <f>IF($G2835=1,INDEX(DarlSollzins,6),INDEX(DarlAnschluss,6))</f>
      </c>
      <c r="I2835" s="43">
        <f>IF(INDEX(DarlBelegt,6)=0,0,IF(INDEX(DarlOhneTilgung,6)=1,IF(INDEX(DarlBindung,6)="",1,$G2835),IF($J2835&gt;0.005,1,0)))</f>
      </c>
      <c r="J2835" s="43">
        <f>IF($I2834=0,0,$R2834)</f>
      </c>
      <c r="K2835" s="43">
        <f>IF($I2835=0,0,IF(INDEX(DarlOhneTilgung,6)=1,0,IF(AND(INDEX(DarlTilgStart,6)&gt;0,$E2835=INDEX(DarlTilgStart,6)),$J2835*($H2835+INDEX(DarlTilgung,6))/100/12,IF(AND($G2835=0,$G2834=1),MAX($K2834,$J2835*($H2835+1)/100/12),$K2834))))</f>
      </c>
      <c r="L2835" s="43">
        <f>IF($I2835=0,0,$J2835*$H2835/100/12)</f>
      </c>
      <c r="M2835" s="43">
        <f>IF($I2835=0,0,IF(OR(INDEX(DarlOhneTilgung,6)=1,AND(INDEX(DarlTilgStart,6)&gt;0,$E2835&lt;INDEX(DarlTilgStart,6))),0,MIN(MAX(0,$K2835-$L2835),$J2835)))</f>
      </c>
      <c r="N2835" s="43">
        <f>IF($I2835=0,0,MIN(SUMIFS(SondBetrag,SondDarl,6,SondDatum,"&gt;="&amp;$E2835,SondDatum,"&lt;="&amp;EOMONTH($E2835,0)),$J2835-$M2835))</f>
      </c>
      <c r="O2835" s="43">
        <f>IF($I2835=0,0,INDEX(DarlErsatzRate,6))</f>
      </c>
      <c r="P2835" s="43">
        <f>IF($I2835=0,0,$Q2834*INDEX(DarlErsatzZins,6))</f>
      </c>
      <c r="Q2835" s="43">
        <f>IF($I2835=0,0,$Q2834+$P2835+$O2835)</f>
      </c>
      <c r="R2835" s="43">
        <f>IF($I2835=0,0,$J2835-$M2835-$N2835)</f>
      </c>
    </row>
    <row r="2836">
      <c r="A2836"/>
      <c r="B2836">
        <v>6</v>
      </c>
      <c r="C2836" s="43">
        <f>INDEX(DarlObj,6)</f>
      </c>
      <c r="D2836">
        <v>433</v>
      </c>
      <c r="E2836" s="51">
        <f>IF(INDEX(DarlBelegt,6)=0,0,EOMONTH(INDEX(DarlAuszahlung,6),432)+1)</f>
      </c>
      <c r="F2836" s="43">
        <f>IF($E2836=0,0,YEAR($E2836))</f>
      </c>
      <c r="G2836" s="43">
        <f>IF(INDEX(DarlBindung,6)="",1,IF($E2836&lt;=INDEX(DarlBindung,6),1,0))</f>
      </c>
      <c r="H2836" s="43">
        <f>IF($G2836=1,INDEX(DarlSollzins,6),INDEX(DarlAnschluss,6))</f>
      </c>
      <c r="I2836" s="43">
        <f>IF(INDEX(DarlBelegt,6)=0,0,IF(INDEX(DarlOhneTilgung,6)=1,IF(INDEX(DarlBindung,6)="",1,$G2836),IF($J2836&gt;0.005,1,0)))</f>
      </c>
      <c r="J2836" s="43">
        <f>IF($I2835=0,0,$R2835)</f>
      </c>
      <c r="K2836" s="43">
        <f>IF($I2836=0,0,IF(INDEX(DarlOhneTilgung,6)=1,0,IF(AND(INDEX(DarlTilgStart,6)&gt;0,$E2836=INDEX(DarlTilgStart,6)),$J2836*($H2836+INDEX(DarlTilgung,6))/100/12,IF(AND($G2836=0,$G2835=1),MAX($K2835,$J2836*($H2836+1)/100/12),$K2835))))</f>
      </c>
      <c r="L2836" s="43">
        <f>IF($I2836=0,0,$J2836*$H2836/100/12)</f>
      </c>
      <c r="M2836" s="43">
        <f>IF($I2836=0,0,IF(OR(INDEX(DarlOhneTilgung,6)=1,AND(INDEX(DarlTilgStart,6)&gt;0,$E2836&lt;INDEX(DarlTilgStart,6))),0,MIN(MAX(0,$K2836-$L2836),$J2836)))</f>
      </c>
      <c r="N2836" s="43">
        <f>IF($I2836=0,0,MIN(SUMIFS(SondBetrag,SondDarl,6,SondDatum,"&gt;="&amp;$E2836,SondDatum,"&lt;="&amp;EOMONTH($E2836,0)),$J2836-$M2836))</f>
      </c>
      <c r="O2836" s="43">
        <f>IF($I2836=0,0,INDEX(DarlErsatzRate,6))</f>
      </c>
      <c r="P2836" s="43">
        <f>IF($I2836=0,0,$Q2835*INDEX(DarlErsatzZins,6))</f>
      </c>
      <c r="Q2836" s="43">
        <f>IF($I2836=0,0,$Q2835+$P2836+$O2836)</f>
      </c>
      <c r="R2836" s="43">
        <f>IF($I2836=0,0,$J2836-$M2836-$N2836)</f>
      </c>
    </row>
    <row r="2837">
      <c r="A2837"/>
      <c r="B2837">
        <v>6</v>
      </c>
      <c r="C2837" s="43">
        <f>INDEX(DarlObj,6)</f>
      </c>
      <c r="D2837">
        <v>434</v>
      </c>
      <c r="E2837" s="51">
        <f>IF(INDEX(DarlBelegt,6)=0,0,EOMONTH(INDEX(DarlAuszahlung,6),433)+1)</f>
      </c>
      <c r="F2837" s="43">
        <f>IF($E2837=0,0,YEAR($E2837))</f>
      </c>
      <c r="G2837" s="43">
        <f>IF(INDEX(DarlBindung,6)="",1,IF($E2837&lt;=INDEX(DarlBindung,6),1,0))</f>
      </c>
      <c r="H2837" s="43">
        <f>IF($G2837=1,INDEX(DarlSollzins,6),INDEX(DarlAnschluss,6))</f>
      </c>
      <c r="I2837" s="43">
        <f>IF(INDEX(DarlBelegt,6)=0,0,IF(INDEX(DarlOhneTilgung,6)=1,IF(INDEX(DarlBindung,6)="",1,$G2837),IF($J2837&gt;0.005,1,0)))</f>
      </c>
      <c r="J2837" s="43">
        <f>IF($I2836=0,0,$R2836)</f>
      </c>
      <c r="K2837" s="43">
        <f>IF($I2837=0,0,IF(INDEX(DarlOhneTilgung,6)=1,0,IF(AND(INDEX(DarlTilgStart,6)&gt;0,$E2837=INDEX(DarlTilgStart,6)),$J2837*($H2837+INDEX(DarlTilgung,6))/100/12,IF(AND($G2837=0,$G2836=1),MAX($K2836,$J2837*($H2837+1)/100/12),$K2836))))</f>
      </c>
      <c r="L2837" s="43">
        <f>IF($I2837=0,0,$J2837*$H2837/100/12)</f>
      </c>
      <c r="M2837" s="43">
        <f>IF($I2837=0,0,IF(OR(INDEX(DarlOhneTilgung,6)=1,AND(INDEX(DarlTilgStart,6)&gt;0,$E2837&lt;INDEX(DarlTilgStart,6))),0,MIN(MAX(0,$K2837-$L2837),$J2837)))</f>
      </c>
      <c r="N2837" s="43">
        <f>IF($I2837=0,0,MIN(SUMIFS(SondBetrag,SondDarl,6,SondDatum,"&gt;="&amp;$E2837,SondDatum,"&lt;="&amp;EOMONTH($E2837,0)),$J2837-$M2837))</f>
      </c>
      <c r="O2837" s="43">
        <f>IF($I2837=0,0,INDEX(DarlErsatzRate,6))</f>
      </c>
      <c r="P2837" s="43">
        <f>IF($I2837=0,0,$Q2836*INDEX(DarlErsatzZins,6))</f>
      </c>
      <c r="Q2837" s="43">
        <f>IF($I2837=0,0,$Q2836+$P2837+$O2837)</f>
      </c>
      <c r="R2837" s="43">
        <f>IF($I2837=0,0,$J2837-$M2837-$N2837)</f>
      </c>
    </row>
    <row r="2838">
      <c r="A2838"/>
      <c r="B2838">
        <v>6</v>
      </c>
      <c r="C2838" s="43">
        <f>INDEX(DarlObj,6)</f>
      </c>
      <c r="D2838">
        <v>435</v>
      </c>
      <c r="E2838" s="51">
        <f>IF(INDEX(DarlBelegt,6)=0,0,EOMONTH(INDEX(DarlAuszahlung,6),434)+1)</f>
      </c>
      <c r="F2838" s="43">
        <f>IF($E2838=0,0,YEAR($E2838))</f>
      </c>
      <c r="G2838" s="43">
        <f>IF(INDEX(DarlBindung,6)="",1,IF($E2838&lt;=INDEX(DarlBindung,6),1,0))</f>
      </c>
      <c r="H2838" s="43">
        <f>IF($G2838=1,INDEX(DarlSollzins,6),INDEX(DarlAnschluss,6))</f>
      </c>
      <c r="I2838" s="43">
        <f>IF(INDEX(DarlBelegt,6)=0,0,IF(INDEX(DarlOhneTilgung,6)=1,IF(INDEX(DarlBindung,6)="",1,$G2838),IF($J2838&gt;0.005,1,0)))</f>
      </c>
      <c r="J2838" s="43">
        <f>IF($I2837=0,0,$R2837)</f>
      </c>
      <c r="K2838" s="43">
        <f>IF($I2838=0,0,IF(INDEX(DarlOhneTilgung,6)=1,0,IF(AND(INDEX(DarlTilgStart,6)&gt;0,$E2838=INDEX(DarlTilgStart,6)),$J2838*($H2838+INDEX(DarlTilgung,6))/100/12,IF(AND($G2838=0,$G2837=1),MAX($K2837,$J2838*($H2838+1)/100/12),$K2837))))</f>
      </c>
      <c r="L2838" s="43">
        <f>IF($I2838=0,0,$J2838*$H2838/100/12)</f>
      </c>
      <c r="M2838" s="43">
        <f>IF($I2838=0,0,IF(OR(INDEX(DarlOhneTilgung,6)=1,AND(INDEX(DarlTilgStart,6)&gt;0,$E2838&lt;INDEX(DarlTilgStart,6))),0,MIN(MAX(0,$K2838-$L2838),$J2838)))</f>
      </c>
      <c r="N2838" s="43">
        <f>IF($I2838=0,0,MIN(SUMIFS(SondBetrag,SondDarl,6,SondDatum,"&gt;="&amp;$E2838,SondDatum,"&lt;="&amp;EOMONTH($E2838,0)),$J2838-$M2838))</f>
      </c>
      <c r="O2838" s="43">
        <f>IF($I2838=0,0,INDEX(DarlErsatzRate,6))</f>
      </c>
      <c r="P2838" s="43">
        <f>IF($I2838=0,0,$Q2837*INDEX(DarlErsatzZins,6))</f>
      </c>
      <c r="Q2838" s="43">
        <f>IF($I2838=0,0,$Q2837+$P2838+$O2838)</f>
      </c>
      <c r="R2838" s="43">
        <f>IF($I2838=0,0,$J2838-$M2838-$N2838)</f>
      </c>
    </row>
    <row r="2839">
      <c r="A2839"/>
      <c r="B2839">
        <v>6</v>
      </c>
      <c r="C2839" s="43">
        <f>INDEX(DarlObj,6)</f>
      </c>
      <c r="D2839">
        <v>436</v>
      </c>
      <c r="E2839" s="51">
        <f>IF(INDEX(DarlBelegt,6)=0,0,EOMONTH(INDEX(DarlAuszahlung,6),435)+1)</f>
      </c>
      <c r="F2839" s="43">
        <f>IF($E2839=0,0,YEAR($E2839))</f>
      </c>
      <c r="G2839" s="43">
        <f>IF(INDEX(DarlBindung,6)="",1,IF($E2839&lt;=INDEX(DarlBindung,6),1,0))</f>
      </c>
      <c r="H2839" s="43">
        <f>IF($G2839=1,INDEX(DarlSollzins,6),INDEX(DarlAnschluss,6))</f>
      </c>
      <c r="I2839" s="43">
        <f>IF(INDEX(DarlBelegt,6)=0,0,IF(INDEX(DarlOhneTilgung,6)=1,IF(INDEX(DarlBindung,6)="",1,$G2839),IF($J2839&gt;0.005,1,0)))</f>
      </c>
      <c r="J2839" s="43">
        <f>IF($I2838=0,0,$R2838)</f>
      </c>
      <c r="K2839" s="43">
        <f>IF($I2839=0,0,IF(INDEX(DarlOhneTilgung,6)=1,0,IF(AND(INDEX(DarlTilgStart,6)&gt;0,$E2839=INDEX(DarlTilgStart,6)),$J2839*($H2839+INDEX(DarlTilgung,6))/100/12,IF(AND($G2839=0,$G2838=1),MAX($K2838,$J2839*($H2839+1)/100/12),$K2838))))</f>
      </c>
      <c r="L2839" s="43">
        <f>IF($I2839=0,0,$J2839*$H2839/100/12)</f>
      </c>
      <c r="M2839" s="43">
        <f>IF($I2839=0,0,IF(OR(INDEX(DarlOhneTilgung,6)=1,AND(INDEX(DarlTilgStart,6)&gt;0,$E2839&lt;INDEX(DarlTilgStart,6))),0,MIN(MAX(0,$K2839-$L2839),$J2839)))</f>
      </c>
      <c r="N2839" s="43">
        <f>IF($I2839=0,0,MIN(SUMIFS(SondBetrag,SondDarl,6,SondDatum,"&gt;="&amp;$E2839,SondDatum,"&lt;="&amp;EOMONTH($E2839,0)),$J2839-$M2839))</f>
      </c>
      <c r="O2839" s="43">
        <f>IF($I2839=0,0,INDEX(DarlErsatzRate,6))</f>
      </c>
      <c r="P2839" s="43">
        <f>IF($I2839=0,0,$Q2838*INDEX(DarlErsatzZins,6))</f>
      </c>
      <c r="Q2839" s="43">
        <f>IF($I2839=0,0,$Q2838+$P2839+$O2839)</f>
      </c>
      <c r="R2839" s="43">
        <f>IF($I2839=0,0,$J2839-$M2839-$N2839)</f>
      </c>
    </row>
    <row r="2840">
      <c r="A2840"/>
      <c r="B2840">
        <v>6</v>
      </c>
      <c r="C2840" s="43">
        <f>INDEX(DarlObj,6)</f>
      </c>
      <c r="D2840">
        <v>437</v>
      </c>
      <c r="E2840" s="51">
        <f>IF(INDEX(DarlBelegt,6)=0,0,EOMONTH(INDEX(DarlAuszahlung,6),436)+1)</f>
      </c>
      <c r="F2840" s="43">
        <f>IF($E2840=0,0,YEAR($E2840))</f>
      </c>
      <c r="G2840" s="43">
        <f>IF(INDEX(DarlBindung,6)="",1,IF($E2840&lt;=INDEX(DarlBindung,6),1,0))</f>
      </c>
      <c r="H2840" s="43">
        <f>IF($G2840=1,INDEX(DarlSollzins,6),INDEX(DarlAnschluss,6))</f>
      </c>
      <c r="I2840" s="43">
        <f>IF(INDEX(DarlBelegt,6)=0,0,IF(INDEX(DarlOhneTilgung,6)=1,IF(INDEX(DarlBindung,6)="",1,$G2840),IF($J2840&gt;0.005,1,0)))</f>
      </c>
      <c r="J2840" s="43">
        <f>IF($I2839=0,0,$R2839)</f>
      </c>
      <c r="K2840" s="43">
        <f>IF($I2840=0,0,IF(INDEX(DarlOhneTilgung,6)=1,0,IF(AND(INDEX(DarlTilgStart,6)&gt;0,$E2840=INDEX(DarlTilgStart,6)),$J2840*($H2840+INDEX(DarlTilgung,6))/100/12,IF(AND($G2840=0,$G2839=1),MAX($K2839,$J2840*($H2840+1)/100/12),$K2839))))</f>
      </c>
      <c r="L2840" s="43">
        <f>IF($I2840=0,0,$J2840*$H2840/100/12)</f>
      </c>
      <c r="M2840" s="43">
        <f>IF($I2840=0,0,IF(OR(INDEX(DarlOhneTilgung,6)=1,AND(INDEX(DarlTilgStart,6)&gt;0,$E2840&lt;INDEX(DarlTilgStart,6))),0,MIN(MAX(0,$K2840-$L2840),$J2840)))</f>
      </c>
      <c r="N2840" s="43">
        <f>IF($I2840=0,0,MIN(SUMIFS(SondBetrag,SondDarl,6,SondDatum,"&gt;="&amp;$E2840,SondDatum,"&lt;="&amp;EOMONTH($E2840,0)),$J2840-$M2840))</f>
      </c>
      <c r="O2840" s="43">
        <f>IF($I2840=0,0,INDEX(DarlErsatzRate,6))</f>
      </c>
      <c r="P2840" s="43">
        <f>IF($I2840=0,0,$Q2839*INDEX(DarlErsatzZins,6))</f>
      </c>
      <c r="Q2840" s="43">
        <f>IF($I2840=0,0,$Q2839+$P2840+$O2840)</f>
      </c>
      <c r="R2840" s="43">
        <f>IF($I2840=0,0,$J2840-$M2840-$N2840)</f>
      </c>
    </row>
    <row r="2841">
      <c r="A2841"/>
      <c r="B2841">
        <v>6</v>
      </c>
      <c r="C2841" s="43">
        <f>INDEX(DarlObj,6)</f>
      </c>
      <c r="D2841">
        <v>438</v>
      </c>
      <c r="E2841" s="51">
        <f>IF(INDEX(DarlBelegt,6)=0,0,EOMONTH(INDEX(DarlAuszahlung,6),437)+1)</f>
      </c>
      <c r="F2841" s="43">
        <f>IF($E2841=0,0,YEAR($E2841))</f>
      </c>
      <c r="G2841" s="43">
        <f>IF(INDEX(DarlBindung,6)="",1,IF($E2841&lt;=INDEX(DarlBindung,6),1,0))</f>
      </c>
      <c r="H2841" s="43">
        <f>IF($G2841=1,INDEX(DarlSollzins,6),INDEX(DarlAnschluss,6))</f>
      </c>
      <c r="I2841" s="43">
        <f>IF(INDEX(DarlBelegt,6)=0,0,IF(INDEX(DarlOhneTilgung,6)=1,IF(INDEX(DarlBindung,6)="",1,$G2841),IF($J2841&gt;0.005,1,0)))</f>
      </c>
      <c r="J2841" s="43">
        <f>IF($I2840=0,0,$R2840)</f>
      </c>
      <c r="K2841" s="43">
        <f>IF($I2841=0,0,IF(INDEX(DarlOhneTilgung,6)=1,0,IF(AND(INDEX(DarlTilgStart,6)&gt;0,$E2841=INDEX(DarlTilgStart,6)),$J2841*($H2841+INDEX(DarlTilgung,6))/100/12,IF(AND($G2841=0,$G2840=1),MAX($K2840,$J2841*($H2841+1)/100/12),$K2840))))</f>
      </c>
      <c r="L2841" s="43">
        <f>IF($I2841=0,0,$J2841*$H2841/100/12)</f>
      </c>
      <c r="M2841" s="43">
        <f>IF($I2841=0,0,IF(OR(INDEX(DarlOhneTilgung,6)=1,AND(INDEX(DarlTilgStart,6)&gt;0,$E2841&lt;INDEX(DarlTilgStart,6))),0,MIN(MAX(0,$K2841-$L2841),$J2841)))</f>
      </c>
      <c r="N2841" s="43">
        <f>IF($I2841=0,0,MIN(SUMIFS(SondBetrag,SondDarl,6,SondDatum,"&gt;="&amp;$E2841,SondDatum,"&lt;="&amp;EOMONTH($E2841,0)),$J2841-$M2841))</f>
      </c>
      <c r="O2841" s="43">
        <f>IF($I2841=0,0,INDEX(DarlErsatzRate,6))</f>
      </c>
      <c r="P2841" s="43">
        <f>IF($I2841=0,0,$Q2840*INDEX(DarlErsatzZins,6))</f>
      </c>
      <c r="Q2841" s="43">
        <f>IF($I2841=0,0,$Q2840+$P2841+$O2841)</f>
      </c>
      <c r="R2841" s="43">
        <f>IF($I2841=0,0,$J2841-$M2841-$N2841)</f>
      </c>
    </row>
    <row r="2842">
      <c r="A2842"/>
      <c r="B2842">
        <v>6</v>
      </c>
      <c r="C2842" s="43">
        <f>INDEX(DarlObj,6)</f>
      </c>
      <c r="D2842">
        <v>439</v>
      </c>
      <c r="E2842" s="51">
        <f>IF(INDEX(DarlBelegt,6)=0,0,EOMONTH(INDEX(DarlAuszahlung,6),438)+1)</f>
      </c>
      <c r="F2842" s="43">
        <f>IF($E2842=0,0,YEAR($E2842))</f>
      </c>
      <c r="G2842" s="43">
        <f>IF(INDEX(DarlBindung,6)="",1,IF($E2842&lt;=INDEX(DarlBindung,6),1,0))</f>
      </c>
      <c r="H2842" s="43">
        <f>IF($G2842=1,INDEX(DarlSollzins,6),INDEX(DarlAnschluss,6))</f>
      </c>
      <c r="I2842" s="43">
        <f>IF(INDEX(DarlBelegt,6)=0,0,IF(INDEX(DarlOhneTilgung,6)=1,IF(INDEX(DarlBindung,6)="",1,$G2842),IF($J2842&gt;0.005,1,0)))</f>
      </c>
      <c r="J2842" s="43">
        <f>IF($I2841=0,0,$R2841)</f>
      </c>
      <c r="K2842" s="43">
        <f>IF($I2842=0,0,IF(INDEX(DarlOhneTilgung,6)=1,0,IF(AND(INDEX(DarlTilgStart,6)&gt;0,$E2842=INDEX(DarlTilgStart,6)),$J2842*($H2842+INDEX(DarlTilgung,6))/100/12,IF(AND($G2842=0,$G2841=1),MAX($K2841,$J2842*($H2842+1)/100/12),$K2841))))</f>
      </c>
      <c r="L2842" s="43">
        <f>IF($I2842=0,0,$J2842*$H2842/100/12)</f>
      </c>
      <c r="M2842" s="43">
        <f>IF($I2842=0,0,IF(OR(INDEX(DarlOhneTilgung,6)=1,AND(INDEX(DarlTilgStart,6)&gt;0,$E2842&lt;INDEX(DarlTilgStart,6))),0,MIN(MAX(0,$K2842-$L2842),$J2842)))</f>
      </c>
      <c r="N2842" s="43">
        <f>IF($I2842=0,0,MIN(SUMIFS(SondBetrag,SondDarl,6,SondDatum,"&gt;="&amp;$E2842,SondDatum,"&lt;="&amp;EOMONTH($E2842,0)),$J2842-$M2842))</f>
      </c>
      <c r="O2842" s="43">
        <f>IF($I2842=0,0,INDEX(DarlErsatzRate,6))</f>
      </c>
      <c r="P2842" s="43">
        <f>IF($I2842=0,0,$Q2841*INDEX(DarlErsatzZins,6))</f>
      </c>
      <c r="Q2842" s="43">
        <f>IF($I2842=0,0,$Q2841+$P2842+$O2842)</f>
      </c>
      <c r="R2842" s="43">
        <f>IF($I2842=0,0,$J2842-$M2842-$N2842)</f>
      </c>
    </row>
    <row r="2843">
      <c r="A2843"/>
      <c r="B2843">
        <v>6</v>
      </c>
      <c r="C2843" s="43">
        <f>INDEX(DarlObj,6)</f>
      </c>
      <c r="D2843">
        <v>440</v>
      </c>
      <c r="E2843" s="51">
        <f>IF(INDEX(DarlBelegt,6)=0,0,EOMONTH(INDEX(DarlAuszahlung,6),439)+1)</f>
      </c>
      <c r="F2843" s="43">
        <f>IF($E2843=0,0,YEAR($E2843))</f>
      </c>
      <c r="G2843" s="43">
        <f>IF(INDEX(DarlBindung,6)="",1,IF($E2843&lt;=INDEX(DarlBindung,6),1,0))</f>
      </c>
      <c r="H2843" s="43">
        <f>IF($G2843=1,INDEX(DarlSollzins,6),INDEX(DarlAnschluss,6))</f>
      </c>
      <c r="I2843" s="43">
        <f>IF(INDEX(DarlBelegt,6)=0,0,IF(INDEX(DarlOhneTilgung,6)=1,IF(INDEX(DarlBindung,6)="",1,$G2843),IF($J2843&gt;0.005,1,0)))</f>
      </c>
      <c r="J2843" s="43">
        <f>IF($I2842=0,0,$R2842)</f>
      </c>
      <c r="K2843" s="43">
        <f>IF($I2843=0,0,IF(INDEX(DarlOhneTilgung,6)=1,0,IF(AND(INDEX(DarlTilgStart,6)&gt;0,$E2843=INDEX(DarlTilgStart,6)),$J2843*($H2843+INDEX(DarlTilgung,6))/100/12,IF(AND($G2843=0,$G2842=1),MAX($K2842,$J2843*($H2843+1)/100/12),$K2842))))</f>
      </c>
      <c r="L2843" s="43">
        <f>IF($I2843=0,0,$J2843*$H2843/100/12)</f>
      </c>
      <c r="M2843" s="43">
        <f>IF($I2843=0,0,IF(OR(INDEX(DarlOhneTilgung,6)=1,AND(INDEX(DarlTilgStart,6)&gt;0,$E2843&lt;INDEX(DarlTilgStart,6))),0,MIN(MAX(0,$K2843-$L2843),$J2843)))</f>
      </c>
      <c r="N2843" s="43">
        <f>IF($I2843=0,0,MIN(SUMIFS(SondBetrag,SondDarl,6,SondDatum,"&gt;="&amp;$E2843,SondDatum,"&lt;="&amp;EOMONTH($E2843,0)),$J2843-$M2843))</f>
      </c>
      <c r="O2843" s="43">
        <f>IF($I2843=0,0,INDEX(DarlErsatzRate,6))</f>
      </c>
      <c r="P2843" s="43">
        <f>IF($I2843=0,0,$Q2842*INDEX(DarlErsatzZins,6))</f>
      </c>
      <c r="Q2843" s="43">
        <f>IF($I2843=0,0,$Q2842+$P2843+$O2843)</f>
      </c>
      <c r="R2843" s="43">
        <f>IF($I2843=0,0,$J2843-$M2843-$N2843)</f>
      </c>
    </row>
    <row r="2844">
      <c r="A2844"/>
      <c r="B2844">
        <v>6</v>
      </c>
      <c r="C2844" s="43">
        <f>INDEX(DarlObj,6)</f>
      </c>
      <c r="D2844">
        <v>441</v>
      </c>
      <c r="E2844" s="51">
        <f>IF(INDEX(DarlBelegt,6)=0,0,EOMONTH(INDEX(DarlAuszahlung,6),440)+1)</f>
      </c>
      <c r="F2844" s="43">
        <f>IF($E2844=0,0,YEAR($E2844))</f>
      </c>
      <c r="G2844" s="43">
        <f>IF(INDEX(DarlBindung,6)="",1,IF($E2844&lt;=INDEX(DarlBindung,6),1,0))</f>
      </c>
      <c r="H2844" s="43">
        <f>IF($G2844=1,INDEX(DarlSollzins,6),INDEX(DarlAnschluss,6))</f>
      </c>
      <c r="I2844" s="43">
        <f>IF(INDEX(DarlBelegt,6)=0,0,IF(INDEX(DarlOhneTilgung,6)=1,IF(INDEX(DarlBindung,6)="",1,$G2844),IF($J2844&gt;0.005,1,0)))</f>
      </c>
      <c r="J2844" s="43">
        <f>IF($I2843=0,0,$R2843)</f>
      </c>
      <c r="K2844" s="43">
        <f>IF($I2844=0,0,IF(INDEX(DarlOhneTilgung,6)=1,0,IF(AND(INDEX(DarlTilgStart,6)&gt;0,$E2844=INDEX(DarlTilgStart,6)),$J2844*($H2844+INDEX(DarlTilgung,6))/100/12,IF(AND($G2844=0,$G2843=1),MAX($K2843,$J2844*($H2844+1)/100/12),$K2843))))</f>
      </c>
      <c r="L2844" s="43">
        <f>IF($I2844=0,0,$J2844*$H2844/100/12)</f>
      </c>
      <c r="M2844" s="43">
        <f>IF($I2844=0,0,IF(OR(INDEX(DarlOhneTilgung,6)=1,AND(INDEX(DarlTilgStart,6)&gt;0,$E2844&lt;INDEX(DarlTilgStart,6))),0,MIN(MAX(0,$K2844-$L2844),$J2844)))</f>
      </c>
      <c r="N2844" s="43">
        <f>IF($I2844=0,0,MIN(SUMIFS(SondBetrag,SondDarl,6,SondDatum,"&gt;="&amp;$E2844,SondDatum,"&lt;="&amp;EOMONTH($E2844,0)),$J2844-$M2844))</f>
      </c>
      <c r="O2844" s="43">
        <f>IF($I2844=0,0,INDEX(DarlErsatzRate,6))</f>
      </c>
      <c r="P2844" s="43">
        <f>IF($I2844=0,0,$Q2843*INDEX(DarlErsatzZins,6))</f>
      </c>
      <c r="Q2844" s="43">
        <f>IF($I2844=0,0,$Q2843+$P2844+$O2844)</f>
      </c>
      <c r="R2844" s="43">
        <f>IF($I2844=0,0,$J2844-$M2844-$N2844)</f>
      </c>
    </row>
    <row r="2845">
      <c r="A2845"/>
      <c r="B2845">
        <v>6</v>
      </c>
      <c r="C2845" s="43">
        <f>INDEX(DarlObj,6)</f>
      </c>
      <c r="D2845">
        <v>442</v>
      </c>
      <c r="E2845" s="51">
        <f>IF(INDEX(DarlBelegt,6)=0,0,EOMONTH(INDEX(DarlAuszahlung,6),441)+1)</f>
      </c>
      <c r="F2845" s="43">
        <f>IF($E2845=0,0,YEAR($E2845))</f>
      </c>
      <c r="G2845" s="43">
        <f>IF(INDEX(DarlBindung,6)="",1,IF($E2845&lt;=INDEX(DarlBindung,6),1,0))</f>
      </c>
      <c r="H2845" s="43">
        <f>IF($G2845=1,INDEX(DarlSollzins,6),INDEX(DarlAnschluss,6))</f>
      </c>
      <c r="I2845" s="43">
        <f>IF(INDEX(DarlBelegt,6)=0,0,IF(INDEX(DarlOhneTilgung,6)=1,IF(INDEX(DarlBindung,6)="",1,$G2845),IF($J2845&gt;0.005,1,0)))</f>
      </c>
      <c r="J2845" s="43">
        <f>IF($I2844=0,0,$R2844)</f>
      </c>
      <c r="K2845" s="43">
        <f>IF($I2845=0,0,IF(INDEX(DarlOhneTilgung,6)=1,0,IF(AND(INDEX(DarlTilgStart,6)&gt;0,$E2845=INDEX(DarlTilgStart,6)),$J2845*($H2845+INDEX(DarlTilgung,6))/100/12,IF(AND($G2845=0,$G2844=1),MAX($K2844,$J2845*($H2845+1)/100/12),$K2844))))</f>
      </c>
      <c r="L2845" s="43">
        <f>IF($I2845=0,0,$J2845*$H2845/100/12)</f>
      </c>
      <c r="M2845" s="43">
        <f>IF($I2845=0,0,IF(OR(INDEX(DarlOhneTilgung,6)=1,AND(INDEX(DarlTilgStart,6)&gt;0,$E2845&lt;INDEX(DarlTilgStart,6))),0,MIN(MAX(0,$K2845-$L2845),$J2845)))</f>
      </c>
      <c r="N2845" s="43">
        <f>IF($I2845=0,0,MIN(SUMIFS(SondBetrag,SondDarl,6,SondDatum,"&gt;="&amp;$E2845,SondDatum,"&lt;="&amp;EOMONTH($E2845,0)),$J2845-$M2845))</f>
      </c>
      <c r="O2845" s="43">
        <f>IF($I2845=0,0,INDEX(DarlErsatzRate,6))</f>
      </c>
      <c r="P2845" s="43">
        <f>IF($I2845=0,0,$Q2844*INDEX(DarlErsatzZins,6))</f>
      </c>
      <c r="Q2845" s="43">
        <f>IF($I2845=0,0,$Q2844+$P2845+$O2845)</f>
      </c>
      <c r="R2845" s="43">
        <f>IF($I2845=0,0,$J2845-$M2845-$N2845)</f>
      </c>
    </row>
    <row r="2846">
      <c r="A2846"/>
      <c r="B2846">
        <v>6</v>
      </c>
      <c r="C2846" s="43">
        <f>INDEX(DarlObj,6)</f>
      </c>
      <c r="D2846">
        <v>443</v>
      </c>
      <c r="E2846" s="51">
        <f>IF(INDEX(DarlBelegt,6)=0,0,EOMONTH(INDEX(DarlAuszahlung,6),442)+1)</f>
      </c>
      <c r="F2846" s="43">
        <f>IF($E2846=0,0,YEAR($E2846))</f>
      </c>
      <c r="G2846" s="43">
        <f>IF(INDEX(DarlBindung,6)="",1,IF($E2846&lt;=INDEX(DarlBindung,6),1,0))</f>
      </c>
      <c r="H2846" s="43">
        <f>IF($G2846=1,INDEX(DarlSollzins,6),INDEX(DarlAnschluss,6))</f>
      </c>
      <c r="I2846" s="43">
        <f>IF(INDEX(DarlBelegt,6)=0,0,IF(INDEX(DarlOhneTilgung,6)=1,IF(INDEX(DarlBindung,6)="",1,$G2846),IF($J2846&gt;0.005,1,0)))</f>
      </c>
      <c r="J2846" s="43">
        <f>IF($I2845=0,0,$R2845)</f>
      </c>
      <c r="K2846" s="43">
        <f>IF($I2846=0,0,IF(INDEX(DarlOhneTilgung,6)=1,0,IF(AND(INDEX(DarlTilgStart,6)&gt;0,$E2846=INDEX(DarlTilgStart,6)),$J2846*($H2846+INDEX(DarlTilgung,6))/100/12,IF(AND($G2846=0,$G2845=1),MAX($K2845,$J2846*($H2846+1)/100/12),$K2845))))</f>
      </c>
      <c r="L2846" s="43">
        <f>IF($I2846=0,0,$J2846*$H2846/100/12)</f>
      </c>
      <c r="M2846" s="43">
        <f>IF($I2846=0,0,IF(OR(INDEX(DarlOhneTilgung,6)=1,AND(INDEX(DarlTilgStart,6)&gt;0,$E2846&lt;INDEX(DarlTilgStart,6))),0,MIN(MAX(0,$K2846-$L2846),$J2846)))</f>
      </c>
      <c r="N2846" s="43">
        <f>IF($I2846=0,0,MIN(SUMIFS(SondBetrag,SondDarl,6,SondDatum,"&gt;="&amp;$E2846,SondDatum,"&lt;="&amp;EOMONTH($E2846,0)),$J2846-$M2846))</f>
      </c>
      <c r="O2846" s="43">
        <f>IF($I2846=0,0,INDEX(DarlErsatzRate,6))</f>
      </c>
      <c r="P2846" s="43">
        <f>IF($I2846=0,0,$Q2845*INDEX(DarlErsatzZins,6))</f>
      </c>
      <c r="Q2846" s="43">
        <f>IF($I2846=0,0,$Q2845+$P2846+$O2846)</f>
      </c>
      <c r="R2846" s="43">
        <f>IF($I2846=0,0,$J2846-$M2846-$N2846)</f>
      </c>
    </row>
    <row r="2847">
      <c r="A2847"/>
      <c r="B2847">
        <v>6</v>
      </c>
      <c r="C2847" s="43">
        <f>INDEX(DarlObj,6)</f>
      </c>
      <c r="D2847">
        <v>444</v>
      </c>
      <c r="E2847" s="51">
        <f>IF(INDEX(DarlBelegt,6)=0,0,EOMONTH(INDEX(DarlAuszahlung,6),443)+1)</f>
      </c>
      <c r="F2847" s="43">
        <f>IF($E2847=0,0,YEAR($E2847))</f>
      </c>
      <c r="G2847" s="43">
        <f>IF(INDEX(DarlBindung,6)="",1,IF($E2847&lt;=INDEX(DarlBindung,6),1,0))</f>
      </c>
      <c r="H2847" s="43">
        <f>IF($G2847=1,INDEX(DarlSollzins,6),INDEX(DarlAnschluss,6))</f>
      </c>
      <c r="I2847" s="43">
        <f>IF(INDEX(DarlBelegt,6)=0,0,IF(INDEX(DarlOhneTilgung,6)=1,IF(INDEX(DarlBindung,6)="",1,$G2847),IF($J2847&gt;0.005,1,0)))</f>
      </c>
      <c r="J2847" s="43">
        <f>IF($I2846=0,0,$R2846)</f>
      </c>
      <c r="K2847" s="43">
        <f>IF($I2847=0,0,IF(INDEX(DarlOhneTilgung,6)=1,0,IF(AND(INDEX(DarlTilgStart,6)&gt;0,$E2847=INDEX(DarlTilgStart,6)),$J2847*($H2847+INDEX(DarlTilgung,6))/100/12,IF(AND($G2847=0,$G2846=1),MAX($K2846,$J2847*($H2847+1)/100/12),$K2846))))</f>
      </c>
      <c r="L2847" s="43">
        <f>IF($I2847=0,0,$J2847*$H2847/100/12)</f>
      </c>
      <c r="M2847" s="43">
        <f>IF($I2847=0,0,IF(OR(INDEX(DarlOhneTilgung,6)=1,AND(INDEX(DarlTilgStart,6)&gt;0,$E2847&lt;INDEX(DarlTilgStart,6))),0,MIN(MAX(0,$K2847-$L2847),$J2847)))</f>
      </c>
      <c r="N2847" s="43">
        <f>IF($I2847=0,0,MIN(SUMIFS(SondBetrag,SondDarl,6,SondDatum,"&gt;="&amp;$E2847,SondDatum,"&lt;="&amp;EOMONTH($E2847,0)),$J2847-$M2847))</f>
      </c>
      <c r="O2847" s="43">
        <f>IF($I2847=0,0,INDEX(DarlErsatzRate,6))</f>
      </c>
      <c r="P2847" s="43">
        <f>IF($I2847=0,0,$Q2846*INDEX(DarlErsatzZins,6))</f>
      </c>
      <c r="Q2847" s="43">
        <f>IF($I2847=0,0,$Q2846+$P2847+$O2847)</f>
      </c>
      <c r="R2847" s="43">
        <f>IF($I2847=0,0,$J2847-$M2847-$N2847)</f>
      </c>
    </row>
    <row r="2848">
      <c r="A2848"/>
      <c r="B2848">
        <v>6</v>
      </c>
      <c r="C2848" s="43">
        <f>INDEX(DarlObj,6)</f>
      </c>
      <c r="D2848">
        <v>445</v>
      </c>
      <c r="E2848" s="51">
        <f>IF(INDEX(DarlBelegt,6)=0,0,EOMONTH(INDEX(DarlAuszahlung,6),444)+1)</f>
      </c>
      <c r="F2848" s="43">
        <f>IF($E2848=0,0,YEAR($E2848))</f>
      </c>
      <c r="G2848" s="43">
        <f>IF(INDEX(DarlBindung,6)="",1,IF($E2848&lt;=INDEX(DarlBindung,6),1,0))</f>
      </c>
      <c r="H2848" s="43">
        <f>IF($G2848=1,INDEX(DarlSollzins,6),INDEX(DarlAnschluss,6))</f>
      </c>
      <c r="I2848" s="43">
        <f>IF(INDEX(DarlBelegt,6)=0,0,IF(INDEX(DarlOhneTilgung,6)=1,IF(INDEX(DarlBindung,6)="",1,$G2848),IF($J2848&gt;0.005,1,0)))</f>
      </c>
      <c r="J2848" s="43">
        <f>IF($I2847=0,0,$R2847)</f>
      </c>
      <c r="K2848" s="43">
        <f>IF($I2848=0,0,IF(INDEX(DarlOhneTilgung,6)=1,0,IF(AND(INDEX(DarlTilgStart,6)&gt;0,$E2848=INDEX(DarlTilgStart,6)),$J2848*($H2848+INDEX(DarlTilgung,6))/100/12,IF(AND($G2848=0,$G2847=1),MAX($K2847,$J2848*($H2848+1)/100/12),$K2847))))</f>
      </c>
      <c r="L2848" s="43">
        <f>IF($I2848=0,0,$J2848*$H2848/100/12)</f>
      </c>
      <c r="M2848" s="43">
        <f>IF($I2848=0,0,IF(OR(INDEX(DarlOhneTilgung,6)=1,AND(INDEX(DarlTilgStart,6)&gt;0,$E2848&lt;INDEX(DarlTilgStart,6))),0,MIN(MAX(0,$K2848-$L2848),$J2848)))</f>
      </c>
      <c r="N2848" s="43">
        <f>IF($I2848=0,0,MIN(SUMIFS(SondBetrag,SondDarl,6,SondDatum,"&gt;="&amp;$E2848,SondDatum,"&lt;="&amp;EOMONTH($E2848,0)),$J2848-$M2848))</f>
      </c>
      <c r="O2848" s="43">
        <f>IF($I2848=0,0,INDEX(DarlErsatzRate,6))</f>
      </c>
      <c r="P2848" s="43">
        <f>IF($I2848=0,0,$Q2847*INDEX(DarlErsatzZins,6))</f>
      </c>
      <c r="Q2848" s="43">
        <f>IF($I2848=0,0,$Q2847+$P2848+$O2848)</f>
      </c>
      <c r="R2848" s="43">
        <f>IF($I2848=0,0,$J2848-$M2848-$N2848)</f>
      </c>
    </row>
    <row r="2849">
      <c r="A2849"/>
      <c r="B2849">
        <v>6</v>
      </c>
      <c r="C2849" s="43">
        <f>INDEX(DarlObj,6)</f>
      </c>
      <c r="D2849">
        <v>446</v>
      </c>
      <c r="E2849" s="51">
        <f>IF(INDEX(DarlBelegt,6)=0,0,EOMONTH(INDEX(DarlAuszahlung,6),445)+1)</f>
      </c>
      <c r="F2849" s="43">
        <f>IF($E2849=0,0,YEAR($E2849))</f>
      </c>
      <c r="G2849" s="43">
        <f>IF(INDEX(DarlBindung,6)="",1,IF($E2849&lt;=INDEX(DarlBindung,6),1,0))</f>
      </c>
      <c r="H2849" s="43">
        <f>IF($G2849=1,INDEX(DarlSollzins,6),INDEX(DarlAnschluss,6))</f>
      </c>
      <c r="I2849" s="43">
        <f>IF(INDEX(DarlBelegt,6)=0,0,IF(INDEX(DarlOhneTilgung,6)=1,IF(INDEX(DarlBindung,6)="",1,$G2849),IF($J2849&gt;0.005,1,0)))</f>
      </c>
      <c r="J2849" s="43">
        <f>IF($I2848=0,0,$R2848)</f>
      </c>
      <c r="K2849" s="43">
        <f>IF($I2849=0,0,IF(INDEX(DarlOhneTilgung,6)=1,0,IF(AND(INDEX(DarlTilgStart,6)&gt;0,$E2849=INDEX(DarlTilgStart,6)),$J2849*($H2849+INDEX(DarlTilgung,6))/100/12,IF(AND($G2849=0,$G2848=1),MAX($K2848,$J2849*($H2849+1)/100/12),$K2848))))</f>
      </c>
      <c r="L2849" s="43">
        <f>IF($I2849=0,0,$J2849*$H2849/100/12)</f>
      </c>
      <c r="M2849" s="43">
        <f>IF($I2849=0,0,IF(OR(INDEX(DarlOhneTilgung,6)=1,AND(INDEX(DarlTilgStart,6)&gt;0,$E2849&lt;INDEX(DarlTilgStart,6))),0,MIN(MAX(0,$K2849-$L2849),$J2849)))</f>
      </c>
      <c r="N2849" s="43">
        <f>IF($I2849=0,0,MIN(SUMIFS(SondBetrag,SondDarl,6,SondDatum,"&gt;="&amp;$E2849,SondDatum,"&lt;="&amp;EOMONTH($E2849,0)),$J2849-$M2849))</f>
      </c>
      <c r="O2849" s="43">
        <f>IF($I2849=0,0,INDEX(DarlErsatzRate,6))</f>
      </c>
      <c r="P2849" s="43">
        <f>IF($I2849=0,0,$Q2848*INDEX(DarlErsatzZins,6))</f>
      </c>
      <c r="Q2849" s="43">
        <f>IF($I2849=0,0,$Q2848+$P2849+$O2849)</f>
      </c>
      <c r="R2849" s="43">
        <f>IF($I2849=0,0,$J2849-$M2849-$N2849)</f>
      </c>
    </row>
    <row r="2850">
      <c r="A2850"/>
      <c r="B2850">
        <v>6</v>
      </c>
      <c r="C2850" s="43">
        <f>INDEX(DarlObj,6)</f>
      </c>
      <c r="D2850">
        <v>447</v>
      </c>
      <c r="E2850" s="51">
        <f>IF(INDEX(DarlBelegt,6)=0,0,EOMONTH(INDEX(DarlAuszahlung,6),446)+1)</f>
      </c>
      <c r="F2850" s="43">
        <f>IF($E2850=0,0,YEAR($E2850))</f>
      </c>
      <c r="G2850" s="43">
        <f>IF(INDEX(DarlBindung,6)="",1,IF($E2850&lt;=INDEX(DarlBindung,6),1,0))</f>
      </c>
      <c r="H2850" s="43">
        <f>IF($G2850=1,INDEX(DarlSollzins,6),INDEX(DarlAnschluss,6))</f>
      </c>
      <c r="I2850" s="43">
        <f>IF(INDEX(DarlBelegt,6)=0,0,IF(INDEX(DarlOhneTilgung,6)=1,IF(INDEX(DarlBindung,6)="",1,$G2850),IF($J2850&gt;0.005,1,0)))</f>
      </c>
      <c r="J2850" s="43">
        <f>IF($I2849=0,0,$R2849)</f>
      </c>
      <c r="K2850" s="43">
        <f>IF($I2850=0,0,IF(INDEX(DarlOhneTilgung,6)=1,0,IF(AND(INDEX(DarlTilgStart,6)&gt;0,$E2850=INDEX(DarlTilgStart,6)),$J2850*($H2850+INDEX(DarlTilgung,6))/100/12,IF(AND($G2850=0,$G2849=1),MAX($K2849,$J2850*($H2850+1)/100/12),$K2849))))</f>
      </c>
      <c r="L2850" s="43">
        <f>IF($I2850=0,0,$J2850*$H2850/100/12)</f>
      </c>
      <c r="M2850" s="43">
        <f>IF($I2850=0,0,IF(OR(INDEX(DarlOhneTilgung,6)=1,AND(INDEX(DarlTilgStart,6)&gt;0,$E2850&lt;INDEX(DarlTilgStart,6))),0,MIN(MAX(0,$K2850-$L2850),$J2850)))</f>
      </c>
      <c r="N2850" s="43">
        <f>IF($I2850=0,0,MIN(SUMIFS(SondBetrag,SondDarl,6,SondDatum,"&gt;="&amp;$E2850,SondDatum,"&lt;="&amp;EOMONTH($E2850,0)),$J2850-$M2850))</f>
      </c>
      <c r="O2850" s="43">
        <f>IF($I2850=0,0,INDEX(DarlErsatzRate,6))</f>
      </c>
      <c r="P2850" s="43">
        <f>IF($I2850=0,0,$Q2849*INDEX(DarlErsatzZins,6))</f>
      </c>
      <c r="Q2850" s="43">
        <f>IF($I2850=0,0,$Q2849+$P2850+$O2850)</f>
      </c>
      <c r="R2850" s="43">
        <f>IF($I2850=0,0,$J2850-$M2850-$N2850)</f>
      </c>
    </row>
    <row r="2851">
      <c r="A2851"/>
      <c r="B2851">
        <v>6</v>
      </c>
      <c r="C2851" s="43">
        <f>INDEX(DarlObj,6)</f>
      </c>
      <c r="D2851">
        <v>448</v>
      </c>
      <c r="E2851" s="51">
        <f>IF(INDEX(DarlBelegt,6)=0,0,EOMONTH(INDEX(DarlAuszahlung,6),447)+1)</f>
      </c>
      <c r="F2851" s="43">
        <f>IF($E2851=0,0,YEAR($E2851))</f>
      </c>
      <c r="G2851" s="43">
        <f>IF(INDEX(DarlBindung,6)="",1,IF($E2851&lt;=INDEX(DarlBindung,6),1,0))</f>
      </c>
      <c r="H2851" s="43">
        <f>IF($G2851=1,INDEX(DarlSollzins,6),INDEX(DarlAnschluss,6))</f>
      </c>
      <c r="I2851" s="43">
        <f>IF(INDEX(DarlBelegt,6)=0,0,IF(INDEX(DarlOhneTilgung,6)=1,IF(INDEX(DarlBindung,6)="",1,$G2851),IF($J2851&gt;0.005,1,0)))</f>
      </c>
      <c r="J2851" s="43">
        <f>IF($I2850=0,0,$R2850)</f>
      </c>
      <c r="K2851" s="43">
        <f>IF($I2851=0,0,IF(INDEX(DarlOhneTilgung,6)=1,0,IF(AND(INDEX(DarlTilgStart,6)&gt;0,$E2851=INDEX(DarlTilgStart,6)),$J2851*($H2851+INDEX(DarlTilgung,6))/100/12,IF(AND($G2851=0,$G2850=1),MAX($K2850,$J2851*($H2851+1)/100/12),$K2850))))</f>
      </c>
      <c r="L2851" s="43">
        <f>IF($I2851=0,0,$J2851*$H2851/100/12)</f>
      </c>
      <c r="M2851" s="43">
        <f>IF($I2851=0,0,IF(OR(INDEX(DarlOhneTilgung,6)=1,AND(INDEX(DarlTilgStart,6)&gt;0,$E2851&lt;INDEX(DarlTilgStart,6))),0,MIN(MAX(0,$K2851-$L2851),$J2851)))</f>
      </c>
      <c r="N2851" s="43">
        <f>IF($I2851=0,0,MIN(SUMIFS(SondBetrag,SondDarl,6,SondDatum,"&gt;="&amp;$E2851,SondDatum,"&lt;="&amp;EOMONTH($E2851,0)),$J2851-$M2851))</f>
      </c>
      <c r="O2851" s="43">
        <f>IF($I2851=0,0,INDEX(DarlErsatzRate,6))</f>
      </c>
      <c r="P2851" s="43">
        <f>IF($I2851=0,0,$Q2850*INDEX(DarlErsatzZins,6))</f>
      </c>
      <c r="Q2851" s="43">
        <f>IF($I2851=0,0,$Q2850+$P2851+$O2851)</f>
      </c>
      <c r="R2851" s="43">
        <f>IF($I2851=0,0,$J2851-$M2851-$N2851)</f>
      </c>
    </row>
    <row r="2852">
      <c r="A2852"/>
      <c r="B2852">
        <v>6</v>
      </c>
      <c r="C2852" s="43">
        <f>INDEX(DarlObj,6)</f>
      </c>
      <c r="D2852">
        <v>449</v>
      </c>
      <c r="E2852" s="51">
        <f>IF(INDEX(DarlBelegt,6)=0,0,EOMONTH(INDEX(DarlAuszahlung,6),448)+1)</f>
      </c>
      <c r="F2852" s="43">
        <f>IF($E2852=0,0,YEAR($E2852))</f>
      </c>
      <c r="G2852" s="43">
        <f>IF(INDEX(DarlBindung,6)="",1,IF($E2852&lt;=INDEX(DarlBindung,6),1,0))</f>
      </c>
      <c r="H2852" s="43">
        <f>IF($G2852=1,INDEX(DarlSollzins,6),INDEX(DarlAnschluss,6))</f>
      </c>
      <c r="I2852" s="43">
        <f>IF(INDEX(DarlBelegt,6)=0,0,IF(INDEX(DarlOhneTilgung,6)=1,IF(INDEX(DarlBindung,6)="",1,$G2852),IF($J2852&gt;0.005,1,0)))</f>
      </c>
      <c r="J2852" s="43">
        <f>IF($I2851=0,0,$R2851)</f>
      </c>
      <c r="K2852" s="43">
        <f>IF($I2852=0,0,IF(INDEX(DarlOhneTilgung,6)=1,0,IF(AND(INDEX(DarlTilgStart,6)&gt;0,$E2852=INDEX(DarlTilgStart,6)),$J2852*($H2852+INDEX(DarlTilgung,6))/100/12,IF(AND($G2852=0,$G2851=1),MAX($K2851,$J2852*($H2852+1)/100/12),$K2851))))</f>
      </c>
      <c r="L2852" s="43">
        <f>IF($I2852=0,0,$J2852*$H2852/100/12)</f>
      </c>
      <c r="M2852" s="43">
        <f>IF($I2852=0,0,IF(OR(INDEX(DarlOhneTilgung,6)=1,AND(INDEX(DarlTilgStart,6)&gt;0,$E2852&lt;INDEX(DarlTilgStart,6))),0,MIN(MAX(0,$K2852-$L2852),$J2852)))</f>
      </c>
      <c r="N2852" s="43">
        <f>IF($I2852=0,0,MIN(SUMIFS(SondBetrag,SondDarl,6,SondDatum,"&gt;="&amp;$E2852,SondDatum,"&lt;="&amp;EOMONTH($E2852,0)),$J2852-$M2852))</f>
      </c>
      <c r="O2852" s="43">
        <f>IF($I2852=0,0,INDEX(DarlErsatzRate,6))</f>
      </c>
      <c r="P2852" s="43">
        <f>IF($I2852=0,0,$Q2851*INDEX(DarlErsatzZins,6))</f>
      </c>
      <c r="Q2852" s="43">
        <f>IF($I2852=0,0,$Q2851+$P2852+$O2852)</f>
      </c>
      <c r="R2852" s="43">
        <f>IF($I2852=0,0,$J2852-$M2852-$N2852)</f>
      </c>
    </row>
    <row r="2853">
      <c r="A2853"/>
      <c r="B2853">
        <v>6</v>
      </c>
      <c r="C2853" s="43">
        <f>INDEX(DarlObj,6)</f>
      </c>
      <c r="D2853">
        <v>450</v>
      </c>
      <c r="E2853" s="51">
        <f>IF(INDEX(DarlBelegt,6)=0,0,EOMONTH(INDEX(DarlAuszahlung,6),449)+1)</f>
      </c>
      <c r="F2853" s="43">
        <f>IF($E2853=0,0,YEAR($E2853))</f>
      </c>
      <c r="G2853" s="43">
        <f>IF(INDEX(DarlBindung,6)="",1,IF($E2853&lt;=INDEX(DarlBindung,6),1,0))</f>
      </c>
      <c r="H2853" s="43">
        <f>IF($G2853=1,INDEX(DarlSollzins,6),INDEX(DarlAnschluss,6))</f>
      </c>
      <c r="I2853" s="43">
        <f>IF(INDEX(DarlBelegt,6)=0,0,IF(INDEX(DarlOhneTilgung,6)=1,IF(INDEX(DarlBindung,6)="",1,$G2853),IF($J2853&gt;0.005,1,0)))</f>
      </c>
      <c r="J2853" s="43">
        <f>IF($I2852=0,0,$R2852)</f>
      </c>
      <c r="K2853" s="43">
        <f>IF($I2853=0,0,IF(INDEX(DarlOhneTilgung,6)=1,0,IF(AND(INDEX(DarlTilgStart,6)&gt;0,$E2853=INDEX(DarlTilgStart,6)),$J2853*($H2853+INDEX(DarlTilgung,6))/100/12,IF(AND($G2853=0,$G2852=1),MAX($K2852,$J2853*($H2853+1)/100/12),$K2852))))</f>
      </c>
      <c r="L2853" s="43">
        <f>IF($I2853=0,0,$J2853*$H2853/100/12)</f>
      </c>
      <c r="M2853" s="43">
        <f>IF($I2853=0,0,IF(OR(INDEX(DarlOhneTilgung,6)=1,AND(INDEX(DarlTilgStart,6)&gt;0,$E2853&lt;INDEX(DarlTilgStart,6))),0,MIN(MAX(0,$K2853-$L2853),$J2853)))</f>
      </c>
      <c r="N2853" s="43">
        <f>IF($I2853=0,0,MIN(SUMIFS(SondBetrag,SondDarl,6,SondDatum,"&gt;="&amp;$E2853,SondDatum,"&lt;="&amp;EOMONTH($E2853,0)),$J2853-$M2853))</f>
      </c>
      <c r="O2853" s="43">
        <f>IF($I2853=0,0,INDEX(DarlErsatzRate,6))</f>
      </c>
      <c r="P2853" s="43">
        <f>IF($I2853=0,0,$Q2852*INDEX(DarlErsatzZins,6))</f>
      </c>
      <c r="Q2853" s="43">
        <f>IF($I2853=0,0,$Q2852+$P2853+$O2853)</f>
      </c>
      <c r="R2853" s="43">
        <f>IF($I2853=0,0,$J2853-$M2853-$N2853)</f>
      </c>
    </row>
    <row r="2854">
      <c r="A2854"/>
      <c r="B2854">
        <v>6</v>
      </c>
      <c r="C2854" s="43">
        <f>INDEX(DarlObj,6)</f>
      </c>
      <c r="D2854">
        <v>451</v>
      </c>
      <c r="E2854" s="51">
        <f>IF(INDEX(DarlBelegt,6)=0,0,EOMONTH(INDEX(DarlAuszahlung,6),450)+1)</f>
      </c>
      <c r="F2854" s="43">
        <f>IF($E2854=0,0,YEAR($E2854))</f>
      </c>
      <c r="G2854" s="43">
        <f>IF(INDEX(DarlBindung,6)="",1,IF($E2854&lt;=INDEX(DarlBindung,6),1,0))</f>
      </c>
      <c r="H2854" s="43">
        <f>IF($G2854=1,INDEX(DarlSollzins,6),INDEX(DarlAnschluss,6))</f>
      </c>
      <c r="I2854" s="43">
        <f>IF(INDEX(DarlBelegt,6)=0,0,IF(INDEX(DarlOhneTilgung,6)=1,IF(INDEX(DarlBindung,6)="",1,$G2854),IF($J2854&gt;0.005,1,0)))</f>
      </c>
      <c r="J2854" s="43">
        <f>IF($I2853=0,0,$R2853)</f>
      </c>
      <c r="K2854" s="43">
        <f>IF($I2854=0,0,IF(INDEX(DarlOhneTilgung,6)=1,0,IF(AND(INDEX(DarlTilgStart,6)&gt;0,$E2854=INDEX(DarlTilgStart,6)),$J2854*($H2854+INDEX(DarlTilgung,6))/100/12,IF(AND($G2854=0,$G2853=1),MAX($K2853,$J2854*($H2854+1)/100/12),$K2853))))</f>
      </c>
      <c r="L2854" s="43">
        <f>IF($I2854=0,0,$J2854*$H2854/100/12)</f>
      </c>
      <c r="M2854" s="43">
        <f>IF($I2854=0,0,IF(OR(INDEX(DarlOhneTilgung,6)=1,AND(INDEX(DarlTilgStart,6)&gt;0,$E2854&lt;INDEX(DarlTilgStart,6))),0,MIN(MAX(0,$K2854-$L2854),$J2854)))</f>
      </c>
      <c r="N2854" s="43">
        <f>IF($I2854=0,0,MIN(SUMIFS(SondBetrag,SondDarl,6,SondDatum,"&gt;="&amp;$E2854,SondDatum,"&lt;="&amp;EOMONTH($E2854,0)),$J2854-$M2854))</f>
      </c>
      <c r="O2854" s="43">
        <f>IF($I2854=0,0,INDEX(DarlErsatzRate,6))</f>
      </c>
      <c r="P2854" s="43">
        <f>IF($I2854=0,0,$Q2853*INDEX(DarlErsatzZins,6))</f>
      </c>
      <c r="Q2854" s="43">
        <f>IF($I2854=0,0,$Q2853+$P2854+$O2854)</f>
      </c>
      <c r="R2854" s="43">
        <f>IF($I2854=0,0,$J2854-$M2854-$N2854)</f>
      </c>
    </row>
    <row r="2855">
      <c r="A2855"/>
      <c r="B2855">
        <v>6</v>
      </c>
      <c r="C2855" s="43">
        <f>INDEX(DarlObj,6)</f>
      </c>
      <c r="D2855">
        <v>452</v>
      </c>
      <c r="E2855" s="51">
        <f>IF(INDEX(DarlBelegt,6)=0,0,EOMONTH(INDEX(DarlAuszahlung,6),451)+1)</f>
      </c>
      <c r="F2855" s="43">
        <f>IF($E2855=0,0,YEAR($E2855))</f>
      </c>
      <c r="G2855" s="43">
        <f>IF(INDEX(DarlBindung,6)="",1,IF($E2855&lt;=INDEX(DarlBindung,6),1,0))</f>
      </c>
      <c r="H2855" s="43">
        <f>IF($G2855=1,INDEX(DarlSollzins,6),INDEX(DarlAnschluss,6))</f>
      </c>
      <c r="I2855" s="43">
        <f>IF(INDEX(DarlBelegt,6)=0,0,IF(INDEX(DarlOhneTilgung,6)=1,IF(INDEX(DarlBindung,6)="",1,$G2855),IF($J2855&gt;0.005,1,0)))</f>
      </c>
      <c r="J2855" s="43">
        <f>IF($I2854=0,0,$R2854)</f>
      </c>
      <c r="K2855" s="43">
        <f>IF($I2855=0,0,IF(INDEX(DarlOhneTilgung,6)=1,0,IF(AND(INDEX(DarlTilgStart,6)&gt;0,$E2855=INDEX(DarlTilgStart,6)),$J2855*($H2855+INDEX(DarlTilgung,6))/100/12,IF(AND($G2855=0,$G2854=1),MAX($K2854,$J2855*($H2855+1)/100/12),$K2854))))</f>
      </c>
      <c r="L2855" s="43">
        <f>IF($I2855=0,0,$J2855*$H2855/100/12)</f>
      </c>
      <c r="M2855" s="43">
        <f>IF($I2855=0,0,IF(OR(INDEX(DarlOhneTilgung,6)=1,AND(INDEX(DarlTilgStart,6)&gt;0,$E2855&lt;INDEX(DarlTilgStart,6))),0,MIN(MAX(0,$K2855-$L2855),$J2855)))</f>
      </c>
      <c r="N2855" s="43">
        <f>IF($I2855=0,0,MIN(SUMIFS(SondBetrag,SondDarl,6,SondDatum,"&gt;="&amp;$E2855,SondDatum,"&lt;="&amp;EOMONTH($E2855,0)),$J2855-$M2855))</f>
      </c>
      <c r="O2855" s="43">
        <f>IF($I2855=0,0,INDEX(DarlErsatzRate,6))</f>
      </c>
      <c r="P2855" s="43">
        <f>IF($I2855=0,0,$Q2854*INDEX(DarlErsatzZins,6))</f>
      </c>
      <c r="Q2855" s="43">
        <f>IF($I2855=0,0,$Q2854+$P2855+$O2855)</f>
      </c>
      <c r="R2855" s="43">
        <f>IF($I2855=0,0,$J2855-$M2855-$N2855)</f>
      </c>
    </row>
    <row r="2856">
      <c r="A2856"/>
      <c r="B2856">
        <v>6</v>
      </c>
      <c r="C2856" s="43">
        <f>INDEX(DarlObj,6)</f>
      </c>
      <c r="D2856">
        <v>453</v>
      </c>
      <c r="E2856" s="51">
        <f>IF(INDEX(DarlBelegt,6)=0,0,EOMONTH(INDEX(DarlAuszahlung,6),452)+1)</f>
      </c>
      <c r="F2856" s="43">
        <f>IF($E2856=0,0,YEAR($E2856))</f>
      </c>
      <c r="G2856" s="43">
        <f>IF(INDEX(DarlBindung,6)="",1,IF($E2856&lt;=INDEX(DarlBindung,6),1,0))</f>
      </c>
      <c r="H2856" s="43">
        <f>IF($G2856=1,INDEX(DarlSollzins,6),INDEX(DarlAnschluss,6))</f>
      </c>
      <c r="I2856" s="43">
        <f>IF(INDEX(DarlBelegt,6)=0,0,IF(INDEX(DarlOhneTilgung,6)=1,IF(INDEX(DarlBindung,6)="",1,$G2856),IF($J2856&gt;0.005,1,0)))</f>
      </c>
      <c r="J2856" s="43">
        <f>IF($I2855=0,0,$R2855)</f>
      </c>
      <c r="K2856" s="43">
        <f>IF($I2856=0,0,IF(INDEX(DarlOhneTilgung,6)=1,0,IF(AND(INDEX(DarlTilgStart,6)&gt;0,$E2856=INDEX(DarlTilgStart,6)),$J2856*($H2856+INDEX(DarlTilgung,6))/100/12,IF(AND($G2856=0,$G2855=1),MAX($K2855,$J2856*($H2856+1)/100/12),$K2855))))</f>
      </c>
      <c r="L2856" s="43">
        <f>IF($I2856=0,0,$J2856*$H2856/100/12)</f>
      </c>
      <c r="M2856" s="43">
        <f>IF($I2856=0,0,IF(OR(INDEX(DarlOhneTilgung,6)=1,AND(INDEX(DarlTilgStart,6)&gt;0,$E2856&lt;INDEX(DarlTilgStart,6))),0,MIN(MAX(0,$K2856-$L2856),$J2856)))</f>
      </c>
      <c r="N2856" s="43">
        <f>IF($I2856=0,0,MIN(SUMIFS(SondBetrag,SondDarl,6,SondDatum,"&gt;="&amp;$E2856,SondDatum,"&lt;="&amp;EOMONTH($E2856,0)),$J2856-$M2856))</f>
      </c>
      <c r="O2856" s="43">
        <f>IF($I2856=0,0,INDEX(DarlErsatzRate,6))</f>
      </c>
      <c r="P2856" s="43">
        <f>IF($I2856=0,0,$Q2855*INDEX(DarlErsatzZins,6))</f>
      </c>
      <c r="Q2856" s="43">
        <f>IF($I2856=0,0,$Q2855+$P2856+$O2856)</f>
      </c>
      <c r="R2856" s="43">
        <f>IF($I2856=0,0,$J2856-$M2856-$N2856)</f>
      </c>
    </row>
    <row r="2857">
      <c r="A2857"/>
      <c r="B2857">
        <v>6</v>
      </c>
      <c r="C2857" s="43">
        <f>INDEX(DarlObj,6)</f>
      </c>
      <c r="D2857">
        <v>454</v>
      </c>
      <c r="E2857" s="51">
        <f>IF(INDEX(DarlBelegt,6)=0,0,EOMONTH(INDEX(DarlAuszahlung,6),453)+1)</f>
      </c>
      <c r="F2857" s="43">
        <f>IF($E2857=0,0,YEAR($E2857))</f>
      </c>
      <c r="G2857" s="43">
        <f>IF(INDEX(DarlBindung,6)="",1,IF($E2857&lt;=INDEX(DarlBindung,6),1,0))</f>
      </c>
      <c r="H2857" s="43">
        <f>IF($G2857=1,INDEX(DarlSollzins,6),INDEX(DarlAnschluss,6))</f>
      </c>
      <c r="I2857" s="43">
        <f>IF(INDEX(DarlBelegt,6)=0,0,IF(INDEX(DarlOhneTilgung,6)=1,IF(INDEX(DarlBindung,6)="",1,$G2857),IF($J2857&gt;0.005,1,0)))</f>
      </c>
      <c r="J2857" s="43">
        <f>IF($I2856=0,0,$R2856)</f>
      </c>
      <c r="K2857" s="43">
        <f>IF($I2857=0,0,IF(INDEX(DarlOhneTilgung,6)=1,0,IF(AND(INDEX(DarlTilgStart,6)&gt;0,$E2857=INDEX(DarlTilgStart,6)),$J2857*($H2857+INDEX(DarlTilgung,6))/100/12,IF(AND($G2857=0,$G2856=1),MAX($K2856,$J2857*($H2857+1)/100/12),$K2856))))</f>
      </c>
      <c r="L2857" s="43">
        <f>IF($I2857=0,0,$J2857*$H2857/100/12)</f>
      </c>
      <c r="M2857" s="43">
        <f>IF($I2857=0,0,IF(OR(INDEX(DarlOhneTilgung,6)=1,AND(INDEX(DarlTilgStart,6)&gt;0,$E2857&lt;INDEX(DarlTilgStart,6))),0,MIN(MAX(0,$K2857-$L2857),$J2857)))</f>
      </c>
      <c r="N2857" s="43">
        <f>IF($I2857=0,0,MIN(SUMIFS(SondBetrag,SondDarl,6,SondDatum,"&gt;="&amp;$E2857,SondDatum,"&lt;="&amp;EOMONTH($E2857,0)),$J2857-$M2857))</f>
      </c>
      <c r="O2857" s="43">
        <f>IF($I2857=0,0,INDEX(DarlErsatzRate,6))</f>
      </c>
      <c r="P2857" s="43">
        <f>IF($I2857=0,0,$Q2856*INDEX(DarlErsatzZins,6))</f>
      </c>
      <c r="Q2857" s="43">
        <f>IF($I2857=0,0,$Q2856+$P2857+$O2857)</f>
      </c>
      <c r="R2857" s="43">
        <f>IF($I2857=0,0,$J2857-$M2857-$N2857)</f>
      </c>
    </row>
    <row r="2858">
      <c r="A2858"/>
      <c r="B2858">
        <v>6</v>
      </c>
      <c r="C2858" s="43">
        <f>INDEX(DarlObj,6)</f>
      </c>
      <c r="D2858">
        <v>455</v>
      </c>
      <c r="E2858" s="51">
        <f>IF(INDEX(DarlBelegt,6)=0,0,EOMONTH(INDEX(DarlAuszahlung,6),454)+1)</f>
      </c>
      <c r="F2858" s="43">
        <f>IF($E2858=0,0,YEAR($E2858))</f>
      </c>
      <c r="G2858" s="43">
        <f>IF(INDEX(DarlBindung,6)="",1,IF($E2858&lt;=INDEX(DarlBindung,6),1,0))</f>
      </c>
      <c r="H2858" s="43">
        <f>IF($G2858=1,INDEX(DarlSollzins,6),INDEX(DarlAnschluss,6))</f>
      </c>
      <c r="I2858" s="43">
        <f>IF(INDEX(DarlBelegt,6)=0,0,IF(INDEX(DarlOhneTilgung,6)=1,IF(INDEX(DarlBindung,6)="",1,$G2858),IF($J2858&gt;0.005,1,0)))</f>
      </c>
      <c r="J2858" s="43">
        <f>IF($I2857=0,0,$R2857)</f>
      </c>
      <c r="K2858" s="43">
        <f>IF($I2858=0,0,IF(INDEX(DarlOhneTilgung,6)=1,0,IF(AND(INDEX(DarlTilgStart,6)&gt;0,$E2858=INDEX(DarlTilgStart,6)),$J2858*($H2858+INDEX(DarlTilgung,6))/100/12,IF(AND($G2858=0,$G2857=1),MAX($K2857,$J2858*($H2858+1)/100/12),$K2857))))</f>
      </c>
      <c r="L2858" s="43">
        <f>IF($I2858=0,0,$J2858*$H2858/100/12)</f>
      </c>
      <c r="M2858" s="43">
        <f>IF($I2858=0,0,IF(OR(INDEX(DarlOhneTilgung,6)=1,AND(INDEX(DarlTilgStart,6)&gt;0,$E2858&lt;INDEX(DarlTilgStart,6))),0,MIN(MAX(0,$K2858-$L2858),$J2858)))</f>
      </c>
      <c r="N2858" s="43">
        <f>IF($I2858=0,0,MIN(SUMIFS(SondBetrag,SondDarl,6,SondDatum,"&gt;="&amp;$E2858,SondDatum,"&lt;="&amp;EOMONTH($E2858,0)),$J2858-$M2858))</f>
      </c>
      <c r="O2858" s="43">
        <f>IF($I2858=0,0,INDEX(DarlErsatzRate,6))</f>
      </c>
      <c r="P2858" s="43">
        <f>IF($I2858=0,0,$Q2857*INDEX(DarlErsatzZins,6))</f>
      </c>
      <c r="Q2858" s="43">
        <f>IF($I2858=0,0,$Q2857+$P2858+$O2858)</f>
      </c>
      <c r="R2858" s="43">
        <f>IF($I2858=0,0,$J2858-$M2858-$N2858)</f>
      </c>
    </row>
    <row r="2859">
      <c r="A2859"/>
      <c r="B2859">
        <v>6</v>
      </c>
      <c r="C2859" s="43">
        <f>INDEX(DarlObj,6)</f>
      </c>
      <c r="D2859">
        <v>456</v>
      </c>
      <c r="E2859" s="51">
        <f>IF(INDEX(DarlBelegt,6)=0,0,EOMONTH(INDEX(DarlAuszahlung,6),455)+1)</f>
      </c>
      <c r="F2859" s="43">
        <f>IF($E2859=0,0,YEAR($E2859))</f>
      </c>
      <c r="G2859" s="43">
        <f>IF(INDEX(DarlBindung,6)="",1,IF($E2859&lt;=INDEX(DarlBindung,6),1,0))</f>
      </c>
      <c r="H2859" s="43">
        <f>IF($G2859=1,INDEX(DarlSollzins,6),INDEX(DarlAnschluss,6))</f>
      </c>
      <c r="I2859" s="43">
        <f>IF(INDEX(DarlBelegt,6)=0,0,IF(INDEX(DarlOhneTilgung,6)=1,IF(INDEX(DarlBindung,6)="",1,$G2859),IF($J2859&gt;0.005,1,0)))</f>
      </c>
      <c r="J2859" s="43">
        <f>IF($I2858=0,0,$R2858)</f>
      </c>
      <c r="K2859" s="43">
        <f>IF($I2859=0,0,IF(INDEX(DarlOhneTilgung,6)=1,0,IF(AND(INDEX(DarlTilgStart,6)&gt;0,$E2859=INDEX(DarlTilgStart,6)),$J2859*($H2859+INDEX(DarlTilgung,6))/100/12,IF(AND($G2859=0,$G2858=1),MAX($K2858,$J2859*($H2859+1)/100/12),$K2858))))</f>
      </c>
      <c r="L2859" s="43">
        <f>IF($I2859=0,0,$J2859*$H2859/100/12)</f>
      </c>
      <c r="M2859" s="43">
        <f>IF($I2859=0,0,IF(OR(INDEX(DarlOhneTilgung,6)=1,AND(INDEX(DarlTilgStart,6)&gt;0,$E2859&lt;INDEX(DarlTilgStart,6))),0,MIN(MAX(0,$K2859-$L2859),$J2859)))</f>
      </c>
      <c r="N2859" s="43">
        <f>IF($I2859=0,0,MIN(SUMIFS(SondBetrag,SondDarl,6,SondDatum,"&gt;="&amp;$E2859,SondDatum,"&lt;="&amp;EOMONTH($E2859,0)),$J2859-$M2859))</f>
      </c>
      <c r="O2859" s="43">
        <f>IF($I2859=0,0,INDEX(DarlErsatzRate,6))</f>
      </c>
      <c r="P2859" s="43">
        <f>IF($I2859=0,0,$Q2858*INDEX(DarlErsatzZins,6))</f>
      </c>
      <c r="Q2859" s="43">
        <f>IF($I2859=0,0,$Q2858+$P2859+$O2859)</f>
      </c>
      <c r="R2859" s="43">
        <f>IF($I2859=0,0,$J2859-$M2859-$N2859)</f>
      </c>
    </row>
    <row r="2860">
      <c r="A2860"/>
      <c r="B2860">
        <v>6</v>
      </c>
      <c r="C2860" s="43">
        <f>INDEX(DarlObj,6)</f>
      </c>
      <c r="D2860">
        <v>457</v>
      </c>
      <c r="E2860" s="51">
        <f>IF(INDEX(DarlBelegt,6)=0,0,EOMONTH(INDEX(DarlAuszahlung,6),456)+1)</f>
      </c>
      <c r="F2860" s="43">
        <f>IF($E2860=0,0,YEAR($E2860))</f>
      </c>
      <c r="G2860" s="43">
        <f>IF(INDEX(DarlBindung,6)="",1,IF($E2860&lt;=INDEX(DarlBindung,6),1,0))</f>
      </c>
      <c r="H2860" s="43">
        <f>IF($G2860=1,INDEX(DarlSollzins,6),INDEX(DarlAnschluss,6))</f>
      </c>
      <c r="I2860" s="43">
        <f>IF(INDEX(DarlBelegt,6)=0,0,IF(INDEX(DarlOhneTilgung,6)=1,IF(INDEX(DarlBindung,6)="",1,$G2860),IF($J2860&gt;0.005,1,0)))</f>
      </c>
      <c r="J2860" s="43">
        <f>IF($I2859=0,0,$R2859)</f>
      </c>
      <c r="K2860" s="43">
        <f>IF($I2860=0,0,IF(INDEX(DarlOhneTilgung,6)=1,0,IF(AND(INDEX(DarlTilgStart,6)&gt;0,$E2860=INDEX(DarlTilgStart,6)),$J2860*($H2860+INDEX(DarlTilgung,6))/100/12,IF(AND($G2860=0,$G2859=1),MAX($K2859,$J2860*($H2860+1)/100/12),$K2859))))</f>
      </c>
      <c r="L2860" s="43">
        <f>IF($I2860=0,0,$J2860*$H2860/100/12)</f>
      </c>
      <c r="M2860" s="43">
        <f>IF($I2860=0,0,IF(OR(INDEX(DarlOhneTilgung,6)=1,AND(INDEX(DarlTilgStart,6)&gt;0,$E2860&lt;INDEX(DarlTilgStart,6))),0,MIN(MAX(0,$K2860-$L2860),$J2860)))</f>
      </c>
      <c r="N2860" s="43">
        <f>IF($I2860=0,0,MIN(SUMIFS(SondBetrag,SondDarl,6,SondDatum,"&gt;="&amp;$E2860,SondDatum,"&lt;="&amp;EOMONTH($E2860,0)),$J2860-$M2860))</f>
      </c>
      <c r="O2860" s="43">
        <f>IF($I2860=0,0,INDEX(DarlErsatzRate,6))</f>
      </c>
      <c r="P2860" s="43">
        <f>IF($I2860=0,0,$Q2859*INDEX(DarlErsatzZins,6))</f>
      </c>
      <c r="Q2860" s="43">
        <f>IF($I2860=0,0,$Q2859+$P2860+$O2860)</f>
      </c>
      <c r="R2860" s="43">
        <f>IF($I2860=0,0,$J2860-$M2860-$N2860)</f>
      </c>
    </row>
    <row r="2861">
      <c r="A2861"/>
      <c r="B2861">
        <v>6</v>
      </c>
      <c r="C2861" s="43">
        <f>INDEX(DarlObj,6)</f>
      </c>
      <c r="D2861">
        <v>458</v>
      </c>
      <c r="E2861" s="51">
        <f>IF(INDEX(DarlBelegt,6)=0,0,EOMONTH(INDEX(DarlAuszahlung,6),457)+1)</f>
      </c>
      <c r="F2861" s="43">
        <f>IF($E2861=0,0,YEAR($E2861))</f>
      </c>
      <c r="G2861" s="43">
        <f>IF(INDEX(DarlBindung,6)="",1,IF($E2861&lt;=INDEX(DarlBindung,6),1,0))</f>
      </c>
      <c r="H2861" s="43">
        <f>IF($G2861=1,INDEX(DarlSollzins,6),INDEX(DarlAnschluss,6))</f>
      </c>
      <c r="I2861" s="43">
        <f>IF(INDEX(DarlBelegt,6)=0,0,IF(INDEX(DarlOhneTilgung,6)=1,IF(INDEX(DarlBindung,6)="",1,$G2861),IF($J2861&gt;0.005,1,0)))</f>
      </c>
      <c r="J2861" s="43">
        <f>IF($I2860=0,0,$R2860)</f>
      </c>
      <c r="K2861" s="43">
        <f>IF($I2861=0,0,IF(INDEX(DarlOhneTilgung,6)=1,0,IF(AND(INDEX(DarlTilgStart,6)&gt;0,$E2861=INDEX(DarlTilgStart,6)),$J2861*($H2861+INDEX(DarlTilgung,6))/100/12,IF(AND($G2861=0,$G2860=1),MAX($K2860,$J2861*($H2861+1)/100/12),$K2860))))</f>
      </c>
      <c r="L2861" s="43">
        <f>IF($I2861=0,0,$J2861*$H2861/100/12)</f>
      </c>
      <c r="M2861" s="43">
        <f>IF($I2861=0,0,IF(OR(INDEX(DarlOhneTilgung,6)=1,AND(INDEX(DarlTilgStart,6)&gt;0,$E2861&lt;INDEX(DarlTilgStart,6))),0,MIN(MAX(0,$K2861-$L2861),$J2861)))</f>
      </c>
      <c r="N2861" s="43">
        <f>IF($I2861=0,0,MIN(SUMIFS(SondBetrag,SondDarl,6,SondDatum,"&gt;="&amp;$E2861,SondDatum,"&lt;="&amp;EOMONTH($E2861,0)),$J2861-$M2861))</f>
      </c>
      <c r="O2861" s="43">
        <f>IF($I2861=0,0,INDEX(DarlErsatzRate,6))</f>
      </c>
      <c r="P2861" s="43">
        <f>IF($I2861=0,0,$Q2860*INDEX(DarlErsatzZins,6))</f>
      </c>
      <c r="Q2861" s="43">
        <f>IF($I2861=0,0,$Q2860+$P2861+$O2861)</f>
      </c>
      <c r="R2861" s="43">
        <f>IF($I2861=0,0,$J2861-$M2861-$N2861)</f>
      </c>
    </row>
    <row r="2862">
      <c r="A2862"/>
      <c r="B2862">
        <v>6</v>
      </c>
      <c r="C2862" s="43">
        <f>INDEX(DarlObj,6)</f>
      </c>
      <c r="D2862">
        <v>459</v>
      </c>
      <c r="E2862" s="51">
        <f>IF(INDEX(DarlBelegt,6)=0,0,EOMONTH(INDEX(DarlAuszahlung,6),458)+1)</f>
      </c>
      <c r="F2862" s="43">
        <f>IF($E2862=0,0,YEAR($E2862))</f>
      </c>
      <c r="G2862" s="43">
        <f>IF(INDEX(DarlBindung,6)="",1,IF($E2862&lt;=INDEX(DarlBindung,6),1,0))</f>
      </c>
      <c r="H2862" s="43">
        <f>IF($G2862=1,INDEX(DarlSollzins,6),INDEX(DarlAnschluss,6))</f>
      </c>
      <c r="I2862" s="43">
        <f>IF(INDEX(DarlBelegt,6)=0,0,IF(INDEX(DarlOhneTilgung,6)=1,IF(INDEX(DarlBindung,6)="",1,$G2862),IF($J2862&gt;0.005,1,0)))</f>
      </c>
      <c r="J2862" s="43">
        <f>IF($I2861=0,0,$R2861)</f>
      </c>
      <c r="K2862" s="43">
        <f>IF($I2862=0,0,IF(INDEX(DarlOhneTilgung,6)=1,0,IF(AND(INDEX(DarlTilgStart,6)&gt;0,$E2862=INDEX(DarlTilgStart,6)),$J2862*($H2862+INDEX(DarlTilgung,6))/100/12,IF(AND($G2862=0,$G2861=1),MAX($K2861,$J2862*($H2862+1)/100/12),$K2861))))</f>
      </c>
      <c r="L2862" s="43">
        <f>IF($I2862=0,0,$J2862*$H2862/100/12)</f>
      </c>
      <c r="M2862" s="43">
        <f>IF($I2862=0,0,IF(OR(INDEX(DarlOhneTilgung,6)=1,AND(INDEX(DarlTilgStart,6)&gt;0,$E2862&lt;INDEX(DarlTilgStart,6))),0,MIN(MAX(0,$K2862-$L2862),$J2862)))</f>
      </c>
      <c r="N2862" s="43">
        <f>IF($I2862=0,0,MIN(SUMIFS(SondBetrag,SondDarl,6,SondDatum,"&gt;="&amp;$E2862,SondDatum,"&lt;="&amp;EOMONTH($E2862,0)),$J2862-$M2862))</f>
      </c>
      <c r="O2862" s="43">
        <f>IF($I2862=0,0,INDEX(DarlErsatzRate,6))</f>
      </c>
      <c r="P2862" s="43">
        <f>IF($I2862=0,0,$Q2861*INDEX(DarlErsatzZins,6))</f>
      </c>
      <c r="Q2862" s="43">
        <f>IF($I2862=0,0,$Q2861+$P2862+$O2862)</f>
      </c>
      <c r="R2862" s="43">
        <f>IF($I2862=0,0,$J2862-$M2862-$N2862)</f>
      </c>
    </row>
    <row r="2863">
      <c r="A2863"/>
      <c r="B2863">
        <v>6</v>
      </c>
      <c r="C2863" s="43">
        <f>INDEX(DarlObj,6)</f>
      </c>
      <c r="D2863">
        <v>460</v>
      </c>
      <c r="E2863" s="51">
        <f>IF(INDEX(DarlBelegt,6)=0,0,EOMONTH(INDEX(DarlAuszahlung,6),459)+1)</f>
      </c>
      <c r="F2863" s="43">
        <f>IF($E2863=0,0,YEAR($E2863))</f>
      </c>
      <c r="G2863" s="43">
        <f>IF(INDEX(DarlBindung,6)="",1,IF($E2863&lt;=INDEX(DarlBindung,6),1,0))</f>
      </c>
      <c r="H2863" s="43">
        <f>IF($G2863=1,INDEX(DarlSollzins,6),INDEX(DarlAnschluss,6))</f>
      </c>
      <c r="I2863" s="43">
        <f>IF(INDEX(DarlBelegt,6)=0,0,IF(INDEX(DarlOhneTilgung,6)=1,IF(INDEX(DarlBindung,6)="",1,$G2863),IF($J2863&gt;0.005,1,0)))</f>
      </c>
      <c r="J2863" s="43">
        <f>IF($I2862=0,0,$R2862)</f>
      </c>
      <c r="K2863" s="43">
        <f>IF($I2863=0,0,IF(INDEX(DarlOhneTilgung,6)=1,0,IF(AND(INDEX(DarlTilgStart,6)&gt;0,$E2863=INDEX(DarlTilgStart,6)),$J2863*($H2863+INDEX(DarlTilgung,6))/100/12,IF(AND($G2863=0,$G2862=1),MAX($K2862,$J2863*($H2863+1)/100/12),$K2862))))</f>
      </c>
      <c r="L2863" s="43">
        <f>IF($I2863=0,0,$J2863*$H2863/100/12)</f>
      </c>
      <c r="M2863" s="43">
        <f>IF($I2863=0,0,IF(OR(INDEX(DarlOhneTilgung,6)=1,AND(INDEX(DarlTilgStart,6)&gt;0,$E2863&lt;INDEX(DarlTilgStart,6))),0,MIN(MAX(0,$K2863-$L2863),$J2863)))</f>
      </c>
      <c r="N2863" s="43">
        <f>IF($I2863=0,0,MIN(SUMIFS(SondBetrag,SondDarl,6,SondDatum,"&gt;="&amp;$E2863,SondDatum,"&lt;="&amp;EOMONTH($E2863,0)),$J2863-$M2863))</f>
      </c>
      <c r="O2863" s="43">
        <f>IF($I2863=0,0,INDEX(DarlErsatzRate,6))</f>
      </c>
      <c r="P2863" s="43">
        <f>IF($I2863=0,0,$Q2862*INDEX(DarlErsatzZins,6))</f>
      </c>
      <c r="Q2863" s="43">
        <f>IF($I2863=0,0,$Q2862+$P2863+$O2863)</f>
      </c>
      <c r="R2863" s="43">
        <f>IF($I2863=0,0,$J2863-$M2863-$N2863)</f>
      </c>
    </row>
    <row r="2864">
      <c r="A2864"/>
      <c r="B2864">
        <v>6</v>
      </c>
      <c r="C2864" s="43">
        <f>INDEX(DarlObj,6)</f>
      </c>
      <c r="D2864">
        <v>461</v>
      </c>
      <c r="E2864" s="51">
        <f>IF(INDEX(DarlBelegt,6)=0,0,EOMONTH(INDEX(DarlAuszahlung,6),460)+1)</f>
      </c>
      <c r="F2864" s="43">
        <f>IF($E2864=0,0,YEAR($E2864))</f>
      </c>
      <c r="G2864" s="43">
        <f>IF(INDEX(DarlBindung,6)="",1,IF($E2864&lt;=INDEX(DarlBindung,6),1,0))</f>
      </c>
      <c r="H2864" s="43">
        <f>IF($G2864=1,INDEX(DarlSollzins,6),INDEX(DarlAnschluss,6))</f>
      </c>
      <c r="I2864" s="43">
        <f>IF(INDEX(DarlBelegt,6)=0,0,IF(INDEX(DarlOhneTilgung,6)=1,IF(INDEX(DarlBindung,6)="",1,$G2864),IF($J2864&gt;0.005,1,0)))</f>
      </c>
      <c r="J2864" s="43">
        <f>IF($I2863=0,0,$R2863)</f>
      </c>
      <c r="K2864" s="43">
        <f>IF($I2864=0,0,IF(INDEX(DarlOhneTilgung,6)=1,0,IF(AND(INDEX(DarlTilgStart,6)&gt;0,$E2864=INDEX(DarlTilgStart,6)),$J2864*($H2864+INDEX(DarlTilgung,6))/100/12,IF(AND($G2864=0,$G2863=1),MAX($K2863,$J2864*($H2864+1)/100/12),$K2863))))</f>
      </c>
      <c r="L2864" s="43">
        <f>IF($I2864=0,0,$J2864*$H2864/100/12)</f>
      </c>
      <c r="M2864" s="43">
        <f>IF($I2864=0,0,IF(OR(INDEX(DarlOhneTilgung,6)=1,AND(INDEX(DarlTilgStart,6)&gt;0,$E2864&lt;INDEX(DarlTilgStart,6))),0,MIN(MAX(0,$K2864-$L2864),$J2864)))</f>
      </c>
      <c r="N2864" s="43">
        <f>IF($I2864=0,0,MIN(SUMIFS(SondBetrag,SondDarl,6,SondDatum,"&gt;="&amp;$E2864,SondDatum,"&lt;="&amp;EOMONTH($E2864,0)),$J2864-$M2864))</f>
      </c>
      <c r="O2864" s="43">
        <f>IF($I2864=0,0,INDEX(DarlErsatzRate,6))</f>
      </c>
      <c r="P2864" s="43">
        <f>IF($I2864=0,0,$Q2863*INDEX(DarlErsatzZins,6))</f>
      </c>
      <c r="Q2864" s="43">
        <f>IF($I2864=0,0,$Q2863+$P2864+$O2864)</f>
      </c>
      <c r="R2864" s="43">
        <f>IF($I2864=0,0,$J2864-$M2864-$N2864)</f>
      </c>
    </row>
    <row r="2865">
      <c r="A2865"/>
      <c r="B2865">
        <v>6</v>
      </c>
      <c r="C2865" s="43">
        <f>INDEX(DarlObj,6)</f>
      </c>
      <c r="D2865">
        <v>462</v>
      </c>
      <c r="E2865" s="51">
        <f>IF(INDEX(DarlBelegt,6)=0,0,EOMONTH(INDEX(DarlAuszahlung,6),461)+1)</f>
      </c>
      <c r="F2865" s="43">
        <f>IF($E2865=0,0,YEAR($E2865))</f>
      </c>
      <c r="G2865" s="43">
        <f>IF(INDEX(DarlBindung,6)="",1,IF($E2865&lt;=INDEX(DarlBindung,6),1,0))</f>
      </c>
      <c r="H2865" s="43">
        <f>IF($G2865=1,INDEX(DarlSollzins,6),INDEX(DarlAnschluss,6))</f>
      </c>
      <c r="I2865" s="43">
        <f>IF(INDEX(DarlBelegt,6)=0,0,IF(INDEX(DarlOhneTilgung,6)=1,IF(INDEX(DarlBindung,6)="",1,$G2865),IF($J2865&gt;0.005,1,0)))</f>
      </c>
      <c r="J2865" s="43">
        <f>IF($I2864=0,0,$R2864)</f>
      </c>
      <c r="K2865" s="43">
        <f>IF($I2865=0,0,IF(INDEX(DarlOhneTilgung,6)=1,0,IF(AND(INDEX(DarlTilgStart,6)&gt;0,$E2865=INDEX(DarlTilgStart,6)),$J2865*($H2865+INDEX(DarlTilgung,6))/100/12,IF(AND($G2865=0,$G2864=1),MAX($K2864,$J2865*($H2865+1)/100/12),$K2864))))</f>
      </c>
      <c r="L2865" s="43">
        <f>IF($I2865=0,0,$J2865*$H2865/100/12)</f>
      </c>
      <c r="M2865" s="43">
        <f>IF($I2865=0,0,IF(OR(INDEX(DarlOhneTilgung,6)=1,AND(INDEX(DarlTilgStart,6)&gt;0,$E2865&lt;INDEX(DarlTilgStart,6))),0,MIN(MAX(0,$K2865-$L2865),$J2865)))</f>
      </c>
      <c r="N2865" s="43">
        <f>IF($I2865=0,0,MIN(SUMIFS(SondBetrag,SondDarl,6,SondDatum,"&gt;="&amp;$E2865,SondDatum,"&lt;="&amp;EOMONTH($E2865,0)),$J2865-$M2865))</f>
      </c>
      <c r="O2865" s="43">
        <f>IF($I2865=0,0,INDEX(DarlErsatzRate,6))</f>
      </c>
      <c r="P2865" s="43">
        <f>IF($I2865=0,0,$Q2864*INDEX(DarlErsatzZins,6))</f>
      </c>
      <c r="Q2865" s="43">
        <f>IF($I2865=0,0,$Q2864+$P2865+$O2865)</f>
      </c>
      <c r="R2865" s="43">
        <f>IF($I2865=0,0,$J2865-$M2865-$N2865)</f>
      </c>
    </row>
    <row r="2866">
      <c r="A2866"/>
      <c r="B2866">
        <v>6</v>
      </c>
      <c r="C2866" s="43">
        <f>INDEX(DarlObj,6)</f>
      </c>
      <c r="D2866">
        <v>463</v>
      </c>
      <c r="E2866" s="51">
        <f>IF(INDEX(DarlBelegt,6)=0,0,EOMONTH(INDEX(DarlAuszahlung,6),462)+1)</f>
      </c>
      <c r="F2866" s="43">
        <f>IF($E2866=0,0,YEAR($E2866))</f>
      </c>
      <c r="G2866" s="43">
        <f>IF(INDEX(DarlBindung,6)="",1,IF($E2866&lt;=INDEX(DarlBindung,6),1,0))</f>
      </c>
      <c r="H2866" s="43">
        <f>IF($G2866=1,INDEX(DarlSollzins,6),INDEX(DarlAnschluss,6))</f>
      </c>
      <c r="I2866" s="43">
        <f>IF(INDEX(DarlBelegt,6)=0,0,IF(INDEX(DarlOhneTilgung,6)=1,IF(INDEX(DarlBindung,6)="",1,$G2866),IF($J2866&gt;0.005,1,0)))</f>
      </c>
      <c r="J2866" s="43">
        <f>IF($I2865=0,0,$R2865)</f>
      </c>
      <c r="K2866" s="43">
        <f>IF($I2866=0,0,IF(INDEX(DarlOhneTilgung,6)=1,0,IF(AND(INDEX(DarlTilgStart,6)&gt;0,$E2866=INDEX(DarlTilgStart,6)),$J2866*($H2866+INDEX(DarlTilgung,6))/100/12,IF(AND($G2866=0,$G2865=1),MAX($K2865,$J2866*($H2866+1)/100/12),$K2865))))</f>
      </c>
      <c r="L2866" s="43">
        <f>IF($I2866=0,0,$J2866*$H2866/100/12)</f>
      </c>
      <c r="M2866" s="43">
        <f>IF($I2866=0,0,IF(OR(INDEX(DarlOhneTilgung,6)=1,AND(INDEX(DarlTilgStart,6)&gt;0,$E2866&lt;INDEX(DarlTilgStart,6))),0,MIN(MAX(0,$K2866-$L2866),$J2866)))</f>
      </c>
      <c r="N2866" s="43">
        <f>IF($I2866=0,0,MIN(SUMIFS(SondBetrag,SondDarl,6,SondDatum,"&gt;="&amp;$E2866,SondDatum,"&lt;="&amp;EOMONTH($E2866,0)),$J2866-$M2866))</f>
      </c>
      <c r="O2866" s="43">
        <f>IF($I2866=0,0,INDEX(DarlErsatzRate,6))</f>
      </c>
      <c r="P2866" s="43">
        <f>IF($I2866=0,0,$Q2865*INDEX(DarlErsatzZins,6))</f>
      </c>
      <c r="Q2866" s="43">
        <f>IF($I2866=0,0,$Q2865+$P2866+$O2866)</f>
      </c>
      <c r="R2866" s="43">
        <f>IF($I2866=0,0,$J2866-$M2866-$N2866)</f>
      </c>
    </row>
    <row r="2867">
      <c r="A2867"/>
      <c r="B2867">
        <v>6</v>
      </c>
      <c r="C2867" s="43">
        <f>INDEX(DarlObj,6)</f>
      </c>
      <c r="D2867">
        <v>464</v>
      </c>
      <c r="E2867" s="51">
        <f>IF(INDEX(DarlBelegt,6)=0,0,EOMONTH(INDEX(DarlAuszahlung,6),463)+1)</f>
      </c>
      <c r="F2867" s="43">
        <f>IF($E2867=0,0,YEAR($E2867))</f>
      </c>
      <c r="G2867" s="43">
        <f>IF(INDEX(DarlBindung,6)="",1,IF($E2867&lt;=INDEX(DarlBindung,6),1,0))</f>
      </c>
      <c r="H2867" s="43">
        <f>IF($G2867=1,INDEX(DarlSollzins,6),INDEX(DarlAnschluss,6))</f>
      </c>
      <c r="I2867" s="43">
        <f>IF(INDEX(DarlBelegt,6)=0,0,IF(INDEX(DarlOhneTilgung,6)=1,IF(INDEX(DarlBindung,6)="",1,$G2867),IF($J2867&gt;0.005,1,0)))</f>
      </c>
      <c r="J2867" s="43">
        <f>IF($I2866=0,0,$R2866)</f>
      </c>
      <c r="K2867" s="43">
        <f>IF($I2867=0,0,IF(INDEX(DarlOhneTilgung,6)=1,0,IF(AND(INDEX(DarlTilgStart,6)&gt;0,$E2867=INDEX(DarlTilgStart,6)),$J2867*($H2867+INDEX(DarlTilgung,6))/100/12,IF(AND($G2867=0,$G2866=1),MAX($K2866,$J2867*($H2867+1)/100/12),$K2866))))</f>
      </c>
      <c r="L2867" s="43">
        <f>IF($I2867=0,0,$J2867*$H2867/100/12)</f>
      </c>
      <c r="M2867" s="43">
        <f>IF($I2867=0,0,IF(OR(INDEX(DarlOhneTilgung,6)=1,AND(INDEX(DarlTilgStart,6)&gt;0,$E2867&lt;INDEX(DarlTilgStart,6))),0,MIN(MAX(0,$K2867-$L2867),$J2867)))</f>
      </c>
      <c r="N2867" s="43">
        <f>IF($I2867=0,0,MIN(SUMIFS(SondBetrag,SondDarl,6,SondDatum,"&gt;="&amp;$E2867,SondDatum,"&lt;="&amp;EOMONTH($E2867,0)),$J2867-$M2867))</f>
      </c>
      <c r="O2867" s="43">
        <f>IF($I2867=0,0,INDEX(DarlErsatzRate,6))</f>
      </c>
      <c r="P2867" s="43">
        <f>IF($I2867=0,0,$Q2866*INDEX(DarlErsatzZins,6))</f>
      </c>
      <c r="Q2867" s="43">
        <f>IF($I2867=0,0,$Q2866+$P2867+$O2867)</f>
      </c>
      <c r="R2867" s="43">
        <f>IF($I2867=0,0,$J2867-$M2867-$N2867)</f>
      </c>
    </row>
    <row r="2868">
      <c r="A2868"/>
      <c r="B2868">
        <v>6</v>
      </c>
      <c r="C2868" s="43">
        <f>INDEX(DarlObj,6)</f>
      </c>
      <c r="D2868">
        <v>465</v>
      </c>
      <c r="E2868" s="51">
        <f>IF(INDEX(DarlBelegt,6)=0,0,EOMONTH(INDEX(DarlAuszahlung,6),464)+1)</f>
      </c>
      <c r="F2868" s="43">
        <f>IF($E2868=0,0,YEAR($E2868))</f>
      </c>
      <c r="G2868" s="43">
        <f>IF(INDEX(DarlBindung,6)="",1,IF($E2868&lt;=INDEX(DarlBindung,6),1,0))</f>
      </c>
      <c r="H2868" s="43">
        <f>IF($G2868=1,INDEX(DarlSollzins,6),INDEX(DarlAnschluss,6))</f>
      </c>
      <c r="I2868" s="43">
        <f>IF(INDEX(DarlBelegt,6)=0,0,IF(INDEX(DarlOhneTilgung,6)=1,IF(INDEX(DarlBindung,6)="",1,$G2868),IF($J2868&gt;0.005,1,0)))</f>
      </c>
      <c r="J2868" s="43">
        <f>IF($I2867=0,0,$R2867)</f>
      </c>
      <c r="K2868" s="43">
        <f>IF($I2868=0,0,IF(INDEX(DarlOhneTilgung,6)=1,0,IF(AND(INDEX(DarlTilgStart,6)&gt;0,$E2868=INDEX(DarlTilgStart,6)),$J2868*($H2868+INDEX(DarlTilgung,6))/100/12,IF(AND($G2868=0,$G2867=1),MAX($K2867,$J2868*($H2868+1)/100/12),$K2867))))</f>
      </c>
      <c r="L2868" s="43">
        <f>IF($I2868=0,0,$J2868*$H2868/100/12)</f>
      </c>
      <c r="M2868" s="43">
        <f>IF($I2868=0,0,IF(OR(INDEX(DarlOhneTilgung,6)=1,AND(INDEX(DarlTilgStart,6)&gt;0,$E2868&lt;INDEX(DarlTilgStart,6))),0,MIN(MAX(0,$K2868-$L2868),$J2868)))</f>
      </c>
      <c r="N2868" s="43">
        <f>IF($I2868=0,0,MIN(SUMIFS(SondBetrag,SondDarl,6,SondDatum,"&gt;="&amp;$E2868,SondDatum,"&lt;="&amp;EOMONTH($E2868,0)),$J2868-$M2868))</f>
      </c>
      <c r="O2868" s="43">
        <f>IF($I2868=0,0,INDEX(DarlErsatzRate,6))</f>
      </c>
      <c r="P2868" s="43">
        <f>IF($I2868=0,0,$Q2867*INDEX(DarlErsatzZins,6))</f>
      </c>
      <c r="Q2868" s="43">
        <f>IF($I2868=0,0,$Q2867+$P2868+$O2868)</f>
      </c>
      <c r="R2868" s="43">
        <f>IF($I2868=0,0,$J2868-$M2868-$N2868)</f>
      </c>
    </row>
    <row r="2869">
      <c r="A2869"/>
      <c r="B2869">
        <v>6</v>
      </c>
      <c r="C2869" s="43">
        <f>INDEX(DarlObj,6)</f>
      </c>
      <c r="D2869">
        <v>466</v>
      </c>
      <c r="E2869" s="51">
        <f>IF(INDEX(DarlBelegt,6)=0,0,EOMONTH(INDEX(DarlAuszahlung,6),465)+1)</f>
      </c>
      <c r="F2869" s="43">
        <f>IF($E2869=0,0,YEAR($E2869))</f>
      </c>
      <c r="G2869" s="43">
        <f>IF(INDEX(DarlBindung,6)="",1,IF($E2869&lt;=INDEX(DarlBindung,6),1,0))</f>
      </c>
      <c r="H2869" s="43">
        <f>IF($G2869=1,INDEX(DarlSollzins,6),INDEX(DarlAnschluss,6))</f>
      </c>
      <c r="I2869" s="43">
        <f>IF(INDEX(DarlBelegt,6)=0,0,IF(INDEX(DarlOhneTilgung,6)=1,IF(INDEX(DarlBindung,6)="",1,$G2869),IF($J2869&gt;0.005,1,0)))</f>
      </c>
      <c r="J2869" s="43">
        <f>IF($I2868=0,0,$R2868)</f>
      </c>
      <c r="K2869" s="43">
        <f>IF($I2869=0,0,IF(INDEX(DarlOhneTilgung,6)=1,0,IF(AND(INDEX(DarlTilgStart,6)&gt;0,$E2869=INDEX(DarlTilgStart,6)),$J2869*($H2869+INDEX(DarlTilgung,6))/100/12,IF(AND($G2869=0,$G2868=1),MAX($K2868,$J2869*($H2869+1)/100/12),$K2868))))</f>
      </c>
      <c r="L2869" s="43">
        <f>IF($I2869=0,0,$J2869*$H2869/100/12)</f>
      </c>
      <c r="M2869" s="43">
        <f>IF($I2869=0,0,IF(OR(INDEX(DarlOhneTilgung,6)=1,AND(INDEX(DarlTilgStart,6)&gt;0,$E2869&lt;INDEX(DarlTilgStart,6))),0,MIN(MAX(0,$K2869-$L2869),$J2869)))</f>
      </c>
      <c r="N2869" s="43">
        <f>IF($I2869=0,0,MIN(SUMIFS(SondBetrag,SondDarl,6,SondDatum,"&gt;="&amp;$E2869,SondDatum,"&lt;="&amp;EOMONTH($E2869,0)),$J2869-$M2869))</f>
      </c>
      <c r="O2869" s="43">
        <f>IF($I2869=0,0,INDEX(DarlErsatzRate,6))</f>
      </c>
      <c r="P2869" s="43">
        <f>IF($I2869=0,0,$Q2868*INDEX(DarlErsatzZins,6))</f>
      </c>
      <c r="Q2869" s="43">
        <f>IF($I2869=0,0,$Q2868+$P2869+$O2869)</f>
      </c>
      <c r="R2869" s="43">
        <f>IF($I2869=0,0,$J2869-$M2869-$N2869)</f>
      </c>
    </row>
    <row r="2870">
      <c r="A2870"/>
      <c r="B2870">
        <v>6</v>
      </c>
      <c r="C2870" s="43">
        <f>INDEX(DarlObj,6)</f>
      </c>
      <c r="D2870">
        <v>467</v>
      </c>
      <c r="E2870" s="51">
        <f>IF(INDEX(DarlBelegt,6)=0,0,EOMONTH(INDEX(DarlAuszahlung,6),466)+1)</f>
      </c>
      <c r="F2870" s="43">
        <f>IF($E2870=0,0,YEAR($E2870))</f>
      </c>
      <c r="G2870" s="43">
        <f>IF(INDEX(DarlBindung,6)="",1,IF($E2870&lt;=INDEX(DarlBindung,6),1,0))</f>
      </c>
      <c r="H2870" s="43">
        <f>IF($G2870=1,INDEX(DarlSollzins,6),INDEX(DarlAnschluss,6))</f>
      </c>
      <c r="I2870" s="43">
        <f>IF(INDEX(DarlBelegt,6)=0,0,IF(INDEX(DarlOhneTilgung,6)=1,IF(INDEX(DarlBindung,6)="",1,$G2870),IF($J2870&gt;0.005,1,0)))</f>
      </c>
      <c r="J2870" s="43">
        <f>IF($I2869=0,0,$R2869)</f>
      </c>
      <c r="K2870" s="43">
        <f>IF($I2870=0,0,IF(INDEX(DarlOhneTilgung,6)=1,0,IF(AND(INDEX(DarlTilgStart,6)&gt;0,$E2870=INDEX(DarlTilgStart,6)),$J2870*($H2870+INDEX(DarlTilgung,6))/100/12,IF(AND($G2870=0,$G2869=1),MAX($K2869,$J2870*($H2870+1)/100/12),$K2869))))</f>
      </c>
      <c r="L2870" s="43">
        <f>IF($I2870=0,0,$J2870*$H2870/100/12)</f>
      </c>
      <c r="M2870" s="43">
        <f>IF($I2870=0,0,IF(OR(INDEX(DarlOhneTilgung,6)=1,AND(INDEX(DarlTilgStart,6)&gt;0,$E2870&lt;INDEX(DarlTilgStart,6))),0,MIN(MAX(0,$K2870-$L2870),$J2870)))</f>
      </c>
      <c r="N2870" s="43">
        <f>IF($I2870=0,0,MIN(SUMIFS(SondBetrag,SondDarl,6,SondDatum,"&gt;="&amp;$E2870,SondDatum,"&lt;="&amp;EOMONTH($E2870,0)),$J2870-$M2870))</f>
      </c>
      <c r="O2870" s="43">
        <f>IF($I2870=0,0,INDEX(DarlErsatzRate,6))</f>
      </c>
      <c r="P2870" s="43">
        <f>IF($I2870=0,0,$Q2869*INDEX(DarlErsatzZins,6))</f>
      </c>
      <c r="Q2870" s="43">
        <f>IF($I2870=0,0,$Q2869+$P2870+$O2870)</f>
      </c>
      <c r="R2870" s="43">
        <f>IF($I2870=0,0,$J2870-$M2870-$N2870)</f>
      </c>
    </row>
    <row r="2871">
      <c r="A2871"/>
      <c r="B2871">
        <v>6</v>
      </c>
      <c r="C2871" s="43">
        <f>INDEX(DarlObj,6)</f>
      </c>
      <c r="D2871">
        <v>468</v>
      </c>
      <c r="E2871" s="51">
        <f>IF(INDEX(DarlBelegt,6)=0,0,EOMONTH(INDEX(DarlAuszahlung,6),467)+1)</f>
      </c>
      <c r="F2871" s="43">
        <f>IF($E2871=0,0,YEAR($E2871))</f>
      </c>
      <c r="G2871" s="43">
        <f>IF(INDEX(DarlBindung,6)="",1,IF($E2871&lt;=INDEX(DarlBindung,6),1,0))</f>
      </c>
      <c r="H2871" s="43">
        <f>IF($G2871=1,INDEX(DarlSollzins,6),INDEX(DarlAnschluss,6))</f>
      </c>
      <c r="I2871" s="43">
        <f>IF(INDEX(DarlBelegt,6)=0,0,IF(INDEX(DarlOhneTilgung,6)=1,IF(INDEX(DarlBindung,6)="",1,$G2871),IF($J2871&gt;0.005,1,0)))</f>
      </c>
      <c r="J2871" s="43">
        <f>IF($I2870=0,0,$R2870)</f>
      </c>
      <c r="K2871" s="43">
        <f>IF($I2871=0,0,IF(INDEX(DarlOhneTilgung,6)=1,0,IF(AND(INDEX(DarlTilgStart,6)&gt;0,$E2871=INDEX(DarlTilgStart,6)),$J2871*($H2871+INDEX(DarlTilgung,6))/100/12,IF(AND($G2871=0,$G2870=1),MAX($K2870,$J2871*($H2871+1)/100/12),$K2870))))</f>
      </c>
      <c r="L2871" s="43">
        <f>IF($I2871=0,0,$J2871*$H2871/100/12)</f>
      </c>
      <c r="M2871" s="43">
        <f>IF($I2871=0,0,IF(OR(INDEX(DarlOhneTilgung,6)=1,AND(INDEX(DarlTilgStart,6)&gt;0,$E2871&lt;INDEX(DarlTilgStart,6))),0,MIN(MAX(0,$K2871-$L2871),$J2871)))</f>
      </c>
      <c r="N2871" s="43">
        <f>IF($I2871=0,0,MIN(SUMIFS(SondBetrag,SondDarl,6,SondDatum,"&gt;="&amp;$E2871,SondDatum,"&lt;="&amp;EOMONTH($E2871,0)),$J2871-$M2871))</f>
      </c>
      <c r="O2871" s="43">
        <f>IF($I2871=0,0,INDEX(DarlErsatzRate,6))</f>
      </c>
      <c r="P2871" s="43">
        <f>IF($I2871=0,0,$Q2870*INDEX(DarlErsatzZins,6))</f>
      </c>
      <c r="Q2871" s="43">
        <f>IF($I2871=0,0,$Q2870+$P2871+$O2871)</f>
      </c>
      <c r="R2871" s="43">
        <f>IF($I2871=0,0,$J2871-$M2871-$N2871)</f>
      </c>
    </row>
    <row r="2872">
      <c r="A2872"/>
      <c r="B2872">
        <v>6</v>
      </c>
      <c r="C2872" s="43">
        <f>INDEX(DarlObj,6)</f>
      </c>
      <c r="D2872">
        <v>469</v>
      </c>
      <c r="E2872" s="51">
        <f>IF(INDEX(DarlBelegt,6)=0,0,EOMONTH(INDEX(DarlAuszahlung,6),468)+1)</f>
      </c>
      <c r="F2872" s="43">
        <f>IF($E2872=0,0,YEAR($E2872))</f>
      </c>
      <c r="G2872" s="43">
        <f>IF(INDEX(DarlBindung,6)="",1,IF($E2872&lt;=INDEX(DarlBindung,6),1,0))</f>
      </c>
      <c r="H2872" s="43">
        <f>IF($G2872=1,INDEX(DarlSollzins,6),INDEX(DarlAnschluss,6))</f>
      </c>
      <c r="I2872" s="43">
        <f>IF(INDEX(DarlBelegt,6)=0,0,IF(INDEX(DarlOhneTilgung,6)=1,IF(INDEX(DarlBindung,6)="",1,$G2872),IF($J2872&gt;0.005,1,0)))</f>
      </c>
      <c r="J2872" s="43">
        <f>IF($I2871=0,0,$R2871)</f>
      </c>
      <c r="K2872" s="43">
        <f>IF($I2872=0,0,IF(INDEX(DarlOhneTilgung,6)=1,0,IF(AND(INDEX(DarlTilgStart,6)&gt;0,$E2872=INDEX(DarlTilgStart,6)),$J2872*($H2872+INDEX(DarlTilgung,6))/100/12,IF(AND($G2872=0,$G2871=1),MAX($K2871,$J2872*($H2872+1)/100/12),$K2871))))</f>
      </c>
      <c r="L2872" s="43">
        <f>IF($I2872=0,0,$J2872*$H2872/100/12)</f>
      </c>
      <c r="M2872" s="43">
        <f>IF($I2872=0,0,IF(OR(INDEX(DarlOhneTilgung,6)=1,AND(INDEX(DarlTilgStart,6)&gt;0,$E2872&lt;INDEX(DarlTilgStart,6))),0,MIN(MAX(0,$K2872-$L2872),$J2872)))</f>
      </c>
      <c r="N2872" s="43">
        <f>IF($I2872=0,0,MIN(SUMIFS(SondBetrag,SondDarl,6,SondDatum,"&gt;="&amp;$E2872,SondDatum,"&lt;="&amp;EOMONTH($E2872,0)),$J2872-$M2872))</f>
      </c>
      <c r="O2872" s="43">
        <f>IF($I2872=0,0,INDEX(DarlErsatzRate,6))</f>
      </c>
      <c r="P2872" s="43">
        <f>IF($I2872=0,0,$Q2871*INDEX(DarlErsatzZins,6))</f>
      </c>
      <c r="Q2872" s="43">
        <f>IF($I2872=0,0,$Q2871+$P2872+$O2872)</f>
      </c>
      <c r="R2872" s="43">
        <f>IF($I2872=0,0,$J2872-$M2872-$N2872)</f>
      </c>
    </row>
    <row r="2873">
      <c r="A2873"/>
      <c r="B2873">
        <v>6</v>
      </c>
      <c r="C2873" s="43">
        <f>INDEX(DarlObj,6)</f>
      </c>
      <c r="D2873">
        <v>470</v>
      </c>
      <c r="E2873" s="51">
        <f>IF(INDEX(DarlBelegt,6)=0,0,EOMONTH(INDEX(DarlAuszahlung,6),469)+1)</f>
      </c>
      <c r="F2873" s="43">
        <f>IF($E2873=0,0,YEAR($E2873))</f>
      </c>
      <c r="G2873" s="43">
        <f>IF(INDEX(DarlBindung,6)="",1,IF($E2873&lt;=INDEX(DarlBindung,6),1,0))</f>
      </c>
      <c r="H2873" s="43">
        <f>IF($G2873=1,INDEX(DarlSollzins,6),INDEX(DarlAnschluss,6))</f>
      </c>
      <c r="I2873" s="43">
        <f>IF(INDEX(DarlBelegt,6)=0,0,IF(INDEX(DarlOhneTilgung,6)=1,IF(INDEX(DarlBindung,6)="",1,$G2873),IF($J2873&gt;0.005,1,0)))</f>
      </c>
      <c r="J2873" s="43">
        <f>IF($I2872=0,0,$R2872)</f>
      </c>
      <c r="K2873" s="43">
        <f>IF($I2873=0,0,IF(INDEX(DarlOhneTilgung,6)=1,0,IF(AND(INDEX(DarlTilgStart,6)&gt;0,$E2873=INDEX(DarlTilgStart,6)),$J2873*($H2873+INDEX(DarlTilgung,6))/100/12,IF(AND($G2873=0,$G2872=1),MAX($K2872,$J2873*($H2873+1)/100/12),$K2872))))</f>
      </c>
      <c r="L2873" s="43">
        <f>IF($I2873=0,0,$J2873*$H2873/100/12)</f>
      </c>
      <c r="M2873" s="43">
        <f>IF($I2873=0,0,IF(OR(INDEX(DarlOhneTilgung,6)=1,AND(INDEX(DarlTilgStart,6)&gt;0,$E2873&lt;INDEX(DarlTilgStart,6))),0,MIN(MAX(0,$K2873-$L2873),$J2873)))</f>
      </c>
      <c r="N2873" s="43">
        <f>IF($I2873=0,0,MIN(SUMIFS(SondBetrag,SondDarl,6,SondDatum,"&gt;="&amp;$E2873,SondDatum,"&lt;="&amp;EOMONTH($E2873,0)),$J2873-$M2873))</f>
      </c>
      <c r="O2873" s="43">
        <f>IF($I2873=0,0,INDEX(DarlErsatzRate,6))</f>
      </c>
      <c r="P2873" s="43">
        <f>IF($I2873=0,0,$Q2872*INDEX(DarlErsatzZins,6))</f>
      </c>
      <c r="Q2873" s="43">
        <f>IF($I2873=0,0,$Q2872+$P2873+$O2873)</f>
      </c>
      <c r="R2873" s="43">
        <f>IF($I2873=0,0,$J2873-$M2873-$N2873)</f>
      </c>
    </row>
    <row r="2874">
      <c r="A2874"/>
      <c r="B2874">
        <v>6</v>
      </c>
      <c r="C2874" s="43">
        <f>INDEX(DarlObj,6)</f>
      </c>
      <c r="D2874">
        <v>471</v>
      </c>
      <c r="E2874" s="51">
        <f>IF(INDEX(DarlBelegt,6)=0,0,EOMONTH(INDEX(DarlAuszahlung,6),470)+1)</f>
      </c>
      <c r="F2874" s="43">
        <f>IF($E2874=0,0,YEAR($E2874))</f>
      </c>
      <c r="G2874" s="43">
        <f>IF(INDEX(DarlBindung,6)="",1,IF($E2874&lt;=INDEX(DarlBindung,6),1,0))</f>
      </c>
      <c r="H2874" s="43">
        <f>IF($G2874=1,INDEX(DarlSollzins,6),INDEX(DarlAnschluss,6))</f>
      </c>
      <c r="I2874" s="43">
        <f>IF(INDEX(DarlBelegt,6)=0,0,IF(INDEX(DarlOhneTilgung,6)=1,IF(INDEX(DarlBindung,6)="",1,$G2874),IF($J2874&gt;0.005,1,0)))</f>
      </c>
      <c r="J2874" s="43">
        <f>IF($I2873=0,0,$R2873)</f>
      </c>
      <c r="K2874" s="43">
        <f>IF($I2874=0,0,IF(INDEX(DarlOhneTilgung,6)=1,0,IF(AND(INDEX(DarlTilgStart,6)&gt;0,$E2874=INDEX(DarlTilgStart,6)),$J2874*($H2874+INDEX(DarlTilgung,6))/100/12,IF(AND($G2874=0,$G2873=1),MAX($K2873,$J2874*($H2874+1)/100/12),$K2873))))</f>
      </c>
      <c r="L2874" s="43">
        <f>IF($I2874=0,0,$J2874*$H2874/100/12)</f>
      </c>
      <c r="M2874" s="43">
        <f>IF($I2874=0,0,IF(OR(INDEX(DarlOhneTilgung,6)=1,AND(INDEX(DarlTilgStart,6)&gt;0,$E2874&lt;INDEX(DarlTilgStart,6))),0,MIN(MAX(0,$K2874-$L2874),$J2874)))</f>
      </c>
      <c r="N2874" s="43">
        <f>IF($I2874=0,0,MIN(SUMIFS(SondBetrag,SondDarl,6,SondDatum,"&gt;="&amp;$E2874,SondDatum,"&lt;="&amp;EOMONTH($E2874,0)),$J2874-$M2874))</f>
      </c>
      <c r="O2874" s="43">
        <f>IF($I2874=0,0,INDEX(DarlErsatzRate,6))</f>
      </c>
      <c r="P2874" s="43">
        <f>IF($I2874=0,0,$Q2873*INDEX(DarlErsatzZins,6))</f>
      </c>
      <c r="Q2874" s="43">
        <f>IF($I2874=0,0,$Q2873+$P2874+$O2874)</f>
      </c>
      <c r="R2874" s="43">
        <f>IF($I2874=0,0,$J2874-$M2874-$N2874)</f>
      </c>
    </row>
    <row r="2875">
      <c r="A2875"/>
      <c r="B2875">
        <v>6</v>
      </c>
      <c r="C2875" s="43">
        <f>INDEX(DarlObj,6)</f>
      </c>
      <c r="D2875">
        <v>472</v>
      </c>
      <c r="E2875" s="51">
        <f>IF(INDEX(DarlBelegt,6)=0,0,EOMONTH(INDEX(DarlAuszahlung,6),471)+1)</f>
      </c>
      <c r="F2875" s="43">
        <f>IF($E2875=0,0,YEAR($E2875))</f>
      </c>
      <c r="G2875" s="43">
        <f>IF(INDEX(DarlBindung,6)="",1,IF($E2875&lt;=INDEX(DarlBindung,6),1,0))</f>
      </c>
      <c r="H2875" s="43">
        <f>IF($G2875=1,INDEX(DarlSollzins,6),INDEX(DarlAnschluss,6))</f>
      </c>
      <c r="I2875" s="43">
        <f>IF(INDEX(DarlBelegt,6)=0,0,IF(INDEX(DarlOhneTilgung,6)=1,IF(INDEX(DarlBindung,6)="",1,$G2875),IF($J2875&gt;0.005,1,0)))</f>
      </c>
      <c r="J2875" s="43">
        <f>IF($I2874=0,0,$R2874)</f>
      </c>
      <c r="K2875" s="43">
        <f>IF($I2875=0,0,IF(INDEX(DarlOhneTilgung,6)=1,0,IF(AND(INDEX(DarlTilgStart,6)&gt;0,$E2875=INDEX(DarlTilgStart,6)),$J2875*($H2875+INDEX(DarlTilgung,6))/100/12,IF(AND($G2875=0,$G2874=1),MAX($K2874,$J2875*($H2875+1)/100/12),$K2874))))</f>
      </c>
      <c r="L2875" s="43">
        <f>IF($I2875=0,0,$J2875*$H2875/100/12)</f>
      </c>
      <c r="M2875" s="43">
        <f>IF($I2875=0,0,IF(OR(INDEX(DarlOhneTilgung,6)=1,AND(INDEX(DarlTilgStart,6)&gt;0,$E2875&lt;INDEX(DarlTilgStart,6))),0,MIN(MAX(0,$K2875-$L2875),$J2875)))</f>
      </c>
      <c r="N2875" s="43">
        <f>IF($I2875=0,0,MIN(SUMIFS(SondBetrag,SondDarl,6,SondDatum,"&gt;="&amp;$E2875,SondDatum,"&lt;="&amp;EOMONTH($E2875,0)),$J2875-$M2875))</f>
      </c>
      <c r="O2875" s="43">
        <f>IF($I2875=0,0,INDEX(DarlErsatzRate,6))</f>
      </c>
      <c r="P2875" s="43">
        <f>IF($I2875=0,0,$Q2874*INDEX(DarlErsatzZins,6))</f>
      </c>
      <c r="Q2875" s="43">
        <f>IF($I2875=0,0,$Q2874+$P2875+$O2875)</f>
      </c>
      <c r="R2875" s="43">
        <f>IF($I2875=0,0,$J2875-$M2875-$N2875)</f>
      </c>
    </row>
    <row r="2876">
      <c r="A2876"/>
      <c r="B2876">
        <v>6</v>
      </c>
      <c r="C2876" s="43">
        <f>INDEX(DarlObj,6)</f>
      </c>
      <c r="D2876">
        <v>473</v>
      </c>
      <c r="E2876" s="51">
        <f>IF(INDEX(DarlBelegt,6)=0,0,EOMONTH(INDEX(DarlAuszahlung,6),472)+1)</f>
      </c>
      <c r="F2876" s="43">
        <f>IF($E2876=0,0,YEAR($E2876))</f>
      </c>
      <c r="G2876" s="43">
        <f>IF(INDEX(DarlBindung,6)="",1,IF($E2876&lt;=INDEX(DarlBindung,6),1,0))</f>
      </c>
      <c r="H2876" s="43">
        <f>IF($G2876=1,INDEX(DarlSollzins,6),INDEX(DarlAnschluss,6))</f>
      </c>
      <c r="I2876" s="43">
        <f>IF(INDEX(DarlBelegt,6)=0,0,IF(INDEX(DarlOhneTilgung,6)=1,IF(INDEX(DarlBindung,6)="",1,$G2876),IF($J2876&gt;0.005,1,0)))</f>
      </c>
      <c r="J2876" s="43">
        <f>IF($I2875=0,0,$R2875)</f>
      </c>
      <c r="K2876" s="43">
        <f>IF($I2876=0,0,IF(INDEX(DarlOhneTilgung,6)=1,0,IF(AND(INDEX(DarlTilgStart,6)&gt;0,$E2876=INDEX(DarlTilgStart,6)),$J2876*($H2876+INDEX(DarlTilgung,6))/100/12,IF(AND($G2876=0,$G2875=1),MAX($K2875,$J2876*($H2876+1)/100/12),$K2875))))</f>
      </c>
      <c r="L2876" s="43">
        <f>IF($I2876=0,0,$J2876*$H2876/100/12)</f>
      </c>
      <c r="M2876" s="43">
        <f>IF($I2876=0,0,IF(OR(INDEX(DarlOhneTilgung,6)=1,AND(INDEX(DarlTilgStart,6)&gt;0,$E2876&lt;INDEX(DarlTilgStart,6))),0,MIN(MAX(0,$K2876-$L2876),$J2876)))</f>
      </c>
      <c r="N2876" s="43">
        <f>IF($I2876=0,0,MIN(SUMIFS(SondBetrag,SondDarl,6,SondDatum,"&gt;="&amp;$E2876,SondDatum,"&lt;="&amp;EOMONTH($E2876,0)),$J2876-$M2876))</f>
      </c>
      <c r="O2876" s="43">
        <f>IF($I2876=0,0,INDEX(DarlErsatzRate,6))</f>
      </c>
      <c r="P2876" s="43">
        <f>IF($I2876=0,0,$Q2875*INDEX(DarlErsatzZins,6))</f>
      </c>
      <c r="Q2876" s="43">
        <f>IF($I2876=0,0,$Q2875+$P2876+$O2876)</f>
      </c>
      <c r="R2876" s="43">
        <f>IF($I2876=0,0,$J2876-$M2876-$N2876)</f>
      </c>
    </row>
    <row r="2877">
      <c r="A2877"/>
      <c r="B2877">
        <v>6</v>
      </c>
      <c r="C2877" s="43">
        <f>INDEX(DarlObj,6)</f>
      </c>
      <c r="D2877">
        <v>474</v>
      </c>
      <c r="E2877" s="51">
        <f>IF(INDEX(DarlBelegt,6)=0,0,EOMONTH(INDEX(DarlAuszahlung,6),473)+1)</f>
      </c>
      <c r="F2877" s="43">
        <f>IF($E2877=0,0,YEAR($E2877))</f>
      </c>
      <c r="G2877" s="43">
        <f>IF(INDEX(DarlBindung,6)="",1,IF($E2877&lt;=INDEX(DarlBindung,6),1,0))</f>
      </c>
      <c r="H2877" s="43">
        <f>IF($G2877=1,INDEX(DarlSollzins,6),INDEX(DarlAnschluss,6))</f>
      </c>
      <c r="I2877" s="43">
        <f>IF(INDEX(DarlBelegt,6)=0,0,IF(INDEX(DarlOhneTilgung,6)=1,IF(INDEX(DarlBindung,6)="",1,$G2877),IF($J2877&gt;0.005,1,0)))</f>
      </c>
      <c r="J2877" s="43">
        <f>IF($I2876=0,0,$R2876)</f>
      </c>
      <c r="K2877" s="43">
        <f>IF($I2877=0,0,IF(INDEX(DarlOhneTilgung,6)=1,0,IF(AND(INDEX(DarlTilgStart,6)&gt;0,$E2877=INDEX(DarlTilgStart,6)),$J2877*($H2877+INDEX(DarlTilgung,6))/100/12,IF(AND($G2877=0,$G2876=1),MAX($K2876,$J2877*($H2877+1)/100/12),$K2876))))</f>
      </c>
      <c r="L2877" s="43">
        <f>IF($I2877=0,0,$J2877*$H2877/100/12)</f>
      </c>
      <c r="M2877" s="43">
        <f>IF($I2877=0,0,IF(OR(INDEX(DarlOhneTilgung,6)=1,AND(INDEX(DarlTilgStart,6)&gt;0,$E2877&lt;INDEX(DarlTilgStart,6))),0,MIN(MAX(0,$K2877-$L2877),$J2877)))</f>
      </c>
      <c r="N2877" s="43">
        <f>IF($I2877=0,0,MIN(SUMIFS(SondBetrag,SondDarl,6,SondDatum,"&gt;="&amp;$E2877,SondDatum,"&lt;="&amp;EOMONTH($E2877,0)),$J2877-$M2877))</f>
      </c>
      <c r="O2877" s="43">
        <f>IF($I2877=0,0,INDEX(DarlErsatzRate,6))</f>
      </c>
      <c r="P2877" s="43">
        <f>IF($I2877=0,0,$Q2876*INDEX(DarlErsatzZins,6))</f>
      </c>
      <c r="Q2877" s="43">
        <f>IF($I2877=0,0,$Q2876+$P2877+$O2877)</f>
      </c>
      <c r="R2877" s="43">
        <f>IF($I2877=0,0,$J2877-$M2877-$N2877)</f>
      </c>
    </row>
    <row r="2878">
      <c r="A2878"/>
      <c r="B2878">
        <v>6</v>
      </c>
      <c r="C2878" s="43">
        <f>INDEX(DarlObj,6)</f>
      </c>
      <c r="D2878">
        <v>475</v>
      </c>
      <c r="E2878" s="51">
        <f>IF(INDEX(DarlBelegt,6)=0,0,EOMONTH(INDEX(DarlAuszahlung,6),474)+1)</f>
      </c>
      <c r="F2878" s="43">
        <f>IF($E2878=0,0,YEAR($E2878))</f>
      </c>
      <c r="G2878" s="43">
        <f>IF(INDEX(DarlBindung,6)="",1,IF($E2878&lt;=INDEX(DarlBindung,6),1,0))</f>
      </c>
      <c r="H2878" s="43">
        <f>IF($G2878=1,INDEX(DarlSollzins,6),INDEX(DarlAnschluss,6))</f>
      </c>
      <c r="I2878" s="43">
        <f>IF(INDEX(DarlBelegt,6)=0,0,IF(INDEX(DarlOhneTilgung,6)=1,IF(INDEX(DarlBindung,6)="",1,$G2878),IF($J2878&gt;0.005,1,0)))</f>
      </c>
      <c r="J2878" s="43">
        <f>IF($I2877=0,0,$R2877)</f>
      </c>
      <c r="K2878" s="43">
        <f>IF($I2878=0,0,IF(INDEX(DarlOhneTilgung,6)=1,0,IF(AND(INDEX(DarlTilgStart,6)&gt;0,$E2878=INDEX(DarlTilgStart,6)),$J2878*($H2878+INDEX(DarlTilgung,6))/100/12,IF(AND($G2878=0,$G2877=1),MAX($K2877,$J2878*($H2878+1)/100/12),$K2877))))</f>
      </c>
      <c r="L2878" s="43">
        <f>IF($I2878=0,0,$J2878*$H2878/100/12)</f>
      </c>
      <c r="M2878" s="43">
        <f>IF($I2878=0,0,IF(OR(INDEX(DarlOhneTilgung,6)=1,AND(INDEX(DarlTilgStart,6)&gt;0,$E2878&lt;INDEX(DarlTilgStart,6))),0,MIN(MAX(0,$K2878-$L2878),$J2878)))</f>
      </c>
      <c r="N2878" s="43">
        <f>IF($I2878=0,0,MIN(SUMIFS(SondBetrag,SondDarl,6,SondDatum,"&gt;="&amp;$E2878,SondDatum,"&lt;="&amp;EOMONTH($E2878,0)),$J2878-$M2878))</f>
      </c>
      <c r="O2878" s="43">
        <f>IF($I2878=0,0,INDEX(DarlErsatzRate,6))</f>
      </c>
      <c r="P2878" s="43">
        <f>IF($I2878=0,0,$Q2877*INDEX(DarlErsatzZins,6))</f>
      </c>
      <c r="Q2878" s="43">
        <f>IF($I2878=0,0,$Q2877+$P2878+$O2878)</f>
      </c>
      <c r="R2878" s="43">
        <f>IF($I2878=0,0,$J2878-$M2878-$N2878)</f>
      </c>
    </row>
    <row r="2879">
      <c r="A2879"/>
      <c r="B2879">
        <v>6</v>
      </c>
      <c r="C2879" s="43">
        <f>INDEX(DarlObj,6)</f>
      </c>
      <c r="D2879">
        <v>476</v>
      </c>
      <c r="E2879" s="51">
        <f>IF(INDEX(DarlBelegt,6)=0,0,EOMONTH(INDEX(DarlAuszahlung,6),475)+1)</f>
      </c>
      <c r="F2879" s="43">
        <f>IF($E2879=0,0,YEAR($E2879))</f>
      </c>
      <c r="G2879" s="43">
        <f>IF(INDEX(DarlBindung,6)="",1,IF($E2879&lt;=INDEX(DarlBindung,6),1,0))</f>
      </c>
      <c r="H2879" s="43">
        <f>IF($G2879=1,INDEX(DarlSollzins,6),INDEX(DarlAnschluss,6))</f>
      </c>
      <c r="I2879" s="43">
        <f>IF(INDEX(DarlBelegt,6)=0,0,IF(INDEX(DarlOhneTilgung,6)=1,IF(INDEX(DarlBindung,6)="",1,$G2879),IF($J2879&gt;0.005,1,0)))</f>
      </c>
      <c r="J2879" s="43">
        <f>IF($I2878=0,0,$R2878)</f>
      </c>
      <c r="K2879" s="43">
        <f>IF($I2879=0,0,IF(INDEX(DarlOhneTilgung,6)=1,0,IF(AND(INDEX(DarlTilgStart,6)&gt;0,$E2879=INDEX(DarlTilgStart,6)),$J2879*($H2879+INDEX(DarlTilgung,6))/100/12,IF(AND($G2879=0,$G2878=1),MAX($K2878,$J2879*($H2879+1)/100/12),$K2878))))</f>
      </c>
      <c r="L2879" s="43">
        <f>IF($I2879=0,0,$J2879*$H2879/100/12)</f>
      </c>
      <c r="M2879" s="43">
        <f>IF($I2879=0,0,IF(OR(INDEX(DarlOhneTilgung,6)=1,AND(INDEX(DarlTilgStart,6)&gt;0,$E2879&lt;INDEX(DarlTilgStart,6))),0,MIN(MAX(0,$K2879-$L2879),$J2879)))</f>
      </c>
      <c r="N2879" s="43">
        <f>IF($I2879=0,0,MIN(SUMIFS(SondBetrag,SondDarl,6,SondDatum,"&gt;="&amp;$E2879,SondDatum,"&lt;="&amp;EOMONTH($E2879,0)),$J2879-$M2879))</f>
      </c>
      <c r="O2879" s="43">
        <f>IF($I2879=0,0,INDEX(DarlErsatzRate,6))</f>
      </c>
      <c r="P2879" s="43">
        <f>IF($I2879=0,0,$Q2878*INDEX(DarlErsatzZins,6))</f>
      </c>
      <c r="Q2879" s="43">
        <f>IF($I2879=0,0,$Q2878+$P2879+$O2879)</f>
      </c>
      <c r="R2879" s="43">
        <f>IF($I2879=0,0,$J2879-$M2879-$N2879)</f>
      </c>
    </row>
    <row r="2880">
      <c r="A2880"/>
      <c r="B2880">
        <v>6</v>
      </c>
      <c r="C2880" s="43">
        <f>INDEX(DarlObj,6)</f>
      </c>
      <c r="D2880">
        <v>477</v>
      </c>
      <c r="E2880" s="51">
        <f>IF(INDEX(DarlBelegt,6)=0,0,EOMONTH(INDEX(DarlAuszahlung,6),476)+1)</f>
      </c>
      <c r="F2880" s="43">
        <f>IF($E2880=0,0,YEAR($E2880))</f>
      </c>
      <c r="G2880" s="43">
        <f>IF(INDEX(DarlBindung,6)="",1,IF($E2880&lt;=INDEX(DarlBindung,6),1,0))</f>
      </c>
      <c r="H2880" s="43">
        <f>IF($G2880=1,INDEX(DarlSollzins,6),INDEX(DarlAnschluss,6))</f>
      </c>
      <c r="I2880" s="43">
        <f>IF(INDEX(DarlBelegt,6)=0,0,IF(INDEX(DarlOhneTilgung,6)=1,IF(INDEX(DarlBindung,6)="",1,$G2880),IF($J2880&gt;0.005,1,0)))</f>
      </c>
      <c r="J2880" s="43">
        <f>IF($I2879=0,0,$R2879)</f>
      </c>
      <c r="K2880" s="43">
        <f>IF($I2880=0,0,IF(INDEX(DarlOhneTilgung,6)=1,0,IF(AND(INDEX(DarlTilgStart,6)&gt;0,$E2880=INDEX(DarlTilgStart,6)),$J2880*($H2880+INDEX(DarlTilgung,6))/100/12,IF(AND($G2880=0,$G2879=1),MAX($K2879,$J2880*($H2880+1)/100/12),$K2879))))</f>
      </c>
      <c r="L2880" s="43">
        <f>IF($I2880=0,0,$J2880*$H2880/100/12)</f>
      </c>
      <c r="M2880" s="43">
        <f>IF($I2880=0,0,IF(OR(INDEX(DarlOhneTilgung,6)=1,AND(INDEX(DarlTilgStart,6)&gt;0,$E2880&lt;INDEX(DarlTilgStart,6))),0,MIN(MAX(0,$K2880-$L2880),$J2880)))</f>
      </c>
      <c r="N2880" s="43">
        <f>IF($I2880=0,0,MIN(SUMIFS(SondBetrag,SondDarl,6,SondDatum,"&gt;="&amp;$E2880,SondDatum,"&lt;="&amp;EOMONTH($E2880,0)),$J2880-$M2880))</f>
      </c>
      <c r="O2880" s="43">
        <f>IF($I2880=0,0,INDEX(DarlErsatzRate,6))</f>
      </c>
      <c r="P2880" s="43">
        <f>IF($I2880=0,0,$Q2879*INDEX(DarlErsatzZins,6))</f>
      </c>
      <c r="Q2880" s="43">
        <f>IF($I2880=0,0,$Q2879+$P2880+$O2880)</f>
      </c>
      <c r="R2880" s="43">
        <f>IF($I2880=0,0,$J2880-$M2880-$N2880)</f>
      </c>
    </row>
    <row r="2881">
      <c r="A2881"/>
      <c r="B2881">
        <v>6</v>
      </c>
      <c r="C2881" s="43">
        <f>INDEX(DarlObj,6)</f>
      </c>
      <c r="D2881">
        <v>478</v>
      </c>
      <c r="E2881" s="51">
        <f>IF(INDEX(DarlBelegt,6)=0,0,EOMONTH(INDEX(DarlAuszahlung,6),477)+1)</f>
      </c>
      <c r="F2881" s="43">
        <f>IF($E2881=0,0,YEAR($E2881))</f>
      </c>
      <c r="G2881" s="43">
        <f>IF(INDEX(DarlBindung,6)="",1,IF($E2881&lt;=INDEX(DarlBindung,6),1,0))</f>
      </c>
      <c r="H2881" s="43">
        <f>IF($G2881=1,INDEX(DarlSollzins,6),INDEX(DarlAnschluss,6))</f>
      </c>
      <c r="I2881" s="43">
        <f>IF(INDEX(DarlBelegt,6)=0,0,IF(INDEX(DarlOhneTilgung,6)=1,IF(INDEX(DarlBindung,6)="",1,$G2881),IF($J2881&gt;0.005,1,0)))</f>
      </c>
      <c r="J2881" s="43">
        <f>IF($I2880=0,0,$R2880)</f>
      </c>
      <c r="K2881" s="43">
        <f>IF($I2881=0,0,IF(INDEX(DarlOhneTilgung,6)=1,0,IF(AND(INDEX(DarlTilgStart,6)&gt;0,$E2881=INDEX(DarlTilgStart,6)),$J2881*($H2881+INDEX(DarlTilgung,6))/100/12,IF(AND($G2881=0,$G2880=1),MAX($K2880,$J2881*($H2881+1)/100/12),$K2880))))</f>
      </c>
      <c r="L2881" s="43">
        <f>IF($I2881=0,0,$J2881*$H2881/100/12)</f>
      </c>
      <c r="M2881" s="43">
        <f>IF($I2881=0,0,IF(OR(INDEX(DarlOhneTilgung,6)=1,AND(INDEX(DarlTilgStart,6)&gt;0,$E2881&lt;INDEX(DarlTilgStart,6))),0,MIN(MAX(0,$K2881-$L2881),$J2881)))</f>
      </c>
      <c r="N2881" s="43">
        <f>IF($I2881=0,0,MIN(SUMIFS(SondBetrag,SondDarl,6,SondDatum,"&gt;="&amp;$E2881,SondDatum,"&lt;="&amp;EOMONTH($E2881,0)),$J2881-$M2881))</f>
      </c>
      <c r="O2881" s="43">
        <f>IF($I2881=0,0,INDEX(DarlErsatzRate,6))</f>
      </c>
      <c r="P2881" s="43">
        <f>IF($I2881=0,0,$Q2880*INDEX(DarlErsatzZins,6))</f>
      </c>
      <c r="Q2881" s="43">
        <f>IF($I2881=0,0,$Q2880+$P2881+$O2881)</f>
      </c>
      <c r="R2881" s="43">
        <f>IF($I2881=0,0,$J2881-$M2881-$N2881)</f>
      </c>
    </row>
    <row r="2882">
      <c r="A2882"/>
      <c r="B2882">
        <v>6</v>
      </c>
      <c r="C2882" s="43">
        <f>INDEX(DarlObj,6)</f>
      </c>
      <c r="D2882">
        <v>479</v>
      </c>
      <c r="E2882" s="51">
        <f>IF(INDEX(DarlBelegt,6)=0,0,EOMONTH(INDEX(DarlAuszahlung,6),478)+1)</f>
      </c>
      <c r="F2882" s="43">
        <f>IF($E2882=0,0,YEAR($E2882))</f>
      </c>
      <c r="G2882" s="43">
        <f>IF(INDEX(DarlBindung,6)="",1,IF($E2882&lt;=INDEX(DarlBindung,6),1,0))</f>
      </c>
      <c r="H2882" s="43">
        <f>IF($G2882=1,INDEX(DarlSollzins,6),INDEX(DarlAnschluss,6))</f>
      </c>
      <c r="I2882" s="43">
        <f>IF(INDEX(DarlBelegt,6)=0,0,IF(INDEX(DarlOhneTilgung,6)=1,IF(INDEX(DarlBindung,6)="",1,$G2882),IF($J2882&gt;0.005,1,0)))</f>
      </c>
      <c r="J2882" s="43">
        <f>IF($I2881=0,0,$R2881)</f>
      </c>
      <c r="K2882" s="43">
        <f>IF($I2882=0,0,IF(INDEX(DarlOhneTilgung,6)=1,0,IF(AND(INDEX(DarlTilgStart,6)&gt;0,$E2882=INDEX(DarlTilgStart,6)),$J2882*($H2882+INDEX(DarlTilgung,6))/100/12,IF(AND($G2882=0,$G2881=1),MAX($K2881,$J2882*($H2882+1)/100/12),$K2881))))</f>
      </c>
      <c r="L2882" s="43">
        <f>IF($I2882=0,0,$J2882*$H2882/100/12)</f>
      </c>
      <c r="M2882" s="43">
        <f>IF($I2882=0,0,IF(OR(INDEX(DarlOhneTilgung,6)=1,AND(INDEX(DarlTilgStart,6)&gt;0,$E2882&lt;INDEX(DarlTilgStart,6))),0,MIN(MAX(0,$K2882-$L2882),$J2882)))</f>
      </c>
      <c r="N2882" s="43">
        <f>IF($I2882=0,0,MIN(SUMIFS(SondBetrag,SondDarl,6,SondDatum,"&gt;="&amp;$E2882,SondDatum,"&lt;="&amp;EOMONTH($E2882,0)),$J2882-$M2882))</f>
      </c>
      <c r="O2882" s="43">
        <f>IF($I2882=0,0,INDEX(DarlErsatzRate,6))</f>
      </c>
      <c r="P2882" s="43">
        <f>IF($I2882=0,0,$Q2881*INDEX(DarlErsatzZins,6))</f>
      </c>
      <c r="Q2882" s="43">
        <f>IF($I2882=0,0,$Q2881+$P2882+$O2882)</f>
      </c>
      <c r="R2882" s="43">
        <f>IF($I2882=0,0,$J2882-$M2882-$N2882)</f>
      </c>
    </row>
    <row r="2883">
      <c r="A2883"/>
      <c r="B2883">
        <v>6</v>
      </c>
      <c r="C2883" s="43">
        <f>INDEX(DarlObj,6)</f>
      </c>
      <c r="D2883">
        <v>480</v>
      </c>
      <c r="E2883" s="51">
        <f>IF(INDEX(DarlBelegt,6)=0,0,EOMONTH(INDEX(DarlAuszahlung,6),479)+1)</f>
      </c>
      <c r="F2883" s="43">
        <f>IF($E2883=0,0,YEAR($E2883))</f>
      </c>
      <c r="G2883" s="43">
        <f>IF(INDEX(DarlBindung,6)="",1,IF($E2883&lt;=INDEX(DarlBindung,6),1,0))</f>
      </c>
      <c r="H2883" s="43">
        <f>IF($G2883=1,INDEX(DarlSollzins,6),INDEX(DarlAnschluss,6))</f>
      </c>
      <c r="I2883" s="43">
        <f>IF(INDEX(DarlBelegt,6)=0,0,IF(INDEX(DarlOhneTilgung,6)=1,IF(INDEX(DarlBindung,6)="",1,$G2883),IF($J2883&gt;0.005,1,0)))</f>
      </c>
      <c r="J2883" s="43">
        <f>IF($I2882=0,0,$R2882)</f>
      </c>
      <c r="K2883" s="43">
        <f>IF($I2883=0,0,IF(INDEX(DarlOhneTilgung,6)=1,0,IF(AND(INDEX(DarlTilgStart,6)&gt;0,$E2883=INDEX(DarlTilgStart,6)),$J2883*($H2883+INDEX(DarlTilgung,6))/100/12,IF(AND($G2883=0,$G2882=1),MAX($K2882,$J2883*($H2883+1)/100/12),$K2882))))</f>
      </c>
      <c r="L2883" s="43">
        <f>IF($I2883=0,0,$J2883*$H2883/100/12)</f>
      </c>
      <c r="M2883" s="43">
        <f>IF($I2883=0,0,IF(OR(INDEX(DarlOhneTilgung,6)=1,AND(INDEX(DarlTilgStart,6)&gt;0,$E2883&lt;INDEX(DarlTilgStart,6))),0,MIN(MAX(0,$K2883-$L2883),$J2883)))</f>
      </c>
      <c r="N2883" s="43">
        <f>IF($I2883=0,0,MIN(SUMIFS(SondBetrag,SondDarl,6,SondDatum,"&gt;="&amp;$E2883,SondDatum,"&lt;="&amp;EOMONTH($E2883,0)),$J2883-$M2883))</f>
      </c>
      <c r="O2883" s="43">
        <f>IF($I2883=0,0,INDEX(DarlErsatzRate,6))</f>
      </c>
      <c r="P2883" s="43">
        <f>IF($I2883=0,0,$Q2882*INDEX(DarlErsatzZins,6))</f>
      </c>
      <c r="Q2883" s="43">
        <f>IF($I2883=0,0,$Q2882+$P2883+$O2883)</f>
      </c>
      <c r="R2883" s="43">
        <f>IF($I2883=0,0,$J2883-$M2883-$N2883)</f>
      </c>
    </row>
    <row r="2884">
      <c r="A2884"/>
      <c r="B2884">
        <v>7</v>
      </c>
      <c r="C2884" s="43">
        <f>INDEX(DarlObj,7)</f>
      </c>
      <c r="D2884">
        <v>1</v>
      </c>
      <c r="E2884" s="51">
        <f>IF(INDEX(DarlBelegt,7)=0,0,EOMONTH(INDEX(DarlAuszahlung,7),0)+1)</f>
      </c>
      <c r="F2884" s="43">
        <f>IF($E2884=0,0,YEAR($E2884))</f>
      </c>
      <c r="G2884" s="43">
        <f>IF(INDEX(DarlBindung,7)="",1,IF($E2884&lt;=INDEX(DarlBindung,7),1,0))</f>
      </c>
      <c r="H2884" s="43">
        <f>IF($G2884=1,INDEX(DarlSollzins,7),INDEX(DarlAnschluss,7))</f>
      </c>
      <c r="I2884" s="43">
        <f>IF(INDEX(DarlBelegt,7)=0,0,IF(INDEX(DarlOhneTilgung,7)=1,IF(INDEX(DarlBindung,7)="",1,$G2884),IF($J2884&gt;0.005,1,0)))</f>
      </c>
      <c r="J2884" s="43">
        <f>IF(INDEX(DarlBelegt,7)=0,0,INDEX(DarlBetrag,7))</f>
      </c>
      <c r="K2884" s="43">
        <f>IF($I2884=0,0,IF(INDEX(DarlOhneTilgung,7)=1,0,INDEX(DarlRate1,7)))</f>
      </c>
      <c r="L2884" s="43">
        <f>IF($I2884=0,0,$J2884*$H2884/100/12)</f>
      </c>
      <c r="M2884" s="43">
        <f>IF($I2884=0,0,IF(OR(INDEX(DarlOhneTilgung,7)=1,AND(INDEX(DarlTilgStart,7)&gt;0,$E2884&lt;INDEX(DarlTilgStart,7))),0,MIN(MAX(0,$K2884-$L2884),$J2884)))</f>
      </c>
      <c r="N2884" s="43">
        <f>IF($I2884=0,0,MIN(SUMIFS(SondBetrag,SondDarl,7,SondDatum,"&gt;="&amp;$E2884,SondDatum,"&lt;="&amp;EOMONTH($E2884,0)),$J2884-$M2884))</f>
      </c>
      <c r="O2884" s="43">
        <f>IF($I2884=0,0,INDEX(DarlErsatzRate,7))</f>
      </c>
      <c r="P2884" s="43">
        <f>0</f>
      </c>
      <c r="Q2884" s="43">
        <f>IF($I2884=0,0,$P2884+$O2884)</f>
      </c>
      <c r="R2884" s="43">
        <f>IF($I2884=0,0,$J2884-$M2884-$N2884)</f>
      </c>
    </row>
    <row r="2885">
      <c r="A2885"/>
      <c r="B2885">
        <v>7</v>
      </c>
      <c r="C2885" s="43">
        <f>INDEX(DarlObj,7)</f>
      </c>
      <c r="D2885">
        <v>2</v>
      </c>
      <c r="E2885" s="51">
        <f>IF(INDEX(DarlBelegt,7)=0,0,EOMONTH(INDEX(DarlAuszahlung,7),1)+1)</f>
      </c>
      <c r="F2885" s="43">
        <f>IF($E2885=0,0,YEAR($E2885))</f>
      </c>
      <c r="G2885" s="43">
        <f>IF(INDEX(DarlBindung,7)="",1,IF($E2885&lt;=INDEX(DarlBindung,7),1,0))</f>
      </c>
      <c r="H2885" s="43">
        <f>IF($G2885=1,INDEX(DarlSollzins,7),INDEX(DarlAnschluss,7))</f>
      </c>
      <c r="I2885" s="43">
        <f>IF(INDEX(DarlBelegt,7)=0,0,IF(INDEX(DarlOhneTilgung,7)=1,IF(INDEX(DarlBindung,7)="",1,$G2885),IF($J2885&gt;0.005,1,0)))</f>
      </c>
      <c r="J2885" s="43">
        <f>IF($I2884=0,0,$R2884)</f>
      </c>
      <c r="K2885" s="43">
        <f>IF($I2885=0,0,IF(INDEX(DarlOhneTilgung,7)=1,0,IF(AND(INDEX(DarlTilgStart,7)&gt;0,$E2885=INDEX(DarlTilgStart,7)),$J2885*($H2885+INDEX(DarlTilgung,7))/100/12,IF(AND($G2885=0,$G2884=1),MAX($K2884,$J2885*($H2885+1)/100/12),$K2884))))</f>
      </c>
      <c r="L2885" s="43">
        <f>IF($I2885=0,0,$J2885*$H2885/100/12)</f>
      </c>
      <c r="M2885" s="43">
        <f>IF($I2885=0,0,IF(OR(INDEX(DarlOhneTilgung,7)=1,AND(INDEX(DarlTilgStart,7)&gt;0,$E2885&lt;INDEX(DarlTilgStart,7))),0,MIN(MAX(0,$K2885-$L2885),$J2885)))</f>
      </c>
      <c r="N2885" s="43">
        <f>IF($I2885=0,0,MIN(SUMIFS(SondBetrag,SondDarl,7,SondDatum,"&gt;="&amp;$E2885,SondDatum,"&lt;="&amp;EOMONTH($E2885,0)),$J2885-$M2885))</f>
      </c>
      <c r="O2885" s="43">
        <f>IF($I2885=0,0,INDEX(DarlErsatzRate,7))</f>
      </c>
      <c r="P2885" s="43">
        <f>IF($I2885=0,0,$Q2884*INDEX(DarlErsatzZins,7))</f>
      </c>
      <c r="Q2885" s="43">
        <f>IF($I2885=0,0,$Q2884+$P2885+$O2885)</f>
      </c>
      <c r="R2885" s="43">
        <f>IF($I2885=0,0,$J2885-$M2885-$N2885)</f>
      </c>
    </row>
    <row r="2886">
      <c r="A2886"/>
      <c r="B2886">
        <v>7</v>
      </c>
      <c r="C2886" s="43">
        <f>INDEX(DarlObj,7)</f>
      </c>
      <c r="D2886">
        <v>3</v>
      </c>
      <c r="E2886" s="51">
        <f>IF(INDEX(DarlBelegt,7)=0,0,EOMONTH(INDEX(DarlAuszahlung,7),2)+1)</f>
      </c>
      <c r="F2886" s="43">
        <f>IF($E2886=0,0,YEAR($E2886))</f>
      </c>
      <c r="G2886" s="43">
        <f>IF(INDEX(DarlBindung,7)="",1,IF($E2886&lt;=INDEX(DarlBindung,7),1,0))</f>
      </c>
      <c r="H2886" s="43">
        <f>IF($G2886=1,INDEX(DarlSollzins,7),INDEX(DarlAnschluss,7))</f>
      </c>
      <c r="I2886" s="43">
        <f>IF(INDEX(DarlBelegt,7)=0,0,IF(INDEX(DarlOhneTilgung,7)=1,IF(INDEX(DarlBindung,7)="",1,$G2886),IF($J2886&gt;0.005,1,0)))</f>
      </c>
      <c r="J2886" s="43">
        <f>IF($I2885=0,0,$R2885)</f>
      </c>
      <c r="K2886" s="43">
        <f>IF($I2886=0,0,IF(INDEX(DarlOhneTilgung,7)=1,0,IF(AND(INDEX(DarlTilgStart,7)&gt;0,$E2886=INDEX(DarlTilgStart,7)),$J2886*($H2886+INDEX(DarlTilgung,7))/100/12,IF(AND($G2886=0,$G2885=1),MAX($K2885,$J2886*($H2886+1)/100/12),$K2885))))</f>
      </c>
      <c r="L2886" s="43">
        <f>IF($I2886=0,0,$J2886*$H2886/100/12)</f>
      </c>
      <c r="M2886" s="43">
        <f>IF($I2886=0,0,IF(OR(INDEX(DarlOhneTilgung,7)=1,AND(INDEX(DarlTilgStart,7)&gt;0,$E2886&lt;INDEX(DarlTilgStart,7))),0,MIN(MAX(0,$K2886-$L2886),$J2886)))</f>
      </c>
      <c r="N2886" s="43">
        <f>IF($I2886=0,0,MIN(SUMIFS(SondBetrag,SondDarl,7,SondDatum,"&gt;="&amp;$E2886,SondDatum,"&lt;="&amp;EOMONTH($E2886,0)),$J2886-$M2886))</f>
      </c>
      <c r="O2886" s="43">
        <f>IF($I2886=0,0,INDEX(DarlErsatzRate,7))</f>
      </c>
      <c r="P2886" s="43">
        <f>IF($I2886=0,0,$Q2885*INDEX(DarlErsatzZins,7))</f>
      </c>
      <c r="Q2886" s="43">
        <f>IF($I2886=0,0,$Q2885+$P2886+$O2886)</f>
      </c>
      <c r="R2886" s="43">
        <f>IF($I2886=0,0,$J2886-$M2886-$N2886)</f>
      </c>
    </row>
    <row r="2887">
      <c r="A2887"/>
      <c r="B2887">
        <v>7</v>
      </c>
      <c r="C2887" s="43">
        <f>INDEX(DarlObj,7)</f>
      </c>
      <c r="D2887">
        <v>4</v>
      </c>
      <c r="E2887" s="51">
        <f>IF(INDEX(DarlBelegt,7)=0,0,EOMONTH(INDEX(DarlAuszahlung,7),3)+1)</f>
      </c>
      <c r="F2887" s="43">
        <f>IF($E2887=0,0,YEAR($E2887))</f>
      </c>
      <c r="G2887" s="43">
        <f>IF(INDEX(DarlBindung,7)="",1,IF($E2887&lt;=INDEX(DarlBindung,7),1,0))</f>
      </c>
      <c r="H2887" s="43">
        <f>IF($G2887=1,INDEX(DarlSollzins,7),INDEX(DarlAnschluss,7))</f>
      </c>
      <c r="I2887" s="43">
        <f>IF(INDEX(DarlBelegt,7)=0,0,IF(INDEX(DarlOhneTilgung,7)=1,IF(INDEX(DarlBindung,7)="",1,$G2887),IF($J2887&gt;0.005,1,0)))</f>
      </c>
      <c r="J2887" s="43">
        <f>IF($I2886=0,0,$R2886)</f>
      </c>
      <c r="K2887" s="43">
        <f>IF($I2887=0,0,IF(INDEX(DarlOhneTilgung,7)=1,0,IF(AND(INDEX(DarlTilgStart,7)&gt;0,$E2887=INDEX(DarlTilgStart,7)),$J2887*($H2887+INDEX(DarlTilgung,7))/100/12,IF(AND($G2887=0,$G2886=1),MAX($K2886,$J2887*($H2887+1)/100/12),$K2886))))</f>
      </c>
      <c r="L2887" s="43">
        <f>IF($I2887=0,0,$J2887*$H2887/100/12)</f>
      </c>
      <c r="M2887" s="43">
        <f>IF($I2887=0,0,IF(OR(INDEX(DarlOhneTilgung,7)=1,AND(INDEX(DarlTilgStart,7)&gt;0,$E2887&lt;INDEX(DarlTilgStart,7))),0,MIN(MAX(0,$K2887-$L2887),$J2887)))</f>
      </c>
      <c r="N2887" s="43">
        <f>IF($I2887=0,0,MIN(SUMIFS(SondBetrag,SondDarl,7,SondDatum,"&gt;="&amp;$E2887,SondDatum,"&lt;="&amp;EOMONTH($E2887,0)),$J2887-$M2887))</f>
      </c>
      <c r="O2887" s="43">
        <f>IF($I2887=0,0,INDEX(DarlErsatzRate,7))</f>
      </c>
      <c r="P2887" s="43">
        <f>IF($I2887=0,0,$Q2886*INDEX(DarlErsatzZins,7))</f>
      </c>
      <c r="Q2887" s="43">
        <f>IF($I2887=0,0,$Q2886+$P2887+$O2887)</f>
      </c>
      <c r="R2887" s="43">
        <f>IF($I2887=0,0,$J2887-$M2887-$N2887)</f>
      </c>
    </row>
    <row r="2888">
      <c r="A2888"/>
      <c r="B2888">
        <v>7</v>
      </c>
      <c r="C2888" s="43">
        <f>INDEX(DarlObj,7)</f>
      </c>
      <c r="D2888">
        <v>5</v>
      </c>
      <c r="E2888" s="51">
        <f>IF(INDEX(DarlBelegt,7)=0,0,EOMONTH(INDEX(DarlAuszahlung,7),4)+1)</f>
      </c>
      <c r="F2888" s="43">
        <f>IF($E2888=0,0,YEAR($E2888))</f>
      </c>
      <c r="G2888" s="43">
        <f>IF(INDEX(DarlBindung,7)="",1,IF($E2888&lt;=INDEX(DarlBindung,7),1,0))</f>
      </c>
      <c r="H2888" s="43">
        <f>IF($G2888=1,INDEX(DarlSollzins,7),INDEX(DarlAnschluss,7))</f>
      </c>
      <c r="I2888" s="43">
        <f>IF(INDEX(DarlBelegt,7)=0,0,IF(INDEX(DarlOhneTilgung,7)=1,IF(INDEX(DarlBindung,7)="",1,$G2888),IF($J2888&gt;0.005,1,0)))</f>
      </c>
      <c r="J2888" s="43">
        <f>IF($I2887=0,0,$R2887)</f>
      </c>
      <c r="K2888" s="43">
        <f>IF($I2888=0,0,IF(INDEX(DarlOhneTilgung,7)=1,0,IF(AND(INDEX(DarlTilgStart,7)&gt;0,$E2888=INDEX(DarlTilgStart,7)),$J2888*($H2888+INDEX(DarlTilgung,7))/100/12,IF(AND($G2888=0,$G2887=1),MAX($K2887,$J2888*($H2888+1)/100/12),$K2887))))</f>
      </c>
      <c r="L2888" s="43">
        <f>IF($I2888=0,0,$J2888*$H2888/100/12)</f>
      </c>
      <c r="M2888" s="43">
        <f>IF($I2888=0,0,IF(OR(INDEX(DarlOhneTilgung,7)=1,AND(INDEX(DarlTilgStart,7)&gt;0,$E2888&lt;INDEX(DarlTilgStart,7))),0,MIN(MAX(0,$K2888-$L2888),$J2888)))</f>
      </c>
      <c r="N2888" s="43">
        <f>IF($I2888=0,0,MIN(SUMIFS(SondBetrag,SondDarl,7,SondDatum,"&gt;="&amp;$E2888,SondDatum,"&lt;="&amp;EOMONTH($E2888,0)),$J2888-$M2888))</f>
      </c>
      <c r="O2888" s="43">
        <f>IF($I2888=0,0,INDEX(DarlErsatzRate,7))</f>
      </c>
      <c r="P2888" s="43">
        <f>IF($I2888=0,0,$Q2887*INDEX(DarlErsatzZins,7))</f>
      </c>
      <c r="Q2888" s="43">
        <f>IF($I2888=0,0,$Q2887+$P2888+$O2888)</f>
      </c>
      <c r="R2888" s="43">
        <f>IF($I2888=0,0,$J2888-$M2888-$N2888)</f>
      </c>
    </row>
    <row r="2889">
      <c r="A2889"/>
      <c r="B2889">
        <v>7</v>
      </c>
      <c r="C2889" s="43">
        <f>INDEX(DarlObj,7)</f>
      </c>
      <c r="D2889">
        <v>6</v>
      </c>
      <c r="E2889" s="51">
        <f>IF(INDEX(DarlBelegt,7)=0,0,EOMONTH(INDEX(DarlAuszahlung,7),5)+1)</f>
      </c>
      <c r="F2889" s="43">
        <f>IF($E2889=0,0,YEAR($E2889))</f>
      </c>
      <c r="G2889" s="43">
        <f>IF(INDEX(DarlBindung,7)="",1,IF($E2889&lt;=INDEX(DarlBindung,7),1,0))</f>
      </c>
      <c r="H2889" s="43">
        <f>IF($G2889=1,INDEX(DarlSollzins,7),INDEX(DarlAnschluss,7))</f>
      </c>
      <c r="I2889" s="43">
        <f>IF(INDEX(DarlBelegt,7)=0,0,IF(INDEX(DarlOhneTilgung,7)=1,IF(INDEX(DarlBindung,7)="",1,$G2889),IF($J2889&gt;0.005,1,0)))</f>
      </c>
      <c r="J2889" s="43">
        <f>IF($I2888=0,0,$R2888)</f>
      </c>
      <c r="K2889" s="43">
        <f>IF($I2889=0,0,IF(INDEX(DarlOhneTilgung,7)=1,0,IF(AND(INDEX(DarlTilgStart,7)&gt;0,$E2889=INDEX(DarlTilgStart,7)),$J2889*($H2889+INDEX(DarlTilgung,7))/100/12,IF(AND($G2889=0,$G2888=1),MAX($K2888,$J2889*($H2889+1)/100/12),$K2888))))</f>
      </c>
      <c r="L2889" s="43">
        <f>IF($I2889=0,0,$J2889*$H2889/100/12)</f>
      </c>
      <c r="M2889" s="43">
        <f>IF($I2889=0,0,IF(OR(INDEX(DarlOhneTilgung,7)=1,AND(INDEX(DarlTilgStart,7)&gt;0,$E2889&lt;INDEX(DarlTilgStart,7))),0,MIN(MAX(0,$K2889-$L2889),$J2889)))</f>
      </c>
      <c r="N2889" s="43">
        <f>IF($I2889=0,0,MIN(SUMIFS(SondBetrag,SondDarl,7,SondDatum,"&gt;="&amp;$E2889,SondDatum,"&lt;="&amp;EOMONTH($E2889,0)),$J2889-$M2889))</f>
      </c>
      <c r="O2889" s="43">
        <f>IF($I2889=0,0,INDEX(DarlErsatzRate,7))</f>
      </c>
      <c r="P2889" s="43">
        <f>IF($I2889=0,0,$Q2888*INDEX(DarlErsatzZins,7))</f>
      </c>
      <c r="Q2889" s="43">
        <f>IF($I2889=0,0,$Q2888+$P2889+$O2889)</f>
      </c>
      <c r="R2889" s="43">
        <f>IF($I2889=0,0,$J2889-$M2889-$N2889)</f>
      </c>
    </row>
    <row r="2890">
      <c r="A2890"/>
      <c r="B2890">
        <v>7</v>
      </c>
      <c r="C2890" s="43">
        <f>INDEX(DarlObj,7)</f>
      </c>
      <c r="D2890">
        <v>7</v>
      </c>
      <c r="E2890" s="51">
        <f>IF(INDEX(DarlBelegt,7)=0,0,EOMONTH(INDEX(DarlAuszahlung,7),6)+1)</f>
      </c>
      <c r="F2890" s="43">
        <f>IF($E2890=0,0,YEAR($E2890))</f>
      </c>
      <c r="G2890" s="43">
        <f>IF(INDEX(DarlBindung,7)="",1,IF($E2890&lt;=INDEX(DarlBindung,7),1,0))</f>
      </c>
      <c r="H2890" s="43">
        <f>IF($G2890=1,INDEX(DarlSollzins,7),INDEX(DarlAnschluss,7))</f>
      </c>
      <c r="I2890" s="43">
        <f>IF(INDEX(DarlBelegt,7)=0,0,IF(INDEX(DarlOhneTilgung,7)=1,IF(INDEX(DarlBindung,7)="",1,$G2890),IF($J2890&gt;0.005,1,0)))</f>
      </c>
      <c r="J2890" s="43">
        <f>IF($I2889=0,0,$R2889)</f>
      </c>
      <c r="K2890" s="43">
        <f>IF($I2890=0,0,IF(INDEX(DarlOhneTilgung,7)=1,0,IF(AND(INDEX(DarlTilgStart,7)&gt;0,$E2890=INDEX(DarlTilgStart,7)),$J2890*($H2890+INDEX(DarlTilgung,7))/100/12,IF(AND($G2890=0,$G2889=1),MAX($K2889,$J2890*($H2890+1)/100/12),$K2889))))</f>
      </c>
      <c r="L2890" s="43">
        <f>IF($I2890=0,0,$J2890*$H2890/100/12)</f>
      </c>
      <c r="M2890" s="43">
        <f>IF($I2890=0,0,IF(OR(INDEX(DarlOhneTilgung,7)=1,AND(INDEX(DarlTilgStart,7)&gt;0,$E2890&lt;INDEX(DarlTilgStart,7))),0,MIN(MAX(0,$K2890-$L2890),$J2890)))</f>
      </c>
      <c r="N2890" s="43">
        <f>IF($I2890=0,0,MIN(SUMIFS(SondBetrag,SondDarl,7,SondDatum,"&gt;="&amp;$E2890,SondDatum,"&lt;="&amp;EOMONTH($E2890,0)),$J2890-$M2890))</f>
      </c>
      <c r="O2890" s="43">
        <f>IF($I2890=0,0,INDEX(DarlErsatzRate,7))</f>
      </c>
      <c r="P2890" s="43">
        <f>IF($I2890=0,0,$Q2889*INDEX(DarlErsatzZins,7))</f>
      </c>
      <c r="Q2890" s="43">
        <f>IF($I2890=0,0,$Q2889+$P2890+$O2890)</f>
      </c>
      <c r="R2890" s="43">
        <f>IF($I2890=0,0,$J2890-$M2890-$N2890)</f>
      </c>
    </row>
    <row r="2891">
      <c r="A2891"/>
      <c r="B2891">
        <v>7</v>
      </c>
      <c r="C2891" s="43">
        <f>INDEX(DarlObj,7)</f>
      </c>
      <c r="D2891">
        <v>8</v>
      </c>
      <c r="E2891" s="51">
        <f>IF(INDEX(DarlBelegt,7)=0,0,EOMONTH(INDEX(DarlAuszahlung,7),7)+1)</f>
      </c>
      <c r="F2891" s="43">
        <f>IF($E2891=0,0,YEAR($E2891))</f>
      </c>
      <c r="G2891" s="43">
        <f>IF(INDEX(DarlBindung,7)="",1,IF($E2891&lt;=INDEX(DarlBindung,7),1,0))</f>
      </c>
      <c r="H2891" s="43">
        <f>IF($G2891=1,INDEX(DarlSollzins,7),INDEX(DarlAnschluss,7))</f>
      </c>
      <c r="I2891" s="43">
        <f>IF(INDEX(DarlBelegt,7)=0,0,IF(INDEX(DarlOhneTilgung,7)=1,IF(INDEX(DarlBindung,7)="",1,$G2891),IF($J2891&gt;0.005,1,0)))</f>
      </c>
      <c r="J2891" s="43">
        <f>IF($I2890=0,0,$R2890)</f>
      </c>
      <c r="K2891" s="43">
        <f>IF($I2891=0,0,IF(INDEX(DarlOhneTilgung,7)=1,0,IF(AND(INDEX(DarlTilgStart,7)&gt;0,$E2891=INDEX(DarlTilgStart,7)),$J2891*($H2891+INDEX(DarlTilgung,7))/100/12,IF(AND($G2891=0,$G2890=1),MAX($K2890,$J2891*($H2891+1)/100/12),$K2890))))</f>
      </c>
      <c r="L2891" s="43">
        <f>IF($I2891=0,0,$J2891*$H2891/100/12)</f>
      </c>
      <c r="M2891" s="43">
        <f>IF($I2891=0,0,IF(OR(INDEX(DarlOhneTilgung,7)=1,AND(INDEX(DarlTilgStart,7)&gt;0,$E2891&lt;INDEX(DarlTilgStart,7))),0,MIN(MAX(0,$K2891-$L2891),$J2891)))</f>
      </c>
      <c r="N2891" s="43">
        <f>IF($I2891=0,0,MIN(SUMIFS(SondBetrag,SondDarl,7,SondDatum,"&gt;="&amp;$E2891,SondDatum,"&lt;="&amp;EOMONTH($E2891,0)),$J2891-$M2891))</f>
      </c>
      <c r="O2891" s="43">
        <f>IF($I2891=0,0,INDEX(DarlErsatzRate,7))</f>
      </c>
      <c r="P2891" s="43">
        <f>IF($I2891=0,0,$Q2890*INDEX(DarlErsatzZins,7))</f>
      </c>
      <c r="Q2891" s="43">
        <f>IF($I2891=0,0,$Q2890+$P2891+$O2891)</f>
      </c>
      <c r="R2891" s="43">
        <f>IF($I2891=0,0,$J2891-$M2891-$N2891)</f>
      </c>
    </row>
    <row r="2892">
      <c r="A2892"/>
      <c r="B2892">
        <v>7</v>
      </c>
      <c r="C2892" s="43">
        <f>INDEX(DarlObj,7)</f>
      </c>
      <c r="D2892">
        <v>9</v>
      </c>
      <c r="E2892" s="51">
        <f>IF(INDEX(DarlBelegt,7)=0,0,EOMONTH(INDEX(DarlAuszahlung,7),8)+1)</f>
      </c>
      <c r="F2892" s="43">
        <f>IF($E2892=0,0,YEAR($E2892))</f>
      </c>
      <c r="G2892" s="43">
        <f>IF(INDEX(DarlBindung,7)="",1,IF($E2892&lt;=INDEX(DarlBindung,7),1,0))</f>
      </c>
      <c r="H2892" s="43">
        <f>IF($G2892=1,INDEX(DarlSollzins,7),INDEX(DarlAnschluss,7))</f>
      </c>
      <c r="I2892" s="43">
        <f>IF(INDEX(DarlBelegt,7)=0,0,IF(INDEX(DarlOhneTilgung,7)=1,IF(INDEX(DarlBindung,7)="",1,$G2892),IF($J2892&gt;0.005,1,0)))</f>
      </c>
      <c r="J2892" s="43">
        <f>IF($I2891=0,0,$R2891)</f>
      </c>
      <c r="K2892" s="43">
        <f>IF($I2892=0,0,IF(INDEX(DarlOhneTilgung,7)=1,0,IF(AND(INDEX(DarlTilgStart,7)&gt;0,$E2892=INDEX(DarlTilgStart,7)),$J2892*($H2892+INDEX(DarlTilgung,7))/100/12,IF(AND($G2892=0,$G2891=1),MAX($K2891,$J2892*($H2892+1)/100/12),$K2891))))</f>
      </c>
      <c r="L2892" s="43">
        <f>IF($I2892=0,0,$J2892*$H2892/100/12)</f>
      </c>
      <c r="M2892" s="43">
        <f>IF($I2892=0,0,IF(OR(INDEX(DarlOhneTilgung,7)=1,AND(INDEX(DarlTilgStart,7)&gt;0,$E2892&lt;INDEX(DarlTilgStart,7))),0,MIN(MAX(0,$K2892-$L2892),$J2892)))</f>
      </c>
      <c r="N2892" s="43">
        <f>IF($I2892=0,0,MIN(SUMIFS(SondBetrag,SondDarl,7,SondDatum,"&gt;="&amp;$E2892,SondDatum,"&lt;="&amp;EOMONTH($E2892,0)),$J2892-$M2892))</f>
      </c>
      <c r="O2892" s="43">
        <f>IF($I2892=0,0,INDEX(DarlErsatzRate,7))</f>
      </c>
      <c r="P2892" s="43">
        <f>IF($I2892=0,0,$Q2891*INDEX(DarlErsatzZins,7))</f>
      </c>
      <c r="Q2892" s="43">
        <f>IF($I2892=0,0,$Q2891+$P2892+$O2892)</f>
      </c>
      <c r="R2892" s="43">
        <f>IF($I2892=0,0,$J2892-$M2892-$N2892)</f>
      </c>
    </row>
    <row r="2893">
      <c r="A2893"/>
      <c r="B2893">
        <v>7</v>
      </c>
      <c r="C2893" s="43">
        <f>INDEX(DarlObj,7)</f>
      </c>
      <c r="D2893">
        <v>10</v>
      </c>
      <c r="E2893" s="51">
        <f>IF(INDEX(DarlBelegt,7)=0,0,EOMONTH(INDEX(DarlAuszahlung,7),9)+1)</f>
      </c>
      <c r="F2893" s="43">
        <f>IF($E2893=0,0,YEAR($E2893))</f>
      </c>
      <c r="G2893" s="43">
        <f>IF(INDEX(DarlBindung,7)="",1,IF($E2893&lt;=INDEX(DarlBindung,7),1,0))</f>
      </c>
      <c r="H2893" s="43">
        <f>IF($G2893=1,INDEX(DarlSollzins,7),INDEX(DarlAnschluss,7))</f>
      </c>
      <c r="I2893" s="43">
        <f>IF(INDEX(DarlBelegt,7)=0,0,IF(INDEX(DarlOhneTilgung,7)=1,IF(INDEX(DarlBindung,7)="",1,$G2893),IF($J2893&gt;0.005,1,0)))</f>
      </c>
      <c r="J2893" s="43">
        <f>IF($I2892=0,0,$R2892)</f>
      </c>
      <c r="K2893" s="43">
        <f>IF($I2893=0,0,IF(INDEX(DarlOhneTilgung,7)=1,0,IF(AND(INDEX(DarlTilgStart,7)&gt;0,$E2893=INDEX(DarlTilgStart,7)),$J2893*($H2893+INDEX(DarlTilgung,7))/100/12,IF(AND($G2893=0,$G2892=1),MAX($K2892,$J2893*($H2893+1)/100/12),$K2892))))</f>
      </c>
      <c r="L2893" s="43">
        <f>IF($I2893=0,0,$J2893*$H2893/100/12)</f>
      </c>
      <c r="M2893" s="43">
        <f>IF($I2893=0,0,IF(OR(INDEX(DarlOhneTilgung,7)=1,AND(INDEX(DarlTilgStart,7)&gt;0,$E2893&lt;INDEX(DarlTilgStart,7))),0,MIN(MAX(0,$K2893-$L2893),$J2893)))</f>
      </c>
      <c r="N2893" s="43">
        <f>IF($I2893=0,0,MIN(SUMIFS(SondBetrag,SondDarl,7,SondDatum,"&gt;="&amp;$E2893,SondDatum,"&lt;="&amp;EOMONTH($E2893,0)),$J2893-$M2893))</f>
      </c>
      <c r="O2893" s="43">
        <f>IF($I2893=0,0,INDEX(DarlErsatzRate,7))</f>
      </c>
      <c r="P2893" s="43">
        <f>IF($I2893=0,0,$Q2892*INDEX(DarlErsatzZins,7))</f>
      </c>
      <c r="Q2893" s="43">
        <f>IF($I2893=0,0,$Q2892+$P2893+$O2893)</f>
      </c>
      <c r="R2893" s="43">
        <f>IF($I2893=0,0,$J2893-$M2893-$N2893)</f>
      </c>
    </row>
    <row r="2894">
      <c r="A2894"/>
      <c r="B2894">
        <v>7</v>
      </c>
      <c r="C2894" s="43">
        <f>INDEX(DarlObj,7)</f>
      </c>
      <c r="D2894">
        <v>11</v>
      </c>
      <c r="E2894" s="51">
        <f>IF(INDEX(DarlBelegt,7)=0,0,EOMONTH(INDEX(DarlAuszahlung,7),10)+1)</f>
      </c>
      <c r="F2894" s="43">
        <f>IF($E2894=0,0,YEAR($E2894))</f>
      </c>
      <c r="G2894" s="43">
        <f>IF(INDEX(DarlBindung,7)="",1,IF($E2894&lt;=INDEX(DarlBindung,7),1,0))</f>
      </c>
      <c r="H2894" s="43">
        <f>IF($G2894=1,INDEX(DarlSollzins,7),INDEX(DarlAnschluss,7))</f>
      </c>
      <c r="I2894" s="43">
        <f>IF(INDEX(DarlBelegt,7)=0,0,IF(INDEX(DarlOhneTilgung,7)=1,IF(INDEX(DarlBindung,7)="",1,$G2894),IF($J2894&gt;0.005,1,0)))</f>
      </c>
      <c r="J2894" s="43">
        <f>IF($I2893=0,0,$R2893)</f>
      </c>
      <c r="K2894" s="43">
        <f>IF($I2894=0,0,IF(INDEX(DarlOhneTilgung,7)=1,0,IF(AND(INDEX(DarlTilgStart,7)&gt;0,$E2894=INDEX(DarlTilgStart,7)),$J2894*($H2894+INDEX(DarlTilgung,7))/100/12,IF(AND($G2894=0,$G2893=1),MAX($K2893,$J2894*($H2894+1)/100/12),$K2893))))</f>
      </c>
      <c r="L2894" s="43">
        <f>IF($I2894=0,0,$J2894*$H2894/100/12)</f>
      </c>
      <c r="M2894" s="43">
        <f>IF($I2894=0,0,IF(OR(INDEX(DarlOhneTilgung,7)=1,AND(INDEX(DarlTilgStart,7)&gt;0,$E2894&lt;INDEX(DarlTilgStart,7))),0,MIN(MAX(0,$K2894-$L2894),$J2894)))</f>
      </c>
      <c r="N2894" s="43">
        <f>IF($I2894=0,0,MIN(SUMIFS(SondBetrag,SondDarl,7,SondDatum,"&gt;="&amp;$E2894,SondDatum,"&lt;="&amp;EOMONTH($E2894,0)),$J2894-$M2894))</f>
      </c>
      <c r="O2894" s="43">
        <f>IF($I2894=0,0,INDEX(DarlErsatzRate,7))</f>
      </c>
      <c r="P2894" s="43">
        <f>IF($I2894=0,0,$Q2893*INDEX(DarlErsatzZins,7))</f>
      </c>
      <c r="Q2894" s="43">
        <f>IF($I2894=0,0,$Q2893+$P2894+$O2894)</f>
      </c>
      <c r="R2894" s="43">
        <f>IF($I2894=0,0,$J2894-$M2894-$N2894)</f>
      </c>
    </row>
    <row r="2895">
      <c r="A2895"/>
      <c r="B2895">
        <v>7</v>
      </c>
      <c r="C2895" s="43">
        <f>INDEX(DarlObj,7)</f>
      </c>
      <c r="D2895">
        <v>12</v>
      </c>
      <c r="E2895" s="51">
        <f>IF(INDEX(DarlBelegt,7)=0,0,EOMONTH(INDEX(DarlAuszahlung,7),11)+1)</f>
      </c>
      <c r="F2895" s="43">
        <f>IF($E2895=0,0,YEAR($E2895))</f>
      </c>
      <c r="G2895" s="43">
        <f>IF(INDEX(DarlBindung,7)="",1,IF($E2895&lt;=INDEX(DarlBindung,7),1,0))</f>
      </c>
      <c r="H2895" s="43">
        <f>IF($G2895=1,INDEX(DarlSollzins,7),INDEX(DarlAnschluss,7))</f>
      </c>
      <c r="I2895" s="43">
        <f>IF(INDEX(DarlBelegt,7)=0,0,IF(INDEX(DarlOhneTilgung,7)=1,IF(INDEX(DarlBindung,7)="",1,$G2895),IF($J2895&gt;0.005,1,0)))</f>
      </c>
      <c r="J2895" s="43">
        <f>IF($I2894=0,0,$R2894)</f>
      </c>
      <c r="K2895" s="43">
        <f>IF($I2895=0,0,IF(INDEX(DarlOhneTilgung,7)=1,0,IF(AND(INDEX(DarlTilgStart,7)&gt;0,$E2895=INDEX(DarlTilgStart,7)),$J2895*($H2895+INDEX(DarlTilgung,7))/100/12,IF(AND($G2895=0,$G2894=1),MAX($K2894,$J2895*($H2895+1)/100/12),$K2894))))</f>
      </c>
      <c r="L2895" s="43">
        <f>IF($I2895=0,0,$J2895*$H2895/100/12)</f>
      </c>
      <c r="M2895" s="43">
        <f>IF($I2895=0,0,IF(OR(INDEX(DarlOhneTilgung,7)=1,AND(INDEX(DarlTilgStart,7)&gt;0,$E2895&lt;INDEX(DarlTilgStart,7))),0,MIN(MAX(0,$K2895-$L2895),$J2895)))</f>
      </c>
      <c r="N2895" s="43">
        <f>IF($I2895=0,0,MIN(SUMIFS(SondBetrag,SondDarl,7,SondDatum,"&gt;="&amp;$E2895,SondDatum,"&lt;="&amp;EOMONTH($E2895,0)),$J2895-$M2895))</f>
      </c>
      <c r="O2895" s="43">
        <f>IF($I2895=0,0,INDEX(DarlErsatzRate,7))</f>
      </c>
      <c r="P2895" s="43">
        <f>IF($I2895=0,0,$Q2894*INDEX(DarlErsatzZins,7))</f>
      </c>
      <c r="Q2895" s="43">
        <f>IF($I2895=0,0,$Q2894+$P2895+$O2895)</f>
      </c>
      <c r="R2895" s="43">
        <f>IF($I2895=0,0,$J2895-$M2895-$N2895)</f>
      </c>
    </row>
    <row r="2896">
      <c r="A2896"/>
      <c r="B2896">
        <v>7</v>
      </c>
      <c r="C2896" s="43">
        <f>INDEX(DarlObj,7)</f>
      </c>
      <c r="D2896">
        <v>13</v>
      </c>
      <c r="E2896" s="51">
        <f>IF(INDEX(DarlBelegt,7)=0,0,EOMONTH(INDEX(DarlAuszahlung,7),12)+1)</f>
      </c>
      <c r="F2896" s="43">
        <f>IF($E2896=0,0,YEAR($E2896))</f>
      </c>
      <c r="G2896" s="43">
        <f>IF(INDEX(DarlBindung,7)="",1,IF($E2896&lt;=INDEX(DarlBindung,7),1,0))</f>
      </c>
      <c r="H2896" s="43">
        <f>IF($G2896=1,INDEX(DarlSollzins,7),INDEX(DarlAnschluss,7))</f>
      </c>
      <c r="I2896" s="43">
        <f>IF(INDEX(DarlBelegt,7)=0,0,IF(INDEX(DarlOhneTilgung,7)=1,IF(INDEX(DarlBindung,7)="",1,$G2896),IF($J2896&gt;0.005,1,0)))</f>
      </c>
      <c r="J2896" s="43">
        <f>IF($I2895=0,0,$R2895)</f>
      </c>
      <c r="K2896" s="43">
        <f>IF($I2896=0,0,IF(INDEX(DarlOhneTilgung,7)=1,0,IF(AND(INDEX(DarlTilgStart,7)&gt;0,$E2896=INDEX(DarlTilgStart,7)),$J2896*($H2896+INDEX(DarlTilgung,7))/100/12,IF(AND($G2896=0,$G2895=1),MAX($K2895,$J2896*($H2896+1)/100/12),$K2895))))</f>
      </c>
      <c r="L2896" s="43">
        <f>IF($I2896=0,0,$J2896*$H2896/100/12)</f>
      </c>
      <c r="M2896" s="43">
        <f>IF($I2896=0,0,IF(OR(INDEX(DarlOhneTilgung,7)=1,AND(INDEX(DarlTilgStart,7)&gt;0,$E2896&lt;INDEX(DarlTilgStart,7))),0,MIN(MAX(0,$K2896-$L2896),$J2896)))</f>
      </c>
      <c r="N2896" s="43">
        <f>IF($I2896=0,0,MIN(SUMIFS(SondBetrag,SondDarl,7,SondDatum,"&gt;="&amp;$E2896,SondDatum,"&lt;="&amp;EOMONTH($E2896,0)),$J2896-$M2896))</f>
      </c>
      <c r="O2896" s="43">
        <f>IF($I2896=0,0,INDEX(DarlErsatzRate,7))</f>
      </c>
      <c r="P2896" s="43">
        <f>IF($I2896=0,0,$Q2895*INDEX(DarlErsatzZins,7))</f>
      </c>
      <c r="Q2896" s="43">
        <f>IF($I2896=0,0,$Q2895+$P2896+$O2896)</f>
      </c>
      <c r="R2896" s="43">
        <f>IF($I2896=0,0,$J2896-$M2896-$N2896)</f>
      </c>
    </row>
    <row r="2897">
      <c r="A2897"/>
      <c r="B2897">
        <v>7</v>
      </c>
      <c r="C2897" s="43">
        <f>INDEX(DarlObj,7)</f>
      </c>
      <c r="D2897">
        <v>14</v>
      </c>
      <c r="E2897" s="51">
        <f>IF(INDEX(DarlBelegt,7)=0,0,EOMONTH(INDEX(DarlAuszahlung,7),13)+1)</f>
      </c>
      <c r="F2897" s="43">
        <f>IF($E2897=0,0,YEAR($E2897))</f>
      </c>
      <c r="G2897" s="43">
        <f>IF(INDEX(DarlBindung,7)="",1,IF($E2897&lt;=INDEX(DarlBindung,7),1,0))</f>
      </c>
      <c r="H2897" s="43">
        <f>IF($G2897=1,INDEX(DarlSollzins,7),INDEX(DarlAnschluss,7))</f>
      </c>
      <c r="I2897" s="43">
        <f>IF(INDEX(DarlBelegt,7)=0,0,IF(INDEX(DarlOhneTilgung,7)=1,IF(INDEX(DarlBindung,7)="",1,$G2897),IF($J2897&gt;0.005,1,0)))</f>
      </c>
      <c r="J2897" s="43">
        <f>IF($I2896=0,0,$R2896)</f>
      </c>
      <c r="K2897" s="43">
        <f>IF($I2897=0,0,IF(INDEX(DarlOhneTilgung,7)=1,0,IF(AND(INDEX(DarlTilgStart,7)&gt;0,$E2897=INDEX(DarlTilgStart,7)),$J2897*($H2897+INDEX(DarlTilgung,7))/100/12,IF(AND($G2897=0,$G2896=1),MAX($K2896,$J2897*($H2897+1)/100/12),$K2896))))</f>
      </c>
      <c r="L2897" s="43">
        <f>IF($I2897=0,0,$J2897*$H2897/100/12)</f>
      </c>
      <c r="M2897" s="43">
        <f>IF($I2897=0,0,IF(OR(INDEX(DarlOhneTilgung,7)=1,AND(INDEX(DarlTilgStart,7)&gt;0,$E2897&lt;INDEX(DarlTilgStart,7))),0,MIN(MAX(0,$K2897-$L2897),$J2897)))</f>
      </c>
      <c r="N2897" s="43">
        <f>IF($I2897=0,0,MIN(SUMIFS(SondBetrag,SondDarl,7,SondDatum,"&gt;="&amp;$E2897,SondDatum,"&lt;="&amp;EOMONTH($E2897,0)),$J2897-$M2897))</f>
      </c>
      <c r="O2897" s="43">
        <f>IF($I2897=0,0,INDEX(DarlErsatzRate,7))</f>
      </c>
      <c r="P2897" s="43">
        <f>IF($I2897=0,0,$Q2896*INDEX(DarlErsatzZins,7))</f>
      </c>
      <c r="Q2897" s="43">
        <f>IF($I2897=0,0,$Q2896+$P2897+$O2897)</f>
      </c>
      <c r="R2897" s="43">
        <f>IF($I2897=0,0,$J2897-$M2897-$N2897)</f>
      </c>
    </row>
    <row r="2898">
      <c r="A2898"/>
      <c r="B2898">
        <v>7</v>
      </c>
      <c r="C2898" s="43">
        <f>INDEX(DarlObj,7)</f>
      </c>
      <c r="D2898">
        <v>15</v>
      </c>
      <c r="E2898" s="51">
        <f>IF(INDEX(DarlBelegt,7)=0,0,EOMONTH(INDEX(DarlAuszahlung,7),14)+1)</f>
      </c>
      <c r="F2898" s="43">
        <f>IF($E2898=0,0,YEAR($E2898))</f>
      </c>
      <c r="G2898" s="43">
        <f>IF(INDEX(DarlBindung,7)="",1,IF($E2898&lt;=INDEX(DarlBindung,7),1,0))</f>
      </c>
      <c r="H2898" s="43">
        <f>IF($G2898=1,INDEX(DarlSollzins,7),INDEX(DarlAnschluss,7))</f>
      </c>
      <c r="I2898" s="43">
        <f>IF(INDEX(DarlBelegt,7)=0,0,IF(INDEX(DarlOhneTilgung,7)=1,IF(INDEX(DarlBindung,7)="",1,$G2898),IF($J2898&gt;0.005,1,0)))</f>
      </c>
      <c r="J2898" s="43">
        <f>IF($I2897=0,0,$R2897)</f>
      </c>
      <c r="K2898" s="43">
        <f>IF($I2898=0,0,IF(INDEX(DarlOhneTilgung,7)=1,0,IF(AND(INDEX(DarlTilgStart,7)&gt;0,$E2898=INDEX(DarlTilgStart,7)),$J2898*($H2898+INDEX(DarlTilgung,7))/100/12,IF(AND($G2898=0,$G2897=1),MAX($K2897,$J2898*($H2898+1)/100/12),$K2897))))</f>
      </c>
      <c r="L2898" s="43">
        <f>IF($I2898=0,0,$J2898*$H2898/100/12)</f>
      </c>
      <c r="M2898" s="43">
        <f>IF($I2898=0,0,IF(OR(INDEX(DarlOhneTilgung,7)=1,AND(INDEX(DarlTilgStart,7)&gt;0,$E2898&lt;INDEX(DarlTilgStart,7))),0,MIN(MAX(0,$K2898-$L2898),$J2898)))</f>
      </c>
      <c r="N2898" s="43">
        <f>IF($I2898=0,0,MIN(SUMIFS(SondBetrag,SondDarl,7,SondDatum,"&gt;="&amp;$E2898,SondDatum,"&lt;="&amp;EOMONTH($E2898,0)),$J2898-$M2898))</f>
      </c>
      <c r="O2898" s="43">
        <f>IF($I2898=0,0,INDEX(DarlErsatzRate,7))</f>
      </c>
      <c r="P2898" s="43">
        <f>IF($I2898=0,0,$Q2897*INDEX(DarlErsatzZins,7))</f>
      </c>
      <c r="Q2898" s="43">
        <f>IF($I2898=0,0,$Q2897+$P2898+$O2898)</f>
      </c>
      <c r="R2898" s="43">
        <f>IF($I2898=0,0,$J2898-$M2898-$N2898)</f>
      </c>
    </row>
    <row r="2899">
      <c r="A2899"/>
      <c r="B2899">
        <v>7</v>
      </c>
      <c r="C2899" s="43">
        <f>INDEX(DarlObj,7)</f>
      </c>
      <c r="D2899">
        <v>16</v>
      </c>
      <c r="E2899" s="51">
        <f>IF(INDEX(DarlBelegt,7)=0,0,EOMONTH(INDEX(DarlAuszahlung,7),15)+1)</f>
      </c>
      <c r="F2899" s="43">
        <f>IF($E2899=0,0,YEAR($E2899))</f>
      </c>
      <c r="G2899" s="43">
        <f>IF(INDEX(DarlBindung,7)="",1,IF($E2899&lt;=INDEX(DarlBindung,7),1,0))</f>
      </c>
      <c r="H2899" s="43">
        <f>IF($G2899=1,INDEX(DarlSollzins,7),INDEX(DarlAnschluss,7))</f>
      </c>
      <c r="I2899" s="43">
        <f>IF(INDEX(DarlBelegt,7)=0,0,IF(INDEX(DarlOhneTilgung,7)=1,IF(INDEX(DarlBindung,7)="",1,$G2899),IF($J2899&gt;0.005,1,0)))</f>
      </c>
      <c r="J2899" s="43">
        <f>IF($I2898=0,0,$R2898)</f>
      </c>
      <c r="K2899" s="43">
        <f>IF($I2899=0,0,IF(INDEX(DarlOhneTilgung,7)=1,0,IF(AND(INDEX(DarlTilgStart,7)&gt;0,$E2899=INDEX(DarlTilgStart,7)),$J2899*($H2899+INDEX(DarlTilgung,7))/100/12,IF(AND($G2899=0,$G2898=1),MAX($K2898,$J2899*($H2899+1)/100/12),$K2898))))</f>
      </c>
      <c r="L2899" s="43">
        <f>IF($I2899=0,0,$J2899*$H2899/100/12)</f>
      </c>
      <c r="M2899" s="43">
        <f>IF($I2899=0,0,IF(OR(INDEX(DarlOhneTilgung,7)=1,AND(INDEX(DarlTilgStart,7)&gt;0,$E2899&lt;INDEX(DarlTilgStart,7))),0,MIN(MAX(0,$K2899-$L2899),$J2899)))</f>
      </c>
      <c r="N2899" s="43">
        <f>IF($I2899=0,0,MIN(SUMIFS(SondBetrag,SondDarl,7,SondDatum,"&gt;="&amp;$E2899,SondDatum,"&lt;="&amp;EOMONTH($E2899,0)),$J2899-$M2899))</f>
      </c>
      <c r="O2899" s="43">
        <f>IF($I2899=0,0,INDEX(DarlErsatzRate,7))</f>
      </c>
      <c r="P2899" s="43">
        <f>IF($I2899=0,0,$Q2898*INDEX(DarlErsatzZins,7))</f>
      </c>
      <c r="Q2899" s="43">
        <f>IF($I2899=0,0,$Q2898+$P2899+$O2899)</f>
      </c>
      <c r="R2899" s="43">
        <f>IF($I2899=0,0,$J2899-$M2899-$N2899)</f>
      </c>
    </row>
    <row r="2900">
      <c r="A2900"/>
      <c r="B2900">
        <v>7</v>
      </c>
      <c r="C2900" s="43">
        <f>INDEX(DarlObj,7)</f>
      </c>
      <c r="D2900">
        <v>17</v>
      </c>
      <c r="E2900" s="51">
        <f>IF(INDEX(DarlBelegt,7)=0,0,EOMONTH(INDEX(DarlAuszahlung,7),16)+1)</f>
      </c>
      <c r="F2900" s="43">
        <f>IF($E2900=0,0,YEAR($E2900))</f>
      </c>
      <c r="G2900" s="43">
        <f>IF(INDEX(DarlBindung,7)="",1,IF($E2900&lt;=INDEX(DarlBindung,7),1,0))</f>
      </c>
      <c r="H2900" s="43">
        <f>IF($G2900=1,INDEX(DarlSollzins,7),INDEX(DarlAnschluss,7))</f>
      </c>
      <c r="I2900" s="43">
        <f>IF(INDEX(DarlBelegt,7)=0,0,IF(INDEX(DarlOhneTilgung,7)=1,IF(INDEX(DarlBindung,7)="",1,$G2900),IF($J2900&gt;0.005,1,0)))</f>
      </c>
      <c r="J2900" s="43">
        <f>IF($I2899=0,0,$R2899)</f>
      </c>
      <c r="K2900" s="43">
        <f>IF($I2900=0,0,IF(INDEX(DarlOhneTilgung,7)=1,0,IF(AND(INDEX(DarlTilgStart,7)&gt;0,$E2900=INDEX(DarlTilgStart,7)),$J2900*($H2900+INDEX(DarlTilgung,7))/100/12,IF(AND($G2900=0,$G2899=1),MAX($K2899,$J2900*($H2900+1)/100/12),$K2899))))</f>
      </c>
      <c r="L2900" s="43">
        <f>IF($I2900=0,0,$J2900*$H2900/100/12)</f>
      </c>
      <c r="M2900" s="43">
        <f>IF($I2900=0,0,IF(OR(INDEX(DarlOhneTilgung,7)=1,AND(INDEX(DarlTilgStart,7)&gt;0,$E2900&lt;INDEX(DarlTilgStart,7))),0,MIN(MAX(0,$K2900-$L2900),$J2900)))</f>
      </c>
      <c r="N2900" s="43">
        <f>IF($I2900=0,0,MIN(SUMIFS(SondBetrag,SondDarl,7,SondDatum,"&gt;="&amp;$E2900,SondDatum,"&lt;="&amp;EOMONTH($E2900,0)),$J2900-$M2900))</f>
      </c>
      <c r="O2900" s="43">
        <f>IF($I2900=0,0,INDEX(DarlErsatzRate,7))</f>
      </c>
      <c r="P2900" s="43">
        <f>IF($I2900=0,0,$Q2899*INDEX(DarlErsatzZins,7))</f>
      </c>
      <c r="Q2900" s="43">
        <f>IF($I2900=0,0,$Q2899+$P2900+$O2900)</f>
      </c>
      <c r="R2900" s="43">
        <f>IF($I2900=0,0,$J2900-$M2900-$N2900)</f>
      </c>
    </row>
    <row r="2901">
      <c r="A2901"/>
      <c r="B2901">
        <v>7</v>
      </c>
      <c r="C2901" s="43">
        <f>INDEX(DarlObj,7)</f>
      </c>
      <c r="D2901">
        <v>18</v>
      </c>
      <c r="E2901" s="51">
        <f>IF(INDEX(DarlBelegt,7)=0,0,EOMONTH(INDEX(DarlAuszahlung,7),17)+1)</f>
      </c>
      <c r="F2901" s="43">
        <f>IF($E2901=0,0,YEAR($E2901))</f>
      </c>
      <c r="G2901" s="43">
        <f>IF(INDEX(DarlBindung,7)="",1,IF($E2901&lt;=INDEX(DarlBindung,7),1,0))</f>
      </c>
      <c r="H2901" s="43">
        <f>IF($G2901=1,INDEX(DarlSollzins,7),INDEX(DarlAnschluss,7))</f>
      </c>
      <c r="I2901" s="43">
        <f>IF(INDEX(DarlBelegt,7)=0,0,IF(INDEX(DarlOhneTilgung,7)=1,IF(INDEX(DarlBindung,7)="",1,$G2901),IF($J2901&gt;0.005,1,0)))</f>
      </c>
      <c r="J2901" s="43">
        <f>IF($I2900=0,0,$R2900)</f>
      </c>
      <c r="K2901" s="43">
        <f>IF($I2901=0,0,IF(INDEX(DarlOhneTilgung,7)=1,0,IF(AND(INDEX(DarlTilgStart,7)&gt;0,$E2901=INDEX(DarlTilgStart,7)),$J2901*($H2901+INDEX(DarlTilgung,7))/100/12,IF(AND($G2901=0,$G2900=1),MAX($K2900,$J2901*($H2901+1)/100/12),$K2900))))</f>
      </c>
      <c r="L2901" s="43">
        <f>IF($I2901=0,0,$J2901*$H2901/100/12)</f>
      </c>
      <c r="M2901" s="43">
        <f>IF($I2901=0,0,IF(OR(INDEX(DarlOhneTilgung,7)=1,AND(INDEX(DarlTilgStart,7)&gt;0,$E2901&lt;INDEX(DarlTilgStart,7))),0,MIN(MAX(0,$K2901-$L2901),$J2901)))</f>
      </c>
      <c r="N2901" s="43">
        <f>IF($I2901=0,0,MIN(SUMIFS(SondBetrag,SondDarl,7,SondDatum,"&gt;="&amp;$E2901,SondDatum,"&lt;="&amp;EOMONTH($E2901,0)),$J2901-$M2901))</f>
      </c>
      <c r="O2901" s="43">
        <f>IF($I2901=0,0,INDEX(DarlErsatzRate,7))</f>
      </c>
      <c r="P2901" s="43">
        <f>IF($I2901=0,0,$Q2900*INDEX(DarlErsatzZins,7))</f>
      </c>
      <c r="Q2901" s="43">
        <f>IF($I2901=0,0,$Q2900+$P2901+$O2901)</f>
      </c>
      <c r="R2901" s="43">
        <f>IF($I2901=0,0,$J2901-$M2901-$N2901)</f>
      </c>
    </row>
    <row r="2902">
      <c r="A2902"/>
      <c r="B2902">
        <v>7</v>
      </c>
      <c r="C2902" s="43">
        <f>INDEX(DarlObj,7)</f>
      </c>
      <c r="D2902">
        <v>19</v>
      </c>
      <c r="E2902" s="51">
        <f>IF(INDEX(DarlBelegt,7)=0,0,EOMONTH(INDEX(DarlAuszahlung,7),18)+1)</f>
      </c>
      <c r="F2902" s="43">
        <f>IF($E2902=0,0,YEAR($E2902))</f>
      </c>
      <c r="G2902" s="43">
        <f>IF(INDEX(DarlBindung,7)="",1,IF($E2902&lt;=INDEX(DarlBindung,7),1,0))</f>
      </c>
      <c r="H2902" s="43">
        <f>IF($G2902=1,INDEX(DarlSollzins,7),INDEX(DarlAnschluss,7))</f>
      </c>
      <c r="I2902" s="43">
        <f>IF(INDEX(DarlBelegt,7)=0,0,IF(INDEX(DarlOhneTilgung,7)=1,IF(INDEX(DarlBindung,7)="",1,$G2902),IF($J2902&gt;0.005,1,0)))</f>
      </c>
      <c r="J2902" s="43">
        <f>IF($I2901=0,0,$R2901)</f>
      </c>
      <c r="K2902" s="43">
        <f>IF($I2902=0,0,IF(INDEX(DarlOhneTilgung,7)=1,0,IF(AND(INDEX(DarlTilgStart,7)&gt;0,$E2902=INDEX(DarlTilgStart,7)),$J2902*($H2902+INDEX(DarlTilgung,7))/100/12,IF(AND($G2902=0,$G2901=1),MAX($K2901,$J2902*($H2902+1)/100/12),$K2901))))</f>
      </c>
      <c r="L2902" s="43">
        <f>IF($I2902=0,0,$J2902*$H2902/100/12)</f>
      </c>
      <c r="M2902" s="43">
        <f>IF($I2902=0,0,IF(OR(INDEX(DarlOhneTilgung,7)=1,AND(INDEX(DarlTilgStart,7)&gt;0,$E2902&lt;INDEX(DarlTilgStart,7))),0,MIN(MAX(0,$K2902-$L2902),$J2902)))</f>
      </c>
      <c r="N2902" s="43">
        <f>IF($I2902=0,0,MIN(SUMIFS(SondBetrag,SondDarl,7,SondDatum,"&gt;="&amp;$E2902,SondDatum,"&lt;="&amp;EOMONTH($E2902,0)),$J2902-$M2902))</f>
      </c>
      <c r="O2902" s="43">
        <f>IF($I2902=0,0,INDEX(DarlErsatzRate,7))</f>
      </c>
      <c r="P2902" s="43">
        <f>IF($I2902=0,0,$Q2901*INDEX(DarlErsatzZins,7))</f>
      </c>
      <c r="Q2902" s="43">
        <f>IF($I2902=0,0,$Q2901+$P2902+$O2902)</f>
      </c>
      <c r="R2902" s="43">
        <f>IF($I2902=0,0,$J2902-$M2902-$N2902)</f>
      </c>
    </row>
    <row r="2903">
      <c r="A2903"/>
      <c r="B2903">
        <v>7</v>
      </c>
      <c r="C2903" s="43">
        <f>INDEX(DarlObj,7)</f>
      </c>
      <c r="D2903">
        <v>20</v>
      </c>
      <c r="E2903" s="51">
        <f>IF(INDEX(DarlBelegt,7)=0,0,EOMONTH(INDEX(DarlAuszahlung,7),19)+1)</f>
      </c>
      <c r="F2903" s="43">
        <f>IF($E2903=0,0,YEAR($E2903))</f>
      </c>
      <c r="G2903" s="43">
        <f>IF(INDEX(DarlBindung,7)="",1,IF($E2903&lt;=INDEX(DarlBindung,7),1,0))</f>
      </c>
      <c r="H2903" s="43">
        <f>IF($G2903=1,INDEX(DarlSollzins,7),INDEX(DarlAnschluss,7))</f>
      </c>
      <c r="I2903" s="43">
        <f>IF(INDEX(DarlBelegt,7)=0,0,IF(INDEX(DarlOhneTilgung,7)=1,IF(INDEX(DarlBindung,7)="",1,$G2903),IF($J2903&gt;0.005,1,0)))</f>
      </c>
      <c r="J2903" s="43">
        <f>IF($I2902=0,0,$R2902)</f>
      </c>
      <c r="K2903" s="43">
        <f>IF($I2903=0,0,IF(INDEX(DarlOhneTilgung,7)=1,0,IF(AND(INDEX(DarlTilgStart,7)&gt;0,$E2903=INDEX(DarlTilgStart,7)),$J2903*($H2903+INDEX(DarlTilgung,7))/100/12,IF(AND($G2903=0,$G2902=1),MAX($K2902,$J2903*($H2903+1)/100/12),$K2902))))</f>
      </c>
      <c r="L2903" s="43">
        <f>IF($I2903=0,0,$J2903*$H2903/100/12)</f>
      </c>
      <c r="M2903" s="43">
        <f>IF($I2903=0,0,IF(OR(INDEX(DarlOhneTilgung,7)=1,AND(INDEX(DarlTilgStart,7)&gt;0,$E2903&lt;INDEX(DarlTilgStart,7))),0,MIN(MAX(0,$K2903-$L2903),$J2903)))</f>
      </c>
      <c r="N2903" s="43">
        <f>IF($I2903=0,0,MIN(SUMIFS(SondBetrag,SondDarl,7,SondDatum,"&gt;="&amp;$E2903,SondDatum,"&lt;="&amp;EOMONTH($E2903,0)),$J2903-$M2903))</f>
      </c>
      <c r="O2903" s="43">
        <f>IF($I2903=0,0,INDEX(DarlErsatzRate,7))</f>
      </c>
      <c r="P2903" s="43">
        <f>IF($I2903=0,0,$Q2902*INDEX(DarlErsatzZins,7))</f>
      </c>
      <c r="Q2903" s="43">
        <f>IF($I2903=0,0,$Q2902+$P2903+$O2903)</f>
      </c>
      <c r="R2903" s="43">
        <f>IF($I2903=0,0,$J2903-$M2903-$N2903)</f>
      </c>
    </row>
    <row r="2904">
      <c r="A2904"/>
      <c r="B2904">
        <v>7</v>
      </c>
      <c r="C2904" s="43">
        <f>INDEX(DarlObj,7)</f>
      </c>
      <c r="D2904">
        <v>21</v>
      </c>
      <c r="E2904" s="51">
        <f>IF(INDEX(DarlBelegt,7)=0,0,EOMONTH(INDEX(DarlAuszahlung,7),20)+1)</f>
      </c>
      <c r="F2904" s="43">
        <f>IF($E2904=0,0,YEAR($E2904))</f>
      </c>
      <c r="G2904" s="43">
        <f>IF(INDEX(DarlBindung,7)="",1,IF($E2904&lt;=INDEX(DarlBindung,7),1,0))</f>
      </c>
      <c r="H2904" s="43">
        <f>IF($G2904=1,INDEX(DarlSollzins,7),INDEX(DarlAnschluss,7))</f>
      </c>
      <c r="I2904" s="43">
        <f>IF(INDEX(DarlBelegt,7)=0,0,IF(INDEX(DarlOhneTilgung,7)=1,IF(INDEX(DarlBindung,7)="",1,$G2904),IF($J2904&gt;0.005,1,0)))</f>
      </c>
      <c r="J2904" s="43">
        <f>IF($I2903=0,0,$R2903)</f>
      </c>
      <c r="K2904" s="43">
        <f>IF($I2904=0,0,IF(INDEX(DarlOhneTilgung,7)=1,0,IF(AND(INDEX(DarlTilgStart,7)&gt;0,$E2904=INDEX(DarlTilgStart,7)),$J2904*($H2904+INDEX(DarlTilgung,7))/100/12,IF(AND($G2904=0,$G2903=1),MAX($K2903,$J2904*($H2904+1)/100/12),$K2903))))</f>
      </c>
      <c r="L2904" s="43">
        <f>IF($I2904=0,0,$J2904*$H2904/100/12)</f>
      </c>
      <c r="M2904" s="43">
        <f>IF($I2904=0,0,IF(OR(INDEX(DarlOhneTilgung,7)=1,AND(INDEX(DarlTilgStart,7)&gt;0,$E2904&lt;INDEX(DarlTilgStart,7))),0,MIN(MAX(0,$K2904-$L2904),$J2904)))</f>
      </c>
      <c r="N2904" s="43">
        <f>IF($I2904=0,0,MIN(SUMIFS(SondBetrag,SondDarl,7,SondDatum,"&gt;="&amp;$E2904,SondDatum,"&lt;="&amp;EOMONTH($E2904,0)),$J2904-$M2904))</f>
      </c>
      <c r="O2904" s="43">
        <f>IF($I2904=0,0,INDEX(DarlErsatzRate,7))</f>
      </c>
      <c r="P2904" s="43">
        <f>IF($I2904=0,0,$Q2903*INDEX(DarlErsatzZins,7))</f>
      </c>
      <c r="Q2904" s="43">
        <f>IF($I2904=0,0,$Q2903+$P2904+$O2904)</f>
      </c>
      <c r="R2904" s="43">
        <f>IF($I2904=0,0,$J2904-$M2904-$N2904)</f>
      </c>
    </row>
    <row r="2905">
      <c r="A2905"/>
      <c r="B2905">
        <v>7</v>
      </c>
      <c r="C2905" s="43">
        <f>INDEX(DarlObj,7)</f>
      </c>
      <c r="D2905">
        <v>22</v>
      </c>
      <c r="E2905" s="51">
        <f>IF(INDEX(DarlBelegt,7)=0,0,EOMONTH(INDEX(DarlAuszahlung,7),21)+1)</f>
      </c>
      <c r="F2905" s="43">
        <f>IF($E2905=0,0,YEAR($E2905))</f>
      </c>
      <c r="G2905" s="43">
        <f>IF(INDEX(DarlBindung,7)="",1,IF($E2905&lt;=INDEX(DarlBindung,7),1,0))</f>
      </c>
      <c r="H2905" s="43">
        <f>IF($G2905=1,INDEX(DarlSollzins,7),INDEX(DarlAnschluss,7))</f>
      </c>
      <c r="I2905" s="43">
        <f>IF(INDEX(DarlBelegt,7)=0,0,IF(INDEX(DarlOhneTilgung,7)=1,IF(INDEX(DarlBindung,7)="",1,$G2905),IF($J2905&gt;0.005,1,0)))</f>
      </c>
      <c r="J2905" s="43">
        <f>IF($I2904=0,0,$R2904)</f>
      </c>
      <c r="K2905" s="43">
        <f>IF($I2905=0,0,IF(INDEX(DarlOhneTilgung,7)=1,0,IF(AND(INDEX(DarlTilgStart,7)&gt;0,$E2905=INDEX(DarlTilgStart,7)),$J2905*($H2905+INDEX(DarlTilgung,7))/100/12,IF(AND($G2905=0,$G2904=1),MAX($K2904,$J2905*($H2905+1)/100/12),$K2904))))</f>
      </c>
      <c r="L2905" s="43">
        <f>IF($I2905=0,0,$J2905*$H2905/100/12)</f>
      </c>
      <c r="M2905" s="43">
        <f>IF($I2905=0,0,IF(OR(INDEX(DarlOhneTilgung,7)=1,AND(INDEX(DarlTilgStart,7)&gt;0,$E2905&lt;INDEX(DarlTilgStart,7))),0,MIN(MAX(0,$K2905-$L2905),$J2905)))</f>
      </c>
      <c r="N2905" s="43">
        <f>IF($I2905=0,0,MIN(SUMIFS(SondBetrag,SondDarl,7,SondDatum,"&gt;="&amp;$E2905,SondDatum,"&lt;="&amp;EOMONTH($E2905,0)),$J2905-$M2905))</f>
      </c>
      <c r="O2905" s="43">
        <f>IF($I2905=0,0,INDEX(DarlErsatzRate,7))</f>
      </c>
      <c r="P2905" s="43">
        <f>IF($I2905=0,0,$Q2904*INDEX(DarlErsatzZins,7))</f>
      </c>
      <c r="Q2905" s="43">
        <f>IF($I2905=0,0,$Q2904+$P2905+$O2905)</f>
      </c>
      <c r="R2905" s="43">
        <f>IF($I2905=0,0,$J2905-$M2905-$N2905)</f>
      </c>
    </row>
    <row r="2906">
      <c r="A2906"/>
      <c r="B2906">
        <v>7</v>
      </c>
      <c r="C2906" s="43">
        <f>INDEX(DarlObj,7)</f>
      </c>
      <c r="D2906">
        <v>23</v>
      </c>
      <c r="E2906" s="51">
        <f>IF(INDEX(DarlBelegt,7)=0,0,EOMONTH(INDEX(DarlAuszahlung,7),22)+1)</f>
      </c>
      <c r="F2906" s="43">
        <f>IF($E2906=0,0,YEAR($E2906))</f>
      </c>
      <c r="G2906" s="43">
        <f>IF(INDEX(DarlBindung,7)="",1,IF($E2906&lt;=INDEX(DarlBindung,7),1,0))</f>
      </c>
      <c r="H2906" s="43">
        <f>IF($G2906=1,INDEX(DarlSollzins,7),INDEX(DarlAnschluss,7))</f>
      </c>
      <c r="I2906" s="43">
        <f>IF(INDEX(DarlBelegt,7)=0,0,IF(INDEX(DarlOhneTilgung,7)=1,IF(INDEX(DarlBindung,7)="",1,$G2906),IF($J2906&gt;0.005,1,0)))</f>
      </c>
      <c r="J2906" s="43">
        <f>IF($I2905=0,0,$R2905)</f>
      </c>
      <c r="K2906" s="43">
        <f>IF($I2906=0,0,IF(INDEX(DarlOhneTilgung,7)=1,0,IF(AND(INDEX(DarlTilgStart,7)&gt;0,$E2906=INDEX(DarlTilgStart,7)),$J2906*($H2906+INDEX(DarlTilgung,7))/100/12,IF(AND($G2906=0,$G2905=1),MAX($K2905,$J2906*($H2906+1)/100/12),$K2905))))</f>
      </c>
      <c r="L2906" s="43">
        <f>IF($I2906=0,0,$J2906*$H2906/100/12)</f>
      </c>
      <c r="M2906" s="43">
        <f>IF($I2906=0,0,IF(OR(INDEX(DarlOhneTilgung,7)=1,AND(INDEX(DarlTilgStart,7)&gt;0,$E2906&lt;INDEX(DarlTilgStart,7))),0,MIN(MAX(0,$K2906-$L2906),$J2906)))</f>
      </c>
      <c r="N2906" s="43">
        <f>IF($I2906=0,0,MIN(SUMIFS(SondBetrag,SondDarl,7,SondDatum,"&gt;="&amp;$E2906,SondDatum,"&lt;="&amp;EOMONTH($E2906,0)),$J2906-$M2906))</f>
      </c>
      <c r="O2906" s="43">
        <f>IF($I2906=0,0,INDEX(DarlErsatzRate,7))</f>
      </c>
      <c r="P2906" s="43">
        <f>IF($I2906=0,0,$Q2905*INDEX(DarlErsatzZins,7))</f>
      </c>
      <c r="Q2906" s="43">
        <f>IF($I2906=0,0,$Q2905+$P2906+$O2906)</f>
      </c>
      <c r="R2906" s="43">
        <f>IF($I2906=0,0,$J2906-$M2906-$N2906)</f>
      </c>
    </row>
    <row r="2907">
      <c r="A2907"/>
      <c r="B2907">
        <v>7</v>
      </c>
      <c r="C2907" s="43">
        <f>INDEX(DarlObj,7)</f>
      </c>
      <c r="D2907">
        <v>24</v>
      </c>
      <c r="E2907" s="51">
        <f>IF(INDEX(DarlBelegt,7)=0,0,EOMONTH(INDEX(DarlAuszahlung,7),23)+1)</f>
      </c>
      <c r="F2907" s="43">
        <f>IF($E2907=0,0,YEAR($E2907))</f>
      </c>
      <c r="G2907" s="43">
        <f>IF(INDEX(DarlBindung,7)="",1,IF($E2907&lt;=INDEX(DarlBindung,7),1,0))</f>
      </c>
      <c r="H2907" s="43">
        <f>IF($G2907=1,INDEX(DarlSollzins,7),INDEX(DarlAnschluss,7))</f>
      </c>
      <c r="I2907" s="43">
        <f>IF(INDEX(DarlBelegt,7)=0,0,IF(INDEX(DarlOhneTilgung,7)=1,IF(INDEX(DarlBindung,7)="",1,$G2907),IF($J2907&gt;0.005,1,0)))</f>
      </c>
      <c r="J2907" s="43">
        <f>IF($I2906=0,0,$R2906)</f>
      </c>
      <c r="K2907" s="43">
        <f>IF($I2907=0,0,IF(INDEX(DarlOhneTilgung,7)=1,0,IF(AND(INDEX(DarlTilgStart,7)&gt;0,$E2907=INDEX(DarlTilgStart,7)),$J2907*($H2907+INDEX(DarlTilgung,7))/100/12,IF(AND($G2907=0,$G2906=1),MAX($K2906,$J2907*($H2907+1)/100/12),$K2906))))</f>
      </c>
      <c r="L2907" s="43">
        <f>IF($I2907=0,0,$J2907*$H2907/100/12)</f>
      </c>
      <c r="M2907" s="43">
        <f>IF($I2907=0,0,IF(OR(INDEX(DarlOhneTilgung,7)=1,AND(INDEX(DarlTilgStart,7)&gt;0,$E2907&lt;INDEX(DarlTilgStart,7))),0,MIN(MAX(0,$K2907-$L2907),$J2907)))</f>
      </c>
      <c r="N2907" s="43">
        <f>IF($I2907=0,0,MIN(SUMIFS(SondBetrag,SondDarl,7,SondDatum,"&gt;="&amp;$E2907,SondDatum,"&lt;="&amp;EOMONTH($E2907,0)),$J2907-$M2907))</f>
      </c>
      <c r="O2907" s="43">
        <f>IF($I2907=0,0,INDEX(DarlErsatzRate,7))</f>
      </c>
      <c r="P2907" s="43">
        <f>IF($I2907=0,0,$Q2906*INDEX(DarlErsatzZins,7))</f>
      </c>
      <c r="Q2907" s="43">
        <f>IF($I2907=0,0,$Q2906+$P2907+$O2907)</f>
      </c>
      <c r="R2907" s="43">
        <f>IF($I2907=0,0,$J2907-$M2907-$N2907)</f>
      </c>
    </row>
    <row r="2908">
      <c r="A2908"/>
      <c r="B2908">
        <v>7</v>
      </c>
      <c r="C2908" s="43">
        <f>INDEX(DarlObj,7)</f>
      </c>
      <c r="D2908">
        <v>25</v>
      </c>
      <c r="E2908" s="51">
        <f>IF(INDEX(DarlBelegt,7)=0,0,EOMONTH(INDEX(DarlAuszahlung,7),24)+1)</f>
      </c>
      <c r="F2908" s="43">
        <f>IF($E2908=0,0,YEAR($E2908))</f>
      </c>
      <c r="G2908" s="43">
        <f>IF(INDEX(DarlBindung,7)="",1,IF($E2908&lt;=INDEX(DarlBindung,7),1,0))</f>
      </c>
      <c r="H2908" s="43">
        <f>IF($G2908=1,INDEX(DarlSollzins,7),INDEX(DarlAnschluss,7))</f>
      </c>
      <c r="I2908" s="43">
        <f>IF(INDEX(DarlBelegt,7)=0,0,IF(INDEX(DarlOhneTilgung,7)=1,IF(INDEX(DarlBindung,7)="",1,$G2908),IF($J2908&gt;0.005,1,0)))</f>
      </c>
      <c r="J2908" s="43">
        <f>IF($I2907=0,0,$R2907)</f>
      </c>
      <c r="K2908" s="43">
        <f>IF($I2908=0,0,IF(INDEX(DarlOhneTilgung,7)=1,0,IF(AND(INDEX(DarlTilgStart,7)&gt;0,$E2908=INDEX(DarlTilgStart,7)),$J2908*($H2908+INDEX(DarlTilgung,7))/100/12,IF(AND($G2908=0,$G2907=1),MAX($K2907,$J2908*($H2908+1)/100/12),$K2907))))</f>
      </c>
      <c r="L2908" s="43">
        <f>IF($I2908=0,0,$J2908*$H2908/100/12)</f>
      </c>
      <c r="M2908" s="43">
        <f>IF($I2908=0,0,IF(OR(INDEX(DarlOhneTilgung,7)=1,AND(INDEX(DarlTilgStart,7)&gt;0,$E2908&lt;INDEX(DarlTilgStart,7))),0,MIN(MAX(0,$K2908-$L2908),$J2908)))</f>
      </c>
      <c r="N2908" s="43">
        <f>IF($I2908=0,0,MIN(SUMIFS(SondBetrag,SondDarl,7,SondDatum,"&gt;="&amp;$E2908,SondDatum,"&lt;="&amp;EOMONTH($E2908,0)),$J2908-$M2908))</f>
      </c>
      <c r="O2908" s="43">
        <f>IF($I2908=0,0,INDEX(DarlErsatzRate,7))</f>
      </c>
      <c r="P2908" s="43">
        <f>IF($I2908=0,0,$Q2907*INDEX(DarlErsatzZins,7))</f>
      </c>
      <c r="Q2908" s="43">
        <f>IF($I2908=0,0,$Q2907+$P2908+$O2908)</f>
      </c>
      <c r="R2908" s="43">
        <f>IF($I2908=0,0,$J2908-$M2908-$N2908)</f>
      </c>
    </row>
    <row r="2909">
      <c r="A2909"/>
      <c r="B2909">
        <v>7</v>
      </c>
      <c r="C2909" s="43">
        <f>INDEX(DarlObj,7)</f>
      </c>
      <c r="D2909">
        <v>26</v>
      </c>
      <c r="E2909" s="51">
        <f>IF(INDEX(DarlBelegt,7)=0,0,EOMONTH(INDEX(DarlAuszahlung,7),25)+1)</f>
      </c>
      <c r="F2909" s="43">
        <f>IF($E2909=0,0,YEAR($E2909))</f>
      </c>
      <c r="G2909" s="43">
        <f>IF(INDEX(DarlBindung,7)="",1,IF($E2909&lt;=INDEX(DarlBindung,7),1,0))</f>
      </c>
      <c r="H2909" s="43">
        <f>IF($G2909=1,INDEX(DarlSollzins,7),INDEX(DarlAnschluss,7))</f>
      </c>
      <c r="I2909" s="43">
        <f>IF(INDEX(DarlBelegt,7)=0,0,IF(INDEX(DarlOhneTilgung,7)=1,IF(INDEX(DarlBindung,7)="",1,$G2909),IF($J2909&gt;0.005,1,0)))</f>
      </c>
      <c r="J2909" s="43">
        <f>IF($I2908=0,0,$R2908)</f>
      </c>
      <c r="K2909" s="43">
        <f>IF($I2909=0,0,IF(INDEX(DarlOhneTilgung,7)=1,0,IF(AND(INDEX(DarlTilgStart,7)&gt;0,$E2909=INDEX(DarlTilgStart,7)),$J2909*($H2909+INDEX(DarlTilgung,7))/100/12,IF(AND($G2909=0,$G2908=1),MAX($K2908,$J2909*($H2909+1)/100/12),$K2908))))</f>
      </c>
      <c r="L2909" s="43">
        <f>IF($I2909=0,0,$J2909*$H2909/100/12)</f>
      </c>
      <c r="M2909" s="43">
        <f>IF($I2909=0,0,IF(OR(INDEX(DarlOhneTilgung,7)=1,AND(INDEX(DarlTilgStart,7)&gt;0,$E2909&lt;INDEX(DarlTilgStart,7))),0,MIN(MAX(0,$K2909-$L2909),$J2909)))</f>
      </c>
      <c r="N2909" s="43">
        <f>IF($I2909=0,0,MIN(SUMIFS(SondBetrag,SondDarl,7,SondDatum,"&gt;="&amp;$E2909,SondDatum,"&lt;="&amp;EOMONTH($E2909,0)),$J2909-$M2909))</f>
      </c>
      <c r="O2909" s="43">
        <f>IF($I2909=0,0,INDEX(DarlErsatzRate,7))</f>
      </c>
      <c r="P2909" s="43">
        <f>IF($I2909=0,0,$Q2908*INDEX(DarlErsatzZins,7))</f>
      </c>
      <c r="Q2909" s="43">
        <f>IF($I2909=0,0,$Q2908+$P2909+$O2909)</f>
      </c>
      <c r="R2909" s="43">
        <f>IF($I2909=0,0,$J2909-$M2909-$N2909)</f>
      </c>
    </row>
    <row r="2910">
      <c r="A2910"/>
      <c r="B2910">
        <v>7</v>
      </c>
      <c r="C2910" s="43">
        <f>INDEX(DarlObj,7)</f>
      </c>
      <c r="D2910">
        <v>27</v>
      </c>
      <c r="E2910" s="51">
        <f>IF(INDEX(DarlBelegt,7)=0,0,EOMONTH(INDEX(DarlAuszahlung,7),26)+1)</f>
      </c>
      <c r="F2910" s="43">
        <f>IF($E2910=0,0,YEAR($E2910))</f>
      </c>
      <c r="G2910" s="43">
        <f>IF(INDEX(DarlBindung,7)="",1,IF($E2910&lt;=INDEX(DarlBindung,7),1,0))</f>
      </c>
      <c r="H2910" s="43">
        <f>IF($G2910=1,INDEX(DarlSollzins,7),INDEX(DarlAnschluss,7))</f>
      </c>
      <c r="I2910" s="43">
        <f>IF(INDEX(DarlBelegt,7)=0,0,IF(INDEX(DarlOhneTilgung,7)=1,IF(INDEX(DarlBindung,7)="",1,$G2910),IF($J2910&gt;0.005,1,0)))</f>
      </c>
      <c r="J2910" s="43">
        <f>IF($I2909=0,0,$R2909)</f>
      </c>
      <c r="K2910" s="43">
        <f>IF($I2910=0,0,IF(INDEX(DarlOhneTilgung,7)=1,0,IF(AND(INDEX(DarlTilgStart,7)&gt;0,$E2910=INDEX(DarlTilgStart,7)),$J2910*($H2910+INDEX(DarlTilgung,7))/100/12,IF(AND($G2910=0,$G2909=1),MAX($K2909,$J2910*($H2910+1)/100/12),$K2909))))</f>
      </c>
      <c r="L2910" s="43">
        <f>IF($I2910=0,0,$J2910*$H2910/100/12)</f>
      </c>
      <c r="M2910" s="43">
        <f>IF($I2910=0,0,IF(OR(INDEX(DarlOhneTilgung,7)=1,AND(INDEX(DarlTilgStart,7)&gt;0,$E2910&lt;INDEX(DarlTilgStart,7))),0,MIN(MAX(0,$K2910-$L2910),$J2910)))</f>
      </c>
      <c r="N2910" s="43">
        <f>IF($I2910=0,0,MIN(SUMIFS(SondBetrag,SondDarl,7,SondDatum,"&gt;="&amp;$E2910,SondDatum,"&lt;="&amp;EOMONTH($E2910,0)),$J2910-$M2910))</f>
      </c>
      <c r="O2910" s="43">
        <f>IF($I2910=0,0,INDEX(DarlErsatzRate,7))</f>
      </c>
      <c r="P2910" s="43">
        <f>IF($I2910=0,0,$Q2909*INDEX(DarlErsatzZins,7))</f>
      </c>
      <c r="Q2910" s="43">
        <f>IF($I2910=0,0,$Q2909+$P2910+$O2910)</f>
      </c>
      <c r="R2910" s="43">
        <f>IF($I2910=0,0,$J2910-$M2910-$N2910)</f>
      </c>
    </row>
    <row r="2911">
      <c r="A2911"/>
      <c r="B2911">
        <v>7</v>
      </c>
      <c r="C2911" s="43">
        <f>INDEX(DarlObj,7)</f>
      </c>
      <c r="D2911">
        <v>28</v>
      </c>
      <c r="E2911" s="51">
        <f>IF(INDEX(DarlBelegt,7)=0,0,EOMONTH(INDEX(DarlAuszahlung,7),27)+1)</f>
      </c>
      <c r="F2911" s="43">
        <f>IF($E2911=0,0,YEAR($E2911))</f>
      </c>
      <c r="G2911" s="43">
        <f>IF(INDEX(DarlBindung,7)="",1,IF($E2911&lt;=INDEX(DarlBindung,7),1,0))</f>
      </c>
      <c r="H2911" s="43">
        <f>IF($G2911=1,INDEX(DarlSollzins,7),INDEX(DarlAnschluss,7))</f>
      </c>
      <c r="I2911" s="43">
        <f>IF(INDEX(DarlBelegt,7)=0,0,IF(INDEX(DarlOhneTilgung,7)=1,IF(INDEX(DarlBindung,7)="",1,$G2911),IF($J2911&gt;0.005,1,0)))</f>
      </c>
      <c r="J2911" s="43">
        <f>IF($I2910=0,0,$R2910)</f>
      </c>
      <c r="K2911" s="43">
        <f>IF($I2911=0,0,IF(INDEX(DarlOhneTilgung,7)=1,0,IF(AND(INDEX(DarlTilgStart,7)&gt;0,$E2911=INDEX(DarlTilgStart,7)),$J2911*($H2911+INDEX(DarlTilgung,7))/100/12,IF(AND($G2911=0,$G2910=1),MAX($K2910,$J2911*($H2911+1)/100/12),$K2910))))</f>
      </c>
      <c r="L2911" s="43">
        <f>IF($I2911=0,0,$J2911*$H2911/100/12)</f>
      </c>
      <c r="M2911" s="43">
        <f>IF($I2911=0,0,IF(OR(INDEX(DarlOhneTilgung,7)=1,AND(INDEX(DarlTilgStart,7)&gt;0,$E2911&lt;INDEX(DarlTilgStart,7))),0,MIN(MAX(0,$K2911-$L2911),$J2911)))</f>
      </c>
      <c r="N2911" s="43">
        <f>IF($I2911=0,0,MIN(SUMIFS(SondBetrag,SondDarl,7,SondDatum,"&gt;="&amp;$E2911,SondDatum,"&lt;="&amp;EOMONTH($E2911,0)),$J2911-$M2911))</f>
      </c>
      <c r="O2911" s="43">
        <f>IF($I2911=0,0,INDEX(DarlErsatzRate,7))</f>
      </c>
      <c r="P2911" s="43">
        <f>IF($I2911=0,0,$Q2910*INDEX(DarlErsatzZins,7))</f>
      </c>
      <c r="Q2911" s="43">
        <f>IF($I2911=0,0,$Q2910+$P2911+$O2911)</f>
      </c>
      <c r="R2911" s="43">
        <f>IF($I2911=0,0,$J2911-$M2911-$N2911)</f>
      </c>
    </row>
    <row r="2912">
      <c r="A2912"/>
      <c r="B2912">
        <v>7</v>
      </c>
      <c r="C2912" s="43">
        <f>INDEX(DarlObj,7)</f>
      </c>
      <c r="D2912">
        <v>29</v>
      </c>
      <c r="E2912" s="51">
        <f>IF(INDEX(DarlBelegt,7)=0,0,EOMONTH(INDEX(DarlAuszahlung,7),28)+1)</f>
      </c>
      <c r="F2912" s="43">
        <f>IF($E2912=0,0,YEAR($E2912))</f>
      </c>
      <c r="G2912" s="43">
        <f>IF(INDEX(DarlBindung,7)="",1,IF($E2912&lt;=INDEX(DarlBindung,7),1,0))</f>
      </c>
      <c r="H2912" s="43">
        <f>IF($G2912=1,INDEX(DarlSollzins,7),INDEX(DarlAnschluss,7))</f>
      </c>
      <c r="I2912" s="43">
        <f>IF(INDEX(DarlBelegt,7)=0,0,IF(INDEX(DarlOhneTilgung,7)=1,IF(INDEX(DarlBindung,7)="",1,$G2912),IF($J2912&gt;0.005,1,0)))</f>
      </c>
      <c r="J2912" s="43">
        <f>IF($I2911=0,0,$R2911)</f>
      </c>
      <c r="K2912" s="43">
        <f>IF($I2912=0,0,IF(INDEX(DarlOhneTilgung,7)=1,0,IF(AND(INDEX(DarlTilgStart,7)&gt;0,$E2912=INDEX(DarlTilgStart,7)),$J2912*($H2912+INDEX(DarlTilgung,7))/100/12,IF(AND($G2912=0,$G2911=1),MAX($K2911,$J2912*($H2912+1)/100/12),$K2911))))</f>
      </c>
      <c r="L2912" s="43">
        <f>IF($I2912=0,0,$J2912*$H2912/100/12)</f>
      </c>
      <c r="M2912" s="43">
        <f>IF($I2912=0,0,IF(OR(INDEX(DarlOhneTilgung,7)=1,AND(INDEX(DarlTilgStart,7)&gt;0,$E2912&lt;INDEX(DarlTilgStart,7))),0,MIN(MAX(0,$K2912-$L2912),$J2912)))</f>
      </c>
      <c r="N2912" s="43">
        <f>IF($I2912=0,0,MIN(SUMIFS(SondBetrag,SondDarl,7,SondDatum,"&gt;="&amp;$E2912,SondDatum,"&lt;="&amp;EOMONTH($E2912,0)),$J2912-$M2912))</f>
      </c>
      <c r="O2912" s="43">
        <f>IF($I2912=0,0,INDEX(DarlErsatzRate,7))</f>
      </c>
      <c r="P2912" s="43">
        <f>IF($I2912=0,0,$Q2911*INDEX(DarlErsatzZins,7))</f>
      </c>
      <c r="Q2912" s="43">
        <f>IF($I2912=0,0,$Q2911+$P2912+$O2912)</f>
      </c>
      <c r="R2912" s="43">
        <f>IF($I2912=0,0,$J2912-$M2912-$N2912)</f>
      </c>
    </row>
    <row r="2913">
      <c r="A2913"/>
      <c r="B2913">
        <v>7</v>
      </c>
      <c r="C2913" s="43">
        <f>INDEX(DarlObj,7)</f>
      </c>
      <c r="D2913">
        <v>30</v>
      </c>
      <c r="E2913" s="51">
        <f>IF(INDEX(DarlBelegt,7)=0,0,EOMONTH(INDEX(DarlAuszahlung,7),29)+1)</f>
      </c>
      <c r="F2913" s="43">
        <f>IF($E2913=0,0,YEAR($E2913))</f>
      </c>
      <c r="G2913" s="43">
        <f>IF(INDEX(DarlBindung,7)="",1,IF($E2913&lt;=INDEX(DarlBindung,7),1,0))</f>
      </c>
      <c r="H2913" s="43">
        <f>IF($G2913=1,INDEX(DarlSollzins,7),INDEX(DarlAnschluss,7))</f>
      </c>
      <c r="I2913" s="43">
        <f>IF(INDEX(DarlBelegt,7)=0,0,IF(INDEX(DarlOhneTilgung,7)=1,IF(INDEX(DarlBindung,7)="",1,$G2913),IF($J2913&gt;0.005,1,0)))</f>
      </c>
      <c r="J2913" s="43">
        <f>IF($I2912=0,0,$R2912)</f>
      </c>
      <c r="K2913" s="43">
        <f>IF($I2913=0,0,IF(INDEX(DarlOhneTilgung,7)=1,0,IF(AND(INDEX(DarlTilgStart,7)&gt;0,$E2913=INDEX(DarlTilgStart,7)),$J2913*($H2913+INDEX(DarlTilgung,7))/100/12,IF(AND($G2913=0,$G2912=1),MAX($K2912,$J2913*($H2913+1)/100/12),$K2912))))</f>
      </c>
      <c r="L2913" s="43">
        <f>IF($I2913=0,0,$J2913*$H2913/100/12)</f>
      </c>
      <c r="M2913" s="43">
        <f>IF($I2913=0,0,IF(OR(INDEX(DarlOhneTilgung,7)=1,AND(INDEX(DarlTilgStart,7)&gt;0,$E2913&lt;INDEX(DarlTilgStart,7))),0,MIN(MAX(0,$K2913-$L2913),$J2913)))</f>
      </c>
      <c r="N2913" s="43">
        <f>IF($I2913=0,0,MIN(SUMIFS(SondBetrag,SondDarl,7,SondDatum,"&gt;="&amp;$E2913,SondDatum,"&lt;="&amp;EOMONTH($E2913,0)),$J2913-$M2913))</f>
      </c>
      <c r="O2913" s="43">
        <f>IF($I2913=0,0,INDEX(DarlErsatzRate,7))</f>
      </c>
      <c r="P2913" s="43">
        <f>IF($I2913=0,0,$Q2912*INDEX(DarlErsatzZins,7))</f>
      </c>
      <c r="Q2913" s="43">
        <f>IF($I2913=0,0,$Q2912+$P2913+$O2913)</f>
      </c>
      <c r="R2913" s="43">
        <f>IF($I2913=0,0,$J2913-$M2913-$N2913)</f>
      </c>
    </row>
    <row r="2914">
      <c r="A2914"/>
      <c r="B2914">
        <v>7</v>
      </c>
      <c r="C2914" s="43">
        <f>INDEX(DarlObj,7)</f>
      </c>
      <c r="D2914">
        <v>31</v>
      </c>
      <c r="E2914" s="51">
        <f>IF(INDEX(DarlBelegt,7)=0,0,EOMONTH(INDEX(DarlAuszahlung,7),30)+1)</f>
      </c>
      <c r="F2914" s="43">
        <f>IF($E2914=0,0,YEAR($E2914))</f>
      </c>
      <c r="G2914" s="43">
        <f>IF(INDEX(DarlBindung,7)="",1,IF($E2914&lt;=INDEX(DarlBindung,7),1,0))</f>
      </c>
      <c r="H2914" s="43">
        <f>IF($G2914=1,INDEX(DarlSollzins,7),INDEX(DarlAnschluss,7))</f>
      </c>
      <c r="I2914" s="43">
        <f>IF(INDEX(DarlBelegt,7)=0,0,IF(INDEX(DarlOhneTilgung,7)=1,IF(INDEX(DarlBindung,7)="",1,$G2914),IF($J2914&gt;0.005,1,0)))</f>
      </c>
      <c r="J2914" s="43">
        <f>IF($I2913=0,0,$R2913)</f>
      </c>
      <c r="K2914" s="43">
        <f>IF($I2914=0,0,IF(INDEX(DarlOhneTilgung,7)=1,0,IF(AND(INDEX(DarlTilgStart,7)&gt;0,$E2914=INDEX(DarlTilgStart,7)),$J2914*($H2914+INDEX(DarlTilgung,7))/100/12,IF(AND($G2914=0,$G2913=1),MAX($K2913,$J2914*($H2914+1)/100/12),$K2913))))</f>
      </c>
      <c r="L2914" s="43">
        <f>IF($I2914=0,0,$J2914*$H2914/100/12)</f>
      </c>
      <c r="M2914" s="43">
        <f>IF($I2914=0,0,IF(OR(INDEX(DarlOhneTilgung,7)=1,AND(INDEX(DarlTilgStart,7)&gt;0,$E2914&lt;INDEX(DarlTilgStart,7))),0,MIN(MAX(0,$K2914-$L2914),$J2914)))</f>
      </c>
      <c r="N2914" s="43">
        <f>IF($I2914=0,0,MIN(SUMIFS(SondBetrag,SondDarl,7,SondDatum,"&gt;="&amp;$E2914,SondDatum,"&lt;="&amp;EOMONTH($E2914,0)),$J2914-$M2914))</f>
      </c>
      <c r="O2914" s="43">
        <f>IF($I2914=0,0,INDEX(DarlErsatzRate,7))</f>
      </c>
      <c r="P2914" s="43">
        <f>IF($I2914=0,0,$Q2913*INDEX(DarlErsatzZins,7))</f>
      </c>
      <c r="Q2914" s="43">
        <f>IF($I2914=0,0,$Q2913+$P2914+$O2914)</f>
      </c>
      <c r="R2914" s="43">
        <f>IF($I2914=0,0,$J2914-$M2914-$N2914)</f>
      </c>
    </row>
    <row r="2915">
      <c r="A2915"/>
      <c r="B2915">
        <v>7</v>
      </c>
      <c r="C2915" s="43">
        <f>INDEX(DarlObj,7)</f>
      </c>
      <c r="D2915">
        <v>32</v>
      </c>
      <c r="E2915" s="51">
        <f>IF(INDEX(DarlBelegt,7)=0,0,EOMONTH(INDEX(DarlAuszahlung,7),31)+1)</f>
      </c>
      <c r="F2915" s="43">
        <f>IF($E2915=0,0,YEAR($E2915))</f>
      </c>
      <c r="G2915" s="43">
        <f>IF(INDEX(DarlBindung,7)="",1,IF($E2915&lt;=INDEX(DarlBindung,7),1,0))</f>
      </c>
      <c r="H2915" s="43">
        <f>IF($G2915=1,INDEX(DarlSollzins,7),INDEX(DarlAnschluss,7))</f>
      </c>
      <c r="I2915" s="43">
        <f>IF(INDEX(DarlBelegt,7)=0,0,IF(INDEX(DarlOhneTilgung,7)=1,IF(INDEX(DarlBindung,7)="",1,$G2915),IF($J2915&gt;0.005,1,0)))</f>
      </c>
      <c r="J2915" s="43">
        <f>IF($I2914=0,0,$R2914)</f>
      </c>
      <c r="K2915" s="43">
        <f>IF($I2915=0,0,IF(INDEX(DarlOhneTilgung,7)=1,0,IF(AND(INDEX(DarlTilgStart,7)&gt;0,$E2915=INDEX(DarlTilgStart,7)),$J2915*($H2915+INDEX(DarlTilgung,7))/100/12,IF(AND($G2915=0,$G2914=1),MAX($K2914,$J2915*($H2915+1)/100/12),$K2914))))</f>
      </c>
      <c r="L2915" s="43">
        <f>IF($I2915=0,0,$J2915*$H2915/100/12)</f>
      </c>
      <c r="M2915" s="43">
        <f>IF($I2915=0,0,IF(OR(INDEX(DarlOhneTilgung,7)=1,AND(INDEX(DarlTilgStart,7)&gt;0,$E2915&lt;INDEX(DarlTilgStart,7))),0,MIN(MAX(0,$K2915-$L2915),$J2915)))</f>
      </c>
      <c r="N2915" s="43">
        <f>IF($I2915=0,0,MIN(SUMIFS(SondBetrag,SondDarl,7,SondDatum,"&gt;="&amp;$E2915,SondDatum,"&lt;="&amp;EOMONTH($E2915,0)),$J2915-$M2915))</f>
      </c>
      <c r="O2915" s="43">
        <f>IF($I2915=0,0,INDEX(DarlErsatzRate,7))</f>
      </c>
      <c r="P2915" s="43">
        <f>IF($I2915=0,0,$Q2914*INDEX(DarlErsatzZins,7))</f>
      </c>
      <c r="Q2915" s="43">
        <f>IF($I2915=0,0,$Q2914+$P2915+$O2915)</f>
      </c>
      <c r="R2915" s="43">
        <f>IF($I2915=0,0,$J2915-$M2915-$N2915)</f>
      </c>
    </row>
    <row r="2916">
      <c r="A2916"/>
      <c r="B2916">
        <v>7</v>
      </c>
      <c r="C2916" s="43">
        <f>INDEX(DarlObj,7)</f>
      </c>
      <c r="D2916">
        <v>33</v>
      </c>
      <c r="E2916" s="51">
        <f>IF(INDEX(DarlBelegt,7)=0,0,EOMONTH(INDEX(DarlAuszahlung,7),32)+1)</f>
      </c>
      <c r="F2916" s="43">
        <f>IF($E2916=0,0,YEAR($E2916))</f>
      </c>
      <c r="G2916" s="43">
        <f>IF(INDEX(DarlBindung,7)="",1,IF($E2916&lt;=INDEX(DarlBindung,7),1,0))</f>
      </c>
      <c r="H2916" s="43">
        <f>IF($G2916=1,INDEX(DarlSollzins,7),INDEX(DarlAnschluss,7))</f>
      </c>
      <c r="I2916" s="43">
        <f>IF(INDEX(DarlBelegt,7)=0,0,IF(INDEX(DarlOhneTilgung,7)=1,IF(INDEX(DarlBindung,7)="",1,$G2916),IF($J2916&gt;0.005,1,0)))</f>
      </c>
      <c r="J2916" s="43">
        <f>IF($I2915=0,0,$R2915)</f>
      </c>
      <c r="K2916" s="43">
        <f>IF($I2916=0,0,IF(INDEX(DarlOhneTilgung,7)=1,0,IF(AND(INDEX(DarlTilgStart,7)&gt;0,$E2916=INDEX(DarlTilgStart,7)),$J2916*($H2916+INDEX(DarlTilgung,7))/100/12,IF(AND($G2916=0,$G2915=1),MAX($K2915,$J2916*($H2916+1)/100/12),$K2915))))</f>
      </c>
      <c r="L2916" s="43">
        <f>IF($I2916=0,0,$J2916*$H2916/100/12)</f>
      </c>
      <c r="M2916" s="43">
        <f>IF($I2916=0,0,IF(OR(INDEX(DarlOhneTilgung,7)=1,AND(INDEX(DarlTilgStart,7)&gt;0,$E2916&lt;INDEX(DarlTilgStart,7))),0,MIN(MAX(0,$K2916-$L2916),$J2916)))</f>
      </c>
      <c r="N2916" s="43">
        <f>IF($I2916=0,0,MIN(SUMIFS(SondBetrag,SondDarl,7,SondDatum,"&gt;="&amp;$E2916,SondDatum,"&lt;="&amp;EOMONTH($E2916,0)),$J2916-$M2916))</f>
      </c>
      <c r="O2916" s="43">
        <f>IF($I2916=0,0,INDEX(DarlErsatzRate,7))</f>
      </c>
      <c r="P2916" s="43">
        <f>IF($I2916=0,0,$Q2915*INDEX(DarlErsatzZins,7))</f>
      </c>
      <c r="Q2916" s="43">
        <f>IF($I2916=0,0,$Q2915+$P2916+$O2916)</f>
      </c>
      <c r="R2916" s="43">
        <f>IF($I2916=0,0,$J2916-$M2916-$N2916)</f>
      </c>
    </row>
    <row r="2917">
      <c r="A2917"/>
      <c r="B2917">
        <v>7</v>
      </c>
      <c r="C2917" s="43">
        <f>INDEX(DarlObj,7)</f>
      </c>
      <c r="D2917">
        <v>34</v>
      </c>
      <c r="E2917" s="51">
        <f>IF(INDEX(DarlBelegt,7)=0,0,EOMONTH(INDEX(DarlAuszahlung,7),33)+1)</f>
      </c>
      <c r="F2917" s="43">
        <f>IF($E2917=0,0,YEAR($E2917))</f>
      </c>
      <c r="G2917" s="43">
        <f>IF(INDEX(DarlBindung,7)="",1,IF($E2917&lt;=INDEX(DarlBindung,7),1,0))</f>
      </c>
      <c r="H2917" s="43">
        <f>IF($G2917=1,INDEX(DarlSollzins,7),INDEX(DarlAnschluss,7))</f>
      </c>
      <c r="I2917" s="43">
        <f>IF(INDEX(DarlBelegt,7)=0,0,IF(INDEX(DarlOhneTilgung,7)=1,IF(INDEX(DarlBindung,7)="",1,$G2917),IF($J2917&gt;0.005,1,0)))</f>
      </c>
      <c r="J2917" s="43">
        <f>IF($I2916=0,0,$R2916)</f>
      </c>
      <c r="K2917" s="43">
        <f>IF($I2917=0,0,IF(INDEX(DarlOhneTilgung,7)=1,0,IF(AND(INDEX(DarlTilgStart,7)&gt;0,$E2917=INDEX(DarlTilgStart,7)),$J2917*($H2917+INDEX(DarlTilgung,7))/100/12,IF(AND($G2917=0,$G2916=1),MAX($K2916,$J2917*($H2917+1)/100/12),$K2916))))</f>
      </c>
      <c r="L2917" s="43">
        <f>IF($I2917=0,0,$J2917*$H2917/100/12)</f>
      </c>
      <c r="M2917" s="43">
        <f>IF($I2917=0,0,IF(OR(INDEX(DarlOhneTilgung,7)=1,AND(INDEX(DarlTilgStart,7)&gt;0,$E2917&lt;INDEX(DarlTilgStart,7))),0,MIN(MAX(0,$K2917-$L2917),$J2917)))</f>
      </c>
      <c r="N2917" s="43">
        <f>IF($I2917=0,0,MIN(SUMIFS(SondBetrag,SondDarl,7,SondDatum,"&gt;="&amp;$E2917,SondDatum,"&lt;="&amp;EOMONTH($E2917,0)),$J2917-$M2917))</f>
      </c>
      <c r="O2917" s="43">
        <f>IF($I2917=0,0,INDEX(DarlErsatzRate,7))</f>
      </c>
      <c r="P2917" s="43">
        <f>IF($I2917=0,0,$Q2916*INDEX(DarlErsatzZins,7))</f>
      </c>
      <c r="Q2917" s="43">
        <f>IF($I2917=0,0,$Q2916+$P2917+$O2917)</f>
      </c>
      <c r="R2917" s="43">
        <f>IF($I2917=0,0,$J2917-$M2917-$N2917)</f>
      </c>
    </row>
    <row r="2918">
      <c r="A2918"/>
      <c r="B2918">
        <v>7</v>
      </c>
      <c r="C2918" s="43">
        <f>INDEX(DarlObj,7)</f>
      </c>
      <c r="D2918">
        <v>35</v>
      </c>
      <c r="E2918" s="51">
        <f>IF(INDEX(DarlBelegt,7)=0,0,EOMONTH(INDEX(DarlAuszahlung,7),34)+1)</f>
      </c>
      <c r="F2918" s="43">
        <f>IF($E2918=0,0,YEAR($E2918))</f>
      </c>
      <c r="G2918" s="43">
        <f>IF(INDEX(DarlBindung,7)="",1,IF($E2918&lt;=INDEX(DarlBindung,7),1,0))</f>
      </c>
      <c r="H2918" s="43">
        <f>IF($G2918=1,INDEX(DarlSollzins,7),INDEX(DarlAnschluss,7))</f>
      </c>
      <c r="I2918" s="43">
        <f>IF(INDEX(DarlBelegt,7)=0,0,IF(INDEX(DarlOhneTilgung,7)=1,IF(INDEX(DarlBindung,7)="",1,$G2918),IF($J2918&gt;0.005,1,0)))</f>
      </c>
      <c r="J2918" s="43">
        <f>IF($I2917=0,0,$R2917)</f>
      </c>
      <c r="K2918" s="43">
        <f>IF($I2918=0,0,IF(INDEX(DarlOhneTilgung,7)=1,0,IF(AND(INDEX(DarlTilgStart,7)&gt;0,$E2918=INDEX(DarlTilgStart,7)),$J2918*($H2918+INDEX(DarlTilgung,7))/100/12,IF(AND($G2918=0,$G2917=1),MAX($K2917,$J2918*($H2918+1)/100/12),$K2917))))</f>
      </c>
      <c r="L2918" s="43">
        <f>IF($I2918=0,0,$J2918*$H2918/100/12)</f>
      </c>
      <c r="M2918" s="43">
        <f>IF($I2918=0,0,IF(OR(INDEX(DarlOhneTilgung,7)=1,AND(INDEX(DarlTilgStart,7)&gt;0,$E2918&lt;INDEX(DarlTilgStart,7))),0,MIN(MAX(0,$K2918-$L2918),$J2918)))</f>
      </c>
      <c r="N2918" s="43">
        <f>IF($I2918=0,0,MIN(SUMIFS(SondBetrag,SondDarl,7,SondDatum,"&gt;="&amp;$E2918,SondDatum,"&lt;="&amp;EOMONTH($E2918,0)),$J2918-$M2918))</f>
      </c>
      <c r="O2918" s="43">
        <f>IF($I2918=0,0,INDEX(DarlErsatzRate,7))</f>
      </c>
      <c r="P2918" s="43">
        <f>IF($I2918=0,0,$Q2917*INDEX(DarlErsatzZins,7))</f>
      </c>
      <c r="Q2918" s="43">
        <f>IF($I2918=0,0,$Q2917+$P2918+$O2918)</f>
      </c>
      <c r="R2918" s="43">
        <f>IF($I2918=0,0,$J2918-$M2918-$N2918)</f>
      </c>
    </row>
    <row r="2919">
      <c r="A2919"/>
      <c r="B2919">
        <v>7</v>
      </c>
      <c r="C2919" s="43">
        <f>INDEX(DarlObj,7)</f>
      </c>
      <c r="D2919">
        <v>36</v>
      </c>
      <c r="E2919" s="51">
        <f>IF(INDEX(DarlBelegt,7)=0,0,EOMONTH(INDEX(DarlAuszahlung,7),35)+1)</f>
      </c>
      <c r="F2919" s="43">
        <f>IF($E2919=0,0,YEAR($E2919))</f>
      </c>
      <c r="G2919" s="43">
        <f>IF(INDEX(DarlBindung,7)="",1,IF($E2919&lt;=INDEX(DarlBindung,7),1,0))</f>
      </c>
      <c r="H2919" s="43">
        <f>IF($G2919=1,INDEX(DarlSollzins,7),INDEX(DarlAnschluss,7))</f>
      </c>
      <c r="I2919" s="43">
        <f>IF(INDEX(DarlBelegt,7)=0,0,IF(INDEX(DarlOhneTilgung,7)=1,IF(INDEX(DarlBindung,7)="",1,$G2919),IF($J2919&gt;0.005,1,0)))</f>
      </c>
      <c r="J2919" s="43">
        <f>IF($I2918=0,0,$R2918)</f>
      </c>
      <c r="K2919" s="43">
        <f>IF($I2919=0,0,IF(INDEX(DarlOhneTilgung,7)=1,0,IF(AND(INDEX(DarlTilgStart,7)&gt;0,$E2919=INDEX(DarlTilgStart,7)),$J2919*($H2919+INDEX(DarlTilgung,7))/100/12,IF(AND($G2919=0,$G2918=1),MAX($K2918,$J2919*($H2919+1)/100/12),$K2918))))</f>
      </c>
      <c r="L2919" s="43">
        <f>IF($I2919=0,0,$J2919*$H2919/100/12)</f>
      </c>
      <c r="M2919" s="43">
        <f>IF($I2919=0,0,IF(OR(INDEX(DarlOhneTilgung,7)=1,AND(INDEX(DarlTilgStart,7)&gt;0,$E2919&lt;INDEX(DarlTilgStart,7))),0,MIN(MAX(0,$K2919-$L2919),$J2919)))</f>
      </c>
      <c r="N2919" s="43">
        <f>IF($I2919=0,0,MIN(SUMIFS(SondBetrag,SondDarl,7,SondDatum,"&gt;="&amp;$E2919,SondDatum,"&lt;="&amp;EOMONTH($E2919,0)),$J2919-$M2919))</f>
      </c>
      <c r="O2919" s="43">
        <f>IF($I2919=0,0,INDEX(DarlErsatzRate,7))</f>
      </c>
      <c r="P2919" s="43">
        <f>IF($I2919=0,0,$Q2918*INDEX(DarlErsatzZins,7))</f>
      </c>
      <c r="Q2919" s="43">
        <f>IF($I2919=0,0,$Q2918+$P2919+$O2919)</f>
      </c>
      <c r="R2919" s="43">
        <f>IF($I2919=0,0,$J2919-$M2919-$N2919)</f>
      </c>
    </row>
    <row r="2920">
      <c r="A2920"/>
      <c r="B2920">
        <v>7</v>
      </c>
      <c r="C2920" s="43">
        <f>INDEX(DarlObj,7)</f>
      </c>
      <c r="D2920">
        <v>37</v>
      </c>
      <c r="E2920" s="51">
        <f>IF(INDEX(DarlBelegt,7)=0,0,EOMONTH(INDEX(DarlAuszahlung,7),36)+1)</f>
      </c>
      <c r="F2920" s="43">
        <f>IF($E2920=0,0,YEAR($E2920))</f>
      </c>
      <c r="G2920" s="43">
        <f>IF(INDEX(DarlBindung,7)="",1,IF($E2920&lt;=INDEX(DarlBindung,7),1,0))</f>
      </c>
      <c r="H2920" s="43">
        <f>IF($G2920=1,INDEX(DarlSollzins,7),INDEX(DarlAnschluss,7))</f>
      </c>
      <c r="I2920" s="43">
        <f>IF(INDEX(DarlBelegt,7)=0,0,IF(INDEX(DarlOhneTilgung,7)=1,IF(INDEX(DarlBindung,7)="",1,$G2920),IF($J2920&gt;0.005,1,0)))</f>
      </c>
      <c r="J2920" s="43">
        <f>IF($I2919=0,0,$R2919)</f>
      </c>
      <c r="K2920" s="43">
        <f>IF($I2920=0,0,IF(INDEX(DarlOhneTilgung,7)=1,0,IF(AND(INDEX(DarlTilgStart,7)&gt;0,$E2920=INDEX(DarlTilgStart,7)),$J2920*($H2920+INDEX(DarlTilgung,7))/100/12,IF(AND($G2920=0,$G2919=1),MAX($K2919,$J2920*($H2920+1)/100/12),$K2919))))</f>
      </c>
      <c r="L2920" s="43">
        <f>IF($I2920=0,0,$J2920*$H2920/100/12)</f>
      </c>
      <c r="M2920" s="43">
        <f>IF($I2920=0,0,IF(OR(INDEX(DarlOhneTilgung,7)=1,AND(INDEX(DarlTilgStart,7)&gt;0,$E2920&lt;INDEX(DarlTilgStart,7))),0,MIN(MAX(0,$K2920-$L2920),$J2920)))</f>
      </c>
      <c r="N2920" s="43">
        <f>IF($I2920=0,0,MIN(SUMIFS(SondBetrag,SondDarl,7,SondDatum,"&gt;="&amp;$E2920,SondDatum,"&lt;="&amp;EOMONTH($E2920,0)),$J2920-$M2920))</f>
      </c>
      <c r="O2920" s="43">
        <f>IF($I2920=0,0,INDEX(DarlErsatzRate,7))</f>
      </c>
      <c r="P2920" s="43">
        <f>IF($I2920=0,0,$Q2919*INDEX(DarlErsatzZins,7))</f>
      </c>
      <c r="Q2920" s="43">
        <f>IF($I2920=0,0,$Q2919+$P2920+$O2920)</f>
      </c>
      <c r="R2920" s="43">
        <f>IF($I2920=0,0,$J2920-$M2920-$N2920)</f>
      </c>
    </row>
    <row r="2921">
      <c r="A2921"/>
      <c r="B2921">
        <v>7</v>
      </c>
      <c r="C2921" s="43">
        <f>INDEX(DarlObj,7)</f>
      </c>
      <c r="D2921">
        <v>38</v>
      </c>
      <c r="E2921" s="51">
        <f>IF(INDEX(DarlBelegt,7)=0,0,EOMONTH(INDEX(DarlAuszahlung,7),37)+1)</f>
      </c>
      <c r="F2921" s="43">
        <f>IF($E2921=0,0,YEAR($E2921))</f>
      </c>
      <c r="G2921" s="43">
        <f>IF(INDEX(DarlBindung,7)="",1,IF($E2921&lt;=INDEX(DarlBindung,7),1,0))</f>
      </c>
      <c r="H2921" s="43">
        <f>IF($G2921=1,INDEX(DarlSollzins,7),INDEX(DarlAnschluss,7))</f>
      </c>
      <c r="I2921" s="43">
        <f>IF(INDEX(DarlBelegt,7)=0,0,IF(INDEX(DarlOhneTilgung,7)=1,IF(INDEX(DarlBindung,7)="",1,$G2921),IF($J2921&gt;0.005,1,0)))</f>
      </c>
      <c r="J2921" s="43">
        <f>IF($I2920=0,0,$R2920)</f>
      </c>
      <c r="K2921" s="43">
        <f>IF($I2921=0,0,IF(INDEX(DarlOhneTilgung,7)=1,0,IF(AND(INDEX(DarlTilgStart,7)&gt;0,$E2921=INDEX(DarlTilgStart,7)),$J2921*($H2921+INDEX(DarlTilgung,7))/100/12,IF(AND($G2921=0,$G2920=1),MAX($K2920,$J2921*($H2921+1)/100/12),$K2920))))</f>
      </c>
      <c r="L2921" s="43">
        <f>IF($I2921=0,0,$J2921*$H2921/100/12)</f>
      </c>
      <c r="M2921" s="43">
        <f>IF($I2921=0,0,IF(OR(INDEX(DarlOhneTilgung,7)=1,AND(INDEX(DarlTilgStart,7)&gt;0,$E2921&lt;INDEX(DarlTilgStart,7))),0,MIN(MAX(0,$K2921-$L2921),$J2921)))</f>
      </c>
      <c r="N2921" s="43">
        <f>IF($I2921=0,0,MIN(SUMIFS(SondBetrag,SondDarl,7,SondDatum,"&gt;="&amp;$E2921,SondDatum,"&lt;="&amp;EOMONTH($E2921,0)),$J2921-$M2921))</f>
      </c>
      <c r="O2921" s="43">
        <f>IF($I2921=0,0,INDEX(DarlErsatzRate,7))</f>
      </c>
      <c r="P2921" s="43">
        <f>IF($I2921=0,0,$Q2920*INDEX(DarlErsatzZins,7))</f>
      </c>
      <c r="Q2921" s="43">
        <f>IF($I2921=0,0,$Q2920+$P2921+$O2921)</f>
      </c>
      <c r="R2921" s="43">
        <f>IF($I2921=0,0,$J2921-$M2921-$N2921)</f>
      </c>
    </row>
    <row r="2922">
      <c r="A2922"/>
      <c r="B2922">
        <v>7</v>
      </c>
      <c r="C2922" s="43">
        <f>INDEX(DarlObj,7)</f>
      </c>
      <c r="D2922">
        <v>39</v>
      </c>
      <c r="E2922" s="51">
        <f>IF(INDEX(DarlBelegt,7)=0,0,EOMONTH(INDEX(DarlAuszahlung,7),38)+1)</f>
      </c>
      <c r="F2922" s="43">
        <f>IF($E2922=0,0,YEAR($E2922))</f>
      </c>
      <c r="G2922" s="43">
        <f>IF(INDEX(DarlBindung,7)="",1,IF($E2922&lt;=INDEX(DarlBindung,7),1,0))</f>
      </c>
      <c r="H2922" s="43">
        <f>IF($G2922=1,INDEX(DarlSollzins,7),INDEX(DarlAnschluss,7))</f>
      </c>
      <c r="I2922" s="43">
        <f>IF(INDEX(DarlBelegt,7)=0,0,IF(INDEX(DarlOhneTilgung,7)=1,IF(INDEX(DarlBindung,7)="",1,$G2922),IF($J2922&gt;0.005,1,0)))</f>
      </c>
      <c r="J2922" s="43">
        <f>IF($I2921=0,0,$R2921)</f>
      </c>
      <c r="K2922" s="43">
        <f>IF($I2922=0,0,IF(INDEX(DarlOhneTilgung,7)=1,0,IF(AND(INDEX(DarlTilgStart,7)&gt;0,$E2922=INDEX(DarlTilgStart,7)),$J2922*($H2922+INDEX(DarlTilgung,7))/100/12,IF(AND($G2922=0,$G2921=1),MAX($K2921,$J2922*($H2922+1)/100/12),$K2921))))</f>
      </c>
      <c r="L2922" s="43">
        <f>IF($I2922=0,0,$J2922*$H2922/100/12)</f>
      </c>
      <c r="M2922" s="43">
        <f>IF($I2922=0,0,IF(OR(INDEX(DarlOhneTilgung,7)=1,AND(INDEX(DarlTilgStart,7)&gt;0,$E2922&lt;INDEX(DarlTilgStart,7))),0,MIN(MAX(0,$K2922-$L2922),$J2922)))</f>
      </c>
      <c r="N2922" s="43">
        <f>IF($I2922=0,0,MIN(SUMIFS(SondBetrag,SondDarl,7,SondDatum,"&gt;="&amp;$E2922,SondDatum,"&lt;="&amp;EOMONTH($E2922,0)),$J2922-$M2922))</f>
      </c>
      <c r="O2922" s="43">
        <f>IF($I2922=0,0,INDEX(DarlErsatzRate,7))</f>
      </c>
      <c r="P2922" s="43">
        <f>IF($I2922=0,0,$Q2921*INDEX(DarlErsatzZins,7))</f>
      </c>
      <c r="Q2922" s="43">
        <f>IF($I2922=0,0,$Q2921+$P2922+$O2922)</f>
      </c>
      <c r="R2922" s="43">
        <f>IF($I2922=0,0,$J2922-$M2922-$N2922)</f>
      </c>
    </row>
    <row r="2923">
      <c r="A2923"/>
      <c r="B2923">
        <v>7</v>
      </c>
      <c r="C2923" s="43">
        <f>INDEX(DarlObj,7)</f>
      </c>
      <c r="D2923">
        <v>40</v>
      </c>
      <c r="E2923" s="51">
        <f>IF(INDEX(DarlBelegt,7)=0,0,EOMONTH(INDEX(DarlAuszahlung,7),39)+1)</f>
      </c>
      <c r="F2923" s="43">
        <f>IF($E2923=0,0,YEAR($E2923))</f>
      </c>
      <c r="G2923" s="43">
        <f>IF(INDEX(DarlBindung,7)="",1,IF($E2923&lt;=INDEX(DarlBindung,7),1,0))</f>
      </c>
      <c r="H2923" s="43">
        <f>IF($G2923=1,INDEX(DarlSollzins,7),INDEX(DarlAnschluss,7))</f>
      </c>
      <c r="I2923" s="43">
        <f>IF(INDEX(DarlBelegt,7)=0,0,IF(INDEX(DarlOhneTilgung,7)=1,IF(INDEX(DarlBindung,7)="",1,$G2923),IF($J2923&gt;0.005,1,0)))</f>
      </c>
      <c r="J2923" s="43">
        <f>IF($I2922=0,0,$R2922)</f>
      </c>
      <c r="K2923" s="43">
        <f>IF($I2923=0,0,IF(INDEX(DarlOhneTilgung,7)=1,0,IF(AND(INDEX(DarlTilgStart,7)&gt;0,$E2923=INDEX(DarlTilgStart,7)),$J2923*($H2923+INDEX(DarlTilgung,7))/100/12,IF(AND($G2923=0,$G2922=1),MAX($K2922,$J2923*($H2923+1)/100/12),$K2922))))</f>
      </c>
      <c r="L2923" s="43">
        <f>IF($I2923=0,0,$J2923*$H2923/100/12)</f>
      </c>
      <c r="M2923" s="43">
        <f>IF($I2923=0,0,IF(OR(INDEX(DarlOhneTilgung,7)=1,AND(INDEX(DarlTilgStart,7)&gt;0,$E2923&lt;INDEX(DarlTilgStart,7))),0,MIN(MAX(0,$K2923-$L2923),$J2923)))</f>
      </c>
      <c r="N2923" s="43">
        <f>IF($I2923=0,0,MIN(SUMIFS(SondBetrag,SondDarl,7,SondDatum,"&gt;="&amp;$E2923,SondDatum,"&lt;="&amp;EOMONTH($E2923,0)),$J2923-$M2923))</f>
      </c>
      <c r="O2923" s="43">
        <f>IF($I2923=0,0,INDEX(DarlErsatzRate,7))</f>
      </c>
      <c r="P2923" s="43">
        <f>IF($I2923=0,0,$Q2922*INDEX(DarlErsatzZins,7))</f>
      </c>
      <c r="Q2923" s="43">
        <f>IF($I2923=0,0,$Q2922+$P2923+$O2923)</f>
      </c>
      <c r="R2923" s="43">
        <f>IF($I2923=0,0,$J2923-$M2923-$N2923)</f>
      </c>
    </row>
    <row r="2924">
      <c r="A2924"/>
      <c r="B2924">
        <v>7</v>
      </c>
      <c r="C2924" s="43">
        <f>INDEX(DarlObj,7)</f>
      </c>
      <c r="D2924">
        <v>41</v>
      </c>
      <c r="E2924" s="51">
        <f>IF(INDEX(DarlBelegt,7)=0,0,EOMONTH(INDEX(DarlAuszahlung,7),40)+1)</f>
      </c>
      <c r="F2924" s="43">
        <f>IF($E2924=0,0,YEAR($E2924))</f>
      </c>
      <c r="G2924" s="43">
        <f>IF(INDEX(DarlBindung,7)="",1,IF($E2924&lt;=INDEX(DarlBindung,7),1,0))</f>
      </c>
      <c r="H2924" s="43">
        <f>IF($G2924=1,INDEX(DarlSollzins,7),INDEX(DarlAnschluss,7))</f>
      </c>
      <c r="I2924" s="43">
        <f>IF(INDEX(DarlBelegt,7)=0,0,IF(INDEX(DarlOhneTilgung,7)=1,IF(INDEX(DarlBindung,7)="",1,$G2924),IF($J2924&gt;0.005,1,0)))</f>
      </c>
      <c r="J2924" s="43">
        <f>IF($I2923=0,0,$R2923)</f>
      </c>
      <c r="K2924" s="43">
        <f>IF($I2924=0,0,IF(INDEX(DarlOhneTilgung,7)=1,0,IF(AND(INDEX(DarlTilgStart,7)&gt;0,$E2924=INDEX(DarlTilgStart,7)),$J2924*($H2924+INDEX(DarlTilgung,7))/100/12,IF(AND($G2924=0,$G2923=1),MAX($K2923,$J2924*($H2924+1)/100/12),$K2923))))</f>
      </c>
      <c r="L2924" s="43">
        <f>IF($I2924=0,0,$J2924*$H2924/100/12)</f>
      </c>
      <c r="M2924" s="43">
        <f>IF($I2924=0,0,IF(OR(INDEX(DarlOhneTilgung,7)=1,AND(INDEX(DarlTilgStart,7)&gt;0,$E2924&lt;INDEX(DarlTilgStart,7))),0,MIN(MAX(0,$K2924-$L2924),$J2924)))</f>
      </c>
      <c r="N2924" s="43">
        <f>IF($I2924=0,0,MIN(SUMIFS(SondBetrag,SondDarl,7,SondDatum,"&gt;="&amp;$E2924,SondDatum,"&lt;="&amp;EOMONTH($E2924,0)),$J2924-$M2924))</f>
      </c>
      <c r="O2924" s="43">
        <f>IF($I2924=0,0,INDEX(DarlErsatzRate,7))</f>
      </c>
      <c r="P2924" s="43">
        <f>IF($I2924=0,0,$Q2923*INDEX(DarlErsatzZins,7))</f>
      </c>
      <c r="Q2924" s="43">
        <f>IF($I2924=0,0,$Q2923+$P2924+$O2924)</f>
      </c>
      <c r="R2924" s="43">
        <f>IF($I2924=0,0,$J2924-$M2924-$N2924)</f>
      </c>
    </row>
    <row r="2925">
      <c r="A2925"/>
      <c r="B2925">
        <v>7</v>
      </c>
      <c r="C2925" s="43">
        <f>INDEX(DarlObj,7)</f>
      </c>
      <c r="D2925">
        <v>42</v>
      </c>
      <c r="E2925" s="51">
        <f>IF(INDEX(DarlBelegt,7)=0,0,EOMONTH(INDEX(DarlAuszahlung,7),41)+1)</f>
      </c>
      <c r="F2925" s="43">
        <f>IF($E2925=0,0,YEAR($E2925))</f>
      </c>
      <c r="G2925" s="43">
        <f>IF(INDEX(DarlBindung,7)="",1,IF($E2925&lt;=INDEX(DarlBindung,7),1,0))</f>
      </c>
      <c r="H2925" s="43">
        <f>IF($G2925=1,INDEX(DarlSollzins,7),INDEX(DarlAnschluss,7))</f>
      </c>
      <c r="I2925" s="43">
        <f>IF(INDEX(DarlBelegt,7)=0,0,IF(INDEX(DarlOhneTilgung,7)=1,IF(INDEX(DarlBindung,7)="",1,$G2925),IF($J2925&gt;0.005,1,0)))</f>
      </c>
      <c r="J2925" s="43">
        <f>IF($I2924=0,0,$R2924)</f>
      </c>
      <c r="K2925" s="43">
        <f>IF($I2925=0,0,IF(INDEX(DarlOhneTilgung,7)=1,0,IF(AND(INDEX(DarlTilgStart,7)&gt;0,$E2925=INDEX(DarlTilgStart,7)),$J2925*($H2925+INDEX(DarlTilgung,7))/100/12,IF(AND($G2925=0,$G2924=1),MAX($K2924,$J2925*($H2925+1)/100/12),$K2924))))</f>
      </c>
      <c r="L2925" s="43">
        <f>IF($I2925=0,0,$J2925*$H2925/100/12)</f>
      </c>
      <c r="M2925" s="43">
        <f>IF($I2925=0,0,IF(OR(INDEX(DarlOhneTilgung,7)=1,AND(INDEX(DarlTilgStart,7)&gt;0,$E2925&lt;INDEX(DarlTilgStart,7))),0,MIN(MAX(0,$K2925-$L2925),$J2925)))</f>
      </c>
      <c r="N2925" s="43">
        <f>IF($I2925=0,0,MIN(SUMIFS(SondBetrag,SondDarl,7,SondDatum,"&gt;="&amp;$E2925,SondDatum,"&lt;="&amp;EOMONTH($E2925,0)),$J2925-$M2925))</f>
      </c>
      <c r="O2925" s="43">
        <f>IF($I2925=0,0,INDEX(DarlErsatzRate,7))</f>
      </c>
      <c r="P2925" s="43">
        <f>IF($I2925=0,0,$Q2924*INDEX(DarlErsatzZins,7))</f>
      </c>
      <c r="Q2925" s="43">
        <f>IF($I2925=0,0,$Q2924+$P2925+$O2925)</f>
      </c>
      <c r="R2925" s="43">
        <f>IF($I2925=0,0,$J2925-$M2925-$N2925)</f>
      </c>
    </row>
    <row r="2926">
      <c r="A2926"/>
      <c r="B2926">
        <v>7</v>
      </c>
      <c r="C2926" s="43">
        <f>INDEX(DarlObj,7)</f>
      </c>
      <c r="D2926">
        <v>43</v>
      </c>
      <c r="E2926" s="51">
        <f>IF(INDEX(DarlBelegt,7)=0,0,EOMONTH(INDEX(DarlAuszahlung,7),42)+1)</f>
      </c>
      <c r="F2926" s="43">
        <f>IF($E2926=0,0,YEAR($E2926))</f>
      </c>
      <c r="G2926" s="43">
        <f>IF(INDEX(DarlBindung,7)="",1,IF($E2926&lt;=INDEX(DarlBindung,7),1,0))</f>
      </c>
      <c r="H2926" s="43">
        <f>IF($G2926=1,INDEX(DarlSollzins,7),INDEX(DarlAnschluss,7))</f>
      </c>
      <c r="I2926" s="43">
        <f>IF(INDEX(DarlBelegt,7)=0,0,IF(INDEX(DarlOhneTilgung,7)=1,IF(INDEX(DarlBindung,7)="",1,$G2926),IF($J2926&gt;0.005,1,0)))</f>
      </c>
      <c r="J2926" s="43">
        <f>IF($I2925=0,0,$R2925)</f>
      </c>
      <c r="K2926" s="43">
        <f>IF($I2926=0,0,IF(INDEX(DarlOhneTilgung,7)=1,0,IF(AND(INDEX(DarlTilgStart,7)&gt;0,$E2926=INDEX(DarlTilgStart,7)),$J2926*($H2926+INDEX(DarlTilgung,7))/100/12,IF(AND($G2926=0,$G2925=1),MAX($K2925,$J2926*($H2926+1)/100/12),$K2925))))</f>
      </c>
      <c r="L2926" s="43">
        <f>IF($I2926=0,0,$J2926*$H2926/100/12)</f>
      </c>
      <c r="M2926" s="43">
        <f>IF($I2926=0,0,IF(OR(INDEX(DarlOhneTilgung,7)=1,AND(INDEX(DarlTilgStart,7)&gt;0,$E2926&lt;INDEX(DarlTilgStart,7))),0,MIN(MAX(0,$K2926-$L2926),$J2926)))</f>
      </c>
      <c r="N2926" s="43">
        <f>IF($I2926=0,0,MIN(SUMIFS(SondBetrag,SondDarl,7,SondDatum,"&gt;="&amp;$E2926,SondDatum,"&lt;="&amp;EOMONTH($E2926,0)),$J2926-$M2926))</f>
      </c>
      <c r="O2926" s="43">
        <f>IF($I2926=0,0,INDEX(DarlErsatzRate,7))</f>
      </c>
      <c r="P2926" s="43">
        <f>IF($I2926=0,0,$Q2925*INDEX(DarlErsatzZins,7))</f>
      </c>
      <c r="Q2926" s="43">
        <f>IF($I2926=0,0,$Q2925+$P2926+$O2926)</f>
      </c>
      <c r="R2926" s="43">
        <f>IF($I2926=0,0,$J2926-$M2926-$N2926)</f>
      </c>
    </row>
    <row r="2927">
      <c r="A2927"/>
      <c r="B2927">
        <v>7</v>
      </c>
      <c r="C2927" s="43">
        <f>INDEX(DarlObj,7)</f>
      </c>
      <c r="D2927">
        <v>44</v>
      </c>
      <c r="E2927" s="51">
        <f>IF(INDEX(DarlBelegt,7)=0,0,EOMONTH(INDEX(DarlAuszahlung,7),43)+1)</f>
      </c>
      <c r="F2927" s="43">
        <f>IF($E2927=0,0,YEAR($E2927))</f>
      </c>
      <c r="G2927" s="43">
        <f>IF(INDEX(DarlBindung,7)="",1,IF($E2927&lt;=INDEX(DarlBindung,7),1,0))</f>
      </c>
      <c r="H2927" s="43">
        <f>IF($G2927=1,INDEX(DarlSollzins,7),INDEX(DarlAnschluss,7))</f>
      </c>
      <c r="I2927" s="43">
        <f>IF(INDEX(DarlBelegt,7)=0,0,IF(INDEX(DarlOhneTilgung,7)=1,IF(INDEX(DarlBindung,7)="",1,$G2927),IF($J2927&gt;0.005,1,0)))</f>
      </c>
      <c r="J2927" s="43">
        <f>IF($I2926=0,0,$R2926)</f>
      </c>
      <c r="K2927" s="43">
        <f>IF($I2927=0,0,IF(INDEX(DarlOhneTilgung,7)=1,0,IF(AND(INDEX(DarlTilgStart,7)&gt;0,$E2927=INDEX(DarlTilgStart,7)),$J2927*($H2927+INDEX(DarlTilgung,7))/100/12,IF(AND($G2927=0,$G2926=1),MAX($K2926,$J2927*($H2927+1)/100/12),$K2926))))</f>
      </c>
      <c r="L2927" s="43">
        <f>IF($I2927=0,0,$J2927*$H2927/100/12)</f>
      </c>
      <c r="M2927" s="43">
        <f>IF($I2927=0,0,IF(OR(INDEX(DarlOhneTilgung,7)=1,AND(INDEX(DarlTilgStart,7)&gt;0,$E2927&lt;INDEX(DarlTilgStart,7))),0,MIN(MAX(0,$K2927-$L2927),$J2927)))</f>
      </c>
      <c r="N2927" s="43">
        <f>IF($I2927=0,0,MIN(SUMIFS(SondBetrag,SondDarl,7,SondDatum,"&gt;="&amp;$E2927,SondDatum,"&lt;="&amp;EOMONTH($E2927,0)),$J2927-$M2927))</f>
      </c>
      <c r="O2927" s="43">
        <f>IF($I2927=0,0,INDEX(DarlErsatzRate,7))</f>
      </c>
      <c r="P2927" s="43">
        <f>IF($I2927=0,0,$Q2926*INDEX(DarlErsatzZins,7))</f>
      </c>
      <c r="Q2927" s="43">
        <f>IF($I2927=0,0,$Q2926+$P2927+$O2927)</f>
      </c>
      <c r="R2927" s="43">
        <f>IF($I2927=0,0,$J2927-$M2927-$N2927)</f>
      </c>
    </row>
    <row r="2928">
      <c r="A2928"/>
      <c r="B2928">
        <v>7</v>
      </c>
      <c r="C2928" s="43">
        <f>INDEX(DarlObj,7)</f>
      </c>
      <c r="D2928">
        <v>45</v>
      </c>
      <c r="E2928" s="51">
        <f>IF(INDEX(DarlBelegt,7)=0,0,EOMONTH(INDEX(DarlAuszahlung,7),44)+1)</f>
      </c>
      <c r="F2928" s="43">
        <f>IF($E2928=0,0,YEAR($E2928))</f>
      </c>
      <c r="G2928" s="43">
        <f>IF(INDEX(DarlBindung,7)="",1,IF($E2928&lt;=INDEX(DarlBindung,7),1,0))</f>
      </c>
      <c r="H2928" s="43">
        <f>IF($G2928=1,INDEX(DarlSollzins,7),INDEX(DarlAnschluss,7))</f>
      </c>
      <c r="I2928" s="43">
        <f>IF(INDEX(DarlBelegt,7)=0,0,IF(INDEX(DarlOhneTilgung,7)=1,IF(INDEX(DarlBindung,7)="",1,$G2928),IF($J2928&gt;0.005,1,0)))</f>
      </c>
      <c r="J2928" s="43">
        <f>IF($I2927=0,0,$R2927)</f>
      </c>
      <c r="K2928" s="43">
        <f>IF($I2928=0,0,IF(INDEX(DarlOhneTilgung,7)=1,0,IF(AND(INDEX(DarlTilgStart,7)&gt;0,$E2928=INDEX(DarlTilgStart,7)),$J2928*($H2928+INDEX(DarlTilgung,7))/100/12,IF(AND($G2928=0,$G2927=1),MAX($K2927,$J2928*($H2928+1)/100/12),$K2927))))</f>
      </c>
      <c r="L2928" s="43">
        <f>IF($I2928=0,0,$J2928*$H2928/100/12)</f>
      </c>
      <c r="M2928" s="43">
        <f>IF($I2928=0,0,IF(OR(INDEX(DarlOhneTilgung,7)=1,AND(INDEX(DarlTilgStart,7)&gt;0,$E2928&lt;INDEX(DarlTilgStart,7))),0,MIN(MAX(0,$K2928-$L2928),$J2928)))</f>
      </c>
      <c r="N2928" s="43">
        <f>IF($I2928=0,0,MIN(SUMIFS(SondBetrag,SondDarl,7,SondDatum,"&gt;="&amp;$E2928,SondDatum,"&lt;="&amp;EOMONTH($E2928,0)),$J2928-$M2928))</f>
      </c>
      <c r="O2928" s="43">
        <f>IF($I2928=0,0,INDEX(DarlErsatzRate,7))</f>
      </c>
      <c r="P2928" s="43">
        <f>IF($I2928=0,0,$Q2927*INDEX(DarlErsatzZins,7))</f>
      </c>
      <c r="Q2928" s="43">
        <f>IF($I2928=0,0,$Q2927+$P2928+$O2928)</f>
      </c>
      <c r="R2928" s="43">
        <f>IF($I2928=0,0,$J2928-$M2928-$N2928)</f>
      </c>
    </row>
    <row r="2929">
      <c r="A2929"/>
      <c r="B2929">
        <v>7</v>
      </c>
      <c r="C2929" s="43">
        <f>INDEX(DarlObj,7)</f>
      </c>
      <c r="D2929">
        <v>46</v>
      </c>
      <c r="E2929" s="51">
        <f>IF(INDEX(DarlBelegt,7)=0,0,EOMONTH(INDEX(DarlAuszahlung,7),45)+1)</f>
      </c>
      <c r="F2929" s="43">
        <f>IF($E2929=0,0,YEAR($E2929))</f>
      </c>
      <c r="G2929" s="43">
        <f>IF(INDEX(DarlBindung,7)="",1,IF($E2929&lt;=INDEX(DarlBindung,7),1,0))</f>
      </c>
      <c r="H2929" s="43">
        <f>IF($G2929=1,INDEX(DarlSollzins,7),INDEX(DarlAnschluss,7))</f>
      </c>
      <c r="I2929" s="43">
        <f>IF(INDEX(DarlBelegt,7)=0,0,IF(INDEX(DarlOhneTilgung,7)=1,IF(INDEX(DarlBindung,7)="",1,$G2929),IF($J2929&gt;0.005,1,0)))</f>
      </c>
      <c r="J2929" s="43">
        <f>IF($I2928=0,0,$R2928)</f>
      </c>
      <c r="K2929" s="43">
        <f>IF($I2929=0,0,IF(INDEX(DarlOhneTilgung,7)=1,0,IF(AND(INDEX(DarlTilgStart,7)&gt;0,$E2929=INDEX(DarlTilgStart,7)),$J2929*($H2929+INDEX(DarlTilgung,7))/100/12,IF(AND($G2929=0,$G2928=1),MAX($K2928,$J2929*($H2929+1)/100/12),$K2928))))</f>
      </c>
      <c r="L2929" s="43">
        <f>IF($I2929=0,0,$J2929*$H2929/100/12)</f>
      </c>
      <c r="M2929" s="43">
        <f>IF($I2929=0,0,IF(OR(INDEX(DarlOhneTilgung,7)=1,AND(INDEX(DarlTilgStart,7)&gt;0,$E2929&lt;INDEX(DarlTilgStart,7))),0,MIN(MAX(0,$K2929-$L2929),$J2929)))</f>
      </c>
      <c r="N2929" s="43">
        <f>IF($I2929=0,0,MIN(SUMIFS(SondBetrag,SondDarl,7,SondDatum,"&gt;="&amp;$E2929,SondDatum,"&lt;="&amp;EOMONTH($E2929,0)),$J2929-$M2929))</f>
      </c>
      <c r="O2929" s="43">
        <f>IF($I2929=0,0,INDEX(DarlErsatzRate,7))</f>
      </c>
      <c r="P2929" s="43">
        <f>IF($I2929=0,0,$Q2928*INDEX(DarlErsatzZins,7))</f>
      </c>
      <c r="Q2929" s="43">
        <f>IF($I2929=0,0,$Q2928+$P2929+$O2929)</f>
      </c>
      <c r="R2929" s="43">
        <f>IF($I2929=0,0,$J2929-$M2929-$N2929)</f>
      </c>
    </row>
    <row r="2930">
      <c r="A2930"/>
      <c r="B2930">
        <v>7</v>
      </c>
      <c r="C2930" s="43">
        <f>INDEX(DarlObj,7)</f>
      </c>
      <c r="D2930">
        <v>47</v>
      </c>
      <c r="E2930" s="51">
        <f>IF(INDEX(DarlBelegt,7)=0,0,EOMONTH(INDEX(DarlAuszahlung,7),46)+1)</f>
      </c>
      <c r="F2930" s="43">
        <f>IF($E2930=0,0,YEAR($E2930))</f>
      </c>
      <c r="G2930" s="43">
        <f>IF(INDEX(DarlBindung,7)="",1,IF($E2930&lt;=INDEX(DarlBindung,7),1,0))</f>
      </c>
      <c r="H2930" s="43">
        <f>IF($G2930=1,INDEX(DarlSollzins,7),INDEX(DarlAnschluss,7))</f>
      </c>
      <c r="I2930" s="43">
        <f>IF(INDEX(DarlBelegt,7)=0,0,IF(INDEX(DarlOhneTilgung,7)=1,IF(INDEX(DarlBindung,7)="",1,$G2930),IF($J2930&gt;0.005,1,0)))</f>
      </c>
      <c r="J2930" s="43">
        <f>IF($I2929=0,0,$R2929)</f>
      </c>
      <c r="K2930" s="43">
        <f>IF($I2930=0,0,IF(INDEX(DarlOhneTilgung,7)=1,0,IF(AND(INDEX(DarlTilgStart,7)&gt;0,$E2930=INDEX(DarlTilgStart,7)),$J2930*($H2930+INDEX(DarlTilgung,7))/100/12,IF(AND($G2930=0,$G2929=1),MAX($K2929,$J2930*($H2930+1)/100/12),$K2929))))</f>
      </c>
      <c r="L2930" s="43">
        <f>IF($I2930=0,0,$J2930*$H2930/100/12)</f>
      </c>
      <c r="M2930" s="43">
        <f>IF($I2930=0,0,IF(OR(INDEX(DarlOhneTilgung,7)=1,AND(INDEX(DarlTilgStart,7)&gt;0,$E2930&lt;INDEX(DarlTilgStart,7))),0,MIN(MAX(0,$K2930-$L2930),$J2930)))</f>
      </c>
      <c r="N2930" s="43">
        <f>IF($I2930=0,0,MIN(SUMIFS(SondBetrag,SondDarl,7,SondDatum,"&gt;="&amp;$E2930,SondDatum,"&lt;="&amp;EOMONTH($E2930,0)),$J2930-$M2930))</f>
      </c>
      <c r="O2930" s="43">
        <f>IF($I2930=0,0,INDEX(DarlErsatzRate,7))</f>
      </c>
      <c r="P2930" s="43">
        <f>IF($I2930=0,0,$Q2929*INDEX(DarlErsatzZins,7))</f>
      </c>
      <c r="Q2930" s="43">
        <f>IF($I2930=0,0,$Q2929+$P2930+$O2930)</f>
      </c>
      <c r="R2930" s="43">
        <f>IF($I2930=0,0,$J2930-$M2930-$N2930)</f>
      </c>
    </row>
    <row r="2931">
      <c r="A2931"/>
      <c r="B2931">
        <v>7</v>
      </c>
      <c r="C2931" s="43">
        <f>INDEX(DarlObj,7)</f>
      </c>
      <c r="D2931">
        <v>48</v>
      </c>
      <c r="E2931" s="51">
        <f>IF(INDEX(DarlBelegt,7)=0,0,EOMONTH(INDEX(DarlAuszahlung,7),47)+1)</f>
      </c>
      <c r="F2931" s="43">
        <f>IF($E2931=0,0,YEAR($E2931))</f>
      </c>
      <c r="G2931" s="43">
        <f>IF(INDEX(DarlBindung,7)="",1,IF($E2931&lt;=INDEX(DarlBindung,7),1,0))</f>
      </c>
      <c r="H2931" s="43">
        <f>IF($G2931=1,INDEX(DarlSollzins,7),INDEX(DarlAnschluss,7))</f>
      </c>
      <c r="I2931" s="43">
        <f>IF(INDEX(DarlBelegt,7)=0,0,IF(INDEX(DarlOhneTilgung,7)=1,IF(INDEX(DarlBindung,7)="",1,$G2931),IF($J2931&gt;0.005,1,0)))</f>
      </c>
      <c r="J2931" s="43">
        <f>IF($I2930=0,0,$R2930)</f>
      </c>
      <c r="K2931" s="43">
        <f>IF($I2931=0,0,IF(INDEX(DarlOhneTilgung,7)=1,0,IF(AND(INDEX(DarlTilgStart,7)&gt;0,$E2931=INDEX(DarlTilgStart,7)),$J2931*($H2931+INDEX(DarlTilgung,7))/100/12,IF(AND($G2931=0,$G2930=1),MAX($K2930,$J2931*($H2931+1)/100/12),$K2930))))</f>
      </c>
      <c r="L2931" s="43">
        <f>IF($I2931=0,0,$J2931*$H2931/100/12)</f>
      </c>
      <c r="M2931" s="43">
        <f>IF($I2931=0,0,IF(OR(INDEX(DarlOhneTilgung,7)=1,AND(INDEX(DarlTilgStart,7)&gt;0,$E2931&lt;INDEX(DarlTilgStart,7))),0,MIN(MAX(0,$K2931-$L2931),$J2931)))</f>
      </c>
      <c r="N2931" s="43">
        <f>IF($I2931=0,0,MIN(SUMIFS(SondBetrag,SondDarl,7,SondDatum,"&gt;="&amp;$E2931,SondDatum,"&lt;="&amp;EOMONTH($E2931,0)),$J2931-$M2931))</f>
      </c>
      <c r="O2931" s="43">
        <f>IF($I2931=0,0,INDEX(DarlErsatzRate,7))</f>
      </c>
      <c r="P2931" s="43">
        <f>IF($I2931=0,0,$Q2930*INDEX(DarlErsatzZins,7))</f>
      </c>
      <c r="Q2931" s="43">
        <f>IF($I2931=0,0,$Q2930+$P2931+$O2931)</f>
      </c>
      <c r="R2931" s="43">
        <f>IF($I2931=0,0,$J2931-$M2931-$N2931)</f>
      </c>
    </row>
    <row r="2932">
      <c r="A2932"/>
      <c r="B2932">
        <v>7</v>
      </c>
      <c r="C2932" s="43">
        <f>INDEX(DarlObj,7)</f>
      </c>
      <c r="D2932">
        <v>49</v>
      </c>
      <c r="E2932" s="51">
        <f>IF(INDEX(DarlBelegt,7)=0,0,EOMONTH(INDEX(DarlAuszahlung,7),48)+1)</f>
      </c>
      <c r="F2932" s="43">
        <f>IF($E2932=0,0,YEAR($E2932))</f>
      </c>
      <c r="G2932" s="43">
        <f>IF(INDEX(DarlBindung,7)="",1,IF($E2932&lt;=INDEX(DarlBindung,7),1,0))</f>
      </c>
      <c r="H2932" s="43">
        <f>IF($G2932=1,INDEX(DarlSollzins,7),INDEX(DarlAnschluss,7))</f>
      </c>
      <c r="I2932" s="43">
        <f>IF(INDEX(DarlBelegt,7)=0,0,IF(INDEX(DarlOhneTilgung,7)=1,IF(INDEX(DarlBindung,7)="",1,$G2932),IF($J2932&gt;0.005,1,0)))</f>
      </c>
      <c r="J2932" s="43">
        <f>IF($I2931=0,0,$R2931)</f>
      </c>
      <c r="K2932" s="43">
        <f>IF($I2932=0,0,IF(INDEX(DarlOhneTilgung,7)=1,0,IF(AND(INDEX(DarlTilgStart,7)&gt;0,$E2932=INDEX(DarlTilgStart,7)),$J2932*($H2932+INDEX(DarlTilgung,7))/100/12,IF(AND($G2932=0,$G2931=1),MAX($K2931,$J2932*($H2932+1)/100/12),$K2931))))</f>
      </c>
      <c r="L2932" s="43">
        <f>IF($I2932=0,0,$J2932*$H2932/100/12)</f>
      </c>
      <c r="M2932" s="43">
        <f>IF($I2932=0,0,IF(OR(INDEX(DarlOhneTilgung,7)=1,AND(INDEX(DarlTilgStart,7)&gt;0,$E2932&lt;INDEX(DarlTilgStart,7))),0,MIN(MAX(0,$K2932-$L2932),$J2932)))</f>
      </c>
      <c r="N2932" s="43">
        <f>IF($I2932=0,0,MIN(SUMIFS(SondBetrag,SondDarl,7,SondDatum,"&gt;="&amp;$E2932,SondDatum,"&lt;="&amp;EOMONTH($E2932,0)),$J2932-$M2932))</f>
      </c>
      <c r="O2932" s="43">
        <f>IF($I2932=0,0,INDEX(DarlErsatzRate,7))</f>
      </c>
      <c r="P2932" s="43">
        <f>IF($I2932=0,0,$Q2931*INDEX(DarlErsatzZins,7))</f>
      </c>
      <c r="Q2932" s="43">
        <f>IF($I2932=0,0,$Q2931+$P2932+$O2932)</f>
      </c>
      <c r="R2932" s="43">
        <f>IF($I2932=0,0,$J2932-$M2932-$N2932)</f>
      </c>
    </row>
    <row r="2933">
      <c r="A2933"/>
      <c r="B2933">
        <v>7</v>
      </c>
      <c r="C2933" s="43">
        <f>INDEX(DarlObj,7)</f>
      </c>
      <c r="D2933">
        <v>50</v>
      </c>
      <c r="E2933" s="51">
        <f>IF(INDEX(DarlBelegt,7)=0,0,EOMONTH(INDEX(DarlAuszahlung,7),49)+1)</f>
      </c>
      <c r="F2933" s="43">
        <f>IF($E2933=0,0,YEAR($E2933))</f>
      </c>
      <c r="G2933" s="43">
        <f>IF(INDEX(DarlBindung,7)="",1,IF($E2933&lt;=INDEX(DarlBindung,7),1,0))</f>
      </c>
      <c r="H2933" s="43">
        <f>IF($G2933=1,INDEX(DarlSollzins,7),INDEX(DarlAnschluss,7))</f>
      </c>
      <c r="I2933" s="43">
        <f>IF(INDEX(DarlBelegt,7)=0,0,IF(INDEX(DarlOhneTilgung,7)=1,IF(INDEX(DarlBindung,7)="",1,$G2933),IF($J2933&gt;0.005,1,0)))</f>
      </c>
      <c r="J2933" s="43">
        <f>IF($I2932=0,0,$R2932)</f>
      </c>
      <c r="K2933" s="43">
        <f>IF($I2933=0,0,IF(INDEX(DarlOhneTilgung,7)=1,0,IF(AND(INDEX(DarlTilgStart,7)&gt;0,$E2933=INDEX(DarlTilgStart,7)),$J2933*($H2933+INDEX(DarlTilgung,7))/100/12,IF(AND($G2933=0,$G2932=1),MAX($K2932,$J2933*($H2933+1)/100/12),$K2932))))</f>
      </c>
      <c r="L2933" s="43">
        <f>IF($I2933=0,0,$J2933*$H2933/100/12)</f>
      </c>
      <c r="M2933" s="43">
        <f>IF($I2933=0,0,IF(OR(INDEX(DarlOhneTilgung,7)=1,AND(INDEX(DarlTilgStart,7)&gt;0,$E2933&lt;INDEX(DarlTilgStart,7))),0,MIN(MAX(0,$K2933-$L2933),$J2933)))</f>
      </c>
      <c r="N2933" s="43">
        <f>IF($I2933=0,0,MIN(SUMIFS(SondBetrag,SondDarl,7,SondDatum,"&gt;="&amp;$E2933,SondDatum,"&lt;="&amp;EOMONTH($E2933,0)),$J2933-$M2933))</f>
      </c>
      <c r="O2933" s="43">
        <f>IF($I2933=0,0,INDEX(DarlErsatzRate,7))</f>
      </c>
      <c r="P2933" s="43">
        <f>IF($I2933=0,0,$Q2932*INDEX(DarlErsatzZins,7))</f>
      </c>
      <c r="Q2933" s="43">
        <f>IF($I2933=0,0,$Q2932+$P2933+$O2933)</f>
      </c>
      <c r="R2933" s="43">
        <f>IF($I2933=0,0,$J2933-$M2933-$N2933)</f>
      </c>
    </row>
    <row r="2934">
      <c r="A2934"/>
      <c r="B2934">
        <v>7</v>
      </c>
      <c r="C2934" s="43">
        <f>INDEX(DarlObj,7)</f>
      </c>
      <c r="D2934">
        <v>51</v>
      </c>
      <c r="E2934" s="51">
        <f>IF(INDEX(DarlBelegt,7)=0,0,EOMONTH(INDEX(DarlAuszahlung,7),50)+1)</f>
      </c>
      <c r="F2934" s="43">
        <f>IF($E2934=0,0,YEAR($E2934))</f>
      </c>
      <c r="G2934" s="43">
        <f>IF(INDEX(DarlBindung,7)="",1,IF($E2934&lt;=INDEX(DarlBindung,7),1,0))</f>
      </c>
      <c r="H2934" s="43">
        <f>IF($G2934=1,INDEX(DarlSollzins,7),INDEX(DarlAnschluss,7))</f>
      </c>
      <c r="I2934" s="43">
        <f>IF(INDEX(DarlBelegt,7)=0,0,IF(INDEX(DarlOhneTilgung,7)=1,IF(INDEX(DarlBindung,7)="",1,$G2934),IF($J2934&gt;0.005,1,0)))</f>
      </c>
      <c r="J2934" s="43">
        <f>IF($I2933=0,0,$R2933)</f>
      </c>
      <c r="K2934" s="43">
        <f>IF($I2934=0,0,IF(INDEX(DarlOhneTilgung,7)=1,0,IF(AND(INDEX(DarlTilgStart,7)&gt;0,$E2934=INDEX(DarlTilgStart,7)),$J2934*($H2934+INDEX(DarlTilgung,7))/100/12,IF(AND($G2934=0,$G2933=1),MAX($K2933,$J2934*($H2934+1)/100/12),$K2933))))</f>
      </c>
      <c r="L2934" s="43">
        <f>IF($I2934=0,0,$J2934*$H2934/100/12)</f>
      </c>
      <c r="M2934" s="43">
        <f>IF($I2934=0,0,IF(OR(INDEX(DarlOhneTilgung,7)=1,AND(INDEX(DarlTilgStart,7)&gt;0,$E2934&lt;INDEX(DarlTilgStart,7))),0,MIN(MAX(0,$K2934-$L2934),$J2934)))</f>
      </c>
      <c r="N2934" s="43">
        <f>IF($I2934=0,0,MIN(SUMIFS(SondBetrag,SondDarl,7,SondDatum,"&gt;="&amp;$E2934,SondDatum,"&lt;="&amp;EOMONTH($E2934,0)),$J2934-$M2934))</f>
      </c>
      <c r="O2934" s="43">
        <f>IF($I2934=0,0,INDEX(DarlErsatzRate,7))</f>
      </c>
      <c r="P2934" s="43">
        <f>IF($I2934=0,0,$Q2933*INDEX(DarlErsatzZins,7))</f>
      </c>
      <c r="Q2934" s="43">
        <f>IF($I2934=0,0,$Q2933+$P2934+$O2934)</f>
      </c>
      <c r="R2934" s="43">
        <f>IF($I2934=0,0,$J2934-$M2934-$N2934)</f>
      </c>
    </row>
    <row r="2935">
      <c r="A2935"/>
      <c r="B2935">
        <v>7</v>
      </c>
      <c r="C2935" s="43">
        <f>INDEX(DarlObj,7)</f>
      </c>
      <c r="D2935">
        <v>52</v>
      </c>
      <c r="E2935" s="51">
        <f>IF(INDEX(DarlBelegt,7)=0,0,EOMONTH(INDEX(DarlAuszahlung,7),51)+1)</f>
      </c>
      <c r="F2935" s="43">
        <f>IF($E2935=0,0,YEAR($E2935))</f>
      </c>
      <c r="G2935" s="43">
        <f>IF(INDEX(DarlBindung,7)="",1,IF($E2935&lt;=INDEX(DarlBindung,7),1,0))</f>
      </c>
      <c r="H2935" s="43">
        <f>IF($G2935=1,INDEX(DarlSollzins,7),INDEX(DarlAnschluss,7))</f>
      </c>
      <c r="I2935" s="43">
        <f>IF(INDEX(DarlBelegt,7)=0,0,IF(INDEX(DarlOhneTilgung,7)=1,IF(INDEX(DarlBindung,7)="",1,$G2935),IF($J2935&gt;0.005,1,0)))</f>
      </c>
      <c r="J2935" s="43">
        <f>IF($I2934=0,0,$R2934)</f>
      </c>
      <c r="K2935" s="43">
        <f>IF($I2935=0,0,IF(INDEX(DarlOhneTilgung,7)=1,0,IF(AND(INDEX(DarlTilgStart,7)&gt;0,$E2935=INDEX(DarlTilgStart,7)),$J2935*($H2935+INDEX(DarlTilgung,7))/100/12,IF(AND($G2935=0,$G2934=1),MAX($K2934,$J2935*($H2935+1)/100/12),$K2934))))</f>
      </c>
      <c r="L2935" s="43">
        <f>IF($I2935=0,0,$J2935*$H2935/100/12)</f>
      </c>
      <c r="M2935" s="43">
        <f>IF($I2935=0,0,IF(OR(INDEX(DarlOhneTilgung,7)=1,AND(INDEX(DarlTilgStart,7)&gt;0,$E2935&lt;INDEX(DarlTilgStart,7))),0,MIN(MAX(0,$K2935-$L2935),$J2935)))</f>
      </c>
      <c r="N2935" s="43">
        <f>IF($I2935=0,0,MIN(SUMIFS(SondBetrag,SondDarl,7,SondDatum,"&gt;="&amp;$E2935,SondDatum,"&lt;="&amp;EOMONTH($E2935,0)),$J2935-$M2935))</f>
      </c>
      <c r="O2935" s="43">
        <f>IF($I2935=0,0,INDEX(DarlErsatzRate,7))</f>
      </c>
      <c r="P2935" s="43">
        <f>IF($I2935=0,0,$Q2934*INDEX(DarlErsatzZins,7))</f>
      </c>
      <c r="Q2935" s="43">
        <f>IF($I2935=0,0,$Q2934+$P2935+$O2935)</f>
      </c>
      <c r="R2935" s="43">
        <f>IF($I2935=0,0,$J2935-$M2935-$N2935)</f>
      </c>
    </row>
    <row r="2936">
      <c r="A2936"/>
      <c r="B2936">
        <v>7</v>
      </c>
      <c r="C2936" s="43">
        <f>INDEX(DarlObj,7)</f>
      </c>
      <c r="D2936">
        <v>53</v>
      </c>
      <c r="E2936" s="51">
        <f>IF(INDEX(DarlBelegt,7)=0,0,EOMONTH(INDEX(DarlAuszahlung,7),52)+1)</f>
      </c>
      <c r="F2936" s="43">
        <f>IF($E2936=0,0,YEAR($E2936))</f>
      </c>
      <c r="G2936" s="43">
        <f>IF(INDEX(DarlBindung,7)="",1,IF($E2936&lt;=INDEX(DarlBindung,7),1,0))</f>
      </c>
      <c r="H2936" s="43">
        <f>IF($G2936=1,INDEX(DarlSollzins,7),INDEX(DarlAnschluss,7))</f>
      </c>
      <c r="I2936" s="43">
        <f>IF(INDEX(DarlBelegt,7)=0,0,IF(INDEX(DarlOhneTilgung,7)=1,IF(INDEX(DarlBindung,7)="",1,$G2936),IF($J2936&gt;0.005,1,0)))</f>
      </c>
      <c r="J2936" s="43">
        <f>IF($I2935=0,0,$R2935)</f>
      </c>
      <c r="K2936" s="43">
        <f>IF($I2936=0,0,IF(INDEX(DarlOhneTilgung,7)=1,0,IF(AND(INDEX(DarlTilgStart,7)&gt;0,$E2936=INDEX(DarlTilgStart,7)),$J2936*($H2936+INDEX(DarlTilgung,7))/100/12,IF(AND($G2936=0,$G2935=1),MAX($K2935,$J2936*($H2936+1)/100/12),$K2935))))</f>
      </c>
      <c r="L2936" s="43">
        <f>IF($I2936=0,0,$J2936*$H2936/100/12)</f>
      </c>
      <c r="M2936" s="43">
        <f>IF($I2936=0,0,IF(OR(INDEX(DarlOhneTilgung,7)=1,AND(INDEX(DarlTilgStart,7)&gt;0,$E2936&lt;INDEX(DarlTilgStart,7))),0,MIN(MAX(0,$K2936-$L2936),$J2936)))</f>
      </c>
      <c r="N2936" s="43">
        <f>IF($I2936=0,0,MIN(SUMIFS(SondBetrag,SondDarl,7,SondDatum,"&gt;="&amp;$E2936,SondDatum,"&lt;="&amp;EOMONTH($E2936,0)),$J2936-$M2936))</f>
      </c>
      <c r="O2936" s="43">
        <f>IF($I2936=0,0,INDEX(DarlErsatzRate,7))</f>
      </c>
      <c r="P2936" s="43">
        <f>IF($I2936=0,0,$Q2935*INDEX(DarlErsatzZins,7))</f>
      </c>
      <c r="Q2936" s="43">
        <f>IF($I2936=0,0,$Q2935+$P2936+$O2936)</f>
      </c>
      <c r="R2936" s="43">
        <f>IF($I2936=0,0,$J2936-$M2936-$N2936)</f>
      </c>
    </row>
    <row r="2937">
      <c r="A2937"/>
      <c r="B2937">
        <v>7</v>
      </c>
      <c r="C2937" s="43">
        <f>INDEX(DarlObj,7)</f>
      </c>
      <c r="D2937">
        <v>54</v>
      </c>
      <c r="E2937" s="51">
        <f>IF(INDEX(DarlBelegt,7)=0,0,EOMONTH(INDEX(DarlAuszahlung,7),53)+1)</f>
      </c>
      <c r="F2937" s="43">
        <f>IF($E2937=0,0,YEAR($E2937))</f>
      </c>
      <c r="G2937" s="43">
        <f>IF(INDEX(DarlBindung,7)="",1,IF($E2937&lt;=INDEX(DarlBindung,7),1,0))</f>
      </c>
      <c r="H2937" s="43">
        <f>IF($G2937=1,INDEX(DarlSollzins,7),INDEX(DarlAnschluss,7))</f>
      </c>
      <c r="I2937" s="43">
        <f>IF(INDEX(DarlBelegt,7)=0,0,IF(INDEX(DarlOhneTilgung,7)=1,IF(INDEX(DarlBindung,7)="",1,$G2937),IF($J2937&gt;0.005,1,0)))</f>
      </c>
      <c r="J2937" s="43">
        <f>IF($I2936=0,0,$R2936)</f>
      </c>
      <c r="K2937" s="43">
        <f>IF($I2937=0,0,IF(INDEX(DarlOhneTilgung,7)=1,0,IF(AND(INDEX(DarlTilgStart,7)&gt;0,$E2937=INDEX(DarlTilgStart,7)),$J2937*($H2937+INDEX(DarlTilgung,7))/100/12,IF(AND($G2937=0,$G2936=1),MAX($K2936,$J2937*($H2937+1)/100/12),$K2936))))</f>
      </c>
      <c r="L2937" s="43">
        <f>IF($I2937=0,0,$J2937*$H2937/100/12)</f>
      </c>
      <c r="M2937" s="43">
        <f>IF($I2937=0,0,IF(OR(INDEX(DarlOhneTilgung,7)=1,AND(INDEX(DarlTilgStart,7)&gt;0,$E2937&lt;INDEX(DarlTilgStart,7))),0,MIN(MAX(0,$K2937-$L2937),$J2937)))</f>
      </c>
      <c r="N2937" s="43">
        <f>IF($I2937=0,0,MIN(SUMIFS(SondBetrag,SondDarl,7,SondDatum,"&gt;="&amp;$E2937,SondDatum,"&lt;="&amp;EOMONTH($E2937,0)),$J2937-$M2937))</f>
      </c>
      <c r="O2937" s="43">
        <f>IF($I2937=0,0,INDEX(DarlErsatzRate,7))</f>
      </c>
      <c r="P2937" s="43">
        <f>IF($I2937=0,0,$Q2936*INDEX(DarlErsatzZins,7))</f>
      </c>
      <c r="Q2937" s="43">
        <f>IF($I2937=0,0,$Q2936+$P2937+$O2937)</f>
      </c>
      <c r="R2937" s="43">
        <f>IF($I2937=0,0,$J2937-$M2937-$N2937)</f>
      </c>
    </row>
    <row r="2938">
      <c r="A2938"/>
      <c r="B2938">
        <v>7</v>
      </c>
      <c r="C2938" s="43">
        <f>INDEX(DarlObj,7)</f>
      </c>
      <c r="D2938">
        <v>55</v>
      </c>
      <c r="E2938" s="51">
        <f>IF(INDEX(DarlBelegt,7)=0,0,EOMONTH(INDEX(DarlAuszahlung,7),54)+1)</f>
      </c>
      <c r="F2938" s="43">
        <f>IF($E2938=0,0,YEAR($E2938))</f>
      </c>
      <c r="G2938" s="43">
        <f>IF(INDEX(DarlBindung,7)="",1,IF($E2938&lt;=INDEX(DarlBindung,7),1,0))</f>
      </c>
      <c r="H2938" s="43">
        <f>IF($G2938=1,INDEX(DarlSollzins,7),INDEX(DarlAnschluss,7))</f>
      </c>
      <c r="I2938" s="43">
        <f>IF(INDEX(DarlBelegt,7)=0,0,IF(INDEX(DarlOhneTilgung,7)=1,IF(INDEX(DarlBindung,7)="",1,$G2938),IF($J2938&gt;0.005,1,0)))</f>
      </c>
      <c r="J2938" s="43">
        <f>IF($I2937=0,0,$R2937)</f>
      </c>
      <c r="K2938" s="43">
        <f>IF($I2938=0,0,IF(INDEX(DarlOhneTilgung,7)=1,0,IF(AND(INDEX(DarlTilgStart,7)&gt;0,$E2938=INDEX(DarlTilgStart,7)),$J2938*($H2938+INDEX(DarlTilgung,7))/100/12,IF(AND($G2938=0,$G2937=1),MAX($K2937,$J2938*($H2938+1)/100/12),$K2937))))</f>
      </c>
      <c r="L2938" s="43">
        <f>IF($I2938=0,0,$J2938*$H2938/100/12)</f>
      </c>
      <c r="M2938" s="43">
        <f>IF($I2938=0,0,IF(OR(INDEX(DarlOhneTilgung,7)=1,AND(INDEX(DarlTilgStart,7)&gt;0,$E2938&lt;INDEX(DarlTilgStart,7))),0,MIN(MAX(0,$K2938-$L2938),$J2938)))</f>
      </c>
      <c r="N2938" s="43">
        <f>IF($I2938=0,0,MIN(SUMIFS(SondBetrag,SondDarl,7,SondDatum,"&gt;="&amp;$E2938,SondDatum,"&lt;="&amp;EOMONTH($E2938,0)),$J2938-$M2938))</f>
      </c>
      <c r="O2938" s="43">
        <f>IF($I2938=0,0,INDEX(DarlErsatzRate,7))</f>
      </c>
      <c r="P2938" s="43">
        <f>IF($I2938=0,0,$Q2937*INDEX(DarlErsatzZins,7))</f>
      </c>
      <c r="Q2938" s="43">
        <f>IF($I2938=0,0,$Q2937+$P2938+$O2938)</f>
      </c>
      <c r="R2938" s="43">
        <f>IF($I2938=0,0,$J2938-$M2938-$N2938)</f>
      </c>
    </row>
    <row r="2939">
      <c r="A2939"/>
      <c r="B2939">
        <v>7</v>
      </c>
      <c r="C2939" s="43">
        <f>INDEX(DarlObj,7)</f>
      </c>
      <c r="D2939">
        <v>56</v>
      </c>
      <c r="E2939" s="51">
        <f>IF(INDEX(DarlBelegt,7)=0,0,EOMONTH(INDEX(DarlAuszahlung,7),55)+1)</f>
      </c>
      <c r="F2939" s="43">
        <f>IF($E2939=0,0,YEAR($E2939))</f>
      </c>
      <c r="G2939" s="43">
        <f>IF(INDEX(DarlBindung,7)="",1,IF($E2939&lt;=INDEX(DarlBindung,7),1,0))</f>
      </c>
      <c r="H2939" s="43">
        <f>IF($G2939=1,INDEX(DarlSollzins,7),INDEX(DarlAnschluss,7))</f>
      </c>
      <c r="I2939" s="43">
        <f>IF(INDEX(DarlBelegt,7)=0,0,IF(INDEX(DarlOhneTilgung,7)=1,IF(INDEX(DarlBindung,7)="",1,$G2939),IF($J2939&gt;0.005,1,0)))</f>
      </c>
      <c r="J2939" s="43">
        <f>IF($I2938=0,0,$R2938)</f>
      </c>
      <c r="K2939" s="43">
        <f>IF($I2939=0,0,IF(INDEX(DarlOhneTilgung,7)=1,0,IF(AND(INDEX(DarlTilgStart,7)&gt;0,$E2939=INDEX(DarlTilgStart,7)),$J2939*($H2939+INDEX(DarlTilgung,7))/100/12,IF(AND($G2939=0,$G2938=1),MAX($K2938,$J2939*($H2939+1)/100/12),$K2938))))</f>
      </c>
      <c r="L2939" s="43">
        <f>IF($I2939=0,0,$J2939*$H2939/100/12)</f>
      </c>
      <c r="M2939" s="43">
        <f>IF($I2939=0,0,IF(OR(INDEX(DarlOhneTilgung,7)=1,AND(INDEX(DarlTilgStart,7)&gt;0,$E2939&lt;INDEX(DarlTilgStart,7))),0,MIN(MAX(0,$K2939-$L2939),$J2939)))</f>
      </c>
      <c r="N2939" s="43">
        <f>IF($I2939=0,0,MIN(SUMIFS(SondBetrag,SondDarl,7,SondDatum,"&gt;="&amp;$E2939,SondDatum,"&lt;="&amp;EOMONTH($E2939,0)),$J2939-$M2939))</f>
      </c>
      <c r="O2939" s="43">
        <f>IF($I2939=0,0,INDEX(DarlErsatzRate,7))</f>
      </c>
      <c r="P2939" s="43">
        <f>IF($I2939=0,0,$Q2938*INDEX(DarlErsatzZins,7))</f>
      </c>
      <c r="Q2939" s="43">
        <f>IF($I2939=0,0,$Q2938+$P2939+$O2939)</f>
      </c>
      <c r="R2939" s="43">
        <f>IF($I2939=0,0,$J2939-$M2939-$N2939)</f>
      </c>
    </row>
    <row r="2940">
      <c r="A2940"/>
      <c r="B2940">
        <v>7</v>
      </c>
      <c r="C2940" s="43">
        <f>INDEX(DarlObj,7)</f>
      </c>
      <c r="D2940">
        <v>57</v>
      </c>
      <c r="E2940" s="51">
        <f>IF(INDEX(DarlBelegt,7)=0,0,EOMONTH(INDEX(DarlAuszahlung,7),56)+1)</f>
      </c>
      <c r="F2940" s="43">
        <f>IF($E2940=0,0,YEAR($E2940))</f>
      </c>
      <c r="G2940" s="43">
        <f>IF(INDEX(DarlBindung,7)="",1,IF($E2940&lt;=INDEX(DarlBindung,7),1,0))</f>
      </c>
      <c r="H2940" s="43">
        <f>IF($G2940=1,INDEX(DarlSollzins,7),INDEX(DarlAnschluss,7))</f>
      </c>
      <c r="I2940" s="43">
        <f>IF(INDEX(DarlBelegt,7)=0,0,IF(INDEX(DarlOhneTilgung,7)=1,IF(INDEX(DarlBindung,7)="",1,$G2940),IF($J2940&gt;0.005,1,0)))</f>
      </c>
      <c r="J2940" s="43">
        <f>IF($I2939=0,0,$R2939)</f>
      </c>
      <c r="K2940" s="43">
        <f>IF($I2940=0,0,IF(INDEX(DarlOhneTilgung,7)=1,0,IF(AND(INDEX(DarlTilgStart,7)&gt;0,$E2940=INDEX(DarlTilgStart,7)),$J2940*($H2940+INDEX(DarlTilgung,7))/100/12,IF(AND($G2940=0,$G2939=1),MAX($K2939,$J2940*($H2940+1)/100/12),$K2939))))</f>
      </c>
      <c r="L2940" s="43">
        <f>IF($I2940=0,0,$J2940*$H2940/100/12)</f>
      </c>
      <c r="M2940" s="43">
        <f>IF($I2940=0,0,IF(OR(INDEX(DarlOhneTilgung,7)=1,AND(INDEX(DarlTilgStart,7)&gt;0,$E2940&lt;INDEX(DarlTilgStart,7))),0,MIN(MAX(0,$K2940-$L2940),$J2940)))</f>
      </c>
      <c r="N2940" s="43">
        <f>IF($I2940=0,0,MIN(SUMIFS(SondBetrag,SondDarl,7,SondDatum,"&gt;="&amp;$E2940,SondDatum,"&lt;="&amp;EOMONTH($E2940,0)),$J2940-$M2940))</f>
      </c>
      <c r="O2940" s="43">
        <f>IF($I2940=0,0,INDEX(DarlErsatzRate,7))</f>
      </c>
      <c r="P2940" s="43">
        <f>IF($I2940=0,0,$Q2939*INDEX(DarlErsatzZins,7))</f>
      </c>
      <c r="Q2940" s="43">
        <f>IF($I2940=0,0,$Q2939+$P2940+$O2940)</f>
      </c>
      <c r="R2940" s="43">
        <f>IF($I2940=0,0,$J2940-$M2940-$N2940)</f>
      </c>
    </row>
    <row r="2941">
      <c r="A2941"/>
      <c r="B2941">
        <v>7</v>
      </c>
      <c r="C2941" s="43">
        <f>INDEX(DarlObj,7)</f>
      </c>
      <c r="D2941">
        <v>58</v>
      </c>
      <c r="E2941" s="51">
        <f>IF(INDEX(DarlBelegt,7)=0,0,EOMONTH(INDEX(DarlAuszahlung,7),57)+1)</f>
      </c>
      <c r="F2941" s="43">
        <f>IF($E2941=0,0,YEAR($E2941))</f>
      </c>
      <c r="G2941" s="43">
        <f>IF(INDEX(DarlBindung,7)="",1,IF($E2941&lt;=INDEX(DarlBindung,7),1,0))</f>
      </c>
      <c r="H2941" s="43">
        <f>IF($G2941=1,INDEX(DarlSollzins,7),INDEX(DarlAnschluss,7))</f>
      </c>
      <c r="I2941" s="43">
        <f>IF(INDEX(DarlBelegt,7)=0,0,IF(INDEX(DarlOhneTilgung,7)=1,IF(INDEX(DarlBindung,7)="",1,$G2941),IF($J2941&gt;0.005,1,0)))</f>
      </c>
      <c r="J2941" s="43">
        <f>IF($I2940=0,0,$R2940)</f>
      </c>
      <c r="K2941" s="43">
        <f>IF($I2941=0,0,IF(INDEX(DarlOhneTilgung,7)=1,0,IF(AND(INDEX(DarlTilgStart,7)&gt;0,$E2941=INDEX(DarlTilgStart,7)),$J2941*($H2941+INDEX(DarlTilgung,7))/100/12,IF(AND($G2941=0,$G2940=1),MAX($K2940,$J2941*($H2941+1)/100/12),$K2940))))</f>
      </c>
      <c r="L2941" s="43">
        <f>IF($I2941=0,0,$J2941*$H2941/100/12)</f>
      </c>
      <c r="M2941" s="43">
        <f>IF($I2941=0,0,IF(OR(INDEX(DarlOhneTilgung,7)=1,AND(INDEX(DarlTilgStart,7)&gt;0,$E2941&lt;INDEX(DarlTilgStart,7))),0,MIN(MAX(0,$K2941-$L2941),$J2941)))</f>
      </c>
      <c r="N2941" s="43">
        <f>IF($I2941=0,0,MIN(SUMIFS(SondBetrag,SondDarl,7,SondDatum,"&gt;="&amp;$E2941,SondDatum,"&lt;="&amp;EOMONTH($E2941,0)),$J2941-$M2941))</f>
      </c>
      <c r="O2941" s="43">
        <f>IF($I2941=0,0,INDEX(DarlErsatzRate,7))</f>
      </c>
      <c r="P2941" s="43">
        <f>IF($I2941=0,0,$Q2940*INDEX(DarlErsatzZins,7))</f>
      </c>
      <c r="Q2941" s="43">
        <f>IF($I2941=0,0,$Q2940+$P2941+$O2941)</f>
      </c>
      <c r="R2941" s="43">
        <f>IF($I2941=0,0,$J2941-$M2941-$N2941)</f>
      </c>
    </row>
    <row r="2942">
      <c r="A2942"/>
      <c r="B2942">
        <v>7</v>
      </c>
      <c r="C2942" s="43">
        <f>INDEX(DarlObj,7)</f>
      </c>
      <c r="D2942">
        <v>59</v>
      </c>
      <c r="E2942" s="51">
        <f>IF(INDEX(DarlBelegt,7)=0,0,EOMONTH(INDEX(DarlAuszahlung,7),58)+1)</f>
      </c>
      <c r="F2942" s="43">
        <f>IF($E2942=0,0,YEAR($E2942))</f>
      </c>
      <c r="G2942" s="43">
        <f>IF(INDEX(DarlBindung,7)="",1,IF($E2942&lt;=INDEX(DarlBindung,7),1,0))</f>
      </c>
      <c r="H2942" s="43">
        <f>IF($G2942=1,INDEX(DarlSollzins,7),INDEX(DarlAnschluss,7))</f>
      </c>
      <c r="I2942" s="43">
        <f>IF(INDEX(DarlBelegt,7)=0,0,IF(INDEX(DarlOhneTilgung,7)=1,IF(INDEX(DarlBindung,7)="",1,$G2942),IF($J2942&gt;0.005,1,0)))</f>
      </c>
      <c r="J2942" s="43">
        <f>IF($I2941=0,0,$R2941)</f>
      </c>
      <c r="K2942" s="43">
        <f>IF($I2942=0,0,IF(INDEX(DarlOhneTilgung,7)=1,0,IF(AND(INDEX(DarlTilgStart,7)&gt;0,$E2942=INDEX(DarlTilgStart,7)),$J2942*($H2942+INDEX(DarlTilgung,7))/100/12,IF(AND($G2942=0,$G2941=1),MAX($K2941,$J2942*($H2942+1)/100/12),$K2941))))</f>
      </c>
      <c r="L2942" s="43">
        <f>IF($I2942=0,0,$J2942*$H2942/100/12)</f>
      </c>
      <c r="M2942" s="43">
        <f>IF($I2942=0,0,IF(OR(INDEX(DarlOhneTilgung,7)=1,AND(INDEX(DarlTilgStart,7)&gt;0,$E2942&lt;INDEX(DarlTilgStart,7))),0,MIN(MAX(0,$K2942-$L2942),$J2942)))</f>
      </c>
      <c r="N2942" s="43">
        <f>IF($I2942=0,0,MIN(SUMIFS(SondBetrag,SondDarl,7,SondDatum,"&gt;="&amp;$E2942,SondDatum,"&lt;="&amp;EOMONTH($E2942,0)),$J2942-$M2942))</f>
      </c>
      <c r="O2942" s="43">
        <f>IF($I2942=0,0,INDEX(DarlErsatzRate,7))</f>
      </c>
      <c r="P2942" s="43">
        <f>IF($I2942=0,0,$Q2941*INDEX(DarlErsatzZins,7))</f>
      </c>
      <c r="Q2942" s="43">
        <f>IF($I2942=0,0,$Q2941+$P2942+$O2942)</f>
      </c>
      <c r="R2942" s="43">
        <f>IF($I2942=0,0,$J2942-$M2942-$N2942)</f>
      </c>
    </row>
    <row r="2943">
      <c r="A2943"/>
      <c r="B2943">
        <v>7</v>
      </c>
      <c r="C2943" s="43">
        <f>INDEX(DarlObj,7)</f>
      </c>
      <c r="D2943">
        <v>60</v>
      </c>
      <c r="E2943" s="51">
        <f>IF(INDEX(DarlBelegt,7)=0,0,EOMONTH(INDEX(DarlAuszahlung,7),59)+1)</f>
      </c>
      <c r="F2943" s="43">
        <f>IF($E2943=0,0,YEAR($E2943))</f>
      </c>
      <c r="G2943" s="43">
        <f>IF(INDEX(DarlBindung,7)="",1,IF($E2943&lt;=INDEX(DarlBindung,7),1,0))</f>
      </c>
      <c r="H2943" s="43">
        <f>IF($G2943=1,INDEX(DarlSollzins,7),INDEX(DarlAnschluss,7))</f>
      </c>
      <c r="I2943" s="43">
        <f>IF(INDEX(DarlBelegt,7)=0,0,IF(INDEX(DarlOhneTilgung,7)=1,IF(INDEX(DarlBindung,7)="",1,$G2943),IF($J2943&gt;0.005,1,0)))</f>
      </c>
      <c r="J2943" s="43">
        <f>IF($I2942=0,0,$R2942)</f>
      </c>
      <c r="K2943" s="43">
        <f>IF($I2943=0,0,IF(INDEX(DarlOhneTilgung,7)=1,0,IF(AND(INDEX(DarlTilgStart,7)&gt;0,$E2943=INDEX(DarlTilgStart,7)),$J2943*($H2943+INDEX(DarlTilgung,7))/100/12,IF(AND($G2943=0,$G2942=1),MAX($K2942,$J2943*($H2943+1)/100/12),$K2942))))</f>
      </c>
      <c r="L2943" s="43">
        <f>IF($I2943=0,0,$J2943*$H2943/100/12)</f>
      </c>
      <c r="M2943" s="43">
        <f>IF($I2943=0,0,IF(OR(INDEX(DarlOhneTilgung,7)=1,AND(INDEX(DarlTilgStart,7)&gt;0,$E2943&lt;INDEX(DarlTilgStart,7))),0,MIN(MAX(0,$K2943-$L2943),$J2943)))</f>
      </c>
      <c r="N2943" s="43">
        <f>IF($I2943=0,0,MIN(SUMIFS(SondBetrag,SondDarl,7,SondDatum,"&gt;="&amp;$E2943,SondDatum,"&lt;="&amp;EOMONTH($E2943,0)),$J2943-$M2943))</f>
      </c>
      <c r="O2943" s="43">
        <f>IF($I2943=0,0,INDEX(DarlErsatzRate,7))</f>
      </c>
      <c r="P2943" s="43">
        <f>IF($I2943=0,0,$Q2942*INDEX(DarlErsatzZins,7))</f>
      </c>
      <c r="Q2943" s="43">
        <f>IF($I2943=0,0,$Q2942+$P2943+$O2943)</f>
      </c>
      <c r="R2943" s="43">
        <f>IF($I2943=0,0,$J2943-$M2943-$N2943)</f>
      </c>
    </row>
    <row r="2944">
      <c r="A2944"/>
      <c r="B2944">
        <v>7</v>
      </c>
      <c r="C2944" s="43">
        <f>INDEX(DarlObj,7)</f>
      </c>
      <c r="D2944">
        <v>61</v>
      </c>
      <c r="E2944" s="51">
        <f>IF(INDEX(DarlBelegt,7)=0,0,EOMONTH(INDEX(DarlAuszahlung,7),60)+1)</f>
      </c>
      <c r="F2944" s="43">
        <f>IF($E2944=0,0,YEAR($E2944))</f>
      </c>
      <c r="G2944" s="43">
        <f>IF(INDEX(DarlBindung,7)="",1,IF($E2944&lt;=INDEX(DarlBindung,7),1,0))</f>
      </c>
      <c r="H2944" s="43">
        <f>IF($G2944=1,INDEX(DarlSollzins,7),INDEX(DarlAnschluss,7))</f>
      </c>
      <c r="I2944" s="43">
        <f>IF(INDEX(DarlBelegt,7)=0,0,IF(INDEX(DarlOhneTilgung,7)=1,IF(INDEX(DarlBindung,7)="",1,$G2944),IF($J2944&gt;0.005,1,0)))</f>
      </c>
      <c r="J2944" s="43">
        <f>IF($I2943=0,0,$R2943)</f>
      </c>
      <c r="K2944" s="43">
        <f>IF($I2944=0,0,IF(INDEX(DarlOhneTilgung,7)=1,0,IF(AND(INDEX(DarlTilgStart,7)&gt;0,$E2944=INDEX(DarlTilgStart,7)),$J2944*($H2944+INDEX(DarlTilgung,7))/100/12,IF(AND($G2944=0,$G2943=1),MAX($K2943,$J2944*($H2944+1)/100/12),$K2943))))</f>
      </c>
      <c r="L2944" s="43">
        <f>IF($I2944=0,0,$J2944*$H2944/100/12)</f>
      </c>
      <c r="M2944" s="43">
        <f>IF($I2944=0,0,IF(OR(INDEX(DarlOhneTilgung,7)=1,AND(INDEX(DarlTilgStart,7)&gt;0,$E2944&lt;INDEX(DarlTilgStart,7))),0,MIN(MAX(0,$K2944-$L2944),$J2944)))</f>
      </c>
      <c r="N2944" s="43">
        <f>IF($I2944=0,0,MIN(SUMIFS(SondBetrag,SondDarl,7,SondDatum,"&gt;="&amp;$E2944,SondDatum,"&lt;="&amp;EOMONTH($E2944,0)),$J2944-$M2944))</f>
      </c>
      <c r="O2944" s="43">
        <f>IF($I2944=0,0,INDEX(DarlErsatzRate,7))</f>
      </c>
      <c r="P2944" s="43">
        <f>IF($I2944=0,0,$Q2943*INDEX(DarlErsatzZins,7))</f>
      </c>
      <c r="Q2944" s="43">
        <f>IF($I2944=0,0,$Q2943+$P2944+$O2944)</f>
      </c>
      <c r="R2944" s="43">
        <f>IF($I2944=0,0,$J2944-$M2944-$N2944)</f>
      </c>
    </row>
    <row r="2945">
      <c r="A2945"/>
      <c r="B2945">
        <v>7</v>
      </c>
      <c r="C2945" s="43">
        <f>INDEX(DarlObj,7)</f>
      </c>
      <c r="D2945">
        <v>62</v>
      </c>
      <c r="E2945" s="51">
        <f>IF(INDEX(DarlBelegt,7)=0,0,EOMONTH(INDEX(DarlAuszahlung,7),61)+1)</f>
      </c>
      <c r="F2945" s="43">
        <f>IF($E2945=0,0,YEAR($E2945))</f>
      </c>
      <c r="G2945" s="43">
        <f>IF(INDEX(DarlBindung,7)="",1,IF($E2945&lt;=INDEX(DarlBindung,7),1,0))</f>
      </c>
      <c r="H2945" s="43">
        <f>IF($G2945=1,INDEX(DarlSollzins,7),INDEX(DarlAnschluss,7))</f>
      </c>
      <c r="I2945" s="43">
        <f>IF(INDEX(DarlBelegt,7)=0,0,IF(INDEX(DarlOhneTilgung,7)=1,IF(INDEX(DarlBindung,7)="",1,$G2945),IF($J2945&gt;0.005,1,0)))</f>
      </c>
      <c r="J2945" s="43">
        <f>IF($I2944=0,0,$R2944)</f>
      </c>
      <c r="K2945" s="43">
        <f>IF($I2945=0,0,IF(INDEX(DarlOhneTilgung,7)=1,0,IF(AND(INDEX(DarlTilgStart,7)&gt;0,$E2945=INDEX(DarlTilgStart,7)),$J2945*($H2945+INDEX(DarlTilgung,7))/100/12,IF(AND($G2945=0,$G2944=1),MAX($K2944,$J2945*($H2945+1)/100/12),$K2944))))</f>
      </c>
      <c r="L2945" s="43">
        <f>IF($I2945=0,0,$J2945*$H2945/100/12)</f>
      </c>
      <c r="M2945" s="43">
        <f>IF($I2945=0,0,IF(OR(INDEX(DarlOhneTilgung,7)=1,AND(INDEX(DarlTilgStart,7)&gt;0,$E2945&lt;INDEX(DarlTilgStart,7))),0,MIN(MAX(0,$K2945-$L2945),$J2945)))</f>
      </c>
      <c r="N2945" s="43">
        <f>IF($I2945=0,0,MIN(SUMIFS(SondBetrag,SondDarl,7,SondDatum,"&gt;="&amp;$E2945,SondDatum,"&lt;="&amp;EOMONTH($E2945,0)),$J2945-$M2945))</f>
      </c>
      <c r="O2945" s="43">
        <f>IF($I2945=0,0,INDEX(DarlErsatzRate,7))</f>
      </c>
      <c r="P2945" s="43">
        <f>IF($I2945=0,0,$Q2944*INDEX(DarlErsatzZins,7))</f>
      </c>
      <c r="Q2945" s="43">
        <f>IF($I2945=0,0,$Q2944+$P2945+$O2945)</f>
      </c>
      <c r="R2945" s="43">
        <f>IF($I2945=0,0,$J2945-$M2945-$N2945)</f>
      </c>
    </row>
    <row r="2946">
      <c r="A2946"/>
      <c r="B2946">
        <v>7</v>
      </c>
      <c r="C2946" s="43">
        <f>INDEX(DarlObj,7)</f>
      </c>
      <c r="D2946">
        <v>63</v>
      </c>
      <c r="E2946" s="51">
        <f>IF(INDEX(DarlBelegt,7)=0,0,EOMONTH(INDEX(DarlAuszahlung,7),62)+1)</f>
      </c>
      <c r="F2946" s="43">
        <f>IF($E2946=0,0,YEAR($E2946))</f>
      </c>
      <c r="G2946" s="43">
        <f>IF(INDEX(DarlBindung,7)="",1,IF($E2946&lt;=INDEX(DarlBindung,7),1,0))</f>
      </c>
      <c r="H2946" s="43">
        <f>IF($G2946=1,INDEX(DarlSollzins,7),INDEX(DarlAnschluss,7))</f>
      </c>
      <c r="I2946" s="43">
        <f>IF(INDEX(DarlBelegt,7)=0,0,IF(INDEX(DarlOhneTilgung,7)=1,IF(INDEX(DarlBindung,7)="",1,$G2946),IF($J2946&gt;0.005,1,0)))</f>
      </c>
      <c r="J2946" s="43">
        <f>IF($I2945=0,0,$R2945)</f>
      </c>
      <c r="K2946" s="43">
        <f>IF($I2946=0,0,IF(INDEX(DarlOhneTilgung,7)=1,0,IF(AND(INDEX(DarlTilgStart,7)&gt;0,$E2946=INDEX(DarlTilgStart,7)),$J2946*($H2946+INDEX(DarlTilgung,7))/100/12,IF(AND($G2946=0,$G2945=1),MAX($K2945,$J2946*($H2946+1)/100/12),$K2945))))</f>
      </c>
      <c r="L2946" s="43">
        <f>IF($I2946=0,0,$J2946*$H2946/100/12)</f>
      </c>
      <c r="M2946" s="43">
        <f>IF($I2946=0,0,IF(OR(INDEX(DarlOhneTilgung,7)=1,AND(INDEX(DarlTilgStart,7)&gt;0,$E2946&lt;INDEX(DarlTilgStart,7))),0,MIN(MAX(0,$K2946-$L2946),$J2946)))</f>
      </c>
      <c r="N2946" s="43">
        <f>IF($I2946=0,0,MIN(SUMIFS(SondBetrag,SondDarl,7,SondDatum,"&gt;="&amp;$E2946,SondDatum,"&lt;="&amp;EOMONTH($E2946,0)),$J2946-$M2946))</f>
      </c>
      <c r="O2946" s="43">
        <f>IF($I2946=0,0,INDEX(DarlErsatzRate,7))</f>
      </c>
      <c r="P2946" s="43">
        <f>IF($I2946=0,0,$Q2945*INDEX(DarlErsatzZins,7))</f>
      </c>
      <c r="Q2946" s="43">
        <f>IF($I2946=0,0,$Q2945+$P2946+$O2946)</f>
      </c>
      <c r="R2946" s="43">
        <f>IF($I2946=0,0,$J2946-$M2946-$N2946)</f>
      </c>
    </row>
    <row r="2947">
      <c r="A2947"/>
      <c r="B2947">
        <v>7</v>
      </c>
      <c r="C2947" s="43">
        <f>INDEX(DarlObj,7)</f>
      </c>
      <c r="D2947">
        <v>64</v>
      </c>
      <c r="E2947" s="51">
        <f>IF(INDEX(DarlBelegt,7)=0,0,EOMONTH(INDEX(DarlAuszahlung,7),63)+1)</f>
      </c>
      <c r="F2947" s="43">
        <f>IF($E2947=0,0,YEAR($E2947))</f>
      </c>
      <c r="G2947" s="43">
        <f>IF(INDEX(DarlBindung,7)="",1,IF($E2947&lt;=INDEX(DarlBindung,7),1,0))</f>
      </c>
      <c r="H2947" s="43">
        <f>IF($G2947=1,INDEX(DarlSollzins,7),INDEX(DarlAnschluss,7))</f>
      </c>
      <c r="I2947" s="43">
        <f>IF(INDEX(DarlBelegt,7)=0,0,IF(INDEX(DarlOhneTilgung,7)=1,IF(INDEX(DarlBindung,7)="",1,$G2947),IF($J2947&gt;0.005,1,0)))</f>
      </c>
      <c r="J2947" s="43">
        <f>IF($I2946=0,0,$R2946)</f>
      </c>
      <c r="K2947" s="43">
        <f>IF($I2947=0,0,IF(INDEX(DarlOhneTilgung,7)=1,0,IF(AND(INDEX(DarlTilgStart,7)&gt;0,$E2947=INDEX(DarlTilgStart,7)),$J2947*($H2947+INDEX(DarlTilgung,7))/100/12,IF(AND($G2947=0,$G2946=1),MAX($K2946,$J2947*($H2947+1)/100/12),$K2946))))</f>
      </c>
      <c r="L2947" s="43">
        <f>IF($I2947=0,0,$J2947*$H2947/100/12)</f>
      </c>
      <c r="M2947" s="43">
        <f>IF($I2947=0,0,IF(OR(INDEX(DarlOhneTilgung,7)=1,AND(INDEX(DarlTilgStart,7)&gt;0,$E2947&lt;INDEX(DarlTilgStart,7))),0,MIN(MAX(0,$K2947-$L2947),$J2947)))</f>
      </c>
      <c r="N2947" s="43">
        <f>IF($I2947=0,0,MIN(SUMIFS(SondBetrag,SondDarl,7,SondDatum,"&gt;="&amp;$E2947,SondDatum,"&lt;="&amp;EOMONTH($E2947,0)),$J2947-$M2947))</f>
      </c>
      <c r="O2947" s="43">
        <f>IF($I2947=0,0,INDEX(DarlErsatzRate,7))</f>
      </c>
      <c r="P2947" s="43">
        <f>IF($I2947=0,0,$Q2946*INDEX(DarlErsatzZins,7))</f>
      </c>
      <c r="Q2947" s="43">
        <f>IF($I2947=0,0,$Q2946+$P2947+$O2947)</f>
      </c>
      <c r="R2947" s="43">
        <f>IF($I2947=0,0,$J2947-$M2947-$N2947)</f>
      </c>
    </row>
    <row r="2948">
      <c r="A2948"/>
      <c r="B2948">
        <v>7</v>
      </c>
      <c r="C2948" s="43">
        <f>INDEX(DarlObj,7)</f>
      </c>
      <c r="D2948">
        <v>65</v>
      </c>
      <c r="E2948" s="51">
        <f>IF(INDEX(DarlBelegt,7)=0,0,EOMONTH(INDEX(DarlAuszahlung,7),64)+1)</f>
      </c>
      <c r="F2948" s="43">
        <f>IF($E2948=0,0,YEAR($E2948))</f>
      </c>
      <c r="G2948" s="43">
        <f>IF(INDEX(DarlBindung,7)="",1,IF($E2948&lt;=INDEX(DarlBindung,7),1,0))</f>
      </c>
      <c r="H2948" s="43">
        <f>IF($G2948=1,INDEX(DarlSollzins,7),INDEX(DarlAnschluss,7))</f>
      </c>
      <c r="I2948" s="43">
        <f>IF(INDEX(DarlBelegt,7)=0,0,IF(INDEX(DarlOhneTilgung,7)=1,IF(INDEX(DarlBindung,7)="",1,$G2948),IF($J2948&gt;0.005,1,0)))</f>
      </c>
      <c r="J2948" s="43">
        <f>IF($I2947=0,0,$R2947)</f>
      </c>
      <c r="K2948" s="43">
        <f>IF($I2948=0,0,IF(INDEX(DarlOhneTilgung,7)=1,0,IF(AND(INDEX(DarlTilgStart,7)&gt;0,$E2948=INDEX(DarlTilgStart,7)),$J2948*($H2948+INDEX(DarlTilgung,7))/100/12,IF(AND($G2948=0,$G2947=1),MAX($K2947,$J2948*($H2948+1)/100/12),$K2947))))</f>
      </c>
      <c r="L2948" s="43">
        <f>IF($I2948=0,0,$J2948*$H2948/100/12)</f>
      </c>
      <c r="M2948" s="43">
        <f>IF($I2948=0,0,IF(OR(INDEX(DarlOhneTilgung,7)=1,AND(INDEX(DarlTilgStart,7)&gt;0,$E2948&lt;INDEX(DarlTilgStart,7))),0,MIN(MAX(0,$K2948-$L2948),$J2948)))</f>
      </c>
      <c r="N2948" s="43">
        <f>IF($I2948=0,0,MIN(SUMIFS(SondBetrag,SondDarl,7,SondDatum,"&gt;="&amp;$E2948,SondDatum,"&lt;="&amp;EOMONTH($E2948,0)),$J2948-$M2948))</f>
      </c>
      <c r="O2948" s="43">
        <f>IF($I2948=0,0,INDEX(DarlErsatzRate,7))</f>
      </c>
      <c r="P2948" s="43">
        <f>IF($I2948=0,0,$Q2947*INDEX(DarlErsatzZins,7))</f>
      </c>
      <c r="Q2948" s="43">
        <f>IF($I2948=0,0,$Q2947+$P2948+$O2948)</f>
      </c>
      <c r="R2948" s="43">
        <f>IF($I2948=0,0,$J2948-$M2948-$N2948)</f>
      </c>
    </row>
    <row r="2949">
      <c r="A2949"/>
      <c r="B2949">
        <v>7</v>
      </c>
      <c r="C2949" s="43">
        <f>INDEX(DarlObj,7)</f>
      </c>
      <c r="D2949">
        <v>66</v>
      </c>
      <c r="E2949" s="51">
        <f>IF(INDEX(DarlBelegt,7)=0,0,EOMONTH(INDEX(DarlAuszahlung,7),65)+1)</f>
      </c>
      <c r="F2949" s="43">
        <f>IF($E2949=0,0,YEAR($E2949))</f>
      </c>
      <c r="G2949" s="43">
        <f>IF(INDEX(DarlBindung,7)="",1,IF($E2949&lt;=INDEX(DarlBindung,7),1,0))</f>
      </c>
      <c r="H2949" s="43">
        <f>IF($G2949=1,INDEX(DarlSollzins,7),INDEX(DarlAnschluss,7))</f>
      </c>
      <c r="I2949" s="43">
        <f>IF(INDEX(DarlBelegt,7)=0,0,IF(INDEX(DarlOhneTilgung,7)=1,IF(INDEX(DarlBindung,7)="",1,$G2949),IF($J2949&gt;0.005,1,0)))</f>
      </c>
      <c r="J2949" s="43">
        <f>IF($I2948=0,0,$R2948)</f>
      </c>
      <c r="K2949" s="43">
        <f>IF($I2949=0,0,IF(INDEX(DarlOhneTilgung,7)=1,0,IF(AND(INDEX(DarlTilgStart,7)&gt;0,$E2949=INDEX(DarlTilgStart,7)),$J2949*($H2949+INDEX(DarlTilgung,7))/100/12,IF(AND($G2949=0,$G2948=1),MAX($K2948,$J2949*($H2949+1)/100/12),$K2948))))</f>
      </c>
      <c r="L2949" s="43">
        <f>IF($I2949=0,0,$J2949*$H2949/100/12)</f>
      </c>
      <c r="M2949" s="43">
        <f>IF($I2949=0,0,IF(OR(INDEX(DarlOhneTilgung,7)=1,AND(INDEX(DarlTilgStart,7)&gt;0,$E2949&lt;INDEX(DarlTilgStart,7))),0,MIN(MAX(0,$K2949-$L2949),$J2949)))</f>
      </c>
      <c r="N2949" s="43">
        <f>IF($I2949=0,0,MIN(SUMIFS(SondBetrag,SondDarl,7,SondDatum,"&gt;="&amp;$E2949,SondDatum,"&lt;="&amp;EOMONTH($E2949,0)),$J2949-$M2949))</f>
      </c>
      <c r="O2949" s="43">
        <f>IF($I2949=0,0,INDEX(DarlErsatzRate,7))</f>
      </c>
      <c r="P2949" s="43">
        <f>IF($I2949=0,0,$Q2948*INDEX(DarlErsatzZins,7))</f>
      </c>
      <c r="Q2949" s="43">
        <f>IF($I2949=0,0,$Q2948+$P2949+$O2949)</f>
      </c>
      <c r="R2949" s="43">
        <f>IF($I2949=0,0,$J2949-$M2949-$N2949)</f>
      </c>
    </row>
    <row r="2950">
      <c r="A2950"/>
      <c r="B2950">
        <v>7</v>
      </c>
      <c r="C2950" s="43">
        <f>INDEX(DarlObj,7)</f>
      </c>
      <c r="D2950">
        <v>67</v>
      </c>
      <c r="E2950" s="51">
        <f>IF(INDEX(DarlBelegt,7)=0,0,EOMONTH(INDEX(DarlAuszahlung,7),66)+1)</f>
      </c>
      <c r="F2950" s="43">
        <f>IF($E2950=0,0,YEAR($E2950))</f>
      </c>
      <c r="G2950" s="43">
        <f>IF(INDEX(DarlBindung,7)="",1,IF($E2950&lt;=INDEX(DarlBindung,7),1,0))</f>
      </c>
      <c r="H2950" s="43">
        <f>IF($G2950=1,INDEX(DarlSollzins,7),INDEX(DarlAnschluss,7))</f>
      </c>
      <c r="I2950" s="43">
        <f>IF(INDEX(DarlBelegt,7)=0,0,IF(INDEX(DarlOhneTilgung,7)=1,IF(INDEX(DarlBindung,7)="",1,$G2950),IF($J2950&gt;0.005,1,0)))</f>
      </c>
      <c r="J2950" s="43">
        <f>IF($I2949=0,0,$R2949)</f>
      </c>
      <c r="K2950" s="43">
        <f>IF($I2950=0,0,IF(INDEX(DarlOhneTilgung,7)=1,0,IF(AND(INDEX(DarlTilgStart,7)&gt;0,$E2950=INDEX(DarlTilgStart,7)),$J2950*($H2950+INDEX(DarlTilgung,7))/100/12,IF(AND($G2950=0,$G2949=1),MAX($K2949,$J2950*($H2950+1)/100/12),$K2949))))</f>
      </c>
      <c r="L2950" s="43">
        <f>IF($I2950=0,0,$J2950*$H2950/100/12)</f>
      </c>
      <c r="M2950" s="43">
        <f>IF($I2950=0,0,IF(OR(INDEX(DarlOhneTilgung,7)=1,AND(INDEX(DarlTilgStart,7)&gt;0,$E2950&lt;INDEX(DarlTilgStart,7))),0,MIN(MAX(0,$K2950-$L2950),$J2950)))</f>
      </c>
      <c r="N2950" s="43">
        <f>IF($I2950=0,0,MIN(SUMIFS(SondBetrag,SondDarl,7,SondDatum,"&gt;="&amp;$E2950,SondDatum,"&lt;="&amp;EOMONTH($E2950,0)),$J2950-$M2950))</f>
      </c>
      <c r="O2950" s="43">
        <f>IF($I2950=0,0,INDEX(DarlErsatzRate,7))</f>
      </c>
      <c r="P2950" s="43">
        <f>IF($I2950=0,0,$Q2949*INDEX(DarlErsatzZins,7))</f>
      </c>
      <c r="Q2950" s="43">
        <f>IF($I2950=0,0,$Q2949+$P2950+$O2950)</f>
      </c>
      <c r="R2950" s="43">
        <f>IF($I2950=0,0,$J2950-$M2950-$N2950)</f>
      </c>
    </row>
    <row r="2951">
      <c r="A2951"/>
      <c r="B2951">
        <v>7</v>
      </c>
      <c r="C2951" s="43">
        <f>INDEX(DarlObj,7)</f>
      </c>
      <c r="D2951">
        <v>68</v>
      </c>
      <c r="E2951" s="51">
        <f>IF(INDEX(DarlBelegt,7)=0,0,EOMONTH(INDEX(DarlAuszahlung,7),67)+1)</f>
      </c>
      <c r="F2951" s="43">
        <f>IF($E2951=0,0,YEAR($E2951))</f>
      </c>
      <c r="G2951" s="43">
        <f>IF(INDEX(DarlBindung,7)="",1,IF($E2951&lt;=INDEX(DarlBindung,7),1,0))</f>
      </c>
      <c r="H2951" s="43">
        <f>IF($G2951=1,INDEX(DarlSollzins,7),INDEX(DarlAnschluss,7))</f>
      </c>
      <c r="I2951" s="43">
        <f>IF(INDEX(DarlBelegt,7)=0,0,IF(INDEX(DarlOhneTilgung,7)=1,IF(INDEX(DarlBindung,7)="",1,$G2951),IF($J2951&gt;0.005,1,0)))</f>
      </c>
      <c r="J2951" s="43">
        <f>IF($I2950=0,0,$R2950)</f>
      </c>
      <c r="K2951" s="43">
        <f>IF($I2951=0,0,IF(INDEX(DarlOhneTilgung,7)=1,0,IF(AND(INDEX(DarlTilgStart,7)&gt;0,$E2951=INDEX(DarlTilgStart,7)),$J2951*($H2951+INDEX(DarlTilgung,7))/100/12,IF(AND($G2951=0,$G2950=1),MAX($K2950,$J2951*($H2951+1)/100/12),$K2950))))</f>
      </c>
      <c r="L2951" s="43">
        <f>IF($I2951=0,0,$J2951*$H2951/100/12)</f>
      </c>
      <c r="M2951" s="43">
        <f>IF($I2951=0,0,IF(OR(INDEX(DarlOhneTilgung,7)=1,AND(INDEX(DarlTilgStart,7)&gt;0,$E2951&lt;INDEX(DarlTilgStart,7))),0,MIN(MAX(0,$K2951-$L2951),$J2951)))</f>
      </c>
      <c r="N2951" s="43">
        <f>IF($I2951=0,0,MIN(SUMIFS(SondBetrag,SondDarl,7,SondDatum,"&gt;="&amp;$E2951,SondDatum,"&lt;="&amp;EOMONTH($E2951,0)),$J2951-$M2951))</f>
      </c>
      <c r="O2951" s="43">
        <f>IF($I2951=0,0,INDEX(DarlErsatzRate,7))</f>
      </c>
      <c r="P2951" s="43">
        <f>IF($I2951=0,0,$Q2950*INDEX(DarlErsatzZins,7))</f>
      </c>
      <c r="Q2951" s="43">
        <f>IF($I2951=0,0,$Q2950+$P2951+$O2951)</f>
      </c>
      <c r="R2951" s="43">
        <f>IF($I2951=0,0,$J2951-$M2951-$N2951)</f>
      </c>
    </row>
    <row r="2952">
      <c r="A2952"/>
      <c r="B2952">
        <v>7</v>
      </c>
      <c r="C2952" s="43">
        <f>INDEX(DarlObj,7)</f>
      </c>
      <c r="D2952">
        <v>69</v>
      </c>
      <c r="E2952" s="51">
        <f>IF(INDEX(DarlBelegt,7)=0,0,EOMONTH(INDEX(DarlAuszahlung,7),68)+1)</f>
      </c>
      <c r="F2952" s="43">
        <f>IF($E2952=0,0,YEAR($E2952))</f>
      </c>
      <c r="G2952" s="43">
        <f>IF(INDEX(DarlBindung,7)="",1,IF($E2952&lt;=INDEX(DarlBindung,7),1,0))</f>
      </c>
      <c r="H2952" s="43">
        <f>IF($G2952=1,INDEX(DarlSollzins,7),INDEX(DarlAnschluss,7))</f>
      </c>
      <c r="I2952" s="43">
        <f>IF(INDEX(DarlBelegt,7)=0,0,IF(INDEX(DarlOhneTilgung,7)=1,IF(INDEX(DarlBindung,7)="",1,$G2952),IF($J2952&gt;0.005,1,0)))</f>
      </c>
      <c r="J2952" s="43">
        <f>IF($I2951=0,0,$R2951)</f>
      </c>
      <c r="K2952" s="43">
        <f>IF($I2952=0,0,IF(INDEX(DarlOhneTilgung,7)=1,0,IF(AND(INDEX(DarlTilgStart,7)&gt;0,$E2952=INDEX(DarlTilgStart,7)),$J2952*($H2952+INDEX(DarlTilgung,7))/100/12,IF(AND($G2952=0,$G2951=1),MAX($K2951,$J2952*($H2952+1)/100/12),$K2951))))</f>
      </c>
      <c r="L2952" s="43">
        <f>IF($I2952=0,0,$J2952*$H2952/100/12)</f>
      </c>
      <c r="M2952" s="43">
        <f>IF($I2952=0,0,IF(OR(INDEX(DarlOhneTilgung,7)=1,AND(INDEX(DarlTilgStart,7)&gt;0,$E2952&lt;INDEX(DarlTilgStart,7))),0,MIN(MAX(0,$K2952-$L2952),$J2952)))</f>
      </c>
      <c r="N2952" s="43">
        <f>IF($I2952=0,0,MIN(SUMIFS(SondBetrag,SondDarl,7,SondDatum,"&gt;="&amp;$E2952,SondDatum,"&lt;="&amp;EOMONTH($E2952,0)),$J2952-$M2952))</f>
      </c>
      <c r="O2952" s="43">
        <f>IF($I2952=0,0,INDEX(DarlErsatzRate,7))</f>
      </c>
      <c r="P2952" s="43">
        <f>IF($I2952=0,0,$Q2951*INDEX(DarlErsatzZins,7))</f>
      </c>
      <c r="Q2952" s="43">
        <f>IF($I2952=0,0,$Q2951+$P2952+$O2952)</f>
      </c>
      <c r="R2952" s="43">
        <f>IF($I2952=0,0,$J2952-$M2952-$N2952)</f>
      </c>
    </row>
    <row r="2953">
      <c r="A2953"/>
      <c r="B2953">
        <v>7</v>
      </c>
      <c r="C2953" s="43">
        <f>INDEX(DarlObj,7)</f>
      </c>
      <c r="D2953">
        <v>70</v>
      </c>
      <c r="E2953" s="51">
        <f>IF(INDEX(DarlBelegt,7)=0,0,EOMONTH(INDEX(DarlAuszahlung,7),69)+1)</f>
      </c>
      <c r="F2953" s="43">
        <f>IF($E2953=0,0,YEAR($E2953))</f>
      </c>
      <c r="G2953" s="43">
        <f>IF(INDEX(DarlBindung,7)="",1,IF($E2953&lt;=INDEX(DarlBindung,7),1,0))</f>
      </c>
      <c r="H2953" s="43">
        <f>IF($G2953=1,INDEX(DarlSollzins,7),INDEX(DarlAnschluss,7))</f>
      </c>
      <c r="I2953" s="43">
        <f>IF(INDEX(DarlBelegt,7)=0,0,IF(INDEX(DarlOhneTilgung,7)=1,IF(INDEX(DarlBindung,7)="",1,$G2953),IF($J2953&gt;0.005,1,0)))</f>
      </c>
      <c r="J2953" s="43">
        <f>IF($I2952=0,0,$R2952)</f>
      </c>
      <c r="K2953" s="43">
        <f>IF($I2953=0,0,IF(INDEX(DarlOhneTilgung,7)=1,0,IF(AND(INDEX(DarlTilgStart,7)&gt;0,$E2953=INDEX(DarlTilgStart,7)),$J2953*($H2953+INDEX(DarlTilgung,7))/100/12,IF(AND($G2953=0,$G2952=1),MAX($K2952,$J2953*($H2953+1)/100/12),$K2952))))</f>
      </c>
      <c r="L2953" s="43">
        <f>IF($I2953=0,0,$J2953*$H2953/100/12)</f>
      </c>
      <c r="M2953" s="43">
        <f>IF($I2953=0,0,IF(OR(INDEX(DarlOhneTilgung,7)=1,AND(INDEX(DarlTilgStart,7)&gt;0,$E2953&lt;INDEX(DarlTilgStart,7))),0,MIN(MAX(0,$K2953-$L2953),$J2953)))</f>
      </c>
      <c r="N2953" s="43">
        <f>IF($I2953=0,0,MIN(SUMIFS(SondBetrag,SondDarl,7,SondDatum,"&gt;="&amp;$E2953,SondDatum,"&lt;="&amp;EOMONTH($E2953,0)),$J2953-$M2953))</f>
      </c>
      <c r="O2953" s="43">
        <f>IF($I2953=0,0,INDEX(DarlErsatzRate,7))</f>
      </c>
      <c r="P2953" s="43">
        <f>IF($I2953=0,0,$Q2952*INDEX(DarlErsatzZins,7))</f>
      </c>
      <c r="Q2953" s="43">
        <f>IF($I2953=0,0,$Q2952+$P2953+$O2953)</f>
      </c>
      <c r="R2953" s="43">
        <f>IF($I2953=0,0,$J2953-$M2953-$N2953)</f>
      </c>
    </row>
    <row r="2954">
      <c r="A2954"/>
      <c r="B2954">
        <v>7</v>
      </c>
      <c r="C2954" s="43">
        <f>INDEX(DarlObj,7)</f>
      </c>
      <c r="D2954">
        <v>71</v>
      </c>
      <c r="E2954" s="51">
        <f>IF(INDEX(DarlBelegt,7)=0,0,EOMONTH(INDEX(DarlAuszahlung,7),70)+1)</f>
      </c>
      <c r="F2954" s="43">
        <f>IF($E2954=0,0,YEAR($E2954))</f>
      </c>
      <c r="G2954" s="43">
        <f>IF(INDEX(DarlBindung,7)="",1,IF($E2954&lt;=INDEX(DarlBindung,7),1,0))</f>
      </c>
      <c r="H2954" s="43">
        <f>IF($G2954=1,INDEX(DarlSollzins,7),INDEX(DarlAnschluss,7))</f>
      </c>
      <c r="I2954" s="43">
        <f>IF(INDEX(DarlBelegt,7)=0,0,IF(INDEX(DarlOhneTilgung,7)=1,IF(INDEX(DarlBindung,7)="",1,$G2954),IF($J2954&gt;0.005,1,0)))</f>
      </c>
      <c r="J2954" s="43">
        <f>IF($I2953=0,0,$R2953)</f>
      </c>
      <c r="K2954" s="43">
        <f>IF($I2954=0,0,IF(INDEX(DarlOhneTilgung,7)=1,0,IF(AND(INDEX(DarlTilgStart,7)&gt;0,$E2954=INDEX(DarlTilgStart,7)),$J2954*($H2954+INDEX(DarlTilgung,7))/100/12,IF(AND($G2954=0,$G2953=1),MAX($K2953,$J2954*($H2954+1)/100/12),$K2953))))</f>
      </c>
      <c r="L2954" s="43">
        <f>IF($I2954=0,0,$J2954*$H2954/100/12)</f>
      </c>
      <c r="M2954" s="43">
        <f>IF($I2954=0,0,IF(OR(INDEX(DarlOhneTilgung,7)=1,AND(INDEX(DarlTilgStart,7)&gt;0,$E2954&lt;INDEX(DarlTilgStart,7))),0,MIN(MAX(0,$K2954-$L2954),$J2954)))</f>
      </c>
      <c r="N2954" s="43">
        <f>IF($I2954=0,0,MIN(SUMIFS(SondBetrag,SondDarl,7,SondDatum,"&gt;="&amp;$E2954,SondDatum,"&lt;="&amp;EOMONTH($E2954,0)),$J2954-$M2954))</f>
      </c>
      <c r="O2954" s="43">
        <f>IF($I2954=0,0,INDEX(DarlErsatzRate,7))</f>
      </c>
      <c r="P2954" s="43">
        <f>IF($I2954=0,0,$Q2953*INDEX(DarlErsatzZins,7))</f>
      </c>
      <c r="Q2954" s="43">
        <f>IF($I2954=0,0,$Q2953+$P2954+$O2954)</f>
      </c>
      <c r="R2954" s="43">
        <f>IF($I2954=0,0,$J2954-$M2954-$N2954)</f>
      </c>
    </row>
    <row r="2955">
      <c r="A2955"/>
      <c r="B2955">
        <v>7</v>
      </c>
      <c r="C2955" s="43">
        <f>INDEX(DarlObj,7)</f>
      </c>
      <c r="D2955">
        <v>72</v>
      </c>
      <c r="E2955" s="51">
        <f>IF(INDEX(DarlBelegt,7)=0,0,EOMONTH(INDEX(DarlAuszahlung,7),71)+1)</f>
      </c>
      <c r="F2955" s="43">
        <f>IF($E2955=0,0,YEAR($E2955))</f>
      </c>
      <c r="G2955" s="43">
        <f>IF(INDEX(DarlBindung,7)="",1,IF($E2955&lt;=INDEX(DarlBindung,7),1,0))</f>
      </c>
      <c r="H2955" s="43">
        <f>IF($G2955=1,INDEX(DarlSollzins,7),INDEX(DarlAnschluss,7))</f>
      </c>
      <c r="I2955" s="43">
        <f>IF(INDEX(DarlBelegt,7)=0,0,IF(INDEX(DarlOhneTilgung,7)=1,IF(INDEX(DarlBindung,7)="",1,$G2955),IF($J2955&gt;0.005,1,0)))</f>
      </c>
      <c r="J2955" s="43">
        <f>IF($I2954=0,0,$R2954)</f>
      </c>
      <c r="K2955" s="43">
        <f>IF($I2955=0,0,IF(INDEX(DarlOhneTilgung,7)=1,0,IF(AND(INDEX(DarlTilgStart,7)&gt;0,$E2955=INDEX(DarlTilgStart,7)),$J2955*($H2955+INDEX(DarlTilgung,7))/100/12,IF(AND($G2955=0,$G2954=1),MAX($K2954,$J2955*($H2955+1)/100/12),$K2954))))</f>
      </c>
      <c r="L2955" s="43">
        <f>IF($I2955=0,0,$J2955*$H2955/100/12)</f>
      </c>
      <c r="M2955" s="43">
        <f>IF($I2955=0,0,IF(OR(INDEX(DarlOhneTilgung,7)=1,AND(INDEX(DarlTilgStart,7)&gt;0,$E2955&lt;INDEX(DarlTilgStart,7))),0,MIN(MAX(0,$K2955-$L2955),$J2955)))</f>
      </c>
      <c r="N2955" s="43">
        <f>IF($I2955=0,0,MIN(SUMIFS(SondBetrag,SondDarl,7,SondDatum,"&gt;="&amp;$E2955,SondDatum,"&lt;="&amp;EOMONTH($E2955,0)),$J2955-$M2955))</f>
      </c>
      <c r="O2955" s="43">
        <f>IF($I2955=0,0,INDEX(DarlErsatzRate,7))</f>
      </c>
      <c r="P2955" s="43">
        <f>IF($I2955=0,0,$Q2954*INDEX(DarlErsatzZins,7))</f>
      </c>
      <c r="Q2955" s="43">
        <f>IF($I2955=0,0,$Q2954+$P2955+$O2955)</f>
      </c>
      <c r="R2955" s="43">
        <f>IF($I2955=0,0,$J2955-$M2955-$N2955)</f>
      </c>
    </row>
    <row r="2956">
      <c r="A2956"/>
      <c r="B2956">
        <v>7</v>
      </c>
      <c r="C2956" s="43">
        <f>INDEX(DarlObj,7)</f>
      </c>
      <c r="D2956">
        <v>73</v>
      </c>
      <c r="E2956" s="51">
        <f>IF(INDEX(DarlBelegt,7)=0,0,EOMONTH(INDEX(DarlAuszahlung,7),72)+1)</f>
      </c>
      <c r="F2956" s="43">
        <f>IF($E2956=0,0,YEAR($E2956))</f>
      </c>
      <c r="G2956" s="43">
        <f>IF(INDEX(DarlBindung,7)="",1,IF($E2956&lt;=INDEX(DarlBindung,7),1,0))</f>
      </c>
      <c r="H2956" s="43">
        <f>IF($G2956=1,INDEX(DarlSollzins,7),INDEX(DarlAnschluss,7))</f>
      </c>
      <c r="I2956" s="43">
        <f>IF(INDEX(DarlBelegt,7)=0,0,IF(INDEX(DarlOhneTilgung,7)=1,IF(INDEX(DarlBindung,7)="",1,$G2956),IF($J2956&gt;0.005,1,0)))</f>
      </c>
      <c r="J2956" s="43">
        <f>IF($I2955=0,0,$R2955)</f>
      </c>
      <c r="K2956" s="43">
        <f>IF($I2956=0,0,IF(INDEX(DarlOhneTilgung,7)=1,0,IF(AND(INDEX(DarlTilgStart,7)&gt;0,$E2956=INDEX(DarlTilgStart,7)),$J2956*($H2956+INDEX(DarlTilgung,7))/100/12,IF(AND($G2956=0,$G2955=1),MAX($K2955,$J2956*($H2956+1)/100/12),$K2955))))</f>
      </c>
      <c r="L2956" s="43">
        <f>IF($I2956=0,0,$J2956*$H2956/100/12)</f>
      </c>
      <c r="M2956" s="43">
        <f>IF($I2956=0,0,IF(OR(INDEX(DarlOhneTilgung,7)=1,AND(INDEX(DarlTilgStart,7)&gt;0,$E2956&lt;INDEX(DarlTilgStart,7))),0,MIN(MAX(0,$K2956-$L2956),$J2956)))</f>
      </c>
      <c r="N2956" s="43">
        <f>IF($I2956=0,0,MIN(SUMIFS(SondBetrag,SondDarl,7,SondDatum,"&gt;="&amp;$E2956,SondDatum,"&lt;="&amp;EOMONTH($E2956,0)),$J2956-$M2956))</f>
      </c>
      <c r="O2956" s="43">
        <f>IF($I2956=0,0,INDEX(DarlErsatzRate,7))</f>
      </c>
      <c r="P2956" s="43">
        <f>IF($I2956=0,0,$Q2955*INDEX(DarlErsatzZins,7))</f>
      </c>
      <c r="Q2956" s="43">
        <f>IF($I2956=0,0,$Q2955+$P2956+$O2956)</f>
      </c>
      <c r="R2956" s="43">
        <f>IF($I2956=0,0,$J2956-$M2956-$N2956)</f>
      </c>
    </row>
    <row r="2957">
      <c r="A2957"/>
      <c r="B2957">
        <v>7</v>
      </c>
      <c r="C2957" s="43">
        <f>INDEX(DarlObj,7)</f>
      </c>
      <c r="D2957">
        <v>74</v>
      </c>
      <c r="E2957" s="51">
        <f>IF(INDEX(DarlBelegt,7)=0,0,EOMONTH(INDEX(DarlAuszahlung,7),73)+1)</f>
      </c>
      <c r="F2957" s="43">
        <f>IF($E2957=0,0,YEAR($E2957))</f>
      </c>
      <c r="G2957" s="43">
        <f>IF(INDEX(DarlBindung,7)="",1,IF($E2957&lt;=INDEX(DarlBindung,7),1,0))</f>
      </c>
      <c r="H2957" s="43">
        <f>IF($G2957=1,INDEX(DarlSollzins,7),INDEX(DarlAnschluss,7))</f>
      </c>
      <c r="I2957" s="43">
        <f>IF(INDEX(DarlBelegt,7)=0,0,IF(INDEX(DarlOhneTilgung,7)=1,IF(INDEX(DarlBindung,7)="",1,$G2957),IF($J2957&gt;0.005,1,0)))</f>
      </c>
      <c r="J2957" s="43">
        <f>IF($I2956=0,0,$R2956)</f>
      </c>
      <c r="K2957" s="43">
        <f>IF($I2957=0,0,IF(INDEX(DarlOhneTilgung,7)=1,0,IF(AND(INDEX(DarlTilgStart,7)&gt;0,$E2957=INDEX(DarlTilgStart,7)),$J2957*($H2957+INDEX(DarlTilgung,7))/100/12,IF(AND($G2957=0,$G2956=1),MAX($K2956,$J2957*($H2957+1)/100/12),$K2956))))</f>
      </c>
      <c r="L2957" s="43">
        <f>IF($I2957=0,0,$J2957*$H2957/100/12)</f>
      </c>
      <c r="M2957" s="43">
        <f>IF($I2957=0,0,IF(OR(INDEX(DarlOhneTilgung,7)=1,AND(INDEX(DarlTilgStart,7)&gt;0,$E2957&lt;INDEX(DarlTilgStart,7))),0,MIN(MAX(0,$K2957-$L2957),$J2957)))</f>
      </c>
      <c r="N2957" s="43">
        <f>IF($I2957=0,0,MIN(SUMIFS(SondBetrag,SondDarl,7,SondDatum,"&gt;="&amp;$E2957,SondDatum,"&lt;="&amp;EOMONTH($E2957,0)),$J2957-$M2957))</f>
      </c>
      <c r="O2957" s="43">
        <f>IF($I2957=0,0,INDEX(DarlErsatzRate,7))</f>
      </c>
      <c r="P2957" s="43">
        <f>IF($I2957=0,0,$Q2956*INDEX(DarlErsatzZins,7))</f>
      </c>
      <c r="Q2957" s="43">
        <f>IF($I2957=0,0,$Q2956+$P2957+$O2957)</f>
      </c>
      <c r="R2957" s="43">
        <f>IF($I2957=0,0,$J2957-$M2957-$N2957)</f>
      </c>
    </row>
    <row r="2958">
      <c r="A2958"/>
      <c r="B2958">
        <v>7</v>
      </c>
      <c r="C2958" s="43">
        <f>INDEX(DarlObj,7)</f>
      </c>
      <c r="D2958">
        <v>75</v>
      </c>
      <c r="E2958" s="51">
        <f>IF(INDEX(DarlBelegt,7)=0,0,EOMONTH(INDEX(DarlAuszahlung,7),74)+1)</f>
      </c>
      <c r="F2958" s="43">
        <f>IF($E2958=0,0,YEAR($E2958))</f>
      </c>
      <c r="G2958" s="43">
        <f>IF(INDEX(DarlBindung,7)="",1,IF($E2958&lt;=INDEX(DarlBindung,7),1,0))</f>
      </c>
      <c r="H2958" s="43">
        <f>IF($G2958=1,INDEX(DarlSollzins,7),INDEX(DarlAnschluss,7))</f>
      </c>
      <c r="I2958" s="43">
        <f>IF(INDEX(DarlBelegt,7)=0,0,IF(INDEX(DarlOhneTilgung,7)=1,IF(INDEX(DarlBindung,7)="",1,$G2958),IF($J2958&gt;0.005,1,0)))</f>
      </c>
      <c r="J2958" s="43">
        <f>IF($I2957=0,0,$R2957)</f>
      </c>
      <c r="K2958" s="43">
        <f>IF($I2958=0,0,IF(INDEX(DarlOhneTilgung,7)=1,0,IF(AND(INDEX(DarlTilgStart,7)&gt;0,$E2958=INDEX(DarlTilgStart,7)),$J2958*($H2958+INDEX(DarlTilgung,7))/100/12,IF(AND($G2958=0,$G2957=1),MAX($K2957,$J2958*($H2958+1)/100/12),$K2957))))</f>
      </c>
      <c r="L2958" s="43">
        <f>IF($I2958=0,0,$J2958*$H2958/100/12)</f>
      </c>
      <c r="M2958" s="43">
        <f>IF($I2958=0,0,IF(OR(INDEX(DarlOhneTilgung,7)=1,AND(INDEX(DarlTilgStart,7)&gt;0,$E2958&lt;INDEX(DarlTilgStart,7))),0,MIN(MAX(0,$K2958-$L2958),$J2958)))</f>
      </c>
      <c r="N2958" s="43">
        <f>IF($I2958=0,0,MIN(SUMIFS(SondBetrag,SondDarl,7,SondDatum,"&gt;="&amp;$E2958,SondDatum,"&lt;="&amp;EOMONTH($E2958,0)),$J2958-$M2958))</f>
      </c>
      <c r="O2958" s="43">
        <f>IF($I2958=0,0,INDEX(DarlErsatzRate,7))</f>
      </c>
      <c r="P2958" s="43">
        <f>IF($I2958=0,0,$Q2957*INDEX(DarlErsatzZins,7))</f>
      </c>
      <c r="Q2958" s="43">
        <f>IF($I2958=0,0,$Q2957+$P2958+$O2958)</f>
      </c>
      <c r="R2958" s="43">
        <f>IF($I2958=0,0,$J2958-$M2958-$N2958)</f>
      </c>
    </row>
    <row r="2959">
      <c r="A2959"/>
      <c r="B2959">
        <v>7</v>
      </c>
      <c r="C2959" s="43">
        <f>INDEX(DarlObj,7)</f>
      </c>
      <c r="D2959">
        <v>76</v>
      </c>
      <c r="E2959" s="51">
        <f>IF(INDEX(DarlBelegt,7)=0,0,EOMONTH(INDEX(DarlAuszahlung,7),75)+1)</f>
      </c>
      <c r="F2959" s="43">
        <f>IF($E2959=0,0,YEAR($E2959))</f>
      </c>
      <c r="G2959" s="43">
        <f>IF(INDEX(DarlBindung,7)="",1,IF($E2959&lt;=INDEX(DarlBindung,7),1,0))</f>
      </c>
      <c r="H2959" s="43">
        <f>IF($G2959=1,INDEX(DarlSollzins,7),INDEX(DarlAnschluss,7))</f>
      </c>
      <c r="I2959" s="43">
        <f>IF(INDEX(DarlBelegt,7)=0,0,IF(INDEX(DarlOhneTilgung,7)=1,IF(INDEX(DarlBindung,7)="",1,$G2959),IF($J2959&gt;0.005,1,0)))</f>
      </c>
      <c r="J2959" s="43">
        <f>IF($I2958=0,0,$R2958)</f>
      </c>
      <c r="K2959" s="43">
        <f>IF($I2959=0,0,IF(INDEX(DarlOhneTilgung,7)=1,0,IF(AND(INDEX(DarlTilgStart,7)&gt;0,$E2959=INDEX(DarlTilgStart,7)),$J2959*($H2959+INDEX(DarlTilgung,7))/100/12,IF(AND($G2959=0,$G2958=1),MAX($K2958,$J2959*($H2959+1)/100/12),$K2958))))</f>
      </c>
      <c r="L2959" s="43">
        <f>IF($I2959=0,0,$J2959*$H2959/100/12)</f>
      </c>
      <c r="M2959" s="43">
        <f>IF($I2959=0,0,IF(OR(INDEX(DarlOhneTilgung,7)=1,AND(INDEX(DarlTilgStart,7)&gt;0,$E2959&lt;INDEX(DarlTilgStart,7))),0,MIN(MAX(0,$K2959-$L2959),$J2959)))</f>
      </c>
      <c r="N2959" s="43">
        <f>IF($I2959=0,0,MIN(SUMIFS(SondBetrag,SondDarl,7,SondDatum,"&gt;="&amp;$E2959,SondDatum,"&lt;="&amp;EOMONTH($E2959,0)),$J2959-$M2959))</f>
      </c>
      <c r="O2959" s="43">
        <f>IF($I2959=0,0,INDEX(DarlErsatzRate,7))</f>
      </c>
      <c r="P2959" s="43">
        <f>IF($I2959=0,0,$Q2958*INDEX(DarlErsatzZins,7))</f>
      </c>
      <c r="Q2959" s="43">
        <f>IF($I2959=0,0,$Q2958+$P2959+$O2959)</f>
      </c>
      <c r="R2959" s="43">
        <f>IF($I2959=0,0,$J2959-$M2959-$N2959)</f>
      </c>
    </row>
    <row r="2960">
      <c r="A2960"/>
      <c r="B2960">
        <v>7</v>
      </c>
      <c r="C2960" s="43">
        <f>INDEX(DarlObj,7)</f>
      </c>
      <c r="D2960">
        <v>77</v>
      </c>
      <c r="E2960" s="51">
        <f>IF(INDEX(DarlBelegt,7)=0,0,EOMONTH(INDEX(DarlAuszahlung,7),76)+1)</f>
      </c>
      <c r="F2960" s="43">
        <f>IF($E2960=0,0,YEAR($E2960))</f>
      </c>
      <c r="G2960" s="43">
        <f>IF(INDEX(DarlBindung,7)="",1,IF($E2960&lt;=INDEX(DarlBindung,7),1,0))</f>
      </c>
      <c r="H2960" s="43">
        <f>IF($G2960=1,INDEX(DarlSollzins,7),INDEX(DarlAnschluss,7))</f>
      </c>
      <c r="I2960" s="43">
        <f>IF(INDEX(DarlBelegt,7)=0,0,IF(INDEX(DarlOhneTilgung,7)=1,IF(INDEX(DarlBindung,7)="",1,$G2960),IF($J2960&gt;0.005,1,0)))</f>
      </c>
      <c r="J2960" s="43">
        <f>IF($I2959=0,0,$R2959)</f>
      </c>
      <c r="K2960" s="43">
        <f>IF($I2960=0,0,IF(INDEX(DarlOhneTilgung,7)=1,0,IF(AND(INDEX(DarlTilgStart,7)&gt;0,$E2960=INDEX(DarlTilgStart,7)),$J2960*($H2960+INDEX(DarlTilgung,7))/100/12,IF(AND($G2960=0,$G2959=1),MAX($K2959,$J2960*($H2960+1)/100/12),$K2959))))</f>
      </c>
      <c r="L2960" s="43">
        <f>IF($I2960=0,0,$J2960*$H2960/100/12)</f>
      </c>
      <c r="M2960" s="43">
        <f>IF($I2960=0,0,IF(OR(INDEX(DarlOhneTilgung,7)=1,AND(INDEX(DarlTilgStart,7)&gt;0,$E2960&lt;INDEX(DarlTilgStart,7))),0,MIN(MAX(0,$K2960-$L2960),$J2960)))</f>
      </c>
      <c r="N2960" s="43">
        <f>IF($I2960=0,0,MIN(SUMIFS(SondBetrag,SondDarl,7,SondDatum,"&gt;="&amp;$E2960,SondDatum,"&lt;="&amp;EOMONTH($E2960,0)),$J2960-$M2960))</f>
      </c>
      <c r="O2960" s="43">
        <f>IF($I2960=0,0,INDEX(DarlErsatzRate,7))</f>
      </c>
      <c r="P2960" s="43">
        <f>IF($I2960=0,0,$Q2959*INDEX(DarlErsatzZins,7))</f>
      </c>
      <c r="Q2960" s="43">
        <f>IF($I2960=0,0,$Q2959+$P2960+$O2960)</f>
      </c>
      <c r="R2960" s="43">
        <f>IF($I2960=0,0,$J2960-$M2960-$N2960)</f>
      </c>
    </row>
    <row r="2961">
      <c r="A2961"/>
      <c r="B2961">
        <v>7</v>
      </c>
      <c r="C2961" s="43">
        <f>INDEX(DarlObj,7)</f>
      </c>
      <c r="D2961">
        <v>78</v>
      </c>
      <c r="E2961" s="51">
        <f>IF(INDEX(DarlBelegt,7)=0,0,EOMONTH(INDEX(DarlAuszahlung,7),77)+1)</f>
      </c>
      <c r="F2961" s="43">
        <f>IF($E2961=0,0,YEAR($E2961))</f>
      </c>
      <c r="G2961" s="43">
        <f>IF(INDEX(DarlBindung,7)="",1,IF($E2961&lt;=INDEX(DarlBindung,7),1,0))</f>
      </c>
      <c r="H2961" s="43">
        <f>IF($G2961=1,INDEX(DarlSollzins,7),INDEX(DarlAnschluss,7))</f>
      </c>
      <c r="I2961" s="43">
        <f>IF(INDEX(DarlBelegt,7)=0,0,IF(INDEX(DarlOhneTilgung,7)=1,IF(INDEX(DarlBindung,7)="",1,$G2961),IF($J2961&gt;0.005,1,0)))</f>
      </c>
      <c r="J2961" s="43">
        <f>IF($I2960=0,0,$R2960)</f>
      </c>
      <c r="K2961" s="43">
        <f>IF($I2961=0,0,IF(INDEX(DarlOhneTilgung,7)=1,0,IF(AND(INDEX(DarlTilgStart,7)&gt;0,$E2961=INDEX(DarlTilgStart,7)),$J2961*($H2961+INDEX(DarlTilgung,7))/100/12,IF(AND($G2961=0,$G2960=1),MAX($K2960,$J2961*($H2961+1)/100/12),$K2960))))</f>
      </c>
      <c r="L2961" s="43">
        <f>IF($I2961=0,0,$J2961*$H2961/100/12)</f>
      </c>
      <c r="M2961" s="43">
        <f>IF($I2961=0,0,IF(OR(INDEX(DarlOhneTilgung,7)=1,AND(INDEX(DarlTilgStart,7)&gt;0,$E2961&lt;INDEX(DarlTilgStart,7))),0,MIN(MAX(0,$K2961-$L2961),$J2961)))</f>
      </c>
      <c r="N2961" s="43">
        <f>IF($I2961=0,0,MIN(SUMIFS(SondBetrag,SondDarl,7,SondDatum,"&gt;="&amp;$E2961,SondDatum,"&lt;="&amp;EOMONTH($E2961,0)),$J2961-$M2961))</f>
      </c>
      <c r="O2961" s="43">
        <f>IF($I2961=0,0,INDEX(DarlErsatzRate,7))</f>
      </c>
      <c r="P2961" s="43">
        <f>IF($I2961=0,0,$Q2960*INDEX(DarlErsatzZins,7))</f>
      </c>
      <c r="Q2961" s="43">
        <f>IF($I2961=0,0,$Q2960+$P2961+$O2961)</f>
      </c>
      <c r="R2961" s="43">
        <f>IF($I2961=0,0,$J2961-$M2961-$N2961)</f>
      </c>
    </row>
    <row r="2962">
      <c r="A2962"/>
      <c r="B2962">
        <v>7</v>
      </c>
      <c r="C2962" s="43">
        <f>INDEX(DarlObj,7)</f>
      </c>
      <c r="D2962">
        <v>79</v>
      </c>
      <c r="E2962" s="51">
        <f>IF(INDEX(DarlBelegt,7)=0,0,EOMONTH(INDEX(DarlAuszahlung,7),78)+1)</f>
      </c>
      <c r="F2962" s="43">
        <f>IF($E2962=0,0,YEAR($E2962))</f>
      </c>
      <c r="G2962" s="43">
        <f>IF(INDEX(DarlBindung,7)="",1,IF($E2962&lt;=INDEX(DarlBindung,7),1,0))</f>
      </c>
      <c r="H2962" s="43">
        <f>IF($G2962=1,INDEX(DarlSollzins,7),INDEX(DarlAnschluss,7))</f>
      </c>
      <c r="I2962" s="43">
        <f>IF(INDEX(DarlBelegt,7)=0,0,IF(INDEX(DarlOhneTilgung,7)=1,IF(INDEX(DarlBindung,7)="",1,$G2962),IF($J2962&gt;0.005,1,0)))</f>
      </c>
      <c r="J2962" s="43">
        <f>IF($I2961=0,0,$R2961)</f>
      </c>
      <c r="K2962" s="43">
        <f>IF($I2962=0,0,IF(INDEX(DarlOhneTilgung,7)=1,0,IF(AND(INDEX(DarlTilgStart,7)&gt;0,$E2962=INDEX(DarlTilgStart,7)),$J2962*($H2962+INDEX(DarlTilgung,7))/100/12,IF(AND($G2962=0,$G2961=1),MAX($K2961,$J2962*($H2962+1)/100/12),$K2961))))</f>
      </c>
      <c r="L2962" s="43">
        <f>IF($I2962=0,0,$J2962*$H2962/100/12)</f>
      </c>
      <c r="M2962" s="43">
        <f>IF($I2962=0,0,IF(OR(INDEX(DarlOhneTilgung,7)=1,AND(INDEX(DarlTilgStart,7)&gt;0,$E2962&lt;INDEX(DarlTilgStart,7))),0,MIN(MAX(0,$K2962-$L2962),$J2962)))</f>
      </c>
      <c r="N2962" s="43">
        <f>IF($I2962=0,0,MIN(SUMIFS(SondBetrag,SondDarl,7,SondDatum,"&gt;="&amp;$E2962,SondDatum,"&lt;="&amp;EOMONTH($E2962,0)),$J2962-$M2962))</f>
      </c>
      <c r="O2962" s="43">
        <f>IF($I2962=0,0,INDEX(DarlErsatzRate,7))</f>
      </c>
      <c r="P2962" s="43">
        <f>IF($I2962=0,0,$Q2961*INDEX(DarlErsatzZins,7))</f>
      </c>
      <c r="Q2962" s="43">
        <f>IF($I2962=0,0,$Q2961+$P2962+$O2962)</f>
      </c>
      <c r="R2962" s="43">
        <f>IF($I2962=0,0,$J2962-$M2962-$N2962)</f>
      </c>
    </row>
    <row r="2963">
      <c r="A2963"/>
      <c r="B2963">
        <v>7</v>
      </c>
      <c r="C2963" s="43">
        <f>INDEX(DarlObj,7)</f>
      </c>
      <c r="D2963">
        <v>80</v>
      </c>
      <c r="E2963" s="51">
        <f>IF(INDEX(DarlBelegt,7)=0,0,EOMONTH(INDEX(DarlAuszahlung,7),79)+1)</f>
      </c>
      <c r="F2963" s="43">
        <f>IF($E2963=0,0,YEAR($E2963))</f>
      </c>
      <c r="G2963" s="43">
        <f>IF(INDEX(DarlBindung,7)="",1,IF($E2963&lt;=INDEX(DarlBindung,7),1,0))</f>
      </c>
      <c r="H2963" s="43">
        <f>IF($G2963=1,INDEX(DarlSollzins,7),INDEX(DarlAnschluss,7))</f>
      </c>
      <c r="I2963" s="43">
        <f>IF(INDEX(DarlBelegt,7)=0,0,IF(INDEX(DarlOhneTilgung,7)=1,IF(INDEX(DarlBindung,7)="",1,$G2963),IF($J2963&gt;0.005,1,0)))</f>
      </c>
      <c r="J2963" s="43">
        <f>IF($I2962=0,0,$R2962)</f>
      </c>
      <c r="K2963" s="43">
        <f>IF($I2963=0,0,IF(INDEX(DarlOhneTilgung,7)=1,0,IF(AND(INDEX(DarlTilgStart,7)&gt;0,$E2963=INDEX(DarlTilgStart,7)),$J2963*($H2963+INDEX(DarlTilgung,7))/100/12,IF(AND($G2963=0,$G2962=1),MAX($K2962,$J2963*($H2963+1)/100/12),$K2962))))</f>
      </c>
      <c r="L2963" s="43">
        <f>IF($I2963=0,0,$J2963*$H2963/100/12)</f>
      </c>
      <c r="M2963" s="43">
        <f>IF($I2963=0,0,IF(OR(INDEX(DarlOhneTilgung,7)=1,AND(INDEX(DarlTilgStart,7)&gt;0,$E2963&lt;INDEX(DarlTilgStart,7))),0,MIN(MAX(0,$K2963-$L2963),$J2963)))</f>
      </c>
      <c r="N2963" s="43">
        <f>IF($I2963=0,0,MIN(SUMIFS(SondBetrag,SondDarl,7,SondDatum,"&gt;="&amp;$E2963,SondDatum,"&lt;="&amp;EOMONTH($E2963,0)),$J2963-$M2963))</f>
      </c>
      <c r="O2963" s="43">
        <f>IF($I2963=0,0,INDEX(DarlErsatzRate,7))</f>
      </c>
      <c r="P2963" s="43">
        <f>IF($I2963=0,0,$Q2962*INDEX(DarlErsatzZins,7))</f>
      </c>
      <c r="Q2963" s="43">
        <f>IF($I2963=0,0,$Q2962+$P2963+$O2963)</f>
      </c>
      <c r="R2963" s="43">
        <f>IF($I2963=0,0,$J2963-$M2963-$N2963)</f>
      </c>
    </row>
    <row r="2964">
      <c r="A2964"/>
      <c r="B2964">
        <v>7</v>
      </c>
      <c r="C2964" s="43">
        <f>INDEX(DarlObj,7)</f>
      </c>
      <c r="D2964">
        <v>81</v>
      </c>
      <c r="E2964" s="51">
        <f>IF(INDEX(DarlBelegt,7)=0,0,EOMONTH(INDEX(DarlAuszahlung,7),80)+1)</f>
      </c>
      <c r="F2964" s="43">
        <f>IF($E2964=0,0,YEAR($E2964))</f>
      </c>
      <c r="G2964" s="43">
        <f>IF(INDEX(DarlBindung,7)="",1,IF($E2964&lt;=INDEX(DarlBindung,7),1,0))</f>
      </c>
      <c r="H2964" s="43">
        <f>IF($G2964=1,INDEX(DarlSollzins,7),INDEX(DarlAnschluss,7))</f>
      </c>
      <c r="I2964" s="43">
        <f>IF(INDEX(DarlBelegt,7)=0,0,IF(INDEX(DarlOhneTilgung,7)=1,IF(INDEX(DarlBindung,7)="",1,$G2964),IF($J2964&gt;0.005,1,0)))</f>
      </c>
      <c r="J2964" s="43">
        <f>IF($I2963=0,0,$R2963)</f>
      </c>
      <c r="K2964" s="43">
        <f>IF($I2964=0,0,IF(INDEX(DarlOhneTilgung,7)=1,0,IF(AND(INDEX(DarlTilgStart,7)&gt;0,$E2964=INDEX(DarlTilgStart,7)),$J2964*($H2964+INDEX(DarlTilgung,7))/100/12,IF(AND($G2964=0,$G2963=1),MAX($K2963,$J2964*($H2964+1)/100/12),$K2963))))</f>
      </c>
      <c r="L2964" s="43">
        <f>IF($I2964=0,0,$J2964*$H2964/100/12)</f>
      </c>
      <c r="M2964" s="43">
        <f>IF($I2964=0,0,IF(OR(INDEX(DarlOhneTilgung,7)=1,AND(INDEX(DarlTilgStart,7)&gt;0,$E2964&lt;INDEX(DarlTilgStart,7))),0,MIN(MAX(0,$K2964-$L2964),$J2964)))</f>
      </c>
      <c r="N2964" s="43">
        <f>IF($I2964=0,0,MIN(SUMIFS(SondBetrag,SondDarl,7,SondDatum,"&gt;="&amp;$E2964,SondDatum,"&lt;="&amp;EOMONTH($E2964,0)),$J2964-$M2964))</f>
      </c>
      <c r="O2964" s="43">
        <f>IF($I2964=0,0,INDEX(DarlErsatzRate,7))</f>
      </c>
      <c r="P2964" s="43">
        <f>IF($I2964=0,0,$Q2963*INDEX(DarlErsatzZins,7))</f>
      </c>
      <c r="Q2964" s="43">
        <f>IF($I2964=0,0,$Q2963+$P2964+$O2964)</f>
      </c>
      <c r="R2964" s="43">
        <f>IF($I2964=0,0,$J2964-$M2964-$N2964)</f>
      </c>
    </row>
    <row r="2965">
      <c r="A2965"/>
      <c r="B2965">
        <v>7</v>
      </c>
      <c r="C2965" s="43">
        <f>INDEX(DarlObj,7)</f>
      </c>
      <c r="D2965">
        <v>82</v>
      </c>
      <c r="E2965" s="51">
        <f>IF(INDEX(DarlBelegt,7)=0,0,EOMONTH(INDEX(DarlAuszahlung,7),81)+1)</f>
      </c>
      <c r="F2965" s="43">
        <f>IF($E2965=0,0,YEAR($E2965))</f>
      </c>
      <c r="G2965" s="43">
        <f>IF(INDEX(DarlBindung,7)="",1,IF($E2965&lt;=INDEX(DarlBindung,7),1,0))</f>
      </c>
      <c r="H2965" s="43">
        <f>IF($G2965=1,INDEX(DarlSollzins,7),INDEX(DarlAnschluss,7))</f>
      </c>
      <c r="I2965" s="43">
        <f>IF(INDEX(DarlBelegt,7)=0,0,IF(INDEX(DarlOhneTilgung,7)=1,IF(INDEX(DarlBindung,7)="",1,$G2965),IF($J2965&gt;0.005,1,0)))</f>
      </c>
      <c r="J2965" s="43">
        <f>IF($I2964=0,0,$R2964)</f>
      </c>
      <c r="K2965" s="43">
        <f>IF($I2965=0,0,IF(INDEX(DarlOhneTilgung,7)=1,0,IF(AND(INDEX(DarlTilgStart,7)&gt;0,$E2965=INDEX(DarlTilgStart,7)),$J2965*($H2965+INDEX(DarlTilgung,7))/100/12,IF(AND($G2965=0,$G2964=1),MAX($K2964,$J2965*($H2965+1)/100/12),$K2964))))</f>
      </c>
      <c r="L2965" s="43">
        <f>IF($I2965=0,0,$J2965*$H2965/100/12)</f>
      </c>
      <c r="M2965" s="43">
        <f>IF($I2965=0,0,IF(OR(INDEX(DarlOhneTilgung,7)=1,AND(INDEX(DarlTilgStart,7)&gt;0,$E2965&lt;INDEX(DarlTilgStart,7))),0,MIN(MAX(0,$K2965-$L2965),$J2965)))</f>
      </c>
      <c r="N2965" s="43">
        <f>IF($I2965=0,0,MIN(SUMIFS(SondBetrag,SondDarl,7,SondDatum,"&gt;="&amp;$E2965,SondDatum,"&lt;="&amp;EOMONTH($E2965,0)),$J2965-$M2965))</f>
      </c>
      <c r="O2965" s="43">
        <f>IF($I2965=0,0,INDEX(DarlErsatzRate,7))</f>
      </c>
      <c r="P2965" s="43">
        <f>IF($I2965=0,0,$Q2964*INDEX(DarlErsatzZins,7))</f>
      </c>
      <c r="Q2965" s="43">
        <f>IF($I2965=0,0,$Q2964+$P2965+$O2965)</f>
      </c>
      <c r="R2965" s="43">
        <f>IF($I2965=0,0,$J2965-$M2965-$N2965)</f>
      </c>
    </row>
    <row r="2966">
      <c r="A2966"/>
      <c r="B2966">
        <v>7</v>
      </c>
      <c r="C2966" s="43">
        <f>INDEX(DarlObj,7)</f>
      </c>
      <c r="D2966">
        <v>83</v>
      </c>
      <c r="E2966" s="51">
        <f>IF(INDEX(DarlBelegt,7)=0,0,EOMONTH(INDEX(DarlAuszahlung,7),82)+1)</f>
      </c>
      <c r="F2966" s="43">
        <f>IF($E2966=0,0,YEAR($E2966))</f>
      </c>
      <c r="G2966" s="43">
        <f>IF(INDEX(DarlBindung,7)="",1,IF($E2966&lt;=INDEX(DarlBindung,7),1,0))</f>
      </c>
      <c r="H2966" s="43">
        <f>IF($G2966=1,INDEX(DarlSollzins,7),INDEX(DarlAnschluss,7))</f>
      </c>
      <c r="I2966" s="43">
        <f>IF(INDEX(DarlBelegt,7)=0,0,IF(INDEX(DarlOhneTilgung,7)=1,IF(INDEX(DarlBindung,7)="",1,$G2966),IF($J2966&gt;0.005,1,0)))</f>
      </c>
      <c r="J2966" s="43">
        <f>IF($I2965=0,0,$R2965)</f>
      </c>
      <c r="K2966" s="43">
        <f>IF($I2966=0,0,IF(INDEX(DarlOhneTilgung,7)=1,0,IF(AND(INDEX(DarlTilgStart,7)&gt;0,$E2966=INDEX(DarlTilgStart,7)),$J2966*($H2966+INDEX(DarlTilgung,7))/100/12,IF(AND($G2966=0,$G2965=1),MAX($K2965,$J2966*($H2966+1)/100/12),$K2965))))</f>
      </c>
      <c r="L2966" s="43">
        <f>IF($I2966=0,0,$J2966*$H2966/100/12)</f>
      </c>
      <c r="M2966" s="43">
        <f>IF($I2966=0,0,IF(OR(INDEX(DarlOhneTilgung,7)=1,AND(INDEX(DarlTilgStart,7)&gt;0,$E2966&lt;INDEX(DarlTilgStart,7))),0,MIN(MAX(0,$K2966-$L2966),$J2966)))</f>
      </c>
      <c r="N2966" s="43">
        <f>IF($I2966=0,0,MIN(SUMIFS(SondBetrag,SondDarl,7,SondDatum,"&gt;="&amp;$E2966,SondDatum,"&lt;="&amp;EOMONTH($E2966,0)),$J2966-$M2966))</f>
      </c>
      <c r="O2966" s="43">
        <f>IF($I2966=0,0,INDEX(DarlErsatzRate,7))</f>
      </c>
      <c r="P2966" s="43">
        <f>IF($I2966=0,0,$Q2965*INDEX(DarlErsatzZins,7))</f>
      </c>
      <c r="Q2966" s="43">
        <f>IF($I2966=0,0,$Q2965+$P2966+$O2966)</f>
      </c>
      <c r="R2966" s="43">
        <f>IF($I2966=0,0,$J2966-$M2966-$N2966)</f>
      </c>
    </row>
    <row r="2967">
      <c r="A2967"/>
      <c r="B2967">
        <v>7</v>
      </c>
      <c r="C2967" s="43">
        <f>INDEX(DarlObj,7)</f>
      </c>
      <c r="D2967">
        <v>84</v>
      </c>
      <c r="E2967" s="51">
        <f>IF(INDEX(DarlBelegt,7)=0,0,EOMONTH(INDEX(DarlAuszahlung,7),83)+1)</f>
      </c>
      <c r="F2967" s="43">
        <f>IF($E2967=0,0,YEAR($E2967))</f>
      </c>
      <c r="G2967" s="43">
        <f>IF(INDEX(DarlBindung,7)="",1,IF($E2967&lt;=INDEX(DarlBindung,7),1,0))</f>
      </c>
      <c r="H2967" s="43">
        <f>IF($G2967=1,INDEX(DarlSollzins,7),INDEX(DarlAnschluss,7))</f>
      </c>
      <c r="I2967" s="43">
        <f>IF(INDEX(DarlBelegt,7)=0,0,IF(INDEX(DarlOhneTilgung,7)=1,IF(INDEX(DarlBindung,7)="",1,$G2967),IF($J2967&gt;0.005,1,0)))</f>
      </c>
      <c r="J2967" s="43">
        <f>IF($I2966=0,0,$R2966)</f>
      </c>
      <c r="K2967" s="43">
        <f>IF($I2967=0,0,IF(INDEX(DarlOhneTilgung,7)=1,0,IF(AND(INDEX(DarlTilgStart,7)&gt;0,$E2967=INDEX(DarlTilgStart,7)),$J2967*($H2967+INDEX(DarlTilgung,7))/100/12,IF(AND($G2967=0,$G2966=1),MAX($K2966,$J2967*($H2967+1)/100/12),$K2966))))</f>
      </c>
      <c r="L2967" s="43">
        <f>IF($I2967=0,0,$J2967*$H2967/100/12)</f>
      </c>
      <c r="M2967" s="43">
        <f>IF($I2967=0,0,IF(OR(INDEX(DarlOhneTilgung,7)=1,AND(INDEX(DarlTilgStart,7)&gt;0,$E2967&lt;INDEX(DarlTilgStart,7))),0,MIN(MAX(0,$K2967-$L2967),$J2967)))</f>
      </c>
      <c r="N2967" s="43">
        <f>IF($I2967=0,0,MIN(SUMIFS(SondBetrag,SondDarl,7,SondDatum,"&gt;="&amp;$E2967,SondDatum,"&lt;="&amp;EOMONTH($E2967,0)),$J2967-$M2967))</f>
      </c>
      <c r="O2967" s="43">
        <f>IF($I2967=0,0,INDEX(DarlErsatzRate,7))</f>
      </c>
      <c r="P2967" s="43">
        <f>IF($I2967=0,0,$Q2966*INDEX(DarlErsatzZins,7))</f>
      </c>
      <c r="Q2967" s="43">
        <f>IF($I2967=0,0,$Q2966+$P2967+$O2967)</f>
      </c>
      <c r="R2967" s="43">
        <f>IF($I2967=0,0,$J2967-$M2967-$N2967)</f>
      </c>
    </row>
    <row r="2968">
      <c r="A2968"/>
      <c r="B2968">
        <v>7</v>
      </c>
      <c r="C2968" s="43">
        <f>INDEX(DarlObj,7)</f>
      </c>
      <c r="D2968">
        <v>85</v>
      </c>
      <c r="E2968" s="51">
        <f>IF(INDEX(DarlBelegt,7)=0,0,EOMONTH(INDEX(DarlAuszahlung,7),84)+1)</f>
      </c>
      <c r="F2968" s="43">
        <f>IF($E2968=0,0,YEAR($E2968))</f>
      </c>
      <c r="G2968" s="43">
        <f>IF(INDEX(DarlBindung,7)="",1,IF($E2968&lt;=INDEX(DarlBindung,7),1,0))</f>
      </c>
      <c r="H2968" s="43">
        <f>IF($G2968=1,INDEX(DarlSollzins,7),INDEX(DarlAnschluss,7))</f>
      </c>
      <c r="I2968" s="43">
        <f>IF(INDEX(DarlBelegt,7)=0,0,IF(INDEX(DarlOhneTilgung,7)=1,IF(INDEX(DarlBindung,7)="",1,$G2968),IF($J2968&gt;0.005,1,0)))</f>
      </c>
      <c r="J2968" s="43">
        <f>IF($I2967=0,0,$R2967)</f>
      </c>
      <c r="K2968" s="43">
        <f>IF($I2968=0,0,IF(INDEX(DarlOhneTilgung,7)=1,0,IF(AND(INDEX(DarlTilgStart,7)&gt;0,$E2968=INDEX(DarlTilgStart,7)),$J2968*($H2968+INDEX(DarlTilgung,7))/100/12,IF(AND($G2968=0,$G2967=1),MAX($K2967,$J2968*($H2968+1)/100/12),$K2967))))</f>
      </c>
      <c r="L2968" s="43">
        <f>IF($I2968=0,0,$J2968*$H2968/100/12)</f>
      </c>
      <c r="M2968" s="43">
        <f>IF($I2968=0,0,IF(OR(INDEX(DarlOhneTilgung,7)=1,AND(INDEX(DarlTilgStart,7)&gt;0,$E2968&lt;INDEX(DarlTilgStart,7))),0,MIN(MAX(0,$K2968-$L2968),$J2968)))</f>
      </c>
      <c r="N2968" s="43">
        <f>IF($I2968=0,0,MIN(SUMIFS(SondBetrag,SondDarl,7,SondDatum,"&gt;="&amp;$E2968,SondDatum,"&lt;="&amp;EOMONTH($E2968,0)),$J2968-$M2968))</f>
      </c>
      <c r="O2968" s="43">
        <f>IF($I2968=0,0,INDEX(DarlErsatzRate,7))</f>
      </c>
      <c r="P2968" s="43">
        <f>IF($I2968=0,0,$Q2967*INDEX(DarlErsatzZins,7))</f>
      </c>
      <c r="Q2968" s="43">
        <f>IF($I2968=0,0,$Q2967+$P2968+$O2968)</f>
      </c>
      <c r="R2968" s="43">
        <f>IF($I2968=0,0,$J2968-$M2968-$N2968)</f>
      </c>
    </row>
    <row r="2969">
      <c r="A2969"/>
      <c r="B2969">
        <v>7</v>
      </c>
      <c r="C2969" s="43">
        <f>INDEX(DarlObj,7)</f>
      </c>
      <c r="D2969">
        <v>86</v>
      </c>
      <c r="E2969" s="51">
        <f>IF(INDEX(DarlBelegt,7)=0,0,EOMONTH(INDEX(DarlAuszahlung,7),85)+1)</f>
      </c>
      <c r="F2969" s="43">
        <f>IF($E2969=0,0,YEAR($E2969))</f>
      </c>
      <c r="G2969" s="43">
        <f>IF(INDEX(DarlBindung,7)="",1,IF($E2969&lt;=INDEX(DarlBindung,7),1,0))</f>
      </c>
      <c r="H2969" s="43">
        <f>IF($G2969=1,INDEX(DarlSollzins,7),INDEX(DarlAnschluss,7))</f>
      </c>
      <c r="I2969" s="43">
        <f>IF(INDEX(DarlBelegt,7)=0,0,IF(INDEX(DarlOhneTilgung,7)=1,IF(INDEX(DarlBindung,7)="",1,$G2969),IF($J2969&gt;0.005,1,0)))</f>
      </c>
      <c r="J2969" s="43">
        <f>IF($I2968=0,0,$R2968)</f>
      </c>
      <c r="K2969" s="43">
        <f>IF($I2969=0,0,IF(INDEX(DarlOhneTilgung,7)=1,0,IF(AND(INDEX(DarlTilgStart,7)&gt;0,$E2969=INDEX(DarlTilgStart,7)),$J2969*($H2969+INDEX(DarlTilgung,7))/100/12,IF(AND($G2969=0,$G2968=1),MAX($K2968,$J2969*($H2969+1)/100/12),$K2968))))</f>
      </c>
      <c r="L2969" s="43">
        <f>IF($I2969=0,0,$J2969*$H2969/100/12)</f>
      </c>
      <c r="M2969" s="43">
        <f>IF($I2969=0,0,IF(OR(INDEX(DarlOhneTilgung,7)=1,AND(INDEX(DarlTilgStart,7)&gt;0,$E2969&lt;INDEX(DarlTilgStart,7))),0,MIN(MAX(0,$K2969-$L2969),$J2969)))</f>
      </c>
      <c r="N2969" s="43">
        <f>IF($I2969=0,0,MIN(SUMIFS(SondBetrag,SondDarl,7,SondDatum,"&gt;="&amp;$E2969,SondDatum,"&lt;="&amp;EOMONTH($E2969,0)),$J2969-$M2969))</f>
      </c>
      <c r="O2969" s="43">
        <f>IF($I2969=0,0,INDEX(DarlErsatzRate,7))</f>
      </c>
      <c r="P2969" s="43">
        <f>IF($I2969=0,0,$Q2968*INDEX(DarlErsatzZins,7))</f>
      </c>
      <c r="Q2969" s="43">
        <f>IF($I2969=0,0,$Q2968+$P2969+$O2969)</f>
      </c>
      <c r="R2969" s="43">
        <f>IF($I2969=0,0,$J2969-$M2969-$N2969)</f>
      </c>
    </row>
    <row r="2970">
      <c r="A2970"/>
      <c r="B2970">
        <v>7</v>
      </c>
      <c r="C2970" s="43">
        <f>INDEX(DarlObj,7)</f>
      </c>
      <c r="D2970">
        <v>87</v>
      </c>
      <c r="E2970" s="51">
        <f>IF(INDEX(DarlBelegt,7)=0,0,EOMONTH(INDEX(DarlAuszahlung,7),86)+1)</f>
      </c>
      <c r="F2970" s="43">
        <f>IF($E2970=0,0,YEAR($E2970))</f>
      </c>
      <c r="G2970" s="43">
        <f>IF(INDEX(DarlBindung,7)="",1,IF($E2970&lt;=INDEX(DarlBindung,7),1,0))</f>
      </c>
      <c r="H2970" s="43">
        <f>IF($G2970=1,INDEX(DarlSollzins,7),INDEX(DarlAnschluss,7))</f>
      </c>
      <c r="I2970" s="43">
        <f>IF(INDEX(DarlBelegt,7)=0,0,IF(INDEX(DarlOhneTilgung,7)=1,IF(INDEX(DarlBindung,7)="",1,$G2970),IF($J2970&gt;0.005,1,0)))</f>
      </c>
      <c r="J2970" s="43">
        <f>IF($I2969=0,0,$R2969)</f>
      </c>
      <c r="K2970" s="43">
        <f>IF($I2970=0,0,IF(INDEX(DarlOhneTilgung,7)=1,0,IF(AND(INDEX(DarlTilgStart,7)&gt;0,$E2970=INDEX(DarlTilgStart,7)),$J2970*($H2970+INDEX(DarlTilgung,7))/100/12,IF(AND($G2970=0,$G2969=1),MAX($K2969,$J2970*($H2970+1)/100/12),$K2969))))</f>
      </c>
      <c r="L2970" s="43">
        <f>IF($I2970=0,0,$J2970*$H2970/100/12)</f>
      </c>
      <c r="M2970" s="43">
        <f>IF($I2970=0,0,IF(OR(INDEX(DarlOhneTilgung,7)=1,AND(INDEX(DarlTilgStart,7)&gt;0,$E2970&lt;INDEX(DarlTilgStart,7))),0,MIN(MAX(0,$K2970-$L2970),$J2970)))</f>
      </c>
      <c r="N2970" s="43">
        <f>IF($I2970=0,0,MIN(SUMIFS(SondBetrag,SondDarl,7,SondDatum,"&gt;="&amp;$E2970,SondDatum,"&lt;="&amp;EOMONTH($E2970,0)),$J2970-$M2970))</f>
      </c>
      <c r="O2970" s="43">
        <f>IF($I2970=0,0,INDEX(DarlErsatzRate,7))</f>
      </c>
      <c r="P2970" s="43">
        <f>IF($I2970=0,0,$Q2969*INDEX(DarlErsatzZins,7))</f>
      </c>
      <c r="Q2970" s="43">
        <f>IF($I2970=0,0,$Q2969+$P2970+$O2970)</f>
      </c>
      <c r="R2970" s="43">
        <f>IF($I2970=0,0,$J2970-$M2970-$N2970)</f>
      </c>
    </row>
    <row r="2971">
      <c r="A2971"/>
      <c r="B2971">
        <v>7</v>
      </c>
      <c r="C2971" s="43">
        <f>INDEX(DarlObj,7)</f>
      </c>
      <c r="D2971">
        <v>88</v>
      </c>
      <c r="E2971" s="51">
        <f>IF(INDEX(DarlBelegt,7)=0,0,EOMONTH(INDEX(DarlAuszahlung,7),87)+1)</f>
      </c>
      <c r="F2971" s="43">
        <f>IF($E2971=0,0,YEAR($E2971))</f>
      </c>
      <c r="G2971" s="43">
        <f>IF(INDEX(DarlBindung,7)="",1,IF($E2971&lt;=INDEX(DarlBindung,7),1,0))</f>
      </c>
      <c r="H2971" s="43">
        <f>IF($G2971=1,INDEX(DarlSollzins,7),INDEX(DarlAnschluss,7))</f>
      </c>
      <c r="I2971" s="43">
        <f>IF(INDEX(DarlBelegt,7)=0,0,IF(INDEX(DarlOhneTilgung,7)=1,IF(INDEX(DarlBindung,7)="",1,$G2971),IF($J2971&gt;0.005,1,0)))</f>
      </c>
      <c r="J2971" s="43">
        <f>IF($I2970=0,0,$R2970)</f>
      </c>
      <c r="K2971" s="43">
        <f>IF($I2971=0,0,IF(INDEX(DarlOhneTilgung,7)=1,0,IF(AND(INDEX(DarlTilgStart,7)&gt;0,$E2971=INDEX(DarlTilgStart,7)),$J2971*($H2971+INDEX(DarlTilgung,7))/100/12,IF(AND($G2971=0,$G2970=1),MAX($K2970,$J2971*($H2971+1)/100/12),$K2970))))</f>
      </c>
      <c r="L2971" s="43">
        <f>IF($I2971=0,0,$J2971*$H2971/100/12)</f>
      </c>
      <c r="M2971" s="43">
        <f>IF($I2971=0,0,IF(OR(INDEX(DarlOhneTilgung,7)=1,AND(INDEX(DarlTilgStart,7)&gt;0,$E2971&lt;INDEX(DarlTilgStart,7))),0,MIN(MAX(0,$K2971-$L2971),$J2971)))</f>
      </c>
      <c r="N2971" s="43">
        <f>IF($I2971=0,0,MIN(SUMIFS(SondBetrag,SondDarl,7,SondDatum,"&gt;="&amp;$E2971,SondDatum,"&lt;="&amp;EOMONTH($E2971,0)),$J2971-$M2971))</f>
      </c>
      <c r="O2971" s="43">
        <f>IF($I2971=0,0,INDEX(DarlErsatzRate,7))</f>
      </c>
      <c r="P2971" s="43">
        <f>IF($I2971=0,0,$Q2970*INDEX(DarlErsatzZins,7))</f>
      </c>
      <c r="Q2971" s="43">
        <f>IF($I2971=0,0,$Q2970+$P2971+$O2971)</f>
      </c>
      <c r="R2971" s="43">
        <f>IF($I2971=0,0,$J2971-$M2971-$N2971)</f>
      </c>
    </row>
    <row r="2972">
      <c r="A2972"/>
      <c r="B2972">
        <v>7</v>
      </c>
      <c r="C2972" s="43">
        <f>INDEX(DarlObj,7)</f>
      </c>
      <c r="D2972">
        <v>89</v>
      </c>
      <c r="E2972" s="51">
        <f>IF(INDEX(DarlBelegt,7)=0,0,EOMONTH(INDEX(DarlAuszahlung,7),88)+1)</f>
      </c>
      <c r="F2972" s="43">
        <f>IF($E2972=0,0,YEAR($E2972))</f>
      </c>
      <c r="G2972" s="43">
        <f>IF(INDEX(DarlBindung,7)="",1,IF($E2972&lt;=INDEX(DarlBindung,7),1,0))</f>
      </c>
      <c r="H2972" s="43">
        <f>IF($G2972=1,INDEX(DarlSollzins,7),INDEX(DarlAnschluss,7))</f>
      </c>
      <c r="I2972" s="43">
        <f>IF(INDEX(DarlBelegt,7)=0,0,IF(INDEX(DarlOhneTilgung,7)=1,IF(INDEX(DarlBindung,7)="",1,$G2972),IF($J2972&gt;0.005,1,0)))</f>
      </c>
      <c r="J2972" s="43">
        <f>IF($I2971=0,0,$R2971)</f>
      </c>
      <c r="K2972" s="43">
        <f>IF($I2972=0,0,IF(INDEX(DarlOhneTilgung,7)=1,0,IF(AND(INDEX(DarlTilgStart,7)&gt;0,$E2972=INDEX(DarlTilgStart,7)),$J2972*($H2972+INDEX(DarlTilgung,7))/100/12,IF(AND($G2972=0,$G2971=1),MAX($K2971,$J2972*($H2972+1)/100/12),$K2971))))</f>
      </c>
      <c r="L2972" s="43">
        <f>IF($I2972=0,0,$J2972*$H2972/100/12)</f>
      </c>
      <c r="M2972" s="43">
        <f>IF($I2972=0,0,IF(OR(INDEX(DarlOhneTilgung,7)=1,AND(INDEX(DarlTilgStart,7)&gt;0,$E2972&lt;INDEX(DarlTilgStart,7))),0,MIN(MAX(0,$K2972-$L2972),$J2972)))</f>
      </c>
      <c r="N2972" s="43">
        <f>IF($I2972=0,0,MIN(SUMIFS(SondBetrag,SondDarl,7,SondDatum,"&gt;="&amp;$E2972,SondDatum,"&lt;="&amp;EOMONTH($E2972,0)),$J2972-$M2972))</f>
      </c>
      <c r="O2972" s="43">
        <f>IF($I2972=0,0,INDEX(DarlErsatzRate,7))</f>
      </c>
      <c r="P2972" s="43">
        <f>IF($I2972=0,0,$Q2971*INDEX(DarlErsatzZins,7))</f>
      </c>
      <c r="Q2972" s="43">
        <f>IF($I2972=0,0,$Q2971+$P2972+$O2972)</f>
      </c>
      <c r="R2972" s="43">
        <f>IF($I2972=0,0,$J2972-$M2972-$N2972)</f>
      </c>
    </row>
    <row r="2973">
      <c r="A2973"/>
      <c r="B2973">
        <v>7</v>
      </c>
      <c r="C2973" s="43">
        <f>INDEX(DarlObj,7)</f>
      </c>
      <c r="D2973">
        <v>90</v>
      </c>
      <c r="E2973" s="51">
        <f>IF(INDEX(DarlBelegt,7)=0,0,EOMONTH(INDEX(DarlAuszahlung,7),89)+1)</f>
      </c>
      <c r="F2973" s="43">
        <f>IF($E2973=0,0,YEAR($E2973))</f>
      </c>
      <c r="G2973" s="43">
        <f>IF(INDEX(DarlBindung,7)="",1,IF($E2973&lt;=INDEX(DarlBindung,7),1,0))</f>
      </c>
      <c r="H2973" s="43">
        <f>IF($G2973=1,INDEX(DarlSollzins,7),INDEX(DarlAnschluss,7))</f>
      </c>
      <c r="I2973" s="43">
        <f>IF(INDEX(DarlBelegt,7)=0,0,IF(INDEX(DarlOhneTilgung,7)=1,IF(INDEX(DarlBindung,7)="",1,$G2973),IF($J2973&gt;0.005,1,0)))</f>
      </c>
      <c r="J2973" s="43">
        <f>IF($I2972=0,0,$R2972)</f>
      </c>
      <c r="K2973" s="43">
        <f>IF($I2973=0,0,IF(INDEX(DarlOhneTilgung,7)=1,0,IF(AND(INDEX(DarlTilgStart,7)&gt;0,$E2973=INDEX(DarlTilgStart,7)),$J2973*($H2973+INDEX(DarlTilgung,7))/100/12,IF(AND($G2973=0,$G2972=1),MAX($K2972,$J2973*($H2973+1)/100/12),$K2972))))</f>
      </c>
      <c r="L2973" s="43">
        <f>IF($I2973=0,0,$J2973*$H2973/100/12)</f>
      </c>
      <c r="M2973" s="43">
        <f>IF($I2973=0,0,IF(OR(INDEX(DarlOhneTilgung,7)=1,AND(INDEX(DarlTilgStart,7)&gt;0,$E2973&lt;INDEX(DarlTilgStart,7))),0,MIN(MAX(0,$K2973-$L2973),$J2973)))</f>
      </c>
      <c r="N2973" s="43">
        <f>IF($I2973=0,0,MIN(SUMIFS(SondBetrag,SondDarl,7,SondDatum,"&gt;="&amp;$E2973,SondDatum,"&lt;="&amp;EOMONTH($E2973,0)),$J2973-$M2973))</f>
      </c>
      <c r="O2973" s="43">
        <f>IF($I2973=0,0,INDEX(DarlErsatzRate,7))</f>
      </c>
      <c r="P2973" s="43">
        <f>IF($I2973=0,0,$Q2972*INDEX(DarlErsatzZins,7))</f>
      </c>
      <c r="Q2973" s="43">
        <f>IF($I2973=0,0,$Q2972+$P2973+$O2973)</f>
      </c>
      <c r="R2973" s="43">
        <f>IF($I2973=0,0,$J2973-$M2973-$N2973)</f>
      </c>
    </row>
    <row r="2974">
      <c r="A2974"/>
      <c r="B2974">
        <v>7</v>
      </c>
      <c r="C2974" s="43">
        <f>INDEX(DarlObj,7)</f>
      </c>
      <c r="D2974">
        <v>91</v>
      </c>
      <c r="E2974" s="51">
        <f>IF(INDEX(DarlBelegt,7)=0,0,EOMONTH(INDEX(DarlAuszahlung,7),90)+1)</f>
      </c>
      <c r="F2974" s="43">
        <f>IF($E2974=0,0,YEAR($E2974))</f>
      </c>
      <c r="G2974" s="43">
        <f>IF(INDEX(DarlBindung,7)="",1,IF($E2974&lt;=INDEX(DarlBindung,7),1,0))</f>
      </c>
      <c r="H2974" s="43">
        <f>IF($G2974=1,INDEX(DarlSollzins,7),INDEX(DarlAnschluss,7))</f>
      </c>
      <c r="I2974" s="43">
        <f>IF(INDEX(DarlBelegt,7)=0,0,IF(INDEX(DarlOhneTilgung,7)=1,IF(INDEX(DarlBindung,7)="",1,$G2974),IF($J2974&gt;0.005,1,0)))</f>
      </c>
      <c r="J2974" s="43">
        <f>IF($I2973=0,0,$R2973)</f>
      </c>
      <c r="K2974" s="43">
        <f>IF($I2974=0,0,IF(INDEX(DarlOhneTilgung,7)=1,0,IF(AND(INDEX(DarlTilgStart,7)&gt;0,$E2974=INDEX(DarlTilgStart,7)),$J2974*($H2974+INDEX(DarlTilgung,7))/100/12,IF(AND($G2974=0,$G2973=1),MAX($K2973,$J2974*($H2974+1)/100/12),$K2973))))</f>
      </c>
      <c r="L2974" s="43">
        <f>IF($I2974=0,0,$J2974*$H2974/100/12)</f>
      </c>
      <c r="M2974" s="43">
        <f>IF($I2974=0,0,IF(OR(INDEX(DarlOhneTilgung,7)=1,AND(INDEX(DarlTilgStart,7)&gt;0,$E2974&lt;INDEX(DarlTilgStart,7))),0,MIN(MAX(0,$K2974-$L2974),$J2974)))</f>
      </c>
      <c r="N2974" s="43">
        <f>IF($I2974=0,0,MIN(SUMIFS(SondBetrag,SondDarl,7,SondDatum,"&gt;="&amp;$E2974,SondDatum,"&lt;="&amp;EOMONTH($E2974,0)),$J2974-$M2974))</f>
      </c>
      <c r="O2974" s="43">
        <f>IF($I2974=0,0,INDEX(DarlErsatzRate,7))</f>
      </c>
      <c r="P2974" s="43">
        <f>IF($I2974=0,0,$Q2973*INDEX(DarlErsatzZins,7))</f>
      </c>
      <c r="Q2974" s="43">
        <f>IF($I2974=0,0,$Q2973+$P2974+$O2974)</f>
      </c>
      <c r="R2974" s="43">
        <f>IF($I2974=0,0,$J2974-$M2974-$N2974)</f>
      </c>
    </row>
    <row r="2975">
      <c r="A2975"/>
      <c r="B2975">
        <v>7</v>
      </c>
      <c r="C2975" s="43">
        <f>INDEX(DarlObj,7)</f>
      </c>
      <c r="D2975">
        <v>92</v>
      </c>
      <c r="E2975" s="51">
        <f>IF(INDEX(DarlBelegt,7)=0,0,EOMONTH(INDEX(DarlAuszahlung,7),91)+1)</f>
      </c>
      <c r="F2975" s="43">
        <f>IF($E2975=0,0,YEAR($E2975))</f>
      </c>
      <c r="G2975" s="43">
        <f>IF(INDEX(DarlBindung,7)="",1,IF($E2975&lt;=INDEX(DarlBindung,7),1,0))</f>
      </c>
      <c r="H2975" s="43">
        <f>IF($G2975=1,INDEX(DarlSollzins,7),INDEX(DarlAnschluss,7))</f>
      </c>
      <c r="I2975" s="43">
        <f>IF(INDEX(DarlBelegt,7)=0,0,IF(INDEX(DarlOhneTilgung,7)=1,IF(INDEX(DarlBindung,7)="",1,$G2975),IF($J2975&gt;0.005,1,0)))</f>
      </c>
      <c r="J2975" s="43">
        <f>IF($I2974=0,0,$R2974)</f>
      </c>
      <c r="K2975" s="43">
        <f>IF($I2975=0,0,IF(INDEX(DarlOhneTilgung,7)=1,0,IF(AND(INDEX(DarlTilgStart,7)&gt;0,$E2975=INDEX(DarlTilgStart,7)),$J2975*($H2975+INDEX(DarlTilgung,7))/100/12,IF(AND($G2975=0,$G2974=1),MAX($K2974,$J2975*($H2975+1)/100/12),$K2974))))</f>
      </c>
      <c r="L2975" s="43">
        <f>IF($I2975=0,0,$J2975*$H2975/100/12)</f>
      </c>
      <c r="M2975" s="43">
        <f>IF($I2975=0,0,IF(OR(INDEX(DarlOhneTilgung,7)=1,AND(INDEX(DarlTilgStart,7)&gt;0,$E2975&lt;INDEX(DarlTilgStart,7))),0,MIN(MAX(0,$K2975-$L2975),$J2975)))</f>
      </c>
      <c r="N2975" s="43">
        <f>IF($I2975=0,0,MIN(SUMIFS(SondBetrag,SondDarl,7,SondDatum,"&gt;="&amp;$E2975,SondDatum,"&lt;="&amp;EOMONTH($E2975,0)),$J2975-$M2975))</f>
      </c>
      <c r="O2975" s="43">
        <f>IF($I2975=0,0,INDEX(DarlErsatzRate,7))</f>
      </c>
      <c r="P2975" s="43">
        <f>IF($I2975=0,0,$Q2974*INDEX(DarlErsatzZins,7))</f>
      </c>
      <c r="Q2975" s="43">
        <f>IF($I2975=0,0,$Q2974+$P2975+$O2975)</f>
      </c>
      <c r="R2975" s="43">
        <f>IF($I2975=0,0,$J2975-$M2975-$N2975)</f>
      </c>
    </row>
    <row r="2976">
      <c r="A2976"/>
      <c r="B2976">
        <v>7</v>
      </c>
      <c r="C2976" s="43">
        <f>INDEX(DarlObj,7)</f>
      </c>
      <c r="D2976">
        <v>93</v>
      </c>
      <c r="E2976" s="51">
        <f>IF(INDEX(DarlBelegt,7)=0,0,EOMONTH(INDEX(DarlAuszahlung,7),92)+1)</f>
      </c>
      <c r="F2976" s="43">
        <f>IF($E2976=0,0,YEAR($E2976))</f>
      </c>
      <c r="G2976" s="43">
        <f>IF(INDEX(DarlBindung,7)="",1,IF($E2976&lt;=INDEX(DarlBindung,7),1,0))</f>
      </c>
      <c r="H2976" s="43">
        <f>IF($G2976=1,INDEX(DarlSollzins,7),INDEX(DarlAnschluss,7))</f>
      </c>
      <c r="I2976" s="43">
        <f>IF(INDEX(DarlBelegt,7)=0,0,IF(INDEX(DarlOhneTilgung,7)=1,IF(INDEX(DarlBindung,7)="",1,$G2976),IF($J2976&gt;0.005,1,0)))</f>
      </c>
      <c r="J2976" s="43">
        <f>IF($I2975=0,0,$R2975)</f>
      </c>
      <c r="K2976" s="43">
        <f>IF($I2976=0,0,IF(INDEX(DarlOhneTilgung,7)=1,0,IF(AND(INDEX(DarlTilgStart,7)&gt;0,$E2976=INDEX(DarlTilgStart,7)),$J2976*($H2976+INDEX(DarlTilgung,7))/100/12,IF(AND($G2976=0,$G2975=1),MAX($K2975,$J2976*($H2976+1)/100/12),$K2975))))</f>
      </c>
      <c r="L2976" s="43">
        <f>IF($I2976=0,0,$J2976*$H2976/100/12)</f>
      </c>
      <c r="M2976" s="43">
        <f>IF($I2976=0,0,IF(OR(INDEX(DarlOhneTilgung,7)=1,AND(INDEX(DarlTilgStart,7)&gt;0,$E2976&lt;INDEX(DarlTilgStart,7))),0,MIN(MAX(0,$K2976-$L2976),$J2976)))</f>
      </c>
      <c r="N2976" s="43">
        <f>IF($I2976=0,0,MIN(SUMIFS(SondBetrag,SondDarl,7,SondDatum,"&gt;="&amp;$E2976,SondDatum,"&lt;="&amp;EOMONTH($E2976,0)),$J2976-$M2976))</f>
      </c>
      <c r="O2976" s="43">
        <f>IF($I2976=0,0,INDEX(DarlErsatzRate,7))</f>
      </c>
      <c r="P2976" s="43">
        <f>IF($I2976=0,0,$Q2975*INDEX(DarlErsatzZins,7))</f>
      </c>
      <c r="Q2976" s="43">
        <f>IF($I2976=0,0,$Q2975+$P2976+$O2976)</f>
      </c>
      <c r="R2976" s="43">
        <f>IF($I2976=0,0,$J2976-$M2976-$N2976)</f>
      </c>
    </row>
    <row r="2977">
      <c r="A2977"/>
      <c r="B2977">
        <v>7</v>
      </c>
      <c r="C2977" s="43">
        <f>INDEX(DarlObj,7)</f>
      </c>
      <c r="D2977">
        <v>94</v>
      </c>
      <c r="E2977" s="51">
        <f>IF(INDEX(DarlBelegt,7)=0,0,EOMONTH(INDEX(DarlAuszahlung,7),93)+1)</f>
      </c>
      <c r="F2977" s="43">
        <f>IF($E2977=0,0,YEAR($E2977))</f>
      </c>
      <c r="G2977" s="43">
        <f>IF(INDEX(DarlBindung,7)="",1,IF($E2977&lt;=INDEX(DarlBindung,7),1,0))</f>
      </c>
      <c r="H2977" s="43">
        <f>IF($G2977=1,INDEX(DarlSollzins,7),INDEX(DarlAnschluss,7))</f>
      </c>
      <c r="I2977" s="43">
        <f>IF(INDEX(DarlBelegt,7)=0,0,IF(INDEX(DarlOhneTilgung,7)=1,IF(INDEX(DarlBindung,7)="",1,$G2977),IF($J2977&gt;0.005,1,0)))</f>
      </c>
      <c r="J2977" s="43">
        <f>IF($I2976=0,0,$R2976)</f>
      </c>
      <c r="K2977" s="43">
        <f>IF($I2977=0,0,IF(INDEX(DarlOhneTilgung,7)=1,0,IF(AND(INDEX(DarlTilgStart,7)&gt;0,$E2977=INDEX(DarlTilgStart,7)),$J2977*($H2977+INDEX(DarlTilgung,7))/100/12,IF(AND($G2977=0,$G2976=1),MAX($K2976,$J2977*($H2977+1)/100/12),$K2976))))</f>
      </c>
      <c r="L2977" s="43">
        <f>IF($I2977=0,0,$J2977*$H2977/100/12)</f>
      </c>
      <c r="M2977" s="43">
        <f>IF($I2977=0,0,IF(OR(INDEX(DarlOhneTilgung,7)=1,AND(INDEX(DarlTilgStart,7)&gt;0,$E2977&lt;INDEX(DarlTilgStart,7))),0,MIN(MAX(0,$K2977-$L2977),$J2977)))</f>
      </c>
      <c r="N2977" s="43">
        <f>IF($I2977=0,0,MIN(SUMIFS(SondBetrag,SondDarl,7,SondDatum,"&gt;="&amp;$E2977,SondDatum,"&lt;="&amp;EOMONTH($E2977,0)),$J2977-$M2977))</f>
      </c>
      <c r="O2977" s="43">
        <f>IF($I2977=0,0,INDEX(DarlErsatzRate,7))</f>
      </c>
      <c r="P2977" s="43">
        <f>IF($I2977=0,0,$Q2976*INDEX(DarlErsatzZins,7))</f>
      </c>
      <c r="Q2977" s="43">
        <f>IF($I2977=0,0,$Q2976+$P2977+$O2977)</f>
      </c>
      <c r="R2977" s="43">
        <f>IF($I2977=0,0,$J2977-$M2977-$N2977)</f>
      </c>
    </row>
    <row r="2978">
      <c r="A2978"/>
      <c r="B2978">
        <v>7</v>
      </c>
      <c r="C2978" s="43">
        <f>INDEX(DarlObj,7)</f>
      </c>
      <c r="D2978">
        <v>95</v>
      </c>
      <c r="E2978" s="51">
        <f>IF(INDEX(DarlBelegt,7)=0,0,EOMONTH(INDEX(DarlAuszahlung,7),94)+1)</f>
      </c>
      <c r="F2978" s="43">
        <f>IF($E2978=0,0,YEAR($E2978))</f>
      </c>
      <c r="G2978" s="43">
        <f>IF(INDEX(DarlBindung,7)="",1,IF($E2978&lt;=INDEX(DarlBindung,7),1,0))</f>
      </c>
      <c r="H2978" s="43">
        <f>IF($G2978=1,INDEX(DarlSollzins,7),INDEX(DarlAnschluss,7))</f>
      </c>
      <c r="I2978" s="43">
        <f>IF(INDEX(DarlBelegt,7)=0,0,IF(INDEX(DarlOhneTilgung,7)=1,IF(INDEX(DarlBindung,7)="",1,$G2978),IF($J2978&gt;0.005,1,0)))</f>
      </c>
      <c r="J2978" s="43">
        <f>IF($I2977=0,0,$R2977)</f>
      </c>
      <c r="K2978" s="43">
        <f>IF($I2978=0,0,IF(INDEX(DarlOhneTilgung,7)=1,0,IF(AND(INDEX(DarlTilgStart,7)&gt;0,$E2978=INDEX(DarlTilgStart,7)),$J2978*($H2978+INDEX(DarlTilgung,7))/100/12,IF(AND($G2978=0,$G2977=1),MAX($K2977,$J2978*($H2978+1)/100/12),$K2977))))</f>
      </c>
      <c r="L2978" s="43">
        <f>IF($I2978=0,0,$J2978*$H2978/100/12)</f>
      </c>
      <c r="M2978" s="43">
        <f>IF($I2978=0,0,IF(OR(INDEX(DarlOhneTilgung,7)=1,AND(INDEX(DarlTilgStart,7)&gt;0,$E2978&lt;INDEX(DarlTilgStart,7))),0,MIN(MAX(0,$K2978-$L2978),$J2978)))</f>
      </c>
      <c r="N2978" s="43">
        <f>IF($I2978=0,0,MIN(SUMIFS(SondBetrag,SondDarl,7,SondDatum,"&gt;="&amp;$E2978,SondDatum,"&lt;="&amp;EOMONTH($E2978,0)),$J2978-$M2978))</f>
      </c>
      <c r="O2978" s="43">
        <f>IF($I2978=0,0,INDEX(DarlErsatzRate,7))</f>
      </c>
      <c r="P2978" s="43">
        <f>IF($I2978=0,0,$Q2977*INDEX(DarlErsatzZins,7))</f>
      </c>
      <c r="Q2978" s="43">
        <f>IF($I2978=0,0,$Q2977+$P2978+$O2978)</f>
      </c>
      <c r="R2978" s="43">
        <f>IF($I2978=0,0,$J2978-$M2978-$N2978)</f>
      </c>
    </row>
    <row r="2979">
      <c r="A2979"/>
      <c r="B2979">
        <v>7</v>
      </c>
      <c r="C2979" s="43">
        <f>INDEX(DarlObj,7)</f>
      </c>
      <c r="D2979">
        <v>96</v>
      </c>
      <c r="E2979" s="51">
        <f>IF(INDEX(DarlBelegt,7)=0,0,EOMONTH(INDEX(DarlAuszahlung,7),95)+1)</f>
      </c>
      <c r="F2979" s="43">
        <f>IF($E2979=0,0,YEAR($E2979))</f>
      </c>
      <c r="G2979" s="43">
        <f>IF(INDEX(DarlBindung,7)="",1,IF($E2979&lt;=INDEX(DarlBindung,7),1,0))</f>
      </c>
      <c r="H2979" s="43">
        <f>IF($G2979=1,INDEX(DarlSollzins,7),INDEX(DarlAnschluss,7))</f>
      </c>
      <c r="I2979" s="43">
        <f>IF(INDEX(DarlBelegt,7)=0,0,IF(INDEX(DarlOhneTilgung,7)=1,IF(INDEX(DarlBindung,7)="",1,$G2979),IF($J2979&gt;0.005,1,0)))</f>
      </c>
      <c r="J2979" s="43">
        <f>IF($I2978=0,0,$R2978)</f>
      </c>
      <c r="K2979" s="43">
        <f>IF($I2979=0,0,IF(INDEX(DarlOhneTilgung,7)=1,0,IF(AND(INDEX(DarlTilgStart,7)&gt;0,$E2979=INDEX(DarlTilgStart,7)),$J2979*($H2979+INDEX(DarlTilgung,7))/100/12,IF(AND($G2979=0,$G2978=1),MAX($K2978,$J2979*($H2979+1)/100/12),$K2978))))</f>
      </c>
      <c r="L2979" s="43">
        <f>IF($I2979=0,0,$J2979*$H2979/100/12)</f>
      </c>
      <c r="M2979" s="43">
        <f>IF($I2979=0,0,IF(OR(INDEX(DarlOhneTilgung,7)=1,AND(INDEX(DarlTilgStart,7)&gt;0,$E2979&lt;INDEX(DarlTilgStart,7))),0,MIN(MAX(0,$K2979-$L2979),$J2979)))</f>
      </c>
      <c r="N2979" s="43">
        <f>IF($I2979=0,0,MIN(SUMIFS(SondBetrag,SondDarl,7,SondDatum,"&gt;="&amp;$E2979,SondDatum,"&lt;="&amp;EOMONTH($E2979,0)),$J2979-$M2979))</f>
      </c>
      <c r="O2979" s="43">
        <f>IF($I2979=0,0,INDEX(DarlErsatzRate,7))</f>
      </c>
      <c r="P2979" s="43">
        <f>IF($I2979=0,0,$Q2978*INDEX(DarlErsatzZins,7))</f>
      </c>
      <c r="Q2979" s="43">
        <f>IF($I2979=0,0,$Q2978+$P2979+$O2979)</f>
      </c>
      <c r="R2979" s="43">
        <f>IF($I2979=0,0,$J2979-$M2979-$N2979)</f>
      </c>
    </row>
    <row r="2980">
      <c r="A2980"/>
      <c r="B2980">
        <v>7</v>
      </c>
      <c r="C2980" s="43">
        <f>INDEX(DarlObj,7)</f>
      </c>
      <c r="D2980">
        <v>97</v>
      </c>
      <c r="E2980" s="51">
        <f>IF(INDEX(DarlBelegt,7)=0,0,EOMONTH(INDEX(DarlAuszahlung,7),96)+1)</f>
      </c>
      <c r="F2980" s="43">
        <f>IF($E2980=0,0,YEAR($E2980))</f>
      </c>
      <c r="G2980" s="43">
        <f>IF(INDEX(DarlBindung,7)="",1,IF($E2980&lt;=INDEX(DarlBindung,7),1,0))</f>
      </c>
      <c r="H2980" s="43">
        <f>IF($G2980=1,INDEX(DarlSollzins,7),INDEX(DarlAnschluss,7))</f>
      </c>
      <c r="I2980" s="43">
        <f>IF(INDEX(DarlBelegt,7)=0,0,IF(INDEX(DarlOhneTilgung,7)=1,IF(INDEX(DarlBindung,7)="",1,$G2980),IF($J2980&gt;0.005,1,0)))</f>
      </c>
      <c r="J2980" s="43">
        <f>IF($I2979=0,0,$R2979)</f>
      </c>
      <c r="K2980" s="43">
        <f>IF($I2980=0,0,IF(INDEX(DarlOhneTilgung,7)=1,0,IF(AND(INDEX(DarlTilgStart,7)&gt;0,$E2980=INDEX(DarlTilgStart,7)),$J2980*($H2980+INDEX(DarlTilgung,7))/100/12,IF(AND($G2980=0,$G2979=1),MAX($K2979,$J2980*($H2980+1)/100/12),$K2979))))</f>
      </c>
      <c r="L2980" s="43">
        <f>IF($I2980=0,0,$J2980*$H2980/100/12)</f>
      </c>
      <c r="M2980" s="43">
        <f>IF($I2980=0,0,IF(OR(INDEX(DarlOhneTilgung,7)=1,AND(INDEX(DarlTilgStart,7)&gt;0,$E2980&lt;INDEX(DarlTilgStart,7))),0,MIN(MAX(0,$K2980-$L2980),$J2980)))</f>
      </c>
      <c r="N2980" s="43">
        <f>IF($I2980=0,0,MIN(SUMIFS(SondBetrag,SondDarl,7,SondDatum,"&gt;="&amp;$E2980,SondDatum,"&lt;="&amp;EOMONTH($E2980,0)),$J2980-$M2980))</f>
      </c>
      <c r="O2980" s="43">
        <f>IF($I2980=0,0,INDEX(DarlErsatzRate,7))</f>
      </c>
      <c r="P2980" s="43">
        <f>IF($I2980=0,0,$Q2979*INDEX(DarlErsatzZins,7))</f>
      </c>
      <c r="Q2980" s="43">
        <f>IF($I2980=0,0,$Q2979+$P2980+$O2980)</f>
      </c>
      <c r="R2980" s="43">
        <f>IF($I2980=0,0,$J2980-$M2980-$N2980)</f>
      </c>
    </row>
    <row r="2981">
      <c r="A2981"/>
      <c r="B2981">
        <v>7</v>
      </c>
      <c r="C2981" s="43">
        <f>INDEX(DarlObj,7)</f>
      </c>
      <c r="D2981">
        <v>98</v>
      </c>
      <c r="E2981" s="51">
        <f>IF(INDEX(DarlBelegt,7)=0,0,EOMONTH(INDEX(DarlAuszahlung,7),97)+1)</f>
      </c>
      <c r="F2981" s="43">
        <f>IF($E2981=0,0,YEAR($E2981))</f>
      </c>
      <c r="G2981" s="43">
        <f>IF(INDEX(DarlBindung,7)="",1,IF($E2981&lt;=INDEX(DarlBindung,7),1,0))</f>
      </c>
      <c r="H2981" s="43">
        <f>IF($G2981=1,INDEX(DarlSollzins,7),INDEX(DarlAnschluss,7))</f>
      </c>
      <c r="I2981" s="43">
        <f>IF(INDEX(DarlBelegt,7)=0,0,IF(INDEX(DarlOhneTilgung,7)=1,IF(INDEX(DarlBindung,7)="",1,$G2981),IF($J2981&gt;0.005,1,0)))</f>
      </c>
      <c r="J2981" s="43">
        <f>IF($I2980=0,0,$R2980)</f>
      </c>
      <c r="K2981" s="43">
        <f>IF($I2981=0,0,IF(INDEX(DarlOhneTilgung,7)=1,0,IF(AND(INDEX(DarlTilgStart,7)&gt;0,$E2981=INDEX(DarlTilgStart,7)),$J2981*($H2981+INDEX(DarlTilgung,7))/100/12,IF(AND($G2981=0,$G2980=1),MAX($K2980,$J2981*($H2981+1)/100/12),$K2980))))</f>
      </c>
      <c r="L2981" s="43">
        <f>IF($I2981=0,0,$J2981*$H2981/100/12)</f>
      </c>
      <c r="M2981" s="43">
        <f>IF($I2981=0,0,IF(OR(INDEX(DarlOhneTilgung,7)=1,AND(INDEX(DarlTilgStart,7)&gt;0,$E2981&lt;INDEX(DarlTilgStart,7))),0,MIN(MAX(0,$K2981-$L2981),$J2981)))</f>
      </c>
      <c r="N2981" s="43">
        <f>IF($I2981=0,0,MIN(SUMIFS(SondBetrag,SondDarl,7,SondDatum,"&gt;="&amp;$E2981,SondDatum,"&lt;="&amp;EOMONTH($E2981,0)),$J2981-$M2981))</f>
      </c>
      <c r="O2981" s="43">
        <f>IF($I2981=0,0,INDEX(DarlErsatzRate,7))</f>
      </c>
      <c r="P2981" s="43">
        <f>IF($I2981=0,0,$Q2980*INDEX(DarlErsatzZins,7))</f>
      </c>
      <c r="Q2981" s="43">
        <f>IF($I2981=0,0,$Q2980+$P2981+$O2981)</f>
      </c>
      <c r="R2981" s="43">
        <f>IF($I2981=0,0,$J2981-$M2981-$N2981)</f>
      </c>
    </row>
    <row r="2982">
      <c r="A2982"/>
      <c r="B2982">
        <v>7</v>
      </c>
      <c r="C2982" s="43">
        <f>INDEX(DarlObj,7)</f>
      </c>
      <c r="D2982">
        <v>99</v>
      </c>
      <c r="E2982" s="51">
        <f>IF(INDEX(DarlBelegt,7)=0,0,EOMONTH(INDEX(DarlAuszahlung,7),98)+1)</f>
      </c>
      <c r="F2982" s="43">
        <f>IF($E2982=0,0,YEAR($E2982))</f>
      </c>
      <c r="G2982" s="43">
        <f>IF(INDEX(DarlBindung,7)="",1,IF($E2982&lt;=INDEX(DarlBindung,7),1,0))</f>
      </c>
      <c r="H2982" s="43">
        <f>IF($G2982=1,INDEX(DarlSollzins,7),INDEX(DarlAnschluss,7))</f>
      </c>
      <c r="I2982" s="43">
        <f>IF(INDEX(DarlBelegt,7)=0,0,IF(INDEX(DarlOhneTilgung,7)=1,IF(INDEX(DarlBindung,7)="",1,$G2982),IF($J2982&gt;0.005,1,0)))</f>
      </c>
      <c r="J2982" s="43">
        <f>IF($I2981=0,0,$R2981)</f>
      </c>
      <c r="K2982" s="43">
        <f>IF($I2982=0,0,IF(INDEX(DarlOhneTilgung,7)=1,0,IF(AND(INDEX(DarlTilgStart,7)&gt;0,$E2982=INDEX(DarlTilgStart,7)),$J2982*($H2982+INDEX(DarlTilgung,7))/100/12,IF(AND($G2982=0,$G2981=1),MAX($K2981,$J2982*($H2982+1)/100/12),$K2981))))</f>
      </c>
      <c r="L2982" s="43">
        <f>IF($I2982=0,0,$J2982*$H2982/100/12)</f>
      </c>
      <c r="M2982" s="43">
        <f>IF($I2982=0,0,IF(OR(INDEX(DarlOhneTilgung,7)=1,AND(INDEX(DarlTilgStart,7)&gt;0,$E2982&lt;INDEX(DarlTilgStart,7))),0,MIN(MAX(0,$K2982-$L2982),$J2982)))</f>
      </c>
      <c r="N2982" s="43">
        <f>IF($I2982=0,0,MIN(SUMIFS(SondBetrag,SondDarl,7,SondDatum,"&gt;="&amp;$E2982,SondDatum,"&lt;="&amp;EOMONTH($E2982,0)),$J2982-$M2982))</f>
      </c>
      <c r="O2982" s="43">
        <f>IF($I2982=0,0,INDEX(DarlErsatzRate,7))</f>
      </c>
      <c r="P2982" s="43">
        <f>IF($I2982=0,0,$Q2981*INDEX(DarlErsatzZins,7))</f>
      </c>
      <c r="Q2982" s="43">
        <f>IF($I2982=0,0,$Q2981+$P2982+$O2982)</f>
      </c>
      <c r="R2982" s="43">
        <f>IF($I2982=0,0,$J2982-$M2982-$N2982)</f>
      </c>
    </row>
    <row r="2983">
      <c r="A2983"/>
      <c r="B2983">
        <v>7</v>
      </c>
      <c r="C2983" s="43">
        <f>INDEX(DarlObj,7)</f>
      </c>
      <c r="D2983">
        <v>100</v>
      </c>
      <c r="E2983" s="51">
        <f>IF(INDEX(DarlBelegt,7)=0,0,EOMONTH(INDEX(DarlAuszahlung,7),99)+1)</f>
      </c>
      <c r="F2983" s="43">
        <f>IF($E2983=0,0,YEAR($E2983))</f>
      </c>
      <c r="G2983" s="43">
        <f>IF(INDEX(DarlBindung,7)="",1,IF($E2983&lt;=INDEX(DarlBindung,7),1,0))</f>
      </c>
      <c r="H2983" s="43">
        <f>IF($G2983=1,INDEX(DarlSollzins,7),INDEX(DarlAnschluss,7))</f>
      </c>
      <c r="I2983" s="43">
        <f>IF(INDEX(DarlBelegt,7)=0,0,IF(INDEX(DarlOhneTilgung,7)=1,IF(INDEX(DarlBindung,7)="",1,$G2983),IF($J2983&gt;0.005,1,0)))</f>
      </c>
      <c r="J2983" s="43">
        <f>IF($I2982=0,0,$R2982)</f>
      </c>
      <c r="K2983" s="43">
        <f>IF($I2983=0,0,IF(INDEX(DarlOhneTilgung,7)=1,0,IF(AND(INDEX(DarlTilgStart,7)&gt;0,$E2983=INDEX(DarlTilgStart,7)),$J2983*($H2983+INDEX(DarlTilgung,7))/100/12,IF(AND($G2983=0,$G2982=1),MAX($K2982,$J2983*($H2983+1)/100/12),$K2982))))</f>
      </c>
      <c r="L2983" s="43">
        <f>IF($I2983=0,0,$J2983*$H2983/100/12)</f>
      </c>
      <c r="M2983" s="43">
        <f>IF($I2983=0,0,IF(OR(INDEX(DarlOhneTilgung,7)=1,AND(INDEX(DarlTilgStart,7)&gt;0,$E2983&lt;INDEX(DarlTilgStart,7))),0,MIN(MAX(0,$K2983-$L2983),$J2983)))</f>
      </c>
      <c r="N2983" s="43">
        <f>IF($I2983=0,0,MIN(SUMIFS(SondBetrag,SondDarl,7,SondDatum,"&gt;="&amp;$E2983,SondDatum,"&lt;="&amp;EOMONTH($E2983,0)),$J2983-$M2983))</f>
      </c>
      <c r="O2983" s="43">
        <f>IF($I2983=0,0,INDEX(DarlErsatzRate,7))</f>
      </c>
      <c r="P2983" s="43">
        <f>IF($I2983=0,0,$Q2982*INDEX(DarlErsatzZins,7))</f>
      </c>
      <c r="Q2983" s="43">
        <f>IF($I2983=0,0,$Q2982+$P2983+$O2983)</f>
      </c>
      <c r="R2983" s="43">
        <f>IF($I2983=0,0,$J2983-$M2983-$N2983)</f>
      </c>
    </row>
    <row r="2984">
      <c r="A2984"/>
      <c r="B2984">
        <v>7</v>
      </c>
      <c r="C2984" s="43">
        <f>INDEX(DarlObj,7)</f>
      </c>
      <c r="D2984">
        <v>101</v>
      </c>
      <c r="E2984" s="51">
        <f>IF(INDEX(DarlBelegt,7)=0,0,EOMONTH(INDEX(DarlAuszahlung,7),100)+1)</f>
      </c>
      <c r="F2984" s="43">
        <f>IF($E2984=0,0,YEAR($E2984))</f>
      </c>
      <c r="G2984" s="43">
        <f>IF(INDEX(DarlBindung,7)="",1,IF($E2984&lt;=INDEX(DarlBindung,7),1,0))</f>
      </c>
      <c r="H2984" s="43">
        <f>IF($G2984=1,INDEX(DarlSollzins,7),INDEX(DarlAnschluss,7))</f>
      </c>
      <c r="I2984" s="43">
        <f>IF(INDEX(DarlBelegt,7)=0,0,IF(INDEX(DarlOhneTilgung,7)=1,IF(INDEX(DarlBindung,7)="",1,$G2984),IF($J2984&gt;0.005,1,0)))</f>
      </c>
      <c r="J2984" s="43">
        <f>IF($I2983=0,0,$R2983)</f>
      </c>
      <c r="K2984" s="43">
        <f>IF($I2984=0,0,IF(INDEX(DarlOhneTilgung,7)=1,0,IF(AND(INDEX(DarlTilgStart,7)&gt;0,$E2984=INDEX(DarlTilgStart,7)),$J2984*($H2984+INDEX(DarlTilgung,7))/100/12,IF(AND($G2984=0,$G2983=1),MAX($K2983,$J2984*($H2984+1)/100/12),$K2983))))</f>
      </c>
      <c r="L2984" s="43">
        <f>IF($I2984=0,0,$J2984*$H2984/100/12)</f>
      </c>
      <c r="M2984" s="43">
        <f>IF($I2984=0,0,IF(OR(INDEX(DarlOhneTilgung,7)=1,AND(INDEX(DarlTilgStart,7)&gt;0,$E2984&lt;INDEX(DarlTilgStart,7))),0,MIN(MAX(0,$K2984-$L2984),$J2984)))</f>
      </c>
      <c r="N2984" s="43">
        <f>IF($I2984=0,0,MIN(SUMIFS(SondBetrag,SondDarl,7,SondDatum,"&gt;="&amp;$E2984,SondDatum,"&lt;="&amp;EOMONTH($E2984,0)),$J2984-$M2984))</f>
      </c>
      <c r="O2984" s="43">
        <f>IF($I2984=0,0,INDEX(DarlErsatzRate,7))</f>
      </c>
      <c r="P2984" s="43">
        <f>IF($I2984=0,0,$Q2983*INDEX(DarlErsatzZins,7))</f>
      </c>
      <c r="Q2984" s="43">
        <f>IF($I2984=0,0,$Q2983+$P2984+$O2984)</f>
      </c>
      <c r="R2984" s="43">
        <f>IF($I2984=0,0,$J2984-$M2984-$N2984)</f>
      </c>
    </row>
    <row r="2985">
      <c r="A2985"/>
      <c r="B2985">
        <v>7</v>
      </c>
      <c r="C2985" s="43">
        <f>INDEX(DarlObj,7)</f>
      </c>
      <c r="D2985">
        <v>102</v>
      </c>
      <c r="E2985" s="51">
        <f>IF(INDEX(DarlBelegt,7)=0,0,EOMONTH(INDEX(DarlAuszahlung,7),101)+1)</f>
      </c>
      <c r="F2985" s="43">
        <f>IF($E2985=0,0,YEAR($E2985))</f>
      </c>
      <c r="G2985" s="43">
        <f>IF(INDEX(DarlBindung,7)="",1,IF($E2985&lt;=INDEX(DarlBindung,7),1,0))</f>
      </c>
      <c r="H2985" s="43">
        <f>IF($G2985=1,INDEX(DarlSollzins,7),INDEX(DarlAnschluss,7))</f>
      </c>
      <c r="I2985" s="43">
        <f>IF(INDEX(DarlBelegt,7)=0,0,IF(INDEX(DarlOhneTilgung,7)=1,IF(INDEX(DarlBindung,7)="",1,$G2985),IF($J2985&gt;0.005,1,0)))</f>
      </c>
      <c r="J2985" s="43">
        <f>IF($I2984=0,0,$R2984)</f>
      </c>
      <c r="K2985" s="43">
        <f>IF($I2985=0,0,IF(INDEX(DarlOhneTilgung,7)=1,0,IF(AND(INDEX(DarlTilgStart,7)&gt;0,$E2985=INDEX(DarlTilgStart,7)),$J2985*($H2985+INDEX(DarlTilgung,7))/100/12,IF(AND($G2985=0,$G2984=1),MAX($K2984,$J2985*($H2985+1)/100/12),$K2984))))</f>
      </c>
      <c r="L2985" s="43">
        <f>IF($I2985=0,0,$J2985*$H2985/100/12)</f>
      </c>
      <c r="M2985" s="43">
        <f>IF($I2985=0,0,IF(OR(INDEX(DarlOhneTilgung,7)=1,AND(INDEX(DarlTilgStart,7)&gt;0,$E2985&lt;INDEX(DarlTilgStart,7))),0,MIN(MAX(0,$K2985-$L2985),$J2985)))</f>
      </c>
      <c r="N2985" s="43">
        <f>IF($I2985=0,0,MIN(SUMIFS(SondBetrag,SondDarl,7,SondDatum,"&gt;="&amp;$E2985,SondDatum,"&lt;="&amp;EOMONTH($E2985,0)),$J2985-$M2985))</f>
      </c>
      <c r="O2985" s="43">
        <f>IF($I2985=0,0,INDEX(DarlErsatzRate,7))</f>
      </c>
      <c r="P2985" s="43">
        <f>IF($I2985=0,0,$Q2984*INDEX(DarlErsatzZins,7))</f>
      </c>
      <c r="Q2985" s="43">
        <f>IF($I2985=0,0,$Q2984+$P2985+$O2985)</f>
      </c>
      <c r="R2985" s="43">
        <f>IF($I2985=0,0,$J2985-$M2985-$N2985)</f>
      </c>
    </row>
    <row r="2986">
      <c r="A2986"/>
      <c r="B2986">
        <v>7</v>
      </c>
      <c r="C2986" s="43">
        <f>INDEX(DarlObj,7)</f>
      </c>
      <c r="D2986">
        <v>103</v>
      </c>
      <c r="E2986" s="51">
        <f>IF(INDEX(DarlBelegt,7)=0,0,EOMONTH(INDEX(DarlAuszahlung,7),102)+1)</f>
      </c>
      <c r="F2986" s="43">
        <f>IF($E2986=0,0,YEAR($E2986))</f>
      </c>
      <c r="G2986" s="43">
        <f>IF(INDEX(DarlBindung,7)="",1,IF($E2986&lt;=INDEX(DarlBindung,7),1,0))</f>
      </c>
      <c r="H2986" s="43">
        <f>IF($G2986=1,INDEX(DarlSollzins,7),INDEX(DarlAnschluss,7))</f>
      </c>
      <c r="I2986" s="43">
        <f>IF(INDEX(DarlBelegt,7)=0,0,IF(INDEX(DarlOhneTilgung,7)=1,IF(INDEX(DarlBindung,7)="",1,$G2986),IF($J2986&gt;0.005,1,0)))</f>
      </c>
      <c r="J2986" s="43">
        <f>IF($I2985=0,0,$R2985)</f>
      </c>
      <c r="K2986" s="43">
        <f>IF($I2986=0,0,IF(INDEX(DarlOhneTilgung,7)=1,0,IF(AND(INDEX(DarlTilgStart,7)&gt;0,$E2986=INDEX(DarlTilgStart,7)),$J2986*($H2986+INDEX(DarlTilgung,7))/100/12,IF(AND($G2986=0,$G2985=1),MAX($K2985,$J2986*($H2986+1)/100/12),$K2985))))</f>
      </c>
      <c r="L2986" s="43">
        <f>IF($I2986=0,0,$J2986*$H2986/100/12)</f>
      </c>
      <c r="M2986" s="43">
        <f>IF($I2986=0,0,IF(OR(INDEX(DarlOhneTilgung,7)=1,AND(INDEX(DarlTilgStart,7)&gt;0,$E2986&lt;INDEX(DarlTilgStart,7))),0,MIN(MAX(0,$K2986-$L2986),$J2986)))</f>
      </c>
      <c r="N2986" s="43">
        <f>IF($I2986=0,0,MIN(SUMIFS(SondBetrag,SondDarl,7,SondDatum,"&gt;="&amp;$E2986,SondDatum,"&lt;="&amp;EOMONTH($E2986,0)),$J2986-$M2986))</f>
      </c>
      <c r="O2986" s="43">
        <f>IF($I2986=0,0,INDEX(DarlErsatzRate,7))</f>
      </c>
      <c r="P2986" s="43">
        <f>IF($I2986=0,0,$Q2985*INDEX(DarlErsatzZins,7))</f>
      </c>
      <c r="Q2986" s="43">
        <f>IF($I2986=0,0,$Q2985+$P2986+$O2986)</f>
      </c>
      <c r="R2986" s="43">
        <f>IF($I2986=0,0,$J2986-$M2986-$N2986)</f>
      </c>
    </row>
    <row r="2987">
      <c r="A2987"/>
      <c r="B2987">
        <v>7</v>
      </c>
      <c r="C2987" s="43">
        <f>INDEX(DarlObj,7)</f>
      </c>
      <c r="D2987">
        <v>104</v>
      </c>
      <c r="E2987" s="51">
        <f>IF(INDEX(DarlBelegt,7)=0,0,EOMONTH(INDEX(DarlAuszahlung,7),103)+1)</f>
      </c>
      <c r="F2987" s="43">
        <f>IF($E2987=0,0,YEAR($E2987))</f>
      </c>
      <c r="G2987" s="43">
        <f>IF(INDEX(DarlBindung,7)="",1,IF($E2987&lt;=INDEX(DarlBindung,7),1,0))</f>
      </c>
      <c r="H2987" s="43">
        <f>IF($G2987=1,INDEX(DarlSollzins,7),INDEX(DarlAnschluss,7))</f>
      </c>
      <c r="I2987" s="43">
        <f>IF(INDEX(DarlBelegt,7)=0,0,IF(INDEX(DarlOhneTilgung,7)=1,IF(INDEX(DarlBindung,7)="",1,$G2987),IF($J2987&gt;0.005,1,0)))</f>
      </c>
      <c r="J2987" s="43">
        <f>IF($I2986=0,0,$R2986)</f>
      </c>
      <c r="K2987" s="43">
        <f>IF($I2987=0,0,IF(INDEX(DarlOhneTilgung,7)=1,0,IF(AND(INDEX(DarlTilgStart,7)&gt;0,$E2987=INDEX(DarlTilgStart,7)),$J2987*($H2987+INDEX(DarlTilgung,7))/100/12,IF(AND($G2987=0,$G2986=1),MAX($K2986,$J2987*($H2987+1)/100/12),$K2986))))</f>
      </c>
      <c r="L2987" s="43">
        <f>IF($I2987=0,0,$J2987*$H2987/100/12)</f>
      </c>
      <c r="M2987" s="43">
        <f>IF($I2987=0,0,IF(OR(INDEX(DarlOhneTilgung,7)=1,AND(INDEX(DarlTilgStart,7)&gt;0,$E2987&lt;INDEX(DarlTilgStart,7))),0,MIN(MAX(0,$K2987-$L2987),$J2987)))</f>
      </c>
      <c r="N2987" s="43">
        <f>IF($I2987=0,0,MIN(SUMIFS(SondBetrag,SondDarl,7,SondDatum,"&gt;="&amp;$E2987,SondDatum,"&lt;="&amp;EOMONTH($E2987,0)),$J2987-$M2987))</f>
      </c>
      <c r="O2987" s="43">
        <f>IF($I2987=0,0,INDEX(DarlErsatzRate,7))</f>
      </c>
      <c r="P2987" s="43">
        <f>IF($I2987=0,0,$Q2986*INDEX(DarlErsatzZins,7))</f>
      </c>
      <c r="Q2987" s="43">
        <f>IF($I2987=0,0,$Q2986+$P2987+$O2987)</f>
      </c>
      <c r="R2987" s="43">
        <f>IF($I2987=0,0,$J2987-$M2987-$N2987)</f>
      </c>
    </row>
    <row r="2988">
      <c r="A2988"/>
      <c r="B2988">
        <v>7</v>
      </c>
      <c r="C2988" s="43">
        <f>INDEX(DarlObj,7)</f>
      </c>
      <c r="D2988">
        <v>105</v>
      </c>
      <c r="E2988" s="51">
        <f>IF(INDEX(DarlBelegt,7)=0,0,EOMONTH(INDEX(DarlAuszahlung,7),104)+1)</f>
      </c>
      <c r="F2988" s="43">
        <f>IF($E2988=0,0,YEAR($E2988))</f>
      </c>
      <c r="G2988" s="43">
        <f>IF(INDEX(DarlBindung,7)="",1,IF($E2988&lt;=INDEX(DarlBindung,7),1,0))</f>
      </c>
      <c r="H2988" s="43">
        <f>IF($G2988=1,INDEX(DarlSollzins,7),INDEX(DarlAnschluss,7))</f>
      </c>
      <c r="I2988" s="43">
        <f>IF(INDEX(DarlBelegt,7)=0,0,IF(INDEX(DarlOhneTilgung,7)=1,IF(INDEX(DarlBindung,7)="",1,$G2988),IF($J2988&gt;0.005,1,0)))</f>
      </c>
      <c r="J2988" s="43">
        <f>IF($I2987=0,0,$R2987)</f>
      </c>
      <c r="K2988" s="43">
        <f>IF($I2988=0,0,IF(INDEX(DarlOhneTilgung,7)=1,0,IF(AND(INDEX(DarlTilgStart,7)&gt;0,$E2988=INDEX(DarlTilgStart,7)),$J2988*($H2988+INDEX(DarlTilgung,7))/100/12,IF(AND($G2988=0,$G2987=1),MAX($K2987,$J2988*($H2988+1)/100/12),$K2987))))</f>
      </c>
      <c r="L2988" s="43">
        <f>IF($I2988=0,0,$J2988*$H2988/100/12)</f>
      </c>
      <c r="M2988" s="43">
        <f>IF($I2988=0,0,IF(OR(INDEX(DarlOhneTilgung,7)=1,AND(INDEX(DarlTilgStart,7)&gt;0,$E2988&lt;INDEX(DarlTilgStart,7))),0,MIN(MAX(0,$K2988-$L2988),$J2988)))</f>
      </c>
      <c r="N2988" s="43">
        <f>IF($I2988=0,0,MIN(SUMIFS(SondBetrag,SondDarl,7,SondDatum,"&gt;="&amp;$E2988,SondDatum,"&lt;="&amp;EOMONTH($E2988,0)),$J2988-$M2988))</f>
      </c>
      <c r="O2988" s="43">
        <f>IF($I2988=0,0,INDEX(DarlErsatzRate,7))</f>
      </c>
      <c r="P2988" s="43">
        <f>IF($I2988=0,0,$Q2987*INDEX(DarlErsatzZins,7))</f>
      </c>
      <c r="Q2988" s="43">
        <f>IF($I2988=0,0,$Q2987+$P2988+$O2988)</f>
      </c>
      <c r="R2988" s="43">
        <f>IF($I2988=0,0,$J2988-$M2988-$N2988)</f>
      </c>
    </row>
    <row r="2989">
      <c r="A2989"/>
      <c r="B2989">
        <v>7</v>
      </c>
      <c r="C2989" s="43">
        <f>INDEX(DarlObj,7)</f>
      </c>
      <c r="D2989">
        <v>106</v>
      </c>
      <c r="E2989" s="51">
        <f>IF(INDEX(DarlBelegt,7)=0,0,EOMONTH(INDEX(DarlAuszahlung,7),105)+1)</f>
      </c>
      <c r="F2989" s="43">
        <f>IF($E2989=0,0,YEAR($E2989))</f>
      </c>
      <c r="G2989" s="43">
        <f>IF(INDEX(DarlBindung,7)="",1,IF($E2989&lt;=INDEX(DarlBindung,7),1,0))</f>
      </c>
      <c r="H2989" s="43">
        <f>IF($G2989=1,INDEX(DarlSollzins,7),INDEX(DarlAnschluss,7))</f>
      </c>
      <c r="I2989" s="43">
        <f>IF(INDEX(DarlBelegt,7)=0,0,IF(INDEX(DarlOhneTilgung,7)=1,IF(INDEX(DarlBindung,7)="",1,$G2989),IF($J2989&gt;0.005,1,0)))</f>
      </c>
      <c r="J2989" s="43">
        <f>IF($I2988=0,0,$R2988)</f>
      </c>
      <c r="K2989" s="43">
        <f>IF($I2989=0,0,IF(INDEX(DarlOhneTilgung,7)=1,0,IF(AND(INDEX(DarlTilgStart,7)&gt;0,$E2989=INDEX(DarlTilgStart,7)),$J2989*($H2989+INDEX(DarlTilgung,7))/100/12,IF(AND($G2989=0,$G2988=1),MAX($K2988,$J2989*($H2989+1)/100/12),$K2988))))</f>
      </c>
      <c r="L2989" s="43">
        <f>IF($I2989=0,0,$J2989*$H2989/100/12)</f>
      </c>
      <c r="M2989" s="43">
        <f>IF($I2989=0,0,IF(OR(INDEX(DarlOhneTilgung,7)=1,AND(INDEX(DarlTilgStart,7)&gt;0,$E2989&lt;INDEX(DarlTilgStart,7))),0,MIN(MAX(0,$K2989-$L2989),$J2989)))</f>
      </c>
      <c r="N2989" s="43">
        <f>IF($I2989=0,0,MIN(SUMIFS(SondBetrag,SondDarl,7,SondDatum,"&gt;="&amp;$E2989,SondDatum,"&lt;="&amp;EOMONTH($E2989,0)),$J2989-$M2989))</f>
      </c>
      <c r="O2989" s="43">
        <f>IF($I2989=0,0,INDEX(DarlErsatzRate,7))</f>
      </c>
      <c r="P2989" s="43">
        <f>IF($I2989=0,0,$Q2988*INDEX(DarlErsatzZins,7))</f>
      </c>
      <c r="Q2989" s="43">
        <f>IF($I2989=0,0,$Q2988+$P2989+$O2989)</f>
      </c>
      <c r="R2989" s="43">
        <f>IF($I2989=0,0,$J2989-$M2989-$N2989)</f>
      </c>
    </row>
    <row r="2990">
      <c r="A2990"/>
      <c r="B2990">
        <v>7</v>
      </c>
      <c r="C2990" s="43">
        <f>INDEX(DarlObj,7)</f>
      </c>
      <c r="D2990">
        <v>107</v>
      </c>
      <c r="E2990" s="51">
        <f>IF(INDEX(DarlBelegt,7)=0,0,EOMONTH(INDEX(DarlAuszahlung,7),106)+1)</f>
      </c>
      <c r="F2990" s="43">
        <f>IF($E2990=0,0,YEAR($E2990))</f>
      </c>
      <c r="G2990" s="43">
        <f>IF(INDEX(DarlBindung,7)="",1,IF($E2990&lt;=INDEX(DarlBindung,7),1,0))</f>
      </c>
      <c r="H2990" s="43">
        <f>IF($G2990=1,INDEX(DarlSollzins,7),INDEX(DarlAnschluss,7))</f>
      </c>
      <c r="I2990" s="43">
        <f>IF(INDEX(DarlBelegt,7)=0,0,IF(INDEX(DarlOhneTilgung,7)=1,IF(INDEX(DarlBindung,7)="",1,$G2990),IF($J2990&gt;0.005,1,0)))</f>
      </c>
      <c r="J2990" s="43">
        <f>IF($I2989=0,0,$R2989)</f>
      </c>
      <c r="K2990" s="43">
        <f>IF($I2990=0,0,IF(INDEX(DarlOhneTilgung,7)=1,0,IF(AND(INDEX(DarlTilgStart,7)&gt;0,$E2990=INDEX(DarlTilgStart,7)),$J2990*($H2990+INDEX(DarlTilgung,7))/100/12,IF(AND($G2990=0,$G2989=1),MAX($K2989,$J2990*($H2990+1)/100/12),$K2989))))</f>
      </c>
      <c r="L2990" s="43">
        <f>IF($I2990=0,0,$J2990*$H2990/100/12)</f>
      </c>
      <c r="M2990" s="43">
        <f>IF($I2990=0,0,IF(OR(INDEX(DarlOhneTilgung,7)=1,AND(INDEX(DarlTilgStart,7)&gt;0,$E2990&lt;INDEX(DarlTilgStart,7))),0,MIN(MAX(0,$K2990-$L2990),$J2990)))</f>
      </c>
      <c r="N2990" s="43">
        <f>IF($I2990=0,0,MIN(SUMIFS(SondBetrag,SondDarl,7,SondDatum,"&gt;="&amp;$E2990,SondDatum,"&lt;="&amp;EOMONTH($E2990,0)),$J2990-$M2990))</f>
      </c>
      <c r="O2990" s="43">
        <f>IF($I2990=0,0,INDEX(DarlErsatzRate,7))</f>
      </c>
      <c r="P2990" s="43">
        <f>IF($I2990=0,0,$Q2989*INDEX(DarlErsatzZins,7))</f>
      </c>
      <c r="Q2990" s="43">
        <f>IF($I2990=0,0,$Q2989+$P2990+$O2990)</f>
      </c>
      <c r="R2990" s="43">
        <f>IF($I2990=0,0,$J2990-$M2990-$N2990)</f>
      </c>
    </row>
    <row r="2991">
      <c r="A2991"/>
      <c r="B2991">
        <v>7</v>
      </c>
      <c r="C2991" s="43">
        <f>INDEX(DarlObj,7)</f>
      </c>
      <c r="D2991">
        <v>108</v>
      </c>
      <c r="E2991" s="51">
        <f>IF(INDEX(DarlBelegt,7)=0,0,EOMONTH(INDEX(DarlAuszahlung,7),107)+1)</f>
      </c>
      <c r="F2991" s="43">
        <f>IF($E2991=0,0,YEAR($E2991))</f>
      </c>
      <c r="G2991" s="43">
        <f>IF(INDEX(DarlBindung,7)="",1,IF($E2991&lt;=INDEX(DarlBindung,7),1,0))</f>
      </c>
      <c r="H2991" s="43">
        <f>IF($G2991=1,INDEX(DarlSollzins,7),INDEX(DarlAnschluss,7))</f>
      </c>
      <c r="I2991" s="43">
        <f>IF(INDEX(DarlBelegt,7)=0,0,IF(INDEX(DarlOhneTilgung,7)=1,IF(INDEX(DarlBindung,7)="",1,$G2991),IF($J2991&gt;0.005,1,0)))</f>
      </c>
      <c r="J2991" s="43">
        <f>IF($I2990=0,0,$R2990)</f>
      </c>
      <c r="K2991" s="43">
        <f>IF($I2991=0,0,IF(INDEX(DarlOhneTilgung,7)=1,0,IF(AND(INDEX(DarlTilgStart,7)&gt;0,$E2991=INDEX(DarlTilgStart,7)),$J2991*($H2991+INDEX(DarlTilgung,7))/100/12,IF(AND($G2991=0,$G2990=1),MAX($K2990,$J2991*($H2991+1)/100/12),$K2990))))</f>
      </c>
      <c r="L2991" s="43">
        <f>IF($I2991=0,0,$J2991*$H2991/100/12)</f>
      </c>
      <c r="M2991" s="43">
        <f>IF($I2991=0,0,IF(OR(INDEX(DarlOhneTilgung,7)=1,AND(INDEX(DarlTilgStart,7)&gt;0,$E2991&lt;INDEX(DarlTilgStart,7))),0,MIN(MAX(0,$K2991-$L2991),$J2991)))</f>
      </c>
      <c r="N2991" s="43">
        <f>IF($I2991=0,0,MIN(SUMIFS(SondBetrag,SondDarl,7,SondDatum,"&gt;="&amp;$E2991,SondDatum,"&lt;="&amp;EOMONTH($E2991,0)),$J2991-$M2991))</f>
      </c>
      <c r="O2991" s="43">
        <f>IF($I2991=0,0,INDEX(DarlErsatzRate,7))</f>
      </c>
      <c r="P2991" s="43">
        <f>IF($I2991=0,0,$Q2990*INDEX(DarlErsatzZins,7))</f>
      </c>
      <c r="Q2991" s="43">
        <f>IF($I2991=0,0,$Q2990+$P2991+$O2991)</f>
      </c>
      <c r="R2991" s="43">
        <f>IF($I2991=0,0,$J2991-$M2991-$N2991)</f>
      </c>
    </row>
    <row r="2992">
      <c r="A2992"/>
      <c r="B2992">
        <v>7</v>
      </c>
      <c r="C2992" s="43">
        <f>INDEX(DarlObj,7)</f>
      </c>
      <c r="D2992">
        <v>109</v>
      </c>
      <c r="E2992" s="51">
        <f>IF(INDEX(DarlBelegt,7)=0,0,EOMONTH(INDEX(DarlAuszahlung,7),108)+1)</f>
      </c>
      <c r="F2992" s="43">
        <f>IF($E2992=0,0,YEAR($E2992))</f>
      </c>
      <c r="G2992" s="43">
        <f>IF(INDEX(DarlBindung,7)="",1,IF($E2992&lt;=INDEX(DarlBindung,7),1,0))</f>
      </c>
      <c r="H2992" s="43">
        <f>IF($G2992=1,INDEX(DarlSollzins,7),INDEX(DarlAnschluss,7))</f>
      </c>
      <c r="I2992" s="43">
        <f>IF(INDEX(DarlBelegt,7)=0,0,IF(INDEX(DarlOhneTilgung,7)=1,IF(INDEX(DarlBindung,7)="",1,$G2992),IF($J2992&gt;0.005,1,0)))</f>
      </c>
      <c r="J2992" s="43">
        <f>IF($I2991=0,0,$R2991)</f>
      </c>
      <c r="K2992" s="43">
        <f>IF($I2992=0,0,IF(INDEX(DarlOhneTilgung,7)=1,0,IF(AND(INDEX(DarlTilgStart,7)&gt;0,$E2992=INDEX(DarlTilgStart,7)),$J2992*($H2992+INDEX(DarlTilgung,7))/100/12,IF(AND($G2992=0,$G2991=1),MAX($K2991,$J2992*($H2992+1)/100/12),$K2991))))</f>
      </c>
      <c r="L2992" s="43">
        <f>IF($I2992=0,0,$J2992*$H2992/100/12)</f>
      </c>
      <c r="M2992" s="43">
        <f>IF($I2992=0,0,IF(OR(INDEX(DarlOhneTilgung,7)=1,AND(INDEX(DarlTilgStart,7)&gt;0,$E2992&lt;INDEX(DarlTilgStart,7))),0,MIN(MAX(0,$K2992-$L2992),$J2992)))</f>
      </c>
      <c r="N2992" s="43">
        <f>IF($I2992=0,0,MIN(SUMIFS(SondBetrag,SondDarl,7,SondDatum,"&gt;="&amp;$E2992,SondDatum,"&lt;="&amp;EOMONTH($E2992,0)),$J2992-$M2992))</f>
      </c>
      <c r="O2992" s="43">
        <f>IF($I2992=0,0,INDEX(DarlErsatzRate,7))</f>
      </c>
      <c r="P2992" s="43">
        <f>IF($I2992=0,0,$Q2991*INDEX(DarlErsatzZins,7))</f>
      </c>
      <c r="Q2992" s="43">
        <f>IF($I2992=0,0,$Q2991+$P2992+$O2992)</f>
      </c>
      <c r="R2992" s="43">
        <f>IF($I2992=0,0,$J2992-$M2992-$N2992)</f>
      </c>
    </row>
    <row r="2993">
      <c r="A2993"/>
      <c r="B2993">
        <v>7</v>
      </c>
      <c r="C2993" s="43">
        <f>INDEX(DarlObj,7)</f>
      </c>
      <c r="D2993">
        <v>110</v>
      </c>
      <c r="E2993" s="51">
        <f>IF(INDEX(DarlBelegt,7)=0,0,EOMONTH(INDEX(DarlAuszahlung,7),109)+1)</f>
      </c>
      <c r="F2993" s="43">
        <f>IF($E2993=0,0,YEAR($E2993))</f>
      </c>
      <c r="G2993" s="43">
        <f>IF(INDEX(DarlBindung,7)="",1,IF($E2993&lt;=INDEX(DarlBindung,7),1,0))</f>
      </c>
      <c r="H2993" s="43">
        <f>IF($G2993=1,INDEX(DarlSollzins,7),INDEX(DarlAnschluss,7))</f>
      </c>
      <c r="I2993" s="43">
        <f>IF(INDEX(DarlBelegt,7)=0,0,IF(INDEX(DarlOhneTilgung,7)=1,IF(INDEX(DarlBindung,7)="",1,$G2993),IF($J2993&gt;0.005,1,0)))</f>
      </c>
      <c r="J2993" s="43">
        <f>IF($I2992=0,0,$R2992)</f>
      </c>
      <c r="K2993" s="43">
        <f>IF($I2993=0,0,IF(INDEX(DarlOhneTilgung,7)=1,0,IF(AND(INDEX(DarlTilgStart,7)&gt;0,$E2993=INDEX(DarlTilgStart,7)),$J2993*($H2993+INDEX(DarlTilgung,7))/100/12,IF(AND($G2993=0,$G2992=1),MAX($K2992,$J2993*($H2993+1)/100/12),$K2992))))</f>
      </c>
      <c r="L2993" s="43">
        <f>IF($I2993=0,0,$J2993*$H2993/100/12)</f>
      </c>
      <c r="M2993" s="43">
        <f>IF($I2993=0,0,IF(OR(INDEX(DarlOhneTilgung,7)=1,AND(INDEX(DarlTilgStart,7)&gt;0,$E2993&lt;INDEX(DarlTilgStart,7))),0,MIN(MAX(0,$K2993-$L2993),$J2993)))</f>
      </c>
      <c r="N2993" s="43">
        <f>IF($I2993=0,0,MIN(SUMIFS(SondBetrag,SondDarl,7,SondDatum,"&gt;="&amp;$E2993,SondDatum,"&lt;="&amp;EOMONTH($E2993,0)),$J2993-$M2993))</f>
      </c>
      <c r="O2993" s="43">
        <f>IF($I2993=0,0,INDEX(DarlErsatzRate,7))</f>
      </c>
      <c r="P2993" s="43">
        <f>IF($I2993=0,0,$Q2992*INDEX(DarlErsatzZins,7))</f>
      </c>
      <c r="Q2993" s="43">
        <f>IF($I2993=0,0,$Q2992+$P2993+$O2993)</f>
      </c>
      <c r="R2993" s="43">
        <f>IF($I2993=0,0,$J2993-$M2993-$N2993)</f>
      </c>
    </row>
    <row r="2994">
      <c r="A2994"/>
      <c r="B2994">
        <v>7</v>
      </c>
      <c r="C2994" s="43">
        <f>INDEX(DarlObj,7)</f>
      </c>
      <c r="D2994">
        <v>111</v>
      </c>
      <c r="E2994" s="51">
        <f>IF(INDEX(DarlBelegt,7)=0,0,EOMONTH(INDEX(DarlAuszahlung,7),110)+1)</f>
      </c>
      <c r="F2994" s="43">
        <f>IF($E2994=0,0,YEAR($E2994))</f>
      </c>
      <c r="G2994" s="43">
        <f>IF(INDEX(DarlBindung,7)="",1,IF($E2994&lt;=INDEX(DarlBindung,7),1,0))</f>
      </c>
      <c r="H2994" s="43">
        <f>IF($G2994=1,INDEX(DarlSollzins,7),INDEX(DarlAnschluss,7))</f>
      </c>
      <c r="I2994" s="43">
        <f>IF(INDEX(DarlBelegt,7)=0,0,IF(INDEX(DarlOhneTilgung,7)=1,IF(INDEX(DarlBindung,7)="",1,$G2994),IF($J2994&gt;0.005,1,0)))</f>
      </c>
      <c r="J2994" s="43">
        <f>IF($I2993=0,0,$R2993)</f>
      </c>
      <c r="K2994" s="43">
        <f>IF($I2994=0,0,IF(INDEX(DarlOhneTilgung,7)=1,0,IF(AND(INDEX(DarlTilgStart,7)&gt;0,$E2994=INDEX(DarlTilgStart,7)),$J2994*($H2994+INDEX(DarlTilgung,7))/100/12,IF(AND($G2994=0,$G2993=1),MAX($K2993,$J2994*($H2994+1)/100/12),$K2993))))</f>
      </c>
      <c r="L2994" s="43">
        <f>IF($I2994=0,0,$J2994*$H2994/100/12)</f>
      </c>
      <c r="M2994" s="43">
        <f>IF($I2994=0,0,IF(OR(INDEX(DarlOhneTilgung,7)=1,AND(INDEX(DarlTilgStart,7)&gt;0,$E2994&lt;INDEX(DarlTilgStart,7))),0,MIN(MAX(0,$K2994-$L2994),$J2994)))</f>
      </c>
      <c r="N2994" s="43">
        <f>IF($I2994=0,0,MIN(SUMIFS(SondBetrag,SondDarl,7,SondDatum,"&gt;="&amp;$E2994,SondDatum,"&lt;="&amp;EOMONTH($E2994,0)),$J2994-$M2994))</f>
      </c>
      <c r="O2994" s="43">
        <f>IF($I2994=0,0,INDEX(DarlErsatzRate,7))</f>
      </c>
      <c r="P2994" s="43">
        <f>IF($I2994=0,0,$Q2993*INDEX(DarlErsatzZins,7))</f>
      </c>
      <c r="Q2994" s="43">
        <f>IF($I2994=0,0,$Q2993+$P2994+$O2994)</f>
      </c>
      <c r="R2994" s="43">
        <f>IF($I2994=0,0,$J2994-$M2994-$N2994)</f>
      </c>
    </row>
    <row r="2995">
      <c r="A2995"/>
      <c r="B2995">
        <v>7</v>
      </c>
      <c r="C2995" s="43">
        <f>INDEX(DarlObj,7)</f>
      </c>
      <c r="D2995">
        <v>112</v>
      </c>
      <c r="E2995" s="51">
        <f>IF(INDEX(DarlBelegt,7)=0,0,EOMONTH(INDEX(DarlAuszahlung,7),111)+1)</f>
      </c>
      <c r="F2995" s="43">
        <f>IF($E2995=0,0,YEAR($E2995))</f>
      </c>
      <c r="G2995" s="43">
        <f>IF(INDEX(DarlBindung,7)="",1,IF($E2995&lt;=INDEX(DarlBindung,7),1,0))</f>
      </c>
      <c r="H2995" s="43">
        <f>IF($G2995=1,INDEX(DarlSollzins,7),INDEX(DarlAnschluss,7))</f>
      </c>
      <c r="I2995" s="43">
        <f>IF(INDEX(DarlBelegt,7)=0,0,IF(INDEX(DarlOhneTilgung,7)=1,IF(INDEX(DarlBindung,7)="",1,$G2995),IF($J2995&gt;0.005,1,0)))</f>
      </c>
      <c r="J2995" s="43">
        <f>IF($I2994=0,0,$R2994)</f>
      </c>
      <c r="K2995" s="43">
        <f>IF($I2995=0,0,IF(INDEX(DarlOhneTilgung,7)=1,0,IF(AND(INDEX(DarlTilgStart,7)&gt;0,$E2995=INDEX(DarlTilgStart,7)),$J2995*($H2995+INDEX(DarlTilgung,7))/100/12,IF(AND($G2995=0,$G2994=1),MAX($K2994,$J2995*($H2995+1)/100/12),$K2994))))</f>
      </c>
      <c r="L2995" s="43">
        <f>IF($I2995=0,0,$J2995*$H2995/100/12)</f>
      </c>
      <c r="M2995" s="43">
        <f>IF($I2995=0,0,IF(OR(INDEX(DarlOhneTilgung,7)=1,AND(INDEX(DarlTilgStart,7)&gt;0,$E2995&lt;INDEX(DarlTilgStart,7))),0,MIN(MAX(0,$K2995-$L2995),$J2995)))</f>
      </c>
      <c r="N2995" s="43">
        <f>IF($I2995=0,0,MIN(SUMIFS(SondBetrag,SondDarl,7,SondDatum,"&gt;="&amp;$E2995,SondDatum,"&lt;="&amp;EOMONTH($E2995,0)),$J2995-$M2995))</f>
      </c>
      <c r="O2995" s="43">
        <f>IF($I2995=0,0,INDEX(DarlErsatzRate,7))</f>
      </c>
      <c r="P2995" s="43">
        <f>IF($I2995=0,0,$Q2994*INDEX(DarlErsatzZins,7))</f>
      </c>
      <c r="Q2995" s="43">
        <f>IF($I2995=0,0,$Q2994+$P2995+$O2995)</f>
      </c>
      <c r="R2995" s="43">
        <f>IF($I2995=0,0,$J2995-$M2995-$N2995)</f>
      </c>
    </row>
    <row r="2996">
      <c r="A2996"/>
      <c r="B2996">
        <v>7</v>
      </c>
      <c r="C2996" s="43">
        <f>INDEX(DarlObj,7)</f>
      </c>
      <c r="D2996">
        <v>113</v>
      </c>
      <c r="E2996" s="51">
        <f>IF(INDEX(DarlBelegt,7)=0,0,EOMONTH(INDEX(DarlAuszahlung,7),112)+1)</f>
      </c>
      <c r="F2996" s="43">
        <f>IF($E2996=0,0,YEAR($E2996))</f>
      </c>
      <c r="G2996" s="43">
        <f>IF(INDEX(DarlBindung,7)="",1,IF($E2996&lt;=INDEX(DarlBindung,7),1,0))</f>
      </c>
      <c r="H2996" s="43">
        <f>IF($G2996=1,INDEX(DarlSollzins,7),INDEX(DarlAnschluss,7))</f>
      </c>
      <c r="I2996" s="43">
        <f>IF(INDEX(DarlBelegt,7)=0,0,IF(INDEX(DarlOhneTilgung,7)=1,IF(INDEX(DarlBindung,7)="",1,$G2996),IF($J2996&gt;0.005,1,0)))</f>
      </c>
      <c r="J2996" s="43">
        <f>IF($I2995=0,0,$R2995)</f>
      </c>
      <c r="K2996" s="43">
        <f>IF($I2996=0,0,IF(INDEX(DarlOhneTilgung,7)=1,0,IF(AND(INDEX(DarlTilgStart,7)&gt;0,$E2996=INDEX(DarlTilgStart,7)),$J2996*($H2996+INDEX(DarlTilgung,7))/100/12,IF(AND($G2996=0,$G2995=1),MAX($K2995,$J2996*($H2996+1)/100/12),$K2995))))</f>
      </c>
      <c r="L2996" s="43">
        <f>IF($I2996=0,0,$J2996*$H2996/100/12)</f>
      </c>
      <c r="M2996" s="43">
        <f>IF($I2996=0,0,IF(OR(INDEX(DarlOhneTilgung,7)=1,AND(INDEX(DarlTilgStart,7)&gt;0,$E2996&lt;INDEX(DarlTilgStart,7))),0,MIN(MAX(0,$K2996-$L2996),$J2996)))</f>
      </c>
      <c r="N2996" s="43">
        <f>IF($I2996=0,0,MIN(SUMIFS(SondBetrag,SondDarl,7,SondDatum,"&gt;="&amp;$E2996,SondDatum,"&lt;="&amp;EOMONTH($E2996,0)),$J2996-$M2996))</f>
      </c>
      <c r="O2996" s="43">
        <f>IF($I2996=0,0,INDEX(DarlErsatzRate,7))</f>
      </c>
      <c r="P2996" s="43">
        <f>IF($I2996=0,0,$Q2995*INDEX(DarlErsatzZins,7))</f>
      </c>
      <c r="Q2996" s="43">
        <f>IF($I2996=0,0,$Q2995+$P2996+$O2996)</f>
      </c>
      <c r="R2996" s="43">
        <f>IF($I2996=0,0,$J2996-$M2996-$N2996)</f>
      </c>
    </row>
    <row r="2997">
      <c r="A2997"/>
      <c r="B2997">
        <v>7</v>
      </c>
      <c r="C2997" s="43">
        <f>INDEX(DarlObj,7)</f>
      </c>
      <c r="D2997">
        <v>114</v>
      </c>
      <c r="E2997" s="51">
        <f>IF(INDEX(DarlBelegt,7)=0,0,EOMONTH(INDEX(DarlAuszahlung,7),113)+1)</f>
      </c>
      <c r="F2997" s="43">
        <f>IF($E2997=0,0,YEAR($E2997))</f>
      </c>
      <c r="G2997" s="43">
        <f>IF(INDEX(DarlBindung,7)="",1,IF($E2997&lt;=INDEX(DarlBindung,7),1,0))</f>
      </c>
      <c r="H2997" s="43">
        <f>IF($G2997=1,INDEX(DarlSollzins,7),INDEX(DarlAnschluss,7))</f>
      </c>
      <c r="I2997" s="43">
        <f>IF(INDEX(DarlBelegt,7)=0,0,IF(INDEX(DarlOhneTilgung,7)=1,IF(INDEX(DarlBindung,7)="",1,$G2997),IF($J2997&gt;0.005,1,0)))</f>
      </c>
      <c r="J2997" s="43">
        <f>IF($I2996=0,0,$R2996)</f>
      </c>
      <c r="K2997" s="43">
        <f>IF($I2997=0,0,IF(INDEX(DarlOhneTilgung,7)=1,0,IF(AND(INDEX(DarlTilgStart,7)&gt;0,$E2997=INDEX(DarlTilgStart,7)),$J2997*($H2997+INDEX(DarlTilgung,7))/100/12,IF(AND($G2997=0,$G2996=1),MAX($K2996,$J2997*($H2997+1)/100/12),$K2996))))</f>
      </c>
      <c r="L2997" s="43">
        <f>IF($I2997=0,0,$J2997*$H2997/100/12)</f>
      </c>
      <c r="M2997" s="43">
        <f>IF($I2997=0,0,IF(OR(INDEX(DarlOhneTilgung,7)=1,AND(INDEX(DarlTilgStart,7)&gt;0,$E2997&lt;INDEX(DarlTilgStart,7))),0,MIN(MAX(0,$K2997-$L2997),$J2997)))</f>
      </c>
      <c r="N2997" s="43">
        <f>IF($I2997=0,0,MIN(SUMIFS(SondBetrag,SondDarl,7,SondDatum,"&gt;="&amp;$E2997,SondDatum,"&lt;="&amp;EOMONTH($E2997,0)),$J2997-$M2997))</f>
      </c>
      <c r="O2997" s="43">
        <f>IF($I2997=0,0,INDEX(DarlErsatzRate,7))</f>
      </c>
      <c r="P2997" s="43">
        <f>IF($I2997=0,0,$Q2996*INDEX(DarlErsatzZins,7))</f>
      </c>
      <c r="Q2997" s="43">
        <f>IF($I2997=0,0,$Q2996+$P2997+$O2997)</f>
      </c>
      <c r="R2997" s="43">
        <f>IF($I2997=0,0,$J2997-$M2997-$N2997)</f>
      </c>
    </row>
    <row r="2998">
      <c r="A2998"/>
      <c r="B2998">
        <v>7</v>
      </c>
      <c r="C2998" s="43">
        <f>INDEX(DarlObj,7)</f>
      </c>
      <c r="D2998">
        <v>115</v>
      </c>
      <c r="E2998" s="51">
        <f>IF(INDEX(DarlBelegt,7)=0,0,EOMONTH(INDEX(DarlAuszahlung,7),114)+1)</f>
      </c>
      <c r="F2998" s="43">
        <f>IF($E2998=0,0,YEAR($E2998))</f>
      </c>
      <c r="G2998" s="43">
        <f>IF(INDEX(DarlBindung,7)="",1,IF($E2998&lt;=INDEX(DarlBindung,7),1,0))</f>
      </c>
      <c r="H2998" s="43">
        <f>IF($G2998=1,INDEX(DarlSollzins,7),INDEX(DarlAnschluss,7))</f>
      </c>
      <c r="I2998" s="43">
        <f>IF(INDEX(DarlBelegt,7)=0,0,IF(INDEX(DarlOhneTilgung,7)=1,IF(INDEX(DarlBindung,7)="",1,$G2998),IF($J2998&gt;0.005,1,0)))</f>
      </c>
      <c r="J2998" s="43">
        <f>IF($I2997=0,0,$R2997)</f>
      </c>
      <c r="K2998" s="43">
        <f>IF($I2998=0,0,IF(INDEX(DarlOhneTilgung,7)=1,0,IF(AND(INDEX(DarlTilgStart,7)&gt;0,$E2998=INDEX(DarlTilgStart,7)),$J2998*($H2998+INDEX(DarlTilgung,7))/100/12,IF(AND($G2998=0,$G2997=1),MAX($K2997,$J2998*($H2998+1)/100/12),$K2997))))</f>
      </c>
      <c r="L2998" s="43">
        <f>IF($I2998=0,0,$J2998*$H2998/100/12)</f>
      </c>
      <c r="M2998" s="43">
        <f>IF($I2998=0,0,IF(OR(INDEX(DarlOhneTilgung,7)=1,AND(INDEX(DarlTilgStart,7)&gt;0,$E2998&lt;INDEX(DarlTilgStart,7))),0,MIN(MAX(0,$K2998-$L2998),$J2998)))</f>
      </c>
      <c r="N2998" s="43">
        <f>IF($I2998=0,0,MIN(SUMIFS(SondBetrag,SondDarl,7,SondDatum,"&gt;="&amp;$E2998,SondDatum,"&lt;="&amp;EOMONTH($E2998,0)),$J2998-$M2998))</f>
      </c>
      <c r="O2998" s="43">
        <f>IF($I2998=0,0,INDEX(DarlErsatzRate,7))</f>
      </c>
      <c r="P2998" s="43">
        <f>IF($I2998=0,0,$Q2997*INDEX(DarlErsatzZins,7))</f>
      </c>
      <c r="Q2998" s="43">
        <f>IF($I2998=0,0,$Q2997+$P2998+$O2998)</f>
      </c>
      <c r="R2998" s="43">
        <f>IF($I2998=0,0,$J2998-$M2998-$N2998)</f>
      </c>
    </row>
    <row r="2999">
      <c r="A2999"/>
      <c r="B2999">
        <v>7</v>
      </c>
      <c r="C2999" s="43">
        <f>INDEX(DarlObj,7)</f>
      </c>
      <c r="D2999">
        <v>116</v>
      </c>
      <c r="E2999" s="51">
        <f>IF(INDEX(DarlBelegt,7)=0,0,EOMONTH(INDEX(DarlAuszahlung,7),115)+1)</f>
      </c>
      <c r="F2999" s="43">
        <f>IF($E2999=0,0,YEAR($E2999))</f>
      </c>
      <c r="G2999" s="43">
        <f>IF(INDEX(DarlBindung,7)="",1,IF($E2999&lt;=INDEX(DarlBindung,7),1,0))</f>
      </c>
      <c r="H2999" s="43">
        <f>IF($G2999=1,INDEX(DarlSollzins,7),INDEX(DarlAnschluss,7))</f>
      </c>
      <c r="I2999" s="43">
        <f>IF(INDEX(DarlBelegt,7)=0,0,IF(INDEX(DarlOhneTilgung,7)=1,IF(INDEX(DarlBindung,7)="",1,$G2999),IF($J2999&gt;0.005,1,0)))</f>
      </c>
      <c r="J2999" s="43">
        <f>IF($I2998=0,0,$R2998)</f>
      </c>
      <c r="K2999" s="43">
        <f>IF($I2999=0,0,IF(INDEX(DarlOhneTilgung,7)=1,0,IF(AND(INDEX(DarlTilgStart,7)&gt;0,$E2999=INDEX(DarlTilgStart,7)),$J2999*($H2999+INDEX(DarlTilgung,7))/100/12,IF(AND($G2999=0,$G2998=1),MAX($K2998,$J2999*($H2999+1)/100/12),$K2998))))</f>
      </c>
      <c r="L2999" s="43">
        <f>IF($I2999=0,0,$J2999*$H2999/100/12)</f>
      </c>
      <c r="M2999" s="43">
        <f>IF($I2999=0,0,IF(OR(INDEX(DarlOhneTilgung,7)=1,AND(INDEX(DarlTilgStart,7)&gt;0,$E2999&lt;INDEX(DarlTilgStart,7))),0,MIN(MAX(0,$K2999-$L2999),$J2999)))</f>
      </c>
      <c r="N2999" s="43">
        <f>IF($I2999=0,0,MIN(SUMIFS(SondBetrag,SondDarl,7,SondDatum,"&gt;="&amp;$E2999,SondDatum,"&lt;="&amp;EOMONTH($E2999,0)),$J2999-$M2999))</f>
      </c>
      <c r="O2999" s="43">
        <f>IF($I2999=0,0,INDEX(DarlErsatzRate,7))</f>
      </c>
      <c r="P2999" s="43">
        <f>IF($I2999=0,0,$Q2998*INDEX(DarlErsatzZins,7))</f>
      </c>
      <c r="Q2999" s="43">
        <f>IF($I2999=0,0,$Q2998+$P2999+$O2999)</f>
      </c>
      <c r="R2999" s="43">
        <f>IF($I2999=0,0,$J2999-$M2999-$N2999)</f>
      </c>
    </row>
    <row r="3000">
      <c r="A3000"/>
      <c r="B3000">
        <v>7</v>
      </c>
      <c r="C3000" s="43">
        <f>INDEX(DarlObj,7)</f>
      </c>
      <c r="D3000">
        <v>117</v>
      </c>
      <c r="E3000" s="51">
        <f>IF(INDEX(DarlBelegt,7)=0,0,EOMONTH(INDEX(DarlAuszahlung,7),116)+1)</f>
      </c>
      <c r="F3000" s="43">
        <f>IF($E3000=0,0,YEAR($E3000))</f>
      </c>
      <c r="G3000" s="43">
        <f>IF(INDEX(DarlBindung,7)="",1,IF($E3000&lt;=INDEX(DarlBindung,7),1,0))</f>
      </c>
      <c r="H3000" s="43">
        <f>IF($G3000=1,INDEX(DarlSollzins,7),INDEX(DarlAnschluss,7))</f>
      </c>
      <c r="I3000" s="43">
        <f>IF(INDEX(DarlBelegt,7)=0,0,IF(INDEX(DarlOhneTilgung,7)=1,IF(INDEX(DarlBindung,7)="",1,$G3000),IF($J3000&gt;0.005,1,0)))</f>
      </c>
      <c r="J3000" s="43">
        <f>IF($I2999=0,0,$R2999)</f>
      </c>
      <c r="K3000" s="43">
        <f>IF($I3000=0,0,IF(INDEX(DarlOhneTilgung,7)=1,0,IF(AND(INDEX(DarlTilgStart,7)&gt;0,$E3000=INDEX(DarlTilgStart,7)),$J3000*($H3000+INDEX(DarlTilgung,7))/100/12,IF(AND($G3000=0,$G2999=1),MAX($K2999,$J3000*($H3000+1)/100/12),$K2999))))</f>
      </c>
      <c r="L3000" s="43">
        <f>IF($I3000=0,0,$J3000*$H3000/100/12)</f>
      </c>
      <c r="M3000" s="43">
        <f>IF($I3000=0,0,IF(OR(INDEX(DarlOhneTilgung,7)=1,AND(INDEX(DarlTilgStart,7)&gt;0,$E3000&lt;INDEX(DarlTilgStart,7))),0,MIN(MAX(0,$K3000-$L3000),$J3000)))</f>
      </c>
      <c r="N3000" s="43">
        <f>IF($I3000=0,0,MIN(SUMIFS(SondBetrag,SondDarl,7,SondDatum,"&gt;="&amp;$E3000,SondDatum,"&lt;="&amp;EOMONTH($E3000,0)),$J3000-$M3000))</f>
      </c>
      <c r="O3000" s="43">
        <f>IF($I3000=0,0,INDEX(DarlErsatzRate,7))</f>
      </c>
      <c r="P3000" s="43">
        <f>IF($I3000=0,0,$Q2999*INDEX(DarlErsatzZins,7))</f>
      </c>
      <c r="Q3000" s="43">
        <f>IF($I3000=0,0,$Q2999+$P3000+$O3000)</f>
      </c>
      <c r="R3000" s="43">
        <f>IF($I3000=0,0,$J3000-$M3000-$N3000)</f>
      </c>
    </row>
    <row r="3001">
      <c r="A3001"/>
      <c r="B3001">
        <v>7</v>
      </c>
      <c r="C3001" s="43">
        <f>INDEX(DarlObj,7)</f>
      </c>
      <c r="D3001">
        <v>118</v>
      </c>
      <c r="E3001" s="51">
        <f>IF(INDEX(DarlBelegt,7)=0,0,EOMONTH(INDEX(DarlAuszahlung,7),117)+1)</f>
      </c>
      <c r="F3001" s="43">
        <f>IF($E3001=0,0,YEAR($E3001))</f>
      </c>
      <c r="G3001" s="43">
        <f>IF(INDEX(DarlBindung,7)="",1,IF($E3001&lt;=INDEX(DarlBindung,7),1,0))</f>
      </c>
      <c r="H3001" s="43">
        <f>IF($G3001=1,INDEX(DarlSollzins,7),INDEX(DarlAnschluss,7))</f>
      </c>
      <c r="I3001" s="43">
        <f>IF(INDEX(DarlBelegt,7)=0,0,IF(INDEX(DarlOhneTilgung,7)=1,IF(INDEX(DarlBindung,7)="",1,$G3001),IF($J3001&gt;0.005,1,0)))</f>
      </c>
      <c r="J3001" s="43">
        <f>IF($I3000=0,0,$R3000)</f>
      </c>
      <c r="K3001" s="43">
        <f>IF($I3001=0,0,IF(INDEX(DarlOhneTilgung,7)=1,0,IF(AND(INDEX(DarlTilgStart,7)&gt;0,$E3001=INDEX(DarlTilgStart,7)),$J3001*($H3001+INDEX(DarlTilgung,7))/100/12,IF(AND($G3001=0,$G3000=1),MAX($K3000,$J3001*($H3001+1)/100/12),$K3000))))</f>
      </c>
      <c r="L3001" s="43">
        <f>IF($I3001=0,0,$J3001*$H3001/100/12)</f>
      </c>
      <c r="M3001" s="43">
        <f>IF($I3001=0,0,IF(OR(INDEX(DarlOhneTilgung,7)=1,AND(INDEX(DarlTilgStart,7)&gt;0,$E3001&lt;INDEX(DarlTilgStart,7))),0,MIN(MAX(0,$K3001-$L3001),$J3001)))</f>
      </c>
      <c r="N3001" s="43">
        <f>IF($I3001=0,0,MIN(SUMIFS(SondBetrag,SondDarl,7,SondDatum,"&gt;="&amp;$E3001,SondDatum,"&lt;="&amp;EOMONTH($E3001,0)),$J3001-$M3001))</f>
      </c>
      <c r="O3001" s="43">
        <f>IF($I3001=0,0,INDEX(DarlErsatzRate,7))</f>
      </c>
      <c r="P3001" s="43">
        <f>IF($I3001=0,0,$Q3000*INDEX(DarlErsatzZins,7))</f>
      </c>
      <c r="Q3001" s="43">
        <f>IF($I3001=0,0,$Q3000+$P3001+$O3001)</f>
      </c>
      <c r="R3001" s="43">
        <f>IF($I3001=0,0,$J3001-$M3001-$N3001)</f>
      </c>
    </row>
    <row r="3002">
      <c r="A3002"/>
      <c r="B3002">
        <v>7</v>
      </c>
      <c r="C3002" s="43">
        <f>INDEX(DarlObj,7)</f>
      </c>
      <c r="D3002">
        <v>119</v>
      </c>
      <c r="E3002" s="51">
        <f>IF(INDEX(DarlBelegt,7)=0,0,EOMONTH(INDEX(DarlAuszahlung,7),118)+1)</f>
      </c>
      <c r="F3002" s="43">
        <f>IF($E3002=0,0,YEAR($E3002))</f>
      </c>
      <c r="G3002" s="43">
        <f>IF(INDEX(DarlBindung,7)="",1,IF($E3002&lt;=INDEX(DarlBindung,7),1,0))</f>
      </c>
      <c r="H3002" s="43">
        <f>IF($G3002=1,INDEX(DarlSollzins,7),INDEX(DarlAnschluss,7))</f>
      </c>
      <c r="I3002" s="43">
        <f>IF(INDEX(DarlBelegt,7)=0,0,IF(INDEX(DarlOhneTilgung,7)=1,IF(INDEX(DarlBindung,7)="",1,$G3002),IF($J3002&gt;0.005,1,0)))</f>
      </c>
      <c r="J3002" s="43">
        <f>IF($I3001=0,0,$R3001)</f>
      </c>
      <c r="K3002" s="43">
        <f>IF($I3002=0,0,IF(INDEX(DarlOhneTilgung,7)=1,0,IF(AND(INDEX(DarlTilgStart,7)&gt;0,$E3002=INDEX(DarlTilgStart,7)),$J3002*($H3002+INDEX(DarlTilgung,7))/100/12,IF(AND($G3002=0,$G3001=1),MAX($K3001,$J3002*($H3002+1)/100/12),$K3001))))</f>
      </c>
      <c r="L3002" s="43">
        <f>IF($I3002=0,0,$J3002*$H3002/100/12)</f>
      </c>
      <c r="M3002" s="43">
        <f>IF($I3002=0,0,IF(OR(INDEX(DarlOhneTilgung,7)=1,AND(INDEX(DarlTilgStart,7)&gt;0,$E3002&lt;INDEX(DarlTilgStart,7))),0,MIN(MAX(0,$K3002-$L3002),$J3002)))</f>
      </c>
      <c r="N3002" s="43">
        <f>IF($I3002=0,0,MIN(SUMIFS(SondBetrag,SondDarl,7,SondDatum,"&gt;="&amp;$E3002,SondDatum,"&lt;="&amp;EOMONTH($E3002,0)),$J3002-$M3002))</f>
      </c>
      <c r="O3002" s="43">
        <f>IF($I3002=0,0,INDEX(DarlErsatzRate,7))</f>
      </c>
      <c r="P3002" s="43">
        <f>IF($I3002=0,0,$Q3001*INDEX(DarlErsatzZins,7))</f>
      </c>
      <c r="Q3002" s="43">
        <f>IF($I3002=0,0,$Q3001+$P3002+$O3002)</f>
      </c>
      <c r="R3002" s="43">
        <f>IF($I3002=0,0,$J3002-$M3002-$N3002)</f>
      </c>
    </row>
    <row r="3003">
      <c r="A3003"/>
      <c r="B3003">
        <v>7</v>
      </c>
      <c r="C3003" s="43">
        <f>INDEX(DarlObj,7)</f>
      </c>
      <c r="D3003">
        <v>120</v>
      </c>
      <c r="E3003" s="51">
        <f>IF(INDEX(DarlBelegt,7)=0,0,EOMONTH(INDEX(DarlAuszahlung,7),119)+1)</f>
      </c>
      <c r="F3003" s="43">
        <f>IF($E3003=0,0,YEAR($E3003))</f>
      </c>
      <c r="G3003" s="43">
        <f>IF(INDEX(DarlBindung,7)="",1,IF($E3003&lt;=INDEX(DarlBindung,7),1,0))</f>
      </c>
      <c r="H3003" s="43">
        <f>IF($G3003=1,INDEX(DarlSollzins,7),INDEX(DarlAnschluss,7))</f>
      </c>
      <c r="I3003" s="43">
        <f>IF(INDEX(DarlBelegt,7)=0,0,IF(INDEX(DarlOhneTilgung,7)=1,IF(INDEX(DarlBindung,7)="",1,$G3003),IF($J3003&gt;0.005,1,0)))</f>
      </c>
      <c r="J3003" s="43">
        <f>IF($I3002=0,0,$R3002)</f>
      </c>
      <c r="K3003" s="43">
        <f>IF($I3003=0,0,IF(INDEX(DarlOhneTilgung,7)=1,0,IF(AND(INDEX(DarlTilgStart,7)&gt;0,$E3003=INDEX(DarlTilgStart,7)),$J3003*($H3003+INDEX(DarlTilgung,7))/100/12,IF(AND($G3003=0,$G3002=1),MAX($K3002,$J3003*($H3003+1)/100/12),$K3002))))</f>
      </c>
      <c r="L3003" s="43">
        <f>IF($I3003=0,0,$J3003*$H3003/100/12)</f>
      </c>
      <c r="M3003" s="43">
        <f>IF($I3003=0,0,IF(OR(INDEX(DarlOhneTilgung,7)=1,AND(INDEX(DarlTilgStart,7)&gt;0,$E3003&lt;INDEX(DarlTilgStart,7))),0,MIN(MAX(0,$K3003-$L3003),$J3003)))</f>
      </c>
      <c r="N3003" s="43">
        <f>IF($I3003=0,0,MIN(SUMIFS(SondBetrag,SondDarl,7,SondDatum,"&gt;="&amp;$E3003,SondDatum,"&lt;="&amp;EOMONTH($E3003,0)),$J3003-$M3003))</f>
      </c>
      <c r="O3003" s="43">
        <f>IF($I3003=0,0,INDEX(DarlErsatzRate,7))</f>
      </c>
      <c r="P3003" s="43">
        <f>IF($I3003=0,0,$Q3002*INDEX(DarlErsatzZins,7))</f>
      </c>
      <c r="Q3003" s="43">
        <f>IF($I3003=0,0,$Q3002+$P3003+$O3003)</f>
      </c>
      <c r="R3003" s="43">
        <f>IF($I3003=0,0,$J3003-$M3003-$N3003)</f>
      </c>
    </row>
    <row r="3004">
      <c r="A3004"/>
      <c r="B3004">
        <v>7</v>
      </c>
      <c r="C3004" s="43">
        <f>INDEX(DarlObj,7)</f>
      </c>
      <c r="D3004">
        <v>121</v>
      </c>
      <c r="E3004" s="51">
        <f>IF(INDEX(DarlBelegt,7)=0,0,EOMONTH(INDEX(DarlAuszahlung,7),120)+1)</f>
      </c>
      <c r="F3004" s="43">
        <f>IF($E3004=0,0,YEAR($E3004))</f>
      </c>
      <c r="G3004" s="43">
        <f>IF(INDEX(DarlBindung,7)="",1,IF($E3004&lt;=INDEX(DarlBindung,7),1,0))</f>
      </c>
      <c r="H3004" s="43">
        <f>IF($G3004=1,INDEX(DarlSollzins,7),INDEX(DarlAnschluss,7))</f>
      </c>
      <c r="I3004" s="43">
        <f>IF(INDEX(DarlBelegt,7)=0,0,IF(INDEX(DarlOhneTilgung,7)=1,IF(INDEX(DarlBindung,7)="",1,$G3004),IF($J3004&gt;0.005,1,0)))</f>
      </c>
      <c r="J3004" s="43">
        <f>IF($I3003=0,0,$R3003)</f>
      </c>
      <c r="K3004" s="43">
        <f>IF($I3004=0,0,IF(INDEX(DarlOhneTilgung,7)=1,0,IF(AND(INDEX(DarlTilgStart,7)&gt;0,$E3004=INDEX(DarlTilgStart,7)),$J3004*($H3004+INDEX(DarlTilgung,7))/100/12,IF(AND($G3004=0,$G3003=1),MAX($K3003,$J3004*($H3004+1)/100/12),$K3003))))</f>
      </c>
      <c r="L3004" s="43">
        <f>IF($I3004=0,0,$J3004*$H3004/100/12)</f>
      </c>
      <c r="M3004" s="43">
        <f>IF($I3004=0,0,IF(OR(INDEX(DarlOhneTilgung,7)=1,AND(INDEX(DarlTilgStart,7)&gt;0,$E3004&lt;INDEX(DarlTilgStart,7))),0,MIN(MAX(0,$K3004-$L3004),$J3004)))</f>
      </c>
      <c r="N3004" s="43">
        <f>IF($I3004=0,0,MIN(SUMIFS(SondBetrag,SondDarl,7,SondDatum,"&gt;="&amp;$E3004,SondDatum,"&lt;="&amp;EOMONTH($E3004,0)),$J3004-$M3004))</f>
      </c>
      <c r="O3004" s="43">
        <f>IF($I3004=0,0,INDEX(DarlErsatzRate,7))</f>
      </c>
      <c r="P3004" s="43">
        <f>IF($I3004=0,0,$Q3003*INDEX(DarlErsatzZins,7))</f>
      </c>
      <c r="Q3004" s="43">
        <f>IF($I3004=0,0,$Q3003+$P3004+$O3004)</f>
      </c>
      <c r="R3004" s="43">
        <f>IF($I3004=0,0,$J3004-$M3004-$N3004)</f>
      </c>
    </row>
    <row r="3005">
      <c r="A3005"/>
      <c r="B3005">
        <v>7</v>
      </c>
      <c r="C3005" s="43">
        <f>INDEX(DarlObj,7)</f>
      </c>
      <c r="D3005">
        <v>122</v>
      </c>
      <c r="E3005" s="51">
        <f>IF(INDEX(DarlBelegt,7)=0,0,EOMONTH(INDEX(DarlAuszahlung,7),121)+1)</f>
      </c>
      <c r="F3005" s="43">
        <f>IF($E3005=0,0,YEAR($E3005))</f>
      </c>
      <c r="G3005" s="43">
        <f>IF(INDEX(DarlBindung,7)="",1,IF($E3005&lt;=INDEX(DarlBindung,7),1,0))</f>
      </c>
      <c r="H3005" s="43">
        <f>IF($G3005=1,INDEX(DarlSollzins,7),INDEX(DarlAnschluss,7))</f>
      </c>
      <c r="I3005" s="43">
        <f>IF(INDEX(DarlBelegt,7)=0,0,IF(INDEX(DarlOhneTilgung,7)=1,IF(INDEX(DarlBindung,7)="",1,$G3005),IF($J3005&gt;0.005,1,0)))</f>
      </c>
      <c r="J3005" s="43">
        <f>IF($I3004=0,0,$R3004)</f>
      </c>
      <c r="K3005" s="43">
        <f>IF($I3005=0,0,IF(INDEX(DarlOhneTilgung,7)=1,0,IF(AND(INDEX(DarlTilgStart,7)&gt;0,$E3005=INDEX(DarlTilgStart,7)),$J3005*($H3005+INDEX(DarlTilgung,7))/100/12,IF(AND($G3005=0,$G3004=1),MAX($K3004,$J3005*($H3005+1)/100/12),$K3004))))</f>
      </c>
      <c r="L3005" s="43">
        <f>IF($I3005=0,0,$J3005*$H3005/100/12)</f>
      </c>
      <c r="M3005" s="43">
        <f>IF($I3005=0,0,IF(OR(INDEX(DarlOhneTilgung,7)=1,AND(INDEX(DarlTilgStart,7)&gt;0,$E3005&lt;INDEX(DarlTilgStart,7))),0,MIN(MAX(0,$K3005-$L3005),$J3005)))</f>
      </c>
      <c r="N3005" s="43">
        <f>IF($I3005=0,0,MIN(SUMIFS(SondBetrag,SondDarl,7,SondDatum,"&gt;="&amp;$E3005,SondDatum,"&lt;="&amp;EOMONTH($E3005,0)),$J3005-$M3005))</f>
      </c>
      <c r="O3005" s="43">
        <f>IF($I3005=0,0,INDEX(DarlErsatzRate,7))</f>
      </c>
      <c r="P3005" s="43">
        <f>IF($I3005=0,0,$Q3004*INDEX(DarlErsatzZins,7))</f>
      </c>
      <c r="Q3005" s="43">
        <f>IF($I3005=0,0,$Q3004+$P3005+$O3005)</f>
      </c>
      <c r="R3005" s="43">
        <f>IF($I3005=0,0,$J3005-$M3005-$N3005)</f>
      </c>
    </row>
    <row r="3006">
      <c r="A3006"/>
      <c r="B3006">
        <v>7</v>
      </c>
      <c r="C3006" s="43">
        <f>INDEX(DarlObj,7)</f>
      </c>
      <c r="D3006">
        <v>123</v>
      </c>
      <c r="E3006" s="51">
        <f>IF(INDEX(DarlBelegt,7)=0,0,EOMONTH(INDEX(DarlAuszahlung,7),122)+1)</f>
      </c>
      <c r="F3006" s="43">
        <f>IF($E3006=0,0,YEAR($E3006))</f>
      </c>
      <c r="G3006" s="43">
        <f>IF(INDEX(DarlBindung,7)="",1,IF($E3006&lt;=INDEX(DarlBindung,7),1,0))</f>
      </c>
      <c r="H3006" s="43">
        <f>IF($G3006=1,INDEX(DarlSollzins,7),INDEX(DarlAnschluss,7))</f>
      </c>
      <c r="I3006" s="43">
        <f>IF(INDEX(DarlBelegt,7)=0,0,IF(INDEX(DarlOhneTilgung,7)=1,IF(INDEX(DarlBindung,7)="",1,$G3006),IF($J3006&gt;0.005,1,0)))</f>
      </c>
      <c r="J3006" s="43">
        <f>IF($I3005=0,0,$R3005)</f>
      </c>
      <c r="K3006" s="43">
        <f>IF($I3006=0,0,IF(INDEX(DarlOhneTilgung,7)=1,0,IF(AND(INDEX(DarlTilgStart,7)&gt;0,$E3006=INDEX(DarlTilgStart,7)),$J3006*($H3006+INDEX(DarlTilgung,7))/100/12,IF(AND($G3006=0,$G3005=1),MAX($K3005,$J3006*($H3006+1)/100/12),$K3005))))</f>
      </c>
      <c r="L3006" s="43">
        <f>IF($I3006=0,0,$J3006*$H3006/100/12)</f>
      </c>
      <c r="M3006" s="43">
        <f>IF($I3006=0,0,IF(OR(INDEX(DarlOhneTilgung,7)=1,AND(INDEX(DarlTilgStart,7)&gt;0,$E3006&lt;INDEX(DarlTilgStart,7))),0,MIN(MAX(0,$K3006-$L3006),$J3006)))</f>
      </c>
      <c r="N3006" s="43">
        <f>IF($I3006=0,0,MIN(SUMIFS(SondBetrag,SondDarl,7,SondDatum,"&gt;="&amp;$E3006,SondDatum,"&lt;="&amp;EOMONTH($E3006,0)),$J3006-$M3006))</f>
      </c>
      <c r="O3006" s="43">
        <f>IF($I3006=0,0,INDEX(DarlErsatzRate,7))</f>
      </c>
      <c r="P3006" s="43">
        <f>IF($I3006=0,0,$Q3005*INDEX(DarlErsatzZins,7))</f>
      </c>
      <c r="Q3006" s="43">
        <f>IF($I3006=0,0,$Q3005+$P3006+$O3006)</f>
      </c>
      <c r="R3006" s="43">
        <f>IF($I3006=0,0,$J3006-$M3006-$N3006)</f>
      </c>
    </row>
    <row r="3007">
      <c r="A3007"/>
      <c r="B3007">
        <v>7</v>
      </c>
      <c r="C3007" s="43">
        <f>INDEX(DarlObj,7)</f>
      </c>
      <c r="D3007">
        <v>124</v>
      </c>
      <c r="E3007" s="51">
        <f>IF(INDEX(DarlBelegt,7)=0,0,EOMONTH(INDEX(DarlAuszahlung,7),123)+1)</f>
      </c>
      <c r="F3007" s="43">
        <f>IF($E3007=0,0,YEAR($E3007))</f>
      </c>
      <c r="G3007" s="43">
        <f>IF(INDEX(DarlBindung,7)="",1,IF($E3007&lt;=INDEX(DarlBindung,7),1,0))</f>
      </c>
      <c r="H3007" s="43">
        <f>IF($G3007=1,INDEX(DarlSollzins,7),INDEX(DarlAnschluss,7))</f>
      </c>
      <c r="I3007" s="43">
        <f>IF(INDEX(DarlBelegt,7)=0,0,IF(INDEX(DarlOhneTilgung,7)=1,IF(INDEX(DarlBindung,7)="",1,$G3007),IF($J3007&gt;0.005,1,0)))</f>
      </c>
      <c r="J3007" s="43">
        <f>IF($I3006=0,0,$R3006)</f>
      </c>
      <c r="K3007" s="43">
        <f>IF($I3007=0,0,IF(INDEX(DarlOhneTilgung,7)=1,0,IF(AND(INDEX(DarlTilgStart,7)&gt;0,$E3007=INDEX(DarlTilgStart,7)),$J3007*($H3007+INDEX(DarlTilgung,7))/100/12,IF(AND($G3007=0,$G3006=1),MAX($K3006,$J3007*($H3007+1)/100/12),$K3006))))</f>
      </c>
      <c r="L3007" s="43">
        <f>IF($I3007=0,0,$J3007*$H3007/100/12)</f>
      </c>
      <c r="M3007" s="43">
        <f>IF($I3007=0,0,IF(OR(INDEX(DarlOhneTilgung,7)=1,AND(INDEX(DarlTilgStart,7)&gt;0,$E3007&lt;INDEX(DarlTilgStart,7))),0,MIN(MAX(0,$K3007-$L3007),$J3007)))</f>
      </c>
      <c r="N3007" s="43">
        <f>IF($I3007=0,0,MIN(SUMIFS(SondBetrag,SondDarl,7,SondDatum,"&gt;="&amp;$E3007,SondDatum,"&lt;="&amp;EOMONTH($E3007,0)),$J3007-$M3007))</f>
      </c>
      <c r="O3007" s="43">
        <f>IF($I3007=0,0,INDEX(DarlErsatzRate,7))</f>
      </c>
      <c r="P3007" s="43">
        <f>IF($I3007=0,0,$Q3006*INDEX(DarlErsatzZins,7))</f>
      </c>
      <c r="Q3007" s="43">
        <f>IF($I3007=0,0,$Q3006+$P3007+$O3007)</f>
      </c>
      <c r="R3007" s="43">
        <f>IF($I3007=0,0,$J3007-$M3007-$N3007)</f>
      </c>
    </row>
    <row r="3008">
      <c r="A3008"/>
      <c r="B3008">
        <v>7</v>
      </c>
      <c r="C3008" s="43">
        <f>INDEX(DarlObj,7)</f>
      </c>
      <c r="D3008">
        <v>125</v>
      </c>
      <c r="E3008" s="51">
        <f>IF(INDEX(DarlBelegt,7)=0,0,EOMONTH(INDEX(DarlAuszahlung,7),124)+1)</f>
      </c>
      <c r="F3008" s="43">
        <f>IF($E3008=0,0,YEAR($E3008))</f>
      </c>
      <c r="G3008" s="43">
        <f>IF(INDEX(DarlBindung,7)="",1,IF($E3008&lt;=INDEX(DarlBindung,7),1,0))</f>
      </c>
      <c r="H3008" s="43">
        <f>IF($G3008=1,INDEX(DarlSollzins,7),INDEX(DarlAnschluss,7))</f>
      </c>
      <c r="I3008" s="43">
        <f>IF(INDEX(DarlBelegt,7)=0,0,IF(INDEX(DarlOhneTilgung,7)=1,IF(INDEX(DarlBindung,7)="",1,$G3008),IF($J3008&gt;0.005,1,0)))</f>
      </c>
      <c r="J3008" s="43">
        <f>IF($I3007=0,0,$R3007)</f>
      </c>
      <c r="K3008" s="43">
        <f>IF($I3008=0,0,IF(INDEX(DarlOhneTilgung,7)=1,0,IF(AND(INDEX(DarlTilgStart,7)&gt;0,$E3008=INDEX(DarlTilgStart,7)),$J3008*($H3008+INDEX(DarlTilgung,7))/100/12,IF(AND($G3008=0,$G3007=1),MAX($K3007,$J3008*($H3008+1)/100/12),$K3007))))</f>
      </c>
      <c r="L3008" s="43">
        <f>IF($I3008=0,0,$J3008*$H3008/100/12)</f>
      </c>
      <c r="M3008" s="43">
        <f>IF($I3008=0,0,IF(OR(INDEX(DarlOhneTilgung,7)=1,AND(INDEX(DarlTilgStart,7)&gt;0,$E3008&lt;INDEX(DarlTilgStart,7))),0,MIN(MAX(0,$K3008-$L3008),$J3008)))</f>
      </c>
      <c r="N3008" s="43">
        <f>IF($I3008=0,0,MIN(SUMIFS(SondBetrag,SondDarl,7,SondDatum,"&gt;="&amp;$E3008,SondDatum,"&lt;="&amp;EOMONTH($E3008,0)),$J3008-$M3008))</f>
      </c>
      <c r="O3008" s="43">
        <f>IF($I3008=0,0,INDEX(DarlErsatzRate,7))</f>
      </c>
      <c r="P3008" s="43">
        <f>IF($I3008=0,0,$Q3007*INDEX(DarlErsatzZins,7))</f>
      </c>
      <c r="Q3008" s="43">
        <f>IF($I3008=0,0,$Q3007+$P3008+$O3008)</f>
      </c>
      <c r="R3008" s="43">
        <f>IF($I3008=0,0,$J3008-$M3008-$N3008)</f>
      </c>
    </row>
    <row r="3009">
      <c r="A3009"/>
      <c r="B3009">
        <v>7</v>
      </c>
      <c r="C3009" s="43">
        <f>INDEX(DarlObj,7)</f>
      </c>
      <c r="D3009">
        <v>126</v>
      </c>
      <c r="E3009" s="51">
        <f>IF(INDEX(DarlBelegt,7)=0,0,EOMONTH(INDEX(DarlAuszahlung,7),125)+1)</f>
      </c>
      <c r="F3009" s="43">
        <f>IF($E3009=0,0,YEAR($E3009))</f>
      </c>
      <c r="G3009" s="43">
        <f>IF(INDEX(DarlBindung,7)="",1,IF($E3009&lt;=INDEX(DarlBindung,7),1,0))</f>
      </c>
      <c r="H3009" s="43">
        <f>IF($G3009=1,INDEX(DarlSollzins,7),INDEX(DarlAnschluss,7))</f>
      </c>
      <c r="I3009" s="43">
        <f>IF(INDEX(DarlBelegt,7)=0,0,IF(INDEX(DarlOhneTilgung,7)=1,IF(INDEX(DarlBindung,7)="",1,$G3009),IF($J3009&gt;0.005,1,0)))</f>
      </c>
      <c r="J3009" s="43">
        <f>IF($I3008=0,0,$R3008)</f>
      </c>
      <c r="K3009" s="43">
        <f>IF($I3009=0,0,IF(INDEX(DarlOhneTilgung,7)=1,0,IF(AND(INDEX(DarlTilgStart,7)&gt;0,$E3009=INDEX(DarlTilgStart,7)),$J3009*($H3009+INDEX(DarlTilgung,7))/100/12,IF(AND($G3009=0,$G3008=1),MAX($K3008,$J3009*($H3009+1)/100/12),$K3008))))</f>
      </c>
      <c r="L3009" s="43">
        <f>IF($I3009=0,0,$J3009*$H3009/100/12)</f>
      </c>
      <c r="M3009" s="43">
        <f>IF($I3009=0,0,IF(OR(INDEX(DarlOhneTilgung,7)=1,AND(INDEX(DarlTilgStart,7)&gt;0,$E3009&lt;INDEX(DarlTilgStart,7))),0,MIN(MAX(0,$K3009-$L3009),$J3009)))</f>
      </c>
      <c r="N3009" s="43">
        <f>IF($I3009=0,0,MIN(SUMIFS(SondBetrag,SondDarl,7,SondDatum,"&gt;="&amp;$E3009,SondDatum,"&lt;="&amp;EOMONTH($E3009,0)),$J3009-$M3009))</f>
      </c>
      <c r="O3009" s="43">
        <f>IF($I3009=0,0,INDEX(DarlErsatzRate,7))</f>
      </c>
      <c r="P3009" s="43">
        <f>IF($I3009=0,0,$Q3008*INDEX(DarlErsatzZins,7))</f>
      </c>
      <c r="Q3009" s="43">
        <f>IF($I3009=0,0,$Q3008+$P3009+$O3009)</f>
      </c>
      <c r="R3009" s="43">
        <f>IF($I3009=0,0,$J3009-$M3009-$N3009)</f>
      </c>
    </row>
    <row r="3010">
      <c r="A3010"/>
      <c r="B3010">
        <v>7</v>
      </c>
      <c r="C3010" s="43">
        <f>INDEX(DarlObj,7)</f>
      </c>
      <c r="D3010">
        <v>127</v>
      </c>
      <c r="E3010" s="51">
        <f>IF(INDEX(DarlBelegt,7)=0,0,EOMONTH(INDEX(DarlAuszahlung,7),126)+1)</f>
      </c>
      <c r="F3010" s="43">
        <f>IF($E3010=0,0,YEAR($E3010))</f>
      </c>
      <c r="G3010" s="43">
        <f>IF(INDEX(DarlBindung,7)="",1,IF($E3010&lt;=INDEX(DarlBindung,7),1,0))</f>
      </c>
      <c r="H3010" s="43">
        <f>IF($G3010=1,INDEX(DarlSollzins,7),INDEX(DarlAnschluss,7))</f>
      </c>
      <c r="I3010" s="43">
        <f>IF(INDEX(DarlBelegt,7)=0,0,IF(INDEX(DarlOhneTilgung,7)=1,IF(INDEX(DarlBindung,7)="",1,$G3010),IF($J3010&gt;0.005,1,0)))</f>
      </c>
      <c r="J3010" s="43">
        <f>IF($I3009=0,0,$R3009)</f>
      </c>
      <c r="K3010" s="43">
        <f>IF($I3010=0,0,IF(INDEX(DarlOhneTilgung,7)=1,0,IF(AND(INDEX(DarlTilgStart,7)&gt;0,$E3010=INDEX(DarlTilgStart,7)),$J3010*($H3010+INDEX(DarlTilgung,7))/100/12,IF(AND($G3010=0,$G3009=1),MAX($K3009,$J3010*($H3010+1)/100/12),$K3009))))</f>
      </c>
      <c r="L3010" s="43">
        <f>IF($I3010=0,0,$J3010*$H3010/100/12)</f>
      </c>
      <c r="M3010" s="43">
        <f>IF($I3010=0,0,IF(OR(INDEX(DarlOhneTilgung,7)=1,AND(INDEX(DarlTilgStart,7)&gt;0,$E3010&lt;INDEX(DarlTilgStart,7))),0,MIN(MAX(0,$K3010-$L3010),$J3010)))</f>
      </c>
      <c r="N3010" s="43">
        <f>IF($I3010=0,0,MIN(SUMIFS(SondBetrag,SondDarl,7,SondDatum,"&gt;="&amp;$E3010,SondDatum,"&lt;="&amp;EOMONTH($E3010,0)),$J3010-$M3010))</f>
      </c>
      <c r="O3010" s="43">
        <f>IF($I3010=0,0,INDEX(DarlErsatzRate,7))</f>
      </c>
      <c r="P3010" s="43">
        <f>IF($I3010=0,0,$Q3009*INDEX(DarlErsatzZins,7))</f>
      </c>
      <c r="Q3010" s="43">
        <f>IF($I3010=0,0,$Q3009+$P3010+$O3010)</f>
      </c>
      <c r="R3010" s="43">
        <f>IF($I3010=0,0,$J3010-$M3010-$N3010)</f>
      </c>
    </row>
    <row r="3011">
      <c r="A3011"/>
      <c r="B3011">
        <v>7</v>
      </c>
      <c r="C3011" s="43">
        <f>INDEX(DarlObj,7)</f>
      </c>
      <c r="D3011">
        <v>128</v>
      </c>
      <c r="E3011" s="51">
        <f>IF(INDEX(DarlBelegt,7)=0,0,EOMONTH(INDEX(DarlAuszahlung,7),127)+1)</f>
      </c>
      <c r="F3011" s="43">
        <f>IF($E3011=0,0,YEAR($E3011))</f>
      </c>
      <c r="G3011" s="43">
        <f>IF(INDEX(DarlBindung,7)="",1,IF($E3011&lt;=INDEX(DarlBindung,7),1,0))</f>
      </c>
      <c r="H3011" s="43">
        <f>IF($G3011=1,INDEX(DarlSollzins,7),INDEX(DarlAnschluss,7))</f>
      </c>
      <c r="I3011" s="43">
        <f>IF(INDEX(DarlBelegt,7)=0,0,IF(INDEX(DarlOhneTilgung,7)=1,IF(INDEX(DarlBindung,7)="",1,$G3011),IF($J3011&gt;0.005,1,0)))</f>
      </c>
      <c r="J3011" s="43">
        <f>IF($I3010=0,0,$R3010)</f>
      </c>
      <c r="K3011" s="43">
        <f>IF($I3011=0,0,IF(INDEX(DarlOhneTilgung,7)=1,0,IF(AND(INDEX(DarlTilgStart,7)&gt;0,$E3011=INDEX(DarlTilgStart,7)),$J3011*($H3011+INDEX(DarlTilgung,7))/100/12,IF(AND($G3011=0,$G3010=1),MAX($K3010,$J3011*($H3011+1)/100/12),$K3010))))</f>
      </c>
      <c r="L3011" s="43">
        <f>IF($I3011=0,0,$J3011*$H3011/100/12)</f>
      </c>
      <c r="M3011" s="43">
        <f>IF($I3011=0,0,IF(OR(INDEX(DarlOhneTilgung,7)=1,AND(INDEX(DarlTilgStart,7)&gt;0,$E3011&lt;INDEX(DarlTilgStart,7))),0,MIN(MAX(0,$K3011-$L3011),$J3011)))</f>
      </c>
      <c r="N3011" s="43">
        <f>IF($I3011=0,0,MIN(SUMIFS(SondBetrag,SondDarl,7,SondDatum,"&gt;="&amp;$E3011,SondDatum,"&lt;="&amp;EOMONTH($E3011,0)),$J3011-$M3011))</f>
      </c>
      <c r="O3011" s="43">
        <f>IF($I3011=0,0,INDEX(DarlErsatzRate,7))</f>
      </c>
      <c r="P3011" s="43">
        <f>IF($I3011=0,0,$Q3010*INDEX(DarlErsatzZins,7))</f>
      </c>
      <c r="Q3011" s="43">
        <f>IF($I3011=0,0,$Q3010+$P3011+$O3011)</f>
      </c>
      <c r="R3011" s="43">
        <f>IF($I3011=0,0,$J3011-$M3011-$N3011)</f>
      </c>
    </row>
    <row r="3012">
      <c r="A3012"/>
      <c r="B3012">
        <v>7</v>
      </c>
      <c r="C3012" s="43">
        <f>INDEX(DarlObj,7)</f>
      </c>
      <c r="D3012">
        <v>129</v>
      </c>
      <c r="E3012" s="51">
        <f>IF(INDEX(DarlBelegt,7)=0,0,EOMONTH(INDEX(DarlAuszahlung,7),128)+1)</f>
      </c>
      <c r="F3012" s="43">
        <f>IF($E3012=0,0,YEAR($E3012))</f>
      </c>
      <c r="G3012" s="43">
        <f>IF(INDEX(DarlBindung,7)="",1,IF($E3012&lt;=INDEX(DarlBindung,7),1,0))</f>
      </c>
      <c r="H3012" s="43">
        <f>IF($G3012=1,INDEX(DarlSollzins,7),INDEX(DarlAnschluss,7))</f>
      </c>
      <c r="I3012" s="43">
        <f>IF(INDEX(DarlBelegt,7)=0,0,IF(INDEX(DarlOhneTilgung,7)=1,IF(INDEX(DarlBindung,7)="",1,$G3012),IF($J3012&gt;0.005,1,0)))</f>
      </c>
      <c r="J3012" s="43">
        <f>IF($I3011=0,0,$R3011)</f>
      </c>
      <c r="K3012" s="43">
        <f>IF($I3012=0,0,IF(INDEX(DarlOhneTilgung,7)=1,0,IF(AND(INDEX(DarlTilgStart,7)&gt;0,$E3012=INDEX(DarlTilgStart,7)),$J3012*($H3012+INDEX(DarlTilgung,7))/100/12,IF(AND($G3012=0,$G3011=1),MAX($K3011,$J3012*($H3012+1)/100/12),$K3011))))</f>
      </c>
      <c r="L3012" s="43">
        <f>IF($I3012=0,0,$J3012*$H3012/100/12)</f>
      </c>
      <c r="M3012" s="43">
        <f>IF($I3012=0,0,IF(OR(INDEX(DarlOhneTilgung,7)=1,AND(INDEX(DarlTilgStart,7)&gt;0,$E3012&lt;INDEX(DarlTilgStart,7))),0,MIN(MAX(0,$K3012-$L3012),$J3012)))</f>
      </c>
      <c r="N3012" s="43">
        <f>IF($I3012=0,0,MIN(SUMIFS(SondBetrag,SondDarl,7,SondDatum,"&gt;="&amp;$E3012,SondDatum,"&lt;="&amp;EOMONTH($E3012,0)),$J3012-$M3012))</f>
      </c>
      <c r="O3012" s="43">
        <f>IF($I3012=0,0,INDEX(DarlErsatzRate,7))</f>
      </c>
      <c r="P3012" s="43">
        <f>IF($I3012=0,0,$Q3011*INDEX(DarlErsatzZins,7))</f>
      </c>
      <c r="Q3012" s="43">
        <f>IF($I3012=0,0,$Q3011+$P3012+$O3012)</f>
      </c>
      <c r="R3012" s="43">
        <f>IF($I3012=0,0,$J3012-$M3012-$N3012)</f>
      </c>
    </row>
    <row r="3013">
      <c r="A3013"/>
      <c r="B3013">
        <v>7</v>
      </c>
      <c r="C3013" s="43">
        <f>INDEX(DarlObj,7)</f>
      </c>
      <c r="D3013">
        <v>130</v>
      </c>
      <c r="E3013" s="51">
        <f>IF(INDEX(DarlBelegt,7)=0,0,EOMONTH(INDEX(DarlAuszahlung,7),129)+1)</f>
      </c>
      <c r="F3013" s="43">
        <f>IF($E3013=0,0,YEAR($E3013))</f>
      </c>
      <c r="G3013" s="43">
        <f>IF(INDEX(DarlBindung,7)="",1,IF($E3013&lt;=INDEX(DarlBindung,7),1,0))</f>
      </c>
      <c r="H3013" s="43">
        <f>IF($G3013=1,INDEX(DarlSollzins,7),INDEX(DarlAnschluss,7))</f>
      </c>
      <c r="I3013" s="43">
        <f>IF(INDEX(DarlBelegt,7)=0,0,IF(INDEX(DarlOhneTilgung,7)=1,IF(INDEX(DarlBindung,7)="",1,$G3013),IF($J3013&gt;0.005,1,0)))</f>
      </c>
      <c r="J3013" s="43">
        <f>IF($I3012=0,0,$R3012)</f>
      </c>
      <c r="K3013" s="43">
        <f>IF($I3013=0,0,IF(INDEX(DarlOhneTilgung,7)=1,0,IF(AND(INDEX(DarlTilgStart,7)&gt;0,$E3013=INDEX(DarlTilgStart,7)),$J3013*($H3013+INDEX(DarlTilgung,7))/100/12,IF(AND($G3013=0,$G3012=1),MAX($K3012,$J3013*($H3013+1)/100/12),$K3012))))</f>
      </c>
      <c r="L3013" s="43">
        <f>IF($I3013=0,0,$J3013*$H3013/100/12)</f>
      </c>
      <c r="M3013" s="43">
        <f>IF($I3013=0,0,IF(OR(INDEX(DarlOhneTilgung,7)=1,AND(INDEX(DarlTilgStart,7)&gt;0,$E3013&lt;INDEX(DarlTilgStart,7))),0,MIN(MAX(0,$K3013-$L3013),$J3013)))</f>
      </c>
      <c r="N3013" s="43">
        <f>IF($I3013=0,0,MIN(SUMIFS(SondBetrag,SondDarl,7,SondDatum,"&gt;="&amp;$E3013,SondDatum,"&lt;="&amp;EOMONTH($E3013,0)),$J3013-$M3013))</f>
      </c>
      <c r="O3013" s="43">
        <f>IF($I3013=0,0,INDEX(DarlErsatzRate,7))</f>
      </c>
      <c r="P3013" s="43">
        <f>IF($I3013=0,0,$Q3012*INDEX(DarlErsatzZins,7))</f>
      </c>
      <c r="Q3013" s="43">
        <f>IF($I3013=0,0,$Q3012+$P3013+$O3013)</f>
      </c>
      <c r="R3013" s="43">
        <f>IF($I3013=0,0,$J3013-$M3013-$N3013)</f>
      </c>
    </row>
    <row r="3014">
      <c r="A3014"/>
      <c r="B3014">
        <v>7</v>
      </c>
      <c r="C3014" s="43">
        <f>INDEX(DarlObj,7)</f>
      </c>
      <c r="D3014">
        <v>131</v>
      </c>
      <c r="E3014" s="51">
        <f>IF(INDEX(DarlBelegt,7)=0,0,EOMONTH(INDEX(DarlAuszahlung,7),130)+1)</f>
      </c>
      <c r="F3014" s="43">
        <f>IF($E3014=0,0,YEAR($E3014))</f>
      </c>
      <c r="G3014" s="43">
        <f>IF(INDEX(DarlBindung,7)="",1,IF($E3014&lt;=INDEX(DarlBindung,7),1,0))</f>
      </c>
      <c r="H3014" s="43">
        <f>IF($G3014=1,INDEX(DarlSollzins,7),INDEX(DarlAnschluss,7))</f>
      </c>
      <c r="I3014" s="43">
        <f>IF(INDEX(DarlBelegt,7)=0,0,IF(INDEX(DarlOhneTilgung,7)=1,IF(INDEX(DarlBindung,7)="",1,$G3014),IF($J3014&gt;0.005,1,0)))</f>
      </c>
      <c r="J3014" s="43">
        <f>IF($I3013=0,0,$R3013)</f>
      </c>
      <c r="K3014" s="43">
        <f>IF($I3014=0,0,IF(INDEX(DarlOhneTilgung,7)=1,0,IF(AND(INDEX(DarlTilgStart,7)&gt;0,$E3014=INDEX(DarlTilgStart,7)),$J3014*($H3014+INDEX(DarlTilgung,7))/100/12,IF(AND($G3014=0,$G3013=1),MAX($K3013,$J3014*($H3014+1)/100/12),$K3013))))</f>
      </c>
      <c r="L3014" s="43">
        <f>IF($I3014=0,0,$J3014*$H3014/100/12)</f>
      </c>
      <c r="M3014" s="43">
        <f>IF($I3014=0,0,IF(OR(INDEX(DarlOhneTilgung,7)=1,AND(INDEX(DarlTilgStart,7)&gt;0,$E3014&lt;INDEX(DarlTilgStart,7))),0,MIN(MAX(0,$K3014-$L3014),$J3014)))</f>
      </c>
      <c r="N3014" s="43">
        <f>IF($I3014=0,0,MIN(SUMIFS(SondBetrag,SondDarl,7,SondDatum,"&gt;="&amp;$E3014,SondDatum,"&lt;="&amp;EOMONTH($E3014,0)),$J3014-$M3014))</f>
      </c>
      <c r="O3014" s="43">
        <f>IF($I3014=0,0,INDEX(DarlErsatzRate,7))</f>
      </c>
      <c r="P3014" s="43">
        <f>IF($I3014=0,0,$Q3013*INDEX(DarlErsatzZins,7))</f>
      </c>
      <c r="Q3014" s="43">
        <f>IF($I3014=0,0,$Q3013+$P3014+$O3014)</f>
      </c>
      <c r="R3014" s="43">
        <f>IF($I3014=0,0,$J3014-$M3014-$N3014)</f>
      </c>
    </row>
    <row r="3015">
      <c r="A3015"/>
      <c r="B3015">
        <v>7</v>
      </c>
      <c r="C3015" s="43">
        <f>INDEX(DarlObj,7)</f>
      </c>
      <c r="D3015">
        <v>132</v>
      </c>
      <c r="E3015" s="51">
        <f>IF(INDEX(DarlBelegt,7)=0,0,EOMONTH(INDEX(DarlAuszahlung,7),131)+1)</f>
      </c>
      <c r="F3015" s="43">
        <f>IF($E3015=0,0,YEAR($E3015))</f>
      </c>
      <c r="G3015" s="43">
        <f>IF(INDEX(DarlBindung,7)="",1,IF($E3015&lt;=INDEX(DarlBindung,7),1,0))</f>
      </c>
      <c r="H3015" s="43">
        <f>IF($G3015=1,INDEX(DarlSollzins,7),INDEX(DarlAnschluss,7))</f>
      </c>
      <c r="I3015" s="43">
        <f>IF(INDEX(DarlBelegt,7)=0,0,IF(INDEX(DarlOhneTilgung,7)=1,IF(INDEX(DarlBindung,7)="",1,$G3015),IF($J3015&gt;0.005,1,0)))</f>
      </c>
      <c r="J3015" s="43">
        <f>IF($I3014=0,0,$R3014)</f>
      </c>
      <c r="K3015" s="43">
        <f>IF($I3015=0,0,IF(INDEX(DarlOhneTilgung,7)=1,0,IF(AND(INDEX(DarlTilgStart,7)&gt;0,$E3015=INDEX(DarlTilgStart,7)),$J3015*($H3015+INDEX(DarlTilgung,7))/100/12,IF(AND($G3015=0,$G3014=1),MAX($K3014,$J3015*($H3015+1)/100/12),$K3014))))</f>
      </c>
      <c r="L3015" s="43">
        <f>IF($I3015=0,0,$J3015*$H3015/100/12)</f>
      </c>
      <c r="M3015" s="43">
        <f>IF($I3015=0,0,IF(OR(INDEX(DarlOhneTilgung,7)=1,AND(INDEX(DarlTilgStart,7)&gt;0,$E3015&lt;INDEX(DarlTilgStart,7))),0,MIN(MAX(0,$K3015-$L3015),$J3015)))</f>
      </c>
      <c r="N3015" s="43">
        <f>IF($I3015=0,0,MIN(SUMIFS(SondBetrag,SondDarl,7,SondDatum,"&gt;="&amp;$E3015,SondDatum,"&lt;="&amp;EOMONTH($E3015,0)),$J3015-$M3015))</f>
      </c>
      <c r="O3015" s="43">
        <f>IF($I3015=0,0,INDEX(DarlErsatzRate,7))</f>
      </c>
      <c r="P3015" s="43">
        <f>IF($I3015=0,0,$Q3014*INDEX(DarlErsatzZins,7))</f>
      </c>
      <c r="Q3015" s="43">
        <f>IF($I3015=0,0,$Q3014+$P3015+$O3015)</f>
      </c>
      <c r="R3015" s="43">
        <f>IF($I3015=0,0,$J3015-$M3015-$N3015)</f>
      </c>
    </row>
    <row r="3016">
      <c r="A3016"/>
      <c r="B3016">
        <v>7</v>
      </c>
      <c r="C3016" s="43">
        <f>INDEX(DarlObj,7)</f>
      </c>
      <c r="D3016">
        <v>133</v>
      </c>
      <c r="E3016" s="51">
        <f>IF(INDEX(DarlBelegt,7)=0,0,EOMONTH(INDEX(DarlAuszahlung,7),132)+1)</f>
      </c>
      <c r="F3016" s="43">
        <f>IF($E3016=0,0,YEAR($E3016))</f>
      </c>
      <c r="G3016" s="43">
        <f>IF(INDEX(DarlBindung,7)="",1,IF($E3016&lt;=INDEX(DarlBindung,7),1,0))</f>
      </c>
      <c r="H3016" s="43">
        <f>IF($G3016=1,INDEX(DarlSollzins,7),INDEX(DarlAnschluss,7))</f>
      </c>
      <c r="I3016" s="43">
        <f>IF(INDEX(DarlBelegt,7)=0,0,IF(INDEX(DarlOhneTilgung,7)=1,IF(INDEX(DarlBindung,7)="",1,$G3016),IF($J3016&gt;0.005,1,0)))</f>
      </c>
      <c r="J3016" s="43">
        <f>IF($I3015=0,0,$R3015)</f>
      </c>
      <c r="K3016" s="43">
        <f>IF($I3016=0,0,IF(INDEX(DarlOhneTilgung,7)=1,0,IF(AND(INDEX(DarlTilgStart,7)&gt;0,$E3016=INDEX(DarlTilgStart,7)),$J3016*($H3016+INDEX(DarlTilgung,7))/100/12,IF(AND($G3016=0,$G3015=1),MAX($K3015,$J3016*($H3016+1)/100/12),$K3015))))</f>
      </c>
      <c r="L3016" s="43">
        <f>IF($I3016=0,0,$J3016*$H3016/100/12)</f>
      </c>
      <c r="M3016" s="43">
        <f>IF($I3016=0,0,IF(OR(INDEX(DarlOhneTilgung,7)=1,AND(INDEX(DarlTilgStart,7)&gt;0,$E3016&lt;INDEX(DarlTilgStart,7))),0,MIN(MAX(0,$K3016-$L3016),$J3016)))</f>
      </c>
      <c r="N3016" s="43">
        <f>IF($I3016=0,0,MIN(SUMIFS(SondBetrag,SondDarl,7,SondDatum,"&gt;="&amp;$E3016,SondDatum,"&lt;="&amp;EOMONTH($E3016,0)),$J3016-$M3016))</f>
      </c>
      <c r="O3016" s="43">
        <f>IF($I3016=0,0,INDEX(DarlErsatzRate,7))</f>
      </c>
      <c r="P3016" s="43">
        <f>IF($I3016=0,0,$Q3015*INDEX(DarlErsatzZins,7))</f>
      </c>
      <c r="Q3016" s="43">
        <f>IF($I3016=0,0,$Q3015+$P3016+$O3016)</f>
      </c>
      <c r="R3016" s="43">
        <f>IF($I3016=0,0,$J3016-$M3016-$N3016)</f>
      </c>
    </row>
    <row r="3017">
      <c r="A3017"/>
      <c r="B3017">
        <v>7</v>
      </c>
      <c r="C3017" s="43">
        <f>INDEX(DarlObj,7)</f>
      </c>
      <c r="D3017">
        <v>134</v>
      </c>
      <c r="E3017" s="51">
        <f>IF(INDEX(DarlBelegt,7)=0,0,EOMONTH(INDEX(DarlAuszahlung,7),133)+1)</f>
      </c>
      <c r="F3017" s="43">
        <f>IF($E3017=0,0,YEAR($E3017))</f>
      </c>
      <c r="G3017" s="43">
        <f>IF(INDEX(DarlBindung,7)="",1,IF($E3017&lt;=INDEX(DarlBindung,7),1,0))</f>
      </c>
      <c r="H3017" s="43">
        <f>IF($G3017=1,INDEX(DarlSollzins,7),INDEX(DarlAnschluss,7))</f>
      </c>
      <c r="I3017" s="43">
        <f>IF(INDEX(DarlBelegt,7)=0,0,IF(INDEX(DarlOhneTilgung,7)=1,IF(INDEX(DarlBindung,7)="",1,$G3017),IF($J3017&gt;0.005,1,0)))</f>
      </c>
      <c r="J3017" s="43">
        <f>IF($I3016=0,0,$R3016)</f>
      </c>
      <c r="K3017" s="43">
        <f>IF($I3017=0,0,IF(INDEX(DarlOhneTilgung,7)=1,0,IF(AND(INDEX(DarlTilgStart,7)&gt;0,$E3017=INDEX(DarlTilgStart,7)),$J3017*($H3017+INDEX(DarlTilgung,7))/100/12,IF(AND($G3017=0,$G3016=1),MAX($K3016,$J3017*($H3017+1)/100/12),$K3016))))</f>
      </c>
      <c r="L3017" s="43">
        <f>IF($I3017=0,0,$J3017*$H3017/100/12)</f>
      </c>
      <c r="M3017" s="43">
        <f>IF($I3017=0,0,IF(OR(INDEX(DarlOhneTilgung,7)=1,AND(INDEX(DarlTilgStart,7)&gt;0,$E3017&lt;INDEX(DarlTilgStart,7))),0,MIN(MAX(0,$K3017-$L3017),$J3017)))</f>
      </c>
      <c r="N3017" s="43">
        <f>IF($I3017=0,0,MIN(SUMIFS(SondBetrag,SondDarl,7,SondDatum,"&gt;="&amp;$E3017,SondDatum,"&lt;="&amp;EOMONTH($E3017,0)),$J3017-$M3017))</f>
      </c>
      <c r="O3017" s="43">
        <f>IF($I3017=0,0,INDEX(DarlErsatzRate,7))</f>
      </c>
      <c r="P3017" s="43">
        <f>IF($I3017=0,0,$Q3016*INDEX(DarlErsatzZins,7))</f>
      </c>
      <c r="Q3017" s="43">
        <f>IF($I3017=0,0,$Q3016+$P3017+$O3017)</f>
      </c>
      <c r="R3017" s="43">
        <f>IF($I3017=0,0,$J3017-$M3017-$N3017)</f>
      </c>
    </row>
    <row r="3018">
      <c r="A3018"/>
      <c r="B3018">
        <v>7</v>
      </c>
      <c r="C3018" s="43">
        <f>INDEX(DarlObj,7)</f>
      </c>
      <c r="D3018">
        <v>135</v>
      </c>
      <c r="E3018" s="51">
        <f>IF(INDEX(DarlBelegt,7)=0,0,EOMONTH(INDEX(DarlAuszahlung,7),134)+1)</f>
      </c>
      <c r="F3018" s="43">
        <f>IF($E3018=0,0,YEAR($E3018))</f>
      </c>
      <c r="G3018" s="43">
        <f>IF(INDEX(DarlBindung,7)="",1,IF($E3018&lt;=INDEX(DarlBindung,7),1,0))</f>
      </c>
      <c r="H3018" s="43">
        <f>IF($G3018=1,INDEX(DarlSollzins,7),INDEX(DarlAnschluss,7))</f>
      </c>
      <c r="I3018" s="43">
        <f>IF(INDEX(DarlBelegt,7)=0,0,IF(INDEX(DarlOhneTilgung,7)=1,IF(INDEX(DarlBindung,7)="",1,$G3018),IF($J3018&gt;0.005,1,0)))</f>
      </c>
      <c r="J3018" s="43">
        <f>IF($I3017=0,0,$R3017)</f>
      </c>
      <c r="K3018" s="43">
        <f>IF($I3018=0,0,IF(INDEX(DarlOhneTilgung,7)=1,0,IF(AND(INDEX(DarlTilgStart,7)&gt;0,$E3018=INDEX(DarlTilgStart,7)),$J3018*($H3018+INDEX(DarlTilgung,7))/100/12,IF(AND($G3018=0,$G3017=1),MAX($K3017,$J3018*($H3018+1)/100/12),$K3017))))</f>
      </c>
      <c r="L3018" s="43">
        <f>IF($I3018=0,0,$J3018*$H3018/100/12)</f>
      </c>
      <c r="M3018" s="43">
        <f>IF($I3018=0,0,IF(OR(INDEX(DarlOhneTilgung,7)=1,AND(INDEX(DarlTilgStart,7)&gt;0,$E3018&lt;INDEX(DarlTilgStart,7))),0,MIN(MAX(0,$K3018-$L3018),$J3018)))</f>
      </c>
      <c r="N3018" s="43">
        <f>IF($I3018=0,0,MIN(SUMIFS(SondBetrag,SondDarl,7,SondDatum,"&gt;="&amp;$E3018,SondDatum,"&lt;="&amp;EOMONTH($E3018,0)),$J3018-$M3018))</f>
      </c>
      <c r="O3018" s="43">
        <f>IF($I3018=0,0,INDEX(DarlErsatzRate,7))</f>
      </c>
      <c r="P3018" s="43">
        <f>IF($I3018=0,0,$Q3017*INDEX(DarlErsatzZins,7))</f>
      </c>
      <c r="Q3018" s="43">
        <f>IF($I3018=0,0,$Q3017+$P3018+$O3018)</f>
      </c>
      <c r="R3018" s="43">
        <f>IF($I3018=0,0,$J3018-$M3018-$N3018)</f>
      </c>
    </row>
    <row r="3019">
      <c r="A3019"/>
      <c r="B3019">
        <v>7</v>
      </c>
      <c r="C3019" s="43">
        <f>INDEX(DarlObj,7)</f>
      </c>
      <c r="D3019">
        <v>136</v>
      </c>
      <c r="E3019" s="51">
        <f>IF(INDEX(DarlBelegt,7)=0,0,EOMONTH(INDEX(DarlAuszahlung,7),135)+1)</f>
      </c>
      <c r="F3019" s="43">
        <f>IF($E3019=0,0,YEAR($E3019))</f>
      </c>
      <c r="G3019" s="43">
        <f>IF(INDEX(DarlBindung,7)="",1,IF($E3019&lt;=INDEX(DarlBindung,7),1,0))</f>
      </c>
      <c r="H3019" s="43">
        <f>IF($G3019=1,INDEX(DarlSollzins,7),INDEX(DarlAnschluss,7))</f>
      </c>
      <c r="I3019" s="43">
        <f>IF(INDEX(DarlBelegt,7)=0,0,IF(INDEX(DarlOhneTilgung,7)=1,IF(INDEX(DarlBindung,7)="",1,$G3019),IF($J3019&gt;0.005,1,0)))</f>
      </c>
      <c r="J3019" s="43">
        <f>IF($I3018=0,0,$R3018)</f>
      </c>
      <c r="K3019" s="43">
        <f>IF($I3019=0,0,IF(INDEX(DarlOhneTilgung,7)=1,0,IF(AND(INDEX(DarlTilgStart,7)&gt;0,$E3019=INDEX(DarlTilgStart,7)),$J3019*($H3019+INDEX(DarlTilgung,7))/100/12,IF(AND($G3019=0,$G3018=1),MAX($K3018,$J3019*($H3019+1)/100/12),$K3018))))</f>
      </c>
      <c r="L3019" s="43">
        <f>IF($I3019=0,0,$J3019*$H3019/100/12)</f>
      </c>
      <c r="M3019" s="43">
        <f>IF($I3019=0,0,IF(OR(INDEX(DarlOhneTilgung,7)=1,AND(INDEX(DarlTilgStart,7)&gt;0,$E3019&lt;INDEX(DarlTilgStart,7))),0,MIN(MAX(0,$K3019-$L3019),$J3019)))</f>
      </c>
      <c r="N3019" s="43">
        <f>IF($I3019=0,0,MIN(SUMIFS(SondBetrag,SondDarl,7,SondDatum,"&gt;="&amp;$E3019,SondDatum,"&lt;="&amp;EOMONTH($E3019,0)),$J3019-$M3019))</f>
      </c>
      <c r="O3019" s="43">
        <f>IF($I3019=0,0,INDEX(DarlErsatzRate,7))</f>
      </c>
      <c r="P3019" s="43">
        <f>IF($I3019=0,0,$Q3018*INDEX(DarlErsatzZins,7))</f>
      </c>
      <c r="Q3019" s="43">
        <f>IF($I3019=0,0,$Q3018+$P3019+$O3019)</f>
      </c>
      <c r="R3019" s="43">
        <f>IF($I3019=0,0,$J3019-$M3019-$N3019)</f>
      </c>
    </row>
    <row r="3020">
      <c r="A3020"/>
      <c r="B3020">
        <v>7</v>
      </c>
      <c r="C3020" s="43">
        <f>INDEX(DarlObj,7)</f>
      </c>
      <c r="D3020">
        <v>137</v>
      </c>
      <c r="E3020" s="51">
        <f>IF(INDEX(DarlBelegt,7)=0,0,EOMONTH(INDEX(DarlAuszahlung,7),136)+1)</f>
      </c>
      <c r="F3020" s="43">
        <f>IF($E3020=0,0,YEAR($E3020))</f>
      </c>
      <c r="G3020" s="43">
        <f>IF(INDEX(DarlBindung,7)="",1,IF($E3020&lt;=INDEX(DarlBindung,7),1,0))</f>
      </c>
      <c r="H3020" s="43">
        <f>IF($G3020=1,INDEX(DarlSollzins,7),INDEX(DarlAnschluss,7))</f>
      </c>
      <c r="I3020" s="43">
        <f>IF(INDEX(DarlBelegt,7)=0,0,IF(INDEX(DarlOhneTilgung,7)=1,IF(INDEX(DarlBindung,7)="",1,$G3020),IF($J3020&gt;0.005,1,0)))</f>
      </c>
      <c r="J3020" s="43">
        <f>IF($I3019=0,0,$R3019)</f>
      </c>
      <c r="K3020" s="43">
        <f>IF($I3020=0,0,IF(INDEX(DarlOhneTilgung,7)=1,0,IF(AND(INDEX(DarlTilgStart,7)&gt;0,$E3020=INDEX(DarlTilgStart,7)),$J3020*($H3020+INDEX(DarlTilgung,7))/100/12,IF(AND($G3020=0,$G3019=1),MAX($K3019,$J3020*($H3020+1)/100/12),$K3019))))</f>
      </c>
      <c r="L3020" s="43">
        <f>IF($I3020=0,0,$J3020*$H3020/100/12)</f>
      </c>
      <c r="M3020" s="43">
        <f>IF($I3020=0,0,IF(OR(INDEX(DarlOhneTilgung,7)=1,AND(INDEX(DarlTilgStart,7)&gt;0,$E3020&lt;INDEX(DarlTilgStart,7))),0,MIN(MAX(0,$K3020-$L3020),$J3020)))</f>
      </c>
      <c r="N3020" s="43">
        <f>IF($I3020=0,0,MIN(SUMIFS(SondBetrag,SondDarl,7,SondDatum,"&gt;="&amp;$E3020,SondDatum,"&lt;="&amp;EOMONTH($E3020,0)),$J3020-$M3020))</f>
      </c>
      <c r="O3020" s="43">
        <f>IF($I3020=0,0,INDEX(DarlErsatzRate,7))</f>
      </c>
      <c r="P3020" s="43">
        <f>IF($I3020=0,0,$Q3019*INDEX(DarlErsatzZins,7))</f>
      </c>
      <c r="Q3020" s="43">
        <f>IF($I3020=0,0,$Q3019+$P3020+$O3020)</f>
      </c>
      <c r="R3020" s="43">
        <f>IF($I3020=0,0,$J3020-$M3020-$N3020)</f>
      </c>
    </row>
    <row r="3021">
      <c r="A3021"/>
      <c r="B3021">
        <v>7</v>
      </c>
      <c r="C3021" s="43">
        <f>INDEX(DarlObj,7)</f>
      </c>
      <c r="D3021">
        <v>138</v>
      </c>
      <c r="E3021" s="51">
        <f>IF(INDEX(DarlBelegt,7)=0,0,EOMONTH(INDEX(DarlAuszahlung,7),137)+1)</f>
      </c>
      <c r="F3021" s="43">
        <f>IF($E3021=0,0,YEAR($E3021))</f>
      </c>
      <c r="G3021" s="43">
        <f>IF(INDEX(DarlBindung,7)="",1,IF($E3021&lt;=INDEX(DarlBindung,7),1,0))</f>
      </c>
      <c r="H3021" s="43">
        <f>IF($G3021=1,INDEX(DarlSollzins,7),INDEX(DarlAnschluss,7))</f>
      </c>
      <c r="I3021" s="43">
        <f>IF(INDEX(DarlBelegt,7)=0,0,IF(INDEX(DarlOhneTilgung,7)=1,IF(INDEX(DarlBindung,7)="",1,$G3021),IF($J3021&gt;0.005,1,0)))</f>
      </c>
      <c r="J3021" s="43">
        <f>IF($I3020=0,0,$R3020)</f>
      </c>
      <c r="K3021" s="43">
        <f>IF($I3021=0,0,IF(INDEX(DarlOhneTilgung,7)=1,0,IF(AND(INDEX(DarlTilgStart,7)&gt;0,$E3021=INDEX(DarlTilgStart,7)),$J3021*($H3021+INDEX(DarlTilgung,7))/100/12,IF(AND($G3021=0,$G3020=1),MAX($K3020,$J3021*($H3021+1)/100/12),$K3020))))</f>
      </c>
      <c r="L3021" s="43">
        <f>IF($I3021=0,0,$J3021*$H3021/100/12)</f>
      </c>
      <c r="M3021" s="43">
        <f>IF($I3021=0,0,IF(OR(INDEX(DarlOhneTilgung,7)=1,AND(INDEX(DarlTilgStart,7)&gt;0,$E3021&lt;INDEX(DarlTilgStart,7))),0,MIN(MAX(0,$K3021-$L3021),$J3021)))</f>
      </c>
      <c r="N3021" s="43">
        <f>IF($I3021=0,0,MIN(SUMIFS(SondBetrag,SondDarl,7,SondDatum,"&gt;="&amp;$E3021,SondDatum,"&lt;="&amp;EOMONTH($E3021,0)),$J3021-$M3021))</f>
      </c>
      <c r="O3021" s="43">
        <f>IF($I3021=0,0,INDEX(DarlErsatzRate,7))</f>
      </c>
      <c r="P3021" s="43">
        <f>IF($I3021=0,0,$Q3020*INDEX(DarlErsatzZins,7))</f>
      </c>
      <c r="Q3021" s="43">
        <f>IF($I3021=0,0,$Q3020+$P3021+$O3021)</f>
      </c>
      <c r="R3021" s="43">
        <f>IF($I3021=0,0,$J3021-$M3021-$N3021)</f>
      </c>
    </row>
    <row r="3022">
      <c r="A3022"/>
      <c r="B3022">
        <v>7</v>
      </c>
      <c r="C3022" s="43">
        <f>INDEX(DarlObj,7)</f>
      </c>
      <c r="D3022">
        <v>139</v>
      </c>
      <c r="E3022" s="51">
        <f>IF(INDEX(DarlBelegt,7)=0,0,EOMONTH(INDEX(DarlAuszahlung,7),138)+1)</f>
      </c>
      <c r="F3022" s="43">
        <f>IF($E3022=0,0,YEAR($E3022))</f>
      </c>
      <c r="G3022" s="43">
        <f>IF(INDEX(DarlBindung,7)="",1,IF($E3022&lt;=INDEX(DarlBindung,7),1,0))</f>
      </c>
      <c r="H3022" s="43">
        <f>IF($G3022=1,INDEX(DarlSollzins,7),INDEX(DarlAnschluss,7))</f>
      </c>
      <c r="I3022" s="43">
        <f>IF(INDEX(DarlBelegt,7)=0,0,IF(INDEX(DarlOhneTilgung,7)=1,IF(INDEX(DarlBindung,7)="",1,$G3022),IF($J3022&gt;0.005,1,0)))</f>
      </c>
      <c r="J3022" s="43">
        <f>IF($I3021=0,0,$R3021)</f>
      </c>
      <c r="K3022" s="43">
        <f>IF($I3022=0,0,IF(INDEX(DarlOhneTilgung,7)=1,0,IF(AND(INDEX(DarlTilgStart,7)&gt;0,$E3022=INDEX(DarlTilgStart,7)),$J3022*($H3022+INDEX(DarlTilgung,7))/100/12,IF(AND($G3022=0,$G3021=1),MAX($K3021,$J3022*($H3022+1)/100/12),$K3021))))</f>
      </c>
      <c r="L3022" s="43">
        <f>IF($I3022=0,0,$J3022*$H3022/100/12)</f>
      </c>
      <c r="M3022" s="43">
        <f>IF($I3022=0,0,IF(OR(INDEX(DarlOhneTilgung,7)=1,AND(INDEX(DarlTilgStart,7)&gt;0,$E3022&lt;INDEX(DarlTilgStart,7))),0,MIN(MAX(0,$K3022-$L3022),$J3022)))</f>
      </c>
      <c r="N3022" s="43">
        <f>IF($I3022=0,0,MIN(SUMIFS(SondBetrag,SondDarl,7,SondDatum,"&gt;="&amp;$E3022,SondDatum,"&lt;="&amp;EOMONTH($E3022,0)),$J3022-$M3022))</f>
      </c>
      <c r="O3022" s="43">
        <f>IF($I3022=0,0,INDEX(DarlErsatzRate,7))</f>
      </c>
      <c r="P3022" s="43">
        <f>IF($I3022=0,0,$Q3021*INDEX(DarlErsatzZins,7))</f>
      </c>
      <c r="Q3022" s="43">
        <f>IF($I3022=0,0,$Q3021+$P3022+$O3022)</f>
      </c>
      <c r="R3022" s="43">
        <f>IF($I3022=0,0,$J3022-$M3022-$N3022)</f>
      </c>
    </row>
    <row r="3023">
      <c r="A3023"/>
      <c r="B3023">
        <v>7</v>
      </c>
      <c r="C3023" s="43">
        <f>INDEX(DarlObj,7)</f>
      </c>
      <c r="D3023">
        <v>140</v>
      </c>
      <c r="E3023" s="51">
        <f>IF(INDEX(DarlBelegt,7)=0,0,EOMONTH(INDEX(DarlAuszahlung,7),139)+1)</f>
      </c>
      <c r="F3023" s="43">
        <f>IF($E3023=0,0,YEAR($E3023))</f>
      </c>
      <c r="G3023" s="43">
        <f>IF(INDEX(DarlBindung,7)="",1,IF($E3023&lt;=INDEX(DarlBindung,7),1,0))</f>
      </c>
      <c r="H3023" s="43">
        <f>IF($G3023=1,INDEX(DarlSollzins,7),INDEX(DarlAnschluss,7))</f>
      </c>
      <c r="I3023" s="43">
        <f>IF(INDEX(DarlBelegt,7)=0,0,IF(INDEX(DarlOhneTilgung,7)=1,IF(INDEX(DarlBindung,7)="",1,$G3023),IF($J3023&gt;0.005,1,0)))</f>
      </c>
      <c r="J3023" s="43">
        <f>IF($I3022=0,0,$R3022)</f>
      </c>
      <c r="K3023" s="43">
        <f>IF($I3023=0,0,IF(INDEX(DarlOhneTilgung,7)=1,0,IF(AND(INDEX(DarlTilgStart,7)&gt;0,$E3023=INDEX(DarlTilgStart,7)),$J3023*($H3023+INDEX(DarlTilgung,7))/100/12,IF(AND($G3023=0,$G3022=1),MAX($K3022,$J3023*($H3023+1)/100/12),$K3022))))</f>
      </c>
      <c r="L3023" s="43">
        <f>IF($I3023=0,0,$J3023*$H3023/100/12)</f>
      </c>
      <c r="M3023" s="43">
        <f>IF($I3023=0,0,IF(OR(INDEX(DarlOhneTilgung,7)=1,AND(INDEX(DarlTilgStart,7)&gt;0,$E3023&lt;INDEX(DarlTilgStart,7))),0,MIN(MAX(0,$K3023-$L3023),$J3023)))</f>
      </c>
      <c r="N3023" s="43">
        <f>IF($I3023=0,0,MIN(SUMIFS(SondBetrag,SondDarl,7,SondDatum,"&gt;="&amp;$E3023,SondDatum,"&lt;="&amp;EOMONTH($E3023,0)),$J3023-$M3023))</f>
      </c>
      <c r="O3023" s="43">
        <f>IF($I3023=0,0,INDEX(DarlErsatzRate,7))</f>
      </c>
      <c r="P3023" s="43">
        <f>IF($I3023=0,0,$Q3022*INDEX(DarlErsatzZins,7))</f>
      </c>
      <c r="Q3023" s="43">
        <f>IF($I3023=0,0,$Q3022+$P3023+$O3023)</f>
      </c>
      <c r="R3023" s="43">
        <f>IF($I3023=0,0,$J3023-$M3023-$N3023)</f>
      </c>
    </row>
    <row r="3024">
      <c r="A3024"/>
      <c r="B3024">
        <v>7</v>
      </c>
      <c r="C3024" s="43">
        <f>INDEX(DarlObj,7)</f>
      </c>
      <c r="D3024">
        <v>141</v>
      </c>
      <c r="E3024" s="51">
        <f>IF(INDEX(DarlBelegt,7)=0,0,EOMONTH(INDEX(DarlAuszahlung,7),140)+1)</f>
      </c>
      <c r="F3024" s="43">
        <f>IF($E3024=0,0,YEAR($E3024))</f>
      </c>
      <c r="G3024" s="43">
        <f>IF(INDEX(DarlBindung,7)="",1,IF($E3024&lt;=INDEX(DarlBindung,7),1,0))</f>
      </c>
      <c r="H3024" s="43">
        <f>IF($G3024=1,INDEX(DarlSollzins,7),INDEX(DarlAnschluss,7))</f>
      </c>
      <c r="I3024" s="43">
        <f>IF(INDEX(DarlBelegt,7)=0,0,IF(INDEX(DarlOhneTilgung,7)=1,IF(INDEX(DarlBindung,7)="",1,$G3024),IF($J3024&gt;0.005,1,0)))</f>
      </c>
      <c r="J3024" s="43">
        <f>IF($I3023=0,0,$R3023)</f>
      </c>
      <c r="K3024" s="43">
        <f>IF($I3024=0,0,IF(INDEX(DarlOhneTilgung,7)=1,0,IF(AND(INDEX(DarlTilgStart,7)&gt;0,$E3024=INDEX(DarlTilgStart,7)),$J3024*($H3024+INDEX(DarlTilgung,7))/100/12,IF(AND($G3024=0,$G3023=1),MAX($K3023,$J3024*($H3024+1)/100/12),$K3023))))</f>
      </c>
      <c r="L3024" s="43">
        <f>IF($I3024=0,0,$J3024*$H3024/100/12)</f>
      </c>
      <c r="M3024" s="43">
        <f>IF($I3024=0,0,IF(OR(INDEX(DarlOhneTilgung,7)=1,AND(INDEX(DarlTilgStart,7)&gt;0,$E3024&lt;INDEX(DarlTilgStart,7))),0,MIN(MAX(0,$K3024-$L3024),$J3024)))</f>
      </c>
      <c r="N3024" s="43">
        <f>IF($I3024=0,0,MIN(SUMIFS(SondBetrag,SondDarl,7,SondDatum,"&gt;="&amp;$E3024,SondDatum,"&lt;="&amp;EOMONTH($E3024,0)),$J3024-$M3024))</f>
      </c>
      <c r="O3024" s="43">
        <f>IF($I3024=0,0,INDEX(DarlErsatzRate,7))</f>
      </c>
      <c r="P3024" s="43">
        <f>IF($I3024=0,0,$Q3023*INDEX(DarlErsatzZins,7))</f>
      </c>
      <c r="Q3024" s="43">
        <f>IF($I3024=0,0,$Q3023+$P3024+$O3024)</f>
      </c>
      <c r="R3024" s="43">
        <f>IF($I3024=0,0,$J3024-$M3024-$N3024)</f>
      </c>
    </row>
    <row r="3025">
      <c r="A3025"/>
      <c r="B3025">
        <v>7</v>
      </c>
      <c r="C3025" s="43">
        <f>INDEX(DarlObj,7)</f>
      </c>
      <c r="D3025">
        <v>142</v>
      </c>
      <c r="E3025" s="51">
        <f>IF(INDEX(DarlBelegt,7)=0,0,EOMONTH(INDEX(DarlAuszahlung,7),141)+1)</f>
      </c>
      <c r="F3025" s="43">
        <f>IF($E3025=0,0,YEAR($E3025))</f>
      </c>
      <c r="G3025" s="43">
        <f>IF(INDEX(DarlBindung,7)="",1,IF($E3025&lt;=INDEX(DarlBindung,7),1,0))</f>
      </c>
      <c r="H3025" s="43">
        <f>IF($G3025=1,INDEX(DarlSollzins,7),INDEX(DarlAnschluss,7))</f>
      </c>
      <c r="I3025" s="43">
        <f>IF(INDEX(DarlBelegt,7)=0,0,IF(INDEX(DarlOhneTilgung,7)=1,IF(INDEX(DarlBindung,7)="",1,$G3025),IF($J3025&gt;0.005,1,0)))</f>
      </c>
      <c r="J3025" s="43">
        <f>IF($I3024=0,0,$R3024)</f>
      </c>
      <c r="K3025" s="43">
        <f>IF($I3025=0,0,IF(INDEX(DarlOhneTilgung,7)=1,0,IF(AND(INDEX(DarlTilgStart,7)&gt;0,$E3025=INDEX(DarlTilgStart,7)),$J3025*($H3025+INDEX(DarlTilgung,7))/100/12,IF(AND($G3025=0,$G3024=1),MAX($K3024,$J3025*($H3025+1)/100/12),$K3024))))</f>
      </c>
      <c r="L3025" s="43">
        <f>IF($I3025=0,0,$J3025*$H3025/100/12)</f>
      </c>
      <c r="M3025" s="43">
        <f>IF($I3025=0,0,IF(OR(INDEX(DarlOhneTilgung,7)=1,AND(INDEX(DarlTilgStart,7)&gt;0,$E3025&lt;INDEX(DarlTilgStart,7))),0,MIN(MAX(0,$K3025-$L3025),$J3025)))</f>
      </c>
      <c r="N3025" s="43">
        <f>IF($I3025=0,0,MIN(SUMIFS(SondBetrag,SondDarl,7,SondDatum,"&gt;="&amp;$E3025,SondDatum,"&lt;="&amp;EOMONTH($E3025,0)),$J3025-$M3025))</f>
      </c>
      <c r="O3025" s="43">
        <f>IF($I3025=0,0,INDEX(DarlErsatzRate,7))</f>
      </c>
      <c r="P3025" s="43">
        <f>IF($I3025=0,0,$Q3024*INDEX(DarlErsatzZins,7))</f>
      </c>
      <c r="Q3025" s="43">
        <f>IF($I3025=0,0,$Q3024+$P3025+$O3025)</f>
      </c>
      <c r="R3025" s="43">
        <f>IF($I3025=0,0,$J3025-$M3025-$N3025)</f>
      </c>
    </row>
    <row r="3026">
      <c r="A3026"/>
      <c r="B3026">
        <v>7</v>
      </c>
      <c r="C3026" s="43">
        <f>INDEX(DarlObj,7)</f>
      </c>
      <c r="D3026">
        <v>143</v>
      </c>
      <c r="E3026" s="51">
        <f>IF(INDEX(DarlBelegt,7)=0,0,EOMONTH(INDEX(DarlAuszahlung,7),142)+1)</f>
      </c>
      <c r="F3026" s="43">
        <f>IF($E3026=0,0,YEAR($E3026))</f>
      </c>
      <c r="G3026" s="43">
        <f>IF(INDEX(DarlBindung,7)="",1,IF($E3026&lt;=INDEX(DarlBindung,7),1,0))</f>
      </c>
      <c r="H3026" s="43">
        <f>IF($G3026=1,INDEX(DarlSollzins,7),INDEX(DarlAnschluss,7))</f>
      </c>
      <c r="I3026" s="43">
        <f>IF(INDEX(DarlBelegt,7)=0,0,IF(INDEX(DarlOhneTilgung,7)=1,IF(INDEX(DarlBindung,7)="",1,$G3026),IF($J3026&gt;0.005,1,0)))</f>
      </c>
      <c r="J3026" s="43">
        <f>IF($I3025=0,0,$R3025)</f>
      </c>
      <c r="K3026" s="43">
        <f>IF($I3026=0,0,IF(INDEX(DarlOhneTilgung,7)=1,0,IF(AND(INDEX(DarlTilgStart,7)&gt;0,$E3026=INDEX(DarlTilgStart,7)),$J3026*($H3026+INDEX(DarlTilgung,7))/100/12,IF(AND($G3026=0,$G3025=1),MAX($K3025,$J3026*($H3026+1)/100/12),$K3025))))</f>
      </c>
      <c r="L3026" s="43">
        <f>IF($I3026=0,0,$J3026*$H3026/100/12)</f>
      </c>
      <c r="M3026" s="43">
        <f>IF($I3026=0,0,IF(OR(INDEX(DarlOhneTilgung,7)=1,AND(INDEX(DarlTilgStart,7)&gt;0,$E3026&lt;INDEX(DarlTilgStart,7))),0,MIN(MAX(0,$K3026-$L3026),$J3026)))</f>
      </c>
      <c r="N3026" s="43">
        <f>IF($I3026=0,0,MIN(SUMIFS(SondBetrag,SondDarl,7,SondDatum,"&gt;="&amp;$E3026,SondDatum,"&lt;="&amp;EOMONTH($E3026,0)),$J3026-$M3026))</f>
      </c>
      <c r="O3026" s="43">
        <f>IF($I3026=0,0,INDEX(DarlErsatzRate,7))</f>
      </c>
      <c r="P3026" s="43">
        <f>IF($I3026=0,0,$Q3025*INDEX(DarlErsatzZins,7))</f>
      </c>
      <c r="Q3026" s="43">
        <f>IF($I3026=0,0,$Q3025+$P3026+$O3026)</f>
      </c>
      <c r="R3026" s="43">
        <f>IF($I3026=0,0,$J3026-$M3026-$N3026)</f>
      </c>
    </row>
    <row r="3027">
      <c r="A3027"/>
      <c r="B3027">
        <v>7</v>
      </c>
      <c r="C3027" s="43">
        <f>INDEX(DarlObj,7)</f>
      </c>
      <c r="D3027">
        <v>144</v>
      </c>
      <c r="E3027" s="51">
        <f>IF(INDEX(DarlBelegt,7)=0,0,EOMONTH(INDEX(DarlAuszahlung,7),143)+1)</f>
      </c>
      <c r="F3027" s="43">
        <f>IF($E3027=0,0,YEAR($E3027))</f>
      </c>
      <c r="G3027" s="43">
        <f>IF(INDEX(DarlBindung,7)="",1,IF($E3027&lt;=INDEX(DarlBindung,7),1,0))</f>
      </c>
      <c r="H3027" s="43">
        <f>IF($G3027=1,INDEX(DarlSollzins,7),INDEX(DarlAnschluss,7))</f>
      </c>
      <c r="I3027" s="43">
        <f>IF(INDEX(DarlBelegt,7)=0,0,IF(INDEX(DarlOhneTilgung,7)=1,IF(INDEX(DarlBindung,7)="",1,$G3027),IF($J3027&gt;0.005,1,0)))</f>
      </c>
      <c r="J3027" s="43">
        <f>IF($I3026=0,0,$R3026)</f>
      </c>
      <c r="K3027" s="43">
        <f>IF($I3027=0,0,IF(INDEX(DarlOhneTilgung,7)=1,0,IF(AND(INDEX(DarlTilgStart,7)&gt;0,$E3027=INDEX(DarlTilgStart,7)),$J3027*($H3027+INDEX(DarlTilgung,7))/100/12,IF(AND($G3027=0,$G3026=1),MAX($K3026,$J3027*($H3027+1)/100/12),$K3026))))</f>
      </c>
      <c r="L3027" s="43">
        <f>IF($I3027=0,0,$J3027*$H3027/100/12)</f>
      </c>
      <c r="M3027" s="43">
        <f>IF($I3027=0,0,IF(OR(INDEX(DarlOhneTilgung,7)=1,AND(INDEX(DarlTilgStart,7)&gt;0,$E3027&lt;INDEX(DarlTilgStart,7))),0,MIN(MAX(0,$K3027-$L3027),$J3027)))</f>
      </c>
      <c r="N3027" s="43">
        <f>IF($I3027=0,0,MIN(SUMIFS(SondBetrag,SondDarl,7,SondDatum,"&gt;="&amp;$E3027,SondDatum,"&lt;="&amp;EOMONTH($E3027,0)),$J3027-$M3027))</f>
      </c>
      <c r="O3027" s="43">
        <f>IF($I3027=0,0,INDEX(DarlErsatzRate,7))</f>
      </c>
      <c r="P3027" s="43">
        <f>IF($I3027=0,0,$Q3026*INDEX(DarlErsatzZins,7))</f>
      </c>
      <c r="Q3027" s="43">
        <f>IF($I3027=0,0,$Q3026+$P3027+$O3027)</f>
      </c>
      <c r="R3027" s="43">
        <f>IF($I3027=0,0,$J3027-$M3027-$N3027)</f>
      </c>
    </row>
    <row r="3028">
      <c r="A3028"/>
      <c r="B3028">
        <v>7</v>
      </c>
      <c r="C3028" s="43">
        <f>INDEX(DarlObj,7)</f>
      </c>
      <c r="D3028">
        <v>145</v>
      </c>
      <c r="E3028" s="51">
        <f>IF(INDEX(DarlBelegt,7)=0,0,EOMONTH(INDEX(DarlAuszahlung,7),144)+1)</f>
      </c>
      <c r="F3028" s="43">
        <f>IF($E3028=0,0,YEAR($E3028))</f>
      </c>
      <c r="G3028" s="43">
        <f>IF(INDEX(DarlBindung,7)="",1,IF($E3028&lt;=INDEX(DarlBindung,7),1,0))</f>
      </c>
      <c r="H3028" s="43">
        <f>IF($G3028=1,INDEX(DarlSollzins,7),INDEX(DarlAnschluss,7))</f>
      </c>
      <c r="I3028" s="43">
        <f>IF(INDEX(DarlBelegt,7)=0,0,IF(INDEX(DarlOhneTilgung,7)=1,IF(INDEX(DarlBindung,7)="",1,$G3028),IF($J3028&gt;0.005,1,0)))</f>
      </c>
      <c r="J3028" s="43">
        <f>IF($I3027=0,0,$R3027)</f>
      </c>
      <c r="K3028" s="43">
        <f>IF($I3028=0,0,IF(INDEX(DarlOhneTilgung,7)=1,0,IF(AND(INDEX(DarlTilgStart,7)&gt;0,$E3028=INDEX(DarlTilgStart,7)),$J3028*($H3028+INDEX(DarlTilgung,7))/100/12,IF(AND($G3028=0,$G3027=1),MAX($K3027,$J3028*($H3028+1)/100/12),$K3027))))</f>
      </c>
      <c r="L3028" s="43">
        <f>IF($I3028=0,0,$J3028*$H3028/100/12)</f>
      </c>
      <c r="M3028" s="43">
        <f>IF($I3028=0,0,IF(OR(INDEX(DarlOhneTilgung,7)=1,AND(INDEX(DarlTilgStart,7)&gt;0,$E3028&lt;INDEX(DarlTilgStart,7))),0,MIN(MAX(0,$K3028-$L3028),$J3028)))</f>
      </c>
      <c r="N3028" s="43">
        <f>IF($I3028=0,0,MIN(SUMIFS(SondBetrag,SondDarl,7,SondDatum,"&gt;="&amp;$E3028,SondDatum,"&lt;="&amp;EOMONTH($E3028,0)),$J3028-$M3028))</f>
      </c>
      <c r="O3028" s="43">
        <f>IF($I3028=0,0,INDEX(DarlErsatzRate,7))</f>
      </c>
      <c r="P3028" s="43">
        <f>IF($I3028=0,0,$Q3027*INDEX(DarlErsatzZins,7))</f>
      </c>
      <c r="Q3028" s="43">
        <f>IF($I3028=0,0,$Q3027+$P3028+$O3028)</f>
      </c>
      <c r="R3028" s="43">
        <f>IF($I3028=0,0,$J3028-$M3028-$N3028)</f>
      </c>
    </row>
    <row r="3029">
      <c r="A3029"/>
      <c r="B3029">
        <v>7</v>
      </c>
      <c r="C3029" s="43">
        <f>INDEX(DarlObj,7)</f>
      </c>
      <c r="D3029">
        <v>146</v>
      </c>
      <c r="E3029" s="51">
        <f>IF(INDEX(DarlBelegt,7)=0,0,EOMONTH(INDEX(DarlAuszahlung,7),145)+1)</f>
      </c>
      <c r="F3029" s="43">
        <f>IF($E3029=0,0,YEAR($E3029))</f>
      </c>
      <c r="G3029" s="43">
        <f>IF(INDEX(DarlBindung,7)="",1,IF($E3029&lt;=INDEX(DarlBindung,7),1,0))</f>
      </c>
      <c r="H3029" s="43">
        <f>IF($G3029=1,INDEX(DarlSollzins,7),INDEX(DarlAnschluss,7))</f>
      </c>
      <c r="I3029" s="43">
        <f>IF(INDEX(DarlBelegt,7)=0,0,IF(INDEX(DarlOhneTilgung,7)=1,IF(INDEX(DarlBindung,7)="",1,$G3029),IF($J3029&gt;0.005,1,0)))</f>
      </c>
      <c r="J3029" s="43">
        <f>IF($I3028=0,0,$R3028)</f>
      </c>
      <c r="K3029" s="43">
        <f>IF($I3029=0,0,IF(INDEX(DarlOhneTilgung,7)=1,0,IF(AND(INDEX(DarlTilgStart,7)&gt;0,$E3029=INDEX(DarlTilgStart,7)),$J3029*($H3029+INDEX(DarlTilgung,7))/100/12,IF(AND($G3029=0,$G3028=1),MAX($K3028,$J3029*($H3029+1)/100/12),$K3028))))</f>
      </c>
      <c r="L3029" s="43">
        <f>IF($I3029=0,0,$J3029*$H3029/100/12)</f>
      </c>
      <c r="M3029" s="43">
        <f>IF($I3029=0,0,IF(OR(INDEX(DarlOhneTilgung,7)=1,AND(INDEX(DarlTilgStart,7)&gt;0,$E3029&lt;INDEX(DarlTilgStart,7))),0,MIN(MAX(0,$K3029-$L3029),$J3029)))</f>
      </c>
      <c r="N3029" s="43">
        <f>IF($I3029=0,0,MIN(SUMIFS(SondBetrag,SondDarl,7,SondDatum,"&gt;="&amp;$E3029,SondDatum,"&lt;="&amp;EOMONTH($E3029,0)),$J3029-$M3029))</f>
      </c>
      <c r="O3029" s="43">
        <f>IF($I3029=0,0,INDEX(DarlErsatzRate,7))</f>
      </c>
      <c r="P3029" s="43">
        <f>IF($I3029=0,0,$Q3028*INDEX(DarlErsatzZins,7))</f>
      </c>
      <c r="Q3029" s="43">
        <f>IF($I3029=0,0,$Q3028+$P3029+$O3029)</f>
      </c>
      <c r="R3029" s="43">
        <f>IF($I3029=0,0,$J3029-$M3029-$N3029)</f>
      </c>
    </row>
    <row r="3030">
      <c r="A3030"/>
      <c r="B3030">
        <v>7</v>
      </c>
      <c r="C3030" s="43">
        <f>INDEX(DarlObj,7)</f>
      </c>
      <c r="D3030">
        <v>147</v>
      </c>
      <c r="E3030" s="51">
        <f>IF(INDEX(DarlBelegt,7)=0,0,EOMONTH(INDEX(DarlAuszahlung,7),146)+1)</f>
      </c>
      <c r="F3030" s="43">
        <f>IF($E3030=0,0,YEAR($E3030))</f>
      </c>
      <c r="G3030" s="43">
        <f>IF(INDEX(DarlBindung,7)="",1,IF($E3030&lt;=INDEX(DarlBindung,7),1,0))</f>
      </c>
      <c r="H3030" s="43">
        <f>IF($G3030=1,INDEX(DarlSollzins,7),INDEX(DarlAnschluss,7))</f>
      </c>
      <c r="I3030" s="43">
        <f>IF(INDEX(DarlBelegt,7)=0,0,IF(INDEX(DarlOhneTilgung,7)=1,IF(INDEX(DarlBindung,7)="",1,$G3030),IF($J3030&gt;0.005,1,0)))</f>
      </c>
      <c r="J3030" s="43">
        <f>IF($I3029=0,0,$R3029)</f>
      </c>
      <c r="K3030" s="43">
        <f>IF($I3030=0,0,IF(INDEX(DarlOhneTilgung,7)=1,0,IF(AND(INDEX(DarlTilgStart,7)&gt;0,$E3030=INDEX(DarlTilgStart,7)),$J3030*($H3030+INDEX(DarlTilgung,7))/100/12,IF(AND($G3030=0,$G3029=1),MAX($K3029,$J3030*($H3030+1)/100/12),$K3029))))</f>
      </c>
      <c r="L3030" s="43">
        <f>IF($I3030=0,0,$J3030*$H3030/100/12)</f>
      </c>
      <c r="M3030" s="43">
        <f>IF($I3030=0,0,IF(OR(INDEX(DarlOhneTilgung,7)=1,AND(INDEX(DarlTilgStart,7)&gt;0,$E3030&lt;INDEX(DarlTilgStart,7))),0,MIN(MAX(0,$K3030-$L3030),$J3030)))</f>
      </c>
      <c r="N3030" s="43">
        <f>IF($I3030=0,0,MIN(SUMIFS(SondBetrag,SondDarl,7,SondDatum,"&gt;="&amp;$E3030,SondDatum,"&lt;="&amp;EOMONTH($E3030,0)),$J3030-$M3030))</f>
      </c>
      <c r="O3030" s="43">
        <f>IF($I3030=0,0,INDEX(DarlErsatzRate,7))</f>
      </c>
      <c r="P3030" s="43">
        <f>IF($I3030=0,0,$Q3029*INDEX(DarlErsatzZins,7))</f>
      </c>
      <c r="Q3030" s="43">
        <f>IF($I3030=0,0,$Q3029+$P3030+$O3030)</f>
      </c>
      <c r="R3030" s="43">
        <f>IF($I3030=0,0,$J3030-$M3030-$N3030)</f>
      </c>
    </row>
    <row r="3031">
      <c r="A3031"/>
      <c r="B3031">
        <v>7</v>
      </c>
      <c r="C3031" s="43">
        <f>INDEX(DarlObj,7)</f>
      </c>
      <c r="D3031">
        <v>148</v>
      </c>
      <c r="E3031" s="51">
        <f>IF(INDEX(DarlBelegt,7)=0,0,EOMONTH(INDEX(DarlAuszahlung,7),147)+1)</f>
      </c>
      <c r="F3031" s="43">
        <f>IF($E3031=0,0,YEAR($E3031))</f>
      </c>
      <c r="G3031" s="43">
        <f>IF(INDEX(DarlBindung,7)="",1,IF($E3031&lt;=INDEX(DarlBindung,7),1,0))</f>
      </c>
      <c r="H3031" s="43">
        <f>IF($G3031=1,INDEX(DarlSollzins,7),INDEX(DarlAnschluss,7))</f>
      </c>
      <c r="I3031" s="43">
        <f>IF(INDEX(DarlBelegt,7)=0,0,IF(INDEX(DarlOhneTilgung,7)=1,IF(INDEX(DarlBindung,7)="",1,$G3031),IF($J3031&gt;0.005,1,0)))</f>
      </c>
      <c r="J3031" s="43">
        <f>IF($I3030=0,0,$R3030)</f>
      </c>
      <c r="K3031" s="43">
        <f>IF($I3031=0,0,IF(INDEX(DarlOhneTilgung,7)=1,0,IF(AND(INDEX(DarlTilgStart,7)&gt;0,$E3031=INDEX(DarlTilgStart,7)),$J3031*($H3031+INDEX(DarlTilgung,7))/100/12,IF(AND($G3031=0,$G3030=1),MAX($K3030,$J3031*($H3031+1)/100/12),$K3030))))</f>
      </c>
      <c r="L3031" s="43">
        <f>IF($I3031=0,0,$J3031*$H3031/100/12)</f>
      </c>
      <c r="M3031" s="43">
        <f>IF($I3031=0,0,IF(OR(INDEX(DarlOhneTilgung,7)=1,AND(INDEX(DarlTilgStart,7)&gt;0,$E3031&lt;INDEX(DarlTilgStart,7))),0,MIN(MAX(0,$K3031-$L3031),$J3031)))</f>
      </c>
      <c r="N3031" s="43">
        <f>IF($I3031=0,0,MIN(SUMIFS(SondBetrag,SondDarl,7,SondDatum,"&gt;="&amp;$E3031,SondDatum,"&lt;="&amp;EOMONTH($E3031,0)),$J3031-$M3031))</f>
      </c>
      <c r="O3031" s="43">
        <f>IF($I3031=0,0,INDEX(DarlErsatzRate,7))</f>
      </c>
      <c r="P3031" s="43">
        <f>IF($I3031=0,0,$Q3030*INDEX(DarlErsatzZins,7))</f>
      </c>
      <c r="Q3031" s="43">
        <f>IF($I3031=0,0,$Q3030+$P3031+$O3031)</f>
      </c>
      <c r="R3031" s="43">
        <f>IF($I3031=0,0,$J3031-$M3031-$N3031)</f>
      </c>
    </row>
    <row r="3032">
      <c r="A3032"/>
      <c r="B3032">
        <v>7</v>
      </c>
      <c r="C3032" s="43">
        <f>INDEX(DarlObj,7)</f>
      </c>
      <c r="D3032">
        <v>149</v>
      </c>
      <c r="E3032" s="51">
        <f>IF(INDEX(DarlBelegt,7)=0,0,EOMONTH(INDEX(DarlAuszahlung,7),148)+1)</f>
      </c>
      <c r="F3032" s="43">
        <f>IF($E3032=0,0,YEAR($E3032))</f>
      </c>
      <c r="G3032" s="43">
        <f>IF(INDEX(DarlBindung,7)="",1,IF($E3032&lt;=INDEX(DarlBindung,7),1,0))</f>
      </c>
      <c r="H3032" s="43">
        <f>IF($G3032=1,INDEX(DarlSollzins,7),INDEX(DarlAnschluss,7))</f>
      </c>
      <c r="I3032" s="43">
        <f>IF(INDEX(DarlBelegt,7)=0,0,IF(INDEX(DarlOhneTilgung,7)=1,IF(INDEX(DarlBindung,7)="",1,$G3032),IF($J3032&gt;0.005,1,0)))</f>
      </c>
      <c r="J3032" s="43">
        <f>IF($I3031=0,0,$R3031)</f>
      </c>
      <c r="K3032" s="43">
        <f>IF($I3032=0,0,IF(INDEX(DarlOhneTilgung,7)=1,0,IF(AND(INDEX(DarlTilgStart,7)&gt;0,$E3032=INDEX(DarlTilgStart,7)),$J3032*($H3032+INDEX(DarlTilgung,7))/100/12,IF(AND($G3032=0,$G3031=1),MAX($K3031,$J3032*($H3032+1)/100/12),$K3031))))</f>
      </c>
      <c r="L3032" s="43">
        <f>IF($I3032=0,0,$J3032*$H3032/100/12)</f>
      </c>
      <c r="M3032" s="43">
        <f>IF($I3032=0,0,IF(OR(INDEX(DarlOhneTilgung,7)=1,AND(INDEX(DarlTilgStart,7)&gt;0,$E3032&lt;INDEX(DarlTilgStart,7))),0,MIN(MAX(0,$K3032-$L3032),$J3032)))</f>
      </c>
      <c r="N3032" s="43">
        <f>IF($I3032=0,0,MIN(SUMIFS(SondBetrag,SondDarl,7,SondDatum,"&gt;="&amp;$E3032,SondDatum,"&lt;="&amp;EOMONTH($E3032,0)),$J3032-$M3032))</f>
      </c>
      <c r="O3032" s="43">
        <f>IF($I3032=0,0,INDEX(DarlErsatzRate,7))</f>
      </c>
      <c r="P3032" s="43">
        <f>IF($I3032=0,0,$Q3031*INDEX(DarlErsatzZins,7))</f>
      </c>
      <c r="Q3032" s="43">
        <f>IF($I3032=0,0,$Q3031+$P3032+$O3032)</f>
      </c>
      <c r="R3032" s="43">
        <f>IF($I3032=0,0,$J3032-$M3032-$N3032)</f>
      </c>
    </row>
    <row r="3033">
      <c r="A3033"/>
      <c r="B3033">
        <v>7</v>
      </c>
      <c r="C3033" s="43">
        <f>INDEX(DarlObj,7)</f>
      </c>
      <c r="D3033">
        <v>150</v>
      </c>
      <c r="E3033" s="51">
        <f>IF(INDEX(DarlBelegt,7)=0,0,EOMONTH(INDEX(DarlAuszahlung,7),149)+1)</f>
      </c>
      <c r="F3033" s="43">
        <f>IF($E3033=0,0,YEAR($E3033))</f>
      </c>
      <c r="G3033" s="43">
        <f>IF(INDEX(DarlBindung,7)="",1,IF($E3033&lt;=INDEX(DarlBindung,7),1,0))</f>
      </c>
      <c r="H3033" s="43">
        <f>IF($G3033=1,INDEX(DarlSollzins,7),INDEX(DarlAnschluss,7))</f>
      </c>
      <c r="I3033" s="43">
        <f>IF(INDEX(DarlBelegt,7)=0,0,IF(INDEX(DarlOhneTilgung,7)=1,IF(INDEX(DarlBindung,7)="",1,$G3033),IF($J3033&gt;0.005,1,0)))</f>
      </c>
      <c r="J3033" s="43">
        <f>IF($I3032=0,0,$R3032)</f>
      </c>
      <c r="K3033" s="43">
        <f>IF($I3033=0,0,IF(INDEX(DarlOhneTilgung,7)=1,0,IF(AND(INDEX(DarlTilgStart,7)&gt;0,$E3033=INDEX(DarlTilgStart,7)),$J3033*($H3033+INDEX(DarlTilgung,7))/100/12,IF(AND($G3033=0,$G3032=1),MAX($K3032,$J3033*($H3033+1)/100/12),$K3032))))</f>
      </c>
      <c r="L3033" s="43">
        <f>IF($I3033=0,0,$J3033*$H3033/100/12)</f>
      </c>
      <c r="M3033" s="43">
        <f>IF($I3033=0,0,IF(OR(INDEX(DarlOhneTilgung,7)=1,AND(INDEX(DarlTilgStart,7)&gt;0,$E3033&lt;INDEX(DarlTilgStart,7))),0,MIN(MAX(0,$K3033-$L3033),$J3033)))</f>
      </c>
      <c r="N3033" s="43">
        <f>IF($I3033=0,0,MIN(SUMIFS(SondBetrag,SondDarl,7,SondDatum,"&gt;="&amp;$E3033,SondDatum,"&lt;="&amp;EOMONTH($E3033,0)),$J3033-$M3033))</f>
      </c>
      <c r="O3033" s="43">
        <f>IF($I3033=0,0,INDEX(DarlErsatzRate,7))</f>
      </c>
      <c r="P3033" s="43">
        <f>IF($I3033=0,0,$Q3032*INDEX(DarlErsatzZins,7))</f>
      </c>
      <c r="Q3033" s="43">
        <f>IF($I3033=0,0,$Q3032+$P3033+$O3033)</f>
      </c>
      <c r="R3033" s="43">
        <f>IF($I3033=0,0,$J3033-$M3033-$N3033)</f>
      </c>
    </row>
    <row r="3034">
      <c r="A3034"/>
      <c r="B3034">
        <v>7</v>
      </c>
      <c r="C3034" s="43">
        <f>INDEX(DarlObj,7)</f>
      </c>
      <c r="D3034">
        <v>151</v>
      </c>
      <c r="E3034" s="51">
        <f>IF(INDEX(DarlBelegt,7)=0,0,EOMONTH(INDEX(DarlAuszahlung,7),150)+1)</f>
      </c>
      <c r="F3034" s="43">
        <f>IF($E3034=0,0,YEAR($E3034))</f>
      </c>
      <c r="G3034" s="43">
        <f>IF(INDEX(DarlBindung,7)="",1,IF($E3034&lt;=INDEX(DarlBindung,7),1,0))</f>
      </c>
      <c r="H3034" s="43">
        <f>IF($G3034=1,INDEX(DarlSollzins,7),INDEX(DarlAnschluss,7))</f>
      </c>
      <c r="I3034" s="43">
        <f>IF(INDEX(DarlBelegt,7)=0,0,IF(INDEX(DarlOhneTilgung,7)=1,IF(INDEX(DarlBindung,7)="",1,$G3034),IF($J3034&gt;0.005,1,0)))</f>
      </c>
      <c r="J3034" s="43">
        <f>IF($I3033=0,0,$R3033)</f>
      </c>
      <c r="K3034" s="43">
        <f>IF($I3034=0,0,IF(INDEX(DarlOhneTilgung,7)=1,0,IF(AND(INDEX(DarlTilgStart,7)&gt;0,$E3034=INDEX(DarlTilgStart,7)),$J3034*($H3034+INDEX(DarlTilgung,7))/100/12,IF(AND($G3034=0,$G3033=1),MAX($K3033,$J3034*($H3034+1)/100/12),$K3033))))</f>
      </c>
      <c r="L3034" s="43">
        <f>IF($I3034=0,0,$J3034*$H3034/100/12)</f>
      </c>
      <c r="M3034" s="43">
        <f>IF($I3034=0,0,IF(OR(INDEX(DarlOhneTilgung,7)=1,AND(INDEX(DarlTilgStart,7)&gt;0,$E3034&lt;INDEX(DarlTilgStart,7))),0,MIN(MAX(0,$K3034-$L3034),$J3034)))</f>
      </c>
      <c r="N3034" s="43">
        <f>IF($I3034=0,0,MIN(SUMIFS(SondBetrag,SondDarl,7,SondDatum,"&gt;="&amp;$E3034,SondDatum,"&lt;="&amp;EOMONTH($E3034,0)),$J3034-$M3034))</f>
      </c>
      <c r="O3034" s="43">
        <f>IF($I3034=0,0,INDEX(DarlErsatzRate,7))</f>
      </c>
      <c r="P3034" s="43">
        <f>IF($I3034=0,0,$Q3033*INDEX(DarlErsatzZins,7))</f>
      </c>
      <c r="Q3034" s="43">
        <f>IF($I3034=0,0,$Q3033+$P3034+$O3034)</f>
      </c>
      <c r="R3034" s="43">
        <f>IF($I3034=0,0,$J3034-$M3034-$N3034)</f>
      </c>
    </row>
    <row r="3035">
      <c r="A3035"/>
      <c r="B3035">
        <v>7</v>
      </c>
      <c r="C3035" s="43">
        <f>INDEX(DarlObj,7)</f>
      </c>
      <c r="D3035">
        <v>152</v>
      </c>
      <c r="E3035" s="51">
        <f>IF(INDEX(DarlBelegt,7)=0,0,EOMONTH(INDEX(DarlAuszahlung,7),151)+1)</f>
      </c>
      <c r="F3035" s="43">
        <f>IF($E3035=0,0,YEAR($E3035))</f>
      </c>
      <c r="G3035" s="43">
        <f>IF(INDEX(DarlBindung,7)="",1,IF($E3035&lt;=INDEX(DarlBindung,7),1,0))</f>
      </c>
      <c r="H3035" s="43">
        <f>IF($G3035=1,INDEX(DarlSollzins,7),INDEX(DarlAnschluss,7))</f>
      </c>
      <c r="I3035" s="43">
        <f>IF(INDEX(DarlBelegt,7)=0,0,IF(INDEX(DarlOhneTilgung,7)=1,IF(INDEX(DarlBindung,7)="",1,$G3035),IF($J3035&gt;0.005,1,0)))</f>
      </c>
      <c r="J3035" s="43">
        <f>IF($I3034=0,0,$R3034)</f>
      </c>
      <c r="K3035" s="43">
        <f>IF($I3035=0,0,IF(INDEX(DarlOhneTilgung,7)=1,0,IF(AND(INDEX(DarlTilgStart,7)&gt;0,$E3035=INDEX(DarlTilgStart,7)),$J3035*($H3035+INDEX(DarlTilgung,7))/100/12,IF(AND($G3035=0,$G3034=1),MAX($K3034,$J3035*($H3035+1)/100/12),$K3034))))</f>
      </c>
      <c r="L3035" s="43">
        <f>IF($I3035=0,0,$J3035*$H3035/100/12)</f>
      </c>
      <c r="M3035" s="43">
        <f>IF($I3035=0,0,IF(OR(INDEX(DarlOhneTilgung,7)=1,AND(INDEX(DarlTilgStart,7)&gt;0,$E3035&lt;INDEX(DarlTilgStart,7))),0,MIN(MAX(0,$K3035-$L3035),$J3035)))</f>
      </c>
      <c r="N3035" s="43">
        <f>IF($I3035=0,0,MIN(SUMIFS(SondBetrag,SondDarl,7,SondDatum,"&gt;="&amp;$E3035,SondDatum,"&lt;="&amp;EOMONTH($E3035,0)),$J3035-$M3035))</f>
      </c>
      <c r="O3035" s="43">
        <f>IF($I3035=0,0,INDEX(DarlErsatzRate,7))</f>
      </c>
      <c r="P3035" s="43">
        <f>IF($I3035=0,0,$Q3034*INDEX(DarlErsatzZins,7))</f>
      </c>
      <c r="Q3035" s="43">
        <f>IF($I3035=0,0,$Q3034+$P3035+$O3035)</f>
      </c>
      <c r="R3035" s="43">
        <f>IF($I3035=0,0,$J3035-$M3035-$N3035)</f>
      </c>
    </row>
    <row r="3036">
      <c r="A3036"/>
      <c r="B3036">
        <v>7</v>
      </c>
      <c r="C3036" s="43">
        <f>INDEX(DarlObj,7)</f>
      </c>
      <c r="D3036">
        <v>153</v>
      </c>
      <c r="E3036" s="51">
        <f>IF(INDEX(DarlBelegt,7)=0,0,EOMONTH(INDEX(DarlAuszahlung,7),152)+1)</f>
      </c>
      <c r="F3036" s="43">
        <f>IF($E3036=0,0,YEAR($E3036))</f>
      </c>
      <c r="G3036" s="43">
        <f>IF(INDEX(DarlBindung,7)="",1,IF($E3036&lt;=INDEX(DarlBindung,7),1,0))</f>
      </c>
      <c r="H3036" s="43">
        <f>IF($G3036=1,INDEX(DarlSollzins,7),INDEX(DarlAnschluss,7))</f>
      </c>
      <c r="I3036" s="43">
        <f>IF(INDEX(DarlBelegt,7)=0,0,IF(INDEX(DarlOhneTilgung,7)=1,IF(INDEX(DarlBindung,7)="",1,$G3036),IF($J3036&gt;0.005,1,0)))</f>
      </c>
      <c r="J3036" s="43">
        <f>IF($I3035=0,0,$R3035)</f>
      </c>
      <c r="K3036" s="43">
        <f>IF($I3036=0,0,IF(INDEX(DarlOhneTilgung,7)=1,0,IF(AND(INDEX(DarlTilgStart,7)&gt;0,$E3036=INDEX(DarlTilgStart,7)),$J3036*($H3036+INDEX(DarlTilgung,7))/100/12,IF(AND($G3036=0,$G3035=1),MAX($K3035,$J3036*($H3036+1)/100/12),$K3035))))</f>
      </c>
      <c r="L3036" s="43">
        <f>IF($I3036=0,0,$J3036*$H3036/100/12)</f>
      </c>
      <c r="M3036" s="43">
        <f>IF($I3036=0,0,IF(OR(INDEX(DarlOhneTilgung,7)=1,AND(INDEX(DarlTilgStart,7)&gt;0,$E3036&lt;INDEX(DarlTilgStart,7))),0,MIN(MAX(0,$K3036-$L3036),$J3036)))</f>
      </c>
      <c r="N3036" s="43">
        <f>IF($I3036=0,0,MIN(SUMIFS(SondBetrag,SondDarl,7,SondDatum,"&gt;="&amp;$E3036,SondDatum,"&lt;="&amp;EOMONTH($E3036,0)),$J3036-$M3036))</f>
      </c>
      <c r="O3036" s="43">
        <f>IF($I3036=0,0,INDEX(DarlErsatzRate,7))</f>
      </c>
      <c r="P3036" s="43">
        <f>IF($I3036=0,0,$Q3035*INDEX(DarlErsatzZins,7))</f>
      </c>
      <c r="Q3036" s="43">
        <f>IF($I3036=0,0,$Q3035+$P3036+$O3036)</f>
      </c>
      <c r="R3036" s="43">
        <f>IF($I3036=0,0,$J3036-$M3036-$N3036)</f>
      </c>
    </row>
    <row r="3037">
      <c r="A3037"/>
      <c r="B3037">
        <v>7</v>
      </c>
      <c r="C3037" s="43">
        <f>INDEX(DarlObj,7)</f>
      </c>
      <c r="D3037">
        <v>154</v>
      </c>
      <c r="E3037" s="51">
        <f>IF(INDEX(DarlBelegt,7)=0,0,EOMONTH(INDEX(DarlAuszahlung,7),153)+1)</f>
      </c>
      <c r="F3037" s="43">
        <f>IF($E3037=0,0,YEAR($E3037))</f>
      </c>
      <c r="G3037" s="43">
        <f>IF(INDEX(DarlBindung,7)="",1,IF($E3037&lt;=INDEX(DarlBindung,7),1,0))</f>
      </c>
      <c r="H3037" s="43">
        <f>IF($G3037=1,INDEX(DarlSollzins,7),INDEX(DarlAnschluss,7))</f>
      </c>
      <c r="I3037" s="43">
        <f>IF(INDEX(DarlBelegt,7)=0,0,IF(INDEX(DarlOhneTilgung,7)=1,IF(INDEX(DarlBindung,7)="",1,$G3037),IF($J3037&gt;0.005,1,0)))</f>
      </c>
      <c r="J3037" s="43">
        <f>IF($I3036=0,0,$R3036)</f>
      </c>
      <c r="K3037" s="43">
        <f>IF($I3037=0,0,IF(INDEX(DarlOhneTilgung,7)=1,0,IF(AND(INDEX(DarlTilgStart,7)&gt;0,$E3037=INDEX(DarlTilgStart,7)),$J3037*($H3037+INDEX(DarlTilgung,7))/100/12,IF(AND($G3037=0,$G3036=1),MAX($K3036,$J3037*($H3037+1)/100/12),$K3036))))</f>
      </c>
      <c r="L3037" s="43">
        <f>IF($I3037=0,0,$J3037*$H3037/100/12)</f>
      </c>
      <c r="M3037" s="43">
        <f>IF($I3037=0,0,IF(OR(INDEX(DarlOhneTilgung,7)=1,AND(INDEX(DarlTilgStart,7)&gt;0,$E3037&lt;INDEX(DarlTilgStart,7))),0,MIN(MAX(0,$K3037-$L3037),$J3037)))</f>
      </c>
      <c r="N3037" s="43">
        <f>IF($I3037=0,0,MIN(SUMIFS(SondBetrag,SondDarl,7,SondDatum,"&gt;="&amp;$E3037,SondDatum,"&lt;="&amp;EOMONTH($E3037,0)),$J3037-$M3037))</f>
      </c>
      <c r="O3037" s="43">
        <f>IF($I3037=0,0,INDEX(DarlErsatzRate,7))</f>
      </c>
      <c r="P3037" s="43">
        <f>IF($I3037=0,0,$Q3036*INDEX(DarlErsatzZins,7))</f>
      </c>
      <c r="Q3037" s="43">
        <f>IF($I3037=0,0,$Q3036+$P3037+$O3037)</f>
      </c>
      <c r="R3037" s="43">
        <f>IF($I3037=0,0,$J3037-$M3037-$N3037)</f>
      </c>
    </row>
    <row r="3038">
      <c r="A3038"/>
      <c r="B3038">
        <v>7</v>
      </c>
      <c r="C3038" s="43">
        <f>INDEX(DarlObj,7)</f>
      </c>
      <c r="D3038">
        <v>155</v>
      </c>
      <c r="E3038" s="51">
        <f>IF(INDEX(DarlBelegt,7)=0,0,EOMONTH(INDEX(DarlAuszahlung,7),154)+1)</f>
      </c>
      <c r="F3038" s="43">
        <f>IF($E3038=0,0,YEAR($E3038))</f>
      </c>
      <c r="G3038" s="43">
        <f>IF(INDEX(DarlBindung,7)="",1,IF($E3038&lt;=INDEX(DarlBindung,7),1,0))</f>
      </c>
      <c r="H3038" s="43">
        <f>IF($G3038=1,INDEX(DarlSollzins,7),INDEX(DarlAnschluss,7))</f>
      </c>
      <c r="I3038" s="43">
        <f>IF(INDEX(DarlBelegt,7)=0,0,IF(INDEX(DarlOhneTilgung,7)=1,IF(INDEX(DarlBindung,7)="",1,$G3038),IF($J3038&gt;0.005,1,0)))</f>
      </c>
      <c r="J3038" s="43">
        <f>IF($I3037=0,0,$R3037)</f>
      </c>
      <c r="K3038" s="43">
        <f>IF($I3038=0,0,IF(INDEX(DarlOhneTilgung,7)=1,0,IF(AND(INDEX(DarlTilgStart,7)&gt;0,$E3038=INDEX(DarlTilgStart,7)),$J3038*($H3038+INDEX(DarlTilgung,7))/100/12,IF(AND($G3038=0,$G3037=1),MAX($K3037,$J3038*($H3038+1)/100/12),$K3037))))</f>
      </c>
      <c r="L3038" s="43">
        <f>IF($I3038=0,0,$J3038*$H3038/100/12)</f>
      </c>
      <c r="M3038" s="43">
        <f>IF($I3038=0,0,IF(OR(INDEX(DarlOhneTilgung,7)=1,AND(INDEX(DarlTilgStart,7)&gt;0,$E3038&lt;INDEX(DarlTilgStart,7))),0,MIN(MAX(0,$K3038-$L3038),$J3038)))</f>
      </c>
      <c r="N3038" s="43">
        <f>IF($I3038=0,0,MIN(SUMIFS(SondBetrag,SondDarl,7,SondDatum,"&gt;="&amp;$E3038,SondDatum,"&lt;="&amp;EOMONTH($E3038,0)),$J3038-$M3038))</f>
      </c>
      <c r="O3038" s="43">
        <f>IF($I3038=0,0,INDEX(DarlErsatzRate,7))</f>
      </c>
      <c r="P3038" s="43">
        <f>IF($I3038=0,0,$Q3037*INDEX(DarlErsatzZins,7))</f>
      </c>
      <c r="Q3038" s="43">
        <f>IF($I3038=0,0,$Q3037+$P3038+$O3038)</f>
      </c>
      <c r="R3038" s="43">
        <f>IF($I3038=0,0,$J3038-$M3038-$N3038)</f>
      </c>
    </row>
    <row r="3039">
      <c r="A3039"/>
      <c r="B3039">
        <v>7</v>
      </c>
      <c r="C3039" s="43">
        <f>INDEX(DarlObj,7)</f>
      </c>
      <c r="D3039">
        <v>156</v>
      </c>
      <c r="E3039" s="51">
        <f>IF(INDEX(DarlBelegt,7)=0,0,EOMONTH(INDEX(DarlAuszahlung,7),155)+1)</f>
      </c>
      <c r="F3039" s="43">
        <f>IF($E3039=0,0,YEAR($E3039))</f>
      </c>
      <c r="G3039" s="43">
        <f>IF(INDEX(DarlBindung,7)="",1,IF($E3039&lt;=INDEX(DarlBindung,7),1,0))</f>
      </c>
      <c r="H3039" s="43">
        <f>IF($G3039=1,INDEX(DarlSollzins,7),INDEX(DarlAnschluss,7))</f>
      </c>
      <c r="I3039" s="43">
        <f>IF(INDEX(DarlBelegt,7)=0,0,IF(INDEX(DarlOhneTilgung,7)=1,IF(INDEX(DarlBindung,7)="",1,$G3039),IF($J3039&gt;0.005,1,0)))</f>
      </c>
      <c r="J3039" s="43">
        <f>IF($I3038=0,0,$R3038)</f>
      </c>
      <c r="K3039" s="43">
        <f>IF($I3039=0,0,IF(INDEX(DarlOhneTilgung,7)=1,0,IF(AND(INDEX(DarlTilgStart,7)&gt;0,$E3039=INDEX(DarlTilgStart,7)),$J3039*($H3039+INDEX(DarlTilgung,7))/100/12,IF(AND($G3039=0,$G3038=1),MAX($K3038,$J3039*($H3039+1)/100/12),$K3038))))</f>
      </c>
      <c r="L3039" s="43">
        <f>IF($I3039=0,0,$J3039*$H3039/100/12)</f>
      </c>
      <c r="M3039" s="43">
        <f>IF($I3039=0,0,IF(OR(INDEX(DarlOhneTilgung,7)=1,AND(INDEX(DarlTilgStart,7)&gt;0,$E3039&lt;INDEX(DarlTilgStart,7))),0,MIN(MAX(0,$K3039-$L3039),$J3039)))</f>
      </c>
      <c r="N3039" s="43">
        <f>IF($I3039=0,0,MIN(SUMIFS(SondBetrag,SondDarl,7,SondDatum,"&gt;="&amp;$E3039,SondDatum,"&lt;="&amp;EOMONTH($E3039,0)),$J3039-$M3039))</f>
      </c>
      <c r="O3039" s="43">
        <f>IF($I3039=0,0,INDEX(DarlErsatzRate,7))</f>
      </c>
      <c r="P3039" s="43">
        <f>IF($I3039=0,0,$Q3038*INDEX(DarlErsatzZins,7))</f>
      </c>
      <c r="Q3039" s="43">
        <f>IF($I3039=0,0,$Q3038+$P3039+$O3039)</f>
      </c>
      <c r="R3039" s="43">
        <f>IF($I3039=0,0,$J3039-$M3039-$N3039)</f>
      </c>
    </row>
    <row r="3040">
      <c r="A3040"/>
      <c r="B3040">
        <v>7</v>
      </c>
      <c r="C3040" s="43">
        <f>INDEX(DarlObj,7)</f>
      </c>
      <c r="D3040">
        <v>157</v>
      </c>
      <c r="E3040" s="51">
        <f>IF(INDEX(DarlBelegt,7)=0,0,EOMONTH(INDEX(DarlAuszahlung,7),156)+1)</f>
      </c>
      <c r="F3040" s="43">
        <f>IF($E3040=0,0,YEAR($E3040))</f>
      </c>
      <c r="G3040" s="43">
        <f>IF(INDEX(DarlBindung,7)="",1,IF($E3040&lt;=INDEX(DarlBindung,7),1,0))</f>
      </c>
      <c r="H3040" s="43">
        <f>IF($G3040=1,INDEX(DarlSollzins,7),INDEX(DarlAnschluss,7))</f>
      </c>
      <c r="I3040" s="43">
        <f>IF(INDEX(DarlBelegt,7)=0,0,IF(INDEX(DarlOhneTilgung,7)=1,IF(INDEX(DarlBindung,7)="",1,$G3040),IF($J3040&gt;0.005,1,0)))</f>
      </c>
      <c r="J3040" s="43">
        <f>IF($I3039=0,0,$R3039)</f>
      </c>
      <c r="K3040" s="43">
        <f>IF($I3040=0,0,IF(INDEX(DarlOhneTilgung,7)=1,0,IF(AND(INDEX(DarlTilgStart,7)&gt;0,$E3040=INDEX(DarlTilgStart,7)),$J3040*($H3040+INDEX(DarlTilgung,7))/100/12,IF(AND($G3040=0,$G3039=1),MAX($K3039,$J3040*($H3040+1)/100/12),$K3039))))</f>
      </c>
      <c r="L3040" s="43">
        <f>IF($I3040=0,0,$J3040*$H3040/100/12)</f>
      </c>
      <c r="M3040" s="43">
        <f>IF($I3040=0,0,IF(OR(INDEX(DarlOhneTilgung,7)=1,AND(INDEX(DarlTilgStart,7)&gt;0,$E3040&lt;INDEX(DarlTilgStart,7))),0,MIN(MAX(0,$K3040-$L3040),$J3040)))</f>
      </c>
      <c r="N3040" s="43">
        <f>IF($I3040=0,0,MIN(SUMIFS(SondBetrag,SondDarl,7,SondDatum,"&gt;="&amp;$E3040,SondDatum,"&lt;="&amp;EOMONTH($E3040,0)),$J3040-$M3040))</f>
      </c>
      <c r="O3040" s="43">
        <f>IF($I3040=0,0,INDEX(DarlErsatzRate,7))</f>
      </c>
      <c r="P3040" s="43">
        <f>IF($I3040=0,0,$Q3039*INDEX(DarlErsatzZins,7))</f>
      </c>
      <c r="Q3040" s="43">
        <f>IF($I3040=0,0,$Q3039+$P3040+$O3040)</f>
      </c>
      <c r="R3040" s="43">
        <f>IF($I3040=0,0,$J3040-$M3040-$N3040)</f>
      </c>
    </row>
    <row r="3041">
      <c r="A3041"/>
      <c r="B3041">
        <v>7</v>
      </c>
      <c r="C3041" s="43">
        <f>INDEX(DarlObj,7)</f>
      </c>
      <c r="D3041">
        <v>158</v>
      </c>
      <c r="E3041" s="51">
        <f>IF(INDEX(DarlBelegt,7)=0,0,EOMONTH(INDEX(DarlAuszahlung,7),157)+1)</f>
      </c>
      <c r="F3041" s="43">
        <f>IF($E3041=0,0,YEAR($E3041))</f>
      </c>
      <c r="G3041" s="43">
        <f>IF(INDEX(DarlBindung,7)="",1,IF($E3041&lt;=INDEX(DarlBindung,7),1,0))</f>
      </c>
      <c r="H3041" s="43">
        <f>IF($G3041=1,INDEX(DarlSollzins,7),INDEX(DarlAnschluss,7))</f>
      </c>
      <c r="I3041" s="43">
        <f>IF(INDEX(DarlBelegt,7)=0,0,IF(INDEX(DarlOhneTilgung,7)=1,IF(INDEX(DarlBindung,7)="",1,$G3041),IF($J3041&gt;0.005,1,0)))</f>
      </c>
      <c r="J3041" s="43">
        <f>IF($I3040=0,0,$R3040)</f>
      </c>
      <c r="K3041" s="43">
        <f>IF($I3041=0,0,IF(INDEX(DarlOhneTilgung,7)=1,0,IF(AND(INDEX(DarlTilgStart,7)&gt;0,$E3041=INDEX(DarlTilgStart,7)),$J3041*($H3041+INDEX(DarlTilgung,7))/100/12,IF(AND($G3041=0,$G3040=1),MAX($K3040,$J3041*($H3041+1)/100/12),$K3040))))</f>
      </c>
      <c r="L3041" s="43">
        <f>IF($I3041=0,0,$J3041*$H3041/100/12)</f>
      </c>
      <c r="M3041" s="43">
        <f>IF($I3041=0,0,IF(OR(INDEX(DarlOhneTilgung,7)=1,AND(INDEX(DarlTilgStart,7)&gt;0,$E3041&lt;INDEX(DarlTilgStart,7))),0,MIN(MAX(0,$K3041-$L3041),$J3041)))</f>
      </c>
      <c r="N3041" s="43">
        <f>IF($I3041=0,0,MIN(SUMIFS(SondBetrag,SondDarl,7,SondDatum,"&gt;="&amp;$E3041,SondDatum,"&lt;="&amp;EOMONTH($E3041,0)),$J3041-$M3041))</f>
      </c>
      <c r="O3041" s="43">
        <f>IF($I3041=0,0,INDEX(DarlErsatzRate,7))</f>
      </c>
      <c r="P3041" s="43">
        <f>IF($I3041=0,0,$Q3040*INDEX(DarlErsatzZins,7))</f>
      </c>
      <c r="Q3041" s="43">
        <f>IF($I3041=0,0,$Q3040+$P3041+$O3041)</f>
      </c>
      <c r="R3041" s="43">
        <f>IF($I3041=0,0,$J3041-$M3041-$N3041)</f>
      </c>
    </row>
    <row r="3042">
      <c r="A3042"/>
      <c r="B3042">
        <v>7</v>
      </c>
      <c r="C3042" s="43">
        <f>INDEX(DarlObj,7)</f>
      </c>
      <c r="D3042">
        <v>159</v>
      </c>
      <c r="E3042" s="51">
        <f>IF(INDEX(DarlBelegt,7)=0,0,EOMONTH(INDEX(DarlAuszahlung,7),158)+1)</f>
      </c>
      <c r="F3042" s="43">
        <f>IF($E3042=0,0,YEAR($E3042))</f>
      </c>
      <c r="G3042" s="43">
        <f>IF(INDEX(DarlBindung,7)="",1,IF($E3042&lt;=INDEX(DarlBindung,7),1,0))</f>
      </c>
      <c r="H3042" s="43">
        <f>IF($G3042=1,INDEX(DarlSollzins,7),INDEX(DarlAnschluss,7))</f>
      </c>
      <c r="I3042" s="43">
        <f>IF(INDEX(DarlBelegt,7)=0,0,IF(INDEX(DarlOhneTilgung,7)=1,IF(INDEX(DarlBindung,7)="",1,$G3042),IF($J3042&gt;0.005,1,0)))</f>
      </c>
      <c r="J3042" s="43">
        <f>IF($I3041=0,0,$R3041)</f>
      </c>
      <c r="K3042" s="43">
        <f>IF($I3042=0,0,IF(INDEX(DarlOhneTilgung,7)=1,0,IF(AND(INDEX(DarlTilgStart,7)&gt;0,$E3042=INDEX(DarlTilgStart,7)),$J3042*($H3042+INDEX(DarlTilgung,7))/100/12,IF(AND($G3042=0,$G3041=1),MAX($K3041,$J3042*($H3042+1)/100/12),$K3041))))</f>
      </c>
      <c r="L3042" s="43">
        <f>IF($I3042=0,0,$J3042*$H3042/100/12)</f>
      </c>
      <c r="M3042" s="43">
        <f>IF($I3042=0,0,IF(OR(INDEX(DarlOhneTilgung,7)=1,AND(INDEX(DarlTilgStart,7)&gt;0,$E3042&lt;INDEX(DarlTilgStart,7))),0,MIN(MAX(0,$K3042-$L3042),$J3042)))</f>
      </c>
      <c r="N3042" s="43">
        <f>IF($I3042=0,0,MIN(SUMIFS(SondBetrag,SondDarl,7,SondDatum,"&gt;="&amp;$E3042,SondDatum,"&lt;="&amp;EOMONTH($E3042,0)),$J3042-$M3042))</f>
      </c>
      <c r="O3042" s="43">
        <f>IF($I3042=0,0,INDEX(DarlErsatzRate,7))</f>
      </c>
      <c r="P3042" s="43">
        <f>IF($I3042=0,0,$Q3041*INDEX(DarlErsatzZins,7))</f>
      </c>
      <c r="Q3042" s="43">
        <f>IF($I3042=0,0,$Q3041+$P3042+$O3042)</f>
      </c>
      <c r="R3042" s="43">
        <f>IF($I3042=0,0,$J3042-$M3042-$N3042)</f>
      </c>
    </row>
    <row r="3043">
      <c r="A3043"/>
      <c r="B3043">
        <v>7</v>
      </c>
      <c r="C3043" s="43">
        <f>INDEX(DarlObj,7)</f>
      </c>
      <c r="D3043">
        <v>160</v>
      </c>
      <c r="E3043" s="51">
        <f>IF(INDEX(DarlBelegt,7)=0,0,EOMONTH(INDEX(DarlAuszahlung,7),159)+1)</f>
      </c>
      <c r="F3043" s="43">
        <f>IF($E3043=0,0,YEAR($E3043))</f>
      </c>
      <c r="G3043" s="43">
        <f>IF(INDEX(DarlBindung,7)="",1,IF($E3043&lt;=INDEX(DarlBindung,7),1,0))</f>
      </c>
      <c r="H3043" s="43">
        <f>IF($G3043=1,INDEX(DarlSollzins,7),INDEX(DarlAnschluss,7))</f>
      </c>
      <c r="I3043" s="43">
        <f>IF(INDEX(DarlBelegt,7)=0,0,IF(INDEX(DarlOhneTilgung,7)=1,IF(INDEX(DarlBindung,7)="",1,$G3043),IF($J3043&gt;0.005,1,0)))</f>
      </c>
      <c r="J3043" s="43">
        <f>IF($I3042=0,0,$R3042)</f>
      </c>
      <c r="K3043" s="43">
        <f>IF($I3043=0,0,IF(INDEX(DarlOhneTilgung,7)=1,0,IF(AND(INDEX(DarlTilgStart,7)&gt;0,$E3043=INDEX(DarlTilgStart,7)),$J3043*($H3043+INDEX(DarlTilgung,7))/100/12,IF(AND($G3043=0,$G3042=1),MAX($K3042,$J3043*($H3043+1)/100/12),$K3042))))</f>
      </c>
      <c r="L3043" s="43">
        <f>IF($I3043=0,0,$J3043*$H3043/100/12)</f>
      </c>
      <c r="M3043" s="43">
        <f>IF($I3043=0,0,IF(OR(INDEX(DarlOhneTilgung,7)=1,AND(INDEX(DarlTilgStart,7)&gt;0,$E3043&lt;INDEX(DarlTilgStart,7))),0,MIN(MAX(0,$K3043-$L3043),$J3043)))</f>
      </c>
      <c r="N3043" s="43">
        <f>IF($I3043=0,0,MIN(SUMIFS(SondBetrag,SondDarl,7,SondDatum,"&gt;="&amp;$E3043,SondDatum,"&lt;="&amp;EOMONTH($E3043,0)),$J3043-$M3043))</f>
      </c>
      <c r="O3043" s="43">
        <f>IF($I3043=0,0,INDEX(DarlErsatzRate,7))</f>
      </c>
      <c r="P3043" s="43">
        <f>IF($I3043=0,0,$Q3042*INDEX(DarlErsatzZins,7))</f>
      </c>
      <c r="Q3043" s="43">
        <f>IF($I3043=0,0,$Q3042+$P3043+$O3043)</f>
      </c>
      <c r="R3043" s="43">
        <f>IF($I3043=0,0,$J3043-$M3043-$N3043)</f>
      </c>
    </row>
    <row r="3044">
      <c r="A3044"/>
      <c r="B3044">
        <v>7</v>
      </c>
      <c r="C3044" s="43">
        <f>INDEX(DarlObj,7)</f>
      </c>
      <c r="D3044">
        <v>161</v>
      </c>
      <c r="E3044" s="51">
        <f>IF(INDEX(DarlBelegt,7)=0,0,EOMONTH(INDEX(DarlAuszahlung,7),160)+1)</f>
      </c>
      <c r="F3044" s="43">
        <f>IF($E3044=0,0,YEAR($E3044))</f>
      </c>
      <c r="G3044" s="43">
        <f>IF(INDEX(DarlBindung,7)="",1,IF($E3044&lt;=INDEX(DarlBindung,7),1,0))</f>
      </c>
      <c r="H3044" s="43">
        <f>IF($G3044=1,INDEX(DarlSollzins,7),INDEX(DarlAnschluss,7))</f>
      </c>
      <c r="I3044" s="43">
        <f>IF(INDEX(DarlBelegt,7)=0,0,IF(INDEX(DarlOhneTilgung,7)=1,IF(INDEX(DarlBindung,7)="",1,$G3044),IF($J3044&gt;0.005,1,0)))</f>
      </c>
      <c r="J3044" s="43">
        <f>IF($I3043=0,0,$R3043)</f>
      </c>
      <c r="K3044" s="43">
        <f>IF($I3044=0,0,IF(INDEX(DarlOhneTilgung,7)=1,0,IF(AND(INDEX(DarlTilgStart,7)&gt;0,$E3044=INDEX(DarlTilgStart,7)),$J3044*($H3044+INDEX(DarlTilgung,7))/100/12,IF(AND($G3044=0,$G3043=1),MAX($K3043,$J3044*($H3044+1)/100/12),$K3043))))</f>
      </c>
      <c r="L3044" s="43">
        <f>IF($I3044=0,0,$J3044*$H3044/100/12)</f>
      </c>
      <c r="M3044" s="43">
        <f>IF($I3044=0,0,IF(OR(INDEX(DarlOhneTilgung,7)=1,AND(INDEX(DarlTilgStart,7)&gt;0,$E3044&lt;INDEX(DarlTilgStart,7))),0,MIN(MAX(0,$K3044-$L3044),$J3044)))</f>
      </c>
      <c r="N3044" s="43">
        <f>IF($I3044=0,0,MIN(SUMIFS(SondBetrag,SondDarl,7,SondDatum,"&gt;="&amp;$E3044,SondDatum,"&lt;="&amp;EOMONTH($E3044,0)),$J3044-$M3044))</f>
      </c>
      <c r="O3044" s="43">
        <f>IF($I3044=0,0,INDEX(DarlErsatzRate,7))</f>
      </c>
      <c r="P3044" s="43">
        <f>IF($I3044=0,0,$Q3043*INDEX(DarlErsatzZins,7))</f>
      </c>
      <c r="Q3044" s="43">
        <f>IF($I3044=0,0,$Q3043+$P3044+$O3044)</f>
      </c>
      <c r="R3044" s="43">
        <f>IF($I3044=0,0,$J3044-$M3044-$N3044)</f>
      </c>
    </row>
    <row r="3045">
      <c r="A3045"/>
      <c r="B3045">
        <v>7</v>
      </c>
      <c r="C3045" s="43">
        <f>INDEX(DarlObj,7)</f>
      </c>
      <c r="D3045">
        <v>162</v>
      </c>
      <c r="E3045" s="51">
        <f>IF(INDEX(DarlBelegt,7)=0,0,EOMONTH(INDEX(DarlAuszahlung,7),161)+1)</f>
      </c>
      <c r="F3045" s="43">
        <f>IF($E3045=0,0,YEAR($E3045))</f>
      </c>
      <c r="G3045" s="43">
        <f>IF(INDEX(DarlBindung,7)="",1,IF($E3045&lt;=INDEX(DarlBindung,7),1,0))</f>
      </c>
      <c r="H3045" s="43">
        <f>IF($G3045=1,INDEX(DarlSollzins,7),INDEX(DarlAnschluss,7))</f>
      </c>
      <c r="I3045" s="43">
        <f>IF(INDEX(DarlBelegt,7)=0,0,IF(INDEX(DarlOhneTilgung,7)=1,IF(INDEX(DarlBindung,7)="",1,$G3045),IF($J3045&gt;0.005,1,0)))</f>
      </c>
      <c r="J3045" s="43">
        <f>IF($I3044=0,0,$R3044)</f>
      </c>
      <c r="K3045" s="43">
        <f>IF($I3045=0,0,IF(INDEX(DarlOhneTilgung,7)=1,0,IF(AND(INDEX(DarlTilgStart,7)&gt;0,$E3045=INDEX(DarlTilgStart,7)),$J3045*($H3045+INDEX(DarlTilgung,7))/100/12,IF(AND($G3045=0,$G3044=1),MAX($K3044,$J3045*($H3045+1)/100/12),$K3044))))</f>
      </c>
      <c r="L3045" s="43">
        <f>IF($I3045=0,0,$J3045*$H3045/100/12)</f>
      </c>
      <c r="M3045" s="43">
        <f>IF($I3045=0,0,IF(OR(INDEX(DarlOhneTilgung,7)=1,AND(INDEX(DarlTilgStart,7)&gt;0,$E3045&lt;INDEX(DarlTilgStart,7))),0,MIN(MAX(0,$K3045-$L3045),$J3045)))</f>
      </c>
      <c r="N3045" s="43">
        <f>IF($I3045=0,0,MIN(SUMIFS(SondBetrag,SondDarl,7,SondDatum,"&gt;="&amp;$E3045,SondDatum,"&lt;="&amp;EOMONTH($E3045,0)),$J3045-$M3045))</f>
      </c>
      <c r="O3045" s="43">
        <f>IF($I3045=0,0,INDEX(DarlErsatzRate,7))</f>
      </c>
      <c r="P3045" s="43">
        <f>IF($I3045=0,0,$Q3044*INDEX(DarlErsatzZins,7))</f>
      </c>
      <c r="Q3045" s="43">
        <f>IF($I3045=0,0,$Q3044+$P3045+$O3045)</f>
      </c>
      <c r="R3045" s="43">
        <f>IF($I3045=0,0,$J3045-$M3045-$N3045)</f>
      </c>
    </row>
    <row r="3046">
      <c r="A3046"/>
      <c r="B3046">
        <v>7</v>
      </c>
      <c r="C3046" s="43">
        <f>INDEX(DarlObj,7)</f>
      </c>
      <c r="D3046">
        <v>163</v>
      </c>
      <c r="E3046" s="51">
        <f>IF(INDEX(DarlBelegt,7)=0,0,EOMONTH(INDEX(DarlAuszahlung,7),162)+1)</f>
      </c>
      <c r="F3046" s="43">
        <f>IF($E3046=0,0,YEAR($E3046))</f>
      </c>
      <c r="G3046" s="43">
        <f>IF(INDEX(DarlBindung,7)="",1,IF($E3046&lt;=INDEX(DarlBindung,7),1,0))</f>
      </c>
      <c r="H3046" s="43">
        <f>IF($G3046=1,INDEX(DarlSollzins,7),INDEX(DarlAnschluss,7))</f>
      </c>
      <c r="I3046" s="43">
        <f>IF(INDEX(DarlBelegt,7)=0,0,IF(INDEX(DarlOhneTilgung,7)=1,IF(INDEX(DarlBindung,7)="",1,$G3046),IF($J3046&gt;0.005,1,0)))</f>
      </c>
      <c r="J3046" s="43">
        <f>IF($I3045=0,0,$R3045)</f>
      </c>
      <c r="K3046" s="43">
        <f>IF($I3046=0,0,IF(INDEX(DarlOhneTilgung,7)=1,0,IF(AND(INDEX(DarlTilgStart,7)&gt;0,$E3046=INDEX(DarlTilgStart,7)),$J3046*($H3046+INDEX(DarlTilgung,7))/100/12,IF(AND($G3046=0,$G3045=1),MAX($K3045,$J3046*($H3046+1)/100/12),$K3045))))</f>
      </c>
      <c r="L3046" s="43">
        <f>IF($I3046=0,0,$J3046*$H3046/100/12)</f>
      </c>
      <c r="M3046" s="43">
        <f>IF($I3046=0,0,IF(OR(INDEX(DarlOhneTilgung,7)=1,AND(INDEX(DarlTilgStart,7)&gt;0,$E3046&lt;INDEX(DarlTilgStart,7))),0,MIN(MAX(0,$K3046-$L3046),$J3046)))</f>
      </c>
      <c r="N3046" s="43">
        <f>IF($I3046=0,0,MIN(SUMIFS(SondBetrag,SondDarl,7,SondDatum,"&gt;="&amp;$E3046,SondDatum,"&lt;="&amp;EOMONTH($E3046,0)),$J3046-$M3046))</f>
      </c>
      <c r="O3046" s="43">
        <f>IF($I3046=0,0,INDEX(DarlErsatzRate,7))</f>
      </c>
      <c r="P3046" s="43">
        <f>IF($I3046=0,0,$Q3045*INDEX(DarlErsatzZins,7))</f>
      </c>
      <c r="Q3046" s="43">
        <f>IF($I3046=0,0,$Q3045+$P3046+$O3046)</f>
      </c>
      <c r="R3046" s="43">
        <f>IF($I3046=0,0,$J3046-$M3046-$N3046)</f>
      </c>
    </row>
    <row r="3047">
      <c r="A3047"/>
      <c r="B3047">
        <v>7</v>
      </c>
      <c r="C3047" s="43">
        <f>INDEX(DarlObj,7)</f>
      </c>
      <c r="D3047">
        <v>164</v>
      </c>
      <c r="E3047" s="51">
        <f>IF(INDEX(DarlBelegt,7)=0,0,EOMONTH(INDEX(DarlAuszahlung,7),163)+1)</f>
      </c>
      <c r="F3047" s="43">
        <f>IF($E3047=0,0,YEAR($E3047))</f>
      </c>
      <c r="G3047" s="43">
        <f>IF(INDEX(DarlBindung,7)="",1,IF($E3047&lt;=INDEX(DarlBindung,7),1,0))</f>
      </c>
      <c r="H3047" s="43">
        <f>IF($G3047=1,INDEX(DarlSollzins,7),INDEX(DarlAnschluss,7))</f>
      </c>
      <c r="I3047" s="43">
        <f>IF(INDEX(DarlBelegt,7)=0,0,IF(INDEX(DarlOhneTilgung,7)=1,IF(INDEX(DarlBindung,7)="",1,$G3047),IF($J3047&gt;0.005,1,0)))</f>
      </c>
      <c r="J3047" s="43">
        <f>IF($I3046=0,0,$R3046)</f>
      </c>
      <c r="K3047" s="43">
        <f>IF($I3047=0,0,IF(INDEX(DarlOhneTilgung,7)=1,0,IF(AND(INDEX(DarlTilgStart,7)&gt;0,$E3047=INDEX(DarlTilgStart,7)),$J3047*($H3047+INDEX(DarlTilgung,7))/100/12,IF(AND($G3047=0,$G3046=1),MAX($K3046,$J3047*($H3047+1)/100/12),$K3046))))</f>
      </c>
      <c r="L3047" s="43">
        <f>IF($I3047=0,0,$J3047*$H3047/100/12)</f>
      </c>
      <c r="M3047" s="43">
        <f>IF($I3047=0,0,IF(OR(INDEX(DarlOhneTilgung,7)=1,AND(INDEX(DarlTilgStart,7)&gt;0,$E3047&lt;INDEX(DarlTilgStart,7))),0,MIN(MAX(0,$K3047-$L3047),$J3047)))</f>
      </c>
      <c r="N3047" s="43">
        <f>IF($I3047=0,0,MIN(SUMIFS(SondBetrag,SondDarl,7,SondDatum,"&gt;="&amp;$E3047,SondDatum,"&lt;="&amp;EOMONTH($E3047,0)),$J3047-$M3047))</f>
      </c>
      <c r="O3047" s="43">
        <f>IF($I3047=0,0,INDEX(DarlErsatzRate,7))</f>
      </c>
      <c r="P3047" s="43">
        <f>IF($I3047=0,0,$Q3046*INDEX(DarlErsatzZins,7))</f>
      </c>
      <c r="Q3047" s="43">
        <f>IF($I3047=0,0,$Q3046+$P3047+$O3047)</f>
      </c>
      <c r="R3047" s="43">
        <f>IF($I3047=0,0,$J3047-$M3047-$N3047)</f>
      </c>
    </row>
    <row r="3048">
      <c r="A3048"/>
      <c r="B3048">
        <v>7</v>
      </c>
      <c r="C3048" s="43">
        <f>INDEX(DarlObj,7)</f>
      </c>
      <c r="D3048">
        <v>165</v>
      </c>
      <c r="E3048" s="51">
        <f>IF(INDEX(DarlBelegt,7)=0,0,EOMONTH(INDEX(DarlAuszahlung,7),164)+1)</f>
      </c>
      <c r="F3048" s="43">
        <f>IF($E3048=0,0,YEAR($E3048))</f>
      </c>
      <c r="G3048" s="43">
        <f>IF(INDEX(DarlBindung,7)="",1,IF($E3048&lt;=INDEX(DarlBindung,7),1,0))</f>
      </c>
      <c r="H3048" s="43">
        <f>IF($G3048=1,INDEX(DarlSollzins,7),INDEX(DarlAnschluss,7))</f>
      </c>
      <c r="I3048" s="43">
        <f>IF(INDEX(DarlBelegt,7)=0,0,IF(INDEX(DarlOhneTilgung,7)=1,IF(INDEX(DarlBindung,7)="",1,$G3048),IF($J3048&gt;0.005,1,0)))</f>
      </c>
      <c r="J3048" s="43">
        <f>IF($I3047=0,0,$R3047)</f>
      </c>
      <c r="K3048" s="43">
        <f>IF($I3048=0,0,IF(INDEX(DarlOhneTilgung,7)=1,0,IF(AND(INDEX(DarlTilgStart,7)&gt;0,$E3048=INDEX(DarlTilgStart,7)),$J3048*($H3048+INDEX(DarlTilgung,7))/100/12,IF(AND($G3048=0,$G3047=1),MAX($K3047,$J3048*($H3048+1)/100/12),$K3047))))</f>
      </c>
      <c r="L3048" s="43">
        <f>IF($I3048=0,0,$J3048*$H3048/100/12)</f>
      </c>
      <c r="M3048" s="43">
        <f>IF($I3048=0,0,IF(OR(INDEX(DarlOhneTilgung,7)=1,AND(INDEX(DarlTilgStart,7)&gt;0,$E3048&lt;INDEX(DarlTilgStart,7))),0,MIN(MAX(0,$K3048-$L3048),$J3048)))</f>
      </c>
      <c r="N3048" s="43">
        <f>IF($I3048=0,0,MIN(SUMIFS(SondBetrag,SondDarl,7,SondDatum,"&gt;="&amp;$E3048,SondDatum,"&lt;="&amp;EOMONTH($E3048,0)),$J3048-$M3048))</f>
      </c>
      <c r="O3048" s="43">
        <f>IF($I3048=0,0,INDEX(DarlErsatzRate,7))</f>
      </c>
      <c r="P3048" s="43">
        <f>IF($I3048=0,0,$Q3047*INDEX(DarlErsatzZins,7))</f>
      </c>
      <c r="Q3048" s="43">
        <f>IF($I3048=0,0,$Q3047+$P3048+$O3048)</f>
      </c>
      <c r="R3048" s="43">
        <f>IF($I3048=0,0,$J3048-$M3048-$N3048)</f>
      </c>
    </row>
    <row r="3049">
      <c r="A3049"/>
      <c r="B3049">
        <v>7</v>
      </c>
      <c r="C3049" s="43">
        <f>INDEX(DarlObj,7)</f>
      </c>
      <c r="D3049">
        <v>166</v>
      </c>
      <c r="E3049" s="51">
        <f>IF(INDEX(DarlBelegt,7)=0,0,EOMONTH(INDEX(DarlAuszahlung,7),165)+1)</f>
      </c>
      <c r="F3049" s="43">
        <f>IF($E3049=0,0,YEAR($E3049))</f>
      </c>
      <c r="G3049" s="43">
        <f>IF(INDEX(DarlBindung,7)="",1,IF($E3049&lt;=INDEX(DarlBindung,7),1,0))</f>
      </c>
      <c r="H3049" s="43">
        <f>IF($G3049=1,INDEX(DarlSollzins,7),INDEX(DarlAnschluss,7))</f>
      </c>
      <c r="I3049" s="43">
        <f>IF(INDEX(DarlBelegt,7)=0,0,IF(INDEX(DarlOhneTilgung,7)=1,IF(INDEX(DarlBindung,7)="",1,$G3049),IF($J3049&gt;0.005,1,0)))</f>
      </c>
      <c r="J3049" s="43">
        <f>IF($I3048=0,0,$R3048)</f>
      </c>
      <c r="K3049" s="43">
        <f>IF($I3049=0,0,IF(INDEX(DarlOhneTilgung,7)=1,0,IF(AND(INDEX(DarlTilgStart,7)&gt;0,$E3049=INDEX(DarlTilgStart,7)),$J3049*($H3049+INDEX(DarlTilgung,7))/100/12,IF(AND($G3049=0,$G3048=1),MAX($K3048,$J3049*($H3049+1)/100/12),$K3048))))</f>
      </c>
      <c r="L3049" s="43">
        <f>IF($I3049=0,0,$J3049*$H3049/100/12)</f>
      </c>
      <c r="M3049" s="43">
        <f>IF($I3049=0,0,IF(OR(INDEX(DarlOhneTilgung,7)=1,AND(INDEX(DarlTilgStart,7)&gt;0,$E3049&lt;INDEX(DarlTilgStart,7))),0,MIN(MAX(0,$K3049-$L3049),$J3049)))</f>
      </c>
      <c r="N3049" s="43">
        <f>IF($I3049=0,0,MIN(SUMIFS(SondBetrag,SondDarl,7,SondDatum,"&gt;="&amp;$E3049,SondDatum,"&lt;="&amp;EOMONTH($E3049,0)),$J3049-$M3049))</f>
      </c>
      <c r="O3049" s="43">
        <f>IF($I3049=0,0,INDEX(DarlErsatzRate,7))</f>
      </c>
      <c r="P3049" s="43">
        <f>IF($I3049=0,0,$Q3048*INDEX(DarlErsatzZins,7))</f>
      </c>
      <c r="Q3049" s="43">
        <f>IF($I3049=0,0,$Q3048+$P3049+$O3049)</f>
      </c>
      <c r="R3049" s="43">
        <f>IF($I3049=0,0,$J3049-$M3049-$N3049)</f>
      </c>
    </row>
    <row r="3050">
      <c r="A3050"/>
      <c r="B3050">
        <v>7</v>
      </c>
      <c r="C3050" s="43">
        <f>INDEX(DarlObj,7)</f>
      </c>
      <c r="D3050">
        <v>167</v>
      </c>
      <c r="E3050" s="51">
        <f>IF(INDEX(DarlBelegt,7)=0,0,EOMONTH(INDEX(DarlAuszahlung,7),166)+1)</f>
      </c>
      <c r="F3050" s="43">
        <f>IF($E3050=0,0,YEAR($E3050))</f>
      </c>
      <c r="G3050" s="43">
        <f>IF(INDEX(DarlBindung,7)="",1,IF($E3050&lt;=INDEX(DarlBindung,7),1,0))</f>
      </c>
      <c r="H3050" s="43">
        <f>IF($G3050=1,INDEX(DarlSollzins,7),INDEX(DarlAnschluss,7))</f>
      </c>
      <c r="I3050" s="43">
        <f>IF(INDEX(DarlBelegt,7)=0,0,IF(INDEX(DarlOhneTilgung,7)=1,IF(INDEX(DarlBindung,7)="",1,$G3050),IF($J3050&gt;0.005,1,0)))</f>
      </c>
      <c r="J3050" s="43">
        <f>IF($I3049=0,0,$R3049)</f>
      </c>
      <c r="K3050" s="43">
        <f>IF($I3050=0,0,IF(INDEX(DarlOhneTilgung,7)=1,0,IF(AND(INDEX(DarlTilgStart,7)&gt;0,$E3050=INDEX(DarlTilgStart,7)),$J3050*($H3050+INDEX(DarlTilgung,7))/100/12,IF(AND($G3050=0,$G3049=1),MAX($K3049,$J3050*($H3050+1)/100/12),$K3049))))</f>
      </c>
      <c r="L3050" s="43">
        <f>IF($I3050=0,0,$J3050*$H3050/100/12)</f>
      </c>
      <c r="M3050" s="43">
        <f>IF($I3050=0,0,IF(OR(INDEX(DarlOhneTilgung,7)=1,AND(INDEX(DarlTilgStart,7)&gt;0,$E3050&lt;INDEX(DarlTilgStart,7))),0,MIN(MAX(0,$K3050-$L3050),$J3050)))</f>
      </c>
      <c r="N3050" s="43">
        <f>IF($I3050=0,0,MIN(SUMIFS(SondBetrag,SondDarl,7,SondDatum,"&gt;="&amp;$E3050,SondDatum,"&lt;="&amp;EOMONTH($E3050,0)),$J3050-$M3050))</f>
      </c>
      <c r="O3050" s="43">
        <f>IF($I3050=0,0,INDEX(DarlErsatzRate,7))</f>
      </c>
      <c r="P3050" s="43">
        <f>IF($I3050=0,0,$Q3049*INDEX(DarlErsatzZins,7))</f>
      </c>
      <c r="Q3050" s="43">
        <f>IF($I3050=0,0,$Q3049+$P3050+$O3050)</f>
      </c>
      <c r="R3050" s="43">
        <f>IF($I3050=0,0,$J3050-$M3050-$N3050)</f>
      </c>
    </row>
    <row r="3051">
      <c r="A3051"/>
      <c r="B3051">
        <v>7</v>
      </c>
      <c r="C3051" s="43">
        <f>INDEX(DarlObj,7)</f>
      </c>
      <c r="D3051">
        <v>168</v>
      </c>
      <c r="E3051" s="51">
        <f>IF(INDEX(DarlBelegt,7)=0,0,EOMONTH(INDEX(DarlAuszahlung,7),167)+1)</f>
      </c>
      <c r="F3051" s="43">
        <f>IF($E3051=0,0,YEAR($E3051))</f>
      </c>
      <c r="G3051" s="43">
        <f>IF(INDEX(DarlBindung,7)="",1,IF($E3051&lt;=INDEX(DarlBindung,7),1,0))</f>
      </c>
      <c r="H3051" s="43">
        <f>IF($G3051=1,INDEX(DarlSollzins,7),INDEX(DarlAnschluss,7))</f>
      </c>
      <c r="I3051" s="43">
        <f>IF(INDEX(DarlBelegt,7)=0,0,IF(INDEX(DarlOhneTilgung,7)=1,IF(INDEX(DarlBindung,7)="",1,$G3051),IF($J3051&gt;0.005,1,0)))</f>
      </c>
      <c r="J3051" s="43">
        <f>IF($I3050=0,0,$R3050)</f>
      </c>
      <c r="K3051" s="43">
        <f>IF($I3051=0,0,IF(INDEX(DarlOhneTilgung,7)=1,0,IF(AND(INDEX(DarlTilgStart,7)&gt;0,$E3051=INDEX(DarlTilgStart,7)),$J3051*($H3051+INDEX(DarlTilgung,7))/100/12,IF(AND($G3051=0,$G3050=1),MAX($K3050,$J3051*($H3051+1)/100/12),$K3050))))</f>
      </c>
      <c r="L3051" s="43">
        <f>IF($I3051=0,0,$J3051*$H3051/100/12)</f>
      </c>
      <c r="M3051" s="43">
        <f>IF($I3051=0,0,IF(OR(INDEX(DarlOhneTilgung,7)=1,AND(INDEX(DarlTilgStart,7)&gt;0,$E3051&lt;INDEX(DarlTilgStart,7))),0,MIN(MAX(0,$K3051-$L3051),$J3051)))</f>
      </c>
      <c r="N3051" s="43">
        <f>IF($I3051=0,0,MIN(SUMIFS(SondBetrag,SondDarl,7,SondDatum,"&gt;="&amp;$E3051,SondDatum,"&lt;="&amp;EOMONTH($E3051,0)),$J3051-$M3051))</f>
      </c>
      <c r="O3051" s="43">
        <f>IF($I3051=0,0,INDEX(DarlErsatzRate,7))</f>
      </c>
      <c r="P3051" s="43">
        <f>IF($I3051=0,0,$Q3050*INDEX(DarlErsatzZins,7))</f>
      </c>
      <c r="Q3051" s="43">
        <f>IF($I3051=0,0,$Q3050+$P3051+$O3051)</f>
      </c>
      <c r="R3051" s="43">
        <f>IF($I3051=0,0,$J3051-$M3051-$N3051)</f>
      </c>
    </row>
    <row r="3052">
      <c r="A3052"/>
      <c r="B3052">
        <v>7</v>
      </c>
      <c r="C3052" s="43">
        <f>INDEX(DarlObj,7)</f>
      </c>
      <c r="D3052">
        <v>169</v>
      </c>
      <c r="E3052" s="51">
        <f>IF(INDEX(DarlBelegt,7)=0,0,EOMONTH(INDEX(DarlAuszahlung,7),168)+1)</f>
      </c>
      <c r="F3052" s="43">
        <f>IF($E3052=0,0,YEAR($E3052))</f>
      </c>
      <c r="G3052" s="43">
        <f>IF(INDEX(DarlBindung,7)="",1,IF($E3052&lt;=INDEX(DarlBindung,7),1,0))</f>
      </c>
      <c r="H3052" s="43">
        <f>IF($G3052=1,INDEX(DarlSollzins,7),INDEX(DarlAnschluss,7))</f>
      </c>
      <c r="I3052" s="43">
        <f>IF(INDEX(DarlBelegt,7)=0,0,IF(INDEX(DarlOhneTilgung,7)=1,IF(INDEX(DarlBindung,7)="",1,$G3052),IF($J3052&gt;0.005,1,0)))</f>
      </c>
      <c r="J3052" s="43">
        <f>IF($I3051=0,0,$R3051)</f>
      </c>
      <c r="K3052" s="43">
        <f>IF($I3052=0,0,IF(INDEX(DarlOhneTilgung,7)=1,0,IF(AND(INDEX(DarlTilgStart,7)&gt;0,$E3052=INDEX(DarlTilgStart,7)),$J3052*($H3052+INDEX(DarlTilgung,7))/100/12,IF(AND($G3052=0,$G3051=1),MAX($K3051,$J3052*($H3052+1)/100/12),$K3051))))</f>
      </c>
      <c r="L3052" s="43">
        <f>IF($I3052=0,0,$J3052*$H3052/100/12)</f>
      </c>
      <c r="M3052" s="43">
        <f>IF($I3052=0,0,IF(OR(INDEX(DarlOhneTilgung,7)=1,AND(INDEX(DarlTilgStart,7)&gt;0,$E3052&lt;INDEX(DarlTilgStart,7))),0,MIN(MAX(0,$K3052-$L3052),$J3052)))</f>
      </c>
      <c r="N3052" s="43">
        <f>IF($I3052=0,0,MIN(SUMIFS(SondBetrag,SondDarl,7,SondDatum,"&gt;="&amp;$E3052,SondDatum,"&lt;="&amp;EOMONTH($E3052,0)),$J3052-$M3052))</f>
      </c>
      <c r="O3052" s="43">
        <f>IF($I3052=0,0,INDEX(DarlErsatzRate,7))</f>
      </c>
      <c r="P3052" s="43">
        <f>IF($I3052=0,0,$Q3051*INDEX(DarlErsatzZins,7))</f>
      </c>
      <c r="Q3052" s="43">
        <f>IF($I3052=0,0,$Q3051+$P3052+$O3052)</f>
      </c>
      <c r="R3052" s="43">
        <f>IF($I3052=0,0,$J3052-$M3052-$N3052)</f>
      </c>
    </row>
    <row r="3053">
      <c r="A3053"/>
      <c r="B3053">
        <v>7</v>
      </c>
      <c r="C3053" s="43">
        <f>INDEX(DarlObj,7)</f>
      </c>
      <c r="D3053">
        <v>170</v>
      </c>
      <c r="E3053" s="51">
        <f>IF(INDEX(DarlBelegt,7)=0,0,EOMONTH(INDEX(DarlAuszahlung,7),169)+1)</f>
      </c>
      <c r="F3053" s="43">
        <f>IF($E3053=0,0,YEAR($E3053))</f>
      </c>
      <c r="G3053" s="43">
        <f>IF(INDEX(DarlBindung,7)="",1,IF($E3053&lt;=INDEX(DarlBindung,7),1,0))</f>
      </c>
      <c r="H3053" s="43">
        <f>IF($G3053=1,INDEX(DarlSollzins,7),INDEX(DarlAnschluss,7))</f>
      </c>
      <c r="I3053" s="43">
        <f>IF(INDEX(DarlBelegt,7)=0,0,IF(INDEX(DarlOhneTilgung,7)=1,IF(INDEX(DarlBindung,7)="",1,$G3053),IF($J3053&gt;0.005,1,0)))</f>
      </c>
      <c r="J3053" s="43">
        <f>IF($I3052=0,0,$R3052)</f>
      </c>
      <c r="K3053" s="43">
        <f>IF($I3053=0,0,IF(INDEX(DarlOhneTilgung,7)=1,0,IF(AND(INDEX(DarlTilgStart,7)&gt;0,$E3053=INDEX(DarlTilgStart,7)),$J3053*($H3053+INDEX(DarlTilgung,7))/100/12,IF(AND($G3053=0,$G3052=1),MAX($K3052,$J3053*($H3053+1)/100/12),$K3052))))</f>
      </c>
      <c r="L3053" s="43">
        <f>IF($I3053=0,0,$J3053*$H3053/100/12)</f>
      </c>
      <c r="M3053" s="43">
        <f>IF($I3053=0,0,IF(OR(INDEX(DarlOhneTilgung,7)=1,AND(INDEX(DarlTilgStart,7)&gt;0,$E3053&lt;INDEX(DarlTilgStart,7))),0,MIN(MAX(0,$K3053-$L3053),$J3053)))</f>
      </c>
      <c r="N3053" s="43">
        <f>IF($I3053=0,0,MIN(SUMIFS(SondBetrag,SondDarl,7,SondDatum,"&gt;="&amp;$E3053,SondDatum,"&lt;="&amp;EOMONTH($E3053,0)),$J3053-$M3053))</f>
      </c>
      <c r="O3053" s="43">
        <f>IF($I3053=0,0,INDEX(DarlErsatzRate,7))</f>
      </c>
      <c r="P3053" s="43">
        <f>IF($I3053=0,0,$Q3052*INDEX(DarlErsatzZins,7))</f>
      </c>
      <c r="Q3053" s="43">
        <f>IF($I3053=0,0,$Q3052+$P3053+$O3053)</f>
      </c>
      <c r="R3053" s="43">
        <f>IF($I3053=0,0,$J3053-$M3053-$N3053)</f>
      </c>
    </row>
    <row r="3054">
      <c r="A3054"/>
      <c r="B3054">
        <v>7</v>
      </c>
      <c r="C3054" s="43">
        <f>INDEX(DarlObj,7)</f>
      </c>
      <c r="D3054">
        <v>171</v>
      </c>
      <c r="E3054" s="51">
        <f>IF(INDEX(DarlBelegt,7)=0,0,EOMONTH(INDEX(DarlAuszahlung,7),170)+1)</f>
      </c>
      <c r="F3054" s="43">
        <f>IF($E3054=0,0,YEAR($E3054))</f>
      </c>
      <c r="G3054" s="43">
        <f>IF(INDEX(DarlBindung,7)="",1,IF($E3054&lt;=INDEX(DarlBindung,7),1,0))</f>
      </c>
      <c r="H3054" s="43">
        <f>IF($G3054=1,INDEX(DarlSollzins,7),INDEX(DarlAnschluss,7))</f>
      </c>
      <c r="I3054" s="43">
        <f>IF(INDEX(DarlBelegt,7)=0,0,IF(INDEX(DarlOhneTilgung,7)=1,IF(INDEX(DarlBindung,7)="",1,$G3054),IF($J3054&gt;0.005,1,0)))</f>
      </c>
      <c r="J3054" s="43">
        <f>IF($I3053=0,0,$R3053)</f>
      </c>
      <c r="K3054" s="43">
        <f>IF($I3054=0,0,IF(INDEX(DarlOhneTilgung,7)=1,0,IF(AND(INDEX(DarlTilgStart,7)&gt;0,$E3054=INDEX(DarlTilgStart,7)),$J3054*($H3054+INDEX(DarlTilgung,7))/100/12,IF(AND($G3054=0,$G3053=1),MAX($K3053,$J3054*($H3054+1)/100/12),$K3053))))</f>
      </c>
      <c r="L3054" s="43">
        <f>IF($I3054=0,0,$J3054*$H3054/100/12)</f>
      </c>
      <c r="M3054" s="43">
        <f>IF($I3054=0,0,IF(OR(INDEX(DarlOhneTilgung,7)=1,AND(INDEX(DarlTilgStart,7)&gt;0,$E3054&lt;INDEX(DarlTilgStart,7))),0,MIN(MAX(0,$K3054-$L3054),$J3054)))</f>
      </c>
      <c r="N3054" s="43">
        <f>IF($I3054=0,0,MIN(SUMIFS(SondBetrag,SondDarl,7,SondDatum,"&gt;="&amp;$E3054,SondDatum,"&lt;="&amp;EOMONTH($E3054,0)),$J3054-$M3054))</f>
      </c>
      <c r="O3054" s="43">
        <f>IF($I3054=0,0,INDEX(DarlErsatzRate,7))</f>
      </c>
      <c r="P3054" s="43">
        <f>IF($I3054=0,0,$Q3053*INDEX(DarlErsatzZins,7))</f>
      </c>
      <c r="Q3054" s="43">
        <f>IF($I3054=0,0,$Q3053+$P3054+$O3054)</f>
      </c>
      <c r="R3054" s="43">
        <f>IF($I3054=0,0,$J3054-$M3054-$N3054)</f>
      </c>
    </row>
    <row r="3055">
      <c r="A3055"/>
      <c r="B3055">
        <v>7</v>
      </c>
      <c r="C3055" s="43">
        <f>INDEX(DarlObj,7)</f>
      </c>
      <c r="D3055">
        <v>172</v>
      </c>
      <c r="E3055" s="51">
        <f>IF(INDEX(DarlBelegt,7)=0,0,EOMONTH(INDEX(DarlAuszahlung,7),171)+1)</f>
      </c>
      <c r="F3055" s="43">
        <f>IF($E3055=0,0,YEAR($E3055))</f>
      </c>
      <c r="G3055" s="43">
        <f>IF(INDEX(DarlBindung,7)="",1,IF($E3055&lt;=INDEX(DarlBindung,7),1,0))</f>
      </c>
      <c r="H3055" s="43">
        <f>IF($G3055=1,INDEX(DarlSollzins,7),INDEX(DarlAnschluss,7))</f>
      </c>
      <c r="I3055" s="43">
        <f>IF(INDEX(DarlBelegt,7)=0,0,IF(INDEX(DarlOhneTilgung,7)=1,IF(INDEX(DarlBindung,7)="",1,$G3055),IF($J3055&gt;0.005,1,0)))</f>
      </c>
      <c r="J3055" s="43">
        <f>IF($I3054=0,0,$R3054)</f>
      </c>
      <c r="K3055" s="43">
        <f>IF($I3055=0,0,IF(INDEX(DarlOhneTilgung,7)=1,0,IF(AND(INDEX(DarlTilgStart,7)&gt;0,$E3055=INDEX(DarlTilgStart,7)),$J3055*($H3055+INDEX(DarlTilgung,7))/100/12,IF(AND($G3055=0,$G3054=1),MAX($K3054,$J3055*($H3055+1)/100/12),$K3054))))</f>
      </c>
      <c r="L3055" s="43">
        <f>IF($I3055=0,0,$J3055*$H3055/100/12)</f>
      </c>
      <c r="M3055" s="43">
        <f>IF($I3055=0,0,IF(OR(INDEX(DarlOhneTilgung,7)=1,AND(INDEX(DarlTilgStart,7)&gt;0,$E3055&lt;INDEX(DarlTilgStart,7))),0,MIN(MAX(0,$K3055-$L3055),$J3055)))</f>
      </c>
      <c r="N3055" s="43">
        <f>IF($I3055=0,0,MIN(SUMIFS(SondBetrag,SondDarl,7,SondDatum,"&gt;="&amp;$E3055,SondDatum,"&lt;="&amp;EOMONTH($E3055,0)),$J3055-$M3055))</f>
      </c>
      <c r="O3055" s="43">
        <f>IF($I3055=0,0,INDEX(DarlErsatzRate,7))</f>
      </c>
      <c r="P3055" s="43">
        <f>IF($I3055=0,0,$Q3054*INDEX(DarlErsatzZins,7))</f>
      </c>
      <c r="Q3055" s="43">
        <f>IF($I3055=0,0,$Q3054+$P3055+$O3055)</f>
      </c>
      <c r="R3055" s="43">
        <f>IF($I3055=0,0,$J3055-$M3055-$N3055)</f>
      </c>
    </row>
    <row r="3056">
      <c r="A3056"/>
      <c r="B3056">
        <v>7</v>
      </c>
      <c r="C3056" s="43">
        <f>INDEX(DarlObj,7)</f>
      </c>
      <c r="D3056">
        <v>173</v>
      </c>
      <c r="E3056" s="51">
        <f>IF(INDEX(DarlBelegt,7)=0,0,EOMONTH(INDEX(DarlAuszahlung,7),172)+1)</f>
      </c>
      <c r="F3056" s="43">
        <f>IF($E3056=0,0,YEAR($E3056))</f>
      </c>
      <c r="G3056" s="43">
        <f>IF(INDEX(DarlBindung,7)="",1,IF($E3056&lt;=INDEX(DarlBindung,7),1,0))</f>
      </c>
      <c r="H3056" s="43">
        <f>IF($G3056=1,INDEX(DarlSollzins,7),INDEX(DarlAnschluss,7))</f>
      </c>
      <c r="I3056" s="43">
        <f>IF(INDEX(DarlBelegt,7)=0,0,IF(INDEX(DarlOhneTilgung,7)=1,IF(INDEX(DarlBindung,7)="",1,$G3056),IF($J3056&gt;0.005,1,0)))</f>
      </c>
      <c r="J3056" s="43">
        <f>IF($I3055=0,0,$R3055)</f>
      </c>
      <c r="K3056" s="43">
        <f>IF($I3056=0,0,IF(INDEX(DarlOhneTilgung,7)=1,0,IF(AND(INDEX(DarlTilgStart,7)&gt;0,$E3056=INDEX(DarlTilgStart,7)),$J3056*($H3056+INDEX(DarlTilgung,7))/100/12,IF(AND($G3056=0,$G3055=1),MAX($K3055,$J3056*($H3056+1)/100/12),$K3055))))</f>
      </c>
      <c r="L3056" s="43">
        <f>IF($I3056=0,0,$J3056*$H3056/100/12)</f>
      </c>
      <c r="M3056" s="43">
        <f>IF($I3056=0,0,IF(OR(INDEX(DarlOhneTilgung,7)=1,AND(INDEX(DarlTilgStart,7)&gt;0,$E3056&lt;INDEX(DarlTilgStart,7))),0,MIN(MAX(0,$K3056-$L3056),$J3056)))</f>
      </c>
      <c r="N3056" s="43">
        <f>IF($I3056=0,0,MIN(SUMIFS(SondBetrag,SondDarl,7,SondDatum,"&gt;="&amp;$E3056,SondDatum,"&lt;="&amp;EOMONTH($E3056,0)),$J3056-$M3056))</f>
      </c>
      <c r="O3056" s="43">
        <f>IF($I3056=0,0,INDEX(DarlErsatzRate,7))</f>
      </c>
      <c r="P3056" s="43">
        <f>IF($I3056=0,0,$Q3055*INDEX(DarlErsatzZins,7))</f>
      </c>
      <c r="Q3056" s="43">
        <f>IF($I3056=0,0,$Q3055+$P3056+$O3056)</f>
      </c>
      <c r="R3056" s="43">
        <f>IF($I3056=0,0,$J3056-$M3056-$N3056)</f>
      </c>
    </row>
    <row r="3057">
      <c r="A3057"/>
      <c r="B3057">
        <v>7</v>
      </c>
      <c r="C3057" s="43">
        <f>INDEX(DarlObj,7)</f>
      </c>
      <c r="D3057">
        <v>174</v>
      </c>
      <c r="E3057" s="51">
        <f>IF(INDEX(DarlBelegt,7)=0,0,EOMONTH(INDEX(DarlAuszahlung,7),173)+1)</f>
      </c>
      <c r="F3057" s="43">
        <f>IF($E3057=0,0,YEAR($E3057))</f>
      </c>
      <c r="G3057" s="43">
        <f>IF(INDEX(DarlBindung,7)="",1,IF($E3057&lt;=INDEX(DarlBindung,7),1,0))</f>
      </c>
      <c r="H3057" s="43">
        <f>IF($G3057=1,INDEX(DarlSollzins,7),INDEX(DarlAnschluss,7))</f>
      </c>
      <c r="I3057" s="43">
        <f>IF(INDEX(DarlBelegt,7)=0,0,IF(INDEX(DarlOhneTilgung,7)=1,IF(INDEX(DarlBindung,7)="",1,$G3057),IF($J3057&gt;0.005,1,0)))</f>
      </c>
      <c r="J3057" s="43">
        <f>IF($I3056=0,0,$R3056)</f>
      </c>
      <c r="K3057" s="43">
        <f>IF($I3057=0,0,IF(INDEX(DarlOhneTilgung,7)=1,0,IF(AND(INDEX(DarlTilgStart,7)&gt;0,$E3057=INDEX(DarlTilgStart,7)),$J3057*($H3057+INDEX(DarlTilgung,7))/100/12,IF(AND($G3057=0,$G3056=1),MAX($K3056,$J3057*($H3057+1)/100/12),$K3056))))</f>
      </c>
      <c r="L3057" s="43">
        <f>IF($I3057=0,0,$J3057*$H3057/100/12)</f>
      </c>
      <c r="M3057" s="43">
        <f>IF($I3057=0,0,IF(OR(INDEX(DarlOhneTilgung,7)=1,AND(INDEX(DarlTilgStart,7)&gt;0,$E3057&lt;INDEX(DarlTilgStart,7))),0,MIN(MAX(0,$K3057-$L3057),$J3057)))</f>
      </c>
      <c r="N3057" s="43">
        <f>IF($I3057=0,0,MIN(SUMIFS(SondBetrag,SondDarl,7,SondDatum,"&gt;="&amp;$E3057,SondDatum,"&lt;="&amp;EOMONTH($E3057,0)),$J3057-$M3057))</f>
      </c>
      <c r="O3057" s="43">
        <f>IF($I3057=0,0,INDEX(DarlErsatzRate,7))</f>
      </c>
      <c r="P3057" s="43">
        <f>IF($I3057=0,0,$Q3056*INDEX(DarlErsatzZins,7))</f>
      </c>
      <c r="Q3057" s="43">
        <f>IF($I3057=0,0,$Q3056+$P3057+$O3057)</f>
      </c>
      <c r="R3057" s="43">
        <f>IF($I3057=0,0,$J3057-$M3057-$N3057)</f>
      </c>
    </row>
    <row r="3058">
      <c r="A3058"/>
      <c r="B3058">
        <v>7</v>
      </c>
      <c r="C3058" s="43">
        <f>INDEX(DarlObj,7)</f>
      </c>
      <c r="D3058">
        <v>175</v>
      </c>
      <c r="E3058" s="51">
        <f>IF(INDEX(DarlBelegt,7)=0,0,EOMONTH(INDEX(DarlAuszahlung,7),174)+1)</f>
      </c>
      <c r="F3058" s="43">
        <f>IF($E3058=0,0,YEAR($E3058))</f>
      </c>
      <c r="G3058" s="43">
        <f>IF(INDEX(DarlBindung,7)="",1,IF($E3058&lt;=INDEX(DarlBindung,7),1,0))</f>
      </c>
      <c r="H3058" s="43">
        <f>IF($G3058=1,INDEX(DarlSollzins,7),INDEX(DarlAnschluss,7))</f>
      </c>
      <c r="I3058" s="43">
        <f>IF(INDEX(DarlBelegt,7)=0,0,IF(INDEX(DarlOhneTilgung,7)=1,IF(INDEX(DarlBindung,7)="",1,$G3058),IF($J3058&gt;0.005,1,0)))</f>
      </c>
      <c r="J3058" s="43">
        <f>IF($I3057=0,0,$R3057)</f>
      </c>
      <c r="K3058" s="43">
        <f>IF($I3058=0,0,IF(INDEX(DarlOhneTilgung,7)=1,0,IF(AND(INDEX(DarlTilgStart,7)&gt;0,$E3058=INDEX(DarlTilgStart,7)),$J3058*($H3058+INDEX(DarlTilgung,7))/100/12,IF(AND($G3058=0,$G3057=1),MAX($K3057,$J3058*($H3058+1)/100/12),$K3057))))</f>
      </c>
      <c r="L3058" s="43">
        <f>IF($I3058=0,0,$J3058*$H3058/100/12)</f>
      </c>
      <c r="M3058" s="43">
        <f>IF($I3058=0,0,IF(OR(INDEX(DarlOhneTilgung,7)=1,AND(INDEX(DarlTilgStart,7)&gt;0,$E3058&lt;INDEX(DarlTilgStart,7))),0,MIN(MAX(0,$K3058-$L3058),$J3058)))</f>
      </c>
      <c r="N3058" s="43">
        <f>IF($I3058=0,0,MIN(SUMIFS(SondBetrag,SondDarl,7,SondDatum,"&gt;="&amp;$E3058,SondDatum,"&lt;="&amp;EOMONTH($E3058,0)),$J3058-$M3058))</f>
      </c>
      <c r="O3058" s="43">
        <f>IF($I3058=0,0,INDEX(DarlErsatzRate,7))</f>
      </c>
      <c r="P3058" s="43">
        <f>IF($I3058=0,0,$Q3057*INDEX(DarlErsatzZins,7))</f>
      </c>
      <c r="Q3058" s="43">
        <f>IF($I3058=0,0,$Q3057+$P3058+$O3058)</f>
      </c>
      <c r="R3058" s="43">
        <f>IF($I3058=0,0,$J3058-$M3058-$N3058)</f>
      </c>
    </row>
    <row r="3059">
      <c r="A3059"/>
      <c r="B3059">
        <v>7</v>
      </c>
      <c r="C3059" s="43">
        <f>INDEX(DarlObj,7)</f>
      </c>
      <c r="D3059">
        <v>176</v>
      </c>
      <c r="E3059" s="51">
        <f>IF(INDEX(DarlBelegt,7)=0,0,EOMONTH(INDEX(DarlAuszahlung,7),175)+1)</f>
      </c>
      <c r="F3059" s="43">
        <f>IF($E3059=0,0,YEAR($E3059))</f>
      </c>
      <c r="G3059" s="43">
        <f>IF(INDEX(DarlBindung,7)="",1,IF($E3059&lt;=INDEX(DarlBindung,7),1,0))</f>
      </c>
      <c r="H3059" s="43">
        <f>IF($G3059=1,INDEX(DarlSollzins,7),INDEX(DarlAnschluss,7))</f>
      </c>
      <c r="I3059" s="43">
        <f>IF(INDEX(DarlBelegt,7)=0,0,IF(INDEX(DarlOhneTilgung,7)=1,IF(INDEX(DarlBindung,7)="",1,$G3059),IF($J3059&gt;0.005,1,0)))</f>
      </c>
      <c r="J3059" s="43">
        <f>IF($I3058=0,0,$R3058)</f>
      </c>
      <c r="K3059" s="43">
        <f>IF($I3059=0,0,IF(INDEX(DarlOhneTilgung,7)=1,0,IF(AND(INDEX(DarlTilgStart,7)&gt;0,$E3059=INDEX(DarlTilgStart,7)),$J3059*($H3059+INDEX(DarlTilgung,7))/100/12,IF(AND($G3059=0,$G3058=1),MAX($K3058,$J3059*($H3059+1)/100/12),$K3058))))</f>
      </c>
      <c r="L3059" s="43">
        <f>IF($I3059=0,0,$J3059*$H3059/100/12)</f>
      </c>
      <c r="M3059" s="43">
        <f>IF($I3059=0,0,IF(OR(INDEX(DarlOhneTilgung,7)=1,AND(INDEX(DarlTilgStart,7)&gt;0,$E3059&lt;INDEX(DarlTilgStart,7))),0,MIN(MAX(0,$K3059-$L3059),$J3059)))</f>
      </c>
      <c r="N3059" s="43">
        <f>IF($I3059=0,0,MIN(SUMIFS(SondBetrag,SondDarl,7,SondDatum,"&gt;="&amp;$E3059,SondDatum,"&lt;="&amp;EOMONTH($E3059,0)),$J3059-$M3059))</f>
      </c>
      <c r="O3059" s="43">
        <f>IF($I3059=0,0,INDEX(DarlErsatzRate,7))</f>
      </c>
      <c r="P3059" s="43">
        <f>IF($I3059=0,0,$Q3058*INDEX(DarlErsatzZins,7))</f>
      </c>
      <c r="Q3059" s="43">
        <f>IF($I3059=0,0,$Q3058+$P3059+$O3059)</f>
      </c>
      <c r="R3059" s="43">
        <f>IF($I3059=0,0,$J3059-$M3059-$N3059)</f>
      </c>
    </row>
    <row r="3060">
      <c r="A3060"/>
      <c r="B3060">
        <v>7</v>
      </c>
      <c r="C3060" s="43">
        <f>INDEX(DarlObj,7)</f>
      </c>
      <c r="D3060">
        <v>177</v>
      </c>
      <c r="E3060" s="51">
        <f>IF(INDEX(DarlBelegt,7)=0,0,EOMONTH(INDEX(DarlAuszahlung,7),176)+1)</f>
      </c>
      <c r="F3060" s="43">
        <f>IF($E3060=0,0,YEAR($E3060))</f>
      </c>
      <c r="G3060" s="43">
        <f>IF(INDEX(DarlBindung,7)="",1,IF($E3060&lt;=INDEX(DarlBindung,7),1,0))</f>
      </c>
      <c r="H3060" s="43">
        <f>IF($G3060=1,INDEX(DarlSollzins,7),INDEX(DarlAnschluss,7))</f>
      </c>
      <c r="I3060" s="43">
        <f>IF(INDEX(DarlBelegt,7)=0,0,IF(INDEX(DarlOhneTilgung,7)=1,IF(INDEX(DarlBindung,7)="",1,$G3060),IF($J3060&gt;0.005,1,0)))</f>
      </c>
      <c r="J3060" s="43">
        <f>IF($I3059=0,0,$R3059)</f>
      </c>
      <c r="K3060" s="43">
        <f>IF($I3060=0,0,IF(INDEX(DarlOhneTilgung,7)=1,0,IF(AND(INDEX(DarlTilgStart,7)&gt;0,$E3060=INDEX(DarlTilgStart,7)),$J3060*($H3060+INDEX(DarlTilgung,7))/100/12,IF(AND($G3060=0,$G3059=1),MAX($K3059,$J3060*($H3060+1)/100/12),$K3059))))</f>
      </c>
      <c r="L3060" s="43">
        <f>IF($I3060=0,0,$J3060*$H3060/100/12)</f>
      </c>
      <c r="M3060" s="43">
        <f>IF($I3060=0,0,IF(OR(INDEX(DarlOhneTilgung,7)=1,AND(INDEX(DarlTilgStart,7)&gt;0,$E3060&lt;INDEX(DarlTilgStart,7))),0,MIN(MAX(0,$K3060-$L3060),$J3060)))</f>
      </c>
      <c r="N3060" s="43">
        <f>IF($I3060=0,0,MIN(SUMIFS(SondBetrag,SondDarl,7,SondDatum,"&gt;="&amp;$E3060,SondDatum,"&lt;="&amp;EOMONTH($E3060,0)),$J3060-$M3060))</f>
      </c>
      <c r="O3060" s="43">
        <f>IF($I3060=0,0,INDEX(DarlErsatzRate,7))</f>
      </c>
      <c r="P3060" s="43">
        <f>IF($I3060=0,0,$Q3059*INDEX(DarlErsatzZins,7))</f>
      </c>
      <c r="Q3060" s="43">
        <f>IF($I3060=0,0,$Q3059+$P3060+$O3060)</f>
      </c>
      <c r="R3060" s="43">
        <f>IF($I3060=0,0,$J3060-$M3060-$N3060)</f>
      </c>
    </row>
    <row r="3061">
      <c r="A3061"/>
      <c r="B3061">
        <v>7</v>
      </c>
      <c r="C3061" s="43">
        <f>INDEX(DarlObj,7)</f>
      </c>
      <c r="D3061">
        <v>178</v>
      </c>
      <c r="E3061" s="51">
        <f>IF(INDEX(DarlBelegt,7)=0,0,EOMONTH(INDEX(DarlAuszahlung,7),177)+1)</f>
      </c>
      <c r="F3061" s="43">
        <f>IF($E3061=0,0,YEAR($E3061))</f>
      </c>
      <c r="G3061" s="43">
        <f>IF(INDEX(DarlBindung,7)="",1,IF($E3061&lt;=INDEX(DarlBindung,7),1,0))</f>
      </c>
      <c r="H3061" s="43">
        <f>IF($G3061=1,INDEX(DarlSollzins,7),INDEX(DarlAnschluss,7))</f>
      </c>
      <c r="I3061" s="43">
        <f>IF(INDEX(DarlBelegt,7)=0,0,IF(INDEX(DarlOhneTilgung,7)=1,IF(INDEX(DarlBindung,7)="",1,$G3061),IF($J3061&gt;0.005,1,0)))</f>
      </c>
      <c r="J3061" s="43">
        <f>IF($I3060=0,0,$R3060)</f>
      </c>
      <c r="K3061" s="43">
        <f>IF($I3061=0,0,IF(INDEX(DarlOhneTilgung,7)=1,0,IF(AND(INDEX(DarlTilgStart,7)&gt;0,$E3061=INDEX(DarlTilgStart,7)),$J3061*($H3061+INDEX(DarlTilgung,7))/100/12,IF(AND($G3061=0,$G3060=1),MAX($K3060,$J3061*($H3061+1)/100/12),$K3060))))</f>
      </c>
      <c r="L3061" s="43">
        <f>IF($I3061=0,0,$J3061*$H3061/100/12)</f>
      </c>
      <c r="M3061" s="43">
        <f>IF($I3061=0,0,IF(OR(INDEX(DarlOhneTilgung,7)=1,AND(INDEX(DarlTilgStart,7)&gt;0,$E3061&lt;INDEX(DarlTilgStart,7))),0,MIN(MAX(0,$K3061-$L3061),$J3061)))</f>
      </c>
      <c r="N3061" s="43">
        <f>IF($I3061=0,0,MIN(SUMIFS(SondBetrag,SondDarl,7,SondDatum,"&gt;="&amp;$E3061,SondDatum,"&lt;="&amp;EOMONTH($E3061,0)),$J3061-$M3061))</f>
      </c>
      <c r="O3061" s="43">
        <f>IF($I3061=0,0,INDEX(DarlErsatzRate,7))</f>
      </c>
      <c r="P3061" s="43">
        <f>IF($I3061=0,0,$Q3060*INDEX(DarlErsatzZins,7))</f>
      </c>
      <c r="Q3061" s="43">
        <f>IF($I3061=0,0,$Q3060+$P3061+$O3061)</f>
      </c>
      <c r="R3061" s="43">
        <f>IF($I3061=0,0,$J3061-$M3061-$N3061)</f>
      </c>
    </row>
    <row r="3062">
      <c r="A3062"/>
      <c r="B3062">
        <v>7</v>
      </c>
      <c r="C3062" s="43">
        <f>INDEX(DarlObj,7)</f>
      </c>
      <c r="D3062">
        <v>179</v>
      </c>
      <c r="E3062" s="51">
        <f>IF(INDEX(DarlBelegt,7)=0,0,EOMONTH(INDEX(DarlAuszahlung,7),178)+1)</f>
      </c>
      <c r="F3062" s="43">
        <f>IF($E3062=0,0,YEAR($E3062))</f>
      </c>
      <c r="G3062" s="43">
        <f>IF(INDEX(DarlBindung,7)="",1,IF($E3062&lt;=INDEX(DarlBindung,7),1,0))</f>
      </c>
      <c r="H3062" s="43">
        <f>IF($G3062=1,INDEX(DarlSollzins,7),INDEX(DarlAnschluss,7))</f>
      </c>
      <c r="I3062" s="43">
        <f>IF(INDEX(DarlBelegt,7)=0,0,IF(INDEX(DarlOhneTilgung,7)=1,IF(INDEX(DarlBindung,7)="",1,$G3062),IF($J3062&gt;0.005,1,0)))</f>
      </c>
      <c r="J3062" s="43">
        <f>IF($I3061=0,0,$R3061)</f>
      </c>
      <c r="K3062" s="43">
        <f>IF($I3062=0,0,IF(INDEX(DarlOhneTilgung,7)=1,0,IF(AND(INDEX(DarlTilgStart,7)&gt;0,$E3062=INDEX(DarlTilgStart,7)),$J3062*($H3062+INDEX(DarlTilgung,7))/100/12,IF(AND($G3062=0,$G3061=1),MAX($K3061,$J3062*($H3062+1)/100/12),$K3061))))</f>
      </c>
      <c r="L3062" s="43">
        <f>IF($I3062=0,0,$J3062*$H3062/100/12)</f>
      </c>
      <c r="M3062" s="43">
        <f>IF($I3062=0,0,IF(OR(INDEX(DarlOhneTilgung,7)=1,AND(INDEX(DarlTilgStart,7)&gt;0,$E3062&lt;INDEX(DarlTilgStart,7))),0,MIN(MAX(0,$K3062-$L3062),$J3062)))</f>
      </c>
      <c r="N3062" s="43">
        <f>IF($I3062=0,0,MIN(SUMIFS(SondBetrag,SondDarl,7,SondDatum,"&gt;="&amp;$E3062,SondDatum,"&lt;="&amp;EOMONTH($E3062,0)),$J3062-$M3062))</f>
      </c>
      <c r="O3062" s="43">
        <f>IF($I3062=0,0,INDEX(DarlErsatzRate,7))</f>
      </c>
      <c r="P3062" s="43">
        <f>IF($I3062=0,0,$Q3061*INDEX(DarlErsatzZins,7))</f>
      </c>
      <c r="Q3062" s="43">
        <f>IF($I3062=0,0,$Q3061+$P3062+$O3062)</f>
      </c>
      <c r="R3062" s="43">
        <f>IF($I3062=0,0,$J3062-$M3062-$N3062)</f>
      </c>
    </row>
    <row r="3063">
      <c r="A3063"/>
      <c r="B3063">
        <v>7</v>
      </c>
      <c r="C3063" s="43">
        <f>INDEX(DarlObj,7)</f>
      </c>
      <c r="D3063">
        <v>180</v>
      </c>
      <c r="E3063" s="51">
        <f>IF(INDEX(DarlBelegt,7)=0,0,EOMONTH(INDEX(DarlAuszahlung,7),179)+1)</f>
      </c>
      <c r="F3063" s="43">
        <f>IF($E3063=0,0,YEAR($E3063))</f>
      </c>
      <c r="G3063" s="43">
        <f>IF(INDEX(DarlBindung,7)="",1,IF($E3063&lt;=INDEX(DarlBindung,7),1,0))</f>
      </c>
      <c r="H3063" s="43">
        <f>IF($G3063=1,INDEX(DarlSollzins,7),INDEX(DarlAnschluss,7))</f>
      </c>
      <c r="I3063" s="43">
        <f>IF(INDEX(DarlBelegt,7)=0,0,IF(INDEX(DarlOhneTilgung,7)=1,IF(INDEX(DarlBindung,7)="",1,$G3063),IF($J3063&gt;0.005,1,0)))</f>
      </c>
      <c r="J3063" s="43">
        <f>IF($I3062=0,0,$R3062)</f>
      </c>
      <c r="K3063" s="43">
        <f>IF($I3063=0,0,IF(INDEX(DarlOhneTilgung,7)=1,0,IF(AND(INDEX(DarlTilgStart,7)&gt;0,$E3063=INDEX(DarlTilgStart,7)),$J3063*($H3063+INDEX(DarlTilgung,7))/100/12,IF(AND($G3063=0,$G3062=1),MAX($K3062,$J3063*($H3063+1)/100/12),$K3062))))</f>
      </c>
      <c r="L3063" s="43">
        <f>IF($I3063=0,0,$J3063*$H3063/100/12)</f>
      </c>
      <c r="M3063" s="43">
        <f>IF($I3063=0,0,IF(OR(INDEX(DarlOhneTilgung,7)=1,AND(INDEX(DarlTilgStart,7)&gt;0,$E3063&lt;INDEX(DarlTilgStart,7))),0,MIN(MAX(0,$K3063-$L3063),$J3063)))</f>
      </c>
      <c r="N3063" s="43">
        <f>IF($I3063=0,0,MIN(SUMIFS(SondBetrag,SondDarl,7,SondDatum,"&gt;="&amp;$E3063,SondDatum,"&lt;="&amp;EOMONTH($E3063,0)),$J3063-$M3063))</f>
      </c>
      <c r="O3063" s="43">
        <f>IF($I3063=0,0,INDEX(DarlErsatzRate,7))</f>
      </c>
      <c r="P3063" s="43">
        <f>IF($I3063=0,0,$Q3062*INDEX(DarlErsatzZins,7))</f>
      </c>
      <c r="Q3063" s="43">
        <f>IF($I3063=0,0,$Q3062+$P3063+$O3063)</f>
      </c>
      <c r="R3063" s="43">
        <f>IF($I3063=0,0,$J3063-$M3063-$N3063)</f>
      </c>
    </row>
    <row r="3064">
      <c r="A3064"/>
      <c r="B3064">
        <v>7</v>
      </c>
      <c r="C3064" s="43">
        <f>INDEX(DarlObj,7)</f>
      </c>
      <c r="D3064">
        <v>181</v>
      </c>
      <c r="E3064" s="51">
        <f>IF(INDEX(DarlBelegt,7)=0,0,EOMONTH(INDEX(DarlAuszahlung,7),180)+1)</f>
      </c>
      <c r="F3064" s="43">
        <f>IF($E3064=0,0,YEAR($E3064))</f>
      </c>
      <c r="G3064" s="43">
        <f>IF(INDEX(DarlBindung,7)="",1,IF($E3064&lt;=INDEX(DarlBindung,7),1,0))</f>
      </c>
      <c r="H3064" s="43">
        <f>IF($G3064=1,INDEX(DarlSollzins,7),INDEX(DarlAnschluss,7))</f>
      </c>
      <c r="I3064" s="43">
        <f>IF(INDEX(DarlBelegt,7)=0,0,IF(INDEX(DarlOhneTilgung,7)=1,IF(INDEX(DarlBindung,7)="",1,$G3064),IF($J3064&gt;0.005,1,0)))</f>
      </c>
      <c r="J3064" s="43">
        <f>IF($I3063=0,0,$R3063)</f>
      </c>
      <c r="K3064" s="43">
        <f>IF($I3064=0,0,IF(INDEX(DarlOhneTilgung,7)=1,0,IF(AND(INDEX(DarlTilgStart,7)&gt;0,$E3064=INDEX(DarlTilgStart,7)),$J3064*($H3064+INDEX(DarlTilgung,7))/100/12,IF(AND($G3064=0,$G3063=1),MAX($K3063,$J3064*($H3064+1)/100/12),$K3063))))</f>
      </c>
      <c r="L3064" s="43">
        <f>IF($I3064=0,0,$J3064*$H3064/100/12)</f>
      </c>
      <c r="M3064" s="43">
        <f>IF($I3064=0,0,IF(OR(INDEX(DarlOhneTilgung,7)=1,AND(INDEX(DarlTilgStart,7)&gt;0,$E3064&lt;INDEX(DarlTilgStart,7))),0,MIN(MAX(0,$K3064-$L3064),$J3064)))</f>
      </c>
      <c r="N3064" s="43">
        <f>IF($I3064=0,0,MIN(SUMIFS(SondBetrag,SondDarl,7,SondDatum,"&gt;="&amp;$E3064,SondDatum,"&lt;="&amp;EOMONTH($E3064,0)),$J3064-$M3064))</f>
      </c>
      <c r="O3064" s="43">
        <f>IF($I3064=0,0,INDEX(DarlErsatzRate,7))</f>
      </c>
      <c r="P3064" s="43">
        <f>IF($I3064=0,0,$Q3063*INDEX(DarlErsatzZins,7))</f>
      </c>
      <c r="Q3064" s="43">
        <f>IF($I3064=0,0,$Q3063+$P3064+$O3064)</f>
      </c>
      <c r="R3064" s="43">
        <f>IF($I3064=0,0,$J3064-$M3064-$N3064)</f>
      </c>
    </row>
    <row r="3065">
      <c r="A3065"/>
      <c r="B3065">
        <v>7</v>
      </c>
      <c r="C3065" s="43">
        <f>INDEX(DarlObj,7)</f>
      </c>
      <c r="D3065">
        <v>182</v>
      </c>
      <c r="E3065" s="51">
        <f>IF(INDEX(DarlBelegt,7)=0,0,EOMONTH(INDEX(DarlAuszahlung,7),181)+1)</f>
      </c>
      <c r="F3065" s="43">
        <f>IF($E3065=0,0,YEAR($E3065))</f>
      </c>
      <c r="G3065" s="43">
        <f>IF(INDEX(DarlBindung,7)="",1,IF($E3065&lt;=INDEX(DarlBindung,7),1,0))</f>
      </c>
      <c r="H3065" s="43">
        <f>IF($G3065=1,INDEX(DarlSollzins,7),INDEX(DarlAnschluss,7))</f>
      </c>
      <c r="I3065" s="43">
        <f>IF(INDEX(DarlBelegt,7)=0,0,IF(INDEX(DarlOhneTilgung,7)=1,IF(INDEX(DarlBindung,7)="",1,$G3065),IF($J3065&gt;0.005,1,0)))</f>
      </c>
      <c r="J3065" s="43">
        <f>IF($I3064=0,0,$R3064)</f>
      </c>
      <c r="K3065" s="43">
        <f>IF($I3065=0,0,IF(INDEX(DarlOhneTilgung,7)=1,0,IF(AND(INDEX(DarlTilgStart,7)&gt;0,$E3065=INDEX(DarlTilgStart,7)),$J3065*($H3065+INDEX(DarlTilgung,7))/100/12,IF(AND($G3065=0,$G3064=1),MAX($K3064,$J3065*($H3065+1)/100/12),$K3064))))</f>
      </c>
      <c r="L3065" s="43">
        <f>IF($I3065=0,0,$J3065*$H3065/100/12)</f>
      </c>
      <c r="M3065" s="43">
        <f>IF($I3065=0,0,IF(OR(INDEX(DarlOhneTilgung,7)=1,AND(INDEX(DarlTilgStart,7)&gt;0,$E3065&lt;INDEX(DarlTilgStart,7))),0,MIN(MAX(0,$K3065-$L3065),$J3065)))</f>
      </c>
      <c r="N3065" s="43">
        <f>IF($I3065=0,0,MIN(SUMIFS(SondBetrag,SondDarl,7,SondDatum,"&gt;="&amp;$E3065,SondDatum,"&lt;="&amp;EOMONTH($E3065,0)),$J3065-$M3065))</f>
      </c>
      <c r="O3065" s="43">
        <f>IF($I3065=0,0,INDEX(DarlErsatzRate,7))</f>
      </c>
      <c r="P3065" s="43">
        <f>IF($I3065=0,0,$Q3064*INDEX(DarlErsatzZins,7))</f>
      </c>
      <c r="Q3065" s="43">
        <f>IF($I3065=0,0,$Q3064+$P3065+$O3065)</f>
      </c>
      <c r="R3065" s="43">
        <f>IF($I3065=0,0,$J3065-$M3065-$N3065)</f>
      </c>
    </row>
    <row r="3066">
      <c r="A3066"/>
      <c r="B3066">
        <v>7</v>
      </c>
      <c r="C3066" s="43">
        <f>INDEX(DarlObj,7)</f>
      </c>
      <c r="D3066">
        <v>183</v>
      </c>
      <c r="E3066" s="51">
        <f>IF(INDEX(DarlBelegt,7)=0,0,EOMONTH(INDEX(DarlAuszahlung,7),182)+1)</f>
      </c>
      <c r="F3066" s="43">
        <f>IF($E3066=0,0,YEAR($E3066))</f>
      </c>
      <c r="G3066" s="43">
        <f>IF(INDEX(DarlBindung,7)="",1,IF($E3066&lt;=INDEX(DarlBindung,7),1,0))</f>
      </c>
      <c r="H3066" s="43">
        <f>IF($G3066=1,INDEX(DarlSollzins,7),INDEX(DarlAnschluss,7))</f>
      </c>
      <c r="I3066" s="43">
        <f>IF(INDEX(DarlBelegt,7)=0,0,IF(INDEX(DarlOhneTilgung,7)=1,IF(INDEX(DarlBindung,7)="",1,$G3066),IF($J3066&gt;0.005,1,0)))</f>
      </c>
      <c r="J3066" s="43">
        <f>IF($I3065=0,0,$R3065)</f>
      </c>
      <c r="K3066" s="43">
        <f>IF($I3066=0,0,IF(INDEX(DarlOhneTilgung,7)=1,0,IF(AND(INDEX(DarlTilgStart,7)&gt;0,$E3066=INDEX(DarlTilgStart,7)),$J3066*($H3066+INDEX(DarlTilgung,7))/100/12,IF(AND($G3066=0,$G3065=1),MAX($K3065,$J3066*($H3066+1)/100/12),$K3065))))</f>
      </c>
      <c r="L3066" s="43">
        <f>IF($I3066=0,0,$J3066*$H3066/100/12)</f>
      </c>
      <c r="M3066" s="43">
        <f>IF($I3066=0,0,IF(OR(INDEX(DarlOhneTilgung,7)=1,AND(INDEX(DarlTilgStart,7)&gt;0,$E3066&lt;INDEX(DarlTilgStart,7))),0,MIN(MAX(0,$K3066-$L3066),$J3066)))</f>
      </c>
      <c r="N3066" s="43">
        <f>IF($I3066=0,0,MIN(SUMIFS(SondBetrag,SondDarl,7,SondDatum,"&gt;="&amp;$E3066,SondDatum,"&lt;="&amp;EOMONTH($E3066,0)),$J3066-$M3066))</f>
      </c>
      <c r="O3066" s="43">
        <f>IF($I3066=0,0,INDEX(DarlErsatzRate,7))</f>
      </c>
      <c r="P3066" s="43">
        <f>IF($I3066=0,0,$Q3065*INDEX(DarlErsatzZins,7))</f>
      </c>
      <c r="Q3066" s="43">
        <f>IF($I3066=0,0,$Q3065+$P3066+$O3066)</f>
      </c>
      <c r="R3066" s="43">
        <f>IF($I3066=0,0,$J3066-$M3066-$N3066)</f>
      </c>
    </row>
    <row r="3067">
      <c r="A3067"/>
      <c r="B3067">
        <v>7</v>
      </c>
      <c r="C3067" s="43">
        <f>INDEX(DarlObj,7)</f>
      </c>
      <c r="D3067">
        <v>184</v>
      </c>
      <c r="E3067" s="51">
        <f>IF(INDEX(DarlBelegt,7)=0,0,EOMONTH(INDEX(DarlAuszahlung,7),183)+1)</f>
      </c>
      <c r="F3067" s="43">
        <f>IF($E3067=0,0,YEAR($E3067))</f>
      </c>
      <c r="G3067" s="43">
        <f>IF(INDEX(DarlBindung,7)="",1,IF($E3067&lt;=INDEX(DarlBindung,7),1,0))</f>
      </c>
      <c r="H3067" s="43">
        <f>IF($G3067=1,INDEX(DarlSollzins,7),INDEX(DarlAnschluss,7))</f>
      </c>
      <c r="I3067" s="43">
        <f>IF(INDEX(DarlBelegt,7)=0,0,IF(INDEX(DarlOhneTilgung,7)=1,IF(INDEX(DarlBindung,7)="",1,$G3067),IF($J3067&gt;0.005,1,0)))</f>
      </c>
      <c r="J3067" s="43">
        <f>IF($I3066=0,0,$R3066)</f>
      </c>
      <c r="K3067" s="43">
        <f>IF($I3067=0,0,IF(INDEX(DarlOhneTilgung,7)=1,0,IF(AND(INDEX(DarlTilgStart,7)&gt;0,$E3067=INDEX(DarlTilgStart,7)),$J3067*($H3067+INDEX(DarlTilgung,7))/100/12,IF(AND($G3067=0,$G3066=1),MAX($K3066,$J3067*($H3067+1)/100/12),$K3066))))</f>
      </c>
      <c r="L3067" s="43">
        <f>IF($I3067=0,0,$J3067*$H3067/100/12)</f>
      </c>
      <c r="M3067" s="43">
        <f>IF($I3067=0,0,IF(OR(INDEX(DarlOhneTilgung,7)=1,AND(INDEX(DarlTilgStart,7)&gt;0,$E3067&lt;INDEX(DarlTilgStart,7))),0,MIN(MAX(0,$K3067-$L3067),$J3067)))</f>
      </c>
      <c r="N3067" s="43">
        <f>IF($I3067=0,0,MIN(SUMIFS(SondBetrag,SondDarl,7,SondDatum,"&gt;="&amp;$E3067,SondDatum,"&lt;="&amp;EOMONTH($E3067,0)),$J3067-$M3067))</f>
      </c>
      <c r="O3067" s="43">
        <f>IF($I3067=0,0,INDEX(DarlErsatzRate,7))</f>
      </c>
      <c r="P3067" s="43">
        <f>IF($I3067=0,0,$Q3066*INDEX(DarlErsatzZins,7))</f>
      </c>
      <c r="Q3067" s="43">
        <f>IF($I3067=0,0,$Q3066+$P3067+$O3067)</f>
      </c>
      <c r="R3067" s="43">
        <f>IF($I3067=0,0,$J3067-$M3067-$N3067)</f>
      </c>
    </row>
    <row r="3068">
      <c r="A3068"/>
      <c r="B3068">
        <v>7</v>
      </c>
      <c r="C3068" s="43">
        <f>INDEX(DarlObj,7)</f>
      </c>
      <c r="D3068">
        <v>185</v>
      </c>
      <c r="E3068" s="51">
        <f>IF(INDEX(DarlBelegt,7)=0,0,EOMONTH(INDEX(DarlAuszahlung,7),184)+1)</f>
      </c>
      <c r="F3068" s="43">
        <f>IF($E3068=0,0,YEAR($E3068))</f>
      </c>
      <c r="G3068" s="43">
        <f>IF(INDEX(DarlBindung,7)="",1,IF($E3068&lt;=INDEX(DarlBindung,7),1,0))</f>
      </c>
      <c r="H3068" s="43">
        <f>IF($G3068=1,INDEX(DarlSollzins,7),INDEX(DarlAnschluss,7))</f>
      </c>
      <c r="I3068" s="43">
        <f>IF(INDEX(DarlBelegt,7)=0,0,IF(INDEX(DarlOhneTilgung,7)=1,IF(INDEX(DarlBindung,7)="",1,$G3068),IF($J3068&gt;0.005,1,0)))</f>
      </c>
      <c r="J3068" s="43">
        <f>IF($I3067=0,0,$R3067)</f>
      </c>
      <c r="K3068" s="43">
        <f>IF($I3068=0,0,IF(INDEX(DarlOhneTilgung,7)=1,0,IF(AND(INDEX(DarlTilgStart,7)&gt;0,$E3068=INDEX(DarlTilgStart,7)),$J3068*($H3068+INDEX(DarlTilgung,7))/100/12,IF(AND($G3068=0,$G3067=1),MAX($K3067,$J3068*($H3068+1)/100/12),$K3067))))</f>
      </c>
      <c r="L3068" s="43">
        <f>IF($I3068=0,0,$J3068*$H3068/100/12)</f>
      </c>
      <c r="M3068" s="43">
        <f>IF($I3068=0,0,IF(OR(INDEX(DarlOhneTilgung,7)=1,AND(INDEX(DarlTilgStart,7)&gt;0,$E3068&lt;INDEX(DarlTilgStart,7))),0,MIN(MAX(0,$K3068-$L3068),$J3068)))</f>
      </c>
      <c r="N3068" s="43">
        <f>IF($I3068=0,0,MIN(SUMIFS(SondBetrag,SondDarl,7,SondDatum,"&gt;="&amp;$E3068,SondDatum,"&lt;="&amp;EOMONTH($E3068,0)),$J3068-$M3068))</f>
      </c>
      <c r="O3068" s="43">
        <f>IF($I3068=0,0,INDEX(DarlErsatzRate,7))</f>
      </c>
      <c r="P3068" s="43">
        <f>IF($I3068=0,0,$Q3067*INDEX(DarlErsatzZins,7))</f>
      </c>
      <c r="Q3068" s="43">
        <f>IF($I3068=0,0,$Q3067+$P3068+$O3068)</f>
      </c>
      <c r="R3068" s="43">
        <f>IF($I3068=0,0,$J3068-$M3068-$N3068)</f>
      </c>
    </row>
    <row r="3069">
      <c r="A3069"/>
      <c r="B3069">
        <v>7</v>
      </c>
      <c r="C3069" s="43">
        <f>INDEX(DarlObj,7)</f>
      </c>
      <c r="D3069">
        <v>186</v>
      </c>
      <c r="E3069" s="51">
        <f>IF(INDEX(DarlBelegt,7)=0,0,EOMONTH(INDEX(DarlAuszahlung,7),185)+1)</f>
      </c>
      <c r="F3069" s="43">
        <f>IF($E3069=0,0,YEAR($E3069))</f>
      </c>
      <c r="G3069" s="43">
        <f>IF(INDEX(DarlBindung,7)="",1,IF($E3069&lt;=INDEX(DarlBindung,7),1,0))</f>
      </c>
      <c r="H3069" s="43">
        <f>IF($G3069=1,INDEX(DarlSollzins,7),INDEX(DarlAnschluss,7))</f>
      </c>
      <c r="I3069" s="43">
        <f>IF(INDEX(DarlBelegt,7)=0,0,IF(INDEX(DarlOhneTilgung,7)=1,IF(INDEX(DarlBindung,7)="",1,$G3069),IF($J3069&gt;0.005,1,0)))</f>
      </c>
      <c r="J3069" s="43">
        <f>IF($I3068=0,0,$R3068)</f>
      </c>
      <c r="K3069" s="43">
        <f>IF($I3069=0,0,IF(INDEX(DarlOhneTilgung,7)=1,0,IF(AND(INDEX(DarlTilgStart,7)&gt;0,$E3069=INDEX(DarlTilgStart,7)),$J3069*($H3069+INDEX(DarlTilgung,7))/100/12,IF(AND($G3069=0,$G3068=1),MAX($K3068,$J3069*($H3069+1)/100/12),$K3068))))</f>
      </c>
      <c r="L3069" s="43">
        <f>IF($I3069=0,0,$J3069*$H3069/100/12)</f>
      </c>
      <c r="M3069" s="43">
        <f>IF($I3069=0,0,IF(OR(INDEX(DarlOhneTilgung,7)=1,AND(INDEX(DarlTilgStart,7)&gt;0,$E3069&lt;INDEX(DarlTilgStart,7))),0,MIN(MAX(0,$K3069-$L3069),$J3069)))</f>
      </c>
      <c r="N3069" s="43">
        <f>IF($I3069=0,0,MIN(SUMIFS(SondBetrag,SondDarl,7,SondDatum,"&gt;="&amp;$E3069,SondDatum,"&lt;="&amp;EOMONTH($E3069,0)),$J3069-$M3069))</f>
      </c>
      <c r="O3069" s="43">
        <f>IF($I3069=0,0,INDEX(DarlErsatzRate,7))</f>
      </c>
      <c r="P3069" s="43">
        <f>IF($I3069=0,0,$Q3068*INDEX(DarlErsatzZins,7))</f>
      </c>
      <c r="Q3069" s="43">
        <f>IF($I3069=0,0,$Q3068+$P3069+$O3069)</f>
      </c>
      <c r="R3069" s="43">
        <f>IF($I3069=0,0,$J3069-$M3069-$N3069)</f>
      </c>
    </row>
    <row r="3070">
      <c r="A3070"/>
      <c r="B3070">
        <v>7</v>
      </c>
      <c r="C3070" s="43">
        <f>INDEX(DarlObj,7)</f>
      </c>
      <c r="D3070">
        <v>187</v>
      </c>
      <c r="E3070" s="51">
        <f>IF(INDEX(DarlBelegt,7)=0,0,EOMONTH(INDEX(DarlAuszahlung,7),186)+1)</f>
      </c>
      <c r="F3070" s="43">
        <f>IF($E3070=0,0,YEAR($E3070))</f>
      </c>
      <c r="G3070" s="43">
        <f>IF(INDEX(DarlBindung,7)="",1,IF($E3070&lt;=INDEX(DarlBindung,7),1,0))</f>
      </c>
      <c r="H3070" s="43">
        <f>IF($G3070=1,INDEX(DarlSollzins,7),INDEX(DarlAnschluss,7))</f>
      </c>
      <c r="I3070" s="43">
        <f>IF(INDEX(DarlBelegt,7)=0,0,IF(INDEX(DarlOhneTilgung,7)=1,IF(INDEX(DarlBindung,7)="",1,$G3070),IF($J3070&gt;0.005,1,0)))</f>
      </c>
      <c r="J3070" s="43">
        <f>IF($I3069=0,0,$R3069)</f>
      </c>
      <c r="K3070" s="43">
        <f>IF($I3070=0,0,IF(INDEX(DarlOhneTilgung,7)=1,0,IF(AND(INDEX(DarlTilgStart,7)&gt;0,$E3070=INDEX(DarlTilgStart,7)),$J3070*($H3070+INDEX(DarlTilgung,7))/100/12,IF(AND($G3070=0,$G3069=1),MAX($K3069,$J3070*($H3070+1)/100/12),$K3069))))</f>
      </c>
      <c r="L3070" s="43">
        <f>IF($I3070=0,0,$J3070*$H3070/100/12)</f>
      </c>
      <c r="M3070" s="43">
        <f>IF($I3070=0,0,IF(OR(INDEX(DarlOhneTilgung,7)=1,AND(INDEX(DarlTilgStart,7)&gt;0,$E3070&lt;INDEX(DarlTilgStart,7))),0,MIN(MAX(0,$K3070-$L3070),$J3070)))</f>
      </c>
      <c r="N3070" s="43">
        <f>IF($I3070=0,0,MIN(SUMIFS(SondBetrag,SondDarl,7,SondDatum,"&gt;="&amp;$E3070,SondDatum,"&lt;="&amp;EOMONTH($E3070,0)),$J3070-$M3070))</f>
      </c>
      <c r="O3070" s="43">
        <f>IF($I3070=0,0,INDEX(DarlErsatzRate,7))</f>
      </c>
      <c r="P3070" s="43">
        <f>IF($I3070=0,0,$Q3069*INDEX(DarlErsatzZins,7))</f>
      </c>
      <c r="Q3070" s="43">
        <f>IF($I3070=0,0,$Q3069+$P3070+$O3070)</f>
      </c>
      <c r="R3070" s="43">
        <f>IF($I3070=0,0,$J3070-$M3070-$N3070)</f>
      </c>
    </row>
    <row r="3071">
      <c r="A3071"/>
      <c r="B3071">
        <v>7</v>
      </c>
      <c r="C3071" s="43">
        <f>INDEX(DarlObj,7)</f>
      </c>
      <c r="D3071">
        <v>188</v>
      </c>
      <c r="E3071" s="51">
        <f>IF(INDEX(DarlBelegt,7)=0,0,EOMONTH(INDEX(DarlAuszahlung,7),187)+1)</f>
      </c>
      <c r="F3071" s="43">
        <f>IF($E3071=0,0,YEAR($E3071))</f>
      </c>
      <c r="G3071" s="43">
        <f>IF(INDEX(DarlBindung,7)="",1,IF($E3071&lt;=INDEX(DarlBindung,7),1,0))</f>
      </c>
      <c r="H3071" s="43">
        <f>IF($G3071=1,INDEX(DarlSollzins,7),INDEX(DarlAnschluss,7))</f>
      </c>
      <c r="I3071" s="43">
        <f>IF(INDEX(DarlBelegt,7)=0,0,IF(INDEX(DarlOhneTilgung,7)=1,IF(INDEX(DarlBindung,7)="",1,$G3071),IF($J3071&gt;0.005,1,0)))</f>
      </c>
      <c r="J3071" s="43">
        <f>IF($I3070=0,0,$R3070)</f>
      </c>
      <c r="K3071" s="43">
        <f>IF($I3071=0,0,IF(INDEX(DarlOhneTilgung,7)=1,0,IF(AND(INDEX(DarlTilgStart,7)&gt;0,$E3071=INDEX(DarlTilgStart,7)),$J3071*($H3071+INDEX(DarlTilgung,7))/100/12,IF(AND($G3071=0,$G3070=1),MAX($K3070,$J3071*($H3071+1)/100/12),$K3070))))</f>
      </c>
      <c r="L3071" s="43">
        <f>IF($I3071=0,0,$J3071*$H3071/100/12)</f>
      </c>
      <c r="M3071" s="43">
        <f>IF($I3071=0,0,IF(OR(INDEX(DarlOhneTilgung,7)=1,AND(INDEX(DarlTilgStart,7)&gt;0,$E3071&lt;INDEX(DarlTilgStart,7))),0,MIN(MAX(0,$K3071-$L3071),$J3071)))</f>
      </c>
      <c r="N3071" s="43">
        <f>IF($I3071=0,0,MIN(SUMIFS(SondBetrag,SondDarl,7,SondDatum,"&gt;="&amp;$E3071,SondDatum,"&lt;="&amp;EOMONTH($E3071,0)),$J3071-$M3071))</f>
      </c>
      <c r="O3071" s="43">
        <f>IF($I3071=0,0,INDEX(DarlErsatzRate,7))</f>
      </c>
      <c r="P3071" s="43">
        <f>IF($I3071=0,0,$Q3070*INDEX(DarlErsatzZins,7))</f>
      </c>
      <c r="Q3071" s="43">
        <f>IF($I3071=0,0,$Q3070+$P3071+$O3071)</f>
      </c>
      <c r="R3071" s="43">
        <f>IF($I3071=0,0,$J3071-$M3071-$N3071)</f>
      </c>
    </row>
    <row r="3072">
      <c r="A3072"/>
      <c r="B3072">
        <v>7</v>
      </c>
      <c r="C3072" s="43">
        <f>INDEX(DarlObj,7)</f>
      </c>
      <c r="D3072">
        <v>189</v>
      </c>
      <c r="E3072" s="51">
        <f>IF(INDEX(DarlBelegt,7)=0,0,EOMONTH(INDEX(DarlAuszahlung,7),188)+1)</f>
      </c>
      <c r="F3072" s="43">
        <f>IF($E3072=0,0,YEAR($E3072))</f>
      </c>
      <c r="G3072" s="43">
        <f>IF(INDEX(DarlBindung,7)="",1,IF($E3072&lt;=INDEX(DarlBindung,7),1,0))</f>
      </c>
      <c r="H3072" s="43">
        <f>IF($G3072=1,INDEX(DarlSollzins,7),INDEX(DarlAnschluss,7))</f>
      </c>
      <c r="I3072" s="43">
        <f>IF(INDEX(DarlBelegt,7)=0,0,IF(INDEX(DarlOhneTilgung,7)=1,IF(INDEX(DarlBindung,7)="",1,$G3072),IF($J3072&gt;0.005,1,0)))</f>
      </c>
      <c r="J3072" s="43">
        <f>IF($I3071=0,0,$R3071)</f>
      </c>
      <c r="K3072" s="43">
        <f>IF($I3072=0,0,IF(INDEX(DarlOhneTilgung,7)=1,0,IF(AND(INDEX(DarlTilgStart,7)&gt;0,$E3072=INDEX(DarlTilgStart,7)),$J3072*($H3072+INDEX(DarlTilgung,7))/100/12,IF(AND($G3072=0,$G3071=1),MAX($K3071,$J3072*($H3072+1)/100/12),$K3071))))</f>
      </c>
      <c r="L3072" s="43">
        <f>IF($I3072=0,0,$J3072*$H3072/100/12)</f>
      </c>
      <c r="M3072" s="43">
        <f>IF($I3072=0,0,IF(OR(INDEX(DarlOhneTilgung,7)=1,AND(INDEX(DarlTilgStart,7)&gt;0,$E3072&lt;INDEX(DarlTilgStart,7))),0,MIN(MAX(0,$K3072-$L3072),$J3072)))</f>
      </c>
      <c r="N3072" s="43">
        <f>IF($I3072=0,0,MIN(SUMIFS(SondBetrag,SondDarl,7,SondDatum,"&gt;="&amp;$E3072,SondDatum,"&lt;="&amp;EOMONTH($E3072,0)),$J3072-$M3072))</f>
      </c>
      <c r="O3072" s="43">
        <f>IF($I3072=0,0,INDEX(DarlErsatzRate,7))</f>
      </c>
      <c r="P3072" s="43">
        <f>IF($I3072=0,0,$Q3071*INDEX(DarlErsatzZins,7))</f>
      </c>
      <c r="Q3072" s="43">
        <f>IF($I3072=0,0,$Q3071+$P3072+$O3072)</f>
      </c>
      <c r="R3072" s="43">
        <f>IF($I3072=0,0,$J3072-$M3072-$N3072)</f>
      </c>
    </row>
    <row r="3073">
      <c r="A3073"/>
      <c r="B3073">
        <v>7</v>
      </c>
      <c r="C3073" s="43">
        <f>INDEX(DarlObj,7)</f>
      </c>
      <c r="D3073">
        <v>190</v>
      </c>
      <c r="E3073" s="51">
        <f>IF(INDEX(DarlBelegt,7)=0,0,EOMONTH(INDEX(DarlAuszahlung,7),189)+1)</f>
      </c>
      <c r="F3073" s="43">
        <f>IF($E3073=0,0,YEAR($E3073))</f>
      </c>
      <c r="G3073" s="43">
        <f>IF(INDEX(DarlBindung,7)="",1,IF($E3073&lt;=INDEX(DarlBindung,7),1,0))</f>
      </c>
      <c r="H3073" s="43">
        <f>IF($G3073=1,INDEX(DarlSollzins,7),INDEX(DarlAnschluss,7))</f>
      </c>
      <c r="I3073" s="43">
        <f>IF(INDEX(DarlBelegt,7)=0,0,IF(INDEX(DarlOhneTilgung,7)=1,IF(INDEX(DarlBindung,7)="",1,$G3073),IF($J3073&gt;0.005,1,0)))</f>
      </c>
      <c r="J3073" s="43">
        <f>IF($I3072=0,0,$R3072)</f>
      </c>
      <c r="K3073" s="43">
        <f>IF($I3073=0,0,IF(INDEX(DarlOhneTilgung,7)=1,0,IF(AND(INDEX(DarlTilgStart,7)&gt;0,$E3073=INDEX(DarlTilgStart,7)),$J3073*($H3073+INDEX(DarlTilgung,7))/100/12,IF(AND($G3073=0,$G3072=1),MAX($K3072,$J3073*($H3073+1)/100/12),$K3072))))</f>
      </c>
      <c r="L3073" s="43">
        <f>IF($I3073=0,0,$J3073*$H3073/100/12)</f>
      </c>
      <c r="M3073" s="43">
        <f>IF($I3073=0,0,IF(OR(INDEX(DarlOhneTilgung,7)=1,AND(INDEX(DarlTilgStart,7)&gt;0,$E3073&lt;INDEX(DarlTilgStart,7))),0,MIN(MAX(0,$K3073-$L3073),$J3073)))</f>
      </c>
      <c r="N3073" s="43">
        <f>IF($I3073=0,0,MIN(SUMIFS(SondBetrag,SondDarl,7,SondDatum,"&gt;="&amp;$E3073,SondDatum,"&lt;="&amp;EOMONTH($E3073,0)),$J3073-$M3073))</f>
      </c>
      <c r="O3073" s="43">
        <f>IF($I3073=0,0,INDEX(DarlErsatzRate,7))</f>
      </c>
      <c r="P3073" s="43">
        <f>IF($I3073=0,0,$Q3072*INDEX(DarlErsatzZins,7))</f>
      </c>
      <c r="Q3073" s="43">
        <f>IF($I3073=0,0,$Q3072+$P3073+$O3073)</f>
      </c>
      <c r="R3073" s="43">
        <f>IF($I3073=0,0,$J3073-$M3073-$N3073)</f>
      </c>
    </row>
    <row r="3074">
      <c r="A3074"/>
      <c r="B3074">
        <v>7</v>
      </c>
      <c r="C3074" s="43">
        <f>INDEX(DarlObj,7)</f>
      </c>
      <c r="D3074">
        <v>191</v>
      </c>
      <c r="E3074" s="51">
        <f>IF(INDEX(DarlBelegt,7)=0,0,EOMONTH(INDEX(DarlAuszahlung,7),190)+1)</f>
      </c>
      <c r="F3074" s="43">
        <f>IF($E3074=0,0,YEAR($E3074))</f>
      </c>
      <c r="G3074" s="43">
        <f>IF(INDEX(DarlBindung,7)="",1,IF($E3074&lt;=INDEX(DarlBindung,7),1,0))</f>
      </c>
      <c r="H3074" s="43">
        <f>IF($G3074=1,INDEX(DarlSollzins,7),INDEX(DarlAnschluss,7))</f>
      </c>
      <c r="I3074" s="43">
        <f>IF(INDEX(DarlBelegt,7)=0,0,IF(INDEX(DarlOhneTilgung,7)=1,IF(INDEX(DarlBindung,7)="",1,$G3074),IF($J3074&gt;0.005,1,0)))</f>
      </c>
      <c r="J3074" s="43">
        <f>IF($I3073=0,0,$R3073)</f>
      </c>
      <c r="K3074" s="43">
        <f>IF($I3074=0,0,IF(INDEX(DarlOhneTilgung,7)=1,0,IF(AND(INDEX(DarlTilgStart,7)&gt;0,$E3074=INDEX(DarlTilgStart,7)),$J3074*($H3074+INDEX(DarlTilgung,7))/100/12,IF(AND($G3074=0,$G3073=1),MAX($K3073,$J3074*($H3074+1)/100/12),$K3073))))</f>
      </c>
      <c r="L3074" s="43">
        <f>IF($I3074=0,0,$J3074*$H3074/100/12)</f>
      </c>
      <c r="M3074" s="43">
        <f>IF($I3074=0,0,IF(OR(INDEX(DarlOhneTilgung,7)=1,AND(INDEX(DarlTilgStart,7)&gt;0,$E3074&lt;INDEX(DarlTilgStart,7))),0,MIN(MAX(0,$K3074-$L3074),$J3074)))</f>
      </c>
      <c r="N3074" s="43">
        <f>IF($I3074=0,0,MIN(SUMIFS(SondBetrag,SondDarl,7,SondDatum,"&gt;="&amp;$E3074,SondDatum,"&lt;="&amp;EOMONTH($E3074,0)),$J3074-$M3074))</f>
      </c>
      <c r="O3074" s="43">
        <f>IF($I3074=0,0,INDEX(DarlErsatzRate,7))</f>
      </c>
      <c r="P3074" s="43">
        <f>IF($I3074=0,0,$Q3073*INDEX(DarlErsatzZins,7))</f>
      </c>
      <c r="Q3074" s="43">
        <f>IF($I3074=0,0,$Q3073+$P3074+$O3074)</f>
      </c>
      <c r="R3074" s="43">
        <f>IF($I3074=0,0,$J3074-$M3074-$N3074)</f>
      </c>
    </row>
    <row r="3075">
      <c r="A3075"/>
      <c r="B3075">
        <v>7</v>
      </c>
      <c r="C3075" s="43">
        <f>INDEX(DarlObj,7)</f>
      </c>
      <c r="D3075">
        <v>192</v>
      </c>
      <c r="E3075" s="51">
        <f>IF(INDEX(DarlBelegt,7)=0,0,EOMONTH(INDEX(DarlAuszahlung,7),191)+1)</f>
      </c>
      <c r="F3075" s="43">
        <f>IF($E3075=0,0,YEAR($E3075))</f>
      </c>
      <c r="G3075" s="43">
        <f>IF(INDEX(DarlBindung,7)="",1,IF($E3075&lt;=INDEX(DarlBindung,7),1,0))</f>
      </c>
      <c r="H3075" s="43">
        <f>IF($G3075=1,INDEX(DarlSollzins,7),INDEX(DarlAnschluss,7))</f>
      </c>
      <c r="I3075" s="43">
        <f>IF(INDEX(DarlBelegt,7)=0,0,IF(INDEX(DarlOhneTilgung,7)=1,IF(INDEX(DarlBindung,7)="",1,$G3075),IF($J3075&gt;0.005,1,0)))</f>
      </c>
      <c r="J3075" s="43">
        <f>IF($I3074=0,0,$R3074)</f>
      </c>
      <c r="K3075" s="43">
        <f>IF($I3075=0,0,IF(INDEX(DarlOhneTilgung,7)=1,0,IF(AND(INDEX(DarlTilgStart,7)&gt;0,$E3075=INDEX(DarlTilgStart,7)),$J3075*($H3075+INDEX(DarlTilgung,7))/100/12,IF(AND($G3075=0,$G3074=1),MAX($K3074,$J3075*($H3075+1)/100/12),$K3074))))</f>
      </c>
      <c r="L3075" s="43">
        <f>IF($I3075=0,0,$J3075*$H3075/100/12)</f>
      </c>
      <c r="M3075" s="43">
        <f>IF($I3075=0,0,IF(OR(INDEX(DarlOhneTilgung,7)=1,AND(INDEX(DarlTilgStart,7)&gt;0,$E3075&lt;INDEX(DarlTilgStart,7))),0,MIN(MAX(0,$K3075-$L3075),$J3075)))</f>
      </c>
      <c r="N3075" s="43">
        <f>IF($I3075=0,0,MIN(SUMIFS(SondBetrag,SondDarl,7,SondDatum,"&gt;="&amp;$E3075,SondDatum,"&lt;="&amp;EOMONTH($E3075,0)),$J3075-$M3075))</f>
      </c>
      <c r="O3075" s="43">
        <f>IF($I3075=0,0,INDEX(DarlErsatzRate,7))</f>
      </c>
      <c r="P3075" s="43">
        <f>IF($I3075=0,0,$Q3074*INDEX(DarlErsatzZins,7))</f>
      </c>
      <c r="Q3075" s="43">
        <f>IF($I3075=0,0,$Q3074+$P3075+$O3075)</f>
      </c>
      <c r="R3075" s="43">
        <f>IF($I3075=0,0,$J3075-$M3075-$N3075)</f>
      </c>
    </row>
    <row r="3076">
      <c r="A3076"/>
      <c r="B3076">
        <v>7</v>
      </c>
      <c r="C3076" s="43">
        <f>INDEX(DarlObj,7)</f>
      </c>
      <c r="D3076">
        <v>193</v>
      </c>
      <c r="E3076" s="51">
        <f>IF(INDEX(DarlBelegt,7)=0,0,EOMONTH(INDEX(DarlAuszahlung,7),192)+1)</f>
      </c>
      <c r="F3076" s="43">
        <f>IF($E3076=0,0,YEAR($E3076))</f>
      </c>
      <c r="G3076" s="43">
        <f>IF(INDEX(DarlBindung,7)="",1,IF($E3076&lt;=INDEX(DarlBindung,7),1,0))</f>
      </c>
      <c r="H3076" s="43">
        <f>IF($G3076=1,INDEX(DarlSollzins,7),INDEX(DarlAnschluss,7))</f>
      </c>
      <c r="I3076" s="43">
        <f>IF(INDEX(DarlBelegt,7)=0,0,IF(INDEX(DarlOhneTilgung,7)=1,IF(INDEX(DarlBindung,7)="",1,$G3076),IF($J3076&gt;0.005,1,0)))</f>
      </c>
      <c r="J3076" s="43">
        <f>IF($I3075=0,0,$R3075)</f>
      </c>
      <c r="K3076" s="43">
        <f>IF($I3076=0,0,IF(INDEX(DarlOhneTilgung,7)=1,0,IF(AND(INDEX(DarlTilgStart,7)&gt;0,$E3076=INDEX(DarlTilgStart,7)),$J3076*($H3076+INDEX(DarlTilgung,7))/100/12,IF(AND($G3076=0,$G3075=1),MAX($K3075,$J3076*($H3076+1)/100/12),$K3075))))</f>
      </c>
      <c r="L3076" s="43">
        <f>IF($I3076=0,0,$J3076*$H3076/100/12)</f>
      </c>
      <c r="M3076" s="43">
        <f>IF($I3076=0,0,IF(OR(INDEX(DarlOhneTilgung,7)=1,AND(INDEX(DarlTilgStart,7)&gt;0,$E3076&lt;INDEX(DarlTilgStart,7))),0,MIN(MAX(0,$K3076-$L3076),$J3076)))</f>
      </c>
      <c r="N3076" s="43">
        <f>IF($I3076=0,0,MIN(SUMIFS(SondBetrag,SondDarl,7,SondDatum,"&gt;="&amp;$E3076,SondDatum,"&lt;="&amp;EOMONTH($E3076,0)),$J3076-$M3076))</f>
      </c>
      <c r="O3076" s="43">
        <f>IF($I3076=0,0,INDEX(DarlErsatzRate,7))</f>
      </c>
      <c r="P3076" s="43">
        <f>IF($I3076=0,0,$Q3075*INDEX(DarlErsatzZins,7))</f>
      </c>
      <c r="Q3076" s="43">
        <f>IF($I3076=0,0,$Q3075+$P3076+$O3076)</f>
      </c>
      <c r="R3076" s="43">
        <f>IF($I3076=0,0,$J3076-$M3076-$N3076)</f>
      </c>
    </row>
    <row r="3077">
      <c r="A3077"/>
      <c r="B3077">
        <v>7</v>
      </c>
      <c r="C3077" s="43">
        <f>INDEX(DarlObj,7)</f>
      </c>
      <c r="D3077">
        <v>194</v>
      </c>
      <c r="E3077" s="51">
        <f>IF(INDEX(DarlBelegt,7)=0,0,EOMONTH(INDEX(DarlAuszahlung,7),193)+1)</f>
      </c>
      <c r="F3077" s="43">
        <f>IF($E3077=0,0,YEAR($E3077))</f>
      </c>
      <c r="G3077" s="43">
        <f>IF(INDEX(DarlBindung,7)="",1,IF($E3077&lt;=INDEX(DarlBindung,7),1,0))</f>
      </c>
      <c r="H3077" s="43">
        <f>IF($G3077=1,INDEX(DarlSollzins,7),INDEX(DarlAnschluss,7))</f>
      </c>
      <c r="I3077" s="43">
        <f>IF(INDEX(DarlBelegt,7)=0,0,IF(INDEX(DarlOhneTilgung,7)=1,IF(INDEX(DarlBindung,7)="",1,$G3077),IF($J3077&gt;0.005,1,0)))</f>
      </c>
      <c r="J3077" s="43">
        <f>IF($I3076=0,0,$R3076)</f>
      </c>
      <c r="K3077" s="43">
        <f>IF($I3077=0,0,IF(INDEX(DarlOhneTilgung,7)=1,0,IF(AND(INDEX(DarlTilgStart,7)&gt;0,$E3077=INDEX(DarlTilgStart,7)),$J3077*($H3077+INDEX(DarlTilgung,7))/100/12,IF(AND($G3077=0,$G3076=1),MAX($K3076,$J3077*($H3077+1)/100/12),$K3076))))</f>
      </c>
      <c r="L3077" s="43">
        <f>IF($I3077=0,0,$J3077*$H3077/100/12)</f>
      </c>
      <c r="M3077" s="43">
        <f>IF($I3077=0,0,IF(OR(INDEX(DarlOhneTilgung,7)=1,AND(INDEX(DarlTilgStart,7)&gt;0,$E3077&lt;INDEX(DarlTilgStart,7))),0,MIN(MAX(0,$K3077-$L3077),$J3077)))</f>
      </c>
      <c r="N3077" s="43">
        <f>IF($I3077=0,0,MIN(SUMIFS(SondBetrag,SondDarl,7,SondDatum,"&gt;="&amp;$E3077,SondDatum,"&lt;="&amp;EOMONTH($E3077,0)),$J3077-$M3077))</f>
      </c>
      <c r="O3077" s="43">
        <f>IF($I3077=0,0,INDEX(DarlErsatzRate,7))</f>
      </c>
      <c r="P3077" s="43">
        <f>IF($I3077=0,0,$Q3076*INDEX(DarlErsatzZins,7))</f>
      </c>
      <c r="Q3077" s="43">
        <f>IF($I3077=0,0,$Q3076+$P3077+$O3077)</f>
      </c>
      <c r="R3077" s="43">
        <f>IF($I3077=0,0,$J3077-$M3077-$N3077)</f>
      </c>
    </row>
    <row r="3078">
      <c r="A3078"/>
      <c r="B3078">
        <v>7</v>
      </c>
      <c r="C3078" s="43">
        <f>INDEX(DarlObj,7)</f>
      </c>
      <c r="D3078">
        <v>195</v>
      </c>
      <c r="E3078" s="51">
        <f>IF(INDEX(DarlBelegt,7)=0,0,EOMONTH(INDEX(DarlAuszahlung,7),194)+1)</f>
      </c>
      <c r="F3078" s="43">
        <f>IF($E3078=0,0,YEAR($E3078))</f>
      </c>
      <c r="G3078" s="43">
        <f>IF(INDEX(DarlBindung,7)="",1,IF($E3078&lt;=INDEX(DarlBindung,7),1,0))</f>
      </c>
      <c r="H3078" s="43">
        <f>IF($G3078=1,INDEX(DarlSollzins,7),INDEX(DarlAnschluss,7))</f>
      </c>
      <c r="I3078" s="43">
        <f>IF(INDEX(DarlBelegt,7)=0,0,IF(INDEX(DarlOhneTilgung,7)=1,IF(INDEX(DarlBindung,7)="",1,$G3078),IF($J3078&gt;0.005,1,0)))</f>
      </c>
      <c r="J3078" s="43">
        <f>IF($I3077=0,0,$R3077)</f>
      </c>
      <c r="K3078" s="43">
        <f>IF($I3078=0,0,IF(INDEX(DarlOhneTilgung,7)=1,0,IF(AND(INDEX(DarlTilgStart,7)&gt;0,$E3078=INDEX(DarlTilgStart,7)),$J3078*($H3078+INDEX(DarlTilgung,7))/100/12,IF(AND($G3078=0,$G3077=1),MAX($K3077,$J3078*($H3078+1)/100/12),$K3077))))</f>
      </c>
      <c r="L3078" s="43">
        <f>IF($I3078=0,0,$J3078*$H3078/100/12)</f>
      </c>
      <c r="M3078" s="43">
        <f>IF($I3078=0,0,IF(OR(INDEX(DarlOhneTilgung,7)=1,AND(INDEX(DarlTilgStart,7)&gt;0,$E3078&lt;INDEX(DarlTilgStart,7))),0,MIN(MAX(0,$K3078-$L3078),$J3078)))</f>
      </c>
      <c r="N3078" s="43">
        <f>IF($I3078=0,0,MIN(SUMIFS(SondBetrag,SondDarl,7,SondDatum,"&gt;="&amp;$E3078,SondDatum,"&lt;="&amp;EOMONTH($E3078,0)),$J3078-$M3078))</f>
      </c>
      <c r="O3078" s="43">
        <f>IF($I3078=0,0,INDEX(DarlErsatzRate,7))</f>
      </c>
      <c r="P3078" s="43">
        <f>IF($I3078=0,0,$Q3077*INDEX(DarlErsatzZins,7))</f>
      </c>
      <c r="Q3078" s="43">
        <f>IF($I3078=0,0,$Q3077+$P3078+$O3078)</f>
      </c>
      <c r="R3078" s="43">
        <f>IF($I3078=0,0,$J3078-$M3078-$N3078)</f>
      </c>
    </row>
    <row r="3079">
      <c r="A3079"/>
      <c r="B3079">
        <v>7</v>
      </c>
      <c r="C3079" s="43">
        <f>INDEX(DarlObj,7)</f>
      </c>
      <c r="D3079">
        <v>196</v>
      </c>
      <c r="E3079" s="51">
        <f>IF(INDEX(DarlBelegt,7)=0,0,EOMONTH(INDEX(DarlAuszahlung,7),195)+1)</f>
      </c>
      <c r="F3079" s="43">
        <f>IF($E3079=0,0,YEAR($E3079))</f>
      </c>
      <c r="G3079" s="43">
        <f>IF(INDEX(DarlBindung,7)="",1,IF($E3079&lt;=INDEX(DarlBindung,7),1,0))</f>
      </c>
      <c r="H3079" s="43">
        <f>IF($G3079=1,INDEX(DarlSollzins,7),INDEX(DarlAnschluss,7))</f>
      </c>
      <c r="I3079" s="43">
        <f>IF(INDEX(DarlBelegt,7)=0,0,IF(INDEX(DarlOhneTilgung,7)=1,IF(INDEX(DarlBindung,7)="",1,$G3079),IF($J3079&gt;0.005,1,0)))</f>
      </c>
      <c r="J3079" s="43">
        <f>IF($I3078=0,0,$R3078)</f>
      </c>
      <c r="K3079" s="43">
        <f>IF($I3079=0,0,IF(INDEX(DarlOhneTilgung,7)=1,0,IF(AND(INDEX(DarlTilgStart,7)&gt;0,$E3079=INDEX(DarlTilgStart,7)),$J3079*($H3079+INDEX(DarlTilgung,7))/100/12,IF(AND($G3079=0,$G3078=1),MAX($K3078,$J3079*($H3079+1)/100/12),$K3078))))</f>
      </c>
      <c r="L3079" s="43">
        <f>IF($I3079=0,0,$J3079*$H3079/100/12)</f>
      </c>
      <c r="M3079" s="43">
        <f>IF($I3079=0,0,IF(OR(INDEX(DarlOhneTilgung,7)=1,AND(INDEX(DarlTilgStart,7)&gt;0,$E3079&lt;INDEX(DarlTilgStart,7))),0,MIN(MAX(0,$K3079-$L3079),$J3079)))</f>
      </c>
      <c r="N3079" s="43">
        <f>IF($I3079=0,0,MIN(SUMIFS(SondBetrag,SondDarl,7,SondDatum,"&gt;="&amp;$E3079,SondDatum,"&lt;="&amp;EOMONTH($E3079,0)),$J3079-$M3079))</f>
      </c>
      <c r="O3079" s="43">
        <f>IF($I3079=0,0,INDEX(DarlErsatzRate,7))</f>
      </c>
      <c r="P3079" s="43">
        <f>IF($I3079=0,0,$Q3078*INDEX(DarlErsatzZins,7))</f>
      </c>
      <c r="Q3079" s="43">
        <f>IF($I3079=0,0,$Q3078+$P3079+$O3079)</f>
      </c>
      <c r="R3079" s="43">
        <f>IF($I3079=0,0,$J3079-$M3079-$N3079)</f>
      </c>
    </row>
    <row r="3080">
      <c r="A3080"/>
      <c r="B3080">
        <v>7</v>
      </c>
      <c r="C3080" s="43">
        <f>INDEX(DarlObj,7)</f>
      </c>
      <c r="D3080">
        <v>197</v>
      </c>
      <c r="E3080" s="51">
        <f>IF(INDEX(DarlBelegt,7)=0,0,EOMONTH(INDEX(DarlAuszahlung,7),196)+1)</f>
      </c>
      <c r="F3080" s="43">
        <f>IF($E3080=0,0,YEAR($E3080))</f>
      </c>
      <c r="G3080" s="43">
        <f>IF(INDEX(DarlBindung,7)="",1,IF($E3080&lt;=INDEX(DarlBindung,7),1,0))</f>
      </c>
      <c r="H3080" s="43">
        <f>IF($G3080=1,INDEX(DarlSollzins,7),INDEX(DarlAnschluss,7))</f>
      </c>
      <c r="I3080" s="43">
        <f>IF(INDEX(DarlBelegt,7)=0,0,IF(INDEX(DarlOhneTilgung,7)=1,IF(INDEX(DarlBindung,7)="",1,$G3080),IF($J3080&gt;0.005,1,0)))</f>
      </c>
      <c r="J3080" s="43">
        <f>IF($I3079=0,0,$R3079)</f>
      </c>
      <c r="K3080" s="43">
        <f>IF($I3080=0,0,IF(INDEX(DarlOhneTilgung,7)=1,0,IF(AND(INDEX(DarlTilgStart,7)&gt;0,$E3080=INDEX(DarlTilgStart,7)),$J3080*($H3080+INDEX(DarlTilgung,7))/100/12,IF(AND($G3080=0,$G3079=1),MAX($K3079,$J3080*($H3080+1)/100/12),$K3079))))</f>
      </c>
      <c r="L3080" s="43">
        <f>IF($I3080=0,0,$J3080*$H3080/100/12)</f>
      </c>
      <c r="M3080" s="43">
        <f>IF($I3080=0,0,IF(OR(INDEX(DarlOhneTilgung,7)=1,AND(INDEX(DarlTilgStart,7)&gt;0,$E3080&lt;INDEX(DarlTilgStart,7))),0,MIN(MAX(0,$K3080-$L3080),$J3080)))</f>
      </c>
      <c r="N3080" s="43">
        <f>IF($I3080=0,0,MIN(SUMIFS(SondBetrag,SondDarl,7,SondDatum,"&gt;="&amp;$E3080,SondDatum,"&lt;="&amp;EOMONTH($E3080,0)),$J3080-$M3080))</f>
      </c>
      <c r="O3080" s="43">
        <f>IF($I3080=0,0,INDEX(DarlErsatzRate,7))</f>
      </c>
      <c r="P3080" s="43">
        <f>IF($I3080=0,0,$Q3079*INDEX(DarlErsatzZins,7))</f>
      </c>
      <c r="Q3080" s="43">
        <f>IF($I3080=0,0,$Q3079+$P3080+$O3080)</f>
      </c>
      <c r="R3080" s="43">
        <f>IF($I3080=0,0,$J3080-$M3080-$N3080)</f>
      </c>
    </row>
    <row r="3081">
      <c r="A3081"/>
      <c r="B3081">
        <v>7</v>
      </c>
      <c r="C3081" s="43">
        <f>INDEX(DarlObj,7)</f>
      </c>
      <c r="D3081">
        <v>198</v>
      </c>
      <c r="E3081" s="51">
        <f>IF(INDEX(DarlBelegt,7)=0,0,EOMONTH(INDEX(DarlAuszahlung,7),197)+1)</f>
      </c>
      <c r="F3081" s="43">
        <f>IF($E3081=0,0,YEAR($E3081))</f>
      </c>
      <c r="G3081" s="43">
        <f>IF(INDEX(DarlBindung,7)="",1,IF($E3081&lt;=INDEX(DarlBindung,7),1,0))</f>
      </c>
      <c r="H3081" s="43">
        <f>IF($G3081=1,INDEX(DarlSollzins,7),INDEX(DarlAnschluss,7))</f>
      </c>
      <c r="I3081" s="43">
        <f>IF(INDEX(DarlBelegt,7)=0,0,IF(INDEX(DarlOhneTilgung,7)=1,IF(INDEX(DarlBindung,7)="",1,$G3081),IF($J3081&gt;0.005,1,0)))</f>
      </c>
      <c r="J3081" s="43">
        <f>IF($I3080=0,0,$R3080)</f>
      </c>
      <c r="K3081" s="43">
        <f>IF($I3081=0,0,IF(INDEX(DarlOhneTilgung,7)=1,0,IF(AND(INDEX(DarlTilgStart,7)&gt;0,$E3081=INDEX(DarlTilgStart,7)),$J3081*($H3081+INDEX(DarlTilgung,7))/100/12,IF(AND($G3081=0,$G3080=1),MAX($K3080,$J3081*($H3081+1)/100/12),$K3080))))</f>
      </c>
      <c r="L3081" s="43">
        <f>IF($I3081=0,0,$J3081*$H3081/100/12)</f>
      </c>
      <c r="M3081" s="43">
        <f>IF($I3081=0,0,IF(OR(INDEX(DarlOhneTilgung,7)=1,AND(INDEX(DarlTilgStart,7)&gt;0,$E3081&lt;INDEX(DarlTilgStart,7))),0,MIN(MAX(0,$K3081-$L3081),$J3081)))</f>
      </c>
      <c r="N3081" s="43">
        <f>IF($I3081=0,0,MIN(SUMIFS(SondBetrag,SondDarl,7,SondDatum,"&gt;="&amp;$E3081,SondDatum,"&lt;="&amp;EOMONTH($E3081,0)),$J3081-$M3081))</f>
      </c>
      <c r="O3081" s="43">
        <f>IF($I3081=0,0,INDEX(DarlErsatzRate,7))</f>
      </c>
      <c r="P3081" s="43">
        <f>IF($I3081=0,0,$Q3080*INDEX(DarlErsatzZins,7))</f>
      </c>
      <c r="Q3081" s="43">
        <f>IF($I3081=0,0,$Q3080+$P3081+$O3081)</f>
      </c>
      <c r="R3081" s="43">
        <f>IF($I3081=0,0,$J3081-$M3081-$N3081)</f>
      </c>
    </row>
    <row r="3082">
      <c r="A3082"/>
      <c r="B3082">
        <v>7</v>
      </c>
      <c r="C3082" s="43">
        <f>INDEX(DarlObj,7)</f>
      </c>
      <c r="D3082">
        <v>199</v>
      </c>
      <c r="E3082" s="51">
        <f>IF(INDEX(DarlBelegt,7)=0,0,EOMONTH(INDEX(DarlAuszahlung,7),198)+1)</f>
      </c>
      <c r="F3082" s="43">
        <f>IF($E3082=0,0,YEAR($E3082))</f>
      </c>
      <c r="G3082" s="43">
        <f>IF(INDEX(DarlBindung,7)="",1,IF($E3082&lt;=INDEX(DarlBindung,7),1,0))</f>
      </c>
      <c r="H3082" s="43">
        <f>IF($G3082=1,INDEX(DarlSollzins,7),INDEX(DarlAnschluss,7))</f>
      </c>
      <c r="I3082" s="43">
        <f>IF(INDEX(DarlBelegt,7)=0,0,IF(INDEX(DarlOhneTilgung,7)=1,IF(INDEX(DarlBindung,7)="",1,$G3082),IF($J3082&gt;0.005,1,0)))</f>
      </c>
      <c r="J3082" s="43">
        <f>IF($I3081=0,0,$R3081)</f>
      </c>
      <c r="K3082" s="43">
        <f>IF($I3082=0,0,IF(INDEX(DarlOhneTilgung,7)=1,0,IF(AND(INDEX(DarlTilgStart,7)&gt;0,$E3082=INDEX(DarlTilgStart,7)),$J3082*($H3082+INDEX(DarlTilgung,7))/100/12,IF(AND($G3082=0,$G3081=1),MAX($K3081,$J3082*($H3082+1)/100/12),$K3081))))</f>
      </c>
      <c r="L3082" s="43">
        <f>IF($I3082=0,0,$J3082*$H3082/100/12)</f>
      </c>
      <c r="M3082" s="43">
        <f>IF($I3082=0,0,IF(OR(INDEX(DarlOhneTilgung,7)=1,AND(INDEX(DarlTilgStart,7)&gt;0,$E3082&lt;INDEX(DarlTilgStart,7))),0,MIN(MAX(0,$K3082-$L3082),$J3082)))</f>
      </c>
      <c r="N3082" s="43">
        <f>IF($I3082=0,0,MIN(SUMIFS(SondBetrag,SondDarl,7,SondDatum,"&gt;="&amp;$E3082,SondDatum,"&lt;="&amp;EOMONTH($E3082,0)),$J3082-$M3082))</f>
      </c>
      <c r="O3082" s="43">
        <f>IF($I3082=0,0,INDEX(DarlErsatzRate,7))</f>
      </c>
      <c r="P3082" s="43">
        <f>IF($I3082=0,0,$Q3081*INDEX(DarlErsatzZins,7))</f>
      </c>
      <c r="Q3082" s="43">
        <f>IF($I3082=0,0,$Q3081+$P3082+$O3082)</f>
      </c>
      <c r="R3082" s="43">
        <f>IF($I3082=0,0,$J3082-$M3082-$N3082)</f>
      </c>
    </row>
    <row r="3083">
      <c r="A3083"/>
      <c r="B3083">
        <v>7</v>
      </c>
      <c r="C3083" s="43">
        <f>INDEX(DarlObj,7)</f>
      </c>
      <c r="D3083">
        <v>200</v>
      </c>
      <c r="E3083" s="51">
        <f>IF(INDEX(DarlBelegt,7)=0,0,EOMONTH(INDEX(DarlAuszahlung,7),199)+1)</f>
      </c>
      <c r="F3083" s="43">
        <f>IF($E3083=0,0,YEAR($E3083))</f>
      </c>
      <c r="G3083" s="43">
        <f>IF(INDEX(DarlBindung,7)="",1,IF($E3083&lt;=INDEX(DarlBindung,7),1,0))</f>
      </c>
      <c r="H3083" s="43">
        <f>IF($G3083=1,INDEX(DarlSollzins,7),INDEX(DarlAnschluss,7))</f>
      </c>
      <c r="I3083" s="43">
        <f>IF(INDEX(DarlBelegt,7)=0,0,IF(INDEX(DarlOhneTilgung,7)=1,IF(INDEX(DarlBindung,7)="",1,$G3083),IF($J3083&gt;0.005,1,0)))</f>
      </c>
      <c r="J3083" s="43">
        <f>IF($I3082=0,0,$R3082)</f>
      </c>
      <c r="K3083" s="43">
        <f>IF($I3083=0,0,IF(INDEX(DarlOhneTilgung,7)=1,0,IF(AND(INDEX(DarlTilgStart,7)&gt;0,$E3083=INDEX(DarlTilgStart,7)),$J3083*($H3083+INDEX(DarlTilgung,7))/100/12,IF(AND($G3083=0,$G3082=1),MAX($K3082,$J3083*($H3083+1)/100/12),$K3082))))</f>
      </c>
      <c r="L3083" s="43">
        <f>IF($I3083=0,0,$J3083*$H3083/100/12)</f>
      </c>
      <c r="M3083" s="43">
        <f>IF($I3083=0,0,IF(OR(INDEX(DarlOhneTilgung,7)=1,AND(INDEX(DarlTilgStart,7)&gt;0,$E3083&lt;INDEX(DarlTilgStart,7))),0,MIN(MAX(0,$K3083-$L3083),$J3083)))</f>
      </c>
      <c r="N3083" s="43">
        <f>IF($I3083=0,0,MIN(SUMIFS(SondBetrag,SondDarl,7,SondDatum,"&gt;="&amp;$E3083,SondDatum,"&lt;="&amp;EOMONTH($E3083,0)),$J3083-$M3083))</f>
      </c>
      <c r="O3083" s="43">
        <f>IF($I3083=0,0,INDEX(DarlErsatzRate,7))</f>
      </c>
      <c r="P3083" s="43">
        <f>IF($I3083=0,0,$Q3082*INDEX(DarlErsatzZins,7))</f>
      </c>
      <c r="Q3083" s="43">
        <f>IF($I3083=0,0,$Q3082+$P3083+$O3083)</f>
      </c>
      <c r="R3083" s="43">
        <f>IF($I3083=0,0,$J3083-$M3083-$N3083)</f>
      </c>
    </row>
    <row r="3084">
      <c r="A3084"/>
      <c r="B3084">
        <v>7</v>
      </c>
      <c r="C3084" s="43">
        <f>INDEX(DarlObj,7)</f>
      </c>
      <c r="D3084">
        <v>201</v>
      </c>
      <c r="E3084" s="51">
        <f>IF(INDEX(DarlBelegt,7)=0,0,EOMONTH(INDEX(DarlAuszahlung,7),200)+1)</f>
      </c>
      <c r="F3084" s="43">
        <f>IF($E3084=0,0,YEAR($E3084))</f>
      </c>
      <c r="G3084" s="43">
        <f>IF(INDEX(DarlBindung,7)="",1,IF($E3084&lt;=INDEX(DarlBindung,7),1,0))</f>
      </c>
      <c r="H3084" s="43">
        <f>IF($G3084=1,INDEX(DarlSollzins,7),INDEX(DarlAnschluss,7))</f>
      </c>
      <c r="I3084" s="43">
        <f>IF(INDEX(DarlBelegt,7)=0,0,IF(INDEX(DarlOhneTilgung,7)=1,IF(INDEX(DarlBindung,7)="",1,$G3084),IF($J3084&gt;0.005,1,0)))</f>
      </c>
      <c r="J3084" s="43">
        <f>IF($I3083=0,0,$R3083)</f>
      </c>
      <c r="K3084" s="43">
        <f>IF($I3084=0,0,IF(INDEX(DarlOhneTilgung,7)=1,0,IF(AND(INDEX(DarlTilgStart,7)&gt;0,$E3084=INDEX(DarlTilgStart,7)),$J3084*($H3084+INDEX(DarlTilgung,7))/100/12,IF(AND($G3084=0,$G3083=1),MAX($K3083,$J3084*($H3084+1)/100/12),$K3083))))</f>
      </c>
      <c r="L3084" s="43">
        <f>IF($I3084=0,0,$J3084*$H3084/100/12)</f>
      </c>
      <c r="M3084" s="43">
        <f>IF($I3084=0,0,IF(OR(INDEX(DarlOhneTilgung,7)=1,AND(INDEX(DarlTilgStart,7)&gt;0,$E3084&lt;INDEX(DarlTilgStart,7))),0,MIN(MAX(0,$K3084-$L3084),$J3084)))</f>
      </c>
      <c r="N3084" s="43">
        <f>IF($I3084=0,0,MIN(SUMIFS(SondBetrag,SondDarl,7,SondDatum,"&gt;="&amp;$E3084,SondDatum,"&lt;="&amp;EOMONTH($E3084,0)),$J3084-$M3084))</f>
      </c>
      <c r="O3084" s="43">
        <f>IF($I3084=0,0,INDEX(DarlErsatzRate,7))</f>
      </c>
      <c r="P3084" s="43">
        <f>IF($I3084=0,0,$Q3083*INDEX(DarlErsatzZins,7))</f>
      </c>
      <c r="Q3084" s="43">
        <f>IF($I3084=0,0,$Q3083+$P3084+$O3084)</f>
      </c>
      <c r="R3084" s="43">
        <f>IF($I3084=0,0,$J3084-$M3084-$N3084)</f>
      </c>
    </row>
    <row r="3085">
      <c r="A3085"/>
      <c r="B3085">
        <v>7</v>
      </c>
      <c r="C3085" s="43">
        <f>INDEX(DarlObj,7)</f>
      </c>
      <c r="D3085">
        <v>202</v>
      </c>
      <c r="E3085" s="51">
        <f>IF(INDEX(DarlBelegt,7)=0,0,EOMONTH(INDEX(DarlAuszahlung,7),201)+1)</f>
      </c>
      <c r="F3085" s="43">
        <f>IF($E3085=0,0,YEAR($E3085))</f>
      </c>
      <c r="G3085" s="43">
        <f>IF(INDEX(DarlBindung,7)="",1,IF($E3085&lt;=INDEX(DarlBindung,7),1,0))</f>
      </c>
      <c r="H3085" s="43">
        <f>IF($G3085=1,INDEX(DarlSollzins,7),INDEX(DarlAnschluss,7))</f>
      </c>
      <c r="I3085" s="43">
        <f>IF(INDEX(DarlBelegt,7)=0,0,IF(INDEX(DarlOhneTilgung,7)=1,IF(INDEX(DarlBindung,7)="",1,$G3085),IF($J3085&gt;0.005,1,0)))</f>
      </c>
      <c r="J3085" s="43">
        <f>IF($I3084=0,0,$R3084)</f>
      </c>
      <c r="K3085" s="43">
        <f>IF($I3085=0,0,IF(INDEX(DarlOhneTilgung,7)=1,0,IF(AND(INDEX(DarlTilgStart,7)&gt;0,$E3085=INDEX(DarlTilgStart,7)),$J3085*($H3085+INDEX(DarlTilgung,7))/100/12,IF(AND($G3085=0,$G3084=1),MAX($K3084,$J3085*($H3085+1)/100/12),$K3084))))</f>
      </c>
      <c r="L3085" s="43">
        <f>IF($I3085=0,0,$J3085*$H3085/100/12)</f>
      </c>
      <c r="M3085" s="43">
        <f>IF($I3085=0,0,IF(OR(INDEX(DarlOhneTilgung,7)=1,AND(INDEX(DarlTilgStart,7)&gt;0,$E3085&lt;INDEX(DarlTilgStart,7))),0,MIN(MAX(0,$K3085-$L3085),$J3085)))</f>
      </c>
      <c r="N3085" s="43">
        <f>IF($I3085=0,0,MIN(SUMIFS(SondBetrag,SondDarl,7,SondDatum,"&gt;="&amp;$E3085,SondDatum,"&lt;="&amp;EOMONTH($E3085,0)),$J3085-$M3085))</f>
      </c>
      <c r="O3085" s="43">
        <f>IF($I3085=0,0,INDEX(DarlErsatzRate,7))</f>
      </c>
      <c r="P3085" s="43">
        <f>IF($I3085=0,0,$Q3084*INDEX(DarlErsatzZins,7))</f>
      </c>
      <c r="Q3085" s="43">
        <f>IF($I3085=0,0,$Q3084+$P3085+$O3085)</f>
      </c>
      <c r="R3085" s="43">
        <f>IF($I3085=0,0,$J3085-$M3085-$N3085)</f>
      </c>
    </row>
    <row r="3086">
      <c r="A3086"/>
      <c r="B3086">
        <v>7</v>
      </c>
      <c r="C3086" s="43">
        <f>INDEX(DarlObj,7)</f>
      </c>
      <c r="D3086">
        <v>203</v>
      </c>
      <c r="E3086" s="51">
        <f>IF(INDEX(DarlBelegt,7)=0,0,EOMONTH(INDEX(DarlAuszahlung,7),202)+1)</f>
      </c>
      <c r="F3086" s="43">
        <f>IF($E3086=0,0,YEAR($E3086))</f>
      </c>
      <c r="G3086" s="43">
        <f>IF(INDEX(DarlBindung,7)="",1,IF($E3086&lt;=INDEX(DarlBindung,7),1,0))</f>
      </c>
      <c r="H3086" s="43">
        <f>IF($G3086=1,INDEX(DarlSollzins,7),INDEX(DarlAnschluss,7))</f>
      </c>
      <c r="I3086" s="43">
        <f>IF(INDEX(DarlBelegt,7)=0,0,IF(INDEX(DarlOhneTilgung,7)=1,IF(INDEX(DarlBindung,7)="",1,$G3086),IF($J3086&gt;0.005,1,0)))</f>
      </c>
      <c r="J3086" s="43">
        <f>IF($I3085=0,0,$R3085)</f>
      </c>
      <c r="K3086" s="43">
        <f>IF($I3086=0,0,IF(INDEX(DarlOhneTilgung,7)=1,0,IF(AND(INDEX(DarlTilgStart,7)&gt;0,$E3086=INDEX(DarlTilgStart,7)),$J3086*($H3086+INDEX(DarlTilgung,7))/100/12,IF(AND($G3086=0,$G3085=1),MAX($K3085,$J3086*($H3086+1)/100/12),$K3085))))</f>
      </c>
      <c r="L3086" s="43">
        <f>IF($I3086=0,0,$J3086*$H3086/100/12)</f>
      </c>
      <c r="M3086" s="43">
        <f>IF($I3086=0,0,IF(OR(INDEX(DarlOhneTilgung,7)=1,AND(INDEX(DarlTilgStart,7)&gt;0,$E3086&lt;INDEX(DarlTilgStart,7))),0,MIN(MAX(0,$K3086-$L3086),$J3086)))</f>
      </c>
      <c r="N3086" s="43">
        <f>IF($I3086=0,0,MIN(SUMIFS(SondBetrag,SondDarl,7,SondDatum,"&gt;="&amp;$E3086,SondDatum,"&lt;="&amp;EOMONTH($E3086,0)),$J3086-$M3086))</f>
      </c>
      <c r="O3086" s="43">
        <f>IF($I3086=0,0,INDEX(DarlErsatzRate,7))</f>
      </c>
      <c r="P3086" s="43">
        <f>IF($I3086=0,0,$Q3085*INDEX(DarlErsatzZins,7))</f>
      </c>
      <c r="Q3086" s="43">
        <f>IF($I3086=0,0,$Q3085+$P3086+$O3086)</f>
      </c>
      <c r="R3086" s="43">
        <f>IF($I3086=0,0,$J3086-$M3086-$N3086)</f>
      </c>
    </row>
    <row r="3087">
      <c r="A3087"/>
      <c r="B3087">
        <v>7</v>
      </c>
      <c r="C3087" s="43">
        <f>INDEX(DarlObj,7)</f>
      </c>
      <c r="D3087">
        <v>204</v>
      </c>
      <c r="E3087" s="51">
        <f>IF(INDEX(DarlBelegt,7)=0,0,EOMONTH(INDEX(DarlAuszahlung,7),203)+1)</f>
      </c>
      <c r="F3087" s="43">
        <f>IF($E3087=0,0,YEAR($E3087))</f>
      </c>
      <c r="G3087" s="43">
        <f>IF(INDEX(DarlBindung,7)="",1,IF($E3087&lt;=INDEX(DarlBindung,7),1,0))</f>
      </c>
      <c r="H3087" s="43">
        <f>IF($G3087=1,INDEX(DarlSollzins,7),INDEX(DarlAnschluss,7))</f>
      </c>
      <c r="I3087" s="43">
        <f>IF(INDEX(DarlBelegt,7)=0,0,IF(INDEX(DarlOhneTilgung,7)=1,IF(INDEX(DarlBindung,7)="",1,$G3087),IF($J3087&gt;0.005,1,0)))</f>
      </c>
      <c r="J3087" s="43">
        <f>IF($I3086=0,0,$R3086)</f>
      </c>
      <c r="K3087" s="43">
        <f>IF($I3087=0,0,IF(INDEX(DarlOhneTilgung,7)=1,0,IF(AND(INDEX(DarlTilgStart,7)&gt;0,$E3087=INDEX(DarlTilgStart,7)),$J3087*($H3087+INDEX(DarlTilgung,7))/100/12,IF(AND($G3087=0,$G3086=1),MAX($K3086,$J3087*($H3087+1)/100/12),$K3086))))</f>
      </c>
      <c r="L3087" s="43">
        <f>IF($I3087=0,0,$J3087*$H3087/100/12)</f>
      </c>
      <c r="M3087" s="43">
        <f>IF($I3087=0,0,IF(OR(INDEX(DarlOhneTilgung,7)=1,AND(INDEX(DarlTilgStart,7)&gt;0,$E3087&lt;INDEX(DarlTilgStart,7))),0,MIN(MAX(0,$K3087-$L3087),$J3087)))</f>
      </c>
      <c r="N3087" s="43">
        <f>IF($I3087=0,0,MIN(SUMIFS(SondBetrag,SondDarl,7,SondDatum,"&gt;="&amp;$E3087,SondDatum,"&lt;="&amp;EOMONTH($E3087,0)),$J3087-$M3087))</f>
      </c>
      <c r="O3087" s="43">
        <f>IF($I3087=0,0,INDEX(DarlErsatzRate,7))</f>
      </c>
      <c r="P3087" s="43">
        <f>IF($I3087=0,0,$Q3086*INDEX(DarlErsatzZins,7))</f>
      </c>
      <c r="Q3087" s="43">
        <f>IF($I3087=0,0,$Q3086+$P3087+$O3087)</f>
      </c>
      <c r="R3087" s="43">
        <f>IF($I3087=0,0,$J3087-$M3087-$N3087)</f>
      </c>
    </row>
    <row r="3088">
      <c r="A3088"/>
      <c r="B3088">
        <v>7</v>
      </c>
      <c r="C3088" s="43">
        <f>INDEX(DarlObj,7)</f>
      </c>
      <c r="D3088">
        <v>205</v>
      </c>
      <c r="E3088" s="51">
        <f>IF(INDEX(DarlBelegt,7)=0,0,EOMONTH(INDEX(DarlAuszahlung,7),204)+1)</f>
      </c>
      <c r="F3088" s="43">
        <f>IF($E3088=0,0,YEAR($E3088))</f>
      </c>
      <c r="G3088" s="43">
        <f>IF(INDEX(DarlBindung,7)="",1,IF($E3088&lt;=INDEX(DarlBindung,7),1,0))</f>
      </c>
      <c r="H3088" s="43">
        <f>IF($G3088=1,INDEX(DarlSollzins,7),INDEX(DarlAnschluss,7))</f>
      </c>
      <c r="I3088" s="43">
        <f>IF(INDEX(DarlBelegt,7)=0,0,IF(INDEX(DarlOhneTilgung,7)=1,IF(INDEX(DarlBindung,7)="",1,$G3088),IF($J3088&gt;0.005,1,0)))</f>
      </c>
      <c r="J3088" s="43">
        <f>IF($I3087=0,0,$R3087)</f>
      </c>
      <c r="K3088" s="43">
        <f>IF($I3088=0,0,IF(INDEX(DarlOhneTilgung,7)=1,0,IF(AND(INDEX(DarlTilgStart,7)&gt;0,$E3088=INDEX(DarlTilgStart,7)),$J3088*($H3088+INDEX(DarlTilgung,7))/100/12,IF(AND($G3088=0,$G3087=1),MAX($K3087,$J3088*($H3088+1)/100/12),$K3087))))</f>
      </c>
      <c r="L3088" s="43">
        <f>IF($I3088=0,0,$J3088*$H3088/100/12)</f>
      </c>
      <c r="M3088" s="43">
        <f>IF($I3088=0,0,IF(OR(INDEX(DarlOhneTilgung,7)=1,AND(INDEX(DarlTilgStart,7)&gt;0,$E3088&lt;INDEX(DarlTilgStart,7))),0,MIN(MAX(0,$K3088-$L3088),$J3088)))</f>
      </c>
      <c r="N3088" s="43">
        <f>IF($I3088=0,0,MIN(SUMIFS(SondBetrag,SondDarl,7,SondDatum,"&gt;="&amp;$E3088,SondDatum,"&lt;="&amp;EOMONTH($E3088,0)),$J3088-$M3088))</f>
      </c>
      <c r="O3088" s="43">
        <f>IF($I3088=0,0,INDEX(DarlErsatzRate,7))</f>
      </c>
      <c r="P3088" s="43">
        <f>IF($I3088=0,0,$Q3087*INDEX(DarlErsatzZins,7))</f>
      </c>
      <c r="Q3088" s="43">
        <f>IF($I3088=0,0,$Q3087+$P3088+$O3088)</f>
      </c>
      <c r="R3088" s="43">
        <f>IF($I3088=0,0,$J3088-$M3088-$N3088)</f>
      </c>
    </row>
    <row r="3089">
      <c r="A3089"/>
      <c r="B3089">
        <v>7</v>
      </c>
      <c r="C3089" s="43">
        <f>INDEX(DarlObj,7)</f>
      </c>
      <c r="D3089">
        <v>206</v>
      </c>
      <c r="E3089" s="51">
        <f>IF(INDEX(DarlBelegt,7)=0,0,EOMONTH(INDEX(DarlAuszahlung,7),205)+1)</f>
      </c>
      <c r="F3089" s="43">
        <f>IF($E3089=0,0,YEAR($E3089))</f>
      </c>
      <c r="G3089" s="43">
        <f>IF(INDEX(DarlBindung,7)="",1,IF($E3089&lt;=INDEX(DarlBindung,7),1,0))</f>
      </c>
      <c r="H3089" s="43">
        <f>IF($G3089=1,INDEX(DarlSollzins,7),INDEX(DarlAnschluss,7))</f>
      </c>
      <c r="I3089" s="43">
        <f>IF(INDEX(DarlBelegt,7)=0,0,IF(INDEX(DarlOhneTilgung,7)=1,IF(INDEX(DarlBindung,7)="",1,$G3089),IF($J3089&gt;0.005,1,0)))</f>
      </c>
      <c r="J3089" s="43">
        <f>IF($I3088=0,0,$R3088)</f>
      </c>
      <c r="K3089" s="43">
        <f>IF($I3089=0,0,IF(INDEX(DarlOhneTilgung,7)=1,0,IF(AND(INDEX(DarlTilgStart,7)&gt;0,$E3089=INDEX(DarlTilgStart,7)),$J3089*($H3089+INDEX(DarlTilgung,7))/100/12,IF(AND($G3089=0,$G3088=1),MAX($K3088,$J3089*($H3089+1)/100/12),$K3088))))</f>
      </c>
      <c r="L3089" s="43">
        <f>IF($I3089=0,0,$J3089*$H3089/100/12)</f>
      </c>
      <c r="M3089" s="43">
        <f>IF($I3089=0,0,IF(OR(INDEX(DarlOhneTilgung,7)=1,AND(INDEX(DarlTilgStart,7)&gt;0,$E3089&lt;INDEX(DarlTilgStart,7))),0,MIN(MAX(0,$K3089-$L3089),$J3089)))</f>
      </c>
      <c r="N3089" s="43">
        <f>IF($I3089=0,0,MIN(SUMIFS(SondBetrag,SondDarl,7,SondDatum,"&gt;="&amp;$E3089,SondDatum,"&lt;="&amp;EOMONTH($E3089,0)),$J3089-$M3089))</f>
      </c>
      <c r="O3089" s="43">
        <f>IF($I3089=0,0,INDEX(DarlErsatzRate,7))</f>
      </c>
      <c r="P3089" s="43">
        <f>IF($I3089=0,0,$Q3088*INDEX(DarlErsatzZins,7))</f>
      </c>
      <c r="Q3089" s="43">
        <f>IF($I3089=0,0,$Q3088+$P3089+$O3089)</f>
      </c>
      <c r="R3089" s="43">
        <f>IF($I3089=0,0,$J3089-$M3089-$N3089)</f>
      </c>
    </row>
    <row r="3090">
      <c r="A3090"/>
      <c r="B3090">
        <v>7</v>
      </c>
      <c r="C3090" s="43">
        <f>INDEX(DarlObj,7)</f>
      </c>
      <c r="D3090">
        <v>207</v>
      </c>
      <c r="E3090" s="51">
        <f>IF(INDEX(DarlBelegt,7)=0,0,EOMONTH(INDEX(DarlAuszahlung,7),206)+1)</f>
      </c>
      <c r="F3090" s="43">
        <f>IF($E3090=0,0,YEAR($E3090))</f>
      </c>
      <c r="G3090" s="43">
        <f>IF(INDEX(DarlBindung,7)="",1,IF($E3090&lt;=INDEX(DarlBindung,7),1,0))</f>
      </c>
      <c r="H3090" s="43">
        <f>IF($G3090=1,INDEX(DarlSollzins,7),INDEX(DarlAnschluss,7))</f>
      </c>
      <c r="I3090" s="43">
        <f>IF(INDEX(DarlBelegt,7)=0,0,IF(INDEX(DarlOhneTilgung,7)=1,IF(INDEX(DarlBindung,7)="",1,$G3090),IF($J3090&gt;0.005,1,0)))</f>
      </c>
      <c r="J3090" s="43">
        <f>IF($I3089=0,0,$R3089)</f>
      </c>
      <c r="K3090" s="43">
        <f>IF($I3090=0,0,IF(INDEX(DarlOhneTilgung,7)=1,0,IF(AND(INDEX(DarlTilgStart,7)&gt;0,$E3090=INDEX(DarlTilgStart,7)),$J3090*($H3090+INDEX(DarlTilgung,7))/100/12,IF(AND($G3090=0,$G3089=1),MAX($K3089,$J3090*($H3090+1)/100/12),$K3089))))</f>
      </c>
      <c r="L3090" s="43">
        <f>IF($I3090=0,0,$J3090*$H3090/100/12)</f>
      </c>
      <c r="M3090" s="43">
        <f>IF($I3090=0,0,IF(OR(INDEX(DarlOhneTilgung,7)=1,AND(INDEX(DarlTilgStart,7)&gt;0,$E3090&lt;INDEX(DarlTilgStart,7))),0,MIN(MAX(0,$K3090-$L3090),$J3090)))</f>
      </c>
      <c r="N3090" s="43">
        <f>IF($I3090=0,0,MIN(SUMIFS(SondBetrag,SondDarl,7,SondDatum,"&gt;="&amp;$E3090,SondDatum,"&lt;="&amp;EOMONTH($E3090,0)),$J3090-$M3090))</f>
      </c>
      <c r="O3090" s="43">
        <f>IF($I3090=0,0,INDEX(DarlErsatzRate,7))</f>
      </c>
      <c r="P3090" s="43">
        <f>IF($I3090=0,0,$Q3089*INDEX(DarlErsatzZins,7))</f>
      </c>
      <c r="Q3090" s="43">
        <f>IF($I3090=0,0,$Q3089+$P3090+$O3090)</f>
      </c>
      <c r="R3090" s="43">
        <f>IF($I3090=0,0,$J3090-$M3090-$N3090)</f>
      </c>
    </row>
    <row r="3091">
      <c r="A3091"/>
      <c r="B3091">
        <v>7</v>
      </c>
      <c r="C3091" s="43">
        <f>INDEX(DarlObj,7)</f>
      </c>
      <c r="D3091">
        <v>208</v>
      </c>
      <c r="E3091" s="51">
        <f>IF(INDEX(DarlBelegt,7)=0,0,EOMONTH(INDEX(DarlAuszahlung,7),207)+1)</f>
      </c>
      <c r="F3091" s="43">
        <f>IF($E3091=0,0,YEAR($E3091))</f>
      </c>
      <c r="G3091" s="43">
        <f>IF(INDEX(DarlBindung,7)="",1,IF($E3091&lt;=INDEX(DarlBindung,7),1,0))</f>
      </c>
      <c r="H3091" s="43">
        <f>IF($G3091=1,INDEX(DarlSollzins,7),INDEX(DarlAnschluss,7))</f>
      </c>
      <c r="I3091" s="43">
        <f>IF(INDEX(DarlBelegt,7)=0,0,IF(INDEX(DarlOhneTilgung,7)=1,IF(INDEX(DarlBindung,7)="",1,$G3091),IF($J3091&gt;0.005,1,0)))</f>
      </c>
      <c r="J3091" s="43">
        <f>IF($I3090=0,0,$R3090)</f>
      </c>
      <c r="K3091" s="43">
        <f>IF($I3091=0,0,IF(INDEX(DarlOhneTilgung,7)=1,0,IF(AND(INDEX(DarlTilgStart,7)&gt;0,$E3091=INDEX(DarlTilgStart,7)),$J3091*($H3091+INDEX(DarlTilgung,7))/100/12,IF(AND($G3091=0,$G3090=1),MAX($K3090,$J3091*($H3091+1)/100/12),$K3090))))</f>
      </c>
      <c r="L3091" s="43">
        <f>IF($I3091=0,0,$J3091*$H3091/100/12)</f>
      </c>
      <c r="M3091" s="43">
        <f>IF($I3091=0,0,IF(OR(INDEX(DarlOhneTilgung,7)=1,AND(INDEX(DarlTilgStart,7)&gt;0,$E3091&lt;INDEX(DarlTilgStart,7))),0,MIN(MAX(0,$K3091-$L3091),$J3091)))</f>
      </c>
      <c r="N3091" s="43">
        <f>IF($I3091=0,0,MIN(SUMIFS(SondBetrag,SondDarl,7,SondDatum,"&gt;="&amp;$E3091,SondDatum,"&lt;="&amp;EOMONTH($E3091,0)),$J3091-$M3091))</f>
      </c>
      <c r="O3091" s="43">
        <f>IF($I3091=0,0,INDEX(DarlErsatzRate,7))</f>
      </c>
      <c r="P3091" s="43">
        <f>IF($I3091=0,0,$Q3090*INDEX(DarlErsatzZins,7))</f>
      </c>
      <c r="Q3091" s="43">
        <f>IF($I3091=0,0,$Q3090+$P3091+$O3091)</f>
      </c>
      <c r="R3091" s="43">
        <f>IF($I3091=0,0,$J3091-$M3091-$N3091)</f>
      </c>
    </row>
    <row r="3092">
      <c r="A3092"/>
      <c r="B3092">
        <v>7</v>
      </c>
      <c r="C3092" s="43">
        <f>INDEX(DarlObj,7)</f>
      </c>
      <c r="D3092">
        <v>209</v>
      </c>
      <c r="E3092" s="51">
        <f>IF(INDEX(DarlBelegt,7)=0,0,EOMONTH(INDEX(DarlAuszahlung,7),208)+1)</f>
      </c>
      <c r="F3092" s="43">
        <f>IF($E3092=0,0,YEAR($E3092))</f>
      </c>
      <c r="G3092" s="43">
        <f>IF(INDEX(DarlBindung,7)="",1,IF($E3092&lt;=INDEX(DarlBindung,7),1,0))</f>
      </c>
      <c r="H3092" s="43">
        <f>IF($G3092=1,INDEX(DarlSollzins,7),INDEX(DarlAnschluss,7))</f>
      </c>
      <c r="I3092" s="43">
        <f>IF(INDEX(DarlBelegt,7)=0,0,IF(INDEX(DarlOhneTilgung,7)=1,IF(INDEX(DarlBindung,7)="",1,$G3092),IF($J3092&gt;0.005,1,0)))</f>
      </c>
      <c r="J3092" s="43">
        <f>IF($I3091=0,0,$R3091)</f>
      </c>
      <c r="K3092" s="43">
        <f>IF($I3092=0,0,IF(INDEX(DarlOhneTilgung,7)=1,0,IF(AND(INDEX(DarlTilgStart,7)&gt;0,$E3092=INDEX(DarlTilgStart,7)),$J3092*($H3092+INDEX(DarlTilgung,7))/100/12,IF(AND($G3092=0,$G3091=1),MAX($K3091,$J3092*($H3092+1)/100/12),$K3091))))</f>
      </c>
      <c r="L3092" s="43">
        <f>IF($I3092=0,0,$J3092*$H3092/100/12)</f>
      </c>
      <c r="M3092" s="43">
        <f>IF($I3092=0,0,IF(OR(INDEX(DarlOhneTilgung,7)=1,AND(INDEX(DarlTilgStart,7)&gt;0,$E3092&lt;INDEX(DarlTilgStart,7))),0,MIN(MAX(0,$K3092-$L3092),$J3092)))</f>
      </c>
      <c r="N3092" s="43">
        <f>IF($I3092=0,0,MIN(SUMIFS(SondBetrag,SondDarl,7,SondDatum,"&gt;="&amp;$E3092,SondDatum,"&lt;="&amp;EOMONTH($E3092,0)),$J3092-$M3092))</f>
      </c>
      <c r="O3092" s="43">
        <f>IF($I3092=0,0,INDEX(DarlErsatzRate,7))</f>
      </c>
      <c r="P3092" s="43">
        <f>IF($I3092=0,0,$Q3091*INDEX(DarlErsatzZins,7))</f>
      </c>
      <c r="Q3092" s="43">
        <f>IF($I3092=0,0,$Q3091+$P3092+$O3092)</f>
      </c>
      <c r="R3092" s="43">
        <f>IF($I3092=0,0,$J3092-$M3092-$N3092)</f>
      </c>
    </row>
    <row r="3093">
      <c r="A3093"/>
      <c r="B3093">
        <v>7</v>
      </c>
      <c r="C3093" s="43">
        <f>INDEX(DarlObj,7)</f>
      </c>
      <c r="D3093">
        <v>210</v>
      </c>
      <c r="E3093" s="51">
        <f>IF(INDEX(DarlBelegt,7)=0,0,EOMONTH(INDEX(DarlAuszahlung,7),209)+1)</f>
      </c>
      <c r="F3093" s="43">
        <f>IF($E3093=0,0,YEAR($E3093))</f>
      </c>
      <c r="G3093" s="43">
        <f>IF(INDEX(DarlBindung,7)="",1,IF($E3093&lt;=INDEX(DarlBindung,7),1,0))</f>
      </c>
      <c r="H3093" s="43">
        <f>IF($G3093=1,INDEX(DarlSollzins,7),INDEX(DarlAnschluss,7))</f>
      </c>
      <c r="I3093" s="43">
        <f>IF(INDEX(DarlBelegt,7)=0,0,IF(INDEX(DarlOhneTilgung,7)=1,IF(INDEX(DarlBindung,7)="",1,$G3093),IF($J3093&gt;0.005,1,0)))</f>
      </c>
      <c r="J3093" s="43">
        <f>IF($I3092=0,0,$R3092)</f>
      </c>
      <c r="K3093" s="43">
        <f>IF($I3093=0,0,IF(INDEX(DarlOhneTilgung,7)=1,0,IF(AND(INDEX(DarlTilgStart,7)&gt;0,$E3093=INDEX(DarlTilgStart,7)),$J3093*($H3093+INDEX(DarlTilgung,7))/100/12,IF(AND($G3093=0,$G3092=1),MAX($K3092,$J3093*($H3093+1)/100/12),$K3092))))</f>
      </c>
      <c r="L3093" s="43">
        <f>IF($I3093=0,0,$J3093*$H3093/100/12)</f>
      </c>
      <c r="M3093" s="43">
        <f>IF($I3093=0,0,IF(OR(INDEX(DarlOhneTilgung,7)=1,AND(INDEX(DarlTilgStart,7)&gt;0,$E3093&lt;INDEX(DarlTilgStart,7))),0,MIN(MAX(0,$K3093-$L3093),$J3093)))</f>
      </c>
      <c r="N3093" s="43">
        <f>IF($I3093=0,0,MIN(SUMIFS(SondBetrag,SondDarl,7,SondDatum,"&gt;="&amp;$E3093,SondDatum,"&lt;="&amp;EOMONTH($E3093,0)),$J3093-$M3093))</f>
      </c>
      <c r="O3093" s="43">
        <f>IF($I3093=0,0,INDEX(DarlErsatzRate,7))</f>
      </c>
      <c r="P3093" s="43">
        <f>IF($I3093=0,0,$Q3092*INDEX(DarlErsatzZins,7))</f>
      </c>
      <c r="Q3093" s="43">
        <f>IF($I3093=0,0,$Q3092+$P3093+$O3093)</f>
      </c>
      <c r="R3093" s="43">
        <f>IF($I3093=0,0,$J3093-$M3093-$N3093)</f>
      </c>
    </row>
    <row r="3094">
      <c r="A3094"/>
      <c r="B3094">
        <v>7</v>
      </c>
      <c r="C3094" s="43">
        <f>INDEX(DarlObj,7)</f>
      </c>
      <c r="D3094">
        <v>211</v>
      </c>
      <c r="E3094" s="51">
        <f>IF(INDEX(DarlBelegt,7)=0,0,EOMONTH(INDEX(DarlAuszahlung,7),210)+1)</f>
      </c>
      <c r="F3094" s="43">
        <f>IF($E3094=0,0,YEAR($E3094))</f>
      </c>
      <c r="G3094" s="43">
        <f>IF(INDEX(DarlBindung,7)="",1,IF($E3094&lt;=INDEX(DarlBindung,7),1,0))</f>
      </c>
      <c r="H3094" s="43">
        <f>IF($G3094=1,INDEX(DarlSollzins,7),INDEX(DarlAnschluss,7))</f>
      </c>
      <c r="I3094" s="43">
        <f>IF(INDEX(DarlBelegt,7)=0,0,IF(INDEX(DarlOhneTilgung,7)=1,IF(INDEX(DarlBindung,7)="",1,$G3094),IF($J3094&gt;0.005,1,0)))</f>
      </c>
      <c r="J3094" s="43">
        <f>IF($I3093=0,0,$R3093)</f>
      </c>
      <c r="K3094" s="43">
        <f>IF($I3094=0,0,IF(INDEX(DarlOhneTilgung,7)=1,0,IF(AND(INDEX(DarlTilgStart,7)&gt;0,$E3094=INDEX(DarlTilgStart,7)),$J3094*($H3094+INDEX(DarlTilgung,7))/100/12,IF(AND($G3094=0,$G3093=1),MAX($K3093,$J3094*($H3094+1)/100/12),$K3093))))</f>
      </c>
      <c r="L3094" s="43">
        <f>IF($I3094=0,0,$J3094*$H3094/100/12)</f>
      </c>
      <c r="M3094" s="43">
        <f>IF($I3094=0,0,IF(OR(INDEX(DarlOhneTilgung,7)=1,AND(INDEX(DarlTilgStart,7)&gt;0,$E3094&lt;INDEX(DarlTilgStart,7))),0,MIN(MAX(0,$K3094-$L3094),$J3094)))</f>
      </c>
      <c r="N3094" s="43">
        <f>IF($I3094=0,0,MIN(SUMIFS(SondBetrag,SondDarl,7,SondDatum,"&gt;="&amp;$E3094,SondDatum,"&lt;="&amp;EOMONTH($E3094,0)),$J3094-$M3094))</f>
      </c>
      <c r="O3094" s="43">
        <f>IF($I3094=0,0,INDEX(DarlErsatzRate,7))</f>
      </c>
      <c r="P3094" s="43">
        <f>IF($I3094=0,0,$Q3093*INDEX(DarlErsatzZins,7))</f>
      </c>
      <c r="Q3094" s="43">
        <f>IF($I3094=0,0,$Q3093+$P3094+$O3094)</f>
      </c>
      <c r="R3094" s="43">
        <f>IF($I3094=0,0,$J3094-$M3094-$N3094)</f>
      </c>
    </row>
    <row r="3095">
      <c r="A3095"/>
      <c r="B3095">
        <v>7</v>
      </c>
      <c r="C3095" s="43">
        <f>INDEX(DarlObj,7)</f>
      </c>
      <c r="D3095">
        <v>212</v>
      </c>
      <c r="E3095" s="51">
        <f>IF(INDEX(DarlBelegt,7)=0,0,EOMONTH(INDEX(DarlAuszahlung,7),211)+1)</f>
      </c>
      <c r="F3095" s="43">
        <f>IF($E3095=0,0,YEAR($E3095))</f>
      </c>
      <c r="G3095" s="43">
        <f>IF(INDEX(DarlBindung,7)="",1,IF($E3095&lt;=INDEX(DarlBindung,7),1,0))</f>
      </c>
      <c r="H3095" s="43">
        <f>IF($G3095=1,INDEX(DarlSollzins,7),INDEX(DarlAnschluss,7))</f>
      </c>
      <c r="I3095" s="43">
        <f>IF(INDEX(DarlBelegt,7)=0,0,IF(INDEX(DarlOhneTilgung,7)=1,IF(INDEX(DarlBindung,7)="",1,$G3095),IF($J3095&gt;0.005,1,0)))</f>
      </c>
      <c r="J3095" s="43">
        <f>IF($I3094=0,0,$R3094)</f>
      </c>
      <c r="K3095" s="43">
        <f>IF($I3095=0,0,IF(INDEX(DarlOhneTilgung,7)=1,0,IF(AND(INDEX(DarlTilgStart,7)&gt;0,$E3095=INDEX(DarlTilgStart,7)),$J3095*($H3095+INDEX(DarlTilgung,7))/100/12,IF(AND($G3095=0,$G3094=1),MAX($K3094,$J3095*($H3095+1)/100/12),$K3094))))</f>
      </c>
      <c r="L3095" s="43">
        <f>IF($I3095=0,0,$J3095*$H3095/100/12)</f>
      </c>
      <c r="M3095" s="43">
        <f>IF($I3095=0,0,IF(OR(INDEX(DarlOhneTilgung,7)=1,AND(INDEX(DarlTilgStart,7)&gt;0,$E3095&lt;INDEX(DarlTilgStart,7))),0,MIN(MAX(0,$K3095-$L3095),$J3095)))</f>
      </c>
      <c r="N3095" s="43">
        <f>IF($I3095=0,0,MIN(SUMIFS(SondBetrag,SondDarl,7,SondDatum,"&gt;="&amp;$E3095,SondDatum,"&lt;="&amp;EOMONTH($E3095,0)),$J3095-$M3095))</f>
      </c>
      <c r="O3095" s="43">
        <f>IF($I3095=0,0,INDEX(DarlErsatzRate,7))</f>
      </c>
      <c r="P3095" s="43">
        <f>IF($I3095=0,0,$Q3094*INDEX(DarlErsatzZins,7))</f>
      </c>
      <c r="Q3095" s="43">
        <f>IF($I3095=0,0,$Q3094+$P3095+$O3095)</f>
      </c>
      <c r="R3095" s="43">
        <f>IF($I3095=0,0,$J3095-$M3095-$N3095)</f>
      </c>
    </row>
    <row r="3096">
      <c r="A3096"/>
      <c r="B3096">
        <v>7</v>
      </c>
      <c r="C3096" s="43">
        <f>INDEX(DarlObj,7)</f>
      </c>
      <c r="D3096">
        <v>213</v>
      </c>
      <c r="E3096" s="51">
        <f>IF(INDEX(DarlBelegt,7)=0,0,EOMONTH(INDEX(DarlAuszahlung,7),212)+1)</f>
      </c>
      <c r="F3096" s="43">
        <f>IF($E3096=0,0,YEAR($E3096))</f>
      </c>
      <c r="G3096" s="43">
        <f>IF(INDEX(DarlBindung,7)="",1,IF($E3096&lt;=INDEX(DarlBindung,7),1,0))</f>
      </c>
      <c r="H3096" s="43">
        <f>IF($G3096=1,INDEX(DarlSollzins,7),INDEX(DarlAnschluss,7))</f>
      </c>
      <c r="I3096" s="43">
        <f>IF(INDEX(DarlBelegt,7)=0,0,IF(INDEX(DarlOhneTilgung,7)=1,IF(INDEX(DarlBindung,7)="",1,$G3096),IF($J3096&gt;0.005,1,0)))</f>
      </c>
      <c r="J3096" s="43">
        <f>IF($I3095=0,0,$R3095)</f>
      </c>
      <c r="K3096" s="43">
        <f>IF($I3096=0,0,IF(INDEX(DarlOhneTilgung,7)=1,0,IF(AND(INDEX(DarlTilgStart,7)&gt;0,$E3096=INDEX(DarlTilgStart,7)),$J3096*($H3096+INDEX(DarlTilgung,7))/100/12,IF(AND($G3096=0,$G3095=1),MAX($K3095,$J3096*($H3096+1)/100/12),$K3095))))</f>
      </c>
      <c r="L3096" s="43">
        <f>IF($I3096=0,0,$J3096*$H3096/100/12)</f>
      </c>
      <c r="M3096" s="43">
        <f>IF($I3096=0,0,IF(OR(INDEX(DarlOhneTilgung,7)=1,AND(INDEX(DarlTilgStart,7)&gt;0,$E3096&lt;INDEX(DarlTilgStart,7))),0,MIN(MAX(0,$K3096-$L3096),$J3096)))</f>
      </c>
      <c r="N3096" s="43">
        <f>IF($I3096=0,0,MIN(SUMIFS(SondBetrag,SondDarl,7,SondDatum,"&gt;="&amp;$E3096,SondDatum,"&lt;="&amp;EOMONTH($E3096,0)),$J3096-$M3096))</f>
      </c>
      <c r="O3096" s="43">
        <f>IF($I3096=0,0,INDEX(DarlErsatzRate,7))</f>
      </c>
      <c r="P3096" s="43">
        <f>IF($I3096=0,0,$Q3095*INDEX(DarlErsatzZins,7))</f>
      </c>
      <c r="Q3096" s="43">
        <f>IF($I3096=0,0,$Q3095+$P3096+$O3096)</f>
      </c>
      <c r="R3096" s="43">
        <f>IF($I3096=0,0,$J3096-$M3096-$N3096)</f>
      </c>
    </row>
    <row r="3097">
      <c r="A3097"/>
      <c r="B3097">
        <v>7</v>
      </c>
      <c r="C3097" s="43">
        <f>INDEX(DarlObj,7)</f>
      </c>
      <c r="D3097">
        <v>214</v>
      </c>
      <c r="E3097" s="51">
        <f>IF(INDEX(DarlBelegt,7)=0,0,EOMONTH(INDEX(DarlAuszahlung,7),213)+1)</f>
      </c>
      <c r="F3097" s="43">
        <f>IF($E3097=0,0,YEAR($E3097))</f>
      </c>
      <c r="G3097" s="43">
        <f>IF(INDEX(DarlBindung,7)="",1,IF($E3097&lt;=INDEX(DarlBindung,7),1,0))</f>
      </c>
      <c r="H3097" s="43">
        <f>IF($G3097=1,INDEX(DarlSollzins,7),INDEX(DarlAnschluss,7))</f>
      </c>
      <c r="I3097" s="43">
        <f>IF(INDEX(DarlBelegt,7)=0,0,IF(INDEX(DarlOhneTilgung,7)=1,IF(INDEX(DarlBindung,7)="",1,$G3097),IF($J3097&gt;0.005,1,0)))</f>
      </c>
      <c r="J3097" s="43">
        <f>IF($I3096=0,0,$R3096)</f>
      </c>
      <c r="K3097" s="43">
        <f>IF($I3097=0,0,IF(INDEX(DarlOhneTilgung,7)=1,0,IF(AND(INDEX(DarlTilgStart,7)&gt;0,$E3097=INDEX(DarlTilgStart,7)),$J3097*($H3097+INDEX(DarlTilgung,7))/100/12,IF(AND($G3097=0,$G3096=1),MAX($K3096,$J3097*($H3097+1)/100/12),$K3096))))</f>
      </c>
      <c r="L3097" s="43">
        <f>IF($I3097=0,0,$J3097*$H3097/100/12)</f>
      </c>
      <c r="M3097" s="43">
        <f>IF($I3097=0,0,IF(OR(INDEX(DarlOhneTilgung,7)=1,AND(INDEX(DarlTilgStart,7)&gt;0,$E3097&lt;INDEX(DarlTilgStart,7))),0,MIN(MAX(0,$K3097-$L3097),$J3097)))</f>
      </c>
      <c r="N3097" s="43">
        <f>IF($I3097=0,0,MIN(SUMIFS(SondBetrag,SondDarl,7,SondDatum,"&gt;="&amp;$E3097,SondDatum,"&lt;="&amp;EOMONTH($E3097,0)),$J3097-$M3097))</f>
      </c>
      <c r="O3097" s="43">
        <f>IF($I3097=0,0,INDEX(DarlErsatzRate,7))</f>
      </c>
      <c r="P3097" s="43">
        <f>IF($I3097=0,0,$Q3096*INDEX(DarlErsatzZins,7))</f>
      </c>
      <c r="Q3097" s="43">
        <f>IF($I3097=0,0,$Q3096+$P3097+$O3097)</f>
      </c>
      <c r="R3097" s="43">
        <f>IF($I3097=0,0,$J3097-$M3097-$N3097)</f>
      </c>
    </row>
    <row r="3098">
      <c r="A3098"/>
      <c r="B3098">
        <v>7</v>
      </c>
      <c r="C3098" s="43">
        <f>INDEX(DarlObj,7)</f>
      </c>
      <c r="D3098">
        <v>215</v>
      </c>
      <c r="E3098" s="51">
        <f>IF(INDEX(DarlBelegt,7)=0,0,EOMONTH(INDEX(DarlAuszahlung,7),214)+1)</f>
      </c>
      <c r="F3098" s="43">
        <f>IF($E3098=0,0,YEAR($E3098))</f>
      </c>
      <c r="G3098" s="43">
        <f>IF(INDEX(DarlBindung,7)="",1,IF($E3098&lt;=INDEX(DarlBindung,7),1,0))</f>
      </c>
      <c r="H3098" s="43">
        <f>IF($G3098=1,INDEX(DarlSollzins,7),INDEX(DarlAnschluss,7))</f>
      </c>
      <c r="I3098" s="43">
        <f>IF(INDEX(DarlBelegt,7)=0,0,IF(INDEX(DarlOhneTilgung,7)=1,IF(INDEX(DarlBindung,7)="",1,$G3098),IF($J3098&gt;0.005,1,0)))</f>
      </c>
      <c r="J3098" s="43">
        <f>IF($I3097=0,0,$R3097)</f>
      </c>
      <c r="K3098" s="43">
        <f>IF($I3098=0,0,IF(INDEX(DarlOhneTilgung,7)=1,0,IF(AND(INDEX(DarlTilgStart,7)&gt;0,$E3098=INDEX(DarlTilgStart,7)),$J3098*($H3098+INDEX(DarlTilgung,7))/100/12,IF(AND($G3098=0,$G3097=1),MAX($K3097,$J3098*($H3098+1)/100/12),$K3097))))</f>
      </c>
      <c r="L3098" s="43">
        <f>IF($I3098=0,0,$J3098*$H3098/100/12)</f>
      </c>
      <c r="M3098" s="43">
        <f>IF($I3098=0,0,IF(OR(INDEX(DarlOhneTilgung,7)=1,AND(INDEX(DarlTilgStart,7)&gt;0,$E3098&lt;INDEX(DarlTilgStart,7))),0,MIN(MAX(0,$K3098-$L3098),$J3098)))</f>
      </c>
      <c r="N3098" s="43">
        <f>IF($I3098=0,0,MIN(SUMIFS(SondBetrag,SondDarl,7,SondDatum,"&gt;="&amp;$E3098,SondDatum,"&lt;="&amp;EOMONTH($E3098,0)),$J3098-$M3098))</f>
      </c>
      <c r="O3098" s="43">
        <f>IF($I3098=0,0,INDEX(DarlErsatzRate,7))</f>
      </c>
      <c r="P3098" s="43">
        <f>IF($I3098=0,0,$Q3097*INDEX(DarlErsatzZins,7))</f>
      </c>
      <c r="Q3098" s="43">
        <f>IF($I3098=0,0,$Q3097+$P3098+$O3098)</f>
      </c>
      <c r="R3098" s="43">
        <f>IF($I3098=0,0,$J3098-$M3098-$N3098)</f>
      </c>
    </row>
    <row r="3099">
      <c r="A3099"/>
      <c r="B3099">
        <v>7</v>
      </c>
      <c r="C3099" s="43">
        <f>INDEX(DarlObj,7)</f>
      </c>
      <c r="D3099">
        <v>216</v>
      </c>
      <c r="E3099" s="51">
        <f>IF(INDEX(DarlBelegt,7)=0,0,EOMONTH(INDEX(DarlAuszahlung,7),215)+1)</f>
      </c>
      <c r="F3099" s="43">
        <f>IF($E3099=0,0,YEAR($E3099))</f>
      </c>
      <c r="G3099" s="43">
        <f>IF(INDEX(DarlBindung,7)="",1,IF($E3099&lt;=INDEX(DarlBindung,7),1,0))</f>
      </c>
      <c r="H3099" s="43">
        <f>IF($G3099=1,INDEX(DarlSollzins,7),INDEX(DarlAnschluss,7))</f>
      </c>
      <c r="I3099" s="43">
        <f>IF(INDEX(DarlBelegt,7)=0,0,IF(INDEX(DarlOhneTilgung,7)=1,IF(INDEX(DarlBindung,7)="",1,$G3099),IF($J3099&gt;0.005,1,0)))</f>
      </c>
      <c r="J3099" s="43">
        <f>IF($I3098=0,0,$R3098)</f>
      </c>
      <c r="K3099" s="43">
        <f>IF($I3099=0,0,IF(INDEX(DarlOhneTilgung,7)=1,0,IF(AND(INDEX(DarlTilgStart,7)&gt;0,$E3099=INDEX(DarlTilgStart,7)),$J3099*($H3099+INDEX(DarlTilgung,7))/100/12,IF(AND($G3099=0,$G3098=1),MAX($K3098,$J3099*($H3099+1)/100/12),$K3098))))</f>
      </c>
      <c r="L3099" s="43">
        <f>IF($I3099=0,0,$J3099*$H3099/100/12)</f>
      </c>
      <c r="M3099" s="43">
        <f>IF($I3099=0,0,IF(OR(INDEX(DarlOhneTilgung,7)=1,AND(INDEX(DarlTilgStart,7)&gt;0,$E3099&lt;INDEX(DarlTilgStart,7))),0,MIN(MAX(0,$K3099-$L3099),$J3099)))</f>
      </c>
      <c r="N3099" s="43">
        <f>IF($I3099=0,0,MIN(SUMIFS(SondBetrag,SondDarl,7,SondDatum,"&gt;="&amp;$E3099,SondDatum,"&lt;="&amp;EOMONTH($E3099,0)),$J3099-$M3099))</f>
      </c>
      <c r="O3099" s="43">
        <f>IF($I3099=0,0,INDEX(DarlErsatzRate,7))</f>
      </c>
      <c r="P3099" s="43">
        <f>IF($I3099=0,0,$Q3098*INDEX(DarlErsatzZins,7))</f>
      </c>
      <c r="Q3099" s="43">
        <f>IF($I3099=0,0,$Q3098+$P3099+$O3099)</f>
      </c>
      <c r="R3099" s="43">
        <f>IF($I3099=0,0,$J3099-$M3099-$N3099)</f>
      </c>
    </row>
    <row r="3100">
      <c r="A3100"/>
      <c r="B3100">
        <v>7</v>
      </c>
      <c r="C3100" s="43">
        <f>INDEX(DarlObj,7)</f>
      </c>
      <c r="D3100">
        <v>217</v>
      </c>
      <c r="E3100" s="51">
        <f>IF(INDEX(DarlBelegt,7)=0,0,EOMONTH(INDEX(DarlAuszahlung,7),216)+1)</f>
      </c>
      <c r="F3100" s="43">
        <f>IF($E3100=0,0,YEAR($E3100))</f>
      </c>
      <c r="G3100" s="43">
        <f>IF(INDEX(DarlBindung,7)="",1,IF($E3100&lt;=INDEX(DarlBindung,7),1,0))</f>
      </c>
      <c r="H3100" s="43">
        <f>IF($G3100=1,INDEX(DarlSollzins,7),INDEX(DarlAnschluss,7))</f>
      </c>
      <c r="I3100" s="43">
        <f>IF(INDEX(DarlBelegt,7)=0,0,IF(INDEX(DarlOhneTilgung,7)=1,IF(INDEX(DarlBindung,7)="",1,$G3100),IF($J3100&gt;0.005,1,0)))</f>
      </c>
      <c r="J3100" s="43">
        <f>IF($I3099=0,0,$R3099)</f>
      </c>
      <c r="K3100" s="43">
        <f>IF($I3100=0,0,IF(INDEX(DarlOhneTilgung,7)=1,0,IF(AND(INDEX(DarlTilgStart,7)&gt;0,$E3100=INDEX(DarlTilgStart,7)),$J3100*($H3100+INDEX(DarlTilgung,7))/100/12,IF(AND($G3100=0,$G3099=1),MAX($K3099,$J3100*($H3100+1)/100/12),$K3099))))</f>
      </c>
      <c r="L3100" s="43">
        <f>IF($I3100=0,0,$J3100*$H3100/100/12)</f>
      </c>
      <c r="M3100" s="43">
        <f>IF($I3100=0,0,IF(OR(INDEX(DarlOhneTilgung,7)=1,AND(INDEX(DarlTilgStart,7)&gt;0,$E3100&lt;INDEX(DarlTilgStart,7))),0,MIN(MAX(0,$K3100-$L3100),$J3100)))</f>
      </c>
      <c r="N3100" s="43">
        <f>IF($I3100=0,0,MIN(SUMIFS(SondBetrag,SondDarl,7,SondDatum,"&gt;="&amp;$E3100,SondDatum,"&lt;="&amp;EOMONTH($E3100,0)),$J3100-$M3100))</f>
      </c>
      <c r="O3100" s="43">
        <f>IF($I3100=0,0,INDEX(DarlErsatzRate,7))</f>
      </c>
      <c r="P3100" s="43">
        <f>IF($I3100=0,0,$Q3099*INDEX(DarlErsatzZins,7))</f>
      </c>
      <c r="Q3100" s="43">
        <f>IF($I3100=0,0,$Q3099+$P3100+$O3100)</f>
      </c>
      <c r="R3100" s="43">
        <f>IF($I3100=0,0,$J3100-$M3100-$N3100)</f>
      </c>
    </row>
    <row r="3101">
      <c r="A3101"/>
      <c r="B3101">
        <v>7</v>
      </c>
      <c r="C3101" s="43">
        <f>INDEX(DarlObj,7)</f>
      </c>
      <c r="D3101">
        <v>218</v>
      </c>
      <c r="E3101" s="51">
        <f>IF(INDEX(DarlBelegt,7)=0,0,EOMONTH(INDEX(DarlAuszahlung,7),217)+1)</f>
      </c>
      <c r="F3101" s="43">
        <f>IF($E3101=0,0,YEAR($E3101))</f>
      </c>
      <c r="G3101" s="43">
        <f>IF(INDEX(DarlBindung,7)="",1,IF($E3101&lt;=INDEX(DarlBindung,7),1,0))</f>
      </c>
      <c r="H3101" s="43">
        <f>IF($G3101=1,INDEX(DarlSollzins,7),INDEX(DarlAnschluss,7))</f>
      </c>
      <c r="I3101" s="43">
        <f>IF(INDEX(DarlBelegt,7)=0,0,IF(INDEX(DarlOhneTilgung,7)=1,IF(INDEX(DarlBindung,7)="",1,$G3101),IF($J3101&gt;0.005,1,0)))</f>
      </c>
      <c r="J3101" s="43">
        <f>IF($I3100=0,0,$R3100)</f>
      </c>
      <c r="K3101" s="43">
        <f>IF($I3101=0,0,IF(INDEX(DarlOhneTilgung,7)=1,0,IF(AND(INDEX(DarlTilgStart,7)&gt;0,$E3101=INDEX(DarlTilgStart,7)),$J3101*($H3101+INDEX(DarlTilgung,7))/100/12,IF(AND($G3101=0,$G3100=1),MAX($K3100,$J3101*($H3101+1)/100/12),$K3100))))</f>
      </c>
      <c r="L3101" s="43">
        <f>IF($I3101=0,0,$J3101*$H3101/100/12)</f>
      </c>
      <c r="M3101" s="43">
        <f>IF($I3101=0,0,IF(OR(INDEX(DarlOhneTilgung,7)=1,AND(INDEX(DarlTilgStart,7)&gt;0,$E3101&lt;INDEX(DarlTilgStart,7))),0,MIN(MAX(0,$K3101-$L3101),$J3101)))</f>
      </c>
      <c r="N3101" s="43">
        <f>IF($I3101=0,0,MIN(SUMIFS(SondBetrag,SondDarl,7,SondDatum,"&gt;="&amp;$E3101,SondDatum,"&lt;="&amp;EOMONTH($E3101,0)),$J3101-$M3101))</f>
      </c>
      <c r="O3101" s="43">
        <f>IF($I3101=0,0,INDEX(DarlErsatzRate,7))</f>
      </c>
      <c r="P3101" s="43">
        <f>IF($I3101=0,0,$Q3100*INDEX(DarlErsatzZins,7))</f>
      </c>
      <c r="Q3101" s="43">
        <f>IF($I3101=0,0,$Q3100+$P3101+$O3101)</f>
      </c>
      <c r="R3101" s="43">
        <f>IF($I3101=0,0,$J3101-$M3101-$N3101)</f>
      </c>
    </row>
    <row r="3102">
      <c r="A3102"/>
      <c r="B3102">
        <v>7</v>
      </c>
      <c r="C3102" s="43">
        <f>INDEX(DarlObj,7)</f>
      </c>
      <c r="D3102">
        <v>219</v>
      </c>
      <c r="E3102" s="51">
        <f>IF(INDEX(DarlBelegt,7)=0,0,EOMONTH(INDEX(DarlAuszahlung,7),218)+1)</f>
      </c>
      <c r="F3102" s="43">
        <f>IF($E3102=0,0,YEAR($E3102))</f>
      </c>
      <c r="G3102" s="43">
        <f>IF(INDEX(DarlBindung,7)="",1,IF($E3102&lt;=INDEX(DarlBindung,7),1,0))</f>
      </c>
      <c r="H3102" s="43">
        <f>IF($G3102=1,INDEX(DarlSollzins,7),INDEX(DarlAnschluss,7))</f>
      </c>
      <c r="I3102" s="43">
        <f>IF(INDEX(DarlBelegt,7)=0,0,IF(INDEX(DarlOhneTilgung,7)=1,IF(INDEX(DarlBindung,7)="",1,$G3102),IF($J3102&gt;0.005,1,0)))</f>
      </c>
      <c r="J3102" s="43">
        <f>IF($I3101=0,0,$R3101)</f>
      </c>
      <c r="K3102" s="43">
        <f>IF($I3102=0,0,IF(INDEX(DarlOhneTilgung,7)=1,0,IF(AND(INDEX(DarlTilgStart,7)&gt;0,$E3102=INDEX(DarlTilgStart,7)),$J3102*($H3102+INDEX(DarlTilgung,7))/100/12,IF(AND($G3102=0,$G3101=1),MAX($K3101,$J3102*($H3102+1)/100/12),$K3101))))</f>
      </c>
      <c r="L3102" s="43">
        <f>IF($I3102=0,0,$J3102*$H3102/100/12)</f>
      </c>
      <c r="M3102" s="43">
        <f>IF($I3102=0,0,IF(OR(INDEX(DarlOhneTilgung,7)=1,AND(INDEX(DarlTilgStart,7)&gt;0,$E3102&lt;INDEX(DarlTilgStart,7))),0,MIN(MAX(0,$K3102-$L3102),$J3102)))</f>
      </c>
      <c r="N3102" s="43">
        <f>IF($I3102=0,0,MIN(SUMIFS(SondBetrag,SondDarl,7,SondDatum,"&gt;="&amp;$E3102,SondDatum,"&lt;="&amp;EOMONTH($E3102,0)),$J3102-$M3102))</f>
      </c>
      <c r="O3102" s="43">
        <f>IF($I3102=0,0,INDEX(DarlErsatzRate,7))</f>
      </c>
      <c r="P3102" s="43">
        <f>IF($I3102=0,0,$Q3101*INDEX(DarlErsatzZins,7))</f>
      </c>
      <c r="Q3102" s="43">
        <f>IF($I3102=0,0,$Q3101+$P3102+$O3102)</f>
      </c>
      <c r="R3102" s="43">
        <f>IF($I3102=0,0,$J3102-$M3102-$N3102)</f>
      </c>
    </row>
    <row r="3103">
      <c r="A3103"/>
      <c r="B3103">
        <v>7</v>
      </c>
      <c r="C3103" s="43">
        <f>INDEX(DarlObj,7)</f>
      </c>
      <c r="D3103">
        <v>220</v>
      </c>
      <c r="E3103" s="51">
        <f>IF(INDEX(DarlBelegt,7)=0,0,EOMONTH(INDEX(DarlAuszahlung,7),219)+1)</f>
      </c>
      <c r="F3103" s="43">
        <f>IF($E3103=0,0,YEAR($E3103))</f>
      </c>
      <c r="G3103" s="43">
        <f>IF(INDEX(DarlBindung,7)="",1,IF($E3103&lt;=INDEX(DarlBindung,7),1,0))</f>
      </c>
      <c r="H3103" s="43">
        <f>IF($G3103=1,INDEX(DarlSollzins,7),INDEX(DarlAnschluss,7))</f>
      </c>
      <c r="I3103" s="43">
        <f>IF(INDEX(DarlBelegt,7)=0,0,IF(INDEX(DarlOhneTilgung,7)=1,IF(INDEX(DarlBindung,7)="",1,$G3103),IF($J3103&gt;0.005,1,0)))</f>
      </c>
      <c r="J3103" s="43">
        <f>IF($I3102=0,0,$R3102)</f>
      </c>
      <c r="K3103" s="43">
        <f>IF($I3103=0,0,IF(INDEX(DarlOhneTilgung,7)=1,0,IF(AND(INDEX(DarlTilgStart,7)&gt;0,$E3103=INDEX(DarlTilgStart,7)),$J3103*($H3103+INDEX(DarlTilgung,7))/100/12,IF(AND($G3103=0,$G3102=1),MAX($K3102,$J3103*($H3103+1)/100/12),$K3102))))</f>
      </c>
      <c r="L3103" s="43">
        <f>IF($I3103=0,0,$J3103*$H3103/100/12)</f>
      </c>
      <c r="M3103" s="43">
        <f>IF($I3103=0,0,IF(OR(INDEX(DarlOhneTilgung,7)=1,AND(INDEX(DarlTilgStart,7)&gt;0,$E3103&lt;INDEX(DarlTilgStart,7))),0,MIN(MAX(0,$K3103-$L3103),$J3103)))</f>
      </c>
      <c r="N3103" s="43">
        <f>IF($I3103=0,0,MIN(SUMIFS(SondBetrag,SondDarl,7,SondDatum,"&gt;="&amp;$E3103,SondDatum,"&lt;="&amp;EOMONTH($E3103,0)),$J3103-$M3103))</f>
      </c>
      <c r="O3103" s="43">
        <f>IF($I3103=0,0,INDEX(DarlErsatzRate,7))</f>
      </c>
      <c r="P3103" s="43">
        <f>IF($I3103=0,0,$Q3102*INDEX(DarlErsatzZins,7))</f>
      </c>
      <c r="Q3103" s="43">
        <f>IF($I3103=0,0,$Q3102+$P3103+$O3103)</f>
      </c>
      <c r="R3103" s="43">
        <f>IF($I3103=0,0,$J3103-$M3103-$N3103)</f>
      </c>
    </row>
    <row r="3104">
      <c r="A3104"/>
      <c r="B3104">
        <v>7</v>
      </c>
      <c r="C3104" s="43">
        <f>INDEX(DarlObj,7)</f>
      </c>
      <c r="D3104">
        <v>221</v>
      </c>
      <c r="E3104" s="51">
        <f>IF(INDEX(DarlBelegt,7)=0,0,EOMONTH(INDEX(DarlAuszahlung,7),220)+1)</f>
      </c>
      <c r="F3104" s="43">
        <f>IF($E3104=0,0,YEAR($E3104))</f>
      </c>
      <c r="G3104" s="43">
        <f>IF(INDEX(DarlBindung,7)="",1,IF($E3104&lt;=INDEX(DarlBindung,7),1,0))</f>
      </c>
      <c r="H3104" s="43">
        <f>IF($G3104=1,INDEX(DarlSollzins,7),INDEX(DarlAnschluss,7))</f>
      </c>
      <c r="I3104" s="43">
        <f>IF(INDEX(DarlBelegt,7)=0,0,IF(INDEX(DarlOhneTilgung,7)=1,IF(INDEX(DarlBindung,7)="",1,$G3104),IF($J3104&gt;0.005,1,0)))</f>
      </c>
      <c r="J3104" s="43">
        <f>IF($I3103=0,0,$R3103)</f>
      </c>
      <c r="K3104" s="43">
        <f>IF($I3104=0,0,IF(INDEX(DarlOhneTilgung,7)=1,0,IF(AND(INDEX(DarlTilgStart,7)&gt;0,$E3104=INDEX(DarlTilgStart,7)),$J3104*($H3104+INDEX(DarlTilgung,7))/100/12,IF(AND($G3104=0,$G3103=1),MAX($K3103,$J3104*($H3104+1)/100/12),$K3103))))</f>
      </c>
      <c r="L3104" s="43">
        <f>IF($I3104=0,0,$J3104*$H3104/100/12)</f>
      </c>
      <c r="M3104" s="43">
        <f>IF($I3104=0,0,IF(OR(INDEX(DarlOhneTilgung,7)=1,AND(INDEX(DarlTilgStart,7)&gt;0,$E3104&lt;INDEX(DarlTilgStart,7))),0,MIN(MAX(0,$K3104-$L3104),$J3104)))</f>
      </c>
      <c r="N3104" s="43">
        <f>IF($I3104=0,0,MIN(SUMIFS(SondBetrag,SondDarl,7,SondDatum,"&gt;="&amp;$E3104,SondDatum,"&lt;="&amp;EOMONTH($E3104,0)),$J3104-$M3104))</f>
      </c>
      <c r="O3104" s="43">
        <f>IF($I3104=0,0,INDEX(DarlErsatzRate,7))</f>
      </c>
      <c r="P3104" s="43">
        <f>IF($I3104=0,0,$Q3103*INDEX(DarlErsatzZins,7))</f>
      </c>
      <c r="Q3104" s="43">
        <f>IF($I3104=0,0,$Q3103+$P3104+$O3104)</f>
      </c>
      <c r="R3104" s="43">
        <f>IF($I3104=0,0,$J3104-$M3104-$N3104)</f>
      </c>
    </row>
    <row r="3105">
      <c r="A3105"/>
      <c r="B3105">
        <v>7</v>
      </c>
      <c r="C3105" s="43">
        <f>INDEX(DarlObj,7)</f>
      </c>
      <c r="D3105">
        <v>222</v>
      </c>
      <c r="E3105" s="51">
        <f>IF(INDEX(DarlBelegt,7)=0,0,EOMONTH(INDEX(DarlAuszahlung,7),221)+1)</f>
      </c>
      <c r="F3105" s="43">
        <f>IF($E3105=0,0,YEAR($E3105))</f>
      </c>
      <c r="G3105" s="43">
        <f>IF(INDEX(DarlBindung,7)="",1,IF($E3105&lt;=INDEX(DarlBindung,7),1,0))</f>
      </c>
      <c r="H3105" s="43">
        <f>IF($G3105=1,INDEX(DarlSollzins,7),INDEX(DarlAnschluss,7))</f>
      </c>
      <c r="I3105" s="43">
        <f>IF(INDEX(DarlBelegt,7)=0,0,IF(INDEX(DarlOhneTilgung,7)=1,IF(INDEX(DarlBindung,7)="",1,$G3105),IF($J3105&gt;0.005,1,0)))</f>
      </c>
      <c r="J3105" s="43">
        <f>IF($I3104=0,0,$R3104)</f>
      </c>
      <c r="K3105" s="43">
        <f>IF($I3105=0,0,IF(INDEX(DarlOhneTilgung,7)=1,0,IF(AND(INDEX(DarlTilgStart,7)&gt;0,$E3105=INDEX(DarlTilgStart,7)),$J3105*($H3105+INDEX(DarlTilgung,7))/100/12,IF(AND($G3105=0,$G3104=1),MAX($K3104,$J3105*($H3105+1)/100/12),$K3104))))</f>
      </c>
      <c r="L3105" s="43">
        <f>IF($I3105=0,0,$J3105*$H3105/100/12)</f>
      </c>
      <c r="M3105" s="43">
        <f>IF($I3105=0,0,IF(OR(INDEX(DarlOhneTilgung,7)=1,AND(INDEX(DarlTilgStart,7)&gt;0,$E3105&lt;INDEX(DarlTilgStart,7))),0,MIN(MAX(0,$K3105-$L3105),$J3105)))</f>
      </c>
      <c r="N3105" s="43">
        <f>IF($I3105=0,0,MIN(SUMIFS(SondBetrag,SondDarl,7,SondDatum,"&gt;="&amp;$E3105,SondDatum,"&lt;="&amp;EOMONTH($E3105,0)),$J3105-$M3105))</f>
      </c>
      <c r="O3105" s="43">
        <f>IF($I3105=0,0,INDEX(DarlErsatzRate,7))</f>
      </c>
      <c r="P3105" s="43">
        <f>IF($I3105=0,0,$Q3104*INDEX(DarlErsatzZins,7))</f>
      </c>
      <c r="Q3105" s="43">
        <f>IF($I3105=0,0,$Q3104+$P3105+$O3105)</f>
      </c>
      <c r="R3105" s="43">
        <f>IF($I3105=0,0,$J3105-$M3105-$N3105)</f>
      </c>
    </row>
    <row r="3106">
      <c r="A3106"/>
      <c r="B3106">
        <v>7</v>
      </c>
      <c r="C3106" s="43">
        <f>INDEX(DarlObj,7)</f>
      </c>
      <c r="D3106">
        <v>223</v>
      </c>
      <c r="E3106" s="51">
        <f>IF(INDEX(DarlBelegt,7)=0,0,EOMONTH(INDEX(DarlAuszahlung,7),222)+1)</f>
      </c>
      <c r="F3106" s="43">
        <f>IF($E3106=0,0,YEAR($E3106))</f>
      </c>
      <c r="G3106" s="43">
        <f>IF(INDEX(DarlBindung,7)="",1,IF($E3106&lt;=INDEX(DarlBindung,7),1,0))</f>
      </c>
      <c r="H3106" s="43">
        <f>IF($G3106=1,INDEX(DarlSollzins,7),INDEX(DarlAnschluss,7))</f>
      </c>
      <c r="I3106" s="43">
        <f>IF(INDEX(DarlBelegt,7)=0,0,IF(INDEX(DarlOhneTilgung,7)=1,IF(INDEX(DarlBindung,7)="",1,$G3106),IF($J3106&gt;0.005,1,0)))</f>
      </c>
      <c r="J3106" s="43">
        <f>IF($I3105=0,0,$R3105)</f>
      </c>
      <c r="K3106" s="43">
        <f>IF($I3106=0,0,IF(INDEX(DarlOhneTilgung,7)=1,0,IF(AND(INDEX(DarlTilgStart,7)&gt;0,$E3106=INDEX(DarlTilgStart,7)),$J3106*($H3106+INDEX(DarlTilgung,7))/100/12,IF(AND($G3106=0,$G3105=1),MAX($K3105,$J3106*($H3106+1)/100/12),$K3105))))</f>
      </c>
      <c r="L3106" s="43">
        <f>IF($I3106=0,0,$J3106*$H3106/100/12)</f>
      </c>
      <c r="M3106" s="43">
        <f>IF($I3106=0,0,IF(OR(INDEX(DarlOhneTilgung,7)=1,AND(INDEX(DarlTilgStart,7)&gt;0,$E3106&lt;INDEX(DarlTilgStart,7))),0,MIN(MAX(0,$K3106-$L3106),$J3106)))</f>
      </c>
      <c r="N3106" s="43">
        <f>IF($I3106=0,0,MIN(SUMIFS(SondBetrag,SondDarl,7,SondDatum,"&gt;="&amp;$E3106,SondDatum,"&lt;="&amp;EOMONTH($E3106,0)),$J3106-$M3106))</f>
      </c>
      <c r="O3106" s="43">
        <f>IF($I3106=0,0,INDEX(DarlErsatzRate,7))</f>
      </c>
      <c r="P3106" s="43">
        <f>IF($I3106=0,0,$Q3105*INDEX(DarlErsatzZins,7))</f>
      </c>
      <c r="Q3106" s="43">
        <f>IF($I3106=0,0,$Q3105+$P3106+$O3106)</f>
      </c>
      <c r="R3106" s="43">
        <f>IF($I3106=0,0,$J3106-$M3106-$N3106)</f>
      </c>
    </row>
    <row r="3107">
      <c r="A3107"/>
      <c r="B3107">
        <v>7</v>
      </c>
      <c r="C3107" s="43">
        <f>INDEX(DarlObj,7)</f>
      </c>
      <c r="D3107">
        <v>224</v>
      </c>
      <c r="E3107" s="51">
        <f>IF(INDEX(DarlBelegt,7)=0,0,EOMONTH(INDEX(DarlAuszahlung,7),223)+1)</f>
      </c>
      <c r="F3107" s="43">
        <f>IF($E3107=0,0,YEAR($E3107))</f>
      </c>
      <c r="G3107" s="43">
        <f>IF(INDEX(DarlBindung,7)="",1,IF($E3107&lt;=INDEX(DarlBindung,7),1,0))</f>
      </c>
      <c r="H3107" s="43">
        <f>IF($G3107=1,INDEX(DarlSollzins,7),INDEX(DarlAnschluss,7))</f>
      </c>
      <c r="I3107" s="43">
        <f>IF(INDEX(DarlBelegt,7)=0,0,IF(INDEX(DarlOhneTilgung,7)=1,IF(INDEX(DarlBindung,7)="",1,$G3107),IF($J3107&gt;0.005,1,0)))</f>
      </c>
      <c r="J3107" s="43">
        <f>IF($I3106=0,0,$R3106)</f>
      </c>
      <c r="K3107" s="43">
        <f>IF($I3107=0,0,IF(INDEX(DarlOhneTilgung,7)=1,0,IF(AND(INDEX(DarlTilgStart,7)&gt;0,$E3107=INDEX(DarlTilgStart,7)),$J3107*($H3107+INDEX(DarlTilgung,7))/100/12,IF(AND($G3107=0,$G3106=1),MAX($K3106,$J3107*($H3107+1)/100/12),$K3106))))</f>
      </c>
      <c r="L3107" s="43">
        <f>IF($I3107=0,0,$J3107*$H3107/100/12)</f>
      </c>
      <c r="M3107" s="43">
        <f>IF($I3107=0,0,IF(OR(INDEX(DarlOhneTilgung,7)=1,AND(INDEX(DarlTilgStart,7)&gt;0,$E3107&lt;INDEX(DarlTilgStart,7))),0,MIN(MAX(0,$K3107-$L3107),$J3107)))</f>
      </c>
      <c r="N3107" s="43">
        <f>IF($I3107=0,0,MIN(SUMIFS(SondBetrag,SondDarl,7,SondDatum,"&gt;="&amp;$E3107,SondDatum,"&lt;="&amp;EOMONTH($E3107,0)),$J3107-$M3107))</f>
      </c>
      <c r="O3107" s="43">
        <f>IF($I3107=0,0,INDEX(DarlErsatzRate,7))</f>
      </c>
      <c r="P3107" s="43">
        <f>IF($I3107=0,0,$Q3106*INDEX(DarlErsatzZins,7))</f>
      </c>
      <c r="Q3107" s="43">
        <f>IF($I3107=0,0,$Q3106+$P3107+$O3107)</f>
      </c>
      <c r="R3107" s="43">
        <f>IF($I3107=0,0,$J3107-$M3107-$N3107)</f>
      </c>
    </row>
    <row r="3108">
      <c r="A3108"/>
      <c r="B3108">
        <v>7</v>
      </c>
      <c r="C3108" s="43">
        <f>INDEX(DarlObj,7)</f>
      </c>
      <c r="D3108">
        <v>225</v>
      </c>
      <c r="E3108" s="51">
        <f>IF(INDEX(DarlBelegt,7)=0,0,EOMONTH(INDEX(DarlAuszahlung,7),224)+1)</f>
      </c>
      <c r="F3108" s="43">
        <f>IF($E3108=0,0,YEAR($E3108))</f>
      </c>
      <c r="G3108" s="43">
        <f>IF(INDEX(DarlBindung,7)="",1,IF($E3108&lt;=INDEX(DarlBindung,7),1,0))</f>
      </c>
      <c r="H3108" s="43">
        <f>IF($G3108=1,INDEX(DarlSollzins,7),INDEX(DarlAnschluss,7))</f>
      </c>
      <c r="I3108" s="43">
        <f>IF(INDEX(DarlBelegt,7)=0,0,IF(INDEX(DarlOhneTilgung,7)=1,IF(INDEX(DarlBindung,7)="",1,$G3108),IF($J3108&gt;0.005,1,0)))</f>
      </c>
      <c r="J3108" s="43">
        <f>IF($I3107=0,0,$R3107)</f>
      </c>
      <c r="K3108" s="43">
        <f>IF($I3108=0,0,IF(INDEX(DarlOhneTilgung,7)=1,0,IF(AND(INDEX(DarlTilgStart,7)&gt;0,$E3108=INDEX(DarlTilgStart,7)),$J3108*($H3108+INDEX(DarlTilgung,7))/100/12,IF(AND($G3108=0,$G3107=1),MAX($K3107,$J3108*($H3108+1)/100/12),$K3107))))</f>
      </c>
      <c r="L3108" s="43">
        <f>IF($I3108=0,0,$J3108*$H3108/100/12)</f>
      </c>
      <c r="M3108" s="43">
        <f>IF($I3108=0,0,IF(OR(INDEX(DarlOhneTilgung,7)=1,AND(INDEX(DarlTilgStart,7)&gt;0,$E3108&lt;INDEX(DarlTilgStart,7))),0,MIN(MAX(0,$K3108-$L3108),$J3108)))</f>
      </c>
      <c r="N3108" s="43">
        <f>IF($I3108=0,0,MIN(SUMIFS(SondBetrag,SondDarl,7,SondDatum,"&gt;="&amp;$E3108,SondDatum,"&lt;="&amp;EOMONTH($E3108,0)),$J3108-$M3108))</f>
      </c>
      <c r="O3108" s="43">
        <f>IF($I3108=0,0,INDEX(DarlErsatzRate,7))</f>
      </c>
      <c r="P3108" s="43">
        <f>IF($I3108=0,0,$Q3107*INDEX(DarlErsatzZins,7))</f>
      </c>
      <c r="Q3108" s="43">
        <f>IF($I3108=0,0,$Q3107+$P3108+$O3108)</f>
      </c>
      <c r="R3108" s="43">
        <f>IF($I3108=0,0,$J3108-$M3108-$N3108)</f>
      </c>
    </row>
    <row r="3109">
      <c r="A3109"/>
      <c r="B3109">
        <v>7</v>
      </c>
      <c r="C3109" s="43">
        <f>INDEX(DarlObj,7)</f>
      </c>
      <c r="D3109">
        <v>226</v>
      </c>
      <c r="E3109" s="51">
        <f>IF(INDEX(DarlBelegt,7)=0,0,EOMONTH(INDEX(DarlAuszahlung,7),225)+1)</f>
      </c>
      <c r="F3109" s="43">
        <f>IF($E3109=0,0,YEAR($E3109))</f>
      </c>
      <c r="G3109" s="43">
        <f>IF(INDEX(DarlBindung,7)="",1,IF($E3109&lt;=INDEX(DarlBindung,7),1,0))</f>
      </c>
      <c r="H3109" s="43">
        <f>IF($G3109=1,INDEX(DarlSollzins,7),INDEX(DarlAnschluss,7))</f>
      </c>
      <c r="I3109" s="43">
        <f>IF(INDEX(DarlBelegt,7)=0,0,IF(INDEX(DarlOhneTilgung,7)=1,IF(INDEX(DarlBindung,7)="",1,$G3109),IF($J3109&gt;0.005,1,0)))</f>
      </c>
      <c r="J3109" s="43">
        <f>IF($I3108=0,0,$R3108)</f>
      </c>
      <c r="K3109" s="43">
        <f>IF($I3109=0,0,IF(INDEX(DarlOhneTilgung,7)=1,0,IF(AND(INDEX(DarlTilgStart,7)&gt;0,$E3109=INDEX(DarlTilgStart,7)),$J3109*($H3109+INDEX(DarlTilgung,7))/100/12,IF(AND($G3109=0,$G3108=1),MAX($K3108,$J3109*($H3109+1)/100/12),$K3108))))</f>
      </c>
      <c r="L3109" s="43">
        <f>IF($I3109=0,0,$J3109*$H3109/100/12)</f>
      </c>
      <c r="M3109" s="43">
        <f>IF($I3109=0,0,IF(OR(INDEX(DarlOhneTilgung,7)=1,AND(INDEX(DarlTilgStart,7)&gt;0,$E3109&lt;INDEX(DarlTilgStart,7))),0,MIN(MAX(0,$K3109-$L3109),$J3109)))</f>
      </c>
      <c r="N3109" s="43">
        <f>IF($I3109=0,0,MIN(SUMIFS(SondBetrag,SondDarl,7,SondDatum,"&gt;="&amp;$E3109,SondDatum,"&lt;="&amp;EOMONTH($E3109,0)),$J3109-$M3109))</f>
      </c>
      <c r="O3109" s="43">
        <f>IF($I3109=0,0,INDEX(DarlErsatzRate,7))</f>
      </c>
      <c r="P3109" s="43">
        <f>IF($I3109=0,0,$Q3108*INDEX(DarlErsatzZins,7))</f>
      </c>
      <c r="Q3109" s="43">
        <f>IF($I3109=0,0,$Q3108+$P3109+$O3109)</f>
      </c>
      <c r="R3109" s="43">
        <f>IF($I3109=0,0,$J3109-$M3109-$N3109)</f>
      </c>
    </row>
    <row r="3110">
      <c r="A3110"/>
      <c r="B3110">
        <v>7</v>
      </c>
      <c r="C3110" s="43">
        <f>INDEX(DarlObj,7)</f>
      </c>
      <c r="D3110">
        <v>227</v>
      </c>
      <c r="E3110" s="51">
        <f>IF(INDEX(DarlBelegt,7)=0,0,EOMONTH(INDEX(DarlAuszahlung,7),226)+1)</f>
      </c>
      <c r="F3110" s="43">
        <f>IF($E3110=0,0,YEAR($E3110))</f>
      </c>
      <c r="G3110" s="43">
        <f>IF(INDEX(DarlBindung,7)="",1,IF($E3110&lt;=INDEX(DarlBindung,7),1,0))</f>
      </c>
      <c r="H3110" s="43">
        <f>IF($G3110=1,INDEX(DarlSollzins,7),INDEX(DarlAnschluss,7))</f>
      </c>
      <c r="I3110" s="43">
        <f>IF(INDEX(DarlBelegt,7)=0,0,IF(INDEX(DarlOhneTilgung,7)=1,IF(INDEX(DarlBindung,7)="",1,$G3110),IF($J3110&gt;0.005,1,0)))</f>
      </c>
      <c r="J3110" s="43">
        <f>IF($I3109=0,0,$R3109)</f>
      </c>
      <c r="K3110" s="43">
        <f>IF($I3110=0,0,IF(INDEX(DarlOhneTilgung,7)=1,0,IF(AND(INDEX(DarlTilgStart,7)&gt;0,$E3110=INDEX(DarlTilgStart,7)),$J3110*($H3110+INDEX(DarlTilgung,7))/100/12,IF(AND($G3110=0,$G3109=1),MAX($K3109,$J3110*($H3110+1)/100/12),$K3109))))</f>
      </c>
      <c r="L3110" s="43">
        <f>IF($I3110=0,0,$J3110*$H3110/100/12)</f>
      </c>
      <c r="M3110" s="43">
        <f>IF($I3110=0,0,IF(OR(INDEX(DarlOhneTilgung,7)=1,AND(INDEX(DarlTilgStart,7)&gt;0,$E3110&lt;INDEX(DarlTilgStart,7))),0,MIN(MAX(0,$K3110-$L3110),$J3110)))</f>
      </c>
      <c r="N3110" s="43">
        <f>IF($I3110=0,0,MIN(SUMIFS(SondBetrag,SondDarl,7,SondDatum,"&gt;="&amp;$E3110,SondDatum,"&lt;="&amp;EOMONTH($E3110,0)),$J3110-$M3110))</f>
      </c>
      <c r="O3110" s="43">
        <f>IF($I3110=0,0,INDEX(DarlErsatzRate,7))</f>
      </c>
      <c r="P3110" s="43">
        <f>IF($I3110=0,0,$Q3109*INDEX(DarlErsatzZins,7))</f>
      </c>
      <c r="Q3110" s="43">
        <f>IF($I3110=0,0,$Q3109+$P3110+$O3110)</f>
      </c>
      <c r="R3110" s="43">
        <f>IF($I3110=0,0,$J3110-$M3110-$N3110)</f>
      </c>
    </row>
    <row r="3111">
      <c r="A3111"/>
      <c r="B3111">
        <v>7</v>
      </c>
      <c r="C3111" s="43">
        <f>INDEX(DarlObj,7)</f>
      </c>
      <c r="D3111">
        <v>228</v>
      </c>
      <c r="E3111" s="51">
        <f>IF(INDEX(DarlBelegt,7)=0,0,EOMONTH(INDEX(DarlAuszahlung,7),227)+1)</f>
      </c>
      <c r="F3111" s="43">
        <f>IF($E3111=0,0,YEAR($E3111))</f>
      </c>
      <c r="G3111" s="43">
        <f>IF(INDEX(DarlBindung,7)="",1,IF($E3111&lt;=INDEX(DarlBindung,7),1,0))</f>
      </c>
      <c r="H3111" s="43">
        <f>IF($G3111=1,INDEX(DarlSollzins,7),INDEX(DarlAnschluss,7))</f>
      </c>
      <c r="I3111" s="43">
        <f>IF(INDEX(DarlBelegt,7)=0,0,IF(INDEX(DarlOhneTilgung,7)=1,IF(INDEX(DarlBindung,7)="",1,$G3111),IF($J3111&gt;0.005,1,0)))</f>
      </c>
      <c r="J3111" s="43">
        <f>IF($I3110=0,0,$R3110)</f>
      </c>
      <c r="K3111" s="43">
        <f>IF($I3111=0,0,IF(INDEX(DarlOhneTilgung,7)=1,0,IF(AND(INDEX(DarlTilgStart,7)&gt;0,$E3111=INDEX(DarlTilgStart,7)),$J3111*($H3111+INDEX(DarlTilgung,7))/100/12,IF(AND($G3111=0,$G3110=1),MAX($K3110,$J3111*($H3111+1)/100/12),$K3110))))</f>
      </c>
      <c r="L3111" s="43">
        <f>IF($I3111=0,0,$J3111*$H3111/100/12)</f>
      </c>
      <c r="M3111" s="43">
        <f>IF($I3111=0,0,IF(OR(INDEX(DarlOhneTilgung,7)=1,AND(INDEX(DarlTilgStart,7)&gt;0,$E3111&lt;INDEX(DarlTilgStart,7))),0,MIN(MAX(0,$K3111-$L3111),$J3111)))</f>
      </c>
      <c r="N3111" s="43">
        <f>IF($I3111=0,0,MIN(SUMIFS(SondBetrag,SondDarl,7,SondDatum,"&gt;="&amp;$E3111,SondDatum,"&lt;="&amp;EOMONTH($E3111,0)),$J3111-$M3111))</f>
      </c>
      <c r="O3111" s="43">
        <f>IF($I3111=0,0,INDEX(DarlErsatzRate,7))</f>
      </c>
      <c r="P3111" s="43">
        <f>IF($I3111=0,0,$Q3110*INDEX(DarlErsatzZins,7))</f>
      </c>
      <c r="Q3111" s="43">
        <f>IF($I3111=0,0,$Q3110+$P3111+$O3111)</f>
      </c>
      <c r="R3111" s="43">
        <f>IF($I3111=0,0,$J3111-$M3111-$N3111)</f>
      </c>
    </row>
    <row r="3112">
      <c r="A3112"/>
      <c r="B3112">
        <v>7</v>
      </c>
      <c r="C3112" s="43">
        <f>INDEX(DarlObj,7)</f>
      </c>
      <c r="D3112">
        <v>229</v>
      </c>
      <c r="E3112" s="51">
        <f>IF(INDEX(DarlBelegt,7)=0,0,EOMONTH(INDEX(DarlAuszahlung,7),228)+1)</f>
      </c>
      <c r="F3112" s="43">
        <f>IF($E3112=0,0,YEAR($E3112))</f>
      </c>
      <c r="G3112" s="43">
        <f>IF(INDEX(DarlBindung,7)="",1,IF($E3112&lt;=INDEX(DarlBindung,7),1,0))</f>
      </c>
      <c r="H3112" s="43">
        <f>IF($G3112=1,INDEX(DarlSollzins,7),INDEX(DarlAnschluss,7))</f>
      </c>
      <c r="I3112" s="43">
        <f>IF(INDEX(DarlBelegt,7)=0,0,IF(INDEX(DarlOhneTilgung,7)=1,IF(INDEX(DarlBindung,7)="",1,$G3112),IF($J3112&gt;0.005,1,0)))</f>
      </c>
      <c r="J3112" s="43">
        <f>IF($I3111=0,0,$R3111)</f>
      </c>
      <c r="K3112" s="43">
        <f>IF($I3112=0,0,IF(INDEX(DarlOhneTilgung,7)=1,0,IF(AND(INDEX(DarlTilgStart,7)&gt;0,$E3112=INDEX(DarlTilgStart,7)),$J3112*($H3112+INDEX(DarlTilgung,7))/100/12,IF(AND($G3112=0,$G3111=1),MAX($K3111,$J3112*($H3112+1)/100/12),$K3111))))</f>
      </c>
      <c r="L3112" s="43">
        <f>IF($I3112=0,0,$J3112*$H3112/100/12)</f>
      </c>
      <c r="M3112" s="43">
        <f>IF($I3112=0,0,IF(OR(INDEX(DarlOhneTilgung,7)=1,AND(INDEX(DarlTilgStart,7)&gt;0,$E3112&lt;INDEX(DarlTilgStart,7))),0,MIN(MAX(0,$K3112-$L3112),$J3112)))</f>
      </c>
      <c r="N3112" s="43">
        <f>IF($I3112=0,0,MIN(SUMIFS(SondBetrag,SondDarl,7,SondDatum,"&gt;="&amp;$E3112,SondDatum,"&lt;="&amp;EOMONTH($E3112,0)),$J3112-$M3112))</f>
      </c>
      <c r="O3112" s="43">
        <f>IF($I3112=0,0,INDEX(DarlErsatzRate,7))</f>
      </c>
      <c r="P3112" s="43">
        <f>IF($I3112=0,0,$Q3111*INDEX(DarlErsatzZins,7))</f>
      </c>
      <c r="Q3112" s="43">
        <f>IF($I3112=0,0,$Q3111+$P3112+$O3112)</f>
      </c>
      <c r="R3112" s="43">
        <f>IF($I3112=0,0,$J3112-$M3112-$N3112)</f>
      </c>
    </row>
    <row r="3113">
      <c r="A3113"/>
      <c r="B3113">
        <v>7</v>
      </c>
      <c r="C3113" s="43">
        <f>INDEX(DarlObj,7)</f>
      </c>
      <c r="D3113">
        <v>230</v>
      </c>
      <c r="E3113" s="51">
        <f>IF(INDEX(DarlBelegt,7)=0,0,EOMONTH(INDEX(DarlAuszahlung,7),229)+1)</f>
      </c>
      <c r="F3113" s="43">
        <f>IF($E3113=0,0,YEAR($E3113))</f>
      </c>
      <c r="G3113" s="43">
        <f>IF(INDEX(DarlBindung,7)="",1,IF($E3113&lt;=INDEX(DarlBindung,7),1,0))</f>
      </c>
      <c r="H3113" s="43">
        <f>IF($G3113=1,INDEX(DarlSollzins,7),INDEX(DarlAnschluss,7))</f>
      </c>
      <c r="I3113" s="43">
        <f>IF(INDEX(DarlBelegt,7)=0,0,IF(INDEX(DarlOhneTilgung,7)=1,IF(INDEX(DarlBindung,7)="",1,$G3113),IF($J3113&gt;0.005,1,0)))</f>
      </c>
      <c r="J3113" s="43">
        <f>IF($I3112=0,0,$R3112)</f>
      </c>
      <c r="K3113" s="43">
        <f>IF($I3113=0,0,IF(INDEX(DarlOhneTilgung,7)=1,0,IF(AND(INDEX(DarlTilgStart,7)&gt;0,$E3113=INDEX(DarlTilgStart,7)),$J3113*($H3113+INDEX(DarlTilgung,7))/100/12,IF(AND($G3113=0,$G3112=1),MAX($K3112,$J3113*($H3113+1)/100/12),$K3112))))</f>
      </c>
      <c r="L3113" s="43">
        <f>IF($I3113=0,0,$J3113*$H3113/100/12)</f>
      </c>
      <c r="M3113" s="43">
        <f>IF($I3113=0,0,IF(OR(INDEX(DarlOhneTilgung,7)=1,AND(INDEX(DarlTilgStart,7)&gt;0,$E3113&lt;INDEX(DarlTilgStart,7))),0,MIN(MAX(0,$K3113-$L3113),$J3113)))</f>
      </c>
      <c r="N3113" s="43">
        <f>IF($I3113=0,0,MIN(SUMIFS(SondBetrag,SondDarl,7,SondDatum,"&gt;="&amp;$E3113,SondDatum,"&lt;="&amp;EOMONTH($E3113,0)),$J3113-$M3113))</f>
      </c>
      <c r="O3113" s="43">
        <f>IF($I3113=0,0,INDEX(DarlErsatzRate,7))</f>
      </c>
      <c r="P3113" s="43">
        <f>IF($I3113=0,0,$Q3112*INDEX(DarlErsatzZins,7))</f>
      </c>
      <c r="Q3113" s="43">
        <f>IF($I3113=0,0,$Q3112+$P3113+$O3113)</f>
      </c>
      <c r="R3113" s="43">
        <f>IF($I3113=0,0,$J3113-$M3113-$N3113)</f>
      </c>
    </row>
    <row r="3114">
      <c r="A3114"/>
      <c r="B3114">
        <v>7</v>
      </c>
      <c r="C3114" s="43">
        <f>INDEX(DarlObj,7)</f>
      </c>
      <c r="D3114">
        <v>231</v>
      </c>
      <c r="E3114" s="51">
        <f>IF(INDEX(DarlBelegt,7)=0,0,EOMONTH(INDEX(DarlAuszahlung,7),230)+1)</f>
      </c>
      <c r="F3114" s="43">
        <f>IF($E3114=0,0,YEAR($E3114))</f>
      </c>
      <c r="G3114" s="43">
        <f>IF(INDEX(DarlBindung,7)="",1,IF($E3114&lt;=INDEX(DarlBindung,7),1,0))</f>
      </c>
      <c r="H3114" s="43">
        <f>IF($G3114=1,INDEX(DarlSollzins,7),INDEX(DarlAnschluss,7))</f>
      </c>
      <c r="I3114" s="43">
        <f>IF(INDEX(DarlBelegt,7)=0,0,IF(INDEX(DarlOhneTilgung,7)=1,IF(INDEX(DarlBindung,7)="",1,$G3114),IF($J3114&gt;0.005,1,0)))</f>
      </c>
      <c r="J3114" s="43">
        <f>IF($I3113=0,0,$R3113)</f>
      </c>
      <c r="K3114" s="43">
        <f>IF($I3114=0,0,IF(INDEX(DarlOhneTilgung,7)=1,0,IF(AND(INDEX(DarlTilgStart,7)&gt;0,$E3114=INDEX(DarlTilgStart,7)),$J3114*($H3114+INDEX(DarlTilgung,7))/100/12,IF(AND($G3114=0,$G3113=1),MAX($K3113,$J3114*($H3114+1)/100/12),$K3113))))</f>
      </c>
      <c r="L3114" s="43">
        <f>IF($I3114=0,0,$J3114*$H3114/100/12)</f>
      </c>
      <c r="M3114" s="43">
        <f>IF($I3114=0,0,IF(OR(INDEX(DarlOhneTilgung,7)=1,AND(INDEX(DarlTilgStart,7)&gt;0,$E3114&lt;INDEX(DarlTilgStart,7))),0,MIN(MAX(0,$K3114-$L3114),$J3114)))</f>
      </c>
      <c r="N3114" s="43">
        <f>IF($I3114=0,0,MIN(SUMIFS(SondBetrag,SondDarl,7,SondDatum,"&gt;="&amp;$E3114,SondDatum,"&lt;="&amp;EOMONTH($E3114,0)),$J3114-$M3114))</f>
      </c>
      <c r="O3114" s="43">
        <f>IF($I3114=0,0,INDEX(DarlErsatzRate,7))</f>
      </c>
      <c r="P3114" s="43">
        <f>IF($I3114=0,0,$Q3113*INDEX(DarlErsatzZins,7))</f>
      </c>
      <c r="Q3114" s="43">
        <f>IF($I3114=0,0,$Q3113+$P3114+$O3114)</f>
      </c>
      <c r="R3114" s="43">
        <f>IF($I3114=0,0,$J3114-$M3114-$N3114)</f>
      </c>
    </row>
    <row r="3115">
      <c r="A3115"/>
      <c r="B3115">
        <v>7</v>
      </c>
      <c r="C3115" s="43">
        <f>INDEX(DarlObj,7)</f>
      </c>
      <c r="D3115">
        <v>232</v>
      </c>
      <c r="E3115" s="51">
        <f>IF(INDEX(DarlBelegt,7)=0,0,EOMONTH(INDEX(DarlAuszahlung,7),231)+1)</f>
      </c>
      <c r="F3115" s="43">
        <f>IF($E3115=0,0,YEAR($E3115))</f>
      </c>
      <c r="G3115" s="43">
        <f>IF(INDEX(DarlBindung,7)="",1,IF($E3115&lt;=INDEX(DarlBindung,7),1,0))</f>
      </c>
      <c r="H3115" s="43">
        <f>IF($G3115=1,INDEX(DarlSollzins,7),INDEX(DarlAnschluss,7))</f>
      </c>
      <c r="I3115" s="43">
        <f>IF(INDEX(DarlBelegt,7)=0,0,IF(INDEX(DarlOhneTilgung,7)=1,IF(INDEX(DarlBindung,7)="",1,$G3115),IF($J3115&gt;0.005,1,0)))</f>
      </c>
      <c r="J3115" s="43">
        <f>IF($I3114=0,0,$R3114)</f>
      </c>
      <c r="K3115" s="43">
        <f>IF($I3115=0,0,IF(INDEX(DarlOhneTilgung,7)=1,0,IF(AND(INDEX(DarlTilgStart,7)&gt;0,$E3115=INDEX(DarlTilgStart,7)),$J3115*($H3115+INDEX(DarlTilgung,7))/100/12,IF(AND($G3115=0,$G3114=1),MAX($K3114,$J3115*($H3115+1)/100/12),$K3114))))</f>
      </c>
      <c r="L3115" s="43">
        <f>IF($I3115=0,0,$J3115*$H3115/100/12)</f>
      </c>
      <c r="M3115" s="43">
        <f>IF($I3115=0,0,IF(OR(INDEX(DarlOhneTilgung,7)=1,AND(INDEX(DarlTilgStart,7)&gt;0,$E3115&lt;INDEX(DarlTilgStart,7))),0,MIN(MAX(0,$K3115-$L3115),$J3115)))</f>
      </c>
      <c r="N3115" s="43">
        <f>IF($I3115=0,0,MIN(SUMIFS(SondBetrag,SondDarl,7,SondDatum,"&gt;="&amp;$E3115,SondDatum,"&lt;="&amp;EOMONTH($E3115,0)),$J3115-$M3115))</f>
      </c>
      <c r="O3115" s="43">
        <f>IF($I3115=0,0,INDEX(DarlErsatzRate,7))</f>
      </c>
      <c r="P3115" s="43">
        <f>IF($I3115=0,0,$Q3114*INDEX(DarlErsatzZins,7))</f>
      </c>
      <c r="Q3115" s="43">
        <f>IF($I3115=0,0,$Q3114+$P3115+$O3115)</f>
      </c>
      <c r="R3115" s="43">
        <f>IF($I3115=0,0,$J3115-$M3115-$N3115)</f>
      </c>
    </row>
    <row r="3116">
      <c r="A3116"/>
      <c r="B3116">
        <v>7</v>
      </c>
      <c r="C3116" s="43">
        <f>INDEX(DarlObj,7)</f>
      </c>
      <c r="D3116">
        <v>233</v>
      </c>
      <c r="E3116" s="51">
        <f>IF(INDEX(DarlBelegt,7)=0,0,EOMONTH(INDEX(DarlAuszahlung,7),232)+1)</f>
      </c>
      <c r="F3116" s="43">
        <f>IF($E3116=0,0,YEAR($E3116))</f>
      </c>
      <c r="G3116" s="43">
        <f>IF(INDEX(DarlBindung,7)="",1,IF($E3116&lt;=INDEX(DarlBindung,7),1,0))</f>
      </c>
      <c r="H3116" s="43">
        <f>IF($G3116=1,INDEX(DarlSollzins,7),INDEX(DarlAnschluss,7))</f>
      </c>
      <c r="I3116" s="43">
        <f>IF(INDEX(DarlBelegt,7)=0,0,IF(INDEX(DarlOhneTilgung,7)=1,IF(INDEX(DarlBindung,7)="",1,$G3116),IF($J3116&gt;0.005,1,0)))</f>
      </c>
      <c r="J3116" s="43">
        <f>IF($I3115=0,0,$R3115)</f>
      </c>
      <c r="K3116" s="43">
        <f>IF($I3116=0,0,IF(INDEX(DarlOhneTilgung,7)=1,0,IF(AND(INDEX(DarlTilgStart,7)&gt;0,$E3116=INDEX(DarlTilgStart,7)),$J3116*($H3116+INDEX(DarlTilgung,7))/100/12,IF(AND($G3116=0,$G3115=1),MAX($K3115,$J3116*($H3116+1)/100/12),$K3115))))</f>
      </c>
      <c r="L3116" s="43">
        <f>IF($I3116=0,0,$J3116*$H3116/100/12)</f>
      </c>
      <c r="M3116" s="43">
        <f>IF($I3116=0,0,IF(OR(INDEX(DarlOhneTilgung,7)=1,AND(INDEX(DarlTilgStart,7)&gt;0,$E3116&lt;INDEX(DarlTilgStart,7))),0,MIN(MAX(0,$K3116-$L3116),$J3116)))</f>
      </c>
      <c r="N3116" s="43">
        <f>IF($I3116=0,0,MIN(SUMIFS(SondBetrag,SondDarl,7,SondDatum,"&gt;="&amp;$E3116,SondDatum,"&lt;="&amp;EOMONTH($E3116,0)),$J3116-$M3116))</f>
      </c>
      <c r="O3116" s="43">
        <f>IF($I3116=0,0,INDEX(DarlErsatzRate,7))</f>
      </c>
      <c r="P3116" s="43">
        <f>IF($I3116=0,0,$Q3115*INDEX(DarlErsatzZins,7))</f>
      </c>
      <c r="Q3116" s="43">
        <f>IF($I3116=0,0,$Q3115+$P3116+$O3116)</f>
      </c>
      <c r="R3116" s="43">
        <f>IF($I3116=0,0,$J3116-$M3116-$N3116)</f>
      </c>
    </row>
    <row r="3117">
      <c r="A3117"/>
      <c r="B3117">
        <v>7</v>
      </c>
      <c r="C3117" s="43">
        <f>INDEX(DarlObj,7)</f>
      </c>
      <c r="D3117">
        <v>234</v>
      </c>
      <c r="E3117" s="51">
        <f>IF(INDEX(DarlBelegt,7)=0,0,EOMONTH(INDEX(DarlAuszahlung,7),233)+1)</f>
      </c>
      <c r="F3117" s="43">
        <f>IF($E3117=0,0,YEAR($E3117))</f>
      </c>
      <c r="G3117" s="43">
        <f>IF(INDEX(DarlBindung,7)="",1,IF($E3117&lt;=INDEX(DarlBindung,7),1,0))</f>
      </c>
      <c r="H3117" s="43">
        <f>IF($G3117=1,INDEX(DarlSollzins,7),INDEX(DarlAnschluss,7))</f>
      </c>
      <c r="I3117" s="43">
        <f>IF(INDEX(DarlBelegt,7)=0,0,IF(INDEX(DarlOhneTilgung,7)=1,IF(INDEX(DarlBindung,7)="",1,$G3117),IF($J3117&gt;0.005,1,0)))</f>
      </c>
      <c r="J3117" s="43">
        <f>IF($I3116=0,0,$R3116)</f>
      </c>
      <c r="K3117" s="43">
        <f>IF($I3117=0,0,IF(INDEX(DarlOhneTilgung,7)=1,0,IF(AND(INDEX(DarlTilgStart,7)&gt;0,$E3117=INDEX(DarlTilgStart,7)),$J3117*($H3117+INDEX(DarlTilgung,7))/100/12,IF(AND($G3117=0,$G3116=1),MAX($K3116,$J3117*($H3117+1)/100/12),$K3116))))</f>
      </c>
      <c r="L3117" s="43">
        <f>IF($I3117=0,0,$J3117*$H3117/100/12)</f>
      </c>
      <c r="M3117" s="43">
        <f>IF($I3117=0,0,IF(OR(INDEX(DarlOhneTilgung,7)=1,AND(INDEX(DarlTilgStart,7)&gt;0,$E3117&lt;INDEX(DarlTilgStart,7))),0,MIN(MAX(0,$K3117-$L3117),$J3117)))</f>
      </c>
      <c r="N3117" s="43">
        <f>IF($I3117=0,0,MIN(SUMIFS(SondBetrag,SondDarl,7,SondDatum,"&gt;="&amp;$E3117,SondDatum,"&lt;="&amp;EOMONTH($E3117,0)),$J3117-$M3117))</f>
      </c>
      <c r="O3117" s="43">
        <f>IF($I3117=0,0,INDEX(DarlErsatzRate,7))</f>
      </c>
      <c r="P3117" s="43">
        <f>IF($I3117=0,0,$Q3116*INDEX(DarlErsatzZins,7))</f>
      </c>
      <c r="Q3117" s="43">
        <f>IF($I3117=0,0,$Q3116+$P3117+$O3117)</f>
      </c>
      <c r="R3117" s="43">
        <f>IF($I3117=0,0,$J3117-$M3117-$N3117)</f>
      </c>
    </row>
    <row r="3118">
      <c r="A3118"/>
      <c r="B3118">
        <v>7</v>
      </c>
      <c r="C3118" s="43">
        <f>INDEX(DarlObj,7)</f>
      </c>
      <c r="D3118">
        <v>235</v>
      </c>
      <c r="E3118" s="51">
        <f>IF(INDEX(DarlBelegt,7)=0,0,EOMONTH(INDEX(DarlAuszahlung,7),234)+1)</f>
      </c>
      <c r="F3118" s="43">
        <f>IF($E3118=0,0,YEAR($E3118))</f>
      </c>
      <c r="G3118" s="43">
        <f>IF(INDEX(DarlBindung,7)="",1,IF($E3118&lt;=INDEX(DarlBindung,7),1,0))</f>
      </c>
      <c r="H3118" s="43">
        <f>IF($G3118=1,INDEX(DarlSollzins,7),INDEX(DarlAnschluss,7))</f>
      </c>
      <c r="I3118" s="43">
        <f>IF(INDEX(DarlBelegt,7)=0,0,IF(INDEX(DarlOhneTilgung,7)=1,IF(INDEX(DarlBindung,7)="",1,$G3118),IF($J3118&gt;0.005,1,0)))</f>
      </c>
      <c r="J3118" s="43">
        <f>IF($I3117=0,0,$R3117)</f>
      </c>
      <c r="K3118" s="43">
        <f>IF($I3118=0,0,IF(INDEX(DarlOhneTilgung,7)=1,0,IF(AND(INDEX(DarlTilgStart,7)&gt;0,$E3118=INDEX(DarlTilgStart,7)),$J3118*($H3118+INDEX(DarlTilgung,7))/100/12,IF(AND($G3118=0,$G3117=1),MAX($K3117,$J3118*($H3118+1)/100/12),$K3117))))</f>
      </c>
      <c r="L3118" s="43">
        <f>IF($I3118=0,0,$J3118*$H3118/100/12)</f>
      </c>
      <c r="M3118" s="43">
        <f>IF($I3118=0,0,IF(OR(INDEX(DarlOhneTilgung,7)=1,AND(INDEX(DarlTilgStart,7)&gt;0,$E3118&lt;INDEX(DarlTilgStart,7))),0,MIN(MAX(0,$K3118-$L3118),$J3118)))</f>
      </c>
      <c r="N3118" s="43">
        <f>IF($I3118=0,0,MIN(SUMIFS(SondBetrag,SondDarl,7,SondDatum,"&gt;="&amp;$E3118,SondDatum,"&lt;="&amp;EOMONTH($E3118,0)),$J3118-$M3118))</f>
      </c>
      <c r="O3118" s="43">
        <f>IF($I3118=0,0,INDEX(DarlErsatzRate,7))</f>
      </c>
      <c r="P3118" s="43">
        <f>IF($I3118=0,0,$Q3117*INDEX(DarlErsatzZins,7))</f>
      </c>
      <c r="Q3118" s="43">
        <f>IF($I3118=0,0,$Q3117+$P3118+$O3118)</f>
      </c>
      <c r="R3118" s="43">
        <f>IF($I3118=0,0,$J3118-$M3118-$N3118)</f>
      </c>
    </row>
    <row r="3119">
      <c r="A3119"/>
      <c r="B3119">
        <v>7</v>
      </c>
      <c r="C3119" s="43">
        <f>INDEX(DarlObj,7)</f>
      </c>
      <c r="D3119">
        <v>236</v>
      </c>
      <c r="E3119" s="51">
        <f>IF(INDEX(DarlBelegt,7)=0,0,EOMONTH(INDEX(DarlAuszahlung,7),235)+1)</f>
      </c>
      <c r="F3119" s="43">
        <f>IF($E3119=0,0,YEAR($E3119))</f>
      </c>
      <c r="G3119" s="43">
        <f>IF(INDEX(DarlBindung,7)="",1,IF($E3119&lt;=INDEX(DarlBindung,7),1,0))</f>
      </c>
      <c r="H3119" s="43">
        <f>IF($G3119=1,INDEX(DarlSollzins,7),INDEX(DarlAnschluss,7))</f>
      </c>
      <c r="I3119" s="43">
        <f>IF(INDEX(DarlBelegt,7)=0,0,IF(INDEX(DarlOhneTilgung,7)=1,IF(INDEX(DarlBindung,7)="",1,$G3119),IF($J3119&gt;0.005,1,0)))</f>
      </c>
      <c r="J3119" s="43">
        <f>IF($I3118=0,0,$R3118)</f>
      </c>
      <c r="K3119" s="43">
        <f>IF($I3119=0,0,IF(INDEX(DarlOhneTilgung,7)=1,0,IF(AND(INDEX(DarlTilgStart,7)&gt;0,$E3119=INDEX(DarlTilgStart,7)),$J3119*($H3119+INDEX(DarlTilgung,7))/100/12,IF(AND($G3119=0,$G3118=1),MAX($K3118,$J3119*($H3119+1)/100/12),$K3118))))</f>
      </c>
      <c r="L3119" s="43">
        <f>IF($I3119=0,0,$J3119*$H3119/100/12)</f>
      </c>
      <c r="M3119" s="43">
        <f>IF($I3119=0,0,IF(OR(INDEX(DarlOhneTilgung,7)=1,AND(INDEX(DarlTilgStart,7)&gt;0,$E3119&lt;INDEX(DarlTilgStart,7))),0,MIN(MAX(0,$K3119-$L3119),$J3119)))</f>
      </c>
      <c r="N3119" s="43">
        <f>IF($I3119=0,0,MIN(SUMIFS(SondBetrag,SondDarl,7,SondDatum,"&gt;="&amp;$E3119,SondDatum,"&lt;="&amp;EOMONTH($E3119,0)),$J3119-$M3119))</f>
      </c>
      <c r="O3119" s="43">
        <f>IF($I3119=0,0,INDEX(DarlErsatzRate,7))</f>
      </c>
      <c r="P3119" s="43">
        <f>IF($I3119=0,0,$Q3118*INDEX(DarlErsatzZins,7))</f>
      </c>
      <c r="Q3119" s="43">
        <f>IF($I3119=0,0,$Q3118+$P3119+$O3119)</f>
      </c>
      <c r="R3119" s="43">
        <f>IF($I3119=0,0,$J3119-$M3119-$N3119)</f>
      </c>
    </row>
    <row r="3120">
      <c r="A3120"/>
      <c r="B3120">
        <v>7</v>
      </c>
      <c r="C3120" s="43">
        <f>INDEX(DarlObj,7)</f>
      </c>
      <c r="D3120">
        <v>237</v>
      </c>
      <c r="E3120" s="51">
        <f>IF(INDEX(DarlBelegt,7)=0,0,EOMONTH(INDEX(DarlAuszahlung,7),236)+1)</f>
      </c>
      <c r="F3120" s="43">
        <f>IF($E3120=0,0,YEAR($E3120))</f>
      </c>
      <c r="G3120" s="43">
        <f>IF(INDEX(DarlBindung,7)="",1,IF($E3120&lt;=INDEX(DarlBindung,7),1,0))</f>
      </c>
      <c r="H3120" s="43">
        <f>IF($G3120=1,INDEX(DarlSollzins,7),INDEX(DarlAnschluss,7))</f>
      </c>
      <c r="I3120" s="43">
        <f>IF(INDEX(DarlBelegt,7)=0,0,IF(INDEX(DarlOhneTilgung,7)=1,IF(INDEX(DarlBindung,7)="",1,$G3120),IF($J3120&gt;0.005,1,0)))</f>
      </c>
      <c r="J3120" s="43">
        <f>IF($I3119=0,0,$R3119)</f>
      </c>
      <c r="K3120" s="43">
        <f>IF($I3120=0,0,IF(INDEX(DarlOhneTilgung,7)=1,0,IF(AND(INDEX(DarlTilgStart,7)&gt;0,$E3120=INDEX(DarlTilgStart,7)),$J3120*($H3120+INDEX(DarlTilgung,7))/100/12,IF(AND($G3120=0,$G3119=1),MAX($K3119,$J3120*($H3120+1)/100/12),$K3119))))</f>
      </c>
      <c r="L3120" s="43">
        <f>IF($I3120=0,0,$J3120*$H3120/100/12)</f>
      </c>
      <c r="M3120" s="43">
        <f>IF($I3120=0,0,IF(OR(INDEX(DarlOhneTilgung,7)=1,AND(INDEX(DarlTilgStart,7)&gt;0,$E3120&lt;INDEX(DarlTilgStart,7))),0,MIN(MAX(0,$K3120-$L3120),$J3120)))</f>
      </c>
      <c r="N3120" s="43">
        <f>IF($I3120=0,0,MIN(SUMIFS(SondBetrag,SondDarl,7,SondDatum,"&gt;="&amp;$E3120,SondDatum,"&lt;="&amp;EOMONTH($E3120,0)),$J3120-$M3120))</f>
      </c>
      <c r="O3120" s="43">
        <f>IF($I3120=0,0,INDEX(DarlErsatzRate,7))</f>
      </c>
      <c r="P3120" s="43">
        <f>IF($I3120=0,0,$Q3119*INDEX(DarlErsatzZins,7))</f>
      </c>
      <c r="Q3120" s="43">
        <f>IF($I3120=0,0,$Q3119+$P3120+$O3120)</f>
      </c>
      <c r="R3120" s="43">
        <f>IF($I3120=0,0,$J3120-$M3120-$N3120)</f>
      </c>
    </row>
    <row r="3121">
      <c r="A3121"/>
      <c r="B3121">
        <v>7</v>
      </c>
      <c r="C3121" s="43">
        <f>INDEX(DarlObj,7)</f>
      </c>
      <c r="D3121">
        <v>238</v>
      </c>
      <c r="E3121" s="51">
        <f>IF(INDEX(DarlBelegt,7)=0,0,EOMONTH(INDEX(DarlAuszahlung,7),237)+1)</f>
      </c>
      <c r="F3121" s="43">
        <f>IF($E3121=0,0,YEAR($E3121))</f>
      </c>
      <c r="G3121" s="43">
        <f>IF(INDEX(DarlBindung,7)="",1,IF($E3121&lt;=INDEX(DarlBindung,7),1,0))</f>
      </c>
      <c r="H3121" s="43">
        <f>IF($G3121=1,INDEX(DarlSollzins,7),INDEX(DarlAnschluss,7))</f>
      </c>
      <c r="I3121" s="43">
        <f>IF(INDEX(DarlBelegt,7)=0,0,IF(INDEX(DarlOhneTilgung,7)=1,IF(INDEX(DarlBindung,7)="",1,$G3121),IF($J3121&gt;0.005,1,0)))</f>
      </c>
      <c r="J3121" s="43">
        <f>IF($I3120=0,0,$R3120)</f>
      </c>
      <c r="K3121" s="43">
        <f>IF($I3121=0,0,IF(INDEX(DarlOhneTilgung,7)=1,0,IF(AND(INDEX(DarlTilgStart,7)&gt;0,$E3121=INDEX(DarlTilgStart,7)),$J3121*($H3121+INDEX(DarlTilgung,7))/100/12,IF(AND($G3121=0,$G3120=1),MAX($K3120,$J3121*($H3121+1)/100/12),$K3120))))</f>
      </c>
      <c r="L3121" s="43">
        <f>IF($I3121=0,0,$J3121*$H3121/100/12)</f>
      </c>
      <c r="M3121" s="43">
        <f>IF($I3121=0,0,IF(OR(INDEX(DarlOhneTilgung,7)=1,AND(INDEX(DarlTilgStart,7)&gt;0,$E3121&lt;INDEX(DarlTilgStart,7))),0,MIN(MAX(0,$K3121-$L3121),$J3121)))</f>
      </c>
      <c r="N3121" s="43">
        <f>IF($I3121=0,0,MIN(SUMIFS(SondBetrag,SondDarl,7,SondDatum,"&gt;="&amp;$E3121,SondDatum,"&lt;="&amp;EOMONTH($E3121,0)),$J3121-$M3121))</f>
      </c>
      <c r="O3121" s="43">
        <f>IF($I3121=0,0,INDEX(DarlErsatzRate,7))</f>
      </c>
      <c r="P3121" s="43">
        <f>IF($I3121=0,0,$Q3120*INDEX(DarlErsatzZins,7))</f>
      </c>
      <c r="Q3121" s="43">
        <f>IF($I3121=0,0,$Q3120+$P3121+$O3121)</f>
      </c>
      <c r="R3121" s="43">
        <f>IF($I3121=0,0,$J3121-$M3121-$N3121)</f>
      </c>
    </row>
    <row r="3122">
      <c r="A3122"/>
      <c r="B3122">
        <v>7</v>
      </c>
      <c r="C3122" s="43">
        <f>INDEX(DarlObj,7)</f>
      </c>
      <c r="D3122">
        <v>239</v>
      </c>
      <c r="E3122" s="51">
        <f>IF(INDEX(DarlBelegt,7)=0,0,EOMONTH(INDEX(DarlAuszahlung,7),238)+1)</f>
      </c>
      <c r="F3122" s="43">
        <f>IF($E3122=0,0,YEAR($E3122))</f>
      </c>
      <c r="G3122" s="43">
        <f>IF(INDEX(DarlBindung,7)="",1,IF($E3122&lt;=INDEX(DarlBindung,7),1,0))</f>
      </c>
      <c r="H3122" s="43">
        <f>IF($G3122=1,INDEX(DarlSollzins,7),INDEX(DarlAnschluss,7))</f>
      </c>
      <c r="I3122" s="43">
        <f>IF(INDEX(DarlBelegt,7)=0,0,IF(INDEX(DarlOhneTilgung,7)=1,IF(INDEX(DarlBindung,7)="",1,$G3122),IF($J3122&gt;0.005,1,0)))</f>
      </c>
      <c r="J3122" s="43">
        <f>IF($I3121=0,0,$R3121)</f>
      </c>
      <c r="K3122" s="43">
        <f>IF($I3122=0,0,IF(INDEX(DarlOhneTilgung,7)=1,0,IF(AND(INDEX(DarlTilgStart,7)&gt;0,$E3122=INDEX(DarlTilgStart,7)),$J3122*($H3122+INDEX(DarlTilgung,7))/100/12,IF(AND($G3122=0,$G3121=1),MAX($K3121,$J3122*($H3122+1)/100/12),$K3121))))</f>
      </c>
      <c r="L3122" s="43">
        <f>IF($I3122=0,0,$J3122*$H3122/100/12)</f>
      </c>
      <c r="M3122" s="43">
        <f>IF($I3122=0,0,IF(OR(INDEX(DarlOhneTilgung,7)=1,AND(INDEX(DarlTilgStart,7)&gt;0,$E3122&lt;INDEX(DarlTilgStart,7))),0,MIN(MAX(0,$K3122-$L3122),$J3122)))</f>
      </c>
      <c r="N3122" s="43">
        <f>IF($I3122=0,0,MIN(SUMIFS(SondBetrag,SondDarl,7,SondDatum,"&gt;="&amp;$E3122,SondDatum,"&lt;="&amp;EOMONTH($E3122,0)),$J3122-$M3122))</f>
      </c>
      <c r="O3122" s="43">
        <f>IF($I3122=0,0,INDEX(DarlErsatzRate,7))</f>
      </c>
      <c r="P3122" s="43">
        <f>IF($I3122=0,0,$Q3121*INDEX(DarlErsatzZins,7))</f>
      </c>
      <c r="Q3122" s="43">
        <f>IF($I3122=0,0,$Q3121+$P3122+$O3122)</f>
      </c>
      <c r="R3122" s="43">
        <f>IF($I3122=0,0,$J3122-$M3122-$N3122)</f>
      </c>
    </row>
    <row r="3123">
      <c r="A3123"/>
      <c r="B3123">
        <v>7</v>
      </c>
      <c r="C3123" s="43">
        <f>INDEX(DarlObj,7)</f>
      </c>
      <c r="D3123">
        <v>240</v>
      </c>
      <c r="E3123" s="51">
        <f>IF(INDEX(DarlBelegt,7)=0,0,EOMONTH(INDEX(DarlAuszahlung,7),239)+1)</f>
      </c>
      <c r="F3123" s="43">
        <f>IF($E3123=0,0,YEAR($E3123))</f>
      </c>
      <c r="G3123" s="43">
        <f>IF(INDEX(DarlBindung,7)="",1,IF($E3123&lt;=INDEX(DarlBindung,7),1,0))</f>
      </c>
      <c r="H3123" s="43">
        <f>IF($G3123=1,INDEX(DarlSollzins,7),INDEX(DarlAnschluss,7))</f>
      </c>
      <c r="I3123" s="43">
        <f>IF(INDEX(DarlBelegt,7)=0,0,IF(INDEX(DarlOhneTilgung,7)=1,IF(INDEX(DarlBindung,7)="",1,$G3123),IF($J3123&gt;0.005,1,0)))</f>
      </c>
      <c r="J3123" s="43">
        <f>IF($I3122=0,0,$R3122)</f>
      </c>
      <c r="K3123" s="43">
        <f>IF($I3123=0,0,IF(INDEX(DarlOhneTilgung,7)=1,0,IF(AND(INDEX(DarlTilgStart,7)&gt;0,$E3123=INDEX(DarlTilgStart,7)),$J3123*($H3123+INDEX(DarlTilgung,7))/100/12,IF(AND($G3123=0,$G3122=1),MAX($K3122,$J3123*($H3123+1)/100/12),$K3122))))</f>
      </c>
      <c r="L3123" s="43">
        <f>IF($I3123=0,0,$J3123*$H3123/100/12)</f>
      </c>
      <c r="M3123" s="43">
        <f>IF($I3123=0,0,IF(OR(INDEX(DarlOhneTilgung,7)=1,AND(INDEX(DarlTilgStart,7)&gt;0,$E3123&lt;INDEX(DarlTilgStart,7))),0,MIN(MAX(0,$K3123-$L3123),$J3123)))</f>
      </c>
      <c r="N3123" s="43">
        <f>IF($I3123=0,0,MIN(SUMIFS(SondBetrag,SondDarl,7,SondDatum,"&gt;="&amp;$E3123,SondDatum,"&lt;="&amp;EOMONTH($E3123,0)),$J3123-$M3123))</f>
      </c>
      <c r="O3123" s="43">
        <f>IF($I3123=0,0,INDEX(DarlErsatzRate,7))</f>
      </c>
      <c r="P3123" s="43">
        <f>IF($I3123=0,0,$Q3122*INDEX(DarlErsatzZins,7))</f>
      </c>
      <c r="Q3123" s="43">
        <f>IF($I3123=0,0,$Q3122+$P3123+$O3123)</f>
      </c>
      <c r="R3123" s="43">
        <f>IF($I3123=0,0,$J3123-$M3123-$N3123)</f>
      </c>
    </row>
    <row r="3124">
      <c r="A3124"/>
      <c r="B3124">
        <v>7</v>
      </c>
      <c r="C3124" s="43">
        <f>INDEX(DarlObj,7)</f>
      </c>
      <c r="D3124">
        <v>241</v>
      </c>
      <c r="E3124" s="51">
        <f>IF(INDEX(DarlBelegt,7)=0,0,EOMONTH(INDEX(DarlAuszahlung,7),240)+1)</f>
      </c>
      <c r="F3124" s="43">
        <f>IF($E3124=0,0,YEAR($E3124))</f>
      </c>
      <c r="G3124" s="43">
        <f>IF(INDEX(DarlBindung,7)="",1,IF($E3124&lt;=INDEX(DarlBindung,7),1,0))</f>
      </c>
      <c r="H3124" s="43">
        <f>IF($G3124=1,INDEX(DarlSollzins,7),INDEX(DarlAnschluss,7))</f>
      </c>
      <c r="I3124" s="43">
        <f>IF(INDEX(DarlBelegt,7)=0,0,IF(INDEX(DarlOhneTilgung,7)=1,IF(INDEX(DarlBindung,7)="",1,$G3124),IF($J3124&gt;0.005,1,0)))</f>
      </c>
      <c r="J3124" s="43">
        <f>IF($I3123=0,0,$R3123)</f>
      </c>
      <c r="K3124" s="43">
        <f>IF($I3124=0,0,IF(INDEX(DarlOhneTilgung,7)=1,0,IF(AND(INDEX(DarlTilgStart,7)&gt;0,$E3124=INDEX(DarlTilgStart,7)),$J3124*($H3124+INDEX(DarlTilgung,7))/100/12,IF(AND($G3124=0,$G3123=1),MAX($K3123,$J3124*($H3124+1)/100/12),$K3123))))</f>
      </c>
      <c r="L3124" s="43">
        <f>IF($I3124=0,0,$J3124*$H3124/100/12)</f>
      </c>
      <c r="M3124" s="43">
        <f>IF($I3124=0,0,IF(OR(INDEX(DarlOhneTilgung,7)=1,AND(INDEX(DarlTilgStart,7)&gt;0,$E3124&lt;INDEX(DarlTilgStart,7))),0,MIN(MAX(0,$K3124-$L3124),$J3124)))</f>
      </c>
      <c r="N3124" s="43">
        <f>IF($I3124=0,0,MIN(SUMIFS(SondBetrag,SondDarl,7,SondDatum,"&gt;="&amp;$E3124,SondDatum,"&lt;="&amp;EOMONTH($E3124,0)),$J3124-$M3124))</f>
      </c>
      <c r="O3124" s="43">
        <f>IF($I3124=0,0,INDEX(DarlErsatzRate,7))</f>
      </c>
      <c r="P3124" s="43">
        <f>IF($I3124=0,0,$Q3123*INDEX(DarlErsatzZins,7))</f>
      </c>
      <c r="Q3124" s="43">
        <f>IF($I3124=0,0,$Q3123+$P3124+$O3124)</f>
      </c>
      <c r="R3124" s="43">
        <f>IF($I3124=0,0,$J3124-$M3124-$N3124)</f>
      </c>
    </row>
    <row r="3125">
      <c r="A3125"/>
      <c r="B3125">
        <v>7</v>
      </c>
      <c r="C3125" s="43">
        <f>INDEX(DarlObj,7)</f>
      </c>
      <c r="D3125">
        <v>242</v>
      </c>
      <c r="E3125" s="51">
        <f>IF(INDEX(DarlBelegt,7)=0,0,EOMONTH(INDEX(DarlAuszahlung,7),241)+1)</f>
      </c>
      <c r="F3125" s="43">
        <f>IF($E3125=0,0,YEAR($E3125))</f>
      </c>
      <c r="G3125" s="43">
        <f>IF(INDEX(DarlBindung,7)="",1,IF($E3125&lt;=INDEX(DarlBindung,7),1,0))</f>
      </c>
      <c r="H3125" s="43">
        <f>IF($G3125=1,INDEX(DarlSollzins,7),INDEX(DarlAnschluss,7))</f>
      </c>
      <c r="I3125" s="43">
        <f>IF(INDEX(DarlBelegt,7)=0,0,IF(INDEX(DarlOhneTilgung,7)=1,IF(INDEX(DarlBindung,7)="",1,$G3125),IF($J3125&gt;0.005,1,0)))</f>
      </c>
      <c r="J3125" s="43">
        <f>IF($I3124=0,0,$R3124)</f>
      </c>
      <c r="K3125" s="43">
        <f>IF($I3125=0,0,IF(INDEX(DarlOhneTilgung,7)=1,0,IF(AND(INDEX(DarlTilgStart,7)&gt;0,$E3125=INDEX(DarlTilgStart,7)),$J3125*($H3125+INDEX(DarlTilgung,7))/100/12,IF(AND($G3125=0,$G3124=1),MAX($K3124,$J3125*($H3125+1)/100/12),$K3124))))</f>
      </c>
      <c r="L3125" s="43">
        <f>IF($I3125=0,0,$J3125*$H3125/100/12)</f>
      </c>
      <c r="M3125" s="43">
        <f>IF($I3125=0,0,IF(OR(INDEX(DarlOhneTilgung,7)=1,AND(INDEX(DarlTilgStart,7)&gt;0,$E3125&lt;INDEX(DarlTilgStart,7))),0,MIN(MAX(0,$K3125-$L3125),$J3125)))</f>
      </c>
      <c r="N3125" s="43">
        <f>IF($I3125=0,0,MIN(SUMIFS(SondBetrag,SondDarl,7,SondDatum,"&gt;="&amp;$E3125,SondDatum,"&lt;="&amp;EOMONTH($E3125,0)),$J3125-$M3125))</f>
      </c>
      <c r="O3125" s="43">
        <f>IF($I3125=0,0,INDEX(DarlErsatzRate,7))</f>
      </c>
      <c r="P3125" s="43">
        <f>IF($I3125=0,0,$Q3124*INDEX(DarlErsatzZins,7))</f>
      </c>
      <c r="Q3125" s="43">
        <f>IF($I3125=0,0,$Q3124+$P3125+$O3125)</f>
      </c>
      <c r="R3125" s="43">
        <f>IF($I3125=0,0,$J3125-$M3125-$N3125)</f>
      </c>
    </row>
    <row r="3126">
      <c r="A3126"/>
      <c r="B3126">
        <v>7</v>
      </c>
      <c r="C3126" s="43">
        <f>INDEX(DarlObj,7)</f>
      </c>
      <c r="D3126">
        <v>243</v>
      </c>
      <c r="E3126" s="51">
        <f>IF(INDEX(DarlBelegt,7)=0,0,EOMONTH(INDEX(DarlAuszahlung,7),242)+1)</f>
      </c>
      <c r="F3126" s="43">
        <f>IF($E3126=0,0,YEAR($E3126))</f>
      </c>
      <c r="G3126" s="43">
        <f>IF(INDEX(DarlBindung,7)="",1,IF($E3126&lt;=INDEX(DarlBindung,7),1,0))</f>
      </c>
      <c r="H3126" s="43">
        <f>IF($G3126=1,INDEX(DarlSollzins,7),INDEX(DarlAnschluss,7))</f>
      </c>
      <c r="I3126" s="43">
        <f>IF(INDEX(DarlBelegt,7)=0,0,IF(INDEX(DarlOhneTilgung,7)=1,IF(INDEX(DarlBindung,7)="",1,$G3126),IF($J3126&gt;0.005,1,0)))</f>
      </c>
      <c r="J3126" s="43">
        <f>IF($I3125=0,0,$R3125)</f>
      </c>
      <c r="K3126" s="43">
        <f>IF($I3126=0,0,IF(INDEX(DarlOhneTilgung,7)=1,0,IF(AND(INDEX(DarlTilgStart,7)&gt;0,$E3126=INDEX(DarlTilgStart,7)),$J3126*($H3126+INDEX(DarlTilgung,7))/100/12,IF(AND($G3126=0,$G3125=1),MAX($K3125,$J3126*($H3126+1)/100/12),$K3125))))</f>
      </c>
      <c r="L3126" s="43">
        <f>IF($I3126=0,0,$J3126*$H3126/100/12)</f>
      </c>
      <c r="M3126" s="43">
        <f>IF($I3126=0,0,IF(OR(INDEX(DarlOhneTilgung,7)=1,AND(INDEX(DarlTilgStart,7)&gt;0,$E3126&lt;INDEX(DarlTilgStart,7))),0,MIN(MAX(0,$K3126-$L3126),$J3126)))</f>
      </c>
      <c r="N3126" s="43">
        <f>IF($I3126=0,0,MIN(SUMIFS(SondBetrag,SondDarl,7,SondDatum,"&gt;="&amp;$E3126,SondDatum,"&lt;="&amp;EOMONTH($E3126,0)),$J3126-$M3126))</f>
      </c>
      <c r="O3126" s="43">
        <f>IF($I3126=0,0,INDEX(DarlErsatzRate,7))</f>
      </c>
      <c r="P3126" s="43">
        <f>IF($I3126=0,0,$Q3125*INDEX(DarlErsatzZins,7))</f>
      </c>
      <c r="Q3126" s="43">
        <f>IF($I3126=0,0,$Q3125+$P3126+$O3126)</f>
      </c>
      <c r="R3126" s="43">
        <f>IF($I3126=0,0,$J3126-$M3126-$N3126)</f>
      </c>
    </row>
    <row r="3127">
      <c r="A3127"/>
      <c r="B3127">
        <v>7</v>
      </c>
      <c r="C3127" s="43">
        <f>INDEX(DarlObj,7)</f>
      </c>
      <c r="D3127">
        <v>244</v>
      </c>
      <c r="E3127" s="51">
        <f>IF(INDEX(DarlBelegt,7)=0,0,EOMONTH(INDEX(DarlAuszahlung,7),243)+1)</f>
      </c>
      <c r="F3127" s="43">
        <f>IF($E3127=0,0,YEAR($E3127))</f>
      </c>
      <c r="G3127" s="43">
        <f>IF(INDEX(DarlBindung,7)="",1,IF($E3127&lt;=INDEX(DarlBindung,7),1,0))</f>
      </c>
      <c r="H3127" s="43">
        <f>IF($G3127=1,INDEX(DarlSollzins,7),INDEX(DarlAnschluss,7))</f>
      </c>
      <c r="I3127" s="43">
        <f>IF(INDEX(DarlBelegt,7)=0,0,IF(INDEX(DarlOhneTilgung,7)=1,IF(INDEX(DarlBindung,7)="",1,$G3127),IF($J3127&gt;0.005,1,0)))</f>
      </c>
      <c r="J3127" s="43">
        <f>IF($I3126=0,0,$R3126)</f>
      </c>
      <c r="K3127" s="43">
        <f>IF($I3127=0,0,IF(INDEX(DarlOhneTilgung,7)=1,0,IF(AND(INDEX(DarlTilgStart,7)&gt;0,$E3127=INDEX(DarlTilgStart,7)),$J3127*($H3127+INDEX(DarlTilgung,7))/100/12,IF(AND($G3127=0,$G3126=1),MAX($K3126,$J3127*($H3127+1)/100/12),$K3126))))</f>
      </c>
      <c r="L3127" s="43">
        <f>IF($I3127=0,0,$J3127*$H3127/100/12)</f>
      </c>
      <c r="M3127" s="43">
        <f>IF($I3127=0,0,IF(OR(INDEX(DarlOhneTilgung,7)=1,AND(INDEX(DarlTilgStart,7)&gt;0,$E3127&lt;INDEX(DarlTilgStart,7))),0,MIN(MAX(0,$K3127-$L3127),$J3127)))</f>
      </c>
      <c r="N3127" s="43">
        <f>IF($I3127=0,0,MIN(SUMIFS(SondBetrag,SondDarl,7,SondDatum,"&gt;="&amp;$E3127,SondDatum,"&lt;="&amp;EOMONTH($E3127,0)),$J3127-$M3127))</f>
      </c>
      <c r="O3127" s="43">
        <f>IF($I3127=0,0,INDEX(DarlErsatzRate,7))</f>
      </c>
      <c r="P3127" s="43">
        <f>IF($I3127=0,0,$Q3126*INDEX(DarlErsatzZins,7))</f>
      </c>
      <c r="Q3127" s="43">
        <f>IF($I3127=0,0,$Q3126+$P3127+$O3127)</f>
      </c>
      <c r="R3127" s="43">
        <f>IF($I3127=0,0,$J3127-$M3127-$N3127)</f>
      </c>
    </row>
    <row r="3128">
      <c r="A3128"/>
      <c r="B3128">
        <v>7</v>
      </c>
      <c r="C3128" s="43">
        <f>INDEX(DarlObj,7)</f>
      </c>
      <c r="D3128">
        <v>245</v>
      </c>
      <c r="E3128" s="51">
        <f>IF(INDEX(DarlBelegt,7)=0,0,EOMONTH(INDEX(DarlAuszahlung,7),244)+1)</f>
      </c>
      <c r="F3128" s="43">
        <f>IF($E3128=0,0,YEAR($E3128))</f>
      </c>
      <c r="G3128" s="43">
        <f>IF(INDEX(DarlBindung,7)="",1,IF($E3128&lt;=INDEX(DarlBindung,7),1,0))</f>
      </c>
      <c r="H3128" s="43">
        <f>IF($G3128=1,INDEX(DarlSollzins,7),INDEX(DarlAnschluss,7))</f>
      </c>
      <c r="I3128" s="43">
        <f>IF(INDEX(DarlBelegt,7)=0,0,IF(INDEX(DarlOhneTilgung,7)=1,IF(INDEX(DarlBindung,7)="",1,$G3128),IF($J3128&gt;0.005,1,0)))</f>
      </c>
      <c r="J3128" s="43">
        <f>IF($I3127=0,0,$R3127)</f>
      </c>
      <c r="K3128" s="43">
        <f>IF($I3128=0,0,IF(INDEX(DarlOhneTilgung,7)=1,0,IF(AND(INDEX(DarlTilgStart,7)&gt;0,$E3128=INDEX(DarlTilgStart,7)),$J3128*($H3128+INDEX(DarlTilgung,7))/100/12,IF(AND($G3128=0,$G3127=1),MAX($K3127,$J3128*($H3128+1)/100/12),$K3127))))</f>
      </c>
      <c r="L3128" s="43">
        <f>IF($I3128=0,0,$J3128*$H3128/100/12)</f>
      </c>
      <c r="M3128" s="43">
        <f>IF($I3128=0,0,IF(OR(INDEX(DarlOhneTilgung,7)=1,AND(INDEX(DarlTilgStart,7)&gt;0,$E3128&lt;INDEX(DarlTilgStart,7))),0,MIN(MAX(0,$K3128-$L3128),$J3128)))</f>
      </c>
      <c r="N3128" s="43">
        <f>IF($I3128=0,0,MIN(SUMIFS(SondBetrag,SondDarl,7,SondDatum,"&gt;="&amp;$E3128,SondDatum,"&lt;="&amp;EOMONTH($E3128,0)),$J3128-$M3128))</f>
      </c>
      <c r="O3128" s="43">
        <f>IF($I3128=0,0,INDEX(DarlErsatzRate,7))</f>
      </c>
      <c r="P3128" s="43">
        <f>IF($I3128=0,0,$Q3127*INDEX(DarlErsatzZins,7))</f>
      </c>
      <c r="Q3128" s="43">
        <f>IF($I3128=0,0,$Q3127+$P3128+$O3128)</f>
      </c>
      <c r="R3128" s="43">
        <f>IF($I3128=0,0,$J3128-$M3128-$N3128)</f>
      </c>
    </row>
    <row r="3129">
      <c r="A3129"/>
      <c r="B3129">
        <v>7</v>
      </c>
      <c r="C3129" s="43">
        <f>INDEX(DarlObj,7)</f>
      </c>
      <c r="D3129">
        <v>246</v>
      </c>
      <c r="E3129" s="51">
        <f>IF(INDEX(DarlBelegt,7)=0,0,EOMONTH(INDEX(DarlAuszahlung,7),245)+1)</f>
      </c>
      <c r="F3129" s="43">
        <f>IF($E3129=0,0,YEAR($E3129))</f>
      </c>
      <c r="G3129" s="43">
        <f>IF(INDEX(DarlBindung,7)="",1,IF($E3129&lt;=INDEX(DarlBindung,7),1,0))</f>
      </c>
      <c r="H3129" s="43">
        <f>IF($G3129=1,INDEX(DarlSollzins,7),INDEX(DarlAnschluss,7))</f>
      </c>
      <c r="I3129" s="43">
        <f>IF(INDEX(DarlBelegt,7)=0,0,IF(INDEX(DarlOhneTilgung,7)=1,IF(INDEX(DarlBindung,7)="",1,$G3129),IF($J3129&gt;0.005,1,0)))</f>
      </c>
      <c r="J3129" s="43">
        <f>IF($I3128=0,0,$R3128)</f>
      </c>
      <c r="K3129" s="43">
        <f>IF($I3129=0,0,IF(INDEX(DarlOhneTilgung,7)=1,0,IF(AND(INDEX(DarlTilgStart,7)&gt;0,$E3129=INDEX(DarlTilgStart,7)),$J3129*($H3129+INDEX(DarlTilgung,7))/100/12,IF(AND($G3129=0,$G3128=1),MAX($K3128,$J3129*($H3129+1)/100/12),$K3128))))</f>
      </c>
      <c r="L3129" s="43">
        <f>IF($I3129=0,0,$J3129*$H3129/100/12)</f>
      </c>
      <c r="M3129" s="43">
        <f>IF($I3129=0,0,IF(OR(INDEX(DarlOhneTilgung,7)=1,AND(INDEX(DarlTilgStart,7)&gt;0,$E3129&lt;INDEX(DarlTilgStart,7))),0,MIN(MAX(0,$K3129-$L3129),$J3129)))</f>
      </c>
      <c r="N3129" s="43">
        <f>IF($I3129=0,0,MIN(SUMIFS(SondBetrag,SondDarl,7,SondDatum,"&gt;="&amp;$E3129,SondDatum,"&lt;="&amp;EOMONTH($E3129,0)),$J3129-$M3129))</f>
      </c>
      <c r="O3129" s="43">
        <f>IF($I3129=0,0,INDEX(DarlErsatzRate,7))</f>
      </c>
      <c r="P3129" s="43">
        <f>IF($I3129=0,0,$Q3128*INDEX(DarlErsatzZins,7))</f>
      </c>
      <c r="Q3129" s="43">
        <f>IF($I3129=0,0,$Q3128+$P3129+$O3129)</f>
      </c>
      <c r="R3129" s="43">
        <f>IF($I3129=0,0,$J3129-$M3129-$N3129)</f>
      </c>
    </row>
    <row r="3130">
      <c r="A3130"/>
      <c r="B3130">
        <v>7</v>
      </c>
      <c r="C3130" s="43">
        <f>INDEX(DarlObj,7)</f>
      </c>
      <c r="D3130">
        <v>247</v>
      </c>
      <c r="E3130" s="51">
        <f>IF(INDEX(DarlBelegt,7)=0,0,EOMONTH(INDEX(DarlAuszahlung,7),246)+1)</f>
      </c>
      <c r="F3130" s="43">
        <f>IF($E3130=0,0,YEAR($E3130))</f>
      </c>
      <c r="G3130" s="43">
        <f>IF(INDEX(DarlBindung,7)="",1,IF($E3130&lt;=INDEX(DarlBindung,7),1,0))</f>
      </c>
      <c r="H3130" s="43">
        <f>IF($G3130=1,INDEX(DarlSollzins,7),INDEX(DarlAnschluss,7))</f>
      </c>
      <c r="I3130" s="43">
        <f>IF(INDEX(DarlBelegt,7)=0,0,IF(INDEX(DarlOhneTilgung,7)=1,IF(INDEX(DarlBindung,7)="",1,$G3130),IF($J3130&gt;0.005,1,0)))</f>
      </c>
      <c r="J3130" s="43">
        <f>IF($I3129=0,0,$R3129)</f>
      </c>
      <c r="K3130" s="43">
        <f>IF($I3130=0,0,IF(INDEX(DarlOhneTilgung,7)=1,0,IF(AND(INDEX(DarlTilgStart,7)&gt;0,$E3130=INDEX(DarlTilgStart,7)),$J3130*($H3130+INDEX(DarlTilgung,7))/100/12,IF(AND($G3130=0,$G3129=1),MAX($K3129,$J3130*($H3130+1)/100/12),$K3129))))</f>
      </c>
      <c r="L3130" s="43">
        <f>IF($I3130=0,0,$J3130*$H3130/100/12)</f>
      </c>
      <c r="M3130" s="43">
        <f>IF($I3130=0,0,IF(OR(INDEX(DarlOhneTilgung,7)=1,AND(INDEX(DarlTilgStart,7)&gt;0,$E3130&lt;INDEX(DarlTilgStart,7))),0,MIN(MAX(0,$K3130-$L3130),$J3130)))</f>
      </c>
      <c r="N3130" s="43">
        <f>IF($I3130=0,0,MIN(SUMIFS(SondBetrag,SondDarl,7,SondDatum,"&gt;="&amp;$E3130,SondDatum,"&lt;="&amp;EOMONTH($E3130,0)),$J3130-$M3130))</f>
      </c>
      <c r="O3130" s="43">
        <f>IF($I3130=0,0,INDEX(DarlErsatzRate,7))</f>
      </c>
      <c r="P3130" s="43">
        <f>IF($I3130=0,0,$Q3129*INDEX(DarlErsatzZins,7))</f>
      </c>
      <c r="Q3130" s="43">
        <f>IF($I3130=0,0,$Q3129+$P3130+$O3130)</f>
      </c>
      <c r="R3130" s="43">
        <f>IF($I3130=0,0,$J3130-$M3130-$N3130)</f>
      </c>
    </row>
    <row r="3131">
      <c r="A3131"/>
      <c r="B3131">
        <v>7</v>
      </c>
      <c r="C3131" s="43">
        <f>INDEX(DarlObj,7)</f>
      </c>
      <c r="D3131">
        <v>248</v>
      </c>
      <c r="E3131" s="51">
        <f>IF(INDEX(DarlBelegt,7)=0,0,EOMONTH(INDEX(DarlAuszahlung,7),247)+1)</f>
      </c>
      <c r="F3131" s="43">
        <f>IF($E3131=0,0,YEAR($E3131))</f>
      </c>
      <c r="G3131" s="43">
        <f>IF(INDEX(DarlBindung,7)="",1,IF($E3131&lt;=INDEX(DarlBindung,7),1,0))</f>
      </c>
      <c r="H3131" s="43">
        <f>IF($G3131=1,INDEX(DarlSollzins,7),INDEX(DarlAnschluss,7))</f>
      </c>
      <c r="I3131" s="43">
        <f>IF(INDEX(DarlBelegt,7)=0,0,IF(INDEX(DarlOhneTilgung,7)=1,IF(INDEX(DarlBindung,7)="",1,$G3131),IF($J3131&gt;0.005,1,0)))</f>
      </c>
      <c r="J3131" s="43">
        <f>IF($I3130=0,0,$R3130)</f>
      </c>
      <c r="K3131" s="43">
        <f>IF($I3131=0,0,IF(INDEX(DarlOhneTilgung,7)=1,0,IF(AND(INDEX(DarlTilgStart,7)&gt;0,$E3131=INDEX(DarlTilgStart,7)),$J3131*($H3131+INDEX(DarlTilgung,7))/100/12,IF(AND($G3131=0,$G3130=1),MAX($K3130,$J3131*($H3131+1)/100/12),$K3130))))</f>
      </c>
      <c r="L3131" s="43">
        <f>IF($I3131=0,0,$J3131*$H3131/100/12)</f>
      </c>
      <c r="M3131" s="43">
        <f>IF($I3131=0,0,IF(OR(INDEX(DarlOhneTilgung,7)=1,AND(INDEX(DarlTilgStart,7)&gt;0,$E3131&lt;INDEX(DarlTilgStart,7))),0,MIN(MAX(0,$K3131-$L3131),$J3131)))</f>
      </c>
      <c r="N3131" s="43">
        <f>IF($I3131=0,0,MIN(SUMIFS(SondBetrag,SondDarl,7,SondDatum,"&gt;="&amp;$E3131,SondDatum,"&lt;="&amp;EOMONTH($E3131,0)),$J3131-$M3131))</f>
      </c>
      <c r="O3131" s="43">
        <f>IF($I3131=0,0,INDEX(DarlErsatzRate,7))</f>
      </c>
      <c r="P3131" s="43">
        <f>IF($I3131=0,0,$Q3130*INDEX(DarlErsatzZins,7))</f>
      </c>
      <c r="Q3131" s="43">
        <f>IF($I3131=0,0,$Q3130+$P3131+$O3131)</f>
      </c>
      <c r="R3131" s="43">
        <f>IF($I3131=0,0,$J3131-$M3131-$N3131)</f>
      </c>
    </row>
    <row r="3132">
      <c r="A3132"/>
      <c r="B3132">
        <v>7</v>
      </c>
      <c r="C3132" s="43">
        <f>INDEX(DarlObj,7)</f>
      </c>
      <c r="D3132">
        <v>249</v>
      </c>
      <c r="E3132" s="51">
        <f>IF(INDEX(DarlBelegt,7)=0,0,EOMONTH(INDEX(DarlAuszahlung,7),248)+1)</f>
      </c>
      <c r="F3132" s="43">
        <f>IF($E3132=0,0,YEAR($E3132))</f>
      </c>
      <c r="G3132" s="43">
        <f>IF(INDEX(DarlBindung,7)="",1,IF($E3132&lt;=INDEX(DarlBindung,7),1,0))</f>
      </c>
      <c r="H3132" s="43">
        <f>IF($G3132=1,INDEX(DarlSollzins,7),INDEX(DarlAnschluss,7))</f>
      </c>
      <c r="I3132" s="43">
        <f>IF(INDEX(DarlBelegt,7)=0,0,IF(INDEX(DarlOhneTilgung,7)=1,IF(INDEX(DarlBindung,7)="",1,$G3132),IF($J3132&gt;0.005,1,0)))</f>
      </c>
      <c r="J3132" s="43">
        <f>IF($I3131=0,0,$R3131)</f>
      </c>
      <c r="K3132" s="43">
        <f>IF($I3132=0,0,IF(INDEX(DarlOhneTilgung,7)=1,0,IF(AND(INDEX(DarlTilgStart,7)&gt;0,$E3132=INDEX(DarlTilgStart,7)),$J3132*($H3132+INDEX(DarlTilgung,7))/100/12,IF(AND($G3132=0,$G3131=1),MAX($K3131,$J3132*($H3132+1)/100/12),$K3131))))</f>
      </c>
      <c r="L3132" s="43">
        <f>IF($I3132=0,0,$J3132*$H3132/100/12)</f>
      </c>
      <c r="M3132" s="43">
        <f>IF($I3132=0,0,IF(OR(INDEX(DarlOhneTilgung,7)=1,AND(INDEX(DarlTilgStart,7)&gt;0,$E3132&lt;INDEX(DarlTilgStart,7))),0,MIN(MAX(0,$K3132-$L3132),$J3132)))</f>
      </c>
      <c r="N3132" s="43">
        <f>IF($I3132=0,0,MIN(SUMIFS(SondBetrag,SondDarl,7,SondDatum,"&gt;="&amp;$E3132,SondDatum,"&lt;="&amp;EOMONTH($E3132,0)),$J3132-$M3132))</f>
      </c>
      <c r="O3132" s="43">
        <f>IF($I3132=0,0,INDEX(DarlErsatzRate,7))</f>
      </c>
      <c r="P3132" s="43">
        <f>IF($I3132=0,0,$Q3131*INDEX(DarlErsatzZins,7))</f>
      </c>
      <c r="Q3132" s="43">
        <f>IF($I3132=0,0,$Q3131+$P3132+$O3132)</f>
      </c>
      <c r="R3132" s="43">
        <f>IF($I3132=0,0,$J3132-$M3132-$N3132)</f>
      </c>
    </row>
    <row r="3133">
      <c r="A3133"/>
      <c r="B3133">
        <v>7</v>
      </c>
      <c r="C3133" s="43">
        <f>INDEX(DarlObj,7)</f>
      </c>
      <c r="D3133">
        <v>250</v>
      </c>
      <c r="E3133" s="51">
        <f>IF(INDEX(DarlBelegt,7)=0,0,EOMONTH(INDEX(DarlAuszahlung,7),249)+1)</f>
      </c>
      <c r="F3133" s="43">
        <f>IF($E3133=0,0,YEAR($E3133))</f>
      </c>
      <c r="G3133" s="43">
        <f>IF(INDEX(DarlBindung,7)="",1,IF($E3133&lt;=INDEX(DarlBindung,7),1,0))</f>
      </c>
      <c r="H3133" s="43">
        <f>IF($G3133=1,INDEX(DarlSollzins,7),INDEX(DarlAnschluss,7))</f>
      </c>
      <c r="I3133" s="43">
        <f>IF(INDEX(DarlBelegt,7)=0,0,IF(INDEX(DarlOhneTilgung,7)=1,IF(INDEX(DarlBindung,7)="",1,$G3133),IF($J3133&gt;0.005,1,0)))</f>
      </c>
      <c r="J3133" s="43">
        <f>IF($I3132=0,0,$R3132)</f>
      </c>
      <c r="K3133" s="43">
        <f>IF($I3133=0,0,IF(INDEX(DarlOhneTilgung,7)=1,0,IF(AND(INDEX(DarlTilgStart,7)&gt;0,$E3133=INDEX(DarlTilgStart,7)),$J3133*($H3133+INDEX(DarlTilgung,7))/100/12,IF(AND($G3133=0,$G3132=1),MAX($K3132,$J3133*($H3133+1)/100/12),$K3132))))</f>
      </c>
      <c r="L3133" s="43">
        <f>IF($I3133=0,0,$J3133*$H3133/100/12)</f>
      </c>
      <c r="M3133" s="43">
        <f>IF($I3133=0,0,IF(OR(INDEX(DarlOhneTilgung,7)=1,AND(INDEX(DarlTilgStart,7)&gt;0,$E3133&lt;INDEX(DarlTilgStart,7))),0,MIN(MAX(0,$K3133-$L3133),$J3133)))</f>
      </c>
      <c r="N3133" s="43">
        <f>IF($I3133=0,0,MIN(SUMIFS(SondBetrag,SondDarl,7,SondDatum,"&gt;="&amp;$E3133,SondDatum,"&lt;="&amp;EOMONTH($E3133,0)),$J3133-$M3133))</f>
      </c>
      <c r="O3133" s="43">
        <f>IF($I3133=0,0,INDEX(DarlErsatzRate,7))</f>
      </c>
      <c r="P3133" s="43">
        <f>IF($I3133=0,0,$Q3132*INDEX(DarlErsatzZins,7))</f>
      </c>
      <c r="Q3133" s="43">
        <f>IF($I3133=0,0,$Q3132+$P3133+$O3133)</f>
      </c>
      <c r="R3133" s="43">
        <f>IF($I3133=0,0,$J3133-$M3133-$N3133)</f>
      </c>
    </row>
    <row r="3134">
      <c r="A3134"/>
      <c r="B3134">
        <v>7</v>
      </c>
      <c r="C3134" s="43">
        <f>INDEX(DarlObj,7)</f>
      </c>
      <c r="D3134">
        <v>251</v>
      </c>
      <c r="E3134" s="51">
        <f>IF(INDEX(DarlBelegt,7)=0,0,EOMONTH(INDEX(DarlAuszahlung,7),250)+1)</f>
      </c>
      <c r="F3134" s="43">
        <f>IF($E3134=0,0,YEAR($E3134))</f>
      </c>
      <c r="G3134" s="43">
        <f>IF(INDEX(DarlBindung,7)="",1,IF($E3134&lt;=INDEX(DarlBindung,7),1,0))</f>
      </c>
      <c r="H3134" s="43">
        <f>IF($G3134=1,INDEX(DarlSollzins,7),INDEX(DarlAnschluss,7))</f>
      </c>
      <c r="I3134" s="43">
        <f>IF(INDEX(DarlBelegt,7)=0,0,IF(INDEX(DarlOhneTilgung,7)=1,IF(INDEX(DarlBindung,7)="",1,$G3134),IF($J3134&gt;0.005,1,0)))</f>
      </c>
      <c r="J3134" s="43">
        <f>IF($I3133=0,0,$R3133)</f>
      </c>
      <c r="K3134" s="43">
        <f>IF($I3134=0,0,IF(INDEX(DarlOhneTilgung,7)=1,0,IF(AND(INDEX(DarlTilgStart,7)&gt;0,$E3134=INDEX(DarlTilgStart,7)),$J3134*($H3134+INDEX(DarlTilgung,7))/100/12,IF(AND($G3134=0,$G3133=1),MAX($K3133,$J3134*($H3134+1)/100/12),$K3133))))</f>
      </c>
      <c r="L3134" s="43">
        <f>IF($I3134=0,0,$J3134*$H3134/100/12)</f>
      </c>
      <c r="M3134" s="43">
        <f>IF($I3134=0,0,IF(OR(INDEX(DarlOhneTilgung,7)=1,AND(INDEX(DarlTilgStart,7)&gt;0,$E3134&lt;INDEX(DarlTilgStart,7))),0,MIN(MAX(0,$K3134-$L3134),$J3134)))</f>
      </c>
      <c r="N3134" s="43">
        <f>IF($I3134=0,0,MIN(SUMIFS(SondBetrag,SondDarl,7,SondDatum,"&gt;="&amp;$E3134,SondDatum,"&lt;="&amp;EOMONTH($E3134,0)),$J3134-$M3134))</f>
      </c>
      <c r="O3134" s="43">
        <f>IF($I3134=0,0,INDEX(DarlErsatzRate,7))</f>
      </c>
      <c r="P3134" s="43">
        <f>IF($I3134=0,0,$Q3133*INDEX(DarlErsatzZins,7))</f>
      </c>
      <c r="Q3134" s="43">
        <f>IF($I3134=0,0,$Q3133+$P3134+$O3134)</f>
      </c>
      <c r="R3134" s="43">
        <f>IF($I3134=0,0,$J3134-$M3134-$N3134)</f>
      </c>
    </row>
    <row r="3135">
      <c r="A3135"/>
      <c r="B3135">
        <v>7</v>
      </c>
      <c r="C3135" s="43">
        <f>INDEX(DarlObj,7)</f>
      </c>
      <c r="D3135">
        <v>252</v>
      </c>
      <c r="E3135" s="51">
        <f>IF(INDEX(DarlBelegt,7)=0,0,EOMONTH(INDEX(DarlAuszahlung,7),251)+1)</f>
      </c>
      <c r="F3135" s="43">
        <f>IF($E3135=0,0,YEAR($E3135))</f>
      </c>
      <c r="G3135" s="43">
        <f>IF(INDEX(DarlBindung,7)="",1,IF($E3135&lt;=INDEX(DarlBindung,7),1,0))</f>
      </c>
      <c r="H3135" s="43">
        <f>IF($G3135=1,INDEX(DarlSollzins,7),INDEX(DarlAnschluss,7))</f>
      </c>
      <c r="I3135" s="43">
        <f>IF(INDEX(DarlBelegt,7)=0,0,IF(INDEX(DarlOhneTilgung,7)=1,IF(INDEX(DarlBindung,7)="",1,$G3135),IF($J3135&gt;0.005,1,0)))</f>
      </c>
      <c r="J3135" s="43">
        <f>IF($I3134=0,0,$R3134)</f>
      </c>
      <c r="K3135" s="43">
        <f>IF($I3135=0,0,IF(INDEX(DarlOhneTilgung,7)=1,0,IF(AND(INDEX(DarlTilgStart,7)&gt;0,$E3135=INDEX(DarlTilgStart,7)),$J3135*($H3135+INDEX(DarlTilgung,7))/100/12,IF(AND($G3135=0,$G3134=1),MAX($K3134,$J3135*($H3135+1)/100/12),$K3134))))</f>
      </c>
      <c r="L3135" s="43">
        <f>IF($I3135=0,0,$J3135*$H3135/100/12)</f>
      </c>
      <c r="M3135" s="43">
        <f>IF($I3135=0,0,IF(OR(INDEX(DarlOhneTilgung,7)=1,AND(INDEX(DarlTilgStart,7)&gt;0,$E3135&lt;INDEX(DarlTilgStart,7))),0,MIN(MAX(0,$K3135-$L3135),$J3135)))</f>
      </c>
      <c r="N3135" s="43">
        <f>IF($I3135=0,0,MIN(SUMIFS(SondBetrag,SondDarl,7,SondDatum,"&gt;="&amp;$E3135,SondDatum,"&lt;="&amp;EOMONTH($E3135,0)),$J3135-$M3135))</f>
      </c>
      <c r="O3135" s="43">
        <f>IF($I3135=0,0,INDEX(DarlErsatzRate,7))</f>
      </c>
      <c r="P3135" s="43">
        <f>IF($I3135=0,0,$Q3134*INDEX(DarlErsatzZins,7))</f>
      </c>
      <c r="Q3135" s="43">
        <f>IF($I3135=0,0,$Q3134+$P3135+$O3135)</f>
      </c>
      <c r="R3135" s="43">
        <f>IF($I3135=0,0,$J3135-$M3135-$N3135)</f>
      </c>
    </row>
    <row r="3136">
      <c r="A3136"/>
      <c r="B3136">
        <v>7</v>
      </c>
      <c r="C3136" s="43">
        <f>INDEX(DarlObj,7)</f>
      </c>
      <c r="D3136">
        <v>253</v>
      </c>
      <c r="E3136" s="51">
        <f>IF(INDEX(DarlBelegt,7)=0,0,EOMONTH(INDEX(DarlAuszahlung,7),252)+1)</f>
      </c>
      <c r="F3136" s="43">
        <f>IF($E3136=0,0,YEAR($E3136))</f>
      </c>
      <c r="G3136" s="43">
        <f>IF(INDEX(DarlBindung,7)="",1,IF($E3136&lt;=INDEX(DarlBindung,7),1,0))</f>
      </c>
      <c r="H3136" s="43">
        <f>IF($G3136=1,INDEX(DarlSollzins,7),INDEX(DarlAnschluss,7))</f>
      </c>
      <c r="I3136" s="43">
        <f>IF(INDEX(DarlBelegt,7)=0,0,IF(INDEX(DarlOhneTilgung,7)=1,IF(INDEX(DarlBindung,7)="",1,$G3136),IF($J3136&gt;0.005,1,0)))</f>
      </c>
      <c r="J3136" s="43">
        <f>IF($I3135=0,0,$R3135)</f>
      </c>
      <c r="K3136" s="43">
        <f>IF($I3136=0,0,IF(INDEX(DarlOhneTilgung,7)=1,0,IF(AND(INDEX(DarlTilgStart,7)&gt;0,$E3136=INDEX(DarlTilgStart,7)),$J3136*($H3136+INDEX(DarlTilgung,7))/100/12,IF(AND($G3136=0,$G3135=1),MAX($K3135,$J3136*($H3136+1)/100/12),$K3135))))</f>
      </c>
      <c r="L3136" s="43">
        <f>IF($I3136=0,0,$J3136*$H3136/100/12)</f>
      </c>
      <c r="M3136" s="43">
        <f>IF($I3136=0,0,IF(OR(INDEX(DarlOhneTilgung,7)=1,AND(INDEX(DarlTilgStart,7)&gt;0,$E3136&lt;INDEX(DarlTilgStart,7))),0,MIN(MAX(0,$K3136-$L3136),$J3136)))</f>
      </c>
      <c r="N3136" s="43">
        <f>IF($I3136=0,0,MIN(SUMIFS(SondBetrag,SondDarl,7,SondDatum,"&gt;="&amp;$E3136,SondDatum,"&lt;="&amp;EOMONTH($E3136,0)),$J3136-$M3136))</f>
      </c>
      <c r="O3136" s="43">
        <f>IF($I3136=0,0,INDEX(DarlErsatzRate,7))</f>
      </c>
      <c r="P3136" s="43">
        <f>IF($I3136=0,0,$Q3135*INDEX(DarlErsatzZins,7))</f>
      </c>
      <c r="Q3136" s="43">
        <f>IF($I3136=0,0,$Q3135+$P3136+$O3136)</f>
      </c>
      <c r="R3136" s="43">
        <f>IF($I3136=0,0,$J3136-$M3136-$N3136)</f>
      </c>
    </row>
    <row r="3137">
      <c r="A3137"/>
      <c r="B3137">
        <v>7</v>
      </c>
      <c r="C3137" s="43">
        <f>INDEX(DarlObj,7)</f>
      </c>
      <c r="D3137">
        <v>254</v>
      </c>
      <c r="E3137" s="51">
        <f>IF(INDEX(DarlBelegt,7)=0,0,EOMONTH(INDEX(DarlAuszahlung,7),253)+1)</f>
      </c>
      <c r="F3137" s="43">
        <f>IF($E3137=0,0,YEAR($E3137))</f>
      </c>
      <c r="G3137" s="43">
        <f>IF(INDEX(DarlBindung,7)="",1,IF($E3137&lt;=INDEX(DarlBindung,7),1,0))</f>
      </c>
      <c r="H3137" s="43">
        <f>IF($G3137=1,INDEX(DarlSollzins,7),INDEX(DarlAnschluss,7))</f>
      </c>
      <c r="I3137" s="43">
        <f>IF(INDEX(DarlBelegt,7)=0,0,IF(INDEX(DarlOhneTilgung,7)=1,IF(INDEX(DarlBindung,7)="",1,$G3137),IF($J3137&gt;0.005,1,0)))</f>
      </c>
      <c r="J3137" s="43">
        <f>IF($I3136=0,0,$R3136)</f>
      </c>
      <c r="K3137" s="43">
        <f>IF($I3137=0,0,IF(INDEX(DarlOhneTilgung,7)=1,0,IF(AND(INDEX(DarlTilgStart,7)&gt;0,$E3137=INDEX(DarlTilgStart,7)),$J3137*($H3137+INDEX(DarlTilgung,7))/100/12,IF(AND($G3137=0,$G3136=1),MAX($K3136,$J3137*($H3137+1)/100/12),$K3136))))</f>
      </c>
      <c r="L3137" s="43">
        <f>IF($I3137=0,0,$J3137*$H3137/100/12)</f>
      </c>
      <c r="M3137" s="43">
        <f>IF($I3137=0,0,IF(OR(INDEX(DarlOhneTilgung,7)=1,AND(INDEX(DarlTilgStart,7)&gt;0,$E3137&lt;INDEX(DarlTilgStart,7))),0,MIN(MAX(0,$K3137-$L3137),$J3137)))</f>
      </c>
      <c r="N3137" s="43">
        <f>IF($I3137=0,0,MIN(SUMIFS(SondBetrag,SondDarl,7,SondDatum,"&gt;="&amp;$E3137,SondDatum,"&lt;="&amp;EOMONTH($E3137,0)),$J3137-$M3137))</f>
      </c>
      <c r="O3137" s="43">
        <f>IF($I3137=0,0,INDEX(DarlErsatzRate,7))</f>
      </c>
      <c r="P3137" s="43">
        <f>IF($I3137=0,0,$Q3136*INDEX(DarlErsatzZins,7))</f>
      </c>
      <c r="Q3137" s="43">
        <f>IF($I3137=0,0,$Q3136+$P3137+$O3137)</f>
      </c>
      <c r="R3137" s="43">
        <f>IF($I3137=0,0,$J3137-$M3137-$N3137)</f>
      </c>
    </row>
    <row r="3138">
      <c r="A3138"/>
      <c r="B3138">
        <v>7</v>
      </c>
      <c r="C3138" s="43">
        <f>INDEX(DarlObj,7)</f>
      </c>
      <c r="D3138">
        <v>255</v>
      </c>
      <c r="E3138" s="51">
        <f>IF(INDEX(DarlBelegt,7)=0,0,EOMONTH(INDEX(DarlAuszahlung,7),254)+1)</f>
      </c>
      <c r="F3138" s="43">
        <f>IF($E3138=0,0,YEAR($E3138))</f>
      </c>
      <c r="G3138" s="43">
        <f>IF(INDEX(DarlBindung,7)="",1,IF($E3138&lt;=INDEX(DarlBindung,7),1,0))</f>
      </c>
      <c r="H3138" s="43">
        <f>IF($G3138=1,INDEX(DarlSollzins,7),INDEX(DarlAnschluss,7))</f>
      </c>
      <c r="I3138" s="43">
        <f>IF(INDEX(DarlBelegt,7)=0,0,IF(INDEX(DarlOhneTilgung,7)=1,IF(INDEX(DarlBindung,7)="",1,$G3138),IF($J3138&gt;0.005,1,0)))</f>
      </c>
      <c r="J3138" s="43">
        <f>IF($I3137=0,0,$R3137)</f>
      </c>
      <c r="K3138" s="43">
        <f>IF($I3138=0,0,IF(INDEX(DarlOhneTilgung,7)=1,0,IF(AND(INDEX(DarlTilgStart,7)&gt;0,$E3138=INDEX(DarlTilgStart,7)),$J3138*($H3138+INDEX(DarlTilgung,7))/100/12,IF(AND($G3138=0,$G3137=1),MAX($K3137,$J3138*($H3138+1)/100/12),$K3137))))</f>
      </c>
      <c r="L3138" s="43">
        <f>IF($I3138=0,0,$J3138*$H3138/100/12)</f>
      </c>
      <c r="M3138" s="43">
        <f>IF($I3138=0,0,IF(OR(INDEX(DarlOhneTilgung,7)=1,AND(INDEX(DarlTilgStart,7)&gt;0,$E3138&lt;INDEX(DarlTilgStart,7))),0,MIN(MAX(0,$K3138-$L3138),$J3138)))</f>
      </c>
      <c r="N3138" s="43">
        <f>IF($I3138=0,0,MIN(SUMIFS(SondBetrag,SondDarl,7,SondDatum,"&gt;="&amp;$E3138,SondDatum,"&lt;="&amp;EOMONTH($E3138,0)),$J3138-$M3138))</f>
      </c>
      <c r="O3138" s="43">
        <f>IF($I3138=0,0,INDEX(DarlErsatzRate,7))</f>
      </c>
      <c r="P3138" s="43">
        <f>IF($I3138=0,0,$Q3137*INDEX(DarlErsatzZins,7))</f>
      </c>
      <c r="Q3138" s="43">
        <f>IF($I3138=0,0,$Q3137+$P3138+$O3138)</f>
      </c>
      <c r="R3138" s="43">
        <f>IF($I3138=0,0,$J3138-$M3138-$N3138)</f>
      </c>
    </row>
    <row r="3139">
      <c r="A3139"/>
      <c r="B3139">
        <v>7</v>
      </c>
      <c r="C3139" s="43">
        <f>INDEX(DarlObj,7)</f>
      </c>
      <c r="D3139">
        <v>256</v>
      </c>
      <c r="E3139" s="51">
        <f>IF(INDEX(DarlBelegt,7)=0,0,EOMONTH(INDEX(DarlAuszahlung,7),255)+1)</f>
      </c>
      <c r="F3139" s="43">
        <f>IF($E3139=0,0,YEAR($E3139))</f>
      </c>
      <c r="G3139" s="43">
        <f>IF(INDEX(DarlBindung,7)="",1,IF($E3139&lt;=INDEX(DarlBindung,7),1,0))</f>
      </c>
      <c r="H3139" s="43">
        <f>IF($G3139=1,INDEX(DarlSollzins,7),INDEX(DarlAnschluss,7))</f>
      </c>
      <c r="I3139" s="43">
        <f>IF(INDEX(DarlBelegt,7)=0,0,IF(INDEX(DarlOhneTilgung,7)=1,IF(INDEX(DarlBindung,7)="",1,$G3139),IF($J3139&gt;0.005,1,0)))</f>
      </c>
      <c r="J3139" s="43">
        <f>IF($I3138=0,0,$R3138)</f>
      </c>
      <c r="K3139" s="43">
        <f>IF($I3139=0,0,IF(INDEX(DarlOhneTilgung,7)=1,0,IF(AND(INDEX(DarlTilgStart,7)&gt;0,$E3139=INDEX(DarlTilgStart,7)),$J3139*($H3139+INDEX(DarlTilgung,7))/100/12,IF(AND($G3139=0,$G3138=1),MAX($K3138,$J3139*($H3139+1)/100/12),$K3138))))</f>
      </c>
      <c r="L3139" s="43">
        <f>IF($I3139=0,0,$J3139*$H3139/100/12)</f>
      </c>
      <c r="M3139" s="43">
        <f>IF($I3139=0,0,IF(OR(INDEX(DarlOhneTilgung,7)=1,AND(INDEX(DarlTilgStart,7)&gt;0,$E3139&lt;INDEX(DarlTilgStart,7))),0,MIN(MAX(0,$K3139-$L3139),$J3139)))</f>
      </c>
      <c r="N3139" s="43">
        <f>IF($I3139=0,0,MIN(SUMIFS(SondBetrag,SondDarl,7,SondDatum,"&gt;="&amp;$E3139,SondDatum,"&lt;="&amp;EOMONTH($E3139,0)),$J3139-$M3139))</f>
      </c>
      <c r="O3139" s="43">
        <f>IF($I3139=0,0,INDEX(DarlErsatzRate,7))</f>
      </c>
      <c r="P3139" s="43">
        <f>IF($I3139=0,0,$Q3138*INDEX(DarlErsatzZins,7))</f>
      </c>
      <c r="Q3139" s="43">
        <f>IF($I3139=0,0,$Q3138+$P3139+$O3139)</f>
      </c>
      <c r="R3139" s="43">
        <f>IF($I3139=0,0,$J3139-$M3139-$N3139)</f>
      </c>
    </row>
    <row r="3140">
      <c r="A3140"/>
      <c r="B3140">
        <v>7</v>
      </c>
      <c r="C3140" s="43">
        <f>INDEX(DarlObj,7)</f>
      </c>
      <c r="D3140">
        <v>257</v>
      </c>
      <c r="E3140" s="51">
        <f>IF(INDEX(DarlBelegt,7)=0,0,EOMONTH(INDEX(DarlAuszahlung,7),256)+1)</f>
      </c>
      <c r="F3140" s="43">
        <f>IF($E3140=0,0,YEAR($E3140))</f>
      </c>
      <c r="G3140" s="43">
        <f>IF(INDEX(DarlBindung,7)="",1,IF($E3140&lt;=INDEX(DarlBindung,7),1,0))</f>
      </c>
      <c r="H3140" s="43">
        <f>IF($G3140=1,INDEX(DarlSollzins,7),INDEX(DarlAnschluss,7))</f>
      </c>
      <c r="I3140" s="43">
        <f>IF(INDEX(DarlBelegt,7)=0,0,IF(INDEX(DarlOhneTilgung,7)=1,IF(INDEX(DarlBindung,7)="",1,$G3140),IF($J3140&gt;0.005,1,0)))</f>
      </c>
      <c r="J3140" s="43">
        <f>IF($I3139=0,0,$R3139)</f>
      </c>
      <c r="K3140" s="43">
        <f>IF($I3140=0,0,IF(INDEX(DarlOhneTilgung,7)=1,0,IF(AND(INDEX(DarlTilgStart,7)&gt;0,$E3140=INDEX(DarlTilgStart,7)),$J3140*($H3140+INDEX(DarlTilgung,7))/100/12,IF(AND($G3140=0,$G3139=1),MAX($K3139,$J3140*($H3140+1)/100/12),$K3139))))</f>
      </c>
      <c r="L3140" s="43">
        <f>IF($I3140=0,0,$J3140*$H3140/100/12)</f>
      </c>
      <c r="M3140" s="43">
        <f>IF($I3140=0,0,IF(OR(INDEX(DarlOhneTilgung,7)=1,AND(INDEX(DarlTilgStart,7)&gt;0,$E3140&lt;INDEX(DarlTilgStart,7))),0,MIN(MAX(0,$K3140-$L3140),$J3140)))</f>
      </c>
      <c r="N3140" s="43">
        <f>IF($I3140=0,0,MIN(SUMIFS(SondBetrag,SondDarl,7,SondDatum,"&gt;="&amp;$E3140,SondDatum,"&lt;="&amp;EOMONTH($E3140,0)),$J3140-$M3140))</f>
      </c>
      <c r="O3140" s="43">
        <f>IF($I3140=0,0,INDEX(DarlErsatzRate,7))</f>
      </c>
      <c r="P3140" s="43">
        <f>IF($I3140=0,0,$Q3139*INDEX(DarlErsatzZins,7))</f>
      </c>
      <c r="Q3140" s="43">
        <f>IF($I3140=0,0,$Q3139+$P3140+$O3140)</f>
      </c>
      <c r="R3140" s="43">
        <f>IF($I3140=0,0,$J3140-$M3140-$N3140)</f>
      </c>
    </row>
    <row r="3141">
      <c r="A3141"/>
      <c r="B3141">
        <v>7</v>
      </c>
      <c r="C3141" s="43">
        <f>INDEX(DarlObj,7)</f>
      </c>
      <c r="D3141">
        <v>258</v>
      </c>
      <c r="E3141" s="51">
        <f>IF(INDEX(DarlBelegt,7)=0,0,EOMONTH(INDEX(DarlAuszahlung,7),257)+1)</f>
      </c>
      <c r="F3141" s="43">
        <f>IF($E3141=0,0,YEAR($E3141))</f>
      </c>
      <c r="G3141" s="43">
        <f>IF(INDEX(DarlBindung,7)="",1,IF($E3141&lt;=INDEX(DarlBindung,7),1,0))</f>
      </c>
      <c r="H3141" s="43">
        <f>IF($G3141=1,INDEX(DarlSollzins,7),INDEX(DarlAnschluss,7))</f>
      </c>
      <c r="I3141" s="43">
        <f>IF(INDEX(DarlBelegt,7)=0,0,IF(INDEX(DarlOhneTilgung,7)=1,IF(INDEX(DarlBindung,7)="",1,$G3141),IF($J3141&gt;0.005,1,0)))</f>
      </c>
      <c r="J3141" s="43">
        <f>IF($I3140=0,0,$R3140)</f>
      </c>
      <c r="K3141" s="43">
        <f>IF($I3141=0,0,IF(INDEX(DarlOhneTilgung,7)=1,0,IF(AND(INDEX(DarlTilgStart,7)&gt;0,$E3141=INDEX(DarlTilgStart,7)),$J3141*($H3141+INDEX(DarlTilgung,7))/100/12,IF(AND($G3141=0,$G3140=1),MAX($K3140,$J3141*($H3141+1)/100/12),$K3140))))</f>
      </c>
      <c r="L3141" s="43">
        <f>IF($I3141=0,0,$J3141*$H3141/100/12)</f>
      </c>
      <c r="M3141" s="43">
        <f>IF($I3141=0,0,IF(OR(INDEX(DarlOhneTilgung,7)=1,AND(INDEX(DarlTilgStart,7)&gt;0,$E3141&lt;INDEX(DarlTilgStart,7))),0,MIN(MAX(0,$K3141-$L3141),$J3141)))</f>
      </c>
      <c r="N3141" s="43">
        <f>IF($I3141=0,0,MIN(SUMIFS(SondBetrag,SondDarl,7,SondDatum,"&gt;="&amp;$E3141,SondDatum,"&lt;="&amp;EOMONTH($E3141,0)),$J3141-$M3141))</f>
      </c>
      <c r="O3141" s="43">
        <f>IF($I3141=0,0,INDEX(DarlErsatzRate,7))</f>
      </c>
      <c r="P3141" s="43">
        <f>IF($I3141=0,0,$Q3140*INDEX(DarlErsatzZins,7))</f>
      </c>
      <c r="Q3141" s="43">
        <f>IF($I3141=0,0,$Q3140+$P3141+$O3141)</f>
      </c>
      <c r="R3141" s="43">
        <f>IF($I3141=0,0,$J3141-$M3141-$N3141)</f>
      </c>
    </row>
    <row r="3142">
      <c r="A3142"/>
      <c r="B3142">
        <v>7</v>
      </c>
      <c r="C3142" s="43">
        <f>INDEX(DarlObj,7)</f>
      </c>
      <c r="D3142">
        <v>259</v>
      </c>
      <c r="E3142" s="51">
        <f>IF(INDEX(DarlBelegt,7)=0,0,EOMONTH(INDEX(DarlAuszahlung,7),258)+1)</f>
      </c>
      <c r="F3142" s="43">
        <f>IF($E3142=0,0,YEAR($E3142))</f>
      </c>
      <c r="G3142" s="43">
        <f>IF(INDEX(DarlBindung,7)="",1,IF($E3142&lt;=INDEX(DarlBindung,7),1,0))</f>
      </c>
      <c r="H3142" s="43">
        <f>IF($G3142=1,INDEX(DarlSollzins,7),INDEX(DarlAnschluss,7))</f>
      </c>
      <c r="I3142" s="43">
        <f>IF(INDEX(DarlBelegt,7)=0,0,IF(INDEX(DarlOhneTilgung,7)=1,IF(INDEX(DarlBindung,7)="",1,$G3142),IF($J3142&gt;0.005,1,0)))</f>
      </c>
      <c r="J3142" s="43">
        <f>IF($I3141=0,0,$R3141)</f>
      </c>
      <c r="K3142" s="43">
        <f>IF($I3142=0,0,IF(INDEX(DarlOhneTilgung,7)=1,0,IF(AND(INDEX(DarlTilgStart,7)&gt;0,$E3142=INDEX(DarlTilgStart,7)),$J3142*($H3142+INDEX(DarlTilgung,7))/100/12,IF(AND($G3142=0,$G3141=1),MAX($K3141,$J3142*($H3142+1)/100/12),$K3141))))</f>
      </c>
      <c r="L3142" s="43">
        <f>IF($I3142=0,0,$J3142*$H3142/100/12)</f>
      </c>
      <c r="M3142" s="43">
        <f>IF($I3142=0,0,IF(OR(INDEX(DarlOhneTilgung,7)=1,AND(INDEX(DarlTilgStart,7)&gt;0,$E3142&lt;INDEX(DarlTilgStart,7))),0,MIN(MAX(0,$K3142-$L3142),$J3142)))</f>
      </c>
      <c r="N3142" s="43">
        <f>IF($I3142=0,0,MIN(SUMIFS(SondBetrag,SondDarl,7,SondDatum,"&gt;="&amp;$E3142,SondDatum,"&lt;="&amp;EOMONTH($E3142,0)),$J3142-$M3142))</f>
      </c>
      <c r="O3142" s="43">
        <f>IF($I3142=0,0,INDEX(DarlErsatzRate,7))</f>
      </c>
      <c r="P3142" s="43">
        <f>IF($I3142=0,0,$Q3141*INDEX(DarlErsatzZins,7))</f>
      </c>
      <c r="Q3142" s="43">
        <f>IF($I3142=0,0,$Q3141+$P3142+$O3142)</f>
      </c>
      <c r="R3142" s="43">
        <f>IF($I3142=0,0,$J3142-$M3142-$N3142)</f>
      </c>
    </row>
    <row r="3143">
      <c r="A3143"/>
      <c r="B3143">
        <v>7</v>
      </c>
      <c r="C3143" s="43">
        <f>INDEX(DarlObj,7)</f>
      </c>
      <c r="D3143">
        <v>260</v>
      </c>
      <c r="E3143" s="51">
        <f>IF(INDEX(DarlBelegt,7)=0,0,EOMONTH(INDEX(DarlAuszahlung,7),259)+1)</f>
      </c>
      <c r="F3143" s="43">
        <f>IF($E3143=0,0,YEAR($E3143))</f>
      </c>
      <c r="G3143" s="43">
        <f>IF(INDEX(DarlBindung,7)="",1,IF($E3143&lt;=INDEX(DarlBindung,7),1,0))</f>
      </c>
      <c r="H3143" s="43">
        <f>IF($G3143=1,INDEX(DarlSollzins,7),INDEX(DarlAnschluss,7))</f>
      </c>
      <c r="I3143" s="43">
        <f>IF(INDEX(DarlBelegt,7)=0,0,IF(INDEX(DarlOhneTilgung,7)=1,IF(INDEX(DarlBindung,7)="",1,$G3143),IF($J3143&gt;0.005,1,0)))</f>
      </c>
      <c r="J3143" s="43">
        <f>IF($I3142=0,0,$R3142)</f>
      </c>
      <c r="K3143" s="43">
        <f>IF($I3143=0,0,IF(INDEX(DarlOhneTilgung,7)=1,0,IF(AND(INDEX(DarlTilgStart,7)&gt;0,$E3143=INDEX(DarlTilgStart,7)),$J3143*($H3143+INDEX(DarlTilgung,7))/100/12,IF(AND($G3143=0,$G3142=1),MAX($K3142,$J3143*($H3143+1)/100/12),$K3142))))</f>
      </c>
      <c r="L3143" s="43">
        <f>IF($I3143=0,0,$J3143*$H3143/100/12)</f>
      </c>
      <c r="M3143" s="43">
        <f>IF($I3143=0,0,IF(OR(INDEX(DarlOhneTilgung,7)=1,AND(INDEX(DarlTilgStart,7)&gt;0,$E3143&lt;INDEX(DarlTilgStart,7))),0,MIN(MAX(0,$K3143-$L3143),$J3143)))</f>
      </c>
      <c r="N3143" s="43">
        <f>IF($I3143=0,0,MIN(SUMIFS(SondBetrag,SondDarl,7,SondDatum,"&gt;="&amp;$E3143,SondDatum,"&lt;="&amp;EOMONTH($E3143,0)),$J3143-$M3143))</f>
      </c>
      <c r="O3143" s="43">
        <f>IF($I3143=0,0,INDEX(DarlErsatzRate,7))</f>
      </c>
      <c r="P3143" s="43">
        <f>IF($I3143=0,0,$Q3142*INDEX(DarlErsatzZins,7))</f>
      </c>
      <c r="Q3143" s="43">
        <f>IF($I3143=0,0,$Q3142+$P3143+$O3143)</f>
      </c>
      <c r="R3143" s="43">
        <f>IF($I3143=0,0,$J3143-$M3143-$N3143)</f>
      </c>
    </row>
    <row r="3144">
      <c r="A3144"/>
      <c r="B3144">
        <v>7</v>
      </c>
      <c r="C3144" s="43">
        <f>INDEX(DarlObj,7)</f>
      </c>
      <c r="D3144">
        <v>261</v>
      </c>
      <c r="E3144" s="51">
        <f>IF(INDEX(DarlBelegt,7)=0,0,EOMONTH(INDEX(DarlAuszahlung,7),260)+1)</f>
      </c>
      <c r="F3144" s="43">
        <f>IF($E3144=0,0,YEAR($E3144))</f>
      </c>
      <c r="G3144" s="43">
        <f>IF(INDEX(DarlBindung,7)="",1,IF($E3144&lt;=INDEX(DarlBindung,7),1,0))</f>
      </c>
      <c r="H3144" s="43">
        <f>IF($G3144=1,INDEX(DarlSollzins,7),INDEX(DarlAnschluss,7))</f>
      </c>
      <c r="I3144" s="43">
        <f>IF(INDEX(DarlBelegt,7)=0,0,IF(INDEX(DarlOhneTilgung,7)=1,IF(INDEX(DarlBindung,7)="",1,$G3144),IF($J3144&gt;0.005,1,0)))</f>
      </c>
      <c r="J3144" s="43">
        <f>IF($I3143=0,0,$R3143)</f>
      </c>
      <c r="K3144" s="43">
        <f>IF($I3144=0,0,IF(INDEX(DarlOhneTilgung,7)=1,0,IF(AND(INDEX(DarlTilgStart,7)&gt;0,$E3144=INDEX(DarlTilgStart,7)),$J3144*($H3144+INDEX(DarlTilgung,7))/100/12,IF(AND($G3144=0,$G3143=1),MAX($K3143,$J3144*($H3144+1)/100/12),$K3143))))</f>
      </c>
      <c r="L3144" s="43">
        <f>IF($I3144=0,0,$J3144*$H3144/100/12)</f>
      </c>
      <c r="M3144" s="43">
        <f>IF($I3144=0,0,IF(OR(INDEX(DarlOhneTilgung,7)=1,AND(INDEX(DarlTilgStart,7)&gt;0,$E3144&lt;INDEX(DarlTilgStart,7))),0,MIN(MAX(0,$K3144-$L3144),$J3144)))</f>
      </c>
      <c r="N3144" s="43">
        <f>IF($I3144=0,0,MIN(SUMIFS(SondBetrag,SondDarl,7,SondDatum,"&gt;="&amp;$E3144,SondDatum,"&lt;="&amp;EOMONTH($E3144,0)),$J3144-$M3144))</f>
      </c>
      <c r="O3144" s="43">
        <f>IF($I3144=0,0,INDEX(DarlErsatzRate,7))</f>
      </c>
      <c r="P3144" s="43">
        <f>IF($I3144=0,0,$Q3143*INDEX(DarlErsatzZins,7))</f>
      </c>
      <c r="Q3144" s="43">
        <f>IF($I3144=0,0,$Q3143+$P3144+$O3144)</f>
      </c>
      <c r="R3144" s="43">
        <f>IF($I3144=0,0,$J3144-$M3144-$N3144)</f>
      </c>
    </row>
    <row r="3145">
      <c r="A3145"/>
      <c r="B3145">
        <v>7</v>
      </c>
      <c r="C3145" s="43">
        <f>INDEX(DarlObj,7)</f>
      </c>
      <c r="D3145">
        <v>262</v>
      </c>
      <c r="E3145" s="51">
        <f>IF(INDEX(DarlBelegt,7)=0,0,EOMONTH(INDEX(DarlAuszahlung,7),261)+1)</f>
      </c>
      <c r="F3145" s="43">
        <f>IF($E3145=0,0,YEAR($E3145))</f>
      </c>
      <c r="G3145" s="43">
        <f>IF(INDEX(DarlBindung,7)="",1,IF($E3145&lt;=INDEX(DarlBindung,7),1,0))</f>
      </c>
      <c r="H3145" s="43">
        <f>IF($G3145=1,INDEX(DarlSollzins,7),INDEX(DarlAnschluss,7))</f>
      </c>
      <c r="I3145" s="43">
        <f>IF(INDEX(DarlBelegt,7)=0,0,IF(INDEX(DarlOhneTilgung,7)=1,IF(INDEX(DarlBindung,7)="",1,$G3145),IF($J3145&gt;0.005,1,0)))</f>
      </c>
      <c r="J3145" s="43">
        <f>IF($I3144=0,0,$R3144)</f>
      </c>
      <c r="K3145" s="43">
        <f>IF($I3145=0,0,IF(INDEX(DarlOhneTilgung,7)=1,0,IF(AND(INDEX(DarlTilgStart,7)&gt;0,$E3145=INDEX(DarlTilgStart,7)),$J3145*($H3145+INDEX(DarlTilgung,7))/100/12,IF(AND($G3145=0,$G3144=1),MAX($K3144,$J3145*($H3145+1)/100/12),$K3144))))</f>
      </c>
      <c r="L3145" s="43">
        <f>IF($I3145=0,0,$J3145*$H3145/100/12)</f>
      </c>
      <c r="M3145" s="43">
        <f>IF($I3145=0,0,IF(OR(INDEX(DarlOhneTilgung,7)=1,AND(INDEX(DarlTilgStart,7)&gt;0,$E3145&lt;INDEX(DarlTilgStart,7))),0,MIN(MAX(0,$K3145-$L3145),$J3145)))</f>
      </c>
      <c r="N3145" s="43">
        <f>IF($I3145=0,0,MIN(SUMIFS(SondBetrag,SondDarl,7,SondDatum,"&gt;="&amp;$E3145,SondDatum,"&lt;="&amp;EOMONTH($E3145,0)),$J3145-$M3145))</f>
      </c>
      <c r="O3145" s="43">
        <f>IF($I3145=0,0,INDEX(DarlErsatzRate,7))</f>
      </c>
      <c r="P3145" s="43">
        <f>IF($I3145=0,0,$Q3144*INDEX(DarlErsatzZins,7))</f>
      </c>
      <c r="Q3145" s="43">
        <f>IF($I3145=0,0,$Q3144+$P3145+$O3145)</f>
      </c>
      <c r="R3145" s="43">
        <f>IF($I3145=0,0,$J3145-$M3145-$N3145)</f>
      </c>
    </row>
    <row r="3146">
      <c r="A3146"/>
      <c r="B3146">
        <v>7</v>
      </c>
      <c r="C3146" s="43">
        <f>INDEX(DarlObj,7)</f>
      </c>
      <c r="D3146">
        <v>263</v>
      </c>
      <c r="E3146" s="51">
        <f>IF(INDEX(DarlBelegt,7)=0,0,EOMONTH(INDEX(DarlAuszahlung,7),262)+1)</f>
      </c>
      <c r="F3146" s="43">
        <f>IF($E3146=0,0,YEAR($E3146))</f>
      </c>
      <c r="G3146" s="43">
        <f>IF(INDEX(DarlBindung,7)="",1,IF($E3146&lt;=INDEX(DarlBindung,7),1,0))</f>
      </c>
      <c r="H3146" s="43">
        <f>IF($G3146=1,INDEX(DarlSollzins,7),INDEX(DarlAnschluss,7))</f>
      </c>
      <c r="I3146" s="43">
        <f>IF(INDEX(DarlBelegt,7)=0,0,IF(INDEX(DarlOhneTilgung,7)=1,IF(INDEX(DarlBindung,7)="",1,$G3146),IF($J3146&gt;0.005,1,0)))</f>
      </c>
      <c r="J3146" s="43">
        <f>IF($I3145=0,0,$R3145)</f>
      </c>
      <c r="K3146" s="43">
        <f>IF($I3146=0,0,IF(INDEX(DarlOhneTilgung,7)=1,0,IF(AND(INDEX(DarlTilgStart,7)&gt;0,$E3146=INDEX(DarlTilgStart,7)),$J3146*($H3146+INDEX(DarlTilgung,7))/100/12,IF(AND($G3146=0,$G3145=1),MAX($K3145,$J3146*($H3146+1)/100/12),$K3145))))</f>
      </c>
      <c r="L3146" s="43">
        <f>IF($I3146=0,0,$J3146*$H3146/100/12)</f>
      </c>
      <c r="M3146" s="43">
        <f>IF($I3146=0,0,IF(OR(INDEX(DarlOhneTilgung,7)=1,AND(INDEX(DarlTilgStart,7)&gt;0,$E3146&lt;INDEX(DarlTilgStart,7))),0,MIN(MAX(0,$K3146-$L3146),$J3146)))</f>
      </c>
      <c r="N3146" s="43">
        <f>IF($I3146=0,0,MIN(SUMIFS(SondBetrag,SondDarl,7,SondDatum,"&gt;="&amp;$E3146,SondDatum,"&lt;="&amp;EOMONTH($E3146,0)),$J3146-$M3146))</f>
      </c>
      <c r="O3146" s="43">
        <f>IF($I3146=0,0,INDEX(DarlErsatzRate,7))</f>
      </c>
      <c r="P3146" s="43">
        <f>IF($I3146=0,0,$Q3145*INDEX(DarlErsatzZins,7))</f>
      </c>
      <c r="Q3146" s="43">
        <f>IF($I3146=0,0,$Q3145+$P3146+$O3146)</f>
      </c>
      <c r="R3146" s="43">
        <f>IF($I3146=0,0,$J3146-$M3146-$N3146)</f>
      </c>
    </row>
    <row r="3147">
      <c r="A3147"/>
      <c r="B3147">
        <v>7</v>
      </c>
      <c r="C3147" s="43">
        <f>INDEX(DarlObj,7)</f>
      </c>
      <c r="D3147">
        <v>264</v>
      </c>
      <c r="E3147" s="51">
        <f>IF(INDEX(DarlBelegt,7)=0,0,EOMONTH(INDEX(DarlAuszahlung,7),263)+1)</f>
      </c>
      <c r="F3147" s="43">
        <f>IF($E3147=0,0,YEAR($E3147))</f>
      </c>
      <c r="G3147" s="43">
        <f>IF(INDEX(DarlBindung,7)="",1,IF($E3147&lt;=INDEX(DarlBindung,7),1,0))</f>
      </c>
      <c r="H3147" s="43">
        <f>IF($G3147=1,INDEX(DarlSollzins,7),INDEX(DarlAnschluss,7))</f>
      </c>
      <c r="I3147" s="43">
        <f>IF(INDEX(DarlBelegt,7)=0,0,IF(INDEX(DarlOhneTilgung,7)=1,IF(INDEX(DarlBindung,7)="",1,$G3147),IF($J3147&gt;0.005,1,0)))</f>
      </c>
      <c r="J3147" s="43">
        <f>IF($I3146=0,0,$R3146)</f>
      </c>
      <c r="K3147" s="43">
        <f>IF($I3147=0,0,IF(INDEX(DarlOhneTilgung,7)=1,0,IF(AND(INDEX(DarlTilgStart,7)&gt;0,$E3147=INDEX(DarlTilgStart,7)),$J3147*($H3147+INDEX(DarlTilgung,7))/100/12,IF(AND($G3147=0,$G3146=1),MAX($K3146,$J3147*($H3147+1)/100/12),$K3146))))</f>
      </c>
      <c r="L3147" s="43">
        <f>IF($I3147=0,0,$J3147*$H3147/100/12)</f>
      </c>
      <c r="M3147" s="43">
        <f>IF($I3147=0,0,IF(OR(INDEX(DarlOhneTilgung,7)=1,AND(INDEX(DarlTilgStart,7)&gt;0,$E3147&lt;INDEX(DarlTilgStart,7))),0,MIN(MAX(0,$K3147-$L3147),$J3147)))</f>
      </c>
      <c r="N3147" s="43">
        <f>IF($I3147=0,0,MIN(SUMIFS(SondBetrag,SondDarl,7,SondDatum,"&gt;="&amp;$E3147,SondDatum,"&lt;="&amp;EOMONTH($E3147,0)),$J3147-$M3147))</f>
      </c>
      <c r="O3147" s="43">
        <f>IF($I3147=0,0,INDEX(DarlErsatzRate,7))</f>
      </c>
      <c r="P3147" s="43">
        <f>IF($I3147=0,0,$Q3146*INDEX(DarlErsatzZins,7))</f>
      </c>
      <c r="Q3147" s="43">
        <f>IF($I3147=0,0,$Q3146+$P3147+$O3147)</f>
      </c>
      <c r="R3147" s="43">
        <f>IF($I3147=0,0,$J3147-$M3147-$N3147)</f>
      </c>
    </row>
    <row r="3148">
      <c r="A3148"/>
      <c r="B3148">
        <v>7</v>
      </c>
      <c r="C3148" s="43">
        <f>INDEX(DarlObj,7)</f>
      </c>
      <c r="D3148">
        <v>265</v>
      </c>
      <c r="E3148" s="51">
        <f>IF(INDEX(DarlBelegt,7)=0,0,EOMONTH(INDEX(DarlAuszahlung,7),264)+1)</f>
      </c>
      <c r="F3148" s="43">
        <f>IF($E3148=0,0,YEAR($E3148))</f>
      </c>
      <c r="G3148" s="43">
        <f>IF(INDEX(DarlBindung,7)="",1,IF($E3148&lt;=INDEX(DarlBindung,7),1,0))</f>
      </c>
      <c r="H3148" s="43">
        <f>IF($G3148=1,INDEX(DarlSollzins,7),INDEX(DarlAnschluss,7))</f>
      </c>
      <c r="I3148" s="43">
        <f>IF(INDEX(DarlBelegt,7)=0,0,IF(INDEX(DarlOhneTilgung,7)=1,IF(INDEX(DarlBindung,7)="",1,$G3148),IF($J3148&gt;0.005,1,0)))</f>
      </c>
      <c r="J3148" s="43">
        <f>IF($I3147=0,0,$R3147)</f>
      </c>
      <c r="K3148" s="43">
        <f>IF($I3148=0,0,IF(INDEX(DarlOhneTilgung,7)=1,0,IF(AND(INDEX(DarlTilgStart,7)&gt;0,$E3148=INDEX(DarlTilgStart,7)),$J3148*($H3148+INDEX(DarlTilgung,7))/100/12,IF(AND($G3148=0,$G3147=1),MAX($K3147,$J3148*($H3148+1)/100/12),$K3147))))</f>
      </c>
      <c r="L3148" s="43">
        <f>IF($I3148=0,0,$J3148*$H3148/100/12)</f>
      </c>
      <c r="M3148" s="43">
        <f>IF($I3148=0,0,IF(OR(INDEX(DarlOhneTilgung,7)=1,AND(INDEX(DarlTilgStart,7)&gt;0,$E3148&lt;INDEX(DarlTilgStart,7))),0,MIN(MAX(0,$K3148-$L3148),$J3148)))</f>
      </c>
      <c r="N3148" s="43">
        <f>IF($I3148=0,0,MIN(SUMIFS(SondBetrag,SondDarl,7,SondDatum,"&gt;="&amp;$E3148,SondDatum,"&lt;="&amp;EOMONTH($E3148,0)),$J3148-$M3148))</f>
      </c>
      <c r="O3148" s="43">
        <f>IF($I3148=0,0,INDEX(DarlErsatzRate,7))</f>
      </c>
      <c r="P3148" s="43">
        <f>IF($I3148=0,0,$Q3147*INDEX(DarlErsatzZins,7))</f>
      </c>
      <c r="Q3148" s="43">
        <f>IF($I3148=0,0,$Q3147+$P3148+$O3148)</f>
      </c>
      <c r="R3148" s="43">
        <f>IF($I3148=0,0,$J3148-$M3148-$N3148)</f>
      </c>
    </row>
    <row r="3149">
      <c r="A3149"/>
      <c r="B3149">
        <v>7</v>
      </c>
      <c r="C3149" s="43">
        <f>INDEX(DarlObj,7)</f>
      </c>
      <c r="D3149">
        <v>266</v>
      </c>
      <c r="E3149" s="51">
        <f>IF(INDEX(DarlBelegt,7)=0,0,EOMONTH(INDEX(DarlAuszahlung,7),265)+1)</f>
      </c>
      <c r="F3149" s="43">
        <f>IF($E3149=0,0,YEAR($E3149))</f>
      </c>
      <c r="G3149" s="43">
        <f>IF(INDEX(DarlBindung,7)="",1,IF($E3149&lt;=INDEX(DarlBindung,7),1,0))</f>
      </c>
      <c r="H3149" s="43">
        <f>IF($G3149=1,INDEX(DarlSollzins,7),INDEX(DarlAnschluss,7))</f>
      </c>
      <c r="I3149" s="43">
        <f>IF(INDEX(DarlBelegt,7)=0,0,IF(INDEX(DarlOhneTilgung,7)=1,IF(INDEX(DarlBindung,7)="",1,$G3149),IF($J3149&gt;0.005,1,0)))</f>
      </c>
      <c r="J3149" s="43">
        <f>IF($I3148=0,0,$R3148)</f>
      </c>
      <c r="K3149" s="43">
        <f>IF($I3149=0,0,IF(INDEX(DarlOhneTilgung,7)=1,0,IF(AND(INDEX(DarlTilgStart,7)&gt;0,$E3149=INDEX(DarlTilgStart,7)),$J3149*($H3149+INDEX(DarlTilgung,7))/100/12,IF(AND($G3149=0,$G3148=1),MAX($K3148,$J3149*($H3149+1)/100/12),$K3148))))</f>
      </c>
      <c r="L3149" s="43">
        <f>IF($I3149=0,0,$J3149*$H3149/100/12)</f>
      </c>
      <c r="M3149" s="43">
        <f>IF($I3149=0,0,IF(OR(INDEX(DarlOhneTilgung,7)=1,AND(INDEX(DarlTilgStart,7)&gt;0,$E3149&lt;INDEX(DarlTilgStart,7))),0,MIN(MAX(0,$K3149-$L3149),$J3149)))</f>
      </c>
      <c r="N3149" s="43">
        <f>IF($I3149=0,0,MIN(SUMIFS(SondBetrag,SondDarl,7,SondDatum,"&gt;="&amp;$E3149,SondDatum,"&lt;="&amp;EOMONTH($E3149,0)),$J3149-$M3149))</f>
      </c>
      <c r="O3149" s="43">
        <f>IF($I3149=0,0,INDEX(DarlErsatzRate,7))</f>
      </c>
      <c r="P3149" s="43">
        <f>IF($I3149=0,0,$Q3148*INDEX(DarlErsatzZins,7))</f>
      </c>
      <c r="Q3149" s="43">
        <f>IF($I3149=0,0,$Q3148+$P3149+$O3149)</f>
      </c>
      <c r="R3149" s="43">
        <f>IF($I3149=0,0,$J3149-$M3149-$N3149)</f>
      </c>
    </row>
    <row r="3150">
      <c r="A3150"/>
      <c r="B3150">
        <v>7</v>
      </c>
      <c r="C3150" s="43">
        <f>INDEX(DarlObj,7)</f>
      </c>
      <c r="D3150">
        <v>267</v>
      </c>
      <c r="E3150" s="51">
        <f>IF(INDEX(DarlBelegt,7)=0,0,EOMONTH(INDEX(DarlAuszahlung,7),266)+1)</f>
      </c>
      <c r="F3150" s="43">
        <f>IF($E3150=0,0,YEAR($E3150))</f>
      </c>
      <c r="G3150" s="43">
        <f>IF(INDEX(DarlBindung,7)="",1,IF($E3150&lt;=INDEX(DarlBindung,7),1,0))</f>
      </c>
      <c r="H3150" s="43">
        <f>IF($G3150=1,INDEX(DarlSollzins,7),INDEX(DarlAnschluss,7))</f>
      </c>
      <c r="I3150" s="43">
        <f>IF(INDEX(DarlBelegt,7)=0,0,IF(INDEX(DarlOhneTilgung,7)=1,IF(INDEX(DarlBindung,7)="",1,$G3150),IF($J3150&gt;0.005,1,0)))</f>
      </c>
      <c r="J3150" s="43">
        <f>IF($I3149=0,0,$R3149)</f>
      </c>
      <c r="K3150" s="43">
        <f>IF($I3150=0,0,IF(INDEX(DarlOhneTilgung,7)=1,0,IF(AND(INDEX(DarlTilgStart,7)&gt;0,$E3150=INDEX(DarlTilgStart,7)),$J3150*($H3150+INDEX(DarlTilgung,7))/100/12,IF(AND($G3150=0,$G3149=1),MAX($K3149,$J3150*($H3150+1)/100/12),$K3149))))</f>
      </c>
      <c r="L3150" s="43">
        <f>IF($I3150=0,0,$J3150*$H3150/100/12)</f>
      </c>
      <c r="M3150" s="43">
        <f>IF($I3150=0,0,IF(OR(INDEX(DarlOhneTilgung,7)=1,AND(INDEX(DarlTilgStart,7)&gt;0,$E3150&lt;INDEX(DarlTilgStart,7))),0,MIN(MAX(0,$K3150-$L3150),$J3150)))</f>
      </c>
      <c r="N3150" s="43">
        <f>IF($I3150=0,0,MIN(SUMIFS(SondBetrag,SondDarl,7,SondDatum,"&gt;="&amp;$E3150,SondDatum,"&lt;="&amp;EOMONTH($E3150,0)),$J3150-$M3150))</f>
      </c>
      <c r="O3150" s="43">
        <f>IF($I3150=0,0,INDEX(DarlErsatzRate,7))</f>
      </c>
      <c r="P3150" s="43">
        <f>IF($I3150=0,0,$Q3149*INDEX(DarlErsatzZins,7))</f>
      </c>
      <c r="Q3150" s="43">
        <f>IF($I3150=0,0,$Q3149+$P3150+$O3150)</f>
      </c>
      <c r="R3150" s="43">
        <f>IF($I3150=0,0,$J3150-$M3150-$N3150)</f>
      </c>
    </row>
    <row r="3151">
      <c r="A3151"/>
      <c r="B3151">
        <v>7</v>
      </c>
      <c r="C3151" s="43">
        <f>INDEX(DarlObj,7)</f>
      </c>
      <c r="D3151">
        <v>268</v>
      </c>
      <c r="E3151" s="51">
        <f>IF(INDEX(DarlBelegt,7)=0,0,EOMONTH(INDEX(DarlAuszahlung,7),267)+1)</f>
      </c>
      <c r="F3151" s="43">
        <f>IF($E3151=0,0,YEAR($E3151))</f>
      </c>
      <c r="G3151" s="43">
        <f>IF(INDEX(DarlBindung,7)="",1,IF($E3151&lt;=INDEX(DarlBindung,7),1,0))</f>
      </c>
      <c r="H3151" s="43">
        <f>IF($G3151=1,INDEX(DarlSollzins,7),INDEX(DarlAnschluss,7))</f>
      </c>
      <c r="I3151" s="43">
        <f>IF(INDEX(DarlBelegt,7)=0,0,IF(INDEX(DarlOhneTilgung,7)=1,IF(INDEX(DarlBindung,7)="",1,$G3151),IF($J3151&gt;0.005,1,0)))</f>
      </c>
      <c r="J3151" s="43">
        <f>IF($I3150=0,0,$R3150)</f>
      </c>
      <c r="K3151" s="43">
        <f>IF($I3151=0,0,IF(INDEX(DarlOhneTilgung,7)=1,0,IF(AND(INDEX(DarlTilgStart,7)&gt;0,$E3151=INDEX(DarlTilgStart,7)),$J3151*($H3151+INDEX(DarlTilgung,7))/100/12,IF(AND($G3151=0,$G3150=1),MAX($K3150,$J3151*($H3151+1)/100/12),$K3150))))</f>
      </c>
      <c r="L3151" s="43">
        <f>IF($I3151=0,0,$J3151*$H3151/100/12)</f>
      </c>
      <c r="M3151" s="43">
        <f>IF($I3151=0,0,IF(OR(INDEX(DarlOhneTilgung,7)=1,AND(INDEX(DarlTilgStart,7)&gt;0,$E3151&lt;INDEX(DarlTilgStart,7))),0,MIN(MAX(0,$K3151-$L3151),$J3151)))</f>
      </c>
      <c r="N3151" s="43">
        <f>IF($I3151=0,0,MIN(SUMIFS(SondBetrag,SondDarl,7,SondDatum,"&gt;="&amp;$E3151,SondDatum,"&lt;="&amp;EOMONTH($E3151,0)),$J3151-$M3151))</f>
      </c>
      <c r="O3151" s="43">
        <f>IF($I3151=0,0,INDEX(DarlErsatzRate,7))</f>
      </c>
      <c r="P3151" s="43">
        <f>IF($I3151=0,0,$Q3150*INDEX(DarlErsatzZins,7))</f>
      </c>
      <c r="Q3151" s="43">
        <f>IF($I3151=0,0,$Q3150+$P3151+$O3151)</f>
      </c>
      <c r="R3151" s="43">
        <f>IF($I3151=0,0,$J3151-$M3151-$N3151)</f>
      </c>
    </row>
    <row r="3152">
      <c r="A3152"/>
      <c r="B3152">
        <v>7</v>
      </c>
      <c r="C3152" s="43">
        <f>INDEX(DarlObj,7)</f>
      </c>
      <c r="D3152">
        <v>269</v>
      </c>
      <c r="E3152" s="51">
        <f>IF(INDEX(DarlBelegt,7)=0,0,EOMONTH(INDEX(DarlAuszahlung,7),268)+1)</f>
      </c>
      <c r="F3152" s="43">
        <f>IF($E3152=0,0,YEAR($E3152))</f>
      </c>
      <c r="G3152" s="43">
        <f>IF(INDEX(DarlBindung,7)="",1,IF($E3152&lt;=INDEX(DarlBindung,7),1,0))</f>
      </c>
      <c r="H3152" s="43">
        <f>IF($G3152=1,INDEX(DarlSollzins,7),INDEX(DarlAnschluss,7))</f>
      </c>
      <c r="I3152" s="43">
        <f>IF(INDEX(DarlBelegt,7)=0,0,IF(INDEX(DarlOhneTilgung,7)=1,IF(INDEX(DarlBindung,7)="",1,$G3152),IF($J3152&gt;0.005,1,0)))</f>
      </c>
      <c r="J3152" s="43">
        <f>IF($I3151=0,0,$R3151)</f>
      </c>
      <c r="K3152" s="43">
        <f>IF($I3152=0,0,IF(INDEX(DarlOhneTilgung,7)=1,0,IF(AND(INDEX(DarlTilgStart,7)&gt;0,$E3152=INDEX(DarlTilgStart,7)),$J3152*($H3152+INDEX(DarlTilgung,7))/100/12,IF(AND($G3152=0,$G3151=1),MAX($K3151,$J3152*($H3152+1)/100/12),$K3151))))</f>
      </c>
      <c r="L3152" s="43">
        <f>IF($I3152=0,0,$J3152*$H3152/100/12)</f>
      </c>
      <c r="M3152" s="43">
        <f>IF($I3152=0,0,IF(OR(INDEX(DarlOhneTilgung,7)=1,AND(INDEX(DarlTilgStart,7)&gt;0,$E3152&lt;INDEX(DarlTilgStart,7))),0,MIN(MAX(0,$K3152-$L3152),$J3152)))</f>
      </c>
      <c r="N3152" s="43">
        <f>IF($I3152=0,0,MIN(SUMIFS(SondBetrag,SondDarl,7,SondDatum,"&gt;="&amp;$E3152,SondDatum,"&lt;="&amp;EOMONTH($E3152,0)),$J3152-$M3152))</f>
      </c>
      <c r="O3152" s="43">
        <f>IF($I3152=0,0,INDEX(DarlErsatzRate,7))</f>
      </c>
      <c r="P3152" s="43">
        <f>IF($I3152=0,0,$Q3151*INDEX(DarlErsatzZins,7))</f>
      </c>
      <c r="Q3152" s="43">
        <f>IF($I3152=0,0,$Q3151+$P3152+$O3152)</f>
      </c>
      <c r="R3152" s="43">
        <f>IF($I3152=0,0,$J3152-$M3152-$N3152)</f>
      </c>
    </row>
    <row r="3153">
      <c r="A3153"/>
      <c r="B3153">
        <v>7</v>
      </c>
      <c r="C3153" s="43">
        <f>INDEX(DarlObj,7)</f>
      </c>
      <c r="D3153">
        <v>270</v>
      </c>
      <c r="E3153" s="51">
        <f>IF(INDEX(DarlBelegt,7)=0,0,EOMONTH(INDEX(DarlAuszahlung,7),269)+1)</f>
      </c>
      <c r="F3153" s="43">
        <f>IF($E3153=0,0,YEAR($E3153))</f>
      </c>
      <c r="G3153" s="43">
        <f>IF(INDEX(DarlBindung,7)="",1,IF($E3153&lt;=INDEX(DarlBindung,7),1,0))</f>
      </c>
      <c r="H3153" s="43">
        <f>IF($G3153=1,INDEX(DarlSollzins,7),INDEX(DarlAnschluss,7))</f>
      </c>
      <c r="I3153" s="43">
        <f>IF(INDEX(DarlBelegt,7)=0,0,IF(INDEX(DarlOhneTilgung,7)=1,IF(INDEX(DarlBindung,7)="",1,$G3153),IF($J3153&gt;0.005,1,0)))</f>
      </c>
      <c r="J3153" s="43">
        <f>IF($I3152=0,0,$R3152)</f>
      </c>
      <c r="K3153" s="43">
        <f>IF($I3153=0,0,IF(INDEX(DarlOhneTilgung,7)=1,0,IF(AND(INDEX(DarlTilgStart,7)&gt;0,$E3153=INDEX(DarlTilgStart,7)),$J3153*($H3153+INDEX(DarlTilgung,7))/100/12,IF(AND($G3153=0,$G3152=1),MAX($K3152,$J3153*($H3153+1)/100/12),$K3152))))</f>
      </c>
      <c r="L3153" s="43">
        <f>IF($I3153=0,0,$J3153*$H3153/100/12)</f>
      </c>
      <c r="M3153" s="43">
        <f>IF($I3153=0,0,IF(OR(INDEX(DarlOhneTilgung,7)=1,AND(INDEX(DarlTilgStart,7)&gt;0,$E3153&lt;INDEX(DarlTilgStart,7))),0,MIN(MAX(0,$K3153-$L3153),$J3153)))</f>
      </c>
      <c r="N3153" s="43">
        <f>IF($I3153=0,0,MIN(SUMIFS(SondBetrag,SondDarl,7,SondDatum,"&gt;="&amp;$E3153,SondDatum,"&lt;="&amp;EOMONTH($E3153,0)),$J3153-$M3153))</f>
      </c>
      <c r="O3153" s="43">
        <f>IF($I3153=0,0,INDEX(DarlErsatzRate,7))</f>
      </c>
      <c r="P3153" s="43">
        <f>IF($I3153=0,0,$Q3152*INDEX(DarlErsatzZins,7))</f>
      </c>
      <c r="Q3153" s="43">
        <f>IF($I3153=0,0,$Q3152+$P3153+$O3153)</f>
      </c>
      <c r="R3153" s="43">
        <f>IF($I3153=0,0,$J3153-$M3153-$N3153)</f>
      </c>
    </row>
    <row r="3154">
      <c r="A3154"/>
      <c r="B3154">
        <v>7</v>
      </c>
      <c r="C3154" s="43">
        <f>INDEX(DarlObj,7)</f>
      </c>
      <c r="D3154">
        <v>271</v>
      </c>
      <c r="E3154" s="51">
        <f>IF(INDEX(DarlBelegt,7)=0,0,EOMONTH(INDEX(DarlAuszahlung,7),270)+1)</f>
      </c>
      <c r="F3154" s="43">
        <f>IF($E3154=0,0,YEAR($E3154))</f>
      </c>
      <c r="G3154" s="43">
        <f>IF(INDEX(DarlBindung,7)="",1,IF($E3154&lt;=INDEX(DarlBindung,7),1,0))</f>
      </c>
      <c r="H3154" s="43">
        <f>IF($G3154=1,INDEX(DarlSollzins,7),INDEX(DarlAnschluss,7))</f>
      </c>
      <c r="I3154" s="43">
        <f>IF(INDEX(DarlBelegt,7)=0,0,IF(INDEX(DarlOhneTilgung,7)=1,IF(INDEX(DarlBindung,7)="",1,$G3154),IF($J3154&gt;0.005,1,0)))</f>
      </c>
      <c r="J3154" s="43">
        <f>IF($I3153=0,0,$R3153)</f>
      </c>
      <c r="K3154" s="43">
        <f>IF($I3154=0,0,IF(INDEX(DarlOhneTilgung,7)=1,0,IF(AND(INDEX(DarlTilgStart,7)&gt;0,$E3154=INDEX(DarlTilgStart,7)),$J3154*($H3154+INDEX(DarlTilgung,7))/100/12,IF(AND($G3154=0,$G3153=1),MAX($K3153,$J3154*($H3154+1)/100/12),$K3153))))</f>
      </c>
      <c r="L3154" s="43">
        <f>IF($I3154=0,0,$J3154*$H3154/100/12)</f>
      </c>
      <c r="M3154" s="43">
        <f>IF($I3154=0,0,IF(OR(INDEX(DarlOhneTilgung,7)=1,AND(INDEX(DarlTilgStart,7)&gt;0,$E3154&lt;INDEX(DarlTilgStart,7))),0,MIN(MAX(0,$K3154-$L3154),$J3154)))</f>
      </c>
      <c r="N3154" s="43">
        <f>IF($I3154=0,0,MIN(SUMIFS(SondBetrag,SondDarl,7,SondDatum,"&gt;="&amp;$E3154,SondDatum,"&lt;="&amp;EOMONTH($E3154,0)),$J3154-$M3154))</f>
      </c>
      <c r="O3154" s="43">
        <f>IF($I3154=0,0,INDEX(DarlErsatzRate,7))</f>
      </c>
      <c r="P3154" s="43">
        <f>IF($I3154=0,0,$Q3153*INDEX(DarlErsatzZins,7))</f>
      </c>
      <c r="Q3154" s="43">
        <f>IF($I3154=0,0,$Q3153+$P3154+$O3154)</f>
      </c>
      <c r="R3154" s="43">
        <f>IF($I3154=0,0,$J3154-$M3154-$N3154)</f>
      </c>
    </row>
    <row r="3155">
      <c r="A3155"/>
      <c r="B3155">
        <v>7</v>
      </c>
      <c r="C3155" s="43">
        <f>INDEX(DarlObj,7)</f>
      </c>
      <c r="D3155">
        <v>272</v>
      </c>
      <c r="E3155" s="51">
        <f>IF(INDEX(DarlBelegt,7)=0,0,EOMONTH(INDEX(DarlAuszahlung,7),271)+1)</f>
      </c>
      <c r="F3155" s="43">
        <f>IF($E3155=0,0,YEAR($E3155))</f>
      </c>
      <c r="G3155" s="43">
        <f>IF(INDEX(DarlBindung,7)="",1,IF($E3155&lt;=INDEX(DarlBindung,7),1,0))</f>
      </c>
      <c r="H3155" s="43">
        <f>IF($G3155=1,INDEX(DarlSollzins,7),INDEX(DarlAnschluss,7))</f>
      </c>
      <c r="I3155" s="43">
        <f>IF(INDEX(DarlBelegt,7)=0,0,IF(INDEX(DarlOhneTilgung,7)=1,IF(INDEX(DarlBindung,7)="",1,$G3155),IF($J3155&gt;0.005,1,0)))</f>
      </c>
      <c r="J3155" s="43">
        <f>IF($I3154=0,0,$R3154)</f>
      </c>
      <c r="K3155" s="43">
        <f>IF($I3155=0,0,IF(INDEX(DarlOhneTilgung,7)=1,0,IF(AND(INDEX(DarlTilgStart,7)&gt;0,$E3155=INDEX(DarlTilgStart,7)),$J3155*($H3155+INDEX(DarlTilgung,7))/100/12,IF(AND($G3155=0,$G3154=1),MAX($K3154,$J3155*($H3155+1)/100/12),$K3154))))</f>
      </c>
      <c r="L3155" s="43">
        <f>IF($I3155=0,0,$J3155*$H3155/100/12)</f>
      </c>
      <c r="M3155" s="43">
        <f>IF($I3155=0,0,IF(OR(INDEX(DarlOhneTilgung,7)=1,AND(INDEX(DarlTilgStart,7)&gt;0,$E3155&lt;INDEX(DarlTilgStart,7))),0,MIN(MAX(0,$K3155-$L3155),$J3155)))</f>
      </c>
      <c r="N3155" s="43">
        <f>IF($I3155=0,0,MIN(SUMIFS(SondBetrag,SondDarl,7,SondDatum,"&gt;="&amp;$E3155,SondDatum,"&lt;="&amp;EOMONTH($E3155,0)),$J3155-$M3155))</f>
      </c>
      <c r="O3155" s="43">
        <f>IF($I3155=0,0,INDEX(DarlErsatzRate,7))</f>
      </c>
      <c r="P3155" s="43">
        <f>IF($I3155=0,0,$Q3154*INDEX(DarlErsatzZins,7))</f>
      </c>
      <c r="Q3155" s="43">
        <f>IF($I3155=0,0,$Q3154+$P3155+$O3155)</f>
      </c>
      <c r="R3155" s="43">
        <f>IF($I3155=0,0,$J3155-$M3155-$N3155)</f>
      </c>
    </row>
    <row r="3156">
      <c r="A3156"/>
      <c r="B3156">
        <v>7</v>
      </c>
      <c r="C3156" s="43">
        <f>INDEX(DarlObj,7)</f>
      </c>
      <c r="D3156">
        <v>273</v>
      </c>
      <c r="E3156" s="51">
        <f>IF(INDEX(DarlBelegt,7)=0,0,EOMONTH(INDEX(DarlAuszahlung,7),272)+1)</f>
      </c>
      <c r="F3156" s="43">
        <f>IF($E3156=0,0,YEAR($E3156))</f>
      </c>
      <c r="G3156" s="43">
        <f>IF(INDEX(DarlBindung,7)="",1,IF($E3156&lt;=INDEX(DarlBindung,7),1,0))</f>
      </c>
      <c r="H3156" s="43">
        <f>IF($G3156=1,INDEX(DarlSollzins,7),INDEX(DarlAnschluss,7))</f>
      </c>
      <c r="I3156" s="43">
        <f>IF(INDEX(DarlBelegt,7)=0,0,IF(INDEX(DarlOhneTilgung,7)=1,IF(INDEX(DarlBindung,7)="",1,$G3156),IF($J3156&gt;0.005,1,0)))</f>
      </c>
      <c r="J3156" s="43">
        <f>IF($I3155=0,0,$R3155)</f>
      </c>
      <c r="K3156" s="43">
        <f>IF($I3156=0,0,IF(INDEX(DarlOhneTilgung,7)=1,0,IF(AND(INDEX(DarlTilgStart,7)&gt;0,$E3156=INDEX(DarlTilgStart,7)),$J3156*($H3156+INDEX(DarlTilgung,7))/100/12,IF(AND($G3156=0,$G3155=1),MAX($K3155,$J3156*($H3156+1)/100/12),$K3155))))</f>
      </c>
      <c r="L3156" s="43">
        <f>IF($I3156=0,0,$J3156*$H3156/100/12)</f>
      </c>
      <c r="M3156" s="43">
        <f>IF($I3156=0,0,IF(OR(INDEX(DarlOhneTilgung,7)=1,AND(INDEX(DarlTilgStart,7)&gt;0,$E3156&lt;INDEX(DarlTilgStart,7))),0,MIN(MAX(0,$K3156-$L3156),$J3156)))</f>
      </c>
      <c r="N3156" s="43">
        <f>IF($I3156=0,0,MIN(SUMIFS(SondBetrag,SondDarl,7,SondDatum,"&gt;="&amp;$E3156,SondDatum,"&lt;="&amp;EOMONTH($E3156,0)),$J3156-$M3156))</f>
      </c>
      <c r="O3156" s="43">
        <f>IF($I3156=0,0,INDEX(DarlErsatzRate,7))</f>
      </c>
      <c r="P3156" s="43">
        <f>IF($I3156=0,0,$Q3155*INDEX(DarlErsatzZins,7))</f>
      </c>
      <c r="Q3156" s="43">
        <f>IF($I3156=0,0,$Q3155+$P3156+$O3156)</f>
      </c>
      <c r="R3156" s="43">
        <f>IF($I3156=0,0,$J3156-$M3156-$N3156)</f>
      </c>
    </row>
    <row r="3157">
      <c r="A3157"/>
      <c r="B3157">
        <v>7</v>
      </c>
      <c r="C3157" s="43">
        <f>INDEX(DarlObj,7)</f>
      </c>
      <c r="D3157">
        <v>274</v>
      </c>
      <c r="E3157" s="51">
        <f>IF(INDEX(DarlBelegt,7)=0,0,EOMONTH(INDEX(DarlAuszahlung,7),273)+1)</f>
      </c>
      <c r="F3157" s="43">
        <f>IF($E3157=0,0,YEAR($E3157))</f>
      </c>
      <c r="G3157" s="43">
        <f>IF(INDEX(DarlBindung,7)="",1,IF($E3157&lt;=INDEX(DarlBindung,7),1,0))</f>
      </c>
      <c r="H3157" s="43">
        <f>IF($G3157=1,INDEX(DarlSollzins,7),INDEX(DarlAnschluss,7))</f>
      </c>
      <c r="I3157" s="43">
        <f>IF(INDEX(DarlBelegt,7)=0,0,IF(INDEX(DarlOhneTilgung,7)=1,IF(INDEX(DarlBindung,7)="",1,$G3157),IF($J3157&gt;0.005,1,0)))</f>
      </c>
      <c r="J3157" s="43">
        <f>IF($I3156=0,0,$R3156)</f>
      </c>
      <c r="K3157" s="43">
        <f>IF($I3157=0,0,IF(INDEX(DarlOhneTilgung,7)=1,0,IF(AND(INDEX(DarlTilgStart,7)&gt;0,$E3157=INDEX(DarlTilgStart,7)),$J3157*($H3157+INDEX(DarlTilgung,7))/100/12,IF(AND($G3157=0,$G3156=1),MAX($K3156,$J3157*($H3157+1)/100/12),$K3156))))</f>
      </c>
      <c r="L3157" s="43">
        <f>IF($I3157=0,0,$J3157*$H3157/100/12)</f>
      </c>
      <c r="M3157" s="43">
        <f>IF($I3157=0,0,IF(OR(INDEX(DarlOhneTilgung,7)=1,AND(INDEX(DarlTilgStart,7)&gt;0,$E3157&lt;INDEX(DarlTilgStart,7))),0,MIN(MAX(0,$K3157-$L3157),$J3157)))</f>
      </c>
      <c r="N3157" s="43">
        <f>IF($I3157=0,0,MIN(SUMIFS(SondBetrag,SondDarl,7,SondDatum,"&gt;="&amp;$E3157,SondDatum,"&lt;="&amp;EOMONTH($E3157,0)),$J3157-$M3157))</f>
      </c>
      <c r="O3157" s="43">
        <f>IF($I3157=0,0,INDEX(DarlErsatzRate,7))</f>
      </c>
      <c r="P3157" s="43">
        <f>IF($I3157=0,0,$Q3156*INDEX(DarlErsatzZins,7))</f>
      </c>
      <c r="Q3157" s="43">
        <f>IF($I3157=0,0,$Q3156+$P3157+$O3157)</f>
      </c>
      <c r="R3157" s="43">
        <f>IF($I3157=0,0,$J3157-$M3157-$N3157)</f>
      </c>
    </row>
    <row r="3158">
      <c r="A3158"/>
      <c r="B3158">
        <v>7</v>
      </c>
      <c r="C3158" s="43">
        <f>INDEX(DarlObj,7)</f>
      </c>
      <c r="D3158">
        <v>275</v>
      </c>
      <c r="E3158" s="51">
        <f>IF(INDEX(DarlBelegt,7)=0,0,EOMONTH(INDEX(DarlAuszahlung,7),274)+1)</f>
      </c>
      <c r="F3158" s="43">
        <f>IF($E3158=0,0,YEAR($E3158))</f>
      </c>
      <c r="G3158" s="43">
        <f>IF(INDEX(DarlBindung,7)="",1,IF($E3158&lt;=INDEX(DarlBindung,7),1,0))</f>
      </c>
      <c r="H3158" s="43">
        <f>IF($G3158=1,INDEX(DarlSollzins,7),INDEX(DarlAnschluss,7))</f>
      </c>
      <c r="I3158" s="43">
        <f>IF(INDEX(DarlBelegt,7)=0,0,IF(INDEX(DarlOhneTilgung,7)=1,IF(INDEX(DarlBindung,7)="",1,$G3158),IF($J3158&gt;0.005,1,0)))</f>
      </c>
      <c r="J3158" s="43">
        <f>IF($I3157=0,0,$R3157)</f>
      </c>
      <c r="K3158" s="43">
        <f>IF($I3158=0,0,IF(INDEX(DarlOhneTilgung,7)=1,0,IF(AND(INDEX(DarlTilgStart,7)&gt;0,$E3158=INDEX(DarlTilgStart,7)),$J3158*($H3158+INDEX(DarlTilgung,7))/100/12,IF(AND($G3158=0,$G3157=1),MAX($K3157,$J3158*($H3158+1)/100/12),$K3157))))</f>
      </c>
      <c r="L3158" s="43">
        <f>IF($I3158=0,0,$J3158*$H3158/100/12)</f>
      </c>
      <c r="M3158" s="43">
        <f>IF($I3158=0,0,IF(OR(INDEX(DarlOhneTilgung,7)=1,AND(INDEX(DarlTilgStart,7)&gt;0,$E3158&lt;INDEX(DarlTilgStart,7))),0,MIN(MAX(0,$K3158-$L3158),$J3158)))</f>
      </c>
      <c r="N3158" s="43">
        <f>IF($I3158=0,0,MIN(SUMIFS(SondBetrag,SondDarl,7,SondDatum,"&gt;="&amp;$E3158,SondDatum,"&lt;="&amp;EOMONTH($E3158,0)),$J3158-$M3158))</f>
      </c>
      <c r="O3158" s="43">
        <f>IF($I3158=0,0,INDEX(DarlErsatzRate,7))</f>
      </c>
      <c r="P3158" s="43">
        <f>IF($I3158=0,0,$Q3157*INDEX(DarlErsatzZins,7))</f>
      </c>
      <c r="Q3158" s="43">
        <f>IF($I3158=0,0,$Q3157+$P3158+$O3158)</f>
      </c>
      <c r="R3158" s="43">
        <f>IF($I3158=0,0,$J3158-$M3158-$N3158)</f>
      </c>
    </row>
    <row r="3159">
      <c r="A3159"/>
      <c r="B3159">
        <v>7</v>
      </c>
      <c r="C3159" s="43">
        <f>INDEX(DarlObj,7)</f>
      </c>
      <c r="D3159">
        <v>276</v>
      </c>
      <c r="E3159" s="51">
        <f>IF(INDEX(DarlBelegt,7)=0,0,EOMONTH(INDEX(DarlAuszahlung,7),275)+1)</f>
      </c>
      <c r="F3159" s="43">
        <f>IF($E3159=0,0,YEAR($E3159))</f>
      </c>
      <c r="G3159" s="43">
        <f>IF(INDEX(DarlBindung,7)="",1,IF($E3159&lt;=INDEX(DarlBindung,7),1,0))</f>
      </c>
      <c r="H3159" s="43">
        <f>IF($G3159=1,INDEX(DarlSollzins,7),INDEX(DarlAnschluss,7))</f>
      </c>
      <c r="I3159" s="43">
        <f>IF(INDEX(DarlBelegt,7)=0,0,IF(INDEX(DarlOhneTilgung,7)=1,IF(INDEX(DarlBindung,7)="",1,$G3159),IF($J3159&gt;0.005,1,0)))</f>
      </c>
      <c r="J3159" s="43">
        <f>IF($I3158=0,0,$R3158)</f>
      </c>
      <c r="K3159" s="43">
        <f>IF($I3159=0,0,IF(INDEX(DarlOhneTilgung,7)=1,0,IF(AND(INDEX(DarlTilgStart,7)&gt;0,$E3159=INDEX(DarlTilgStart,7)),$J3159*($H3159+INDEX(DarlTilgung,7))/100/12,IF(AND($G3159=0,$G3158=1),MAX($K3158,$J3159*($H3159+1)/100/12),$K3158))))</f>
      </c>
      <c r="L3159" s="43">
        <f>IF($I3159=0,0,$J3159*$H3159/100/12)</f>
      </c>
      <c r="M3159" s="43">
        <f>IF($I3159=0,0,IF(OR(INDEX(DarlOhneTilgung,7)=1,AND(INDEX(DarlTilgStart,7)&gt;0,$E3159&lt;INDEX(DarlTilgStart,7))),0,MIN(MAX(0,$K3159-$L3159),$J3159)))</f>
      </c>
      <c r="N3159" s="43">
        <f>IF($I3159=0,0,MIN(SUMIFS(SondBetrag,SondDarl,7,SondDatum,"&gt;="&amp;$E3159,SondDatum,"&lt;="&amp;EOMONTH($E3159,0)),$J3159-$M3159))</f>
      </c>
      <c r="O3159" s="43">
        <f>IF($I3159=0,0,INDEX(DarlErsatzRate,7))</f>
      </c>
      <c r="P3159" s="43">
        <f>IF($I3159=0,0,$Q3158*INDEX(DarlErsatzZins,7))</f>
      </c>
      <c r="Q3159" s="43">
        <f>IF($I3159=0,0,$Q3158+$P3159+$O3159)</f>
      </c>
      <c r="R3159" s="43">
        <f>IF($I3159=0,0,$J3159-$M3159-$N3159)</f>
      </c>
    </row>
    <row r="3160">
      <c r="A3160"/>
      <c r="B3160">
        <v>7</v>
      </c>
      <c r="C3160" s="43">
        <f>INDEX(DarlObj,7)</f>
      </c>
      <c r="D3160">
        <v>277</v>
      </c>
      <c r="E3160" s="51">
        <f>IF(INDEX(DarlBelegt,7)=0,0,EOMONTH(INDEX(DarlAuszahlung,7),276)+1)</f>
      </c>
      <c r="F3160" s="43">
        <f>IF($E3160=0,0,YEAR($E3160))</f>
      </c>
      <c r="G3160" s="43">
        <f>IF(INDEX(DarlBindung,7)="",1,IF($E3160&lt;=INDEX(DarlBindung,7),1,0))</f>
      </c>
      <c r="H3160" s="43">
        <f>IF($G3160=1,INDEX(DarlSollzins,7),INDEX(DarlAnschluss,7))</f>
      </c>
      <c r="I3160" s="43">
        <f>IF(INDEX(DarlBelegt,7)=0,0,IF(INDEX(DarlOhneTilgung,7)=1,IF(INDEX(DarlBindung,7)="",1,$G3160),IF($J3160&gt;0.005,1,0)))</f>
      </c>
      <c r="J3160" s="43">
        <f>IF($I3159=0,0,$R3159)</f>
      </c>
      <c r="K3160" s="43">
        <f>IF($I3160=0,0,IF(INDEX(DarlOhneTilgung,7)=1,0,IF(AND(INDEX(DarlTilgStart,7)&gt;0,$E3160=INDEX(DarlTilgStart,7)),$J3160*($H3160+INDEX(DarlTilgung,7))/100/12,IF(AND($G3160=0,$G3159=1),MAX($K3159,$J3160*($H3160+1)/100/12),$K3159))))</f>
      </c>
      <c r="L3160" s="43">
        <f>IF($I3160=0,0,$J3160*$H3160/100/12)</f>
      </c>
      <c r="M3160" s="43">
        <f>IF($I3160=0,0,IF(OR(INDEX(DarlOhneTilgung,7)=1,AND(INDEX(DarlTilgStart,7)&gt;0,$E3160&lt;INDEX(DarlTilgStart,7))),0,MIN(MAX(0,$K3160-$L3160),$J3160)))</f>
      </c>
      <c r="N3160" s="43">
        <f>IF($I3160=0,0,MIN(SUMIFS(SondBetrag,SondDarl,7,SondDatum,"&gt;="&amp;$E3160,SondDatum,"&lt;="&amp;EOMONTH($E3160,0)),$J3160-$M3160))</f>
      </c>
      <c r="O3160" s="43">
        <f>IF($I3160=0,0,INDEX(DarlErsatzRate,7))</f>
      </c>
      <c r="P3160" s="43">
        <f>IF($I3160=0,0,$Q3159*INDEX(DarlErsatzZins,7))</f>
      </c>
      <c r="Q3160" s="43">
        <f>IF($I3160=0,0,$Q3159+$P3160+$O3160)</f>
      </c>
      <c r="R3160" s="43">
        <f>IF($I3160=0,0,$J3160-$M3160-$N3160)</f>
      </c>
    </row>
    <row r="3161">
      <c r="A3161"/>
      <c r="B3161">
        <v>7</v>
      </c>
      <c r="C3161" s="43">
        <f>INDEX(DarlObj,7)</f>
      </c>
      <c r="D3161">
        <v>278</v>
      </c>
      <c r="E3161" s="51">
        <f>IF(INDEX(DarlBelegt,7)=0,0,EOMONTH(INDEX(DarlAuszahlung,7),277)+1)</f>
      </c>
      <c r="F3161" s="43">
        <f>IF($E3161=0,0,YEAR($E3161))</f>
      </c>
      <c r="G3161" s="43">
        <f>IF(INDEX(DarlBindung,7)="",1,IF($E3161&lt;=INDEX(DarlBindung,7),1,0))</f>
      </c>
      <c r="H3161" s="43">
        <f>IF($G3161=1,INDEX(DarlSollzins,7),INDEX(DarlAnschluss,7))</f>
      </c>
      <c r="I3161" s="43">
        <f>IF(INDEX(DarlBelegt,7)=0,0,IF(INDEX(DarlOhneTilgung,7)=1,IF(INDEX(DarlBindung,7)="",1,$G3161),IF($J3161&gt;0.005,1,0)))</f>
      </c>
      <c r="J3161" s="43">
        <f>IF($I3160=0,0,$R3160)</f>
      </c>
      <c r="K3161" s="43">
        <f>IF($I3161=0,0,IF(INDEX(DarlOhneTilgung,7)=1,0,IF(AND(INDEX(DarlTilgStart,7)&gt;0,$E3161=INDEX(DarlTilgStart,7)),$J3161*($H3161+INDEX(DarlTilgung,7))/100/12,IF(AND($G3161=0,$G3160=1),MAX($K3160,$J3161*($H3161+1)/100/12),$K3160))))</f>
      </c>
      <c r="L3161" s="43">
        <f>IF($I3161=0,0,$J3161*$H3161/100/12)</f>
      </c>
      <c r="M3161" s="43">
        <f>IF($I3161=0,0,IF(OR(INDEX(DarlOhneTilgung,7)=1,AND(INDEX(DarlTilgStart,7)&gt;0,$E3161&lt;INDEX(DarlTilgStart,7))),0,MIN(MAX(0,$K3161-$L3161),$J3161)))</f>
      </c>
      <c r="N3161" s="43">
        <f>IF($I3161=0,0,MIN(SUMIFS(SondBetrag,SondDarl,7,SondDatum,"&gt;="&amp;$E3161,SondDatum,"&lt;="&amp;EOMONTH($E3161,0)),$J3161-$M3161))</f>
      </c>
      <c r="O3161" s="43">
        <f>IF($I3161=0,0,INDEX(DarlErsatzRate,7))</f>
      </c>
      <c r="P3161" s="43">
        <f>IF($I3161=0,0,$Q3160*INDEX(DarlErsatzZins,7))</f>
      </c>
      <c r="Q3161" s="43">
        <f>IF($I3161=0,0,$Q3160+$P3161+$O3161)</f>
      </c>
      <c r="R3161" s="43">
        <f>IF($I3161=0,0,$J3161-$M3161-$N3161)</f>
      </c>
    </row>
    <row r="3162">
      <c r="A3162"/>
      <c r="B3162">
        <v>7</v>
      </c>
      <c r="C3162" s="43">
        <f>INDEX(DarlObj,7)</f>
      </c>
      <c r="D3162">
        <v>279</v>
      </c>
      <c r="E3162" s="51">
        <f>IF(INDEX(DarlBelegt,7)=0,0,EOMONTH(INDEX(DarlAuszahlung,7),278)+1)</f>
      </c>
      <c r="F3162" s="43">
        <f>IF($E3162=0,0,YEAR($E3162))</f>
      </c>
      <c r="G3162" s="43">
        <f>IF(INDEX(DarlBindung,7)="",1,IF($E3162&lt;=INDEX(DarlBindung,7),1,0))</f>
      </c>
      <c r="H3162" s="43">
        <f>IF($G3162=1,INDEX(DarlSollzins,7),INDEX(DarlAnschluss,7))</f>
      </c>
      <c r="I3162" s="43">
        <f>IF(INDEX(DarlBelegt,7)=0,0,IF(INDEX(DarlOhneTilgung,7)=1,IF(INDEX(DarlBindung,7)="",1,$G3162),IF($J3162&gt;0.005,1,0)))</f>
      </c>
      <c r="J3162" s="43">
        <f>IF($I3161=0,0,$R3161)</f>
      </c>
      <c r="K3162" s="43">
        <f>IF($I3162=0,0,IF(INDEX(DarlOhneTilgung,7)=1,0,IF(AND(INDEX(DarlTilgStart,7)&gt;0,$E3162=INDEX(DarlTilgStart,7)),$J3162*($H3162+INDEX(DarlTilgung,7))/100/12,IF(AND($G3162=0,$G3161=1),MAX($K3161,$J3162*($H3162+1)/100/12),$K3161))))</f>
      </c>
      <c r="L3162" s="43">
        <f>IF($I3162=0,0,$J3162*$H3162/100/12)</f>
      </c>
      <c r="M3162" s="43">
        <f>IF($I3162=0,0,IF(OR(INDEX(DarlOhneTilgung,7)=1,AND(INDEX(DarlTilgStart,7)&gt;0,$E3162&lt;INDEX(DarlTilgStart,7))),0,MIN(MAX(0,$K3162-$L3162),$J3162)))</f>
      </c>
      <c r="N3162" s="43">
        <f>IF($I3162=0,0,MIN(SUMIFS(SondBetrag,SondDarl,7,SondDatum,"&gt;="&amp;$E3162,SondDatum,"&lt;="&amp;EOMONTH($E3162,0)),$J3162-$M3162))</f>
      </c>
      <c r="O3162" s="43">
        <f>IF($I3162=0,0,INDEX(DarlErsatzRate,7))</f>
      </c>
      <c r="P3162" s="43">
        <f>IF($I3162=0,0,$Q3161*INDEX(DarlErsatzZins,7))</f>
      </c>
      <c r="Q3162" s="43">
        <f>IF($I3162=0,0,$Q3161+$P3162+$O3162)</f>
      </c>
      <c r="R3162" s="43">
        <f>IF($I3162=0,0,$J3162-$M3162-$N3162)</f>
      </c>
    </row>
    <row r="3163">
      <c r="A3163"/>
      <c r="B3163">
        <v>7</v>
      </c>
      <c r="C3163" s="43">
        <f>INDEX(DarlObj,7)</f>
      </c>
      <c r="D3163">
        <v>280</v>
      </c>
      <c r="E3163" s="51">
        <f>IF(INDEX(DarlBelegt,7)=0,0,EOMONTH(INDEX(DarlAuszahlung,7),279)+1)</f>
      </c>
      <c r="F3163" s="43">
        <f>IF($E3163=0,0,YEAR($E3163))</f>
      </c>
      <c r="G3163" s="43">
        <f>IF(INDEX(DarlBindung,7)="",1,IF($E3163&lt;=INDEX(DarlBindung,7),1,0))</f>
      </c>
      <c r="H3163" s="43">
        <f>IF($G3163=1,INDEX(DarlSollzins,7),INDEX(DarlAnschluss,7))</f>
      </c>
      <c r="I3163" s="43">
        <f>IF(INDEX(DarlBelegt,7)=0,0,IF(INDEX(DarlOhneTilgung,7)=1,IF(INDEX(DarlBindung,7)="",1,$G3163),IF($J3163&gt;0.005,1,0)))</f>
      </c>
      <c r="J3163" s="43">
        <f>IF($I3162=0,0,$R3162)</f>
      </c>
      <c r="K3163" s="43">
        <f>IF($I3163=0,0,IF(INDEX(DarlOhneTilgung,7)=1,0,IF(AND(INDEX(DarlTilgStart,7)&gt;0,$E3163=INDEX(DarlTilgStart,7)),$J3163*($H3163+INDEX(DarlTilgung,7))/100/12,IF(AND($G3163=0,$G3162=1),MAX($K3162,$J3163*($H3163+1)/100/12),$K3162))))</f>
      </c>
      <c r="L3163" s="43">
        <f>IF($I3163=0,0,$J3163*$H3163/100/12)</f>
      </c>
      <c r="M3163" s="43">
        <f>IF($I3163=0,0,IF(OR(INDEX(DarlOhneTilgung,7)=1,AND(INDEX(DarlTilgStart,7)&gt;0,$E3163&lt;INDEX(DarlTilgStart,7))),0,MIN(MAX(0,$K3163-$L3163),$J3163)))</f>
      </c>
      <c r="N3163" s="43">
        <f>IF($I3163=0,0,MIN(SUMIFS(SondBetrag,SondDarl,7,SondDatum,"&gt;="&amp;$E3163,SondDatum,"&lt;="&amp;EOMONTH($E3163,0)),$J3163-$M3163))</f>
      </c>
      <c r="O3163" s="43">
        <f>IF($I3163=0,0,INDEX(DarlErsatzRate,7))</f>
      </c>
      <c r="P3163" s="43">
        <f>IF($I3163=0,0,$Q3162*INDEX(DarlErsatzZins,7))</f>
      </c>
      <c r="Q3163" s="43">
        <f>IF($I3163=0,0,$Q3162+$P3163+$O3163)</f>
      </c>
      <c r="R3163" s="43">
        <f>IF($I3163=0,0,$J3163-$M3163-$N3163)</f>
      </c>
    </row>
    <row r="3164">
      <c r="A3164"/>
      <c r="B3164">
        <v>7</v>
      </c>
      <c r="C3164" s="43">
        <f>INDEX(DarlObj,7)</f>
      </c>
      <c r="D3164">
        <v>281</v>
      </c>
      <c r="E3164" s="51">
        <f>IF(INDEX(DarlBelegt,7)=0,0,EOMONTH(INDEX(DarlAuszahlung,7),280)+1)</f>
      </c>
      <c r="F3164" s="43">
        <f>IF($E3164=0,0,YEAR($E3164))</f>
      </c>
      <c r="G3164" s="43">
        <f>IF(INDEX(DarlBindung,7)="",1,IF($E3164&lt;=INDEX(DarlBindung,7),1,0))</f>
      </c>
      <c r="H3164" s="43">
        <f>IF($G3164=1,INDEX(DarlSollzins,7),INDEX(DarlAnschluss,7))</f>
      </c>
      <c r="I3164" s="43">
        <f>IF(INDEX(DarlBelegt,7)=0,0,IF(INDEX(DarlOhneTilgung,7)=1,IF(INDEX(DarlBindung,7)="",1,$G3164),IF($J3164&gt;0.005,1,0)))</f>
      </c>
      <c r="J3164" s="43">
        <f>IF($I3163=0,0,$R3163)</f>
      </c>
      <c r="K3164" s="43">
        <f>IF($I3164=0,0,IF(INDEX(DarlOhneTilgung,7)=1,0,IF(AND(INDEX(DarlTilgStart,7)&gt;0,$E3164=INDEX(DarlTilgStart,7)),$J3164*($H3164+INDEX(DarlTilgung,7))/100/12,IF(AND($G3164=0,$G3163=1),MAX($K3163,$J3164*($H3164+1)/100/12),$K3163))))</f>
      </c>
      <c r="L3164" s="43">
        <f>IF($I3164=0,0,$J3164*$H3164/100/12)</f>
      </c>
      <c r="M3164" s="43">
        <f>IF($I3164=0,0,IF(OR(INDEX(DarlOhneTilgung,7)=1,AND(INDEX(DarlTilgStart,7)&gt;0,$E3164&lt;INDEX(DarlTilgStart,7))),0,MIN(MAX(0,$K3164-$L3164),$J3164)))</f>
      </c>
      <c r="N3164" s="43">
        <f>IF($I3164=0,0,MIN(SUMIFS(SondBetrag,SondDarl,7,SondDatum,"&gt;="&amp;$E3164,SondDatum,"&lt;="&amp;EOMONTH($E3164,0)),$J3164-$M3164))</f>
      </c>
      <c r="O3164" s="43">
        <f>IF($I3164=0,0,INDEX(DarlErsatzRate,7))</f>
      </c>
      <c r="P3164" s="43">
        <f>IF($I3164=0,0,$Q3163*INDEX(DarlErsatzZins,7))</f>
      </c>
      <c r="Q3164" s="43">
        <f>IF($I3164=0,0,$Q3163+$P3164+$O3164)</f>
      </c>
      <c r="R3164" s="43">
        <f>IF($I3164=0,0,$J3164-$M3164-$N3164)</f>
      </c>
    </row>
    <row r="3165">
      <c r="A3165"/>
      <c r="B3165">
        <v>7</v>
      </c>
      <c r="C3165" s="43">
        <f>INDEX(DarlObj,7)</f>
      </c>
      <c r="D3165">
        <v>282</v>
      </c>
      <c r="E3165" s="51">
        <f>IF(INDEX(DarlBelegt,7)=0,0,EOMONTH(INDEX(DarlAuszahlung,7),281)+1)</f>
      </c>
      <c r="F3165" s="43">
        <f>IF($E3165=0,0,YEAR($E3165))</f>
      </c>
      <c r="G3165" s="43">
        <f>IF(INDEX(DarlBindung,7)="",1,IF($E3165&lt;=INDEX(DarlBindung,7),1,0))</f>
      </c>
      <c r="H3165" s="43">
        <f>IF($G3165=1,INDEX(DarlSollzins,7),INDEX(DarlAnschluss,7))</f>
      </c>
      <c r="I3165" s="43">
        <f>IF(INDEX(DarlBelegt,7)=0,0,IF(INDEX(DarlOhneTilgung,7)=1,IF(INDEX(DarlBindung,7)="",1,$G3165),IF($J3165&gt;0.005,1,0)))</f>
      </c>
      <c r="J3165" s="43">
        <f>IF($I3164=0,0,$R3164)</f>
      </c>
      <c r="K3165" s="43">
        <f>IF($I3165=0,0,IF(INDEX(DarlOhneTilgung,7)=1,0,IF(AND(INDEX(DarlTilgStart,7)&gt;0,$E3165=INDEX(DarlTilgStart,7)),$J3165*($H3165+INDEX(DarlTilgung,7))/100/12,IF(AND($G3165=0,$G3164=1),MAX($K3164,$J3165*($H3165+1)/100/12),$K3164))))</f>
      </c>
      <c r="L3165" s="43">
        <f>IF($I3165=0,0,$J3165*$H3165/100/12)</f>
      </c>
      <c r="M3165" s="43">
        <f>IF($I3165=0,0,IF(OR(INDEX(DarlOhneTilgung,7)=1,AND(INDEX(DarlTilgStart,7)&gt;0,$E3165&lt;INDEX(DarlTilgStart,7))),0,MIN(MAX(0,$K3165-$L3165),$J3165)))</f>
      </c>
      <c r="N3165" s="43">
        <f>IF($I3165=0,0,MIN(SUMIFS(SondBetrag,SondDarl,7,SondDatum,"&gt;="&amp;$E3165,SondDatum,"&lt;="&amp;EOMONTH($E3165,0)),$J3165-$M3165))</f>
      </c>
      <c r="O3165" s="43">
        <f>IF($I3165=0,0,INDEX(DarlErsatzRate,7))</f>
      </c>
      <c r="P3165" s="43">
        <f>IF($I3165=0,0,$Q3164*INDEX(DarlErsatzZins,7))</f>
      </c>
      <c r="Q3165" s="43">
        <f>IF($I3165=0,0,$Q3164+$P3165+$O3165)</f>
      </c>
      <c r="R3165" s="43">
        <f>IF($I3165=0,0,$J3165-$M3165-$N3165)</f>
      </c>
    </row>
    <row r="3166">
      <c r="A3166"/>
      <c r="B3166">
        <v>7</v>
      </c>
      <c r="C3166" s="43">
        <f>INDEX(DarlObj,7)</f>
      </c>
      <c r="D3166">
        <v>283</v>
      </c>
      <c r="E3166" s="51">
        <f>IF(INDEX(DarlBelegt,7)=0,0,EOMONTH(INDEX(DarlAuszahlung,7),282)+1)</f>
      </c>
      <c r="F3166" s="43">
        <f>IF($E3166=0,0,YEAR($E3166))</f>
      </c>
      <c r="G3166" s="43">
        <f>IF(INDEX(DarlBindung,7)="",1,IF($E3166&lt;=INDEX(DarlBindung,7),1,0))</f>
      </c>
      <c r="H3166" s="43">
        <f>IF($G3166=1,INDEX(DarlSollzins,7),INDEX(DarlAnschluss,7))</f>
      </c>
      <c r="I3166" s="43">
        <f>IF(INDEX(DarlBelegt,7)=0,0,IF(INDEX(DarlOhneTilgung,7)=1,IF(INDEX(DarlBindung,7)="",1,$G3166),IF($J3166&gt;0.005,1,0)))</f>
      </c>
      <c r="J3166" s="43">
        <f>IF($I3165=0,0,$R3165)</f>
      </c>
      <c r="K3166" s="43">
        <f>IF($I3166=0,0,IF(INDEX(DarlOhneTilgung,7)=1,0,IF(AND(INDEX(DarlTilgStart,7)&gt;0,$E3166=INDEX(DarlTilgStart,7)),$J3166*($H3166+INDEX(DarlTilgung,7))/100/12,IF(AND($G3166=0,$G3165=1),MAX($K3165,$J3166*($H3166+1)/100/12),$K3165))))</f>
      </c>
      <c r="L3166" s="43">
        <f>IF($I3166=0,0,$J3166*$H3166/100/12)</f>
      </c>
      <c r="M3166" s="43">
        <f>IF($I3166=0,0,IF(OR(INDEX(DarlOhneTilgung,7)=1,AND(INDEX(DarlTilgStart,7)&gt;0,$E3166&lt;INDEX(DarlTilgStart,7))),0,MIN(MAX(0,$K3166-$L3166),$J3166)))</f>
      </c>
      <c r="N3166" s="43">
        <f>IF($I3166=0,0,MIN(SUMIFS(SondBetrag,SondDarl,7,SondDatum,"&gt;="&amp;$E3166,SondDatum,"&lt;="&amp;EOMONTH($E3166,0)),$J3166-$M3166))</f>
      </c>
      <c r="O3166" s="43">
        <f>IF($I3166=0,0,INDEX(DarlErsatzRate,7))</f>
      </c>
      <c r="P3166" s="43">
        <f>IF($I3166=0,0,$Q3165*INDEX(DarlErsatzZins,7))</f>
      </c>
      <c r="Q3166" s="43">
        <f>IF($I3166=0,0,$Q3165+$P3166+$O3166)</f>
      </c>
      <c r="R3166" s="43">
        <f>IF($I3166=0,0,$J3166-$M3166-$N3166)</f>
      </c>
    </row>
    <row r="3167">
      <c r="A3167"/>
      <c r="B3167">
        <v>7</v>
      </c>
      <c r="C3167" s="43">
        <f>INDEX(DarlObj,7)</f>
      </c>
      <c r="D3167">
        <v>284</v>
      </c>
      <c r="E3167" s="51">
        <f>IF(INDEX(DarlBelegt,7)=0,0,EOMONTH(INDEX(DarlAuszahlung,7),283)+1)</f>
      </c>
      <c r="F3167" s="43">
        <f>IF($E3167=0,0,YEAR($E3167))</f>
      </c>
      <c r="G3167" s="43">
        <f>IF(INDEX(DarlBindung,7)="",1,IF($E3167&lt;=INDEX(DarlBindung,7),1,0))</f>
      </c>
      <c r="H3167" s="43">
        <f>IF($G3167=1,INDEX(DarlSollzins,7),INDEX(DarlAnschluss,7))</f>
      </c>
      <c r="I3167" s="43">
        <f>IF(INDEX(DarlBelegt,7)=0,0,IF(INDEX(DarlOhneTilgung,7)=1,IF(INDEX(DarlBindung,7)="",1,$G3167),IF($J3167&gt;0.005,1,0)))</f>
      </c>
      <c r="J3167" s="43">
        <f>IF($I3166=0,0,$R3166)</f>
      </c>
      <c r="K3167" s="43">
        <f>IF($I3167=0,0,IF(INDEX(DarlOhneTilgung,7)=1,0,IF(AND(INDEX(DarlTilgStart,7)&gt;0,$E3167=INDEX(DarlTilgStart,7)),$J3167*($H3167+INDEX(DarlTilgung,7))/100/12,IF(AND($G3167=0,$G3166=1),MAX($K3166,$J3167*($H3167+1)/100/12),$K3166))))</f>
      </c>
      <c r="L3167" s="43">
        <f>IF($I3167=0,0,$J3167*$H3167/100/12)</f>
      </c>
      <c r="M3167" s="43">
        <f>IF($I3167=0,0,IF(OR(INDEX(DarlOhneTilgung,7)=1,AND(INDEX(DarlTilgStart,7)&gt;0,$E3167&lt;INDEX(DarlTilgStart,7))),0,MIN(MAX(0,$K3167-$L3167),$J3167)))</f>
      </c>
      <c r="N3167" s="43">
        <f>IF($I3167=0,0,MIN(SUMIFS(SondBetrag,SondDarl,7,SondDatum,"&gt;="&amp;$E3167,SondDatum,"&lt;="&amp;EOMONTH($E3167,0)),$J3167-$M3167))</f>
      </c>
      <c r="O3167" s="43">
        <f>IF($I3167=0,0,INDEX(DarlErsatzRate,7))</f>
      </c>
      <c r="P3167" s="43">
        <f>IF($I3167=0,0,$Q3166*INDEX(DarlErsatzZins,7))</f>
      </c>
      <c r="Q3167" s="43">
        <f>IF($I3167=0,0,$Q3166+$P3167+$O3167)</f>
      </c>
      <c r="R3167" s="43">
        <f>IF($I3167=0,0,$J3167-$M3167-$N3167)</f>
      </c>
    </row>
    <row r="3168">
      <c r="A3168"/>
      <c r="B3168">
        <v>7</v>
      </c>
      <c r="C3168" s="43">
        <f>INDEX(DarlObj,7)</f>
      </c>
      <c r="D3168">
        <v>285</v>
      </c>
      <c r="E3168" s="51">
        <f>IF(INDEX(DarlBelegt,7)=0,0,EOMONTH(INDEX(DarlAuszahlung,7),284)+1)</f>
      </c>
      <c r="F3168" s="43">
        <f>IF($E3168=0,0,YEAR($E3168))</f>
      </c>
      <c r="G3168" s="43">
        <f>IF(INDEX(DarlBindung,7)="",1,IF($E3168&lt;=INDEX(DarlBindung,7),1,0))</f>
      </c>
      <c r="H3168" s="43">
        <f>IF($G3168=1,INDEX(DarlSollzins,7),INDEX(DarlAnschluss,7))</f>
      </c>
      <c r="I3168" s="43">
        <f>IF(INDEX(DarlBelegt,7)=0,0,IF(INDEX(DarlOhneTilgung,7)=1,IF(INDEX(DarlBindung,7)="",1,$G3168),IF($J3168&gt;0.005,1,0)))</f>
      </c>
      <c r="J3168" s="43">
        <f>IF($I3167=0,0,$R3167)</f>
      </c>
      <c r="K3168" s="43">
        <f>IF($I3168=0,0,IF(INDEX(DarlOhneTilgung,7)=1,0,IF(AND(INDEX(DarlTilgStart,7)&gt;0,$E3168=INDEX(DarlTilgStart,7)),$J3168*($H3168+INDEX(DarlTilgung,7))/100/12,IF(AND($G3168=0,$G3167=1),MAX($K3167,$J3168*($H3168+1)/100/12),$K3167))))</f>
      </c>
      <c r="L3168" s="43">
        <f>IF($I3168=0,0,$J3168*$H3168/100/12)</f>
      </c>
      <c r="M3168" s="43">
        <f>IF($I3168=0,0,IF(OR(INDEX(DarlOhneTilgung,7)=1,AND(INDEX(DarlTilgStart,7)&gt;0,$E3168&lt;INDEX(DarlTilgStart,7))),0,MIN(MAX(0,$K3168-$L3168),$J3168)))</f>
      </c>
      <c r="N3168" s="43">
        <f>IF($I3168=0,0,MIN(SUMIFS(SondBetrag,SondDarl,7,SondDatum,"&gt;="&amp;$E3168,SondDatum,"&lt;="&amp;EOMONTH($E3168,0)),$J3168-$M3168))</f>
      </c>
      <c r="O3168" s="43">
        <f>IF($I3168=0,0,INDEX(DarlErsatzRate,7))</f>
      </c>
      <c r="P3168" s="43">
        <f>IF($I3168=0,0,$Q3167*INDEX(DarlErsatzZins,7))</f>
      </c>
      <c r="Q3168" s="43">
        <f>IF($I3168=0,0,$Q3167+$P3168+$O3168)</f>
      </c>
      <c r="R3168" s="43">
        <f>IF($I3168=0,0,$J3168-$M3168-$N3168)</f>
      </c>
    </row>
    <row r="3169">
      <c r="A3169"/>
      <c r="B3169">
        <v>7</v>
      </c>
      <c r="C3169" s="43">
        <f>INDEX(DarlObj,7)</f>
      </c>
      <c r="D3169">
        <v>286</v>
      </c>
      <c r="E3169" s="51">
        <f>IF(INDEX(DarlBelegt,7)=0,0,EOMONTH(INDEX(DarlAuszahlung,7),285)+1)</f>
      </c>
      <c r="F3169" s="43">
        <f>IF($E3169=0,0,YEAR($E3169))</f>
      </c>
      <c r="G3169" s="43">
        <f>IF(INDEX(DarlBindung,7)="",1,IF($E3169&lt;=INDEX(DarlBindung,7),1,0))</f>
      </c>
      <c r="H3169" s="43">
        <f>IF($G3169=1,INDEX(DarlSollzins,7),INDEX(DarlAnschluss,7))</f>
      </c>
      <c r="I3169" s="43">
        <f>IF(INDEX(DarlBelegt,7)=0,0,IF(INDEX(DarlOhneTilgung,7)=1,IF(INDEX(DarlBindung,7)="",1,$G3169),IF($J3169&gt;0.005,1,0)))</f>
      </c>
      <c r="J3169" s="43">
        <f>IF($I3168=0,0,$R3168)</f>
      </c>
      <c r="K3169" s="43">
        <f>IF($I3169=0,0,IF(INDEX(DarlOhneTilgung,7)=1,0,IF(AND(INDEX(DarlTilgStart,7)&gt;0,$E3169=INDEX(DarlTilgStart,7)),$J3169*($H3169+INDEX(DarlTilgung,7))/100/12,IF(AND($G3169=0,$G3168=1),MAX($K3168,$J3169*($H3169+1)/100/12),$K3168))))</f>
      </c>
      <c r="L3169" s="43">
        <f>IF($I3169=0,0,$J3169*$H3169/100/12)</f>
      </c>
      <c r="M3169" s="43">
        <f>IF($I3169=0,0,IF(OR(INDEX(DarlOhneTilgung,7)=1,AND(INDEX(DarlTilgStart,7)&gt;0,$E3169&lt;INDEX(DarlTilgStart,7))),0,MIN(MAX(0,$K3169-$L3169),$J3169)))</f>
      </c>
      <c r="N3169" s="43">
        <f>IF($I3169=0,0,MIN(SUMIFS(SondBetrag,SondDarl,7,SondDatum,"&gt;="&amp;$E3169,SondDatum,"&lt;="&amp;EOMONTH($E3169,0)),$J3169-$M3169))</f>
      </c>
      <c r="O3169" s="43">
        <f>IF($I3169=0,0,INDEX(DarlErsatzRate,7))</f>
      </c>
      <c r="P3169" s="43">
        <f>IF($I3169=0,0,$Q3168*INDEX(DarlErsatzZins,7))</f>
      </c>
      <c r="Q3169" s="43">
        <f>IF($I3169=0,0,$Q3168+$P3169+$O3169)</f>
      </c>
      <c r="R3169" s="43">
        <f>IF($I3169=0,0,$J3169-$M3169-$N3169)</f>
      </c>
    </row>
    <row r="3170">
      <c r="A3170"/>
      <c r="B3170">
        <v>7</v>
      </c>
      <c r="C3170" s="43">
        <f>INDEX(DarlObj,7)</f>
      </c>
      <c r="D3170">
        <v>287</v>
      </c>
      <c r="E3170" s="51">
        <f>IF(INDEX(DarlBelegt,7)=0,0,EOMONTH(INDEX(DarlAuszahlung,7),286)+1)</f>
      </c>
      <c r="F3170" s="43">
        <f>IF($E3170=0,0,YEAR($E3170))</f>
      </c>
      <c r="G3170" s="43">
        <f>IF(INDEX(DarlBindung,7)="",1,IF($E3170&lt;=INDEX(DarlBindung,7),1,0))</f>
      </c>
      <c r="H3170" s="43">
        <f>IF($G3170=1,INDEX(DarlSollzins,7),INDEX(DarlAnschluss,7))</f>
      </c>
      <c r="I3170" s="43">
        <f>IF(INDEX(DarlBelegt,7)=0,0,IF(INDEX(DarlOhneTilgung,7)=1,IF(INDEX(DarlBindung,7)="",1,$G3170),IF($J3170&gt;0.005,1,0)))</f>
      </c>
      <c r="J3170" s="43">
        <f>IF($I3169=0,0,$R3169)</f>
      </c>
      <c r="K3170" s="43">
        <f>IF($I3170=0,0,IF(INDEX(DarlOhneTilgung,7)=1,0,IF(AND(INDEX(DarlTilgStart,7)&gt;0,$E3170=INDEX(DarlTilgStart,7)),$J3170*($H3170+INDEX(DarlTilgung,7))/100/12,IF(AND($G3170=0,$G3169=1),MAX($K3169,$J3170*($H3170+1)/100/12),$K3169))))</f>
      </c>
      <c r="L3170" s="43">
        <f>IF($I3170=0,0,$J3170*$H3170/100/12)</f>
      </c>
      <c r="M3170" s="43">
        <f>IF($I3170=0,0,IF(OR(INDEX(DarlOhneTilgung,7)=1,AND(INDEX(DarlTilgStart,7)&gt;0,$E3170&lt;INDEX(DarlTilgStart,7))),0,MIN(MAX(0,$K3170-$L3170),$J3170)))</f>
      </c>
      <c r="N3170" s="43">
        <f>IF($I3170=0,0,MIN(SUMIFS(SondBetrag,SondDarl,7,SondDatum,"&gt;="&amp;$E3170,SondDatum,"&lt;="&amp;EOMONTH($E3170,0)),$J3170-$M3170))</f>
      </c>
      <c r="O3170" s="43">
        <f>IF($I3170=0,0,INDEX(DarlErsatzRate,7))</f>
      </c>
      <c r="P3170" s="43">
        <f>IF($I3170=0,0,$Q3169*INDEX(DarlErsatzZins,7))</f>
      </c>
      <c r="Q3170" s="43">
        <f>IF($I3170=0,0,$Q3169+$P3170+$O3170)</f>
      </c>
      <c r="R3170" s="43">
        <f>IF($I3170=0,0,$J3170-$M3170-$N3170)</f>
      </c>
    </row>
    <row r="3171">
      <c r="A3171"/>
      <c r="B3171">
        <v>7</v>
      </c>
      <c r="C3171" s="43">
        <f>INDEX(DarlObj,7)</f>
      </c>
      <c r="D3171">
        <v>288</v>
      </c>
      <c r="E3171" s="51">
        <f>IF(INDEX(DarlBelegt,7)=0,0,EOMONTH(INDEX(DarlAuszahlung,7),287)+1)</f>
      </c>
      <c r="F3171" s="43">
        <f>IF($E3171=0,0,YEAR($E3171))</f>
      </c>
      <c r="G3171" s="43">
        <f>IF(INDEX(DarlBindung,7)="",1,IF($E3171&lt;=INDEX(DarlBindung,7),1,0))</f>
      </c>
      <c r="H3171" s="43">
        <f>IF($G3171=1,INDEX(DarlSollzins,7),INDEX(DarlAnschluss,7))</f>
      </c>
      <c r="I3171" s="43">
        <f>IF(INDEX(DarlBelegt,7)=0,0,IF(INDEX(DarlOhneTilgung,7)=1,IF(INDEX(DarlBindung,7)="",1,$G3171),IF($J3171&gt;0.005,1,0)))</f>
      </c>
      <c r="J3171" s="43">
        <f>IF($I3170=0,0,$R3170)</f>
      </c>
      <c r="K3171" s="43">
        <f>IF($I3171=0,0,IF(INDEX(DarlOhneTilgung,7)=1,0,IF(AND(INDEX(DarlTilgStart,7)&gt;0,$E3171=INDEX(DarlTilgStart,7)),$J3171*($H3171+INDEX(DarlTilgung,7))/100/12,IF(AND($G3171=0,$G3170=1),MAX($K3170,$J3171*($H3171+1)/100/12),$K3170))))</f>
      </c>
      <c r="L3171" s="43">
        <f>IF($I3171=0,0,$J3171*$H3171/100/12)</f>
      </c>
      <c r="M3171" s="43">
        <f>IF($I3171=0,0,IF(OR(INDEX(DarlOhneTilgung,7)=1,AND(INDEX(DarlTilgStart,7)&gt;0,$E3171&lt;INDEX(DarlTilgStart,7))),0,MIN(MAX(0,$K3171-$L3171),$J3171)))</f>
      </c>
      <c r="N3171" s="43">
        <f>IF($I3171=0,0,MIN(SUMIFS(SondBetrag,SondDarl,7,SondDatum,"&gt;="&amp;$E3171,SondDatum,"&lt;="&amp;EOMONTH($E3171,0)),$J3171-$M3171))</f>
      </c>
      <c r="O3171" s="43">
        <f>IF($I3171=0,0,INDEX(DarlErsatzRate,7))</f>
      </c>
      <c r="P3171" s="43">
        <f>IF($I3171=0,0,$Q3170*INDEX(DarlErsatzZins,7))</f>
      </c>
      <c r="Q3171" s="43">
        <f>IF($I3171=0,0,$Q3170+$P3171+$O3171)</f>
      </c>
      <c r="R3171" s="43">
        <f>IF($I3171=0,0,$J3171-$M3171-$N3171)</f>
      </c>
    </row>
    <row r="3172">
      <c r="A3172"/>
      <c r="B3172">
        <v>7</v>
      </c>
      <c r="C3172" s="43">
        <f>INDEX(DarlObj,7)</f>
      </c>
      <c r="D3172">
        <v>289</v>
      </c>
      <c r="E3172" s="51">
        <f>IF(INDEX(DarlBelegt,7)=0,0,EOMONTH(INDEX(DarlAuszahlung,7),288)+1)</f>
      </c>
      <c r="F3172" s="43">
        <f>IF($E3172=0,0,YEAR($E3172))</f>
      </c>
      <c r="G3172" s="43">
        <f>IF(INDEX(DarlBindung,7)="",1,IF($E3172&lt;=INDEX(DarlBindung,7),1,0))</f>
      </c>
      <c r="H3172" s="43">
        <f>IF($G3172=1,INDEX(DarlSollzins,7),INDEX(DarlAnschluss,7))</f>
      </c>
      <c r="I3172" s="43">
        <f>IF(INDEX(DarlBelegt,7)=0,0,IF(INDEX(DarlOhneTilgung,7)=1,IF(INDEX(DarlBindung,7)="",1,$G3172),IF($J3172&gt;0.005,1,0)))</f>
      </c>
      <c r="J3172" s="43">
        <f>IF($I3171=0,0,$R3171)</f>
      </c>
      <c r="K3172" s="43">
        <f>IF($I3172=0,0,IF(INDEX(DarlOhneTilgung,7)=1,0,IF(AND(INDEX(DarlTilgStart,7)&gt;0,$E3172=INDEX(DarlTilgStart,7)),$J3172*($H3172+INDEX(DarlTilgung,7))/100/12,IF(AND($G3172=0,$G3171=1),MAX($K3171,$J3172*($H3172+1)/100/12),$K3171))))</f>
      </c>
      <c r="L3172" s="43">
        <f>IF($I3172=0,0,$J3172*$H3172/100/12)</f>
      </c>
      <c r="M3172" s="43">
        <f>IF($I3172=0,0,IF(OR(INDEX(DarlOhneTilgung,7)=1,AND(INDEX(DarlTilgStart,7)&gt;0,$E3172&lt;INDEX(DarlTilgStart,7))),0,MIN(MAX(0,$K3172-$L3172),$J3172)))</f>
      </c>
      <c r="N3172" s="43">
        <f>IF($I3172=0,0,MIN(SUMIFS(SondBetrag,SondDarl,7,SondDatum,"&gt;="&amp;$E3172,SondDatum,"&lt;="&amp;EOMONTH($E3172,0)),$J3172-$M3172))</f>
      </c>
      <c r="O3172" s="43">
        <f>IF($I3172=0,0,INDEX(DarlErsatzRate,7))</f>
      </c>
      <c r="P3172" s="43">
        <f>IF($I3172=0,0,$Q3171*INDEX(DarlErsatzZins,7))</f>
      </c>
      <c r="Q3172" s="43">
        <f>IF($I3172=0,0,$Q3171+$P3172+$O3172)</f>
      </c>
      <c r="R3172" s="43">
        <f>IF($I3172=0,0,$J3172-$M3172-$N3172)</f>
      </c>
    </row>
    <row r="3173">
      <c r="A3173"/>
      <c r="B3173">
        <v>7</v>
      </c>
      <c r="C3173" s="43">
        <f>INDEX(DarlObj,7)</f>
      </c>
      <c r="D3173">
        <v>290</v>
      </c>
      <c r="E3173" s="51">
        <f>IF(INDEX(DarlBelegt,7)=0,0,EOMONTH(INDEX(DarlAuszahlung,7),289)+1)</f>
      </c>
      <c r="F3173" s="43">
        <f>IF($E3173=0,0,YEAR($E3173))</f>
      </c>
      <c r="G3173" s="43">
        <f>IF(INDEX(DarlBindung,7)="",1,IF($E3173&lt;=INDEX(DarlBindung,7),1,0))</f>
      </c>
      <c r="H3173" s="43">
        <f>IF($G3173=1,INDEX(DarlSollzins,7),INDEX(DarlAnschluss,7))</f>
      </c>
      <c r="I3173" s="43">
        <f>IF(INDEX(DarlBelegt,7)=0,0,IF(INDEX(DarlOhneTilgung,7)=1,IF(INDEX(DarlBindung,7)="",1,$G3173),IF($J3173&gt;0.005,1,0)))</f>
      </c>
      <c r="J3173" s="43">
        <f>IF($I3172=0,0,$R3172)</f>
      </c>
      <c r="K3173" s="43">
        <f>IF($I3173=0,0,IF(INDEX(DarlOhneTilgung,7)=1,0,IF(AND(INDEX(DarlTilgStart,7)&gt;0,$E3173=INDEX(DarlTilgStart,7)),$J3173*($H3173+INDEX(DarlTilgung,7))/100/12,IF(AND($G3173=0,$G3172=1),MAX($K3172,$J3173*($H3173+1)/100/12),$K3172))))</f>
      </c>
      <c r="L3173" s="43">
        <f>IF($I3173=0,0,$J3173*$H3173/100/12)</f>
      </c>
      <c r="M3173" s="43">
        <f>IF($I3173=0,0,IF(OR(INDEX(DarlOhneTilgung,7)=1,AND(INDEX(DarlTilgStart,7)&gt;0,$E3173&lt;INDEX(DarlTilgStart,7))),0,MIN(MAX(0,$K3173-$L3173),$J3173)))</f>
      </c>
      <c r="N3173" s="43">
        <f>IF($I3173=0,0,MIN(SUMIFS(SondBetrag,SondDarl,7,SondDatum,"&gt;="&amp;$E3173,SondDatum,"&lt;="&amp;EOMONTH($E3173,0)),$J3173-$M3173))</f>
      </c>
      <c r="O3173" s="43">
        <f>IF($I3173=0,0,INDEX(DarlErsatzRate,7))</f>
      </c>
      <c r="P3173" s="43">
        <f>IF($I3173=0,0,$Q3172*INDEX(DarlErsatzZins,7))</f>
      </c>
      <c r="Q3173" s="43">
        <f>IF($I3173=0,0,$Q3172+$P3173+$O3173)</f>
      </c>
      <c r="R3173" s="43">
        <f>IF($I3173=0,0,$J3173-$M3173-$N3173)</f>
      </c>
    </row>
    <row r="3174">
      <c r="A3174"/>
      <c r="B3174">
        <v>7</v>
      </c>
      <c r="C3174" s="43">
        <f>INDEX(DarlObj,7)</f>
      </c>
      <c r="D3174">
        <v>291</v>
      </c>
      <c r="E3174" s="51">
        <f>IF(INDEX(DarlBelegt,7)=0,0,EOMONTH(INDEX(DarlAuszahlung,7),290)+1)</f>
      </c>
      <c r="F3174" s="43">
        <f>IF($E3174=0,0,YEAR($E3174))</f>
      </c>
      <c r="G3174" s="43">
        <f>IF(INDEX(DarlBindung,7)="",1,IF($E3174&lt;=INDEX(DarlBindung,7),1,0))</f>
      </c>
      <c r="H3174" s="43">
        <f>IF($G3174=1,INDEX(DarlSollzins,7),INDEX(DarlAnschluss,7))</f>
      </c>
      <c r="I3174" s="43">
        <f>IF(INDEX(DarlBelegt,7)=0,0,IF(INDEX(DarlOhneTilgung,7)=1,IF(INDEX(DarlBindung,7)="",1,$G3174),IF($J3174&gt;0.005,1,0)))</f>
      </c>
      <c r="J3174" s="43">
        <f>IF($I3173=0,0,$R3173)</f>
      </c>
      <c r="K3174" s="43">
        <f>IF($I3174=0,0,IF(INDEX(DarlOhneTilgung,7)=1,0,IF(AND(INDEX(DarlTilgStart,7)&gt;0,$E3174=INDEX(DarlTilgStart,7)),$J3174*($H3174+INDEX(DarlTilgung,7))/100/12,IF(AND($G3174=0,$G3173=1),MAX($K3173,$J3174*($H3174+1)/100/12),$K3173))))</f>
      </c>
      <c r="L3174" s="43">
        <f>IF($I3174=0,0,$J3174*$H3174/100/12)</f>
      </c>
      <c r="M3174" s="43">
        <f>IF($I3174=0,0,IF(OR(INDEX(DarlOhneTilgung,7)=1,AND(INDEX(DarlTilgStart,7)&gt;0,$E3174&lt;INDEX(DarlTilgStart,7))),0,MIN(MAX(0,$K3174-$L3174),$J3174)))</f>
      </c>
      <c r="N3174" s="43">
        <f>IF($I3174=0,0,MIN(SUMIFS(SondBetrag,SondDarl,7,SondDatum,"&gt;="&amp;$E3174,SondDatum,"&lt;="&amp;EOMONTH($E3174,0)),$J3174-$M3174))</f>
      </c>
      <c r="O3174" s="43">
        <f>IF($I3174=0,0,INDEX(DarlErsatzRate,7))</f>
      </c>
      <c r="P3174" s="43">
        <f>IF($I3174=0,0,$Q3173*INDEX(DarlErsatzZins,7))</f>
      </c>
      <c r="Q3174" s="43">
        <f>IF($I3174=0,0,$Q3173+$P3174+$O3174)</f>
      </c>
      <c r="R3174" s="43">
        <f>IF($I3174=0,0,$J3174-$M3174-$N3174)</f>
      </c>
    </row>
    <row r="3175">
      <c r="A3175"/>
      <c r="B3175">
        <v>7</v>
      </c>
      <c r="C3175" s="43">
        <f>INDEX(DarlObj,7)</f>
      </c>
      <c r="D3175">
        <v>292</v>
      </c>
      <c r="E3175" s="51">
        <f>IF(INDEX(DarlBelegt,7)=0,0,EOMONTH(INDEX(DarlAuszahlung,7),291)+1)</f>
      </c>
      <c r="F3175" s="43">
        <f>IF($E3175=0,0,YEAR($E3175))</f>
      </c>
      <c r="G3175" s="43">
        <f>IF(INDEX(DarlBindung,7)="",1,IF($E3175&lt;=INDEX(DarlBindung,7),1,0))</f>
      </c>
      <c r="H3175" s="43">
        <f>IF($G3175=1,INDEX(DarlSollzins,7),INDEX(DarlAnschluss,7))</f>
      </c>
      <c r="I3175" s="43">
        <f>IF(INDEX(DarlBelegt,7)=0,0,IF(INDEX(DarlOhneTilgung,7)=1,IF(INDEX(DarlBindung,7)="",1,$G3175),IF($J3175&gt;0.005,1,0)))</f>
      </c>
      <c r="J3175" s="43">
        <f>IF($I3174=0,0,$R3174)</f>
      </c>
      <c r="K3175" s="43">
        <f>IF($I3175=0,0,IF(INDEX(DarlOhneTilgung,7)=1,0,IF(AND(INDEX(DarlTilgStart,7)&gt;0,$E3175=INDEX(DarlTilgStart,7)),$J3175*($H3175+INDEX(DarlTilgung,7))/100/12,IF(AND($G3175=0,$G3174=1),MAX($K3174,$J3175*($H3175+1)/100/12),$K3174))))</f>
      </c>
      <c r="L3175" s="43">
        <f>IF($I3175=0,0,$J3175*$H3175/100/12)</f>
      </c>
      <c r="M3175" s="43">
        <f>IF($I3175=0,0,IF(OR(INDEX(DarlOhneTilgung,7)=1,AND(INDEX(DarlTilgStart,7)&gt;0,$E3175&lt;INDEX(DarlTilgStart,7))),0,MIN(MAX(0,$K3175-$L3175),$J3175)))</f>
      </c>
      <c r="N3175" s="43">
        <f>IF($I3175=0,0,MIN(SUMIFS(SondBetrag,SondDarl,7,SondDatum,"&gt;="&amp;$E3175,SondDatum,"&lt;="&amp;EOMONTH($E3175,0)),$J3175-$M3175))</f>
      </c>
      <c r="O3175" s="43">
        <f>IF($I3175=0,0,INDEX(DarlErsatzRate,7))</f>
      </c>
      <c r="P3175" s="43">
        <f>IF($I3175=0,0,$Q3174*INDEX(DarlErsatzZins,7))</f>
      </c>
      <c r="Q3175" s="43">
        <f>IF($I3175=0,0,$Q3174+$P3175+$O3175)</f>
      </c>
      <c r="R3175" s="43">
        <f>IF($I3175=0,0,$J3175-$M3175-$N3175)</f>
      </c>
    </row>
    <row r="3176">
      <c r="A3176"/>
      <c r="B3176">
        <v>7</v>
      </c>
      <c r="C3176" s="43">
        <f>INDEX(DarlObj,7)</f>
      </c>
      <c r="D3176">
        <v>293</v>
      </c>
      <c r="E3176" s="51">
        <f>IF(INDEX(DarlBelegt,7)=0,0,EOMONTH(INDEX(DarlAuszahlung,7),292)+1)</f>
      </c>
      <c r="F3176" s="43">
        <f>IF($E3176=0,0,YEAR($E3176))</f>
      </c>
      <c r="G3176" s="43">
        <f>IF(INDEX(DarlBindung,7)="",1,IF($E3176&lt;=INDEX(DarlBindung,7),1,0))</f>
      </c>
      <c r="H3176" s="43">
        <f>IF($G3176=1,INDEX(DarlSollzins,7),INDEX(DarlAnschluss,7))</f>
      </c>
      <c r="I3176" s="43">
        <f>IF(INDEX(DarlBelegt,7)=0,0,IF(INDEX(DarlOhneTilgung,7)=1,IF(INDEX(DarlBindung,7)="",1,$G3176),IF($J3176&gt;0.005,1,0)))</f>
      </c>
      <c r="J3176" s="43">
        <f>IF($I3175=0,0,$R3175)</f>
      </c>
      <c r="K3176" s="43">
        <f>IF($I3176=0,0,IF(INDEX(DarlOhneTilgung,7)=1,0,IF(AND(INDEX(DarlTilgStart,7)&gt;0,$E3176=INDEX(DarlTilgStart,7)),$J3176*($H3176+INDEX(DarlTilgung,7))/100/12,IF(AND($G3176=0,$G3175=1),MAX($K3175,$J3176*($H3176+1)/100/12),$K3175))))</f>
      </c>
      <c r="L3176" s="43">
        <f>IF($I3176=0,0,$J3176*$H3176/100/12)</f>
      </c>
      <c r="M3176" s="43">
        <f>IF($I3176=0,0,IF(OR(INDEX(DarlOhneTilgung,7)=1,AND(INDEX(DarlTilgStart,7)&gt;0,$E3176&lt;INDEX(DarlTilgStart,7))),0,MIN(MAX(0,$K3176-$L3176),$J3176)))</f>
      </c>
      <c r="N3176" s="43">
        <f>IF($I3176=0,0,MIN(SUMIFS(SondBetrag,SondDarl,7,SondDatum,"&gt;="&amp;$E3176,SondDatum,"&lt;="&amp;EOMONTH($E3176,0)),$J3176-$M3176))</f>
      </c>
      <c r="O3176" s="43">
        <f>IF($I3176=0,0,INDEX(DarlErsatzRate,7))</f>
      </c>
      <c r="P3176" s="43">
        <f>IF($I3176=0,0,$Q3175*INDEX(DarlErsatzZins,7))</f>
      </c>
      <c r="Q3176" s="43">
        <f>IF($I3176=0,0,$Q3175+$P3176+$O3176)</f>
      </c>
      <c r="R3176" s="43">
        <f>IF($I3176=0,0,$J3176-$M3176-$N3176)</f>
      </c>
    </row>
    <row r="3177">
      <c r="A3177"/>
      <c r="B3177">
        <v>7</v>
      </c>
      <c r="C3177" s="43">
        <f>INDEX(DarlObj,7)</f>
      </c>
      <c r="D3177">
        <v>294</v>
      </c>
      <c r="E3177" s="51">
        <f>IF(INDEX(DarlBelegt,7)=0,0,EOMONTH(INDEX(DarlAuszahlung,7),293)+1)</f>
      </c>
      <c r="F3177" s="43">
        <f>IF($E3177=0,0,YEAR($E3177))</f>
      </c>
      <c r="G3177" s="43">
        <f>IF(INDEX(DarlBindung,7)="",1,IF($E3177&lt;=INDEX(DarlBindung,7),1,0))</f>
      </c>
      <c r="H3177" s="43">
        <f>IF($G3177=1,INDEX(DarlSollzins,7),INDEX(DarlAnschluss,7))</f>
      </c>
      <c r="I3177" s="43">
        <f>IF(INDEX(DarlBelegt,7)=0,0,IF(INDEX(DarlOhneTilgung,7)=1,IF(INDEX(DarlBindung,7)="",1,$G3177),IF($J3177&gt;0.005,1,0)))</f>
      </c>
      <c r="J3177" s="43">
        <f>IF($I3176=0,0,$R3176)</f>
      </c>
      <c r="K3177" s="43">
        <f>IF($I3177=0,0,IF(INDEX(DarlOhneTilgung,7)=1,0,IF(AND(INDEX(DarlTilgStart,7)&gt;0,$E3177=INDEX(DarlTilgStart,7)),$J3177*($H3177+INDEX(DarlTilgung,7))/100/12,IF(AND($G3177=0,$G3176=1),MAX($K3176,$J3177*($H3177+1)/100/12),$K3176))))</f>
      </c>
      <c r="L3177" s="43">
        <f>IF($I3177=0,0,$J3177*$H3177/100/12)</f>
      </c>
      <c r="M3177" s="43">
        <f>IF($I3177=0,0,IF(OR(INDEX(DarlOhneTilgung,7)=1,AND(INDEX(DarlTilgStart,7)&gt;0,$E3177&lt;INDEX(DarlTilgStart,7))),0,MIN(MAX(0,$K3177-$L3177),$J3177)))</f>
      </c>
      <c r="N3177" s="43">
        <f>IF($I3177=0,0,MIN(SUMIFS(SondBetrag,SondDarl,7,SondDatum,"&gt;="&amp;$E3177,SondDatum,"&lt;="&amp;EOMONTH($E3177,0)),$J3177-$M3177))</f>
      </c>
      <c r="O3177" s="43">
        <f>IF($I3177=0,0,INDEX(DarlErsatzRate,7))</f>
      </c>
      <c r="P3177" s="43">
        <f>IF($I3177=0,0,$Q3176*INDEX(DarlErsatzZins,7))</f>
      </c>
      <c r="Q3177" s="43">
        <f>IF($I3177=0,0,$Q3176+$P3177+$O3177)</f>
      </c>
      <c r="R3177" s="43">
        <f>IF($I3177=0,0,$J3177-$M3177-$N3177)</f>
      </c>
    </row>
    <row r="3178">
      <c r="A3178"/>
      <c r="B3178">
        <v>7</v>
      </c>
      <c r="C3178" s="43">
        <f>INDEX(DarlObj,7)</f>
      </c>
      <c r="D3178">
        <v>295</v>
      </c>
      <c r="E3178" s="51">
        <f>IF(INDEX(DarlBelegt,7)=0,0,EOMONTH(INDEX(DarlAuszahlung,7),294)+1)</f>
      </c>
      <c r="F3178" s="43">
        <f>IF($E3178=0,0,YEAR($E3178))</f>
      </c>
      <c r="G3178" s="43">
        <f>IF(INDEX(DarlBindung,7)="",1,IF($E3178&lt;=INDEX(DarlBindung,7),1,0))</f>
      </c>
      <c r="H3178" s="43">
        <f>IF($G3178=1,INDEX(DarlSollzins,7),INDEX(DarlAnschluss,7))</f>
      </c>
      <c r="I3178" s="43">
        <f>IF(INDEX(DarlBelegt,7)=0,0,IF(INDEX(DarlOhneTilgung,7)=1,IF(INDEX(DarlBindung,7)="",1,$G3178),IF($J3178&gt;0.005,1,0)))</f>
      </c>
      <c r="J3178" s="43">
        <f>IF($I3177=0,0,$R3177)</f>
      </c>
      <c r="K3178" s="43">
        <f>IF($I3178=0,0,IF(INDEX(DarlOhneTilgung,7)=1,0,IF(AND(INDEX(DarlTilgStart,7)&gt;0,$E3178=INDEX(DarlTilgStart,7)),$J3178*($H3178+INDEX(DarlTilgung,7))/100/12,IF(AND($G3178=0,$G3177=1),MAX($K3177,$J3178*($H3178+1)/100/12),$K3177))))</f>
      </c>
      <c r="L3178" s="43">
        <f>IF($I3178=0,0,$J3178*$H3178/100/12)</f>
      </c>
      <c r="M3178" s="43">
        <f>IF($I3178=0,0,IF(OR(INDEX(DarlOhneTilgung,7)=1,AND(INDEX(DarlTilgStart,7)&gt;0,$E3178&lt;INDEX(DarlTilgStart,7))),0,MIN(MAX(0,$K3178-$L3178),$J3178)))</f>
      </c>
      <c r="N3178" s="43">
        <f>IF($I3178=0,0,MIN(SUMIFS(SondBetrag,SondDarl,7,SondDatum,"&gt;="&amp;$E3178,SondDatum,"&lt;="&amp;EOMONTH($E3178,0)),$J3178-$M3178))</f>
      </c>
      <c r="O3178" s="43">
        <f>IF($I3178=0,0,INDEX(DarlErsatzRate,7))</f>
      </c>
      <c r="P3178" s="43">
        <f>IF($I3178=0,0,$Q3177*INDEX(DarlErsatzZins,7))</f>
      </c>
      <c r="Q3178" s="43">
        <f>IF($I3178=0,0,$Q3177+$P3178+$O3178)</f>
      </c>
      <c r="R3178" s="43">
        <f>IF($I3178=0,0,$J3178-$M3178-$N3178)</f>
      </c>
    </row>
    <row r="3179">
      <c r="A3179"/>
      <c r="B3179">
        <v>7</v>
      </c>
      <c r="C3179" s="43">
        <f>INDEX(DarlObj,7)</f>
      </c>
      <c r="D3179">
        <v>296</v>
      </c>
      <c r="E3179" s="51">
        <f>IF(INDEX(DarlBelegt,7)=0,0,EOMONTH(INDEX(DarlAuszahlung,7),295)+1)</f>
      </c>
      <c r="F3179" s="43">
        <f>IF($E3179=0,0,YEAR($E3179))</f>
      </c>
      <c r="G3179" s="43">
        <f>IF(INDEX(DarlBindung,7)="",1,IF($E3179&lt;=INDEX(DarlBindung,7),1,0))</f>
      </c>
      <c r="H3179" s="43">
        <f>IF($G3179=1,INDEX(DarlSollzins,7),INDEX(DarlAnschluss,7))</f>
      </c>
      <c r="I3179" s="43">
        <f>IF(INDEX(DarlBelegt,7)=0,0,IF(INDEX(DarlOhneTilgung,7)=1,IF(INDEX(DarlBindung,7)="",1,$G3179),IF($J3179&gt;0.005,1,0)))</f>
      </c>
      <c r="J3179" s="43">
        <f>IF($I3178=0,0,$R3178)</f>
      </c>
      <c r="K3179" s="43">
        <f>IF($I3179=0,0,IF(INDEX(DarlOhneTilgung,7)=1,0,IF(AND(INDEX(DarlTilgStart,7)&gt;0,$E3179=INDEX(DarlTilgStart,7)),$J3179*($H3179+INDEX(DarlTilgung,7))/100/12,IF(AND($G3179=0,$G3178=1),MAX($K3178,$J3179*($H3179+1)/100/12),$K3178))))</f>
      </c>
      <c r="L3179" s="43">
        <f>IF($I3179=0,0,$J3179*$H3179/100/12)</f>
      </c>
      <c r="M3179" s="43">
        <f>IF($I3179=0,0,IF(OR(INDEX(DarlOhneTilgung,7)=1,AND(INDEX(DarlTilgStart,7)&gt;0,$E3179&lt;INDEX(DarlTilgStart,7))),0,MIN(MAX(0,$K3179-$L3179),$J3179)))</f>
      </c>
      <c r="N3179" s="43">
        <f>IF($I3179=0,0,MIN(SUMIFS(SondBetrag,SondDarl,7,SondDatum,"&gt;="&amp;$E3179,SondDatum,"&lt;="&amp;EOMONTH($E3179,0)),$J3179-$M3179))</f>
      </c>
      <c r="O3179" s="43">
        <f>IF($I3179=0,0,INDEX(DarlErsatzRate,7))</f>
      </c>
      <c r="P3179" s="43">
        <f>IF($I3179=0,0,$Q3178*INDEX(DarlErsatzZins,7))</f>
      </c>
      <c r="Q3179" s="43">
        <f>IF($I3179=0,0,$Q3178+$P3179+$O3179)</f>
      </c>
      <c r="R3179" s="43">
        <f>IF($I3179=0,0,$J3179-$M3179-$N3179)</f>
      </c>
    </row>
    <row r="3180">
      <c r="A3180"/>
      <c r="B3180">
        <v>7</v>
      </c>
      <c r="C3180" s="43">
        <f>INDEX(DarlObj,7)</f>
      </c>
      <c r="D3180">
        <v>297</v>
      </c>
      <c r="E3180" s="51">
        <f>IF(INDEX(DarlBelegt,7)=0,0,EOMONTH(INDEX(DarlAuszahlung,7),296)+1)</f>
      </c>
      <c r="F3180" s="43">
        <f>IF($E3180=0,0,YEAR($E3180))</f>
      </c>
      <c r="G3180" s="43">
        <f>IF(INDEX(DarlBindung,7)="",1,IF($E3180&lt;=INDEX(DarlBindung,7),1,0))</f>
      </c>
      <c r="H3180" s="43">
        <f>IF($G3180=1,INDEX(DarlSollzins,7),INDEX(DarlAnschluss,7))</f>
      </c>
      <c r="I3180" s="43">
        <f>IF(INDEX(DarlBelegt,7)=0,0,IF(INDEX(DarlOhneTilgung,7)=1,IF(INDEX(DarlBindung,7)="",1,$G3180),IF($J3180&gt;0.005,1,0)))</f>
      </c>
      <c r="J3180" s="43">
        <f>IF($I3179=0,0,$R3179)</f>
      </c>
      <c r="K3180" s="43">
        <f>IF($I3180=0,0,IF(INDEX(DarlOhneTilgung,7)=1,0,IF(AND(INDEX(DarlTilgStart,7)&gt;0,$E3180=INDEX(DarlTilgStart,7)),$J3180*($H3180+INDEX(DarlTilgung,7))/100/12,IF(AND($G3180=0,$G3179=1),MAX($K3179,$J3180*($H3180+1)/100/12),$K3179))))</f>
      </c>
      <c r="L3180" s="43">
        <f>IF($I3180=0,0,$J3180*$H3180/100/12)</f>
      </c>
      <c r="M3180" s="43">
        <f>IF($I3180=0,0,IF(OR(INDEX(DarlOhneTilgung,7)=1,AND(INDEX(DarlTilgStart,7)&gt;0,$E3180&lt;INDEX(DarlTilgStart,7))),0,MIN(MAX(0,$K3180-$L3180),$J3180)))</f>
      </c>
      <c r="N3180" s="43">
        <f>IF($I3180=0,0,MIN(SUMIFS(SondBetrag,SondDarl,7,SondDatum,"&gt;="&amp;$E3180,SondDatum,"&lt;="&amp;EOMONTH($E3180,0)),$J3180-$M3180))</f>
      </c>
      <c r="O3180" s="43">
        <f>IF($I3180=0,0,INDEX(DarlErsatzRate,7))</f>
      </c>
      <c r="P3180" s="43">
        <f>IF($I3180=0,0,$Q3179*INDEX(DarlErsatzZins,7))</f>
      </c>
      <c r="Q3180" s="43">
        <f>IF($I3180=0,0,$Q3179+$P3180+$O3180)</f>
      </c>
      <c r="R3180" s="43">
        <f>IF($I3180=0,0,$J3180-$M3180-$N3180)</f>
      </c>
    </row>
    <row r="3181">
      <c r="A3181"/>
      <c r="B3181">
        <v>7</v>
      </c>
      <c r="C3181" s="43">
        <f>INDEX(DarlObj,7)</f>
      </c>
      <c r="D3181">
        <v>298</v>
      </c>
      <c r="E3181" s="51">
        <f>IF(INDEX(DarlBelegt,7)=0,0,EOMONTH(INDEX(DarlAuszahlung,7),297)+1)</f>
      </c>
      <c r="F3181" s="43">
        <f>IF($E3181=0,0,YEAR($E3181))</f>
      </c>
      <c r="G3181" s="43">
        <f>IF(INDEX(DarlBindung,7)="",1,IF($E3181&lt;=INDEX(DarlBindung,7),1,0))</f>
      </c>
      <c r="H3181" s="43">
        <f>IF($G3181=1,INDEX(DarlSollzins,7),INDEX(DarlAnschluss,7))</f>
      </c>
      <c r="I3181" s="43">
        <f>IF(INDEX(DarlBelegt,7)=0,0,IF(INDEX(DarlOhneTilgung,7)=1,IF(INDEX(DarlBindung,7)="",1,$G3181),IF($J3181&gt;0.005,1,0)))</f>
      </c>
      <c r="J3181" s="43">
        <f>IF($I3180=0,0,$R3180)</f>
      </c>
      <c r="K3181" s="43">
        <f>IF($I3181=0,0,IF(INDEX(DarlOhneTilgung,7)=1,0,IF(AND(INDEX(DarlTilgStart,7)&gt;0,$E3181=INDEX(DarlTilgStart,7)),$J3181*($H3181+INDEX(DarlTilgung,7))/100/12,IF(AND($G3181=0,$G3180=1),MAX($K3180,$J3181*($H3181+1)/100/12),$K3180))))</f>
      </c>
      <c r="L3181" s="43">
        <f>IF($I3181=0,0,$J3181*$H3181/100/12)</f>
      </c>
      <c r="M3181" s="43">
        <f>IF($I3181=0,0,IF(OR(INDEX(DarlOhneTilgung,7)=1,AND(INDEX(DarlTilgStart,7)&gt;0,$E3181&lt;INDEX(DarlTilgStart,7))),0,MIN(MAX(0,$K3181-$L3181),$J3181)))</f>
      </c>
      <c r="N3181" s="43">
        <f>IF($I3181=0,0,MIN(SUMIFS(SondBetrag,SondDarl,7,SondDatum,"&gt;="&amp;$E3181,SondDatum,"&lt;="&amp;EOMONTH($E3181,0)),$J3181-$M3181))</f>
      </c>
      <c r="O3181" s="43">
        <f>IF($I3181=0,0,INDEX(DarlErsatzRate,7))</f>
      </c>
      <c r="P3181" s="43">
        <f>IF($I3181=0,0,$Q3180*INDEX(DarlErsatzZins,7))</f>
      </c>
      <c r="Q3181" s="43">
        <f>IF($I3181=0,0,$Q3180+$P3181+$O3181)</f>
      </c>
      <c r="R3181" s="43">
        <f>IF($I3181=0,0,$J3181-$M3181-$N3181)</f>
      </c>
    </row>
    <row r="3182">
      <c r="A3182"/>
      <c r="B3182">
        <v>7</v>
      </c>
      <c r="C3182" s="43">
        <f>INDEX(DarlObj,7)</f>
      </c>
      <c r="D3182">
        <v>299</v>
      </c>
      <c r="E3182" s="51">
        <f>IF(INDEX(DarlBelegt,7)=0,0,EOMONTH(INDEX(DarlAuszahlung,7),298)+1)</f>
      </c>
      <c r="F3182" s="43">
        <f>IF($E3182=0,0,YEAR($E3182))</f>
      </c>
      <c r="G3182" s="43">
        <f>IF(INDEX(DarlBindung,7)="",1,IF($E3182&lt;=INDEX(DarlBindung,7),1,0))</f>
      </c>
      <c r="H3182" s="43">
        <f>IF($G3182=1,INDEX(DarlSollzins,7),INDEX(DarlAnschluss,7))</f>
      </c>
      <c r="I3182" s="43">
        <f>IF(INDEX(DarlBelegt,7)=0,0,IF(INDEX(DarlOhneTilgung,7)=1,IF(INDEX(DarlBindung,7)="",1,$G3182),IF($J3182&gt;0.005,1,0)))</f>
      </c>
      <c r="J3182" s="43">
        <f>IF($I3181=0,0,$R3181)</f>
      </c>
      <c r="K3182" s="43">
        <f>IF($I3182=0,0,IF(INDEX(DarlOhneTilgung,7)=1,0,IF(AND(INDEX(DarlTilgStart,7)&gt;0,$E3182=INDEX(DarlTilgStart,7)),$J3182*($H3182+INDEX(DarlTilgung,7))/100/12,IF(AND($G3182=0,$G3181=1),MAX($K3181,$J3182*($H3182+1)/100/12),$K3181))))</f>
      </c>
      <c r="L3182" s="43">
        <f>IF($I3182=0,0,$J3182*$H3182/100/12)</f>
      </c>
      <c r="M3182" s="43">
        <f>IF($I3182=0,0,IF(OR(INDEX(DarlOhneTilgung,7)=1,AND(INDEX(DarlTilgStart,7)&gt;0,$E3182&lt;INDEX(DarlTilgStart,7))),0,MIN(MAX(0,$K3182-$L3182),$J3182)))</f>
      </c>
      <c r="N3182" s="43">
        <f>IF($I3182=0,0,MIN(SUMIFS(SondBetrag,SondDarl,7,SondDatum,"&gt;="&amp;$E3182,SondDatum,"&lt;="&amp;EOMONTH($E3182,0)),$J3182-$M3182))</f>
      </c>
      <c r="O3182" s="43">
        <f>IF($I3182=0,0,INDEX(DarlErsatzRate,7))</f>
      </c>
      <c r="P3182" s="43">
        <f>IF($I3182=0,0,$Q3181*INDEX(DarlErsatzZins,7))</f>
      </c>
      <c r="Q3182" s="43">
        <f>IF($I3182=0,0,$Q3181+$P3182+$O3182)</f>
      </c>
      <c r="R3182" s="43">
        <f>IF($I3182=0,0,$J3182-$M3182-$N3182)</f>
      </c>
    </row>
    <row r="3183">
      <c r="A3183"/>
      <c r="B3183">
        <v>7</v>
      </c>
      <c r="C3183" s="43">
        <f>INDEX(DarlObj,7)</f>
      </c>
      <c r="D3183">
        <v>300</v>
      </c>
      <c r="E3183" s="51">
        <f>IF(INDEX(DarlBelegt,7)=0,0,EOMONTH(INDEX(DarlAuszahlung,7),299)+1)</f>
      </c>
      <c r="F3183" s="43">
        <f>IF($E3183=0,0,YEAR($E3183))</f>
      </c>
      <c r="G3183" s="43">
        <f>IF(INDEX(DarlBindung,7)="",1,IF($E3183&lt;=INDEX(DarlBindung,7),1,0))</f>
      </c>
      <c r="H3183" s="43">
        <f>IF($G3183=1,INDEX(DarlSollzins,7),INDEX(DarlAnschluss,7))</f>
      </c>
      <c r="I3183" s="43">
        <f>IF(INDEX(DarlBelegt,7)=0,0,IF(INDEX(DarlOhneTilgung,7)=1,IF(INDEX(DarlBindung,7)="",1,$G3183),IF($J3183&gt;0.005,1,0)))</f>
      </c>
      <c r="J3183" s="43">
        <f>IF($I3182=0,0,$R3182)</f>
      </c>
      <c r="K3183" s="43">
        <f>IF($I3183=0,0,IF(INDEX(DarlOhneTilgung,7)=1,0,IF(AND(INDEX(DarlTilgStart,7)&gt;0,$E3183=INDEX(DarlTilgStart,7)),$J3183*($H3183+INDEX(DarlTilgung,7))/100/12,IF(AND($G3183=0,$G3182=1),MAX($K3182,$J3183*($H3183+1)/100/12),$K3182))))</f>
      </c>
      <c r="L3183" s="43">
        <f>IF($I3183=0,0,$J3183*$H3183/100/12)</f>
      </c>
      <c r="M3183" s="43">
        <f>IF($I3183=0,0,IF(OR(INDEX(DarlOhneTilgung,7)=1,AND(INDEX(DarlTilgStart,7)&gt;0,$E3183&lt;INDEX(DarlTilgStart,7))),0,MIN(MAX(0,$K3183-$L3183),$J3183)))</f>
      </c>
      <c r="N3183" s="43">
        <f>IF($I3183=0,0,MIN(SUMIFS(SondBetrag,SondDarl,7,SondDatum,"&gt;="&amp;$E3183,SondDatum,"&lt;="&amp;EOMONTH($E3183,0)),$J3183-$M3183))</f>
      </c>
      <c r="O3183" s="43">
        <f>IF($I3183=0,0,INDEX(DarlErsatzRate,7))</f>
      </c>
      <c r="P3183" s="43">
        <f>IF($I3183=0,0,$Q3182*INDEX(DarlErsatzZins,7))</f>
      </c>
      <c r="Q3183" s="43">
        <f>IF($I3183=0,0,$Q3182+$P3183+$O3183)</f>
      </c>
      <c r="R3183" s="43">
        <f>IF($I3183=0,0,$J3183-$M3183-$N3183)</f>
      </c>
    </row>
    <row r="3184">
      <c r="A3184"/>
      <c r="B3184">
        <v>7</v>
      </c>
      <c r="C3184" s="43">
        <f>INDEX(DarlObj,7)</f>
      </c>
      <c r="D3184">
        <v>301</v>
      </c>
      <c r="E3184" s="51">
        <f>IF(INDEX(DarlBelegt,7)=0,0,EOMONTH(INDEX(DarlAuszahlung,7),300)+1)</f>
      </c>
      <c r="F3184" s="43">
        <f>IF($E3184=0,0,YEAR($E3184))</f>
      </c>
      <c r="G3184" s="43">
        <f>IF(INDEX(DarlBindung,7)="",1,IF($E3184&lt;=INDEX(DarlBindung,7),1,0))</f>
      </c>
      <c r="H3184" s="43">
        <f>IF($G3184=1,INDEX(DarlSollzins,7),INDEX(DarlAnschluss,7))</f>
      </c>
      <c r="I3184" s="43">
        <f>IF(INDEX(DarlBelegt,7)=0,0,IF(INDEX(DarlOhneTilgung,7)=1,IF(INDEX(DarlBindung,7)="",1,$G3184),IF($J3184&gt;0.005,1,0)))</f>
      </c>
      <c r="J3184" s="43">
        <f>IF($I3183=0,0,$R3183)</f>
      </c>
      <c r="K3184" s="43">
        <f>IF($I3184=0,0,IF(INDEX(DarlOhneTilgung,7)=1,0,IF(AND(INDEX(DarlTilgStart,7)&gt;0,$E3184=INDEX(DarlTilgStart,7)),$J3184*($H3184+INDEX(DarlTilgung,7))/100/12,IF(AND($G3184=0,$G3183=1),MAX($K3183,$J3184*($H3184+1)/100/12),$K3183))))</f>
      </c>
      <c r="L3184" s="43">
        <f>IF($I3184=0,0,$J3184*$H3184/100/12)</f>
      </c>
      <c r="M3184" s="43">
        <f>IF($I3184=0,0,IF(OR(INDEX(DarlOhneTilgung,7)=1,AND(INDEX(DarlTilgStart,7)&gt;0,$E3184&lt;INDEX(DarlTilgStart,7))),0,MIN(MAX(0,$K3184-$L3184),$J3184)))</f>
      </c>
      <c r="N3184" s="43">
        <f>IF($I3184=0,0,MIN(SUMIFS(SondBetrag,SondDarl,7,SondDatum,"&gt;="&amp;$E3184,SondDatum,"&lt;="&amp;EOMONTH($E3184,0)),$J3184-$M3184))</f>
      </c>
      <c r="O3184" s="43">
        <f>IF($I3184=0,0,INDEX(DarlErsatzRate,7))</f>
      </c>
      <c r="P3184" s="43">
        <f>IF($I3184=0,0,$Q3183*INDEX(DarlErsatzZins,7))</f>
      </c>
      <c r="Q3184" s="43">
        <f>IF($I3184=0,0,$Q3183+$P3184+$O3184)</f>
      </c>
      <c r="R3184" s="43">
        <f>IF($I3184=0,0,$J3184-$M3184-$N3184)</f>
      </c>
    </row>
    <row r="3185">
      <c r="A3185"/>
      <c r="B3185">
        <v>7</v>
      </c>
      <c r="C3185" s="43">
        <f>INDEX(DarlObj,7)</f>
      </c>
      <c r="D3185">
        <v>302</v>
      </c>
      <c r="E3185" s="51">
        <f>IF(INDEX(DarlBelegt,7)=0,0,EOMONTH(INDEX(DarlAuszahlung,7),301)+1)</f>
      </c>
      <c r="F3185" s="43">
        <f>IF($E3185=0,0,YEAR($E3185))</f>
      </c>
      <c r="G3185" s="43">
        <f>IF(INDEX(DarlBindung,7)="",1,IF($E3185&lt;=INDEX(DarlBindung,7),1,0))</f>
      </c>
      <c r="H3185" s="43">
        <f>IF($G3185=1,INDEX(DarlSollzins,7),INDEX(DarlAnschluss,7))</f>
      </c>
      <c r="I3185" s="43">
        <f>IF(INDEX(DarlBelegt,7)=0,0,IF(INDEX(DarlOhneTilgung,7)=1,IF(INDEX(DarlBindung,7)="",1,$G3185),IF($J3185&gt;0.005,1,0)))</f>
      </c>
      <c r="J3185" s="43">
        <f>IF($I3184=0,0,$R3184)</f>
      </c>
      <c r="K3185" s="43">
        <f>IF($I3185=0,0,IF(INDEX(DarlOhneTilgung,7)=1,0,IF(AND(INDEX(DarlTilgStart,7)&gt;0,$E3185=INDEX(DarlTilgStart,7)),$J3185*($H3185+INDEX(DarlTilgung,7))/100/12,IF(AND($G3185=0,$G3184=1),MAX($K3184,$J3185*($H3185+1)/100/12),$K3184))))</f>
      </c>
      <c r="L3185" s="43">
        <f>IF($I3185=0,0,$J3185*$H3185/100/12)</f>
      </c>
      <c r="M3185" s="43">
        <f>IF($I3185=0,0,IF(OR(INDEX(DarlOhneTilgung,7)=1,AND(INDEX(DarlTilgStart,7)&gt;0,$E3185&lt;INDEX(DarlTilgStart,7))),0,MIN(MAX(0,$K3185-$L3185),$J3185)))</f>
      </c>
      <c r="N3185" s="43">
        <f>IF($I3185=0,0,MIN(SUMIFS(SondBetrag,SondDarl,7,SondDatum,"&gt;="&amp;$E3185,SondDatum,"&lt;="&amp;EOMONTH($E3185,0)),$J3185-$M3185))</f>
      </c>
      <c r="O3185" s="43">
        <f>IF($I3185=0,0,INDEX(DarlErsatzRate,7))</f>
      </c>
      <c r="P3185" s="43">
        <f>IF($I3185=0,0,$Q3184*INDEX(DarlErsatzZins,7))</f>
      </c>
      <c r="Q3185" s="43">
        <f>IF($I3185=0,0,$Q3184+$P3185+$O3185)</f>
      </c>
      <c r="R3185" s="43">
        <f>IF($I3185=0,0,$J3185-$M3185-$N3185)</f>
      </c>
    </row>
    <row r="3186">
      <c r="A3186"/>
      <c r="B3186">
        <v>7</v>
      </c>
      <c r="C3186" s="43">
        <f>INDEX(DarlObj,7)</f>
      </c>
      <c r="D3186">
        <v>303</v>
      </c>
      <c r="E3186" s="51">
        <f>IF(INDEX(DarlBelegt,7)=0,0,EOMONTH(INDEX(DarlAuszahlung,7),302)+1)</f>
      </c>
      <c r="F3186" s="43">
        <f>IF($E3186=0,0,YEAR($E3186))</f>
      </c>
      <c r="G3186" s="43">
        <f>IF(INDEX(DarlBindung,7)="",1,IF($E3186&lt;=INDEX(DarlBindung,7),1,0))</f>
      </c>
      <c r="H3186" s="43">
        <f>IF($G3186=1,INDEX(DarlSollzins,7),INDEX(DarlAnschluss,7))</f>
      </c>
      <c r="I3186" s="43">
        <f>IF(INDEX(DarlBelegt,7)=0,0,IF(INDEX(DarlOhneTilgung,7)=1,IF(INDEX(DarlBindung,7)="",1,$G3186),IF($J3186&gt;0.005,1,0)))</f>
      </c>
      <c r="J3186" s="43">
        <f>IF($I3185=0,0,$R3185)</f>
      </c>
      <c r="K3186" s="43">
        <f>IF($I3186=0,0,IF(INDEX(DarlOhneTilgung,7)=1,0,IF(AND(INDEX(DarlTilgStart,7)&gt;0,$E3186=INDEX(DarlTilgStart,7)),$J3186*($H3186+INDEX(DarlTilgung,7))/100/12,IF(AND($G3186=0,$G3185=1),MAX($K3185,$J3186*($H3186+1)/100/12),$K3185))))</f>
      </c>
      <c r="L3186" s="43">
        <f>IF($I3186=0,0,$J3186*$H3186/100/12)</f>
      </c>
      <c r="M3186" s="43">
        <f>IF($I3186=0,0,IF(OR(INDEX(DarlOhneTilgung,7)=1,AND(INDEX(DarlTilgStart,7)&gt;0,$E3186&lt;INDEX(DarlTilgStart,7))),0,MIN(MAX(0,$K3186-$L3186),$J3186)))</f>
      </c>
      <c r="N3186" s="43">
        <f>IF($I3186=0,0,MIN(SUMIFS(SondBetrag,SondDarl,7,SondDatum,"&gt;="&amp;$E3186,SondDatum,"&lt;="&amp;EOMONTH($E3186,0)),$J3186-$M3186))</f>
      </c>
      <c r="O3186" s="43">
        <f>IF($I3186=0,0,INDEX(DarlErsatzRate,7))</f>
      </c>
      <c r="P3186" s="43">
        <f>IF($I3186=0,0,$Q3185*INDEX(DarlErsatzZins,7))</f>
      </c>
      <c r="Q3186" s="43">
        <f>IF($I3186=0,0,$Q3185+$P3186+$O3186)</f>
      </c>
      <c r="R3186" s="43">
        <f>IF($I3186=0,0,$J3186-$M3186-$N3186)</f>
      </c>
    </row>
    <row r="3187">
      <c r="A3187"/>
      <c r="B3187">
        <v>7</v>
      </c>
      <c r="C3187" s="43">
        <f>INDEX(DarlObj,7)</f>
      </c>
      <c r="D3187">
        <v>304</v>
      </c>
      <c r="E3187" s="51">
        <f>IF(INDEX(DarlBelegt,7)=0,0,EOMONTH(INDEX(DarlAuszahlung,7),303)+1)</f>
      </c>
      <c r="F3187" s="43">
        <f>IF($E3187=0,0,YEAR($E3187))</f>
      </c>
      <c r="G3187" s="43">
        <f>IF(INDEX(DarlBindung,7)="",1,IF($E3187&lt;=INDEX(DarlBindung,7),1,0))</f>
      </c>
      <c r="H3187" s="43">
        <f>IF($G3187=1,INDEX(DarlSollzins,7),INDEX(DarlAnschluss,7))</f>
      </c>
      <c r="I3187" s="43">
        <f>IF(INDEX(DarlBelegt,7)=0,0,IF(INDEX(DarlOhneTilgung,7)=1,IF(INDEX(DarlBindung,7)="",1,$G3187),IF($J3187&gt;0.005,1,0)))</f>
      </c>
      <c r="J3187" s="43">
        <f>IF($I3186=0,0,$R3186)</f>
      </c>
      <c r="K3187" s="43">
        <f>IF($I3187=0,0,IF(INDEX(DarlOhneTilgung,7)=1,0,IF(AND(INDEX(DarlTilgStart,7)&gt;0,$E3187=INDEX(DarlTilgStart,7)),$J3187*($H3187+INDEX(DarlTilgung,7))/100/12,IF(AND($G3187=0,$G3186=1),MAX($K3186,$J3187*($H3187+1)/100/12),$K3186))))</f>
      </c>
      <c r="L3187" s="43">
        <f>IF($I3187=0,0,$J3187*$H3187/100/12)</f>
      </c>
      <c r="M3187" s="43">
        <f>IF($I3187=0,0,IF(OR(INDEX(DarlOhneTilgung,7)=1,AND(INDEX(DarlTilgStart,7)&gt;0,$E3187&lt;INDEX(DarlTilgStart,7))),0,MIN(MAX(0,$K3187-$L3187),$J3187)))</f>
      </c>
      <c r="N3187" s="43">
        <f>IF($I3187=0,0,MIN(SUMIFS(SondBetrag,SondDarl,7,SondDatum,"&gt;="&amp;$E3187,SondDatum,"&lt;="&amp;EOMONTH($E3187,0)),$J3187-$M3187))</f>
      </c>
      <c r="O3187" s="43">
        <f>IF($I3187=0,0,INDEX(DarlErsatzRate,7))</f>
      </c>
      <c r="P3187" s="43">
        <f>IF($I3187=0,0,$Q3186*INDEX(DarlErsatzZins,7))</f>
      </c>
      <c r="Q3187" s="43">
        <f>IF($I3187=0,0,$Q3186+$P3187+$O3187)</f>
      </c>
      <c r="R3187" s="43">
        <f>IF($I3187=0,0,$J3187-$M3187-$N3187)</f>
      </c>
    </row>
    <row r="3188">
      <c r="A3188"/>
      <c r="B3188">
        <v>7</v>
      </c>
      <c r="C3188" s="43">
        <f>INDEX(DarlObj,7)</f>
      </c>
      <c r="D3188">
        <v>305</v>
      </c>
      <c r="E3188" s="51">
        <f>IF(INDEX(DarlBelegt,7)=0,0,EOMONTH(INDEX(DarlAuszahlung,7),304)+1)</f>
      </c>
      <c r="F3188" s="43">
        <f>IF($E3188=0,0,YEAR($E3188))</f>
      </c>
      <c r="G3188" s="43">
        <f>IF(INDEX(DarlBindung,7)="",1,IF($E3188&lt;=INDEX(DarlBindung,7),1,0))</f>
      </c>
      <c r="H3188" s="43">
        <f>IF($G3188=1,INDEX(DarlSollzins,7),INDEX(DarlAnschluss,7))</f>
      </c>
      <c r="I3188" s="43">
        <f>IF(INDEX(DarlBelegt,7)=0,0,IF(INDEX(DarlOhneTilgung,7)=1,IF(INDEX(DarlBindung,7)="",1,$G3188),IF($J3188&gt;0.005,1,0)))</f>
      </c>
      <c r="J3188" s="43">
        <f>IF($I3187=0,0,$R3187)</f>
      </c>
      <c r="K3188" s="43">
        <f>IF($I3188=0,0,IF(INDEX(DarlOhneTilgung,7)=1,0,IF(AND(INDEX(DarlTilgStart,7)&gt;0,$E3188=INDEX(DarlTilgStart,7)),$J3188*($H3188+INDEX(DarlTilgung,7))/100/12,IF(AND($G3188=0,$G3187=1),MAX($K3187,$J3188*($H3188+1)/100/12),$K3187))))</f>
      </c>
      <c r="L3188" s="43">
        <f>IF($I3188=0,0,$J3188*$H3188/100/12)</f>
      </c>
      <c r="M3188" s="43">
        <f>IF($I3188=0,0,IF(OR(INDEX(DarlOhneTilgung,7)=1,AND(INDEX(DarlTilgStart,7)&gt;0,$E3188&lt;INDEX(DarlTilgStart,7))),0,MIN(MAX(0,$K3188-$L3188),$J3188)))</f>
      </c>
      <c r="N3188" s="43">
        <f>IF($I3188=0,0,MIN(SUMIFS(SondBetrag,SondDarl,7,SondDatum,"&gt;="&amp;$E3188,SondDatum,"&lt;="&amp;EOMONTH($E3188,0)),$J3188-$M3188))</f>
      </c>
      <c r="O3188" s="43">
        <f>IF($I3188=0,0,INDEX(DarlErsatzRate,7))</f>
      </c>
      <c r="P3188" s="43">
        <f>IF($I3188=0,0,$Q3187*INDEX(DarlErsatzZins,7))</f>
      </c>
      <c r="Q3188" s="43">
        <f>IF($I3188=0,0,$Q3187+$P3188+$O3188)</f>
      </c>
      <c r="R3188" s="43">
        <f>IF($I3188=0,0,$J3188-$M3188-$N3188)</f>
      </c>
    </row>
    <row r="3189">
      <c r="A3189"/>
      <c r="B3189">
        <v>7</v>
      </c>
      <c r="C3189" s="43">
        <f>INDEX(DarlObj,7)</f>
      </c>
      <c r="D3189">
        <v>306</v>
      </c>
      <c r="E3189" s="51">
        <f>IF(INDEX(DarlBelegt,7)=0,0,EOMONTH(INDEX(DarlAuszahlung,7),305)+1)</f>
      </c>
      <c r="F3189" s="43">
        <f>IF($E3189=0,0,YEAR($E3189))</f>
      </c>
      <c r="G3189" s="43">
        <f>IF(INDEX(DarlBindung,7)="",1,IF($E3189&lt;=INDEX(DarlBindung,7),1,0))</f>
      </c>
      <c r="H3189" s="43">
        <f>IF($G3189=1,INDEX(DarlSollzins,7),INDEX(DarlAnschluss,7))</f>
      </c>
      <c r="I3189" s="43">
        <f>IF(INDEX(DarlBelegt,7)=0,0,IF(INDEX(DarlOhneTilgung,7)=1,IF(INDEX(DarlBindung,7)="",1,$G3189),IF($J3189&gt;0.005,1,0)))</f>
      </c>
      <c r="J3189" s="43">
        <f>IF($I3188=0,0,$R3188)</f>
      </c>
      <c r="K3189" s="43">
        <f>IF($I3189=0,0,IF(INDEX(DarlOhneTilgung,7)=1,0,IF(AND(INDEX(DarlTilgStart,7)&gt;0,$E3189=INDEX(DarlTilgStart,7)),$J3189*($H3189+INDEX(DarlTilgung,7))/100/12,IF(AND($G3189=0,$G3188=1),MAX($K3188,$J3189*($H3189+1)/100/12),$K3188))))</f>
      </c>
      <c r="L3189" s="43">
        <f>IF($I3189=0,0,$J3189*$H3189/100/12)</f>
      </c>
      <c r="M3189" s="43">
        <f>IF($I3189=0,0,IF(OR(INDEX(DarlOhneTilgung,7)=1,AND(INDEX(DarlTilgStart,7)&gt;0,$E3189&lt;INDEX(DarlTilgStart,7))),0,MIN(MAX(0,$K3189-$L3189),$J3189)))</f>
      </c>
      <c r="N3189" s="43">
        <f>IF($I3189=0,0,MIN(SUMIFS(SondBetrag,SondDarl,7,SondDatum,"&gt;="&amp;$E3189,SondDatum,"&lt;="&amp;EOMONTH($E3189,0)),$J3189-$M3189))</f>
      </c>
      <c r="O3189" s="43">
        <f>IF($I3189=0,0,INDEX(DarlErsatzRate,7))</f>
      </c>
      <c r="P3189" s="43">
        <f>IF($I3189=0,0,$Q3188*INDEX(DarlErsatzZins,7))</f>
      </c>
      <c r="Q3189" s="43">
        <f>IF($I3189=0,0,$Q3188+$P3189+$O3189)</f>
      </c>
      <c r="R3189" s="43">
        <f>IF($I3189=0,0,$J3189-$M3189-$N3189)</f>
      </c>
    </row>
    <row r="3190">
      <c r="A3190"/>
      <c r="B3190">
        <v>7</v>
      </c>
      <c r="C3190" s="43">
        <f>INDEX(DarlObj,7)</f>
      </c>
      <c r="D3190">
        <v>307</v>
      </c>
      <c r="E3190" s="51">
        <f>IF(INDEX(DarlBelegt,7)=0,0,EOMONTH(INDEX(DarlAuszahlung,7),306)+1)</f>
      </c>
      <c r="F3190" s="43">
        <f>IF($E3190=0,0,YEAR($E3190))</f>
      </c>
      <c r="G3190" s="43">
        <f>IF(INDEX(DarlBindung,7)="",1,IF($E3190&lt;=INDEX(DarlBindung,7),1,0))</f>
      </c>
      <c r="H3190" s="43">
        <f>IF($G3190=1,INDEX(DarlSollzins,7),INDEX(DarlAnschluss,7))</f>
      </c>
      <c r="I3190" s="43">
        <f>IF(INDEX(DarlBelegt,7)=0,0,IF(INDEX(DarlOhneTilgung,7)=1,IF(INDEX(DarlBindung,7)="",1,$G3190),IF($J3190&gt;0.005,1,0)))</f>
      </c>
      <c r="J3190" s="43">
        <f>IF($I3189=0,0,$R3189)</f>
      </c>
      <c r="K3190" s="43">
        <f>IF($I3190=0,0,IF(INDEX(DarlOhneTilgung,7)=1,0,IF(AND(INDEX(DarlTilgStart,7)&gt;0,$E3190=INDEX(DarlTilgStart,7)),$J3190*($H3190+INDEX(DarlTilgung,7))/100/12,IF(AND($G3190=0,$G3189=1),MAX($K3189,$J3190*($H3190+1)/100/12),$K3189))))</f>
      </c>
      <c r="L3190" s="43">
        <f>IF($I3190=0,0,$J3190*$H3190/100/12)</f>
      </c>
      <c r="M3190" s="43">
        <f>IF($I3190=0,0,IF(OR(INDEX(DarlOhneTilgung,7)=1,AND(INDEX(DarlTilgStart,7)&gt;0,$E3190&lt;INDEX(DarlTilgStart,7))),0,MIN(MAX(0,$K3190-$L3190),$J3190)))</f>
      </c>
      <c r="N3190" s="43">
        <f>IF($I3190=0,0,MIN(SUMIFS(SondBetrag,SondDarl,7,SondDatum,"&gt;="&amp;$E3190,SondDatum,"&lt;="&amp;EOMONTH($E3190,0)),$J3190-$M3190))</f>
      </c>
      <c r="O3190" s="43">
        <f>IF($I3190=0,0,INDEX(DarlErsatzRate,7))</f>
      </c>
      <c r="P3190" s="43">
        <f>IF($I3190=0,0,$Q3189*INDEX(DarlErsatzZins,7))</f>
      </c>
      <c r="Q3190" s="43">
        <f>IF($I3190=0,0,$Q3189+$P3190+$O3190)</f>
      </c>
      <c r="R3190" s="43">
        <f>IF($I3190=0,0,$J3190-$M3190-$N3190)</f>
      </c>
    </row>
    <row r="3191">
      <c r="A3191"/>
      <c r="B3191">
        <v>7</v>
      </c>
      <c r="C3191" s="43">
        <f>INDEX(DarlObj,7)</f>
      </c>
      <c r="D3191">
        <v>308</v>
      </c>
      <c r="E3191" s="51">
        <f>IF(INDEX(DarlBelegt,7)=0,0,EOMONTH(INDEX(DarlAuszahlung,7),307)+1)</f>
      </c>
      <c r="F3191" s="43">
        <f>IF($E3191=0,0,YEAR($E3191))</f>
      </c>
      <c r="G3191" s="43">
        <f>IF(INDEX(DarlBindung,7)="",1,IF($E3191&lt;=INDEX(DarlBindung,7),1,0))</f>
      </c>
      <c r="H3191" s="43">
        <f>IF($G3191=1,INDEX(DarlSollzins,7),INDEX(DarlAnschluss,7))</f>
      </c>
      <c r="I3191" s="43">
        <f>IF(INDEX(DarlBelegt,7)=0,0,IF(INDEX(DarlOhneTilgung,7)=1,IF(INDEX(DarlBindung,7)="",1,$G3191),IF($J3191&gt;0.005,1,0)))</f>
      </c>
      <c r="J3191" s="43">
        <f>IF($I3190=0,0,$R3190)</f>
      </c>
      <c r="K3191" s="43">
        <f>IF($I3191=0,0,IF(INDEX(DarlOhneTilgung,7)=1,0,IF(AND(INDEX(DarlTilgStart,7)&gt;0,$E3191=INDEX(DarlTilgStart,7)),$J3191*($H3191+INDEX(DarlTilgung,7))/100/12,IF(AND($G3191=0,$G3190=1),MAX($K3190,$J3191*($H3191+1)/100/12),$K3190))))</f>
      </c>
      <c r="L3191" s="43">
        <f>IF($I3191=0,0,$J3191*$H3191/100/12)</f>
      </c>
      <c r="M3191" s="43">
        <f>IF($I3191=0,0,IF(OR(INDEX(DarlOhneTilgung,7)=1,AND(INDEX(DarlTilgStart,7)&gt;0,$E3191&lt;INDEX(DarlTilgStart,7))),0,MIN(MAX(0,$K3191-$L3191),$J3191)))</f>
      </c>
      <c r="N3191" s="43">
        <f>IF($I3191=0,0,MIN(SUMIFS(SondBetrag,SondDarl,7,SondDatum,"&gt;="&amp;$E3191,SondDatum,"&lt;="&amp;EOMONTH($E3191,0)),$J3191-$M3191))</f>
      </c>
      <c r="O3191" s="43">
        <f>IF($I3191=0,0,INDEX(DarlErsatzRate,7))</f>
      </c>
      <c r="P3191" s="43">
        <f>IF($I3191=0,0,$Q3190*INDEX(DarlErsatzZins,7))</f>
      </c>
      <c r="Q3191" s="43">
        <f>IF($I3191=0,0,$Q3190+$P3191+$O3191)</f>
      </c>
      <c r="R3191" s="43">
        <f>IF($I3191=0,0,$J3191-$M3191-$N3191)</f>
      </c>
    </row>
    <row r="3192">
      <c r="A3192"/>
      <c r="B3192">
        <v>7</v>
      </c>
      <c r="C3192" s="43">
        <f>INDEX(DarlObj,7)</f>
      </c>
      <c r="D3192">
        <v>309</v>
      </c>
      <c r="E3192" s="51">
        <f>IF(INDEX(DarlBelegt,7)=0,0,EOMONTH(INDEX(DarlAuszahlung,7),308)+1)</f>
      </c>
      <c r="F3192" s="43">
        <f>IF($E3192=0,0,YEAR($E3192))</f>
      </c>
      <c r="G3192" s="43">
        <f>IF(INDEX(DarlBindung,7)="",1,IF($E3192&lt;=INDEX(DarlBindung,7),1,0))</f>
      </c>
      <c r="H3192" s="43">
        <f>IF($G3192=1,INDEX(DarlSollzins,7),INDEX(DarlAnschluss,7))</f>
      </c>
      <c r="I3192" s="43">
        <f>IF(INDEX(DarlBelegt,7)=0,0,IF(INDEX(DarlOhneTilgung,7)=1,IF(INDEX(DarlBindung,7)="",1,$G3192),IF($J3192&gt;0.005,1,0)))</f>
      </c>
      <c r="J3192" s="43">
        <f>IF($I3191=0,0,$R3191)</f>
      </c>
      <c r="K3192" s="43">
        <f>IF($I3192=0,0,IF(INDEX(DarlOhneTilgung,7)=1,0,IF(AND(INDEX(DarlTilgStart,7)&gt;0,$E3192=INDEX(DarlTilgStart,7)),$J3192*($H3192+INDEX(DarlTilgung,7))/100/12,IF(AND($G3192=0,$G3191=1),MAX($K3191,$J3192*($H3192+1)/100/12),$K3191))))</f>
      </c>
      <c r="L3192" s="43">
        <f>IF($I3192=0,0,$J3192*$H3192/100/12)</f>
      </c>
      <c r="M3192" s="43">
        <f>IF($I3192=0,0,IF(OR(INDEX(DarlOhneTilgung,7)=1,AND(INDEX(DarlTilgStart,7)&gt;0,$E3192&lt;INDEX(DarlTilgStart,7))),0,MIN(MAX(0,$K3192-$L3192),$J3192)))</f>
      </c>
      <c r="N3192" s="43">
        <f>IF($I3192=0,0,MIN(SUMIFS(SondBetrag,SondDarl,7,SondDatum,"&gt;="&amp;$E3192,SondDatum,"&lt;="&amp;EOMONTH($E3192,0)),$J3192-$M3192))</f>
      </c>
      <c r="O3192" s="43">
        <f>IF($I3192=0,0,INDEX(DarlErsatzRate,7))</f>
      </c>
      <c r="P3192" s="43">
        <f>IF($I3192=0,0,$Q3191*INDEX(DarlErsatzZins,7))</f>
      </c>
      <c r="Q3192" s="43">
        <f>IF($I3192=0,0,$Q3191+$P3192+$O3192)</f>
      </c>
      <c r="R3192" s="43">
        <f>IF($I3192=0,0,$J3192-$M3192-$N3192)</f>
      </c>
    </row>
    <row r="3193">
      <c r="A3193"/>
      <c r="B3193">
        <v>7</v>
      </c>
      <c r="C3193" s="43">
        <f>INDEX(DarlObj,7)</f>
      </c>
      <c r="D3193">
        <v>310</v>
      </c>
      <c r="E3193" s="51">
        <f>IF(INDEX(DarlBelegt,7)=0,0,EOMONTH(INDEX(DarlAuszahlung,7),309)+1)</f>
      </c>
      <c r="F3193" s="43">
        <f>IF($E3193=0,0,YEAR($E3193))</f>
      </c>
      <c r="G3193" s="43">
        <f>IF(INDEX(DarlBindung,7)="",1,IF($E3193&lt;=INDEX(DarlBindung,7),1,0))</f>
      </c>
      <c r="H3193" s="43">
        <f>IF($G3193=1,INDEX(DarlSollzins,7),INDEX(DarlAnschluss,7))</f>
      </c>
      <c r="I3193" s="43">
        <f>IF(INDEX(DarlBelegt,7)=0,0,IF(INDEX(DarlOhneTilgung,7)=1,IF(INDEX(DarlBindung,7)="",1,$G3193),IF($J3193&gt;0.005,1,0)))</f>
      </c>
      <c r="J3193" s="43">
        <f>IF($I3192=0,0,$R3192)</f>
      </c>
      <c r="K3193" s="43">
        <f>IF($I3193=0,0,IF(INDEX(DarlOhneTilgung,7)=1,0,IF(AND(INDEX(DarlTilgStart,7)&gt;0,$E3193=INDEX(DarlTilgStart,7)),$J3193*($H3193+INDEX(DarlTilgung,7))/100/12,IF(AND($G3193=0,$G3192=1),MAX($K3192,$J3193*($H3193+1)/100/12),$K3192))))</f>
      </c>
      <c r="L3193" s="43">
        <f>IF($I3193=0,0,$J3193*$H3193/100/12)</f>
      </c>
      <c r="M3193" s="43">
        <f>IF($I3193=0,0,IF(OR(INDEX(DarlOhneTilgung,7)=1,AND(INDEX(DarlTilgStart,7)&gt;0,$E3193&lt;INDEX(DarlTilgStart,7))),0,MIN(MAX(0,$K3193-$L3193),$J3193)))</f>
      </c>
      <c r="N3193" s="43">
        <f>IF($I3193=0,0,MIN(SUMIFS(SondBetrag,SondDarl,7,SondDatum,"&gt;="&amp;$E3193,SondDatum,"&lt;="&amp;EOMONTH($E3193,0)),$J3193-$M3193))</f>
      </c>
      <c r="O3193" s="43">
        <f>IF($I3193=0,0,INDEX(DarlErsatzRate,7))</f>
      </c>
      <c r="P3193" s="43">
        <f>IF($I3193=0,0,$Q3192*INDEX(DarlErsatzZins,7))</f>
      </c>
      <c r="Q3193" s="43">
        <f>IF($I3193=0,0,$Q3192+$P3193+$O3193)</f>
      </c>
      <c r="R3193" s="43">
        <f>IF($I3193=0,0,$J3193-$M3193-$N3193)</f>
      </c>
    </row>
    <row r="3194">
      <c r="A3194"/>
      <c r="B3194">
        <v>7</v>
      </c>
      <c r="C3194" s="43">
        <f>INDEX(DarlObj,7)</f>
      </c>
      <c r="D3194">
        <v>311</v>
      </c>
      <c r="E3194" s="51">
        <f>IF(INDEX(DarlBelegt,7)=0,0,EOMONTH(INDEX(DarlAuszahlung,7),310)+1)</f>
      </c>
      <c r="F3194" s="43">
        <f>IF($E3194=0,0,YEAR($E3194))</f>
      </c>
      <c r="G3194" s="43">
        <f>IF(INDEX(DarlBindung,7)="",1,IF($E3194&lt;=INDEX(DarlBindung,7),1,0))</f>
      </c>
      <c r="H3194" s="43">
        <f>IF($G3194=1,INDEX(DarlSollzins,7),INDEX(DarlAnschluss,7))</f>
      </c>
      <c r="I3194" s="43">
        <f>IF(INDEX(DarlBelegt,7)=0,0,IF(INDEX(DarlOhneTilgung,7)=1,IF(INDEX(DarlBindung,7)="",1,$G3194),IF($J3194&gt;0.005,1,0)))</f>
      </c>
      <c r="J3194" s="43">
        <f>IF($I3193=0,0,$R3193)</f>
      </c>
      <c r="K3194" s="43">
        <f>IF($I3194=0,0,IF(INDEX(DarlOhneTilgung,7)=1,0,IF(AND(INDEX(DarlTilgStart,7)&gt;0,$E3194=INDEX(DarlTilgStart,7)),$J3194*($H3194+INDEX(DarlTilgung,7))/100/12,IF(AND($G3194=0,$G3193=1),MAX($K3193,$J3194*($H3194+1)/100/12),$K3193))))</f>
      </c>
      <c r="L3194" s="43">
        <f>IF($I3194=0,0,$J3194*$H3194/100/12)</f>
      </c>
      <c r="M3194" s="43">
        <f>IF($I3194=0,0,IF(OR(INDEX(DarlOhneTilgung,7)=1,AND(INDEX(DarlTilgStart,7)&gt;0,$E3194&lt;INDEX(DarlTilgStart,7))),0,MIN(MAX(0,$K3194-$L3194),$J3194)))</f>
      </c>
      <c r="N3194" s="43">
        <f>IF($I3194=0,0,MIN(SUMIFS(SondBetrag,SondDarl,7,SondDatum,"&gt;="&amp;$E3194,SondDatum,"&lt;="&amp;EOMONTH($E3194,0)),$J3194-$M3194))</f>
      </c>
      <c r="O3194" s="43">
        <f>IF($I3194=0,0,INDEX(DarlErsatzRate,7))</f>
      </c>
      <c r="P3194" s="43">
        <f>IF($I3194=0,0,$Q3193*INDEX(DarlErsatzZins,7))</f>
      </c>
      <c r="Q3194" s="43">
        <f>IF($I3194=0,0,$Q3193+$P3194+$O3194)</f>
      </c>
      <c r="R3194" s="43">
        <f>IF($I3194=0,0,$J3194-$M3194-$N3194)</f>
      </c>
    </row>
    <row r="3195">
      <c r="A3195"/>
      <c r="B3195">
        <v>7</v>
      </c>
      <c r="C3195" s="43">
        <f>INDEX(DarlObj,7)</f>
      </c>
      <c r="D3195">
        <v>312</v>
      </c>
      <c r="E3195" s="51">
        <f>IF(INDEX(DarlBelegt,7)=0,0,EOMONTH(INDEX(DarlAuszahlung,7),311)+1)</f>
      </c>
      <c r="F3195" s="43">
        <f>IF($E3195=0,0,YEAR($E3195))</f>
      </c>
      <c r="G3195" s="43">
        <f>IF(INDEX(DarlBindung,7)="",1,IF($E3195&lt;=INDEX(DarlBindung,7),1,0))</f>
      </c>
      <c r="H3195" s="43">
        <f>IF($G3195=1,INDEX(DarlSollzins,7),INDEX(DarlAnschluss,7))</f>
      </c>
      <c r="I3195" s="43">
        <f>IF(INDEX(DarlBelegt,7)=0,0,IF(INDEX(DarlOhneTilgung,7)=1,IF(INDEX(DarlBindung,7)="",1,$G3195),IF($J3195&gt;0.005,1,0)))</f>
      </c>
      <c r="J3195" s="43">
        <f>IF($I3194=0,0,$R3194)</f>
      </c>
      <c r="K3195" s="43">
        <f>IF($I3195=0,0,IF(INDEX(DarlOhneTilgung,7)=1,0,IF(AND(INDEX(DarlTilgStart,7)&gt;0,$E3195=INDEX(DarlTilgStart,7)),$J3195*($H3195+INDEX(DarlTilgung,7))/100/12,IF(AND($G3195=0,$G3194=1),MAX($K3194,$J3195*($H3195+1)/100/12),$K3194))))</f>
      </c>
      <c r="L3195" s="43">
        <f>IF($I3195=0,0,$J3195*$H3195/100/12)</f>
      </c>
      <c r="M3195" s="43">
        <f>IF($I3195=0,0,IF(OR(INDEX(DarlOhneTilgung,7)=1,AND(INDEX(DarlTilgStart,7)&gt;0,$E3195&lt;INDEX(DarlTilgStart,7))),0,MIN(MAX(0,$K3195-$L3195),$J3195)))</f>
      </c>
      <c r="N3195" s="43">
        <f>IF($I3195=0,0,MIN(SUMIFS(SondBetrag,SondDarl,7,SondDatum,"&gt;="&amp;$E3195,SondDatum,"&lt;="&amp;EOMONTH($E3195,0)),$J3195-$M3195))</f>
      </c>
      <c r="O3195" s="43">
        <f>IF($I3195=0,0,INDEX(DarlErsatzRate,7))</f>
      </c>
      <c r="P3195" s="43">
        <f>IF($I3195=0,0,$Q3194*INDEX(DarlErsatzZins,7))</f>
      </c>
      <c r="Q3195" s="43">
        <f>IF($I3195=0,0,$Q3194+$P3195+$O3195)</f>
      </c>
      <c r="R3195" s="43">
        <f>IF($I3195=0,0,$J3195-$M3195-$N3195)</f>
      </c>
    </row>
    <row r="3196">
      <c r="A3196"/>
      <c r="B3196">
        <v>7</v>
      </c>
      <c r="C3196" s="43">
        <f>INDEX(DarlObj,7)</f>
      </c>
      <c r="D3196">
        <v>313</v>
      </c>
      <c r="E3196" s="51">
        <f>IF(INDEX(DarlBelegt,7)=0,0,EOMONTH(INDEX(DarlAuszahlung,7),312)+1)</f>
      </c>
      <c r="F3196" s="43">
        <f>IF($E3196=0,0,YEAR($E3196))</f>
      </c>
      <c r="G3196" s="43">
        <f>IF(INDEX(DarlBindung,7)="",1,IF($E3196&lt;=INDEX(DarlBindung,7),1,0))</f>
      </c>
      <c r="H3196" s="43">
        <f>IF($G3196=1,INDEX(DarlSollzins,7),INDEX(DarlAnschluss,7))</f>
      </c>
      <c r="I3196" s="43">
        <f>IF(INDEX(DarlBelegt,7)=0,0,IF(INDEX(DarlOhneTilgung,7)=1,IF(INDEX(DarlBindung,7)="",1,$G3196),IF($J3196&gt;0.005,1,0)))</f>
      </c>
      <c r="J3196" s="43">
        <f>IF($I3195=0,0,$R3195)</f>
      </c>
      <c r="K3196" s="43">
        <f>IF($I3196=0,0,IF(INDEX(DarlOhneTilgung,7)=1,0,IF(AND(INDEX(DarlTilgStart,7)&gt;0,$E3196=INDEX(DarlTilgStart,7)),$J3196*($H3196+INDEX(DarlTilgung,7))/100/12,IF(AND($G3196=0,$G3195=1),MAX($K3195,$J3196*($H3196+1)/100/12),$K3195))))</f>
      </c>
      <c r="L3196" s="43">
        <f>IF($I3196=0,0,$J3196*$H3196/100/12)</f>
      </c>
      <c r="M3196" s="43">
        <f>IF($I3196=0,0,IF(OR(INDEX(DarlOhneTilgung,7)=1,AND(INDEX(DarlTilgStart,7)&gt;0,$E3196&lt;INDEX(DarlTilgStart,7))),0,MIN(MAX(0,$K3196-$L3196),$J3196)))</f>
      </c>
      <c r="N3196" s="43">
        <f>IF($I3196=0,0,MIN(SUMIFS(SondBetrag,SondDarl,7,SondDatum,"&gt;="&amp;$E3196,SondDatum,"&lt;="&amp;EOMONTH($E3196,0)),$J3196-$M3196))</f>
      </c>
      <c r="O3196" s="43">
        <f>IF($I3196=0,0,INDEX(DarlErsatzRate,7))</f>
      </c>
      <c r="P3196" s="43">
        <f>IF($I3196=0,0,$Q3195*INDEX(DarlErsatzZins,7))</f>
      </c>
      <c r="Q3196" s="43">
        <f>IF($I3196=0,0,$Q3195+$P3196+$O3196)</f>
      </c>
      <c r="R3196" s="43">
        <f>IF($I3196=0,0,$J3196-$M3196-$N3196)</f>
      </c>
    </row>
    <row r="3197">
      <c r="A3197"/>
      <c r="B3197">
        <v>7</v>
      </c>
      <c r="C3197" s="43">
        <f>INDEX(DarlObj,7)</f>
      </c>
      <c r="D3197">
        <v>314</v>
      </c>
      <c r="E3197" s="51">
        <f>IF(INDEX(DarlBelegt,7)=0,0,EOMONTH(INDEX(DarlAuszahlung,7),313)+1)</f>
      </c>
      <c r="F3197" s="43">
        <f>IF($E3197=0,0,YEAR($E3197))</f>
      </c>
      <c r="G3197" s="43">
        <f>IF(INDEX(DarlBindung,7)="",1,IF($E3197&lt;=INDEX(DarlBindung,7),1,0))</f>
      </c>
      <c r="H3197" s="43">
        <f>IF($G3197=1,INDEX(DarlSollzins,7),INDEX(DarlAnschluss,7))</f>
      </c>
      <c r="I3197" s="43">
        <f>IF(INDEX(DarlBelegt,7)=0,0,IF(INDEX(DarlOhneTilgung,7)=1,IF(INDEX(DarlBindung,7)="",1,$G3197),IF($J3197&gt;0.005,1,0)))</f>
      </c>
      <c r="J3197" s="43">
        <f>IF($I3196=0,0,$R3196)</f>
      </c>
      <c r="K3197" s="43">
        <f>IF($I3197=0,0,IF(INDEX(DarlOhneTilgung,7)=1,0,IF(AND(INDEX(DarlTilgStart,7)&gt;0,$E3197=INDEX(DarlTilgStart,7)),$J3197*($H3197+INDEX(DarlTilgung,7))/100/12,IF(AND($G3197=0,$G3196=1),MAX($K3196,$J3197*($H3197+1)/100/12),$K3196))))</f>
      </c>
      <c r="L3197" s="43">
        <f>IF($I3197=0,0,$J3197*$H3197/100/12)</f>
      </c>
      <c r="M3197" s="43">
        <f>IF($I3197=0,0,IF(OR(INDEX(DarlOhneTilgung,7)=1,AND(INDEX(DarlTilgStart,7)&gt;0,$E3197&lt;INDEX(DarlTilgStart,7))),0,MIN(MAX(0,$K3197-$L3197),$J3197)))</f>
      </c>
      <c r="N3197" s="43">
        <f>IF($I3197=0,0,MIN(SUMIFS(SondBetrag,SondDarl,7,SondDatum,"&gt;="&amp;$E3197,SondDatum,"&lt;="&amp;EOMONTH($E3197,0)),$J3197-$M3197))</f>
      </c>
      <c r="O3197" s="43">
        <f>IF($I3197=0,0,INDEX(DarlErsatzRate,7))</f>
      </c>
      <c r="P3197" s="43">
        <f>IF($I3197=0,0,$Q3196*INDEX(DarlErsatzZins,7))</f>
      </c>
      <c r="Q3197" s="43">
        <f>IF($I3197=0,0,$Q3196+$P3197+$O3197)</f>
      </c>
      <c r="R3197" s="43">
        <f>IF($I3197=0,0,$J3197-$M3197-$N3197)</f>
      </c>
    </row>
    <row r="3198">
      <c r="A3198"/>
      <c r="B3198">
        <v>7</v>
      </c>
      <c r="C3198" s="43">
        <f>INDEX(DarlObj,7)</f>
      </c>
      <c r="D3198">
        <v>315</v>
      </c>
      <c r="E3198" s="51">
        <f>IF(INDEX(DarlBelegt,7)=0,0,EOMONTH(INDEX(DarlAuszahlung,7),314)+1)</f>
      </c>
      <c r="F3198" s="43">
        <f>IF($E3198=0,0,YEAR($E3198))</f>
      </c>
      <c r="G3198" s="43">
        <f>IF(INDEX(DarlBindung,7)="",1,IF($E3198&lt;=INDEX(DarlBindung,7),1,0))</f>
      </c>
      <c r="H3198" s="43">
        <f>IF($G3198=1,INDEX(DarlSollzins,7),INDEX(DarlAnschluss,7))</f>
      </c>
      <c r="I3198" s="43">
        <f>IF(INDEX(DarlBelegt,7)=0,0,IF(INDEX(DarlOhneTilgung,7)=1,IF(INDEX(DarlBindung,7)="",1,$G3198),IF($J3198&gt;0.005,1,0)))</f>
      </c>
      <c r="J3198" s="43">
        <f>IF($I3197=0,0,$R3197)</f>
      </c>
      <c r="K3198" s="43">
        <f>IF($I3198=0,0,IF(INDEX(DarlOhneTilgung,7)=1,0,IF(AND(INDEX(DarlTilgStart,7)&gt;0,$E3198=INDEX(DarlTilgStart,7)),$J3198*($H3198+INDEX(DarlTilgung,7))/100/12,IF(AND($G3198=0,$G3197=1),MAX($K3197,$J3198*($H3198+1)/100/12),$K3197))))</f>
      </c>
      <c r="L3198" s="43">
        <f>IF($I3198=0,0,$J3198*$H3198/100/12)</f>
      </c>
      <c r="M3198" s="43">
        <f>IF($I3198=0,0,IF(OR(INDEX(DarlOhneTilgung,7)=1,AND(INDEX(DarlTilgStart,7)&gt;0,$E3198&lt;INDEX(DarlTilgStart,7))),0,MIN(MAX(0,$K3198-$L3198),$J3198)))</f>
      </c>
      <c r="N3198" s="43">
        <f>IF($I3198=0,0,MIN(SUMIFS(SondBetrag,SondDarl,7,SondDatum,"&gt;="&amp;$E3198,SondDatum,"&lt;="&amp;EOMONTH($E3198,0)),$J3198-$M3198))</f>
      </c>
      <c r="O3198" s="43">
        <f>IF($I3198=0,0,INDEX(DarlErsatzRate,7))</f>
      </c>
      <c r="P3198" s="43">
        <f>IF($I3198=0,0,$Q3197*INDEX(DarlErsatzZins,7))</f>
      </c>
      <c r="Q3198" s="43">
        <f>IF($I3198=0,0,$Q3197+$P3198+$O3198)</f>
      </c>
      <c r="R3198" s="43">
        <f>IF($I3198=0,0,$J3198-$M3198-$N3198)</f>
      </c>
    </row>
    <row r="3199">
      <c r="A3199"/>
      <c r="B3199">
        <v>7</v>
      </c>
      <c r="C3199" s="43">
        <f>INDEX(DarlObj,7)</f>
      </c>
      <c r="D3199">
        <v>316</v>
      </c>
      <c r="E3199" s="51">
        <f>IF(INDEX(DarlBelegt,7)=0,0,EOMONTH(INDEX(DarlAuszahlung,7),315)+1)</f>
      </c>
      <c r="F3199" s="43">
        <f>IF($E3199=0,0,YEAR($E3199))</f>
      </c>
      <c r="G3199" s="43">
        <f>IF(INDEX(DarlBindung,7)="",1,IF($E3199&lt;=INDEX(DarlBindung,7),1,0))</f>
      </c>
      <c r="H3199" s="43">
        <f>IF($G3199=1,INDEX(DarlSollzins,7),INDEX(DarlAnschluss,7))</f>
      </c>
      <c r="I3199" s="43">
        <f>IF(INDEX(DarlBelegt,7)=0,0,IF(INDEX(DarlOhneTilgung,7)=1,IF(INDEX(DarlBindung,7)="",1,$G3199),IF($J3199&gt;0.005,1,0)))</f>
      </c>
      <c r="J3199" s="43">
        <f>IF($I3198=0,0,$R3198)</f>
      </c>
      <c r="K3199" s="43">
        <f>IF($I3199=0,0,IF(INDEX(DarlOhneTilgung,7)=1,0,IF(AND(INDEX(DarlTilgStart,7)&gt;0,$E3199=INDEX(DarlTilgStart,7)),$J3199*($H3199+INDEX(DarlTilgung,7))/100/12,IF(AND($G3199=0,$G3198=1),MAX($K3198,$J3199*($H3199+1)/100/12),$K3198))))</f>
      </c>
      <c r="L3199" s="43">
        <f>IF($I3199=0,0,$J3199*$H3199/100/12)</f>
      </c>
      <c r="M3199" s="43">
        <f>IF($I3199=0,0,IF(OR(INDEX(DarlOhneTilgung,7)=1,AND(INDEX(DarlTilgStart,7)&gt;0,$E3199&lt;INDEX(DarlTilgStart,7))),0,MIN(MAX(0,$K3199-$L3199),$J3199)))</f>
      </c>
      <c r="N3199" s="43">
        <f>IF($I3199=0,0,MIN(SUMIFS(SondBetrag,SondDarl,7,SondDatum,"&gt;="&amp;$E3199,SondDatum,"&lt;="&amp;EOMONTH($E3199,0)),$J3199-$M3199))</f>
      </c>
      <c r="O3199" s="43">
        <f>IF($I3199=0,0,INDEX(DarlErsatzRate,7))</f>
      </c>
      <c r="P3199" s="43">
        <f>IF($I3199=0,0,$Q3198*INDEX(DarlErsatzZins,7))</f>
      </c>
      <c r="Q3199" s="43">
        <f>IF($I3199=0,0,$Q3198+$P3199+$O3199)</f>
      </c>
      <c r="R3199" s="43">
        <f>IF($I3199=0,0,$J3199-$M3199-$N3199)</f>
      </c>
    </row>
    <row r="3200">
      <c r="A3200"/>
      <c r="B3200">
        <v>7</v>
      </c>
      <c r="C3200" s="43">
        <f>INDEX(DarlObj,7)</f>
      </c>
      <c r="D3200">
        <v>317</v>
      </c>
      <c r="E3200" s="51">
        <f>IF(INDEX(DarlBelegt,7)=0,0,EOMONTH(INDEX(DarlAuszahlung,7),316)+1)</f>
      </c>
      <c r="F3200" s="43">
        <f>IF($E3200=0,0,YEAR($E3200))</f>
      </c>
      <c r="G3200" s="43">
        <f>IF(INDEX(DarlBindung,7)="",1,IF($E3200&lt;=INDEX(DarlBindung,7),1,0))</f>
      </c>
      <c r="H3200" s="43">
        <f>IF($G3200=1,INDEX(DarlSollzins,7),INDEX(DarlAnschluss,7))</f>
      </c>
      <c r="I3200" s="43">
        <f>IF(INDEX(DarlBelegt,7)=0,0,IF(INDEX(DarlOhneTilgung,7)=1,IF(INDEX(DarlBindung,7)="",1,$G3200),IF($J3200&gt;0.005,1,0)))</f>
      </c>
      <c r="J3200" s="43">
        <f>IF($I3199=0,0,$R3199)</f>
      </c>
      <c r="K3200" s="43">
        <f>IF($I3200=0,0,IF(INDEX(DarlOhneTilgung,7)=1,0,IF(AND(INDEX(DarlTilgStart,7)&gt;0,$E3200=INDEX(DarlTilgStart,7)),$J3200*($H3200+INDEX(DarlTilgung,7))/100/12,IF(AND($G3200=0,$G3199=1),MAX($K3199,$J3200*($H3200+1)/100/12),$K3199))))</f>
      </c>
      <c r="L3200" s="43">
        <f>IF($I3200=0,0,$J3200*$H3200/100/12)</f>
      </c>
      <c r="M3200" s="43">
        <f>IF($I3200=0,0,IF(OR(INDEX(DarlOhneTilgung,7)=1,AND(INDEX(DarlTilgStart,7)&gt;0,$E3200&lt;INDEX(DarlTilgStart,7))),0,MIN(MAX(0,$K3200-$L3200),$J3200)))</f>
      </c>
      <c r="N3200" s="43">
        <f>IF($I3200=0,0,MIN(SUMIFS(SondBetrag,SondDarl,7,SondDatum,"&gt;="&amp;$E3200,SondDatum,"&lt;="&amp;EOMONTH($E3200,0)),$J3200-$M3200))</f>
      </c>
      <c r="O3200" s="43">
        <f>IF($I3200=0,0,INDEX(DarlErsatzRate,7))</f>
      </c>
      <c r="P3200" s="43">
        <f>IF($I3200=0,0,$Q3199*INDEX(DarlErsatzZins,7))</f>
      </c>
      <c r="Q3200" s="43">
        <f>IF($I3200=0,0,$Q3199+$P3200+$O3200)</f>
      </c>
      <c r="R3200" s="43">
        <f>IF($I3200=0,0,$J3200-$M3200-$N3200)</f>
      </c>
    </row>
    <row r="3201">
      <c r="A3201"/>
      <c r="B3201">
        <v>7</v>
      </c>
      <c r="C3201" s="43">
        <f>INDEX(DarlObj,7)</f>
      </c>
      <c r="D3201">
        <v>318</v>
      </c>
      <c r="E3201" s="51">
        <f>IF(INDEX(DarlBelegt,7)=0,0,EOMONTH(INDEX(DarlAuszahlung,7),317)+1)</f>
      </c>
      <c r="F3201" s="43">
        <f>IF($E3201=0,0,YEAR($E3201))</f>
      </c>
      <c r="G3201" s="43">
        <f>IF(INDEX(DarlBindung,7)="",1,IF($E3201&lt;=INDEX(DarlBindung,7),1,0))</f>
      </c>
      <c r="H3201" s="43">
        <f>IF($G3201=1,INDEX(DarlSollzins,7),INDEX(DarlAnschluss,7))</f>
      </c>
      <c r="I3201" s="43">
        <f>IF(INDEX(DarlBelegt,7)=0,0,IF(INDEX(DarlOhneTilgung,7)=1,IF(INDEX(DarlBindung,7)="",1,$G3201),IF($J3201&gt;0.005,1,0)))</f>
      </c>
      <c r="J3201" s="43">
        <f>IF($I3200=0,0,$R3200)</f>
      </c>
      <c r="K3201" s="43">
        <f>IF($I3201=0,0,IF(INDEX(DarlOhneTilgung,7)=1,0,IF(AND(INDEX(DarlTilgStart,7)&gt;0,$E3201=INDEX(DarlTilgStart,7)),$J3201*($H3201+INDEX(DarlTilgung,7))/100/12,IF(AND($G3201=0,$G3200=1),MAX($K3200,$J3201*($H3201+1)/100/12),$K3200))))</f>
      </c>
      <c r="L3201" s="43">
        <f>IF($I3201=0,0,$J3201*$H3201/100/12)</f>
      </c>
      <c r="M3201" s="43">
        <f>IF($I3201=0,0,IF(OR(INDEX(DarlOhneTilgung,7)=1,AND(INDEX(DarlTilgStart,7)&gt;0,$E3201&lt;INDEX(DarlTilgStart,7))),0,MIN(MAX(0,$K3201-$L3201),$J3201)))</f>
      </c>
      <c r="N3201" s="43">
        <f>IF($I3201=0,0,MIN(SUMIFS(SondBetrag,SondDarl,7,SondDatum,"&gt;="&amp;$E3201,SondDatum,"&lt;="&amp;EOMONTH($E3201,0)),$J3201-$M3201))</f>
      </c>
      <c r="O3201" s="43">
        <f>IF($I3201=0,0,INDEX(DarlErsatzRate,7))</f>
      </c>
      <c r="P3201" s="43">
        <f>IF($I3201=0,0,$Q3200*INDEX(DarlErsatzZins,7))</f>
      </c>
      <c r="Q3201" s="43">
        <f>IF($I3201=0,0,$Q3200+$P3201+$O3201)</f>
      </c>
      <c r="R3201" s="43">
        <f>IF($I3201=0,0,$J3201-$M3201-$N3201)</f>
      </c>
    </row>
    <row r="3202">
      <c r="A3202"/>
      <c r="B3202">
        <v>7</v>
      </c>
      <c r="C3202" s="43">
        <f>INDEX(DarlObj,7)</f>
      </c>
      <c r="D3202">
        <v>319</v>
      </c>
      <c r="E3202" s="51">
        <f>IF(INDEX(DarlBelegt,7)=0,0,EOMONTH(INDEX(DarlAuszahlung,7),318)+1)</f>
      </c>
      <c r="F3202" s="43">
        <f>IF($E3202=0,0,YEAR($E3202))</f>
      </c>
      <c r="G3202" s="43">
        <f>IF(INDEX(DarlBindung,7)="",1,IF($E3202&lt;=INDEX(DarlBindung,7),1,0))</f>
      </c>
      <c r="H3202" s="43">
        <f>IF($G3202=1,INDEX(DarlSollzins,7),INDEX(DarlAnschluss,7))</f>
      </c>
      <c r="I3202" s="43">
        <f>IF(INDEX(DarlBelegt,7)=0,0,IF(INDEX(DarlOhneTilgung,7)=1,IF(INDEX(DarlBindung,7)="",1,$G3202),IF($J3202&gt;0.005,1,0)))</f>
      </c>
      <c r="J3202" s="43">
        <f>IF($I3201=0,0,$R3201)</f>
      </c>
      <c r="K3202" s="43">
        <f>IF($I3202=0,0,IF(INDEX(DarlOhneTilgung,7)=1,0,IF(AND(INDEX(DarlTilgStart,7)&gt;0,$E3202=INDEX(DarlTilgStart,7)),$J3202*($H3202+INDEX(DarlTilgung,7))/100/12,IF(AND($G3202=0,$G3201=1),MAX($K3201,$J3202*($H3202+1)/100/12),$K3201))))</f>
      </c>
      <c r="L3202" s="43">
        <f>IF($I3202=0,0,$J3202*$H3202/100/12)</f>
      </c>
      <c r="M3202" s="43">
        <f>IF($I3202=0,0,IF(OR(INDEX(DarlOhneTilgung,7)=1,AND(INDEX(DarlTilgStart,7)&gt;0,$E3202&lt;INDEX(DarlTilgStart,7))),0,MIN(MAX(0,$K3202-$L3202),$J3202)))</f>
      </c>
      <c r="N3202" s="43">
        <f>IF($I3202=0,0,MIN(SUMIFS(SondBetrag,SondDarl,7,SondDatum,"&gt;="&amp;$E3202,SondDatum,"&lt;="&amp;EOMONTH($E3202,0)),$J3202-$M3202))</f>
      </c>
      <c r="O3202" s="43">
        <f>IF($I3202=0,0,INDEX(DarlErsatzRate,7))</f>
      </c>
      <c r="P3202" s="43">
        <f>IF($I3202=0,0,$Q3201*INDEX(DarlErsatzZins,7))</f>
      </c>
      <c r="Q3202" s="43">
        <f>IF($I3202=0,0,$Q3201+$P3202+$O3202)</f>
      </c>
      <c r="R3202" s="43">
        <f>IF($I3202=0,0,$J3202-$M3202-$N3202)</f>
      </c>
    </row>
    <row r="3203">
      <c r="A3203"/>
      <c r="B3203">
        <v>7</v>
      </c>
      <c r="C3203" s="43">
        <f>INDEX(DarlObj,7)</f>
      </c>
      <c r="D3203">
        <v>320</v>
      </c>
      <c r="E3203" s="51">
        <f>IF(INDEX(DarlBelegt,7)=0,0,EOMONTH(INDEX(DarlAuszahlung,7),319)+1)</f>
      </c>
      <c r="F3203" s="43">
        <f>IF($E3203=0,0,YEAR($E3203))</f>
      </c>
      <c r="G3203" s="43">
        <f>IF(INDEX(DarlBindung,7)="",1,IF($E3203&lt;=INDEX(DarlBindung,7),1,0))</f>
      </c>
      <c r="H3203" s="43">
        <f>IF($G3203=1,INDEX(DarlSollzins,7),INDEX(DarlAnschluss,7))</f>
      </c>
      <c r="I3203" s="43">
        <f>IF(INDEX(DarlBelegt,7)=0,0,IF(INDEX(DarlOhneTilgung,7)=1,IF(INDEX(DarlBindung,7)="",1,$G3203),IF($J3203&gt;0.005,1,0)))</f>
      </c>
      <c r="J3203" s="43">
        <f>IF($I3202=0,0,$R3202)</f>
      </c>
      <c r="K3203" s="43">
        <f>IF($I3203=0,0,IF(INDEX(DarlOhneTilgung,7)=1,0,IF(AND(INDEX(DarlTilgStart,7)&gt;0,$E3203=INDEX(DarlTilgStart,7)),$J3203*($H3203+INDEX(DarlTilgung,7))/100/12,IF(AND($G3203=0,$G3202=1),MAX($K3202,$J3203*($H3203+1)/100/12),$K3202))))</f>
      </c>
      <c r="L3203" s="43">
        <f>IF($I3203=0,0,$J3203*$H3203/100/12)</f>
      </c>
      <c r="M3203" s="43">
        <f>IF($I3203=0,0,IF(OR(INDEX(DarlOhneTilgung,7)=1,AND(INDEX(DarlTilgStart,7)&gt;0,$E3203&lt;INDEX(DarlTilgStart,7))),0,MIN(MAX(0,$K3203-$L3203),$J3203)))</f>
      </c>
      <c r="N3203" s="43">
        <f>IF($I3203=0,0,MIN(SUMIFS(SondBetrag,SondDarl,7,SondDatum,"&gt;="&amp;$E3203,SondDatum,"&lt;="&amp;EOMONTH($E3203,0)),$J3203-$M3203))</f>
      </c>
      <c r="O3203" s="43">
        <f>IF($I3203=0,0,INDEX(DarlErsatzRate,7))</f>
      </c>
      <c r="P3203" s="43">
        <f>IF($I3203=0,0,$Q3202*INDEX(DarlErsatzZins,7))</f>
      </c>
      <c r="Q3203" s="43">
        <f>IF($I3203=0,0,$Q3202+$P3203+$O3203)</f>
      </c>
      <c r="R3203" s="43">
        <f>IF($I3203=0,0,$J3203-$M3203-$N3203)</f>
      </c>
    </row>
    <row r="3204">
      <c r="A3204"/>
      <c r="B3204">
        <v>7</v>
      </c>
      <c r="C3204" s="43">
        <f>INDEX(DarlObj,7)</f>
      </c>
      <c r="D3204">
        <v>321</v>
      </c>
      <c r="E3204" s="51">
        <f>IF(INDEX(DarlBelegt,7)=0,0,EOMONTH(INDEX(DarlAuszahlung,7),320)+1)</f>
      </c>
      <c r="F3204" s="43">
        <f>IF($E3204=0,0,YEAR($E3204))</f>
      </c>
      <c r="G3204" s="43">
        <f>IF(INDEX(DarlBindung,7)="",1,IF($E3204&lt;=INDEX(DarlBindung,7),1,0))</f>
      </c>
      <c r="H3204" s="43">
        <f>IF($G3204=1,INDEX(DarlSollzins,7),INDEX(DarlAnschluss,7))</f>
      </c>
      <c r="I3204" s="43">
        <f>IF(INDEX(DarlBelegt,7)=0,0,IF(INDEX(DarlOhneTilgung,7)=1,IF(INDEX(DarlBindung,7)="",1,$G3204),IF($J3204&gt;0.005,1,0)))</f>
      </c>
      <c r="J3204" s="43">
        <f>IF($I3203=0,0,$R3203)</f>
      </c>
      <c r="K3204" s="43">
        <f>IF($I3204=0,0,IF(INDEX(DarlOhneTilgung,7)=1,0,IF(AND(INDEX(DarlTilgStart,7)&gt;0,$E3204=INDEX(DarlTilgStart,7)),$J3204*($H3204+INDEX(DarlTilgung,7))/100/12,IF(AND($G3204=0,$G3203=1),MAX($K3203,$J3204*($H3204+1)/100/12),$K3203))))</f>
      </c>
      <c r="L3204" s="43">
        <f>IF($I3204=0,0,$J3204*$H3204/100/12)</f>
      </c>
      <c r="M3204" s="43">
        <f>IF($I3204=0,0,IF(OR(INDEX(DarlOhneTilgung,7)=1,AND(INDEX(DarlTilgStart,7)&gt;0,$E3204&lt;INDEX(DarlTilgStart,7))),0,MIN(MAX(0,$K3204-$L3204),$J3204)))</f>
      </c>
      <c r="N3204" s="43">
        <f>IF($I3204=0,0,MIN(SUMIFS(SondBetrag,SondDarl,7,SondDatum,"&gt;="&amp;$E3204,SondDatum,"&lt;="&amp;EOMONTH($E3204,0)),$J3204-$M3204))</f>
      </c>
      <c r="O3204" s="43">
        <f>IF($I3204=0,0,INDEX(DarlErsatzRate,7))</f>
      </c>
      <c r="P3204" s="43">
        <f>IF($I3204=0,0,$Q3203*INDEX(DarlErsatzZins,7))</f>
      </c>
      <c r="Q3204" s="43">
        <f>IF($I3204=0,0,$Q3203+$P3204+$O3204)</f>
      </c>
      <c r="R3204" s="43">
        <f>IF($I3204=0,0,$J3204-$M3204-$N3204)</f>
      </c>
    </row>
    <row r="3205">
      <c r="A3205"/>
      <c r="B3205">
        <v>7</v>
      </c>
      <c r="C3205" s="43">
        <f>INDEX(DarlObj,7)</f>
      </c>
      <c r="D3205">
        <v>322</v>
      </c>
      <c r="E3205" s="51">
        <f>IF(INDEX(DarlBelegt,7)=0,0,EOMONTH(INDEX(DarlAuszahlung,7),321)+1)</f>
      </c>
      <c r="F3205" s="43">
        <f>IF($E3205=0,0,YEAR($E3205))</f>
      </c>
      <c r="G3205" s="43">
        <f>IF(INDEX(DarlBindung,7)="",1,IF($E3205&lt;=INDEX(DarlBindung,7),1,0))</f>
      </c>
      <c r="H3205" s="43">
        <f>IF($G3205=1,INDEX(DarlSollzins,7),INDEX(DarlAnschluss,7))</f>
      </c>
      <c r="I3205" s="43">
        <f>IF(INDEX(DarlBelegt,7)=0,0,IF(INDEX(DarlOhneTilgung,7)=1,IF(INDEX(DarlBindung,7)="",1,$G3205),IF($J3205&gt;0.005,1,0)))</f>
      </c>
      <c r="J3205" s="43">
        <f>IF($I3204=0,0,$R3204)</f>
      </c>
      <c r="K3205" s="43">
        <f>IF($I3205=0,0,IF(INDEX(DarlOhneTilgung,7)=1,0,IF(AND(INDEX(DarlTilgStart,7)&gt;0,$E3205=INDEX(DarlTilgStart,7)),$J3205*($H3205+INDEX(DarlTilgung,7))/100/12,IF(AND($G3205=0,$G3204=1),MAX($K3204,$J3205*($H3205+1)/100/12),$K3204))))</f>
      </c>
      <c r="L3205" s="43">
        <f>IF($I3205=0,0,$J3205*$H3205/100/12)</f>
      </c>
      <c r="M3205" s="43">
        <f>IF($I3205=0,0,IF(OR(INDEX(DarlOhneTilgung,7)=1,AND(INDEX(DarlTilgStart,7)&gt;0,$E3205&lt;INDEX(DarlTilgStart,7))),0,MIN(MAX(0,$K3205-$L3205),$J3205)))</f>
      </c>
      <c r="N3205" s="43">
        <f>IF($I3205=0,0,MIN(SUMIFS(SondBetrag,SondDarl,7,SondDatum,"&gt;="&amp;$E3205,SondDatum,"&lt;="&amp;EOMONTH($E3205,0)),$J3205-$M3205))</f>
      </c>
      <c r="O3205" s="43">
        <f>IF($I3205=0,0,INDEX(DarlErsatzRate,7))</f>
      </c>
      <c r="P3205" s="43">
        <f>IF($I3205=0,0,$Q3204*INDEX(DarlErsatzZins,7))</f>
      </c>
      <c r="Q3205" s="43">
        <f>IF($I3205=0,0,$Q3204+$P3205+$O3205)</f>
      </c>
      <c r="R3205" s="43">
        <f>IF($I3205=0,0,$J3205-$M3205-$N3205)</f>
      </c>
    </row>
    <row r="3206">
      <c r="A3206"/>
      <c r="B3206">
        <v>7</v>
      </c>
      <c r="C3206" s="43">
        <f>INDEX(DarlObj,7)</f>
      </c>
      <c r="D3206">
        <v>323</v>
      </c>
      <c r="E3206" s="51">
        <f>IF(INDEX(DarlBelegt,7)=0,0,EOMONTH(INDEX(DarlAuszahlung,7),322)+1)</f>
      </c>
      <c r="F3206" s="43">
        <f>IF($E3206=0,0,YEAR($E3206))</f>
      </c>
      <c r="G3206" s="43">
        <f>IF(INDEX(DarlBindung,7)="",1,IF($E3206&lt;=INDEX(DarlBindung,7),1,0))</f>
      </c>
      <c r="H3206" s="43">
        <f>IF($G3206=1,INDEX(DarlSollzins,7),INDEX(DarlAnschluss,7))</f>
      </c>
      <c r="I3206" s="43">
        <f>IF(INDEX(DarlBelegt,7)=0,0,IF(INDEX(DarlOhneTilgung,7)=1,IF(INDEX(DarlBindung,7)="",1,$G3206),IF($J3206&gt;0.005,1,0)))</f>
      </c>
      <c r="J3206" s="43">
        <f>IF($I3205=0,0,$R3205)</f>
      </c>
      <c r="K3206" s="43">
        <f>IF($I3206=0,0,IF(INDEX(DarlOhneTilgung,7)=1,0,IF(AND(INDEX(DarlTilgStart,7)&gt;0,$E3206=INDEX(DarlTilgStart,7)),$J3206*($H3206+INDEX(DarlTilgung,7))/100/12,IF(AND($G3206=0,$G3205=1),MAX($K3205,$J3206*($H3206+1)/100/12),$K3205))))</f>
      </c>
      <c r="L3206" s="43">
        <f>IF($I3206=0,0,$J3206*$H3206/100/12)</f>
      </c>
      <c r="M3206" s="43">
        <f>IF($I3206=0,0,IF(OR(INDEX(DarlOhneTilgung,7)=1,AND(INDEX(DarlTilgStart,7)&gt;0,$E3206&lt;INDEX(DarlTilgStart,7))),0,MIN(MAX(0,$K3206-$L3206),$J3206)))</f>
      </c>
      <c r="N3206" s="43">
        <f>IF($I3206=0,0,MIN(SUMIFS(SondBetrag,SondDarl,7,SondDatum,"&gt;="&amp;$E3206,SondDatum,"&lt;="&amp;EOMONTH($E3206,0)),$J3206-$M3206))</f>
      </c>
      <c r="O3206" s="43">
        <f>IF($I3206=0,0,INDEX(DarlErsatzRate,7))</f>
      </c>
      <c r="P3206" s="43">
        <f>IF($I3206=0,0,$Q3205*INDEX(DarlErsatzZins,7))</f>
      </c>
      <c r="Q3206" s="43">
        <f>IF($I3206=0,0,$Q3205+$P3206+$O3206)</f>
      </c>
      <c r="R3206" s="43">
        <f>IF($I3206=0,0,$J3206-$M3206-$N3206)</f>
      </c>
    </row>
    <row r="3207">
      <c r="A3207"/>
      <c r="B3207">
        <v>7</v>
      </c>
      <c r="C3207" s="43">
        <f>INDEX(DarlObj,7)</f>
      </c>
      <c r="D3207">
        <v>324</v>
      </c>
      <c r="E3207" s="51">
        <f>IF(INDEX(DarlBelegt,7)=0,0,EOMONTH(INDEX(DarlAuszahlung,7),323)+1)</f>
      </c>
      <c r="F3207" s="43">
        <f>IF($E3207=0,0,YEAR($E3207))</f>
      </c>
      <c r="G3207" s="43">
        <f>IF(INDEX(DarlBindung,7)="",1,IF($E3207&lt;=INDEX(DarlBindung,7),1,0))</f>
      </c>
      <c r="H3207" s="43">
        <f>IF($G3207=1,INDEX(DarlSollzins,7),INDEX(DarlAnschluss,7))</f>
      </c>
      <c r="I3207" s="43">
        <f>IF(INDEX(DarlBelegt,7)=0,0,IF(INDEX(DarlOhneTilgung,7)=1,IF(INDEX(DarlBindung,7)="",1,$G3207),IF($J3207&gt;0.005,1,0)))</f>
      </c>
      <c r="J3207" s="43">
        <f>IF($I3206=0,0,$R3206)</f>
      </c>
      <c r="K3207" s="43">
        <f>IF($I3207=0,0,IF(INDEX(DarlOhneTilgung,7)=1,0,IF(AND(INDEX(DarlTilgStart,7)&gt;0,$E3207=INDEX(DarlTilgStart,7)),$J3207*($H3207+INDEX(DarlTilgung,7))/100/12,IF(AND($G3207=0,$G3206=1),MAX($K3206,$J3207*($H3207+1)/100/12),$K3206))))</f>
      </c>
      <c r="L3207" s="43">
        <f>IF($I3207=0,0,$J3207*$H3207/100/12)</f>
      </c>
      <c r="M3207" s="43">
        <f>IF($I3207=0,0,IF(OR(INDEX(DarlOhneTilgung,7)=1,AND(INDEX(DarlTilgStart,7)&gt;0,$E3207&lt;INDEX(DarlTilgStart,7))),0,MIN(MAX(0,$K3207-$L3207),$J3207)))</f>
      </c>
      <c r="N3207" s="43">
        <f>IF($I3207=0,0,MIN(SUMIFS(SondBetrag,SondDarl,7,SondDatum,"&gt;="&amp;$E3207,SondDatum,"&lt;="&amp;EOMONTH($E3207,0)),$J3207-$M3207))</f>
      </c>
      <c r="O3207" s="43">
        <f>IF($I3207=0,0,INDEX(DarlErsatzRate,7))</f>
      </c>
      <c r="P3207" s="43">
        <f>IF($I3207=0,0,$Q3206*INDEX(DarlErsatzZins,7))</f>
      </c>
      <c r="Q3207" s="43">
        <f>IF($I3207=0,0,$Q3206+$P3207+$O3207)</f>
      </c>
      <c r="R3207" s="43">
        <f>IF($I3207=0,0,$J3207-$M3207-$N3207)</f>
      </c>
    </row>
    <row r="3208">
      <c r="A3208"/>
      <c r="B3208">
        <v>7</v>
      </c>
      <c r="C3208" s="43">
        <f>INDEX(DarlObj,7)</f>
      </c>
      <c r="D3208">
        <v>325</v>
      </c>
      <c r="E3208" s="51">
        <f>IF(INDEX(DarlBelegt,7)=0,0,EOMONTH(INDEX(DarlAuszahlung,7),324)+1)</f>
      </c>
      <c r="F3208" s="43">
        <f>IF($E3208=0,0,YEAR($E3208))</f>
      </c>
      <c r="G3208" s="43">
        <f>IF(INDEX(DarlBindung,7)="",1,IF($E3208&lt;=INDEX(DarlBindung,7),1,0))</f>
      </c>
      <c r="H3208" s="43">
        <f>IF($G3208=1,INDEX(DarlSollzins,7),INDEX(DarlAnschluss,7))</f>
      </c>
      <c r="I3208" s="43">
        <f>IF(INDEX(DarlBelegt,7)=0,0,IF(INDEX(DarlOhneTilgung,7)=1,IF(INDEX(DarlBindung,7)="",1,$G3208),IF($J3208&gt;0.005,1,0)))</f>
      </c>
      <c r="J3208" s="43">
        <f>IF($I3207=0,0,$R3207)</f>
      </c>
      <c r="K3208" s="43">
        <f>IF($I3208=0,0,IF(INDEX(DarlOhneTilgung,7)=1,0,IF(AND(INDEX(DarlTilgStart,7)&gt;0,$E3208=INDEX(DarlTilgStart,7)),$J3208*($H3208+INDEX(DarlTilgung,7))/100/12,IF(AND($G3208=0,$G3207=1),MAX($K3207,$J3208*($H3208+1)/100/12),$K3207))))</f>
      </c>
      <c r="L3208" s="43">
        <f>IF($I3208=0,0,$J3208*$H3208/100/12)</f>
      </c>
      <c r="M3208" s="43">
        <f>IF($I3208=0,0,IF(OR(INDEX(DarlOhneTilgung,7)=1,AND(INDEX(DarlTilgStart,7)&gt;0,$E3208&lt;INDEX(DarlTilgStart,7))),0,MIN(MAX(0,$K3208-$L3208),$J3208)))</f>
      </c>
      <c r="N3208" s="43">
        <f>IF($I3208=0,0,MIN(SUMIFS(SondBetrag,SondDarl,7,SondDatum,"&gt;="&amp;$E3208,SondDatum,"&lt;="&amp;EOMONTH($E3208,0)),$J3208-$M3208))</f>
      </c>
      <c r="O3208" s="43">
        <f>IF($I3208=0,0,INDEX(DarlErsatzRate,7))</f>
      </c>
      <c r="P3208" s="43">
        <f>IF($I3208=0,0,$Q3207*INDEX(DarlErsatzZins,7))</f>
      </c>
      <c r="Q3208" s="43">
        <f>IF($I3208=0,0,$Q3207+$P3208+$O3208)</f>
      </c>
      <c r="R3208" s="43">
        <f>IF($I3208=0,0,$J3208-$M3208-$N3208)</f>
      </c>
    </row>
    <row r="3209">
      <c r="A3209"/>
      <c r="B3209">
        <v>7</v>
      </c>
      <c r="C3209" s="43">
        <f>INDEX(DarlObj,7)</f>
      </c>
      <c r="D3209">
        <v>326</v>
      </c>
      <c r="E3209" s="51">
        <f>IF(INDEX(DarlBelegt,7)=0,0,EOMONTH(INDEX(DarlAuszahlung,7),325)+1)</f>
      </c>
      <c r="F3209" s="43">
        <f>IF($E3209=0,0,YEAR($E3209))</f>
      </c>
      <c r="G3209" s="43">
        <f>IF(INDEX(DarlBindung,7)="",1,IF($E3209&lt;=INDEX(DarlBindung,7),1,0))</f>
      </c>
      <c r="H3209" s="43">
        <f>IF($G3209=1,INDEX(DarlSollzins,7),INDEX(DarlAnschluss,7))</f>
      </c>
      <c r="I3209" s="43">
        <f>IF(INDEX(DarlBelegt,7)=0,0,IF(INDEX(DarlOhneTilgung,7)=1,IF(INDEX(DarlBindung,7)="",1,$G3209),IF($J3209&gt;0.005,1,0)))</f>
      </c>
      <c r="J3209" s="43">
        <f>IF($I3208=0,0,$R3208)</f>
      </c>
      <c r="K3209" s="43">
        <f>IF($I3209=0,0,IF(INDEX(DarlOhneTilgung,7)=1,0,IF(AND(INDEX(DarlTilgStart,7)&gt;0,$E3209=INDEX(DarlTilgStart,7)),$J3209*($H3209+INDEX(DarlTilgung,7))/100/12,IF(AND($G3209=0,$G3208=1),MAX($K3208,$J3209*($H3209+1)/100/12),$K3208))))</f>
      </c>
      <c r="L3209" s="43">
        <f>IF($I3209=0,0,$J3209*$H3209/100/12)</f>
      </c>
      <c r="M3209" s="43">
        <f>IF($I3209=0,0,IF(OR(INDEX(DarlOhneTilgung,7)=1,AND(INDEX(DarlTilgStart,7)&gt;0,$E3209&lt;INDEX(DarlTilgStart,7))),0,MIN(MAX(0,$K3209-$L3209),$J3209)))</f>
      </c>
      <c r="N3209" s="43">
        <f>IF($I3209=0,0,MIN(SUMIFS(SondBetrag,SondDarl,7,SondDatum,"&gt;="&amp;$E3209,SondDatum,"&lt;="&amp;EOMONTH($E3209,0)),$J3209-$M3209))</f>
      </c>
      <c r="O3209" s="43">
        <f>IF($I3209=0,0,INDEX(DarlErsatzRate,7))</f>
      </c>
      <c r="P3209" s="43">
        <f>IF($I3209=0,0,$Q3208*INDEX(DarlErsatzZins,7))</f>
      </c>
      <c r="Q3209" s="43">
        <f>IF($I3209=0,0,$Q3208+$P3209+$O3209)</f>
      </c>
      <c r="R3209" s="43">
        <f>IF($I3209=0,0,$J3209-$M3209-$N3209)</f>
      </c>
    </row>
    <row r="3210">
      <c r="A3210"/>
      <c r="B3210">
        <v>7</v>
      </c>
      <c r="C3210" s="43">
        <f>INDEX(DarlObj,7)</f>
      </c>
      <c r="D3210">
        <v>327</v>
      </c>
      <c r="E3210" s="51">
        <f>IF(INDEX(DarlBelegt,7)=0,0,EOMONTH(INDEX(DarlAuszahlung,7),326)+1)</f>
      </c>
      <c r="F3210" s="43">
        <f>IF($E3210=0,0,YEAR($E3210))</f>
      </c>
      <c r="G3210" s="43">
        <f>IF(INDEX(DarlBindung,7)="",1,IF($E3210&lt;=INDEX(DarlBindung,7),1,0))</f>
      </c>
      <c r="H3210" s="43">
        <f>IF($G3210=1,INDEX(DarlSollzins,7),INDEX(DarlAnschluss,7))</f>
      </c>
      <c r="I3210" s="43">
        <f>IF(INDEX(DarlBelegt,7)=0,0,IF(INDEX(DarlOhneTilgung,7)=1,IF(INDEX(DarlBindung,7)="",1,$G3210),IF($J3210&gt;0.005,1,0)))</f>
      </c>
      <c r="J3210" s="43">
        <f>IF($I3209=0,0,$R3209)</f>
      </c>
      <c r="K3210" s="43">
        <f>IF($I3210=0,0,IF(INDEX(DarlOhneTilgung,7)=1,0,IF(AND(INDEX(DarlTilgStart,7)&gt;0,$E3210=INDEX(DarlTilgStart,7)),$J3210*($H3210+INDEX(DarlTilgung,7))/100/12,IF(AND($G3210=0,$G3209=1),MAX($K3209,$J3210*($H3210+1)/100/12),$K3209))))</f>
      </c>
      <c r="L3210" s="43">
        <f>IF($I3210=0,0,$J3210*$H3210/100/12)</f>
      </c>
      <c r="M3210" s="43">
        <f>IF($I3210=0,0,IF(OR(INDEX(DarlOhneTilgung,7)=1,AND(INDEX(DarlTilgStart,7)&gt;0,$E3210&lt;INDEX(DarlTilgStart,7))),0,MIN(MAX(0,$K3210-$L3210),$J3210)))</f>
      </c>
      <c r="N3210" s="43">
        <f>IF($I3210=0,0,MIN(SUMIFS(SondBetrag,SondDarl,7,SondDatum,"&gt;="&amp;$E3210,SondDatum,"&lt;="&amp;EOMONTH($E3210,0)),$J3210-$M3210))</f>
      </c>
      <c r="O3210" s="43">
        <f>IF($I3210=0,0,INDEX(DarlErsatzRate,7))</f>
      </c>
      <c r="P3210" s="43">
        <f>IF($I3210=0,0,$Q3209*INDEX(DarlErsatzZins,7))</f>
      </c>
      <c r="Q3210" s="43">
        <f>IF($I3210=0,0,$Q3209+$P3210+$O3210)</f>
      </c>
      <c r="R3210" s="43">
        <f>IF($I3210=0,0,$J3210-$M3210-$N3210)</f>
      </c>
    </row>
    <row r="3211">
      <c r="A3211"/>
      <c r="B3211">
        <v>7</v>
      </c>
      <c r="C3211" s="43">
        <f>INDEX(DarlObj,7)</f>
      </c>
      <c r="D3211">
        <v>328</v>
      </c>
      <c r="E3211" s="51">
        <f>IF(INDEX(DarlBelegt,7)=0,0,EOMONTH(INDEX(DarlAuszahlung,7),327)+1)</f>
      </c>
      <c r="F3211" s="43">
        <f>IF($E3211=0,0,YEAR($E3211))</f>
      </c>
      <c r="G3211" s="43">
        <f>IF(INDEX(DarlBindung,7)="",1,IF($E3211&lt;=INDEX(DarlBindung,7),1,0))</f>
      </c>
      <c r="H3211" s="43">
        <f>IF($G3211=1,INDEX(DarlSollzins,7),INDEX(DarlAnschluss,7))</f>
      </c>
      <c r="I3211" s="43">
        <f>IF(INDEX(DarlBelegt,7)=0,0,IF(INDEX(DarlOhneTilgung,7)=1,IF(INDEX(DarlBindung,7)="",1,$G3211),IF($J3211&gt;0.005,1,0)))</f>
      </c>
      <c r="J3211" s="43">
        <f>IF($I3210=0,0,$R3210)</f>
      </c>
      <c r="K3211" s="43">
        <f>IF($I3211=0,0,IF(INDEX(DarlOhneTilgung,7)=1,0,IF(AND(INDEX(DarlTilgStart,7)&gt;0,$E3211=INDEX(DarlTilgStart,7)),$J3211*($H3211+INDEX(DarlTilgung,7))/100/12,IF(AND($G3211=0,$G3210=1),MAX($K3210,$J3211*($H3211+1)/100/12),$K3210))))</f>
      </c>
      <c r="L3211" s="43">
        <f>IF($I3211=0,0,$J3211*$H3211/100/12)</f>
      </c>
      <c r="M3211" s="43">
        <f>IF($I3211=0,0,IF(OR(INDEX(DarlOhneTilgung,7)=1,AND(INDEX(DarlTilgStart,7)&gt;0,$E3211&lt;INDEX(DarlTilgStart,7))),0,MIN(MAX(0,$K3211-$L3211),$J3211)))</f>
      </c>
      <c r="N3211" s="43">
        <f>IF($I3211=0,0,MIN(SUMIFS(SondBetrag,SondDarl,7,SondDatum,"&gt;="&amp;$E3211,SondDatum,"&lt;="&amp;EOMONTH($E3211,0)),$J3211-$M3211))</f>
      </c>
      <c r="O3211" s="43">
        <f>IF($I3211=0,0,INDEX(DarlErsatzRate,7))</f>
      </c>
      <c r="P3211" s="43">
        <f>IF($I3211=0,0,$Q3210*INDEX(DarlErsatzZins,7))</f>
      </c>
      <c r="Q3211" s="43">
        <f>IF($I3211=0,0,$Q3210+$P3211+$O3211)</f>
      </c>
      <c r="R3211" s="43">
        <f>IF($I3211=0,0,$J3211-$M3211-$N3211)</f>
      </c>
    </row>
    <row r="3212">
      <c r="A3212"/>
      <c r="B3212">
        <v>7</v>
      </c>
      <c r="C3212" s="43">
        <f>INDEX(DarlObj,7)</f>
      </c>
      <c r="D3212">
        <v>329</v>
      </c>
      <c r="E3212" s="51">
        <f>IF(INDEX(DarlBelegt,7)=0,0,EOMONTH(INDEX(DarlAuszahlung,7),328)+1)</f>
      </c>
      <c r="F3212" s="43">
        <f>IF($E3212=0,0,YEAR($E3212))</f>
      </c>
      <c r="G3212" s="43">
        <f>IF(INDEX(DarlBindung,7)="",1,IF($E3212&lt;=INDEX(DarlBindung,7),1,0))</f>
      </c>
      <c r="H3212" s="43">
        <f>IF($G3212=1,INDEX(DarlSollzins,7),INDEX(DarlAnschluss,7))</f>
      </c>
      <c r="I3212" s="43">
        <f>IF(INDEX(DarlBelegt,7)=0,0,IF(INDEX(DarlOhneTilgung,7)=1,IF(INDEX(DarlBindung,7)="",1,$G3212),IF($J3212&gt;0.005,1,0)))</f>
      </c>
      <c r="J3212" s="43">
        <f>IF($I3211=0,0,$R3211)</f>
      </c>
      <c r="K3212" s="43">
        <f>IF($I3212=0,0,IF(INDEX(DarlOhneTilgung,7)=1,0,IF(AND(INDEX(DarlTilgStart,7)&gt;0,$E3212=INDEX(DarlTilgStart,7)),$J3212*($H3212+INDEX(DarlTilgung,7))/100/12,IF(AND($G3212=0,$G3211=1),MAX($K3211,$J3212*($H3212+1)/100/12),$K3211))))</f>
      </c>
      <c r="L3212" s="43">
        <f>IF($I3212=0,0,$J3212*$H3212/100/12)</f>
      </c>
      <c r="M3212" s="43">
        <f>IF($I3212=0,0,IF(OR(INDEX(DarlOhneTilgung,7)=1,AND(INDEX(DarlTilgStart,7)&gt;0,$E3212&lt;INDEX(DarlTilgStart,7))),0,MIN(MAX(0,$K3212-$L3212),$J3212)))</f>
      </c>
      <c r="N3212" s="43">
        <f>IF($I3212=0,0,MIN(SUMIFS(SondBetrag,SondDarl,7,SondDatum,"&gt;="&amp;$E3212,SondDatum,"&lt;="&amp;EOMONTH($E3212,0)),$J3212-$M3212))</f>
      </c>
      <c r="O3212" s="43">
        <f>IF($I3212=0,0,INDEX(DarlErsatzRate,7))</f>
      </c>
      <c r="P3212" s="43">
        <f>IF($I3212=0,0,$Q3211*INDEX(DarlErsatzZins,7))</f>
      </c>
      <c r="Q3212" s="43">
        <f>IF($I3212=0,0,$Q3211+$P3212+$O3212)</f>
      </c>
      <c r="R3212" s="43">
        <f>IF($I3212=0,0,$J3212-$M3212-$N3212)</f>
      </c>
    </row>
    <row r="3213">
      <c r="A3213"/>
      <c r="B3213">
        <v>7</v>
      </c>
      <c r="C3213" s="43">
        <f>INDEX(DarlObj,7)</f>
      </c>
      <c r="D3213">
        <v>330</v>
      </c>
      <c r="E3213" s="51">
        <f>IF(INDEX(DarlBelegt,7)=0,0,EOMONTH(INDEX(DarlAuszahlung,7),329)+1)</f>
      </c>
      <c r="F3213" s="43">
        <f>IF($E3213=0,0,YEAR($E3213))</f>
      </c>
      <c r="G3213" s="43">
        <f>IF(INDEX(DarlBindung,7)="",1,IF($E3213&lt;=INDEX(DarlBindung,7),1,0))</f>
      </c>
      <c r="H3213" s="43">
        <f>IF($G3213=1,INDEX(DarlSollzins,7),INDEX(DarlAnschluss,7))</f>
      </c>
      <c r="I3213" s="43">
        <f>IF(INDEX(DarlBelegt,7)=0,0,IF(INDEX(DarlOhneTilgung,7)=1,IF(INDEX(DarlBindung,7)="",1,$G3213),IF($J3213&gt;0.005,1,0)))</f>
      </c>
      <c r="J3213" s="43">
        <f>IF($I3212=0,0,$R3212)</f>
      </c>
      <c r="K3213" s="43">
        <f>IF($I3213=0,0,IF(INDEX(DarlOhneTilgung,7)=1,0,IF(AND(INDEX(DarlTilgStart,7)&gt;0,$E3213=INDEX(DarlTilgStart,7)),$J3213*($H3213+INDEX(DarlTilgung,7))/100/12,IF(AND($G3213=0,$G3212=1),MAX($K3212,$J3213*($H3213+1)/100/12),$K3212))))</f>
      </c>
      <c r="L3213" s="43">
        <f>IF($I3213=0,0,$J3213*$H3213/100/12)</f>
      </c>
      <c r="M3213" s="43">
        <f>IF($I3213=0,0,IF(OR(INDEX(DarlOhneTilgung,7)=1,AND(INDEX(DarlTilgStart,7)&gt;0,$E3213&lt;INDEX(DarlTilgStart,7))),0,MIN(MAX(0,$K3213-$L3213),$J3213)))</f>
      </c>
      <c r="N3213" s="43">
        <f>IF($I3213=0,0,MIN(SUMIFS(SondBetrag,SondDarl,7,SondDatum,"&gt;="&amp;$E3213,SondDatum,"&lt;="&amp;EOMONTH($E3213,0)),$J3213-$M3213))</f>
      </c>
      <c r="O3213" s="43">
        <f>IF($I3213=0,0,INDEX(DarlErsatzRate,7))</f>
      </c>
      <c r="P3213" s="43">
        <f>IF($I3213=0,0,$Q3212*INDEX(DarlErsatzZins,7))</f>
      </c>
      <c r="Q3213" s="43">
        <f>IF($I3213=0,0,$Q3212+$P3213+$O3213)</f>
      </c>
      <c r="R3213" s="43">
        <f>IF($I3213=0,0,$J3213-$M3213-$N3213)</f>
      </c>
    </row>
    <row r="3214">
      <c r="A3214"/>
      <c r="B3214">
        <v>7</v>
      </c>
      <c r="C3214" s="43">
        <f>INDEX(DarlObj,7)</f>
      </c>
      <c r="D3214">
        <v>331</v>
      </c>
      <c r="E3214" s="51">
        <f>IF(INDEX(DarlBelegt,7)=0,0,EOMONTH(INDEX(DarlAuszahlung,7),330)+1)</f>
      </c>
      <c r="F3214" s="43">
        <f>IF($E3214=0,0,YEAR($E3214))</f>
      </c>
      <c r="G3214" s="43">
        <f>IF(INDEX(DarlBindung,7)="",1,IF($E3214&lt;=INDEX(DarlBindung,7),1,0))</f>
      </c>
      <c r="H3214" s="43">
        <f>IF($G3214=1,INDEX(DarlSollzins,7),INDEX(DarlAnschluss,7))</f>
      </c>
      <c r="I3214" s="43">
        <f>IF(INDEX(DarlBelegt,7)=0,0,IF(INDEX(DarlOhneTilgung,7)=1,IF(INDEX(DarlBindung,7)="",1,$G3214),IF($J3214&gt;0.005,1,0)))</f>
      </c>
      <c r="J3214" s="43">
        <f>IF($I3213=0,0,$R3213)</f>
      </c>
      <c r="K3214" s="43">
        <f>IF($I3214=0,0,IF(INDEX(DarlOhneTilgung,7)=1,0,IF(AND(INDEX(DarlTilgStart,7)&gt;0,$E3214=INDEX(DarlTilgStart,7)),$J3214*($H3214+INDEX(DarlTilgung,7))/100/12,IF(AND($G3214=0,$G3213=1),MAX($K3213,$J3214*($H3214+1)/100/12),$K3213))))</f>
      </c>
      <c r="L3214" s="43">
        <f>IF($I3214=0,0,$J3214*$H3214/100/12)</f>
      </c>
      <c r="M3214" s="43">
        <f>IF($I3214=0,0,IF(OR(INDEX(DarlOhneTilgung,7)=1,AND(INDEX(DarlTilgStart,7)&gt;0,$E3214&lt;INDEX(DarlTilgStart,7))),0,MIN(MAX(0,$K3214-$L3214),$J3214)))</f>
      </c>
      <c r="N3214" s="43">
        <f>IF($I3214=0,0,MIN(SUMIFS(SondBetrag,SondDarl,7,SondDatum,"&gt;="&amp;$E3214,SondDatum,"&lt;="&amp;EOMONTH($E3214,0)),$J3214-$M3214))</f>
      </c>
      <c r="O3214" s="43">
        <f>IF($I3214=0,0,INDEX(DarlErsatzRate,7))</f>
      </c>
      <c r="P3214" s="43">
        <f>IF($I3214=0,0,$Q3213*INDEX(DarlErsatzZins,7))</f>
      </c>
      <c r="Q3214" s="43">
        <f>IF($I3214=0,0,$Q3213+$P3214+$O3214)</f>
      </c>
      <c r="R3214" s="43">
        <f>IF($I3214=0,0,$J3214-$M3214-$N3214)</f>
      </c>
    </row>
    <row r="3215">
      <c r="A3215"/>
      <c r="B3215">
        <v>7</v>
      </c>
      <c r="C3215" s="43">
        <f>INDEX(DarlObj,7)</f>
      </c>
      <c r="D3215">
        <v>332</v>
      </c>
      <c r="E3215" s="51">
        <f>IF(INDEX(DarlBelegt,7)=0,0,EOMONTH(INDEX(DarlAuszahlung,7),331)+1)</f>
      </c>
      <c r="F3215" s="43">
        <f>IF($E3215=0,0,YEAR($E3215))</f>
      </c>
      <c r="G3215" s="43">
        <f>IF(INDEX(DarlBindung,7)="",1,IF($E3215&lt;=INDEX(DarlBindung,7),1,0))</f>
      </c>
      <c r="H3215" s="43">
        <f>IF($G3215=1,INDEX(DarlSollzins,7),INDEX(DarlAnschluss,7))</f>
      </c>
      <c r="I3215" s="43">
        <f>IF(INDEX(DarlBelegt,7)=0,0,IF(INDEX(DarlOhneTilgung,7)=1,IF(INDEX(DarlBindung,7)="",1,$G3215),IF($J3215&gt;0.005,1,0)))</f>
      </c>
      <c r="J3215" s="43">
        <f>IF($I3214=0,0,$R3214)</f>
      </c>
      <c r="K3215" s="43">
        <f>IF($I3215=0,0,IF(INDEX(DarlOhneTilgung,7)=1,0,IF(AND(INDEX(DarlTilgStart,7)&gt;0,$E3215=INDEX(DarlTilgStart,7)),$J3215*($H3215+INDEX(DarlTilgung,7))/100/12,IF(AND($G3215=0,$G3214=1),MAX($K3214,$J3215*($H3215+1)/100/12),$K3214))))</f>
      </c>
      <c r="L3215" s="43">
        <f>IF($I3215=0,0,$J3215*$H3215/100/12)</f>
      </c>
      <c r="M3215" s="43">
        <f>IF($I3215=0,0,IF(OR(INDEX(DarlOhneTilgung,7)=1,AND(INDEX(DarlTilgStart,7)&gt;0,$E3215&lt;INDEX(DarlTilgStart,7))),0,MIN(MAX(0,$K3215-$L3215),$J3215)))</f>
      </c>
      <c r="N3215" s="43">
        <f>IF($I3215=0,0,MIN(SUMIFS(SondBetrag,SondDarl,7,SondDatum,"&gt;="&amp;$E3215,SondDatum,"&lt;="&amp;EOMONTH($E3215,0)),$J3215-$M3215))</f>
      </c>
      <c r="O3215" s="43">
        <f>IF($I3215=0,0,INDEX(DarlErsatzRate,7))</f>
      </c>
      <c r="P3215" s="43">
        <f>IF($I3215=0,0,$Q3214*INDEX(DarlErsatzZins,7))</f>
      </c>
      <c r="Q3215" s="43">
        <f>IF($I3215=0,0,$Q3214+$P3215+$O3215)</f>
      </c>
      <c r="R3215" s="43">
        <f>IF($I3215=0,0,$J3215-$M3215-$N3215)</f>
      </c>
    </row>
    <row r="3216">
      <c r="A3216"/>
      <c r="B3216">
        <v>7</v>
      </c>
      <c r="C3216" s="43">
        <f>INDEX(DarlObj,7)</f>
      </c>
      <c r="D3216">
        <v>333</v>
      </c>
      <c r="E3216" s="51">
        <f>IF(INDEX(DarlBelegt,7)=0,0,EOMONTH(INDEX(DarlAuszahlung,7),332)+1)</f>
      </c>
      <c r="F3216" s="43">
        <f>IF($E3216=0,0,YEAR($E3216))</f>
      </c>
      <c r="G3216" s="43">
        <f>IF(INDEX(DarlBindung,7)="",1,IF($E3216&lt;=INDEX(DarlBindung,7),1,0))</f>
      </c>
      <c r="H3216" s="43">
        <f>IF($G3216=1,INDEX(DarlSollzins,7),INDEX(DarlAnschluss,7))</f>
      </c>
      <c r="I3216" s="43">
        <f>IF(INDEX(DarlBelegt,7)=0,0,IF(INDEX(DarlOhneTilgung,7)=1,IF(INDEX(DarlBindung,7)="",1,$G3216),IF($J3216&gt;0.005,1,0)))</f>
      </c>
      <c r="J3216" s="43">
        <f>IF($I3215=0,0,$R3215)</f>
      </c>
      <c r="K3216" s="43">
        <f>IF($I3216=0,0,IF(INDEX(DarlOhneTilgung,7)=1,0,IF(AND(INDEX(DarlTilgStart,7)&gt;0,$E3216=INDEX(DarlTilgStart,7)),$J3216*($H3216+INDEX(DarlTilgung,7))/100/12,IF(AND($G3216=0,$G3215=1),MAX($K3215,$J3216*($H3216+1)/100/12),$K3215))))</f>
      </c>
      <c r="L3216" s="43">
        <f>IF($I3216=0,0,$J3216*$H3216/100/12)</f>
      </c>
      <c r="M3216" s="43">
        <f>IF($I3216=0,0,IF(OR(INDEX(DarlOhneTilgung,7)=1,AND(INDEX(DarlTilgStart,7)&gt;0,$E3216&lt;INDEX(DarlTilgStart,7))),0,MIN(MAX(0,$K3216-$L3216),$J3216)))</f>
      </c>
      <c r="N3216" s="43">
        <f>IF($I3216=0,0,MIN(SUMIFS(SondBetrag,SondDarl,7,SondDatum,"&gt;="&amp;$E3216,SondDatum,"&lt;="&amp;EOMONTH($E3216,0)),$J3216-$M3216))</f>
      </c>
      <c r="O3216" s="43">
        <f>IF($I3216=0,0,INDEX(DarlErsatzRate,7))</f>
      </c>
      <c r="P3216" s="43">
        <f>IF($I3216=0,0,$Q3215*INDEX(DarlErsatzZins,7))</f>
      </c>
      <c r="Q3216" s="43">
        <f>IF($I3216=0,0,$Q3215+$P3216+$O3216)</f>
      </c>
      <c r="R3216" s="43">
        <f>IF($I3216=0,0,$J3216-$M3216-$N3216)</f>
      </c>
    </row>
    <row r="3217">
      <c r="A3217"/>
      <c r="B3217">
        <v>7</v>
      </c>
      <c r="C3217" s="43">
        <f>INDEX(DarlObj,7)</f>
      </c>
      <c r="D3217">
        <v>334</v>
      </c>
      <c r="E3217" s="51">
        <f>IF(INDEX(DarlBelegt,7)=0,0,EOMONTH(INDEX(DarlAuszahlung,7),333)+1)</f>
      </c>
      <c r="F3217" s="43">
        <f>IF($E3217=0,0,YEAR($E3217))</f>
      </c>
      <c r="G3217" s="43">
        <f>IF(INDEX(DarlBindung,7)="",1,IF($E3217&lt;=INDEX(DarlBindung,7),1,0))</f>
      </c>
      <c r="H3217" s="43">
        <f>IF($G3217=1,INDEX(DarlSollzins,7),INDEX(DarlAnschluss,7))</f>
      </c>
      <c r="I3217" s="43">
        <f>IF(INDEX(DarlBelegt,7)=0,0,IF(INDEX(DarlOhneTilgung,7)=1,IF(INDEX(DarlBindung,7)="",1,$G3217),IF($J3217&gt;0.005,1,0)))</f>
      </c>
      <c r="J3217" s="43">
        <f>IF($I3216=0,0,$R3216)</f>
      </c>
      <c r="K3217" s="43">
        <f>IF($I3217=0,0,IF(INDEX(DarlOhneTilgung,7)=1,0,IF(AND(INDEX(DarlTilgStart,7)&gt;0,$E3217=INDEX(DarlTilgStart,7)),$J3217*($H3217+INDEX(DarlTilgung,7))/100/12,IF(AND($G3217=0,$G3216=1),MAX($K3216,$J3217*($H3217+1)/100/12),$K3216))))</f>
      </c>
      <c r="L3217" s="43">
        <f>IF($I3217=0,0,$J3217*$H3217/100/12)</f>
      </c>
      <c r="M3217" s="43">
        <f>IF($I3217=0,0,IF(OR(INDEX(DarlOhneTilgung,7)=1,AND(INDEX(DarlTilgStart,7)&gt;0,$E3217&lt;INDEX(DarlTilgStart,7))),0,MIN(MAX(0,$K3217-$L3217),$J3217)))</f>
      </c>
      <c r="N3217" s="43">
        <f>IF($I3217=0,0,MIN(SUMIFS(SondBetrag,SondDarl,7,SondDatum,"&gt;="&amp;$E3217,SondDatum,"&lt;="&amp;EOMONTH($E3217,0)),$J3217-$M3217))</f>
      </c>
      <c r="O3217" s="43">
        <f>IF($I3217=0,0,INDEX(DarlErsatzRate,7))</f>
      </c>
      <c r="P3217" s="43">
        <f>IF($I3217=0,0,$Q3216*INDEX(DarlErsatzZins,7))</f>
      </c>
      <c r="Q3217" s="43">
        <f>IF($I3217=0,0,$Q3216+$P3217+$O3217)</f>
      </c>
      <c r="R3217" s="43">
        <f>IF($I3217=0,0,$J3217-$M3217-$N3217)</f>
      </c>
    </row>
    <row r="3218">
      <c r="A3218"/>
      <c r="B3218">
        <v>7</v>
      </c>
      <c r="C3218" s="43">
        <f>INDEX(DarlObj,7)</f>
      </c>
      <c r="D3218">
        <v>335</v>
      </c>
      <c r="E3218" s="51">
        <f>IF(INDEX(DarlBelegt,7)=0,0,EOMONTH(INDEX(DarlAuszahlung,7),334)+1)</f>
      </c>
      <c r="F3218" s="43">
        <f>IF($E3218=0,0,YEAR($E3218))</f>
      </c>
      <c r="G3218" s="43">
        <f>IF(INDEX(DarlBindung,7)="",1,IF($E3218&lt;=INDEX(DarlBindung,7),1,0))</f>
      </c>
      <c r="H3218" s="43">
        <f>IF($G3218=1,INDEX(DarlSollzins,7),INDEX(DarlAnschluss,7))</f>
      </c>
      <c r="I3218" s="43">
        <f>IF(INDEX(DarlBelegt,7)=0,0,IF(INDEX(DarlOhneTilgung,7)=1,IF(INDEX(DarlBindung,7)="",1,$G3218),IF($J3218&gt;0.005,1,0)))</f>
      </c>
      <c r="J3218" s="43">
        <f>IF($I3217=0,0,$R3217)</f>
      </c>
      <c r="K3218" s="43">
        <f>IF($I3218=0,0,IF(INDEX(DarlOhneTilgung,7)=1,0,IF(AND(INDEX(DarlTilgStart,7)&gt;0,$E3218=INDEX(DarlTilgStart,7)),$J3218*($H3218+INDEX(DarlTilgung,7))/100/12,IF(AND($G3218=0,$G3217=1),MAX($K3217,$J3218*($H3218+1)/100/12),$K3217))))</f>
      </c>
      <c r="L3218" s="43">
        <f>IF($I3218=0,0,$J3218*$H3218/100/12)</f>
      </c>
      <c r="M3218" s="43">
        <f>IF($I3218=0,0,IF(OR(INDEX(DarlOhneTilgung,7)=1,AND(INDEX(DarlTilgStart,7)&gt;0,$E3218&lt;INDEX(DarlTilgStart,7))),0,MIN(MAX(0,$K3218-$L3218),$J3218)))</f>
      </c>
      <c r="N3218" s="43">
        <f>IF($I3218=0,0,MIN(SUMIFS(SondBetrag,SondDarl,7,SondDatum,"&gt;="&amp;$E3218,SondDatum,"&lt;="&amp;EOMONTH($E3218,0)),$J3218-$M3218))</f>
      </c>
      <c r="O3218" s="43">
        <f>IF($I3218=0,0,INDEX(DarlErsatzRate,7))</f>
      </c>
      <c r="P3218" s="43">
        <f>IF($I3218=0,0,$Q3217*INDEX(DarlErsatzZins,7))</f>
      </c>
      <c r="Q3218" s="43">
        <f>IF($I3218=0,0,$Q3217+$P3218+$O3218)</f>
      </c>
      <c r="R3218" s="43">
        <f>IF($I3218=0,0,$J3218-$M3218-$N3218)</f>
      </c>
    </row>
    <row r="3219">
      <c r="A3219"/>
      <c r="B3219">
        <v>7</v>
      </c>
      <c r="C3219" s="43">
        <f>INDEX(DarlObj,7)</f>
      </c>
      <c r="D3219">
        <v>336</v>
      </c>
      <c r="E3219" s="51">
        <f>IF(INDEX(DarlBelegt,7)=0,0,EOMONTH(INDEX(DarlAuszahlung,7),335)+1)</f>
      </c>
      <c r="F3219" s="43">
        <f>IF($E3219=0,0,YEAR($E3219))</f>
      </c>
      <c r="G3219" s="43">
        <f>IF(INDEX(DarlBindung,7)="",1,IF($E3219&lt;=INDEX(DarlBindung,7),1,0))</f>
      </c>
      <c r="H3219" s="43">
        <f>IF($G3219=1,INDEX(DarlSollzins,7),INDEX(DarlAnschluss,7))</f>
      </c>
      <c r="I3219" s="43">
        <f>IF(INDEX(DarlBelegt,7)=0,0,IF(INDEX(DarlOhneTilgung,7)=1,IF(INDEX(DarlBindung,7)="",1,$G3219),IF($J3219&gt;0.005,1,0)))</f>
      </c>
      <c r="J3219" s="43">
        <f>IF($I3218=0,0,$R3218)</f>
      </c>
      <c r="K3219" s="43">
        <f>IF($I3219=0,0,IF(INDEX(DarlOhneTilgung,7)=1,0,IF(AND(INDEX(DarlTilgStart,7)&gt;0,$E3219=INDEX(DarlTilgStart,7)),$J3219*($H3219+INDEX(DarlTilgung,7))/100/12,IF(AND($G3219=0,$G3218=1),MAX($K3218,$J3219*($H3219+1)/100/12),$K3218))))</f>
      </c>
      <c r="L3219" s="43">
        <f>IF($I3219=0,0,$J3219*$H3219/100/12)</f>
      </c>
      <c r="M3219" s="43">
        <f>IF($I3219=0,0,IF(OR(INDEX(DarlOhneTilgung,7)=1,AND(INDEX(DarlTilgStart,7)&gt;0,$E3219&lt;INDEX(DarlTilgStart,7))),0,MIN(MAX(0,$K3219-$L3219),$J3219)))</f>
      </c>
      <c r="N3219" s="43">
        <f>IF($I3219=0,0,MIN(SUMIFS(SondBetrag,SondDarl,7,SondDatum,"&gt;="&amp;$E3219,SondDatum,"&lt;="&amp;EOMONTH($E3219,0)),$J3219-$M3219))</f>
      </c>
      <c r="O3219" s="43">
        <f>IF($I3219=0,0,INDEX(DarlErsatzRate,7))</f>
      </c>
      <c r="P3219" s="43">
        <f>IF($I3219=0,0,$Q3218*INDEX(DarlErsatzZins,7))</f>
      </c>
      <c r="Q3219" s="43">
        <f>IF($I3219=0,0,$Q3218+$P3219+$O3219)</f>
      </c>
      <c r="R3219" s="43">
        <f>IF($I3219=0,0,$J3219-$M3219-$N3219)</f>
      </c>
    </row>
    <row r="3220">
      <c r="A3220"/>
      <c r="B3220">
        <v>7</v>
      </c>
      <c r="C3220" s="43">
        <f>INDEX(DarlObj,7)</f>
      </c>
      <c r="D3220">
        <v>337</v>
      </c>
      <c r="E3220" s="51">
        <f>IF(INDEX(DarlBelegt,7)=0,0,EOMONTH(INDEX(DarlAuszahlung,7),336)+1)</f>
      </c>
      <c r="F3220" s="43">
        <f>IF($E3220=0,0,YEAR($E3220))</f>
      </c>
      <c r="G3220" s="43">
        <f>IF(INDEX(DarlBindung,7)="",1,IF($E3220&lt;=INDEX(DarlBindung,7),1,0))</f>
      </c>
      <c r="H3220" s="43">
        <f>IF($G3220=1,INDEX(DarlSollzins,7),INDEX(DarlAnschluss,7))</f>
      </c>
      <c r="I3220" s="43">
        <f>IF(INDEX(DarlBelegt,7)=0,0,IF(INDEX(DarlOhneTilgung,7)=1,IF(INDEX(DarlBindung,7)="",1,$G3220),IF($J3220&gt;0.005,1,0)))</f>
      </c>
      <c r="J3220" s="43">
        <f>IF($I3219=0,0,$R3219)</f>
      </c>
      <c r="K3220" s="43">
        <f>IF($I3220=0,0,IF(INDEX(DarlOhneTilgung,7)=1,0,IF(AND(INDEX(DarlTilgStart,7)&gt;0,$E3220=INDEX(DarlTilgStart,7)),$J3220*($H3220+INDEX(DarlTilgung,7))/100/12,IF(AND($G3220=0,$G3219=1),MAX($K3219,$J3220*($H3220+1)/100/12),$K3219))))</f>
      </c>
      <c r="L3220" s="43">
        <f>IF($I3220=0,0,$J3220*$H3220/100/12)</f>
      </c>
      <c r="M3220" s="43">
        <f>IF($I3220=0,0,IF(OR(INDEX(DarlOhneTilgung,7)=1,AND(INDEX(DarlTilgStart,7)&gt;0,$E3220&lt;INDEX(DarlTilgStart,7))),0,MIN(MAX(0,$K3220-$L3220),$J3220)))</f>
      </c>
      <c r="N3220" s="43">
        <f>IF($I3220=0,0,MIN(SUMIFS(SondBetrag,SondDarl,7,SondDatum,"&gt;="&amp;$E3220,SondDatum,"&lt;="&amp;EOMONTH($E3220,0)),$J3220-$M3220))</f>
      </c>
      <c r="O3220" s="43">
        <f>IF($I3220=0,0,INDEX(DarlErsatzRate,7))</f>
      </c>
      <c r="P3220" s="43">
        <f>IF($I3220=0,0,$Q3219*INDEX(DarlErsatzZins,7))</f>
      </c>
      <c r="Q3220" s="43">
        <f>IF($I3220=0,0,$Q3219+$P3220+$O3220)</f>
      </c>
      <c r="R3220" s="43">
        <f>IF($I3220=0,0,$J3220-$M3220-$N3220)</f>
      </c>
    </row>
    <row r="3221">
      <c r="A3221"/>
      <c r="B3221">
        <v>7</v>
      </c>
      <c r="C3221" s="43">
        <f>INDEX(DarlObj,7)</f>
      </c>
      <c r="D3221">
        <v>338</v>
      </c>
      <c r="E3221" s="51">
        <f>IF(INDEX(DarlBelegt,7)=0,0,EOMONTH(INDEX(DarlAuszahlung,7),337)+1)</f>
      </c>
      <c r="F3221" s="43">
        <f>IF($E3221=0,0,YEAR($E3221))</f>
      </c>
      <c r="G3221" s="43">
        <f>IF(INDEX(DarlBindung,7)="",1,IF($E3221&lt;=INDEX(DarlBindung,7),1,0))</f>
      </c>
      <c r="H3221" s="43">
        <f>IF($G3221=1,INDEX(DarlSollzins,7),INDEX(DarlAnschluss,7))</f>
      </c>
      <c r="I3221" s="43">
        <f>IF(INDEX(DarlBelegt,7)=0,0,IF(INDEX(DarlOhneTilgung,7)=1,IF(INDEX(DarlBindung,7)="",1,$G3221),IF($J3221&gt;0.005,1,0)))</f>
      </c>
      <c r="J3221" s="43">
        <f>IF($I3220=0,0,$R3220)</f>
      </c>
      <c r="K3221" s="43">
        <f>IF($I3221=0,0,IF(INDEX(DarlOhneTilgung,7)=1,0,IF(AND(INDEX(DarlTilgStart,7)&gt;0,$E3221=INDEX(DarlTilgStart,7)),$J3221*($H3221+INDEX(DarlTilgung,7))/100/12,IF(AND($G3221=0,$G3220=1),MAX($K3220,$J3221*($H3221+1)/100/12),$K3220))))</f>
      </c>
      <c r="L3221" s="43">
        <f>IF($I3221=0,0,$J3221*$H3221/100/12)</f>
      </c>
      <c r="M3221" s="43">
        <f>IF($I3221=0,0,IF(OR(INDEX(DarlOhneTilgung,7)=1,AND(INDEX(DarlTilgStart,7)&gt;0,$E3221&lt;INDEX(DarlTilgStart,7))),0,MIN(MAX(0,$K3221-$L3221),$J3221)))</f>
      </c>
      <c r="N3221" s="43">
        <f>IF($I3221=0,0,MIN(SUMIFS(SondBetrag,SondDarl,7,SondDatum,"&gt;="&amp;$E3221,SondDatum,"&lt;="&amp;EOMONTH($E3221,0)),$J3221-$M3221))</f>
      </c>
      <c r="O3221" s="43">
        <f>IF($I3221=0,0,INDEX(DarlErsatzRate,7))</f>
      </c>
      <c r="P3221" s="43">
        <f>IF($I3221=0,0,$Q3220*INDEX(DarlErsatzZins,7))</f>
      </c>
      <c r="Q3221" s="43">
        <f>IF($I3221=0,0,$Q3220+$P3221+$O3221)</f>
      </c>
      <c r="R3221" s="43">
        <f>IF($I3221=0,0,$J3221-$M3221-$N3221)</f>
      </c>
    </row>
    <row r="3222">
      <c r="A3222"/>
      <c r="B3222">
        <v>7</v>
      </c>
      <c r="C3222" s="43">
        <f>INDEX(DarlObj,7)</f>
      </c>
      <c r="D3222">
        <v>339</v>
      </c>
      <c r="E3222" s="51">
        <f>IF(INDEX(DarlBelegt,7)=0,0,EOMONTH(INDEX(DarlAuszahlung,7),338)+1)</f>
      </c>
      <c r="F3222" s="43">
        <f>IF($E3222=0,0,YEAR($E3222))</f>
      </c>
      <c r="G3222" s="43">
        <f>IF(INDEX(DarlBindung,7)="",1,IF($E3222&lt;=INDEX(DarlBindung,7),1,0))</f>
      </c>
      <c r="H3222" s="43">
        <f>IF($G3222=1,INDEX(DarlSollzins,7),INDEX(DarlAnschluss,7))</f>
      </c>
      <c r="I3222" s="43">
        <f>IF(INDEX(DarlBelegt,7)=0,0,IF(INDEX(DarlOhneTilgung,7)=1,IF(INDEX(DarlBindung,7)="",1,$G3222),IF($J3222&gt;0.005,1,0)))</f>
      </c>
      <c r="J3222" s="43">
        <f>IF($I3221=0,0,$R3221)</f>
      </c>
      <c r="K3222" s="43">
        <f>IF($I3222=0,0,IF(INDEX(DarlOhneTilgung,7)=1,0,IF(AND(INDEX(DarlTilgStart,7)&gt;0,$E3222=INDEX(DarlTilgStart,7)),$J3222*($H3222+INDEX(DarlTilgung,7))/100/12,IF(AND($G3222=0,$G3221=1),MAX($K3221,$J3222*($H3222+1)/100/12),$K3221))))</f>
      </c>
      <c r="L3222" s="43">
        <f>IF($I3222=0,0,$J3222*$H3222/100/12)</f>
      </c>
      <c r="M3222" s="43">
        <f>IF($I3222=0,0,IF(OR(INDEX(DarlOhneTilgung,7)=1,AND(INDEX(DarlTilgStart,7)&gt;0,$E3222&lt;INDEX(DarlTilgStart,7))),0,MIN(MAX(0,$K3222-$L3222),$J3222)))</f>
      </c>
      <c r="N3222" s="43">
        <f>IF($I3222=0,0,MIN(SUMIFS(SondBetrag,SondDarl,7,SondDatum,"&gt;="&amp;$E3222,SondDatum,"&lt;="&amp;EOMONTH($E3222,0)),$J3222-$M3222))</f>
      </c>
      <c r="O3222" s="43">
        <f>IF($I3222=0,0,INDEX(DarlErsatzRate,7))</f>
      </c>
      <c r="P3222" s="43">
        <f>IF($I3222=0,0,$Q3221*INDEX(DarlErsatzZins,7))</f>
      </c>
      <c r="Q3222" s="43">
        <f>IF($I3222=0,0,$Q3221+$P3222+$O3222)</f>
      </c>
      <c r="R3222" s="43">
        <f>IF($I3222=0,0,$J3222-$M3222-$N3222)</f>
      </c>
    </row>
    <row r="3223">
      <c r="A3223"/>
      <c r="B3223">
        <v>7</v>
      </c>
      <c r="C3223" s="43">
        <f>INDEX(DarlObj,7)</f>
      </c>
      <c r="D3223">
        <v>340</v>
      </c>
      <c r="E3223" s="51">
        <f>IF(INDEX(DarlBelegt,7)=0,0,EOMONTH(INDEX(DarlAuszahlung,7),339)+1)</f>
      </c>
      <c r="F3223" s="43">
        <f>IF($E3223=0,0,YEAR($E3223))</f>
      </c>
      <c r="G3223" s="43">
        <f>IF(INDEX(DarlBindung,7)="",1,IF($E3223&lt;=INDEX(DarlBindung,7),1,0))</f>
      </c>
      <c r="H3223" s="43">
        <f>IF($G3223=1,INDEX(DarlSollzins,7),INDEX(DarlAnschluss,7))</f>
      </c>
      <c r="I3223" s="43">
        <f>IF(INDEX(DarlBelegt,7)=0,0,IF(INDEX(DarlOhneTilgung,7)=1,IF(INDEX(DarlBindung,7)="",1,$G3223),IF($J3223&gt;0.005,1,0)))</f>
      </c>
      <c r="J3223" s="43">
        <f>IF($I3222=0,0,$R3222)</f>
      </c>
      <c r="K3223" s="43">
        <f>IF($I3223=0,0,IF(INDEX(DarlOhneTilgung,7)=1,0,IF(AND(INDEX(DarlTilgStart,7)&gt;0,$E3223=INDEX(DarlTilgStart,7)),$J3223*($H3223+INDEX(DarlTilgung,7))/100/12,IF(AND($G3223=0,$G3222=1),MAX($K3222,$J3223*($H3223+1)/100/12),$K3222))))</f>
      </c>
      <c r="L3223" s="43">
        <f>IF($I3223=0,0,$J3223*$H3223/100/12)</f>
      </c>
      <c r="M3223" s="43">
        <f>IF($I3223=0,0,IF(OR(INDEX(DarlOhneTilgung,7)=1,AND(INDEX(DarlTilgStart,7)&gt;0,$E3223&lt;INDEX(DarlTilgStart,7))),0,MIN(MAX(0,$K3223-$L3223),$J3223)))</f>
      </c>
      <c r="N3223" s="43">
        <f>IF($I3223=0,0,MIN(SUMIFS(SondBetrag,SondDarl,7,SondDatum,"&gt;="&amp;$E3223,SondDatum,"&lt;="&amp;EOMONTH($E3223,0)),$J3223-$M3223))</f>
      </c>
      <c r="O3223" s="43">
        <f>IF($I3223=0,0,INDEX(DarlErsatzRate,7))</f>
      </c>
      <c r="P3223" s="43">
        <f>IF($I3223=0,0,$Q3222*INDEX(DarlErsatzZins,7))</f>
      </c>
      <c r="Q3223" s="43">
        <f>IF($I3223=0,0,$Q3222+$P3223+$O3223)</f>
      </c>
      <c r="R3223" s="43">
        <f>IF($I3223=0,0,$J3223-$M3223-$N3223)</f>
      </c>
    </row>
    <row r="3224">
      <c r="A3224"/>
      <c r="B3224">
        <v>7</v>
      </c>
      <c r="C3224" s="43">
        <f>INDEX(DarlObj,7)</f>
      </c>
      <c r="D3224">
        <v>341</v>
      </c>
      <c r="E3224" s="51">
        <f>IF(INDEX(DarlBelegt,7)=0,0,EOMONTH(INDEX(DarlAuszahlung,7),340)+1)</f>
      </c>
      <c r="F3224" s="43">
        <f>IF($E3224=0,0,YEAR($E3224))</f>
      </c>
      <c r="G3224" s="43">
        <f>IF(INDEX(DarlBindung,7)="",1,IF($E3224&lt;=INDEX(DarlBindung,7),1,0))</f>
      </c>
      <c r="H3224" s="43">
        <f>IF($G3224=1,INDEX(DarlSollzins,7),INDEX(DarlAnschluss,7))</f>
      </c>
      <c r="I3224" s="43">
        <f>IF(INDEX(DarlBelegt,7)=0,0,IF(INDEX(DarlOhneTilgung,7)=1,IF(INDEX(DarlBindung,7)="",1,$G3224),IF($J3224&gt;0.005,1,0)))</f>
      </c>
      <c r="J3224" s="43">
        <f>IF($I3223=0,0,$R3223)</f>
      </c>
      <c r="K3224" s="43">
        <f>IF($I3224=0,0,IF(INDEX(DarlOhneTilgung,7)=1,0,IF(AND(INDEX(DarlTilgStart,7)&gt;0,$E3224=INDEX(DarlTilgStart,7)),$J3224*($H3224+INDEX(DarlTilgung,7))/100/12,IF(AND($G3224=0,$G3223=1),MAX($K3223,$J3224*($H3224+1)/100/12),$K3223))))</f>
      </c>
      <c r="L3224" s="43">
        <f>IF($I3224=0,0,$J3224*$H3224/100/12)</f>
      </c>
      <c r="M3224" s="43">
        <f>IF($I3224=0,0,IF(OR(INDEX(DarlOhneTilgung,7)=1,AND(INDEX(DarlTilgStart,7)&gt;0,$E3224&lt;INDEX(DarlTilgStart,7))),0,MIN(MAX(0,$K3224-$L3224),$J3224)))</f>
      </c>
      <c r="N3224" s="43">
        <f>IF($I3224=0,0,MIN(SUMIFS(SondBetrag,SondDarl,7,SondDatum,"&gt;="&amp;$E3224,SondDatum,"&lt;="&amp;EOMONTH($E3224,0)),$J3224-$M3224))</f>
      </c>
      <c r="O3224" s="43">
        <f>IF($I3224=0,0,INDEX(DarlErsatzRate,7))</f>
      </c>
      <c r="P3224" s="43">
        <f>IF($I3224=0,0,$Q3223*INDEX(DarlErsatzZins,7))</f>
      </c>
      <c r="Q3224" s="43">
        <f>IF($I3224=0,0,$Q3223+$P3224+$O3224)</f>
      </c>
      <c r="R3224" s="43">
        <f>IF($I3224=0,0,$J3224-$M3224-$N3224)</f>
      </c>
    </row>
    <row r="3225">
      <c r="A3225"/>
      <c r="B3225">
        <v>7</v>
      </c>
      <c r="C3225" s="43">
        <f>INDEX(DarlObj,7)</f>
      </c>
      <c r="D3225">
        <v>342</v>
      </c>
      <c r="E3225" s="51">
        <f>IF(INDEX(DarlBelegt,7)=0,0,EOMONTH(INDEX(DarlAuszahlung,7),341)+1)</f>
      </c>
      <c r="F3225" s="43">
        <f>IF($E3225=0,0,YEAR($E3225))</f>
      </c>
      <c r="G3225" s="43">
        <f>IF(INDEX(DarlBindung,7)="",1,IF($E3225&lt;=INDEX(DarlBindung,7),1,0))</f>
      </c>
      <c r="H3225" s="43">
        <f>IF($G3225=1,INDEX(DarlSollzins,7),INDEX(DarlAnschluss,7))</f>
      </c>
      <c r="I3225" s="43">
        <f>IF(INDEX(DarlBelegt,7)=0,0,IF(INDEX(DarlOhneTilgung,7)=1,IF(INDEX(DarlBindung,7)="",1,$G3225),IF($J3225&gt;0.005,1,0)))</f>
      </c>
      <c r="J3225" s="43">
        <f>IF($I3224=0,0,$R3224)</f>
      </c>
      <c r="K3225" s="43">
        <f>IF($I3225=0,0,IF(INDEX(DarlOhneTilgung,7)=1,0,IF(AND(INDEX(DarlTilgStart,7)&gt;0,$E3225=INDEX(DarlTilgStart,7)),$J3225*($H3225+INDEX(DarlTilgung,7))/100/12,IF(AND($G3225=0,$G3224=1),MAX($K3224,$J3225*($H3225+1)/100/12),$K3224))))</f>
      </c>
      <c r="L3225" s="43">
        <f>IF($I3225=0,0,$J3225*$H3225/100/12)</f>
      </c>
      <c r="M3225" s="43">
        <f>IF($I3225=0,0,IF(OR(INDEX(DarlOhneTilgung,7)=1,AND(INDEX(DarlTilgStart,7)&gt;0,$E3225&lt;INDEX(DarlTilgStart,7))),0,MIN(MAX(0,$K3225-$L3225),$J3225)))</f>
      </c>
      <c r="N3225" s="43">
        <f>IF($I3225=0,0,MIN(SUMIFS(SondBetrag,SondDarl,7,SondDatum,"&gt;="&amp;$E3225,SondDatum,"&lt;="&amp;EOMONTH($E3225,0)),$J3225-$M3225))</f>
      </c>
      <c r="O3225" s="43">
        <f>IF($I3225=0,0,INDEX(DarlErsatzRate,7))</f>
      </c>
      <c r="P3225" s="43">
        <f>IF($I3225=0,0,$Q3224*INDEX(DarlErsatzZins,7))</f>
      </c>
      <c r="Q3225" s="43">
        <f>IF($I3225=0,0,$Q3224+$P3225+$O3225)</f>
      </c>
      <c r="R3225" s="43">
        <f>IF($I3225=0,0,$J3225-$M3225-$N3225)</f>
      </c>
    </row>
    <row r="3226">
      <c r="A3226"/>
      <c r="B3226">
        <v>7</v>
      </c>
      <c r="C3226" s="43">
        <f>INDEX(DarlObj,7)</f>
      </c>
      <c r="D3226">
        <v>343</v>
      </c>
      <c r="E3226" s="51">
        <f>IF(INDEX(DarlBelegt,7)=0,0,EOMONTH(INDEX(DarlAuszahlung,7),342)+1)</f>
      </c>
      <c r="F3226" s="43">
        <f>IF($E3226=0,0,YEAR($E3226))</f>
      </c>
      <c r="G3226" s="43">
        <f>IF(INDEX(DarlBindung,7)="",1,IF($E3226&lt;=INDEX(DarlBindung,7),1,0))</f>
      </c>
      <c r="H3226" s="43">
        <f>IF($G3226=1,INDEX(DarlSollzins,7),INDEX(DarlAnschluss,7))</f>
      </c>
      <c r="I3226" s="43">
        <f>IF(INDEX(DarlBelegt,7)=0,0,IF(INDEX(DarlOhneTilgung,7)=1,IF(INDEX(DarlBindung,7)="",1,$G3226),IF($J3226&gt;0.005,1,0)))</f>
      </c>
      <c r="J3226" s="43">
        <f>IF($I3225=0,0,$R3225)</f>
      </c>
      <c r="K3226" s="43">
        <f>IF($I3226=0,0,IF(INDEX(DarlOhneTilgung,7)=1,0,IF(AND(INDEX(DarlTilgStart,7)&gt;0,$E3226=INDEX(DarlTilgStart,7)),$J3226*($H3226+INDEX(DarlTilgung,7))/100/12,IF(AND($G3226=0,$G3225=1),MAX($K3225,$J3226*($H3226+1)/100/12),$K3225))))</f>
      </c>
      <c r="L3226" s="43">
        <f>IF($I3226=0,0,$J3226*$H3226/100/12)</f>
      </c>
      <c r="M3226" s="43">
        <f>IF($I3226=0,0,IF(OR(INDEX(DarlOhneTilgung,7)=1,AND(INDEX(DarlTilgStart,7)&gt;0,$E3226&lt;INDEX(DarlTilgStart,7))),0,MIN(MAX(0,$K3226-$L3226),$J3226)))</f>
      </c>
      <c r="N3226" s="43">
        <f>IF($I3226=0,0,MIN(SUMIFS(SondBetrag,SondDarl,7,SondDatum,"&gt;="&amp;$E3226,SondDatum,"&lt;="&amp;EOMONTH($E3226,0)),$J3226-$M3226))</f>
      </c>
      <c r="O3226" s="43">
        <f>IF($I3226=0,0,INDEX(DarlErsatzRate,7))</f>
      </c>
      <c r="P3226" s="43">
        <f>IF($I3226=0,0,$Q3225*INDEX(DarlErsatzZins,7))</f>
      </c>
      <c r="Q3226" s="43">
        <f>IF($I3226=0,0,$Q3225+$P3226+$O3226)</f>
      </c>
      <c r="R3226" s="43">
        <f>IF($I3226=0,0,$J3226-$M3226-$N3226)</f>
      </c>
    </row>
    <row r="3227">
      <c r="A3227"/>
      <c r="B3227">
        <v>7</v>
      </c>
      <c r="C3227" s="43">
        <f>INDEX(DarlObj,7)</f>
      </c>
      <c r="D3227">
        <v>344</v>
      </c>
      <c r="E3227" s="51">
        <f>IF(INDEX(DarlBelegt,7)=0,0,EOMONTH(INDEX(DarlAuszahlung,7),343)+1)</f>
      </c>
      <c r="F3227" s="43">
        <f>IF($E3227=0,0,YEAR($E3227))</f>
      </c>
      <c r="G3227" s="43">
        <f>IF(INDEX(DarlBindung,7)="",1,IF($E3227&lt;=INDEX(DarlBindung,7),1,0))</f>
      </c>
      <c r="H3227" s="43">
        <f>IF($G3227=1,INDEX(DarlSollzins,7),INDEX(DarlAnschluss,7))</f>
      </c>
      <c r="I3227" s="43">
        <f>IF(INDEX(DarlBelegt,7)=0,0,IF(INDEX(DarlOhneTilgung,7)=1,IF(INDEX(DarlBindung,7)="",1,$G3227),IF($J3227&gt;0.005,1,0)))</f>
      </c>
      <c r="J3227" s="43">
        <f>IF($I3226=0,0,$R3226)</f>
      </c>
      <c r="K3227" s="43">
        <f>IF($I3227=0,0,IF(INDEX(DarlOhneTilgung,7)=1,0,IF(AND(INDEX(DarlTilgStart,7)&gt;0,$E3227=INDEX(DarlTilgStart,7)),$J3227*($H3227+INDEX(DarlTilgung,7))/100/12,IF(AND($G3227=0,$G3226=1),MAX($K3226,$J3227*($H3227+1)/100/12),$K3226))))</f>
      </c>
      <c r="L3227" s="43">
        <f>IF($I3227=0,0,$J3227*$H3227/100/12)</f>
      </c>
      <c r="M3227" s="43">
        <f>IF($I3227=0,0,IF(OR(INDEX(DarlOhneTilgung,7)=1,AND(INDEX(DarlTilgStart,7)&gt;0,$E3227&lt;INDEX(DarlTilgStart,7))),0,MIN(MAX(0,$K3227-$L3227),$J3227)))</f>
      </c>
      <c r="N3227" s="43">
        <f>IF($I3227=0,0,MIN(SUMIFS(SondBetrag,SondDarl,7,SondDatum,"&gt;="&amp;$E3227,SondDatum,"&lt;="&amp;EOMONTH($E3227,0)),$J3227-$M3227))</f>
      </c>
      <c r="O3227" s="43">
        <f>IF($I3227=0,0,INDEX(DarlErsatzRate,7))</f>
      </c>
      <c r="P3227" s="43">
        <f>IF($I3227=0,0,$Q3226*INDEX(DarlErsatzZins,7))</f>
      </c>
      <c r="Q3227" s="43">
        <f>IF($I3227=0,0,$Q3226+$P3227+$O3227)</f>
      </c>
      <c r="R3227" s="43">
        <f>IF($I3227=0,0,$J3227-$M3227-$N3227)</f>
      </c>
    </row>
    <row r="3228">
      <c r="A3228"/>
      <c r="B3228">
        <v>7</v>
      </c>
      <c r="C3228" s="43">
        <f>INDEX(DarlObj,7)</f>
      </c>
      <c r="D3228">
        <v>345</v>
      </c>
      <c r="E3228" s="51">
        <f>IF(INDEX(DarlBelegt,7)=0,0,EOMONTH(INDEX(DarlAuszahlung,7),344)+1)</f>
      </c>
      <c r="F3228" s="43">
        <f>IF($E3228=0,0,YEAR($E3228))</f>
      </c>
      <c r="G3228" s="43">
        <f>IF(INDEX(DarlBindung,7)="",1,IF($E3228&lt;=INDEX(DarlBindung,7),1,0))</f>
      </c>
      <c r="H3228" s="43">
        <f>IF($G3228=1,INDEX(DarlSollzins,7),INDEX(DarlAnschluss,7))</f>
      </c>
      <c r="I3228" s="43">
        <f>IF(INDEX(DarlBelegt,7)=0,0,IF(INDEX(DarlOhneTilgung,7)=1,IF(INDEX(DarlBindung,7)="",1,$G3228),IF($J3228&gt;0.005,1,0)))</f>
      </c>
      <c r="J3228" s="43">
        <f>IF($I3227=0,0,$R3227)</f>
      </c>
      <c r="K3228" s="43">
        <f>IF($I3228=0,0,IF(INDEX(DarlOhneTilgung,7)=1,0,IF(AND(INDEX(DarlTilgStart,7)&gt;0,$E3228=INDEX(DarlTilgStart,7)),$J3228*($H3228+INDEX(DarlTilgung,7))/100/12,IF(AND($G3228=0,$G3227=1),MAX($K3227,$J3228*($H3228+1)/100/12),$K3227))))</f>
      </c>
      <c r="L3228" s="43">
        <f>IF($I3228=0,0,$J3228*$H3228/100/12)</f>
      </c>
      <c r="M3228" s="43">
        <f>IF($I3228=0,0,IF(OR(INDEX(DarlOhneTilgung,7)=1,AND(INDEX(DarlTilgStart,7)&gt;0,$E3228&lt;INDEX(DarlTilgStart,7))),0,MIN(MAX(0,$K3228-$L3228),$J3228)))</f>
      </c>
      <c r="N3228" s="43">
        <f>IF($I3228=0,0,MIN(SUMIFS(SondBetrag,SondDarl,7,SondDatum,"&gt;="&amp;$E3228,SondDatum,"&lt;="&amp;EOMONTH($E3228,0)),$J3228-$M3228))</f>
      </c>
      <c r="O3228" s="43">
        <f>IF($I3228=0,0,INDEX(DarlErsatzRate,7))</f>
      </c>
      <c r="P3228" s="43">
        <f>IF($I3228=0,0,$Q3227*INDEX(DarlErsatzZins,7))</f>
      </c>
      <c r="Q3228" s="43">
        <f>IF($I3228=0,0,$Q3227+$P3228+$O3228)</f>
      </c>
      <c r="R3228" s="43">
        <f>IF($I3228=0,0,$J3228-$M3228-$N3228)</f>
      </c>
    </row>
    <row r="3229">
      <c r="A3229"/>
      <c r="B3229">
        <v>7</v>
      </c>
      <c r="C3229" s="43">
        <f>INDEX(DarlObj,7)</f>
      </c>
      <c r="D3229">
        <v>346</v>
      </c>
      <c r="E3229" s="51">
        <f>IF(INDEX(DarlBelegt,7)=0,0,EOMONTH(INDEX(DarlAuszahlung,7),345)+1)</f>
      </c>
      <c r="F3229" s="43">
        <f>IF($E3229=0,0,YEAR($E3229))</f>
      </c>
      <c r="G3229" s="43">
        <f>IF(INDEX(DarlBindung,7)="",1,IF($E3229&lt;=INDEX(DarlBindung,7),1,0))</f>
      </c>
      <c r="H3229" s="43">
        <f>IF($G3229=1,INDEX(DarlSollzins,7),INDEX(DarlAnschluss,7))</f>
      </c>
      <c r="I3229" s="43">
        <f>IF(INDEX(DarlBelegt,7)=0,0,IF(INDEX(DarlOhneTilgung,7)=1,IF(INDEX(DarlBindung,7)="",1,$G3229),IF($J3229&gt;0.005,1,0)))</f>
      </c>
      <c r="J3229" s="43">
        <f>IF($I3228=0,0,$R3228)</f>
      </c>
      <c r="K3229" s="43">
        <f>IF($I3229=0,0,IF(INDEX(DarlOhneTilgung,7)=1,0,IF(AND(INDEX(DarlTilgStart,7)&gt;0,$E3229=INDEX(DarlTilgStart,7)),$J3229*($H3229+INDEX(DarlTilgung,7))/100/12,IF(AND($G3229=0,$G3228=1),MAX($K3228,$J3229*($H3229+1)/100/12),$K3228))))</f>
      </c>
      <c r="L3229" s="43">
        <f>IF($I3229=0,0,$J3229*$H3229/100/12)</f>
      </c>
      <c r="M3229" s="43">
        <f>IF($I3229=0,0,IF(OR(INDEX(DarlOhneTilgung,7)=1,AND(INDEX(DarlTilgStart,7)&gt;0,$E3229&lt;INDEX(DarlTilgStart,7))),0,MIN(MAX(0,$K3229-$L3229),$J3229)))</f>
      </c>
      <c r="N3229" s="43">
        <f>IF($I3229=0,0,MIN(SUMIFS(SondBetrag,SondDarl,7,SondDatum,"&gt;="&amp;$E3229,SondDatum,"&lt;="&amp;EOMONTH($E3229,0)),$J3229-$M3229))</f>
      </c>
      <c r="O3229" s="43">
        <f>IF($I3229=0,0,INDEX(DarlErsatzRate,7))</f>
      </c>
      <c r="P3229" s="43">
        <f>IF($I3229=0,0,$Q3228*INDEX(DarlErsatzZins,7))</f>
      </c>
      <c r="Q3229" s="43">
        <f>IF($I3229=0,0,$Q3228+$P3229+$O3229)</f>
      </c>
      <c r="R3229" s="43">
        <f>IF($I3229=0,0,$J3229-$M3229-$N3229)</f>
      </c>
    </row>
    <row r="3230">
      <c r="A3230"/>
      <c r="B3230">
        <v>7</v>
      </c>
      <c r="C3230" s="43">
        <f>INDEX(DarlObj,7)</f>
      </c>
      <c r="D3230">
        <v>347</v>
      </c>
      <c r="E3230" s="51">
        <f>IF(INDEX(DarlBelegt,7)=0,0,EOMONTH(INDEX(DarlAuszahlung,7),346)+1)</f>
      </c>
      <c r="F3230" s="43">
        <f>IF($E3230=0,0,YEAR($E3230))</f>
      </c>
      <c r="G3230" s="43">
        <f>IF(INDEX(DarlBindung,7)="",1,IF($E3230&lt;=INDEX(DarlBindung,7),1,0))</f>
      </c>
      <c r="H3230" s="43">
        <f>IF($G3230=1,INDEX(DarlSollzins,7),INDEX(DarlAnschluss,7))</f>
      </c>
      <c r="I3230" s="43">
        <f>IF(INDEX(DarlBelegt,7)=0,0,IF(INDEX(DarlOhneTilgung,7)=1,IF(INDEX(DarlBindung,7)="",1,$G3230),IF($J3230&gt;0.005,1,0)))</f>
      </c>
      <c r="J3230" s="43">
        <f>IF($I3229=0,0,$R3229)</f>
      </c>
      <c r="K3230" s="43">
        <f>IF($I3230=0,0,IF(INDEX(DarlOhneTilgung,7)=1,0,IF(AND(INDEX(DarlTilgStart,7)&gt;0,$E3230=INDEX(DarlTilgStart,7)),$J3230*($H3230+INDEX(DarlTilgung,7))/100/12,IF(AND($G3230=0,$G3229=1),MAX($K3229,$J3230*($H3230+1)/100/12),$K3229))))</f>
      </c>
      <c r="L3230" s="43">
        <f>IF($I3230=0,0,$J3230*$H3230/100/12)</f>
      </c>
      <c r="M3230" s="43">
        <f>IF($I3230=0,0,IF(OR(INDEX(DarlOhneTilgung,7)=1,AND(INDEX(DarlTilgStart,7)&gt;0,$E3230&lt;INDEX(DarlTilgStart,7))),0,MIN(MAX(0,$K3230-$L3230),$J3230)))</f>
      </c>
      <c r="N3230" s="43">
        <f>IF($I3230=0,0,MIN(SUMIFS(SondBetrag,SondDarl,7,SondDatum,"&gt;="&amp;$E3230,SondDatum,"&lt;="&amp;EOMONTH($E3230,0)),$J3230-$M3230))</f>
      </c>
      <c r="O3230" s="43">
        <f>IF($I3230=0,0,INDEX(DarlErsatzRate,7))</f>
      </c>
      <c r="P3230" s="43">
        <f>IF($I3230=0,0,$Q3229*INDEX(DarlErsatzZins,7))</f>
      </c>
      <c r="Q3230" s="43">
        <f>IF($I3230=0,0,$Q3229+$P3230+$O3230)</f>
      </c>
      <c r="R3230" s="43">
        <f>IF($I3230=0,0,$J3230-$M3230-$N3230)</f>
      </c>
    </row>
    <row r="3231">
      <c r="A3231"/>
      <c r="B3231">
        <v>7</v>
      </c>
      <c r="C3231" s="43">
        <f>INDEX(DarlObj,7)</f>
      </c>
      <c r="D3231">
        <v>348</v>
      </c>
      <c r="E3231" s="51">
        <f>IF(INDEX(DarlBelegt,7)=0,0,EOMONTH(INDEX(DarlAuszahlung,7),347)+1)</f>
      </c>
      <c r="F3231" s="43">
        <f>IF($E3231=0,0,YEAR($E3231))</f>
      </c>
      <c r="G3231" s="43">
        <f>IF(INDEX(DarlBindung,7)="",1,IF($E3231&lt;=INDEX(DarlBindung,7),1,0))</f>
      </c>
      <c r="H3231" s="43">
        <f>IF($G3231=1,INDEX(DarlSollzins,7),INDEX(DarlAnschluss,7))</f>
      </c>
      <c r="I3231" s="43">
        <f>IF(INDEX(DarlBelegt,7)=0,0,IF(INDEX(DarlOhneTilgung,7)=1,IF(INDEX(DarlBindung,7)="",1,$G3231),IF($J3231&gt;0.005,1,0)))</f>
      </c>
      <c r="J3231" s="43">
        <f>IF($I3230=0,0,$R3230)</f>
      </c>
      <c r="K3231" s="43">
        <f>IF($I3231=0,0,IF(INDEX(DarlOhneTilgung,7)=1,0,IF(AND(INDEX(DarlTilgStart,7)&gt;0,$E3231=INDEX(DarlTilgStart,7)),$J3231*($H3231+INDEX(DarlTilgung,7))/100/12,IF(AND($G3231=0,$G3230=1),MAX($K3230,$J3231*($H3231+1)/100/12),$K3230))))</f>
      </c>
      <c r="L3231" s="43">
        <f>IF($I3231=0,0,$J3231*$H3231/100/12)</f>
      </c>
      <c r="M3231" s="43">
        <f>IF($I3231=0,0,IF(OR(INDEX(DarlOhneTilgung,7)=1,AND(INDEX(DarlTilgStart,7)&gt;0,$E3231&lt;INDEX(DarlTilgStart,7))),0,MIN(MAX(0,$K3231-$L3231),$J3231)))</f>
      </c>
      <c r="N3231" s="43">
        <f>IF($I3231=0,0,MIN(SUMIFS(SondBetrag,SondDarl,7,SondDatum,"&gt;="&amp;$E3231,SondDatum,"&lt;="&amp;EOMONTH($E3231,0)),$J3231-$M3231))</f>
      </c>
      <c r="O3231" s="43">
        <f>IF($I3231=0,0,INDEX(DarlErsatzRate,7))</f>
      </c>
      <c r="P3231" s="43">
        <f>IF($I3231=0,0,$Q3230*INDEX(DarlErsatzZins,7))</f>
      </c>
      <c r="Q3231" s="43">
        <f>IF($I3231=0,0,$Q3230+$P3231+$O3231)</f>
      </c>
      <c r="R3231" s="43">
        <f>IF($I3231=0,0,$J3231-$M3231-$N3231)</f>
      </c>
    </row>
    <row r="3232">
      <c r="A3232"/>
      <c r="B3232">
        <v>7</v>
      </c>
      <c r="C3232" s="43">
        <f>INDEX(DarlObj,7)</f>
      </c>
      <c r="D3232">
        <v>349</v>
      </c>
      <c r="E3232" s="51">
        <f>IF(INDEX(DarlBelegt,7)=0,0,EOMONTH(INDEX(DarlAuszahlung,7),348)+1)</f>
      </c>
      <c r="F3232" s="43">
        <f>IF($E3232=0,0,YEAR($E3232))</f>
      </c>
      <c r="G3232" s="43">
        <f>IF(INDEX(DarlBindung,7)="",1,IF($E3232&lt;=INDEX(DarlBindung,7),1,0))</f>
      </c>
      <c r="H3232" s="43">
        <f>IF($G3232=1,INDEX(DarlSollzins,7),INDEX(DarlAnschluss,7))</f>
      </c>
      <c r="I3232" s="43">
        <f>IF(INDEX(DarlBelegt,7)=0,0,IF(INDEX(DarlOhneTilgung,7)=1,IF(INDEX(DarlBindung,7)="",1,$G3232),IF($J3232&gt;0.005,1,0)))</f>
      </c>
      <c r="J3232" s="43">
        <f>IF($I3231=0,0,$R3231)</f>
      </c>
      <c r="K3232" s="43">
        <f>IF($I3232=0,0,IF(INDEX(DarlOhneTilgung,7)=1,0,IF(AND(INDEX(DarlTilgStart,7)&gt;0,$E3232=INDEX(DarlTilgStart,7)),$J3232*($H3232+INDEX(DarlTilgung,7))/100/12,IF(AND($G3232=0,$G3231=1),MAX($K3231,$J3232*($H3232+1)/100/12),$K3231))))</f>
      </c>
      <c r="L3232" s="43">
        <f>IF($I3232=0,0,$J3232*$H3232/100/12)</f>
      </c>
      <c r="M3232" s="43">
        <f>IF($I3232=0,0,IF(OR(INDEX(DarlOhneTilgung,7)=1,AND(INDEX(DarlTilgStart,7)&gt;0,$E3232&lt;INDEX(DarlTilgStart,7))),0,MIN(MAX(0,$K3232-$L3232),$J3232)))</f>
      </c>
      <c r="N3232" s="43">
        <f>IF($I3232=0,0,MIN(SUMIFS(SondBetrag,SondDarl,7,SondDatum,"&gt;="&amp;$E3232,SondDatum,"&lt;="&amp;EOMONTH($E3232,0)),$J3232-$M3232))</f>
      </c>
      <c r="O3232" s="43">
        <f>IF($I3232=0,0,INDEX(DarlErsatzRate,7))</f>
      </c>
      <c r="P3232" s="43">
        <f>IF($I3232=0,0,$Q3231*INDEX(DarlErsatzZins,7))</f>
      </c>
      <c r="Q3232" s="43">
        <f>IF($I3232=0,0,$Q3231+$P3232+$O3232)</f>
      </c>
      <c r="R3232" s="43">
        <f>IF($I3232=0,0,$J3232-$M3232-$N3232)</f>
      </c>
    </row>
    <row r="3233">
      <c r="A3233"/>
      <c r="B3233">
        <v>7</v>
      </c>
      <c r="C3233" s="43">
        <f>INDEX(DarlObj,7)</f>
      </c>
      <c r="D3233">
        <v>350</v>
      </c>
      <c r="E3233" s="51">
        <f>IF(INDEX(DarlBelegt,7)=0,0,EOMONTH(INDEX(DarlAuszahlung,7),349)+1)</f>
      </c>
      <c r="F3233" s="43">
        <f>IF($E3233=0,0,YEAR($E3233))</f>
      </c>
      <c r="G3233" s="43">
        <f>IF(INDEX(DarlBindung,7)="",1,IF($E3233&lt;=INDEX(DarlBindung,7),1,0))</f>
      </c>
      <c r="H3233" s="43">
        <f>IF($G3233=1,INDEX(DarlSollzins,7),INDEX(DarlAnschluss,7))</f>
      </c>
      <c r="I3233" s="43">
        <f>IF(INDEX(DarlBelegt,7)=0,0,IF(INDEX(DarlOhneTilgung,7)=1,IF(INDEX(DarlBindung,7)="",1,$G3233),IF($J3233&gt;0.005,1,0)))</f>
      </c>
      <c r="J3233" s="43">
        <f>IF($I3232=0,0,$R3232)</f>
      </c>
      <c r="K3233" s="43">
        <f>IF($I3233=0,0,IF(INDEX(DarlOhneTilgung,7)=1,0,IF(AND(INDEX(DarlTilgStart,7)&gt;0,$E3233=INDEX(DarlTilgStart,7)),$J3233*($H3233+INDEX(DarlTilgung,7))/100/12,IF(AND($G3233=0,$G3232=1),MAX($K3232,$J3233*($H3233+1)/100/12),$K3232))))</f>
      </c>
      <c r="L3233" s="43">
        <f>IF($I3233=0,0,$J3233*$H3233/100/12)</f>
      </c>
      <c r="M3233" s="43">
        <f>IF($I3233=0,0,IF(OR(INDEX(DarlOhneTilgung,7)=1,AND(INDEX(DarlTilgStart,7)&gt;0,$E3233&lt;INDEX(DarlTilgStart,7))),0,MIN(MAX(0,$K3233-$L3233),$J3233)))</f>
      </c>
      <c r="N3233" s="43">
        <f>IF($I3233=0,0,MIN(SUMIFS(SondBetrag,SondDarl,7,SondDatum,"&gt;="&amp;$E3233,SondDatum,"&lt;="&amp;EOMONTH($E3233,0)),$J3233-$M3233))</f>
      </c>
      <c r="O3233" s="43">
        <f>IF($I3233=0,0,INDEX(DarlErsatzRate,7))</f>
      </c>
      <c r="P3233" s="43">
        <f>IF($I3233=0,0,$Q3232*INDEX(DarlErsatzZins,7))</f>
      </c>
      <c r="Q3233" s="43">
        <f>IF($I3233=0,0,$Q3232+$P3233+$O3233)</f>
      </c>
      <c r="R3233" s="43">
        <f>IF($I3233=0,0,$J3233-$M3233-$N3233)</f>
      </c>
    </row>
    <row r="3234">
      <c r="A3234"/>
      <c r="B3234">
        <v>7</v>
      </c>
      <c r="C3234" s="43">
        <f>INDEX(DarlObj,7)</f>
      </c>
      <c r="D3234">
        <v>351</v>
      </c>
      <c r="E3234" s="51">
        <f>IF(INDEX(DarlBelegt,7)=0,0,EOMONTH(INDEX(DarlAuszahlung,7),350)+1)</f>
      </c>
      <c r="F3234" s="43">
        <f>IF($E3234=0,0,YEAR($E3234))</f>
      </c>
      <c r="G3234" s="43">
        <f>IF(INDEX(DarlBindung,7)="",1,IF($E3234&lt;=INDEX(DarlBindung,7),1,0))</f>
      </c>
      <c r="H3234" s="43">
        <f>IF($G3234=1,INDEX(DarlSollzins,7),INDEX(DarlAnschluss,7))</f>
      </c>
      <c r="I3234" s="43">
        <f>IF(INDEX(DarlBelegt,7)=0,0,IF(INDEX(DarlOhneTilgung,7)=1,IF(INDEX(DarlBindung,7)="",1,$G3234),IF($J3234&gt;0.005,1,0)))</f>
      </c>
      <c r="J3234" s="43">
        <f>IF($I3233=0,0,$R3233)</f>
      </c>
      <c r="K3234" s="43">
        <f>IF($I3234=0,0,IF(INDEX(DarlOhneTilgung,7)=1,0,IF(AND(INDEX(DarlTilgStart,7)&gt;0,$E3234=INDEX(DarlTilgStart,7)),$J3234*($H3234+INDEX(DarlTilgung,7))/100/12,IF(AND($G3234=0,$G3233=1),MAX($K3233,$J3234*($H3234+1)/100/12),$K3233))))</f>
      </c>
      <c r="L3234" s="43">
        <f>IF($I3234=0,0,$J3234*$H3234/100/12)</f>
      </c>
      <c r="M3234" s="43">
        <f>IF($I3234=0,0,IF(OR(INDEX(DarlOhneTilgung,7)=1,AND(INDEX(DarlTilgStart,7)&gt;0,$E3234&lt;INDEX(DarlTilgStart,7))),0,MIN(MAX(0,$K3234-$L3234),$J3234)))</f>
      </c>
      <c r="N3234" s="43">
        <f>IF($I3234=0,0,MIN(SUMIFS(SondBetrag,SondDarl,7,SondDatum,"&gt;="&amp;$E3234,SondDatum,"&lt;="&amp;EOMONTH($E3234,0)),$J3234-$M3234))</f>
      </c>
      <c r="O3234" s="43">
        <f>IF($I3234=0,0,INDEX(DarlErsatzRate,7))</f>
      </c>
      <c r="P3234" s="43">
        <f>IF($I3234=0,0,$Q3233*INDEX(DarlErsatzZins,7))</f>
      </c>
      <c r="Q3234" s="43">
        <f>IF($I3234=0,0,$Q3233+$P3234+$O3234)</f>
      </c>
      <c r="R3234" s="43">
        <f>IF($I3234=0,0,$J3234-$M3234-$N3234)</f>
      </c>
    </row>
    <row r="3235">
      <c r="A3235"/>
      <c r="B3235">
        <v>7</v>
      </c>
      <c r="C3235" s="43">
        <f>INDEX(DarlObj,7)</f>
      </c>
      <c r="D3235">
        <v>352</v>
      </c>
      <c r="E3235" s="51">
        <f>IF(INDEX(DarlBelegt,7)=0,0,EOMONTH(INDEX(DarlAuszahlung,7),351)+1)</f>
      </c>
      <c r="F3235" s="43">
        <f>IF($E3235=0,0,YEAR($E3235))</f>
      </c>
      <c r="G3235" s="43">
        <f>IF(INDEX(DarlBindung,7)="",1,IF($E3235&lt;=INDEX(DarlBindung,7),1,0))</f>
      </c>
      <c r="H3235" s="43">
        <f>IF($G3235=1,INDEX(DarlSollzins,7),INDEX(DarlAnschluss,7))</f>
      </c>
      <c r="I3235" s="43">
        <f>IF(INDEX(DarlBelegt,7)=0,0,IF(INDEX(DarlOhneTilgung,7)=1,IF(INDEX(DarlBindung,7)="",1,$G3235),IF($J3235&gt;0.005,1,0)))</f>
      </c>
      <c r="J3235" s="43">
        <f>IF($I3234=0,0,$R3234)</f>
      </c>
      <c r="K3235" s="43">
        <f>IF($I3235=0,0,IF(INDEX(DarlOhneTilgung,7)=1,0,IF(AND(INDEX(DarlTilgStart,7)&gt;0,$E3235=INDEX(DarlTilgStart,7)),$J3235*($H3235+INDEX(DarlTilgung,7))/100/12,IF(AND($G3235=0,$G3234=1),MAX($K3234,$J3235*($H3235+1)/100/12),$K3234))))</f>
      </c>
      <c r="L3235" s="43">
        <f>IF($I3235=0,0,$J3235*$H3235/100/12)</f>
      </c>
      <c r="M3235" s="43">
        <f>IF($I3235=0,0,IF(OR(INDEX(DarlOhneTilgung,7)=1,AND(INDEX(DarlTilgStart,7)&gt;0,$E3235&lt;INDEX(DarlTilgStart,7))),0,MIN(MAX(0,$K3235-$L3235),$J3235)))</f>
      </c>
      <c r="N3235" s="43">
        <f>IF($I3235=0,0,MIN(SUMIFS(SondBetrag,SondDarl,7,SondDatum,"&gt;="&amp;$E3235,SondDatum,"&lt;="&amp;EOMONTH($E3235,0)),$J3235-$M3235))</f>
      </c>
      <c r="O3235" s="43">
        <f>IF($I3235=0,0,INDEX(DarlErsatzRate,7))</f>
      </c>
      <c r="P3235" s="43">
        <f>IF($I3235=0,0,$Q3234*INDEX(DarlErsatzZins,7))</f>
      </c>
      <c r="Q3235" s="43">
        <f>IF($I3235=0,0,$Q3234+$P3235+$O3235)</f>
      </c>
      <c r="R3235" s="43">
        <f>IF($I3235=0,0,$J3235-$M3235-$N3235)</f>
      </c>
    </row>
    <row r="3236">
      <c r="A3236"/>
      <c r="B3236">
        <v>7</v>
      </c>
      <c r="C3236" s="43">
        <f>INDEX(DarlObj,7)</f>
      </c>
      <c r="D3236">
        <v>353</v>
      </c>
      <c r="E3236" s="51">
        <f>IF(INDEX(DarlBelegt,7)=0,0,EOMONTH(INDEX(DarlAuszahlung,7),352)+1)</f>
      </c>
      <c r="F3236" s="43">
        <f>IF($E3236=0,0,YEAR($E3236))</f>
      </c>
      <c r="G3236" s="43">
        <f>IF(INDEX(DarlBindung,7)="",1,IF($E3236&lt;=INDEX(DarlBindung,7),1,0))</f>
      </c>
      <c r="H3236" s="43">
        <f>IF($G3236=1,INDEX(DarlSollzins,7),INDEX(DarlAnschluss,7))</f>
      </c>
      <c r="I3236" s="43">
        <f>IF(INDEX(DarlBelegt,7)=0,0,IF(INDEX(DarlOhneTilgung,7)=1,IF(INDEX(DarlBindung,7)="",1,$G3236),IF($J3236&gt;0.005,1,0)))</f>
      </c>
      <c r="J3236" s="43">
        <f>IF($I3235=0,0,$R3235)</f>
      </c>
      <c r="K3236" s="43">
        <f>IF($I3236=0,0,IF(INDEX(DarlOhneTilgung,7)=1,0,IF(AND(INDEX(DarlTilgStart,7)&gt;0,$E3236=INDEX(DarlTilgStart,7)),$J3236*($H3236+INDEX(DarlTilgung,7))/100/12,IF(AND($G3236=0,$G3235=1),MAX($K3235,$J3236*($H3236+1)/100/12),$K3235))))</f>
      </c>
      <c r="L3236" s="43">
        <f>IF($I3236=0,0,$J3236*$H3236/100/12)</f>
      </c>
      <c r="M3236" s="43">
        <f>IF($I3236=0,0,IF(OR(INDEX(DarlOhneTilgung,7)=1,AND(INDEX(DarlTilgStart,7)&gt;0,$E3236&lt;INDEX(DarlTilgStart,7))),0,MIN(MAX(0,$K3236-$L3236),$J3236)))</f>
      </c>
      <c r="N3236" s="43">
        <f>IF($I3236=0,0,MIN(SUMIFS(SondBetrag,SondDarl,7,SondDatum,"&gt;="&amp;$E3236,SondDatum,"&lt;="&amp;EOMONTH($E3236,0)),$J3236-$M3236))</f>
      </c>
      <c r="O3236" s="43">
        <f>IF($I3236=0,0,INDEX(DarlErsatzRate,7))</f>
      </c>
      <c r="P3236" s="43">
        <f>IF($I3236=0,0,$Q3235*INDEX(DarlErsatzZins,7))</f>
      </c>
      <c r="Q3236" s="43">
        <f>IF($I3236=0,0,$Q3235+$P3236+$O3236)</f>
      </c>
      <c r="R3236" s="43">
        <f>IF($I3236=0,0,$J3236-$M3236-$N3236)</f>
      </c>
    </row>
    <row r="3237">
      <c r="A3237"/>
      <c r="B3237">
        <v>7</v>
      </c>
      <c r="C3237" s="43">
        <f>INDEX(DarlObj,7)</f>
      </c>
      <c r="D3237">
        <v>354</v>
      </c>
      <c r="E3237" s="51">
        <f>IF(INDEX(DarlBelegt,7)=0,0,EOMONTH(INDEX(DarlAuszahlung,7),353)+1)</f>
      </c>
      <c r="F3237" s="43">
        <f>IF($E3237=0,0,YEAR($E3237))</f>
      </c>
      <c r="G3237" s="43">
        <f>IF(INDEX(DarlBindung,7)="",1,IF($E3237&lt;=INDEX(DarlBindung,7),1,0))</f>
      </c>
      <c r="H3237" s="43">
        <f>IF($G3237=1,INDEX(DarlSollzins,7),INDEX(DarlAnschluss,7))</f>
      </c>
      <c r="I3237" s="43">
        <f>IF(INDEX(DarlBelegt,7)=0,0,IF(INDEX(DarlOhneTilgung,7)=1,IF(INDEX(DarlBindung,7)="",1,$G3237),IF($J3237&gt;0.005,1,0)))</f>
      </c>
      <c r="J3237" s="43">
        <f>IF($I3236=0,0,$R3236)</f>
      </c>
      <c r="K3237" s="43">
        <f>IF($I3237=0,0,IF(INDEX(DarlOhneTilgung,7)=1,0,IF(AND(INDEX(DarlTilgStart,7)&gt;0,$E3237=INDEX(DarlTilgStart,7)),$J3237*($H3237+INDEX(DarlTilgung,7))/100/12,IF(AND($G3237=0,$G3236=1),MAX($K3236,$J3237*($H3237+1)/100/12),$K3236))))</f>
      </c>
      <c r="L3237" s="43">
        <f>IF($I3237=0,0,$J3237*$H3237/100/12)</f>
      </c>
      <c r="M3237" s="43">
        <f>IF($I3237=0,0,IF(OR(INDEX(DarlOhneTilgung,7)=1,AND(INDEX(DarlTilgStart,7)&gt;0,$E3237&lt;INDEX(DarlTilgStart,7))),0,MIN(MAX(0,$K3237-$L3237),$J3237)))</f>
      </c>
      <c r="N3237" s="43">
        <f>IF($I3237=0,0,MIN(SUMIFS(SondBetrag,SondDarl,7,SondDatum,"&gt;="&amp;$E3237,SondDatum,"&lt;="&amp;EOMONTH($E3237,0)),$J3237-$M3237))</f>
      </c>
      <c r="O3237" s="43">
        <f>IF($I3237=0,0,INDEX(DarlErsatzRate,7))</f>
      </c>
      <c r="P3237" s="43">
        <f>IF($I3237=0,0,$Q3236*INDEX(DarlErsatzZins,7))</f>
      </c>
      <c r="Q3237" s="43">
        <f>IF($I3237=0,0,$Q3236+$P3237+$O3237)</f>
      </c>
      <c r="R3237" s="43">
        <f>IF($I3237=0,0,$J3237-$M3237-$N3237)</f>
      </c>
    </row>
    <row r="3238">
      <c r="A3238"/>
      <c r="B3238">
        <v>7</v>
      </c>
      <c r="C3238" s="43">
        <f>INDEX(DarlObj,7)</f>
      </c>
      <c r="D3238">
        <v>355</v>
      </c>
      <c r="E3238" s="51">
        <f>IF(INDEX(DarlBelegt,7)=0,0,EOMONTH(INDEX(DarlAuszahlung,7),354)+1)</f>
      </c>
      <c r="F3238" s="43">
        <f>IF($E3238=0,0,YEAR($E3238))</f>
      </c>
      <c r="G3238" s="43">
        <f>IF(INDEX(DarlBindung,7)="",1,IF($E3238&lt;=INDEX(DarlBindung,7),1,0))</f>
      </c>
      <c r="H3238" s="43">
        <f>IF($G3238=1,INDEX(DarlSollzins,7),INDEX(DarlAnschluss,7))</f>
      </c>
      <c r="I3238" s="43">
        <f>IF(INDEX(DarlBelegt,7)=0,0,IF(INDEX(DarlOhneTilgung,7)=1,IF(INDEX(DarlBindung,7)="",1,$G3238),IF($J3238&gt;0.005,1,0)))</f>
      </c>
      <c r="J3238" s="43">
        <f>IF($I3237=0,0,$R3237)</f>
      </c>
      <c r="K3238" s="43">
        <f>IF($I3238=0,0,IF(INDEX(DarlOhneTilgung,7)=1,0,IF(AND(INDEX(DarlTilgStart,7)&gt;0,$E3238=INDEX(DarlTilgStart,7)),$J3238*($H3238+INDEX(DarlTilgung,7))/100/12,IF(AND($G3238=0,$G3237=1),MAX($K3237,$J3238*($H3238+1)/100/12),$K3237))))</f>
      </c>
      <c r="L3238" s="43">
        <f>IF($I3238=0,0,$J3238*$H3238/100/12)</f>
      </c>
      <c r="M3238" s="43">
        <f>IF($I3238=0,0,IF(OR(INDEX(DarlOhneTilgung,7)=1,AND(INDEX(DarlTilgStart,7)&gt;0,$E3238&lt;INDEX(DarlTilgStart,7))),0,MIN(MAX(0,$K3238-$L3238),$J3238)))</f>
      </c>
      <c r="N3238" s="43">
        <f>IF($I3238=0,0,MIN(SUMIFS(SondBetrag,SondDarl,7,SondDatum,"&gt;="&amp;$E3238,SondDatum,"&lt;="&amp;EOMONTH($E3238,0)),$J3238-$M3238))</f>
      </c>
      <c r="O3238" s="43">
        <f>IF($I3238=0,0,INDEX(DarlErsatzRate,7))</f>
      </c>
      <c r="P3238" s="43">
        <f>IF($I3238=0,0,$Q3237*INDEX(DarlErsatzZins,7))</f>
      </c>
      <c r="Q3238" s="43">
        <f>IF($I3238=0,0,$Q3237+$P3238+$O3238)</f>
      </c>
      <c r="R3238" s="43">
        <f>IF($I3238=0,0,$J3238-$M3238-$N3238)</f>
      </c>
    </row>
    <row r="3239">
      <c r="A3239"/>
      <c r="B3239">
        <v>7</v>
      </c>
      <c r="C3239" s="43">
        <f>INDEX(DarlObj,7)</f>
      </c>
      <c r="D3239">
        <v>356</v>
      </c>
      <c r="E3239" s="51">
        <f>IF(INDEX(DarlBelegt,7)=0,0,EOMONTH(INDEX(DarlAuszahlung,7),355)+1)</f>
      </c>
      <c r="F3239" s="43">
        <f>IF($E3239=0,0,YEAR($E3239))</f>
      </c>
      <c r="G3239" s="43">
        <f>IF(INDEX(DarlBindung,7)="",1,IF($E3239&lt;=INDEX(DarlBindung,7),1,0))</f>
      </c>
      <c r="H3239" s="43">
        <f>IF($G3239=1,INDEX(DarlSollzins,7),INDEX(DarlAnschluss,7))</f>
      </c>
      <c r="I3239" s="43">
        <f>IF(INDEX(DarlBelegt,7)=0,0,IF(INDEX(DarlOhneTilgung,7)=1,IF(INDEX(DarlBindung,7)="",1,$G3239),IF($J3239&gt;0.005,1,0)))</f>
      </c>
      <c r="J3239" s="43">
        <f>IF($I3238=0,0,$R3238)</f>
      </c>
      <c r="K3239" s="43">
        <f>IF($I3239=0,0,IF(INDEX(DarlOhneTilgung,7)=1,0,IF(AND(INDEX(DarlTilgStart,7)&gt;0,$E3239=INDEX(DarlTilgStart,7)),$J3239*($H3239+INDEX(DarlTilgung,7))/100/12,IF(AND($G3239=0,$G3238=1),MAX($K3238,$J3239*($H3239+1)/100/12),$K3238))))</f>
      </c>
      <c r="L3239" s="43">
        <f>IF($I3239=0,0,$J3239*$H3239/100/12)</f>
      </c>
      <c r="M3239" s="43">
        <f>IF($I3239=0,0,IF(OR(INDEX(DarlOhneTilgung,7)=1,AND(INDEX(DarlTilgStart,7)&gt;0,$E3239&lt;INDEX(DarlTilgStart,7))),0,MIN(MAX(0,$K3239-$L3239),$J3239)))</f>
      </c>
      <c r="N3239" s="43">
        <f>IF($I3239=0,0,MIN(SUMIFS(SondBetrag,SondDarl,7,SondDatum,"&gt;="&amp;$E3239,SondDatum,"&lt;="&amp;EOMONTH($E3239,0)),$J3239-$M3239))</f>
      </c>
      <c r="O3239" s="43">
        <f>IF($I3239=0,0,INDEX(DarlErsatzRate,7))</f>
      </c>
      <c r="P3239" s="43">
        <f>IF($I3239=0,0,$Q3238*INDEX(DarlErsatzZins,7))</f>
      </c>
      <c r="Q3239" s="43">
        <f>IF($I3239=0,0,$Q3238+$P3239+$O3239)</f>
      </c>
      <c r="R3239" s="43">
        <f>IF($I3239=0,0,$J3239-$M3239-$N3239)</f>
      </c>
    </row>
    <row r="3240">
      <c r="A3240"/>
      <c r="B3240">
        <v>7</v>
      </c>
      <c r="C3240" s="43">
        <f>INDEX(DarlObj,7)</f>
      </c>
      <c r="D3240">
        <v>357</v>
      </c>
      <c r="E3240" s="51">
        <f>IF(INDEX(DarlBelegt,7)=0,0,EOMONTH(INDEX(DarlAuszahlung,7),356)+1)</f>
      </c>
      <c r="F3240" s="43">
        <f>IF($E3240=0,0,YEAR($E3240))</f>
      </c>
      <c r="G3240" s="43">
        <f>IF(INDEX(DarlBindung,7)="",1,IF($E3240&lt;=INDEX(DarlBindung,7),1,0))</f>
      </c>
      <c r="H3240" s="43">
        <f>IF($G3240=1,INDEX(DarlSollzins,7),INDEX(DarlAnschluss,7))</f>
      </c>
      <c r="I3240" s="43">
        <f>IF(INDEX(DarlBelegt,7)=0,0,IF(INDEX(DarlOhneTilgung,7)=1,IF(INDEX(DarlBindung,7)="",1,$G3240),IF($J3240&gt;0.005,1,0)))</f>
      </c>
      <c r="J3240" s="43">
        <f>IF($I3239=0,0,$R3239)</f>
      </c>
      <c r="K3240" s="43">
        <f>IF($I3240=0,0,IF(INDEX(DarlOhneTilgung,7)=1,0,IF(AND(INDEX(DarlTilgStart,7)&gt;0,$E3240=INDEX(DarlTilgStart,7)),$J3240*($H3240+INDEX(DarlTilgung,7))/100/12,IF(AND($G3240=0,$G3239=1),MAX($K3239,$J3240*($H3240+1)/100/12),$K3239))))</f>
      </c>
      <c r="L3240" s="43">
        <f>IF($I3240=0,0,$J3240*$H3240/100/12)</f>
      </c>
      <c r="M3240" s="43">
        <f>IF($I3240=0,0,IF(OR(INDEX(DarlOhneTilgung,7)=1,AND(INDEX(DarlTilgStart,7)&gt;0,$E3240&lt;INDEX(DarlTilgStart,7))),0,MIN(MAX(0,$K3240-$L3240),$J3240)))</f>
      </c>
      <c r="N3240" s="43">
        <f>IF($I3240=0,0,MIN(SUMIFS(SondBetrag,SondDarl,7,SondDatum,"&gt;="&amp;$E3240,SondDatum,"&lt;="&amp;EOMONTH($E3240,0)),$J3240-$M3240))</f>
      </c>
      <c r="O3240" s="43">
        <f>IF($I3240=0,0,INDEX(DarlErsatzRate,7))</f>
      </c>
      <c r="P3240" s="43">
        <f>IF($I3240=0,0,$Q3239*INDEX(DarlErsatzZins,7))</f>
      </c>
      <c r="Q3240" s="43">
        <f>IF($I3240=0,0,$Q3239+$P3240+$O3240)</f>
      </c>
      <c r="R3240" s="43">
        <f>IF($I3240=0,0,$J3240-$M3240-$N3240)</f>
      </c>
    </row>
    <row r="3241">
      <c r="A3241"/>
      <c r="B3241">
        <v>7</v>
      </c>
      <c r="C3241" s="43">
        <f>INDEX(DarlObj,7)</f>
      </c>
      <c r="D3241">
        <v>358</v>
      </c>
      <c r="E3241" s="51">
        <f>IF(INDEX(DarlBelegt,7)=0,0,EOMONTH(INDEX(DarlAuszahlung,7),357)+1)</f>
      </c>
      <c r="F3241" s="43">
        <f>IF($E3241=0,0,YEAR($E3241))</f>
      </c>
      <c r="G3241" s="43">
        <f>IF(INDEX(DarlBindung,7)="",1,IF($E3241&lt;=INDEX(DarlBindung,7),1,0))</f>
      </c>
      <c r="H3241" s="43">
        <f>IF($G3241=1,INDEX(DarlSollzins,7),INDEX(DarlAnschluss,7))</f>
      </c>
      <c r="I3241" s="43">
        <f>IF(INDEX(DarlBelegt,7)=0,0,IF(INDEX(DarlOhneTilgung,7)=1,IF(INDEX(DarlBindung,7)="",1,$G3241),IF($J3241&gt;0.005,1,0)))</f>
      </c>
      <c r="J3241" s="43">
        <f>IF($I3240=0,0,$R3240)</f>
      </c>
      <c r="K3241" s="43">
        <f>IF($I3241=0,0,IF(INDEX(DarlOhneTilgung,7)=1,0,IF(AND(INDEX(DarlTilgStart,7)&gt;0,$E3241=INDEX(DarlTilgStart,7)),$J3241*($H3241+INDEX(DarlTilgung,7))/100/12,IF(AND($G3241=0,$G3240=1),MAX($K3240,$J3241*($H3241+1)/100/12),$K3240))))</f>
      </c>
      <c r="L3241" s="43">
        <f>IF($I3241=0,0,$J3241*$H3241/100/12)</f>
      </c>
      <c r="M3241" s="43">
        <f>IF($I3241=0,0,IF(OR(INDEX(DarlOhneTilgung,7)=1,AND(INDEX(DarlTilgStart,7)&gt;0,$E3241&lt;INDEX(DarlTilgStart,7))),0,MIN(MAX(0,$K3241-$L3241),$J3241)))</f>
      </c>
      <c r="N3241" s="43">
        <f>IF($I3241=0,0,MIN(SUMIFS(SondBetrag,SondDarl,7,SondDatum,"&gt;="&amp;$E3241,SondDatum,"&lt;="&amp;EOMONTH($E3241,0)),$J3241-$M3241))</f>
      </c>
      <c r="O3241" s="43">
        <f>IF($I3241=0,0,INDEX(DarlErsatzRate,7))</f>
      </c>
      <c r="P3241" s="43">
        <f>IF($I3241=0,0,$Q3240*INDEX(DarlErsatzZins,7))</f>
      </c>
      <c r="Q3241" s="43">
        <f>IF($I3241=0,0,$Q3240+$P3241+$O3241)</f>
      </c>
      <c r="R3241" s="43">
        <f>IF($I3241=0,0,$J3241-$M3241-$N3241)</f>
      </c>
    </row>
    <row r="3242">
      <c r="A3242"/>
      <c r="B3242">
        <v>7</v>
      </c>
      <c r="C3242" s="43">
        <f>INDEX(DarlObj,7)</f>
      </c>
      <c r="D3242">
        <v>359</v>
      </c>
      <c r="E3242" s="51">
        <f>IF(INDEX(DarlBelegt,7)=0,0,EOMONTH(INDEX(DarlAuszahlung,7),358)+1)</f>
      </c>
      <c r="F3242" s="43">
        <f>IF($E3242=0,0,YEAR($E3242))</f>
      </c>
      <c r="G3242" s="43">
        <f>IF(INDEX(DarlBindung,7)="",1,IF($E3242&lt;=INDEX(DarlBindung,7),1,0))</f>
      </c>
      <c r="H3242" s="43">
        <f>IF($G3242=1,INDEX(DarlSollzins,7),INDEX(DarlAnschluss,7))</f>
      </c>
      <c r="I3242" s="43">
        <f>IF(INDEX(DarlBelegt,7)=0,0,IF(INDEX(DarlOhneTilgung,7)=1,IF(INDEX(DarlBindung,7)="",1,$G3242),IF($J3242&gt;0.005,1,0)))</f>
      </c>
      <c r="J3242" s="43">
        <f>IF($I3241=0,0,$R3241)</f>
      </c>
      <c r="K3242" s="43">
        <f>IF($I3242=0,0,IF(INDEX(DarlOhneTilgung,7)=1,0,IF(AND(INDEX(DarlTilgStart,7)&gt;0,$E3242=INDEX(DarlTilgStart,7)),$J3242*($H3242+INDEX(DarlTilgung,7))/100/12,IF(AND($G3242=0,$G3241=1),MAX($K3241,$J3242*($H3242+1)/100/12),$K3241))))</f>
      </c>
      <c r="L3242" s="43">
        <f>IF($I3242=0,0,$J3242*$H3242/100/12)</f>
      </c>
      <c r="M3242" s="43">
        <f>IF($I3242=0,0,IF(OR(INDEX(DarlOhneTilgung,7)=1,AND(INDEX(DarlTilgStart,7)&gt;0,$E3242&lt;INDEX(DarlTilgStart,7))),0,MIN(MAX(0,$K3242-$L3242),$J3242)))</f>
      </c>
      <c r="N3242" s="43">
        <f>IF($I3242=0,0,MIN(SUMIFS(SondBetrag,SondDarl,7,SondDatum,"&gt;="&amp;$E3242,SondDatum,"&lt;="&amp;EOMONTH($E3242,0)),$J3242-$M3242))</f>
      </c>
      <c r="O3242" s="43">
        <f>IF($I3242=0,0,INDEX(DarlErsatzRate,7))</f>
      </c>
      <c r="P3242" s="43">
        <f>IF($I3242=0,0,$Q3241*INDEX(DarlErsatzZins,7))</f>
      </c>
      <c r="Q3242" s="43">
        <f>IF($I3242=0,0,$Q3241+$P3242+$O3242)</f>
      </c>
      <c r="R3242" s="43">
        <f>IF($I3242=0,0,$J3242-$M3242-$N3242)</f>
      </c>
    </row>
    <row r="3243">
      <c r="A3243"/>
      <c r="B3243">
        <v>7</v>
      </c>
      <c r="C3243" s="43">
        <f>INDEX(DarlObj,7)</f>
      </c>
      <c r="D3243">
        <v>360</v>
      </c>
      <c r="E3243" s="51">
        <f>IF(INDEX(DarlBelegt,7)=0,0,EOMONTH(INDEX(DarlAuszahlung,7),359)+1)</f>
      </c>
      <c r="F3243" s="43">
        <f>IF($E3243=0,0,YEAR($E3243))</f>
      </c>
      <c r="G3243" s="43">
        <f>IF(INDEX(DarlBindung,7)="",1,IF($E3243&lt;=INDEX(DarlBindung,7),1,0))</f>
      </c>
      <c r="H3243" s="43">
        <f>IF($G3243=1,INDEX(DarlSollzins,7),INDEX(DarlAnschluss,7))</f>
      </c>
      <c r="I3243" s="43">
        <f>IF(INDEX(DarlBelegt,7)=0,0,IF(INDEX(DarlOhneTilgung,7)=1,IF(INDEX(DarlBindung,7)="",1,$G3243),IF($J3243&gt;0.005,1,0)))</f>
      </c>
      <c r="J3243" s="43">
        <f>IF($I3242=0,0,$R3242)</f>
      </c>
      <c r="K3243" s="43">
        <f>IF($I3243=0,0,IF(INDEX(DarlOhneTilgung,7)=1,0,IF(AND(INDEX(DarlTilgStart,7)&gt;0,$E3243=INDEX(DarlTilgStart,7)),$J3243*($H3243+INDEX(DarlTilgung,7))/100/12,IF(AND($G3243=0,$G3242=1),MAX($K3242,$J3243*($H3243+1)/100/12),$K3242))))</f>
      </c>
      <c r="L3243" s="43">
        <f>IF($I3243=0,0,$J3243*$H3243/100/12)</f>
      </c>
      <c r="M3243" s="43">
        <f>IF($I3243=0,0,IF(OR(INDEX(DarlOhneTilgung,7)=1,AND(INDEX(DarlTilgStart,7)&gt;0,$E3243&lt;INDEX(DarlTilgStart,7))),0,MIN(MAX(0,$K3243-$L3243),$J3243)))</f>
      </c>
      <c r="N3243" s="43">
        <f>IF($I3243=0,0,MIN(SUMIFS(SondBetrag,SondDarl,7,SondDatum,"&gt;="&amp;$E3243,SondDatum,"&lt;="&amp;EOMONTH($E3243,0)),$J3243-$M3243))</f>
      </c>
      <c r="O3243" s="43">
        <f>IF($I3243=0,0,INDEX(DarlErsatzRate,7))</f>
      </c>
      <c r="P3243" s="43">
        <f>IF($I3243=0,0,$Q3242*INDEX(DarlErsatzZins,7))</f>
      </c>
      <c r="Q3243" s="43">
        <f>IF($I3243=0,0,$Q3242+$P3243+$O3243)</f>
      </c>
      <c r="R3243" s="43">
        <f>IF($I3243=0,0,$J3243-$M3243-$N3243)</f>
      </c>
    </row>
    <row r="3244">
      <c r="A3244"/>
      <c r="B3244">
        <v>7</v>
      </c>
      <c r="C3244" s="43">
        <f>INDEX(DarlObj,7)</f>
      </c>
      <c r="D3244">
        <v>361</v>
      </c>
      <c r="E3244" s="51">
        <f>IF(INDEX(DarlBelegt,7)=0,0,EOMONTH(INDEX(DarlAuszahlung,7),360)+1)</f>
      </c>
      <c r="F3244" s="43">
        <f>IF($E3244=0,0,YEAR($E3244))</f>
      </c>
      <c r="G3244" s="43">
        <f>IF(INDEX(DarlBindung,7)="",1,IF($E3244&lt;=INDEX(DarlBindung,7),1,0))</f>
      </c>
      <c r="H3244" s="43">
        <f>IF($G3244=1,INDEX(DarlSollzins,7),INDEX(DarlAnschluss,7))</f>
      </c>
      <c r="I3244" s="43">
        <f>IF(INDEX(DarlBelegt,7)=0,0,IF(INDEX(DarlOhneTilgung,7)=1,IF(INDEX(DarlBindung,7)="",1,$G3244),IF($J3244&gt;0.005,1,0)))</f>
      </c>
      <c r="J3244" s="43">
        <f>IF($I3243=0,0,$R3243)</f>
      </c>
      <c r="K3244" s="43">
        <f>IF($I3244=0,0,IF(INDEX(DarlOhneTilgung,7)=1,0,IF(AND(INDEX(DarlTilgStart,7)&gt;0,$E3244=INDEX(DarlTilgStart,7)),$J3244*($H3244+INDEX(DarlTilgung,7))/100/12,IF(AND($G3244=0,$G3243=1),MAX($K3243,$J3244*($H3244+1)/100/12),$K3243))))</f>
      </c>
      <c r="L3244" s="43">
        <f>IF($I3244=0,0,$J3244*$H3244/100/12)</f>
      </c>
      <c r="M3244" s="43">
        <f>IF($I3244=0,0,IF(OR(INDEX(DarlOhneTilgung,7)=1,AND(INDEX(DarlTilgStart,7)&gt;0,$E3244&lt;INDEX(DarlTilgStart,7))),0,MIN(MAX(0,$K3244-$L3244),$J3244)))</f>
      </c>
      <c r="N3244" s="43">
        <f>IF($I3244=0,0,MIN(SUMIFS(SondBetrag,SondDarl,7,SondDatum,"&gt;="&amp;$E3244,SondDatum,"&lt;="&amp;EOMONTH($E3244,0)),$J3244-$M3244))</f>
      </c>
      <c r="O3244" s="43">
        <f>IF($I3244=0,0,INDEX(DarlErsatzRate,7))</f>
      </c>
      <c r="P3244" s="43">
        <f>IF($I3244=0,0,$Q3243*INDEX(DarlErsatzZins,7))</f>
      </c>
      <c r="Q3244" s="43">
        <f>IF($I3244=0,0,$Q3243+$P3244+$O3244)</f>
      </c>
      <c r="R3244" s="43">
        <f>IF($I3244=0,0,$J3244-$M3244-$N3244)</f>
      </c>
    </row>
    <row r="3245">
      <c r="A3245"/>
      <c r="B3245">
        <v>7</v>
      </c>
      <c r="C3245" s="43">
        <f>INDEX(DarlObj,7)</f>
      </c>
      <c r="D3245">
        <v>362</v>
      </c>
      <c r="E3245" s="51">
        <f>IF(INDEX(DarlBelegt,7)=0,0,EOMONTH(INDEX(DarlAuszahlung,7),361)+1)</f>
      </c>
      <c r="F3245" s="43">
        <f>IF($E3245=0,0,YEAR($E3245))</f>
      </c>
      <c r="G3245" s="43">
        <f>IF(INDEX(DarlBindung,7)="",1,IF($E3245&lt;=INDEX(DarlBindung,7),1,0))</f>
      </c>
      <c r="H3245" s="43">
        <f>IF($G3245=1,INDEX(DarlSollzins,7),INDEX(DarlAnschluss,7))</f>
      </c>
      <c r="I3245" s="43">
        <f>IF(INDEX(DarlBelegt,7)=0,0,IF(INDEX(DarlOhneTilgung,7)=1,IF(INDEX(DarlBindung,7)="",1,$G3245),IF($J3245&gt;0.005,1,0)))</f>
      </c>
      <c r="J3245" s="43">
        <f>IF($I3244=0,0,$R3244)</f>
      </c>
      <c r="K3245" s="43">
        <f>IF($I3245=0,0,IF(INDEX(DarlOhneTilgung,7)=1,0,IF(AND(INDEX(DarlTilgStart,7)&gt;0,$E3245=INDEX(DarlTilgStart,7)),$J3245*($H3245+INDEX(DarlTilgung,7))/100/12,IF(AND($G3245=0,$G3244=1),MAX($K3244,$J3245*($H3245+1)/100/12),$K3244))))</f>
      </c>
      <c r="L3245" s="43">
        <f>IF($I3245=0,0,$J3245*$H3245/100/12)</f>
      </c>
      <c r="M3245" s="43">
        <f>IF($I3245=0,0,IF(OR(INDEX(DarlOhneTilgung,7)=1,AND(INDEX(DarlTilgStart,7)&gt;0,$E3245&lt;INDEX(DarlTilgStart,7))),0,MIN(MAX(0,$K3245-$L3245),$J3245)))</f>
      </c>
      <c r="N3245" s="43">
        <f>IF($I3245=0,0,MIN(SUMIFS(SondBetrag,SondDarl,7,SondDatum,"&gt;="&amp;$E3245,SondDatum,"&lt;="&amp;EOMONTH($E3245,0)),$J3245-$M3245))</f>
      </c>
      <c r="O3245" s="43">
        <f>IF($I3245=0,0,INDEX(DarlErsatzRate,7))</f>
      </c>
      <c r="P3245" s="43">
        <f>IF($I3245=0,0,$Q3244*INDEX(DarlErsatzZins,7))</f>
      </c>
      <c r="Q3245" s="43">
        <f>IF($I3245=0,0,$Q3244+$P3245+$O3245)</f>
      </c>
      <c r="R3245" s="43">
        <f>IF($I3245=0,0,$J3245-$M3245-$N3245)</f>
      </c>
    </row>
    <row r="3246">
      <c r="A3246"/>
      <c r="B3246">
        <v>7</v>
      </c>
      <c r="C3246" s="43">
        <f>INDEX(DarlObj,7)</f>
      </c>
      <c r="D3246">
        <v>363</v>
      </c>
      <c r="E3246" s="51">
        <f>IF(INDEX(DarlBelegt,7)=0,0,EOMONTH(INDEX(DarlAuszahlung,7),362)+1)</f>
      </c>
      <c r="F3246" s="43">
        <f>IF($E3246=0,0,YEAR($E3246))</f>
      </c>
      <c r="G3246" s="43">
        <f>IF(INDEX(DarlBindung,7)="",1,IF($E3246&lt;=INDEX(DarlBindung,7),1,0))</f>
      </c>
      <c r="H3246" s="43">
        <f>IF($G3246=1,INDEX(DarlSollzins,7),INDEX(DarlAnschluss,7))</f>
      </c>
      <c r="I3246" s="43">
        <f>IF(INDEX(DarlBelegt,7)=0,0,IF(INDEX(DarlOhneTilgung,7)=1,IF(INDEX(DarlBindung,7)="",1,$G3246),IF($J3246&gt;0.005,1,0)))</f>
      </c>
      <c r="J3246" s="43">
        <f>IF($I3245=0,0,$R3245)</f>
      </c>
      <c r="K3246" s="43">
        <f>IF($I3246=0,0,IF(INDEX(DarlOhneTilgung,7)=1,0,IF(AND(INDEX(DarlTilgStart,7)&gt;0,$E3246=INDEX(DarlTilgStart,7)),$J3246*($H3246+INDEX(DarlTilgung,7))/100/12,IF(AND($G3246=0,$G3245=1),MAX($K3245,$J3246*($H3246+1)/100/12),$K3245))))</f>
      </c>
      <c r="L3246" s="43">
        <f>IF($I3246=0,0,$J3246*$H3246/100/12)</f>
      </c>
      <c r="M3246" s="43">
        <f>IF($I3246=0,0,IF(OR(INDEX(DarlOhneTilgung,7)=1,AND(INDEX(DarlTilgStart,7)&gt;0,$E3246&lt;INDEX(DarlTilgStart,7))),0,MIN(MAX(0,$K3246-$L3246),$J3246)))</f>
      </c>
      <c r="N3246" s="43">
        <f>IF($I3246=0,0,MIN(SUMIFS(SondBetrag,SondDarl,7,SondDatum,"&gt;="&amp;$E3246,SondDatum,"&lt;="&amp;EOMONTH($E3246,0)),$J3246-$M3246))</f>
      </c>
      <c r="O3246" s="43">
        <f>IF($I3246=0,0,INDEX(DarlErsatzRate,7))</f>
      </c>
      <c r="P3246" s="43">
        <f>IF($I3246=0,0,$Q3245*INDEX(DarlErsatzZins,7))</f>
      </c>
      <c r="Q3246" s="43">
        <f>IF($I3246=0,0,$Q3245+$P3246+$O3246)</f>
      </c>
      <c r="R3246" s="43">
        <f>IF($I3246=0,0,$J3246-$M3246-$N3246)</f>
      </c>
    </row>
    <row r="3247">
      <c r="A3247"/>
      <c r="B3247">
        <v>7</v>
      </c>
      <c r="C3247" s="43">
        <f>INDEX(DarlObj,7)</f>
      </c>
      <c r="D3247">
        <v>364</v>
      </c>
      <c r="E3247" s="51">
        <f>IF(INDEX(DarlBelegt,7)=0,0,EOMONTH(INDEX(DarlAuszahlung,7),363)+1)</f>
      </c>
      <c r="F3247" s="43">
        <f>IF($E3247=0,0,YEAR($E3247))</f>
      </c>
      <c r="G3247" s="43">
        <f>IF(INDEX(DarlBindung,7)="",1,IF($E3247&lt;=INDEX(DarlBindung,7),1,0))</f>
      </c>
      <c r="H3247" s="43">
        <f>IF($G3247=1,INDEX(DarlSollzins,7),INDEX(DarlAnschluss,7))</f>
      </c>
      <c r="I3247" s="43">
        <f>IF(INDEX(DarlBelegt,7)=0,0,IF(INDEX(DarlOhneTilgung,7)=1,IF(INDEX(DarlBindung,7)="",1,$G3247),IF($J3247&gt;0.005,1,0)))</f>
      </c>
      <c r="J3247" s="43">
        <f>IF($I3246=0,0,$R3246)</f>
      </c>
      <c r="K3247" s="43">
        <f>IF($I3247=0,0,IF(INDEX(DarlOhneTilgung,7)=1,0,IF(AND(INDEX(DarlTilgStart,7)&gt;0,$E3247=INDEX(DarlTilgStart,7)),$J3247*($H3247+INDEX(DarlTilgung,7))/100/12,IF(AND($G3247=0,$G3246=1),MAX($K3246,$J3247*($H3247+1)/100/12),$K3246))))</f>
      </c>
      <c r="L3247" s="43">
        <f>IF($I3247=0,0,$J3247*$H3247/100/12)</f>
      </c>
      <c r="M3247" s="43">
        <f>IF($I3247=0,0,IF(OR(INDEX(DarlOhneTilgung,7)=1,AND(INDEX(DarlTilgStart,7)&gt;0,$E3247&lt;INDEX(DarlTilgStart,7))),0,MIN(MAX(0,$K3247-$L3247),$J3247)))</f>
      </c>
      <c r="N3247" s="43">
        <f>IF($I3247=0,0,MIN(SUMIFS(SondBetrag,SondDarl,7,SondDatum,"&gt;="&amp;$E3247,SondDatum,"&lt;="&amp;EOMONTH($E3247,0)),$J3247-$M3247))</f>
      </c>
      <c r="O3247" s="43">
        <f>IF($I3247=0,0,INDEX(DarlErsatzRate,7))</f>
      </c>
      <c r="P3247" s="43">
        <f>IF($I3247=0,0,$Q3246*INDEX(DarlErsatzZins,7))</f>
      </c>
      <c r="Q3247" s="43">
        <f>IF($I3247=0,0,$Q3246+$P3247+$O3247)</f>
      </c>
      <c r="R3247" s="43">
        <f>IF($I3247=0,0,$J3247-$M3247-$N3247)</f>
      </c>
    </row>
    <row r="3248">
      <c r="A3248"/>
      <c r="B3248">
        <v>7</v>
      </c>
      <c r="C3248" s="43">
        <f>INDEX(DarlObj,7)</f>
      </c>
      <c r="D3248">
        <v>365</v>
      </c>
      <c r="E3248" s="51">
        <f>IF(INDEX(DarlBelegt,7)=0,0,EOMONTH(INDEX(DarlAuszahlung,7),364)+1)</f>
      </c>
      <c r="F3248" s="43">
        <f>IF($E3248=0,0,YEAR($E3248))</f>
      </c>
      <c r="G3248" s="43">
        <f>IF(INDEX(DarlBindung,7)="",1,IF($E3248&lt;=INDEX(DarlBindung,7),1,0))</f>
      </c>
      <c r="H3248" s="43">
        <f>IF($G3248=1,INDEX(DarlSollzins,7),INDEX(DarlAnschluss,7))</f>
      </c>
      <c r="I3248" s="43">
        <f>IF(INDEX(DarlBelegt,7)=0,0,IF(INDEX(DarlOhneTilgung,7)=1,IF(INDEX(DarlBindung,7)="",1,$G3248),IF($J3248&gt;0.005,1,0)))</f>
      </c>
      <c r="J3248" s="43">
        <f>IF($I3247=0,0,$R3247)</f>
      </c>
      <c r="K3248" s="43">
        <f>IF($I3248=0,0,IF(INDEX(DarlOhneTilgung,7)=1,0,IF(AND(INDEX(DarlTilgStart,7)&gt;0,$E3248=INDEX(DarlTilgStart,7)),$J3248*($H3248+INDEX(DarlTilgung,7))/100/12,IF(AND($G3248=0,$G3247=1),MAX($K3247,$J3248*($H3248+1)/100/12),$K3247))))</f>
      </c>
      <c r="L3248" s="43">
        <f>IF($I3248=0,0,$J3248*$H3248/100/12)</f>
      </c>
      <c r="M3248" s="43">
        <f>IF($I3248=0,0,IF(OR(INDEX(DarlOhneTilgung,7)=1,AND(INDEX(DarlTilgStart,7)&gt;0,$E3248&lt;INDEX(DarlTilgStart,7))),0,MIN(MAX(0,$K3248-$L3248),$J3248)))</f>
      </c>
      <c r="N3248" s="43">
        <f>IF($I3248=0,0,MIN(SUMIFS(SondBetrag,SondDarl,7,SondDatum,"&gt;="&amp;$E3248,SondDatum,"&lt;="&amp;EOMONTH($E3248,0)),$J3248-$M3248))</f>
      </c>
      <c r="O3248" s="43">
        <f>IF($I3248=0,0,INDEX(DarlErsatzRate,7))</f>
      </c>
      <c r="P3248" s="43">
        <f>IF($I3248=0,0,$Q3247*INDEX(DarlErsatzZins,7))</f>
      </c>
      <c r="Q3248" s="43">
        <f>IF($I3248=0,0,$Q3247+$P3248+$O3248)</f>
      </c>
      <c r="R3248" s="43">
        <f>IF($I3248=0,0,$J3248-$M3248-$N3248)</f>
      </c>
    </row>
    <row r="3249">
      <c r="A3249"/>
      <c r="B3249">
        <v>7</v>
      </c>
      <c r="C3249" s="43">
        <f>INDEX(DarlObj,7)</f>
      </c>
      <c r="D3249">
        <v>366</v>
      </c>
      <c r="E3249" s="51">
        <f>IF(INDEX(DarlBelegt,7)=0,0,EOMONTH(INDEX(DarlAuszahlung,7),365)+1)</f>
      </c>
      <c r="F3249" s="43">
        <f>IF($E3249=0,0,YEAR($E3249))</f>
      </c>
      <c r="G3249" s="43">
        <f>IF(INDEX(DarlBindung,7)="",1,IF($E3249&lt;=INDEX(DarlBindung,7),1,0))</f>
      </c>
      <c r="H3249" s="43">
        <f>IF($G3249=1,INDEX(DarlSollzins,7),INDEX(DarlAnschluss,7))</f>
      </c>
      <c r="I3249" s="43">
        <f>IF(INDEX(DarlBelegt,7)=0,0,IF(INDEX(DarlOhneTilgung,7)=1,IF(INDEX(DarlBindung,7)="",1,$G3249),IF($J3249&gt;0.005,1,0)))</f>
      </c>
      <c r="J3249" s="43">
        <f>IF($I3248=0,0,$R3248)</f>
      </c>
      <c r="K3249" s="43">
        <f>IF($I3249=0,0,IF(INDEX(DarlOhneTilgung,7)=1,0,IF(AND(INDEX(DarlTilgStart,7)&gt;0,$E3249=INDEX(DarlTilgStart,7)),$J3249*($H3249+INDEX(DarlTilgung,7))/100/12,IF(AND($G3249=0,$G3248=1),MAX($K3248,$J3249*($H3249+1)/100/12),$K3248))))</f>
      </c>
      <c r="L3249" s="43">
        <f>IF($I3249=0,0,$J3249*$H3249/100/12)</f>
      </c>
      <c r="M3249" s="43">
        <f>IF($I3249=0,0,IF(OR(INDEX(DarlOhneTilgung,7)=1,AND(INDEX(DarlTilgStart,7)&gt;0,$E3249&lt;INDEX(DarlTilgStart,7))),0,MIN(MAX(0,$K3249-$L3249),$J3249)))</f>
      </c>
      <c r="N3249" s="43">
        <f>IF($I3249=0,0,MIN(SUMIFS(SondBetrag,SondDarl,7,SondDatum,"&gt;="&amp;$E3249,SondDatum,"&lt;="&amp;EOMONTH($E3249,0)),$J3249-$M3249))</f>
      </c>
      <c r="O3249" s="43">
        <f>IF($I3249=0,0,INDEX(DarlErsatzRate,7))</f>
      </c>
      <c r="P3249" s="43">
        <f>IF($I3249=0,0,$Q3248*INDEX(DarlErsatzZins,7))</f>
      </c>
      <c r="Q3249" s="43">
        <f>IF($I3249=0,0,$Q3248+$P3249+$O3249)</f>
      </c>
      <c r="R3249" s="43">
        <f>IF($I3249=0,0,$J3249-$M3249-$N3249)</f>
      </c>
    </row>
    <row r="3250">
      <c r="A3250"/>
      <c r="B3250">
        <v>7</v>
      </c>
      <c r="C3250" s="43">
        <f>INDEX(DarlObj,7)</f>
      </c>
      <c r="D3250">
        <v>367</v>
      </c>
      <c r="E3250" s="51">
        <f>IF(INDEX(DarlBelegt,7)=0,0,EOMONTH(INDEX(DarlAuszahlung,7),366)+1)</f>
      </c>
      <c r="F3250" s="43">
        <f>IF($E3250=0,0,YEAR($E3250))</f>
      </c>
      <c r="G3250" s="43">
        <f>IF(INDEX(DarlBindung,7)="",1,IF($E3250&lt;=INDEX(DarlBindung,7),1,0))</f>
      </c>
      <c r="H3250" s="43">
        <f>IF($G3250=1,INDEX(DarlSollzins,7),INDEX(DarlAnschluss,7))</f>
      </c>
      <c r="I3250" s="43">
        <f>IF(INDEX(DarlBelegt,7)=0,0,IF(INDEX(DarlOhneTilgung,7)=1,IF(INDEX(DarlBindung,7)="",1,$G3250),IF($J3250&gt;0.005,1,0)))</f>
      </c>
      <c r="J3250" s="43">
        <f>IF($I3249=0,0,$R3249)</f>
      </c>
      <c r="K3250" s="43">
        <f>IF($I3250=0,0,IF(INDEX(DarlOhneTilgung,7)=1,0,IF(AND(INDEX(DarlTilgStart,7)&gt;0,$E3250=INDEX(DarlTilgStart,7)),$J3250*($H3250+INDEX(DarlTilgung,7))/100/12,IF(AND($G3250=0,$G3249=1),MAX($K3249,$J3250*($H3250+1)/100/12),$K3249))))</f>
      </c>
      <c r="L3250" s="43">
        <f>IF($I3250=0,0,$J3250*$H3250/100/12)</f>
      </c>
      <c r="M3250" s="43">
        <f>IF($I3250=0,0,IF(OR(INDEX(DarlOhneTilgung,7)=1,AND(INDEX(DarlTilgStart,7)&gt;0,$E3250&lt;INDEX(DarlTilgStart,7))),0,MIN(MAX(0,$K3250-$L3250),$J3250)))</f>
      </c>
      <c r="N3250" s="43">
        <f>IF($I3250=0,0,MIN(SUMIFS(SondBetrag,SondDarl,7,SondDatum,"&gt;="&amp;$E3250,SondDatum,"&lt;="&amp;EOMONTH($E3250,0)),$J3250-$M3250))</f>
      </c>
      <c r="O3250" s="43">
        <f>IF($I3250=0,0,INDEX(DarlErsatzRate,7))</f>
      </c>
      <c r="P3250" s="43">
        <f>IF($I3250=0,0,$Q3249*INDEX(DarlErsatzZins,7))</f>
      </c>
      <c r="Q3250" s="43">
        <f>IF($I3250=0,0,$Q3249+$P3250+$O3250)</f>
      </c>
      <c r="R3250" s="43">
        <f>IF($I3250=0,0,$J3250-$M3250-$N3250)</f>
      </c>
    </row>
    <row r="3251">
      <c r="A3251"/>
      <c r="B3251">
        <v>7</v>
      </c>
      <c r="C3251" s="43">
        <f>INDEX(DarlObj,7)</f>
      </c>
      <c r="D3251">
        <v>368</v>
      </c>
      <c r="E3251" s="51">
        <f>IF(INDEX(DarlBelegt,7)=0,0,EOMONTH(INDEX(DarlAuszahlung,7),367)+1)</f>
      </c>
      <c r="F3251" s="43">
        <f>IF($E3251=0,0,YEAR($E3251))</f>
      </c>
      <c r="G3251" s="43">
        <f>IF(INDEX(DarlBindung,7)="",1,IF($E3251&lt;=INDEX(DarlBindung,7),1,0))</f>
      </c>
      <c r="H3251" s="43">
        <f>IF($G3251=1,INDEX(DarlSollzins,7),INDEX(DarlAnschluss,7))</f>
      </c>
      <c r="I3251" s="43">
        <f>IF(INDEX(DarlBelegt,7)=0,0,IF(INDEX(DarlOhneTilgung,7)=1,IF(INDEX(DarlBindung,7)="",1,$G3251),IF($J3251&gt;0.005,1,0)))</f>
      </c>
      <c r="J3251" s="43">
        <f>IF($I3250=0,0,$R3250)</f>
      </c>
      <c r="K3251" s="43">
        <f>IF($I3251=0,0,IF(INDEX(DarlOhneTilgung,7)=1,0,IF(AND(INDEX(DarlTilgStart,7)&gt;0,$E3251=INDEX(DarlTilgStart,7)),$J3251*($H3251+INDEX(DarlTilgung,7))/100/12,IF(AND($G3251=0,$G3250=1),MAX($K3250,$J3251*($H3251+1)/100/12),$K3250))))</f>
      </c>
      <c r="L3251" s="43">
        <f>IF($I3251=0,0,$J3251*$H3251/100/12)</f>
      </c>
      <c r="M3251" s="43">
        <f>IF($I3251=0,0,IF(OR(INDEX(DarlOhneTilgung,7)=1,AND(INDEX(DarlTilgStart,7)&gt;0,$E3251&lt;INDEX(DarlTilgStart,7))),0,MIN(MAX(0,$K3251-$L3251),$J3251)))</f>
      </c>
      <c r="N3251" s="43">
        <f>IF($I3251=0,0,MIN(SUMIFS(SondBetrag,SondDarl,7,SondDatum,"&gt;="&amp;$E3251,SondDatum,"&lt;="&amp;EOMONTH($E3251,0)),$J3251-$M3251))</f>
      </c>
      <c r="O3251" s="43">
        <f>IF($I3251=0,0,INDEX(DarlErsatzRate,7))</f>
      </c>
      <c r="P3251" s="43">
        <f>IF($I3251=0,0,$Q3250*INDEX(DarlErsatzZins,7))</f>
      </c>
      <c r="Q3251" s="43">
        <f>IF($I3251=0,0,$Q3250+$P3251+$O3251)</f>
      </c>
      <c r="R3251" s="43">
        <f>IF($I3251=0,0,$J3251-$M3251-$N3251)</f>
      </c>
    </row>
    <row r="3252">
      <c r="A3252"/>
      <c r="B3252">
        <v>7</v>
      </c>
      <c r="C3252" s="43">
        <f>INDEX(DarlObj,7)</f>
      </c>
      <c r="D3252">
        <v>369</v>
      </c>
      <c r="E3252" s="51">
        <f>IF(INDEX(DarlBelegt,7)=0,0,EOMONTH(INDEX(DarlAuszahlung,7),368)+1)</f>
      </c>
      <c r="F3252" s="43">
        <f>IF($E3252=0,0,YEAR($E3252))</f>
      </c>
      <c r="G3252" s="43">
        <f>IF(INDEX(DarlBindung,7)="",1,IF($E3252&lt;=INDEX(DarlBindung,7),1,0))</f>
      </c>
      <c r="H3252" s="43">
        <f>IF($G3252=1,INDEX(DarlSollzins,7),INDEX(DarlAnschluss,7))</f>
      </c>
      <c r="I3252" s="43">
        <f>IF(INDEX(DarlBelegt,7)=0,0,IF(INDEX(DarlOhneTilgung,7)=1,IF(INDEX(DarlBindung,7)="",1,$G3252),IF($J3252&gt;0.005,1,0)))</f>
      </c>
      <c r="J3252" s="43">
        <f>IF($I3251=0,0,$R3251)</f>
      </c>
      <c r="K3252" s="43">
        <f>IF($I3252=0,0,IF(INDEX(DarlOhneTilgung,7)=1,0,IF(AND(INDEX(DarlTilgStart,7)&gt;0,$E3252=INDEX(DarlTilgStart,7)),$J3252*($H3252+INDEX(DarlTilgung,7))/100/12,IF(AND($G3252=0,$G3251=1),MAX($K3251,$J3252*($H3252+1)/100/12),$K3251))))</f>
      </c>
      <c r="L3252" s="43">
        <f>IF($I3252=0,0,$J3252*$H3252/100/12)</f>
      </c>
      <c r="M3252" s="43">
        <f>IF($I3252=0,0,IF(OR(INDEX(DarlOhneTilgung,7)=1,AND(INDEX(DarlTilgStart,7)&gt;0,$E3252&lt;INDEX(DarlTilgStart,7))),0,MIN(MAX(0,$K3252-$L3252),$J3252)))</f>
      </c>
      <c r="N3252" s="43">
        <f>IF($I3252=0,0,MIN(SUMIFS(SondBetrag,SondDarl,7,SondDatum,"&gt;="&amp;$E3252,SondDatum,"&lt;="&amp;EOMONTH($E3252,0)),$J3252-$M3252))</f>
      </c>
      <c r="O3252" s="43">
        <f>IF($I3252=0,0,INDEX(DarlErsatzRate,7))</f>
      </c>
      <c r="P3252" s="43">
        <f>IF($I3252=0,0,$Q3251*INDEX(DarlErsatzZins,7))</f>
      </c>
      <c r="Q3252" s="43">
        <f>IF($I3252=0,0,$Q3251+$P3252+$O3252)</f>
      </c>
      <c r="R3252" s="43">
        <f>IF($I3252=0,0,$J3252-$M3252-$N3252)</f>
      </c>
    </row>
    <row r="3253">
      <c r="A3253"/>
      <c r="B3253">
        <v>7</v>
      </c>
      <c r="C3253" s="43">
        <f>INDEX(DarlObj,7)</f>
      </c>
      <c r="D3253">
        <v>370</v>
      </c>
      <c r="E3253" s="51">
        <f>IF(INDEX(DarlBelegt,7)=0,0,EOMONTH(INDEX(DarlAuszahlung,7),369)+1)</f>
      </c>
      <c r="F3253" s="43">
        <f>IF($E3253=0,0,YEAR($E3253))</f>
      </c>
      <c r="G3253" s="43">
        <f>IF(INDEX(DarlBindung,7)="",1,IF($E3253&lt;=INDEX(DarlBindung,7),1,0))</f>
      </c>
      <c r="H3253" s="43">
        <f>IF($G3253=1,INDEX(DarlSollzins,7),INDEX(DarlAnschluss,7))</f>
      </c>
      <c r="I3253" s="43">
        <f>IF(INDEX(DarlBelegt,7)=0,0,IF(INDEX(DarlOhneTilgung,7)=1,IF(INDEX(DarlBindung,7)="",1,$G3253),IF($J3253&gt;0.005,1,0)))</f>
      </c>
      <c r="J3253" s="43">
        <f>IF($I3252=0,0,$R3252)</f>
      </c>
      <c r="K3253" s="43">
        <f>IF($I3253=0,0,IF(INDEX(DarlOhneTilgung,7)=1,0,IF(AND(INDEX(DarlTilgStart,7)&gt;0,$E3253=INDEX(DarlTilgStart,7)),$J3253*($H3253+INDEX(DarlTilgung,7))/100/12,IF(AND($G3253=0,$G3252=1),MAX($K3252,$J3253*($H3253+1)/100/12),$K3252))))</f>
      </c>
      <c r="L3253" s="43">
        <f>IF($I3253=0,0,$J3253*$H3253/100/12)</f>
      </c>
      <c r="M3253" s="43">
        <f>IF($I3253=0,0,IF(OR(INDEX(DarlOhneTilgung,7)=1,AND(INDEX(DarlTilgStart,7)&gt;0,$E3253&lt;INDEX(DarlTilgStart,7))),0,MIN(MAX(0,$K3253-$L3253),$J3253)))</f>
      </c>
      <c r="N3253" s="43">
        <f>IF($I3253=0,0,MIN(SUMIFS(SondBetrag,SondDarl,7,SondDatum,"&gt;="&amp;$E3253,SondDatum,"&lt;="&amp;EOMONTH($E3253,0)),$J3253-$M3253))</f>
      </c>
      <c r="O3253" s="43">
        <f>IF($I3253=0,0,INDEX(DarlErsatzRate,7))</f>
      </c>
      <c r="P3253" s="43">
        <f>IF($I3253=0,0,$Q3252*INDEX(DarlErsatzZins,7))</f>
      </c>
      <c r="Q3253" s="43">
        <f>IF($I3253=0,0,$Q3252+$P3253+$O3253)</f>
      </c>
      <c r="R3253" s="43">
        <f>IF($I3253=0,0,$J3253-$M3253-$N3253)</f>
      </c>
    </row>
    <row r="3254">
      <c r="A3254"/>
      <c r="B3254">
        <v>7</v>
      </c>
      <c r="C3254" s="43">
        <f>INDEX(DarlObj,7)</f>
      </c>
      <c r="D3254">
        <v>371</v>
      </c>
      <c r="E3254" s="51">
        <f>IF(INDEX(DarlBelegt,7)=0,0,EOMONTH(INDEX(DarlAuszahlung,7),370)+1)</f>
      </c>
      <c r="F3254" s="43">
        <f>IF($E3254=0,0,YEAR($E3254))</f>
      </c>
      <c r="G3254" s="43">
        <f>IF(INDEX(DarlBindung,7)="",1,IF($E3254&lt;=INDEX(DarlBindung,7),1,0))</f>
      </c>
      <c r="H3254" s="43">
        <f>IF($G3254=1,INDEX(DarlSollzins,7),INDEX(DarlAnschluss,7))</f>
      </c>
      <c r="I3254" s="43">
        <f>IF(INDEX(DarlBelegt,7)=0,0,IF(INDEX(DarlOhneTilgung,7)=1,IF(INDEX(DarlBindung,7)="",1,$G3254),IF($J3254&gt;0.005,1,0)))</f>
      </c>
      <c r="J3254" s="43">
        <f>IF($I3253=0,0,$R3253)</f>
      </c>
      <c r="K3254" s="43">
        <f>IF($I3254=0,0,IF(INDEX(DarlOhneTilgung,7)=1,0,IF(AND(INDEX(DarlTilgStart,7)&gt;0,$E3254=INDEX(DarlTilgStart,7)),$J3254*($H3254+INDEX(DarlTilgung,7))/100/12,IF(AND($G3254=0,$G3253=1),MAX($K3253,$J3254*($H3254+1)/100/12),$K3253))))</f>
      </c>
      <c r="L3254" s="43">
        <f>IF($I3254=0,0,$J3254*$H3254/100/12)</f>
      </c>
      <c r="M3254" s="43">
        <f>IF($I3254=0,0,IF(OR(INDEX(DarlOhneTilgung,7)=1,AND(INDEX(DarlTilgStart,7)&gt;0,$E3254&lt;INDEX(DarlTilgStart,7))),0,MIN(MAX(0,$K3254-$L3254),$J3254)))</f>
      </c>
      <c r="N3254" s="43">
        <f>IF($I3254=0,0,MIN(SUMIFS(SondBetrag,SondDarl,7,SondDatum,"&gt;="&amp;$E3254,SondDatum,"&lt;="&amp;EOMONTH($E3254,0)),$J3254-$M3254))</f>
      </c>
      <c r="O3254" s="43">
        <f>IF($I3254=0,0,INDEX(DarlErsatzRate,7))</f>
      </c>
      <c r="P3254" s="43">
        <f>IF($I3254=0,0,$Q3253*INDEX(DarlErsatzZins,7))</f>
      </c>
      <c r="Q3254" s="43">
        <f>IF($I3254=0,0,$Q3253+$P3254+$O3254)</f>
      </c>
      <c r="R3254" s="43">
        <f>IF($I3254=0,0,$J3254-$M3254-$N3254)</f>
      </c>
    </row>
    <row r="3255">
      <c r="A3255"/>
      <c r="B3255">
        <v>7</v>
      </c>
      <c r="C3255" s="43">
        <f>INDEX(DarlObj,7)</f>
      </c>
      <c r="D3255">
        <v>372</v>
      </c>
      <c r="E3255" s="51">
        <f>IF(INDEX(DarlBelegt,7)=0,0,EOMONTH(INDEX(DarlAuszahlung,7),371)+1)</f>
      </c>
      <c r="F3255" s="43">
        <f>IF($E3255=0,0,YEAR($E3255))</f>
      </c>
      <c r="G3255" s="43">
        <f>IF(INDEX(DarlBindung,7)="",1,IF($E3255&lt;=INDEX(DarlBindung,7),1,0))</f>
      </c>
      <c r="H3255" s="43">
        <f>IF($G3255=1,INDEX(DarlSollzins,7),INDEX(DarlAnschluss,7))</f>
      </c>
      <c r="I3255" s="43">
        <f>IF(INDEX(DarlBelegt,7)=0,0,IF(INDEX(DarlOhneTilgung,7)=1,IF(INDEX(DarlBindung,7)="",1,$G3255),IF($J3255&gt;0.005,1,0)))</f>
      </c>
      <c r="J3255" s="43">
        <f>IF($I3254=0,0,$R3254)</f>
      </c>
      <c r="K3255" s="43">
        <f>IF($I3255=0,0,IF(INDEX(DarlOhneTilgung,7)=1,0,IF(AND(INDEX(DarlTilgStart,7)&gt;0,$E3255=INDEX(DarlTilgStart,7)),$J3255*($H3255+INDEX(DarlTilgung,7))/100/12,IF(AND($G3255=0,$G3254=1),MAX($K3254,$J3255*($H3255+1)/100/12),$K3254))))</f>
      </c>
      <c r="L3255" s="43">
        <f>IF($I3255=0,0,$J3255*$H3255/100/12)</f>
      </c>
      <c r="M3255" s="43">
        <f>IF($I3255=0,0,IF(OR(INDEX(DarlOhneTilgung,7)=1,AND(INDEX(DarlTilgStart,7)&gt;0,$E3255&lt;INDEX(DarlTilgStart,7))),0,MIN(MAX(0,$K3255-$L3255),$J3255)))</f>
      </c>
      <c r="N3255" s="43">
        <f>IF($I3255=0,0,MIN(SUMIFS(SondBetrag,SondDarl,7,SondDatum,"&gt;="&amp;$E3255,SondDatum,"&lt;="&amp;EOMONTH($E3255,0)),$J3255-$M3255))</f>
      </c>
      <c r="O3255" s="43">
        <f>IF($I3255=0,0,INDEX(DarlErsatzRate,7))</f>
      </c>
      <c r="P3255" s="43">
        <f>IF($I3255=0,0,$Q3254*INDEX(DarlErsatzZins,7))</f>
      </c>
      <c r="Q3255" s="43">
        <f>IF($I3255=0,0,$Q3254+$P3255+$O3255)</f>
      </c>
      <c r="R3255" s="43">
        <f>IF($I3255=0,0,$J3255-$M3255-$N3255)</f>
      </c>
    </row>
    <row r="3256">
      <c r="A3256"/>
      <c r="B3256">
        <v>7</v>
      </c>
      <c r="C3256" s="43">
        <f>INDEX(DarlObj,7)</f>
      </c>
      <c r="D3256">
        <v>373</v>
      </c>
      <c r="E3256" s="51">
        <f>IF(INDEX(DarlBelegt,7)=0,0,EOMONTH(INDEX(DarlAuszahlung,7),372)+1)</f>
      </c>
      <c r="F3256" s="43">
        <f>IF($E3256=0,0,YEAR($E3256))</f>
      </c>
      <c r="G3256" s="43">
        <f>IF(INDEX(DarlBindung,7)="",1,IF($E3256&lt;=INDEX(DarlBindung,7),1,0))</f>
      </c>
      <c r="H3256" s="43">
        <f>IF($G3256=1,INDEX(DarlSollzins,7),INDEX(DarlAnschluss,7))</f>
      </c>
      <c r="I3256" s="43">
        <f>IF(INDEX(DarlBelegt,7)=0,0,IF(INDEX(DarlOhneTilgung,7)=1,IF(INDEX(DarlBindung,7)="",1,$G3256),IF($J3256&gt;0.005,1,0)))</f>
      </c>
      <c r="J3256" s="43">
        <f>IF($I3255=0,0,$R3255)</f>
      </c>
      <c r="K3256" s="43">
        <f>IF($I3256=0,0,IF(INDEX(DarlOhneTilgung,7)=1,0,IF(AND(INDEX(DarlTilgStart,7)&gt;0,$E3256=INDEX(DarlTilgStart,7)),$J3256*($H3256+INDEX(DarlTilgung,7))/100/12,IF(AND($G3256=0,$G3255=1),MAX($K3255,$J3256*($H3256+1)/100/12),$K3255))))</f>
      </c>
      <c r="L3256" s="43">
        <f>IF($I3256=0,0,$J3256*$H3256/100/12)</f>
      </c>
      <c r="M3256" s="43">
        <f>IF($I3256=0,0,IF(OR(INDEX(DarlOhneTilgung,7)=1,AND(INDEX(DarlTilgStart,7)&gt;0,$E3256&lt;INDEX(DarlTilgStart,7))),0,MIN(MAX(0,$K3256-$L3256),$J3256)))</f>
      </c>
      <c r="N3256" s="43">
        <f>IF($I3256=0,0,MIN(SUMIFS(SondBetrag,SondDarl,7,SondDatum,"&gt;="&amp;$E3256,SondDatum,"&lt;="&amp;EOMONTH($E3256,0)),$J3256-$M3256))</f>
      </c>
      <c r="O3256" s="43">
        <f>IF($I3256=0,0,INDEX(DarlErsatzRate,7))</f>
      </c>
      <c r="P3256" s="43">
        <f>IF($I3256=0,0,$Q3255*INDEX(DarlErsatzZins,7))</f>
      </c>
      <c r="Q3256" s="43">
        <f>IF($I3256=0,0,$Q3255+$P3256+$O3256)</f>
      </c>
      <c r="R3256" s="43">
        <f>IF($I3256=0,0,$J3256-$M3256-$N3256)</f>
      </c>
    </row>
    <row r="3257">
      <c r="A3257"/>
      <c r="B3257">
        <v>7</v>
      </c>
      <c r="C3257" s="43">
        <f>INDEX(DarlObj,7)</f>
      </c>
      <c r="D3257">
        <v>374</v>
      </c>
      <c r="E3257" s="51">
        <f>IF(INDEX(DarlBelegt,7)=0,0,EOMONTH(INDEX(DarlAuszahlung,7),373)+1)</f>
      </c>
      <c r="F3257" s="43">
        <f>IF($E3257=0,0,YEAR($E3257))</f>
      </c>
      <c r="G3257" s="43">
        <f>IF(INDEX(DarlBindung,7)="",1,IF($E3257&lt;=INDEX(DarlBindung,7),1,0))</f>
      </c>
      <c r="H3257" s="43">
        <f>IF($G3257=1,INDEX(DarlSollzins,7),INDEX(DarlAnschluss,7))</f>
      </c>
      <c r="I3257" s="43">
        <f>IF(INDEX(DarlBelegt,7)=0,0,IF(INDEX(DarlOhneTilgung,7)=1,IF(INDEX(DarlBindung,7)="",1,$G3257),IF($J3257&gt;0.005,1,0)))</f>
      </c>
      <c r="J3257" s="43">
        <f>IF($I3256=0,0,$R3256)</f>
      </c>
      <c r="K3257" s="43">
        <f>IF($I3257=0,0,IF(INDEX(DarlOhneTilgung,7)=1,0,IF(AND(INDEX(DarlTilgStart,7)&gt;0,$E3257=INDEX(DarlTilgStart,7)),$J3257*($H3257+INDEX(DarlTilgung,7))/100/12,IF(AND($G3257=0,$G3256=1),MAX($K3256,$J3257*($H3257+1)/100/12),$K3256))))</f>
      </c>
      <c r="L3257" s="43">
        <f>IF($I3257=0,0,$J3257*$H3257/100/12)</f>
      </c>
      <c r="M3257" s="43">
        <f>IF($I3257=0,0,IF(OR(INDEX(DarlOhneTilgung,7)=1,AND(INDEX(DarlTilgStart,7)&gt;0,$E3257&lt;INDEX(DarlTilgStart,7))),0,MIN(MAX(0,$K3257-$L3257),$J3257)))</f>
      </c>
      <c r="N3257" s="43">
        <f>IF($I3257=0,0,MIN(SUMIFS(SondBetrag,SondDarl,7,SondDatum,"&gt;="&amp;$E3257,SondDatum,"&lt;="&amp;EOMONTH($E3257,0)),$J3257-$M3257))</f>
      </c>
      <c r="O3257" s="43">
        <f>IF($I3257=0,0,INDEX(DarlErsatzRate,7))</f>
      </c>
      <c r="P3257" s="43">
        <f>IF($I3257=0,0,$Q3256*INDEX(DarlErsatzZins,7))</f>
      </c>
      <c r="Q3257" s="43">
        <f>IF($I3257=0,0,$Q3256+$P3257+$O3257)</f>
      </c>
      <c r="R3257" s="43">
        <f>IF($I3257=0,0,$J3257-$M3257-$N3257)</f>
      </c>
    </row>
    <row r="3258">
      <c r="A3258"/>
      <c r="B3258">
        <v>7</v>
      </c>
      <c r="C3258" s="43">
        <f>INDEX(DarlObj,7)</f>
      </c>
      <c r="D3258">
        <v>375</v>
      </c>
      <c r="E3258" s="51">
        <f>IF(INDEX(DarlBelegt,7)=0,0,EOMONTH(INDEX(DarlAuszahlung,7),374)+1)</f>
      </c>
      <c r="F3258" s="43">
        <f>IF($E3258=0,0,YEAR($E3258))</f>
      </c>
      <c r="G3258" s="43">
        <f>IF(INDEX(DarlBindung,7)="",1,IF($E3258&lt;=INDEX(DarlBindung,7),1,0))</f>
      </c>
      <c r="H3258" s="43">
        <f>IF($G3258=1,INDEX(DarlSollzins,7),INDEX(DarlAnschluss,7))</f>
      </c>
      <c r="I3258" s="43">
        <f>IF(INDEX(DarlBelegt,7)=0,0,IF(INDEX(DarlOhneTilgung,7)=1,IF(INDEX(DarlBindung,7)="",1,$G3258),IF($J3258&gt;0.005,1,0)))</f>
      </c>
      <c r="J3258" s="43">
        <f>IF($I3257=0,0,$R3257)</f>
      </c>
      <c r="K3258" s="43">
        <f>IF($I3258=0,0,IF(INDEX(DarlOhneTilgung,7)=1,0,IF(AND(INDEX(DarlTilgStart,7)&gt;0,$E3258=INDEX(DarlTilgStart,7)),$J3258*($H3258+INDEX(DarlTilgung,7))/100/12,IF(AND($G3258=0,$G3257=1),MAX($K3257,$J3258*($H3258+1)/100/12),$K3257))))</f>
      </c>
      <c r="L3258" s="43">
        <f>IF($I3258=0,0,$J3258*$H3258/100/12)</f>
      </c>
      <c r="M3258" s="43">
        <f>IF($I3258=0,0,IF(OR(INDEX(DarlOhneTilgung,7)=1,AND(INDEX(DarlTilgStart,7)&gt;0,$E3258&lt;INDEX(DarlTilgStart,7))),0,MIN(MAX(0,$K3258-$L3258),$J3258)))</f>
      </c>
      <c r="N3258" s="43">
        <f>IF($I3258=0,0,MIN(SUMIFS(SondBetrag,SondDarl,7,SondDatum,"&gt;="&amp;$E3258,SondDatum,"&lt;="&amp;EOMONTH($E3258,0)),$J3258-$M3258))</f>
      </c>
      <c r="O3258" s="43">
        <f>IF($I3258=0,0,INDEX(DarlErsatzRate,7))</f>
      </c>
      <c r="P3258" s="43">
        <f>IF($I3258=0,0,$Q3257*INDEX(DarlErsatzZins,7))</f>
      </c>
      <c r="Q3258" s="43">
        <f>IF($I3258=0,0,$Q3257+$P3258+$O3258)</f>
      </c>
      <c r="R3258" s="43">
        <f>IF($I3258=0,0,$J3258-$M3258-$N3258)</f>
      </c>
    </row>
    <row r="3259">
      <c r="A3259"/>
      <c r="B3259">
        <v>7</v>
      </c>
      <c r="C3259" s="43">
        <f>INDEX(DarlObj,7)</f>
      </c>
      <c r="D3259">
        <v>376</v>
      </c>
      <c r="E3259" s="51">
        <f>IF(INDEX(DarlBelegt,7)=0,0,EOMONTH(INDEX(DarlAuszahlung,7),375)+1)</f>
      </c>
      <c r="F3259" s="43">
        <f>IF($E3259=0,0,YEAR($E3259))</f>
      </c>
      <c r="G3259" s="43">
        <f>IF(INDEX(DarlBindung,7)="",1,IF($E3259&lt;=INDEX(DarlBindung,7),1,0))</f>
      </c>
      <c r="H3259" s="43">
        <f>IF($G3259=1,INDEX(DarlSollzins,7),INDEX(DarlAnschluss,7))</f>
      </c>
      <c r="I3259" s="43">
        <f>IF(INDEX(DarlBelegt,7)=0,0,IF(INDEX(DarlOhneTilgung,7)=1,IF(INDEX(DarlBindung,7)="",1,$G3259),IF($J3259&gt;0.005,1,0)))</f>
      </c>
      <c r="J3259" s="43">
        <f>IF($I3258=0,0,$R3258)</f>
      </c>
      <c r="K3259" s="43">
        <f>IF($I3259=0,0,IF(INDEX(DarlOhneTilgung,7)=1,0,IF(AND(INDEX(DarlTilgStart,7)&gt;0,$E3259=INDEX(DarlTilgStart,7)),$J3259*($H3259+INDEX(DarlTilgung,7))/100/12,IF(AND($G3259=0,$G3258=1),MAX($K3258,$J3259*($H3259+1)/100/12),$K3258))))</f>
      </c>
      <c r="L3259" s="43">
        <f>IF($I3259=0,0,$J3259*$H3259/100/12)</f>
      </c>
      <c r="M3259" s="43">
        <f>IF($I3259=0,0,IF(OR(INDEX(DarlOhneTilgung,7)=1,AND(INDEX(DarlTilgStart,7)&gt;0,$E3259&lt;INDEX(DarlTilgStart,7))),0,MIN(MAX(0,$K3259-$L3259),$J3259)))</f>
      </c>
      <c r="N3259" s="43">
        <f>IF($I3259=0,0,MIN(SUMIFS(SondBetrag,SondDarl,7,SondDatum,"&gt;="&amp;$E3259,SondDatum,"&lt;="&amp;EOMONTH($E3259,0)),$J3259-$M3259))</f>
      </c>
      <c r="O3259" s="43">
        <f>IF($I3259=0,0,INDEX(DarlErsatzRate,7))</f>
      </c>
      <c r="P3259" s="43">
        <f>IF($I3259=0,0,$Q3258*INDEX(DarlErsatzZins,7))</f>
      </c>
      <c r="Q3259" s="43">
        <f>IF($I3259=0,0,$Q3258+$P3259+$O3259)</f>
      </c>
      <c r="R3259" s="43">
        <f>IF($I3259=0,0,$J3259-$M3259-$N3259)</f>
      </c>
    </row>
    <row r="3260">
      <c r="A3260"/>
      <c r="B3260">
        <v>7</v>
      </c>
      <c r="C3260" s="43">
        <f>INDEX(DarlObj,7)</f>
      </c>
      <c r="D3260">
        <v>377</v>
      </c>
      <c r="E3260" s="51">
        <f>IF(INDEX(DarlBelegt,7)=0,0,EOMONTH(INDEX(DarlAuszahlung,7),376)+1)</f>
      </c>
      <c r="F3260" s="43">
        <f>IF($E3260=0,0,YEAR($E3260))</f>
      </c>
      <c r="G3260" s="43">
        <f>IF(INDEX(DarlBindung,7)="",1,IF($E3260&lt;=INDEX(DarlBindung,7),1,0))</f>
      </c>
      <c r="H3260" s="43">
        <f>IF($G3260=1,INDEX(DarlSollzins,7),INDEX(DarlAnschluss,7))</f>
      </c>
      <c r="I3260" s="43">
        <f>IF(INDEX(DarlBelegt,7)=0,0,IF(INDEX(DarlOhneTilgung,7)=1,IF(INDEX(DarlBindung,7)="",1,$G3260),IF($J3260&gt;0.005,1,0)))</f>
      </c>
      <c r="J3260" s="43">
        <f>IF($I3259=0,0,$R3259)</f>
      </c>
      <c r="K3260" s="43">
        <f>IF($I3260=0,0,IF(INDEX(DarlOhneTilgung,7)=1,0,IF(AND(INDEX(DarlTilgStart,7)&gt;0,$E3260=INDEX(DarlTilgStart,7)),$J3260*($H3260+INDEX(DarlTilgung,7))/100/12,IF(AND($G3260=0,$G3259=1),MAX($K3259,$J3260*($H3260+1)/100/12),$K3259))))</f>
      </c>
      <c r="L3260" s="43">
        <f>IF($I3260=0,0,$J3260*$H3260/100/12)</f>
      </c>
      <c r="M3260" s="43">
        <f>IF($I3260=0,0,IF(OR(INDEX(DarlOhneTilgung,7)=1,AND(INDEX(DarlTilgStart,7)&gt;0,$E3260&lt;INDEX(DarlTilgStart,7))),0,MIN(MAX(0,$K3260-$L3260),$J3260)))</f>
      </c>
      <c r="N3260" s="43">
        <f>IF($I3260=0,0,MIN(SUMIFS(SondBetrag,SondDarl,7,SondDatum,"&gt;="&amp;$E3260,SondDatum,"&lt;="&amp;EOMONTH($E3260,0)),$J3260-$M3260))</f>
      </c>
      <c r="O3260" s="43">
        <f>IF($I3260=0,0,INDEX(DarlErsatzRate,7))</f>
      </c>
      <c r="P3260" s="43">
        <f>IF($I3260=0,0,$Q3259*INDEX(DarlErsatzZins,7))</f>
      </c>
      <c r="Q3260" s="43">
        <f>IF($I3260=0,0,$Q3259+$P3260+$O3260)</f>
      </c>
      <c r="R3260" s="43">
        <f>IF($I3260=0,0,$J3260-$M3260-$N3260)</f>
      </c>
    </row>
    <row r="3261">
      <c r="A3261"/>
      <c r="B3261">
        <v>7</v>
      </c>
      <c r="C3261" s="43">
        <f>INDEX(DarlObj,7)</f>
      </c>
      <c r="D3261">
        <v>378</v>
      </c>
      <c r="E3261" s="51">
        <f>IF(INDEX(DarlBelegt,7)=0,0,EOMONTH(INDEX(DarlAuszahlung,7),377)+1)</f>
      </c>
      <c r="F3261" s="43">
        <f>IF($E3261=0,0,YEAR($E3261))</f>
      </c>
      <c r="G3261" s="43">
        <f>IF(INDEX(DarlBindung,7)="",1,IF($E3261&lt;=INDEX(DarlBindung,7),1,0))</f>
      </c>
      <c r="H3261" s="43">
        <f>IF($G3261=1,INDEX(DarlSollzins,7),INDEX(DarlAnschluss,7))</f>
      </c>
      <c r="I3261" s="43">
        <f>IF(INDEX(DarlBelegt,7)=0,0,IF(INDEX(DarlOhneTilgung,7)=1,IF(INDEX(DarlBindung,7)="",1,$G3261),IF($J3261&gt;0.005,1,0)))</f>
      </c>
      <c r="J3261" s="43">
        <f>IF($I3260=0,0,$R3260)</f>
      </c>
      <c r="K3261" s="43">
        <f>IF($I3261=0,0,IF(INDEX(DarlOhneTilgung,7)=1,0,IF(AND(INDEX(DarlTilgStart,7)&gt;0,$E3261=INDEX(DarlTilgStart,7)),$J3261*($H3261+INDEX(DarlTilgung,7))/100/12,IF(AND($G3261=0,$G3260=1),MAX($K3260,$J3261*($H3261+1)/100/12),$K3260))))</f>
      </c>
      <c r="L3261" s="43">
        <f>IF($I3261=0,0,$J3261*$H3261/100/12)</f>
      </c>
      <c r="M3261" s="43">
        <f>IF($I3261=0,0,IF(OR(INDEX(DarlOhneTilgung,7)=1,AND(INDEX(DarlTilgStart,7)&gt;0,$E3261&lt;INDEX(DarlTilgStart,7))),0,MIN(MAX(0,$K3261-$L3261),$J3261)))</f>
      </c>
      <c r="N3261" s="43">
        <f>IF($I3261=0,0,MIN(SUMIFS(SondBetrag,SondDarl,7,SondDatum,"&gt;="&amp;$E3261,SondDatum,"&lt;="&amp;EOMONTH($E3261,0)),$J3261-$M3261))</f>
      </c>
      <c r="O3261" s="43">
        <f>IF($I3261=0,0,INDEX(DarlErsatzRate,7))</f>
      </c>
      <c r="P3261" s="43">
        <f>IF($I3261=0,0,$Q3260*INDEX(DarlErsatzZins,7))</f>
      </c>
      <c r="Q3261" s="43">
        <f>IF($I3261=0,0,$Q3260+$P3261+$O3261)</f>
      </c>
      <c r="R3261" s="43">
        <f>IF($I3261=0,0,$J3261-$M3261-$N3261)</f>
      </c>
    </row>
    <row r="3262">
      <c r="A3262"/>
      <c r="B3262">
        <v>7</v>
      </c>
      <c r="C3262" s="43">
        <f>INDEX(DarlObj,7)</f>
      </c>
      <c r="D3262">
        <v>379</v>
      </c>
      <c r="E3262" s="51">
        <f>IF(INDEX(DarlBelegt,7)=0,0,EOMONTH(INDEX(DarlAuszahlung,7),378)+1)</f>
      </c>
      <c r="F3262" s="43">
        <f>IF($E3262=0,0,YEAR($E3262))</f>
      </c>
      <c r="G3262" s="43">
        <f>IF(INDEX(DarlBindung,7)="",1,IF($E3262&lt;=INDEX(DarlBindung,7),1,0))</f>
      </c>
      <c r="H3262" s="43">
        <f>IF($G3262=1,INDEX(DarlSollzins,7),INDEX(DarlAnschluss,7))</f>
      </c>
      <c r="I3262" s="43">
        <f>IF(INDEX(DarlBelegt,7)=0,0,IF(INDEX(DarlOhneTilgung,7)=1,IF(INDEX(DarlBindung,7)="",1,$G3262),IF($J3262&gt;0.005,1,0)))</f>
      </c>
      <c r="J3262" s="43">
        <f>IF($I3261=0,0,$R3261)</f>
      </c>
      <c r="K3262" s="43">
        <f>IF($I3262=0,0,IF(INDEX(DarlOhneTilgung,7)=1,0,IF(AND(INDEX(DarlTilgStart,7)&gt;0,$E3262=INDEX(DarlTilgStart,7)),$J3262*($H3262+INDEX(DarlTilgung,7))/100/12,IF(AND($G3262=0,$G3261=1),MAX($K3261,$J3262*($H3262+1)/100/12),$K3261))))</f>
      </c>
      <c r="L3262" s="43">
        <f>IF($I3262=0,0,$J3262*$H3262/100/12)</f>
      </c>
      <c r="M3262" s="43">
        <f>IF($I3262=0,0,IF(OR(INDEX(DarlOhneTilgung,7)=1,AND(INDEX(DarlTilgStart,7)&gt;0,$E3262&lt;INDEX(DarlTilgStart,7))),0,MIN(MAX(0,$K3262-$L3262),$J3262)))</f>
      </c>
      <c r="N3262" s="43">
        <f>IF($I3262=0,0,MIN(SUMIFS(SondBetrag,SondDarl,7,SondDatum,"&gt;="&amp;$E3262,SondDatum,"&lt;="&amp;EOMONTH($E3262,0)),$J3262-$M3262))</f>
      </c>
      <c r="O3262" s="43">
        <f>IF($I3262=0,0,INDEX(DarlErsatzRate,7))</f>
      </c>
      <c r="P3262" s="43">
        <f>IF($I3262=0,0,$Q3261*INDEX(DarlErsatzZins,7))</f>
      </c>
      <c r="Q3262" s="43">
        <f>IF($I3262=0,0,$Q3261+$P3262+$O3262)</f>
      </c>
      <c r="R3262" s="43">
        <f>IF($I3262=0,0,$J3262-$M3262-$N3262)</f>
      </c>
    </row>
    <row r="3263">
      <c r="A3263"/>
      <c r="B3263">
        <v>7</v>
      </c>
      <c r="C3263" s="43">
        <f>INDEX(DarlObj,7)</f>
      </c>
      <c r="D3263">
        <v>380</v>
      </c>
      <c r="E3263" s="51">
        <f>IF(INDEX(DarlBelegt,7)=0,0,EOMONTH(INDEX(DarlAuszahlung,7),379)+1)</f>
      </c>
      <c r="F3263" s="43">
        <f>IF($E3263=0,0,YEAR($E3263))</f>
      </c>
      <c r="G3263" s="43">
        <f>IF(INDEX(DarlBindung,7)="",1,IF($E3263&lt;=INDEX(DarlBindung,7),1,0))</f>
      </c>
      <c r="H3263" s="43">
        <f>IF($G3263=1,INDEX(DarlSollzins,7),INDEX(DarlAnschluss,7))</f>
      </c>
      <c r="I3263" s="43">
        <f>IF(INDEX(DarlBelegt,7)=0,0,IF(INDEX(DarlOhneTilgung,7)=1,IF(INDEX(DarlBindung,7)="",1,$G3263),IF($J3263&gt;0.005,1,0)))</f>
      </c>
      <c r="J3263" s="43">
        <f>IF($I3262=0,0,$R3262)</f>
      </c>
      <c r="K3263" s="43">
        <f>IF($I3263=0,0,IF(INDEX(DarlOhneTilgung,7)=1,0,IF(AND(INDEX(DarlTilgStart,7)&gt;0,$E3263=INDEX(DarlTilgStart,7)),$J3263*($H3263+INDEX(DarlTilgung,7))/100/12,IF(AND($G3263=0,$G3262=1),MAX($K3262,$J3263*($H3263+1)/100/12),$K3262))))</f>
      </c>
      <c r="L3263" s="43">
        <f>IF($I3263=0,0,$J3263*$H3263/100/12)</f>
      </c>
      <c r="M3263" s="43">
        <f>IF($I3263=0,0,IF(OR(INDEX(DarlOhneTilgung,7)=1,AND(INDEX(DarlTilgStart,7)&gt;0,$E3263&lt;INDEX(DarlTilgStart,7))),0,MIN(MAX(0,$K3263-$L3263),$J3263)))</f>
      </c>
      <c r="N3263" s="43">
        <f>IF($I3263=0,0,MIN(SUMIFS(SondBetrag,SondDarl,7,SondDatum,"&gt;="&amp;$E3263,SondDatum,"&lt;="&amp;EOMONTH($E3263,0)),$J3263-$M3263))</f>
      </c>
      <c r="O3263" s="43">
        <f>IF($I3263=0,0,INDEX(DarlErsatzRate,7))</f>
      </c>
      <c r="P3263" s="43">
        <f>IF($I3263=0,0,$Q3262*INDEX(DarlErsatzZins,7))</f>
      </c>
      <c r="Q3263" s="43">
        <f>IF($I3263=0,0,$Q3262+$P3263+$O3263)</f>
      </c>
      <c r="R3263" s="43">
        <f>IF($I3263=0,0,$J3263-$M3263-$N3263)</f>
      </c>
    </row>
    <row r="3264">
      <c r="A3264"/>
      <c r="B3264">
        <v>7</v>
      </c>
      <c r="C3264" s="43">
        <f>INDEX(DarlObj,7)</f>
      </c>
      <c r="D3264">
        <v>381</v>
      </c>
      <c r="E3264" s="51">
        <f>IF(INDEX(DarlBelegt,7)=0,0,EOMONTH(INDEX(DarlAuszahlung,7),380)+1)</f>
      </c>
      <c r="F3264" s="43">
        <f>IF($E3264=0,0,YEAR($E3264))</f>
      </c>
      <c r="G3264" s="43">
        <f>IF(INDEX(DarlBindung,7)="",1,IF($E3264&lt;=INDEX(DarlBindung,7),1,0))</f>
      </c>
      <c r="H3264" s="43">
        <f>IF($G3264=1,INDEX(DarlSollzins,7),INDEX(DarlAnschluss,7))</f>
      </c>
      <c r="I3264" s="43">
        <f>IF(INDEX(DarlBelegt,7)=0,0,IF(INDEX(DarlOhneTilgung,7)=1,IF(INDEX(DarlBindung,7)="",1,$G3264),IF($J3264&gt;0.005,1,0)))</f>
      </c>
      <c r="J3264" s="43">
        <f>IF($I3263=0,0,$R3263)</f>
      </c>
      <c r="K3264" s="43">
        <f>IF($I3264=0,0,IF(INDEX(DarlOhneTilgung,7)=1,0,IF(AND(INDEX(DarlTilgStart,7)&gt;0,$E3264=INDEX(DarlTilgStart,7)),$J3264*($H3264+INDEX(DarlTilgung,7))/100/12,IF(AND($G3264=0,$G3263=1),MAX($K3263,$J3264*($H3264+1)/100/12),$K3263))))</f>
      </c>
      <c r="L3264" s="43">
        <f>IF($I3264=0,0,$J3264*$H3264/100/12)</f>
      </c>
      <c r="M3264" s="43">
        <f>IF($I3264=0,0,IF(OR(INDEX(DarlOhneTilgung,7)=1,AND(INDEX(DarlTilgStart,7)&gt;0,$E3264&lt;INDEX(DarlTilgStart,7))),0,MIN(MAX(0,$K3264-$L3264),$J3264)))</f>
      </c>
      <c r="N3264" s="43">
        <f>IF($I3264=0,0,MIN(SUMIFS(SondBetrag,SondDarl,7,SondDatum,"&gt;="&amp;$E3264,SondDatum,"&lt;="&amp;EOMONTH($E3264,0)),$J3264-$M3264))</f>
      </c>
      <c r="O3264" s="43">
        <f>IF($I3264=0,0,INDEX(DarlErsatzRate,7))</f>
      </c>
      <c r="P3264" s="43">
        <f>IF($I3264=0,0,$Q3263*INDEX(DarlErsatzZins,7))</f>
      </c>
      <c r="Q3264" s="43">
        <f>IF($I3264=0,0,$Q3263+$P3264+$O3264)</f>
      </c>
      <c r="R3264" s="43">
        <f>IF($I3264=0,0,$J3264-$M3264-$N3264)</f>
      </c>
    </row>
    <row r="3265">
      <c r="A3265"/>
      <c r="B3265">
        <v>7</v>
      </c>
      <c r="C3265" s="43">
        <f>INDEX(DarlObj,7)</f>
      </c>
      <c r="D3265">
        <v>382</v>
      </c>
      <c r="E3265" s="51">
        <f>IF(INDEX(DarlBelegt,7)=0,0,EOMONTH(INDEX(DarlAuszahlung,7),381)+1)</f>
      </c>
      <c r="F3265" s="43">
        <f>IF($E3265=0,0,YEAR($E3265))</f>
      </c>
      <c r="G3265" s="43">
        <f>IF(INDEX(DarlBindung,7)="",1,IF($E3265&lt;=INDEX(DarlBindung,7),1,0))</f>
      </c>
      <c r="H3265" s="43">
        <f>IF($G3265=1,INDEX(DarlSollzins,7),INDEX(DarlAnschluss,7))</f>
      </c>
      <c r="I3265" s="43">
        <f>IF(INDEX(DarlBelegt,7)=0,0,IF(INDEX(DarlOhneTilgung,7)=1,IF(INDEX(DarlBindung,7)="",1,$G3265),IF($J3265&gt;0.005,1,0)))</f>
      </c>
      <c r="J3265" s="43">
        <f>IF($I3264=0,0,$R3264)</f>
      </c>
      <c r="K3265" s="43">
        <f>IF($I3265=0,0,IF(INDEX(DarlOhneTilgung,7)=1,0,IF(AND(INDEX(DarlTilgStart,7)&gt;0,$E3265=INDEX(DarlTilgStart,7)),$J3265*($H3265+INDEX(DarlTilgung,7))/100/12,IF(AND($G3265=0,$G3264=1),MAX($K3264,$J3265*($H3265+1)/100/12),$K3264))))</f>
      </c>
      <c r="L3265" s="43">
        <f>IF($I3265=0,0,$J3265*$H3265/100/12)</f>
      </c>
      <c r="M3265" s="43">
        <f>IF($I3265=0,0,IF(OR(INDEX(DarlOhneTilgung,7)=1,AND(INDEX(DarlTilgStart,7)&gt;0,$E3265&lt;INDEX(DarlTilgStart,7))),0,MIN(MAX(0,$K3265-$L3265),$J3265)))</f>
      </c>
      <c r="N3265" s="43">
        <f>IF($I3265=0,0,MIN(SUMIFS(SondBetrag,SondDarl,7,SondDatum,"&gt;="&amp;$E3265,SondDatum,"&lt;="&amp;EOMONTH($E3265,0)),$J3265-$M3265))</f>
      </c>
      <c r="O3265" s="43">
        <f>IF($I3265=0,0,INDEX(DarlErsatzRate,7))</f>
      </c>
      <c r="P3265" s="43">
        <f>IF($I3265=0,0,$Q3264*INDEX(DarlErsatzZins,7))</f>
      </c>
      <c r="Q3265" s="43">
        <f>IF($I3265=0,0,$Q3264+$P3265+$O3265)</f>
      </c>
      <c r="R3265" s="43">
        <f>IF($I3265=0,0,$J3265-$M3265-$N3265)</f>
      </c>
    </row>
    <row r="3266">
      <c r="A3266"/>
      <c r="B3266">
        <v>7</v>
      </c>
      <c r="C3266" s="43">
        <f>INDEX(DarlObj,7)</f>
      </c>
      <c r="D3266">
        <v>383</v>
      </c>
      <c r="E3266" s="51">
        <f>IF(INDEX(DarlBelegt,7)=0,0,EOMONTH(INDEX(DarlAuszahlung,7),382)+1)</f>
      </c>
      <c r="F3266" s="43">
        <f>IF($E3266=0,0,YEAR($E3266))</f>
      </c>
      <c r="G3266" s="43">
        <f>IF(INDEX(DarlBindung,7)="",1,IF($E3266&lt;=INDEX(DarlBindung,7),1,0))</f>
      </c>
      <c r="H3266" s="43">
        <f>IF($G3266=1,INDEX(DarlSollzins,7),INDEX(DarlAnschluss,7))</f>
      </c>
      <c r="I3266" s="43">
        <f>IF(INDEX(DarlBelegt,7)=0,0,IF(INDEX(DarlOhneTilgung,7)=1,IF(INDEX(DarlBindung,7)="",1,$G3266),IF($J3266&gt;0.005,1,0)))</f>
      </c>
      <c r="J3266" s="43">
        <f>IF($I3265=0,0,$R3265)</f>
      </c>
      <c r="K3266" s="43">
        <f>IF($I3266=0,0,IF(INDEX(DarlOhneTilgung,7)=1,0,IF(AND(INDEX(DarlTilgStart,7)&gt;0,$E3266=INDEX(DarlTilgStart,7)),$J3266*($H3266+INDEX(DarlTilgung,7))/100/12,IF(AND($G3266=0,$G3265=1),MAX($K3265,$J3266*($H3266+1)/100/12),$K3265))))</f>
      </c>
      <c r="L3266" s="43">
        <f>IF($I3266=0,0,$J3266*$H3266/100/12)</f>
      </c>
      <c r="M3266" s="43">
        <f>IF($I3266=0,0,IF(OR(INDEX(DarlOhneTilgung,7)=1,AND(INDEX(DarlTilgStart,7)&gt;0,$E3266&lt;INDEX(DarlTilgStart,7))),0,MIN(MAX(0,$K3266-$L3266),$J3266)))</f>
      </c>
      <c r="N3266" s="43">
        <f>IF($I3266=0,0,MIN(SUMIFS(SondBetrag,SondDarl,7,SondDatum,"&gt;="&amp;$E3266,SondDatum,"&lt;="&amp;EOMONTH($E3266,0)),$J3266-$M3266))</f>
      </c>
      <c r="O3266" s="43">
        <f>IF($I3266=0,0,INDEX(DarlErsatzRate,7))</f>
      </c>
      <c r="P3266" s="43">
        <f>IF($I3266=0,0,$Q3265*INDEX(DarlErsatzZins,7))</f>
      </c>
      <c r="Q3266" s="43">
        <f>IF($I3266=0,0,$Q3265+$P3266+$O3266)</f>
      </c>
      <c r="R3266" s="43">
        <f>IF($I3266=0,0,$J3266-$M3266-$N3266)</f>
      </c>
    </row>
    <row r="3267">
      <c r="A3267"/>
      <c r="B3267">
        <v>7</v>
      </c>
      <c r="C3267" s="43">
        <f>INDEX(DarlObj,7)</f>
      </c>
      <c r="D3267">
        <v>384</v>
      </c>
      <c r="E3267" s="51">
        <f>IF(INDEX(DarlBelegt,7)=0,0,EOMONTH(INDEX(DarlAuszahlung,7),383)+1)</f>
      </c>
      <c r="F3267" s="43">
        <f>IF($E3267=0,0,YEAR($E3267))</f>
      </c>
      <c r="G3267" s="43">
        <f>IF(INDEX(DarlBindung,7)="",1,IF($E3267&lt;=INDEX(DarlBindung,7),1,0))</f>
      </c>
      <c r="H3267" s="43">
        <f>IF($G3267=1,INDEX(DarlSollzins,7),INDEX(DarlAnschluss,7))</f>
      </c>
      <c r="I3267" s="43">
        <f>IF(INDEX(DarlBelegt,7)=0,0,IF(INDEX(DarlOhneTilgung,7)=1,IF(INDEX(DarlBindung,7)="",1,$G3267),IF($J3267&gt;0.005,1,0)))</f>
      </c>
      <c r="J3267" s="43">
        <f>IF($I3266=0,0,$R3266)</f>
      </c>
      <c r="K3267" s="43">
        <f>IF($I3267=0,0,IF(INDEX(DarlOhneTilgung,7)=1,0,IF(AND(INDEX(DarlTilgStart,7)&gt;0,$E3267=INDEX(DarlTilgStart,7)),$J3267*($H3267+INDEX(DarlTilgung,7))/100/12,IF(AND($G3267=0,$G3266=1),MAX($K3266,$J3267*($H3267+1)/100/12),$K3266))))</f>
      </c>
      <c r="L3267" s="43">
        <f>IF($I3267=0,0,$J3267*$H3267/100/12)</f>
      </c>
      <c r="M3267" s="43">
        <f>IF($I3267=0,0,IF(OR(INDEX(DarlOhneTilgung,7)=1,AND(INDEX(DarlTilgStart,7)&gt;0,$E3267&lt;INDEX(DarlTilgStart,7))),0,MIN(MAX(0,$K3267-$L3267),$J3267)))</f>
      </c>
      <c r="N3267" s="43">
        <f>IF($I3267=0,0,MIN(SUMIFS(SondBetrag,SondDarl,7,SondDatum,"&gt;="&amp;$E3267,SondDatum,"&lt;="&amp;EOMONTH($E3267,0)),$J3267-$M3267))</f>
      </c>
      <c r="O3267" s="43">
        <f>IF($I3267=0,0,INDEX(DarlErsatzRate,7))</f>
      </c>
      <c r="P3267" s="43">
        <f>IF($I3267=0,0,$Q3266*INDEX(DarlErsatzZins,7))</f>
      </c>
      <c r="Q3267" s="43">
        <f>IF($I3267=0,0,$Q3266+$P3267+$O3267)</f>
      </c>
      <c r="R3267" s="43">
        <f>IF($I3267=0,0,$J3267-$M3267-$N3267)</f>
      </c>
    </row>
    <row r="3268">
      <c r="A3268"/>
      <c r="B3268">
        <v>7</v>
      </c>
      <c r="C3268" s="43">
        <f>INDEX(DarlObj,7)</f>
      </c>
      <c r="D3268">
        <v>385</v>
      </c>
      <c r="E3268" s="51">
        <f>IF(INDEX(DarlBelegt,7)=0,0,EOMONTH(INDEX(DarlAuszahlung,7),384)+1)</f>
      </c>
      <c r="F3268" s="43">
        <f>IF($E3268=0,0,YEAR($E3268))</f>
      </c>
      <c r="G3268" s="43">
        <f>IF(INDEX(DarlBindung,7)="",1,IF($E3268&lt;=INDEX(DarlBindung,7),1,0))</f>
      </c>
      <c r="H3268" s="43">
        <f>IF($G3268=1,INDEX(DarlSollzins,7),INDEX(DarlAnschluss,7))</f>
      </c>
      <c r="I3268" s="43">
        <f>IF(INDEX(DarlBelegt,7)=0,0,IF(INDEX(DarlOhneTilgung,7)=1,IF(INDEX(DarlBindung,7)="",1,$G3268),IF($J3268&gt;0.005,1,0)))</f>
      </c>
      <c r="J3268" s="43">
        <f>IF($I3267=0,0,$R3267)</f>
      </c>
      <c r="K3268" s="43">
        <f>IF($I3268=0,0,IF(INDEX(DarlOhneTilgung,7)=1,0,IF(AND(INDEX(DarlTilgStart,7)&gt;0,$E3268=INDEX(DarlTilgStart,7)),$J3268*($H3268+INDEX(DarlTilgung,7))/100/12,IF(AND($G3268=0,$G3267=1),MAX($K3267,$J3268*($H3268+1)/100/12),$K3267))))</f>
      </c>
      <c r="L3268" s="43">
        <f>IF($I3268=0,0,$J3268*$H3268/100/12)</f>
      </c>
      <c r="M3268" s="43">
        <f>IF($I3268=0,0,IF(OR(INDEX(DarlOhneTilgung,7)=1,AND(INDEX(DarlTilgStart,7)&gt;0,$E3268&lt;INDEX(DarlTilgStart,7))),0,MIN(MAX(0,$K3268-$L3268),$J3268)))</f>
      </c>
      <c r="N3268" s="43">
        <f>IF($I3268=0,0,MIN(SUMIFS(SondBetrag,SondDarl,7,SondDatum,"&gt;="&amp;$E3268,SondDatum,"&lt;="&amp;EOMONTH($E3268,0)),$J3268-$M3268))</f>
      </c>
      <c r="O3268" s="43">
        <f>IF($I3268=0,0,INDEX(DarlErsatzRate,7))</f>
      </c>
      <c r="P3268" s="43">
        <f>IF($I3268=0,0,$Q3267*INDEX(DarlErsatzZins,7))</f>
      </c>
      <c r="Q3268" s="43">
        <f>IF($I3268=0,0,$Q3267+$P3268+$O3268)</f>
      </c>
      <c r="R3268" s="43">
        <f>IF($I3268=0,0,$J3268-$M3268-$N3268)</f>
      </c>
    </row>
    <row r="3269">
      <c r="A3269"/>
      <c r="B3269">
        <v>7</v>
      </c>
      <c r="C3269" s="43">
        <f>INDEX(DarlObj,7)</f>
      </c>
      <c r="D3269">
        <v>386</v>
      </c>
      <c r="E3269" s="51">
        <f>IF(INDEX(DarlBelegt,7)=0,0,EOMONTH(INDEX(DarlAuszahlung,7),385)+1)</f>
      </c>
      <c r="F3269" s="43">
        <f>IF($E3269=0,0,YEAR($E3269))</f>
      </c>
      <c r="G3269" s="43">
        <f>IF(INDEX(DarlBindung,7)="",1,IF($E3269&lt;=INDEX(DarlBindung,7),1,0))</f>
      </c>
      <c r="H3269" s="43">
        <f>IF($G3269=1,INDEX(DarlSollzins,7),INDEX(DarlAnschluss,7))</f>
      </c>
      <c r="I3269" s="43">
        <f>IF(INDEX(DarlBelegt,7)=0,0,IF(INDEX(DarlOhneTilgung,7)=1,IF(INDEX(DarlBindung,7)="",1,$G3269),IF($J3269&gt;0.005,1,0)))</f>
      </c>
      <c r="J3269" s="43">
        <f>IF($I3268=0,0,$R3268)</f>
      </c>
      <c r="K3269" s="43">
        <f>IF($I3269=0,0,IF(INDEX(DarlOhneTilgung,7)=1,0,IF(AND(INDEX(DarlTilgStart,7)&gt;0,$E3269=INDEX(DarlTilgStart,7)),$J3269*($H3269+INDEX(DarlTilgung,7))/100/12,IF(AND($G3269=0,$G3268=1),MAX($K3268,$J3269*($H3269+1)/100/12),$K3268))))</f>
      </c>
      <c r="L3269" s="43">
        <f>IF($I3269=0,0,$J3269*$H3269/100/12)</f>
      </c>
      <c r="M3269" s="43">
        <f>IF($I3269=0,0,IF(OR(INDEX(DarlOhneTilgung,7)=1,AND(INDEX(DarlTilgStart,7)&gt;0,$E3269&lt;INDEX(DarlTilgStart,7))),0,MIN(MAX(0,$K3269-$L3269),$J3269)))</f>
      </c>
      <c r="N3269" s="43">
        <f>IF($I3269=0,0,MIN(SUMIFS(SondBetrag,SondDarl,7,SondDatum,"&gt;="&amp;$E3269,SondDatum,"&lt;="&amp;EOMONTH($E3269,0)),$J3269-$M3269))</f>
      </c>
      <c r="O3269" s="43">
        <f>IF($I3269=0,0,INDEX(DarlErsatzRate,7))</f>
      </c>
      <c r="P3269" s="43">
        <f>IF($I3269=0,0,$Q3268*INDEX(DarlErsatzZins,7))</f>
      </c>
      <c r="Q3269" s="43">
        <f>IF($I3269=0,0,$Q3268+$P3269+$O3269)</f>
      </c>
      <c r="R3269" s="43">
        <f>IF($I3269=0,0,$J3269-$M3269-$N3269)</f>
      </c>
    </row>
    <row r="3270">
      <c r="A3270"/>
      <c r="B3270">
        <v>7</v>
      </c>
      <c r="C3270" s="43">
        <f>INDEX(DarlObj,7)</f>
      </c>
      <c r="D3270">
        <v>387</v>
      </c>
      <c r="E3270" s="51">
        <f>IF(INDEX(DarlBelegt,7)=0,0,EOMONTH(INDEX(DarlAuszahlung,7),386)+1)</f>
      </c>
      <c r="F3270" s="43">
        <f>IF($E3270=0,0,YEAR($E3270))</f>
      </c>
      <c r="G3270" s="43">
        <f>IF(INDEX(DarlBindung,7)="",1,IF($E3270&lt;=INDEX(DarlBindung,7),1,0))</f>
      </c>
      <c r="H3270" s="43">
        <f>IF($G3270=1,INDEX(DarlSollzins,7),INDEX(DarlAnschluss,7))</f>
      </c>
      <c r="I3270" s="43">
        <f>IF(INDEX(DarlBelegt,7)=0,0,IF(INDEX(DarlOhneTilgung,7)=1,IF(INDEX(DarlBindung,7)="",1,$G3270),IF($J3270&gt;0.005,1,0)))</f>
      </c>
      <c r="J3270" s="43">
        <f>IF($I3269=0,0,$R3269)</f>
      </c>
      <c r="K3270" s="43">
        <f>IF($I3270=0,0,IF(INDEX(DarlOhneTilgung,7)=1,0,IF(AND(INDEX(DarlTilgStart,7)&gt;0,$E3270=INDEX(DarlTilgStart,7)),$J3270*($H3270+INDEX(DarlTilgung,7))/100/12,IF(AND($G3270=0,$G3269=1),MAX($K3269,$J3270*($H3270+1)/100/12),$K3269))))</f>
      </c>
      <c r="L3270" s="43">
        <f>IF($I3270=0,0,$J3270*$H3270/100/12)</f>
      </c>
      <c r="M3270" s="43">
        <f>IF($I3270=0,0,IF(OR(INDEX(DarlOhneTilgung,7)=1,AND(INDEX(DarlTilgStart,7)&gt;0,$E3270&lt;INDEX(DarlTilgStart,7))),0,MIN(MAX(0,$K3270-$L3270),$J3270)))</f>
      </c>
      <c r="N3270" s="43">
        <f>IF($I3270=0,0,MIN(SUMIFS(SondBetrag,SondDarl,7,SondDatum,"&gt;="&amp;$E3270,SondDatum,"&lt;="&amp;EOMONTH($E3270,0)),$J3270-$M3270))</f>
      </c>
      <c r="O3270" s="43">
        <f>IF($I3270=0,0,INDEX(DarlErsatzRate,7))</f>
      </c>
      <c r="P3270" s="43">
        <f>IF($I3270=0,0,$Q3269*INDEX(DarlErsatzZins,7))</f>
      </c>
      <c r="Q3270" s="43">
        <f>IF($I3270=0,0,$Q3269+$P3270+$O3270)</f>
      </c>
      <c r="R3270" s="43">
        <f>IF($I3270=0,0,$J3270-$M3270-$N3270)</f>
      </c>
    </row>
    <row r="3271">
      <c r="A3271"/>
      <c r="B3271">
        <v>7</v>
      </c>
      <c r="C3271" s="43">
        <f>INDEX(DarlObj,7)</f>
      </c>
      <c r="D3271">
        <v>388</v>
      </c>
      <c r="E3271" s="51">
        <f>IF(INDEX(DarlBelegt,7)=0,0,EOMONTH(INDEX(DarlAuszahlung,7),387)+1)</f>
      </c>
      <c r="F3271" s="43">
        <f>IF($E3271=0,0,YEAR($E3271))</f>
      </c>
      <c r="G3271" s="43">
        <f>IF(INDEX(DarlBindung,7)="",1,IF($E3271&lt;=INDEX(DarlBindung,7),1,0))</f>
      </c>
      <c r="H3271" s="43">
        <f>IF($G3271=1,INDEX(DarlSollzins,7),INDEX(DarlAnschluss,7))</f>
      </c>
      <c r="I3271" s="43">
        <f>IF(INDEX(DarlBelegt,7)=0,0,IF(INDEX(DarlOhneTilgung,7)=1,IF(INDEX(DarlBindung,7)="",1,$G3271),IF($J3271&gt;0.005,1,0)))</f>
      </c>
      <c r="J3271" s="43">
        <f>IF($I3270=0,0,$R3270)</f>
      </c>
      <c r="K3271" s="43">
        <f>IF($I3271=0,0,IF(INDEX(DarlOhneTilgung,7)=1,0,IF(AND(INDEX(DarlTilgStart,7)&gt;0,$E3271=INDEX(DarlTilgStart,7)),$J3271*($H3271+INDEX(DarlTilgung,7))/100/12,IF(AND($G3271=0,$G3270=1),MAX($K3270,$J3271*($H3271+1)/100/12),$K3270))))</f>
      </c>
      <c r="L3271" s="43">
        <f>IF($I3271=0,0,$J3271*$H3271/100/12)</f>
      </c>
      <c r="M3271" s="43">
        <f>IF($I3271=0,0,IF(OR(INDEX(DarlOhneTilgung,7)=1,AND(INDEX(DarlTilgStart,7)&gt;0,$E3271&lt;INDEX(DarlTilgStart,7))),0,MIN(MAX(0,$K3271-$L3271),$J3271)))</f>
      </c>
      <c r="N3271" s="43">
        <f>IF($I3271=0,0,MIN(SUMIFS(SondBetrag,SondDarl,7,SondDatum,"&gt;="&amp;$E3271,SondDatum,"&lt;="&amp;EOMONTH($E3271,0)),$J3271-$M3271))</f>
      </c>
      <c r="O3271" s="43">
        <f>IF($I3271=0,0,INDEX(DarlErsatzRate,7))</f>
      </c>
      <c r="P3271" s="43">
        <f>IF($I3271=0,0,$Q3270*INDEX(DarlErsatzZins,7))</f>
      </c>
      <c r="Q3271" s="43">
        <f>IF($I3271=0,0,$Q3270+$P3271+$O3271)</f>
      </c>
      <c r="R3271" s="43">
        <f>IF($I3271=0,0,$J3271-$M3271-$N3271)</f>
      </c>
    </row>
    <row r="3272">
      <c r="A3272"/>
      <c r="B3272">
        <v>7</v>
      </c>
      <c r="C3272" s="43">
        <f>INDEX(DarlObj,7)</f>
      </c>
      <c r="D3272">
        <v>389</v>
      </c>
      <c r="E3272" s="51">
        <f>IF(INDEX(DarlBelegt,7)=0,0,EOMONTH(INDEX(DarlAuszahlung,7),388)+1)</f>
      </c>
      <c r="F3272" s="43">
        <f>IF($E3272=0,0,YEAR($E3272))</f>
      </c>
      <c r="G3272" s="43">
        <f>IF(INDEX(DarlBindung,7)="",1,IF($E3272&lt;=INDEX(DarlBindung,7),1,0))</f>
      </c>
      <c r="H3272" s="43">
        <f>IF($G3272=1,INDEX(DarlSollzins,7),INDEX(DarlAnschluss,7))</f>
      </c>
      <c r="I3272" s="43">
        <f>IF(INDEX(DarlBelegt,7)=0,0,IF(INDEX(DarlOhneTilgung,7)=1,IF(INDEX(DarlBindung,7)="",1,$G3272),IF($J3272&gt;0.005,1,0)))</f>
      </c>
      <c r="J3272" s="43">
        <f>IF($I3271=0,0,$R3271)</f>
      </c>
      <c r="K3272" s="43">
        <f>IF($I3272=0,0,IF(INDEX(DarlOhneTilgung,7)=1,0,IF(AND(INDEX(DarlTilgStart,7)&gt;0,$E3272=INDEX(DarlTilgStart,7)),$J3272*($H3272+INDEX(DarlTilgung,7))/100/12,IF(AND($G3272=0,$G3271=1),MAX($K3271,$J3272*($H3272+1)/100/12),$K3271))))</f>
      </c>
      <c r="L3272" s="43">
        <f>IF($I3272=0,0,$J3272*$H3272/100/12)</f>
      </c>
      <c r="M3272" s="43">
        <f>IF($I3272=0,0,IF(OR(INDEX(DarlOhneTilgung,7)=1,AND(INDEX(DarlTilgStart,7)&gt;0,$E3272&lt;INDEX(DarlTilgStart,7))),0,MIN(MAX(0,$K3272-$L3272),$J3272)))</f>
      </c>
      <c r="N3272" s="43">
        <f>IF($I3272=0,0,MIN(SUMIFS(SondBetrag,SondDarl,7,SondDatum,"&gt;="&amp;$E3272,SondDatum,"&lt;="&amp;EOMONTH($E3272,0)),$J3272-$M3272))</f>
      </c>
      <c r="O3272" s="43">
        <f>IF($I3272=0,0,INDEX(DarlErsatzRate,7))</f>
      </c>
      <c r="P3272" s="43">
        <f>IF($I3272=0,0,$Q3271*INDEX(DarlErsatzZins,7))</f>
      </c>
      <c r="Q3272" s="43">
        <f>IF($I3272=0,0,$Q3271+$P3272+$O3272)</f>
      </c>
      <c r="R3272" s="43">
        <f>IF($I3272=0,0,$J3272-$M3272-$N3272)</f>
      </c>
    </row>
    <row r="3273">
      <c r="A3273"/>
      <c r="B3273">
        <v>7</v>
      </c>
      <c r="C3273" s="43">
        <f>INDEX(DarlObj,7)</f>
      </c>
      <c r="D3273">
        <v>390</v>
      </c>
      <c r="E3273" s="51">
        <f>IF(INDEX(DarlBelegt,7)=0,0,EOMONTH(INDEX(DarlAuszahlung,7),389)+1)</f>
      </c>
      <c r="F3273" s="43">
        <f>IF($E3273=0,0,YEAR($E3273))</f>
      </c>
      <c r="G3273" s="43">
        <f>IF(INDEX(DarlBindung,7)="",1,IF($E3273&lt;=INDEX(DarlBindung,7),1,0))</f>
      </c>
      <c r="H3273" s="43">
        <f>IF($G3273=1,INDEX(DarlSollzins,7),INDEX(DarlAnschluss,7))</f>
      </c>
      <c r="I3273" s="43">
        <f>IF(INDEX(DarlBelegt,7)=0,0,IF(INDEX(DarlOhneTilgung,7)=1,IF(INDEX(DarlBindung,7)="",1,$G3273),IF($J3273&gt;0.005,1,0)))</f>
      </c>
      <c r="J3273" s="43">
        <f>IF($I3272=0,0,$R3272)</f>
      </c>
      <c r="K3273" s="43">
        <f>IF($I3273=0,0,IF(INDEX(DarlOhneTilgung,7)=1,0,IF(AND(INDEX(DarlTilgStart,7)&gt;0,$E3273=INDEX(DarlTilgStart,7)),$J3273*($H3273+INDEX(DarlTilgung,7))/100/12,IF(AND($G3273=0,$G3272=1),MAX($K3272,$J3273*($H3273+1)/100/12),$K3272))))</f>
      </c>
      <c r="L3273" s="43">
        <f>IF($I3273=0,0,$J3273*$H3273/100/12)</f>
      </c>
      <c r="M3273" s="43">
        <f>IF($I3273=0,0,IF(OR(INDEX(DarlOhneTilgung,7)=1,AND(INDEX(DarlTilgStart,7)&gt;0,$E3273&lt;INDEX(DarlTilgStart,7))),0,MIN(MAX(0,$K3273-$L3273),$J3273)))</f>
      </c>
      <c r="N3273" s="43">
        <f>IF($I3273=0,0,MIN(SUMIFS(SondBetrag,SondDarl,7,SondDatum,"&gt;="&amp;$E3273,SondDatum,"&lt;="&amp;EOMONTH($E3273,0)),$J3273-$M3273))</f>
      </c>
      <c r="O3273" s="43">
        <f>IF($I3273=0,0,INDEX(DarlErsatzRate,7))</f>
      </c>
      <c r="P3273" s="43">
        <f>IF($I3273=0,0,$Q3272*INDEX(DarlErsatzZins,7))</f>
      </c>
      <c r="Q3273" s="43">
        <f>IF($I3273=0,0,$Q3272+$P3273+$O3273)</f>
      </c>
      <c r="R3273" s="43">
        <f>IF($I3273=0,0,$J3273-$M3273-$N3273)</f>
      </c>
    </row>
    <row r="3274">
      <c r="A3274"/>
      <c r="B3274">
        <v>7</v>
      </c>
      <c r="C3274" s="43">
        <f>INDEX(DarlObj,7)</f>
      </c>
      <c r="D3274">
        <v>391</v>
      </c>
      <c r="E3274" s="51">
        <f>IF(INDEX(DarlBelegt,7)=0,0,EOMONTH(INDEX(DarlAuszahlung,7),390)+1)</f>
      </c>
      <c r="F3274" s="43">
        <f>IF($E3274=0,0,YEAR($E3274))</f>
      </c>
      <c r="G3274" s="43">
        <f>IF(INDEX(DarlBindung,7)="",1,IF($E3274&lt;=INDEX(DarlBindung,7),1,0))</f>
      </c>
      <c r="H3274" s="43">
        <f>IF($G3274=1,INDEX(DarlSollzins,7),INDEX(DarlAnschluss,7))</f>
      </c>
      <c r="I3274" s="43">
        <f>IF(INDEX(DarlBelegt,7)=0,0,IF(INDEX(DarlOhneTilgung,7)=1,IF(INDEX(DarlBindung,7)="",1,$G3274),IF($J3274&gt;0.005,1,0)))</f>
      </c>
      <c r="J3274" s="43">
        <f>IF($I3273=0,0,$R3273)</f>
      </c>
      <c r="K3274" s="43">
        <f>IF($I3274=0,0,IF(INDEX(DarlOhneTilgung,7)=1,0,IF(AND(INDEX(DarlTilgStart,7)&gt;0,$E3274=INDEX(DarlTilgStart,7)),$J3274*($H3274+INDEX(DarlTilgung,7))/100/12,IF(AND($G3274=0,$G3273=1),MAX($K3273,$J3274*($H3274+1)/100/12),$K3273))))</f>
      </c>
      <c r="L3274" s="43">
        <f>IF($I3274=0,0,$J3274*$H3274/100/12)</f>
      </c>
      <c r="M3274" s="43">
        <f>IF($I3274=0,0,IF(OR(INDEX(DarlOhneTilgung,7)=1,AND(INDEX(DarlTilgStart,7)&gt;0,$E3274&lt;INDEX(DarlTilgStart,7))),0,MIN(MAX(0,$K3274-$L3274),$J3274)))</f>
      </c>
      <c r="N3274" s="43">
        <f>IF($I3274=0,0,MIN(SUMIFS(SondBetrag,SondDarl,7,SondDatum,"&gt;="&amp;$E3274,SondDatum,"&lt;="&amp;EOMONTH($E3274,0)),$J3274-$M3274))</f>
      </c>
      <c r="O3274" s="43">
        <f>IF($I3274=0,0,INDEX(DarlErsatzRate,7))</f>
      </c>
      <c r="P3274" s="43">
        <f>IF($I3274=0,0,$Q3273*INDEX(DarlErsatzZins,7))</f>
      </c>
      <c r="Q3274" s="43">
        <f>IF($I3274=0,0,$Q3273+$P3274+$O3274)</f>
      </c>
      <c r="R3274" s="43">
        <f>IF($I3274=0,0,$J3274-$M3274-$N3274)</f>
      </c>
    </row>
    <row r="3275">
      <c r="A3275"/>
      <c r="B3275">
        <v>7</v>
      </c>
      <c r="C3275" s="43">
        <f>INDEX(DarlObj,7)</f>
      </c>
      <c r="D3275">
        <v>392</v>
      </c>
      <c r="E3275" s="51">
        <f>IF(INDEX(DarlBelegt,7)=0,0,EOMONTH(INDEX(DarlAuszahlung,7),391)+1)</f>
      </c>
      <c r="F3275" s="43">
        <f>IF($E3275=0,0,YEAR($E3275))</f>
      </c>
      <c r="G3275" s="43">
        <f>IF(INDEX(DarlBindung,7)="",1,IF($E3275&lt;=INDEX(DarlBindung,7),1,0))</f>
      </c>
      <c r="H3275" s="43">
        <f>IF($G3275=1,INDEX(DarlSollzins,7),INDEX(DarlAnschluss,7))</f>
      </c>
      <c r="I3275" s="43">
        <f>IF(INDEX(DarlBelegt,7)=0,0,IF(INDEX(DarlOhneTilgung,7)=1,IF(INDEX(DarlBindung,7)="",1,$G3275),IF($J3275&gt;0.005,1,0)))</f>
      </c>
      <c r="J3275" s="43">
        <f>IF($I3274=0,0,$R3274)</f>
      </c>
      <c r="K3275" s="43">
        <f>IF($I3275=0,0,IF(INDEX(DarlOhneTilgung,7)=1,0,IF(AND(INDEX(DarlTilgStart,7)&gt;0,$E3275=INDEX(DarlTilgStart,7)),$J3275*($H3275+INDEX(DarlTilgung,7))/100/12,IF(AND($G3275=0,$G3274=1),MAX($K3274,$J3275*($H3275+1)/100/12),$K3274))))</f>
      </c>
      <c r="L3275" s="43">
        <f>IF($I3275=0,0,$J3275*$H3275/100/12)</f>
      </c>
      <c r="M3275" s="43">
        <f>IF($I3275=0,0,IF(OR(INDEX(DarlOhneTilgung,7)=1,AND(INDEX(DarlTilgStart,7)&gt;0,$E3275&lt;INDEX(DarlTilgStart,7))),0,MIN(MAX(0,$K3275-$L3275),$J3275)))</f>
      </c>
      <c r="N3275" s="43">
        <f>IF($I3275=0,0,MIN(SUMIFS(SondBetrag,SondDarl,7,SondDatum,"&gt;="&amp;$E3275,SondDatum,"&lt;="&amp;EOMONTH($E3275,0)),$J3275-$M3275))</f>
      </c>
      <c r="O3275" s="43">
        <f>IF($I3275=0,0,INDEX(DarlErsatzRate,7))</f>
      </c>
      <c r="P3275" s="43">
        <f>IF($I3275=0,0,$Q3274*INDEX(DarlErsatzZins,7))</f>
      </c>
      <c r="Q3275" s="43">
        <f>IF($I3275=0,0,$Q3274+$P3275+$O3275)</f>
      </c>
      <c r="R3275" s="43">
        <f>IF($I3275=0,0,$J3275-$M3275-$N3275)</f>
      </c>
    </row>
    <row r="3276">
      <c r="A3276"/>
      <c r="B3276">
        <v>7</v>
      </c>
      <c r="C3276" s="43">
        <f>INDEX(DarlObj,7)</f>
      </c>
      <c r="D3276">
        <v>393</v>
      </c>
      <c r="E3276" s="51">
        <f>IF(INDEX(DarlBelegt,7)=0,0,EOMONTH(INDEX(DarlAuszahlung,7),392)+1)</f>
      </c>
      <c r="F3276" s="43">
        <f>IF($E3276=0,0,YEAR($E3276))</f>
      </c>
      <c r="G3276" s="43">
        <f>IF(INDEX(DarlBindung,7)="",1,IF($E3276&lt;=INDEX(DarlBindung,7),1,0))</f>
      </c>
      <c r="H3276" s="43">
        <f>IF($G3276=1,INDEX(DarlSollzins,7),INDEX(DarlAnschluss,7))</f>
      </c>
      <c r="I3276" s="43">
        <f>IF(INDEX(DarlBelegt,7)=0,0,IF(INDEX(DarlOhneTilgung,7)=1,IF(INDEX(DarlBindung,7)="",1,$G3276),IF($J3276&gt;0.005,1,0)))</f>
      </c>
      <c r="J3276" s="43">
        <f>IF($I3275=0,0,$R3275)</f>
      </c>
      <c r="K3276" s="43">
        <f>IF($I3276=0,0,IF(INDEX(DarlOhneTilgung,7)=1,0,IF(AND(INDEX(DarlTilgStart,7)&gt;0,$E3276=INDEX(DarlTilgStart,7)),$J3276*($H3276+INDEX(DarlTilgung,7))/100/12,IF(AND($G3276=0,$G3275=1),MAX($K3275,$J3276*($H3276+1)/100/12),$K3275))))</f>
      </c>
      <c r="L3276" s="43">
        <f>IF($I3276=0,0,$J3276*$H3276/100/12)</f>
      </c>
      <c r="M3276" s="43">
        <f>IF($I3276=0,0,IF(OR(INDEX(DarlOhneTilgung,7)=1,AND(INDEX(DarlTilgStart,7)&gt;0,$E3276&lt;INDEX(DarlTilgStart,7))),0,MIN(MAX(0,$K3276-$L3276),$J3276)))</f>
      </c>
      <c r="N3276" s="43">
        <f>IF($I3276=0,0,MIN(SUMIFS(SondBetrag,SondDarl,7,SondDatum,"&gt;="&amp;$E3276,SondDatum,"&lt;="&amp;EOMONTH($E3276,0)),$J3276-$M3276))</f>
      </c>
      <c r="O3276" s="43">
        <f>IF($I3276=0,0,INDEX(DarlErsatzRate,7))</f>
      </c>
      <c r="P3276" s="43">
        <f>IF($I3276=0,0,$Q3275*INDEX(DarlErsatzZins,7))</f>
      </c>
      <c r="Q3276" s="43">
        <f>IF($I3276=0,0,$Q3275+$P3276+$O3276)</f>
      </c>
      <c r="R3276" s="43">
        <f>IF($I3276=0,0,$J3276-$M3276-$N3276)</f>
      </c>
    </row>
    <row r="3277">
      <c r="A3277"/>
      <c r="B3277">
        <v>7</v>
      </c>
      <c r="C3277" s="43">
        <f>INDEX(DarlObj,7)</f>
      </c>
      <c r="D3277">
        <v>394</v>
      </c>
      <c r="E3277" s="51">
        <f>IF(INDEX(DarlBelegt,7)=0,0,EOMONTH(INDEX(DarlAuszahlung,7),393)+1)</f>
      </c>
      <c r="F3277" s="43">
        <f>IF($E3277=0,0,YEAR($E3277))</f>
      </c>
      <c r="G3277" s="43">
        <f>IF(INDEX(DarlBindung,7)="",1,IF($E3277&lt;=INDEX(DarlBindung,7),1,0))</f>
      </c>
      <c r="H3277" s="43">
        <f>IF($G3277=1,INDEX(DarlSollzins,7),INDEX(DarlAnschluss,7))</f>
      </c>
      <c r="I3277" s="43">
        <f>IF(INDEX(DarlBelegt,7)=0,0,IF(INDEX(DarlOhneTilgung,7)=1,IF(INDEX(DarlBindung,7)="",1,$G3277),IF($J3277&gt;0.005,1,0)))</f>
      </c>
      <c r="J3277" s="43">
        <f>IF($I3276=0,0,$R3276)</f>
      </c>
      <c r="K3277" s="43">
        <f>IF($I3277=0,0,IF(INDEX(DarlOhneTilgung,7)=1,0,IF(AND(INDEX(DarlTilgStart,7)&gt;0,$E3277=INDEX(DarlTilgStart,7)),$J3277*($H3277+INDEX(DarlTilgung,7))/100/12,IF(AND($G3277=0,$G3276=1),MAX($K3276,$J3277*($H3277+1)/100/12),$K3276))))</f>
      </c>
      <c r="L3277" s="43">
        <f>IF($I3277=0,0,$J3277*$H3277/100/12)</f>
      </c>
      <c r="M3277" s="43">
        <f>IF($I3277=0,0,IF(OR(INDEX(DarlOhneTilgung,7)=1,AND(INDEX(DarlTilgStart,7)&gt;0,$E3277&lt;INDEX(DarlTilgStart,7))),0,MIN(MAX(0,$K3277-$L3277),$J3277)))</f>
      </c>
      <c r="N3277" s="43">
        <f>IF($I3277=0,0,MIN(SUMIFS(SondBetrag,SondDarl,7,SondDatum,"&gt;="&amp;$E3277,SondDatum,"&lt;="&amp;EOMONTH($E3277,0)),$J3277-$M3277))</f>
      </c>
      <c r="O3277" s="43">
        <f>IF($I3277=0,0,INDEX(DarlErsatzRate,7))</f>
      </c>
      <c r="P3277" s="43">
        <f>IF($I3277=0,0,$Q3276*INDEX(DarlErsatzZins,7))</f>
      </c>
      <c r="Q3277" s="43">
        <f>IF($I3277=0,0,$Q3276+$P3277+$O3277)</f>
      </c>
      <c r="R3277" s="43">
        <f>IF($I3277=0,0,$J3277-$M3277-$N3277)</f>
      </c>
    </row>
    <row r="3278">
      <c r="A3278"/>
      <c r="B3278">
        <v>7</v>
      </c>
      <c r="C3278" s="43">
        <f>INDEX(DarlObj,7)</f>
      </c>
      <c r="D3278">
        <v>395</v>
      </c>
      <c r="E3278" s="51">
        <f>IF(INDEX(DarlBelegt,7)=0,0,EOMONTH(INDEX(DarlAuszahlung,7),394)+1)</f>
      </c>
      <c r="F3278" s="43">
        <f>IF($E3278=0,0,YEAR($E3278))</f>
      </c>
      <c r="G3278" s="43">
        <f>IF(INDEX(DarlBindung,7)="",1,IF($E3278&lt;=INDEX(DarlBindung,7),1,0))</f>
      </c>
      <c r="H3278" s="43">
        <f>IF($G3278=1,INDEX(DarlSollzins,7),INDEX(DarlAnschluss,7))</f>
      </c>
      <c r="I3278" s="43">
        <f>IF(INDEX(DarlBelegt,7)=0,0,IF(INDEX(DarlOhneTilgung,7)=1,IF(INDEX(DarlBindung,7)="",1,$G3278),IF($J3278&gt;0.005,1,0)))</f>
      </c>
      <c r="J3278" s="43">
        <f>IF($I3277=0,0,$R3277)</f>
      </c>
      <c r="K3278" s="43">
        <f>IF($I3278=0,0,IF(INDEX(DarlOhneTilgung,7)=1,0,IF(AND(INDEX(DarlTilgStart,7)&gt;0,$E3278=INDEX(DarlTilgStart,7)),$J3278*($H3278+INDEX(DarlTilgung,7))/100/12,IF(AND($G3278=0,$G3277=1),MAX($K3277,$J3278*($H3278+1)/100/12),$K3277))))</f>
      </c>
      <c r="L3278" s="43">
        <f>IF($I3278=0,0,$J3278*$H3278/100/12)</f>
      </c>
      <c r="M3278" s="43">
        <f>IF($I3278=0,0,IF(OR(INDEX(DarlOhneTilgung,7)=1,AND(INDEX(DarlTilgStart,7)&gt;0,$E3278&lt;INDEX(DarlTilgStart,7))),0,MIN(MAX(0,$K3278-$L3278),$J3278)))</f>
      </c>
      <c r="N3278" s="43">
        <f>IF($I3278=0,0,MIN(SUMIFS(SondBetrag,SondDarl,7,SondDatum,"&gt;="&amp;$E3278,SondDatum,"&lt;="&amp;EOMONTH($E3278,0)),$J3278-$M3278))</f>
      </c>
      <c r="O3278" s="43">
        <f>IF($I3278=0,0,INDEX(DarlErsatzRate,7))</f>
      </c>
      <c r="P3278" s="43">
        <f>IF($I3278=0,0,$Q3277*INDEX(DarlErsatzZins,7))</f>
      </c>
      <c r="Q3278" s="43">
        <f>IF($I3278=0,0,$Q3277+$P3278+$O3278)</f>
      </c>
      <c r="R3278" s="43">
        <f>IF($I3278=0,0,$J3278-$M3278-$N3278)</f>
      </c>
    </row>
    <row r="3279">
      <c r="A3279"/>
      <c r="B3279">
        <v>7</v>
      </c>
      <c r="C3279" s="43">
        <f>INDEX(DarlObj,7)</f>
      </c>
      <c r="D3279">
        <v>396</v>
      </c>
      <c r="E3279" s="51">
        <f>IF(INDEX(DarlBelegt,7)=0,0,EOMONTH(INDEX(DarlAuszahlung,7),395)+1)</f>
      </c>
      <c r="F3279" s="43">
        <f>IF($E3279=0,0,YEAR($E3279))</f>
      </c>
      <c r="G3279" s="43">
        <f>IF(INDEX(DarlBindung,7)="",1,IF($E3279&lt;=INDEX(DarlBindung,7),1,0))</f>
      </c>
      <c r="H3279" s="43">
        <f>IF($G3279=1,INDEX(DarlSollzins,7),INDEX(DarlAnschluss,7))</f>
      </c>
      <c r="I3279" s="43">
        <f>IF(INDEX(DarlBelegt,7)=0,0,IF(INDEX(DarlOhneTilgung,7)=1,IF(INDEX(DarlBindung,7)="",1,$G3279),IF($J3279&gt;0.005,1,0)))</f>
      </c>
      <c r="J3279" s="43">
        <f>IF($I3278=0,0,$R3278)</f>
      </c>
      <c r="K3279" s="43">
        <f>IF($I3279=0,0,IF(INDEX(DarlOhneTilgung,7)=1,0,IF(AND(INDEX(DarlTilgStart,7)&gt;0,$E3279=INDEX(DarlTilgStart,7)),$J3279*($H3279+INDEX(DarlTilgung,7))/100/12,IF(AND($G3279=0,$G3278=1),MAX($K3278,$J3279*($H3279+1)/100/12),$K3278))))</f>
      </c>
      <c r="L3279" s="43">
        <f>IF($I3279=0,0,$J3279*$H3279/100/12)</f>
      </c>
      <c r="M3279" s="43">
        <f>IF($I3279=0,0,IF(OR(INDEX(DarlOhneTilgung,7)=1,AND(INDEX(DarlTilgStart,7)&gt;0,$E3279&lt;INDEX(DarlTilgStart,7))),0,MIN(MAX(0,$K3279-$L3279),$J3279)))</f>
      </c>
      <c r="N3279" s="43">
        <f>IF($I3279=0,0,MIN(SUMIFS(SondBetrag,SondDarl,7,SondDatum,"&gt;="&amp;$E3279,SondDatum,"&lt;="&amp;EOMONTH($E3279,0)),$J3279-$M3279))</f>
      </c>
      <c r="O3279" s="43">
        <f>IF($I3279=0,0,INDEX(DarlErsatzRate,7))</f>
      </c>
      <c r="P3279" s="43">
        <f>IF($I3279=0,0,$Q3278*INDEX(DarlErsatzZins,7))</f>
      </c>
      <c r="Q3279" s="43">
        <f>IF($I3279=0,0,$Q3278+$P3279+$O3279)</f>
      </c>
      <c r="R3279" s="43">
        <f>IF($I3279=0,0,$J3279-$M3279-$N3279)</f>
      </c>
    </row>
    <row r="3280">
      <c r="A3280"/>
      <c r="B3280">
        <v>7</v>
      </c>
      <c r="C3280" s="43">
        <f>INDEX(DarlObj,7)</f>
      </c>
      <c r="D3280">
        <v>397</v>
      </c>
      <c r="E3280" s="51">
        <f>IF(INDEX(DarlBelegt,7)=0,0,EOMONTH(INDEX(DarlAuszahlung,7),396)+1)</f>
      </c>
      <c r="F3280" s="43">
        <f>IF($E3280=0,0,YEAR($E3280))</f>
      </c>
      <c r="G3280" s="43">
        <f>IF(INDEX(DarlBindung,7)="",1,IF($E3280&lt;=INDEX(DarlBindung,7),1,0))</f>
      </c>
      <c r="H3280" s="43">
        <f>IF($G3280=1,INDEX(DarlSollzins,7),INDEX(DarlAnschluss,7))</f>
      </c>
      <c r="I3280" s="43">
        <f>IF(INDEX(DarlBelegt,7)=0,0,IF(INDEX(DarlOhneTilgung,7)=1,IF(INDEX(DarlBindung,7)="",1,$G3280),IF($J3280&gt;0.005,1,0)))</f>
      </c>
      <c r="J3280" s="43">
        <f>IF($I3279=0,0,$R3279)</f>
      </c>
      <c r="K3280" s="43">
        <f>IF($I3280=0,0,IF(INDEX(DarlOhneTilgung,7)=1,0,IF(AND(INDEX(DarlTilgStart,7)&gt;0,$E3280=INDEX(DarlTilgStart,7)),$J3280*($H3280+INDEX(DarlTilgung,7))/100/12,IF(AND($G3280=0,$G3279=1),MAX($K3279,$J3280*($H3280+1)/100/12),$K3279))))</f>
      </c>
      <c r="L3280" s="43">
        <f>IF($I3280=0,0,$J3280*$H3280/100/12)</f>
      </c>
      <c r="M3280" s="43">
        <f>IF($I3280=0,0,IF(OR(INDEX(DarlOhneTilgung,7)=1,AND(INDEX(DarlTilgStart,7)&gt;0,$E3280&lt;INDEX(DarlTilgStart,7))),0,MIN(MAX(0,$K3280-$L3280),$J3280)))</f>
      </c>
      <c r="N3280" s="43">
        <f>IF($I3280=0,0,MIN(SUMIFS(SondBetrag,SondDarl,7,SondDatum,"&gt;="&amp;$E3280,SondDatum,"&lt;="&amp;EOMONTH($E3280,0)),$J3280-$M3280))</f>
      </c>
      <c r="O3280" s="43">
        <f>IF($I3280=0,0,INDEX(DarlErsatzRate,7))</f>
      </c>
      <c r="P3280" s="43">
        <f>IF($I3280=0,0,$Q3279*INDEX(DarlErsatzZins,7))</f>
      </c>
      <c r="Q3280" s="43">
        <f>IF($I3280=0,0,$Q3279+$P3280+$O3280)</f>
      </c>
      <c r="R3280" s="43">
        <f>IF($I3280=0,0,$J3280-$M3280-$N3280)</f>
      </c>
    </row>
    <row r="3281">
      <c r="A3281"/>
      <c r="B3281">
        <v>7</v>
      </c>
      <c r="C3281" s="43">
        <f>INDEX(DarlObj,7)</f>
      </c>
      <c r="D3281">
        <v>398</v>
      </c>
      <c r="E3281" s="51">
        <f>IF(INDEX(DarlBelegt,7)=0,0,EOMONTH(INDEX(DarlAuszahlung,7),397)+1)</f>
      </c>
      <c r="F3281" s="43">
        <f>IF($E3281=0,0,YEAR($E3281))</f>
      </c>
      <c r="G3281" s="43">
        <f>IF(INDEX(DarlBindung,7)="",1,IF($E3281&lt;=INDEX(DarlBindung,7),1,0))</f>
      </c>
      <c r="H3281" s="43">
        <f>IF($G3281=1,INDEX(DarlSollzins,7),INDEX(DarlAnschluss,7))</f>
      </c>
      <c r="I3281" s="43">
        <f>IF(INDEX(DarlBelegt,7)=0,0,IF(INDEX(DarlOhneTilgung,7)=1,IF(INDEX(DarlBindung,7)="",1,$G3281),IF($J3281&gt;0.005,1,0)))</f>
      </c>
      <c r="J3281" s="43">
        <f>IF($I3280=0,0,$R3280)</f>
      </c>
      <c r="K3281" s="43">
        <f>IF($I3281=0,0,IF(INDEX(DarlOhneTilgung,7)=1,0,IF(AND(INDEX(DarlTilgStart,7)&gt;0,$E3281=INDEX(DarlTilgStart,7)),$J3281*($H3281+INDEX(DarlTilgung,7))/100/12,IF(AND($G3281=0,$G3280=1),MAX($K3280,$J3281*($H3281+1)/100/12),$K3280))))</f>
      </c>
      <c r="L3281" s="43">
        <f>IF($I3281=0,0,$J3281*$H3281/100/12)</f>
      </c>
      <c r="M3281" s="43">
        <f>IF($I3281=0,0,IF(OR(INDEX(DarlOhneTilgung,7)=1,AND(INDEX(DarlTilgStart,7)&gt;0,$E3281&lt;INDEX(DarlTilgStart,7))),0,MIN(MAX(0,$K3281-$L3281),$J3281)))</f>
      </c>
      <c r="N3281" s="43">
        <f>IF($I3281=0,0,MIN(SUMIFS(SondBetrag,SondDarl,7,SondDatum,"&gt;="&amp;$E3281,SondDatum,"&lt;="&amp;EOMONTH($E3281,0)),$J3281-$M3281))</f>
      </c>
      <c r="O3281" s="43">
        <f>IF($I3281=0,0,INDEX(DarlErsatzRate,7))</f>
      </c>
      <c r="P3281" s="43">
        <f>IF($I3281=0,0,$Q3280*INDEX(DarlErsatzZins,7))</f>
      </c>
      <c r="Q3281" s="43">
        <f>IF($I3281=0,0,$Q3280+$P3281+$O3281)</f>
      </c>
      <c r="R3281" s="43">
        <f>IF($I3281=0,0,$J3281-$M3281-$N3281)</f>
      </c>
    </row>
    <row r="3282">
      <c r="A3282"/>
      <c r="B3282">
        <v>7</v>
      </c>
      <c r="C3282" s="43">
        <f>INDEX(DarlObj,7)</f>
      </c>
      <c r="D3282">
        <v>399</v>
      </c>
      <c r="E3282" s="51">
        <f>IF(INDEX(DarlBelegt,7)=0,0,EOMONTH(INDEX(DarlAuszahlung,7),398)+1)</f>
      </c>
      <c r="F3282" s="43">
        <f>IF($E3282=0,0,YEAR($E3282))</f>
      </c>
      <c r="G3282" s="43">
        <f>IF(INDEX(DarlBindung,7)="",1,IF($E3282&lt;=INDEX(DarlBindung,7),1,0))</f>
      </c>
      <c r="H3282" s="43">
        <f>IF($G3282=1,INDEX(DarlSollzins,7),INDEX(DarlAnschluss,7))</f>
      </c>
      <c r="I3282" s="43">
        <f>IF(INDEX(DarlBelegt,7)=0,0,IF(INDEX(DarlOhneTilgung,7)=1,IF(INDEX(DarlBindung,7)="",1,$G3282),IF($J3282&gt;0.005,1,0)))</f>
      </c>
      <c r="J3282" s="43">
        <f>IF($I3281=0,0,$R3281)</f>
      </c>
      <c r="K3282" s="43">
        <f>IF($I3282=0,0,IF(INDEX(DarlOhneTilgung,7)=1,0,IF(AND(INDEX(DarlTilgStart,7)&gt;0,$E3282=INDEX(DarlTilgStart,7)),$J3282*($H3282+INDEX(DarlTilgung,7))/100/12,IF(AND($G3282=0,$G3281=1),MAX($K3281,$J3282*($H3282+1)/100/12),$K3281))))</f>
      </c>
      <c r="L3282" s="43">
        <f>IF($I3282=0,0,$J3282*$H3282/100/12)</f>
      </c>
      <c r="M3282" s="43">
        <f>IF($I3282=0,0,IF(OR(INDEX(DarlOhneTilgung,7)=1,AND(INDEX(DarlTilgStart,7)&gt;0,$E3282&lt;INDEX(DarlTilgStart,7))),0,MIN(MAX(0,$K3282-$L3282),$J3282)))</f>
      </c>
      <c r="N3282" s="43">
        <f>IF($I3282=0,0,MIN(SUMIFS(SondBetrag,SondDarl,7,SondDatum,"&gt;="&amp;$E3282,SondDatum,"&lt;="&amp;EOMONTH($E3282,0)),$J3282-$M3282))</f>
      </c>
      <c r="O3282" s="43">
        <f>IF($I3282=0,0,INDEX(DarlErsatzRate,7))</f>
      </c>
      <c r="P3282" s="43">
        <f>IF($I3282=0,0,$Q3281*INDEX(DarlErsatzZins,7))</f>
      </c>
      <c r="Q3282" s="43">
        <f>IF($I3282=0,0,$Q3281+$P3282+$O3282)</f>
      </c>
      <c r="R3282" s="43">
        <f>IF($I3282=0,0,$J3282-$M3282-$N3282)</f>
      </c>
    </row>
    <row r="3283">
      <c r="A3283"/>
      <c r="B3283">
        <v>7</v>
      </c>
      <c r="C3283" s="43">
        <f>INDEX(DarlObj,7)</f>
      </c>
      <c r="D3283">
        <v>400</v>
      </c>
      <c r="E3283" s="51">
        <f>IF(INDEX(DarlBelegt,7)=0,0,EOMONTH(INDEX(DarlAuszahlung,7),399)+1)</f>
      </c>
      <c r="F3283" s="43">
        <f>IF($E3283=0,0,YEAR($E3283))</f>
      </c>
      <c r="G3283" s="43">
        <f>IF(INDEX(DarlBindung,7)="",1,IF($E3283&lt;=INDEX(DarlBindung,7),1,0))</f>
      </c>
      <c r="H3283" s="43">
        <f>IF($G3283=1,INDEX(DarlSollzins,7),INDEX(DarlAnschluss,7))</f>
      </c>
      <c r="I3283" s="43">
        <f>IF(INDEX(DarlBelegt,7)=0,0,IF(INDEX(DarlOhneTilgung,7)=1,IF(INDEX(DarlBindung,7)="",1,$G3283),IF($J3283&gt;0.005,1,0)))</f>
      </c>
      <c r="J3283" s="43">
        <f>IF($I3282=0,0,$R3282)</f>
      </c>
      <c r="K3283" s="43">
        <f>IF($I3283=0,0,IF(INDEX(DarlOhneTilgung,7)=1,0,IF(AND(INDEX(DarlTilgStart,7)&gt;0,$E3283=INDEX(DarlTilgStart,7)),$J3283*($H3283+INDEX(DarlTilgung,7))/100/12,IF(AND($G3283=0,$G3282=1),MAX($K3282,$J3283*($H3283+1)/100/12),$K3282))))</f>
      </c>
      <c r="L3283" s="43">
        <f>IF($I3283=0,0,$J3283*$H3283/100/12)</f>
      </c>
      <c r="M3283" s="43">
        <f>IF($I3283=0,0,IF(OR(INDEX(DarlOhneTilgung,7)=1,AND(INDEX(DarlTilgStart,7)&gt;0,$E3283&lt;INDEX(DarlTilgStart,7))),0,MIN(MAX(0,$K3283-$L3283),$J3283)))</f>
      </c>
      <c r="N3283" s="43">
        <f>IF($I3283=0,0,MIN(SUMIFS(SondBetrag,SondDarl,7,SondDatum,"&gt;="&amp;$E3283,SondDatum,"&lt;="&amp;EOMONTH($E3283,0)),$J3283-$M3283))</f>
      </c>
      <c r="O3283" s="43">
        <f>IF($I3283=0,0,INDEX(DarlErsatzRate,7))</f>
      </c>
      <c r="P3283" s="43">
        <f>IF($I3283=0,0,$Q3282*INDEX(DarlErsatzZins,7))</f>
      </c>
      <c r="Q3283" s="43">
        <f>IF($I3283=0,0,$Q3282+$P3283+$O3283)</f>
      </c>
      <c r="R3283" s="43">
        <f>IF($I3283=0,0,$J3283-$M3283-$N3283)</f>
      </c>
    </row>
    <row r="3284">
      <c r="A3284"/>
      <c r="B3284">
        <v>7</v>
      </c>
      <c r="C3284" s="43">
        <f>INDEX(DarlObj,7)</f>
      </c>
      <c r="D3284">
        <v>401</v>
      </c>
      <c r="E3284" s="51">
        <f>IF(INDEX(DarlBelegt,7)=0,0,EOMONTH(INDEX(DarlAuszahlung,7),400)+1)</f>
      </c>
      <c r="F3284" s="43">
        <f>IF($E3284=0,0,YEAR($E3284))</f>
      </c>
      <c r="G3284" s="43">
        <f>IF(INDEX(DarlBindung,7)="",1,IF($E3284&lt;=INDEX(DarlBindung,7),1,0))</f>
      </c>
      <c r="H3284" s="43">
        <f>IF($G3284=1,INDEX(DarlSollzins,7),INDEX(DarlAnschluss,7))</f>
      </c>
      <c r="I3284" s="43">
        <f>IF(INDEX(DarlBelegt,7)=0,0,IF(INDEX(DarlOhneTilgung,7)=1,IF(INDEX(DarlBindung,7)="",1,$G3284),IF($J3284&gt;0.005,1,0)))</f>
      </c>
      <c r="J3284" s="43">
        <f>IF($I3283=0,0,$R3283)</f>
      </c>
      <c r="K3284" s="43">
        <f>IF($I3284=0,0,IF(INDEX(DarlOhneTilgung,7)=1,0,IF(AND(INDEX(DarlTilgStart,7)&gt;0,$E3284=INDEX(DarlTilgStart,7)),$J3284*($H3284+INDEX(DarlTilgung,7))/100/12,IF(AND($G3284=0,$G3283=1),MAX($K3283,$J3284*($H3284+1)/100/12),$K3283))))</f>
      </c>
      <c r="L3284" s="43">
        <f>IF($I3284=0,0,$J3284*$H3284/100/12)</f>
      </c>
      <c r="M3284" s="43">
        <f>IF($I3284=0,0,IF(OR(INDEX(DarlOhneTilgung,7)=1,AND(INDEX(DarlTilgStart,7)&gt;0,$E3284&lt;INDEX(DarlTilgStart,7))),0,MIN(MAX(0,$K3284-$L3284),$J3284)))</f>
      </c>
      <c r="N3284" s="43">
        <f>IF($I3284=0,0,MIN(SUMIFS(SondBetrag,SondDarl,7,SondDatum,"&gt;="&amp;$E3284,SondDatum,"&lt;="&amp;EOMONTH($E3284,0)),$J3284-$M3284))</f>
      </c>
      <c r="O3284" s="43">
        <f>IF($I3284=0,0,INDEX(DarlErsatzRate,7))</f>
      </c>
      <c r="P3284" s="43">
        <f>IF($I3284=0,0,$Q3283*INDEX(DarlErsatzZins,7))</f>
      </c>
      <c r="Q3284" s="43">
        <f>IF($I3284=0,0,$Q3283+$P3284+$O3284)</f>
      </c>
      <c r="R3284" s="43">
        <f>IF($I3284=0,0,$J3284-$M3284-$N3284)</f>
      </c>
    </row>
    <row r="3285">
      <c r="A3285"/>
      <c r="B3285">
        <v>7</v>
      </c>
      <c r="C3285" s="43">
        <f>INDEX(DarlObj,7)</f>
      </c>
      <c r="D3285">
        <v>402</v>
      </c>
      <c r="E3285" s="51">
        <f>IF(INDEX(DarlBelegt,7)=0,0,EOMONTH(INDEX(DarlAuszahlung,7),401)+1)</f>
      </c>
      <c r="F3285" s="43">
        <f>IF($E3285=0,0,YEAR($E3285))</f>
      </c>
      <c r="G3285" s="43">
        <f>IF(INDEX(DarlBindung,7)="",1,IF($E3285&lt;=INDEX(DarlBindung,7),1,0))</f>
      </c>
      <c r="H3285" s="43">
        <f>IF($G3285=1,INDEX(DarlSollzins,7),INDEX(DarlAnschluss,7))</f>
      </c>
      <c r="I3285" s="43">
        <f>IF(INDEX(DarlBelegt,7)=0,0,IF(INDEX(DarlOhneTilgung,7)=1,IF(INDEX(DarlBindung,7)="",1,$G3285),IF($J3285&gt;0.005,1,0)))</f>
      </c>
      <c r="J3285" s="43">
        <f>IF($I3284=0,0,$R3284)</f>
      </c>
      <c r="K3285" s="43">
        <f>IF($I3285=0,0,IF(INDEX(DarlOhneTilgung,7)=1,0,IF(AND(INDEX(DarlTilgStart,7)&gt;0,$E3285=INDEX(DarlTilgStart,7)),$J3285*($H3285+INDEX(DarlTilgung,7))/100/12,IF(AND($G3285=0,$G3284=1),MAX($K3284,$J3285*($H3285+1)/100/12),$K3284))))</f>
      </c>
      <c r="L3285" s="43">
        <f>IF($I3285=0,0,$J3285*$H3285/100/12)</f>
      </c>
      <c r="M3285" s="43">
        <f>IF($I3285=0,0,IF(OR(INDEX(DarlOhneTilgung,7)=1,AND(INDEX(DarlTilgStart,7)&gt;0,$E3285&lt;INDEX(DarlTilgStart,7))),0,MIN(MAX(0,$K3285-$L3285),$J3285)))</f>
      </c>
      <c r="N3285" s="43">
        <f>IF($I3285=0,0,MIN(SUMIFS(SondBetrag,SondDarl,7,SondDatum,"&gt;="&amp;$E3285,SondDatum,"&lt;="&amp;EOMONTH($E3285,0)),$J3285-$M3285))</f>
      </c>
      <c r="O3285" s="43">
        <f>IF($I3285=0,0,INDEX(DarlErsatzRate,7))</f>
      </c>
      <c r="P3285" s="43">
        <f>IF($I3285=0,0,$Q3284*INDEX(DarlErsatzZins,7))</f>
      </c>
      <c r="Q3285" s="43">
        <f>IF($I3285=0,0,$Q3284+$P3285+$O3285)</f>
      </c>
      <c r="R3285" s="43">
        <f>IF($I3285=0,0,$J3285-$M3285-$N3285)</f>
      </c>
    </row>
    <row r="3286">
      <c r="A3286"/>
      <c r="B3286">
        <v>7</v>
      </c>
      <c r="C3286" s="43">
        <f>INDEX(DarlObj,7)</f>
      </c>
      <c r="D3286">
        <v>403</v>
      </c>
      <c r="E3286" s="51">
        <f>IF(INDEX(DarlBelegt,7)=0,0,EOMONTH(INDEX(DarlAuszahlung,7),402)+1)</f>
      </c>
      <c r="F3286" s="43">
        <f>IF($E3286=0,0,YEAR($E3286))</f>
      </c>
      <c r="G3286" s="43">
        <f>IF(INDEX(DarlBindung,7)="",1,IF($E3286&lt;=INDEX(DarlBindung,7),1,0))</f>
      </c>
      <c r="H3286" s="43">
        <f>IF($G3286=1,INDEX(DarlSollzins,7),INDEX(DarlAnschluss,7))</f>
      </c>
      <c r="I3286" s="43">
        <f>IF(INDEX(DarlBelegt,7)=0,0,IF(INDEX(DarlOhneTilgung,7)=1,IF(INDEX(DarlBindung,7)="",1,$G3286),IF($J3286&gt;0.005,1,0)))</f>
      </c>
      <c r="J3286" s="43">
        <f>IF($I3285=0,0,$R3285)</f>
      </c>
      <c r="K3286" s="43">
        <f>IF($I3286=0,0,IF(INDEX(DarlOhneTilgung,7)=1,0,IF(AND(INDEX(DarlTilgStart,7)&gt;0,$E3286=INDEX(DarlTilgStart,7)),$J3286*($H3286+INDEX(DarlTilgung,7))/100/12,IF(AND($G3286=0,$G3285=1),MAX($K3285,$J3286*($H3286+1)/100/12),$K3285))))</f>
      </c>
      <c r="L3286" s="43">
        <f>IF($I3286=0,0,$J3286*$H3286/100/12)</f>
      </c>
      <c r="M3286" s="43">
        <f>IF($I3286=0,0,IF(OR(INDEX(DarlOhneTilgung,7)=1,AND(INDEX(DarlTilgStart,7)&gt;0,$E3286&lt;INDEX(DarlTilgStart,7))),0,MIN(MAX(0,$K3286-$L3286),$J3286)))</f>
      </c>
      <c r="N3286" s="43">
        <f>IF($I3286=0,0,MIN(SUMIFS(SondBetrag,SondDarl,7,SondDatum,"&gt;="&amp;$E3286,SondDatum,"&lt;="&amp;EOMONTH($E3286,0)),$J3286-$M3286))</f>
      </c>
      <c r="O3286" s="43">
        <f>IF($I3286=0,0,INDEX(DarlErsatzRate,7))</f>
      </c>
      <c r="P3286" s="43">
        <f>IF($I3286=0,0,$Q3285*INDEX(DarlErsatzZins,7))</f>
      </c>
      <c r="Q3286" s="43">
        <f>IF($I3286=0,0,$Q3285+$P3286+$O3286)</f>
      </c>
      <c r="R3286" s="43">
        <f>IF($I3286=0,0,$J3286-$M3286-$N3286)</f>
      </c>
    </row>
    <row r="3287">
      <c r="A3287"/>
      <c r="B3287">
        <v>7</v>
      </c>
      <c r="C3287" s="43">
        <f>INDEX(DarlObj,7)</f>
      </c>
      <c r="D3287">
        <v>404</v>
      </c>
      <c r="E3287" s="51">
        <f>IF(INDEX(DarlBelegt,7)=0,0,EOMONTH(INDEX(DarlAuszahlung,7),403)+1)</f>
      </c>
      <c r="F3287" s="43">
        <f>IF($E3287=0,0,YEAR($E3287))</f>
      </c>
      <c r="G3287" s="43">
        <f>IF(INDEX(DarlBindung,7)="",1,IF($E3287&lt;=INDEX(DarlBindung,7),1,0))</f>
      </c>
      <c r="H3287" s="43">
        <f>IF($G3287=1,INDEX(DarlSollzins,7),INDEX(DarlAnschluss,7))</f>
      </c>
      <c r="I3287" s="43">
        <f>IF(INDEX(DarlBelegt,7)=0,0,IF(INDEX(DarlOhneTilgung,7)=1,IF(INDEX(DarlBindung,7)="",1,$G3287),IF($J3287&gt;0.005,1,0)))</f>
      </c>
      <c r="J3287" s="43">
        <f>IF($I3286=0,0,$R3286)</f>
      </c>
      <c r="K3287" s="43">
        <f>IF($I3287=0,0,IF(INDEX(DarlOhneTilgung,7)=1,0,IF(AND(INDEX(DarlTilgStart,7)&gt;0,$E3287=INDEX(DarlTilgStart,7)),$J3287*($H3287+INDEX(DarlTilgung,7))/100/12,IF(AND($G3287=0,$G3286=1),MAX($K3286,$J3287*($H3287+1)/100/12),$K3286))))</f>
      </c>
      <c r="L3287" s="43">
        <f>IF($I3287=0,0,$J3287*$H3287/100/12)</f>
      </c>
      <c r="M3287" s="43">
        <f>IF($I3287=0,0,IF(OR(INDEX(DarlOhneTilgung,7)=1,AND(INDEX(DarlTilgStart,7)&gt;0,$E3287&lt;INDEX(DarlTilgStart,7))),0,MIN(MAX(0,$K3287-$L3287),$J3287)))</f>
      </c>
      <c r="N3287" s="43">
        <f>IF($I3287=0,0,MIN(SUMIFS(SondBetrag,SondDarl,7,SondDatum,"&gt;="&amp;$E3287,SondDatum,"&lt;="&amp;EOMONTH($E3287,0)),$J3287-$M3287))</f>
      </c>
      <c r="O3287" s="43">
        <f>IF($I3287=0,0,INDEX(DarlErsatzRate,7))</f>
      </c>
      <c r="P3287" s="43">
        <f>IF($I3287=0,0,$Q3286*INDEX(DarlErsatzZins,7))</f>
      </c>
      <c r="Q3287" s="43">
        <f>IF($I3287=0,0,$Q3286+$P3287+$O3287)</f>
      </c>
      <c r="R3287" s="43">
        <f>IF($I3287=0,0,$J3287-$M3287-$N3287)</f>
      </c>
    </row>
    <row r="3288">
      <c r="A3288"/>
      <c r="B3288">
        <v>7</v>
      </c>
      <c r="C3288" s="43">
        <f>INDEX(DarlObj,7)</f>
      </c>
      <c r="D3288">
        <v>405</v>
      </c>
      <c r="E3288" s="51">
        <f>IF(INDEX(DarlBelegt,7)=0,0,EOMONTH(INDEX(DarlAuszahlung,7),404)+1)</f>
      </c>
      <c r="F3288" s="43">
        <f>IF($E3288=0,0,YEAR($E3288))</f>
      </c>
      <c r="G3288" s="43">
        <f>IF(INDEX(DarlBindung,7)="",1,IF($E3288&lt;=INDEX(DarlBindung,7),1,0))</f>
      </c>
      <c r="H3288" s="43">
        <f>IF($G3288=1,INDEX(DarlSollzins,7),INDEX(DarlAnschluss,7))</f>
      </c>
      <c r="I3288" s="43">
        <f>IF(INDEX(DarlBelegt,7)=0,0,IF(INDEX(DarlOhneTilgung,7)=1,IF(INDEX(DarlBindung,7)="",1,$G3288),IF($J3288&gt;0.005,1,0)))</f>
      </c>
      <c r="J3288" s="43">
        <f>IF($I3287=0,0,$R3287)</f>
      </c>
      <c r="K3288" s="43">
        <f>IF($I3288=0,0,IF(INDEX(DarlOhneTilgung,7)=1,0,IF(AND(INDEX(DarlTilgStart,7)&gt;0,$E3288=INDEX(DarlTilgStart,7)),$J3288*($H3288+INDEX(DarlTilgung,7))/100/12,IF(AND($G3288=0,$G3287=1),MAX($K3287,$J3288*($H3288+1)/100/12),$K3287))))</f>
      </c>
      <c r="L3288" s="43">
        <f>IF($I3288=0,0,$J3288*$H3288/100/12)</f>
      </c>
      <c r="M3288" s="43">
        <f>IF($I3288=0,0,IF(OR(INDEX(DarlOhneTilgung,7)=1,AND(INDEX(DarlTilgStart,7)&gt;0,$E3288&lt;INDEX(DarlTilgStart,7))),0,MIN(MAX(0,$K3288-$L3288),$J3288)))</f>
      </c>
      <c r="N3288" s="43">
        <f>IF($I3288=0,0,MIN(SUMIFS(SondBetrag,SondDarl,7,SondDatum,"&gt;="&amp;$E3288,SondDatum,"&lt;="&amp;EOMONTH($E3288,0)),$J3288-$M3288))</f>
      </c>
      <c r="O3288" s="43">
        <f>IF($I3288=0,0,INDEX(DarlErsatzRate,7))</f>
      </c>
      <c r="P3288" s="43">
        <f>IF($I3288=0,0,$Q3287*INDEX(DarlErsatzZins,7))</f>
      </c>
      <c r="Q3288" s="43">
        <f>IF($I3288=0,0,$Q3287+$P3288+$O3288)</f>
      </c>
      <c r="R3288" s="43">
        <f>IF($I3288=0,0,$J3288-$M3288-$N3288)</f>
      </c>
    </row>
    <row r="3289">
      <c r="A3289"/>
      <c r="B3289">
        <v>7</v>
      </c>
      <c r="C3289" s="43">
        <f>INDEX(DarlObj,7)</f>
      </c>
      <c r="D3289">
        <v>406</v>
      </c>
      <c r="E3289" s="51">
        <f>IF(INDEX(DarlBelegt,7)=0,0,EOMONTH(INDEX(DarlAuszahlung,7),405)+1)</f>
      </c>
      <c r="F3289" s="43">
        <f>IF($E3289=0,0,YEAR($E3289))</f>
      </c>
      <c r="G3289" s="43">
        <f>IF(INDEX(DarlBindung,7)="",1,IF($E3289&lt;=INDEX(DarlBindung,7),1,0))</f>
      </c>
      <c r="H3289" s="43">
        <f>IF($G3289=1,INDEX(DarlSollzins,7),INDEX(DarlAnschluss,7))</f>
      </c>
      <c r="I3289" s="43">
        <f>IF(INDEX(DarlBelegt,7)=0,0,IF(INDEX(DarlOhneTilgung,7)=1,IF(INDEX(DarlBindung,7)="",1,$G3289),IF($J3289&gt;0.005,1,0)))</f>
      </c>
      <c r="J3289" s="43">
        <f>IF($I3288=0,0,$R3288)</f>
      </c>
      <c r="K3289" s="43">
        <f>IF($I3289=0,0,IF(INDEX(DarlOhneTilgung,7)=1,0,IF(AND(INDEX(DarlTilgStart,7)&gt;0,$E3289=INDEX(DarlTilgStart,7)),$J3289*($H3289+INDEX(DarlTilgung,7))/100/12,IF(AND($G3289=0,$G3288=1),MAX($K3288,$J3289*($H3289+1)/100/12),$K3288))))</f>
      </c>
      <c r="L3289" s="43">
        <f>IF($I3289=0,0,$J3289*$H3289/100/12)</f>
      </c>
      <c r="M3289" s="43">
        <f>IF($I3289=0,0,IF(OR(INDEX(DarlOhneTilgung,7)=1,AND(INDEX(DarlTilgStart,7)&gt;0,$E3289&lt;INDEX(DarlTilgStart,7))),0,MIN(MAX(0,$K3289-$L3289),$J3289)))</f>
      </c>
      <c r="N3289" s="43">
        <f>IF($I3289=0,0,MIN(SUMIFS(SondBetrag,SondDarl,7,SondDatum,"&gt;="&amp;$E3289,SondDatum,"&lt;="&amp;EOMONTH($E3289,0)),$J3289-$M3289))</f>
      </c>
      <c r="O3289" s="43">
        <f>IF($I3289=0,0,INDEX(DarlErsatzRate,7))</f>
      </c>
      <c r="P3289" s="43">
        <f>IF($I3289=0,0,$Q3288*INDEX(DarlErsatzZins,7))</f>
      </c>
      <c r="Q3289" s="43">
        <f>IF($I3289=0,0,$Q3288+$P3289+$O3289)</f>
      </c>
      <c r="R3289" s="43">
        <f>IF($I3289=0,0,$J3289-$M3289-$N3289)</f>
      </c>
    </row>
    <row r="3290">
      <c r="A3290"/>
      <c r="B3290">
        <v>7</v>
      </c>
      <c r="C3290" s="43">
        <f>INDEX(DarlObj,7)</f>
      </c>
      <c r="D3290">
        <v>407</v>
      </c>
      <c r="E3290" s="51">
        <f>IF(INDEX(DarlBelegt,7)=0,0,EOMONTH(INDEX(DarlAuszahlung,7),406)+1)</f>
      </c>
      <c r="F3290" s="43">
        <f>IF($E3290=0,0,YEAR($E3290))</f>
      </c>
      <c r="G3290" s="43">
        <f>IF(INDEX(DarlBindung,7)="",1,IF($E3290&lt;=INDEX(DarlBindung,7),1,0))</f>
      </c>
      <c r="H3290" s="43">
        <f>IF($G3290=1,INDEX(DarlSollzins,7),INDEX(DarlAnschluss,7))</f>
      </c>
      <c r="I3290" s="43">
        <f>IF(INDEX(DarlBelegt,7)=0,0,IF(INDEX(DarlOhneTilgung,7)=1,IF(INDEX(DarlBindung,7)="",1,$G3290),IF($J3290&gt;0.005,1,0)))</f>
      </c>
      <c r="J3290" s="43">
        <f>IF($I3289=0,0,$R3289)</f>
      </c>
      <c r="K3290" s="43">
        <f>IF($I3290=0,0,IF(INDEX(DarlOhneTilgung,7)=1,0,IF(AND(INDEX(DarlTilgStart,7)&gt;0,$E3290=INDEX(DarlTilgStart,7)),$J3290*($H3290+INDEX(DarlTilgung,7))/100/12,IF(AND($G3290=0,$G3289=1),MAX($K3289,$J3290*($H3290+1)/100/12),$K3289))))</f>
      </c>
      <c r="L3290" s="43">
        <f>IF($I3290=0,0,$J3290*$H3290/100/12)</f>
      </c>
      <c r="M3290" s="43">
        <f>IF($I3290=0,0,IF(OR(INDEX(DarlOhneTilgung,7)=1,AND(INDEX(DarlTilgStart,7)&gt;0,$E3290&lt;INDEX(DarlTilgStart,7))),0,MIN(MAX(0,$K3290-$L3290),$J3290)))</f>
      </c>
      <c r="N3290" s="43">
        <f>IF($I3290=0,0,MIN(SUMIFS(SondBetrag,SondDarl,7,SondDatum,"&gt;="&amp;$E3290,SondDatum,"&lt;="&amp;EOMONTH($E3290,0)),$J3290-$M3290))</f>
      </c>
      <c r="O3290" s="43">
        <f>IF($I3290=0,0,INDEX(DarlErsatzRate,7))</f>
      </c>
      <c r="P3290" s="43">
        <f>IF($I3290=0,0,$Q3289*INDEX(DarlErsatzZins,7))</f>
      </c>
      <c r="Q3290" s="43">
        <f>IF($I3290=0,0,$Q3289+$P3290+$O3290)</f>
      </c>
      <c r="R3290" s="43">
        <f>IF($I3290=0,0,$J3290-$M3290-$N3290)</f>
      </c>
    </row>
    <row r="3291">
      <c r="A3291"/>
      <c r="B3291">
        <v>7</v>
      </c>
      <c r="C3291" s="43">
        <f>INDEX(DarlObj,7)</f>
      </c>
      <c r="D3291">
        <v>408</v>
      </c>
      <c r="E3291" s="51">
        <f>IF(INDEX(DarlBelegt,7)=0,0,EOMONTH(INDEX(DarlAuszahlung,7),407)+1)</f>
      </c>
      <c r="F3291" s="43">
        <f>IF($E3291=0,0,YEAR($E3291))</f>
      </c>
      <c r="G3291" s="43">
        <f>IF(INDEX(DarlBindung,7)="",1,IF($E3291&lt;=INDEX(DarlBindung,7),1,0))</f>
      </c>
      <c r="H3291" s="43">
        <f>IF($G3291=1,INDEX(DarlSollzins,7),INDEX(DarlAnschluss,7))</f>
      </c>
      <c r="I3291" s="43">
        <f>IF(INDEX(DarlBelegt,7)=0,0,IF(INDEX(DarlOhneTilgung,7)=1,IF(INDEX(DarlBindung,7)="",1,$G3291),IF($J3291&gt;0.005,1,0)))</f>
      </c>
      <c r="J3291" s="43">
        <f>IF($I3290=0,0,$R3290)</f>
      </c>
      <c r="K3291" s="43">
        <f>IF($I3291=0,0,IF(INDEX(DarlOhneTilgung,7)=1,0,IF(AND(INDEX(DarlTilgStart,7)&gt;0,$E3291=INDEX(DarlTilgStart,7)),$J3291*($H3291+INDEX(DarlTilgung,7))/100/12,IF(AND($G3291=0,$G3290=1),MAX($K3290,$J3291*($H3291+1)/100/12),$K3290))))</f>
      </c>
      <c r="L3291" s="43">
        <f>IF($I3291=0,0,$J3291*$H3291/100/12)</f>
      </c>
      <c r="M3291" s="43">
        <f>IF($I3291=0,0,IF(OR(INDEX(DarlOhneTilgung,7)=1,AND(INDEX(DarlTilgStart,7)&gt;0,$E3291&lt;INDEX(DarlTilgStart,7))),0,MIN(MAX(0,$K3291-$L3291),$J3291)))</f>
      </c>
      <c r="N3291" s="43">
        <f>IF($I3291=0,0,MIN(SUMIFS(SondBetrag,SondDarl,7,SondDatum,"&gt;="&amp;$E3291,SondDatum,"&lt;="&amp;EOMONTH($E3291,0)),$J3291-$M3291))</f>
      </c>
      <c r="O3291" s="43">
        <f>IF($I3291=0,0,INDEX(DarlErsatzRate,7))</f>
      </c>
      <c r="P3291" s="43">
        <f>IF($I3291=0,0,$Q3290*INDEX(DarlErsatzZins,7))</f>
      </c>
      <c r="Q3291" s="43">
        <f>IF($I3291=0,0,$Q3290+$P3291+$O3291)</f>
      </c>
      <c r="R3291" s="43">
        <f>IF($I3291=0,0,$J3291-$M3291-$N3291)</f>
      </c>
    </row>
    <row r="3292">
      <c r="A3292"/>
      <c r="B3292">
        <v>7</v>
      </c>
      <c r="C3292" s="43">
        <f>INDEX(DarlObj,7)</f>
      </c>
      <c r="D3292">
        <v>409</v>
      </c>
      <c r="E3292" s="51">
        <f>IF(INDEX(DarlBelegt,7)=0,0,EOMONTH(INDEX(DarlAuszahlung,7),408)+1)</f>
      </c>
      <c r="F3292" s="43">
        <f>IF($E3292=0,0,YEAR($E3292))</f>
      </c>
      <c r="G3292" s="43">
        <f>IF(INDEX(DarlBindung,7)="",1,IF($E3292&lt;=INDEX(DarlBindung,7),1,0))</f>
      </c>
      <c r="H3292" s="43">
        <f>IF($G3292=1,INDEX(DarlSollzins,7),INDEX(DarlAnschluss,7))</f>
      </c>
      <c r="I3292" s="43">
        <f>IF(INDEX(DarlBelegt,7)=0,0,IF(INDEX(DarlOhneTilgung,7)=1,IF(INDEX(DarlBindung,7)="",1,$G3292),IF($J3292&gt;0.005,1,0)))</f>
      </c>
      <c r="J3292" s="43">
        <f>IF($I3291=0,0,$R3291)</f>
      </c>
      <c r="K3292" s="43">
        <f>IF($I3292=0,0,IF(INDEX(DarlOhneTilgung,7)=1,0,IF(AND(INDEX(DarlTilgStart,7)&gt;0,$E3292=INDEX(DarlTilgStart,7)),$J3292*($H3292+INDEX(DarlTilgung,7))/100/12,IF(AND($G3292=0,$G3291=1),MAX($K3291,$J3292*($H3292+1)/100/12),$K3291))))</f>
      </c>
      <c r="L3292" s="43">
        <f>IF($I3292=0,0,$J3292*$H3292/100/12)</f>
      </c>
      <c r="M3292" s="43">
        <f>IF($I3292=0,0,IF(OR(INDEX(DarlOhneTilgung,7)=1,AND(INDEX(DarlTilgStart,7)&gt;0,$E3292&lt;INDEX(DarlTilgStart,7))),0,MIN(MAX(0,$K3292-$L3292),$J3292)))</f>
      </c>
      <c r="N3292" s="43">
        <f>IF($I3292=0,0,MIN(SUMIFS(SondBetrag,SondDarl,7,SondDatum,"&gt;="&amp;$E3292,SondDatum,"&lt;="&amp;EOMONTH($E3292,0)),$J3292-$M3292))</f>
      </c>
      <c r="O3292" s="43">
        <f>IF($I3292=0,0,INDEX(DarlErsatzRate,7))</f>
      </c>
      <c r="P3292" s="43">
        <f>IF($I3292=0,0,$Q3291*INDEX(DarlErsatzZins,7))</f>
      </c>
      <c r="Q3292" s="43">
        <f>IF($I3292=0,0,$Q3291+$P3292+$O3292)</f>
      </c>
      <c r="R3292" s="43">
        <f>IF($I3292=0,0,$J3292-$M3292-$N3292)</f>
      </c>
    </row>
    <row r="3293">
      <c r="A3293"/>
      <c r="B3293">
        <v>7</v>
      </c>
      <c r="C3293" s="43">
        <f>INDEX(DarlObj,7)</f>
      </c>
      <c r="D3293">
        <v>410</v>
      </c>
      <c r="E3293" s="51">
        <f>IF(INDEX(DarlBelegt,7)=0,0,EOMONTH(INDEX(DarlAuszahlung,7),409)+1)</f>
      </c>
      <c r="F3293" s="43">
        <f>IF($E3293=0,0,YEAR($E3293))</f>
      </c>
      <c r="G3293" s="43">
        <f>IF(INDEX(DarlBindung,7)="",1,IF($E3293&lt;=INDEX(DarlBindung,7),1,0))</f>
      </c>
      <c r="H3293" s="43">
        <f>IF($G3293=1,INDEX(DarlSollzins,7),INDEX(DarlAnschluss,7))</f>
      </c>
      <c r="I3293" s="43">
        <f>IF(INDEX(DarlBelegt,7)=0,0,IF(INDEX(DarlOhneTilgung,7)=1,IF(INDEX(DarlBindung,7)="",1,$G3293),IF($J3293&gt;0.005,1,0)))</f>
      </c>
      <c r="J3293" s="43">
        <f>IF($I3292=0,0,$R3292)</f>
      </c>
      <c r="K3293" s="43">
        <f>IF($I3293=0,0,IF(INDEX(DarlOhneTilgung,7)=1,0,IF(AND(INDEX(DarlTilgStart,7)&gt;0,$E3293=INDEX(DarlTilgStart,7)),$J3293*($H3293+INDEX(DarlTilgung,7))/100/12,IF(AND($G3293=0,$G3292=1),MAX($K3292,$J3293*($H3293+1)/100/12),$K3292))))</f>
      </c>
      <c r="L3293" s="43">
        <f>IF($I3293=0,0,$J3293*$H3293/100/12)</f>
      </c>
      <c r="M3293" s="43">
        <f>IF($I3293=0,0,IF(OR(INDEX(DarlOhneTilgung,7)=1,AND(INDEX(DarlTilgStart,7)&gt;0,$E3293&lt;INDEX(DarlTilgStart,7))),0,MIN(MAX(0,$K3293-$L3293),$J3293)))</f>
      </c>
      <c r="N3293" s="43">
        <f>IF($I3293=0,0,MIN(SUMIFS(SondBetrag,SondDarl,7,SondDatum,"&gt;="&amp;$E3293,SondDatum,"&lt;="&amp;EOMONTH($E3293,0)),$J3293-$M3293))</f>
      </c>
      <c r="O3293" s="43">
        <f>IF($I3293=0,0,INDEX(DarlErsatzRate,7))</f>
      </c>
      <c r="P3293" s="43">
        <f>IF($I3293=0,0,$Q3292*INDEX(DarlErsatzZins,7))</f>
      </c>
      <c r="Q3293" s="43">
        <f>IF($I3293=0,0,$Q3292+$P3293+$O3293)</f>
      </c>
      <c r="R3293" s="43">
        <f>IF($I3293=0,0,$J3293-$M3293-$N3293)</f>
      </c>
    </row>
    <row r="3294">
      <c r="A3294"/>
      <c r="B3294">
        <v>7</v>
      </c>
      <c r="C3294" s="43">
        <f>INDEX(DarlObj,7)</f>
      </c>
      <c r="D3294">
        <v>411</v>
      </c>
      <c r="E3294" s="51">
        <f>IF(INDEX(DarlBelegt,7)=0,0,EOMONTH(INDEX(DarlAuszahlung,7),410)+1)</f>
      </c>
      <c r="F3294" s="43">
        <f>IF($E3294=0,0,YEAR($E3294))</f>
      </c>
      <c r="G3294" s="43">
        <f>IF(INDEX(DarlBindung,7)="",1,IF($E3294&lt;=INDEX(DarlBindung,7),1,0))</f>
      </c>
      <c r="H3294" s="43">
        <f>IF($G3294=1,INDEX(DarlSollzins,7),INDEX(DarlAnschluss,7))</f>
      </c>
      <c r="I3294" s="43">
        <f>IF(INDEX(DarlBelegt,7)=0,0,IF(INDEX(DarlOhneTilgung,7)=1,IF(INDEX(DarlBindung,7)="",1,$G3294),IF($J3294&gt;0.005,1,0)))</f>
      </c>
      <c r="J3294" s="43">
        <f>IF($I3293=0,0,$R3293)</f>
      </c>
      <c r="K3294" s="43">
        <f>IF($I3294=0,0,IF(INDEX(DarlOhneTilgung,7)=1,0,IF(AND(INDEX(DarlTilgStart,7)&gt;0,$E3294=INDEX(DarlTilgStart,7)),$J3294*($H3294+INDEX(DarlTilgung,7))/100/12,IF(AND($G3294=0,$G3293=1),MAX($K3293,$J3294*($H3294+1)/100/12),$K3293))))</f>
      </c>
      <c r="L3294" s="43">
        <f>IF($I3294=0,0,$J3294*$H3294/100/12)</f>
      </c>
      <c r="M3294" s="43">
        <f>IF($I3294=0,0,IF(OR(INDEX(DarlOhneTilgung,7)=1,AND(INDEX(DarlTilgStart,7)&gt;0,$E3294&lt;INDEX(DarlTilgStart,7))),0,MIN(MAX(0,$K3294-$L3294),$J3294)))</f>
      </c>
      <c r="N3294" s="43">
        <f>IF($I3294=0,0,MIN(SUMIFS(SondBetrag,SondDarl,7,SondDatum,"&gt;="&amp;$E3294,SondDatum,"&lt;="&amp;EOMONTH($E3294,0)),$J3294-$M3294))</f>
      </c>
      <c r="O3294" s="43">
        <f>IF($I3294=0,0,INDEX(DarlErsatzRate,7))</f>
      </c>
      <c r="P3294" s="43">
        <f>IF($I3294=0,0,$Q3293*INDEX(DarlErsatzZins,7))</f>
      </c>
      <c r="Q3294" s="43">
        <f>IF($I3294=0,0,$Q3293+$P3294+$O3294)</f>
      </c>
      <c r="R3294" s="43">
        <f>IF($I3294=0,0,$J3294-$M3294-$N3294)</f>
      </c>
    </row>
    <row r="3295">
      <c r="A3295"/>
      <c r="B3295">
        <v>7</v>
      </c>
      <c r="C3295" s="43">
        <f>INDEX(DarlObj,7)</f>
      </c>
      <c r="D3295">
        <v>412</v>
      </c>
      <c r="E3295" s="51">
        <f>IF(INDEX(DarlBelegt,7)=0,0,EOMONTH(INDEX(DarlAuszahlung,7),411)+1)</f>
      </c>
      <c r="F3295" s="43">
        <f>IF($E3295=0,0,YEAR($E3295))</f>
      </c>
      <c r="G3295" s="43">
        <f>IF(INDEX(DarlBindung,7)="",1,IF($E3295&lt;=INDEX(DarlBindung,7),1,0))</f>
      </c>
      <c r="H3295" s="43">
        <f>IF($G3295=1,INDEX(DarlSollzins,7),INDEX(DarlAnschluss,7))</f>
      </c>
      <c r="I3295" s="43">
        <f>IF(INDEX(DarlBelegt,7)=0,0,IF(INDEX(DarlOhneTilgung,7)=1,IF(INDEX(DarlBindung,7)="",1,$G3295),IF($J3295&gt;0.005,1,0)))</f>
      </c>
      <c r="J3295" s="43">
        <f>IF($I3294=0,0,$R3294)</f>
      </c>
      <c r="K3295" s="43">
        <f>IF($I3295=0,0,IF(INDEX(DarlOhneTilgung,7)=1,0,IF(AND(INDEX(DarlTilgStart,7)&gt;0,$E3295=INDEX(DarlTilgStart,7)),$J3295*($H3295+INDEX(DarlTilgung,7))/100/12,IF(AND($G3295=0,$G3294=1),MAX($K3294,$J3295*($H3295+1)/100/12),$K3294))))</f>
      </c>
      <c r="L3295" s="43">
        <f>IF($I3295=0,0,$J3295*$H3295/100/12)</f>
      </c>
      <c r="M3295" s="43">
        <f>IF($I3295=0,0,IF(OR(INDEX(DarlOhneTilgung,7)=1,AND(INDEX(DarlTilgStart,7)&gt;0,$E3295&lt;INDEX(DarlTilgStart,7))),0,MIN(MAX(0,$K3295-$L3295),$J3295)))</f>
      </c>
      <c r="N3295" s="43">
        <f>IF($I3295=0,0,MIN(SUMIFS(SondBetrag,SondDarl,7,SondDatum,"&gt;="&amp;$E3295,SondDatum,"&lt;="&amp;EOMONTH($E3295,0)),$J3295-$M3295))</f>
      </c>
      <c r="O3295" s="43">
        <f>IF($I3295=0,0,INDEX(DarlErsatzRate,7))</f>
      </c>
      <c r="P3295" s="43">
        <f>IF($I3295=0,0,$Q3294*INDEX(DarlErsatzZins,7))</f>
      </c>
      <c r="Q3295" s="43">
        <f>IF($I3295=0,0,$Q3294+$P3295+$O3295)</f>
      </c>
      <c r="R3295" s="43">
        <f>IF($I3295=0,0,$J3295-$M3295-$N3295)</f>
      </c>
    </row>
    <row r="3296">
      <c r="A3296"/>
      <c r="B3296">
        <v>7</v>
      </c>
      <c r="C3296" s="43">
        <f>INDEX(DarlObj,7)</f>
      </c>
      <c r="D3296">
        <v>413</v>
      </c>
      <c r="E3296" s="51">
        <f>IF(INDEX(DarlBelegt,7)=0,0,EOMONTH(INDEX(DarlAuszahlung,7),412)+1)</f>
      </c>
      <c r="F3296" s="43">
        <f>IF($E3296=0,0,YEAR($E3296))</f>
      </c>
      <c r="G3296" s="43">
        <f>IF(INDEX(DarlBindung,7)="",1,IF($E3296&lt;=INDEX(DarlBindung,7),1,0))</f>
      </c>
      <c r="H3296" s="43">
        <f>IF($G3296=1,INDEX(DarlSollzins,7),INDEX(DarlAnschluss,7))</f>
      </c>
      <c r="I3296" s="43">
        <f>IF(INDEX(DarlBelegt,7)=0,0,IF(INDEX(DarlOhneTilgung,7)=1,IF(INDEX(DarlBindung,7)="",1,$G3296),IF($J3296&gt;0.005,1,0)))</f>
      </c>
      <c r="J3296" s="43">
        <f>IF($I3295=0,0,$R3295)</f>
      </c>
      <c r="K3296" s="43">
        <f>IF($I3296=0,0,IF(INDEX(DarlOhneTilgung,7)=1,0,IF(AND(INDEX(DarlTilgStart,7)&gt;0,$E3296=INDEX(DarlTilgStart,7)),$J3296*($H3296+INDEX(DarlTilgung,7))/100/12,IF(AND($G3296=0,$G3295=1),MAX($K3295,$J3296*($H3296+1)/100/12),$K3295))))</f>
      </c>
      <c r="L3296" s="43">
        <f>IF($I3296=0,0,$J3296*$H3296/100/12)</f>
      </c>
      <c r="M3296" s="43">
        <f>IF($I3296=0,0,IF(OR(INDEX(DarlOhneTilgung,7)=1,AND(INDEX(DarlTilgStart,7)&gt;0,$E3296&lt;INDEX(DarlTilgStart,7))),0,MIN(MAX(0,$K3296-$L3296),$J3296)))</f>
      </c>
      <c r="N3296" s="43">
        <f>IF($I3296=0,0,MIN(SUMIFS(SondBetrag,SondDarl,7,SondDatum,"&gt;="&amp;$E3296,SondDatum,"&lt;="&amp;EOMONTH($E3296,0)),$J3296-$M3296))</f>
      </c>
      <c r="O3296" s="43">
        <f>IF($I3296=0,0,INDEX(DarlErsatzRate,7))</f>
      </c>
      <c r="P3296" s="43">
        <f>IF($I3296=0,0,$Q3295*INDEX(DarlErsatzZins,7))</f>
      </c>
      <c r="Q3296" s="43">
        <f>IF($I3296=0,0,$Q3295+$P3296+$O3296)</f>
      </c>
      <c r="R3296" s="43">
        <f>IF($I3296=0,0,$J3296-$M3296-$N3296)</f>
      </c>
    </row>
    <row r="3297">
      <c r="A3297"/>
      <c r="B3297">
        <v>7</v>
      </c>
      <c r="C3297" s="43">
        <f>INDEX(DarlObj,7)</f>
      </c>
      <c r="D3297">
        <v>414</v>
      </c>
      <c r="E3297" s="51">
        <f>IF(INDEX(DarlBelegt,7)=0,0,EOMONTH(INDEX(DarlAuszahlung,7),413)+1)</f>
      </c>
      <c r="F3297" s="43">
        <f>IF($E3297=0,0,YEAR($E3297))</f>
      </c>
      <c r="G3297" s="43">
        <f>IF(INDEX(DarlBindung,7)="",1,IF($E3297&lt;=INDEX(DarlBindung,7),1,0))</f>
      </c>
      <c r="H3297" s="43">
        <f>IF($G3297=1,INDEX(DarlSollzins,7),INDEX(DarlAnschluss,7))</f>
      </c>
      <c r="I3297" s="43">
        <f>IF(INDEX(DarlBelegt,7)=0,0,IF(INDEX(DarlOhneTilgung,7)=1,IF(INDEX(DarlBindung,7)="",1,$G3297),IF($J3297&gt;0.005,1,0)))</f>
      </c>
      <c r="J3297" s="43">
        <f>IF($I3296=0,0,$R3296)</f>
      </c>
      <c r="K3297" s="43">
        <f>IF($I3297=0,0,IF(INDEX(DarlOhneTilgung,7)=1,0,IF(AND(INDEX(DarlTilgStart,7)&gt;0,$E3297=INDEX(DarlTilgStart,7)),$J3297*($H3297+INDEX(DarlTilgung,7))/100/12,IF(AND($G3297=0,$G3296=1),MAX($K3296,$J3297*($H3297+1)/100/12),$K3296))))</f>
      </c>
      <c r="L3297" s="43">
        <f>IF($I3297=0,0,$J3297*$H3297/100/12)</f>
      </c>
      <c r="M3297" s="43">
        <f>IF($I3297=0,0,IF(OR(INDEX(DarlOhneTilgung,7)=1,AND(INDEX(DarlTilgStart,7)&gt;0,$E3297&lt;INDEX(DarlTilgStart,7))),0,MIN(MAX(0,$K3297-$L3297),$J3297)))</f>
      </c>
      <c r="N3297" s="43">
        <f>IF($I3297=0,0,MIN(SUMIFS(SondBetrag,SondDarl,7,SondDatum,"&gt;="&amp;$E3297,SondDatum,"&lt;="&amp;EOMONTH($E3297,0)),$J3297-$M3297))</f>
      </c>
      <c r="O3297" s="43">
        <f>IF($I3297=0,0,INDEX(DarlErsatzRate,7))</f>
      </c>
      <c r="P3297" s="43">
        <f>IF($I3297=0,0,$Q3296*INDEX(DarlErsatzZins,7))</f>
      </c>
      <c r="Q3297" s="43">
        <f>IF($I3297=0,0,$Q3296+$P3297+$O3297)</f>
      </c>
      <c r="R3297" s="43">
        <f>IF($I3297=0,0,$J3297-$M3297-$N3297)</f>
      </c>
    </row>
    <row r="3298">
      <c r="A3298"/>
      <c r="B3298">
        <v>7</v>
      </c>
      <c r="C3298" s="43">
        <f>INDEX(DarlObj,7)</f>
      </c>
      <c r="D3298">
        <v>415</v>
      </c>
      <c r="E3298" s="51">
        <f>IF(INDEX(DarlBelegt,7)=0,0,EOMONTH(INDEX(DarlAuszahlung,7),414)+1)</f>
      </c>
      <c r="F3298" s="43">
        <f>IF($E3298=0,0,YEAR($E3298))</f>
      </c>
      <c r="G3298" s="43">
        <f>IF(INDEX(DarlBindung,7)="",1,IF($E3298&lt;=INDEX(DarlBindung,7),1,0))</f>
      </c>
      <c r="H3298" s="43">
        <f>IF($G3298=1,INDEX(DarlSollzins,7),INDEX(DarlAnschluss,7))</f>
      </c>
      <c r="I3298" s="43">
        <f>IF(INDEX(DarlBelegt,7)=0,0,IF(INDEX(DarlOhneTilgung,7)=1,IF(INDEX(DarlBindung,7)="",1,$G3298),IF($J3298&gt;0.005,1,0)))</f>
      </c>
      <c r="J3298" s="43">
        <f>IF($I3297=0,0,$R3297)</f>
      </c>
      <c r="K3298" s="43">
        <f>IF($I3298=0,0,IF(INDEX(DarlOhneTilgung,7)=1,0,IF(AND(INDEX(DarlTilgStart,7)&gt;0,$E3298=INDEX(DarlTilgStart,7)),$J3298*($H3298+INDEX(DarlTilgung,7))/100/12,IF(AND($G3298=0,$G3297=1),MAX($K3297,$J3298*($H3298+1)/100/12),$K3297))))</f>
      </c>
      <c r="L3298" s="43">
        <f>IF($I3298=0,0,$J3298*$H3298/100/12)</f>
      </c>
      <c r="M3298" s="43">
        <f>IF($I3298=0,0,IF(OR(INDEX(DarlOhneTilgung,7)=1,AND(INDEX(DarlTilgStart,7)&gt;0,$E3298&lt;INDEX(DarlTilgStart,7))),0,MIN(MAX(0,$K3298-$L3298),$J3298)))</f>
      </c>
      <c r="N3298" s="43">
        <f>IF($I3298=0,0,MIN(SUMIFS(SondBetrag,SondDarl,7,SondDatum,"&gt;="&amp;$E3298,SondDatum,"&lt;="&amp;EOMONTH($E3298,0)),$J3298-$M3298))</f>
      </c>
      <c r="O3298" s="43">
        <f>IF($I3298=0,0,INDEX(DarlErsatzRate,7))</f>
      </c>
      <c r="P3298" s="43">
        <f>IF($I3298=0,0,$Q3297*INDEX(DarlErsatzZins,7))</f>
      </c>
      <c r="Q3298" s="43">
        <f>IF($I3298=0,0,$Q3297+$P3298+$O3298)</f>
      </c>
      <c r="R3298" s="43">
        <f>IF($I3298=0,0,$J3298-$M3298-$N3298)</f>
      </c>
    </row>
    <row r="3299">
      <c r="A3299"/>
      <c r="B3299">
        <v>7</v>
      </c>
      <c r="C3299" s="43">
        <f>INDEX(DarlObj,7)</f>
      </c>
      <c r="D3299">
        <v>416</v>
      </c>
      <c r="E3299" s="51">
        <f>IF(INDEX(DarlBelegt,7)=0,0,EOMONTH(INDEX(DarlAuszahlung,7),415)+1)</f>
      </c>
      <c r="F3299" s="43">
        <f>IF($E3299=0,0,YEAR($E3299))</f>
      </c>
      <c r="G3299" s="43">
        <f>IF(INDEX(DarlBindung,7)="",1,IF($E3299&lt;=INDEX(DarlBindung,7),1,0))</f>
      </c>
      <c r="H3299" s="43">
        <f>IF($G3299=1,INDEX(DarlSollzins,7),INDEX(DarlAnschluss,7))</f>
      </c>
      <c r="I3299" s="43">
        <f>IF(INDEX(DarlBelegt,7)=0,0,IF(INDEX(DarlOhneTilgung,7)=1,IF(INDEX(DarlBindung,7)="",1,$G3299),IF($J3299&gt;0.005,1,0)))</f>
      </c>
      <c r="J3299" s="43">
        <f>IF($I3298=0,0,$R3298)</f>
      </c>
      <c r="K3299" s="43">
        <f>IF($I3299=0,0,IF(INDEX(DarlOhneTilgung,7)=1,0,IF(AND(INDEX(DarlTilgStart,7)&gt;0,$E3299=INDEX(DarlTilgStart,7)),$J3299*($H3299+INDEX(DarlTilgung,7))/100/12,IF(AND($G3299=0,$G3298=1),MAX($K3298,$J3299*($H3299+1)/100/12),$K3298))))</f>
      </c>
      <c r="L3299" s="43">
        <f>IF($I3299=0,0,$J3299*$H3299/100/12)</f>
      </c>
      <c r="M3299" s="43">
        <f>IF($I3299=0,0,IF(OR(INDEX(DarlOhneTilgung,7)=1,AND(INDEX(DarlTilgStart,7)&gt;0,$E3299&lt;INDEX(DarlTilgStart,7))),0,MIN(MAX(0,$K3299-$L3299),$J3299)))</f>
      </c>
      <c r="N3299" s="43">
        <f>IF($I3299=0,0,MIN(SUMIFS(SondBetrag,SondDarl,7,SondDatum,"&gt;="&amp;$E3299,SondDatum,"&lt;="&amp;EOMONTH($E3299,0)),$J3299-$M3299))</f>
      </c>
      <c r="O3299" s="43">
        <f>IF($I3299=0,0,INDEX(DarlErsatzRate,7))</f>
      </c>
      <c r="P3299" s="43">
        <f>IF($I3299=0,0,$Q3298*INDEX(DarlErsatzZins,7))</f>
      </c>
      <c r="Q3299" s="43">
        <f>IF($I3299=0,0,$Q3298+$P3299+$O3299)</f>
      </c>
      <c r="R3299" s="43">
        <f>IF($I3299=0,0,$J3299-$M3299-$N3299)</f>
      </c>
    </row>
    <row r="3300">
      <c r="A3300"/>
      <c r="B3300">
        <v>7</v>
      </c>
      <c r="C3300" s="43">
        <f>INDEX(DarlObj,7)</f>
      </c>
      <c r="D3300">
        <v>417</v>
      </c>
      <c r="E3300" s="51">
        <f>IF(INDEX(DarlBelegt,7)=0,0,EOMONTH(INDEX(DarlAuszahlung,7),416)+1)</f>
      </c>
      <c r="F3300" s="43">
        <f>IF($E3300=0,0,YEAR($E3300))</f>
      </c>
      <c r="G3300" s="43">
        <f>IF(INDEX(DarlBindung,7)="",1,IF($E3300&lt;=INDEX(DarlBindung,7),1,0))</f>
      </c>
      <c r="H3300" s="43">
        <f>IF($G3300=1,INDEX(DarlSollzins,7),INDEX(DarlAnschluss,7))</f>
      </c>
      <c r="I3300" s="43">
        <f>IF(INDEX(DarlBelegt,7)=0,0,IF(INDEX(DarlOhneTilgung,7)=1,IF(INDEX(DarlBindung,7)="",1,$G3300),IF($J3300&gt;0.005,1,0)))</f>
      </c>
      <c r="J3300" s="43">
        <f>IF($I3299=0,0,$R3299)</f>
      </c>
      <c r="K3300" s="43">
        <f>IF($I3300=0,0,IF(INDEX(DarlOhneTilgung,7)=1,0,IF(AND(INDEX(DarlTilgStart,7)&gt;0,$E3300=INDEX(DarlTilgStart,7)),$J3300*($H3300+INDEX(DarlTilgung,7))/100/12,IF(AND($G3300=0,$G3299=1),MAX($K3299,$J3300*($H3300+1)/100/12),$K3299))))</f>
      </c>
      <c r="L3300" s="43">
        <f>IF($I3300=0,0,$J3300*$H3300/100/12)</f>
      </c>
      <c r="M3300" s="43">
        <f>IF($I3300=0,0,IF(OR(INDEX(DarlOhneTilgung,7)=1,AND(INDEX(DarlTilgStart,7)&gt;0,$E3300&lt;INDEX(DarlTilgStart,7))),0,MIN(MAX(0,$K3300-$L3300),$J3300)))</f>
      </c>
      <c r="N3300" s="43">
        <f>IF($I3300=0,0,MIN(SUMIFS(SondBetrag,SondDarl,7,SondDatum,"&gt;="&amp;$E3300,SondDatum,"&lt;="&amp;EOMONTH($E3300,0)),$J3300-$M3300))</f>
      </c>
      <c r="O3300" s="43">
        <f>IF($I3300=0,0,INDEX(DarlErsatzRate,7))</f>
      </c>
      <c r="P3300" s="43">
        <f>IF($I3300=0,0,$Q3299*INDEX(DarlErsatzZins,7))</f>
      </c>
      <c r="Q3300" s="43">
        <f>IF($I3300=0,0,$Q3299+$P3300+$O3300)</f>
      </c>
      <c r="R3300" s="43">
        <f>IF($I3300=0,0,$J3300-$M3300-$N3300)</f>
      </c>
    </row>
    <row r="3301">
      <c r="A3301"/>
      <c r="B3301">
        <v>7</v>
      </c>
      <c r="C3301" s="43">
        <f>INDEX(DarlObj,7)</f>
      </c>
      <c r="D3301">
        <v>418</v>
      </c>
      <c r="E3301" s="51">
        <f>IF(INDEX(DarlBelegt,7)=0,0,EOMONTH(INDEX(DarlAuszahlung,7),417)+1)</f>
      </c>
      <c r="F3301" s="43">
        <f>IF($E3301=0,0,YEAR($E3301))</f>
      </c>
      <c r="G3301" s="43">
        <f>IF(INDEX(DarlBindung,7)="",1,IF($E3301&lt;=INDEX(DarlBindung,7),1,0))</f>
      </c>
      <c r="H3301" s="43">
        <f>IF($G3301=1,INDEX(DarlSollzins,7),INDEX(DarlAnschluss,7))</f>
      </c>
      <c r="I3301" s="43">
        <f>IF(INDEX(DarlBelegt,7)=0,0,IF(INDEX(DarlOhneTilgung,7)=1,IF(INDEX(DarlBindung,7)="",1,$G3301),IF($J3301&gt;0.005,1,0)))</f>
      </c>
      <c r="J3301" s="43">
        <f>IF($I3300=0,0,$R3300)</f>
      </c>
      <c r="K3301" s="43">
        <f>IF($I3301=0,0,IF(INDEX(DarlOhneTilgung,7)=1,0,IF(AND(INDEX(DarlTilgStart,7)&gt;0,$E3301=INDEX(DarlTilgStart,7)),$J3301*($H3301+INDEX(DarlTilgung,7))/100/12,IF(AND($G3301=0,$G3300=1),MAX($K3300,$J3301*($H3301+1)/100/12),$K3300))))</f>
      </c>
      <c r="L3301" s="43">
        <f>IF($I3301=0,0,$J3301*$H3301/100/12)</f>
      </c>
      <c r="M3301" s="43">
        <f>IF($I3301=0,0,IF(OR(INDEX(DarlOhneTilgung,7)=1,AND(INDEX(DarlTilgStart,7)&gt;0,$E3301&lt;INDEX(DarlTilgStart,7))),0,MIN(MAX(0,$K3301-$L3301),$J3301)))</f>
      </c>
      <c r="N3301" s="43">
        <f>IF($I3301=0,0,MIN(SUMIFS(SondBetrag,SondDarl,7,SondDatum,"&gt;="&amp;$E3301,SondDatum,"&lt;="&amp;EOMONTH($E3301,0)),$J3301-$M3301))</f>
      </c>
      <c r="O3301" s="43">
        <f>IF($I3301=0,0,INDEX(DarlErsatzRate,7))</f>
      </c>
      <c r="P3301" s="43">
        <f>IF($I3301=0,0,$Q3300*INDEX(DarlErsatzZins,7))</f>
      </c>
      <c r="Q3301" s="43">
        <f>IF($I3301=0,0,$Q3300+$P3301+$O3301)</f>
      </c>
      <c r="R3301" s="43">
        <f>IF($I3301=0,0,$J3301-$M3301-$N3301)</f>
      </c>
    </row>
    <row r="3302">
      <c r="A3302"/>
      <c r="B3302">
        <v>7</v>
      </c>
      <c r="C3302" s="43">
        <f>INDEX(DarlObj,7)</f>
      </c>
      <c r="D3302">
        <v>419</v>
      </c>
      <c r="E3302" s="51">
        <f>IF(INDEX(DarlBelegt,7)=0,0,EOMONTH(INDEX(DarlAuszahlung,7),418)+1)</f>
      </c>
      <c r="F3302" s="43">
        <f>IF($E3302=0,0,YEAR($E3302))</f>
      </c>
      <c r="G3302" s="43">
        <f>IF(INDEX(DarlBindung,7)="",1,IF($E3302&lt;=INDEX(DarlBindung,7),1,0))</f>
      </c>
      <c r="H3302" s="43">
        <f>IF($G3302=1,INDEX(DarlSollzins,7),INDEX(DarlAnschluss,7))</f>
      </c>
      <c r="I3302" s="43">
        <f>IF(INDEX(DarlBelegt,7)=0,0,IF(INDEX(DarlOhneTilgung,7)=1,IF(INDEX(DarlBindung,7)="",1,$G3302),IF($J3302&gt;0.005,1,0)))</f>
      </c>
      <c r="J3302" s="43">
        <f>IF($I3301=0,0,$R3301)</f>
      </c>
      <c r="K3302" s="43">
        <f>IF($I3302=0,0,IF(INDEX(DarlOhneTilgung,7)=1,0,IF(AND(INDEX(DarlTilgStart,7)&gt;0,$E3302=INDEX(DarlTilgStart,7)),$J3302*($H3302+INDEX(DarlTilgung,7))/100/12,IF(AND($G3302=0,$G3301=1),MAX($K3301,$J3302*($H3302+1)/100/12),$K3301))))</f>
      </c>
      <c r="L3302" s="43">
        <f>IF($I3302=0,0,$J3302*$H3302/100/12)</f>
      </c>
      <c r="M3302" s="43">
        <f>IF($I3302=0,0,IF(OR(INDEX(DarlOhneTilgung,7)=1,AND(INDEX(DarlTilgStart,7)&gt;0,$E3302&lt;INDEX(DarlTilgStart,7))),0,MIN(MAX(0,$K3302-$L3302),$J3302)))</f>
      </c>
      <c r="N3302" s="43">
        <f>IF($I3302=0,0,MIN(SUMIFS(SondBetrag,SondDarl,7,SondDatum,"&gt;="&amp;$E3302,SondDatum,"&lt;="&amp;EOMONTH($E3302,0)),$J3302-$M3302))</f>
      </c>
      <c r="O3302" s="43">
        <f>IF($I3302=0,0,INDEX(DarlErsatzRate,7))</f>
      </c>
      <c r="P3302" s="43">
        <f>IF($I3302=0,0,$Q3301*INDEX(DarlErsatzZins,7))</f>
      </c>
      <c r="Q3302" s="43">
        <f>IF($I3302=0,0,$Q3301+$P3302+$O3302)</f>
      </c>
      <c r="R3302" s="43">
        <f>IF($I3302=0,0,$J3302-$M3302-$N3302)</f>
      </c>
    </row>
    <row r="3303">
      <c r="A3303"/>
      <c r="B3303">
        <v>7</v>
      </c>
      <c r="C3303" s="43">
        <f>INDEX(DarlObj,7)</f>
      </c>
      <c r="D3303">
        <v>420</v>
      </c>
      <c r="E3303" s="51">
        <f>IF(INDEX(DarlBelegt,7)=0,0,EOMONTH(INDEX(DarlAuszahlung,7),419)+1)</f>
      </c>
      <c r="F3303" s="43">
        <f>IF($E3303=0,0,YEAR($E3303))</f>
      </c>
      <c r="G3303" s="43">
        <f>IF(INDEX(DarlBindung,7)="",1,IF($E3303&lt;=INDEX(DarlBindung,7),1,0))</f>
      </c>
      <c r="H3303" s="43">
        <f>IF($G3303=1,INDEX(DarlSollzins,7),INDEX(DarlAnschluss,7))</f>
      </c>
      <c r="I3303" s="43">
        <f>IF(INDEX(DarlBelegt,7)=0,0,IF(INDEX(DarlOhneTilgung,7)=1,IF(INDEX(DarlBindung,7)="",1,$G3303),IF($J3303&gt;0.005,1,0)))</f>
      </c>
      <c r="J3303" s="43">
        <f>IF($I3302=0,0,$R3302)</f>
      </c>
      <c r="K3303" s="43">
        <f>IF($I3303=0,0,IF(INDEX(DarlOhneTilgung,7)=1,0,IF(AND(INDEX(DarlTilgStart,7)&gt;0,$E3303=INDEX(DarlTilgStart,7)),$J3303*($H3303+INDEX(DarlTilgung,7))/100/12,IF(AND($G3303=0,$G3302=1),MAX($K3302,$J3303*($H3303+1)/100/12),$K3302))))</f>
      </c>
      <c r="L3303" s="43">
        <f>IF($I3303=0,0,$J3303*$H3303/100/12)</f>
      </c>
      <c r="M3303" s="43">
        <f>IF($I3303=0,0,IF(OR(INDEX(DarlOhneTilgung,7)=1,AND(INDEX(DarlTilgStart,7)&gt;0,$E3303&lt;INDEX(DarlTilgStart,7))),0,MIN(MAX(0,$K3303-$L3303),$J3303)))</f>
      </c>
      <c r="N3303" s="43">
        <f>IF($I3303=0,0,MIN(SUMIFS(SondBetrag,SondDarl,7,SondDatum,"&gt;="&amp;$E3303,SondDatum,"&lt;="&amp;EOMONTH($E3303,0)),$J3303-$M3303))</f>
      </c>
      <c r="O3303" s="43">
        <f>IF($I3303=0,0,INDEX(DarlErsatzRate,7))</f>
      </c>
      <c r="P3303" s="43">
        <f>IF($I3303=0,0,$Q3302*INDEX(DarlErsatzZins,7))</f>
      </c>
      <c r="Q3303" s="43">
        <f>IF($I3303=0,0,$Q3302+$P3303+$O3303)</f>
      </c>
      <c r="R3303" s="43">
        <f>IF($I3303=0,0,$J3303-$M3303-$N3303)</f>
      </c>
    </row>
    <row r="3304">
      <c r="A3304"/>
      <c r="B3304">
        <v>7</v>
      </c>
      <c r="C3304" s="43">
        <f>INDEX(DarlObj,7)</f>
      </c>
      <c r="D3304">
        <v>421</v>
      </c>
      <c r="E3304" s="51">
        <f>IF(INDEX(DarlBelegt,7)=0,0,EOMONTH(INDEX(DarlAuszahlung,7),420)+1)</f>
      </c>
      <c r="F3304" s="43">
        <f>IF($E3304=0,0,YEAR($E3304))</f>
      </c>
      <c r="G3304" s="43">
        <f>IF(INDEX(DarlBindung,7)="",1,IF($E3304&lt;=INDEX(DarlBindung,7),1,0))</f>
      </c>
      <c r="H3304" s="43">
        <f>IF($G3304=1,INDEX(DarlSollzins,7),INDEX(DarlAnschluss,7))</f>
      </c>
      <c r="I3304" s="43">
        <f>IF(INDEX(DarlBelegt,7)=0,0,IF(INDEX(DarlOhneTilgung,7)=1,IF(INDEX(DarlBindung,7)="",1,$G3304),IF($J3304&gt;0.005,1,0)))</f>
      </c>
      <c r="J3304" s="43">
        <f>IF($I3303=0,0,$R3303)</f>
      </c>
      <c r="K3304" s="43">
        <f>IF($I3304=0,0,IF(INDEX(DarlOhneTilgung,7)=1,0,IF(AND(INDEX(DarlTilgStart,7)&gt;0,$E3304=INDEX(DarlTilgStart,7)),$J3304*($H3304+INDEX(DarlTilgung,7))/100/12,IF(AND($G3304=0,$G3303=1),MAX($K3303,$J3304*($H3304+1)/100/12),$K3303))))</f>
      </c>
      <c r="L3304" s="43">
        <f>IF($I3304=0,0,$J3304*$H3304/100/12)</f>
      </c>
      <c r="M3304" s="43">
        <f>IF($I3304=0,0,IF(OR(INDEX(DarlOhneTilgung,7)=1,AND(INDEX(DarlTilgStart,7)&gt;0,$E3304&lt;INDEX(DarlTilgStart,7))),0,MIN(MAX(0,$K3304-$L3304),$J3304)))</f>
      </c>
      <c r="N3304" s="43">
        <f>IF($I3304=0,0,MIN(SUMIFS(SondBetrag,SondDarl,7,SondDatum,"&gt;="&amp;$E3304,SondDatum,"&lt;="&amp;EOMONTH($E3304,0)),$J3304-$M3304))</f>
      </c>
      <c r="O3304" s="43">
        <f>IF($I3304=0,0,INDEX(DarlErsatzRate,7))</f>
      </c>
      <c r="P3304" s="43">
        <f>IF($I3304=0,0,$Q3303*INDEX(DarlErsatzZins,7))</f>
      </c>
      <c r="Q3304" s="43">
        <f>IF($I3304=0,0,$Q3303+$P3304+$O3304)</f>
      </c>
      <c r="R3304" s="43">
        <f>IF($I3304=0,0,$J3304-$M3304-$N3304)</f>
      </c>
    </row>
    <row r="3305">
      <c r="A3305"/>
      <c r="B3305">
        <v>7</v>
      </c>
      <c r="C3305" s="43">
        <f>INDEX(DarlObj,7)</f>
      </c>
      <c r="D3305">
        <v>422</v>
      </c>
      <c r="E3305" s="51">
        <f>IF(INDEX(DarlBelegt,7)=0,0,EOMONTH(INDEX(DarlAuszahlung,7),421)+1)</f>
      </c>
      <c r="F3305" s="43">
        <f>IF($E3305=0,0,YEAR($E3305))</f>
      </c>
      <c r="G3305" s="43">
        <f>IF(INDEX(DarlBindung,7)="",1,IF($E3305&lt;=INDEX(DarlBindung,7),1,0))</f>
      </c>
      <c r="H3305" s="43">
        <f>IF($G3305=1,INDEX(DarlSollzins,7),INDEX(DarlAnschluss,7))</f>
      </c>
      <c r="I3305" s="43">
        <f>IF(INDEX(DarlBelegt,7)=0,0,IF(INDEX(DarlOhneTilgung,7)=1,IF(INDEX(DarlBindung,7)="",1,$G3305),IF($J3305&gt;0.005,1,0)))</f>
      </c>
      <c r="J3305" s="43">
        <f>IF($I3304=0,0,$R3304)</f>
      </c>
      <c r="K3305" s="43">
        <f>IF($I3305=0,0,IF(INDEX(DarlOhneTilgung,7)=1,0,IF(AND(INDEX(DarlTilgStart,7)&gt;0,$E3305=INDEX(DarlTilgStart,7)),$J3305*($H3305+INDEX(DarlTilgung,7))/100/12,IF(AND($G3305=0,$G3304=1),MAX($K3304,$J3305*($H3305+1)/100/12),$K3304))))</f>
      </c>
      <c r="L3305" s="43">
        <f>IF($I3305=0,0,$J3305*$H3305/100/12)</f>
      </c>
      <c r="M3305" s="43">
        <f>IF($I3305=0,0,IF(OR(INDEX(DarlOhneTilgung,7)=1,AND(INDEX(DarlTilgStart,7)&gt;0,$E3305&lt;INDEX(DarlTilgStart,7))),0,MIN(MAX(0,$K3305-$L3305),$J3305)))</f>
      </c>
      <c r="N3305" s="43">
        <f>IF($I3305=0,0,MIN(SUMIFS(SondBetrag,SondDarl,7,SondDatum,"&gt;="&amp;$E3305,SondDatum,"&lt;="&amp;EOMONTH($E3305,0)),$J3305-$M3305))</f>
      </c>
      <c r="O3305" s="43">
        <f>IF($I3305=0,0,INDEX(DarlErsatzRate,7))</f>
      </c>
      <c r="P3305" s="43">
        <f>IF($I3305=0,0,$Q3304*INDEX(DarlErsatzZins,7))</f>
      </c>
      <c r="Q3305" s="43">
        <f>IF($I3305=0,0,$Q3304+$P3305+$O3305)</f>
      </c>
      <c r="R3305" s="43">
        <f>IF($I3305=0,0,$J3305-$M3305-$N3305)</f>
      </c>
    </row>
    <row r="3306">
      <c r="A3306"/>
      <c r="B3306">
        <v>7</v>
      </c>
      <c r="C3306" s="43">
        <f>INDEX(DarlObj,7)</f>
      </c>
      <c r="D3306">
        <v>423</v>
      </c>
      <c r="E3306" s="51">
        <f>IF(INDEX(DarlBelegt,7)=0,0,EOMONTH(INDEX(DarlAuszahlung,7),422)+1)</f>
      </c>
      <c r="F3306" s="43">
        <f>IF($E3306=0,0,YEAR($E3306))</f>
      </c>
      <c r="G3306" s="43">
        <f>IF(INDEX(DarlBindung,7)="",1,IF($E3306&lt;=INDEX(DarlBindung,7),1,0))</f>
      </c>
      <c r="H3306" s="43">
        <f>IF($G3306=1,INDEX(DarlSollzins,7),INDEX(DarlAnschluss,7))</f>
      </c>
      <c r="I3306" s="43">
        <f>IF(INDEX(DarlBelegt,7)=0,0,IF(INDEX(DarlOhneTilgung,7)=1,IF(INDEX(DarlBindung,7)="",1,$G3306),IF($J3306&gt;0.005,1,0)))</f>
      </c>
      <c r="J3306" s="43">
        <f>IF($I3305=0,0,$R3305)</f>
      </c>
      <c r="K3306" s="43">
        <f>IF($I3306=0,0,IF(INDEX(DarlOhneTilgung,7)=1,0,IF(AND(INDEX(DarlTilgStart,7)&gt;0,$E3306=INDEX(DarlTilgStart,7)),$J3306*($H3306+INDEX(DarlTilgung,7))/100/12,IF(AND($G3306=0,$G3305=1),MAX($K3305,$J3306*($H3306+1)/100/12),$K3305))))</f>
      </c>
      <c r="L3306" s="43">
        <f>IF($I3306=0,0,$J3306*$H3306/100/12)</f>
      </c>
      <c r="M3306" s="43">
        <f>IF($I3306=0,0,IF(OR(INDEX(DarlOhneTilgung,7)=1,AND(INDEX(DarlTilgStart,7)&gt;0,$E3306&lt;INDEX(DarlTilgStart,7))),0,MIN(MAX(0,$K3306-$L3306),$J3306)))</f>
      </c>
      <c r="N3306" s="43">
        <f>IF($I3306=0,0,MIN(SUMIFS(SondBetrag,SondDarl,7,SondDatum,"&gt;="&amp;$E3306,SondDatum,"&lt;="&amp;EOMONTH($E3306,0)),$J3306-$M3306))</f>
      </c>
      <c r="O3306" s="43">
        <f>IF($I3306=0,0,INDEX(DarlErsatzRate,7))</f>
      </c>
      <c r="P3306" s="43">
        <f>IF($I3306=0,0,$Q3305*INDEX(DarlErsatzZins,7))</f>
      </c>
      <c r="Q3306" s="43">
        <f>IF($I3306=0,0,$Q3305+$P3306+$O3306)</f>
      </c>
      <c r="R3306" s="43">
        <f>IF($I3306=0,0,$J3306-$M3306-$N3306)</f>
      </c>
    </row>
    <row r="3307">
      <c r="A3307"/>
      <c r="B3307">
        <v>7</v>
      </c>
      <c r="C3307" s="43">
        <f>INDEX(DarlObj,7)</f>
      </c>
      <c r="D3307">
        <v>424</v>
      </c>
      <c r="E3307" s="51">
        <f>IF(INDEX(DarlBelegt,7)=0,0,EOMONTH(INDEX(DarlAuszahlung,7),423)+1)</f>
      </c>
      <c r="F3307" s="43">
        <f>IF($E3307=0,0,YEAR($E3307))</f>
      </c>
      <c r="G3307" s="43">
        <f>IF(INDEX(DarlBindung,7)="",1,IF($E3307&lt;=INDEX(DarlBindung,7),1,0))</f>
      </c>
      <c r="H3307" s="43">
        <f>IF($G3307=1,INDEX(DarlSollzins,7),INDEX(DarlAnschluss,7))</f>
      </c>
      <c r="I3307" s="43">
        <f>IF(INDEX(DarlBelegt,7)=0,0,IF(INDEX(DarlOhneTilgung,7)=1,IF(INDEX(DarlBindung,7)="",1,$G3307),IF($J3307&gt;0.005,1,0)))</f>
      </c>
      <c r="J3307" s="43">
        <f>IF($I3306=0,0,$R3306)</f>
      </c>
      <c r="K3307" s="43">
        <f>IF($I3307=0,0,IF(INDEX(DarlOhneTilgung,7)=1,0,IF(AND(INDEX(DarlTilgStart,7)&gt;0,$E3307=INDEX(DarlTilgStart,7)),$J3307*($H3307+INDEX(DarlTilgung,7))/100/12,IF(AND($G3307=0,$G3306=1),MAX($K3306,$J3307*($H3307+1)/100/12),$K3306))))</f>
      </c>
      <c r="L3307" s="43">
        <f>IF($I3307=0,0,$J3307*$H3307/100/12)</f>
      </c>
      <c r="M3307" s="43">
        <f>IF($I3307=0,0,IF(OR(INDEX(DarlOhneTilgung,7)=1,AND(INDEX(DarlTilgStart,7)&gt;0,$E3307&lt;INDEX(DarlTilgStart,7))),0,MIN(MAX(0,$K3307-$L3307),$J3307)))</f>
      </c>
      <c r="N3307" s="43">
        <f>IF($I3307=0,0,MIN(SUMIFS(SondBetrag,SondDarl,7,SondDatum,"&gt;="&amp;$E3307,SondDatum,"&lt;="&amp;EOMONTH($E3307,0)),$J3307-$M3307))</f>
      </c>
      <c r="O3307" s="43">
        <f>IF($I3307=0,0,INDEX(DarlErsatzRate,7))</f>
      </c>
      <c r="P3307" s="43">
        <f>IF($I3307=0,0,$Q3306*INDEX(DarlErsatzZins,7))</f>
      </c>
      <c r="Q3307" s="43">
        <f>IF($I3307=0,0,$Q3306+$P3307+$O3307)</f>
      </c>
      <c r="R3307" s="43">
        <f>IF($I3307=0,0,$J3307-$M3307-$N3307)</f>
      </c>
    </row>
    <row r="3308">
      <c r="A3308"/>
      <c r="B3308">
        <v>7</v>
      </c>
      <c r="C3308" s="43">
        <f>INDEX(DarlObj,7)</f>
      </c>
      <c r="D3308">
        <v>425</v>
      </c>
      <c r="E3308" s="51">
        <f>IF(INDEX(DarlBelegt,7)=0,0,EOMONTH(INDEX(DarlAuszahlung,7),424)+1)</f>
      </c>
      <c r="F3308" s="43">
        <f>IF($E3308=0,0,YEAR($E3308))</f>
      </c>
      <c r="G3308" s="43">
        <f>IF(INDEX(DarlBindung,7)="",1,IF($E3308&lt;=INDEX(DarlBindung,7),1,0))</f>
      </c>
      <c r="H3308" s="43">
        <f>IF($G3308=1,INDEX(DarlSollzins,7),INDEX(DarlAnschluss,7))</f>
      </c>
      <c r="I3308" s="43">
        <f>IF(INDEX(DarlBelegt,7)=0,0,IF(INDEX(DarlOhneTilgung,7)=1,IF(INDEX(DarlBindung,7)="",1,$G3308),IF($J3308&gt;0.005,1,0)))</f>
      </c>
      <c r="J3308" s="43">
        <f>IF($I3307=0,0,$R3307)</f>
      </c>
      <c r="K3308" s="43">
        <f>IF($I3308=0,0,IF(INDEX(DarlOhneTilgung,7)=1,0,IF(AND(INDEX(DarlTilgStart,7)&gt;0,$E3308=INDEX(DarlTilgStart,7)),$J3308*($H3308+INDEX(DarlTilgung,7))/100/12,IF(AND($G3308=0,$G3307=1),MAX($K3307,$J3308*($H3308+1)/100/12),$K3307))))</f>
      </c>
      <c r="L3308" s="43">
        <f>IF($I3308=0,0,$J3308*$H3308/100/12)</f>
      </c>
      <c r="M3308" s="43">
        <f>IF($I3308=0,0,IF(OR(INDEX(DarlOhneTilgung,7)=1,AND(INDEX(DarlTilgStart,7)&gt;0,$E3308&lt;INDEX(DarlTilgStart,7))),0,MIN(MAX(0,$K3308-$L3308),$J3308)))</f>
      </c>
      <c r="N3308" s="43">
        <f>IF($I3308=0,0,MIN(SUMIFS(SondBetrag,SondDarl,7,SondDatum,"&gt;="&amp;$E3308,SondDatum,"&lt;="&amp;EOMONTH($E3308,0)),$J3308-$M3308))</f>
      </c>
      <c r="O3308" s="43">
        <f>IF($I3308=0,0,INDEX(DarlErsatzRate,7))</f>
      </c>
      <c r="P3308" s="43">
        <f>IF($I3308=0,0,$Q3307*INDEX(DarlErsatzZins,7))</f>
      </c>
      <c r="Q3308" s="43">
        <f>IF($I3308=0,0,$Q3307+$P3308+$O3308)</f>
      </c>
      <c r="R3308" s="43">
        <f>IF($I3308=0,0,$J3308-$M3308-$N3308)</f>
      </c>
    </row>
    <row r="3309">
      <c r="A3309"/>
      <c r="B3309">
        <v>7</v>
      </c>
      <c r="C3309" s="43">
        <f>INDEX(DarlObj,7)</f>
      </c>
      <c r="D3309">
        <v>426</v>
      </c>
      <c r="E3309" s="51">
        <f>IF(INDEX(DarlBelegt,7)=0,0,EOMONTH(INDEX(DarlAuszahlung,7),425)+1)</f>
      </c>
      <c r="F3309" s="43">
        <f>IF($E3309=0,0,YEAR($E3309))</f>
      </c>
      <c r="G3309" s="43">
        <f>IF(INDEX(DarlBindung,7)="",1,IF($E3309&lt;=INDEX(DarlBindung,7),1,0))</f>
      </c>
      <c r="H3309" s="43">
        <f>IF($G3309=1,INDEX(DarlSollzins,7),INDEX(DarlAnschluss,7))</f>
      </c>
      <c r="I3309" s="43">
        <f>IF(INDEX(DarlBelegt,7)=0,0,IF(INDEX(DarlOhneTilgung,7)=1,IF(INDEX(DarlBindung,7)="",1,$G3309),IF($J3309&gt;0.005,1,0)))</f>
      </c>
      <c r="J3309" s="43">
        <f>IF($I3308=0,0,$R3308)</f>
      </c>
      <c r="K3309" s="43">
        <f>IF($I3309=0,0,IF(INDEX(DarlOhneTilgung,7)=1,0,IF(AND(INDEX(DarlTilgStart,7)&gt;0,$E3309=INDEX(DarlTilgStart,7)),$J3309*($H3309+INDEX(DarlTilgung,7))/100/12,IF(AND($G3309=0,$G3308=1),MAX($K3308,$J3309*($H3309+1)/100/12),$K3308))))</f>
      </c>
      <c r="L3309" s="43">
        <f>IF($I3309=0,0,$J3309*$H3309/100/12)</f>
      </c>
      <c r="M3309" s="43">
        <f>IF($I3309=0,0,IF(OR(INDEX(DarlOhneTilgung,7)=1,AND(INDEX(DarlTilgStart,7)&gt;0,$E3309&lt;INDEX(DarlTilgStart,7))),0,MIN(MAX(0,$K3309-$L3309),$J3309)))</f>
      </c>
      <c r="N3309" s="43">
        <f>IF($I3309=0,0,MIN(SUMIFS(SondBetrag,SondDarl,7,SondDatum,"&gt;="&amp;$E3309,SondDatum,"&lt;="&amp;EOMONTH($E3309,0)),$J3309-$M3309))</f>
      </c>
      <c r="O3309" s="43">
        <f>IF($I3309=0,0,INDEX(DarlErsatzRate,7))</f>
      </c>
      <c r="P3309" s="43">
        <f>IF($I3309=0,0,$Q3308*INDEX(DarlErsatzZins,7))</f>
      </c>
      <c r="Q3309" s="43">
        <f>IF($I3309=0,0,$Q3308+$P3309+$O3309)</f>
      </c>
      <c r="R3309" s="43">
        <f>IF($I3309=0,0,$J3309-$M3309-$N3309)</f>
      </c>
    </row>
    <row r="3310">
      <c r="A3310"/>
      <c r="B3310">
        <v>7</v>
      </c>
      <c r="C3310" s="43">
        <f>INDEX(DarlObj,7)</f>
      </c>
      <c r="D3310">
        <v>427</v>
      </c>
      <c r="E3310" s="51">
        <f>IF(INDEX(DarlBelegt,7)=0,0,EOMONTH(INDEX(DarlAuszahlung,7),426)+1)</f>
      </c>
      <c r="F3310" s="43">
        <f>IF($E3310=0,0,YEAR($E3310))</f>
      </c>
      <c r="G3310" s="43">
        <f>IF(INDEX(DarlBindung,7)="",1,IF($E3310&lt;=INDEX(DarlBindung,7),1,0))</f>
      </c>
      <c r="H3310" s="43">
        <f>IF($G3310=1,INDEX(DarlSollzins,7),INDEX(DarlAnschluss,7))</f>
      </c>
      <c r="I3310" s="43">
        <f>IF(INDEX(DarlBelegt,7)=0,0,IF(INDEX(DarlOhneTilgung,7)=1,IF(INDEX(DarlBindung,7)="",1,$G3310),IF($J3310&gt;0.005,1,0)))</f>
      </c>
      <c r="J3310" s="43">
        <f>IF($I3309=0,0,$R3309)</f>
      </c>
      <c r="K3310" s="43">
        <f>IF($I3310=0,0,IF(INDEX(DarlOhneTilgung,7)=1,0,IF(AND(INDEX(DarlTilgStart,7)&gt;0,$E3310=INDEX(DarlTilgStart,7)),$J3310*($H3310+INDEX(DarlTilgung,7))/100/12,IF(AND($G3310=0,$G3309=1),MAX($K3309,$J3310*($H3310+1)/100/12),$K3309))))</f>
      </c>
      <c r="L3310" s="43">
        <f>IF($I3310=0,0,$J3310*$H3310/100/12)</f>
      </c>
      <c r="M3310" s="43">
        <f>IF($I3310=0,0,IF(OR(INDEX(DarlOhneTilgung,7)=1,AND(INDEX(DarlTilgStart,7)&gt;0,$E3310&lt;INDEX(DarlTilgStart,7))),0,MIN(MAX(0,$K3310-$L3310),$J3310)))</f>
      </c>
      <c r="N3310" s="43">
        <f>IF($I3310=0,0,MIN(SUMIFS(SondBetrag,SondDarl,7,SondDatum,"&gt;="&amp;$E3310,SondDatum,"&lt;="&amp;EOMONTH($E3310,0)),$J3310-$M3310))</f>
      </c>
      <c r="O3310" s="43">
        <f>IF($I3310=0,0,INDEX(DarlErsatzRate,7))</f>
      </c>
      <c r="P3310" s="43">
        <f>IF($I3310=0,0,$Q3309*INDEX(DarlErsatzZins,7))</f>
      </c>
      <c r="Q3310" s="43">
        <f>IF($I3310=0,0,$Q3309+$P3310+$O3310)</f>
      </c>
      <c r="R3310" s="43">
        <f>IF($I3310=0,0,$J3310-$M3310-$N3310)</f>
      </c>
    </row>
    <row r="3311">
      <c r="A3311"/>
      <c r="B3311">
        <v>7</v>
      </c>
      <c r="C3311" s="43">
        <f>INDEX(DarlObj,7)</f>
      </c>
      <c r="D3311">
        <v>428</v>
      </c>
      <c r="E3311" s="51">
        <f>IF(INDEX(DarlBelegt,7)=0,0,EOMONTH(INDEX(DarlAuszahlung,7),427)+1)</f>
      </c>
      <c r="F3311" s="43">
        <f>IF($E3311=0,0,YEAR($E3311))</f>
      </c>
      <c r="G3311" s="43">
        <f>IF(INDEX(DarlBindung,7)="",1,IF($E3311&lt;=INDEX(DarlBindung,7),1,0))</f>
      </c>
      <c r="H3311" s="43">
        <f>IF($G3311=1,INDEX(DarlSollzins,7),INDEX(DarlAnschluss,7))</f>
      </c>
      <c r="I3311" s="43">
        <f>IF(INDEX(DarlBelegt,7)=0,0,IF(INDEX(DarlOhneTilgung,7)=1,IF(INDEX(DarlBindung,7)="",1,$G3311),IF($J3311&gt;0.005,1,0)))</f>
      </c>
      <c r="J3311" s="43">
        <f>IF($I3310=0,0,$R3310)</f>
      </c>
      <c r="K3311" s="43">
        <f>IF($I3311=0,0,IF(INDEX(DarlOhneTilgung,7)=1,0,IF(AND(INDEX(DarlTilgStart,7)&gt;0,$E3311=INDEX(DarlTilgStart,7)),$J3311*($H3311+INDEX(DarlTilgung,7))/100/12,IF(AND($G3311=0,$G3310=1),MAX($K3310,$J3311*($H3311+1)/100/12),$K3310))))</f>
      </c>
      <c r="L3311" s="43">
        <f>IF($I3311=0,0,$J3311*$H3311/100/12)</f>
      </c>
      <c r="M3311" s="43">
        <f>IF($I3311=0,0,IF(OR(INDEX(DarlOhneTilgung,7)=1,AND(INDEX(DarlTilgStart,7)&gt;0,$E3311&lt;INDEX(DarlTilgStart,7))),0,MIN(MAX(0,$K3311-$L3311),$J3311)))</f>
      </c>
      <c r="N3311" s="43">
        <f>IF($I3311=0,0,MIN(SUMIFS(SondBetrag,SondDarl,7,SondDatum,"&gt;="&amp;$E3311,SondDatum,"&lt;="&amp;EOMONTH($E3311,0)),$J3311-$M3311))</f>
      </c>
      <c r="O3311" s="43">
        <f>IF($I3311=0,0,INDEX(DarlErsatzRate,7))</f>
      </c>
      <c r="P3311" s="43">
        <f>IF($I3311=0,0,$Q3310*INDEX(DarlErsatzZins,7))</f>
      </c>
      <c r="Q3311" s="43">
        <f>IF($I3311=0,0,$Q3310+$P3311+$O3311)</f>
      </c>
      <c r="R3311" s="43">
        <f>IF($I3311=0,0,$J3311-$M3311-$N3311)</f>
      </c>
    </row>
    <row r="3312">
      <c r="A3312"/>
      <c r="B3312">
        <v>7</v>
      </c>
      <c r="C3312" s="43">
        <f>INDEX(DarlObj,7)</f>
      </c>
      <c r="D3312">
        <v>429</v>
      </c>
      <c r="E3312" s="51">
        <f>IF(INDEX(DarlBelegt,7)=0,0,EOMONTH(INDEX(DarlAuszahlung,7),428)+1)</f>
      </c>
      <c r="F3312" s="43">
        <f>IF($E3312=0,0,YEAR($E3312))</f>
      </c>
      <c r="G3312" s="43">
        <f>IF(INDEX(DarlBindung,7)="",1,IF($E3312&lt;=INDEX(DarlBindung,7),1,0))</f>
      </c>
      <c r="H3312" s="43">
        <f>IF($G3312=1,INDEX(DarlSollzins,7),INDEX(DarlAnschluss,7))</f>
      </c>
      <c r="I3312" s="43">
        <f>IF(INDEX(DarlBelegt,7)=0,0,IF(INDEX(DarlOhneTilgung,7)=1,IF(INDEX(DarlBindung,7)="",1,$G3312),IF($J3312&gt;0.005,1,0)))</f>
      </c>
      <c r="J3312" s="43">
        <f>IF($I3311=0,0,$R3311)</f>
      </c>
      <c r="K3312" s="43">
        <f>IF($I3312=0,0,IF(INDEX(DarlOhneTilgung,7)=1,0,IF(AND(INDEX(DarlTilgStart,7)&gt;0,$E3312=INDEX(DarlTilgStart,7)),$J3312*($H3312+INDEX(DarlTilgung,7))/100/12,IF(AND($G3312=0,$G3311=1),MAX($K3311,$J3312*($H3312+1)/100/12),$K3311))))</f>
      </c>
      <c r="L3312" s="43">
        <f>IF($I3312=0,0,$J3312*$H3312/100/12)</f>
      </c>
      <c r="M3312" s="43">
        <f>IF($I3312=0,0,IF(OR(INDEX(DarlOhneTilgung,7)=1,AND(INDEX(DarlTilgStart,7)&gt;0,$E3312&lt;INDEX(DarlTilgStart,7))),0,MIN(MAX(0,$K3312-$L3312),$J3312)))</f>
      </c>
      <c r="N3312" s="43">
        <f>IF($I3312=0,0,MIN(SUMIFS(SondBetrag,SondDarl,7,SondDatum,"&gt;="&amp;$E3312,SondDatum,"&lt;="&amp;EOMONTH($E3312,0)),$J3312-$M3312))</f>
      </c>
      <c r="O3312" s="43">
        <f>IF($I3312=0,0,INDEX(DarlErsatzRate,7))</f>
      </c>
      <c r="P3312" s="43">
        <f>IF($I3312=0,0,$Q3311*INDEX(DarlErsatzZins,7))</f>
      </c>
      <c r="Q3312" s="43">
        <f>IF($I3312=0,0,$Q3311+$P3312+$O3312)</f>
      </c>
      <c r="R3312" s="43">
        <f>IF($I3312=0,0,$J3312-$M3312-$N3312)</f>
      </c>
    </row>
    <row r="3313">
      <c r="A3313"/>
      <c r="B3313">
        <v>7</v>
      </c>
      <c r="C3313" s="43">
        <f>INDEX(DarlObj,7)</f>
      </c>
      <c r="D3313">
        <v>430</v>
      </c>
      <c r="E3313" s="51">
        <f>IF(INDEX(DarlBelegt,7)=0,0,EOMONTH(INDEX(DarlAuszahlung,7),429)+1)</f>
      </c>
      <c r="F3313" s="43">
        <f>IF($E3313=0,0,YEAR($E3313))</f>
      </c>
      <c r="G3313" s="43">
        <f>IF(INDEX(DarlBindung,7)="",1,IF($E3313&lt;=INDEX(DarlBindung,7),1,0))</f>
      </c>
      <c r="H3313" s="43">
        <f>IF($G3313=1,INDEX(DarlSollzins,7),INDEX(DarlAnschluss,7))</f>
      </c>
      <c r="I3313" s="43">
        <f>IF(INDEX(DarlBelegt,7)=0,0,IF(INDEX(DarlOhneTilgung,7)=1,IF(INDEX(DarlBindung,7)="",1,$G3313),IF($J3313&gt;0.005,1,0)))</f>
      </c>
      <c r="J3313" s="43">
        <f>IF($I3312=0,0,$R3312)</f>
      </c>
      <c r="K3313" s="43">
        <f>IF($I3313=0,0,IF(INDEX(DarlOhneTilgung,7)=1,0,IF(AND(INDEX(DarlTilgStart,7)&gt;0,$E3313=INDEX(DarlTilgStart,7)),$J3313*($H3313+INDEX(DarlTilgung,7))/100/12,IF(AND($G3313=0,$G3312=1),MAX($K3312,$J3313*($H3313+1)/100/12),$K3312))))</f>
      </c>
      <c r="L3313" s="43">
        <f>IF($I3313=0,0,$J3313*$H3313/100/12)</f>
      </c>
      <c r="M3313" s="43">
        <f>IF($I3313=0,0,IF(OR(INDEX(DarlOhneTilgung,7)=1,AND(INDEX(DarlTilgStart,7)&gt;0,$E3313&lt;INDEX(DarlTilgStart,7))),0,MIN(MAX(0,$K3313-$L3313),$J3313)))</f>
      </c>
      <c r="N3313" s="43">
        <f>IF($I3313=0,0,MIN(SUMIFS(SondBetrag,SondDarl,7,SondDatum,"&gt;="&amp;$E3313,SondDatum,"&lt;="&amp;EOMONTH($E3313,0)),$J3313-$M3313))</f>
      </c>
      <c r="O3313" s="43">
        <f>IF($I3313=0,0,INDEX(DarlErsatzRate,7))</f>
      </c>
      <c r="P3313" s="43">
        <f>IF($I3313=0,0,$Q3312*INDEX(DarlErsatzZins,7))</f>
      </c>
      <c r="Q3313" s="43">
        <f>IF($I3313=0,0,$Q3312+$P3313+$O3313)</f>
      </c>
      <c r="R3313" s="43">
        <f>IF($I3313=0,0,$J3313-$M3313-$N3313)</f>
      </c>
    </row>
    <row r="3314">
      <c r="A3314"/>
      <c r="B3314">
        <v>7</v>
      </c>
      <c r="C3314" s="43">
        <f>INDEX(DarlObj,7)</f>
      </c>
      <c r="D3314">
        <v>431</v>
      </c>
      <c r="E3314" s="51">
        <f>IF(INDEX(DarlBelegt,7)=0,0,EOMONTH(INDEX(DarlAuszahlung,7),430)+1)</f>
      </c>
      <c r="F3314" s="43">
        <f>IF($E3314=0,0,YEAR($E3314))</f>
      </c>
      <c r="G3314" s="43">
        <f>IF(INDEX(DarlBindung,7)="",1,IF($E3314&lt;=INDEX(DarlBindung,7),1,0))</f>
      </c>
      <c r="H3314" s="43">
        <f>IF($G3314=1,INDEX(DarlSollzins,7),INDEX(DarlAnschluss,7))</f>
      </c>
      <c r="I3314" s="43">
        <f>IF(INDEX(DarlBelegt,7)=0,0,IF(INDEX(DarlOhneTilgung,7)=1,IF(INDEX(DarlBindung,7)="",1,$G3314),IF($J3314&gt;0.005,1,0)))</f>
      </c>
      <c r="J3314" s="43">
        <f>IF($I3313=0,0,$R3313)</f>
      </c>
      <c r="K3314" s="43">
        <f>IF($I3314=0,0,IF(INDEX(DarlOhneTilgung,7)=1,0,IF(AND(INDEX(DarlTilgStart,7)&gt;0,$E3314=INDEX(DarlTilgStart,7)),$J3314*($H3314+INDEX(DarlTilgung,7))/100/12,IF(AND($G3314=0,$G3313=1),MAX($K3313,$J3314*($H3314+1)/100/12),$K3313))))</f>
      </c>
      <c r="L3314" s="43">
        <f>IF($I3314=0,0,$J3314*$H3314/100/12)</f>
      </c>
      <c r="M3314" s="43">
        <f>IF($I3314=0,0,IF(OR(INDEX(DarlOhneTilgung,7)=1,AND(INDEX(DarlTilgStart,7)&gt;0,$E3314&lt;INDEX(DarlTilgStart,7))),0,MIN(MAX(0,$K3314-$L3314),$J3314)))</f>
      </c>
      <c r="N3314" s="43">
        <f>IF($I3314=0,0,MIN(SUMIFS(SondBetrag,SondDarl,7,SondDatum,"&gt;="&amp;$E3314,SondDatum,"&lt;="&amp;EOMONTH($E3314,0)),$J3314-$M3314))</f>
      </c>
      <c r="O3314" s="43">
        <f>IF($I3314=0,0,INDEX(DarlErsatzRate,7))</f>
      </c>
      <c r="P3314" s="43">
        <f>IF($I3314=0,0,$Q3313*INDEX(DarlErsatzZins,7))</f>
      </c>
      <c r="Q3314" s="43">
        <f>IF($I3314=0,0,$Q3313+$P3314+$O3314)</f>
      </c>
      <c r="R3314" s="43">
        <f>IF($I3314=0,0,$J3314-$M3314-$N3314)</f>
      </c>
    </row>
    <row r="3315">
      <c r="A3315"/>
      <c r="B3315">
        <v>7</v>
      </c>
      <c r="C3315" s="43">
        <f>INDEX(DarlObj,7)</f>
      </c>
      <c r="D3315">
        <v>432</v>
      </c>
      <c r="E3315" s="51">
        <f>IF(INDEX(DarlBelegt,7)=0,0,EOMONTH(INDEX(DarlAuszahlung,7),431)+1)</f>
      </c>
      <c r="F3315" s="43">
        <f>IF($E3315=0,0,YEAR($E3315))</f>
      </c>
      <c r="G3315" s="43">
        <f>IF(INDEX(DarlBindung,7)="",1,IF($E3315&lt;=INDEX(DarlBindung,7),1,0))</f>
      </c>
      <c r="H3315" s="43">
        <f>IF($G3315=1,INDEX(DarlSollzins,7),INDEX(DarlAnschluss,7))</f>
      </c>
      <c r="I3315" s="43">
        <f>IF(INDEX(DarlBelegt,7)=0,0,IF(INDEX(DarlOhneTilgung,7)=1,IF(INDEX(DarlBindung,7)="",1,$G3315),IF($J3315&gt;0.005,1,0)))</f>
      </c>
      <c r="J3315" s="43">
        <f>IF($I3314=0,0,$R3314)</f>
      </c>
      <c r="K3315" s="43">
        <f>IF($I3315=0,0,IF(INDEX(DarlOhneTilgung,7)=1,0,IF(AND(INDEX(DarlTilgStart,7)&gt;0,$E3315=INDEX(DarlTilgStart,7)),$J3315*($H3315+INDEX(DarlTilgung,7))/100/12,IF(AND($G3315=0,$G3314=1),MAX($K3314,$J3315*($H3315+1)/100/12),$K3314))))</f>
      </c>
      <c r="L3315" s="43">
        <f>IF($I3315=0,0,$J3315*$H3315/100/12)</f>
      </c>
      <c r="M3315" s="43">
        <f>IF($I3315=0,0,IF(OR(INDEX(DarlOhneTilgung,7)=1,AND(INDEX(DarlTilgStart,7)&gt;0,$E3315&lt;INDEX(DarlTilgStart,7))),0,MIN(MAX(0,$K3315-$L3315),$J3315)))</f>
      </c>
      <c r="N3315" s="43">
        <f>IF($I3315=0,0,MIN(SUMIFS(SondBetrag,SondDarl,7,SondDatum,"&gt;="&amp;$E3315,SondDatum,"&lt;="&amp;EOMONTH($E3315,0)),$J3315-$M3315))</f>
      </c>
      <c r="O3315" s="43">
        <f>IF($I3315=0,0,INDEX(DarlErsatzRate,7))</f>
      </c>
      <c r="P3315" s="43">
        <f>IF($I3315=0,0,$Q3314*INDEX(DarlErsatzZins,7))</f>
      </c>
      <c r="Q3315" s="43">
        <f>IF($I3315=0,0,$Q3314+$P3315+$O3315)</f>
      </c>
      <c r="R3315" s="43">
        <f>IF($I3315=0,0,$J3315-$M3315-$N3315)</f>
      </c>
    </row>
    <row r="3316">
      <c r="A3316"/>
      <c r="B3316">
        <v>7</v>
      </c>
      <c r="C3316" s="43">
        <f>INDEX(DarlObj,7)</f>
      </c>
      <c r="D3316">
        <v>433</v>
      </c>
      <c r="E3316" s="51">
        <f>IF(INDEX(DarlBelegt,7)=0,0,EOMONTH(INDEX(DarlAuszahlung,7),432)+1)</f>
      </c>
      <c r="F3316" s="43">
        <f>IF($E3316=0,0,YEAR($E3316))</f>
      </c>
      <c r="G3316" s="43">
        <f>IF(INDEX(DarlBindung,7)="",1,IF($E3316&lt;=INDEX(DarlBindung,7),1,0))</f>
      </c>
      <c r="H3316" s="43">
        <f>IF($G3316=1,INDEX(DarlSollzins,7),INDEX(DarlAnschluss,7))</f>
      </c>
      <c r="I3316" s="43">
        <f>IF(INDEX(DarlBelegt,7)=0,0,IF(INDEX(DarlOhneTilgung,7)=1,IF(INDEX(DarlBindung,7)="",1,$G3316),IF($J3316&gt;0.005,1,0)))</f>
      </c>
      <c r="J3316" s="43">
        <f>IF($I3315=0,0,$R3315)</f>
      </c>
      <c r="K3316" s="43">
        <f>IF($I3316=0,0,IF(INDEX(DarlOhneTilgung,7)=1,0,IF(AND(INDEX(DarlTilgStart,7)&gt;0,$E3316=INDEX(DarlTilgStart,7)),$J3316*($H3316+INDEX(DarlTilgung,7))/100/12,IF(AND($G3316=0,$G3315=1),MAX($K3315,$J3316*($H3316+1)/100/12),$K3315))))</f>
      </c>
      <c r="L3316" s="43">
        <f>IF($I3316=0,0,$J3316*$H3316/100/12)</f>
      </c>
      <c r="M3316" s="43">
        <f>IF($I3316=0,0,IF(OR(INDEX(DarlOhneTilgung,7)=1,AND(INDEX(DarlTilgStart,7)&gt;0,$E3316&lt;INDEX(DarlTilgStart,7))),0,MIN(MAX(0,$K3316-$L3316),$J3316)))</f>
      </c>
      <c r="N3316" s="43">
        <f>IF($I3316=0,0,MIN(SUMIFS(SondBetrag,SondDarl,7,SondDatum,"&gt;="&amp;$E3316,SondDatum,"&lt;="&amp;EOMONTH($E3316,0)),$J3316-$M3316))</f>
      </c>
      <c r="O3316" s="43">
        <f>IF($I3316=0,0,INDEX(DarlErsatzRate,7))</f>
      </c>
      <c r="P3316" s="43">
        <f>IF($I3316=0,0,$Q3315*INDEX(DarlErsatzZins,7))</f>
      </c>
      <c r="Q3316" s="43">
        <f>IF($I3316=0,0,$Q3315+$P3316+$O3316)</f>
      </c>
      <c r="R3316" s="43">
        <f>IF($I3316=0,0,$J3316-$M3316-$N3316)</f>
      </c>
    </row>
    <row r="3317">
      <c r="A3317"/>
      <c r="B3317">
        <v>7</v>
      </c>
      <c r="C3317" s="43">
        <f>INDEX(DarlObj,7)</f>
      </c>
      <c r="D3317">
        <v>434</v>
      </c>
      <c r="E3317" s="51">
        <f>IF(INDEX(DarlBelegt,7)=0,0,EOMONTH(INDEX(DarlAuszahlung,7),433)+1)</f>
      </c>
      <c r="F3317" s="43">
        <f>IF($E3317=0,0,YEAR($E3317))</f>
      </c>
      <c r="G3317" s="43">
        <f>IF(INDEX(DarlBindung,7)="",1,IF($E3317&lt;=INDEX(DarlBindung,7),1,0))</f>
      </c>
      <c r="H3317" s="43">
        <f>IF($G3317=1,INDEX(DarlSollzins,7),INDEX(DarlAnschluss,7))</f>
      </c>
      <c r="I3317" s="43">
        <f>IF(INDEX(DarlBelegt,7)=0,0,IF(INDEX(DarlOhneTilgung,7)=1,IF(INDEX(DarlBindung,7)="",1,$G3317),IF($J3317&gt;0.005,1,0)))</f>
      </c>
      <c r="J3317" s="43">
        <f>IF($I3316=0,0,$R3316)</f>
      </c>
      <c r="K3317" s="43">
        <f>IF($I3317=0,0,IF(INDEX(DarlOhneTilgung,7)=1,0,IF(AND(INDEX(DarlTilgStart,7)&gt;0,$E3317=INDEX(DarlTilgStart,7)),$J3317*($H3317+INDEX(DarlTilgung,7))/100/12,IF(AND($G3317=0,$G3316=1),MAX($K3316,$J3317*($H3317+1)/100/12),$K3316))))</f>
      </c>
      <c r="L3317" s="43">
        <f>IF($I3317=0,0,$J3317*$H3317/100/12)</f>
      </c>
      <c r="M3317" s="43">
        <f>IF($I3317=0,0,IF(OR(INDEX(DarlOhneTilgung,7)=1,AND(INDEX(DarlTilgStart,7)&gt;0,$E3317&lt;INDEX(DarlTilgStart,7))),0,MIN(MAX(0,$K3317-$L3317),$J3317)))</f>
      </c>
      <c r="N3317" s="43">
        <f>IF($I3317=0,0,MIN(SUMIFS(SondBetrag,SondDarl,7,SondDatum,"&gt;="&amp;$E3317,SondDatum,"&lt;="&amp;EOMONTH($E3317,0)),$J3317-$M3317))</f>
      </c>
      <c r="O3317" s="43">
        <f>IF($I3317=0,0,INDEX(DarlErsatzRate,7))</f>
      </c>
      <c r="P3317" s="43">
        <f>IF($I3317=0,0,$Q3316*INDEX(DarlErsatzZins,7))</f>
      </c>
      <c r="Q3317" s="43">
        <f>IF($I3317=0,0,$Q3316+$P3317+$O3317)</f>
      </c>
      <c r="R3317" s="43">
        <f>IF($I3317=0,0,$J3317-$M3317-$N3317)</f>
      </c>
    </row>
    <row r="3318">
      <c r="A3318"/>
      <c r="B3318">
        <v>7</v>
      </c>
      <c r="C3318" s="43">
        <f>INDEX(DarlObj,7)</f>
      </c>
      <c r="D3318">
        <v>435</v>
      </c>
      <c r="E3318" s="51">
        <f>IF(INDEX(DarlBelegt,7)=0,0,EOMONTH(INDEX(DarlAuszahlung,7),434)+1)</f>
      </c>
      <c r="F3318" s="43">
        <f>IF($E3318=0,0,YEAR($E3318))</f>
      </c>
      <c r="G3318" s="43">
        <f>IF(INDEX(DarlBindung,7)="",1,IF($E3318&lt;=INDEX(DarlBindung,7),1,0))</f>
      </c>
      <c r="H3318" s="43">
        <f>IF($G3318=1,INDEX(DarlSollzins,7),INDEX(DarlAnschluss,7))</f>
      </c>
      <c r="I3318" s="43">
        <f>IF(INDEX(DarlBelegt,7)=0,0,IF(INDEX(DarlOhneTilgung,7)=1,IF(INDEX(DarlBindung,7)="",1,$G3318),IF($J3318&gt;0.005,1,0)))</f>
      </c>
      <c r="J3318" s="43">
        <f>IF($I3317=0,0,$R3317)</f>
      </c>
      <c r="K3318" s="43">
        <f>IF($I3318=0,0,IF(INDEX(DarlOhneTilgung,7)=1,0,IF(AND(INDEX(DarlTilgStart,7)&gt;0,$E3318=INDEX(DarlTilgStart,7)),$J3318*($H3318+INDEX(DarlTilgung,7))/100/12,IF(AND($G3318=0,$G3317=1),MAX($K3317,$J3318*($H3318+1)/100/12),$K3317))))</f>
      </c>
      <c r="L3318" s="43">
        <f>IF($I3318=0,0,$J3318*$H3318/100/12)</f>
      </c>
      <c r="M3318" s="43">
        <f>IF($I3318=0,0,IF(OR(INDEX(DarlOhneTilgung,7)=1,AND(INDEX(DarlTilgStart,7)&gt;0,$E3318&lt;INDEX(DarlTilgStart,7))),0,MIN(MAX(0,$K3318-$L3318),$J3318)))</f>
      </c>
      <c r="N3318" s="43">
        <f>IF($I3318=0,0,MIN(SUMIFS(SondBetrag,SondDarl,7,SondDatum,"&gt;="&amp;$E3318,SondDatum,"&lt;="&amp;EOMONTH($E3318,0)),$J3318-$M3318))</f>
      </c>
      <c r="O3318" s="43">
        <f>IF($I3318=0,0,INDEX(DarlErsatzRate,7))</f>
      </c>
      <c r="P3318" s="43">
        <f>IF($I3318=0,0,$Q3317*INDEX(DarlErsatzZins,7))</f>
      </c>
      <c r="Q3318" s="43">
        <f>IF($I3318=0,0,$Q3317+$P3318+$O3318)</f>
      </c>
      <c r="R3318" s="43">
        <f>IF($I3318=0,0,$J3318-$M3318-$N3318)</f>
      </c>
    </row>
    <row r="3319">
      <c r="A3319"/>
      <c r="B3319">
        <v>7</v>
      </c>
      <c r="C3319" s="43">
        <f>INDEX(DarlObj,7)</f>
      </c>
      <c r="D3319">
        <v>436</v>
      </c>
      <c r="E3319" s="51">
        <f>IF(INDEX(DarlBelegt,7)=0,0,EOMONTH(INDEX(DarlAuszahlung,7),435)+1)</f>
      </c>
      <c r="F3319" s="43">
        <f>IF($E3319=0,0,YEAR($E3319))</f>
      </c>
      <c r="G3319" s="43">
        <f>IF(INDEX(DarlBindung,7)="",1,IF($E3319&lt;=INDEX(DarlBindung,7),1,0))</f>
      </c>
      <c r="H3319" s="43">
        <f>IF($G3319=1,INDEX(DarlSollzins,7),INDEX(DarlAnschluss,7))</f>
      </c>
      <c r="I3319" s="43">
        <f>IF(INDEX(DarlBelegt,7)=0,0,IF(INDEX(DarlOhneTilgung,7)=1,IF(INDEX(DarlBindung,7)="",1,$G3319),IF($J3319&gt;0.005,1,0)))</f>
      </c>
      <c r="J3319" s="43">
        <f>IF($I3318=0,0,$R3318)</f>
      </c>
      <c r="K3319" s="43">
        <f>IF($I3319=0,0,IF(INDEX(DarlOhneTilgung,7)=1,0,IF(AND(INDEX(DarlTilgStart,7)&gt;0,$E3319=INDEX(DarlTilgStart,7)),$J3319*($H3319+INDEX(DarlTilgung,7))/100/12,IF(AND($G3319=0,$G3318=1),MAX($K3318,$J3319*($H3319+1)/100/12),$K3318))))</f>
      </c>
      <c r="L3319" s="43">
        <f>IF($I3319=0,0,$J3319*$H3319/100/12)</f>
      </c>
      <c r="M3319" s="43">
        <f>IF($I3319=0,0,IF(OR(INDEX(DarlOhneTilgung,7)=1,AND(INDEX(DarlTilgStart,7)&gt;0,$E3319&lt;INDEX(DarlTilgStart,7))),0,MIN(MAX(0,$K3319-$L3319),$J3319)))</f>
      </c>
      <c r="N3319" s="43">
        <f>IF($I3319=0,0,MIN(SUMIFS(SondBetrag,SondDarl,7,SondDatum,"&gt;="&amp;$E3319,SondDatum,"&lt;="&amp;EOMONTH($E3319,0)),$J3319-$M3319))</f>
      </c>
      <c r="O3319" s="43">
        <f>IF($I3319=0,0,INDEX(DarlErsatzRate,7))</f>
      </c>
      <c r="P3319" s="43">
        <f>IF($I3319=0,0,$Q3318*INDEX(DarlErsatzZins,7))</f>
      </c>
      <c r="Q3319" s="43">
        <f>IF($I3319=0,0,$Q3318+$P3319+$O3319)</f>
      </c>
      <c r="R3319" s="43">
        <f>IF($I3319=0,0,$J3319-$M3319-$N3319)</f>
      </c>
    </row>
    <row r="3320">
      <c r="A3320"/>
      <c r="B3320">
        <v>7</v>
      </c>
      <c r="C3320" s="43">
        <f>INDEX(DarlObj,7)</f>
      </c>
      <c r="D3320">
        <v>437</v>
      </c>
      <c r="E3320" s="51">
        <f>IF(INDEX(DarlBelegt,7)=0,0,EOMONTH(INDEX(DarlAuszahlung,7),436)+1)</f>
      </c>
      <c r="F3320" s="43">
        <f>IF($E3320=0,0,YEAR($E3320))</f>
      </c>
      <c r="G3320" s="43">
        <f>IF(INDEX(DarlBindung,7)="",1,IF($E3320&lt;=INDEX(DarlBindung,7),1,0))</f>
      </c>
      <c r="H3320" s="43">
        <f>IF($G3320=1,INDEX(DarlSollzins,7),INDEX(DarlAnschluss,7))</f>
      </c>
      <c r="I3320" s="43">
        <f>IF(INDEX(DarlBelegt,7)=0,0,IF(INDEX(DarlOhneTilgung,7)=1,IF(INDEX(DarlBindung,7)="",1,$G3320),IF($J3320&gt;0.005,1,0)))</f>
      </c>
      <c r="J3320" s="43">
        <f>IF($I3319=0,0,$R3319)</f>
      </c>
      <c r="K3320" s="43">
        <f>IF($I3320=0,0,IF(INDEX(DarlOhneTilgung,7)=1,0,IF(AND(INDEX(DarlTilgStart,7)&gt;0,$E3320=INDEX(DarlTilgStart,7)),$J3320*($H3320+INDEX(DarlTilgung,7))/100/12,IF(AND($G3320=0,$G3319=1),MAX($K3319,$J3320*($H3320+1)/100/12),$K3319))))</f>
      </c>
      <c r="L3320" s="43">
        <f>IF($I3320=0,0,$J3320*$H3320/100/12)</f>
      </c>
      <c r="M3320" s="43">
        <f>IF($I3320=0,0,IF(OR(INDEX(DarlOhneTilgung,7)=1,AND(INDEX(DarlTilgStart,7)&gt;0,$E3320&lt;INDEX(DarlTilgStart,7))),0,MIN(MAX(0,$K3320-$L3320),$J3320)))</f>
      </c>
      <c r="N3320" s="43">
        <f>IF($I3320=0,0,MIN(SUMIFS(SondBetrag,SondDarl,7,SondDatum,"&gt;="&amp;$E3320,SondDatum,"&lt;="&amp;EOMONTH($E3320,0)),$J3320-$M3320))</f>
      </c>
      <c r="O3320" s="43">
        <f>IF($I3320=0,0,INDEX(DarlErsatzRate,7))</f>
      </c>
      <c r="P3320" s="43">
        <f>IF($I3320=0,0,$Q3319*INDEX(DarlErsatzZins,7))</f>
      </c>
      <c r="Q3320" s="43">
        <f>IF($I3320=0,0,$Q3319+$P3320+$O3320)</f>
      </c>
      <c r="R3320" s="43">
        <f>IF($I3320=0,0,$J3320-$M3320-$N3320)</f>
      </c>
    </row>
    <row r="3321">
      <c r="A3321"/>
      <c r="B3321">
        <v>7</v>
      </c>
      <c r="C3321" s="43">
        <f>INDEX(DarlObj,7)</f>
      </c>
      <c r="D3321">
        <v>438</v>
      </c>
      <c r="E3321" s="51">
        <f>IF(INDEX(DarlBelegt,7)=0,0,EOMONTH(INDEX(DarlAuszahlung,7),437)+1)</f>
      </c>
      <c r="F3321" s="43">
        <f>IF($E3321=0,0,YEAR($E3321))</f>
      </c>
      <c r="G3321" s="43">
        <f>IF(INDEX(DarlBindung,7)="",1,IF($E3321&lt;=INDEX(DarlBindung,7),1,0))</f>
      </c>
      <c r="H3321" s="43">
        <f>IF($G3321=1,INDEX(DarlSollzins,7),INDEX(DarlAnschluss,7))</f>
      </c>
      <c r="I3321" s="43">
        <f>IF(INDEX(DarlBelegt,7)=0,0,IF(INDEX(DarlOhneTilgung,7)=1,IF(INDEX(DarlBindung,7)="",1,$G3321),IF($J3321&gt;0.005,1,0)))</f>
      </c>
      <c r="J3321" s="43">
        <f>IF($I3320=0,0,$R3320)</f>
      </c>
      <c r="K3321" s="43">
        <f>IF($I3321=0,0,IF(INDEX(DarlOhneTilgung,7)=1,0,IF(AND(INDEX(DarlTilgStart,7)&gt;0,$E3321=INDEX(DarlTilgStart,7)),$J3321*($H3321+INDEX(DarlTilgung,7))/100/12,IF(AND($G3321=0,$G3320=1),MAX($K3320,$J3321*($H3321+1)/100/12),$K3320))))</f>
      </c>
      <c r="L3321" s="43">
        <f>IF($I3321=0,0,$J3321*$H3321/100/12)</f>
      </c>
      <c r="M3321" s="43">
        <f>IF($I3321=0,0,IF(OR(INDEX(DarlOhneTilgung,7)=1,AND(INDEX(DarlTilgStart,7)&gt;0,$E3321&lt;INDEX(DarlTilgStart,7))),0,MIN(MAX(0,$K3321-$L3321),$J3321)))</f>
      </c>
      <c r="N3321" s="43">
        <f>IF($I3321=0,0,MIN(SUMIFS(SondBetrag,SondDarl,7,SondDatum,"&gt;="&amp;$E3321,SondDatum,"&lt;="&amp;EOMONTH($E3321,0)),$J3321-$M3321))</f>
      </c>
      <c r="O3321" s="43">
        <f>IF($I3321=0,0,INDEX(DarlErsatzRate,7))</f>
      </c>
      <c r="P3321" s="43">
        <f>IF($I3321=0,0,$Q3320*INDEX(DarlErsatzZins,7))</f>
      </c>
      <c r="Q3321" s="43">
        <f>IF($I3321=0,0,$Q3320+$P3321+$O3321)</f>
      </c>
      <c r="R3321" s="43">
        <f>IF($I3321=0,0,$J3321-$M3321-$N3321)</f>
      </c>
    </row>
    <row r="3322">
      <c r="A3322"/>
      <c r="B3322">
        <v>7</v>
      </c>
      <c r="C3322" s="43">
        <f>INDEX(DarlObj,7)</f>
      </c>
      <c r="D3322">
        <v>439</v>
      </c>
      <c r="E3322" s="51">
        <f>IF(INDEX(DarlBelegt,7)=0,0,EOMONTH(INDEX(DarlAuszahlung,7),438)+1)</f>
      </c>
      <c r="F3322" s="43">
        <f>IF($E3322=0,0,YEAR($E3322))</f>
      </c>
      <c r="G3322" s="43">
        <f>IF(INDEX(DarlBindung,7)="",1,IF($E3322&lt;=INDEX(DarlBindung,7),1,0))</f>
      </c>
      <c r="H3322" s="43">
        <f>IF($G3322=1,INDEX(DarlSollzins,7),INDEX(DarlAnschluss,7))</f>
      </c>
      <c r="I3322" s="43">
        <f>IF(INDEX(DarlBelegt,7)=0,0,IF(INDEX(DarlOhneTilgung,7)=1,IF(INDEX(DarlBindung,7)="",1,$G3322),IF($J3322&gt;0.005,1,0)))</f>
      </c>
      <c r="J3322" s="43">
        <f>IF($I3321=0,0,$R3321)</f>
      </c>
      <c r="K3322" s="43">
        <f>IF($I3322=0,0,IF(INDEX(DarlOhneTilgung,7)=1,0,IF(AND(INDEX(DarlTilgStart,7)&gt;0,$E3322=INDEX(DarlTilgStart,7)),$J3322*($H3322+INDEX(DarlTilgung,7))/100/12,IF(AND($G3322=0,$G3321=1),MAX($K3321,$J3322*($H3322+1)/100/12),$K3321))))</f>
      </c>
      <c r="L3322" s="43">
        <f>IF($I3322=0,0,$J3322*$H3322/100/12)</f>
      </c>
      <c r="M3322" s="43">
        <f>IF($I3322=0,0,IF(OR(INDEX(DarlOhneTilgung,7)=1,AND(INDEX(DarlTilgStart,7)&gt;0,$E3322&lt;INDEX(DarlTilgStart,7))),0,MIN(MAX(0,$K3322-$L3322),$J3322)))</f>
      </c>
      <c r="N3322" s="43">
        <f>IF($I3322=0,0,MIN(SUMIFS(SondBetrag,SondDarl,7,SondDatum,"&gt;="&amp;$E3322,SondDatum,"&lt;="&amp;EOMONTH($E3322,0)),$J3322-$M3322))</f>
      </c>
      <c r="O3322" s="43">
        <f>IF($I3322=0,0,INDEX(DarlErsatzRate,7))</f>
      </c>
      <c r="P3322" s="43">
        <f>IF($I3322=0,0,$Q3321*INDEX(DarlErsatzZins,7))</f>
      </c>
      <c r="Q3322" s="43">
        <f>IF($I3322=0,0,$Q3321+$P3322+$O3322)</f>
      </c>
      <c r="R3322" s="43">
        <f>IF($I3322=0,0,$J3322-$M3322-$N3322)</f>
      </c>
    </row>
    <row r="3323">
      <c r="A3323"/>
      <c r="B3323">
        <v>7</v>
      </c>
      <c r="C3323" s="43">
        <f>INDEX(DarlObj,7)</f>
      </c>
      <c r="D3323">
        <v>440</v>
      </c>
      <c r="E3323" s="51">
        <f>IF(INDEX(DarlBelegt,7)=0,0,EOMONTH(INDEX(DarlAuszahlung,7),439)+1)</f>
      </c>
      <c r="F3323" s="43">
        <f>IF($E3323=0,0,YEAR($E3323))</f>
      </c>
      <c r="G3323" s="43">
        <f>IF(INDEX(DarlBindung,7)="",1,IF($E3323&lt;=INDEX(DarlBindung,7),1,0))</f>
      </c>
      <c r="H3323" s="43">
        <f>IF($G3323=1,INDEX(DarlSollzins,7),INDEX(DarlAnschluss,7))</f>
      </c>
      <c r="I3323" s="43">
        <f>IF(INDEX(DarlBelegt,7)=0,0,IF(INDEX(DarlOhneTilgung,7)=1,IF(INDEX(DarlBindung,7)="",1,$G3323),IF($J3323&gt;0.005,1,0)))</f>
      </c>
      <c r="J3323" s="43">
        <f>IF($I3322=0,0,$R3322)</f>
      </c>
      <c r="K3323" s="43">
        <f>IF($I3323=0,0,IF(INDEX(DarlOhneTilgung,7)=1,0,IF(AND(INDEX(DarlTilgStart,7)&gt;0,$E3323=INDEX(DarlTilgStart,7)),$J3323*($H3323+INDEX(DarlTilgung,7))/100/12,IF(AND($G3323=0,$G3322=1),MAX($K3322,$J3323*($H3323+1)/100/12),$K3322))))</f>
      </c>
      <c r="L3323" s="43">
        <f>IF($I3323=0,0,$J3323*$H3323/100/12)</f>
      </c>
      <c r="M3323" s="43">
        <f>IF($I3323=0,0,IF(OR(INDEX(DarlOhneTilgung,7)=1,AND(INDEX(DarlTilgStart,7)&gt;0,$E3323&lt;INDEX(DarlTilgStart,7))),0,MIN(MAX(0,$K3323-$L3323),$J3323)))</f>
      </c>
      <c r="N3323" s="43">
        <f>IF($I3323=0,0,MIN(SUMIFS(SondBetrag,SondDarl,7,SondDatum,"&gt;="&amp;$E3323,SondDatum,"&lt;="&amp;EOMONTH($E3323,0)),$J3323-$M3323))</f>
      </c>
      <c r="O3323" s="43">
        <f>IF($I3323=0,0,INDEX(DarlErsatzRate,7))</f>
      </c>
      <c r="P3323" s="43">
        <f>IF($I3323=0,0,$Q3322*INDEX(DarlErsatzZins,7))</f>
      </c>
      <c r="Q3323" s="43">
        <f>IF($I3323=0,0,$Q3322+$P3323+$O3323)</f>
      </c>
      <c r="R3323" s="43">
        <f>IF($I3323=0,0,$J3323-$M3323-$N3323)</f>
      </c>
    </row>
    <row r="3324">
      <c r="A3324"/>
      <c r="B3324">
        <v>7</v>
      </c>
      <c r="C3324" s="43">
        <f>INDEX(DarlObj,7)</f>
      </c>
      <c r="D3324">
        <v>441</v>
      </c>
      <c r="E3324" s="51">
        <f>IF(INDEX(DarlBelegt,7)=0,0,EOMONTH(INDEX(DarlAuszahlung,7),440)+1)</f>
      </c>
      <c r="F3324" s="43">
        <f>IF($E3324=0,0,YEAR($E3324))</f>
      </c>
      <c r="G3324" s="43">
        <f>IF(INDEX(DarlBindung,7)="",1,IF($E3324&lt;=INDEX(DarlBindung,7),1,0))</f>
      </c>
      <c r="H3324" s="43">
        <f>IF($G3324=1,INDEX(DarlSollzins,7),INDEX(DarlAnschluss,7))</f>
      </c>
      <c r="I3324" s="43">
        <f>IF(INDEX(DarlBelegt,7)=0,0,IF(INDEX(DarlOhneTilgung,7)=1,IF(INDEX(DarlBindung,7)="",1,$G3324),IF($J3324&gt;0.005,1,0)))</f>
      </c>
      <c r="J3324" s="43">
        <f>IF($I3323=0,0,$R3323)</f>
      </c>
      <c r="K3324" s="43">
        <f>IF($I3324=0,0,IF(INDEX(DarlOhneTilgung,7)=1,0,IF(AND(INDEX(DarlTilgStart,7)&gt;0,$E3324=INDEX(DarlTilgStart,7)),$J3324*($H3324+INDEX(DarlTilgung,7))/100/12,IF(AND($G3324=0,$G3323=1),MAX($K3323,$J3324*($H3324+1)/100/12),$K3323))))</f>
      </c>
      <c r="L3324" s="43">
        <f>IF($I3324=0,0,$J3324*$H3324/100/12)</f>
      </c>
      <c r="M3324" s="43">
        <f>IF($I3324=0,0,IF(OR(INDEX(DarlOhneTilgung,7)=1,AND(INDEX(DarlTilgStart,7)&gt;0,$E3324&lt;INDEX(DarlTilgStart,7))),0,MIN(MAX(0,$K3324-$L3324),$J3324)))</f>
      </c>
      <c r="N3324" s="43">
        <f>IF($I3324=0,0,MIN(SUMIFS(SondBetrag,SondDarl,7,SondDatum,"&gt;="&amp;$E3324,SondDatum,"&lt;="&amp;EOMONTH($E3324,0)),$J3324-$M3324))</f>
      </c>
      <c r="O3324" s="43">
        <f>IF($I3324=0,0,INDEX(DarlErsatzRate,7))</f>
      </c>
      <c r="P3324" s="43">
        <f>IF($I3324=0,0,$Q3323*INDEX(DarlErsatzZins,7))</f>
      </c>
      <c r="Q3324" s="43">
        <f>IF($I3324=0,0,$Q3323+$P3324+$O3324)</f>
      </c>
      <c r="R3324" s="43">
        <f>IF($I3324=0,0,$J3324-$M3324-$N3324)</f>
      </c>
    </row>
    <row r="3325">
      <c r="A3325"/>
      <c r="B3325">
        <v>7</v>
      </c>
      <c r="C3325" s="43">
        <f>INDEX(DarlObj,7)</f>
      </c>
      <c r="D3325">
        <v>442</v>
      </c>
      <c r="E3325" s="51">
        <f>IF(INDEX(DarlBelegt,7)=0,0,EOMONTH(INDEX(DarlAuszahlung,7),441)+1)</f>
      </c>
      <c r="F3325" s="43">
        <f>IF($E3325=0,0,YEAR($E3325))</f>
      </c>
      <c r="G3325" s="43">
        <f>IF(INDEX(DarlBindung,7)="",1,IF($E3325&lt;=INDEX(DarlBindung,7),1,0))</f>
      </c>
      <c r="H3325" s="43">
        <f>IF($G3325=1,INDEX(DarlSollzins,7),INDEX(DarlAnschluss,7))</f>
      </c>
      <c r="I3325" s="43">
        <f>IF(INDEX(DarlBelegt,7)=0,0,IF(INDEX(DarlOhneTilgung,7)=1,IF(INDEX(DarlBindung,7)="",1,$G3325),IF($J3325&gt;0.005,1,0)))</f>
      </c>
      <c r="J3325" s="43">
        <f>IF($I3324=0,0,$R3324)</f>
      </c>
      <c r="K3325" s="43">
        <f>IF($I3325=0,0,IF(INDEX(DarlOhneTilgung,7)=1,0,IF(AND(INDEX(DarlTilgStart,7)&gt;0,$E3325=INDEX(DarlTilgStart,7)),$J3325*($H3325+INDEX(DarlTilgung,7))/100/12,IF(AND($G3325=0,$G3324=1),MAX($K3324,$J3325*($H3325+1)/100/12),$K3324))))</f>
      </c>
      <c r="L3325" s="43">
        <f>IF($I3325=0,0,$J3325*$H3325/100/12)</f>
      </c>
      <c r="M3325" s="43">
        <f>IF($I3325=0,0,IF(OR(INDEX(DarlOhneTilgung,7)=1,AND(INDEX(DarlTilgStart,7)&gt;0,$E3325&lt;INDEX(DarlTilgStart,7))),0,MIN(MAX(0,$K3325-$L3325),$J3325)))</f>
      </c>
      <c r="N3325" s="43">
        <f>IF($I3325=0,0,MIN(SUMIFS(SondBetrag,SondDarl,7,SondDatum,"&gt;="&amp;$E3325,SondDatum,"&lt;="&amp;EOMONTH($E3325,0)),$J3325-$M3325))</f>
      </c>
      <c r="O3325" s="43">
        <f>IF($I3325=0,0,INDEX(DarlErsatzRate,7))</f>
      </c>
      <c r="P3325" s="43">
        <f>IF($I3325=0,0,$Q3324*INDEX(DarlErsatzZins,7))</f>
      </c>
      <c r="Q3325" s="43">
        <f>IF($I3325=0,0,$Q3324+$P3325+$O3325)</f>
      </c>
      <c r="R3325" s="43">
        <f>IF($I3325=0,0,$J3325-$M3325-$N3325)</f>
      </c>
    </row>
    <row r="3326">
      <c r="A3326"/>
      <c r="B3326">
        <v>7</v>
      </c>
      <c r="C3326" s="43">
        <f>INDEX(DarlObj,7)</f>
      </c>
      <c r="D3326">
        <v>443</v>
      </c>
      <c r="E3326" s="51">
        <f>IF(INDEX(DarlBelegt,7)=0,0,EOMONTH(INDEX(DarlAuszahlung,7),442)+1)</f>
      </c>
      <c r="F3326" s="43">
        <f>IF($E3326=0,0,YEAR($E3326))</f>
      </c>
      <c r="G3326" s="43">
        <f>IF(INDEX(DarlBindung,7)="",1,IF($E3326&lt;=INDEX(DarlBindung,7),1,0))</f>
      </c>
      <c r="H3326" s="43">
        <f>IF($G3326=1,INDEX(DarlSollzins,7),INDEX(DarlAnschluss,7))</f>
      </c>
      <c r="I3326" s="43">
        <f>IF(INDEX(DarlBelegt,7)=0,0,IF(INDEX(DarlOhneTilgung,7)=1,IF(INDEX(DarlBindung,7)="",1,$G3326),IF($J3326&gt;0.005,1,0)))</f>
      </c>
      <c r="J3326" s="43">
        <f>IF($I3325=0,0,$R3325)</f>
      </c>
      <c r="K3326" s="43">
        <f>IF($I3326=0,0,IF(INDEX(DarlOhneTilgung,7)=1,0,IF(AND(INDEX(DarlTilgStart,7)&gt;0,$E3326=INDEX(DarlTilgStart,7)),$J3326*($H3326+INDEX(DarlTilgung,7))/100/12,IF(AND($G3326=0,$G3325=1),MAX($K3325,$J3326*($H3326+1)/100/12),$K3325))))</f>
      </c>
      <c r="L3326" s="43">
        <f>IF($I3326=0,0,$J3326*$H3326/100/12)</f>
      </c>
      <c r="M3326" s="43">
        <f>IF($I3326=0,0,IF(OR(INDEX(DarlOhneTilgung,7)=1,AND(INDEX(DarlTilgStart,7)&gt;0,$E3326&lt;INDEX(DarlTilgStart,7))),0,MIN(MAX(0,$K3326-$L3326),$J3326)))</f>
      </c>
      <c r="N3326" s="43">
        <f>IF($I3326=0,0,MIN(SUMIFS(SondBetrag,SondDarl,7,SondDatum,"&gt;="&amp;$E3326,SondDatum,"&lt;="&amp;EOMONTH($E3326,0)),$J3326-$M3326))</f>
      </c>
      <c r="O3326" s="43">
        <f>IF($I3326=0,0,INDEX(DarlErsatzRate,7))</f>
      </c>
      <c r="P3326" s="43">
        <f>IF($I3326=0,0,$Q3325*INDEX(DarlErsatzZins,7))</f>
      </c>
      <c r="Q3326" s="43">
        <f>IF($I3326=0,0,$Q3325+$P3326+$O3326)</f>
      </c>
      <c r="R3326" s="43">
        <f>IF($I3326=0,0,$J3326-$M3326-$N3326)</f>
      </c>
    </row>
    <row r="3327">
      <c r="A3327"/>
      <c r="B3327">
        <v>7</v>
      </c>
      <c r="C3327" s="43">
        <f>INDEX(DarlObj,7)</f>
      </c>
      <c r="D3327">
        <v>444</v>
      </c>
      <c r="E3327" s="51">
        <f>IF(INDEX(DarlBelegt,7)=0,0,EOMONTH(INDEX(DarlAuszahlung,7),443)+1)</f>
      </c>
      <c r="F3327" s="43">
        <f>IF($E3327=0,0,YEAR($E3327))</f>
      </c>
      <c r="G3327" s="43">
        <f>IF(INDEX(DarlBindung,7)="",1,IF($E3327&lt;=INDEX(DarlBindung,7),1,0))</f>
      </c>
      <c r="H3327" s="43">
        <f>IF($G3327=1,INDEX(DarlSollzins,7),INDEX(DarlAnschluss,7))</f>
      </c>
      <c r="I3327" s="43">
        <f>IF(INDEX(DarlBelegt,7)=0,0,IF(INDEX(DarlOhneTilgung,7)=1,IF(INDEX(DarlBindung,7)="",1,$G3327),IF($J3327&gt;0.005,1,0)))</f>
      </c>
      <c r="J3327" s="43">
        <f>IF($I3326=0,0,$R3326)</f>
      </c>
      <c r="K3327" s="43">
        <f>IF($I3327=0,0,IF(INDEX(DarlOhneTilgung,7)=1,0,IF(AND(INDEX(DarlTilgStart,7)&gt;0,$E3327=INDEX(DarlTilgStart,7)),$J3327*($H3327+INDEX(DarlTilgung,7))/100/12,IF(AND($G3327=0,$G3326=1),MAX($K3326,$J3327*($H3327+1)/100/12),$K3326))))</f>
      </c>
      <c r="L3327" s="43">
        <f>IF($I3327=0,0,$J3327*$H3327/100/12)</f>
      </c>
      <c r="M3327" s="43">
        <f>IF($I3327=0,0,IF(OR(INDEX(DarlOhneTilgung,7)=1,AND(INDEX(DarlTilgStart,7)&gt;0,$E3327&lt;INDEX(DarlTilgStart,7))),0,MIN(MAX(0,$K3327-$L3327),$J3327)))</f>
      </c>
      <c r="N3327" s="43">
        <f>IF($I3327=0,0,MIN(SUMIFS(SondBetrag,SondDarl,7,SondDatum,"&gt;="&amp;$E3327,SondDatum,"&lt;="&amp;EOMONTH($E3327,0)),$J3327-$M3327))</f>
      </c>
      <c r="O3327" s="43">
        <f>IF($I3327=0,0,INDEX(DarlErsatzRate,7))</f>
      </c>
      <c r="P3327" s="43">
        <f>IF($I3327=0,0,$Q3326*INDEX(DarlErsatzZins,7))</f>
      </c>
      <c r="Q3327" s="43">
        <f>IF($I3327=0,0,$Q3326+$P3327+$O3327)</f>
      </c>
      <c r="R3327" s="43">
        <f>IF($I3327=0,0,$J3327-$M3327-$N3327)</f>
      </c>
    </row>
    <row r="3328">
      <c r="A3328"/>
      <c r="B3328">
        <v>7</v>
      </c>
      <c r="C3328" s="43">
        <f>INDEX(DarlObj,7)</f>
      </c>
      <c r="D3328">
        <v>445</v>
      </c>
      <c r="E3328" s="51">
        <f>IF(INDEX(DarlBelegt,7)=0,0,EOMONTH(INDEX(DarlAuszahlung,7),444)+1)</f>
      </c>
      <c r="F3328" s="43">
        <f>IF($E3328=0,0,YEAR($E3328))</f>
      </c>
      <c r="G3328" s="43">
        <f>IF(INDEX(DarlBindung,7)="",1,IF($E3328&lt;=INDEX(DarlBindung,7),1,0))</f>
      </c>
      <c r="H3328" s="43">
        <f>IF($G3328=1,INDEX(DarlSollzins,7),INDEX(DarlAnschluss,7))</f>
      </c>
      <c r="I3328" s="43">
        <f>IF(INDEX(DarlBelegt,7)=0,0,IF(INDEX(DarlOhneTilgung,7)=1,IF(INDEX(DarlBindung,7)="",1,$G3328),IF($J3328&gt;0.005,1,0)))</f>
      </c>
      <c r="J3328" s="43">
        <f>IF($I3327=0,0,$R3327)</f>
      </c>
      <c r="K3328" s="43">
        <f>IF($I3328=0,0,IF(INDEX(DarlOhneTilgung,7)=1,0,IF(AND(INDEX(DarlTilgStart,7)&gt;0,$E3328=INDEX(DarlTilgStart,7)),$J3328*($H3328+INDEX(DarlTilgung,7))/100/12,IF(AND($G3328=0,$G3327=1),MAX($K3327,$J3328*($H3328+1)/100/12),$K3327))))</f>
      </c>
      <c r="L3328" s="43">
        <f>IF($I3328=0,0,$J3328*$H3328/100/12)</f>
      </c>
      <c r="M3328" s="43">
        <f>IF($I3328=0,0,IF(OR(INDEX(DarlOhneTilgung,7)=1,AND(INDEX(DarlTilgStart,7)&gt;0,$E3328&lt;INDEX(DarlTilgStart,7))),0,MIN(MAX(0,$K3328-$L3328),$J3328)))</f>
      </c>
      <c r="N3328" s="43">
        <f>IF($I3328=0,0,MIN(SUMIFS(SondBetrag,SondDarl,7,SondDatum,"&gt;="&amp;$E3328,SondDatum,"&lt;="&amp;EOMONTH($E3328,0)),$J3328-$M3328))</f>
      </c>
      <c r="O3328" s="43">
        <f>IF($I3328=0,0,INDEX(DarlErsatzRate,7))</f>
      </c>
      <c r="P3328" s="43">
        <f>IF($I3328=0,0,$Q3327*INDEX(DarlErsatzZins,7))</f>
      </c>
      <c r="Q3328" s="43">
        <f>IF($I3328=0,0,$Q3327+$P3328+$O3328)</f>
      </c>
      <c r="R3328" s="43">
        <f>IF($I3328=0,0,$J3328-$M3328-$N3328)</f>
      </c>
    </row>
    <row r="3329">
      <c r="A3329"/>
      <c r="B3329">
        <v>7</v>
      </c>
      <c r="C3329" s="43">
        <f>INDEX(DarlObj,7)</f>
      </c>
      <c r="D3329">
        <v>446</v>
      </c>
      <c r="E3329" s="51">
        <f>IF(INDEX(DarlBelegt,7)=0,0,EOMONTH(INDEX(DarlAuszahlung,7),445)+1)</f>
      </c>
      <c r="F3329" s="43">
        <f>IF($E3329=0,0,YEAR($E3329))</f>
      </c>
      <c r="G3329" s="43">
        <f>IF(INDEX(DarlBindung,7)="",1,IF($E3329&lt;=INDEX(DarlBindung,7),1,0))</f>
      </c>
      <c r="H3329" s="43">
        <f>IF($G3329=1,INDEX(DarlSollzins,7),INDEX(DarlAnschluss,7))</f>
      </c>
      <c r="I3329" s="43">
        <f>IF(INDEX(DarlBelegt,7)=0,0,IF(INDEX(DarlOhneTilgung,7)=1,IF(INDEX(DarlBindung,7)="",1,$G3329),IF($J3329&gt;0.005,1,0)))</f>
      </c>
      <c r="J3329" s="43">
        <f>IF($I3328=0,0,$R3328)</f>
      </c>
      <c r="K3329" s="43">
        <f>IF($I3329=0,0,IF(INDEX(DarlOhneTilgung,7)=1,0,IF(AND(INDEX(DarlTilgStart,7)&gt;0,$E3329=INDEX(DarlTilgStart,7)),$J3329*($H3329+INDEX(DarlTilgung,7))/100/12,IF(AND($G3329=0,$G3328=1),MAX($K3328,$J3329*($H3329+1)/100/12),$K3328))))</f>
      </c>
      <c r="L3329" s="43">
        <f>IF($I3329=0,0,$J3329*$H3329/100/12)</f>
      </c>
      <c r="M3329" s="43">
        <f>IF($I3329=0,0,IF(OR(INDEX(DarlOhneTilgung,7)=1,AND(INDEX(DarlTilgStart,7)&gt;0,$E3329&lt;INDEX(DarlTilgStart,7))),0,MIN(MAX(0,$K3329-$L3329),$J3329)))</f>
      </c>
      <c r="N3329" s="43">
        <f>IF($I3329=0,0,MIN(SUMIFS(SondBetrag,SondDarl,7,SondDatum,"&gt;="&amp;$E3329,SondDatum,"&lt;="&amp;EOMONTH($E3329,0)),$J3329-$M3329))</f>
      </c>
      <c r="O3329" s="43">
        <f>IF($I3329=0,0,INDEX(DarlErsatzRate,7))</f>
      </c>
      <c r="P3329" s="43">
        <f>IF($I3329=0,0,$Q3328*INDEX(DarlErsatzZins,7))</f>
      </c>
      <c r="Q3329" s="43">
        <f>IF($I3329=0,0,$Q3328+$P3329+$O3329)</f>
      </c>
      <c r="R3329" s="43">
        <f>IF($I3329=0,0,$J3329-$M3329-$N3329)</f>
      </c>
    </row>
    <row r="3330">
      <c r="A3330"/>
      <c r="B3330">
        <v>7</v>
      </c>
      <c r="C3330" s="43">
        <f>INDEX(DarlObj,7)</f>
      </c>
      <c r="D3330">
        <v>447</v>
      </c>
      <c r="E3330" s="51">
        <f>IF(INDEX(DarlBelegt,7)=0,0,EOMONTH(INDEX(DarlAuszahlung,7),446)+1)</f>
      </c>
      <c r="F3330" s="43">
        <f>IF($E3330=0,0,YEAR($E3330))</f>
      </c>
      <c r="G3330" s="43">
        <f>IF(INDEX(DarlBindung,7)="",1,IF($E3330&lt;=INDEX(DarlBindung,7),1,0))</f>
      </c>
      <c r="H3330" s="43">
        <f>IF($G3330=1,INDEX(DarlSollzins,7),INDEX(DarlAnschluss,7))</f>
      </c>
      <c r="I3330" s="43">
        <f>IF(INDEX(DarlBelegt,7)=0,0,IF(INDEX(DarlOhneTilgung,7)=1,IF(INDEX(DarlBindung,7)="",1,$G3330),IF($J3330&gt;0.005,1,0)))</f>
      </c>
      <c r="J3330" s="43">
        <f>IF($I3329=0,0,$R3329)</f>
      </c>
      <c r="K3330" s="43">
        <f>IF($I3330=0,0,IF(INDEX(DarlOhneTilgung,7)=1,0,IF(AND(INDEX(DarlTilgStart,7)&gt;0,$E3330=INDEX(DarlTilgStart,7)),$J3330*($H3330+INDEX(DarlTilgung,7))/100/12,IF(AND($G3330=0,$G3329=1),MAX($K3329,$J3330*($H3330+1)/100/12),$K3329))))</f>
      </c>
      <c r="L3330" s="43">
        <f>IF($I3330=0,0,$J3330*$H3330/100/12)</f>
      </c>
      <c r="M3330" s="43">
        <f>IF($I3330=0,0,IF(OR(INDEX(DarlOhneTilgung,7)=1,AND(INDEX(DarlTilgStart,7)&gt;0,$E3330&lt;INDEX(DarlTilgStart,7))),0,MIN(MAX(0,$K3330-$L3330),$J3330)))</f>
      </c>
      <c r="N3330" s="43">
        <f>IF($I3330=0,0,MIN(SUMIFS(SondBetrag,SondDarl,7,SondDatum,"&gt;="&amp;$E3330,SondDatum,"&lt;="&amp;EOMONTH($E3330,0)),$J3330-$M3330))</f>
      </c>
      <c r="O3330" s="43">
        <f>IF($I3330=0,0,INDEX(DarlErsatzRate,7))</f>
      </c>
      <c r="P3330" s="43">
        <f>IF($I3330=0,0,$Q3329*INDEX(DarlErsatzZins,7))</f>
      </c>
      <c r="Q3330" s="43">
        <f>IF($I3330=0,0,$Q3329+$P3330+$O3330)</f>
      </c>
      <c r="R3330" s="43">
        <f>IF($I3330=0,0,$J3330-$M3330-$N3330)</f>
      </c>
    </row>
    <row r="3331">
      <c r="A3331"/>
      <c r="B3331">
        <v>7</v>
      </c>
      <c r="C3331" s="43">
        <f>INDEX(DarlObj,7)</f>
      </c>
      <c r="D3331">
        <v>448</v>
      </c>
      <c r="E3331" s="51">
        <f>IF(INDEX(DarlBelegt,7)=0,0,EOMONTH(INDEX(DarlAuszahlung,7),447)+1)</f>
      </c>
      <c r="F3331" s="43">
        <f>IF($E3331=0,0,YEAR($E3331))</f>
      </c>
      <c r="G3331" s="43">
        <f>IF(INDEX(DarlBindung,7)="",1,IF($E3331&lt;=INDEX(DarlBindung,7),1,0))</f>
      </c>
      <c r="H3331" s="43">
        <f>IF($G3331=1,INDEX(DarlSollzins,7),INDEX(DarlAnschluss,7))</f>
      </c>
      <c r="I3331" s="43">
        <f>IF(INDEX(DarlBelegt,7)=0,0,IF(INDEX(DarlOhneTilgung,7)=1,IF(INDEX(DarlBindung,7)="",1,$G3331),IF($J3331&gt;0.005,1,0)))</f>
      </c>
      <c r="J3331" s="43">
        <f>IF($I3330=0,0,$R3330)</f>
      </c>
      <c r="K3331" s="43">
        <f>IF($I3331=0,0,IF(INDEX(DarlOhneTilgung,7)=1,0,IF(AND(INDEX(DarlTilgStart,7)&gt;0,$E3331=INDEX(DarlTilgStart,7)),$J3331*($H3331+INDEX(DarlTilgung,7))/100/12,IF(AND($G3331=0,$G3330=1),MAX($K3330,$J3331*($H3331+1)/100/12),$K3330))))</f>
      </c>
      <c r="L3331" s="43">
        <f>IF($I3331=0,0,$J3331*$H3331/100/12)</f>
      </c>
      <c r="M3331" s="43">
        <f>IF($I3331=0,0,IF(OR(INDEX(DarlOhneTilgung,7)=1,AND(INDEX(DarlTilgStart,7)&gt;0,$E3331&lt;INDEX(DarlTilgStart,7))),0,MIN(MAX(0,$K3331-$L3331),$J3331)))</f>
      </c>
      <c r="N3331" s="43">
        <f>IF($I3331=0,0,MIN(SUMIFS(SondBetrag,SondDarl,7,SondDatum,"&gt;="&amp;$E3331,SondDatum,"&lt;="&amp;EOMONTH($E3331,0)),$J3331-$M3331))</f>
      </c>
      <c r="O3331" s="43">
        <f>IF($I3331=0,0,INDEX(DarlErsatzRate,7))</f>
      </c>
      <c r="P3331" s="43">
        <f>IF($I3331=0,0,$Q3330*INDEX(DarlErsatzZins,7))</f>
      </c>
      <c r="Q3331" s="43">
        <f>IF($I3331=0,0,$Q3330+$P3331+$O3331)</f>
      </c>
      <c r="R3331" s="43">
        <f>IF($I3331=0,0,$J3331-$M3331-$N3331)</f>
      </c>
    </row>
    <row r="3332">
      <c r="A3332"/>
      <c r="B3332">
        <v>7</v>
      </c>
      <c r="C3332" s="43">
        <f>INDEX(DarlObj,7)</f>
      </c>
      <c r="D3332">
        <v>449</v>
      </c>
      <c r="E3332" s="51">
        <f>IF(INDEX(DarlBelegt,7)=0,0,EOMONTH(INDEX(DarlAuszahlung,7),448)+1)</f>
      </c>
      <c r="F3332" s="43">
        <f>IF($E3332=0,0,YEAR($E3332))</f>
      </c>
      <c r="G3332" s="43">
        <f>IF(INDEX(DarlBindung,7)="",1,IF($E3332&lt;=INDEX(DarlBindung,7),1,0))</f>
      </c>
      <c r="H3332" s="43">
        <f>IF($G3332=1,INDEX(DarlSollzins,7),INDEX(DarlAnschluss,7))</f>
      </c>
      <c r="I3332" s="43">
        <f>IF(INDEX(DarlBelegt,7)=0,0,IF(INDEX(DarlOhneTilgung,7)=1,IF(INDEX(DarlBindung,7)="",1,$G3332),IF($J3332&gt;0.005,1,0)))</f>
      </c>
      <c r="J3332" s="43">
        <f>IF($I3331=0,0,$R3331)</f>
      </c>
      <c r="K3332" s="43">
        <f>IF($I3332=0,0,IF(INDEX(DarlOhneTilgung,7)=1,0,IF(AND(INDEX(DarlTilgStart,7)&gt;0,$E3332=INDEX(DarlTilgStart,7)),$J3332*($H3332+INDEX(DarlTilgung,7))/100/12,IF(AND($G3332=0,$G3331=1),MAX($K3331,$J3332*($H3332+1)/100/12),$K3331))))</f>
      </c>
      <c r="L3332" s="43">
        <f>IF($I3332=0,0,$J3332*$H3332/100/12)</f>
      </c>
      <c r="M3332" s="43">
        <f>IF($I3332=0,0,IF(OR(INDEX(DarlOhneTilgung,7)=1,AND(INDEX(DarlTilgStart,7)&gt;0,$E3332&lt;INDEX(DarlTilgStart,7))),0,MIN(MAX(0,$K3332-$L3332),$J3332)))</f>
      </c>
      <c r="N3332" s="43">
        <f>IF($I3332=0,0,MIN(SUMIFS(SondBetrag,SondDarl,7,SondDatum,"&gt;="&amp;$E3332,SondDatum,"&lt;="&amp;EOMONTH($E3332,0)),$J3332-$M3332))</f>
      </c>
      <c r="O3332" s="43">
        <f>IF($I3332=0,0,INDEX(DarlErsatzRate,7))</f>
      </c>
      <c r="P3332" s="43">
        <f>IF($I3332=0,0,$Q3331*INDEX(DarlErsatzZins,7))</f>
      </c>
      <c r="Q3332" s="43">
        <f>IF($I3332=0,0,$Q3331+$P3332+$O3332)</f>
      </c>
      <c r="R3332" s="43">
        <f>IF($I3332=0,0,$J3332-$M3332-$N3332)</f>
      </c>
    </row>
    <row r="3333">
      <c r="A3333"/>
      <c r="B3333">
        <v>7</v>
      </c>
      <c r="C3333" s="43">
        <f>INDEX(DarlObj,7)</f>
      </c>
      <c r="D3333">
        <v>450</v>
      </c>
      <c r="E3333" s="51">
        <f>IF(INDEX(DarlBelegt,7)=0,0,EOMONTH(INDEX(DarlAuszahlung,7),449)+1)</f>
      </c>
      <c r="F3333" s="43">
        <f>IF($E3333=0,0,YEAR($E3333))</f>
      </c>
      <c r="G3333" s="43">
        <f>IF(INDEX(DarlBindung,7)="",1,IF($E3333&lt;=INDEX(DarlBindung,7),1,0))</f>
      </c>
      <c r="H3333" s="43">
        <f>IF($G3333=1,INDEX(DarlSollzins,7),INDEX(DarlAnschluss,7))</f>
      </c>
      <c r="I3333" s="43">
        <f>IF(INDEX(DarlBelegt,7)=0,0,IF(INDEX(DarlOhneTilgung,7)=1,IF(INDEX(DarlBindung,7)="",1,$G3333),IF($J3333&gt;0.005,1,0)))</f>
      </c>
      <c r="J3333" s="43">
        <f>IF($I3332=0,0,$R3332)</f>
      </c>
      <c r="K3333" s="43">
        <f>IF($I3333=0,0,IF(INDEX(DarlOhneTilgung,7)=1,0,IF(AND(INDEX(DarlTilgStart,7)&gt;0,$E3333=INDEX(DarlTilgStart,7)),$J3333*($H3333+INDEX(DarlTilgung,7))/100/12,IF(AND($G3333=0,$G3332=1),MAX($K3332,$J3333*($H3333+1)/100/12),$K3332))))</f>
      </c>
      <c r="L3333" s="43">
        <f>IF($I3333=0,0,$J3333*$H3333/100/12)</f>
      </c>
      <c r="M3333" s="43">
        <f>IF($I3333=0,0,IF(OR(INDEX(DarlOhneTilgung,7)=1,AND(INDEX(DarlTilgStart,7)&gt;0,$E3333&lt;INDEX(DarlTilgStart,7))),0,MIN(MAX(0,$K3333-$L3333),$J3333)))</f>
      </c>
      <c r="N3333" s="43">
        <f>IF($I3333=0,0,MIN(SUMIFS(SondBetrag,SondDarl,7,SondDatum,"&gt;="&amp;$E3333,SondDatum,"&lt;="&amp;EOMONTH($E3333,0)),$J3333-$M3333))</f>
      </c>
      <c r="O3333" s="43">
        <f>IF($I3333=0,0,INDEX(DarlErsatzRate,7))</f>
      </c>
      <c r="P3333" s="43">
        <f>IF($I3333=0,0,$Q3332*INDEX(DarlErsatzZins,7))</f>
      </c>
      <c r="Q3333" s="43">
        <f>IF($I3333=0,0,$Q3332+$P3333+$O3333)</f>
      </c>
      <c r="R3333" s="43">
        <f>IF($I3333=0,0,$J3333-$M3333-$N3333)</f>
      </c>
    </row>
    <row r="3334">
      <c r="A3334"/>
      <c r="B3334">
        <v>7</v>
      </c>
      <c r="C3334" s="43">
        <f>INDEX(DarlObj,7)</f>
      </c>
      <c r="D3334">
        <v>451</v>
      </c>
      <c r="E3334" s="51">
        <f>IF(INDEX(DarlBelegt,7)=0,0,EOMONTH(INDEX(DarlAuszahlung,7),450)+1)</f>
      </c>
      <c r="F3334" s="43">
        <f>IF($E3334=0,0,YEAR($E3334))</f>
      </c>
      <c r="G3334" s="43">
        <f>IF(INDEX(DarlBindung,7)="",1,IF($E3334&lt;=INDEX(DarlBindung,7),1,0))</f>
      </c>
      <c r="H3334" s="43">
        <f>IF($G3334=1,INDEX(DarlSollzins,7),INDEX(DarlAnschluss,7))</f>
      </c>
      <c r="I3334" s="43">
        <f>IF(INDEX(DarlBelegt,7)=0,0,IF(INDEX(DarlOhneTilgung,7)=1,IF(INDEX(DarlBindung,7)="",1,$G3334),IF($J3334&gt;0.005,1,0)))</f>
      </c>
      <c r="J3334" s="43">
        <f>IF($I3333=0,0,$R3333)</f>
      </c>
      <c r="K3334" s="43">
        <f>IF($I3334=0,0,IF(INDEX(DarlOhneTilgung,7)=1,0,IF(AND(INDEX(DarlTilgStart,7)&gt;0,$E3334=INDEX(DarlTilgStart,7)),$J3334*($H3334+INDEX(DarlTilgung,7))/100/12,IF(AND($G3334=0,$G3333=1),MAX($K3333,$J3334*($H3334+1)/100/12),$K3333))))</f>
      </c>
      <c r="L3334" s="43">
        <f>IF($I3334=0,0,$J3334*$H3334/100/12)</f>
      </c>
      <c r="M3334" s="43">
        <f>IF($I3334=0,0,IF(OR(INDEX(DarlOhneTilgung,7)=1,AND(INDEX(DarlTilgStart,7)&gt;0,$E3334&lt;INDEX(DarlTilgStart,7))),0,MIN(MAX(0,$K3334-$L3334),$J3334)))</f>
      </c>
      <c r="N3334" s="43">
        <f>IF($I3334=0,0,MIN(SUMIFS(SondBetrag,SondDarl,7,SondDatum,"&gt;="&amp;$E3334,SondDatum,"&lt;="&amp;EOMONTH($E3334,0)),$J3334-$M3334))</f>
      </c>
      <c r="O3334" s="43">
        <f>IF($I3334=0,0,INDEX(DarlErsatzRate,7))</f>
      </c>
      <c r="P3334" s="43">
        <f>IF($I3334=0,0,$Q3333*INDEX(DarlErsatzZins,7))</f>
      </c>
      <c r="Q3334" s="43">
        <f>IF($I3334=0,0,$Q3333+$P3334+$O3334)</f>
      </c>
      <c r="R3334" s="43">
        <f>IF($I3334=0,0,$J3334-$M3334-$N3334)</f>
      </c>
    </row>
    <row r="3335">
      <c r="A3335"/>
      <c r="B3335">
        <v>7</v>
      </c>
      <c r="C3335" s="43">
        <f>INDEX(DarlObj,7)</f>
      </c>
      <c r="D3335">
        <v>452</v>
      </c>
      <c r="E3335" s="51">
        <f>IF(INDEX(DarlBelegt,7)=0,0,EOMONTH(INDEX(DarlAuszahlung,7),451)+1)</f>
      </c>
      <c r="F3335" s="43">
        <f>IF($E3335=0,0,YEAR($E3335))</f>
      </c>
      <c r="G3335" s="43">
        <f>IF(INDEX(DarlBindung,7)="",1,IF($E3335&lt;=INDEX(DarlBindung,7),1,0))</f>
      </c>
      <c r="H3335" s="43">
        <f>IF($G3335=1,INDEX(DarlSollzins,7),INDEX(DarlAnschluss,7))</f>
      </c>
      <c r="I3335" s="43">
        <f>IF(INDEX(DarlBelegt,7)=0,0,IF(INDEX(DarlOhneTilgung,7)=1,IF(INDEX(DarlBindung,7)="",1,$G3335),IF($J3335&gt;0.005,1,0)))</f>
      </c>
      <c r="J3335" s="43">
        <f>IF($I3334=0,0,$R3334)</f>
      </c>
      <c r="K3335" s="43">
        <f>IF($I3335=0,0,IF(INDEX(DarlOhneTilgung,7)=1,0,IF(AND(INDEX(DarlTilgStart,7)&gt;0,$E3335=INDEX(DarlTilgStart,7)),$J3335*($H3335+INDEX(DarlTilgung,7))/100/12,IF(AND($G3335=0,$G3334=1),MAX($K3334,$J3335*($H3335+1)/100/12),$K3334))))</f>
      </c>
      <c r="L3335" s="43">
        <f>IF($I3335=0,0,$J3335*$H3335/100/12)</f>
      </c>
      <c r="M3335" s="43">
        <f>IF($I3335=0,0,IF(OR(INDEX(DarlOhneTilgung,7)=1,AND(INDEX(DarlTilgStart,7)&gt;0,$E3335&lt;INDEX(DarlTilgStart,7))),0,MIN(MAX(0,$K3335-$L3335),$J3335)))</f>
      </c>
      <c r="N3335" s="43">
        <f>IF($I3335=0,0,MIN(SUMIFS(SondBetrag,SondDarl,7,SondDatum,"&gt;="&amp;$E3335,SondDatum,"&lt;="&amp;EOMONTH($E3335,0)),$J3335-$M3335))</f>
      </c>
      <c r="O3335" s="43">
        <f>IF($I3335=0,0,INDEX(DarlErsatzRate,7))</f>
      </c>
      <c r="P3335" s="43">
        <f>IF($I3335=0,0,$Q3334*INDEX(DarlErsatzZins,7))</f>
      </c>
      <c r="Q3335" s="43">
        <f>IF($I3335=0,0,$Q3334+$P3335+$O3335)</f>
      </c>
      <c r="R3335" s="43">
        <f>IF($I3335=0,0,$J3335-$M3335-$N3335)</f>
      </c>
    </row>
    <row r="3336">
      <c r="A3336"/>
      <c r="B3336">
        <v>7</v>
      </c>
      <c r="C3336" s="43">
        <f>INDEX(DarlObj,7)</f>
      </c>
      <c r="D3336">
        <v>453</v>
      </c>
      <c r="E3336" s="51">
        <f>IF(INDEX(DarlBelegt,7)=0,0,EOMONTH(INDEX(DarlAuszahlung,7),452)+1)</f>
      </c>
      <c r="F3336" s="43">
        <f>IF($E3336=0,0,YEAR($E3336))</f>
      </c>
      <c r="G3336" s="43">
        <f>IF(INDEX(DarlBindung,7)="",1,IF($E3336&lt;=INDEX(DarlBindung,7),1,0))</f>
      </c>
      <c r="H3336" s="43">
        <f>IF($G3336=1,INDEX(DarlSollzins,7),INDEX(DarlAnschluss,7))</f>
      </c>
      <c r="I3336" s="43">
        <f>IF(INDEX(DarlBelegt,7)=0,0,IF(INDEX(DarlOhneTilgung,7)=1,IF(INDEX(DarlBindung,7)="",1,$G3336),IF($J3336&gt;0.005,1,0)))</f>
      </c>
      <c r="J3336" s="43">
        <f>IF($I3335=0,0,$R3335)</f>
      </c>
      <c r="K3336" s="43">
        <f>IF($I3336=0,0,IF(INDEX(DarlOhneTilgung,7)=1,0,IF(AND(INDEX(DarlTilgStart,7)&gt;0,$E3336=INDEX(DarlTilgStart,7)),$J3336*($H3336+INDEX(DarlTilgung,7))/100/12,IF(AND($G3336=0,$G3335=1),MAX($K3335,$J3336*($H3336+1)/100/12),$K3335))))</f>
      </c>
      <c r="L3336" s="43">
        <f>IF($I3336=0,0,$J3336*$H3336/100/12)</f>
      </c>
      <c r="M3336" s="43">
        <f>IF($I3336=0,0,IF(OR(INDEX(DarlOhneTilgung,7)=1,AND(INDEX(DarlTilgStart,7)&gt;0,$E3336&lt;INDEX(DarlTilgStart,7))),0,MIN(MAX(0,$K3336-$L3336),$J3336)))</f>
      </c>
      <c r="N3336" s="43">
        <f>IF($I3336=0,0,MIN(SUMIFS(SondBetrag,SondDarl,7,SondDatum,"&gt;="&amp;$E3336,SondDatum,"&lt;="&amp;EOMONTH($E3336,0)),$J3336-$M3336))</f>
      </c>
      <c r="O3336" s="43">
        <f>IF($I3336=0,0,INDEX(DarlErsatzRate,7))</f>
      </c>
      <c r="P3336" s="43">
        <f>IF($I3336=0,0,$Q3335*INDEX(DarlErsatzZins,7))</f>
      </c>
      <c r="Q3336" s="43">
        <f>IF($I3336=0,0,$Q3335+$P3336+$O3336)</f>
      </c>
      <c r="R3336" s="43">
        <f>IF($I3336=0,0,$J3336-$M3336-$N3336)</f>
      </c>
    </row>
    <row r="3337">
      <c r="A3337"/>
      <c r="B3337">
        <v>7</v>
      </c>
      <c r="C3337" s="43">
        <f>INDEX(DarlObj,7)</f>
      </c>
      <c r="D3337">
        <v>454</v>
      </c>
      <c r="E3337" s="51">
        <f>IF(INDEX(DarlBelegt,7)=0,0,EOMONTH(INDEX(DarlAuszahlung,7),453)+1)</f>
      </c>
      <c r="F3337" s="43">
        <f>IF($E3337=0,0,YEAR($E3337))</f>
      </c>
      <c r="G3337" s="43">
        <f>IF(INDEX(DarlBindung,7)="",1,IF($E3337&lt;=INDEX(DarlBindung,7),1,0))</f>
      </c>
      <c r="H3337" s="43">
        <f>IF($G3337=1,INDEX(DarlSollzins,7),INDEX(DarlAnschluss,7))</f>
      </c>
      <c r="I3337" s="43">
        <f>IF(INDEX(DarlBelegt,7)=0,0,IF(INDEX(DarlOhneTilgung,7)=1,IF(INDEX(DarlBindung,7)="",1,$G3337),IF($J3337&gt;0.005,1,0)))</f>
      </c>
      <c r="J3337" s="43">
        <f>IF($I3336=0,0,$R3336)</f>
      </c>
      <c r="K3337" s="43">
        <f>IF($I3337=0,0,IF(INDEX(DarlOhneTilgung,7)=1,0,IF(AND(INDEX(DarlTilgStart,7)&gt;0,$E3337=INDEX(DarlTilgStart,7)),$J3337*($H3337+INDEX(DarlTilgung,7))/100/12,IF(AND($G3337=0,$G3336=1),MAX($K3336,$J3337*($H3337+1)/100/12),$K3336))))</f>
      </c>
      <c r="L3337" s="43">
        <f>IF($I3337=0,0,$J3337*$H3337/100/12)</f>
      </c>
      <c r="M3337" s="43">
        <f>IF($I3337=0,0,IF(OR(INDEX(DarlOhneTilgung,7)=1,AND(INDEX(DarlTilgStart,7)&gt;0,$E3337&lt;INDEX(DarlTilgStart,7))),0,MIN(MAX(0,$K3337-$L3337),$J3337)))</f>
      </c>
      <c r="N3337" s="43">
        <f>IF($I3337=0,0,MIN(SUMIFS(SondBetrag,SondDarl,7,SondDatum,"&gt;="&amp;$E3337,SondDatum,"&lt;="&amp;EOMONTH($E3337,0)),$J3337-$M3337))</f>
      </c>
      <c r="O3337" s="43">
        <f>IF($I3337=0,0,INDEX(DarlErsatzRate,7))</f>
      </c>
      <c r="P3337" s="43">
        <f>IF($I3337=0,0,$Q3336*INDEX(DarlErsatzZins,7))</f>
      </c>
      <c r="Q3337" s="43">
        <f>IF($I3337=0,0,$Q3336+$P3337+$O3337)</f>
      </c>
      <c r="R3337" s="43">
        <f>IF($I3337=0,0,$J3337-$M3337-$N3337)</f>
      </c>
    </row>
    <row r="3338">
      <c r="A3338"/>
      <c r="B3338">
        <v>7</v>
      </c>
      <c r="C3338" s="43">
        <f>INDEX(DarlObj,7)</f>
      </c>
      <c r="D3338">
        <v>455</v>
      </c>
      <c r="E3338" s="51">
        <f>IF(INDEX(DarlBelegt,7)=0,0,EOMONTH(INDEX(DarlAuszahlung,7),454)+1)</f>
      </c>
      <c r="F3338" s="43">
        <f>IF($E3338=0,0,YEAR($E3338))</f>
      </c>
      <c r="G3338" s="43">
        <f>IF(INDEX(DarlBindung,7)="",1,IF($E3338&lt;=INDEX(DarlBindung,7),1,0))</f>
      </c>
      <c r="H3338" s="43">
        <f>IF($G3338=1,INDEX(DarlSollzins,7),INDEX(DarlAnschluss,7))</f>
      </c>
      <c r="I3338" s="43">
        <f>IF(INDEX(DarlBelegt,7)=0,0,IF(INDEX(DarlOhneTilgung,7)=1,IF(INDEX(DarlBindung,7)="",1,$G3338),IF($J3338&gt;0.005,1,0)))</f>
      </c>
      <c r="J3338" s="43">
        <f>IF($I3337=0,0,$R3337)</f>
      </c>
      <c r="K3338" s="43">
        <f>IF($I3338=0,0,IF(INDEX(DarlOhneTilgung,7)=1,0,IF(AND(INDEX(DarlTilgStart,7)&gt;0,$E3338=INDEX(DarlTilgStart,7)),$J3338*($H3338+INDEX(DarlTilgung,7))/100/12,IF(AND($G3338=0,$G3337=1),MAX($K3337,$J3338*($H3338+1)/100/12),$K3337))))</f>
      </c>
      <c r="L3338" s="43">
        <f>IF($I3338=0,0,$J3338*$H3338/100/12)</f>
      </c>
      <c r="M3338" s="43">
        <f>IF($I3338=0,0,IF(OR(INDEX(DarlOhneTilgung,7)=1,AND(INDEX(DarlTilgStart,7)&gt;0,$E3338&lt;INDEX(DarlTilgStart,7))),0,MIN(MAX(0,$K3338-$L3338),$J3338)))</f>
      </c>
      <c r="N3338" s="43">
        <f>IF($I3338=0,0,MIN(SUMIFS(SondBetrag,SondDarl,7,SondDatum,"&gt;="&amp;$E3338,SondDatum,"&lt;="&amp;EOMONTH($E3338,0)),$J3338-$M3338))</f>
      </c>
      <c r="O3338" s="43">
        <f>IF($I3338=0,0,INDEX(DarlErsatzRate,7))</f>
      </c>
      <c r="P3338" s="43">
        <f>IF($I3338=0,0,$Q3337*INDEX(DarlErsatzZins,7))</f>
      </c>
      <c r="Q3338" s="43">
        <f>IF($I3338=0,0,$Q3337+$P3338+$O3338)</f>
      </c>
      <c r="R3338" s="43">
        <f>IF($I3338=0,0,$J3338-$M3338-$N3338)</f>
      </c>
    </row>
    <row r="3339">
      <c r="A3339"/>
      <c r="B3339">
        <v>7</v>
      </c>
      <c r="C3339" s="43">
        <f>INDEX(DarlObj,7)</f>
      </c>
      <c r="D3339">
        <v>456</v>
      </c>
      <c r="E3339" s="51">
        <f>IF(INDEX(DarlBelegt,7)=0,0,EOMONTH(INDEX(DarlAuszahlung,7),455)+1)</f>
      </c>
      <c r="F3339" s="43">
        <f>IF($E3339=0,0,YEAR($E3339))</f>
      </c>
      <c r="G3339" s="43">
        <f>IF(INDEX(DarlBindung,7)="",1,IF($E3339&lt;=INDEX(DarlBindung,7),1,0))</f>
      </c>
      <c r="H3339" s="43">
        <f>IF($G3339=1,INDEX(DarlSollzins,7),INDEX(DarlAnschluss,7))</f>
      </c>
      <c r="I3339" s="43">
        <f>IF(INDEX(DarlBelegt,7)=0,0,IF(INDEX(DarlOhneTilgung,7)=1,IF(INDEX(DarlBindung,7)="",1,$G3339),IF($J3339&gt;0.005,1,0)))</f>
      </c>
      <c r="J3339" s="43">
        <f>IF($I3338=0,0,$R3338)</f>
      </c>
      <c r="K3339" s="43">
        <f>IF($I3339=0,0,IF(INDEX(DarlOhneTilgung,7)=1,0,IF(AND(INDEX(DarlTilgStart,7)&gt;0,$E3339=INDEX(DarlTilgStart,7)),$J3339*($H3339+INDEX(DarlTilgung,7))/100/12,IF(AND($G3339=0,$G3338=1),MAX($K3338,$J3339*($H3339+1)/100/12),$K3338))))</f>
      </c>
      <c r="L3339" s="43">
        <f>IF($I3339=0,0,$J3339*$H3339/100/12)</f>
      </c>
      <c r="M3339" s="43">
        <f>IF($I3339=0,0,IF(OR(INDEX(DarlOhneTilgung,7)=1,AND(INDEX(DarlTilgStart,7)&gt;0,$E3339&lt;INDEX(DarlTilgStart,7))),0,MIN(MAX(0,$K3339-$L3339),$J3339)))</f>
      </c>
      <c r="N3339" s="43">
        <f>IF($I3339=0,0,MIN(SUMIFS(SondBetrag,SondDarl,7,SondDatum,"&gt;="&amp;$E3339,SondDatum,"&lt;="&amp;EOMONTH($E3339,0)),$J3339-$M3339))</f>
      </c>
      <c r="O3339" s="43">
        <f>IF($I3339=0,0,INDEX(DarlErsatzRate,7))</f>
      </c>
      <c r="P3339" s="43">
        <f>IF($I3339=0,0,$Q3338*INDEX(DarlErsatzZins,7))</f>
      </c>
      <c r="Q3339" s="43">
        <f>IF($I3339=0,0,$Q3338+$P3339+$O3339)</f>
      </c>
      <c r="R3339" s="43">
        <f>IF($I3339=0,0,$J3339-$M3339-$N3339)</f>
      </c>
    </row>
    <row r="3340">
      <c r="A3340"/>
      <c r="B3340">
        <v>7</v>
      </c>
      <c r="C3340" s="43">
        <f>INDEX(DarlObj,7)</f>
      </c>
      <c r="D3340">
        <v>457</v>
      </c>
      <c r="E3340" s="51">
        <f>IF(INDEX(DarlBelegt,7)=0,0,EOMONTH(INDEX(DarlAuszahlung,7),456)+1)</f>
      </c>
      <c r="F3340" s="43">
        <f>IF($E3340=0,0,YEAR($E3340))</f>
      </c>
      <c r="G3340" s="43">
        <f>IF(INDEX(DarlBindung,7)="",1,IF($E3340&lt;=INDEX(DarlBindung,7),1,0))</f>
      </c>
      <c r="H3340" s="43">
        <f>IF($G3340=1,INDEX(DarlSollzins,7),INDEX(DarlAnschluss,7))</f>
      </c>
      <c r="I3340" s="43">
        <f>IF(INDEX(DarlBelegt,7)=0,0,IF(INDEX(DarlOhneTilgung,7)=1,IF(INDEX(DarlBindung,7)="",1,$G3340),IF($J3340&gt;0.005,1,0)))</f>
      </c>
      <c r="J3340" s="43">
        <f>IF($I3339=0,0,$R3339)</f>
      </c>
      <c r="K3340" s="43">
        <f>IF($I3340=0,0,IF(INDEX(DarlOhneTilgung,7)=1,0,IF(AND(INDEX(DarlTilgStart,7)&gt;0,$E3340=INDEX(DarlTilgStart,7)),$J3340*($H3340+INDEX(DarlTilgung,7))/100/12,IF(AND($G3340=0,$G3339=1),MAX($K3339,$J3340*($H3340+1)/100/12),$K3339))))</f>
      </c>
      <c r="L3340" s="43">
        <f>IF($I3340=0,0,$J3340*$H3340/100/12)</f>
      </c>
      <c r="M3340" s="43">
        <f>IF($I3340=0,0,IF(OR(INDEX(DarlOhneTilgung,7)=1,AND(INDEX(DarlTilgStart,7)&gt;0,$E3340&lt;INDEX(DarlTilgStart,7))),0,MIN(MAX(0,$K3340-$L3340),$J3340)))</f>
      </c>
      <c r="N3340" s="43">
        <f>IF($I3340=0,0,MIN(SUMIFS(SondBetrag,SondDarl,7,SondDatum,"&gt;="&amp;$E3340,SondDatum,"&lt;="&amp;EOMONTH($E3340,0)),$J3340-$M3340))</f>
      </c>
      <c r="O3340" s="43">
        <f>IF($I3340=0,0,INDEX(DarlErsatzRate,7))</f>
      </c>
      <c r="P3340" s="43">
        <f>IF($I3340=0,0,$Q3339*INDEX(DarlErsatzZins,7))</f>
      </c>
      <c r="Q3340" s="43">
        <f>IF($I3340=0,0,$Q3339+$P3340+$O3340)</f>
      </c>
      <c r="R3340" s="43">
        <f>IF($I3340=0,0,$J3340-$M3340-$N3340)</f>
      </c>
    </row>
    <row r="3341">
      <c r="A3341"/>
      <c r="B3341">
        <v>7</v>
      </c>
      <c r="C3341" s="43">
        <f>INDEX(DarlObj,7)</f>
      </c>
      <c r="D3341">
        <v>458</v>
      </c>
      <c r="E3341" s="51">
        <f>IF(INDEX(DarlBelegt,7)=0,0,EOMONTH(INDEX(DarlAuszahlung,7),457)+1)</f>
      </c>
      <c r="F3341" s="43">
        <f>IF($E3341=0,0,YEAR($E3341))</f>
      </c>
      <c r="G3341" s="43">
        <f>IF(INDEX(DarlBindung,7)="",1,IF($E3341&lt;=INDEX(DarlBindung,7),1,0))</f>
      </c>
      <c r="H3341" s="43">
        <f>IF($G3341=1,INDEX(DarlSollzins,7),INDEX(DarlAnschluss,7))</f>
      </c>
      <c r="I3341" s="43">
        <f>IF(INDEX(DarlBelegt,7)=0,0,IF(INDEX(DarlOhneTilgung,7)=1,IF(INDEX(DarlBindung,7)="",1,$G3341),IF($J3341&gt;0.005,1,0)))</f>
      </c>
      <c r="J3341" s="43">
        <f>IF($I3340=0,0,$R3340)</f>
      </c>
      <c r="K3341" s="43">
        <f>IF($I3341=0,0,IF(INDEX(DarlOhneTilgung,7)=1,0,IF(AND(INDEX(DarlTilgStart,7)&gt;0,$E3341=INDEX(DarlTilgStart,7)),$J3341*($H3341+INDEX(DarlTilgung,7))/100/12,IF(AND($G3341=0,$G3340=1),MAX($K3340,$J3341*($H3341+1)/100/12),$K3340))))</f>
      </c>
      <c r="L3341" s="43">
        <f>IF($I3341=0,0,$J3341*$H3341/100/12)</f>
      </c>
      <c r="M3341" s="43">
        <f>IF($I3341=0,0,IF(OR(INDEX(DarlOhneTilgung,7)=1,AND(INDEX(DarlTilgStart,7)&gt;0,$E3341&lt;INDEX(DarlTilgStart,7))),0,MIN(MAX(0,$K3341-$L3341),$J3341)))</f>
      </c>
      <c r="N3341" s="43">
        <f>IF($I3341=0,0,MIN(SUMIFS(SondBetrag,SondDarl,7,SondDatum,"&gt;="&amp;$E3341,SondDatum,"&lt;="&amp;EOMONTH($E3341,0)),$J3341-$M3341))</f>
      </c>
      <c r="O3341" s="43">
        <f>IF($I3341=0,0,INDEX(DarlErsatzRate,7))</f>
      </c>
      <c r="P3341" s="43">
        <f>IF($I3341=0,0,$Q3340*INDEX(DarlErsatzZins,7))</f>
      </c>
      <c r="Q3341" s="43">
        <f>IF($I3341=0,0,$Q3340+$P3341+$O3341)</f>
      </c>
      <c r="R3341" s="43">
        <f>IF($I3341=0,0,$J3341-$M3341-$N3341)</f>
      </c>
    </row>
    <row r="3342">
      <c r="A3342"/>
      <c r="B3342">
        <v>7</v>
      </c>
      <c r="C3342" s="43">
        <f>INDEX(DarlObj,7)</f>
      </c>
      <c r="D3342">
        <v>459</v>
      </c>
      <c r="E3342" s="51">
        <f>IF(INDEX(DarlBelegt,7)=0,0,EOMONTH(INDEX(DarlAuszahlung,7),458)+1)</f>
      </c>
      <c r="F3342" s="43">
        <f>IF($E3342=0,0,YEAR($E3342))</f>
      </c>
      <c r="G3342" s="43">
        <f>IF(INDEX(DarlBindung,7)="",1,IF($E3342&lt;=INDEX(DarlBindung,7),1,0))</f>
      </c>
      <c r="H3342" s="43">
        <f>IF($G3342=1,INDEX(DarlSollzins,7),INDEX(DarlAnschluss,7))</f>
      </c>
      <c r="I3342" s="43">
        <f>IF(INDEX(DarlBelegt,7)=0,0,IF(INDEX(DarlOhneTilgung,7)=1,IF(INDEX(DarlBindung,7)="",1,$G3342),IF($J3342&gt;0.005,1,0)))</f>
      </c>
      <c r="J3342" s="43">
        <f>IF($I3341=0,0,$R3341)</f>
      </c>
      <c r="K3342" s="43">
        <f>IF($I3342=0,0,IF(INDEX(DarlOhneTilgung,7)=1,0,IF(AND(INDEX(DarlTilgStart,7)&gt;0,$E3342=INDEX(DarlTilgStart,7)),$J3342*($H3342+INDEX(DarlTilgung,7))/100/12,IF(AND($G3342=0,$G3341=1),MAX($K3341,$J3342*($H3342+1)/100/12),$K3341))))</f>
      </c>
      <c r="L3342" s="43">
        <f>IF($I3342=0,0,$J3342*$H3342/100/12)</f>
      </c>
      <c r="M3342" s="43">
        <f>IF($I3342=0,0,IF(OR(INDEX(DarlOhneTilgung,7)=1,AND(INDEX(DarlTilgStart,7)&gt;0,$E3342&lt;INDEX(DarlTilgStart,7))),0,MIN(MAX(0,$K3342-$L3342),$J3342)))</f>
      </c>
      <c r="N3342" s="43">
        <f>IF($I3342=0,0,MIN(SUMIFS(SondBetrag,SondDarl,7,SondDatum,"&gt;="&amp;$E3342,SondDatum,"&lt;="&amp;EOMONTH($E3342,0)),$J3342-$M3342))</f>
      </c>
      <c r="O3342" s="43">
        <f>IF($I3342=0,0,INDEX(DarlErsatzRate,7))</f>
      </c>
      <c r="P3342" s="43">
        <f>IF($I3342=0,0,$Q3341*INDEX(DarlErsatzZins,7))</f>
      </c>
      <c r="Q3342" s="43">
        <f>IF($I3342=0,0,$Q3341+$P3342+$O3342)</f>
      </c>
      <c r="R3342" s="43">
        <f>IF($I3342=0,0,$J3342-$M3342-$N3342)</f>
      </c>
    </row>
    <row r="3343">
      <c r="A3343"/>
      <c r="B3343">
        <v>7</v>
      </c>
      <c r="C3343" s="43">
        <f>INDEX(DarlObj,7)</f>
      </c>
      <c r="D3343">
        <v>460</v>
      </c>
      <c r="E3343" s="51">
        <f>IF(INDEX(DarlBelegt,7)=0,0,EOMONTH(INDEX(DarlAuszahlung,7),459)+1)</f>
      </c>
      <c r="F3343" s="43">
        <f>IF($E3343=0,0,YEAR($E3343))</f>
      </c>
      <c r="G3343" s="43">
        <f>IF(INDEX(DarlBindung,7)="",1,IF($E3343&lt;=INDEX(DarlBindung,7),1,0))</f>
      </c>
      <c r="H3343" s="43">
        <f>IF($G3343=1,INDEX(DarlSollzins,7),INDEX(DarlAnschluss,7))</f>
      </c>
      <c r="I3343" s="43">
        <f>IF(INDEX(DarlBelegt,7)=0,0,IF(INDEX(DarlOhneTilgung,7)=1,IF(INDEX(DarlBindung,7)="",1,$G3343),IF($J3343&gt;0.005,1,0)))</f>
      </c>
      <c r="J3343" s="43">
        <f>IF($I3342=0,0,$R3342)</f>
      </c>
      <c r="K3343" s="43">
        <f>IF($I3343=0,0,IF(INDEX(DarlOhneTilgung,7)=1,0,IF(AND(INDEX(DarlTilgStart,7)&gt;0,$E3343=INDEX(DarlTilgStart,7)),$J3343*($H3343+INDEX(DarlTilgung,7))/100/12,IF(AND($G3343=0,$G3342=1),MAX($K3342,$J3343*($H3343+1)/100/12),$K3342))))</f>
      </c>
      <c r="L3343" s="43">
        <f>IF($I3343=0,0,$J3343*$H3343/100/12)</f>
      </c>
      <c r="M3343" s="43">
        <f>IF($I3343=0,0,IF(OR(INDEX(DarlOhneTilgung,7)=1,AND(INDEX(DarlTilgStart,7)&gt;0,$E3343&lt;INDEX(DarlTilgStart,7))),0,MIN(MAX(0,$K3343-$L3343),$J3343)))</f>
      </c>
      <c r="N3343" s="43">
        <f>IF($I3343=0,0,MIN(SUMIFS(SondBetrag,SondDarl,7,SondDatum,"&gt;="&amp;$E3343,SondDatum,"&lt;="&amp;EOMONTH($E3343,0)),$J3343-$M3343))</f>
      </c>
      <c r="O3343" s="43">
        <f>IF($I3343=0,0,INDEX(DarlErsatzRate,7))</f>
      </c>
      <c r="P3343" s="43">
        <f>IF($I3343=0,0,$Q3342*INDEX(DarlErsatzZins,7))</f>
      </c>
      <c r="Q3343" s="43">
        <f>IF($I3343=0,0,$Q3342+$P3343+$O3343)</f>
      </c>
      <c r="R3343" s="43">
        <f>IF($I3343=0,0,$J3343-$M3343-$N3343)</f>
      </c>
    </row>
    <row r="3344">
      <c r="A3344"/>
      <c r="B3344">
        <v>7</v>
      </c>
      <c r="C3344" s="43">
        <f>INDEX(DarlObj,7)</f>
      </c>
      <c r="D3344">
        <v>461</v>
      </c>
      <c r="E3344" s="51">
        <f>IF(INDEX(DarlBelegt,7)=0,0,EOMONTH(INDEX(DarlAuszahlung,7),460)+1)</f>
      </c>
      <c r="F3344" s="43">
        <f>IF($E3344=0,0,YEAR($E3344))</f>
      </c>
      <c r="G3344" s="43">
        <f>IF(INDEX(DarlBindung,7)="",1,IF($E3344&lt;=INDEX(DarlBindung,7),1,0))</f>
      </c>
      <c r="H3344" s="43">
        <f>IF($G3344=1,INDEX(DarlSollzins,7),INDEX(DarlAnschluss,7))</f>
      </c>
      <c r="I3344" s="43">
        <f>IF(INDEX(DarlBelegt,7)=0,0,IF(INDEX(DarlOhneTilgung,7)=1,IF(INDEX(DarlBindung,7)="",1,$G3344),IF($J3344&gt;0.005,1,0)))</f>
      </c>
      <c r="J3344" s="43">
        <f>IF($I3343=0,0,$R3343)</f>
      </c>
      <c r="K3344" s="43">
        <f>IF($I3344=0,0,IF(INDEX(DarlOhneTilgung,7)=1,0,IF(AND(INDEX(DarlTilgStart,7)&gt;0,$E3344=INDEX(DarlTilgStart,7)),$J3344*($H3344+INDEX(DarlTilgung,7))/100/12,IF(AND($G3344=0,$G3343=1),MAX($K3343,$J3344*($H3344+1)/100/12),$K3343))))</f>
      </c>
      <c r="L3344" s="43">
        <f>IF($I3344=0,0,$J3344*$H3344/100/12)</f>
      </c>
      <c r="M3344" s="43">
        <f>IF($I3344=0,0,IF(OR(INDEX(DarlOhneTilgung,7)=1,AND(INDEX(DarlTilgStart,7)&gt;0,$E3344&lt;INDEX(DarlTilgStart,7))),0,MIN(MAX(0,$K3344-$L3344),$J3344)))</f>
      </c>
      <c r="N3344" s="43">
        <f>IF($I3344=0,0,MIN(SUMIFS(SondBetrag,SondDarl,7,SondDatum,"&gt;="&amp;$E3344,SondDatum,"&lt;="&amp;EOMONTH($E3344,0)),$J3344-$M3344))</f>
      </c>
      <c r="O3344" s="43">
        <f>IF($I3344=0,0,INDEX(DarlErsatzRate,7))</f>
      </c>
      <c r="P3344" s="43">
        <f>IF($I3344=0,0,$Q3343*INDEX(DarlErsatzZins,7))</f>
      </c>
      <c r="Q3344" s="43">
        <f>IF($I3344=0,0,$Q3343+$P3344+$O3344)</f>
      </c>
      <c r="R3344" s="43">
        <f>IF($I3344=0,0,$J3344-$M3344-$N3344)</f>
      </c>
    </row>
    <row r="3345">
      <c r="A3345"/>
      <c r="B3345">
        <v>7</v>
      </c>
      <c r="C3345" s="43">
        <f>INDEX(DarlObj,7)</f>
      </c>
      <c r="D3345">
        <v>462</v>
      </c>
      <c r="E3345" s="51">
        <f>IF(INDEX(DarlBelegt,7)=0,0,EOMONTH(INDEX(DarlAuszahlung,7),461)+1)</f>
      </c>
      <c r="F3345" s="43">
        <f>IF($E3345=0,0,YEAR($E3345))</f>
      </c>
      <c r="G3345" s="43">
        <f>IF(INDEX(DarlBindung,7)="",1,IF($E3345&lt;=INDEX(DarlBindung,7),1,0))</f>
      </c>
      <c r="H3345" s="43">
        <f>IF($G3345=1,INDEX(DarlSollzins,7),INDEX(DarlAnschluss,7))</f>
      </c>
      <c r="I3345" s="43">
        <f>IF(INDEX(DarlBelegt,7)=0,0,IF(INDEX(DarlOhneTilgung,7)=1,IF(INDEX(DarlBindung,7)="",1,$G3345),IF($J3345&gt;0.005,1,0)))</f>
      </c>
      <c r="J3345" s="43">
        <f>IF($I3344=0,0,$R3344)</f>
      </c>
      <c r="K3345" s="43">
        <f>IF($I3345=0,0,IF(INDEX(DarlOhneTilgung,7)=1,0,IF(AND(INDEX(DarlTilgStart,7)&gt;0,$E3345=INDEX(DarlTilgStart,7)),$J3345*($H3345+INDEX(DarlTilgung,7))/100/12,IF(AND($G3345=0,$G3344=1),MAX($K3344,$J3345*($H3345+1)/100/12),$K3344))))</f>
      </c>
      <c r="L3345" s="43">
        <f>IF($I3345=0,0,$J3345*$H3345/100/12)</f>
      </c>
      <c r="M3345" s="43">
        <f>IF($I3345=0,0,IF(OR(INDEX(DarlOhneTilgung,7)=1,AND(INDEX(DarlTilgStart,7)&gt;0,$E3345&lt;INDEX(DarlTilgStart,7))),0,MIN(MAX(0,$K3345-$L3345),$J3345)))</f>
      </c>
      <c r="N3345" s="43">
        <f>IF($I3345=0,0,MIN(SUMIFS(SondBetrag,SondDarl,7,SondDatum,"&gt;="&amp;$E3345,SondDatum,"&lt;="&amp;EOMONTH($E3345,0)),$J3345-$M3345))</f>
      </c>
      <c r="O3345" s="43">
        <f>IF($I3345=0,0,INDEX(DarlErsatzRate,7))</f>
      </c>
      <c r="P3345" s="43">
        <f>IF($I3345=0,0,$Q3344*INDEX(DarlErsatzZins,7))</f>
      </c>
      <c r="Q3345" s="43">
        <f>IF($I3345=0,0,$Q3344+$P3345+$O3345)</f>
      </c>
      <c r="R3345" s="43">
        <f>IF($I3345=0,0,$J3345-$M3345-$N3345)</f>
      </c>
    </row>
    <row r="3346">
      <c r="A3346"/>
      <c r="B3346">
        <v>7</v>
      </c>
      <c r="C3346" s="43">
        <f>INDEX(DarlObj,7)</f>
      </c>
      <c r="D3346">
        <v>463</v>
      </c>
      <c r="E3346" s="51">
        <f>IF(INDEX(DarlBelegt,7)=0,0,EOMONTH(INDEX(DarlAuszahlung,7),462)+1)</f>
      </c>
      <c r="F3346" s="43">
        <f>IF($E3346=0,0,YEAR($E3346))</f>
      </c>
      <c r="G3346" s="43">
        <f>IF(INDEX(DarlBindung,7)="",1,IF($E3346&lt;=INDEX(DarlBindung,7),1,0))</f>
      </c>
      <c r="H3346" s="43">
        <f>IF($G3346=1,INDEX(DarlSollzins,7),INDEX(DarlAnschluss,7))</f>
      </c>
      <c r="I3346" s="43">
        <f>IF(INDEX(DarlBelegt,7)=0,0,IF(INDEX(DarlOhneTilgung,7)=1,IF(INDEX(DarlBindung,7)="",1,$G3346),IF($J3346&gt;0.005,1,0)))</f>
      </c>
      <c r="J3346" s="43">
        <f>IF($I3345=0,0,$R3345)</f>
      </c>
      <c r="K3346" s="43">
        <f>IF($I3346=0,0,IF(INDEX(DarlOhneTilgung,7)=1,0,IF(AND(INDEX(DarlTilgStart,7)&gt;0,$E3346=INDEX(DarlTilgStart,7)),$J3346*($H3346+INDEX(DarlTilgung,7))/100/12,IF(AND($G3346=0,$G3345=1),MAX($K3345,$J3346*($H3346+1)/100/12),$K3345))))</f>
      </c>
      <c r="L3346" s="43">
        <f>IF($I3346=0,0,$J3346*$H3346/100/12)</f>
      </c>
      <c r="M3346" s="43">
        <f>IF($I3346=0,0,IF(OR(INDEX(DarlOhneTilgung,7)=1,AND(INDEX(DarlTilgStart,7)&gt;0,$E3346&lt;INDEX(DarlTilgStart,7))),0,MIN(MAX(0,$K3346-$L3346),$J3346)))</f>
      </c>
      <c r="N3346" s="43">
        <f>IF($I3346=0,0,MIN(SUMIFS(SondBetrag,SondDarl,7,SondDatum,"&gt;="&amp;$E3346,SondDatum,"&lt;="&amp;EOMONTH($E3346,0)),$J3346-$M3346))</f>
      </c>
      <c r="O3346" s="43">
        <f>IF($I3346=0,0,INDEX(DarlErsatzRate,7))</f>
      </c>
      <c r="P3346" s="43">
        <f>IF($I3346=0,0,$Q3345*INDEX(DarlErsatzZins,7))</f>
      </c>
      <c r="Q3346" s="43">
        <f>IF($I3346=0,0,$Q3345+$P3346+$O3346)</f>
      </c>
      <c r="R3346" s="43">
        <f>IF($I3346=0,0,$J3346-$M3346-$N3346)</f>
      </c>
    </row>
    <row r="3347">
      <c r="A3347"/>
      <c r="B3347">
        <v>7</v>
      </c>
      <c r="C3347" s="43">
        <f>INDEX(DarlObj,7)</f>
      </c>
      <c r="D3347">
        <v>464</v>
      </c>
      <c r="E3347" s="51">
        <f>IF(INDEX(DarlBelegt,7)=0,0,EOMONTH(INDEX(DarlAuszahlung,7),463)+1)</f>
      </c>
      <c r="F3347" s="43">
        <f>IF($E3347=0,0,YEAR($E3347))</f>
      </c>
      <c r="G3347" s="43">
        <f>IF(INDEX(DarlBindung,7)="",1,IF($E3347&lt;=INDEX(DarlBindung,7),1,0))</f>
      </c>
      <c r="H3347" s="43">
        <f>IF($G3347=1,INDEX(DarlSollzins,7),INDEX(DarlAnschluss,7))</f>
      </c>
      <c r="I3347" s="43">
        <f>IF(INDEX(DarlBelegt,7)=0,0,IF(INDEX(DarlOhneTilgung,7)=1,IF(INDEX(DarlBindung,7)="",1,$G3347),IF($J3347&gt;0.005,1,0)))</f>
      </c>
      <c r="J3347" s="43">
        <f>IF($I3346=0,0,$R3346)</f>
      </c>
      <c r="K3347" s="43">
        <f>IF($I3347=0,0,IF(INDEX(DarlOhneTilgung,7)=1,0,IF(AND(INDEX(DarlTilgStart,7)&gt;0,$E3347=INDEX(DarlTilgStart,7)),$J3347*($H3347+INDEX(DarlTilgung,7))/100/12,IF(AND($G3347=0,$G3346=1),MAX($K3346,$J3347*($H3347+1)/100/12),$K3346))))</f>
      </c>
      <c r="L3347" s="43">
        <f>IF($I3347=0,0,$J3347*$H3347/100/12)</f>
      </c>
      <c r="M3347" s="43">
        <f>IF($I3347=0,0,IF(OR(INDEX(DarlOhneTilgung,7)=1,AND(INDEX(DarlTilgStart,7)&gt;0,$E3347&lt;INDEX(DarlTilgStart,7))),0,MIN(MAX(0,$K3347-$L3347),$J3347)))</f>
      </c>
      <c r="N3347" s="43">
        <f>IF($I3347=0,0,MIN(SUMIFS(SondBetrag,SondDarl,7,SondDatum,"&gt;="&amp;$E3347,SondDatum,"&lt;="&amp;EOMONTH($E3347,0)),$J3347-$M3347))</f>
      </c>
      <c r="O3347" s="43">
        <f>IF($I3347=0,0,INDEX(DarlErsatzRate,7))</f>
      </c>
      <c r="P3347" s="43">
        <f>IF($I3347=0,0,$Q3346*INDEX(DarlErsatzZins,7))</f>
      </c>
      <c r="Q3347" s="43">
        <f>IF($I3347=0,0,$Q3346+$P3347+$O3347)</f>
      </c>
      <c r="R3347" s="43">
        <f>IF($I3347=0,0,$J3347-$M3347-$N3347)</f>
      </c>
    </row>
    <row r="3348">
      <c r="A3348"/>
      <c r="B3348">
        <v>7</v>
      </c>
      <c r="C3348" s="43">
        <f>INDEX(DarlObj,7)</f>
      </c>
      <c r="D3348">
        <v>465</v>
      </c>
      <c r="E3348" s="51">
        <f>IF(INDEX(DarlBelegt,7)=0,0,EOMONTH(INDEX(DarlAuszahlung,7),464)+1)</f>
      </c>
      <c r="F3348" s="43">
        <f>IF($E3348=0,0,YEAR($E3348))</f>
      </c>
      <c r="G3348" s="43">
        <f>IF(INDEX(DarlBindung,7)="",1,IF($E3348&lt;=INDEX(DarlBindung,7),1,0))</f>
      </c>
      <c r="H3348" s="43">
        <f>IF($G3348=1,INDEX(DarlSollzins,7),INDEX(DarlAnschluss,7))</f>
      </c>
      <c r="I3348" s="43">
        <f>IF(INDEX(DarlBelegt,7)=0,0,IF(INDEX(DarlOhneTilgung,7)=1,IF(INDEX(DarlBindung,7)="",1,$G3348),IF($J3348&gt;0.005,1,0)))</f>
      </c>
      <c r="J3348" s="43">
        <f>IF($I3347=0,0,$R3347)</f>
      </c>
      <c r="K3348" s="43">
        <f>IF($I3348=0,0,IF(INDEX(DarlOhneTilgung,7)=1,0,IF(AND(INDEX(DarlTilgStart,7)&gt;0,$E3348=INDEX(DarlTilgStart,7)),$J3348*($H3348+INDEX(DarlTilgung,7))/100/12,IF(AND($G3348=0,$G3347=1),MAX($K3347,$J3348*($H3348+1)/100/12),$K3347))))</f>
      </c>
      <c r="L3348" s="43">
        <f>IF($I3348=0,0,$J3348*$H3348/100/12)</f>
      </c>
      <c r="M3348" s="43">
        <f>IF($I3348=0,0,IF(OR(INDEX(DarlOhneTilgung,7)=1,AND(INDEX(DarlTilgStart,7)&gt;0,$E3348&lt;INDEX(DarlTilgStart,7))),0,MIN(MAX(0,$K3348-$L3348),$J3348)))</f>
      </c>
      <c r="N3348" s="43">
        <f>IF($I3348=0,0,MIN(SUMIFS(SondBetrag,SondDarl,7,SondDatum,"&gt;="&amp;$E3348,SondDatum,"&lt;="&amp;EOMONTH($E3348,0)),$J3348-$M3348))</f>
      </c>
      <c r="O3348" s="43">
        <f>IF($I3348=0,0,INDEX(DarlErsatzRate,7))</f>
      </c>
      <c r="P3348" s="43">
        <f>IF($I3348=0,0,$Q3347*INDEX(DarlErsatzZins,7))</f>
      </c>
      <c r="Q3348" s="43">
        <f>IF($I3348=0,0,$Q3347+$P3348+$O3348)</f>
      </c>
      <c r="R3348" s="43">
        <f>IF($I3348=0,0,$J3348-$M3348-$N3348)</f>
      </c>
    </row>
    <row r="3349">
      <c r="A3349"/>
      <c r="B3349">
        <v>7</v>
      </c>
      <c r="C3349" s="43">
        <f>INDEX(DarlObj,7)</f>
      </c>
      <c r="D3349">
        <v>466</v>
      </c>
      <c r="E3349" s="51">
        <f>IF(INDEX(DarlBelegt,7)=0,0,EOMONTH(INDEX(DarlAuszahlung,7),465)+1)</f>
      </c>
      <c r="F3349" s="43">
        <f>IF($E3349=0,0,YEAR($E3349))</f>
      </c>
      <c r="G3349" s="43">
        <f>IF(INDEX(DarlBindung,7)="",1,IF($E3349&lt;=INDEX(DarlBindung,7),1,0))</f>
      </c>
      <c r="H3349" s="43">
        <f>IF($G3349=1,INDEX(DarlSollzins,7),INDEX(DarlAnschluss,7))</f>
      </c>
      <c r="I3349" s="43">
        <f>IF(INDEX(DarlBelegt,7)=0,0,IF(INDEX(DarlOhneTilgung,7)=1,IF(INDEX(DarlBindung,7)="",1,$G3349),IF($J3349&gt;0.005,1,0)))</f>
      </c>
      <c r="J3349" s="43">
        <f>IF($I3348=0,0,$R3348)</f>
      </c>
      <c r="K3349" s="43">
        <f>IF($I3349=0,0,IF(INDEX(DarlOhneTilgung,7)=1,0,IF(AND(INDEX(DarlTilgStart,7)&gt;0,$E3349=INDEX(DarlTilgStart,7)),$J3349*($H3349+INDEX(DarlTilgung,7))/100/12,IF(AND($G3349=0,$G3348=1),MAX($K3348,$J3349*($H3349+1)/100/12),$K3348))))</f>
      </c>
      <c r="L3349" s="43">
        <f>IF($I3349=0,0,$J3349*$H3349/100/12)</f>
      </c>
      <c r="M3349" s="43">
        <f>IF($I3349=0,0,IF(OR(INDEX(DarlOhneTilgung,7)=1,AND(INDEX(DarlTilgStart,7)&gt;0,$E3349&lt;INDEX(DarlTilgStart,7))),0,MIN(MAX(0,$K3349-$L3349),$J3349)))</f>
      </c>
      <c r="N3349" s="43">
        <f>IF($I3349=0,0,MIN(SUMIFS(SondBetrag,SondDarl,7,SondDatum,"&gt;="&amp;$E3349,SondDatum,"&lt;="&amp;EOMONTH($E3349,0)),$J3349-$M3349))</f>
      </c>
      <c r="O3349" s="43">
        <f>IF($I3349=0,0,INDEX(DarlErsatzRate,7))</f>
      </c>
      <c r="P3349" s="43">
        <f>IF($I3349=0,0,$Q3348*INDEX(DarlErsatzZins,7))</f>
      </c>
      <c r="Q3349" s="43">
        <f>IF($I3349=0,0,$Q3348+$P3349+$O3349)</f>
      </c>
      <c r="R3349" s="43">
        <f>IF($I3349=0,0,$J3349-$M3349-$N3349)</f>
      </c>
    </row>
    <row r="3350">
      <c r="A3350"/>
      <c r="B3350">
        <v>7</v>
      </c>
      <c r="C3350" s="43">
        <f>INDEX(DarlObj,7)</f>
      </c>
      <c r="D3350">
        <v>467</v>
      </c>
      <c r="E3350" s="51">
        <f>IF(INDEX(DarlBelegt,7)=0,0,EOMONTH(INDEX(DarlAuszahlung,7),466)+1)</f>
      </c>
      <c r="F3350" s="43">
        <f>IF($E3350=0,0,YEAR($E3350))</f>
      </c>
      <c r="G3350" s="43">
        <f>IF(INDEX(DarlBindung,7)="",1,IF($E3350&lt;=INDEX(DarlBindung,7),1,0))</f>
      </c>
      <c r="H3350" s="43">
        <f>IF($G3350=1,INDEX(DarlSollzins,7),INDEX(DarlAnschluss,7))</f>
      </c>
      <c r="I3350" s="43">
        <f>IF(INDEX(DarlBelegt,7)=0,0,IF(INDEX(DarlOhneTilgung,7)=1,IF(INDEX(DarlBindung,7)="",1,$G3350),IF($J3350&gt;0.005,1,0)))</f>
      </c>
      <c r="J3350" s="43">
        <f>IF($I3349=0,0,$R3349)</f>
      </c>
      <c r="K3350" s="43">
        <f>IF($I3350=0,0,IF(INDEX(DarlOhneTilgung,7)=1,0,IF(AND(INDEX(DarlTilgStart,7)&gt;0,$E3350=INDEX(DarlTilgStart,7)),$J3350*($H3350+INDEX(DarlTilgung,7))/100/12,IF(AND($G3350=0,$G3349=1),MAX($K3349,$J3350*($H3350+1)/100/12),$K3349))))</f>
      </c>
      <c r="L3350" s="43">
        <f>IF($I3350=0,0,$J3350*$H3350/100/12)</f>
      </c>
      <c r="M3350" s="43">
        <f>IF($I3350=0,0,IF(OR(INDEX(DarlOhneTilgung,7)=1,AND(INDEX(DarlTilgStart,7)&gt;0,$E3350&lt;INDEX(DarlTilgStart,7))),0,MIN(MAX(0,$K3350-$L3350),$J3350)))</f>
      </c>
      <c r="N3350" s="43">
        <f>IF($I3350=0,0,MIN(SUMIFS(SondBetrag,SondDarl,7,SondDatum,"&gt;="&amp;$E3350,SondDatum,"&lt;="&amp;EOMONTH($E3350,0)),$J3350-$M3350))</f>
      </c>
      <c r="O3350" s="43">
        <f>IF($I3350=0,0,INDEX(DarlErsatzRate,7))</f>
      </c>
      <c r="P3350" s="43">
        <f>IF($I3350=0,0,$Q3349*INDEX(DarlErsatzZins,7))</f>
      </c>
      <c r="Q3350" s="43">
        <f>IF($I3350=0,0,$Q3349+$P3350+$O3350)</f>
      </c>
      <c r="R3350" s="43">
        <f>IF($I3350=0,0,$J3350-$M3350-$N3350)</f>
      </c>
    </row>
    <row r="3351">
      <c r="A3351"/>
      <c r="B3351">
        <v>7</v>
      </c>
      <c r="C3351" s="43">
        <f>INDEX(DarlObj,7)</f>
      </c>
      <c r="D3351">
        <v>468</v>
      </c>
      <c r="E3351" s="51">
        <f>IF(INDEX(DarlBelegt,7)=0,0,EOMONTH(INDEX(DarlAuszahlung,7),467)+1)</f>
      </c>
      <c r="F3351" s="43">
        <f>IF($E3351=0,0,YEAR($E3351))</f>
      </c>
      <c r="G3351" s="43">
        <f>IF(INDEX(DarlBindung,7)="",1,IF($E3351&lt;=INDEX(DarlBindung,7),1,0))</f>
      </c>
      <c r="H3351" s="43">
        <f>IF($G3351=1,INDEX(DarlSollzins,7),INDEX(DarlAnschluss,7))</f>
      </c>
      <c r="I3351" s="43">
        <f>IF(INDEX(DarlBelegt,7)=0,0,IF(INDEX(DarlOhneTilgung,7)=1,IF(INDEX(DarlBindung,7)="",1,$G3351),IF($J3351&gt;0.005,1,0)))</f>
      </c>
      <c r="J3351" s="43">
        <f>IF($I3350=0,0,$R3350)</f>
      </c>
      <c r="K3351" s="43">
        <f>IF($I3351=0,0,IF(INDEX(DarlOhneTilgung,7)=1,0,IF(AND(INDEX(DarlTilgStart,7)&gt;0,$E3351=INDEX(DarlTilgStart,7)),$J3351*($H3351+INDEX(DarlTilgung,7))/100/12,IF(AND($G3351=0,$G3350=1),MAX($K3350,$J3351*($H3351+1)/100/12),$K3350))))</f>
      </c>
      <c r="L3351" s="43">
        <f>IF($I3351=0,0,$J3351*$H3351/100/12)</f>
      </c>
      <c r="M3351" s="43">
        <f>IF($I3351=0,0,IF(OR(INDEX(DarlOhneTilgung,7)=1,AND(INDEX(DarlTilgStart,7)&gt;0,$E3351&lt;INDEX(DarlTilgStart,7))),0,MIN(MAX(0,$K3351-$L3351),$J3351)))</f>
      </c>
      <c r="N3351" s="43">
        <f>IF($I3351=0,0,MIN(SUMIFS(SondBetrag,SondDarl,7,SondDatum,"&gt;="&amp;$E3351,SondDatum,"&lt;="&amp;EOMONTH($E3351,0)),$J3351-$M3351))</f>
      </c>
      <c r="O3351" s="43">
        <f>IF($I3351=0,0,INDEX(DarlErsatzRate,7))</f>
      </c>
      <c r="P3351" s="43">
        <f>IF($I3351=0,0,$Q3350*INDEX(DarlErsatzZins,7))</f>
      </c>
      <c r="Q3351" s="43">
        <f>IF($I3351=0,0,$Q3350+$P3351+$O3351)</f>
      </c>
      <c r="R3351" s="43">
        <f>IF($I3351=0,0,$J3351-$M3351-$N3351)</f>
      </c>
    </row>
    <row r="3352">
      <c r="A3352"/>
      <c r="B3352">
        <v>7</v>
      </c>
      <c r="C3352" s="43">
        <f>INDEX(DarlObj,7)</f>
      </c>
      <c r="D3352">
        <v>469</v>
      </c>
      <c r="E3352" s="51">
        <f>IF(INDEX(DarlBelegt,7)=0,0,EOMONTH(INDEX(DarlAuszahlung,7),468)+1)</f>
      </c>
      <c r="F3352" s="43">
        <f>IF($E3352=0,0,YEAR($E3352))</f>
      </c>
      <c r="G3352" s="43">
        <f>IF(INDEX(DarlBindung,7)="",1,IF($E3352&lt;=INDEX(DarlBindung,7),1,0))</f>
      </c>
      <c r="H3352" s="43">
        <f>IF($G3352=1,INDEX(DarlSollzins,7),INDEX(DarlAnschluss,7))</f>
      </c>
      <c r="I3352" s="43">
        <f>IF(INDEX(DarlBelegt,7)=0,0,IF(INDEX(DarlOhneTilgung,7)=1,IF(INDEX(DarlBindung,7)="",1,$G3352),IF($J3352&gt;0.005,1,0)))</f>
      </c>
      <c r="J3352" s="43">
        <f>IF($I3351=0,0,$R3351)</f>
      </c>
      <c r="K3352" s="43">
        <f>IF($I3352=0,0,IF(INDEX(DarlOhneTilgung,7)=1,0,IF(AND(INDEX(DarlTilgStart,7)&gt;0,$E3352=INDEX(DarlTilgStart,7)),$J3352*($H3352+INDEX(DarlTilgung,7))/100/12,IF(AND($G3352=0,$G3351=1),MAX($K3351,$J3352*($H3352+1)/100/12),$K3351))))</f>
      </c>
      <c r="L3352" s="43">
        <f>IF($I3352=0,0,$J3352*$H3352/100/12)</f>
      </c>
      <c r="M3352" s="43">
        <f>IF($I3352=0,0,IF(OR(INDEX(DarlOhneTilgung,7)=1,AND(INDEX(DarlTilgStart,7)&gt;0,$E3352&lt;INDEX(DarlTilgStart,7))),0,MIN(MAX(0,$K3352-$L3352),$J3352)))</f>
      </c>
      <c r="N3352" s="43">
        <f>IF($I3352=0,0,MIN(SUMIFS(SondBetrag,SondDarl,7,SondDatum,"&gt;="&amp;$E3352,SondDatum,"&lt;="&amp;EOMONTH($E3352,0)),$J3352-$M3352))</f>
      </c>
      <c r="O3352" s="43">
        <f>IF($I3352=0,0,INDEX(DarlErsatzRate,7))</f>
      </c>
      <c r="P3352" s="43">
        <f>IF($I3352=0,0,$Q3351*INDEX(DarlErsatzZins,7))</f>
      </c>
      <c r="Q3352" s="43">
        <f>IF($I3352=0,0,$Q3351+$P3352+$O3352)</f>
      </c>
      <c r="R3352" s="43">
        <f>IF($I3352=0,0,$J3352-$M3352-$N3352)</f>
      </c>
    </row>
    <row r="3353">
      <c r="A3353"/>
      <c r="B3353">
        <v>7</v>
      </c>
      <c r="C3353" s="43">
        <f>INDEX(DarlObj,7)</f>
      </c>
      <c r="D3353">
        <v>470</v>
      </c>
      <c r="E3353" s="51">
        <f>IF(INDEX(DarlBelegt,7)=0,0,EOMONTH(INDEX(DarlAuszahlung,7),469)+1)</f>
      </c>
      <c r="F3353" s="43">
        <f>IF($E3353=0,0,YEAR($E3353))</f>
      </c>
      <c r="G3353" s="43">
        <f>IF(INDEX(DarlBindung,7)="",1,IF($E3353&lt;=INDEX(DarlBindung,7),1,0))</f>
      </c>
      <c r="H3353" s="43">
        <f>IF($G3353=1,INDEX(DarlSollzins,7),INDEX(DarlAnschluss,7))</f>
      </c>
      <c r="I3353" s="43">
        <f>IF(INDEX(DarlBelegt,7)=0,0,IF(INDEX(DarlOhneTilgung,7)=1,IF(INDEX(DarlBindung,7)="",1,$G3353),IF($J3353&gt;0.005,1,0)))</f>
      </c>
      <c r="J3353" s="43">
        <f>IF($I3352=0,0,$R3352)</f>
      </c>
      <c r="K3353" s="43">
        <f>IF($I3353=0,0,IF(INDEX(DarlOhneTilgung,7)=1,0,IF(AND(INDEX(DarlTilgStart,7)&gt;0,$E3353=INDEX(DarlTilgStart,7)),$J3353*($H3353+INDEX(DarlTilgung,7))/100/12,IF(AND($G3353=0,$G3352=1),MAX($K3352,$J3353*($H3353+1)/100/12),$K3352))))</f>
      </c>
      <c r="L3353" s="43">
        <f>IF($I3353=0,0,$J3353*$H3353/100/12)</f>
      </c>
      <c r="M3353" s="43">
        <f>IF($I3353=0,0,IF(OR(INDEX(DarlOhneTilgung,7)=1,AND(INDEX(DarlTilgStart,7)&gt;0,$E3353&lt;INDEX(DarlTilgStart,7))),0,MIN(MAX(0,$K3353-$L3353),$J3353)))</f>
      </c>
      <c r="N3353" s="43">
        <f>IF($I3353=0,0,MIN(SUMIFS(SondBetrag,SondDarl,7,SondDatum,"&gt;="&amp;$E3353,SondDatum,"&lt;="&amp;EOMONTH($E3353,0)),$J3353-$M3353))</f>
      </c>
      <c r="O3353" s="43">
        <f>IF($I3353=0,0,INDEX(DarlErsatzRate,7))</f>
      </c>
      <c r="P3353" s="43">
        <f>IF($I3353=0,0,$Q3352*INDEX(DarlErsatzZins,7))</f>
      </c>
      <c r="Q3353" s="43">
        <f>IF($I3353=0,0,$Q3352+$P3353+$O3353)</f>
      </c>
      <c r="R3353" s="43">
        <f>IF($I3353=0,0,$J3353-$M3353-$N3353)</f>
      </c>
    </row>
    <row r="3354">
      <c r="A3354"/>
      <c r="B3354">
        <v>7</v>
      </c>
      <c r="C3354" s="43">
        <f>INDEX(DarlObj,7)</f>
      </c>
      <c r="D3354">
        <v>471</v>
      </c>
      <c r="E3354" s="51">
        <f>IF(INDEX(DarlBelegt,7)=0,0,EOMONTH(INDEX(DarlAuszahlung,7),470)+1)</f>
      </c>
      <c r="F3354" s="43">
        <f>IF($E3354=0,0,YEAR($E3354))</f>
      </c>
      <c r="G3354" s="43">
        <f>IF(INDEX(DarlBindung,7)="",1,IF($E3354&lt;=INDEX(DarlBindung,7),1,0))</f>
      </c>
      <c r="H3354" s="43">
        <f>IF($G3354=1,INDEX(DarlSollzins,7),INDEX(DarlAnschluss,7))</f>
      </c>
      <c r="I3354" s="43">
        <f>IF(INDEX(DarlBelegt,7)=0,0,IF(INDEX(DarlOhneTilgung,7)=1,IF(INDEX(DarlBindung,7)="",1,$G3354),IF($J3354&gt;0.005,1,0)))</f>
      </c>
      <c r="J3354" s="43">
        <f>IF($I3353=0,0,$R3353)</f>
      </c>
      <c r="K3354" s="43">
        <f>IF($I3354=0,0,IF(INDEX(DarlOhneTilgung,7)=1,0,IF(AND(INDEX(DarlTilgStart,7)&gt;0,$E3354=INDEX(DarlTilgStart,7)),$J3354*($H3354+INDEX(DarlTilgung,7))/100/12,IF(AND($G3354=0,$G3353=1),MAX($K3353,$J3354*($H3354+1)/100/12),$K3353))))</f>
      </c>
      <c r="L3354" s="43">
        <f>IF($I3354=0,0,$J3354*$H3354/100/12)</f>
      </c>
      <c r="M3354" s="43">
        <f>IF($I3354=0,0,IF(OR(INDEX(DarlOhneTilgung,7)=1,AND(INDEX(DarlTilgStart,7)&gt;0,$E3354&lt;INDEX(DarlTilgStart,7))),0,MIN(MAX(0,$K3354-$L3354),$J3354)))</f>
      </c>
      <c r="N3354" s="43">
        <f>IF($I3354=0,0,MIN(SUMIFS(SondBetrag,SondDarl,7,SondDatum,"&gt;="&amp;$E3354,SondDatum,"&lt;="&amp;EOMONTH($E3354,0)),$J3354-$M3354))</f>
      </c>
      <c r="O3354" s="43">
        <f>IF($I3354=0,0,INDEX(DarlErsatzRate,7))</f>
      </c>
      <c r="P3354" s="43">
        <f>IF($I3354=0,0,$Q3353*INDEX(DarlErsatzZins,7))</f>
      </c>
      <c r="Q3354" s="43">
        <f>IF($I3354=0,0,$Q3353+$P3354+$O3354)</f>
      </c>
      <c r="R3354" s="43">
        <f>IF($I3354=0,0,$J3354-$M3354-$N3354)</f>
      </c>
    </row>
    <row r="3355">
      <c r="A3355"/>
      <c r="B3355">
        <v>7</v>
      </c>
      <c r="C3355" s="43">
        <f>INDEX(DarlObj,7)</f>
      </c>
      <c r="D3355">
        <v>472</v>
      </c>
      <c r="E3355" s="51">
        <f>IF(INDEX(DarlBelegt,7)=0,0,EOMONTH(INDEX(DarlAuszahlung,7),471)+1)</f>
      </c>
      <c r="F3355" s="43">
        <f>IF($E3355=0,0,YEAR($E3355))</f>
      </c>
      <c r="G3355" s="43">
        <f>IF(INDEX(DarlBindung,7)="",1,IF($E3355&lt;=INDEX(DarlBindung,7),1,0))</f>
      </c>
      <c r="H3355" s="43">
        <f>IF($G3355=1,INDEX(DarlSollzins,7),INDEX(DarlAnschluss,7))</f>
      </c>
      <c r="I3355" s="43">
        <f>IF(INDEX(DarlBelegt,7)=0,0,IF(INDEX(DarlOhneTilgung,7)=1,IF(INDEX(DarlBindung,7)="",1,$G3355),IF($J3355&gt;0.005,1,0)))</f>
      </c>
      <c r="J3355" s="43">
        <f>IF($I3354=0,0,$R3354)</f>
      </c>
      <c r="K3355" s="43">
        <f>IF($I3355=0,0,IF(INDEX(DarlOhneTilgung,7)=1,0,IF(AND(INDEX(DarlTilgStart,7)&gt;0,$E3355=INDEX(DarlTilgStart,7)),$J3355*($H3355+INDEX(DarlTilgung,7))/100/12,IF(AND($G3355=0,$G3354=1),MAX($K3354,$J3355*($H3355+1)/100/12),$K3354))))</f>
      </c>
      <c r="L3355" s="43">
        <f>IF($I3355=0,0,$J3355*$H3355/100/12)</f>
      </c>
      <c r="M3355" s="43">
        <f>IF($I3355=0,0,IF(OR(INDEX(DarlOhneTilgung,7)=1,AND(INDEX(DarlTilgStart,7)&gt;0,$E3355&lt;INDEX(DarlTilgStart,7))),0,MIN(MAX(0,$K3355-$L3355),$J3355)))</f>
      </c>
      <c r="N3355" s="43">
        <f>IF($I3355=0,0,MIN(SUMIFS(SondBetrag,SondDarl,7,SondDatum,"&gt;="&amp;$E3355,SondDatum,"&lt;="&amp;EOMONTH($E3355,0)),$J3355-$M3355))</f>
      </c>
      <c r="O3355" s="43">
        <f>IF($I3355=0,0,INDEX(DarlErsatzRate,7))</f>
      </c>
      <c r="P3355" s="43">
        <f>IF($I3355=0,0,$Q3354*INDEX(DarlErsatzZins,7))</f>
      </c>
      <c r="Q3355" s="43">
        <f>IF($I3355=0,0,$Q3354+$P3355+$O3355)</f>
      </c>
      <c r="R3355" s="43">
        <f>IF($I3355=0,0,$J3355-$M3355-$N3355)</f>
      </c>
    </row>
    <row r="3356">
      <c r="A3356"/>
      <c r="B3356">
        <v>7</v>
      </c>
      <c r="C3356" s="43">
        <f>INDEX(DarlObj,7)</f>
      </c>
      <c r="D3356">
        <v>473</v>
      </c>
      <c r="E3356" s="51">
        <f>IF(INDEX(DarlBelegt,7)=0,0,EOMONTH(INDEX(DarlAuszahlung,7),472)+1)</f>
      </c>
      <c r="F3356" s="43">
        <f>IF($E3356=0,0,YEAR($E3356))</f>
      </c>
      <c r="G3356" s="43">
        <f>IF(INDEX(DarlBindung,7)="",1,IF($E3356&lt;=INDEX(DarlBindung,7),1,0))</f>
      </c>
      <c r="H3356" s="43">
        <f>IF($G3356=1,INDEX(DarlSollzins,7),INDEX(DarlAnschluss,7))</f>
      </c>
      <c r="I3356" s="43">
        <f>IF(INDEX(DarlBelegt,7)=0,0,IF(INDEX(DarlOhneTilgung,7)=1,IF(INDEX(DarlBindung,7)="",1,$G3356),IF($J3356&gt;0.005,1,0)))</f>
      </c>
      <c r="J3356" s="43">
        <f>IF($I3355=0,0,$R3355)</f>
      </c>
      <c r="K3356" s="43">
        <f>IF($I3356=0,0,IF(INDEX(DarlOhneTilgung,7)=1,0,IF(AND(INDEX(DarlTilgStart,7)&gt;0,$E3356=INDEX(DarlTilgStart,7)),$J3356*($H3356+INDEX(DarlTilgung,7))/100/12,IF(AND($G3356=0,$G3355=1),MAX($K3355,$J3356*($H3356+1)/100/12),$K3355))))</f>
      </c>
      <c r="L3356" s="43">
        <f>IF($I3356=0,0,$J3356*$H3356/100/12)</f>
      </c>
      <c r="M3356" s="43">
        <f>IF($I3356=0,0,IF(OR(INDEX(DarlOhneTilgung,7)=1,AND(INDEX(DarlTilgStart,7)&gt;0,$E3356&lt;INDEX(DarlTilgStart,7))),0,MIN(MAX(0,$K3356-$L3356),$J3356)))</f>
      </c>
      <c r="N3356" s="43">
        <f>IF($I3356=0,0,MIN(SUMIFS(SondBetrag,SondDarl,7,SondDatum,"&gt;="&amp;$E3356,SondDatum,"&lt;="&amp;EOMONTH($E3356,0)),$J3356-$M3356))</f>
      </c>
      <c r="O3356" s="43">
        <f>IF($I3356=0,0,INDEX(DarlErsatzRate,7))</f>
      </c>
      <c r="P3356" s="43">
        <f>IF($I3356=0,0,$Q3355*INDEX(DarlErsatzZins,7))</f>
      </c>
      <c r="Q3356" s="43">
        <f>IF($I3356=0,0,$Q3355+$P3356+$O3356)</f>
      </c>
      <c r="R3356" s="43">
        <f>IF($I3356=0,0,$J3356-$M3356-$N3356)</f>
      </c>
    </row>
    <row r="3357">
      <c r="A3357"/>
      <c r="B3357">
        <v>7</v>
      </c>
      <c r="C3357" s="43">
        <f>INDEX(DarlObj,7)</f>
      </c>
      <c r="D3357">
        <v>474</v>
      </c>
      <c r="E3357" s="51">
        <f>IF(INDEX(DarlBelegt,7)=0,0,EOMONTH(INDEX(DarlAuszahlung,7),473)+1)</f>
      </c>
      <c r="F3357" s="43">
        <f>IF($E3357=0,0,YEAR($E3357))</f>
      </c>
      <c r="G3357" s="43">
        <f>IF(INDEX(DarlBindung,7)="",1,IF($E3357&lt;=INDEX(DarlBindung,7),1,0))</f>
      </c>
      <c r="H3357" s="43">
        <f>IF($G3357=1,INDEX(DarlSollzins,7),INDEX(DarlAnschluss,7))</f>
      </c>
      <c r="I3357" s="43">
        <f>IF(INDEX(DarlBelegt,7)=0,0,IF(INDEX(DarlOhneTilgung,7)=1,IF(INDEX(DarlBindung,7)="",1,$G3357),IF($J3357&gt;0.005,1,0)))</f>
      </c>
      <c r="J3357" s="43">
        <f>IF($I3356=0,0,$R3356)</f>
      </c>
      <c r="K3357" s="43">
        <f>IF($I3357=0,0,IF(INDEX(DarlOhneTilgung,7)=1,0,IF(AND(INDEX(DarlTilgStart,7)&gt;0,$E3357=INDEX(DarlTilgStart,7)),$J3357*($H3357+INDEX(DarlTilgung,7))/100/12,IF(AND($G3357=0,$G3356=1),MAX($K3356,$J3357*($H3357+1)/100/12),$K3356))))</f>
      </c>
      <c r="L3357" s="43">
        <f>IF($I3357=0,0,$J3357*$H3357/100/12)</f>
      </c>
      <c r="M3357" s="43">
        <f>IF($I3357=0,0,IF(OR(INDEX(DarlOhneTilgung,7)=1,AND(INDEX(DarlTilgStart,7)&gt;0,$E3357&lt;INDEX(DarlTilgStart,7))),0,MIN(MAX(0,$K3357-$L3357),$J3357)))</f>
      </c>
      <c r="N3357" s="43">
        <f>IF($I3357=0,0,MIN(SUMIFS(SondBetrag,SondDarl,7,SondDatum,"&gt;="&amp;$E3357,SondDatum,"&lt;="&amp;EOMONTH($E3357,0)),$J3357-$M3357))</f>
      </c>
      <c r="O3357" s="43">
        <f>IF($I3357=0,0,INDEX(DarlErsatzRate,7))</f>
      </c>
      <c r="P3357" s="43">
        <f>IF($I3357=0,0,$Q3356*INDEX(DarlErsatzZins,7))</f>
      </c>
      <c r="Q3357" s="43">
        <f>IF($I3357=0,0,$Q3356+$P3357+$O3357)</f>
      </c>
      <c r="R3357" s="43">
        <f>IF($I3357=0,0,$J3357-$M3357-$N3357)</f>
      </c>
    </row>
    <row r="3358">
      <c r="A3358"/>
      <c r="B3358">
        <v>7</v>
      </c>
      <c r="C3358" s="43">
        <f>INDEX(DarlObj,7)</f>
      </c>
      <c r="D3358">
        <v>475</v>
      </c>
      <c r="E3358" s="51">
        <f>IF(INDEX(DarlBelegt,7)=0,0,EOMONTH(INDEX(DarlAuszahlung,7),474)+1)</f>
      </c>
      <c r="F3358" s="43">
        <f>IF($E3358=0,0,YEAR($E3358))</f>
      </c>
      <c r="G3358" s="43">
        <f>IF(INDEX(DarlBindung,7)="",1,IF($E3358&lt;=INDEX(DarlBindung,7),1,0))</f>
      </c>
      <c r="H3358" s="43">
        <f>IF($G3358=1,INDEX(DarlSollzins,7),INDEX(DarlAnschluss,7))</f>
      </c>
      <c r="I3358" s="43">
        <f>IF(INDEX(DarlBelegt,7)=0,0,IF(INDEX(DarlOhneTilgung,7)=1,IF(INDEX(DarlBindung,7)="",1,$G3358),IF($J3358&gt;0.005,1,0)))</f>
      </c>
      <c r="J3358" s="43">
        <f>IF($I3357=0,0,$R3357)</f>
      </c>
      <c r="K3358" s="43">
        <f>IF($I3358=0,0,IF(INDEX(DarlOhneTilgung,7)=1,0,IF(AND(INDEX(DarlTilgStart,7)&gt;0,$E3358=INDEX(DarlTilgStart,7)),$J3358*($H3358+INDEX(DarlTilgung,7))/100/12,IF(AND($G3358=0,$G3357=1),MAX($K3357,$J3358*($H3358+1)/100/12),$K3357))))</f>
      </c>
      <c r="L3358" s="43">
        <f>IF($I3358=0,0,$J3358*$H3358/100/12)</f>
      </c>
      <c r="M3358" s="43">
        <f>IF($I3358=0,0,IF(OR(INDEX(DarlOhneTilgung,7)=1,AND(INDEX(DarlTilgStart,7)&gt;0,$E3358&lt;INDEX(DarlTilgStart,7))),0,MIN(MAX(0,$K3358-$L3358),$J3358)))</f>
      </c>
      <c r="N3358" s="43">
        <f>IF($I3358=0,0,MIN(SUMIFS(SondBetrag,SondDarl,7,SondDatum,"&gt;="&amp;$E3358,SondDatum,"&lt;="&amp;EOMONTH($E3358,0)),$J3358-$M3358))</f>
      </c>
      <c r="O3358" s="43">
        <f>IF($I3358=0,0,INDEX(DarlErsatzRate,7))</f>
      </c>
      <c r="P3358" s="43">
        <f>IF($I3358=0,0,$Q3357*INDEX(DarlErsatzZins,7))</f>
      </c>
      <c r="Q3358" s="43">
        <f>IF($I3358=0,0,$Q3357+$P3358+$O3358)</f>
      </c>
      <c r="R3358" s="43">
        <f>IF($I3358=0,0,$J3358-$M3358-$N3358)</f>
      </c>
    </row>
    <row r="3359">
      <c r="A3359"/>
      <c r="B3359">
        <v>7</v>
      </c>
      <c r="C3359" s="43">
        <f>INDEX(DarlObj,7)</f>
      </c>
      <c r="D3359">
        <v>476</v>
      </c>
      <c r="E3359" s="51">
        <f>IF(INDEX(DarlBelegt,7)=0,0,EOMONTH(INDEX(DarlAuszahlung,7),475)+1)</f>
      </c>
      <c r="F3359" s="43">
        <f>IF($E3359=0,0,YEAR($E3359))</f>
      </c>
      <c r="G3359" s="43">
        <f>IF(INDEX(DarlBindung,7)="",1,IF($E3359&lt;=INDEX(DarlBindung,7),1,0))</f>
      </c>
      <c r="H3359" s="43">
        <f>IF($G3359=1,INDEX(DarlSollzins,7),INDEX(DarlAnschluss,7))</f>
      </c>
      <c r="I3359" s="43">
        <f>IF(INDEX(DarlBelegt,7)=0,0,IF(INDEX(DarlOhneTilgung,7)=1,IF(INDEX(DarlBindung,7)="",1,$G3359),IF($J3359&gt;0.005,1,0)))</f>
      </c>
      <c r="J3359" s="43">
        <f>IF($I3358=0,0,$R3358)</f>
      </c>
      <c r="K3359" s="43">
        <f>IF($I3359=0,0,IF(INDEX(DarlOhneTilgung,7)=1,0,IF(AND(INDEX(DarlTilgStart,7)&gt;0,$E3359=INDEX(DarlTilgStart,7)),$J3359*($H3359+INDEX(DarlTilgung,7))/100/12,IF(AND($G3359=0,$G3358=1),MAX($K3358,$J3359*($H3359+1)/100/12),$K3358))))</f>
      </c>
      <c r="L3359" s="43">
        <f>IF($I3359=0,0,$J3359*$H3359/100/12)</f>
      </c>
      <c r="M3359" s="43">
        <f>IF($I3359=0,0,IF(OR(INDEX(DarlOhneTilgung,7)=1,AND(INDEX(DarlTilgStart,7)&gt;0,$E3359&lt;INDEX(DarlTilgStart,7))),0,MIN(MAX(0,$K3359-$L3359),$J3359)))</f>
      </c>
      <c r="N3359" s="43">
        <f>IF($I3359=0,0,MIN(SUMIFS(SondBetrag,SondDarl,7,SondDatum,"&gt;="&amp;$E3359,SondDatum,"&lt;="&amp;EOMONTH($E3359,0)),$J3359-$M3359))</f>
      </c>
      <c r="O3359" s="43">
        <f>IF($I3359=0,0,INDEX(DarlErsatzRate,7))</f>
      </c>
      <c r="P3359" s="43">
        <f>IF($I3359=0,0,$Q3358*INDEX(DarlErsatzZins,7))</f>
      </c>
      <c r="Q3359" s="43">
        <f>IF($I3359=0,0,$Q3358+$P3359+$O3359)</f>
      </c>
      <c r="R3359" s="43">
        <f>IF($I3359=0,0,$J3359-$M3359-$N3359)</f>
      </c>
    </row>
    <row r="3360">
      <c r="A3360"/>
      <c r="B3360">
        <v>7</v>
      </c>
      <c r="C3360" s="43">
        <f>INDEX(DarlObj,7)</f>
      </c>
      <c r="D3360">
        <v>477</v>
      </c>
      <c r="E3360" s="51">
        <f>IF(INDEX(DarlBelegt,7)=0,0,EOMONTH(INDEX(DarlAuszahlung,7),476)+1)</f>
      </c>
      <c r="F3360" s="43">
        <f>IF($E3360=0,0,YEAR($E3360))</f>
      </c>
      <c r="G3360" s="43">
        <f>IF(INDEX(DarlBindung,7)="",1,IF($E3360&lt;=INDEX(DarlBindung,7),1,0))</f>
      </c>
      <c r="H3360" s="43">
        <f>IF($G3360=1,INDEX(DarlSollzins,7),INDEX(DarlAnschluss,7))</f>
      </c>
      <c r="I3360" s="43">
        <f>IF(INDEX(DarlBelegt,7)=0,0,IF(INDEX(DarlOhneTilgung,7)=1,IF(INDEX(DarlBindung,7)="",1,$G3360),IF($J3360&gt;0.005,1,0)))</f>
      </c>
      <c r="J3360" s="43">
        <f>IF($I3359=0,0,$R3359)</f>
      </c>
      <c r="K3360" s="43">
        <f>IF($I3360=0,0,IF(INDEX(DarlOhneTilgung,7)=1,0,IF(AND(INDEX(DarlTilgStart,7)&gt;0,$E3360=INDEX(DarlTilgStart,7)),$J3360*($H3360+INDEX(DarlTilgung,7))/100/12,IF(AND($G3360=0,$G3359=1),MAX($K3359,$J3360*($H3360+1)/100/12),$K3359))))</f>
      </c>
      <c r="L3360" s="43">
        <f>IF($I3360=0,0,$J3360*$H3360/100/12)</f>
      </c>
      <c r="M3360" s="43">
        <f>IF($I3360=0,0,IF(OR(INDEX(DarlOhneTilgung,7)=1,AND(INDEX(DarlTilgStart,7)&gt;0,$E3360&lt;INDEX(DarlTilgStart,7))),0,MIN(MAX(0,$K3360-$L3360),$J3360)))</f>
      </c>
      <c r="N3360" s="43">
        <f>IF($I3360=0,0,MIN(SUMIFS(SondBetrag,SondDarl,7,SondDatum,"&gt;="&amp;$E3360,SondDatum,"&lt;="&amp;EOMONTH($E3360,0)),$J3360-$M3360))</f>
      </c>
      <c r="O3360" s="43">
        <f>IF($I3360=0,0,INDEX(DarlErsatzRate,7))</f>
      </c>
      <c r="P3360" s="43">
        <f>IF($I3360=0,0,$Q3359*INDEX(DarlErsatzZins,7))</f>
      </c>
      <c r="Q3360" s="43">
        <f>IF($I3360=0,0,$Q3359+$P3360+$O3360)</f>
      </c>
      <c r="R3360" s="43">
        <f>IF($I3360=0,0,$J3360-$M3360-$N3360)</f>
      </c>
    </row>
    <row r="3361">
      <c r="A3361"/>
      <c r="B3361">
        <v>7</v>
      </c>
      <c r="C3361" s="43">
        <f>INDEX(DarlObj,7)</f>
      </c>
      <c r="D3361">
        <v>478</v>
      </c>
      <c r="E3361" s="51">
        <f>IF(INDEX(DarlBelegt,7)=0,0,EOMONTH(INDEX(DarlAuszahlung,7),477)+1)</f>
      </c>
      <c r="F3361" s="43">
        <f>IF($E3361=0,0,YEAR($E3361))</f>
      </c>
      <c r="G3361" s="43">
        <f>IF(INDEX(DarlBindung,7)="",1,IF($E3361&lt;=INDEX(DarlBindung,7),1,0))</f>
      </c>
      <c r="H3361" s="43">
        <f>IF($G3361=1,INDEX(DarlSollzins,7),INDEX(DarlAnschluss,7))</f>
      </c>
      <c r="I3361" s="43">
        <f>IF(INDEX(DarlBelegt,7)=0,0,IF(INDEX(DarlOhneTilgung,7)=1,IF(INDEX(DarlBindung,7)="",1,$G3361),IF($J3361&gt;0.005,1,0)))</f>
      </c>
      <c r="J3361" s="43">
        <f>IF($I3360=0,0,$R3360)</f>
      </c>
      <c r="K3361" s="43">
        <f>IF($I3361=0,0,IF(INDEX(DarlOhneTilgung,7)=1,0,IF(AND(INDEX(DarlTilgStart,7)&gt;0,$E3361=INDEX(DarlTilgStart,7)),$J3361*($H3361+INDEX(DarlTilgung,7))/100/12,IF(AND($G3361=0,$G3360=1),MAX($K3360,$J3361*($H3361+1)/100/12),$K3360))))</f>
      </c>
      <c r="L3361" s="43">
        <f>IF($I3361=0,0,$J3361*$H3361/100/12)</f>
      </c>
      <c r="M3361" s="43">
        <f>IF($I3361=0,0,IF(OR(INDEX(DarlOhneTilgung,7)=1,AND(INDEX(DarlTilgStart,7)&gt;0,$E3361&lt;INDEX(DarlTilgStart,7))),0,MIN(MAX(0,$K3361-$L3361),$J3361)))</f>
      </c>
      <c r="N3361" s="43">
        <f>IF($I3361=0,0,MIN(SUMIFS(SondBetrag,SondDarl,7,SondDatum,"&gt;="&amp;$E3361,SondDatum,"&lt;="&amp;EOMONTH($E3361,0)),$J3361-$M3361))</f>
      </c>
      <c r="O3361" s="43">
        <f>IF($I3361=0,0,INDEX(DarlErsatzRate,7))</f>
      </c>
      <c r="P3361" s="43">
        <f>IF($I3361=0,0,$Q3360*INDEX(DarlErsatzZins,7))</f>
      </c>
      <c r="Q3361" s="43">
        <f>IF($I3361=0,0,$Q3360+$P3361+$O3361)</f>
      </c>
      <c r="R3361" s="43">
        <f>IF($I3361=0,0,$J3361-$M3361-$N3361)</f>
      </c>
    </row>
    <row r="3362">
      <c r="A3362"/>
      <c r="B3362">
        <v>7</v>
      </c>
      <c r="C3362" s="43">
        <f>INDEX(DarlObj,7)</f>
      </c>
      <c r="D3362">
        <v>479</v>
      </c>
      <c r="E3362" s="51">
        <f>IF(INDEX(DarlBelegt,7)=0,0,EOMONTH(INDEX(DarlAuszahlung,7),478)+1)</f>
      </c>
      <c r="F3362" s="43">
        <f>IF($E3362=0,0,YEAR($E3362))</f>
      </c>
      <c r="G3362" s="43">
        <f>IF(INDEX(DarlBindung,7)="",1,IF($E3362&lt;=INDEX(DarlBindung,7),1,0))</f>
      </c>
      <c r="H3362" s="43">
        <f>IF($G3362=1,INDEX(DarlSollzins,7),INDEX(DarlAnschluss,7))</f>
      </c>
      <c r="I3362" s="43">
        <f>IF(INDEX(DarlBelegt,7)=0,0,IF(INDEX(DarlOhneTilgung,7)=1,IF(INDEX(DarlBindung,7)="",1,$G3362),IF($J3362&gt;0.005,1,0)))</f>
      </c>
      <c r="J3362" s="43">
        <f>IF($I3361=0,0,$R3361)</f>
      </c>
      <c r="K3362" s="43">
        <f>IF($I3362=0,0,IF(INDEX(DarlOhneTilgung,7)=1,0,IF(AND(INDEX(DarlTilgStart,7)&gt;0,$E3362=INDEX(DarlTilgStart,7)),$J3362*($H3362+INDEX(DarlTilgung,7))/100/12,IF(AND($G3362=0,$G3361=1),MAX($K3361,$J3362*($H3362+1)/100/12),$K3361))))</f>
      </c>
      <c r="L3362" s="43">
        <f>IF($I3362=0,0,$J3362*$H3362/100/12)</f>
      </c>
      <c r="M3362" s="43">
        <f>IF($I3362=0,0,IF(OR(INDEX(DarlOhneTilgung,7)=1,AND(INDEX(DarlTilgStart,7)&gt;0,$E3362&lt;INDEX(DarlTilgStart,7))),0,MIN(MAX(0,$K3362-$L3362),$J3362)))</f>
      </c>
      <c r="N3362" s="43">
        <f>IF($I3362=0,0,MIN(SUMIFS(SondBetrag,SondDarl,7,SondDatum,"&gt;="&amp;$E3362,SondDatum,"&lt;="&amp;EOMONTH($E3362,0)),$J3362-$M3362))</f>
      </c>
      <c r="O3362" s="43">
        <f>IF($I3362=0,0,INDEX(DarlErsatzRate,7))</f>
      </c>
      <c r="P3362" s="43">
        <f>IF($I3362=0,0,$Q3361*INDEX(DarlErsatzZins,7))</f>
      </c>
      <c r="Q3362" s="43">
        <f>IF($I3362=0,0,$Q3361+$P3362+$O3362)</f>
      </c>
      <c r="R3362" s="43">
        <f>IF($I3362=0,0,$J3362-$M3362-$N3362)</f>
      </c>
    </row>
    <row r="3363">
      <c r="A3363"/>
      <c r="B3363">
        <v>7</v>
      </c>
      <c r="C3363" s="43">
        <f>INDEX(DarlObj,7)</f>
      </c>
      <c r="D3363">
        <v>480</v>
      </c>
      <c r="E3363" s="51">
        <f>IF(INDEX(DarlBelegt,7)=0,0,EOMONTH(INDEX(DarlAuszahlung,7),479)+1)</f>
      </c>
      <c r="F3363" s="43">
        <f>IF($E3363=0,0,YEAR($E3363))</f>
      </c>
      <c r="G3363" s="43">
        <f>IF(INDEX(DarlBindung,7)="",1,IF($E3363&lt;=INDEX(DarlBindung,7),1,0))</f>
      </c>
      <c r="H3363" s="43">
        <f>IF($G3363=1,INDEX(DarlSollzins,7),INDEX(DarlAnschluss,7))</f>
      </c>
      <c r="I3363" s="43">
        <f>IF(INDEX(DarlBelegt,7)=0,0,IF(INDEX(DarlOhneTilgung,7)=1,IF(INDEX(DarlBindung,7)="",1,$G3363),IF($J3363&gt;0.005,1,0)))</f>
      </c>
      <c r="J3363" s="43">
        <f>IF($I3362=0,0,$R3362)</f>
      </c>
      <c r="K3363" s="43">
        <f>IF($I3363=0,0,IF(INDEX(DarlOhneTilgung,7)=1,0,IF(AND(INDEX(DarlTilgStart,7)&gt;0,$E3363=INDEX(DarlTilgStart,7)),$J3363*($H3363+INDEX(DarlTilgung,7))/100/12,IF(AND($G3363=0,$G3362=1),MAX($K3362,$J3363*($H3363+1)/100/12),$K3362))))</f>
      </c>
      <c r="L3363" s="43">
        <f>IF($I3363=0,0,$J3363*$H3363/100/12)</f>
      </c>
      <c r="M3363" s="43">
        <f>IF($I3363=0,0,IF(OR(INDEX(DarlOhneTilgung,7)=1,AND(INDEX(DarlTilgStart,7)&gt;0,$E3363&lt;INDEX(DarlTilgStart,7))),0,MIN(MAX(0,$K3363-$L3363),$J3363)))</f>
      </c>
      <c r="N3363" s="43">
        <f>IF($I3363=0,0,MIN(SUMIFS(SondBetrag,SondDarl,7,SondDatum,"&gt;="&amp;$E3363,SondDatum,"&lt;="&amp;EOMONTH($E3363,0)),$J3363-$M3363))</f>
      </c>
      <c r="O3363" s="43">
        <f>IF($I3363=0,0,INDEX(DarlErsatzRate,7))</f>
      </c>
      <c r="P3363" s="43">
        <f>IF($I3363=0,0,$Q3362*INDEX(DarlErsatzZins,7))</f>
      </c>
      <c r="Q3363" s="43">
        <f>IF($I3363=0,0,$Q3362+$P3363+$O3363)</f>
      </c>
      <c r="R3363" s="43">
        <f>IF($I3363=0,0,$J3363-$M3363-$N3363)</f>
      </c>
    </row>
    <row r="3364">
      <c r="A3364"/>
      <c r="B3364">
        <v>8</v>
      </c>
      <c r="C3364" s="43">
        <f>INDEX(DarlObj,8)</f>
      </c>
      <c r="D3364">
        <v>1</v>
      </c>
      <c r="E3364" s="51">
        <f>IF(INDEX(DarlBelegt,8)=0,0,EOMONTH(INDEX(DarlAuszahlung,8),0)+1)</f>
      </c>
      <c r="F3364" s="43">
        <f>IF($E3364=0,0,YEAR($E3364))</f>
      </c>
      <c r="G3364" s="43">
        <f>IF(INDEX(DarlBindung,8)="",1,IF($E3364&lt;=INDEX(DarlBindung,8),1,0))</f>
      </c>
      <c r="H3364" s="43">
        <f>IF($G3364=1,INDEX(DarlSollzins,8),INDEX(DarlAnschluss,8))</f>
      </c>
      <c r="I3364" s="43">
        <f>IF(INDEX(DarlBelegt,8)=0,0,IF(INDEX(DarlOhneTilgung,8)=1,IF(INDEX(DarlBindung,8)="",1,$G3364),IF($J3364&gt;0.005,1,0)))</f>
      </c>
      <c r="J3364" s="43">
        <f>IF(INDEX(DarlBelegt,8)=0,0,INDEX(DarlBetrag,8))</f>
      </c>
      <c r="K3364" s="43">
        <f>IF($I3364=0,0,IF(INDEX(DarlOhneTilgung,8)=1,0,INDEX(DarlRate1,8)))</f>
      </c>
      <c r="L3364" s="43">
        <f>IF($I3364=0,0,$J3364*$H3364/100/12)</f>
      </c>
      <c r="M3364" s="43">
        <f>IF($I3364=0,0,IF(OR(INDEX(DarlOhneTilgung,8)=1,AND(INDEX(DarlTilgStart,8)&gt;0,$E3364&lt;INDEX(DarlTilgStart,8))),0,MIN(MAX(0,$K3364-$L3364),$J3364)))</f>
      </c>
      <c r="N3364" s="43">
        <f>IF($I3364=0,0,MIN(SUMIFS(SondBetrag,SondDarl,8,SondDatum,"&gt;="&amp;$E3364,SondDatum,"&lt;="&amp;EOMONTH($E3364,0)),$J3364-$M3364))</f>
      </c>
      <c r="O3364" s="43">
        <f>IF($I3364=0,0,INDEX(DarlErsatzRate,8))</f>
      </c>
      <c r="P3364" s="43">
        <f>0</f>
      </c>
      <c r="Q3364" s="43">
        <f>IF($I3364=0,0,$P3364+$O3364)</f>
      </c>
      <c r="R3364" s="43">
        <f>IF($I3364=0,0,$J3364-$M3364-$N3364)</f>
      </c>
    </row>
    <row r="3365">
      <c r="A3365"/>
      <c r="B3365">
        <v>8</v>
      </c>
      <c r="C3365" s="43">
        <f>INDEX(DarlObj,8)</f>
      </c>
      <c r="D3365">
        <v>2</v>
      </c>
      <c r="E3365" s="51">
        <f>IF(INDEX(DarlBelegt,8)=0,0,EOMONTH(INDEX(DarlAuszahlung,8),1)+1)</f>
      </c>
      <c r="F3365" s="43">
        <f>IF($E3365=0,0,YEAR($E3365))</f>
      </c>
      <c r="G3365" s="43">
        <f>IF(INDEX(DarlBindung,8)="",1,IF($E3365&lt;=INDEX(DarlBindung,8),1,0))</f>
      </c>
      <c r="H3365" s="43">
        <f>IF($G3365=1,INDEX(DarlSollzins,8),INDEX(DarlAnschluss,8))</f>
      </c>
      <c r="I3365" s="43">
        <f>IF(INDEX(DarlBelegt,8)=0,0,IF(INDEX(DarlOhneTilgung,8)=1,IF(INDEX(DarlBindung,8)="",1,$G3365),IF($J3365&gt;0.005,1,0)))</f>
      </c>
      <c r="J3365" s="43">
        <f>IF($I3364=0,0,$R3364)</f>
      </c>
      <c r="K3365" s="43">
        <f>IF($I3365=0,0,IF(INDEX(DarlOhneTilgung,8)=1,0,IF(AND(INDEX(DarlTilgStart,8)&gt;0,$E3365=INDEX(DarlTilgStart,8)),$J3365*($H3365+INDEX(DarlTilgung,8))/100/12,IF(AND($G3365=0,$G3364=1),MAX($K3364,$J3365*($H3365+1)/100/12),$K3364))))</f>
      </c>
      <c r="L3365" s="43">
        <f>IF($I3365=0,0,$J3365*$H3365/100/12)</f>
      </c>
      <c r="M3365" s="43">
        <f>IF($I3365=0,0,IF(OR(INDEX(DarlOhneTilgung,8)=1,AND(INDEX(DarlTilgStart,8)&gt;0,$E3365&lt;INDEX(DarlTilgStart,8))),0,MIN(MAX(0,$K3365-$L3365),$J3365)))</f>
      </c>
      <c r="N3365" s="43">
        <f>IF($I3365=0,0,MIN(SUMIFS(SondBetrag,SondDarl,8,SondDatum,"&gt;="&amp;$E3365,SondDatum,"&lt;="&amp;EOMONTH($E3365,0)),$J3365-$M3365))</f>
      </c>
      <c r="O3365" s="43">
        <f>IF($I3365=0,0,INDEX(DarlErsatzRate,8))</f>
      </c>
      <c r="P3365" s="43">
        <f>IF($I3365=0,0,$Q3364*INDEX(DarlErsatzZins,8))</f>
      </c>
      <c r="Q3365" s="43">
        <f>IF($I3365=0,0,$Q3364+$P3365+$O3365)</f>
      </c>
      <c r="R3365" s="43">
        <f>IF($I3365=0,0,$J3365-$M3365-$N3365)</f>
      </c>
    </row>
    <row r="3366">
      <c r="A3366"/>
      <c r="B3366">
        <v>8</v>
      </c>
      <c r="C3366" s="43">
        <f>INDEX(DarlObj,8)</f>
      </c>
      <c r="D3366">
        <v>3</v>
      </c>
      <c r="E3366" s="51">
        <f>IF(INDEX(DarlBelegt,8)=0,0,EOMONTH(INDEX(DarlAuszahlung,8),2)+1)</f>
      </c>
      <c r="F3366" s="43">
        <f>IF($E3366=0,0,YEAR($E3366))</f>
      </c>
      <c r="G3366" s="43">
        <f>IF(INDEX(DarlBindung,8)="",1,IF($E3366&lt;=INDEX(DarlBindung,8),1,0))</f>
      </c>
      <c r="H3366" s="43">
        <f>IF($G3366=1,INDEX(DarlSollzins,8),INDEX(DarlAnschluss,8))</f>
      </c>
      <c r="I3366" s="43">
        <f>IF(INDEX(DarlBelegt,8)=0,0,IF(INDEX(DarlOhneTilgung,8)=1,IF(INDEX(DarlBindung,8)="",1,$G3366),IF($J3366&gt;0.005,1,0)))</f>
      </c>
      <c r="J3366" s="43">
        <f>IF($I3365=0,0,$R3365)</f>
      </c>
      <c r="K3366" s="43">
        <f>IF($I3366=0,0,IF(INDEX(DarlOhneTilgung,8)=1,0,IF(AND(INDEX(DarlTilgStart,8)&gt;0,$E3366=INDEX(DarlTilgStart,8)),$J3366*($H3366+INDEX(DarlTilgung,8))/100/12,IF(AND($G3366=0,$G3365=1),MAX($K3365,$J3366*($H3366+1)/100/12),$K3365))))</f>
      </c>
      <c r="L3366" s="43">
        <f>IF($I3366=0,0,$J3366*$H3366/100/12)</f>
      </c>
      <c r="M3366" s="43">
        <f>IF($I3366=0,0,IF(OR(INDEX(DarlOhneTilgung,8)=1,AND(INDEX(DarlTilgStart,8)&gt;0,$E3366&lt;INDEX(DarlTilgStart,8))),0,MIN(MAX(0,$K3366-$L3366),$J3366)))</f>
      </c>
      <c r="N3366" s="43">
        <f>IF($I3366=0,0,MIN(SUMIFS(SondBetrag,SondDarl,8,SondDatum,"&gt;="&amp;$E3366,SondDatum,"&lt;="&amp;EOMONTH($E3366,0)),$J3366-$M3366))</f>
      </c>
      <c r="O3366" s="43">
        <f>IF($I3366=0,0,INDEX(DarlErsatzRate,8))</f>
      </c>
      <c r="P3366" s="43">
        <f>IF($I3366=0,0,$Q3365*INDEX(DarlErsatzZins,8))</f>
      </c>
      <c r="Q3366" s="43">
        <f>IF($I3366=0,0,$Q3365+$P3366+$O3366)</f>
      </c>
      <c r="R3366" s="43">
        <f>IF($I3366=0,0,$J3366-$M3366-$N3366)</f>
      </c>
    </row>
    <row r="3367">
      <c r="A3367"/>
      <c r="B3367">
        <v>8</v>
      </c>
      <c r="C3367" s="43">
        <f>INDEX(DarlObj,8)</f>
      </c>
      <c r="D3367">
        <v>4</v>
      </c>
      <c r="E3367" s="51">
        <f>IF(INDEX(DarlBelegt,8)=0,0,EOMONTH(INDEX(DarlAuszahlung,8),3)+1)</f>
      </c>
      <c r="F3367" s="43">
        <f>IF($E3367=0,0,YEAR($E3367))</f>
      </c>
      <c r="G3367" s="43">
        <f>IF(INDEX(DarlBindung,8)="",1,IF($E3367&lt;=INDEX(DarlBindung,8),1,0))</f>
      </c>
      <c r="H3367" s="43">
        <f>IF($G3367=1,INDEX(DarlSollzins,8),INDEX(DarlAnschluss,8))</f>
      </c>
      <c r="I3367" s="43">
        <f>IF(INDEX(DarlBelegt,8)=0,0,IF(INDEX(DarlOhneTilgung,8)=1,IF(INDEX(DarlBindung,8)="",1,$G3367),IF($J3367&gt;0.005,1,0)))</f>
      </c>
      <c r="J3367" s="43">
        <f>IF($I3366=0,0,$R3366)</f>
      </c>
      <c r="K3367" s="43">
        <f>IF($I3367=0,0,IF(INDEX(DarlOhneTilgung,8)=1,0,IF(AND(INDEX(DarlTilgStart,8)&gt;0,$E3367=INDEX(DarlTilgStart,8)),$J3367*($H3367+INDEX(DarlTilgung,8))/100/12,IF(AND($G3367=0,$G3366=1),MAX($K3366,$J3367*($H3367+1)/100/12),$K3366))))</f>
      </c>
      <c r="L3367" s="43">
        <f>IF($I3367=0,0,$J3367*$H3367/100/12)</f>
      </c>
      <c r="M3367" s="43">
        <f>IF($I3367=0,0,IF(OR(INDEX(DarlOhneTilgung,8)=1,AND(INDEX(DarlTilgStart,8)&gt;0,$E3367&lt;INDEX(DarlTilgStart,8))),0,MIN(MAX(0,$K3367-$L3367),$J3367)))</f>
      </c>
      <c r="N3367" s="43">
        <f>IF($I3367=0,0,MIN(SUMIFS(SondBetrag,SondDarl,8,SondDatum,"&gt;="&amp;$E3367,SondDatum,"&lt;="&amp;EOMONTH($E3367,0)),$J3367-$M3367))</f>
      </c>
      <c r="O3367" s="43">
        <f>IF($I3367=0,0,INDEX(DarlErsatzRate,8))</f>
      </c>
      <c r="P3367" s="43">
        <f>IF($I3367=0,0,$Q3366*INDEX(DarlErsatzZins,8))</f>
      </c>
      <c r="Q3367" s="43">
        <f>IF($I3367=0,0,$Q3366+$P3367+$O3367)</f>
      </c>
      <c r="R3367" s="43">
        <f>IF($I3367=0,0,$J3367-$M3367-$N3367)</f>
      </c>
    </row>
    <row r="3368">
      <c r="A3368"/>
      <c r="B3368">
        <v>8</v>
      </c>
      <c r="C3368" s="43">
        <f>INDEX(DarlObj,8)</f>
      </c>
      <c r="D3368">
        <v>5</v>
      </c>
      <c r="E3368" s="51">
        <f>IF(INDEX(DarlBelegt,8)=0,0,EOMONTH(INDEX(DarlAuszahlung,8),4)+1)</f>
      </c>
      <c r="F3368" s="43">
        <f>IF($E3368=0,0,YEAR($E3368))</f>
      </c>
      <c r="G3368" s="43">
        <f>IF(INDEX(DarlBindung,8)="",1,IF($E3368&lt;=INDEX(DarlBindung,8),1,0))</f>
      </c>
      <c r="H3368" s="43">
        <f>IF($G3368=1,INDEX(DarlSollzins,8),INDEX(DarlAnschluss,8))</f>
      </c>
      <c r="I3368" s="43">
        <f>IF(INDEX(DarlBelegt,8)=0,0,IF(INDEX(DarlOhneTilgung,8)=1,IF(INDEX(DarlBindung,8)="",1,$G3368),IF($J3368&gt;0.005,1,0)))</f>
      </c>
      <c r="J3368" s="43">
        <f>IF($I3367=0,0,$R3367)</f>
      </c>
      <c r="K3368" s="43">
        <f>IF($I3368=0,0,IF(INDEX(DarlOhneTilgung,8)=1,0,IF(AND(INDEX(DarlTilgStart,8)&gt;0,$E3368=INDEX(DarlTilgStart,8)),$J3368*($H3368+INDEX(DarlTilgung,8))/100/12,IF(AND($G3368=0,$G3367=1),MAX($K3367,$J3368*($H3368+1)/100/12),$K3367))))</f>
      </c>
      <c r="L3368" s="43">
        <f>IF($I3368=0,0,$J3368*$H3368/100/12)</f>
      </c>
      <c r="M3368" s="43">
        <f>IF($I3368=0,0,IF(OR(INDEX(DarlOhneTilgung,8)=1,AND(INDEX(DarlTilgStart,8)&gt;0,$E3368&lt;INDEX(DarlTilgStart,8))),0,MIN(MAX(0,$K3368-$L3368),$J3368)))</f>
      </c>
      <c r="N3368" s="43">
        <f>IF($I3368=0,0,MIN(SUMIFS(SondBetrag,SondDarl,8,SondDatum,"&gt;="&amp;$E3368,SondDatum,"&lt;="&amp;EOMONTH($E3368,0)),$J3368-$M3368))</f>
      </c>
      <c r="O3368" s="43">
        <f>IF($I3368=0,0,INDEX(DarlErsatzRate,8))</f>
      </c>
      <c r="P3368" s="43">
        <f>IF($I3368=0,0,$Q3367*INDEX(DarlErsatzZins,8))</f>
      </c>
      <c r="Q3368" s="43">
        <f>IF($I3368=0,0,$Q3367+$P3368+$O3368)</f>
      </c>
      <c r="R3368" s="43">
        <f>IF($I3368=0,0,$J3368-$M3368-$N3368)</f>
      </c>
    </row>
    <row r="3369">
      <c r="A3369"/>
      <c r="B3369">
        <v>8</v>
      </c>
      <c r="C3369" s="43">
        <f>INDEX(DarlObj,8)</f>
      </c>
      <c r="D3369">
        <v>6</v>
      </c>
      <c r="E3369" s="51">
        <f>IF(INDEX(DarlBelegt,8)=0,0,EOMONTH(INDEX(DarlAuszahlung,8),5)+1)</f>
      </c>
      <c r="F3369" s="43">
        <f>IF($E3369=0,0,YEAR($E3369))</f>
      </c>
      <c r="G3369" s="43">
        <f>IF(INDEX(DarlBindung,8)="",1,IF($E3369&lt;=INDEX(DarlBindung,8),1,0))</f>
      </c>
      <c r="H3369" s="43">
        <f>IF($G3369=1,INDEX(DarlSollzins,8),INDEX(DarlAnschluss,8))</f>
      </c>
      <c r="I3369" s="43">
        <f>IF(INDEX(DarlBelegt,8)=0,0,IF(INDEX(DarlOhneTilgung,8)=1,IF(INDEX(DarlBindung,8)="",1,$G3369),IF($J3369&gt;0.005,1,0)))</f>
      </c>
      <c r="J3369" s="43">
        <f>IF($I3368=0,0,$R3368)</f>
      </c>
      <c r="K3369" s="43">
        <f>IF($I3369=0,0,IF(INDEX(DarlOhneTilgung,8)=1,0,IF(AND(INDEX(DarlTilgStart,8)&gt;0,$E3369=INDEX(DarlTilgStart,8)),$J3369*($H3369+INDEX(DarlTilgung,8))/100/12,IF(AND($G3369=0,$G3368=1),MAX($K3368,$J3369*($H3369+1)/100/12),$K3368))))</f>
      </c>
      <c r="L3369" s="43">
        <f>IF($I3369=0,0,$J3369*$H3369/100/12)</f>
      </c>
      <c r="M3369" s="43">
        <f>IF($I3369=0,0,IF(OR(INDEX(DarlOhneTilgung,8)=1,AND(INDEX(DarlTilgStart,8)&gt;0,$E3369&lt;INDEX(DarlTilgStart,8))),0,MIN(MAX(0,$K3369-$L3369),$J3369)))</f>
      </c>
      <c r="N3369" s="43">
        <f>IF($I3369=0,0,MIN(SUMIFS(SondBetrag,SondDarl,8,SondDatum,"&gt;="&amp;$E3369,SondDatum,"&lt;="&amp;EOMONTH($E3369,0)),$J3369-$M3369))</f>
      </c>
      <c r="O3369" s="43">
        <f>IF($I3369=0,0,INDEX(DarlErsatzRate,8))</f>
      </c>
      <c r="P3369" s="43">
        <f>IF($I3369=0,0,$Q3368*INDEX(DarlErsatzZins,8))</f>
      </c>
      <c r="Q3369" s="43">
        <f>IF($I3369=0,0,$Q3368+$P3369+$O3369)</f>
      </c>
      <c r="R3369" s="43">
        <f>IF($I3369=0,0,$J3369-$M3369-$N3369)</f>
      </c>
    </row>
    <row r="3370">
      <c r="A3370"/>
      <c r="B3370">
        <v>8</v>
      </c>
      <c r="C3370" s="43">
        <f>INDEX(DarlObj,8)</f>
      </c>
      <c r="D3370">
        <v>7</v>
      </c>
      <c r="E3370" s="51">
        <f>IF(INDEX(DarlBelegt,8)=0,0,EOMONTH(INDEX(DarlAuszahlung,8),6)+1)</f>
      </c>
      <c r="F3370" s="43">
        <f>IF($E3370=0,0,YEAR($E3370))</f>
      </c>
      <c r="G3370" s="43">
        <f>IF(INDEX(DarlBindung,8)="",1,IF($E3370&lt;=INDEX(DarlBindung,8),1,0))</f>
      </c>
      <c r="H3370" s="43">
        <f>IF($G3370=1,INDEX(DarlSollzins,8),INDEX(DarlAnschluss,8))</f>
      </c>
      <c r="I3370" s="43">
        <f>IF(INDEX(DarlBelegt,8)=0,0,IF(INDEX(DarlOhneTilgung,8)=1,IF(INDEX(DarlBindung,8)="",1,$G3370),IF($J3370&gt;0.005,1,0)))</f>
      </c>
      <c r="J3370" s="43">
        <f>IF($I3369=0,0,$R3369)</f>
      </c>
      <c r="K3370" s="43">
        <f>IF($I3370=0,0,IF(INDEX(DarlOhneTilgung,8)=1,0,IF(AND(INDEX(DarlTilgStart,8)&gt;0,$E3370=INDEX(DarlTilgStart,8)),$J3370*($H3370+INDEX(DarlTilgung,8))/100/12,IF(AND($G3370=0,$G3369=1),MAX($K3369,$J3370*($H3370+1)/100/12),$K3369))))</f>
      </c>
      <c r="L3370" s="43">
        <f>IF($I3370=0,0,$J3370*$H3370/100/12)</f>
      </c>
      <c r="M3370" s="43">
        <f>IF($I3370=0,0,IF(OR(INDEX(DarlOhneTilgung,8)=1,AND(INDEX(DarlTilgStart,8)&gt;0,$E3370&lt;INDEX(DarlTilgStart,8))),0,MIN(MAX(0,$K3370-$L3370),$J3370)))</f>
      </c>
      <c r="N3370" s="43">
        <f>IF($I3370=0,0,MIN(SUMIFS(SondBetrag,SondDarl,8,SondDatum,"&gt;="&amp;$E3370,SondDatum,"&lt;="&amp;EOMONTH($E3370,0)),$J3370-$M3370))</f>
      </c>
      <c r="O3370" s="43">
        <f>IF($I3370=0,0,INDEX(DarlErsatzRate,8))</f>
      </c>
      <c r="P3370" s="43">
        <f>IF($I3370=0,0,$Q3369*INDEX(DarlErsatzZins,8))</f>
      </c>
      <c r="Q3370" s="43">
        <f>IF($I3370=0,0,$Q3369+$P3370+$O3370)</f>
      </c>
      <c r="R3370" s="43">
        <f>IF($I3370=0,0,$J3370-$M3370-$N3370)</f>
      </c>
    </row>
    <row r="3371">
      <c r="A3371"/>
      <c r="B3371">
        <v>8</v>
      </c>
      <c r="C3371" s="43">
        <f>INDEX(DarlObj,8)</f>
      </c>
      <c r="D3371">
        <v>8</v>
      </c>
      <c r="E3371" s="51">
        <f>IF(INDEX(DarlBelegt,8)=0,0,EOMONTH(INDEX(DarlAuszahlung,8),7)+1)</f>
      </c>
      <c r="F3371" s="43">
        <f>IF($E3371=0,0,YEAR($E3371))</f>
      </c>
      <c r="G3371" s="43">
        <f>IF(INDEX(DarlBindung,8)="",1,IF($E3371&lt;=INDEX(DarlBindung,8),1,0))</f>
      </c>
      <c r="H3371" s="43">
        <f>IF($G3371=1,INDEX(DarlSollzins,8),INDEX(DarlAnschluss,8))</f>
      </c>
      <c r="I3371" s="43">
        <f>IF(INDEX(DarlBelegt,8)=0,0,IF(INDEX(DarlOhneTilgung,8)=1,IF(INDEX(DarlBindung,8)="",1,$G3371),IF($J3371&gt;0.005,1,0)))</f>
      </c>
      <c r="J3371" s="43">
        <f>IF($I3370=0,0,$R3370)</f>
      </c>
      <c r="K3371" s="43">
        <f>IF($I3371=0,0,IF(INDEX(DarlOhneTilgung,8)=1,0,IF(AND(INDEX(DarlTilgStart,8)&gt;0,$E3371=INDEX(DarlTilgStart,8)),$J3371*($H3371+INDEX(DarlTilgung,8))/100/12,IF(AND($G3371=0,$G3370=1),MAX($K3370,$J3371*($H3371+1)/100/12),$K3370))))</f>
      </c>
      <c r="L3371" s="43">
        <f>IF($I3371=0,0,$J3371*$H3371/100/12)</f>
      </c>
      <c r="M3371" s="43">
        <f>IF($I3371=0,0,IF(OR(INDEX(DarlOhneTilgung,8)=1,AND(INDEX(DarlTilgStart,8)&gt;0,$E3371&lt;INDEX(DarlTilgStart,8))),0,MIN(MAX(0,$K3371-$L3371),$J3371)))</f>
      </c>
      <c r="N3371" s="43">
        <f>IF($I3371=0,0,MIN(SUMIFS(SondBetrag,SondDarl,8,SondDatum,"&gt;="&amp;$E3371,SondDatum,"&lt;="&amp;EOMONTH($E3371,0)),$J3371-$M3371))</f>
      </c>
      <c r="O3371" s="43">
        <f>IF($I3371=0,0,INDEX(DarlErsatzRate,8))</f>
      </c>
      <c r="P3371" s="43">
        <f>IF($I3371=0,0,$Q3370*INDEX(DarlErsatzZins,8))</f>
      </c>
      <c r="Q3371" s="43">
        <f>IF($I3371=0,0,$Q3370+$P3371+$O3371)</f>
      </c>
      <c r="R3371" s="43">
        <f>IF($I3371=0,0,$J3371-$M3371-$N3371)</f>
      </c>
    </row>
    <row r="3372">
      <c r="A3372"/>
      <c r="B3372">
        <v>8</v>
      </c>
      <c r="C3372" s="43">
        <f>INDEX(DarlObj,8)</f>
      </c>
      <c r="D3372">
        <v>9</v>
      </c>
      <c r="E3372" s="51">
        <f>IF(INDEX(DarlBelegt,8)=0,0,EOMONTH(INDEX(DarlAuszahlung,8),8)+1)</f>
      </c>
      <c r="F3372" s="43">
        <f>IF($E3372=0,0,YEAR($E3372))</f>
      </c>
      <c r="G3372" s="43">
        <f>IF(INDEX(DarlBindung,8)="",1,IF($E3372&lt;=INDEX(DarlBindung,8),1,0))</f>
      </c>
      <c r="H3372" s="43">
        <f>IF($G3372=1,INDEX(DarlSollzins,8),INDEX(DarlAnschluss,8))</f>
      </c>
      <c r="I3372" s="43">
        <f>IF(INDEX(DarlBelegt,8)=0,0,IF(INDEX(DarlOhneTilgung,8)=1,IF(INDEX(DarlBindung,8)="",1,$G3372),IF($J3372&gt;0.005,1,0)))</f>
      </c>
      <c r="J3372" s="43">
        <f>IF($I3371=0,0,$R3371)</f>
      </c>
      <c r="K3372" s="43">
        <f>IF($I3372=0,0,IF(INDEX(DarlOhneTilgung,8)=1,0,IF(AND(INDEX(DarlTilgStart,8)&gt;0,$E3372=INDEX(DarlTilgStart,8)),$J3372*($H3372+INDEX(DarlTilgung,8))/100/12,IF(AND($G3372=0,$G3371=1),MAX($K3371,$J3372*($H3372+1)/100/12),$K3371))))</f>
      </c>
      <c r="L3372" s="43">
        <f>IF($I3372=0,0,$J3372*$H3372/100/12)</f>
      </c>
      <c r="M3372" s="43">
        <f>IF($I3372=0,0,IF(OR(INDEX(DarlOhneTilgung,8)=1,AND(INDEX(DarlTilgStart,8)&gt;0,$E3372&lt;INDEX(DarlTilgStart,8))),0,MIN(MAX(0,$K3372-$L3372),$J3372)))</f>
      </c>
      <c r="N3372" s="43">
        <f>IF($I3372=0,0,MIN(SUMIFS(SondBetrag,SondDarl,8,SondDatum,"&gt;="&amp;$E3372,SondDatum,"&lt;="&amp;EOMONTH($E3372,0)),$J3372-$M3372))</f>
      </c>
      <c r="O3372" s="43">
        <f>IF($I3372=0,0,INDEX(DarlErsatzRate,8))</f>
      </c>
      <c r="P3372" s="43">
        <f>IF($I3372=0,0,$Q3371*INDEX(DarlErsatzZins,8))</f>
      </c>
      <c r="Q3372" s="43">
        <f>IF($I3372=0,0,$Q3371+$P3372+$O3372)</f>
      </c>
      <c r="R3372" s="43">
        <f>IF($I3372=0,0,$J3372-$M3372-$N3372)</f>
      </c>
    </row>
    <row r="3373">
      <c r="A3373"/>
      <c r="B3373">
        <v>8</v>
      </c>
      <c r="C3373" s="43">
        <f>INDEX(DarlObj,8)</f>
      </c>
      <c r="D3373">
        <v>10</v>
      </c>
      <c r="E3373" s="51">
        <f>IF(INDEX(DarlBelegt,8)=0,0,EOMONTH(INDEX(DarlAuszahlung,8),9)+1)</f>
      </c>
      <c r="F3373" s="43">
        <f>IF($E3373=0,0,YEAR($E3373))</f>
      </c>
      <c r="G3373" s="43">
        <f>IF(INDEX(DarlBindung,8)="",1,IF($E3373&lt;=INDEX(DarlBindung,8),1,0))</f>
      </c>
      <c r="H3373" s="43">
        <f>IF($G3373=1,INDEX(DarlSollzins,8),INDEX(DarlAnschluss,8))</f>
      </c>
      <c r="I3373" s="43">
        <f>IF(INDEX(DarlBelegt,8)=0,0,IF(INDEX(DarlOhneTilgung,8)=1,IF(INDEX(DarlBindung,8)="",1,$G3373),IF($J3373&gt;0.005,1,0)))</f>
      </c>
      <c r="J3373" s="43">
        <f>IF($I3372=0,0,$R3372)</f>
      </c>
      <c r="K3373" s="43">
        <f>IF($I3373=0,0,IF(INDEX(DarlOhneTilgung,8)=1,0,IF(AND(INDEX(DarlTilgStart,8)&gt;0,$E3373=INDEX(DarlTilgStart,8)),$J3373*($H3373+INDEX(DarlTilgung,8))/100/12,IF(AND($G3373=0,$G3372=1),MAX($K3372,$J3373*($H3373+1)/100/12),$K3372))))</f>
      </c>
      <c r="L3373" s="43">
        <f>IF($I3373=0,0,$J3373*$H3373/100/12)</f>
      </c>
      <c r="M3373" s="43">
        <f>IF($I3373=0,0,IF(OR(INDEX(DarlOhneTilgung,8)=1,AND(INDEX(DarlTilgStart,8)&gt;0,$E3373&lt;INDEX(DarlTilgStart,8))),0,MIN(MAX(0,$K3373-$L3373),$J3373)))</f>
      </c>
      <c r="N3373" s="43">
        <f>IF($I3373=0,0,MIN(SUMIFS(SondBetrag,SondDarl,8,SondDatum,"&gt;="&amp;$E3373,SondDatum,"&lt;="&amp;EOMONTH($E3373,0)),$J3373-$M3373))</f>
      </c>
      <c r="O3373" s="43">
        <f>IF($I3373=0,0,INDEX(DarlErsatzRate,8))</f>
      </c>
      <c r="P3373" s="43">
        <f>IF($I3373=0,0,$Q3372*INDEX(DarlErsatzZins,8))</f>
      </c>
      <c r="Q3373" s="43">
        <f>IF($I3373=0,0,$Q3372+$P3373+$O3373)</f>
      </c>
      <c r="R3373" s="43">
        <f>IF($I3373=0,0,$J3373-$M3373-$N3373)</f>
      </c>
    </row>
    <row r="3374">
      <c r="A3374"/>
      <c r="B3374">
        <v>8</v>
      </c>
      <c r="C3374" s="43">
        <f>INDEX(DarlObj,8)</f>
      </c>
      <c r="D3374">
        <v>11</v>
      </c>
      <c r="E3374" s="51">
        <f>IF(INDEX(DarlBelegt,8)=0,0,EOMONTH(INDEX(DarlAuszahlung,8),10)+1)</f>
      </c>
      <c r="F3374" s="43">
        <f>IF($E3374=0,0,YEAR($E3374))</f>
      </c>
      <c r="G3374" s="43">
        <f>IF(INDEX(DarlBindung,8)="",1,IF($E3374&lt;=INDEX(DarlBindung,8),1,0))</f>
      </c>
      <c r="H3374" s="43">
        <f>IF($G3374=1,INDEX(DarlSollzins,8),INDEX(DarlAnschluss,8))</f>
      </c>
      <c r="I3374" s="43">
        <f>IF(INDEX(DarlBelegt,8)=0,0,IF(INDEX(DarlOhneTilgung,8)=1,IF(INDEX(DarlBindung,8)="",1,$G3374),IF($J3374&gt;0.005,1,0)))</f>
      </c>
      <c r="J3374" s="43">
        <f>IF($I3373=0,0,$R3373)</f>
      </c>
      <c r="K3374" s="43">
        <f>IF($I3374=0,0,IF(INDEX(DarlOhneTilgung,8)=1,0,IF(AND(INDEX(DarlTilgStart,8)&gt;0,$E3374=INDEX(DarlTilgStart,8)),$J3374*($H3374+INDEX(DarlTilgung,8))/100/12,IF(AND($G3374=0,$G3373=1),MAX($K3373,$J3374*($H3374+1)/100/12),$K3373))))</f>
      </c>
      <c r="L3374" s="43">
        <f>IF($I3374=0,0,$J3374*$H3374/100/12)</f>
      </c>
      <c r="M3374" s="43">
        <f>IF($I3374=0,0,IF(OR(INDEX(DarlOhneTilgung,8)=1,AND(INDEX(DarlTilgStart,8)&gt;0,$E3374&lt;INDEX(DarlTilgStart,8))),0,MIN(MAX(0,$K3374-$L3374),$J3374)))</f>
      </c>
      <c r="N3374" s="43">
        <f>IF($I3374=0,0,MIN(SUMIFS(SondBetrag,SondDarl,8,SondDatum,"&gt;="&amp;$E3374,SondDatum,"&lt;="&amp;EOMONTH($E3374,0)),$J3374-$M3374))</f>
      </c>
      <c r="O3374" s="43">
        <f>IF($I3374=0,0,INDEX(DarlErsatzRate,8))</f>
      </c>
      <c r="P3374" s="43">
        <f>IF($I3374=0,0,$Q3373*INDEX(DarlErsatzZins,8))</f>
      </c>
      <c r="Q3374" s="43">
        <f>IF($I3374=0,0,$Q3373+$P3374+$O3374)</f>
      </c>
      <c r="R3374" s="43">
        <f>IF($I3374=0,0,$J3374-$M3374-$N3374)</f>
      </c>
    </row>
    <row r="3375">
      <c r="A3375"/>
      <c r="B3375">
        <v>8</v>
      </c>
      <c r="C3375" s="43">
        <f>INDEX(DarlObj,8)</f>
      </c>
      <c r="D3375">
        <v>12</v>
      </c>
      <c r="E3375" s="51">
        <f>IF(INDEX(DarlBelegt,8)=0,0,EOMONTH(INDEX(DarlAuszahlung,8),11)+1)</f>
      </c>
      <c r="F3375" s="43">
        <f>IF($E3375=0,0,YEAR($E3375))</f>
      </c>
      <c r="G3375" s="43">
        <f>IF(INDEX(DarlBindung,8)="",1,IF($E3375&lt;=INDEX(DarlBindung,8),1,0))</f>
      </c>
      <c r="H3375" s="43">
        <f>IF($G3375=1,INDEX(DarlSollzins,8),INDEX(DarlAnschluss,8))</f>
      </c>
      <c r="I3375" s="43">
        <f>IF(INDEX(DarlBelegt,8)=0,0,IF(INDEX(DarlOhneTilgung,8)=1,IF(INDEX(DarlBindung,8)="",1,$G3375),IF($J3375&gt;0.005,1,0)))</f>
      </c>
      <c r="J3375" s="43">
        <f>IF($I3374=0,0,$R3374)</f>
      </c>
      <c r="K3375" s="43">
        <f>IF($I3375=0,0,IF(INDEX(DarlOhneTilgung,8)=1,0,IF(AND(INDEX(DarlTilgStart,8)&gt;0,$E3375=INDEX(DarlTilgStart,8)),$J3375*($H3375+INDEX(DarlTilgung,8))/100/12,IF(AND($G3375=0,$G3374=1),MAX($K3374,$J3375*($H3375+1)/100/12),$K3374))))</f>
      </c>
      <c r="L3375" s="43">
        <f>IF($I3375=0,0,$J3375*$H3375/100/12)</f>
      </c>
      <c r="M3375" s="43">
        <f>IF($I3375=0,0,IF(OR(INDEX(DarlOhneTilgung,8)=1,AND(INDEX(DarlTilgStart,8)&gt;0,$E3375&lt;INDEX(DarlTilgStart,8))),0,MIN(MAX(0,$K3375-$L3375),$J3375)))</f>
      </c>
      <c r="N3375" s="43">
        <f>IF($I3375=0,0,MIN(SUMIFS(SondBetrag,SondDarl,8,SondDatum,"&gt;="&amp;$E3375,SondDatum,"&lt;="&amp;EOMONTH($E3375,0)),$J3375-$M3375))</f>
      </c>
      <c r="O3375" s="43">
        <f>IF($I3375=0,0,INDEX(DarlErsatzRate,8))</f>
      </c>
      <c r="P3375" s="43">
        <f>IF($I3375=0,0,$Q3374*INDEX(DarlErsatzZins,8))</f>
      </c>
      <c r="Q3375" s="43">
        <f>IF($I3375=0,0,$Q3374+$P3375+$O3375)</f>
      </c>
      <c r="R3375" s="43">
        <f>IF($I3375=0,0,$J3375-$M3375-$N3375)</f>
      </c>
    </row>
    <row r="3376">
      <c r="A3376"/>
      <c r="B3376">
        <v>8</v>
      </c>
      <c r="C3376" s="43">
        <f>INDEX(DarlObj,8)</f>
      </c>
      <c r="D3376">
        <v>13</v>
      </c>
      <c r="E3376" s="51">
        <f>IF(INDEX(DarlBelegt,8)=0,0,EOMONTH(INDEX(DarlAuszahlung,8),12)+1)</f>
      </c>
      <c r="F3376" s="43">
        <f>IF($E3376=0,0,YEAR($E3376))</f>
      </c>
      <c r="G3376" s="43">
        <f>IF(INDEX(DarlBindung,8)="",1,IF($E3376&lt;=INDEX(DarlBindung,8),1,0))</f>
      </c>
      <c r="H3376" s="43">
        <f>IF($G3376=1,INDEX(DarlSollzins,8),INDEX(DarlAnschluss,8))</f>
      </c>
      <c r="I3376" s="43">
        <f>IF(INDEX(DarlBelegt,8)=0,0,IF(INDEX(DarlOhneTilgung,8)=1,IF(INDEX(DarlBindung,8)="",1,$G3376),IF($J3376&gt;0.005,1,0)))</f>
      </c>
      <c r="J3376" s="43">
        <f>IF($I3375=0,0,$R3375)</f>
      </c>
      <c r="K3376" s="43">
        <f>IF($I3376=0,0,IF(INDEX(DarlOhneTilgung,8)=1,0,IF(AND(INDEX(DarlTilgStart,8)&gt;0,$E3376=INDEX(DarlTilgStart,8)),$J3376*($H3376+INDEX(DarlTilgung,8))/100/12,IF(AND($G3376=0,$G3375=1),MAX($K3375,$J3376*($H3376+1)/100/12),$K3375))))</f>
      </c>
      <c r="L3376" s="43">
        <f>IF($I3376=0,0,$J3376*$H3376/100/12)</f>
      </c>
      <c r="M3376" s="43">
        <f>IF($I3376=0,0,IF(OR(INDEX(DarlOhneTilgung,8)=1,AND(INDEX(DarlTilgStart,8)&gt;0,$E3376&lt;INDEX(DarlTilgStart,8))),0,MIN(MAX(0,$K3376-$L3376),$J3376)))</f>
      </c>
      <c r="N3376" s="43">
        <f>IF($I3376=0,0,MIN(SUMIFS(SondBetrag,SondDarl,8,SondDatum,"&gt;="&amp;$E3376,SondDatum,"&lt;="&amp;EOMONTH($E3376,0)),$J3376-$M3376))</f>
      </c>
      <c r="O3376" s="43">
        <f>IF($I3376=0,0,INDEX(DarlErsatzRate,8))</f>
      </c>
      <c r="P3376" s="43">
        <f>IF($I3376=0,0,$Q3375*INDEX(DarlErsatzZins,8))</f>
      </c>
      <c r="Q3376" s="43">
        <f>IF($I3376=0,0,$Q3375+$P3376+$O3376)</f>
      </c>
      <c r="R3376" s="43">
        <f>IF($I3376=0,0,$J3376-$M3376-$N3376)</f>
      </c>
    </row>
    <row r="3377">
      <c r="A3377"/>
      <c r="B3377">
        <v>8</v>
      </c>
      <c r="C3377" s="43">
        <f>INDEX(DarlObj,8)</f>
      </c>
      <c r="D3377">
        <v>14</v>
      </c>
      <c r="E3377" s="51">
        <f>IF(INDEX(DarlBelegt,8)=0,0,EOMONTH(INDEX(DarlAuszahlung,8),13)+1)</f>
      </c>
      <c r="F3377" s="43">
        <f>IF($E3377=0,0,YEAR($E3377))</f>
      </c>
      <c r="G3377" s="43">
        <f>IF(INDEX(DarlBindung,8)="",1,IF($E3377&lt;=INDEX(DarlBindung,8),1,0))</f>
      </c>
      <c r="H3377" s="43">
        <f>IF($G3377=1,INDEX(DarlSollzins,8),INDEX(DarlAnschluss,8))</f>
      </c>
      <c r="I3377" s="43">
        <f>IF(INDEX(DarlBelegt,8)=0,0,IF(INDEX(DarlOhneTilgung,8)=1,IF(INDEX(DarlBindung,8)="",1,$G3377),IF($J3377&gt;0.005,1,0)))</f>
      </c>
      <c r="J3377" s="43">
        <f>IF($I3376=0,0,$R3376)</f>
      </c>
      <c r="K3377" s="43">
        <f>IF($I3377=0,0,IF(INDEX(DarlOhneTilgung,8)=1,0,IF(AND(INDEX(DarlTilgStart,8)&gt;0,$E3377=INDEX(DarlTilgStart,8)),$J3377*($H3377+INDEX(DarlTilgung,8))/100/12,IF(AND($G3377=0,$G3376=1),MAX($K3376,$J3377*($H3377+1)/100/12),$K3376))))</f>
      </c>
      <c r="L3377" s="43">
        <f>IF($I3377=0,0,$J3377*$H3377/100/12)</f>
      </c>
      <c r="M3377" s="43">
        <f>IF($I3377=0,0,IF(OR(INDEX(DarlOhneTilgung,8)=1,AND(INDEX(DarlTilgStart,8)&gt;0,$E3377&lt;INDEX(DarlTilgStart,8))),0,MIN(MAX(0,$K3377-$L3377),$J3377)))</f>
      </c>
      <c r="N3377" s="43">
        <f>IF($I3377=0,0,MIN(SUMIFS(SondBetrag,SondDarl,8,SondDatum,"&gt;="&amp;$E3377,SondDatum,"&lt;="&amp;EOMONTH($E3377,0)),$J3377-$M3377))</f>
      </c>
      <c r="O3377" s="43">
        <f>IF($I3377=0,0,INDEX(DarlErsatzRate,8))</f>
      </c>
      <c r="P3377" s="43">
        <f>IF($I3377=0,0,$Q3376*INDEX(DarlErsatzZins,8))</f>
      </c>
      <c r="Q3377" s="43">
        <f>IF($I3377=0,0,$Q3376+$P3377+$O3377)</f>
      </c>
      <c r="R3377" s="43">
        <f>IF($I3377=0,0,$J3377-$M3377-$N3377)</f>
      </c>
    </row>
    <row r="3378">
      <c r="A3378"/>
      <c r="B3378">
        <v>8</v>
      </c>
      <c r="C3378" s="43">
        <f>INDEX(DarlObj,8)</f>
      </c>
      <c r="D3378">
        <v>15</v>
      </c>
      <c r="E3378" s="51">
        <f>IF(INDEX(DarlBelegt,8)=0,0,EOMONTH(INDEX(DarlAuszahlung,8),14)+1)</f>
      </c>
      <c r="F3378" s="43">
        <f>IF($E3378=0,0,YEAR($E3378))</f>
      </c>
      <c r="G3378" s="43">
        <f>IF(INDEX(DarlBindung,8)="",1,IF($E3378&lt;=INDEX(DarlBindung,8),1,0))</f>
      </c>
      <c r="H3378" s="43">
        <f>IF($G3378=1,INDEX(DarlSollzins,8),INDEX(DarlAnschluss,8))</f>
      </c>
      <c r="I3378" s="43">
        <f>IF(INDEX(DarlBelegt,8)=0,0,IF(INDEX(DarlOhneTilgung,8)=1,IF(INDEX(DarlBindung,8)="",1,$G3378),IF($J3378&gt;0.005,1,0)))</f>
      </c>
      <c r="J3378" s="43">
        <f>IF($I3377=0,0,$R3377)</f>
      </c>
      <c r="K3378" s="43">
        <f>IF($I3378=0,0,IF(INDEX(DarlOhneTilgung,8)=1,0,IF(AND(INDEX(DarlTilgStart,8)&gt;0,$E3378=INDEX(DarlTilgStart,8)),$J3378*($H3378+INDEX(DarlTilgung,8))/100/12,IF(AND($G3378=0,$G3377=1),MAX($K3377,$J3378*($H3378+1)/100/12),$K3377))))</f>
      </c>
      <c r="L3378" s="43">
        <f>IF($I3378=0,0,$J3378*$H3378/100/12)</f>
      </c>
      <c r="M3378" s="43">
        <f>IF($I3378=0,0,IF(OR(INDEX(DarlOhneTilgung,8)=1,AND(INDEX(DarlTilgStart,8)&gt;0,$E3378&lt;INDEX(DarlTilgStart,8))),0,MIN(MAX(0,$K3378-$L3378),$J3378)))</f>
      </c>
      <c r="N3378" s="43">
        <f>IF($I3378=0,0,MIN(SUMIFS(SondBetrag,SondDarl,8,SondDatum,"&gt;="&amp;$E3378,SondDatum,"&lt;="&amp;EOMONTH($E3378,0)),$J3378-$M3378))</f>
      </c>
      <c r="O3378" s="43">
        <f>IF($I3378=0,0,INDEX(DarlErsatzRate,8))</f>
      </c>
      <c r="P3378" s="43">
        <f>IF($I3378=0,0,$Q3377*INDEX(DarlErsatzZins,8))</f>
      </c>
      <c r="Q3378" s="43">
        <f>IF($I3378=0,0,$Q3377+$P3378+$O3378)</f>
      </c>
      <c r="R3378" s="43">
        <f>IF($I3378=0,0,$J3378-$M3378-$N3378)</f>
      </c>
    </row>
    <row r="3379">
      <c r="A3379"/>
      <c r="B3379">
        <v>8</v>
      </c>
      <c r="C3379" s="43">
        <f>INDEX(DarlObj,8)</f>
      </c>
      <c r="D3379">
        <v>16</v>
      </c>
      <c r="E3379" s="51">
        <f>IF(INDEX(DarlBelegt,8)=0,0,EOMONTH(INDEX(DarlAuszahlung,8),15)+1)</f>
      </c>
      <c r="F3379" s="43">
        <f>IF($E3379=0,0,YEAR($E3379))</f>
      </c>
      <c r="G3379" s="43">
        <f>IF(INDEX(DarlBindung,8)="",1,IF($E3379&lt;=INDEX(DarlBindung,8),1,0))</f>
      </c>
      <c r="H3379" s="43">
        <f>IF($G3379=1,INDEX(DarlSollzins,8),INDEX(DarlAnschluss,8))</f>
      </c>
      <c r="I3379" s="43">
        <f>IF(INDEX(DarlBelegt,8)=0,0,IF(INDEX(DarlOhneTilgung,8)=1,IF(INDEX(DarlBindung,8)="",1,$G3379),IF($J3379&gt;0.005,1,0)))</f>
      </c>
      <c r="J3379" s="43">
        <f>IF($I3378=0,0,$R3378)</f>
      </c>
      <c r="K3379" s="43">
        <f>IF($I3379=0,0,IF(INDEX(DarlOhneTilgung,8)=1,0,IF(AND(INDEX(DarlTilgStart,8)&gt;0,$E3379=INDEX(DarlTilgStart,8)),$J3379*($H3379+INDEX(DarlTilgung,8))/100/12,IF(AND($G3379=0,$G3378=1),MAX($K3378,$J3379*($H3379+1)/100/12),$K3378))))</f>
      </c>
      <c r="L3379" s="43">
        <f>IF($I3379=0,0,$J3379*$H3379/100/12)</f>
      </c>
      <c r="M3379" s="43">
        <f>IF($I3379=0,0,IF(OR(INDEX(DarlOhneTilgung,8)=1,AND(INDEX(DarlTilgStart,8)&gt;0,$E3379&lt;INDEX(DarlTilgStart,8))),0,MIN(MAX(0,$K3379-$L3379),$J3379)))</f>
      </c>
      <c r="N3379" s="43">
        <f>IF($I3379=0,0,MIN(SUMIFS(SondBetrag,SondDarl,8,SondDatum,"&gt;="&amp;$E3379,SondDatum,"&lt;="&amp;EOMONTH($E3379,0)),$J3379-$M3379))</f>
      </c>
      <c r="O3379" s="43">
        <f>IF($I3379=0,0,INDEX(DarlErsatzRate,8))</f>
      </c>
      <c r="P3379" s="43">
        <f>IF($I3379=0,0,$Q3378*INDEX(DarlErsatzZins,8))</f>
      </c>
      <c r="Q3379" s="43">
        <f>IF($I3379=0,0,$Q3378+$P3379+$O3379)</f>
      </c>
      <c r="R3379" s="43">
        <f>IF($I3379=0,0,$J3379-$M3379-$N3379)</f>
      </c>
    </row>
    <row r="3380">
      <c r="A3380"/>
      <c r="B3380">
        <v>8</v>
      </c>
      <c r="C3380" s="43">
        <f>INDEX(DarlObj,8)</f>
      </c>
      <c r="D3380">
        <v>17</v>
      </c>
      <c r="E3380" s="51">
        <f>IF(INDEX(DarlBelegt,8)=0,0,EOMONTH(INDEX(DarlAuszahlung,8),16)+1)</f>
      </c>
      <c r="F3380" s="43">
        <f>IF($E3380=0,0,YEAR($E3380))</f>
      </c>
      <c r="G3380" s="43">
        <f>IF(INDEX(DarlBindung,8)="",1,IF($E3380&lt;=INDEX(DarlBindung,8),1,0))</f>
      </c>
      <c r="H3380" s="43">
        <f>IF($G3380=1,INDEX(DarlSollzins,8),INDEX(DarlAnschluss,8))</f>
      </c>
      <c r="I3380" s="43">
        <f>IF(INDEX(DarlBelegt,8)=0,0,IF(INDEX(DarlOhneTilgung,8)=1,IF(INDEX(DarlBindung,8)="",1,$G3380),IF($J3380&gt;0.005,1,0)))</f>
      </c>
      <c r="J3380" s="43">
        <f>IF($I3379=0,0,$R3379)</f>
      </c>
      <c r="K3380" s="43">
        <f>IF($I3380=0,0,IF(INDEX(DarlOhneTilgung,8)=1,0,IF(AND(INDEX(DarlTilgStart,8)&gt;0,$E3380=INDEX(DarlTilgStart,8)),$J3380*($H3380+INDEX(DarlTilgung,8))/100/12,IF(AND($G3380=0,$G3379=1),MAX($K3379,$J3380*($H3380+1)/100/12),$K3379))))</f>
      </c>
      <c r="L3380" s="43">
        <f>IF($I3380=0,0,$J3380*$H3380/100/12)</f>
      </c>
      <c r="M3380" s="43">
        <f>IF($I3380=0,0,IF(OR(INDEX(DarlOhneTilgung,8)=1,AND(INDEX(DarlTilgStart,8)&gt;0,$E3380&lt;INDEX(DarlTilgStart,8))),0,MIN(MAX(0,$K3380-$L3380),$J3380)))</f>
      </c>
      <c r="N3380" s="43">
        <f>IF($I3380=0,0,MIN(SUMIFS(SondBetrag,SondDarl,8,SondDatum,"&gt;="&amp;$E3380,SondDatum,"&lt;="&amp;EOMONTH($E3380,0)),$J3380-$M3380))</f>
      </c>
      <c r="O3380" s="43">
        <f>IF($I3380=0,0,INDEX(DarlErsatzRate,8))</f>
      </c>
      <c r="P3380" s="43">
        <f>IF($I3380=0,0,$Q3379*INDEX(DarlErsatzZins,8))</f>
      </c>
      <c r="Q3380" s="43">
        <f>IF($I3380=0,0,$Q3379+$P3380+$O3380)</f>
      </c>
      <c r="R3380" s="43">
        <f>IF($I3380=0,0,$J3380-$M3380-$N3380)</f>
      </c>
    </row>
    <row r="3381">
      <c r="A3381"/>
      <c r="B3381">
        <v>8</v>
      </c>
      <c r="C3381" s="43">
        <f>INDEX(DarlObj,8)</f>
      </c>
      <c r="D3381">
        <v>18</v>
      </c>
      <c r="E3381" s="51">
        <f>IF(INDEX(DarlBelegt,8)=0,0,EOMONTH(INDEX(DarlAuszahlung,8),17)+1)</f>
      </c>
      <c r="F3381" s="43">
        <f>IF($E3381=0,0,YEAR($E3381))</f>
      </c>
      <c r="G3381" s="43">
        <f>IF(INDEX(DarlBindung,8)="",1,IF($E3381&lt;=INDEX(DarlBindung,8),1,0))</f>
      </c>
      <c r="H3381" s="43">
        <f>IF($G3381=1,INDEX(DarlSollzins,8),INDEX(DarlAnschluss,8))</f>
      </c>
      <c r="I3381" s="43">
        <f>IF(INDEX(DarlBelegt,8)=0,0,IF(INDEX(DarlOhneTilgung,8)=1,IF(INDEX(DarlBindung,8)="",1,$G3381),IF($J3381&gt;0.005,1,0)))</f>
      </c>
      <c r="J3381" s="43">
        <f>IF($I3380=0,0,$R3380)</f>
      </c>
      <c r="K3381" s="43">
        <f>IF($I3381=0,0,IF(INDEX(DarlOhneTilgung,8)=1,0,IF(AND(INDEX(DarlTilgStart,8)&gt;0,$E3381=INDEX(DarlTilgStart,8)),$J3381*($H3381+INDEX(DarlTilgung,8))/100/12,IF(AND($G3381=0,$G3380=1),MAX($K3380,$J3381*($H3381+1)/100/12),$K3380))))</f>
      </c>
      <c r="L3381" s="43">
        <f>IF($I3381=0,0,$J3381*$H3381/100/12)</f>
      </c>
      <c r="M3381" s="43">
        <f>IF($I3381=0,0,IF(OR(INDEX(DarlOhneTilgung,8)=1,AND(INDEX(DarlTilgStart,8)&gt;0,$E3381&lt;INDEX(DarlTilgStart,8))),0,MIN(MAX(0,$K3381-$L3381),$J3381)))</f>
      </c>
      <c r="N3381" s="43">
        <f>IF($I3381=0,0,MIN(SUMIFS(SondBetrag,SondDarl,8,SondDatum,"&gt;="&amp;$E3381,SondDatum,"&lt;="&amp;EOMONTH($E3381,0)),$J3381-$M3381))</f>
      </c>
      <c r="O3381" s="43">
        <f>IF($I3381=0,0,INDEX(DarlErsatzRate,8))</f>
      </c>
      <c r="P3381" s="43">
        <f>IF($I3381=0,0,$Q3380*INDEX(DarlErsatzZins,8))</f>
      </c>
      <c r="Q3381" s="43">
        <f>IF($I3381=0,0,$Q3380+$P3381+$O3381)</f>
      </c>
      <c r="R3381" s="43">
        <f>IF($I3381=0,0,$J3381-$M3381-$N3381)</f>
      </c>
    </row>
    <row r="3382">
      <c r="A3382"/>
      <c r="B3382">
        <v>8</v>
      </c>
      <c r="C3382" s="43">
        <f>INDEX(DarlObj,8)</f>
      </c>
      <c r="D3382">
        <v>19</v>
      </c>
      <c r="E3382" s="51">
        <f>IF(INDEX(DarlBelegt,8)=0,0,EOMONTH(INDEX(DarlAuszahlung,8),18)+1)</f>
      </c>
      <c r="F3382" s="43">
        <f>IF($E3382=0,0,YEAR($E3382))</f>
      </c>
      <c r="G3382" s="43">
        <f>IF(INDEX(DarlBindung,8)="",1,IF($E3382&lt;=INDEX(DarlBindung,8),1,0))</f>
      </c>
      <c r="H3382" s="43">
        <f>IF($G3382=1,INDEX(DarlSollzins,8),INDEX(DarlAnschluss,8))</f>
      </c>
      <c r="I3382" s="43">
        <f>IF(INDEX(DarlBelegt,8)=0,0,IF(INDEX(DarlOhneTilgung,8)=1,IF(INDEX(DarlBindung,8)="",1,$G3382),IF($J3382&gt;0.005,1,0)))</f>
      </c>
      <c r="J3382" s="43">
        <f>IF($I3381=0,0,$R3381)</f>
      </c>
      <c r="K3382" s="43">
        <f>IF($I3382=0,0,IF(INDEX(DarlOhneTilgung,8)=1,0,IF(AND(INDEX(DarlTilgStart,8)&gt;0,$E3382=INDEX(DarlTilgStart,8)),$J3382*($H3382+INDEX(DarlTilgung,8))/100/12,IF(AND($G3382=0,$G3381=1),MAX($K3381,$J3382*($H3382+1)/100/12),$K3381))))</f>
      </c>
      <c r="L3382" s="43">
        <f>IF($I3382=0,0,$J3382*$H3382/100/12)</f>
      </c>
      <c r="M3382" s="43">
        <f>IF($I3382=0,0,IF(OR(INDEX(DarlOhneTilgung,8)=1,AND(INDEX(DarlTilgStart,8)&gt;0,$E3382&lt;INDEX(DarlTilgStart,8))),0,MIN(MAX(0,$K3382-$L3382),$J3382)))</f>
      </c>
      <c r="N3382" s="43">
        <f>IF($I3382=0,0,MIN(SUMIFS(SondBetrag,SondDarl,8,SondDatum,"&gt;="&amp;$E3382,SondDatum,"&lt;="&amp;EOMONTH($E3382,0)),$J3382-$M3382))</f>
      </c>
      <c r="O3382" s="43">
        <f>IF($I3382=0,0,INDEX(DarlErsatzRate,8))</f>
      </c>
      <c r="P3382" s="43">
        <f>IF($I3382=0,0,$Q3381*INDEX(DarlErsatzZins,8))</f>
      </c>
      <c r="Q3382" s="43">
        <f>IF($I3382=0,0,$Q3381+$P3382+$O3382)</f>
      </c>
      <c r="R3382" s="43">
        <f>IF($I3382=0,0,$J3382-$M3382-$N3382)</f>
      </c>
    </row>
    <row r="3383">
      <c r="A3383"/>
      <c r="B3383">
        <v>8</v>
      </c>
      <c r="C3383" s="43">
        <f>INDEX(DarlObj,8)</f>
      </c>
      <c r="D3383">
        <v>20</v>
      </c>
      <c r="E3383" s="51">
        <f>IF(INDEX(DarlBelegt,8)=0,0,EOMONTH(INDEX(DarlAuszahlung,8),19)+1)</f>
      </c>
      <c r="F3383" s="43">
        <f>IF($E3383=0,0,YEAR($E3383))</f>
      </c>
      <c r="G3383" s="43">
        <f>IF(INDEX(DarlBindung,8)="",1,IF($E3383&lt;=INDEX(DarlBindung,8),1,0))</f>
      </c>
      <c r="H3383" s="43">
        <f>IF($G3383=1,INDEX(DarlSollzins,8),INDEX(DarlAnschluss,8))</f>
      </c>
      <c r="I3383" s="43">
        <f>IF(INDEX(DarlBelegt,8)=0,0,IF(INDEX(DarlOhneTilgung,8)=1,IF(INDEX(DarlBindung,8)="",1,$G3383),IF($J3383&gt;0.005,1,0)))</f>
      </c>
      <c r="J3383" s="43">
        <f>IF($I3382=0,0,$R3382)</f>
      </c>
      <c r="K3383" s="43">
        <f>IF($I3383=0,0,IF(INDEX(DarlOhneTilgung,8)=1,0,IF(AND(INDEX(DarlTilgStart,8)&gt;0,$E3383=INDEX(DarlTilgStart,8)),$J3383*($H3383+INDEX(DarlTilgung,8))/100/12,IF(AND($G3383=0,$G3382=1),MAX($K3382,$J3383*($H3383+1)/100/12),$K3382))))</f>
      </c>
      <c r="L3383" s="43">
        <f>IF($I3383=0,0,$J3383*$H3383/100/12)</f>
      </c>
      <c r="M3383" s="43">
        <f>IF($I3383=0,0,IF(OR(INDEX(DarlOhneTilgung,8)=1,AND(INDEX(DarlTilgStart,8)&gt;0,$E3383&lt;INDEX(DarlTilgStart,8))),0,MIN(MAX(0,$K3383-$L3383),$J3383)))</f>
      </c>
      <c r="N3383" s="43">
        <f>IF($I3383=0,0,MIN(SUMIFS(SondBetrag,SondDarl,8,SondDatum,"&gt;="&amp;$E3383,SondDatum,"&lt;="&amp;EOMONTH($E3383,0)),$J3383-$M3383))</f>
      </c>
      <c r="O3383" s="43">
        <f>IF($I3383=0,0,INDEX(DarlErsatzRate,8))</f>
      </c>
      <c r="P3383" s="43">
        <f>IF($I3383=0,0,$Q3382*INDEX(DarlErsatzZins,8))</f>
      </c>
      <c r="Q3383" s="43">
        <f>IF($I3383=0,0,$Q3382+$P3383+$O3383)</f>
      </c>
      <c r="R3383" s="43">
        <f>IF($I3383=0,0,$J3383-$M3383-$N3383)</f>
      </c>
    </row>
    <row r="3384">
      <c r="A3384"/>
      <c r="B3384">
        <v>8</v>
      </c>
      <c r="C3384" s="43">
        <f>INDEX(DarlObj,8)</f>
      </c>
      <c r="D3384">
        <v>21</v>
      </c>
      <c r="E3384" s="51">
        <f>IF(INDEX(DarlBelegt,8)=0,0,EOMONTH(INDEX(DarlAuszahlung,8),20)+1)</f>
      </c>
      <c r="F3384" s="43">
        <f>IF($E3384=0,0,YEAR($E3384))</f>
      </c>
      <c r="G3384" s="43">
        <f>IF(INDEX(DarlBindung,8)="",1,IF($E3384&lt;=INDEX(DarlBindung,8),1,0))</f>
      </c>
      <c r="H3384" s="43">
        <f>IF($G3384=1,INDEX(DarlSollzins,8),INDEX(DarlAnschluss,8))</f>
      </c>
      <c r="I3384" s="43">
        <f>IF(INDEX(DarlBelegt,8)=0,0,IF(INDEX(DarlOhneTilgung,8)=1,IF(INDEX(DarlBindung,8)="",1,$G3384),IF($J3384&gt;0.005,1,0)))</f>
      </c>
      <c r="J3384" s="43">
        <f>IF($I3383=0,0,$R3383)</f>
      </c>
      <c r="K3384" s="43">
        <f>IF($I3384=0,0,IF(INDEX(DarlOhneTilgung,8)=1,0,IF(AND(INDEX(DarlTilgStart,8)&gt;0,$E3384=INDEX(DarlTilgStart,8)),$J3384*($H3384+INDEX(DarlTilgung,8))/100/12,IF(AND($G3384=0,$G3383=1),MAX($K3383,$J3384*($H3384+1)/100/12),$K3383))))</f>
      </c>
      <c r="L3384" s="43">
        <f>IF($I3384=0,0,$J3384*$H3384/100/12)</f>
      </c>
      <c r="M3384" s="43">
        <f>IF($I3384=0,0,IF(OR(INDEX(DarlOhneTilgung,8)=1,AND(INDEX(DarlTilgStart,8)&gt;0,$E3384&lt;INDEX(DarlTilgStart,8))),0,MIN(MAX(0,$K3384-$L3384),$J3384)))</f>
      </c>
      <c r="N3384" s="43">
        <f>IF($I3384=0,0,MIN(SUMIFS(SondBetrag,SondDarl,8,SondDatum,"&gt;="&amp;$E3384,SondDatum,"&lt;="&amp;EOMONTH($E3384,0)),$J3384-$M3384))</f>
      </c>
      <c r="O3384" s="43">
        <f>IF($I3384=0,0,INDEX(DarlErsatzRate,8))</f>
      </c>
      <c r="P3384" s="43">
        <f>IF($I3384=0,0,$Q3383*INDEX(DarlErsatzZins,8))</f>
      </c>
      <c r="Q3384" s="43">
        <f>IF($I3384=0,0,$Q3383+$P3384+$O3384)</f>
      </c>
      <c r="R3384" s="43">
        <f>IF($I3384=0,0,$J3384-$M3384-$N3384)</f>
      </c>
    </row>
    <row r="3385">
      <c r="A3385"/>
      <c r="B3385">
        <v>8</v>
      </c>
      <c r="C3385" s="43">
        <f>INDEX(DarlObj,8)</f>
      </c>
      <c r="D3385">
        <v>22</v>
      </c>
      <c r="E3385" s="51">
        <f>IF(INDEX(DarlBelegt,8)=0,0,EOMONTH(INDEX(DarlAuszahlung,8),21)+1)</f>
      </c>
      <c r="F3385" s="43">
        <f>IF($E3385=0,0,YEAR($E3385))</f>
      </c>
      <c r="G3385" s="43">
        <f>IF(INDEX(DarlBindung,8)="",1,IF($E3385&lt;=INDEX(DarlBindung,8),1,0))</f>
      </c>
      <c r="H3385" s="43">
        <f>IF($G3385=1,INDEX(DarlSollzins,8),INDEX(DarlAnschluss,8))</f>
      </c>
      <c r="I3385" s="43">
        <f>IF(INDEX(DarlBelegt,8)=0,0,IF(INDEX(DarlOhneTilgung,8)=1,IF(INDEX(DarlBindung,8)="",1,$G3385),IF($J3385&gt;0.005,1,0)))</f>
      </c>
      <c r="J3385" s="43">
        <f>IF($I3384=0,0,$R3384)</f>
      </c>
      <c r="K3385" s="43">
        <f>IF($I3385=0,0,IF(INDEX(DarlOhneTilgung,8)=1,0,IF(AND(INDEX(DarlTilgStart,8)&gt;0,$E3385=INDEX(DarlTilgStart,8)),$J3385*($H3385+INDEX(DarlTilgung,8))/100/12,IF(AND($G3385=0,$G3384=1),MAX($K3384,$J3385*($H3385+1)/100/12),$K3384))))</f>
      </c>
      <c r="L3385" s="43">
        <f>IF($I3385=0,0,$J3385*$H3385/100/12)</f>
      </c>
      <c r="M3385" s="43">
        <f>IF($I3385=0,0,IF(OR(INDEX(DarlOhneTilgung,8)=1,AND(INDEX(DarlTilgStart,8)&gt;0,$E3385&lt;INDEX(DarlTilgStart,8))),0,MIN(MAX(0,$K3385-$L3385),$J3385)))</f>
      </c>
      <c r="N3385" s="43">
        <f>IF($I3385=0,0,MIN(SUMIFS(SondBetrag,SondDarl,8,SondDatum,"&gt;="&amp;$E3385,SondDatum,"&lt;="&amp;EOMONTH($E3385,0)),$J3385-$M3385))</f>
      </c>
      <c r="O3385" s="43">
        <f>IF($I3385=0,0,INDEX(DarlErsatzRate,8))</f>
      </c>
      <c r="P3385" s="43">
        <f>IF($I3385=0,0,$Q3384*INDEX(DarlErsatzZins,8))</f>
      </c>
      <c r="Q3385" s="43">
        <f>IF($I3385=0,0,$Q3384+$P3385+$O3385)</f>
      </c>
      <c r="R3385" s="43">
        <f>IF($I3385=0,0,$J3385-$M3385-$N3385)</f>
      </c>
    </row>
    <row r="3386">
      <c r="A3386"/>
      <c r="B3386">
        <v>8</v>
      </c>
      <c r="C3386" s="43">
        <f>INDEX(DarlObj,8)</f>
      </c>
      <c r="D3386">
        <v>23</v>
      </c>
      <c r="E3386" s="51">
        <f>IF(INDEX(DarlBelegt,8)=0,0,EOMONTH(INDEX(DarlAuszahlung,8),22)+1)</f>
      </c>
      <c r="F3386" s="43">
        <f>IF($E3386=0,0,YEAR($E3386))</f>
      </c>
      <c r="G3386" s="43">
        <f>IF(INDEX(DarlBindung,8)="",1,IF($E3386&lt;=INDEX(DarlBindung,8),1,0))</f>
      </c>
      <c r="H3386" s="43">
        <f>IF($G3386=1,INDEX(DarlSollzins,8),INDEX(DarlAnschluss,8))</f>
      </c>
      <c r="I3386" s="43">
        <f>IF(INDEX(DarlBelegt,8)=0,0,IF(INDEX(DarlOhneTilgung,8)=1,IF(INDEX(DarlBindung,8)="",1,$G3386),IF($J3386&gt;0.005,1,0)))</f>
      </c>
      <c r="J3386" s="43">
        <f>IF($I3385=0,0,$R3385)</f>
      </c>
      <c r="K3386" s="43">
        <f>IF($I3386=0,0,IF(INDEX(DarlOhneTilgung,8)=1,0,IF(AND(INDEX(DarlTilgStart,8)&gt;0,$E3386=INDEX(DarlTilgStart,8)),$J3386*($H3386+INDEX(DarlTilgung,8))/100/12,IF(AND($G3386=0,$G3385=1),MAX($K3385,$J3386*($H3386+1)/100/12),$K3385))))</f>
      </c>
      <c r="L3386" s="43">
        <f>IF($I3386=0,0,$J3386*$H3386/100/12)</f>
      </c>
      <c r="M3386" s="43">
        <f>IF($I3386=0,0,IF(OR(INDEX(DarlOhneTilgung,8)=1,AND(INDEX(DarlTilgStart,8)&gt;0,$E3386&lt;INDEX(DarlTilgStart,8))),0,MIN(MAX(0,$K3386-$L3386),$J3386)))</f>
      </c>
      <c r="N3386" s="43">
        <f>IF($I3386=0,0,MIN(SUMIFS(SondBetrag,SondDarl,8,SondDatum,"&gt;="&amp;$E3386,SondDatum,"&lt;="&amp;EOMONTH($E3386,0)),$J3386-$M3386))</f>
      </c>
      <c r="O3386" s="43">
        <f>IF($I3386=0,0,INDEX(DarlErsatzRate,8))</f>
      </c>
      <c r="P3386" s="43">
        <f>IF($I3386=0,0,$Q3385*INDEX(DarlErsatzZins,8))</f>
      </c>
      <c r="Q3386" s="43">
        <f>IF($I3386=0,0,$Q3385+$P3386+$O3386)</f>
      </c>
      <c r="R3386" s="43">
        <f>IF($I3386=0,0,$J3386-$M3386-$N3386)</f>
      </c>
    </row>
    <row r="3387">
      <c r="A3387"/>
      <c r="B3387">
        <v>8</v>
      </c>
      <c r="C3387" s="43">
        <f>INDEX(DarlObj,8)</f>
      </c>
      <c r="D3387">
        <v>24</v>
      </c>
      <c r="E3387" s="51">
        <f>IF(INDEX(DarlBelegt,8)=0,0,EOMONTH(INDEX(DarlAuszahlung,8),23)+1)</f>
      </c>
      <c r="F3387" s="43">
        <f>IF($E3387=0,0,YEAR($E3387))</f>
      </c>
      <c r="G3387" s="43">
        <f>IF(INDEX(DarlBindung,8)="",1,IF($E3387&lt;=INDEX(DarlBindung,8),1,0))</f>
      </c>
      <c r="H3387" s="43">
        <f>IF($G3387=1,INDEX(DarlSollzins,8),INDEX(DarlAnschluss,8))</f>
      </c>
      <c r="I3387" s="43">
        <f>IF(INDEX(DarlBelegt,8)=0,0,IF(INDEX(DarlOhneTilgung,8)=1,IF(INDEX(DarlBindung,8)="",1,$G3387),IF($J3387&gt;0.005,1,0)))</f>
      </c>
      <c r="J3387" s="43">
        <f>IF($I3386=0,0,$R3386)</f>
      </c>
      <c r="K3387" s="43">
        <f>IF($I3387=0,0,IF(INDEX(DarlOhneTilgung,8)=1,0,IF(AND(INDEX(DarlTilgStart,8)&gt;0,$E3387=INDEX(DarlTilgStart,8)),$J3387*($H3387+INDEX(DarlTilgung,8))/100/12,IF(AND($G3387=0,$G3386=1),MAX($K3386,$J3387*($H3387+1)/100/12),$K3386))))</f>
      </c>
      <c r="L3387" s="43">
        <f>IF($I3387=0,0,$J3387*$H3387/100/12)</f>
      </c>
      <c r="M3387" s="43">
        <f>IF($I3387=0,0,IF(OR(INDEX(DarlOhneTilgung,8)=1,AND(INDEX(DarlTilgStart,8)&gt;0,$E3387&lt;INDEX(DarlTilgStart,8))),0,MIN(MAX(0,$K3387-$L3387),$J3387)))</f>
      </c>
      <c r="N3387" s="43">
        <f>IF($I3387=0,0,MIN(SUMIFS(SondBetrag,SondDarl,8,SondDatum,"&gt;="&amp;$E3387,SondDatum,"&lt;="&amp;EOMONTH($E3387,0)),$J3387-$M3387))</f>
      </c>
      <c r="O3387" s="43">
        <f>IF($I3387=0,0,INDEX(DarlErsatzRate,8))</f>
      </c>
      <c r="P3387" s="43">
        <f>IF($I3387=0,0,$Q3386*INDEX(DarlErsatzZins,8))</f>
      </c>
      <c r="Q3387" s="43">
        <f>IF($I3387=0,0,$Q3386+$P3387+$O3387)</f>
      </c>
      <c r="R3387" s="43">
        <f>IF($I3387=0,0,$J3387-$M3387-$N3387)</f>
      </c>
    </row>
    <row r="3388">
      <c r="A3388"/>
      <c r="B3388">
        <v>8</v>
      </c>
      <c r="C3388" s="43">
        <f>INDEX(DarlObj,8)</f>
      </c>
      <c r="D3388">
        <v>25</v>
      </c>
      <c r="E3388" s="51">
        <f>IF(INDEX(DarlBelegt,8)=0,0,EOMONTH(INDEX(DarlAuszahlung,8),24)+1)</f>
      </c>
      <c r="F3388" s="43">
        <f>IF($E3388=0,0,YEAR($E3388))</f>
      </c>
      <c r="G3388" s="43">
        <f>IF(INDEX(DarlBindung,8)="",1,IF($E3388&lt;=INDEX(DarlBindung,8),1,0))</f>
      </c>
      <c r="H3388" s="43">
        <f>IF($G3388=1,INDEX(DarlSollzins,8),INDEX(DarlAnschluss,8))</f>
      </c>
      <c r="I3388" s="43">
        <f>IF(INDEX(DarlBelegt,8)=0,0,IF(INDEX(DarlOhneTilgung,8)=1,IF(INDEX(DarlBindung,8)="",1,$G3388),IF($J3388&gt;0.005,1,0)))</f>
      </c>
      <c r="J3388" s="43">
        <f>IF($I3387=0,0,$R3387)</f>
      </c>
      <c r="K3388" s="43">
        <f>IF($I3388=0,0,IF(INDEX(DarlOhneTilgung,8)=1,0,IF(AND(INDEX(DarlTilgStart,8)&gt;0,$E3388=INDEX(DarlTilgStart,8)),$J3388*($H3388+INDEX(DarlTilgung,8))/100/12,IF(AND($G3388=0,$G3387=1),MAX($K3387,$J3388*($H3388+1)/100/12),$K3387))))</f>
      </c>
      <c r="L3388" s="43">
        <f>IF($I3388=0,0,$J3388*$H3388/100/12)</f>
      </c>
      <c r="M3388" s="43">
        <f>IF($I3388=0,0,IF(OR(INDEX(DarlOhneTilgung,8)=1,AND(INDEX(DarlTilgStart,8)&gt;0,$E3388&lt;INDEX(DarlTilgStart,8))),0,MIN(MAX(0,$K3388-$L3388),$J3388)))</f>
      </c>
      <c r="N3388" s="43">
        <f>IF($I3388=0,0,MIN(SUMIFS(SondBetrag,SondDarl,8,SondDatum,"&gt;="&amp;$E3388,SondDatum,"&lt;="&amp;EOMONTH($E3388,0)),$J3388-$M3388))</f>
      </c>
      <c r="O3388" s="43">
        <f>IF($I3388=0,0,INDEX(DarlErsatzRate,8))</f>
      </c>
      <c r="P3388" s="43">
        <f>IF($I3388=0,0,$Q3387*INDEX(DarlErsatzZins,8))</f>
      </c>
      <c r="Q3388" s="43">
        <f>IF($I3388=0,0,$Q3387+$P3388+$O3388)</f>
      </c>
      <c r="R3388" s="43">
        <f>IF($I3388=0,0,$J3388-$M3388-$N3388)</f>
      </c>
    </row>
    <row r="3389">
      <c r="A3389"/>
      <c r="B3389">
        <v>8</v>
      </c>
      <c r="C3389" s="43">
        <f>INDEX(DarlObj,8)</f>
      </c>
      <c r="D3389">
        <v>26</v>
      </c>
      <c r="E3389" s="51">
        <f>IF(INDEX(DarlBelegt,8)=0,0,EOMONTH(INDEX(DarlAuszahlung,8),25)+1)</f>
      </c>
      <c r="F3389" s="43">
        <f>IF($E3389=0,0,YEAR($E3389))</f>
      </c>
      <c r="G3389" s="43">
        <f>IF(INDEX(DarlBindung,8)="",1,IF($E3389&lt;=INDEX(DarlBindung,8),1,0))</f>
      </c>
      <c r="H3389" s="43">
        <f>IF($G3389=1,INDEX(DarlSollzins,8),INDEX(DarlAnschluss,8))</f>
      </c>
      <c r="I3389" s="43">
        <f>IF(INDEX(DarlBelegt,8)=0,0,IF(INDEX(DarlOhneTilgung,8)=1,IF(INDEX(DarlBindung,8)="",1,$G3389),IF($J3389&gt;0.005,1,0)))</f>
      </c>
      <c r="J3389" s="43">
        <f>IF($I3388=0,0,$R3388)</f>
      </c>
      <c r="K3389" s="43">
        <f>IF($I3389=0,0,IF(INDEX(DarlOhneTilgung,8)=1,0,IF(AND(INDEX(DarlTilgStart,8)&gt;0,$E3389=INDEX(DarlTilgStart,8)),$J3389*($H3389+INDEX(DarlTilgung,8))/100/12,IF(AND($G3389=0,$G3388=1),MAX($K3388,$J3389*($H3389+1)/100/12),$K3388))))</f>
      </c>
      <c r="L3389" s="43">
        <f>IF($I3389=0,0,$J3389*$H3389/100/12)</f>
      </c>
      <c r="M3389" s="43">
        <f>IF($I3389=0,0,IF(OR(INDEX(DarlOhneTilgung,8)=1,AND(INDEX(DarlTilgStart,8)&gt;0,$E3389&lt;INDEX(DarlTilgStart,8))),0,MIN(MAX(0,$K3389-$L3389),$J3389)))</f>
      </c>
      <c r="N3389" s="43">
        <f>IF($I3389=0,0,MIN(SUMIFS(SondBetrag,SondDarl,8,SondDatum,"&gt;="&amp;$E3389,SondDatum,"&lt;="&amp;EOMONTH($E3389,0)),$J3389-$M3389))</f>
      </c>
      <c r="O3389" s="43">
        <f>IF($I3389=0,0,INDEX(DarlErsatzRate,8))</f>
      </c>
      <c r="P3389" s="43">
        <f>IF($I3389=0,0,$Q3388*INDEX(DarlErsatzZins,8))</f>
      </c>
      <c r="Q3389" s="43">
        <f>IF($I3389=0,0,$Q3388+$P3389+$O3389)</f>
      </c>
      <c r="R3389" s="43">
        <f>IF($I3389=0,0,$J3389-$M3389-$N3389)</f>
      </c>
    </row>
    <row r="3390">
      <c r="A3390"/>
      <c r="B3390">
        <v>8</v>
      </c>
      <c r="C3390" s="43">
        <f>INDEX(DarlObj,8)</f>
      </c>
      <c r="D3390">
        <v>27</v>
      </c>
      <c r="E3390" s="51">
        <f>IF(INDEX(DarlBelegt,8)=0,0,EOMONTH(INDEX(DarlAuszahlung,8),26)+1)</f>
      </c>
      <c r="F3390" s="43">
        <f>IF($E3390=0,0,YEAR($E3390))</f>
      </c>
      <c r="G3390" s="43">
        <f>IF(INDEX(DarlBindung,8)="",1,IF($E3390&lt;=INDEX(DarlBindung,8),1,0))</f>
      </c>
      <c r="H3390" s="43">
        <f>IF($G3390=1,INDEX(DarlSollzins,8),INDEX(DarlAnschluss,8))</f>
      </c>
      <c r="I3390" s="43">
        <f>IF(INDEX(DarlBelegt,8)=0,0,IF(INDEX(DarlOhneTilgung,8)=1,IF(INDEX(DarlBindung,8)="",1,$G3390),IF($J3390&gt;0.005,1,0)))</f>
      </c>
      <c r="J3390" s="43">
        <f>IF($I3389=0,0,$R3389)</f>
      </c>
      <c r="K3390" s="43">
        <f>IF($I3390=0,0,IF(INDEX(DarlOhneTilgung,8)=1,0,IF(AND(INDEX(DarlTilgStart,8)&gt;0,$E3390=INDEX(DarlTilgStart,8)),$J3390*($H3390+INDEX(DarlTilgung,8))/100/12,IF(AND($G3390=0,$G3389=1),MAX($K3389,$J3390*($H3390+1)/100/12),$K3389))))</f>
      </c>
      <c r="L3390" s="43">
        <f>IF($I3390=0,0,$J3390*$H3390/100/12)</f>
      </c>
      <c r="M3390" s="43">
        <f>IF($I3390=0,0,IF(OR(INDEX(DarlOhneTilgung,8)=1,AND(INDEX(DarlTilgStart,8)&gt;0,$E3390&lt;INDEX(DarlTilgStart,8))),0,MIN(MAX(0,$K3390-$L3390),$J3390)))</f>
      </c>
      <c r="N3390" s="43">
        <f>IF($I3390=0,0,MIN(SUMIFS(SondBetrag,SondDarl,8,SondDatum,"&gt;="&amp;$E3390,SondDatum,"&lt;="&amp;EOMONTH($E3390,0)),$J3390-$M3390))</f>
      </c>
      <c r="O3390" s="43">
        <f>IF($I3390=0,0,INDEX(DarlErsatzRate,8))</f>
      </c>
      <c r="P3390" s="43">
        <f>IF($I3390=0,0,$Q3389*INDEX(DarlErsatzZins,8))</f>
      </c>
      <c r="Q3390" s="43">
        <f>IF($I3390=0,0,$Q3389+$P3390+$O3390)</f>
      </c>
      <c r="R3390" s="43">
        <f>IF($I3390=0,0,$J3390-$M3390-$N3390)</f>
      </c>
    </row>
    <row r="3391">
      <c r="A3391"/>
      <c r="B3391">
        <v>8</v>
      </c>
      <c r="C3391" s="43">
        <f>INDEX(DarlObj,8)</f>
      </c>
      <c r="D3391">
        <v>28</v>
      </c>
      <c r="E3391" s="51">
        <f>IF(INDEX(DarlBelegt,8)=0,0,EOMONTH(INDEX(DarlAuszahlung,8),27)+1)</f>
      </c>
      <c r="F3391" s="43">
        <f>IF($E3391=0,0,YEAR($E3391))</f>
      </c>
      <c r="G3391" s="43">
        <f>IF(INDEX(DarlBindung,8)="",1,IF($E3391&lt;=INDEX(DarlBindung,8),1,0))</f>
      </c>
      <c r="H3391" s="43">
        <f>IF($G3391=1,INDEX(DarlSollzins,8),INDEX(DarlAnschluss,8))</f>
      </c>
      <c r="I3391" s="43">
        <f>IF(INDEX(DarlBelegt,8)=0,0,IF(INDEX(DarlOhneTilgung,8)=1,IF(INDEX(DarlBindung,8)="",1,$G3391),IF($J3391&gt;0.005,1,0)))</f>
      </c>
      <c r="J3391" s="43">
        <f>IF($I3390=0,0,$R3390)</f>
      </c>
      <c r="K3391" s="43">
        <f>IF($I3391=0,0,IF(INDEX(DarlOhneTilgung,8)=1,0,IF(AND(INDEX(DarlTilgStart,8)&gt;0,$E3391=INDEX(DarlTilgStart,8)),$J3391*($H3391+INDEX(DarlTilgung,8))/100/12,IF(AND($G3391=0,$G3390=1),MAX($K3390,$J3391*($H3391+1)/100/12),$K3390))))</f>
      </c>
      <c r="L3391" s="43">
        <f>IF($I3391=0,0,$J3391*$H3391/100/12)</f>
      </c>
      <c r="M3391" s="43">
        <f>IF($I3391=0,0,IF(OR(INDEX(DarlOhneTilgung,8)=1,AND(INDEX(DarlTilgStart,8)&gt;0,$E3391&lt;INDEX(DarlTilgStart,8))),0,MIN(MAX(0,$K3391-$L3391),$J3391)))</f>
      </c>
      <c r="N3391" s="43">
        <f>IF($I3391=0,0,MIN(SUMIFS(SondBetrag,SondDarl,8,SondDatum,"&gt;="&amp;$E3391,SondDatum,"&lt;="&amp;EOMONTH($E3391,0)),$J3391-$M3391))</f>
      </c>
      <c r="O3391" s="43">
        <f>IF($I3391=0,0,INDEX(DarlErsatzRate,8))</f>
      </c>
      <c r="P3391" s="43">
        <f>IF($I3391=0,0,$Q3390*INDEX(DarlErsatzZins,8))</f>
      </c>
      <c r="Q3391" s="43">
        <f>IF($I3391=0,0,$Q3390+$P3391+$O3391)</f>
      </c>
      <c r="R3391" s="43">
        <f>IF($I3391=0,0,$J3391-$M3391-$N3391)</f>
      </c>
    </row>
    <row r="3392">
      <c r="A3392"/>
      <c r="B3392">
        <v>8</v>
      </c>
      <c r="C3392" s="43">
        <f>INDEX(DarlObj,8)</f>
      </c>
      <c r="D3392">
        <v>29</v>
      </c>
      <c r="E3392" s="51">
        <f>IF(INDEX(DarlBelegt,8)=0,0,EOMONTH(INDEX(DarlAuszahlung,8),28)+1)</f>
      </c>
      <c r="F3392" s="43">
        <f>IF($E3392=0,0,YEAR($E3392))</f>
      </c>
      <c r="G3392" s="43">
        <f>IF(INDEX(DarlBindung,8)="",1,IF($E3392&lt;=INDEX(DarlBindung,8),1,0))</f>
      </c>
      <c r="H3392" s="43">
        <f>IF($G3392=1,INDEX(DarlSollzins,8),INDEX(DarlAnschluss,8))</f>
      </c>
      <c r="I3392" s="43">
        <f>IF(INDEX(DarlBelegt,8)=0,0,IF(INDEX(DarlOhneTilgung,8)=1,IF(INDEX(DarlBindung,8)="",1,$G3392),IF($J3392&gt;0.005,1,0)))</f>
      </c>
      <c r="J3392" s="43">
        <f>IF($I3391=0,0,$R3391)</f>
      </c>
      <c r="K3392" s="43">
        <f>IF($I3392=0,0,IF(INDEX(DarlOhneTilgung,8)=1,0,IF(AND(INDEX(DarlTilgStart,8)&gt;0,$E3392=INDEX(DarlTilgStart,8)),$J3392*($H3392+INDEX(DarlTilgung,8))/100/12,IF(AND($G3392=0,$G3391=1),MAX($K3391,$J3392*($H3392+1)/100/12),$K3391))))</f>
      </c>
      <c r="L3392" s="43">
        <f>IF($I3392=0,0,$J3392*$H3392/100/12)</f>
      </c>
      <c r="M3392" s="43">
        <f>IF($I3392=0,0,IF(OR(INDEX(DarlOhneTilgung,8)=1,AND(INDEX(DarlTilgStart,8)&gt;0,$E3392&lt;INDEX(DarlTilgStart,8))),0,MIN(MAX(0,$K3392-$L3392),$J3392)))</f>
      </c>
      <c r="N3392" s="43">
        <f>IF($I3392=0,0,MIN(SUMIFS(SondBetrag,SondDarl,8,SondDatum,"&gt;="&amp;$E3392,SondDatum,"&lt;="&amp;EOMONTH($E3392,0)),$J3392-$M3392))</f>
      </c>
      <c r="O3392" s="43">
        <f>IF($I3392=0,0,INDEX(DarlErsatzRate,8))</f>
      </c>
      <c r="P3392" s="43">
        <f>IF($I3392=0,0,$Q3391*INDEX(DarlErsatzZins,8))</f>
      </c>
      <c r="Q3392" s="43">
        <f>IF($I3392=0,0,$Q3391+$P3392+$O3392)</f>
      </c>
      <c r="R3392" s="43">
        <f>IF($I3392=0,0,$J3392-$M3392-$N3392)</f>
      </c>
    </row>
    <row r="3393">
      <c r="A3393"/>
      <c r="B3393">
        <v>8</v>
      </c>
      <c r="C3393" s="43">
        <f>INDEX(DarlObj,8)</f>
      </c>
      <c r="D3393">
        <v>30</v>
      </c>
      <c r="E3393" s="51">
        <f>IF(INDEX(DarlBelegt,8)=0,0,EOMONTH(INDEX(DarlAuszahlung,8),29)+1)</f>
      </c>
      <c r="F3393" s="43">
        <f>IF($E3393=0,0,YEAR($E3393))</f>
      </c>
      <c r="G3393" s="43">
        <f>IF(INDEX(DarlBindung,8)="",1,IF($E3393&lt;=INDEX(DarlBindung,8),1,0))</f>
      </c>
      <c r="H3393" s="43">
        <f>IF($G3393=1,INDEX(DarlSollzins,8),INDEX(DarlAnschluss,8))</f>
      </c>
      <c r="I3393" s="43">
        <f>IF(INDEX(DarlBelegt,8)=0,0,IF(INDEX(DarlOhneTilgung,8)=1,IF(INDEX(DarlBindung,8)="",1,$G3393),IF($J3393&gt;0.005,1,0)))</f>
      </c>
      <c r="J3393" s="43">
        <f>IF($I3392=0,0,$R3392)</f>
      </c>
      <c r="K3393" s="43">
        <f>IF($I3393=0,0,IF(INDEX(DarlOhneTilgung,8)=1,0,IF(AND(INDEX(DarlTilgStart,8)&gt;0,$E3393=INDEX(DarlTilgStart,8)),$J3393*($H3393+INDEX(DarlTilgung,8))/100/12,IF(AND($G3393=0,$G3392=1),MAX($K3392,$J3393*($H3393+1)/100/12),$K3392))))</f>
      </c>
      <c r="L3393" s="43">
        <f>IF($I3393=0,0,$J3393*$H3393/100/12)</f>
      </c>
      <c r="M3393" s="43">
        <f>IF($I3393=0,0,IF(OR(INDEX(DarlOhneTilgung,8)=1,AND(INDEX(DarlTilgStart,8)&gt;0,$E3393&lt;INDEX(DarlTilgStart,8))),0,MIN(MAX(0,$K3393-$L3393),$J3393)))</f>
      </c>
      <c r="N3393" s="43">
        <f>IF($I3393=0,0,MIN(SUMIFS(SondBetrag,SondDarl,8,SondDatum,"&gt;="&amp;$E3393,SondDatum,"&lt;="&amp;EOMONTH($E3393,0)),$J3393-$M3393))</f>
      </c>
      <c r="O3393" s="43">
        <f>IF($I3393=0,0,INDEX(DarlErsatzRate,8))</f>
      </c>
      <c r="P3393" s="43">
        <f>IF($I3393=0,0,$Q3392*INDEX(DarlErsatzZins,8))</f>
      </c>
      <c r="Q3393" s="43">
        <f>IF($I3393=0,0,$Q3392+$P3393+$O3393)</f>
      </c>
      <c r="R3393" s="43">
        <f>IF($I3393=0,0,$J3393-$M3393-$N3393)</f>
      </c>
    </row>
    <row r="3394">
      <c r="A3394"/>
      <c r="B3394">
        <v>8</v>
      </c>
      <c r="C3394" s="43">
        <f>INDEX(DarlObj,8)</f>
      </c>
      <c r="D3394">
        <v>31</v>
      </c>
      <c r="E3394" s="51">
        <f>IF(INDEX(DarlBelegt,8)=0,0,EOMONTH(INDEX(DarlAuszahlung,8),30)+1)</f>
      </c>
      <c r="F3394" s="43">
        <f>IF($E3394=0,0,YEAR($E3394))</f>
      </c>
      <c r="G3394" s="43">
        <f>IF(INDEX(DarlBindung,8)="",1,IF($E3394&lt;=INDEX(DarlBindung,8),1,0))</f>
      </c>
      <c r="H3394" s="43">
        <f>IF($G3394=1,INDEX(DarlSollzins,8),INDEX(DarlAnschluss,8))</f>
      </c>
      <c r="I3394" s="43">
        <f>IF(INDEX(DarlBelegt,8)=0,0,IF(INDEX(DarlOhneTilgung,8)=1,IF(INDEX(DarlBindung,8)="",1,$G3394),IF($J3394&gt;0.005,1,0)))</f>
      </c>
      <c r="J3394" s="43">
        <f>IF($I3393=0,0,$R3393)</f>
      </c>
      <c r="K3394" s="43">
        <f>IF($I3394=0,0,IF(INDEX(DarlOhneTilgung,8)=1,0,IF(AND(INDEX(DarlTilgStart,8)&gt;0,$E3394=INDEX(DarlTilgStart,8)),$J3394*($H3394+INDEX(DarlTilgung,8))/100/12,IF(AND($G3394=0,$G3393=1),MAX($K3393,$J3394*($H3394+1)/100/12),$K3393))))</f>
      </c>
      <c r="L3394" s="43">
        <f>IF($I3394=0,0,$J3394*$H3394/100/12)</f>
      </c>
      <c r="M3394" s="43">
        <f>IF($I3394=0,0,IF(OR(INDEX(DarlOhneTilgung,8)=1,AND(INDEX(DarlTilgStart,8)&gt;0,$E3394&lt;INDEX(DarlTilgStart,8))),0,MIN(MAX(0,$K3394-$L3394),$J3394)))</f>
      </c>
      <c r="N3394" s="43">
        <f>IF($I3394=0,0,MIN(SUMIFS(SondBetrag,SondDarl,8,SondDatum,"&gt;="&amp;$E3394,SondDatum,"&lt;="&amp;EOMONTH($E3394,0)),$J3394-$M3394))</f>
      </c>
      <c r="O3394" s="43">
        <f>IF($I3394=0,0,INDEX(DarlErsatzRate,8))</f>
      </c>
      <c r="P3394" s="43">
        <f>IF($I3394=0,0,$Q3393*INDEX(DarlErsatzZins,8))</f>
      </c>
      <c r="Q3394" s="43">
        <f>IF($I3394=0,0,$Q3393+$P3394+$O3394)</f>
      </c>
      <c r="R3394" s="43">
        <f>IF($I3394=0,0,$J3394-$M3394-$N3394)</f>
      </c>
    </row>
    <row r="3395">
      <c r="A3395"/>
      <c r="B3395">
        <v>8</v>
      </c>
      <c r="C3395" s="43">
        <f>INDEX(DarlObj,8)</f>
      </c>
      <c r="D3395">
        <v>32</v>
      </c>
      <c r="E3395" s="51">
        <f>IF(INDEX(DarlBelegt,8)=0,0,EOMONTH(INDEX(DarlAuszahlung,8),31)+1)</f>
      </c>
      <c r="F3395" s="43">
        <f>IF($E3395=0,0,YEAR($E3395))</f>
      </c>
      <c r="G3395" s="43">
        <f>IF(INDEX(DarlBindung,8)="",1,IF($E3395&lt;=INDEX(DarlBindung,8),1,0))</f>
      </c>
      <c r="H3395" s="43">
        <f>IF($G3395=1,INDEX(DarlSollzins,8),INDEX(DarlAnschluss,8))</f>
      </c>
      <c r="I3395" s="43">
        <f>IF(INDEX(DarlBelegt,8)=0,0,IF(INDEX(DarlOhneTilgung,8)=1,IF(INDEX(DarlBindung,8)="",1,$G3395),IF($J3395&gt;0.005,1,0)))</f>
      </c>
      <c r="J3395" s="43">
        <f>IF($I3394=0,0,$R3394)</f>
      </c>
      <c r="K3395" s="43">
        <f>IF($I3395=0,0,IF(INDEX(DarlOhneTilgung,8)=1,0,IF(AND(INDEX(DarlTilgStart,8)&gt;0,$E3395=INDEX(DarlTilgStart,8)),$J3395*($H3395+INDEX(DarlTilgung,8))/100/12,IF(AND($G3395=0,$G3394=1),MAX($K3394,$J3395*($H3395+1)/100/12),$K3394))))</f>
      </c>
      <c r="L3395" s="43">
        <f>IF($I3395=0,0,$J3395*$H3395/100/12)</f>
      </c>
      <c r="M3395" s="43">
        <f>IF($I3395=0,0,IF(OR(INDEX(DarlOhneTilgung,8)=1,AND(INDEX(DarlTilgStart,8)&gt;0,$E3395&lt;INDEX(DarlTilgStart,8))),0,MIN(MAX(0,$K3395-$L3395),$J3395)))</f>
      </c>
      <c r="N3395" s="43">
        <f>IF($I3395=0,0,MIN(SUMIFS(SondBetrag,SondDarl,8,SondDatum,"&gt;="&amp;$E3395,SondDatum,"&lt;="&amp;EOMONTH($E3395,0)),$J3395-$M3395))</f>
      </c>
      <c r="O3395" s="43">
        <f>IF($I3395=0,0,INDEX(DarlErsatzRate,8))</f>
      </c>
      <c r="P3395" s="43">
        <f>IF($I3395=0,0,$Q3394*INDEX(DarlErsatzZins,8))</f>
      </c>
      <c r="Q3395" s="43">
        <f>IF($I3395=0,0,$Q3394+$P3395+$O3395)</f>
      </c>
      <c r="R3395" s="43">
        <f>IF($I3395=0,0,$J3395-$M3395-$N3395)</f>
      </c>
    </row>
    <row r="3396">
      <c r="A3396"/>
      <c r="B3396">
        <v>8</v>
      </c>
      <c r="C3396" s="43">
        <f>INDEX(DarlObj,8)</f>
      </c>
      <c r="D3396">
        <v>33</v>
      </c>
      <c r="E3396" s="51">
        <f>IF(INDEX(DarlBelegt,8)=0,0,EOMONTH(INDEX(DarlAuszahlung,8),32)+1)</f>
      </c>
      <c r="F3396" s="43">
        <f>IF($E3396=0,0,YEAR($E3396))</f>
      </c>
      <c r="G3396" s="43">
        <f>IF(INDEX(DarlBindung,8)="",1,IF($E3396&lt;=INDEX(DarlBindung,8),1,0))</f>
      </c>
      <c r="H3396" s="43">
        <f>IF($G3396=1,INDEX(DarlSollzins,8),INDEX(DarlAnschluss,8))</f>
      </c>
      <c r="I3396" s="43">
        <f>IF(INDEX(DarlBelegt,8)=0,0,IF(INDEX(DarlOhneTilgung,8)=1,IF(INDEX(DarlBindung,8)="",1,$G3396),IF($J3396&gt;0.005,1,0)))</f>
      </c>
      <c r="J3396" s="43">
        <f>IF($I3395=0,0,$R3395)</f>
      </c>
      <c r="K3396" s="43">
        <f>IF($I3396=0,0,IF(INDEX(DarlOhneTilgung,8)=1,0,IF(AND(INDEX(DarlTilgStart,8)&gt;0,$E3396=INDEX(DarlTilgStart,8)),$J3396*($H3396+INDEX(DarlTilgung,8))/100/12,IF(AND($G3396=0,$G3395=1),MAX($K3395,$J3396*($H3396+1)/100/12),$K3395))))</f>
      </c>
      <c r="L3396" s="43">
        <f>IF($I3396=0,0,$J3396*$H3396/100/12)</f>
      </c>
      <c r="M3396" s="43">
        <f>IF($I3396=0,0,IF(OR(INDEX(DarlOhneTilgung,8)=1,AND(INDEX(DarlTilgStart,8)&gt;0,$E3396&lt;INDEX(DarlTilgStart,8))),0,MIN(MAX(0,$K3396-$L3396),$J3396)))</f>
      </c>
      <c r="N3396" s="43">
        <f>IF($I3396=0,0,MIN(SUMIFS(SondBetrag,SondDarl,8,SondDatum,"&gt;="&amp;$E3396,SondDatum,"&lt;="&amp;EOMONTH($E3396,0)),$J3396-$M3396))</f>
      </c>
      <c r="O3396" s="43">
        <f>IF($I3396=0,0,INDEX(DarlErsatzRate,8))</f>
      </c>
      <c r="P3396" s="43">
        <f>IF($I3396=0,0,$Q3395*INDEX(DarlErsatzZins,8))</f>
      </c>
      <c r="Q3396" s="43">
        <f>IF($I3396=0,0,$Q3395+$P3396+$O3396)</f>
      </c>
      <c r="R3396" s="43">
        <f>IF($I3396=0,0,$J3396-$M3396-$N3396)</f>
      </c>
    </row>
    <row r="3397">
      <c r="A3397"/>
      <c r="B3397">
        <v>8</v>
      </c>
      <c r="C3397" s="43">
        <f>INDEX(DarlObj,8)</f>
      </c>
      <c r="D3397">
        <v>34</v>
      </c>
      <c r="E3397" s="51">
        <f>IF(INDEX(DarlBelegt,8)=0,0,EOMONTH(INDEX(DarlAuszahlung,8),33)+1)</f>
      </c>
      <c r="F3397" s="43">
        <f>IF($E3397=0,0,YEAR($E3397))</f>
      </c>
      <c r="G3397" s="43">
        <f>IF(INDEX(DarlBindung,8)="",1,IF($E3397&lt;=INDEX(DarlBindung,8),1,0))</f>
      </c>
      <c r="H3397" s="43">
        <f>IF($G3397=1,INDEX(DarlSollzins,8),INDEX(DarlAnschluss,8))</f>
      </c>
      <c r="I3397" s="43">
        <f>IF(INDEX(DarlBelegt,8)=0,0,IF(INDEX(DarlOhneTilgung,8)=1,IF(INDEX(DarlBindung,8)="",1,$G3397),IF($J3397&gt;0.005,1,0)))</f>
      </c>
      <c r="J3397" s="43">
        <f>IF($I3396=0,0,$R3396)</f>
      </c>
      <c r="K3397" s="43">
        <f>IF($I3397=0,0,IF(INDEX(DarlOhneTilgung,8)=1,0,IF(AND(INDEX(DarlTilgStart,8)&gt;0,$E3397=INDEX(DarlTilgStart,8)),$J3397*($H3397+INDEX(DarlTilgung,8))/100/12,IF(AND($G3397=0,$G3396=1),MAX($K3396,$J3397*($H3397+1)/100/12),$K3396))))</f>
      </c>
      <c r="L3397" s="43">
        <f>IF($I3397=0,0,$J3397*$H3397/100/12)</f>
      </c>
      <c r="M3397" s="43">
        <f>IF($I3397=0,0,IF(OR(INDEX(DarlOhneTilgung,8)=1,AND(INDEX(DarlTilgStart,8)&gt;0,$E3397&lt;INDEX(DarlTilgStart,8))),0,MIN(MAX(0,$K3397-$L3397),$J3397)))</f>
      </c>
      <c r="N3397" s="43">
        <f>IF($I3397=0,0,MIN(SUMIFS(SondBetrag,SondDarl,8,SondDatum,"&gt;="&amp;$E3397,SondDatum,"&lt;="&amp;EOMONTH($E3397,0)),$J3397-$M3397))</f>
      </c>
      <c r="O3397" s="43">
        <f>IF($I3397=0,0,INDEX(DarlErsatzRate,8))</f>
      </c>
      <c r="P3397" s="43">
        <f>IF($I3397=0,0,$Q3396*INDEX(DarlErsatzZins,8))</f>
      </c>
      <c r="Q3397" s="43">
        <f>IF($I3397=0,0,$Q3396+$P3397+$O3397)</f>
      </c>
      <c r="R3397" s="43">
        <f>IF($I3397=0,0,$J3397-$M3397-$N3397)</f>
      </c>
    </row>
    <row r="3398">
      <c r="A3398"/>
      <c r="B3398">
        <v>8</v>
      </c>
      <c r="C3398" s="43">
        <f>INDEX(DarlObj,8)</f>
      </c>
      <c r="D3398">
        <v>35</v>
      </c>
      <c r="E3398" s="51">
        <f>IF(INDEX(DarlBelegt,8)=0,0,EOMONTH(INDEX(DarlAuszahlung,8),34)+1)</f>
      </c>
      <c r="F3398" s="43">
        <f>IF($E3398=0,0,YEAR($E3398))</f>
      </c>
      <c r="G3398" s="43">
        <f>IF(INDEX(DarlBindung,8)="",1,IF($E3398&lt;=INDEX(DarlBindung,8),1,0))</f>
      </c>
      <c r="H3398" s="43">
        <f>IF($G3398=1,INDEX(DarlSollzins,8),INDEX(DarlAnschluss,8))</f>
      </c>
      <c r="I3398" s="43">
        <f>IF(INDEX(DarlBelegt,8)=0,0,IF(INDEX(DarlOhneTilgung,8)=1,IF(INDEX(DarlBindung,8)="",1,$G3398),IF($J3398&gt;0.005,1,0)))</f>
      </c>
      <c r="J3398" s="43">
        <f>IF($I3397=0,0,$R3397)</f>
      </c>
      <c r="K3398" s="43">
        <f>IF($I3398=0,0,IF(INDEX(DarlOhneTilgung,8)=1,0,IF(AND(INDEX(DarlTilgStart,8)&gt;0,$E3398=INDEX(DarlTilgStart,8)),$J3398*($H3398+INDEX(DarlTilgung,8))/100/12,IF(AND($G3398=0,$G3397=1),MAX($K3397,$J3398*($H3398+1)/100/12),$K3397))))</f>
      </c>
      <c r="L3398" s="43">
        <f>IF($I3398=0,0,$J3398*$H3398/100/12)</f>
      </c>
      <c r="M3398" s="43">
        <f>IF($I3398=0,0,IF(OR(INDEX(DarlOhneTilgung,8)=1,AND(INDEX(DarlTilgStart,8)&gt;0,$E3398&lt;INDEX(DarlTilgStart,8))),0,MIN(MAX(0,$K3398-$L3398),$J3398)))</f>
      </c>
      <c r="N3398" s="43">
        <f>IF($I3398=0,0,MIN(SUMIFS(SondBetrag,SondDarl,8,SondDatum,"&gt;="&amp;$E3398,SondDatum,"&lt;="&amp;EOMONTH($E3398,0)),$J3398-$M3398))</f>
      </c>
      <c r="O3398" s="43">
        <f>IF($I3398=0,0,INDEX(DarlErsatzRate,8))</f>
      </c>
      <c r="P3398" s="43">
        <f>IF($I3398=0,0,$Q3397*INDEX(DarlErsatzZins,8))</f>
      </c>
      <c r="Q3398" s="43">
        <f>IF($I3398=0,0,$Q3397+$P3398+$O3398)</f>
      </c>
      <c r="R3398" s="43">
        <f>IF($I3398=0,0,$J3398-$M3398-$N3398)</f>
      </c>
    </row>
    <row r="3399">
      <c r="A3399"/>
      <c r="B3399">
        <v>8</v>
      </c>
      <c r="C3399" s="43">
        <f>INDEX(DarlObj,8)</f>
      </c>
      <c r="D3399">
        <v>36</v>
      </c>
      <c r="E3399" s="51">
        <f>IF(INDEX(DarlBelegt,8)=0,0,EOMONTH(INDEX(DarlAuszahlung,8),35)+1)</f>
      </c>
      <c r="F3399" s="43">
        <f>IF($E3399=0,0,YEAR($E3399))</f>
      </c>
      <c r="G3399" s="43">
        <f>IF(INDEX(DarlBindung,8)="",1,IF($E3399&lt;=INDEX(DarlBindung,8),1,0))</f>
      </c>
      <c r="H3399" s="43">
        <f>IF($G3399=1,INDEX(DarlSollzins,8),INDEX(DarlAnschluss,8))</f>
      </c>
      <c r="I3399" s="43">
        <f>IF(INDEX(DarlBelegt,8)=0,0,IF(INDEX(DarlOhneTilgung,8)=1,IF(INDEX(DarlBindung,8)="",1,$G3399),IF($J3399&gt;0.005,1,0)))</f>
      </c>
      <c r="J3399" s="43">
        <f>IF($I3398=0,0,$R3398)</f>
      </c>
      <c r="K3399" s="43">
        <f>IF($I3399=0,0,IF(INDEX(DarlOhneTilgung,8)=1,0,IF(AND(INDEX(DarlTilgStart,8)&gt;0,$E3399=INDEX(DarlTilgStart,8)),$J3399*($H3399+INDEX(DarlTilgung,8))/100/12,IF(AND($G3399=0,$G3398=1),MAX($K3398,$J3399*($H3399+1)/100/12),$K3398))))</f>
      </c>
      <c r="L3399" s="43">
        <f>IF($I3399=0,0,$J3399*$H3399/100/12)</f>
      </c>
      <c r="M3399" s="43">
        <f>IF($I3399=0,0,IF(OR(INDEX(DarlOhneTilgung,8)=1,AND(INDEX(DarlTilgStart,8)&gt;0,$E3399&lt;INDEX(DarlTilgStart,8))),0,MIN(MAX(0,$K3399-$L3399),$J3399)))</f>
      </c>
      <c r="N3399" s="43">
        <f>IF($I3399=0,0,MIN(SUMIFS(SondBetrag,SondDarl,8,SondDatum,"&gt;="&amp;$E3399,SondDatum,"&lt;="&amp;EOMONTH($E3399,0)),$J3399-$M3399))</f>
      </c>
      <c r="O3399" s="43">
        <f>IF($I3399=0,0,INDEX(DarlErsatzRate,8))</f>
      </c>
      <c r="P3399" s="43">
        <f>IF($I3399=0,0,$Q3398*INDEX(DarlErsatzZins,8))</f>
      </c>
      <c r="Q3399" s="43">
        <f>IF($I3399=0,0,$Q3398+$P3399+$O3399)</f>
      </c>
      <c r="R3399" s="43">
        <f>IF($I3399=0,0,$J3399-$M3399-$N3399)</f>
      </c>
    </row>
    <row r="3400">
      <c r="A3400"/>
      <c r="B3400">
        <v>8</v>
      </c>
      <c r="C3400" s="43">
        <f>INDEX(DarlObj,8)</f>
      </c>
      <c r="D3400">
        <v>37</v>
      </c>
      <c r="E3400" s="51">
        <f>IF(INDEX(DarlBelegt,8)=0,0,EOMONTH(INDEX(DarlAuszahlung,8),36)+1)</f>
      </c>
      <c r="F3400" s="43">
        <f>IF($E3400=0,0,YEAR($E3400))</f>
      </c>
      <c r="G3400" s="43">
        <f>IF(INDEX(DarlBindung,8)="",1,IF($E3400&lt;=INDEX(DarlBindung,8),1,0))</f>
      </c>
      <c r="H3400" s="43">
        <f>IF($G3400=1,INDEX(DarlSollzins,8),INDEX(DarlAnschluss,8))</f>
      </c>
      <c r="I3400" s="43">
        <f>IF(INDEX(DarlBelegt,8)=0,0,IF(INDEX(DarlOhneTilgung,8)=1,IF(INDEX(DarlBindung,8)="",1,$G3400),IF($J3400&gt;0.005,1,0)))</f>
      </c>
      <c r="J3400" s="43">
        <f>IF($I3399=0,0,$R3399)</f>
      </c>
      <c r="K3400" s="43">
        <f>IF($I3400=0,0,IF(INDEX(DarlOhneTilgung,8)=1,0,IF(AND(INDEX(DarlTilgStart,8)&gt;0,$E3400=INDEX(DarlTilgStart,8)),$J3400*($H3400+INDEX(DarlTilgung,8))/100/12,IF(AND($G3400=0,$G3399=1),MAX($K3399,$J3400*($H3400+1)/100/12),$K3399))))</f>
      </c>
      <c r="L3400" s="43">
        <f>IF($I3400=0,0,$J3400*$H3400/100/12)</f>
      </c>
      <c r="M3400" s="43">
        <f>IF($I3400=0,0,IF(OR(INDEX(DarlOhneTilgung,8)=1,AND(INDEX(DarlTilgStart,8)&gt;0,$E3400&lt;INDEX(DarlTilgStart,8))),0,MIN(MAX(0,$K3400-$L3400),$J3400)))</f>
      </c>
      <c r="N3400" s="43">
        <f>IF($I3400=0,0,MIN(SUMIFS(SondBetrag,SondDarl,8,SondDatum,"&gt;="&amp;$E3400,SondDatum,"&lt;="&amp;EOMONTH($E3400,0)),$J3400-$M3400))</f>
      </c>
      <c r="O3400" s="43">
        <f>IF($I3400=0,0,INDEX(DarlErsatzRate,8))</f>
      </c>
      <c r="P3400" s="43">
        <f>IF($I3400=0,0,$Q3399*INDEX(DarlErsatzZins,8))</f>
      </c>
      <c r="Q3400" s="43">
        <f>IF($I3400=0,0,$Q3399+$P3400+$O3400)</f>
      </c>
      <c r="R3400" s="43">
        <f>IF($I3400=0,0,$J3400-$M3400-$N3400)</f>
      </c>
    </row>
    <row r="3401">
      <c r="A3401"/>
      <c r="B3401">
        <v>8</v>
      </c>
      <c r="C3401" s="43">
        <f>INDEX(DarlObj,8)</f>
      </c>
      <c r="D3401">
        <v>38</v>
      </c>
      <c r="E3401" s="51">
        <f>IF(INDEX(DarlBelegt,8)=0,0,EOMONTH(INDEX(DarlAuszahlung,8),37)+1)</f>
      </c>
      <c r="F3401" s="43">
        <f>IF($E3401=0,0,YEAR($E3401))</f>
      </c>
      <c r="G3401" s="43">
        <f>IF(INDEX(DarlBindung,8)="",1,IF($E3401&lt;=INDEX(DarlBindung,8),1,0))</f>
      </c>
      <c r="H3401" s="43">
        <f>IF($G3401=1,INDEX(DarlSollzins,8),INDEX(DarlAnschluss,8))</f>
      </c>
      <c r="I3401" s="43">
        <f>IF(INDEX(DarlBelegt,8)=0,0,IF(INDEX(DarlOhneTilgung,8)=1,IF(INDEX(DarlBindung,8)="",1,$G3401),IF($J3401&gt;0.005,1,0)))</f>
      </c>
      <c r="J3401" s="43">
        <f>IF($I3400=0,0,$R3400)</f>
      </c>
      <c r="K3401" s="43">
        <f>IF($I3401=0,0,IF(INDEX(DarlOhneTilgung,8)=1,0,IF(AND(INDEX(DarlTilgStart,8)&gt;0,$E3401=INDEX(DarlTilgStart,8)),$J3401*($H3401+INDEX(DarlTilgung,8))/100/12,IF(AND($G3401=0,$G3400=1),MAX($K3400,$J3401*($H3401+1)/100/12),$K3400))))</f>
      </c>
      <c r="L3401" s="43">
        <f>IF($I3401=0,0,$J3401*$H3401/100/12)</f>
      </c>
      <c r="M3401" s="43">
        <f>IF($I3401=0,0,IF(OR(INDEX(DarlOhneTilgung,8)=1,AND(INDEX(DarlTilgStart,8)&gt;0,$E3401&lt;INDEX(DarlTilgStart,8))),0,MIN(MAX(0,$K3401-$L3401),$J3401)))</f>
      </c>
      <c r="N3401" s="43">
        <f>IF($I3401=0,0,MIN(SUMIFS(SondBetrag,SondDarl,8,SondDatum,"&gt;="&amp;$E3401,SondDatum,"&lt;="&amp;EOMONTH($E3401,0)),$J3401-$M3401))</f>
      </c>
      <c r="O3401" s="43">
        <f>IF($I3401=0,0,INDEX(DarlErsatzRate,8))</f>
      </c>
      <c r="P3401" s="43">
        <f>IF($I3401=0,0,$Q3400*INDEX(DarlErsatzZins,8))</f>
      </c>
      <c r="Q3401" s="43">
        <f>IF($I3401=0,0,$Q3400+$P3401+$O3401)</f>
      </c>
      <c r="R3401" s="43">
        <f>IF($I3401=0,0,$J3401-$M3401-$N3401)</f>
      </c>
    </row>
    <row r="3402">
      <c r="A3402"/>
      <c r="B3402">
        <v>8</v>
      </c>
      <c r="C3402" s="43">
        <f>INDEX(DarlObj,8)</f>
      </c>
      <c r="D3402">
        <v>39</v>
      </c>
      <c r="E3402" s="51">
        <f>IF(INDEX(DarlBelegt,8)=0,0,EOMONTH(INDEX(DarlAuszahlung,8),38)+1)</f>
      </c>
      <c r="F3402" s="43">
        <f>IF($E3402=0,0,YEAR($E3402))</f>
      </c>
      <c r="G3402" s="43">
        <f>IF(INDEX(DarlBindung,8)="",1,IF($E3402&lt;=INDEX(DarlBindung,8),1,0))</f>
      </c>
      <c r="H3402" s="43">
        <f>IF($G3402=1,INDEX(DarlSollzins,8),INDEX(DarlAnschluss,8))</f>
      </c>
      <c r="I3402" s="43">
        <f>IF(INDEX(DarlBelegt,8)=0,0,IF(INDEX(DarlOhneTilgung,8)=1,IF(INDEX(DarlBindung,8)="",1,$G3402),IF($J3402&gt;0.005,1,0)))</f>
      </c>
      <c r="J3402" s="43">
        <f>IF($I3401=0,0,$R3401)</f>
      </c>
      <c r="K3402" s="43">
        <f>IF($I3402=0,0,IF(INDEX(DarlOhneTilgung,8)=1,0,IF(AND(INDEX(DarlTilgStart,8)&gt;0,$E3402=INDEX(DarlTilgStart,8)),$J3402*($H3402+INDEX(DarlTilgung,8))/100/12,IF(AND($G3402=0,$G3401=1),MAX($K3401,$J3402*($H3402+1)/100/12),$K3401))))</f>
      </c>
      <c r="L3402" s="43">
        <f>IF($I3402=0,0,$J3402*$H3402/100/12)</f>
      </c>
      <c r="M3402" s="43">
        <f>IF($I3402=0,0,IF(OR(INDEX(DarlOhneTilgung,8)=1,AND(INDEX(DarlTilgStart,8)&gt;0,$E3402&lt;INDEX(DarlTilgStart,8))),0,MIN(MAX(0,$K3402-$L3402),$J3402)))</f>
      </c>
      <c r="N3402" s="43">
        <f>IF($I3402=0,0,MIN(SUMIFS(SondBetrag,SondDarl,8,SondDatum,"&gt;="&amp;$E3402,SondDatum,"&lt;="&amp;EOMONTH($E3402,0)),$J3402-$M3402))</f>
      </c>
      <c r="O3402" s="43">
        <f>IF($I3402=0,0,INDEX(DarlErsatzRate,8))</f>
      </c>
      <c r="P3402" s="43">
        <f>IF($I3402=0,0,$Q3401*INDEX(DarlErsatzZins,8))</f>
      </c>
      <c r="Q3402" s="43">
        <f>IF($I3402=0,0,$Q3401+$P3402+$O3402)</f>
      </c>
      <c r="R3402" s="43">
        <f>IF($I3402=0,0,$J3402-$M3402-$N3402)</f>
      </c>
    </row>
    <row r="3403">
      <c r="A3403"/>
      <c r="B3403">
        <v>8</v>
      </c>
      <c r="C3403" s="43">
        <f>INDEX(DarlObj,8)</f>
      </c>
      <c r="D3403">
        <v>40</v>
      </c>
      <c r="E3403" s="51">
        <f>IF(INDEX(DarlBelegt,8)=0,0,EOMONTH(INDEX(DarlAuszahlung,8),39)+1)</f>
      </c>
      <c r="F3403" s="43">
        <f>IF($E3403=0,0,YEAR($E3403))</f>
      </c>
      <c r="G3403" s="43">
        <f>IF(INDEX(DarlBindung,8)="",1,IF($E3403&lt;=INDEX(DarlBindung,8),1,0))</f>
      </c>
      <c r="H3403" s="43">
        <f>IF($G3403=1,INDEX(DarlSollzins,8),INDEX(DarlAnschluss,8))</f>
      </c>
      <c r="I3403" s="43">
        <f>IF(INDEX(DarlBelegt,8)=0,0,IF(INDEX(DarlOhneTilgung,8)=1,IF(INDEX(DarlBindung,8)="",1,$G3403),IF($J3403&gt;0.005,1,0)))</f>
      </c>
      <c r="J3403" s="43">
        <f>IF($I3402=0,0,$R3402)</f>
      </c>
      <c r="K3403" s="43">
        <f>IF($I3403=0,0,IF(INDEX(DarlOhneTilgung,8)=1,0,IF(AND(INDEX(DarlTilgStart,8)&gt;0,$E3403=INDEX(DarlTilgStart,8)),$J3403*($H3403+INDEX(DarlTilgung,8))/100/12,IF(AND($G3403=0,$G3402=1),MAX($K3402,$J3403*($H3403+1)/100/12),$K3402))))</f>
      </c>
      <c r="L3403" s="43">
        <f>IF($I3403=0,0,$J3403*$H3403/100/12)</f>
      </c>
      <c r="M3403" s="43">
        <f>IF($I3403=0,0,IF(OR(INDEX(DarlOhneTilgung,8)=1,AND(INDEX(DarlTilgStart,8)&gt;0,$E3403&lt;INDEX(DarlTilgStart,8))),0,MIN(MAX(0,$K3403-$L3403),$J3403)))</f>
      </c>
      <c r="N3403" s="43">
        <f>IF($I3403=0,0,MIN(SUMIFS(SondBetrag,SondDarl,8,SondDatum,"&gt;="&amp;$E3403,SondDatum,"&lt;="&amp;EOMONTH($E3403,0)),$J3403-$M3403))</f>
      </c>
      <c r="O3403" s="43">
        <f>IF($I3403=0,0,INDEX(DarlErsatzRate,8))</f>
      </c>
      <c r="P3403" s="43">
        <f>IF($I3403=0,0,$Q3402*INDEX(DarlErsatzZins,8))</f>
      </c>
      <c r="Q3403" s="43">
        <f>IF($I3403=0,0,$Q3402+$P3403+$O3403)</f>
      </c>
      <c r="R3403" s="43">
        <f>IF($I3403=0,0,$J3403-$M3403-$N3403)</f>
      </c>
    </row>
    <row r="3404">
      <c r="A3404"/>
      <c r="B3404">
        <v>8</v>
      </c>
      <c r="C3404" s="43">
        <f>INDEX(DarlObj,8)</f>
      </c>
      <c r="D3404">
        <v>41</v>
      </c>
      <c r="E3404" s="51">
        <f>IF(INDEX(DarlBelegt,8)=0,0,EOMONTH(INDEX(DarlAuszahlung,8),40)+1)</f>
      </c>
      <c r="F3404" s="43">
        <f>IF($E3404=0,0,YEAR($E3404))</f>
      </c>
      <c r="G3404" s="43">
        <f>IF(INDEX(DarlBindung,8)="",1,IF($E3404&lt;=INDEX(DarlBindung,8),1,0))</f>
      </c>
      <c r="H3404" s="43">
        <f>IF($G3404=1,INDEX(DarlSollzins,8),INDEX(DarlAnschluss,8))</f>
      </c>
      <c r="I3404" s="43">
        <f>IF(INDEX(DarlBelegt,8)=0,0,IF(INDEX(DarlOhneTilgung,8)=1,IF(INDEX(DarlBindung,8)="",1,$G3404),IF($J3404&gt;0.005,1,0)))</f>
      </c>
      <c r="J3404" s="43">
        <f>IF($I3403=0,0,$R3403)</f>
      </c>
      <c r="K3404" s="43">
        <f>IF($I3404=0,0,IF(INDEX(DarlOhneTilgung,8)=1,0,IF(AND(INDEX(DarlTilgStart,8)&gt;0,$E3404=INDEX(DarlTilgStart,8)),$J3404*($H3404+INDEX(DarlTilgung,8))/100/12,IF(AND($G3404=0,$G3403=1),MAX($K3403,$J3404*($H3404+1)/100/12),$K3403))))</f>
      </c>
      <c r="L3404" s="43">
        <f>IF($I3404=0,0,$J3404*$H3404/100/12)</f>
      </c>
      <c r="M3404" s="43">
        <f>IF($I3404=0,0,IF(OR(INDEX(DarlOhneTilgung,8)=1,AND(INDEX(DarlTilgStart,8)&gt;0,$E3404&lt;INDEX(DarlTilgStart,8))),0,MIN(MAX(0,$K3404-$L3404),$J3404)))</f>
      </c>
      <c r="N3404" s="43">
        <f>IF($I3404=0,0,MIN(SUMIFS(SondBetrag,SondDarl,8,SondDatum,"&gt;="&amp;$E3404,SondDatum,"&lt;="&amp;EOMONTH($E3404,0)),$J3404-$M3404))</f>
      </c>
      <c r="O3404" s="43">
        <f>IF($I3404=0,0,INDEX(DarlErsatzRate,8))</f>
      </c>
      <c r="P3404" s="43">
        <f>IF($I3404=0,0,$Q3403*INDEX(DarlErsatzZins,8))</f>
      </c>
      <c r="Q3404" s="43">
        <f>IF($I3404=0,0,$Q3403+$P3404+$O3404)</f>
      </c>
      <c r="R3404" s="43">
        <f>IF($I3404=0,0,$J3404-$M3404-$N3404)</f>
      </c>
    </row>
    <row r="3405">
      <c r="A3405"/>
      <c r="B3405">
        <v>8</v>
      </c>
      <c r="C3405" s="43">
        <f>INDEX(DarlObj,8)</f>
      </c>
      <c r="D3405">
        <v>42</v>
      </c>
      <c r="E3405" s="51">
        <f>IF(INDEX(DarlBelegt,8)=0,0,EOMONTH(INDEX(DarlAuszahlung,8),41)+1)</f>
      </c>
      <c r="F3405" s="43">
        <f>IF($E3405=0,0,YEAR($E3405))</f>
      </c>
      <c r="G3405" s="43">
        <f>IF(INDEX(DarlBindung,8)="",1,IF($E3405&lt;=INDEX(DarlBindung,8),1,0))</f>
      </c>
      <c r="H3405" s="43">
        <f>IF($G3405=1,INDEX(DarlSollzins,8),INDEX(DarlAnschluss,8))</f>
      </c>
      <c r="I3405" s="43">
        <f>IF(INDEX(DarlBelegt,8)=0,0,IF(INDEX(DarlOhneTilgung,8)=1,IF(INDEX(DarlBindung,8)="",1,$G3405),IF($J3405&gt;0.005,1,0)))</f>
      </c>
      <c r="J3405" s="43">
        <f>IF($I3404=0,0,$R3404)</f>
      </c>
      <c r="K3405" s="43">
        <f>IF($I3405=0,0,IF(INDEX(DarlOhneTilgung,8)=1,0,IF(AND(INDEX(DarlTilgStart,8)&gt;0,$E3405=INDEX(DarlTilgStart,8)),$J3405*($H3405+INDEX(DarlTilgung,8))/100/12,IF(AND($G3405=0,$G3404=1),MAX($K3404,$J3405*($H3405+1)/100/12),$K3404))))</f>
      </c>
      <c r="L3405" s="43">
        <f>IF($I3405=0,0,$J3405*$H3405/100/12)</f>
      </c>
      <c r="M3405" s="43">
        <f>IF($I3405=0,0,IF(OR(INDEX(DarlOhneTilgung,8)=1,AND(INDEX(DarlTilgStart,8)&gt;0,$E3405&lt;INDEX(DarlTilgStart,8))),0,MIN(MAX(0,$K3405-$L3405),$J3405)))</f>
      </c>
      <c r="N3405" s="43">
        <f>IF($I3405=0,0,MIN(SUMIFS(SondBetrag,SondDarl,8,SondDatum,"&gt;="&amp;$E3405,SondDatum,"&lt;="&amp;EOMONTH($E3405,0)),$J3405-$M3405))</f>
      </c>
      <c r="O3405" s="43">
        <f>IF($I3405=0,0,INDEX(DarlErsatzRate,8))</f>
      </c>
      <c r="P3405" s="43">
        <f>IF($I3405=0,0,$Q3404*INDEX(DarlErsatzZins,8))</f>
      </c>
      <c r="Q3405" s="43">
        <f>IF($I3405=0,0,$Q3404+$P3405+$O3405)</f>
      </c>
      <c r="R3405" s="43">
        <f>IF($I3405=0,0,$J3405-$M3405-$N3405)</f>
      </c>
    </row>
    <row r="3406">
      <c r="A3406"/>
      <c r="B3406">
        <v>8</v>
      </c>
      <c r="C3406" s="43">
        <f>INDEX(DarlObj,8)</f>
      </c>
      <c r="D3406">
        <v>43</v>
      </c>
      <c r="E3406" s="51">
        <f>IF(INDEX(DarlBelegt,8)=0,0,EOMONTH(INDEX(DarlAuszahlung,8),42)+1)</f>
      </c>
      <c r="F3406" s="43">
        <f>IF($E3406=0,0,YEAR($E3406))</f>
      </c>
      <c r="G3406" s="43">
        <f>IF(INDEX(DarlBindung,8)="",1,IF($E3406&lt;=INDEX(DarlBindung,8),1,0))</f>
      </c>
      <c r="H3406" s="43">
        <f>IF($G3406=1,INDEX(DarlSollzins,8),INDEX(DarlAnschluss,8))</f>
      </c>
      <c r="I3406" s="43">
        <f>IF(INDEX(DarlBelegt,8)=0,0,IF(INDEX(DarlOhneTilgung,8)=1,IF(INDEX(DarlBindung,8)="",1,$G3406),IF($J3406&gt;0.005,1,0)))</f>
      </c>
      <c r="J3406" s="43">
        <f>IF($I3405=0,0,$R3405)</f>
      </c>
      <c r="K3406" s="43">
        <f>IF($I3406=0,0,IF(INDEX(DarlOhneTilgung,8)=1,0,IF(AND(INDEX(DarlTilgStart,8)&gt;0,$E3406=INDEX(DarlTilgStart,8)),$J3406*($H3406+INDEX(DarlTilgung,8))/100/12,IF(AND($G3406=0,$G3405=1),MAX($K3405,$J3406*($H3406+1)/100/12),$K3405))))</f>
      </c>
      <c r="L3406" s="43">
        <f>IF($I3406=0,0,$J3406*$H3406/100/12)</f>
      </c>
      <c r="M3406" s="43">
        <f>IF($I3406=0,0,IF(OR(INDEX(DarlOhneTilgung,8)=1,AND(INDEX(DarlTilgStart,8)&gt;0,$E3406&lt;INDEX(DarlTilgStart,8))),0,MIN(MAX(0,$K3406-$L3406),$J3406)))</f>
      </c>
      <c r="N3406" s="43">
        <f>IF($I3406=0,0,MIN(SUMIFS(SondBetrag,SondDarl,8,SondDatum,"&gt;="&amp;$E3406,SondDatum,"&lt;="&amp;EOMONTH($E3406,0)),$J3406-$M3406))</f>
      </c>
      <c r="O3406" s="43">
        <f>IF($I3406=0,0,INDEX(DarlErsatzRate,8))</f>
      </c>
      <c r="P3406" s="43">
        <f>IF($I3406=0,0,$Q3405*INDEX(DarlErsatzZins,8))</f>
      </c>
      <c r="Q3406" s="43">
        <f>IF($I3406=0,0,$Q3405+$P3406+$O3406)</f>
      </c>
      <c r="R3406" s="43">
        <f>IF($I3406=0,0,$J3406-$M3406-$N3406)</f>
      </c>
    </row>
    <row r="3407">
      <c r="A3407"/>
      <c r="B3407">
        <v>8</v>
      </c>
      <c r="C3407" s="43">
        <f>INDEX(DarlObj,8)</f>
      </c>
      <c r="D3407">
        <v>44</v>
      </c>
      <c r="E3407" s="51">
        <f>IF(INDEX(DarlBelegt,8)=0,0,EOMONTH(INDEX(DarlAuszahlung,8),43)+1)</f>
      </c>
      <c r="F3407" s="43">
        <f>IF($E3407=0,0,YEAR($E3407))</f>
      </c>
      <c r="G3407" s="43">
        <f>IF(INDEX(DarlBindung,8)="",1,IF($E3407&lt;=INDEX(DarlBindung,8),1,0))</f>
      </c>
      <c r="H3407" s="43">
        <f>IF($G3407=1,INDEX(DarlSollzins,8),INDEX(DarlAnschluss,8))</f>
      </c>
      <c r="I3407" s="43">
        <f>IF(INDEX(DarlBelegt,8)=0,0,IF(INDEX(DarlOhneTilgung,8)=1,IF(INDEX(DarlBindung,8)="",1,$G3407),IF($J3407&gt;0.005,1,0)))</f>
      </c>
      <c r="J3407" s="43">
        <f>IF($I3406=0,0,$R3406)</f>
      </c>
      <c r="K3407" s="43">
        <f>IF($I3407=0,0,IF(INDEX(DarlOhneTilgung,8)=1,0,IF(AND(INDEX(DarlTilgStart,8)&gt;0,$E3407=INDEX(DarlTilgStart,8)),$J3407*($H3407+INDEX(DarlTilgung,8))/100/12,IF(AND($G3407=0,$G3406=1),MAX($K3406,$J3407*($H3407+1)/100/12),$K3406))))</f>
      </c>
      <c r="L3407" s="43">
        <f>IF($I3407=0,0,$J3407*$H3407/100/12)</f>
      </c>
      <c r="M3407" s="43">
        <f>IF($I3407=0,0,IF(OR(INDEX(DarlOhneTilgung,8)=1,AND(INDEX(DarlTilgStart,8)&gt;0,$E3407&lt;INDEX(DarlTilgStart,8))),0,MIN(MAX(0,$K3407-$L3407),$J3407)))</f>
      </c>
      <c r="N3407" s="43">
        <f>IF($I3407=0,0,MIN(SUMIFS(SondBetrag,SondDarl,8,SondDatum,"&gt;="&amp;$E3407,SondDatum,"&lt;="&amp;EOMONTH($E3407,0)),$J3407-$M3407))</f>
      </c>
      <c r="O3407" s="43">
        <f>IF($I3407=0,0,INDEX(DarlErsatzRate,8))</f>
      </c>
      <c r="P3407" s="43">
        <f>IF($I3407=0,0,$Q3406*INDEX(DarlErsatzZins,8))</f>
      </c>
      <c r="Q3407" s="43">
        <f>IF($I3407=0,0,$Q3406+$P3407+$O3407)</f>
      </c>
      <c r="R3407" s="43">
        <f>IF($I3407=0,0,$J3407-$M3407-$N3407)</f>
      </c>
    </row>
    <row r="3408">
      <c r="A3408"/>
      <c r="B3408">
        <v>8</v>
      </c>
      <c r="C3408" s="43">
        <f>INDEX(DarlObj,8)</f>
      </c>
      <c r="D3408">
        <v>45</v>
      </c>
      <c r="E3408" s="51">
        <f>IF(INDEX(DarlBelegt,8)=0,0,EOMONTH(INDEX(DarlAuszahlung,8),44)+1)</f>
      </c>
      <c r="F3408" s="43">
        <f>IF($E3408=0,0,YEAR($E3408))</f>
      </c>
      <c r="G3408" s="43">
        <f>IF(INDEX(DarlBindung,8)="",1,IF($E3408&lt;=INDEX(DarlBindung,8),1,0))</f>
      </c>
      <c r="H3408" s="43">
        <f>IF($G3408=1,INDEX(DarlSollzins,8),INDEX(DarlAnschluss,8))</f>
      </c>
      <c r="I3408" s="43">
        <f>IF(INDEX(DarlBelegt,8)=0,0,IF(INDEX(DarlOhneTilgung,8)=1,IF(INDEX(DarlBindung,8)="",1,$G3408),IF($J3408&gt;0.005,1,0)))</f>
      </c>
      <c r="J3408" s="43">
        <f>IF($I3407=0,0,$R3407)</f>
      </c>
      <c r="K3408" s="43">
        <f>IF($I3408=0,0,IF(INDEX(DarlOhneTilgung,8)=1,0,IF(AND(INDEX(DarlTilgStart,8)&gt;0,$E3408=INDEX(DarlTilgStart,8)),$J3408*($H3408+INDEX(DarlTilgung,8))/100/12,IF(AND($G3408=0,$G3407=1),MAX($K3407,$J3408*($H3408+1)/100/12),$K3407))))</f>
      </c>
      <c r="L3408" s="43">
        <f>IF($I3408=0,0,$J3408*$H3408/100/12)</f>
      </c>
      <c r="M3408" s="43">
        <f>IF($I3408=0,0,IF(OR(INDEX(DarlOhneTilgung,8)=1,AND(INDEX(DarlTilgStart,8)&gt;0,$E3408&lt;INDEX(DarlTilgStart,8))),0,MIN(MAX(0,$K3408-$L3408),$J3408)))</f>
      </c>
      <c r="N3408" s="43">
        <f>IF($I3408=0,0,MIN(SUMIFS(SondBetrag,SondDarl,8,SondDatum,"&gt;="&amp;$E3408,SondDatum,"&lt;="&amp;EOMONTH($E3408,0)),$J3408-$M3408))</f>
      </c>
      <c r="O3408" s="43">
        <f>IF($I3408=0,0,INDEX(DarlErsatzRate,8))</f>
      </c>
      <c r="P3408" s="43">
        <f>IF($I3408=0,0,$Q3407*INDEX(DarlErsatzZins,8))</f>
      </c>
      <c r="Q3408" s="43">
        <f>IF($I3408=0,0,$Q3407+$P3408+$O3408)</f>
      </c>
      <c r="R3408" s="43">
        <f>IF($I3408=0,0,$J3408-$M3408-$N3408)</f>
      </c>
    </row>
    <row r="3409">
      <c r="A3409"/>
      <c r="B3409">
        <v>8</v>
      </c>
      <c r="C3409" s="43">
        <f>INDEX(DarlObj,8)</f>
      </c>
      <c r="D3409">
        <v>46</v>
      </c>
      <c r="E3409" s="51">
        <f>IF(INDEX(DarlBelegt,8)=0,0,EOMONTH(INDEX(DarlAuszahlung,8),45)+1)</f>
      </c>
      <c r="F3409" s="43">
        <f>IF($E3409=0,0,YEAR($E3409))</f>
      </c>
      <c r="G3409" s="43">
        <f>IF(INDEX(DarlBindung,8)="",1,IF($E3409&lt;=INDEX(DarlBindung,8),1,0))</f>
      </c>
      <c r="H3409" s="43">
        <f>IF($G3409=1,INDEX(DarlSollzins,8),INDEX(DarlAnschluss,8))</f>
      </c>
      <c r="I3409" s="43">
        <f>IF(INDEX(DarlBelegt,8)=0,0,IF(INDEX(DarlOhneTilgung,8)=1,IF(INDEX(DarlBindung,8)="",1,$G3409),IF($J3409&gt;0.005,1,0)))</f>
      </c>
      <c r="J3409" s="43">
        <f>IF($I3408=0,0,$R3408)</f>
      </c>
      <c r="K3409" s="43">
        <f>IF($I3409=0,0,IF(INDEX(DarlOhneTilgung,8)=1,0,IF(AND(INDEX(DarlTilgStart,8)&gt;0,$E3409=INDEX(DarlTilgStart,8)),$J3409*($H3409+INDEX(DarlTilgung,8))/100/12,IF(AND($G3409=0,$G3408=1),MAX($K3408,$J3409*($H3409+1)/100/12),$K3408))))</f>
      </c>
      <c r="L3409" s="43">
        <f>IF($I3409=0,0,$J3409*$H3409/100/12)</f>
      </c>
      <c r="M3409" s="43">
        <f>IF($I3409=0,0,IF(OR(INDEX(DarlOhneTilgung,8)=1,AND(INDEX(DarlTilgStart,8)&gt;0,$E3409&lt;INDEX(DarlTilgStart,8))),0,MIN(MAX(0,$K3409-$L3409),$J3409)))</f>
      </c>
      <c r="N3409" s="43">
        <f>IF($I3409=0,0,MIN(SUMIFS(SondBetrag,SondDarl,8,SondDatum,"&gt;="&amp;$E3409,SondDatum,"&lt;="&amp;EOMONTH($E3409,0)),$J3409-$M3409))</f>
      </c>
      <c r="O3409" s="43">
        <f>IF($I3409=0,0,INDEX(DarlErsatzRate,8))</f>
      </c>
      <c r="P3409" s="43">
        <f>IF($I3409=0,0,$Q3408*INDEX(DarlErsatzZins,8))</f>
      </c>
      <c r="Q3409" s="43">
        <f>IF($I3409=0,0,$Q3408+$P3409+$O3409)</f>
      </c>
      <c r="R3409" s="43">
        <f>IF($I3409=0,0,$J3409-$M3409-$N3409)</f>
      </c>
    </row>
    <row r="3410">
      <c r="A3410"/>
      <c r="B3410">
        <v>8</v>
      </c>
      <c r="C3410" s="43">
        <f>INDEX(DarlObj,8)</f>
      </c>
      <c r="D3410">
        <v>47</v>
      </c>
      <c r="E3410" s="51">
        <f>IF(INDEX(DarlBelegt,8)=0,0,EOMONTH(INDEX(DarlAuszahlung,8),46)+1)</f>
      </c>
      <c r="F3410" s="43">
        <f>IF($E3410=0,0,YEAR($E3410))</f>
      </c>
      <c r="G3410" s="43">
        <f>IF(INDEX(DarlBindung,8)="",1,IF($E3410&lt;=INDEX(DarlBindung,8),1,0))</f>
      </c>
      <c r="H3410" s="43">
        <f>IF($G3410=1,INDEX(DarlSollzins,8),INDEX(DarlAnschluss,8))</f>
      </c>
      <c r="I3410" s="43">
        <f>IF(INDEX(DarlBelegt,8)=0,0,IF(INDEX(DarlOhneTilgung,8)=1,IF(INDEX(DarlBindung,8)="",1,$G3410),IF($J3410&gt;0.005,1,0)))</f>
      </c>
      <c r="J3410" s="43">
        <f>IF($I3409=0,0,$R3409)</f>
      </c>
      <c r="K3410" s="43">
        <f>IF($I3410=0,0,IF(INDEX(DarlOhneTilgung,8)=1,0,IF(AND(INDEX(DarlTilgStart,8)&gt;0,$E3410=INDEX(DarlTilgStart,8)),$J3410*($H3410+INDEX(DarlTilgung,8))/100/12,IF(AND($G3410=0,$G3409=1),MAX($K3409,$J3410*($H3410+1)/100/12),$K3409))))</f>
      </c>
      <c r="L3410" s="43">
        <f>IF($I3410=0,0,$J3410*$H3410/100/12)</f>
      </c>
      <c r="M3410" s="43">
        <f>IF($I3410=0,0,IF(OR(INDEX(DarlOhneTilgung,8)=1,AND(INDEX(DarlTilgStart,8)&gt;0,$E3410&lt;INDEX(DarlTilgStart,8))),0,MIN(MAX(0,$K3410-$L3410),$J3410)))</f>
      </c>
      <c r="N3410" s="43">
        <f>IF($I3410=0,0,MIN(SUMIFS(SondBetrag,SondDarl,8,SondDatum,"&gt;="&amp;$E3410,SondDatum,"&lt;="&amp;EOMONTH($E3410,0)),$J3410-$M3410))</f>
      </c>
      <c r="O3410" s="43">
        <f>IF($I3410=0,0,INDEX(DarlErsatzRate,8))</f>
      </c>
      <c r="P3410" s="43">
        <f>IF($I3410=0,0,$Q3409*INDEX(DarlErsatzZins,8))</f>
      </c>
      <c r="Q3410" s="43">
        <f>IF($I3410=0,0,$Q3409+$P3410+$O3410)</f>
      </c>
      <c r="R3410" s="43">
        <f>IF($I3410=0,0,$J3410-$M3410-$N3410)</f>
      </c>
    </row>
    <row r="3411">
      <c r="A3411"/>
      <c r="B3411">
        <v>8</v>
      </c>
      <c r="C3411" s="43">
        <f>INDEX(DarlObj,8)</f>
      </c>
      <c r="D3411">
        <v>48</v>
      </c>
      <c r="E3411" s="51">
        <f>IF(INDEX(DarlBelegt,8)=0,0,EOMONTH(INDEX(DarlAuszahlung,8),47)+1)</f>
      </c>
      <c r="F3411" s="43">
        <f>IF($E3411=0,0,YEAR($E3411))</f>
      </c>
      <c r="G3411" s="43">
        <f>IF(INDEX(DarlBindung,8)="",1,IF($E3411&lt;=INDEX(DarlBindung,8),1,0))</f>
      </c>
      <c r="H3411" s="43">
        <f>IF($G3411=1,INDEX(DarlSollzins,8),INDEX(DarlAnschluss,8))</f>
      </c>
      <c r="I3411" s="43">
        <f>IF(INDEX(DarlBelegt,8)=0,0,IF(INDEX(DarlOhneTilgung,8)=1,IF(INDEX(DarlBindung,8)="",1,$G3411),IF($J3411&gt;0.005,1,0)))</f>
      </c>
      <c r="J3411" s="43">
        <f>IF($I3410=0,0,$R3410)</f>
      </c>
      <c r="K3411" s="43">
        <f>IF($I3411=0,0,IF(INDEX(DarlOhneTilgung,8)=1,0,IF(AND(INDEX(DarlTilgStart,8)&gt;0,$E3411=INDEX(DarlTilgStart,8)),$J3411*($H3411+INDEX(DarlTilgung,8))/100/12,IF(AND($G3411=0,$G3410=1),MAX($K3410,$J3411*($H3411+1)/100/12),$K3410))))</f>
      </c>
      <c r="L3411" s="43">
        <f>IF($I3411=0,0,$J3411*$H3411/100/12)</f>
      </c>
      <c r="M3411" s="43">
        <f>IF($I3411=0,0,IF(OR(INDEX(DarlOhneTilgung,8)=1,AND(INDEX(DarlTilgStart,8)&gt;0,$E3411&lt;INDEX(DarlTilgStart,8))),0,MIN(MAX(0,$K3411-$L3411),$J3411)))</f>
      </c>
      <c r="N3411" s="43">
        <f>IF($I3411=0,0,MIN(SUMIFS(SondBetrag,SondDarl,8,SondDatum,"&gt;="&amp;$E3411,SondDatum,"&lt;="&amp;EOMONTH($E3411,0)),$J3411-$M3411))</f>
      </c>
      <c r="O3411" s="43">
        <f>IF($I3411=0,0,INDEX(DarlErsatzRate,8))</f>
      </c>
      <c r="P3411" s="43">
        <f>IF($I3411=0,0,$Q3410*INDEX(DarlErsatzZins,8))</f>
      </c>
      <c r="Q3411" s="43">
        <f>IF($I3411=0,0,$Q3410+$P3411+$O3411)</f>
      </c>
      <c r="R3411" s="43">
        <f>IF($I3411=0,0,$J3411-$M3411-$N3411)</f>
      </c>
    </row>
    <row r="3412">
      <c r="A3412"/>
      <c r="B3412">
        <v>8</v>
      </c>
      <c r="C3412" s="43">
        <f>INDEX(DarlObj,8)</f>
      </c>
      <c r="D3412">
        <v>49</v>
      </c>
      <c r="E3412" s="51">
        <f>IF(INDEX(DarlBelegt,8)=0,0,EOMONTH(INDEX(DarlAuszahlung,8),48)+1)</f>
      </c>
      <c r="F3412" s="43">
        <f>IF($E3412=0,0,YEAR($E3412))</f>
      </c>
      <c r="G3412" s="43">
        <f>IF(INDEX(DarlBindung,8)="",1,IF($E3412&lt;=INDEX(DarlBindung,8),1,0))</f>
      </c>
      <c r="H3412" s="43">
        <f>IF($G3412=1,INDEX(DarlSollzins,8),INDEX(DarlAnschluss,8))</f>
      </c>
      <c r="I3412" s="43">
        <f>IF(INDEX(DarlBelegt,8)=0,0,IF(INDEX(DarlOhneTilgung,8)=1,IF(INDEX(DarlBindung,8)="",1,$G3412),IF($J3412&gt;0.005,1,0)))</f>
      </c>
      <c r="J3412" s="43">
        <f>IF($I3411=0,0,$R3411)</f>
      </c>
      <c r="K3412" s="43">
        <f>IF($I3412=0,0,IF(INDEX(DarlOhneTilgung,8)=1,0,IF(AND(INDEX(DarlTilgStart,8)&gt;0,$E3412=INDEX(DarlTilgStart,8)),$J3412*($H3412+INDEX(DarlTilgung,8))/100/12,IF(AND($G3412=0,$G3411=1),MAX($K3411,$J3412*($H3412+1)/100/12),$K3411))))</f>
      </c>
      <c r="L3412" s="43">
        <f>IF($I3412=0,0,$J3412*$H3412/100/12)</f>
      </c>
      <c r="M3412" s="43">
        <f>IF($I3412=0,0,IF(OR(INDEX(DarlOhneTilgung,8)=1,AND(INDEX(DarlTilgStart,8)&gt;0,$E3412&lt;INDEX(DarlTilgStart,8))),0,MIN(MAX(0,$K3412-$L3412),$J3412)))</f>
      </c>
      <c r="N3412" s="43">
        <f>IF($I3412=0,0,MIN(SUMIFS(SondBetrag,SondDarl,8,SondDatum,"&gt;="&amp;$E3412,SondDatum,"&lt;="&amp;EOMONTH($E3412,0)),$J3412-$M3412))</f>
      </c>
      <c r="O3412" s="43">
        <f>IF($I3412=0,0,INDEX(DarlErsatzRate,8))</f>
      </c>
      <c r="P3412" s="43">
        <f>IF($I3412=0,0,$Q3411*INDEX(DarlErsatzZins,8))</f>
      </c>
      <c r="Q3412" s="43">
        <f>IF($I3412=0,0,$Q3411+$P3412+$O3412)</f>
      </c>
      <c r="R3412" s="43">
        <f>IF($I3412=0,0,$J3412-$M3412-$N3412)</f>
      </c>
    </row>
    <row r="3413">
      <c r="A3413"/>
      <c r="B3413">
        <v>8</v>
      </c>
      <c r="C3413" s="43">
        <f>INDEX(DarlObj,8)</f>
      </c>
      <c r="D3413">
        <v>50</v>
      </c>
      <c r="E3413" s="51">
        <f>IF(INDEX(DarlBelegt,8)=0,0,EOMONTH(INDEX(DarlAuszahlung,8),49)+1)</f>
      </c>
      <c r="F3413" s="43">
        <f>IF($E3413=0,0,YEAR($E3413))</f>
      </c>
      <c r="G3413" s="43">
        <f>IF(INDEX(DarlBindung,8)="",1,IF($E3413&lt;=INDEX(DarlBindung,8),1,0))</f>
      </c>
      <c r="H3413" s="43">
        <f>IF($G3413=1,INDEX(DarlSollzins,8),INDEX(DarlAnschluss,8))</f>
      </c>
      <c r="I3413" s="43">
        <f>IF(INDEX(DarlBelegt,8)=0,0,IF(INDEX(DarlOhneTilgung,8)=1,IF(INDEX(DarlBindung,8)="",1,$G3413),IF($J3413&gt;0.005,1,0)))</f>
      </c>
      <c r="J3413" s="43">
        <f>IF($I3412=0,0,$R3412)</f>
      </c>
      <c r="K3413" s="43">
        <f>IF($I3413=0,0,IF(INDEX(DarlOhneTilgung,8)=1,0,IF(AND(INDEX(DarlTilgStart,8)&gt;0,$E3413=INDEX(DarlTilgStart,8)),$J3413*($H3413+INDEX(DarlTilgung,8))/100/12,IF(AND($G3413=0,$G3412=1),MAX($K3412,$J3413*($H3413+1)/100/12),$K3412))))</f>
      </c>
      <c r="L3413" s="43">
        <f>IF($I3413=0,0,$J3413*$H3413/100/12)</f>
      </c>
      <c r="M3413" s="43">
        <f>IF($I3413=0,0,IF(OR(INDEX(DarlOhneTilgung,8)=1,AND(INDEX(DarlTilgStart,8)&gt;0,$E3413&lt;INDEX(DarlTilgStart,8))),0,MIN(MAX(0,$K3413-$L3413),$J3413)))</f>
      </c>
      <c r="N3413" s="43">
        <f>IF($I3413=0,0,MIN(SUMIFS(SondBetrag,SondDarl,8,SondDatum,"&gt;="&amp;$E3413,SondDatum,"&lt;="&amp;EOMONTH($E3413,0)),$J3413-$M3413))</f>
      </c>
      <c r="O3413" s="43">
        <f>IF($I3413=0,0,INDEX(DarlErsatzRate,8))</f>
      </c>
      <c r="P3413" s="43">
        <f>IF($I3413=0,0,$Q3412*INDEX(DarlErsatzZins,8))</f>
      </c>
      <c r="Q3413" s="43">
        <f>IF($I3413=0,0,$Q3412+$P3413+$O3413)</f>
      </c>
      <c r="R3413" s="43">
        <f>IF($I3413=0,0,$J3413-$M3413-$N3413)</f>
      </c>
    </row>
    <row r="3414">
      <c r="A3414"/>
      <c r="B3414">
        <v>8</v>
      </c>
      <c r="C3414" s="43">
        <f>INDEX(DarlObj,8)</f>
      </c>
      <c r="D3414">
        <v>51</v>
      </c>
      <c r="E3414" s="51">
        <f>IF(INDEX(DarlBelegt,8)=0,0,EOMONTH(INDEX(DarlAuszahlung,8),50)+1)</f>
      </c>
      <c r="F3414" s="43">
        <f>IF($E3414=0,0,YEAR($E3414))</f>
      </c>
      <c r="G3414" s="43">
        <f>IF(INDEX(DarlBindung,8)="",1,IF($E3414&lt;=INDEX(DarlBindung,8),1,0))</f>
      </c>
      <c r="H3414" s="43">
        <f>IF($G3414=1,INDEX(DarlSollzins,8),INDEX(DarlAnschluss,8))</f>
      </c>
      <c r="I3414" s="43">
        <f>IF(INDEX(DarlBelegt,8)=0,0,IF(INDEX(DarlOhneTilgung,8)=1,IF(INDEX(DarlBindung,8)="",1,$G3414),IF($J3414&gt;0.005,1,0)))</f>
      </c>
      <c r="J3414" s="43">
        <f>IF($I3413=0,0,$R3413)</f>
      </c>
      <c r="K3414" s="43">
        <f>IF($I3414=0,0,IF(INDEX(DarlOhneTilgung,8)=1,0,IF(AND(INDEX(DarlTilgStart,8)&gt;0,$E3414=INDEX(DarlTilgStart,8)),$J3414*($H3414+INDEX(DarlTilgung,8))/100/12,IF(AND($G3414=0,$G3413=1),MAX($K3413,$J3414*($H3414+1)/100/12),$K3413))))</f>
      </c>
      <c r="L3414" s="43">
        <f>IF($I3414=0,0,$J3414*$H3414/100/12)</f>
      </c>
      <c r="M3414" s="43">
        <f>IF($I3414=0,0,IF(OR(INDEX(DarlOhneTilgung,8)=1,AND(INDEX(DarlTilgStart,8)&gt;0,$E3414&lt;INDEX(DarlTilgStart,8))),0,MIN(MAX(0,$K3414-$L3414),$J3414)))</f>
      </c>
      <c r="N3414" s="43">
        <f>IF($I3414=0,0,MIN(SUMIFS(SondBetrag,SondDarl,8,SondDatum,"&gt;="&amp;$E3414,SondDatum,"&lt;="&amp;EOMONTH($E3414,0)),$J3414-$M3414))</f>
      </c>
      <c r="O3414" s="43">
        <f>IF($I3414=0,0,INDEX(DarlErsatzRate,8))</f>
      </c>
      <c r="P3414" s="43">
        <f>IF($I3414=0,0,$Q3413*INDEX(DarlErsatzZins,8))</f>
      </c>
      <c r="Q3414" s="43">
        <f>IF($I3414=0,0,$Q3413+$P3414+$O3414)</f>
      </c>
      <c r="R3414" s="43">
        <f>IF($I3414=0,0,$J3414-$M3414-$N3414)</f>
      </c>
    </row>
    <row r="3415">
      <c r="A3415"/>
      <c r="B3415">
        <v>8</v>
      </c>
      <c r="C3415" s="43">
        <f>INDEX(DarlObj,8)</f>
      </c>
      <c r="D3415">
        <v>52</v>
      </c>
      <c r="E3415" s="51">
        <f>IF(INDEX(DarlBelegt,8)=0,0,EOMONTH(INDEX(DarlAuszahlung,8),51)+1)</f>
      </c>
      <c r="F3415" s="43">
        <f>IF($E3415=0,0,YEAR($E3415))</f>
      </c>
      <c r="G3415" s="43">
        <f>IF(INDEX(DarlBindung,8)="",1,IF($E3415&lt;=INDEX(DarlBindung,8),1,0))</f>
      </c>
      <c r="H3415" s="43">
        <f>IF($G3415=1,INDEX(DarlSollzins,8),INDEX(DarlAnschluss,8))</f>
      </c>
      <c r="I3415" s="43">
        <f>IF(INDEX(DarlBelegt,8)=0,0,IF(INDEX(DarlOhneTilgung,8)=1,IF(INDEX(DarlBindung,8)="",1,$G3415),IF($J3415&gt;0.005,1,0)))</f>
      </c>
      <c r="J3415" s="43">
        <f>IF($I3414=0,0,$R3414)</f>
      </c>
      <c r="K3415" s="43">
        <f>IF($I3415=0,0,IF(INDEX(DarlOhneTilgung,8)=1,0,IF(AND(INDEX(DarlTilgStart,8)&gt;0,$E3415=INDEX(DarlTilgStart,8)),$J3415*($H3415+INDEX(DarlTilgung,8))/100/12,IF(AND($G3415=0,$G3414=1),MAX($K3414,$J3415*($H3415+1)/100/12),$K3414))))</f>
      </c>
      <c r="L3415" s="43">
        <f>IF($I3415=0,0,$J3415*$H3415/100/12)</f>
      </c>
      <c r="M3415" s="43">
        <f>IF($I3415=0,0,IF(OR(INDEX(DarlOhneTilgung,8)=1,AND(INDEX(DarlTilgStart,8)&gt;0,$E3415&lt;INDEX(DarlTilgStart,8))),0,MIN(MAX(0,$K3415-$L3415),$J3415)))</f>
      </c>
      <c r="N3415" s="43">
        <f>IF($I3415=0,0,MIN(SUMIFS(SondBetrag,SondDarl,8,SondDatum,"&gt;="&amp;$E3415,SondDatum,"&lt;="&amp;EOMONTH($E3415,0)),$J3415-$M3415))</f>
      </c>
      <c r="O3415" s="43">
        <f>IF($I3415=0,0,INDEX(DarlErsatzRate,8))</f>
      </c>
      <c r="P3415" s="43">
        <f>IF($I3415=0,0,$Q3414*INDEX(DarlErsatzZins,8))</f>
      </c>
      <c r="Q3415" s="43">
        <f>IF($I3415=0,0,$Q3414+$P3415+$O3415)</f>
      </c>
      <c r="R3415" s="43">
        <f>IF($I3415=0,0,$J3415-$M3415-$N3415)</f>
      </c>
    </row>
    <row r="3416">
      <c r="A3416"/>
      <c r="B3416">
        <v>8</v>
      </c>
      <c r="C3416" s="43">
        <f>INDEX(DarlObj,8)</f>
      </c>
      <c r="D3416">
        <v>53</v>
      </c>
      <c r="E3416" s="51">
        <f>IF(INDEX(DarlBelegt,8)=0,0,EOMONTH(INDEX(DarlAuszahlung,8),52)+1)</f>
      </c>
      <c r="F3416" s="43">
        <f>IF($E3416=0,0,YEAR($E3416))</f>
      </c>
      <c r="G3416" s="43">
        <f>IF(INDEX(DarlBindung,8)="",1,IF($E3416&lt;=INDEX(DarlBindung,8),1,0))</f>
      </c>
      <c r="H3416" s="43">
        <f>IF($G3416=1,INDEX(DarlSollzins,8),INDEX(DarlAnschluss,8))</f>
      </c>
      <c r="I3416" s="43">
        <f>IF(INDEX(DarlBelegt,8)=0,0,IF(INDEX(DarlOhneTilgung,8)=1,IF(INDEX(DarlBindung,8)="",1,$G3416),IF($J3416&gt;0.005,1,0)))</f>
      </c>
      <c r="J3416" s="43">
        <f>IF($I3415=0,0,$R3415)</f>
      </c>
      <c r="K3416" s="43">
        <f>IF($I3416=0,0,IF(INDEX(DarlOhneTilgung,8)=1,0,IF(AND(INDEX(DarlTilgStart,8)&gt;0,$E3416=INDEX(DarlTilgStart,8)),$J3416*($H3416+INDEX(DarlTilgung,8))/100/12,IF(AND($G3416=0,$G3415=1),MAX($K3415,$J3416*($H3416+1)/100/12),$K3415))))</f>
      </c>
      <c r="L3416" s="43">
        <f>IF($I3416=0,0,$J3416*$H3416/100/12)</f>
      </c>
      <c r="M3416" s="43">
        <f>IF($I3416=0,0,IF(OR(INDEX(DarlOhneTilgung,8)=1,AND(INDEX(DarlTilgStart,8)&gt;0,$E3416&lt;INDEX(DarlTilgStart,8))),0,MIN(MAX(0,$K3416-$L3416),$J3416)))</f>
      </c>
      <c r="N3416" s="43">
        <f>IF($I3416=0,0,MIN(SUMIFS(SondBetrag,SondDarl,8,SondDatum,"&gt;="&amp;$E3416,SondDatum,"&lt;="&amp;EOMONTH($E3416,0)),$J3416-$M3416))</f>
      </c>
      <c r="O3416" s="43">
        <f>IF($I3416=0,0,INDEX(DarlErsatzRate,8))</f>
      </c>
      <c r="P3416" s="43">
        <f>IF($I3416=0,0,$Q3415*INDEX(DarlErsatzZins,8))</f>
      </c>
      <c r="Q3416" s="43">
        <f>IF($I3416=0,0,$Q3415+$P3416+$O3416)</f>
      </c>
      <c r="R3416" s="43">
        <f>IF($I3416=0,0,$J3416-$M3416-$N3416)</f>
      </c>
    </row>
    <row r="3417">
      <c r="A3417"/>
      <c r="B3417">
        <v>8</v>
      </c>
      <c r="C3417" s="43">
        <f>INDEX(DarlObj,8)</f>
      </c>
      <c r="D3417">
        <v>54</v>
      </c>
      <c r="E3417" s="51">
        <f>IF(INDEX(DarlBelegt,8)=0,0,EOMONTH(INDEX(DarlAuszahlung,8),53)+1)</f>
      </c>
      <c r="F3417" s="43">
        <f>IF($E3417=0,0,YEAR($E3417))</f>
      </c>
      <c r="G3417" s="43">
        <f>IF(INDEX(DarlBindung,8)="",1,IF($E3417&lt;=INDEX(DarlBindung,8),1,0))</f>
      </c>
      <c r="H3417" s="43">
        <f>IF($G3417=1,INDEX(DarlSollzins,8),INDEX(DarlAnschluss,8))</f>
      </c>
      <c r="I3417" s="43">
        <f>IF(INDEX(DarlBelegt,8)=0,0,IF(INDEX(DarlOhneTilgung,8)=1,IF(INDEX(DarlBindung,8)="",1,$G3417),IF($J3417&gt;0.005,1,0)))</f>
      </c>
      <c r="J3417" s="43">
        <f>IF($I3416=0,0,$R3416)</f>
      </c>
      <c r="K3417" s="43">
        <f>IF($I3417=0,0,IF(INDEX(DarlOhneTilgung,8)=1,0,IF(AND(INDEX(DarlTilgStart,8)&gt;0,$E3417=INDEX(DarlTilgStart,8)),$J3417*($H3417+INDEX(DarlTilgung,8))/100/12,IF(AND($G3417=0,$G3416=1),MAX($K3416,$J3417*($H3417+1)/100/12),$K3416))))</f>
      </c>
      <c r="L3417" s="43">
        <f>IF($I3417=0,0,$J3417*$H3417/100/12)</f>
      </c>
      <c r="M3417" s="43">
        <f>IF($I3417=0,0,IF(OR(INDEX(DarlOhneTilgung,8)=1,AND(INDEX(DarlTilgStart,8)&gt;0,$E3417&lt;INDEX(DarlTilgStart,8))),0,MIN(MAX(0,$K3417-$L3417),$J3417)))</f>
      </c>
      <c r="N3417" s="43">
        <f>IF($I3417=0,0,MIN(SUMIFS(SondBetrag,SondDarl,8,SondDatum,"&gt;="&amp;$E3417,SondDatum,"&lt;="&amp;EOMONTH($E3417,0)),$J3417-$M3417))</f>
      </c>
      <c r="O3417" s="43">
        <f>IF($I3417=0,0,INDEX(DarlErsatzRate,8))</f>
      </c>
      <c r="P3417" s="43">
        <f>IF($I3417=0,0,$Q3416*INDEX(DarlErsatzZins,8))</f>
      </c>
      <c r="Q3417" s="43">
        <f>IF($I3417=0,0,$Q3416+$P3417+$O3417)</f>
      </c>
      <c r="R3417" s="43">
        <f>IF($I3417=0,0,$J3417-$M3417-$N3417)</f>
      </c>
    </row>
    <row r="3418">
      <c r="A3418"/>
      <c r="B3418">
        <v>8</v>
      </c>
      <c r="C3418" s="43">
        <f>INDEX(DarlObj,8)</f>
      </c>
      <c r="D3418">
        <v>55</v>
      </c>
      <c r="E3418" s="51">
        <f>IF(INDEX(DarlBelegt,8)=0,0,EOMONTH(INDEX(DarlAuszahlung,8),54)+1)</f>
      </c>
      <c r="F3418" s="43">
        <f>IF($E3418=0,0,YEAR($E3418))</f>
      </c>
      <c r="G3418" s="43">
        <f>IF(INDEX(DarlBindung,8)="",1,IF($E3418&lt;=INDEX(DarlBindung,8),1,0))</f>
      </c>
      <c r="H3418" s="43">
        <f>IF($G3418=1,INDEX(DarlSollzins,8),INDEX(DarlAnschluss,8))</f>
      </c>
      <c r="I3418" s="43">
        <f>IF(INDEX(DarlBelegt,8)=0,0,IF(INDEX(DarlOhneTilgung,8)=1,IF(INDEX(DarlBindung,8)="",1,$G3418),IF($J3418&gt;0.005,1,0)))</f>
      </c>
      <c r="J3418" s="43">
        <f>IF($I3417=0,0,$R3417)</f>
      </c>
      <c r="K3418" s="43">
        <f>IF($I3418=0,0,IF(INDEX(DarlOhneTilgung,8)=1,0,IF(AND(INDEX(DarlTilgStart,8)&gt;0,$E3418=INDEX(DarlTilgStart,8)),$J3418*($H3418+INDEX(DarlTilgung,8))/100/12,IF(AND($G3418=0,$G3417=1),MAX($K3417,$J3418*($H3418+1)/100/12),$K3417))))</f>
      </c>
      <c r="L3418" s="43">
        <f>IF($I3418=0,0,$J3418*$H3418/100/12)</f>
      </c>
      <c r="M3418" s="43">
        <f>IF($I3418=0,0,IF(OR(INDEX(DarlOhneTilgung,8)=1,AND(INDEX(DarlTilgStart,8)&gt;0,$E3418&lt;INDEX(DarlTilgStart,8))),0,MIN(MAX(0,$K3418-$L3418),$J3418)))</f>
      </c>
      <c r="N3418" s="43">
        <f>IF($I3418=0,0,MIN(SUMIFS(SondBetrag,SondDarl,8,SondDatum,"&gt;="&amp;$E3418,SondDatum,"&lt;="&amp;EOMONTH($E3418,0)),$J3418-$M3418))</f>
      </c>
      <c r="O3418" s="43">
        <f>IF($I3418=0,0,INDEX(DarlErsatzRate,8))</f>
      </c>
      <c r="P3418" s="43">
        <f>IF($I3418=0,0,$Q3417*INDEX(DarlErsatzZins,8))</f>
      </c>
      <c r="Q3418" s="43">
        <f>IF($I3418=0,0,$Q3417+$P3418+$O3418)</f>
      </c>
      <c r="R3418" s="43">
        <f>IF($I3418=0,0,$J3418-$M3418-$N3418)</f>
      </c>
    </row>
    <row r="3419">
      <c r="A3419"/>
      <c r="B3419">
        <v>8</v>
      </c>
      <c r="C3419" s="43">
        <f>INDEX(DarlObj,8)</f>
      </c>
      <c r="D3419">
        <v>56</v>
      </c>
      <c r="E3419" s="51">
        <f>IF(INDEX(DarlBelegt,8)=0,0,EOMONTH(INDEX(DarlAuszahlung,8),55)+1)</f>
      </c>
      <c r="F3419" s="43">
        <f>IF($E3419=0,0,YEAR($E3419))</f>
      </c>
      <c r="G3419" s="43">
        <f>IF(INDEX(DarlBindung,8)="",1,IF($E3419&lt;=INDEX(DarlBindung,8),1,0))</f>
      </c>
      <c r="H3419" s="43">
        <f>IF($G3419=1,INDEX(DarlSollzins,8),INDEX(DarlAnschluss,8))</f>
      </c>
      <c r="I3419" s="43">
        <f>IF(INDEX(DarlBelegt,8)=0,0,IF(INDEX(DarlOhneTilgung,8)=1,IF(INDEX(DarlBindung,8)="",1,$G3419),IF($J3419&gt;0.005,1,0)))</f>
      </c>
      <c r="J3419" s="43">
        <f>IF($I3418=0,0,$R3418)</f>
      </c>
      <c r="K3419" s="43">
        <f>IF($I3419=0,0,IF(INDEX(DarlOhneTilgung,8)=1,0,IF(AND(INDEX(DarlTilgStart,8)&gt;0,$E3419=INDEX(DarlTilgStart,8)),$J3419*($H3419+INDEX(DarlTilgung,8))/100/12,IF(AND($G3419=0,$G3418=1),MAX($K3418,$J3419*($H3419+1)/100/12),$K3418))))</f>
      </c>
      <c r="L3419" s="43">
        <f>IF($I3419=0,0,$J3419*$H3419/100/12)</f>
      </c>
      <c r="M3419" s="43">
        <f>IF($I3419=0,0,IF(OR(INDEX(DarlOhneTilgung,8)=1,AND(INDEX(DarlTilgStart,8)&gt;0,$E3419&lt;INDEX(DarlTilgStart,8))),0,MIN(MAX(0,$K3419-$L3419),$J3419)))</f>
      </c>
      <c r="N3419" s="43">
        <f>IF($I3419=0,0,MIN(SUMIFS(SondBetrag,SondDarl,8,SondDatum,"&gt;="&amp;$E3419,SondDatum,"&lt;="&amp;EOMONTH($E3419,0)),$J3419-$M3419))</f>
      </c>
      <c r="O3419" s="43">
        <f>IF($I3419=0,0,INDEX(DarlErsatzRate,8))</f>
      </c>
      <c r="P3419" s="43">
        <f>IF($I3419=0,0,$Q3418*INDEX(DarlErsatzZins,8))</f>
      </c>
      <c r="Q3419" s="43">
        <f>IF($I3419=0,0,$Q3418+$P3419+$O3419)</f>
      </c>
      <c r="R3419" s="43">
        <f>IF($I3419=0,0,$J3419-$M3419-$N3419)</f>
      </c>
    </row>
    <row r="3420">
      <c r="A3420"/>
      <c r="B3420">
        <v>8</v>
      </c>
      <c r="C3420" s="43">
        <f>INDEX(DarlObj,8)</f>
      </c>
      <c r="D3420">
        <v>57</v>
      </c>
      <c r="E3420" s="51">
        <f>IF(INDEX(DarlBelegt,8)=0,0,EOMONTH(INDEX(DarlAuszahlung,8),56)+1)</f>
      </c>
      <c r="F3420" s="43">
        <f>IF($E3420=0,0,YEAR($E3420))</f>
      </c>
      <c r="G3420" s="43">
        <f>IF(INDEX(DarlBindung,8)="",1,IF($E3420&lt;=INDEX(DarlBindung,8),1,0))</f>
      </c>
      <c r="H3420" s="43">
        <f>IF($G3420=1,INDEX(DarlSollzins,8),INDEX(DarlAnschluss,8))</f>
      </c>
      <c r="I3420" s="43">
        <f>IF(INDEX(DarlBelegt,8)=0,0,IF(INDEX(DarlOhneTilgung,8)=1,IF(INDEX(DarlBindung,8)="",1,$G3420),IF($J3420&gt;0.005,1,0)))</f>
      </c>
      <c r="J3420" s="43">
        <f>IF($I3419=0,0,$R3419)</f>
      </c>
      <c r="K3420" s="43">
        <f>IF($I3420=0,0,IF(INDEX(DarlOhneTilgung,8)=1,0,IF(AND(INDEX(DarlTilgStart,8)&gt;0,$E3420=INDEX(DarlTilgStart,8)),$J3420*($H3420+INDEX(DarlTilgung,8))/100/12,IF(AND($G3420=0,$G3419=1),MAX($K3419,$J3420*($H3420+1)/100/12),$K3419))))</f>
      </c>
      <c r="L3420" s="43">
        <f>IF($I3420=0,0,$J3420*$H3420/100/12)</f>
      </c>
      <c r="M3420" s="43">
        <f>IF($I3420=0,0,IF(OR(INDEX(DarlOhneTilgung,8)=1,AND(INDEX(DarlTilgStart,8)&gt;0,$E3420&lt;INDEX(DarlTilgStart,8))),0,MIN(MAX(0,$K3420-$L3420),$J3420)))</f>
      </c>
      <c r="N3420" s="43">
        <f>IF($I3420=0,0,MIN(SUMIFS(SondBetrag,SondDarl,8,SondDatum,"&gt;="&amp;$E3420,SondDatum,"&lt;="&amp;EOMONTH($E3420,0)),$J3420-$M3420))</f>
      </c>
      <c r="O3420" s="43">
        <f>IF($I3420=0,0,INDEX(DarlErsatzRate,8))</f>
      </c>
      <c r="P3420" s="43">
        <f>IF($I3420=0,0,$Q3419*INDEX(DarlErsatzZins,8))</f>
      </c>
      <c r="Q3420" s="43">
        <f>IF($I3420=0,0,$Q3419+$P3420+$O3420)</f>
      </c>
      <c r="R3420" s="43">
        <f>IF($I3420=0,0,$J3420-$M3420-$N3420)</f>
      </c>
    </row>
    <row r="3421">
      <c r="A3421"/>
      <c r="B3421">
        <v>8</v>
      </c>
      <c r="C3421" s="43">
        <f>INDEX(DarlObj,8)</f>
      </c>
      <c r="D3421">
        <v>58</v>
      </c>
      <c r="E3421" s="51">
        <f>IF(INDEX(DarlBelegt,8)=0,0,EOMONTH(INDEX(DarlAuszahlung,8),57)+1)</f>
      </c>
      <c r="F3421" s="43">
        <f>IF($E3421=0,0,YEAR($E3421))</f>
      </c>
      <c r="G3421" s="43">
        <f>IF(INDEX(DarlBindung,8)="",1,IF($E3421&lt;=INDEX(DarlBindung,8),1,0))</f>
      </c>
      <c r="H3421" s="43">
        <f>IF($G3421=1,INDEX(DarlSollzins,8),INDEX(DarlAnschluss,8))</f>
      </c>
      <c r="I3421" s="43">
        <f>IF(INDEX(DarlBelegt,8)=0,0,IF(INDEX(DarlOhneTilgung,8)=1,IF(INDEX(DarlBindung,8)="",1,$G3421),IF($J3421&gt;0.005,1,0)))</f>
      </c>
      <c r="J3421" s="43">
        <f>IF($I3420=0,0,$R3420)</f>
      </c>
      <c r="K3421" s="43">
        <f>IF($I3421=0,0,IF(INDEX(DarlOhneTilgung,8)=1,0,IF(AND(INDEX(DarlTilgStart,8)&gt;0,$E3421=INDEX(DarlTilgStart,8)),$J3421*($H3421+INDEX(DarlTilgung,8))/100/12,IF(AND($G3421=0,$G3420=1),MAX($K3420,$J3421*($H3421+1)/100/12),$K3420))))</f>
      </c>
      <c r="L3421" s="43">
        <f>IF($I3421=0,0,$J3421*$H3421/100/12)</f>
      </c>
      <c r="M3421" s="43">
        <f>IF($I3421=0,0,IF(OR(INDEX(DarlOhneTilgung,8)=1,AND(INDEX(DarlTilgStart,8)&gt;0,$E3421&lt;INDEX(DarlTilgStart,8))),0,MIN(MAX(0,$K3421-$L3421),$J3421)))</f>
      </c>
      <c r="N3421" s="43">
        <f>IF($I3421=0,0,MIN(SUMIFS(SondBetrag,SondDarl,8,SondDatum,"&gt;="&amp;$E3421,SondDatum,"&lt;="&amp;EOMONTH($E3421,0)),$J3421-$M3421))</f>
      </c>
      <c r="O3421" s="43">
        <f>IF($I3421=0,0,INDEX(DarlErsatzRate,8))</f>
      </c>
      <c r="P3421" s="43">
        <f>IF($I3421=0,0,$Q3420*INDEX(DarlErsatzZins,8))</f>
      </c>
      <c r="Q3421" s="43">
        <f>IF($I3421=0,0,$Q3420+$P3421+$O3421)</f>
      </c>
      <c r="R3421" s="43">
        <f>IF($I3421=0,0,$J3421-$M3421-$N3421)</f>
      </c>
    </row>
    <row r="3422">
      <c r="A3422"/>
      <c r="B3422">
        <v>8</v>
      </c>
      <c r="C3422" s="43">
        <f>INDEX(DarlObj,8)</f>
      </c>
      <c r="D3422">
        <v>59</v>
      </c>
      <c r="E3422" s="51">
        <f>IF(INDEX(DarlBelegt,8)=0,0,EOMONTH(INDEX(DarlAuszahlung,8),58)+1)</f>
      </c>
      <c r="F3422" s="43">
        <f>IF($E3422=0,0,YEAR($E3422))</f>
      </c>
      <c r="G3422" s="43">
        <f>IF(INDEX(DarlBindung,8)="",1,IF($E3422&lt;=INDEX(DarlBindung,8),1,0))</f>
      </c>
      <c r="H3422" s="43">
        <f>IF($G3422=1,INDEX(DarlSollzins,8),INDEX(DarlAnschluss,8))</f>
      </c>
      <c r="I3422" s="43">
        <f>IF(INDEX(DarlBelegt,8)=0,0,IF(INDEX(DarlOhneTilgung,8)=1,IF(INDEX(DarlBindung,8)="",1,$G3422),IF($J3422&gt;0.005,1,0)))</f>
      </c>
      <c r="J3422" s="43">
        <f>IF($I3421=0,0,$R3421)</f>
      </c>
      <c r="K3422" s="43">
        <f>IF($I3422=0,0,IF(INDEX(DarlOhneTilgung,8)=1,0,IF(AND(INDEX(DarlTilgStart,8)&gt;0,$E3422=INDEX(DarlTilgStart,8)),$J3422*($H3422+INDEX(DarlTilgung,8))/100/12,IF(AND($G3422=0,$G3421=1),MAX($K3421,$J3422*($H3422+1)/100/12),$K3421))))</f>
      </c>
      <c r="L3422" s="43">
        <f>IF($I3422=0,0,$J3422*$H3422/100/12)</f>
      </c>
      <c r="M3422" s="43">
        <f>IF($I3422=0,0,IF(OR(INDEX(DarlOhneTilgung,8)=1,AND(INDEX(DarlTilgStart,8)&gt;0,$E3422&lt;INDEX(DarlTilgStart,8))),0,MIN(MAX(0,$K3422-$L3422),$J3422)))</f>
      </c>
      <c r="N3422" s="43">
        <f>IF($I3422=0,0,MIN(SUMIFS(SondBetrag,SondDarl,8,SondDatum,"&gt;="&amp;$E3422,SondDatum,"&lt;="&amp;EOMONTH($E3422,0)),$J3422-$M3422))</f>
      </c>
      <c r="O3422" s="43">
        <f>IF($I3422=0,0,INDEX(DarlErsatzRate,8))</f>
      </c>
      <c r="P3422" s="43">
        <f>IF($I3422=0,0,$Q3421*INDEX(DarlErsatzZins,8))</f>
      </c>
      <c r="Q3422" s="43">
        <f>IF($I3422=0,0,$Q3421+$P3422+$O3422)</f>
      </c>
      <c r="R3422" s="43">
        <f>IF($I3422=0,0,$J3422-$M3422-$N3422)</f>
      </c>
    </row>
    <row r="3423">
      <c r="A3423"/>
      <c r="B3423">
        <v>8</v>
      </c>
      <c r="C3423" s="43">
        <f>INDEX(DarlObj,8)</f>
      </c>
      <c r="D3423">
        <v>60</v>
      </c>
      <c r="E3423" s="51">
        <f>IF(INDEX(DarlBelegt,8)=0,0,EOMONTH(INDEX(DarlAuszahlung,8),59)+1)</f>
      </c>
      <c r="F3423" s="43">
        <f>IF($E3423=0,0,YEAR($E3423))</f>
      </c>
      <c r="G3423" s="43">
        <f>IF(INDEX(DarlBindung,8)="",1,IF($E3423&lt;=INDEX(DarlBindung,8),1,0))</f>
      </c>
      <c r="H3423" s="43">
        <f>IF($G3423=1,INDEX(DarlSollzins,8),INDEX(DarlAnschluss,8))</f>
      </c>
      <c r="I3423" s="43">
        <f>IF(INDEX(DarlBelegt,8)=0,0,IF(INDEX(DarlOhneTilgung,8)=1,IF(INDEX(DarlBindung,8)="",1,$G3423),IF($J3423&gt;0.005,1,0)))</f>
      </c>
      <c r="J3423" s="43">
        <f>IF($I3422=0,0,$R3422)</f>
      </c>
      <c r="K3423" s="43">
        <f>IF($I3423=0,0,IF(INDEX(DarlOhneTilgung,8)=1,0,IF(AND(INDEX(DarlTilgStart,8)&gt;0,$E3423=INDEX(DarlTilgStart,8)),$J3423*($H3423+INDEX(DarlTilgung,8))/100/12,IF(AND($G3423=0,$G3422=1),MAX($K3422,$J3423*($H3423+1)/100/12),$K3422))))</f>
      </c>
      <c r="L3423" s="43">
        <f>IF($I3423=0,0,$J3423*$H3423/100/12)</f>
      </c>
      <c r="M3423" s="43">
        <f>IF($I3423=0,0,IF(OR(INDEX(DarlOhneTilgung,8)=1,AND(INDEX(DarlTilgStart,8)&gt;0,$E3423&lt;INDEX(DarlTilgStart,8))),0,MIN(MAX(0,$K3423-$L3423),$J3423)))</f>
      </c>
      <c r="N3423" s="43">
        <f>IF($I3423=0,0,MIN(SUMIFS(SondBetrag,SondDarl,8,SondDatum,"&gt;="&amp;$E3423,SondDatum,"&lt;="&amp;EOMONTH($E3423,0)),$J3423-$M3423))</f>
      </c>
      <c r="O3423" s="43">
        <f>IF($I3423=0,0,INDEX(DarlErsatzRate,8))</f>
      </c>
      <c r="P3423" s="43">
        <f>IF($I3423=0,0,$Q3422*INDEX(DarlErsatzZins,8))</f>
      </c>
      <c r="Q3423" s="43">
        <f>IF($I3423=0,0,$Q3422+$P3423+$O3423)</f>
      </c>
      <c r="R3423" s="43">
        <f>IF($I3423=0,0,$J3423-$M3423-$N3423)</f>
      </c>
    </row>
    <row r="3424">
      <c r="A3424"/>
      <c r="B3424">
        <v>8</v>
      </c>
      <c r="C3424" s="43">
        <f>INDEX(DarlObj,8)</f>
      </c>
      <c r="D3424">
        <v>61</v>
      </c>
      <c r="E3424" s="51">
        <f>IF(INDEX(DarlBelegt,8)=0,0,EOMONTH(INDEX(DarlAuszahlung,8),60)+1)</f>
      </c>
      <c r="F3424" s="43">
        <f>IF($E3424=0,0,YEAR($E3424))</f>
      </c>
      <c r="G3424" s="43">
        <f>IF(INDEX(DarlBindung,8)="",1,IF($E3424&lt;=INDEX(DarlBindung,8),1,0))</f>
      </c>
      <c r="H3424" s="43">
        <f>IF($G3424=1,INDEX(DarlSollzins,8),INDEX(DarlAnschluss,8))</f>
      </c>
      <c r="I3424" s="43">
        <f>IF(INDEX(DarlBelegt,8)=0,0,IF(INDEX(DarlOhneTilgung,8)=1,IF(INDEX(DarlBindung,8)="",1,$G3424),IF($J3424&gt;0.005,1,0)))</f>
      </c>
      <c r="J3424" s="43">
        <f>IF($I3423=0,0,$R3423)</f>
      </c>
      <c r="K3424" s="43">
        <f>IF($I3424=0,0,IF(INDEX(DarlOhneTilgung,8)=1,0,IF(AND(INDEX(DarlTilgStart,8)&gt;0,$E3424=INDEX(DarlTilgStart,8)),$J3424*($H3424+INDEX(DarlTilgung,8))/100/12,IF(AND($G3424=0,$G3423=1),MAX($K3423,$J3424*($H3424+1)/100/12),$K3423))))</f>
      </c>
      <c r="L3424" s="43">
        <f>IF($I3424=0,0,$J3424*$H3424/100/12)</f>
      </c>
      <c r="M3424" s="43">
        <f>IF($I3424=0,0,IF(OR(INDEX(DarlOhneTilgung,8)=1,AND(INDEX(DarlTilgStart,8)&gt;0,$E3424&lt;INDEX(DarlTilgStart,8))),0,MIN(MAX(0,$K3424-$L3424),$J3424)))</f>
      </c>
      <c r="N3424" s="43">
        <f>IF($I3424=0,0,MIN(SUMIFS(SondBetrag,SondDarl,8,SondDatum,"&gt;="&amp;$E3424,SondDatum,"&lt;="&amp;EOMONTH($E3424,0)),$J3424-$M3424))</f>
      </c>
      <c r="O3424" s="43">
        <f>IF($I3424=0,0,INDEX(DarlErsatzRate,8))</f>
      </c>
      <c r="P3424" s="43">
        <f>IF($I3424=0,0,$Q3423*INDEX(DarlErsatzZins,8))</f>
      </c>
      <c r="Q3424" s="43">
        <f>IF($I3424=0,0,$Q3423+$P3424+$O3424)</f>
      </c>
      <c r="R3424" s="43">
        <f>IF($I3424=0,0,$J3424-$M3424-$N3424)</f>
      </c>
    </row>
    <row r="3425">
      <c r="A3425"/>
      <c r="B3425">
        <v>8</v>
      </c>
      <c r="C3425" s="43">
        <f>INDEX(DarlObj,8)</f>
      </c>
      <c r="D3425">
        <v>62</v>
      </c>
      <c r="E3425" s="51">
        <f>IF(INDEX(DarlBelegt,8)=0,0,EOMONTH(INDEX(DarlAuszahlung,8),61)+1)</f>
      </c>
      <c r="F3425" s="43">
        <f>IF($E3425=0,0,YEAR($E3425))</f>
      </c>
      <c r="G3425" s="43">
        <f>IF(INDEX(DarlBindung,8)="",1,IF($E3425&lt;=INDEX(DarlBindung,8),1,0))</f>
      </c>
      <c r="H3425" s="43">
        <f>IF($G3425=1,INDEX(DarlSollzins,8),INDEX(DarlAnschluss,8))</f>
      </c>
      <c r="I3425" s="43">
        <f>IF(INDEX(DarlBelegt,8)=0,0,IF(INDEX(DarlOhneTilgung,8)=1,IF(INDEX(DarlBindung,8)="",1,$G3425),IF($J3425&gt;0.005,1,0)))</f>
      </c>
      <c r="J3425" s="43">
        <f>IF($I3424=0,0,$R3424)</f>
      </c>
      <c r="K3425" s="43">
        <f>IF($I3425=0,0,IF(INDEX(DarlOhneTilgung,8)=1,0,IF(AND(INDEX(DarlTilgStart,8)&gt;0,$E3425=INDEX(DarlTilgStart,8)),$J3425*($H3425+INDEX(DarlTilgung,8))/100/12,IF(AND($G3425=0,$G3424=1),MAX($K3424,$J3425*($H3425+1)/100/12),$K3424))))</f>
      </c>
      <c r="L3425" s="43">
        <f>IF($I3425=0,0,$J3425*$H3425/100/12)</f>
      </c>
      <c r="M3425" s="43">
        <f>IF($I3425=0,0,IF(OR(INDEX(DarlOhneTilgung,8)=1,AND(INDEX(DarlTilgStart,8)&gt;0,$E3425&lt;INDEX(DarlTilgStart,8))),0,MIN(MAX(0,$K3425-$L3425),$J3425)))</f>
      </c>
      <c r="N3425" s="43">
        <f>IF($I3425=0,0,MIN(SUMIFS(SondBetrag,SondDarl,8,SondDatum,"&gt;="&amp;$E3425,SondDatum,"&lt;="&amp;EOMONTH($E3425,0)),$J3425-$M3425))</f>
      </c>
      <c r="O3425" s="43">
        <f>IF($I3425=0,0,INDEX(DarlErsatzRate,8))</f>
      </c>
      <c r="P3425" s="43">
        <f>IF($I3425=0,0,$Q3424*INDEX(DarlErsatzZins,8))</f>
      </c>
      <c r="Q3425" s="43">
        <f>IF($I3425=0,0,$Q3424+$P3425+$O3425)</f>
      </c>
      <c r="R3425" s="43">
        <f>IF($I3425=0,0,$J3425-$M3425-$N3425)</f>
      </c>
    </row>
    <row r="3426">
      <c r="A3426"/>
      <c r="B3426">
        <v>8</v>
      </c>
      <c r="C3426" s="43">
        <f>INDEX(DarlObj,8)</f>
      </c>
      <c r="D3426">
        <v>63</v>
      </c>
      <c r="E3426" s="51">
        <f>IF(INDEX(DarlBelegt,8)=0,0,EOMONTH(INDEX(DarlAuszahlung,8),62)+1)</f>
      </c>
      <c r="F3426" s="43">
        <f>IF($E3426=0,0,YEAR($E3426))</f>
      </c>
      <c r="G3426" s="43">
        <f>IF(INDEX(DarlBindung,8)="",1,IF($E3426&lt;=INDEX(DarlBindung,8),1,0))</f>
      </c>
      <c r="H3426" s="43">
        <f>IF($G3426=1,INDEX(DarlSollzins,8),INDEX(DarlAnschluss,8))</f>
      </c>
      <c r="I3426" s="43">
        <f>IF(INDEX(DarlBelegt,8)=0,0,IF(INDEX(DarlOhneTilgung,8)=1,IF(INDEX(DarlBindung,8)="",1,$G3426),IF($J3426&gt;0.005,1,0)))</f>
      </c>
      <c r="J3426" s="43">
        <f>IF($I3425=0,0,$R3425)</f>
      </c>
      <c r="K3426" s="43">
        <f>IF($I3426=0,0,IF(INDEX(DarlOhneTilgung,8)=1,0,IF(AND(INDEX(DarlTilgStart,8)&gt;0,$E3426=INDEX(DarlTilgStart,8)),$J3426*($H3426+INDEX(DarlTilgung,8))/100/12,IF(AND($G3426=0,$G3425=1),MAX($K3425,$J3426*($H3426+1)/100/12),$K3425))))</f>
      </c>
      <c r="L3426" s="43">
        <f>IF($I3426=0,0,$J3426*$H3426/100/12)</f>
      </c>
      <c r="M3426" s="43">
        <f>IF($I3426=0,0,IF(OR(INDEX(DarlOhneTilgung,8)=1,AND(INDEX(DarlTilgStart,8)&gt;0,$E3426&lt;INDEX(DarlTilgStart,8))),0,MIN(MAX(0,$K3426-$L3426),$J3426)))</f>
      </c>
      <c r="N3426" s="43">
        <f>IF($I3426=0,0,MIN(SUMIFS(SondBetrag,SondDarl,8,SondDatum,"&gt;="&amp;$E3426,SondDatum,"&lt;="&amp;EOMONTH($E3426,0)),$J3426-$M3426))</f>
      </c>
      <c r="O3426" s="43">
        <f>IF($I3426=0,0,INDEX(DarlErsatzRate,8))</f>
      </c>
      <c r="P3426" s="43">
        <f>IF($I3426=0,0,$Q3425*INDEX(DarlErsatzZins,8))</f>
      </c>
      <c r="Q3426" s="43">
        <f>IF($I3426=0,0,$Q3425+$P3426+$O3426)</f>
      </c>
      <c r="R3426" s="43">
        <f>IF($I3426=0,0,$J3426-$M3426-$N3426)</f>
      </c>
    </row>
    <row r="3427">
      <c r="A3427"/>
      <c r="B3427">
        <v>8</v>
      </c>
      <c r="C3427" s="43">
        <f>INDEX(DarlObj,8)</f>
      </c>
      <c r="D3427">
        <v>64</v>
      </c>
      <c r="E3427" s="51">
        <f>IF(INDEX(DarlBelegt,8)=0,0,EOMONTH(INDEX(DarlAuszahlung,8),63)+1)</f>
      </c>
      <c r="F3427" s="43">
        <f>IF($E3427=0,0,YEAR($E3427))</f>
      </c>
      <c r="G3427" s="43">
        <f>IF(INDEX(DarlBindung,8)="",1,IF($E3427&lt;=INDEX(DarlBindung,8),1,0))</f>
      </c>
      <c r="H3427" s="43">
        <f>IF($G3427=1,INDEX(DarlSollzins,8),INDEX(DarlAnschluss,8))</f>
      </c>
      <c r="I3427" s="43">
        <f>IF(INDEX(DarlBelegt,8)=0,0,IF(INDEX(DarlOhneTilgung,8)=1,IF(INDEX(DarlBindung,8)="",1,$G3427),IF($J3427&gt;0.005,1,0)))</f>
      </c>
      <c r="J3427" s="43">
        <f>IF($I3426=0,0,$R3426)</f>
      </c>
      <c r="K3427" s="43">
        <f>IF($I3427=0,0,IF(INDEX(DarlOhneTilgung,8)=1,0,IF(AND(INDEX(DarlTilgStart,8)&gt;0,$E3427=INDEX(DarlTilgStart,8)),$J3427*($H3427+INDEX(DarlTilgung,8))/100/12,IF(AND($G3427=0,$G3426=1),MAX($K3426,$J3427*($H3427+1)/100/12),$K3426))))</f>
      </c>
      <c r="L3427" s="43">
        <f>IF($I3427=0,0,$J3427*$H3427/100/12)</f>
      </c>
      <c r="M3427" s="43">
        <f>IF($I3427=0,0,IF(OR(INDEX(DarlOhneTilgung,8)=1,AND(INDEX(DarlTilgStart,8)&gt;0,$E3427&lt;INDEX(DarlTilgStart,8))),0,MIN(MAX(0,$K3427-$L3427),$J3427)))</f>
      </c>
      <c r="N3427" s="43">
        <f>IF($I3427=0,0,MIN(SUMIFS(SondBetrag,SondDarl,8,SondDatum,"&gt;="&amp;$E3427,SondDatum,"&lt;="&amp;EOMONTH($E3427,0)),$J3427-$M3427))</f>
      </c>
      <c r="O3427" s="43">
        <f>IF($I3427=0,0,INDEX(DarlErsatzRate,8))</f>
      </c>
      <c r="P3427" s="43">
        <f>IF($I3427=0,0,$Q3426*INDEX(DarlErsatzZins,8))</f>
      </c>
      <c r="Q3427" s="43">
        <f>IF($I3427=0,0,$Q3426+$P3427+$O3427)</f>
      </c>
      <c r="R3427" s="43">
        <f>IF($I3427=0,0,$J3427-$M3427-$N3427)</f>
      </c>
    </row>
    <row r="3428">
      <c r="A3428"/>
      <c r="B3428">
        <v>8</v>
      </c>
      <c r="C3428" s="43">
        <f>INDEX(DarlObj,8)</f>
      </c>
      <c r="D3428">
        <v>65</v>
      </c>
      <c r="E3428" s="51">
        <f>IF(INDEX(DarlBelegt,8)=0,0,EOMONTH(INDEX(DarlAuszahlung,8),64)+1)</f>
      </c>
      <c r="F3428" s="43">
        <f>IF($E3428=0,0,YEAR($E3428))</f>
      </c>
      <c r="G3428" s="43">
        <f>IF(INDEX(DarlBindung,8)="",1,IF($E3428&lt;=INDEX(DarlBindung,8),1,0))</f>
      </c>
      <c r="H3428" s="43">
        <f>IF($G3428=1,INDEX(DarlSollzins,8),INDEX(DarlAnschluss,8))</f>
      </c>
      <c r="I3428" s="43">
        <f>IF(INDEX(DarlBelegt,8)=0,0,IF(INDEX(DarlOhneTilgung,8)=1,IF(INDEX(DarlBindung,8)="",1,$G3428),IF($J3428&gt;0.005,1,0)))</f>
      </c>
      <c r="J3428" s="43">
        <f>IF($I3427=0,0,$R3427)</f>
      </c>
      <c r="K3428" s="43">
        <f>IF($I3428=0,0,IF(INDEX(DarlOhneTilgung,8)=1,0,IF(AND(INDEX(DarlTilgStart,8)&gt;0,$E3428=INDEX(DarlTilgStart,8)),$J3428*($H3428+INDEX(DarlTilgung,8))/100/12,IF(AND($G3428=0,$G3427=1),MAX($K3427,$J3428*($H3428+1)/100/12),$K3427))))</f>
      </c>
      <c r="L3428" s="43">
        <f>IF($I3428=0,0,$J3428*$H3428/100/12)</f>
      </c>
      <c r="M3428" s="43">
        <f>IF($I3428=0,0,IF(OR(INDEX(DarlOhneTilgung,8)=1,AND(INDEX(DarlTilgStart,8)&gt;0,$E3428&lt;INDEX(DarlTilgStart,8))),0,MIN(MAX(0,$K3428-$L3428),$J3428)))</f>
      </c>
      <c r="N3428" s="43">
        <f>IF($I3428=0,0,MIN(SUMIFS(SondBetrag,SondDarl,8,SondDatum,"&gt;="&amp;$E3428,SondDatum,"&lt;="&amp;EOMONTH($E3428,0)),$J3428-$M3428))</f>
      </c>
      <c r="O3428" s="43">
        <f>IF($I3428=0,0,INDEX(DarlErsatzRate,8))</f>
      </c>
      <c r="P3428" s="43">
        <f>IF($I3428=0,0,$Q3427*INDEX(DarlErsatzZins,8))</f>
      </c>
      <c r="Q3428" s="43">
        <f>IF($I3428=0,0,$Q3427+$P3428+$O3428)</f>
      </c>
      <c r="R3428" s="43">
        <f>IF($I3428=0,0,$J3428-$M3428-$N3428)</f>
      </c>
    </row>
    <row r="3429">
      <c r="A3429"/>
      <c r="B3429">
        <v>8</v>
      </c>
      <c r="C3429" s="43">
        <f>INDEX(DarlObj,8)</f>
      </c>
      <c r="D3429">
        <v>66</v>
      </c>
      <c r="E3429" s="51">
        <f>IF(INDEX(DarlBelegt,8)=0,0,EOMONTH(INDEX(DarlAuszahlung,8),65)+1)</f>
      </c>
      <c r="F3429" s="43">
        <f>IF($E3429=0,0,YEAR($E3429))</f>
      </c>
      <c r="G3429" s="43">
        <f>IF(INDEX(DarlBindung,8)="",1,IF($E3429&lt;=INDEX(DarlBindung,8),1,0))</f>
      </c>
      <c r="H3429" s="43">
        <f>IF($G3429=1,INDEX(DarlSollzins,8),INDEX(DarlAnschluss,8))</f>
      </c>
      <c r="I3429" s="43">
        <f>IF(INDEX(DarlBelegt,8)=0,0,IF(INDEX(DarlOhneTilgung,8)=1,IF(INDEX(DarlBindung,8)="",1,$G3429),IF($J3429&gt;0.005,1,0)))</f>
      </c>
      <c r="J3429" s="43">
        <f>IF($I3428=0,0,$R3428)</f>
      </c>
      <c r="K3429" s="43">
        <f>IF($I3429=0,0,IF(INDEX(DarlOhneTilgung,8)=1,0,IF(AND(INDEX(DarlTilgStart,8)&gt;0,$E3429=INDEX(DarlTilgStart,8)),$J3429*($H3429+INDEX(DarlTilgung,8))/100/12,IF(AND($G3429=0,$G3428=1),MAX($K3428,$J3429*($H3429+1)/100/12),$K3428))))</f>
      </c>
      <c r="L3429" s="43">
        <f>IF($I3429=0,0,$J3429*$H3429/100/12)</f>
      </c>
      <c r="M3429" s="43">
        <f>IF($I3429=0,0,IF(OR(INDEX(DarlOhneTilgung,8)=1,AND(INDEX(DarlTilgStart,8)&gt;0,$E3429&lt;INDEX(DarlTilgStart,8))),0,MIN(MAX(0,$K3429-$L3429),$J3429)))</f>
      </c>
      <c r="N3429" s="43">
        <f>IF($I3429=0,0,MIN(SUMIFS(SondBetrag,SondDarl,8,SondDatum,"&gt;="&amp;$E3429,SondDatum,"&lt;="&amp;EOMONTH($E3429,0)),$J3429-$M3429))</f>
      </c>
      <c r="O3429" s="43">
        <f>IF($I3429=0,0,INDEX(DarlErsatzRate,8))</f>
      </c>
      <c r="P3429" s="43">
        <f>IF($I3429=0,0,$Q3428*INDEX(DarlErsatzZins,8))</f>
      </c>
      <c r="Q3429" s="43">
        <f>IF($I3429=0,0,$Q3428+$P3429+$O3429)</f>
      </c>
      <c r="R3429" s="43">
        <f>IF($I3429=0,0,$J3429-$M3429-$N3429)</f>
      </c>
    </row>
    <row r="3430">
      <c r="A3430"/>
      <c r="B3430">
        <v>8</v>
      </c>
      <c r="C3430" s="43">
        <f>INDEX(DarlObj,8)</f>
      </c>
      <c r="D3430">
        <v>67</v>
      </c>
      <c r="E3430" s="51">
        <f>IF(INDEX(DarlBelegt,8)=0,0,EOMONTH(INDEX(DarlAuszahlung,8),66)+1)</f>
      </c>
      <c r="F3430" s="43">
        <f>IF($E3430=0,0,YEAR($E3430))</f>
      </c>
      <c r="G3430" s="43">
        <f>IF(INDEX(DarlBindung,8)="",1,IF($E3430&lt;=INDEX(DarlBindung,8),1,0))</f>
      </c>
      <c r="H3430" s="43">
        <f>IF($G3430=1,INDEX(DarlSollzins,8),INDEX(DarlAnschluss,8))</f>
      </c>
      <c r="I3430" s="43">
        <f>IF(INDEX(DarlBelegt,8)=0,0,IF(INDEX(DarlOhneTilgung,8)=1,IF(INDEX(DarlBindung,8)="",1,$G3430),IF($J3430&gt;0.005,1,0)))</f>
      </c>
      <c r="J3430" s="43">
        <f>IF($I3429=0,0,$R3429)</f>
      </c>
      <c r="K3430" s="43">
        <f>IF($I3430=0,0,IF(INDEX(DarlOhneTilgung,8)=1,0,IF(AND(INDEX(DarlTilgStart,8)&gt;0,$E3430=INDEX(DarlTilgStart,8)),$J3430*($H3430+INDEX(DarlTilgung,8))/100/12,IF(AND($G3430=0,$G3429=1),MAX($K3429,$J3430*($H3430+1)/100/12),$K3429))))</f>
      </c>
      <c r="L3430" s="43">
        <f>IF($I3430=0,0,$J3430*$H3430/100/12)</f>
      </c>
      <c r="M3430" s="43">
        <f>IF($I3430=0,0,IF(OR(INDEX(DarlOhneTilgung,8)=1,AND(INDEX(DarlTilgStart,8)&gt;0,$E3430&lt;INDEX(DarlTilgStart,8))),0,MIN(MAX(0,$K3430-$L3430),$J3430)))</f>
      </c>
      <c r="N3430" s="43">
        <f>IF($I3430=0,0,MIN(SUMIFS(SondBetrag,SondDarl,8,SondDatum,"&gt;="&amp;$E3430,SondDatum,"&lt;="&amp;EOMONTH($E3430,0)),$J3430-$M3430))</f>
      </c>
      <c r="O3430" s="43">
        <f>IF($I3430=0,0,INDEX(DarlErsatzRate,8))</f>
      </c>
      <c r="P3430" s="43">
        <f>IF($I3430=0,0,$Q3429*INDEX(DarlErsatzZins,8))</f>
      </c>
      <c r="Q3430" s="43">
        <f>IF($I3430=0,0,$Q3429+$P3430+$O3430)</f>
      </c>
      <c r="R3430" s="43">
        <f>IF($I3430=0,0,$J3430-$M3430-$N3430)</f>
      </c>
    </row>
    <row r="3431">
      <c r="A3431"/>
      <c r="B3431">
        <v>8</v>
      </c>
      <c r="C3431" s="43">
        <f>INDEX(DarlObj,8)</f>
      </c>
      <c r="D3431">
        <v>68</v>
      </c>
      <c r="E3431" s="51">
        <f>IF(INDEX(DarlBelegt,8)=0,0,EOMONTH(INDEX(DarlAuszahlung,8),67)+1)</f>
      </c>
      <c r="F3431" s="43">
        <f>IF($E3431=0,0,YEAR($E3431))</f>
      </c>
      <c r="G3431" s="43">
        <f>IF(INDEX(DarlBindung,8)="",1,IF($E3431&lt;=INDEX(DarlBindung,8),1,0))</f>
      </c>
      <c r="H3431" s="43">
        <f>IF($G3431=1,INDEX(DarlSollzins,8),INDEX(DarlAnschluss,8))</f>
      </c>
      <c r="I3431" s="43">
        <f>IF(INDEX(DarlBelegt,8)=0,0,IF(INDEX(DarlOhneTilgung,8)=1,IF(INDEX(DarlBindung,8)="",1,$G3431),IF($J3431&gt;0.005,1,0)))</f>
      </c>
      <c r="J3431" s="43">
        <f>IF($I3430=0,0,$R3430)</f>
      </c>
      <c r="K3431" s="43">
        <f>IF($I3431=0,0,IF(INDEX(DarlOhneTilgung,8)=1,0,IF(AND(INDEX(DarlTilgStart,8)&gt;0,$E3431=INDEX(DarlTilgStart,8)),$J3431*($H3431+INDEX(DarlTilgung,8))/100/12,IF(AND($G3431=0,$G3430=1),MAX($K3430,$J3431*($H3431+1)/100/12),$K3430))))</f>
      </c>
      <c r="L3431" s="43">
        <f>IF($I3431=0,0,$J3431*$H3431/100/12)</f>
      </c>
      <c r="M3431" s="43">
        <f>IF($I3431=0,0,IF(OR(INDEX(DarlOhneTilgung,8)=1,AND(INDEX(DarlTilgStart,8)&gt;0,$E3431&lt;INDEX(DarlTilgStart,8))),0,MIN(MAX(0,$K3431-$L3431),$J3431)))</f>
      </c>
      <c r="N3431" s="43">
        <f>IF($I3431=0,0,MIN(SUMIFS(SondBetrag,SondDarl,8,SondDatum,"&gt;="&amp;$E3431,SondDatum,"&lt;="&amp;EOMONTH($E3431,0)),$J3431-$M3431))</f>
      </c>
      <c r="O3431" s="43">
        <f>IF($I3431=0,0,INDEX(DarlErsatzRate,8))</f>
      </c>
      <c r="P3431" s="43">
        <f>IF($I3431=0,0,$Q3430*INDEX(DarlErsatzZins,8))</f>
      </c>
      <c r="Q3431" s="43">
        <f>IF($I3431=0,0,$Q3430+$P3431+$O3431)</f>
      </c>
      <c r="R3431" s="43">
        <f>IF($I3431=0,0,$J3431-$M3431-$N3431)</f>
      </c>
    </row>
    <row r="3432">
      <c r="A3432"/>
      <c r="B3432">
        <v>8</v>
      </c>
      <c r="C3432" s="43">
        <f>INDEX(DarlObj,8)</f>
      </c>
      <c r="D3432">
        <v>69</v>
      </c>
      <c r="E3432" s="51">
        <f>IF(INDEX(DarlBelegt,8)=0,0,EOMONTH(INDEX(DarlAuszahlung,8),68)+1)</f>
      </c>
      <c r="F3432" s="43">
        <f>IF($E3432=0,0,YEAR($E3432))</f>
      </c>
      <c r="G3432" s="43">
        <f>IF(INDEX(DarlBindung,8)="",1,IF($E3432&lt;=INDEX(DarlBindung,8),1,0))</f>
      </c>
      <c r="H3432" s="43">
        <f>IF($G3432=1,INDEX(DarlSollzins,8),INDEX(DarlAnschluss,8))</f>
      </c>
      <c r="I3432" s="43">
        <f>IF(INDEX(DarlBelegt,8)=0,0,IF(INDEX(DarlOhneTilgung,8)=1,IF(INDEX(DarlBindung,8)="",1,$G3432),IF($J3432&gt;0.005,1,0)))</f>
      </c>
      <c r="J3432" s="43">
        <f>IF($I3431=0,0,$R3431)</f>
      </c>
      <c r="K3432" s="43">
        <f>IF($I3432=0,0,IF(INDEX(DarlOhneTilgung,8)=1,0,IF(AND(INDEX(DarlTilgStart,8)&gt;0,$E3432=INDEX(DarlTilgStart,8)),$J3432*($H3432+INDEX(DarlTilgung,8))/100/12,IF(AND($G3432=0,$G3431=1),MAX($K3431,$J3432*($H3432+1)/100/12),$K3431))))</f>
      </c>
      <c r="L3432" s="43">
        <f>IF($I3432=0,0,$J3432*$H3432/100/12)</f>
      </c>
      <c r="M3432" s="43">
        <f>IF($I3432=0,0,IF(OR(INDEX(DarlOhneTilgung,8)=1,AND(INDEX(DarlTilgStart,8)&gt;0,$E3432&lt;INDEX(DarlTilgStart,8))),0,MIN(MAX(0,$K3432-$L3432),$J3432)))</f>
      </c>
      <c r="N3432" s="43">
        <f>IF($I3432=0,0,MIN(SUMIFS(SondBetrag,SondDarl,8,SondDatum,"&gt;="&amp;$E3432,SondDatum,"&lt;="&amp;EOMONTH($E3432,0)),$J3432-$M3432))</f>
      </c>
      <c r="O3432" s="43">
        <f>IF($I3432=0,0,INDEX(DarlErsatzRate,8))</f>
      </c>
      <c r="P3432" s="43">
        <f>IF($I3432=0,0,$Q3431*INDEX(DarlErsatzZins,8))</f>
      </c>
      <c r="Q3432" s="43">
        <f>IF($I3432=0,0,$Q3431+$P3432+$O3432)</f>
      </c>
      <c r="R3432" s="43">
        <f>IF($I3432=0,0,$J3432-$M3432-$N3432)</f>
      </c>
    </row>
    <row r="3433">
      <c r="A3433"/>
      <c r="B3433">
        <v>8</v>
      </c>
      <c r="C3433" s="43">
        <f>INDEX(DarlObj,8)</f>
      </c>
      <c r="D3433">
        <v>70</v>
      </c>
      <c r="E3433" s="51">
        <f>IF(INDEX(DarlBelegt,8)=0,0,EOMONTH(INDEX(DarlAuszahlung,8),69)+1)</f>
      </c>
      <c r="F3433" s="43">
        <f>IF($E3433=0,0,YEAR($E3433))</f>
      </c>
      <c r="G3433" s="43">
        <f>IF(INDEX(DarlBindung,8)="",1,IF($E3433&lt;=INDEX(DarlBindung,8),1,0))</f>
      </c>
      <c r="H3433" s="43">
        <f>IF($G3433=1,INDEX(DarlSollzins,8),INDEX(DarlAnschluss,8))</f>
      </c>
      <c r="I3433" s="43">
        <f>IF(INDEX(DarlBelegt,8)=0,0,IF(INDEX(DarlOhneTilgung,8)=1,IF(INDEX(DarlBindung,8)="",1,$G3433),IF($J3433&gt;0.005,1,0)))</f>
      </c>
      <c r="J3433" s="43">
        <f>IF($I3432=0,0,$R3432)</f>
      </c>
      <c r="K3433" s="43">
        <f>IF($I3433=0,0,IF(INDEX(DarlOhneTilgung,8)=1,0,IF(AND(INDEX(DarlTilgStart,8)&gt;0,$E3433=INDEX(DarlTilgStart,8)),$J3433*($H3433+INDEX(DarlTilgung,8))/100/12,IF(AND($G3433=0,$G3432=1),MAX($K3432,$J3433*($H3433+1)/100/12),$K3432))))</f>
      </c>
      <c r="L3433" s="43">
        <f>IF($I3433=0,0,$J3433*$H3433/100/12)</f>
      </c>
      <c r="M3433" s="43">
        <f>IF($I3433=0,0,IF(OR(INDEX(DarlOhneTilgung,8)=1,AND(INDEX(DarlTilgStart,8)&gt;0,$E3433&lt;INDEX(DarlTilgStart,8))),0,MIN(MAX(0,$K3433-$L3433),$J3433)))</f>
      </c>
      <c r="N3433" s="43">
        <f>IF($I3433=0,0,MIN(SUMIFS(SondBetrag,SondDarl,8,SondDatum,"&gt;="&amp;$E3433,SondDatum,"&lt;="&amp;EOMONTH($E3433,0)),$J3433-$M3433))</f>
      </c>
      <c r="O3433" s="43">
        <f>IF($I3433=0,0,INDEX(DarlErsatzRate,8))</f>
      </c>
      <c r="P3433" s="43">
        <f>IF($I3433=0,0,$Q3432*INDEX(DarlErsatzZins,8))</f>
      </c>
      <c r="Q3433" s="43">
        <f>IF($I3433=0,0,$Q3432+$P3433+$O3433)</f>
      </c>
      <c r="R3433" s="43">
        <f>IF($I3433=0,0,$J3433-$M3433-$N3433)</f>
      </c>
    </row>
    <row r="3434">
      <c r="A3434"/>
      <c r="B3434">
        <v>8</v>
      </c>
      <c r="C3434" s="43">
        <f>INDEX(DarlObj,8)</f>
      </c>
      <c r="D3434">
        <v>71</v>
      </c>
      <c r="E3434" s="51">
        <f>IF(INDEX(DarlBelegt,8)=0,0,EOMONTH(INDEX(DarlAuszahlung,8),70)+1)</f>
      </c>
      <c r="F3434" s="43">
        <f>IF($E3434=0,0,YEAR($E3434))</f>
      </c>
      <c r="G3434" s="43">
        <f>IF(INDEX(DarlBindung,8)="",1,IF($E3434&lt;=INDEX(DarlBindung,8),1,0))</f>
      </c>
      <c r="H3434" s="43">
        <f>IF($G3434=1,INDEX(DarlSollzins,8),INDEX(DarlAnschluss,8))</f>
      </c>
      <c r="I3434" s="43">
        <f>IF(INDEX(DarlBelegt,8)=0,0,IF(INDEX(DarlOhneTilgung,8)=1,IF(INDEX(DarlBindung,8)="",1,$G3434),IF($J3434&gt;0.005,1,0)))</f>
      </c>
      <c r="J3434" s="43">
        <f>IF($I3433=0,0,$R3433)</f>
      </c>
      <c r="K3434" s="43">
        <f>IF($I3434=0,0,IF(INDEX(DarlOhneTilgung,8)=1,0,IF(AND(INDEX(DarlTilgStart,8)&gt;0,$E3434=INDEX(DarlTilgStart,8)),$J3434*($H3434+INDEX(DarlTilgung,8))/100/12,IF(AND($G3434=0,$G3433=1),MAX($K3433,$J3434*($H3434+1)/100/12),$K3433))))</f>
      </c>
      <c r="L3434" s="43">
        <f>IF($I3434=0,0,$J3434*$H3434/100/12)</f>
      </c>
      <c r="M3434" s="43">
        <f>IF($I3434=0,0,IF(OR(INDEX(DarlOhneTilgung,8)=1,AND(INDEX(DarlTilgStart,8)&gt;0,$E3434&lt;INDEX(DarlTilgStart,8))),0,MIN(MAX(0,$K3434-$L3434),$J3434)))</f>
      </c>
      <c r="N3434" s="43">
        <f>IF($I3434=0,0,MIN(SUMIFS(SondBetrag,SondDarl,8,SondDatum,"&gt;="&amp;$E3434,SondDatum,"&lt;="&amp;EOMONTH($E3434,0)),$J3434-$M3434))</f>
      </c>
      <c r="O3434" s="43">
        <f>IF($I3434=0,0,INDEX(DarlErsatzRate,8))</f>
      </c>
      <c r="P3434" s="43">
        <f>IF($I3434=0,0,$Q3433*INDEX(DarlErsatzZins,8))</f>
      </c>
      <c r="Q3434" s="43">
        <f>IF($I3434=0,0,$Q3433+$P3434+$O3434)</f>
      </c>
      <c r="R3434" s="43">
        <f>IF($I3434=0,0,$J3434-$M3434-$N3434)</f>
      </c>
    </row>
    <row r="3435">
      <c r="A3435"/>
      <c r="B3435">
        <v>8</v>
      </c>
      <c r="C3435" s="43">
        <f>INDEX(DarlObj,8)</f>
      </c>
      <c r="D3435">
        <v>72</v>
      </c>
      <c r="E3435" s="51">
        <f>IF(INDEX(DarlBelegt,8)=0,0,EOMONTH(INDEX(DarlAuszahlung,8),71)+1)</f>
      </c>
      <c r="F3435" s="43">
        <f>IF($E3435=0,0,YEAR($E3435))</f>
      </c>
      <c r="G3435" s="43">
        <f>IF(INDEX(DarlBindung,8)="",1,IF($E3435&lt;=INDEX(DarlBindung,8),1,0))</f>
      </c>
      <c r="H3435" s="43">
        <f>IF($G3435=1,INDEX(DarlSollzins,8),INDEX(DarlAnschluss,8))</f>
      </c>
      <c r="I3435" s="43">
        <f>IF(INDEX(DarlBelegt,8)=0,0,IF(INDEX(DarlOhneTilgung,8)=1,IF(INDEX(DarlBindung,8)="",1,$G3435),IF($J3435&gt;0.005,1,0)))</f>
      </c>
      <c r="J3435" s="43">
        <f>IF($I3434=0,0,$R3434)</f>
      </c>
      <c r="K3435" s="43">
        <f>IF($I3435=0,0,IF(INDEX(DarlOhneTilgung,8)=1,0,IF(AND(INDEX(DarlTilgStart,8)&gt;0,$E3435=INDEX(DarlTilgStart,8)),$J3435*($H3435+INDEX(DarlTilgung,8))/100/12,IF(AND($G3435=0,$G3434=1),MAX($K3434,$J3435*($H3435+1)/100/12),$K3434))))</f>
      </c>
      <c r="L3435" s="43">
        <f>IF($I3435=0,0,$J3435*$H3435/100/12)</f>
      </c>
      <c r="M3435" s="43">
        <f>IF($I3435=0,0,IF(OR(INDEX(DarlOhneTilgung,8)=1,AND(INDEX(DarlTilgStart,8)&gt;0,$E3435&lt;INDEX(DarlTilgStart,8))),0,MIN(MAX(0,$K3435-$L3435),$J3435)))</f>
      </c>
      <c r="N3435" s="43">
        <f>IF($I3435=0,0,MIN(SUMIFS(SondBetrag,SondDarl,8,SondDatum,"&gt;="&amp;$E3435,SondDatum,"&lt;="&amp;EOMONTH($E3435,0)),$J3435-$M3435))</f>
      </c>
      <c r="O3435" s="43">
        <f>IF($I3435=0,0,INDEX(DarlErsatzRate,8))</f>
      </c>
      <c r="P3435" s="43">
        <f>IF($I3435=0,0,$Q3434*INDEX(DarlErsatzZins,8))</f>
      </c>
      <c r="Q3435" s="43">
        <f>IF($I3435=0,0,$Q3434+$P3435+$O3435)</f>
      </c>
      <c r="R3435" s="43">
        <f>IF($I3435=0,0,$J3435-$M3435-$N3435)</f>
      </c>
    </row>
    <row r="3436">
      <c r="A3436"/>
      <c r="B3436">
        <v>8</v>
      </c>
      <c r="C3436" s="43">
        <f>INDEX(DarlObj,8)</f>
      </c>
      <c r="D3436">
        <v>73</v>
      </c>
      <c r="E3436" s="51">
        <f>IF(INDEX(DarlBelegt,8)=0,0,EOMONTH(INDEX(DarlAuszahlung,8),72)+1)</f>
      </c>
      <c r="F3436" s="43">
        <f>IF($E3436=0,0,YEAR($E3436))</f>
      </c>
      <c r="G3436" s="43">
        <f>IF(INDEX(DarlBindung,8)="",1,IF($E3436&lt;=INDEX(DarlBindung,8),1,0))</f>
      </c>
      <c r="H3436" s="43">
        <f>IF($G3436=1,INDEX(DarlSollzins,8),INDEX(DarlAnschluss,8))</f>
      </c>
      <c r="I3436" s="43">
        <f>IF(INDEX(DarlBelegt,8)=0,0,IF(INDEX(DarlOhneTilgung,8)=1,IF(INDEX(DarlBindung,8)="",1,$G3436),IF($J3436&gt;0.005,1,0)))</f>
      </c>
      <c r="J3436" s="43">
        <f>IF($I3435=0,0,$R3435)</f>
      </c>
      <c r="K3436" s="43">
        <f>IF($I3436=0,0,IF(INDEX(DarlOhneTilgung,8)=1,0,IF(AND(INDEX(DarlTilgStart,8)&gt;0,$E3436=INDEX(DarlTilgStart,8)),$J3436*($H3436+INDEX(DarlTilgung,8))/100/12,IF(AND($G3436=0,$G3435=1),MAX($K3435,$J3436*($H3436+1)/100/12),$K3435))))</f>
      </c>
      <c r="L3436" s="43">
        <f>IF($I3436=0,0,$J3436*$H3436/100/12)</f>
      </c>
      <c r="M3436" s="43">
        <f>IF($I3436=0,0,IF(OR(INDEX(DarlOhneTilgung,8)=1,AND(INDEX(DarlTilgStart,8)&gt;0,$E3436&lt;INDEX(DarlTilgStart,8))),0,MIN(MAX(0,$K3436-$L3436),$J3436)))</f>
      </c>
      <c r="N3436" s="43">
        <f>IF($I3436=0,0,MIN(SUMIFS(SondBetrag,SondDarl,8,SondDatum,"&gt;="&amp;$E3436,SondDatum,"&lt;="&amp;EOMONTH($E3436,0)),$J3436-$M3436))</f>
      </c>
      <c r="O3436" s="43">
        <f>IF($I3436=0,0,INDEX(DarlErsatzRate,8))</f>
      </c>
      <c r="P3436" s="43">
        <f>IF($I3436=0,0,$Q3435*INDEX(DarlErsatzZins,8))</f>
      </c>
      <c r="Q3436" s="43">
        <f>IF($I3436=0,0,$Q3435+$P3436+$O3436)</f>
      </c>
      <c r="R3436" s="43">
        <f>IF($I3436=0,0,$J3436-$M3436-$N3436)</f>
      </c>
    </row>
    <row r="3437">
      <c r="A3437"/>
      <c r="B3437">
        <v>8</v>
      </c>
      <c r="C3437" s="43">
        <f>INDEX(DarlObj,8)</f>
      </c>
      <c r="D3437">
        <v>74</v>
      </c>
      <c r="E3437" s="51">
        <f>IF(INDEX(DarlBelegt,8)=0,0,EOMONTH(INDEX(DarlAuszahlung,8),73)+1)</f>
      </c>
      <c r="F3437" s="43">
        <f>IF($E3437=0,0,YEAR($E3437))</f>
      </c>
      <c r="G3437" s="43">
        <f>IF(INDEX(DarlBindung,8)="",1,IF($E3437&lt;=INDEX(DarlBindung,8),1,0))</f>
      </c>
      <c r="H3437" s="43">
        <f>IF($G3437=1,INDEX(DarlSollzins,8),INDEX(DarlAnschluss,8))</f>
      </c>
      <c r="I3437" s="43">
        <f>IF(INDEX(DarlBelegt,8)=0,0,IF(INDEX(DarlOhneTilgung,8)=1,IF(INDEX(DarlBindung,8)="",1,$G3437),IF($J3437&gt;0.005,1,0)))</f>
      </c>
      <c r="J3437" s="43">
        <f>IF($I3436=0,0,$R3436)</f>
      </c>
      <c r="K3437" s="43">
        <f>IF($I3437=0,0,IF(INDEX(DarlOhneTilgung,8)=1,0,IF(AND(INDEX(DarlTilgStart,8)&gt;0,$E3437=INDEX(DarlTilgStart,8)),$J3437*($H3437+INDEX(DarlTilgung,8))/100/12,IF(AND($G3437=0,$G3436=1),MAX($K3436,$J3437*($H3437+1)/100/12),$K3436))))</f>
      </c>
      <c r="L3437" s="43">
        <f>IF($I3437=0,0,$J3437*$H3437/100/12)</f>
      </c>
      <c r="M3437" s="43">
        <f>IF($I3437=0,0,IF(OR(INDEX(DarlOhneTilgung,8)=1,AND(INDEX(DarlTilgStart,8)&gt;0,$E3437&lt;INDEX(DarlTilgStart,8))),0,MIN(MAX(0,$K3437-$L3437),$J3437)))</f>
      </c>
      <c r="N3437" s="43">
        <f>IF($I3437=0,0,MIN(SUMIFS(SondBetrag,SondDarl,8,SondDatum,"&gt;="&amp;$E3437,SondDatum,"&lt;="&amp;EOMONTH($E3437,0)),$J3437-$M3437))</f>
      </c>
      <c r="O3437" s="43">
        <f>IF($I3437=0,0,INDEX(DarlErsatzRate,8))</f>
      </c>
      <c r="P3437" s="43">
        <f>IF($I3437=0,0,$Q3436*INDEX(DarlErsatzZins,8))</f>
      </c>
      <c r="Q3437" s="43">
        <f>IF($I3437=0,0,$Q3436+$P3437+$O3437)</f>
      </c>
      <c r="R3437" s="43">
        <f>IF($I3437=0,0,$J3437-$M3437-$N3437)</f>
      </c>
    </row>
    <row r="3438">
      <c r="A3438"/>
      <c r="B3438">
        <v>8</v>
      </c>
      <c r="C3438" s="43">
        <f>INDEX(DarlObj,8)</f>
      </c>
      <c r="D3438">
        <v>75</v>
      </c>
      <c r="E3438" s="51">
        <f>IF(INDEX(DarlBelegt,8)=0,0,EOMONTH(INDEX(DarlAuszahlung,8),74)+1)</f>
      </c>
      <c r="F3438" s="43">
        <f>IF($E3438=0,0,YEAR($E3438))</f>
      </c>
      <c r="G3438" s="43">
        <f>IF(INDEX(DarlBindung,8)="",1,IF($E3438&lt;=INDEX(DarlBindung,8),1,0))</f>
      </c>
      <c r="H3438" s="43">
        <f>IF($G3438=1,INDEX(DarlSollzins,8),INDEX(DarlAnschluss,8))</f>
      </c>
      <c r="I3438" s="43">
        <f>IF(INDEX(DarlBelegt,8)=0,0,IF(INDEX(DarlOhneTilgung,8)=1,IF(INDEX(DarlBindung,8)="",1,$G3438),IF($J3438&gt;0.005,1,0)))</f>
      </c>
      <c r="J3438" s="43">
        <f>IF($I3437=0,0,$R3437)</f>
      </c>
      <c r="K3438" s="43">
        <f>IF($I3438=0,0,IF(INDEX(DarlOhneTilgung,8)=1,0,IF(AND(INDEX(DarlTilgStart,8)&gt;0,$E3438=INDEX(DarlTilgStart,8)),$J3438*($H3438+INDEX(DarlTilgung,8))/100/12,IF(AND($G3438=0,$G3437=1),MAX($K3437,$J3438*($H3438+1)/100/12),$K3437))))</f>
      </c>
      <c r="L3438" s="43">
        <f>IF($I3438=0,0,$J3438*$H3438/100/12)</f>
      </c>
      <c r="M3438" s="43">
        <f>IF($I3438=0,0,IF(OR(INDEX(DarlOhneTilgung,8)=1,AND(INDEX(DarlTilgStart,8)&gt;0,$E3438&lt;INDEX(DarlTilgStart,8))),0,MIN(MAX(0,$K3438-$L3438),$J3438)))</f>
      </c>
      <c r="N3438" s="43">
        <f>IF($I3438=0,0,MIN(SUMIFS(SondBetrag,SondDarl,8,SondDatum,"&gt;="&amp;$E3438,SondDatum,"&lt;="&amp;EOMONTH($E3438,0)),$J3438-$M3438))</f>
      </c>
      <c r="O3438" s="43">
        <f>IF($I3438=0,0,INDEX(DarlErsatzRate,8))</f>
      </c>
      <c r="P3438" s="43">
        <f>IF($I3438=0,0,$Q3437*INDEX(DarlErsatzZins,8))</f>
      </c>
      <c r="Q3438" s="43">
        <f>IF($I3438=0,0,$Q3437+$P3438+$O3438)</f>
      </c>
      <c r="R3438" s="43">
        <f>IF($I3438=0,0,$J3438-$M3438-$N3438)</f>
      </c>
    </row>
    <row r="3439">
      <c r="A3439"/>
      <c r="B3439">
        <v>8</v>
      </c>
      <c r="C3439" s="43">
        <f>INDEX(DarlObj,8)</f>
      </c>
      <c r="D3439">
        <v>76</v>
      </c>
      <c r="E3439" s="51">
        <f>IF(INDEX(DarlBelegt,8)=0,0,EOMONTH(INDEX(DarlAuszahlung,8),75)+1)</f>
      </c>
      <c r="F3439" s="43">
        <f>IF($E3439=0,0,YEAR($E3439))</f>
      </c>
      <c r="G3439" s="43">
        <f>IF(INDEX(DarlBindung,8)="",1,IF($E3439&lt;=INDEX(DarlBindung,8),1,0))</f>
      </c>
      <c r="H3439" s="43">
        <f>IF($G3439=1,INDEX(DarlSollzins,8),INDEX(DarlAnschluss,8))</f>
      </c>
      <c r="I3439" s="43">
        <f>IF(INDEX(DarlBelegt,8)=0,0,IF(INDEX(DarlOhneTilgung,8)=1,IF(INDEX(DarlBindung,8)="",1,$G3439),IF($J3439&gt;0.005,1,0)))</f>
      </c>
      <c r="J3439" s="43">
        <f>IF($I3438=0,0,$R3438)</f>
      </c>
      <c r="K3439" s="43">
        <f>IF($I3439=0,0,IF(INDEX(DarlOhneTilgung,8)=1,0,IF(AND(INDEX(DarlTilgStart,8)&gt;0,$E3439=INDEX(DarlTilgStart,8)),$J3439*($H3439+INDEX(DarlTilgung,8))/100/12,IF(AND($G3439=0,$G3438=1),MAX($K3438,$J3439*($H3439+1)/100/12),$K3438))))</f>
      </c>
      <c r="L3439" s="43">
        <f>IF($I3439=0,0,$J3439*$H3439/100/12)</f>
      </c>
      <c r="M3439" s="43">
        <f>IF($I3439=0,0,IF(OR(INDEX(DarlOhneTilgung,8)=1,AND(INDEX(DarlTilgStart,8)&gt;0,$E3439&lt;INDEX(DarlTilgStart,8))),0,MIN(MAX(0,$K3439-$L3439),$J3439)))</f>
      </c>
      <c r="N3439" s="43">
        <f>IF($I3439=0,0,MIN(SUMIFS(SondBetrag,SondDarl,8,SondDatum,"&gt;="&amp;$E3439,SondDatum,"&lt;="&amp;EOMONTH($E3439,0)),$J3439-$M3439))</f>
      </c>
      <c r="O3439" s="43">
        <f>IF($I3439=0,0,INDEX(DarlErsatzRate,8))</f>
      </c>
      <c r="P3439" s="43">
        <f>IF($I3439=0,0,$Q3438*INDEX(DarlErsatzZins,8))</f>
      </c>
      <c r="Q3439" s="43">
        <f>IF($I3439=0,0,$Q3438+$P3439+$O3439)</f>
      </c>
      <c r="R3439" s="43">
        <f>IF($I3439=0,0,$J3439-$M3439-$N3439)</f>
      </c>
    </row>
    <row r="3440">
      <c r="A3440"/>
      <c r="B3440">
        <v>8</v>
      </c>
      <c r="C3440" s="43">
        <f>INDEX(DarlObj,8)</f>
      </c>
      <c r="D3440">
        <v>77</v>
      </c>
      <c r="E3440" s="51">
        <f>IF(INDEX(DarlBelegt,8)=0,0,EOMONTH(INDEX(DarlAuszahlung,8),76)+1)</f>
      </c>
      <c r="F3440" s="43">
        <f>IF($E3440=0,0,YEAR($E3440))</f>
      </c>
      <c r="G3440" s="43">
        <f>IF(INDEX(DarlBindung,8)="",1,IF($E3440&lt;=INDEX(DarlBindung,8),1,0))</f>
      </c>
      <c r="H3440" s="43">
        <f>IF($G3440=1,INDEX(DarlSollzins,8),INDEX(DarlAnschluss,8))</f>
      </c>
      <c r="I3440" s="43">
        <f>IF(INDEX(DarlBelegt,8)=0,0,IF(INDEX(DarlOhneTilgung,8)=1,IF(INDEX(DarlBindung,8)="",1,$G3440),IF($J3440&gt;0.005,1,0)))</f>
      </c>
      <c r="J3440" s="43">
        <f>IF($I3439=0,0,$R3439)</f>
      </c>
      <c r="K3440" s="43">
        <f>IF($I3440=0,0,IF(INDEX(DarlOhneTilgung,8)=1,0,IF(AND(INDEX(DarlTilgStart,8)&gt;0,$E3440=INDEX(DarlTilgStart,8)),$J3440*($H3440+INDEX(DarlTilgung,8))/100/12,IF(AND($G3440=0,$G3439=1),MAX($K3439,$J3440*($H3440+1)/100/12),$K3439))))</f>
      </c>
      <c r="L3440" s="43">
        <f>IF($I3440=0,0,$J3440*$H3440/100/12)</f>
      </c>
      <c r="M3440" s="43">
        <f>IF($I3440=0,0,IF(OR(INDEX(DarlOhneTilgung,8)=1,AND(INDEX(DarlTilgStart,8)&gt;0,$E3440&lt;INDEX(DarlTilgStart,8))),0,MIN(MAX(0,$K3440-$L3440),$J3440)))</f>
      </c>
      <c r="N3440" s="43">
        <f>IF($I3440=0,0,MIN(SUMIFS(SondBetrag,SondDarl,8,SondDatum,"&gt;="&amp;$E3440,SondDatum,"&lt;="&amp;EOMONTH($E3440,0)),$J3440-$M3440))</f>
      </c>
      <c r="O3440" s="43">
        <f>IF($I3440=0,0,INDEX(DarlErsatzRate,8))</f>
      </c>
      <c r="P3440" s="43">
        <f>IF($I3440=0,0,$Q3439*INDEX(DarlErsatzZins,8))</f>
      </c>
      <c r="Q3440" s="43">
        <f>IF($I3440=0,0,$Q3439+$P3440+$O3440)</f>
      </c>
      <c r="R3440" s="43">
        <f>IF($I3440=0,0,$J3440-$M3440-$N3440)</f>
      </c>
    </row>
    <row r="3441">
      <c r="A3441"/>
      <c r="B3441">
        <v>8</v>
      </c>
      <c r="C3441" s="43">
        <f>INDEX(DarlObj,8)</f>
      </c>
      <c r="D3441">
        <v>78</v>
      </c>
      <c r="E3441" s="51">
        <f>IF(INDEX(DarlBelegt,8)=0,0,EOMONTH(INDEX(DarlAuszahlung,8),77)+1)</f>
      </c>
      <c r="F3441" s="43">
        <f>IF($E3441=0,0,YEAR($E3441))</f>
      </c>
      <c r="G3441" s="43">
        <f>IF(INDEX(DarlBindung,8)="",1,IF($E3441&lt;=INDEX(DarlBindung,8),1,0))</f>
      </c>
      <c r="H3441" s="43">
        <f>IF($G3441=1,INDEX(DarlSollzins,8),INDEX(DarlAnschluss,8))</f>
      </c>
      <c r="I3441" s="43">
        <f>IF(INDEX(DarlBelegt,8)=0,0,IF(INDEX(DarlOhneTilgung,8)=1,IF(INDEX(DarlBindung,8)="",1,$G3441),IF($J3441&gt;0.005,1,0)))</f>
      </c>
      <c r="J3441" s="43">
        <f>IF($I3440=0,0,$R3440)</f>
      </c>
      <c r="K3441" s="43">
        <f>IF($I3441=0,0,IF(INDEX(DarlOhneTilgung,8)=1,0,IF(AND(INDEX(DarlTilgStart,8)&gt;0,$E3441=INDEX(DarlTilgStart,8)),$J3441*($H3441+INDEX(DarlTilgung,8))/100/12,IF(AND($G3441=0,$G3440=1),MAX($K3440,$J3441*($H3441+1)/100/12),$K3440))))</f>
      </c>
      <c r="L3441" s="43">
        <f>IF($I3441=0,0,$J3441*$H3441/100/12)</f>
      </c>
      <c r="M3441" s="43">
        <f>IF($I3441=0,0,IF(OR(INDEX(DarlOhneTilgung,8)=1,AND(INDEX(DarlTilgStart,8)&gt;0,$E3441&lt;INDEX(DarlTilgStart,8))),0,MIN(MAX(0,$K3441-$L3441),$J3441)))</f>
      </c>
      <c r="N3441" s="43">
        <f>IF($I3441=0,0,MIN(SUMIFS(SondBetrag,SondDarl,8,SondDatum,"&gt;="&amp;$E3441,SondDatum,"&lt;="&amp;EOMONTH($E3441,0)),$J3441-$M3441))</f>
      </c>
      <c r="O3441" s="43">
        <f>IF($I3441=0,0,INDEX(DarlErsatzRate,8))</f>
      </c>
      <c r="P3441" s="43">
        <f>IF($I3441=0,0,$Q3440*INDEX(DarlErsatzZins,8))</f>
      </c>
      <c r="Q3441" s="43">
        <f>IF($I3441=0,0,$Q3440+$P3441+$O3441)</f>
      </c>
      <c r="R3441" s="43">
        <f>IF($I3441=0,0,$J3441-$M3441-$N3441)</f>
      </c>
    </row>
    <row r="3442">
      <c r="A3442"/>
      <c r="B3442">
        <v>8</v>
      </c>
      <c r="C3442" s="43">
        <f>INDEX(DarlObj,8)</f>
      </c>
      <c r="D3442">
        <v>79</v>
      </c>
      <c r="E3442" s="51">
        <f>IF(INDEX(DarlBelegt,8)=0,0,EOMONTH(INDEX(DarlAuszahlung,8),78)+1)</f>
      </c>
      <c r="F3442" s="43">
        <f>IF($E3442=0,0,YEAR($E3442))</f>
      </c>
      <c r="G3442" s="43">
        <f>IF(INDEX(DarlBindung,8)="",1,IF($E3442&lt;=INDEX(DarlBindung,8),1,0))</f>
      </c>
      <c r="H3442" s="43">
        <f>IF($G3442=1,INDEX(DarlSollzins,8),INDEX(DarlAnschluss,8))</f>
      </c>
      <c r="I3442" s="43">
        <f>IF(INDEX(DarlBelegt,8)=0,0,IF(INDEX(DarlOhneTilgung,8)=1,IF(INDEX(DarlBindung,8)="",1,$G3442),IF($J3442&gt;0.005,1,0)))</f>
      </c>
      <c r="J3442" s="43">
        <f>IF($I3441=0,0,$R3441)</f>
      </c>
      <c r="K3442" s="43">
        <f>IF($I3442=0,0,IF(INDEX(DarlOhneTilgung,8)=1,0,IF(AND(INDEX(DarlTilgStart,8)&gt;0,$E3442=INDEX(DarlTilgStart,8)),$J3442*($H3442+INDEX(DarlTilgung,8))/100/12,IF(AND($G3442=0,$G3441=1),MAX($K3441,$J3442*($H3442+1)/100/12),$K3441))))</f>
      </c>
      <c r="L3442" s="43">
        <f>IF($I3442=0,0,$J3442*$H3442/100/12)</f>
      </c>
      <c r="M3442" s="43">
        <f>IF($I3442=0,0,IF(OR(INDEX(DarlOhneTilgung,8)=1,AND(INDEX(DarlTilgStart,8)&gt;0,$E3442&lt;INDEX(DarlTilgStart,8))),0,MIN(MAX(0,$K3442-$L3442),$J3442)))</f>
      </c>
      <c r="N3442" s="43">
        <f>IF($I3442=0,0,MIN(SUMIFS(SondBetrag,SondDarl,8,SondDatum,"&gt;="&amp;$E3442,SondDatum,"&lt;="&amp;EOMONTH($E3442,0)),$J3442-$M3442))</f>
      </c>
      <c r="O3442" s="43">
        <f>IF($I3442=0,0,INDEX(DarlErsatzRate,8))</f>
      </c>
      <c r="P3442" s="43">
        <f>IF($I3442=0,0,$Q3441*INDEX(DarlErsatzZins,8))</f>
      </c>
      <c r="Q3442" s="43">
        <f>IF($I3442=0,0,$Q3441+$P3442+$O3442)</f>
      </c>
      <c r="R3442" s="43">
        <f>IF($I3442=0,0,$J3442-$M3442-$N3442)</f>
      </c>
    </row>
    <row r="3443">
      <c r="A3443"/>
      <c r="B3443">
        <v>8</v>
      </c>
      <c r="C3443" s="43">
        <f>INDEX(DarlObj,8)</f>
      </c>
      <c r="D3443">
        <v>80</v>
      </c>
      <c r="E3443" s="51">
        <f>IF(INDEX(DarlBelegt,8)=0,0,EOMONTH(INDEX(DarlAuszahlung,8),79)+1)</f>
      </c>
      <c r="F3443" s="43">
        <f>IF($E3443=0,0,YEAR($E3443))</f>
      </c>
      <c r="G3443" s="43">
        <f>IF(INDEX(DarlBindung,8)="",1,IF($E3443&lt;=INDEX(DarlBindung,8),1,0))</f>
      </c>
      <c r="H3443" s="43">
        <f>IF($G3443=1,INDEX(DarlSollzins,8),INDEX(DarlAnschluss,8))</f>
      </c>
      <c r="I3443" s="43">
        <f>IF(INDEX(DarlBelegt,8)=0,0,IF(INDEX(DarlOhneTilgung,8)=1,IF(INDEX(DarlBindung,8)="",1,$G3443),IF($J3443&gt;0.005,1,0)))</f>
      </c>
      <c r="J3443" s="43">
        <f>IF($I3442=0,0,$R3442)</f>
      </c>
      <c r="K3443" s="43">
        <f>IF($I3443=0,0,IF(INDEX(DarlOhneTilgung,8)=1,0,IF(AND(INDEX(DarlTilgStart,8)&gt;0,$E3443=INDEX(DarlTilgStart,8)),$J3443*($H3443+INDEX(DarlTilgung,8))/100/12,IF(AND($G3443=0,$G3442=1),MAX($K3442,$J3443*($H3443+1)/100/12),$K3442))))</f>
      </c>
      <c r="L3443" s="43">
        <f>IF($I3443=0,0,$J3443*$H3443/100/12)</f>
      </c>
      <c r="M3443" s="43">
        <f>IF($I3443=0,0,IF(OR(INDEX(DarlOhneTilgung,8)=1,AND(INDEX(DarlTilgStart,8)&gt;0,$E3443&lt;INDEX(DarlTilgStart,8))),0,MIN(MAX(0,$K3443-$L3443),$J3443)))</f>
      </c>
      <c r="N3443" s="43">
        <f>IF($I3443=0,0,MIN(SUMIFS(SondBetrag,SondDarl,8,SondDatum,"&gt;="&amp;$E3443,SondDatum,"&lt;="&amp;EOMONTH($E3443,0)),$J3443-$M3443))</f>
      </c>
      <c r="O3443" s="43">
        <f>IF($I3443=0,0,INDEX(DarlErsatzRate,8))</f>
      </c>
      <c r="P3443" s="43">
        <f>IF($I3443=0,0,$Q3442*INDEX(DarlErsatzZins,8))</f>
      </c>
      <c r="Q3443" s="43">
        <f>IF($I3443=0,0,$Q3442+$P3443+$O3443)</f>
      </c>
      <c r="R3443" s="43">
        <f>IF($I3443=0,0,$J3443-$M3443-$N3443)</f>
      </c>
    </row>
    <row r="3444">
      <c r="A3444"/>
      <c r="B3444">
        <v>8</v>
      </c>
      <c r="C3444" s="43">
        <f>INDEX(DarlObj,8)</f>
      </c>
      <c r="D3444">
        <v>81</v>
      </c>
      <c r="E3444" s="51">
        <f>IF(INDEX(DarlBelegt,8)=0,0,EOMONTH(INDEX(DarlAuszahlung,8),80)+1)</f>
      </c>
      <c r="F3444" s="43">
        <f>IF($E3444=0,0,YEAR($E3444))</f>
      </c>
      <c r="G3444" s="43">
        <f>IF(INDEX(DarlBindung,8)="",1,IF($E3444&lt;=INDEX(DarlBindung,8),1,0))</f>
      </c>
      <c r="H3444" s="43">
        <f>IF($G3444=1,INDEX(DarlSollzins,8),INDEX(DarlAnschluss,8))</f>
      </c>
      <c r="I3444" s="43">
        <f>IF(INDEX(DarlBelegt,8)=0,0,IF(INDEX(DarlOhneTilgung,8)=1,IF(INDEX(DarlBindung,8)="",1,$G3444),IF($J3444&gt;0.005,1,0)))</f>
      </c>
      <c r="J3444" s="43">
        <f>IF($I3443=0,0,$R3443)</f>
      </c>
      <c r="K3444" s="43">
        <f>IF($I3444=0,0,IF(INDEX(DarlOhneTilgung,8)=1,0,IF(AND(INDEX(DarlTilgStart,8)&gt;0,$E3444=INDEX(DarlTilgStart,8)),$J3444*($H3444+INDEX(DarlTilgung,8))/100/12,IF(AND($G3444=0,$G3443=1),MAX($K3443,$J3444*($H3444+1)/100/12),$K3443))))</f>
      </c>
      <c r="L3444" s="43">
        <f>IF($I3444=0,0,$J3444*$H3444/100/12)</f>
      </c>
      <c r="M3444" s="43">
        <f>IF($I3444=0,0,IF(OR(INDEX(DarlOhneTilgung,8)=1,AND(INDEX(DarlTilgStart,8)&gt;0,$E3444&lt;INDEX(DarlTilgStart,8))),0,MIN(MAX(0,$K3444-$L3444),$J3444)))</f>
      </c>
      <c r="N3444" s="43">
        <f>IF($I3444=0,0,MIN(SUMIFS(SondBetrag,SondDarl,8,SondDatum,"&gt;="&amp;$E3444,SondDatum,"&lt;="&amp;EOMONTH($E3444,0)),$J3444-$M3444))</f>
      </c>
      <c r="O3444" s="43">
        <f>IF($I3444=0,0,INDEX(DarlErsatzRate,8))</f>
      </c>
      <c r="P3444" s="43">
        <f>IF($I3444=0,0,$Q3443*INDEX(DarlErsatzZins,8))</f>
      </c>
      <c r="Q3444" s="43">
        <f>IF($I3444=0,0,$Q3443+$P3444+$O3444)</f>
      </c>
      <c r="R3444" s="43">
        <f>IF($I3444=0,0,$J3444-$M3444-$N3444)</f>
      </c>
    </row>
    <row r="3445">
      <c r="A3445"/>
      <c r="B3445">
        <v>8</v>
      </c>
      <c r="C3445" s="43">
        <f>INDEX(DarlObj,8)</f>
      </c>
      <c r="D3445">
        <v>82</v>
      </c>
      <c r="E3445" s="51">
        <f>IF(INDEX(DarlBelegt,8)=0,0,EOMONTH(INDEX(DarlAuszahlung,8),81)+1)</f>
      </c>
      <c r="F3445" s="43">
        <f>IF($E3445=0,0,YEAR($E3445))</f>
      </c>
      <c r="G3445" s="43">
        <f>IF(INDEX(DarlBindung,8)="",1,IF($E3445&lt;=INDEX(DarlBindung,8),1,0))</f>
      </c>
      <c r="H3445" s="43">
        <f>IF($G3445=1,INDEX(DarlSollzins,8),INDEX(DarlAnschluss,8))</f>
      </c>
      <c r="I3445" s="43">
        <f>IF(INDEX(DarlBelegt,8)=0,0,IF(INDEX(DarlOhneTilgung,8)=1,IF(INDEX(DarlBindung,8)="",1,$G3445),IF($J3445&gt;0.005,1,0)))</f>
      </c>
      <c r="J3445" s="43">
        <f>IF($I3444=0,0,$R3444)</f>
      </c>
      <c r="K3445" s="43">
        <f>IF($I3445=0,0,IF(INDEX(DarlOhneTilgung,8)=1,0,IF(AND(INDEX(DarlTilgStart,8)&gt;0,$E3445=INDEX(DarlTilgStart,8)),$J3445*($H3445+INDEX(DarlTilgung,8))/100/12,IF(AND($G3445=0,$G3444=1),MAX($K3444,$J3445*($H3445+1)/100/12),$K3444))))</f>
      </c>
      <c r="L3445" s="43">
        <f>IF($I3445=0,0,$J3445*$H3445/100/12)</f>
      </c>
      <c r="M3445" s="43">
        <f>IF($I3445=0,0,IF(OR(INDEX(DarlOhneTilgung,8)=1,AND(INDEX(DarlTilgStart,8)&gt;0,$E3445&lt;INDEX(DarlTilgStart,8))),0,MIN(MAX(0,$K3445-$L3445),$J3445)))</f>
      </c>
      <c r="N3445" s="43">
        <f>IF($I3445=0,0,MIN(SUMIFS(SondBetrag,SondDarl,8,SondDatum,"&gt;="&amp;$E3445,SondDatum,"&lt;="&amp;EOMONTH($E3445,0)),$J3445-$M3445))</f>
      </c>
      <c r="O3445" s="43">
        <f>IF($I3445=0,0,INDEX(DarlErsatzRate,8))</f>
      </c>
      <c r="P3445" s="43">
        <f>IF($I3445=0,0,$Q3444*INDEX(DarlErsatzZins,8))</f>
      </c>
      <c r="Q3445" s="43">
        <f>IF($I3445=0,0,$Q3444+$P3445+$O3445)</f>
      </c>
      <c r="R3445" s="43">
        <f>IF($I3445=0,0,$J3445-$M3445-$N3445)</f>
      </c>
    </row>
    <row r="3446">
      <c r="A3446"/>
      <c r="B3446">
        <v>8</v>
      </c>
      <c r="C3446" s="43">
        <f>INDEX(DarlObj,8)</f>
      </c>
      <c r="D3446">
        <v>83</v>
      </c>
      <c r="E3446" s="51">
        <f>IF(INDEX(DarlBelegt,8)=0,0,EOMONTH(INDEX(DarlAuszahlung,8),82)+1)</f>
      </c>
      <c r="F3446" s="43">
        <f>IF($E3446=0,0,YEAR($E3446))</f>
      </c>
      <c r="G3446" s="43">
        <f>IF(INDEX(DarlBindung,8)="",1,IF($E3446&lt;=INDEX(DarlBindung,8),1,0))</f>
      </c>
      <c r="H3446" s="43">
        <f>IF($G3446=1,INDEX(DarlSollzins,8),INDEX(DarlAnschluss,8))</f>
      </c>
      <c r="I3446" s="43">
        <f>IF(INDEX(DarlBelegt,8)=0,0,IF(INDEX(DarlOhneTilgung,8)=1,IF(INDEX(DarlBindung,8)="",1,$G3446),IF($J3446&gt;0.005,1,0)))</f>
      </c>
      <c r="J3446" s="43">
        <f>IF($I3445=0,0,$R3445)</f>
      </c>
      <c r="K3446" s="43">
        <f>IF($I3446=0,0,IF(INDEX(DarlOhneTilgung,8)=1,0,IF(AND(INDEX(DarlTilgStart,8)&gt;0,$E3446=INDEX(DarlTilgStart,8)),$J3446*($H3446+INDEX(DarlTilgung,8))/100/12,IF(AND($G3446=0,$G3445=1),MAX($K3445,$J3446*($H3446+1)/100/12),$K3445))))</f>
      </c>
      <c r="L3446" s="43">
        <f>IF($I3446=0,0,$J3446*$H3446/100/12)</f>
      </c>
      <c r="M3446" s="43">
        <f>IF($I3446=0,0,IF(OR(INDEX(DarlOhneTilgung,8)=1,AND(INDEX(DarlTilgStart,8)&gt;0,$E3446&lt;INDEX(DarlTilgStart,8))),0,MIN(MAX(0,$K3446-$L3446),$J3446)))</f>
      </c>
      <c r="N3446" s="43">
        <f>IF($I3446=0,0,MIN(SUMIFS(SondBetrag,SondDarl,8,SondDatum,"&gt;="&amp;$E3446,SondDatum,"&lt;="&amp;EOMONTH($E3446,0)),$J3446-$M3446))</f>
      </c>
      <c r="O3446" s="43">
        <f>IF($I3446=0,0,INDEX(DarlErsatzRate,8))</f>
      </c>
      <c r="P3446" s="43">
        <f>IF($I3446=0,0,$Q3445*INDEX(DarlErsatzZins,8))</f>
      </c>
      <c r="Q3446" s="43">
        <f>IF($I3446=0,0,$Q3445+$P3446+$O3446)</f>
      </c>
      <c r="R3446" s="43">
        <f>IF($I3446=0,0,$J3446-$M3446-$N3446)</f>
      </c>
    </row>
    <row r="3447">
      <c r="A3447"/>
      <c r="B3447">
        <v>8</v>
      </c>
      <c r="C3447" s="43">
        <f>INDEX(DarlObj,8)</f>
      </c>
      <c r="D3447">
        <v>84</v>
      </c>
      <c r="E3447" s="51">
        <f>IF(INDEX(DarlBelegt,8)=0,0,EOMONTH(INDEX(DarlAuszahlung,8),83)+1)</f>
      </c>
      <c r="F3447" s="43">
        <f>IF($E3447=0,0,YEAR($E3447))</f>
      </c>
      <c r="G3447" s="43">
        <f>IF(INDEX(DarlBindung,8)="",1,IF($E3447&lt;=INDEX(DarlBindung,8),1,0))</f>
      </c>
      <c r="H3447" s="43">
        <f>IF($G3447=1,INDEX(DarlSollzins,8),INDEX(DarlAnschluss,8))</f>
      </c>
      <c r="I3447" s="43">
        <f>IF(INDEX(DarlBelegt,8)=0,0,IF(INDEX(DarlOhneTilgung,8)=1,IF(INDEX(DarlBindung,8)="",1,$G3447),IF($J3447&gt;0.005,1,0)))</f>
      </c>
      <c r="J3447" s="43">
        <f>IF($I3446=0,0,$R3446)</f>
      </c>
      <c r="K3447" s="43">
        <f>IF($I3447=0,0,IF(INDEX(DarlOhneTilgung,8)=1,0,IF(AND(INDEX(DarlTilgStart,8)&gt;0,$E3447=INDEX(DarlTilgStart,8)),$J3447*($H3447+INDEX(DarlTilgung,8))/100/12,IF(AND($G3447=0,$G3446=1),MAX($K3446,$J3447*($H3447+1)/100/12),$K3446))))</f>
      </c>
      <c r="L3447" s="43">
        <f>IF($I3447=0,0,$J3447*$H3447/100/12)</f>
      </c>
      <c r="M3447" s="43">
        <f>IF($I3447=0,0,IF(OR(INDEX(DarlOhneTilgung,8)=1,AND(INDEX(DarlTilgStart,8)&gt;0,$E3447&lt;INDEX(DarlTilgStart,8))),0,MIN(MAX(0,$K3447-$L3447),$J3447)))</f>
      </c>
      <c r="N3447" s="43">
        <f>IF($I3447=0,0,MIN(SUMIFS(SondBetrag,SondDarl,8,SondDatum,"&gt;="&amp;$E3447,SondDatum,"&lt;="&amp;EOMONTH($E3447,0)),$J3447-$M3447))</f>
      </c>
      <c r="O3447" s="43">
        <f>IF($I3447=0,0,INDEX(DarlErsatzRate,8))</f>
      </c>
      <c r="P3447" s="43">
        <f>IF($I3447=0,0,$Q3446*INDEX(DarlErsatzZins,8))</f>
      </c>
      <c r="Q3447" s="43">
        <f>IF($I3447=0,0,$Q3446+$P3447+$O3447)</f>
      </c>
      <c r="R3447" s="43">
        <f>IF($I3447=0,0,$J3447-$M3447-$N3447)</f>
      </c>
    </row>
    <row r="3448">
      <c r="A3448"/>
      <c r="B3448">
        <v>8</v>
      </c>
      <c r="C3448" s="43">
        <f>INDEX(DarlObj,8)</f>
      </c>
      <c r="D3448">
        <v>85</v>
      </c>
      <c r="E3448" s="51">
        <f>IF(INDEX(DarlBelegt,8)=0,0,EOMONTH(INDEX(DarlAuszahlung,8),84)+1)</f>
      </c>
      <c r="F3448" s="43">
        <f>IF($E3448=0,0,YEAR($E3448))</f>
      </c>
      <c r="G3448" s="43">
        <f>IF(INDEX(DarlBindung,8)="",1,IF($E3448&lt;=INDEX(DarlBindung,8),1,0))</f>
      </c>
      <c r="H3448" s="43">
        <f>IF($G3448=1,INDEX(DarlSollzins,8),INDEX(DarlAnschluss,8))</f>
      </c>
      <c r="I3448" s="43">
        <f>IF(INDEX(DarlBelegt,8)=0,0,IF(INDEX(DarlOhneTilgung,8)=1,IF(INDEX(DarlBindung,8)="",1,$G3448),IF($J3448&gt;0.005,1,0)))</f>
      </c>
      <c r="J3448" s="43">
        <f>IF($I3447=0,0,$R3447)</f>
      </c>
      <c r="K3448" s="43">
        <f>IF($I3448=0,0,IF(INDEX(DarlOhneTilgung,8)=1,0,IF(AND(INDEX(DarlTilgStart,8)&gt;0,$E3448=INDEX(DarlTilgStart,8)),$J3448*($H3448+INDEX(DarlTilgung,8))/100/12,IF(AND($G3448=0,$G3447=1),MAX($K3447,$J3448*($H3448+1)/100/12),$K3447))))</f>
      </c>
      <c r="L3448" s="43">
        <f>IF($I3448=0,0,$J3448*$H3448/100/12)</f>
      </c>
      <c r="M3448" s="43">
        <f>IF($I3448=0,0,IF(OR(INDEX(DarlOhneTilgung,8)=1,AND(INDEX(DarlTilgStart,8)&gt;0,$E3448&lt;INDEX(DarlTilgStart,8))),0,MIN(MAX(0,$K3448-$L3448),$J3448)))</f>
      </c>
      <c r="N3448" s="43">
        <f>IF($I3448=0,0,MIN(SUMIFS(SondBetrag,SondDarl,8,SondDatum,"&gt;="&amp;$E3448,SondDatum,"&lt;="&amp;EOMONTH($E3448,0)),$J3448-$M3448))</f>
      </c>
      <c r="O3448" s="43">
        <f>IF($I3448=0,0,INDEX(DarlErsatzRate,8))</f>
      </c>
      <c r="P3448" s="43">
        <f>IF($I3448=0,0,$Q3447*INDEX(DarlErsatzZins,8))</f>
      </c>
      <c r="Q3448" s="43">
        <f>IF($I3448=0,0,$Q3447+$P3448+$O3448)</f>
      </c>
      <c r="R3448" s="43">
        <f>IF($I3448=0,0,$J3448-$M3448-$N3448)</f>
      </c>
    </row>
    <row r="3449">
      <c r="A3449"/>
      <c r="B3449">
        <v>8</v>
      </c>
      <c r="C3449" s="43">
        <f>INDEX(DarlObj,8)</f>
      </c>
      <c r="D3449">
        <v>86</v>
      </c>
      <c r="E3449" s="51">
        <f>IF(INDEX(DarlBelegt,8)=0,0,EOMONTH(INDEX(DarlAuszahlung,8),85)+1)</f>
      </c>
      <c r="F3449" s="43">
        <f>IF($E3449=0,0,YEAR($E3449))</f>
      </c>
      <c r="G3449" s="43">
        <f>IF(INDEX(DarlBindung,8)="",1,IF($E3449&lt;=INDEX(DarlBindung,8),1,0))</f>
      </c>
      <c r="H3449" s="43">
        <f>IF($G3449=1,INDEX(DarlSollzins,8),INDEX(DarlAnschluss,8))</f>
      </c>
      <c r="I3449" s="43">
        <f>IF(INDEX(DarlBelegt,8)=0,0,IF(INDEX(DarlOhneTilgung,8)=1,IF(INDEX(DarlBindung,8)="",1,$G3449),IF($J3449&gt;0.005,1,0)))</f>
      </c>
      <c r="J3449" s="43">
        <f>IF($I3448=0,0,$R3448)</f>
      </c>
      <c r="K3449" s="43">
        <f>IF($I3449=0,0,IF(INDEX(DarlOhneTilgung,8)=1,0,IF(AND(INDEX(DarlTilgStart,8)&gt;0,$E3449=INDEX(DarlTilgStart,8)),$J3449*($H3449+INDEX(DarlTilgung,8))/100/12,IF(AND($G3449=0,$G3448=1),MAX($K3448,$J3449*($H3449+1)/100/12),$K3448))))</f>
      </c>
      <c r="L3449" s="43">
        <f>IF($I3449=0,0,$J3449*$H3449/100/12)</f>
      </c>
      <c r="M3449" s="43">
        <f>IF($I3449=0,0,IF(OR(INDEX(DarlOhneTilgung,8)=1,AND(INDEX(DarlTilgStart,8)&gt;0,$E3449&lt;INDEX(DarlTilgStart,8))),0,MIN(MAX(0,$K3449-$L3449),$J3449)))</f>
      </c>
      <c r="N3449" s="43">
        <f>IF($I3449=0,0,MIN(SUMIFS(SondBetrag,SondDarl,8,SondDatum,"&gt;="&amp;$E3449,SondDatum,"&lt;="&amp;EOMONTH($E3449,0)),$J3449-$M3449))</f>
      </c>
      <c r="O3449" s="43">
        <f>IF($I3449=0,0,INDEX(DarlErsatzRate,8))</f>
      </c>
      <c r="P3449" s="43">
        <f>IF($I3449=0,0,$Q3448*INDEX(DarlErsatzZins,8))</f>
      </c>
      <c r="Q3449" s="43">
        <f>IF($I3449=0,0,$Q3448+$P3449+$O3449)</f>
      </c>
      <c r="R3449" s="43">
        <f>IF($I3449=0,0,$J3449-$M3449-$N3449)</f>
      </c>
    </row>
    <row r="3450">
      <c r="A3450"/>
      <c r="B3450">
        <v>8</v>
      </c>
      <c r="C3450" s="43">
        <f>INDEX(DarlObj,8)</f>
      </c>
      <c r="D3450">
        <v>87</v>
      </c>
      <c r="E3450" s="51">
        <f>IF(INDEX(DarlBelegt,8)=0,0,EOMONTH(INDEX(DarlAuszahlung,8),86)+1)</f>
      </c>
      <c r="F3450" s="43">
        <f>IF($E3450=0,0,YEAR($E3450))</f>
      </c>
      <c r="G3450" s="43">
        <f>IF(INDEX(DarlBindung,8)="",1,IF($E3450&lt;=INDEX(DarlBindung,8),1,0))</f>
      </c>
      <c r="H3450" s="43">
        <f>IF($G3450=1,INDEX(DarlSollzins,8),INDEX(DarlAnschluss,8))</f>
      </c>
      <c r="I3450" s="43">
        <f>IF(INDEX(DarlBelegt,8)=0,0,IF(INDEX(DarlOhneTilgung,8)=1,IF(INDEX(DarlBindung,8)="",1,$G3450),IF($J3450&gt;0.005,1,0)))</f>
      </c>
      <c r="J3450" s="43">
        <f>IF($I3449=0,0,$R3449)</f>
      </c>
      <c r="K3450" s="43">
        <f>IF($I3450=0,0,IF(INDEX(DarlOhneTilgung,8)=1,0,IF(AND(INDEX(DarlTilgStart,8)&gt;0,$E3450=INDEX(DarlTilgStart,8)),$J3450*($H3450+INDEX(DarlTilgung,8))/100/12,IF(AND($G3450=0,$G3449=1),MAX($K3449,$J3450*($H3450+1)/100/12),$K3449))))</f>
      </c>
      <c r="L3450" s="43">
        <f>IF($I3450=0,0,$J3450*$H3450/100/12)</f>
      </c>
      <c r="M3450" s="43">
        <f>IF($I3450=0,0,IF(OR(INDEX(DarlOhneTilgung,8)=1,AND(INDEX(DarlTilgStart,8)&gt;0,$E3450&lt;INDEX(DarlTilgStart,8))),0,MIN(MAX(0,$K3450-$L3450),$J3450)))</f>
      </c>
      <c r="N3450" s="43">
        <f>IF($I3450=0,0,MIN(SUMIFS(SondBetrag,SondDarl,8,SondDatum,"&gt;="&amp;$E3450,SondDatum,"&lt;="&amp;EOMONTH($E3450,0)),$J3450-$M3450))</f>
      </c>
      <c r="O3450" s="43">
        <f>IF($I3450=0,0,INDEX(DarlErsatzRate,8))</f>
      </c>
      <c r="P3450" s="43">
        <f>IF($I3450=0,0,$Q3449*INDEX(DarlErsatzZins,8))</f>
      </c>
      <c r="Q3450" s="43">
        <f>IF($I3450=0,0,$Q3449+$P3450+$O3450)</f>
      </c>
      <c r="R3450" s="43">
        <f>IF($I3450=0,0,$J3450-$M3450-$N3450)</f>
      </c>
    </row>
    <row r="3451">
      <c r="A3451"/>
      <c r="B3451">
        <v>8</v>
      </c>
      <c r="C3451" s="43">
        <f>INDEX(DarlObj,8)</f>
      </c>
      <c r="D3451">
        <v>88</v>
      </c>
      <c r="E3451" s="51">
        <f>IF(INDEX(DarlBelegt,8)=0,0,EOMONTH(INDEX(DarlAuszahlung,8),87)+1)</f>
      </c>
      <c r="F3451" s="43">
        <f>IF($E3451=0,0,YEAR($E3451))</f>
      </c>
      <c r="G3451" s="43">
        <f>IF(INDEX(DarlBindung,8)="",1,IF($E3451&lt;=INDEX(DarlBindung,8),1,0))</f>
      </c>
      <c r="H3451" s="43">
        <f>IF($G3451=1,INDEX(DarlSollzins,8),INDEX(DarlAnschluss,8))</f>
      </c>
      <c r="I3451" s="43">
        <f>IF(INDEX(DarlBelegt,8)=0,0,IF(INDEX(DarlOhneTilgung,8)=1,IF(INDEX(DarlBindung,8)="",1,$G3451),IF($J3451&gt;0.005,1,0)))</f>
      </c>
      <c r="J3451" s="43">
        <f>IF($I3450=0,0,$R3450)</f>
      </c>
      <c r="K3451" s="43">
        <f>IF($I3451=0,0,IF(INDEX(DarlOhneTilgung,8)=1,0,IF(AND(INDEX(DarlTilgStart,8)&gt;0,$E3451=INDEX(DarlTilgStart,8)),$J3451*($H3451+INDEX(DarlTilgung,8))/100/12,IF(AND($G3451=0,$G3450=1),MAX($K3450,$J3451*($H3451+1)/100/12),$K3450))))</f>
      </c>
      <c r="L3451" s="43">
        <f>IF($I3451=0,0,$J3451*$H3451/100/12)</f>
      </c>
      <c r="M3451" s="43">
        <f>IF($I3451=0,0,IF(OR(INDEX(DarlOhneTilgung,8)=1,AND(INDEX(DarlTilgStart,8)&gt;0,$E3451&lt;INDEX(DarlTilgStart,8))),0,MIN(MAX(0,$K3451-$L3451),$J3451)))</f>
      </c>
      <c r="N3451" s="43">
        <f>IF($I3451=0,0,MIN(SUMIFS(SondBetrag,SondDarl,8,SondDatum,"&gt;="&amp;$E3451,SondDatum,"&lt;="&amp;EOMONTH($E3451,0)),$J3451-$M3451))</f>
      </c>
      <c r="O3451" s="43">
        <f>IF($I3451=0,0,INDEX(DarlErsatzRate,8))</f>
      </c>
      <c r="P3451" s="43">
        <f>IF($I3451=0,0,$Q3450*INDEX(DarlErsatzZins,8))</f>
      </c>
      <c r="Q3451" s="43">
        <f>IF($I3451=0,0,$Q3450+$P3451+$O3451)</f>
      </c>
      <c r="R3451" s="43">
        <f>IF($I3451=0,0,$J3451-$M3451-$N3451)</f>
      </c>
    </row>
    <row r="3452">
      <c r="A3452"/>
      <c r="B3452">
        <v>8</v>
      </c>
      <c r="C3452" s="43">
        <f>INDEX(DarlObj,8)</f>
      </c>
      <c r="D3452">
        <v>89</v>
      </c>
      <c r="E3452" s="51">
        <f>IF(INDEX(DarlBelegt,8)=0,0,EOMONTH(INDEX(DarlAuszahlung,8),88)+1)</f>
      </c>
      <c r="F3452" s="43">
        <f>IF($E3452=0,0,YEAR($E3452))</f>
      </c>
      <c r="G3452" s="43">
        <f>IF(INDEX(DarlBindung,8)="",1,IF($E3452&lt;=INDEX(DarlBindung,8),1,0))</f>
      </c>
      <c r="H3452" s="43">
        <f>IF($G3452=1,INDEX(DarlSollzins,8),INDEX(DarlAnschluss,8))</f>
      </c>
      <c r="I3452" s="43">
        <f>IF(INDEX(DarlBelegt,8)=0,0,IF(INDEX(DarlOhneTilgung,8)=1,IF(INDEX(DarlBindung,8)="",1,$G3452),IF($J3452&gt;0.005,1,0)))</f>
      </c>
      <c r="J3452" s="43">
        <f>IF($I3451=0,0,$R3451)</f>
      </c>
      <c r="K3452" s="43">
        <f>IF($I3452=0,0,IF(INDEX(DarlOhneTilgung,8)=1,0,IF(AND(INDEX(DarlTilgStart,8)&gt;0,$E3452=INDEX(DarlTilgStart,8)),$J3452*($H3452+INDEX(DarlTilgung,8))/100/12,IF(AND($G3452=0,$G3451=1),MAX($K3451,$J3452*($H3452+1)/100/12),$K3451))))</f>
      </c>
      <c r="L3452" s="43">
        <f>IF($I3452=0,0,$J3452*$H3452/100/12)</f>
      </c>
      <c r="M3452" s="43">
        <f>IF($I3452=0,0,IF(OR(INDEX(DarlOhneTilgung,8)=1,AND(INDEX(DarlTilgStart,8)&gt;0,$E3452&lt;INDEX(DarlTilgStart,8))),0,MIN(MAX(0,$K3452-$L3452),$J3452)))</f>
      </c>
      <c r="N3452" s="43">
        <f>IF($I3452=0,0,MIN(SUMIFS(SondBetrag,SondDarl,8,SondDatum,"&gt;="&amp;$E3452,SondDatum,"&lt;="&amp;EOMONTH($E3452,0)),$J3452-$M3452))</f>
      </c>
      <c r="O3452" s="43">
        <f>IF($I3452=0,0,INDEX(DarlErsatzRate,8))</f>
      </c>
      <c r="P3452" s="43">
        <f>IF($I3452=0,0,$Q3451*INDEX(DarlErsatzZins,8))</f>
      </c>
      <c r="Q3452" s="43">
        <f>IF($I3452=0,0,$Q3451+$P3452+$O3452)</f>
      </c>
      <c r="R3452" s="43">
        <f>IF($I3452=0,0,$J3452-$M3452-$N3452)</f>
      </c>
    </row>
    <row r="3453">
      <c r="A3453"/>
      <c r="B3453">
        <v>8</v>
      </c>
      <c r="C3453" s="43">
        <f>INDEX(DarlObj,8)</f>
      </c>
      <c r="D3453">
        <v>90</v>
      </c>
      <c r="E3453" s="51">
        <f>IF(INDEX(DarlBelegt,8)=0,0,EOMONTH(INDEX(DarlAuszahlung,8),89)+1)</f>
      </c>
      <c r="F3453" s="43">
        <f>IF($E3453=0,0,YEAR($E3453))</f>
      </c>
      <c r="G3453" s="43">
        <f>IF(INDEX(DarlBindung,8)="",1,IF($E3453&lt;=INDEX(DarlBindung,8),1,0))</f>
      </c>
      <c r="H3453" s="43">
        <f>IF($G3453=1,INDEX(DarlSollzins,8),INDEX(DarlAnschluss,8))</f>
      </c>
      <c r="I3453" s="43">
        <f>IF(INDEX(DarlBelegt,8)=0,0,IF(INDEX(DarlOhneTilgung,8)=1,IF(INDEX(DarlBindung,8)="",1,$G3453),IF($J3453&gt;0.005,1,0)))</f>
      </c>
      <c r="J3453" s="43">
        <f>IF($I3452=0,0,$R3452)</f>
      </c>
      <c r="K3453" s="43">
        <f>IF($I3453=0,0,IF(INDEX(DarlOhneTilgung,8)=1,0,IF(AND(INDEX(DarlTilgStart,8)&gt;0,$E3453=INDEX(DarlTilgStart,8)),$J3453*($H3453+INDEX(DarlTilgung,8))/100/12,IF(AND($G3453=0,$G3452=1),MAX($K3452,$J3453*($H3453+1)/100/12),$K3452))))</f>
      </c>
      <c r="L3453" s="43">
        <f>IF($I3453=0,0,$J3453*$H3453/100/12)</f>
      </c>
      <c r="M3453" s="43">
        <f>IF($I3453=0,0,IF(OR(INDEX(DarlOhneTilgung,8)=1,AND(INDEX(DarlTilgStart,8)&gt;0,$E3453&lt;INDEX(DarlTilgStart,8))),0,MIN(MAX(0,$K3453-$L3453),$J3453)))</f>
      </c>
      <c r="N3453" s="43">
        <f>IF($I3453=0,0,MIN(SUMIFS(SondBetrag,SondDarl,8,SondDatum,"&gt;="&amp;$E3453,SondDatum,"&lt;="&amp;EOMONTH($E3453,0)),$J3453-$M3453))</f>
      </c>
      <c r="O3453" s="43">
        <f>IF($I3453=0,0,INDEX(DarlErsatzRate,8))</f>
      </c>
      <c r="P3453" s="43">
        <f>IF($I3453=0,0,$Q3452*INDEX(DarlErsatzZins,8))</f>
      </c>
      <c r="Q3453" s="43">
        <f>IF($I3453=0,0,$Q3452+$P3453+$O3453)</f>
      </c>
      <c r="R3453" s="43">
        <f>IF($I3453=0,0,$J3453-$M3453-$N3453)</f>
      </c>
    </row>
    <row r="3454">
      <c r="A3454"/>
      <c r="B3454">
        <v>8</v>
      </c>
      <c r="C3454" s="43">
        <f>INDEX(DarlObj,8)</f>
      </c>
      <c r="D3454">
        <v>91</v>
      </c>
      <c r="E3454" s="51">
        <f>IF(INDEX(DarlBelegt,8)=0,0,EOMONTH(INDEX(DarlAuszahlung,8),90)+1)</f>
      </c>
      <c r="F3454" s="43">
        <f>IF($E3454=0,0,YEAR($E3454))</f>
      </c>
      <c r="G3454" s="43">
        <f>IF(INDEX(DarlBindung,8)="",1,IF($E3454&lt;=INDEX(DarlBindung,8),1,0))</f>
      </c>
      <c r="H3454" s="43">
        <f>IF($G3454=1,INDEX(DarlSollzins,8),INDEX(DarlAnschluss,8))</f>
      </c>
      <c r="I3454" s="43">
        <f>IF(INDEX(DarlBelegt,8)=0,0,IF(INDEX(DarlOhneTilgung,8)=1,IF(INDEX(DarlBindung,8)="",1,$G3454),IF($J3454&gt;0.005,1,0)))</f>
      </c>
      <c r="J3454" s="43">
        <f>IF($I3453=0,0,$R3453)</f>
      </c>
      <c r="K3454" s="43">
        <f>IF($I3454=0,0,IF(INDEX(DarlOhneTilgung,8)=1,0,IF(AND(INDEX(DarlTilgStart,8)&gt;0,$E3454=INDEX(DarlTilgStart,8)),$J3454*($H3454+INDEX(DarlTilgung,8))/100/12,IF(AND($G3454=0,$G3453=1),MAX($K3453,$J3454*($H3454+1)/100/12),$K3453))))</f>
      </c>
      <c r="L3454" s="43">
        <f>IF($I3454=0,0,$J3454*$H3454/100/12)</f>
      </c>
      <c r="M3454" s="43">
        <f>IF($I3454=0,0,IF(OR(INDEX(DarlOhneTilgung,8)=1,AND(INDEX(DarlTilgStart,8)&gt;0,$E3454&lt;INDEX(DarlTilgStart,8))),0,MIN(MAX(0,$K3454-$L3454),$J3454)))</f>
      </c>
      <c r="N3454" s="43">
        <f>IF($I3454=0,0,MIN(SUMIFS(SondBetrag,SondDarl,8,SondDatum,"&gt;="&amp;$E3454,SondDatum,"&lt;="&amp;EOMONTH($E3454,0)),$J3454-$M3454))</f>
      </c>
      <c r="O3454" s="43">
        <f>IF($I3454=0,0,INDEX(DarlErsatzRate,8))</f>
      </c>
      <c r="P3454" s="43">
        <f>IF($I3454=0,0,$Q3453*INDEX(DarlErsatzZins,8))</f>
      </c>
      <c r="Q3454" s="43">
        <f>IF($I3454=0,0,$Q3453+$P3454+$O3454)</f>
      </c>
      <c r="R3454" s="43">
        <f>IF($I3454=0,0,$J3454-$M3454-$N3454)</f>
      </c>
    </row>
    <row r="3455">
      <c r="A3455"/>
      <c r="B3455">
        <v>8</v>
      </c>
      <c r="C3455" s="43">
        <f>INDEX(DarlObj,8)</f>
      </c>
      <c r="D3455">
        <v>92</v>
      </c>
      <c r="E3455" s="51">
        <f>IF(INDEX(DarlBelegt,8)=0,0,EOMONTH(INDEX(DarlAuszahlung,8),91)+1)</f>
      </c>
      <c r="F3455" s="43">
        <f>IF($E3455=0,0,YEAR($E3455))</f>
      </c>
      <c r="G3455" s="43">
        <f>IF(INDEX(DarlBindung,8)="",1,IF($E3455&lt;=INDEX(DarlBindung,8),1,0))</f>
      </c>
      <c r="H3455" s="43">
        <f>IF($G3455=1,INDEX(DarlSollzins,8),INDEX(DarlAnschluss,8))</f>
      </c>
      <c r="I3455" s="43">
        <f>IF(INDEX(DarlBelegt,8)=0,0,IF(INDEX(DarlOhneTilgung,8)=1,IF(INDEX(DarlBindung,8)="",1,$G3455),IF($J3455&gt;0.005,1,0)))</f>
      </c>
      <c r="J3455" s="43">
        <f>IF($I3454=0,0,$R3454)</f>
      </c>
      <c r="K3455" s="43">
        <f>IF($I3455=0,0,IF(INDEX(DarlOhneTilgung,8)=1,0,IF(AND(INDEX(DarlTilgStart,8)&gt;0,$E3455=INDEX(DarlTilgStart,8)),$J3455*($H3455+INDEX(DarlTilgung,8))/100/12,IF(AND($G3455=0,$G3454=1),MAX($K3454,$J3455*($H3455+1)/100/12),$K3454))))</f>
      </c>
      <c r="L3455" s="43">
        <f>IF($I3455=0,0,$J3455*$H3455/100/12)</f>
      </c>
      <c r="M3455" s="43">
        <f>IF($I3455=0,0,IF(OR(INDEX(DarlOhneTilgung,8)=1,AND(INDEX(DarlTilgStart,8)&gt;0,$E3455&lt;INDEX(DarlTilgStart,8))),0,MIN(MAX(0,$K3455-$L3455),$J3455)))</f>
      </c>
      <c r="N3455" s="43">
        <f>IF($I3455=0,0,MIN(SUMIFS(SondBetrag,SondDarl,8,SondDatum,"&gt;="&amp;$E3455,SondDatum,"&lt;="&amp;EOMONTH($E3455,0)),$J3455-$M3455))</f>
      </c>
      <c r="O3455" s="43">
        <f>IF($I3455=0,0,INDEX(DarlErsatzRate,8))</f>
      </c>
      <c r="P3455" s="43">
        <f>IF($I3455=0,0,$Q3454*INDEX(DarlErsatzZins,8))</f>
      </c>
      <c r="Q3455" s="43">
        <f>IF($I3455=0,0,$Q3454+$P3455+$O3455)</f>
      </c>
      <c r="R3455" s="43">
        <f>IF($I3455=0,0,$J3455-$M3455-$N3455)</f>
      </c>
    </row>
    <row r="3456">
      <c r="A3456"/>
      <c r="B3456">
        <v>8</v>
      </c>
      <c r="C3456" s="43">
        <f>INDEX(DarlObj,8)</f>
      </c>
      <c r="D3456">
        <v>93</v>
      </c>
      <c r="E3456" s="51">
        <f>IF(INDEX(DarlBelegt,8)=0,0,EOMONTH(INDEX(DarlAuszahlung,8),92)+1)</f>
      </c>
      <c r="F3456" s="43">
        <f>IF($E3456=0,0,YEAR($E3456))</f>
      </c>
      <c r="G3456" s="43">
        <f>IF(INDEX(DarlBindung,8)="",1,IF($E3456&lt;=INDEX(DarlBindung,8),1,0))</f>
      </c>
      <c r="H3456" s="43">
        <f>IF($G3456=1,INDEX(DarlSollzins,8),INDEX(DarlAnschluss,8))</f>
      </c>
      <c r="I3456" s="43">
        <f>IF(INDEX(DarlBelegt,8)=0,0,IF(INDEX(DarlOhneTilgung,8)=1,IF(INDEX(DarlBindung,8)="",1,$G3456),IF($J3456&gt;0.005,1,0)))</f>
      </c>
      <c r="J3456" s="43">
        <f>IF($I3455=0,0,$R3455)</f>
      </c>
      <c r="K3456" s="43">
        <f>IF($I3456=0,0,IF(INDEX(DarlOhneTilgung,8)=1,0,IF(AND(INDEX(DarlTilgStart,8)&gt;0,$E3456=INDEX(DarlTilgStart,8)),$J3456*($H3456+INDEX(DarlTilgung,8))/100/12,IF(AND($G3456=0,$G3455=1),MAX($K3455,$J3456*($H3456+1)/100/12),$K3455))))</f>
      </c>
      <c r="L3456" s="43">
        <f>IF($I3456=0,0,$J3456*$H3456/100/12)</f>
      </c>
      <c r="M3456" s="43">
        <f>IF($I3456=0,0,IF(OR(INDEX(DarlOhneTilgung,8)=1,AND(INDEX(DarlTilgStart,8)&gt;0,$E3456&lt;INDEX(DarlTilgStart,8))),0,MIN(MAX(0,$K3456-$L3456),$J3456)))</f>
      </c>
      <c r="N3456" s="43">
        <f>IF($I3456=0,0,MIN(SUMIFS(SondBetrag,SondDarl,8,SondDatum,"&gt;="&amp;$E3456,SondDatum,"&lt;="&amp;EOMONTH($E3456,0)),$J3456-$M3456))</f>
      </c>
      <c r="O3456" s="43">
        <f>IF($I3456=0,0,INDEX(DarlErsatzRate,8))</f>
      </c>
      <c r="P3456" s="43">
        <f>IF($I3456=0,0,$Q3455*INDEX(DarlErsatzZins,8))</f>
      </c>
      <c r="Q3456" s="43">
        <f>IF($I3456=0,0,$Q3455+$P3456+$O3456)</f>
      </c>
      <c r="R3456" s="43">
        <f>IF($I3456=0,0,$J3456-$M3456-$N3456)</f>
      </c>
    </row>
    <row r="3457">
      <c r="A3457"/>
      <c r="B3457">
        <v>8</v>
      </c>
      <c r="C3457" s="43">
        <f>INDEX(DarlObj,8)</f>
      </c>
      <c r="D3457">
        <v>94</v>
      </c>
      <c r="E3457" s="51">
        <f>IF(INDEX(DarlBelegt,8)=0,0,EOMONTH(INDEX(DarlAuszahlung,8),93)+1)</f>
      </c>
      <c r="F3457" s="43">
        <f>IF($E3457=0,0,YEAR($E3457))</f>
      </c>
      <c r="G3457" s="43">
        <f>IF(INDEX(DarlBindung,8)="",1,IF($E3457&lt;=INDEX(DarlBindung,8),1,0))</f>
      </c>
      <c r="H3457" s="43">
        <f>IF($G3457=1,INDEX(DarlSollzins,8),INDEX(DarlAnschluss,8))</f>
      </c>
      <c r="I3457" s="43">
        <f>IF(INDEX(DarlBelegt,8)=0,0,IF(INDEX(DarlOhneTilgung,8)=1,IF(INDEX(DarlBindung,8)="",1,$G3457),IF($J3457&gt;0.005,1,0)))</f>
      </c>
      <c r="J3457" s="43">
        <f>IF($I3456=0,0,$R3456)</f>
      </c>
      <c r="K3457" s="43">
        <f>IF($I3457=0,0,IF(INDEX(DarlOhneTilgung,8)=1,0,IF(AND(INDEX(DarlTilgStart,8)&gt;0,$E3457=INDEX(DarlTilgStart,8)),$J3457*($H3457+INDEX(DarlTilgung,8))/100/12,IF(AND($G3457=0,$G3456=1),MAX($K3456,$J3457*($H3457+1)/100/12),$K3456))))</f>
      </c>
      <c r="L3457" s="43">
        <f>IF($I3457=0,0,$J3457*$H3457/100/12)</f>
      </c>
      <c r="M3457" s="43">
        <f>IF($I3457=0,0,IF(OR(INDEX(DarlOhneTilgung,8)=1,AND(INDEX(DarlTilgStart,8)&gt;0,$E3457&lt;INDEX(DarlTilgStart,8))),0,MIN(MAX(0,$K3457-$L3457),$J3457)))</f>
      </c>
      <c r="N3457" s="43">
        <f>IF($I3457=0,0,MIN(SUMIFS(SondBetrag,SondDarl,8,SondDatum,"&gt;="&amp;$E3457,SondDatum,"&lt;="&amp;EOMONTH($E3457,0)),$J3457-$M3457))</f>
      </c>
      <c r="O3457" s="43">
        <f>IF($I3457=0,0,INDEX(DarlErsatzRate,8))</f>
      </c>
      <c r="P3457" s="43">
        <f>IF($I3457=0,0,$Q3456*INDEX(DarlErsatzZins,8))</f>
      </c>
      <c r="Q3457" s="43">
        <f>IF($I3457=0,0,$Q3456+$P3457+$O3457)</f>
      </c>
      <c r="R3457" s="43">
        <f>IF($I3457=0,0,$J3457-$M3457-$N3457)</f>
      </c>
    </row>
    <row r="3458">
      <c r="A3458"/>
      <c r="B3458">
        <v>8</v>
      </c>
      <c r="C3458" s="43">
        <f>INDEX(DarlObj,8)</f>
      </c>
      <c r="D3458">
        <v>95</v>
      </c>
      <c r="E3458" s="51">
        <f>IF(INDEX(DarlBelegt,8)=0,0,EOMONTH(INDEX(DarlAuszahlung,8),94)+1)</f>
      </c>
      <c r="F3458" s="43">
        <f>IF($E3458=0,0,YEAR($E3458))</f>
      </c>
      <c r="G3458" s="43">
        <f>IF(INDEX(DarlBindung,8)="",1,IF($E3458&lt;=INDEX(DarlBindung,8),1,0))</f>
      </c>
      <c r="H3458" s="43">
        <f>IF($G3458=1,INDEX(DarlSollzins,8),INDEX(DarlAnschluss,8))</f>
      </c>
      <c r="I3458" s="43">
        <f>IF(INDEX(DarlBelegt,8)=0,0,IF(INDEX(DarlOhneTilgung,8)=1,IF(INDEX(DarlBindung,8)="",1,$G3458),IF($J3458&gt;0.005,1,0)))</f>
      </c>
      <c r="J3458" s="43">
        <f>IF($I3457=0,0,$R3457)</f>
      </c>
      <c r="K3458" s="43">
        <f>IF($I3458=0,0,IF(INDEX(DarlOhneTilgung,8)=1,0,IF(AND(INDEX(DarlTilgStart,8)&gt;0,$E3458=INDEX(DarlTilgStart,8)),$J3458*($H3458+INDEX(DarlTilgung,8))/100/12,IF(AND($G3458=0,$G3457=1),MAX($K3457,$J3458*($H3458+1)/100/12),$K3457))))</f>
      </c>
      <c r="L3458" s="43">
        <f>IF($I3458=0,0,$J3458*$H3458/100/12)</f>
      </c>
      <c r="M3458" s="43">
        <f>IF($I3458=0,0,IF(OR(INDEX(DarlOhneTilgung,8)=1,AND(INDEX(DarlTilgStart,8)&gt;0,$E3458&lt;INDEX(DarlTilgStart,8))),0,MIN(MAX(0,$K3458-$L3458),$J3458)))</f>
      </c>
      <c r="N3458" s="43">
        <f>IF($I3458=0,0,MIN(SUMIFS(SondBetrag,SondDarl,8,SondDatum,"&gt;="&amp;$E3458,SondDatum,"&lt;="&amp;EOMONTH($E3458,0)),$J3458-$M3458))</f>
      </c>
      <c r="O3458" s="43">
        <f>IF($I3458=0,0,INDEX(DarlErsatzRate,8))</f>
      </c>
      <c r="P3458" s="43">
        <f>IF($I3458=0,0,$Q3457*INDEX(DarlErsatzZins,8))</f>
      </c>
      <c r="Q3458" s="43">
        <f>IF($I3458=0,0,$Q3457+$P3458+$O3458)</f>
      </c>
      <c r="R3458" s="43">
        <f>IF($I3458=0,0,$J3458-$M3458-$N3458)</f>
      </c>
    </row>
    <row r="3459">
      <c r="A3459"/>
      <c r="B3459">
        <v>8</v>
      </c>
      <c r="C3459" s="43">
        <f>INDEX(DarlObj,8)</f>
      </c>
      <c r="D3459">
        <v>96</v>
      </c>
      <c r="E3459" s="51">
        <f>IF(INDEX(DarlBelegt,8)=0,0,EOMONTH(INDEX(DarlAuszahlung,8),95)+1)</f>
      </c>
      <c r="F3459" s="43">
        <f>IF($E3459=0,0,YEAR($E3459))</f>
      </c>
      <c r="G3459" s="43">
        <f>IF(INDEX(DarlBindung,8)="",1,IF($E3459&lt;=INDEX(DarlBindung,8),1,0))</f>
      </c>
      <c r="H3459" s="43">
        <f>IF($G3459=1,INDEX(DarlSollzins,8),INDEX(DarlAnschluss,8))</f>
      </c>
      <c r="I3459" s="43">
        <f>IF(INDEX(DarlBelegt,8)=0,0,IF(INDEX(DarlOhneTilgung,8)=1,IF(INDEX(DarlBindung,8)="",1,$G3459),IF($J3459&gt;0.005,1,0)))</f>
      </c>
      <c r="J3459" s="43">
        <f>IF($I3458=0,0,$R3458)</f>
      </c>
      <c r="K3459" s="43">
        <f>IF($I3459=0,0,IF(INDEX(DarlOhneTilgung,8)=1,0,IF(AND(INDEX(DarlTilgStart,8)&gt;0,$E3459=INDEX(DarlTilgStart,8)),$J3459*($H3459+INDEX(DarlTilgung,8))/100/12,IF(AND($G3459=0,$G3458=1),MAX($K3458,$J3459*($H3459+1)/100/12),$K3458))))</f>
      </c>
      <c r="L3459" s="43">
        <f>IF($I3459=0,0,$J3459*$H3459/100/12)</f>
      </c>
      <c r="M3459" s="43">
        <f>IF($I3459=0,0,IF(OR(INDEX(DarlOhneTilgung,8)=1,AND(INDEX(DarlTilgStart,8)&gt;0,$E3459&lt;INDEX(DarlTilgStart,8))),0,MIN(MAX(0,$K3459-$L3459),$J3459)))</f>
      </c>
      <c r="N3459" s="43">
        <f>IF($I3459=0,0,MIN(SUMIFS(SondBetrag,SondDarl,8,SondDatum,"&gt;="&amp;$E3459,SondDatum,"&lt;="&amp;EOMONTH($E3459,0)),$J3459-$M3459))</f>
      </c>
      <c r="O3459" s="43">
        <f>IF($I3459=0,0,INDEX(DarlErsatzRate,8))</f>
      </c>
      <c r="P3459" s="43">
        <f>IF($I3459=0,0,$Q3458*INDEX(DarlErsatzZins,8))</f>
      </c>
      <c r="Q3459" s="43">
        <f>IF($I3459=0,0,$Q3458+$P3459+$O3459)</f>
      </c>
      <c r="R3459" s="43">
        <f>IF($I3459=0,0,$J3459-$M3459-$N3459)</f>
      </c>
    </row>
    <row r="3460">
      <c r="A3460"/>
      <c r="B3460">
        <v>8</v>
      </c>
      <c r="C3460" s="43">
        <f>INDEX(DarlObj,8)</f>
      </c>
      <c r="D3460">
        <v>97</v>
      </c>
      <c r="E3460" s="51">
        <f>IF(INDEX(DarlBelegt,8)=0,0,EOMONTH(INDEX(DarlAuszahlung,8),96)+1)</f>
      </c>
      <c r="F3460" s="43">
        <f>IF($E3460=0,0,YEAR($E3460))</f>
      </c>
      <c r="G3460" s="43">
        <f>IF(INDEX(DarlBindung,8)="",1,IF($E3460&lt;=INDEX(DarlBindung,8),1,0))</f>
      </c>
      <c r="H3460" s="43">
        <f>IF($G3460=1,INDEX(DarlSollzins,8),INDEX(DarlAnschluss,8))</f>
      </c>
      <c r="I3460" s="43">
        <f>IF(INDEX(DarlBelegt,8)=0,0,IF(INDEX(DarlOhneTilgung,8)=1,IF(INDEX(DarlBindung,8)="",1,$G3460),IF($J3460&gt;0.005,1,0)))</f>
      </c>
      <c r="J3460" s="43">
        <f>IF($I3459=0,0,$R3459)</f>
      </c>
      <c r="K3460" s="43">
        <f>IF($I3460=0,0,IF(INDEX(DarlOhneTilgung,8)=1,0,IF(AND(INDEX(DarlTilgStart,8)&gt;0,$E3460=INDEX(DarlTilgStart,8)),$J3460*($H3460+INDEX(DarlTilgung,8))/100/12,IF(AND($G3460=0,$G3459=1),MAX($K3459,$J3460*($H3460+1)/100/12),$K3459))))</f>
      </c>
      <c r="L3460" s="43">
        <f>IF($I3460=0,0,$J3460*$H3460/100/12)</f>
      </c>
      <c r="M3460" s="43">
        <f>IF($I3460=0,0,IF(OR(INDEX(DarlOhneTilgung,8)=1,AND(INDEX(DarlTilgStart,8)&gt;0,$E3460&lt;INDEX(DarlTilgStart,8))),0,MIN(MAX(0,$K3460-$L3460),$J3460)))</f>
      </c>
      <c r="N3460" s="43">
        <f>IF($I3460=0,0,MIN(SUMIFS(SondBetrag,SondDarl,8,SondDatum,"&gt;="&amp;$E3460,SondDatum,"&lt;="&amp;EOMONTH($E3460,0)),$J3460-$M3460))</f>
      </c>
      <c r="O3460" s="43">
        <f>IF($I3460=0,0,INDEX(DarlErsatzRate,8))</f>
      </c>
      <c r="P3460" s="43">
        <f>IF($I3460=0,0,$Q3459*INDEX(DarlErsatzZins,8))</f>
      </c>
      <c r="Q3460" s="43">
        <f>IF($I3460=0,0,$Q3459+$P3460+$O3460)</f>
      </c>
      <c r="R3460" s="43">
        <f>IF($I3460=0,0,$J3460-$M3460-$N3460)</f>
      </c>
    </row>
    <row r="3461">
      <c r="A3461"/>
      <c r="B3461">
        <v>8</v>
      </c>
      <c r="C3461" s="43">
        <f>INDEX(DarlObj,8)</f>
      </c>
      <c r="D3461">
        <v>98</v>
      </c>
      <c r="E3461" s="51">
        <f>IF(INDEX(DarlBelegt,8)=0,0,EOMONTH(INDEX(DarlAuszahlung,8),97)+1)</f>
      </c>
      <c r="F3461" s="43">
        <f>IF($E3461=0,0,YEAR($E3461))</f>
      </c>
      <c r="G3461" s="43">
        <f>IF(INDEX(DarlBindung,8)="",1,IF($E3461&lt;=INDEX(DarlBindung,8),1,0))</f>
      </c>
      <c r="H3461" s="43">
        <f>IF($G3461=1,INDEX(DarlSollzins,8),INDEX(DarlAnschluss,8))</f>
      </c>
      <c r="I3461" s="43">
        <f>IF(INDEX(DarlBelegt,8)=0,0,IF(INDEX(DarlOhneTilgung,8)=1,IF(INDEX(DarlBindung,8)="",1,$G3461),IF($J3461&gt;0.005,1,0)))</f>
      </c>
      <c r="J3461" s="43">
        <f>IF($I3460=0,0,$R3460)</f>
      </c>
      <c r="K3461" s="43">
        <f>IF($I3461=0,0,IF(INDEX(DarlOhneTilgung,8)=1,0,IF(AND(INDEX(DarlTilgStart,8)&gt;0,$E3461=INDEX(DarlTilgStart,8)),$J3461*($H3461+INDEX(DarlTilgung,8))/100/12,IF(AND($G3461=0,$G3460=1),MAX($K3460,$J3461*($H3461+1)/100/12),$K3460))))</f>
      </c>
      <c r="L3461" s="43">
        <f>IF($I3461=0,0,$J3461*$H3461/100/12)</f>
      </c>
      <c r="M3461" s="43">
        <f>IF($I3461=0,0,IF(OR(INDEX(DarlOhneTilgung,8)=1,AND(INDEX(DarlTilgStart,8)&gt;0,$E3461&lt;INDEX(DarlTilgStart,8))),0,MIN(MAX(0,$K3461-$L3461),$J3461)))</f>
      </c>
      <c r="N3461" s="43">
        <f>IF($I3461=0,0,MIN(SUMIFS(SondBetrag,SondDarl,8,SondDatum,"&gt;="&amp;$E3461,SondDatum,"&lt;="&amp;EOMONTH($E3461,0)),$J3461-$M3461))</f>
      </c>
      <c r="O3461" s="43">
        <f>IF($I3461=0,0,INDEX(DarlErsatzRate,8))</f>
      </c>
      <c r="P3461" s="43">
        <f>IF($I3461=0,0,$Q3460*INDEX(DarlErsatzZins,8))</f>
      </c>
      <c r="Q3461" s="43">
        <f>IF($I3461=0,0,$Q3460+$P3461+$O3461)</f>
      </c>
      <c r="R3461" s="43">
        <f>IF($I3461=0,0,$J3461-$M3461-$N3461)</f>
      </c>
    </row>
    <row r="3462">
      <c r="A3462"/>
      <c r="B3462">
        <v>8</v>
      </c>
      <c r="C3462" s="43">
        <f>INDEX(DarlObj,8)</f>
      </c>
      <c r="D3462">
        <v>99</v>
      </c>
      <c r="E3462" s="51">
        <f>IF(INDEX(DarlBelegt,8)=0,0,EOMONTH(INDEX(DarlAuszahlung,8),98)+1)</f>
      </c>
      <c r="F3462" s="43">
        <f>IF($E3462=0,0,YEAR($E3462))</f>
      </c>
      <c r="G3462" s="43">
        <f>IF(INDEX(DarlBindung,8)="",1,IF($E3462&lt;=INDEX(DarlBindung,8),1,0))</f>
      </c>
      <c r="H3462" s="43">
        <f>IF($G3462=1,INDEX(DarlSollzins,8),INDEX(DarlAnschluss,8))</f>
      </c>
      <c r="I3462" s="43">
        <f>IF(INDEX(DarlBelegt,8)=0,0,IF(INDEX(DarlOhneTilgung,8)=1,IF(INDEX(DarlBindung,8)="",1,$G3462),IF($J3462&gt;0.005,1,0)))</f>
      </c>
      <c r="J3462" s="43">
        <f>IF($I3461=0,0,$R3461)</f>
      </c>
      <c r="K3462" s="43">
        <f>IF($I3462=0,0,IF(INDEX(DarlOhneTilgung,8)=1,0,IF(AND(INDEX(DarlTilgStart,8)&gt;0,$E3462=INDEX(DarlTilgStart,8)),$J3462*($H3462+INDEX(DarlTilgung,8))/100/12,IF(AND($G3462=0,$G3461=1),MAX($K3461,$J3462*($H3462+1)/100/12),$K3461))))</f>
      </c>
      <c r="L3462" s="43">
        <f>IF($I3462=0,0,$J3462*$H3462/100/12)</f>
      </c>
      <c r="M3462" s="43">
        <f>IF($I3462=0,0,IF(OR(INDEX(DarlOhneTilgung,8)=1,AND(INDEX(DarlTilgStart,8)&gt;0,$E3462&lt;INDEX(DarlTilgStart,8))),0,MIN(MAX(0,$K3462-$L3462),$J3462)))</f>
      </c>
      <c r="N3462" s="43">
        <f>IF($I3462=0,0,MIN(SUMIFS(SondBetrag,SondDarl,8,SondDatum,"&gt;="&amp;$E3462,SondDatum,"&lt;="&amp;EOMONTH($E3462,0)),$J3462-$M3462))</f>
      </c>
      <c r="O3462" s="43">
        <f>IF($I3462=0,0,INDEX(DarlErsatzRate,8))</f>
      </c>
      <c r="P3462" s="43">
        <f>IF($I3462=0,0,$Q3461*INDEX(DarlErsatzZins,8))</f>
      </c>
      <c r="Q3462" s="43">
        <f>IF($I3462=0,0,$Q3461+$P3462+$O3462)</f>
      </c>
      <c r="R3462" s="43">
        <f>IF($I3462=0,0,$J3462-$M3462-$N3462)</f>
      </c>
    </row>
    <row r="3463">
      <c r="A3463"/>
      <c r="B3463">
        <v>8</v>
      </c>
      <c r="C3463" s="43">
        <f>INDEX(DarlObj,8)</f>
      </c>
      <c r="D3463">
        <v>100</v>
      </c>
      <c r="E3463" s="51">
        <f>IF(INDEX(DarlBelegt,8)=0,0,EOMONTH(INDEX(DarlAuszahlung,8),99)+1)</f>
      </c>
      <c r="F3463" s="43">
        <f>IF($E3463=0,0,YEAR($E3463))</f>
      </c>
      <c r="G3463" s="43">
        <f>IF(INDEX(DarlBindung,8)="",1,IF($E3463&lt;=INDEX(DarlBindung,8),1,0))</f>
      </c>
      <c r="H3463" s="43">
        <f>IF($G3463=1,INDEX(DarlSollzins,8),INDEX(DarlAnschluss,8))</f>
      </c>
      <c r="I3463" s="43">
        <f>IF(INDEX(DarlBelegt,8)=0,0,IF(INDEX(DarlOhneTilgung,8)=1,IF(INDEX(DarlBindung,8)="",1,$G3463),IF($J3463&gt;0.005,1,0)))</f>
      </c>
      <c r="J3463" s="43">
        <f>IF($I3462=0,0,$R3462)</f>
      </c>
      <c r="K3463" s="43">
        <f>IF($I3463=0,0,IF(INDEX(DarlOhneTilgung,8)=1,0,IF(AND(INDEX(DarlTilgStart,8)&gt;0,$E3463=INDEX(DarlTilgStart,8)),$J3463*($H3463+INDEX(DarlTilgung,8))/100/12,IF(AND($G3463=0,$G3462=1),MAX($K3462,$J3463*($H3463+1)/100/12),$K3462))))</f>
      </c>
      <c r="L3463" s="43">
        <f>IF($I3463=0,0,$J3463*$H3463/100/12)</f>
      </c>
      <c r="M3463" s="43">
        <f>IF($I3463=0,0,IF(OR(INDEX(DarlOhneTilgung,8)=1,AND(INDEX(DarlTilgStart,8)&gt;0,$E3463&lt;INDEX(DarlTilgStart,8))),0,MIN(MAX(0,$K3463-$L3463),$J3463)))</f>
      </c>
      <c r="N3463" s="43">
        <f>IF($I3463=0,0,MIN(SUMIFS(SondBetrag,SondDarl,8,SondDatum,"&gt;="&amp;$E3463,SondDatum,"&lt;="&amp;EOMONTH($E3463,0)),$J3463-$M3463))</f>
      </c>
      <c r="O3463" s="43">
        <f>IF($I3463=0,0,INDEX(DarlErsatzRate,8))</f>
      </c>
      <c r="P3463" s="43">
        <f>IF($I3463=0,0,$Q3462*INDEX(DarlErsatzZins,8))</f>
      </c>
      <c r="Q3463" s="43">
        <f>IF($I3463=0,0,$Q3462+$P3463+$O3463)</f>
      </c>
      <c r="R3463" s="43">
        <f>IF($I3463=0,0,$J3463-$M3463-$N3463)</f>
      </c>
    </row>
    <row r="3464">
      <c r="A3464"/>
      <c r="B3464">
        <v>8</v>
      </c>
      <c r="C3464" s="43">
        <f>INDEX(DarlObj,8)</f>
      </c>
      <c r="D3464">
        <v>101</v>
      </c>
      <c r="E3464" s="51">
        <f>IF(INDEX(DarlBelegt,8)=0,0,EOMONTH(INDEX(DarlAuszahlung,8),100)+1)</f>
      </c>
      <c r="F3464" s="43">
        <f>IF($E3464=0,0,YEAR($E3464))</f>
      </c>
      <c r="G3464" s="43">
        <f>IF(INDEX(DarlBindung,8)="",1,IF($E3464&lt;=INDEX(DarlBindung,8),1,0))</f>
      </c>
      <c r="H3464" s="43">
        <f>IF($G3464=1,INDEX(DarlSollzins,8),INDEX(DarlAnschluss,8))</f>
      </c>
      <c r="I3464" s="43">
        <f>IF(INDEX(DarlBelegt,8)=0,0,IF(INDEX(DarlOhneTilgung,8)=1,IF(INDEX(DarlBindung,8)="",1,$G3464),IF($J3464&gt;0.005,1,0)))</f>
      </c>
      <c r="J3464" s="43">
        <f>IF($I3463=0,0,$R3463)</f>
      </c>
      <c r="K3464" s="43">
        <f>IF($I3464=0,0,IF(INDEX(DarlOhneTilgung,8)=1,0,IF(AND(INDEX(DarlTilgStart,8)&gt;0,$E3464=INDEX(DarlTilgStart,8)),$J3464*($H3464+INDEX(DarlTilgung,8))/100/12,IF(AND($G3464=0,$G3463=1),MAX($K3463,$J3464*($H3464+1)/100/12),$K3463))))</f>
      </c>
      <c r="L3464" s="43">
        <f>IF($I3464=0,0,$J3464*$H3464/100/12)</f>
      </c>
      <c r="M3464" s="43">
        <f>IF($I3464=0,0,IF(OR(INDEX(DarlOhneTilgung,8)=1,AND(INDEX(DarlTilgStart,8)&gt;0,$E3464&lt;INDEX(DarlTilgStart,8))),0,MIN(MAX(0,$K3464-$L3464),$J3464)))</f>
      </c>
      <c r="N3464" s="43">
        <f>IF($I3464=0,0,MIN(SUMIFS(SondBetrag,SondDarl,8,SondDatum,"&gt;="&amp;$E3464,SondDatum,"&lt;="&amp;EOMONTH($E3464,0)),$J3464-$M3464))</f>
      </c>
      <c r="O3464" s="43">
        <f>IF($I3464=0,0,INDEX(DarlErsatzRate,8))</f>
      </c>
      <c r="P3464" s="43">
        <f>IF($I3464=0,0,$Q3463*INDEX(DarlErsatzZins,8))</f>
      </c>
      <c r="Q3464" s="43">
        <f>IF($I3464=0,0,$Q3463+$P3464+$O3464)</f>
      </c>
      <c r="R3464" s="43">
        <f>IF($I3464=0,0,$J3464-$M3464-$N3464)</f>
      </c>
    </row>
    <row r="3465">
      <c r="A3465"/>
      <c r="B3465">
        <v>8</v>
      </c>
      <c r="C3465" s="43">
        <f>INDEX(DarlObj,8)</f>
      </c>
      <c r="D3465">
        <v>102</v>
      </c>
      <c r="E3465" s="51">
        <f>IF(INDEX(DarlBelegt,8)=0,0,EOMONTH(INDEX(DarlAuszahlung,8),101)+1)</f>
      </c>
      <c r="F3465" s="43">
        <f>IF($E3465=0,0,YEAR($E3465))</f>
      </c>
      <c r="G3465" s="43">
        <f>IF(INDEX(DarlBindung,8)="",1,IF($E3465&lt;=INDEX(DarlBindung,8),1,0))</f>
      </c>
      <c r="H3465" s="43">
        <f>IF($G3465=1,INDEX(DarlSollzins,8),INDEX(DarlAnschluss,8))</f>
      </c>
      <c r="I3465" s="43">
        <f>IF(INDEX(DarlBelegt,8)=0,0,IF(INDEX(DarlOhneTilgung,8)=1,IF(INDEX(DarlBindung,8)="",1,$G3465),IF($J3465&gt;0.005,1,0)))</f>
      </c>
      <c r="J3465" s="43">
        <f>IF($I3464=0,0,$R3464)</f>
      </c>
      <c r="K3465" s="43">
        <f>IF($I3465=0,0,IF(INDEX(DarlOhneTilgung,8)=1,0,IF(AND(INDEX(DarlTilgStart,8)&gt;0,$E3465=INDEX(DarlTilgStart,8)),$J3465*($H3465+INDEX(DarlTilgung,8))/100/12,IF(AND($G3465=0,$G3464=1),MAX($K3464,$J3465*($H3465+1)/100/12),$K3464))))</f>
      </c>
      <c r="L3465" s="43">
        <f>IF($I3465=0,0,$J3465*$H3465/100/12)</f>
      </c>
      <c r="M3465" s="43">
        <f>IF($I3465=0,0,IF(OR(INDEX(DarlOhneTilgung,8)=1,AND(INDEX(DarlTilgStart,8)&gt;0,$E3465&lt;INDEX(DarlTilgStart,8))),0,MIN(MAX(0,$K3465-$L3465),$J3465)))</f>
      </c>
      <c r="N3465" s="43">
        <f>IF($I3465=0,0,MIN(SUMIFS(SondBetrag,SondDarl,8,SondDatum,"&gt;="&amp;$E3465,SondDatum,"&lt;="&amp;EOMONTH($E3465,0)),$J3465-$M3465))</f>
      </c>
      <c r="O3465" s="43">
        <f>IF($I3465=0,0,INDEX(DarlErsatzRate,8))</f>
      </c>
      <c r="P3465" s="43">
        <f>IF($I3465=0,0,$Q3464*INDEX(DarlErsatzZins,8))</f>
      </c>
      <c r="Q3465" s="43">
        <f>IF($I3465=0,0,$Q3464+$P3465+$O3465)</f>
      </c>
      <c r="R3465" s="43">
        <f>IF($I3465=0,0,$J3465-$M3465-$N3465)</f>
      </c>
    </row>
    <row r="3466">
      <c r="A3466"/>
      <c r="B3466">
        <v>8</v>
      </c>
      <c r="C3466" s="43">
        <f>INDEX(DarlObj,8)</f>
      </c>
      <c r="D3466">
        <v>103</v>
      </c>
      <c r="E3466" s="51">
        <f>IF(INDEX(DarlBelegt,8)=0,0,EOMONTH(INDEX(DarlAuszahlung,8),102)+1)</f>
      </c>
      <c r="F3466" s="43">
        <f>IF($E3466=0,0,YEAR($E3466))</f>
      </c>
      <c r="G3466" s="43">
        <f>IF(INDEX(DarlBindung,8)="",1,IF($E3466&lt;=INDEX(DarlBindung,8),1,0))</f>
      </c>
      <c r="H3466" s="43">
        <f>IF($G3466=1,INDEX(DarlSollzins,8),INDEX(DarlAnschluss,8))</f>
      </c>
      <c r="I3466" s="43">
        <f>IF(INDEX(DarlBelegt,8)=0,0,IF(INDEX(DarlOhneTilgung,8)=1,IF(INDEX(DarlBindung,8)="",1,$G3466),IF($J3466&gt;0.005,1,0)))</f>
      </c>
      <c r="J3466" s="43">
        <f>IF($I3465=0,0,$R3465)</f>
      </c>
      <c r="K3466" s="43">
        <f>IF($I3466=0,0,IF(INDEX(DarlOhneTilgung,8)=1,0,IF(AND(INDEX(DarlTilgStart,8)&gt;0,$E3466=INDEX(DarlTilgStart,8)),$J3466*($H3466+INDEX(DarlTilgung,8))/100/12,IF(AND($G3466=0,$G3465=1),MAX($K3465,$J3466*($H3466+1)/100/12),$K3465))))</f>
      </c>
      <c r="L3466" s="43">
        <f>IF($I3466=0,0,$J3466*$H3466/100/12)</f>
      </c>
      <c r="M3466" s="43">
        <f>IF($I3466=0,0,IF(OR(INDEX(DarlOhneTilgung,8)=1,AND(INDEX(DarlTilgStart,8)&gt;0,$E3466&lt;INDEX(DarlTilgStart,8))),0,MIN(MAX(0,$K3466-$L3466),$J3466)))</f>
      </c>
      <c r="N3466" s="43">
        <f>IF($I3466=0,0,MIN(SUMIFS(SondBetrag,SondDarl,8,SondDatum,"&gt;="&amp;$E3466,SondDatum,"&lt;="&amp;EOMONTH($E3466,0)),$J3466-$M3466))</f>
      </c>
      <c r="O3466" s="43">
        <f>IF($I3466=0,0,INDEX(DarlErsatzRate,8))</f>
      </c>
      <c r="P3466" s="43">
        <f>IF($I3466=0,0,$Q3465*INDEX(DarlErsatzZins,8))</f>
      </c>
      <c r="Q3466" s="43">
        <f>IF($I3466=0,0,$Q3465+$P3466+$O3466)</f>
      </c>
      <c r="R3466" s="43">
        <f>IF($I3466=0,0,$J3466-$M3466-$N3466)</f>
      </c>
    </row>
    <row r="3467">
      <c r="A3467"/>
      <c r="B3467">
        <v>8</v>
      </c>
      <c r="C3467" s="43">
        <f>INDEX(DarlObj,8)</f>
      </c>
      <c r="D3467">
        <v>104</v>
      </c>
      <c r="E3467" s="51">
        <f>IF(INDEX(DarlBelegt,8)=0,0,EOMONTH(INDEX(DarlAuszahlung,8),103)+1)</f>
      </c>
      <c r="F3467" s="43">
        <f>IF($E3467=0,0,YEAR($E3467))</f>
      </c>
      <c r="G3467" s="43">
        <f>IF(INDEX(DarlBindung,8)="",1,IF($E3467&lt;=INDEX(DarlBindung,8),1,0))</f>
      </c>
      <c r="H3467" s="43">
        <f>IF($G3467=1,INDEX(DarlSollzins,8),INDEX(DarlAnschluss,8))</f>
      </c>
      <c r="I3467" s="43">
        <f>IF(INDEX(DarlBelegt,8)=0,0,IF(INDEX(DarlOhneTilgung,8)=1,IF(INDEX(DarlBindung,8)="",1,$G3467),IF($J3467&gt;0.005,1,0)))</f>
      </c>
      <c r="J3467" s="43">
        <f>IF($I3466=0,0,$R3466)</f>
      </c>
      <c r="K3467" s="43">
        <f>IF($I3467=0,0,IF(INDEX(DarlOhneTilgung,8)=1,0,IF(AND(INDEX(DarlTilgStart,8)&gt;0,$E3467=INDEX(DarlTilgStart,8)),$J3467*($H3467+INDEX(DarlTilgung,8))/100/12,IF(AND($G3467=0,$G3466=1),MAX($K3466,$J3467*($H3467+1)/100/12),$K3466))))</f>
      </c>
      <c r="L3467" s="43">
        <f>IF($I3467=0,0,$J3467*$H3467/100/12)</f>
      </c>
      <c r="M3467" s="43">
        <f>IF($I3467=0,0,IF(OR(INDEX(DarlOhneTilgung,8)=1,AND(INDEX(DarlTilgStart,8)&gt;0,$E3467&lt;INDEX(DarlTilgStart,8))),0,MIN(MAX(0,$K3467-$L3467),$J3467)))</f>
      </c>
      <c r="N3467" s="43">
        <f>IF($I3467=0,0,MIN(SUMIFS(SondBetrag,SondDarl,8,SondDatum,"&gt;="&amp;$E3467,SondDatum,"&lt;="&amp;EOMONTH($E3467,0)),$J3467-$M3467))</f>
      </c>
      <c r="O3467" s="43">
        <f>IF($I3467=0,0,INDEX(DarlErsatzRate,8))</f>
      </c>
      <c r="P3467" s="43">
        <f>IF($I3467=0,0,$Q3466*INDEX(DarlErsatzZins,8))</f>
      </c>
      <c r="Q3467" s="43">
        <f>IF($I3467=0,0,$Q3466+$P3467+$O3467)</f>
      </c>
      <c r="R3467" s="43">
        <f>IF($I3467=0,0,$J3467-$M3467-$N3467)</f>
      </c>
    </row>
    <row r="3468">
      <c r="A3468"/>
      <c r="B3468">
        <v>8</v>
      </c>
      <c r="C3468" s="43">
        <f>INDEX(DarlObj,8)</f>
      </c>
      <c r="D3468">
        <v>105</v>
      </c>
      <c r="E3468" s="51">
        <f>IF(INDEX(DarlBelegt,8)=0,0,EOMONTH(INDEX(DarlAuszahlung,8),104)+1)</f>
      </c>
      <c r="F3468" s="43">
        <f>IF($E3468=0,0,YEAR($E3468))</f>
      </c>
      <c r="G3468" s="43">
        <f>IF(INDEX(DarlBindung,8)="",1,IF($E3468&lt;=INDEX(DarlBindung,8),1,0))</f>
      </c>
      <c r="H3468" s="43">
        <f>IF($G3468=1,INDEX(DarlSollzins,8),INDEX(DarlAnschluss,8))</f>
      </c>
      <c r="I3468" s="43">
        <f>IF(INDEX(DarlBelegt,8)=0,0,IF(INDEX(DarlOhneTilgung,8)=1,IF(INDEX(DarlBindung,8)="",1,$G3468),IF($J3468&gt;0.005,1,0)))</f>
      </c>
      <c r="J3468" s="43">
        <f>IF($I3467=0,0,$R3467)</f>
      </c>
      <c r="K3468" s="43">
        <f>IF($I3468=0,0,IF(INDEX(DarlOhneTilgung,8)=1,0,IF(AND(INDEX(DarlTilgStart,8)&gt;0,$E3468=INDEX(DarlTilgStart,8)),$J3468*($H3468+INDEX(DarlTilgung,8))/100/12,IF(AND($G3468=0,$G3467=1),MAX($K3467,$J3468*($H3468+1)/100/12),$K3467))))</f>
      </c>
      <c r="L3468" s="43">
        <f>IF($I3468=0,0,$J3468*$H3468/100/12)</f>
      </c>
      <c r="M3468" s="43">
        <f>IF($I3468=0,0,IF(OR(INDEX(DarlOhneTilgung,8)=1,AND(INDEX(DarlTilgStart,8)&gt;0,$E3468&lt;INDEX(DarlTilgStart,8))),0,MIN(MAX(0,$K3468-$L3468),$J3468)))</f>
      </c>
      <c r="N3468" s="43">
        <f>IF($I3468=0,0,MIN(SUMIFS(SondBetrag,SondDarl,8,SondDatum,"&gt;="&amp;$E3468,SondDatum,"&lt;="&amp;EOMONTH($E3468,0)),$J3468-$M3468))</f>
      </c>
      <c r="O3468" s="43">
        <f>IF($I3468=0,0,INDEX(DarlErsatzRate,8))</f>
      </c>
      <c r="P3468" s="43">
        <f>IF($I3468=0,0,$Q3467*INDEX(DarlErsatzZins,8))</f>
      </c>
      <c r="Q3468" s="43">
        <f>IF($I3468=0,0,$Q3467+$P3468+$O3468)</f>
      </c>
      <c r="R3468" s="43">
        <f>IF($I3468=0,0,$J3468-$M3468-$N3468)</f>
      </c>
    </row>
    <row r="3469">
      <c r="A3469"/>
      <c r="B3469">
        <v>8</v>
      </c>
      <c r="C3469" s="43">
        <f>INDEX(DarlObj,8)</f>
      </c>
      <c r="D3469">
        <v>106</v>
      </c>
      <c r="E3469" s="51">
        <f>IF(INDEX(DarlBelegt,8)=0,0,EOMONTH(INDEX(DarlAuszahlung,8),105)+1)</f>
      </c>
      <c r="F3469" s="43">
        <f>IF($E3469=0,0,YEAR($E3469))</f>
      </c>
      <c r="G3469" s="43">
        <f>IF(INDEX(DarlBindung,8)="",1,IF($E3469&lt;=INDEX(DarlBindung,8),1,0))</f>
      </c>
      <c r="H3469" s="43">
        <f>IF($G3469=1,INDEX(DarlSollzins,8),INDEX(DarlAnschluss,8))</f>
      </c>
      <c r="I3469" s="43">
        <f>IF(INDEX(DarlBelegt,8)=0,0,IF(INDEX(DarlOhneTilgung,8)=1,IF(INDEX(DarlBindung,8)="",1,$G3469),IF($J3469&gt;0.005,1,0)))</f>
      </c>
      <c r="J3469" s="43">
        <f>IF($I3468=0,0,$R3468)</f>
      </c>
      <c r="K3469" s="43">
        <f>IF($I3469=0,0,IF(INDEX(DarlOhneTilgung,8)=1,0,IF(AND(INDEX(DarlTilgStart,8)&gt;0,$E3469=INDEX(DarlTilgStart,8)),$J3469*($H3469+INDEX(DarlTilgung,8))/100/12,IF(AND($G3469=0,$G3468=1),MAX($K3468,$J3469*($H3469+1)/100/12),$K3468))))</f>
      </c>
      <c r="L3469" s="43">
        <f>IF($I3469=0,0,$J3469*$H3469/100/12)</f>
      </c>
      <c r="M3469" s="43">
        <f>IF($I3469=0,0,IF(OR(INDEX(DarlOhneTilgung,8)=1,AND(INDEX(DarlTilgStart,8)&gt;0,$E3469&lt;INDEX(DarlTilgStart,8))),0,MIN(MAX(0,$K3469-$L3469),$J3469)))</f>
      </c>
      <c r="N3469" s="43">
        <f>IF($I3469=0,0,MIN(SUMIFS(SondBetrag,SondDarl,8,SondDatum,"&gt;="&amp;$E3469,SondDatum,"&lt;="&amp;EOMONTH($E3469,0)),$J3469-$M3469))</f>
      </c>
      <c r="O3469" s="43">
        <f>IF($I3469=0,0,INDEX(DarlErsatzRate,8))</f>
      </c>
      <c r="P3469" s="43">
        <f>IF($I3469=0,0,$Q3468*INDEX(DarlErsatzZins,8))</f>
      </c>
      <c r="Q3469" s="43">
        <f>IF($I3469=0,0,$Q3468+$P3469+$O3469)</f>
      </c>
      <c r="R3469" s="43">
        <f>IF($I3469=0,0,$J3469-$M3469-$N3469)</f>
      </c>
    </row>
    <row r="3470">
      <c r="A3470"/>
      <c r="B3470">
        <v>8</v>
      </c>
      <c r="C3470" s="43">
        <f>INDEX(DarlObj,8)</f>
      </c>
      <c r="D3470">
        <v>107</v>
      </c>
      <c r="E3470" s="51">
        <f>IF(INDEX(DarlBelegt,8)=0,0,EOMONTH(INDEX(DarlAuszahlung,8),106)+1)</f>
      </c>
      <c r="F3470" s="43">
        <f>IF($E3470=0,0,YEAR($E3470))</f>
      </c>
      <c r="G3470" s="43">
        <f>IF(INDEX(DarlBindung,8)="",1,IF($E3470&lt;=INDEX(DarlBindung,8),1,0))</f>
      </c>
      <c r="H3470" s="43">
        <f>IF($G3470=1,INDEX(DarlSollzins,8),INDEX(DarlAnschluss,8))</f>
      </c>
      <c r="I3470" s="43">
        <f>IF(INDEX(DarlBelegt,8)=0,0,IF(INDEX(DarlOhneTilgung,8)=1,IF(INDEX(DarlBindung,8)="",1,$G3470),IF($J3470&gt;0.005,1,0)))</f>
      </c>
      <c r="J3470" s="43">
        <f>IF($I3469=0,0,$R3469)</f>
      </c>
      <c r="K3470" s="43">
        <f>IF($I3470=0,0,IF(INDEX(DarlOhneTilgung,8)=1,0,IF(AND(INDEX(DarlTilgStart,8)&gt;0,$E3470=INDEX(DarlTilgStart,8)),$J3470*($H3470+INDEX(DarlTilgung,8))/100/12,IF(AND($G3470=0,$G3469=1),MAX($K3469,$J3470*($H3470+1)/100/12),$K3469))))</f>
      </c>
      <c r="L3470" s="43">
        <f>IF($I3470=0,0,$J3470*$H3470/100/12)</f>
      </c>
      <c r="M3470" s="43">
        <f>IF($I3470=0,0,IF(OR(INDEX(DarlOhneTilgung,8)=1,AND(INDEX(DarlTilgStart,8)&gt;0,$E3470&lt;INDEX(DarlTilgStart,8))),0,MIN(MAX(0,$K3470-$L3470),$J3470)))</f>
      </c>
      <c r="N3470" s="43">
        <f>IF($I3470=0,0,MIN(SUMIFS(SondBetrag,SondDarl,8,SondDatum,"&gt;="&amp;$E3470,SondDatum,"&lt;="&amp;EOMONTH($E3470,0)),$J3470-$M3470))</f>
      </c>
      <c r="O3470" s="43">
        <f>IF($I3470=0,0,INDEX(DarlErsatzRate,8))</f>
      </c>
      <c r="P3470" s="43">
        <f>IF($I3470=0,0,$Q3469*INDEX(DarlErsatzZins,8))</f>
      </c>
      <c r="Q3470" s="43">
        <f>IF($I3470=0,0,$Q3469+$P3470+$O3470)</f>
      </c>
      <c r="R3470" s="43">
        <f>IF($I3470=0,0,$J3470-$M3470-$N3470)</f>
      </c>
    </row>
    <row r="3471">
      <c r="A3471"/>
      <c r="B3471">
        <v>8</v>
      </c>
      <c r="C3471" s="43">
        <f>INDEX(DarlObj,8)</f>
      </c>
      <c r="D3471">
        <v>108</v>
      </c>
      <c r="E3471" s="51">
        <f>IF(INDEX(DarlBelegt,8)=0,0,EOMONTH(INDEX(DarlAuszahlung,8),107)+1)</f>
      </c>
      <c r="F3471" s="43">
        <f>IF($E3471=0,0,YEAR($E3471))</f>
      </c>
      <c r="G3471" s="43">
        <f>IF(INDEX(DarlBindung,8)="",1,IF($E3471&lt;=INDEX(DarlBindung,8),1,0))</f>
      </c>
      <c r="H3471" s="43">
        <f>IF($G3471=1,INDEX(DarlSollzins,8),INDEX(DarlAnschluss,8))</f>
      </c>
      <c r="I3471" s="43">
        <f>IF(INDEX(DarlBelegt,8)=0,0,IF(INDEX(DarlOhneTilgung,8)=1,IF(INDEX(DarlBindung,8)="",1,$G3471),IF($J3471&gt;0.005,1,0)))</f>
      </c>
      <c r="J3471" s="43">
        <f>IF($I3470=0,0,$R3470)</f>
      </c>
      <c r="K3471" s="43">
        <f>IF($I3471=0,0,IF(INDEX(DarlOhneTilgung,8)=1,0,IF(AND(INDEX(DarlTilgStart,8)&gt;0,$E3471=INDEX(DarlTilgStart,8)),$J3471*($H3471+INDEX(DarlTilgung,8))/100/12,IF(AND($G3471=0,$G3470=1),MAX($K3470,$J3471*($H3471+1)/100/12),$K3470))))</f>
      </c>
      <c r="L3471" s="43">
        <f>IF($I3471=0,0,$J3471*$H3471/100/12)</f>
      </c>
      <c r="M3471" s="43">
        <f>IF($I3471=0,0,IF(OR(INDEX(DarlOhneTilgung,8)=1,AND(INDEX(DarlTilgStart,8)&gt;0,$E3471&lt;INDEX(DarlTilgStart,8))),0,MIN(MAX(0,$K3471-$L3471),$J3471)))</f>
      </c>
      <c r="N3471" s="43">
        <f>IF($I3471=0,0,MIN(SUMIFS(SondBetrag,SondDarl,8,SondDatum,"&gt;="&amp;$E3471,SondDatum,"&lt;="&amp;EOMONTH($E3471,0)),$J3471-$M3471))</f>
      </c>
      <c r="O3471" s="43">
        <f>IF($I3471=0,0,INDEX(DarlErsatzRate,8))</f>
      </c>
      <c r="P3471" s="43">
        <f>IF($I3471=0,0,$Q3470*INDEX(DarlErsatzZins,8))</f>
      </c>
      <c r="Q3471" s="43">
        <f>IF($I3471=0,0,$Q3470+$P3471+$O3471)</f>
      </c>
      <c r="R3471" s="43">
        <f>IF($I3471=0,0,$J3471-$M3471-$N3471)</f>
      </c>
    </row>
    <row r="3472">
      <c r="A3472"/>
      <c r="B3472">
        <v>8</v>
      </c>
      <c r="C3472" s="43">
        <f>INDEX(DarlObj,8)</f>
      </c>
      <c r="D3472">
        <v>109</v>
      </c>
      <c r="E3472" s="51">
        <f>IF(INDEX(DarlBelegt,8)=0,0,EOMONTH(INDEX(DarlAuszahlung,8),108)+1)</f>
      </c>
      <c r="F3472" s="43">
        <f>IF($E3472=0,0,YEAR($E3472))</f>
      </c>
      <c r="G3472" s="43">
        <f>IF(INDEX(DarlBindung,8)="",1,IF($E3472&lt;=INDEX(DarlBindung,8),1,0))</f>
      </c>
      <c r="H3472" s="43">
        <f>IF($G3472=1,INDEX(DarlSollzins,8),INDEX(DarlAnschluss,8))</f>
      </c>
      <c r="I3472" s="43">
        <f>IF(INDEX(DarlBelegt,8)=0,0,IF(INDEX(DarlOhneTilgung,8)=1,IF(INDEX(DarlBindung,8)="",1,$G3472),IF($J3472&gt;0.005,1,0)))</f>
      </c>
      <c r="J3472" s="43">
        <f>IF($I3471=0,0,$R3471)</f>
      </c>
      <c r="K3472" s="43">
        <f>IF($I3472=0,0,IF(INDEX(DarlOhneTilgung,8)=1,0,IF(AND(INDEX(DarlTilgStart,8)&gt;0,$E3472=INDEX(DarlTilgStart,8)),$J3472*($H3472+INDEX(DarlTilgung,8))/100/12,IF(AND($G3472=0,$G3471=1),MAX($K3471,$J3472*($H3472+1)/100/12),$K3471))))</f>
      </c>
      <c r="L3472" s="43">
        <f>IF($I3472=0,0,$J3472*$H3472/100/12)</f>
      </c>
      <c r="M3472" s="43">
        <f>IF($I3472=0,0,IF(OR(INDEX(DarlOhneTilgung,8)=1,AND(INDEX(DarlTilgStart,8)&gt;0,$E3472&lt;INDEX(DarlTilgStart,8))),0,MIN(MAX(0,$K3472-$L3472),$J3472)))</f>
      </c>
      <c r="N3472" s="43">
        <f>IF($I3472=0,0,MIN(SUMIFS(SondBetrag,SondDarl,8,SondDatum,"&gt;="&amp;$E3472,SondDatum,"&lt;="&amp;EOMONTH($E3472,0)),$J3472-$M3472))</f>
      </c>
      <c r="O3472" s="43">
        <f>IF($I3472=0,0,INDEX(DarlErsatzRate,8))</f>
      </c>
      <c r="P3472" s="43">
        <f>IF($I3472=0,0,$Q3471*INDEX(DarlErsatzZins,8))</f>
      </c>
      <c r="Q3472" s="43">
        <f>IF($I3472=0,0,$Q3471+$P3472+$O3472)</f>
      </c>
      <c r="R3472" s="43">
        <f>IF($I3472=0,0,$J3472-$M3472-$N3472)</f>
      </c>
    </row>
    <row r="3473">
      <c r="A3473"/>
      <c r="B3473">
        <v>8</v>
      </c>
      <c r="C3473" s="43">
        <f>INDEX(DarlObj,8)</f>
      </c>
      <c r="D3473">
        <v>110</v>
      </c>
      <c r="E3473" s="51">
        <f>IF(INDEX(DarlBelegt,8)=0,0,EOMONTH(INDEX(DarlAuszahlung,8),109)+1)</f>
      </c>
      <c r="F3473" s="43">
        <f>IF($E3473=0,0,YEAR($E3473))</f>
      </c>
      <c r="G3473" s="43">
        <f>IF(INDEX(DarlBindung,8)="",1,IF($E3473&lt;=INDEX(DarlBindung,8),1,0))</f>
      </c>
      <c r="H3473" s="43">
        <f>IF($G3473=1,INDEX(DarlSollzins,8),INDEX(DarlAnschluss,8))</f>
      </c>
      <c r="I3473" s="43">
        <f>IF(INDEX(DarlBelegt,8)=0,0,IF(INDEX(DarlOhneTilgung,8)=1,IF(INDEX(DarlBindung,8)="",1,$G3473),IF($J3473&gt;0.005,1,0)))</f>
      </c>
      <c r="J3473" s="43">
        <f>IF($I3472=0,0,$R3472)</f>
      </c>
      <c r="K3473" s="43">
        <f>IF($I3473=0,0,IF(INDEX(DarlOhneTilgung,8)=1,0,IF(AND(INDEX(DarlTilgStart,8)&gt;0,$E3473=INDEX(DarlTilgStart,8)),$J3473*($H3473+INDEX(DarlTilgung,8))/100/12,IF(AND($G3473=0,$G3472=1),MAX($K3472,$J3473*($H3473+1)/100/12),$K3472))))</f>
      </c>
      <c r="L3473" s="43">
        <f>IF($I3473=0,0,$J3473*$H3473/100/12)</f>
      </c>
      <c r="M3473" s="43">
        <f>IF($I3473=0,0,IF(OR(INDEX(DarlOhneTilgung,8)=1,AND(INDEX(DarlTilgStart,8)&gt;0,$E3473&lt;INDEX(DarlTilgStart,8))),0,MIN(MAX(0,$K3473-$L3473),$J3473)))</f>
      </c>
      <c r="N3473" s="43">
        <f>IF($I3473=0,0,MIN(SUMIFS(SondBetrag,SondDarl,8,SondDatum,"&gt;="&amp;$E3473,SondDatum,"&lt;="&amp;EOMONTH($E3473,0)),$J3473-$M3473))</f>
      </c>
      <c r="O3473" s="43">
        <f>IF($I3473=0,0,INDEX(DarlErsatzRate,8))</f>
      </c>
      <c r="P3473" s="43">
        <f>IF($I3473=0,0,$Q3472*INDEX(DarlErsatzZins,8))</f>
      </c>
      <c r="Q3473" s="43">
        <f>IF($I3473=0,0,$Q3472+$P3473+$O3473)</f>
      </c>
      <c r="R3473" s="43">
        <f>IF($I3473=0,0,$J3473-$M3473-$N3473)</f>
      </c>
    </row>
    <row r="3474">
      <c r="A3474"/>
      <c r="B3474">
        <v>8</v>
      </c>
      <c r="C3474" s="43">
        <f>INDEX(DarlObj,8)</f>
      </c>
      <c r="D3474">
        <v>111</v>
      </c>
      <c r="E3474" s="51">
        <f>IF(INDEX(DarlBelegt,8)=0,0,EOMONTH(INDEX(DarlAuszahlung,8),110)+1)</f>
      </c>
      <c r="F3474" s="43">
        <f>IF($E3474=0,0,YEAR($E3474))</f>
      </c>
      <c r="G3474" s="43">
        <f>IF(INDEX(DarlBindung,8)="",1,IF($E3474&lt;=INDEX(DarlBindung,8),1,0))</f>
      </c>
      <c r="H3474" s="43">
        <f>IF($G3474=1,INDEX(DarlSollzins,8),INDEX(DarlAnschluss,8))</f>
      </c>
      <c r="I3474" s="43">
        <f>IF(INDEX(DarlBelegt,8)=0,0,IF(INDEX(DarlOhneTilgung,8)=1,IF(INDEX(DarlBindung,8)="",1,$G3474),IF($J3474&gt;0.005,1,0)))</f>
      </c>
      <c r="J3474" s="43">
        <f>IF($I3473=0,0,$R3473)</f>
      </c>
      <c r="K3474" s="43">
        <f>IF($I3474=0,0,IF(INDEX(DarlOhneTilgung,8)=1,0,IF(AND(INDEX(DarlTilgStart,8)&gt;0,$E3474=INDEX(DarlTilgStart,8)),$J3474*($H3474+INDEX(DarlTilgung,8))/100/12,IF(AND($G3474=0,$G3473=1),MAX($K3473,$J3474*($H3474+1)/100/12),$K3473))))</f>
      </c>
      <c r="L3474" s="43">
        <f>IF($I3474=0,0,$J3474*$H3474/100/12)</f>
      </c>
      <c r="M3474" s="43">
        <f>IF($I3474=0,0,IF(OR(INDEX(DarlOhneTilgung,8)=1,AND(INDEX(DarlTilgStart,8)&gt;0,$E3474&lt;INDEX(DarlTilgStart,8))),0,MIN(MAX(0,$K3474-$L3474),$J3474)))</f>
      </c>
      <c r="N3474" s="43">
        <f>IF($I3474=0,0,MIN(SUMIFS(SondBetrag,SondDarl,8,SondDatum,"&gt;="&amp;$E3474,SondDatum,"&lt;="&amp;EOMONTH($E3474,0)),$J3474-$M3474))</f>
      </c>
      <c r="O3474" s="43">
        <f>IF($I3474=0,0,INDEX(DarlErsatzRate,8))</f>
      </c>
      <c r="P3474" s="43">
        <f>IF($I3474=0,0,$Q3473*INDEX(DarlErsatzZins,8))</f>
      </c>
      <c r="Q3474" s="43">
        <f>IF($I3474=0,0,$Q3473+$P3474+$O3474)</f>
      </c>
      <c r="R3474" s="43">
        <f>IF($I3474=0,0,$J3474-$M3474-$N3474)</f>
      </c>
    </row>
    <row r="3475">
      <c r="A3475"/>
      <c r="B3475">
        <v>8</v>
      </c>
      <c r="C3475" s="43">
        <f>INDEX(DarlObj,8)</f>
      </c>
      <c r="D3475">
        <v>112</v>
      </c>
      <c r="E3475" s="51">
        <f>IF(INDEX(DarlBelegt,8)=0,0,EOMONTH(INDEX(DarlAuszahlung,8),111)+1)</f>
      </c>
      <c r="F3475" s="43">
        <f>IF($E3475=0,0,YEAR($E3475))</f>
      </c>
      <c r="G3475" s="43">
        <f>IF(INDEX(DarlBindung,8)="",1,IF($E3475&lt;=INDEX(DarlBindung,8),1,0))</f>
      </c>
      <c r="H3475" s="43">
        <f>IF($G3475=1,INDEX(DarlSollzins,8),INDEX(DarlAnschluss,8))</f>
      </c>
      <c r="I3475" s="43">
        <f>IF(INDEX(DarlBelegt,8)=0,0,IF(INDEX(DarlOhneTilgung,8)=1,IF(INDEX(DarlBindung,8)="",1,$G3475),IF($J3475&gt;0.005,1,0)))</f>
      </c>
      <c r="J3475" s="43">
        <f>IF($I3474=0,0,$R3474)</f>
      </c>
      <c r="K3475" s="43">
        <f>IF($I3475=0,0,IF(INDEX(DarlOhneTilgung,8)=1,0,IF(AND(INDEX(DarlTilgStart,8)&gt;0,$E3475=INDEX(DarlTilgStart,8)),$J3475*($H3475+INDEX(DarlTilgung,8))/100/12,IF(AND($G3475=0,$G3474=1),MAX($K3474,$J3475*($H3475+1)/100/12),$K3474))))</f>
      </c>
      <c r="L3475" s="43">
        <f>IF($I3475=0,0,$J3475*$H3475/100/12)</f>
      </c>
      <c r="M3475" s="43">
        <f>IF($I3475=0,0,IF(OR(INDEX(DarlOhneTilgung,8)=1,AND(INDEX(DarlTilgStart,8)&gt;0,$E3475&lt;INDEX(DarlTilgStart,8))),0,MIN(MAX(0,$K3475-$L3475),$J3475)))</f>
      </c>
      <c r="N3475" s="43">
        <f>IF($I3475=0,0,MIN(SUMIFS(SondBetrag,SondDarl,8,SondDatum,"&gt;="&amp;$E3475,SondDatum,"&lt;="&amp;EOMONTH($E3475,0)),$J3475-$M3475))</f>
      </c>
      <c r="O3475" s="43">
        <f>IF($I3475=0,0,INDEX(DarlErsatzRate,8))</f>
      </c>
      <c r="P3475" s="43">
        <f>IF($I3475=0,0,$Q3474*INDEX(DarlErsatzZins,8))</f>
      </c>
      <c r="Q3475" s="43">
        <f>IF($I3475=0,0,$Q3474+$P3475+$O3475)</f>
      </c>
      <c r="R3475" s="43">
        <f>IF($I3475=0,0,$J3475-$M3475-$N3475)</f>
      </c>
    </row>
    <row r="3476">
      <c r="A3476"/>
      <c r="B3476">
        <v>8</v>
      </c>
      <c r="C3476" s="43">
        <f>INDEX(DarlObj,8)</f>
      </c>
      <c r="D3476">
        <v>113</v>
      </c>
      <c r="E3476" s="51">
        <f>IF(INDEX(DarlBelegt,8)=0,0,EOMONTH(INDEX(DarlAuszahlung,8),112)+1)</f>
      </c>
      <c r="F3476" s="43">
        <f>IF($E3476=0,0,YEAR($E3476))</f>
      </c>
      <c r="G3476" s="43">
        <f>IF(INDEX(DarlBindung,8)="",1,IF($E3476&lt;=INDEX(DarlBindung,8),1,0))</f>
      </c>
      <c r="H3476" s="43">
        <f>IF($G3476=1,INDEX(DarlSollzins,8),INDEX(DarlAnschluss,8))</f>
      </c>
      <c r="I3476" s="43">
        <f>IF(INDEX(DarlBelegt,8)=0,0,IF(INDEX(DarlOhneTilgung,8)=1,IF(INDEX(DarlBindung,8)="",1,$G3476),IF($J3476&gt;0.005,1,0)))</f>
      </c>
      <c r="J3476" s="43">
        <f>IF($I3475=0,0,$R3475)</f>
      </c>
      <c r="K3476" s="43">
        <f>IF($I3476=0,0,IF(INDEX(DarlOhneTilgung,8)=1,0,IF(AND(INDEX(DarlTilgStart,8)&gt;0,$E3476=INDEX(DarlTilgStart,8)),$J3476*($H3476+INDEX(DarlTilgung,8))/100/12,IF(AND($G3476=0,$G3475=1),MAX($K3475,$J3476*($H3476+1)/100/12),$K3475))))</f>
      </c>
      <c r="L3476" s="43">
        <f>IF($I3476=0,0,$J3476*$H3476/100/12)</f>
      </c>
      <c r="M3476" s="43">
        <f>IF($I3476=0,0,IF(OR(INDEX(DarlOhneTilgung,8)=1,AND(INDEX(DarlTilgStart,8)&gt;0,$E3476&lt;INDEX(DarlTilgStart,8))),0,MIN(MAX(0,$K3476-$L3476),$J3476)))</f>
      </c>
      <c r="N3476" s="43">
        <f>IF($I3476=0,0,MIN(SUMIFS(SondBetrag,SondDarl,8,SondDatum,"&gt;="&amp;$E3476,SondDatum,"&lt;="&amp;EOMONTH($E3476,0)),$J3476-$M3476))</f>
      </c>
      <c r="O3476" s="43">
        <f>IF($I3476=0,0,INDEX(DarlErsatzRate,8))</f>
      </c>
      <c r="P3476" s="43">
        <f>IF($I3476=0,0,$Q3475*INDEX(DarlErsatzZins,8))</f>
      </c>
      <c r="Q3476" s="43">
        <f>IF($I3476=0,0,$Q3475+$P3476+$O3476)</f>
      </c>
      <c r="R3476" s="43">
        <f>IF($I3476=0,0,$J3476-$M3476-$N3476)</f>
      </c>
    </row>
    <row r="3477">
      <c r="A3477"/>
      <c r="B3477">
        <v>8</v>
      </c>
      <c r="C3477" s="43">
        <f>INDEX(DarlObj,8)</f>
      </c>
      <c r="D3477">
        <v>114</v>
      </c>
      <c r="E3477" s="51">
        <f>IF(INDEX(DarlBelegt,8)=0,0,EOMONTH(INDEX(DarlAuszahlung,8),113)+1)</f>
      </c>
      <c r="F3477" s="43">
        <f>IF($E3477=0,0,YEAR($E3477))</f>
      </c>
      <c r="G3477" s="43">
        <f>IF(INDEX(DarlBindung,8)="",1,IF($E3477&lt;=INDEX(DarlBindung,8),1,0))</f>
      </c>
      <c r="H3477" s="43">
        <f>IF($G3477=1,INDEX(DarlSollzins,8),INDEX(DarlAnschluss,8))</f>
      </c>
      <c r="I3477" s="43">
        <f>IF(INDEX(DarlBelegt,8)=0,0,IF(INDEX(DarlOhneTilgung,8)=1,IF(INDEX(DarlBindung,8)="",1,$G3477),IF($J3477&gt;0.005,1,0)))</f>
      </c>
      <c r="J3477" s="43">
        <f>IF($I3476=0,0,$R3476)</f>
      </c>
      <c r="K3477" s="43">
        <f>IF($I3477=0,0,IF(INDEX(DarlOhneTilgung,8)=1,0,IF(AND(INDEX(DarlTilgStart,8)&gt;0,$E3477=INDEX(DarlTilgStart,8)),$J3477*($H3477+INDEX(DarlTilgung,8))/100/12,IF(AND($G3477=0,$G3476=1),MAX($K3476,$J3477*($H3477+1)/100/12),$K3476))))</f>
      </c>
      <c r="L3477" s="43">
        <f>IF($I3477=0,0,$J3477*$H3477/100/12)</f>
      </c>
      <c r="M3477" s="43">
        <f>IF($I3477=0,0,IF(OR(INDEX(DarlOhneTilgung,8)=1,AND(INDEX(DarlTilgStart,8)&gt;0,$E3477&lt;INDEX(DarlTilgStart,8))),0,MIN(MAX(0,$K3477-$L3477),$J3477)))</f>
      </c>
      <c r="N3477" s="43">
        <f>IF($I3477=0,0,MIN(SUMIFS(SondBetrag,SondDarl,8,SondDatum,"&gt;="&amp;$E3477,SondDatum,"&lt;="&amp;EOMONTH($E3477,0)),$J3477-$M3477))</f>
      </c>
      <c r="O3477" s="43">
        <f>IF($I3477=0,0,INDEX(DarlErsatzRate,8))</f>
      </c>
      <c r="P3477" s="43">
        <f>IF($I3477=0,0,$Q3476*INDEX(DarlErsatzZins,8))</f>
      </c>
      <c r="Q3477" s="43">
        <f>IF($I3477=0,0,$Q3476+$P3477+$O3477)</f>
      </c>
      <c r="R3477" s="43">
        <f>IF($I3477=0,0,$J3477-$M3477-$N3477)</f>
      </c>
    </row>
    <row r="3478">
      <c r="A3478"/>
      <c r="B3478">
        <v>8</v>
      </c>
      <c r="C3478" s="43">
        <f>INDEX(DarlObj,8)</f>
      </c>
      <c r="D3478">
        <v>115</v>
      </c>
      <c r="E3478" s="51">
        <f>IF(INDEX(DarlBelegt,8)=0,0,EOMONTH(INDEX(DarlAuszahlung,8),114)+1)</f>
      </c>
      <c r="F3478" s="43">
        <f>IF($E3478=0,0,YEAR($E3478))</f>
      </c>
      <c r="G3478" s="43">
        <f>IF(INDEX(DarlBindung,8)="",1,IF($E3478&lt;=INDEX(DarlBindung,8),1,0))</f>
      </c>
      <c r="H3478" s="43">
        <f>IF($G3478=1,INDEX(DarlSollzins,8),INDEX(DarlAnschluss,8))</f>
      </c>
      <c r="I3478" s="43">
        <f>IF(INDEX(DarlBelegt,8)=0,0,IF(INDEX(DarlOhneTilgung,8)=1,IF(INDEX(DarlBindung,8)="",1,$G3478),IF($J3478&gt;0.005,1,0)))</f>
      </c>
      <c r="J3478" s="43">
        <f>IF($I3477=0,0,$R3477)</f>
      </c>
      <c r="K3478" s="43">
        <f>IF($I3478=0,0,IF(INDEX(DarlOhneTilgung,8)=1,0,IF(AND(INDEX(DarlTilgStart,8)&gt;0,$E3478=INDEX(DarlTilgStart,8)),$J3478*($H3478+INDEX(DarlTilgung,8))/100/12,IF(AND($G3478=0,$G3477=1),MAX($K3477,$J3478*($H3478+1)/100/12),$K3477))))</f>
      </c>
      <c r="L3478" s="43">
        <f>IF($I3478=0,0,$J3478*$H3478/100/12)</f>
      </c>
      <c r="M3478" s="43">
        <f>IF($I3478=0,0,IF(OR(INDEX(DarlOhneTilgung,8)=1,AND(INDEX(DarlTilgStart,8)&gt;0,$E3478&lt;INDEX(DarlTilgStart,8))),0,MIN(MAX(0,$K3478-$L3478),$J3478)))</f>
      </c>
      <c r="N3478" s="43">
        <f>IF($I3478=0,0,MIN(SUMIFS(SondBetrag,SondDarl,8,SondDatum,"&gt;="&amp;$E3478,SondDatum,"&lt;="&amp;EOMONTH($E3478,0)),$J3478-$M3478))</f>
      </c>
      <c r="O3478" s="43">
        <f>IF($I3478=0,0,INDEX(DarlErsatzRate,8))</f>
      </c>
      <c r="P3478" s="43">
        <f>IF($I3478=0,0,$Q3477*INDEX(DarlErsatzZins,8))</f>
      </c>
      <c r="Q3478" s="43">
        <f>IF($I3478=0,0,$Q3477+$P3478+$O3478)</f>
      </c>
      <c r="R3478" s="43">
        <f>IF($I3478=0,0,$J3478-$M3478-$N3478)</f>
      </c>
    </row>
    <row r="3479">
      <c r="A3479"/>
      <c r="B3479">
        <v>8</v>
      </c>
      <c r="C3479" s="43">
        <f>INDEX(DarlObj,8)</f>
      </c>
      <c r="D3479">
        <v>116</v>
      </c>
      <c r="E3479" s="51">
        <f>IF(INDEX(DarlBelegt,8)=0,0,EOMONTH(INDEX(DarlAuszahlung,8),115)+1)</f>
      </c>
      <c r="F3479" s="43">
        <f>IF($E3479=0,0,YEAR($E3479))</f>
      </c>
      <c r="G3479" s="43">
        <f>IF(INDEX(DarlBindung,8)="",1,IF($E3479&lt;=INDEX(DarlBindung,8),1,0))</f>
      </c>
      <c r="H3479" s="43">
        <f>IF($G3479=1,INDEX(DarlSollzins,8),INDEX(DarlAnschluss,8))</f>
      </c>
      <c r="I3479" s="43">
        <f>IF(INDEX(DarlBelegt,8)=0,0,IF(INDEX(DarlOhneTilgung,8)=1,IF(INDEX(DarlBindung,8)="",1,$G3479),IF($J3479&gt;0.005,1,0)))</f>
      </c>
      <c r="J3479" s="43">
        <f>IF($I3478=0,0,$R3478)</f>
      </c>
      <c r="K3479" s="43">
        <f>IF($I3479=0,0,IF(INDEX(DarlOhneTilgung,8)=1,0,IF(AND(INDEX(DarlTilgStart,8)&gt;0,$E3479=INDEX(DarlTilgStart,8)),$J3479*($H3479+INDEX(DarlTilgung,8))/100/12,IF(AND($G3479=0,$G3478=1),MAX($K3478,$J3479*($H3479+1)/100/12),$K3478))))</f>
      </c>
      <c r="L3479" s="43">
        <f>IF($I3479=0,0,$J3479*$H3479/100/12)</f>
      </c>
      <c r="M3479" s="43">
        <f>IF($I3479=0,0,IF(OR(INDEX(DarlOhneTilgung,8)=1,AND(INDEX(DarlTilgStart,8)&gt;0,$E3479&lt;INDEX(DarlTilgStart,8))),0,MIN(MAX(0,$K3479-$L3479),$J3479)))</f>
      </c>
      <c r="N3479" s="43">
        <f>IF($I3479=0,0,MIN(SUMIFS(SondBetrag,SondDarl,8,SondDatum,"&gt;="&amp;$E3479,SondDatum,"&lt;="&amp;EOMONTH($E3479,0)),$J3479-$M3479))</f>
      </c>
      <c r="O3479" s="43">
        <f>IF($I3479=0,0,INDEX(DarlErsatzRate,8))</f>
      </c>
      <c r="P3479" s="43">
        <f>IF($I3479=0,0,$Q3478*INDEX(DarlErsatzZins,8))</f>
      </c>
      <c r="Q3479" s="43">
        <f>IF($I3479=0,0,$Q3478+$P3479+$O3479)</f>
      </c>
      <c r="R3479" s="43">
        <f>IF($I3479=0,0,$J3479-$M3479-$N3479)</f>
      </c>
    </row>
    <row r="3480">
      <c r="A3480"/>
      <c r="B3480">
        <v>8</v>
      </c>
      <c r="C3480" s="43">
        <f>INDEX(DarlObj,8)</f>
      </c>
      <c r="D3480">
        <v>117</v>
      </c>
      <c r="E3480" s="51">
        <f>IF(INDEX(DarlBelegt,8)=0,0,EOMONTH(INDEX(DarlAuszahlung,8),116)+1)</f>
      </c>
      <c r="F3480" s="43">
        <f>IF($E3480=0,0,YEAR($E3480))</f>
      </c>
      <c r="G3480" s="43">
        <f>IF(INDEX(DarlBindung,8)="",1,IF($E3480&lt;=INDEX(DarlBindung,8),1,0))</f>
      </c>
      <c r="H3480" s="43">
        <f>IF($G3480=1,INDEX(DarlSollzins,8),INDEX(DarlAnschluss,8))</f>
      </c>
      <c r="I3480" s="43">
        <f>IF(INDEX(DarlBelegt,8)=0,0,IF(INDEX(DarlOhneTilgung,8)=1,IF(INDEX(DarlBindung,8)="",1,$G3480),IF($J3480&gt;0.005,1,0)))</f>
      </c>
      <c r="J3480" s="43">
        <f>IF($I3479=0,0,$R3479)</f>
      </c>
      <c r="K3480" s="43">
        <f>IF($I3480=0,0,IF(INDEX(DarlOhneTilgung,8)=1,0,IF(AND(INDEX(DarlTilgStart,8)&gt;0,$E3480=INDEX(DarlTilgStart,8)),$J3480*($H3480+INDEX(DarlTilgung,8))/100/12,IF(AND($G3480=0,$G3479=1),MAX($K3479,$J3480*($H3480+1)/100/12),$K3479))))</f>
      </c>
      <c r="L3480" s="43">
        <f>IF($I3480=0,0,$J3480*$H3480/100/12)</f>
      </c>
      <c r="M3480" s="43">
        <f>IF($I3480=0,0,IF(OR(INDEX(DarlOhneTilgung,8)=1,AND(INDEX(DarlTilgStart,8)&gt;0,$E3480&lt;INDEX(DarlTilgStart,8))),0,MIN(MAX(0,$K3480-$L3480),$J3480)))</f>
      </c>
      <c r="N3480" s="43">
        <f>IF($I3480=0,0,MIN(SUMIFS(SondBetrag,SondDarl,8,SondDatum,"&gt;="&amp;$E3480,SondDatum,"&lt;="&amp;EOMONTH($E3480,0)),$J3480-$M3480))</f>
      </c>
      <c r="O3480" s="43">
        <f>IF($I3480=0,0,INDEX(DarlErsatzRate,8))</f>
      </c>
      <c r="P3480" s="43">
        <f>IF($I3480=0,0,$Q3479*INDEX(DarlErsatzZins,8))</f>
      </c>
      <c r="Q3480" s="43">
        <f>IF($I3480=0,0,$Q3479+$P3480+$O3480)</f>
      </c>
      <c r="R3480" s="43">
        <f>IF($I3480=0,0,$J3480-$M3480-$N3480)</f>
      </c>
    </row>
    <row r="3481">
      <c r="A3481"/>
      <c r="B3481">
        <v>8</v>
      </c>
      <c r="C3481" s="43">
        <f>INDEX(DarlObj,8)</f>
      </c>
      <c r="D3481">
        <v>118</v>
      </c>
      <c r="E3481" s="51">
        <f>IF(INDEX(DarlBelegt,8)=0,0,EOMONTH(INDEX(DarlAuszahlung,8),117)+1)</f>
      </c>
      <c r="F3481" s="43">
        <f>IF($E3481=0,0,YEAR($E3481))</f>
      </c>
      <c r="G3481" s="43">
        <f>IF(INDEX(DarlBindung,8)="",1,IF($E3481&lt;=INDEX(DarlBindung,8),1,0))</f>
      </c>
      <c r="H3481" s="43">
        <f>IF($G3481=1,INDEX(DarlSollzins,8),INDEX(DarlAnschluss,8))</f>
      </c>
      <c r="I3481" s="43">
        <f>IF(INDEX(DarlBelegt,8)=0,0,IF(INDEX(DarlOhneTilgung,8)=1,IF(INDEX(DarlBindung,8)="",1,$G3481),IF($J3481&gt;0.005,1,0)))</f>
      </c>
      <c r="J3481" s="43">
        <f>IF($I3480=0,0,$R3480)</f>
      </c>
      <c r="K3481" s="43">
        <f>IF($I3481=0,0,IF(INDEX(DarlOhneTilgung,8)=1,0,IF(AND(INDEX(DarlTilgStart,8)&gt;0,$E3481=INDEX(DarlTilgStart,8)),$J3481*($H3481+INDEX(DarlTilgung,8))/100/12,IF(AND($G3481=0,$G3480=1),MAX($K3480,$J3481*($H3481+1)/100/12),$K3480))))</f>
      </c>
      <c r="L3481" s="43">
        <f>IF($I3481=0,0,$J3481*$H3481/100/12)</f>
      </c>
      <c r="M3481" s="43">
        <f>IF($I3481=0,0,IF(OR(INDEX(DarlOhneTilgung,8)=1,AND(INDEX(DarlTilgStart,8)&gt;0,$E3481&lt;INDEX(DarlTilgStart,8))),0,MIN(MAX(0,$K3481-$L3481),$J3481)))</f>
      </c>
      <c r="N3481" s="43">
        <f>IF($I3481=0,0,MIN(SUMIFS(SondBetrag,SondDarl,8,SondDatum,"&gt;="&amp;$E3481,SondDatum,"&lt;="&amp;EOMONTH($E3481,0)),$J3481-$M3481))</f>
      </c>
      <c r="O3481" s="43">
        <f>IF($I3481=0,0,INDEX(DarlErsatzRate,8))</f>
      </c>
      <c r="P3481" s="43">
        <f>IF($I3481=0,0,$Q3480*INDEX(DarlErsatzZins,8))</f>
      </c>
      <c r="Q3481" s="43">
        <f>IF($I3481=0,0,$Q3480+$P3481+$O3481)</f>
      </c>
      <c r="R3481" s="43">
        <f>IF($I3481=0,0,$J3481-$M3481-$N3481)</f>
      </c>
    </row>
    <row r="3482">
      <c r="A3482"/>
      <c r="B3482">
        <v>8</v>
      </c>
      <c r="C3482" s="43">
        <f>INDEX(DarlObj,8)</f>
      </c>
      <c r="D3482">
        <v>119</v>
      </c>
      <c r="E3482" s="51">
        <f>IF(INDEX(DarlBelegt,8)=0,0,EOMONTH(INDEX(DarlAuszahlung,8),118)+1)</f>
      </c>
      <c r="F3482" s="43">
        <f>IF($E3482=0,0,YEAR($E3482))</f>
      </c>
      <c r="G3482" s="43">
        <f>IF(INDEX(DarlBindung,8)="",1,IF($E3482&lt;=INDEX(DarlBindung,8),1,0))</f>
      </c>
      <c r="H3482" s="43">
        <f>IF($G3482=1,INDEX(DarlSollzins,8),INDEX(DarlAnschluss,8))</f>
      </c>
      <c r="I3482" s="43">
        <f>IF(INDEX(DarlBelegt,8)=0,0,IF(INDEX(DarlOhneTilgung,8)=1,IF(INDEX(DarlBindung,8)="",1,$G3482),IF($J3482&gt;0.005,1,0)))</f>
      </c>
      <c r="J3482" s="43">
        <f>IF($I3481=0,0,$R3481)</f>
      </c>
      <c r="K3482" s="43">
        <f>IF($I3482=0,0,IF(INDEX(DarlOhneTilgung,8)=1,0,IF(AND(INDEX(DarlTilgStart,8)&gt;0,$E3482=INDEX(DarlTilgStart,8)),$J3482*($H3482+INDEX(DarlTilgung,8))/100/12,IF(AND($G3482=0,$G3481=1),MAX($K3481,$J3482*($H3482+1)/100/12),$K3481))))</f>
      </c>
      <c r="L3482" s="43">
        <f>IF($I3482=0,0,$J3482*$H3482/100/12)</f>
      </c>
      <c r="M3482" s="43">
        <f>IF($I3482=0,0,IF(OR(INDEX(DarlOhneTilgung,8)=1,AND(INDEX(DarlTilgStart,8)&gt;0,$E3482&lt;INDEX(DarlTilgStart,8))),0,MIN(MAX(0,$K3482-$L3482),$J3482)))</f>
      </c>
      <c r="N3482" s="43">
        <f>IF($I3482=0,0,MIN(SUMIFS(SondBetrag,SondDarl,8,SondDatum,"&gt;="&amp;$E3482,SondDatum,"&lt;="&amp;EOMONTH($E3482,0)),$J3482-$M3482))</f>
      </c>
      <c r="O3482" s="43">
        <f>IF($I3482=0,0,INDEX(DarlErsatzRate,8))</f>
      </c>
      <c r="P3482" s="43">
        <f>IF($I3482=0,0,$Q3481*INDEX(DarlErsatzZins,8))</f>
      </c>
      <c r="Q3482" s="43">
        <f>IF($I3482=0,0,$Q3481+$P3482+$O3482)</f>
      </c>
      <c r="R3482" s="43">
        <f>IF($I3482=0,0,$J3482-$M3482-$N3482)</f>
      </c>
    </row>
    <row r="3483">
      <c r="A3483"/>
      <c r="B3483">
        <v>8</v>
      </c>
      <c r="C3483" s="43">
        <f>INDEX(DarlObj,8)</f>
      </c>
      <c r="D3483">
        <v>120</v>
      </c>
      <c r="E3483" s="51">
        <f>IF(INDEX(DarlBelegt,8)=0,0,EOMONTH(INDEX(DarlAuszahlung,8),119)+1)</f>
      </c>
      <c r="F3483" s="43">
        <f>IF($E3483=0,0,YEAR($E3483))</f>
      </c>
      <c r="G3483" s="43">
        <f>IF(INDEX(DarlBindung,8)="",1,IF($E3483&lt;=INDEX(DarlBindung,8),1,0))</f>
      </c>
      <c r="H3483" s="43">
        <f>IF($G3483=1,INDEX(DarlSollzins,8),INDEX(DarlAnschluss,8))</f>
      </c>
      <c r="I3483" s="43">
        <f>IF(INDEX(DarlBelegt,8)=0,0,IF(INDEX(DarlOhneTilgung,8)=1,IF(INDEX(DarlBindung,8)="",1,$G3483),IF($J3483&gt;0.005,1,0)))</f>
      </c>
      <c r="J3483" s="43">
        <f>IF($I3482=0,0,$R3482)</f>
      </c>
      <c r="K3483" s="43">
        <f>IF($I3483=0,0,IF(INDEX(DarlOhneTilgung,8)=1,0,IF(AND(INDEX(DarlTilgStart,8)&gt;0,$E3483=INDEX(DarlTilgStart,8)),$J3483*($H3483+INDEX(DarlTilgung,8))/100/12,IF(AND($G3483=0,$G3482=1),MAX($K3482,$J3483*($H3483+1)/100/12),$K3482))))</f>
      </c>
      <c r="L3483" s="43">
        <f>IF($I3483=0,0,$J3483*$H3483/100/12)</f>
      </c>
      <c r="M3483" s="43">
        <f>IF($I3483=0,0,IF(OR(INDEX(DarlOhneTilgung,8)=1,AND(INDEX(DarlTilgStart,8)&gt;0,$E3483&lt;INDEX(DarlTilgStart,8))),0,MIN(MAX(0,$K3483-$L3483),$J3483)))</f>
      </c>
      <c r="N3483" s="43">
        <f>IF($I3483=0,0,MIN(SUMIFS(SondBetrag,SondDarl,8,SondDatum,"&gt;="&amp;$E3483,SondDatum,"&lt;="&amp;EOMONTH($E3483,0)),$J3483-$M3483))</f>
      </c>
      <c r="O3483" s="43">
        <f>IF($I3483=0,0,INDEX(DarlErsatzRate,8))</f>
      </c>
      <c r="P3483" s="43">
        <f>IF($I3483=0,0,$Q3482*INDEX(DarlErsatzZins,8))</f>
      </c>
      <c r="Q3483" s="43">
        <f>IF($I3483=0,0,$Q3482+$P3483+$O3483)</f>
      </c>
      <c r="R3483" s="43">
        <f>IF($I3483=0,0,$J3483-$M3483-$N3483)</f>
      </c>
    </row>
    <row r="3484">
      <c r="A3484"/>
      <c r="B3484">
        <v>8</v>
      </c>
      <c r="C3484" s="43">
        <f>INDEX(DarlObj,8)</f>
      </c>
      <c r="D3484">
        <v>121</v>
      </c>
      <c r="E3484" s="51">
        <f>IF(INDEX(DarlBelegt,8)=0,0,EOMONTH(INDEX(DarlAuszahlung,8),120)+1)</f>
      </c>
      <c r="F3484" s="43">
        <f>IF($E3484=0,0,YEAR($E3484))</f>
      </c>
      <c r="G3484" s="43">
        <f>IF(INDEX(DarlBindung,8)="",1,IF($E3484&lt;=INDEX(DarlBindung,8),1,0))</f>
      </c>
      <c r="H3484" s="43">
        <f>IF($G3484=1,INDEX(DarlSollzins,8),INDEX(DarlAnschluss,8))</f>
      </c>
      <c r="I3484" s="43">
        <f>IF(INDEX(DarlBelegt,8)=0,0,IF(INDEX(DarlOhneTilgung,8)=1,IF(INDEX(DarlBindung,8)="",1,$G3484),IF($J3484&gt;0.005,1,0)))</f>
      </c>
      <c r="J3484" s="43">
        <f>IF($I3483=0,0,$R3483)</f>
      </c>
      <c r="K3484" s="43">
        <f>IF($I3484=0,0,IF(INDEX(DarlOhneTilgung,8)=1,0,IF(AND(INDEX(DarlTilgStart,8)&gt;0,$E3484=INDEX(DarlTilgStart,8)),$J3484*($H3484+INDEX(DarlTilgung,8))/100/12,IF(AND($G3484=0,$G3483=1),MAX($K3483,$J3484*($H3484+1)/100/12),$K3483))))</f>
      </c>
      <c r="L3484" s="43">
        <f>IF($I3484=0,0,$J3484*$H3484/100/12)</f>
      </c>
      <c r="M3484" s="43">
        <f>IF($I3484=0,0,IF(OR(INDEX(DarlOhneTilgung,8)=1,AND(INDEX(DarlTilgStart,8)&gt;0,$E3484&lt;INDEX(DarlTilgStart,8))),0,MIN(MAX(0,$K3484-$L3484),$J3484)))</f>
      </c>
      <c r="N3484" s="43">
        <f>IF($I3484=0,0,MIN(SUMIFS(SondBetrag,SondDarl,8,SondDatum,"&gt;="&amp;$E3484,SondDatum,"&lt;="&amp;EOMONTH($E3484,0)),$J3484-$M3484))</f>
      </c>
      <c r="O3484" s="43">
        <f>IF($I3484=0,0,INDEX(DarlErsatzRate,8))</f>
      </c>
      <c r="P3484" s="43">
        <f>IF($I3484=0,0,$Q3483*INDEX(DarlErsatzZins,8))</f>
      </c>
      <c r="Q3484" s="43">
        <f>IF($I3484=0,0,$Q3483+$P3484+$O3484)</f>
      </c>
      <c r="R3484" s="43">
        <f>IF($I3484=0,0,$J3484-$M3484-$N3484)</f>
      </c>
    </row>
    <row r="3485">
      <c r="A3485"/>
      <c r="B3485">
        <v>8</v>
      </c>
      <c r="C3485" s="43">
        <f>INDEX(DarlObj,8)</f>
      </c>
      <c r="D3485">
        <v>122</v>
      </c>
      <c r="E3485" s="51">
        <f>IF(INDEX(DarlBelegt,8)=0,0,EOMONTH(INDEX(DarlAuszahlung,8),121)+1)</f>
      </c>
      <c r="F3485" s="43">
        <f>IF($E3485=0,0,YEAR($E3485))</f>
      </c>
      <c r="G3485" s="43">
        <f>IF(INDEX(DarlBindung,8)="",1,IF($E3485&lt;=INDEX(DarlBindung,8),1,0))</f>
      </c>
      <c r="H3485" s="43">
        <f>IF($G3485=1,INDEX(DarlSollzins,8),INDEX(DarlAnschluss,8))</f>
      </c>
      <c r="I3485" s="43">
        <f>IF(INDEX(DarlBelegt,8)=0,0,IF(INDEX(DarlOhneTilgung,8)=1,IF(INDEX(DarlBindung,8)="",1,$G3485),IF($J3485&gt;0.005,1,0)))</f>
      </c>
      <c r="J3485" s="43">
        <f>IF($I3484=0,0,$R3484)</f>
      </c>
      <c r="K3485" s="43">
        <f>IF($I3485=0,0,IF(INDEX(DarlOhneTilgung,8)=1,0,IF(AND(INDEX(DarlTilgStart,8)&gt;0,$E3485=INDEX(DarlTilgStart,8)),$J3485*($H3485+INDEX(DarlTilgung,8))/100/12,IF(AND($G3485=0,$G3484=1),MAX($K3484,$J3485*($H3485+1)/100/12),$K3484))))</f>
      </c>
      <c r="L3485" s="43">
        <f>IF($I3485=0,0,$J3485*$H3485/100/12)</f>
      </c>
      <c r="M3485" s="43">
        <f>IF($I3485=0,0,IF(OR(INDEX(DarlOhneTilgung,8)=1,AND(INDEX(DarlTilgStart,8)&gt;0,$E3485&lt;INDEX(DarlTilgStart,8))),0,MIN(MAX(0,$K3485-$L3485),$J3485)))</f>
      </c>
      <c r="N3485" s="43">
        <f>IF($I3485=0,0,MIN(SUMIFS(SondBetrag,SondDarl,8,SondDatum,"&gt;="&amp;$E3485,SondDatum,"&lt;="&amp;EOMONTH($E3485,0)),$J3485-$M3485))</f>
      </c>
      <c r="O3485" s="43">
        <f>IF($I3485=0,0,INDEX(DarlErsatzRate,8))</f>
      </c>
      <c r="P3485" s="43">
        <f>IF($I3485=0,0,$Q3484*INDEX(DarlErsatzZins,8))</f>
      </c>
      <c r="Q3485" s="43">
        <f>IF($I3485=0,0,$Q3484+$P3485+$O3485)</f>
      </c>
      <c r="R3485" s="43">
        <f>IF($I3485=0,0,$J3485-$M3485-$N3485)</f>
      </c>
    </row>
    <row r="3486">
      <c r="A3486"/>
      <c r="B3486">
        <v>8</v>
      </c>
      <c r="C3486" s="43">
        <f>INDEX(DarlObj,8)</f>
      </c>
      <c r="D3486">
        <v>123</v>
      </c>
      <c r="E3486" s="51">
        <f>IF(INDEX(DarlBelegt,8)=0,0,EOMONTH(INDEX(DarlAuszahlung,8),122)+1)</f>
      </c>
      <c r="F3486" s="43">
        <f>IF($E3486=0,0,YEAR($E3486))</f>
      </c>
      <c r="G3486" s="43">
        <f>IF(INDEX(DarlBindung,8)="",1,IF($E3486&lt;=INDEX(DarlBindung,8),1,0))</f>
      </c>
      <c r="H3486" s="43">
        <f>IF($G3486=1,INDEX(DarlSollzins,8),INDEX(DarlAnschluss,8))</f>
      </c>
      <c r="I3486" s="43">
        <f>IF(INDEX(DarlBelegt,8)=0,0,IF(INDEX(DarlOhneTilgung,8)=1,IF(INDEX(DarlBindung,8)="",1,$G3486),IF($J3486&gt;0.005,1,0)))</f>
      </c>
      <c r="J3486" s="43">
        <f>IF($I3485=0,0,$R3485)</f>
      </c>
      <c r="K3486" s="43">
        <f>IF($I3486=0,0,IF(INDEX(DarlOhneTilgung,8)=1,0,IF(AND(INDEX(DarlTilgStart,8)&gt;0,$E3486=INDEX(DarlTilgStart,8)),$J3486*($H3486+INDEX(DarlTilgung,8))/100/12,IF(AND($G3486=0,$G3485=1),MAX($K3485,$J3486*($H3486+1)/100/12),$K3485))))</f>
      </c>
      <c r="L3486" s="43">
        <f>IF($I3486=0,0,$J3486*$H3486/100/12)</f>
      </c>
      <c r="M3486" s="43">
        <f>IF($I3486=0,0,IF(OR(INDEX(DarlOhneTilgung,8)=1,AND(INDEX(DarlTilgStart,8)&gt;0,$E3486&lt;INDEX(DarlTilgStart,8))),0,MIN(MAX(0,$K3486-$L3486),$J3486)))</f>
      </c>
      <c r="N3486" s="43">
        <f>IF($I3486=0,0,MIN(SUMIFS(SondBetrag,SondDarl,8,SondDatum,"&gt;="&amp;$E3486,SondDatum,"&lt;="&amp;EOMONTH($E3486,0)),$J3486-$M3486))</f>
      </c>
      <c r="O3486" s="43">
        <f>IF($I3486=0,0,INDEX(DarlErsatzRate,8))</f>
      </c>
      <c r="P3486" s="43">
        <f>IF($I3486=0,0,$Q3485*INDEX(DarlErsatzZins,8))</f>
      </c>
      <c r="Q3486" s="43">
        <f>IF($I3486=0,0,$Q3485+$P3486+$O3486)</f>
      </c>
      <c r="R3486" s="43">
        <f>IF($I3486=0,0,$J3486-$M3486-$N3486)</f>
      </c>
    </row>
    <row r="3487">
      <c r="A3487"/>
      <c r="B3487">
        <v>8</v>
      </c>
      <c r="C3487" s="43">
        <f>INDEX(DarlObj,8)</f>
      </c>
      <c r="D3487">
        <v>124</v>
      </c>
      <c r="E3487" s="51">
        <f>IF(INDEX(DarlBelegt,8)=0,0,EOMONTH(INDEX(DarlAuszahlung,8),123)+1)</f>
      </c>
      <c r="F3487" s="43">
        <f>IF($E3487=0,0,YEAR($E3487))</f>
      </c>
      <c r="G3487" s="43">
        <f>IF(INDEX(DarlBindung,8)="",1,IF($E3487&lt;=INDEX(DarlBindung,8),1,0))</f>
      </c>
      <c r="H3487" s="43">
        <f>IF($G3487=1,INDEX(DarlSollzins,8),INDEX(DarlAnschluss,8))</f>
      </c>
      <c r="I3487" s="43">
        <f>IF(INDEX(DarlBelegt,8)=0,0,IF(INDEX(DarlOhneTilgung,8)=1,IF(INDEX(DarlBindung,8)="",1,$G3487),IF($J3487&gt;0.005,1,0)))</f>
      </c>
      <c r="J3487" s="43">
        <f>IF($I3486=0,0,$R3486)</f>
      </c>
      <c r="K3487" s="43">
        <f>IF($I3487=0,0,IF(INDEX(DarlOhneTilgung,8)=1,0,IF(AND(INDEX(DarlTilgStart,8)&gt;0,$E3487=INDEX(DarlTilgStart,8)),$J3487*($H3487+INDEX(DarlTilgung,8))/100/12,IF(AND($G3487=0,$G3486=1),MAX($K3486,$J3487*($H3487+1)/100/12),$K3486))))</f>
      </c>
      <c r="L3487" s="43">
        <f>IF($I3487=0,0,$J3487*$H3487/100/12)</f>
      </c>
      <c r="M3487" s="43">
        <f>IF($I3487=0,0,IF(OR(INDEX(DarlOhneTilgung,8)=1,AND(INDEX(DarlTilgStart,8)&gt;0,$E3487&lt;INDEX(DarlTilgStart,8))),0,MIN(MAX(0,$K3487-$L3487),$J3487)))</f>
      </c>
      <c r="N3487" s="43">
        <f>IF($I3487=0,0,MIN(SUMIFS(SondBetrag,SondDarl,8,SondDatum,"&gt;="&amp;$E3487,SondDatum,"&lt;="&amp;EOMONTH($E3487,0)),$J3487-$M3487))</f>
      </c>
      <c r="O3487" s="43">
        <f>IF($I3487=0,0,INDEX(DarlErsatzRate,8))</f>
      </c>
      <c r="P3487" s="43">
        <f>IF($I3487=0,0,$Q3486*INDEX(DarlErsatzZins,8))</f>
      </c>
      <c r="Q3487" s="43">
        <f>IF($I3487=0,0,$Q3486+$P3487+$O3487)</f>
      </c>
      <c r="R3487" s="43">
        <f>IF($I3487=0,0,$J3487-$M3487-$N3487)</f>
      </c>
    </row>
    <row r="3488">
      <c r="A3488"/>
      <c r="B3488">
        <v>8</v>
      </c>
      <c r="C3488" s="43">
        <f>INDEX(DarlObj,8)</f>
      </c>
      <c r="D3488">
        <v>125</v>
      </c>
      <c r="E3488" s="51">
        <f>IF(INDEX(DarlBelegt,8)=0,0,EOMONTH(INDEX(DarlAuszahlung,8),124)+1)</f>
      </c>
      <c r="F3488" s="43">
        <f>IF($E3488=0,0,YEAR($E3488))</f>
      </c>
      <c r="G3488" s="43">
        <f>IF(INDEX(DarlBindung,8)="",1,IF($E3488&lt;=INDEX(DarlBindung,8),1,0))</f>
      </c>
      <c r="H3488" s="43">
        <f>IF($G3488=1,INDEX(DarlSollzins,8),INDEX(DarlAnschluss,8))</f>
      </c>
      <c r="I3488" s="43">
        <f>IF(INDEX(DarlBelegt,8)=0,0,IF(INDEX(DarlOhneTilgung,8)=1,IF(INDEX(DarlBindung,8)="",1,$G3488),IF($J3488&gt;0.005,1,0)))</f>
      </c>
      <c r="J3488" s="43">
        <f>IF($I3487=0,0,$R3487)</f>
      </c>
      <c r="K3488" s="43">
        <f>IF($I3488=0,0,IF(INDEX(DarlOhneTilgung,8)=1,0,IF(AND(INDEX(DarlTilgStart,8)&gt;0,$E3488=INDEX(DarlTilgStart,8)),$J3488*($H3488+INDEX(DarlTilgung,8))/100/12,IF(AND($G3488=0,$G3487=1),MAX($K3487,$J3488*($H3488+1)/100/12),$K3487))))</f>
      </c>
      <c r="L3488" s="43">
        <f>IF($I3488=0,0,$J3488*$H3488/100/12)</f>
      </c>
      <c r="M3488" s="43">
        <f>IF($I3488=0,0,IF(OR(INDEX(DarlOhneTilgung,8)=1,AND(INDEX(DarlTilgStart,8)&gt;0,$E3488&lt;INDEX(DarlTilgStart,8))),0,MIN(MAX(0,$K3488-$L3488),$J3488)))</f>
      </c>
      <c r="N3488" s="43">
        <f>IF($I3488=0,0,MIN(SUMIFS(SondBetrag,SondDarl,8,SondDatum,"&gt;="&amp;$E3488,SondDatum,"&lt;="&amp;EOMONTH($E3488,0)),$J3488-$M3488))</f>
      </c>
      <c r="O3488" s="43">
        <f>IF($I3488=0,0,INDEX(DarlErsatzRate,8))</f>
      </c>
      <c r="P3488" s="43">
        <f>IF($I3488=0,0,$Q3487*INDEX(DarlErsatzZins,8))</f>
      </c>
      <c r="Q3488" s="43">
        <f>IF($I3488=0,0,$Q3487+$P3488+$O3488)</f>
      </c>
      <c r="R3488" s="43">
        <f>IF($I3488=0,0,$J3488-$M3488-$N3488)</f>
      </c>
    </row>
    <row r="3489">
      <c r="A3489"/>
      <c r="B3489">
        <v>8</v>
      </c>
      <c r="C3489" s="43">
        <f>INDEX(DarlObj,8)</f>
      </c>
      <c r="D3489">
        <v>126</v>
      </c>
      <c r="E3489" s="51">
        <f>IF(INDEX(DarlBelegt,8)=0,0,EOMONTH(INDEX(DarlAuszahlung,8),125)+1)</f>
      </c>
      <c r="F3489" s="43">
        <f>IF($E3489=0,0,YEAR($E3489))</f>
      </c>
      <c r="G3489" s="43">
        <f>IF(INDEX(DarlBindung,8)="",1,IF($E3489&lt;=INDEX(DarlBindung,8),1,0))</f>
      </c>
      <c r="H3489" s="43">
        <f>IF($G3489=1,INDEX(DarlSollzins,8),INDEX(DarlAnschluss,8))</f>
      </c>
      <c r="I3489" s="43">
        <f>IF(INDEX(DarlBelegt,8)=0,0,IF(INDEX(DarlOhneTilgung,8)=1,IF(INDEX(DarlBindung,8)="",1,$G3489),IF($J3489&gt;0.005,1,0)))</f>
      </c>
      <c r="J3489" s="43">
        <f>IF($I3488=0,0,$R3488)</f>
      </c>
      <c r="K3489" s="43">
        <f>IF($I3489=0,0,IF(INDEX(DarlOhneTilgung,8)=1,0,IF(AND(INDEX(DarlTilgStart,8)&gt;0,$E3489=INDEX(DarlTilgStart,8)),$J3489*($H3489+INDEX(DarlTilgung,8))/100/12,IF(AND($G3489=0,$G3488=1),MAX($K3488,$J3489*($H3489+1)/100/12),$K3488))))</f>
      </c>
      <c r="L3489" s="43">
        <f>IF($I3489=0,0,$J3489*$H3489/100/12)</f>
      </c>
      <c r="M3489" s="43">
        <f>IF($I3489=0,0,IF(OR(INDEX(DarlOhneTilgung,8)=1,AND(INDEX(DarlTilgStart,8)&gt;0,$E3489&lt;INDEX(DarlTilgStart,8))),0,MIN(MAX(0,$K3489-$L3489),$J3489)))</f>
      </c>
      <c r="N3489" s="43">
        <f>IF($I3489=0,0,MIN(SUMIFS(SondBetrag,SondDarl,8,SondDatum,"&gt;="&amp;$E3489,SondDatum,"&lt;="&amp;EOMONTH($E3489,0)),$J3489-$M3489))</f>
      </c>
      <c r="O3489" s="43">
        <f>IF($I3489=0,0,INDEX(DarlErsatzRate,8))</f>
      </c>
      <c r="P3489" s="43">
        <f>IF($I3489=0,0,$Q3488*INDEX(DarlErsatzZins,8))</f>
      </c>
      <c r="Q3489" s="43">
        <f>IF($I3489=0,0,$Q3488+$P3489+$O3489)</f>
      </c>
      <c r="R3489" s="43">
        <f>IF($I3489=0,0,$J3489-$M3489-$N3489)</f>
      </c>
    </row>
    <row r="3490">
      <c r="A3490"/>
      <c r="B3490">
        <v>8</v>
      </c>
      <c r="C3490" s="43">
        <f>INDEX(DarlObj,8)</f>
      </c>
      <c r="D3490">
        <v>127</v>
      </c>
      <c r="E3490" s="51">
        <f>IF(INDEX(DarlBelegt,8)=0,0,EOMONTH(INDEX(DarlAuszahlung,8),126)+1)</f>
      </c>
      <c r="F3490" s="43">
        <f>IF($E3490=0,0,YEAR($E3490))</f>
      </c>
      <c r="G3490" s="43">
        <f>IF(INDEX(DarlBindung,8)="",1,IF($E3490&lt;=INDEX(DarlBindung,8),1,0))</f>
      </c>
      <c r="H3490" s="43">
        <f>IF($G3490=1,INDEX(DarlSollzins,8),INDEX(DarlAnschluss,8))</f>
      </c>
      <c r="I3490" s="43">
        <f>IF(INDEX(DarlBelegt,8)=0,0,IF(INDEX(DarlOhneTilgung,8)=1,IF(INDEX(DarlBindung,8)="",1,$G3490),IF($J3490&gt;0.005,1,0)))</f>
      </c>
      <c r="J3490" s="43">
        <f>IF($I3489=0,0,$R3489)</f>
      </c>
      <c r="K3490" s="43">
        <f>IF($I3490=0,0,IF(INDEX(DarlOhneTilgung,8)=1,0,IF(AND(INDEX(DarlTilgStart,8)&gt;0,$E3490=INDEX(DarlTilgStart,8)),$J3490*($H3490+INDEX(DarlTilgung,8))/100/12,IF(AND($G3490=0,$G3489=1),MAX($K3489,$J3490*($H3490+1)/100/12),$K3489))))</f>
      </c>
      <c r="L3490" s="43">
        <f>IF($I3490=0,0,$J3490*$H3490/100/12)</f>
      </c>
      <c r="M3490" s="43">
        <f>IF($I3490=0,0,IF(OR(INDEX(DarlOhneTilgung,8)=1,AND(INDEX(DarlTilgStart,8)&gt;0,$E3490&lt;INDEX(DarlTilgStart,8))),0,MIN(MAX(0,$K3490-$L3490),$J3490)))</f>
      </c>
      <c r="N3490" s="43">
        <f>IF($I3490=0,0,MIN(SUMIFS(SondBetrag,SondDarl,8,SondDatum,"&gt;="&amp;$E3490,SondDatum,"&lt;="&amp;EOMONTH($E3490,0)),$J3490-$M3490))</f>
      </c>
      <c r="O3490" s="43">
        <f>IF($I3490=0,0,INDEX(DarlErsatzRate,8))</f>
      </c>
      <c r="P3490" s="43">
        <f>IF($I3490=0,0,$Q3489*INDEX(DarlErsatzZins,8))</f>
      </c>
      <c r="Q3490" s="43">
        <f>IF($I3490=0,0,$Q3489+$P3490+$O3490)</f>
      </c>
      <c r="R3490" s="43">
        <f>IF($I3490=0,0,$J3490-$M3490-$N3490)</f>
      </c>
    </row>
    <row r="3491">
      <c r="A3491"/>
      <c r="B3491">
        <v>8</v>
      </c>
      <c r="C3491" s="43">
        <f>INDEX(DarlObj,8)</f>
      </c>
      <c r="D3491">
        <v>128</v>
      </c>
      <c r="E3491" s="51">
        <f>IF(INDEX(DarlBelegt,8)=0,0,EOMONTH(INDEX(DarlAuszahlung,8),127)+1)</f>
      </c>
      <c r="F3491" s="43">
        <f>IF($E3491=0,0,YEAR($E3491))</f>
      </c>
      <c r="G3491" s="43">
        <f>IF(INDEX(DarlBindung,8)="",1,IF($E3491&lt;=INDEX(DarlBindung,8),1,0))</f>
      </c>
      <c r="H3491" s="43">
        <f>IF($G3491=1,INDEX(DarlSollzins,8),INDEX(DarlAnschluss,8))</f>
      </c>
      <c r="I3491" s="43">
        <f>IF(INDEX(DarlBelegt,8)=0,0,IF(INDEX(DarlOhneTilgung,8)=1,IF(INDEX(DarlBindung,8)="",1,$G3491),IF($J3491&gt;0.005,1,0)))</f>
      </c>
      <c r="J3491" s="43">
        <f>IF($I3490=0,0,$R3490)</f>
      </c>
      <c r="K3491" s="43">
        <f>IF($I3491=0,0,IF(INDEX(DarlOhneTilgung,8)=1,0,IF(AND(INDEX(DarlTilgStart,8)&gt;0,$E3491=INDEX(DarlTilgStart,8)),$J3491*($H3491+INDEX(DarlTilgung,8))/100/12,IF(AND($G3491=0,$G3490=1),MAX($K3490,$J3491*($H3491+1)/100/12),$K3490))))</f>
      </c>
      <c r="L3491" s="43">
        <f>IF($I3491=0,0,$J3491*$H3491/100/12)</f>
      </c>
      <c r="M3491" s="43">
        <f>IF($I3491=0,0,IF(OR(INDEX(DarlOhneTilgung,8)=1,AND(INDEX(DarlTilgStart,8)&gt;0,$E3491&lt;INDEX(DarlTilgStart,8))),0,MIN(MAX(0,$K3491-$L3491),$J3491)))</f>
      </c>
      <c r="N3491" s="43">
        <f>IF($I3491=0,0,MIN(SUMIFS(SondBetrag,SondDarl,8,SondDatum,"&gt;="&amp;$E3491,SondDatum,"&lt;="&amp;EOMONTH($E3491,0)),$J3491-$M3491))</f>
      </c>
      <c r="O3491" s="43">
        <f>IF($I3491=0,0,INDEX(DarlErsatzRate,8))</f>
      </c>
      <c r="P3491" s="43">
        <f>IF($I3491=0,0,$Q3490*INDEX(DarlErsatzZins,8))</f>
      </c>
      <c r="Q3491" s="43">
        <f>IF($I3491=0,0,$Q3490+$P3491+$O3491)</f>
      </c>
      <c r="R3491" s="43">
        <f>IF($I3491=0,0,$J3491-$M3491-$N3491)</f>
      </c>
    </row>
    <row r="3492">
      <c r="A3492"/>
      <c r="B3492">
        <v>8</v>
      </c>
      <c r="C3492" s="43">
        <f>INDEX(DarlObj,8)</f>
      </c>
      <c r="D3492">
        <v>129</v>
      </c>
      <c r="E3492" s="51">
        <f>IF(INDEX(DarlBelegt,8)=0,0,EOMONTH(INDEX(DarlAuszahlung,8),128)+1)</f>
      </c>
      <c r="F3492" s="43">
        <f>IF($E3492=0,0,YEAR($E3492))</f>
      </c>
      <c r="G3492" s="43">
        <f>IF(INDEX(DarlBindung,8)="",1,IF($E3492&lt;=INDEX(DarlBindung,8),1,0))</f>
      </c>
      <c r="H3492" s="43">
        <f>IF($G3492=1,INDEX(DarlSollzins,8),INDEX(DarlAnschluss,8))</f>
      </c>
      <c r="I3492" s="43">
        <f>IF(INDEX(DarlBelegt,8)=0,0,IF(INDEX(DarlOhneTilgung,8)=1,IF(INDEX(DarlBindung,8)="",1,$G3492),IF($J3492&gt;0.005,1,0)))</f>
      </c>
      <c r="J3492" s="43">
        <f>IF($I3491=0,0,$R3491)</f>
      </c>
      <c r="K3492" s="43">
        <f>IF($I3492=0,0,IF(INDEX(DarlOhneTilgung,8)=1,0,IF(AND(INDEX(DarlTilgStart,8)&gt;0,$E3492=INDEX(DarlTilgStart,8)),$J3492*($H3492+INDEX(DarlTilgung,8))/100/12,IF(AND($G3492=0,$G3491=1),MAX($K3491,$J3492*($H3492+1)/100/12),$K3491))))</f>
      </c>
      <c r="L3492" s="43">
        <f>IF($I3492=0,0,$J3492*$H3492/100/12)</f>
      </c>
      <c r="M3492" s="43">
        <f>IF($I3492=0,0,IF(OR(INDEX(DarlOhneTilgung,8)=1,AND(INDEX(DarlTilgStart,8)&gt;0,$E3492&lt;INDEX(DarlTilgStart,8))),0,MIN(MAX(0,$K3492-$L3492),$J3492)))</f>
      </c>
      <c r="N3492" s="43">
        <f>IF($I3492=0,0,MIN(SUMIFS(SondBetrag,SondDarl,8,SondDatum,"&gt;="&amp;$E3492,SondDatum,"&lt;="&amp;EOMONTH($E3492,0)),$J3492-$M3492))</f>
      </c>
      <c r="O3492" s="43">
        <f>IF($I3492=0,0,INDEX(DarlErsatzRate,8))</f>
      </c>
      <c r="P3492" s="43">
        <f>IF($I3492=0,0,$Q3491*INDEX(DarlErsatzZins,8))</f>
      </c>
      <c r="Q3492" s="43">
        <f>IF($I3492=0,0,$Q3491+$P3492+$O3492)</f>
      </c>
      <c r="R3492" s="43">
        <f>IF($I3492=0,0,$J3492-$M3492-$N3492)</f>
      </c>
    </row>
    <row r="3493">
      <c r="A3493"/>
      <c r="B3493">
        <v>8</v>
      </c>
      <c r="C3493" s="43">
        <f>INDEX(DarlObj,8)</f>
      </c>
      <c r="D3493">
        <v>130</v>
      </c>
      <c r="E3493" s="51">
        <f>IF(INDEX(DarlBelegt,8)=0,0,EOMONTH(INDEX(DarlAuszahlung,8),129)+1)</f>
      </c>
      <c r="F3493" s="43">
        <f>IF($E3493=0,0,YEAR($E3493))</f>
      </c>
      <c r="G3493" s="43">
        <f>IF(INDEX(DarlBindung,8)="",1,IF($E3493&lt;=INDEX(DarlBindung,8),1,0))</f>
      </c>
      <c r="H3493" s="43">
        <f>IF($G3493=1,INDEX(DarlSollzins,8),INDEX(DarlAnschluss,8))</f>
      </c>
      <c r="I3493" s="43">
        <f>IF(INDEX(DarlBelegt,8)=0,0,IF(INDEX(DarlOhneTilgung,8)=1,IF(INDEX(DarlBindung,8)="",1,$G3493),IF($J3493&gt;0.005,1,0)))</f>
      </c>
      <c r="J3493" s="43">
        <f>IF($I3492=0,0,$R3492)</f>
      </c>
      <c r="K3493" s="43">
        <f>IF($I3493=0,0,IF(INDEX(DarlOhneTilgung,8)=1,0,IF(AND(INDEX(DarlTilgStart,8)&gt;0,$E3493=INDEX(DarlTilgStart,8)),$J3493*($H3493+INDEX(DarlTilgung,8))/100/12,IF(AND($G3493=0,$G3492=1),MAX($K3492,$J3493*($H3493+1)/100/12),$K3492))))</f>
      </c>
      <c r="L3493" s="43">
        <f>IF($I3493=0,0,$J3493*$H3493/100/12)</f>
      </c>
      <c r="M3493" s="43">
        <f>IF($I3493=0,0,IF(OR(INDEX(DarlOhneTilgung,8)=1,AND(INDEX(DarlTilgStart,8)&gt;0,$E3493&lt;INDEX(DarlTilgStart,8))),0,MIN(MAX(0,$K3493-$L3493),$J3493)))</f>
      </c>
      <c r="N3493" s="43">
        <f>IF($I3493=0,0,MIN(SUMIFS(SondBetrag,SondDarl,8,SondDatum,"&gt;="&amp;$E3493,SondDatum,"&lt;="&amp;EOMONTH($E3493,0)),$J3493-$M3493))</f>
      </c>
      <c r="O3493" s="43">
        <f>IF($I3493=0,0,INDEX(DarlErsatzRate,8))</f>
      </c>
      <c r="P3493" s="43">
        <f>IF($I3493=0,0,$Q3492*INDEX(DarlErsatzZins,8))</f>
      </c>
      <c r="Q3493" s="43">
        <f>IF($I3493=0,0,$Q3492+$P3493+$O3493)</f>
      </c>
      <c r="R3493" s="43">
        <f>IF($I3493=0,0,$J3493-$M3493-$N3493)</f>
      </c>
    </row>
    <row r="3494">
      <c r="A3494"/>
      <c r="B3494">
        <v>8</v>
      </c>
      <c r="C3494" s="43">
        <f>INDEX(DarlObj,8)</f>
      </c>
      <c r="D3494">
        <v>131</v>
      </c>
      <c r="E3494" s="51">
        <f>IF(INDEX(DarlBelegt,8)=0,0,EOMONTH(INDEX(DarlAuszahlung,8),130)+1)</f>
      </c>
      <c r="F3494" s="43">
        <f>IF($E3494=0,0,YEAR($E3494))</f>
      </c>
      <c r="G3494" s="43">
        <f>IF(INDEX(DarlBindung,8)="",1,IF($E3494&lt;=INDEX(DarlBindung,8),1,0))</f>
      </c>
      <c r="H3494" s="43">
        <f>IF($G3494=1,INDEX(DarlSollzins,8),INDEX(DarlAnschluss,8))</f>
      </c>
      <c r="I3494" s="43">
        <f>IF(INDEX(DarlBelegt,8)=0,0,IF(INDEX(DarlOhneTilgung,8)=1,IF(INDEX(DarlBindung,8)="",1,$G3494),IF($J3494&gt;0.005,1,0)))</f>
      </c>
      <c r="J3494" s="43">
        <f>IF($I3493=0,0,$R3493)</f>
      </c>
      <c r="K3494" s="43">
        <f>IF($I3494=0,0,IF(INDEX(DarlOhneTilgung,8)=1,0,IF(AND(INDEX(DarlTilgStart,8)&gt;0,$E3494=INDEX(DarlTilgStart,8)),$J3494*($H3494+INDEX(DarlTilgung,8))/100/12,IF(AND($G3494=0,$G3493=1),MAX($K3493,$J3494*($H3494+1)/100/12),$K3493))))</f>
      </c>
      <c r="L3494" s="43">
        <f>IF($I3494=0,0,$J3494*$H3494/100/12)</f>
      </c>
      <c r="M3494" s="43">
        <f>IF($I3494=0,0,IF(OR(INDEX(DarlOhneTilgung,8)=1,AND(INDEX(DarlTilgStart,8)&gt;0,$E3494&lt;INDEX(DarlTilgStart,8))),0,MIN(MAX(0,$K3494-$L3494),$J3494)))</f>
      </c>
      <c r="N3494" s="43">
        <f>IF($I3494=0,0,MIN(SUMIFS(SondBetrag,SondDarl,8,SondDatum,"&gt;="&amp;$E3494,SondDatum,"&lt;="&amp;EOMONTH($E3494,0)),$J3494-$M3494))</f>
      </c>
      <c r="O3494" s="43">
        <f>IF($I3494=0,0,INDEX(DarlErsatzRate,8))</f>
      </c>
      <c r="P3494" s="43">
        <f>IF($I3494=0,0,$Q3493*INDEX(DarlErsatzZins,8))</f>
      </c>
      <c r="Q3494" s="43">
        <f>IF($I3494=0,0,$Q3493+$P3494+$O3494)</f>
      </c>
      <c r="R3494" s="43">
        <f>IF($I3494=0,0,$J3494-$M3494-$N3494)</f>
      </c>
    </row>
    <row r="3495">
      <c r="A3495"/>
      <c r="B3495">
        <v>8</v>
      </c>
      <c r="C3495" s="43">
        <f>INDEX(DarlObj,8)</f>
      </c>
      <c r="D3495">
        <v>132</v>
      </c>
      <c r="E3495" s="51">
        <f>IF(INDEX(DarlBelegt,8)=0,0,EOMONTH(INDEX(DarlAuszahlung,8),131)+1)</f>
      </c>
      <c r="F3495" s="43">
        <f>IF($E3495=0,0,YEAR($E3495))</f>
      </c>
      <c r="G3495" s="43">
        <f>IF(INDEX(DarlBindung,8)="",1,IF($E3495&lt;=INDEX(DarlBindung,8),1,0))</f>
      </c>
      <c r="H3495" s="43">
        <f>IF($G3495=1,INDEX(DarlSollzins,8),INDEX(DarlAnschluss,8))</f>
      </c>
      <c r="I3495" s="43">
        <f>IF(INDEX(DarlBelegt,8)=0,0,IF(INDEX(DarlOhneTilgung,8)=1,IF(INDEX(DarlBindung,8)="",1,$G3495),IF($J3495&gt;0.005,1,0)))</f>
      </c>
      <c r="J3495" s="43">
        <f>IF($I3494=0,0,$R3494)</f>
      </c>
      <c r="K3495" s="43">
        <f>IF($I3495=0,0,IF(INDEX(DarlOhneTilgung,8)=1,0,IF(AND(INDEX(DarlTilgStart,8)&gt;0,$E3495=INDEX(DarlTilgStart,8)),$J3495*($H3495+INDEX(DarlTilgung,8))/100/12,IF(AND($G3495=0,$G3494=1),MAX($K3494,$J3495*($H3495+1)/100/12),$K3494))))</f>
      </c>
      <c r="L3495" s="43">
        <f>IF($I3495=0,0,$J3495*$H3495/100/12)</f>
      </c>
      <c r="M3495" s="43">
        <f>IF($I3495=0,0,IF(OR(INDEX(DarlOhneTilgung,8)=1,AND(INDEX(DarlTilgStart,8)&gt;0,$E3495&lt;INDEX(DarlTilgStart,8))),0,MIN(MAX(0,$K3495-$L3495),$J3495)))</f>
      </c>
      <c r="N3495" s="43">
        <f>IF($I3495=0,0,MIN(SUMIFS(SondBetrag,SondDarl,8,SondDatum,"&gt;="&amp;$E3495,SondDatum,"&lt;="&amp;EOMONTH($E3495,0)),$J3495-$M3495))</f>
      </c>
      <c r="O3495" s="43">
        <f>IF($I3495=0,0,INDEX(DarlErsatzRate,8))</f>
      </c>
      <c r="P3495" s="43">
        <f>IF($I3495=0,0,$Q3494*INDEX(DarlErsatzZins,8))</f>
      </c>
      <c r="Q3495" s="43">
        <f>IF($I3495=0,0,$Q3494+$P3495+$O3495)</f>
      </c>
      <c r="R3495" s="43">
        <f>IF($I3495=0,0,$J3495-$M3495-$N3495)</f>
      </c>
    </row>
    <row r="3496">
      <c r="A3496"/>
      <c r="B3496">
        <v>8</v>
      </c>
      <c r="C3496" s="43">
        <f>INDEX(DarlObj,8)</f>
      </c>
      <c r="D3496">
        <v>133</v>
      </c>
      <c r="E3496" s="51">
        <f>IF(INDEX(DarlBelegt,8)=0,0,EOMONTH(INDEX(DarlAuszahlung,8),132)+1)</f>
      </c>
      <c r="F3496" s="43">
        <f>IF($E3496=0,0,YEAR($E3496))</f>
      </c>
      <c r="G3496" s="43">
        <f>IF(INDEX(DarlBindung,8)="",1,IF($E3496&lt;=INDEX(DarlBindung,8),1,0))</f>
      </c>
      <c r="H3496" s="43">
        <f>IF($G3496=1,INDEX(DarlSollzins,8),INDEX(DarlAnschluss,8))</f>
      </c>
      <c r="I3496" s="43">
        <f>IF(INDEX(DarlBelegt,8)=0,0,IF(INDEX(DarlOhneTilgung,8)=1,IF(INDEX(DarlBindung,8)="",1,$G3496),IF($J3496&gt;0.005,1,0)))</f>
      </c>
      <c r="J3496" s="43">
        <f>IF($I3495=0,0,$R3495)</f>
      </c>
      <c r="K3496" s="43">
        <f>IF($I3496=0,0,IF(INDEX(DarlOhneTilgung,8)=1,0,IF(AND(INDEX(DarlTilgStart,8)&gt;0,$E3496=INDEX(DarlTilgStart,8)),$J3496*($H3496+INDEX(DarlTilgung,8))/100/12,IF(AND($G3496=0,$G3495=1),MAX($K3495,$J3496*($H3496+1)/100/12),$K3495))))</f>
      </c>
      <c r="L3496" s="43">
        <f>IF($I3496=0,0,$J3496*$H3496/100/12)</f>
      </c>
      <c r="M3496" s="43">
        <f>IF($I3496=0,0,IF(OR(INDEX(DarlOhneTilgung,8)=1,AND(INDEX(DarlTilgStart,8)&gt;0,$E3496&lt;INDEX(DarlTilgStart,8))),0,MIN(MAX(0,$K3496-$L3496),$J3496)))</f>
      </c>
      <c r="N3496" s="43">
        <f>IF($I3496=0,0,MIN(SUMIFS(SondBetrag,SondDarl,8,SondDatum,"&gt;="&amp;$E3496,SondDatum,"&lt;="&amp;EOMONTH($E3496,0)),$J3496-$M3496))</f>
      </c>
      <c r="O3496" s="43">
        <f>IF($I3496=0,0,INDEX(DarlErsatzRate,8))</f>
      </c>
      <c r="P3496" s="43">
        <f>IF($I3496=0,0,$Q3495*INDEX(DarlErsatzZins,8))</f>
      </c>
      <c r="Q3496" s="43">
        <f>IF($I3496=0,0,$Q3495+$P3496+$O3496)</f>
      </c>
      <c r="R3496" s="43">
        <f>IF($I3496=0,0,$J3496-$M3496-$N3496)</f>
      </c>
    </row>
    <row r="3497">
      <c r="A3497"/>
      <c r="B3497">
        <v>8</v>
      </c>
      <c r="C3497" s="43">
        <f>INDEX(DarlObj,8)</f>
      </c>
      <c r="D3497">
        <v>134</v>
      </c>
      <c r="E3497" s="51">
        <f>IF(INDEX(DarlBelegt,8)=0,0,EOMONTH(INDEX(DarlAuszahlung,8),133)+1)</f>
      </c>
      <c r="F3497" s="43">
        <f>IF($E3497=0,0,YEAR($E3497))</f>
      </c>
      <c r="G3497" s="43">
        <f>IF(INDEX(DarlBindung,8)="",1,IF($E3497&lt;=INDEX(DarlBindung,8),1,0))</f>
      </c>
      <c r="H3497" s="43">
        <f>IF($G3497=1,INDEX(DarlSollzins,8),INDEX(DarlAnschluss,8))</f>
      </c>
      <c r="I3497" s="43">
        <f>IF(INDEX(DarlBelegt,8)=0,0,IF(INDEX(DarlOhneTilgung,8)=1,IF(INDEX(DarlBindung,8)="",1,$G3497),IF($J3497&gt;0.005,1,0)))</f>
      </c>
      <c r="J3497" s="43">
        <f>IF($I3496=0,0,$R3496)</f>
      </c>
      <c r="K3497" s="43">
        <f>IF($I3497=0,0,IF(INDEX(DarlOhneTilgung,8)=1,0,IF(AND(INDEX(DarlTilgStart,8)&gt;0,$E3497=INDEX(DarlTilgStart,8)),$J3497*($H3497+INDEX(DarlTilgung,8))/100/12,IF(AND($G3497=0,$G3496=1),MAX($K3496,$J3497*($H3497+1)/100/12),$K3496))))</f>
      </c>
      <c r="L3497" s="43">
        <f>IF($I3497=0,0,$J3497*$H3497/100/12)</f>
      </c>
      <c r="M3497" s="43">
        <f>IF($I3497=0,0,IF(OR(INDEX(DarlOhneTilgung,8)=1,AND(INDEX(DarlTilgStart,8)&gt;0,$E3497&lt;INDEX(DarlTilgStart,8))),0,MIN(MAX(0,$K3497-$L3497),$J3497)))</f>
      </c>
      <c r="N3497" s="43">
        <f>IF($I3497=0,0,MIN(SUMIFS(SondBetrag,SondDarl,8,SondDatum,"&gt;="&amp;$E3497,SondDatum,"&lt;="&amp;EOMONTH($E3497,0)),$J3497-$M3497))</f>
      </c>
      <c r="O3497" s="43">
        <f>IF($I3497=0,0,INDEX(DarlErsatzRate,8))</f>
      </c>
      <c r="P3497" s="43">
        <f>IF($I3497=0,0,$Q3496*INDEX(DarlErsatzZins,8))</f>
      </c>
      <c r="Q3497" s="43">
        <f>IF($I3497=0,0,$Q3496+$P3497+$O3497)</f>
      </c>
      <c r="R3497" s="43">
        <f>IF($I3497=0,0,$J3497-$M3497-$N3497)</f>
      </c>
    </row>
    <row r="3498">
      <c r="A3498"/>
      <c r="B3498">
        <v>8</v>
      </c>
      <c r="C3498" s="43">
        <f>INDEX(DarlObj,8)</f>
      </c>
      <c r="D3498">
        <v>135</v>
      </c>
      <c r="E3498" s="51">
        <f>IF(INDEX(DarlBelegt,8)=0,0,EOMONTH(INDEX(DarlAuszahlung,8),134)+1)</f>
      </c>
      <c r="F3498" s="43">
        <f>IF($E3498=0,0,YEAR($E3498))</f>
      </c>
      <c r="G3498" s="43">
        <f>IF(INDEX(DarlBindung,8)="",1,IF($E3498&lt;=INDEX(DarlBindung,8),1,0))</f>
      </c>
      <c r="H3498" s="43">
        <f>IF($G3498=1,INDEX(DarlSollzins,8),INDEX(DarlAnschluss,8))</f>
      </c>
      <c r="I3498" s="43">
        <f>IF(INDEX(DarlBelegt,8)=0,0,IF(INDEX(DarlOhneTilgung,8)=1,IF(INDEX(DarlBindung,8)="",1,$G3498),IF($J3498&gt;0.005,1,0)))</f>
      </c>
      <c r="J3498" s="43">
        <f>IF($I3497=0,0,$R3497)</f>
      </c>
      <c r="K3498" s="43">
        <f>IF($I3498=0,0,IF(INDEX(DarlOhneTilgung,8)=1,0,IF(AND(INDEX(DarlTilgStart,8)&gt;0,$E3498=INDEX(DarlTilgStart,8)),$J3498*($H3498+INDEX(DarlTilgung,8))/100/12,IF(AND($G3498=0,$G3497=1),MAX($K3497,$J3498*($H3498+1)/100/12),$K3497))))</f>
      </c>
      <c r="L3498" s="43">
        <f>IF($I3498=0,0,$J3498*$H3498/100/12)</f>
      </c>
      <c r="M3498" s="43">
        <f>IF($I3498=0,0,IF(OR(INDEX(DarlOhneTilgung,8)=1,AND(INDEX(DarlTilgStart,8)&gt;0,$E3498&lt;INDEX(DarlTilgStart,8))),0,MIN(MAX(0,$K3498-$L3498),$J3498)))</f>
      </c>
      <c r="N3498" s="43">
        <f>IF($I3498=0,0,MIN(SUMIFS(SondBetrag,SondDarl,8,SondDatum,"&gt;="&amp;$E3498,SondDatum,"&lt;="&amp;EOMONTH($E3498,0)),$J3498-$M3498))</f>
      </c>
      <c r="O3498" s="43">
        <f>IF($I3498=0,0,INDEX(DarlErsatzRate,8))</f>
      </c>
      <c r="P3498" s="43">
        <f>IF($I3498=0,0,$Q3497*INDEX(DarlErsatzZins,8))</f>
      </c>
      <c r="Q3498" s="43">
        <f>IF($I3498=0,0,$Q3497+$P3498+$O3498)</f>
      </c>
      <c r="R3498" s="43">
        <f>IF($I3498=0,0,$J3498-$M3498-$N3498)</f>
      </c>
    </row>
    <row r="3499">
      <c r="A3499"/>
      <c r="B3499">
        <v>8</v>
      </c>
      <c r="C3499" s="43">
        <f>INDEX(DarlObj,8)</f>
      </c>
      <c r="D3499">
        <v>136</v>
      </c>
      <c r="E3499" s="51">
        <f>IF(INDEX(DarlBelegt,8)=0,0,EOMONTH(INDEX(DarlAuszahlung,8),135)+1)</f>
      </c>
      <c r="F3499" s="43">
        <f>IF($E3499=0,0,YEAR($E3499))</f>
      </c>
      <c r="G3499" s="43">
        <f>IF(INDEX(DarlBindung,8)="",1,IF($E3499&lt;=INDEX(DarlBindung,8),1,0))</f>
      </c>
      <c r="H3499" s="43">
        <f>IF($G3499=1,INDEX(DarlSollzins,8),INDEX(DarlAnschluss,8))</f>
      </c>
      <c r="I3499" s="43">
        <f>IF(INDEX(DarlBelegt,8)=0,0,IF(INDEX(DarlOhneTilgung,8)=1,IF(INDEX(DarlBindung,8)="",1,$G3499),IF($J3499&gt;0.005,1,0)))</f>
      </c>
      <c r="J3499" s="43">
        <f>IF($I3498=0,0,$R3498)</f>
      </c>
      <c r="K3499" s="43">
        <f>IF($I3499=0,0,IF(INDEX(DarlOhneTilgung,8)=1,0,IF(AND(INDEX(DarlTilgStart,8)&gt;0,$E3499=INDEX(DarlTilgStart,8)),$J3499*($H3499+INDEX(DarlTilgung,8))/100/12,IF(AND($G3499=0,$G3498=1),MAX($K3498,$J3499*($H3499+1)/100/12),$K3498))))</f>
      </c>
      <c r="L3499" s="43">
        <f>IF($I3499=0,0,$J3499*$H3499/100/12)</f>
      </c>
      <c r="M3499" s="43">
        <f>IF($I3499=0,0,IF(OR(INDEX(DarlOhneTilgung,8)=1,AND(INDEX(DarlTilgStart,8)&gt;0,$E3499&lt;INDEX(DarlTilgStart,8))),0,MIN(MAX(0,$K3499-$L3499),$J3499)))</f>
      </c>
      <c r="N3499" s="43">
        <f>IF($I3499=0,0,MIN(SUMIFS(SondBetrag,SondDarl,8,SondDatum,"&gt;="&amp;$E3499,SondDatum,"&lt;="&amp;EOMONTH($E3499,0)),$J3499-$M3499))</f>
      </c>
      <c r="O3499" s="43">
        <f>IF($I3499=0,0,INDEX(DarlErsatzRate,8))</f>
      </c>
      <c r="P3499" s="43">
        <f>IF($I3499=0,0,$Q3498*INDEX(DarlErsatzZins,8))</f>
      </c>
      <c r="Q3499" s="43">
        <f>IF($I3499=0,0,$Q3498+$P3499+$O3499)</f>
      </c>
      <c r="R3499" s="43">
        <f>IF($I3499=0,0,$J3499-$M3499-$N3499)</f>
      </c>
    </row>
    <row r="3500">
      <c r="A3500"/>
      <c r="B3500">
        <v>8</v>
      </c>
      <c r="C3500" s="43">
        <f>INDEX(DarlObj,8)</f>
      </c>
      <c r="D3500">
        <v>137</v>
      </c>
      <c r="E3500" s="51">
        <f>IF(INDEX(DarlBelegt,8)=0,0,EOMONTH(INDEX(DarlAuszahlung,8),136)+1)</f>
      </c>
      <c r="F3500" s="43">
        <f>IF($E3500=0,0,YEAR($E3500))</f>
      </c>
      <c r="G3500" s="43">
        <f>IF(INDEX(DarlBindung,8)="",1,IF($E3500&lt;=INDEX(DarlBindung,8),1,0))</f>
      </c>
      <c r="H3500" s="43">
        <f>IF($G3500=1,INDEX(DarlSollzins,8),INDEX(DarlAnschluss,8))</f>
      </c>
      <c r="I3500" s="43">
        <f>IF(INDEX(DarlBelegt,8)=0,0,IF(INDEX(DarlOhneTilgung,8)=1,IF(INDEX(DarlBindung,8)="",1,$G3500),IF($J3500&gt;0.005,1,0)))</f>
      </c>
      <c r="J3500" s="43">
        <f>IF($I3499=0,0,$R3499)</f>
      </c>
      <c r="K3500" s="43">
        <f>IF($I3500=0,0,IF(INDEX(DarlOhneTilgung,8)=1,0,IF(AND(INDEX(DarlTilgStart,8)&gt;0,$E3500=INDEX(DarlTilgStart,8)),$J3500*($H3500+INDEX(DarlTilgung,8))/100/12,IF(AND($G3500=0,$G3499=1),MAX($K3499,$J3500*($H3500+1)/100/12),$K3499))))</f>
      </c>
      <c r="L3500" s="43">
        <f>IF($I3500=0,0,$J3500*$H3500/100/12)</f>
      </c>
      <c r="M3500" s="43">
        <f>IF($I3500=0,0,IF(OR(INDEX(DarlOhneTilgung,8)=1,AND(INDEX(DarlTilgStart,8)&gt;0,$E3500&lt;INDEX(DarlTilgStart,8))),0,MIN(MAX(0,$K3500-$L3500),$J3500)))</f>
      </c>
      <c r="N3500" s="43">
        <f>IF($I3500=0,0,MIN(SUMIFS(SondBetrag,SondDarl,8,SondDatum,"&gt;="&amp;$E3500,SondDatum,"&lt;="&amp;EOMONTH($E3500,0)),$J3500-$M3500))</f>
      </c>
      <c r="O3500" s="43">
        <f>IF($I3500=0,0,INDEX(DarlErsatzRate,8))</f>
      </c>
      <c r="P3500" s="43">
        <f>IF($I3500=0,0,$Q3499*INDEX(DarlErsatzZins,8))</f>
      </c>
      <c r="Q3500" s="43">
        <f>IF($I3500=0,0,$Q3499+$P3500+$O3500)</f>
      </c>
      <c r="R3500" s="43">
        <f>IF($I3500=0,0,$J3500-$M3500-$N3500)</f>
      </c>
    </row>
    <row r="3501">
      <c r="A3501"/>
      <c r="B3501">
        <v>8</v>
      </c>
      <c r="C3501" s="43">
        <f>INDEX(DarlObj,8)</f>
      </c>
      <c r="D3501">
        <v>138</v>
      </c>
      <c r="E3501" s="51">
        <f>IF(INDEX(DarlBelegt,8)=0,0,EOMONTH(INDEX(DarlAuszahlung,8),137)+1)</f>
      </c>
      <c r="F3501" s="43">
        <f>IF($E3501=0,0,YEAR($E3501))</f>
      </c>
      <c r="G3501" s="43">
        <f>IF(INDEX(DarlBindung,8)="",1,IF($E3501&lt;=INDEX(DarlBindung,8),1,0))</f>
      </c>
      <c r="H3501" s="43">
        <f>IF($G3501=1,INDEX(DarlSollzins,8),INDEX(DarlAnschluss,8))</f>
      </c>
      <c r="I3501" s="43">
        <f>IF(INDEX(DarlBelegt,8)=0,0,IF(INDEX(DarlOhneTilgung,8)=1,IF(INDEX(DarlBindung,8)="",1,$G3501),IF($J3501&gt;0.005,1,0)))</f>
      </c>
      <c r="J3501" s="43">
        <f>IF($I3500=0,0,$R3500)</f>
      </c>
      <c r="K3501" s="43">
        <f>IF($I3501=0,0,IF(INDEX(DarlOhneTilgung,8)=1,0,IF(AND(INDEX(DarlTilgStart,8)&gt;0,$E3501=INDEX(DarlTilgStart,8)),$J3501*($H3501+INDEX(DarlTilgung,8))/100/12,IF(AND($G3501=0,$G3500=1),MAX($K3500,$J3501*($H3501+1)/100/12),$K3500))))</f>
      </c>
      <c r="L3501" s="43">
        <f>IF($I3501=0,0,$J3501*$H3501/100/12)</f>
      </c>
      <c r="M3501" s="43">
        <f>IF($I3501=0,0,IF(OR(INDEX(DarlOhneTilgung,8)=1,AND(INDEX(DarlTilgStart,8)&gt;0,$E3501&lt;INDEX(DarlTilgStart,8))),0,MIN(MAX(0,$K3501-$L3501),$J3501)))</f>
      </c>
      <c r="N3501" s="43">
        <f>IF($I3501=0,0,MIN(SUMIFS(SondBetrag,SondDarl,8,SondDatum,"&gt;="&amp;$E3501,SondDatum,"&lt;="&amp;EOMONTH($E3501,0)),$J3501-$M3501))</f>
      </c>
      <c r="O3501" s="43">
        <f>IF($I3501=0,0,INDEX(DarlErsatzRate,8))</f>
      </c>
      <c r="P3501" s="43">
        <f>IF($I3501=0,0,$Q3500*INDEX(DarlErsatzZins,8))</f>
      </c>
      <c r="Q3501" s="43">
        <f>IF($I3501=0,0,$Q3500+$P3501+$O3501)</f>
      </c>
      <c r="R3501" s="43">
        <f>IF($I3501=0,0,$J3501-$M3501-$N3501)</f>
      </c>
    </row>
    <row r="3502">
      <c r="A3502"/>
      <c r="B3502">
        <v>8</v>
      </c>
      <c r="C3502" s="43">
        <f>INDEX(DarlObj,8)</f>
      </c>
      <c r="D3502">
        <v>139</v>
      </c>
      <c r="E3502" s="51">
        <f>IF(INDEX(DarlBelegt,8)=0,0,EOMONTH(INDEX(DarlAuszahlung,8),138)+1)</f>
      </c>
      <c r="F3502" s="43">
        <f>IF($E3502=0,0,YEAR($E3502))</f>
      </c>
      <c r="G3502" s="43">
        <f>IF(INDEX(DarlBindung,8)="",1,IF($E3502&lt;=INDEX(DarlBindung,8),1,0))</f>
      </c>
      <c r="H3502" s="43">
        <f>IF($G3502=1,INDEX(DarlSollzins,8),INDEX(DarlAnschluss,8))</f>
      </c>
      <c r="I3502" s="43">
        <f>IF(INDEX(DarlBelegt,8)=0,0,IF(INDEX(DarlOhneTilgung,8)=1,IF(INDEX(DarlBindung,8)="",1,$G3502),IF($J3502&gt;0.005,1,0)))</f>
      </c>
      <c r="J3502" s="43">
        <f>IF($I3501=0,0,$R3501)</f>
      </c>
      <c r="K3502" s="43">
        <f>IF($I3502=0,0,IF(INDEX(DarlOhneTilgung,8)=1,0,IF(AND(INDEX(DarlTilgStart,8)&gt;0,$E3502=INDEX(DarlTilgStart,8)),$J3502*($H3502+INDEX(DarlTilgung,8))/100/12,IF(AND($G3502=0,$G3501=1),MAX($K3501,$J3502*($H3502+1)/100/12),$K3501))))</f>
      </c>
      <c r="L3502" s="43">
        <f>IF($I3502=0,0,$J3502*$H3502/100/12)</f>
      </c>
      <c r="M3502" s="43">
        <f>IF($I3502=0,0,IF(OR(INDEX(DarlOhneTilgung,8)=1,AND(INDEX(DarlTilgStart,8)&gt;0,$E3502&lt;INDEX(DarlTilgStart,8))),0,MIN(MAX(0,$K3502-$L3502),$J3502)))</f>
      </c>
      <c r="N3502" s="43">
        <f>IF($I3502=0,0,MIN(SUMIFS(SondBetrag,SondDarl,8,SondDatum,"&gt;="&amp;$E3502,SondDatum,"&lt;="&amp;EOMONTH($E3502,0)),$J3502-$M3502))</f>
      </c>
      <c r="O3502" s="43">
        <f>IF($I3502=0,0,INDEX(DarlErsatzRate,8))</f>
      </c>
      <c r="P3502" s="43">
        <f>IF($I3502=0,0,$Q3501*INDEX(DarlErsatzZins,8))</f>
      </c>
      <c r="Q3502" s="43">
        <f>IF($I3502=0,0,$Q3501+$P3502+$O3502)</f>
      </c>
      <c r="R3502" s="43">
        <f>IF($I3502=0,0,$J3502-$M3502-$N3502)</f>
      </c>
    </row>
    <row r="3503">
      <c r="A3503"/>
      <c r="B3503">
        <v>8</v>
      </c>
      <c r="C3503" s="43">
        <f>INDEX(DarlObj,8)</f>
      </c>
      <c r="D3503">
        <v>140</v>
      </c>
      <c r="E3503" s="51">
        <f>IF(INDEX(DarlBelegt,8)=0,0,EOMONTH(INDEX(DarlAuszahlung,8),139)+1)</f>
      </c>
      <c r="F3503" s="43">
        <f>IF($E3503=0,0,YEAR($E3503))</f>
      </c>
      <c r="G3503" s="43">
        <f>IF(INDEX(DarlBindung,8)="",1,IF($E3503&lt;=INDEX(DarlBindung,8),1,0))</f>
      </c>
      <c r="H3503" s="43">
        <f>IF($G3503=1,INDEX(DarlSollzins,8),INDEX(DarlAnschluss,8))</f>
      </c>
      <c r="I3503" s="43">
        <f>IF(INDEX(DarlBelegt,8)=0,0,IF(INDEX(DarlOhneTilgung,8)=1,IF(INDEX(DarlBindung,8)="",1,$G3503),IF($J3503&gt;0.005,1,0)))</f>
      </c>
      <c r="J3503" s="43">
        <f>IF($I3502=0,0,$R3502)</f>
      </c>
      <c r="K3503" s="43">
        <f>IF($I3503=0,0,IF(INDEX(DarlOhneTilgung,8)=1,0,IF(AND(INDEX(DarlTilgStart,8)&gt;0,$E3503=INDEX(DarlTilgStart,8)),$J3503*($H3503+INDEX(DarlTilgung,8))/100/12,IF(AND($G3503=0,$G3502=1),MAX($K3502,$J3503*($H3503+1)/100/12),$K3502))))</f>
      </c>
      <c r="L3503" s="43">
        <f>IF($I3503=0,0,$J3503*$H3503/100/12)</f>
      </c>
      <c r="M3503" s="43">
        <f>IF($I3503=0,0,IF(OR(INDEX(DarlOhneTilgung,8)=1,AND(INDEX(DarlTilgStart,8)&gt;0,$E3503&lt;INDEX(DarlTilgStart,8))),0,MIN(MAX(0,$K3503-$L3503),$J3503)))</f>
      </c>
      <c r="N3503" s="43">
        <f>IF($I3503=0,0,MIN(SUMIFS(SondBetrag,SondDarl,8,SondDatum,"&gt;="&amp;$E3503,SondDatum,"&lt;="&amp;EOMONTH($E3503,0)),$J3503-$M3503))</f>
      </c>
      <c r="O3503" s="43">
        <f>IF($I3503=0,0,INDEX(DarlErsatzRate,8))</f>
      </c>
      <c r="P3503" s="43">
        <f>IF($I3503=0,0,$Q3502*INDEX(DarlErsatzZins,8))</f>
      </c>
      <c r="Q3503" s="43">
        <f>IF($I3503=0,0,$Q3502+$P3503+$O3503)</f>
      </c>
      <c r="R3503" s="43">
        <f>IF($I3503=0,0,$J3503-$M3503-$N3503)</f>
      </c>
    </row>
    <row r="3504">
      <c r="A3504"/>
      <c r="B3504">
        <v>8</v>
      </c>
      <c r="C3504" s="43">
        <f>INDEX(DarlObj,8)</f>
      </c>
      <c r="D3504">
        <v>141</v>
      </c>
      <c r="E3504" s="51">
        <f>IF(INDEX(DarlBelegt,8)=0,0,EOMONTH(INDEX(DarlAuszahlung,8),140)+1)</f>
      </c>
      <c r="F3504" s="43">
        <f>IF($E3504=0,0,YEAR($E3504))</f>
      </c>
      <c r="G3504" s="43">
        <f>IF(INDEX(DarlBindung,8)="",1,IF($E3504&lt;=INDEX(DarlBindung,8),1,0))</f>
      </c>
      <c r="H3504" s="43">
        <f>IF($G3504=1,INDEX(DarlSollzins,8),INDEX(DarlAnschluss,8))</f>
      </c>
      <c r="I3504" s="43">
        <f>IF(INDEX(DarlBelegt,8)=0,0,IF(INDEX(DarlOhneTilgung,8)=1,IF(INDEX(DarlBindung,8)="",1,$G3504),IF($J3504&gt;0.005,1,0)))</f>
      </c>
      <c r="J3504" s="43">
        <f>IF($I3503=0,0,$R3503)</f>
      </c>
      <c r="K3504" s="43">
        <f>IF($I3504=0,0,IF(INDEX(DarlOhneTilgung,8)=1,0,IF(AND(INDEX(DarlTilgStart,8)&gt;0,$E3504=INDEX(DarlTilgStart,8)),$J3504*($H3504+INDEX(DarlTilgung,8))/100/12,IF(AND($G3504=0,$G3503=1),MAX($K3503,$J3504*($H3504+1)/100/12),$K3503))))</f>
      </c>
      <c r="L3504" s="43">
        <f>IF($I3504=0,0,$J3504*$H3504/100/12)</f>
      </c>
      <c r="M3504" s="43">
        <f>IF($I3504=0,0,IF(OR(INDEX(DarlOhneTilgung,8)=1,AND(INDEX(DarlTilgStart,8)&gt;0,$E3504&lt;INDEX(DarlTilgStart,8))),0,MIN(MAX(0,$K3504-$L3504),$J3504)))</f>
      </c>
      <c r="N3504" s="43">
        <f>IF($I3504=0,0,MIN(SUMIFS(SondBetrag,SondDarl,8,SondDatum,"&gt;="&amp;$E3504,SondDatum,"&lt;="&amp;EOMONTH($E3504,0)),$J3504-$M3504))</f>
      </c>
      <c r="O3504" s="43">
        <f>IF($I3504=0,0,INDEX(DarlErsatzRate,8))</f>
      </c>
      <c r="P3504" s="43">
        <f>IF($I3504=0,0,$Q3503*INDEX(DarlErsatzZins,8))</f>
      </c>
      <c r="Q3504" s="43">
        <f>IF($I3504=0,0,$Q3503+$P3504+$O3504)</f>
      </c>
      <c r="R3504" s="43">
        <f>IF($I3504=0,0,$J3504-$M3504-$N3504)</f>
      </c>
    </row>
    <row r="3505">
      <c r="A3505"/>
      <c r="B3505">
        <v>8</v>
      </c>
      <c r="C3505" s="43">
        <f>INDEX(DarlObj,8)</f>
      </c>
      <c r="D3505">
        <v>142</v>
      </c>
      <c r="E3505" s="51">
        <f>IF(INDEX(DarlBelegt,8)=0,0,EOMONTH(INDEX(DarlAuszahlung,8),141)+1)</f>
      </c>
      <c r="F3505" s="43">
        <f>IF($E3505=0,0,YEAR($E3505))</f>
      </c>
      <c r="G3505" s="43">
        <f>IF(INDEX(DarlBindung,8)="",1,IF($E3505&lt;=INDEX(DarlBindung,8),1,0))</f>
      </c>
      <c r="H3505" s="43">
        <f>IF($G3505=1,INDEX(DarlSollzins,8),INDEX(DarlAnschluss,8))</f>
      </c>
      <c r="I3505" s="43">
        <f>IF(INDEX(DarlBelegt,8)=0,0,IF(INDEX(DarlOhneTilgung,8)=1,IF(INDEX(DarlBindung,8)="",1,$G3505),IF($J3505&gt;0.005,1,0)))</f>
      </c>
      <c r="J3505" s="43">
        <f>IF($I3504=0,0,$R3504)</f>
      </c>
      <c r="K3505" s="43">
        <f>IF($I3505=0,0,IF(INDEX(DarlOhneTilgung,8)=1,0,IF(AND(INDEX(DarlTilgStart,8)&gt;0,$E3505=INDEX(DarlTilgStart,8)),$J3505*($H3505+INDEX(DarlTilgung,8))/100/12,IF(AND($G3505=0,$G3504=1),MAX($K3504,$J3505*($H3505+1)/100/12),$K3504))))</f>
      </c>
      <c r="L3505" s="43">
        <f>IF($I3505=0,0,$J3505*$H3505/100/12)</f>
      </c>
      <c r="M3505" s="43">
        <f>IF($I3505=0,0,IF(OR(INDEX(DarlOhneTilgung,8)=1,AND(INDEX(DarlTilgStart,8)&gt;0,$E3505&lt;INDEX(DarlTilgStart,8))),0,MIN(MAX(0,$K3505-$L3505),$J3505)))</f>
      </c>
      <c r="N3505" s="43">
        <f>IF($I3505=0,0,MIN(SUMIFS(SondBetrag,SondDarl,8,SondDatum,"&gt;="&amp;$E3505,SondDatum,"&lt;="&amp;EOMONTH($E3505,0)),$J3505-$M3505))</f>
      </c>
      <c r="O3505" s="43">
        <f>IF($I3505=0,0,INDEX(DarlErsatzRate,8))</f>
      </c>
      <c r="P3505" s="43">
        <f>IF($I3505=0,0,$Q3504*INDEX(DarlErsatzZins,8))</f>
      </c>
      <c r="Q3505" s="43">
        <f>IF($I3505=0,0,$Q3504+$P3505+$O3505)</f>
      </c>
      <c r="R3505" s="43">
        <f>IF($I3505=0,0,$J3505-$M3505-$N3505)</f>
      </c>
    </row>
    <row r="3506">
      <c r="A3506"/>
      <c r="B3506">
        <v>8</v>
      </c>
      <c r="C3506" s="43">
        <f>INDEX(DarlObj,8)</f>
      </c>
      <c r="D3506">
        <v>143</v>
      </c>
      <c r="E3506" s="51">
        <f>IF(INDEX(DarlBelegt,8)=0,0,EOMONTH(INDEX(DarlAuszahlung,8),142)+1)</f>
      </c>
      <c r="F3506" s="43">
        <f>IF($E3506=0,0,YEAR($E3506))</f>
      </c>
      <c r="G3506" s="43">
        <f>IF(INDEX(DarlBindung,8)="",1,IF($E3506&lt;=INDEX(DarlBindung,8),1,0))</f>
      </c>
      <c r="H3506" s="43">
        <f>IF($G3506=1,INDEX(DarlSollzins,8),INDEX(DarlAnschluss,8))</f>
      </c>
      <c r="I3506" s="43">
        <f>IF(INDEX(DarlBelegt,8)=0,0,IF(INDEX(DarlOhneTilgung,8)=1,IF(INDEX(DarlBindung,8)="",1,$G3506),IF($J3506&gt;0.005,1,0)))</f>
      </c>
      <c r="J3506" s="43">
        <f>IF($I3505=0,0,$R3505)</f>
      </c>
      <c r="K3506" s="43">
        <f>IF($I3506=0,0,IF(INDEX(DarlOhneTilgung,8)=1,0,IF(AND(INDEX(DarlTilgStart,8)&gt;0,$E3506=INDEX(DarlTilgStart,8)),$J3506*($H3506+INDEX(DarlTilgung,8))/100/12,IF(AND($G3506=0,$G3505=1),MAX($K3505,$J3506*($H3506+1)/100/12),$K3505))))</f>
      </c>
      <c r="L3506" s="43">
        <f>IF($I3506=0,0,$J3506*$H3506/100/12)</f>
      </c>
      <c r="M3506" s="43">
        <f>IF($I3506=0,0,IF(OR(INDEX(DarlOhneTilgung,8)=1,AND(INDEX(DarlTilgStart,8)&gt;0,$E3506&lt;INDEX(DarlTilgStart,8))),0,MIN(MAX(0,$K3506-$L3506),$J3506)))</f>
      </c>
      <c r="N3506" s="43">
        <f>IF($I3506=0,0,MIN(SUMIFS(SondBetrag,SondDarl,8,SondDatum,"&gt;="&amp;$E3506,SondDatum,"&lt;="&amp;EOMONTH($E3506,0)),$J3506-$M3506))</f>
      </c>
      <c r="O3506" s="43">
        <f>IF($I3506=0,0,INDEX(DarlErsatzRate,8))</f>
      </c>
      <c r="P3506" s="43">
        <f>IF($I3506=0,0,$Q3505*INDEX(DarlErsatzZins,8))</f>
      </c>
      <c r="Q3506" s="43">
        <f>IF($I3506=0,0,$Q3505+$P3506+$O3506)</f>
      </c>
      <c r="R3506" s="43">
        <f>IF($I3506=0,0,$J3506-$M3506-$N3506)</f>
      </c>
    </row>
    <row r="3507">
      <c r="A3507"/>
      <c r="B3507">
        <v>8</v>
      </c>
      <c r="C3507" s="43">
        <f>INDEX(DarlObj,8)</f>
      </c>
      <c r="D3507">
        <v>144</v>
      </c>
      <c r="E3507" s="51">
        <f>IF(INDEX(DarlBelegt,8)=0,0,EOMONTH(INDEX(DarlAuszahlung,8),143)+1)</f>
      </c>
      <c r="F3507" s="43">
        <f>IF($E3507=0,0,YEAR($E3507))</f>
      </c>
      <c r="G3507" s="43">
        <f>IF(INDEX(DarlBindung,8)="",1,IF($E3507&lt;=INDEX(DarlBindung,8),1,0))</f>
      </c>
      <c r="H3507" s="43">
        <f>IF($G3507=1,INDEX(DarlSollzins,8),INDEX(DarlAnschluss,8))</f>
      </c>
      <c r="I3507" s="43">
        <f>IF(INDEX(DarlBelegt,8)=0,0,IF(INDEX(DarlOhneTilgung,8)=1,IF(INDEX(DarlBindung,8)="",1,$G3507),IF($J3507&gt;0.005,1,0)))</f>
      </c>
      <c r="J3507" s="43">
        <f>IF($I3506=0,0,$R3506)</f>
      </c>
      <c r="K3507" s="43">
        <f>IF($I3507=0,0,IF(INDEX(DarlOhneTilgung,8)=1,0,IF(AND(INDEX(DarlTilgStart,8)&gt;0,$E3507=INDEX(DarlTilgStart,8)),$J3507*($H3507+INDEX(DarlTilgung,8))/100/12,IF(AND($G3507=0,$G3506=1),MAX($K3506,$J3507*($H3507+1)/100/12),$K3506))))</f>
      </c>
      <c r="L3507" s="43">
        <f>IF($I3507=0,0,$J3507*$H3507/100/12)</f>
      </c>
      <c r="M3507" s="43">
        <f>IF($I3507=0,0,IF(OR(INDEX(DarlOhneTilgung,8)=1,AND(INDEX(DarlTilgStart,8)&gt;0,$E3507&lt;INDEX(DarlTilgStart,8))),0,MIN(MAX(0,$K3507-$L3507),$J3507)))</f>
      </c>
      <c r="N3507" s="43">
        <f>IF($I3507=0,0,MIN(SUMIFS(SondBetrag,SondDarl,8,SondDatum,"&gt;="&amp;$E3507,SondDatum,"&lt;="&amp;EOMONTH($E3507,0)),$J3507-$M3507))</f>
      </c>
      <c r="O3507" s="43">
        <f>IF($I3507=0,0,INDEX(DarlErsatzRate,8))</f>
      </c>
      <c r="P3507" s="43">
        <f>IF($I3507=0,0,$Q3506*INDEX(DarlErsatzZins,8))</f>
      </c>
      <c r="Q3507" s="43">
        <f>IF($I3507=0,0,$Q3506+$P3507+$O3507)</f>
      </c>
      <c r="R3507" s="43">
        <f>IF($I3507=0,0,$J3507-$M3507-$N3507)</f>
      </c>
    </row>
    <row r="3508">
      <c r="A3508"/>
      <c r="B3508">
        <v>8</v>
      </c>
      <c r="C3508" s="43">
        <f>INDEX(DarlObj,8)</f>
      </c>
      <c r="D3508">
        <v>145</v>
      </c>
      <c r="E3508" s="51">
        <f>IF(INDEX(DarlBelegt,8)=0,0,EOMONTH(INDEX(DarlAuszahlung,8),144)+1)</f>
      </c>
      <c r="F3508" s="43">
        <f>IF($E3508=0,0,YEAR($E3508))</f>
      </c>
      <c r="G3508" s="43">
        <f>IF(INDEX(DarlBindung,8)="",1,IF($E3508&lt;=INDEX(DarlBindung,8),1,0))</f>
      </c>
      <c r="H3508" s="43">
        <f>IF($G3508=1,INDEX(DarlSollzins,8),INDEX(DarlAnschluss,8))</f>
      </c>
      <c r="I3508" s="43">
        <f>IF(INDEX(DarlBelegt,8)=0,0,IF(INDEX(DarlOhneTilgung,8)=1,IF(INDEX(DarlBindung,8)="",1,$G3508),IF($J3508&gt;0.005,1,0)))</f>
      </c>
      <c r="J3508" s="43">
        <f>IF($I3507=0,0,$R3507)</f>
      </c>
      <c r="K3508" s="43">
        <f>IF($I3508=0,0,IF(INDEX(DarlOhneTilgung,8)=1,0,IF(AND(INDEX(DarlTilgStart,8)&gt;0,$E3508=INDEX(DarlTilgStart,8)),$J3508*($H3508+INDEX(DarlTilgung,8))/100/12,IF(AND($G3508=0,$G3507=1),MAX($K3507,$J3508*($H3508+1)/100/12),$K3507))))</f>
      </c>
      <c r="L3508" s="43">
        <f>IF($I3508=0,0,$J3508*$H3508/100/12)</f>
      </c>
      <c r="M3508" s="43">
        <f>IF($I3508=0,0,IF(OR(INDEX(DarlOhneTilgung,8)=1,AND(INDEX(DarlTilgStart,8)&gt;0,$E3508&lt;INDEX(DarlTilgStart,8))),0,MIN(MAX(0,$K3508-$L3508),$J3508)))</f>
      </c>
      <c r="N3508" s="43">
        <f>IF($I3508=0,0,MIN(SUMIFS(SondBetrag,SondDarl,8,SondDatum,"&gt;="&amp;$E3508,SondDatum,"&lt;="&amp;EOMONTH($E3508,0)),$J3508-$M3508))</f>
      </c>
      <c r="O3508" s="43">
        <f>IF($I3508=0,0,INDEX(DarlErsatzRate,8))</f>
      </c>
      <c r="P3508" s="43">
        <f>IF($I3508=0,0,$Q3507*INDEX(DarlErsatzZins,8))</f>
      </c>
      <c r="Q3508" s="43">
        <f>IF($I3508=0,0,$Q3507+$P3508+$O3508)</f>
      </c>
      <c r="R3508" s="43">
        <f>IF($I3508=0,0,$J3508-$M3508-$N3508)</f>
      </c>
    </row>
    <row r="3509">
      <c r="A3509"/>
      <c r="B3509">
        <v>8</v>
      </c>
      <c r="C3509" s="43">
        <f>INDEX(DarlObj,8)</f>
      </c>
      <c r="D3509">
        <v>146</v>
      </c>
      <c r="E3509" s="51">
        <f>IF(INDEX(DarlBelegt,8)=0,0,EOMONTH(INDEX(DarlAuszahlung,8),145)+1)</f>
      </c>
      <c r="F3509" s="43">
        <f>IF($E3509=0,0,YEAR($E3509))</f>
      </c>
      <c r="G3509" s="43">
        <f>IF(INDEX(DarlBindung,8)="",1,IF($E3509&lt;=INDEX(DarlBindung,8),1,0))</f>
      </c>
      <c r="H3509" s="43">
        <f>IF($G3509=1,INDEX(DarlSollzins,8),INDEX(DarlAnschluss,8))</f>
      </c>
      <c r="I3509" s="43">
        <f>IF(INDEX(DarlBelegt,8)=0,0,IF(INDEX(DarlOhneTilgung,8)=1,IF(INDEX(DarlBindung,8)="",1,$G3509),IF($J3509&gt;0.005,1,0)))</f>
      </c>
      <c r="J3509" s="43">
        <f>IF($I3508=0,0,$R3508)</f>
      </c>
      <c r="K3509" s="43">
        <f>IF($I3509=0,0,IF(INDEX(DarlOhneTilgung,8)=1,0,IF(AND(INDEX(DarlTilgStart,8)&gt;0,$E3509=INDEX(DarlTilgStart,8)),$J3509*($H3509+INDEX(DarlTilgung,8))/100/12,IF(AND($G3509=0,$G3508=1),MAX($K3508,$J3509*($H3509+1)/100/12),$K3508))))</f>
      </c>
      <c r="L3509" s="43">
        <f>IF($I3509=0,0,$J3509*$H3509/100/12)</f>
      </c>
      <c r="M3509" s="43">
        <f>IF($I3509=0,0,IF(OR(INDEX(DarlOhneTilgung,8)=1,AND(INDEX(DarlTilgStart,8)&gt;0,$E3509&lt;INDEX(DarlTilgStart,8))),0,MIN(MAX(0,$K3509-$L3509),$J3509)))</f>
      </c>
      <c r="N3509" s="43">
        <f>IF($I3509=0,0,MIN(SUMIFS(SondBetrag,SondDarl,8,SondDatum,"&gt;="&amp;$E3509,SondDatum,"&lt;="&amp;EOMONTH($E3509,0)),$J3509-$M3509))</f>
      </c>
      <c r="O3509" s="43">
        <f>IF($I3509=0,0,INDEX(DarlErsatzRate,8))</f>
      </c>
      <c r="P3509" s="43">
        <f>IF($I3509=0,0,$Q3508*INDEX(DarlErsatzZins,8))</f>
      </c>
      <c r="Q3509" s="43">
        <f>IF($I3509=0,0,$Q3508+$P3509+$O3509)</f>
      </c>
      <c r="R3509" s="43">
        <f>IF($I3509=0,0,$J3509-$M3509-$N3509)</f>
      </c>
    </row>
    <row r="3510">
      <c r="A3510"/>
      <c r="B3510">
        <v>8</v>
      </c>
      <c r="C3510" s="43">
        <f>INDEX(DarlObj,8)</f>
      </c>
      <c r="D3510">
        <v>147</v>
      </c>
      <c r="E3510" s="51">
        <f>IF(INDEX(DarlBelegt,8)=0,0,EOMONTH(INDEX(DarlAuszahlung,8),146)+1)</f>
      </c>
      <c r="F3510" s="43">
        <f>IF($E3510=0,0,YEAR($E3510))</f>
      </c>
      <c r="G3510" s="43">
        <f>IF(INDEX(DarlBindung,8)="",1,IF($E3510&lt;=INDEX(DarlBindung,8),1,0))</f>
      </c>
      <c r="H3510" s="43">
        <f>IF($G3510=1,INDEX(DarlSollzins,8),INDEX(DarlAnschluss,8))</f>
      </c>
      <c r="I3510" s="43">
        <f>IF(INDEX(DarlBelegt,8)=0,0,IF(INDEX(DarlOhneTilgung,8)=1,IF(INDEX(DarlBindung,8)="",1,$G3510),IF($J3510&gt;0.005,1,0)))</f>
      </c>
      <c r="J3510" s="43">
        <f>IF($I3509=0,0,$R3509)</f>
      </c>
      <c r="K3510" s="43">
        <f>IF($I3510=0,0,IF(INDEX(DarlOhneTilgung,8)=1,0,IF(AND(INDEX(DarlTilgStart,8)&gt;0,$E3510=INDEX(DarlTilgStart,8)),$J3510*($H3510+INDEX(DarlTilgung,8))/100/12,IF(AND($G3510=0,$G3509=1),MAX($K3509,$J3510*($H3510+1)/100/12),$K3509))))</f>
      </c>
      <c r="L3510" s="43">
        <f>IF($I3510=0,0,$J3510*$H3510/100/12)</f>
      </c>
      <c r="M3510" s="43">
        <f>IF($I3510=0,0,IF(OR(INDEX(DarlOhneTilgung,8)=1,AND(INDEX(DarlTilgStart,8)&gt;0,$E3510&lt;INDEX(DarlTilgStart,8))),0,MIN(MAX(0,$K3510-$L3510),$J3510)))</f>
      </c>
      <c r="N3510" s="43">
        <f>IF($I3510=0,0,MIN(SUMIFS(SondBetrag,SondDarl,8,SondDatum,"&gt;="&amp;$E3510,SondDatum,"&lt;="&amp;EOMONTH($E3510,0)),$J3510-$M3510))</f>
      </c>
      <c r="O3510" s="43">
        <f>IF($I3510=0,0,INDEX(DarlErsatzRate,8))</f>
      </c>
      <c r="P3510" s="43">
        <f>IF($I3510=0,0,$Q3509*INDEX(DarlErsatzZins,8))</f>
      </c>
      <c r="Q3510" s="43">
        <f>IF($I3510=0,0,$Q3509+$P3510+$O3510)</f>
      </c>
      <c r="R3510" s="43">
        <f>IF($I3510=0,0,$J3510-$M3510-$N3510)</f>
      </c>
    </row>
    <row r="3511">
      <c r="A3511"/>
      <c r="B3511">
        <v>8</v>
      </c>
      <c r="C3511" s="43">
        <f>INDEX(DarlObj,8)</f>
      </c>
      <c r="D3511">
        <v>148</v>
      </c>
      <c r="E3511" s="51">
        <f>IF(INDEX(DarlBelegt,8)=0,0,EOMONTH(INDEX(DarlAuszahlung,8),147)+1)</f>
      </c>
      <c r="F3511" s="43">
        <f>IF($E3511=0,0,YEAR($E3511))</f>
      </c>
      <c r="G3511" s="43">
        <f>IF(INDEX(DarlBindung,8)="",1,IF($E3511&lt;=INDEX(DarlBindung,8),1,0))</f>
      </c>
      <c r="H3511" s="43">
        <f>IF($G3511=1,INDEX(DarlSollzins,8),INDEX(DarlAnschluss,8))</f>
      </c>
      <c r="I3511" s="43">
        <f>IF(INDEX(DarlBelegt,8)=0,0,IF(INDEX(DarlOhneTilgung,8)=1,IF(INDEX(DarlBindung,8)="",1,$G3511),IF($J3511&gt;0.005,1,0)))</f>
      </c>
      <c r="J3511" s="43">
        <f>IF($I3510=0,0,$R3510)</f>
      </c>
      <c r="K3511" s="43">
        <f>IF($I3511=0,0,IF(INDEX(DarlOhneTilgung,8)=1,0,IF(AND(INDEX(DarlTilgStart,8)&gt;0,$E3511=INDEX(DarlTilgStart,8)),$J3511*($H3511+INDEX(DarlTilgung,8))/100/12,IF(AND($G3511=0,$G3510=1),MAX($K3510,$J3511*($H3511+1)/100/12),$K3510))))</f>
      </c>
      <c r="L3511" s="43">
        <f>IF($I3511=0,0,$J3511*$H3511/100/12)</f>
      </c>
      <c r="M3511" s="43">
        <f>IF($I3511=0,0,IF(OR(INDEX(DarlOhneTilgung,8)=1,AND(INDEX(DarlTilgStart,8)&gt;0,$E3511&lt;INDEX(DarlTilgStart,8))),0,MIN(MAX(0,$K3511-$L3511),$J3511)))</f>
      </c>
      <c r="N3511" s="43">
        <f>IF($I3511=0,0,MIN(SUMIFS(SondBetrag,SondDarl,8,SondDatum,"&gt;="&amp;$E3511,SondDatum,"&lt;="&amp;EOMONTH($E3511,0)),$J3511-$M3511))</f>
      </c>
      <c r="O3511" s="43">
        <f>IF($I3511=0,0,INDEX(DarlErsatzRate,8))</f>
      </c>
      <c r="P3511" s="43">
        <f>IF($I3511=0,0,$Q3510*INDEX(DarlErsatzZins,8))</f>
      </c>
      <c r="Q3511" s="43">
        <f>IF($I3511=0,0,$Q3510+$P3511+$O3511)</f>
      </c>
      <c r="R3511" s="43">
        <f>IF($I3511=0,0,$J3511-$M3511-$N3511)</f>
      </c>
    </row>
    <row r="3512">
      <c r="A3512"/>
      <c r="B3512">
        <v>8</v>
      </c>
      <c r="C3512" s="43">
        <f>INDEX(DarlObj,8)</f>
      </c>
      <c r="D3512">
        <v>149</v>
      </c>
      <c r="E3512" s="51">
        <f>IF(INDEX(DarlBelegt,8)=0,0,EOMONTH(INDEX(DarlAuszahlung,8),148)+1)</f>
      </c>
      <c r="F3512" s="43">
        <f>IF($E3512=0,0,YEAR($E3512))</f>
      </c>
      <c r="G3512" s="43">
        <f>IF(INDEX(DarlBindung,8)="",1,IF($E3512&lt;=INDEX(DarlBindung,8),1,0))</f>
      </c>
      <c r="H3512" s="43">
        <f>IF($G3512=1,INDEX(DarlSollzins,8),INDEX(DarlAnschluss,8))</f>
      </c>
      <c r="I3512" s="43">
        <f>IF(INDEX(DarlBelegt,8)=0,0,IF(INDEX(DarlOhneTilgung,8)=1,IF(INDEX(DarlBindung,8)="",1,$G3512),IF($J3512&gt;0.005,1,0)))</f>
      </c>
      <c r="J3512" s="43">
        <f>IF($I3511=0,0,$R3511)</f>
      </c>
      <c r="K3512" s="43">
        <f>IF($I3512=0,0,IF(INDEX(DarlOhneTilgung,8)=1,0,IF(AND(INDEX(DarlTilgStart,8)&gt;0,$E3512=INDEX(DarlTilgStart,8)),$J3512*($H3512+INDEX(DarlTilgung,8))/100/12,IF(AND($G3512=0,$G3511=1),MAX($K3511,$J3512*($H3512+1)/100/12),$K3511))))</f>
      </c>
      <c r="L3512" s="43">
        <f>IF($I3512=0,0,$J3512*$H3512/100/12)</f>
      </c>
      <c r="M3512" s="43">
        <f>IF($I3512=0,0,IF(OR(INDEX(DarlOhneTilgung,8)=1,AND(INDEX(DarlTilgStart,8)&gt;0,$E3512&lt;INDEX(DarlTilgStart,8))),0,MIN(MAX(0,$K3512-$L3512),$J3512)))</f>
      </c>
      <c r="N3512" s="43">
        <f>IF($I3512=0,0,MIN(SUMIFS(SondBetrag,SondDarl,8,SondDatum,"&gt;="&amp;$E3512,SondDatum,"&lt;="&amp;EOMONTH($E3512,0)),$J3512-$M3512))</f>
      </c>
      <c r="O3512" s="43">
        <f>IF($I3512=0,0,INDEX(DarlErsatzRate,8))</f>
      </c>
      <c r="P3512" s="43">
        <f>IF($I3512=0,0,$Q3511*INDEX(DarlErsatzZins,8))</f>
      </c>
      <c r="Q3512" s="43">
        <f>IF($I3512=0,0,$Q3511+$P3512+$O3512)</f>
      </c>
      <c r="R3512" s="43">
        <f>IF($I3512=0,0,$J3512-$M3512-$N3512)</f>
      </c>
    </row>
    <row r="3513">
      <c r="A3513"/>
      <c r="B3513">
        <v>8</v>
      </c>
      <c r="C3513" s="43">
        <f>INDEX(DarlObj,8)</f>
      </c>
      <c r="D3513">
        <v>150</v>
      </c>
      <c r="E3513" s="51">
        <f>IF(INDEX(DarlBelegt,8)=0,0,EOMONTH(INDEX(DarlAuszahlung,8),149)+1)</f>
      </c>
      <c r="F3513" s="43">
        <f>IF($E3513=0,0,YEAR($E3513))</f>
      </c>
      <c r="G3513" s="43">
        <f>IF(INDEX(DarlBindung,8)="",1,IF($E3513&lt;=INDEX(DarlBindung,8),1,0))</f>
      </c>
      <c r="H3513" s="43">
        <f>IF($G3513=1,INDEX(DarlSollzins,8),INDEX(DarlAnschluss,8))</f>
      </c>
      <c r="I3513" s="43">
        <f>IF(INDEX(DarlBelegt,8)=0,0,IF(INDEX(DarlOhneTilgung,8)=1,IF(INDEX(DarlBindung,8)="",1,$G3513),IF($J3513&gt;0.005,1,0)))</f>
      </c>
      <c r="J3513" s="43">
        <f>IF($I3512=0,0,$R3512)</f>
      </c>
      <c r="K3513" s="43">
        <f>IF($I3513=0,0,IF(INDEX(DarlOhneTilgung,8)=1,0,IF(AND(INDEX(DarlTilgStart,8)&gt;0,$E3513=INDEX(DarlTilgStart,8)),$J3513*($H3513+INDEX(DarlTilgung,8))/100/12,IF(AND($G3513=0,$G3512=1),MAX($K3512,$J3513*($H3513+1)/100/12),$K3512))))</f>
      </c>
      <c r="L3513" s="43">
        <f>IF($I3513=0,0,$J3513*$H3513/100/12)</f>
      </c>
      <c r="M3513" s="43">
        <f>IF($I3513=0,0,IF(OR(INDEX(DarlOhneTilgung,8)=1,AND(INDEX(DarlTilgStart,8)&gt;0,$E3513&lt;INDEX(DarlTilgStart,8))),0,MIN(MAX(0,$K3513-$L3513),$J3513)))</f>
      </c>
      <c r="N3513" s="43">
        <f>IF($I3513=0,0,MIN(SUMIFS(SondBetrag,SondDarl,8,SondDatum,"&gt;="&amp;$E3513,SondDatum,"&lt;="&amp;EOMONTH($E3513,0)),$J3513-$M3513))</f>
      </c>
      <c r="O3513" s="43">
        <f>IF($I3513=0,0,INDEX(DarlErsatzRate,8))</f>
      </c>
      <c r="P3513" s="43">
        <f>IF($I3513=0,0,$Q3512*INDEX(DarlErsatzZins,8))</f>
      </c>
      <c r="Q3513" s="43">
        <f>IF($I3513=0,0,$Q3512+$P3513+$O3513)</f>
      </c>
      <c r="R3513" s="43">
        <f>IF($I3513=0,0,$J3513-$M3513-$N3513)</f>
      </c>
    </row>
    <row r="3514">
      <c r="A3514"/>
      <c r="B3514">
        <v>8</v>
      </c>
      <c r="C3514" s="43">
        <f>INDEX(DarlObj,8)</f>
      </c>
      <c r="D3514">
        <v>151</v>
      </c>
      <c r="E3514" s="51">
        <f>IF(INDEX(DarlBelegt,8)=0,0,EOMONTH(INDEX(DarlAuszahlung,8),150)+1)</f>
      </c>
      <c r="F3514" s="43">
        <f>IF($E3514=0,0,YEAR($E3514))</f>
      </c>
      <c r="G3514" s="43">
        <f>IF(INDEX(DarlBindung,8)="",1,IF($E3514&lt;=INDEX(DarlBindung,8),1,0))</f>
      </c>
      <c r="H3514" s="43">
        <f>IF($G3514=1,INDEX(DarlSollzins,8),INDEX(DarlAnschluss,8))</f>
      </c>
      <c r="I3514" s="43">
        <f>IF(INDEX(DarlBelegt,8)=0,0,IF(INDEX(DarlOhneTilgung,8)=1,IF(INDEX(DarlBindung,8)="",1,$G3514),IF($J3514&gt;0.005,1,0)))</f>
      </c>
      <c r="J3514" s="43">
        <f>IF($I3513=0,0,$R3513)</f>
      </c>
      <c r="K3514" s="43">
        <f>IF($I3514=0,0,IF(INDEX(DarlOhneTilgung,8)=1,0,IF(AND(INDEX(DarlTilgStart,8)&gt;0,$E3514=INDEX(DarlTilgStart,8)),$J3514*($H3514+INDEX(DarlTilgung,8))/100/12,IF(AND($G3514=0,$G3513=1),MAX($K3513,$J3514*($H3514+1)/100/12),$K3513))))</f>
      </c>
      <c r="L3514" s="43">
        <f>IF($I3514=0,0,$J3514*$H3514/100/12)</f>
      </c>
      <c r="M3514" s="43">
        <f>IF($I3514=0,0,IF(OR(INDEX(DarlOhneTilgung,8)=1,AND(INDEX(DarlTilgStart,8)&gt;0,$E3514&lt;INDEX(DarlTilgStart,8))),0,MIN(MAX(0,$K3514-$L3514),$J3514)))</f>
      </c>
      <c r="N3514" s="43">
        <f>IF($I3514=0,0,MIN(SUMIFS(SondBetrag,SondDarl,8,SondDatum,"&gt;="&amp;$E3514,SondDatum,"&lt;="&amp;EOMONTH($E3514,0)),$J3514-$M3514))</f>
      </c>
      <c r="O3514" s="43">
        <f>IF($I3514=0,0,INDEX(DarlErsatzRate,8))</f>
      </c>
      <c r="P3514" s="43">
        <f>IF($I3514=0,0,$Q3513*INDEX(DarlErsatzZins,8))</f>
      </c>
      <c r="Q3514" s="43">
        <f>IF($I3514=0,0,$Q3513+$P3514+$O3514)</f>
      </c>
      <c r="R3514" s="43">
        <f>IF($I3514=0,0,$J3514-$M3514-$N3514)</f>
      </c>
    </row>
    <row r="3515">
      <c r="A3515"/>
      <c r="B3515">
        <v>8</v>
      </c>
      <c r="C3515" s="43">
        <f>INDEX(DarlObj,8)</f>
      </c>
      <c r="D3515">
        <v>152</v>
      </c>
      <c r="E3515" s="51">
        <f>IF(INDEX(DarlBelegt,8)=0,0,EOMONTH(INDEX(DarlAuszahlung,8),151)+1)</f>
      </c>
      <c r="F3515" s="43">
        <f>IF($E3515=0,0,YEAR($E3515))</f>
      </c>
      <c r="G3515" s="43">
        <f>IF(INDEX(DarlBindung,8)="",1,IF($E3515&lt;=INDEX(DarlBindung,8),1,0))</f>
      </c>
      <c r="H3515" s="43">
        <f>IF($G3515=1,INDEX(DarlSollzins,8),INDEX(DarlAnschluss,8))</f>
      </c>
      <c r="I3515" s="43">
        <f>IF(INDEX(DarlBelegt,8)=0,0,IF(INDEX(DarlOhneTilgung,8)=1,IF(INDEX(DarlBindung,8)="",1,$G3515),IF($J3515&gt;0.005,1,0)))</f>
      </c>
      <c r="J3515" s="43">
        <f>IF($I3514=0,0,$R3514)</f>
      </c>
      <c r="K3515" s="43">
        <f>IF($I3515=0,0,IF(INDEX(DarlOhneTilgung,8)=1,0,IF(AND(INDEX(DarlTilgStart,8)&gt;0,$E3515=INDEX(DarlTilgStart,8)),$J3515*($H3515+INDEX(DarlTilgung,8))/100/12,IF(AND($G3515=0,$G3514=1),MAX($K3514,$J3515*($H3515+1)/100/12),$K3514))))</f>
      </c>
      <c r="L3515" s="43">
        <f>IF($I3515=0,0,$J3515*$H3515/100/12)</f>
      </c>
      <c r="M3515" s="43">
        <f>IF($I3515=0,0,IF(OR(INDEX(DarlOhneTilgung,8)=1,AND(INDEX(DarlTilgStart,8)&gt;0,$E3515&lt;INDEX(DarlTilgStart,8))),0,MIN(MAX(0,$K3515-$L3515),$J3515)))</f>
      </c>
      <c r="N3515" s="43">
        <f>IF($I3515=0,0,MIN(SUMIFS(SondBetrag,SondDarl,8,SondDatum,"&gt;="&amp;$E3515,SondDatum,"&lt;="&amp;EOMONTH($E3515,0)),$J3515-$M3515))</f>
      </c>
      <c r="O3515" s="43">
        <f>IF($I3515=0,0,INDEX(DarlErsatzRate,8))</f>
      </c>
      <c r="P3515" s="43">
        <f>IF($I3515=0,0,$Q3514*INDEX(DarlErsatzZins,8))</f>
      </c>
      <c r="Q3515" s="43">
        <f>IF($I3515=0,0,$Q3514+$P3515+$O3515)</f>
      </c>
      <c r="R3515" s="43">
        <f>IF($I3515=0,0,$J3515-$M3515-$N3515)</f>
      </c>
    </row>
    <row r="3516">
      <c r="A3516"/>
      <c r="B3516">
        <v>8</v>
      </c>
      <c r="C3516" s="43">
        <f>INDEX(DarlObj,8)</f>
      </c>
      <c r="D3516">
        <v>153</v>
      </c>
      <c r="E3516" s="51">
        <f>IF(INDEX(DarlBelegt,8)=0,0,EOMONTH(INDEX(DarlAuszahlung,8),152)+1)</f>
      </c>
      <c r="F3516" s="43">
        <f>IF($E3516=0,0,YEAR($E3516))</f>
      </c>
      <c r="G3516" s="43">
        <f>IF(INDEX(DarlBindung,8)="",1,IF($E3516&lt;=INDEX(DarlBindung,8),1,0))</f>
      </c>
      <c r="H3516" s="43">
        <f>IF($G3516=1,INDEX(DarlSollzins,8),INDEX(DarlAnschluss,8))</f>
      </c>
      <c r="I3516" s="43">
        <f>IF(INDEX(DarlBelegt,8)=0,0,IF(INDEX(DarlOhneTilgung,8)=1,IF(INDEX(DarlBindung,8)="",1,$G3516),IF($J3516&gt;0.005,1,0)))</f>
      </c>
      <c r="J3516" s="43">
        <f>IF($I3515=0,0,$R3515)</f>
      </c>
      <c r="K3516" s="43">
        <f>IF($I3516=0,0,IF(INDEX(DarlOhneTilgung,8)=1,0,IF(AND(INDEX(DarlTilgStart,8)&gt;0,$E3516=INDEX(DarlTilgStart,8)),$J3516*($H3516+INDEX(DarlTilgung,8))/100/12,IF(AND($G3516=0,$G3515=1),MAX($K3515,$J3516*($H3516+1)/100/12),$K3515))))</f>
      </c>
      <c r="L3516" s="43">
        <f>IF($I3516=0,0,$J3516*$H3516/100/12)</f>
      </c>
      <c r="M3516" s="43">
        <f>IF($I3516=0,0,IF(OR(INDEX(DarlOhneTilgung,8)=1,AND(INDEX(DarlTilgStart,8)&gt;0,$E3516&lt;INDEX(DarlTilgStart,8))),0,MIN(MAX(0,$K3516-$L3516),$J3516)))</f>
      </c>
      <c r="N3516" s="43">
        <f>IF($I3516=0,0,MIN(SUMIFS(SondBetrag,SondDarl,8,SondDatum,"&gt;="&amp;$E3516,SondDatum,"&lt;="&amp;EOMONTH($E3516,0)),$J3516-$M3516))</f>
      </c>
      <c r="O3516" s="43">
        <f>IF($I3516=0,0,INDEX(DarlErsatzRate,8))</f>
      </c>
      <c r="P3516" s="43">
        <f>IF($I3516=0,0,$Q3515*INDEX(DarlErsatzZins,8))</f>
      </c>
      <c r="Q3516" s="43">
        <f>IF($I3516=0,0,$Q3515+$P3516+$O3516)</f>
      </c>
      <c r="R3516" s="43">
        <f>IF($I3516=0,0,$J3516-$M3516-$N3516)</f>
      </c>
    </row>
    <row r="3517">
      <c r="A3517"/>
      <c r="B3517">
        <v>8</v>
      </c>
      <c r="C3517" s="43">
        <f>INDEX(DarlObj,8)</f>
      </c>
      <c r="D3517">
        <v>154</v>
      </c>
      <c r="E3517" s="51">
        <f>IF(INDEX(DarlBelegt,8)=0,0,EOMONTH(INDEX(DarlAuszahlung,8),153)+1)</f>
      </c>
      <c r="F3517" s="43">
        <f>IF($E3517=0,0,YEAR($E3517))</f>
      </c>
      <c r="G3517" s="43">
        <f>IF(INDEX(DarlBindung,8)="",1,IF($E3517&lt;=INDEX(DarlBindung,8),1,0))</f>
      </c>
      <c r="H3517" s="43">
        <f>IF($G3517=1,INDEX(DarlSollzins,8),INDEX(DarlAnschluss,8))</f>
      </c>
      <c r="I3517" s="43">
        <f>IF(INDEX(DarlBelegt,8)=0,0,IF(INDEX(DarlOhneTilgung,8)=1,IF(INDEX(DarlBindung,8)="",1,$G3517),IF($J3517&gt;0.005,1,0)))</f>
      </c>
      <c r="J3517" s="43">
        <f>IF($I3516=0,0,$R3516)</f>
      </c>
      <c r="K3517" s="43">
        <f>IF($I3517=0,0,IF(INDEX(DarlOhneTilgung,8)=1,0,IF(AND(INDEX(DarlTilgStart,8)&gt;0,$E3517=INDEX(DarlTilgStart,8)),$J3517*($H3517+INDEX(DarlTilgung,8))/100/12,IF(AND($G3517=0,$G3516=1),MAX($K3516,$J3517*($H3517+1)/100/12),$K3516))))</f>
      </c>
      <c r="L3517" s="43">
        <f>IF($I3517=0,0,$J3517*$H3517/100/12)</f>
      </c>
      <c r="M3517" s="43">
        <f>IF($I3517=0,0,IF(OR(INDEX(DarlOhneTilgung,8)=1,AND(INDEX(DarlTilgStart,8)&gt;0,$E3517&lt;INDEX(DarlTilgStart,8))),0,MIN(MAX(0,$K3517-$L3517),$J3517)))</f>
      </c>
      <c r="N3517" s="43">
        <f>IF($I3517=0,0,MIN(SUMIFS(SondBetrag,SondDarl,8,SondDatum,"&gt;="&amp;$E3517,SondDatum,"&lt;="&amp;EOMONTH($E3517,0)),$J3517-$M3517))</f>
      </c>
      <c r="O3517" s="43">
        <f>IF($I3517=0,0,INDEX(DarlErsatzRate,8))</f>
      </c>
      <c r="P3517" s="43">
        <f>IF($I3517=0,0,$Q3516*INDEX(DarlErsatzZins,8))</f>
      </c>
      <c r="Q3517" s="43">
        <f>IF($I3517=0,0,$Q3516+$P3517+$O3517)</f>
      </c>
      <c r="R3517" s="43">
        <f>IF($I3517=0,0,$J3517-$M3517-$N3517)</f>
      </c>
    </row>
    <row r="3518">
      <c r="A3518"/>
      <c r="B3518">
        <v>8</v>
      </c>
      <c r="C3518" s="43">
        <f>INDEX(DarlObj,8)</f>
      </c>
      <c r="D3518">
        <v>155</v>
      </c>
      <c r="E3518" s="51">
        <f>IF(INDEX(DarlBelegt,8)=0,0,EOMONTH(INDEX(DarlAuszahlung,8),154)+1)</f>
      </c>
      <c r="F3518" s="43">
        <f>IF($E3518=0,0,YEAR($E3518))</f>
      </c>
      <c r="G3518" s="43">
        <f>IF(INDEX(DarlBindung,8)="",1,IF($E3518&lt;=INDEX(DarlBindung,8),1,0))</f>
      </c>
      <c r="H3518" s="43">
        <f>IF($G3518=1,INDEX(DarlSollzins,8),INDEX(DarlAnschluss,8))</f>
      </c>
      <c r="I3518" s="43">
        <f>IF(INDEX(DarlBelegt,8)=0,0,IF(INDEX(DarlOhneTilgung,8)=1,IF(INDEX(DarlBindung,8)="",1,$G3518),IF($J3518&gt;0.005,1,0)))</f>
      </c>
      <c r="J3518" s="43">
        <f>IF($I3517=0,0,$R3517)</f>
      </c>
      <c r="K3518" s="43">
        <f>IF($I3518=0,0,IF(INDEX(DarlOhneTilgung,8)=1,0,IF(AND(INDEX(DarlTilgStart,8)&gt;0,$E3518=INDEX(DarlTilgStart,8)),$J3518*($H3518+INDEX(DarlTilgung,8))/100/12,IF(AND($G3518=0,$G3517=1),MAX($K3517,$J3518*($H3518+1)/100/12),$K3517))))</f>
      </c>
      <c r="L3518" s="43">
        <f>IF($I3518=0,0,$J3518*$H3518/100/12)</f>
      </c>
      <c r="M3518" s="43">
        <f>IF($I3518=0,0,IF(OR(INDEX(DarlOhneTilgung,8)=1,AND(INDEX(DarlTilgStart,8)&gt;0,$E3518&lt;INDEX(DarlTilgStart,8))),0,MIN(MAX(0,$K3518-$L3518),$J3518)))</f>
      </c>
      <c r="N3518" s="43">
        <f>IF($I3518=0,0,MIN(SUMIFS(SondBetrag,SondDarl,8,SondDatum,"&gt;="&amp;$E3518,SondDatum,"&lt;="&amp;EOMONTH($E3518,0)),$J3518-$M3518))</f>
      </c>
      <c r="O3518" s="43">
        <f>IF($I3518=0,0,INDEX(DarlErsatzRate,8))</f>
      </c>
      <c r="P3518" s="43">
        <f>IF($I3518=0,0,$Q3517*INDEX(DarlErsatzZins,8))</f>
      </c>
      <c r="Q3518" s="43">
        <f>IF($I3518=0,0,$Q3517+$P3518+$O3518)</f>
      </c>
      <c r="R3518" s="43">
        <f>IF($I3518=0,0,$J3518-$M3518-$N3518)</f>
      </c>
    </row>
    <row r="3519">
      <c r="A3519"/>
      <c r="B3519">
        <v>8</v>
      </c>
      <c r="C3519" s="43">
        <f>INDEX(DarlObj,8)</f>
      </c>
      <c r="D3519">
        <v>156</v>
      </c>
      <c r="E3519" s="51">
        <f>IF(INDEX(DarlBelegt,8)=0,0,EOMONTH(INDEX(DarlAuszahlung,8),155)+1)</f>
      </c>
      <c r="F3519" s="43">
        <f>IF($E3519=0,0,YEAR($E3519))</f>
      </c>
      <c r="G3519" s="43">
        <f>IF(INDEX(DarlBindung,8)="",1,IF($E3519&lt;=INDEX(DarlBindung,8),1,0))</f>
      </c>
      <c r="H3519" s="43">
        <f>IF($G3519=1,INDEX(DarlSollzins,8),INDEX(DarlAnschluss,8))</f>
      </c>
      <c r="I3519" s="43">
        <f>IF(INDEX(DarlBelegt,8)=0,0,IF(INDEX(DarlOhneTilgung,8)=1,IF(INDEX(DarlBindung,8)="",1,$G3519),IF($J3519&gt;0.005,1,0)))</f>
      </c>
      <c r="J3519" s="43">
        <f>IF($I3518=0,0,$R3518)</f>
      </c>
      <c r="K3519" s="43">
        <f>IF($I3519=0,0,IF(INDEX(DarlOhneTilgung,8)=1,0,IF(AND(INDEX(DarlTilgStart,8)&gt;0,$E3519=INDEX(DarlTilgStart,8)),$J3519*($H3519+INDEX(DarlTilgung,8))/100/12,IF(AND($G3519=0,$G3518=1),MAX($K3518,$J3519*($H3519+1)/100/12),$K3518))))</f>
      </c>
      <c r="L3519" s="43">
        <f>IF($I3519=0,0,$J3519*$H3519/100/12)</f>
      </c>
      <c r="M3519" s="43">
        <f>IF($I3519=0,0,IF(OR(INDEX(DarlOhneTilgung,8)=1,AND(INDEX(DarlTilgStart,8)&gt;0,$E3519&lt;INDEX(DarlTilgStart,8))),0,MIN(MAX(0,$K3519-$L3519),$J3519)))</f>
      </c>
      <c r="N3519" s="43">
        <f>IF($I3519=0,0,MIN(SUMIFS(SondBetrag,SondDarl,8,SondDatum,"&gt;="&amp;$E3519,SondDatum,"&lt;="&amp;EOMONTH($E3519,0)),$J3519-$M3519))</f>
      </c>
      <c r="O3519" s="43">
        <f>IF($I3519=0,0,INDEX(DarlErsatzRate,8))</f>
      </c>
      <c r="P3519" s="43">
        <f>IF($I3519=0,0,$Q3518*INDEX(DarlErsatzZins,8))</f>
      </c>
      <c r="Q3519" s="43">
        <f>IF($I3519=0,0,$Q3518+$P3519+$O3519)</f>
      </c>
      <c r="R3519" s="43">
        <f>IF($I3519=0,0,$J3519-$M3519-$N3519)</f>
      </c>
    </row>
    <row r="3520">
      <c r="A3520"/>
      <c r="B3520">
        <v>8</v>
      </c>
      <c r="C3520" s="43">
        <f>INDEX(DarlObj,8)</f>
      </c>
      <c r="D3520">
        <v>157</v>
      </c>
      <c r="E3520" s="51">
        <f>IF(INDEX(DarlBelegt,8)=0,0,EOMONTH(INDEX(DarlAuszahlung,8),156)+1)</f>
      </c>
      <c r="F3520" s="43">
        <f>IF($E3520=0,0,YEAR($E3520))</f>
      </c>
      <c r="G3520" s="43">
        <f>IF(INDEX(DarlBindung,8)="",1,IF($E3520&lt;=INDEX(DarlBindung,8),1,0))</f>
      </c>
      <c r="H3520" s="43">
        <f>IF($G3520=1,INDEX(DarlSollzins,8),INDEX(DarlAnschluss,8))</f>
      </c>
      <c r="I3520" s="43">
        <f>IF(INDEX(DarlBelegt,8)=0,0,IF(INDEX(DarlOhneTilgung,8)=1,IF(INDEX(DarlBindung,8)="",1,$G3520),IF($J3520&gt;0.005,1,0)))</f>
      </c>
      <c r="J3520" s="43">
        <f>IF($I3519=0,0,$R3519)</f>
      </c>
      <c r="K3520" s="43">
        <f>IF($I3520=0,0,IF(INDEX(DarlOhneTilgung,8)=1,0,IF(AND(INDEX(DarlTilgStart,8)&gt;0,$E3520=INDEX(DarlTilgStart,8)),$J3520*($H3520+INDEX(DarlTilgung,8))/100/12,IF(AND($G3520=0,$G3519=1),MAX($K3519,$J3520*($H3520+1)/100/12),$K3519))))</f>
      </c>
      <c r="L3520" s="43">
        <f>IF($I3520=0,0,$J3520*$H3520/100/12)</f>
      </c>
      <c r="M3520" s="43">
        <f>IF($I3520=0,0,IF(OR(INDEX(DarlOhneTilgung,8)=1,AND(INDEX(DarlTilgStart,8)&gt;0,$E3520&lt;INDEX(DarlTilgStart,8))),0,MIN(MAX(0,$K3520-$L3520),$J3520)))</f>
      </c>
      <c r="N3520" s="43">
        <f>IF($I3520=0,0,MIN(SUMIFS(SondBetrag,SondDarl,8,SondDatum,"&gt;="&amp;$E3520,SondDatum,"&lt;="&amp;EOMONTH($E3520,0)),$J3520-$M3520))</f>
      </c>
      <c r="O3520" s="43">
        <f>IF($I3520=0,0,INDEX(DarlErsatzRate,8))</f>
      </c>
      <c r="P3520" s="43">
        <f>IF($I3520=0,0,$Q3519*INDEX(DarlErsatzZins,8))</f>
      </c>
      <c r="Q3520" s="43">
        <f>IF($I3520=0,0,$Q3519+$P3520+$O3520)</f>
      </c>
      <c r="R3520" s="43">
        <f>IF($I3520=0,0,$J3520-$M3520-$N3520)</f>
      </c>
    </row>
    <row r="3521">
      <c r="A3521"/>
      <c r="B3521">
        <v>8</v>
      </c>
      <c r="C3521" s="43">
        <f>INDEX(DarlObj,8)</f>
      </c>
      <c r="D3521">
        <v>158</v>
      </c>
      <c r="E3521" s="51">
        <f>IF(INDEX(DarlBelegt,8)=0,0,EOMONTH(INDEX(DarlAuszahlung,8),157)+1)</f>
      </c>
      <c r="F3521" s="43">
        <f>IF($E3521=0,0,YEAR($E3521))</f>
      </c>
      <c r="G3521" s="43">
        <f>IF(INDEX(DarlBindung,8)="",1,IF($E3521&lt;=INDEX(DarlBindung,8),1,0))</f>
      </c>
      <c r="H3521" s="43">
        <f>IF($G3521=1,INDEX(DarlSollzins,8),INDEX(DarlAnschluss,8))</f>
      </c>
      <c r="I3521" s="43">
        <f>IF(INDEX(DarlBelegt,8)=0,0,IF(INDEX(DarlOhneTilgung,8)=1,IF(INDEX(DarlBindung,8)="",1,$G3521),IF($J3521&gt;0.005,1,0)))</f>
      </c>
      <c r="J3521" s="43">
        <f>IF($I3520=0,0,$R3520)</f>
      </c>
      <c r="K3521" s="43">
        <f>IF($I3521=0,0,IF(INDEX(DarlOhneTilgung,8)=1,0,IF(AND(INDEX(DarlTilgStart,8)&gt;0,$E3521=INDEX(DarlTilgStart,8)),$J3521*($H3521+INDEX(DarlTilgung,8))/100/12,IF(AND($G3521=0,$G3520=1),MAX($K3520,$J3521*($H3521+1)/100/12),$K3520))))</f>
      </c>
      <c r="L3521" s="43">
        <f>IF($I3521=0,0,$J3521*$H3521/100/12)</f>
      </c>
      <c r="M3521" s="43">
        <f>IF($I3521=0,0,IF(OR(INDEX(DarlOhneTilgung,8)=1,AND(INDEX(DarlTilgStart,8)&gt;0,$E3521&lt;INDEX(DarlTilgStart,8))),0,MIN(MAX(0,$K3521-$L3521),$J3521)))</f>
      </c>
      <c r="N3521" s="43">
        <f>IF($I3521=0,0,MIN(SUMIFS(SondBetrag,SondDarl,8,SondDatum,"&gt;="&amp;$E3521,SondDatum,"&lt;="&amp;EOMONTH($E3521,0)),$J3521-$M3521))</f>
      </c>
      <c r="O3521" s="43">
        <f>IF($I3521=0,0,INDEX(DarlErsatzRate,8))</f>
      </c>
      <c r="P3521" s="43">
        <f>IF($I3521=0,0,$Q3520*INDEX(DarlErsatzZins,8))</f>
      </c>
      <c r="Q3521" s="43">
        <f>IF($I3521=0,0,$Q3520+$P3521+$O3521)</f>
      </c>
      <c r="R3521" s="43">
        <f>IF($I3521=0,0,$J3521-$M3521-$N3521)</f>
      </c>
    </row>
    <row r="3522">
      <c r="A3522"/>
      <c r="B3522">
        <v>8</v>
      </c>
      <c r="C3522" s="43">
        <f>INDEX(DarlObj,8)</f>
      </c>
      <c r="D3522">
        <v>159</v>
      </c>
      <c r="E3522" s="51">
        <f>IF(INDEX(DarlBelegt,8)=0,0,EOMONTH(INDEX(DarlAuszahlung,8),158)+1)</f>
      </c>
      <c r="F3522" s="43">
        <f>IF($E3522=0,0,YEAR($E3522))</f>
      </c>
      <c r="G3522" s="43">
        <f>IF(INDEX(DarlBindung,8)="",1,IF($E3522&lt;=INDEX(DarlBindung,8),1,0))</f>
      </c>
      <c r="H3522" s="43">
        <f>IF($G3522=1,INDEX(DarlSollzins,8),INDEX(DarlAnschluss,8))</f>
      </c>
      <c r="I3522" s="43">
        <f>IF(INDEX(DarlBelegt,8)=0,0,IF(INDEX(DarlOhneTilgung,8)=1,IF(INDEX(DarlBindung,8)="",1,$G3522),IF($J3522&gt;0.005,1,0)))</f>
      </c>
      <c r="J3522" s="43">
        <f>IF($I3521=0,0,$R3521)</f>
      </c>
      <c r="K3522" s="43">
        <f>IF($I3522=0,0,IF(INDEX(DarlOhneTilgung,8)=1,0,IF(AND(INDEX(DarlTilgStart,8)&gt;0,$E3522=INDEX(DarlTilgStart,8)),$J3522*($H3522+INDEX(DarlTilgung,8))/100/12,IF(AND($G3522=0,$G3521=1),MAX($K3521,$J3522*($H3522+1)/100/12),$K3521))))</f>
      </c>
      <c r="L3522" s="43">
        <f>IF($I3522=0,0,$J3522*$H3522/100/12)</f>
      </c>
      <c r="M3522" s="43">
        <f>IF($I3522=0,0,IF(OR(INDEX(DarlOhneTilgung,8)=1,AND(INDEX(DarlTilgStart,8)&gt;0,$E3522&lt;INDEX(DarlTilgStart,8))),0,MIN(MAX(0,$K3522-$L3522),$J3522)))</f>
      </c>
      <c r="N3522" s="43">
        <f>IF($I3522=0,0,MIN(SUMIFS(SondBetrag,SondDarl,8,SondDatum,"&gt;="&amp;$E3522,SondDatum,"&lt;="&amp;EOMONTH($E3522,0)),$J3522-$M3522))</f>
      </c>
      <c r="O3522" s="43">
        <f>IF($I3522=0,0,INDEX(DarlErsatzRate,8))</f>
      </c>
      <c r="P3522" s="43">
        <f>IF($I3522=0,0,$Q3521*INDEX(DarlErsatzZins,8))</f>
      </c>
      <c r="Q3522" s="43">
        <f>IF($I3522=0,0,$Q3521+$P3522+$O3522)</f>
      </c>
      <c r="R3522" s="43">
        <f>IF($I3522=0,0,$J3522-$M3522-$N3522)</f>
      </c>
    </row>
    <row r="3523">
      <c r="A3523"/>
      <c r="B3523">
        <v>8</v>
      </c>
      <c r="C3523" s="43">
        <f>INDEX(DarlObj,8)</f>
      </c>
      <c r="D3523">
        <v>160</v>
      </c>
      <c r="E3523" s="51">
        <f>IF(INDEX(DarlBelegt,8)=0,0,EOMONTH(INDEX(DarlAuszahlung,8),159)+1)</f>
      </c>
      <c r="F3523" s="43">
        <f>IF($E3523=0,0,YEAR($E3523))</f>
      </c>
      <c r="G3523" s="43">
        <f>IF(INDEX(DarlBindung,8)="",1,IF($E3523&lt;=INDEX(DarlBindung,8),1,0))</f>
      </c>
      <c r="H3523" s="43">
        <f>IF($G3523=1,INDEX(DarlSollzins,8),INDEX(DarlAnschluss,8))</f>
      </c>
      <c r="I3523" s="43">
        <f>IF(INDEX(DarlBelegt,8)=0,0,IF(INDEX(DarlOhneTilgung,8)=1,IF(INDEX(DarlBindung,8)="",1,$G3523),IF($J3523&gt;0.005,1,0)))</f>
      </c>
      <c r="J3523" s="43">
        <f>IF($I3522=0,0,$R3522)</f>
      </c>
      <c r="K3523" s="43">
        <f>IF($I3523=0,0,IF(INDEX(DarlOhneTilgung,8)=1,0,IF(AND(INDEX(DarlTilgStart,8)&gt;0,$E3523=INDEX(DarlTilgStart,8)),$J3523*($H3523+INDEX(DarlTilgung,8))/100/12,IF(AND($G3523=0,$G3522=1),MAX($K3522,$J3523*($H3523+1)/100/12),$K3522))))</f>
      </c>
      <c r="L3523" s="43">
        <f>IF($I3523=0,0,$J3523*$H3523/100/12)</f>
      </c>
      <c r="M3523" s="43">
        <f>IF($I3523=0,0,IF(OR(INDEX(DarlOhneTilgung,8)=1,AND(INDEX(DarlTilgStart,8)&gt;0,$E3523&lt;INDEX(DarlTilgStart,8))),0,MIN(MAX(0,$K3523-$L3523),$J3523)))</f>
      </c>
      <c r="N3523" s="43">
        <f>IF($I3523=0,0,MIN(SUMIFS(SondBetrag,SondDarl,8,SondDatum,"&gt;="&amp;$E3523,SondDatum,"&lt;="&amp;EOMONTH($E3523,0)),$J3523-$M3523))</f>
      </c>
      <c r="O3523" s="43">
        <f>IF($I3523=0,0,INDEX(DarlErsatzRate,8))</f>
      </c>
      <c r="P3523" s="43">
        <f>IF($I3523=0,0,$Q3522*INDEX(DarlErsatzZins,8))</f>
      </c>
      <c r="Q3523" s="43">
        <f>IF($I3523=0,0,$Q3522+$P3523+$O3523)</f>
      </c>
      <c r="R3523" s="43">
        <f>IF($I3523=0,0,$J3523-$M3523-$N3523)</f>
      </c>
    </row>
    <row r="3524">
      <c r="A3524"/>
      <c r="B3524">
        <v>8</v>
      </c>
      <c r="C3524" s="43">
        <f>INDEX(DarlObj,8)</f>
      </c>
      <c r="D3524">
        <v>161</v>
      </c>
      <c r="E3524" s="51">
        <f>IF(INDEX(DarlBelegt,8)=0,0,EOMONTH(INDEX(DarlAuszahlung,8),160)+1)</f>
      </c>
      <c r="F3524" s="43">
        <f>IF($E3524=0,0,YEAR($E3524))</f>
      </c>
      <c r="G3524" s="43">
        <f>IF(INDEX(DarlBindung,8)="",1,IF($E3524&lt;=INDEX(DarlBindung,8),1,0))</f>
      </c>
      <c r="H3524" s="43">
        <f>IF($G3524=1,INDEX(DarlSollzins,8),INDEX(DarlAnschluss,8))</f>
      </c>
      <c r="I3524" s="43">
        <f>IF(INDEX(DarlBelegt,8)=0,0,IF(INDEX(DarlOhneTilgung,8)=1,IF(INDEX(DarlBindung,8)="",1,$G3524),IF($J3524&gt;0.005,1,0)))</f>
      </c>
      <c r="J3524" s="43">
        <f>IF($I3523=0,0,$R3523)</f>
      </c>
      <c r="K3524" s="43">
        <f>IF($I3524=0,0,IF(INDEX(DarlOhneTilgung,8)=1,0,IF(AND(INDEX(DarlTilgStart,8)&gt;0,$E3524=INDEX(DarlTilgStart,8)),$J3524*($H3524+INDEX(DarlTilgung,8))/100/12,IF(AND($G3524=0,$G3523=1),MAX($K3523,$J3524*($H3524+1)/100/12),$K3523))))</f>
      </c>
      <c r="L3524" s="43">
        <f>IF($I3524=0,0,$J3524*$H3524/100/12)</f>
      </c>
      <c r="M3524" s="43">
        <f>IF($I3524=0,0,IF(OR(INDEX(DarlOhneTilgung,8)=1,AND(INDEX(DarlTilgStart,8)&gt;0,$E3524&lt;INDEX(DarlTilgStart,8))),0,MIN(MAX(0,$K3524-$L3524),$J3524)))</f>
      </c>
      <c r="N3524" s="43">
        <f>IF($I3524=0,0,MIN(SUMIFS(SondBetrag,SondDarl,8,SondDatum,"&gt;="&amp;$E3524,SondDatum,"&lt;="&amp;EOMONTH($E3524,0)),$J3524-$M3524))</f>
      </c>
      <c r="O3524" s="43">
        <f>IF($I3524=0,0,INDEX(DarlErsatzRate,8))</f>
      </c>
      <c r="P3524" s="43">
        <f>IF($I3524=0,0,$Q3523*INDEX(DarlErsatzZins,8))</f>
      </c>
      <c r="Q3524" s="43">
        <f>IF($I3524=0,0,$Q3523+$P3524+$O3524)</f>
      </c>
      <c r="R3524" s="43">
        <f>IF($I3524=0,0,$J3524-$M3524-$N3524)</f>
      </c>
    </row>
    <row r="3525">
      <c r="A3525"/>
      <c r="B3525">
        <v>8</v>
      </c>
      <c r="C3525" s="43">
        <f>INDEX(DarlObj,8)</f>
      </c>
      <c r="D3525">
        <v>162</v>
      </c>
      <c r="E3525" s="51">
        <f>IF(INDEX(DarlBelegt,8)=0,0,EOMONTH(INDEX(DarlAuszahlung,8),161)+1)</f>
      </c>
      <c r="F3525" s="43">
        <f>IF($E3525=0,0,YEAR($E3525))</f>
      </c>
      <c r="G3525" s="43">
        <f>IF(INDEX(DarlBindung,8)="",1,IF($E3525&lt;=INDEX(DarlBindung,8),1,0))</f>
      </c>
      <c r="H3525" s="43">
        <f>IF($G3525=1,INDEX(DarlSollzins,8),INDEX(DarlAnschluss,8))</f>
      </c>
      <c r="I3525" s="43">
        <f>IF(INDEX(DarlBelegt,8)=0,0,IF(INDEX(DarlOhneTilgung,8)=1,IF(INDEX(DarlBindung,8)="",1,$G3525),IF($J3525&gt;0.005,1,0)))</f>
      </c>
      <c r="J3525" s="43">
        <f>IF($I3524=0,0,$R3524)</f>
      </c>
      <c r="K3525" s="43">
        <f>IF($I3525=0,0,IF(INDEX(DarlOhneTilgung,8)=1,0,IF(AND(INDEX(DarlTilgStart,8)&gt;0,$E3525=INDEX(DarlTilgStart,8)),$J3525*($H3525+INDEX(DarlTilgung,8))/100/12,IF(AND($G3525=0,$G3524=1),MAX($K3524,$J3525*($H3525+1)/100/12),$K3524))))</f>
      </c>
      <c r="L3525" s="43">
        <f>IF($I3525=0,0,$J3525*$H3525/100/12)</f>
      </c>
      <c r="M3525" s="43">
        <f>IF($I3525=0,0,IF(OR(INDEX(DarlOhneTilgung,8)=1,AND(INDEX(DarlTilgStart,8)&gt;0,$E3525&lt;INDEX(DarlTilgStart,8))),0,MIN(MAX(0,$K3525-$L3525),$J3525)))</f>
      </c>
      <c r="N3525" s="43">
        <f>IF($I3525=0,0,MIN(SUMIFS(SondBetrag,SondDarl,8,SondDatum,"&gt;="&amp;$E3525,SondDatum,"&lt;="&amp;EOMONTH($E3525,0)),$J3525-$M3525))</f>
      </c>
      <c r="O3525" s="43">
        <f>IF($I3525=0,0,INDEX(DarlErsatzRate,8))</f>
      </c>
      <c r="P3525" s="43">
        <f>IF($I3525=0,0,$Q3524*INDEX(DarlErsatzZins,8))</f>
      </c>
      <c r="Q3525" s="43">
        <f>IF($I3525=0,0,$Q3524+$P3525+$O3525)</f>
      </c>
      <c r="R3525" s="43">
        <f>IF($I3525=0,0,$J3525-$M3525-$N3525)</f>
      </c>
    </row>
    <row r="3526">
      <c r="A3526"/>
      <c r="B3526">
        <v>8</v>
      </c>
      <c r="C3526" s="43">
        <f>INDEX(DarlObj,8)</f>
      </c>
      <c r="D3526">
        <v>163</v>
      </c>
      <c r="E3526" s="51">
        <f>IF(INDEX(DarlBelegt,8)=0,0,EOMONTH(INDEX(DarlAuszahlung,8),162)+1)</f>
      </c>
      <c r="F3526" s="43">
        <f>IF($E3526=0,0,YEAR($E3526))</f>
      </c>
      <c r="G3526" s="43">
        <f>IF(INDEX(DarlBindung,8)="",1,IF($E3526&lt;=INDEX(DarlBindung,8),1,0))</f>
      </c>
      <c r="H3526" s="43">
        <f>IF($G3526=1,INDEX(DarlSollzins,8),INDEX(DarlAnschluss,8))</f>
      </c>
      <c r="I3526" s="43">
        <f>IF(INDEX(DarlBelegt,8)=0,0,IF(INDEX(DarlOhneTilgung,8)=1,IF(INDEX(DarlBindung,8)="",1,$G3526),IF($J3526&gt;0.005,1,0)))</f>
      </c>
      <c r="J3526" s="43">
        <f>IF($I3525=0,0,$R3525)</f>
      </c>
      <c r="K3526" s="43">
        <f>IF($I3526=0,0,IF(INDEX(DarlOhneTilgung,8)=1,0,IF(AND(INDEX(DarlTilgStart,8)&gt;0,$E3526=INDEX(DarlTilgStart,8)),$J3526*($H3526+INDEX(DarlTilgung,8))/100/12,IF(AND($G3526=0,$G3525=1),MAX($K3525,$J3526*($H3526+1)/100/12),$K3525))))</f>
      </c>
      <c r="L3526" s="43">
        <f>IF($I3526=0,0,$J3526*$H3526/100/12)</f>
      </c>
      <c r="M3526" s="43">
        <f>IF($I3526=0,0,IF(OR(INDEX(DarlOhneTilgung,8)=1,AND(INDEX(DarlTilgStart,8)&gt;0,$E3526&lt;INDEX(DarlTilgStart,8))),0,MIN(MAX(0,$K3526-$L3526),$J3526)))</f>
      </c>
      <c r="N3526" s="43">
        <f>IF($I3526=0,0,MIN(SUMIFS(SondBetrag,SondDarl,8,SondDatum,"&gt;="&amp;$E3526,SondDatum,"&lt;="&amp;EOMONTH($E3526,0)),$J3526-$M3526))</f>
      </c>
      <c r="O3526" s="43">
        <f>IF($I3526=0,0,INDEX(DarlErsatzRate,8))</f>
      </c>
      <c r="P3526" s="43">
        <f>IF($I3526=0,0,$Q3525*INDEX(DarlErsatzZins,8))</f>
      </c>
      <c r="Q3526" s="43">
        <f>IF($I3526=0,0,$Q3525+$P3526+$O3526)</f>
      </c>
      <c r="R3526" s="43">
        <f>IF($I3526=0,0,$J3526-$M3526-$N3526)</f>
      </c>
    </row>
    <row r="3527">
      <c r="A3527"/>
      <c r="B3527">
        <v>8</v>
      </c>
      <c r="C3527" s="43">
        <f>INDEX(DarlObj,8)</f>
      </c>
      <c r="D3527">
        <v>164</v>
      </c>
      <c r="E3527" s="51">
        <f>IF(INDEX(DarlBelegt,8)=0,0,EOMONTH(INDEX(DarlAuszahlung,8),163)+1)</f>
      </c>
      <c r="F3527" s="43">
        <f>IF($E3527=0,0,YEAR($E3527))</f>
      </c>
      <c r="G3527" s="43">
        <f>IF(INDEX(DarlBindung,8)="",1,IF($E3527&lt;=INDEX(DarlBindung,8),1,0))</f>
      </c>
      <c r="H3527" s="43">
        <f>IF($G3527=1,INDEX(DarlSollzins,8),INDEX(DarlAnschluss,8))</f>
      </c>
      <c r="I3527" s="43">
        <f>IF(INDEX(DarlBelegt,8)=0,0,IF(INDEX(DarlOhneTilgung,8)=1,IF(INDEX(DarlBindung,8)="",1,$G3527),IF($J3527&gt;0.005,1,0)))</f>
      </c>
      <c r="J3527" s="43">
        <f>IF($I3526=0,0,$R3526)</f>
      </c>
      <c r="K3527" s="43">
        <f>IF($I3527=0,0,IF(INDEX(DarlOhneTilgung,8)=1,0,IF(AND(INDEX(DarlTilgStart,8)&gt;0,$E3527=INDEX(DarlTilgStart,8)),$J3527*($H3527+INDEX(DarlTilgung,8))/100/12,IF(AND($G3527=0,$G3526=1),MAX($K3526,$J3527*($H3527+1)/100/12),$K3526))))</f>
      </c>
      <c r="L3527" s="43">
        <f>IF($I3527=0,0,$J3527*$H3527/100/12)</f>
      </c>
      <c r="M3527" s="43">
        <f>IF($I3527=0,0,IF(OR(INDEX(DarlOhneTilgung,8)=1,AND(INDEX(DarlTilgStart,8)&gt;0,$E3527&lt;INDEX(DarlTilgStart,8))),0,MIN(MAX(0,$K3527-$L3527),$J3527)))</f>
      </c>
      <c r="N3527" s="43">
        <f>IF($I3527=0,0,MIN(SUMIFS(SondBetrag,SondDarl,8,SondDatum,"&gt;="&amp;$E3527,SondDatum,"&lt;="&amp;EOMONTH($E3527,0)),$J3527-$M3527))</f>
      </c>
      <c r="O3527" s="43">
        <f>IF($I3527=0,0,INDEX(DarlErsatzRate,8))</f>
      </c>
      <c r="P3527" s="43">
        <f>IF($I3527=0,0,$Q3526*INDEX(DarlErsatzZins,8))</f>
      </c>
      <c r="Q3527" s="43">
        <f>IF($I3527=0,0,$Q3526+$P3527+$O3527)</f>
      </c>
      <c r="R3527" s="43">
        <f>IF($I3527=0,0,$J3527-$M3527-$N3527)</f>
      </c>
    </row>
    <row r="3528">
      <c r="A3528"/>
      <c r="B3528">
        <v>8</v>
      </c>
      <c r="C3528" s="43">
        <f>INDEX(DarlObj,8)</f>
      </c>
      <c r="D3528">
        <v>165</v>
      </c>
      <c r="E3528" s="51">
        <f>IF(INDEX(DarlBelegt,8)=0,0,EOMONTH(INDEX(DarlAuszahlung,8),164)+1)</f>
      </c>
      <c r="F3528" s="43">
        <f>IF($E3528=0,0,YEAR($E3528))</f>
      </c>
      <c r="G3528" s="43">
        <f>IF(INDEX(DarlBindung,8)="",1,IF($E3528&lt;=INDEX(DarlBindung,8),1,0))</f>
      </c>
      <c r="H3528" s="43">
        <f>IF($G3528=1,INDEX(DarlSollzins,8),INDEX(DarlAnschluss,8))</f>
      </c>
      <c r="I3528" s="43">
        <f>IF(INDEX(DarlBelegt,8)=0,0,IF(INDEX(DarlOhneTilgung,8)=1,IF(INDEX(DarlBindung,8)="",1,$G3528),IF($J3528&gt;0.005,1,0)))</f>
      </c>
      <c r="J3528" s="43">
        <f>IF($I3527=0,0,$R3527)</f>
      </c>
      <c r="K3528" s="43">
        <f>IF($I3528=0,0,IF(INDEX(DarlOhneTilgung,8)=1,0,IF(AND(INDEX(DarlTilgStart,8)&gt;0,$E3528=INDEX(DarlTilgStart,8)),$J3528*($H3528+INDEX(DarlTilgung,8))/100/12,IF(AND($G3528=0,$G3527=1),MAX($K3527,$J3528*($H3528+1)/100/12),$K3527))))</f>
      </c>
      <c r="L3528" s="43">
        <f>IF($I3528=0,0,$J3528*$H3528/100/12)</f>
      </c>
      <c r="M3528" s="43">
        <f>IF($I3528=0,0,IF(OR(INDEX(DarlOhneTilgung,8)=1,AND(INDEX(DarlTilgStart,8)&gt;0,$E3528&lt;INDEX(DarlTilgStart,8))),0,MIN(MAX(0,$K3528-$L3528),$J3528)))</f>
      </c>
      <c r="N3528" s="43">
        <f>IF($I3528=0,0,MIN(SUMIFS(SondBetrag,SondDarl,8,SondDatum,"&gt;="&amp;$E3528,SondDatum,"&lt;="&amp;EOMONTH($E3528,0)),$J3528-$M3528))</f>
      </c>
      <c r="O3528" s="43">
        <f>IF($I3528=0,0,INDEX(DarlErsatzRate,8))</f>
      </c>
      <c r="P3528" s="43">
        <f>IF($I3528=0,0,$Q3527*INDEX(DarlErsatzZins,8))</f>
      </c>
      <c r="Q3528" s="43">
        <f>IF($I3528=0,0,$Q3527+$P3528+$O3528)</f>
      </c>
      <c r="R3528" s="43">
        <f>IF($I3528=0,0,$J3528-$M3528-$N3528)</f>
      </c>
    </row>
    <row r="3529">
      <c r="A3529"/>
      <c r="B3529">
        <v>8</v>
      </c>
      <c r="C3529" s="43">
        <f>INDEX(DarlObj,8)</f>
      </c>
      <c r="D3529">
        <v>166</v>
      </c>
      <c r="E3529" s="51">
        <f>IF(INDEX(DarlBelegt,8)=0,0,EOMONTH(INDEX(DarlAuszahlung,8),165)+1)</f>
      </c>
      <c r="F3529" s="43">
        <f>IF($E3529=0,0,YEAR($E3529))</f>
      </c>
      <c r="G3529" s="43">
        <f>IF(INDEX(DarlBindung,8)="",1,IF($E3529&lt;=INDEX(DarlBindung,8),1,0))</f>
      </c>
      <c r="H3529" s="43">
        <f>IF($G3529=1,INDEX(DarlSollzins,8),INDEX(DarlAnschluss,8))</f>
      </c>
      <c r="I3529" s="43">
        <f>IF(INDEX(DarlBelegt,8)=0,0,IF(INDEX(DarlOhneTilgung,8)=1,IF(INDEX(DarlBindung,8)="",1,$G3529),IF($J3529&gt;0.005,1,0)))</f>
      </c>
      <c r="J3529" s="43">
        <f>IF($I3528=0,0,$R3528)</f>
      </c>
      <c r="K3529" s="43">
        <f>IF($I3529=0,0,IF(INDEX(DarlOhneTilgung,8)=1,0,IF(AND(INDEX(DarlTilgStart,8)&gt;0,$E3529=INDEX(DarlTilgStart,8)),$J3529*($H3529+INDEX(DarlTilgung,8))/100/12,IF(AND($G3529=0,$G3528=1),MAX($K3528,$J3529*($H3529+1)/100/12),$K3528))))</f>
      </c>
      <c r="L3529" s="43">
        <f>IF($I3529=0,0,$J3529*$H3529/100/12)</f>
      </c>
      <c r="M3529" s="43">
        <f>IF($I3529=0,0,IF(OR(INDEX(DarlOhneTilgung,8)=1,AND(INDEX(DarlTilgStart,8)&gt;0,$E3529&lt;INDEX(DarlTilgStart,8))),0,MIN(MAX(0,$K3529-$L3529),$J3529)))</f>
      </c>
      <c r="N3529" s="43">
        <f>IF($I3529=0,0,MIN(SUMIFS(SondBetrag,SondDarl,8,SondDatum,"&gt;="&amp;$E3529,SondDatum,"&lt;="&amp;EOMONTH($E3529,0)),$J3529-$M3529))</f>
      </c>
      <c r="O3529" s="43">
        <f>IF($I3529=0,0,INDEX(DarlErsatzRate,8))</f>
      </c>
      <c r="P3529" s="43">
        <f>IF($I3529=0,0,$Q3528*INDEX(DarlErsatzZins,8))</f>
      </c>
      <c r="Q3529" s="43">
        <f>IF($I3529=0,0,$Q3528+$P3529+$O3529)</f>
      </c>
      <c r="R3529" s="43">
        <f>IF($I3529=0,0,$J3529-$M3529-$N3529)</f>
      </c>
    </row>
    <row r="3530">
      <c r="A3530"/>
      <c r="B3530">
        <v>8</v>
      </c>
      <c r="C3530" s="43">
        <f>INDEX(DarlObj,8)</f>
      </c>
      <c r="D3530">
        <v>167</v>
      </c>
      <c r="E3530" s="51">
        <f>IF(INDEX(DarlBelegt,8)=0,0,EOMONTH(INDEX(DarlAuszahlung,8),166)+1)</f>
      </c>
      <c r="F3530" s="43">
        <f>IF($E3530=0,0,YEAR($E3530))</f>
      </c>
      <c r="G3530" s="43">
        <f>IF(INDEX(DarlBindung,8)="",1,IF($E3530&lt;=INDEX(DarlBindung,8),1,0))</f>
      </c>
      <c r="H3530" s="43">
        <f>IF($G3530=1,INDEX(DarlSollzins,8),INDEX(DarlAnschluss,8))</f>
      </c>
      <c r="I3530" s="43">
        <f>IF(INDEX(DarlBelegt,8)=0,0,IF(INDEX(DarlOhneTilgung,8)=1,IF(INDEX(DarlBindung,8)="",1,$G3530),IF($J3530&gt;0.005,1,0)))</f>
      </c>
      <c r="J3530" s="43">
        <f>IF($I3529=0,0,$R3529)</f>
      </c>
      <c r="K3530" s="43">
        <f>IF($I3530=0,0,IF(INDEX(DarlOhneTilgung,8)=1,0,IF(AND(INDEX(DarlTilgStart,8)&gt;0,$E3530=INDEX(DarlTilgStart,8)),$J3530*($H3530+INDEX(DarlTilgung,8))/100/12,IF(AND($G3530=0,$G3529=1),MAX($K3529,$J3530*($H3530+1)/100/12),$K3529))))</f>
      </c>
      <c r="L3530" s="43">
        <f>IF($I3530=0,0,$J3530*$H3530/100/12)</f>
      </c>
      <c r="M3530" s="43">
        <f>IF($I3530=0,0,IF(OR(INDEX(DarlOhneTilgung,8)=1,AND(INDEX(DarlTilgStart,8)&gt;0,$E3530&lt;INDEX(DarlTilgStart,8))),0,MIN(MAX(0,$K3530-$L3530),$J3530)))</f>
      </c>
      <c r="N3530" s="43">
        <f>IF($I3530=0,0,MIN(SUMIFS(SondBetrag,SondDarl,8,SondDatum,"&gt;="&amp;$E3530,SondDatum,"&lt;="&amp;EOMONTH($E3530,0)),$J3530-$M3530))</f>
      </c>
      <c r="O3530" s="43">
        <f>IF($I3530=0,0,INDEX(DarlErsatzRate,8))</f>
      </c>
      <c r="P3530" s="43">
        <f>IF($I3530=0,0,$Q3529*INDEX(DarlErsatzZins,8))</f>
      </c>
      <c r="Q3530" s="43">
        <f>IF($I3530=0,0,$Q3529+$P3530+$O3530)</f>
      </c>
      <c r="R3530" s="43">
        <f>IF($I3530=0,0,$J3530-$M3530-$N3530)</f>
      </c>
    </row>
    <row r="3531">
      <c r="A3531"/>
      <c r="B3531">
        <v>8</v>
      </c>
      <c r="C3531" s="43">
        <f>INDEX(DarlObj,8)</f>
      </c>
      <c r="D3531">
        <v>168</v>
      </c>
      <c r="E3531" s="51">
        <f>IF(INDEX(DarlBelegt,8)=0,0,EOMONTH(INDEX(DarlAuszahlung,8),167)+1)</f>
      </c>
      <c r="F3531" s="43">
        <f>IF($E3531=0,0,YEAR($E3531))</f>
      </c>
      <c r="G3531" s="43">
        <f>IF(INDEX(DarlBindung,8)="",1,IF($E3531&lt;=INDEX(DarlBindung,8),1,0))</f>
      </c>
      <c r="H3531" s="43">
        <f>IF($G3531=1,INDEX(DarlSollzins,8),INDEX(DarlAnschluss,8))</f>
      </c>
      <c r="I3531" s="43">
        <f>IF(INDEX(DarlBelegt,8)=0,0,IF(INDEX(DarlOhneTilgung,8)=1,IF(INDEX(DarlBindung,8)="",1,$G3531),IF($J3531&gt;0.005,1,0)))</f>
      </c>
      <c r="J3531" s="43">
        <f>IF($I3530=0,0,$R3530)</f>
      </c>
      <c r="K3531" s="43">
        <f>IF($I3531=0,0,IF(INDEX(DarlOhneTilgung,8)=1,0,IF(AND(INDEX(DarlTilgStart,8)&gt;0,$E3531=INDEX(DarlTilgStart,8)),$J3531*($H3531+INDEX(DarlTilgung,8))/100/12,IF(AND($G3531=0,$G3530=1),MAX($K3530,$J3531*($H3531+1)/100/12),$K3530))))</f>
      </c>
      <c r="L3531" s="43">
        <f>IF($I3531=0,0,$J3531*$H3531/100/12)</f>
      </c>
      <c r="M3531" s="43">
        <f>IF($I3531=0,0,IF(OR(INDEX(DarlOhneTilgung,8)=1,AND(INDEX(DarlTilgStart,8)&gt;0,$E3531&lt;INDEX(DarlTilgStart,8))),0,MIN(MAX(0,$K3531-$L3531),$J3531)))</f>
      </c>
      <c r="N3531" s="43">
        <f>IF($I3531=0,0,MIN(SUMIFS(SondBetrag,SondDarl,8,SondDatum,"&gt;="&amp;$E3531,SondDatum,"&lt;="&amp;EOMONTH($E3531,0)),$J3531-$M3531))</f>
      </c>
      <c r="O3531" s="43">
        <f>IF($I3531=0,0,INDEX(DarlErsatzRate,8))</f>
      </c>
      <c r="P3531" s="43">
        <f>IF($I3531=0,0,$Q3530*INDEX(DarlErsatzZins,8))</f>
      </c>
      <c r="Q3531" s="43">
        <f>IF($I3531=0,0,$Q3530+$P3531+$O3531)</f>
      </c>
      <c r="R3531" s="43">
        <f>IF($I3531=0,0,$J3531-$M3531-$N3531)</f>
      </c>
    </row>
    <row r="3532">
      <c r="A3532"/>
      <c r="B3532">
        <v>8</v>
      </c>
      <c r="C3532" s="43">
        <f>INDEX(DarlObj,8)</f>
      </c>
      <c r="D3532">
        <v>169</v>
      </c>
      <c r="E3532" s="51">
        <f>IF(INDEX(DarlBelegt,8)=0,0,EOMONTH(INDEX(DarlAuszahlung,8),168)+1)</f>
      </c>
      <c r="F3532" s="43">
        <f>IF($E3532=0,0,YEAR($E3532))</f>
      </c>
      <c r="G3532" s="43">
        <f>IF(INDEX(DarlBindung,8)="",1,IF($E3532&lt;=INDEX(DarlBindung,8),1,0))</f>
      </c>
      <c r="H3532" s="43">
        <f>IF($G3532=1,INDEX(DarlSollzins,8),INDEX(DarlAnschluss,8))</f>
      </c>
      <c r="I3532" s="43">
        <f>IF(INDEX(DarlBelegt,8)=0,0,IF(INDEX(DarlOhneTilgung,8)=1,IF(INDEX(DarlBindung,8)="",1,$G3532),IF($J3532&gt;0.005,1,0)))</f>
      </c>
      <c r="J3532" s="43">
        <f>IF($I3531=0,0,$R3531)</f>
      </c>
      <c r="K3532" s="43">
        <f>IF($I3532=0,0,IF(INDEX(DarlOhneTilgung,8)=1,0,IF(AND(INDEX(DarlTilgStart,8)&gt;0,$E3532=INDEX(DarlTilgStart,8)),$J3532*($H3532+INDEX(DarlTilgung,8))/100/12,IF(AND($G3532=0,$G3531=1),MAX($K3531,$J3532*($H3532+1)/100/12),$K3531))))</f>
      </c>
      <c r="L3532" s="43">
        <f>IF($I3532=0,0,$J3532*$H3532/100/12)</f>
      </c>
      <c r="M3532" s="43">
        <f>IF($I3532=0,0,IF(OR(INDEX(DarlOhneTilgung,8)=1,AND(INDEX(DarlTilgStart,8)&gt;0,$E3532&lt;INDEX(DarlTilgStart,8))),0,MIN(MAX(0,$K3532-$L3532),$J3532)))</f>
      </c>
      <c r="N3532" s="43">
        <f>IF($I3532=0,0,MIN(SUMIFS(SondBetrag,SondDarl,8,SondDatum,"&gt;="&amp;$E3532,SondDatum,"&lt;="&amp;EOMONTH($E3532,0)),$J3532-$M3532))</f>
      </c>
      <c r="O3532" s="43">
        <f>IF($I3532=0,0,INDEX(DarlErsatzRate,8))</f>
      </c>
      <c r="P3532" s="43">
        <f>IF($I3532=0,0,$Q3531*INDEX(DarlErsatzZins,8))</f>
      </c>
      <c r="Q3532" s="43">
        <f>IF($I3532=0,0,$Q3531+$P3532+$O3532)</f>
      </c>
      <c r="R3532" s="43">
        <f>IF($I3532=0,0,$J3532-$M3532-$N3532)</f>
      </c>
    </row>
    <row r="3533">
      <c r="A3533"/>
      <c r="B3533">
        <v>8</v>
      </c>
      <c r="C3533" s="43">
        <f>INDEX(DarlObj,8)</f>
      </c>
      <c r="D3533">
        <v>170</v>
      </c>
      <c r="E3533" s="51">
        <f>IF(INDEX(DarlBelegt,8)=0,0,EOMONTH(INDEX(DarlAuszahlung,8),169)+1)</f>
      </c>
      <c r="F3533" s="43">
        <f>IF($E3533=0,0,YEAR($E3533))</f>
      </c>
      <c r="G3533" s="43">
        <f>IF(INDEX(DarlBindung,8)="",1,IF($E3533&lt;=INDEX(DarlBindung,8),1,0))</f>
      </c>
      <c r="H3533" s="43">
        <f>IF($G3533=1,INDEX(DarlSollzins,8),INDEX(DarlAnschluss,8))</f>
      </c>
      <c r="I3533" s="43">
        <f>IF(INDEX(DarlBelegt,8)=0,0,IF(INDEX(DarlOhneTilgung,8)=1,IF(INDEX(DarlBindung,8)="",1,$G3533),IF($J3533&gt;0.005,1,0)))</f>
      </c>
      <c r="J3533" s="43">
        <f>IF($I3532=0,0,$R3532)</f>
      </c>
      <c r="K3533" s="43">
        <f>IF($I3533=0,0,IF(INDEX(DarlOhneTilgung,8)=1,0,IF(AND(INDEX(DarlTilgStart,8)&gt;0,$E3533=INDEX(DarlTilgStart,8)),$J3533*($H3533+INDEX(DarlTilgung,8))/100/12,IF(AND($G3533=0,$G3532=1),MAX($K3532,$J3533*($H3533+1)/100/12),$K3532))))</f>
      </c>
      <c r="L3533" s="43">
        <f>IF($I3533=0,0,$J3533*$H3533/100/12)</f>
      </c>
      <c r="M3533" s="43">
        <f>IF($I3533=0,0,IF(OR(INDEX(DarlOhneTilgung,8)=1,AND(INDEX(DarlTilgStart,8)&gt;0,$E3533&lt;INDEX(DarlTilgStart,8))),0,MIN(MAX(0,$K3533-$L3533),$J3533)))</f>
      </c>
      <c r="N3533" s="43">
        <f>IF($I3533=0,0,MIN(SUMIFS(SondBetrag,SondDarl,8,SondDatum,"&gt;="&amp;$E3533,SondDatum,"&lt;="&amp;EOMONTH($E3533,0)),$J3533-$M3533))</f>
      </c>
      <c r="O3533" s="43">
        <f>IF($I3533=0,0,INDEX(DarlErsatzRate,8))</f>
      </c>
      <c r="P3533" s="43">
        <f>IF($I3533=0,0,$Q3532*INDEX(DarlErsatzZins,8))</f>
      </c>
      <c r="Q3533" s="43">
        <f>IF($I3533=0,0,$Q3532+$P3533+$O3533)</f>
      </c>
      <c r="R3533" s="43">
        <f>IF($I3533=0,0,$J3533-$M3533-$N3533)</f>
      </c>
    </row>
    <row r="3534">
      <c r="A3534"/>
      <c r="B3534">
        <v>8</v>
      </c>
      <c r="C3534" s="43">
        <f>INDEX(DarlObj,8)</f>
      </c>
      <c r="D3534">
        <v>171</v>
      </c>
      <c r="E3534" s="51">
        <f>IF(INDEX(DarlBelegt,8)=0,0,EOMONTH(INDEX(DarlAuszahlung,8),170)+1)</f>
      </c>
      <c r="F3534" s="43">
        <f>IF($E3534=0,0,YEAR($E3534))</f>
      </c>
      <c r="G3534" s="43">
        <f>IF(INDEX(DarlBindung,8)="",1,IF($E3534&lt;=INDEX(DarlBindung,8),1,0))</f>
      </c>
      <c r="H3534" s="43">
        <f>IF($G3534=1,INDEX(DarlSollzins,8),INDEX(DarlAnschluss,8))</f>
      </c>
      <c r="I3534" s="43">
        <f>IF(INDEX(DarlBelegt,8)=0,0,IF(INDEX(DarlOhneTilgung,8)=1,IF(INDEX(DarlBindung,8)="",1,$G3534),IF($J3534&gt;0.005,1,0)))</f>
      </c>
      <c r="J3534" s="43">
        <f>IF($I3533=0,0,$R3533)</f>
      </c>
      <c r="K3534" s="43">
        <f>IF($I3534=0,0,IF(INDEX(DarlOhneTilgung,8)=1,0,IF(AND(INDEX(DarlTilgStart,8)&gt;0,$E3534=INDEX(DarlTilgStart,8)),$J3534*($H3534+INDEX(DarlTilgung,8))/100/12,IF(AND($G3534=0,$G3533=1),MAX($K3533,$J3534*($H3534+1)/100/12),$K3533))))</f>
      </c>
      <c r="L3534" s="43">
        <f>IF($I3534=0,0,$J3534*$H3534/100/12)</f>
      </c>
      <c r="M3534" s="43">
        <f>IF($I3534=0,0,IF(OR(INDEX(DarlOhneTilgung,8)=1,AND(INDEX(DarlTilgStart,8)&gt;0,$E3534&lt;INDEX(DarlTilgStart,8))),0,MIN(MAX(0,$K3534-$L3534),$J3534)))</f>
      </c>
      <c r="N3534" s="43">
        <f>IF($I3534=0,0,MIN(SUMIFS(SondBetrag,SondDarl,8,SondDatum,"&gt;="&amp;$E3534,SondDatum,"&lt;="&amp;EOMONTH($E3534,0)),$J3534-$M3534))</f>
      </c>
      <c r="O3534" s="43">
        <f>IF($I3534=0,0,INDEX(DarlErsatzRate,8))</f>
      </c>
      <c r="P3534" s="43">
        <f>IF($I3534=0,0,$Q3533*INDEX(DarlErsatzZins,8))</f>
      </c>
      <c r="Q3534" s="43">
        <f>IF($I3534=0,0,$Q3533+$P3534+$O3534)</f>
      </c>
      <c r="R3534" s="43">
        <f>IF($I3534=0,0,$J3534-$M3534-$N3534)</f>
      </c>
    </row>
    <row r="3535">
      <c r="A3535"/>
      <c r="B3535">
        <v>8</v>
      </c>
      <c r="C3535" s="43">
        <f>INDEX(DarlObj,8)</f>
      </c>
      <c r="D3535">
        <v>172</v>
      </c>
      <c r="E3535" s="51">
        <f>IF(INDEX(DarlBelegt,8)=0,0,EOMONTH(INDEX(DarlAuszahlung,8),171)+1)</f>
      </c>
      <c r="F3535" s="43">
        <f>IF($E3535=0,0,YEAR($E3535))</f>
      </c>
      <c r="G3535" s="43">
        <f>IF(INDEX(DarlBindung,8)="",1,IF($E3535&lt;=INDEX(DarlBindung,8),1,0))</f>
      </c>
      <c r="H3535" s="43">
        <f>IF($G3535=1,INDEX(DarlSollzins,8),INDEX(DarlAnschluss,8))</f>
      </c>
      <c r="I3535" s="43">
        <f>IF(INDEX(DarlBelegt,8)=0,0,IF(INDEX(DarlOhneTilgung,8)=1,IF(INDEX(DarlBindung,8)="",1,$G3535),IF($J3535&gt;0.005,1,0)))</f>
      </c>
      <c r="J3535" s="43">
        <f>IF($I3534=0,0,$R3534)</f>
      </c>
      <c r="K3535" s="43">
        <f>IF($I3535=0,0,IF(INDEX(DarlOhneTilgung,8)=1,0,IF(AND(INDEX(DarlTilgStart,8)&gt;0,$E3535=INDEX(DarlTilgStart,8)),$J3535*($H3535+INDEX(DarlTilgung,8))/100/12,IF(AND($G3535=0,$G3534=1),MAX($K3534,$J3535*($H3535+1)/100/12),$K3534))))</f>
      </c>
      <c r="L3535" s="43">
        <f>IF($I3535=0,0,$J3535*$H3535/100/12)</f>
      </c>
      <c r="M3535" s="43">
        <f>IF($I3535=0,0,IF(OR(INDEX(DarlOhneTilgung,8)=1,AND(INDEX(DarlTilgStart,8)&gt;0,$E3535&lt;INDEX(DarlTilgStart,8))),0,MIN(MAX(0,$K3535-$L3535),$J3535)))</f>
      </c>
      <c r="N3535" s="43">
        <f>IF($I3535=0,0,MIN(SUMIFS(SondBetrag,SondDarl,8,SondDatum,"&gt;="&amp;$E3535,SondDatum,"&lt;="&amp;EOMONTH($E3535,0)),$J3535-$M3535))</f>
      </c>
      <c r="O3535" s="43">
        <f>IF($I3535=0,0,INDEX(DarlErsatzRate,8))</f>
      </c>
      <c r="P3535" s="43">
        <f>IF($I3535=0,0,$Q3534*INDEX(DarlErsatzZins,8))</f>
      </c>
      <c r="Q3535" s="43">
        <f>IF($I3535=0,0,$Q3534+$P3535+$O3535)</f>
      </c>
      <c r="R3535" s="43">
        <f>IF($I3535=0,0,$J3535-$M3535-$N3535)</f>
      </c>
    </row>
    <row r="3536">
      <c r="A3536"/>
      <c r="B3536">
        <v>8</v>
      </c>
      <c r="C3536" s="43">
        <f>INDEX(DarlObj,8)</f>
      </c>
      <c r="D3536">
        <v>173</v>
      </c>
      <c r="E3536" s="51">
        <f>IF(INDEX(DarlBelegt,8)=0,0,EOMONTH(INDEX(DarlAuszahlung,8),172)+1)</f>
      </c>
      <c r="F3536" s="43">
        <f>IF($E3536=0,0,YEAR($E3536))</f>
      </c>
      <c r="G3536" s="43">
        <f>IF(INDEX(DarlBindung,8)="",1,IF($E3536&lt;=INDEX(DarlBindung,8),1,0))</f>
      </c>
      <c r="H3536" s="43">
        <f>IF($G3536=1,INDEX(DarlSollzins,8),INDEX(DarlAnschluss,8))</f>
      </c>
      <c r="I3536" s="43">
        <f>IF(INDEX(DarlBelegt,8)=0,0,IF(INDEX(DarlOhneTilgung,8)=1,IF(INDEX(DarlBindung,8)="",1,$G3536),IF($J3536&gt;0.005,1,0)))</f>
      </c>
      <c r="J3536" s="43">
        <f>IF($I3535=0,0,$R3535)</f>
      </c>
      <c r="K3536" s="43">
        <f>IF($I3536=0,0,IF(INDEX(DarlOhneTilgung,8)=1,0,IF(AND(INDEX(DarlTilgStart,8)&gt;0,$E3536=INDEX(DarlTilgStart,8)),$J3536*($H3536+INDEX(DarlTilgung,8))/100/12,IF(AND($G3536=0,$G3535=1),MAX($K3535,$J3536*($H3536+1)/100/12),$K3535))))</f>
      </c>
      <c r="L3536" s="43">
        <f>IF($I3536=0,0,$J3536*$H3536/100/12)</f>
      </c>
      <c r="M3536" s="43">
        <f>IF($I3536=0,0,IF(OR(INDEX(DarlOhneTilgung,8)=1,AND(INDEX(DarlTilgStart,8)&gt;0,$E3536&lt;INDEX(DarlTilgStart,8))),0,MIN(MAX(0,$K3536-$L3536),$J3536)))</f>
      </c>
      <c r="N3536" s="43">
        <f>IF($I3536=0,0,MIN(SUMIFS(SondBetrag,SondDarl,8,SondDatum,"&gt;="&amp;$E3536,SondDatum,"&lt;="&amp;EOMONTH($E3536,0)),$J3536-$M3536))</f>
      </c>
      <c r="O3536" s="43">
        <f>IF($I3536=0,0,INDEX(DarlErsatzRate,8))</f>
      </c>
      <c r="P3536" s="43">
        <f>IF($I3536=0,0,$Q3535*INDEX(DarlErsatzZins,8))</f>
      </c>
      <c r="Q3536" s="43">
        <f>IF($I3536=0,0,$Q3535+$P3536+$O3536)</f>
      </c>
      <c r="R3536" s="43">
        <f>IF($I3536=0,0,$J3536-$M3536-$N3536)</f>
      </c>
    </row>
    <row r="3537">
      <c r="A3537"/>
      <c r="B3537">
        <v>8</v>
      </c>
      <c r="C3537" s="43">
        <f>INDEX(DarlObj,8)</f>
      </c>
      <c r="D3537">
        <v>174</v>
      </c>
      <c r="E3537" s="51">
        <f>IF(INDEX(DarlBelegt,8)=0,0,EOMONTH(INDEX(DarlAuszahlung,8),173)+1)</f>
      </c>
      <c r="F3537" s="43">
        <f>IF($E3537=0,0,YEAR($E3537))</f>
      </c>
      <c r="G3537" s="43">
        <f>IF(INDEX(DarlBindung,8)="",1,IF($E3537&lt;=INDEX(DarlBindung,8),1,0))</f>
      </c>
      <c r="H3537" s="43">
        <f>IF($G3537=1,INDEX(DarlSollzins,8),INDEX(DarlAnschluss,8))</f>
      </c>
      <c r="I3537" s="43">
        <f>IF(INDEX(DarlBelegt,8)=0,0,IF(INDEX(DarlOhneTilgung,8)=1,IF(INDEX(DarlBindung,8)="",1,$G3537),IF($J3537&gt;0.005,1,0)))</f>
      </c>
      <c r="J3537" s="43">
        <f>IF($I3536=0,0,$R3536)</f>
      </c>
      <c r="K3537" s="43">
        <f>IF($I3537=0,0,IF(INDEX(DarlOhneTilgung,8)=1,0,IF(AND(INDEX(DarlTilgStart,8)&gt;0,$E3537=INDEX(DarlTilgStart,8)),$J3537*($H3537+INDEX(DarlTilgung,8))/100/12,IF(AND($G3537=0,$G3536=1),MAX($K3536,$J3537*($H3537+1)/100/12),$K3536))))</f>
      </c>
      <c r="L3537" s="43">
        <f>IF($I3537=0,0,$J3537*$H3537/100/12)</f>
      </c>
      <c r="M3537" s="43">
        <f>IF($I3537=0,0,IF(OR(INDEX(DarlOhneTilgung,8)=1,AND(INDEX(DarlTilgStart,8)&gt;0,$E3537&lt;INDEX(DarlTilgStart,8))),0,MIN(MAX(0,$K3537-$L3537),$J3537)))</f>
      </c>
      <c r="N3537" s="43">
        <f>IF($I3537=0,0,MIN(SUMIFS(SondBetrag,SondDarl,8,SondDatum,"&gt;="&amp;$E3537,SondDatum,"&lt;="&amp;EOMONTH($E3537,0)),$J3537-$M3537))</f>
      </c>
      <c r="O3537" s="43">
        <f>IF($I3537=0,0,INDEX(DarlErsatzRate,8))</f>
      </c>
      <c r="P3537" s="43">
        <f>IF($I3537=0,0,$Q3536*INDEX(DarlErsatzZins,8))</f>
      </c>
      <c r="Q3537" s="43">
        <f>IF($I3537=0,0,$Q3536+$P3537+$O3537)</f>
      </c>
      <c r="R3537" s="43">
        <f>IF($I3537=0,0,$J3537-$M3537-$N3537)</f>
      </c>
    </row>
    <row r="3538">
      <c r="A3538"/>
      <c r="B3538">
        <v>8</v>
      </c>
      <c r="C3538" s="43">
        <f>INDEX(DarlObj,8)</f>
      </c>
      <c r="D3538">
        <v>175</v>
      </c>
      <c r="E3538" s="51">
        <f>IF(INDEX(DarlBelegt,8)=0,0,EOMONTH(INDEX(DarlAuszahlung,8),174)+1)</f>
      </c>
      <c r="F3538" s="43">
        <f>IF($E3538=0,0,YEAR($E3538))</f>
      </c>
      <c r="G3538" s="43">
        <f>IF(INDEX(DarlBindung,8)="",1,IF($E3538&lt;=INDEX(DarlBindung,8),1,0))</f>
      </c>
      <c r="H3538" s="43">
        <f>IF($G3538=1,INDEX(DarlSollzins,8),INDEX(DarlAnschluss,8))</f>
      </c>
      <c r="I3538" s="43">
        <f>IF(INDEX(DarlBelegt,8)=0,0,IF(INDEX(DarlOhneTilgung,8)=1,IF(INDEX(DarlBindung,8)="",1,$G3538),IF($J3538&gt;0.005,1,0)))</f>
      </c>
      <c r="J3538" s="43">
        <f>IF($I3537=0,0,$R3537)</f>
      </c>
      <c r="K3538" s="43">
        <f>IF($I3538=0,0,IF(INDEX(DarlOhneTilgung,8)=1,0,IF(AND(INDEX(DarlTilgStart,8)&gt;0,$E3538=INDEX(DarlTilgStart,8)),$J3538*($H3538+INDEX(DarlTilgung,8))/100/12,IF(AND($G3538=0,$G3537=1),MAX($K3537,$J3538*($H3538+1)/100/12),$K3537))))</f>
      </c>
      <c r="L3538" s="43">
        <f>IF($I3538=0,0,$J3538*$H3538/100/12)</f>
      </c>
      <c r="M3538" s="43">
        <f>IF($I3538=0,0,IF(OR(INDEX(DarlOhneTilgung,8)=1,AND(INDEX(DarlTilgStart,8)&gt;0,$E3538&lt;INDEX(DarlTilgStart,8))),0,MIN(MAX(0,$K3538-$L3538),$J3538)))</f>
      </c>
      <c r="N3538" s="43">
        <f>IF($I3538=0,0,MIN(SUMIFS(SondBetrag,SondDarl,8,SondDatum,"&gt;="&amp;$E3538,SondDatum,"&lt;="&amp;EOMONTH($E3538,0)),$J3538-$M3538))</f>
      </c>
      <c r="O3538" s="43">
        <f>IF($I3538=0,0,INDEX(DarlErsatzRate,8))</f>
      </c>
      <c r="P3538" s="43">
        <f>IF($I3538=0,0,$Q3537*INDEX(DarlErsatzZins,8))</f>
      </c>
      <c r="Q3538" s="43">
        <f>IF($I3538=0,0,$Q3537+$P3538+$O3538)</f>
      </c>
      <c r="R3538" s="43">
        <f>IF($I3538=0,0,$J3538-$M3538-$N3538)</f>
      </c>
    </row>
    <row r="3539">
      <c r="A3539"/>
      <c r="B3539">
        <v>8</v>
      </c>
      <c r="C3539" s="43">
        <f>INDEX(DarlObj,8)</f>
      </c>
      <c r="D3539">
        <v>176</v>
      </c>
      <c r="E3539" s="51">
        <f>IF(INDEX(DarlBelegt,8)=0,0,EOMONTH(INDEX(DarlAuszahlung,8),175)+1)</f>
      </c>
      <c r="F3539" s="43">
        <f>IF($E3539=0,0,YEAR($E3539))</f>
      </c>
      <c r="G3539" s="43">
        <f>IF(INDEX(DarlBindung,8)="",1,IF($E3539&lt;=INDEX(DarlBindung,8),1,0))</f>
      </c>
      <c r="H3539" s="43">
        <f>IF($G3539=1,INDEX(DarlSollzins,8),INDEX(DarlAnschluss,8))</f>
      </c>
      <c r="I3539" s="43">
        <f>IF(INDEX(DarlBelegt,8)=0,0,IF(INDEX(DarlOhneTilgung,8)=1,IF(INDEX(DarlBindung,8)="",1,$G3539),IF($J3539&gt;0.005,1,0)))</f>
      </c>
      <c r="J3539" s="43">
        <f>IF($I3538=0,0,$R3538)</f>
      </c>
      <c r="K3539" s="43">
        <f>IF($I3539=0,0,IF(INDEX(DarlOhneTilgung,8)=1,0,IF(AND(INDEX(DarlTilgStart,8)&gt;0,$E3539=INDEX(DarlTilgStart,8)),$J3539*($H3539+INDEX(DarlTilgung,8))/100/12,IF(AND($G3539=0,$G3538=1),MAX($K3538,$J3539*($H3539+1)/100/12),$K3538))))</f>
      </c>
      <c r="L3539" s="43">
        <f>IF($I3539=0,0,$J3539*$H3539/100/12)</f>
      </c>
      <c r="M3539" s="43">
        <f>IF($I3539=0,0,IF(OR(INDEX(DarlOhneTilgung,8)=1,AND(INDEX(DarlTilgStart,8)&gt;0,$E3539&lt;INDEX(DarlTilgStart,8))),0,MIN(MAX(0,$K3539-$L3539),$J3539)))</f>
      </c>
      <c r="N3539" s="43">
        <f>IF($I3539=0,0,MIN(SUMIFS(SondBetrag,SondDarl,8,SondDatum,"&gt;="&amp;$E3539,SondDatum,"&lt;="&amp;EOMONTH($E3539,0)),$J3539-$M3539))</f>
      </c>
      <c r="O3539" s="43">
        <f>IF($I3539=0,0,INDEX(DarlErsatzRate,8))</f>
      </c>
      <c r="P3539" s="43">
        <f>IF($I3539=0,0,$Q3538*INDEX(DarlErsatzZins,8))</f>
      </c>
      <c r="Q3539" s="43">
        <f>IF($I3539=0,0,$Q3538+$P3539+$O3539)</f>
      </c>
      <c r="R3539" s="43">
        <f>IF($I3539=0,0,$J3539-$M3539-$N3539)</f>
      </c>
    </row>
    <row r="3540">
      <c r="A3540"/>
      <c r="B3540">
        <v>8</v>
      </c>
      <c r="C3540" s="43">
        <f>INDEX(DarlObj,8)</f>
      </c>
      <c r="D3540">
        <v>177</v>
      </c>
      <c r="E3540" s="51">
        <f>IF(INDEX(DarlBelegt,8)=0,0,EOMONTH(INDEX(DarlAuszahlung,8),176)+1)</f>
      </c>
      <c r="F3540" s="43">
        <f>IF($E3540=0,0,YEAR($E3540))</f>
      </c>
      <c r="G3540" s="43">
        <f>IF(INDEX(DarlBindung,8)="",1,IF($E3540&lt;=INDEX(DarlBindung,8),1,0))</f>
      </c>
      <c r="H3540" s="43">
        <f>IF($G3540=1,INDEX(DarlSollzins,8),INDEX(DarlAnschluss,8))</f>
      </c>
      <c r="I3540" s="43">
        <f>IF(INDEX(DarlBelegt,8)=0,0,IF(INDEX(DarlOhneTilgung,8)=1,IF(INDEX(DarlBindung,8)="",1,$G3540),IF($J3540&gt;0.005,1,0)))</f>
      </c>
      <c r="J3540" s="43">
        <f>IF($I3539=0,0,$R3539)</f>
      </c>
      <c r="K3540" s="43">
        <f>IF($I3540=0,0,IF(INDEX(DarlOhneTilgung,8)=1,0,IF(AND(INDEX(DarlTilgStart,8)&gt;0,$E3540=INDEX(DarlTilgStart,8)),$J3540*($H3540+INDEX(DarlTilgung,8))/100/12,IF(AND($G3540=0,$G3539=1),MAX($K3539,$J3540*($H3540+1)/100/12),$K3539))))</f>
      </c>
      <c r="L3540" s="43">
        <f>IF($I3540=0,0,$J3540*$H3540/100/12)</f>
      </c>
      <c r="M3540" s="43">
        <f>IF($I3540=0,0,IF(OR(INDEX(DarlOhneTilgung,8)=1,AND(INDEX(DarlTilgStart,8)&gt;0,$E3540&lt;INDEX(DarlTilgStart,8))),0,MIN(MAX(0,$K3540-$L3540),$J3540)))</f>
      </c>
      <c r="N3540" s="43">
        <f>IF($I3540=0,0,MIN(SUMIFS(SondBetrag,SondDarl,8,SondDatum,"&gt;="&amp;$E3540,SondDatum,"&lt;="&amp;EOMONTH($E3540,0)),$J3540-$M3540))</f>
      </c>
      <c r="O3540" s="43">
        <f>IF($I3540=0,0,INDEX(DarlErsatzRate,8))</f>
      </c>
      <c r="P3540" s="43">
        <f>IF($I3540=0,0,$Q3539*INDEX(DarlErsatzZins,8))</f>
      </c>
      <c r="Q3540" s="43">
        <f>IF($I3540=0,0,$Q3539+$P3540+$O3540)</f>
      </c>
      <c r="R3540" s="43">
        <f>IF($I3540=0,0,$J3540-$M3540-$N3540)</f>
      </c>
    </row>
    <row r="3541">
      <c r="A3541"/>
      <c r="B3541">
        <v>8</v>
      </c>
      <c r="C3541" s="43">
        <f>INDEX(DarlObj,8)</f>
      </c>
      <c r="D3541">
        <v>178</v>
      </c>
      <c r="E3541" s="51">
        <f>IF(INDEX(DarlBelegt,8)=0,0,EOMONTH(INDEX(DarlAuszahlung,8),177)+1)</f>
      </c>
      <c r="F3541" s="43">
        <f>IF($E3541=0,0,YEAR($E3541))</f>
      </c>
      <c r="G3541" s="43">
        <f>IF(INDEX(DarlBindung,8)="",1,IF($E3541&lt;=INDEX(DarlBindung,8),1,0))</f>
      </c>
      <c r="H3541" s="43">
        <f>IF($G3541=1,INDEX(DarlSollzins,8),INDEX(DarlAnschluss,8))</f>
      </c>
      <c r="I3541" s="43">
        <f>IF(INDEX(DarlBelegt,8)=0,0,IF(INDEX(DarlOhneTilgung,8)=1,IF(INDEX(DarlBindung,8)="",1,$G3541),IF($J3541&gt;0.005,1,0)))</f>
      </c>
      <c r="J3541" s="43">
        <f>IF($I3540=0,0,$R3540)</f>
      </c>
      <c r="K3541" s="43">
        <f>IF($I3541=0,0,IF(INDEX(DarlOhneTilgung,8)=1,0,IF(AND(INDEX(DarlTilgStart,8)&gt;0,$E3541=INDEX(DarlTilgStart,8)),$J3541*($H3541+INDEX(DarlTilgung,8))/100/12,IF(AND($G3541=0,$G3540=1),MAX($K3540,$J3541*($H3541+1)/100/12),$K3540))))</f>
      </c>
      <c r="L3541" s="43">
        <f>IF($I3541=0,0,$J3541*$H3541/100/12)</f>
      </c>
      <c r="M3541" s="43">
        <f>IF($I3541=0,0,IF(OR(INDEX(DarlOhneTilgung,8)=1,AND(INDEX(DarlTilgStart,8)&gt;0,$E3541&lt;INDEX(DarlTilgStart,8))),0,MIN(MAX(0,$K3541-$L3541),$J3541)))</f>
      </c>
      <c r="N3541" s="43">
        <f>IF($I3541=0,0,MIN(SUMIFS(SondBetrag,SondDarl,8,SondDatum,"&gt;="&amp;$E3541,SondDatum,"&lt;="&amp;EOMONTH($E3541,0)),$J3541-$M3541))</f>
      </c>
      <c r="O3541" s="43">
        <f>IF($I3541=0,0,INDEX(DarlErsatzRate,8))</f>
      </c>
      <c r="P3541" s="43">
        <f>IF($I3541=0,0,$Q3540*INDEX(DarlErsatzZins,8))</f>
      </c>
      <c r="Q3541" s="43">
        <f>IF($I3541=0,0,$Q3540+$P3541+$O3541)</f>
      </c>
      <c r="R3541" s="43">
        <f>IF($I3541=0,0,$J3541-$M3541-$N3541)</f>
      </c>
    </row>
    <row r="3542">
      <c r="A3542"/>
      <c r="B3542">
        <v>8</v>
      </c>
      <c r="C3542" s="43">
        <f>INDEX(DarlObj,8)</f>
      </c>
      <c r="D3542">
        <v>179</v>
      </c>
      <c r="E3542" s="51">
        <f>IF(INDEX(DarlBelegt,8)=0,0,EOMONTH(INDEX(DarlAuszahlung,8),178)+1)</f>
      </c>
      <c r="F3542" s="43">
        <f>IF($E3542=0,0,YEAR($E3542))</f>
      </c>
      <c r="G3542" s="43">
        <f>IF(INDEX(DarlBindung,8)="",1,IF($E3542&lt;=INDEX(DarlBindung,8),1,0))</f>
      </c>
      <c r="H3542" s="43">
        <f>IF($G3542=1,INDEX(DarlSollzins,8),INDEX(DarlAnschluss,8))</f>
      </c>
      <c r="I3542" s="43">
        <f>IF(INDEX(DarlBelegt,8)=0,0,IF(INDEX(DarlOhneTilgung,8)=1,IF(INDEX(DarlBindung,8)="",1,$G3542),IF($J3542&gt;0.005,1,0)))</f>
      </c>
      <c r="J3542" s="43">
        <f>IF($I3541=0,0,$R3541)</f>
      </c>
      <c r="K3542" s="43">
        <f>IF($I3542=0,0,IF(INDEX(DarlOhneTilgung,8)=1,0,IF(AND(INDEX(DarlTilgStart,8)&gt;0,$E3542=INDEX(DarlTilgStart,8)),$J3542*($H3542+INDEX(DarlTilgung,8))/100/12,IF(AND($G3542=0,$G3541=1),MAX($K3541,$J3542*($H3542+1)/100/12),$K3541))))</f>
      </c>
      <c r="L3542" s="43">
        <f>IF($I3542=0,0,$J3542*$H3542/100/12)</f>
      </c>
      <c r="M3542" s="43">
        <f>IF($I3542=0,0,IF(OR(INDEX(DarlOhneTilgung,8)=1,AND(INDEX(DarlTilgStart,8)&gt;0,$E3542&lt;INDEX(DarlTilgStart,8))),0,MIN(MAX(0,$K3542-$L3542),$J3542)))</f>
      </c>
      <c r="N3542" s="43">
        <f>IF($I3542=0,0,MIN(SUMIFS(SondBetrag,SondDarl,8,SondDatum,"&gt;="&amp;$E3542,SondDatum,"&lt;="&amp;EOMONTH($E3542,0)),$J3542-$M3542))</f>
      </c>
      <c r="O3542" s="43">
        <f>IF($I3542=0,0,INDEX(DarlErsatzRate,8))</f>
      </c>
      <c r="P3542" s="43">
        <f>IF($I3542=0,0,$Q3541*INDEX(DarlErsatzZins,8))</f>
      </c>
      <c r="Q3542" s="43">
        <f>IF($I3542=0,0,$Q3541+$P3542+$O3542)</f>
      </c>
      <c r="R3542" s="43">
        <f>IF($I3542=0,0,$J3542-$M3542-$N3542)</f>
      </c>
    </row>
    <row r="3543">
      <c r="A3543"/>
      <c r="B3543">
        <v>8</v>
      </c>
      <c r="C3543" s="43">
        <f>INDEX(DarlObj,8)</f>
      </c>
      <c r="D3543">
        <v>180</v>
      </c>
      <c r="E3543" s="51">
        <f>IF(INDEX(DarlBelegt,8)=0,0,EOMONTH(INDEX(DarlAuszahlung,8),179)+1)</f>
      </c>
      <c r="F3543" s="43">
        <f>IF($E3543=0,0,YEAR($E3543))</f>
      </c>
      <c r="G3543" s="43">
        <f>IF(INDEX(DarlBindung,8)="",1,IF($E3543&lt;=INDEX(DarlBindung,8),1,0))</f>
      </c>
      <c r="H3543" s="43">
        <f>IF($G3543=1,INDEX(DarlSollzins,8),INDEX(DarlAnschluss,8))</f>
      </c>
      <c r="I3543" s="43">
        <f>IF(INDEX(DarlBelegt,8)=0,0,IF(INDEX(DarlOhneTilgung,8)=1,IF(INDEX(DarlBindung,8)="",1,$G3543),IF($J3543&gt;0.005,1,0)))</f>
      </c>
      <c r="J3543" s="43">
        <f>IF($I3542=0,0,$R3542)</f>
      </c>
      <c r="K3543" s="43">
        <f>IF($I3543=0,0,IF(INDEX(DarlOhneTilgung,8)=1,0,IF(AND(INDEX(DarlTilgStart,8)&gt;0,$E3543=INDEX(DarlTilgStart,8)),$J3543*($H3543+INDEX(DarlTilgung,8))/100/12,IF(AND($G3543=0,$G3542=1),MAX($K3542,$J3543*($H3543+1)/100/12),$K3542))))</f>
      </c>
      <c r="L3543" s="43">
        <f>IF($I3543=0,0,$J3543*$H3543/100/12)</f>
      </c>
      <c r="M3543" s="43">
        <f>IF($I3543=0,0,IF(OR(INDEX(DarlOhneTilgung,8)=1,AND(INDEX(DarlTilgStart,8)&gt;0,$E3543&lt;INDEX(DarlTilgStart,8))),0,MIN(MAX(0,$K3543-$L3543),$J3543)))</f>
      </c>
      <c r="N3543" s="43">
        <f>IF($I3543=0,0,MIN(SUMIFS(SondBetrag,SondDarl,8,SondDatum,"&gt;="&amp;$E3543,SondDatum,"&lt;="&amp;EOMONTH($E3543,0)),$J3543-$M3543))</f>
      </c>
      <c r="O3543" s="43">
        <f>IF($I3543=0,0,INDEX(DarlErsatzRate,8))</f>
      </c>
      <c r="P3543" s="43">
        <f>IF($I3543=0,0,$Q3542*INDEX(DarlErsatzZins,8))</f>
      </c>
      <c r="Q3543" s="43">
        <f>IF($I3543=0,0,$Q3542+$P3543+$O3543)</f>
      </c>
      <c r="R3543" s="43">
        <f>IF($I3543=0,0,$J3543-$M3543-$N3543)</f>
      </c>
    </row>
    <row r="3544">
      <c r="A3544"/>
      <c r="B3544">
        <v>8</v>
      </c>
      <c r="C3544" s="43">
        <f>INDEX(DarlObj,8)</f>
      </c>
      <c r="D3544">
        <v>181</v>
      </c>
      <c r="E3544" s="51">
        <f>IF(INDEX(DarlBelegt,8)=0,0,EOMONTH(INDEX(DarlAuszahlung,8),180)+1)</f>
      </c>
      <c r="F3544" s="43">
        <f>IF($E3544=0,0,YEAR($E3544))</f>
      </c>
      <c r="G3544" s="43">
        <f>IF(INDEX(DarlBindung,8)="",1,IF($E3544&lt;=INDEX(DarlBindung,8),1,0))</f>
      </c>
      <c r="H3544" s="43">
        <f>IF($G3544=1,INDEX(DarlSollzins,8),INDEX(DarlAnschluss,8))</f>
      </c>
      <c r="I3544" s="43">
        <f>IF(INDEX(DarlBelegt,8)=0,0,IF(INDEX(DarlOhneTilgung,8)=1,IF(INDEX(DarlBindung,8)="",1,$G3544),IF($J3544&gt;0.005,1,0)))</f>
      </c>
      <c r="J3544" s="43">
        <f>IF($I3543=0,0,$R3543)</f>
      </c>
      <c r="K3544" s="43">
        <f>IF($I3544=0,0,IF(INDEX(DarlOhneTilgung,8)=1,0,IF(AND(INDEX(DarlTilgStart,8)&gt;0,$E3544=INDEX(DarlTilgStart,8)),$J3544*($H3544+INDEX(DarlTilgung,8))/100/12,IF(AND($G3544=0,$G3543=1),MAX($K3543,$J3544*($H3544+1)/100/12),$K3543))))</f>
      </c>
      <c r="L3544" s="43">
        <f>IF($I3544=0,0,$J3544*$H3544/100/12)</f>
      </c>
      <c r="M3544" s="43">
        <f>IF($I3544=0,0,IF(OR(INDEX(DarlOhneTilgung,8)=1,AND(INDEX(DarlTilgStart,8)&gt;0,$E3544&lt;INDEX(DarlTilgStart,8))),0,MIN(MAX(0,$K3544-$L3544),$J3544)))</f>
      </c>
      <c r="N3544" s="43">
        <f>IF($I3544=0,0,MIN(SUMIFS(SondBetrag,SondDarl,8,SondDatum,"&gt;="&amp;$E3544,SondDatum,"&lt;="&amp;EOMONTH($E3544,0)),$J3544-$M3544))</f>
      </c>
      <c r="O3544" s="43">
        <f>IF($I3544=0,0,INDEX(DarlErsatzRate,8))</f>
      </c>
      <c r="P3544" s="43">
        <f>IF($I3544=0,0,$Q3543*INDEX(DarlErsatzZins,8))</f>
      </c>
      <c r="Q3544" s="43">
        <f>IF($I3544=0,0,$Q3543+$P3544+$O3544)</f>
      </c>
      <c r="R3544" s="43">
        <f>IF($I3544=0,0,$J3544-$M3544-$N3544)</f>
      </c>
    </row>
    <row r="3545">
      <c r="A3545"/>
      <c r="B3545">
        <v>8</v>
      </c>
      <c r="C3545" s="43">
        <f>INDEX(DarlObj,8)</f>
      </c>
      <c r="D3545">
        <v>182</v>
      </c>
      <c r="E3545" s="51">
        <f>IF(INDEX(DarlBelegt,8)=0,0,EOMONTH(INDEX(DarlAuszahlung,8),181)+1)</f>
      </c>
      <c r="F3545" s="43">
        <f>IF($E3545=0,0,YEAR($E3545))</f>
      </c>
      <c r="G3545" s="43">
        <f>IF(INDEX(DarlBindung,8)="",1,IF($E3545&lt;=INDEX(DarlBindung,8),1,0))</f>
      </c>
      <c r="H3545" s="43">
        <f>IF($G3545=1,INDEX(DarlSollzins,8),INDEX(DarlAnschluss,8))</f>
      </c>
      <c r="I3545" s="43">
        <f>IF(INDEX(DarlBelegt,8)=0,0,IF(INDEX(DarlOhneTilgung,8)=1,IF(INDEX(DarlBindung,8)="",1,$G3545),IF($J3545&gt;0.005,1,0)))</f>
      </c>
      <c r="J3545" s="43">
        <f>IF($I3544=0,0,$R3544)</f>
      </c>
      <c r="K3545" s="43">
        <f>IF($I3545=0,0,IF(INDEX(DarlOhneTilgung,8)=1,0,IF(AND(INDEX(DarlTilgStart,8)&gt;0,$E3545=INDEX(DarlTilgStart,8)),$J3545*($H3545+INDEX(DarlTilgung,8))/100/12,IF(AND($G3545=0,$G3544=1),MAX($K3544,$J3545*($H3545+1)/100/12),$K3544))))</f>
      </c>
      <c r="L3545" s="43">
        <f>IF($I3545=0,0,$J3545*$H3545/100/12)</f>
      </c>
      <c r="M3545" s="43">
        <f>IF($I3545=0,0,IF(OR(INDEX(DarlOhneTilgung,8)=1,AND(INDEX(DarlTilgStart,8)&gt;0,$E3545&lt;INDEX(DarlTilgStart,8))),0,MIN(MAX(0,$K3545-$L3545),$J3545)))</f>
      </c>
      <c r="N3545" s="43">
        <f>IF($I3545=0,0,MIN(SUMIFS(SondBetrag,SondDarl,8,SondDatum,"&gt;="&amp;$E3545,SondDatum,"&lt;="&amp;EOMONTH($E3545,0)),$J3545-$M3545))</f>
      </c>
      <c r="O3545" s="43">
        <f>IF($I3545=0,0,INDEX(DarlErsatzRate,8))</f>
      </c>
      <c r="P3545" s="43">
        <f>IF($I3545=0,0,$Q3544*INDEX(DarlErsatzZins,8))</f>
      </c>
      <c r="Q3545" s="43">
        <f>IF($I3545=0,0,$Q3544+$P3545+$O3545)</f>
      </c>
      <c r="R3545" s="43">
        <f>IF($I3545=0,0,$J3545-$M3545-$N3545)</f>
      </c>
    </row>
    <row r="3546">
      <c r="A3546"/>
      <c r="B3546">
        <v>8</v>
      </c>
      <c r="C3546" s="43">
        <f>INDEX(DarlObj,8)</f>
      </c>
      <c r="D3546">
        <v>183</v>
      </c>
      <c r="E3546" s="51">
        <f>IF(INDEX(DarlBelegt,8)=0,0,EOMONTH(INDEX(DarlAuszahlung,8),182)+1)</f>
      </c>
      <c r="F3546" s="43">
        <f>IF($E3546=0,0,YEAR($E3546))</f>
      </c>
      <c r="G3546" s="43">
        <f>IF(INDEX(DarlBindung,8)="",1,IF($E3546&lt;=INDEX(DarlBindung,8),1,0))</f>
      </c>
      <c r="H3546" s="43">
        <f>IF($G3546=1,INDEX(DarlSollzins,8),INDEX(DarlAnschluss,8))</f>
      </c>
      <c r="I3546" s="43">
        <f>IF(INDEX(DarlBelegt,8)=0,0,IF(INDEX(DarlOhneTilgung,8)=1,IF(INDEX(DarlBindung,8)="",1,$G3546),IF($J3546&gt;0.005,1,0)))</f>
      </c>
      <c r="J3546" s="43">
        <f>IF($I3545=0,0,$R3545)</f>
      </c>
      <c r="K3546" s="43">
        <f>IF($I3546=0,0,IF(INDEX(DarlOhneTilgung,8)=1,0,IF(AND(INDEX(DarlTilgStart,8)&gt;0,$E3546=INDEX(DarlTilgStart,8)),$J3546*($H3546+INDEX(DarlTilgung,8))/100/12,IF(AND($G3546=0,$G3545=1),MAX($K3545,$J3546*($H3546+1)/100/12),$K3545))))</f>
      </c>
      <c r="L3546" s="43">
        <f>IF($I3546=0,0,$J3546*$H3546/100/12)</f>
      </c>
      <c r="M3546" s="43">
        <f>IF($I3546=0,0,IF(OR(INDEX(DarlOhneTilgung,8)=1,AND(INDEX(DarlTilgStart,8)&gt;0,$E3546&lt;INDEX(DarlTilgStart,8))),0,MIN(MAX(0,$K3546-$L3546),$J3546)))</f>
      </c>
      <c r="N3546" s="43">
        <f>IF($I3546=0,0,MIN(SUMIFS(SondBetrag,SondDarl,8,SondDatum,"&gt;="&amp;$E3546,SondDatum,"&lt;="&amp;EOMONTH($E3546,0)),$J3546-$M3546))</f>
      </c>
      <c r="O3546" s="43">
        <f>IF($I3546=0,0,INDEX(DarlErsatzRate,8))</f>
      </c>
      <c r="P3546" s="43">
        <f>IF($I3546=0,0,$Q3545*INDEX(DarlErsatzZins,8))</f>
      </c>
      <c r="Q3546" s="43">
        <f>IF($I3546=0,0,$Q3545+$P3546+$O3546)</f>
      </c>
      <c r="R3546" s="43">
        <f>IF($I3546=0,0,$J3546-$M3546-$N3546)</f>
      </c>
    </row>
    <row r="3547">
      <c r="A3547"/>
      <c r="B3547">
        <v>8</v>
      </c>
      <c r="C3547" s="43">
        <f>INDEX(DarlObj,8)</f>
      </c>
      <c r="D3547">
        <v>184</v>
      </c>
      <c r="E3547" s="51">
        <f>IF(INDEX(DarlBelegt,8)=0,0,EOMONTH(INDEX(DarlAuszahlung,8),183)+1)</f>
      </c>
      <c r="F3547" s="43">
        <f>IF($E3547=0,0,YEAR($E3547))</f>
      </c>
      <c r="G3547" s="43">
        <f>IF(INDEX(DarlBindung,8)="",1,IF($E3547&lt;=INDEX(DarlBindung,8),1,0))</f>
      </c>
      <c r="H3547" s="43">
        <f>IF($G3547=1,INDEX(DarlSollzins,8),INDEX(DarlAnschluss,8))</f>
      </c>
      <c r="I3547" s="43">
        <f>IF(INDEX(DarlBelegt,8)=0,0,IF(INDEX(DarlOhneTilgung,8)=1,IF(INDEX(DarlBindung,8)="",1,$G3547),IF($J3547&gt;0.005,1,0)))</f>
      </c>
      <c r="J3547" s="43">
        <f>IF($I3546=0,0,$R3546)</f>
      </c>
      <c r="K3547" s="43">
        <f>IF($I3547=0,0,IF(INDEX(DarlOhneTilgung,8)=1,0,IF(AND(INDEX(DarlTilgStart,8)&gt;0,$E3547=INDEX(DarlTilgStart,8)),$J3547*($H3547+INDEX(DarlTilgung,8))/100/12,IF(AND($G3547=0,$G3546=1),MAX($K3546,$J3547*($H3547+1)/100/12),$K3546))))</f>
      </c>
      <c r="L3547" s="43">
        <f>IF($I3547=0,0,$J3547*$H3547/100/12)</f>
      </c>
      <c r="M3547" s="43">
        <f>IF($I3547=0,0,IF(OR(INDEX(DarlOhneTilgung,8)=1,AND(INDEX(DarlTilgStart,8)&gt;0,$E3547&lt;INDEX(DarlTilgStart,8))),0,MIN(MAX(0,$K3547-$L3547),$J3547)))</f>
      </c>
      <c r="N3547" s="43">
        <f>IF($I3547=0,0,MIN(SUMIFS(SondBetrag,SondDarl,8,SondDatum,"&gt;="&amp;$E3547,SondDatum,"&lt;="&amp;EOMONTH($E3547,0)),$J3547-$M3547))</f>
      </c>
      <c r="O3547" s="43">
        <f>IF($I3547=0,0,INDEX(DarlErsatzRate,8))</f>
      </c>
      <c r="P3547" s="43">
        <f>IF($I3547=0,0,$Q3546*INDEX(DarlErsatzZins,8))</f>
      </c>
      <c r="Q3547" s="43">
        <f>IF($I3547=0,0,$Q3546+$P3547+$O3547)</f>
      </c>
      <c r="R3547" s="43">
        <f>IF($I3547=0,0,$J3547-$M3547-$N3547)</f>
      </c>
    </row>
    <row r="3548">
      <c r="A3548"/>
      <c r="B3548">
        <v>8</v>
      </c>
      <c r="C3548" s="43">
        <f>INDEX(DarlObj,8)</f>
      </c>
      <c r="D3548">
        <v>185</v>
      </c>
      <c r="E3548" s="51">
        <f>IF(INDEX(DarlBelegt,8)=0,0,EOMONTH(INDEX(DarlAuszahlung,8),184)+1)</f>
      </c>
      <c r="F3548" s="43">
        <f>IF($E3548=0,0,YEAR($E3548))</f>
      </c>
      <c r="G3548" s="43">
        <f>IF(INDEX(DarlBindung,8)="",1,IF($E3548&lt;=INDEX(DarlBindung,8),1,0))</f>
      </c>
      <c r="H3548" s="43">
        <f>IF($G3548=1,INDEX(DarlSollzins,8),INDEX(DarlAnschluss,8))</f>
      </c>
      <c r="I3548" s="43">
        <f>IF(INDEX(DarlBelegt,8)=0,0,IF(INDEX(DarlOhneTilgung,8)=1,IF(INDEX(DarlBindung,8)="",1,$G3548),IF($J3548&gt;0.005,1,0)))</f>
      </c>
      <c r="J3548" s="43">
        <f>IF($I3547=0,0,$R3547)</f>
      </c>
      <c r="K3548" s="43">
        <f>IF($I3548=0,0,IF(INDEX(DarlOhneTilgung,8)=1,0,IF(AND(INDEX(DarlTilgStart,8)&gt;0,$E3548=INDEX(DarlTilgStart,8)),$J3548*($H3548+INDEX(DarlTilgung,8))/100/12,IF(AND($G3548=0,$G3547=1),MAX($K3547,$J3548*($H3548+1)/100/12),$K3547))))</f>
      </c>
      <c r="L3548" s="43">
        <f>IF($I3548=0,0,$J3548*$H3548/100/12)</f>
      </c>
      <c r="M3548" s="43">
        <f>IF($I3548=0,0,IF(OR(INDEX(DarlOhneTilgung,8)=1,AND(INDEX(DarlTilgStart,8)&gt;0,$E3548&lt;INDEX(DarlTilgStart,8))),0,MIN(MAX(0,$K3548-$L3548),$J3548)))</f>
      </c>
      <c r="N3548" s="43">
        <f>IF($I3548=0,0,MIN(SUMIFS(SondBetrag,SondDarl,8,SondDatum,"&gt;="&amp;$E3548,SondDatum,"&lt;="&amp;EOMONTH($E3548,0)),$J3548-$M3548))</f>
      </c>
      <c r="O3548" s="43">
        <f>IF($I3548=0,0,INDEX(DarlErsatzRate,8))</f>
      </c>
      <c r="P3548" s="43">
        <f>IF($I3548=0,0,$Q3547*INDEX(DarlErsatzZins,8))</f>
      </c>
      <c r="Q3548" s="43">
        <f>IF($I3548=0,0,$Q3547+$P3548+$O3548)</f>
      </c>
      <c r="R3548" s="43">
        <f>IF($I3548=0,0,$J3548-$M3548-$N3548)</f>
      </c>
    </row>
    <row r="3549">
      <c r="A3549"/>
      <c r="B3549">
        <v>8</v>
      </c>
      <c r="C3549" s="43">
        <f>INDEX(DarlObj,8)</f>
      </c>
      <c r="D3549">
        <v>186</v>
      </c>
      <c r="E3549" s="51">
        <f>IF(INDEX(DarlBelegt,8)=0,0,EOMONTH(INDEX(DarlAuszahlung,8),185)+1)</f>
      </c>
      <c r="F3549" s="43">
        <f>IF($E3549=0,0,YEAR($E3549))</f>
      </c>
      <c r="G3549" s="43">
        <f>IF(INDEX(DarlBindung,8)="",1,IF($E3549&lt;=INDEX(DarlBindung,8),1,0))</f>
      </c>
      <c r="H3549" s="43">
        <f>IF($G3549=1,INDEX(DarlSollzins,8),INDEX(DarlAnschluss,8))</f>
      </c>
      <c r="I3549" s="43">
        <f>IF(INDEX(DarlBelegt,8)=0,0,IF(INDEX(DarlOhneTilgung,8)=1,IF(INDEX(DarlBindung,8)="",1,$G3549),IF($J3549&gt;0.005,1,0)))</f>
      </c>
      <c r="J3549" s="43">
        <f>IF($I3548=0,0,$R3548)</f>
      </c>
      <c r="K3549" s="43">
        <f>IF($I3549=0,0,IF(INDEX(DarlOhneTilgung,8)=1,0,IF(AND(INDEX(DarlTilgStart,8)&gt;0,$E3549=INDEX(DarlTilgStart,8)),$J3549*($H3549+INDEX(DarlTilgung,8))/100/12,IF(AND($G3549=0,$G3548=1),MAX($K3548,$J3549*($H3549+1)/100/12),$K3548))))</f>
      </c>
      <c r="L3549" s="43">
        <f>IF($I3549=0,0,$J3549*$H3549/100/12)</f>
      </c>
      <c r="M3549" s="43">
        <f>IF($I3549=0,0,IF(OR(INDEX(DarlOhneTilgung,8)=1,AND(INDEX(DarlTilgStart,8)&gt;0,$E3549&lt;INDEX(DarlTilgStart,8))),0,MIN(MAX(0,$K3549-$L3549),$J3549)))</f>
      </c>
      <c r="N3549" s="43">
        <f>IF($I3549=0,0,MIN(SUMIFS(SondBetrag,SondDarl,8,SondDatum,"&gt;="&amp;$E3549,SondDatum,"&lt;="&amp;EOMONTH($E3549,0)),$J3549-$M3549))</f>
      </c>
      <c r="O3549" s="43">
        <f>IF($I3549=0,0,INDEX(DarlErsatzRate,8))</f>
      </c>
      <c r="P3549" s="43">
        <f>IF($I3549=0,0,$Q3548*INDEX(DarlErsatzZins,8))</f>
      </c>
      <c r="Q3549" s="43">
        <f>IF($I3549=0,0,$Q3548+$P3549+$O3549)</f>
      </c>
      <c r="R3549" s="43">
        <f>IF($I3549=0,0,$J3549-$M3549-$N3549)</f>
      </c>
    </row>
    <row r="3550">
      <c r="A3550"/>
      <c r="B3550">
        <v>8</v>
      </c>
      <c r="C3550" s="43">
        <f>INDEX(DarlObj,8)</f>
      </c>
      <c r="D3550">
        <v>187</v>
      </c>
      <c r="E3550" s="51">
        <f>IF(INDEX(DarlBelegt,8)=0,0,EOMONTH(INDEX(DarlAuszahlung,8),186)+1)</f>
      </c>
      <c r="F3550" s="43">
        <f>IF($E3550=0,0,YEAR($E3550))</f>
      </c>
      <c r="G3550" s="43">
        <f>IF(INDEX(DarlBindung,8)="",1,IF($E3550&lt;=INDEX(DarlBindung,8),1,0))</f>
      </c>
      <c r="H3550" s="43">
        <f>IF($G3550=1,INDEX(DarlSollzins,8),INDEX(DarlAnschluss,8))</f>
      </c>
      <c r="I3550" s="43">
        <f>IF(INDEX(DarlBelegt,8)=0,0,IF(INDEX(DarlOhneTilgung,8)=1,IF(INDEX(DarlBindung,8)="",1,$G3550),IF($J3550&gt;0.005,1,0)))</f>
      </c>
      <c r="J3550" s="43">
        <f>IF($I3549=0,0,$R3549)</f>
      </c>
      <c r="K3550" s="43">
        <f>IF($I3550=0,0,IF(INDEX(DarlOhneTilgung,8)=1,0,IF(AND(INDEX(DarlTilgStart,8)&gt;0,$E3550=INDEX(DarlTilgStart,8)),$J3550*($H3550+INDEX(DarlTilgung,8))/100/12,IF(AND($G3550=0,$G3549=1),MAX($K3549,$J3550*($H3550+1)/100/12),$K3549))))</f>
      </c>
      <c r="L3550" s="43">
        <f>IF($I3550=0,0,$J3550*$H3550/100/12)</f>
      </c>
      <c r="M3550" s="43">
        <f>IF($I3550=0,0,IF(OR(INDEX(DarlOhneTilgung,8)=1,AND(INDEX(DarlTilgStart,8)&gt;0,$E3550&lt;INDEX(DarlTilgStart,8))),0,MIN(MAX(0,$K3550-$L3550),$J3550)))</f>
      </c>
      <c r="N3550" s="43">
        <f>IF($I3550=0,0,MIN(SUMIFS(SondBetrag,SondDarl,8,SondDatum,"&gt;="&amp;$E3550,SondDatum,"&lt;="&amp;EOMONTH($E3550,0)),$J3550-$M3550))</f>
      </c>
      <c r="O3550" s="43">
        <f>IF($I3550=0,0,INDEX(DarlErsatzRate,8))</f>
      </c>
      <c r="P3550" s="43">
        <f>IF($I3550=0,0,$Q3549*INDEX(DarlErsatzZins,8))</f>
      </c>
      <c r="Q3550" s="43">
        <f>IF($I3550=0,0,$Q3549+$P3550+$O3550)</f>
      </c>
      <c r="R3550" s="43">
        <f>IF($I3550=0,0,$J3550-$M3550-$N3550)</f>
      </c>
    </row>
    <row r="3551">
      <c r="A3551"/>
      <c r="B3551">
        <v>8</v>
      </c>
      <c r="C3551" s="43">
        <f>INDEX(DarlObj,8)</f>
      </c>
      <c r="D3551">
        <v>188</v>
      </c>
      <c r="E3551" s="51">
        <f>IF(INDEX(DarlBelegt,8)=0,0,EOMONTH(INDEX(DarlAuszahlung,8),187)+1)</f>
      </c>
      <c r="F3551" s="43">
        <f>IF($E3551=0,0,YEAR($E3551))</f>
      </c>
      <c r="G3551" s="43">
        <f>IF(INDEX(DarlBindung,8)="",1,IF($E3551&lt;=INDEX(DarlBindung,8),1,0))</f>
      </c>
      <c r="H3551" s="43">
        <f>IF($G3551=1,INDEX(DarlSollzins,8),INDEX(DarlAnschluss,8))</f>
      </c>
      <c r="I3551" s="43">
        <f>IF(INDEX(DarlBelegt,8)=0,0,IF(INDEX(DarlOhneTilgung,8)=1,IF(INDEX(DarlBindung,8)="",1,$G3551),IF($J3551&gt;0.005,1,0)))</f>
      </c>
      <c r="J3551" s="43">
        <f>IF($I3550=0,0,$R3550)</f>
      </c>
      <c r="K3551" s="43">
        <f>IF($I3551=0,0,IF(INDEX(DarlOhneTilgung,8)=1,0,IF(AND(INDEX(DarlTilgStart,8)&gt;0,$E3551=INDEX(DarlTilgStart,8)),$J3551*($H3551+INDEX(DarlTilgung,8))/100/12,IF(AND($G3551=0,$G3550=1),MAX($K3550,$J3551*($H3551+1)/100/12),$K3550))))</f>
      </c>
      <c r="L3551" s="43">
        <f>IF($I3551=0,0,$J3551*$H3551/100/12)</f>
      </c>
      <c r="M3551" s="43">
        <f>IF($I3551=0,0,IF(OR(INDEX(DarlOhneTilgung,8)=1,AND(INDEX(DarlTilgStart,8)&gt;0,$E3551&lt;INDEX(DarlTilgStart,8))),0,MIN(MAX(0,$K3551-$L3551),$J3551)))</f>
      </c>
      <c r="N3551" s="43">
        <f>IF($I3551=0,0,MIN(SUMIFS(SondBetrag,SondDarl,8,SondDatum,"&gt;="&amp;$E3551,SondDatum,"&lt;="&amp;EOMONTH($E3551,0)),$J3551-$M3551))</f>
      </c>
      <c r="O3551" s="43">
        <f>IF($I3551=0,0,INDEX(DarlErsatzRate,8))</f>
      </c>
      <c r="P3551" s="43">
        <f>IF($I3551=0,0,$Q3550*INDEX(DarlErsatzZins,8))</f>
      </c>
      <c r="Q3551" s="43">
        <f>IF($I3551=0,0,$Q3550+$P3551+$O3551)</f>
      </c>
      <c r="R3551" s="43">
        <f>IF($I3551=0,0,$J3551-$M3551-$N3551)</f>
      </c>
    </row>
    <row r="3552">
      <c r="A3552"/>
      <c r="B3552">
        <v>8</v>
      </c>
      <c r="C3552" s="43">
        <f>INDEX(DarlObj,8)</f>
      </c>
      <c r="D3552">
        <v>189</v>
      </c>
      <c r="E3552" s="51">
        <f>IF(INDEX(DarlBelegt,8)=0,0,EOMONTH(INDEX(DarlAuszahlung,8),188)+1)</f>
      </c>
      <c r="F3552" s="43">
        <f>IF($E3552=0,0,YEAR($E3552))</f>
      </c>
      <c r="G3552" s="43">
        <f>IF(INDEX(DarlBindung,8)="",1,IF($E3552&lt;=INDEX(DarlBindung,8),1,0))</f>
      </c>
      <c r="H3552" s="43">
        <f>IF($G3552=1,INDEX(DarlSollzins,8),INDEX(DarlAnschluss,8))</f>
      </c>
      <c r="I3552" s="43">
        <f>IF(INDEX(DarlBelegt,8)=0,0,IF(INDEX(DarlOhneTilgung,8)=1,IF(INDEX(DarlBindung,8)="",1,$G3552),IF($J3552&gt;0.005,1,0)))</f>
      </c>
      <c r="J3552" s="43">
        <f>IF($I3551=0,0,$R3551)</f>
      </c>
      <c r="K3552" s="43">
        <f>IF($I3552=0,0,IF(INDEX(DarlOhneTilgung,8)=1,0,IF(AND(INDEX(DarlTilgStart,8)&gt;0,$E3552=INDEX(DarlTilgStart,8)),$J3552*($H3552+INDEX(DarlTilgung,8))/100/12,IF(AND($G3552=0,$G3551=1),MAX($K3551,$J3552*($H3552+1)/100/12),$K3551))))</f>
      </c>
      <c r="L3552" s="43">
        <f>IF($I3552=0,0,$J3552*$H3552/100/12)</f>
      </c>
      <c r="M3552" s="43">
        <f>IF($I3552=0,0,IF(OR(INDEX(DarlOhneTilgung,8)=1,AND(INDEX(DarlTilgStart,8)&gt;0,$E3552&lt;INDEX(DarlTilgStart,8))),0,MIN(MAX(0,$K3552-$L3552),$J3552)))</f>
      </c>
      <c r="N3552" s="43">
        <f>IF($I3552=0,0,MIN(SUMIFS(SondBetrag,SondDarl,8,SondDatum,"&gt;="&amp;$E3552,SondDatum,"&lt;="&amp;EOMONTH($E3552,0)),$J3552-$M3552))</f>
      </c>
      <c r="O3552" s="43">
        <f>IF($I3552=0,0,INDEX(DarlErsatzRate,8))</f>
      </c>
      <c r="P3552" s="43">
        <f>IF($I3552=0,0,$Q3551*INDEX(DarlErsatzZins,8))</f>
      </c>
      <c r="Q3552" s="43">
        <f>IF($I3552=0,0,$Q3551+$P3552+$O3552)</f>
      </c>
      <c r="R3552" s="43">
        <f>IF($I3552=0,0,$J3552-$M3552-$N3552)</f>
      </c>
    </row>
    <row r="3553">
      <c r="A3553"/>
      <c r="B3553">
        <v>8</v>
      </c>
      <c r="C3553" s="43">
        <f>INDEX(DarlObj,8)</f>
      </c>
      <c r="D3553">
        <v>190</v>
      </c>
      <c r="E3553" s="51">
        <f>IF(INDEX(DarlBelegt,8)=0,0,EOMONTH(INDEX(DarlAuszahlung,8),189)+1)</f>
      </c>
      <c r="F3553" s="43">
        <f>IF($E3553=0,0,YEAR($E3553))</f>
      </c>
      <c r="G3553" s="43">
        <f>IF(INDEX(DarlBindung,8)="",1,IF($E3553&lt;=INDEX(DarlBindung,8),1,0))</f>
      </c>
      <c r="H3553" s="43">
        <f>IF($G3553=1,INDEX(DarlSollzins,8),INDEX(DarlAnschluss,8))</f>
      </c>
      <c r="I3553" s="43">
        <f>IF(INDEX(DarlBelegt,8)=0,0,IF(INDEX(DarlOhneTilgung,8)=1,IF(INDEX(DarlBindung,8)="",1,$G3553),IF($J3553&gt;0.005,1,0)))</f>
      </c>
      <c r="J3553" s="43">
        <f>IF($I3552=0,0,$R3552)</f>
      </c>
      <c r="K3553" s="43">
        <f>IF($I3553=0,0,IF(INDEX(DarlOhneTilgung,8)=1,0,IF(AND(INDEX(DarlTilgStart,8)&gt;0,$E3553=INDEX(DarlTilgStart,8)),$J3553*($H3553+INDEX(DarlTilgung,8))/100/12,IF(AND($G3553=0,$G3552=1),MAX($K3552,$J3553*($H3553+1)/100/12),$K3552))))</f>
      </c>
      <c r="L3553" s="43">
        <f>IF($I3553=0,0,$J3553*$H3553/100/12)</f>
      </c>
      <c r="M3553" s="43">
        <f>IF($I3553=0,0,IF(OR(INDEX(DarlOhneTilgung,8)=1,AND(INDEX(DarlTilgStart,8)&gt;0,$E3553&lt;INDEX(DarlTilgStart,8))),0,MIN(MAX(0,$K3553-$L3553),$J3553)))</f>
      </c>
      <c r="N3553" s="43">
        <f>IF($I3553=0,0,MIN(SUMIFS(SondBetrag,SondDarl,8,SondDatum,"&gt;="&amp;$E3553,SondDatum,"&lt;="&amp;EOMONTH($E3553,0)),$J3553-$M3553))</f>
      </c>
      <c r="O3553" s="43">
        <f>IF($I3553=0,0,INDEX(DarlErsatzRate,8))</f>
      </c>
      <c r="P3553" s="43">
        <f>IF($I3553=0,0,$Q3552*INDEX(DarlErsatzZins,8))</f>
      </c>
      <c r="Q3553" s="43">
        <f>IF($I3553=0,0,$Q3552+$P3553+$O3553)</f>
      </c>
      <c r="R3553" s="43">
        <f>IF($I3553=0,0,$J3553-$M3553-$N3553)</f>
      </c>
    </row>
    <row r="3554">
      <c r="A3554"/>
      <c r="B3554">
        <v>8</v>
      </c>
      <c r="C3554" s="43">
        <f>INDEX(DarlObj,8)</f>
      </c>
      <c r="D3554">
        <v>191</v>
      </c>
      <c r="E3554" s="51">
        <f>IF(INDEX(DarlBelegt,8)=0,0,EOMONTH(INDEX(DarlAuszahlung,8),190)+1)</f>
      </c>
      <c r="F3554" s="43">
        <f>IF($E3554=0,0,YEAR($E3554))</f>
      </c>
      <c r="G3554" s="43">
        <f>IF(INDEX(DarlBindung,8)="",1,IF($E3554&lt;=INDEX(DarlBindung,8),1,0))</f>
      </c>
      <c r="H3554" s="43">
        <f>IF($G3554=1,INDEX(DarlSollzins,8),INDEX(DarlAnschluss,8))</f>
      </c>
      <c r="I3554" s="43">
        <f>IF(INDEX(DarlBelegt,8)=0,0,IF(INDEX(DarlOhneTilgung,8)=1,IF(INDEX(DarlBindung,8)="",1,$G3554),IF($J3554&gt;0.005,1,0)))</f>
      </c>
      <c r="J3554" s="43">
        <f>IF($I3553=0,0,$R3553)</f>
      </c>
      <c r="K3554" s="43">
        <f>IF($I3554=0,0,IF(INDEX(DarlOhneTilgung,8)=1,0,IF(AND(INDEX(DarlTilgStart,8)&gt;0,$E3554=INDEX(DarlTilgStart,8)),$J3554*($H3554+INDEX(DarlTilgung,8))/100/12,IF(AND($G3554=0,$G3553=1),MAX($K3553,$J3554*($H3554+1)/100/12),$K3553))))</f>
      </c>
      <c r="L3554" s="43">
        <f>IF($I3554=0,0,$J3554*$H3554/100/12)</f>
      </c>
      <c r="M3554" s="43">
        <f>IF($I3554=0,0,IF(OR(INDEX(DarlOhneTilgung,8)=1,AND(INDEX(DarlTilgStart,8)&gt;0,$E3554&lt;INDEX(DarlTilgStart,8))),0,MIN(MAX(0,$K3554-$L3554),$J3554)))</f>
      </c>
      <c r="N3554" s="43">
        <f>IF($I3554=0,0,MIN(SUMIFS(SondBetrag,SondDarl,8,SondDatum,"&gt;="&amp;$E3554,SondDatum,"&lt;="&amp;EOMONTH($E3554,0)),$J3554-$M3554))</f>
      </c>
      <c r="O3554" s="43">
        <f>IF($I3554=0,0,INDEX(DarlErsatzRate,8))</f>
      </c>
      <c r="P3554" s="43">
        <f>IF($I3554=0,0,$Q3553*INDEX(DarlErsatzZins,8))</f>
      </c>
      <c r="Q3554" s="43">
        <f>IF($I3554=0,0,$Q3553+$P3554+$O3554)</f>
      </c>
      <c r="R3554" s="43">
        <f>IF($I3554=0,0,$J3554-$M3554-$N3554)</f>
      </c>
    </row>
    <row r="3555">
      <c r="A3555"/>
      <c r="B3555">
        <v>8</v>
      </c>
      <c r="C3555" s="43">
        <f>INDEX(DarlObj,8)</f>
      </c>
      <c r="D3555">
        <v>192</v>
      </c>
      <c r="E3555" s="51">
        <f>IF(INDEX(DarlBelegt,8)=0,0,EOMONTH(INDEX(DarlAuszahlung,8),191)+1)</f>
      </c>
      <c r="F3555" s="43">
        <f>IF($E3555=0,0,YEAR($E3555))</f>
      </c>
      <c r="G3555" s="43">
        <f>IF(INDEX(DarlBindung,8)="",1,IF($E3555&lt;=INDEX(DarlBindung,8),1,0))</f>
      </c>
      <c r="H3555" s="43">
        <f>IF($G3555=1,INDEX(DarlSollzins,8),INDEX(DarlAnschluss,8))</f>
      </c>
      <c r="I3555" s="43">
        <f>IF(INDEX(DarlBelegt,8)=0,0,IF(INDEX(DarlOhneTilgung,8)=1,IF(INDEX(DarlBindung,8)="",1,$G3555),IF($J3555&gt;0.005,1,0)))</f>
      </c>
      <c r="J3555" s="43">
        <f>IF($I3554=0,0,$R3554)</f>
      </c>
      <c r="K3555" s="43">
        <f>IF($I3555=0,0,IF(INDEX(DarlOhneTilgung,8)=1,0,IF(AND(INDEX(DarlTilgStart,8)&gt;0,$E3555=INDEX(DarlTilgStart,8)),$J3555*($H3555+INDEX(DarlTilgung,8))/100/12,IF(AND($G3555=0,$G3554=1),MAX($K3554,$J3555*($H3555+1)/100/12),$K3554))))</f>
      </c>
      <c r="L3555" s="43">
        <f>IF($I3555=0,0,$J3555*$H3555/100/12)</f>
      </c>
      <c r="M3555" s="43">
        <f>IF($I3555=0,0,IF(OR(INDEX(DarlOhneTilgung,8)=1,AND(INDEX(DarlTilgStart,8)&gt;0,$E3555&lt;INDEX(DarlTilgStart,8))),0,MIN(MAX(0,$K3555-$L3555),$J3555)))</f>
      </c>
      <c r="N3555" s="43">
        <f>IF($I3555=0,0,MIN(SUMIFS(SondBetrag,SondDarl,8,SondDatum,"&gt;="&amp;$E3555,SondDatum,"&lt;="&amp;EOMONTH($E3555,0)),$J3555-$M3555))</f>
      </c>
      <c r="O3555" s="43">
        <f>IF($I3555=0,0,INDEX(DarlErsatzRate,8))</f>
      </c>
      <c r="P3555" s="43">
        <f>IF($I3555=0,0,$Q3554*INDEX(DarlErsatzZins,8))</f>
      </c>
      <c r="Q3555" s="43">
        <f>IF($I3555=0,0,$Q3554+$P3555+$O3555)</f>
      </c>
      <c r="R3555" s="43">
        <f>IF($I3555=0,0,$J3555-$M3555-$N3555)</f>
      </c>
    </row>
    <row r="3556">
      <c r="A3556"/>
      <c r="B3556">
        <v>8</v>
      </c>
      <c r="C3556" s="43">
        <f>INDEX(DarlObj,8)</f>
      </c>
      <c r="D3556">
        <v>193</v>
      </c>
      <c r="E3556" s="51">
        <f>IF(INDEX(DarlBelegt,8)=0,0,EOMONTH(INDEX(DarlAuszahlung,8),192)+1)</f>
      </c>
      <c r="F3556" s="43">
        <f>IF($E3556=0,0,YEAR($E3556))</f>
      </c>
      <c r="G3556" s="43">
        <f>IF(INDEX(DarlBindung,8)="",1,IF($E3556&lt;=INDEX(DarlBindung,8),1,0))</f>
      </c>
      <c r="H3556" s="43">
        <f>IF($G3556=1,INDEX(DarlSollzins,8),INDEX(DarlAnschluss,8))</f>
      </c>
      <c r="I3556" s="43">
        <f>IF(INDEX(DarlBelegt,8)=0,0,IF(INDEX(DarlOhneTilgung,8)=1,IF(INDEX(DarlBindung,8)="",1,$G3556),IF($J3556&gt;0.005,1,0)))</f>
      </c>
      <c r="J3556" s="43">
        <f>IF($I3555=0,0,$R3555)</f>
      </c>
      <c r="K3556" s="43">
        <f>IF($I3556=0,0,IF(INDEX(DarlOhneTilgung,8)=1,0,IF(AND(INDEX(DarlTilgStart,8)&gt;0,$E3556=INDEX(DarlTilgStart,8)),$J3556*($H3556+INDEX(DarlTilgung,8))/100/12,IF(AND($G3556=0,$G3555=1),MAX($K3555,$J3556*($H3556+1)/100/12),$K3555))))</f>
      </c>
      <c r="L3556" s="43">
        <f>IF($I3556=0,0,$J3556*$H3556/100/12)</f>
      </c>
      <c r="M3556" s="43">
        <f>IF($I3556=0,0,IF(OR(INDEX(DarlOhneTilgung,8)=1,AND(INDEX(DarlTilgStart,8)&gt;0,$E3556&lt;INDEX(DarlTilgStart,8))),0,MIN(MAX(0,$K3556-$L3556),$J3556)))</f>
      </c>
      <c r="N3556" s="43">
        <f>IF($I3556=0,0,MIN(SUMIFS(SondBetrag,SondDarl,8,SondDatum,"&gt;="&amp;$E3556,SondDatum,"&lt;="&amp;EOMONTH($E3556,0)),$J3556-$M3556))</f>
      </c>
      <c r="O3556" s="43">
        <f>IF($I3556=0,0,INDEX(DarlErsatzRate,8))</f>
      </c>
      <c r="P3556" s="43">
        <f>IF($I3556=0,0,$Q3555*INDEX(DarlErsatzZins,8))</f>
      </c>
      <c r="Q3556" s="43">
        <f>IF($I3556=0,0,$Q3555+$P3556+$O3556)</f>
      </c>
      <c r="R3556" s="43">
        <f>IF($I3556=0,0,$J3556-$M3556-$N3556)</f>
      </c>
    </row>
    <row r="3557">
      <c r="A3557"/>
      <c r="B3557">
        <v>8</v>
      </c>
      <c r="C3557" s="43">
        <f>INDEX(DarlObj,8)</f>
      </c>
      <c r="D3557">
        <v>194</v>
      </c>
      <c r="E3557" s="51">
        <f>IF(INDEX(DarlBelegt,8)=0,0,EOMONTH(INDEX(DarlAuszahlung,8),193)+1)</f>
      </c>
      <c r="F3557" s="43">
        <f>IF($E3557=0,0,YEAR($E3557))</f>
      </c>
      <c r="G3557" s="43">
        <f>IF(INDEX(DarlBindung,8)="",1,IF($E3557&lt;=INDEX(DarlBindung,8),1,0))</f>
      </c>
      <c r="H3557" s="43">
        <f>IF($G3557=1,INDEX(DarlSollzins,8),INDEX(DarlAnschluss,8))</f>
      </c>
      <c r="I3557" s="43">
        <f>IF(INDEX(DarlBelegt,8)=0,0,IF(INDEX(DarlOhneTilgung,8)=1,IF(INDEX(DarlBindung,8)="",1,$G3557),IF($J3557&gt;0.005,1,0)))</f>
      </c>
      <c r="J3557" s="43">
        <f>IF($I3556=0,0,$R3556)</f>
      </c>
      <c r="K3557" s="43">
        <f>IF($I3557=0,0,IF(INDEX(DarlOhneTilgung,8)=1,0,IF(AND(INDEX(DarlTilgStart,8)&gt;0,$E3557=INDEX(DarlTilgStart,8)),$J3557*($H3557+INDEX(DarlTilgung,8))/100/12,IF(AND($G3557=0,$G3556=1),MAX($K3556,$J3557*($H3557+1)/100/12),$K3556))))</f>
      </c>
      <c r="L3557" s="43">
        <f>IF($I3557=0,0,$J3557*$H3557/100/12)</f>
      </c>
      <c r="M3557" s="43">
        <f>IF($I3557=0,0,IF(OR(INDEX(DarlOhneTilgung,8)=1,AND(INDEX(DarlTilgStart,8)&gt;0,$E3557&lt;INDEX(DarlTilgStart,8))),0,MIN(MAX(0,$K3557-$L3557),$J3557)))</f>
      </c>
      <c r="N3557" s="43">
        <f>IF($I3557=0,0,MIN(SUMIFS(SondBetrag,SondDarl,8,SondDatum,"&gt;="&amp;$E3557,SondDatum,"&lt;="&amp;EOMONTH($E3557,0)),$J3557-$M3557))</f>
      </c>
      <c r="O3557" s="43">
        <f>IF($I3557=0,0,INDEX(DarlErsatzRate,8))</f>
      </c>
      <c r="P3557" s="43">
        <f>IF($I3557=0,0,$Q3556*INDEX(DarlErsatzZins,8))</f>
      </c>
      <c r="Q3557" s="43">
        <f>IF($I3557=0,0,$Q3556+$P3557+$O3557)</f>
      </c>
      <c r="R3557" s="43">
        <f>IF($I3557=0,0,$J3557-$M3557-$N3557)</f>
      </c>
    </row>
    <row r="3558">
      <c r="A3558"/>
      <c r="B3558">
        <v>8</v>
      </c>
      <c r="C3558" s="43">
        <f>INDEX(DarlObj,8)</f>
      </c>
      <c r="D3558">
        <v>195</v>
      </c>
      <c r="E3558" s="51">
        <f>IF(INDEX(DarlBelegt,8)=0,0,EOMONTH(INDEX(DarlAuszahlung,8),194)+1)</f>
      </c>
      <c r="F3558" s="43">
        <f>IF($E3558=0,0,YEAR($E3558))</f>
      </c>
      <c r="G3558" s="43">
        <f>IF(INDEX(DarlBindung,8)="",1,IF($E3558&lt;=INDEX(DarlBindung,8),1,0))</f>
      </c>
      <c r="H3558" s="43">
        <f>IF($G3558=1,INDEX(DarlSollzins,8),INDEX(DarlAnschluss,8))</f>
      </c>
      <c r="I3558" s="43">
        <f>IF(INDEX(DarlBelegt,8)=0,0,IF(INDEX(DarlOhneTilgung,8)=1,IF(INDEX(DarlBindung,8)="",1,$G3558),IF($J3558&gt;0.005,1,0)))</f>
      </c>
      <c r="J3558" s="43">
        <f>IF($I3557=0,0,$R3557)</f>
      </c>
      <c r="K3558" s="43">
        <f>IF($I3558=0,0,IF(INDEX(DarlOhneTilgung,8)=1,0,IF(AND(INDEX(DarlTilgStart,8)&gt;0,$E3558=INDEX(DarlTilgStart,8)),$J3558*($H3558+INDEX(DarlTilgung,8))/100/12,IF(AND($G3558=0,$G3557=1),MAX($K3557,$J3558*($H3558+1)/100/12),$K3557))))</f>
      </c>
      <c r="L3558" s="43">
        <f>IF($I3558=0,0,$J3558*$H3558/100/12)</f>
      </c>
      <c r="M3558" s="43">
        <f>IF($I3558=0,0,IF(OR(INDEX(DarlOhneTilgung,8)=1,AND(INDEX(DarlTilgStart,8)&gt;0,$E3558&lt;INDEX(DarlTilgStart,8))),0,MIN(MAX(0,$K3558-$L3558),$J3558)))</f>
      </c>
      <c r="N3558" s="43">
        <f>IF($I3558=0,0,MIN(SUMIFS(SondBetrag,SondDarl,8,SondDatum,"&gt;="&amp;$E3558,SondDatum,"&lt;="&amp;EOMONTH($E3558,0)),$J3558-$M3558))</f>
      </c>
      <c r="O3558" s="43">
        <f>IF($I3558=0,0,INDEX(DarlErsatzRate,8))</f>
      </c>
      <c r="P3558" s="43">
        <f>IF($I3558=0,0,$Q3557*INDEX(DarlErsatzZins,8))</f>
      </c>
      <c r="Q3558" s="43">
        <f>IF($I3558=0,0,$Q3557+$P3558+$O3558)</f>
      </c>
      <c r="R3558" s="43">
        <f>IF($I3558=0,0,$J3558-$M3558-$N3558)</f>
      </c>
    </row>
    <row r="3559">
      <c r="A3559"/>
      <c r="B3559">
        <v>8</v>
      </c>
      <c r="C3559" s="43">
        <f>INDEX(DarlObj,8)</f>
      </c>
      <c r="D3559">
        <v>196</v>
      </c>
      <c r="E3559" s="51">
        <f>IF(INDEX(DarlBelegt,8)=0,0,EOMONTH(INDEX(DarlAuszahlung,8),195)+1)</f>
      </c>
      <c r="F3559" s="43">
        <f>IF($E3559=0,0,YEAR($E3559))</f>
      </c>
      <c r="G3559" s="43">
        <f>IF(INDEX(DarlBindung,8)="",1,IF($E3559&lt;=INDEX(DarlBindung,8),1,0))</f>
      </c>
      <c r="H3559" s="43">
        <f>IF($G3559=1,INDEX(DarlSollzins,8),INDEX(DarlAnschluss,8))</f>
      </c>
      <c r="I3559" s="43">
        <f>IF(INDEX(DarlBelegt,8)=0,0,IF(INDEX(DarlOhneTilgung,8)=1,IF(INDEX(DarlBindung,8)="",1,$G3559),IF($J3559&gt;0.005,1,0)))</f>
      </c>
      <c r="J3559" s="43">
        <f>IF($I3558=0,0,$R3558)</f>
      </c>
      <c r="K3559" s="43">
        <f>IF($I3559=0,0,IF(INDEX(DarlOhneTilgung,8)=1,0,IF(AND(INDEX(DarlTilgStart,8)&gt;0,$E3559=INDEX(DarlTilgStart,8)),$J3559*($H3559+INDEX(DarlTilgung,8))/100/12,IF(AND($G3559=0,$G3558=1),MAX($K3558,$J3559*($H3559+1)/100/12),$K3558))))</f>
      </c>
      <c r="L3559" s="43">
        <f>IF($I3559=0,0,$J3559*$H3559/100/12)</f>
      </c>
      <c r="M3559" s="43">
        <f>IF($I3559=0,0,IF(OR(INDEX(DarlOhneTilgung,8)=1,AND(INDEX(DarlTilgStart,8)&gt;0,$E3559&lt;INDEX(DarlTilgStart,8))),0,MIN(MAX(0,$K3559-$L3559),$J3559)))</f>
      </c>
      <c r="N3559" s="43">
        <f>IF($I3559=0,0,MIN(SUMIFS(SondBetrag,SondDarl,8,SondDatum,"&gt;="&amp;$E3559,SondDatum,"&lt;="&amp;EOMONTH($E3559,0)),$J3559-$M3559))</f>
      </c>
      <c r="O3559" s="43">
        <f>IF($I3559=0,0,INDEX(DarlErsatzRate,8))</f>
      </c>
      <c r="P3559" s="43">
        <f>IF($I3559=0,0,$Q3558*INDEX(DarlErsatzZins,8))</f>
      </c>
      <c r="Q3559" s="43">
        <f>IF($I3559=0,0,$Q3558+$P3559+$O3559)</f>
      </c>
      <c r="R3559" s="43">
        <f>IF($I3559=0,0,$J3559-$M3559-$N3559)</f>
      </c>
    </row>
    <row r="3560">
      <c r="A3560"/>
      <c r="B3560">
        <v>8</v>
      </c>
      <c r="C3560" s="43">
        <f>INDEX(DarlObj,8)</f>
      </c>
      <c r="D3560">
        <v>197</v>
      </c>
      <c r="E3560" s="51">
        <f>IF(INDEX(DarlBelegt,8)=0,0,EOMONTH(INDEX(DarlAuszahlung,8),196)+1)</f>
      </c>
      <c r="F3560" s="43">
        <f>IF($E3560=0,0,YEAR($E3560))</f>
      </c>
      <c r="G3560" s="43">
        <f>IF(INDEX(DarlBindung,8)="",1,IF($E3560&lt;=INDEX(DarlBindung,8),1,0))</f>
      </c>
      <c r="H3560" s="43">
        <f>IF($G3560=1,INDEX(DarlSollzins,8),INDEX(DarlAnschluss,8))</f>
      </c>
      <c r="I3560" s="43">
        <f>IF(INDEX(DarlBelegt,8)=0,0,IF(INDEX(DarlOhneTilgung,8)=1,IF(INDEX(DarlBindung,8)="",1,$G3560),IF($J3560&gt;0.005,1,0)))</f>
      </c>
      <c r="J3560" s="43">
        <f>IF($I3559=0,0,$R3559)</f>
      </c>
      <c r="K3560" s="43">
        <f>IF($I3560=0,0,IF(INDEX(DarlOhneTilgung,8)=1,0,IF(AND(INDEX(DarlTilgStart,8)&gt;0,$E3560=INDEX(DarlTilgStart,8)),$J3560*($H3560+INDEX(DarlTilgung,8))/100/12,IF(AND($G3560=0,$G3559=1),MAX($K3559,$J3560*($H3560+1)/100/12),$K3559))))</f>
      </c>
      <c r="L3560" s="43">
        <f>IF($I3560=0,0,$J3560*$H3560/100/12)</f>
      </c>
      <c r="M3560" s="43">
        <f>IF($I3560=0,0,IF(OR(INDEX(DarlOhneTilgung,8)=1,AND(INDEX(DarlTilgStart,8)&gt;0,$E3560&lt;INDEX(DarlTilgStart,8))),0,MIN(MAX(0,$K3560-$L3560),$J3560)))</f>
      </c>
      <c r="N3560" s="43">
        <f>IF($I3560=0,0,MIN(SUMIFS(SondBetrag,SondDarl,8,SondDatum,"&gt;="&amp;$E3560,SondDatum,"&lt;="&amp;EOMONTH($E3560,0)),$J3560-$M3560))</f>
      </c>
      <c r="O3560" s="43">
        <f>IF($I3560=0,0,INDEX(DarlErsatzRate,8))</f>
      </c>
      <c r="P3560" s="43">
        <f>IF($I3560=0,0,$Q3559*INDEX(DarlErsatzZins,8))</f>
      </c>
      <c r="Q3560" s="43">
        <f>IF($I3560=0,0,$Q3559+$P3560+$O3560)</f>
      </c>
      <c r="R3560" s="43">
        <f>IF($I3560=0,0,$J3560-$M3560-$N3560)</f>
      </c>
    </row>
    <row r="3561">
      <c r="A3561"/>
      <c r="B3561">
        <v>8</v>
      </c>
      <c r="C3561" s="43">
        <f>INDEX(DarlObj,8)</f>
      </c>
      <c r="D3561">
        <v>198</v>
      </c>
      <c r="E3561" s="51">
        <f>IF(INDEX(DarlBelegt,8)=0,0,EOMONTH(INDEX(DarlAuszahlung,8),197)+1)</f>
      </c>
      <c r="F3561" s="43">
        <f>IF($E3561=0,0,YEAR($E3561))</f>
      </c>
      <c r="G3561" s="43">
        <f>IF(INDEX(DarlBindung,8)="",1,IF($E3561&lt;=INDEX(DarlBindung,8),1,0))</f>
      </c>
      <c r="H3561" s="43">
        <f>IF($G3561=1,INDEX(DarlSollzins,8),INDEX(DarlAnschluss,8))</f>
      </c>
      <c r="I3561" s="43">
        <f>IF(INDEX(DarlBelegt,8)=0,0,IF(INDEX(DarlOhneTilgung,8)=1,IF(INDEX(DarlBindung,8)="",1,$G3561),IF($J3561&gt;0.005,1,0)))</f>
      </c>
      <c r="J3561" s="43">
        <f>IF($I3560=0,0,$R3560)</f>
      </c>
      <c r="K3561" s="43">
        <f>IF($I3561=0,0,IF(INDEX(DarlOhneTilgung,8)=1,0,IF(AND(INDEX(DarlTilgStart,8)&gt;0,$E3561=INDEX(DarlTilgStart,8)),$J3561*($H3561+INDEX(DarlTilgung,8))/100/12,IF(AND($G3561=0,$G3560=1),MAX($K3560,$J3561*($H3561+1)/100/12),$K3560))))</f>
      </c>
      <c r="L3561" s="43">
        <f>IF($I3561=0,0,$J3561*$H3561/100/12)</f>
      </c>
      <c r="M3561" s="43">
        <f>IF($I3561=0,0,IF(OR(INDEX(DarlOhneTilgung,8)=1,AND(INDEX(DarlTilgStart,8)&gt;0,$E3561&lt;INDEX(DarlTilgStart,8))),0,MIN(MAX(0,$K3561-$L3561),$J3561)))</f>
      </c>
      <c r="N3561" s="43">
        <f>IF($I3561=0,0,MIN(SUMIFS(SondBetrag,SondDarl,8,SondDatum,"&gt;="&amp;$E3561,SondDatum,"&lt;="&amp;EOMONTH($E3561,0)),$J3561-$M3561))</f>
      </c>
      <c r="O3561" s="43">
        <f>IF($I3561=0,0,INDEX(DarlErsatzRate,8))</f>
      </c>
      <c r="P3561" s="43">
        <f>IF($I3561=0,0,$Q3560*INDEX(DarlErsatzZins,8))</f>
      </c>
      <c r="Q3561" s="43">
        <f>IF($I3561=0,0,$Q3560+$P3561+$O3561)</f>
      </c>
      <c r="R3561" s="43">
        <f>IF($I3561=0,0,$J3561-$M3561-$N3561)</f>
      </c>
    </row>
    <row r="3562">
      <c r="A3562"/>
      <c r="B3562">
        <v>8</v>
      </c>
      <c r="C3562" s="43">
        <f>INDEX(DarlObj,8)</f>
      </c>
      <c r="D3562">
        <v>199</v>
      </c>
      <c r="E3562" s="51">
        <f>IF(INDEX(DarlBelegt,8)=0,0,EOMONTH(INDEX(DarlAuszahlung,8),198)+1)</f>
      </c>
      <c r="F3562" s="43">
        <f>IF($E3562=0,0,YEAR($E3562))</f>
      </c>
      <c r="G3562" s="43">
        <f>IF(INDEX(DarlBindung,8)="",1,IF($E3562&lt;=INDEX(DarlBindung,8),1,0))</f>
      </c>
      <c r="H3562" s="43">
        <f>IF($G3562=1,INDEX(DarlSollzins,8),INDEX(DarlAnschluss,8))</f>
      </c>
      <c r="I3562" s="43">
        <f>IF(INDEX(DarlBelegt,8)=0,0,IF(INDEX(DarlOhneTilgung,8)=1,IF(INDEX(DarlBindung,8)="",1,$G3562),IF($J3562&gt;0.005,1,0)))</f>
      </c>
      <c r="J3562" s="43">
        <f>IF($I3561=0,0,$R3561)</f>
      </c>
      <c r="K3562" s="43">
        <f>IF($I3562=0,0,IF(INDEX(DarlOhneTilgung,8)=1,0,IF(AND(INDEX(DarlTilgStart,8)&gt;0,$E3562=INDEX(DarlTilgStart,8)),$J3562*($H3562+INDEX(DarlTilgung,8))/100/12,IF(AND($G3562=0,$G3561=1),MAX($K3561,$J3562*($H3562+1)/100/12),$K3561))))</f>
      </c>
      <c r="L3562" s="43">
        <f>IF($I3562=0,0,$J3562*$H3562/100/12)</f>
      </c>
      <c r="M3562" s="43">
        <f>IF($I3562=0,0,IF(OR(INDEX(DarlOhneTilgung,8)=1,AND(INDEX(DarlTilgStart,8)&gt;0,$E3562&lt;INDEX(DarlTilgStart,8))),0,MIN(MAX(0,$K3562-$L3562),$J3562)))</f>
      </c>
      <c r="N3562" s="43">
        <f>IF($I3562=0,0,MIN(SUMIFS(SondBetrag,SondDarl,8,SondDatum,"&gt;="&amp;$E3562,SondDatum,"&lt;="&amp;EOMONTH($E3562,0)),$J3562-$M3562))</f>
      </c>
      <c r="O3562" s="43">
        <f>IF($I3562=0,0,INDEX(DarlErsatzRate,8))</f>
      </c>
      <c r="P3562" s="43">
        <f>IF($I3562=0,0,$Q3561*INDEX(DarlErsatzZins,8))</f>
      </c>
      <c r="Q3562" s="43">
        <f>IF($I3562=0,0,$Q3561+$P3562+$O3562)</f>
      </c>
      <c r="R3562" s="43">
        <f>IF($I3562=0,0,$J3562-$M3562-$N3562)</f>
      </c>
    </row>
    <row r="3563">
      <c r="A3563"/>
      <c r="B3563">
        <v>8</v>
      </c>
      <c r="C3563" s="43">
        <f>INDEX(DarlObj,8)</f>
      </c>
      <c r="D3563">
        <v>200</v>
      </c>
      <c r="E3563" s="51">
        <f>IF(INDEX(DarlBelegt,8)=0,0,EOMONTH(INDEX(DarlAuszahlung,8),199)+1)</f>
      </c>
      <c r="F3563" s="43">
        <f>IF($E3563=0,0,YEAR($E3563))</f>
      </c>
      <c r="G3563" s="43">
        <f>IF(INDEX(DarlBindung,8)="",1,IF($E3563&lt;=INDEX(DarlBindung,8),1,0))</f>
      </c>
      <c r="H3563" s="43">
        <f>IF($G3563=1,INDEX(DarlSollzins,8),INDEX(DarlAnschluss,8))</f>
      </c>
      <c r="I3563" s="43">
        <f>IF(INDEX(DarlBelegt,8)=0,0,IF(INDEX(DarlOhneTilgung,8)=1,IF(INDEX(DarlBindung,8)="",1,$G3563),IF($J3563&gt;0.005,1,0)))</f>
      </c>
      <c r="J3563" s="43">
        <f>IF($I3562=0,0,$R3562)</f>
      </c>
      <c r="K3563" s="43">
        <f>IF($I3563=0,0,IF(INDEX(DarlOhneTilgung,8)=1,0,IF(AND(INDEX(DarlTilgStart,8)&gt;0,$E3563=INDEX(DarlTilgStart,8)),$J3563*($H3563+INDEX(DarlTilgung,8))/100/12,IF(AND($G3563=0,$G3562=1),MAX($K3562,$J3563*($H3563+1)/100/12),$K3562))))</f>
      </c>
      <c r="L3563" s="43">
        <f>IF($I3563=0,0,$J3563*$H3563/100/12)</f>
      </c>
      <c r="M3563" s="43">
        <f>IF($I3563=0,0,IF(OR(INDEX(DarlOhneTilgung,8)=1,AND(INDEX(DarlTilgStart,8)&gt;0,$E3563&lt;INDEX(DarlTilgStart,8))),0,MIN(MAX(0,$K3563-$L3563),$J3563)))</f>
      </c>
      <c r="N3563" s="43">
        <f>IF($I3563=0,0,MIN(SUMIFS(SondBetrag,SondDarl,8,SondDatum,"&gt;="&amp;$E3563,SondDatum,"&lt;="&amp;EOMONTH($E3563,0)),$J3563-$M3563))</f>
      </c>
      <c r="O3563" s="43">
        <f>IF($I3563=0,0,INDEX(DarlErsatzRate,8))</f>
      </c>
      <c r="P3563" s="43">
        <f>IF($I3563=0,0,$Q3562*INDEX(DarlErsatzZins,8))</f>
      </c>
      <c r="Q3563" s="43">
        <f>IF($I3563=0,0,$Q3562+$P3563+$O3563)</f>
      </c>
      <c r="R3563" s="43">
        <f>IF($I3563=0,0,$J3563-$M3563-$N3563)</f>
      </c>
    </row>
    <row r="3564">
      <c r="A3564"/>
      <c r="B3564">
        <v>8</v>
      </c>
      <c r="C3564" s="43">
        <f>INDEX(DarlObj,8)</f>
      </c>
      <c r="D3564">
        <v>201</v>
      </c>
      <c r="E3564" s="51">
        <f>IF(INDEX(DarlBelegt,8)=0,0,EOMONTH(INDEX(DarlAuszahlung,8),200)+1)</f>
      </c>
      <c r="F3564" s="43">
        <f>IF($E3564=0,0,YEAR($E3564))</f>
      </c>
      <c r="G3564" s="43">
        <f>IF(INDEX(DarlBindung,8)="",1,IF($E3564&lt;=INDEX(DarlBindung,8),1,0))</f>
      </c>
      <c r="H3564" s="43">
        <f>IF($G3564=1,INDEX(DarlSollzins,8),INDEX(DarlAnschluss,8))</f>
      </c>
      <c r="I3564" s="43">
        <f>IF(INDEX(DarlBelegt,8)=0,0,IF(INDEX(DarlOhneTilgung,8)=1,IF(INDEX(DarlBindung,8)="",1,$G3564),IF($J3564&gt;0.005,1,0)))</f>
      </c>
      <c r="J3564" s="43">
        <f>IF($I3563=0,0,$R3563)</f>
      </c>
      <c r="K3564" s="43">
        <f>IF($I3564=0,0,IF(INDEX(DarlOhneTilgung,8)=1,0,IF(AND(INDEX(DarlTilgStart,8)&gt;0,$E3564=INDEX(DarlTilgStart,8)),$J3564*($H3564+INDEX(DarlTilgung,8))/100/12,IF(AND($G3564=0,$G3563=1),MAX($K3563,$J3564*($H3564+1)/100/12),$K3563))))</f>
      </c>
      <c r="L3564" s="43">
        <f>IF($I3564=0,0,$J3564*$H3564/100/12)</f>
      </c>
      <c r="M3564" s="43">
        <f>IF($I3564=0,0,IF(OR(INDEX(DarlOhneTilgung,8)=1,AND(INDEX(DarlTilgStart,8)&gt;0,$E3564&lt;INDEX(DarlTilgStart,8))),0,MIN(MAX(0,$K3564-$L3564),$J3564)))</f>
      </c>
      <c r="N3564" s="43">
        <f>IF($I3564=0,0,MIN(SUMIFS(SondBetrag,SondDarl,8,SondDatum,"&gt;="&amp;$E3564,SondDatum,"&lt;="&amp;EOMONTH($E3564,0)),$J3564-$M3564))</f>
      </c>
      <c r="O3564" s="43">
        <f>IF($I3564=0,0,INDEX(DarlErsatzRate,8))</f>
      </c>
      <c r="P3564" s="43">
        <f>IF($I3564=0,0,$Q3563*INDEX(DarlErsatzZins,8))</f>
      </c>
      <c r="Q3564" s="43">
        <f>IF($I3564=0,0,$Q3563+$P3564+$O3564)</f>
      </c>
      <c r="R3564" s="43">
        <f>IF($I3564=0,0,$J3564-$M3564-$N3564)</f>
      </c>
    </row>
    <row r="3565">
      <c r="A3565"/>
      <c r="B3565">
        <v>8</v>
      </c>
      <c r="C3565" s="43">
        <f>INDEX(DarlObj,8)</f>
      </c>
      <c r="D3565">
        <v>202</v>
      </c>
      <c r="E3565" s="51">
        <f>IF(INDEX(DarlBelegt,8)=0,0,EOMONTH(INDEX(DarlAuszahlung,8),201)+1)</f>
      </c>
      <c r="F3565" s="43">
        <f>IF($E3565=0,0,YEAR($E3565))</f>
      </c>
      <c r="G3565" s="43">
        <f>IF(INDEX(DarlBindung,8)="",1,IF($E3565&lt;=INDEX(DarlBindung,8),1,0))</f>
      </c>
      <c r="H3565" s="43">
        <f>IF($G3565=1,INDEX(DarlSollzins,8),INDEX(DarlAnschluss,8))</f>
      </c>
      <c r="I3565" s="43">
        <f>IF(INDEX(DarlBelegt,8)=0,0,IF(INDEX(DarlOhneTilgung,8)=1,IF(INDEX(DarlBindung,8)="",1,$G3565),IF($J3565&gt;0.005,1,0)))</f>
      </c>
      <c r="J3565" s="43">
        <f>IF($I3564=0,0,$R3564)</f>
      </c>
      <c r="K3565" s="43">
        <f>IF($I3565=0,0,IF(INDEX(DarlOhneTilgung,8)=1,0,IF(AND(INDEX(DarlTilgStart,8)&gt;0,$E3565=INDEX(DarlTilgStart,8)),$J3565*($H3565+INDEX(DarlTilgung,8))/100/12,IF(AND($G3565=0,$G3564=1),MAX($K3564,$J3565*($H3565+1)/100/12),$K3564))))</f>
      </c>
      <c r="L3565" s="43">
        <f>IF($I3565=0,0,$J3565*$H3565/100/12)</f>
      </c>
      <c r="M3565" s="43">
        <f>IF($I3565=0,0,IF(OR(INDEX(DarlOhneTilgung,8)=1,AND(INDEX(DarlTilgStart,8)&gt;0,$E3565&lt;INDEX(DarlTilgStart,8))),0,MIN(MAX(0,$K3565-$L3565),$J3565)))</f>
      </c>
      <c r="N3565" s="43">
        <f>IF($I3565=0,0,MIN(SUMIFS(SondBetrag,SondDarl,8,SondDatum,"&gt;="&amp;$E3565,SondDatum,"&lt;="&amp;EOMONTH($E3565,0)),$J3565-$M3565))</f>
      </c>
      <c r="O3565" s="43">
        <f>IF($I3565=0,0,INDEX(DarlErsatzRate,8))</f>
      </c>
      <c r="P3565" s="43">
        <f>IF($I3565=0,0,$Q3564*INDEX(DarlErsatzZins,8))</f>
      </c>
      <c r="Q3565" s="43">
        <f>IF($I3565=0,0,$Q3564+$P3565+$O3565)</f>
      </c>
      <c r="R3565" s="43">
        <f>IF($I3565=0,0,$J3565-$M3565-$N3565)</f>
      </c>
    </row>
    <row r="3566">
      <c r="A3566"/>
      <c r="B3566">
        <v>8</v>
      </c>
      <c r="C3566" s="43">
        <f>INDEX(DarlObj,8)</f>
      </c>
      <c r="D3566">
        <v>203</v>
      </c>
      <c r="E3566" s="51">
        <f>IF(INDEX(DarlBelegt,8)=0,0,EOMONTH(INDEX(DarlAuszahlung,8),202)+1)</f>
      </c>
      <c r="F3566" s="43">
        <f>IF($E3566=0,0,YEAR($E3566))</f>
      </c>
      <c r="G3566" s="43">
        <f>IF(INDEX(DarlBindung,8)="",1,IF($E3566&lt;=INDEX(DarlBindung,8),1,0))</f>
      </c>
      <c r="H3566" s="43">
        <f>IF($G3566=1,INDEX(DarlSollzins,8),INDEX(DarlAnschluss,8))</f>
      </c>
      <c r="I3566" s="43">
        <f>IF(INDEX(DarlBelegt,8)=0,0,IF(INDEX(DarlOhneTilgung,8)=1,IF(INDEX(DarlBindung,8)="",1,$G3566),IF($J3566&gt;0.005,1,0)))</f>
      </c>
      <c r="J3566" s="43">
        <f>IF($I3565=0,0,$R3565)</f>
      </c>
      <c r="K3566" s="43">
        <f>IF($I3566=0,0,IF(INDEX(DarlOhneTilgung,8)=1,0,IF(AND(INDEX(DarlTilgStart,8)&gt;0,$E3566=INDEX(DarlTilgStart,8)),$J3566*($H3566+INDEX(DarlTilgung,8))/100/12,IF(AND($G3566=0,$G3565=1),MAX($K3565,$J3566*($H3566+1)/100/12),$K3565))))</f>
      </c>
      <c r="L3566" s="43">
        <f>IF($I3566=0,0,$J3566*$H3566/100/12)</f>
      </c>
      <c r="M3566" s="43">
        <f>IF($I3566=0,0,IF(OR(INDEX(DarlOhneTilgung,8)=1,AND(INDEX(DarlTilgStart,8)&gt;0,$E3566&lt;INDEX(DarlTilgStart,8))),0,MIN(MAX(0,$K3566-$L3566),$J3566)))</f>
      </c>
      <c r="N3566" s="43">
        <f>IF($I3566=0,0,MIN(SUMIFS(SondBetrag,SondDarl,8,SondDatum,"&gt;="&amp;$E3566,SondDatum,"&lt;="&amp;EOMONTH($E3566,0)),$J3566-$M3566))</f>
      </c>
      <c r="O3566" s="43">
        <f>IF($I3566=0,0,INDEX(DarlErsatzRate,8))</f>
      </c>
      <c r="P3566" s="43">
        <f>IF($I3566=0,0,$Q3565*INDEX(DarlErsatzZins,8))</f>
      </c>
      <c r="Q3566" s="43">
        <f>IF($I3566=0,0,$Q3565+$P3566+$O3566)</f>
      </c>
      <c r="R3566" s="43">
        <f>IF($I3566=0,0,$J3566-$M3566-$N3566)</f>
      </c>
    </row>
    <row r="3567">
      <c r="A3567"/>
      <c r="B3567">
        <v>8</v>
      </c>
      <c r="C3567" s="43">
        <f>INDEX(DarlObj,8)</f>
      </c>
      <c r="D3567">
        <v>204</v>
      </c>
      <c r="E3567" s="51">
        <f>IF(INDEX(DarlBelegt,8)=0,0,EOMONTH(INDEX(DarlAuszahlung,8),203)+1)</f>
      </c>
      <c r="F3567" s="43">
        <f>IF($E3567=0,0,YEAR($E3567))</f>
      </c>
      <c r="G3567" s="43">
        <f>IF(INDEX(DarlBindung,8)="",1,IF($E3567&lt;=INDEX(DarlBindung,8),1,0))</f>
      </c>
      <c r="H3567" s="43">
        <f>IF($G3567=1,INDEX(DarlSollzins,8),INDEX(DarlAnschluss,8))</f>
      </c>
      <c r="I3567" s="43">
        <f>IF(INDEX(DarlBelegt,8)=0,0,IF(INDEX(DarlOhneTilgung,8)=1,IF(INDEX(DarlBindung,8)="",1,$G3567),IF($J3567&gt;0.005,1,0)))</f>
      </c>
      <c r="J3567" s="43">
        <f>IF($I3566=0,0,$R3566)</f>
      </c>
      <c r="K3567" s="43">
        <f>IF($I3567=0,0,IF(INDEX(DarlOhneTilgung,8)=1,0,IF(AND(INDEX(DarlTilgStart,8)&gt;0,$E3567=INDEX(DarlTilgStart,8)),$J3567*($H3567+INDEX(DarlTilgung,8))/100/12,IF(AND($G3567=0,$G3566=1),MAX($K3566,$J3567*($H3567+1)/100/12),$K3566))))</f>
      </c>
      <c r="L3567" s="43">
        <f>IF($I3567=0,0,$J3567*$H3567/100/12)</f>
      </c>
      <c r="M3567" s="43">
        <f>IF($I3567=0,0,IF(OR(INDEX(DarlOhneTilgung,8)=1,AND(INDEX(DarlTilgStart,8)&gt;0,$E3567&lt;INDEX(DarlTilgStart,8))),0,MIN(MAX(0,$K3567-$L3567),$J3567)))</f>
      </c>
      <c r="N3567" s="43">
        <f>IF($I3567=0,0,MIN(SUMIFS(SondBetrag,SondDarl,8,SondDatum,"&gt;="&amp;$E3567,SondDatum,"&lt;="&amp;EOMONTH($E3567,0)),$J3567-$M3567))</f>
      </c>
      <c r="O3567" s="43">
        <f>IF($I3567=0,0,INDEX(DarlErsatzRate,8))</f>
      </c>
      <c r="P3567" s="43">
        <f>IF($I3567=0,0,$Q3566*INDEX(DarlErsatzZins,8))</f>
      </c>
      <c r="Q3567" s="43">
        <f>IF($I3567=0,0,$Q3566+$P3567+$O3567)</f>
      </c>
      <c r="R3567" s="43">
        <f>IF($I3567=0,0,$J3567-$M3567-$N3567)</f>
      </c>
    </row>
    <row r="3568">
      <c r="A3568"/>
      <c r="B3568">
        <v>8</v>
      </c>
      <c r="C3568" s="43">
        <f>INDEX(DarlObj,8)</f>
      </c>
      <c r="D3568">
        <v>205</v>
      </c>
      <c r="E3568" s="51">
        <f>IF(INDEX(DarlBelegt,8)=0,0,EOMONTH(INDEX(DarlAuszahlung,8),204)+1)</f>
      </c>
      <c r="F3568" s="43">
        <f>IF($E3568=0,0,YEAR($E3568))</f>
      </c>
      <c r="G3568" s="43">
        <f>IF(INDEX(DarlBindung,8)="",1,IF($E3568&lt;=INDEX(DarlBindung,8),1,0))</f>
      </c>
      <c r="H3568" s="43">
        <f>IF($G3568=1,INDEX(DarlSollzins,8),INDEX(DarlAnschluss,8))</f>
      </c>
      <c r="I3568" s="43">
        <f>IF(INDEX(DarlBelegt,8)=0,0,IF(INDEX(DarlOhneTilgung,8)=1,IF(INDEX(DarlBindung,8)="",1,$G3568),IF($J3568&gt;0.005,1,0)))</f>
      </c>
      <c r="J3568" s="43">
        <f>IF($I3567=0,0,$R3567)</f>
      </c>
      <c r="K3568" s="43">
        <f>IF($I3568=0,0,IF(INDEX(DarlOhneTilgung,8)=1,0,IF(AND(INDEX(DarlTilgStart,8)&gt;0,$E3568=INDEX(DarlTilgStart,8)),$J3568*($H3568+INDEX(DarlTilgung,8))/100/12,IF(AND($G3568=0,$G3567=1),MAX($K3567,$J3568*($H3568+1)/100/12),$K3567))))</f>
      </c>
      <c r="L3568" s="43">
        <f>IF($I3568=0,0,$J3568*$H3568/100/12)</f>
      </c>
      <c r="M3568" s="43">
        <f>IF($I3568=0,0,IF(OR(INDEX(DarlOhneTilgung,8)=1,AND(INDEX(DarlTilgStart,8)&gt;0,$E3568&lt;INDEX(DarlTilgStart,8))),0,MIN(MAX(0,$K3568-$L3568),$J3568)))</f>
      </c>
      <c r="N3568" s="43">
        <f>IF($I3568=0,0,MIN(SUMIFS(SondBetrag,SondDarl,8,SondDatum,"&gt;="&amp;$E3568,SondDatum,"&lt;="&amp;EOMONTH($E3568,0)),$J3568-$M3568))</f>
      </c>
      <c r="O3568" s="43">
        <f>IF($I3568=0,0,INDEX(DarlErsatzRate,8))</f>
      </c>
      <c r="P3568" s="43">
        <f>IF($I3568=0,0,$Q3567*INDEX(DarlErsatzZins,8))</f>
      </c>
      <c r="Q3568" s="43">
        <f>IF($I3568=0,0,$Q3567+$P3568+$O3568)</f>
      </c>
      <c r="R3568" s="43">
        <f>IF($I3568=0,0,$J3568-$M3568-$N3568)</f>
      </c>
    </row>
    <row r="3569">
      <c r="A3569"/>
      <c r="B3569">
        <v>8</v>
      </c>
      <c r="C3569" s="43">
        <f>INDEX(DarlObj,8)</f>
      </c>
      <c r="D3569">
        <v>206</v>
      </c>
      <c r="E3569" s="51">
        <f>IF(INDEX(DarlBelegt,8)=0,0,EOMONTH(INDEX(DarlAuszahlung,8),205)+1)</f>
      </c>
      <c r="F3569" s="43">
        <f>IF($E3569=0,0,YEAR($E3569))</f>
      </c>
      <c r="G3569" s="43">
        <f>IF(INDEX(DarlBindung,8)="",1,IF($E3569&lt;=INDEX(DarlBindung,8),1,0))</f>
      </c>
      <c r="H3569" s="43">
        <f>IF($G3569=1,INDEX(DarlSollzins,8),INDEX(DarlAnschluss,8))</f>
      </c>
      <c r="I3569" s="43">
        <f>IF(INDEX(DarlBelegt,8)=0,0,IF(INDEX(DarlOhneTilgung,8)=1,IF(INDEX(DarlBindung,8)="",1,$G3569),IF($J3569&gt;0.005,1,0)))</f>
      </c>
      <c r="J3569" s="43">
        <f>IF($I3568=0,0,$R3568)</f>
      </c>
      <c r="K3569" s="43">
        <f>IF($I3569=0,0,IF(INDEX(DarlOhneTilgung,8)=1,0,IF(AND(INDEX(DarlTilgStart,8)&gt;0,$E3569=INDEX(DarlTilgStart,8)),$J3569*($H3569+INDEX(DarlTilgung,8))/100/12,IF(AND($G3569=0,$G3568=1),MAX($K3568,$J3569*($H3569+1)/100/12),$K3568))))</f>
      </c>
      <c r="L3569" s="43">
        <f>IF($I3569=0,0,$J3569*$H3569/100/12)</f>
      </c>
      <c r="M3569" s="43">
        <f>IF($I3569=0,0,IF(OR(INDEX(DarlOhneTilgung,8)=1,AND(INDEX(DarlTilgStart,8)&gt;0,$E3569&lt;INDEX(DarlTilgStart,8))),0,MIN(MAX(0,$K3569-$L3569),$J3569)))</f>
      </c>
      <c r="N3569" s="43">
        <f>IF($I3569=0,0,MIN(SUMIFS(SondBetrag,SondDarl,8,SondDatum,"&gt;="&amp;$E3569,SondDatum,"&lt;="&amp;EOMONTH($E3569,0)),$J3569-$M3569))</f>
      </c>
      <c r="O3569" s="43">
        <f>IF($I3569=0,0,INDEX(DarlErsatzRate,8))</f>
      </c>
      <c r="P3569" s="43">
        <f>IF($I3569=0,0,$Q3568*INDEX(DarlErsatzZins,8))</f>
      </c>
      <c r="Q3569" s="43">
        <f>IF($I3569=0,0,$Q3568+$P3569+$O3569)</f>
      </c>
      <c r="R3569" s="43">
        <f>IF($I3569=0,0,$J3569-$M3569-$N3569)</f>
      </c>
    </row>
    <row r="3570">
      <c r="A3570"/>
      <c r="B3570">
        <v>8</v>
      </c>
      <c r="C3570" s="43">
        <f>INDEX(DarlObj,8)</f>
      </c>
      <c r="D3570">
        <v>207</v>
      </c>
      <c r="E3570" s="51">
        <f>IF(INDEX(DarlBelegt,8)=0,0,EOMONTH(INDEX(DarlAuszahlung,8),206)+1)</f>
      </c>
      <c r="F3570" s="43">
        <f>IF($E3570=0,0,YEAR($E3570))</f>
      </c>
      <c r="G3570" s="43">
        <f>IF(INDEX(DarlBindung,8)="",1,IF($E3570&lt;=INDEX(DarlBindung,8),1,0))</f>
      </c>
      <c r="H3570" s="43">
        <f>IF($G3570=1,INDEX(DarlSollzins,8),INDEX(DarlAnschluss,8))</f>
      </c>
      <c r="I3570" s="43">
        <f>IF(INDEX(DarlBelegt,8)=0,0,IF(INDEX(DarlOhneTilgung,8)=1,IF(INDEX(DarlBindung,8)="",1,$G3570),IF($J3570&gt;0.005,1,0)))</f>
      </c>
      <c r="J3570" s="43">
        <f>IF($I3569=0,0,$R3569)</f>
      </c>
      <c r="K3570" s="43">
        <f>IF($I3570=0,0,IF(INDEX(DarlOhneTilgung,8)=1,0,IF(AND(INDEX(DarlTilgStart,8)&gt;0,$E3570=INDEX(DarlTilgStart,8)),$J3570*($H3570+INDEX(DarlTilgung,8))/100/12,IF(AND($G3570=0,$G3569=1),MAX($K3569,$J3570*($H3570+1)/100/12),$K3569))))</f>
      </c>
      <c r="L3570" s="43">
        <f>IF($I3570=0,0,$J3570*$H3570/100/12)</f>
      </c>
      <c r="M3570" s="43">
        <f>IF($I3570=0,0,IF(OR(INDEX(DarlOhneTilgung,8)=1,AND(INDEX(DarlTilgStart,8)&gt;0,$E3570&lt;INDEX(DarlTilgStart,8))),0,MIN(MAX(0,$K3570-$L3570),$J3570)))</f>
      </c>
      <c r="N3570" s="43">
        <f>IF($I3570=0,0,MIN(SUMIFS(SondBetrag,SondDarl,8,SondDatum,"&gt;="&amp;$E3570,SondDatum,"&lt;="&amp;EOMONTH($E3570,0)),$J3570-$M3570))</f>
      </c>
      <c r="O3570" s="43">
        <f>IF($I3570=0,0,INDEX(DarlErsatzRate,8))</f>
      </c>
      <c r="P3570" s="43">
        <f>IF($I3570=0,0,$Q3569*INDEX(DarlErsatzZins,8))</f>
      </c>
      <c r="Q3570" s="43">
        <f>IF($I3570=0,0,$Q3569+$P3570+$O3570)</f>
      </c>
      <c r="R3570" s="43">
        <f>IF($I3570=0,0,$J3570-$M3570-$N3570)</f>
      </c>
    </row>
    <row r="3571">
      <c r="A3571"/>
      <c r="B3571">
        <v>8</v>
      </c>
      <c r="C3571" s="43">
        <f>INDEX(DarlObj,8)</f>
      </c>
      <c r="D3571">
        <v>208</v>
      </c>
      <c r="E3571" s="51">
        <f>IF(INDEX(DarlBelegt,8)=0,0,EOMONTH(INDEX(DarlAuszahlung,8),207)+1)</f>
      </c>
      <c r="F3571" s="43">
        <f>IF($E3571=0,0,YEAR($E3571))</f>
      </c>
      <c r="G3571" s="43">
        <f>IF(INDEX(DarlBindung,8)="",1,IF($E3571&lt;=INDEX(DarlBindung,8),1,0))</f>
      </c>
      <c r="H3571" s="43">
        <f>IF($G3571=1,INDEX(DarlSollzins,8),INDEX(DarlAnschluss,8))</f>
      </c>
      <c r="I3571" s="43">
        <f>IF(INDEX(DarlBelegt,8)=0,0,IF(INDEX(DarlOhneTilgung,8)=1,IF(INDEX(DarlBindung,8)="",1,$G3571),IF($J3571&gt;0.005,1,0)))</f>
      </c>
      <c r="J3571" s="43">
        <f>IF($I3570=0,0,$R3570)</f>
      </c>
      <c r="K3571" s="43">
        <f>IF($I3571=0,0,IF(INDEX(DarlOhneTilgung,8)=1,0,IF(AND(INDEX(DarlTilgStart,8)&gt;0,$E3571=INDEX(DarlTilgStart,8)),$J3571*($H3571+INDEX(DarlTilgung,8))/100/12,IF(AND($G3571=0,$G3570=1),MAX($K3570,$J3571*($H3571+1)/100/12),$K3570))))</f>
      </c>
      <c r="L3571" s="43">
        <f>IF($I3571=0,0,$J3571*$H3571/100/12)</f>
      </c>
      <c r="M3571" s="43">
        <f>IF($I3571=0,0,IF(OR(INDEX(DarlOhneTilgung,8)=1,AND(INDEX(DarlTilgStart,8)&gt;0,$E3571&lt;INDEX(DarlTilgStart,8))),0,MIN(MAX(0,$K3571-$L3571),$J3571)))</f>
      </c>
      <c r="N3571" s="43">
        <f>IF($I3571=0,0,MIN(SUMIFS(SondBetrag,SondDarl,8,SondDatum,"&gt;="&amp;$E3571,SondDatum,"&lt;="&amp;EOMONTH($E3571,0)),$J3571-$M3571))</f>
      </c>
      <c r="O3571" s="43">
        <f>IF($I3571=0,0,INDEX(DarlErsatzRate,8))</f>
      </c>
      <c r="P3571" s="43">
        <f>IF($I3571=0,0,$Q3570*INDEX(DarlErsatzZins,8))</f>
      </c>
      <c r="Q3571" s="43">
        <f>IF($I3571=0,0,$Q3570+$P3571+$O3571)</f>
      </c>
      <c r="R3571" s="43">
        <f>IF($I3571=0,0,$J3571-$M3571-$N3571)</f>
      </c>
    </row>
    <row r="3572">
      <c r="A3572"/>
      <c r="B3572">
        <v>8</v>
      </c>
      <c r="C3572" s="43">
        <f>INDEX(DarlObj,8)</f>
      </c>
      <c r="D3572">
        <v>209</v>
      </c>
      <c r="E3572" s="51">
        <f>IF(INDEX(DarlBelegt,8)=0,0,EOMONTH(INDEX(DarlAuszahlung,8),208)+1)</f>
      </c>
      <c r="F3572" s="43">
        <f>IF($E3572=0,0,YEAR($E3572))</f>
      </c>
      <c r="G3572" s="43">
        <f>IF(INDEX(DarlBindung,8)="",1,IF($E3572&lt;=INDEX(DarlBindung,8),1,0))</f>
      </c>
      <c r="H3572" s="43">
        <f>IF($G3572=1,INDEX(DarlSollzins,8),INDEX(DarlAnschluss,8))</f>
      </c>
      <c r="I3572" s="43">
        <f>IF(INDEX(DarlBelegt,8)=0,0,IF(INDEX(DarlOhneTilgung,8)=1,IF(INDEX(DarlBindung,8)="",1,$G3572),IF($J3572&gt;0.005,1,0)))</f>
      </c>
      <c r="J3572" s="43">
        <f>IF($I3571=0,0,$R3571)</f>
      </c>
      <c r="K3572" s="43">
        <f>IF($I3572=0,0,IF(INDEX(DarlOhneTilgung,8)=1,0,IF(AND(INDEX(DarlTilgStart,8)&gt;0,$E3572=INDEX(DarlTilgStart,8)),$J3572*($H3572+INDEX(DarlTilgung,8))/100/12,IF(AND($G3572=0,$G3571=1),MAX($K3571,$J3572*($H3572+1)/100/12),$K3571))))</f>
      </c>
      <c r="L3572" s="43">
        <f>IF($I3572=0,0,$J3572*$H3572/100/12)</f>
      </c>
      <c r="M3572" s="43">
        <f>IF($I3572=0,0,IF(OR(INDEX(DarlOhneTilgung,8)=1,AND(INDEX(DarlTilgStart,8)&gt;0,$E3572&lt;INDEX(DarlTilgStart,8))),0,MIN(MAX(0,$K3572-$L3572),$J3572)))</f>
      </c>
      <c r="N3572" s="43">
        <f>IF($I3572=0,0,MIN(SUMIFS(SondBetrag,SondDarl,8,SondDatum,"&gt;="&amp;$E3572,SondDatum,"&lt;="&amp;EOMONTH($E3572,0)),$J3572-$M3572))</f>
      </c>
      <c r="O3572" s="43">
        <f>IF($I3572=0,0,INDEX(DarlErsatzRate,8))</f>
      </c>
      <c r="P3572" s="43">
        <f>IF($I3572=0,0,$Q3571*INDEX(DarlErsatzZins,8))</f>
      </c>
      <c r="Q3572" s="43">
        <f>IF($I3572=0,0,$Q3571+$P3572+$O3572)</f>
      </c>
      <c r="R3572" s="43">
        <f>IF($I3572=0,0,$J3572-$M3572-$N3572)</f>
      </c>
    </row>
    <row r="3573">
      <c r="A3573"/>
      <c r="B3573">
        <v>8</v>
      </c>
      <c r="C3573" s="43">
        <f>INDEX(DarlObj,8)</f>
      </c>
      <c r="D3573">
        <v>210</v>
      </c>
      <c r="E3573" s="51">
        <f>IF(INDEX(DarlBelegt,8)=0,0,EOMONTH(INDEX(DarlAuszahlung,8),209)+1)</f>
      </c>
      <c r="F3573" s="43">
        <f>IF($E3573=0,0,YEAR($E3573))</f>
      </c>
      <c r="G3573" s="43">
        <f>IF(INDEX(DarlBindung,8)="",1,IF($E3573&lt;=INDEX(DarlBindung,8),1,0))</f>
      </c>
      <c r="H3573" s="43">
        <f>IF($G3573=1,INDEX(DarlSollzins,8),INDEX(DarlAnschluss,8))</f>
      </c>
      <c r="I3573" s="43">
        <f>IF(INDEX(DarlBelegt,8)=0,0,IF(INDEX(DarlOhneTilgung,8)=1,IF(INDEX(DarlBindung,8)="",1,$G3573),IF($J3573&gt;0.005,1,0)))</f>
      </c>
      <c r="J3573" s="43">
        <f>IF($I3572=0,0,$R3572)</f>
      </c>
      <c r="K3573" s="43">
        <f>IF($I3573=0,0,IF(INDEX(DarlOhneTilgung,8)=1,0,IF(AND(INDEX(DarlTilgStart,8)&gt;0,$E3573=INDEX(DarlTilgStart,8)),$J3573*($H3573+INDEX(DarlTilgung,8))/100/12,IF(AND($G3573=0,$G3572=1),MAX($K3572,$J3573*($H3573+1)/100/12),$K3572))))</f>
      </c>
      <c r="L3573" s="43">
        <f>IF($I3573=0,0,$J3573*$H3573/100/12)</f>
      </c>
      <c r="M3573" s="43">
        <f>IF($I3573=0,0,IF(OR(INDEX(DarlOhneTilgung,8)=1,AND(INDEX(DarlTilgStart,8)&gt;0,$E3573&lt;INDEX(DarlTilgStart,8))),0,MIN(MAX(0,$K3573-$L3573),$J3573)))</f>
      </c>
      <c r="N3573" s="43">
        <f>IF($I3573=0,0,MIN(SUMIFS(SondBetrag,SondDarl,8,SondDatum,"&gt;="&amp;$E3573,SondDatum,"&lt;="&amp;EOMONTH($E3573,0)),$J3573-$M3573))</f>
      </c>
      <c r="O3573" s="43">
        <f>IF($I3573=0,0,INDEX(DarlErsatzRate,8))</f>
      </c>
      <c r="P3573" s="43">
        <f>IF($I3573=0,0,$Q3572*INDEX(DarlErsatzZins,8))</f>
      </c>
      <c r="Q3573" s="43">
        <f>IF($I3573=0,0,$Q3572+$P3573+$O3573)</f>
      </c>
      <c r="R3573" s="43">
        <f>IF($I3573=0,0,$J3573-$M3573-$N3573)</f>
      </c>
    </row>
    <row r="3574">
      <c r="A3574"/>
      <c r="B3574">
        <v>8</v>
      </c>
      <c r="C3574" s="43">
        <f>INDEX(DarlObj,8)</f>
      </c>
      <c r="D3574">
        <v>211</v>
      </c>
      <c r="E3574" s="51">
        <f>IF(INDEX(DarlBelegt,8)=0,0,EOMONTH(INDEX(DarlAuszahlung,8),210)+1)</f>
      </c>
      <c r="F3574" s="43">
        <f>IF($E3574=0,0,YEAR($E3574))</f>
      </c>
      <c r="G3574" s="43">
        <f>IF(INDEX(DarlBindung,8)="",1,IF($E3574&lt;=INDEX(DarlBindung,8),1,0))</f>
      </c>
      <c r="H3574" s="43">
        <f>IF($G3574=1,INDEX(DarlSollzins,8),INDEX(DarlAnschluss,8))</f>
      </c>
      <c r="I3574" s="43">
        <f>IF(INDEX(DarlBelegt,8)=0,0,IF(INDEX(DarlOhneTilgung,8)=1,IF(INDEX(DarlBindung,8)="",1,$G3574),IF($J3574&gt;0.005,1,0)))</f>
      </c>
      <c r="J3574" s="43">
        <f>IF($I3573=0,0,$R3573)</f>
      </c>
      <c r="K3574" s="43">
        <f>IF($I3574=0,0,IF(INDEX(DarlOhneTilgung,8)=1,0,IF(AND(INDEX(DarlTilgStart,8)&gt;0,$E3574=INDEX(DarlTilgStart,8)),$J3574*($H3574+INDEX(DarlTilgung,8))/100/12,IF(AND($G3574=0,$G3573=1),MAX($K3573,$J3574*($H3574+1)/100/12),$K3573))))</f>
      </c>
      <c r="L3574" s="43">
        <f>IF($I3574=0,0,$J3574*$H3574/100/12)</f>
      </c>
      <c r="M3574" s="43">
        <f>IF($I3574=0,0,IF(OR(INDEX(DarlOhneTilgung,8)=1,AND(INDEX(DarlTilgStart,8)&gt;0,$E3574&lt;INDEX(DarlTilgStart,8))),0,MIN(MAX(0,$K3574-$L3574),$J3574)))</f>
      </c>
      <c r="N3574" s="43">
        <f>IF($I3574=0,0,MIN(SUMIFS(SondBetrag,SondDarl,8,SondDatum,"&gt;="&amp;$E3574,SondDatum,"&lt;="&amp;EOMONTH($E3574,0)),$J3574-$M3574))</f>
      </c>
      <c r="O3574" s="43">
        <f>IF($I3574=0,0,INDEX(DarlErsatzRate,8))</f>
      </c>
      <c r="P3574" s="43">
        <f>IF($I3574=0,0,$Q3573*INDEX(DarlErsatzZins,8))</f>
      </c>
      <c r="Q3574" s="43">
        <f>IF($I3574=0,0,$Q3573+$P3574+$O3574)</f>
      </c>
      <c r="R3574" s="43">
        <f>IF($I3574=0,0,$J3574-$M3574-$N3574)</f>
      </c>
    </row>
    <row r="3575">
      <c r="A3575"/>
      <c r="B3575">
        <v>8</v>
      </c>
      <c r="C3575" s="43">
        <f>INDEX(DarlObj,8)</f>
      </c>
      <c r="D3575">
        <v>212</v>
      </c>
      <c r="E3575" s="51">
        <f>IF(INDEX(DarlBelegt,8)=0,0,EOMONTH(INDEX(DarlAuszahlung,8),211)+1)</f>
      </c>
      <c r="F3575" s="43">
        <f>IF($E3575=0,0,YEAR($E3575))</f>
      </c>
      <c r="G3575" s="43">
        <f>IF(INDEX(DarlBindung,8)="",1,IF($E3575&lt;=INDEX(DarlBindung,8),1,0))</f>
      </c>
      <c r="H3575" s="43">
        <f>IF($G3575=1,INDEX(DarlSollzins,8),INDEX(DarlAnschluss,8))</f>
      </c>
      <c r="I3575" s="43">
        <f>IF(INDEX(DarlBelegt,8)=0,0,IF(INDEX(DarlOhneTilgung,8)=1,IF(INDEX(DarlBindung,8)="",1,$G3575),IF($J3575&gt;0.005,1,0)))</f>
      </c>
      <c r="J3575" s="43">
        <f>IF($I3574=0,0,$R3574)</f>
      </c>
      <c r="K3575" s="43">
        <f>IF($I3575=0,0,IF(INDEX(DarlOhneTilgung,8)=1,0,IF(AND(INDEX(DarlTilgStart,8)&gt;0,$E3575=INDEX(DarlTilgStart,8)),$J3575*($H3575+INDEX(DarlTilgung,8))/100/12,IF(AND($G3575=0,$G3574=1),MAX($K3574,$J3575*($H3575+1)/100/12),$K3574))))</f>
      </c>
      <c r="L3575" s="43">
        <f>IF($I3575=0,0,$J3575*$H3575/100/12)</f>
      </c>
      <c r="M3575" s="43">
        <f>IF($I3575=0,0,IF(OR(INDEX(DarlOhneTilgung,8)=1,AND(INDEX(DarlTilgStart,8)&gt;0,$E3575&lt;INDEX(DarlTilgStart,8))),0,MIN(MAX(0,$K3575-$L3575),$J3575)))</f>
      </c>
      <c r="N3575" s="43">
        <f>IF($I3575=0,0,MIN(SUMIFS(SondBetrag,SondDarl,8,SondDatum,"&gt;="&amp;$E3575,SondDatum,"&lt;="&amp;EOMONTH($E3575,0)),$J3575-$M3575))</f>
      </c>
      <c r="O3575" s="43">
        <f>IF($I3575=0,0,INDEX(DarlErsatzRate,8))</f>
      </c>
      <c r="P3575" s="43">
        <f>IF($I3575=0,0,$Q3574*INDEX(DarlErsatzZins,8))</f>
      </c>
      <c r="Q3575" s="43">
        <f>IF($I3575=0,0,$Q3574+$P3575+$O3575)</f>
      </c>
      <c r="R3575" s="43">
        <f>IF($I3575=0,0,$J3575-$M3575-$N3575)</f>
      </c>
    </row>
    <row r="3576">
      <c r="A3576"/>
      <c r="B3576">
        <v>8</v>
      </c>
      <c r="C3576" s="43">
        <f>INDEX(DarlObj,8)</f>
      </c>
      <c r="D3576">
        <v>213</v>
      </c>
      <c r="E3576" s="51">
        <f>IF(INDEX(DarlBelegt,8)=0,0,EOMONTH(INDEX(DarlAuszahlung,8),212)+1)</f>
      </c>
      <c r="F3576" s="43">
        <f>IF($E3576=0,0,YEAR($E3576))</f>
      </c>
      <c r="G3576" s="43">
        <f>IF(INDEX(DarlBindung,8)="",1,IF($E3576&lt;=INDEX(DarlBindung,8),1,0))</f>
      </c>
      <c r="H3576" s="43">
        <f>IF($G3576=1,INDEX(DarlSollzins,8),INDEX(DarlAnschluss,8))</f>
      </c>
      <c r="I3576" s="43">
        <f>IF(INDEX(DarlBelegt,8)=0,0,IF(INDEX(DarlOhneTilgung,8)=1,IF(INDEX(DarlBindung,8)="",1,$G3576),IF($J3576&gt;0.005,1,0)))</f>
      </c>
      <c r="J3576" s="43">
        <f>IF($I3575=0,0,$R3575)</f>
      </c>
      <c r="K3576" s="43">
        <f>IF($I3576=0,0,IF(INDEX(DarlOhneTilgung,8)=1,0,IF(AND(INDEX(DarlTilgStart,8)&gt;0,$E3576=INDEX(DarlTilgStart,8)),$J3576*($H3576+INDEX(DarlTilgung,8))/100/12,IF(AND($G3576=0,$G3575=1),MAX($K3575,$J3576*($H3576+1)/100/12),$K3575))))</f>
      </c>
      <c r="L3576" s="43">
        <f>IF($I3576=0,0,$J3576*$H3576/100/12)</f>
      </c>
      <c r="M3576" s="43">
        <f>IF($I3576=0,0,IF(OR(INDEX(DarlOhneTilgung,8)=1,AND(INDEX(DarlTilgStart,8)&gt;0,$E3576&lt;INDEX(DarlTilgStart,8))),0,MIN(MAX(0,$K3576-$L3576),$J3576)))</f>
      </c>
      <c r="N3576" s="43">
        <f>IF($I3576=0,0,MIN(SUMIFS(SondBetrag,SondDarl,8,SondDatum,"&gt;="&amp;$E3576,SondDatum,"&lt;="&amp;EOMONTH($E3576,0)),$J3576-$M3576))</f>
      </c>
      <c r="O3576" s="43">
        <f>IF($I3576=0,0,INDEX(DarlErsatzRate,8))</f>
      </c>
      <c r="P3576" s="43">
        <f>IF($I3576=0,0,$Q3575*INDEX(DarlErsatzZins,8))</f>
      </c>
      <c r="Q3576" s="43">
        <f>IF($I3576=0,0,$Q3575+$P3576+$O3576)</f>
      </c>
      <c r="R3576" s="43">
        <f>IF($I3576=0,0,$J3576-$M3576-$N3576)</f>
      </c>
    </row>
    <row r="3577">
      <c r="A3577"/>
      <c r="B3577">
        <v>8</v>
      </c>
      <c r="C3577" s="43">
        <f>INDEX(DarlObj,8)</f>
      </c>
      <c r="D3577">
        <v>214</v>
      </c>
      <c r="E3577" s="51">
        <f>IF(INDEX(DarlBelegt,8)=0,0,EOMONTH(INDEX(DarlAuszahlung,8),213)+1)</f>
      </c>
      <c r="F3577" s="43">
        <f>IF($E3577=0,0,YEAR($E3577))</f>
      </c>
      <c r="G3577" s="43">
        <f>IF(INDEX(DarlBindung,8)="",1,IF($E3577&lt;=INDEX(DarlBindung,8),1,0))</f>
      </c>
      <c r="H3577" s="43">
        <f>IF($G3577=1,INDEX(DarlSollzins,8),INDEX(DarlAnschluss,8))</f>
      </c>
      <c r="I3577" s="43">
        <f>IF(INDEX(DarlBelegt,8)=0,0,IF(INDEX(DarlOhneTilgung,8)=1,IF(INDEX(DarlBindung,8)="",1,$G3577),IF($J3577&gt;0.005,1,0)))</f>
      </c>
      <c r="J3577" s="43">
        <f>IF($I3576=0,0,$R3576)</f>
      </c>
      <c r="K3577" s="43">
        <f>IF($I3577=0,0,IF(INDEX(DarlOhneTilgung,8)=1,0,IF(AND(INDEX(DarlTilgStart,8)&gt;0,$E3577=INDEX(DarlTilgStart,8)),$J3577*($H3577+INDEX(DarlTilgung,8))/100/12,IF(AND($G3577=0,$G3576=1),MAX($K3576,$J3577*($H3577+1)/100/12),$K3576))))</f>
      </c>
      <c r="L3577" s="43">
        <f>IF($I3577=0,0,$J3577*$H3577/100/12)</f>
      </c>
      <c r="M3577" s="43">
        <f>IF($I3577=0,0,IF(OR(INDEX(DarlOhneTilgung,8)=1,AND(INDEX(DarlTilgStart,8)&gt;0,$E3577&lt;INDEX(DarlTilgStart,8))),0,MIN(MAX(0,$K3577-$L3577),$J3577)))</f>
      </c>
      <c r="N3577" s="43">
        <f>IF($I3577=0,0,MIN(SUMIFS(SondBetrag,SondDarl,8,SondDatum,"&gt;="&amp;$E3577,SondDatum,"&lt;="&amp;EOMONTH($E3577,0)),$J3577-$M3577))</f>
      </c>
      <c r="O3577" s="43">
        <f>IF($I3577=0,0,INDEX(DarlErsatzRate,8))</f>
      </c>
      <c r="P3577" s="43">
        <f>IF($I3577=0,0,$Q3576*INDEX(DarlErsatzZins,8))</f>
      </c>
      <c r="Q3577" s="43">
        <f>IF($I3577=0,0,$Q3576+$P3577+$O3577)</f>
      </c>
      <c r="R3577" s="43">
        <f>IF($I3577=0,0,$J3577-$M3577-$N3577)</f>
      </c>
    </row>
    <row r="3578">
      <c r="A3578"/>
      <c r="B3578">
        <v>8</v>
      </c>
      <c r="C3578" s="43">
        <f>INDEX(DarlObj,8)</f>
      </c>
      <c r="D3578">
        <v>215</v>
      </c>
      <c r="E3578" s="51">
        <f>IF(INDEX(DarlBelegt,8)=0,0,EOMONTH(INDEX(DarlAuszahlung,8),214)+1)</f>
      </c>
      <c r="F3578" s="43">
        <f>IF($E3578=0,0,YEAR($E3578))</f>
      </c>
      <c r="G3578" s="43">
        <f>IF(INDEX(DarlBindung,8)="",1,IF($E3578&lt;=INDEX(DarlBindung,8),1,0))</f>
      </c>
      <c r="H3578" s="43">
        <f>IF($G3578=1,INDEX(DarlSollzins,8),INDEX(DarlAnschluss,8))</f>
      </c>
      <c r="I3578" s="43">
        <f>IF(INDEX(DarlBelegt,8)=0,0,IF(INDEX(DarlOhneTilgung,8)=1,IF(INDEX(DarlBindung,8)="",1,$G3578),IF($J3578&gt;0.005,1,0)))</f>
      </c>
      <c r="J3578" s="43">
        <f>IF($I3577=0,0,$R3577)</f>
      </c>
      <c r="K3578" s="43">
        <f>IF($I3578=0,0,IF(INDEX(DarlOhneTilgung,8)=1,0,IF(AND(INDEX(DarlTilgStart,8)&gt;0,$E3578=INDEX(DarlTilgStart,8)),$J3578*($H3578+INDEX(DarlTilgung,8))/100/12,IF(AND($G3578=0,$G3577=1),MAX($K3577,$J3578*($H3578+1)/100/12),$K3577))))</f>
      </c>
      <c r="L3578" s="43">
        <f>IF($I3578=0,0,$J3578*$H3578/100/12)</f>
      </c>
      <c r="M3578" s="43">
        <f>IF($I3578=0,0,IF(OR(INDEX(DarlOhneTilgung,8)=1,AND(INDEX(DarlTilgStart,8)&gt;0,$E3578&lt;INDEX(DarlTilgStart,8))),0,MIN(MAX(0,$K3578-$L3578),$J3578)))</f>
      </c>
      <c r="N3578" s="43">
        <f>IF($I3578=0,0,MIN(SUMIFS(SondBetrag,SondDarl,8,SondDatum,"&gt;="&amp;$E3578,SondDatum,"&lt;="&amp;EOMONTH($E3578,0)),$J3578-$M3578))</f>
      </c>
      <c r="O3578" s="43">
        <f>IF($I3578=0,0,INDEX(DarlErsatzRate,8))</f>
      </c>
      <c r="P3578" s="43">
        <f>IF($I3578=0,0,$Q3577*INDEX(DarlErsatzZins,8))</f>
      </c>
      <c r="Q3578" s="43">
        <f>IF($I3578=0,0,$Q3577+$P3578+$O3578)</f>
      </c>
      <c r="R3578" s="43">
        <f>IF($I3578=0,0,$J3578-$M3578-$N3578)</f>
      </c>
    </row>
    <row r="3579">
      <c r="A3579"/>
      <c r="B3579">
        <v>8</v>
      </c>
      <c r="C3579" s="43">
        <f>INDEX(DarlObj,8)</f>
      </c>
      <c r="D3579">
        <v>216</v>
      </c>
      <c r="E3579" s="51">
        <f>IF(INDEX(DarlBelegt,8)=0,0,EOMONTH(INDEX(DarlAuszahlung,8),215)+1)</f>
      </c>
      <c r="F3579" s="43">
        <f>IF($E3579=0,0,YEAR($E3579))</f>
      </c>
      <c r="G3579" s="43">
        <f>IF(INDEX(DarlBindung,8)="",1,IF($E3579&lt;=INDEX(DarlBindung,8),1,0))</f>
      </c>
      <c r="H3579" s="43">
        <f>IF($G3579=1,INDEX(DarlSollzins,8),INDEX(DarlAnschluss,8))</f>
      </c>
      <c r="I3579" s="43">
        <f>IF(INDEX(DarlBelegt,8)=0,0,IF(INDEX(DarlOhneTilgung,8)=1,IF(INDEX(DarlBindung,8)="",1,$G3579),IF($J3579&gt;0.005,1,0)))</f>
      </c>
      <c r="J3579" s="43">
        <f>IF($I3578=0,0,$R3578)</f>
      </c>
      <c r="K3579" s="43">
        <f>IF($I3579=0,0,IF(INDEX(DarlOhneTilgung,8)=1,0,IF(AND(INDEX(DarlTilgStart,8)&gt;0,$E3579=INDEX(DarlTilgStart,8)),$J3579*($H3579+INDEX(DarlTilgung,8))/100/12,IF(AND($G3579=0,$G3578=1),MAX($K3578,$J3579*($H3579+1)/100/12),$K3578))))</f>
      </c>
      <c r="L3579" s="43">
        <f>IF($I3579=0,0,$J3579*$H3579/100/12)</f>
      </c>
      <c r="M3579" s="43">
        <f>IF($I3579=0,0,IF(OR(INDEX(DarlOhneTilgung,8)=1,AND(INDEX(DarlTilgStart,8)&gt;0,$E3579&lt;INDEX(DarlTilgStart,8))),0,MIN(MAX(0,$K3579-$L3579),$J3579)))</f>
      </c>
      <c r="N3579" s="43">
        <f>IF($I3579=0,0,MIN(SUMIFS(SondBetrag,SondDarl,8,SondDatum,"&gt;="&amp;$E3579,SondDatum,"&lt;="&amp;EOMONTH($E3579,0)),$J3579-$M3579))</f>
      </c>
      <c r="O3579" s="43">
        <f>IF($I3579=0,0,INDEX(DarlErsatzRate,8))</f>
      </c>
      <c r="P3579" s="43">
        <f>IF($I3579=0,0,$Q3578*INDEX(DarlErsatzZins,8))</f>
      </c>
      <c r="Q3579" s="43">
        <f>IF($I3579=0,0,$Q3578+$P3579+$O3579)</f>
      </c>
      <c r="R3579" s="43">
        <f>IF($I3579=0,0,$J3579-$M3579-$N3579)</f>
      </c>
    </row>
    <row r="3580">
      <c r="A3580"/>
      <c r="B3580">
        <v>8</v>
      </c>
      <c r="C3580" s="43">
        <f>INDEX(DarlObj,8)</f>
      </c>
      <c r="D3580">
        <v>217</v>
      </c>
      <c r="E3580" s="51">
        <f>IF(INDEX(DarlBelegt,8)=0,0,EOMONTH(INDEX(DarlAuszahlung,8),216)+1)</f>
      </c>
      <c r="F3580" s="43">
        <f>IF($E3580=0,0,YEAR($E3580))</f>
      </c>
      <c r="G3580" s="43">
        <f>IF(INDEX(DarlBindung,8)="",1,IF($E3580&lt;=INDEX(DarlBindung,8),1,0))</f>
      </c>
      <c r="H3580" s="43">
        <f>IF($G3580=1,INDEX(DarlSollzins,8),INDEX(DarlAnschluss,8))</f>
      </c>
      <c r="I3580" s="43">
        <f>IF(INDEX(DarlBelegt,8)=0,0,IF(INDEX(DarlOhneTilgung,8)=1,IF(INDEX(DarlBindung,8)="",1,$G3580),IF($J3580&gt;0.005,1,0)))</f>
      </c>
      <c r="J3580" s="43">
        <f>IF($I3579=0,0,$R3579)</f>
      </c>
      <c r="K3580" s="43">
        <f>IF($I3580=0,0,IF(INDEX(DarlOhneTilgung,8)=1,0,IF(AND(INDEX(DarlTilgStart,8)&gt;0,$E3580=INDEX(DarlTilgStart,8)),$J3580*($H3580+INDEX(DarlTilgung,8))/100/12,IF(AND($G3580=0,$G3579=1),MAX($K3579,$J3580*($H3580+1)/100/12),$K3579))))</f>
      </c>
      <c r="L3580" s="43">
        <f>IF($I3580=0,0,$J3580*$H3580/100/12)</f>
      </c>
      <c r="M3580" s="43">
        <f>IF($I3580=0,0,IF(OR(INDEX(DarlOhneTilgung,8)=1,AND(INDEX(DarlTilgStart,8)&gt;0,$E3580&lt;INDEX(DarlTilgStart,8))),0,MIN(MAX(0,$K3580-$L3580),$J3580)))</f>
      </c>
      <c r="N3580" s="43">
        <f>IF($I3580=0,0,MIN(SUMIFS(SondBetrag,SondDarl,8,SondDatum,"&gt;="&amp;$E3580,SondDatum,"&lt;="&amp;EOMONTH($E3580,0)),$J3580-$M3580))</f>
      </c>
      <c r="O3580" s="43">
        <f>IF($I3580=0,0,INDEX(DarlErsatzRate,8))</f>
      </c>
      <c r="P3580" s="43">
        <f>IF($I3580=0,0,$Q3579*INDEX(DarlErsatzZins,8))</f>
      </c>
      <c r="Q3580" s="43">
        <f>IF($I3580=0,0,$Q3579+$P3580+$O3580)</f>
      </c>
      <c r="R3580" s="43">
        <f>IF($I3580=0,0,$J3580-$M3580-$N3580)</f>
      </c>
    </row>
    <row r="3581">
      <c r="A3581"/>
      <c r="B3581">
        <v>8</v>
      </c>
      <c r="C3581" s="43">
        <f>INDEX(DarlObj,8)</f>
      </c>
      <c r="D3581">
        <v>218</v>
      </c>
      <c r="E3581" s="51">
        <f>IF(INDEX(DarlBelegt,8)=0,0,EOMONTH(INDEX(DarlAuszahlung,8),217)+1)</f>
      </c>
      <c r="F3581" s="43">
        <f>IF($E3581=0,0,YEAR($E3581))</f>
      </c>
      <c r="G3581" s="43">
        <f>IF(INDEX(DarlBindung,8)="",1,IF($E3581&lt;=INDEX(DarlBindung,8),1,0))</f>
      </c>
      <c r="H3581" s="43">
        <f>IF($G3581=1,INDEX(DarlSollzins,8),INDEX(DarlAnschluss,8))</f>
      </c>
      <c r="I3581" s="43">
        <f>IF(INDEX(DarlBelegt,8)=0,0,IF(INDEX(DarlOhneTilgung,8)=1,IF(INDEX(DarlBindung,8)="",1,$G3581),IF($J3581&gt;0.005,1,0)))</f>
      </c>
      <c r="J3581" s="43">
        <f>IF($I3580=0,0,$R3580)</f>
      </c>
      <c r="K3581" s="43">
        <f>IF($I3581=0,0,IF(INDEX(DarlOhneTilgung,8)=1,0,IF(AND(INDEX(DarlTilgStart,8)&gt;0,$E3581=INDEX(DarlTilgStart,8)),$J3581*($H3581+INDEX(DarlTilgung,8))/100/12,IF(AND($G3581=0,$G3580=1),MAX($K3580,$J3581*($H3581+1)/100/12),$K3580))))</f>
      </c>
      <c r="L3581" s="43">
        <f>IF($I3581=0,0,$J3581*$H3581/100/12)</f>
      </c>
      <c r="M3581" s="43">
        <f>IF($I3581=0,0,IF(OR(INDEX(DarlOhneTilgung,8)=1,AND(INDEX(DarlTilgStart,8)&gt;0,$E3581&lt;INDEX(DarlTilgStart,8))),0,MIN(MAX(0,$K3581-$L3581),$J3581)))</f>
      </c>
      <c r="N3581" s="43">
        <f>IF($I3581=0,0,MIN(SUMIFS(SondBetrag,SondDarl,8,SondDatum,"&gt;="&amp;$E3581,SondDatum,"&lt;="&amp;EOMONTH($E3581,0)),$J3581-$M3581))</f>
      </c>
      <c r="O3581" s="43">
        <f>IF($I3581=0,0,INDEX(DarlErsatzRate,8))</f>
      </c>
      <c r="P3581" s="43">
        <f>IF($I3581=0,0,$Q3580*INDEX(DarlErsatzZins,8))</f>
      </c>
      <c r="Q3581" s="43">
        <f>IF($I3581=0,0,$Q3580+$P3581+$O3581)</f>
      </c>
      <c r="R3581" s="43">
        <f>IF($I3581=0,0,$J3581-$M3581-$N3581)</f>
      </c>
    </row>
    <row r="3582">
      <c r="A3582"/>
      <c r="B3582">
        <v>8</v>
      </c>
      <c r="C3582" s="43">
        <f>INDEX(DarlObj,8)</f>
      </c>
      <c r="D3582">
        <v>219</v>
      </c>
      <c r="E3582" s="51">
        <f>IF(INDEX(DarlBelegt,8)=0,0,EOMONTH(INDEX(DarlAuszahlung,8),218)+1)</f>
      </c>
      <c r="F3582" s="43">
        <f>IF($E3582=0,0,YEAR($E3582))</f>
      </c>
      <c r="G3582" s="43">
        <f>IF(INDEX(DarlBindung,8)="",1,IF($E3582&lt;=INDEX(DarlBindung,8),1,0))</f>
      </c>
      <c r="H3582" s="43">
        <f>IF($G3582=1,INDEX(DarlSollzins,8),INDEX(DarlAnschluss,8))</f>
      </c>
      <c r="I3582" s="43">
        <f>IF(INDEX(DarlBelegt,8)=0,0,IF(INDEX(DarlOhneTilgung,8)=1,IF(INDEX(DarlBindung,8)="",1,$G3582),IF($J3582&gt;0.005,1,0)))</f>
      </c>
      <c r="J3582" s="43">
        <f>IF($I3581=0,0,$R3581)</f>
      </c>
      <c r="K3582" s="43">
        <f>IF($I3582=0,0,IF(INDEX(DarlOhneTilgung,8)=1,0,IF(AND(INDEX(DarlTilgStart,8)&gt;0,$E3582=INDEX(DarlTilgStart,8)),$J3582*($H3582+INDEX(DarlTilgung,8))/100/12,IF(AND($G3582=0,$G3581=1),MAX($K3581,$J3582*($H3582+1)/100/12),$K3581))))</f>
      </c>
      <c r="L3582" s="43">
        <f>IF($I3582=0,0,$J3582*$H3582/100/12)</f>
      </c>
      <c r="M3582" s="43">
        <f>IF($I3582=0,0,IF(OR(INDEX(DarlOhneTilgung,8)=1,AND(INDEX(DarlTilgStart,8)&gt;0,$E3582&lt;INDEX(DarlTilgStart,8))),0,MIN(MAX(0,$K3582-$L3582),$J3582)))</f>
      </c>
      <c r="N3582" s="43">
        <f>IF($I3582=0,0,MIN(SUMIFS(SondBetrag,SondDarl,8,SondDatum,"&gt;="&amp;$E3582,SondDatum,"&lt;="&amp;EOMONTH($E3582,0)),$J3582-$M3582))</f>
      </c>
      <c r="O3582" s="43">
        <f>IF($I3582=0,0,INDEX(DarlErsatzRate,8))</f>
      </c>
      <c r="P3582" s="43">
        <f>IF($I3582=0,0,$Q3581*INDEX(DarlErsatzZins,8))</f>
      </c>
      <c r="Q3582" s="43">
        <f>IF($I3582=0,0,$Q3581+$P3582+$O3582)</f>
      </c>
      <c r="R3582" s="43">
        <f>IF($I3582=0,0,$J3582-$M3582-$N3582)</f>
      </c>
    </row>
    <row r="3583">
      <c r="A3583"/>
      <c r="B3583">
        <v>8</v>
      </c>
      <c r="C3583" s="43">
        <f>INDEX(DarlObj,8)</f>
      </c>
      <c r="D3583">
        <v>220</v>
      </c>
      <c r="E3583" s="51">
        <f>IF(INDEX(DarlBelegt,8)=0,0,EOMONTH(INDEX(DarlAuszahlung,8),219)+1)</f>
      </c>
      <c r="F3583" s="43">
        <f>IF($E3583=0,0,YEAR($E3583))</f>
      </c>
      <c r="G3583" s="43">
        <f>IF(INDEX(DarlBindung,8)="",1,IF($E3583&lt;=INDEX(DarlBindung,8),1,0))</f>
      </c>
      <c r="H3583" s="43">
        <f>IF($G3583=1,INDEX(DarlSollzins,8),INDEX(DarlAnschluss,8))</f>
      </c>
      <c r="I3583" s="43">
        <f>IF(INDEX(DarlBelegt,8)=0,0,IF(INDEX(DarlOhneTilgung,8)=1,IF(INDEX(DarlBindung,8)="",1,$G3583),IF($J3583&gt;0.005,1,0)))</f>
      </c>
      <c r="J3583" s="43">
        <f>IF($I3582=0,0,$R3582)</f>
      </c>
      <c r="K3583" s="43">
        <f>IF($I3583=0,0,IF(INDEX(DarlOhneTilgung,8)=1,0,IF(AND(INDEX(DarlTilgStart,8)&gt;0,$E3583=INDEX(DarlTilgStart,8)),$J3583*($H3583+INDEX(DarlTilgung,8))/100/12,IF(AND($G3583=0,$G3582=1),MAX($K3582,$J3583*($H3583+1)/100/12),$K3582))))</f>
      </c>
      <c r="L3583" s="43">
        <f>IF($I3583=0,0,$J3583*$H3583/100/12)</f>
      </c>
      <c r="M3583" s="43">
        <f>IF($I3583=0,0,IF(OR(INDEX(DarlOhneTilgung,8)=1,AND(INDEX(DarlTilgStart,8)&gt;0,$E3583&lt;INDEX(DarlTilgStart,8))),0,MIN(MAX(0,$K3583-$L3583),$J3583)))</f>
      </c>
      <c r="N3583" s="43">
        <f>IF($I3583=0,0,MIN(SUMIFS(SondBetrag,SondDarl,8,SondDatum,"&gt;="&amp;$E3583,SondDatum,"&lt;="&amp;EOMONTH($E3583,0)),$J3583-$M3583))</f>
      </c>
      <c r="O3583" s="43">
        <f>IF($I3583=0,0,INDEX(DarlErsatzRate,8))</f>
      </c>
      <c r="P3583" s="43">
        <f>IF($I3583=0,0,$Q3582*INDEX(DarlErsatzZins,8))</f>
      </c>
      <c r="Q3583" s="43">
        <f>IF($I3583=0,0,$Q3582+$P3583+$O3583)</f>
      </c>
      <c r="R3583" s="43">
        <f>IF($I3583=0,0,$J3583-$M3583-$N3583)</f>
      </c>
    </row>
    <row r="3584">
      <c r="A3584"/>
      <c r="B3584">
        <v>8</v>
      </c>
      <c r="C3584" s="43">
        <f>INDEX(DarlObj,8)</f>
      </c>
      <c r="D3584">
        <v>221</v>
      </c>
      <c r="E3584" s="51">
        <f>IF(INDEX(DarlBelegt,8)=0,0,EOMONTH(INDEX(DarlAuszahlung,8),220)+1)</f>
      </c>
      <c r="F3584" s="43">
        <f>IF($E3584=0,0,YEAR($E3584))</f>
      </c>
      <c r="G3584" s="43">
        <f>IF(INDEX(DarlBindung,8)="",1,IF($E3584&lt;=INDEX(DarlBindung,8),1,0))</f>
      </c>
      <c r="H3584" s="43">
        <f>IF($G3584=1,INDEX(DarlSollzins,8),INDEX(DarlAnschluss,8))</f>
      </c>
      <c r="I3584" s="43">
        <f>IF(INDEX(DarlBelegt,8)=0,0,IF(INDEX(DarlOhneTilgung,8)=1,IF(INDEX(DarlBindung,8)="",1,$G3584),IF($J3584&gt;0.005,1,0)))</f>
      </c>
      <c r="J3584" s="43">
        <f>IF($I3583=0,0,$R3583)</f>
      </c>
      <c r="K3584" s="43">
        <f>IF($I3584=0,0,IF(INDEX(DarlOhneTilgung,8)=1,0,IF(AND(INDEX(DarlTilgStart,8)&gt;0,$E3584=INDEX(DarlTilgStart,8)),$J3584*($H3584+INDEX(DarlTilgung,8))/100/12,IF(AND($G3584=0,$G3583=1),MAX($K3583,$J3584*($H3584+1)/100/12),$K3583))))</f>
      </c>
      <c r="L3584" s="43">
        <f>IF($I3584=0,0,$J3584*$H3584/100/12)</f>
      </c>
      <c r="M3584" s="43">
        <f>IF($I3584=0,0,IF(OR(INDEX(DarlOhneTilgung,8)=1,AND(INDEX(DarlTilgStart,8)&gt;0,$E3584&lt;INDEX(DarlTilgStart,8))),0,MIN(MAX(0,$K3584-$L3584),$J3584)))</f>
      </c>
      <c r="N3584" s="43">
        <f>IF($I3584=0,0,MIN(SUMIFS(SondBetrag,SondDarl,8,SondDatum,"&gt;="&amp;$E3584,SondDatum,"&lt;="&amp;EOMONTH($E3584,0)),$J3584-$M3584))</f>
      </c>
      <c r="O3584" s="43">
        <f>IF($I3584=0,0,INDEX(DarlErsatzRate,8))</f>
      </c>
      <c r="P3584" s="43">
        <f>IF($I3584=0,0,$Q3583*INDEX(DarlErsatzZins,8))</f>
      </c>
      <c r="Q3584" s="43">
        <f>IF($I3584=0,0,$Q3583+$P3584+$O3584)</f>
      </c>
      <c r="R3584" s="43">
        <f>IF($I3584=0,0,$J3584-$M3584-$N3584)</f>
      </c>
    </row>
    <row r="3585">
      <c r="A3585"/>
      <c r="B3585">
        <v>8</v>
      </c>
      <c r="C3585" s="43">
        <f>INDEX(DarlObj,8)</f>
      </c>
      <c r="D3585">
        <v>222</v>
      </c>
      <c r="E3585" s="51">
        <f>IF(INDEX(DarlBelegt,8)=0,0,EOMONTH(INDEX(DarlAuszahlung,8),221)+1)</f>
      </c>
      <c r="F3585" s="43">
        <f>IF($E3585=0,0,YEAR($E3585))</f>
      </c>
      <c r="G3585" s="43">
        <f>IF(INDEX(DarlBindung,8)="",1,IF($E3585&lt;=INDEX(DarlBindung,8),1,0))</f>
      </c>
      <c r="H3585" s="43">
        <f>IF($G3585=1,INDEX(DarlSollzins,8),INDEX(DarlAnschluss,8))</f>
      </c>
      <c r="I3585" s="43">
        <f>IF(INDEX(DarlBelegt,8)=0,0,IF(INDEX(DarlOhneTilgung,8)=1,IF(INDEX(DarlBindung,8)="",1,$G3585),IF($J3585&gt;0.005,1,0)))</f>
      </c>
      <c r="J3585" s="43">
        <f>IF($I3584=0,0,$R3584)</f>
      </c>
      <c r="K3585" s="43">
        <f>IF($I3585=0,0,IF(INDEX(DarlOhneTilgung,8)=1,0,IF(AND(INDEX(DarlTilgStart,8)&gt;0,$E3585=INDEX(DarlTilgStart,8)),$J3585*($H3585+INDEX(DarlTilgung,8))/100/12,IF(AND($G3585=0,$G3584=1),MAX($K3584,$J3585*($H3585+1)/100/12),$K3584))))</f>
      </c>
      <c r="L3585" s="43">
        <f>IF($I3585=0,0,$J3585*$H3585/100/12)</f>
      </c>
      <c r="M3585" s="43">
        <f>IF($I3585=0,0,IF(OR(INDEX(DarlOhneTilgung,8)=1,AND(INDEX(DarlTilgStart,8)&gt;0,$E3585&lt;INDEX(DarlTilgStart,8))),0,MIN(MAX(0,$K3585-$L3585),$J3585)))</f>
      </c>
      <c r="N3585" s="43">
        <f>IF($I3585=0,0,MIN(SUMIFS(SondBetrag,SondDarl,8,SondDatum,"&gt;="&amp;$E3585,SondDatum,"&lt;="&amp;EOMONTH($E3585,0)),$J3585-$M3585))</f>
      </c>
      <c r="O3585" s="43">
        <f>IF($I3585=0,0,INDEX(DarlErsatzRate,8))</f>
      </c>
      <c r="P3585" s="43">
        <f>IF($I3585=0,0,$Q3584*INDEX(DarlErsatzZins,8))</f>
      </c>
      <c r="Q3585" s="43">
        <f>IF($I3585=0,0,$Q3584+$P3585+$O3585)</f>
      </c>
      <c r="R3585" s="43">
        <f>IF($I3585=0,0,$J3585-$M3585-$N3585)</f>
      </c>
    </row>
    <row r="3586">
      <c r="A3586"/>
      <c r="B3586">
        <v>8</v>
      </c>
      <c r="C3586" s="43">
        <f>INDEX(DarlObj,8)</f>
      </c>
      <c r="D3586">
        <v>223</v>
      </c>
      <c r="E3586" s="51">
        <f>IF(INDEX(DarlBelegt,8)=0,0,EOMONTH(INDEX(DarlAuszahlung,8),222)+1)</f>
      </c>
      <c r="F3586" s="43">
        <f>IF($E3586=0,0,YEAR($E3586))</f>
      </c>
      <c r="G3586" s="43">
        <f>IF(INDEX(DarlBindung,8)="",1,IF($E3586&lt;=INDEX(DarlBindung,8),1,0))</f>
      </c>
      <c r="H3586" s="43">
        <f>IF($G3586=1,INDEX(DarlSollzins,8),INDEX(DarlAnschluss,8))</f>
      </c>
      <c r="I3586" s="43">
        <f>IF(INDEX(DarlBelegt,8)=0,0,IF(INDEX(DarlOhneTilgung,8)=1,IF(INDEX(DarlBindung,8)="",1,$G3586),IF($J3586&gt;0.005,1,0)))</f>
      </c>
      <c r="J3586" s="43">
        <f>IF($I3585=0,0,$R3585)</f>
      </c>
      <c r="K3586" s="43">
        <f>IF($I3586=0,0,IF(INDEX(DarlOhneTilgung,8)=1,0,IF(AND(INDEX(DarlTilgStart,8)&gt;0,$E3586=INDEX(DarlTilgStart,8)),$J3586*($H3586+INDEX(DarlTilgung,8))/100/12,IF(AND($G3586=0,$G3585=1),MAX($K3585,$J3586*($H3586+1)/100/12),$K3585))))</f>
      </c>
      <c r="L3586" s="43">
        <f>IF($I3586=0,0,$J3586*$H3586/100/12)</f>
      </c>
      <c r="M3586" s="43">
        <f>IF($I3586=0,0,IF(OR(INDEX(DarlOhneTilgung,8)=1,AND(INDEX(DarlTilgStart,8)&gt;0,$E3586&lt;INDEX(DarlTilgStart,8))),0,MIN(MAX(0,$K3586-$L3586),$J3586)))</f>
      </c>
      <c r="N3586" s="43">
        <f>IF($I3586=0,0,MIN(SUMIFS(SondBetrag,SondDarl,8,SondDatum,"&gt;="&amp;$E3586,SondDatum,"&lt;="&amp;EOMONTH($E3586,0)),$J3586-$M3586))</f>
      </c>
      <c r="O3586" s="43">
        <f>IF($I3586=0,0,INDEX(DarlErsatzRate,8))</f>
      </c>
      <c r="P3586" s="43">
        <f>IF($I3586=0,0,$Q3585*INDEX(DarlErsatzZins,8))</f>
      </c>
      <c r="Q3586" s="43">
        <f>IF($I3586=0,0,$Q3585+$P3586+$O3586)</f>
      </c>
      <c r="R3586" s="43">
        <f>IF($I3586=0,0,$J3586-$M3586-$N3586)</f>
      </c>
    </row>
    <row r="3587">
      <c r="A3587"/>
      <c r="B3587">
        <v>8</v>
      </c>
      <c r="C3587" s="43">
        <f>INDEX(DarlObj,8)</f>
      </c>
      <c r="D3587">
        <v>224</v>
      </c>
      <c r="E3587" s="51">
        <f>IF(INDEX(DarlBelegt,8)=0,0,EOMONTH(INDEX(DarlAuszahlung,8),223)+1)</f>
      </c>
      <c r="F3587" s="43">
        <f>IF($E3587=0,0,YEAR($E3587))</f>
      </c>
      <c r="G3587" s="43">
        <f>IF(INDEX(DarlBindung,8)="",1,IF($E3587&lt;=INDEX(DarlBindung,8),1,0))</f>
      </c>
      <c r="H3587" s="43">
        <f>IF($G3587=1,INDEX(DarlSollzins,8),INDEX(DarlAnschluss,8))</f>
      </c>
      <c r="I3587" s="43">
        <f>IF(INDEX(DarlBelegt,8)=0,0,IF(INDEX(DarlOhneTilgung,8)=1,IF(INDEX(DarlBindung,8)="",1,$G3587),IF($J3587&gt;0.005,1,0)))</f>
      </c>
      <c r="J3587" s="43">
        <f>IF($I3586=0,0,$R3586)</f>
      </c>
      <c r="K3587" s="43">
        <f>IF($I3587=0,0,IF(INDEX(DarlOhneTilgung,8)=1,0,IF(AND(INDEX(DarlTilgStart,8)&gt;0,$E3587=INDEX(DarlTilgStart,8)),$J3587*($H3587+INDEX(DarlTilgung,8))/100/12,IF(AND($G3587=0,$G3586=1),MAX($K3586,$J3587*($H3587+1)/100/12),$K3586))))</f>
      </c>
      <c r="L3587" s="43">
        <f>IF($I3587=0,0,$J3587*$H3587/100/12)</f>
      </c>
      <c r="M3587" s="43">
        <f>IF($I3587=0,0,IF(OR(INDEX(DarlOhneTilgung,8)=1,AND(INDEX(DarlTilgStart,8)&gt;0,$E3587&lt;INDEX(DarlTilgStart,8))),0,MIN(MAX(0,$K3587-$L3587),$J3587)))</f>
      </c>
      <c r="N3587" s="43">
        <f>IF($I3587=0,0,MIN(SUMIFS(SondBetrag,SondDarl,8,SondDatum,"&gt;="&amp;$E3587,SondDatum,"&lt;="&amp;EOMONTH($E3587,0)),$J3587-$M3587))</f>
      </c>
      <c r="O3587" s="43">
        <f>IF($I3587=0,0,INDEX(DarlErsatzRate,8))</f>
      </c>
      <c r="P3587" s="43">
        <f>IF($I3587=0,0,$Q3586*INDEX(DarlErsatzZins,8))</f>
      </c>
      <c r="Q3587" s="43">
        <f>IF($I3587=0,0,$Q3586+$P3587+$O3587)</f>
      </c>
      <c r="R3587" s="43">
        <f>IF($I3587=0,0,$J3587-$M3587-$N3587)</f>
      </c>
    </row>
    <row r="3588">
      <c r="A3588"/>
      <c r="B3588">
        <v>8</v>
      </c>
      <c r="C3588" s="43">
        <f>INDEX(DarlObj,8)</f>
      </c>
      <c r="D3588">
        <v>225</v>
      </c>
      <c r="E3588" s="51">
        <f>IF(INDEX(DarlBelegt,8)=0,0,EOMONTH(INDEX(DarlAuszahlung,8),224)+1)</f>
      </c>
      <c r="F3588" s="43">
        <f>IF($E3588=0,0,YEAR($E3588))</f>
      </c>
      <c r="G3588" s="43">
        <f>IF(INDEX(DarlBindung,8)="",1,IF($E3588&lt;=INDEX(DarlBindung,8),1,0))</f>
      </c>
      <c r="H3588" s="43">
        <f>IF($G3588=1,INDEX(DarlSollzins,8),INDEX(DarlAnschluss,8))</f>
      </c>
      <c r="I3588" s="43">
        <f>IF(INDEX(DarlBelegt,8)=0,0,IF(INDEX(DarlOhneTilgung,8)=1,IF(INDEX(DarlBindung,8)="",1,$G3588),IF($J3588&gt;0.005,1,0)))</f>
      </c>
      <c r="J3588" s="43">
        <f>IF($I3587=0,0,$R3587)</f>
      </c>
      <c r="K3588" s="43">
        <f>IF($I3588=0,0,IF(INDEX(DarlOhneTilgung,8)=1,0,IF(AND(INDEX(DarlTilgStart,8)&gt;0,$E3588=INDEX(DarlTilgStart,8)),$J3588*($H3588+INDEX(DarlTilgung,8))/100/12,IF(AND($G3588=0,$G3587=1),MAX($K3587,$J3588*($H3588+1)/100/12),$K3587))))</f>
      </c>
      <c r="L3588" s="43">
        <f>IF($I3588=0,0,$J3588*$H3588/100/12)</f>
      </c>
      <c r="M3588" s="43">
        <f>IF($I3588=0,0,IF(OR(INDEX(DarlOhneTilgung,8)=1,AND(INDEX(DarlTilgStart,8)&gt;0,$E3588&lt;INDEX(DarlTilgStart,8))),0,MIN(MAX(0,$K3588-$L3588),$J3588)))</f>
      </c>
      <c r="N3588" s="43">
        <f>IF($I3588=0,0,MIN(SUMIFS(SondBetrag,SondDarl,8,SondDatum,"&gt;="&amp;$E3588,SondDatum,"&lt;="&amp;EOMONTH($E3588,0)),$J3588-$M3588))</f>
      </c>
      <c r="O3588" s="43">
        <f>IF($I3588=0,0,INDEX(DarlErsatzRate,8))</f>
      </c>
      <c r="P3588" s="43">
        <f>IF($I3588=0,0,$Q3587*INDEX(DarlErsatzZins,8))</f>
      </c>
      <c r="Q3588" s="43">
        <f>IF($I3588=0,0,$Q3587+$P3588+$O3588)</f>
      </c>
      <c r="R3588" s="43">
        <f>IF($I3588=0,0,$J3588-$M3588-$N3588)</f>
      </c>
    </row>
    <row r="3589">
      <c r="A3589"/>
      <c r="B3589">
        <v>8</v>
      </c>
      <c r="C3589" s="43">
        <f>INDEX(DarlObj,8)</f>
      </c>
      <c r="D3589">
        <v>226</v>
      </c>
      <c r="E3589" s="51">
        <f>IF(INDEX(DarlBelegt,8)=0,0,EOMONTH(INDEX(DarlAuszahlung,8),225)+1)</f>
      </c>
      <c r="F3589" s="43">
        <f>IF($E3589=0,0,YEAR($E3589))</f>
      </c>
      <c r="G3589" s="43">
        <f>IF(INDEX(DarlBindung,8)="",1,IF($E3589&lt;=INDEX(DarlBindung,8),1,0))</f>
      </c>
      <c r="H3589" s="43">
        <f>IF($G3589=1,INDEX(DarlSollzins,8),INDEX(DarlAnschluss,8))</f>
      </c>
      <c r="I3589" s="43">
        <f>IF(INDEX(DarlBelegt,8)=0,0,IF(INDEX(DarlOhneTilgung,8)=1,IF(INDEX(DarlBindung,8)="",1,$G3589),IF($J3589&gt;0.005,1,0)))</f>
      </c>
      <c r="J3589" s="43">
        <f>IF($I3588=0,0,$R3588)</f>
      </c>
      <c r="K3589" s="43">
        <f>IF($I3589=0,0,IF(INDEX(DarlOhneTilgung,8)=1,0,IF(AND(INDEX(DarlTilgStart,8)&gt;0,$E3589=INDEX(DarlTilgStart,8)),$J3589*($H3589+INDEX(DarlTilgung,8))/100/12,IF(AND($G3589=0,$G3588=1),MAX($K3588,$J3589*($H3589+1)/100/12),$K3588))))</f>
      </c>
      <c r="L3589" s="43">
        <f>IF($I3589=0,0,$J3589*$H3589/100/12)</f>
      </c>
      <c r="M3589" s="43">
        <f>IF($I3589=0,0,IF(OR(INDEX(DarlOhneTilgung,8)=1,AND(INDEX(DarlTilgStart,8)&gt;0,$E3589&lt;INDEX(DarlTilgStart,8))),0,MIN(MAX(0,$K3589-$L3589),$J3589)))</f>
      </c>
      <c r="N3589" s="43">
        <f>IF($I3589=0,0,MIN(SUMIFS(SondBetrag,SondDarl,8,SondDatum,"&gt;="&amp;$E3589,SondDatum,"&lt;="&amp;EOMONTH($E3589,0)),$J3589-$M3589))</f>
      </c>
      <c r="O3589" s="43">
        <f>IF($I3589=0,0,INDEX(DarlErsatzRate,8))</f>
      </c>
      <c r="P3589" s="43">
        <f>IF($I3589=0,0,$Q3588*INDEX(DarlErsatzZins,8))</f>
      </c>
      <c r="Q3589" s="43">
        <f>IF($I3589=0,0,$Q3588+$P3589+$O3589)</f>
      </c>
      <c r="R3589" s="43">
        <f>IF($I3589=0,0,$J3589-$M3589-$N3589)</f>
      </c>
    </row>
    <row r="3590">
      <c r="A3590"/>
      <c r="B3590">
        <v>8</v>
      </c>
      <c r="C3590" s="43">
        <f>INDEX(DarlObj,8)</f>
      </c>
      <c r="D3590">
        <v>227</v>
      </c>
      <c r="E3590" s="51">
        <f>IF(INDEX(DarlBelegt,8)=0,0,EOMONTH(INDEX(DarlAuszahlung,8),226)+1)</f>
      </c>
      <c r="F3590" s="43">
        <f>IF($E3590=0,0,YEAR($E3590))</f>
      </c>
      <c r="G3590" s="43">
        <f>IF(INDEX(DarlBindung,8)="",1,IF($E3590&lt;=INDEX(DarlBindung,8),1,0))</f>
      </c>
      <c r="H3590" s="43">
        <f>IF($G3590=1,INDEX(DarlSollzins,8),INDEX(DarlAnschluss,8))</f>
      </c>
      <c r="I3590" s="43">
        <f>IF(INDEX(DarlBelegt,8)=0,0,IF(INDEX(DarlOhneTilgung,8)=1,IF(INDEX(DarlBindung,8)="",1,$G3590),IF($J3590&gt;0.005,1,0)))</f>
      </c>
      <c r="J3590" s="43">
        <f>IF($I3589=0,0,$R3589)</f>
      </c>
      <c r="K3590" s="43">
        <f>IF($I3590=0,0,IF(INDEX(DarlOhneTilgung,8)=1,0,IF(AND(INDEX(DarlTilgStart,8)&gt;0,$E3590=INDEX(DarlTilgStart,8)),$J3590*($H3590+INDEX(DarlTilgung,8))/100/12,IF(AND($G3590=0,$G3589=1),MAX($K3589,$J3590*($H3590+1)/100/12),$K3589))))</f>
      </c>
      <c r="L3590" s="43">
        <f>IF($I3590=0,0,$J3590*$H3590/100/12)</f>
      </c>
      <c r="M3590" s="43">
        <f>IF($I3590=0,0,IF(OR(INDEX(DarlOhneTilgung,8)=1,AND(INDEX(DarlTilgStart,8)&gt;0,$E3590&lt;INDEX(DarlTilgStart,8))),0,MIN(MAX(0,$K3590-$L3590),$J3590)))</f>
      </c>
      <c r="N3590" s="43">
        <f>IF($I3590=0,0,MIN(SUMIFS(SondBetrag,SondDarl,8,SondDatum,"&gt;="&amp;$E3590,SondDatum,"&lt;="&amp;EOMONTH($E3590,0)),$J3590-$M3590))</f>
      </c>
      <c r="O3590" s="43">
        <f>IF($I3590=0,0,INDEX(DarlErsatzRate,8))</f>
      </c>
      <c r="P3590" s="43">
        <f>IF($I3590=0,0,$Q3589*INDEX(DarlErsatzZins,8))</f>
      </c>
      <c r="Q3590" s="43">
        <f>IF($I3590=0,0,$Q3589+$P3590+$O3590)</f>
      </c>
      <c r="R3590" s="43">
        <f>IF($I3590=0,0,$J3590-$M3590-$N3590)</f>
      </c>
    </row>
    <row r="3591">
      <c r="A3591"/>
      <c r="B3591">
        <v>8</v>
      </c>
      <c r="C3591" s="43">
        <f>INDEX(DarlObj,8)</f>
      </c>
      <c r="D3591">
        <v>228</v>
      </c>
      <c r="E3591" s="51">
        <f>IF(INDEX(DarlBelegt,8)=0,0,EOMONTH(INDEX(DarlAuszahlung,8),227)+1)</f>
      </c>
      <c r="F3591" s="43">
        <f>IF($E3591=0,0,YEAR($E3591))</f>
      </c>
      <c r="G3591" s="43">
        <f>IF(INDEX(DarlBindung,8)="",1,IF($E3591&lt;=INDEX(DarlBindung,8),1,0))</f>
      </c>
      <c r="H3591" s="43">
        <f>IF($G3591=1,INDEX(DarlSollzins,8),INDEX(DarlAnschluss,8))</f>
      </c>
      <c r="I3591" s="43">
        <f>IF(INDEX(DarlBelegt,8)=0,0,IF(INDEX(DarlOhneTilgung,8)=1,IF(INDEX(DarlBindung,8)="",1,$G3591),IF($J3591&gt;0.005,1,0)))</f>
      </c>
      <c r="J3591" s="43">
        <f>IF($I3590=0,0,$R3590)</f>
      </c>
      <c r="K3591" s="43">
        <f>IF($I3591=0,0,IF(INDEX(DarlOhneTilgung,8)=1,0,IF(AND(INDEX(DarlTilgStart,8)&gt;0,$E3591=INDEX(DarlTilgStart,8)),$J3591*($H3591+INDEX(DarlTilgung,8))/100/12,IF(AND($G3591=0,$G3590=1),MAX($K3590,$J3591*($H3591+1)/100/12),$K3590))))</f>
      </c>
      <c r="L3591" s="43">
        <f>IF($I3591=0,0,$J3591*$H3591/100/12)</f>
      </c>
      <c r="M3591" s="43">
        <f>IF($I3591=0,0,IF(OR(INDEX(DarlOhneTilgung,8)=1,AND(INDEX(DarlTilgStart,8)&gt;0,$E3591&lt;INDEX(DarlTilgStart,8))),0,MIN(MAX(0,$K3591-$L3591),$J3591)))</f>
      </c>
      <c r="N3591" s="43">
        <f>IF($I3591=0,0,MIN(SUMIFS(SondBetrag,SondDarl,8,SondDatum,"&gt;="&amp;$E3591,SondDatum,"&lt;="&amp;EOMONTH($E3591,0)),$J3591-$M3591))</f>
      </c>
      <c r="O3591" s="43">
        <f>IF($I3591=0,0,INDEX(DarlErsatzRate,8))</f>
      </c>
      <c r="P3591" s="43">
        <f>IF($I3591=0,0,$Q3590*INDEX(DarlErsatzZins,8))</f>
      </c>
      <c r="Q3591" s="43">
        <f>IF($I3591=0,0,$Q3590+$P3591+$O3591)</f>
      </c>
      <c r="R3591" s="43">
        <f>IF($I3591=0,0,$J3591-$M3591-$N3591)</f>
      </c>
    </row>
    <row r="3592">
      <c r="A3592"/>
      <c r="B3592">
        <v>8</v>
      </c>
      <c r="C3592" s="43">
        <f>INDEX(DarlObj,8)</f>
      </c>
      <c r="D3592">
        <v>229</v>
      </c>
      <c r="E3592" s="51">
        <f>IF(INDEX(DarlBelegt,8)=0,0,EOMONTH(INDEX(DarlAuszahlung,8),228)+1)</f>
      </c>
      <c r="F3592" s="43">
        <f>IF($E3592=0,0,YEAR($E3592))</f>
      </c>
      <c r="G3592" s="43">
        <f>IF(INDEX(DarlBindung,8)="",1,IF($E3592&lt;=INDEX(DarlBindung,8),1,0))</f>
      </c>
      <c r="H3592" s="43">
        <f>IF($G3592=1,INDEX(DarlSollzins,8),INDEX(DarlAnschluss,8))</f>
      </c>
      <c r="I3592" s="43">
        <f>IF(INDEX(DarlBelegt,8)=0,0,IF(INDEX(DarlOhneTilgung,8)=1,IF(INDEX(DarlBindung,8)="",1,$G3592),IF($J3592&gt;0.005,1,0)))</f>
      </c>
      <c r="J3592" s="43">
        <f>IF($I3591=0,0,$R3591)</f>
      </c>
      <c r="K3592" s="43">
        <f>IF($I3592=0,0,IF(INDEX(DarlOhneTilgung,8)=1,0,IF(AND(INDEX(DarlTilgStart,8)&gt;0,$E3592=INDEX(DarlTilgStart,8)),$J3592*($H3592+INDEX(DarlTilgung,8))/100/12,IF(AND($G3592=0,$G3591=1),MAX($K3591,$J3592*($H3592+1)/100/12),$K3591))))</f>
      </c>
      <c r="L3592" s="43">
        <f>IF($I3592=0,0,$J3592*$H3592/100/12)</f>
      </c>
      <c r="M3592" s="43">
        <f>IF($I3592=0,0,IF(OR(INDEX(DarlOhneTilgung,8)=1,AND(INDEX(DarlTilgStart,8)&gt;0,$E3592&lt;INDEX(DarlTilgStart,8))),0,MIN(MAX(0,$K3592-$L3592),$J3592)))</f>
      </c>
      <c r="N3592" s="43">
        <f>IF($I3592=0,0,MIN(SUMIFS(SondBetrag,SondDarl,8,SondDatum,"&gt;="&amp;$E3592,SondDatum,"&lt;="&amp;EOMONTH($E3592,0)),$J3592-$M3592))</f>
      </c>
      <c r="O3592" s="43">
        <f>IF($I3592=0,0,INDEX(DarlErsatzRate,8))</f>
      </c>
      <c r="P3592" s="43">
        <f>IF($I3592=0,0,$Q3591*INDEX(DarlErsatzZins,8))</f>
      </c>
      <c r="Q3592" s="43">
        <f>IF($I3592=0,0,$Q3591+$P3592+$O3592)</f>
      </c>
      <c r="R3592" s="43">
        <f>IF($I3592=0,0,$J3592-$M3592-$N3592)</f>
      </c>
    </row>
    <row r="3593">
      <c r="A3593"/>
      <c r="B3593">
        <v>8</v>
      </c>
      <c r="C3593" s="43">
        <f>INDEX(DarlObj,8)</f>
      </c>
      <c r="D3593">
        <v>230</v>
      </c>
      <c r="E3593" s="51">
        <f>IF(INDEX(DarlBelegt,8)=0,0,EOMONTH(INDEX(DarlAuszahlung,8),229)+1)</f>
      </c>
      <c r="F3593" s="43">
        <f>IF($E3593=0,0,YEAR($E3593))</f>
      </c>
      <c r="G3593" s="43">
        <f>IF(INDEX(DarlBindung,8)="",1,IF($E3593&lt;=INDEX(DarlBindung,8),1,0))</f>
      </c>
      <c r="H3593" s="43">
        <f>IF($G3593=1,INDEX(DarlSollzins,8),INDEX(DarlAnschluss,8))</f>
      </c>
      <c r="I3593" s="43">
        <f>IF(INDEX(DarlBelegt,8)=0,0,IF(INDEX(DarlOhneTilgung,8)=1,IF(INDEX(DarlBindung,8)="",1,$G3593),IF($J3593&gt;0.005,1,0)))</f>
      </c>
      <c r="J3593" s="43">
        <f>IF($I3592=0,0,$R3592)</f>
      </c>
      <c r="K3593" s="43">
        <f>IF($I3593=0,0,IF(INDEX(DarlOhneTilgung,8)=1,0,IF(AND(INDEX(DarlTilgStart,8)&gt;0,$E3593=INDEX(DarlTilgStart,8)),$J3593*($H3593+INDEX(DarlTilgung,8))/100/12,IF(AND($G3593=0,$G3592=1),MAX($K3592,$J3593*($H3593+1)/100/12),$K3592))))</f>
      </c>
      <c r="L3593" s="43">
        <f>IF($I3593=0,0,$J3593*$H3593/100/12)</f>
      </c>
      <c r="M3593" s="43">
        <f>IF($I3593=0,0,IF(OR(INDEX(DarlOhneTilgung,8)=1,AND(INDEX(DarlTilgStart,8)&gt;0,$E3593&lt;INDEX(DarlTilgStart,8))),0,MIN(MAX(0,$K3593-$L3593),$J3593)))</f>
      </c>
      <c r="N3593" s="43">
        <f>IF($I3593=0,0,MIN(SUMIFS(SondBetrag,SondDarl,8,SondDatum,"&gt;="&amp;$E3593,SondDatum,"&lt;="&amp;EOMONTH($E3593,0)),$J3593-$M3593))</f>
      </c>
      <c r="O3593" s="43">
        <f>IF($I3593=0,0,INDEX(DarlErsatzRate,8))</f>
      </c>
      <c r="P3593" s="43">
        <f>IF($I3593=0,0,$Q3592*INDEX(DarlErsatzZins,8))</f>
      </c>
      <c r="Q3593" s="43">
        <f>IF($I3593=0,0,$Q3592+$P3593+$O3593)</f>
      </c>
      <c r="R3593" s="43">
        <f>IF($I3593=0,0,$J3593-$M3593-$N3593)</f>
      </c>
    </row>
    <row r="3594">
      <c r="A3594"/>
      <c r="B3594">
        <v>8</v>
      </c>
      <c r="C3594" s="43">
        <f>INDEX(DarlObj,8)</f>
      </c>
      <c r="D3594">
        <v>231</v>
      </c>
      <c r="E3594" s="51">
        <f>IF(INDEX(DarlBelegt,8)=0,0,EOMONTH(INDEX(DarlAuszahlung,8),230)+1)</f>
      </c>
      <c r="F3594" s="43">
        <f>IF($E3594=0,0,YEAR($E3594))</f>
      </c>
      <c r="G3594" s="43">
        <f>IF(INDEX(DarlBindung,8)="",1,IF($E3594&lt;=INDEX(DarlBindung,8),1,0))</f>
      </c>
      <c r="H3594" s="43">
        <f>IF($G3594=1,INDEX(DarlSollzins,8),INDEX(DarlAnschluss,8))</f>
      </c>
      <c r="I3594" s="43">
        <f>IF(INDEX(DarlBelegt,8)=0,0,IF(INDEX(DarlOhneTilgung,8)=1,IF(INDEX(DarlBindung,8)="",1,$G3594),IF($J3594&gt;0.005,1,0)))</f>
      </c>
      <c r="J3594" s="43">
        <f>IF($I3593=0,0,$R3593)</f>
      </c>
      <c r="K3594" s="43">
        <f>IF($I3594=0,0,IF(INDEX(DarlOhneTilgung,8)=1,0,IF(AND(INDEX(DarlTilgStart,8)&gt;0,$E3594=INDEX(DarlTilgStart,8)),$J3594*($H3594+INDEX(DarlTilgung,8))/100/12,IF(AND($G3594=0,$G3593=1),MAX($K3593,$J3594*($H3594+1)/100/12),$K3593))))</f>
      </c>
      <c r="L3594" s="43">
        <f>IF($I3594=0,0,$J3594*$H3594/100/12)</f>
      </c>
      <c r="M3594" s="43">
        <f>IF($I3594=0,0,IF(OR(INDEX(DarlOhneTilgung,8)=1,AND(INDEX(DarlTilgStart,8)&gt;0,$E3594&lt;INDEX(DarlTilgStart,8))),0,MIN(MAX(0,$K3594-$L3594),$J3594)))</f>
      </c>
      <c r="N3594" s="43">
        <f>IF($I3594=0,0,MIN(SUMIFS(SondBetrag,SondDarl,8,SondDatum,"&gt;="&amp;$E3594,SondDatum,"&lt;="&amp;EOMONTH($E3594,0)),$J3594-$M3594))</f>
      </c>
      <c r="O3594" s="43">
        <f>IF($I3594=0,0,INDEX(DarlErsatzRate,8))</f>
      </c>
      <c r="P3594" s="43">
        <f>IF($I3594=0,0,$Q3593*INDEX(DarlErsatzZins,8))</f>
      </c>
      <c r="Q3594" s="43">
        <f>IF($I3594=0,0,$Q3593+$P3594+$O3594)</f>
      </c>
      <c r="R3594" s="43">
        <f>IF($I3594=0,0,$J3594-$M3594-$N3594)</f>
      </c>
    </row>
    <row r="3595">
      <c r="A3595"/>
      <c r="B3595">
        <v>8</v>
      </c>
      <c r="C3595" s="43">
        <f>INDEX(DarlObj,8)</f>
      </c>
      <c r="D3595">
        <v>232</v>
      </c>
      <c r="E3595" s="51">
        <f>IF(INDEX(DarlBelegt,8)=0,0,EOMONTH(INDEX(DarlAuszahlung,8),231)+1)</f>
      </c>
      <c r="F3595" s="43">
        <f>IF($E3595=0,0,YEAR($E3595))</f>
      </c>
      <c r="G3595" s="43">
        <f>IF(INDEX(DarlBindung,8)="",1,IF($E3595&lt;=INDEX(DarlBindung,8),1,0))</f>
      </c>
      <c r="H3595" s="43">
        <f>IF($G3595=1,INDEX(DarlSollzins,8),INDEX(DarlAnschluss,8))</f>
      </c>
      <c r="I3595" s="43">
        <f>IF(INDEX(DarlBelegt,8)=0,0,IF(INDEX(DarlOhneTilgung,8)=1,IF(INDEX(DarlBindung,8)="",1,$G3595),IF($J3595&gt;0.005,1,0)))</f>
      </c>
      <c r="J3595" s="43">
        <f>IF($I3594=0,0,$R3594)</f>
      </c>
      <c r="K3595" s="43">
        <f>IF($I3595=0,0,IF(INDEX(DarlOhneTilgung,8)=1,0,IF(AND(INDEX(DarlTilgStart,8)&gt;0,$E3595=INDEX(DarlTilgStart,8)),$J3595*($H3595+INDEX(DarlTilgung,8))/100/12,IF(AND($G3595=0,$G3594=1),MAX($K3594,$J3595*($H3595+1)/100/12),$K3594))))</f>
      </c>
      <c r="L3595" s="43">
        <f>IF($I3595=0,0,$J3595*$H3595/100/12)</f>
      </c>
      <c r="M3595" s="43">
        <f>IF($I3595=0,0,IF(OR(INDEX(DarlOhneTilgung,8)=1,AND(INDEX(DarlTilgStart,8)&gt;0,$E3595&lt;INDEX(DarlTilgStart,8))),0,MIN(MAX(0,$K3595-$L3595),$J3595)))</f>
      </c>
      <c r="N3595" s="43">
        <f>IF($I3595=0,0,MIN(SUMIFS(SondBetrag,SondDarl,8,SondDatum,"&gt;="&amp;$E3595,SondDatum,"&lt;="&amp;EOMONTH($E3595,0)),$J3595-$M3595))</f>
      </c>
      <c r="O3595" s="43">
        <f>IF($I3595=0,0,INDEX(DarlErsatzRate,8))</f>
      </c>
      <c r="P3595" s="43">
        <f>IF($I3595=0,0,$Q3594*INDEX(DarlErsatzZins,8))</f>
      </c>
      <c r="Q3595" s="43">
        <f>IF($I3595=0,0,$Q3594+$P3595+$O3595)</f>
      </c>
      <c r="R3595" s="43">
        <f>IF($I3595=0,0,$J3595-$M3595-$N3595)</f>
      </c>
    </row>
    <row r="3596">
      <c r="A3596"/>
      <c r="B3596">
        <v>8</v>
      </c>
      <c r="C3596" s="43">
        <f>INDEX(DarlObj,8)</f>
      </c>
      <c r="D3596">
        <v>233</v>
      </c>
      <c r="E3596" s="51">
        <f>IF(INDEX(DarlBelegt,8)=0,0,EOMONTH(INDEX(DarlAuszahlung,8),232)+1)</f>
      </c>
      <c r="F3596" s="43">
        <f>IF($E3596=0,0,YEAR($E3596))</f>
      </c>
      <c r="G3596" s="43">
        <f>IF(INDEX(DarlBindung,8)="",1,IF($E3596&lt;=INDEX(DarlBindung,8),1,0))</f>
      </c>
      <c r="H3596" s="43">
        <f>IF($G3596=1,INDEX(DarlSollzins,8),INDEX(DarlAnschluss,8))</f>
      </c>
      <c r="I3596" s="43">
        <f>IF(INDEX(DarlBelegt,8)=0,0,IF(INDEX(DarlOhneTilgung,8)=1,IF(INDEX(DarlBindung,8)="",1,$G3596),IF($J3596&gt;0.005,1,0)))</f>
      </c>
      <c r="J3596" s="43">
        <f>IF($I3595=0,0,$R3595)</f>
      </c>
      <c r="K3596" s="43">
        <f>IF($I3596=0,0,IF(INDEX(DarlOhneTilgung,8)=1,0,IF(AND(INDEX(DarlTilgStart,8)&gt;0,$E3596=INDEX(DarlTilgStart,8)),$J3596*($H3596+INDEX(DarlTilgung,8))/100/12,IF(AND($G3596=0,$G3595=1),MAX($K3595,$J3596*($H3596+1)/100/12),$K3595))))</f>
      </c>
      <c r="L3596" s="43">
        <f>IF($I3596=0,0,$J3596*$H3596/100/12)</f>
      </c>
      <c r="M3596" s="43">
        <f>IF($I3596=0,0,IF(OR(INDEX(DarlOhneTilgung,8)=1,AND(INDEX(DarlTilgStart,8)&gt;0,$E3596&lt;INDEX(DarlTilgStart,8))),0,MIN(MAX(0,$K3596-$L3596),$J3596)))</f>
      </c>
      <c r="N3596" s="43">
        <f>IF($I3596=0,0,MIN(SUMIFS(SondBetrag,SondDarl,8,SondDatum,"&gt;="&amp;$E3596,SondDatum,"&lt;="&amp;EOMONTH($E3596,0)),$J3596-$M3596))</f>
      </c>
      <c r="O3596" s="43">
        <f>IF($I3596=0,0,INDEX(DarlErsatzRate,8))</f>
      </c>
      <c r="P3596" s="43">
        <f>IF($I3596=0,0,$Q3595*INDEX(DarlErsatzZins,8))</f>
      </c>
      <c r="Q3596" s="43">
        <f>IF($I3596=0,0,$Q3595+$P3596+$O3596)</f>
      </c>
      <c r="R3596" s="43">
        <f>IF($I3596=0,0,$J3596-$M3596-$N3596)</f>
      </c>
    </row>
    <row r="3597">
      <c r="A3597"/>
      <c r="B3597">
        <v>8</v>
      </c>
      <c r="C3597" s="43">
        <f>INDEX(DarlObj,8)</f>
      </c>
      <c r="D3597">
        <v>234</v>
      </c>
      <c r="E3597" s="51">
        <f>IF(INDEX(DarlBelegt,8)=0,0,EOMONTH(INDEX(DarlAuszahlung,8),233)+1)</f>
      </c>
      <c r="F3597" s="43">
        <f>IF($E3597=0,0,YEAR($E3597))</f>
      </c>
      <c r="G3597" s="43">
        <f>IF(INDEX(DarlBindung,8)="",1,IF($E3597&lt;=INDEX(DarlBindung,8),1,0))</f>
      </c>
      <c r="H3597" s="43">
        <f>IF($G3597=1,INDEX(DarlSollzins,8),INDEX(DarlAnschluss,8))</f>
      </c>
      <c r="I3597" s="43">
        <f>IF(INDEX(DarlBelegt,8)=0,0,IF(INDEX(DarlOhneTilgung,8)=1,IF(INDEX(DarlBindung,8)="",1,$G3597),IF($J3597&gt;0.005,1,0)))</f>
      </c>
      <c r="J3597" s="43">
        <f>IF($I3596=0,0,$R3596)</f>
      </c>
      <c r="K3597" s="43">
        <f>IF($I3597=0,0,IF(INDEX(DarlOhneTilgung,8)=1,0,IF(AND(INDEX(DarlTilgStart,8)&gt;0,$E3597=INDEX(DarlTilgStart,8)),$J3597*($H3597+INDEX(DarlTilgung,8))/100/12,IF(AND($G3597=0,$G3596=1),MAX($K3596,$J3597*($H3597+1)/100/12),$K3596))))</f>
      </c>
      <c r="L3597" s="43">
        <f>IF($I3597=0,0,$J3597*$H3597/100/12)</f>
      </c>
      <c r="M3597" s="43">
        <f>IF($I3597=0,0,IF(OR(INDEX(DarlOhneTilgung,8)=1,AND(INDEX(DarlTilgStart,8)&gt;0,$E3597&lt;INDEX(DarlTilgStart,8))),0,MIN(MAX(0,$K3597-$L3597),$J3597)))</f>
      </c>
      <c r="N3597" s="43">
        <f>IF($I3597=0,0,MIN(SUMIFS(SondBetrag,SondDarl,8,SondDatum,"&gt;="&amp;$E3597,SondDatum,"&lt;="&amp;EOMONTH($E3597,0)),$J3597-$M3597))</f>
      </c>
      <c r="O3597" s="43">
        <f>IF($I3597=0,0,INDEX(DarlErsatzRate,8))</f>
      </c>
      <c r="P3597" s="43">
        <f>IF($I3597=0,0,$Q3596*INDEX(DarlErsatzZins,8))</f>
      </c>
      <c r="Q3597" s="43">
        <f>IF($I3597=0,0,$Q3596+$P3597+$O3597)</f>
      </c>
      <c r="R3597" s="43">
        <f>IF($I3597=0,0,$J3597-$M3597-$N3597)</f>
      </c>
    </row>
    <row r="3598">
      <c r="A3598"/>
      <c r="B3598">
        <v>8</v>
      </c>
      <c r="C3598" s="43">
        <f>INDEX(DarlObj,8)</f>
      </c>
      <c r="D3598">
        <v>235</v>
      </c>
      <c r="E3598" s="51">
        <f>IF(INDEX(DarlBelegt,8)=0,0,EOMONTH(INDEX(DarlAuszahlung,8),234)+1)</f>
      </c>
      <c r="F3598" s="43">
        <f>IF($E3598=0,0,YEAR($E3598))</f>
      </c>
      <c r="G3598" s="43">
        <f>IF(INDEX(DarlBindung,8)="",1,IF($E3598&lt;=INDEX(DarlBindung,8),1,0))</f>
      </c>
      <c r="H3598" s="43">
        <f>IF($G3598=1,INDEX(DarlSollzins,8),INDEX(DarlAnschluss,8))</f>
      </c>
      <c r="I3598" s="43">
        <f>IF(INDEX(DarlBelegt,8)=0,0,IF(INDEX(DarlOhneTilgung,8)=1,IF(INDEX(DarlBindung,8)="",1,$G3598),IF($J3598&gt;0.005,1,0)))</f>
      </c>
      <c r="J3598" s="43">
        <f>IF($I3597=0,0,$R3597)</f>
      </c>
      <c r="K3598" s="43">
        <f>IF($I3598=0,0,IF(INDEX(DarlOhneTilgung,8)=1,0,IF(AND(INDEX(DarlTilgStart,8)&gt;0,$E3598=INDEX(DarlTilgStart,8)),$J3598*($H3598+INDEX(DarlTilgung,8))/100/12,IF(AND($G3598=0,$G3597=1),MAX($K3597,$J3598*($H3598+1)/100/12),$K3597))))</f>
      </c>
      <c r="L3598" s="43">
        <f>IF($I3598=0,0,$J3598*$H3598/100/12)</f>
      </c>
      <c r="M3598" s="43">
        <f>IF($I3598=0,0,IF(OR(INDEX(DarlOhneTilgung,8)=1,AND(INDEX(DarlTilgStart,8)&gt;0,$E3598&lt;INDEX(DarlTilgStart,8))),0,MIN(MAX(0,$K3598-$L3598),$J3598)))</f>
      </c>
      <c r="N3598" s="43">
        <f>IF($I3598=0,0,MIN(SUMIFS(SondBetrag,SondDarl,8,SondDatum,"&gt;="&amp;$E3598,SondDatum,"&lt;="&amp;EOMONTH($E3598,0)),$J3598-$M3598))</f>
      </c>
      <c r="O3598" s="43">
        <f>IF($I3598=0,0,INDEX(DarlErsatzRate,8))</f>
      </c>
      <c r="P3598" s="43">
        <f>IF($I3598=0,0,$Q3597*INDEX(DarlErsatzZins,8))</f>
      </c>
      <c r="Q3598" s="43">
        <f>IF($I3598=0,0,$Q3597+$P3598+$O3598)</f>
      </c>
      <c r="R3598" s="43">
        <f>IF($I3598=0,0,$J3598-$M3598-$N3598)</f>
      </c>
    </row>
    <row r="3599">
      <c r="A3599"/>
      <c r="B3599">
        <v>8</v>
      </c>
      <c r="C3599" s="43">
        <f>INDEX(DarlObj,8)</f>
      </c>
      <c r="D3599">
        <v>236</v>
      </c>
      <c r="E3599" s="51">
        <f>IF(INDEX(DarlBelegt,8)=0,0,EOMONTH(INDEX(DarlAuszahlung,8),235)+1)</f>
      </c>
      <c r="F3599" s="43">
        <f>IF($E3599=0,0,YEAR($E3599))</f>
      </c>
      <c r="G3599" s="43">
        <f>IF(INDEX(DarlBindung,8)="",1,IF($E3599&lt;=INDEX(DarlBindung,8),1,0))</f>
      </c>
      <c r="H3599" s="43">
        <f>IF($G3599=1,INDEX(DarlSollzins,8),INDEX(DarlAnschluss,8))</f>
      </c>
      <c r="I3599" s="43">
        <f>IF(INDEX(DarlBelegt,8)=0,0,IF(INDEX(DarlOhneTilgung,8)=1,IF(INDEX(DarlBindung,8)="",1,$G3599),IF($J3599&gt;0.005,1,0)))</f>
      </c>
      <c r="J3599" s="43">
        <f>IF($I3598=0,0,$R3598)</f>
      </c>
      <c r="K3599" s="43">
        <f>IF($I3599=0,0,IF(INDEX(DarlOhneTilgung,8)=1,0,IF(AND(INDEX(DarlTilgStart,8)&gt;0,$E3599=INDEX(DarlTilgStart,8)),$J3599*($H3599+INDEX(DarlTilgung,8))/100/12,IF(AND($G3599=0,$G3598=1),MAX($K3598,$J3599*($H3599+1)/100/12),$K3598))))</f>
      </c>
      <c r="L3599" s="43">
        <f>IF($I3599=0,0,$J3599*$H3599/100/12)</f>
      </c>
      <c r="M3599" s="43">
        <f>IF($I3599=0,0,IF(OR(INDEX(DarlOhneTilgung,8)=1,AND(INDEX(DarlTilgStart,8)&gt;0,$E3599&lt;INDEX(DarlTilgStart,8))),0,MIN(MAX(0,$K3599-$L3599),$J3599)))</f>
      </c>
      <c r="N3599" s="43">
        <f>IF($I3599=0,0,MIN(SUMIFS(SondBetrag,SondDarl,8,SondDatum,"&gt;="&amp;$E3599,SondDatum,"&lt;="&amp;EOMONTH($E3599,0)),$J3599-$M3599))</f>
      </c>
      <c r="O3599" s="43">
        <f>IF($I3599=0,0,INDEX(DarlErsatzRate,8))</f>
      </c>
      <c r="P3599" s="43">
        <f>IF($I3599=0,0,$Q3598*INDEX(DarlErsatzZins,8))</f>
      </c>
      <c r="Q3599" s="43">
        <f>IF($I3599=0,0,$Q3598+$P3599+$O3599)</f>
      </c>
      <c r="R3599" s="43">
        <f>IF($I3599=0,0,$J3599-$M3599-$N3599)</f>
      </c>
    </row>
    <row r="3600">
      <c r="A3600"/>
      <c r="B3600">
        <v>8</v>
      </c>
      <c r="C3600" s="43">
        <f>INDEX(DarlObj,8)</f>
      </c>
      <c r="D3600">
        <v>237</v>
      </c>
      <c r="E3600" s="51">
        <f>IF(INDEX(DarlBelegt,8)=0,0,EOMONTH(INDEX(DarlAuszahlung,8),236)+1)</f>
      </c>
      <c r="F3600" s="43">
        <f>IF($E3600=0,0,YEAR($E3600))</f>
      </c>
      <c r="G3600" s="43">
        <f>IF(INDEX(DarlBindung,8)="",1,IF($E3600&lt;=INDEX(DarlBindung,8),1,0))</f>
      </c>
      <c r="H3600" s="43">
        <f>IF($G3600=1,INDEX(DarlSollzins,8),INDEX(DarlAnschluss,8))</f>
      </c>
      <c r="I3600" s="43">
        <f>IF(INDEX(DarlBelegt,8)=0,0,IF(INDEX(DarlOhneTilgung,8)=1,IF(INDEX(DarlBindung,8)="",1,$G3600),IF($J3600&gt;0.005,1,0)))</f>
      </c>
      <c r="J3600" s="43">
        <f>IF($I3599=0,0,$R3599)</f>
      </c>
      <c r="K3600" s="43">
        <f>IF($I3600=0,0,IF(INDEX(DarlOhneTilgung,8)=1,0,IF(AND(INDEX(DarlTilgStart,8)&gt;0,$E3600=INDEX(DarlTilgStart,8)),$J3600*($H3600+INDEX(DarlTilgung,8))/100/12,IF(AND($G3600=0,$G3599=1),MAX($K3599,$J3600*($H3600+1)/100/12),$K3599))))</f>
      </c>
      <c r="L3600" s="43">
        <f>IF($I3600=0,0,$J3600*$H3600/100/12)</f>
      </c>
      <c r="M3600" s="43">
        <f>IF($I3600=0,0,IF(OR(INDEX(DarlOhneTilgung,8)=1,AND(INDEX(DarlTilgStart,8)&gt;0,$E3600&lt;INDEX(DarlTilgStart,8))),0,MIN(MAX(0,$K3600-$L3600),$J3600)))</f>
      </c>
      <c r="N3600" s="43">
        <f>IF($I3600=0,0,MIN(SUMIFS(SondBetrag,SondDarl,8,SondDatum,"&gt;="&amp;$E3600,SondDatum,"&lt;="&amp;EOMONTH($E3600,0)),$J3600-$M3600))</f>
      </c>
      <c r="O3600" s="43">
        <f>IF($I3600=0,0,INDEX(DarlErsatzRate,8))</f>
      </c>
      <c r="P3600" s="43">
        <f>IF($I3600=0,0,$Q3599*INDEX(DarlErsatzZins,8))</f>
      </c>
      <c r="Q3600" s="43">
        <f>IF($I3600=0,0,$Q3599+$P3600+$O3600)</f>
      </c>
      <c r="R3600" s="43">
        <f>IF($I3600=0,0,$J3600-$M3600-$N3600)</f>
      </c>
    </row>
    <row r="3601">
      <c r="A3601"/>
      <c r="B3601">
        <v>8</v>
      </c>
      <c r="C3601" s="43">
        <f>INDEX(DarlObj,8)</f>
      </c>
      <c r="D3601">
        <v>238</v>
      </c>
      <c r="E3601" s="51">
        <f>IF(INDEX(DarlBelegt,8)=0,0,EOMONTH(INDEX(DarlAuszahlung,8),237)+1)</f>
      </c>
      <c r="F3601" s="43">
        <f>IF($E3601=0,0,YEAR($E3601))</f>
      </c>
      <c r="G3601" s="43">
        <f>IF(INDEX(DarlBindung,8)="",1,IF($E3601&lt;=INDEX(DarlBindung,8),1,0))</f>
      </c>
      <c r="H3601" s="43">
        <f>IF($G3601=1,INDEX(DarlSollzins,8),INDEX(DarlAnschluss,8))</f>
      </c>
      <c r="I3601" s="43">
        <f>IF(INDEX(DarlBelegt,8)=0,0,IF(INDEX(DarlOhneTilgung,8)=1,IF(INDEX(DarlBindung,8)="",1,$G3601),IF($J3601&gt;0.005,1,0)))</f>
      </c>
      <c r="J3601" s="43">
        <f>IF($I3600=0,0,$R3600)</f>
      </c>
      <c r="K3601" s="43">
        <f>IF($I3601=0,0,IF(INDEX(DarlOhneTilgung,8)=1,0,IF(AND(INDEX(DarlTilgStart,8)&gt;0,$E3601=INDEX(DarlTilgStart,8)),$J3601*($H3601+INDEX(DarlTilgung,8))/100/12,IF(AND($G3601=0,$G3600=1),MAX($K3600,$J3601*($H3601+1)/100/12),$K3600))))</f>
      </c>
      <c r="L3601" s="43">
        <f>IF($I3601=0,0,$J3601*$H3601/100/12)</f>
      </c>
      <c r="M3601" s="43">
        <f>IF($I3601=0,0,IF(OR(INDEX(DarlOhneTilgung,8)=1,AND(INDEX(DarlTilgStart,8)&gt;0,$E3601&lt;INDEX(DarlTilgStart,8))),0,MIN(MAX(0,$K3601-$L3601),$J3601)))</f>
      </c>
      <c r="N3601" s="43">
        <f>IF($I3601=0,0,MIN(SUMIFS(SondBetrag,SondDarl,8,SondDatum,"&gt;="&amp;$E3601,SondDatum,"&lt;="&amp;EOMONTH($E3601,0)),$J3601-$M3601))</f>
      </c>
      <c r="O3601" s="43">
        <f>IF($I3601=0,0,INDEX(DarlErsatzRate,8))</f>
      </c>
      <c r="P3601" s="43">
        <f>IF($I3601=0,0,$Q3600*INDEX(DarlErsatzZins,8))</f>
      </c>
      <c r="Q3601" s="43">
        <f>IF($I3601=0,0,$Q3600+$P3601+$O3601)</f>
      </c>
      <c r="R3601" s="43">
        <f>IF($I3601=0,0,$J3601-$M3601-$N3601)</f>
      </c>
    </row>
    <row r="3602">
      <c r="A3602"/>
      <c r="B3602">
        <v>8</v>
      </c>
      <c r="C3602" s="43">
        <f>INDEX(DarlObj,8)</f>
      </c>
      <c r="D3602">
        <v>239</v>
      </c>
      <c r="E3602" s="51">
        <f>IF(INDEX(DarlBelegt,8)=0,0,EOMONTH(INDEX(DarlAuszahlung,8),238)+1)</f>
      </c>
      <c r="F3602" s="43">
        <f>IF($E3602=0,0,YEAR($E3602))</f>
      </c>
      <c r="G3602" s="43">
        <f>IF(INDEX(DarlBindung,8)="",1,IF($E3602&lt;=INDEX(DarlBindung,8),1,0))</f>
      </c>
      <c r="H3602" s="43">
        <f>IF($G3602=1,INDEX(DarlSollzins,8),INDEX(DarlAnschluss,8))</f>
      </c>
      <c r="I3602" s="43">
        <f>IF(INDEX(DarlBelegt,8)=0,0,IF(INDEX(DarlOhneTilgung,8)=1,IF(INDEX(DarlBindung,8)="",1,$G3602),IF($J3602&gt;0.005,1,0)))</f>
      </c>
      <c r="J3602" s="43">
        <f>IF($I3601=0,0,$R3601)</f>
      </c>
      <c r="K3602" s="43">
        <f>IF($I3602=0,0,IF(INDEX(DarlOhneTilgung,8)=1,0,IF(AND(INDEX(DarlTilgStart,8)&gt;0,$E3602=INDEX(DarlTilgStart,8)),$J3602*($H3602+INDEX(DarlTilgung,8))/100/12,IF(AND($G3602=0,$G3601=1),MAX($K3601,$J3602*($H3602+1)/100/12),$K3601))))</f>
      </c>
      <c r="L3602" s="43">
        <f>IF($I3602=0,0,$J3602*$H3602/100/12)</f>
      </c>
      <c r="M3602" s="43">
        <f>IF($I3602=0,0,IF(OR(INDEX(DarlOhneTilgung,8)=1,AND(INDEX(DarlTilgStart,8)&gt;0,$E3602&lt;INDEX(DarlTilgStart,8))),0,MIN(MAX(0,$K3602-$L3602),$J3602)))</f>
      </c>
      <c r="N3602" s="43">
        <f>IF($I3602=0,0,MIN(SUMIFS(SondBetrag,SondDarl,8,SondDatum,"&gt;="&amp;$E3602,SondDatum,"&lt;="&amp;EOMONTH($E3602,0)),$J3602-$M3602))</f>
      </c>
      <c r="O3602" s="43">
        <f>IF($I3602=0,0,INDEX(DarlErsatzRate,8))</f>
      </c>
      <c r="P3602" s="43">
        <f>IF($I3602=0,0,$Q3601*INDEX(DarlErsatzZins,8))</f>
      </c>
      <c r="Q3602" s="43">
        <f>IF($I3602=0,0,$Q3601+$P3602+$O3602)</f>
      </c>
      <c r="R3602" s="43">
        <f>IF($I3602=0,0,$J3602-$M3602-$N3602)</f>
      </c>
    </row>
    <row r="3603">
      <c r="A3603"/>
      <c r="B3603">
        <v>8</v>
      </c>
      <c r="C3603" s="43">
        <f>INDEX(DarlObj,8)</f>
      </c>
      <c r="D3603">
        <v>240</v>
      </c>
      <c r="E3603" s="51">
        <f>IF(INDEX(DarlBelegt,8)=0,0,EOMONTH(INDEX(DarlAuszahlung,8),239)+1)</f>
      </c>
      <c r="F3603" s="43">
        <f>IF($E3603=0,0,YEAR($E3603))</f>
      </c>
      <c r="G3603" s="43">
        <f>IF(INDEX(DarlBindung,8)="",1,IF($E3603&lt;=INDEX(DarlBindung,8),1,0))</f>
      </c>
      <c r="H3603" s="43">
        <f>IF($G3603=1,INDEX(DarlSollzins,8),INDEX(DarlAnschluss,8))</f>
      </c>
      <c r="I3603" s="43">
        <f>IF(INDEX(DarlBelegt,8)=0,0,IF(INDEX(DarlOhneTilgung,8)=1,IF(INDEX(DarlBindung,8)="",1,$G3603),IF($J3603&gt;0.005,1,0)))</f>
      </c>
      <c r="J3603" s="43">
        <f>IF($I3602=0,0,$R3602)</f>
      </c>
      <c r="K3603" s="43">
        <f>IF($I3603=0,0,IF(INDEX(DarlOhneTilgung,8)=1,0,IF(AND(INDEX(DarlTilgStart,8)&gt;0,$E3603=INDEX(DarlTilgStart,8)),$J3603*($H3603+INDEX(DarlTilgung,8))/100/12,IF(AND($G3603=0,$G3602=1),MAX($K3602,$J3603*($H3603+1)/100/12),$K3602))))</f>
      </c>
      <c r="L3603" s="43">
        <f>IF($I3603=0,0,$J3603*$H3603/100/12)</f>
      </c>
      <c r="M3603" s="43">
        <f>IF($I3603=0,0,IF(OR(INDEX(DarlOhneTilgung,8)=1,AND(INDEX(DarlTilgStart,8)&gt;0,$E3603&lt;INDEX(DarlTilgStart,8))),0,MIN(MAX(0,$K3603-$L3603),$J3603)))</f>
      </c>
      <c r="N3603" s="43">
        <f>IF($I3603=0,0,MIN(SUMIFS(SondBetrag,SondDarl,8,SondDatum,"&gt;="&amp;$E3603,SondDatum,"&lt;="&amp;EOMONTH($E3603,0)),$J3603-$M3603))</f>
      </c>
      <c r="O3603" s="43">
        <f>IF($I3603=0,0,INDEX(DarlErsatzRate,8))</f>
      </c>
      <c r="P3603" s="43">
        <f>IF($I3603=0,0,$Q3602*INDEX(DarlErsatzZins,8))</f>
      </c>
      <c r="Q3603" s="43">
        <f>IF($I3603=0,0,$Q3602+$P3603+$O3603)</f>
      </c>
      <c r="R3603" s="43">
        <f>IF($I3603=0,0,$J3603-$M3603-$N3603)</f>
      </c>
    </row>
    <row r="3604">
      <c r="A3604"/>
      <c r="B3604">
        <v>8</v>
      </c>
      <c r="C3604" s="43">
        <f>INDEX(DarlObj,8)</f>
      </c>
      <c r="D3604">
        <v>241</v>
      </c>
      <c r="E3604" s="51">
        <f>IF(INDEX(DarlBelegt,8)=0,0,EOMONTH(INDEX(DarlAuszahlung,8),240)+1)</f>
      </c>
      <c r="F3604" s="43">
        <f>IF($E3604=0,0,YEAR($E3604))</f>
      </c>
      <c r="G3604" s="43">
        <f>IF(INDEX(DarlBindung,8)="",1,IF($E3604&lt;=INDEX(DarlBindung,8),1,0))</f>
      </c>
      <c r="H3604" s="43">
        <f>IF($G3604=1,INDEX(DarlSollzins,8),INDEX(DarlAnschluss,8))</f>
      </c>
      <c r="I3604" s="43">
        <f>IF(INDEX(DarlBelegt,8)=0,0,IF(INDEX(DarlOhneTilgung,8)=1,IF(INDEX(DarlBindung,8)="",1,$G3604),IF($J3604&gt;0.005,1,0)))</f>
      </c>
      <c r="J3604" s="43">
        <f>IF($I3603=0,0,$R3603)</f>
      </c>
      <c r="K3604" s="43">
        <f>IF($I3604=0,0,IF(INDEX(DarlOhneTilgung,8)=1,0,IF(AND(INDEX(DarlTilgStart,8)&gt;0,$E3604=INDEX(DarlTilgStart,8)),$J3604*($H3604+INDEX(DarlTilgung,8))/100/12,IF(AND($G3604=0,$G3603=1),MAX($K3603,$J3604*($H3604+1)/100/12),$K3603))))</f>
      </c>
      <c r="L3604" s="43">
        <f>IF($I3604=0,0,$J3604*$H3604/100/12)</f>
      </c>
      <c r="M3604" s="43">
        <f>IF($I3604=0,0,IF(OR(INDEX(DarlOhneTilgung,8)=1,AND(INDEX(DarlTilgStart,8)&gt;0,$E3604&lt;INDEX(DarlTilgStart,8))),0,MIN(MAX(0,$K3604-$L3604),$J3604)))</f>
      </c>
      <c r="N3604" s="43">
        <f>IF($I3604=0,0,MIN(SUMIFS(SondBetrag,SondDarl,8,SondDatum,"&gt;="&amp;$E3604,SondDatum,"&lt;="&amp;EOMONTH($E3604,0)),$J3604-$M3604))</f>
      </c>
      <c r="O3604" s="43">
        <f>IF($I3604=0,0,INDEX(DarlErsatzRate,8))</f>
      </c>
      <c r="P3604" s="43">
        <f>IF($I3604=0,0,$Q3603*INDEX(DarlErsatzZins,8))</f>
      </c>
      <c r="Q3604" s="43">
        <f>IF($I3604=0,0,$Q3603+$P3604+$O3604)</f>
      </c>
      <c r="R3604" s="43">
        <f>IF($I3604=0,0,$J3604-$M3604-$N3604)</f>
      </c>
    </row>
    <row r="3605">
      <c r="A3605"/>
      <c r="B3605">
        <v>8</v>
      </c>
      <c r="C3605" s="43">
        <f>INDEX(DarlObj,8)</f>
      </c>
      <c r="D3605">
        <v>242</v>
      </c>
      <c r="E3605" s="51">
        <f>IF(INDEX(DarlBelegt,8)=0,0,EOMONTH(INDEX(DarlAuszahlung,8),241)+1)</f>
      </c>
      <c r="F3605" s="43">
        <f>IF($E3605=0,0,YEAR($E3605))</f>
      </c>
      <c r="G3605" s="43">
        <f>IF(INDEX(DarlBindung,8)="",1,IF($E3605&lt;=INDEX(DarlBindung,8),1,0))</f>
      </c>
      <c r="H3605" s="43">
        <f>IF($G3605=1,INDEX(DarlSollzins,8),INDEX(DarlAnschluss,8))</f>
      </c>
      <c r="I3605" s="43">
        <f>IF(INDEX(DarlBelegt,8)=0,0,IF(INDEX(DarlOhneTilgung,8)=1,IF(INDEX(DarlBindung,8)="",1,$G3605),IF($J3605&gt;0.005,1,0)))</f>
      </c>
      <c r="J3605" s="43">
        <f>IF($I3604=0,0,$R3604)</f>
      </c>
      <c r="K3605" s="43">
        <f>IF($I3605=0,0,IF(INDEX(DarlOhneTilgung,8)=1,0,IF(AND(INDEX(DarlTilgStart,8)&gt;0,$E3605=INDEX(DarlTilgStart,8)),$J3605*($H3605+INDEX(DarlTilgung,8))/100/12,IF(AND($G3605=0,$G3604=1),MAX($K3604,$J3605*($H3605+1)/100/12),$K3604))))</f>
      </c>
      <c r="L3605" s="43">
        <f>IF($I3605=0,0,$J3605*$H3605/100/12)</f>
      </c>
      <c r="M3605" s="43">
        <f>IF($I3605=0,0,IF(OR(INDEX(DarlOhneTilgung,8)=1,AND(INDEX(DarlTilgStart,8)&gt;0,$E3605&lt;INDEX(DarlTilgStart,8))),0,MIN(MAX(0,$K3605-$L3605),$J3605)))</f>
      </c>
      <c r="N3605" s="43">
        <f>IF($I3605=0,0,MIN(SUMIFS(SondBetrag,SondDarl,8,SondDatum,"&gt;="&amp;$E3605,SondDatum,"&lt;="&amp;EOMONTH($E3605,0)),$J3605-$M3605))</f>
      </c>
      <c r="O3605" s="43">
        <f>IF($I3605=0,0,INDEX(DarlErsatzRate,8))</f>
      </c>
      <c r="P3605" s="43">
        <f>IF($I3605=0,0,$Q3604*INDEX(DarlErsatzZins,8))</f>
      </c>
      <c r="Q3605" s="43">
        <f>IF($I3605=0,0,$Q3604+$P3605+$O3605)</f>
      </c>
      <c r="R3605" s="43">
        <f>IF($I3605=0,0,$J3605-$M3605-$N3605)</f>
      </c>
    </row>
    <row r="3606">
      <c r="A3606"/>
      <c r="B3606">
        <v>8</v>
      </c>
      <c r="C3606" s="43">
        <f>INDEX(DarlObj,8)</f>
      </c>
      <c r="D3606">
        <v>243</v>
      </c>
      <c r="E3606" s="51">
        <f>IF(INDEX(DarlBelegt,8)=0,0,EOMONTH(INDEX(DarlAuszahlung,8),242)+1)</f>
      </c>
      <c r="F3606" s="43">
        <f>IF($E3606=0,0,YEAR($E3606))</f>
      </c>
      <c r="G3606" s="43">
        <f>IF(INDEX(DarlBindung,8)="",1,IF($E3606&lt;=INDEX(DarlBindung,8),1,0))</f>
      </c>
      <c r="H3606" s="43">
        <f>IF($G3606=1,INDEX(DarlSollzins,8),INDEX(DarlAnschluss,8))</f>
      </c>
      <c r="I3606" s="43">
        <f>IF(INDEX(DarlBelegt,8)=0,0,IF(INDEX(DarlOhneTilgung,8)=1,IF(INDEX(DarlBindung,8)="",1,$G3606),IF($J3606&gt;0.005,1,0)))</f>
      </c>
      <c r="J3606" s="43">
        <f>IF($I3605=0,0,$R3605)</f>
      </c>
      <c r="K3606" s="43">
        <f>IF($I3606=0,0,IF(INDEX(DarlOhneTilgung,8)=1,0,IF(AND(INDEX(DarlTilgStart,8)&gt;0,$E3606=INDEX(DarlTilgStart,8)),$J3606*($H3606+INDEX(DarlTilgung,8))/100/12,IF(AND($G3606=0,$G3605=1),MAX($K3605,$J3606*($H3606+1)/100/12),$K3605))))</f>
      </c>
      <c r="L3606" s="43">
        <f>IF($I3606=0,0,$J3606*$H3606/100/12)</f>
      </c>
      <c r="M3606" s="43">
        <f>IF($I3606=0,0,IF(OR(INDEX(DarlOhneTilgung,8)=1,AND(INDEX(DarlTilgStart,8)&gt;0,$E3606&lt;INDEX(DarlTilgStart,8))),0,MIN(MAX(0,$K3606-$L3606),$J3606)))</f>
      </c>
      <c r="N3606" s="43">
        <f>IF($I3606=0,0,MIN(SUMIFS(SondBetrag,SondDarl,8,SondDatum,"&gt;="&amp;$E3606,SondDatum,"&lt;="&amp;EOMONTH($E3606,0)),$J3606-$M3606))</f>
      </c>
      <c r="O3606" s="43">
        <f>IF($I3606=0,0,INDEX(DarlErsatzRate,8))</f>
      </c>
      <c r="P3606" s="43">
        <f>IF($I3606=0,0,$Q3605*INDEX(DarlErsatzZins,8))</f>
      </c>
      <c r="Q3606" s="43">
        <f>IF($I3606=0,0,$Q3605+$P3606+$O3606)</f>
      </c>
      <c r="R3606" s="43">
        <f>IF($I3606=0,0,$J3606-$M3606-$N3606)</f>
      </c>
    </row>
    <row r="3607">
      <c r="A3607"/>
      <c r="B3607">
        <v>8</v>
      </c>
      <c r="C3607" s="43">
        <f>INDEX(DarlObj,8)</f>
      </c>
      <c r="D3607">
        <v>244</v>
      </c>
      <c r="E3607" s="51">
        <f>IF(INDEX(DarlBelegt,8)=0,0,EOMONTH(INDEX(DarlAuszahlung,8),243)+1)</f>
      </c>
      <c r="F3607" s="43">
        <f>IF($E3607=0,0,YEAR($E3607))</f>
      </c>
      <c r="G3607" s="43">
        <f>IF(INDEX(DarlBindung,8)="",1,IF($E3607&lt;=INDEX(DarlBindung,8),1,0))</f>
      </c>
      <c r="H3607" s="43">
        <f>IF($G3607=1,INDEX(DarlSollzins,8),INDEX(DarlAnschluss,8))</f>
      </c>
      <c r="I3607" s="43">
        <f>IF(INDEX(DarlBelegt,8)=0,0,IF(INDEX(DarlOhneTilgung,8)=1,IF(INDEX(DarlBindung,8)="",1,$G3607),IF($J3607&gt;0.005,1,0)))</f>
      </c>
      <c r="J3607" s="43">
        <f>IF($I3606=0,0,$R3606)</f>
      </c>
      <c r="K3607" s="43">
        <f>IF($I3607=0,0,IF(INDEX(DarlOhneTilgung,8)=1,0,IF(AND(INDEX(DarlTilgStart,8)&gt;0,$E3607=INDEX(DarlTilgStart,8)),$J3607*($H3607+INDEX(DarlTilgung,8))/100/12,IF(AND($G3607=0,$G3606=1),MAX($K3606,$J3607*($H3607+1)/100/12),$K3606))))</f>
      </c>
      <c r="L3607" s="43">
        <f>IF($I3607=0,0,$J3607*$H3607/100/12)</f>
      </c>
      <c r="M3607" s="43">
        <f>IF($I3607=0,0,IF(OR(INDEX(DarlOhneTilgung,8)=1,AND(INDEX(DarlTilgStart,8)&gt;0,$E3607&lt;INDEX(DarlTilgStart,8))),0,MIN(MAX(0,$K3607-$L3607),$J3607)))</f>
      </c>
      <c r="N3607" s="43">
        <f>IF($I3607=0,0,MIN(SUMIFS(SondBetrag,SondDarl,8,SondDatum,"&gt;="&amp;$E3607,SondDatum,"&lt;="&amp;EOMONTH($E3607,0)),$J3607-$M3607))</f>
      </c>
      <c r="O3607" s="43">
        <f>IF($I3607=0,0,INDEX(DarlErsatzRate,8))</f>
      </c>
      <c r="P3607" s="43">
        <f>IF($I3607=0,0,$Q3606*INDEX(DarlErsatzZins,8))</f>
      </c>
      <c r="Q3607" s="43">
        <f>IF($I3607=0,0,$Q3606+$P3607+$O3607)</f>
      </c>
      <c r="R3607" s="43">
        <f>IF($I3607=0,0,$J3607-$M3607-$N3607)</f>
      </c>
    </row>
    <row r="3608">
      <c r="A3608"/>
      <c r="B3608">
        <v>8</v>
      </c>
      <c r="C3608" s="43">
        <f>INDEX(DarlObj,8)</f>
      </c>
      <c r="D3608">
        <v>245</v>
      </c>
      <c r="E3608" s="51">
        <f>IF(INDEX(DarlBelegt,8)=0,0,EOMONTH(INDEX(DarlAuszahlung,8),244)+1)</f>
      </c>
      <c r="F3608" s="43">
        <f>IF($E3608=0,0,YEAR($E3608))</f>
      </c>
      <c r="G3608" s="43">
        <f>IF(INDEX(DarlBindung,8)="",1,IF($E3608&lt;=INDEX(DarlBindung,8),1,0))</f>
      </c>
      <c r="H3608" s="43">
        <f>IF($G3608=1,INDEX(DarlSollzins,8),INDEX(DarlAnschluss,8))</f>
      </c>
      <c r="I3608" s="43">
        <f>IF(INDEX(DarlBelegt,8)=0,0,IF(INDEX(DarlOhneTilgung,8)=1,IF(INDEX(DarlBindung,8)="",1,$G3608),IF($J3608&gt;0.005,1,0)))</f>
      </c>
      <c r="J3608" s="43">
        <f>IF($I3607=0,0,$R3607)</f>
      </c>
      <c r="K3608" s="43">
        <f>IF($I3608=0,0,IF(INDEX(DarlOhneTilgung,8)=1,0,IF(AND(INDEX(DarlTilgStart,8)&gt;0,$E3608=INDEX(DarlTilgStart,8)),$J3608*($H3608+INDEX(DarlTilgung,8))/100/12,IF(AND($G3608=0,$G3607=1),MAX($K3607,$J3608*($H3608+1)/100/12),$K3607))))</f>
      </c>
      <c r="L3608" s="43">
        <f>IF($I3608=0,0,$J3608*$H3608/100/12)</f>
      </c>
      <c r="M3608" s="43">
        <f>IF($I3608=0,0,IF(OR(INDEX(DarlOhneTilgung,8)=1,AND(INDEX(DarlTilgStart,8)&gt;0,$E3608&lt;INDEX(DarlTilgStart,8))),0,MIN(MAX(0,$K3608-$L3608),$J3608)))</f>
      </c>
      <c r="N3608" s="43">
        <f>IF($I3608=0,0,MIN(SUMIFS(SondBetrag,SondDarl,8,SondDatum,"&gt;="&amp;$E3608,SondDatum,"&lt;="&amp;EOMONTH($E3608,0)),$J3608-$M3608))</f>
      </c>
      <c r="O3608" s="43">
        <f>IF($I3608=0,0,INDEX(DarlErsatzRate,8))</f>
      </c>
      <c r="P3608" s="43">
        <f>IF($I3608=0,0,$Q3607*INDEX(DarlErsatzZins,8))</f>
      </c>
      <c r="Q3608" s="43">
        <f>IF($I3608=0,0,$Q3607+$P3608+$O3608)</f>
      </c>
      <c r="R3608" s="43">
        <f>IF($I3608=0,0,$J3608-$M3608-$N3608)</f>
      </c>
    </row>
    <row r="3609">
      <c r="A3609"/>
      <c r="B3609">
        <v>8</v>
      </c>
      <c r="C3609" s="43">
        <f>INDEX(DarlObj,8)</f>
      </c>
      <c r="D3609">
        <v>246</v>
      </c>
      <c r="E3609" s="51">
        <f>IF(INDEX(DarlBelegt,8)=0,0,EOMONTH(INDEX(DarlAuszahlung,8),245)+1)</f>
      </c>
      <c r="F3609" s="43">
        <f>IF($E3609=0,0,YEAR($E3609))</f>
      </c>
      <c r="G3609" s="43">
        <f>IF(INDEX(DarlBindung,8)="",1,IF($E3609&lt;=INDEX(DarlBindung,8),1,0))</f>
      </c>
      <c r="H3609" s="43">
        <f>IF($G3609=1,INDEX(DarlSollzins,8),INDEX(DarlAnschluss,8))</f>
      </c>
      <c r="I3609" s="43">
        <f>IF(INDEX(DarlBelegt,8)=0,0,IF(INDEX(DarlOhneTilgung,8)=1,IF(INDEX(DarlBindung,8)="",1,$G3609),IF($J3609&gt;0.005,1,0)))</f>
      </c>
      <c r="J3609" s="43">
        <f>IF($I3608=0,0,$R3608)</f>
      </c>
      <c r="K3609" s="43">
        <f>IF($I3609=0,0,IF(INDEX(DarlOhneTilgung,8)=1,0,IF(AND(INDEX(DarlTilgStart,8)&gt;0,$E3609=INDEX(DarlTilgStart,8)),$J3609*($H3609+INDEX(DarlTilgung,8))/100/12,IF(AND($G3609=0,$G3608=1),MAX($K3608,$J3609*($H3609+1)/100/12),$K3608))))</f>
      </c>
      <c r="L3609" s="43">
        <f>IF($I3609=0,0,$J3609*$H3609/100/12)</f>
      </c>
      <c r="M3609" s="43">
        <f>IF($I3609=0,0,IF(OR(INDEX(DarlOhneTilgung,8)=1,AND(INDEX(DarlTilgStart,8)&gt;0,$E3609&lt;INDEX(DarlTilgStart,8))),0,MIN(MAX(0,$K3609-$L3609),$J3609)))</f>
      </c>
      <c r="N3609" s="43">
        <f>IF($I3609=0,0,MIN(SUMIFS(SondBetrag,SondDarl,8,SondDatum,"&gt;="&amp;$E3609,SondDatum,"&lt;="&amp;EOMONTH($E3609,0)),$J3609-$M3609))</f>
      </c>
      <c r="O3609" s="43">
        <f>IF($I3609=0,0,INDEX(DarlErsatzRate,8))</f>
      </c>
      <c r="P3609" s="43">
        <f>IF($I3609=0,0,$Q3608*INDEX(DarlErsatzZins,8))</f>
      </c>
      <c r="Q3609" s="43">
        <f>IF($I3609=0,0,$Q3608+$P3609+$O3609)</f>
      </c>
      <c r="R3609" s="43">
        <f>IF($I3609=0,0,$J3609-$M3609-$N3609)</f>
      </c>
    </row>
    <row r="3610">
      <c r="A3610"/>
      <c r="B3610">
        <v>8</v>
      </c>
      <c r="C3610" s="43">
        <f>INDEX(DarlObj,8)</f>
      </c>
      <c r="D3610">
        <v>247</v>
      </c>
      <c r="E3610" s="51">
        <f>IF(INDEX(DarlBelegt,8)=0,0,EOMONTH(INDEX(DarlAuszahlung,8),246)+1)</f>
      </c>
      <c r="F3610" s="43">
        <f>IF($E3610=0,0,YEAR($E3610))</f>
      </c>
      <c r="G3610" s="43">
        <f>IF(INDEX(DarlBindung,8)="",1,IF($E3610&lt;=INDEX(DarlBindung,8),1,0))</f>
      </c>
      <c r="H3610" s="43">
        <f>IF($G3610=1,INDEX(DarlSollzins,8),INDEX(DarlAnschluss,8))</f>
      </c>
      <c r="I3610" s="43">
        <f>IF(INDEX(DarlBelegt,8)=0,0,IF(INDEX(DarlOhneTilgung,8)=1,IF(INDEX(DarlBindung,8)="",1,$G3610),IF($J3610&gt;0.005,1,0)))</f>
      </c>
      <c r="J3610" s="43">
        <f>IF($I3609=0,0,$R3609)</f>
      </c>
      <c r="K3610" s="43">
        <f>IF($I3610=0,0,IF(INDEX(DarlOhneTilgung,8)=1,0,IF(AND(INDEX(DarlTilgStart,8)&gt;0,$E3610=INDEX(DarlTilgStart,8)),$J3610*($H3610+INDEX(DarlTilgung,8))/100/12,IF(AND($G3610=0,$G3609=1),MAX($K3609,$J3610*($H3610+1)/100/12),$K3609))))</f>
      </c>
      <c r="L3610" s="43">
        <f>IF($I3610=0,0,$J3610*$H3610/100/12)</f>
      </c>
      <c r="M3610" s="43">
        <f>IF($I3610=0,0,IF(OR(INDEX(DarlOhneTilgung,8)=1,AND(INDEX(DarlTilgStart,8)&gt;0,$E3610&lt;INDEX(DarlTilgStart,8))),0,MIN(MAX(0,$K3610-$L3610),$J3610)))</f>
      </c>
      <c r="N3610" s="43">
        <f>IF($I3610=0,0,MIN(SUMIFS(SondBetrag,SondDarl,8,SondDatum,"&gt;="&amp;$E3610,SondDatum,"&lt;="&amp;EOMONTH($E3610,0)),$J3610-$M3610))</f>
      </c>
      <c r="O3610" s="43">
        <f>IF($I3610=0,0,INDEX(DarlErsatzRate,8))</f>
      </c>
      <c r="P3610" s="43">
        <f>IF($I3610=0,0,$Q3609*INDEX(DarlErsatzZins,8))</f>
      </c>
      <c r="Q3610" s="43">
        <f>IF($I3610=0,0,$Q3609+$P3610+$O3610)</f>
      </c>
      <c r="R3610" s="43">
        <f>IF($I3610=0,0,$J3610-$M3610-$N3610)</f>
      </c>
    </row>
    <row r="3611">
      <c r="A3611"/>
      <c r="B3611">
        <v>8</v>
      </c>
      <c r="C3611" s="43">
        <f>INDEX(DarlObj,8)</f>
      </c>
      <c r="D3611">
        <v>248</v>
      </c>
      <c r="E3611" s="51">
        <f>IF(INDEX(DarlBelegt,8)=0,0,EOMONTH(INDEX(DarlAuszahlung,8),247)+1)</f>
      </c>
      <c r="F3611" s="43">
        <f>IF($E3611=0,0,YEAR($E3611))</f>
      </c>
      <c r="G3611" s="43">
        <f>IF(INDEX(DarlBindung,8)="",1,IF($E3611&lt;=INDEX(DarlBindung,8),1,0))</f>
      </c>
      <c r="H3611" s="43">
        <f>IF($G3611=1,INDEX(DarlSollzins,8),INDEX(DarlAnschluss,8))</f>
      </c>
      <c r="I3611" s="43">
        <f>IF(INDEX(DarlBelegt,8)=0,0,IF(INDEX(DarlOhneTilgung,8)=1,IF(INDEX(DarlBindung,8)="",1,$G3611),IF($J3611&gt;0.005,1,0)))</f>
      </c>
      <c r="J3611" s="43">
        <f>IF($I3610=0,0,$R3610)</f>
      </c>
      <c r="K3611" s="43">
        <f>IF($I3611=0,0,IF(INDEX(DarlOhneTilgung,8)=1,0,IF(AND(INDEX(DarlTilgStart,8)&gt;0,$E3611=INDEX(DarlTilgStart,8)),$J3611*($H3611+INDEX(DarlTilgung,8))/100/12,IF(AND($G3611=0,$G3610=1),MAX($K3610,$J3611*($H3611+1)/100/12),$K3610))))</f>
      </c>
      <c r="L3611" s="43">
        <f>IF($I3611=0,0,$J3611*$H3611/100/12)</f>
      </c>
      <c r="M3611" s="43">
        <f>IF($I3611=0,0,IF(OR(INDEX(DarlOhneTilgung,8)=1,AND(INDEX(DarlTilgStart,8)&gt;0,$E3611&lt;INDEX(DarlTilgStart,8))),0,MIN(MAX(0,$K3611-$L3611),$J3611)))</f>
      </c>
      <c r="N3611" s="43">
        <f>IF($I3611=0,0,MIN(SUMIFS(SondBetrag,SondDarl,8,SondDatum,"&gt;="&amp;$E3611,SondDatum,"&lt;="&amp;EOMONTH($E3611,0)),$J3611-$M3611))</f>
      </c>
      <c r="O3611" s="43">
        <f>IF($I3611=0,0,INDEX(DarlErsatzRate,8))</f>
      </c>
      <c r="P3611" s="43">
        <f>IF($I3611=0,0,$Q3610*INDEX(DarlErsatzZins,8))</f>
      </c>
      <c r="Q3611" s="43">
        <f>IF($I3611=0,0,$Q3610+$P3611+$O3611)</f>
      </c>
      <c r="R3611" s="43">
        <f>IF($I3611=0,0,$J3611-$M3611-$N3611)</f>
      </c>
    </row>
    <row r="3612">
      <c r="A3612"/>
      <c r="B3612">
        <v>8</v>
      </c>
      <c r="C3612" s="43">
        <f>INDEX(DarlObj,8)</f>
      </c>
      <c r="D3612">
        <v>249</v>
      </c>
      <c r="E3612" s="51">
        <f>IF(INDEX(DarlBelegt,8)=0,0,EOMONTH(INDEX(DarlAuszahlung,8),248)+1)</f>
      </c>
      <c r="F3612" s="43">
        <f>IF($E3612=0,0,YEAR($E3612))</f>
      </c>
      <c r="G3612" s="43">
        <f>IF(INDEX(DarlBindung,8)="",1,IF($E3612&lt;=INDEX(DarlBindung,8),1,0))</f>
      </c>
      <c r="H3612" s="43">
        <f>IF($G3612=1,INDEX(DarlSollzins,8),INDEX(DarlAnschluss,8))</f>
      </c>
      <c r="I3612" s="43">
        <f>IF(INDEX(DarlBelegt,8)=0,0,IF(INDEX(DarlOhneTilgung,8)=1,IF(INDEX(DarlBindung,8)="",1,$G3612),IF($J3612&gt;0.005,1,0)))</f>
      </c>
      <c r="J3612" s="43">
        <f>IF($I3611=0,0,$R3611)</f>
      </c>
      <c r="K3612" s="43">
        <f>IF($I3612=0,0,IF(INDEX(DarlOhneTilgung,8)=1,0,IF(AND(INDEX(DarlTilgStart,8)&gt;0,$E3612=INDEX(DarlTilgStart,8)),$J3612*($H3612+INDEX(DarlTilgung,8))/100/12,IF(AND($G3612=0,$G3611=1),MAX($K3611,$J3612*($H3612+1)/100/12),$K3611))))</f>
      </c>
      <c r="L3612" s="43">
        <f>IF($I3612=0,0,$J3612*$H3612/100/12)</f>
      </c>
      <c r="M3612" s="43">
        <f>IF($I3612=0,0,IF(OR(INDEX(DarlOhneTilgung,8)=1,AND(INDEX(DarlTilgStart,8)&gt;0,$E3612&lt;INDEX(DarlTilgStart,8))),0,MIN(MAX(0,$K3612-$L3612),$J3612)))</f>
      </c>
      <c r="N3612" s="43">
        <f>IF($I3612=0,0,MIN(SUMIFS(SondBetrag,SondDarl,8,SondDatum,"&gt;="&amp;$E3612,SondDatum,"&lt;="&amp;EOMONTH($E3612,0)),$J3612-$M3612))</f>
      </c>
      <c r="O3612" s="43">
        <f>IF($I3612=0,0,INDEX(DarlErsatzRate,8))</f>
      </c>
      <c r="P3612" s="43">
        <f>IF($I3612=0,0,$Q3611*INDEX(DarlErsatzZins,8))</f>
      </c>
      <c r="Q3612" s="43">
        <f>IF($I3612=0,0,$Q3611+$P3612+$O3612)</f>
      </c>
      <c r="R3612" s="43">
        <f>IF($I3612=0,0,$J3612-$M3612-$N3612)</f>
      </c>
    </row>
    <row r="3613">
      <c r="A3613"/>
      <c r="B3613">
        <v>8</v>
      </c>
      <c r="C3613" s="43">
        <f>INDEX(DarlObj,8)</f>
      </c>
      <c r="D3613">
        <v>250</v>
      </c>
      <c r="E3613" s="51">
        <f>IF(INDEX(DarlBelegt,8)=0,0,EOMONTH(INDEX(DarlAuszahlung,8),249)+1)</f>
      </c>
      <c r="F3613" s="43">
        <f>IF($E3613=0,0,YEAR($E3613))</f>
      </c>
      <c r="G3613" s="43">
        <f>IF(INDEX(DarlBindung,8)="",1,IF($E3613&lt;=INDEX(DarlBindung,8),1,0))</f>
      </c>
      <c r="H3613" s="43">
        <f>IF($G3613=1,INDEX(DarlSollzins,8),INDEX(DarlAnschluss,8))</f>
      </c>
      <c r="I3613" s="43">
        <f>IF(INDEX(DarlBelegt,8)=0,0,IF(INDEX(DarlOhneTilgung,8)=1,IF(INDEX(DarlBindung,8)="",1,$G3613),IF($J3613&gt;0.005,1,0)))</f>
      </c>
      <c r="J3613" s="43">
        <f>IF($I3612=0,0,$R3612)</f>
      </c>
      <c r="K3613" s="43">
        <f>IF($I3613=0,0,IF(INDEX(DarlOhneTilgung,8)=1,0,IF(AND(INDEX(DarlTilgStart,8)&gt;0,$E3613=INDEX(DarlTilgStart,8)),$J3613*($H3613+INDEX(DarlTilgung,8))/100/12,IF(AND($G3613=0,$G3612=1),MAX($K3612,$J3613*($H3613+1)/100/12),$K3612))))</f>
      </c>
      <c r="L3613" s="43">
        <f>IF($I3613=0,0,$J3613*$H3613/100/12)</f>
      </c>
      <c r="M3613" s="43">
        <f>IF($I3613=0,0,IF(OR(INDEX(DarlOhneTilgung,8)=1,AND(INDEX(DarlTilgStart,8)&gt;0,$E3613&lt;INDEX(DarlTilgStart,8))),0,MIN(MAX(0,$K3613-$L3613),$J3613)))</f>
      </c>
      <c r="N3613" s="43">
        <f>IF($I3613=0,0,MIN(SUMIFS(SondBetrag,SondDarl,8,SondDatum,"&gt;="&amp;$E3613,SondDatum,"&lt;="&amp;EOMONTH($E3613,0)),$J3613-$M3613))</f>
      </c>
      <c r="O3613" s="43">
        <f>IF($I3613=0,0,INDEX(DarlErsatzRate,8))</f>
      </c>
      <c r="P3613" s="43">
        <f>IF($I3613=0,0,$Q3612*INDEX(DarlErsatzZins,8))</f>
      </c>
      <c r="Q3613" s="43">
        <f>IF($I3613=0,0,$Q3612+$P3613+$O3613)</f>
      </c>
      <c r="R3613" s="43">
        <f>IF($I3613=0,0,$J3613-$M3613-$N3613)</f>
      </c>
    </row>
    <row r="3614">
      <c r="A3614"/>
      <c r="B3614">
        <v>8</v>
      </c>
      <c r="C3614" s="43">
        <f>INDEX(DarlObj,8)</f>
      </c>
      <c r="D3614">
        <v>251</v>
      </c>
      <c r="E3614" s="51">
        <f>IF(INDEX(DarlBelegt,8)=0,0,EOMONTH(INDEX(DarlAuszahlung,8),250)+1)</f>
      </c>
      <c r="F3614" s="43">
        <f>IF($E3614=0,0,YEAR($E3614))</f>
      </c>
      <c r="G3614" s="43">
        <f>IF(INDEX(DarlBindung,8)="",1,IF($E3614&lt;=INDEX(DarlBindung,8),1,0))</f>
      </c>
      <c r="H3614" s="43">
        <f>IF($G3614=1,INDEX(DarlSollzins,8),INDEX(DarlAnschluss,8))</f>
      </c>
      <c r="I3614" s="43">
        <f>IF(INDEX(DarlBelegt,8)=0,0,IF(INDEX(DarlOhneTilgung,8)=1,IF(INDEX(DarlBindung,8)="",1,$G3614),IF($J3614&gt;0.005,1,0)))</f>
      </c>
      <c r="J3614" s="43">
        <f>IF($I3613=0,0,$R3613)</f>
      </c>
      <c r="K3614" s="43">
        <f>IF($I3614=0,0,IF(INDEX(DarlOhneTilgung,8)=1,0,IF(AND(INDEX(DarlTilgStart,8)&gt;0,$E3614=INDEX(DarlTilgStart,8)),$J3614*($H3614+INDEX(DarlTilgung,8))/100/12,IF(AND($G3614=0,$G3613=1),MAX($K3613,$J3614*($H3614+1)/100/12),$K3613))))</f>
      </c>
      <c r="L3614" s="43">
        <f>IF($I3614=0,0,$J3614*$H3614/100/12)</f>
      </c>
      <c r="M3614" s="43">
        <f>IF($I3614=0,0,IF(OR(INDEX(DarlOhneTilgung,8)=1,AND(INDEX(DarlTilgStart,8)&gt;0,$E3614&lt;INDEX(DarlTilgStart,8))),0,MIN(MAX(0,$K3614-$L3614),$J3614)))</f>
      </c>
      <c r="N3614" s="43">
        <f>IF($I3614=0,0,MIN(SUMIFS(SondBetrag,SondDarl,8,SondDatum,"&gt;="&amp;$E3614,SondDatum,"&lt;="&amp;EOMONTH($E3614,0)),$J3614-$M3614))</f>
      </c>
      <c r="O3614" s="43">
        <f>IF($I3614=0,0,INDEX(DarlErsatzRate,8))</f>
      </c>
      <c r="P3614" s="43">
        <f>IF($I3614=0,0,$Q3613*INDEX(DarlErsatzZins,8))</f>
      </c>
      <c r="Q3614" s="43">
        <f>IF($I3614=0,0,$Q3613+$P3614+$O3614)</f>
      </c>
      <c r="R3614" s="43">
        <f>IF($I3614=0,0,$J3614-$M3614-$N3614)</f>
      </c>
    </row>
    <row r="3615">
      <c r="A3615"/>
      <c r="B3615">
        <v>8</v>
      </c>
      <c r="C3615" s="43">
        <f>INDEX(DarlObj,8)</f>
      </c>
      <c r="D3615">
        <v>252</v>
      </c>
      <c r="E3615" s="51">
        <f>IF(INDEX(DarlBelegt,8)=0,0,EOMONTH(INDEX(DarlAuszahlung,8),251)+1)</f>
      </c>
      <c r="F3615" s="43">
        <f>IF($E3615=0,0,YEAR($E3615))</f>
      </c>
      <c r="G3615" s="43">
        <f>IF(INDEX(DarlBindung,8)="",1,IF($E3615&lt;=INDEX(DarlBindung,8),1,0))</f>
      </c>
      <c r="H3615" s="43">
        <f>IF($G3615=1,INDEX(DarlSollzins,8),INDEX(DarlAnschluss,8))</f>
      </c>
      <c r="I3615" s="43">
        <f>IF(INDEX(DarlBelegt,8)=0,0,IF(INDEX(DarlOhneTilgung,8)=1,IF(INDEX(DarlBindung,8)="",1,$G3615),IF($J3615&gt;0.005,1,0)))</f>
      </c>
      <c r="J3615" s="43">
        <f>IF($I3614=0,0,$R3614)</f>
      </c>
      <c r="K3615" s="43">
        <f>IF($I3615=0,0,IF(INDEX(DarlOhneTilgung,8)=1,0,IF(AND(INDEX(DarlTilgStart,8)&gt;0,$E3615=INDEX(DarlTilgStart,8)),$J3615*($H3615+INDEX(DarlTilgung,8))/100/12,IF(AND($G3615=0,$G3614=1),MAX($K3614,$J3615*($H3615+1)/100/12),$K3614))))</f>
      </c>
      <c r="L3615" s="43">
        <f>IF($I3615=0,0,$J3615*$H3615/100/12)</f>
      </c>
      <c r="M3615" s="43">
        <f>IF($I3615=0,0,IF(OR(INDEX(DarlOhneTilgung,8)=1,AND(INDEX(DarlTilgStart,8)&gt;0,$E3615&lt;INDEX(DarlTilgStart,8))),0,MIN(MAX(0,$K3615-$L3615),$J3615)))</f>
      </c>
      <c r="N3615" s="43">
        <f>IF($I3615=0,0,MIN(SUMIFS(SondBetrag,SondDarl,8,SondDatum,"&gt;="&amp;$E3615,SondDatum,"&lt;="&amp;EOMONTH($E3615,0)),$J3615-$M3615))</f>
      </c>
      <c r="O3615" s="43">
        <f>IF($I3615=0,0,INDEX(DarlErsatzRate,8))</f>
      </c>
      <c r="P3615" s="43">
        <f>IF($I3615=0,0,$Q3614*INDEX(DarlErsatzZins,8))</f>
      </c>
      <c r="Q3615" s="43">
        <f>IF($I3615=0,0,$Q3614+$P3615+$O3615)</f>
      </c>
      <c r="R3615" s="43">
        <f>IF($I3615=0,0,$J3615-$M3615-$N3615)</f>
      </c>
    </row>
    <row r="3616">
      <c r="A3616"/>
      <c r="B3616">
        <v>8</v>
      </c>
      <c r="C3616" s="43">
        <f>INDEX(DarlObj,8)</f>
      </c>
      <c r="D3616">
        <v>253</v>
      </c>
      <c r="E3616" s="51">
        <f>IF(INDEX(DarlBelegt,8)=0,0,EOMONTH(INDEX(DarlAuszahlung,8),252)+1)</f>
      </c>
      <c r="F3616" s="43">
        <f>IF($E3616=0,0,YEAR($E3616))</f>
      </c>
      <c r="G3616" s="43">
        <f>IF(INDEX(DarlBindung,8)="",1,IF($E3616&lt;=INDEX(DarlBindung,8),1,0))</f>
      </c>
      <c r="H3616" s="43">
        <f>IF($G3616=1,INDEX(DarlSollzins,8),INDEX(DarlAnschluss,8))</f>
      </c>
      <c r="I3616" s="43">
        <f>IF(INDEX(DarlBelegt,8)=0,0,IF(INDEX(DarlOhneTilgung,8)=1,IF(INDEX(DarlBindung,8)="",1,$G3616),IF($J3616&gt;0.005,1,0)))</f>
      </c>
      <c r="J3616" s="43">
        <f>IF($I3615=0,0,$R3615)</f>
      </c>
      <c r="K3616" s="43">
        <f>IF($I3616=0,0,IF(INDEX(DarlOhneTilgung,8)=1,0,IF(AND(INDEX(DarlTilgStart,8)&gt;0,$E3616=INDEX(DarlTilgStart,8)),$J3616*($H3616+INDEX(DarlTilgung,8))/100/12,IF(AND($G3616=0,$G3615=1),MAX($K3615,$J3616*($H3616+1)/100/12),$K3615))))</f>
      </c>
      <c r="L3616" s="43">
        <f>IF($I3616=0,0,$J3616*$H3616/100/12)</f>
      </c>
      <c r="M3616" s="43">
        <f>IF($I3616=0,0,IF(OR(INDEX(DarlOhneTilgung,8)=1,AND(INDEX(DarlTilgStart,8)&gt;0,$E3616&lt;INDEX(DarlTilgStart,8))),0,MIN(MAX(0,$K3616-$L3616),$J3616)))</f>
      </c>
      <c r="N3616" s="43">
        <f>IF($I3616=0,0,MIN(SUMIFS(SondBetrag,SondDarl,8,SondDatum,"&gt;="&amp;$E3616,SondDatum,"&lt;="&amp;EOMONTH($E3616,0)),$J3616-$M3616))</f>
      </c>
      <c r="O3616" s="43">
        <f>IF($I3616=0,0,INDEX(DarlErsatzRate,8))</f>
      </c>
      <c r="P3616" s="43">
        <f>IF($I3616=0,0,$Q3615*INDEX(DarlErsatzZins,8))</f>
      </c>
      <c r="Q3616" s="43">
        <f>IF($I3616=0,0,$Q3615+$P3616+$O3616)</f>
      </c>
      <c r="R3616" s="43">
        <f>IF($I3616=0,0,$J3616-$M3616-$N3616)</f>
      </c>
    </row>
    <row r="3617">
      <c r="A3617"/>
      <c r="B3617">
        <v>8</v>
      </c>
      <c r="C3617" s="43">
        <f>INDEX(DarlObj,8)</f>
      </c>
      <c r="D3617">
        <v>254</v>
      </c>
      <c r="E3617" s="51">
        <f>IF(INDEX(DarlBelegt,8)=0,0,EOMONTH(INDEX(DarlAuszahlung,8),253)+1)</f>
      </c>
      <c r="F3617" s="43">
        <f>IF($E3617=0,0,YEAR($E3617))</f>
      </c>
      <c r="G3617" s="43">
        <f>IF(INDEX(DarlBindung,8)="",1,IF($E3617&lt;=INDEX(DarlBindung,8),1,0))</f>
      </c>
      <c r="H3617" s="43">
        <f>IF($G3617=1,INDEX(DarlSollzins,8),INDEX(DarlAnschluss,8))</f>
      </c>
      <c r="I3617" s="43">
        <f>IF(INDEX(DarlBelegt,8)=0,0,IF(INDEX(DarlOhneTilgung,8)=1,IF(INDEX(DarlBindung,8)="",1,$G3617),IF($J3617&gt;0.005,1,0)))</f>
      </c>
      <c r="J3617" s="43">
        <f>IF($I3616=0,0,$R3616)</f>
      </c>
      <c r="K3617" s="43">
        <f>IF($I3617=0,0,IF(INDEX(DarlOhneTilgung,8)=1,0,IF(AND(INDEX(DarlTilgStart,8)&gt;0,$E3617=INDEX(DarlTilgStart,8)),$J3617*($H3617+INDEX(DarlTilgung,8))/100/12,IF(AND($G3617=0,$G3616=1),MAX($K3616,$J3617*($H3617+1)/100/12),$K3616))))</f>
      </c>
      <c r="L3617" s="43">
        <f>IF($I3617=0,0,$J3617*$H3617/100/12)</f>
      </c>
      <c r="M3617" s="43">
        <f>IF($I3617=0,0,IF(OR(INDEX(DarlOhneTilgung,8)=1,AND(INDEX(DarlTilgStart,8)&gt;0,$E3617&lt;INDEX(DarlTilgStart,8))),0,MIN(MAX(0,$K3617-$L3617),$J3617)))</f>
      </c>
      <c r="N3617" s="43">
        <f>IF($I3617=0,0,MIN(SUMIFS(SondBetrag,SondDarl,8,SondDatum,"&gt;="&amp;$E3617,SondDatum,"&lt;="&amp;EOMONTH($E3617,0)),$J3617-$M3617))</f>
      </c>
      <c r="O3617" s="43">
        <f>IF($I3617=0,0,INDEX(DarlErsatzRate,8))</f>
      </c>
      <c r="P3617" s="43">
        <f>IF($I3617=0,0,$Q3616*INDEX(DarlErsatzZins,8))</f>
      </c>
      <c r="Q3617" s="43">
        <f>IF($I3617=0,0,$Q3616+$P3617+$O3617)</f>
      </c>
      <c r="R3617" s="43">
        <f>IF($I3617=0,0,$J3617-$M3617-$N3617)</f>
      </c>
    </row>
    <row r="3618">
      <c r="A3618"/>
      <c r="B3618">
        <v>8</v>
      </c>
      <c r="C3618" s="43">
        <f>INDEX(DarlObj,8)</f>
      </c>
      <c r="D3618">
        <v>255</v>
      </c>
      <c r="E3618" s="51">
        <f>IF(INDEX(DarlBelegt,8)=0,0,EOMONTH(INDEX(DarlAuszahlung,8),254)+1)</f>
      </c>
      <c r="F3618" s="43">
        <f>IF($E3618=0,0,YEAR($E3618))</f>
      </c>
      <c r="G3618" s="43">
        <f>IF(INDEX(DarlBindung,8)="",1,IF($E3618&lt;=INDEX(DarlBindung,8),1,0))</f>
      </c>
      <c r="H3618" s="43">
        <f>IF($G3618=1,INDEX(DarlSollzins,8),INDEX(DarlAnschluss,8))</f>
      </c>
      <c r="I3618" s="43">
        <f>IF(INDEX(DarlBelegt,8)=0,0,IF(INDEX(DarlOhneTilgung,8)=1,IF(INDEX(DarlBindung,8)="",1,$G3618),IF($J3618&gt;0.005,1,0)))</f>
      </c>
      <c r="J3618" s="43">
        <f>IF($I3617=0,0,$R3617)</f>
      </c>
      <c r="K3618" s="43">
        <f>IF($I3618=0,0,IF(INDEX(DarlOhneTilgung,8)=1,0,IF(AND(INDEX(DarlTilgStart,8)&gt;0,$E3618=INDEX(DarlTilgStart,8)),$J3618*($H3618+INDEX(DarlTilgung,8))/100/12,IF(AND($G3618=0,$G3617=1),MAX($K3617,$J3618*($H3618+1)/100/12),$K3617))))</f>
      </c>
      <c r="L3618" s="43">
        <f>IF($I3618=0,0,$J3618*$H3618/100/12)</f>
      </c>
      <c r="M3618" s="43">
        <f>IF($I3618=0,0,IF(OR(INDEX(DarlOhneTilgung,8)=1,AND(INDEX(DarlTilgStart,8)&gt;0,$E3618&lt;INDEX(DarlTilgStart,8))),0,MIN(MAX(0,$K3618-$L3618),$J3618)))</f>
      </c>
      <c r="N3618" s="43">
        <f>IF($I3618=0,0,MIN(SUMIFS(SondBetrag,SondDarl,8,SondDatum,"&gt;="&amp;$E3618,SondDatum,"&lt;="&amp;EOMONTH($E3618,0)),$J3618-$M3618))</f>
      </c>
      <c r="O3618" s="43">
        <f>IF($I3618=0,0,INDEX(DarlErsatzRate,8))</f>
      </c>
      <c r="P3618" s="43">
        <f>IF($I3618=0,0,$Q3617*INDEX(DarlErsatzZins,8))</f>
      </c>
      <c r="Q3618" s="43">
        <f>IF($I3618=0,0,$Q3617+$P3618+$O3618)</f>
      </c>
      <c r="R3618" s="43">
        <f>IF($I3618=0,0,$J3618-$M3618-$N3618)</f>
      </c>
    </row>
    <row r="3619">
      <c r="A3619"/>
      <c r="B3619">
        <v>8</v>
      </c>
      <c r="C3619" s="43">
        <f>INDEX(DarlObj,8)</f>
      </c>
      <c r="D3619">
        <v>256</v>
      </c>
      <c r="E3619" s="51">
        <f>IF(INDEX(DarlBelegt,8)=0,0,EOMONTH(INDEX(DarlAuszahlung,8),255)+1)</f>
      </c>
      <c r="F3619" s="43">
        <f>IF($E3619=0,0,YEAR($E3619))</f>
      </c>
      <c r="G3619" s="43">
        <f>IF(INDEX(DarlBindung,8)="",1,IF($E3619&lt;=INDEX(DarlBindung,8),1,0))</f>
      </c>
      <c r="H3619" s="43">
        <f>IF($G3619=1,INDEX(DarlSollzins,8),INDEX(DarlAnschluss,8))</f>
      </c>
      <c r="I3619" s="43">
        <f>IF(INDEX(DarlBelegt,8)=0,0,IF(INDEX(DarlOhneTilgung,8)=1,IF(INDEX(DarlBindung,8)="",1,$G3619),IF($J3619&gt;0.005,1,0)))</f>
      </c>
      <c r="J3619" s="43">
        <f>IF($I3618=0,0,$R3618)</f>
      </c>
      <c r="K3619" s="43">
        <f>IF($I3619=0,0,IF(INDEX(DarlOhneTilgung,8)=1,0,IF(AND(INDEX(DarlTilgStart,8)&gt;0,$E3619=INDEX(DarlTilgStart,8)),$J3619*($H3619+INDEX(DarlTilgung,8))/100/12,IF(AND($G3619=0,$G3618=1),MAX($K3618,$J3619*($H3619+1)/100/12),$K3618))))</f>
      </c>
      <c r="L3619" s="43">
        <f>IF($I3619=0,0,$J3619*$H3619/100/12)</f>
      </c>
      <c r="M3619" s="43">
        <f>IF($I3619=0,0,IF(OR(INDEX(DarlOhneTilgung,8)=1,AND(INDEX(DarlTilgStart,8)&gt;0,$E3619&lt;INDEX(DarlTilgStart,8))),0,MIN(MAX(0,$K3619-$L3619),$J3619)))</f>
      </c>
      <c r="N3619" s="43">
        <f>IF($I3619=0,0,MIN(SUMIFS(SondBetrag,SondDarl,8,SondDatum,"&gt;="&amp;$E3619,SondDatum,"&lt;="&amp;EOMONTH($E3619,0)),$J3619-$M3619))</f>
      </c>
      <c r="O3619" s="43">
        <f>IF($I3619=0,0,INDEX(DarlErsatzRate,8))</f>
      </c>
      <c r="P3619" s="43">
        <f>IF($I3619=0,0,$Q3618*INDEX(DarlErsatzZins,8))</f>
      </c>
      <c r="Q3619" s="43">
        <f>IF($I3619=0,0,$Q3618+$P3619+$O3619)</f>
      </c>
      <c r="R3619" s="43">
        <f>IF($I3619=0,0,$J3619-$M3619-$N3619)</f>
      </c>
    </row>
    <row r="3620">
      <c r="A3620"/>
      <c r="B3620">
        <v>8</v>
      </c>
      <c r="C3620" s="43">
        <f>INDEX(DarlObj,8)</f>
      </c>
      <c r="D3620">
        <v>257</v>
      </c>
      <c r="E3620" s="51">
        <f>IF(INDEX(DarlBelegt,8)=0,0,EOMONTH(INDEX(DarlAuszahlung,8),256)+1)</f>
      </c>
      <c r="F3620" s="43">
        <f>IF($E3620=0,0,YEAR($E3620))</f>
      </c>
      <c r="G3620" s="43">
        <f>IF(INDEX(DarlBindung,8)="",1,IF($E3620&lt;=INDEX(DarlBindung,8),1,0))</f>
      </c>
      <c r="H3620" s="43">
        <f>IF($G3620=1,INDEX(DarlSollzins,8),INDEX(DarlAnschluss,8))</f>
      </c>
      <c r="I3620" s="43">
        <f>IF(INDEX(DarlBelegt,8)=0,0,IF(INDEX(DarlOhneTilgung,8)=1,IF(INDEX(DarlBindung,8)="",1,$G3620),IF($J3620&gt;0.005,1,0)))</f>
      </c>
      <c r="J3620" s="43">
        <f>IF($I3619=0,0,$R3619)</f>
      </c>
      <c r="K3620" s="43">
        <f>IF($I3620=0,0,IF(INDEX(DarlOhneTilgung,8)=1,0,IF(AND(INDEX(DarlTilgStart,8)&gt;0,$E3620=INDEX(DarlTilgStart,8)),$J3620*($H3620+INDEX(DarlTilgung,8))/100/12,IF(AND($G3620=0,$G3619=1),MAX($K3619,$J3620*($H3620+1)/100/12),$K3619))))</f>
      </c>
      <c r="L3620" s="43">
        <f>IF($I3620=0,0,$J3620*$H3620/100/12)</f>
      </c>
      <c r="M3620" s="43">
        <f>IF($I3620=0,0,IF(OR(INDEX(DarlOhneTilgung,8)=1,AND(INDEX(DarlTilgStart,8)&gt;0,$E3620&lt;INDEX(DarlTilgStart,8))),0,MIN(MAX(0,$K3620-$L3620),$J3620)))</f>
      </c>
      <c r="N3620" s="43">
        <f>IF($I3620=0,0,MIN(SUMIFS(SondBetrag,SondDarl,8,SondDatum,"&gt;="&amp;$E3620,SondDatum,"&lt;="&amp;EOMONTH($E3620,0)),$J3620-$M3620))</f>
      </c>
      <c r="O3620" s="43">
        <f>IF($I3620=0,0,INDEX(DarlErsatzRate,8))</f>
      </c>
      <c r="P3620" s="43">
        <f>IF($I3620=0,0,$Q3619*INDEX(DarlErsatzZins,8))</f>
      </c>
      <c r="Q3620" s="43">
        <f>IF($I3620=0,0,$Q3619+$P3620+$O3620)</f>
      </c>
      <c r="R3620" s="43">
        <f>IF($I3620=0,0,$J3620-$M3620-$N3620)</f>
      </c>
    </row>
    <row r="3621">
      <c r="A3621"/>
      <c r="B3621">
        <v>8</v>
      </c>
      <c r="C3621" s="43">
        <f>INDEX(DarlObj,8)</f>
      </c>
      <c r="D3621">
        <v>258</v>
      </c>
      <c r="E3621" s="51">
        <f>IF(INDEX(DarlBelegt,8)=0,0,EOMONTH(INDEX(DarlAuszahlung,8),257)+1)</f>
      </c>
      <c r="F3621" s="43">
        <f>IF($E3621=0,0,YEAR($E3621))</f>
      </c>
      <c r="G3621" s="43">
        <f>IF(INDEX(DarlBindung,8)="",1,IF($E3621&lt;=INDEX(DarlBindung,8),1,0))</f>
      </c>
      <c r="H3621" s="43">
        <f>IF($G3621=1,INDEX(DarlSollzins,8),INDEX(DarlAnschluss,8))</f>
      </c>
      <c r="I3621" s="43">
        <f>IF(INDEX(DarlBelegt,8)=0,0,IF(INDEX(DarlOhneTilgung,8)=1,IF(INDEX(DarlBindung,8)="",1,$G3621),IF($J3621&gt;0.005,1,0)))</f>
      </c>
      <c r="J3621" s="43">
        <f>IF($I3620=0,0,$R3620)</f>
      </c>
      <c r="K3621" s="43">
        <f>IF($I3621=0,0,IF(INDEX(DarlOhneTilgung,8)=1,0,IF(AND(INDEX(DarlTilgStart,8)&gt;0,$E3621=INDEX(DarlTilgStart,8)),$J3621*($H3621+INDEX(DarlTilgung,8))/100/12,IF(AND($G3621=0,$G3620=1),MAX($K3620,$J3621*($H3621+1)/100/12),$K3620))))</f>
      </c>
      <c r="L3621" s="43">
        <f>IF($I3621=0,0,$J3621*$H3621/100/12)</f>
      </c>
      <c r="M3621" s="43">
        <f>IF($I3621=0,0,IF(OR(INDEX(DarlOhneTilgung,8)=1,AND(INDEX(DarlTilgStart,8)&gt;0,$E3621&lt;INDEX(DarlTilgStart,8))),0,MIN(MAX(0,$K3621-$L3621),$J3621)))</f>
      </c>
      <c r="N3621" s="43">
        <f>IF($I3621=0,0,MIN(SUMIFS(SondBetrag,SondDarl,8,SondDatum,"&gt;="&amp;$E3621,SondDatum,"&lt;="&amp;EOMONTH($E3621,0)),$J3621-$M3621))</f>
      </c>
      <c r="O3621" s="43">
        <f>IF($I3621=0,0,INDEX(DarlErsatzRate,8))</f>
      </c>
      <c r="P3621" s="43">
        <f>IF($I3621=0,0,$Q3620*INDEX(DarlErsatzZins,8))</f>
      </c>
      <c r="Q3621" s="43">
        <f>IF($I3621=0,0,$Q3620+$P3621+$O3621)</f>
      </c>
      <c r="R3621" s="43">
        <f>IF($I3621=0,0,$J3621-$M3621-$N3621)</f>
      </c>
    </row>
    <row r="3622">
      <c r="A3622"/>
      <c r="B3622">
        <v>8</v>
      </c>
      <c r="C3622" s="43">
        <f>INDEX(DarlObj,8)</f>
      </c>
      <c r="D3622">
        <v>259</v>
      </c>
      <c r="E3622" s="51">
        <f>IF(INDEX(DarlBelegt,8)=0,0,EOMONTH(INDEX(DarlAuszahlung,8),258)+1)</f>
      </c>
      <c r="F3622" s="43">
        <f>IF($E3622=0,0,YEAR($E3622))</f>
      </c>
      <c r="G3622" s="43">
        <f>IF(INDEX(DarlBindung,8)="",1,IF($E3622&lt;=INDEX(DarlBindung,8),1,0))</f>
      </c>
      <c r="H3622" s="43">
        <f>IF($G3622=1,INDEX(DarlSollzins,8),INDEX(DarlAnschluss,8))</f>
      </c>
      <c r="I3622" s="43">
        <f>IF(INDEX(DarlBelegt,8)=0,0,IF(INDEX(DarlOhneTilgung,8)=1,IF(INDEX(DarlBindung,8)="",1,$G3622),IF($J3622&gt;0.005,1,0)))</f>
      </c>
      <c r="J3622" s="43">
        <f>IF($I3621=0,0,$R3621)</f>
      </c>
      <c r="K3622" s="43">
        <f>IF($I3622=0,0,IF(INDEX(DarlOhneTilgung,8)=1,0,IF(AND(INDEX(DarlTilgStart,8)&gt;0,$E3622=INDEX(DarlTilgStart,8)),$J3622*($H3622+INDEX(DarlTilgung,8))/100/12,IF(AND($G3622=0,$G3621=1),MAX($K3621,$J3622*($H3622+1)/100/12),$K3621))))</f>
      </c>
      <c r="L3622" s="43">
        <f>IF($I3622=0,0,$J3622*$H3622/100/12)</f>
      </c>
      <c r="M3622" s="43">
        <f>IF($I3622=0,0,IF(OR(INDEX(DarlOhneTilgung,8)=1,AND(INDEX(DarlTilgStart,8)&gt;0,$E3622&lt;INDEX(DarlTilgStart,8))),0,MIN(MAX(0,$K3622-$L3622),$J3622)))</f>
      </c>
      <c r="N3622" s="43">
        <f>IF($I3622=0,0,MIN(SUMIFS(SondBetrag,SondDarl,8,SondDatum,"&gt;="&amp;$E3622,SondDatum,"&lt;="&amp;EOMONTH($E3622,0)),$J3622-$M3622))</f>
      </c>
      <c r="O3622" s="43">
        <f>IF($I3622=0,0,INDEX(DarlErsatzRate,8))</f>
      </c>
      <c r="P3622" s="43">
        <f>IF($I3622=0,0,$Q3621*INDEX(DarlErsatzZins,8))</f>
      </c>
      <c r="Q3622" s="43">
        <f>IF($I3622=0,0,$Q3621+$P3622+$O3622)</f>
      </c>
      <c r="R3622" s="43">
        <f>IF($I3622=0,0,$J3622-$M3622-$N3622)</f>
      </c>
    </row>
    <row r="3623">
      <c r="A3623"/>
      <c r="B3623">
        <v>8</v>
      </c>
      <c r="C3623" s="43">
        <f>INDEX(DarlObj,8)</f>
      </c>
      <c r="D3623">
        <v>260</v>
      </c>
      <c r="E3623" s="51">
        <f>IF(INDEX(DarlBelegt,8)=0,0,EOMONTH(INDEX(DarlAuszahlung,8),259)+1)</f>
      </c>
      <c r="F3623" s="43">
        <f>IF($E3623=0,0,YEAR($E3623))</f>
      </c>
      <c r="G3623" s="43">
        <f>IF(INDEX(DarlBindung,8)="",1,IF($E3623&lt;=INDEX(DarlBindung,8),1,0))</f>
      </c>
      <c r="H3623" s="43">
        <f>IF($G3623=1,INDEX(DarlSollzins,8),INDEX(DarlAnschluss,8))</f>
      </c>
      <c r="I3623" s="43">
        <f>IF(INDEX(DarlBelegt,8)=0,0,IF(INDEX(DarlOhneTilgung,8)=1,IF(INDEX(DarlBindung,8)="",1,$G3623),IF($J3623&gt;0.005,1,0)))</f>
      </c>
      <c r="J3623" s="43">
        <f>IF($I3622=0,0,$R3622)</f>
      </c>
      <c r="K3623" s="43">
        <f>IF($I3623=0,0,IF(INDEX(DarlOhneTilgung,8)=1,0,IF(AND(INDEX(DarlTilgStart,8)&gt;0,$E3623=INDEX(DarlTilgStart,8)),$J3623*($H3623+INDEX(DarlTilgung,8))/100/12,IF(AND($G3623=0,$G3622=1),MAX($K3622,$J3623*($H3623+1)/100/12),$K3622))))</f>
      </c>
      <c r="L3623" s="43">
        <f>IF($I3623=0,0,$J3623*$H3623/100/12)</f>
      </c>
      <c r="M3623" s="43">
        <f>IF($I3623=0,0,IF(OR(INDEX(DarlOhneTilgung,8)=1,AND(INDEX(DarlTilgStart,8)&gt;0,$E3623&lt;INDEX(DarlTilgStart,8))),0,MIN(MAX(0,$K3623-$L3623),$J3623)))</f>
      </c>
      <c r="N3623" s="43">
        <f>IF($I3623=0,0,MIN(SUMIFS(SondBetrag,SondDarl,8,SondDatum,"&gt;="&amp;$E3623,SondDatum,"&lt;="&amp;EOMONTH($E3623,0)),$J3623-$M3623))</f>
      </c>
      <c r="O3623" s="43">
        <f>IF($I3623=0,0,INDEX(DarlErsatzRate,8))</f>
      </c>
      <c r="P3623" s="43">
        <f>IF($I3623=0,0,$Q3622*INDEX(DarlErsatzZins,8))</f>
      </c>
      <c r="Q3623" s="43">
        <f>IF($I3623=0,0,$Q3622+$P3623+$O3623)</f>
      </c>
      <c r="R3623" s="43">
        <f>IF($I3623=0,0,$J3623-$M3623-$N3623)</f>
      </c>
    </row>
    <row r="3624">
      <c r="A3624"/>
      <c r="B3624">
        <v>8</v>
      </c>
      <c r="C3624" s="43">
        <f>INDEX(DarlObj,8)</f>
      </c>
      <c r="D3624">
        <v>261</v>
      </c>
      <c r="E3624" s="51">
        <f>IF(INDEX(DarlBelegt,8)=0,0,EOMONTH(INDEX(DarlAuszahlung,8),260)+1)</f>
      </c>
      <c r="F3624" s="43">
        <f>IF($E3624=0,0,YEAR($E3624))</f>
      </c>
      <c r="G3624" s="43">
        <f>IF(INDEX(DarlBindung,8)="",1,IF($E3624&lt;=INDEX(DarlBindung,8),1,0))</f>
      </c>
      <c r="H3624" s="43">
        <f>IF($G3624=1,INDEX(DarlSollzins,8),INDEX(DarlAnschluss,8))</f>
      </c>
      <c r="I3624" s="43">
        <f>IF(INDEX(DarlBelegt,8)=0,0,IF(INDEX(DarlOhneTilgung,8)=1,IF(INDEX(DarlBindung,8)="",1,$G3624),IF($J3624&gt;0.005,1,0)))</f>
      </c>
      <c r="J3624" s="43">
        <f>IF($I3623=0,0,$R3623)</f>
      </c>
      <c r="K3624" s="43">
        <f>IF($I3624=0,0,IF(INDEX(DarlOhneTilgung,8)=1,0,IF(AND(INDEX(DarlTilgStart,8)&gt;0,$E3624=INDEX(DarlTilgStart,8)),$J3624*($H3624+INDEX(DarlTilgung,8))/100/12,IF(AND($G3624=0,$G3623=1),MAX($K3623,$J3624*($H3624+1)/100/12),$K3623))))</f>
      </c>
      <c r="L3624" s="43">
        <f>IF($I3624=0,0,$J3624*$H3624/100/12)</f>
      </c>
      <c r="M3624" s="43">
        <f>IF($I3624=0,0,IF(OR(INDEX(DarlOhneTilgung,8)=1,AND(INDEX(DarlTilgStart,8)&gt;0,$E3624&lt;INDEX(DarlTilgStart,8))),0,MIN(MAX(0,$K3624-$L3624),$J3624)))</f>
      </c>
      <c r="N3624" s="43">
        <f>IF($I3624=0,0,MIN(SUMIFS(SondBetrag,SondDarl,8,SondDatum,"&gt;="&amp;$E3624,SondDatum,"&lt;="&amp;EOMONTH($E3624,0)),$J3624-$M3624))</f>
      </c>
      <c r="O3624" s="43">
        <f>IF($I3624=0,0,INDEX(DarlErsatzRate,8))</f>
      </c>
      <c r="P3624" s="43">
        <f>IF($I3624=0,0,$Q3623*INDEX(DarlErsatzZins,8))</f>
      </c>
      <c r="Q3624" s="43">
        <f>IF($I3624=0,0,$Q3623+$P3624+$O3624)</f>
      </c>
      <c r="R3624" s="43">
        <f>IF($I3624=0,0,$J3624-$M3624-$N3624)</f>
      </c>
    </row>
    <row r="3625">
      <c r="A3625"/>
      <c r="B3625">
        <v>8</v>
      </c>
      <c r="C3625" s="43">
        <f>INDEX(DarlObj,8)</f>
      </c>
      <c r="D3625">
        <v>262</v>
      </c>
      <c r="E3625" s="51">
        <f>IF(INDEX(DarlBelegt,8)=0,0,EOMONTH(INDEX(DarlAuszahlung,8),261)+1)</f>
      </c>
      <c r="F3625" s="43">
        <f>IF($E3625=0,0,YEAR($E3625))</f>
      </c>
      <c r="G3625" s="43">
        <f>IF(INDEX(DarlBindung,8)="",1,IF($E3625&lt;=INDEX(DarlBindung,8),1,0))</f>
      </c>
      <c r="H3625" s="43">
        <f>IF($G3625=1,INDEX(DarlSollzins,8),INDEX(DarlAnschluss,8))</f>
      </c>
      <c r="I3625" s="43">
        <f>IF(INDEX(DarlBelegt,8)=0,0,IF(INDEX(DarlOhneTilgung,8)=1,IF(INDEX(DarlBindung,8)="",1,$G3625),IF($J3625&gt;0.005,1,0)))</f>
      </c>
      <c r="J3625" s="43">
        <f>IF($I3624=0,0,$R3624)</f>
      </c>
      <c r="K3625" s="43">
        <f>IF($I3625=0,0,IF(INDEX(DarlOhneTilgung,8)=1,0,IF(AND(INDEX(DarlTilgStart,8)&gt;0,$E3625=INDEX(DarlTilgStart,8)),$J3625*($H3625+INDEX(DarlTilgung,8))/100/12,IF(AND($G3625=0,$G3624=1),MAX($K3624,$J3625*($H3625+1)/100/12),$K3624))))</f>
      </c>
      <c r="L3625" s="43">
        <f>IF($I3625=0,0,$J3625*$H3625/100/12)</f>
      </c>
      <c r="M3625" s="43">
        <f>IF($I3625=0,0,IF(OR(INDEX(DarlOhneTilgung,8)=1,AND(INDEX(DarlTilgStart,8)&gt;0,$E3625&lt;INDEX(DarlTilgStart,8))),0,MIN(MAX(0,$K3625-$L3625),$J3625)))</f>
      </c>
      <c r="N3625" s="43">
        <f>IF($I3625=0,0,MIN(SUMIFS(SondBetrag,SondDarl,8,SondDatum,"&gt;="&amp;$E3625,SondDatum,"&lt;="&amp;EOMONTH($E3625,0)),$J3625-$M3625))</f>
      </c>
      <c r="O3625" s="43">
        <f>IF($I3625=0,0,INDEX(DarlErsatzRate,8))</f>
      </c>
      <c r="P3625" s="43">
        <f>IF($I3625=0,0,$Q3624*INDEX(DarlErsatzZins,8))</f>
      </c>
      <c r="Q3625" s="43">
        <f>IF($I3625=0,0,$Q3624+$P3625+$O3625)</f>
      </c>
      <c r="R3625" s="43">
        <f>IF($I3625=0,0,$J3625-$M3625-$N3625)</f>
      </c>
    </row>
    <row r="3626">
      <c r="A3626"/>
      <c r="B3626">
        <v>8</v>
      </c>
      <c r="C3626" s="43">
        <f>INDEX(DarlObj,8)</f>
      </c>
      <c r="D3626">
        <v>263</v>
      </c>
      <c r="E3626" s="51">
        <f>IF(INDEX(DarlBelegt,8)=0,0,EOMONTH(INDEX(DarlAuszahlung,8),262)+1)</f>
      </c>
      <c r="F3626" s="43">
        <f>IF($E3626=0,0,YEAR($E3626))</f>
      </c>
      <c r="G3626" s="43">
        <f>IF(INDEX(DarlBindung,8)="",1,IF($E3626&lt;=INDEX(DarlBindung,8),1,0))</f>
      </c>
      <c r="H3626" s="43">
        <f>IF($G3626=1,INDEX(DarlSollzins,8),INDEX(DarlAnschluss,8))</f>
      </c>
      <c r="I3626" s="43">
        <f>IF(INDEX(DarlBelegt,8)=0,0,IF(INDEX(DarlOhneTilgung,8)=1,IF(INDEX(DarlBindung,8)="",1,$G3626),IF($J3626&gt;0.005,1,0)))</f>
      </c>
      <c r="J3626" s="43">
        <f>IF($I3625=0,0,$R3625)</f>
      </c>
      <c r="K3626" s="43">
        <f>IF($I3626=0,0,IF(INDEX(DarlOhneTilgung,8)=1,0,IF(AND(INDEX(DarlTilgStart,8)&gt;0,$E3626=INDEX(DarlTilgStart,8)),$J3626*($H3626+INDEX(DarlTilgung,8))/100/12,IF(AND($G3626=0,$G3625=1),MAX($K3625,$J3626*($H3626+1)/100/12),$K3625))))</f>
      </c>
      <c r="L3626" s="43">
        <f>IF($I3626=0,0,$J3626*$H3626/100/12)</f>
      </c>
      <c r="M3626" s="43">
        <f>IF($I3626=0,0,IF(OR(INDEX(DarlOhneTilgung,8)=1,AND(INDEX(DarlTilgStart,8)&gt;0,$E3626&lt;INDEX(DarlTilgStart,8))),0,MIN(MAX(0,$K3626-$L3626),$J3626)))</f>
      </c>
      <c r="N3626" s="43">
        <f>IF($I3626=0,0,MIN(SUMIFS(SondBetrag,SondDarl,8,SondDatum,"&gt;="&amp;$E3626,SondDatum,"&lt;="&amp;EOMONTH($E3626,0)),$J3626-$M3626))</f>
      </c>
      <c r="O3626" s="43">
        <f>IF($I3626=0,0,INDEX(DarlErsatzRate,8))</f>
      </c>
      <c r="P3626" s="43">
        <f>IF($I3626=0,0,$Q3625*INDEX(DarlErsatzZins,8))</f>
      </c>
      <c r="Q3626" s="43">
        <f>IF($I3626=0,0,$Q3625+$P3626+$O3626)</f>
      </c>
      <c r="R3626" s="43">
        <f>IF($I3626=0,0,$J3626-$M3626-$N3626)</f>
      </c>
    </row>
    <row r="3627">
      <c r="A3627"/>
      <c r="B3627">
        <v>8</v>
      </c>
      <c r="C3627" s="43">
        <f>INDEX(DarlObj,8)</f>
      </c>
      <c r="D3627">
        <v>264</v>
      </c>
      <c r="E3627" s="51">
        <f>IF(INDEX(DarlBelegt,8)=0,0,EOMONTH(INDEX(DarlAuszahlung,8),263)+1)</f>
      </c>
      <c r="F3627" s="43">
        <f>IF($E3627=0,0,YEAR($E3627))</f>
      </c>
      <c r="G3627" s="43">
        <f>IF(INDEX(DarlBindung,8)="",1,IF($E3627&lt;=INDEX(DarlBindung,8),1,0))</f>
      </c>
      <c r="H3627" s="43">
        <f>IF($G3627=1,INDEX(DarlSollzins,8),INDEX(DarlAnschluss,8))</f>
      </c>
      <c r="I3627" s="43">
        <f>IF(INDEX(DarlBelegt,8)=0,0,IF(INDEX(DarlOhneTilgung,8)=1,IF(INDEX(DarlBindung,8)="",1,$G3627),IF($J3627&gt;0.005,1,0)))</f>
      </c>
      <c r="J3627" s="43">
        <f>IF($I3626=0,0,$R3626)</f>
      </c>
      <c r="K3627" s="43">
        <f>IF($I3627=0,0,IF(INDEX(DarlOhneTilgung,8)=1,0,IF(AND(INDEX(DarlTilgStart,8)&gt;0,$E3627=INDEX(DarlTilgStart,8)),$J3627*($H3627+INDEX(DarlTilgung,8))/100/12,IF(AND($G3627=0,$G3626=1),MAX($K3626,$J3627*($H3627+1)/100/12),$K3626))))</f>
      </c>
      <c r="L3627" s="43">
        <f>IF($I3627=0,0,$J3627*$H3627/100/12)</f>
      </c>
      <c r="M3627" s="43">
        <f>IF($I3627=0,0,IF(OR(INDEX(DarlOhneTilgung,8)=1,AND(INDEX(DarlTilgStart,8)&gt;0,$E3627&lt;INDEX(DarlTilgStart,8))),0,MIN(MAX(0,$K3627-$L3627),$J3627)))</f>
      </c>
      <c r="N3627" s="43">
        <f>IF($I3627=0,0,MIN(SUMIFS(SondBetrag,SondDarl,8,SondDatum,"&gt;="&amp;$E3627,SondDatum,"&lt;="&amp;EOMONTH($E3627,0)),$J3627-$M3627))</f>
      </c>
      <c r="O3627" s="43">
        <f>IF($I3627=0,0,INDEX(DarlErsatzRate,8))</f>
      </c>
      <c r="P3627" s="43">
        <f>IF($I3627=0,0,$Q3626*INDEX(DarlErsatzZins,8))</f>
      </c>
      <c r="Q3627" s="43">
        <f>IF($I3627=0,0,$Q3626+$P3627+$O3627)</f>
      </c>
      <c r="R3627" s="43">
        <f>IF($I3627=0,0,$J3627-$M3627-$N3627)</f>
      </c>
    </row>
    <row r="3628">
      <c r="A3628"/>
      <c r="B3628">
        <v>8</v>
      </c>
      <c r="C3628" s="43">
        <f>INDEX(DarlObj,8)</f>
      </c>
      <c r="D3628">
        <v>265</v>
      </c>
      <c r="E3628" s="51">
        <f>IF(INDEX(DarlBelegt,8)=0,0,EOMONTH(INDEX(DarlAuszahlung,8),264)+1)</f>
      </c>
      <c r="F3628" s="43">
        <f>IF($E3628=0,0,YEAR($E3628))</f>
      </c>
      <c r="G3628" s="43">
        <f>IF(INDEX(DarlBindung,8)="",1,IF($E3628&lt;=INDEX(DarlBindung,8),1,0))</f>
      </c>
      <c r="H3628" s="43">
        <f>IF($G3628=1,INDEX(DarlSollzins,8),INDEX(DarlAnschluss,8))</f>
      </c>
      <c r="I3628" s="43">
        <f>IF(INDEX(DarlBelegt,8)=0,0,IF(INDEX(DarlOhneTilgung,8)=1,IF(INDEX(DarlBindung,8)="",1,$G3628),IF($J3628&gt;0.005,1,0)))</f>
      </c>
      <c r="J3628" s="43">
        <f>IF($I3627=0,0,$R3627)</f>
      </c>
      <c r="K3628" s="43">
        <f>IF($I3628=0,0,IF(INDEX(DarlOhneTilgung,8)=1,0,IF(AND(INDEX(DarlTilgStart,8)&gt;0,$E3628=INDEX(DarlTilgStart,8)),$J3628*($H3628+INDEX(DarlTilgung,8))/100/12,IF(AND($G3628=0,$G3627=1),MAX($K3627,$J3628*($H3628+1)/100/12),$K3627))))</f>
      </c>
      <c r="L3628" s="43">
        <f>IF($I3628=0,0,$J3628*$H3628/100/12)</f>
      </c>
      <c r="M3628" s="43">
        <f>IF($I3628=0,0,IF(OR(INDEX(DarlOhneTilgung,8)=1,AND(INDEX(DarlTilgStart,8)&gt;0,$E3628&lt;INDEX(DarlTilgStart,8))),0,MIN(MAX(0,$K3628-$L3628),$J3628)))</f>
      </c>
      <c r="N3628" s="43">
        <f>IF($I3628=0,0,MIN(SUMIFS(SondBetrag,SondDarl,8,SondDatum,"&gt;="&amp;$E3628,SondDatum,"&lt;="&amp;EOMONTH($E3628,0)),$J3628-$M3628))</f>
      </c>
      <c r="O3628" s="43">
        <f>IF($I3628=0,0,INDEX(DarlErsatzRate,8))</f>
      </c>
      <c r="P3628" s="43">
        <f>IF($I3628=0,0,$Q3627*INDEX(DarlErsatzZins,8))</f>
      </c>
      <c r="Q3628" s="43">
        <f>IF($I3628=0,0,$Q3627+$P3628+$O3628)</f>
      </c>
      <c r="R3628" s="43">
        <f>IF($I3628=0,0,$J3628-$M3628-$N3628)</f>
      </c>
    </row>
    <row r="3629">
      <c r="A3629"/>
      <c r="B3629">
        <v>8</v>
      </c>
      <c r="C3629" s="43">
        <f>INDEX(DarlObj,8)</f>
      </c>
      <c r="D3629">
        <v>266</v>
      </c>
      <c r="E3629" s="51">
        <f>IF(INDEX(DarlBelegt,8)=0,0,EOMONTH(INDEX(DarlAuszahlung,8),265)+1)</f>
      </c>
      <c r="F3629" s="43">
        <f>IF($E3629=0,0,YEAR($E3629))</f>
      </c>
      <c r="G3629" s="43">
        <f>IF(INDEX(DarlBindung,8)="",1,IF($E3629&lt;=INDEX(DarlBindung,8),1,0))</f>
      </c>
      <c r="H3629" s="43">
        <f>IF($G3629=1,INDEX(DarlSollzins,8),INDEX(DarlAnschluss,8))</f>
      </c>
      <c r="I3629" s="43">
        <f>IF(INDEX(DarlBelegt,8)=0,0,IF(INDEX(DarlOhneTilgung,8)=1,IF(INDEX(DarlBindung,8)="",1,$G3629),IF($J3629&gt;0.005,1,0)))</f>
      </c>
      <c r="J3629" s="43">
        <f>IF($I3628=0,0,$R3628)</f>
      </c>
      <c r="K3629" s="43">
        <f>IF($I3629=0,0,IF(INDEX(DarlOhneTilgung,8)=1,0,IF(AND(INDEX(DarlTilgStart,8)&gt;0,$E3629=INDEX(DarlTilgStart,8)),$J3629*($H3629+INDEX(DarlTilgung,8))/100/12,IF(AND($G3629=0,$G3628=1),MAX($K3628,$J3629*($H3629+1)/100/12),$K3628))))</f>
      </c>
      <c r="L3629" s="43">
        <f>IF($I3629=0,0,$J3629*$H3629/100/12)</f>
      </c>
      <c r="M3629" s="43">
        <f>IF($I3629=0,0,IF(OR(INDEX(DarlOhneTilgung,8)=1,AND(INDEX(DarlTilgStart,8)&gt;0,$E3629&lt;INDEX(DarlTilgStart,8))),0,MIN(MAX(0,$K3629-$L3629),$J3629)))</f>
      </c>
      <c r="N3629" s="43">
        <f>IF($I3629=0,0,MIN(SUMIFS(SondBetrag,SondDarl,8,SondDatum,"&gt;="&amp;$E3629,SondDatum,"&lt;="&amp;EOMONTH($E3629,0)),$J3629-$M3629))</f>
      </c>
      <c r="O3629" s="43">
        <f>IF($I3629=0,0,INDEX(DarlErsatzRate,8))</f>
      </c>
      <c r="P3629" s="43">
        <f>IF($I3629=0,0,$Q3628*INDEX(DarlErsatzZins,8))</f>
      </c>
      <c r="Q3629" s="43">
        <f>IF($I3629=0,0,$Q3628+$P3629+$O3629)</f>
      </c>
      <c r="R3629" s="43">
        <f>IF($I3629=0,0,$J3629-$M3629-$N3629)</f>
      </c>
    </row>
    <row r="3630">
      <c r="A3630"/>
      <c r="B3630">
        <v>8</v>
      </c>
      <c r="C3630" s="43">
        <f>INDEX(DarlObj,8)</f>
      </c>
      <c r="D3630">
        <v>267</v>
      </c>
      <c r="E3630" s="51">
        <f>IF(INDEX(DarlBelegt,8)=0,0,EOMONTH(INDEX(DarlAuszahlung,8),266)+1)</f>
      </c>
      <c r="F3630" s="43">
        <f>IF($E3630=0,0,YEAR($E3630))</f>
      </c>
      <c r="G3630" s="43">
        <f>IF(INDEX(DarlBindung,8)="",1,IF($E3630&lt;=INDEX(DarlBindung,8),1,0))</f>
      </c>
      <c r="H3630" s="43">
        <f>IF($G3630=1,INDEX(DarlSollzins,8),INDEX(DarlAnschluss,8))</f>
      </c>
      <c r="I3630" s="43">
        <f>IF(INDEX(DarlBelegt,8)=0,0,IF(INDEX(DarlOhneTilgung,8)=1,IF(INDEX(DarlBindung,8)="",1,$G3630),IF($J3630&gt;0.005,1,0)))</f>
      </c>
      <c r="J3630" s="43">
        <f>IF($I3629=0,0,$R3629)</f>
      </c>
      <c r="K3630" s="43">
        <f>IF($I3630=0,0,IF(INDEX(DarlOhneTilgung,8)=1,0,IF(AND(INDEX(DarlTilgStart,8)&gt;0,$E3630=INDEX(DarlTilgStart,8)),$J3630*($H3630+INDEX(DarlTilgung,8))/100/12,IF(AND($G3630=0,$G3629=1),MAX($K3629,$J3630*($H3630+1)/100/12),$K3629))))</f>
      </c>
      <c r="L3630" s="43">
        <f>IF($I3630=0,0,$J3630*$H3630/100/12)</f>
      </c>
      <c r="M3630" s="43">
        <f>IF($I3630=0,0,IF(OR(INDEX(DarlOhneTilgung,8)=1,AND(INDEX(DarlTilgStart,8)&gt;0,$E3630&lt;INDEX(DarlTilgStart,8))),0,MIN(MAX(0,$K3630-$L3630),$J3630)))</f>
      </c>
      <c r="N3630" s="43">
        <f>IF($I3630=0,0,MIN(SUMIFS(SondBetrag,SondDarl,8,SondDatum,"&gt;="&amp;$E3630,SondDatum,"&lt;="&amp;EOMONTH($E3630,0)),$J3630-$M3630))</f>
      </c>
      <c r="O3630" s="43">
        <f>IF($I3630=0,0,INDEX(DarlErsatzRate,8))</f>
      </c>
      <c r="P3630" s="43">
        <f>IF($I3630=0,0,$Q3629*INDEX(DarlErsatzZins,8))</f>
      </c>
      <c r="Q3630" s="43">
        <f>IF($I3630=0,0,$Q3629+$P3630+$O3630)</f>
      </c>
      <c r="R3630" s="43">
        <f>IF($I3630=0,0,$J3630-$M3630-$N3630)</f>
      </c>
    </row>
    <row r="3631">
      <c r="A3631"/>
      <c r="B3631">
        <v>8</v>
      </c>
      <c r="C3631" s="43">
        <f>INDEX(DarlObj,8)</f>
      </c>
      <c r="D3631">
        <v>268</v>
      </c>
      <c r="E3631" s="51">
        <f>IF(INDEX(DarlBelegt,8)=0,0,EOMONTH(INDEX(DarlAuszahlung,8),267)+1)</f>
      </c>
      <c r="F3631" s="43">
        <f>IF($E3631=0,0,YEAR($E3631))</f>
      </c>
      <c r="G3631" s="43">
        <f>IF(INDEX(DarlBindung,8)="",1,IF($E3631&lt;=INDEX(DarlBindung,8),1,0))</f>
      </c>
      <c r="H3631" s="43">
        <f>IF($G3631=1,INDEX(DarlSollzins,8),INDEX(DarlAnschluss,8))</f>
      </c>
      <c r="I3631" s="43">
        <f>IF(INDEX(DarlBelegt,8)=0,0,IF(INDEX(DarlOhneTilgung,8)=1,IF(INDEX(DarlBindung,8)="",1,$G3631),IF($J3631&gt;0.005,1,0)))</f>
      </c>
      <c r="J3631" s="43">
        <f>IF($I3630=0,0,$R3630)</f>
      </c>
      <c r="K3631" s="43">
        <f>IF($I3631=0,0,IF(INDEX(DarlOhneTilgung,8)=1,0,IF(AND(INDEX(DarlTilgStart,8)&gt;0,$E3631=INDEX(DarlTilgStart,8)),$J3631*($H3631+INDEX(DarlTilgung,8))/100/12,IF(AND($G3631=0,$G3630=1),MAX($K3630,$J3631*($H3631+1)/100/12),$K3630))))</f>
      </c>
      <c r="L3631" s="43">
        <f>IF($I3631=0,0,$J3631*$H3631/100/12)</f>
      </c>
      <c r="M3631" s="43">
        <f>IF($I3631=0,0,IF(OR(INDEX(DarlOhneTilgung,8)=1,AND(INDEX(DarlTilgStart,8)&gt;0,$E3631&lt;INDEX(DarlTilgStart,8))),0,MIN(MAX(0,$K3631-$L3631),$J3631)))</f>
      </c>
      <c r="N3631" s="43">
        <f>IF($I3631=0,0,MIN(SUMIFS(SondBetrag,SondDarl,8,SondDatum,"&gt;="&amp;$E3631,SondDatum,"&lt;="&amp;EOMONTH($E3631,0)),$J3631-$M3631))</f>
      </c>
      <c r="O3631" s="43">
        <f>IF($I3631=0,0,INDEX(DarlErsatzRate,8))</f>
      </c>
      <c r="P3631" s="43">
        <f>IF($I3631=0,0,$Q3630*INDEX(DarlErsatzZins,8))</f>
      </c>
      <c r="Q3631" s="43">
        <f>IF($I3631=0,0,$Q3630+$P3631+$O3631)</f>
      </c>
      <c r="R3631" s="43">
        <f>IF($I3631=0,0,$J3631-$M3631-$N3631)</f>
      </c>
    </row>
    <row r="3632">
      <c r="A3632"/>
      <c r="B3632">
        <v>8</v>
      </c>
      <c r="C3632" s="43">
        <f>INDEX(DarlObj,8)</f>
      </c>
      <c r="D3632">
        <v>269</v>
      </c>
      <c r="E3632" s="51">
        <f>IF(INDEX(DarlBelegt,8)=0,0,EOMONTH(INDEX(DarlAuszahlung,8),268)+1)</f>
      </c>
      <c r="F3632" s="43">
        <f>IF($E3632=0,0,YEAR($E3632))</f>
      </c>
      <c r="G3632" s="43">
        <f>IF(INDEX(DarlBindung,8)="",1,IF($E3632&lt;=INDEX(DarlBindung,8),1,0))</f>
      </c>
      <c r="H3632" s="43">
        <f>IF($G3632=1,INDEX(DarlSollzins,8),INDEX(DarlAnschluss,8))</f>
      </c>
      <c r="I3632" s="43">
        <f>IF(INDEX(DarlBelegt,8)=0,0,IF(INDEX(DarlOhneTilgung,8)=1,IF(INDEX(DarlBindung,8)="",1,$G3632),IF($J3632&gt;0.005,1,0)))</f>
      </c>
      <c r="J3632" s="43">
        <f>IF($I3631=0,0,$R3631)</f>
      </c>
      <c r="K3632" s="43">
        <f>IF($I3632=0,0,IF(INDEX(DarlOhneTilgung,8)=1,0,IF(AND(INDEX(DarlTilgStart,8)&gt;0,$E3632=INDEX(DarlTilgStart,8)),$J3632*($H3632+INDEX(DarlTilgung,8))/100/12,IF(AND($G3632=0,$G3631=1),MAX($K3631,$J3632*($H3632+1)/100/12),$K3631))))</f>
      </c>
      <c r="L3632" s="43">
        <f>IF($I3632=0,0,$J3632*$H3632/100/12)</f>
      </c>
      <c r="M3632" s="43">
        <f>IF($I3632=0,0,IF(OR(INDEX(DarlOhneTilgung,8)=1,AND(INDEX(DarlTilgStart,8)&gt;0,$E3632&lt;INDEX(DarlTilgStart,8))),0,MIN(MAX(0,$K3632-$L3632),$J3632)))</f>
      </c>
      <c r="N3632" s="43">
        <f>IF($I3632=0,0,MIN(SUMIFS(SondBetrag,SondDarl,8,SondDatum,"&gt;="&amp;$E3632,SondDatum,"&lt;="&amp;EOMONTH($E3632,0)),$J3632-$M3632))</f>
      </c>
      <c r="O3632" s="43">
        <f>IF($I3632=0,0,INDEX(DarlErsatzRate,8))</f>
      </c>
      <c r="P3632" s="43">
        <f>IF($I3632=0,0,$Q3631*INDEX(DarlErsatzZins,8))</f>
      </c>
      <c r="Q3632" s="43">
        <f>IF($I3632=0,0,$Q3631+$P3632+$O3632)</f>
      </c>
      <c r="R3632" s="43">
        <f>IF($I3632=0,0,$J3632-$M3632-$N3632)</f>
      </c>
    </row>
    <row r="3633">
      <c r="A3633"/>
      <c r="B3633">
        <v>8</v>
      </c>
      <c r="C3633" s="43">
        <f>INDEX(DarlObj,8)</f>
      </c>
      <c r="D3633">
        <v>270</v>
      </c>
      <c r="E3633" s="51">
        <f>IF(INDEX(DarlBelegt,8)=0,0,EOMONTH(INDEX(DarlAuszahlung,8),269)+1)</f>
      </c>
      <c r="F3633" s="43">
        <f>IF($E3633=0,0,YEAR($E3633))</f>
      </c>
      <c r="G3633" s="43">
        <f>IF(INDEX(DarlBindung,8)="",1,IF($E3633&lt;=INDEX(DarlBindung,8),1,0))</f>
      </c>
      <c r="H3633" s="43">
        <f>IF($G3633=1,INDEX(DarlSollzins,8),INDEX(DarlAnschluss,8))</f>
      </c>
      <c r="I3633" s="43">
        <f>IF(INDEX(DarlBelegt,8)=0,0,IF(INDEX(DarlOhneTilgung,8)=1,IF(INDEX(DarlBindung,8)="",1,$G3633),IF($J3633&gt;0.005,1,0)))</f>
      </c>
      <c r="J3633" s="43">
        <f>IF($I3632=0,0,$R3632)</f>
      </c>
      <c r="K3633" s="43">
        <f>IF($I3633=0,0,IF(INDEX(DarlOhneTilgung,8)=1,0,IF(AND(INDEX(DarlTilgStart,8)&gt;0,$E3633=INDEX(DarlTilgStart,8)),$J3633*($H3633+INDEX(DarlTilgung,8))/100/12,IF(AND($G3633=0,$G3632=1),MAX($K3632,$J3633*($H3633+1)/100/12),$K3632))))</f>
      </c>
      <c r="L3633" s="43">
        <f>IF($I3633=0,0,$J3633*$H3633/100/12)</f>
      </c>
      <c r="M3633" s="43">
        <f>IF($I3633=0,0,IF(OR(INDEX(DarlOhneTilgung,8)=1,AND(INDEX(DarlTilgStart,8)&gt;0,$E3633&lt;INDEX(DarlTilgStart,8))),0,MIN(MAX(0,$K3633-$L3633),$J3633)))</f>
      </c>
      <c r="N3633" s="43">
        <f>IF($I3633=0,0,MIN(SUMIFS(SondBetrag,SondDarl,8,SondDatum,"&gt;="&amp;$E3633,SondDatum,"&lt;="&amp;EOMONTH($E3633,0)),$J3633-$M3633))</f>
      </c>
      <c r="O3633" s="43">
        <f>IF($I3633=0,0,INDEX(DarlErsatzRate,8))</f>
      </c>
      <c r="P3633" s="43">
        <f>IF($I3633=0,0,$Q3632*INDEX(DarlErsatzZins,8))</f>
      </c>
      <c r="Q3633" s="43">
        <f>IF($I3633=0,0,$Q3632+$P3633+$O3633)</f>
      </c>
      <c r="R3633" s="43">
        <f>IF($I3633=0,0,$J3633-$M3633-$N3633)</f>
      </c>
    </row>
    <row r="3634">
      <c r="A3634"/>
      <c r="B3634">
        <v>8</v>
      </c>
      <c r="C3634" s="43">
        <f>INDEX(DarlObj,8)</f>
      </c>
      <c r="D3634">
        <v>271</v>
      </c>
      <c r="E3634" s="51">
        <f>IF(INDEX(DarlBelegt,8)=0,0,EOMONTH(INDEX(DarlAuszahlung,8),270)+1)</f>
      </c>
      <c r="F3634" s="43">
        <f>IF($E3634=0,0,YEAR($E3634))</f>
      </c>
      <c r="G3634" s="43">
        <f>IF(INDEX(DarlBindung,8)="",1,IF($E3634&lt;=INDEX(DarlBindung,8),1,0))</f>
      </c>
      <c r="H3634" s="43">
        <f>IF($G3634=1,INDEX(DarlSollzins,8),INDEX(DarlAnschluss,8))</f>
      </c>
      <c r="I3634" s="43">
        <f>IF(INDEX(DarlBelegt,8)=0,0,IF(INDEX(DarlOhneTilgung,8)=1,IF(INDEX(DarlBindung,8)="",1,$G3634),IF($J3634&gt;0.005,1,0)))</f>
      </c>
      <c r="J3634" s="43">
        <f>IF($I3633=0,0,$R3633)</f>
      </c>
      <c r="K3634" s="43">
        <f>IF($I3634=0,0,IF(INDEX(DarlOhneTilgung,8)=1,0,IF(AND(INDEX(DarlTilgStart,8)&gt;0,$E3634=INDEX(DarlTilgStart,8)),$J3634*($H3634+INDEX(DarlTilgung,8))/100/12,IF(AND($G3634=0,$G3633=1),MAX($K3633,$J3634*($H3634+1)/100/12),$K3633))))</f>
      </c>
      <c r="L3634" s="43">
        <f>IF($I3634=0,0,$J3634*$H3634/100/12)</f>
      </c>
      <c r="M3634" s="43">
        <f>IF($I3634=0,0,IF(OR(INDEX(DarlOhneTilgung,8)=1,AND(INDEX(DarlTilgStart,8)&gt;0,$E3634&lt;INDEX(DarlTilgStart,8))),0,MIN(MAX(0,$K3634-$L3634),$J3634)))</f>
      </c>
      <c r="N3634" s="43">
        <f>IF($I3634=0,0,MIN(SUMIFS(SondBetrag,SondDarl,8,SondDatum,"&gt;="&amp;$E3634,SondDatum,"&lt;="&amp;EOMONTH($E3634,0)),$J3634-$M3634))</f>
      </c>
      <c r="O3634" s="43">
        <f>IF($I3634=0,0,INDEX(DarlErsatzRate,8))</f>
      </c>
      <c r="P3634" s="43">
        <f>IF($I3634=0,0,$Q3633*INDEX(DarlErsatzZins,8))</f>
      </c>
      <c r="Q3634" s="43">
        <f>IF($I3634=0,0,$Q3633+$P3634+$O3634)</f>
      </c>
      <c r="R3634" s="43">
        <f>IF($I3634=0,0,$J3634-$M3634-$N3634)</f>
      </c>
    </row>
    <row r="3635">
      <c r="A3635"/>
      <c r="B3635">
        <v>8</v>
      </c>
      <c r="C3635" s="43">
        <f>INDEX(DarlObj,8)</f>
      </c>
      <c r="D3635">
        <v>272</v>
      </c>
      <c r="E3635" s="51">
        <f>IF(INDEX(DarlBelegt,8)=0,0,EOMONTH(INDEX(DarlAuszahlung,8),271)+1)</f>
      </c>
      <c r="F3635" s="43">
        <f>IF($E3635=0,0,YEAR($E3635))</f>
      </c>
      <c r="G3635" s="43">
        <f>IF(INDEX(DarlBindung,8)="",1,IF($E3635&lt;=INDEX(DarlBindung,8),1,0))</f>
      </c>
      <c r="H3635" s="43">
        <f>IF($G3635=1,INDEX(DarlSollzins,8),INDEX(DarlAnschluss,8))</f>
      </c>
      <c r="I3635" s="43">
        <f>IF(INDEX(DarlBelegt,8)=0,0,IF(INDEX(DarlOhneTilgung,8)=1,IF(INDEX(DarlBindung,8)="",1,$G3635),IF($J3635&gt;0.005,1,0)))</f>
      </c>
      <c r="J3635" s="43">
        <f>IF($I3634=0,0,$R3634)</f>
      </c>
      <c r="K3635" s="43">
        <f>IF($I3635=0,0,IF(INDEX(DarlOhneTilgung,8)=1,0,IF(AND(INDEX(DarlTilgStart,8)&gt;0,$E3635=INDEX(DarlTilgStart,8)),$J3635*($H3635+INDEX(DarlTilgung,8))/100/12,IF(AND($G3635=0,$G3634=1),MAX($K3634,$J3635*($H3635+1)/100/12),$K3634))))</f>
      </c>
      <c r="L3635" s="43">
        <f>IF($I3635=0,0,$J3635*$H3635/100/12)</f>
      </c>
      <c r="M3635" s="43">
        <f>IF($I3635=0,0,IF(OR(INDEX(DarlOhneTilgung,8)=1,AND(INDEX(DarlTilgStart,8)&gt;0,$E3635&lt;INDEX(DarlTilgStart,8))),0,MIN(MAX(0,$K3635-$L3635),$J3635)))</f>
      </c>
      <c r="N3635" s="43">
        <f>IF($I3635=0,0,MIN(SUMIFS(SondBetrag,SondDarl,8,SondDatum,"&gt;="&amp;$E3635,SondDatum,"&lt;="&amp;EOMONTH($E3635,0)),$J3635-$M3635))</f>
      </c>
      <c r="O3635" s="43">
        <f>IF($I3635=0,0,INDEX(DarlErsatzRate,8))</f>
      </c>
      <c r="P3635" s="43">
        <f>IF($I3635=0,0,$Q3634*INDEX(DarlErsatzZins,8))</f>
      </c>
      <c r="Q3635" s="43">
        <f>IF($I3635=0,0,$Q3634+$P3635+$O3635)</f>
      </c>
      <c r="R3635" s="43">
        <f>IF($I3635=0,0,$J3635-$M3635-$N3635)</f>
      </c>
    </row>
    <row r="3636">
      <c r="A3636"/>
      <c r="B3636">
        <v>8</v>
      </c>
      <c r="C3636" s="43">
        <f>INDEX(DarlObj,8)</f>
      </c>
      <c r="D3636">
        <v>273</v>
      </c>
      <c r="E3636" s="51">
        <f>IF(INDEX(DarlBelegt,8)=0,0,EOMONTH(INDEX(DarlAuszahlung,8),272)+1)</f>
      </c>
      <c r="F3636" s="43">
        <f>IF($E3636=0,0,YEAR($E3636))</f>
      </c>
      <c r="G3636" s="43">
        <f>IF(INDEX(DarlBindung,8)="",1,IF($E3636&lt;=INDEX(DarlBindung,8),1,0))</f>
      </c>
      <c r="H3636" s="43">
        <f>IF($G3636=1,INDEX(DarlSollzins,8),INDEX(DarlAnschluss,8))</f>
      </c>
      <c r="I3636" s="43">
        <f>IF(INDEX(DarlBelegt,8)=0,0,IF(INDEX(DarlOhneTilgung,8)=1,IF(INDEX(DarlBindung,8)="",1,$G3636),IF($J3636&gt;0.005,1,0)))</f>
      </c>
      <c r="J3636" s="43">
        <f>IF($I3635=0,0,$R3635)</f>
      </c>
      <c r="K3636" s="43">
        <f>IF($I3636=0,0,IF(INDEX(DarlOhneTilgung,8)=1,0,IF(AND(INDEX(DarlTilgStart,8)&gt;0,$E3636=INDEX(DarlTilgStart,8)),$J3636*($H3636+INDEX(DarlTilgung,8))/100/12,IF(AND($G3636=0,$G3635=1),MAX($K3635,$J3636*($H3636+1)/100/12),$K3635))))</f>
      </c>
      <c r="L3636" s="43">
        <f>IF($I3636=0,0,$J3636*$H3636/100/12)</f>
      </c>
      <c r="M3636" s="43">
        <f>IF($I3636=0,0,IF(OR(INDEX(DarlOhneTilgung,8)=1,AND(INDEX(DarlTilgStart,8)&gt;0,$E3636&lt;INDEX(DarlTilgStart,8))),0,MIN(MAX(0,$K3636-$L3636),$J3636)))</f>
      </c>
      <c r="N3636" s="43">
        <f>IF($I3636=0,0,MIN(SUMIFS(SondBetrag,SondDarl,8,SondDatum,"&gt;="&amp;$E3636,SondDatum,"&lt;="&amp;EOMONTH($E3636,0)),$J3636-$M3636))</f>
      </c>
      <c r="O3636" s="43">
        <f>IF($I3636=0,0,INDEX(DarlErsatzRate,8))</f>
      </c>
      <c r="P3636" s="43">
        <f>IF($I3636=0,0,$Q3635*INDEX(DarlErsatzZins,8))</f>
      </c>
      <c r="Q3636" s="43">
        <f>IF($I3636=0,0,$Q3635+$P3636+$O3636)</f>
      </c>
      <c r="R3636" s="43">
        <f>IF($I3636=0,0,$J3636-$M3636-$N3636)</f>
      </c>
    </row>
    <row r="3637">
      <c r="A3637"/>
      <c r="B3637">
        <v>8</v>
      </c>
      <c r="C3637" s="43">
        <f>INDEX(DarlObj,8)</f>
      </c>
      <c r="D3637">
        <v>274</v>
      </c>
      <c r="E3637" s="51">
        <f>IF(INDEX(DarlBelegt,8)=0,0,EOMONTH(INDEX(DarlAuszahlung,8),273)+1)</f>
      </c>
      <c r="F3637" s="43">
        <f>IF($E3637=0,0,YEAR($E3637))</f>
      </c>
      <c r="G3637" s="43">
        <f>IF(INDEX(DarlBindung,8)="",1,IF($E3637&lt;=INDEX(DarlBindung,8),1,0))</f>
      </c>
      <c r="H3637" s="43">
        <f>IF($G3637=1,INDEX(DarlSollzins,8),INDEX(DarlAnschluss,8))</f>
      </c>
      <c r="I3637" s="43">
        <f>IF(INDEX(DarlBelegt,8)=0,0,IF(INDEX(DarlOhneTilgung,8)=1,IF(INDEX(DarlBindung,8)="",1,$G3637),IF($J3637&gt;0.005,1,0)))</f>
      </c>
      <c r="J3637" s="43">
        <f>IF($I3636=0,0,$R3636)</f>
      </c>
      <c r="K3637" s="43">
        <f>IF($I3637=0,0,IF(INDEX(DarlOhneTilgung,8)=1,0,IF(AND(INDEX(DarlTilgStart,8)&gt;0,$E3637=INDEX(DarlTilgStart,8)),$J3637*($H3637+INDEX(DarlTilgung,8))/100/12,IF(AND($G3637=0,$G3636=1),MAX($K3636,$J3637*($H3637+1)/100/12),$K3636))))</f>
      </c>
      <c r="L3637" s="43">
        <f>IF($I3637=0,0,$J3637*$H3637/100/12)</f>
      </c>
      <c r="M3637" s="43">
        <f>IF($I3637=0,0,IF(OR(INDEX(DarlOhneTilgung,8)=1,AND(INDEX(DarlTilgStart,8)&gt;0,$E3637&lt;INDEX(DarlTilgStart,8))),0,MIN(MAX(0,$K3637-$L3637),$J3637)))</f>
      </c>
      <c r="N3637" s="43">
        <f>IF($I3637=0,0,MIN(SUMIFS(SondBetrag,SondDarl,8,SondDatum,"&gt;="&amp;$E3637,SondDatum,"&lt;="&amp;EOMONTH($E3637,0)),$J3637-$M3637))</f>
      </c>
      <c r="O3637" s="43">
        <f>IF($I3637=0,0,INDEX(DarlErsatzRate,8))</f>
      </c>
      <c r="P3637" s="43">
        <f>IF($I3637=0,0,$Q3636*INDEX(DarlErsatzZins,8))</f>
      </c>
      <c r="Q3637" s="43">
        <f>IF($I3637=0,0,$Q3636+$P3637+$O3637)</f>
      </c>
      <c r="R3637" s="43">
        <f>IF($I3637=0,0,$J3637-$M3637-$N3637)</f>
      </c>
    </row>
    <row r="3638">
      <c r="A3638"/>
      <c r="B3638">
        <v>8</v>
      </c>
      <c r="C3638" s="43">
        <f>INDEX(DarlObj,8)</f>
      </c>
      <c r="D3638">
        <v>275</v>
      </c>
      <c r="E3638" s="51">
        <f>IF(INDEX(DarlBelegt,8)=0,0,EOMONTH(INDEX(DarlAuszahlung,8),274)+1)</f>
      </c>
      <c r="F3638" s="43">
        <f>IF($E3638=0,0,YEAR($E3638))</f>
      </c>
      <c r="G3638" s="43">
        <f>IF(INDEX(DarlBindung,8)="",1,IF($E3638&lt;=INDEX(DarlBindung,8),1,0))</f>
      </c>
      <c r="H3638" s="43">
        <f>IF($G3638=1,INDEX(DarlSollzins,8),INDEX(DarlAnschluss,8))</f>
      </c>
      <c r="I3638" s="43">
        <f>IF(INDEX(DarlBelegt,8)=0,0,IF(INDEX(DarlOhneTilgung,8)=1,IF(INDEX(DarlBindung,8)="",1,$G3638),IF($J3638&gt;0.005,1,0)))</f>
      </c>
      <c r="J3638" s="43">
        <f>IF($I3637=0,0,$R3637)</f>
      </c>
      <c r="K3638" s="43">
        <f>IF($I3638=0,0,IF(INDEX(DarlOhneTilgung,8)=1,0,IF(AND(INDEX(DarlTilgStart,8)&gt;0,$E3638=INDEX(DarlTilgStart,8)),$J3638*($H3638+INDEX(DarlTilgung,8))/100/12,IF(AND($G3638=0,$G3637=1),MAX($K3637,$J3638*($H3638+1)/100/12),$K3637))))</f>
      </c>
      <c r="L3638" s="43">
        <f>IF($I3638=0,0,$J3638*$H3638/100/12)</f>
      </c>
      <c r="M3638" s="43">
        <f>IF($I3638=0,0,IF(OR(INDEX(DarlOhneTilgung,8)=1,AND(INDEX(DarlTilgStart,8)&gt;0,$E3638&lt;INDEX(DarlTilgStart,8))),0,MIN(MAX(0,$K3638-$L3638),$J3638)))</f>
      </c>
      <c r="N3638" s="43">
        <f>IF($I3638=0,0,MIN(SUMIFS(SondBetrag,SondDarl,8,SondDatum,"&gt;="&amp;$E3638,SondDatum,"&lt;="&amp;EOMONTH($E3638,0)),$J3638-$M3638))</f>
      </c>
      <c r="O3638" s="43">
        <f>IF($I3638=0,0,INDEX(DarlErsatzRate,8))</f>
      </c>
      <c r="P3638" s="43">
        <f>IF($I3638=0,0,$Q3637*INDEX(DarlErsatzZins,8))</f>
      </c>
      <c r="Q3638" s="43">
        <f>IF($I3638=0,0,$Q3637+$P3638+$O3638)</f>
      </c>
      <c r="R3638" s="43">
        <f>IF($I3638=0,0,$J3638-$M3638-$N3638)</f>
      </c>
    </row>
    <row r="3639">
      <c r="A3639"/>
      <c r="B3639">
        <v>8</v>
      </c>
      <c r="C3639" s="43">
        <f>INDEX(DarlObj,8)</f>
      </c>
      <c r="D3639">
        <v>276</v>
      </c>
      <c r="E3639" s="51">
        <f>IF(INDEX(DarlBelegt,8)=0,0,EOMONTH(INDEX(DarlAuszahlung,8),275)+1)</f>
      </c>
      <c r="F3639" s="43">
        <f>IF($E3639=0,0,YEAR($E3639))</f>
      </c>
      <c r="G3639" s="43">
        <f>IF(INDEX(DarlBindung,8)="",1,IF($E3639&lt;=INDEX(DarlBindung,8),1,0))</f>
      </c>
      <c r="H3639" s="43">
        <f>IF($G3639=1,INDEX(DarlSollzins,8),INDEX(DarlAnschluss,8))</f>
      </c>
      <c r="I3639" s="43">
        <f>IF(INDEX(DarlBelegt,8)=0,0,IF(INDEX(DarlOhneTilgung,8)=1,IF(INDEX(DarlBindung,8)="",1,$G3639),IF($J3639&gt;0.005,1,0)))</f>
      </c>
      <c r="J3639" s="43">
        <f>IF($I3638=0,0,$R3638)</f>
      </c>
      <c r="K3639" s="43">
        <f>IF($I3639=0,0,IF(INDEX(DarlOhneTilgung,8)=1,0,IF(AND(INDEX(DarlTilgStart,8)&gt;0,$E3639=INDEX(DarlTilgStart,8)),$J3639*($H3639+INDEX(DarlTilgung,8))/100/12,IF(AND($G3639=0,$G3638=1),MAX($K3638,$J3639*($H3639+1)/100/12),$K3638))))</f>
      </c>
      <c r="L3639" s="43">
        <f>IF($I3639=0,0,$J3639*$H3639/100/12)</f>
      </c>
      <c r="M3639" s="43">
        <f>IF($I3639=0,0,IF(OR(INDEX(DarlOhneTilgung,8)=1,AND(INDEX(DarlTilgStart,8)&gt;0,$E3639&lt;INDEX(DarlTilgStart,8))),0,MIN(MAX(0,$K3639-$L3639),$J3639)))</f>
      </c>
      <c r="N3639" s="43">
        <f>IF($I3639=0,0,MIN(SUMIFS(SondBetrag,SondDarl,8,SondDatum,"&gt;="&amp;$E3639,SondDatum,"&lt;="&amp;EOMONTH($E3639,0)),$J3639-$M3639))</f>
      </c>
      <c r="O3639" s="43">
        <f>IF($I3639=0,0,INDEX(DarlErsatzRate,8))</f>
      </c>
      <c r="P3639" s="43">
        <f>IF($I3639=0,0,$Q3638*INDEX(DarlErsatzZins,8))</f>
      </c>
      <c r="Q3639" s="43">
        <f>IF($I3639=0,0,$Q3638+$P3639+$O3639)</f>
      </c>
      <c r="R3639" s="43">
        <f>IF($I3639=0,0,$J3639-$M3639-$N3639)</f>
      </c>
    </row>
    <row r="3640">
      <c r="A3640"/>
      <c r="B3640">
        <v>8</v>
      </c>
      <c r="C3640" s="43">
        <f>INDEX(DarlObj,8)</f>
      </c>
      <c r="D3640">
        <v>277</v>
      </c>
      <c r="E3640" s="51">
        <f>IF(INDEX(DarlBelegt,8)=0,0,EOMONTH(INDEX(DarlAuszahlung,8),276)+1)</f>
      </c>
      <c r="F3640" s="43">
        <f>IF($E3640=0,0,YEAR($E3640))</f>
      </c>
      <c r="G3640" s="43">
        <f>IF(INDEX(DarlBindung,8)="",1,IF($E3640&lt;=INDEX(DarlBindung,8),1,0))</f>
      </c>
      <c r="H3640" s="43">
        <f>IF($G3640=1,INDEX(DarlSollzins,8),INDEX(DarlAnschluss,8))</f>
      </c>
      <c r="I3640" s="43">
        <f>IF(INDEX(DarlBelegt,8)=0,0,IF(INDEX(DarlOhneTilgung,8)=1,IF(INDEX(DarlBindung,8)="",1,$G3640),IF($J3640&gt;0.005,1,0)))</f>
      </c>
      <c r="J3640" s="43">
        <f>IF($I3639=0,0,$R3639)</f>
      </c>
      <c r="K3640" s="43">
        <f>IF($I3640=0,0,IF(INDEX(DarlOhneTilgung,8)=1,0,IF(AND(INDEX(DarlTilgStart,8)&gt;0,$E3640=INDEX(DarlTilgStart,8)),$J3640*($H3640+INDEX(DarlTilgung,8))/100/12,IF(AND($G3640=0,$G3639=1),MAX($K3639,$J3640*($H3640+1)/100/12),$K3639))))</f>
      </c>
      <c r="L3640" s="43">
        <f>IF($I3640=0,0,$J3640*$H3640/100/12)</f>
      </c>
      <c r="M3640" s="43">
        <f>IF($I3640=0,0,IF(OR(INDEX(DarlOhneTilgung,8)=1,AND(INDEX(DarlTilgStart,8)&gt;0,$E3640&lt;INDEX(DarlTilgStart,8))),0,MIN(MAX(0,$K3640-$L3640),$J3640)))</f>
      </c>
      <c r="N3640" s="43">
        <f>IF($I3640=0,0,MIN(SUMIFS(SondBetrag,SondDarl,8,SondDatum,"&gt;="&amp;$E3640,SondDatum,"&lt;="&amp;EOMONTH($E3640,0)),$J3640-$M3640))</f>
      </c>
      <c r="O3640" s="43">
        <f>IF($I3640=0,0,INDEX(DarlErsatzRate,8))</f>
      </c>
      <c r="P3640" s="43">
        <f>IF($I3640=0,0,$Q3639*INDEX(DarlErsatzZins,8))</f>
      </c>
      <c r="Q3640" s="43">
        <f>IF($I3640=0,0,$Q3639+$P3640+$O3640)</f>
      </c>
      <c r="R3640" s="43">
        <f>IF($I3640=0,0,$J3640-$M3640-$N3640)</f>
      </c>
    </row>
    <row r="3641">
      <c r="A3641"/>
      <c r="B3641">
        <v>8</v>
      </c>
      <c r="C3641" s="43">
        <f>INDEX(DarlObj,8)</f>
      </c>
      <c r="D3641">
        <v>278</v>
      </c>
      <c r="E3641" s="51">
        <f>IF(INDEX(DarlBelegt,8)=0,0,EOMONTH(INDEX(DarlAuszahlung,8),277)+1)</f>
      </c>
      <c r="F3641" s="43">
        <f>IF($E3641=0,0,YEAR($E3641))</f>
      </c>
      <c r="G3641" s="43">
        <f>IF(INDEX(DarlBindung,8)="",1,IF($E3641&lt;=INDEX(DarlBindung,8),1,0))</f>
      </c>
      <c r="H3641" s="43">
        <f>IF($G3641=1,INDEX(DarlSollzins,8),INDEX(DarlAnschluss,8))</f>
      </c>
      <c r="I3641" s="43">
        <f>IF(INDEX(DarlBelegt,8)=0,0,IF(INDEX(DarlOhneTilgung,8)=1,IF(INDEX(DarlBindung,8)="",1,$G3641),IF($J3641&gt;0.005,1,0)))</f>
      </c>
      <c r="J3641" s="43">
        <f>IF($I3640=0,0,$R3640)</f>
      </c>
      <c r="K3641" s="43">
        <f>IF($I3641=0,0,IF(INDEX(DarlOhneTilgung,8)=1,0,IF(AND(INDEX(DarlTilgStart,8)&gt;0,$E3641=INDEX(DarlTilgStart,8)),$J3641*($H3641+INDEX(DarlTilgung,8))/100/12,IF(AND($G3641=0,$G3640=1),MAX($K3640,$J3641*($H3641+1)/100/12),$K3640))))</f>
      </c>
      <c r="L3641" s="43">
        <f>IF($I3641=0,0,$J3641*$H3641/100/12)</f>
      </c>
      <c r="M3641" s="43">
        <f>IF($I3641=0,0,IF(OR(INDEX(DarlOhneTilgung,8)=1,AND(INDEX(DarlTilgStart,8)&gt;0,$E3641&lt;INDEX(DarlTilgStart,8))),0,MIN(MAX(0,$K3641-$L3641),$J3641)))</f>
      </c>
      <c r="N3641" s="43">
        <f>IF($I3641=0,0,MIN(SUMIFS(SondBetrag,SondDarl,8,SondDatum,"&gt;="&amp;$E3641,SondDatum,"&lt;="&amp;EOMONTH($E3641,0)),$J3641-$M3641))</f>
      </c>
      <c r="O3641" s="43">
        <f>IF($I3641=0,0,INDEX(DarlErsatzRate,8))</f>
      </c>
      <c r="P3641" s="43">
        <f>IF($I3641=0,0,$Q3640*INDEX(DarlErsatzZins,8))</f>
      </c>
      <c r="Q3641" s="43">
        <f>IF($I3641=0,0,$Q3640+$P3641+$O3641)</f>
      </c>
      <c r="R3641" s="43">
        <f>IF($I3641=0,0,$J3641-$M3641-$N3641)</f>
      </c>
    </row>
    <row r="3642">
      <c r="A3642"/>
      <c r="B3642">
        <v>8</v>
      </c>
      <c r="C3642" s="43">
        <f>INDEX(DarlObj,8)</f>
      </c>
      <c r="D3642">
        <v>279</v>
      </c>
      <c r="E3642" s="51">
        <f>IF(INDEX(DarlBelegt,8)=0,0,EOMONTH(INDEX(DarlAuszahlung,8),278)+1)</f>
      </c>
      <c r="F3642" s="43">
        <f>IF($E3642=0,0,YEAR($E3642))</f>
      </c>
      <c r="G3642" s="43">
        <f>IF(INDEX(DarlBindung,8)="",1,IF($E3642&lt;=INDEX(DarlBindung,8),1,0))</f>
      </c>
      <c r="H3642" s="43">
        <f>IF($G3642=1,INDEX(DarlSollzins,8),INDEX(DarlAnschluss,8))</f>
      </c>
      <c r="I3642" s="43">
        <f>IF(INDEX(DarlBelegt,8)=0,0,IF(INDEX(DarlOhneTilgung,8)=1,IF(INDEX(DarlBindung,8)="",1,$G3642),IF($J3642&gt;0.005,1,0)))</f>
      </c>
      <c r="J3642" s="43">
        <f>IF($I3641=0,0,$R3641)</f>
      </c>
      <c r="K3642" s="43">
        <f>IF($I3642=0,0,IF(INDEX(DarlOhneTilgung,8)=1,0,IF(AND(INDEX(DarlTilgStart,8)&gt;0,$E3642=INDEX(DarlTilgStart,8)),$J3642*($H3642+INDEX(DarlTilgung,8))/100/12,IF(AND($G3642=0,$G3641=1),MAX($K3641,$J3642*($H3642+1)/100/12),$K3641))))</f>
      </c>
      <c r="L3642" s="43">
        <f>IF($I3642=0,0,$J3642*$H3642/100/12)</f>
      </c>
      <c r="M3642" s="43">
        <f>IF($I3642=0,0,IF(OR(INDEX(DarlOhneTilgung,8)=1,AND(INDEX(DarlTilgStart,8)&gt;0,$E3642&lt;INDEX(DarlTilgStart,8))),0,MIN(MAX(0,$K3642-$L3642),$J3642)))</f>
      </c>
      <c r="N3642" s="43">
        <f>IF($I3642=0,0,MIN(SUMIFS(SondBetrag,SondDarl,8,SondDatum,"&gt;="&amp;$E3642,SondDatum,"&lt;="&amp;EOMONTH($E3642,0)),$J3642-$M3642))</f>
      </c>
      <c r="O3642" s="43">
        <f>IF($I3642=0,0,INDEX(DarlErsatzRate,8))</f>
      </c>
      <c r="P3642" s="43">
        <f>IF($I3642=0,0,$Q3641*INDEX(DarlErsatzZins,8))</f>
      </c>
      <c r="Q3642" s="43">
        <f>IF($I3642=0,0,$Q3641+$P3642+$O3642)</f>
      </c>
      <c r="R3642" s="43">
        <f>IF($I3642=0,0,$J3642-$M3642-$N3642)</f>
      </c>
    </row>
    <row r="3643">
      <c r="A3643"/>
      <c r="B3643">
        <v>8</v>
      </c>
      <c r="C3643" s="43">
        <f>INDEX(DarlObj,8)</f>
      </c>
      <c r="D3643">
        <v>280</v>
      </c>
      <c r="E3643" s="51">
        <f>IF(INDEX(DarlBelegt,8)=0,0,EOMONTH(INDEX(DarlAuszahlung,8),279)+1)</f>
      </c>
      <c r="F3643" s="43">
        <f>IF($E3643=0,0,YEAR($E3643))</f>
      </c>
      <c r="G3643" s="43">
        <f>IF(INDEX(DarlBindung,8)="",1,IF($E3643&lt;=INDEX(DarlBindung,8),1,0))</f>
      </c>
      <c r="H3643" s="43">
        <f>IF($G3643=1,INDEX(DarlSollzins,8),INDEX(DarlAnschluss,8))</f>
      </c>
      <c r="I3643" s="43">
        <f>IF(INDEX(DarlBelegt,8)=0,0,IF(INDEX(DarlOhneTilgung,8)=1,IF(INDEX(DarlBindung,8)="",1,$G3643),IF($J3643&gt;0.005,1,0)))</f>
      </c>
      <c r="J3643" s="43">
        <f>IF($I3642=0,0,$R3642)</f>
      </c>
      <c r="K3643" s="43">
        <f>IF($I3643=0,0,IF(INDEX(DarlOhneTilgung,8)=1,0,IF(AND(INDEX(DarlTilgStart,8)&gt;0,$E3643=INDEX(DarlTilgStart,8)),$J3643*($H3643+INDEX(DarlTilgung,8))/100/12,IF(AND($G3643=0,$G3642=1),MAX($K3642,$J3643*($H3643+1)/100/12),$K3642))))</f>
      </c>
      <c r="L3643" s="43">
        <f>IF($I3643=0,0,$J3643*$H3643/100/12)</f>
      </c>
      <c r="M3643" s="43">
        <f>IF($I3643=0,0,IF(OR(INDEX(DarlOhneTilgung,8)=1,AND(INDEX(DarlTilgStart,8)&gt;0,$E3643&lt;INDEX(DarlTilgStart,8))),0,MIN(MAX(0,$K3643-$L3643),$J3643)))</f>
      </c>
      <c r="N3643" s="43">
        <f>IF($I3643=0,0,MIN(SUMIFS(SondBetrag,SondDarl,8,SondDatum,"&gt;="&amp;$E3643,SondDatum,"&lt;="&amp;EOMONTH($E3643,0)),$J3643-$M3643))</f>
      </c>
      <c r="O3643" s="43">
        <f>IF($I3643=0,0,INDEX(DarlErsatzRate,8))</f>
      </c>
      <c r="P3643" s="43">
        <f>IF($I3643=0,0,$Q3642*INDEX(DarlErsatzZins,8))</f>
      </c>
      <c r="Q3643" s="43">
        <f>IF($I3643=0,0,$Q3642+$P3643+$O3643)</f>
      </c>
      <c r="R3643" s="43">
        <f>IF($I3643=0,0,$J3643-$M3643-$N3643)</f>
      </c>
    </row>
    <row r="3644">
      <c r="A3644"/>
      <c r="B3644">
        <v>8</v>
      </c>
      <c r="C3644" s="43">
        <f>INDEX(DarlObj,8)</f>
      </c>
      <c r="D3644">
        <v>281</v>
      </c>
      <c r="E3644" s="51">
        <f>IF(INDEX(DarlBelegt,8)=0,0,EOMONTH(INDEX(DarlAuszahlung,8),280)+1)</f>
      </c>
      <c r="F3644" s="43">
        <f>IF($E3644=0,0,YEAR($E3644))</f>
      </c>
      <c r="G3644" s="43">
        <f>IF(INDEX(DarlBindung,8)="",1,IF($E3644&lt;=INDEX(DarlBindung,8),1,0))</f>
      </c>
      <c r="H3644" s="43">
        <f>IF($G3644=1,INDEX(DarlSollzins,8),INDEX(DarlAnschluss,8))</f>
      </c>
      <c r="I3644" s="43">
        <f>IF(INDEX(DarlBelegt,8)=0,0,IF(INDEX(DarlOhneTilgung,8)=1,IF(INDEX(DarlBindung,8)="",1,$G3644),IF($J3644&gt;0.005,1,0)))</f>
      </c>
      <c r="J3644" s="43">
        <f>IF($I3643=0,0,$R3643)</f>
      </c>
      <c r="K3644" s="43">
        <f>IF($I3644=0,0,IF(INDEX(DarlOhneTilgung,8)=1,0,IF(AND(INDEX(DarlTilgStart,8)&gt;0,$E3644=INDEX(DarlTilgStart,8)),$J3644*($H3644+INDEX(DarlTilgung,8))/100/12,IF(AND($G3644=0,$G3643=1),MAX($K3643,$J3644*($H3644+1)/100/12),$K3643))))</f>
      </c>
      <c r="L3644" s="43">
        <f>IF($I3644=0,0,$J3644*$H3644/100/12)</f>
      </c>
      <c r="M3644" s="43">
        <f>IF($I3644=0,0,IF(OR(INDEX(DarlOhneTilgung,8)=1,AND(INDEX(DarlTilgStart,8)&gt;0,$E3644&lt;INDEX(DarlTilgStart,8))),0,MIN(MAX(0,$K3644-$L3644),$J3644)))</f>
      </c>
      <c r="N3644" s="43">
        <f>IF($I3644=0,0,MIN(SUMIFS(SondBetrag,SondDarl,8,SondDatum,"&gt;="&amp;$E3644,SondDatum,"&lt;="&amp;EOMONTH($E3644,0)),$J3644-$M3644))</f>
      </c>
      <c r="O3644" s="43">
        <f>IF($I3644=0,0,INDEX(DarlErsatzRate,8))</f>
      </c>
      <c r="P3644" s="43">
        <f>IF($I3644=0,0,$Q3643*INDEX(DarlErsatzZins,8))</f>
      </c>
      <c r="Q3644" s="43">
        <f>IF($I3644=0,0,$Q3643+$P3644+$O3644)</f>
      </c>
      <c r="R3644" s="43">
        <f>IF($I3644=0,0,$J3644-$M3644-$N3644)</f>
      </c>
    </row>
    <row r="3645">
      <c r="A3645"/>
      <c r="B3645">
        <v>8</v>
      </c>
      <c r="C3645" s="43">
        <f>INDEX(DarlObj,8)</f>
      </c>
      <c r="D3645">
        <v>282</v>
      </c>
      <c r="E3645" s="51">
        <f>IF(INDEX(DarlBelegt,8)=0,0,EOMONTH(INDEX(DarlAuszahlung,8),281)+1)</f>
      </c>
      <c r="F3645" s="43">
        <f>IF($E3645=0,0,YEAR($E3645))</f>
      </c>
      <c r="G3645" s="43">
        <f>IF(INDEX(DarlBindung,8)="",1,IF($E3645&lt;=INDEX(DarlBindung,8),1,0))</f>
      </c>
      <c r="H3645" s="43">
        <f>IF($G3645=1,INDEX(DarlSollzins,8),INDEX(DarlAnschluss,8))</f>
      </c>
      <c r="I3645" s="43">
        <f>IF(INDEX(DarlBelegt,8)=0,0,IF(INDEX(DarlOhneTilgung,8)=1,IF(INDEX(DarlBindung,8)="",1,$G3645),IF($J3645&gt;0.005,1,0)))</f>
      </c>
      <c r="J3645" s="43">
        <f>IF($I3644=0,0,$R3644)</f>
      </c>
      <c r="K3645" s="43">
        <f>IF($I3645=0,0,IF(INDEX(DarlOhneTilgung,8)=1,0,IF(AND(INDEX(DarlTilgStart,8)&gt;0,$E3645=INDEX(DarlTilgStart,8)),$J3645*($H3645+INDEX(DarlTilgung,8))/100/12,IF(AND($G3645=0,$G3644=1),MAX($K3644,$J3645*($H3645+1)/100/12),$K3644))))</f>
      </c>
      <c r="L3645" s="43">
        <f>IF($I3645=0,0,$J3645*$H3645/100/12)</f>
      </c>
      <c r="M3645" s="43">
        <f>IF($I3645=0,0,IF(OR(INDEX(DarlOhneTilgung,8)=1,AND(INDEX(DarlTilgStart,8)&gt;0,$E3645&lt;INDEX(DarlTilgStart,8))),0,MIN(MAX(0,$K3645-$L3645),$J3645)))</f>
      </c>
      <c r="N3645" s="43">
        <f>IF($I3645=0,0,MIN(SUMIFS(SondBetrag,SondDarl,8,SondDatum,"&gt;="&amp;$E3645,SondDatum,"&lt;="&amp;EOMONTH($E3645,0)),$J3645-$M3645))</f>
      </c>
      <c r="O3645" s="43">
        <f>IF($I3645=0,0,INDEX(DarlErsatzRate,8))</f>
      </c>
      <c r="P3645" s="43">
        <f>IF($I3645=0,0,$Q3644*INDEX(DarlErsatzZins,8))</f>
      </c>
      <c r="Q3645" s="43">
        <f>IF($I3645=0,0,$Q3644+$P3645+$O3645)</f>
      </c>
      <c r="R3645" s="43">
        <f>IF($I3645=0,0,$J3645-$M3645-$N3645)</f>
      </c>
    </row>
    <row r="3646">
      <c r="A3646"/>
      <c r="B3646">
        <v>8</v>
      </c>
      <c r="C3646" s="43">
        <f>INDEX(DarlObj,8)</f>
      </c>
      <c r="D3646">
        <v>283</v>
      </c>
      <c r="E3646" s="51">
        <f>IF(INDEX(DarlBelegt,8)=0,0,EOMONTH(INDEX(DarlAuszahlung,8),282)+1)</f>
      </c>
      <c r="F3646" s="43">
        <f>IF($E3646=0,0,YEAR($E3646))</f>
      </c>
      <c r="G3646" s="43">
        <f>IF(INDEX(DarlBindung,8)="",1,IF($E3646&lt;=INDEX(DarlBindung,8),1,0))</f>
      </c>
      <c r="H3646" s="43">
        <f>IF($G3646=1,INDEX(DarlSollzins,8),INDEX(DarlAnschluss,8))</f>
      </c>
      <c r="I3646" s="43">
        <f>IF(INDEX(DarlBelegt,8)=0,0,IF(INDEX(DarlOhneTilgung,8)=1,IF(INDEX(DarlBindung,8)="",1,$G3646),IF($J3646&gt;0.005,1,0)))</f>
      </c>
      <c r="J3646" s="43">
        <f>IF($I3645=0,0,$R3645)</f>
      </c>
      <c r="K3646" s="43">
        <f>IF($I3646=0,0,IF(INDEX(DarlOhneTilgung,8)=1,0,IF(AND(INDEX(DarlTilgStart,8)&gt;0,$E3646=INDEX(DarlTilgStart,8)),$J3646*($H3646+INDEX(DarlTilgung,8))/100/12,IF(AND($G3646=0,$G3645=1),MAX($K3645,$J3646*($H3646+1)/100/12),$K3645))))</f>
      </c>
      <c r="L3646" s="43">
        <f>IF($I3646=0,0,$J3646*$H3646/100/12)</f>
      </c>
      <c r="M3646" s="43">
        <f>IF($I3646=0,0,IF(OR(INDEX(DarlOhneTilgung,8)=1,AND(INDEX(DarlTilgStart,8)&gt;0,$E3646&lt;INDEX(DarlTilgStart,8))),0,MIN(MAX(0,$K3646-$L3646),$J3646)))</f>
      </c>
      <c r="N3646" s="43">
        <f>IF($I3646=0,0,MIN(SUMIFS(SondBetrag,SondDarl,8,SondDatum,"&gt;="&amp;$E3646,SondDatum,"&lt;="&amp;EOMONTH($E3646,0)),$J3646-$M3646))</f>
      </c>
      <c r="O3646" s="43">
        <f>IF($I3646=0,0,INDEX(DarlErsatzRate,8))</f>
      </c>
      <c r="P3646" s="43">
        <f>IF($I3646=0,0,$Q3645*INDEX(DarlErsatzZins,8))</f>
      </c>
      <c r="Q3646" s="43">
        <f>IF($I3646=0,0,$Q3645+$P3646+$O3646)</f>
      </c>
      <c r="R3646" s="43">
        <f>IF($I3646=0,0,$J3646-$M3646-$N3646)</f>
      </c>
    </row>
    <row r="3647">
      <c r="A3647"/>
      <c r="B3647">
        <v>8</v>
      </c>
      <c r="C3647" s="43">
        <f>INDEX(DarlObj,8)</f>
      </c>
      <c r="D3647">
        <v>284</v>
      </c>
      <c r="E3647" s="51">
        <f>IF(INDEX(DarlBelegt,8)=0,0,EOMONTH(INDEX(DarlAuszahlung,8),283)+1)</f>
      </c>
      <c r="F3647" s="43">
        <f>IF($E3647=0,0,YEAR($E3647))</f>
      </c>
      <c r="G3647" s="43">
        <f>IF(INDEX(DarlBindung,8)="",1,IF($E3647&lt;=INDEX(DarlBindung,8),1,0))</f>
      </c>
      <c r="H3647" s="43">
        <f>IF($G3647=1,INDEX(DarlSollzins,8),INDEX(DarlAnschluss,8))</f>
      </c>
      <c r="I3647" s="43">
        <f>IF(INDEX(DarlBelegt,8)=0,0,IF(INDEX(DarlOhneTilgung,8)=1,IF(INDEX(DarlBindung,8)="",1,$G3647),IF($J3647&gt;0.005,1,0)))</f>
      </c>
      <c r="J3647" s="43">
        <f>IF($I3646=0,0,$R3646)</f>
      </c>
      <c r="K3647" s="43">
        <f>IF($I3647=0,0,IF(INDEX(DarlOhneTilgung,8)=1,0,IF(AND(INDEX(DarlTilgStart,8)&gt;0,$E3647=INDEX(DarlTilgStart,8)),$J3647*($H3647+INDEX(DarlTilgung,8))/100/12,IF(AND($G3647=0,$G3646=1),MAX($K3646,$J3647*($H3647+1)/100/12),$K3646))))</f>
      </c>
      <c r="L3647" s="43">
        <f>IF($I3647=0,0,$J3647*$H3647/100/12)</f>
      </c>
      <c r="M3647" s="43">
        <f>IF($I3647=0,0,IF(OR(INDEX(DarlOhneTilgung,8)=1,AND(INDEX(DarlTilgStart,8)&gt;0,$E3647&lt;INDEX(DarlTilgStart,8))),0,MIN(MAX(0,$K3647-$L3647),$J3647)))</f>
      </c>
      <c r="N3647" s="43">
        <f>IF($I3647=0,0,MIN(SUMIFS(SondBetrag,SondDarl,8,SondDatum,"&gt;="&amp;$E3647,SondDatum,"&lt;="&amp;EOMONTH($E3647,0)),$J3647-$M3647))</f>
      </c>
      <c r="O3647" s="43">
        <f>IF($I3647=0,0,INDEX(DarlErsatzRate,8))</f>
      </c>
      <c r="P3647" s="43">
        <f>IF($I3647=0,0,$Q3646*INDEX(DarlErsatzZins,8))</f>
      </c>
      <c r="Q3647" s="43">
        <f>IF($I3647=0,0,$Q3646+$P3647+$O3647)</f>
      </c>
      <c r="R3647" s="43">
        <f>IF($I3647=0,0,$J3647-$M3647-$N3647)</f>
      </c>
    </row>
    <row r="3648">
      <c r="A3648"/>
      <c r="B3648">
        <v>8</v>
      </c>
      <c r="C3648" s="43">
        <f>INDEX(DarlObj,8)</f>
      </c>
      <c r="D3648">
        <v>285</v>
      </c>
      <c r="E3648" s="51">
        <f>IF(INDEX(DarlBelegt,8)=0,0,EOMONTH(INDEX(DarlAuszahlung,8),284)+1)</f>
      </c>
      <c r="F3648" s="43">
        <f>IF($E3648=0,0,YEAR($E3648))</f>
      </c>
      <c r="G3648" s="43">
        <f>IF(INDEX(DarlBindung,8)="",1,IF($E3648&lt;=INDEX(DarlBindung,8),1,0))</f>
      </c>
      <c r="H3648" s="43">
        <f>IF($G3648=1,INDEX(DarlSollzins,8),INDEX(DarlAnschluss,8))</f>
      </c>
      <c r="I3648" s="43">
        <f>IF(INDEX(DarlBelegt,8)=0,0,IF(INDEX(DarlOhneTilgung,8)=1,IF(INDEX(DarlBindung,8)="",1,$G3648),IF($J3648&gt;0.005,1,0)))</f>
      </c>
      <c r="J3648" s="43">
        <f>IF($I3647=0,0,$R3647)</f>
      </c>
      <c r="K3648" s="43">
        <f>IF($I3648=0,0,IF(INDEX(DarlOhneTilgung,8)=1,0,IF(AND(INDEX(DarlTilgStart,8)&gt;0,$E3648=INDEX(DarlTilgStart,8)),$J3648*($H3648+INDEX(DarlTilgung,8))/100/12,IF(AND($G3648=0,$G3647=1),MAX($K3647,$J3648*($H3648+1)/100/12),$K3647))))</f>
      </c>
      <c r="L3648" s="43">
        <f>IF($I3648=0,0,$J3648*$H3648/100/12)</f>
      </c>
      <c r="M3648" s="43">
        <f>IF($I3648=0,0,IF(OR(INDEX(DarlOhneTilgung,8)=1,AND(INDEX(DarlTilgStart,8)&gt;0,$E3648&lt;INDEX(DarlTilgStart,8))),0,MIN(MAX(0,$K3648-$L3648),$J3648)))</f>
      </c>
      <c r="N3648" s="43">
        <f>IF($I3648=0,0,MIN(SUMIFS(SondBetrag,SondDarl,8,SondDatum,"&gt;="&amp;$E3648,SondDatum,"&lt;="&amp;EOMONTH($E3648,0)),$J3648-$M3648))</f>
      </c>
      <c r="O3648" s="43">
        <f>IF($I3648=0,0,INDEX(DarlErsatzRate,8))</f>
      </c>
      <c r="P3648" s="43">
        <f>IF($I3648=0,0,$Q3647*INDEX(DarlErsatzZins,8))</f>
      </c>
      <c r="Q3648" s="43">
        <f>IF($I3648=0,0,$Q3647+$P3648+$O3648)</f>
      </c>
      <c r="R3648" s="43">
        <f>IF($I3648=0,0,$J3648-$M3648-$N3648)</f>
      </c>
    </row>
    <row r="3649">
      <c r="A3649"/>
      <c r="B3649">
        <v>8</v>
      </c>
      <c r="C3649" s="43">
        <f>INDEX(DarlObj,8)</f>
      </c>
      <c r="D3649">
        <v>286</v>
      </c>
      <c r="E3649" s="51">
        <f>IF(INDEX(DarlBelegt,8)=0,0,EOMONTH(INDEX(DarlAuszahlung,8),285)+1)</f>
      </c>
      <c r="F3649" s="43">
        <f>IF($E3649=0,0,YEAR($E3649))</f>
      </c>
      <c r="G3649" s="43">
        <f>IF(INDEX(DarlBindung,8)="",1,IF($E3649&lt;=INDEX(DarlBindung,8),1,0))</f>
      </c>
      <c r="H3649" s="43">
        <f>IF($G3649=1,INDEX(DarlSollzins,8),INDEX(DarlAnschluss,8))</f>
      </c>
      <c r="I3649" s="43">
        <f>IF(INDEX(DarlBelegt,8)=0,0,IF(INDEX(DarlOhneTilgung,8)=1,IF(INDEX(DarlBindung,8)="",1,$G3649),IF($J3649&gt;0.005,1,0)))</f>
      </c>
      <c r="J3649" s="43">
        <f>IF($I3648=0,0,$R3648)</f>
      </c>
      <c r="K3649" s="43">
        <f>IF($I3649=0,0,IF(INDEX(DarlOhneTilgung,8)=1,0,IF(AND(INDEX(DarlTilgStart,8)&gt;0,$E3649=INDEX(DarlTilgStart,8)),$J3649*($H3649+INDEX(DarlTilgung,8))/100/12,IF(AND($G3649=0,$G3648=1),MAX($K3648,$J3649*($H3649+1)/100/12),$K3648))))</f>
      </c>
      <c r="L3649" s="43">
        <f>IF($I3649=0,0,$J3649*$H3649/100/12)</f>
      </c>
      <c r="M3649" s="43">
        <f>IF($I3649=0,0,IF(OR(INDEX(DarlOhneTilgung,8)=1,AND(INDEX(DarlTilgStart,8)&gt;0,$E3649&lt;INDEX(DarlTilgStart,8))),0,MIN(MAX(0,$K3649-$L3649),$J3649)))</f>
      </c>
      <c r="N3649" s="43">
        <f>IF($I3649=0,0,MIN(SUMIFS(SondBetrag,SondDarl,8,SondDatum,"&gt;="&amp;$E3649,SondDatum,"&lt;="&amp;EOMONTH($E3649,0)),$J3649-$M3649))</f>
      </c>
      <c r="O3649" s="43">
        <f>IF($I3649=0,0,INDEX(DarlErsatzRate,8))</f>
      </c>
      <c r="P3649" s="43">
        <f>IF($I3649=0,0,$Q3648*INDEX(DarlErsatzZins,8))</f>
      </c>
      <c r="Q3649" s="43">
        <f>IF($I3649=0,0,$Q3648+$P3649+$O3649)</f>
      </c>
      <c r="R3649" s="43">
        <f>IF($I3649=0,0,$J3649-$M3649-$N3649)</f>
      </c>
    </row>
    <row r="3650">
      <c r="A3650"/>
      <c r="B3650">
        <v>8</v>
      </c>
      <c r="C3650" s="43">
        <f>INDEX(DarlObj,8)</f>
      </c>
      <c r="D3650">
        <v>287</v>
      </c>
      <c r="E3650" s="51">
        <f>IF(INDEX(DarlBelegt,8)=0,0,EOMONTH(INDEX(DarlAuszahlung,8),286)+1)</f>
      </c>
      <c r="F3650" s="43">
        <f>IF($E3650=0,0,YEAR($E3650))</f>
      </c>
      <c r="G3650" s="43">
        <f>IF(INDEX(DarlBindung,8)="",1,IF($E3650&lt;=INDEX(DarlBindung,8),1,0))</f>
      </c>
      <c r="H3650" s="43">
        <f>IF($G3650=1,INDEX(DarlSollzins,8),INDEX(DarlAnschluss,8))</f>
      </c>
      <c r="I3650" s="43">
        <f>IF(INDEX(DarlBelegt,8)=0,0,IF(INDEX(DarlOhneTilgung,8)=1,IF(INDEX(DarlBindung,8)="",1,$G3650),IF($J3650&gt;0.005,1,0)))</f>
      </c>
      <c r="J3650" s="43">
        <f>IF($I3649=0,0,$R3649)</f>
      </c>
      <c r="K3650" s="43">
        <f>IF($I3650=0,0,IF(INDEX(DarlOhneTilgung,8)=1,0,IF(AND(INDEX(DarlTilgStart,8)&gt;0,$E3650=INDEX(DarlTilgStart,8)),$J3650*($H3650+INDEX(DarlTilgung,8))/100/12,IF(AND($G3650=0,$G3649=1),MAX($K3649,$J3650*($H3650+1)/100/12),$K3649))))</f>
      </c>
      <c r="L3650" s="43">
        <f>IF($I3650=0,0,$J3650*$H3650/100/12)</f>
      </c>
      <c r="M3650" s="43">
        <f>IF($I3650=0,0,IF(OR(INDEX(DarlOhneTilgung,8)=1,AND(INDEX(DarlTilgStart,8)&gt;0,$E3650&lt;INDEX(DarlTilgStart,8))),0,MIN(MAX(0,$K3650-$L3650),$J3650)))</f>
      </c>
      <c r="N3650" s="43">
        <f>IF($I3650=0,0,MIN(SUMIFS(SondBetrag,SondDarl,8,SondDatum,"&gt;="&amp;$E3650,SondDatum,"&lt;="&amp;EOMONTH($E3650,0)),$J3650-$M3650))</f>
      </c>
      <c r="O3650" s="43">
        <f>IF($I3650=0,0,INDEX(DarlErsatzRate,8))</f>
      </c>
      <c r="P3650" s="43">
        <f>IF($I3650=0,0,$Q3649*INDEX(DarlErsatzZins,8))</f>
      </c>
      <c r="Q3650" s="43">
        <f>IF($I3650=0,0,$Q3649+$P3650+$O3650)</f>
      </c>
      <c r="R3650" s="43">
        <f>IF($I3650=0,0,$J3650-$M3650-$N3650)</f>
      </c>
    </row>
    <row r="3651">
      <c r="A3651"/>
      <c r="B3651">
        <v>8</v>
      </c>
      <c r="C3651" s="43">
        <f>INDEX(DarlObj,8)</f>
      </c>
      <c r="D3651">
        <v>288</v>
      </c>
      <c r="E3651" s="51">
        <f>IF(INDEX(DarlBelegt,8)=0,0,EOMONTH(INDEX(DarlAuszahlung,8),287)+1)</f>
      </c>
      <c r="F3651" s="43">
        <f>IF($E3651=0,0,YEAR($E3651))</f>
      </c>
      <c r="G3651" s="43">
        <f>IF(INDEX(DarlBindung,8)="",1,IF($E3651&lt;=INDEX(DarlBindung,8),1,0))</f>
      </c>
      <c r="H3651" s="43">
        <f>IF($G3651=1,INDEX(DarlSollzins,8),INDEX(DarlAnschluss,8))</f>
      </c>
      <c r="I3651" s="43">
        <f>IF(INDEX(DarlBelegt,8)=0,0,IF(INDEX(DarlOhneTilgung,8)=1,IF(INDEX(DarlBindung,8)="",1,$G3651),IF($J3651&gt;0.005,1,0)))</f>
      </c>
      <c r="J3651" s="43">
        <f>IF($I3650=0,0,$R3650)</f>
      </c>
      <c r="K3651" s="43">
        <f>IF($I3651=0,0,IF(INDEX(DarlOhneTilgung,8)=1,0,IF(AND(INDEX(DarlTilgStart,8)&gt;0,$E3651=INDEX(DarlTilgStart,8)),$J3651*($H3651+INDEX(DarlTilgung,8))/100/12,IF(AND($G3651=0,$G3650=1),MAX($K3650,$J3651*($H3651+1)/100/12),$K3650))))</f>
      </c>
      <c r="L3651" s="43">
        <f>IF($I3651=0,0,$J3651*$H3651/100/12)</f>
      </c>
      <c r="M3651" s="43">
        <f>IF($I3651=0,0,IF(OR(INDEX(DarlOhneTilgung,8)=1,AND(INDEX(DarlTilgStart,8)&gt;0,$E3651&lt;INDEX(DarlTilgStart,8))),0,MIN(MAX(0,$K3651-$L3651),$J3651)))</f>
      </c>
      <c r="N3651" s="43">
        <f>IF($I3651=0,0,MIN(SUMIFS(SondBetrag,SondDarl,8,SondDatum,"&gt;="&amp;$E3651,SondDatum,"&lt;="&amp;EOMONTH($E3651,0)),$J3651-$M3651))</f>
      </c>
      <c r="O3651" s="43">
        <f>IF($I3651=0,0,INDEX(DarlErsatzRate,8))</f>
      </c>
      <c r="P3651" s="43">
        <f>IF($I3651=0,0,$Q3650*INDEX(DarlErsatzZins,8))</f>
      </c>
      <c r="Q3651" s="43">
        <f>IF($I3651=0,0,$Q3650+$P3651+$O3651)</f>
      </c>
      <c r="R3651" s="43">
        <f>IF($I3651=0,0,$J3651-$M3651-$N3651)</f>
      </c>
    </row>
    <row r="3652">
      <c r="A3652"/>
      <c r="B3652">
        <v>8</v>
      </c>
      <c r="C3652" s="43">
        <f>INDEX(DarlObj,8)</f>
      </c>
      <c r="D3652">
        <v>289</v>
      </c>
      <c r="E3652" s="51">
        <f>IF(INDEX(DarlBelegt,8)=0,0,EOMONTH(INDEX(DarlAuszahlung,8),288)+1)</f>
      </c>
      <c r="F3652" s="43">
        <f>IF($E3652=0,0,YEAR($E3652))</f>
      </c>
      <c r="G3652" s="43">
        <f>IF(INDEX(DarlBindung,8)="",1,IF($E3652&lt;=INDEX(DarlBindung,8),1,0))</f>
      </c>
      <c r="H3652" s="43">
        <f>IF($G3652=1,INDEX(DarlSollzins,8),INDEX(DarlAnschluss,8))</f>
      </c>
      <c r="I3652" s="43">
        <f>IF(INDEX(DarlBelegt,8)=0,0,IF(INDEX(DarlOhneTilgung,8)=1,IF(INDEX(DarlBindung,8)="",1,$G3652),IF($J3652&gt;0.005,1,0)))</f>
      </c>
      <c r="J3652" s="43">
        <f>IF($I3651=0,0,$R3651)</f>
      </c>
      <c r="K3652" s="43">
        <f>IF($I3652=0,0,IF(INDEX(DarlOhneTilgung,8)=1,0,IF(AND(INDEX(DarlTilgStart,8)&gt;0,$E3652=INDEX(DarlTilgStart,8)),$J3652*($H3652+INDEX(DarlTilgung,8))/100/12,IF(AND($G3652=0,$G3651=1),MAX($K3651,$J3652*($H3652+1)/100/12),$K3651))))</f>
      </c>
      <c r="L3652" s="43">
        <f>IF($I3652=0,0,$J3652*$H3652/100/12)</f>
      </c>
      <c r="M3652" s="43">
        <f>IF($I3652=0,0,IF(OR(INDEX(DarlOhneTilgung,8)=1,AND(INDEX(DarlTilgStart,8)&gt;0,$E3652&lt;INDEX(DarlTilgStart,8))),0,MIN(MAX(0,$K3652-$L3652),$J3652)))</f>
      </c>
      <c r="N3652" s="43">
        <f>IF($I3652=0,0,MIN(SUMIFS(SondBetrag,SondDarl,8,SondDatum,"&gt;="&amp;$E3652,SondDatum,"&lt;="&amp;EOMONTH($E3652,0)),$J3652-$M3652))</f>
      </c>
      <c r="O3652" s="43">
        <f>IF($I3652=0,0,INDEX(DarlErsatzRate,8))</f>
      </c>
      <c r="P3652" s="43">
        <f>IF($I3652=0,0,$Q3651*INDEX(DarlErsatzZins,8))</f>
      </c>
      <c r="Q3652" s="43">
        <f>IF($I3652=0,0,$Q3651+$P3652+$O3652)</f>
      </c>
      <c r="R3652" s="43">
        <f>IF($I3652=0,0,$J3652-$M3652-$N3652)</f>
      </c>
    </row>
    <row r="3653">
      <c r="A3653"/>
      <c r="B3653">
        <v>8</v>
      </c>
      <c r="C3653" s="43">
        <f>INDEX(DarlObj,8)</f>
      </c>
      <c r="D3653">
        <v>290</v>
      </c>
      <c r="E3653" s="51">
        <f>IF(INDEX(DarlBelegt,8)=0,0,EOMONTH(INDEX(DarlAuszahlung,8),289)+1)</f>
      </c>
      <c r="F3653" s="43">
        <f>IF($E3653=0,0,YEAR($E3653))</f>
      </c>
      <c r="G3653" s="43">
        <f>IF(INDEX(DarlBindung,8)="",1,IF($E3653&lt;=INDEX(DarlBindung,8),1,0))</f>
      </c>
      <c r="H3653" s="43">
        <f>IF($G3653=1,INDEX(DarlSollzins,8),INDEX(DarlAnschluss,8))</f>
      </c>
      <c r="I3653" s="43">
        <f>IF(INDEX(DarlBelegt,8)=0,0,IF(INDEX(DarlOhneTilgung,8)=1,IF(INDEX(DarlBindung,8)="",1,$G3653),IF($J3653&gt;0.005,1,0)))</f>
      </c>
      <c r="J3653" s="43">
        <f>IF($I3652=0,0,$R3652)</f>
      </c>
      <c r="K3653" s="43">
        <f>IF($I3653=0,0,IF(INDEX(DarlOhneTilgung,8)=1,0,IF(AND(INDEX(DarlTilgStart,8)&gt;0,$E3653=INDEX(DarlTilgStart,8)),$J3653*($H3653+INDEX(DarlTilgung,8))/100/12,IF(AND($G3653=0,$G3652=1),MAX($K3652,$J3653*($H3653+1)/100/12),$K3652))))</f>
      </c>
      <c r="L3653" s="43">
        <f>IF($I3653=0,0,$J3653*$H3653/100/12)</f>
      </c>
      <c r="M3653" s="43">
        <f>IF($I3653=0,0,IF(OR(INDEX(DarlOhneTilgung,8)=1,AND(INDEX(DarlTilgStart,8)&gt;0,$E3653&lt;INDEX(DarlTilgStart,8))),0,MIN(MAX(0,$K3653-$L3653),$J3653)))</f>
      </c>
      <c r="N3653" s="43">
        <f>IF($I3653=0,0,MIN(SUMIFS(SondBetrag,SondDarl,8,SondDatum,"&gt;="&amp;$E3653,SondDatum,"&lt;="&amp;EOMONTH($E3653,0)),$J3653-$M3653))</f>
      </c>
      <c r="O3653" s="43">
        <f>IF($I3653=0,0,INDEX(DarlErsatzRate,8))</f>
      </c>
      <c r="P3653" s="43">
        <f>IF($I3653=0,0,$Q3652*INDEX(DarlErsatzZins,8))</f>
      </c>
      <c r="Q3653" s="43">
        <f>IF($I3653=0,0,$Q3652+$P3653+$O3653)</f>
      </c>
      <c r="R3653" s="43">
        <f>IF($I3653=0,0,$J3653-$M3653-$N3653)</f>
      </c>
    </row>
    <row r="3654">
      <c r="A3654"/>
      <c r="B3654">
        <v>8</v>
      </c>
      <c r="C3654" s="43">
        <f>INDEX(DarlObj,8)</f>
      </c>
      <c r="D3654">
        <v>291</v>
      </c>
      <c r="E3654" s="51">
        <f>IF(INDEX(DarlBelegt,8)=0,0,EOMONTH(INDEX(DarlAuszahlung,8),290)+1)</f>
      </c>
      <c r="F3654" s="43">
        <f>IF($E3654=0,0,YEAR($E3654))</f>
      </c>
      <c r="G3654" s="43">
        <f>IF(INDEX(DarlBindung,8)="",1,IF($E3654&lt;=INDEX(DarlBindung,8),1,0))</f>
      </c>
      <c r="H3654" s="43">
        <f>IF($G3654=1,INDEX(DarlSollzins,8),INDEX(DarlAnschluss,8))</f>
      </c>
      <c r="I3654" s="43">
        <f>IF(INDEX(DarlBelegt,8)=0,0,IF(INDEX(DarlOhneTilgung,8)=1,IF(INDEX(DarlBindung,8)="",1,$G3654),IF($J3654&gt;0.005,1,0)))</f>
      </c>
      <c r="J3654" s="43">
        <f>IF($I3653=0,0,$R3653)</f>
      </c>
      <c r="K3654" s="43">
        <f>IF($I3654=0,0,IF(INDEX(DarlOhneTilgung,8)=1,0,IF(AND(INDEX(DarlTilgStart,8)&gt;0,$E3654=INDEX(DarlTilgStart,8)),$J3654*($H3654+INDEX(DarlTilgung,8))/100/12,IF(AND($G3654=0,$G3653=1),MAX($K3653,$J3654*($H3654+1)/100/12),$K3653))))</f>
      </c>
      <c r="L3654" s="43">
        <f>IF($I3654=0,0,$J3654*$H3654/100/12)</f>
      </c>
      <c r="M3654" s="43">
        <f>IF($I3654=0,0,IF(OR(INDEX(DarlOhneTilgung,8)=1,AND(INDEX(DarlTilgStart,8)&gt;0,$E3654&lt;INDEX(DarlTilgStart,8))),0,MIN(MAX(0,$K3654-$L3654),$J3654)))</f>
      </c>
      <c r="N3654" s="43">
        <f>IF($I3654=0,0,MIN(SUMIFS(SondBetrag,SondDarl,8,SondDatum,"&gt;="&amp;$E3654,SondDatum,"&lt;="&amp;EOMONTH($E3654,0)),$J3654-$M3654))</f>
      </c>
      <c r="O3654" s="43">
        <f>IF($I3654=0,0,INDEX(DarlErsatzRate,8))</f>
      </c>
      <c r="P3654" s="43">
        <f>IF($I3654=0,0,$Q3653*INDEX(DarlErsatzZins,8))</f>
      </c>
      <c r="Q3654" s="43">
        <f>IF($I3654=0,0,$Q3653+$P3654+$O3654)</f>
      </c>
      <c r="R3654" s="43">
        <f>IF($I3654=0,0,$J3654-$M3654-$N3654)</f>
      </c>
    </row>
    <row r="3655">
      <c r="A3655"/>
      <c r="B3655">
        <v>8</v>
      </c>
      <c r="C3655" s="43">
        <f>INDEX(DarlObj,8)</f>
      </c>
      <c r="D3655">
        <v>292</v>
      </c>
      <c r="E3655" s="51">
        <f>IF(INDEX(DarlBelegt,8)=0,0,EOMONTH(INDEX(DarlAuszahlung,8),291)+1)</f>
      </c>
      <c r="F3655" s="43">
        <f>IF($E3655=0,0,YEAR($E3655))</f>
      </c>
      <c r="G3655" s="43">
        <f>IF(INDEX(DarlBindung,8)="",1,IF($E3655&lt;=INDEX(DarlBindung,8),1,0))</f>
      </c>
      <c r="H3655" s="43">
        <f>IF($G3655=1,INDEX(DarlSollzins,8),INDEX(DarlAnschluss,8))</f>
      </c>
      <c r="I3655" s="43">
        <f>IF(INDEX(DarlBelegt,8)=0,0,IF(INDEX(DarlOhneTilgung,8)=1,IF(INDEX(DarlBindung,8)="",1,$G3655),IF($J3655&gt;0.005,1,0)))</f>
      </c>
      <c r="J3655" s="43">
        <f>IF($I3654=0,0,$R3654)</f>
      </c>
      <c r="K3655" s="43">
        <f>IF($I3655=0,0,IF(INDEX(DarlOhneTilgung,8)=1,0,IF(AND(INDEX(DarlTilgStart,8)&gt;0,$E3655=INDEX(DarlTilgStart,8)),$J3655*($H3655+INDEX(DarlTilgung,8))/100/12,IF(AND($G3655=0,$G3654=1),MAX($K3654,$J3655*($H3655+1)/100/12),$K3654))))</f>
      </c>
      <c r="L3655" s="43">
        <f>IF($I3655=0,0,$J3655*$H3655/100/12)</f>
      </c>
      <c r="M3655" s="43">
        <f>IF($I3655=0,0,IF(OR(INDEX(DarlOhneTilgung,8)=1,AND(INDEX(DarlTilgStart,8)&gt;0,$E3655&lt;INDEX(DarlTilgStart,8))),0,MIN(MAX(0,$K3655-$L3655),$J3655)))</f>
      </c>
      <c r="N3655" s="43">
        <f>IF($I3655=0,0,MIN(SUMIFS(SondBetrag,SondDarl,8,SondDatum,"&gt;="&amp;$E3655,SondDatum,"&lt;="&amp;EOMONTH($E3655,0)),$J3655-$M3655))</f>
      </c>
      <c r="O3655" s="43">
        <f>IF($I3655=0,0,INDEX(DarlErsatzRate,8))</f>
      </c>
      <c r="P3655" s="43">
        <f>IF($I3655=0,0,$Q3654*INDEX(DarlErsatzZins,8))</f>
      </c>
      <c r="Q3655" s="43">
        <f>IF($I3655=0,0,$Q3654+$P3655+$O3655)</f>
      </c>
      <c r="R3655" s="43">
        <f>IF($I3655=0,0,$J3655-$M3655-$N3655)</f>
      </c>
    </row>
    <row r="3656">
      <c r="A3656"/>
      <c r="B3656">
        <v>8</v>
      </c>
      <c r="C3656" s="43">
        <f>INDEX(DarlObj,8)</f>
      </c>
      <c r="D3656">
        <v>293</v>
      </c>
      <c r="E3656" s="51">
        <f>IF(INDEX(DarlBelegt,8)=0,0,EOMONTH(INDEX(DarlAuszahlung,8),292)+1)</f>
      </c>
      <c r="F3656" s="43">
        <f>IF($E3656=0,0,YEAR($E3656))</f>
      </c>
      <c r="G3656" s="43">
        <f>IF(INDEX(DarlBindung,8)="",1,IF($E3656&lt;=INDEX(DarlBindung,8),1,0))</f>
      </c>
      <c r="H3656" s="43">
        <f>IF($G3656=1,INDEX(DarlSollzins,8),INDEX(DarlAnschluss,8))</f>
      </c>
      <c r="I3656" s="43">
        <f>IF(INDEX(DarlBelegt,8)=0,0,IF(INDEX(DarlOhneTilgung,8)=1,IF(INDEX(DarlBindung,8)="",1,$G3656),IF($J3656&gt;0.005,1,0)))</f>
      </c>
      <c r="J3656" s="43">
        <f>IF($I3655=0,0,$R3655)</f>
      </c>
      <c r="K3656" s="43">
        <f>IF($I3656=0,0,IF(INDEX(DarlOhneTilgung,8)=1,0,IF(AND(INDEX(DarlTilgStart,8)&gt;0,$E3656=INDEX(DarlTilgStart,8)),$J3656*($H3656+INDEX(DarlTilgung,8))/100/12,IF(AND($G3656=0,$G3655=1),MAX($K3655,$J3656*($H3656+1)/100/12),$K3655))))</f>
      </c>
      <c r="L3656" s="43">
        <f>IF($I3656=0,0,$J3656*$H3656/100/12)</f>
      </c>
      <c r="M3656" s="43">
        <f>IF($I3656=0,0,IF(OR(INDEX(DarlOhneTilgung,8)=1,AND(INDEX(DarlTilgStart,8)&gt;0,$E3656&lt;INDEX(DarlTilgStart,8))),0,MIN(MAX(0,$K3656-$L3656),$J3656)))</f>
      </c>
      <c r="N3656" s="43">
        <f>IF($I3656=0,0,MIN(SUMIFS(SondBetrag,SondDarl,8,SondDatum,"&gt;="&amp;$E3656,SondDatum,"&lt;="&amp;EOMONTH($E3656,0)),$J3656-$M3656))</f>
      </c>
      <c r="O3656" s="43">
        <f>IF($I3656=0,0,INDEX(DarlErsatzRate,8))</f>
      </c>
      <c r="P3656" s="43">
        <f>IF($I3656=0,0,$Q3655*INDEX(DarlErsatzZins,8))</f>
      </c>
      <c r="Q3656" s="43">
        <f>IF($I3656=0,0,$Q3655+$P3656+$O3656)</f>
      </c>
      <c r="R3656" s="43">
        <f>IF($I3656=0,0,$J3656-$M3656-$N3656)</f>
      </c>
    </row>
    <row r="3657">
      <c r="A3657"/>
      <c r="B3657">
        <v>8</v>
      </c>
      <c r="C3657" s="43">
        <f>INDEX(DarlObj,8)</f>
      </c>
      <c r="D3657">
        <v>294</v>
      </c>
      <c r="E3657" s="51">
        <f>IF(INDEX(DarlBelegt,8)=0,0,EOMONTH(INDEX(DarlAuszahlung,8),293)+1)</f>
      </c>
      <c r="F3657" s="43">
        <f>IF($E3657=0,0,YEAR($E3657))</f>
      </c>
      <c r="G3657" s="43">
        <f>IF(INDEX(DarlBindung,8)="",1,IF($E3657&lt;=INDEX(DarlBindung,8),1,0))</f>
      </c>
      <c r="H3657" s="43">
        <f>IF($G3657=1,INDEX(DarlSollzins,8),INDEX(DarlAnschluss,8))</f>
      </c>
      <c r="I3657" s="43">
        <f>IF(INDEX(DarlBelegt,8)=0,0,IF(INDEX(DarlOhneTilgung,8)=1,IF(INDEX(DarlBindung,8)="",1,$G3657),IF($J3657&gt;0.005,1,0)))</f>
      </c>
      <c r="J3657" s="43">
        <f>IF($I3656=0,0,$R3656)</f>
      </c>
      <c r="K3657" s="43">
        <f>IF($I3657=0,0,IF(INDEX(DarlOhneTilgung,8)=1,0,IF(AND(INDEX(DarlTilgStart,8)&gt;0,$E3657=INDEX(DarlTilgStart,8)),$J3657*($H3657+INDEX(DarlTilgung,8))/100/12,IF(AND($G3657=0,$G3656=1),MAX($K3656,$J3657*($H3657+1)/100/12),$K3656))))</f>
      </c>
      <c r="L3657" s="43">
        <f>IF($I3657=0,0,$J3657*$H3657/100/12)</f>
      </c>
      <c r="M3657" s="43">
        <f>IF($I3657=0,0,IF(OR(INDEX(DarlOhneTilgung,8)=1,AND(INDEX(DarlTilgStart,8)&gt;0,$E3657&lt;INDEX(DarlTilgStart,8))),0,MIN(MAX(0,$K3657-$L3657),$J3657)))</f>
      </c>
      <c r="N3657" s="43">
        <f>IF($I3657=0,0,MIN(SUMIFS(SondBetrag,SondDarl,8,SondDatum,"&gt;="&amp;$E3657,SondDatum,"&lt;="&amp;EOMONTH($E3657,0)),$J3657-$M3657))</f>
      </c>
      <c r="O3657" s="43">
        <f>IF($I3657=0,0,INDEX(DarlErsatzRate,8))</f>
      </c>
      <c r="P3657" s="43">
        <f>IF($I3657=0,0,$Q3656*INDEX(DarlErsatzZins,8))</f>
      </c>
      <c r="Q3657" s="43">
        <f>IF($I3657=0,0,$Q3656+$P3657+$O3657)</f>
      </c>
      <c r="R3657" s="43">
        <f>IF($I3657=0,0,$J3657-$M3657-$N3657)</f>
      </c>
    </row>
    <row r="3658">
      <c r="A3658"/>
      <c r="B3658">
        <v>8</v>
      </c>
      <c r="C3658" s="43">
        <f>INDEX(DarlObj,8)</f>
      </c>
      <c r="D3658">
        <v>295</v>
      </c>
      <c r="E3658" s="51">
        <f>IF(INDEX(DarlBelegt,8)=0,0,EOMONTH(INDEX(DarlAuszahlung,8),294)+1)</f>
      </c>
      <c r="F3658" s="43">
        <f>IF($E3658=0,0,YEAR($E3658))</f>
      </c>
      <c r="G3658" s="43">
        <f>IF(INDEX(DarlBindung,8)="",1,IF($E3658&lt;=INDEX(DarlBindung,8),1,0))</f>
      </c>
      <c r="H3658" s="43">
        <f>IF($G3658=1,INDEX(DarlSollzins,8),INDEX(DarlAnschluss,8))</f>
      </c>
      <c r="I3658" s="43">
        <f>IF(INDEX(DarlBelegt,8)=0,0,IF(INDEX(DarlOhneTilgung,8)=1,IF(INDEX(DarlBindung,8)="",1,$G3658),IF($J3658&gt;0.005,1,0)))</f>
      </c>
      <c r="J3658" s="43">
        <f>IF($I3657=0,0,$R3657)</f>
      </c>
      <c r="K3658" s="43">
        <f>IF($I3658=0,0,IF(INDEX(DarlOhneTilgung,8)=1,0,IF(AND(INDEX(DarlTilgStart,8)&gt;0,$E3658=INDEX(DarlTilgStart,8)),$J3658*($H3658+INDEX(DarlTilgung,8))/100/12,IF(AND($G3658=0,$G3657=1),MAX($K3657,$J3658*($H3658+1)/100/12),$K3657))))</f>
      </c>
      <c r="L3658" s="43">
        <f>IF($I3658=0,0,$J3658*$H3658/100/12)</f>
      </c>
      <c r="M3658" s="43">
        <f>IF($I3658=0,0,IF(OR(INDEX(DarlOhneTilgung,8)=1,AND(INDEX(DarlTilgStart,8)&gt;0,$E3658&lt;INDEX(DarlTilgStart,8))),0,MIN(MAX(0,$K3658-$L3658),$J3658)))</f>
      </c>
      <c r="N3658" s="43">
        <f>IF($I3658=0,0,MIN(SUMIFS(SondBetrag,SondDarl,8,SondDatum,"&gt;="&amp;$E3658,SondDatum,"&lt;="&amp;EOMONTH($E3658,0)),$J3658-$M3658))</f>
      </c>
      <c r="O3658" s="43">
        <f>IF($I3658=0,0,INDEX(DarlErsatzRate,8))</f>
      </c>
      <c r="P3658" s="43">
        <f>IF($I3658=0,0,$Q3657*INDEX(DarlErsatzZins,8))</f>
      </c>
      <c r="Q3658" s="43">
        <f>IF($I3658=0,0,$Q3657+$P3658+$O3658)</f>
      </c>
      <c r="R3658" s="43">
        <f>IF($I3658=0,0,$J3658-$M3658-$N3658)</f>
      </c>
    </row>
    <row r="3659">
      <c r="A3659"/>
      <c r="B3659">
        <v>8</v>
      </c>
      <c r="C3659" s="43">
        <f>INDEX(DarlObj,8)</f>
      </c>
      <c r="D3659">
        <v>296</v>
      </c>
      <c r="E3659" s="51">
        <f>IF(INDEX(DarlBelegt,8)=0,0,EOMONTH(INDEX(DarlAuszahlung,8),295)+1)</f>
      </c>
      <c r="F3659" s="43">
        <f>IF($E3659=0,0,YEAR($E3659))</f>
      </c>
      <c r="G3659" s="43">
        <f>IF(INDEX(DarlBindung,8)="",1,IF($E3659&lt;=INDEX(DarlBindung,8),1,0))</f>
      </c>
      <c r="H3659" s="43">
        <f>IF($G3659=1,INDEX(DarlSollzins,8),INDEX(DarlAnschluss,8))</f>
      </c>
      <c r="I3659" s="43">
        <f>IF(INDEX(DarlBelegt,8)=0,0,IF(INDEX(DarlOhneTilgung,8)=1,IF(INDEX(DarlBindung,8)="",1,$G3659),IF($J3659&gt;0.005,1,0)))</f>
      </c>
      <c r="J3659" s="43">
        <f>IF($I3658=0,0,$R3658)</f>
      </c>
      <c r="K3659" s="43">
        <f>IF($I3659=0,0,IF(INDEX(DarlOhneTilgung,8)=1,0,IF(AND(INDEX(DarlTilgStart,8)&gt;0,$E3659=INDEX(DarlTilgStart,8)),$J3659*($H3659+INDEX(DarlTilgung,8))/100/12,IF(AND($G3659=0,$G3658=1),MAX($K3658,$J3659*($H3659+1)/100/12),$K3658))))</f>
      </c>
      <c r="L3659" s="43">
        <f>IF($I3659=0,0,$J3659*$H3659/100/12)</f>
      </c>
      <c r="M3659" s="43">
        <f>IF($I3659=0,0,IF(OR(INDEX(DarlOhneTilgung,8)=1,AND(INDEX(DarlTilgStart,8)&gt;0,$E3659&lt;INDEX(DarlTilgStart,8))),0,MIN(MAX(0,$K3659-$L3659),$J3659)))</f>
      </c>
      <c r="N3659" s="43">
        <f>IF($I3659=0,0,MIN(SUMIFS(SondBetrag,SondDarl,8,SondDatum,"&gt;="&amp;$E3659,SondDatum,"&lt;="&amp;EOMONTH($E3659,0)),$J3659-$M3659))</f>
      </c>
      <c r="O3659" s="43">
        <f>IF($I3659=0,0,INDEX(DarlErsatzRate,8))</f>
      </c>
      <c r="P3659" s="43">
        <f>IF($I3659=0,0,$Q3658*INDEX(DarlErsatzZins,8))</f>
      </c>
      <c r="Q3659" s="43">
        <f>IF($I3659=0,0,$Q3658+$P3659+$O3659)</f>
      </c>
      <c r="R3659" s="43">
        <f>IF($I3659=0,0,$J3659-$M3659-$N3659)</f>
      </c>
    </row>
    <row r="3660">
      <c r="A3660"/>
      <c r="B3660">
        <v>8</v>
      </c>
      <c r="C3660" s="43">
        <f>INDEX(DarlObj,8)</f>
      </c>
      <c r="D3660">
        <v>297</v>
      </c>
      <c r="E3660" s="51">
        <f>IF(INDEX(DarlBelegt,8)=0,0,EOMONTH(INDEX(DarlAuszahlung,8),296)+1)</f>
      </c>
      <c r="F3660" s="43">
        <f>IF($E3660=0,0,YEAR($E3660))</f>
      </c>
      <c r="G3660" s="43">
        <f>IF(INDEX(DarlBindung,8)="",1,IF($E3660&lt;=INDEX(DarlBindung,8),1,0))</f>
      </c>
      <c r="H3660" s="43">
        <f>IF($G3660=1,INDEX(DarlSollzins,8),INDEX(DarlAnschluss,8))</f>
      </c>
      <c r="I3660" s="43">
        <f>IF(INDEX(DarlBelegt,8)=0,0,IF(INDEX(DarlOhneTilgung,8)=1,IF(INDEX(DarlBindung,8)="",1,$G3660),IF($J3660&gt;0.005,1,0)))</f>
      </c>
      <c r="J3660" s="43">
        <f>IF($I3659=0,0,$R3659)</f>
      </c>
      <c r="K3660" s="43">
        <f>IF($I3660=0,0,IF(INDEX(DarlOhneTilgung,8)=1,0,IF(AND(INDEX(DarlTilgStart,8)&gt;0,$E3660=INDEX(DarlTilgStart,8)),$J3660*($H3660+INDEX(DarlTilgung,8))/100/12,IF(AND($G3660=0,$G3659=1),MAX($K3659,$J3660*($H3660+1)/100/12),$K3659))))</f>
      </c>
      <c r="L3660" s="43">
        <f>IF($I3660=0,0,$J3660*$H3660/100/12)</f>
      </c>
      <c r="M3660" s="43">
        <f>IF($I3660=0,0,IF(OR(INDEX(DarlOhneTilgung,8)=1,AND(INDEX(DarlTilgStart,8)&gt;0,$E3660&lt;INDEX(DarlTilgStart,8))),0,MIN(MAX(0,$K3660-$L3660),$J3660)))</f>
      </c>
      <c r="N3660" s="43">
        <f>IF($I3660=0,0,MIN(SUMIFS(SondBetrag,SondDarl,8,SondDatum,"&gt;="&amp;$E3660,SondDatum,"&lt;="&amp;EOMONTH($E3660,0)),$J3660-$M3660))</f>
      </c>
      <c r="O3660" s="43">
        <f>IF($I3660=0,0,INDEX(DarlErsatzRate,8))</f>
      </c>
      <c r="P3660" s="43">
        <f>IF($I3660=0,0,$Q3659*INDEX(DarlErsatzZins,8))</f>
      </c>
      <c r="Q3660" s="43">
        <f>IF($I3660=0,0,$Q3659+$P3660+$O3660)</f>
      </c>
      <c r="R3660" s="43">
        <f>IF($I3660=0,0,$J3660-$M3660-$N3660)</f>
      </c>
    </row>
    <row r="3661">
      <c r="A3661"/>
      <c r="B3661">
        <v>8</v>
      </c>
      <c r="C3661" s="43">
        <f>INDEX(DarlObj,8)</f>
      </c>
      <c r="D3661">
        <v>298</v>
      </c>
      <c r="E3661" s="51">
        <f>IF(INDEX(DarlBelegt,8)=0,0,EOMONTH(INDEX(DarlAuszahlung,8),297)+1)</f>
      </c>
      <c r="F3661" s="43">
        <f>IF($E3661=0,0,YEAR($E3661))</f>
      </c>
      <c r="G3661" s="43">
        <f>IF(INDEX(DarlBindung,8)="",1,IF($E3661&lt;=INDEX(DarlBindung,8),1,0))</f>
      </c>
      <c r="H3661" s="43">
        <f>IF($G3661=1,INDEX(DarlSollzins,8),INDEX(DarlAnschluss,8))</f>
      </c>
      <c r="I3661" s="43">
        <f>IF(INDEX(DarlBelegt,8)=0,0,IF(INDEX(DarlOhneTilgung,8)=1,IF(INDEX(DarlBindung,8)="",1,$G3661),IF($J3661&gt;0.005,1,0)))</f>
      </c>
      <c r="J3661" s="43">
        <f>IF($I3660=0,0,$R3660)</f>
      </c>
      <c r="K3661" s="43">
        <f>IF($I3661=0,0,IF(INDEX(DarlOhneTilgung,8)=1,0,IF(AND(INDEX(DarlTilgStart,8)&gt;0,$E3661=INDEX(DarlTilgStart,8)),$J3661*($H3661+INDEX(DarlTilgung,8))/100/12,IF(AND($G3661=0,$G3660=1),MAX($K3660,$J3661*($H3661+1)/100/12),$K3660))))</f>
      </c>
      <c r="L3661" s="43">
        <f>IF($I3661=0,0,$J3661*$H3661/100/12)</f>
      </c>
      <c r="M3661" s="43">
        <f>IF($I3661=0,0,IF(OR(INDEX(DarlOhneTilgung,8)=1,AND(INDEX(DarlTilgStart,8)&gt;0,$E3661&lt;INDEX(DarlTilgStart,8))),0,MIN(MAX(0,$K3661-$L3661),$J3661)))</f>
      </c>
      <c r="N3661" s="43">
        <f>IF($I3661=0,0,MIN(SUMIFS(SondBetrag,SondDarl,8,SondDatum,"&gt;="&amp;$E3661,SondDatum,"&lt;="&amp;EOMONTH($E3661,0)),$J3661-$M3661))</f>
      </c>
      <c r="O3661" s="43">
        <f>IF($I3661=0,0,INDEX(DarlErsatzRate,8))</f>
      </c>
      <c r="P3661" s="43">
        <f>IF($I3661=0,0,$Q3660*INDEX(DarlErsatzZins,8))</f>
      </c>
      <c r="Q3661" s="43">
        <f>IF($I3661=0,0,$Q3660+$P3661+$O3661)</f>
      </c>
      <c r="R3661" s="43">
        <f>IF($I3661=0,0,$J3661-$M3661-$N3661)</f>
      </c>
    </row>
    <row r="3662">
      <c r="A3662"/>
      <c r="B3662">
        <v>8</v>
      </c>
      <c r="C3662" s="43">
        <f>INDEX(DarlObj,8)</f>
      </c>
      <c r="D3662">
        <v>299</v>
      </c>
      <c r="E3662" s="51">
        <f>IF(INDEX(DarlBelegt,8)=0,0,EOMONTH(INDEX(DarlAuszahlung,8),298)+1)</f>
      </c>
      <c r="F3662" s="43">
        <f>IF($E3662=0,0,YEAR($E3662))</f>
      </c>
      <c r="G3662" s="43">
        <f>IF(INDEX(DarlBindung,8)="",1,IF($E3662&lt;=INDEX(DarlBindung,8),1,0))</f>
      </c>
      <c r="H3662" s="43">
        <f>IF($G3662=1,INDEX(DarlSollzins,8),INDEX(DarlAnschluss,8))</f>
      </c>
      <c r="I3662" s="43">
        <f>IF(INDEX(DarlBelegt,8)=0,0,IF(INDEX(DarlOhneTilgung,8)=1,IF(INDEX(DarlBindung,8)="",1,$G3662),IF($J3662&gt;0.005,1,0)))</f>
      </c>
      <c r="J3662" s="43">
        <f>IF($I3661=0,0,$R3661)</f>
      </c>
      <c r="K3662" s="43">
        <f>IF($I3662=0,0,IF(INDEX(DarlOhneTilgung,8)=1,0,IF(AND(INDEX(DarlTilgStart,8)&gt;0,$E3662=INDEX(DarlTilgStart,8)),$J3662*($H3662+INDEX(DarlTilgung,8))/100/12,IF(AND($G3662=0,$G3661=1),MAX($K3661,$J3662*($H3662+1)/100/12),$K3661))))</f>
      </c>
      <c r="L3662" s="43">
        <f>IF($I3662=0,0,$J3662*$H3662/100/12)</f>
      </c>
      <c r="M3662" s="43">
        <f>IF($I3662=0,0,IF(OR(INDEX(DarlOhneTilgung,8)=1,AND(INDEX(DarlTilgStart,8)&gt;0,$E3662&lt;INDEX(DarlTilgStart,8))),0,MIN(MAX(0,$K3662-$L3662),$J3662)))</f>
      </c>
      <c r="N3662" s="43">
        <f>IF($I3662=0,0,MIN(SUMIFS(SondBetrag,SondDarl,8,SondDatum,"&gt;="&amp;$E3662,SondDatum,"&lt;="&amp;EOMONTH($E3662,0)),$J3662-$M3662))</f>
      </c>
      <c r="O3662" s="43">
        <f>IF($I3662=0,0,INDEX(DarlErsatzRate,8))</f>
      </c>
      <c r="P3662" s="43">
        <f>IF($I3662=0,0,$Q3661*INDEX(DarlErsatzZins,8))</f>
      </c>
      <c r="Q3662" s="43">
        <f>IF($I3662=0,0,$Q3661+$P3662+$O3662)</f>
      </c>
      <c r="R3662" s="43">
        <f>IF($I3662=0,0,$J3662-$M3662-$N3662)</f>
      </c>
    </row>
    <row r="3663">
      <c r="A3663"/>
      <c r="B3663">
        <v>8</v>
      </c>
      <c r="C3663" s="43">
        <f>INDEX(DarlObj,8)</f>
      </c>
      <c r="D3663">
        <v>300</v>
      </c>
      <c r="E3663" s="51">
        <f>IF(INDEX(DarlBelegt,8)=0,0,EOMONTH(INDEX(DarlAuszahlung,8),299)+1)</f>
      </c>
      <c r="F3663" s="43">
        <f>IF($E3663=0,0,YEAR($E3663))</f>
      </c>
      <c r="G3663" s="43">
        <f>IF(INDEX(DarlBindung,8)="",1,IF($E3663&lt;=INDEX(DarlBindung,8),1,0))</f>
      </c>
      <c r="H3663" s="43">
        <f>IF($G3663=1,INDEX(DarlSollzins,8),INDEX(DarlAnschluss,8))</f>
      </c>
      <c r="I3663" s="43">
        <f>IF(INDEX(DarlBelegt,8)=0,0,IF(INDEX(DarlOhneTilgung,8)=1,IF(INDEX(DarlBindung,8)="",1,$G3663),IF($J3663&gt;0.005,1,0)))</f>
      </c>
      <c r="J3663" s="43">
        <f>IF($I3662=0,0,$R3662)</f>
      </c>
      <c r="K3663" s="43">
        <f>IF($I3663=0,0,IF(INDEX(DarlOhneTilgung,8)=1,0,IF(AND(INDEX(DarlTilgStart,8)&gt;0,$E3663=INDEX(DarlTilgStart,8)),$J3663*($H3663+INDEX(DarlTilgung,8))/100/12,IF(AND($G3663=0,$G3662=1),MAX($K3662,$J3663*($H3663+1)/100/12),$K3662))))</f>
      </c>
      <c r="L3663" s="43">
        <f>IF($I3663=0,0,$J3663*$H3663/100/12)</f>
      </c>
      <c r="M3663" s="43">
        <f>IF($I3663=0,0,IF(OR(INDEX(DarlOhneTilgung,8)=1,AND(INDEX(DarlTilgStart,8)&gt;0,$E3663&lt;INDEX(DarlTilgStart,8))),0,MIN(MAX(0,$K3663-$L3663),$J3663)))</f>
      </c>
      <c r="N3663" s="43">
        <f>IF($I3663=0,0,MIN(SUMIFS(SondBetrag,SondDarl,8,SondDatum,"&gt;="&amp;$E3663,SondDatum,"&lt;="&amp;EOMONTH($E3663,0)),$J3663-$M3663))</f>
      </c>
      <c r="O3663" s="43">
        <f>IF($I3663=0,0,INDEX(DarlErsatzRate,8))</f>
      </c>
      <c r="P3663" s="43">
        <f>IF($I3663=0,0,$Q3662*INDEX(DarlErsatzZins,8))</f>
      </c>
      <c r="Q3663" s="43">
        <f>IF($I3663=0,0,$Q3662+$P3663+$O3663)</f>
      </c>
      <c r="R3663" s="43">
        <f>IF($I3663=0,0,$J3663-$M3663-$N3663)</f>
      </c>
    </row>
    <row r="3664">
      <c r="A3664"/>
      <c r="B3664">
        <v>8</v>
      </c>
      <c r="C3664" s="43">
        <f>INDEX(DarlObj,8)</f>
      </c>
      <c r="D3664">
        <v>301</v>
      </c>
      <c r="E3664" s="51">
        <f>IF(INDEX(DarlBelegt,8)=0,0,EOMONTH(INDEX(DarlAuszahlung,8),300)+1)</f>
      </c>
      <c r="F3664" s="43">
        <f>IF($E3664=0,0,YEAR($E3664))</f>
      </c>
      <c r="G3664" s="43">
        <f>IF(INDEX(DarlBindung,8)="",1,IF($E3664&lt;=INDEX(DarlBindung,8),1,0))</f>
      </c>
      <c r="H3664" s="43">
        <f>IF($G3664=1,INDEX(DarlSollzins,8),INDEX(DarlAnschluss,8))</f>
      </c>
      <c r="I3664" s="43">
        <f>IF(INDEX(DarlBelegt,8)=0,0,IF(INDEX(DarlOhneTilgung,8)=1,IF(INDEX(DarlBindung,8)="",1,$G3664),IF($J3664&gt;0.005,1,0)))</f>
      </c>
      <c r="J3664" s="43">
        <f>IF($I3663=0,0,$R3663)</f>
      </c>
      <c r="K3664" s="43">
        <f>IF($I3664=0,0,IF(INDEX(DarlOhneTilgung,8)=1,0,IF(AND(INDEX(DarlTilgStart,8)&gt;0,$E3664=INDEX(DarlTilgStart,8)),$J3664*($H3664+INDEX(DarlTilgung,8))/100/12,IF(AND($G3664=0,$G3663=1),MAX($K3663,$J3664*($H3664+1)/100/12),$K3663))))</f>
      </c>
      <c r="L3664" s="43">
        <f>IF($I3664=0,0,$J3664*$H3664/100/12)</f>
      </c>
      <c r="M3664" s="43">
        <f>IF($I3664=0,0,IF(OR(INDEX(DarlOhneTilgung,8)=1,AND(INDEX(DarlTilgStart,8)&gt;0,$E3664&lt;INDEX(DarlTilgStart,8))),0,MIN(MAX(0,$K3664-$L3664),$J3664)))</f>
      </c>
      <c r="N3664" s="43">
        <f>IF($I3664=0,0,MIN(SUMIFS(SondBetrag,SondDarl,8,SondDatum,"&gt;="&amp;$E3664,SondDatum,"&lt;="&amp;EOMONTH($E3664,0)),$J3664-$M3664))</f>
      </c>
      <c r="O3664" s="43">
        <f>IF($I3664=0,0,INDEX(DarlErsatzRate,8))</f>
      </c>
      <c r="P3664" s="43">
        <f>IF($I3664=0,0,$Q3663*INDEX(DarlErsatzZins,8))</f>
      </c>
      <c r="Q3664" s="43">
        <f>IF($I3664=0,0,$Q3663+$P3664+$O3664)</f>
      </c>
      <c r="R3664" s="43">
        <f>IF($I3664=0,0,$J3664-$M3664-$N3664)</f>
      </c>
    </row>
    <row r="3665">
      <c r="A3665"/>
      <c r="B3665">
        <v>8</v>
      </c>
      <c r="C3665" s="43">
        <f>INDEX(DarlObj,8)</f>
      </c>
      <c r="D3665">
        <v>302</v>
      </c>
      <c r="E3665" s="51">
        <f>IF(INDEX(DarlBelegt,8)=0,0,EOMONTH(INDEX(DarlAuszahlung,8),301)+1)</f>
      </c>
      <c r="F3665" s="43">
        <f>IF($E3665=0,0,YEAR($E3665))</f>
      </c>
      <c r="G3665" s="43">
        <f>IF(INDEX(DarlBindung,8)="",1,IF($E3665&lt;=INDEX(DarlBindung,8),1,0))</f>
      </c>
      <c r="H3665" s="43">
        <f>IF($G3665=1,INDEX(DarlSollzins,8),INDEX(DarlAnschluss,8))</f>
      </c>
      <c r="I3665" s="43">
        <f>IF(INDEX(DarlBelegt,8)=0,0,IF(INDEX(DarlOhneTilgung,8)=1,IF(INDEX(DarlBindung,8)="",1,$G3665),IF($J3665&gt;0.005,1,0)))</f>
      </c>
      <c r="J3665" s="43">
        <f>IF($I3664=0,0,$R3664)</f>
      </c>
      <c r="K3665" s="43">
        <f>IF($I3665=0,0,IF(INDEX(DarlOhneTilgung,8)=1,0,IF(AND(INDEX(DarlTilgStart,8)&gt;0,$E3665=INDEX(DarlTilgStart,8)),$J3665*($H3665+INDEX(DarlTilgung,8))/100/12,IF(AND($G3665=0,$G3664=1),MAX($K3664,$J3665*($H3665+1)/100/12),$K3664))))</f>
      </c>
      <c r="L3665" s="43">
        <f>IF($I3665=0,0,$J3665*$H3665/100/12)</f>
      </c>
      <c r="M3665" s="43">
        <f>IF($I3665=0,0,IF(OR(INDEX(DarlOhneTilgung,8)=1,AND(INDEX(DarlTilgStart,8)&gt;0,$E3665&lt;INDEX(DarlTilgStart,8))),0,MIN(MAX(0,$K3665-$L3665),$J3665)))</f>
      </c>
      <c r="N3665" s="43">
        <f>IF($I3665=0,0,MIN(SUMIFS(SondBetrag,SondDarl,8,SondDatum,"&gt;="&amp;$E3665,SondDatum,"&lt;="&amp;EOMONTH($E3665,0)),$J3665-$M3665))</f>
      </c>
      <c r="O3665" s="43">
        <f>IF($I3665=0,0,INDEX(DarlErsatzRate,8))</f>
      </c>
      <c r="P3665" s="43">
        <f>IF($I3665=0,0,$Q3664*INDEX(DarlErsatzZins,8))</f>
      </c>
      <c r="Q3665" s="43">
        <f>IF($I3665=0,0,$Q3664+$P3665+$O3665)</f>
      </c>
      <c r="R3665" s="43">
        <f>IF($I3665=0,0,$J3665-$M3665-$N3665)</f>
      </c>
    </row>
    <row r="3666">
      <c r="A3666"/>
      <c r="B3666">
        <v>8</v>
      </c>
      <c r="C3666" s="43">
        <f>INDEX(DarlObj,8)</f>
      </c>
      <c r="D3666">
        <v>303</v>
      </c>
      <c r="E3666" s="51">
        <f>IF(INDEX(DarlBelegt,8)=0,0,EOMONTH(INDEX(DarlAuszahlung,8),302)+1)</f>
      </c>
      <c r="F3666" s="43">
        <f>IF($E3666=0,0,YEAR($E3666))</f>
      </c>
      <c r="G3666" s="43">
        <f>IF(INDEX(DarlBindung,8)="",1,IF($E3666&lt;=INDEX(DarlBindung,8),1,0))</f>
      </c>
      <c r="H3666" s="43">
        <f>IF($G3666=1,INDEX(DarlSollzins,8),INDEX(DarlAnschluss,8))</f>
      </c>
      <c r="I3666" s="43">
        <f>IF(INDEX(DarlBelegt,8)=0,0,IF(INDEX(DarlOhneTilgung,8)=1,IF(INDEX(DarlBindung,8)="",1,$G3666),IF($J3666&gt;0.005,1,0)))</f>
      </c>
      <c r="J3666" s="43">
        <f>IF($I3665=0,0,$R3665)</f>
      </c>
      <c r="K3666" s="43">
        <f>IF($I3666=0,0,IF(INDEX(DarlOhneTilgung,8)=1,0,IF(AND(INDEX(DarlTilgStart,8)&gt;0,$E3666=INDEX(DarlTilgStart,8)),$J3666*($H3666+INDEX(DarlTilgung,8))/100/12,IF(AND($G3666=0,$G3665=1),MAX($K3665,$J3666*($H3666+1)/100/12),$K3665))))</f>
      </c>
      <c r="L3666" s="43">
        <f>IF($I3666=0,0,$J3666*$H3666/100/12)</f>
      </c>
      <c r="M3666" s="43">
        <f>IF($I3666=0,0,IF(OR(INDEX(DarlOhneTilgung,8)=1,AND(INDEX(DarlTilgStart,8)&gt;0,$E3666&lt;INDEX(DarlTilgStart,8))),0,MIN(MAX(0,$K3666-$L3666),$J3666)))</f>
      </c>
      <c r="N3666" s="43">
        <f>IF($I3666=0,0,MIN(SUMIFS(SondBetrag,SondDarl,8,SondDatum,"&gt;="&amp;$E3666,SondDatum,"&lt;="&amp;EOMONTH($E3666,0)),$J3666-$M3666))</f>
      </c>
      <c r="O3666" s="43">
        <f>IF($I3666=0,0,INDEX(DarlErsatzRate,8))</f>
      </c>
      <c r="P3666" s="43">
        <f>IF($I3666=0,0,$Q3665*INDEX(DarlErsatzZins,8))</f>
      </c>
      <c r="Q3666" s="43">
        <f>IF($I3666=0,0,$Q3665+$P3666+$O3666)</f>
      </c>
      <c r="R3666" s="43">
        <f>IF($I3666=0,0,$J3666-$M3666-$N3666)</f>
      </c>
    </row>
    <row r="3667">
      <c r="A3667"/>
      <c r="B3667">
        <v>8</v>
      </c>
      <c r="C3667" s="43">
        <f>INDEX(DarlObj,8)</f>
      </c>
      <c r="D3667">
        <v>304</v>
      </c>
      <c r="E3667" s="51">
        <f>IF(INDEX(DarlBelegt,8)=0,0,EOMONTH(INDEX(DarlAuszahlung,8),303)+1)</f>
      </c>
      <c r="F3667" s="43">
        <f>IF($E3667=0,0,YEAR($E3667))</f>
      </c>
      <c r="G3667" s="43">
        <f>IF(INDEX(DarlBindung,8)="",1,IF($E3667&lt;=INDEX(DarlBindung,8),1,0))</f>
      </c>
      <c r="H3667" s="43">
        <f>IF($G3667=1,INDEX(DarlSollzins,8),INDEX(DarlAnschluss,8))</f>
      </c>
      <c r="I3667" s="43">
        <f>IF(INDEX(DarlBelegt,8)=0,0,IF(INDEX(DarlOhneTilgung,8)=1,IF(INDEX(DarlBindung,8)="",1,$G3667),IF($J3667&gt;0.005,1,0)))</f>
      </c>
      <c r="J3667" s="43">
        <f>IF($I3666=0,0,$R3666)</f>
      </c>
      <c r="K3667" s="43">
        <f>IF($I3667=0,0,IF(INDEX(DarlOhneTilgung,8)=1,0,IF(AND(INDEX(DarlTilgStart,8)&gt;0,$E3667=INDEX(DarlTilgStart,8)),$J3667*($H3667+INDEX(DarlTilgung,8))/100/12,IF(AND($G3667=0,$G3666=1),MAX($K3666,$J3667*($H3667+1)/100/12),$K3666))))</f>
      </c>
      <c r="L3667" s="43">
        <f>IF($I3667=0,0,$J3667*$H3667/100/12)</f>
      </c>
      <c r="M3667" s="43">
        <f>IF($I3667=0,0,IF(OR(INDEX(DarlOhneTilgung,8)=1,AND(INDEX(DarlTilgStart,8)&gt;0,$E3667&lt;INDEX(DarlTilgStart,8))),0,MIN(MAX(0,$K3667-$L3667),$J3667)))</f>
      </c>
      <c r="N3667" s="43">
        <f>IF($I3667=0,0,MIN(SUMIFS(SondBetrag,SondDarl,8,SondDatum,"&gt;="&amp;$E3667,SondDatum,"&lt;="&amp;EOMONTH($E3667,0)),$J3667-$M3667))</f>
      </c>
      <c r="O3667" s="43">
        <f>IF($I3667=0,0,INDEX(DarlErsatzRate,8))</f>
      </c>
      <c r="P3667" s="43">
        <f>IF($I3667=0,0,$Q3666*INDEX(DarlErsatzZins,8))</f>
      </c>
      <c r="Q3667" s="43">
        <f>IF($I3667=0,0,$Q3666+$P3667+$O3667)</f>
      </c>
      <c r="R3667" s="43">
        <f>IF($I3667=0,0,$J3667-$M3667-$N3667)</f>
      </c>
    </row>
    <row r="3668">
      <c r="A3668"/>
      <c r="B3668">
        <v>8</v>
      </c>
      <c r="C3668" s="43">
        <f>INDEX(DarlObj,8)</f>
      </c>
      <c r="D3668">
        <v>305</v>
      </c>
      <c r="E3668" s="51">
        <f>IF(INDEX(DarlBelegt,8)=0,0,EOMONTH(INDEX(DarlAuszahlung,8),304)+1)</f>
      </c>
      <c r="F3668" s="43">
        <f>IF($E3668=0,0,YEAR($E3668))</f>
      </c>
      <c r="G3668" s="43">
        <f>IF(INDEX(DarlBindung,8)="",1,IF($E3668&lt;=INDEX(DarlBindung,8),1,0))</f>
      </c>
      <c r="H3668" s="43">
        <f>IF($G3668=1,INDEX(DarlSollzins,8),INDEX(DarlAnschluss,8))</f>
      </c>
      <c r="I3668" s="43">
        <f>IF(INDEX(DarlBelegt,8)=0,0,IF(INDEX(DarlOhneTilgung,8)=1,IF(INDEX(DarlBindung,8)="",1,$G3668),IF($J3668&gt;0.005,1,0)))</f>
      </c>
      <c r="J3668" s="43">
        <f>IF($I3667=0,0,$R3667)</f>
      </c>
      <c r="K3668" s="43">
        <f>IF($I3668=0,0,IF(INDEX(DarlOhneTilgung,8)=1,0,IF(AND(INDEX(DarlTilgStart,8)&gt;0,$E3668=INDEX(DarlTilgStart,8)),$J3668*($H3668+INDEX(DarlTilgung,8))/100/12,IF(AND($G3668=0,$G3667=1),MAX($K3667,$J3668*($H3668+1)/100/12),$K3667))))</f>
      </c>
      <c r="L3668" s="43">
        <f>IF($I3668=0,0,$J3668*$H3668/100/12)</f>
      </c>
      <c r="M3668" s="43">
        <f>IF($I3668=0,0,IF(OR(INDEX(DarlOhneTilgung,8)=1,AND(INDEX(DarlTilgStart,8)&gt;0,$E3668&lt;INDEX(DarlTilgStart,8))),0,MIN(MAX(0,$K3668-$L3668),$J3668)))</f>
      </c>
      <c r="N3668" s="43">
        <f>IF($I3668=0,0,MIN(SUMIFS(SondBetrag,SondDarl,8,SondDatum,"&gt;="&amp;$E3668,SondDatum,"&lt;="&amp;EOMONTH($E3668,0)),$J3668-$M3668))</f>
      </c>
      <c r="O3668" s="43">
        <f>IF($I3668=0,0,INDEX(DarlErsatzRate,8))</f>
      </c>
      <c r="P3668" s="43">
        <f>IF($I3668=0,0,$Q3667*INDEX(DarlErsatzZins,8))</f>
      </c>
      <c r="Q3668" s="43">
        <f>IF($I3668=0,0,$Q3667+$P3668+$O3668)</f>
      </c>
      <c r="R3668" s="43">
        <f>IF($I3668=0,0,$J3668-$M3668-$N3668)</f>
      </c>
    </row>
    <row r="3669">
      <c r="A3669"/>
      <c r="B3669">
        <v>8</v>
      </c>
      <c r="C3669" s="43">
        <f>INDEX(DarlObj,8)</f>
      </c>
      <c r="D3669">
        <v>306</v>
      </c>
      <c r="E3669" s="51">
        <f>IF(INDEX(DarlBelegt,8)=0,0,EOMONTH(INDEX(DarlAuszahlung,8),305)+1)</f>
      </c>
      <c r="F3669" s="43">
        <f>IF($E3669=0,0,YEAR($E3669))</f>
      </c>
      <c r="G3669" s="43">
        <f>IF(INDEX(DarlBindung,8)="",1,IF($E3669&lt;=INDEX(DarlBindung,8),1,0))</f>
      </c>
      <c r="H3669" s="43">
        <f>IF($G3669=1,INDEX(DarlSollzins,8),INDEX(DarlAnschluss,8))</f>
      </c>
      <c r="I3669" s="43">
        <f>IF(INDEX(DarlBelegt,8)=0,0,IF(INDEX(DarlOhneTilgung,8)=1,IF(INDEX(DarlBindung,8)="",1,$G3669),IF($J3669&gt;0.005,1,0)))</f>
      </c>
      <c r="J3669" s="43">
        <f>IF($I3668=0,0,$R3668)</f>
      </c>
      <c r="K3669" s="43">
        <f>IF($I3669=0,0,IF(INDEX(DarlOhneTilgung,8)=1,0,IF(AND(INDEX(DarlTilgStart,8)&gt;0,$E3669=INDEX(DarlTilgStart,8)),$J3669*($H3669+INDEX(DarlTilgung,8))/100/12,IF(AND($G3669=0,$G3668=1),MAX($K3668,$J3669*($H3669+1)/100/12),$K3668))))</f>
      </c>
      <c r="L3669" s="43">
        <f>IF($I3669=0,0,$J3669*$H3669/100/12)</f>
      </c>
      <c r="M3669" s="43">
        <f>IF($I3669=0,0,IF(OR(INDEX(DarlOhneTilgung,8)=1,AND(INDEX(DarlTilgStart,8)&gt;0,$E3669&lt;INDEX(DarlTilgStart,8))),0,MIN(MAX(0,$K3669-$L3669),$J3669)))</f>
      </c>
      <c r="N3669" s="43">
        <f>IF($I3669=0,0,MIN(SUMIFS(SondBetrag,SondDarl,8,SondDatum,"&gt;="&amp;$E3669,SondDatum,"&lt;="&amp;EOMONTH($E3669,0)),$J3669-$M3669))</f>
      </c>
      <c r="O3669" s="43">
        <f>IF($I3669=0,0,INDEX(DarlErsatzRate,8))</f>
      </c>
      <c r="P3669" s="43">
        <f>IF($I3669=0,0,$Q3668*INDEX(DarlErsatzZins,8))</f>
      </c>
      <c r="Q3669" s="43">
        <f>IF($I3669=0,0,$Q3668+$P3669+$O3669)</f>
      </c>
      <c r="R3669" s="43">
        <f>IF($I3669=0,0,$J3669-$M3669-$N3669)</f>
      </c>
    </row>
    <row r="3670">
      <c r="A3670"/>
      <c r="B3670">
        <v>8</v>
      </c>
      <c r="C3670" s="43">
        <f>INDEX(DarlObj,8)</f>
      </c>
      <c r="D3670">
        <v>307</v>
      </c>
      <c r="E3670" s="51">
        <f>IF(INDEX(DarlBelegt,8)=0,0,EOMONTH(INDEX(DarlAuszahlung,8),306)+1)</f>
      </c>
      <c r="F3670" s="43">
        <f>IF($E3670=0,0,YEAR($E3670))</f>
      </c>
      <c r="G3670" s="43">
        <f>IF(INDEX(DarlBindung,8)="",1,IF($E3670&lt;=INDEX(DarlBindung,8),1,0))</f>
      </c>
      <c r="H3670" s="43">
        <f>IF($G3670=1,INDEX(DarlSollzins,8),INDEX(DarlAnschluss,8))</f>
      </c>
      <c r="I3670" s="43">
        <f>IF(INDEX(DarlBelegt,8)=0,0,IF(INDEX(DarlOhneTilgung,8)=1,IF(INDEX(DarlBindung,8)="",1,$G3670),IF($J3670&gt;0.005,1,0)))</f>
      </c>
      <c r="J3670" s="43">
        <f>IF($I3669=0,0,$R3669)</f>
      </c>
      <c r="K3670" s="43">
        <f>IF($I3670=0,0,IF(INDEX(DarlOhneTilgung,8)=1,0,IF(AND(INDEX(DarlTilgStart,8)&gt;0,$E3670=INDEX(DarlTilgStart,8)),$J3670*($H3670+INDEX(DarlTilgung,8))/100/12,IF(AND($G3670=0,$G3669=1),MAX($K3669,$J3670*($H3670+1)/100/12),$K3669))))</f>
      </c>
      <c r="L3670" s="43">
        <f>IF($I3670=0,0,$J3670*$H3670/100/12)</f>
      </c>
      <c r="M3670" s="43">
        <f>IF($I3670=0,0,IF(OR(INDEX(DarlOhneTilgung,8)=1,AND(INDEX(DarlTilgStart,8)&gt;0,$E3670&lt;INDEX(DarlTilgStart,8))),0,MIN(MAX(0,$K3670-$L3670),$J3670)))</f>
      </c>
      <c r="N3670" s="43">
        <f>IF($I3670=0,0,MIN(SUMIFS(SondBetrag,SondDarl,8,SondDatum,"&gt;="&amp;$E3670,SondDatum,"&lt;="&amp;EOMONTH($E3670,0)),$J3670-$M3670))</f>
      </c>
      <c r="O3670" s="43">
        <f>IF($I3670=0,0,INDEX(DarlErsatzRate,8))</f>
      </c>
      <c r="P3670" s="43">
        <f>IF($I3670=0,0,$Q3669*INDEX(DarlErsatzZins,8))</f>
      </c>
      <c r="Q3670" s="43">
        <f>IF($I3670=0,0,$Q3669+$P3670+$O3670)</f>
      </c>
      <c r="R3670" s="43">
        <f>IF($I3670=0,0,$J3670-$M3670-$N3670)</f>
      </c>
    </row>
    <row r="3671">
      <c r="A3671"/>
      <c r="B3671">
        <v>8</v>
      </c>
      <c r="C3671" s="43">
        <f>INDEX(DarlObj,8)</f>
      </c>
      <c r="D3671">
        <v>308</v>
      </c>
      <c r="E3671" s="51">
        <f>IF(INDEX(DarlBelegt,8)=0,0,EOMONTH(INDEX(DarlAuszahlung,8),307)+1)</f>
      </c>
      <c r="F3671" s="43">
        <f>IF($E3671=0,0,YEAR($E3671))</f>
      </c>
      <c r="G3671" s="43">
        <f>IF(INDEX(DarlBindung,8)="",1,IF($E3671&lt;=INDEX(DarlBindung,8),1,0))</f>
      </c>
      <c r="H3671" s="43">
        <f>IF($G3671=1,INDEX(DarlSollzins,8),INDEX(DarlAnschluss,8))</f>
      </c>
      <c r="I3671" s="43">
        <f>IF(INDEX(DarlBelegt,8)=0,0,IF(INDEX(DarlOhneTilgung,8)=1,IF(INDEX(DarlBindung,8)="",1,$G3671),IF($J3671&gt;0.005,1,0)))</f>
      </c>
      <c r="J3671" s="43">
        <f>IF($I3670=0,0,$R3670)</f>
      </c>
      <c r="K3671" s="43">
        <f>IF($I3671=0,0,IF(INDEX(DarlOhneTilgung,8)=1,0,IF(AND(INDEX(DarlTilgStart,8)&gt;0,$E3671=INDEX(DarlTilgStart,8)),$J3671*($H3671+INDEX(DarlTilgung,8))/100/12,IF(AND($G3671=0,$G3670=1),MAX($K3670,$J3671*($H3671+1)/100/12),$K3670))))</f>
      </c>
      <c r="L3671" s="43">
        <f>IF($I3671=0,0,$J3671*$H3671/100/12)</f>
      </c>
      <c r="M3671" s="43">
        <f>IF($I3671=0,0,IF(OR(INDEX(DarlOhneTilgung,8)=1,AND(INDEX(DarlTilgStart,8)&gt;0,$E3671&lt;INDEX(DarlTilgStart,8))),0,MIN(MAX(0,$K3671-$L3671),$J3671)))</f>
      </c>
      <c r="N3671" s="43">
        <f>IF($I3671=0,0,MIN(SUMIFS(SondBetrag,SondDarl,8,SondDatum,"&gt;="&amp;$E3671,SondDatum,"&lt;="&amp;EOMONTH($E3671,0)),$J3671-$M3671))</f>
      </c>
      <c r="O3671" s="43">
        <f>IF($I3671=0,0,INDEX(DarlErsatzRate,8))</f>
      </c>
      <c r="P3671" s="43">
        <f>IF($I3671=0,0,$Q3670*INDEX(DarlErsatzZins,8))</f>
      </c>
      <c r="Q3671" s="43">
        <f>IF($I3671=0,0,$Q3670+$P3671+$O3671)</f>
      </c>
      <c r="R3671" s="43">
        <f>IF($I3671=0,0,$J3671-$M3671-$N3671)</f>
      </c>
    </row>
    <row r="3672">
      <c r="A3672"/>
      <c r="B3672">
        <v>8</v>
      </c>
      <c r="C3672" s="43">
        <f>INDEX(DarlObj,8)</f>
      </c>
      <c r="D3672">
        <v>309</v>
      </c>
      <c r="E3672" s="51">
        <f>IF(INDEX(DarlBelegt,8)=0,0,EOMONTH(INDEX(DarlAuszahlung,8),308)+1)</f>
      </c>
      <c r="F3672" s="43">
        <f>IF($E3672=0,0,YEAR($E3672))</f>
      </c>
      <c r="G3672" s="43">
        <f>IF(INDEX(DarlBindung,8)="",1,IF($E3672&lt;=INDEX(DarlBindung,8),1,0))</f>
      </c>
      <c r="H3672" s="43">
        <f>IF($G3672=1,INDEX(DarlSollzins,8),INDEX(DarlAnschluss,8))</f>
      </c>
      <c r="I3672" s="43">
        <f>IF(INDEX(DarlBelegt,8)=0,0,IF(INDEX(DarlOhneTilgung,8)=1,IF(INDEX(DarlBindung,8)="",1,$G3672),IF($J3672&gt;0.005,1,0)))</f>
      </c>
      <c r="J3672" s="43">
        <f>IF($I3671=0,0,$R3671)</f>
      </c>
      <c r="K3672" s="43">
        <f>IF($I3672=0,0,IF(INDEX(DarlOhneTilgung,8)=1,0,IF(AND(INDEX(DarlTilgStart,8)&gt;0,$E3672=INDEX(DarlTilgStart,8)),$J3672*($H3672+INDEX(DarlTilgung,8))/100/12,IF(AND($G3672=0,$G3671=1),MAX($K3671,$J3672*($H3672+1)/100/12),$K3671))))</f>
      </c>
      <c r="L3672" s="43">
        <f>IF($I3672=0,0,$J3672*$H3672/100/12)</f>
      </c>
      <c r="M3672" s="43">
        <f>IF($I3672=0,0,IF(OR(INDEX(DarlOhneTilgung,8)=1,AND(INDEX(DarlTilgStart,8)&gt;0,$E3672&lt;INDEX(DarlTilgStart,8))),0,MIN(MAX(0,$K3672-$L3672),$J3672)))</f>
      </c>
      <c r="N3672" s="43">
        <f>IF($I3672=0,0,MIN(SUMIFS(SondBetrag,SondDarl,8,SondDatum,"&gt;="&amp;$E3672,SondDatum,"&lt;="&amp;EOMONTH($E3672,0)),$J3672-$M3672))</f>
      </c>
      <c r="O3672" s="43">
        <f>IF($I3672=0,0,INDEX(DarlErsatzRate,8))</f>
      </c>
      <c r="P3672" s="43">
        <f>IF($I3672=0,0,$Q3671*INDEX(DarlErsatzZins,8))</f>
      </c>
      <c r="Q3672" s="43">
        <f>IF($I3672=0,0,$Q3671+$P3672+$O3672)</f>
      </c>
      <c r="R3672" s="43">
        <f>IF($I3672=0,0,$J3672-$M3672-$N3672)</f>
      </c>
    </row>
    <row r="3673">
      <c r="A3673"/>
      <c r="B3673">
        <v>8</v>
      </c>
      <c r="C3673" s="43">
        <f>INDEX(DarlObj,8)</f>
      </c>
      <c r="D3673">
        <v>310</v>
      </c>
      <c r="E3673" s="51">
        <f>IF(INDEX(DarlBelegt,8)=0,0,EOMONTH(INDEX(DarlAuszahlung,8),309)+1)</f>
      </c>
      <c r="F3673" s="43">
        <f>IF($E3673=0,0,YEAR($E3673))</f>
      </c>
      <c r="G3673" s="43">
        <f>IF(INDEX(DarlBindung,8)="",1,IF($E3673&lt;=INDEX(DarlBindung,8),1,0))</f>
      </c>
      <c r="H3673" s="43">
        <f>IF($G3673=1,INDEX(DarlSollzins,8),INDEX(DarlAnschluss,8))</f>
      </c>
      <c r="I3673" s="43">
        <f>IF(INDEX(DarlBelegt,8)=0,0,IF(INDEX(DarlOhneTilgung,8)=1,IF(INDEX(DarlBindung,8)="",1,$G3673),IF($J3673&gt;0.005,1,0)))</f>
      </c>
      <c r="J3673" s="43">
        <f>IF($I3672=0,0,$R3672)</f>
      </c>
      <c r="K3673" s="43">
        <f>IF($I3673=0,0,IF(INDEX(DarlOhneTilgung,8)=1,0,IF(AND(INDEX(DarlTilgStart,8)&gt;0,$E3673=INDEX(DarlTilgStart,8)),$J3673*($H3673+INDEX(DarlTilgung,8))/100/12,IF(AND($G3673=0,$G3672=1),MAX($K3672,$J3673*($H3673+1)/100/12),$K3672))))</f>
      </c>
      <c r="L3673" s="43">
        <f>IF($I3673=0,0,$J3673*$H3673/100/12)</f>
      </c>
      <c r="M3673" s="43">
        <f>IF($I3673=0,0,IF(OR(INDEX(DarlOhneTilgung,8)=1,AND(INDEX(DarlTilgStart,8)&gt;0,$E3673&lt;INDEX(DarlTilgStart,8))),0,MIN(MAX(0,$K3673-$L3673),$J3673)))</f>
      </c>
      <c r="N3673" s="43">
        <f>IF($I3673=0,0,MIN(SUMIFS(SondBetrag,SondDarl,8,SondDatum,"&gt;="&amp;$E3673,SondDatum,"&lt;="&amp;EOMONTH($E3673,0)),$J3673-$M3673))</f>
      </c>
      <c r="O3673" s="43">
        <f>IF($I3673=0,0,INDEX(DarlErsatzRate,8))</f>
      </c>
      <c r="P3673" s="43">
        <f>IF($I3673=0,0,$Q3672*INDEX(DarlErsatzZins,8))</f>
      </c>
      <c r="Q3673" s="43">
        <f>IF($I3673=0,0,$Q3672+$P3673+$O3673)</f>
      </c>
      <c r="R3673" s="43">
        <f>IF($I3673=0,0,$J3673-$M3673-$N3673)</f>
      </c>
    </row>
    <row r="3674">
      <c r="A3674"/>
      <c r="B3674">
        <v>8</v>
      </c>
      <c r="C3674" s="43">
        <f>INDEX(DarlObj,8)</f>
      </c>
      <c r="D3674">
        <v>311</v>
      </c>
      <c r="E3674" s="51">
        <f>IF(INDEX(DarlBelegt,8)=0,0,EOMONTH(INDEX(DarlAuszahlung,8),310)+1)</f>
      </c>
      <c r="F3674" s="43">
        <f>IF($E3674=0,0,YEAR($E3674))</f>
      </c>
      <c r="G3674" s="43">
        <f>IF(INDEX(DarlBindung,8)="",1,IF($E3674&lt;=INDEX(DarlBindung,8),1,0))</f>
      </c>
      <c r="H3674" s="43">
        <f>IF($G3674=1,INDEX(DarlSollzins,8),INDEX(DarlAnschluss,8))</f>
      </c>
      <c r="I3674" s="43">
        <f>IF(INDEX(DarlBelegt,8)=0,0,IF(INDEX(DarlOhneTilgung,8)=1,IF(INDEX(DarlBindung,8)="",1,$G3674),IF($J3674&gt;0.005,1,0)))</f>
      </c>
      <c r="J3674" s="43">
        <f>IF($I3673=0,0,$R3673)</f>
      </c>
      <c r="K3674" s="43">
        <f>IF($I3674=0,0,IF(INDEX(DarlOhneTilgung,8)=1,0,IF(AND(INDEX(DarlTilgStart,8)&gt;0,$E3674=INDEX(DarlTilgStart,8)),$J3674*($H3674+INDEX(DarlTilgung,8))/100/12,IF(AND($G3674=0,$G3673=1),MAX($K3673,$J3674*($H3674+1)/100/12),$K3673))))</f>
      </c>
      <c r="L3674" s="43">
        <f>IF($I3674=0,0,$J3674*$H3674/100/12)</f>
      </c>
      <c r="M3674" s="43">
        <f>IF($I3674=0,0,IF(OR(INDEX(DarlOhneTilgung,8)=1,AND(INDEX(DarlTilgStart,8)&gt;0,$E3674&lt;INDEX(DarlTilgStart,8))),0,MIN(MAX(0,$K3674-$L3674),$J3674)))</f>
      </c>
      <c r="N3674" s="43">
        <f>IF($I3674=0,0,MIN(SUMIFS(SondBetrag,SondDarl,8,SondDatum,"&gt;="&amp;$E3674,SondDatum,"&lt;="&amp;EOMONTH($E3674,0)),$J3674-$M3674))</f>
      </c>
      <c r="O3674" s="43">
        <f>IF($I3674=0,0,INDEX(DarlErsatzRate,8))</f>
      </c>
      <c r="P3674" s="43">
        <f>IF($I3674=0,0,$Q3673*INDEX(DarlErsatzZins,8))</f>
      </c>
      <c r="Q3674" s="43">
        <f>IF($I3674=0,0,$Q3673+$P3674+$O3674)</f>
      </c>
      <c r="R3674" s="43">
        <f>IF($I3674=0,0,$J3674-$M3674-$N3674)</f>
      </c>
    </row>
    <row r="3675">
      <c r="A3675"/>
      <c r="B3675">
        <v>8</v>
      </c>
      <c r="C3675" s="43">
        <f>INDEX(DarlObj,8)</f>
      </c>
      <c r="D3675">
        <v>312</v>
      </c>
      <c r="E3675" s="51">
        <f>IF(INDEX(DarlBelegt,8)=0,0,EOMONTH(INDEX(DarlAuszahlung,8),311)+1)</f>
      </c>
      <c r="F3675" s="43">
        <f>IF($E3675=0,0,YEAR($E3675))</f>
      </c>
      <c r="G3675" s="43">
        <f>IF(INDEX(DarlBindung,8)="",1,IF($E3675&lt;=INDEX(DarlBindung,8),1,0))</f>
      </c>
      <c r="H3675" s="43">
        <f>IF($G3675=1,INDEX(DarlSollzins,8),INDEX(DarlAnschluss,8))</f>
      </c>
      <c r="I3675" s="43">
        <f>IF(INDEX(DarlBelegt,8)=0,0,IF(INDEX(DarlOhneTilgung,8)=1,IF(INDEX(DarlBindung,8)="",1,$G3675),IF($J3675&gt;0.005,1,0)))</f>
      </c>
      <c r="J3675" s="43">
        <f>IF($I3674=0,0,$R3674)</f>
      </c>
      <c r="K3675" s="43">
        <f>IF($I3675=0,0,IF(INDEX(DarlOhneTilgung,8)=1,0,IF(AND(INDEX(DarlTilgStart,8)&gt;0,$E3675=INDEX(DarlTilgStart,8)),$J3675*($H3675+INDEX(DarlTilgung,8))/100/12,IF(AND($G3675=0,$G3674=1),MAX($K3674,$J3675*($H3675+1)/100/12),$K3674))))</f>
      </c>
      <c r="L3675" s="43">
        <f>IF($I3675=0,0,$J3675*$H3675/100/12)</f>
      </c>
      <c r="M3675" s="43">
        <f>IF($I3675=0,0,IF(OR(INDEX(DarlOhneTilgung,8)=1,AND(INDEX(DarlTilgStart,8)&gt;0,$E3675&lt;INDEX(DarlTilgStart,8))),0,MIN(MAX(0,$K3675-$L3675),$J3675)))</f>
      </c>
      <c r="N3675" s="43">
        <f>IF($I3675=0,0,MIN(SUMIFS(SondBetrag,SondDarl,8,SondDatum,"&gt;="&amp;$E3675,SondDatum,"&lt;="&amp;EOMONTH($E3675,0)),$J3675-$M3675))</f>
      </c>
      <c r="O3675" s="43">
        <f>IF($I3675=0,0,INDEX(DarlErsatzRate,8))</f>
      </c>
      <c r="P3675" s="43">
        <f>IF($I3675=0,0,$Q3674*INDEX(DarlErsatzZins,8))</f>
      </c>
      <c r="Q3675" s="43">
        <f>IF($I3675=0,0,$Q3674+$P3675+$O3675)</f>
      </c>
      <c r="R3675" s="43">
        <f>IF($I3675=0,0,$J3675-$M3675-$N3675)</f>
      </c>
    </row>
    <row r="3676">
      <c r="A3676"/>
      <c r="B3676">
        <v>8</v>
      </c>
      <c r="C3676" s="43">
        <f>INDEX(DarlObj,8)</f>
      </c>
      <c r="D3676">
        <v>313</v>
      </c>
      <c r="E3676" s="51">
        <f>IF(INDEX(DarlBelegt,8)=0,0,EOMONTH(INDEX(DarlAuszahlung,8),312)+1)</f>
      </c>
      <c r="F3676" s="43">
        <f>IF($E3676=0,0,YEAR($E3676))</f>
      </c>
      <c r="G3676" s="43">
        <f>IF(INDEX(DarlBindung,8)="",1,IF($E3676&lt;=INDEX(DarlBindung,8),1,0))</f>
      </c>
      <c r="H3676" s="43">
        <f>IF($G3676=1,INDEX(DarlSollzins,8),INDEX(DarlAnschluss,8))</f>
      </c>
      <c r="I3676" s="43">
        <f>IF(INDEX(DarlBelegt,8)=0,0,IF(INDEX(DarlOhneTilgung,8)=1,IF(INDEX(DarlBindung,8)="",1,$G3676),IF($J3676&gt;0.005,1,0)))</f>
      </c>
      <c r="J3676" s="43">
        <f>IF($I3675=0,0,$R3675)</f>
      </c>
      <c r="K3676" s="43">
        <f>IF($I3676=0,0,IF(INDEX(DarlOhneTilgung,8)=1,0,IF(AND(INDEX(DarlTilgStart,8)&gt;0,$E3676=INDEX(DarlTilgStart,8)),$J3676*($H3676+INDEX(DarlTilgung,8))/100/12,IF(AND($G3676=0,$G3675=1),MAX($K3675,$J3676*($H3676+1)/100/12),$K3675))))</f>
      </c>
      <c r="L3676" s="43">
        <f>IF($I3676=0,0,$J3676*$H3676/100/12)</f>
      </c>
      <c r="M3676" s="43">
        <f>IF($I3676=0,0,IF(OR(INDEX(DarlOhneTilgung,8)=1,AND(INDEX(DarlTilgStart,8)&gt;0,$E3676&lt;INDEX(DarlTilgStart,8))),0,MIN(MAX(0,$K3676-$L3676),$J3676)))</f>
      </c>
      <c r="N3676" s="43">
        <f>IF($I3676=0,0,MIN(SUMIFS(SondBetrag,SondDarl,8,SondDatum,"&gt;="&amp;$E3676,SondDatum,"&lt;="&amp;EOMONTH($E3676,0)),$J3676-$M3676))</f>
      </c>
      <c r="O3676" s="43">
        <f>IF($I3676=0,0,INDEX(DarlErsatzRate,8))</f>
      </c>
      <c r="P3676" s="43">
        <f>IF($I3676=0,0,$Q3675*INDEX(DarlErsatzZins,8))</f>
      </c>
      <c r="Q3676" s="43">
        <f>IF($I3676=0,0,$Q3675+$P3676+$O3676)</f>
      </c>
      <c r="R3676" s="43">
        <f>IF($I3676=0,0,$J3676-$M3676-$N3676)</f>
      </c>
    </row>
    <row r="3677">
      <c r="A3677"/>
      <c r="B3677">
        <v>8</v>
      </c>
      <c r="C3677" s="43">
        <f>INDEX(DarlObj,8)</f>
      </c>
      <c r="D3677">
        <v>314</v>
      </c>
      <c r="E3677" s="51">
        <f>IF(INDEX(DarlBelegt,8)=0,0,EOMONTH(INDEX(DarlAuszahlung,8),313)+1)</f>
      </c>
      <c r="F3677" s="43">
        <f>IF($E3677=0,0,YEAR($E3677))</f>
      </c>
      <c r="G3677" s="43">
        <f>IF(INDEX(DarlBindung,8)="",1,IF($E3677&lt;=INDEX(DarlBindung,8),1,0))</f>
      </c>
      <c r="H3677" s="43">
        <f>IF($G3677=1,INDEX(DarlSollzins,8),INDEX(DarlAnschluss,8))</f>
      </c>
      <c r="I3677" s="43">
        <f>IF(INDEX(DarlBelegt,8)=0,0,IF(INDEX(DarlOhneTilgung,8)=1,IF(INDEX(DarlBindung,8)="",1,$G3677),IF($J3677&gt;0.005,1,0)))</f>
      </c>
      <c r="J3677" s="43">
        <f>IF($I3676=0,0,$R3676)</f>
      </c>
      <c r="K3677" s="43">
        <f>IF($I3677=0,0,IF(INDEX(DarlOhneTilgung,8)=1,0,IF(AND(INDEX(DarlTilgStart,8)&gt;0,$E3677=INDEX(DarlTilgStart,8)),$J3677*($H3677+INDEX(DarlTilgung,8))/100/12,IF(AND($G3677=0,$G3676=1),MAX($K3676,$J3677*($H3677+1)/100/12),$K3676))))</f>
      </c>
      <c r="L3677" s="43">
        <f>IF($I3677=0,0,$J3677*$H3677/100/12)</f>
      </c>
      <c r="M3677" s="43">
        <f>IF($I3677=0,0,IF(OR(INDEX(DarlOhneTilgung,8)=1,AND(INDEX(DarlTilgStart,8)&gt;0,$E3677&lt;INDEX(DarlTilgStart,8))),0,MIN(MAX(0,$K3677-$L3677),$J3677)))</f>
      </c>
      <c r="N3677" s="43">
        <f>IF($I3677=0,0,MIN(SUMIFS(SondBetrag,SondDarl,8,SondDatum,"&gt;="&amp;$E3677,SondDatum,"&lt;="&amp;EOMONTH($E3677,0)),$J3677-$M3677))</f>
      </c>
      <c r="O3677" s="43">
        <f>IF($I3677=0,0,INDEX(DarlErsatzRate,8))</f>
      </c>
      <c r="P3677" s="43">
        <f>IF($I3677=0,0,$Q3676*INDEX(DarlErsatzZins,8))</f>
      </c>
      <c r="Q3677" s="43">
        <f>IF($I3677=0,0,$Q3676+$P3677+$O3677)</f>
      </c>
      <c r="R3677" s="43">
        <f>IF($I3677=0,0,$J3677-$M3677-$N3677)</f>
      </c>
    </row>
    <row r="3678">
      <c r="A3678"/>
      <c r="B3678">
        <v>8</v>
      </c>
      <c r="C3678" s="43">
        <f>INDEX(DarlObj,8)</f>
      </c>
      <c r="D3678">
        <v>315</v>
      </c>
      <c r="E3678" s="51">
        <f>IF(INDEX(DarlBelegt,8)=0,0,EOMONTH(INDEX(DarlAuszahlung,8),314)+1)</f>
      </c>
      <c r="F3678" s="43">
        <f>IF($E3678=0,0,YEAR($E3678))</f>
      </c>
      <c r="G3678" s="43">
        <f>IF(INDEX(DarlBindung,8)="",1,IF($E3678&lt;=INDEX(DarlBindung,8),1,0))</f>
      </c>
      <c r="H3678" s="43">
        <f>IF($G3678=1,INDEX(DarlSollzins,8),INDEX(DarlAnschluss,8))</f>
      </c>
      <c r="I3678" s="43">
        <f>IF(INDEX(DarlBelegt,8)=0,0,IF(INDEX(DarlOhneTilgung,8)=1,IF(INDEX(DarlBindung,8)="",1,$G3678),IF($J3678&gt;0.005,1,0)))</f>
      </c>
      <c r="J3678" s="43">
        <f>IF($I3677=0,0,$R3677)</f>
      </c>
      <c r="K3678" s="43">
        <f>IF($I3678=0,0,IF(INDEX(DarlOhneTilgung,8)=1,0,IF(AND(INDEX(DarlTilgStart,8)&gt;0,$E3678=INDEX(DarlTilgStart,8)),$J3678*($H3678+INDEX(DarlTilgung,8))/100/12,IF(AND($G3678=0,$G3677=1),MAX($K3677,$J3678*($H3678+1)/100/12),$K3677))))</f>
      </c>
      <c r="L3678" s="43">
        <f>IF($I3678=0,0,$J3678*$H3678/100/12)</f>
      </c>
      <c r="M3678" s="43">
        <f>IF($I3678=0,0,IF(OR(INDEX(DarlOhneTilgung,8)=1,AND(INDEX(DarlTilgStart,8)&gt;0,$E3678&lt;INDEX(DarlTilgStart,8))),0,MIN(MAX(0,$K3678-$L3678),$J3678)))</f>
      </c>
      <c r="N3678" s="43">
        <f>IF($I3678=0,0,MIN(SUMIFS(SondBetrag,SondDarl,8,SondDatum,"&gt;="&amp;$E3678,SondDatum,"&lt;="&amp;EOMONTH($E3678,0)),$J3678-$M3678))</f>
      </c>
      <c r="O3678" s="43">
        <f>IF($I3678=0,0,INDEX(DarlErsatzRate,8))</f>
      </c>
      <c r="P3678" s="43">
        <f>IF($I3678=0,0,$Q3677*INDEX(DarlErsatzZins,8))</f>
      </c>
      <c r="Q3678" s="43">
        <f>IF($I3678=0,0,$Q3677+$P3678+$O3678)</f>
      </c>
      <c r="R3678" s="43">
        <f>IF($I3678=0,0,$J3678-$M3678-$N3678)</f>
      </c>
    </row>
    <row r="3679">
      <c r="A3679"/>
      <c r="B3679">
        <v>8</v>
      </c>
      <c r="C3679" s="43">
        <f>INDEX(DarlObj,8)</f>
      </c>
      <c r="D3679">
        <v>316</v>
      </c>
      <c r="E3679" s="51">
        <f>IF(INDEX(DarlBelegt,8)=0,0,EOMONTH(INDEX(DarlAuszahlung,8),315)+1)</f>
      </c>
      <c r="F3679" s="43">
        <f>IF($E3679=0,0,YEAR($E3679))</f>
      </c>
      <c r="G3679" s="43">
        <f>IF(INDEX(DarlBindung,8)="",1,IF($E3679&lt;=INDEX(DarlBindung,8),1,0))</f>
      </c>
      <c r="H3679" s="43">
        <f>IF($G3679=1,INDEX(DarlSollzins,8),INDEX(DarlAnschluss,8))</f>
      </c>
      <c r="I3679" s="43">
        <f>IF(INDEX(DarlBelegt,8)=0,0,IF(INDEX(DarlOhneTilgung,8)=1,IF(INDEX(DarlBindung,8)="",1,$G3679),IF($J3679&gt;0.005,1,0)))</f>
      </c>
      <c r="J3679" s="43">
        <f>IF($I3678=0,0,$R3678)</f>
      </c>
      <c r="K3679" s="43">
        <f>IF($I3679=0,0,IF(INDEX(DarlOhneTilgung,8)=1,0,IF(AND(INDEX(DarlTilgStart,8)&gt;0,$E3679=INDEX(DarlTilgStart,8)),$J3679*($H3679+INDEX(DarlTilgung,8))/100/12,IF(AND($G3679=0,$G3678=1),MAX($K3678,$J3679*($H3679+1)/100/12),$K3678))))</f>
      </c>
      <c r="L3679" s="43">
        <f>IF($I3679=0,0,$J3679*$H3679/100/12)</f>
      </c>
      <c r="M3679" s="43">
        <f>IF($I3679=0,0,IF(OR(INDEX(DarlOhneTilgung,8)=1,AND(INDEX(DarlTilgStart,8)&gt;0,$E3679&lt;INDEX(DarlTilgStart,8))),0,MIN(MAX(0,$K3679-$L3679),$J3679)))</f>
      </c>
      <c r="N3679" s="43">
        <f>IF($I3679=0,0,MIN(SUMIFS(SondBetrag,SondDarl,8,SondDatum,"&gt;="&amp;$E3679,SondDatum,"&lt;="&amp;EOMONTH($E3679,0)),$J3679-$M3679))</f>
      </c>
      <c r="O3679" s="43">
        <f>IF($I3679=0,0,INDEX(DarlErsatzRate,8))</f>
      </c>
      <c r="P3679" s="43">
        <f>IF($I3679=0,0,$Q3678*INDEX(DarlErsatzZins,8))</f>
      </c>
      <c r="Q3679" s="43">
        <f>IF($I3679=0,0,$Q3678+$P3679+$O3679)</f>
      </c>
      <c r="R3679" s="43">
        <f>IF($I3679=0,0,$J3679-$M3679-$N3679)</f>
      </c>
    </row>
    <row r="3680">
      <c r="A3680"/>
      <c r="B3680">
        <v>8</v>
      </c>
      <c r="C3680" s="43">
        <f>INDEX(DarlObj,8)</f>
      </c>
      <c r="D3680">
        <v>317</v>
      </c>
      <c r="E3680" s="51">
        <f>IF(INDEX(DarlBelegt,8)=0,0,EOMONTH(INDEX(DarlAuszahlung,8),316)+1)</f>
      </c>
      <c r="F3680" s="43">
        <f>IF($E3680=0,0,YEAR($E3680))</f>
      </c>
      <c r="G3680" s="43">
        <f>IF(INDEX(DarlBindung,8)="",1,IF($E3680&lt;=INDEX(DarlBindung,8),1,0))</f>
      </c>
      <c r="H3680" s="43">
        <f>IF($G3680=1,INDEX(DarlSollzins,8),INDEX(DarlAnschluss,8))</f>
      </c>
      <c r="I3680" s="43">
        <f>IF(INDEX(DarlBelegt,8)=0,0,IF(INDEX(DarlOhneTilgung,8)=1,IF(INDEX(DarlBindung,8)="",1,$G3680),IF($J3680&gt;0.005,1,0)))</f>
      </c>
      <c r="J3680" s="43">
        <f>IF($I3679=0,0,$R3679)</f>
      </c>
      <c r="K3680" s="43">
        <f>IF($I3680=0,0,IF(INDEX(DarlOhneTilgung,8)=1,0,IF(AND(INDEX(DarlTilgStart,8)&gt;0,$E3680=INDEX(DarlTilgStart,8)),$J3680*($H3680+INDEX(DarlTilgung,8))/100/12,IF(AND($G3680=0,$G3679=1),MAX($K3679,$J3680*($H3680+1)/100/12),$K3679))))</f>
      </c>
      <c r="L3680" s="43">
        <f>IF($I3680=0,0,$J3680*$H3680/100/12)</f>
      </c>
      <c r="M3680" s="43">
        <f>IF($I3680=0,0,IF(OR(INDEX(DarlOhneTilgung,8)=1,AND(INDEX(DarlTilgStart,8)&gt;0,$E3680&lt;INDEX(DarlTilgStart,8))),0,MIN(MAX(0,$K3680-$L3680),$J3680)))</f>
      </c>
      <c r="N3680" s="43">
        <f>IF($I3680=0,0,MIN(SUMIFS(SondBetrag,SondDarl,8,SondDatum,"&gt;="&amp;$E3680,SondDatum,"&lt;="&amp;EOMONTH($E3680,0)),$J3680-$M3680))</f>
      </c>
      <c r="O3680" s="43">
        <f>IF($I3680=0,0,INDEX(DarlErsatzRate,8))</f>
      </c>
      <c r="P3680" s="43">
        <f>IF($I3680=0,0,$Q3679*INDEX(DarlErsatzZins,8))</f>
      </c>
      <c r="Q3680" s="43">
        <f>IF($I3680=0,0,$Q3679+$P3680+$O3680)</f>
      </c>
      <c r="R3680" s="43">
        <f>IF($I3680=0,0,$J3680-$M3680-$N3680)</f>
      </c>
    </row>
    <row r="3681">
      <c r="A3681"/>
      <c r="B3681">
        <v>8</v>
      </c>
      <c r="C3681" s="43">
        <f>INDEX(DarlObj,8)</f>
      </c>
      <c r="D3681">
        <v>318</v>
      </c>
      <c r="E3681" s="51">
        <f>IF(INDEX(DarlBelegt,8)=0,0,EOMONTH(INDEX(DarlAuszahlung,8),317)+1)</f>
      </c>
      <c r="F3681" s="43">
        <f>IF($E3681=0,0,YEAR($E3681))</f>
      </c>
      <c r="G3681" s="43">
        <f>IF(INDEX(DarlBindung,8)="",1,IF($E3681&lt;=INDEX(DarlBindung,8),1,0))</f>
      </c>
      <c r="H3681" s="43">
        <f>IF($G3681=1,INDEX(DarlSollzins,8),INDEX(DarlAnschluss,8))</f>
      </c>
      <c r="I3681" s="43">
        <f>IF(INDEX(DarlBelegt,8)=0,0,IF(INDEX(DarlOhneTilgung,8)=1,IF(INDEX(DarlBindung,8)="",1,$G3681),IF($J3681&gt;0.005,1,0)))</f>
      </c>
      <c r="J3681" s="43">
        <f>IF($I3680=0,0,$R3680)</f>
      </c>
      <c r="K3681" s="43">
        <f>IF($I3681=0,0,IF(INDEX(DarlOhneTilgung,8)=1,0,IF(AND(INDEX(DarlTilgStart,8)&gt;0,$E3681=INDEX(DarlTilgStart,8)),$J3681*($H3681+INDEX(DarlTilgung,8))/100/12,IF(AND($G3681=0,$G3680=1),MAX($K3680,$J3681*($H3681+1)/100/12),$K3680))))</f>
      </c>
      <c r="L3681" s="43">
        <f>IF($I3681=0,0,$J3681*$H3681/100/12)</f>
      </c>
      <c r="M3681" s="43">
        <f>IF($I3681=0,0,IF(OR(INDEX(DarlOhneTilgung,8)=1,AND(INDEX(DarlTilgStart,8)&gt;0,$E3681&lt;INDEX(DarlTilgStart,8))),0,MIN(MAX(0,$K3681-$L3681),$J3681)))</f>
      </c>
      <c r="N3681" s="43">
        <f>IF($I3681=0,0,MIN(SUMIFS(SondBetrag,SondDarl,8,SondDatum,"&gt;="&amp;$E3681,SondDatum,"&lt;="&amp;EOMONTH($E3681,0)),$J3681-$M3681))</f>
      </c>
      <c r="O3681" s="43">
        <f>IF($I3681=0,0,INDEX(DarlErsatzRate,8))</f>
      </c>
      <c r="P3681" s="43">
        <f>IF($I3681=0,0,$Q3680*INDEX(DarlErsatzZins,8))</f>
      </c>
      <c r="Q3681" s="43">
        <f>IF($I3681=0,0,$Q3680+$P3681+$O3681)</f>
      </c>
      <c r="R3681" s="43">
        <f>IF($I3681=0,0,$J3681-$M3681-$N3681)</f>
      </c>
    </row>
    <row r="3682">
      <c r="A3682"/>
      <c r="B3682">
        <v>8</v>
      </c>
      <c r="C3682" s="43">
        <f>INDEX(DarlObj,8)</f>
      </c>
      <c r="D3682">
        <v>319</v>
      </c>
      <c r="E3682" s="51">
        <f>IF(INDEX(DarlBelegt,8)=0,0,EOMONTH(INDEX(DarlAuszahlung,8),318)+1)</f>
      </c>
      <c r="F3682" s="43">
        <f>IF($E3682=0,0,YEAR($E3682))</f>
      </c>
      <c r="G3682" s="43">
        <f>IF(INDEX(DarlBindung,8)="",1,IF($E3682&lt;=INDEX(DarlBindung,8),1,0))</f>
      </c>
      <c r="H3682" s="43">
        <f>IF($G3682=1,INDEX(DarlSollzins,8),INDEX(DarlAnschluss,8))</f>
      </c>
      <c r="I3682" s="43">
        <f>IF(INDEX(DarlBelegt,8)=0,0,IF(INDEX(DarlOhneTilgung,8)=1,IF(INDEX(DarlBindung,8)="",1,$G3682),IF($J3682&gt;0.005,1,0)))</f>
      </c>
      <c r="J3682" s="43">
        <f>IF($I3681=0,0,$R3681)</f>
      </c>
      <c r="K3682" s="43">
        <f>IF($I3682=0,0,IF(INDEX(DarlOhneTilgung,8)=1,0,IF(AND(INDEX(DarlTilgStart,8)&gt;0,$E3682=INDEX(DarlTilgStart,8)),$J3682*($H3682+INDEX(DarlTilgung,8))/100/12,IF(AND($G3682=0,$G3681=1),MAX($K3681,$J3682*($H3682+1)/100/12),$K3681))))</f>
      </c>
      <c r="L3682" s="43">
        <f>IF($I3682=0,0,$J3682*$H3682/100/12)</f>
      </c>
      <c r="M3682" s="43">
        <f>IF($I3682=0,0,IF(OR(INDEX(DarlOhneTilgung,8)=1,AND(INDEX(DarlTilgStart,8)&gt;0,$E3682&lt;INDEX(DarlTilgStart,8))),0,MIN(MAX(0,$K3682-$L3682),$J3682)))</f>
      </c>
      <c r="N3682" s="43">
        <f>IF($I3682=0,0,MIN(SUMIFS(SondBetrag,SondDarl,8,SondDatum,"&gt;="&amp;$E3682,SondDatum,"&lt;="&amp;EOMONTH($E3682,0)),$J3682-$M3682))</f>
      </c>
      <c r="O3682" s="43">
        <f>IF($I3682=0,0,INDEX(DarlErsatzRate,8))</f>
      </c>
      <c r="P3682" s="43">
        <f>IF($I3682=0,0,$Q3681*INDEX(DarlErsatzZins,8))</f>
      </c>
      <c r="Q3682" s="43">
        <f>IF($I3682=0,0,$Q3681+$P3682+$O3682)</f>
      </c>
      <c r="R3682" s="43">
        <f>IF($I3682=0,0,$J3682-$M3682-$N3682)</f>
      </c>
    </row>
    <row r="3683">
      <c r="A3683"/>
      <c r="B3683">
        <v>8</v>
      </c>
      <c r="C3683" s="43">
        <f>INDEX(DarlObj,8)</f>
      </c>
      <c r="D3683">
        <v>320</v>
      </c>
      <c r="E3683" s="51">
        <f>IF(INDEX(DarlBelegt,8)=0,0,EOMONTH(INDEX(DarlAuszahlung,8),319)+1)</f>
      </c>
      <c r="F3683" s="43">
        <f>IF($E3683=0,0,YEAR($E3683))</f>
      </c>
      <c r="G3683" s="43">
        <f>IF(INDEX(DarlBindung,8)="",1,IF($E3683&lt;=INDEX(DarlBindung,8),1,0))</f>
      </c>
      <c r="H3683" s="43">
        <f>IF($G3683=1,INDEX(DarlSollzins,8),INDEX(DarlAnschluss,8))</f>
      </c>
      <c r="I3683" s="43">
        <f>IF(INDEX(DarlBelegt,8)=0,0,IF(INDEX(DarlOhneTilgung,8)=1,IF(INDEX(DarlBindung,8)="",1,$G3683),IF($J3683&gt;0.005,1,0)))</f>
      </c>
      <c r="J3683" s="43">
        <f>IF($I3682=0,0,$R3682)</f>
      </c>
      <c r="K3683" s="43">
        <f>IF($I3683=0,0,IF(INDEX(DarlOhneTilgung,8)=1,0,IF(AND(INDEX(DarlTilgStart,8)&gt;0,$E3683=INDEX(DarlTilgStart,8)),$J3683*($H3683+INDEX(DarlTilgung,8))/100/12,IF(AND($G3683=0,$G3682=1),MAX($K3682,$J3683*($H3683+1)/100/12),$K3682))))</f>
      </c>
      <c r="L3683" s="43">
        <f>IF($I3683=0,0,$J3683*$H3683/100/12)</f>
      </c>
      <c r="M3683" s="43">
        <f>IF($I3683=0,0,IF(OR(INDEX(DarlOhneTilgung,8)=1,AND(INDEX(DarlTilgStart,8)&gt;0,$E3683&lt;INDEX(DarlTilgStart,8))),0,MIN(MAX(0,$K3683-$L3683),$J3683)))</f>
      </c>
      <c r="N3683" s="43">
        <f>IF($I3683=0,0,MIN(SUMIFS(SondBetrag,SondDarl,8,SondDatum,"&gt;="&amp;$E3683,SondDatum,"&lt;="&amp;EOMONTH($E3683,0)),$J3683-$M3683))</f>
      </c>
      <c r="O3683" s="43">
        <f>IF($I3683=0,0,INDEX(DarlErsatzRate,8))</f>
      </c>
      <c r="P3683" s="43">
        <f>IF($I3683=0,0,$Q3682*INDEX(DarlErsatzZins,8))</f>
      </c>
      <c r="Q3683" s="43">
        <f>IF($I3683=0,0,$Q3682+$P3683+$O3683)</f>
      </c>
      <c r="R3683" s="43">
        <f>IF($I3683=0,0,$J3683-$M3683-$N3683)</f>
      </c>
    </row>
    <row r="3684">
      <c r="A3684"/>
      <c r="B3684">
        <v>8</v>
      </c>
      <c r="C3684" s="43">
        <f>INDEX(DarlObj,8)</f>
      </c>
      <c r="D3684">
        <v>321</v>
      </c>
      <c r="E3684" s="51">
        <f>IF(INDEX(DarlBelegt,8)=0,0,EOMONTH(INDEX(DarlAuszahlung,8),320)+1)</f>
      </c>
      <c r="F3684" s="43">
        <f>IF($E3684=0,0,YEAR($E3684))</f>
      </c>
      <c r="G3684" s="43">
        <f>IF(INDEX(DarlBindung,8)="",1,IF($E3684&lt;=INDEX(DarlBindung,8),1,0))</f>
      </c>
      <c r="H3684" s="43">
        <f>IF($G3684=1,INDEX(DarlSollzins,8),INDEX(DarlAnschluss,8))</f>
      </c>
      <c r="I3684" s="43">
        <f>IF(INDEX(DarlBelegt,8)=0,0,IF(INDEX(DarlOhneTilgung,8)=1,IF(INDEX(DarlBindung,8)="",1,$G3684),IF($J3684&gt;0.005,1,0)))</f>
      </c>
      <c r="J3684" s="43">
        <f>IF($I3683=0,0,$R3683)</f>
      </c>
      <c r="K3684" s="43">
        <f>IF($I3684=0,0,IF(INDEX(DarlOhneTilgung,8)=1,0,IF(AND(INDEX(DarlTilgStart,8)&gt;0,$E3684=INDEX(DarlTilgStart,8)),$J3684*($H3684+INDEX(DarlTilgung,8))/100/12,IF(AND($G3684=0,$G3683=1),MAX($K3683,$J3684*($H3684+1)/100/12),$K3683))))</f>
      </c>
      <c r="L3684" s="43">
        <f>IF($I3684=0,0,$J3684*$H3684/100/12)</f>
      </c>
      <c r="M3684" s="43">
        <f>IF($I3684=0,0,IF(OR(INDEX(DarlOhneTilgung,8)=1,AND(INDEX(DarlTilgStart,8)&gt;0,$E3684&lt;INDEX(DarlTilgStart,8))),0,MIN(MAX(0,$K3684-$L3684),$J3684)))</f>
      </c>
      <c r="N3684" s="43">
        <f>IF($I3684=0,0,MIN(SUMIFS(SondBetrag,SondDarl,8,SondDatum,"&gt;="&amp;$E3684,SondDatum,"&lt;="&amp;EOMONTH($E3684,0)),$J3684-$M3684))</f>
      </c>
      <c r="O3684" s="43">
        <f>IF($I3684=0,0,INDEX(DarlErsatzRate,8))</f>
      </c>
      <c r="P3684" s="43">
        <f>IF($I3684=0,0,$Q3683*INDEX(DarlErsatzZins,8))</f>
      </c>
      <c r="Q3684" s="43">
        <f>IF($I3684=0,0,$Q3683+$P3684+$O3684)</f>
      </c>
      <c r="R3684" s="43">
        <f>IF($I3684=0,0,$J3684-$M3684-$N3684)</f>
      </c>
    </row>
    <row r="3685">
      <c r="A3685"/>
      <c r="B3685">
        <v>8</v>
      </c>
      <c r="C3685" s="43">
        <f>INDEX(DarlObj,8)</f>
      </c>
      <c r="D3685">
        <v>322</v>
      </c>
      <c r="E3685" s="51">
        <f>IF(INDEX(DarlBelegt,8)=0,0,EOMONTH(INDEX(DarlAuszahlung,8),321)+1)</f>
      </c>
      <c r="F3685" s="43">
        <f>IF($E3685=0,0,YEAR($E3685))</f>
      </c>
      <c r="G3685" s="43">
        <f>IF(INDEX(DarlBindung,8)="",1,IF($E3685&lt;=INDEX(DarlBindung,8),1,0))</f>
      </c>
      <c r="H3685" s="43">
        <f>IF($G3685=1,INDEX(DarlSollzins,8),INDEX(DarlAnschluss,8))</f>
      </c>
      <c r="I3685" s="43">
        <f>IF(INDEX(DarlBelegt,8)=0,0,IF(INDEX(DarlOhneTilgung,8)=1,IF(INDEX(DarlBindung,8)="",1,$G3685),IF($J3685&gt;0.005,1,0)))</f>
      </c>
      <c r="J3685" s="43">
        <f>IF($I3684=0,0,$R3684)</f>
      </c>
      <c r="K3685" s="43">
        <f>IF($I3685=0,0,IF(INDEX(DarlOhneTilgung,8)=1,0,IF(AND(INDEX(DarlTilgStart,8)&gt;0,$E3685=INDEX(DarlTilgStart,8)),$J3685*($H3685+INDEX(DarlTilgung,8))/100/12,IF(AND($G3685=0,$G3684=1),MAX($K3684,$J3685*($H3685+1)/100/12),$K3684))))</f>
      </c>
      <c r="L3685" s="43">
        <f>IF($I3685=0,0,$J3685*$H3685/100/12)</f>
      </c>
      <c r="M3685" s="43">
        <f>IF($I3685=0,0,IF(OR(INDEX(DarlOhneTilgung,8)=1,AND(INDEX(DarlTilgStart,8)&gt;0,$E3685&lt;INDEX(DarlTilgStart,8))),0,MIN(MAX(0,$K3685-$L3685),$J3685)))</f>
      </c>
      <c r="N3685" s="43">
        <f>IF($I3685=0,0,MIN(SUMIFS(SondBetrag,SondDarl,8,SondDatum,"&gt;="&amp;$E3685,SondDatum,"&lt;="&amp;EOMONTH($E3685,0)),$J3685-$M3685))</f>
      </c>
      <c r="O3685" s="43">
        <f>IF($I3685=0,0,INDEX(DarlErsatzRate,8))</f>
      </c>
      <c r="P3685" s="43">
        <f>IF($I3685=0,0,$Q3684*INDEX(DarlErsatzZins,8))</f>
      </c>
      <c r="Q3685" s="43">
        <f>IF($I3685=0,0,$Q3684+$P3685+$O3685)</f>
      </c>
      <c r="R3685" s="43">
        <f>IF($I3685=0,0,$J3685-$M3685-$N3685)</f>
      </c>
    </row>
    <row r="3686">
      <c r="A3686"/>
      <c r="B3686">
        <v>8</v>
      </c>
      <c r="C3686" s="43">
        <f>INDEX(DarlObj,8)</f>
      </c>
      <c r="D3686">
        <v>323</v>
      </c>
      <c r="E3686" s="51">
        <f>IF(INDEX(DarlBelegt,8)=0,0,EOMONTH(INDEX(DarlAuszahlung,8),322)+1)</f>
      </c>
      <c r="F3686" s="43">
        <f>IF($E3686=0,0,YEAR($E3686))</f>
      </c>
      <c r="G3686" s="43">
        <f>IF(INDEX(DarlBindung,8)="",1,IF($E3686&lt;=INDEX(DarlBindung,8),1,0))</f>
      </c>
      <c r="H3686" s="43">
        <f>IF($G3686=1,INDEX(DarlSollzins,8),INDEX(DarlAnschluss,8))</f>
      </c>
      <c r="I3686" s="43">
        <f>IF(INDEX(DarlBelegt,8)=0,0,IF(INDEX(DarlOhneTilgung,8)=1,IF(INDEX(DarlBindung,8)="",1,$G3686),IF($J3686&gt;0.005,1,0)))</f>
      </c>
      <c r="J3686" s="43">
        <f>IF($I3685=0,0,$R3685)</f>
      </c>
      <c r="K3686" s="43">
        <f>IF($I3686=0,0,IF(INDEX(DarlOhneTilgung,8)=1,0,IF(AND(INDEX(DarlTilgStart,8)&gt;0,$E3686=INDEX(DarlTilgStart,8)),$J3686*($H3686+INDEX(DarlTilgung,8))/100/12,IF(AND($G3686=0,$G3685=1),MAX($K3685,$J3686*($H3686+1)/100/12),$K3685))))</f>
      </c>
      <c r="L3686" s="43">
        <f>IF($I3686=0,0,$J3686*$H3686/100/12)</f>
      </c>
      <c r="M3686" s="43">
        <f>IF($I3686=0,0,IF(OR(INDEX(DarlOhneTilgung,8)=1,AND(INDEX(DarlTilgStart,8)&gt;0,$E3686&lt;INDEX(DarlTilgStart,8))),0,MIN(MAX(0,$K3686-$L3686),$J3686)))</f>
      </c>
      <c r="N3686" s="43">
        <f>IF($I3686=0,0,MIN(SUMIFS(SondBetrag,SondDarl,8,SondDatum,"&gt;="&amp;$E3686,SondDatum,"&lt;="&amp;EOMONTH($E3686,0)),$J3686-$M3686))</f>
      </c>
      <c r="O3686" s="43">
        <f>IF($I3686=0,0,INDEX(DarlErsatzRate,8))</f>
      </c>
      <c r="P3686" s="43">
        <f>IF($I3686=0,0,$Q3685*INDEX(DarlErsatzZins,8))</f>
      </c>
      <c r="Q3686" s="43">
        <f>IF($I3686=0,0,$Q3685+$P3686+$O3686)</f>
      </c>
      <c r="R3686" s="43">
        <f>IF($I3686=0,0,$J3686-$M3686-$N3686)</f>
      </c>
    </row>
    <row r="3687">
      <c r="A3687"/>
      <c r="B3687">
        <v>8</v>
      </c>
      <c r="C3687" s="43">
        <f>INDEX(DarlObj,8)</f>
      </c>
      <c r="D3687">
        <v>324</v>
      </c>
      <c r="E3687" s="51">
        <f>IF(INDEX(DarlBelegt,8)=0,0,EOMONTH(INDEX(DarlAuszahlung,8),323)+1)</f>
      </c>
      <c r="F3687" s="43">
        <f>IF($E3687=0,0,YEAR($E3687))</f>
      </c>
      <c r="G3687" s="43">
        <f>IF(INDEX(DarlBindung,8)="",1,IF($E3687&lt;=INDEX(DarlBindung,8),1,0))</f>
      </c>
      <c r="H3687" s="43">
        <f>IF($G3687=1,INDEX(DarlSollzins,8),INDEX(DarlAnschluss,8))</f>
      </c>
      <c r="I3687" s="43">
        <f>IF(INDEX(DarlBelegt,8)=0,0,IF(INDEX(DarlOhneTilgung,8)=1,IF(INDEX(DarlBindung,8)="",1,$G3687),IF($J3687&gt;0.005,1,0)))</f>
      </c>
      <c r="J3687" s="43">
        <f>IF($I3686=0,0,$R3686)</f>
      </c>
      <c r="K3687" s="43">
        <f>IF($I3687=0,0,IF(INDEX(DarlOhneTilgung,8)=1,0,IF(AND(INDEX(DarlTilgStart,8)&gt;0,$E3687=INDEX(DarlTilgStart,8)),$J3687*($H3687+INDEX(DarlTilgung,8))/100/12,IF(AND($G3687=0,$G3686=1),MAX($K3686,$J3687*($H3687+1)/100/12),$K3686))))</f>
      </c>
      <c r="L3687" s="43">
        <f>IF($I3687=0,0,$J3687*$H3687/100/12)</f>
      </c>
      <c r="M3687" s="43">
        <f>IF($I3687=0,0,IF(OR(INDEX(DarlOhneTilgung,8)=1,AND(INDEX(DarlTilgStart,8)&gt;0,$E3687&lt;INDEX(DarlTilgStart,8))),0,MIN(MAX(0,$K3687-$L3687),$J3687)))</f>
      </c>
      <c r="N3687" s="43">
        <f>IF($I3687=0,0,MIN(SUMIFS(SondBetrag,SondDarl,8,SondDatum,"&gt;="&amp;$E3687,SondDatum,"&lt;="&amp;EOMONTH($E3687,0)),$J3687-$M3687))</f>
      </c>
      <c r="O3687" s="43">
        <f>IF($I3687=0,0,INDEX(DarlErsatzRate,8))</f>
      </c>
      <c r="P3687" s="43">
        <f>IF($I3687=0,0,$Q3686*INDEX(DarlErsatzZins,8))</f>
      </c>
      <c r="Q3687" s="43">
        <f>IF($I3687=0,0,$Q3686+$P3687+$O3687)</f>
      </c>
      <c r="R3687" s="43">
        <f>IF($I3687=0,0,$J3687-$M3687-$N3687)</f>
      </c>
    </row>
    <row r="3688">
      <c r="A3688"/>
      <c r="B3688">
        <v>8</v>
      </c>
      <c r="C3688" s="43">
        <f>INDEX(DarlObj,8)</f>
      </c>
      <c r="D3688">
        <v>325</v>
      </c>
      <c r="E3688" s="51">
        <f>IF(INDEX(DarlBelegt,8)=0,0,EOMONTH(INDEX(DarlAuszahlung,8),324)+1)</f>
      </c>
      <c r="F3688" s="43">
        <f>IF($E3688=0,0,YEAR($E3688))</f>
      </c>
      <c r="G3688" s="43">
        <f>IF(INDEX(DarlBindung,8)="",1,IF($E3688&lt;=INDEX(DarlBindung,8),1,0))</f>
      </c>
      <c r="H3688" s="43">
        <f>IF($G3688=1,INDEX(DarlSollzins,8),INDEX(DarlAnschluss,8))</f>
      </c>
      <c r="I3688" s="43">
        <f>IF(INDEX(DarlBelegt,8)=0,0,IF(INDEX(DarlOhneTilgung,8)=1,IF(INDEX(DarlBindung,8)="",1,$G3688),IF($J3688&gt;0.005,1,0)))</f>
      </c>
      <c r="J3688" s="43">
        <f>IF($I3687=0,0,$R3687)</f>
      </c>
      <c r="K3688" s="43">
        <f>IF($I3688=0,0,IF(INDEX(DarlOhneTilgung,8)=1,0,IF(AND(INDEX(DarlTilgStart,8)&gt;0,$E3688=INDEX(DarlTilgStart,8)),$J3688*($H3688+INDEX(DarlTilgung,8))/100/12,IF(AND($G3688=0,$G3687=1),MAX($K3687,$J3688*($H3688+1)/100/12),$K3687))))</f>
      </c>
      <c r="L3688" s="43">
        <f>IF($I3688=0,0,$J3688*$H3688/100/12)</f>
      </c>
      <c r="M3688" s="43">
        <f>IF($I3688=0,0,IF(OR(INDEX(DarlOhneTilgung,8)=1,AND(INDEX(DarlTilgStart,8)&gt;0,$E3688&lt;INDEX(DarlTilgStart,8))),0,MIN(MAX(0,$K3688-$L3688),$J3688)))</f>
      </c>
      <c r="N3688" s="43">
        <f>IF($I3688=0,0,MIN(SUMIFS(SondBetrag,SondDarl,8,SondDatum,"&gt;="&amp;$E3688,SondDatum,"&lt;="&amp;EOMONTH($E3688,0)),$J3688-$M3688))</f>
      </c>
      <c r="O3688" s="43">
        <f>IF($I3688=0,0,INDEX(DarlErsatzRate,8))</f>
      </c>
      <c r="P3688" s="43">
        <f>IF($I3688=0,0,$Q3687*INDEX(DarlErsatzZins,8))</f>
      </c>
      <c r="Q3688" s="43">
        <f>IF($I3688=0,0,$Q3687+$P3688+$O3688)</f>
      </c>
      <c r="R3688" s="43">
        <f>IF($I3688=0,0,$J3688-$M3688-$N3688)</f>
      </c>
    </row>
    <row r="3689">
      <c r="A3689"/>
      <c r="B3689">
        <v>8</v>
      </c>
      <c r="C3689" s="43">
        <f>INDEX(DarlObj,8)</f>
      </c>
      <c r="D3689">
        <v>326</v>
      </c>
      <c r="E3689" s="51">
        <f>IF(INDEX(DarlBelegt,8)=0,0,EOMONTH(INDEX(DarlAuszahlung,8),325)+1)</f>
      </c>
      <c r="F3689" s="43">
        <f>IF($E3689=0,0,YEAR($E3689))</f>
      </c>
      <c r="G3689" s="43">
        <f>IF(INDEX(DarlBindung,8)="",1,IF($E3689&lt;=INDEX(DarlBindung,8),1,0))</f>
      </c>
      <c r="H3689" s="43">
        <f>IF($G3689=1,INDEX(DarlSollzins,8),INDEX(DarlAnschluss,8))</f>
      </c>
      <c r="I3689" s="43">
        <f>IF(INDEX(DarlBelegt,8)=0,0,IF(INDEX(DarlOhneTilgung,8)=1,IF(INDEX(DarlBindung,8)="",1,$G3689),IF($J3689&gt;0.005,1,0)))</f>
      </c>
      <c r="J3689" s="43">
        <f>IF($I3688=0,0,$R3688)</f>
      </c>
      <c r="K3689" s="43">
        <f>IF($I3689=0,0,IF(INDEX(DarlOhneTilgung,8)=1,0,IF(AND(INDEX(DarlTilgStart,8)&gt;0,$E3689=INDEX(DarlTilgStart,8)),$J3689*($H3689+INDEX(DarlTilgung,8))/100/12,IF(AND($G3689=0,$G3688=1),MAX($K3688,$J3689*($H3689+1)/100/12),$K3688))))</f>
      </c>
      <c r="L3689" s="43">
        <f>IF($I3689=0,0,$J3689*$H3689/100/12)</f>
      </c>
      <c r="M3689" s="43">
        <f>IF($I3689=0,0,IF(OR(INDEX(DarlOhneTilgung,8)=1,AND(INDEX(DarlTilgStart,8)&gt;0,$E3689&lt;INDEX(DarlTilgStart,8))),0,MIN(MAX(0,$K3689-$L3689),$J3689)))</f>
      </c>
      <c r="N3689" s="43">
        <f>IF($I3689=0,0,MIN(SUMIFS(SondBetrag,SondDarl,8,SondDatum,"&gt;="&amp;$E3689,SondDatum,"&lt;="&amp;EOMONTH($E3689,0)),$J3689-$M3689))</f>
      </c>
      <c r="O3689" s="43">
        <f>IF($I3689=0,0,INDEX(DarlErsatzRate,8))</f>
      </c>
      <c r="P3689" s="43">
        <f>IF($I3689=0,0,$Q3688*INDEX(DarlErsatzZins,8))</f>
      </c>
      <c r="Q3689" s="43">
        <f>IF($I3689=0,0,$Q3688+$P3689+$O3689)</f>
      </c>
      <c r="R3689" s="43">
        <f>IF($I3689=0,0,$J3689-$M3689-$N3689)</f>
      </c>
    </row>
    <row r="3690">
      <c r="A3690"/>
      <c r="B3690">
        <v>8</v>
      </c>
      <c r="C3690" s="43">
        <f>INDEX(DarlObj,8)</f>
      </c>
      <c r="D3690">
        <v>327</v>
      </c>
      <c r="E3690" s="51">
        <f>IF(INDEX(DarlBelegt,8)=0,0,EOMONTH(INDEX(DarlAuszahlung,8),326)+1)</f>
      </c>
      <c r="F3690" s="43">
        <f>IF($E3690=0,0,YEAR($E3690))</f>
      </c>
      <c r="G3690" s="43">
        <f>IF(INDEX(DarlBindung,8)="",1,IF($E3690&lt;=INDEX(DarlBindung,8),1,0))</f>
      </c>
      <c r="H3690" s="43">
        <f>IF($G3690=1,INDEX(DarlSollzins,8),INDEX(DarlAnschluss,8))</f>
      </c>
      <c r="I3690" s="43">
        <f>IF(INDEX(DarlBelegt,8)=0,0,IF(INDEX(DarlOhneTilgung,8)=1,IF(INDEX(DarlBindung,8)="",1,$G3690),IF($J3690&gt;0.005,1,0)))</f>
      </c>
      <c r="J3690" s="43">
        <f>IF($I3689=0,0,$R3689)</f>
      </c>
      <c r="K3690" s="43">
        <f>IF($I3690=0,0,IF(INDEX(DarlOhneTilgung,8)=1,0,IF(AND(INDEX(DarlTilgStart,8)&gt;0,$E3690=INDEX(DarlTilgStart,8)),$J3690*($H3690+INDEX(DarlTilgung,8))/100/12,IF(AND($G3690=0,$G3689=1),MAX($K3689,$J3690*($H3690+1)/100/12),$K3689))))</f>
      </c>
      <c r="L3690" s="43">
        <f>IF($I3690=0,0,$J3690*$H3690/100/12)</f>
      </c>
      <c r="M3690" s="43">
        <f>IF($I3690=0,0,IF(OR(INDEX(DarlOhneTilgung,8)=1,AND(INDEX(DarlTilgStart,8)&gt;0,$E3690&lt;INDEX(DarlTilgStart,8))),0,MIN(MAX(0,$K3690-$L3690),$J3690)))</f>
      </c>
      <c r="N3690" s="43">
        <f>IF($I3690=0,0,MIN(SUMIFS(SondBetrag,SondDarl,8,SondDatum,"&gt;="&amp;$E3690,SondDatum,"&lt;="&amp;EOMONTH($E3690,0)),$J3690-$M3690))</f>
      </c>
      <c r="O3690" s="43">
        <f>IF($I3690=0,0,INDEX(DarlErsatzRate,8))</f>
      </c>
      <c r="P3690" s="43">
        <f>IF($I3690=0,0,$Q3689*INDEX(DarlErsatzZins,8))</f>
      </c>
      <c r="Q3690" s="43">
        <f>IF($I3690=0,0,$Q3689+$P3690+$O3690)</f>
      </c>
      <c r="R3690" s="43">
        <f>IF($I3690=0,0,$J3690-$M3690-$N3690)</f>
      </c>
    </row>
    <row r="3691">
      <c r="A3691"/>
      <c r="B3691">
        <v>8</v>
      </c>
      <c r="C3691" s="43">
        <f>INDEX(DarlObj,8)</f>
      </c>
      <c r="D3691">
        <v>328</v>
      </c>
      <c r="E3691" s="51">
        <f>IF(INDEX(DarlBelegt,8)=0,0,EOMONTH(INDEX(DarlAuszahlung,8),327)+1)</f>
      </c>
      <c r="F3691" s="43">
        <f>IF($E3691=0,0,YEAR($E3691))</f>
      </c>
      <c r="G3691" s="43">
        <f>IF(INDEX(DarlBindung,8)="",1,IF($E3691&lt;=INDEX(DarlBindung,8),1,0))</f>
      </c>
      <c r="H3691" s="43">
        <f>IF($G3691=1,INDEX(DarlSollzins,8),INDEX(DarlAnschluss,8))</f>
      </c>
      <c r="I3691" s="43">
        <f>IF(INDEX(DarlBelegt,8)=0,0,IF(INDEX(DarlOhneTilgung,8)=1,IF(INDEX(DarlBindung,8)="",1,$G3691),IF($J3691&gt;0.005,1,0)))</f>
      </c>
      <c r="J3691" s="43">
        <f>IF($I3690=0,0,$R3690)</f>
      </c>
      <c r="K3691" s="43">
        <f>IF($I3691=0,0,IF(INDEX(DarlOhneTilgung,8)=1,0,IF(AND(INDEX(DarlTilgStart,8)&gt;0,$E3691=INDEX(DarlTilgStart,8)),$J3691*($H3691+INDEX(DarlTilgung,8))/100/12,IF(AND($G3691=0,$G3690=1),MAX($K3690,$J3691*($H3691+1)/100/12),$K3690))))</f>
      </c>
      <c r="L3691" s="43">
        <f>IF($I3691=0,0,$J3691*$H3691/100/12)</f>
      </c>
      <c r="M3691" s="43">
        <f>IF($I3691=0,0,IF(OR(INDEX(DarlOhneTilgung,8)=1,AND(INDEX(DarlTilgStart,8)&gt;0,$E3691&lt;INDEX(DarlTilgStart,8))),0,MIN(MAX(0,$K3691-$L3691),$J3691)))</f>
      </c>
      <c r="N3691" s="43">
        <f>IF($I3691=0,0,MIN(SUMIFS(SondBetrag,SondDarl,8,SondDatum,"&gt;="&amp;$E3691,SondDatum,"&lt;="&amp;EOMONTH($E3691,0)),$J3691-$M3691))</f>
      </c>
      <c r="O3691" s="43">
        <f>IF($I3691=0,0,INDEX(DarlErsatzRate,8))</f>
      </c>
      <c r="P3691" s="43">
        <f>IF($I3691=0,0,$Q3690*INDEX(DarlErsatzZins,8))</f>
      </c>
      <c r="Q3691" s="43">
        <f>IF($I3691=0,0,$Q3690+$P3691+$O3691)</f>
      </c>
      <c r="R3691" s="43">
        <f>IF($I3691=0,0,$J3691-$M3691-$N3691)</f>
      </c>
    </row>
    <row r="3692">
      <c r="A3692"/>
      <c r="B3692">
        <v>8</v>
      </c>
      <c r="C3692" s="43">
        <f>INDEX(DarlObj,8)</f>
      </c>
      <c r="D3692">
        <v>329</v>
      </c>
      <c r="E3692" s="51">
        <f>IF(INDEX(DarlBelegt,8)=0,0,EOMONTH(INDEX(DarlAuszahlung,8),328)+1)</f>
      </c>
      <c r="F3692" s="43">
        <f>IF($E3692=0,0,YEAR($E3692))</f>
      </c>
      <c r="G3692" s="43">
        <f>IF(INDEX(DarlBindung,8)="",1,IF($E3692&lt;=INDEX(DarlBindung,8),1,0))</f>
      </c>
      <c r="H3692" s="43">
        <f>IF($G3692=1,INDEX(DarlSollzins,8),INDEX(DarlAnschluss,8))</f>
      </c>
      <c r="I3692" s="43">
        <f>IF(INDEX(DarlBelegt,8)=0,0,IF(INDEX(DarlOhneTilgung,8)=1,IF(INDEX(DarlBindung,8)="",1,$G3692),IF($J3692&gt;0.005,1,0)))</f>
      </c>
      <c r="J3692" s="43">
        <f>IF($I3691=0,0,$R3691)</f>
      </c>
      <c r="K3692" s="43">
        <f>IF($I3692=0,0,IF(INDEX(DarlOhneTilgung,8)=1,0,IF(AND(INDEX(DarlTilgStart,8)&gt;0,$E3692=INDEX(DarlTilgStart,8)),$J3692*($H3692+INDEX(DarlTilgung,8))/100/12,IF(AND($G3692=0,$G3691=1),MAX($K3691,$J3692*($H3692+1)/100/12),$K3691))))</f>
      </c>
      <c r="L3692" s="43">
        <f>IF($I3692=0,0,$J3692*$H3692/100/12)</f>
      </c>
      <c r="M3692" s="43">
        <f>IF($I3692=0,0,IF(OR(INDEX(DarlOhneTilgung,8)=1,AND(INDEX(DarlTilgStart,8)&gt;0,$E3692&lt;INDEX(DarlTilgStart,8))),0,MIN(MAX(0,$K3692-$L3692),$J3692)))</f>
      </c>
      <c r="N3692" s="43">
        <f>IF($I3692=0,0,MIN(SUMIFS(SondBetrag,SondDarl,8,SondDatum,"&gt;="&amp;$E3692,SondDatum,"&lt;="&amp;EOMONTH($E3692,0)),$J3692-$M3692))</f>
      </c>
      <c r="O3692" s="43">
        <f>IF($I3692=0,0,INDEX(DarlErsatzRate,8))</f>
      </c>
      <c r="P3692" s="43">
        <f>IF($I3692=0,0,$Q3691*INDEX(DarlErsatzZins,8))</f>
      </c>
      <c r="Q3692" s="43">
        <f>IF($I3692=0,0,$Q3691+$P3692+$O3692)</f>
      </c>
      <c r="R3692" s="43">
        <f>IF($I3692=0,0,$J3692-$M3692-$N3692)</f>
      </c>
    </row>
    <row r="3693">
      <c r="A3693"/>
      <c r="B3693">
        <v>8</v>
      </c>
      <c r="C3693" s="43">
        <f>INDEX(DarlObj,8)</f>
      </c>
      <c r="D3693">
        <v>330</v>
      </c>
      <c r="E3693" s="51">
        <f>IF(INDEX(DarlBelegt,8)=0,0,EOMONTH(INDEX(DarlAuszahlung,8),329)+1)</f>
      </c>
      <c r="F3693" s="43">
        <f>IF($E3693=0,0,YEAR($E3693))</f>
      </c>
      <c r="G3693" s="43">
        <f>IF(INDEX(DarlBindung,8)="",1,IF($E3693&lt;=INDEX(DarlBindung,8),1,0))</f>
      </c>
      <c r="H3693" s="43">
        <f>IF($G3693=1,INDEX(DarlSollzins,8),INDEX(DarlAnschluss,8))</f>
      </c>
      <c r="I3693" s="43">
        <f>IF(INDEX(DarlBelegt,8)=0,0,IF(INDEX(DarlOhneTilgung,8)=1,IF(INDEX(DarlBindung,8)="",1,$G3693),IF($J3693&gt;0.005,1,0)))</f>
      </c>
      <c r="J3693" s="43">
        <f>IF($I3692=0,0,$R3692)</f>
      </c>
      <c r="K3693" s="43">
        <f>IF($I3693=0,0,IF(INDEX(DarlOhneTilgung,8)=1,0,IF(AND(INDEX(DarlTilgStart,8)&gt;0,$E3693=INDEX(DarlTilgStart,8)),$J3693*($H3693+INDEX(DarlTilgung,8))/100/12,IF(AND($G3693=0,$G3692=1),MAX($K3692,$J3693*($H3693+1)/100/12),$K3692))))</f>
      </c>
      <c r="L3693" s="43">
        <f>IF($I3693=0,0,$J3693*$H3693/100/12)</f>
      </c>
      <c r="M3693" s="43">
        <f>IF($I3693=0,0,IF(OR(INDEX(DarlOhneTilgung,8)=1,AND(INDEX(DarlTilgStart,8)&gt;0,$E3693&lt;INDEX(DarlTilgStart,8))),0,MIN(MAX(0,$K3693-$L3693),$J3693)))</f>
      </c>
      <c r="N3693" s="43">
        <f>IF($I3693=0,0,MIN(SUMIFS(SondBetrag,SondDarl,8,SondDatum,"&gt;="&amp;$E3693,SondDatum,"&lt;="&amp;EOMONTH($E3693,0)),$J3693-$M3693))</f>
      </c>
      <c r="O3693" s="43">
        <f>IF($I3693=0,0,INDEX(DarlErsatzRate,8))</f>
      </c>
      <c r="P3693" s="43">
        <f>IF($I3693=0,0,$Q3692*INDEX(DarlErsatzZins,8))</f>
      </c>
      <c r="Q3693" s="43">
        <f>IF($I3693=0,0,$Q3692+$P3693+$O3693)</f>
      </c>
      <c r="R3693" s="43">
        <f>IF($I3693=0,0,$J3693-$M3693-$N3693)</f>
      </c>
    </row>
    <row r="3694">
      <c r="A3694"/>
      <c r="B3694">
        <v>8</v>
      </c>
      <c r="C3694" s="43">
        <f>INDEX(DarlObj,8)</f>
      </c>
      <c r="D3694">
        <v>331</v>
      </c>
      <c r="E3694" s="51">
        <f>IF(INDEX(DarlBelegt,8)=0,0,EOMONTH(INDEX(DarlAuszahlung,8),330)+1)</f>
      </c>
      <c r="F3694" s="43">
        <f>IF($E3694=0,0,YEAR($E3694))</f>
      </c>
      <c r="G3694" s="43">
        <f>IF(INDEX(DarlBindung,8)="",1,IF($E3694&lt;=INDEX(DarlBindung,8),1,0))</f>
      </c>
      <c r="H3694" s="43">
        <f>IF($G3694=1,INDEX(DarlSollzins,8),INDEX(DarlAnschluss,8))</f>
      </c>
      <c r="I3694" s="43">
        <f>IF(INDEX(DarlBelegt,8)=0,0,IF(INDEX(DarlOhneTilgung,8)=1,IF(INDEX(DarlBindung,8)="",1,$G3694),IF($J3694&gt;0.005,1,0)))</f>
      </c>
      <c r="J3694" s="43">
        <f>IF($I3693=0,0,$R3693)</f>
      </c>
      <c r="K3694" s="43">
        <f>IF($I3694=0,0,IF(INDEX(DarlOhneTilgung,8)=1,0,IF(AND(INDEX(DarlTilgStart,8)&gt;0,$E3694=INDEX(DarlTilgStart,8)),$J3694*($H3694+INDEX(DarlTilgung,8))/100/12,IF(AND($G3694=0,$G3693=1),MAX($K3693,$J3694*($H3694+1)/100/12),$K3693))))</f>
      </c>
      <c r="L3694" s="43">
        <f>IF($I3694=0,0,$J3694*$H3694/100/12)</f>
      </c>
      <c r="M3694" s="43">
        <f>IF($I3694=0,0,IF(OR(INDEX(DarlOhneTilgung,8)=1,AND(INDEX(DarlTilgStart,8)&gt;0,$E3694&lt;INDEX(DarlTilgStart,8))),0,MIN(MAX(0,$K3694-$L3694),$J3694)))</f>
      </c>
      <c r="N3694" s="43">
        <f>IF($I3694=0,0,MIN(SUMIFS(SondBetrag,SondDarl,8,SondDatum,"&gt;="&amp;$E3694,SondDatum,"&lt;="&amp;EOMONTH($E3694,0)),$J3694-$M3694))</f>
      </c>
      <c r="O3694" s="43">
        <f>IF($I3694=0,0,INDEX(DarlErsatzRate,8))</f>
      </c>
      <c r="P3694" s="43">
        <f>IF($I3694=0,0,$Q3693*INDEX(DarlErsatzZins,8))</f>
      </c>
      <c r="Q3694" s="43">
        <f>IF($I3694=0,0,$Q3693+$P3694+$O3694)</f>
      </c>
      <c r="R3694" s="43">
        <f>IF($I3694=0,0,$J3694-$M3694-$N3694)</f>
      </c>
    </row>
    <row r="3695">
      <c r="A3695"/>
      <c r="B3695">
        <v>8</v>
      </c>
      <c r="C3695" s="43">
        <f>INDEX(DarlObj,8)</f>
      </c>
      <c r="D3695">
        <v>332</v>
      </c>
      <c r="E3695" s="51">
        <f>IF(INDEX(DarlBelegt,8)=0,0,EOMONTH(INDEX(DarlAuszahlung,8),331)+1)</f>
      </c>
      <c r="F3695" s="43">
        <f>IF($E3695=0,0,YEAR($E3695))</f>
      </c>
      <c r="G3695" s="43">
        <f>IF(INDEX(DarlBindung,8)="",1,IF($E3695&lt;=INDEX(DarlBindung,8),1,0))</f>
      </c>
      <c r="H3695" s="43">
        <f>IF($G3695=1,INDEX(DarlSollzins,8),INDEX(DarlAnschluss,8))</f>
      </c>
      <c r="I3695" s="43">
        <f>IF(INDEX(DarlBelegt,8)=0,0,IF(INDEX(DarlOhneTilgung,8)=1,IF(INDEX(DarlBindung,8)="",1,$G3695),IF($J3695&gt;0.005,1,0)))</f>
      </c>
      <c r="J3695" s="43">
        <f>IF($I3694=0,0,$R3694)</f>
      </c>
      <c r="K3695" s="43">
        <f>IF($I3695=0,0,IF(INDEX(DarlOhneTilgung,8)=1,0,IF(AND(INDEX(DarlTilgStart,8)&gt;0,$E3695=INDEX(DarlTilgStart,8)),$J3695*($H3695+INDEX(DarlTilgung,8))/100/12,IF(AND($G3695=0,$G3694=1),MAX($K3694,$J3695*($H3695+1)/100/12),$K3694))))</f>
      </c>
      <c r="L3695" s="43">
        <f>IF($I3695=0,0,$J3695*$H3695/100/12)</f>
      </c>
      <c r="M3695" s="43">
        <f>IF($I3695=0,0,IF(OR(INDEX(DarlOhneTilgung,8)=1,AND(INDEX(DarlTilgStart,8)&gt;0,$E3695&lt;INDEX(DarlTilgStart,8))),0,MIN(MAX(0,$K3695-$L3695),$J3695)))</f>
      </c>
      <c r="N3695" s="43">
        <f>IF($I3695=0,0,MIN(SUMIFS(SondBetrag,SondDarl,8,SondDatum,"&gt;="&amp;$E3695,SondDatum,"&lt;="&amp;EOMONTH($E3695,0)),$J3695-$M3695))</f>
      </c>
      <c r="O3695" s="43">
        <f>IF($I3695=0,0,INDEX(DarlErsatzRate,8))</f>
      </c>
      <c r="P3695" s="43">
        <f>IF($I3695=0,0,$Q3694*INDEX(DarlErsatzZins,8))</f>
      </c>
      <c r="Q3695" s="43">
        <f>IF($I3695=0,0,$Q3694+$P3695+$O3695)</f>
      </c>
      <c r="R3695" s="43">
        <f>IF($I3695=0,0,$J3695-$M3695-$N3695)</f>
      </c>
    </row>
    <row r="3696">
      <c r="A3696"/>
      <c r="B3696">
        <v>8</v>
      </c>
      <c r="C3696" s="43">
        <f>INDEX(DarlObj,8)</f>
      </c>
      <c r="D3696">
        <v>333</v>
      </c>
      <c r="E3696" s="51">
        <f>IF(INDEX(DarlBelegt,8)=0,0,EOMONTH(INDEX(DarlAuszahlung,8),332)+1)</f>
      </c>
      <c r="F3696" s="43">
        <f>IF($E3696=0,0,YEAR($E3696))</f>
      </c>
      <c r="G3696" s="43">
        <f>IF(INDEX(DarlBindung,8)="",1,IF($E3696&lt;=INDEX(DarlBindung,8),1,0))</f>
      </c>
      <c r="H3696" s="43">
        <f>IF($G3696=1,INDEX(DarlSollzins,8),INDEX(DarlAnschluss,8))</f>
      </c>
      <c r="I3696" s="43">
        <f>IF(INDEX(DarlBelegt,8)=0,0,IF(INDEX(DarlOhneTilgung,8)=1,IF(INDEX(DarlBindung,8)="",1,$G3696),IF($J3696&gt;0.005,1,0)))</f>
      </c>
      <c r="J3696" s="43">
        <f>IF($I3695=0,0,$R3695)</f>
      </c>
      <c r="K3696" s="43">
        <f>IF($I3696=0,0,IF(INDEX(DarlOhneTilgung,8)=1,0,IF(AND(INDEX(DarlTilgStart,8)&gt;0,$E3696=INDEX(DarlTilgStart,8)),$J3696*($H3696+INDEX(DarlTilgung,8))/100/12,IF(AND($G3696=0,$G3695=1),MAX($K3695,$J3696*($H3696+1)/100/12),$K3695))))</f>
      </c>
      <c r="L3696" s="43">
        <f>IF($I3696=0,0,$J3696*$H3696/100/12)</f>
      </c>
      <c r="M3696" s="43">
        <f>IF($I3696=0,0,IF(OR(INDEX(DarlOhneTilgung,8)=1,AND(INDEX(DarlTilgStart,8)&gt;0,$E3696&lt;INDEX(DarlTilgStart,8))),0,MIN(MAX(0,$K3696-$L3696),$J3696)))</f>
      </c>
      <c r="N3696" s="43">
        <f>IF($I3696=0,0,MIN(SUMIFS(SondBetrag,SondDarl,8,SondDatum,"&gt;="&amp;$E3696,SondDatum,"&lt;="&amp;EOMONTH($E3696,0)),$J3696-$M3696))</f>
      </c>
      <c r="O3696" s="43">
        <f>IF($I3696=0,0,INDEX(DarlErsatzRate,8))</f>
      </c>
      <c r="P3696" s="43">
        <f>IF($I3696=0,0,$Q3695*INDEX(DarlErsatzZins,8))</f>
      </c>
      <c r="Q3696" s="43">
        <f>IF($I3696=0,0,$Q3695+$P3696+$O3696)</f>
      </c>
      <c r="R3696" s="43">
        <f>IF($I3696=0,0,$J3696-$M3696-$N3696)</f>
      </c>
    </row>
    <row r="3697">
      <c r="A3697"/>
      <c r="B3697">
        <v>8</v>
      </c>
      <c r="C3697" s="43">
        <f>INDEX(DarlObj,8)</f>
      </c>
      <c r="D3697">
        <v>334</v>
      </c>
      <c r="E3697" s="51">
        <f>IF(INDEX(DarlBelegt,8)=0,0,EOMONTH(INDEX(DarlAuszahlung,8),333)+1)</f>
      </c>
      <c r="F3697" s="43">
        <f>IF($E3697=0,0,YEAR($E3697))</f>
      </c>
      <c r="G3697" s="43">
        <f>IF(INDEX(DarlBindung,8)="",1,IF($E3697&lt;=INDEX(DarlBindung,8),1,0))</f>
      </c>
      <c r="H3697" s="43">
        <f>IF($G3697=1,INDEX(DarlSollzins,8),INDEX(DarlAnschluss,8))</f>
      </c>
      <c r="I3697" s="43">
        <f>IF(INDEX(DarlBelegt,8)=0,0,IF(INDEX(DarlOhneTilgung,8)=1,IF(INDEX(DarlBindung,8)="",1,$G3697),IF($J3697&gt;0.005,1,0)))</f>
      </c>
      <c r="J3697" s="43">
        <f>IF($I3696=0,0,$R3696)</f>
      </c>
      <c r="K3697" s="43">
        <f>IF($I3697=0,0,IF(INDEX(DarlOhneTilgung,8)=1,0,IF(AND(INDEX(DarlTilgStart,8)&gt;0,$E3697=INDEX(DarlTilgStart,8)),$J3697*($H3697+INDEX(DarlTilgung,8))/100/12,IF(AND($G3697=0,$G3696=1),MAX($K3696,$J3697*($H3697+1)/100/12),$K3696))))</f>
      </c>
      <c r="L3697" s="43">
        <f>IF($I3697=0,0,$J3697*$H3697/100/12)</f>
      </c>
      <c r="M3697" s="43">
        <f>IF($I3697=0,0,IF(OR(INDEX(DarlOhneTilgung,8)=1,AND(INDEX(DarlTilgStart,8)&gt;0,$E3697&lt;INDEX(DarlTilgStart,8))),0,MIN(MAX(0,$K3697-$L3697),$J3697)))</f>
      </c>
      <c r="N3697" s="43">
        <f>IF($I3697=0,0,MIN(SUMIFS(SondBetrag,SondDarl,8,SondDatum,"&gt;="&amp;$E3697,SondDatum,"&lt;="&amp;EOMONTH($E3697,0)),$J3697-$M3697))</f>
      </c>
      <c r="O3697" s="43">
        <f>IF($I3697=0,0,INDEX(DarlErsatzRate,8))</f>
      </c>
      <c r="P3697" s="43">
        <f>IF($I3697=0,0,$Q3696*INDEX(DarlErsatzZins,8))</f>
      </c>
      <c r="Q3697" s="43">
        <f>IF($I3697=0,0,$Q3696+$P3697+$O3697)</f>
      </c>
      <c r="R3697" s="43">
        <f>IF($I3697=0,0,$J3697-$M3697-$N3697)</f>
      </c>
    </row>
    <row r="3698">
      <c r="A3698"/>
      <c r="B3698">
        <v>8</v>
      </c>
      <c r="C3698" s="43">
        <f>INDEX(DarlObj,8)</f>
      </c>
      <c r="D3698">
        <v>335</v>
      </c>
      <c r="E3698" s="51">
        <f>IF(INDEX(DarlBelegt,8)=0,0,EOMONTH(INDEX(DarlAuszahlung,8),334)+1)</f>
      </c>
      <c r="F3698" s="43">
        <f>IF($E3698=0,0,YEAR($E3698))</f>
      </c>
      <c r="G3698" s="43">
        <f>IF(INDEX(DarlBindung,8)="",1,IF($E3698&lt;=INDEX(DarlBindung,8),1,0))</f>
      </c>
      <c r="H3698" s="43">
        <f>IF($G3698=1,INDEX(DarlSollzins,8),INDEX(DarlAnschluss,8))</f>
      </c>
      <c r="I3698" s="43">
        <f>IF(INDEX(DarlBelegt,8)=0,0,IF(INDEX(DarlOhneTilgung,8)=1,IF(INDEX(DarlBindung,8)="",1,$G3698),IF($J3698&gt;0.005,1,0)))</f>
      </c>
      <c r="J3698" s="43">
        <f>IF($I3697=0,0,$R3697)</f>
      </c>
      <c r="K3698" s="43">
        <f>IF($I3698=0,0,IF(INDEX(DarlOhneTilgung,8)=1,0,IF(AND(INDEX(DarlTilgStart,8)&gt;0,$E3698=INDEX(DarlTilgStart,8)),$J3698*($H3698+INDEX(DarlTilgung,8))/100/12,IF(AND($G3698=0,$G3697=1),MAX($K3697,$J3698*($H3698+1)/100/12),$K3697))))</f>
      </c>
      <c r="L3698" s="43">
        <f>IF($I3698=0,0,$J3698*$H3698/100/12)</f>
      </c>
      <c r="M3698" s="43">
        <f>IF($I3698=0,0,IF(OR(INDEX(DarlOhneTilgung,8)=1,AND(INDEX(DarlTilgStart,8)&gt;0,$E3698&lt;INDEX(DarlTilgStart,8))),0,MIN(MAX(0,$K3698-$L3698),$J3698)))</f>
      </c>
      <c r="N3698" s="43">
        <f>IF($I3698=0,0,MIN(SUMIFS(SondBetrag,SondDarl,8,SondDatum,"&gt;="&amp;$E3698,SondDatum,"&lt;="&amp;EOMONTH($E3698,0)),$J3698-$M3698))</f>
      </c>
      <c r="O3698" s="43">
        <f>IF($I3698=0,0,INDEX(DarlErsatzRate,8))</f>
      </c>
      <c r="P3698" s="43">
        <f>IF($I3698=0,0,$Q3697*INDEX(DarlErsatzZins,8))</f>
      </c>
      <c r="Q3698" s="43">
        <f>IF($I3698=0,0,$Q3697+$P3698+$O3698)</f>
      </c>
      <c r="R3698" s="43">
        <f>IF($I3698=0,0,$J3698-$M3698-$N3698)</f>
      </c>
    </row>
    <row r="3699">
      <c r="A3699"/>
      <c r="B3699">
        <v>8</v>
      </c>
      <c r="C3699" s="43">
        <f>INDEX(DarlObj,8)</f>
      </c>
      <c r="D3699">
        <v>336</v>
      </c>
      <c r="E3699" s="51">
        <f>IF(INDEX(DarlBelegt,8)=0,0,EOMONTH(INDEX(DarlAuszahlung,8),335)+1)</f>
      </c>
      <c r="F3699" s="43">
        <f>IF($E3699=0,0,YEAR($E3699))</f>
      </c>
      <c r="G3699" s="43">
        <f>IF(INDEX(DarlBindung,8)="",1,IF($E3699&lt;=INDEX(DarlBindung,8),1,0))</f>
      </c>
      <c r="H3699" s="43">
        <f>IF($G3699=1,INDEX(DarlSollzins,8),INDEX(DarlAnschluss,8))</f>
      </c>
      <c r="I3699" s="43">
        <f>IF(INDEX(DarlBelegt,8)=0,0,IF(INDEX(DarlOhneTilgung,8)=1,IF(INDEX(DarlBindung,8)="",1,$G3699),IF($J3699&gt;0.005,1,0)))</f>
      </c>
      <c r="J3699" s="43">
        <f>IF($I3698=0,0,$R3698)</f>
      </c>
      <c r="K3699" s="43">
        <f>IF($I3699=0,0,IF(INDEX(DarlOhneTilgung,8)=1,0,IF(AND(INDEX(DarlTilgStart,8)&gt;0,$E3699=INDEX(DarlTilgStart,8)),$J3699*($H3699+INDEX(DarlTilgung,8))/100/12,IF(AND($G3699=0,$G3698=1),MAX($K3698,$J3699*($H3699+1)/100/12),$K3698))))</f>
      </c>
      <c r="L3699" s="43">
        <f>IF($I3699=0,0,$J3699*$H3699/100/12)</f>
      </c>
      <c r="M3699" s="43">
        <f>IF($I3699=0,0,IF(OR(INDEX(DarlOhneTilgung,8)=1,AND(INDEX(DarlTilgStart,8)&gt;0,$E3699&lt;INDEX(DarlTilgStart,8))),0,MIN(MAX(0,$K3699-$L3699),$J3699)))</f>
      </c>
      <c r="N3699" s="43">
        <f>IF($I3699=0,0,MIN(SUMIFS(SondBetrag,SondDarl,8,SondDatum,"&gt;="&amp;$E3699,SondDatum,"&lt;="&amp;EOMONTH($E3699,0)),$J3699-$M3699))</f>
      </c>
      <c r="O3699" s="43">
        <f>IF($I3699=0,0,INDEX(DarlErsatzRate,8))</f>
      </c>
      <c r="P3699" s="43">
        <f>IF($I3699=0,0,$Q3698*INDEX(DarlErsatzZins,8))</f>
      </c>
      <c r="Q3699" s="43">
        <f>IF($I3699=0,0,$Q3698+$P3699+$O3699)</f>
      </c>
      <c r="R3699" s="43">
        <f>IF($I3699=0,0,$J3699-$M3699-$N3699)</f>
      </c>
    </row>
    <row r="3700">
      <c r="A3700"/>
      <c r="B3700">
        <v>8</v>
      </c>
      <c r="C3700" s="43">
        <f>INDEX(DarlObj,8)</f>
      </c>
      <c r="D3700">
        <v>337</v>
      </c>
      <c r="E3700" s="51">
        <f>IF(INDEX(DarlBelegt,8)=0,0,EOMONTH(INDEX(DarlAuszahlung,8),336)+1)</f>
      </c>
      <c r="F3700" s="43">
        <f>IF($E3700=0,0,YEAR($E3700))</f>
      </c>
      <c r="G3700" s="43">
        <f>IF(INDEX(DarlBindung,8)="",1,IF($E3700&lt;=INDEX(DarlBindung,8),1,0))</f>
      </c>
      <c r="H3700" s="43">
        <f>IF($G3700=1,INDEX(DarlSollzins,8),INDEX(DarlAnschluss,8))</f>
      </c>
      <c r="I3700" s="43">
        <f>IF(INDEX(DarlBelegt,8)=0,0,IF(INDEX(DarlOhneTilgung,8)=1,IF(INDEX(DarlBindung,8)="",1,$G3700),IF($J3700&gt;0.005,1,0)))</f>
      </c>
      <c r="J3700" s="43">
        <f>IF($I3699=0,0,$R3699)</f>
      </c>
      <c r="K3700" s="43">
        <f>IF($I3700=0,0,IF(INDEX(DarlOhneTilgung,8)=1,0,IF(AND(INDEX(DarlTilgStart,8)&gt;0,$E3700=INDEX(DarlTilgStart,8)),$J3700*($H3700+INDEX(DarlTilgung,8))/100/12,IF(AND($G3700=0,$G3699=1),MAX($K3699,$J3700*($H3700+1)/100/12),$K3699))))</f>
      </c>
      <c r="L3700" s="43">
        <f>IF($I3700=0,0,$J3700*$H3700/100/12)</f>
      </c>
      <c r="M3700" s="43">
        <f>IF($I3700=0,0,IF(OR(INDEX(DarlOhneTilgung,8)=1,AND(INDEX(DarlTilgStart,8)&gt;0,$E3700&lt;INDEX(DarlTilgStart,8))),0,MIN(MAX(0,$K3700-$L3700),$J3700)))</f>
      </c>
      <c r="N3700" s="43">
        <f>IF($I3700=0,0,MIN(SUMIFS(SondBetrag,SondDarl,8,SondDatum,"&gt;="&amp;$E3700,SondDatum,"&lt;="&amp;EOMONTH($E3700,0)),$J3700-$M3700))</f>
      </c>
      <c r="O3700" s="43">
        <f>IF($I3700=0,0,INDEX(DarlErsatzRate,8))</f>
      </c>
      <c r="P3700" s="43">
        <f>IF($I3700=0,0,$Q3699*INDEX(DarlErsatzZins,8))</f>
      </c>
      <c r="Q3700" s="43">
        <f>IF($I3700=0,0,$Q3699+$P3700+$O3700)</f>
      </c>
      <c r="R3700" s="43">
        <f>IF($I3700=0,0,$J3700-$M3700-$N3700)</f>
      </c>
    </row>
    <row r="3701">
      <c r="A3701"/>
      <c r="B3701">
        <v>8</v>
      </c>
      <c r="C3701" s="43">
        <f>INDEX(DarlObj,8)</f>
      </c>
      <c r="D3701">
        <v>338</v>
      </c>
      <c r="E3701" s="51">
        <f>IF(INDEX(DarlBelegt,8)=0,0,EOMONTH(INDEX(DarlAuszahlung,8),337)+1)</f>
      </c>
      <c r="F3701" s="43">
        <f>IF($E3701=0,0,YEAR($E3701))</f>
      </c>
      <c r="G3701" s="43">
        <f>IF(INDEX(DarlBindung,8)="",1,IF($E3701&lt;=INDEX(DarlBindung,8),1,0))</f>
      </c>
      <c r="H3701" s="43">
        <f>IF($G3701=1,INDEX(DarlSollzins,8),INDEX(DarlAnschluss,8))</f>
      </c>
      <c r="I3701" s="43">
        <f>IF(INDEX(DarlBelegt,8)=0,0,IF(INDEX(DarlOhneTilgung,8)=1,IF(INDEX(DarlBindung,8)="",1,$G3701),IF($J3701&gt;0.005,1,0)))</f>
      </c>
      <c r="J3701" s="43">
        <f>IF($I3700=0,0,$R3700)</f>
      </c>
      <c r="K3701" s="43">
        <f>IF($I3701=0,0,IF(INDEX(DarlOhneTilgung,8)=1,0,IF(AND(INDEX(DarlTilgStart,8)&gt;0,$E3701=INDEX(DarlTilgStart,8)),$J3701*($H3701+INDEX(DarlTilgung,8))/100/12,IF(AND($G3701=0,$G3700=1),MAX($K3700,$J3701*($H3701+1)/100/12),$K3700))))</f>
      </c>
      <c r="L3701" s="43">
        <f>IF($I3701=0,0,$J3701*$H3701/100/12)</f>
      </c>
      <c r="M3701" s="43">
        <f>IF($I3701=0,0,IF(OR(INDEX(DarlOhneTilgung,8)=1,AND(INDEX(DarlTilgStart,8)&gt;0,$E3701&lt;INDEX(DarlTilgStart,8))),0,MIN(MAX(0,$K3701-$L3701),$J3701)))</f>
      </c>
      <c r="N3701" s="43">
        <f>IF($I3701=0,0,MIN(SUMIFS(SondBetrag,SondDarl,8,SondDatum,"&gt;="&amp;$E3701,SondDatum,"&lt;="&amp;EOMONTH($E3701,0)),$J3701-$M3701))</f>
      </c>
      <c r="O3701" s="43">
        <f>IF($I3701=0,0,INDEX(DarlErsatzRate,8))</f>
      </c>
      <c r="P3701" s="43">
        <f>IF($I3701=0,0,$Q3700*INDEX(DarlErsatzZins,8))</f>
      </c>
      <c r="Q3701" s="43">
        <f>IF($I3701=0,0,$Q3700+$P3701+$O3701)</f>
      </c>
      <c r="R3701" s="43">
        <f>IF($I3701=0,0,$J3701-$M3701-$N3701)</f>
      </c>
    </row>
    <row r="3702">
      <c r="A3702"/>
      <c r="B3702">
        <v>8</v>
      </c>
      <c r="C3702" s="43">
        <f>INDEX(DarlObj,8)</f>
      </c>
      <c r="D3702">
        <v>339</v>
      </c>
      <c r="E3702" s="51">
        <f>IF(INDEX(DarlBelegt,8)=0,0,EOMONTH(INDEX(DarlAuszahlung,8),338)+1)</f>
      </c>
      <c r="F3702" s="43">
        <f>IF($E3702=0,0,YEAR($E3702))</f>
      </c>
      <c r="G3702" s="43">
        <f>IF(INDEX(DarlBindung,8)="",1,IF($E3702&lt;=INDEX(DarlBindung,8),1,0))</f>
      </c>
      <c r="H3702" s="43">
        <f>IF($G3702=1,INDEX(DarlSollzins,8),INDEX(DarlAnschluss,8))</f>
      </c>
      <c r="I3702" s="43">
        <f>IF(INDEX(DarlBelegt,8)=0,0,IF(INDEX(DarlOhneTilgung,8)=1,IF(INDEX(DarlBindung,8)="",1,$G3702),IF($J3702&gt;0.005,1,0)))</f>
      </c>
      <c r="J3702" s="43">
        <f>IF($I3701=0,0,$R3701)</f>
      </c>
      <c r="K3702" s="43">
        <f>IF($I3702=0,0,IF(INDEX(DarlOhneTilgung,8)=1,0,IF(AND(INDEX(DarlTilgStart,8)&gt;0,$E3702=INDEX(DarlTilgStart,8)),$J3702*($H3702+INDEX(DarlTilgung,8))/100/12,IF(AND($G3702=0,$G3701=1),MAX($K3701,$J3702*($H3702+1)/100/12),$K3701))))</f>
      </c>
      <c r="L3702" s="43">
        <f>IF($I3702=0,0,$J3702*$H3702/100/12)</f>
      </c>
      <c r="M3702" s="43">
        <f>IF($I3702=0,0,IF(OR(INDEX(DarlOhneTilgung,8)=1,AND(INDEX(DarlTilgStart,8)&gt;0,$E3702&lt;INDEX(DarlTilgStart,8))),0,MIN(MAX(0,$K3702-$L3702),$J3702)))</f>
      </c>
      <c r="N3702" s="43">
        <f>IF($I3702=0,0,MIN(SUMIFS(SondBetrag,SondDarl,8,SondDatum,"&gt;="&amp;$E3702,SondDatum,"&lt;="&amp;EOMONTH($E3702,0)),$J3702-$M3702))</f>
      </c>
      <c r="O3702" s="43">
        <f>IF($I3702=0,0,INDEX(DarlErsatzRate,8))</f>
      </c>
      <c r="P3702" s="43">
        <f>IF($I3702=0,0,$Q3701*INDEX(DarlErsatzZins,8))</f>
      </c>
      <c r="Q3702" s="43">
        <f>IF($I3702=0,0,$Q3701+$P3702+$O3702)</f>
      </c>
      <c r="R3702" s="43">
        <f>IF($I3702=0,0,$J3702-$M3702-$N3702)</f>
      </c>
    </row>
    <row r="3703">
      <c r="A3703"/>
      <c r="B3703">
        <v>8</v>
      </c>
      <c r="C3703" s="43">
        <f>INDEX(DarlObj,8)</f>
      </c>
      <c r="D3703">
        <v>340</v>
      </c>
      <c r="E3703" s="51">
        <f>IF(INDEX(DarlBelegt,8)=0,0,EOMONTH(INDEX(DarlAuszahlung,8),339)+1)</f>
      </c>
      <c r="F3703" s="43">
        <f>IF($E3703=0,0,YEAR($E3703))</f>
      </c>
      <c r="G3703" s="43">
        <f>IF(INDEX(DarlBindung,8)="",1,IF($E3703&lt;=INDEX(DarlBindung,8),1,0))</f>
      </c>
      <c r="H3703" s="43">
        <f>IF($G3703=1,INDEX(DarlSollzins,8),INDEX(DarlAnschluss,8))</f>
      </c>
      <c r="I3703" s="43">
        <f>IF(INDEX(DarlBelegt,8)=0,0,IF(INDEX(DarlOhneTilgung,8)=1,IF(INDEX(DarlBindung,8)="",1,$G3703),IF($J3703&gt;0.005,1,0)))</f>
      </c>
      <c r="J3703" s="43">
        <f>IF($I3702=0,0,$R3702)</f>
      </c>
      <c r="K3703" s="43">
        <f>IF($I3703=0,0,IF(INDEX(DarlOhneTilgung,8)=1,0,IF(AND(INDEX(DarlTilgStart,8)&gt;0,$E3703=INDEX(DarlTilgStart,8)),$J3703*($H3703+INDEX(DarlTilgung,8))/100/12,IF(AND($G3703=0,$G3702=1),MAX($K3702,$J3703*($H3703+1)/100/12),$K3702))))</f>
      </c>
      <c r="L3703" s="43">
        <f>IF($I3703=0,0,$J3703*$H3703/100/12)</f>
      </c>
      <c r="M3703" s="43">
        <f>IF($I3703=0,0,IF(OR(INDEX(DarlOhneTilgung,8)=1,AND(INDEX(DarlTilgStart,8)&gt;0,$E3703&lt;INDEX(DarlTilgStart,8))),0,MIN(MAX(0,$K3703-$L3703),$J3703)))</f>
      </c>
      <c r="N3703" s="43">
        <f>IF($I3703=0,0,MIN(SUMIFS(SondBetrag,SondDarl,8,SondDatum,"&gt;="&amp;$E3703,SondDatum,"&lt;="&amp;EOMONTH($E3703,0)),$J3703-$M3703))</f>
      </c>
      <c r="O3703" s="43">
        <f>IF($I3703=0,0,INDEX(DarlErsatzRate,8))</f>
      </c>
      <c r="P3703" s="43">
        <f>IF($I3703=0,0,$Q3702*INDEX(DarlErsatzZins,8))</f>
      </c>
      <c r="Q3703" s="43">
        <f>IF($I3703=0,0,$Q3702+$P3703+$O3703)</f>
      </c>
      <c r="R3703" s="43">
        <f>IF($I3703=0,0,$J3703-$M3703-$N3703)</f>
      </c>
    </row>
    <row r="3704">
      <c r="A3704"/>
      <c r="B3704">
        <v>8</v>
      </c>
      <c r="C3704" s="43">
        <f>INDEX(DarlObj,8)</f>
      </c>
      <c r="D3704">
        <v>341</v>
      </c>
      <c r="E3704" s="51">
        <f>IF(INDEX(DarlBelegt,8)=0,0,EOMONTH(INDEX(DarlAuszahlung,8),340)+1)</f>
      </c>
      <c r="F3704" s="43">
        <f>IF($E3704=0,0,YEAR($E3704))</f>
      </c>
      <c r="G3704" s="43">
        <f>IF(INDEX(DarlBindung,8)="",1,IF($E3704&lt;=INDEX(DarlBindung,8),1,0))</f>
      </c>
      <c r="H3704" s="43">
        <f>IF($G3704=1,INDEX(DarlSollzins,8),INDEX(DarlAnschluss,8))</f>
      </c>
      <c r="I3704" s="43">
        <f>IF(INDEX(DarlBelegt,8)=0,0,IF(INDEX(DarlOhneTilgung,8)=1,IF(INDEX(DarlBindung,8)="",1,$G3704),IF($J3704&gt;0.005,1,0)))</f>
      </c>
      <c r="J3704" s="43">
        <f>IF($I3703=0,0,$R3703)</f>
      </c>
      <c r="K3704" s="43">
        <f>IF($I3704=0,0,IF(INDEX(DarlOhneTilgung,8)=1,0,IF(AND(INDEX(DarlTilgStart,8)&gt;0,$E3704=INDEX(DarlTilgStart,8)),$J3704*($H3704+INDEX(DarlTilgung,8))/100/12,IF(AND($G3704=0,$G3703=1),MAX($K3703,$J3704*($H3704+1)/100/12),$K3703))))</f>
      </c>
      <c r="L3704" s="43">
        <f>IF($I3704=0,0,$J3704*$H3704/100/12)</f>
      </c>
      <c r="M3704" s="43">
        <f>IF($I3704=0,0,IF(OR(INDEX(DarlOhneTilgung,8)=1,AND(INDEX(DarlTilgStart,8)&gt;0,$E3704&lt;INDEX(DarlTilgStart,8))),0,MIN(MAX(0,$K3704-$L3704),$J3704)))</f>
      </c>
      <c r="N3704" s="43">
        <f>IF($I3704=0,0,MIN(SUMIFS(SondBetrag,SondDarl,8,SondDatum,"&gt;="&amp;$E3704,SondDatum,"&lt;="&amp;EOMONTH($E3704,0)),$J3704-$M3704))</f>
      </c>
      <c r="O3704" s="43">
        <f>IF($I3704=0,0,INDEX(DarlErsatzRate,8))</f>
      </c>
      <c r="P3704" s="43">
        <f>IF($I3704=0,0,$Q3703*INDEX(DarlErsatzZins,8))</f>
      </c>
      <c r="Q3704" s="43">
        <f>IF($I3704=0,0,$Q3703+$P3704+$O3704)</f>
      </c>
      <c r="R3704" s="43">
        <f>IF($I3704=0,0,$J3704-$M3704-$N3704)</f>
      </c>
    </row>
    <row r="3705">
      <c r="A3705"/>
      <c r="B3705">
        <v>8</v>
      </c>
      <c r="C3705" s="43">
        <f>INDEX(DarlObj,8)</f>
      </c>
      <c r="D3705">
        <v>342</v>
      </c>
      <c r="E3705" s="51">
        <f>IF(INDEX(DarlBelegt,8)=0,0,EOMONTH(INDEX(DarlAuszahlung,8),341)+1)</f>
      </c>
      <c r="F3705" s="43">
        <f>IF($E3705=0,0,YEAR($E3705))</f>
      </c>
      <c r="G3705" s="43">
        <f>IF(INDEX(DarlBindung,8)="",1,IF($E3705&lt;=INDEX(DarlBindung,8),1,0))</f>
      </c>
      <c r="H3705" s="43">
        <f>IF($G3705=1,INDEX(DarlSollzins,8),INDEX(DarlAnschluss,8))</f>
      </c>
      <c r="I3705" s="43">
        <f>IF(INDEX(DarlBelegt,8)=0,0,IF(INDEX(DarlOhneTilgung,8)=1,IF(INDEX(DarlBindung,8)="",1,$G3705),IF($J3705&gt;0.005,1,0)))</f>
      </c>
      <c r="J3705" s="43">
        <f>IF($I3704=0,0,$R3704)</f>
      </c>
      <c r="K3705" s="43">
        <f>IF($I3705=0,0,IF(INDEX(DarlOhneTilgung,8)=1,0,IF(AND(INDEX(DarlTilgStart,8)&gt;0,$E3705=INDEX(DarlTilgStart,8)),$J3705*($H3705+INDEX(DarlTilgung,8))/100/12,IF(AND($G3705=0,$G3704=1),MAX($K3704,$J3705*($H3705+1)/100/12),$K3704))))</f>
      </c>
      <c r="L3705" s="43">
        <f>IF($I3705=0,0,$J3705*$H3705/100/12)</f>
      </c>
      <c r="M3705" s="43">
        <f>IF($I3705=0,0,IF(OR(INDEX(DarlOhneTilgung,8)=1,AND(INDEX(DarlTilgStart,8)&gt;0,$E3705&lt;INDEX(DarlTilgStart,8))),0,MIN(MAX(0,$K3705-$L3705),$J3705)))</f>
      </c>
      <c r="N3705" s="43">
        <f>IF($I3705=0,0,MIN(SUMIFS(SondBetrag,SondDarl,8,SondDatum,"&gt;="&amp;$E3705,SondDatum,"&lt;="&amp;EOMONTH($E3705,0)),$J3705-$M3705))</f>
      </c>
      <c r="O3705" s="43">
        <f>IF($I3705=0,0,INDEX(DarlErsatzRate,8))</f>
      </c>
      <c r="P3705" s="43">
        <f>IF($I3705=0,0,$Q3704*INDEX(DarlErsatzZins,8))</f>
      </c>
      <c r="Q3705" s="43">
        <f>IF($I3705=0,0,$Q3704+$P3705+$O3705)</f>
      </c>
      <c r="R3705" s="43">
        <f>IF($I3705=0,0,$J3705-$M3705-$N3705)</f>
      </c>
    </row>
    <row r="3706">
      <c r="A3706"/>
      <c r="B3706">
        <v>8</v>
      </c>
      <c r="C3706" s="43">
        <f>INDEX(DarlObj,8)</f>
      </c>
      <c r="D3706">
        <v>343</v>
      </c>
      <c r="E3706" s="51">
        <f>IF(INDEX(DarlBelegt,8)=0,0,EOMONTH(INDEX(DarlAuszahlung,8),342)+1)</f>
      </c>
      <c r="F3706" s="43">
        <f>IF($E3706=0,0,YEAR($E3706))</f>
      </c>
      <c r="G3706" s="43">
        <f>IF(INDEX(DarlBindung,8)="",1,IF($E3706&lt;=INDEX(DarlBindung,8),1,0))</f>
      </c>
      <c r="H3706" s="43">
        <f>IF($G3706=1,INDEX(DarlSollzins,8),INDEX(DarlAnschluss,8))</f>
      </c>
      <c r="I3706" s="43">
        <f>IF(INDEX(DarlBelegt,8)=0,0,IF(INDEX(DarlOhneTilgung,8)=1,IF(INDEX(DarlBindung,8)="",1,$G3706),IF($J3706&gt;0.005,1,0)))</f>
      </c>
      <c r="J3706" s="43">
        <f>IF($I3705=0,0,$R3705)</f>
      </c>
      <c r="K3706" s="43">
        <f>IF($I3706=0,0,IF(INDEX(DarlOhneTilgung,8)=1,0,IF(AND(INDEX(DarlTilgStart,8)&gt;0,$E3706=INDEX(DarlTilgStart,8)),$J3706*($H3706+INDEX(DarlTilgung,8))/100/12,IF(AND($G3706=0,$G3705=1),MAX($K3705,$J3706*($H3706+1)/100/12),$K3705))))</f>
      </c>
      <c r="L3706" s="43">
        <f>IF($I3706=0,0,$J3706*$H3706/100/12)</f>
      </c>
      <c r="M3706" s="43">
        <f>IF($I3706=0,0,IF(OR(INDEX(DarlOhneTilgung,8)=1,AND(INDEX(DarlTilgStart,8)&gt;0,$E3706&lt;INDEX(DarlTilgStart,8))),0,MIN(MAX(0,$K3706-$L3706),$J3706)))</f>
      </c>
      <c r="N3706" s="43">
        <f>IF($I3706=0,0,MIN(SUMIFS(SondBetrag,SondDarl,8,SondDatum,"&gt;="&amp;$E3706,SondDatum,"&lt;="&amp;EOMONTH($E3706,0)),$J3706-$M3706))</f>
      </c>
      <c r="O3706" s="43">
        <f>IF($I3706=0,0,INDEX(DarlErsatzRate,8))</f>
      </c>
      <c r="P3706" s="43">
        <f>IF($I3706=0,0,$Q3705*INDEX(DarlErsatzZins,8))</f>
      </c>
      <c r="Q3706" s="43">
        <f>IF($I3706=0,0,$Q3705+$P3706+$O3706)</f>
      </c>
      <c r="R3706" s="43">
        <f>IF($I3706=0,0,$J3706-$M3706-$N3706)</f>
      </c>
    </row>
    <row r="3707">
      <c r="A3707"/>
      <c r="B3707">
        <v>8</v>
      </c>
      <c r="C3707" s="43">
        <f>INDEX(DarlObj,8)</f>
      </c>
      <c r="D3707">
        <v>344</v>
      </c>
      <c r="E3707" s="51">
        <f>IF(INDEX(DarlBelegt,8)=0,0,EOMONTH(INDEX(DarlAuszahlung,8),343)+1)</f>
      </c>
      <c r="F3707" s="43">
        <f>IF($E3707=0,0,YEAR($E3707))</f>
      </c>
      <c r="G3707" s="43">
        <f>IF(INDEX(DarlBindung,8)="",1,IF($E3707&lt;=INDEX(DarlBindung,8),1,0))</f>
      </c>
      <c r="H3707" s="43">
        <f>IF($G3707=1,INDEX(DarlSollzins,8),INDEX(DarlAnschluss,8))</f>
      </c>
      <c r="I3707" s="43">
        <f>IF(INDEX(DarlBelegt,8)=0,0,IF(INDEX(DarlOhneTilgung,8)=1,IF(INDEX(DarlBindung,8)="",1,$G3707),IF($J3707&gt;0.005,1,0)))</f>
      </c>
      <c r="J3707" s="43">
        <f>IF($I3706=0,0,$R3706)</f>
      </c>
      <c r="K3707" s="43">
        <f>IF($I3707=0,0,IF(INDEX(DarlOhneTilgung,8)=1,0,IF(AND(INDEX(DarlTilgStart,8)&gt;0,$E3707=INDEX(DarlTilgStart,8)),$J3707*($H3707+INDEX(DarlTilgung,8))/100/12,IF(AND($G3707=0,$G3706=1),MAX($K3706,$J3707*($H3707+1)/100/12),$K3706))))</f>
      </c>
      <c r="L3707" s="43">
        <f>IF($I3707=0,0,$J3707*$H3707/100/12)</f>
      </c>
      <c r="M3707" s="43">
        <f>IF($I3707=0,0,IF(OR(INDEX(DarlOhneTilgung,8)=1,AND(INDEX(DarlTilgStart,8)&gt;0,$E3707&lt;INDEX(DarlTilgStart,8))),0,MIN(MAX(0,$K3707-$L3707),$J3707)))</f>
      </c>
      <c r="N3707" s="43">
        <f>IF($I3707=0,0,MIN(SUMIFS(SondBetrag,SondDarl,8,SondDatum,"&gt;="&amp;$E3707,SondDatum,"&lt;="&amp;EOMONTH($E3707,0)),$J3707-$M3707))</f>
      </c>
      <c r="O3707" s="43">
        <f>IF($I3707=0,0,INDEX(DarlErsatzRate,8))</f>
      </c>
      <c r="P3707" s="43">
        <f>IF($I3707=0,0,$Q3706*INDEX(DarlErsatzZins,8))</f>
      </c>
      <c r="Q3707" s="43">
        <f>IF($I3707=0,0,$Q3706+$P3707+$O3707)</f>
      </c>
      <c r="R3707" s="43">
        <f>IF($I3707=0,0,$J3707-$M3707-$N3707)</f>
      </c>
    </row>
    <row r="3708">
      <c r="A3708"/>
      <c r="B3708">
        <v>8</v>
      </c>
      <c r="C3708" s="43">
        <f>INDEX(DarlObj,8)</f>
      </c>
      <c r="D3708">
        <v>345</v>
      </c>
      <c r="E3708" s="51">
        <f>IF(INDEX(DarlBelegt,8)=0,0,EOMONTH(INDEX(DarlAuszahlung,8),344)+1)</f>
      </c>
      <c r="F3708" s="43">
        <f>IF($E3708=0,0,YEAR($E3708))</f>
      </c>
      <c r="G3708" s="43">
        <f>IF(INDEX(DarlBindung,8)="",1,IF($E3708&lt;=INDEX(DarlBindung,8),1,0))</f>
      </c>
      <c r="H3708" s="43">
        <f>IF($G3708=1,INDEX(DarlSollzins,8),INDEX(DarlAnschluss,8))</f>
      </c>
      <c r="I3708" s="43">
        <f>IF(INDEX(DarlBelegt,8)=0,0,IF(INDEX(DarlOhneTilgung,8)=1,IF(INDEX(DarlBindung,8)="",1,$G3708),IF($J3708&gt;0.005,1,0)))</f>
      </c>
      <c r="J3708" s="43">
        <f>IF($I3707=0,0,$R3707)</f>
      </c>
      <c r="K3708" s="43">
        <f>IF($I3708=0,0,IF(INDEX(DarlOhneTilgung,8)=1,0,IF(AND(INDEX(DarlTilgStart,8)&gt;0,$E3708=INDEX(DarlTilgStart,8)),$J3708*($H3708+INDEX(DarlTilgung,8))/100/12,IF(AND($G3708=0,$G3707=1),MAX($K3707,$J3708*($H3708+1)/100/12),$K3707))))</f>
      </c>
      <c r="L3708" s="43">
        <f>IF($I3708=0,0,$J3708*$H3708/100/12)</f>
      </c>
      <c r="M3708" s="43">
        <f>IF($I3708=0,0,IF(OR(INDEX(DarlOhneTilgung,8)=1,AND(INDEX(DarlTilgStart,8)&gt;0,$E3708&lt;INDEX(DarlTilgStart,8))),0,MIN(MAX(0,$K3708-$L3708),$J3708)))</f>
      </c>
      <c r="N3708" s="43">
        <f>IF($I3708=0,0,MIN(SUMIFS(SondBetrag,SondDarl,8,SondDatum,"&gt;="&amp;$E3708,SondDatum,"&lt;="&amp;EOMONTH($E3708,0)),$J3708-$M3708))</f>
      </c>
      <c r="O3708" s="43">
        <f>IF($I3708=0,0,INDEX(DarlErsatzRate,8))</f>
      </c>
      <c r="P3708" s="43">
        <f>IF($I3708=0,0,$Q3707*INDEX(DarlErsatzZins,8))</f>
      </c>
      <c r="Q3708" s="43">
        <f>IF($I3708=0,0,$Q3707+$P3708+$O3708)</f>
      </c>
      <c r="R3708" s="43">
        <f>IF($I3708=0,0,$J3708-$M3708-$N3708)</f>
      </c>
    </row>
    <row r="3709">
      <c r="A3709"/>
      <c r="B3709">
        <v>8</v>
      </c>
      <c r="C3709" s="43">
        <f>INDEX(DarlObj,8)</f>
      </c>
      <c r="D3709">
        <v>346</v>
      </c>
      <c r="E3709" s="51">
        <f>IF(INDEX(DarlBelegt,8)=0,0,EOMONTH(INDEX(DarlAuszahlung,8),345)+1)</f>
      </c>
      <c r="F3709" s="43">
        <f>IF($E3709=0,0,YEAR($E3709))</f>
      </c>
      <c r="G3709" s="43">
        <f>IF(INDEX(DarlBindung,8)="",1,IF($E3709&lt;=INDEX(DarlBindung,8),1,0))</f>
      </c>
      <c r="H3709" s="43">
        <f>IF($G3709=1,INDEX(DarlSollzins,8),INDEX(DarlAnschluss,8))</f>
      </c>
      <c r="I3709" s="43">
        <f>IF(INDEX(DarlBelegt,8)=0,0,IF(INDEX(DarlOhneTilgung,8)=1,IF(INDEX(DarlBindung,8)="",1,$G3709),IF($J3709&gt;0.005,1,0)))</f>
      </c>
      <c r="J3709" s="43">
        <f>IF($I3708=0,0,$R3708)</f>
      </c>
      <c r="K3709" s="43">
        <f>IF($I3709=0,0,IF(INDEX(DarlOhneTilgung,8)=1,0,IF(AND(INDEX(DarlTilgStart,8)&gt;0,$E3709=INDEX(DarlTilgStart,8)),$J3709*($H3709+INDEX(DarlTilgung,8))/100/12,IF(AND($G3709=0,$G3708=1),MAX($K3708,$J3709*($H3709+1)/100/12),$K3708))))</f>
      </c>
      <c r="L3709" s="43">
        <f>IF($I3709=0,0,$J3709*$H3709/100/12)</f>
      </c>
      <c r="M3709" s="43">
        <f>IF($I3709=0,0,IF(OR(INDEX(DarlOhneTilgung,8)=1,AND(INDEX(DarlTilgStart,8)&gt;0,$E3709&lt;INDEX(DarlTilgStart,8))),0,MIN(MAX(0,$K3709-$L3709),$J3709)))</f>
      </c>
      <c r="N3709" s="43">
        <f>IF($I3709=0,0,MIN(SUMIFS(SondBetrag,SondDarl,8,SondDatum,"&gt;="&amp;$E3709,SondDatum,"&lt;="&amp;EOMONTH($E3709,0)),$J3709-$M3709))</f>
      </c>
      <c r="O3709" s="43">
        <f>IF($I3709=0,0,INDEX(DarlErsatzRate,8))</f>
      </c>
      <c r="P3709" s="43">
        <f>IF($I3709=0,0,$Q3708*INDEX(DarlErsatzZins,8))</f>
      </c>
      <c r="Q3709" s="43">
        <f>IF($I3709=0,0,$Q3708+$P3709+$O3709)</f>
      </c>
      <c r="R3709" s="43">
        <f>IF($I3709=0,0,$J3709-$M3709-$N3709)</f>
      </c>
    </row>
    <row r="3710">
      <c r="A3710"/>
      <c r="B3710">
        <v>8</v>
      </c>
      <c r="C3710" s="43">
        <f>INDEX(DarlObj,8)</f>
      </c>
      <c r="D3710">
        <v>347</v>
      </c>
      <c r="E3710" s="51">
        <f>IF(INDEX(DarlBelegt,8)=0,0,EOMONTH(INDEX(DarlAuszahlung,8),346)+1)</f>
      </c>
      <c r="F3710" s="43">
        <f>IF($E3710=0,0,YEAR($E3710))</f>
      </c>
      <c r="G3710" s="43">
        <f>IF(INDEX(DarlBindung,8)="",1,IF($E3710&lt;=INDEX(DarlBindung,8),1,0))</f>
      </c>
      <c r="H3710" s="43">
        <f>IF($G3710=1,INDEX(DarlSollzins,8),INDEX(DarlAnschluss,8))</f>
      </c>
      <c r="I3710" s="43">
        <f>IF(INDEX(DarlBelegt,8)=0,0,IF(INDEX(DarlOhneTilgung,8)=1,IF(INDEX(DarlBindung,8)="",1,$G3710),IF($J3710&gt;0.005,1,0)))</f>
      </c>
      <c r="J3710" s="43">
        <f>IF($I3709=0,0,$R3709)</f>
      </c>
      <c r="K3710" s="43">
        <f>IF($I3710=0,0,IF(INDEX(DarlOhneTilgung,8)=1,0,IF(AND(INDEX(DarlTilgStart,8)&gt;0,$E3710=INDEX(DarlTilgStart,8)),$J3710*($H3710+INDEX(DarlTilgung,8))/100/12,IF(AND($G3710=0,$G3709=1),MAX($K3709,$J3710*($H3710+1)/100/12),$K3709))))</f>
      </c>
      <c r="L3710" s="43">
        <f>IF($I3710=0,0,$J3710*$H3710/100/12)</f>
      </c>
      <c r="M3710" s="43">
        <f>IF($I3710=0,0,IF(OR(INDEX(DarlOhneTilgung,8)=1,AND(INDEX(DarlTilgStart,8)&gt;0,$E3710&lt;INDEX(DarlTilgStart,8))),0,MIN(MAX(0,$K3710-$L3710),$J3710)))</f>
      </c>
      <c r="N3710" s="43">
        <f>IF($I3710=0,0,MIN(SUMIFS(SondBetrag,SondDarl,8,SondDatum,"&gt;="&amp;$E3710,SondDatum,"&lt;="&amp;EOMONTH($E3710,0)),$J3710-$M3710))</f>
      </c>
      <c r="O3710" s="43">
        <f>IF($I3710=0,0,INDEX(DarlErsatzRate,8))</f>
      </c>
      <c r="P3710" s="43">
        <f>IF($I3710=0,0,$Q3709*INDEX(DarlErsatzZins,8))</f>
      </c>
      <c r="Q3710" s="43">
        <f>IF($I3710=0,0,$Q3709+$P3710+$O3710)</f>
      </c>
      <c r="R3710" s="43">
        <f>IF($I3710=0,0,$J3710-$M3710-$N3710)</f>
      </c>
    </row>
    <row r="3711">
      <c r="A3711"/>
      <c r="B3711">
        <v>8</v>
      </c>
      <c r="C3711" s="43">
        <f>INDEX(DarlObj,8)</f>
      </c>
      <c r="D3711">
        <v>348</v>
      </c>
      <c r="E3711" s="51">
        <f>IF(INDEX(DarlBelegt,8)=0,0,EOMONTH(INDEX(DarlAuszahlung,8),347)+1)</f>
      </c>
      <c r="F3711" s="43">
        <f>IF($E3711=0,0,YEAR($E3711))</f>
      </c>
      <c r="G3711" s="43">
        <f>IF(INDEX(DarlBindung,8)="",1,IF($E3711&lt;=INDEX(DarlBindung,8),1,0))</f>
      </c>
      <c r="H3711" s="43">
        <f>IF($G3711=1,INDEX(DarlSollzins,8),INDEX(DarlAnschluss,8))</f>
      </c>
      <c r="I3711" s="43">
        <f>IF(INDEX(DarlBelegt,8)=0,0,IF(INDEX(DarlOhneTilgung,8)=1,IF(INDEX(DarlBindung,8)="",1,$G3711),IF($J3711&gt;0.005,1,0)))</f>
      </c>
      <c r="J3711" s="43">
        <f>IF($I3710=0,0,$R3710)</f>
      </c>
      <c r="K3711" s="43">
        <f>IF($I3711=0,0,IF(INDEX(DarlOhneTilgung,8)=1,0,IF(AND(INDEX(DarlTilgStart,8)&gt;0,$E3711=INDEX(DarlTilgStart,8)),$J3711*($H3711+INDEX(DarlTilgung,8))/100/12,IF(AND($G3711=0,$G3710=1),MAX($K3710,$J3711*($H3711+1)/100/12),$K3710))))</f>
      </c>
      <c r="L3711" s="43">
        <f>IF($I3711=0,0,$J3711*$H3711/100/12)</f>
      </c>
      <c r="M3711" s="43">
        <f>IF($I3711=0,0,IF(OR(INDEX(DarlOhneTilgung,8)=1,AND(INDEX(DarlTilgStart,8)&gt;0,$E3711&lt;INDEX(DarlTilgStart,8))),0,MIN(MAX(0,$K3711-$L3711),$J3711)))</f>
      </c>
      <c r="N3711" s="43">
        <f>IF($I3711=0,0,MIN(SUMIFS(SondBetrag,SondDarl,8,SondDatum,"&gt;="&amp;$E3711,SondDatum,"&lt;="&amp;EOMONTH($E3711,0)),$J3711-$M3711))</f>
      </c>
      <c r="O3711" s="43">
        <f>IF($I3711=0,0,INDEX(DarlErsatzRate,8))</f>
      </c>
      <c r="P3711" s="43">
        <f>IF($I3711=0,0,$Q3710*INDEX(DarlErsatzZins,8))</f>
      </c>
      <c r="Q3711" s="43">
        <f>IF($I3711=0,0,$Q3710+$P3711+$O3711)</f>
      </c>
      <c r="R3711" s="43">
        <f>IF($I3711=0,0,$J3711-$M3711-$N3711)</f>
      </c>
    </row>
    <row r="3712">
      <c r="A3712"/>
      <c r="B3712">
        <v>8</v>
      </c>
      <c r="C3712" s="43">
        <f>INDEX(DarlObj,8)</f>
      </c>
      <c r="D3712">
        <v>349</v>
      </c>
      <c r="E3712" s="51">
        <f>IF(INDEX(DarlBelegt,8)=0,0,EOMONTH(INDEX(DarlAuszahlung,8),348)+1)</f>
      </c>
      <c r="F3712" s="43">
        <f>IF($E3712=0,0,YEAR($E3712))</f>
      </c>
      <c r="G3712" s="43">
        <f>IF(INDEX(DarlBindung,8)="",1,IF($E3712&lt;=INDEX(DarlBindung,8),1,0))</f>
      </c>
      <c r="H3712" s="43">
        <f>IF($G3712=1,INDEX(DarlSollzins,8),INDEX(DarlAnschluss,8))</f>
      </c>
      <c r="I3712" s="43">
        <f>IF(INDEX(DarlBelegt,8)=0,0,IF(INDEX(DarlOhneTilgung,8)=1,IF(INDEX(DarlBindung,8)="",1,$G3712),IF($J3712&gt;0.005,1,0)))</f>
      </c>
      <c r="J3712" s="43">
        <f>IF($I3711=0,0,$R3711)</f>
      </c>
      <c r="K3712" s="43">
        <f>IF($I3712=0,0,IF(INDEX(DarlOhneTilgung,8)=1,0,IF(AND(INDEX(DarlTilgStart,8)&gt;0,$E3712=INDEX(DarlTilgStart,8)),$J3712*($H3712+INDEX(DarlTilgung,8))/100/12,IF(AND($G3712=0,$G3711=1),MAX($K3711,$J3712*($H3712+1)/100/12),$K3711))))</f>
      </c>
      <c r="L3712" s="43">
        <f>IF($I3712=0,0,$J3712*$H3712/100/12)</f>
      </c>
      <c r="M3712" s="43">
        <f>IF($I3712=0,0,IF(OR(INDEX(DarlOhneTilgung,8)=1,AND(INDEX(DarlTilgStart,8)&gt;0,$E3712&lt;INDEX(DarlTilgStart,8))),0,MIN(MAX(0,$K3712-$L3712),$J3712)))</f>
      </c>
      <c r="N3712" s="43">
        <f>IF($I3712=0,0,MIN(SUMIFS(SondBetrag,SondDarl,8,SondDatum,"&gt;="&amp;$E3712,SondDatum,"&lt;="&amp;EOMONTH($E3712,0)),$J3712-$M3712))</f>
      </c>
      <c r="O3712" s="43">
        <f>IF($I3712=0,0,INDEX(DarlErsatzRate,8))</f>
      </c>
      <c r="P3712" s="43">
        <f>IF($I3712=0,0,$Q3711*INDEX(DarlErsatzZins,8))</f>
      </c>
      <c r="Q3712" s="43">
        <f>IF($I3712=0,0,$Q3711+$P3712+$O3712)</f>
      </c>
      <c r="R3712" s="43">
        <f>IF($I3712=0,0,$J3712-$M3712-$N3712)</f>
      </c>
    </row>
    <row r="3713">
      <c r="A3713"/>
      <c r="B3713">
        <v>8</v>
      </c>
      <c r="C3713" s="43">
        <f>INDEX(DarlObj,8)</f>
      </c>
      <c r="D3713">
        <v>350</v>
      </c>
      <c r="E3713" s="51">
        <f>IF(INDEX(DarlBelegt,8)=0,0,EOMONTH(INDEX(DarlAuszahlung,8),349)+1)</f>
      </c>
      <c r="F3713" s="43">
        <f>IF($E3713=0,0,YEAR($E3713))</f>
      </c>
      <c r="G3713" s="43">
        <f>IF(INDEX(DarlBindung,8)="",1,IF($E3713&lt;=INDEX(DarlBindung,8),1,0))</f>
      </c>
      <c r="H3713" s="43">
        <f>IF($G3713=1,INDEX(DarlSollzins,8),INDEX(DarlAnschluss,8))</f>
      </c>
      <c r="I3713" s="43">
        <f>IF(INDEX(DarlBelegt,8)=0,0,IF(INDEX(DarlOhneTilgung,8)=1,IF(INDEX(DarlBindung,8)="",1,$G3713),IF($J3713&gt;0.005,1,0)))</f>
      </c>
      <c r="J3713" s="43">
        <f>IF($I3712=0,0,$R3712)</f>
      </c>
      <c r="K3713" s="43">
        <f>IF($I3713=0,0,IF(INDEX(DarlOhneTilgung,8)=1,0,IF(AND(INDEX(DarlTilgStart,8)&gt;0,$E3713=INDEX(DarlTilgStart,8)),$J3713*($H3713+INDEX(DarlTilgung,8))/100/12,IF(AND($G3713=0,$G3712=1),MAX($K3712,$J3713*($H3713+1)/100/12),$K3712))))</f>
      </c>
      <c r="L3713" s="43">
        <f>IF($I3713=0,0,$J3713*$H3713/100/12)</f>
      </c>
      <c r="M3713" s="43">
        <f>IF($I3713=0,0,IF(OR(INDEX(DarlOhneTilgung,8)=1,AND(INDEX(DarlTilgStart,8)&gt;0,$E3713&lt;INDEX(DarlTilgStart,8))),0,MIN(MAX(0,$K3713-$L3713),$J3713)))</f>
      </c>
      <c r="N3713" s="43">
        <f>IF($I3713=0,0,MIN(SUMIFS(SondBetrag,SondDarl,8,SondDatum,"&gt;="&amp;$E3713,SondDatum,"&lt;="&amp;EOMONTH($E3713,0)),$J3713-$M3713))</f>
      </c>
      <c r="O3713" s="43">
        <f>IF($I3713=0,0,INDEX(DarlErsatzRate,8))</f>
      </c>
      <c r="P3713" s="43">
        <f>IF($I3713=0,0,$Q3712*INDEX(DarlErsatzZins,8))</f>
      </c>
      <c r="Q3713" s="43">
        <f>IF($I3713=0,0,$Q3712+$P3713+$O3713)</f>
      </c>
      <c r="R3713" s="43">
        <f>IF($I3713=0,0,$J3713-$M3713-$N3713)</f>
      </c>
    </row>
    <row r="3714">
      <c r="A3714"/>
      <c r="B3714">
        <v>8</v>
      </c>
      <c r="C3714" s="43">
        <f>INDEX(DarlObj,8)</f>
      </c>
      <c r="D3714">
        <v>351</v>
      </c>
      <c r="E3714" s="51">
        <f>IF(INDEX(DarlBelegt,8)=0,0,EOMONTH(INDEX(DarlAuszahlung,8),350)+1)</f>
      </c>
      <c r="F3714" s="43">
        <f>IF($E3714=0,0,YEAR($E3714))</f>
      </c>
      <c r="G3714" s="43">
        <f>IF(INDEX(DarlBindung,8)="",1,IF($E3714&lt;=INDEX(DarlBindung,8),1,0))</f>
      </c>
      <c r="H3714" s="43">
        <f>IF($G3714=1,INDEX(DarlSollzins,8),INDEX(DarlAnschluss,8))</f>
      </c>
      <c r="I3714" s="43">
        <f>IF(INDEX(DarlBelegt,8)=0,0,IF(INDEX(DarlOhneTilgung,8)=1,IF(INDEX(DarlBindung,8)="",1,$G3714),IF($J3714&gt;0.005,1,0)))</f>
      </c>
      <c r="J3714" s="43">
        <f>IF($I3713=0,0,$R3713)</f>
      </c>
      <c r="K3714" s="43">
        <f>IF($I3714=0,0,IF(INDEX(DarlOhneTilgung,8)=1,0,IF(AND(INDEX(DarlTilgStart,8)&gt;0,$E3714=INDEX(DarlTilgStart,8)),$J3714*($H3714+INDEX(DarlTilgung,8))/100/12,IF(AND($G3714=0,$G3713=1),MAX($K3713,$J3714*($H3714+1)/100/12),$K3713))))</f>
      </c>
      <c r="L3714" s="43">
        <f>IF($I3714=0,0,$J3714*$H3714/100/12)</f>
      </c>
      <c r="M3714" s="43">
        <f>IF($I3714=0,0,IF(OR(INDEX(DarlOhneTilgung,8)=1,AND(INDEX(DarlTilgStart,8)&gt;0,$E3714&lt;INDEX(DarlTilgStart,8))),0,MIN(MAX(0,$K3714-$L3714),$J3714)))</f>
      </c>
      <c r="N3714" s="43">
        <f>IF($I3714=0,0,MIN(SUMIFS(SondBetrag,SondDarl,8,SondDatum,"&gt;="&amp;$E3714,SondDatum,"&lt;="&amp;EOMONTH($E3714,0)),$J3714-$M3714))</f>
      </c>
      <c r="O3714" s="43">
        <f>IF($I3714=0,0,INDEX(DarlErsatzRate,8))</f>
      </c>
      <c r="P3714" s="43">
        <f>IF($I3714=0,0,$Q3713*INDEX(DarlErsatzZins,8))</f>
      </c>
      <c r="Q3714" s="43">
        <f>IF($I3714=0,0,$Q3713+$P3714+$O3714)</f>
      </c>
      <c r="R3714" s="43">
        <f>IF($I3714=0,0,$J3714-$M3714-$N3714)</f>
      </c>
    </row>
    <row r="3715">
      <c r="A3715"/>
      <c r="B3715">
        <v>8</v>
      </c>
      <c r="C3715" s="43">
        <f>INDEX(DarlObj,8)</f>
      </c>
      <c r="D3715">
        <v>352</v>
      </c>
      <c r="E3715" s="51">
        <f>IF(INDEX(DarlBelegt,8)=0,0,EOMONTH(INDEX(DarlAuszahlung,8),351)+1)</f>
      </c>
      <c r="F3715" s="43">
        <f>IF($E3715=0,0,YEAR($E3715))</f>
      </c>
      <c r="G3715" s="43">
        <f>IF(INDEX(DarlBindung,8)="",1,IF($E3715&lt;=INDEX(DarlBindung,8),1,0))</f>
      </c>
      <c r="H3715" s="43">
        <f>IF($G3715=1,INDEX(DarlSollzins,8),INDEX(DarlAnschluss,8))</f>
      </c>
      <c r="I3715" s="43">
        <f>IF(INDEX(DarlBelegt,8)=0,0,IF(INDEX(DarlOhneTilgung,8)=1,IF(INDEX(DarlBindung,8)="",1,$G3715),IF($J3715&gt;0.005,1,0)))</f>
      </c>
      <c r="J3715" s="43">
        <f>IF($I3714=0,0,$R3714)</f>
      </c>
      <c r="K3715" s="43">
        <f>IF($I3715=0,0,IF(INDEX(DarlOhneTilgung,8)=1,0,IF(AND(INDEX(DarlTilgStart,8)&gt;0,$E3715=INDEX(DarlTilgStart,8)),$J3715*($H3715+INDEX(DarlTilgung,8))/100/12,IF(AND($G3715=0,$G3714=1),MAX($K3714,$J3715*($H3715+1)/100/12),$K3714))))</f>
      </c>
      <c r="L3715" s="43">
        <f>IF($I3715=0,0,$J3715*$H3715/100/12)</f>
      </c>
      <c r="M3715" s="43">
        <f>IF($I3715=0,0,IF(OR(INDEX(DarlOhneTilgung,8)=1,AND(INDEX(DarlTilgStart,8)&gt;0,$E3715&lt;INDEX(DarlTilgStart,8))),0,MIN(MAX(0,$K3715-$L3715),$J3715)))</f>
      </c>
      <c r="N3715" s="43">
        <f>IF($I3715=0,0,MIN(SUMIFS(SondBetrag,SondDarl,8,SondDatum,"&gt;="&amp;$E3715,SondDatum,"&lt;="&amp;EOMONTH($E3715,0)),$J3715-$M3715))</f>
      </c>
      <c r="O3715" s="43">
        <f>IF($I3715=0,0,INDEX(DarlErsatzRate,8))</f>
      </c>
      <c r="P3715" s="43">
        <f>IF($I3715=0,0,$Q3714*INDEX(DarlErsatzZins,8))</f>
      </c>
      <c r="Q3715" s="43">
        <f>IF($I3715=0,0,$Q3714+$P3715+$O3715)</f>
      </c>
      <c r="R3715" s="43">
        <f>IF($I3715=0,0,$J3715-$M3715-$N3715)</f>
      </c>
    </row>
    <row r="3716">
      <c r="A3716"/>
      <c r="B3716">
        <v>8</v>
      </c>
      <c r="C3716" s="43">
        <f>INDEX(DarlObj,8)</f>
      </c>
      <c r="D3716">
        <v>353</v>
      </c>
      <c r="E3716" s="51">
        <f>IF(INDEX(DarlBelegt,8)=0,0,EOMONTH(INDEX(DarlAuszahlung,8),352)+1)</f>
      </c>
      <c r="F3716" s="43">
        <f>IF($E3716=0,0,YEAR($E3716))</f>
      </c>
      <c r="G3716" s="43">
        <f>IF(INDEX(DarlBindung,8)="",1,IF($E3716&lt;=INDEX(DarlBindung,8),1,0))</f>
      </c>
      <c r="H3716" s="43">
        <f>IF($G3716=1,INDEX(DarlSollzins,8),INDEX(DarlAnschluss,8))</f>
      </c>
      <c r="I3716" s="43">
        <f>IF(INDEX(DarlBelegt,8)=0,0,IF(INDEX(DarlOhneTilgung,8)=1,IF(INDEX(DarlBindung,8)="",1,$G3716),IF($J3716&gt;0.005,1,0)))</f>
      </c>
      <c r="J3716" s="43">
        <f>IF($I3715=0,0,$R3715)</f>
      </c>
      <c r="K3716" s="43">
        <f>IF($I3716=0,0,IF(INDEX(DarlOhneTilgung,8)=1,0,IF(AND(INDEX(DarlTilgStart,8)&gt;0,$E3716=INDEX(DarlTilgStart,8)),$J3716*($H3716+INDEX(DarlTilgung,8))/100/12,IF(AND($G3716=0,$G3715=1),MAX($K3715,$J3716*($H3716+1)/100/12),$K3715))))</f>
      </c>
      <c r="L3716" s="43">
        <f>IF($I3716=0,0,$J3716*$H3716/100/12)</f>
      </c>
      <c r="M3716" s="43">
        <f>IF($I3716=0,0,IF(OR(INDEX(DarlOhneTilgung,8)=1,AND(INDEX(DarlTilgStart,8)&gt;0,$E3716&lt;INDEX(DarlTilgStart,8))),0,MIN(MAX(0,$K3716-$L3716),$J3716)))</f>
      </c>
      <c r="N3716" s="43">
        <f>IF($I3716=0,0,MIN(SUMIFS(SondBetrag,SondDarl,8,SondDatum,"&gt;="&amp;$E3716,SondDatum,"&lt;="&amp;EOMONTH($E3716,0)),$J3716-$M3716))</f>
      </c>
      <c r="O3716" s="43">
        <f>IF($I3716=0,0,INDEX(DarlErsatzRate,8))</f>
      </c>
      <c r="P3716" s="43">
        <f>IF($I3716=0,0,$Q3715*INDEX(DarlErsatzZins,8))</f>
      </c>
      <c r="Q3716" s="43">
        <f>IF($I3716=0,0,$Q3715+$P3716+$O3716)</f>
      </c>
      <c r="R3716" s="43">
        <f>IF($I3716=0,0,$J3716-$M3716-$N3716)</f>
      </c>
    </row>
    <row r="3717">
      <c r="A3717"/>
      <c r="B3717">
        <v>8</v>
      </c>
      <c r="C3717" s="43">
        <f>INDEX(DarlObj,8)</f>
      </c>
      <c r="D3717">
        <v>354</v>
      </c>
      <c r="E3717" s="51">
        <f>IF(INDEX(DarlBelegt,8)=0,0,EOMONTH(INDEX(DarlAuszahlung,8),353)+1)</f>
      </c>
      <c r="F3717" s="43">
        <f>IF($E3717=0,0,YEAR($E3717))</f>
      </c>
      <c r="G3717" s="43">
        <f>IF(INDEX(DarlBindung,8)="",1,IF($E3717&lt;=INDEX(DarlBindung,8),1,0))</f>
      </c>
      <c r="H3717" s="43">
        <f>IF($G3717=1,INDEX(DarlSollzins,8),INDEX(DarlAnschluss,8))</f>
      </c>
      <c r="I3717" s="43">
        <f>IF(INDEX(DarlBelegt,8)=0,0,IF(INDEX(DarlOhneTilgung,8)=1,IF(INDEX(DarlBindung,8)="",1,$G3717),IF($J3717&gt;0.005,1,0)))</f>
      </c>
      <c r="J3717" s="43">
        <f>IF($I3716=0,0,$R3716)</f>
      </c>
      <c r="K3717" s="43">
        <f>IF($I3717=0,0,IF(INDEX(DarlOhneTilgung,8)=1,0,IF(AND(INDEX(DarlTilgStart,8)&gt;0,$E3717=INDEX(DarlTilgStart,8)),$J3717*($H3717+INDEX(DarlTilgung,8))/100/12,IF(AND($G3717=0,$G3716=1),MAX($K3716,$J3717*($H3717+1)/100/12),$K3716))))</f>
      </c>
      <c r="L3717" s="43">
        <f>IF($I3717=0,0,$J3717*$H3717/100/12)</f>
      </c>
      <c r="M3717" s="43">
        <f>IF($I3717=0,0,IF(OR(INDEX(DarlOhneTilgung,8)=1,AND(INDEX(DarlTilgStart,8)&gt;0,$E3717&lt;INDEX(DarlTilgStart,8))),0,MIN(MAX(0,$K3717-$L3717),$J3717)))</f>
      </c>
      <c r="N3717" s="43">
        <f>IF($I3717=0,0,MIN(SUMIFS(SondBetrag,SondDarl,8,SondDatum,"&gt;="&amp;$E3717,SondDatum,"&lt;="&amp;EOMONTH($E3717,0)),$J3717-$M3717))</f>
      </c>
      <c r="O3717" s="43">
        <f>IF($I3717=0,0,INDEX(DarlErsatzRate,8))</f>
      </c>
      <c r="P3717" s="43">
        <f>IF($I3717=0,0,$Q3716*INDEX(DarlErsatzZins,8))</f>
      </c>
      <c r="Q3717" s="43">
        <f>IF($I3717=0,0,$Q3716+$P3717+$O3717)</f>
      </c>
      <c r="R3717" s="43">
        <f>IF($I3717=0,0,$J3717-$M3717-$N3717)</f>
      </c>
    </row>
    <row r="3718">
      <c r="A3718"/>
      <c r="B3718">
        <v>8</v>
      </c>
      <c r="C3718" s="43">
        <f>INDEX(DarlObj,8)</f>
      </c>
      <c r="D3718">
        <v>355</v>
      </c>
      <c r="E3718" s="51">
        <f>IF(INDEX(DarlBelegt,8)=0,0,EOMONTH(INDEX(DarlAuszahlung,8),354)+1)</f>
      </c>
      <c r="F3718" s="43">
        <f>IF($E3718=0,0,YEAR($E3718))</f>
      </c>
      <c r="G3718" s="43">
        <f>IF(INDEX(DarlBindung,8)="",1,IF($E3718&lt;=INDEX(DarlBindung,8),1,0))</f>
      </c>
      <c r="H3718" s="43">
        <f>IF($G3718=1,INDEX(DarlSollzins,8),INDEX(DarlAnschluss,8))</f>
      </c>
      <c r="I3718" s="43">
        <f>IF(INDEX(DarlBelegt,8)=0,0,IF(INDEX(DarlOhneTilgung,8)=1,IF(INDEX(DarlBindung,8)="",1,$G3718),IF($J3718&gt;0.005,1,0)))</f>
      </c>
      <c r="J3718" s="43">
        <f>IF($I3717=0,0,$R3717)</f>
      </c>
      <c r="K3718" s="43">
        <f>IF($I3718=0,0,IF(INDEX(DarlOhneTilgung,8)=1,0,IF(AND(INDEX(DarlTilgStart,8)&gt;0,$E3718=INDEX(DarlTilgStart,8)),$J3718*($H3718+INDEX(DarlTilgung,8))/100/12,IF(AND($G3718=0,$G3717=1),MAX($K3717,$J3718*($H3718+1)/100/12),$K3717))))</f>
      </c>
      <c r="L3718" s="43">
        <f>IF($I3718=0,0,$J3718*$H3718/100/12)</f>
      </c>
      <c r="M3718" s="43">
        <f>IF($I3718=0,0,IF(OR(INDEX(DarlOhneTilgung,8)=1,AND(INDEX(DarlTilgStart,8)&gt;0,$E3718&lt;INDEX(DarlTilgStart,8))),0,MIN(MAX(0,$K3718-$L3718),$J3718)))</f>
      </c>
      <c r="N3718" s="43">
        <f>IF($I3718=0,0,MIN(SUMIFS(SondBetrag,SondDarl,8,SondDatum,"&gt;="&amp;$E3718,SondDatum,"&lt;="&amp;EOMONTH($E3718,0)),$J3718-$M3718))</f>
      </c>
      <c r="O3718" s="43">
        <f>IF($I3718=0,0,INDEX(DarlErsatzRate,8))</f>
      </c>
      <c r="P3718" s="43">
        <f>IF($I3718=0,0,$Q3717*INDEX(DarlErsatzZins,8))</f>
      </c>
      <c r="Q3718" s="43">
        <f>IF($I3718=0,0,$Q3717+$P3718+$O3718)</f>
      </c>
      <c r="R3718" s="43">
        <f>IF($I3718=0,0,$J3718-$M3718-$N3718)</f>
      </c>
    </row>
    <row r="3719">
      <c r="A3719"/>
      <c r="B3719">
        <v>8</v>
      </c>
      <c r="C3719" s="43">
        <f>INDEX(DarlObj,8)</f>
      </c>
      <c r="D3719">
        <v>356</v>
      </c>
      <c r="E3719" s="51">
        <f>IF(INDEX(DarlBelegt,8)=0,0,EOMONTH(INDEX(DarlAuszahlung,8),355)+1)</f>
      </c>
      <c r="F3719" s="43">
        <f>IF($E3719=0,0,YEAR($E3719))</f>
      </c>
      <c r="G3719" s="43">
        <f>IF(INDEX(DarlBindung,8)="",1,IF($E3719&lt;=INDEX(DarlBindung,8),1,0))</f>
      </c>
      <c r="H3719" s="43">
        <f>IF($G3719=1,INDEX(DarlSollzins,8),INDEX(DarlAnschluss,8))</f>
      </c>
      <c r="I3719" s="43">
        <f>IF(INDEX(DarlBelegt,8)=0,0,IF(INDEX(DarlOhneTilgung,8)=1,IF(INDEX(DarlBindung,8)="",1,$G3719),IF($J3719&gt;0.005,1,0)))</f>
      </c>
      <c r="J3719" s="43">
        <f>IF($I3718=0,0,$R3718)</f>
      </c>
      <c r="K3719" s="43">
        <f>IF($I3719=0,0,IF(INDEX(DarlOhneTilgung,8)=1,0,IF(AND(INDEX(DarlTilgStart,8)&gt;0,$E3719=INDEX(DarlTilgStart,8)),$J3719*($H3719+INDEX(DarlTilgung,8))/100/12,IF(AND($G3719=0,$G3718=1),MAX($K3718,$J3719*($H3719+1)/100/12),$K3718))))</f>
      </c>
      <c r="L3719" s="43">
        <f>IF($I3719=0,0,$J3719*$H3719/100/12)</f>
      </c>
      <c r="M3719" s="43">
        <f>IF($I3719=0,0,IF(OR(INDEX(DarlOhneTilgung,8)=1,AND(INDEX(DarlTilgStart,8)&gt;0,$E3719&lt;INDEX(DarlTilgStart,8))),0,MIN(MAX(0,$K3719-$L3719),$J3719)))</f>
      </c>
      <c r="N3719" s="43">
        <f>IF($I3719=0,0,MIN(SUMIFS(SondBetrag,SondDarl,8,SondDatum,"&gt;="&amp;$E3719,SondDatum,"&lt;="&amp;EOMONTH($E3719,0)),$J3719-$M3719))</f>
      </c>
      <c r="O3719" s="43">
        <f>IF($I3719=0,0,INDEX(DarlErsatzRate,8))</f>
      </c>
      <c r="P3719" s="43">
        <f>IF($I3719=0,0,$Q3718*INDEX(DarlErsatzZins,8))</f>
      </c>
      <c r="Q3719" s="43">
        <f>IF($I3719=0,0,$Q3718+$P3719+$O3719)</f>
      </c>
      <c r="R3719" s="43">
        <f>IF($I3719=0,0,$J3719-$M3719-$N3719)</f>
      </c>
    </row>
    <row r="3720">
      <c r="A3720"/>
      <c r="B3720">
        <v>8</v>
      </c>
      <c r="C3720" s="43">
        <f>INDEX(DarlObj,8)</f>
      </c>
      <c r="D3720">
        <v>357</v>
      </c>
      <c r="E3720" s="51">
        <f>IF(INDEX(DarlBelegt,8)=0,0,EOMONTH(INDEX(DarlAuszahlung,8),356)+1)</f>
      </c>
      <c r="F3720" s="43">
        <f>IF($E3720=0,0,YEAR($E3720))</f>
      </c>
      <c r="G3720" s="43">
        <f>IF(INDEX(DarlBindung,8)="",1,IF($E3720&lt;=INDEX(DarlBindung,8),1,0))</f>
      </c>
      <c r="H3720" s="43">
        <f>IF($G3720=1,INDEX(DarlSollzins,8),INDEX(DarlAnschluss,8))</f>
      </c>
      <c r="I3720" s="43">
        <f>IF(INDEX(DarlBelegt,8)=0,0,IF(INDEX(DarlOhneTilgung,8)=1,IF(INDEX(DarlBindung,8)="",1,$G3720),IF($J3720&gt;0.005,1,0)))</f>
      </c>
      <c r="J3720" s="43">
        <f>IF($I3719=0,0,$R3719)</f>
      </c>
      <c r="K3720" s="43">
        <f>IF($I3720=0,0,IF(INDEX(DarlOhneTilgung,8)=1,0,IF(AND(INDEX(DarlTilgStart,8)&gt;0,$E3720=INDEX(DarlTilgStart,8)),$J3720*($H3720+INDEX(DarlTilgung,8))/100/12,IF(AND($G3720=0,$G3719=1),MAX($K3719,$J3720*($H3720+1)/100/12),$K3719))))</f>
      </c>
      <c r="L3720" s="43">
        <f>IF($I3720=0,0,$J3720*$H3720/100/12)</f>
      </c>
      <c r="M3720" s="43">
        <f>IF($I3720=0,0,IF(OR(INDEX(DarlOhneTilgung,8)=1,AND(INDEX(DarlTilgStart,8)&gt;0,$E3720&lt;INDEX(DarlTilgStart,8))),0,MIN(MAX(0,$K3720-$L3720),$J3720)))</f>
      </c>
      <c r="N3720" s="43">
        <f>IF($I3720=0,0,MIN(SUMIFS(SondBetrag,SondDarl,8,SondDatum,"&gt;="&amp;$E3720,SondDatum,"&lt;="&amp;EOMONTH($E3720,0)),$J3720-$M3720))</f>
      </c>
      <c r="O3720" s="43">
        <f>IF($I3720=0,0,INDEX(DarlErsatzRate,8))</f>
      </c>
      <c r="P3720" s="43">
        <f>IF($I3720=0,0,$Q3719*INDEX(DarlErsatzZins,8))</f>
      </c>
      <c r="Q3720" s="43">
        <f>IF($I3720=0,0,$Q3719+$P3720+$O3720)</f>
      </c>
      <c r="R3720" s="43">
        <f>IF($I3720=0,0,$J3720-$M3720-$N3720)</f>
      </c>
    </row>
    <row r="3721">
      <c r="A3721"/>
      <c r="B3721">
        <v>8</v>
      </c>
      <c r="C3721" s="43">
        <f>INDEX(DarlObj,8)</f>
      </c>
      <c r="D3721">
        <v>358</v>
      </c>
      <c r="E3721" s="51">
        <f>IF(INDEX(DarlBelegt,8)=0,0,EOMONTH(INDEX(DarlAuszahlung,8),357)+1)</f>
      </c>
      <c r="F3721" s="43">
        <f>IF($E3721=0,0,YEAR($E3721))</f>
      </c>
      <c r="G3721" s="43">
        <f>IF(INDEX(DarlBindung,8)="",1,IF($E3721&lt;=INDEX(DarlBindung,8),1,0))</f>
      </c>
      <c r="H3721" s="43">
        <f>IF($G3721=1,INDEX(DarlSollzins,8),INDEX(DarlAnschluss,8))</f>
      </c>
      <c r="I3721" s="43">
        <f>IF(INDEX(DarlBelegt,8)=0,0,IF(INDEX(DarlOhneTilgung,8)=1,IF(INDEX(DarlBindung,8)="",1,$G3721),IF($J3721&gt;0.005,1,0)))</f>
      </c>
      <c r="J3721" s="43">
        <f>IF($I3720=0,0,$R3720)</f>
      </c>
      <c r="K3721" s="43">
        <f>IF($I3721=0,0,IF(INDEX(DarlOhneTilgung,8)=1,0,IF(AND(INDEX(DarlTilgStart,8)&gt;0,$E3721=INDEX(DarlTilgStart,8)),$J3721*($H3721+INDEX(DarlTilgung,8))/100/12,IF(AND($G3721=0,$G3720=1),MAX($K3720,$J3721*($H3721+1)/100/12),$K3720))))</f>
      </c>
      <c r="L3721" s="43">
        <f>IF($I3721=0,0,$J3721*$H3721/100/12)</f>
      </c>
      <c r="M3721" s="43">
        <f>IF($I3721=0,0,IF(OR(INDEX(DarlOhneTilgung,8)=1,AND(INDEX(DarlTilgStart,8)&gt;0,$E3721&lt;INDEX(DarlTilgStart,8))),0,MIN(MAX(0,$K3721-$L3721),$J3721)))</f>
      </c>
      <c r="N3721" s="43">
        <f>IF($I3721=0,0,MIN(SUMIFS(SondBetrag,SondDarl,8,SondDatum,"&gt;="&amp;$E3721,SondDatum,"&lt;="&amp;EOMONTH($E3721,0)),$J3721-$M3721))</f>
      </c>
      <c r="O3721" s="43">
        <f>IF($I3721=0,0,INDEX(DarlErsatzRate,8))</f>
      </c>
      <c r="P3721" s="43">
        <f>IF($I3721=0,0,$Q3720*INDEX(DarlErsatzZins,8))</f>
      </c>
      <c r="Q3721" s="43">
        <f>IF($I3721=0,0,$Q3720+$P3721+$O3721)</f>
      </c>
      <c r="R3721" s="43">
        <f>IF($I3721=0,0,$J3721-$M3721-$N3721)</f>
      </c>
    </row>
    <row r="3722">
      <c r="A3722"/>
      <c r="B3722">
        <v>8</v>
      </c>
      <c r="C3722" s="43">
        <f>INDEX(DarlObj,8)</f>
      </c>
      <c r="D3722">
        <v>359</v>
      </c>
      <c r="E3722" s="51">
        <f>IF(INDEX(DarlBelegt,8)=0,0,EOMONTH(INDEX(DarlAuszahlung,8),358)+1)</f>
      </c>
      <c r="F3722" s="43">
        <f>IF($E3722=0,0,YEAR($E3722))</f>
      </c>
      <c r="G3722" s="43">
        <f>IF(INDEX(DarlBindung,8)="",1,IF($E3722&lt;=INDEX(DarlBindung,8),1,0))</f>
      </c>
      <c r="H3722" s="43">
        <f>IF($G3722=1,INDEX(DarlSollzins,8),INDEX(DarlAnschluss,8))</f>
      </c>
      <c r="I3722" s="43">
        <f>IF(INDEX(DarlBelegt,8)=0,0,IF(INDEX(DarlOhneTilgung,8)=1,IF(INDEX(DarlBindung,8)="",1,$G3722),IF($J3722&gt;0.005,1,0)))</f>
      </c>
      <c r="J3722" s="43">
        <f>IF($I3721=0,0,$R3721)</f>
      </c>
      <c r="K3722" s="43">
        <f>IF($I3722=0,0,IF(INDEX(DarlOhneTilgung,8)=1,0,IF(AND(INDEX(DarlTilgStart,8)&gt;0,$E3722=INDEX(DarlTilgStart,8)),$J3722*($H3722+INDEX(DarlTilgung,8))/100/12,IF(AND($G3722=0,$G3721=1),MAX($K3721,$J3722*($H3722+1)/100/12),$K3721))))</f>
      </c>
      <c r="L3722" s="43">
        <f>IF($I3722=0,0,$J3722*$H3722/100/12)</f>
      </c>
      <c r="M3722" s="43">
        <f>IF($I3722=0,0,IF(OR(INDEX(DarlOhneTilgung,8)=1,AND(INDEX(DarlTilgStart,8)&gt;0,$E3722&lt;INDEX(DarlTilgStart,8))),0,MIN(MAX(0,$K3722-$L3722),$J3722)))</f>
      </c>
      <c r="N3722" s="43">
        <f>IF($I3722=0,0,MIN(SUMIFS(SondBetrag,SondDarl,8,SondDatum,"&gt;="&amp;$E3722,SondDatum,"&lt;="&amp;EOMONTH($E3722,0)),$J3722-$M3722))</f>
      </c>
      <c r="O3722" s="43">
        <f>IF($I3722=0,0,INDEX(DarlErsatzRate,8))</f>
      </c>
      <c r="P3722" s="43">
        <f>IF($I3722=0,0,$Q3721*INDEX(DarlErsatzZins,8))</f>
      </c>
      <c r="Q3722" s="43">
        <f>IF($I3722=0,0,$Q3721+$P3722+$O3722)</f>
      </c>
      <c r="R3722" s="43">
        <f>IF($I3722=0,0,$J3722-$M3722-$N3722)</f>
      </c>
    </row>
    <row r="3723">
      <c r="A3723"/>
      <c r="B3723">
        <v>8</v>
      </c>
      <c r="C3723" s="43">
        <f>INDEX(DarlObj,8)</f>
      </c>
      <c r="D3723">
        <v>360</v>
      </c>
      <c r="E3723" s="51">
        <f>IF(INDEX(DarlBelegt,8)=0,0,EOMONTH(INDEX(DarlAuszahlung,8),359)+1)</f>
      </c>
      <c r="F3723" s="43">
        <f>IF($E3723=0,0,YEAR($E3723))</f>
      </c>
      <c r="G3723" s="43">
        <f>IF(INDEX(DarlBindung,8)="",1,IF($E3723&lt;=INDEX(DarlBindung,8),1,0))</f>
      </c>
      <c r="H3723" s="43">
        <f>IF($G3723=1,INDEX(DarlSollzins,8),INDEX(DarlAnschluss,8))</f>
      </c>
      <c r="I3723" s="43">
        <f>IF(INDEX(DarlBelegt,8)=0,0,IF(INDEX(DarlOhneTilgung,8)=1,IF(INDEX(DarlBindung,8)="",1,$G3723),IF($J3723&gt;0.005,1,0)))</f>
      </c>
      <c r="J3723" s="43">
        <f>IF($I3722=0,0,$R3722)</f>
      </c>
      <c r="K3723" s="43">
        <f>IF($I3723=0,0,IF(INDEX(DarlOhneTilgung,8)=1,0,IF(AND(INDEX(DarlTilgStart,8)&gt;0,$E3723=INDEX(DarlTilgStart,8)),$J3723*($H3723+INDEX(DarlTilgung,8))/100/12,IF(AND($G3723=0,$G3722=1),MAX($K3722,$J3723*($H3723+1)/100/12),$K3722))))</f>
      </c>
      <c r="L3723" s="43">
        <f>IF($I3723=0,0,$J3723*$H3723/100/12)</f>
      </c>
      <c r="M3723" s="43">
        <f>IF($I3723=0,0,IF(OR(INDEX(DarlOhneTilgung,8)=1,AND(INDEX(DarlTilgStart,8)&gt;0,$E3723&lt;INDEX(DarlTilgStart,8))),0,MIN(MAX(0,$K3723-$L3723),$J3723)))</f>
      </c>
      <c r="N3723" s="43">
        <f>IF($I3723=0,0,MIN(SUMIFS(SondBetrag,SondDarl,8,SondDatum,"&gt;="&amp;$E3723,SondDatum,"&lt;="&amp;EOMONTH($E3723,0)),$J3723-$M3723))</f>
      </c>
      <c r="O3723" s="43">
        <f>IF($I3723=0,0,INDEX(DarlErsatzRate,8))</f>
      </c>
      <c r="P3723" s="43">
        <f>IF($I3723=0,0,$Q3722*INDEX(DarlErsatzZins,8))</f>
      </c>
      <c r="Q3723" s="43">
        <f>IF($I3723=0,0,$Q3722+$P3723+$O3723)</f>
      </c>
      <c r="R3723" s="43">
        <f>IF($I3723=0,0,$J3723-$M3723-$N3723)</f>
      </c>
    </row>
    <row r="3724">
      <c r="A3724"/>
      <c r="B3724">
        <v>8</v>
      </c>
      <c r="C3724" s="43">
        <f>INDEX(DarlObj,8)</f>
      </c>
      <c r="D3724">
        <v>361</v>
      </c>
      <c r="E3724" s="51">
        <f>IF(INDEX(DarlBelegt,8)=0,0,EOMONTH(INDEX(DarlAuszahlung,8),360)+1)</f>
      </c>
      <c r="F3724" s="43">
        <f>IF($E3724=0,0,YEAR($E3724))</f>
      </c>
      <c r="G3724" s="43">
        <f>IF(INDEX(DarlBindung,8)="",1,IF($E3724&lt;=INDEX(DarlBindung,8),1,0))</f>
      </c>
      <c r="H3724" s="43">
        <f>IF($G3724=1,INDEX(DarlSollzins,8),INDEX(DarlAnschluss,8))</f>
      </c>
      <c r="I3724" s="43">
        <f>IF(INDEX(DarlBelegt,8)=0,0,IF(INDEX(DarlOhneTilgung,8)=1,IF(INDEX(DarlBindung,8)="",1,$G3724),IF($J3724&gt;0.005,1,0)))</f>
      </c>
      <c r="J3724" s="43">
        <f>IF($I3723=0,0,$R3723)</f>
      </c>
      <c r="K3724" s="43">
        <f>IF($I3724=0,0,IF(INDEX(DarlOhneTilgung,8)=1,0,IF(AND(INDEX(DarlTilgStart,8)&gt;0,$E3724=INDEX(DarlTilgStart,8)),$J3724*($H3724+INDEX(DarlTilgung,8))/100/12,IF(AND($G3724=0,$G3723=1),MAX($K3723,$J3724*($H3724+1)/100/12),$K3723))))</f>
      </c>
      <c r="L3724" s="43">
        <f>IF($I3724=0,0,$J3724*$H3724/100/12)</f>
      </c>
      <c r="M3724" s="43">
        <f>IF($I3724=0,0,IF(OR(INDEX(DarlOhneTilgung,8)=1,AND(INDEX(DarlTilgStart,8)&gt;0,$E3724&lt;INDEX(DarlTilgStart,8))),0,MIN(MAX(0,$K3724-$L3724),$J3724)))</f>
      </c>
      <c r="N3724" s="43">
        <f>IF($I3724=0,0,MIN(SUMIFS(SondBetrag,SondDarl,8,SondDatum,"&gt;="&amp;$E3724,SondDatum,"&lt;="&amp;EOMONTH($E3724,0)),$J3724-$M3724))</f>
      </c>
      <c r="O3724" s="43">
        <f>IF($I3724=0,0,INDEX(DarlErsatzRate,8))</f>
      </c>
      <c r="P3724" s="43">
        <f>IF($I3724=0,0,$Q3723*INDEX(DarlErsatzZins,8))</f>
      </c>
      <c r="Q3724" s="43">
        <f>IF($I3724=0,0,$Q3723+$P3724+$O3724)</f>
      </c>
      <c r="R3724" s="43">
        <f>IF($I3724=0,0,$J3724-$M3724-$N3724)</f>
      </c>
    </row>
    <row r="3725">
      <c r="A3725"/>
      <c r="B3725">
        <v>8</v>
      </c>
      <c r="C3725" s="43">
        <f>INDEX(DarlObj,8)</f>
      </c>
      <c r="D3725">
        <v>362</v>
      </c>
      <c r="E3725" s="51">
        <f>IF(INDEX(DarlBelegt,8)=0,0,EOMONTH(INDEX(DarlAuszahlung,8),361)+1)</f>
      </c>
      <c r="F3725" s="43">
        <f>IF($E3725=0,0,YEAR($E3725))</f>
      </c>
      <c r="G3725" s="43">
        <f>IF(INDEX(DarlBindung,8)="",1,IF($E3725&lt;=INDEX(DarlBindung,8),1,0))</f>
      </c>
      <c r="H3725" s="43">
        <f>IF($G3725=1,INDEX(DarlSollzins,8),INDEX(DarlAnschluss,8))</f>
      </c>
      <c r="I3725" s="43">
        <f>IF(INDEX(DarlBelegt,8)=0,0,IF(INDEX(DarlOhneTilgung,8)=1,IF(INDEX(DarlBindung,8)="",1,$G3725),IF($J3725&gt;0.005,1,0)))</f>
      </c>
      <c r="J3725" s="43">
        <f>IF($I3724=0,0,$R3724)</f>
      </c>
      <c r="K3725" s="43">
        <f>IF($I3725=0,0,IF(INDEX(DarlOhneTilgung,8)=1,0,IF(AND(INDEX(DarlTilgStart,8)&gt;0,$E3725=INDEX(DarlTilgStart,8)),$J3725*($H3725+INDEX(DarlTilgung,8))/100/12,IF(AND($G3725=0,$G3724=1),MAX($K3724,$J3725*($H3725+1)/100/12),$K3724))))</f>
      </c>
      <c r="L3725" s="43">
        <f>IF($I3725=0,0,$J3725*$H3725/100/12)</f>
      </c>
      <c r="M3725" s="43">
        <f>IF($I3725=0,0,IF(OR(INDEX(DarlOhneTilgung,8)=1,AND(INDEX(DarlTilgStart,8)&gt;0,$E3725&lt;INDEX(DarlTilgStart,8))),0,MIN(MAX(0,$K3725-$L3725),$J3725)))</f>
      </c>
      <c r="N3725" s="43">
        <f>IF($I3725=0,0,MIN(SUMIFS(SondBetrag,SondDarl,8,SondDatum,"&gt;="&amp;$E3725,SondDatum,"&lt;="&amp;EOMONTH($E3725,0)),$J3725-$M3725))</f>
      </c>
      <c r="O3725" s="43">
        <f>IF($I3725=0,0,INDEX(DarlErsatzRate,8))</f>
      </c>
      <c r="P3725" s="43">
        <f>IF($I3725=0,0,$Q3724*INDEX(DarlErsatzZins,8))</f>
      </c>
      <c r="Q3725" s="43">
        <f>IF($I3725=0,0,$Q3724+$P3725+$O3725)</f>
      </c>
      <c r="R3725" s="43">
        <f>IF($I3725=0,0,$J3725-$M3725-$N3725)</f>
      </c>
    </row>
    <row r="3726">
      <c r="A3726"/>
      <c r="B3726">
        <v>8</v>
      </c>
      <c r="C3726" s="43">
        <f>INDEX(DarlObj,8)</f>
      </c>
      <c r="D3726">
        <v>363</v>
      </c>
      <c r="E3726" s="51">
        <f>IF(INDEX(DarlBelegt,8)=0,0,EOMONTH(INDEX(DarlAuszahlung,8),362)+1)</f>
      </c>
      <c r="F3726" s="43">
        <f>IF($E3726=0,0,YEAR($E3726))</f>
      </c>
      <c r="G3726" s="43">
        <f>IF(INDEX(DarlBindung,8)="",1,IF($E3726&lt;=INDEX(DarlBindung,8),1,0))</f>
      </c>
      <c r="H3726" s="43">
        <f>IF($G3726=1,INDEX(DarlSollzins,8),INDEX(DarlAnschluss,8))</f>
      </c>
      <c r="I3726" s="43">
        <f>IF(INDEX(DarlBelegt,8)=0,0,IF(INDEX(DarlOhneTilgung,8)=1,IF(INDEX(DarlBindung,8)="",1,$G3726),IF($J3726&gt;0.005,1,0)))</f>
      </c>
      <c r="J3726" s="43">
        <f>IF($I3725=0,0,$R3725)</f>
      </c>
      <c r="K3726" s="43">
        <f>IF($I3726=0,0,IF(INDEX(DarlOhneTilgung,8)=1,0,IF(AND(INDEX(DarlTilgStart,8)&gt;0,$E3726=INDEX(DarlTilgStart,8)),$J3726*($H3726+INDEX(DarlTilgung,8))/100/12,IF(AND($G3726=0,$G3725=1),MAX($K3725,$J3726*($H3726+1)/100/12),$K3725))))</f>
      </c>
      <c r="L3726" s="43">
        <f>IF($I3726=0,0,$J3726*$H3726/100/12)</f>
      </c>
      <c r="M3726" s="43">
        <f>IF($I3726=0,0,IF(OR(INDEX(DarlOhneTilgung,8)=1,AND(INDEX(DarlTilgStart,8)&gt;0,$E3726&lt;INDEX(DarlTilgStart,8))),0,MIN(MAX(0,$K3726-$L3726),$J3726)))</f>
      </c>
      <c r="N3726" s="43">
        <f>IF($I3726=0,0,MIN(SUMIFS(SondBetrag,SondDarl,8,SondDatum,"&gt;="&amp;$E3726,SondDatum,"&lt;="&amp;EOMONTH($E3726,0)),$J3726-$M3726))</f>
      </c>
      <c r="O3726" s="43">
        <f>IF($I3726=0,0,INDEX(DarlErsatzRate,8))</f>
      </c>
      <c r="P3726" s="43">
        <f>IF($I3726=0,0,$Q3725*INDEX(DarlErsatzZins,8))</f>
      </c>
      <c r="Q3726" s="43">
        <f>IF($I3726=0,0,$Q3725+$P3726+$O3726)</f>
      </c>
      <c r="R3726" s="43">
        <f>IF($I3726=0,0,$J3726-$M3726-$N3726)</f>
      </c>
    </row>
    <row r="3727">
      <c r="A3727"/>
      <c r="B3727">
        <v>8</v>
      </c>
      <c r="C3727" s="43">
        <f>INDEX(DarlObj,8)</f>
      </c>
      <c r="D3727">
        <v>364</v>
      </c>
      <c r="E3727" s="51">
        <f>IF(INDEX(DarlBelegt,8)=0,0,EOMONTH(INDEX(DarlAuszahlung,8),363)+1)</f>
      </c>
      <c r="F3727" s="43">
        <f>IF($E3727=0,0,YEAR($E3727))</f>
      </c>
      <c r="G3727" s="43">
        <f>IF(INDEX(DarlBindung,8)="",1,IF($E3727&lt;=INDEX(DarlBindung,8),1,0))</f>
      </c>
      <c r="H3727" s="43">
        <f>IF($G3727=1,INDEX(DarlSollzins,8),INDEX(DarlAnschluss,8))</f>
      </c>
      <c r="I3727" s="43">
        <f>IF(INDEX(DarlBelegt,8)=0,0,IF(INDEX(DarlOhneTilgung,8)=1,IF(INDEX(DarlBindung,8)="",1,$G3727),IF($J3727&gt;0.005,1,0)))</f>
      </c>
      <c r="J3727" s="43">
        <f>IF($I3726=0,0,$R3726)</f>
      </c>
      <c r="K3727" s="43">
        <f>IF($I3727=0,0,IF(INDEX(DarlOhneTilgung,8)=1,0,IF(AND(INDEX(DarlTilgStart,8)&gt;0,$E3727=INDEX(DarlTilgStart,8)),$J3727*($H3727+INDEX(DarlTilgung,8))/100/12,IF(AND($G3727=0,$G3726=1),MAX($K3726,$J3727*($H3727+1)/100/12),$K3726))))</f>
      </c>
      <c r="L3727" s="43">
        <f>IF($I3727=0,0,$J3727*$H3727/100/12)</f>
      </c>
      <c r="M3727" s="43">
        <f>IF($I3727=0,0,IF(OR(INDEX(DarlOhneTilgung,8)=1,AND(INDEX(DarlTilgStart,8)&gt;0,$E3727&lt;INDEX(DarlTilgStart,8))),0,MIN(MAX(0,$K3727-$L3727),$J3727)))</f>
      </c>
      <c r="N3727" s="43">
        <f>IF($I3727=0,0,MIN(SUMIFS(SondBetrag,SondDarl,8,SondDatum,"&gt;="&amp;$E3727,SondDatum,"&lt;="&amp;EOMONTH($E3727,0)),$J3727-$M3727))</f>
      </c>
      <c r="O3727" s="43">
        <f>IF($I3727=0,0,INDEX(DarlErsatzRate,8))</f>
      </c>
      <c r="P3727" s="43">
        <f>IF($I3727=0,0,$Q3726*INDEX(DarlErsatzZins,8))</f>
      </c>
      <c r="Q3727" s="43">
        <f>IF($I3727=0,0,$Q3726+$P3727+$O3727)</f>
      </c>
      <c r="R3727" s="43">
        <f>IF($I3727=0,0,$J3727-$M3727-$N3727)</f>
      </c>
    </row>
    <row r="3728">
      <c r="A3728"/>
      <c r="B3728">
        <v>8</v>
      </c>
      <c r="C3728" s="43">
        <f>INDEX(DarlObj,8)</f>
      </c>
      <c r="D3728">
        <v>365</v>
      </c>
      <c r="E3728" s="51">
        <f>IF(INDEX(DarlBelegt,8)=0,0,EOMONTH(INDEX(DarlAuszahlung,8),364)+1)</f>
      </c>
      <c r="F3728" s="43">
        <f>IF($E3728=0,0,YEAR($E3728))</f>
      </c>
      <c r="G3728" s="43">
        <f>IF(INDEX(DarlBindung,8)="",1,IF($E3728&lt;=INDEX(DarlBindung,8),1,0))</f>
      </c>
      <c r="H3728" s="43">
        <f>IF($G3728=1,INDEX(DarlSollzins,8),INDEX(DarlAnschluss,8))</f>
      </c>
      <c r="I3728" s="43">
        <f>IF(INDEX(DarlBelegt,8)=0,0,IF(INDEX(DarlOhneTilgung,8)=1,IF(INDEX(DarlBindung,8)="",1,$G3728),IF($J3728&gt;0.005,1,0)))</f>
      </c>
      <c r="J3728" s="43">
        <f>IF($I3727=0,0,$R3727)</f>
      </c>
      <c r="K3728" s="43">
        <f>IF($I3728=0,0,IF(INDEX(DarlOhneTilgung,8)=1,0,IF(AND(INDEX(DarlTilgStart,8)&gt;0,$E3728=INDEX(DarlTilgStart,8)),$J3728*($H3728+INDEX(DarlTilgung,8))/100/12,IF(AND($G3728=0,$G3727=1),MAX($K3727,$J3728*($H3728+1)/100/12),$K3727))))</f>
      </c>
      <c r="L3728" s="43">
        <f>IF($I3728=0,0,$J3728*$H3728/100/12)</f>
      </c>
      <c r="M3728" s="43">
        <f>IF($I3728=0,0,IF(OR(INDEX(DarlOhneTilgung,8)=1,AND(INDEX(DarlTilgStart,8)&gt;0,$E3728&lt;INDEX(DarlTilgStart,8))),0,MIN(MAX(0,$K3728-$L3728),$J3728)))</f>
      </c>
      <c r="N3728" s="43">
        <f>IF($I3728=0,0,MIN(SUMIFS(SondBetrag,SondDarl,8,SondDatum,"&gt;="&amp;$E3728,SondDatum,"&lt;="&amp;EOMONTH($E3728,0)),$J3728-$M3728))</f>
      </c>
      <c r="O3728" s="43">
        <f>IF($I3728=0,0,INDEX(DarlErsatzRate,8))</f>
      </c>
      <c r="P3728" s="43">
        <f>IF($I3728=0,0,$Q3727*INDEX(DarlErsatzZins,8))</f>
      </c>
      <c r="Q3728" s="43">
        <f>IF($I3728=0,0,$Q3727+$P3728+$O3728)</f>
      </c>
      <c r="R3728" s="43">
        <f>IF($I3728=0,0,$J3728-$M3728-$N3728)</f>
      </c>
    </row>
    <row r="3729">
      <c r="A3729"/>
      <c r="B3729">
        <v>8</v>
      </c>
      <c r="C3729" s="43">
        <f>INDEX(DarlObj,8)</f>
      </c>
      <c r="D3729">
        <v>366</v>
      </c>
      <c r="E3729" s="51">
        <f>IF(INDEX(DarlBelegt,8)=0,0,EOMONTH(INDEX(DarlAuszahlung,8),365)+1)</f>
      </c>
      <c r="F3729" s="43">
        <f>IF($E3729=0,0,YEAR($E3729))</f>
      </c>
      <c r="G3729" s="43">
        <f>IF(INDEX(DarlBindung,8)="",1,IF($E3729&lt;=INDEX(DarlBindung,8),1,0))</f>
      </c>
      <c r="H3729" s="43">
        <f>IF($G3729=1,INDEX(DarlSollzins,8),INDEX(DarlAnschluss,8))</f>
      </c>
      <c r="I3729" s="43">
        <f>IF(INDEX(DarlBelegt,8)=0,0,IF(INDEX(DarlOhneTilgung,8)=1,IF(INDEX(DarlBindung,8)="",1,$G3729),IF($J3729&gt;0.005,1,0)))</f>
      </c>
      <c r="J3729" s="43">
        <f>IF($I3728=0,0,$R3728)</f>
      </c>
      <c r="K3729" s="43">
        <f>IF($I3729=0,0,IF(INDEX(DarlOhneTilgung,8)=1,0,IF(AND(INDEX(DarlTilgStart,8)&gt;0,$E3729=INDEX(DarlTilgStart,8)),$J3729*($H3729+INDEX(DarlTilgung,8))/100/12,IF(AND($G3729=0,$G3728=1),MAX($K3728,$J3729*($H3729+1)/100/12),$K3728))))</f>
      </c>
      <c r="L3729" s="43">
        <f>IF($I3729=0,0,$J3729*$H3729/100/12)</f>
      </c>
      <c r="M3729" s="43">
        <f>IF($I3729=0,0,IF(OR(INDEX(DarlOhneTilgung,8)=1,AND(INDEX(DarlTilgStart,8)&gt;0,$E3729&lt;INDEX(DarlTilgStart,8))),0,MIN(MAX(0,$K3729-$L3729),$J3729)))</f>
      </c>
      <c r="N3729" s="43">
        <f>IF($I3729=0,0,MIN(SUMIFS(SondBetrag,SondDarl,8,SondDatum,"&gt;="&amp;$E3729,SondDatum,"&lt;="&amp;EOMONTH($E3729,0)),$J3729-$M3729))</f>
      </c>
      <c r="O3729" s="43">
        <f>IF($I3729=0,0,INDEX(DarlErsatzRate,8))</f>
      </c>
      <c r="P3729" s="43">
        <f>IF($I3729=0,0,$Q3728*INDEX(DarlErsatzZins,8))</f>
      </c>
      <c r="Q3729" s="43">
        <f>IF($I3729=0,0,$Q3728+$P3729+$O3729)</f>
      </c>
      <c r="R3729" s="43">
        <f>IF($I3729=0,0,$J3729-$M3729-$N3729)</f>
      </c>
    </row>
    <row r="3730">
      <c r="A3730"/>
      <c r="B3730">
        <v>8</v>
      </c>
      <c r="C3730" s="43">
        <f>INDEX(DarlObj,8)</f>
      </c>
      <c r="D3730">
        <v>367</v>
      </c>
      <c r="E3730" s="51">
        <f>IF(INDEX(DarlBelegt,8)=0,0,EOMONTH(INDEX(DarlAuszahlung,8),366)+1)</f>
      </c>
      <c r="F3730" s="43">
        <f>IF($E3730=0,0,YEAR($E3730))</f>
      </c>
      <c r="G3730" s="43">
        <f>IF(INDEX(DarlBindung,8)="",1,IF($E3730&lt;=INDEX(DarlBindung,8),1,0))</f>
      </c>
      <c r="H3730" s="43">
        <f>IF($G3730=1,INDEX(DarlSollzins,8),INDEX(DarlAnschluss,8))</f>
      </c>
      <c r="I3730" s="43">
        <f>IF(INDEX(DarlBelegt,8)=0,0,IF(INDEX(DarlOhneTilgung,8)=1,IF(INDEX(DarlBindung,8)="",1,$G3730),IF($J3730&gt;0.005,1,0)))</f>
      </c>
      <c r="J3730" s="43">
        <f>IF($I3729=0,0,$R3729)</f>
      </c>
      <c r="K3730" s="43">
        <f>IF($I3730=0,0,IF(INDEX(DarlOhneTilgung,8)=1,0,IF(AND(INDEX(DarlTilgStart,8)&gt;0,$E3730=INDEX(DarlTilgStart,8)),$J3730*($H3730+INDEX(DarlTilgung,8))/100/12,IF(AND($G3730=0,$G3729=1),MAX($K3729,$J3730*($H3730+1)/100/12),$K3729))))</f>
      </c>
      <c r="L3730" s="43">
        <f>IF($I3730=0,0,$J3730*$H3730/100/12)</f>
      </c>
      <c r="M3730" s="43">
        <f>IF($I3730=0,0,IF(OR(INDEX(DarlOhneTilgung,8)=1,AND(INDEX(DarlTilgStart,8)&gt;0,$E3730&lt;INDEX(DarlTilgStart,8))),0,MIN(MAX(0,$K3730-$L3730),$J3730)))</f>
      </c>
      <c r="N3730" s="43">
        <f>IF($I3730=0,0,MIN(SUMIFS(SondBetrag,SondDarl,8,SondDatum,"&gt;="&amp;$E3730,SondDatum,"&lt;="&amp;EOMONTH($E3730,0)),$J3730-$M3730))</f>
      </c>
      <c r="O3730" s="43">
        <f>IF($I3730=0,0,INDEX(DarlErsatzRate,8))</f>
      </c>
      <c r="P3730" s="43">
        <f>IF($I3730=0,0,$Q3729*INDEX(DarlErsatzZins,8))</f>
      </c>
      <c r="Q3730" s="43">
        <f>IF($I3730=0,0,$Q3729+$P3730+$O3730)</f>
      </c>
      <c r="R3730" s="43">
        <f>IF($I3730=0,0,$J3730-$M3730-$N3730)</f>
      </c>
    </row>
    <row r="3731">
      <c r="A3731"/>
      <c r="B3731">
        <v>8</v>
      </c>
      <c r="C3731" s="43">
        <f>INDEX(DarlObj,8)</f>
      </c>
      <c r="D3731">
        <v>368</v>
      </c>
      <c r="E3731" s="51">
        <f>IF(INDEX(DarlBelegt,8)=0,0,EOMONTH(INDEX(DarlAuszahlung,8),367)+1)</f>
      </c>
      <c r="F3731" s="43">
        <f>IF($E3731=0,0,YEAR($E3731))</f>
      </c>
      <c r="G3731" s="43">
        <f>IF(INDEX(DarlBindung,8)="",1,IF($E3731&lt;=INDEX(DarlBindung,8),1,0))</f>
      </c>
      <c r="H3731" s="43">
        <f>IF($G3731=1,INDEX(DarlSollzins,8),INDEX(DarlAnschluss,8))</f>
      </c>
      <c r="I3731" s="43">
        <f>IF(INDEX(DarlBelegt,8)=0,0,IF(INDEX(DarlOhneTilgung,8)=1,IF(INDEX(DarlBindung,8)="",1,$G3731),IF($J3731&gt;0.005,1,0)))</f>
      </c>
      <c r="J3731" s="43">
        <f>IF($I3730=0,0,$R3730)</f>
      </c>
      <c r="K3731" s="43">
        <f>IF($I3731=0,0,IF(INDEX(DarlOhneTilgung,8)=1,0,IF(AND(INDEX(DarlTilgStart,8)&gt;0,$E3731=INDEX(DarlTilgStart,8)),$J3731*($H3731+INDEX(DarlTilgung,8))/100/12,IF(AND($G3731=0,$G3730=1),MAX($K3730,$J3731*($H3731+1)/100/12),$K3730))))</f>
      </c>
      <c r="L3731" s="43">
        <f>IF($I3731=0,0,$J3731*$H3731/100/12)</f>
      </c>
      <c r="M3731" s="43">
        <f>IF($I3731=0,0,IF(OR(INDEX(DarlOhneTilgung,8)=1,AND(INDEX(DarlTilgStart,8)&gt;0,$E3731&lt;INDEX(DarlTilgStart,8))),0,MIN(MAX(0,$K3731-$L3731),$J3731)))</f>
      </c>
      <c r="N3731" s="43">
        <f>IF($I3731=0,0,MIN(SUMIFS(SondBetrag,SondDarl,8,SondDatum,"&gt;="&amp;$E3731,SondDatum,"&lt;="&amp;EOMONTH($E3731,0)),$J3731-$M3731))</f>
      </c>
      <c r="O3731" s="43">
        <f>IF($I3731=0,0,INDEX(DarlErsatzRate,8))</f>
      </c>
      <c r="P3731" s="43">
        <f>IF($I3731=0,0,$Q3730*INDEX(DarlErsatzZins,8))</f>
      </c>
      <c r="Q3731" s="43">
        <f>IF($I3731=0,0,$Q3730+$P3731+$O3731)</f>
      </c>
      <c r="R3731" s="43">
        <f>IF($I3731=0,0,$J3731-$M3731-$N3731)</f>
      </c>
    </row>
    <row r="3732">
      <c r="A3732"/>
      <c r="B3732">
        <v>8</v>
      </c>
      <c r="C3732" s="43">
        <f>INDEX(DarlObj,8)</f>
      </c>
      <c r="D3732">
        <v>369</v>
      </c>
      <c r="E3732" s="51">
        <f>IF(INDEX(DarlBelegt,8)=0,0,EOMONTH(INDEX(DarlAuszahlung,8),368)+1)</f>
      </c>
      <c r="F3732" s="43">
        <f>IF($E3732=0,0,YEAR($E3732))</f>
      </c>
      <c r="G3732" s="43">
        <f>IF(INDEX(DarlBindung,8)="",1,IF($E3732&lt;=INDEX(DarlBindung,8),1,0))</f>
      </c>
      <c r="H3732" s="43">
        <f>IF($G3732=1,INDEX(DarlSollzins,8),INDEX(DarlAnschluss,8))</f>
      </c>
      <c r="I3732" s="43">
        <f>IF(INDEX(DarlBelegt,8)=0,0,IF(INDEX(DarlOhneTilgung,8)=1,IF(INDEX(DarlBindung,8)="",1,$G3732),IF($J3732&gt;0.005,1,0)))</f>
      </c>
      <c r="J3732" s="43">
        <f>IF($I3731=0,0,$R3731)</f>
      </c>
      <c r="K3732" s="43">
        <f>IF($I3732=0,0,IF(INDEX(DarlOhneTilgung,8)=1,0,IF(AND(INDEX(DarlTilgStart,8)&gt;0,$E3732=INDEX(DarlTilgStart,8)),$J3732*($H3732+INDEX(DarlTilgung,8))/100/12,IF(AND($G3732=0,$G3731=1),MAX($K3731,$J3732*($H3732+1)/100/12),$K3731))))</f>
      </c>
      <c r="L3732" s="43">
        <f>IF($I3732=0,0,$J3732*$H3732/100/12)</f>
      </c>
      <c r="M3732" s="43">
        <f>IF($I3732=0,0,IF(OR(INDEX(DarlOhneTilgung,8)=1,AND(INDEX(DarlTilgStart,8)&gt;0,$E3732&lt;INDEX(DarlTilgStart,8))),0,MIN(MAX(0,$K3732-$L3732),$J3732)))</f>
      </c>
      <c r="N3732" s="43">
        <f>IF($I3732=0,0,MIN(SUMIFS(SondBetrag,SondDarl,8,SondDatum,"&gt;="&amp;$E3732,SondDatum,"&lt;="&amp;EOMONTH($E3732,0)),$J3732-$M3732))</f>
      </c>
      <c r="O3732" s="43">
        <f>IF($I3732=0,0,INDEX(DarlErsatzRate,8))</f>
      </c>
      <c r="P3732" s="43">
        <f>IF($I3732=0,0,$Q3731*INDEX(DarlErsatzZins,8))</f>
      </c>
      <c r="Q3732" s="43">
        <f>IF($I3732=0,0,$Q3731+$P3732+$O3732)</f>
      </c>
      <c r="R3732" s="43">
        <f>IF($I3732=0,0,$J3732-$M3732-$N3732)</f>
      </c>
    </row>
    <row r="3733">
      <c r="A3733"/>
      <c r="B3733">
        <v>8</v>
      </c>
      <c r="C3733" s="43">
        <f>INDEX(DarlObj,8)</f>
      </c>
      <c r="D3733">
        <v>370</v>
      </c>
      <c r="E3733" s="51">
        <f>IF(INDEX(DarlBelegt,8)=0,0,EOMONTH(INDEX(DarlAuszahlung,8),369)+1)</f>
      </c>
      <c r="F3733" s="43">
        <f>IF($E3733=0,0,YEAR($E3733))</f>
      </c>
      <c r="G3733" s="43">
        <f>IF(INDEX(DarlBindung,8)="",1,IF($E3733&lt;=INDEX(DarlBindung,8),1,0))</f>
      </c>
      <c r="H3733" s="43">
        <f>IF($G3733=1,INDEX(DarlSollzins,8),INDEX(DarlAnschluss,8))</f>
      </c>
      <c r="I3733" s="43">
        <f>IF(INDEX(DarlBelegt,8)=0,0,IF(INDEX(DarlOhneTilgung,8)=1,IF(INDEX(DarlBindung,8)="",1,$G3733),IF($J3733&gt;0.005,1,0)))</f>
      </c>
      <c r="J3733" s="43">
        <f>IF($I3732=0,0,$R3732)</f>
      </c>
      <c r="K3733" s="43">
        <f>IF($I3733=0,0,IF(INDEX(DarlOhneTilgung,8)=1,0,IF(AND(INDEX(DarlTilgStart,8)&gt;0,$E3733=INDEX(DarlTilgStart,8)),$J3733*($H3733+INDEX(DarlTilgung,8))/100/12,IF(AND($G3733=0,$G3732=1),MAX($K3732,$J3733*($H3733+1)/100/12),$K3732))))</f>
      </c>
      <c r="L3733" s="43">
        <f>IF($I3733=0,0,$J3733*$H3733/100/12)</f>
      </c>
      <c r="M3733" s="43">
        <f>IF($I3733=0,0,IF(OR(INDEX(DarlOhneTilgung,8)=1,AND(INDEX(DarlTilgStart,8)&gt;0,$E3733&lt;INDEX(DarlTilgStart,8))),0,MIN(MAX(0,$K3733-$L3733),$J3733)))</f>
      </c>
      <c r="N3733" s="43">
        <f>IF($I3733=0,0,MIN(SUMIFS(SondBetrag,SondDarl,8,SondDatum,"&gt;="&amp;$E3733,SondDatum,"&lt;="&amp;EOMONTH($E3733,0)),$J3733-$M3733))</f>
      </c>
      <c r="O3733" s="43">
        <f>IF($I3733=0,0,INDEX(DarlErsatzRate,8))</f>
      </c>
      <c r="P3733" s="43">
        <f>IF($I3733=0,0,$Q3732*INDEX(DarlErsatzZins,8))</f>
      </c>
      <c r="Q3733" s="43">
        <f>IF($I3733=0,0,$Q3732+$P3733+$O3733)</f>
      </c>
      <c r="R3733" s="43">
        <f>IF($I3733=0,0,$J3733-$M3733-$N3733)</f>
      </c>
    </row>
    <row r="3734">
      <c r="A3734"/>
      <c r="B3734">
        <v>8</v>
      </c>
      <c r="C3734" s="43">
        <f>INDEX(DarlObj,8)</f>
      </c>
      <c r="D3734">
        <v>371</v>
      </c>
      <c r="E3734" s="51">
        <f>IF(INDEX(DarlBelegt,8)=0,0,EOMONTH(INDEX(DarlAuszahlung,8),370)+1)</f>
      </c>
      <c r="F3734" s="43">
        <f>IF($E3734=0,0,YEAR($E3734))</f>
      </c>
      <c r="G3734" s="43">
        <f>IF(INDEX(DarlBindung,8)="",1,IF($E3734&lt;=INDEX(DarlBindung,8),1,0))</f>
      </c>
      <c r="H3734" s="43">
        <f>IF($G3734=1,INDEX(DarlSollzins,8),INDEX(DarlAnschluss,8))</f>
      </c>
      <c r="I3734" s="43">
        <f>IF(INDEX(DarlBelegt,8)=0,0,IF(INDEX(DarlOhneTilgung,8)=1,IF(INDEX(DarlBindung,8)="",1,$G3734),IF($J3734&gt;0.005,1,0)))</f>
      </c>
      <c r="J3734" s="43">
        <f>IF($I3733=0,0,$R3733)</f>
      </c>
      <c r="K3734" s="43">
        <f>IF($I3734=0,0,IF(INDEX(DarlOhneTilgung,8)=1,0,IF(AND(INDEX(DarlTilgStart,8)&gt;0,$E3734=INDEX(DarlTilgStart,8)),$J3734*($H3734+INDEX(DarlTilgung,8))/100/12,IF(AND($G3734=0,$G3733=1),MAX($K3733,$J3734*($H3734+1)/100/12),$K3733))))</f>
      </c>
      <c r="L3734" s="43">
        <f>IF($I3734=0,0,$J3734*$H3734/100/12)</f>
      </c>
      <c r="M3734" s="43">
        <f>IF($I3734=0,0,IF(OR(INDEX(DarlOhneTilgung,8)=1,AND(INDEX(DarlTilgStart,8)&gt;0,$E3734&lt;INDEX(DarlTilgStart,8))),0,MIN(MAX(0,$K3734-$L3734),$J3734)))</f>
      </c>
      <c r="N3734" s="43">
        <f>IF($I3734=0,0,MIN(SUMIFS(SondBetrag,SondDarl,8,SondDatum,"&gt;="&amp;$E3734,SondDatum,"&lt;="&amp;EOMONTH($E3734,0)),$J3734-$M3734))</f>
      </c>
      <c r="O3734" s="43">
        <f>IF($I3734=0,0,INDEX(DarlErsatzRate,8))</f>
      </c>
      <c r="P3734" s="43">
        <f>IF($I3734=0,0,$Q3733*INDEX(DarlErsatzZins,8))</f>
      </c>
      <c r="Q3734" s="43">
        <f>IF($I3734=0,0,$Q3733+$P3734+$O3734)</f>
      </c>
      <c r="R3734" s="43">
        <f>IF($I3734=0,0,$J3734-$M3734-$N3734)</f>
      </c>
    </row>
    <row r="3735">
      <c r="A3735"/>
      <c r="B3735">
        <v>8</v>
      </c>
      <c r="C3735" s="43">
        <f>INDEX(DarlObj,8)</f>
      </c>
      <c r="D3735">
        <v>372</v>
      </c>
      <c r="E3735" s="51">
        <f>IF(INDEX(DarlBelegt,8)=0,0,EOMONTH(INDEX(DarlAuszahlung,8),371)+1)</f>
      </c>
      <c r="F3735" s="43">
        <f>IF($E3735=0,0,YEAR($E3735))</f>
      </c>
      <c r="G3735" s="43">
        <f>IF(INDEX(DarlBindung,8)="",1,IF($E3735&lt;=INDEX(DarlBindung,8),1,0))</f>
      </c>
      <c r="H3735" s="43">
        <f>IF($G3735=1,INDEX(DarlSollzins,8),INDEX(DarlAnschluss,8))</f>
      </c>
      <c r="I3735" s="43">
        <f>IF(INDEX(DarlBelegt,8)=0,0,IF(INDEX(DarlOhneTilgung,8)=1,IF(INDEX(DarlBindung,8)="",1,$G3735),IF($J3735&gt;0.005,1,0)))</f>
      </c>
      <c r="J3735" s="43">
        <f>IF($I3734=0,0,$R3734)</f>
      </c>
      <c r="K3735" s="43">
        <f>IF($I3735=0,0,IF(INDEX(DarlOhneTilgung,8)=1,0,IF(AND(INDEX(DarlTilgStart,8)&gt;0,$E3735=INDEX(DarlTilgStart,8)),$J3735*($H3735+INDEX(DarlTilgung,8))/100/12,IF(AND($G3735=0,$G3734=1),MAX($K3734,$J3735*($H3735+1)/100/12),$K3734))))</f>
      </c>
      <c r="L3735" s="43">
        <f>IF($I3735=0,0,$J3735*$H3735/100/12)</f>
      </c>
      <c r="M3735" s="43">
        <f>IF($I3735=0,0,IF(OR(INDEX(DarlOhneTilgung,8)=1,AND(INDEX(DarlTilgStart,8)&gt;0,$E3735&lt;INDEX(DarlTilgStart,8))),0,MIN(MAX(0,$K3735-$L3735),$J3735)))</f>
      </c>
      <c r="N3735" s="43">
        <f>IF($I3735=0,0,MIN(SUMIFS(SondBetrag,SondDarl,8,SondDatum,"&gt;="&amp;$E3735,SondDatum,"&lt;="&amp;EOMONTH($E3735,0)),$J3735-$M3735))</f>
      </c>
      <c r="O3735" s="43">
        <f>IF($I3735=0,0,INDEX(DarlErsatzRate,8))</f>
      </c>
      <c r="P3735" s="43">
        <f>IF($I3735=0,0,$Q3734*INDEX(DarlErsatzZins,8))</f>
      </c>
      <c r="Q3735" s="43">
        <f>IF($I3735=0,0,$Q3734+$P3735+$O3735)</f>
      </c>
      <c r="R3735" s="43">
        <f>IF($I3735=0,0,$J3735-$M3735-$N3735)</f>
      </c>
    </row>
    <row r="3736">
      <c r="A3736"/>
      <c r="B3736">
        <v>8</v>
      </c>
      <c r="C3736" s="43">
        <f>INDEX(DarlObj,8)</f>
      </c>
      <c r="D3736">
        <v>373</v>
      </c>
      <c r="E3736" s="51">
        <f>IF(INDEX(DarlBelegt,8)=0,0,EOMONTH(INDEX(DarlAuszahlung,8),372)+1)</f>
      </c>
      <c r="F3736" s="43">
        <f>IF($E3736=0,0,YEAR($E3736))</f>
      </c>
      <c r="G3736" s="43">
        <f>IF(INDEX(DarlBindung,8)="",1,IF($E3736&lt;=INDEX(DarlBindung,8),1,0))</f>
      </c>
      <c r="H3736" s="43">
        <f>IF($G3736=1,INDEX(DarlSollzins,8),INDEX(DarlAnschluss,8))</f>
      </c>
      <c r="I3736" s="43">
        <f>IF(INDEX(DarlBelegt,8)=0,0,IF(INDEX(DarlOhneTilgung,8)=1,IF(INDEX(DarlBindung,8)="",1,$G3736),IF($J3736&gt;0.005,1,0)))</f>
      </c>
      <c r="J3736" s="43">
        <f>IF($I3735=0,0,$R3735)</f>
      </c>
      <c r="K3736" s="43">
        <f>IF($I3736=0,0,IF(INDEX(DarlOhneTilgung,8)=1,0,IF(AND(INDEX(DarlTilgStart,8)&gt;0,$E3736=INDEX(DarlTilgStart,8)),$J3736*($H3736+INDEX(DarlTilgung,8))/100/12,IF(AND($G3736=0,$G3735=1),MAX($K3735,$J3736*($H3736+1)/100/12),$K3735))))</f>
      </c>
      <c r="L3736" s="43">
        <f>IF($I3736=0,0,$J3736*$H3736/100/12)</f>
      </c>
      <c r="M3736" s="43">
        <f>IF($I3736=0,0,IF(OR(INDEX(DarlOhneTilgung,8)=1,AND(INDEX(DarlTilgStart,8)&gt;0,$E3736&lt;INDEX(DarlTilgStart,8))),0,MIN(MAX(0,$K3736-$L3736),$J3736)))</f>
      </c>
      <c r="N3736" s="43">
        <f>IF($I3736=0,0,MIN(SUMIFS(SondBetrag,SondDarl,8,SondDatum,"&gt;="&amp;$E3736,SondDatum,"&lt;="&amp;EOMONTH($E3736,0)),$J3736-$M3736))</f>
      </c>
      <c r="O3736" s="43">
        <f>IF($I3736=0,0,INDEX(DarlErsatzRate,8))</f>
      </c>
      <c r="P3736" s="43">
        <f>IF($I3736=0,0,$Q3735*INDEX(DarlErsatzZins,8))</f>
      </c>
      <c r="Q3736" s="43">
        <f>IF($I3736=0,0,$Q3735+$P3736+$O3736)</f>
      </c>
      <c r="R3736" s="43">
        <f>IF($I3736=0,0,$J3736-$M3736-$N3736)</f>
      </c>
    </row>
    <row r="3737">
      <c r="A3737"/>
      <c r="B3737">
        <v>8</v>
      </c>
      <c r="C3737" s="43">
        <f>INDEX(DarlObj,8)</f>
      </c>
      <c r="D3737">
        <v>374</v>
      </c>
      <c r="E3737" s="51">
        <f>IF(INDEX(DarlBelegt,8)=0,0,EOMONTH(INDEX(DarlAuszahlung,8),373)+1)</f>
      </c>
      <c r="F3737" s="43">
        <f>IF($E3737=0,0,YEAR($E3737))</f>
      </c>
      <c r="G3737" s="43">
        <f>IF(INDEX(DarlBindung,8)="",1,IF($E3737&lt;=INDEX(DarlBindung,8),1,0))</f>
      </c>
      <c r="H3737" s="43">
        <f>IF($G3737=1,INDEX(DarlSollzins,8),INDEX(DarlAnschluss,8))</f>
      </c>
      <c r="I3737" s="43">
        <f>IF(INDEX(DarlBelegt,8)=0,0,IF(INDEX(DarlOhneTilgung,8)=1,IF(INDEX(DarlBindung,8)="",1,$G3737),IF($J3737&gt;0.005,1,0)))</f>
      </c>
      <c r="J3737" s="43">
        <f>IF($I3736=0,0,$R3736)</f>
      </c>
      <c r="K3737" s="43">
        <f>IF($I3737=0,0,IF(INDEX(DarlOhneTilgung,8)=1,0,IF(AND(INDEX(DarlTilgStart,8)&gt;0,$E3737=INDEX(DarlTilgStart,8)),$J3737*($H3737+INDEX(DarlTilgung,8))/100/12,IF(AND($G3737=0,$G3736=1),MAX($K3736,$J3737*($H3737+1)/100/12),$K3736))))</f>
      </c>
      <c r="L3737" s="43">
        <f>IF($I3737=0,0,$J3737*$H3737/100/12)</f>
      </c>
      <c r="M3737" s="43">
        <f>IF($I3737=0,0,IF(OR(INDEX(DarlOhneTilgung,8)=1,AND(INDEX(DarlTilgStart,8)&gt;0,$E3737&lt;INDEX(DarlTilgStart,8))),0,MIN(MAX(0,$K3737-$L3737),$J3737)))</f>
      </c>
      <c r="N3737" s="43">
        <f>IF($I3737=0,0,MIN(SUMIFS(SondBetrag,SondDarl,8,SondDatum,"&gt;="&amp;$E3737,SondDatum,"&lt;="&amp;EOMONTH($E3737,0)),$J3737-$M3737))</f>
      </c>
      <c r="O3737" s="43">
        <f>IF($I3737=0,0,INDEX(DarlErsatzRate,8))</f>
      </c>
      <c r="P3737" s="43">
        <f>IF($I3737=0,0,$Q3736*INDEX(DarlErsatzZins,8))</f>
      </c>
      <c r="Q3737" s="43">
        <f>IF($I3737=0,0,$Q3736+$P3737+$O3737)</f>
      </c>
      <c r="R3737" s="43">
        <f>IF($I3737=0,0,$J3737-$M3737-$N3737)</f>
      </c>
    </row>
    <row r="3738">
      <c r="A3738"/>
      <c r="B3738">
        <v>8</v>
      </c>
      <c r="C3738" s="43">
        <f>INDEX(DarlObj,8)</f>
      </c>
      <c r="D3738">
        <v>375</v>
      </c>
      <c r="E3738" s="51">
        <f>IF(INDEX(DarlBelegt,8)=0,0,EOMONTH(INDEX(DarlAuszahlung,8),374)+1)</f>
      </c>
      <c r="F3738" s="43">
        <f>IF($E3738=0,0,YEAR($E3738))</f>
      </c>
      <c r="G3738" s="43">
        <f>IF(INDEX(DarlBindung,8)="",1,IF($E3738&lt;=INDEX(DarlBindung,8),1,0))</f>
      </c>
      <c r="H3738" s="43">
        <f>IF($G3738=1,INDEX(DarlSollzins,8),INDEX(DarlAnschluss,8))</f>
      </c>
      <c r="I3738" s="43">
        <f>IF(INDEX(DarlBelegt,8)=0,0,IF(INDEX(DarlOhneTilgung,8)=1,IF(INDEX(DarlBindung,8)="",1,$G3738),IF($J3738&gt;0.005,1,0)))</f>
      </c>
      <c r="J3738" s="43">
        <f>IF($I3737=0,0,$R3737)</f>
      </c>
      <c r="K3738" s="43">
        <f>IF($I3738=0,0,IF(INDEX(DarlOhneTilgung,8)=1,0,IF(AND(INDEX(DarlTilgStart,8)&gt;0,$E3738=INDEX(DarlTilgStart,8)),$J3738*($H3738+INDEX(DarlTilgung,8))/100/12,IF(AND($G3738=0,$G3737=1),MAX($K3737,$J3738*($H3738+1)/100/12),$K3737))))</f>
      </c>
      <c r="L3738" s="43">
        <f>IF($I3738=0,0,$J3738*$H3738/100/12)</f>
      </c>
      <c r="M3738" s="43">
        <f>IF($I3738=0,0,IF(OR(INDEX(DarlOhneTilgung,8)=1,AND(INDEX(DarlTilgStart,8)&gt;0,$E3738&lt;INDEX(DarlTilgStart,8))),0,MIN(MAX(0,$K3738-$L3738),$J3738)))</f>
      </c>
      <c r="N3738" s="43">
        <f>IF($I3738=0,0,MIN(SUMIFS(SondBetrag,SondDarl,8,SondDatum,"&gt;="&amp;$E3738,SondDatum,"&lt;="&amp;EOMONTH($E3738,0)),$J3738-$M3738))</f>
      </c>
      <c r="O3738" s="43">
        <f>IF($I3738=0,0,INDEX(DarlErsatzRate,8))</f>
      </c>
      <c r="P3738" s="43">
        <f>IF($I3738=0,0,$Q3737*INDEX(DarlErsatzZins,8))</f>
      </c>
      <c r="Q3738" s="43">
        <f>IF($I3738=0,0,$Q3737+$P3738+$O3738)</f>
      </c>
      <c r="R3738" s="43">
        <f>IF($I3738=0,0,$J3738-$M3738-$N3738)</f>
      </c>
    </row>
    <row r="3739">
      <c r="A3739"/>
      <c r="B3739">
        <v>8</v>
      </c>
      <c r="C3739" s="43">
        <f>INDEX(DarlObj,8)</f>
      </c>
      <c r="D3739">
        <v>376</v>
      </c>
      <c r="E3739" s="51">
        <f>IF(INDEX(DarlBelegt,8)=0,0,EOMONTH(INDEX(DarlAuszahlung,8),375)+1)</f>
      </c>
      <c r="F3739" s="43">
        <f>IF($E3739=0,0,YEAR($E3739))</f>
      </c>
      <c r="G3739" s="43">
        <f>IF(INDEX(DarlBindung,8)="",1,IF($E3739&lt;=INDEX(DarlBindung,8),1,0))</f>
      </c>
      <c r="H3739" s="43">
        <f>IF($G3739=1,INDEX(DarlSollzins,8),INDEX(DarlAnschluss,8))</f>
      </c>
      <c r="I3739" s="43">
        <f>IF(INDEX(DarlBelegt,8)=0,0,IF(INDEX(DarlOhneTilgung,8)=1,IF(INDEX(DarlBindung,8)="",1,$G3739),IF($J3739&gt;0.005,1,0)))</f>
      </c>
      <c r="J3739" s="43">
        <f>IF($I3738=0,0,$R3738)</f>
      </c>
      <c r="K3739" s="43">
        <f>IF($I3739=0,0,IF(INDEX(DarlOhneTilgung,8)=1,0,IF(AND(INDEX(DarlTilgStart,8)&gt;0,$E3739=INDEX(DarlTilgStart,8)),$J3739*($H3739+INDEX(DarlTilgung,8))/100/12,IF(AND($G3739=0,$G3738=1),MAX($K3738,$J3739*($H3739+1)/100/12),$K3738))))</f>
      </c>
      <c r="L3739" s="43">
        <f>IF($I3739=0,0,$J3739*$H3739/100/12)</f>
      </c>
      <c r="M3739" s="43">
        <f>IF($I3739=0,0,IF(OR(INDEX(DarlOhneTilgung,8)=1,AND(INDEX(DarlTilgStart,8)&gt;0,$E3739&lt;INDEX(DarlTilgStart,8))),0,MIN(MAX(0,$K3739-$L3739),$J3739)))</f>
      </c>
      <c r="N3739" s="43">
        <f>IF($I3739=0,0,MIN(SUMIFS(SondBetrag,SondDarl,8,SondDatum,"&gt;="&amp;$E3739,SondDatum,"&lt;="&amp;EOMONTH($E3739,0)),$J3739-$M3739))</f>
      </c>
      <c r="O3739" s="43">
        <f>IF($I3739=0,0,INDEX(DarlErsatzRate,8))</f>
      </c>
      <c r="P3739" s="43">
        <f>IF($I3739=0,0,$Q3738*INDEX(DarlErsatzZins,8))</f>
      </c>
      <c r="Q3739" s="43">
        <f>IF($I3739=0,0,$Q3738+$P3739+$O3739)</f>
      </c>
      <c r="R3739" s="43">
        <f>IF($I3739=0,0,$J3739-$M3739-$N3739)</f>
      </c>
    </row>
    <row r="3740">
      <c r="A3740"/>
      <c r="B3740">
        <v>8</v>
      </c>
      <c r="C3740" s="43">
        <f>INDEX(DarlObj,8)</f>
      </c>
      <c r="D3740">
        <v>377</v>
      </c>
      <c r="E3740" s="51">
        <f>IF(INDEX(DarlBelegt,8)=0,0,EOMONTH(INDEX(DarlAuszahlung,8),376)+1)</f>
      </c>
      <c r="F3740" s="43">
        <f>IF($E3740=0,0,YEAR($E3740))</f>
      </c>
      <c r="G3740" s="43">
        <f>IF(INDEX(DarlBindung,8)="",1,IF($E3740&lt;=INDEX(DarlBindung,8),1,0))</f>
      </c>
      <c r="H3740" s="43">
        <f>IF($G3740=1,INDEX(DarlSollzins,8),INDEX(DarlAnschluss,8))</f>
      </c>
      <c r="I3740" s="43">
        <f>IF(INDEX(DarlBelegt,8)=0,0,IF(INDEX(DarlOhneTilgung,8)=1,IF(INDEX(DarlBindung,8)="",1,$G3740),IF($J3740&gt;0.005,1,0)))</f>
      </c>
      <c r="J3740" s="43">
        <f>IF($I3739=0,0,$R3739)</f>
      </c>
      <c r="K3740" s="43">
        <f>IF($I3740=0,0,IF(INDEX(DarlOhneTilgung,8)=1,0,IF(AND(INDEX(DarlTilgStart,8)&gt;0,$E3740=INDEX(DarlTilgStart,8)),$J3740*($H3740+INDEX(DarlTilgung,8))/100/12,IF(AND($G3740=0,$G3739=1),MAX($K3739,$J3740*($H3740+1)/100/12),$K3739))))</f>
      </c>
      <c r="L3740" s="43">
        <f>IF($I3740=0,0,$J3740*$H3740/100/12)</f>
      </c>
      <c r="M3740" s="43">
        <f>IF($I3740=0,0,IF(OR(INDEX(DarlOhneTilgung,8)=1,AND(INDEX(DarlTilgStart,8)&gt;0,$E3740&lt;INDEX(DarlTilgStart,8))),0,MIN(MAX(0,$K3740-$L3740),$J3740)))</f>
      </c>
      <c r="N3740" s="43">
        <f>IF($I3740=0,0,MIN(SUMIFS(SondBetrag,SondDarl,8,SondDatum,"&gt;="&amp;$E3740,SondDatum,"&lt;="&amp;EOMONTH($E3740,0)),$J3740-$M3740))</f>
      </c>
      <c r="O3740" s="43">
        <f>IF($I3740=0,0,INDEX(DarlErsatzRate,8))</f>
      </c>
      <c r="P3740" s="43">
        <f>IF($I3740=0,0,$Q3739*INDEX(DarlErsatzZins,8))</f>
      </c>
      <c r="Q3740" s="43">
        <f>IF($I3740=0,0,$Q3739+$P3740+$O3740)</f>
      </c>
      <c r="R3740" s="43">
        <f>IF($I3740=0,0,$J3740-$M3740-$N3740)</f>
      </c>
    </row>
    <row r="3741">
      <c r="A3741"/>
      <c r="B3741">
        <v>8</v>
      </c>
      <c r="C3741" s="43">
        <f>INDEX(DarlObj,8)</f>
      </c>
      <c r="D3741">
        <v>378</v>
      </c>
      <c r="E3741" s="51">
        <f>IF(INDEX(DarlBelegt,8)=0,0,EOMONTH(INDEX(DarlAuszahlung,8),377)+1)</f>
      </c>
      <c r="F3741" s="43">
        <f>IF($E3741=0,0,YEAR($E3741))</f>
      </c>
      <c r="G3741" s="43">
        <f>IF(INDEX(DarlBindung,8)="",1,IF($E3741&lt;=INDEX(DarlBindung,8),1,0))</f>
      </c>
      <c r="H3741" s="43">
        <f>IF($G3741=1,INDEX(DarlSollzins,8),INDEX(DarlAnschluss,8))</f>
      </c>
      <c r="I3741" s="43">
        <f>IF(INDEX(DarlBelegt,8)=0,0,IF(INDEX(DarlOhneTilgung,8)=1,IF(INDEX(DarlBindung,8)="",1,$G3741),IF($J3741&gt;0.005,1,0)))</f>
      </c>
      <c r="J3741" s="43">
        <f>IF($I3740=0,0,$R3740)</f>
      </c>
      <c r="K3741" s="43">
        <f>IF($I3741=0,0,IF(INDEX(DarlOhneTilgung,8)=1,0,IF(AND(INDEX(DarlTilgStart,8)&gt;0,$E3741=INDEX(DarlTilgStart,8)),$J3741*($H3741+INDEX(DarlTilgung,8))/100/12,IF(AND($G3741=0,$G3740=1),MAX($K3740,$J3741*($H3741+1)/100/12),$K3740))))</f>
      </c>
      <c r="L3741" s="43">
        <f>IF($I3741=0,0,$J3741*$H3741/100/12)</f>
      </c>
      <c r="M3741" s="43">
        <f>IF($I3741=0,0,IF(OR(INDEX(DarlOhneTilgung,8)=1,AND(INDEX(DarlTilgStart,8)&gt;0,$E3741&lt;INDEX(DarlTilgStart,8))),0,MIN(MAX(0,$K3741-$L3741),$J3741)))</f>
      </c>
      <c r="N3741" s="43">
        <f>IF($I3741=0,0,MIN(SUMIFS(SondBetrag,SondDarl,8,SondDatum,"&gt;="&amp;$E3741,SondDatum,"&lt;="&amp;EOMONTH($E3741,0)),$J3741-$M3741))</f>
      </c>
      <c r="O3741" s="43">
        <f>IF($I3741=0,0,INDEX(DarlErsatzRate,8))</f>
      </c>
      <c r="P3741" s="43">
        <f>IF($I3741=0,0,$Q3740*INDEX(DarlErsatzZins,8))</f>
      </c>
      <c r="Q3741" s="43">
        <f>IF($I3741=0,0,$Q3740+$P3741+$O3741)</f>
      </c>
      <c r="R3741" s="43">
        <f>IF($I3741=0,0,$J3741-$M3741-$N3741)</f>
      </c>
    </row>
    <row r="3742">
      <c r="A3742"/>
      <c r="B3742">
        <v>8</v>
      </c>
      <c r="C3742" s="43">
        <f>INDEX(DarlObj,8)</f>
      </c>
      <c r="D3742">
        <v>379</v>
      </c>
      <c r="E3742" s="51">
        <f>IF(INDEX(DarlBelegt,8)=0,0,EOMONTH(INDEX(DarlAuszahlung,8),378)+1)</f>
      </c>
      <c r="F3742" s="43">
        <f>IF($E3742=0,0,YEAR($E3742))</f>
      </c>
      <c r="G3742" s="43">
        <f>IF(INDEX(DarlBindung,8)="",1,IF($E3742&lt;=INDEX(DarlBindung,8),1,0))</f>
      </c>
      <c r="H3742" s="43">
        <f>IF($G3742=1,INDEX(DarlSollzins,8),INDEX(DarlAnschluss,8))</f>
      </c>
      <c r="I3742" s="43">
        <f>IF(INDEX(DarlBelegt,8)=0,0,IF(INDEX(DarlOhneTilgung,8)=1,IF(INDEX(DarlBindung,8)="",1,$G3742),IF($J3742&gt;0.005,1,0)))</f>
      </c>
      <c r="J3742" s="43">
        <f>IF($I3741=0,0,$R3741)</f>
      </c>
      <c r="K3742" s="43">
        <f>IF($I3742=0,0,IF(INDEX(DarlOhneTilgung,8)=1,0,IF(AND(INDEX(DarlTilgStart,8)&gt;0,$E3742=INDEX(DarlTilgStart,8)),$J3742*($H3742+INDEX(DarlTilgung,8))/100/12,IF(AND($G3742=0,$G3741=1),MAX($K3741,$J3742*($H3742+1)/100/12),$K3741))))</f>
      </c>
      <c r="L3742" s="43">
        <f>IF($I3742=0,0,$J3742*$H3742/100/12)</f>
      </c>
      <c r="M3742" s="43">
        <f>IF($I3742=0,0,IF(OR(INDEX(DarlOhneTilgung,8)=1,AND(INDEX(DarlTilgStart,8)&gt;0,$E3742&lt;INDEX(DarlTilgStart,8))),0,MIN(MAX(0,$K3742-$L3742),$J3742)))</f>
      </c>
      <c r="N3742" s="43">
        <f>IF($I3742=0,0,MIN(SUMIFS(SondBetrag,SondDarl,8,SondDatum,"&gt;="&amp;$E3742,SondDatum,"&lt;="&amp;EOMONTH($E3742,0)),$J3742-$M3742))</f>
      </c>
      <c r="O3742" s="43">
        <f>IF($I3742=0,0,INDEX(DarlErsatzRate,8))</f>
      </c>
      <c r="P3742" s="43">
        <f>IF($I3742=0,0,$Q3741*INDEX(DarlErsatzZins,8))</f>
      </c>
      <c r="Q3742" s="43">
        <f>IF($I3742=0,0,$Q3741+$P3742+$O3742)</f>
      </c>
      <c r="R3742" s="43">
        <f>IF($I3742=0,0,$J3742-$M3742-$N3742)</f>
      </c>
    </row>
    <row r="3743">
      <c r="A3743"/>
      <c r="B3743">
        <v>8</v>
      </c>
      <c r="C3743" s="43">
        <f>INDEX(DarlObj,8)</f>
      </c>
      <c r="D3743">
        <v>380</v>
      </c>
      <c r="E3743" s="51">
        <f>IF(INDEX(DarlBelegt,8)=0,0,EOMONTH(INDEX(DarlAuszahlung,8),379)+1)</f>
      </c>
      <c r="F3743" s="43">
        <f>IF($E3743=0,0,YEAR($E3743))</f>
      </c>
      <c r="G3743" s="43">
        <f>IF(INDEX(DarlBindung,8)="",1,IF($E3743&lt;=INDEX(DarlBindung,8),1,0))</f>
      </c>
      <c r="H3743" s="43">
        <f>IF($G3743=1,INDEX(DarlSollzins,8),INDEX(DarlAnschluss,8))</f>
      </c>
      <c r="I3743" s="43">
        <f>IF(INDEX(DarlBelegt,8)=0,0,IF(INDEX(DarlOhneTilgung,8)=1,IF(INDEX(DarlBindung,8)="",1,$G3743),IF($J3743&gt;0.005,1,0)))</f>
      </c>
      <c r="J3743" s="43">
        <f>IF($I3742=0,0,$R3742)</f>
      </c>
      <c r="K3743" s="43">
        <f>IF($I3743=0,0,IF(INDEX(DarlOhneTilgung,8)=1,0,IF(AND(INDEX(DarlTilgStart,8)&gt;0,$E3743=INDEX(DarlTilgStart,8)),$J3743*($H3743+INDEX(DarlTilgung,8))/100/12,IF(AND($G3743=0,$G3742=1),MAX($K3742,$J3743*($H3743+1)/100/12),$K3742))))</f>
      </c>
      <c r="L3743" s="43">
        <f>IF($I3743=0,0,$J3743*$H3743/100/12)</f>
      </c>
      <c r="M3743" s="43">
        <f>IF($I3743=0,0,IF(OR(INDEX(DarlOhneTilgung,8)=1,AND(INDEX(DarlTilgStart,8)&gt;0,$E3743&lt;INDEX(DarlTilgStart,8))),0,MIN(MAX(0,$K3743-$L3743),$J3743)))</f>
      </c>
      <c r="N3743" s="43">
        <f>IF($I3743=0,0,MIN(SUMIFS(SondBetrag,SondDarl,8,SondDatum,"&gt;="&amp;$E3743,SondDatum,"&lt;="&amp;EOMONTH($E3743,0)),$J3743-$M3743))</f>
      </c>
      <c r="O3743" s="43">
        <f>IF($I3743=0,0,INDEX(DarlErsatzRate,8))</f>
      </c>
      <c r="P3743" s="43">
        <f>IF($I3743=0,0,$Q3742*INDEX(DarlErsatzZins,8))</f>
      </c>
      <c r="Q3743" s="43">
        <f>IF($I3743=0,0,$Q3742+$P3743+$O3743)</f>
      </c>
      <c r="R3743" s="43">
        <f>IF($I3743=0,0,$J3743-$M3743-$N3743)</f>
      </c>
    </row>
    <row r="3744">
      <c r="A3744"/>
      <c r="B3744">
        <v>8</v>
      </c>
      <c r="C3744" s="43">
        <f>INDEX(DarlObj,8)</f>
      </c>
      <c r="D3744">
        <v>381</v>
      </c>
      <c r="E3744" s="51">
        <f>IF(INDEX(DarlBelegt,8)=0,0,EOMONTH(INDEX(DarlAuszahlung,8),380)+1)</f>
      </c>
      <c r="F3744" s="43">
        <f>IF($E3744=0,0,YEAR($E3744))</f>
      </c>
      <c r="G3744" s="43">
        <f>IF(INDEX(DarlBindung,8)="",1,IF($E3744&lt;=INDEX(DarlBindung,8),1,0))</f>
      </c>
      <c r="H3744" s="43">
        <f>IF($G3744=1,INDEX(DarlSollzins,8),INDEX(DarlAnschluss,8))</f>
      </c>
      <c r="I3744" s="43">
        <f>IF(INDEX(DarlBelegt,8)=0,0,IF(INDEX(DarlOhneTilgung,8)=1,IF(INDEX(DarlBindung,8)="",1,$G3744),IF($J3744&gt;0.005,1,0)))</f>
      </c>
      <c r="J3744" s="43">
        <f>IF($I3743=0,0,$R3743)</f>
      </c>
      <c r="K3744" s="43">
        <f>IF($I3744=0,0,IF(INDEX(DarlOhneTilgung,8)=1,0,IF(AND(INDEX(DarlTilgStart,8)&gt;0,$E3744=INDEX(DarlTilgStart,8)),$J3744*($H3744+INDEX(DarlTilgung,8))/100/12,IF(AND($G3744=0,$G3743=1),MAX($K3743,$J3744*($H3744+1)/100/12),$K3743))))</f>
      </c>
      <c r="L3744" s="43">
        <f>IF($I3744=0,0,$J3744*$H3744/100/12)</f>
      </c>
      <c r="M3744" s="43">
        <f>IF($I3744=0,0,IF(OR(INDEX(DarlOhneTilgung,8)=1,AND(INDEX(DarlTilgStart,8)&gt;0,$E3744&lt;INDEX(DarlTilgStart,8))),0,MIN(MAX(0,$K3744-$L3744),$J3744)))</f>
      </c>
      <c r="N3744" s="43">
        <f>IF($I3744=0,0,MIN(SUMIFS(SondBetrag,SondDarl,8,SondDatum,"&gt;="&amp;$E3744,SondDatum,"&lt;="&amp;EOMONTH($E3744,0)),$J3744-$M3744))</f>
      </c>
      <c r="O3744" s="43">
        <f>IF($I3744=0,0,INDEX(DarlErsatzRate,8))</f>
      </c>
      <c r="P3744" s="43">
        <f>IF($I3744=0,0,$Q3743*INDEX(DarlErsatzZins,8))</f>
      </c>
      <c r="Q3744" s="43">
        <f>IF($I3744=0,0,$Q3743+$P3744+$O3744)</f>
      </c>
      <c r="R3744" s="43">
        <f>IF($I3744=0,0,$J3744-$M3744-$N3744)</f>
      </c>
    </row>
    <row r="3745">
      <c r="A3745"/>
      <c r="B3745">
        <v>8</v>
      </c>
      <c r="C3745" s="43">
        <f>INDEX(DarlObj,8)</f>
      </c>
      <c r="D3745">
        <v>382</v>
      </c>
      <c r="E3745" s="51">
        <f>IF(INDEX(DarlBelegt,8)=0,0,EOMONTH(INDEX(DarlAuszahlung,8),381)+1)</f>
      </c>
      <c r="F3745" s="43">
        <f>IF($E3745=0,0,YEAR($E3745))</f>
      </c>
      <c r="G3745" s="43">
        <f>IF(INDEX(DarlBindung,8)="",1,IF($E3745&lt;=INDEX(DarlBindung,8),1,0))</f>
      </c>
      <c r="H3745" s="43">
        <f>IF($G3745=1,INDEX(DarlSollzins,8),INDEX(DarlAnschluss,8))</f>
      </c>
      <c r="I3745" s="43">
        <f>IF(INDEX(DarlBelegt,8)=0,0,IF(INDEX(DarlOhneTilgung,8)=1,IF(INDEX(DarlBindung,8)="",1,$G3745),IF($J3745&gt;0.005,1,0)))</f>
      </c>
      <c r="J3745" s="43">
        <f>IF($I3744=0,0,$R3744)</f>
      </c>
      <c r="K3745" s="43">
        <f>IF($I3745=0,0,IF(INDEX(DarlOhneTilgung,8)=1,0,IF(AND(INDEX(DarlTilgStart,8)&gt;0,$E3745=INDEX(DarlTilgStart,8)),$J3745*($H3745+INDEX(DarlTilgung,8))/100/12,IF(AND($G3745=0,$G3744=1),MAX($K3744,$J3745*($H3745+1)/100/12),$K3744))))</f>
      </c>
      <c r="L3745" s="43">
        <f>IF($I3745=0,0,$J3745*$H3745/100/12)</f>
      </c>
      <c r="M3745" s="43">
        <f>IF($I3745=0,0,IF(OR(INDEX(DarlOhneTilgung,8)=1,AND(INDEX(DarlTilgStart,8)&gt;0,$E3745&lt;INDEX(DarlTilgStart,8))),0,MIN(MAX(0,$K3745-$L3745),$J3745)))</f>
      </c>
      <c r="N3745" s="43">
        <f>IF($I3745=0,0,MIN(SUMIFS(SondBetrag,SondDarl,8,SondDatum,"&gt;="&amp;$E3745,SondDatum,"&lt;="&amp;EOMONTH($E3745,0)),$J3745-$M3745))</f>
      </c>
      <c r="O3745" s="43">
        <f>IF($I3745=0,0,INDEX(DarlErsatzRate,8))</f>
      </c>
      <c r="P3745" s="43">
        <f>IF($I3745=0,0,$Q3744*INDEX(DarlErsatzZins,8))</f>
      </c>
      <c r="Q3745" s="43">
        <f>IF($I3745=0,0,$Q3744+$P3745+$O3745)</f>
      </c>
      <c r="R3745" s="43">
        <f>IF($I3745=0,0,$J3745-$M3745-$N3745)</f>
      </c>
    </row>
    <row r="3746">
      <c r="A3746"/>
      <c r="B3746">
        <v>8</v>
      </c>
      <c r="C3746" s="43">
        <f>INDEX(DarlObj,8)</f>
      </c>
      <c r="D3746">
        <v>383</v>
      </c>
      <c r="E3746" s="51">
        <f>IF(INDEX(DarlBelegt,8)=0,0,EOMONTH(INDEX(DarlAuszahlung,8),382)+1)</f>
      </c>
      <c r="F3746" s="43">
        <f>IF($E3746=0,0,YEAR($E3746))</f>
      </c>
      <c r="G3746" s="43">
        <f>IF(INDEX(DarlBindung,8)="",1,IF($E3746&lt;=INDEX(DarlBindung,8),1,0))</f>
      </c>
      <c r="H3746" s="43">
        <f>IF($G3746=1,INDEX(DarlSollzins,8),INDEX(DarlAnschluss,8))</f>
      </c>
      <c r="I3746" s="43">
        <f>IF(INDEX(DarlBelegt,8)=0,0,IF(INDEX(DarlOhneTilgung,8)=1,IF(INDEX(DarlBindung,8)="",1,$G3746),IF($J3746&gt;0.005,1,0)))</f>
      </c>
      <c r="J3746" s="43">
        <f>IF($I3745=0,0,$R3745)</f>
      </c>
      <c r="K3746" s="43">
        <f>IF($I3746=0,0,IF(INDEX(DarlOhneTilgung,8)=1,0,IF(AND(INDEX(DarlTilgStart,8)&gt;0,$E3746=INDEX(DarlTilgStart,8)),$J3746*($H3746+INDEX(DarlTilgung,8))/100/12,IF(AND($G3746=0,$G3745=1),MAX($K3745,$J3746*($H3746+1)/100/12),$K3745))))</f>
      </c>
      <c r="L3746" s="43">
        <f>IF($I3746=0,0,$J3746*$H3746/100/12)</f>
      </c>
      <c r="M3746" s="43">
        <f>IF($I3746=0,0,IF(OR(INDEX(DarlOhneTilgung,8)=1,AND(INDEX(DarlTilgStart,8)&gt;0,$E3746&lt;INDEX(DarlTilgStart,8))),0,MIN(MAX(0,$K3746-$L3746),$J3746)))</f>
      </c>
      <c r="N3746" s="43">
        <f>IF($I3746=0,0,MIN(SUMIFS(SondBetrag,SondDarl,8,SondDatum,"&gt;="&amp;$E3746,SondDatum,"&lt;="&amp;EOMONTH($E3746,0)),$J3746-$M3746))</f>
      </c>
      <c r="O3746" s="43">
        <f>IF($I3746=0,0,INDEX(DarlErsatzRate,8))</f>
      </c>
      <c r="P3746" s="43">
        <f>IF($I3746=0,0,$Q3745*INDEX(DarlErsatzZins,8))</f>
      </c>
      <c r="Q3746" s="43">
        <f>IF($I3746=0,0,$Q3745+$P3746+$O3746)</f>
      </c>
      <c r="R3746" s="43">
        <f>IF($I3746=0,0,$J3746-$M3746-$N3746)</f>
      </c>
    </row>
    <row r="3747">
      <c r="A3747"/>
      <c r="B3747">
        <v>8</v>
      </c>
      <c r="C3747" s="43">
        <f>INDEX(DarlObj,8)</f>
      </c>
      <c r="D3747">
        <v>384</v>
      </c>
      <c r="E3747" s="51">
        <f>IF(INDEX(DarlBelegt,8)=0,0,EOMONTH(INDEX(DarlAuszahlung,8),383)+1)</f>
      </c>
      <c r="F3747" s="43">
        <f>IF($E3747=0,0,YEAR($E3747))</f>
      </c>
      <c r="G3747" s="43">
        <f>IF(INDEX(DarlBindung,8)="",1,IF($E3747&lt;=INDEX(DarlBindung,8),1,0))</f>
      </c>
      <c r="H3747" s="43">
        <f>IF($G3747=1,INDEX(DarlSollzins,8),INDEX(DarlAnschluss,8))</f>
      </c>
      <c r="I3747" s="43">
        <f>IF(INDEX(DarlBelegt,8)=0,0,IF(INDEX(DarlOhneTilgung,8)=1,IF(INDEX(DarlBindung,8)="",1,$G3747),IF($J3747&gt;0.005,1,0)))</f>
      </c>
      <c r="J3747" s="43">
        <f>IF($I3746=0,0,$R3746)</f>
      </c>
      <c r="K3747" s="43">
        <f>IF($I3747=0,0,IF(INDEX(DarlOhneTilgung,8)=1,0,IF(AND(INDEX(DarlTilgStart,8)&gt;0,$E3747=INDEX(DarlTilgStart,8)),$J3747*($H3747+INDEX(DarlTilgung,8))/100/12,IF(AND($G3747=0,$G3746=1),MAX($K3746,$J3747*($H3747+1)/100/12),$K3746))))</f>
      </c>
      <c r="L3747" s="43">
        <f>IF($I3747=0,0,$J3747*$H3747/100/12)</f>
      </c>
      <c r="M3747" s="43">
        <f>IF($I3747=0,0,IF(OR(INDEX(DarlOhneTilgung,8)=1,AND(INDEX(DarlTilgStart,8)&gt;0,$E3747&lt;INDEX(DarlTilgStart,8))),0,MIN(MAX(0,$K3747-$L3747),$J3747)))</f>
      </c>
      <c r="N3747" s="43">
        <f>IF($I3747=0,0,MIN(SUMIFS(SondBetrag,SondDarl,8,SondDatum,"&gt;="&amp;$E3747,SondDatum,"&lt;="&amp;EOMONTH($E3747,0)),$J3747-$M3747))</f>
      </c>
      <c r="O3747" s="43">
        <f>IF($I3747=0,0,INDEX(DarlErsatzRate,8))</f>
      </c>
      <c r="P3747" s="43">
        <f>IF($I3747=0,0,$Q3746*INDEX(DarlErsatzZins,8))</f>
      </c>
      <c r="Q3747" s="43">
        <f>IF($I3747=0,0,$Q3746+$P3747+$O3747)</f>
      </c>
      <c r="R3747" s="43">
        <f>IF($I3747=0,0,$J3747-$M3747-$N3747)</f>
      </c>
    </row>
    <row r="3748">
      <c r="A3748"/>
      <c r="B3748">
        <v>8</v>
      </c>
      <c r="C3748" s="43">
        <f>INDEX(DarlObj,8)</f>
      </c>
      <c r="D3748">
        <v>385</v>
      </c>
      <c r="E3748" s="51">
        <f>IF(INDEX(DarlBelegt,8)=0,0,EOMONTH(INDEX(DarlAuszahlung,8),384)+1)</f>
      </c>
      <c r="F3748" s="43">
        <f>IF($E3748=0,0,YEAR($E3748))</f>
      </c>
      <c r="G3748" s="43">
        <f>IF(INDEX(DarlBindung,8)="",1,IF($E3748&lt;=INDEX(DarlBindung,8),1,0))</f>
      </c>
      <c r="H3748" s="43">
        <f>IF($G3748=1,INDEX(DarlSollzins,8),INDEX(DarlAnschluss,8))</f>
      </c>
      <c r="I3748" s="43">
        <f>IF(INDEX(DarlBelegt,8)=0,0,IF(INDEX(DarlOhneTilgung,8)=1,IF(INDEX(DarlBindung,8)="",1,$G3748),IF($J3748&gt;0.005,1,0)))</f>
      </c>
      <c r="J3748" s="43">
        <f>IF($I3747=0,0,$R3747)</f>
      </c>
      <c r="K3748" s="43">
        <f>IF($I3748=0,0,IF(INDEX(DarlOhneTilgung,8)=1,0,IF(AND(INDEX(DarlTilgStart,8)&gt;0,$E3748=INDEX(DarlTilgStart,8)),$J3748*($H3748+INDEX(DarlTilgung,8))/100/12,IF(AND($G3748=0,$G3747=1),MAX($K3747,$J3748*($H3748+1)/100/12),$K3747))))</f>
      </c>
      <c r="L3748" s="43">
        <f>IF($I3748=0,0,$J3748*$H3748/100/12)</f>
      </c>
      <c r="M3748" s="43">
        <f>IF($I3748=0,0,IF(OR(INDEX(DarlOhneTilgung,8)=1,AND(INDEX(DarlTilgStart,8)&gt;0,$E3748&lt;INDEX(DarlTilgStart,8))),0,MIN(MAX(0,$K3748-$L3748),$J3748)))</f>
      </c>
      <c r="N3748" s="43">
        <f>IF($I3748=0,0,MIN(SUMIFS(SondBetrag,SondDarl,8,SondDatum,"&gt;="&amp;$E3748,SondDatum,"&lt;="&amp;EOMONTH($E3748,0)),$J3748-$M3748))</f>
      </c>
      <c r="O3748" s="43">
        <f>IF($I3748=0,0,INDEX(DarlErsatzRate,8))</f>
      </c>
      <c r="P3748" s="43">
        <f>IF($I3748=0,0,$Q3747*INDEX(DarlErsatzZins,8))</f>
      </c>
      <c r="Q3748" s="43">
        <f>IF($I3748=0,0,$Q3747+$P3748+$O3748)</f>
      </c>
      <c r="R3748" s="43">
        <f>IF($I3748=0,0,$J3748-$M3748-$N3748)</f>
      </c>
    </row>
    <row r="3749">
      <c r="A3749"/>
      <c r="B3749">
        <v>8</v>
      </c>
      <c r="C3749" s="43">
        <f>INDEX(DarlObj,8)</f>
      </c>
      <c r="D3749">
        <v>386</v>
      </c>
      <c r="E3749" s="51">
        <f>IF(INDEX(DarlBelegt,8)=0,0,EOMONTH(INDEX(DarlAuszahlung,8),385)+1)</f>
      </c>
      <c r="F3749" s="43">
        <f>IF($E3749=0,0,YEAR($E3749))</f>
      </c>
      <c r="G3749" s="43">
        <f>IF(INDEX(DarlBindung,8)="",1,IF($E3749&lt;=INDEX(DarlBindung,8),1,0))</f>
      </c>
      <c r="H3749" s="43">
        <f>IF($G3749=1,INDEX(DarlSollzins,8),INDEX(DarlAnschluss,8))</f>
      </c>
      <c r="I3749" s="43">
        <f>IF(INDEX(DarlBelegt,8)=0,0,IF(INDEX(DarlOhneTilgung,8)=1,IF(INDEX(DarlBindung,8)="",1,$G3749),IF($J3749&gt;0.005,1,0)))</f>
      </c>
      <c r="J3749" s="43">
        <f>IF($I3748=0,0,$R3748)</f>
      </c>
      <c r="K3749" s="43">
        <f>IF($I3749=0,0,IF(INDEX(DarlOhneTilgung,8)=1,0,IF(AND(INDEX(DarlTilgStart,8)&gt;0,$E3749=INDEX(DarlTilgStart,8)),$J3749*($H3749+INDEX(DarlTilgung,8))/100/12,IF(AND($G3749=0,$G3748=1),MAX($K3748,$J3749*($H3749+1)/100/12),$K3748))))</f>
      </c>
      <c r="L3749" s="43">
        <f>IF($I3749=0,0,$J3749*$H3749/100/12)</f>
      </c>
      <c r="M3749" s="43">
        <f>IF($I3749=0,0,IF(OR(INDEX(DarlOhneTilgung,8)=1,AND(INDEX(DarlTilgStart,8)&gt;0,$E3749&lt;INDEX(DarlTilgStart,8))),0,MIN(MAX(0,$K3749-$L3749),$J3749)))</f>
      </c>
      <c r="N3749" s="43">
        <f>IF($I3749=0,0,MIN(SUMIFS(SondBetrag,SondDarl,8,SondDatum,"&gt;="&amp;$E3749,SondDatum,"&lt;="&amp;EOMONTH($E3749,0)),$J3749-$M3749))</f>
      </c>
      <c r="O3749" s="43">
        <f>IF($I3749=0,0,INDEX(DarlErsatzRate,8))</f>
      </c>
      <c r="P3749" s="43">
        <f>IF($I3749=0,0,$Q3748*INDEX(DarlErsatzZins,8))</f>
      </c>
      <c r="Q3749" s="43">
        <f>IF($I3749=0,0,$Q3748+$P3749+$O3749)</f>
      </c>
      <c r="R3749" s="43">
        <f>IF($I3749=0,0,$J3749-$M3749-$N3749)</f>
      </c>
    </row>
    <row r="3750">
      <c r="A3750"/>
      <c r="B3750">
        <v>8</v>
      </c>
      <c r="C3750" s="43">
        <f>INDEX(DarlObj,8)</f>
      </c>
      <c r="D3750">
        <v>387</v>
      </c>
      <c r="E3750" s="51">
        <f>IF(INDEX(DarlBelegt,8)=0,0,EOMONTH(INDEX(DarlAuszahlung,8),386)+1)</f>
      </c>
      <c r="F3750" s="43">
        <f>IF($E3750=0,0,YEAR($E3750))</f>
      </c>
      <c r="G3750" s="43">
        <f>IF(INDEX(DarlBindung,8)="",1,IF($E3750&lt;=INDEX(DarlBindung,8),1,0))</f>
      </c>
      <c r="H3750" s="43">
        <f>IF($G3750=1,INDEX(DarlSollzins,8),INDEX(DarlAnschluss,8))</f>
      </c>
      <c r="I3750" s="43">
        <f>IF(INDEX(DarlBelegt,8)=0,0,IF(INDEX(DarlOhneTilgung,8)=1,IF(INDEX(DarlBindung,8)="",1,$G3750),IF($J3750&gt;0.005,1,0)))</f>
      </c>
      <c r="J3750" s="43">
        <f>IF($I3749=0,0,$R3749)</f>
      </c>
      <c r="K3750" s="43">
        <f>IF($I3750=0,0,IF(INDEX(DarlOhneTilgung,8)=1,0,IF(AND(INDEX(DarlTilgStart,8)&gt;0,$E3750=INDEX(DarlTilgStart,8)),$J3750*($H3750+INDEX(DarlTilgung,8))/100/12,IF(AND($G3750=0,$G3749=1),MAX($K3749,$J3750*($H3750+1)/100/12),$K3749))))</f>
      </c>
      <c r="L3750" s="43">
        <f>IF($I3750=0,0,$J3750*$H3750/100/12)</f>
      </c>
      <c r="M3750" s="43">
        <f>IF($I3750=0,0,IF(OR(INDEX(DarlOhneTilgung,8)=1,AND(INDEX(DarlTilgStart,8)&gt;0,$E3750&lt;INDEX(DarlTilgStart,8))),0,MIN(MAX(0,$K3750-$L3750),$J3750)))</f>
      </c>
      <c r="N3750" s="43">
        <f>IF($I3750=0,0,MIN(SUMIFS(SondBetrag,SondDarl,8,SondDatum,"&gt;="&amp;$E3750,SondDatum,"&lt;="&amp;EOMONTH($E3750,0)),$J3750-$M3750))</f>
      </c>
      <c r="O3750" s="43">
        <f>IF($I3750=0,0,INDEX(DarlErsatzRate,8))</f>
      </c>
      <c r="P3750" s="43">
        <f>IF($I3750=0,0,$Q3749*INDEX(DarlErsatzZins,8))</f>
      </c>
      <c r="Q3750" s="43">
        <f>IF($I3750=0,0,$Q3749+$P3750+$O3750)</f>
      </c>
      <c r="R3750" s="43">
        <f>IF($I3750=0,0,$J3750-$M3750-$N3750)</f>
      </c>
    </row>
    <row r="3751">
      <c r="A3751"/>
      <c r="B3751">
        <v>8</v>
      </c>
      <c r="C3751" s="43">
        <f>INDEX(DarlObj,8)</f>
      </c>
      <c r="D3751">
        <v>388</v>
      </c>
      <c r="E3751" s="51">
        <f>IF(INDEX(DarlBelegt,8)=0,0,EOMONTH(INDEX(DarlAuszahlung,8),387)+1)</f>
      </c>
      <c r="F3751" s="43">
        <f>IF($E3751=0,0,YEAR($E3751))</f>
      </c>
      <c r="G3751" s="43">
        <f>IF(INDEX(DarlBindung,8)="",1,IF($E3751&lt;=INDEX(DarlBindung,8),1,0))</f>
      </c>
      <c r="H3751" s="43">
        <f>IF($G3751=1,INDEX(DarlSollzins,8),INDEX(DarlAnschluss,8))</f>
      </c>
      <c r="I3751" s="43">
        <f>IF(INDEX(DarlBelegt,8)=0,0,IF(INDEX(DarlOhneTilgung,8)=1,IF(INDEX(DarlBindung,8)="",1,$G3751),IF($J3751&gt;0.005,1,0)))</f>
      </c>
      <c r="J3751" s="43">
        <f>IF($I3750=0,0,$R3750)</f>
      </c>
      <c r="K3751" s="43">
        <f>IF($I3751=0,0,IF(INDEX(DarlOhneTilgung,8)=1,0,IF(AND(INDEX(DarlTilgStart,8)&gt;0,$E3751=INDEX(DarlTilgStart,8)),$J3751*($H3751+INDEX(DarlTilgung,8))/100/12,IF(AND($G3751=0,$G3750=1),MAX($K3750,$J3751*($H3751+1)/100/12),$K3750))))</f>
      </c>
      <c r="L3751" s="43">
        <f>IF($I3751=0,0,$J3751*$H3751/100/12)</f>
      </c>
      <c r="M3751" s="43">
        <f>IF($I3751=0,0,IF(OR(INDEX(DarlOhneTilgung,8)=1,AND(INDEX(DarlTilgStart,8)&gt;0,$E3751&lt;INDEX(DarlTilgStart,8))),0,MIN(MAX(0,$K3751-$L3751),$J3751)))</f>
      </c>
      <c r="N3751" s="43">
        <f>IF($I3751=0,0,MIN(SUMIFS(SondBetrag,SondDarl,8,SondDatum,"&gt;="&amp;$E3751,SondDatum,"&lt;="&amp;EOMONTH($E3751,0)),$J3751-$M3751))</f>
      </c>
      <c r="O3751" s="43">
        <f>IF($I3751=0,0,INDEX(DarlErsatzRate,8))</f>
      </c>
      <c r="P3751" s="43">
        <f>IF($I3751=0,0,$Q3750*INDEX(DarlErsatzZins,8))</f>
      </c>
      <c r="Q3751" s="43">
        <f>IF($I3751=0,0,$Q3750+$P3751+$O3751)</f>
      </c>
      <c r="R3751" s="43">
        <f>IF($I3751=0,0,$J3751-$M3751-$N3751)</f>
      </c>
    </row>
    <row r="3752">
      <c r="A3752"/>
      <c r="B3752">
        <v>8</v>
      </c>
      <c r="C3752" s="43">
        <f>INDEX(DarlObj,8)</f>
      </c>
      <c r="D3752">
        <v>389</v>
      </c>
      <c r="E3752" s="51">
        <f>IF(INDEX(DarlBelegt,8)=0,0,EOMONTH(INDEX(DarlAuszahlung,8),388)+1)</f>
      </c>
      <c r="F3752" s="43">
        <f>IF($E3752=0,0,YEAR($E3752))</f>
      </c>
      <c r="G3752" s="43">
        <f>IF(INDEX(DarlBindung,8)="",1,IF($E3752&lt;=INDEX(DarlBindung,8),1,0))</f>
      </c>
      <c r="H3752" s="43">
        <f>IF($G3752=1,INDEX(DarlSollzins,8),INDEX(DarlAnschluss,8))</f>
      </c>
      <c r="I3752" s="43">
        <f>IF(INDEX(DarlBelegt,8)=0,0,IF(INDEX(DarlOhneTilgung,8)=1,IF(INDEX(DarlBindung,8)="",1,$G3752),IF($J3752&gt;0.005,1,0)))</f>
      </c>
      <c r="J3752" s="43">
        <f>IF($I3751=0,0,$R3751)</f>
      </c>
      <c r="K3752" s="43">
        <f>IF($I3752=0,0,IF(INDEX(DarlOhneTilgung,8)=1,0,IF(AND(INDEX(DarlTilgStart,8)&gt;0,$E3752=INDEX(DarlTilgStart,8)),$J3752*($H3752+INDEX(DarlTilgung,8))/100/12,IF(AND($G3752=0,$G3751=1),MAX($K3751,$J3752*($H3752+1)/100/12),$K3751))))</f>
      </c>
      <c r="L3752" s="43">
        <f>IF($I3752=0,0,$J3752*$H3752/100/12)</f>
      </c>
      <c r="M3752" s="43">
        <f>IF($I3752=0,0,IF(OR(INDEX(DarlOhneTilgung,8)=1,AND(INDEX(DarlTilgStart,8)&gt;0,$E3752&lt;INDEX(DarlTilgStart,8))),0,MIN(MAX(0,$K3752-$L3752),$J3752)))</f>
      </c>
      <c r="N3752" s="43">
        <f>IF($I3752=0,0,MIN(SUMIFS(SondBetrag,SondDarl,8,SondDatum,"&gt;="&amp;$E3752,SondDatum,"&lt;="&amp;EOMONTH($E3752,0)),$J3752-$M3752))</f>
      </c>
      <c r="O3752" s="43">
        <f>IF($I3752=0,0,INDEX(DarlErsatzRate,8))</f>
      </c>
      <c r="P3752" s="43">
        <f>IF($I3752=0,0,$Q3751*INDEX(DarlErsatzZins,8))</f>
      </c>
      <c r="Q3752" s="43">
        <f>IF($I3752=0,0,$Q3751+$P3752+$O3752)</f>
      </c>
      <c r="R3752" s="43">
        <f>IF($I3752=0,0,$J3752-$M3752-$N3752)</f>
      </c>
    </row>
    <row r="3753">
      <c r="A3753"/>
      <c r="B3753">
        <v>8</v>
      </c>
      <c r="C3753" s="43">
        <f>INDEX(DarlObj,8)</f>
      </c>
      <c r="D3753">
        <v>390</v>
      </c>
      <c r="E3753" s="51">
        <f>IF(INDEX(DarlBelegt,8)=0,0,EOMONTH(INDEX(DarlAuszahlung,8),389)+1)</f>
      </c>
      <c r="F3753" s="43">
        <f>IF($E3753=0,0,YEAR($E3753))</f>
      </c>
      <c r="G3753" s="43">
        <f>IF(INDEX(DarlBindung,8)="",1,IF($E3753&lt;=INDEX(DarlBindung,8),1,0))</f>
      </c>
      <c r="H3753" s="43">
        <f>IF($G3753=1,INDEX(DarlSollzins,8),INDEX(DarlAnschluss,8))</f>
      </c>
      <c r="I3753" s="43">
        <f>IF(INDEX(DarlBelegt,8)=0,0,IF(INDEX(DarlOhneTilgung,8)=1,IF(INDEX(DarlBindung,8)="",1,$G3753),IF($J3753&gt;0.005,1,0)))</f>
      </c>
      <c r="J3753" s="43">
        <f>IF($I3752=0,0,$R3752)</f>
      </c>
      <c r="K3753" s="43">
        <f>IF($I3753=0,0,IF(INDEX(DarlOhneTilgung,8)=1,0,IF(AND(INDEX(DarlTilgStart,8)&gt;0,$E3753=INDEX(DarlTilgStart,8)),$J3753*($H3753+INDEX(DarlTilgung,8))/100/12,IF(AND($G3753=0,$G3752=1),MAX($K3752,$J3753*($H3753+1)/100/12),$K3752))))</f>
      </c>
      <c r="L3753" s="43">
        <f>IF($I3753=0,0,$J3753*$H3753/100/12)</f>
      </c>
      <c r="M3753" s="43">
        <f>IF($I3753=0,0,IF(OR(INDEX(DarlOhneTilgung,8)=1,AND(INDEX(DarlTilgStart,8)&gt;0,$E3753&lt;INDEX(DarlTilgStart,8))),0,MIN(MAX(0,$K3753-$L3753),$J3753)))</f>
      </c>
      <c r="N3753" s="43">
        <f>IF($I3753=0,0,MIN(SUMIFS(SondBetrag,SondDarl,8,SondDatum,"&gt;="&amp;$E3753,SondDatum,"&lt;="&amp;EOMONTH($E3753,0)),$J3753-$M3753))</f>
      </c>
      <c r="O3753" s="43">
        <f>IF($I3753=0,0,INDEX(DarlErsatzRate,8))</f>
      </c>
      <c r="P3753" s="43">
        <f>IF($I3753=0,0,$Q3752*INDEX(DarlErsatzZins,8))</f>
      </c>
      <c r="Q3753" s="43">
        <f>IF($I3753=0,0,$Q3752+$P3753+$O3753)</f>
      </c>
      <c r="R3753" s="43">
        <f>IF($I3753=0,0,$J3753-$M3753-$N3753)</f>
      </c>
    </row>
    <row r="3754">
      <c r="A3754"/>
      <c r="B3754">
        <v>8</v>
      </c>
      <c r="C3754" s="43">
        <f>INDEX(DarlObj,8)</f>
      </c>
      <c r="D3754">
        <v>391</v>
      </c>
      <c r="E3754" s="51">
        <f>IF(INDEX(DarlBelegt,8)=0,0,EOMONTH(INDEX(DarlAuszahlung,8),390)+1)</f>
      </c>
      <c r="F3754" s="43">
        <f>IF($E3754=0,0,YEAR($E3754))</f>
      </c>
      <c r="G3754" s="43">
        <f>IF(INDEX(DarlBindung,8)="",1,IF($E3754&lt;=INDEX(DarlBindung,8),1,0))</f>
      </c>
      <c r="H3754" s="43">
        <f>IF($G3754=1,INDEX(DarlSollzins,8),INDEX(DarlAnschluss,8))</f>
      </c>
      <c r="I3754" s="43">
        <f>IF(INDEX(DarlBelegt,8)=0,0,IF(INDEX(DarlOhneTilgung,8)=1,IF(INDEX(DarlBindung,8)="",1,$G3754),IF($J3754&gt;0.005,1,0)))</f>
      </c>
      <c r="J3754" s="43">
        <f>IF($I3753=0,0,$R3753)</f>
      </c>
      <c r="K3754" s="43">
        <f>IF($I3754=0,0,IF(INDEX(DarlOhneTilgung,8)=1,0,IF(AND(INDEX(DarlTilgStart,8)&gt;0,$E3754=INDEX(DarlTilgStart,8)),$J3754*($H3754+INDEX(DarlTilgung,8))/100/12,IF(AND($G3754=0,$G3753=1),MAX($K3753,$J3754*($H3754+1)/100/12),$K3753))))</f>
      </c>
      <c r="L3754" s="43">
        <f>IF($I3754=0,0,$J3754*$H3754/100/12)</f>
      </c>
      <c r="M3754" s="43">
        <f>IF($I3754=0,0,IF(OR(INDEX(DarlOhneTilgung,8)=1,AND(INDEX(DarlTilgStart,8)&gt;0,$E3754&lt;INDEX(DarlTilgStart,8))),0,MIN(MAX(0,$K3754-$L3754),$J3754)))</f>
      </c>
      <c r="N3754" s="43">
        <f>IF($I3754=0,0,MIN(SUMIFS(SondBetrag,SondDarl,8,SondDatum,"&gt;="&amp;$E3754,SondDatum,"&lt;="&amp;EOMONTH($E3754,0)),$J3754-$M3754))</f>
      </c>
      <c r="O3754" s="43">
        <f>IF($I3754=0,0,INDEX(DarlErsatzRate,8))</f>
      </c>
      <c r="P3754" s="43">
        <f>IF($I3754=0,0,$Q3753*INDEX(DarlErsatzZins,8))</f>
      </c>
      <c r="Q3754" s="43">
        <f>IF($I3754=0,0,$Q3753+$P3754+$O3754)</f>
      </c>
      <c r="R3754" s="43">
        <f>IF($I3754=0,0,$J3754-$M3754-$N3754)</f>
      </c>
    </row>
    <row r="3755">
      <c r="A3755"/>
      <c r="B3755">
        <v>8</v>
      </c>
      <c r="C3755" s="43">
        <f>INDEX(DarlObj,8)</f>
      </c>
      <c r="D3755">
        <v>392</v>
      </c>
      <c r="E3755" s="51">
        <f>IF(INDEX(DarlBelegt,8)=0,0,EOMONTH(INDEX(DarlAuszahlung,8),391)+1)</f>
      </c>
      <c r="F3755" s="43">
        <f>IF($E3755=0,0,YEAR($E3755))</f>
      </c>
      <c r="G3755" s="43">
        <f>IF(INDEX(DarlBindung,8)="",1,IF($E3755&lt;=INDEX(DarlBindung,8),1,0))</f>
      </c>
      <c r="H3755" s="43">
        <f>IF($G3755=1,INDEX(DarlSollzins,8),INDEX(DarlAnschluss,8))</f>
      </c>
      <c r="I3755" s="43">
        <f>IF(INDEX(DarlBelegt,8)=0,0,IF(INDEX(DarlOhneTilgung,8)=1,IF(INDEX(DarlBindung,8)="",1,$G3755),IF($J3755&gt;0.005,1,0)))</f>
      </c>
      <c r="J3755" s="43">
        <f>IF($I3754=0,0,$R3754)</f>
      </c>
      <c r="K3755" s="43">
        <f>IF($I3755=0,0,IF(INDEX(DarlOhneTilgung,8)=1,0,IF(AND(INDEX(DarlTilgStart,8)&gt;0,$E3755=INDEX(DarlTilgStart,8)),$J3755*($H3755+INDEX(DarlTilgung,8))/100/12,IF(AND($G3755=0,$G3754=1),MAX($K3754,$J3755*($H3755+1)/100/12),$K3754))))</f>
      </c>
      <c r="L3755" s="43">
        <f>IF($I3755=0,0,$J3755*$H3755/100/12)</f>
      </c>
      <c r="M3755" s="43">
        <f>IF($I3755=0,0,IF(OR(INDEX(DarlOhneTilgung,8)=1,AND(INDEX(DarlTilgStart,8)&gt;0,$E3755&lt;INDEX(DarlTilgStart,8))),0,MIN(MAX(0,$K3755-$L3755),$J3755)))</f>
      </c>
      <c r="N3755" s="43">
        <f>IF($I3755=0,0,MIN(SUMIFS(SondBetrag,SondDarl,8,SondDatum,"&gt;="&amp;$E3755,SondDatum,"&lt;="&amp;EOMONTH($E3755,0)),$J3755-$M3755))</f>
      </c>
      <c r="O3755" s="43">
        <f>IF($I3755=0,0,INDEX(DarlErsatzRate,8))</f>
      </c>
      <c r="P3755" s="43">
        <f>IF($I3755=0,0,$Q3754*INDEX(DarlErsatzZins,8))</f>
      </c>
      <c r="Q3755" s="43">
        <f>IF($I3755=0,0,$Q3754+$P3755+$O3755)</f>
      </c>
      <c r="R3755" s="43">
        <f>IF($I3755=0,0,$J3755-$M3755-$N3755)</f>
      </c>
    </row>
    <row r="3756">
      <c r="A3756"/>
      <c r="B3756">
        <v>8</v>
      </c>
      <c r="C3756" s="43">
        <f>INDEX(DarlObj,8)</f>
      </c>
      <c r="D3756">
        <v>393</v>
      </c>
      <c r="E3756" s="51">
        <f>IF(INDEX(DarlBelegt,8)=0,0,EOMONTH(INDEX(DarlAuszahlung,8),392)+1)</f>
      </c>
      <c r="F3756" s="43">
        <f>IF($E3756=0,0,YEAR($E3756))</f>
      </c>
      <c r="G3756" s="43">
        <f>IF(INDEX(DarlBindung,8)="",1,IF($E3756&lt;=INDEX(DarlBindung,8),1,0))</f>
      </c>
      <c r="H3756" s="43">
        <f>IF($G3756=1,INDEX(DarlSollzins,8),INDEX(DarlAnschluss,8))</f>
      </c>
      <c r="I3756" s="43">
        <f>IF(INDEX(DarlBelegt,8)=0,0,IF(INDEX(DarlOhneTilgung,8)=1,IF(INDEX(DarlBindung,8)="",1,$G3756),IF($J3756&gt;0.005,1,0)))</f>
      </c>
      <c r="J3756" s="43">
        <f>IF($I3755=0,0,$R3755)</f>
      </c>
      <c r="K3756" s="43">
        <f>IF($I3756=0,0,IF(INDEX(DarlOhneTilgung,8)=1,0,IF(AND(INDEX(DarlTilgStart,8)&gt;0,$E3756=INDEX(DarlTilgStart,8)),$J3756*($H3756+INDEX(DarlTilgung,8))/100/12,IF(AND($G3756=0,$G3755=1),MAX($K3755,$J3756*($H3756+1)/100/12),$K3755))))</f>
      </c>
      <c r="L3756" s="43">
        <f>IF($I3756=0,0,$J3756*$H3756/100/12)</f>
      </c>
      <c r="M3756" s="43">
        <f>IF($I3756=0,0,IF(OR(INDEX(DarlOhneTilgung,8)=1,AND(INDEX(DarlTilgStart,8)&gt;0,$E3756&lt;INDEX(DarlTilgStart,8))),0,MIN(MAX(0,$K3756-$L3756),$J3756)))</f>
      </c>
      <c r="N3756" s="43">
        <f>IF($I3756=0,0,MIN(SUMIFS(SondBetrag,SondDarl,8,SondDatum,"&gt;="&amp;$E3756,SondDatum,"&lt;="&amp;EOMONTH($E3756,0)),$J3756-$M3756))</f>
      </c>
      <c r="O3756" s="43">
        <f>IF($I3756=0,0,INDEX(DarlErsatzRate,8))</f>
      </c>
      <c r="P3756" s="43">
        <f>IF($I3756=0,0,$Q3755*INDEX(DarlErsatzZins,8))</f>
      </c>
      <c r="Q3756" s="43">
        <f>IF($I3756=0,0,$Q3755+$P3756+$O3756)</f>
      </c>
      <c r="R3756" s="43">
        <f>IF($I3756=0,0,$J3756-$M3756-$N3756)</f>
      </c>
    </row>
    <row r="3757">
      <c r="A3757"/>
      <c r="B3757">
        <v>8</v>
      </c>
      <c r="C3757" s="43">
        <f>INDEX(DarlObj,8)</f>
      </c>
      <c r="D3757">
        <v>394</v>
      </c>
      <c r="E3757" s="51">
        <f>IF(INDEX(DarlBelegt,8)=0,0,EOMONTH(INDEX(DarlAuszahlung,8),393)+1)</f>
      </c>
      <c r="F3757" s="43">
        <f>IF($E3757=0,0,YEAR($E3757))</f>
      </c>
      <c r="G3757" s="43">
        <f>IF(INDEX(DarlBindung,8)="",1,IF($E3757&lt;=INDEX(DarlBindung,8),1,0))</f>
      </c>
      <c r="H3757" s="43">
        <f>IF($G3757=1,INDEX(DarlSollzins,8),INDEX(DarlAnschluss,8))</f>
      </c>
      <c r="I3757" s="43">
        <f>IF(INDEX(DarlBelegt,8)=0,0,IF(INDEX(DarlOhneTilgung,8)=1,IF(INDEX(DarlBindung,8)="",1,$G3757),IF($J3757&gt;0.005,1,0)))</f>
      </c>
      <c r="J3757" s="43">
        <f>IF($I3756=0,0,$R3756)</f>
      </c>
      <c r="K3757" s="43">
        <f>IF($I3757=0,0,IF(INDEX(DarlOhneTilgung,8)=1,0,IF(AND(INDEX(DarlTilgStart,8)&gt;0,$E3757=INDEX(DarlTilgStart,8)),$J3757*($H3757+INDEX(DarlTilgung,8))/100/12,IF(AND($G3757=0,$G3756=1),MAX($K3756,$J3757*($H3757+1)/100/12),$K3756))))</f>
      </c>
      <c r="L3757" s="43">
        <f>IF($I3757=0,0,$J3757*$H3757/100/12)</f>
      </c>
      <c r="M3757" s="43">
        <f>IF($I3757=0,0,IF(OR(INDEX(DarlOhneTilgung,8)=1,AND(INDEX(DarlTilgStart,8)&gt;0,$E3757&lt;INDEX(DarlTilgStart,8))),0,MIN(MAX(0,$K3757-$L3757),$J3757)))</f>
      </c>
      <c r="N3757" s="43">
        <f>IF($I3757=0,0,MIN(SUMIFS(SondBetrag,SondDarl,8,SondDatum,"&gt;="&amp;$E3757,SondDatum,"&lt;="&amp;EOMONTH($E3757,0)),$J3757-$M3757))</f>
      </c>
      <c r="O3757" s="43">
        <f>IF($I3757=0,0,INDEX(DarlErsatzRate,8))</f>
      </c>
      <c r="P3757" s="43">
        <f>IF($I3757=0,0,$Q3756*INDEX(DarlErsatzZins,8))</f>
      </c>
      <c r="Q3757" s="43">
        <f>IF($I3757=0,0,$Q3756+$P3757+$O3757)</f>
      </c>
      <c r="R3757" s="43">
        <f>IF($I3757=0,0,$J3757-$M3757-$N3757)</f>
      </c>
    </row>
    <row r="3758">
      <c r="A3758"/>
      <c r="B3758">
        <v>8</v>
      </c>
      <c r="C3758" s="43">
        <f>INDEX(DarlObj,8)</f>
      </c>
      <c r="D3758">
        <v>395</v>
      </c>
      <c r="E3758" s="51">
        <f>IF(INDEX(DarlBelegt,8)=0,0,EOMONTH(INDEX(DarlAuszahlung,8),394)+1)</f>
      </c>
      <c r="F3758" s="43">
        <f>IF($E3758=0,0,YEAR($E3758))</f>
      </c>
      <c r="G3758" s="43">
        <f>IF(INDEX(DarlBindung,8)="",1,IF($E3758&lt;=INDEX(DarlBindung,8),1,0))</f>
      </c>
      <c r="H3758" s="43">
        <f>IF($G3758=1,INDEX(DarlSollzins,8),INDEX(DarlAnschluss,8))</f>
      </c>
      <c r="I3758" s="43">
        <f>IF(INDEX(DarlBelegt,8)=0,0,IF(INDEX(DarlOhneTilgung,8)=1,IF(INDEX(DarlBindung,8)="",1,$G3758),IF($J3758&gt;0.005,1,0)))</f>
      </c>
      <c r="J3758" s="43">
        <f>IF($I3757=0,0,$R3757)</f>
      </c>
      <c r="K3758" s="43">
        <f>IF($I3758=0,0,IF(INDEX(DarlOhneTilgung,8)=1,0,IF(AND(INDEX(DarlTilgStart,8)&gt;0,$E3758=INDEX(DarlTilgStart,8)),$J3758*($H3758+INDEX(DarlTilgung,8))/100/12,IF(AND($G3758=0,$G3757=1),MAX($K3757,$J3758*($H3758+1)/100/12),$K3757))))</f>
      </c>
      <c r="L3758" s="43">
        <f>IF($I3758=0,0,$J3758*$H3758/100/12)</f>
      </c>
      <c r="M3758" s="43">
        <f>IF($I3758=0,0,IF(OR(INDEX(DarlOhneTilgung,8)=1,AND(INDEX(DarlTilgStart,8)&gt;0,$E3758&lt;INDEX(DarlTilgStart,8))),0,MIN(MAX(0,$K3758-$L3758),$J3758)))</f>
      </c>
      <c r="N3758" s="43">
        <f>IF($I3758=0,0,MIN(SUMIFS(SondBetrag,SondDarl,8,SondDatum,"&gt;="&amp;$E3758,SondDatum,"&lt;="&amp;EOMONTH($E3758,0)),$J3758-$M3758))</f>
      </c>
      <c r="O3758" s="43">
        <f>IF($I3758=0,0,INDEX(DarlErsatzRate,8))</f>
      </c>
      <c r="P3758" s="43">
        <f>IF($I3758=0,0,$Q3757*INDEX(DarlErsatzZins,8))</f>
      </c>
      <c r="Q3758" s="43">
        <f>IF($I3758=0,0,$Q3757+$P3758+$O3758)</f>
      </c>
      <c r="R3758" s="43">
        <f>IF($I3758=0,0,$J3758-$M3758-$N3758)</f>
      </c>
    </row>
    <row r="3759">
      <c r="A3759"/>
      <c r="B3759">
        <v>8</v>
      </c>
      <c r="C3759" s="43">
        <f>INDEX(DarlObj,8)</f>
      </c>
      <c r="D3759">
        <v>396</v>
      </c>
      <c r="E3759" s="51">
        <f>IF(INDEX(DarlBelegt,8)=0,0,EOMONTH(INDEX(DarlAuszahlung,8),395)+1)</f>
      </c>
      <c r="F3759" s="43">
        <f>IF($E3759=0,0,YEAR($E3759))</f>
      </c>
      <c r="G3759" s="43">
        <f>IF(INDEX(DarlBindung,8)="",1,IF($E3759&lt;=INDEX(DarlBindung,8),1,0))</f>
      </c>
      <c r="H3759" s="43">
        <f>IF($G3759=1,INDEX(DarlSollzins,8),INDEX(DarlAnschluss,8))</f>
      </c>
      <c r="I3759" s="43">
        <f>IF(INDEX(DarlBelegt,8)=0,0,IF(INDEX(DarlOhneTilgung,8)=1,IF(INDEX(DarlBindung,8)="",1,$G3759),IF($J3759&gt;0.005,1,0)))</f>
      </c>
      <c r="J3759" s="43">
        <f>IF($I3758=0,0,$R3758)</f>
      </c>
      <c r="K3759" s="43">
        <f>IF($I3759=0,0,IF(INDEX(DarlOhneTilgung,8)=1,0,IF(AND(INDEX(DarlTilgStart,8)&gt;0,$E3759=INDEX(DarlTilgStart,8)),$J3759*($H3759+INDEX(DarlTilgung,8))/100/12,IF(AND($G3759=0,$G3758=1),MAX($K3758,$J3759*($H3759+1)/100/12),$K3758))))</f>
      </c>
      <c r="L3759" s="43">
        <f>IF($I3759=0,0,$J3759*$H3759/100/12)</f>
      </c>
      <c r="M3759" s="43">
        <f>IF($I3759=0,0,IF(OR(INDEX(DarlOhneTilgung,8)=1,AND(INDEX(DarlTilgStart,8)&gt;0,$E3759&lt;INDEX(DarlTilgStart,8))),0,MIN(MAX(0,$K3759-$L3759),$J3759)))</f>
      </c>
      <c r="N3759" s="43">
        <f>IF($I3759=0,0,MIN(SUMIFS(SondBetrag,SondDarl,8,SondDatum,"&gt;="&amp;$E3759,SondDatum,"&lt;="&amp;EOMONTH($E3759,0)),$J3759-$M3759))</f>
      </c>
      <c r="O3759" s="43">
        <f>IF($I3759=0,0,INDEX(DarlErsatzRate,8))</f>
      </c>
      <c r="P3759" s="43">
        <f>IF($I3759=0,0,$Q3758*INDEX(DarlErsatzZins,8))</f>
      </c>
      <c r="Q3759" s="43">
        <f>IF($I3759=0,0,$Q3758+$P3759+$O3759)</f>
      </c>
      <c r="R3759" s="43">
        <f>IF($I3759=0,0,$J3759-$M3759-$N3759)</f>
      </c>
    </row>
    <row r="3760">
      <c r="A3760"/>
      <c r="B3760">
        <v>8</v>
      </c>
      <c r="C3760" s="43">
        <f>INDEX(DarlObj,8)</f>
      </c>
      <c r="D3760">
        <v>397</v>
      </c>
      <c r="E3760" s="51">
        <f>IF(INDEX(DarlBelegt,8)=0,0,EOMONTH(INDEX(DarlAuszahlung,8),396)+1)</f>
      </c>
      <c r="F3760" s="43">
        <f>IF($E3760=0,0,YEAR($E3760))</f>
      </c>
      <c r="G3760" s="43">
        <f>IF(INDEX(DarlBindung,8)="",1,IF($E3760&lt;=INDEX(DarlBindung,8),1,0))</f>
      </c>
      <c r="H3760" s="43">
        <f>IF($G3760=1,INDEX(DarlSollzins,8),INDEX(DarlAnschluss,8))</f>
      </c>
      <c r="I3760" s="43">
        <f>IF(INDEX(DarlBelegt,8)=0,0,IF(INDEX(DarlOhneTilgung,8)=1,IF(INDEX(DarlBindung,8)="",1,$G3760),IF($J3760&gt;0.005,1,0)))</f>
      </c>
      <c r="J3760" s="43">
        <f>IF($I3759=0,0,$R3759)</f>
      </c>
      <c r="K3760" s="43">
        <f>IF($I3760=0,0,IF(INDEX(DarlOhneTilgung,8)=1,0,IF(AND(INDEX(DarlTilgStart,8)&gt;0,$E3760=INDEX(DarlTilgStart,8)),$J3760*($H3760+INDEX(DarlTilgung,8))/100/12,IF(AND($G3760=0,$G3759=1),MAX($K3759,$J3760*($H3760+1)/100/12),$K3759))))</f>
      </c>
      <c r="L3760" s="43">
        <f>IF($I3760=0,0,$J3760*$H3760/100/12)</f>
      </c>
      <c r="M3760" s="43">
        <f>IF($I3760=0,0,IF(OR(INDEX(DarlOhneTilgung,8)=1,AND(INDEX(DarlTilgStart,8)&gt;0,$E3760&lt;INDEX(DarlTilgStart,8))),0,MIN(MAX(0,$K3760-$L3760),$J3760)))</f>
      </c>
      <c r="N3760" s="43">
        <f>IF($I3760=0,0,MIN(SUMIFS(SondBetrag,SondDarl,8,SondDatum,"&gt;="&amp;$E3760,SondDatum,"&lt;="&amp;EOMONTH($E3760,0)),$J3760-$M3760))</f>
      </c>
      <c r="O3760" s="43">
        <f>IF($I3760=0,0,INDEX(DarlErsatzRate,8))</f>
      </c>
      <c r="P3760" s="43">
        <f>IF($I3760=0,0,$Q3759*INDEX(DarlErsatzZins,8))</f>
      </c>
      <c r="Q3760" s="43">
        <f>IF($I3760=0,0,$Q3759+$P3760+$O3760)</f>
      </c>
      <c r="R3760" s="43">
        <f>IF($I3760=0,0,$J3760-$M3760-$N3760)</f>
      </c>
    </row>
    <row r="3761">
      <c r="A3761"/>
      <c r="B3761">
        <v>8</v>
      </c>
      <c r="C3761" s="43">
        <f>INDEX(DarlObj,8)</f>
      </c>
      <c r="D3761">
        <v>398</v>
      </c>
      <c r="E3761" s="51">
        <f>IF(INDEX(DarlBelegt,8)=0,0,EOMONTH(INDEX(DarlAuszahlung,8),397)+1)</f>
      </c>
      <c r="F3761" s="43">
        <f>IF($E3761=0,0,YEAR($E3761))</f>
      </c>
      <c r="G3761" s="43">
        <f>IF(INDEX(DarlBindung,8)="",1,IF($E3761&lt;=INDEX(DarlBindung,8),1,0))</f>
      </c>
      <c r="H3761" s="43">
        <f>IF($G3761=1,INDEX(DarlSollzins,8),INDEX(DarlAnschluss,8))</f>
      </c>
      <c r="I3761" s="43">
        <f>IF(INDEX(DarlBelegt,8)=0,0,IF(INDEX(DarlOhneTilgung,8)=1,IF(INDEX(DarlBindung,8)="",1,$G3761),IF($J3761&gt;0.005,1,0)))</f>
      </c>
      <c r="J3761" s="43">
        <f>IF($I3760=0,0,$R3760)</f>
      </c>
      <c r="K3761" s="43">
        <f>IF($I3761=0,0,IF(INDEX(DarlOhneTilgung,8)=1,0,IF(AND(INDEX(DarlTilgStart,8)&gt;0,$E3761=INDEX(DarlTilgStart,8)),$J3761*($H3761+INDEX(DarlTilgung,8))/100/12,IF(AND($G3761=0,$G3760=1),MAX($K3760,$J3761*($H3761+1)/100/12),$K3760))))</f>
      </c>
      <c r="L3761" s="43">
        <f>IF($I3761=0,0,$J3761*$H3761/100/12)</f>
      </c>
      <c r="M3761" s="43">
        <f>IF($I3761=0,0,IF(OR(INDEX(DarlOhneTilgung,8)=1,AND(INDEX(DarlTilgStart,8)&gt;0,$E3761&lt;INDEX(DarlTilgStart,8))),0,MIN(MAX(0,$K3761-$L3761),$J3761)))</f>
      </c>
      <c r="N3761" s="43">
        <f>IF($I3761=0,0,MIN(SUMIFS(SondBetrag,SondDarl,8,SondDatum,"&gt;="&amp;$E3761,SondDatum,"&lt;="&amp;EOMONTH($E3761,0)),$J3761-$M3761))</f>
      </c>
      <c r="O3761" s="43">
        <f>IF($I3761=0,0,INDEX(DarlErsatzRate,8))</f>
      </c>
      <c r="P3761" s="43">
        <f>IF($I3761=0,0,$Q3760*INDEX(DarlErsatzZins,8))</f>
      </c>
      <c r="Q3761" s="43">
        <f>IF($I3761=0,0,$Q3760+$P3761+$O3761)</f>
      </c>
      <c r="R3761" s="43">
        <f>IF($I3761=0,0,$J3761-$M3761-$N3761)</f>
      </c>
    </row>
    <row r="3762">
      <c r="A3762"/>
      <c r="B3762">
        <v>8</v>
      </c>
      <c r="C3762" s="43">
        <f>INDEX(DarlObj,8)</f>
      </c>
      <c r="D3762">
        <v>399</v>
      </c>
      <c r="E3762" s="51">
        <f>IF(INDEX(DarlBelegt,8)=0,0,EOMONTH(INDEX(DarlAuszahlung,8),398)+1)</f>
      </c>
      <c r="F3762" s="43">
        <f>IF($E3762=0,0,YEAR($E3762))</f>
      </c>
      <c r="G3762" s="43">
        <f>IF(INDEX(DarlBindung,8)="",1,IF($E3762&lt;=INDEX(DarlBindung,8),1,0))</f>
      </c>
      <c r="H3762" s="43">
        <f>IF($G3762=1,INDEX(DarlSollzins,8),INDEX(DarlAnschluss,8))</f>
      </c>
      <c r="I3762" s="43">
        <f>IF(INDEX(DarlBelegt,8)=0,0,IF(INDEX(DarlOhneTilgung,8)=1,IF(INDEX(DarlBindung,8)="",1,$G3762),IF($J3762&gt;0.005,1,0)))</f>
      </c>
      <c r="J3762" s="43">
        <f>IF($I3761=0,0,$R3761)</f>
      </c>
      <c r="K3762" s="43">
        <f>IF($I3762=0,0,IF(INDEX(DarlOhneTilgung,8)=1,0,IF(AND(INDEX(DarlTilgStart,8)&gt;0,$E3762=INDEX(DarlTilgStart,8)),$J3762*($H3762+INDEX(DarlTilgung,8))/100/12,IF(AND($G3762=0,$G3761=1),MAX($K3761,$J3762*($H3762+1)/100/12),$K3761))))</f>
      </c>
      <c r="L3762" s="43">
        <f>IF($I3762=0,0,$J3762*$H3762/100/12)</f>
      </c>
      <c r="M3762" s="43">
        <f>IF($I3762=0,0,IF(OR(INDEX(DarlOhneTilgung,8)=1,AND(INDEX(DarlTilgStart,8)&gt;0,$E3762&lt;INDEX(DarlTilgStart,8))),0,MIN(MAX(0,$K3762-$L3762),$J3762)))</f>
      </c>
      <c r="N3762" s="43">
        <f>IF($I3762=0,0,MIN(SUMIFS(SondBetrag,SondDarl,8,SondDatum,"&gt;="&amp;$E3762,SondDatum,"&lt;="&amp;EOMONTH($E3762,0)),$J3762-$M3762))</f>
      </c>
      <c r="O3762" s="43">
        <f>IF($I3762=0,0,INDEX(DarlErsatzRate,8))</f>
      </c>
      <c r="P3762" s="43">
        <f>IF($I3762=0,0,$Q3761*INDEX(DarlErsatzZins,8))</f>
      </c>
      <c r="Q3762" s="43">
        <f>IF($I3762=0,0,$Q3761+$P3762+$O3762)</f>
      </c>
      <c r="R3762" s="43">
        <f>IF($I3762=0,0,$J3762-$M3762-$N3762)</f>
      </c>
    </row>
    <row r="3763">
      <c r="A3763"/>
      <c r="B3763">
        <v>8</v>
      </c>
      <c r="C3763" s="43">
        <f>INDEX(DarlObj,8)</f>
      </c>
      <c r="D3763">
        <v>400</v>
      </c>
      <c r="E3763" s="51">
        <f>IF(INDEX(DarlBelegt,8)=0,0,EOMONTH(INDEX(DarlAuszahlung,8),399)+1)</f>
      </c>
      <c r="F3763" s="43">
        <f>IF($E3763=0,0,YEAR($E3763))</f>
      </c>
      <c r="G3763" s="43">
        <f>IF(INDEX(DarlBindung,8)="",1,IF($E3763&lt;=INDEX(DarlBindung,8),1,0))</f>
      </c>
      <c r="H3763" s="43">
        <f>IF($G3763=1,INDEX(DarlSollzins,8),INDEX(DarlAnschluss,8))</f>
      </c>
      <c r="I3763" s="43">
        <f>IF(INDEX(DarlBelegt,8)=0,0,IF(INDEX(DarlOhneTilgung,8)=1,IF(INDEX(DarlBindung,8)="",1,$G3763),IF($J3763&gt;0.005,1,0)))</f>
      </c>
      <c r="J3763" s="43">
        <f>IF($I3762=0,0,$R3762)</f>
      </c>
      <c r="K3763" s="43">
        <f>IF($I3763=0,0,IF(INDEX(DarlOhneTilgung,8)=1,0,IF(AND(INDEX(DarlTilgStart,8)&gt;0,$E3763=INDEX(DarlTilgStart,8)),$J3763*($H3763+INDEX(DarlTilgung,8))/100/12,IF(AND($G3763=0,$G3762=1),MAX($K3762,$J3763*($H3763+1)/100/12),$K3762))))</f>
      </c>
      <c r="L3763" s="43">
        <f>IF($I3763=0,0,$J3763*$H3763/100/12)</f>
      </c>
      <c r="M3763" s="43">
        <f>IF($I3763=0,0,IF(OR(INDEX(DarlOhneTilgung,8)=1,AND(INDEX(DarlTilgStart,8)&gt;0,$E3763&lt;INDEX(DarlTilgStart,8))),0,MIN(MAX(0,$K3763-$L3763),$J3763)))</f>
      </c>
      <c r="N3763" s="43">
        <f>IF($I3763=0,0,MIN(SUMIFS(SondBetrag,SondDarl,8,SondDatum,"&gt;="&amp;$E3763,SondDatum,"&lt;="&amp;EOMONTH($E3763,0)),$J3763-$M3763))</f>
      </c>
      <c r="O3763" s="43">
        <f>IF($I3763=0,0,INDEX(DarlErsatzRate,8))</f>
      </c>
      <c r="P3763" s="43">
        <f>IF($I3763=0,0,$Q3762*INDEX(DarlErsatzZins,8))</f>
      </c>
      <c r="Q3763" s="43">
        <f>IF($I3763=0,0,$Q3762+$P3763+$O3763)</f>
      </c>
      <c r="R3763" s="43">
        <f>IF($I3763=0,0,$J3763-$M3763-$N3763)</f>
      </c>
    </row>
    <row r="3764">
      <c r="A3764"/>
      <c r="B3764">
        <v>8</v>
      </c>
      <c r="C3764" s="43">
        <f>INDEX(DarlObj,8)</f>
      </c>
      <c r="D3764">
        <v>401</v>
      </c>
      <c r="E3764" s="51">
        <f>IF(INDEX(DarlBelegt,8)=0,0,EOMONTH(INDEX(DarlAuszahlung,8),400)+1)</f>
      </c>
      <c r="F3764" s="43">
        <f>IF($E3764=0,0,YEAR($E3764))</f>
      </c>
      <c r="G3764" s="43">
        <f>IF(INDEX(DarlBindung,8)="",1,IF($E3764&lt;=INDEX(DarlBindung,8),1,0))</f>
      </c>
      <c r="H3764" s="43">
        <f>IF($G3764=1,INDEX(DarlSollzins,8),INDEX(DarlAnschluss,8))</f>
      </c>
      <c r="I3764" s="43">
        <f>IF(INDEX(DarlBelegt,8)=0,0,IF(INDEX(DarlOhneTilgung,8)=1,IF(INDEX(DarlBindung,8)="",1,$G3764),IF($J3764&gt;0.005,1,0)))</f>
      </c>
      <c r="J3764" s="43">
        <f>IF($I3763=0,0,$R3763)</f>
      </c>
      <c r="K3764" s="43">
        <f>IF($I3764=0,0,IF(INDEX(DarlOhneTilgung,8)=1,0,IF(AND(INDEX(DarlTilgStart,8)&gt;0,$E3764=INDEX(DarlTilgStart,8)),$J3764*($H3764+INDEX(DarlTilgung,8))/100/12,IF(AND($G3764=0,$G3763=1),MAX($K3763,$J3764*($H3764+1)/100/12),$K3763))))</f>
      </c>
      <c r="L3764" s="43">
        <f>IF($I3764=0,0,$J3764*$H3764/100/12)</f>
      </c>
      <c r="M3764" s="43">
        <f>IF($I3764=0,0,IF(OR(INDEX(DarlOhneTilgung,8)=1,AND(INDEX(DarlTilgStart,8)&gt;0,$E3764&lt;INDEX(DarlTilgStart,8))),0,MIN(MAX(0,$K3764-$L3764),$J3764)))</f>
      </c>
      <c r="N3764" s="43">
        <f>IF($I3764=0,0,MIN(SUMIFS(SondBetrag,SondDarl,8,SondDatum,"&gt;="&amp;$E3764,SondDatum,"&lt;="&amp;EOMONTH($E3764,0)),$J3764-$M3764))</f>
      </c>
      <c r="O3764" s="43">
        <f>IF($I3764=0,0,INDEX(DarlErsatzRate,8))</f>
      </c>
      <c r="P3764" s="43">
        <f>IF($I3764=0,0,$Q3763*INDEX(DarlErsatzZins,8))</f>
      </c>
      <c r="Q3764" s="43">
        <f>IF($I3764=0,0,$Q3763+$P3764+$O3764)</f>
      </c>
      <c r="R3764" s="43">
        <f>IF($I3764=0,0,$J3764-$M3764-$N3764)</f>
      </c>
    </row>
    <row r="3765">
      <c r="A3765"/>
      <c r="B3765">
        <v>8</v>
      </c>
      <c r="C3765" s="43">
        <f>INDEX(DarlObj,8)</f>
      </c>
      <c r="D3765">
        <v>402</v>
      </c>
      <c r="E3765" s="51">
        <f>IF(INDEX(DarlBelegt,8)=0,0,EOMONTH(INDEX(DarlAuszahlung,8),401)+1)</f>
      </c>
      <c r="F3765" s="43">
        <f>IF($E3765=0,0,YEAR($E3765))</f>
      </c>
      <c r="G3765" s="43">
        <f>IF(INDEX(DarlBindung,8)="",1,IF($E3765&lt;=INDEX(DarlBindung,8),1,0))</f>
      </c>
      <c r="H3765" s="43">
        <f>IF($G3765=1,INDEX(DarlSollzins,8),INDEX(DarlAnschluss,8))</f>
      </c>
      <c r="I3765" s="43">
        <f>IF(INDEX(DarlBelegt,8)=0,0,IF(INDEX(DarlOhneTilgung,8)=1,IF(INDEX(DarlBindung,8)="",1,$G3765),IF($J3765&gt;0.005,1,0)))</f>
      </c>
      <c r="J3765" s="43">
        <f>IF($I3764=0,0,$R3764)</f>
      </c>
      <c r="K3765" s="43">
        <f>IF($I3765=0,0,IF(INDEX(DarlOhneTilgung,8)=1,0,IF(AND(INDEX(DarlTilgStart,8)&gt;0,$E3765=INDEX(DarlTilgStart,8)),$J3765*($H3765+INDEX(DarlTilgung,8))/100/12,IF(AND($G3765=0,$G3764=1),MAX($K3764,$J3765*($H3765+1)/100/12),$K3764))))</f>
      </c>
      <c r="L3765" s="43">
        <f>IF($I3765=0,0,$J3765*$H3765/100/12)</f>
      </c>
      <c r="M3765" s="43">
        <f>IF($I3765=0,0,IF(OR(INDEX(DarlOhneTilgung,8)=1,AND(INDEX(DarlTilgStart,8)&gt;0,$E3765&lt;INDEX(DarlTilgStart,8))),0,MIN(MAX(0,$K3765-$L3765),$J3765)))</f>
      </c>
      <c r="N3765" s="43">
        <f>IF($I3765=0,0,MIN(SUMIFS(SondBetrag,SondDarl,8,SondDatum,"&gt;="&amp;$E3765,SondDatum,"&lt;="&amp;EOMONTH($E3765,0)),$J3765-$M3765))</f>
      </c>
      <c r="O3765" s="43">
        <f>IF($I3765=0,0,INDEX(DarlErsatzRate,8))</f>
      </c>
      <c r="P3765" s="43">
        <f>IF($I3765=0,0,$Q3764*INDEX(DarlErsatzZins,8))</f>
      </c>
      <c r="Q3765" s="43">
        <f>IF($I3765=0,0,$Q3764+$P3765+$O3765)</f>
      </c>
      <c r="R3765" s="43">
        <f>IF($I3765=0,0,$J3765-$M3765-$N3765)</f>
      </c>
    </row>
    <row r="3766">
      <c r="A3766"/>
      <c r="B3766">
        <v>8</v>
      </c>
      <c r="C3766" s="43">
        <f>INDEX(DarlObj,8)</f>
      </c>
      <c r="D3766">
        <v>403</v>
      </c>
      <c r="E3766" s="51">
        <f>IF(INDEX(DarlBelegt,8)=0,0,EOMONTH(INDEX(DarlAuszahlung,8),402)+1)</f>
      </c>
      <c r="F3766" s="43">
        <f>IF($E3766=0,0,YEAR($E3766))</f>
      </c>
      <c r="G3766" s="43">
        <f>IF(INDEX(DarlBindung,8)="",1,IF($E3766&lt;=INDEX(DarlBindung,8),1,0))</f>
      </c>
      <c r="H3766" s="43">
        <f>IF($G3766=1,INDEX(DarlSollzins,8),INDEX(DarlAnschluss,8))</f>
      </c>
      <c r="I3766" s="43">
        <f>IF(INDEX(DarlBelegt,8)=0,0,IF(INDEX(DarlOhneTilgung,8)=1,IF(INDEX(DarlBindung,8)="",1,$G3766),IF($J3766&gt;0.005,1,0)))</f>
      </c>
      <c r="J3766" s="43">
        <f>IF($I3765=0,0,$R3765)</f>
      </c>
      <c r="K3766" s="43">
        <f>IF($I3766=0,0,IF(INDEX(DarlOhneTilgung,8)=1,0,IF(AND(INDEX(DarlTilgStart,8)&gt;0,$E3766=INDEX(DarlTilgStart,8)),$J3766*($H3766+INDEX(DarlTilgung,8))/100/12,IF(AND($G3766=0,$G3765=1),MAX($K3765,$J3766*($H3766+1)/100/12),$K3765))))</f>
      </c>
      <c r="L3766" s="43">
        <f>IF($I3766=0,0,$J3766*$H3766/100/12)</f>
      </c>
      <c r="M3766" s="43">
        <f>IF($I3766=0,0,IF(OR(INDEX(DarlOhneTilgung,8)=1,AND(INDEX(DarlTilgStart,8)&gt;0,$E3766&lt;INDEX(DarlTilgStart,8))),0,MIN(MAX(0,$K3766-$L3766),$J3766)))</f>
      </c>
      <c r="N3766" s="43">
        <f>IF($I3766=0,0,MIN(SUMIFS(SondBetrag,SondDarl,8,SondDatum,"&gt;="&amp;$E3766,SondDatum,"&lt;="&amp;EOMONTH($E3766,0)),$J3766-$M3766))</f>
      </c>
      <c r="O3766" s="43">
        <f>IF($I3766=0,0,INDEX(DarlErsatzRate,8))</f>
      </c>
      <c r="P3766" s="43">
        <f>IF($I3766=0,0,$Q3765*INDEX(DarlErsatzZins,8))</f>
      </c>
      <c r="Q3766" s="43">
        <f>IF($I3766=0,0,$Q3765+$P3766+$O3766)</f>
      </c>
      <c r="R3766" s="43">
        <f>IF($I3766=0,0,$J3766-$M3766-$N3766)</f>
      </c>
    </row>
    <row r="3767">
      <c r="A3767"/>
      <c r="B3767">
        <v>8</v>
      </c>
      <c r="C3767" s="43">
        <f>INDEX(DarlObj,8)</f>
      </c>
      <c r="D3767">
        <v>404</v>
      </c>
      <c r="E3767" s="51">
        <f>IF(INDEX(DarlBelegt,8)=0,0,EOMONTH(INDEX(DarlAuszahlung,8),403)+1)</f>
      </c>
      <c r="F3767" s="43">
        <f>IF($E3767=0,0,YEAR($E3767))</f>
      </c>
      <c r="G3767" s="43">
        <f>IF(INDEX(DarlBindung,8)="",1,IF($E3767&lt;=INDEX(DarlBindung,8),1,0))</f>
      </c>
      <c r="H3767" s="43">
        <f>IF($G3767=1,INDEX(DarlSollzins,8),INDEX(DarlAnschluss,8))</f>
      </c>
      <c r="I3767" s="43">
        <f>IF(INDEX(DarlBelegt,8)=0,0,IF(INDEX(DarlOhneTilgung,8)=1,IF(INDEX(DarlBindung,8)="",1,$G3767),IF($J3767&gt;0.005,1,0)))</f>
      </c>
      <c r="J3767" s="43">
        <f>IF($I3766=0,0,$R3766)</f>
      </c>
      <c r="K3767" s="43">
        <f>IF($I3767=0,0,IF(INDEX(DarlOhneTilgung,8)=1,0,IF(AND(INDEX(DarlTilgStart,8)&gt;0,$E3767=INDEX(DarlTilgStart,8)),$J3767*($H3767+INDEX(DarlTilgung,8))/100/12,IF(AND($G3767=0,$G3766=1),MAX($K3766,$J3767*($H3767+1)/100/12),$K3766))))</f>
      </c>
      <c r="L3767" s="43">
        <f>IF($I3767=0,0,$J3767*$H3767/100/12)</f>
      </c>
      <c r="M3767" s="43">
        <f>IF($I3767=0,0,IF(OR(INDEX(DarlOhneTilgung,8)=1,AND(INDEX(DarlTilgStart,8)&gt;0,$E3767&lt;INDEX(DarlTilgStart,8))),0,MIN(MAX(0,$K3767-$L3767),$J3767)))</f>
      </c>
      <c r="N3767" s="43">
        <f>IF($I3767=0,0,MIN(SUMIFS(SondBetrag,SondDarl,8,SondDatum,"&gt;="&amp;$E3767,SondDatum,"&lt;="&amp;EOMONTH($E3767,0)),$J3767-$M3767))</f>
      </c>
      <c r="O3767" s="43">
        <f>IF($I3767=0,0,INDEX(DarlErsatzRate,8))</f>
      </c>
      <c r="P3767" s="43">
        <f>IF($I3767=0,0,$Q3766*INDEX(DarlErsatzZins,8))</f>
      </c>
      <c r="Q3767" s="43">
        <f>IF($I3767=0,0,$Q3766+$P3767+$O3767)</f>
      </c>
      <c r="R3767" s="43">
        <f>IF($I3767=0,0,$J3767-$M3767-$N3767)</f>
      </c>
    </row>
    <row r="3768">
      <c r="A3768"/>
      <c r="B3768">
        <v>8</v>
      </c>
      <c r="C3768" s="43">
        <f>INDEX(DarlObj,8)</f>
      </c>
      <c r="D3768">
        <v>405</v>
      </c>
      <c r="E3768" s="51">
        <f>IF(INDEX(DarlBelegt,8)=0,0,EOMONTH(INDEX(DarlAuszahlung,8),404)+1)</f>
      </c>
      <c r="F3768" s="43">
        <f>IF($E3768=0,0,YEAR($E3768))</f>
      </c>
      <c r="G3768" s="43">
        <f>IF(INDEX(DarlBindung,8)="",1,IF($E3768&lt;=INDEX(DarlBindung,8),1,0))</f>
      </c>
      <c r="H3768" s="43">
        <f>IF($G3768=1,INDEX(DarlSollzins,8),INDEX(DarlAnschluss,8))</f>
      </c>
      <c r="I3768" s="43">
        <f>IF(INDEX(DarlBelegt,8)=0,0,IF(INDEX(DarlOhneTilgung,8)=1,IF(INDEX(DarlBindung,8)="",1,$G3768),IF($J3768&gt;0.005,1,0)))</f>
      </c>
      <c r="J3768" s="43">
        <f>IF($I3767=0,0,$R3767)</f>
      </c>
      <c r="K3768" s="43">
        <f>IF($I3768=0,0,IF(INDEX(DarlOhneTilgung,8)=1,0,IF(AND(INDEX(DarlTilgStart,8)&gt;0,$E3768=INDEX(DarlTilgStart,8)),$J3768*($H3768+INDEX(DarlTilgung,8))/100/12,IF(AND($G3768=0,$G3767=1),MAX($K3767,$J3768*($H3768+1)/100/12),$K3767))))</f>
      </c>
      <c r="L3768" s="43">
        <f>IF($I3768=0,0,$J3768*$H3768/100/12)</f>
      </c>
      <c r="M3768" s="43">
        <f>IF($I3768=0,0,IF(OR(INDEX(DarlOhneTilgung,8)=1,AND(INDEX(DarlTilgStart,8)&gt;0,$E3768&lt;INDEX(DarlTilgStart,8))),0,MIN(MAX(0,$K3768-$L3768),$J3768)))</f>
      </c>
      <c r="N3768" s="43">
        <f>IF($I3768=0,0,MIN(SUMIFS(SondBetrag,SondDarl,8,SondDatum,"&gt;="&amp;$E3768,SondDatum,"&lt;="&amp;EOMONTH($E3768,0)),$J3768-$M3768))</f>
      </c>
      <c r="O3768" s="43">
        <f>IF($I3768=0,0,INDEX(DarlErsatzRate,8))</f>
      </c>
      <c r="P3768" s="43">
        <f>IF($I3768=0,0,$Q3767*INDEX(DarlErsatzZins,8))</f>
      </c>
      <c r="Q3768" s="43">
        <f>IF($I3768=0,0,$Q3767+$P3768+$O3768)</f>
      </c>
      <c r="R3768" s="43">
        <f>IF($I3768=0,0,$J3768-$M3768-$N3768)</f>
      </c>
    </row>
    <row r="3769">
      <c r="A3769"/>
      <c r="B3769">
        <v>8</v>
      </c>
      <c r="C3769" s="43">
        <f>INDEX(DarlObj,8)</f>
      </c>
      <c r="D3769">
        <v>406</v>
      </c>
      <c r="E3769" s="51">
        <f>IF(INDEX(DarlBelegt,8)=0,0,EOMONTH(INDEX(DarlAuszahlung,8),405)+1)</f>
      </c>
      <c r="F3769" s="43">
        <f>IF($E3769=0,0,YEAR($E3769))</f>
      </c>
      <c r="G3769" s="43">
        <f>IF(INDEX(DarlBindung,8)="",1,IF($E3769&lt;=INDEX(DarlBindung,8),1,0))</f>
      </c>
      <c r="H3769" s="43">
        <f>IF($G3769=1,INDEX(DarlSollzins,8),INDEX(DarlAnschluss,8))</f>
      </c>
      <c r="I3769" s="43">
        <f>IF(INDEX(DarlBelegt,8)=0,0,IF(INDEX(DarlOhneTilgung,8)=1,IF(INDEX(DarlBindung,8)="",1,$G3769),IF($J3769&gt;0.005,1,0)))</f>
      </c>
      <c r="J3769" s="43">
        <f>IF($I3768=0,0,$R3768)</f>
      </c>
      <c r="K3769" s="43">
        <f>IF($I3769=0,0,IF(INDEX(DarlOhneTilgung,8)=1,0,IF(AND(INDEX(DarlTilgStart,8)&gt;0,$E3769=INDEX(DarlTilgStart,8)),$J3769*($H3769+INDEX(DarlTilgung,8))/100/12,IF(AND($G3769=0,$G3768=1),MAX($K3768,$J3769*($H3769+1)/100/12),$K3768))))</f>
      </c>
      <c r="L3769" s="43">
        <f>IF($I3769=0,0,$J3769*$H3769/100/12)</f>
      </c>
      <c r="M3769" s="43">
        <f>IF($I3769=0,0,IF(OR(INDEX(DarlOhneTilgung,8)=1,AND(INDEX(DarlTilgStart,8)&gt;0,$E3769&lt;INDEX(DarlTilgStart,8))),0,MIN(MAX(0,$K3769-$L3769),$J3769)))</f>
      </c>
      <c r="N3769" s="43">
        <f>IF($I3769=0,0,MIN(SUMIFS(SondBetrag,SondDarl,8,SondDatum,"&gt;="&amp;$E3769,SondDatum,"&lt;="&amp;EOMONTH($E3769,0)),$J3769-$M3769))</f>
      </c>
      <c r="O3769" s="43">
        <f>IF($I3769=0,0,INDEX(DarlErsatzRate,8))</f>
      </c>
      <c r="P3769" s="43">
        <f>IF($I3769=0,0,$Q3768*INDEX(DarlErsatzZins,8))</f>
      </c>
      <c r="Q3769" s="43">
        <f>IF($I3769=0,0,$Q3768+$P3769+$O3769)</f>
      </c>
      <c r="R3769" s="43">
        <f>IF($I3769=0,0,$J3769-$M3769-$N3769)</f>
      </c>
    </row>
    <row r="3770">
      <c r="A3770"/>
      <c r="B3770">
        <v>8</v>
      </c>
      <c r="C3770" s="43">
        <f>INDEX(DarlObj,8)</f>
      </c>
      <c r="D3770">
        <v>407</v>
      </c>
      <c r="E3770" s="51">
        <f>IF(INDEX(DarlBelegt,8)=0,0,EOMONTH(INDEX(DarlAuszahlung,8),406)+1)</f>
      </c>
      <c r="F3770" s="43">
        <f>IF($E3770=0,0,YEAR($E3770))</f>
      </c>
      <c r="G3770" s="43">
        <f>IF(INDEX(DarlBindung,8)="",1,IF($E3770&lt;=INDEX(DarlBindung,8),1,0))</f>
      </c>
      <c r="H3770" s="43">
        <f>IF($G3770=1,INDEX(DarlSollzins,8),INDEX(DarlAnschluss,8))</f>
      </c>
      <c r="I3770" s="43">
        <f>IF(INDEX(DarlBelegt,8)=0,0,IF(INDEX(DarlOhneTilgung,8)=1,IF(INDEX(DarlBindung,8)="",1,$G3770),IF($J3770&gt;0.005,1,0)))</f>
      </c>
      <c r="J3770" s="43">
        <f>IF($I3769=0,0,$R3769)</f>
      </c>
      <c r="K3770" s="43">
        <f>IF($I3770=0,0,IF(INDEX(DarlOhneTilgung,8)=1,0,IF(AND(INDEX(DarlTilgStart,8)&gt;0,$E3770=INDEX(DarlTilgStart,8)),$J3770*($H3770+INDEX(DarlTilgung,8))/100/12,IF(AND($G3770=0,$G3769=1),MAX($K3769,$J3770*($H3770+1)/100/12),$K3769))))</f>
      </c>
      <c r="L3770" s="43">
        <f>IF($I3770=0,0,$J3770*$H3770/100/12)</f>
      </c>
      <c r="M3770" s="43">
        <f>IF($I3770=0,0,IF(OR(INDEX(DarlOhneTilgung,8)=1,AND(INDEX(DarlTilgStart,8)&gt;0,$E3770&lt;INDEX(DarlTilgStart,8))),0,MIN(MAX(0,$K3770-$L3770),$J3770)))</f>
      </c>
      <c r="N3770" s="43">
        <f>IF($I3770=0,0,MIN(SUMIFS(SondBetrag,SondDarl,8,SondDatum,"&gt;="&amp;$E3770,SondDatum,"&lt;="&amp;EOMONTH($E3770,0)),$J3770-$M3770))</f>
      </c>
      <c r="O3770" s="43">
        <f>IF($I3770=0,0,INDEX(DarlErsatzRate,8))</f>
      </c>
      <c r="P3770" s="43">
        <f>IF($I3770=0,0,$Q3769*INDEX(DarlErsatzZins,8))</f>
      </c>
      <c r="Q3770" s="43">
        <f>IF($I3770=0,0,$Q3769+$P3770+$O3770)</f>
      </c>
      <c r="R3770" s="43">
        <f>IF($I3770=0,0,$J3770-$M3770-$N3770)</f>
      </c>
    </row>
    <row r="3771">
      <c r="A3771"/>
      <c r="B3771">
        <v>8</v>
      </c>
      <c r="C3771" s="43">
        <f>INDEX(DarlObj,8)</f>
      </c>
      <c r="D3771">
        <v>408</v>
      </c>
      <c r="E3771" s="51">
        <f>IF(INDEX(DarlBelegt,8)=0,0,EOMONTH(INDEX(DarlAuszahlung,8),407)+1)</f>
      </c>
      <c r="F3771" s="43">
        <f>IF($E3771=0,0,YEAR($E3771))</f>
      </c>
      <c r="G3771" s="43">
        <f>IF(INDEX(DarlBindung,8)="",1,IF($E3771&lt;=INDEX(DarlBindung,8),1,0))</f>
      </c>
      <c r="H3771" s="43">
        <f>IF($G3771=1,INDEX(DarlSollzins,8),INDEX(DarlAnschluss,8))</f>
      </c>
      <c r="I3771" s="43">
        <f>IF(INDEX(DarlBelegt,8)=0,0,IF(INDEX(DarlOhneTilgung,8)=1,IF(INDEX(DarlBindung,8)="",1,$G3771),IF($J3771&gt;0.005,1,0)))</f>
      </c>
      <c r="J3771" s="43">
        <f>IF($I3770=0,0,$R3770)</f>
      </c>
      <c r="K3771" s="43">
        <f>IF($I3771=0,0,IF(INDEX(DarlOhneTilgung,8)=1,0,IF(AND(INDEX(DarlTilgStart,8)&gt;0,$E3771=INDEX(DarlTilgStart,8)),$J3771*($H3771+INDEX(DarlTilgung,8))/100/12,IF(AND($G3771=0,$G3770=1),MAX($K3770,$J3771*($H3771+1)/100/12),$K3770))))</f>
      </c>
      <c r="L3771" s="43">
        <f>IF($I3771=0,0,$J3771*$H3771/100/12)</f>
      </c>
      <c r="M3771" s="43">
        <f>IF($I3771=0,0,IF(OR(INDEX(DarlOhneTilgung,8)=1,AND(INDEX(DarlTilgStart,8)&gt;0,$E3771&lt;INDEX(DarlTilgStart,8))),0,MIN(MAX(0,$K3771-$L3771),$J3771)))</f>
      </c>
      <c r="N3771" s="43">
        <f>IF($I3771=0,0,MIN(SUMIFS(SondBetrag,SondDarl,8,SondDatum,"&gt;="&amp;$E3771,SondDatum,"&lt;="&amp;EOMONTH($E3771,0)),$J3771-$M3771))</f>
      </c>
      <c r="O3771" s="43">
        <f>IF($I3771=0,0,INDEX(DarlErsatzRate,8))</f>
      </c>
      <c r="P3771" s="43">
        <f>IF($I3771=0,0,$Q3770*INDEX(DarlErsatzZins,8))</f>
      </c>
      <c r="Q3771" s="43">
        <f>IF($I3771=0,0,$Q3770+$P3771+$O3771)</f>
      </c>
      <c r="R3771" s="43">
        <f>IF($I3771=0,0,$J3771-$M3771-$N3771)</f>
      </c>
    </row>
    <row r="3772">
      <c r="A3772"/>
      <c r="B3772">
        <v>8</v>
      </c>
      <c r="C3772" s="43">
        <f>INDEX(DarlObj,8)</f>
      </c>
      <c r="D3772">
        <v>409</v>
      </c>
      <c r="E3772" s="51">
        <f>IF(INDEX(DarlBelegt,8)=0,0,EOMONTH(INDEX(DarlAuszahlung,8),408)+1)</f>
      </c>
      <c r="F3772" s="43">
        <f>IF($E3772=0,0,YEAR($E3772))</f>
      </c>
      <c r="G3772" s="43">
        <f>IF(INDEX(DarlBindung,8)="",1,IF($E3772&lt;=INDEX(DarlBindung,8),1,0))</f>
      </c>
      <c r="H3772" s="43">
        <f>IF($G3772=1,INDEX(DarlSollzins,8),INDEX(DarlAnschluss,8))</f>
      </c>
      <c r="I3772" s="43">
        <f>IF(INDEX(DarlBelegt,8)=0,0,IF(INDEX(DarlOhneTilgung,8)=1,IF(INDEX(DarlBindung,8)="",1,$G3772),IF($J3772&gt;0.005,1,0)))</f>
      </c>
      <c r="J3772" s="43">
        <f>IF($I3771=0,0,$R3771)</f>
      </c>
      <c r="K3772" s="43">
        <f>IF($I3772=0,0,IF(INDEX(DarlOhneTilgung,8)=1,0,IF(AND(INDEX(DarlTilgStart,8)&gt;0,$E3772=INDEX(DarlTilgStart,8)),$J3772*($H3772+INDEX(DarlTilgung,8))/100/12,IF(AND($G3772=0,$G3771=1),MAX($K3771,$J3772*($H3772+1)/100/12),$K3771))))</f>
      </c>
      <c r="L3772" s="43">
        <f>IF($I3772=0,0,$J3772*$H3772/100/12)</f>
      </c>
      <c r="M3772" s="43">
        <f>IF($I3772=0,0,IF(OR(INDEX(DarlOhneTilgung,8)=1,AND(INDEX(DarlTilgStart,8)&gt;0,$E3772&lt;INDEX(DarlTilgStart,8))),0,MIN(MAX(0,$K3772-$L3772),$J3772)))</f>
      </c>
      <c r="N3772" s="43">
        <f>IF($I3772=0,0,MIN(SUMIFS(SondBetrag,SondDarl,8,SondDatum,"&gt;="&amp;$E3772,SondDatum,"&lt;="&amp;EOMONTH($E3772,0)),$J3772-$M3772))</f>
      </c>
      <c r="O3772" s="43">
        <f>IF($I3772=0,0,INDEX(DarlErsatzRate,8))</f>
      </c>
      <c r="P3772" s="43">
        <f>IF($I3772=0,0,$Q3771*INDEX(DarlErsatzZins,8))</f>
      </c>
      <c r="Q3772" s="43">
        <f>IF($I3772=0,0,$Q3771+$P3772+$O3772)</f>
      </c>
      <c r="R3772" s="43">
        <f>IF($I3772=0,0,$J3772-$M3772-$N3772)</f>
      </c>
    </row>
    <row r="3773">
      <c r="A3773"/>
      <c r="B3773">
        <v>8</v>
      </c>
      <c r="C3773" s="43">
        <f>INDEX(DarlObj,8)</f>
      </c>
      <c r="D3773">
        <v>410</v>
      </c>
      <c r="E3773" s="51">
        <f>IF(INDEX(DarlBelegt,8)=0,0,EOMONTH(INDEX(DarlAuszahlung,8),409)+1)</f>
      </c>
      <c r="F3773" s="43">
        <f>IF($E3773=0,0,YEAR($E3773))</f>
      </c>
      <c r="G3773" s="43">
        <f>IF(INDEX(DarlBindung,8)="",1,IF($E3773&lt;=INDEX(DarlBindung,8),1,0))</f>
      </c>
      <c r="H3773" s="43">
        <f>IF($G3773=1,INDEX(DarlSollzins,8),INDEX(DarlAnschluss,8))</f>
      </c>
      <c r="I3773" s="43">
        <f>IF(INDEX(DarlBelegt,8)=0,0,IF(INDEX(DarlOhneTilgung,8)=1,IF(INDEX(DarlBindung,8)="",1,$G3773),IF($J3773&gt;0.005,1,0)))</f>
      </c>
      <c r="J3773" s="43">
        <f>IF($I3772=0,0,$R3772)</f>
      </c>
      <c r="K3773" s="43">
        <f>IF($I3773=0,0,IF(INDEX(DarlOhneTilgung,8)=1,0,IF(AND(INDEX(DarlTilgStart,8)&gt;0,$E3773=INDEX(DarlTilgStart,8)),$J3773*($H3773+INDEX(DarlTilgung,8))/100/12,IF(AND($G3773=0,$G3772=1),MAX($K3772,$J3773*($H3773+1)/100/12),$K3772))))</f>
      </c>
      <c r="L3773" s="43">
        <f>IF($I3773=0,0,$J3773*$H3773/100/12)</f>
      </c>
      <c r="M3773" s="43">
        <f>IF($I3773=0,0,IF(OR(INDEX(DarlOhneTilgung,8)=1,AND(INDEX(DarlTilgStart,8)&gt;0,$E3773&lt;INDEX(DarlTilgStart,8))),0,MIN(MAX(0,$K3773-$L3773),$J3773)))</f>
      </c>
      <c r="N3773" s="43">
        <f>IF($I3773=0,0,MIN(SUMIFS(SondBetrag,SondDarl,8,SondDatum,"&gt;="&amp;$E3773,SondDatum,"&lt;="&amp;EOMONTH($E3773,0)),$J3773-$M3773))</f>
      </c>
      <c r="O3773" s="43">
        <f>IF($I3773=0,0,INDEX(DarlErsatzRate,8))</f>
      </c>
      <c r="P3773" s="43">
        <f>IF($I3773=0,0,$Q3772*INDEX(DarlErsatzZins,8))</f>
      </c>
      <c r="Q3773" s="43">
        <f>IF($I3773=0,0,$Q3772+$P3773+$O3773)</f>
      </c>
      <c r="R3773" s="43">
        <f>IF($I3773=0,0,$J3773-$M3773-$N3773)</f>
      </c>
    </row>
    <row r="3774">
      <c r="A3774"/>
      <c r="B3774">
        <v>8</v>
      </c>
      <c r="C3774" s="43">
        <f>INDEX(DarlObj,8)</f>
      </c>
      <c r="D3774">
        <v>411</v>
      </c>
      <c r="E3774" s="51">
        <f>IF(INDEX(DarlBelegt,8)=0,0,EOMONTH(INDEX(DarlAuszahlung,8),410)+1)</f>
      </c>
      <c r="F3774" s="43">
        <f>IF($E3774=0,0,YEAR($E3774))</f>
      </c>
      <c r="G3774" s="43">
        <f>IF(INDEX(DarlBindung,8)="",1,IF($E3774&lt;=INDEX(DarlBindung,8),1,0))</f>
      </c>
      <c r="H3774" s="43">
        <f>IF($G3774=1,INDEX(DarlSollzins,8),INDEX(DarlAnschluss,8))</f>
      </c>
      <c r="I3774" s="43">
        <f>IF(INDEX(DarlBelegt,8)=0,0,IF(INDEX(DarlOhneTilgung,8)=1,IF(INDEX(DarlBindung,8)="",1,$G3774),IF($J3774&gt;0.005,1,0)))</f>
      </c>
      <c r="J3774" s="43">
        <f>IF($I3773=0,0,$R3773)</f>
      </c>
      <c r="K3774" s="43">
        <f>IF($I3774=0,0,IF(INDEX(DarlOhneTilgung,8)=1,0,IF(AND(INDEX(DarlTilgStart,8)&gt;0,$E3774=INDEX(DarlTilgStart,8)),$J3774*($H3774+INDEX(DarlTilgung,8))/100/12,IF(AND($G3774=0,$G3773=1),MAX($K3773,$J3774*($H3774+1)/100/12),$K3773))))</f>
      </c>
      <c r="L3774" s="43">
        <f>IF($I3774=0,0,$J3774*$H3774/100/12)</f>
      </c>
      <c r="M3774" s="43">
        <f>IF($I3774=0,0,IF(OR(INDEX(DarlOhneTilgung,8)=1,AND(INDEX(DarlTilgStart,8)&gt;0,$E3774&lt;INDEX(DarlTilgStart,8))),0,MIN(MAX(0,$K3774-$L3774),$J3774)))</f>
      </c>
      <c r="N3774" s="43">
        <f>IF($I3774=0,0,MIN(SUMIFS(SondBetrag,SondDarl,8,SondDatum,"&gt;="&amp;$E3774,SondDatum,"&lt;="&amp;EOMONTH($E3774,0)),$J3774-$M3774))</f>
      </c>
      <c r="O3774" s="43">
        <f>IF($I3774=0,0,INDEX(DarlErsatzRate,8))</f>
      </c>
      <c r="P3774" s="43">
        <f>IF($I3774=0,0,$Q3773*INDEX(DarlErsatzZins,8))</f>
      </c>
      <c r="Q3774" s="43">
        <f>IF($I3774=0,0,$Q3773+$P3774+$O3774)</f>
      </c>
      <c r="R3774" s="43">
        <f>IF($I3774=0,0,$J3774-$M3774-$N3774)</f>
      </c>
    </row>
    <row r="3775">
      <c r="A3775"/>
      <c r="B3775">
        <v>8</v>
      </c>
      <c r="C3775" s="43">
        <f>INDEX(DarlObj,8)</f>
      </c>
      <c r="D3775">
        <v>412</v>
      </c>
      <c r="E3775" s="51">
        <f>IF(INDEX(DarlBelegt,8)=0,0,EOMONTH(INDEX(DarlAuszahlung,8),411)+1)</f>
      </c>
      <c r="F3775" s="43">
        <f>IF($E3775=0,0,YEAR($E3775))</f>
      </c>
      <c r="G3775" s="43">
        <f>IF(INDEX(DarlBindung,8)="",1,IF($E3775&lt;=INDEX(DarlBindung,8),1,0))</f>
      </c>
      <c r="H3775" s="43">
        <f>IF($G3775=1,INDEX(DarlSollzins,8),INDEX(DarlAnschluss,8))</f>
      </c>
      <c r="I3775" s="43">
        <f>IF(INDEX(DarlBelegt,8)=0,0,IF(INDEX(DarlOhneTilgung,8)=1,IF(INDEX(DarlBindung,8)="",1,$G3775),IF($J3775&gt;0.005,1,0)))</f>
      </c>
      <c r="J3775" s="43">
        <f>IF($I3774=0,0,$R3774)</f>
      </c>
      <c r="K3775" s="43">
        <f>IF($I3775=0,0,IF(INDEX(DarlOhneTilgung,8)=1,0,IF(AND(INDEX(DarlTilgStart,8)&gt;0,$E3775=INDEX(DarlTilgStart,8)),$J3775*($H3775+INDEX(DarlTilgung,8))/100/12,IF(AND($G3775=0,$G3774=1),MAX($K3774,$J3775*($H3775+1)/100/12),$K3774))))</f>
      </c>
      <c r="L3775" s="43">
        <f>IF($I3775=0,0,$J3775*$H3775/100/12)</f>
      </c>
      <c r="M3775" s="43">
        <f>IF($I3775=0,0,IF(OR(INDEX(DarlOhneTilgung,8)=1,AND(INDEX(DarlTilgStart,8)&gt;0,$E3775&lt;INDEX(DarlTilgStart,8))),0,MIN(MAX(0,$K3775-$L3775),$J3775)))</f>
      </c>
      <c r="N3775" s="43">
        <f>IF($I3775=0,0,MIN(SUMIFS(SondBetrag,SondDarl,8,SondDatum,"&gt;="&amp;$E3775,SondDatum,"&lt;="&amp;EOMONTH($E3775,0)),$J3775-$M3775))</f>
      </c>
      <c r="O3775" s="43">
        <f>IF($I3775=0,0,INDEX(DarlErsatzRate,8))</f>
      </c>
      <c r="P3775" s="43">
        <f>IF($I3775=0,0,$Q3774*INDEX(DarlErsatzZins,8))</f>
      </c>
      <c r="Q3775" s="43">
        <f>IF($I3775=0,0,$Q3774+$P3775+$O3775)</f>
      </c>
      <c r="R3775" s="43">
        <f>IF($I3775=0,0,$J3775-$M3775-$N3775)</f>
      </c>
    </row>
    <row r="3776">
      <c r="A3776"/>
      <c r="B3776">
        <v>8</v>
      </c>
      <c r="C3776" s="43">
        <f>INDEX(DarlObj,8)</f>
      </c>
      <c r="D3776">
        <v>413</v>
      </c>
      <c r="E3776" s="51">
        <f>IF(INDEX(DarlBelegt,8)=0,0,EOMONTH(INDEX(DarlAuszahlung,8),412)+1)</f>
      </c>
      <c r="F3776" s="43">
        <f>IF($E3776=0,0,YEAR($E3776))</f>
      </c>
      <c r="G3776" s="43">
        <f>IF(INDEX(DarlBindung,8)="",1,IF($E3776&lt;=INDEX(DarlBindung,8),1,0))</f>
      </c>
      <c r="H3776" s="43">
        <f>IF($G3776=1,INDEX(DarlSollzins,8),INDEX(DarlAnschluss,8))</f>
      </c>
      <c r="I3776" s="43">
        <f>IF(INDEX(DarlBelegt,8)=0,0,IF(INDEX(DarlOhneTilgung,8)=1,IF(INDEX(DarlBindung,8)="",1,$G3776),IF($J3776&gt;0.005,1,0)))</f>
      </c>
      <c r="J3776" s="43">
        <f>IF($I3775=0,0,$R3775)</f>
      </c>
      <c r="K3776" s="43">
        <f>IF($I3776=0,0,IF(INDEX(DarlOhneTilgung,8)=1,0,IF(AND(INDEX(DarlTilgStart,8)&gt;0,$E3776=INDEX(DarlTilgStart,8)),$J3776*($H3776+INDEX(DarlTilgung,8))/100/12,IF(AND($G3776=0,$G3775=1),MAX($K3775,$J3776*($H3776+1)/100/12),$K3775))))</f>
      </c>
      <c r="L3776" s="43">
        <f>IF($I3776=0,0,$J3776*$H3776/100/12)</f>
      </c>
      <c r="M3776" s="43">
        <f>IF($I3776=0,0,IF(OR(INDEX(DarlOhneTilgung,8)=1,AND(INDEX(DarlTilgStart,8)&gt;0,$E3776&lt;INDEX(DarlTilgStart,8))),0,MIN(MAX(0,$K3776-$L3776),$J3776)))</f>
      </c>
      <c r="N3776" s="43">
        <f>IF($I3776=0,0,MIN(SUMIFS(SondBetrag,SondDarl,8,SondDatum,"&gt;="&amp;$E3776,SondDatum,"&lt;="&amp;EOMONTH($E3776,0)),$J3776-$M3776))</f>
      </c>
      <c r="O3776" s="43">
        <f>IF($I3776=0,0,INDEX(DarlErsatzRate,8))</f>
      </c>
      <c r="P3776" s="43">
        <f>IF($I3776=0,0,$Q3775*INDEX(DarlErsatzZins,8))</f>
      </c>
      <c r="Q3776" s="43">
        <f>IF($I3776=0,0,$Q3775+$P3776+$O3776)</f>
      </c>
      <c r="R3776" s="43">
        <f>IF($I3776=0,0,$J3776-$M3776-$N3776)</f>
      </c>
    </row>
    <row r="3777">
      <c r="A3777"/>
      <c r="B3777">
        <v>8</v>
      </c>
      <c r="C3777" s="43">
        <f>INDEX(DarlObj,8)</f>
      </c>
      <c r="D3777">
        <v>414</v>
      </c>
      <c r="E3777" s="51">
        <f>IF(INDEX(DarlBelegt,8)=0,0,EOMONTH(INDEX(DarlAuszahlung,8),413)+1)</f>
      </c>
      <c r="F3777" s="43">
        <f>IF($E3777=0,0,YEAR($E3777))</f>
      </c>
      <c r="G3777" s="43">
        <f>IF(INDEX(DarlBindung,8)="",1,IF($E3777&lt;=INDEX(DarlBindung,8),1,0))</f>
      </c>
      <c r="H3777" s="43">
        <f>IF($G3777=1,INDEX(DarlSollzins,8),INDEX(DarlAnschluss,8))</f>
      </c>
      <c r="I3777" s="43">
        <f>IF(INDEX(DarlBelegt,8)=0,0,IF(INDEX(DarlOhneTilgung,8)=1,IF(INDEX(DarlBindung,8)="",1,$G3777),IF($J3777&gt;0.005,1,0)))</f>
      </c>
      <c r="J3777" s="43">
        <f>IF($I3776=0,0,$R3776)</f>
      </c>
      <c r="K3777" s="43">
        <f>IF($I3777=0,0,IF(INDEX(DarlOhneTilgung,8)=1,0,IF(AND(INDEX(DarlTilgStart,8)&gt;0,$E3777=INDEX(DarlTilgStart,8)),$J3777*($H3777+INDEX(DarlTilgung,8))/100/12,IF(AND($G3777=0,$G3776=1),MAX($K3776,$J3777*($H3777+1)/100/12),$K3776))))</f>
      </c>
      <c r="L3777" s="43">
        <f>IF($I3777=0,0,$J3777*$H3777/100/12)</f>
      </c>
      <c r="M3777" s="43">
        <f>IF($I3777=0,0,IF(OR(INDEX(DarlOhneTilgung,8)=1,AND(INDEX(DarlTilgStart,8)&gt;0,$E3777&lt;INDEX(DarlTilgStart,8))),0,MIN(MAX(0,$K3777-$L3777),$J3777)))</f>
      </c>
      <c r="N3777" s="43">
        <f>IF($I3777=0,0,MIN(SUMIFS(SondBetrag,SondDarl,8,SondDatum,"&gt;="&amp;$E3777,SondDatum,"&lt;="&amp;EOMONTH($E3777,0)),$J3777-$M3777))</f>
      </c>
      <c r="O3777" s="43">
        <f>IF($I3777=0,0,INDEX(DarlErsatzRate,8))</f>
      </c>
      <c r="P3777" s="43">
        <f>IF($I3777=0,0,$Q3776*INDEX(DarlErsatzZins,8))</f>
      </c>
      <c r="Q3777" s="43">
        <f>IF($I3777=0,0,$Q3776+$P3777+$O3777)</f>
      </c>
      <c r="R3777" s="43">
        <f>IF($I3777=0,0,$J3777-$M3777-$N3777)</f>
      </c>
    </row>
    <row r="3778">
      <c r="A3778"/>
      <c r="B3778">
        <v>8</v>
      </c>
      <c r="C3778" s="43">
        <f>INDEX(DarlObj,8)</f>
      </c>
      <c r="D3778">
        <v>415</v>
      </c>
      <c r="E3778" s="51">
        <f>IF(INDEX(DarlBelegt,8)=0,0,EOMONTH(INDEX(DarlAuszahlung,8),414)+1)</f>
      </c>
      <c r="F3778" s="43">
        <f>IF($E3778=0,0,YEAR($E3778))</f>
      </c>
      <c r="G3778" s="43">
        <f>IF(INDEX(DarlBindung,8)="",1,IF($E3778&lt;=INDEX(DarlBindung,8),1,0))</f>
      </c>
      <c r="H3778" s="43">
        <f>IF($G3778=1,INDEX(DarlSollzins,8),INDEX(DarlAnschluss,8))</f>
      </c>
      <c r="I3778" s="43">
        <f>IF(INDEX(DarlBelegt,8)=0,0,IF(INDEX(DarlOhneTilgung,8)=1,IF(INDEX(DarlBindung,8)="",1,$G3778),IF($J3778&gt;0.005,1,0)))</f>
      </c>
      <c r="J3778" s="43">
        <f>IF($I3777=0,0,$R3777)</f>
      </c>
      <c r="K3778" s="43">
        <f>IF($I3778=0,0,IF(INDEX(DarlOhneTilgung,8)=1,0,IF(AND(INDEX(DarlTilgStart,8)&gt;0,$E3778=INDEX(DarlTilgStart,8)),$J3778*($H3778+INDEX(DarlTilgung,8))/100/12,IF(AND($G3778=0,$G3777=1),MAX($K3777,$J3778*($H3778+1)/100/12),$K3777))))</f>
      </c>
      <c r="L3778" s="43">
        <f>IF($I3778=0,0,$J3778*$H3778/100/12)</f>
      </c>
      <c r="M3778" s="43">
        <f>IF($I3778=0,0,IF(OR(INDEX(DarlOhneTilgung,8)=1,AND(INDEX(DarlTilgStart,8)&gt;0,$E3778&lt;INDEX(DarlTilgStart,8))),0,MIN(MAX(0,$K3778-$L3778),$J3778)))</f>
      </c>
      <c r="N3778" s="43">
        <f>IF($I3778=0,0,MIN(SUMIFS(SondBetrag,SondDarl,8,SondDatum,"&gt;="&amp;$E3778,SondDatum,"&lt;="&amp;EOMONTH($E3778,0)),$J3778-$M3778))</f>
      </c>
      <c r="O3778" s="43">
        <f>IF($I3778=0,0,INDEX(DarlErsatzRate,8))</f>
      </c>
      <c r="P3778" s="43">
        <f>IF($I3778=0,0,$Q3777*INDEX(DarlErsatzZins,8))</f>
      </c>
      <c r="Q3778" s="43">
        <f>IF($I3778=0,0,$Q3777+$P3778+$O3778)</f>
      </c>
      <c r="R3778" s="43">
        <f>IF($I3778=0,0,$J3778-$M3778-$N3778)</f>
      </c>
    </row>
    <row r="3779">
      <c r="A3779"/>
      <c r="B3779">
        <v>8</v>
      </c>
      <c r="C3779" s="43">
        <f>INDEX(DarlObj,8)</f>
      </c>
      <c r="D3779">
        <v>416</v>
      </c>
      <c r="E3779" s="51">
        <f>IF(INDEX(DarlBelegt,8)=0,0,EOMONTH(INDEX(DarlAuszahlung,8),415)+1)</f>
      </c>
      <c r="F3779" s="43">
        <f>IF($E3779=0,0,YEAR($E3779))</f>
      </c>
      <c r="G3779" s="43">
        <f>IF(INDEX(DarlBindung,8)="",1,IF($E3779&lt;=INDEX(DarlBindung,8),1,0))</f>
      </c>
      <c r="H3779" s="43">
        <f>IF($G3779=1,INDEX(DarlSollzins,8),INDEX(DarlAnschluss,8))</f>
      </c>
      <c r="I3779" s="43">
        <f>IF(INDEX(DarlBelegt,8)=0,0,IF(INDEX(DarlOhneTilgung,8)=1,IF(INDEX(DarlBindung,8)="",1,$G3779),IF($J3779&gt;0.005,1,0)))</f>
      </c>
      <c r="J3779" s="43">
        <f>IF($I3778=0,0,$R3778)</f>
      </c>
      <c r="K3779" s="43">
        <f>IF($I3779=0,0,IF(INDEX(DarlOhneTilgung,8)=1,0,IF(AND(INDEX(DarlTilgStart,8)&gt;0,$E3779=INDEX(DarlTilgStart,8)),$J3779*($H3779+INDEX(DarlTilgung,8))/100/12,IF(AND($G3779=0,$G3778=1),MAX($K3778,$J3779*($H3779+1)/100/12),$K3778))))</f>
      </c>
      <c r="L3779" s="43">
        <f>IF($I3779=0,0,$J3779*$H3779/100/12)</f>
      </c>
      <c r="M3779" s="43">
        <f>IF($I3779=0,0,IF(OR(INDEX(DarlOhneTilgung,8)=1,AND(INDEX(DarlTilgStart,8)&gt;0,$E3779&lt;INDEX(DarlTilgStart,8))),0,MIN(MAX(0,$K3779-$L3779),$J3779)))</f>
      </c>
      <c r="N3779" s="43">
        <f>IF($I3779=0,0,MIN(SUMIFS(SondBetrag,SondDarl,8,SondDatum,"&gt;="&amp;$E3779,SondDatum,"&lt;="&amp;EOMONTH($E3779,0)),$J3779-$M3779))</f>
      </c>
      <c r="O3779" s="43">
        <f>IF($I3779=0,0,INDEX(DarlErsatzRate,8))</f>
      </c>
      <c r="P3779" s="43">
        <f>IF($I3779=0,0,$Q3778*INDEX(DarlErsatzZins,8))</f>
      </c>
      <c r="Q3779" s="43">
        <f>IF($I3779=0,0,$Q3778+$P3779+$O3779)</f>
      </c>
      <c r="R3779" s="43">
        <f>IF($I3779=0,0,$J3779-$M3779-$N3779)</f>
      </c>
    </row>
    <row r="3780">
      <c r="A3780"/>
      <c r="B3780">
        <v>8</v>
      </c>
      <c r="C3780" s="43">
        <f>INDEX(DarlObj,8)</f>
      </c>
      <c r="D3780">
        <v>417</v>
      </c>
      <c r="E3780" s="51">
        <f>IF(INDEX(DarlBelegt,8)=0,0,EOMONTH(INDEX(DarlAuszahlung,8),416)+1)</f>
      </c>
      <c r="F3780" s="43">
        <f>IF($E3780=0,0,YEAR($E3780))</f>
      </c>
      <c r="G3780" s="43">
        <f>IF(INDEX(DarlBindung,8)="",1,IF($E3780&lt;=INDEX(DarlBindung,8),1,0))</f>
      </c>
      <c r="H3780" s="43">
        <f>IF($G3780=1,INDEX(DarlSollzins,8),INDEX(DarlAnschluss,8))</f>
      </c>
      <c r="I3780" s="43">
        <f>IF(INDEX(DarlBelegt,8)=0,0,IF(INDEX(DarlOhneTilgung,8)=1,IF(INDEX(DarlBindung,8)="",1,$G3780),IF($J3780&gt;0.005,1,0)))</f>
      </c>
      <c r="J3780" s="43">
        <f>IF($I3779=0,0,$R3779)</f>
      </c>
      <c r="K3780" s="43">
        <f>IF($I3780=0,0,IF(INDEX(DarlOhneTilgung,8)=1,0,IF(AND(INDEX(DarlTilgStart,8)&gt;0,$E3780=INDEX(DarlTilgStart,8)),$J3780*($H3780+INDEX(DarlTilgung,8))/100/12,IF(AND($G3780=0,$G3779=1),MAX($K3779,$J3780*($H3780+1)/100/12),$K3779))))</f>
      </c>
      <c r="L3780" s="43">
        <f>IF($I3780=0,0,$J3780*$H3780/100/12)</f>
      </c>
      <c r="M3780" s="43">
        <f>IF($I3780=0,0,IF(OR(INDEX(DarlOhneTilgung,8)=1,AND(INDEX(DarlTilgStart,8)&gt;0,$E3780&lt;INDEX(DarlTilgStart,8))),0,MIN(MAX(0,$K3780-$L3780),$J3780)))</f>
      </c>
      <c r="N3780" s="43">
        <f>IF($I3780=0,0,MIN(SUMIFS(SondBetrag,SondDarl,8,SondDatum,"&gt;="&amp;$E3780,SondDatum,"&lt;="&amp;EOMONTH($E3780,0)),$J3780-$M3780))</f>
      </c>
      <c r="O3780" s="43">
        <f>IF($I3780=0,0,INDEX(DarlErsatzRate,8))</f>
      </c>
      <c r="P3780" s="43">
        <f>IF($I3780=0,0,$Q3779*INDEX(DarlErsatzZins,8))</f>
      </c>
      <c r="Q3780" s="43">
        <f>IF($I3780=0,0,$Q3779+$P3780+$O3780)</f>
      </c>
      <c r="R3780" s="43">
        <f>IF($I3780=0,0,$J3780-$M3780-$N3780)</f>
      </c>
    </row>
    <row r="3781">
      <c r="A3781"/>
      <c r="B3781">
        <v>8</v>
      </c>
      <c r="C3781" s="43">
        <f>INDEX(DarlObj,8)</f>
      </c>
      <c r="D3781">
        <v>418</v>
      </c>
      <c r="E3781" s="51">
        <f>IF(INDEX(DarlBelegt,8)=0,0,EOMONTH(INDEX(DarlAuszahlung,8),417)+1)</f>
      </c>
      <c r="F3781" s="43">
        <f>IF($E3781=0,0,YEAR($E3781))</f>
      </c>
      <c r="G3781" s="43">
        <f>IF(INDEX(DarlBindung,8)="",1,IF($E3781&lt;=INDEX(DarlBindung,8),1,0))</f>
      </c>
      <c r="H3781" s="43">
        <f>IF($G3781=1,INDEX(DarlSollzins,8),INDEX(DarlAnschluss,8))</f>
      </c>
      <c r="I3781" s="43">
        <f>IF(INDEX(DarlBelegt,8)=0,0,IF(INDEX(DarlOhneTilgung,8)=1,IF(INDEX(DarlBindung,8)="",1,$G3781),IF($J3781&gt;0.005,1,0)))</f>
      </c>
      <c r="J3781" s="43">
        <f>IF($I3780=0,0,$R3780)</f>
      </c>
      <c r="K3781" s="43">
        <f>IF($I3781=0,0,IF(INDEX(DarlOhneTilgung,8)=1,0,IF(AND(INDEX(DarlTilgStart,8)&gt;0,$E3781=INDEX(DarlTilgStart,8)),$J3781*($H3781+INDEX(DarlTilgung,8))/100/12,IF(AND($G3781=0,$G3780=1),MAX($K3780,$J3781*($H3781+1)/100/12),$K3780))))</f>
      </c>
      <c r="L3781" s="43">
        <f>IF($I3781=0,0,$J3781*$H3781/100/12)</f>
      </c>
      <c r="M3781" s="43">
        <f>IF($I3781=0,0,IF(OR(INDEX(DarlOhneTilgung,8)=1,AND(INDEX(DarlTilgStart,8)&gt;0,$E3781&lt;INDEX(DarlTilgStart,8))),0,MIN(MAX(0,$K3781-$L3781),$J3781)))</f>
      </c>
      <c r="N3781" s="43">
        <f>IF($I3781=0,0,MIN(SUMIFS(SondBetrag,SondDarl,8,SondDatum,"&gt;="&amp;$E3781,SondDatum,"&lt;="&amp;EOMONTH($E3781,0)),$J3781-$M3781))</f>
      </c>
      <c r="O3781" s="43">
        <f>IF($I3781=0,0,INDEX(DarlErsatzRate,8))</f>
      </c>
      <c r="P3781" s="43">
        <f>IF($I3781=0,0,$Q3780*INDEX(DarlErsatzZins,8))</f>
      </c>
      <c r="Q3781" s="43">
        <f>IF($I3781=0,0,$Q3780+$P3781+$O3781)</f>
      </c>
      <c r="R3781" s="43">
        <f>IF($I3781=0,0,$J3781-$M3781-$N3781)</f>
      </c>
    </row>
    <row r="3782">
      <c r="A3782"/>
      <c r="B3782">
        <v>8</v>
      </c>
      <c r="C3782" s="43">
        <f>INDEX(DarlObj,8)</f>
      </c>
      <c r="D3782">
        <v>419</v>
      </c>
      <c r="E3782" s="51">
        <f>IF(INDEX(DarlBelegt,8)=0,0,EOMONTH(INDEX(DarlAuszahlung,8),418)+1)</f>
      </c>
      <c r="F3782" s="43">
        <f>IF($E3782=0,0,YEAR($E3782))</f>
      </c>
      <c r="G3782" s="43">
        <f>IF(INDEX(DarlBindung,8)="",1,IF($E3782&lt;=INDEX(DarlBindung,8),1,0))</f>
      </c>
      <c r="H3782" s="43">
        <f>IF($G3782=1,INDEX(DarlSollzins,8),INDEX(DarlAnschluss,8))</f>
      </c>
      <c r="I3782" s="43">
        <f>IF(INDEX(DarlBelegt,8)=0,0,IF(INDEX(DarlOhneTilgung,8)=1,IF(INDEX(DarlBindung,8)="",1,$G3782),IF($J3782&gt;0.005,1,0)))</f>
      </c>
      <c r="J3782" s="43">
        <f>IF($I3781=0,0,$R3781)</f>
      </c>
      <c r="K3782" s="43">
        <f>IF($I3782=0,0,IF(INDEX(DarlOhneTilgung,8)=1,0,IF(AND(INDEX(DarlTilgStart,8)&gt;0,$E3782=INDEX(DarlTilgStart,8)),$J3782*($H3782+INDEX(DarlTilgung,8))/100/12,IF(AND($G3782=0,$G3781=1),MAX($K3781,$J3782*($H3782+1)/100/12),$K3781))))</f>
      </c>
      <c r="L3782" s="43">
        <f>IF($I3782=0,0,$J3782*$H3782/100/12)</f>
      </c>
      <c r="M3782" s="43">
        <f>IF($I3782=0,0,IF(OR(INDEX(DarlOhneTilgung,8)=1,AND(INDEX(DarlTilgStart,8)&gt;0,$E3782&lt;INDEX(DarlTilgStart,8))),0,MIN(MAX(0,$K3782-$L3782),$J3782)))</f>
      </c>
      <c r="N3782" s="43">
        <f>IF($I3782=0,0,MIN(SUMIFS(SondBetrag,SondDarl,8,SondDatum,"&gt;="&amp;$E3782,SondDatum,"&lt;="&amp;EOMONTH($E3782,0)),$J3782-$M3782))</f>
      </c>
      <c r="O3782" s="43">
        <f>IF($I3782=0,0,INDEX(DarlErsatzRate,8))</f>
      </c>
      <c r="P3782" s="43">
        <f>IF($I3782=0,0,$Q3781*INDEX(DarlErsatzZins,8))</f>
      </c>
      <c r="Q3782" s="43">
        <f>IF($I3782=0,0,$Q3781+$P3782+$O3782)</f>
      </c>
      <c r="R3782" s="43">
        <f>IF($I3782=0,0,$J3782-$M3782-$N3782)</f>
      </c>
    </row>
    <row r="3783">
      <c r="A3783"/>
      <c r="B3783">
        <v>8</v>
      </c>
      <c r="C3783" s="43">
        <f>INDEX(DarlObj,8)</f>
      </c>
      <c r="D3783">
        <v>420</v>
      </c>
      <c r="E3783" s="51">
        <f>IF(INDEX(DarlBelegt,8)=0,0,EOMONTH(INDEX(DarlAuszahlung,8),419)+1)</f>
      </c>
      <c r="F3783" s="43">
        <f>IF($E3783=0,0,YEAR($E3783))</f>
      </c>
      <c r="G3783" s="43">
        <f>IF(INDEX(DarlBindung,8)="",1,IF($E3783&lt;=INDEX(DarlBindung,8),1,0))</f>
      </c>
      <c r="H3783" s="43">
        <f>IF($G3783=1,INDEX(DarlSollzins,8),INDEX(DarlAnschluss,8))</f>
      </c>
      <c r="I3783" s="43">
        <f>IF(INDEX(DarlBelegt,8)=0,0,IF(INDEX(DarlOhneTilgung,8)=1,IF(INDEX(DarlBindung,8)="",1,$G3783),IF($J3783&gt;0.005,1,0)))</f>
      </c>
      <c r="J3783" s="43">
        <f>IF($I3782=0,0,$R3782)</f>
      </c>
      <c r="K3783" s="43">
        <f>IF($I3783=0,0,IF(INDEX(DarlOhneTilgung,8)=1,0,IF(AND(INDEX(DarlTilgStart,8)&gt;0,$E3783=INDEX(DarlTilgStart,8)),$J3783*($H3783+INDEX(DarlTilgung,8))/100/12,IF(AND($G3783=0,$G3782=1),MAX($K3782,$J3783*($H3783+1)/100/12),$K3782))))</f>
      </c>
      <c r="L3783" s="43">
        <f>IF($I3783=0,0,$J3783*$H3783/100/12)</f>
      </c>
      <c r="M3783" s="43">
        <f>IF($I3783=0,0,IF(OR(INDEX(DarlOhneTilgung,8)=1,AND(INDEX(DarlTilgStart,8)&gt;0,$E3783&lt;INDEX(DarlTilgStart,8))),0,MIN(MAX(0,$K3783-$L3783),$J3783)))</f>
      </c>
      <c r="N3783" s="43">
        <f>IF($I3783=0,0,MIN(SUMIFS(SondBetrag,SondDarl,8,SondDatum,"&gt;="&amp;$E3783,SondDatum,"&lt;="&amp;EOMONTH($E3783,0)),$J3783-$M3783))</f>
      </c>
      <c r="O3783" s="43">
        <f>IF($I3783=0,0,INDEX(DarlErsatzRate,8))</f>
      </c>
      <c r="P3783" s="43">
        <f>IF($I3783=0,0,$Q3782*INDEX(DarlErsatzZins,8))</f>
      </c>
      <c r="Q3783" s="43">
        <f>IF($I3783=0,0,$Q3782+$P3783+$O3783)</f>
      </c>
      <c r="R3783" s="43">
        <f>IF($I3783=0,0,$J3783-$M3783-$N3783)</f>
      </c>
    </row>
    <row r="3784">
      <c r="A3784"/>
      <c r="B3784">
        <v>8</v>
      </c>
      <c r="C3784" s="43">
        <f>INDEX(DarlObj,8)</f>
      </c>
      <c r="D3784">
        <v>421</v>
      </c>
      <c r="E3784" s="51">
        <f>IF(INDEX(DarlBelegt,8)=0,0,EOMONTH(INDEX(DarlAuszahlung,8),420)+1)</f>
      </c>
      <c r="F3784" s="43">
        <f>IF($E3784=0,0,YEAR($E3784))</f>
      </c>
      <c r="G3784" s="43">
        <f>IF(INDEX(DarlBindung,8)="",1,IF($E3784&lt;=INDEX(DarlBindung,8),1,0))</f>
      </c>
      <c r="H3784" s="43">
        <f>IF($G3784=1,INDEX(DarlSollzins,8),INDEX(DarlAnschluss,8))</f>
      </c>
      <c r="I3784" s="43">
        <f>IF(INDEX(DarlBelegt,8)=0,0,IF(INDEX(DarlOhneTilgung,8)=1,IF(INDEX(DarlBindung,8)="",1,$G3784),IF($J3784&gt;0.005,1,0)))</f>
      </c>
      <c r="J3784" s="43">
        <f>IF($I3783=0,0,$R3783)</f>
      </c>
      <c r="K3784" s="43">
        <f>IF($I3784=0,0,IF(INDEX(DarlOhneTilgung,8)=1,0,IF(AND(INDEX(DarlTilgStart,8)&gt;0,$E3784=INDEX(DarlTilgStart,8)),$J3784*($H3784+INDEX(DarlTilgung,8))/100/12,IF(AND($G3784=0,$G3783=1),MAX($K3783,$J3784*($H3784+1)/100/12),$K3783))))</f>
      </c>
      <c r="L3784" s="43">
        <f>IF($I3784=0,0,$J3784*$H3784/100/12)</f>
      </c>
      <c r="M3784" s="43">
        <f>IF($I3784=0,0,IF(OR(INDEX(DarlOhneTilgung,8)=1,AND(INDEX(DarlTilgStart,8)&gt;0,$E3784&lt;INDEX(DarlTilgStart,8))),0,MIN(MAX(0,$K3784-$L3784),$J3784)))</f>
      </c>
      <c r="N3784" s="43">
        <f>IF($I3784=0,0,MIN(SUMIFS(SondBetrag,SondDarl,8,SondDatum,"&gt;="&amp;$E3784,SondDatum,"&lt;="&amp;EOMONTH($E3784,0)),$J3784-$M3784))</f>
      </c>
      <c r="O3784" s="43">
        <f>IF($I3784=0,0,INDEX(DarlErsatzRate,8))</f>
      </c>
      <c r="P3784" s="43">
        <f>IF($I3784=0,0,$Q3783*INDEX(DarlErsatzZins,8))</f>
      </c>
      <c r="Q3784" s="43">
        <f>IF($I3784=0,0,$Q3783+$P3784+$O3784)</f>
      </c>
      <c r="R3784" s="43">
        <f>IF($I3784=0,0,$J3784-$M3784-$N3784)</f>
      </c>
    </row>
    <row r="3785">
      <c r="A3785"/>
      <c r="B3785">
        <v>8</v>
      </c>
      <c r="C3785" s="43">
        <f>INDEX(DarlObj,8)</f>
      </c>
      <c r="D3785">
        <v>422</v>
      </c>
      <c r="E3785" s="51">
        <f>IF(INDEX(DarlBelegt,8)=0,0,EOMONTH(INDEX(DarlAuszahlung,8),421)+1)</f>
      </c>
      <c r="F3785" s="43">
        <f>IF($E3785=0,0,YEAR($E3785))</f>
      </c>
      <c r="G3785" s="43">
        <f>IF(INDEX(DarlBindung,8)="",1,IF($E3785&lt;=INDEX(DarlBindung,8),1,0))</f>
      </c>
      <c r="H3785" s="43">
        <f>IF($G3785=1,INDEX(DarlSollzins,8),INDEX(DarlAnschluss,8))</f>
      </c>
      <c r="I3785" s="43">
        <f>IF(INDEX(DarlBelegt,8)=0,0,IF(INDEX(DarlOhneTilgung,8)=1,IF(INDEX(DarlBindung,8)="",1,$G3785),IF($J3785&gt;0.005,1,0)))</f>
      </c>
      <c r="J3785" s="43">
        <f>IF($I3784=0,0,$R3784)</f>
      </c>
      <c r="K3785" s="43">
        <f>IF($I3785=0,0,IF(INDEX(DarlOhneTilgung,8)=1,0,IF(AND(INDEX(DarlTilgStart,8)&gt;0,$E3785=INDEX(DarlTilgStart,8)),$J3785*($H3785+INDEX(DarlTilgung,8))/100/12,IF(AND($G3785=0,$G3784=1),MAX($K3784,$J3785*($H3785+1)/100/12),$K3784))))</f>
      </c>
      <c r="L3785" s="43">
        <f>IF($I3785=0,0,$J3785*$H3785/100/12)</f>
      </c>
      <c r="M3785" s="43">
        <f>IF($I3785=0,0,IF(OR(INDEX(DarlOhneTilgung,8)=1,AND(INDEX(DarlTilgStart,8)&gt;0,$E3785&lt;INDEX(DarlTilgStart,8))),0,MIN(MAX(0,$K3785-$L3785),$J3785)))</f>
      </c>
      <c r="N3785" s="43">
        <f>IF($I3785=0,0,MIN(SUMIFS(SondBetrag,SondDarl,8,SondDatum,"&gt;="&amp;$E3785,SondDatum,"&lt;="&amp;EOMONTH($E3785,0)),$J3785-$M3785))</f>
      </c>
      <c r="O3785" s="43">
        <f>IF($I3785=0,0,INDEX(DarlErsatzRate,8))</f>
      </c>
      <c r="P3785" s="43">
        <f>IF($I3785=0,0,$Q3784*INDEX(DarlErsatzZins,8))</f>
      </c>
      <c r="Q3785" s="43">
        <f>IF($I3785=0,0,$Q3784+$P3785+$O3785)</f>
      </c>
      <c r="R3785" s="43">
        <f>IF($I3785=0,0,$J3785-$M3785-$N3785)</f>
      </c>
    </row>
    <row r="3786">
      <c r="A3786"/>
      <c r="B3786">
        <v>8</v>
      </c>
      <c r="C3786" s="43">
        <f>INDEX(DarlObj,8)</f>
      </c>
      <c r="D3786">
        <v>423</v>
      </c>
      <c r="E3786" s="51">
        <f>IF(INDEX(DarlBelegt,8)=0,0,EOMONTH(INDEX(DarlAuszahlung,8),422)+1)</f>
      </c>
      <c r="F3786" s="43">
        <f>IF($E3786=0,0,YEAR($E3786))</f>
      </c>
      <c r="G3786" s="43">
        <f>IF(INDEX(DarlBindung,8)="",1,IF($E3786&lt;=INDEX(DarlBindung,8),1,0))</f>
      </c>
      <c r="H3786" s="43">
        <f>IF($G3786=1,INDEX(DarlSollzins,8),INDEX(DarlAnschluss,8))</f>
      </c>
      <c r="I3786" s="43">
        <f>IF(INDEX(DarlBelegt,8)=0,0,IF(INDEX(DarlOhneTilgung,8)=1,IF(INDEX(DarlBindung,8)="",1,$G3786),IF($J3786&gt;0.005,1,0)))</f>
      </c>
      <c r="J3786" s="43">
        <f>IF($I3785=0,0,$R3785)</f>
      </c>
      <c r="K3786" s="43">
        <f>IF($I3786=0,0,IF(INDEX(DarlOhneTilgung,8)=1,0,IF(AND(INDEX(DarlTilgStart,8)&gt;0,$E3786=INDEX(DarlTilgStart,8)),$J3786*($H3786+INDEX(DarlTilgung,8))/100/12,IF(AND($G3786=0,$G3785=1),MAX($K3785,$J3786*($H3786+1)/100/12),$K3785))))</f>
      </c>
      <c r="L3786" s="43">
        <f>IF($I3786=0,0,$J3786*$H3786/100/12)</f>
      </c>
      <c r="M3786" s="43">
        <f>IF($I3786=0,0,IF(OR(INDEX(DarlOhneTilgung,8)=1,AND(INDEX(DarlTilgStart,8)&gt;0,$E3786&lt;INDEX(DarlTilgStart,8))),0,MIN(MAX(0,$K3786-$L3786),$J3786)))</f>
      </c>
      <c r="N3786" s="43">
        <f>IF($I3786=0,0,MIN(SUMIFS(SondBetrag,SondDarl,8,SondDatum,"&gt;="&amp;$E3786,SondDatum,"&lt;="&amp;EOMONTH($E3786,0)),$J3786-$M3786))</f>
      </c>
      <c r="O3786" s="43">
        <f>IF($I3786=0,0,INDEX(DarlErsatzRate,8))</f>
      </c>
      <c r="P3786" s="43">
        <f>IF($I3786=0,0,$Q3785*INDEX(DarlErsatzZins,8))</f>
      </c>
      <c r="Q3786" s="43">
        <f>IF($I3786=0,0,$Q3785+$P3786+$O3786)</f>
      </c>
      <c r="R3786" s="43">
        <f>IF($I3786=0,0,$J3786-$M3786-$N3786)</f>
      </c>
    </row>
    <row r="3787">
      <c r="A3787"/>
      <c r="B3787">
        <v>8</v>
      </c>
      <c r="C3787" s="43">
        <f>INDEX(DarlObj,8)</f>
      </c>
      <c r="D3787">
        <v>424</v>
      </c>
      <c r="E3787" s="51">
        <f>IF(INDEX(DarlBelegt,8)=0,0,EOMONTH(INDEX(DarlAuszahlung,8),423)+1)</f>
      </c>
      <c r="F3787" s="43">
        <f>IF($E3787=0,0,YEAR($E3787))</f>
      </c>
      <c r="G3787" s="43">
        <f>IF(INDEX(DarlBindung,8)="",1,IF($E3787&lt;=INDEX(DarlBindung,8),1,0))</f>
      </c>
      <c r="H3787" s="43">
        <f>IF($G3787=1,INDEX(DarlSollzins,8),INDEX(DarlAnschluss,8))</f>
      </c>
      <c r="I3787" s="43">
        <f>IF(INDEX(DarlBelegt,8)=0,0,IF(INDEX(DarlOhneTilgung,8)=1,IF(INDEX(DarlBindung,8)="",1,$G3787),IF($J3787&gt;0.005,1,0)))</f>
      </c>
      <c r="J3787" s="43">
        <f>IF($I3786=0,0,$R3786)</f>
      </c>
      <c r="K3787" s="43">
        <f>IF($I3787=0,0,IF(INDEX(DarlOhneTilgung,8)=1,0,IF(AND(INDEX(DarlTilgStart,8)&gt;0,$E3787=INDEX(DarlTilgStart,8)),$J3787*($H3787+INDEX(DarlTilgung,8))/100/12,IF(AND($G3787=0,$G3786=1),MAX($K3786,$J3787*($H3787+1)/100/12),$K3786))))</f>
      </c>
      <c r="L3787" s="43">
        <f>IF($I3787=0,0,$J3787*$H3787/100/12)</f>
      </c>
      <c r="M3787" s="43">
        <f>IF($I3787=0,0,IF(OR(INDEX(DarlOhneTilgung,8)=1,AND(INDEX(DarlTilgStart,8)&gt;0,$E3787&lt;INDEX(DarlTilgStart,8))),0,MIN(MAX(0,$K3787-$L3787),$J3787)))</f>
      </c>
      <c r="N3787" s="43">
        <f>IF($I3787=0,0,MIN(SUMIFS(SondBetrag,SondDarl,8,SondDatum,"&gt;="&amp;$E3787,SondDatum,"&lt;="&amp;EOMONTH($E3787,0)),$J3787-$M3787))</f>
      </c>
      <c r="O3787" s="43">
        <f>IF($I3787=0,0,INDEX(DarlErsatzRate,8))</f>
      </c>
      <c r="P3787" s="43">
        <f>IF($I3787=0,0,$Q3786*INDEX(DarlErsatzZins,8))</f>
      </c>
      <c r="Q3787" s="43">
        <f>IF($I3787=0,0,$Q3786+$P3787+$O3787)</f>
      </c>
      <c r="R3787" s="43">
        <f>IF($I3787=0,0,$J3787-$M3787-$N3787)</f>
      </c>
    </row>
    <row r="3788">
      <c r="A3788"/>
      <c r="B3788">
        <v>8</v>
      </c>
      <c r="C3788" s="43">
        <f>INDEX(DarlObj,8)</f>
      </c>
      <c r="D3788">
        <v>425</v>
      </c>
      <c r="E3788" s="51">
        <f>IF(INDEX(DarlBelegt,8)=0,0,EOMONTH(INDEX(DarlAuszahlung,8),424)+1)</f>
      </c>
      <c r="F3788" s="43">
        <f>IF($E3788=0,0,YEAR($E3788))</f>
      </c>
      <c r="G3788" s="43">
        <f>IF(INDEX(DarlBindung,8)="",1,IF($E3788&lt;=INDEX(DarlBindung,8),1,0))</f>
      </c>
      <c r="H3788" s="43">
        <f>IF($G3788=1,INDEX(DarlSollzins,8),INDEX(DarlAnschluss,8))</f>
      </c>
      <c r="I3788" s="43">
        <f>IF(INDEX(DarlBelegt,8)=0,0,IF(INDEX(DarlOhneTilgung,8)=1,IF(INDEX(DarlBindung,8)="",1,$G3788),IF($J3788&gt;0.005,1,0)))</f>
      </c>
      <c r="J3788" s="43">
        <f>IF($I3787=0,0,$R3787)</f>
      </c>
      <c r="K3788" s="43">
        <f>IF($I3788=0,0,IF(INDEX(DarlOhneTilgung,8)=1,0,IF(AND(INDEX(DarlTilgStart,8)&gt;0,$E3788=INDEX(DarlTilgStart,8)),$J3788*($H3788+INDEX(DarlTilgung,8))/100/12,IF(AND($G3788=0,$G3787=1),MAX($K3787,$J3788*($H3788+1)/100/12),$K3787))))</f>
      </c>
      <c r="L3788" s="43">
        <f>IF($I3788=0,0,$J3788*$H3788/100/12)</f>
      </c>
      <c r="M3788" s="43">
        <f>IF($I3788=0,0,IF(OR(INDEX(DarlOhneTilgung,8)=1,AND(INDEX(DarlTilgStart,8)&gt;0,$E3788&lt;INDEX(DarlTilgStart,8))),0,MIN(MAX(0,$K3788-$L3788),$J3788)))</f>
      </c>
      <c r="N3788" s="43">
        <f>IF($I3788=0,0,MIN(SUMIFS(SondBetrag,SondDarl,8,SondDatum,"&gt;="&amp;$E3788,SondDatum,"&lt;="&amp;EOMONTH($E3788,0)),$J3788-$M3788))</f>
      </c>
      <c r="O3788" s="43">
        <f>IF($I3788=0,0,INDEX(DarlErsatzRate,8))</f>
      </c>
      <c r="P3788" s="43">
        <f>IF($I3788=0,0,$Q3787*INDEX(DarlErsatzZins,8))</f>
      </c>
      <c r="Q3788" s="43">
        <f>IF($I3788=0,0,$Q3787+$P3788+$O3788)</f>
      </c>
      <c r="R3788" s="43">
        <f>IF($I3788=0,0,$J3788-$M3788-$N3788)</f>
      </c>
    </row>
    <row r="3789">
      <c r="A3789"/>
      <c r="B3789">
        <v>8</v>
      </c>
      <c r="C3789" s="43">
        <f>INDEX(DarlObj,8)</f>
      </c>
      <c r="D3789">
        <v>426</v>
      </c>
      <c r="E3789" s="51">
        <f>IF(INDEX(DarlBelegt,8)=0,0,EOMONTH(INDEX(DarlAuszahlung,8),425)+1)</f>
      </c>
      <c r="F3789" s="43">
        <f>IF($E3789=0,0,YEAR($E3789))</f>
      </c>
      <c r="G3789" s="43">
        <f>IF(INDEX(DarlBindung,8)="",1,IF($E3789&lt;=INDEX(DarlBindung,8),1,0))</f>
      </c>
      <c r="H3789" s="43">
        <f>IF($G3789=1,INDEX(DarlSollzins,8),INDEX(DarlAnschluss,8))</f>
      </c>
      <c r="I3789" s="43">
        <f>IF(INDEX(DarlBelegt,8)=0,0,IF(INDEX(DarlOhneTilgung,8)=1,IF(INDEX(DarlBindung,8)="",1,$G3789),IF($J3789&gt;0.005,1,0)))</f>
      </c>
      <c r="J3789" s="43">
        <f>IF($I3788=0,0,$R3788)</f>
      </c>
      <c r="K3789" s="43">
        <f>IF($I3789=0,0,IF(INDEX(DarlOhneTilgung,8)=1,0,IF(AND(INDEX(DarlTilgStart,8)&gt;0,$E3789=INDEX(DarlTilgStart,8)),$J3789*($H3789+INDEX(DarlTilgung,8))/100/12,IF(AND($G3789=0,$G3788=1),MAX($K3788,$J3789*($H3789+1)/100/12),$K3788))))</f>
      </c>
      <c r="L3789" s="43">
        <f>IF($I3789=0,0,$J3789*$H3789/100/12)</f>
      </c>
      <c r="M3789" s="43">
        <f>IF($I3789=0,0,IF(OR(INDEX(DarlOhneTilgung,8)=1,AND(INDEX(DarlTilgStart,8)&gt;0,$E3789&lt;INDEX(DarlTilgStart,8))),0,MIN(MAX(0,$K3789-$L3789),$J3789)))</f>
      </c>
      <c r="N3789" s="43">
        <f>IF($I3789=0,0,MIN(SUMIFS(SondBetrag,SondDarl,8,SondDatum,"&gt;="&amp;$E3789,SondDatum,"&lt;="&amp;EOMONTH($E3789,0)),$J3789-$M3789))</f>
      </c>
      <c r="O3789" s="43">
        <f>IF($I3789=0,0,INDEX(DarlErsatzRate,8))</f>
      </c>
      <c r="P3789" s="43">
        <f>IF($I3789=0,0,$Q3788*INDEX(DarlErsatzZins,8))</f>
      </c>
      <c r="Q3789" s="43">
        <f>IF($I3789=0,0,$Q3788+$P3789+$O3789)</f>
      </c>
      <c r="R3789" s="43">
        <f>IF($I3789=0,0,$J3789-$M3789-$N3789)</f>
      </c>
    </row>
    <row r="3790">
      <c r="A3790"/>
      <c r="B3790">
        <v>8</v>
      </c>
      <c r="C3790" s="43">
        <f>INDEX(DarlObj,8)</f>
      </c>
      <c r="D3790">
        <v>427</v>
      </c>
      <c r="E3790" s="51">
        <f>IF(INDEX(DarlBelegt,8)=0,0,EOMONTH(INDEX(DarlAuszahlung,8),426)+1)</f>
      </c>
      <c r="F3790" s="43">
        <f>IF($E3790=0,0,YEAR($E3790))</f>
      </c>
      <c r="G3790" s="43">
        <f>IF(INDEX(DarlBindung,8)="",1,IF($E3790&lt;=INDEX(DarlBindung,8),1,0))</f>
      </c>
      <c r="H3790" s="43">
        <f>IF($G3790=1,INDEX(DarlSollzins,8),INDEX(DarlAnschluss,8))</f>
      </c>
      <c r="I3790" s="43">
        <f>IF(INDEX(DarlBelegt,8)=0,0,IF(INDEX(DarlOhneTilgung,8)=1,IF(INDEX(DarlBindung,8)="",1,$G3790),IF($J3790&gt;0.005,1,0)))</f>
      </c>
      <c r="J3790" s="43">
        <f>IF($I3789=0,0,$R3789)</f>
      </c>
      <c r="K3790" s="43">
        <f>IF($I3790=0,0,IF(INDEX(DarlOhneTilgung,8)=1,0,IF(AND(INDEX(DarlTilgStart,8)&gt;0,$E3790=INDEX(DarlTilgStart,8)),$J3790*($H3790+INDEX(DarlTilgung,8))/100/12,IF(AND($G3790=0,$G3789=1),MAX($K3789,$J3790*($H3790+1)/100/12),$K3789))))</f>
      </c>
      <c r="L3790" s="43">
        <f>IF($I3790=0,0,$J3790*$H3790/100/12)</f>
      </c>
      <c r="M3790" s="43">
        <f>IF($I3790=0,0,IF(OR(INDEX(DarlOhneTilgung,8)=1,AND(INDEX(DarlTilgStart,8)&gt;0,$E3790&lt;INDEX(DarlTilgStart,8))),0,MIN(MAX(0,$K3790-$L3790),$J3790)))</f>
      </c>
      <c r="N3790" s="43">
        <f>IF($I3790=0,0,MIN(SUMIFS(SondBetrag,SondDarl,8,SondDatum,"&gt;="&amp;$E3790,SondDatum,"&lt;="&amp;EOMONTH($E3790,0)),$J3790-$M3790))</f>
      </c>
      <c r="O3790" s="43">
        <f>IF($I3790=0,0,INDEX(DarlErsatzRate,8))</f>
      </c>
      <c r="P3790" s="43">
        <f>IF($I3790=0,0,$Q3789*INDEX(DarlErsatzZins,8))</f>
      </c>
      <c r="Q3790" s="43">
        <f>IF($I3790=0,0,$Q3789+$P3790+$O3790)</f>
      </c>
      <c r="R3790" s="43">
        <f>IF($I3790=0,0,$J3790-$M3790-$N3790)</f>
      </c>
    </row>
    <row r="3791">
      <c r="A3791"/>
      <c r="B3791">
        <v>8</v>
      </c>
      <c r="C3791" s="43">
        <f>INDEX(DarlObj,8)</f>
      </c>
      <c r="D3791">
        <v>428</v>
      </c>
      <c r="E3791" s="51">
        <f>IF(INDEX(DarlBelegt,8)=0,0,EOMONTH(INDEX(DarlAuszahlung,8),427)+1)</f>
      </c>
      <c r="F3791" s="43">
        <f>IF($E3791=0,0,YEAR($E3791))</f>
      </c>
      <c r="G3791" s="43">
        <f>IF(INDEX(DarlBindung,8)="",1,IF($E3791&lt;=INDEX(DarlBindung,8),1,0))</f>
      </c>
      <c r="H3791" s="43">
        <f>IF($G3791=1,INDEX(DarlSollzins,8),INDEX(DarlAnschluss,8))</f>
      </c>
      <c r="I3791" s="43">
        <f>IF(INDEX(DarlBelegt,8)=0,0,IF(INDEX(DarlOhneTilgung,8)=1,IF(INDEX(DarlBindung,8)="",1,$G3791),IF($J3791&gt;0.005,1,0)))</f>
      </c>
      <c r="J3791" s="43">
        <f>IF($I3790=0,0,$R3790)</f>
      </c>
      <c r="K3791" s="43">
        <f>IF($I3791=0,0,IF(INDEX(DarlOhneTilgung,8)=1,0,IF(AND(INDEX(DarlTilgStart,8)&gt;0,$E3791=INDEX(DarlTilgStart,8)),$J3791*($H3791+INDEX(DarlTilgung,8))/100/12,IF(AND($G3791=0,$G3790=1),MAX($K3790,$J3791*($H3791+1)/100/12),$K3790))))</f>
      </c>
      <c r="L3791" s="43">
        <f>IF($I3791=0,0,$J3791*$H3791/100/12)</f>
      </c>
      <c r="M3791" s="43">
        <f>IF($I3791=0,0,IF(OR(INDEX(DarlOhneTilgung,8)=1,AND(INDEX(DarlTilgStart,8)&gt;0,$E3791&lt;INDEX(DarlTilgStart,8))),0,MIN(MAX(0,$K3791-$L3791),$J3791)))</f>
      </c>
      <c r="N3791" s="43">
        <f>IF($I3791=0,0,MIN(SUMIFS(SondBetrag,SondDarl,8,SondDatum,"&gt;="&amp;$E3791,SondDatum,"&lt;="&amp;EOMONTH($E3791,0)),$J3791-$M3791))</f>
      </c>
      <c r="O3791" s="43">
        <f>IF($I3791=0,0,INDEX(DarlErsatzRate,8))</f>
      </c>
      <c r="P3791" s="43">
        <f>IF($I3791=0,0,$Q3790*INDEX(DarlErsatzZins,8))</f>
      </c>
      <c r="Q3791" s="43">
        <f>IF($I3791=0,0,$Q3790+$P3791+$O3791)</f>
      </c>
      <c r="R3791" s="43">
        <f>IF($I3791=0,0,$J3791-$M3791-$N3791)</f>
      </c>
    </row>
    <row r="3792">
      <c r="A3792"/>
      <c r="B3792">
        <v>8</v>
      </c>
      <c r="C3792" s="43">
        <f>INDEX(DarlObj,8)</f>
      </c>
      <c r="D3792">
        <v>429</v>
      </c>
      <c r="E3792" s="51">
        <f>IF(INDEX(DarlBelegt,8)=0,0,EOMONTH(INDEX(DarlAuszahlung,8),428)+1)</f>
      </c>
      <c r="F3792" s="43">
        <f>IF($E3792=0,0,YEAR($E3792))</f>
      </c>
      <c r="G3792" s="43">
        <f>IF(INDEX(DarlBindung,8)="",1,IF($E3792&lt;=INDEX(DarlBindung,8),1,0))</f>
      </c>
      <c r="H3792" s="43">
        <f>IF($G3792=1,INDEX(DarlSollzins,8),INDEX(DarlAnschluss,8))</f>
      </c>
      <c r="I3792" s="43">
        <f>IF(INDEX(DarlBelegt,8)=0,0,IF(INDEX(DarlOhneTilgung,8)=1,IF(INDEX(DarlBindung,8)="",1,$G3792),IF($J3792&gt;0.005,1,0)))</f>
      </c>
      <c r="J3792" s="43">
        <f>IF($I3791=0,0,$R3791)</f>
      </c>
      <c r="K3792" s="43">
        <f>IF($I3792=0,0,IF(INDEX(DarlOhneTilgung,8)=1,0,IF(AND(INDEX(DarlTilgStart,8)&gt;0,$E3792=INDEX(DarlTilgStart,8)),$J3792*($H3792+INDEX(DarlTilgung,8))/100/12,IF(AND($G3792=0,$G3791=1),MAX($K3791,$J3792*($H3792+1)/100/12),$K3791))))</f>
      </c>
      <c r="L3792" s="43">
        <f>IF($I3792=0,0,$J3792*$H3792/100/12)</f>
      </c>
      <c r="M3792" s="43">
        <f>IF($I3792=0,0,IF(OR(INDEX(DarlOhneTilgung,8)=1,AND(INDEX(DarlTilgStart,8)&gt;0,$E3792&lt;INDEX(DarlTilgStart,8))),0,MIN(MAX(0,$K3792-$L3792),$J3792)))</f>
      </c>
      <c r="N3792" s="43">
        <f>IF($I3792=0,0,MIN(SUMIFS(SondBetrag,SondDarl,8,SondDatum,"&gt;="&amp;$E3792,SondDatum,"&lt;="&amp;EOMONTH($E3792,0)),$J3792-$M3792))</f>
      </c>
      <c r="O3792" s="43">
        <f>IF($I3792=0,0,INDEX(DarlErsatzRate,8))</f>
      </c>
      <c r="P3792" s="43">
        <f>IF($I3792=0,0,$Q3791*INDEX(DarlErsatzZins,8))</f>
      </c>
      <c r="Q3792" s="43">
        <f>IF($I3792=0,0,$Q3791+$P3792+$O3792)</f>
      </c>
      <c r="R3792" s="43">
        <f>IF($I3792=0,0,$J3792-$M3792-$N3792)</f>
      </c>
    </row>
    <row r="3793">
      <c r="A3793"/>
      <c r="B3793">
        <v>8</v>
      </c>
      <c r="C3793" s="43">
        <f>INDEX(DarlObj,8)</f>
      </c>
      <c r="D3793">
        <v>430</v>
      </c>
      <c r="E3793" s="51">
        <f>IF(INDEX(DarlBelegt,8)=0,0,EOMONTH(INDEX(DarlAuszahlung,8),429)+1)</f>
      </c>
      <c r="F3793" s="43">
        <f>IF($E3793=0,0,YEAR($E3793))</f>
      </c>
      <c r="G3793" s="43">
        <f>IF(INDEX(DarlBindung,8)="",1,IF($E3793&lt;=INDEX(DarlBindung,8),1,0))</f>
      </c>
      <c r="H3793" s="43">
        <f>IF($G3793=1,INDEX(DarlSollzins,8),INDEX(DarlAnschluss,8))</f>
      </c>
      <c r="I3793" s="43">
        <f>IF(INDEX(DarlBelegt,8)=0,0,IF(INDEX(DarlOhneTilgung,8)=1,IF(INDEX(DarlBindung,8)="",1,$G3793),IF($J3793&gt;0.005,1,0)))</f>
      </c>
      <c r="J3793" s="43">
        <f>IF($I3792=0,0,$R3792)</f>
      </c>
      <c r="K3793" s="43">
        <f>IF($I3793=0,0,IF(INDEX(DarlOhneTilgung,8)=1,0,IF(AND(INDEX(DarlTilgStart,8)&gt;0,$E3793=INDEX(DarlTilgStart,8)),$J3793*($H3793+INDEX(DarlTilgung,8))/100/12,IF(AND($G3793=0,$G3792=1),MAX($K3792,$J3793*($H3793+1)/100/12),$K3792))))</f>
      </c>
      <c r="L3793" s="43">
        <f>IF($I3793=0,0,$J3793*$H3793/100/12)</f>
      </c>
      <c r="M3793" s="43">
        <f>IF($I3793=0,0,IF(OR(INDEX(DarlOhneTilgung,8)=1,AND(INDEX(DarlTilgStart,8)&gt;0,$E3793&lt;INDEX(DarlTilgStart,8))),0,MIN(MAX(0,$K3793-$L3793),$J3793)))</f>
      </c>
      <c r="N3793" s="43">
        <f>IF($I3793=0,0,MIN(SUMIFS(SondBetrag,SondDarl,8,SondDatum,"&gt;="&amp;$E3793,SondDatum,"&lt;="&amp;EOMONTH($E3793,0)),$J3793-$M3793))</f>
      </c>
      <c r="O3793" s="43">
        <f>IF($I3793=0,0,INDEX(DarlErsatzRate,8))</f>
      </c>
      <c r="P3793" s="43">
        <f>IF($I3793=0,0,$Q3792*INDEX(DarlErsatzZins,8))</f>
      </c>
      <c r="Q3793" s="43">
        <f>IF($I3793=0,0,$Q3792+$P3793+$O3793)</f>
      </c>
      <c r="R3793" s="43">
        <f>IF($I3793=0,0,$J3793-$M3793-$N3793)</f>
      </c>
    </row>
    <row r="3794">
      <c r="A3794"/>
      <c r="B3794">
        <v>8</v>
      </c>
      <c r="C3794" s="43">
        <f>INDEX(DarlObj,8)</f>
      </c>
      <c r="D3794">
        <v>431</v>
      </c>
      <c r="E3794" s="51">
        <f>IF(INDEX(DarlBelegt,8)=0,0,EOMONTH(INDEX(DarlAuszahlung,8),430)+1)</f>
      </c>
      <c r="F3794" s="43">
        <f>IF($E3794=0,0,YEAR($E3794))</f>
      </c>
      <c r="G3794" s="43">
        <f>IF(INDEX(DarlBindung,8)="",1,IF($E3794&lt;=INDEX(DarlBindung,8),1,0))</f>
      </c>
      <c r="H3794" s="43">
        <f>IF($G3794=1,INDEX(DarlSollzins,8),INDEX(DarlAnschluss,8))</f>
      </c>
      <c r="I3794" s="43">
        <f>IF(INDEX(DarlBelegt,8)=0,0,IF(INDEX(DarlOhneTilgung,8)=1,IF(INDEX(DarlBindung,8)="",1,$G3794),IF($J3794&gt;0.005,1,0)))</f>
      </c>
      <c r="J3794" s="43">
        <f>IF($I3793=0,0,$R3793)</f>
      </c>
      <c r="K3794" s="43">
        <f>IF($I3794=0,0,IF(INDEX(DarlOhneTilgung,8)=1,0,IF(AND(INDEX(DarlTilgStart,8)&gt;0,$E3794=INDEX(DarlTilgStart,8)),$J3794*($H3794+INDEX(DarlTilgung,8))/100/12,IF(AND($G3794=0,$G3793=1),MAX($K3793,$J3794*($H3794+1)/100/12),$K3793))))</f>
      </c>
      <c r="L3794" s="43">
        <f>IF($I3794=0,0,$J3794*$H3794/100/12)</f>
      </c>
      <c r="M3794" s="43">
        <f>IF($I3794=0,0,IF(OR(INDEX(DarlOhneTilgung,8)=1,AND(INDEX(DarlTilgStart,8)&gt;0,$E3794&lt;INDEX(DarlTilgStart,8))),0,MIN(MAX(0,$K3794-$L3794),$J3794)))</f>
      </c>
      <c r="N3794" s="43">
        <f>IF($I3794=0,0,MIN(SUMIFS(SondBetrag,SondDarl,8,SondDatum,"&gt;="&amp;$E3794,SondDatum,"&lt;="&amp;EOMONTH($E3794,0)),$J3794-$M3794))</f>
      </c>
      <c r="O3794" s="43">
        <f>IF($I3794=0,0,INDEX(DarlErsatzRate,8))</f>
      </c>
      <c r="P3794" s="43">
        <f>IF($I3794=0,0,$Q3793*INDEX(DarlErsatzZins,8))</f>
      </c>
      <c r="Q3794" s="43">
        <f>IF($I3794=0,0,$Q3793+$P3794+$O3794)</f>
      </c>
      <c r="R3794" s="43">
        <f>IF($I3794=0,0,$J3794-$M3794-$N3794)</f>
      </c>
    </row>
    <row r="3795">
      <c r="A3795"/>
      <c r="B3795">
        <v>8</v>
      </c>
      <c r="C3795" s="43">
        <f>INDEX(DarlObj,8)</f>
      </c>
      <c r="D3795">
        <v>432</v>
      </c>
      <c r="E3795" s="51">
        <f>IF(INDEX(DarlBelegt,8)=0,0,EOMONTH(INDEX(DarlAuszahlung,8),431)+1)</f>
      </c>
      <c r="F3795" s="43">
        <f>IF($E3795=0,0,YEAR($E3795))</f>
      </c>
      <c r="G3795" s="43">
        <f>IF(INDEX(DarlBindung,8)="",1,IF($E3795&lt;=INDEX(DarlBindung,8),1,0))</f>
      </c>
      <c r="H3795" s="43">
        <f>IF($G3795=1,INDEX(DarlSollzins,8),INDEX(DarlAnschluss,8))</f>
      </c>
      <c r="I3795" s="43">
        <f>IF(INDEX(DarlBelegt,8)=0,0,IF(INDEX(DarlOhneTilgung,8)=1,IF(INDEX(DarlBindung,8)="",1,$G3795),IF($J3795&gt;0.005,1,0)))</f>
      </c>
      <c r="J3795" s="43">
        <f>IF($I3794=0,0,$R3794)</f>
      </c>
      <c r="K3795" s="43">
        <f>IF($I3795=0,0,IF(INDEX(DarlOhneTilgung,8)=1,0,IF(AND(INDEX(DarlTilgStart,8)&gt;0,$E3795=INDEX(DarlTilgStart,8)),$J3795*($H3795+INDEX(DarlTilgung,8))/100/12,IF(AND($G3795=0,$G3794=1),MAX($K3794,$J3795*($H3795+1)/100/12),$K3794))))</f>
      </c>
      <c r="L3795" s="43">
        <f>IF($I3795=0,0,$J3795*$H3795/100/12)</f>
      </c>
      <c r="M3795" s="43">
        <f>IF($I3795=0,0,IF(OR(INDEX(DarlOhneTilgung,8)=1,AND(INDEX(DarlTilgStart,8)&gt;0,$E3795&lt;INDEX(DarlTilgStart,8))),0,MIN(MAX(0,$K3795-$L3795),$J3795)))</f>
      </c>
      <c r="N3795" s="43">
        <f>IF($I3795=0,0,MIN(SUMIFS(SondBetrag,SondDarl,8,SondDatum,"&gt;="&amp;$E3795,SondDatum,"&lt;="&amp;EOMONTH($E3795,0)),$J3795-$M3795))</f>
      </c>
      <c r="O3795" s="43">
        <f>IF($I3795=0,0,INDEX(DarlErsatzRate,8))</f>
      </c>
      <c r="P3795" s="43">
        <f>IF($I3795=0,0,$Q3794*INDEX(DarlErsatzZins,8))</f>
      </c>
      <c r="Q3795" s="43">
        <f>IF($I3795=0,0,$Q3794+$P3795+$O3795)</f>
      </c>
      <c r="R3795" s="43">
        <f>IF($I3795=0,0,$J3795-$M3795-$N3795)</f>
      </c>
    </row>
    <row r="3796">
      <c r="A3796"/>
      <c r="B3796">
        <v>8</v>
      </c>
      <c r="C3796" s="43">
        <f>INDEX(DarlObj,8)</f>
      </c>
      <c r="D3796">
        <v>433</v>
      </c>
      <c r="E3796" s="51">
        <f>IF(INDEX(DarlBelegt,8)=0,0,EOMONTH(INDEX(DarlAuszahlung,8),432)+1)</f>
      </c>
      <c r="F3796" s="43">
        <f>IF($E3796=0,0,YEAR($E3796))</f>
      </c>
      <c r="G3796" s="43">
        <f>IF(INDEX(DarlBindung,8)="",1,IF($E3796&lt;=INDEX(DarlBindung,8),1,0))</f>
      </c>
      <c r="H3796" s="43">
        <f>IF($G3796=1,INDEX(DarlSollzins,8),INDEX(DarlAnschluss,8))</f>
      </c>
      <c r="I3796" s="43">
        <f>IF(INDEX(DarlBelegt,8)=0,0,IF(INDEX(DarlOhneTilgung,8)=1,IF(INDEX(DarlBindung,8)="",1,$G3796),IF($J3796&gt;0.005,1,0)))</f>
      </c>
      <c r="J3796" s="43">
        <f>IF($I3795=0,0,$R3795)</f>
      </c>
      <c r="K3796" s="43">
        <f>IF($I3796=0,0,IF(INDEX(DarlOhneTilgung,8)=1,0,IF(AND(INDEX(DarlTilgStart,8)&gt;0,$E3796=INDEX(DarlTilgStart,8)),$J3796*($H3796+INDEX(DarlTilgung,8))/100/12,IF(AND($G3796=0,$G3795=1),MAX($K3795,$J3796*($H3796+1)/100/12),$K3795))))</f>
      </c>
      <c r="L3796" s="43">
        <f>IF($I3796=0,0,$J3796*$H3796/100/12)</f>
      </c>
      <c r="M3796" s="43">
        <f>IF($I3796=0,0,IF(OR(INDEX(DarlOhneTilgung,8)=1,AND(INDEX(DarlTilgStart,8)&gt;0,$E3796&lt;INDEX(DarlTilgStart,8))),0,MIN(MAX(0,$K3796-$L3796),$J3796)))</f>
      </c>
      <c r="N3796" s="43">
        <f>IF($I3796=0,0,MIN(SUMIFS(SondBetrag,SondDarl,8,SondDatum,"&gt;="&amp;$E3796,SondDatum,"&lt;="&amp;EOMONTH($E3796,0)),$J3796-$M3796))</f>
      </c>
      <c r="O3796" s="43">
        <f>IF($I3796=0,0,INDEX(DarlErsatzRate,8))</f>
      </c>
      <c r="P3796" s="43">
        <f>IF($I3796=0,0,$Q3795*INDEX(DarlErsatzZins,8))</f>
      </c>
      <c r="Q3796" s="43">
        <f>IF($I3796=0,0,$Q3795+$P3796+$O3796)</f>
      </c>
      <c r="R3796" s="43">
        <f>IF($I3796=0,0,$J3796-$M3796-$N3796)</f>
      </c>
    </row>
    <row r="3797">
      <c r="A3797"/>
      <c r="B3797">
        <v>8</v>
      </c>
      <c r="C3797" s="43">
        <f>INDEX(DarlObj,8)</f>
      </c>
      <c r="D3797">
        <v>434</v>
      </c>
      <c r="E3797" s="51">
        <f>IF(INDEX(DarlBelegt,8)=0,0,EOMONTH(INDEX(DarlAuszahlung,8),433)+1)</f>
      </c>
      <c r="F3797" s="43">
        <f>IF($E3797=0,0,YEAR($E3797))</f>
      </c>
      <c r="G3797" s="43">
        <f>IF(INDEX(DarlBindung,8)="",1,IF($E3797&lt;=INDEX(DarlBindung,8),1,0))</f>
      </c>
      <c r="H3797" s="43">
        <f>IF($G3797=1,INDEX(DarlSollzins,8),INDEX(DarlAnschluss,8))</f>
      </c>
      <c r="I3797" s="43">
        <f>IF(INDEX(DarlBelegt,8)=0,0,IF(INDEX(DarlOhneTilgung,8)=1,IF(INDEX(DarlBindung,8)="",1,$G3797),IF($J3797&gt;0.005,1,0)))</f>
      </c>
      <c r="J3797" s="43">
        <f>IF($I3796=0,0,$R3796)</f>
      </c>
      <c r="K3797" s="43">
        <f>IF($I3797=0,0,IF(INDEX(DarlOhneTilgung,8)=1,0,IF(AND(INDEX(DarlTilgStart,8)&gt;0,$E3797=INDEX(DarlTilgStart,8)),$J3797*($H3797+INDEX(DarlTilgung,8))/100/12,IF(AND($G3797=0,$G3796=1),MAX($K3796,$J3797*($H3797+1)/100/12),$K3796))))</f>
      </c>
      <c r="L3797" s="43">
        <f>IF($I3797=0,0,$J3797*$H3797/100/12)</f>
      </c>
      <c r="M3797" s="43">
        <f>IF($I3797=0,0,IF(OR(INDEX(DarlOhneTilgung,8)=1,AND(INDEX(DarlTilgStart,8)&gt;0,$E3797&lt;INDEX(DarlTilgStart,8))),0,MIN(MAX(0,$K3797-$L3797),$J3797)))</f>
      </c>
      <c r="N3797" s="43">
        <f>IF($I3797=0,0,MIN(SUMIFS(SondBetrag,SondDarl,8,SondDatum,"&gt;="&amp;$E3797,SondDatum,"&lt;="&amp;EOMONTH($E3797,0)),$J3797-$M3797))</f>
      </c>
      <c r="O3797" s="43">
        <f>IF($I3797=0,0,INDEX(DarlErsatzRate,8))</f>
      </c>
      <c r="P3797" s="43">
        <f>IF($I3797=0,0,$Q3796*INDEX(DarlErsatzZins,8))</f>
      </c>
      <c r="Q3797" s="43">
        <f>IF($I3797=0,0,$Q3796+$P3797+$O3797)</f>
      </c>
      <c r="R3797" s="43">
        <f>IF($I3797=0,0,$J3797-$M3797-$N3797)</f>
      </c>
    </row>
    <row r="3798">
      <c r="A3798"/>
      <c r="B3798">
        <v>8</v>
      </c>
      <c r="C3798" s="43">
        <f>INDEX(DarlObj,8)</f>
      </c>
      <c r="D3798">
        <v>435</v>
      </c>
      <c r="E3798" s="51">
        <f>IF(INDEX(DarlBelegt,8)=0,0,EOMONTH(INDEX(DarlAuszahlung,8),434)+1)</f>
      </c>
      <c r="F3798" s="43">
        <f>IF($E3798=0,0,YEAR($E3798))</f>
      </c>
      <c r="G3798" s="43">
        <f>IF(INDEX(DarlBindung,8)="",1,IF($E3798&lt;=INDEX(DarlBindung,8),1,0))</f>
      </c>
      <c r="H3798" s="43">
        <f>IF($G3798=1,INDEX(DarlSollzins,8),INDEX(DarlAnschluss,8))</f>
      </c>
      <c r="I3798" s="43">
        <f>IF(INDEX(DarlBelegt,8)=0,0,IF(INDEX(DarlOhneTilgung,8)=1,IF(INDEX(DarlBindung,8)="",1,$G3798),IF($J3798&gt;0.005,1,0)))</f>
      </c>
      <c r="J3798" s="43">
        <f>IF($I3797=0,0,$R3797)</f>
      </c>
      <c r="K3798" s="43">
        <f>IF($I3798=0,0,IF(INDEX(DarlOhneTilgung,8)=1,0,IF(AND(INDEX(DarlTilgStart,8)&gt;0,$E3798=INDEX(DarlTilgStart,8)),$J3798*($H3798+INDEX(DarlTilgung,8))/100/12,IF(AND($G3798=0,$G3797=1),MAX($K3797,$J3798*($H3798+1)/100/12),$K3797))))</f>
      </c>
      <c r="L3798" s="43">
        <f>IF($I3798=0,0,$J3798*$H3798/100/12)</f>
      </c>
      <c r="M3798" s="43">
        <f>IF($I3798=0,0,IF(OR(INDEX(DarlOhneTilgung,8)=1,AND(INDEX(DarlTilgStart,8)&gt;0,$E3798&lt;INDEX(DarlTilgStart,8))),0,MIN(MAX(0,$K3798-$L3798),$J3798)))</f>
      </c>
      <c r="N3798" s="43">
        <f>IF($I3798=0,0,MIN(SUMIFS(SondBetrag,SondDarl,8,SondDatum,"&gt;="&amp;$E3798,SondDatum,"&lt;="&amp;EOMONTH($E3798,0)),$J3798-$M3798))</f>
      </c>
      <c r="O3798" s="43">
        <f>IF($I3798=0,0,INDEX(DarlErsatzRate,8))</f>
      </c>
      <c r="P3798" s="43">
        <f>IF($I3798=0,0,$Q3797*INDEX(DarlErsatzZins,8))</f>
      </c>
      <c r="Q3798" s="43">
        <f>IF($I3798=0,0,$Q3797+$P3798+$O3798)</f>
      </c>
      <c r="R3798" s="43">
        <f>IF($I3798=0,0,$J3798-$M3798-$N3798)</f>
      </c>
    </row>
    <row r="3799">
      <c r="A3799"/>
      <c r="B3799">
        <v>8</v>
      </c>
      <c r="C3799" s="43">
        <f>INDEX(DarlObj,8)</f>
      </c>
      <c r="D3799">
        <v>436</v>
      </c>
      <c r="E3799" s="51">
        <f>IF(INDEX(DarlBelegt,8)=0,0,EOMONTH(INDEX(DarlAuszahlung,8),435)+1)</f>
      </c>
      <c r="F3799" s="43">
        <f>IF($E3799=0,0,YEAR($E3799))</f>
      </c>
      <c r="G3799" s="43">
        <f>IF(INDEX(DarlBindung,8)="",1,IF($E3799&lt;=INDEX(DarlBindung,8),1,0))</f>
      </c>
      <c r="H3799" s="43">
        <f>IF($G3799=1,INDEX(DarlSollzins,8),INDEX(DarlAnschluss,8))</f>
      </c>
      <c r="I3799" s="43">
        <f>IF(INDEX(DarlBelegt,8)=0,0,IF(INDEX(DarlOhneTilgung,8)=1,IF(INDEX(DarlBindung,8)="",1,$G3799),IF($J3799&gt;0.005,1,0)))</f>
      </c>
      <c r="J3799" s="43">
        <f>IF($I3798=0,0,$R3798)</f>
      </c>
      <c r="K3799" s="43">
        <f>IF($I3799=0,0,IF(INDEX(DarlOhneTilgung,8)=1,0,IF(AND(INDEX(DarlTilgStart,8)&gt;0,$E3799=INDEX(DarlTilgStart,8)),$J3799*($H3799+INDEX(DarlTilgung,8))/100/12,IF(AND($G3799=0,$G3798=1),MAX($K3798,$J3799*($H3799+1)/100/12),$K3798))))</f>
      </c>
      <c r="L3799" s="43">
        <f>IF($I3799=0,0,$J3799*$H3799/100/12)</f>
      </c>
      <c r="M3799" s="43">
        <f>IF($I3799=0,0,IF(OR(INDEX(DarlOhneTilgung,8)=1,AND(INDEX(DarlTilgStart,8)&gt;0,$E3799&lt;INDEX(DarlTilgStart,8))),0,MIN(MAX(0,$K3799-$L3799),$J3799)))</f>
      </c>
      <c r="N3799" s="43">
        <f>IF($I3799=0,0,MIN(SUMIFS(SondBetrag,SondDarl,8,SondDatum,"&gt;="&amp;$E3799,SondDatum,"&lt;="&amp;EOMONTH($E3799,0)),$J3799-$M3799))</f>
      </c>
      <c r="O3799" s="43">
        <f>IF($I3799=0,0,INDEX(DarlErsatzRate,8))</f>
      </c>
      <c r="P3799" s="43">
        <f>IF($I3799=0,0,$Q3798*INDEX(DarlErsatzZins,8))</f>
      </c>
      <c r="Q3799" s="43">
        <f>IF($I3799=0,0,$Q3798+$P3799+$O3799)</f>
      </c>
      <c r="R3799" s="43">
        <f>IF($I3799=0,0,$J3799-$M3799-$N3799)</f>
      </c>
    </row>
    <row r="3800">
      <c r="A3800"/>
      <c r="B3800">
        <v>8</v>
      </c>
      <c r="C3800" s="43">
        <f>INDEX(DarlObj,8)</f>
      </c>
      <c r="D3800">
        <v>437</v>
      </c>
      <c r="E3800" s="51">
        <f>IF(INDEX(DarlBelegt,8)=0,0,EOMONTH(INDEX(DarlAuszahlung,8),436)+1)</f>
      </c>
      <c r="F3800" s="43">
        <f>IF($E3800=0,0,YEAR($E3800))</f>
      </c>
      <c r="G3800" s="43">
        <f>IF(INDEX(DarlBindung,8)="",1,IF($E3800&lt;=INDEX(DarlBindung,8),1,0))</f>
      </c>
      <c r="H3800" s="43">
        <f>IF($G3800=1,INDEX(DarlSollzins,8),INDEX(DarlAnschluss,8))</f>
      </c>
      <c r="I3800" s="43">
        <f>IF(INDEX(DarlBelegt,8)=0,0,IF(INDEX(DarlOhneTilgung,8)=1,IF(INDEX(DarlBindung,8)="",1,$G3800),IF($J3800&gt;0.005,1,0)))</f>
      </c>
      <c r="J3800" s="43">
        <f>IF($I3799=0,0,$R3799)</f>
      </c>
      <c r="K3800" s="43">
        <f>IF($I3800=0,0,IF(INDEX(DarlOhneTilgung,8)=1,0,IF(AND(INDEX(DarlTilgStart,8)&gt;0,$E3800=INDEX(DarlTilgStart,8)),$J3800*($H3800+INDEX(DarlTilgung,8))/100/12,IF(AND($G3800=0,$G3799=1),MAX($K3799,$J3800*($H3800+1)/100/12),$K3799))))</f>
      </c>
      <c r="L3800" s="43">
        <f>IF($I3800=0,0,$J3800*$H3800/100/12)</f>
      </c>
      <c r="M3800" s="43">
        <f>IF($I3800=0,0,IF(OR(INDEX(DarlOhneTilgung,8)=1,AND(INDEX(DarlTilgStart,8)&gt;0,$E3800&lt;INDEX(DarlTilgStart,8))),0,MIN(MAX(0,$K3800-$L3800),$J3800)))</f>
      </c>
      <c r="N3800" s="43">
        <f>IF($I3800=0,0,MIN(SUMIFS(SondBetrag,SondDarl,8,SondDatum,"&gt;="&amp;$E3800,SondDatum,"&lt;="&amp;EOMONTH($E3800,0)),$J3800-$M3800))</f>
      </c>
      <c r="O3800" s="43">
        <f>IF($I3800=0,0,INDEX(DarlErsatzRate,8))</f>
      </c>
      <c r="P3800" s="43">
        <f>IF($I3800=0,0,$Q3799*INDEX(DarlErsatzZins,8))</f>
      </c>
      <c r="Q3800" s="43">
        <f>IF($I3800=0,0,$Q3799+$P3800+$O3800)</f>
      </c>
      <c r="R3800" s="43">
        <f>IF($I3800=0,0,$J3800-$M3800-$N3800)</f>
      </c>
    </row>
    <row r="3801">
      <c r="A3801"/>
      <c r="B3801">
        <v>8</v>
      </c>
      <c r="C3801" s="43">
        <f>INDEX(DarlObj,8)</f>
      </c>
      <c r="D3801">
        <v>438</v>
      </c>
      <c r="E3801" s="51">
        <f>IF(INDEX(DarlBelegt,8)=0,0,EOMONTH(INDEX(DarlAuszahlung,8),437)+1)</f>
      </c>
      <c r="F3801" s="43">
        <f>IF($E3801=0,0,YEAR($E3801))</f>
      </c>
      <c r="G3801" s="43">
        <f>IF(INDEX(DarlBindung,8)="",1,IF($E3801&lt;=INDEX(DarlBindung,8),1,0))</f>
      </c>
      <c r="H3801" s="43">
        <f>IF($G3801=1,INDEX(DarlSollzins,8),INDEX(DarlAnschluss,8))</f>
      </c>
      <c r="I3801" s="43">
        <f>IF(INDEX(DarlBelegt,8)=0,0,IF(INDEX(DarlOhneTilgung,8)=1,IF(INDEX(DarlBindung,8)="",1,$G3801),IF($J3801&gt;0.005,1,0)))</f>
      </c>
      <c r="J3801" s="43">
        <f>IF($I3800=0,0,$R3800)</f>
      </c>
      <c r="K3801" s="43">
        <f>IF($I3801=0,0,IF(INDEX(DarlOhneTilgung,8)=1,0,IF(AND(INDEX(DarlTilgStart,8)&gt;0,$E3801=INDEX(DarlTilgStart,8)),$J3801*($H3801+INDEX(DarlTilgung,8))/100/12,IF(AND($G3801=0,$G3800=1),MAX($K3800,$J3801*($H3801+1)/100/12),$K3800))))</f>
      </c>
      <c r="L3801" s="43">
        <f>IF($I3801=0,0,$J3801*$H3801/100/12)</f>
      </c>
      <c r="M3801" s="43">
        <f>IF($I3801=0,0,IF(OR(INDEX(DarlOhneTilgung,8)=1,AND(INDEX(DarlTilgStart,8)&gt;0,$E3801&lt;INDEX(DarlTilgStart,8))),0,MIN(MAX(0,$K3801-$L3801),$J3801)))</f>
      </c>
      <c r="N3801" s="43">
        <f>IF($I3801=0,0,MIN(SUMIFS(SondBetrag,SondDarl,8,SondDatum,"&gt;="&amp;$E3801,SondDatum,"&lt;="&amp;EOMONTH($E3801,0)),$J3801-$M3801))</f>
      </c>
      <c r="O3801" s="43">
        <f>IF($I3801=0,0,INDEX(DarlErsatzRate,8))</f>
      </c>
      <c r="P3801" s="43">
        <f>IF($I3801=0,0,$Q3800*INDEX(DarlErsatzZins,8))</f>
      </c>
      <c r="Q3801" s="43">
        <f>IF($I3801=0,0,$Q3800+$P3801+$O3801)</f>
      </c>
      <c r="R3801" s="43">
        <f>IF($I3801=0,0,$J3801-$M3801-$N3801)</f>
      </c>
    </row>
    <row r="3802">
      <c r="A3802"/>
      <c r="B3802">
        <v>8</v>
      </c>
      <c r="C3802" s="43">
        <f>INDEX(DarlObj,8)</f>
      </c>
      <c r="D3802">
        <v>439</v>
      </c>
      <c r="E3802" s="51">
        <f>IF(INDEX(DarlBelegt,8)=0,0,EOMONTH(INDEX(DarlAuszahlung,8),438)+1)</f>
      </c>
      <c r="F3802" s="43">
        <f>IF($E3802=0,0,YEAR($E3802))</f>
      </c>
      <c r="G3802" s="43">
        <f>IF(INDEX(DarlBindung,8)="",1,IF($E3802&lt;=INDEX(DarlBindung,8),1,0))</f>
      </c>
      <c r="H3802" s="43">
        <f>IF($G3802=1,INDEX(DarlSollzins,8),INDEX(DarlAnschluss,8))</f>
      </c>
      <c r="I3802" s="43">
        <f>IF(INDEX(DarlBelegt,8)=0,0,IF(INDEX(DarlOhneTilgung,8)=1,IF(INDEX(DarlBindung,8)="",1,$G3802),IF($J3802&gt;0.005,1,0)))</f>
      </c>
      <c r="J3802" s="43">
        <f>IF($I3801=0,0,$R3801)</f>
      </c>
      <c r="K3802" s="43">
        <f>IF($I3802=0,0,IF(INDEX(DarlOhneTilgung,8)=1,0,IF(AND(INDEX(DarlTilgStart,8)&gt;0,$E3802=INDEX(DarlTilgStart,8)),$J3802*($H3802+INDEX(DarlTilgung,8))/100/12,IF(AND($G3802=0,$G3801=1),MAX($K3801,$J3802*($H3802+1)/100/12),$K3801))))</f>
      </c>
      <c r="L3802" s="43">
        <f>IF($I3802=0,0,$J3802*$H3802/100/12)</f>
      </c>
      <c r="M3802" s="43">
        <f>IF($I3802=0,0,IF(OR(INDEX(DarlOhneTilgung,8)=1,AND(INDEX(DarlTilgStart,8)&gt;0,$E3802&lt;INDEX(DarlTilgStart,8))),0,MIN(MAX(0,$K3802-$L3802),$J3802)))</f>
      </c>
      <c r="N3802" s="43">
        <f>IF($I3802=0,0,MIN(SUMIFS(SondBetrag,SondDarl,8,SondDatum,"&gt;="&amp;$E3802,SondDatum,"&lt;="&amp;EOMONTH($E3802,0)),$J3802-$M3802))</f>
      </c>
      <c r="O3802" s="43">
        <f>IF($I3802=0,0,INDEX(DarlErsatzRate,8))</f>
      </c>
      <c r="P3802" s="43">
        <f>IF($I3802=0,0,$Q3801*INDEX(DarlErsatzZins,8))</f>
      </c>
      <c r="Q3802" s="43">
        <f>IF($I3802=0,0,$Q3801+$P3802+$O3802)</f>
      </c>
      <c r="R3802" s="43">
        <f>IF($I3802=0,0,$J3802-$M3802-$N3802)</f>
      </c>
    </row>
    <row r="3803">
      <c r="A3803"/>
      <c r="B3803">
        <v>8</v>
      </c>
      <c r="C3803" s="43">
        <f>INDEX(DarlObj,8)</f>
      </c>
      <c r="D3803">
        <v>440</v>
      </c>
      <c r="E3803" s="51">
        <f>IF(INDEX(DarlBelegt,8)=0,0,EOMONTH(INDEX(DarlAuszahlung,8),439)+1)</f>
      </c>
      <c r="F3803" s="43">
        <f>IF($E3803=0,0,YEAR($E3803))</f>
      </c>
      <c r="G3803" s="43">
        <f>IF(INDEX(DarlBindung,8)="",1,IF($E3803&lt;=INDEX(DarlBindung,8),1,0))</f>
      </c>
      <c r="H3803" s="43">
        <f>IF($G3803=1,INDEX(DarlSollzins,8),INDEX(DarlAnschluss,8))</f>
      </c>
      <c r="I3803" s="43">
        <f>IF(INDEX(DarlBelegt,8)=0,0,IF(INDEX(DarlOhneTilgung,8)=1,IF(INDEX(DarlBindung,8)="",1,$G3803),IF($J3803&gt;0.005,1,0)))</f>
      </c>
      <c r="J3803" s="43">
        <f>IF($I3802=0,0,$R3802)</f>
      </c>
      <c r="K3803" s="43">
        <f>IF($I3803=0,0,IF(INDEX(DarlOhneTilgung,8)=1,0,IF(AND(INDEX(DarlTilgStart,8)&gt;0,$E3803=INDEX(DarlTilgStart,8)),$J3803*($H3803+INDEX(DarlTilgung,8))/100/12,IF(AND($G3803=0,$G3802=1),MAX($K3802,$J3803*($H3803+1)/100/12),$K3802))))</f>
      </c>
      <c r="L3803" s="43">
        <f>IF($I3803=0,0,$J3803*$H3803/100/12)</f>
      </c>
      <c r="M3803" s="43">
        <f>IF($I3803=0,0,IF(OR(INDEX(DarlOhneTilgung,8)=1,AND(INDEX(DarlTilgStart,8)&gt;0,$E3803&lt;INDEX(DarlTilgStart,8))),0,MIN(MAX(0,$K3803-$L3803),$J3803)))</f>
      </c>
      <c r="N3803" s="43">
        <f>IF($I3803=0,0,MIN(SUMIFS(SondBetrag,SondDarl,8,SondDatum,"&gt;="&amp;$E3803,SondDatum,"&lt;="&amp;EOMONTH($E3803,0)),$J3803-$M3803))</f>
      </c>
      <c r="O3803" s="43">
        <f>IF($I3803=0,0,INDEX(DarlErsatzRate,8))</f>
      </c>
      <c r="P3803" s="43">
        <f>IF($I3803=0,0,$Q3802*INDEX(DarlErsatzZins,8))</f>
      </c>
      <c r="Q3803" s="43">
        <f>IF($I3803=0,0,$Q3802+$P3803+$O3803)</f>
      </c>
      <c r="R3803" s="43">
        <f>IF($I3803=0,0,$J3803-$M3803-$N3803)</f>
      </c>
    </row>
    <row r="3804">
      <c r="A3804"/>
      <c r="B3804">
        <v>8</v>
      </c>
      <c r="C3804" s="43">
        <f>INDEX(DarlObj,8)</f>
      </c>
      <c r="D3804">
        <v>441</v>
      </c>
      <c r="E3804" s="51">
        <f>IF(INDEX(DarlBelegt,8)=0,0,EOMONTH(INDEX(DarlAuszahlung,8),440)+1)</f>
      </c>
      <c r="F3804" s="43">
        <f>IF($E3804=0,0,YEAR($E3804))</f>
      </c>
      <c r="G3804" s="43">
        <f>IF(INDEX(DarlBindung,8)="",1,IF($E3804&lt;=INDEX(DarlBindung,8),1,0))</f>
      </c>
      <c r="H3804" s="43">
        <f>IF($G3804=1,INDEX(DarlSollzins,8),INDEX(DarlAnschluss,8))</f>
      </c>
      <c r="I3804" s="43">
        <f>IF(INDEX(DarlBelegt,8)=0,0,IF(INDEX(DarlOhneTilgung,8)=1,IF(INDEX(DarlBindung,8)="",1,$G3804),IF($J3804&gt;0.005,1,0)))</f>
      </c>
      <c r="J3804" s="43">
        <f>IF($I3803=0,0,$R3803)</f>
      </c>
      <c r="K3804" s="43">
        <f>IF($I3804=0,0,IF(INDEX(DarlOhneTilgung,8)=1,0,IF(AND(INDEX(DarlTilgStart,8)&gt;0,$E3804=INDEX(DarlTilgStart,8)),$J3804*($H3804+INDEX(DarlTilgung,8))/100/12,IF(AND($G3804=0,$G3803=1),MAX($K3803,$J3804*($H3804+1)/100/12),$K3803))))</f>
      </c>
      <c r="L3804" s="43">
        <f>IF($I3804=0,0,$J3804*$H3804/100/12)</f>
      </c>
      <c r="M3804" s="43">
        <f>IF($I3804=0,0,IF(OR(INDEX(DarlOhneTilgung,8)=1,AND(INDEX(DarlTilgStart,8)&gt;0,$E3804&lt;INDEX(DarlTilgStart,8))),0,MIN(MAX(0,$K3804-$L3804),$J3804)))</f>
      </c>
      <c r="N3804" s="43">
        <f>IF($I3804=0,0,MIN(SUMIFS(SondBetrag,SondDarl,8,SondDatum,"&gt;="&amp;$E3804,SondDatum,"&lt;="&amp;EOMONTH($E3804,0)),$J3804-$M3804))</f>
      </c>
      <c r="O3804" s="43">
        <f>IF($I3804=0,0,INDEX(DarlErsatzRate,8))</f>
      </c>
      <c r="P3804" s="43">
        <f>IF($I3804=0,0,$Q3803*INDEX(DarlErsatzZins,8))</f>
      </c>
      <c r="Q3804" s="43">
        <f>IF($I3804=0,0,$Q3803+$P3804+$O3804)</f>
      </c>
      <c r="R3804" s="43">
        <f>IF($I3804=0,0,$J3804-$M3804-$N3804)</f>
      </c>
    </row>
    <row r="3805">
      <c r="A3805"/>
      <c r="B3805">
        <v>8</v>
      </c>
      <c r="C3805" s="43">
        <f>INDEX(DarlObj,8)</f>
      </c>
      <c r="D3805">
        <v>442</v>
      </c>
      <c r="E3805" s="51">
        <f>IF(INDEX(DarlBelegt,8)=0,0,EOMONTH(INDEX(DarlAuszahlung,8),441)+1)</f>
      </c>
      <c r="F3805" s="43">
        <f>IF($E3805=0,0,YEAR($E3805))</f>
      </c>
      <c r="G3805" s="43">
        <f>IF(INDEX(DarlBindung,8)="",1,IF($E3805&lt;=INDEX(DarlBindung,8),1,0))</f>
      </c>
      <c r="H3805" s="43">
        <f>IF($G3805=1,INDEX(DarlSollzins,8),INDEX(DarlAnschluss,8))</f>
      </c>
      <c r="I3805" s="43">
        <f>IF(INDEX(DarlBelegt,8)=0,0,IF(INDEX(DarlOhneTilgung,8)=1,IF(INDEX(DarlBindung,8)="",1,$G3805),IF($J3805&gt;0.005,1,0)))</f>
      </c>
      <c r="J3805" s="43">
        <f>IF($I3804=0,0,$R3804)</f>
      </c>
      <c r="K3805" s="43">
        <f>IF($I3805=0,0,IF(INDEX(DarlOhneTilgung,8)=1,0,IF(AND(INDEX(DarlTilgStart,8)&gt;0,$E3805=INDEX(DarlTilgStart,8)),$J3805*($H3805+INDEX(DarlTilgung,8))/100/12,IF(AND($G3805=0,$G3804=1),MAX($K3804,$J3805*($H3805+1)/100/12),$K3804))))</f>
      </c>
      <c r="L3805" s="43">
        <f>IF($I3805=0,0,$J3805*$H3805/100/12)</f>
      </c>
      <c r="M3805" s="43">
        <f>IF($I3805=0,0,IF(OR(INDEX(DarlOhneTilgung,8)=1,AND(INDEX(DarlTilgStart,8)&gt;0,$E3805&lt;INDEX(DarlTilgStart,8))),0,MIN(MAX(0,$K3805-$L3805),$J3805)))</f>
      </c>
      <c r="N3805" s="43">
        <f>IF($I3805=0,0,MIN(SUMIFS(SondBetrag,SondDarl,8,SondDatum,"&gt;="&amp;$E3805,SondDatum,"&lt;="&amp;EOMONTH($E3805,0)),$J3805-$M3805))</f>
      </c>
      <c r="O3805" s="43">
        <f>IF($I3805=0,0,INDEX(DarlErsatzRate,8))</f>
      </c>
      <c r="P3805" s="43">
        <f>IF($I3805=0,0,$Q3804*INDEX(DarlErsatzZins,8))</f>
      </c>
      <c r="Q3805" s="43">
        <f>IF($I3805=0,0,$Q3804+$P3805+$O3805)</f>
      </c>
      <c r="R3805" s="43">
        <f>IF($I3805=0,0,$J3805-$M3805-$N3805)</f>
      </c>
    </row>
    <row r="3806">
      <c r="A3806"/>
      <c r="B3806">
        <v>8</v>
      </c>
      <c r="C3806" s="43">
        <f>INDEX(DarlObj,8)</f>
      </c>
      <c r="D3806">
        <v>443</v>
      </c>
      <c r="E3806" s="51">
        <f>IF(INDEX(DarlBelegt,8)=0,0,EOMONTH(INDEX(DarlAuszahlung,8),442)+1)</f>
      </c>
      <c r="F3806" s="43">
        <f>IF($E3806=0,0,YEAR($E3806))</f>
      </c>
      <c r="G3806" s="43">
        <f>IF(INDEX(DarlBindung,8)="",1,IF($E3806&lt;=INDEX(DarlBindung,8),1,0))</f>
      </c>
      <c r="H3806" s="43">
        <f>IF($G3806=1,INDEX(DarlSollzins,8),INDEX(DarlAnschluss,8))</f>
      </c>
      <c r="I3806" s="43">
        <f>IF(INDEX(DarlBelegt,8)=0,0,IF(INDEX(DarlOhneTilgung,8)=1,IF(INDEX(DarlBindung,8)="",1,$G3806),IF($J3806&gt;0.005,1,0)))</f>
      </c>
      <c r="J3806" s="43">
        <f>IF($I3805=0,0,$R3805)</f>
      </c>
      <c r="K3806" s="43">
        <f>IF($I3806=0,0,IF(INDEX(DarlOhneTilgung,8)=1,0,IF(AND(INDEX(DarlTilgStart,8)&gt;0,$E3806=INDEX(DarlTilgStart,8)),$J3806*($H3806+INDEX(DarlTilgung,8))/100/12,IF(AND($G3806=0,$G3805=1),MAX($K3805,$J3806*($H3806+1)/100/12),$K3805))))</f>
      </c>
      <c r="L3806" s="43">
        <f>IF($I3806=0,0,$J3806*$H3806/100/12)</f>
      </c>
      <c r="M3806" s="43">
        <f>IF($I3806=0,0,IF(OR(INDEX(DarlOhneTilgung,8)=1,AND(INDEX(DarlTilgStart,8)&gt;0,$E3806&lt;INDEX(DarlTilgStart,8))),0,MIN(MAX(0,$K3806-$L3806),$J3806)))</f>
      </c>
      <c r="N3806" s="43">
        <f>IF($I3806=0,0,MIN(SUMIFS(SondBetrag,SondDarl,8,SondDatum,"&gt;="&amp;$E3806,SondDatum,"&lt;="&amp;EOMONTH($E3806,0)),$J3806-$M3806))</f>
      </c>
      <c r="O3806" s="43">
        <f>IF($I3806=0,0,INDEX(DarlErsatzRate,8))</f>
      </c>
      <c r="P3806" s="43">
        <f>IF($I3806=0,0,$Q3805*INDEX(DarlErsatzZins,8))</f>
      </c>
      <c r="Q3806" s="43">
        <f>IF($I3806=0,0,$Q3805+$P3806+$O3806)</f>
      </c>
      <c r="R3806" s="43">
        <f>IF($I3806=0,0,$J3806-$M3806-$N3806)</f>
      </c>
    </row>
    <row r="3807">
      <c r="A3807"/>
      <c r="B3807">
        <v>8</v>
      </c>
      <c r="C3807" s="43">
        <f>INDEX(DarlObj,8)</f>
      </c>
      <c r="D3807">
        <v>444</v>
      </c>
      <c r="E3807" s="51">
        <f>IF(INDEX(DarlBelegt,8)=0,0,EOMONTH(INDEX(DarlAuszahlung,8),443)+1)</f>
      </c>
      <c r="F3807" s="43">
        <f>IF($E3807=0,0,YEAR($E3807))</f>
      </c>
      <c r="G3807" s="43">
        <f>IF(INDEX(DarlBindung,8)="",1,IF($E3807&lt;=INDEX(DarlBindung,8),1,0))</f>
      </c>
      <c r="H3807" s="43">
        <f>IF($G3807=1,INDEX(DarlSollzins,8),INDEX(DarlAnschluss,8))</f>
      </c>
      <c r="I3807" s="43">
        <f>IF(INDEX(DarlBelegt,8)=0,0,IF(INDEX(DarlOhneTilgung,8)=1,IF(INDEX(DarlBindung,8)="",1,$G3807),IF($J3807&gt;0.005,1,0)))</f>
      </c>
      <c r="J3807" s="43">
        <f>IF($I3806=0,0,$R3806)</f>
      </c>
      <c r="K3807" s="43">
        <f>IF($I3807=0,0,IF(INDEX(DarlOhneTilgung,8)=1,0,IF(AND(INDEX(DarlTilgStart,8)&gt;0,$E3807=INDEX(DarlTilgStart,8)),$J3807*($H3807+INDEX(DarlTilgung,8))/100/12,IF(AND($G3807=0,$G3806=1),MAX($K3806,$J3807*($H3807+1)/100/12),$K3806))))</f>
      </c>
      <c r="L3807" s="43">
        <f>IF($I3807=0,0,$J3807*$H3807/100/12)</f>
      </c>
      <c r="M3807" s="43">
        <f>IF($I3807=0,0,IF(OR(INDEX(DarlOhneTilgung,8)=1,AND(INDEX(DarlTilgStart,8)&gt;0,$E3807&lt;INDEX(DarlTilgStart,8))),0,MIN(MAX(0,$K3807-$L3807),$J3807)))</f>
      </c>
      <c r="N3807" s="43">
        <f>IF($I3807=0,0,MIN(SUMIFS(SondBetrag,SondDarl,8,SondDatum,"&gt;="&amp;$E3807,SondDatum,"&lt;="&amp;EOMONTH($E3807,0)),$J3807-$M3807))</f>
      </c>
      <c r="O3807" s="43">
        <f>IF($I3807=0,0,INDEX(DarlErsatzRate,8))</f>
      </c>
      <c r="P3807" s="43">
        <f>IF($I3807=0,0,$Q3806*INDEX(DarlErsatzZins,8))</f>
      </c>
      <c r="Q3807" s="43">
        <f>IF($I3807=0,0,$Q3806+$P3807+$O3807)</f>
      </c>
      <c r="R3807" s="43">
        <f>IF($I3807=0,0,$J3807-$M3807-$N3807)</f>
      </c>
    </row>
    <row r="3808">
      <c r="A3808"/>
      <c r="B3808">
        <v>8</v>
      </c>
      <c r="C3808" s="43">
        <f>INDEX(DarlObj,8)</f>
      </c>
      <c r="D3808">
        <v>445</v>
      </c>
      <c r="E3808" s="51">
        <f>IF(INDEX(DarlBelegt,8)=0,0,EOMONTH(INDEX(DarlAuszahlung,8),444)+1)</f>
      </c>
      <c r="F3808" s="43">
        <f>IF($E3808=0,0,YEAR($E3808))</f>
      </c>
      <c r="G3808" s="43">
        <f>IF(INDEX(DarlBindung,8)="",1,IF($E3808&lt;=INDEX(DarlBindung,8),1,0))</f>
      </c>
      <c r="H3808" s="43">
        <f>IF($G3808=1,INDEX(DarlSollzins,8),INDEX(DarlAnschluss,8))</f>
      </c>
      <c r="I3808" s="43">
        <f>IF(INDEX(DarlBelegt,8)=0,0,IF(INDEX(DarlOhneTilgung,8)=1,IF(INDEX(DarlBindung,8)="",1,$G3808),IF($J3808&gt;0.005,1,0)))</f>
      </c>
      <c r="J3808" s="43">
        <f>IF($I3807=0,0,$R3807)</f>
      </c>
      <c r="K3808" s="43">
        <f>IF($I3808=0,0,IF(INDEX(DarlOhneTilgung,8)=1,0,IF(AND(INDEX(DarlTilgStart,8)&gt;0,$E3808=INDEX(DarlTilgStart,8)),$J3808*($H3808+INDEX(DarlTilgung,8))/100/12,IF(AND($G3808=0,$G3807=1),MAX($K3807,$J3808*($H3808+1)/100/12),$K3807))))</f>
      </c>
      <c r="L3808" s="43">
        <f>IF($I3808=0,0,$J3808*$H3808/100/12)</f>
      </c>
      <c r="M3808" s="43">
        <f>IF($I3808=0,0,IF(OR(INDEX(DarlOhneTilgung,8)=1,AND(INDEX(DarlTilgStart,8)&gt;0,$E3808&lt;INDEX(DarlTilgStart,8))),0,MIN(MAX(0,$K3808-$L3808),$J3808)))</f>
      </c>
      <c r="N3808" s="43">
        <f>IF($I3808=0,0,MIN(SUMIFS(SondBetrag,SondDarl,8,SondDatum,"&gt;="&amp;$E3808,SondDatum,"&lt;="&amp;EOMONTH($E3808,0)),$J3808-$M3808))</f>
      </c>
      <c r="O3808" s="43">
        <f>IF($I3808=0,0,INDEX(DarlErsatzRate,8))</f>
      </c>
      <c r="P3808" s="43">
        <f>IF($I3808=0,0,$Q3807*INDEX(DarlErsatzZins,8))</f>
      </c>
      <c r="Q3808" s="43">
        <f>IF($I3808=0,0,$Q3807+$P3808+$O3808)</f>
      </c>
      <c r="R3808" s="43">
        <f>IF($I3808=0,0,$J3808-$M3808-$N3808)</f>
      </c>
    </row>
    <row r="3809">
      <c r="A3809"/>
      <c r="B3809">
        <v>8</v>
      </c>
      <c r="C3809" s="43">
        <f>INDEX(DarlObj,8)</f>
      </c>
      <c r="D3809">
        <v>446</v>
      </c>
      <c r="E3809" s="51">
        <f>IF(INDEX(DarlBelegt,8)=0,0,EOMONTH(INDEX(DarlAuszahlung,8),445)+1)</f>
      </c>
      <c r="F3809" s="43">
        <f>IF($E3809=0,0,YEAR($E3809))</f>
      </c>
      <c r="G3809" s="43">
        <f>IF(INDEX(DarlBindung,8)="",1,IF($E3809&lt;=INDEX(DarlBindung,8),1,0))</f>
      </c>
      <c r="H3809" s="43">
        <f>IF($G3809=1,INDEX(DarlSollzins,8),INDEX(DarlAnschluss,8))</f>
      </c>
      <c r="I3809" s="43">
        <f>IF(INDEX(DarlBelegt,8)=0,0,IF(INDEX(DarlOhneTilgung,8)=1,IF(INDEX(DarlBindung,8)="",1,$G3809),IF($J3809&gt;0.005,1,0)))</f>
      </c>
      <c r="J3809" s="43">
        <f>IF($I3808=0,0,$R3808)</f>
      </c>
      <c r="K3809" s="43">
        <f>IF($I3809=0,0,IF(INDEX(DarlOhneTilgung,8)=1,0,IF(AND(INDEX(DarlTilgStart,8)&gt;0,$E3809=INDEX(DarlTilgStart,8)),$J3809*($H3809+INDEX(DarlTilgung,8))/100/12,IF(AND($G3809=0,$G3808=1),MAX($K3808,$J3809*($H3809+1)/100/12),$K3808))))</f>
      </c>
      <c r="L3809" s="43">
        <f>IF($I3809=0,0,$J3809*$H3809/100/12)</f>
      </c>
      <c r="M3809" s="43">
        <f>IF($I3809=0,0,IF(OR(INDEX(DarlOhneTilgung,8)=1,AND(INDEX(DarlTilgStart,8)&gt;0,$E3809&lt;INDEX(DarlTilgStart,8))),0,MIN(MAX(0,$K3809-$L3809),$J3809)))</f>
      </c>
      <c r="N3809" s="43">
        <f>IF($I3809=0,0,MIN(SUMIFS(SondBetrag,SondDarl,8,SondDatum,"&gt;="&amp;$E3809,SondDatum,"&lt;="&amp;EOMONTH($E3809,0)),$J3809-$M3809))</f>
      </c>
      <c r="O3809" s="43">
        <f>IF($I3809=0,0,INDEX(DarlErsatzRate,8))</f>
      </c>
      <c r="P3809" s="43">
        <f>IF($I3809=0,0,$Q3808*INDEX(DarlErsatzZins,8))</f>
      </c>
      <c r="Q3809" s="43">
        <f>IF($I3809=0,0,$Q3808+$P3809+$O3809)</f>
      </c>
      <c r="R3809" s="43">
        <f>IF($I3809=0,0,$J3809-$M3809-$N3809)</f>
      </c>
    </row>
    <row r="3810">
      <c r="A3810"/>
      <c r="B3810">
        <v>8</v>
      </c>
      <c r="C3810" s="43">
        <f>INDEX(DarlObj,8)</f>
      </c>
      <c r="D3810">
        <v>447</v>
      </c>
      <c r="E3810" s="51">
        <f>IF(INDEX(DarlBelegt,8)=0,0,EOMONTH(INDEX(DarlAuszahlung,8),446)+1)</f>
      </c>
      <c r="F3810" s="43">
        <f>IF($E3810=0,0,YEAR($E3810))</f>
      </c>
      <c r="G3810" s="43">
        <f>IF(INDEX(DarlBindung,8)="",1,IF($E3810&lt;=INDEX(DarlBindung,8),1,0))</f>
      </c>
      <c r="H3810" s="43">
        <f>IF($G3810=1,INDEX(DarlSollzins,8),INDEX(DarlAnschluss,8))</f>
      </c>
      <c r="I3810" s="43">
        <f>IF(INDEX(DarlBelegt,8)=0,0,IF(INDEX(DarlOhneTilgung,8)=1,IF(INDEX(DarlBindung,8)="",1,$G3810),IF($J3810&gt;0.005,1,0)))</f>
      </c>
      <c r="J3810" s="43">
        <f>IF($I3809=0,0,$R3809)</f>
      </c>
      <c r="K3810" s="43">
        <f>IF($I3810=0,0,IF(INDEX(DarlOhneTilgung,8)=1,0,IF(AND(INDEX(DarlTilgStart,8)&gt;0,$E3810=INDEX(DarlTilgStart,8)),$J3810*($H3810+INDEX(DarlTilgung,8))/100/12,IF(AND($G3810=0,$G3809=1),MAX($K3809,$J3810*($H3810+1)/100/12),$K3809))))</f>
      </c>
      <c r="L3810" s="43">
        <f>IF($I3810=0,0,$J3810*$H3810/100/12)</f>
      </c>
      <c r="M3810" s="43">
        <f>IF($I3810=0,0,IF(OR(INDEX(DarlOhneTilgung,8)=1,AND(INDEX(DarlTilgStart,8)&gt;0,$E3810&lt;INDEX(DarlTilgStart,8))),0,MIN(MAX(0,$K3810-$L3810),$J3810)))</f>
      </c>
      <c r="N3810" s="43">
        <f>IF($I3810=0,0,MIN(SUMIFS(SondBetrag,SondDarl,8,SondDatum,"&gt;="&amp;$E3810,SondDatum,"&lt;="&amp;EOMONTH($E3810,0)),$J3810-$M3810))</f>
      </c>
      <c r="O3810" s="43">
        <f>IF($I3810=0,0,INDEX(DarlErsatzRate,8))</f>
      </c>
      <c r="P3810" s="43">
        <f>IF($I3810=0,0,$Q3809*INDEX(DarlErsatzZins,8))</f>
      </c>
      <c r="Q3810" s="43">
        <f>IF($I3810=0,0,$Q3809+$P3810+$O3810)</f>
      </c>
      <c r="R3810" s="43">
        <f>IF($I3810=0,0,$J3810-$M3810-$N3810)</f>
      </c>
    </row>
    <row r="3811">
      <c r="A3811"/>
      <c r="B3811">
        <v>8</v>
      </c>
      <c r="C3811" s="43">
        <f>INDEX(DarlObj,8)</f>
      </c>
      <c r="D3811">
        <v>448</v>
      </c>
      <c r="E3811" s="51">
        <f>IF(INDEX(DarlBelegt,8)=0,0,EOMONTH(INDEX(DarlAuszahlung,8),447)+1)</f>
      </c>
      <c r="F3811" s="43">
        <f>IF($E3811=0,0,YEAR($E3811))</f>
      </c>
      <c r="G3811" s="43">
        <f>IF(INDEX(DarlBindung,8)="",1,IF($E3811&lt;=INDEX(DarlBindung,8),1,0))</f>
      </c>
      <c r="H3811" s="43">
        <f>IF($G3811=1,INDEX(DarlSollzins,8),INDEX(DarlAnschluss,8))</f>
      </c>
      <c r="I3811" s="43">
        <f>IF(INDEX(DarlBelegt,8)=0,0,IF(INDEX(DarlOhneTilgung,8)=1,IF(INDEX(DarlBindung,8)="",1,$G3811),IF($J3811&gt;0.005,1,0)))</f>
      </c>
      <c r="J3811" s="43">
        <f>IF($I3810=0,0,$R3810)</f>
      </c>
      <c r="K3811" s="43">
        <f>IF($I3811=0,0,IF(INDEX(DarlOhneTilgung,8)=1,0,IF(AND(INDEX(DarlTilgStart,8)&gt;0,$E3811=INDEX(DarlTilgStart,8)),$J3811*($H3811+INDEX(DarlTilgung,8))/100/12,IF(AND($G3811=0,$G3810=1),MAX($K3810,$J3811*($H3811+1)/100/12),$K3810))))</f>
      </c>
      <c r="L3811" s="43">
        <f>IF($I3811=0,0,$J3811*$H3811/100/12)</f>
      </c>
      <c r="M3811" s="43">
        <f>IF($I3811=0,0,IF(OR(INDEX(DarlOhneTilgung,8)=1,AND(INDEX(DarlTilgStart,8)&gt;0,$E3811&lt;INDEX(DarlTilgStart,8))),0,MIN(MAX(0,$K3811-$L3811),$J3811)))</f>
      </c>
      <c r="N3811" s="43">
        <f>IF($I3811=0,0,MIN(SUMIFS(SondBetrag,SondDarl,8,SondDatum,"&gt;="&amp;$E3811,SondDatum,"&lt;="&amp;EOMONTH($E3811,0)),$J3811-$M3811))</f>
      </c>
      <c r="O3811" s="43">
        <f>IF($I3811=0,0,INDEX(DarlErsatzRate,8))</f>
      </c>
      <c r="P3811" s="43">
        <f>IF($I3811=0,0,$Q3810*INDEX(DarlErsatzZins,8))</f>
      </c>
      <c r="Q3811" s="43">
        <f>IF($I3811=0,0,$Q3810+$P3811+$O3811)</f>
      </c>
      <c r="R3811" s="43">
        <f>IF($I3811=0,0,$J3811-$M3811-$N3811)</f>
      </c>
    </row>
    <row r="3812">
      <c r="A3812"/>
      <c r="B3812">
        <v>8</v>
      </c>
      <c r="C3812" s="43">
        <f>INDEX(DarlObj,8)</f>
      </c>
      <c r="D3812">
        <v>449</v>
      </c>
      <c r="E3812" s="51">
        <f>IF(INDEX(DarlBelegt,8)=0,0,EOMONTH(INDEX(DarlAuszahlung,8),448)+1)</f>
      </c>
      <c r="F3812" s="43">
        <f>IF($E3812=0,0,YEAR($E3812))</f>
      </c>
      <c r="G3812" s="43">
        <f>IF(INDEX(DarlBindung,8)="",1,IF($E3812&lt;=INDEX(DarlBindung,8),1,0))</f>
      </c>
      <c r="H3812" s="43">
        <f>IF($G3812=1,INDEX(DarlSollzins,8),INDEX(DarlAnschluss,8))</f>
      </c>
      <c r="I3812" s="43">
        <f>IF(INDEX(DarlBelegt,8)=0,0,IF(INDEX(DarlOhneTilgung,8)=1,IF(INDEX(DarlBindung,8)="",1,$G3812),IF($J3812&gt;0.005,1,0)))</f>
      </c>
      <c r="J3812" s="43">
        <f>IF($I3811=0,0,$R3811)</f>
      </c>
      <c r="K3812" s="43">
        <f>IF($I3812=0,0,IF(INDEX(DarlOhneTilgung,8)=1,0,IF(AND(INDEX(DarlTilgStart,8)&gt;0,$E3812=INDEX(DarlTilgStart,8)),$J3812*($H3812+INDEX(DarlTilgung,8))/100/12,IF(AND($G3812=0,$G3811=1),MAX($K3811,$J3812*($H3812+1)/100/12),$K3811))))</f>
      </c>
      <c r="L3812" s="43">
        <f>IF($I3812=0,0,$J3812*$H3812/100/12)</f>
      </c>
      <c r="M3812" s="43">
        <f>IF($I3812=0,0,IF(OR(INDEX(DarlOhneTilgung,8)=1,AND(INDEX(DarlTilgStart,8)&gt;0,$E3812&lt;INDEX(DarlTilgStart,8))),0,MIN(MAX(0,$K3812-$L3812),$J3812)))</f>
      </c>
      <c r="N3812" s="43">
        <f>IF($I3812=0,0,MIN(SUMIFS(SondBetrag,SondDarl,8,SondDatum,"&gt;="&amp;$E3812,SondDatum,"&lt;="&amp;EOMONTH($E3812,0)),$J3812-$M3812))</f>
      </c>
      <c r="O3812" s="43">
        <f>IF($I3812=0,0,INDEX(DarlErsatzRate,8))</f>
      </c>
      <c r="P3812" s="43">
        <f>IF($I3812=0,0,$Q3811*INDEX(DarlErsatzZins,8))</f>
      </c>
      <c r="Q3812" s="43">
        <f>IF($I3812=0,0,$Q3811+$P3812+$O3812)</f>
      </c>
      <c r="R3812" s="43">
        <f>IF($I3812=0,0,$J3812-$M3812-$N3812)</f>
      </c>
    </row>
    <row r="3813">
      <c r="A3813"/>
      <c r="B3813">
        <v>8</v>
      </c>
      <c r="C3813" s="43">
        <f>INDEX(DarlObj,8)</f>
      </c>
      <c r="D3813">
        <v>450</v>
      </c>
      <c r="E3813" s="51">
        <f>IF(INDEX(DarlBelegt,8)=0,0,EOMONTH(INDEX(DarlAuszahlung,8),449)+1)</f>
      </c>
      <c r="F3813" s="43">
        <f>IF($E3813=0,0,YEAR($E3813))</f>
      </c>
      <c r="G3813" s="43">
        <f>IF(INDEX(DarlBindung,8)="",1,IF($E3813&lt;=INDEX(DarlBindung,8),1,0))</f>
      </c>
      <c r="H3813" s="43">
        <f>IF($G3813=1,INDEX(DarlSollzins,8),INDEX(DarlAnschluss,8))</f>
      </c>
      <c r="I3813" s="43">
        <f>IF(INDEX(DarlBelegt,8)=0,0,IF(INDEX(DarlOhneTilgung,8)=1,IF(INDEX(DarlBindung,8)="",1,$G3813),IF($J3813&gt;0.005,1,0)))</f>
      </c>
      <c r="J3813" s="43">
        <f>IF($I3812=0,0,$R3812)</f>
      </c>
      <c r="K3813" s="43">
        <f>IF($I3813=0,0,IF(INDEX(DarlOhneTilgung,8)=1,0,IF(AND(INDEX(DarlTilgStart,8)&gt;0,$E3813=INDEX(DarlTilgStart,8)),$J3813*($H3813+INDEX(DarlTilgung,8))/100/12,IF(AND($G3813=0,$G3812=1),MAX($K3812,$J3813*($H3813+1)/100/12),$K3812))))</f>
      </c>
      <c r="L3813" s="43">
        <f>IF($I3813=0,0,$J3813*$H3813/100/12)</f>
      </c>
      <c r="M3813" s="43">
        <f>IF($I3813=0,0,IF(OR(INDEX(DarlOhneTilgung,8)=1,AND(INDEX(DarlTilgStart,8)&gt;0,$E3813&lt;INDEX(DarlTilgStart,8))),0,MIN(MAX(0,$K3813-$L3813),$J3813)))</f>
      </c>
      <c r="N3813" s="43">
        <f>IF($I3813=0,0,MIN(SUMIFS(SondBetrag,SondDarl,8,SondDatum,"&gt;="&amp;$E3813,SondDatum,"&lt;="&amp;EOMONTH($E3813,0)),$J3813-$M3813))</f>
      </c>
      <c r="O3813" s="43">
        <f>IF($I3813=0,0,INDEX(DarlErsatzRate,8))</f>
      </c>
      <c r="P3813" s="43">
        <f>IF($I3813=0,0,$Q3812*INDEX(DarlErsatzZins,8))</f>
      </c>
      <c r="Q3813" s="43">
        <f>IF($I3813=0,0,$Q3812+$P3813+$O3813)</f>
      </c>
      <c r="R3813" s="43">
        <f>IF($I3813=0,0,$J3813-$M3813-$N3813)</f>
      </c>
    </row>
    <row r="3814">
      <c r="A3814"/>
      <c r="B3814">
        <v>8</v>
      </c>
      <c r="C3814" s="43">
        <f>INDEX(DarlObj,8)</f>
      </c>
      <c r="D3814">
        <v>451</v>
      </c>
      <c r="E3814" s="51">
        <f>IF(INDEX(DarlBelegt,8)=0,0,EOMONTH(INDEX(DarlAuszahlung,8),450)+1)</f>
      </c>
      <c r="F3814" s="43">
        <f>IF($E3814=0,0,YEAR($E3814))</f>
      </c>
      <c r="G3814" s="43">
        <f>IF(INDEX(DarlBindung,8)="",1,IF($E3814&lt;=INDEX(DarlBindung,8),1,0))</f>
      </c>
      <c r="H3814" s="43">
        <f>IF($G3814=1,INDEX(DarlSollzins,8),INDEX(DarlAnschluss,8))</f>
      </c>
      <c r="I3814" s="43">
        <f>IF(INDEX(DarlBelegt,8)=0,0,IF(INDEX(DarlOhneTilgung,8)=1,IF(INDEX(DarlBindung,8)="",1,$G3814),IF($J3814&gt;0.005,1,0)))</f>
      </c>
      <c r="J3814" s="43">
        <f>IF($I3813=0,0,$R3813)</f>
      </c>
      <c r="K3814" s="43">
        <f>IF($I3814=0,0,IF(INDEX(DarlOhneTilgung,8)=1,0,IF(AND(INDEX(DarlTilgStart,8)&gt;0,$E3814=INDEX(DarlTilgStart,8)),$J3814*($H3814+INDEX(DarlTilgung,8))/100/12,IF(AND($G3814=0,$G3813=1),MAX($K3813,$J3814*($H3814+1)/100/12),$K3813))))</f>
      </c>
      <c r="L3814" s="43">
        <f>IF($I3814=0,0,$J3814*$H3814/100/12)</f>
      </c>
      <c r="M3814" s="43">
        <f>IF($I3814=0,0,IF(OR(INDEX(DarlOhneTilgung,8)=1,AND(INDEX(DarlTilgStart,8)&gt;0,$E3814&lt;INDEX(DarlTilgStart,8))),0,MIN(MAX(0,$K3814-$L3814),$J3814)))</f>
      </c>
      <c r="N3814" s="43">
        <f>IF($I3814=0,0,MIN(SUMIFS(SondBetrag,SondDarl,8,SondDatum,"&gt;="&amp;$E3814,SondDatum,"&lt;="&amp;EOMONTH($E3814,0)),$J3814-$M3814))</f>
      </c>
      <c r="O3814" s="43">
        <f>IF($I3814=0,0,INDEX(DarlErsatzRate,8))</f>
      </c>
      <c r="P3814" s="43">
        <f>IF($I3814=0,0,$Q3813*INDEX(DarlErsatzZins,8))</f>
      </c>
      <c r="Q3814" s="43">
        <f>IF($I3814=0,0,$Q3813+$P3814+$O3814)</f>
      </c>
      <c r="R3814" s="43">
        <f>IF($I3814=0,0,$J3814-$M3814-$N3814)</f>
      </c>
    </row>
    <row r="3815">
      <c r="A3815"/>
      <c r="B3815">
        <v>8</v>
      </c>
      <c r="C3815" s="43">
        <f>INDEX(DarlObj,8)</f>
      </c>
      <c r="D3815">
        <v>452</v>
      </c>
      <c r="E3815" s="51">
        <f>IF(INDEX(DarlBelegt,8)=0,0,EOMONTH(INDEX(DarlAuszahlung,8),451)+1)</f>
      </c>
      <c r="F3815" s="43">
        <f>IF($E3815=0,0,YEAR($E3815))</f>
      </c>
      <c r="G3815" s="43">
        <f>IF(INDEX(DarlBindung,8)="",1,IF($E3815&lt;=INDEX(DarlBindung,8),1,0))</f>
      </c>
      <c r="H3815" s="43">
        <f>IF($G3815=1,INDEX(DarlSollzins,8),INDEX(DarlAnschluss,8))</f>
      </c>
      <c r="I3815" s="43">
        <f>IF(INDEX(DarlBelegt,8)=0,0,IF(INDEX(DarlOhneTilgung,8)=1,IF(INDEX(DarlBindung,8)="",1,$G3815),IF($J3815&gt;0.005,1,0)))</f>
      </c>
      <c r="J3815" s="43">
        <f>IF($I3814=0,0,$R3814)</f>
      </c>
      <c r="K3815" s="43">
        <f>IF($I3815=0,0,IF(INDEX(DarlOhneTilgung,8)=1,0,IF(AND(INDEX(DarlTilgStart,8)&gt;0,$E3815=INDEX(DarlTilgStart,8)),$J3815*($H3815+INDEX(DarlTilgung,8))/100/12,IF(AND($G3815=0,$G3814=1),MAX($K3814,$J3815*($H3815+1)/100/12),$K3814))))</f>
      </c>
      <c r="L3815" s="43">
        <f>IF($I3815=0,0,$J3815*$H3815/100/12)</f>
      </c>
      <c r="M3815" s="43">
        <f>IF($I3815=0,0,IF(OR(INDEX(DarlOhneTilgung,8)=1,AND(INDEX(DarlTilgStart,8)&gt;0,$E3815&lt;INDEX(DarlTilgStart,8))),0,MIN(MAX(0,$K3815-$L3815),$J3815)))</f>
      </c>
      <c r="N3815" s="43">
        <f>IF($I3815=0,0,MIN(SUMIFS(SondBetrag,SondDarl,8,SondDatum,"&gt;="&amp;$E3815,SondDatum,"&lt;="&amp;EOMONTH($E3815,0)),$J3815-$M3815))</f>
      </c>
      <c r="O3815" s="43">
        <f>IF($I3815=0,0,INDEX(DarlErsatzRate,8))</f>
      </c>
      <c r="P3815" s="43">
        <f>IF($I3815=0,0,$Q3814*INDEX(DarlErsatzZins,8))</f>
      </c>
      <c r="Q3815" s="43">
        <f>IF($I3815=0,0,$Q3814+$P3815+$O3815)</f>
      </c>
      <c r="R3815" s="43">
        <f>IF($I3815=0,0,$J3815-$M3815-$N3815)</f>
      </c>
    </row>
    <row r="3816">
      <c r="A3816"/>
      <c r="B3816">
        <v>8</v>
      </c>
      <c r="C3816" s="43">
        <f>INDEX(DarlObj,8)</f>
      </c>
      <c r="D3816">
        <v>453</v>
      </c>
      <c r="E3816" s="51">
        <f>IF(INDEX(DarlBelegt,8)=0,0,EOMONTH(INDEX(DarlAuszahlung,8),452)+1)</f>
      </c>
      <c r="F3816" s="43">
        <f>IF($E3816=0,0,YEAR($E3816))</f>
      </c>
      <c r="G3816" s="43">
        <f>IF(INDEX(DarlBindung,8)="",1,IF($E3816&lt;=INDEX(DarlBindung,8),1,0))</f>
      </c>
      <c r="H3816" s="43">
        <f>IF($G3816=1,INDEX(DarlSollzins,8),INDEX(DarlAnschluss,8))</f>
      </c>
      <c r="I3816" s="43">
        <f>IF(INDEX(DarlBelegt,8)=0,0,IF(INDEX(DarlOhneTilgung,8)=1,IF(INDEX(DarlBindung,8)="",1,$G3816),IF($J3816&gt;0.005,1,0)))</f>
      </c>
      <c r="J3816" s="43">
        <f>IF($I3815=0,0,$R3815)</f>
      </c>
      <c r="K3816" s="43">
        <f>IF($I3816=0,0,IF(INDEX(DarlOhneTilgung,8)=1,0,IF(AND(INDEX(DarlTilgStart,8)&gt;0,$E3816=INDEX(DarlTilgStart,8)),$J3816*($H3816+INDEX(DarlTilgung,8))/100/12,IF(AND($G3816=0,$G3815=1),MAX($K3815,$J3816*($H3816+1)/100/12),$K3815))))</f>
      </c>
      <c r="L3816" s="43">
        <f>IF($I3816=0,0,$J3816*$H3816/100/12)</f>
      </c>
      <c r="M3816" s="43">
        <f>IF($I3816=0,0,IF(OR(INDEX(DarlOhneTilgung,8)=1,AND(INDEX(DarlTilgStart,8)&gt;0,$E3816&lt;INDEX(DarlTilgStart,8))),0,MIN(MAX(0,$K3816-$L3816),$J3816)))</f>
      </c>
      <c r="N3816" s="43">
        <f>IF($I3816=0,0,MIN(SUMIFS(SondBetrag,SondDarl,8,SondDatum,"&gt;="&amp;$E3816,SondDatum,"&lt;="&amp;EOMONTH($E3816,0)),$J3816-$M3816))</f>
      </c>
      <c r="O3816" s="43">
        <f>IF($I3816=0,0,INDEX(DarlErsatzRate,8))</f>
      </c>
      <c r="P3816" s="43">
        <f>IF($I3816=0,0,$Q3815*INDEX(DarlErsatzZins,8))</f>
      </c>
      <c r="Q3816" s="43">
        <f>IF($I3816=0,0,$Q3815+$P3816+$O3816)</f>
      </c>
      <c r="R3816" s="43">
        <f>IF($I3816=0,0,$J3816-$M3816-$N3816)</f>
      </c>
    </row>
    <row r="3817">
      <c r="A3817"/>
      <c r="B3817">
        <v>8</v>
      </c>
      <c r="C3817" s="43">
        <f>INDEX(DarlObj,8)</f>
      </c>
      <c r="D3817">
        <v>454</v>
      </c>
      <c r="E3817" s="51">
        <f>IF(INDEX(DarlBelegt,8)=0,0,EOMONTH(INDEX(DarlAuszahlung,8),453)+1)</f>
      </c>
      <c r="F3817" s="43">
        <f>IF($E3817=0,0,YEAR($E3817))</f>
      </c>
      <c r="G3817" s="43">
        <f>IF(INDEX(DarlBindung,8)="",1,IF($E3817&lt;=INDEX(DarlBindung,8),1,0))</f>
      </c>
      <c r="H3817" s="43">
        <f>IF($G3817=1,INDEX(DarlSollzins,8),INDEX(DarlAnschluss,8))</f>
      </c>
      <c r="I3817" s="43">
        <f>IF(INDEX(DarlBelegt,8)=0,0,IF(INDEX(DarlOhneTilgung,8)=1,IF(INDEX(DarlBindung,8)="",1,$G3817),IF($J3817&gt;0.005,1,0)))</f>
      </c>
      <c r="J3817" s="43">
        <f>IF($I3816=0,0,$R3816)</f>
      </c>
      <c r="K3817" s="43">
        <f>IF($I3817=0,0,IF(INDEX(DarlOhneTilgung,8)=1,0,IF(AND(INDEX(DarlTilgStart,8)&gt;0,$E3817=INDEX(DarlTilgStart,8)),$J3817*($H3817+INDEX(DarlTilgung,8))/100/12,IF(AND($G3817=0,$G3816=1),MAX($K3816,$J3817*($H3817+1)/100/12),$K3816))))</f>
      </c>
      <c r="L3817" s="43">
        <f>IF($I3817=0,0,$J3817*$H3817/100/12)</f>
      </c>
      <c r="M3817" s="43">
        <f>IF($I3817=0,0,IF(OR(INDEX(DarlOhneTilgung,8)=1,AND(INDEX(DarlTilgStart,8)&gt;0,$E3817&lt;INDEX(DarlTilgStart,8))),0,MIN(MAX(0,$K3817-$L3817),$J3817)))</f>
      </c>
      <c r="N3817" s="43">
        <f>IF($I3817=0,0,MIN(SUMIFS(SondBetrag,SondDarl,8,SondDatum,"&gt;="&amp;$E3817,SondDatum,"&lt;="&amp;EOMONTH($E3817,0)),$J3817-$M3817))</f>
      </c>
      <c r="O3817" s="43">
        <f>IF($I3817=0,0,INDEX(DarlErsatzRate,8))</f>
      </c>
      <c r="P3817" s="43">
        <f>IF($I3817=0,0,$Q3816*INDEX(DarlErsatzZins,8))</f>
      </c>
      <c r="Q3817" s="43">
        <f>IF($I3817=0,0,$Q3816+$P3817+$O3817)</f>
      </c>
      <c r="R3817" s="43">
        <f>IF($I3817=0,0,$J3817-$M3817-$N3817)</f>
      </c>
    </row>
    <row r="3818">
      <c r="A3818"/>
      <c r="B3818">
        <v>8</v>
      </c>
      <c r="C3818" s="43">
        <f>INDEX(DarlObj,8)</f>
      </c>
      <c r="D3818">
        <v>455</v>
      </c>
      <c r="E3818" s="51">
        <f>IF(INDEX(DarlBelegt,8)=0,0,EOMONTH(INDEX(DarlAuszahlung,8),454)+1)</f>
      </c>
      <c r="F3818" s="43">
        <f>IF($E3818=0,0,YEAR($E3818))</f>
      </c>
      <c r="G3818" s="43">
        <f>IF(INDEX(DarlBindung,8)="",1,IF($E3818&lt;=INDEX(DarlBindung,8),1,0))</f>
      </c>
      <c r="H3818" s="43">
        <f>IF($G3818=1,INDEX(DarlSollzins,8),INDEX(DarlAnschluss,8))</f>
      </c>
      <c r="I3818" s="43">
        <f>IF(INDEX(DarlBelegt,8)=0,0,IF(INDEX(DarlOhneTilgung,8)=1,IF(INDEX(DarlBindung,8)="",1,$G3818),IF($J3818&gt;0.005,1,0)))</f>
      </c>
      <c r="J3818" s="43">
        <f>IF($I3817=0,0,$R3817)</f>
      </c>
      <c r="K3818" s="43">
        <f>IF($I3818=0,0,IF(INDEX(DarlOhneTilgung,8)=1,0,IF(AND(INDEX(DarlTilgStart,8)&gt;0,$E3818=INDEX(DarlTilgStart,8)),$J3818*($H3818+INDEX(DarlTilgung,8))/100/12,IF(AND($G3818=0,$G3817=1),MAX($K3817,$J3818*($H3818+1)/100/12),$K3817))))</f>
      </c>
      <c r="L3818" s="43">
        <f>IF($I3818=0,0,$J3818*$H3818/100/12)</f>
      </c>
      <c r="M3818" s="43">
        <f>IF($I3818=0,0,IF(OR(INDEX(DarlOhneTilgung,8)=1,AND(INDEX(DarlTilgStart,8)&gt;0,$E3818&lt;INDEX(DarlTilgStart,8))),0,MIN(MAX(0,$K3818-$L3818),$J3818)))</f>
      </c>
      <c r="N3818" s="43">
        <f>IF($I3818=0,0,MIN(SUMIFS(SondBetrag,SondDarl,8,SondDatum,"&gt;="&amp;$E3818,SondDatum,"&lt;="&amp;EOMONTH($E3818,0)),$J3818-$M3818))</f>
      </c>
      <c r="O3818" s="43">
        <f>IF($I3818=0,0,INDEX(DarlErsatzRate,8))</f>
      </c>
      <c r="P3818" s="43">
        <f>IF($I3818=0,0,$Q3817*INDEX(DarlErsatzZins,8))</f>
      </c>
      <c r="Q3818" s="43">
        <f>IF($I3818=0,0,$Q3817+$P3818+$O3818)</f>
      </c>
      <c r="R3818" s="43">
        <f>IF($I3818=0,0,$J3818-$M3818-$N3818)</f>
      </c>
    </row>
    <row r="3819">
      <c r="A3819"/>
      <c r="B3819">
        <v>8</v>
      </c>
      <c r="C3819" s="43">
        <f>INDEX(DarlObj,8)</f>
      </c>
      <c r="D3819">
        <v>456</v>
      </c>
      <c r="E3819" s="51">
        <f>IF(INDEX(DarlBelegt,8)=0,0,EOMONTH(INDEX(DarlAuszahlung,8),455)+1)</f>
      </c>
      <c r="F3819" s="43">
        <f>IF($E3819=0,0,YEAR($E3819))</f>
      </c>
      <c r="G3819" s="43">
        <f>IF(INDEX(DarlBindung,8)="",1,IF($E3819&lt;=INDEX(DarlBindung,8),1,0))</f>
      </c>
      <c r="H3819" s="43">
        <f>IF($G3819=1,INDEX(DarlSollzins,8),INDEX(DarlAnschluss,8))</f>
      </c>
      <c r="I3819" s="43">
        <f>IF(INDEX(DarlBelegt,8)=0,0,IF(INDEX(DarlOhneTilgung,8)=1,IF(INDEX(DarlBindung,8)="",1,$G3819),IF($J3819&gt;0.005,1,0)))</f>
      </c>
      <c r="J3819" s="43">
        <f>IF($I3818=0,0,$R3818)</f>
      </c>
      <c r="K3819" s="43">
        <f>IF($I3819=0,0,IF(INDEX(DarlOhneTilgung,8)=1,0,IF(AND(INDEX(DarlTilgStart,8)&gt;0,$E3819=INDEX(DarlTilgStart,8)),$J3819*($H3819+INDEX(DarlTilgung,8))/100/12,IF(AND($G3819=0,$G3818=1),MAX($K3818,$J3819*($H3819+1)/100/12),$K3818))))</f>
      </c>
      <c r="L3819" s="43">
        <f>IF($I3819=0,0,$J3819*$H3819/100/12)</f>
      </c>
      <c r="M3819" s="43">
        <f>IF($I3819=0,0,IF(OR(INDEX(DarlOhneTilgung,8)=1,AND(INDEX(DarlTilgStart,8)&gt;0,$E3819&lt;INDEX(DarlTilgStart,8))),0,MIN(MAX(0,$K3819-$L3819),$J3819)))</f>
      </c>
      <c r="N3819" s="43">
        <f>IF($I3819=0,0,MIN(SUMIFS(SondBetrag,SondDarl,8,SondDatum,"&gt;="&amp;$E3819,SondDatum,"&lt;="&amp;EOMONTH($E3819,0)),$J3819-$M3819))</f>
      </c>
      <c r="O3819" s="43">
        <f>IF($I3819=0,0,INDEX(DarlErsatzRate,8))</f>
      </c>
      <c r="P3819" s="43">
        <f>IF($I3819=0,0,$Q3818*INDEX(DarlErsatzZins,8))</f>
      </c>
      <c r="Q3819" s="43">
        <f>IF($I3819=0,0,$Q3818+$P3819+$O3819)</f>
      </c>
      <c r="R3819" s="43">
        <f>IF($I3819=0,0,$J3819-$M3819-$N3819)</f>
      </c>
    </row>
    <row r="3820">
      <c r="A3820"/>
      <c r="B3820">
        <v>8</v>
      </c>
      <c r="C3820" s="43">
        <f>INDEX(DarlObj,8)</f>
      </c>
      <c r="D3820">
        <v>457</v>
      </c>
      <c r="E3820" s="51">
        <f>IF(INDEX(DarlBelegt,8)=0,0,EOMONTH(INDEX(DarlAuszahlung,8),456)+1)</f>
      </c>
      <c r="F3820" s="43">
        <f>IF($E3820=0,0,YEAR($E3820))</f>
      </c>
      <c r="G3820" s="43">
        <f>IF(INDEX(DarlBindung,8)="",1,IF($E3820&lt;=INDEX(DarlBindung,8),1,0))</f>
      </c>
      <c r="H3820" s="43">
        <f>IF($G3820=1,INDEX(DarlSollzins,8),INDEX(DarlAnschluss,8))</f>
      </c>
      <c r="I3820" s="43">
        <f>IF(INDEX(DarlBelegt,8)=0,0,IF(INDEX(DarlOhneTilgung,8)=1,IF(INDEX(DarlBindung,8)="",1,$G3820),IF($J3820&gt;0.005,1,0)))</f>
      </c>
      <c r="J3820" s="43">
        <f>IF($I3819=0,0,$R3819)</f>
      </c>
      <c r="K3820" s="43">
        <f>IF($I3820=0,0,IF(INDEX(DarlOhneTilgung,8)=1,0,IF(AND(INDEX(DarlTilgStart,8)&gt;0,$E3820=INDEX(DarlTilgStart,8)),$J3820*($H3820+INDEX(DarlTilgung,8))/100/12,IF(AND($G3820=0,$G3819=1),MAX($K3819,$J3820*($H3820+1)/100/12),$K3819))))</f>
      </c>
      <c r="L3820" s="43">
        <f>IF($I3820=0,0,$J3820*$H3820/100/12)</f>
      </c>
      <c r="M3820" s="43">
        <f>IF($I3820=0,0,IF(OR(INDEX(DarlOhneTilgung,8)=1,AND(INDEX(DarlTilgStart,8)&gt;0,$E3820&lt;INDEX(DarlTilgStart,8))),0,MIN(MAX(0,$K3820-$L3820),$J3820)))</f>
      </c>
      <c r="N3820" s="43">
        <f>IF($I3820=0,0,MIN(SUMIFS(SondBetrag,SondDarl,8,SondDatum,"&gt;="&amp;$E3820,SondDatum,"&lt;="&amp;EOMONTH($E3820,0)),$J3820-$M3820))</f>
      </c>
      <c r="O3820" s="43">
        <f>IF($I3820=0,0,INDEX(DarlErsatzRate,8))</f>
      </c>
      <c r="P3820" s="43">
        <f>IF($I3820=0,0,$Q3819*INDEX(DarlErsatzZins,8))</f>
      </c>
      <c r="Q3820" s="43">
        <f>IF($I3820=0,0,$Q3819+$P3820+$O3820)</f>
      </c>
      <c r="R3820" s="43">
        <f>IF($I3820=0,0,$J3820-$M3820-$N3820)</f>
      </c>
    </row>
    <row r="3821">
      <c r="A3821"/>
      <c r="B3821">
        <v>8</v>
      </c>
      <c r="C3821" s="43">
        <f>INDEX(DarlObj,8)</f>
      </c>
      <c r="D3821">
        <v>458</v>
      </c>
      <c r="E3821" s="51">
        <f>IF(INDEX(DarlBelegt,8)=0,0,EOMONTH(INDEX(DarlAuszahlung,8),457)+1)</f>
      </c>
      <c r="F3821" s="43">
        <f>IF($E3821=0,0,YEAR($E3821))</f>
      </c>
      <c r="G3821" s="43">
        <f>IF(INDEX(DarlBindung,8)="",1,IF($E3821&lt;=INDEX(DarlBindung,8),1,0))</f>
      </c>
      <c r="H3821" s="43">
        <f>IF($G3821=1,INDEX(DarlSollzins,8),INDEX(DarlAnschluss,8))</f>
      </c>
      <c r="I3821" s="43">
        <f>IF(INDEX(DarlBelegt,8)=0,0,IF(INDEX(DarlOhneTilgung,8)=1,IF(INDEX(DarlBindung,8)="",1,$G3821),IF($J3821&gt;0.005,1,0)))</f>
      </c>
      <c r="J3821" s="43">
        <f>IF($I3820=0,0,$R3820)</f>
      </c>
      <c r="K3821" s="43">
        <f>IF($I3821=0,0,IF(INDEX(DarlOhneTilgung,8)=1,0,IF(AND(INDEX(DarlTilgStart,8)&gt;0,$E3821=INDEX(DarlTilgStart,8)),$J3821*($H3821+INDEX(DarlTilgung,8))/100/12,IF(AND($G3821=0,$G3820=1),MAX($K3820,$J3821*($H3821+1)/100/12),$K3820))))</f>
      </c>
      <c r="L3821" s="43">
        <f>IF($I3821=0,0,$J3821*$H3821/100/12)</f>
      </c>
      <c r="M3821" s="43">
        <f>IF($I3821=0,0,IF(OR(INDEX(DarlOhneTilgung,8)=1,AND(INDEX(DarlTilgStart,8)&gt;0,$E3821&lt;INDEX(DarlTilgStart,8))),0,MIN(MAX(0,$K3821-$L3821),$J3821)))</f>
      </c>
      <c r="N3821" s="43">
        <f>IF($I3821=0,0,MIN(SUMIFS(SondBetrag,SondDarl,8,SondDatum,"&gt;="&amp;$E3821,SondDatum,"&lt;="&amp;EOMONTH($E3821,0)),$J3821-$M3821))</f>
      </c>
      <c r="O3821" s="43">
        <f>IF($I3821=0,0,INDEX(DarlErsatzRate,8))</f>
      </c>
      <c r="P3821" s="43">
        <f>IF($I3821=0,0,$Q3820*INDEX(DarlErsatzZins,8))</f>
      </c>
      <c r="Q3821" s="43">
        <f>IF($I3821=0,0,$Q3820+$P3821+$O3821)</f>
      </c>
      <c r="R3821" s="43">
        <f>IF($I3821=0,0,$J3821-$M3821-$N3821)</f>
      </c>
    </row>
    <row r="3822">
      <c r="A3822"/>
      <c r="B3822">
        <v>8</v>
      </c>
      <c r="C3822" s="43">
        <f>INDEX(DarlObj,8)</f>
      </c>
      <c r="D3822">
        <v>459</v>
      </c>
      <c r="E3822" s="51">
        <f>IF(INDEX(DarlBelegt,8)=0,0,EOMONTH(INDEX(DarlAuszahlung,8),458)+1)</f>
      </c>
      <c r="F3822" s="43">
        <f>IF($E3822=0,0,YEAR($E3822))</f>
      </c>
      <c r="G3822" s="43">
        <f>IF(INDEX(DarlBindung,8)="",1,IF($E3822&lt;=INDEX(DarlBindung,8),1,0))</f>
      </c>
      <c r="H3822" s="43">
        <f>IF($G3822=1,INDEX(DarlSollzins,8),INDEX(DarlAnschluss,8))</f>
      </c>
      <c r="I3822" s="43">
        <f>IF(INDEX(DarlBelegt,8)=0,0,IF(INDEX(DarlOhneTilgung,8)=1,IF(INDEX(DarlBindung,8)="",1,$G3822),IF($J3822&gt;0.005,1,0)))</f>
      </c>
      <c r="J3822" s="43">
        <f>IF($I3821=0,0,$R3821)</f>
      </c>
      <c r="K3822" s="43">
        <f>IF($I3822=0,0,IF(INDEX(DarlOhneTilgung,8)=1,0,IF(AND(INDEX(DarlTilgStart,8)&gt;0,$E3822=INDEX(DarlTilgStart,8)),$J3822*($H3822+INDEX(DarlTilgung,8))/100/12,IF(AND($G3822=0,$G3821=1),MAX($K3821,$J3822*($H3822+1)/100/12),$K3821))))</f>
      </c>
      <c r="L3822" s="43">
        <f>IF($I3822=0,0,$J3822*$H3822/100/12)</f>
      </c>
      <c r="M3822" s="43">
        <f>IF($I3822=0,0,IF(OR(INDEX(DarlOhneTilgung,8)=1,AND(INDEX(DarlTilgStart,8)&gt;0,$E3822&lt;INDEX(DarlTilgStart,8))),0,MIN(MAX(0,$K3822-$L3822),$J3822)))</f>
      </c>
      <c r="N3822" s="43">
        <f>IF($I3822=0,0,MIN(SUMIFS(SondBetrag,SondDarl,8,SondDatum,"&gt;="&amp;$E3822,SondDatum,"&lt;="&amp;EOMONTH($E3822,0)),$J3822-$M3822))</f>
      </c>
      <c r="O3822" s="43">
        <f>IF($I3822=0,0,INDEX(DarlErsatzRate,8))</f>
      </c>
      <c r="P3822" s="43">
        <f>IF($I3822=0,0,$Q3821*INDEX(DarlErsatzZins,8))</f>
      </c>
      <c r="Q3822" s="43">
        <f>IF($I3822=0,0,$Q3821+$P3822+$O3822)</f>
      </c>
      <c r="R3822" s="43">
        <f>IF($I3822=0,0,$J3822-$M3822-$N3822)</f>
      </c>
    </row>
    <row r="3823">
      <c r="A3823"/>
      <c r="B3823">
        <v>8</v>
      </c>
      <c r="C3823" s="43">
        <f>INDEX(DarlObj,8)</f>
      </c>
      <c r="D3823">
        <v>460</v>
      </c>
      <c r="E3823" s="51">
        <f>IF(INDEX(DarlBelegt,8)=0,0,EOMONTH(INDEX(DarlAuszahlung,8),459)+1)</f>
      </c>
      <c r="F3823" s="43">
        <f>IF($E3823=0,0,YEAR($E3823))</f>
      </c>
      <c r="G3823" s="43">
        <f>IF(INDEX(DarlBindung,8)="",1,IF($E3823&lt;=INDEX(DarlBindung,8),1,0))</f>
      </c>
      <c r="H3823" s="43">
        <f>IF($G3823=1,INDEX(DarlSollzins,8),INDEX(DarlAnschluss,8))</f>
      </c>
      <c r="I3823" s="43">
        <f>IF(INDEX(DarlBelegt,8)=0,0,IF(INDEX(DarlOhneTilgung,8)=1,IF(INDEX(DarlBindung,8)="",1,$G3823),IF($J3823&gt;0.005,1,0)))</f>
      </c>
      <c r="J3823" s="43">
        <f>IF($I3822=0,0,$R3822)</f>
      </c>
      <c r="K3823" s="43">
        <f>IF($I3823=0,0,IF(INDEX(DarlOhneTilgung,8)=1,0,IF(AND(INDEX(DarlTilgStart,8)&gt;0,$E3823=INDEX(DarlTilgStart,8)),$J3823*($H3823+INDEX(DarlTilgung,8))/100/12,IF(AND($G3823=0,$G3822=1),MAX($K3822,$J3823*($H3823+1)/100/12),$K3822))))</f>
      </c>
      <c r="L3823" s="43">
        <f>IF($I3823=0,0,$J3823*$H3823/100/12)</f>
      </c>
      <c r="M3823" s="43">
        <f>IF($I3823=0,0,IF(OR(INDEX(DarlOhneTilgung,8)=1,AND(INDEX(DarlTilgStart,8)&gt;0,$E3823&lt;INDEX(DarlTilgStart,8))),0,MIN(MAX(0,$K3823-$L3823),$J3823)))</f>
      </c>
      <c r="N3823" s="43">
        <f>IF($I3823=0,0,MIN(SUMIFS(SondBetrag,SondDarl,8,SondDatum,"&gt;="&amp;$E3823,SondDatum,"&lt;="&amp;EOMONTH($E3823,0)),$J3823-$M3823))</f>
      </c>
      <c r="O3823" s="43">
        <f>IF($I3823=0,0,INDEX(DarlErsatzRate,8))</f>
      </c>
      <c r="P3823" s="43">
        <f>IF($I3823=0,0,$Q3822*INDEX(DarlErsatzZins,8))</f>
      </c>
      <c r="Q3823" s="43">
        <f>IF($I3823=0,0,$Q3822+$P3823+$O3823)</f>
      </c>
      <c r="R3823" s="43">
        <f>IF($I3823=0,0,$J3823-$M3823-$N3823)</f>
      </c>
    </row>
    <row r="3824">
      <c r="A3824"/>
      <c r="B3824">
        <v>8</v>
      </c>
      <c r="C3824" s="43">
        <f>INDEX(DarlObj,8)</f>
      </c>
      <c r="D3824">
        <v>461</v>
      </c>
      <c r="E3824" s="51">
        <f>IF(INDEX(DarlBelegt,8)=0,0,EOMONTH(INDEX(DarlAuszahlung,8),460)+1)</f>
      </c>
      <c r="F3824" s="43">
        <f>IF($E3824=0,0,YEAR($E3824))</f>
      </c>
      <c r="G3824" s="43">
        <f>IF(INDEX(DarlBindung,8)="",1,IF($E3824&lt;=INDEX(DarlBindung,8),1,0))</f>
      </c>
      <c r="H3824" s="43">
        <f>IF($G3824=1,INDEX(DarlSollzins,8),INDEX(DarlAnschluss,8))</f>
      </c>
      <c r="I3824" s="43">
        <f>IF(INDEX(DarlBelegt,8)=0,0,IF(INDEX(DarlOhneTilgung,8)=1,IF(INDEX(DarlBindung,8)="",1,$G3824),IF($J3824&gt;0.005,1,0)))</f>
      </c>
      <c r="J3824" s="43">
        <f>IF($I3823=0,0,$R3823)</f>
      </c>
      <c r="K3824" s="43">
        <f>IF($I3824=0,0,IF(INDEX(DarlOhneTilgung,8)=1,0,IF(AND(INDEX(DarlTilgStart,8)&gt;0,$E3824=INDEX(DarlTilgStart,8)),$J3824*($H3824+INDEX(DarlTilgung,8))/100/12,IF(AND($G3824=0,$G3823=1),MAX($K3823,$J3824*($H3824+1)/100/12),$K3823))))</f>
      </c>
      <c r="L3824" s="43">
        <f>IF($I3824=0,0,$J3824*$H3824/100/12)</f>
      </c>
      <c r="M3824" s="43">
        <f>IF($I3824=0,0,IF(OR(INDEX(DarlOhneTilgung,8)=1,AND(INDEX(DarlTilgStart,8)&gt;0,$E3824&lt;INDEX(DarlTilgStart,8))),0,MIN(MAX(0,$K3824-$L3824),$J3824)))</f>
      </c>
      <c r="N3824" s="43">
        <f>IF($I3824=0,0,MIN(SUMIFS(SondBetrag,SondDarl,8,SondDatum,"&gt;="&amp;$E3824,SondDatum,"&lt;="&amp;EOMONTH($E3824,0)),$J3824-$M3824))</f>
      </c>
      <c r="O3824" s="43">
        <f>IF($I3824=0,0,INDEX(DarlErsatzRate,8))</f>
      </c>
      <c r="P3824" s="43">
        <f>IF($I3824=0,0,$Q3823*INDEX(DarlErsatzZins,8))</f>
      </c>
      <c r="Q3824" s="43">
        <f>IF($I3824=0,0,$Q3823+$P3824+$O3824)</f>
      </c>
      <c r="R3824" s="43">
        <f>IF($I3824=0,0,$J3824-$M3824-$N3824)</f>
      </c>
    </row>
    <row r="3825">
      <c r="A3825"/>
      <c r="B3825">
        <v>8</v>
      </c>
      <c r="C3825" s="43">
        <f>INDEX(DarlObj,8)</f>
      </c>
      <c r="D3825">
        <v>462</v>
      </c>
      <c r="E3825" s="51">
        <f>IF(INDEX(DarlBelegt,8)=0,0,EOMONTH(INDEX(DarlAuszahlung,8),461)+1)</f>
      </c>
      <c r="F3825" s="43">
        <f>IF($E3825=0,0,YEAR($E3825))</f>
      </c>
      <c r="G3825" s="43">
        <f>IF(INDEX(DarlBindung,8)="",1,IF($E3825&lt;=INDEX(DarlBindung,8),1,0))</f>
      </c>
      <c r="H3825" s="43">
        <f>IF($G3825=1,INDEX(DarlSollzins,8),INDEX(DarlAnschluss,8))</f>
      </c>
      <c r="I3825" s="43">
        <f>IF(INDEX(DarlBelegt,8)=0,0,IF(INDEX(DarlOhneTilgung,8)=1,IF(INDEX(DarlBindung,8)="",1,$G3825),IF($J3825&gt;0.005,1,0)))</f>
      </c>
      <c r="J3825" s="43">
        <f>IF($I3824=0,0,$R3824)</f>
      </c>
      <c r="K3825" s="43">
        <f>IF($I3825=0,0,IF(INDEX(DarlOhneTilgung,8)=1,0,IF(AND(INDEX(DarlTilgStart,8)&gt;0,$E3825=INDEX(DarlTilgStart,8)),$J3825*($H3825+INDEX(DarlTilgung,8))/100/12,IF(AND($G3825=0,$G3824=1),MAX($K3824,$J3825*($H3825+1)/100/12),$K3824))))</f>
      </c>
      <c r="L3825" s="43">
        <f>IF($I3825=0,0,$J3825*$H3825/100/12)</f>
      </c>
      <c r="M3825" s="43">
        <f>IF($I3825=0,0,IF(OR(INDEX(DarlOhneTilgung,8)=1,AND(INDEX(DarlTilgStart,8)&gt;0,$E3825&lt;INDEX(DarlTilgStart,8))),0,MIN(MAX(0,$K3825-$L3825),$J3825)))</f>
      </c>
      <c r="N3825" s="43">
        <f>IF($I3825=0,0,MIN(SUMIFS(SondBetrag,SondDarl,8,SondDatum,"&gt;="&amp;$E3825,SondDatum,"&lt;="&amp;EOMONTH($E3825,0)),$J3825-$M3825))</f>
      </c>
      <c r="O3825" s="43">
        <f>IF($I3825=0,0,INDEX(DarlErsatzRate,8))</f>
      </c>
      <c r="P3825" s="43">
        <f>IF($I3825=0,0,$Q3824*INDEX(DarlErsatzZins,8))</f>
      </c>
      <c r="Q3825" s="43">
        <f>IF($I3825=0,0,$Q3824+$P3825+$O3825)</f>
      </c>
      <c r="R3825" s="43">
        <f>IF($I3825=0,0,$J3825-$M3825-$N3825)</f>
      </c>
    </row>
    <row r="3826">
      <c r="A3826"/>
      <c r="B3826">
        <v>8</v>
      </c>
      <c r="C3826" s="43">
        <f>INDEX(DarlObj,8)</f>
      </c>
      <c r="D3826">
        <v>463</v>
      </c>
      <c r="E3826" s="51">
        <f>IF(INDEX(DarlBelegt,8)=0,0,EOMONTH(INDEX(DarlAuszahlung,8),462)+1)</f>
      </c>
      <c r="F3826" s="43">
        <f>IF($E3826=0,0,YEAR($E3826))</f>
      </c>
      <c r="G3826" s="43">
        <f>IF(INDEX(DarlBindung,8)="",1,IF($E3826&lt;=INDEX(DarlBindung,8),1,0))</f>
      </c>
      <c r="H3826" s="43">
        <f>IF($G3826=1,INDEX(DarlSollzins,8),INDEX(DarlAnschluss,8))</f>
      </c>
      <c r="I3826" s="43">
        <f>IF(INDEX(DarlBelegt,8)=0,0,IF(INDEX(DarlOhneTilgung,8)=1,IF(INDEX(DarlBindung,8)="",1,$G3826),IF($J3826&gt;0.005,1,0)))</f>
      </c>
      <c r="J3826" s="43">
        <f>IF($I3825=0,0,$R3825)</f>
      </c>
      <c r="K3826" s="43">
        <f>IF($I3826=0,0,IF(INDEX(DarlOhneTilgung,8)=1,0,IF(AND(INDEX(DarlTilgStart,8)&gt;0,$E3826=INDEX(DarlTilgStart,8)),$J3826*($H3826+INDEX(DarlTilgung,8))/100/12,IF(AND($G3826=0,$G3825=1),MAX($K3825,$J3826*($H3826+1)/100/12),$K3825))))</f>
      </c>
      <c r="L3826" s="43">
        <f>IF($I3826=0,0,$J3826*$H3826/100/12)</f>
      </c>
      <c r="M3826" s="43">
        <f>IF($I3826=0,0,IF(OR(INDEX(DarlOhneTilgung,8)=1,AND(INDEX(DarlTilgStart,8)&gt;0,$E3826&lt;INDEX(DarlTilgStart,8))),0,MIN(MAX(0,$K3826-$L3826),$J3826)))</f>
      </c>
      <c r="N3826" s="43">
        <f>IF($I3826=0,0,MIN(SUMIFS(SondBetrag,SondDarl,8,SondDatum,"&gt;="&amp;$E3826,SondDatum,"&lt;="&amp;EOMONTH($E3826,0)),$J3826-$M3826))</f>
      </c>
      <c r="O3826" s="43">
        <f>IF($I3826=0,0,INDEX(DarlErsatzRate,8))</f>
      </c>
      <c r="P3826" s="43">
        <f>IF($I3826=0,0,$Q3825*INDEX(DarlErsatzZins,8))</f>
      </c>
      <c r="Q3826" s="43">
        <f>IF($I3826=0,0,$Q3825+$P3826+$O3826)</f>
      </c>
      <c r="R3826" s="43">
        <f>IF($I3826=0,0,$J3826-$M3826-$N3826)</f>
      </c>
    </row>
    <row r="3827">
      <c r="A3827"/>
      <c r="B3827">
        <v>8</v>
      </c>
      <c r="C3827" s="43">
        <f>INDEX(DarlObj,8)</f>
      </c>
      <c r="D3827">
        <v>464</v>
      </c>
      <c r="E3827" s="51">
        <f>IF(INDEX(DarlBelegt,8)=0,0,EOMONTH(INDEX(DarlAuszahlung,8),463)+1)</f>
      </c>
      <c r="F3827" s="43">
        <f>IF($E3827=0,0,YEAR($E3827))</f>
      </c>
      <c r="G3827" s="43">
        <f>IF(INDEX(DarlBindung,8)="",1,IF($E3827&lt;=INDEX(DarlBindung,8),1,0))</f>
      </c>
      <c r="H3827" s="43">
        <f>IF($G3827=1,INDEX(DarlSollzins,8),INDEX(DarlAnschluss,8))</f>
      </c>
      <c r="I3827" s="43">
        <f>IF(INDEX(DarlBelegt,8)=0,0,IF(INDEX(DarlOhneTilgung,8)=1,IF(INDEX(DarlBindung,8)="",1,$G3827),IF($J3827&gt;0.005,1,0)))</f>
      </c>
      <c r="J3827" s="43">
        <f>IF($I3826=0,0,$R3826)</f>
      </c>
      <c r="K3827" s="43">
        <f>IF($I3827=0,0,IF(INDEX(DarlOhneTilgung,8)=1,0,IF(AND(INDEX(DarlTilgStart,8)&gt;0,$E3827=INDEX(DarlTilgStart,8)),$J3827*($H3827+INDEX(DarlTilgung,8))/100/12,IF(AND($G3827=0,$G3826=1),MAX($K3826,$J3827*($H3827+1)/100/12),$K3826))))</f>
      </c>
      <c r="L3827" s="43">
        <f>IF($I3827=0,0,$J3827*$H3827/100/12)</f>
      </c>
      <c r="M3827" s="43">
        <f>IF($I3827=0,0,IF(OR(INDEX(DarlOhneTilgung,8)=1,AND(INDEX(DarlTilgStart,8)&gt;0,$E3827&lt;INDEX(DarlTilgStart,8))),0,MIN(MAX(0,$K3827-$L3827),$J3827)))</f>
      </c>
      <c r="N3827" s="43">
        <f>IF($I3827=0,0,MIN(SUMIFS(SondBetrag,SondDarl,8,SondDatum,"&gt;="&amp;$E3827,SondDatum,"&lt;="&amp;EOMONTH($E3827,0)),$J3827-$M3827))</f>
      </c>
      <c r="O3827" s="43">
        <f>IF($I3827=0,0,INDEX(DarlErsatzRate,8))</f>
      </c>
      <c r="P3827" s="43">
        <f>IF($I3827=0,0,$Q3826*INDEX(DarlErsatzZins,8))</f>
      </c>
      <c r="Q3827" s="43">
        <f>IF($I3827=0,0,$Q3826+$P3827+$O3827)</f>
      </c>
      <c r="R3827" s="43">
        <f>IF($I3827=0,0,$J3827-$M3827-$N3827)</f>
      </c>
    </row>
    <row r="3828">
      <c r="A3828"/>
      <c r="B3828">
        <v>8</v>
      </c>
      <c r="C3828" s="43">
        <f>INDEX(DarlObj,8)</f>
      </c>
      <c r="D3828">
        <v>465</v>
      </c>
      <c r="E3828" s="51">
        <f>IF(INDEX(DarlBelegt,8)=0,0,EOMONTH(INDEX(DarlAuszahlung,8),464)+1)</f>
      </c>
      <c r="F3828" s="43">
        <f>IF($E3828=0,0,YEAR($E3828))</f>
      </c>
      <c r="G3828" s="43">
        <f>IF(INDEX(DarlBindung,8)="",1,IF($E3828&lt;=INDEX(DarlBindung,8),1,0))</f>
      </c>
      <c r="H3828" s="43">
        <f>IF($G3828=1,INDEX(DarlSollzins,8),INDEX(DarlAnschluss,8))</f>
      </c>
      <c r="I3828" s="43">
        <f>IF(INDEX(DarlBelegt,8)=0,0,IF(INDEX(DarlOhneTilgung,8)=1,IF(INDEX(DarlBindung,8)="",1,$G3828),IF($J3828&gt;0.005,1,0)))</f>
      </c>
      <c r="J3828" s="43">
        <f>IF($I3827=0,0,$R3827)</f>
      </c>
      <c r="K3828" s="43">
        <f>IF($I3828=0,0,IF(INDEX(DarlOhneTilgung,8)=1,0,IF(AND(INDEX(DarlTilgStart,8)&gt;0,$E3828=INDEX(DarlTilgStart,8)),$J3828*($H3828+INDEX(DarlTilgung,8))/100/12,IF(AND($G3828=0,$G3827=1),MAX($K3827,$J3828*($H3828+1)/100/12),$K3827))))</f>
      </c>
      <c r="L3828" s="43">
        <f>IF($I3828=0,0,$J3828*$H3828/100/12)</f>
      </c>
      <c r="M3828" s="43">
        <f>IF($I3828=0,0,IF(OR(INDEX(DarlOhneTilgung,8)=1,AND(INDEX(DarlTilgStart,8)&gt;0,$E3828&lt;INDEX(DarlTilgStart,8))),0,MIN(MAX(0,$K3828-$L3828),$J3828)))</f>
      </c>
      <c r="N3828" s="43">
        <f>IF($I3828=0,0,MIN(SUMIFS(SondBetrag,SondDarl,8,SondDatum,"&gt;="&amp;$E3828,SondDatum,"&lt;="&amp;EOMONTH($E3828,0)),$J3828-$M3828))</f>
      </c>
      <c r="O3828" s="43">
        <f>IF($I3828=0,0,INDEX(DarlErsatzRate,8))</f>
      </c>
      <c r="P3828" s="43">
        <f>IF($I3828=0,0,$Q3827*INDEX(DarlErsatzZins,8))</f>
      </c>
      <c r="Q3828" s="43">
        <f>IF($I3828=0,0,$Q3827+$P3828+$O3828)</f>
      </c>
      <c r="R3828" s="43">
        <f>IF($I3828=0,0,$J3828-$M3828-$N3828)</f>
      </c>
    </row>
    <row r="3829">
      <c r="A3829"/>
      <c r="B3829">
        <v>8</v>
      </c>
      <c r="C3829" s="43">
        <f>INDEX(DarlObj,8)</f>
      </c>
      <c r="D3829">
        <v>466</v>
      </c>
      <c r="E3829" s="51">
        <f>IF(INDEX(DarlBelegt,8)=0,0,EOMONTH(INDEX(DarlAuszahlung,8),465)+1)</f>
      </c>
      <c r="F3829" s="43">
        <f>IF($E3829=0,0,YEAR($E3829))</f>
      </c>
      <c r="G3829" s="43">
        <f>IF(INDEX(DarlBindung,8)="",1,IF($E3829&lt;=INDEX(DarlBindung,8),1,0))</f>
      </c>
      <c r="H3829" s="43">
        <f>IF($G3829=1,INDEX(DarlSollzins,8),INDEX(DarlAnschluss,8))</f>
      </c>
      <c r="I3829" s="43">
        <f>IF(INDEX(DarlBelegt,8)=0,0,IF(INDEX(DarlOhneTilgung,8)=1,IF(INDEX(DarlBindung,8)="",1,$G3829),IF($J3829&gt;0.005,1,0)))</f>
      </c>
      <c r="J3829" s="43">
        <f>IF($I3828=0,0,$R3828)</f>
      </c>
      <c r="K3829" s="43">
        <f>IF($I3829=0,0,IF(INDEX(DarlOhneTilgung,8)=1,0,IF(AND(INDEX(DarlTilgStart,8)&gt;0,$E3829=INDEX(DarlTilgStart,8)),$J3829*($H3829+INDEX(DarlTilgung,8))/100/12,IF(AND($G3829=0,$G3828=1),MAX($K3828,$J3829*($H3829+1)/100/12),$K3828))))</f>
      </c>
      <c r="L3829" s="43">
        <f>IF($I3829=0,0,$J3829*$H3829/100/12)</f>
      </c>
      <c r="M3829" s="43">
        <f>IF($I3829=0,0,IF(OR(INDEX(DarlOhneTilgung,8)=1,AND(INDEX(DarlTilgStart,8)&gt;0,$E3829&lt;INDEX(DarlTilgStart,8))),0,MIN(MAX(0,$K3829-$L3829),$J3829)))</f>
      </c>
      <c r="N3829" s="43">
        <f>IF($I3829=0,0,MIN(SUMIFS(SondBetrag,SondDarl,8,SondDatum,"&gt;="&amp;$E3829,SondDatum,"&lt;="&amp;EOMONTH($E3829,0)),$J3829-$M3829))</f>
      </c>
      <c r="O3829" s="43">
        <f>IF($I3829=0,0,INDEX(DarlErsatzRate,8))</f>
      </c>
      <c r="P3829" s="43">
        <f>IF($I3829=0,0,$Q3828*INDEX(DarlErsatzZins,8))</f>
      </c>
      <c r="Q3829" s="43">
        <f>IF($I3829=0,0,$Q3828+$P3829+$O3829)</f>
      </c>
      <c r="R3829" s="43">
        <f>IF($I3829=0,0,$J3829-$M3829-$N3829)</f>
      </c>
    </row>
    <row r="3830">
      <c r="A3830"/>
      <c r="B3830">
        <v>8</v>
      </c>
      <c r="C3830" s="43">
        <f>INDEX(DarlObj,8)</f>
      </c>
      <c r="D3830">
        <v>467</v>
      </c>
      <c r="E3830" s="51">
        <f>IF(INDEX(DarlBelegt,8)=0,0,EOMONTH(INDEX(DarlAuszahlung,8),466)+1)</f>
      </c>
      <c r="F3830" s="43">
        <f>IF($E3830=0,0,YEAR($E3830))</f>
      </c>
      <c r="G3830" s="43">
        <f>IF(INDEX(DarlBindung,8)="",1,IF($E3830&lt;=INDEX(DarlBindung,8),1,0))</f>
      </c>
      <c r="H3830" s="43">
        <f>IF($G3830=1,INDEX(DarlSollzins,8),INDEX(DarlAnschluss,8))</f>
      </c>
      <c r="I3830" s="43">
        <f>IF(INDEX(DarlBelegt,8)=0,0,IF(INDEX(DarlOhneTilgung,8)=1,IF(INDEX(DarlBindung,8)="",1,$G3830),IF($J3830&gt;0.005,1,0)))</f>
      </c>
      <c r="J3830" s="43">
        <f>IF($I3829=0,0,$R3829)</f>
      </c>
      <c r="K3830" s="43">
        <f>IF($I3830=0,0,IF(INDEX(DarlOhneTilgung,8)=1,0,IF(AND(INDEX(DarlTilgStart,8)&gt;0,$E3830=INDEX(DarlTilgStart,8)),$J3830*($H3830+INDEX(DarlTilgung,8))/100/12,IF(AND($G3830=0,$G3829=1),MAX($K3829,$J3830*($H3830+1)/100/12),$K3829))))</f>
      </c>
      <c r="L3830" s="43">
        <f>IF($I3830=0,0,$J3830*$H3830/100/12)</f>
      </c>
      <c r="M3830" s="43">
        <f>IF($I3830=0,0,IF(OR(INDEX(DarlOhneTilgung,8)=1,AND(INDEX(DarlTilgStart,8)&gt;0,$E3830&lt;INDEX(DarlTilgStart,8))),0,MIN(MAX(0,$K3830-$L3830),$J3830)))</f>
      </c>
      <c r="N3830" s="43">
        <f>IF($I3830=0,0,MIN(SUMIFS(SondBetrag,SondDarl,8,SondDatum,"&gt;="&amp;$E3830,SondDatum,"&lt;="&amp;EOMONTH($E3830,0)),$J3830-$M3830))</f>
      </c>
      <c r="O3830" s="43">
        <f>IF($I3830=0,0,INDEX(DarlErsatzRate,8))</f>
      </c>
      <c r="P3830" s="43">
        <f>IF($I3830=0,0,$Q3829*INDEX(DarlErsatzZins,8))</f>
      </c>
      <c r="Q3830" s="43">
        <f>IF($I3830=0,0,$Q3829+$P3830+$O3830)</f>
      </c>
      <c r="R3830" s="43">
        <f>IF($I3830=0,0,$J3830-$M3830-$N3830)</f>
      </c>
    </row>
    <row r="3831">
      <c r="A3831"/>
      <c r="B3831">
        <v>8</v>
      </c>
      <c r="C3831" s="43">
        <f>INDEX(DarlObj,8)</f>
      </c>
      <c r="D3831">
        <v>468</v>
      </c>
      <c r="E3831" s="51">
        <f>IF(INDEX(DarlBelegt,8)=0,0,EOMONTH(INDEX(DarlAuszahlung,8),467)+1)</f>
      </c>
      <c r="F3831" s="43">
        <f>IF($E3831=0,0,YEAR($E3831))</f>
      </c>
      <c r="G3831" s="43">
        <f>IF(INDEX(DarlBindung,8)="",1,IF($E3831&lt;=INDEX(DarlBindung,8),1,0))</f>
      </c>
      <c r="H3831" s="43">
        <f>IF($G3831=1,INDEX(DarlSollzins,8),INDEX(DarlAnschluss,8))</f>
      </c>
      <c r="I3831" s="43">
        <f>IF(INDEX(DarlBelegt,8)=0,0,IF(INDEX(DarlOhneTilgung,8)=1,IF(INDEX(DarlBindung,8)="",1,$G3831),IF($J3831&gt;0.005,1,0)))</f>
      </c>
      <c r="J3831" s="43">
        <f>IF($I3830=0,0,$R3830)</f>
      </c>
      <c r="K3831" s="43">
        <f>IF($I3831=0,0,IF(INDEX(DarlOhneTilgung,8)=1,0,IF(AND(INDEX(DarlTilgStart,8)&gt;0,$E3831=INDEX(DarlTilgStart,8)),$J3831*($H3831+INDEX(DarlTilgung,8))/100/12,IF(AND($G3831=0,$G3830=1),MAX($K3830,$J3831*($H3831+1)/100/12),$K3830))))</f>
      </c>
      <c r="L3831" s="43">
        <f>IF($I3831=0,0,$J3831*$H3831/100/12)</f>
      </c>
      <c r="M3831" s="43">
        <f>IF($I3831=0,0,IF(OR(INDEX(DarlOhneTilgung,8)=1,AND(INDEX(DarlTilgStart,8)&gt;0,$E3831&lt;INDEX(DarlTilgStart,8))),0,MIN(MAX(0,$K3831-$L3831),$J3831)))</f>
      </c>
      <c r="N3831" s="43">
        <f>IF($I3831=0,0,MIN(SUMIFS(SondBetrag,SondDarl,8,SondDatum,"&gt;="&amp;$E3831,SondDatum,"&lt;="&amp;EOMONTH($E3831,0)),$J3831-$M3831))</f>
      </c>
      <c r="O3831" s="43">
        <f>IF($I3831=0,0,INDEX(DarlErsatzRate,8))</f>
      </c>
      <c r="P3831" s="43">
        <f>IF($I3831=0,0,$Q3830*INDEX(DarlErsatzZins,8))</f>
      </c>
      <c r="Q3831" s="43">
        <f>IF($I3831=0,0,$Q3830+$P3831+$O3831)</f>
      </c>
      <c r="R3831" s="43">
        <f>IF($I3831=0,0,$J3831-$M3831-$N3831)</f>
      </c>
    </row>
    <row r="3832">
      <c r="A3832"/>
      <c r="B3832">
        <v>8</v>
      </c>
      <c r="C3832" s="43">
        <f>INDEX(DarlObj,8)</f>
      </c>
      <c r="D3832">
        <v>469</v>
      </c>
      <c r="E3832" s="51">
        <f>IF(INDEX(DarlBelegt,8)=0,0,EOMONTH(INDEX(DarlAuszahlung,8),468)+1)</f>
      </c>
      <c r="F3832" s="43">
        <f>IF($E3832=0,0,YEAR($E3832))</f>
      </c>
      <c r="G3832" s="43">
        <f>IF(INDEX(DarlBindung,8)="",1,IF($E3832&lt;=INDEX(DarlBindung,8),1,0))</f>
      </c>
      <c r="H3832" s="43">
        <f>IF($G3832=1,INDEX(DarlSollzins,8),INDEX(DarlAnschluss,8))</f>
      </c>
      <c r="I3832" s="43">
        <f>IF(INDEX(DarlBelegt,8)=0,0,IF(INDEX(DarlOhneTilgung,8)=1,IF(INDEX(DarlBindung,8)="",1,$G3832),IF($J3832&gt;0.005,1,0)))</f>
      </c>
      <c r="J3832" s="43">
        <f>IF($I3831=0,0,$R3831)</f>
      </c>
      <c r="K3832" s="43">
        <f>IF($I3832=0,0,IF(INDEX(DarlOhneTilgung,8)=1,0,IF(AND(INDEX(DarlTilgStart,8)&gt;0,$E3832=INDEX(DarlTilgStart,8)),$J3832*($H3832+INDEX(DarlTilgung,8))/100/12,IF(AND($G3832=0,$G3831=1),MAX($K3831,$J3832*($H3832+1)/100/12),$K3831))))</f>
      </c>
      <c r="L3832" s="43">
        <f>IF($I3832=0,0,$J3832*$H3832/100/12)</f>
      </c>
      <c r="M3832" s="43">
        <f>IF($I3832=0,0,IF(OR(INDEX(DarlOhneTilgung,8)=1,AND(INDEX(DarlTilgStart,8)&gt;0,$E3832&lt;INDEX(DarlTilgStart,8))),0,MIN(MAX(0,$K3832-$L3832),$J3832)))</f>
      </c>
      <c r="N3832" s="43">
        <f>IF($I3832=0,0,MIN(SUMIFS(SondBetrag,SondDarl,8,SondDatum,"&gt;="&amp;$E3832,SondDatum,"&lt;="&amp;EOMONTH($E3832,0)),$J3832-$M3832))</f>
      </c>
      <c r="O3832" s="43">
        <f>IF($I3832=0,0,INDEX(DarlErsatzRate,8))</f>
      </c>
      <c r="P3832" s="43">
        <f>IF($I3832=0,0,$Q3831*INDEX(DarlErsatzZins,8))</f>
      </c>
      <c r="Q3832" s="43">
        <f>IF($I3832=0,0,$Q3831+$P3832+$O3832)</f>
      </c>
      <c r="R3832" s="43">
        <f>IF($I3832=0,0,$J3832-$M3832-$N3832)</f>
      </c>
    </row>
    <row r="3833">
      <c r="A3833"/>
      <c r="B3833">
        <v>8</v>
      </c>
      <c r="C3833" s="43">
        <f>INDEX(DarlObj,8)</f>
      </c>
      <c r="D3833">
        <v>470</v>
      </c>
      <c r="E3833" s="51">
        <f>IF(INDEX(DarlBelegt,8)=0,0,EOMONTH(INDEX(DarlAuszahlung,8),469)+1)</f>
      </c>
      <c r="F3833" s="43">
        <f>IF($E3833=0,0,YEAR($E3833))</f>
      </c>
      <c r="G3833" s="43">
        <f>IF(INDEX(DarlBindung,8)="",1,IF($E3833&lt;=INDEX(DarlBindung,8),1,0))</f>
      </c>
      <c r="H3833" s="43">
        <f>IF($G3833=1,INDEX(DarlSollzins,8),INDEX(DarlAnschluss,8))</f>
      </c>
      <c r="I3833" s="43">
        <f>IF(INDEX(DarlBelegt,8)=0,0,IF(INDEX(DarlOhneTilgung,8)=1,IF(INDEX(DarlBindung,8)="",1,$G3833),IF($J3833&gt;0.005,1,0)))</f>
      </c>
      <c r="J3833" s="43">
        <f>IF($I3832=0,0,$R3832)</f>
      </c>
      <c r="K3833" s="43">
        <f>IF($I3833=0,0,IF(INDEX(DarlOhneTilgung,8)=1,0,IF(AND(INDEX(DarlTilgStart,8)&gt;0,$E3833=INDEX(DarlTilgStart,8)),$J3833*($H3833+INDEX(DarlTilgung,8))/100/12,IF(AND($G3833=0,$G3832=1),MAX($K3832,$J3833*($H3833+1)/100/12),$K3832))))</f>
      </c>
      <c r="L3833" s="43">
        <f>IF($I3833=0,0,$J3833*$H3833/100/12)</f>
      </c>
      <c r="M3833" s="43">
        <f>IF($I3833=0,0,IF(OR(INDEX(DarlOhneTilgung,8)=1,AND(INDEX(DarlTilgStart,8)&gt;0,$E3833&lt;INDEX(DarlTilgStart,8))),0,MIN(MAX(0,$K3833-$L3833),$J3833)))</f>
      </c>
      <c r="N3833" s="43">
        <f>IF($I3833=0,0,MIN(SUMIFS(SondBetrag,SondDarl,8,SondDatum,"&gt;="&amp;$E3833,SondDatum,"&lt;="&amp;EOMONTH($E3833,0)),$J3833-$M3833))</f>
      </c>
      <c r="O3833" s="43">
        <f>IF($I3833=0,0,INDEX(DarlErsatzRate,8))</f>
      </c>
      <c r="P3833" s="43">
        <f>IF($I3833=0,0,$Q3832*INDEX(DarlErsatzZins,8))</f>
      </c>
      <c r="Q3833" s="43">
        <f>IF($I3833=0,0,$Q3832+$P3833+$O3833)</f>
      </c>
      <c r="R3833" s="43">
        <f>IF($I3833=0,0,$J3833-$M3833-$N3833)</f>
      </c>
    </row>
    <row r="3834">
      <c r="A3834"/>
      <c r="B3834">
        <v>8</v>
      </c>
      <c r="C3834" s="43">
        <f>INDEX(DarlObj,8)</f>
      </c>
      <c r="D3834">
        <v>471</v>
      </c>
      <c r="E3834" s="51">
        <f>IF(INDEX(DarlBelegt,8)=0,0,EOMONTH(INDEX(DarlAuszahlung,8),470)+1)</f>
      </c>
      <c r="F3834" s="43">
        <f>IF($E3834=0,0,YEAR($E3834))</f>
      </c>
      <c r="G3834" s="43">
        <f>IF(INDEX(DarlBindung,8)="",1,IF($E3834&lt;=INDEX(DarlBindung,8),1,0))</f>
      </c>
      <c r="H3834" s="43">
        <f>IF($G3834=1,INDEX(DarlSollzins,8),INDEX(DarlAnschluss,8))</f>
      </c>
      <c r="I3834" s="43">
        <f>IF(INDEX(DarlBelegt,8)=0,0,IF(INDEX(DarlOhneTilgung,8)=1,IF(INDEX(DarlBindung,8)="",1,$G3834),IF($J3834&gt;0.005,1,0)))</f>
      </c>
      <c r="J3834" s="43">
        <f>IF($I3833=0,0,$R3833)</f>
      </c>
      <c r="K3834" s="43">
        <f>IF($I3834=0,0,IF(INDEX(DarlOhneTilgung,8)=1,0,IF(AND(INDEX(DarlTilgStart,8)&gt;0,$E3834=INDEX(DarlTilgStart,8)),$J3834*($H3834+INDEX(DarlTilgung,8))/100/12,IF(AND($G3834=0,$G3833=1),MAX($K3833,$J3834*($H3834+1)/100/12),$K3833))))</f>
      </c>
      <c r="L3834" s="43">
        <f>IF($I3834=0,0,$J3834*$H3834/100/12)</f>
      </c>
      <c r="M3834" s="43">
        <f>IF($I3834=0,0,IF(OR(INDEX(DarlOhneTilgung,8)=1,AND(INDEX(DarlTilgStart,8)&gt;0,$E3834&lt;INDEX(DarlTilgStart,8))),0,MIN(MAX(0,$K3834-$L3834),$J3834)))</f>
      </c>
      <c r="N3834" s="43">
        <f>IF($I3834=0,0,MIN(SUMIFS(SondBetrag,SondDarl,8,SondDatum,"&gt;="&amp;$E3834,SondDatum,"&lt;="&amp;EOMONTH($E3834,0)),$J3834-$M3834))</f>
      </c>
      <c r="O3834" s="43">
        <f>IF($I3834=0,0,INDEX(DarlErsatzRate,8))</f>
      </c>
      <c r="P3834" s="43">
        <f>IF($I3834=0,0,$Q3833*INDEX(DarlErsatzZins,8))</f>
      </c>
      <c r="Q3834" s="43">
        <f>IF($I3834=0,0,$Q3833+$P3834+$O3834)</f>
      </c>
      <c r="R3834" s="43">
        <f>IF($I3834=0,0,$J3834-$M3834-$N3834)</f>
      </c>
    </row>
    <row r="3835">
      <c r="A3835"/>
      <c r="B3835">
        <v>8</v>
      </c>
      <c r="C3835" s="43">
        <f>INDEX(DarlObj,8)</f>
      </c>
      <c r="D3835">
        <v>472</v>
      </c>
      <c r="E3835" s="51">
        <f>IF(INDEX(DarlBelegt,8)=0,0,EOMONTH(INDEX(DarlAuszahlung,8),471)+1)</f>
      </c>
      <c r="F3835" s="43">
        <f>IF($E3835=0,0,YEAR($E3835))</f>
      </c>
      <c r="G3835" s="43">
        <f>IF(INDEX(DarlBindung,8)="",1,IF($E3835&lt;=INDEX(DarlBindung,8),1,0))</f>
      </c>
      <c r="H3835" s="43">
        <f>IF($G3835=1,INDEX(DarlSollzins,8),INDEX(DarlAnschluss,8))</f>
      </c>
      <c r="I3835" s="43">
        <f>IF(INDEX(DarlBelegt,8)=0,0,IF(INDEX(DarlOhneTilgung,8)=1,IF(INDEX(DarlBindung,8)="",1,$G3835),IF($J3835&gt;0.005,1,0)))</f>
      </c>
      <c r="J3835" s="43">
        <f>IF($I3834=0,0,$R3834)</f>
      </c>
      <c r="K3835" s="43">
        <f>IF($I3835=0,0,IF(INDEX(DarlOhneTilgung,8)=1,0,IF(AND(INDEX(DarlTilgStart,8)&gt;0,$E3835=INDEX(DarlTilgStart,8)),$J3835*($H3835+INDEX(DarlTilgung,8))/100/12,IF(AND($G3835=0,$G3834=1),MAX($K3834,$J3835*($H3835+1)/100/12),$K3834))))</f>
      </c>
      <c r="L3835" s="43">
        <f>IF($I3835=0,0,$J3835*$H3835/100/12)</f>
      </c>
      <c r="M3835" s="43">
        <f>IF($I3835=0,0,IF(OR(INDEX(DarlOhneTilgung,8)=1,AND(INDEX(DarlTilgStart,8)&gt;0,$E3835&lt;INDEX(DarlTilgStart,8))),0,MIN(MAX(0,$K3835-$L3835),$J3835)))</f>
      </c>
      <c r="N3835" s="43">
        <f>IF($I3835=0,0,MIN(SUMIFS(SondBetrag,SondDarl,8,SondDatum,"&gt;="&amp;$E3835,SondDatum,"&lt;="&amp;EOMONTH($E3835,0)),$J3835-$M3835))</f>
      </c>
      <c r="O3835" s="43">
        <f>IF($I3835=0,0,INDEX(DarlErsatzRate,8))</f>
      </c>
      <c r="P3835" s="43">
        <f>IF($I3835=0,0,$Q3834*INDEX(DarlErsatzZins,8))</f>
      </c>
      <c r="Q3835" s="43">
        <f>IF($I3835=0,0,$Q3834+$P3835+$O3835)</f>
      </c>
      <c r="R3835" s="43">
        <f>IF($I3835=0,0,$J3835-$M3835-$N3835)</f>
      </c>
    </row>
    <row r="3836">
      <c r="A3836"/>
      <c r="B3836">
        <v>8</v>
      </c>
      <c r="C3836" s="43">
        <f>INDEX(DarlObj,8)</f>
      </c>
      <c r="D3836">
        <v>473</v>
      </c>
      <c r="E3836" s="51">
        <f>IF(INDEX(DarlBelegt,8)=0,0,EOMONTH(INDEX(DarlAuszahlung,8),472)+1)</f>
      </c>
      <c r="F3836" s="43">
        <f>IF($E3836=0,0,YEAR($E3836))</f>
      </c>
      <c r="G3836" s="43">
        <f>IF(INDEX(DarlBindung,8)="",1,IF($E3836&lt;=INDEX(DarlBindung,8),1,0))</f>
      </c>
      <c r="H3836" s="43">
        <f>IF($G3836=1,INDEX(DarlSollzins,8),INDEX(DarlAnschluss,8))</f>
      </c>
      <c r="I3836" s="43">
        <f>IF(INDEX(DarlBelegt,8)=0,0,IF(INDEX(DarlOhneTilgung,8)=1,IF(INDEX(DarlBindung,8)="",1,$G3836),IF($J3836&gt;0.005,1,0)))</f>
      </c>
      <c r="J3836" s="43">
        <f>IF($I3835=0,0,$R3835)</f>
      </c>
      <c r="K3836" s="43">
        <f>IF($I3836=0,0,IF(INDEX(DarlOhneTilgung,8)=1,0,IF(AND(INDEX(DarlTilgStart,8)&gt;0,$E3836=INDEX(DarlTilgStart,8)),$J3836*($H3836+INDEX(DarlTilgung,8))/100/12,IF(AND($G3836=0,$G3835=1),MAX($K3835,$J3836*($H3836+1)/100/12),$K3835))))</f>
      </c>
      <c r="L3836" s="43">
        <f>IF($I3836=0,0,$J3836*$H3836/100/12)</f>
      </c>
      <c r="M3836" s="43">
        <f>IF($I3836=0,0,IF(OR(INDEX(DarlOhneTilgung,8)=1,AND(INDEX(DarlTilgStart,8)&gt;0,$E3836&lt;INDEX(DarlTilgStart,8))),0,MIN(MAX(0,$K3836-$L3836),$J3836)))</f>
      </c>
      <c r="N3836" s="43">
        <f>IF($I3836=0,0,MIN(SUMIFS(SondBetrag,SondDarl,8,SondDatum,"&gt;="&amp;$E3836,SondDatum,"&lt;="&amp;EOMONTH($E3836,0)),$J3836-$M3836))</f>
      </c>
      <c r="O3836" s="43">
        <f>IF($I3836=0,0,INDEX(DarlErsatzRate,8))</f>
      </c>
      <c r="P3836" s="43">
        <f>IF($I3836=0,0,$Q3835*INDEX(DarlErsatzZins,8))</f>
      </c>
      <c r="Q3836" s="43">
        <f>IF($I3836=0,0,$Q3835+$P3836+$O3836)</f>
      </c>
      <c r="R3836" s="43">
        <f>IF($I3836=0,0,$J3836-$M3836-$N3836)</f>
      </c>
    </row>
    <row r="3837">
      <c r="A3837"/>
      <c r="B3837">
        <v>8</v>
      </c>
      <c r="C3837" s="43">
        <f>INDEX(DarlObj,8)</f>
      </c>
      <c r="D3837">
        <v>474</v>
      </c>
      <c r="E3837" s="51">
        <f>IF(INDEX(DarlBelegt,8)=0,0,EOMONTH(INDEX(DarlAuszahlung,8),473)+1)</f>
      </c>
      <c r="F3837" s="43">
        <f>IF($E3837=0,0,YEAR($E3837))</f>
      </c>
      <c r="G3837" s="43">
        <f>IF(INDEX(DarlBindung,8)="",1,IF($E3837&lt;=INDEX(DarlBindung,8),1,0))</f>
      </c>
      <c r="H3837" s="43">
        <f>IF($G3837=1,INDEX(DarlSollzins,8),INDEX(DarlAnschluss,8))</f>
      </c>
      <c r="I3837" s="43">
        <f>IF(INDEX(DarlBelegt,8)=0,0,IF(INDEX(DarlOhneTilgung,8)=1,IF(INDEX(DarlBindung,8)="",1,$G3837),IF($J3837&gt;0.005,1,0)))</f>
      </c>
      <c r="J3837" s="43">
        <f>IF($I3836=0,0,$R3836)</f>
      </c>
      <c r="K3837" s="43">
        <f>IF($I3837=0,0,IF(INDEX(DarlOhneTilgung,8)=1,0,IF(AND(INDEX(DarlTilgStart,8)&gt;0,$E3837=INDEX(DarlTilgStart,8)),$J3837*($H3837+INDEX(DarlTilgung,8))/100/12,IF(AND($G3837=0,$G3836=1),MAX($K3836,$J3837*($H3837+1)/100/12),$K3836))))</f>
      </c>
      <c r="L3837" s="43">
        <f>IF($I3837=0,0,$J3837*$H3837/100/12)</f>
      </c>
      <c r="M3837" s="43">
        <f>IF($I3837=0,0,IF(OR(INDEX(DarlOhneTilgung,8)=1,AND(INDEX(DarlTilgStart,8)&gt;0,$E3837&lt;INDEX(DarlTilgStart,8))),0,MIN(MAX(0,$K3837-$L3837),$J3837)))</f>
      </c>
      <c r="N3837" s="43">
        <f>IF($I3837=0,0,MIN(SUMIFS(SondBetrag,SondDarl,8,SondDatum,"&gt;="&amp;$E3837,SondDatum,"&lt;="&amp;EOMONTH($E3837,0)),$J3837-$M3837))</f>
      </c>
      <c r="O3837" s="43">
        <f>IF($I3837=0,0,INDEX(DarlErsatzRate,8))</f>
      </c>
      <c r="P3837" s="43">
        <f>IF($I3837=0,0,$Q3836*INDEX(DarlErsatzZins,8))</f>
      </c>
      <c r="Q3837" s="43">
        <f>IF($I3837=0,0,$Q3836+$P3837+$O3837)</f>
      </c>
      <c r="R3837" s="43">
        <f>IF($I3837=0,0,$J3837-$M3837-$N3837)</f>
      </c>
    </row>
    <row r="3838">
      <c r="A3838"/>
      <c r="B3838">
        <v>8</v>
      </c>
      <c r="C3838" s="43">
        <f>INDEX(DarlObj,8)</f>
      </c>
      <c r="D3838">
        <v>475</v>
      </c>
      <c r="E3838" s="51">
        <f>IF(INDEX(DarlBelegt,8)=0,0,EOMONTH(INDEX(DarlAuszahlung,8),474)+1)</f>
      </c>
      <c r="F3838" s="43">
        <f>IF($E3838=0,0,YEAR($E3838))</f>
      </c>
      <c r="G3838" s="43">
        <f>IF(INDEX(DarlBindung,8)="",1,IF($E3838&lt;=INDEX(DarlBindung,8),1,0))</f>
      </c>
      <c r="H3838" s="43">
        <f>IF($G3838=1,INDEX(DarlSollzins,8),INDEX(DarlAnschluss,8))</f>
      </c>
      <c r="I3838" s="43">
        <f>IF(INDEX(DarlBelegt,8)=0,0,IF(INDEX(DarlOhneTilgung,8)=1,IF(INDEX(DarlBindung,8)="",1,$G3838),IF($J3838&gt;0.005,1,0)))</f>
      </c>
      <c r="J3838" s="43">
        <f>IF($I3837=0,0,$R3837)</f>
      </c>
      <c r="K3838" s="43">
        <f>IF($I3838=0,0,IF(INDEX(DarlOhneTilgung,8)=1,0,IF(AND(INDEX(DarlTilgStart,8)&gt;0,$E3838=INDEX(DarlTilgStart,8)),$J3838*($H3838+INDEX(DarlTilgung,8))/100/12,IF(AND($G3838=0,$G3837=1),MAX($K3837,$J3838*($H3838+1)/100/12),$K3837))))</f>
      </c>
      <c r="L3838" s="43">
        <f>IF($I3838=0,0,$J3838*$H3838/100/12)</f>
      </c>
      <c r="M3838" s="43">
        <f>IF($I3838=0,0,IF(OR(INDEX(DarlOhneTilgung,8)=1,AND(INDEX(DarlTilgStart,8)&gt;0,$E3838&lt;INDEX(DarlTilgStart,8))),0,MIN(MAX(0,$K3838-$L3838),$J3838)))</f>
      </c>
      <c r="N3838" s="43">
        <f>IF($I3838=0,0,MIN(SUMIFS(SondBetrag,SondDarl,8,SondDatum,"&gt;="&amp;$E3838,SondDatum,"&lt;="&amp;EOMONTH($E3838,0)),$J3838-$M3838))</f>
      </c>
      <c r="O3838" s="43">
        <f>IF($I3838=0,0,INDEX(DarlErsatzRate,8))</f>
      </c>
      <c r="P3838" s="43">
        <f>IF($I3838=0,0,$Q3837*INDEX(DarlErsatzZins,8))</f>
      </c>
      <c r="Q3838" s="43">
        <f>IF($I3838=0,0,$Q3837+$P3838+$O3838)</f>
      </c>
      <c r="R3838" s="43">
        <f>IF($I3838=0,0,$J3838-$M3838-$N3838)</f>
      </c>
    </row>
    <row r="3839">
      <c r="A3839"/>
      <c r="B3839">
        <v>8</v>
      </c>
      <c r="C3839" s="43">
        <f>INDEX(DarlObj,8)</f>
      </c>
      <c r="D3839">
        <v>476</v>
      </c>
      <c r="E3839" s="51">
        <f>IF(INDEX(DarlBelegt,8)=0,0,EOMONTH(INDEX(DarlAuszahlung,8),475)+1)</f>
      </c>
      <c r="F3839" s="43">
        <f>IF($E3839=0,0,YEAR($E3839))</f>
      </c>
      <c r="G3839" s="43">
        <f>IF(INDEX(DarlBindung,8)="",1,IF($E3839&lt;=INDEX(DarlBindung,8),1,0))</f>
      </c>
      <c r="H3839" s="43">
        <f>IF($G3839=1,INDEX(DarlSollzins,8),INDEX(DarlAnschluss,8))</f>
      </c>
      <c r="I3839" s="43">
        <f>IF(INDEX(DarlBelegt,8)=0,0,IF(INDEX(DarlOhneTilgung,8)=1,IF(INDEX(DarlBindung,8)="",1,$G3839),IF($J3839&gt;0.005,1,0)))</f>
      </c>
      <c r="J3839" s="43">
        <f>IF($I3838=0,0,$R3838)</f>
      </c>
      <c r="K3839" s="43">
        <f>IF($I3839=0,0,IF(INDEX(DarlOhneTilgung,8)=1,0,IF(AND(INDEX(DarlTilgStart,8)&gt;0,$E3839=INDEX(DarlTilgStart,8)),$J3839*($H3839+INDEX(DarlTilgung,8))/100/12,IF(AND($G3839=0,$G3838=1),MAX($K3838,$J3839*($H3839+1)/100/12),$K3838))))</f>
      </c>
      <c r="L3839" s="43">
        <f>IF($I3839=0,0,$J3839*$H3839/100/12)</f>
      </c>
      <c r="M3839" s="43">
        <f>IF($I3839=0,0,IF(OR(INDEX(DarlOhneTilgung,8)=1,AND(INDEX(DarlTilgStart,8)&gt;0,$E3839&lt;INDEX(DarlTilgStart,8))),0,MIN(MAX(0,$K3839-$L3839),$J3839)))</f>
      </c>
      <c r="N3839" s="43">
        <f>IF($I3839=0,0,MIN(SUMIFS(SondBetrag,SondDarl,8,SondDatum,"&gt;="&amp;$E3839,SondDatum,"&lt;="&amp;EOMONTH($E3839,0)),$J3839-$M3839))</f>
      </c>
      <c r="O3839" s="43">
        <f>IF($I3839=0,0,INDEX(DarlErsatzRate,8))</f>
      </c>
      <c r="P3839" s="43">
        <f>IF($I3839=0,0,$Q3838*INDEX(DarlErsatzZins,8))</f>
      </c>
      <c r="Q3839" s="43">
        <f>IF($I3839=0,0,$Q3838+$P3839+$O3839)</f>
      </c>
      <c r="R3839" s="43">
        <f>IF($I3839=0,0,$J3839-$M3839-$N3839)</f>
      </c>
    </row>
    <row r="3840">
      <c r="A3840"/>
      <c r="B3840">
        <v>8</v>
      </c>
      <c r="C3840" s="43">
        <f>INDEX(DarlObj,8)</f>
      </c>
      <c r="D3840">
        <v>477</v>
      </c>
      <c r="E3840" s="51">
        <f>IF(INDEX(DarlBelegt,8)=0,0,EOMONTH(INDEX(DarlAuszahlung,8),476)+1)</f>
      </c>
      <c r="F3840" s="43">
        <f>IF($E3840=0,0,YEAR($E3840))</f>
      </c>
      <c r="G3840" s="43">
        <f>IF(INDEX(DarlBindung,8)="",1,IF($E3840&lt;=INDEX(DarlBindung,8),1,0))</f>
      </c>
      <c r="H3840" s="43">
        <f>IF($G3840=1,INDEX(DarlSollzins,8),INDEX(DarlAnschluss,8))</f>
      </c>
      <c r="I3840" s="43">
        <f>IF(INDEX(DarlBelegt,8)=0,0,IF(INDEX(DarlOhneTilgung,8)=1,IF(INDEX(DarlBindung,8)="",1,$G3840),IF($J3840&gt;0.005,1,0)))</f>
      </c>
      <c r="J3840" s="43">
        <f>IF($I3839=0,0,$R3839)</f>
      </c>
      <c r="K3840" s="43">
        <f>IF($I3840=0,0,IF(INDEX(DarlOhneTilgung,8)=1,0,IF(AND(INDEX(DarlTilgStart,8)&gt;0,$E3840=INDEX(DarlTilgStart,8)),$J3840*($H3840+INDEX(DarlTilgung,8))/100/12,IF(AND($G3840=0,$G3839=1),MAX($K3839,$J3840*($H3840+1)/100/12),$K3839))))</f>
      </c>
      <c r="L3840" s="43">
        <f>IF($I3840=0,0,$J3840*$H3840/100/12)</f>
      </c>
      <c r="M3840" s="43">
        <f>IF($I3840=0,0,IF(OR(INDEX(DarlOhneTilgung,8)=1,AND(INDEX(DarlTilgStart,8)&gt;0,$E3840&lt;INDEX(DarlTilgStart,8))),0,MIN(MAX(0,$K3840-$L3840),$J3840)))</f>
      </c>
      <c r="N3840" s="43">
        <f>IF($I3840=0,0,MIN(SUMIFS(SondBetrag,SondDarl,8,SondDatum,"&gt;="&amp;$E3840,SondDatum,"&lt;="&amp;EOMONTH($E3840,0)),$J3840-$M3840))</f>
      </c>
      <c r="O3840" s="43">
        <f>IF($I3840=0,0,INDEX(DarlErsatzRate,8))</f>
      </c>
      <c r="P3840" s="43">
        <f>IF($I3840=0,0,$Q3839*INDEX(DarlErsatzZins,8))</f>
      </c>
      <c r="Q3840" s="43">
        <f>IF($I3840=0,0,$Q3839+$P3840+$O3840)</f>
      </c>
      <c r="R3840" s="43">
        <f>IF($I3840=0,0,$J3840-$M3840-$N3840)</f>
      </c>
    </row>
    <row r="3841">
      <c r="A3841"/>
      <c r="B3841">
        <v>8</v>
      </c>
      <c r="C3841" s="43">
        <f>INDEX(DarlObj,8)</f>
      </c>
      <c r="D3841">
        <v>478</v>
      </c>
      <c r="E3841" s="51">
        <f>IF(INDEX(DarlBelegt,8)=0,0,EOMONTH(INDEX(DarlAuszahlung,8),477)+1)</f>
      </c>
      <c r="F3841" s="43">
        <f>IF($E3841=0,0,YEAR($E3841))</f>
      </c>
      <c r="G3841" s="43">
        <f>IF(INDEX(DarlBindung,8)="",1,IF($E3841&lt;=INDEX(DarlBindung,8),1,0))</f>
      </c>
      <c r="H3841" s="43">
        <f>IF($G3841=1,INDEX(DarlSollzins,8),INDEX(DarlAnschluss,8))</f>
      </c>
      <c r="I3841" s="43">
        <f>IF(INDEX(DarlBelegt,8)=0,0,IF(INDEX(DarlOhneTilgung,8)=1,IF(INDEX(DarlBindung,8)="",1,$G3841),IF($J3841&gt;0.005,1,0)))</f>
      </c>
      <c r="J3841" s="43">
        <f>IF($I3840=0,0,$R3840)</f>
      </c>
      <c r="K3841" s="43">
        <f>IF($I3841=0,0,IF(INDEX(DarlOhneTilgung,8)=1,0,IF(AND(INDEX(DarlTilgStart,8)&gt;0,$E3841=INDEX(DarlTilgStart,8)),$J3841*($H3841+INDEX(DarlTilgung,8))/100/12,IF(AND($G3841=0,$G3840=1),MAX($K3840,$J3841*($H3841+1)/100/12),$K3840))))</f>
      </c>
      <c r="L3841" s="43">
        <f>IF($I3841=0,0,$J3841*$H3841/100/12)</f>
      </c>
      <c r="M3841" s="43">
        <f>IF($I3841=0,0,IF(OR(INDEX(DarlOhneTilgung,8)=1,AND(INDEX(DarlTilgStart,8)&gt;0,$E3841&lt;INDEX(DarlTilgStart,8))),0,MIN(MAX(0,$K3841-$L3841),$J3841)))</f>
      </c>
      <c r="N3841" s="43">
        <f>IF($I3841=0,0,MIN(SUMIFS(SondBetrag,SondDarl,8,SondDatum,"&gt;="&amp;$E3841,SondDatum,"&lt;="&amp;EOMONTH($E3841,0)),$J3841-$M3841))</f>
      </c>
      <c r="O3841" s="43">
        <f>IF($I3841=0,0,INDEX(DarlErsatzRate,8))</f>
      </c>
      <c r="P3841" s="43">
        <f>IF($I3841=0,0,$Q3840*INDEX(DarlErsatzZins,8))</f>
      </c>
      <c r="Q3841" s="43">
        <f>IF($I3841=0,0,$Q3840+$P3841+$O3841)</f>
      </c>
      <c r="R3841" s="43">
        <f>IF($I3841=0,0,$J3841-$M3841-$N3841)</f>
      </c>
    </row>
    <row r="3842">
      <c r="A3842"/>
      <c r="B3842">
        <v>8</v>
      </c>
      <c r="C3842" s="43">
        <f>INDEX(DarlObj,8)</f>
      </c>
      <c r="D3842">
        <v>479</v>
      </c>
      <c r="E3842" s="51">
        <f>IF(INDEX(DarlBelegt,8)=0,0,EOMONTH(INDEX(DarlAuszahlung,8),478)+1)</f>
      </c>
      <c r="F3842" s="43">
        <f>IF($E3842=0,0,YEAR($E3842))</f>
      </c>
      <c r="G3842" s="43">
        <f>IF(INDEX(DarlBindung,8)="",1,IF($E3842&lt;=INDEX(DarlBindung,8),1,0))</f>
      </c>
      <c r="H3842" s="43">
        <f>IF($G3842=1,INDEX(DarlSollzins,8),INDEX(DarlAnschluss,8))</f>
      </c>
      <c r="I3842" s="43">
        <f>IF(INDEX(DarlBelegt,8)=0,0,IF(INDEX(DarlOhneTilgung,8)=1,IF(INDEX(DarlBindung,8)="",1,$G3842),IF($J3842&gt;0.005,1,0)))</f>
      </c>
      <c r="J3842" s="43">
        <f>IF($I3841=0,0,$R3841)</f>
      </c>
      <c r="K3842" s="43">
        <f>IF($I3842=0,0,IF(INDEX(DarlOhneTilgung,8)=1,0,IF(AND(INDEX(DarlTilgStart,8)&gt;0,$E3842=INDEX(DarlTilgStart,8)),$J3842*($H3842+INDEX(DarlTilgung,8))/100/12,IF(AND($G3842=0,$G3841=1),MAX($K3841,$J3842*($H3842+1)/100/12),$K3841))))</f>
      </c>
      <c r="L3842" s="43">
        <f>IF($I3842=0,0,$J3842*$H3842/100/12)</f>
      </c>
      <c r="M3842" s="43">
        <f>IF($I3842=0,0,IF(OR(INDEX(DarlOhneTilgung,8)=1,AND(INDEX(DarlTilgStart,8)&gt;0,$E3842&lt;INDEX(DarlTilgStart,8))),0,MIN(MAX(0,$K3842-$L3842),$J3842)))</f>
      </c>
      <c r="N3842" s="43">
        <f>IF($I3842=0,0,MIN(SUMIFS(SondBetrag,SondDarl,8,SondDatum,"&gt;="&amp;$E3842,SondDatum,"&lt;="&amp;EOMONTH($E3842,0)),$J3842-$M3842))</f>
      </c>
      <c r="O3842" s="43">
        <f>IF($I3842=0,0,INDEX(DarlErsatzRate,8))</f>
      </c>
      <c r="P3842" s="43">
        <f>IF($I3842=0,0,$Q3841*INDEX(DarlErsatzZins,8))</f>
      </c>
      <c r="Q3842" s="43">
        <f>IF($I3842=0,0,$Q3841+$P3842+$O3842)</f>
      </c>
      <c r="R3842" s="43">
        <f>IF($I3842=0,0,$J3842-$M3842-$N3842)</f>
      </c>
    </row>
    <row r="3843">
      <c r="A3843"/>
      <c r="B3843">
        <v>8</v>
      </c>
      <c r="C3843" s="43">
        <f>INDEX(DarlObj,8)</f>
      </c>
      <c r="D3843">
        <v>480</v>
      </c>
      <c r="E3843" s="51">
        <f>IF(INDEX(DarlBelegt,8)=0,0,EOMONTH(INDEX(DarlAuszahlung,8),479)+1)</f>
      </c>
      <c r="F3843" s="43">
        <f>IF($E3843=0,0,YEAR($E3843))</f>
      </c>
      <c r="G3843" s="43">
        <f>IF(INDEX(DarlBindung,8)="",1,IF($E3843&lt;=INDEX(DarlBindung,8),1,0))</f>
      </c>
      <c r="H3843" s="43">
        <f>IF($G3843=1,INDEX(DarlSollzins,8),INDEX(DarlAnschluss,8))</f>
      </c>
      <c r="I3843" s="43">
        <f>IF(INDEX(DarlBelegt,8)=0,0,IF(INDEX(DarlOhneTilgung,8)=1,IF(INDEX(DarlBindung,8)="",1,$G3843),IF($J3843&gt;0.005,1,0)))</f>
      </c>
      <c r="J3843" s="43">
        <f>IF($I3842=0,0,$R3842)</f>
      </c>
      <c r="K3843" s="43">
        <f>IF($I3843=0,0,IF(INDEX(DarlOhneTilgung,8)=1,0,IF(AND(INDEX(DarlTilgStart,8)&gt;0,$E3843=INDEX(DarlTilgStart,8)),$J3843*($H3843+INDEX(DarlTilgung,8))/100/12,IF(AND($G3843=0,$G3842=1),MAX($K3842,$J3843*($H3843+1)/100/12),$K3842))))</f>
      </c>
      <c r="L3843" s="43">
        <f>IF($I3843=0,0,$J3843*$H3843/100/12)</f>
      </c>
      <c r="M3843" s="43">
        <f>IF($I3843=0,0,IF(OR(INDEX(DarlOhneTilgung,8)=1,AND(INDEX(DarlTilgStart,8)&gt;0,$E3843&lt;INDEX(DarlTilgStart,8))),0,MIN(MAX(0,$K3843-$L3843),$J3843)))</f>
      </c>
      <c r="N3843" s="43">
        <f>IF($I3843=0,0,MIN(SUMIFS(SondBetrag,SondDarl,8,SondDatum,"&gt;="&amp;$E3843,SondDatum,"&lt;="&amp;EOMONTH($E3843,0)),$J3843-$M3843))</f>
      </c>
      <c r="O3843" s="43">
        <f>IF($I3843=0,0,INDEX(DarlErsatzRate,8))</f>
      </c>
      <c r="P3843" s="43">
        <f>IF($I3843=0,0,$Q3842*INDEX(DarlErsatzZins,8))</f>
      </c>
      <c r="Q3843" s="43">
        <f>IF($I3843=0,0,$Q3842+$P3843+$O3843)</f>
      </c>
      <c r="R3843" s="43">
        <f>IF($I3843=0,0,$J3843-$M3843-$N3843)</f>
      </c>
    </row>
    <row r="3844">
      <c r="A3844"/>
      <c r="B3844">
        <v>9</v>
      </c>
      <c r="C3844" s="43">
        <f>INDEX(DarlObj,9)</f>
      </c>
      <c r="D3844">
        <v>1</v>
      </c>
      <c r="E3844" s="51">
        <f>IF(INDEX(DarlBelegt,9)=0,0,EOMONTH(INDEX(DarlAuszahlung,9),0)+1)</f>
      </c>
      <c r="F3844" s="43">
        <f>IF($E3844=0,0,YEAR($E3844))</f>
      </c>
      <c r="G3844" s="43">
        <f>IF(INDEX(DarlBindung,9)="",1,IF($E3844&lt;=INDEX(DarlBindung,9),1,0))</f>
      </c>
      <c r="H3844" s="43">
        <f>IF($G3844=1,INDEX(DarlSollzins,9),INDEX(DarlAnschluss,9))</f>
      </c>
      <c r="I3844" s="43">
        <f>IF(INDEX(DarlBelegt,9)=0,0,IF(INDEX(DarlOhneTilgung,9)=1,IF(INDEX(DarlBindung,9)="",1,$G3844),IF($J3844&gt;0.005,1,0)))</f>
      </c>
      <c r="J3844" s="43">
        <f>IF(INDEX(DarlBelegt,9)=0,0,INDEX(DarlBetrag,9))</f>
      </c>
      <c r="K3844" s="43">
        <f>IF($I3844=0,0,IF(INDEX(DarlOhneTilgung,9)=1,0,INDEX(DarlRate1,9)))</f>
      </c>
      <c r="L3844" s="43">
        <f>IF($I3844=0,0,$J3844*$H3844/100/12)</f>
      </c>
      <c r="M3844" s="43">
        <f>IF($I3844=0,0,IF(OR(INDEX(DarlOhneTilgung,9)=1,AND(INDEX(DarlTilgStart,9)&gt;0,$E3844&lt;INDEX(DarlTilgStart,9))),0,MIN(MAX(0,$K3844-$L3844),$J3844)))</f>
      </c>
      <c r="N3844" s="43">
        <f>IF($I3844=0,0,MIN(SUMIFS(SondBetrag,SondDarl,9,SondDatum,"&gt;="&amp;$E3844,SondDatum,"&lt;="&amp;EOMONTH($E3844,0)),$J3844-$M3844))</f>
      </c>
      <c r="O3844" s="43">
        <f>IF($I3844=0,0,INDEX(DarlErsatzRate,9))</f>
      </c>
      <c r="P3844" s="43">
        <f>0</f>
      </c>
      <c r="Q3844" s="43">
        <f>IF($I3844=0,0,$P3844+$O3844)</f>
      </c>
      <c r="R3844" s="43">
        <f>IF($I3844=0,0,$J3844-$M3844-$N3844)</f>
      </c>
    </row>
    <row r="3845">
      <c r="A3845"/>
      <c r="B3845">
        <v>9</v>
      </c>
      <c r="C3845" s="43">
        <f>INDEX(DarlObj,9)</f>
      </c>
      <c r="D3845">
        <v>2</v>
      </c>
      <c r="E3845" s="51">
        <f>IF(INDEX(DarlBelegt,9)=0,0,EOMONTH(INDEX(DarlAuszahlung,9),1)+1)</f>
      </c>
      <c r="F3845" s="43">
        <f>IF($E3845=0,0,YEAR($E3845))</f>
      </c>
      <c r="G3845" s="43">
        <f>IF(INDEX(DarlBindung,9)="",1,IF($E3845&lt;=INDEX(DarlBindung,9),1,0))</f>
      </c>
      <c r="H3845" s="43">
        <f>IF($G3845=1,INDEX(DarlSollzins,9),INDEX(DarlAnschluss,9))</f>
      </c>
      <c r="I3845" s="43">
        <f>IF(INDEX(DarlBelegt,9)=0,0,IF(INDEX(DarlOhneTilgung,9)=1,IF(INDEX(DarlBindung,9)="",1,$G3845),IF($J3845&gt;0.005,1,0)))</f>
      </c>
      <c r="J3845" s="43">
        <f>IF($I3844=0,0,$R3844)</f>
      </c>
      <c r="K3845" s="43">
        <f>IF($I3845=0,0,IF(INDEX(DarlOhneTilgung,9)=1,0,IF(AND(INDEX(DarlTilgStart,9)&gt;0,$E3845=INDEX(DarlTilgStart,9)),$J3845*($H3845+INDEX(DarlTilgung,9))/100/12,IF(AND($G3845=0,$G3844=1),MAX($K3844,$J3845*($H3845+1)/100/12),$K3844))))</f>
      </c>
      <c r="L3845" s="43">
        <f>IF($I3845=0,0,$J3845*$H3845/100/12)</f>
      </c>
      <c r="M3845" s="43">
        <f>IF($I3845=0,0,IF(OR(INDEX(DarlOhneTilgung,9)=1,AND(INDEX(DarlTilgStart,9)&gt;0,$E3845&lt;INDEX(DarlTilgStart,9))),0,MIN(MAX(0,$K3845-$L3845),$J3845)))</f>
      </c>
      <c r="N3845" s="43">
        <f>IF($I3845=0,0,MIN(SUMIFS(SondBetrag,SondDarl,9,SondDatum,"&gt;="&amp;$E3845,SondDatum,"&lt;="&amp;EOMONTH($E3845,0)),$J3845-$M3845))</f>
      </c>
      <c r="O3845" s="43">
        <f>IF($I3845=0,0,INDEX(DarlErsatzRate,9))</f>
      </c>
      <c r="P3845" s="43">
        <f>IF($I3845=0,0,$Q3844*INDEX(DarlErsatzZins,9))</f>
      </c>
      <c r="Q3845" s="43">
        <f>IF($I3845=0,0,$Q3844+$P3845+$O3845)</f>
      </c>
      <c r="R3845" s="43">
        <f>IF($I3845=0,0,$J3845-$M3845-$N3845)</f>
      </c>
    </row>
    <row r="3846">
      <c r="A3846"/>
      <c r="B3846">
        <v>9</v>
      </c>
      <c r="C3846" s="43">
        <f>INDEX(DarlObj,9)</f>
      </c>
      <c r="D3846">
        <v>3</v>
      </c>
      <c r="E3846" s="51">
        <f>IF(INDEX(DarlBelegt,9)=0,0,EOMONTH(INDEX(DarlAuszahlung,9),2)+1)</f>
      </c>
      <c r="F3846" s="43">
        <f>IF($E3846=0,0,YEAR($E3846))</f>
      </c>
      <c r="G3846" s="43">
        <f>IF(INDEX(DarlBindung,9)="",1,IF($E3846&lt;=INDEX(DarlBindung,9),1,0))</f>
      </c>
      <c r="H3846" s="43">
        <f>IF($G3846=1,INDEX(DarlSollzins,9),INDEX(DarlAnschluss,9))</f>
      </c>
      <c r="I3846" s="43">
        <f>IF(INDEX(DarlBelegt,9)=0,0,IF(INDEX(DarlOhneTilgung,9)=1,IF(INDEX(DarlBindung,9)="",1,$G3846),IF($J3846&gt;0.005,1,0)))</f>
      </c>
      <c r="J3846" s="43">
        <f>IF($I3845=0,0,$R3845)</f>
      </c>
      <c r="K3846" s="43">
        <f>IF($I3846=0,0,IF(INDEX(DarlOhneTilgung,9)=1,0,IF(AND(INDEX(DarlTilgStart,9)&gt;0,$E3846=INDEX(DarlTilgStart,9)),$J3846*($H3846+INDEX(DarlTilgung,9))/100/12,IF(AND($G3846=0,$G3845=1),MAX($K3845,$J3846*($H3846+1)/100/12),$K3845))))</f>
      </c>
      <c r="L3846" s="43">
        <f>IF($I3846=0,0,$J3846*$H3846/100/12)</f>
      </c>
      <c r="M3846" s="43">
        <f>IF($I3846=0,0,IF(OR(INDEX(DarlOhneTilgung,9)=1,AND(INDEX(DarlTilgStart,9)&gt;0,$E3846&lt;INDEX(DarlTilgStart,9))),0,MIN(MAX(0,$K3846-$L3846),$J3846)))</f>
      </c>
      <c r="N3846" s="43">
        <f>IF($I3846=0,0,MIN(SUMIFS(SondBetrag,SondDarl,9,SondDatum,"&gt;="&amp;$E3846,SondDatum,"&lt;="&amp;EOMONTH($E3846,0)),$J3846-$M3846))</f>
      </c>
      <c r="O3846" s="43">
        <f>IF($I3846=0,0,INDEX(DarlErsatzRate,9))</f>
      </c>
      <c r="P3846" s="43">
        <f>IF($I3846=0,0,$Q3845*INDEX(DarlErsatzZins,9))</f>
      </c>
      <c r="Q3846" s="43">
        <f>IF($I3846=0,0,$Q3845+$P3846+$O3846)</f>
      </c>
      <c r="R3846" s="43">
        <f>IF($I3846=0,0,$J3846-$M3846-$N3846)</f>
      </c>
    </row>
    <row r="3847">
      <c r="A3847"/>
      <c r="B3847">
        <v>9</v>
      </c>
      <c r="C3847" s="43">
        <f>INDEX(DarlObj,9)</f>
      </c>
      <c r="D3847">
        <v>4</v>
      </c>
      <c r="E3847" s="51">
        <f>IF(INDEX(DarlBelegt,9)=0,0,EOMONTH(INDEX(DarlAuszahlung,9),3)+1)</f>
      </c>
      <c r="F3847" s="43">
        <f>IF($E3847=0,0,YEAR($E3847))</f>
      </c>
      <c r="G3847" s="43">
        <f>IF(INDEX(DarlBindung,9)="",1,IF($E3847&lt;=INDEX(DarlBindung,9),1,0))</f>
      </c>
      <c r="H3847" s="43">
        <f>IF($G3847=1,INDEX(DarlSollzins,9),INDEX(DarlAnschluss,9))</f>
      </c>
      <c r="I3847" s="43">
        <f>IF(INDEX(DarlBelegt,9)=0,0,IF(INDEX(DarlOhneTilgung,9)=1,IF(INDEX(DarlBindung,9)="",1,$G3847),IF($J3847&gt;0.005,1,0)))</f>
      </c>
      <c r="J3847" s="43">
        <f>IF($I3846=0,0,$R3846)</f>
      </c>
      <c r="K3847" s="43">
        <f>IF($I3847=0,0,IF(INDEX(DarlOhneTilgung,9)=1,0,IF(AND(INDEX(DarlTilgStart,9)&gt;0,$E3847=INDEX(DarlTilgStart,9)),$J3847*($H3847+INDEX(DarlTilgung,9))/100/12,IF(AND($G3847=0,$G3846=1),MAX($K3846,$J3847*($H3847+1)/100/12),$K3846))))</f>
      </c>
      <c r="L3847" s="43">
        <f>IF($I3847=0,0,$J3847*$H3847/100/12)</f>
      </c>
      <c r="M3847" s="43">
        <f>IF($I3847=0,0,IF(OR(INDEX(DarlOhneTilgung,9)=1,AND(INDEX(DarlTilgStart,9)&gt;0,$E3847&lt;INDEX(DarlTilgStart,9))),0,MIN(MAX(0,$K3847-$L3847),$J3847)))</f>
      </c>
      <c r="N3847" s="43">
        <f>IF($I3847=0,0,MIN(SUMIFS(SondBetrag,SondDarl,9,SondDatum,"&gt;="&amp;$E3847,SondDatum,"&lt;="&amp;EOMONTH($E3847,0)),$J3847-$M3847))</f>
      </c>
      <c r="O3847" s="43">
        <f>IF($I3847=0,0,INDEX(DarlErsatzRate,9))</f>
      </c>
      <c r="P3847" s="43">
        <f>IF($I3847=0,0,$Q3846*INDEX(DarlErsatzZins,9))</f>
      </c>
      <c r="Q3847" s="43">
        <f>IF($I3847=0,0,$Q3846+$P3847+$O3847)</f>
      </c>
      <c r="R3847" s="43">
        <f>IF($I3847=0,0,$J3847-$M3847-$N3847)</f>
      </c>
    </row>
    <row r="3848">
      <c r="A3848"/>
      <c r="B3848">
        <v>9</v>
      </c>
      <c r="C3848" s="43">
        <f>INDEX(DarlObj,9)</f>
      </c>
      <c r="D3848">
        <v>5</v>
      </c>
      <c r="E3848" s="51">
        <f>IF(INDEX(DarlBelegt,9)=0,0,EOMONTH(INDEX(DarlAuszahlung,9),4)+1)</f>
      </c>
      <c r="F3848" s="43">
        <f>IF($E3848=0,0,YEAR($E3848))</f>
      </c>
      <c r="G3848" s="43">
        <f>IF(INDEX(DarlBindung,9)="",1,IF($E3848&lt;=INDEX(DarlBindung,9),1,0))</f>
      </c>
      <c r="H3848" s="43">
        <f>IF($G3848=1,INDEX(DarlSollzins,9),INDEX(DarlAnschluss,9))</f>
      </c>
      <c r="I3848" s="43">
        <f>IF(INDEX(DarlBelegt,9)=0,0,IF(INDEX(DarlOhneTilgung,9)=1,IF(INDEX(DarlBindung,9)="",1,$G3848),IF($J3848&gt;0.005,1,0)))</f>
      </c>
      <c r="J3848" s="43">
        <f>IF($I3847=0,0,$R3847)</f>
      </c>
      <c r="K3848" s="43">
        <f>IF($I3848=0,0,IF(INDEX(DarlOhneTilgung,9)=1,0,IF(AND(INDEX(DarlTilgStart,9)&gt;0,$E3848=INDEX(DarlTilgStart,9)),$J3848*($H3848+INDEX(DarlTilgung,9))/100/12,IF(AND($G3848=0,$G3847=1),MAX($K3847,$J3848*($H3848+1)/100/12),$K3847))))</f>
      </c>
      <c r="L3848" s="43">
        <f>IF($I3848=0,0,$J3848*$H3848/100/12)</f>
      </c>
      <c r="M3848" s="43">
        <f>IF($I3848=0,0,IF(OR(INDEX(DarlOhneTilgung,9)=1,AND(INDEX(DarlTilgStart,9)&gt;0,$E3848&lt;INDEX(DarlTilgStart,9))),0,MIN(MAX(0,$K3848-$L3848),$J3848)))</f>
      </c>
      <c r="N3848" s="43">
        <f>IF($I3848=0,0,MIN(SUMIFS(SondBetrag,SondDarl,9,SondDatum,"&gt;="&amp;$E3848,SondDatum,"&lt;="&amp;EOMONTH($E3848,0)),$J3848-$M3848))</f>
      </c>
      <c r="O3848" s="43">
        <f>IF($I3848=0,0,INDEX(DarlErsatzRate,9))</f>
      </c>
      <c r="P3848" s="43">
        <f>IF($I3848=0,0,$Q3847*INDEX(DarlErsatzZins,9))</f>
      </c>
      <c r="Q3848" s="43">
        <f>IF($I3848=0,0,$Q3847+$P3848+$O3848)</f>
      </c>
      <c r="R3848" s="43">
        <f>IF($I3848=0,0,$J3848-$M3848-$N3848)</f>
      </c>
    </row>
    <row r="3849">
      <c r="A3849"/>
      <c r="B3849">
        <v>9</v>
      </c>
      <c r="C3849" s="43">
        <f>INDEX(DarlObj,9)</f>
      </c>
      <c r="D3849">
        <v>6</v>
      </c>
      <c r="E3849" s="51">
        <f>IF(INDEX(DarlBelegt,9)=0,0,EOMONTH(INDEX(DarlAuszahlung,9),5)+1)</f>
      </c>
      <c r="F3849" s="43">
        <f>IF($E3849=0,0,YEAR($E3849))</f>
      </c>
      <c r="G3849" s="43">
        <f>IF(INDEX(DarlBindung,9)="",1,IF($E3849&lt;=INDEX(DarlBindung,9),1,0))</f>
      </c>
      <c r="H3849" s="43">
        <f>IF($G3849=1,INDEX(DarlSollzins,9),INDEX(DarlAnschluss,9))</f>
      </c>
      <c r="I3849" s="43">
        <f>IF(INDEX(DarlBelegt,9)=0,0,IF(INDEX(DarlOhneTilgung,9)=1,IF(INDEX(DarlBindung,9)="",1,$G3849),IF($J3849&gt;0.005,1,0)))</f>
      </c>
      <c r="J3849" s="43">
        <f>IF($I3848=0,0,$R3848)</f>
      </c>
      <c r="K3849" s="43">
        <f>IF($I3849=0,0,IF(INDEX(DarlOhneTilgung,9)=1,0,IF(AND(INDEX(DarlTilgStart,9)&gt;0,$E3849=INDEX(DarlTilgStart,9)),$J3849*($H3849+INDEX(DarlTilgung,9))/100/12,IF(AND($G3849=0,$G3848=1),MAX($K3848,$J3849*($H3849+1)/100/12),$K3848))))</f>
      </c>
      <c r="L3849" s="43">
        <f>IF($I3849=0,0,$J3849*$H3849/100/12)</f>
      </c>
      <c r="M3849" s="43">
        <f>IF($I3849=0,0,IF(OR(INDEX(DarlOhneTilgung,9)=1,AND(INDEX(DarlTilgStart,9)&gt;0,$E3849&lt;INDEX(DarlTilgStart,9))),0,MIN(MAX(0,$K3849-$L3849),$J3849)))</f>
      </c>
      <c r="N3849" s="43">
        <f>IF($I3849=0,0,MIN(SUMIFS(SondBetrag,SondDarl,9,SondDatum,"&gt;="&amp;$E3849,SondDatum,"&lt;="&amp;EOMONTH($E3849,0)),$J3849-$M3849))</f>
      </c>
      <c r="O3849" s="43">
        <f>IF($I3849=0,0,INDEX(DarlErsatzRate,9))</f>
      </c>
      <c r="P3849" s="43">
        <f>IF($I3849=0,0,$Q3848*INDEX(DarlErsatzZins,9))</f>
      </c>
      <c r="Q3849" s="43">
        <f>IF($I3849=0,0,$Q3848+$P3849+$O3849)</f>
      </c>
      <c r="R3849" s="43">
        <f>IF($I3849=0,0,$J3849-$M3849-$N3849)</f>
      </c>
    </row>
    <row r="3850">
      <c r="A3850"/>
      <c r="B3850">
        <v>9</v>
      </c>
      <c r="C3850" s="43">
        <f>INDEX(DarlObj,9)</f>
      </c>
      <c r="D3850">
        <v>7</v>
      </c>
      <c r="E3850" s="51">
        <f>IF(INDEX(DarlBelegt,9)=0,0,EOMONTH(INDEX(DarlAuszahlung,9),6)+1)</f>
      </c>
      <c r="F3850" s="43">
        <f>IF($E3850=0,0,YEAR($E3850))</f>
      </c>
      <c r="G3850" s="43">
        <f>IF(INDEX(DarlBindung,9)="",1,IF($E3850&lt;=INDEX(DarlBindung,9),1,0))</f>
      </c>
      <c r="H3850" s="43">
        <f>IF($G3850=1,INDEX(DarlSollzins,9),INDEX(DarlAnschluss,9))</f>
      </c>
      <c r="I3850" s="43">
        <f>IF(INDEX(DarlBelegt,9)=0,0,IF(INDEX(DarlOhneTilgung,9)=1,IF(INDEX(DarlBindung,9)="",1,$G3850),IF($J3850&gt;0.005,1,0)))</f>
      </c>
      <c r="J3850" s="43">
        <f>IF($I3849=0,0,$R3849)</f>
      </c>
      <c r="K3850" s="43">
        <f>IF($I3850=0,0,IF(INDEX(DarlOhneTilgung,9)=1,0,IF(AND(INDEX(DarlTilgStart,9)&gt;0,$E3850=INDEX(DarlTilgStart,9)),$J3850*($H3850+INDEX(DarlTilgung,9))/100/12,IF(AND($G3850=0,$G3849=1),MAX($K3849,$J3850*($H3850+1)/100/12),$K3849))))</f>
      </c>
      <c r="L3850" s="43">
        <f>IF($I3850=0,0,$J3850*$H3850/100/12)</f>
      </c>
      <c r="M3850" s="43">
        <f>IF($I3850=0,0,IF(OR(INDEX(DarlOhneTilgung,9)=1,AND(INDEX(DarlTilgStart,9)&gt;0,$E3850&lt;INDEX(DarlTilgStart,9))),0,MIN(MAX(0,$K3850-$L3850),$J3850)))</f>
      </c>
      <c r="N3850" s="43">
        <f>IF($I3850=0,0,MIN(SUMIFS(SondBetrag,SondDarl,9,SondDatum,"&gt;="&amp;$E3850,SondDatum,"&lt;="&amp;EOMONTH($E3850,0)),$J3850-$M3850))</f>
      </c>
      <c r="O3850" s="43">
        <f>IF($I3850=0,0,INDEX(DarlErsatzRate,9))</f>
      </c>
      <c r="P3850" s="43">
        <f>IF($I3850=0,0,$Q3849*INDEX(DarlErsatzZins,9))</f>
      </c>
      <c r="Q3850" s="43">
        <f>IF($I3850=0,0,$Q3849+$P3850+$O3850)</f>
      </c>
      <c r="R3850" s="43">
        <f>IF($I3850=0,0,$J3850-$M3850-$N3850)</f>
      </c>
    </row>
    <row r="3851">
      <c r="A3851"/>
      <c r="B3851">
        <v>9</v>
      </c>
      <c r="C3851" s="43">
        <f>INDEX(DarlObj,9)</f>
      </c>
      <c r="D3851">
        <v>8</v>
      </c>
      <c r="E3851" s="51">
        <f>IF(INDEX(DarlBelegt,9)=0,0,EOMONTH(INDEX(DarlAuszahlung,9),7)+1)</f>
      </c>
      <c r="F3851" s="43">
        <f>IF($E3851=0,0,YEAR($E3851))</f>
      </c>
      <c r="G3851" s="43">
        <f>IF(INDEX(DarlBindung,9)="",1,IF($E3851&lt;=INDEX(DarlBindung,9),1,0))</f>
      </c>
      <c r="H3851" s="43">
        <f>IF($G3851=1,INDEX(DarlSollzins,9),INDEX(DarlAnschluss,9))</f>
      </c>
      <c r="I3851" s="43">
        <f>IF(INDEX(DarlBelegt,9)=0,0,IF(INDEX(DarlOhneTilgung,9)=1,IF(INDEX(DarlBindung,9)="",1,$G3851),IF($J3851&gt;0.005,1,0)))</f>
      </c>
      <c r="J3851" s="43">
        <f>IF($I3850=0,0,$R3850)</f>
      </c>
      <c r="K3851" s="43">
        <f>IF($I3851=0,0,IF(INDEX(DarlOhneTilgung,9)=1,0,IF(AND(INDEX(DarlTilgStart,9)&gt;0,$E3851=INDEX(DarlTilgStart,9)),$J3851*($H3851+INDEX(DarlTilgung,9))/100/12,IF(AND($G3851=0,$G3850=1),MAX($K3850,$J3851*($H3851+1)/100/12),$K3850))))</f>
      </c>
      <c r="L3851" s="43">
        <f>IF($I3851=0,0,$J3851*$H3851/100/12)</f>
      </c>
      <c r="M3851" s="43">
        <f>IF($I3851=0,0,IF(OR(INDEX(DarlOhneTilgung,9)=1,AND(INDEX(DarlTilgStart,9)&gt;0,$E3851&lt;INDEX(DarlTilgStart,9))),0,MIN(MAX(0,$K3851-$L3851),$J3851)))</f>
      </c>
      <c r="N3851" s="43">
        <f>IF($I3851=0,0,MIN(SUMIFS(SondBetrag,SondDarl,9,SondDatum,"&gt;="&amp;$E3851,SondDatum,"&lt;="&amp;EOMONTH($E3851,0)),$J3851-$M3851))</f>
      </c>
      <c r="O3851" s="43">
        <f>IF($I3851=0,0,INDEX(DarlErsatzRate,9))</f>
      </c>
      <c r="P3851" s="43">
        <f>IF($I3851=0,0,$Q3850*INDEX(DarlErsatzZins,9))</f>
      </c>
      <c r="Q3851" s="43">
        <f>IF($I3851=0,0,$Q3850+$P3851+$O3851)</f>
      </c>
      <c r="R3851" s="43">
        <f>IF($I3851=0,0,$J3851-$M3851-$N3851)</f>
      </c>
    </row>
    <row r="3852">
      <c r="A3852"/>
      <c r="B3852">
        <v>9</v>
      </c>
      <c r="C3852" s="43">
        <f>INDEX(DarlObj,9)</f>
      </c>
      <c r="D3852">
        <v>9</v>
      </c>
      <c r="E3852" s="51">
        <f>IF(INDEX(DarlBelegt,9)=0,0,EOMONTH(INDEX(DarlAuszahlung,9),8)+1)</f>
      </c>
      <c r="F3852" s="43">
        <f>IF($E3852=0,0,YEAR($E3852))</f>
      </c>
      <c r="G3852" s="43">
        <f>IF(INDEX(DarlBindung,9)="",1,IF($E3852&lt;=INDEX(DarlBindung,9),1,0))</f>
      </c>
      <c r="H3852" s="43">
        <f>IF($G3852=1,INDEX(DarlSollzins,9),INDEX(DarlAnschluss,9))</f>
      </c>
      <c r="I3852" s="43">
        <f>IF(INDEX(DarlBelegt,9)=0,0,IF(INDEX(DarlOhneTilgung,9)=1,IF(INDEX(DarlBindung,9)="",1,$G3852),IF($J3852&gt;0.005,1,0)))</f>
      </c>
      <c r="J3852" s="43">
        <f>IF($I3851=0,0,$R3851)</f>
      </c>
      <c r="K3852" s="43">
        <f>IF($I3852=0,0,IF(INDEX(DarlOhneTilgung,9)=1,0,IF(AND(INDEX(DarlTilgStart,9)&gt;0,$E3852=INDEX(DarlTilgStart,9)),$J3852*($H3852+INDEX(DarlTilgung,9))/100/12,IF(AND($G3852=0,$G3851=1),MAX($K3851,$J3852*($H3852+1)/100/12),$K3851))))</f>
      </c>
      <c r="L3852" s="43">
        <f>IF($I3852=0,0,$J3852*$H3852/100/12)</f>
      </c>
      <c r="M3852" s="43">
        <f>IF($I3852=0,0,IF(OR(INDEX(DarlOhneTilgung,9)=1,AND(INDEX(DarlTilgStart,9)&gt;0,$E3852&lt;INDEX(DarlTilgStart,9))),0,MIN(MAX(0,$K3852-$L3852),$J3852)))</f>
      </c>
      <c r="N3852" s="43">
        <f>IF($I3852=0,0,MIN(SUMIFS(SondBetrag,SondDarl,9,SondDatum,"&gt;="&amp;$E3852,SondDatum,"&lt;="&amp;EOMONTH($E3852,0)),$J3852-$M3852))</f>
      </c>
      <c r="O3852" s="43">
        <f>IF($I3852=0,0,INDEX(DarlErsatzRate,9))</f>
      </c>
      <c r="P3852" s="43">
        <f>IF($I3852=0,0,$Q3851*INDEX(DarlErsatzZins,9))</f>
      </c>
      <c r="Q3852" s="43">
        <f>IF($I3852=0,0,$Q3851+$P3852+$O3852)</f>
      </c>
      <c r="R3852" s="43">
        <f>IF($I3852=0,0,$J3852-$M3852-$N3852)</f>
      </c>
    </row>
    <row r="3853">
      <c r="A3853"/>
      <c r="B3853">
        <v>9</v>
      </c>
      <c r="C3853" s="43">
        <f>INDEX(DarlObj,9)</f>
      </c>
      <c r="D3853">
        <v>10</v>
      </c>
      <c r="E3853" s="51">
        <f>IF(INDEX(DarlBelegt,9)=0,0,EOMONTH(INDEX(DarlAuszahlung,9),9)+1)</f>
      </c>
      <c r="F3853" s="43">
        <f>IF($E3853=0,0,YEAR($E3853))</f>
      </c>
      <c r="G3853" s="43">
        <f>IF(INDEX(DarlBindung,9)="",1,IF($E3853&lt;=INDEX(DarlBindung,9),1,0))</f>
      </c>
      <c r="H3853" s="43">
        <f>IF($G3853=1,INDEX(DarlSollzins,9),INDEX(DarlAnschluss,9))</f>
      </c>
      <c r="I3853" s="43">
        <f>IF(INDEX(DarlBelegt,9)=0,0,IF(INDEX(DarlOhneTilgung,9)=1,IF(INDEX(DarlBindung,9)="",1,$G3853),IF($J3853&gt;0.005,1,0)))</f>
      </c>
      <c r="J3853" s="43">
        <f>IF($I3852=0,0,$R3852)</f>
      </c>
      <c r="K3853" s="43">
        <f>IF($I3853=0,0,IF(INDEX(DarlOhneTilgung,9)=1,0,IF(AND(INDEX(DarlTilgStart,9)&gt;0,$E3853=INDEX(DarlTilgStart,9)),$J3853*($H3853+INDEX(DarlTilgung,9))/100/12,IF(AND($G3853=0,$G3852=1),MAX($K3852,$J3853*($H3853+1)/100/12),$K3852))))</f>
      </c>
      <c r="L3853" s="43">
        <f>IF($I3853=0,0,$J3853*$H3853/100/12)</f>
      </c>
      <c r="M3853" s="43">
        <f>IF($I3853=0,0,IF(OR(INDEX(DarlOhneTilgung,9)=1,AND(INDEX(DarlTilgStart,9)&gt;0,$E3853&lt;INDEX(DarlTilgStart,9))),0,MIN(MAX(0,$K3853-$L3853),$J3853)))</f>
      </c>
      <c r="N3853" s="43">
        <f>IF($I3853=0,0,MIN(SUMIFS(SondBetrag,SondDarl,9,SondDatum,"&gt;="&amp;$E3853,SondDatum,"&lt;="&amp;EOMONTH($E3853,0)),$J3853-$M3853))</f>
      </c>
      <c r="O3853" s="43">
        <f>IF($I3853=0,0,INDEX(DarlErsatzRate,9))</f>
      </c>
      <c r="P3853" s="43">
        <f>IF($I3853=0,0,$Q3852*INDEX(DarlErsatzZins,9))</f>
      </c>
      <c r="Q3853" s="43">
        <f>IF($I3853=0,0,$Q3852+$P3853+$O3853)</f>
      </c>
      <c r="R3853" s="43">
        <f>IF($I3853=0,0,$J3853-$M3853-$N3853)</f>
      </c>
    </row>
    <row r="3854">
      <c r="A3854"/>
      <c r="B3854">
        <v>9</v>
      </c>
      <c r="C3854" s="43">
        <f>INDEX(DarlObj,9)</f>
      </c>
      <c r="D3854">
        <v>11</v>
      </c>
      <c r="E3854" s="51">
        <f>IF(INDEX(DarlBelegt,9)=0,0,EOMONTH(INDEX(DarlAuszahlung,9),10)+1)</f>
      </c>
      <c r="F3854" s="43">
        <f>IF($E3854=0,0,YEAR($E3854))</f>
      </c>
      <c r="G3854" s="43">
        <f>IF(INDEX(DarlBindung,9)="",1,IF($E3854&lt;=INDEX(DarlBindung,9),1,0))</f>
      </c>
      <c r="H3854" s="43">
        <f>IF($G3854=1,INDEX(DarlSollzins,9),INDEX(DarlAnschluss,9))</f>
      </c>
      <c r="I3854" s="43">
        <f>IF(INDEX(DarlBelegt,9)=0,0,IF(INDEX(DarlOhneTilgung,9)=1,IF(INDEX(DarlBindung,9)="",1,$G3854),IF($J3854&gt;0.005,1,0)))</f>
      </c>
      <c r="J3854" s="43">
        <f>IF($I3853=0,0,$R3853)</f>
      </c>
      <c r="K3854" s="43">
        <f>IF($I3854=0,0,IF(INDEX(DarlOhneTilgung,9)=1,0,IF(AND(INDEX(DarlTilgStart,9)&gt;0,$E3854=INDEX(DarlTilgStart,9)),$J3854*($H3854+INDEX(DarlTilgung,9))/100/12,IF(AND($G3854=0,$G3853=1),MAX($K3853,$J3854*($H3854+1)/100/12),$K3853))))</f>
      </c>
      <c r="L3854" s="43">
        <f>IF($I3854=0,0,$J3854*$H3854/100/12)</f>
      </c>
      <c r="M3854" s="43">
        <f>IF($I3854=0,0,IF(OR(INDEX(DarlOhneTilgung,9)=1,AND(INDEX(DarlTilgStart,9)&gt;0,$E3854&lt;INDEX(DarlTilgStart,9))),0,MIN(MAX(0,$K3854-$L3854),$J3854)))</f>
      </c>
      <c r="N3854" s="43">
        <f>IF($I3854=0,0,MIN(SUMIFS(SondBetrag,SondDarl,9,SondDatum,"&gt;="&amp;$E3854,SondDatum,"&lt;="&amp;EOMONTH($E3854,0)),$J3854-$M3854))</f>
      </c>
      <c r="O3854" s="43">
        <f>IF($I3854=0,0,INDEX(DarlErsatzRate,9))</f>
      </c>
      <c r="P3854" s="43">
        <f>IF($I3854=0,0,$Q3853*INDEX(DarlErsatzZins,9))</f>
      </c>
      <c r="Q3854" s="43">
        <f>IF($I3854=0,0,$Q3853+$P3854+$O3854)</f>
      </c>
      <c r="R3854" s="43">
        <f>IF($I3854=0,0,$J3854-$M3854-$N3854)</f>
      </c>
    </row>
    <row r="3855">
      <c r="A3855"/>
      <c r="B3855">
        <v>9</v>
      </c>
      <c r="C3855" s="43">
        <f>INDEX(DarlObj,9)</f>
      </c>
      <c r="D3855">
        <v>12</v>
      </c>
      <c r="E3855" s="51">
        <f>IF(INDEX(DarlBelegt,9)=0,0,EOMONTH(INDEX(DarlAuszahlung,9),11)+1)</f>
      </c>
      <c r="F3855" s="43">
        <f>IF($E3855=0,0,YEAR($E3855))</f>
      </c>
      <c r="G3855" s="43">
        <f>IF(INDEX(DarlBindung,9)="",1,IF($E3855&lt;=INDEX(DarlBindung,9),1,0))</f>
      </c>
      <c r="H3855" s="43">
        <f>IF($G3855=1,INDEX(DarlSollzins,9),INDEX(DarlAnschluss,9))</f>
      </c>
      <c r="I3855" s="43">
        <f>IF(INDEX(DarlBelegt,9)=0,0,IF(INDEX(DarlOhneTilgung,9)=1,IF(INDEX(DarlBindung,9)="",1,$G3855),IF($J3855&gt;0.005,1,0)))</f>
      </c>
      <c r="J3855" s="43">
        <f>IF($I3854=0,0,$R3854)</f>
      </c>
      <c r="K3855" s="43">
        <f>IF($I3855=0,0,IF(INDEX(DarlOhneTilgung,9)=1,0,IF(AND(INDEX(DarlTilgStart,9)&gt;0,$E3855=INDEX(DarlTilgStart,9)),$J3855*($H3855+INDEX(DarlTilgung,9))/100/12,IF(AND($G3855=0,$G3854=1),MAX($K3854,$J3855*($H3855+1)/100/12),$K3854))))</f>
      </c>
      <c r="L3855" s="43">
        <f>IF($I3855=0,0,$J3855*$H3855/100/12)</f>
      </c>
      <c r="M3855" s="43">
        <f>IF($I3855=0,0,IF(OR(INDEX(DarlOhneTilgung,9)=1,AND(INDEX(DarlTilgStart,9)&gt;0,$E3855&lt;INDEX(DarlTilgStart,9))),0,MIN(MAX(0,$K3855-$L3855),$J3855)))</f>
      </c>
      <c r="N3855" s="43">
        <f>IF($I3855=0,0,MIN(SUMIFS(SondBetrag,SondDarl,9,SondDatum,"&gt;="&amp;$E3855,SondDatum,"&lt;="&amp;EOMONTH($E3855,0)),$J3855-$M3855))</f>
      </c>
      <c r="O3855" s="43">
        <f>IF($I3855=0,0,INDEX(DarlErsatzRate,9))</f>
      </c>
      <c r="P3855" s="43">
        <f>IF($I3855=0,0,$Q3854*INDEX(DarlErsatzZins,9))</f>
      </c>
      <c r="Q3855" s="43">
        <f>IF($I3855=0,0,$Q3854+$P3855+$O3855)</f>
      </c>
      <c r="R3855" s="43">
        <f>IF($I3855=0,0,$J3855-$M3855-$N3855)</f>
      </c>
    </row>
    <row r="3856">
      <c r="A3856"/>
      <c r="B3856">
        <v>9</v>
      </c>
      <c r="C3856" s="43">
        <f>INDEX(DarlObj,9)</f>
      </c>
      <c r="D3856">
        <v>13</v>
      </c>
      <c r="E3856" s="51">
        <f>IF(INDEX(DarlBelegt,9)=0,0,EOMONTH(INDEX(DarlAuszahlung,9),12)+1)</f>
      </c>
      <c r="F3856" s="43">
        <f>IF($E3856=0,0,YEAR($E3856))</f>
      </c>
      <c r="G3856" s="43">
        <f>IF(INDEX(DarlBindung,9)="",1,IF($E3856&lt;=INDEX(DarlBindung,9),1,0))</f>
      </c>
      <c r="H3856" s="43">
        <f>IF($G3856=1,INDEX(DarlSollzins,9),INDEX(DarlAnschluss,9))</f>
      </c>
      <c r="I3856" s="43">
        <f>IF(INDEX(DarlBelegt,9)=0,0,IF(INDEX(DarlOhneTilgung,9)=1,IF(INDEX(DarlBindung,9)="",1,$G3856),IF($J3856&gt;0.005,1,0)))</f>
      </c>
      <c r="J3856" s="43">
        <f>IF($I3855=0,0,$R3855)</f>
      </c>
      <c r="K3856" s="43">
        <f>IF($I3856=0,0,IF(INDEX(DarlOhneTilgung,9)=1,0,IF(AND(INDEX(DarlTilgStart,9)&gt;0,$E3856=INDEX(DarlTilgStart,9)),$J3856*($H3856+INDEX(DarlTilgung,9))/100/12,IF(AND($G3856=0,$G3855=1),MAX($K3855,$J3856*($H3856+1)/100/12),$K3855))))</f>
      </c>
      <c r="L3856" s="43">
        <f>IF($I3856=0,0,$J3856*$H3856/100/12)</f>
      </c>
      <c r="M3856" s="43">
        <f>IF($I3856=0,0,IF(OR(INDEX(DarlOhneTilgung,9)=1,AND(INDEX(DarlTilgStart,9)&gt;0,$E3856&lt;INDEX(DarlTilgStart,9))),0,MIN(MAX(0,$K3856-$L3856),$J3856)))</f>
      </c>
      <c r="N3856" s="43">
        <f>IF($I3856=0,0,MIN(SUMIFS(SondBetrag,SondDarl,9,SondDatum,"&gt;="&amp;$E3856,SondDatum,"&lt;="&amp;EOMONTH($E3856,0)),$J3856-$M3856))</f>
      </c>
      <c r="O3856" s="43">
        <f>IF($I3856=0,0,INDEX(DarlErsatzRate,9))</f>
      </c>
      <c r="P3856" s="43">
        <f>IF($I3856=0,0,$Q3855*INDEX(DarlErsatzZins,9))</f>
      </c>
      <c r="Q3856" s="43">
        <f>IF($I3856=0,0,$Q3855+$P3856+$O3856)</f>
      </c>
      <c r="R3856" s="43">
        <f>IF($I3856=0,0,$J3856-$M3856-$N3856)</f>
      </c>
    </row>
    <row r="3857">
      <c r="A3857"/>
      <c r="B3857">
        <v>9</v>
      </c>
      <c r="C3857" s="43">
        <f>INDEX(DarlObj,9)</f>
      </c>
      <c r="D3857">
        <v>14</v>
      </c>
      <c r="E3857" s="51">
        <f>IF(INDEX(DarlBelegt,9)=0,0,EOMONTH(INDEX(DarlAuszahlung,9),13)+1)</f>
      </c>
      <c r="F3857" s="43">
        <f>IF($E3857=0,0,YEAR($E3857))</f>
      </c>
      <c r="G3857" s="43">
        <f>IF(INDEX(DarlBindung,9)="",1,IF($E3857&lt;=INDEX(DarlBindung,9),1,0))</f>
      </c>
      <c r="H3857" s="43">
        <f>IF($G3857=1,INDEX(DarlSollzins,9),INDEX(DarlAnschluss,9))</f>
      </c>
      <c r="I3857" s="43">
        <f>IF(INDEX(DarlBelegt,9)=0,0,IF(INDEX(DarlOhneTilgung,9)=1,IF(INDEX(DarlBindung,9)="",1,$G3857),IF($J3857&gt;0.005,1,0)))</f>
      </c>
      <c r="J3857" s="43">
        <f>IF($I3856=0,0,$R3856)</f>
      </c>
      <c r="K3857" s="43">
        <f>IF($I3857=0,0,IF(INDEX(DarlOhneTilgung,9)=1,0,IF(AND(INDEX(DarlTilgStart,9)&gt;0,$E3857=INDEX(DarlTilgStart,9)),$J3857*($H3857+INDEX(DarlTilgung,9))/100/12,IF(AND($G3857=0,$G3856=1),MAX($K3856,$J3857*($H3857+1)/100/12),$K3856))))</f>
      </c>
      <c r="L3857" s="43">
        <f>IF($I3857=0,0,$J3857*$H3857/100/12)</f>
      </c>
      <c r="M3857" s="43">
        <f>IF($I3857=0,0,IF(OR(INDEX(DarlOhneTilgung,9)=1,AND(INDEX(DarlTilgStart,9)&gt;0,$E3857&lt;INDEX(DarlTilgStart,9))),0,MIN(MAX(0,$K3857-$L3857),$J3857)))</f>
      </c>
      <c r="N3857" s="43">
        <f>IF($I3857=0,0,MIN(SUMIFS(SondBetrag,SondDarl,9,SondDatum,"&gt;="&amp;$E3857,SondDatum,"&lt;="&amp;EOMONTH($E3857,0)),$J3857-$M3857))</f>
      </c>
      <c r="O3857" s="43">
        <f>IF($I3857=0,0,INDEX(DarlErsatzRate,9))</f>
      </c>
      <c r="P3857" s="43">
        <f>IF($I3857=0,0,$Q3856*INDEX(DarlErsatzZins,9))</f>
      </c>
      <c r="Q3857" s="43">
        <f>IF($I3857=0,0,$Q3856+$P3857+$O3857)</f>
      </c>
      <c r="R3857" s="43">
        <f>IF($I3857=0,0,$J3857-$M3857-$N3857)</f>
      </c>
    </row>
    <row r="3858">
      <c r="A3858"/>
      <c r="B3858">
        <v>9</v>
      </c>
      <c r="C3858" s="43">
        <f>INDEX(DarlObj,9)</f>
      </c>
      <c r="D3858">
        <v>15</v>
      </c>
      <c r="E3858" s="51">
        <f>IF(INDEX(DarlBelegt,9)=0,0,EOMONTH(INDEX(DarlAuszahlung,9),14)+1)</f>
      </c>
      <c r="F3858" s="43">
        <f>IF($E3858=0,0,YEAR($E3858))</f>
      </c>
      <c r="G3858" s="43">
        <f>IF(INDEX(DarlBindung,9)="",1,IF($E3858&lt;=INDEX(DarlBindung,9),1,0))</f>
      </c>
      <c r="H3858" s="43">
        <f>IF($G3858=1,INDEX(DarlSollzins,9),INDEX(DarlAnschluss,9))</f>
      </c>
      <c r="I3858" s="43">
        <f>IF(INDEX(DarlBelegt,9)=0,0,IF(INDEX(DarlOhneTilgung,9)=1,IF(INDEX(DarlBindung,9)="",1,$G3858),IF($J3858&gt;0.005,1,0)))</f>
      </c>
      <c r="J3858" s="43">
        <f>IF($I3857=0,0,$R3857)</f>
      </c>
      <c r="K3858" s="43">
        <f>IF($I3858=0,0,IF(INDEX(DarlOhneTilgung,9)=1,0,IF(AND(INDEX(DarlTilgStart,9)&gt;0,$E3858=INDEX(DarlTilgStart,9)),$J3858*($H3858+INDEX(DarlTilgung,9))/100/12,IF(AND($G3858=0,$G3857=1),MAX($K3857,$J3858*($H3858+1)/100/12),$K3857))))</f>
      </c>
      <c r="L3858" s="43">
        <f>IF($I3858=0,0,$J3858*$H3858/100/12)</f>
      </c>
      <c r="M3858" s="43">
        <f>IF($I3858=0,0,IF(OR(INDEX(DarlOhneTilgung,9)=1,AND(INDEX(DarlTilgStart,9)&gt;0,$E3858&lt;INDEX(DarlTilgStart,9))),0,MIN(MAX(0,$K3858-$L3858),$J3858)))</f>
      </c>
      <c r="N3858" s="43">
        <f>IF($I3858=0,0,MIN(SUMIFS(SondBetrag,SondDarl,9,SondDatum,"&gt;="&amp;$E3858,SondDatum,"&lt;="&amp;EOMONTH($E3858,0)),$J3858-$M3858))</f>
      </c>
      <c r="O3858" s="43">
        <f>IF($I3858=0,0,INDEX(DarlErsatzRate,9))</f>
      </c>
      <c r="P3858" s="43">
        <f>IF($I3858=0,0,$Q3857*INDEX(DarlErsatzZins,9))</f>
      </c>
      <c r="Q3858" s="43">
        <f>IF($I3858=0,0,$Q3857+$P3858+$O3858)</f>
      </c>
      <c r="R3858" s="43">
        <f>IF($I3858=0,0,$J3858-$M3858-$N3858)</f>
      </c>
    </row>
    <row r="3859">
      <c r="A3859"/>
      <c r="B3859">
        <v>9</v>
      </c>
      <c r="C3859" s="43">
        <f>INDEX(DarlObj,9)</f>
      </c>
      <c r="D3859">
        <v>16</v>
      </c>
      <c r="E3859" s="51">
        <f>IF(INDEX(DarlBelegt,9)=0,0,EOMONTH(INDEX(DarlAuszahlung,9),15)+1)</f>
      </c>
      <c r="F3859" s="43">
        <f>IF($E3859=0,0,YEAR($E3859))</f>
      </c>
      <c r="G3859" s="43">
        <f>IF(INDEX(DarlBindung,9)="",1,IF($E3859&lt;=INDEX(DarlBindung,9),1,0))</f>
      </c>
      <c r="H3859" s="43">
        <f>IF($G3859=1,INDEX(DarlSollzins,9),INDEX(DarlAnschluss,9))</f>
      </c>
      <c r="I3859" s="43">
        <f>IF(INDEX(DarlBelegt,9)=0,0,IF(INDEX(DarlOhneTilgung,9)=1,IF(INDEX(DarlBindung,9)="",1,$G3859),IF($J3859&gt;0.005,1,0)))</f>
      </c>
      <c r="J3859" s="43">
        <f>IF($I3858=0,0,$R3858)</f>
      </c>
      <c r="K3859" s="43">
        <f>IF($I3859=0,0,IF(INDEX(DarlOhneTilgung,9)=1,0,IF(AND(INDEX(DarlTilgStart,9)&gt;0,$E3859=INDEX(DarlTilgStart,9)),$J3859*($H3859+INDEX(DarlTilgung,9))/100/12,IF(AND($G3859=0,$G3858=1),MAX($K3858,$J3859*($H3859+1)/100/12),$K3858))))</f>
      </c>
      <c r="L3859" s="43">
        <f>IF($I3859=0,0,$J3859*$H3859/100/12)</f>
      </c>
      <c r="M3859" s="43">
        <f>IF($I3859=0,0,IF(OR(INDEX(DarlOhneTilgung,9)=1,AND(INDEX(DarlTilgStart,9)&gt;0,$E3859&lt;INDEX(DarlTilgStart,9))),0,MIN(MAX(0,$K3859-$L3859),$J3859)))</f>
      </c>
      <c r="N3859" s="43">
        <f>IF($I3859=0,0,MIN(SUMIFS(SondBetrag,SondDarl,9,SondDatum,"&gt;="&amp;$E3859,SondDatum,"&lt;="&amp;EOMONTH($E3859,0)),$J3859-$M3859))</f>
      </c>
      <c r="O3859" s="43">
        <f>IF($I3859=0,0,INDEX(DarlErsatzRate,9))</f>
      </c>
      <c r="P3859" s="43">
        <f>IF($I3859=0,0,$Q3858*INDEX(DarlErsatzZins,9))</f>
      </c>
      <c r="Q3859" s="43">
        <f>IF($I3859=0,0,$Q3858+$P3859+$O3859)</f>
      </c>
      <c r="R3859" s="43">
        <f>IF($I3859=0,0,$J3859-$M3859-$N3859)</f>
      </c>
    </row>
    <row r="3860">
      <c r="A3860"/>
      <c r="B3860">
        <v>9</v>
      </c>
      <c r="C3860" s="43">
        <f>INDEX(DarlObj,9)</f>
      </c>
      <c r="D3860">
        <v>17</v>
      </c>
      <c r="E3860" s="51">
        <f>IF(INDEX(DarlBelegt,9)=0,0,EOMONTH(INDEX(DarlAuszahlung,9),16)+1)</f>
      </c>
      <c r="F3860" s="43">
        <f>IF($E3860=0,0,YEAR($E3860))</f>
      </c>
      <c r="G3860" s="43">
        <f>IF(INDEX(DarlBindung,9)="",1,IF($E3860&lt;=INDEX(DarlBindung,9),1,0))</f>
      </c>
      <c r="H3860" s="43">
        <f>IF($G3860=1,INDEX(DarlSollzins,9),INDEX(DarlAnschluss,9))</f>
      </c>
      <c r="I3860" s="43">
        <f>IF(INDEX(DarlBelegt,9)=0,0,IF(INDEX(DarlOhneTilgung,9)=1,IF(INDEX(DarlBindung,9)="",1,$G3860),IF($J3860&gt;0.005,1,0)))</f>
      </c>
      <c r="J3860" s="43">
        <f>IF($I3859=0,0,$R3859)</f>
      </c>
      <c r="K3860" s="43">
        <f>IF($I3860=0,0,IF(INDEX(DarlOhneTilgung,9)=1,0,IF(AND(INDEX(DarlTilgStart,9)&gt;0,$E3860=INDEX(DarlTilgStart,9)),$J3860*($H3860+INDEX(DarlTilgung,9))/100/12,IF(AND($G3860=0,$G3859=1),MAX($K3859,$J3860*($H3860+1)/100/12),$K3859))))</f>
      </c>
      <c r="L3860" s="43">
        <f>IF($I3860=0,0,$J3860*$H3860/100/12)</f>
      </c>
      <c r="M3860" s="43">
        <f>IF($I3860=0,0,IF(OR(INDEX(DarlOhneTilgung,9)=1,AND(INDEX(DarlTilgStart,9)&gt;0,$E3860&lt;INDEX(DarlTilgStart,9))),0,MIN(MAX(0,$K3860-$L3860),$J3860)))</f>
      </c>
      <c r="N3860" s="43">
        <f>IF($I3860=0,0,MIN(SUMIFS(SondBetrag,SondDarl,9,SondDatum,"&gt;="&amp;$E3860,SondDatum,"&lt;="&amp;EOMONTH($E3860,0)),$J3860-$M3860))</f>
      </c>
      <c r="O3860" s="43">
        <f>IF($I3860=0,0,INDEX(DarlErsatzRate,9))</f>
      </c>
      <c r="P3860" s="43">
        <f>IF($I3860=0,0,$Q3859*INDEX(DarlErsatzZins,9))</f>
      </c>
      <c r="Q3860" s="43">
        <f>IF($I3860=0,0,$Q3859+$P3860+$O3860)</f>
      </c>
      <c r="R3860" s="43">
        <f>IF($I3860=0,0,$J3860-$M3860-$N3860)</f>
      </c>
    </row>
    <row r="3861">
      <c r="A3861"/>
      <c r="B3861">
        <v>9</v>
      </c>
      <c r="C3861" s="43">
        <f>INDEX(DarlObj,9)</f>
      </c>
      <c r="D3861">
        <v>18</v>
      </c>
      <c r="E3861" s="51">
        <f>IF(INDEX(DarlBelegt,9)=0,0,EOMONTH(INDEX(DarlAuszahlung,9),17)+1)</f>
      </c>
      <c r="F3861" s="43">
        <f>IF($E3861=0,0,YEAR($E3861))</f>
      </c>
      <c r="G3861" s="43">
        <f>IF(INDEX(DarlBindung,9)="",1,IF($E3861&lt;=INDEX(DarlBindung,9),1,0))</f>
      </c>
      <c r="H3861" s="43">
        <f>IF($G3861=1,INDEX(DarlSollzins,9),INDEX(DarlAnschluss,9))</f>
      </c>
      <c r="I3861" s="43">
        <f>IF(INDEX(DarlBelegt,9)=0,0,IF(INDEX(DarlOhneTilgung,9)=1,IF(INDEX(DarlBindung,9)="",1,$G3861),IF($J3861&gt;0.005,1,0)))</f>
      </c>
      <c r="J3861" s="43">
        <f>IF($I3860=0,0,$R3860)</f>
      </c>
      <c r="K3861" s="43">
        <f>IF($I3861=0,0,IF(INDEX(DarlOhneTilgung,9)=1,0,IF(AND(INDEX(DarlTilgStart,9)&gt;0,$E3861=INDEX(DarlTilgStart,9)),$J3861*($H3861+INDEX(DarlTilgung,9))/100/12,IF(AND($G3861=0,$G3860=1),MAX($K3860,$J3861*($H3861+1)/100/12),$K3860))))</f>
      </c>
      <c r="L3861" s="43">
        <f>IF($I3861=0,0,$J3861*$H3861/100/12)</f>
      </c>
      <c r="M3861" s="43">
        <f>IF($I3861=0,0,IF(OR(INDEX(DarlOhneTilgung,9)=1,AND(INDEX(DarlTilgStart,9)&gt;0,$E3861&lt;INDEX(DarlTilgStart,9))),0,MIN(MAX(0,$K3861-$L3861),$J3861)))</f>
      </c>
      <c r="N3861" s="43">
        <f>IF($I3861=0,0,MIN(SUMIFS(SondBetrag,SondDarl,9,SondDatum,"&gt;="&amp;$E3861,SondDatum,"&lt;="&amp;EOMONTH($E3861,0)),$J3861-$M3861))</f>
      </c>
      <c r="O3861" s="43">
        <f>IF($I3861=0,0,INDEX(DarlErsatzRate,9))</f>
      </c>
      <c r="P3861" s="43">
        <f>IF($I3861=0,0,$Q3860*INDEX(DarlErsatzZins,9))</f>
      </c>
      <c r="Q3861" s="43">
        <f>IF($I3861=0,0,$Q3860+$P3861+$O3861)</f>
      </c>
      <c r="R3861" s="43">
        <f>IF($I3861=0,0,$J3861-$M3861-$N3861)</f>
      </c>
    </row>
    <row r="3862">
      <c r="A3862"/>
      <c r="B3862">
        <v>9</v>
      </c>
      <c r="C3862" s="43">
        <f>INDEX(DarlObj,9)</f>
      </c>
      <c r="D3862">
        <v>19</v>
      </c>
      <c r="E3862" s="51">
        <f>IF(INDEX(DarlBelegt,9)=0,0,EOMONTH(INDEX(DarlAuszahlung,9),18)+1)</f>
      </c>
      <c r="F3862" s="43">
        <f>IF($E3862=0,0,YEAR($E3862))</f>
      </c>
      <c r="G3862" s="43">
        <f>IF(INDEX(DarlBindung,9)="",1,IF($E3862&lt;=INDEX(DarlBindung,9),1,0))</f>
      </c>
      <c r="H3862" s="43">
        <f>IF($G3862=1,INDEX(DarlSollzins,9),INDEX(DarlAnschluss,9))</f>
      </c>
      <c r="I3862" s="43">
        <f>IF(INDEX(DarlBelegt,9)=0,0,IF(INDEX(DarlOhneTilgung,9)=1,IF(INDEX(DarlBindung,9)="",1,$G3862),IF($J3862&gt;0.005,1,0)))</f>
      </c>
      <c r="J3862" s="43">
        <f>IF($I3861=0,0,$R3861)</f>
      </c>
      <c r="K3862" s="43">
        <f>IF($I3862=0,0,IF(INDEX(DarlOhneTilgung,9)=1,0,IF(AND(INDEX(DarlTilgStart,9)&gt;0,$E3862=INDEX(DarlTilgStart,9)),$J3862*($H3862+INDEX(DarlTilgung,9))/100/12,IF(AND($G3862=0,$G3861=1),MAX($K3861,$J3862*($H3862+1)/100/12),$K3861))))</f>
      </c>
      <c r="L3862" s="43">
        <f>IF($I3862=0,0,$J3862*$H3862/100/12)</f>
      </c>
      <c r="M3862" s="43">
        <f>IF($I3862=0,0,IF(OR(INDEX(DarlOhneTilgung,9)=1,AND(INDEX(DarlTilgStart,9)&gt;0,$E3862&lt;INDEX(DarlTilgStart,9))),0,MIN(MAX(0,$K3862-$L3862),$J3862)))</f>
      </c>
      <c r="N3862" s="43">
        <f>IF($I3862=0,0,MIN(SUMIFS(SondBetrag,SondDarl,9,SondDatum,"&gt;="&amp;$E3862,SondDatum,"&lt;="&amp;EOMONTH($E3862,0)),$J3862-$M3862))</f>
      </c>
      <c r="O3862" s="43">
        <f>IF($I3862=0,0,INDEX(DarlErsatzRate,9))</f>
      </c>
      <c r="P3862" s="43">
        <f>IF($I3862=0,0,$Q3861*INDEX(DarlErsatzZins,9))</f>
      </c>
      <c r="Q3862" s="43">
        <f>IF($I3862=0,0,$Q3861+$P3862+$O3862)</f>
      </c>
      <c r="R3862" s="43">
        <f>IF($I3862=0,0,$J3862-$M3862-$N3862)</f>
      </c>
    </row>
    <row r="3863">
      <c r="A3863"/>
      <c r="B3863">
        <v>9</v>
      </c>
      <c r="C3863" s="43">
        <f>INDEX(DarlObj,9)</f>
      </c>
      <c r="D3863">
        <v>20</v>
      </c>
      <c r="E3863" s="51">
        <f>IF(INDEX(DarlBelegt,9)=0,0,EOMONTH(INDEX(DarlAuszahlung,9),19)+1)</f>
      </c>
      <c r="F3863" s="43">
        <f>IF($E3863=0,0,YEAR($E3863))</f>
      </c>
      <c r="G3863" s="43">
        <f>IF(INDEX(DarlBindung,9)="",1,IF($E3863&lt;=INDEX(DarlBindung,9),1,0))</f>
      </c>
      <c r="H3863" s="43">
        <f>IF($G3863=1,INDEX(DarlSollzins,9),INDEX(DarlAnschluss,9))</f>
      </c>
      <c r="I3863" s="43">
        <f>IF(INDEX(DarlBelegt,9)=0,0,IF(INDEX(DarlOhneTilgung,9)=1,IF(INDEX(DarlBindung,9)="",1,$G3863),IF($J3863&gt;0.005,1,0)))</f>
      </c>
      <c r="J3863" s="43">
        <f>IF($I3862=0,0,$R3862)</f>
      </c>
      <c r="K3863" s="43">
        <f>IF($I3863=0,0,IF(INDEX(DarlOhneTilgung,9)=1,0,IF(AND(INDEX(DarlTilgStart,9)&gt;0,$E3863=INDEX(DarlTilgStart,9)),$J3863*($H3863+INDEX(DarlTilgung,9))/100/12,IF(AND($G3863=0,$G3862=1),MAX($K3862,$J3863*($H3863+1)/100/12),$K3862))))</f>
      </c>
      <c r="L3863" s="43">
        <f>IF($I3863=0,0,$J3863*$H3863/100/12)</f>
      </c>
      <c r="M3863" s="43">
        <f>IF($I3863=0,0,IF(OR(INDEX(DarlOhneTilgung,9)=1,AND(INDEX(DarlTilgStart,9)&gt;0,$E3863&lt;INDEX(DarlTilgStart,9))),0,MIN(MAX(0,$K3863-$L3863),$J3863)))</f>
      </c>
      <c r="N3863" s="43">
        <f>IF($I3863=0,0,MIN(SUMIFS(SondBetrag,SondDarl,9,SondDatum,"&gt;="&amp;$E3863,SondDatum,"&lt;="&amp;EOMONTH($E3863,0)),$J3863-$M3863))</f>
      </c>
      <c r="O3863" s="43">
        <f>IF($I3863=0,0,INDEX(DarlErsatzRate,9))</f>
      </c>
      <c r="P3863" s="43">
        <f>IF($I3863=0,0,$Q3862*INDEX(DarlErsatzZins,9))</f>
      </c>
      <c r="Q3863" s="43">
        <f>IF($I3863=0,0,$Q3862+$P3863+$O3863)</f>
      </c>
      <c r="R3863" s="43">
        <f>IF($I3863=0,0,$J3863-$M3863-$N3863)</f>
      </c>
    </row>
    <row r="3864">
      <c r="A3864"/>
      <c r="B3864">
        <v>9</v>
      </c>
      <c r="C3864" s="43">
        <f>INDEX(DarlObj,9)</f>
      </c>
      <c r="D3864">
        <v>21</v>
      </c>
      <c r="E3864" s="51">
        <f>IF(INDEX(DarlBelegt,9)=0,0,EOMONTH(INDEX(DarlAuszahlung,9),20)+1)</f>
      </c>
      <c r="F3864" s="43">
        <f>IF($E3864=0,0,YEAR($E3864))</f>
      </c>
      <c r="G3864" s="43">
        <f>IF(INDEX(DarlBindung,9)="",1,IF($E3864&lt;=INDEX(DarlBindung,9),1,0))</f>
      </c>
      <c r="H3864" s="43">
        <f>IF($G3864=1,INDEX(DarlSollzins,9),INDEX(DarlAnschluss,9))</f>
      </c>
      <c r="I3864" s="43">
        <f>IF(INDEX(DarlBelegt,9)=0,0,IF(INDEX(DarlOhneTilgung,9)=1,IF(INDEX(DarlBindung,9)="",1,$G3864),IF($J3864&gt;0.005,1,0)))</f>
      </c>
      <c r="J3864" s="43">
        <f>IF($I3863=0,0,$R3863)</f>
      </c>
      <c r="K3864" s="43">
        <f>IF($I3864=0,0,IF(INDEX(DarlOhneTilgung,9)=1,0,IF(AND(INDEX(DarlTilgStart,9)&gt;0,$E3864=INDEX(DarlTilgStart,9)),$J3864*($H3864+INDEX(DarlTilgung,9))/100/12,IF(AND($G3864=0,$G3863=1),MAX($K3863,$J3864*($H3864+1)/100/12),$K3863))))</f>
      </c>
      <c r="L3864" s="43">
        <f>IF($I3864=0,0,$J3864*$H3864/100/12)</f>
      </c>
      <c r="M3864" s="43">
        <f>IF($I3864=0,0,IF(OR(INDEX(DarlOhneTilgung,9)=1,AND(INDEX(DarlTilgStart,9)&gt;0,$E3864&lt;INDEX(DarlTilgStart,9))),0,MIN(MAX(0,$K3864-$L3864),$J3864)))</f>
      </c>
      <c r="N3864" s="43">
        <f>IF($I3864=0,0,MIN(SUMIFS(SondBetrag,SondDarl,9,SondDatum,"&gt;="&amp;$E3864,SondDatum,"&lt;="&amp;EOMONTH($E3864,0)),$J3864-$M3864))</f>
      </c>
      <c r="O3864" s="43">
        <f>IF($I3864=0,0,INDEX(DarlErsatzRate,9))</f>
      </c>
      <c r="P3864" s="43">
        <f>IF($I3864=0,0,$Q3863*INDEX(DarlErsatzZins,9))</f>
      </c>
      <c r="Q3864" s="43">
        <f>IF($I3864=0,0,$Q3863+$P3864+$O3864)</f>
      </c>
      <c r="R3864" s="43">
        <f>IF($I3864=0,0,$J3864-$M3864-$N3864)</f>
      </c>
    </row>
    <row r="3865">
      <c r="A3865"/>
      <c r="B3865">
        <v>9</v>
      </c>
      <c r="C3865" s="43">
        <f>INDEX(DarlObj,9)</f>
      </c>
      <c r="D3865">
        <v>22</v>
      </c>
      <c r="E3865" s="51">
        <f>IF(INDEX(DarlBelegt,9)=0,0,EOMONTH(INDEX(DarlAuszahlung,9),21)+1)</f>
      </c>
      <c r="F3865" s="43">
        <f>IF($E3865=0,0,YEAR($E3865))</f>
      </c>
      <c r="G3865" s="43">
        <f>IF(INDEX(DarlBindung,9)="",1,IF($E3865&lt;=INDEX(DarlBindung,9),1,0))</f>
      </c>
      <c r="H3865" s="43">
        <f>IF($G3865=1,INDEX(DarlSollzins,9),INDEX(DarlAnschluss,9))</f>
      </c>
      <c r="I3865" s="43">
        <f>IF(INDEX(DarlBelegt,9)=0,0,IF(INDEX(DarlOhneTilgung,9)=1,IF(INDEX(DarlBindung,9)="",1,$G3865),IF($J3865&gt;0.005,1,0)))</f>
      </c>
      <c r="J3865" s="43">
        <f>IF($I3864=0,0,$R3864)</f>
      </c>
      <c r="K3865" s="43">
        <f>IF($I3865=0,0,IF(INDEX(DarlOhneTilgung,9)=1,0,IF(AND(INDEX(DarlTilgStart,9)&gt;0,$E3865=INDEX(DarlTilgStart,9)),$J3865*($H3865+INDEX(DarlTilgung,9))/100/12,IF(AND($G3865=0,$G3864=1),MAX($K3864,$J3865*($H3865+1)/100/12),$K3864))))</f>
      </c>
      <c r="L3865" s="43">
        <f>IF($I3865=0,0,$J3865*$H3865/100/12)</f>
      </c>
      <c r="M3865" s="43">
        <f>IF($I3865=0,0,IF(OR(INDEX(DarlOhneTilgung,9)=1,AND(INDEX(DarlTilgStart,9)&gt;0,$E3865&lt;INDEX(DarlTilgStart,9))),0,MIN(MAX(0,$K3865-$L3865),$J3865)))</f>
      </c>
      <c r="N3865" s="43">
        <f>IF($I3865=0,0,MIN(SUMIFS(SondBetrag,SondDarl,9,SondDatum,"&gt;="&amp;$E3865,SondDatum,"&lt;="&amp;EOMONTH($E3865,0)),$J3865-$M3865))</f>
      </c>
      <c r="O3865" s="43">
        <f>IF($I3865=0,0,INDEX(DarlErsatzRate,9))</f>
      </c>
      <c r="P3865" s="43">
        <f>IF($I3865=0,0,$Q3864*INDEX(DarlErsatzZins,9))</f>
      </c>
      <c r="Q3865" s="43">
        <f>IF($I3865=0,0,$Q3864+$P3865+$O3865)</f>
      </c>
      <c r="R3865" s="43">
        <f>IF($I3865=0,0,$J3865-$M3865-$N3865)</f>
      </c>
    </row>
    <row r="3866">
      <c r="A3866"/>
      <c r="B3866">
        <v>9</v>
      </c>
      <c r="C3866" s="43">
        <f>INDEX(DarlObj,9)</f>
      </c>
      <c r="D3866">
        <v>23</v>
      </c>
      <c r="E3866" s="51">
        <f>IF(INDEX(DarlBelegt,9)=0,0,EOMONTH(INDEX(DarlAuszahlung,9),22)+1)</f>
      </c>
      <c r="F3866" s="43">
        <f>IF($E3866=0,0,YEAR($E3866))</f>
      </c>
      <c r="G3866" s="43">
        <f>IF(INDEX(DarlBindung,9)="",1,IF($E3866&lt;=INDEX(DarlBindung,9),1,0))</f>
      </c>
      <c r="H3866" s="43">
        <f>IF($G3866=1,INDEX(DarlSollzins,9),INDEX(DarlAnschluss,9))</f>
      </c>
      <c r="I3866" s="43">
        <f>IF(INDEX(DarlBelegt,9)=0,0,IF(INDEX(DarlOhneTilgung,9)=1,IF(INDEX(DarlBindung,9)="",1,$G3866),IF($J3866&gt;0.005,1,0)))</f>
      </c>
      <c r="J3866" s="43">
        <f>IF($I3865=0,0,$R3865)</f>
      </c>
      <c r="K3866" s="43">
        <f>IF($I3866=0,0,IF(INDEX(DarlOhneTilgung,9)=1,0,IF(AND(INDEX(DarlTilgStart,9)&gt;0,$E3866=INDEX(DarlTilgStart,9)),$J3866*($H3866+INDEX(DarlTilgung,9))/100/12,IF(AND($G3866=0,$G3865=1),MAX($K3865,$J3866*($H3866+1)/100/12),$K3865))))</f>
      </c>
      <c r="L3866" s="43">
        <f>IF($I3866=0,0,$J3866*$H3866/100/12)</f>
      </c>
      <c r="M3866" s="43">
        <f>IF($I3866=0,0,IF(OR(INDEX(DarlOhneTilgung,9)=1,AND(INDEX(DarlTilgStart,9)&gt;0,$E3866&lt;INDEX(DarlTilgStart,9))),0,MIN(MAX(0,$K3866-$L3866),$J3866)))</f>
      </c>
      <c r="N3866" s="43">
        <f>IF($I3866=0,0,MIN(SUMIFS(SondBetrag,SondDarl,9,SondDatum,"&gt;="&amp;$E3866,SondDatum,"&lt;="&amp;EOMONTH($E3866,0)),$J3866-$M3866))</f>
      </c>
      <c r="O3866" s="43">
        <f>IF($I3866=0,0,INDEX(DarlErsatzRate,9))</f>
      </c>
      <c r="P3866" s="43">
        <f>IF($I3866=0,0,$Q3865*INDEX(DarlErsatzZins,9))</f>
      </c>
      <c r="Q3866" s="43">
        <f>IF($I3866=0,0,$Q3865+$P3866+$O3866)</f>
      </c>
      <c r="R3866" s="43">
        <f>IF($I3866=0,0,$J3866-$M3866-$N3866)</f>
      </c>
    </row>
    <row r="3867">
      <c r="A3867"/>
      <c r="B3867">
        <v>9</v>
      </c>
      <c r="C3867" s="43">
        <f>INDEX(DarlObj,9)</f>
      </c>
      <c r="D3867">
        <v>24</v>
      </c>
      <c r="E3867" s="51">
        <f>IF(INDEX(DarlBelegt,9)=0,0,EOMONTH(INDEX(DarlAuszahlung,9),23)+1)</f>
      </c>
      <c r="F3867" s="43">
        <f>IF($E3867=0,0,YEAR($E3867))</f>
      </c>
      <c r="G3867" s="43">
        <f>IF(INDEX(DarlBindung,9)="",1,IF($E3867&lt;=INDEX(DarlBindung,9),1,0))</f>
      </c>
      <c r="H3867" s="43">
        <f>IF($G3867=1,INDEX(DarlSollzins,9),INDEX(DarlAnschluss,9))</f>
      </c>
      <c r="I3867" s="43">
        <f>IF(INDEX(DarlBelegt,9)=0,0,IF(INDEX(DarlOhneTilgung,9)=1,IF(INDEX(DarlBindung,9)="",1,$G3867),IF($J3867&gt;0.005,1,0)))</f>
      </c>
      <c r="J3867" s="43">
        <f>IF($I3866=0,0,$R3866)</f>
      </c>
      <c r="K3867" s="43">
        <f>IF($I3867=0,0,IF(INDEX(DarlOhneTilgung,9)=1,0,IF(AND(INDEX(DarlTilgStart,9)&gt;0,$E3867=INDEX(DarlTilgStart,9)),$J3867*($H3867+INDEX(DarlTilgung,9))/100/12,IF(AND($G3867=0,$G3866=1),MAX($K3866,$J3867*($H3867+1)/100/12),$K3866))))</f>
      </c>
      <c r="L3867" s="43">
        <f>IF($I3867=0,0,$J3867*$H3867/100/12)</f>
      </c>
      <c r="M3867" s="43">
        <f>IF($I3867=0,0,IF(OR(INDEX(DarlOhneTilgung,9)=1,AND(INDEX(DarlTilgStart,9)&gt;0,$E3867&lt;INDEX(DarlTilgStart,9))),0,MIN(MAX(0,$K3867-$L3867),$J3867)))</f>
      </c>
      <c r="N3867" s="43">
        <f>IF($I3867=0,0,MIN(SUMIFS(SondBetrag,SondDarl,9,SondDatum,"&gt;="&amp;$E3867,SondDatum,"&lt;="&amp;EOMONTH($E3867,0)),$J3867-$M3867))</f>
      </c>
      <c r="O3867" s="43">
        <f>IF($I3867=0,0,INDEX(DarlErsatzRate,9))</f>
      </c>
      <c r="P3867" s="43">
        <f>IF($I3867=0,0,$Q3866*INDEX(DarlErsatzZins,9))</f>
      </c>
      <c r="Q3867" s="43">
        <f>IF($I3867=0,0,$Q3866+$P3867+$O3867)</f>
      </c>
      <c r="R3867" s="43">
        <f>IF($I3867=0,0,$J3867-$M3867-$N3867)</f>
      </c>
    </row>
    <row r="3868">
      <c r="A3868"/>
      <c r="B3868">
        <v>9</v>
      </c>
      <c r="C3868" s="43">
        <f>INDEX(DarlObj,9)</f>
      </c>
      <c r="D3868">
        <v>25</v>
      </c>
      <c r="E3868" s="51">
        <f>IF(INDEX(DarlBelegt,9)=0,0,EOMONTH(INDEX(DarlAuszahlung,9),24)+1)</f>
      </c>
      <c r="F3868" s="43">
        <f>IF($E3868=0,0,YEAR($E3868))</f>
      </c>
      <c r="G3868" s="43">
        <f>IF(INDEX(DarlBindung,9)="",1,IF($E3868&lt;=INDEX(DarlBindung,9),1,0))</f>
      </c>
      <c r="H3868" s="43">
        <f>IF($G3868=1,INDEX(DarlSollzins,9),INDEX(DarlAnschluss,9))</f>
      </c>
      <c r="I3868" s="43">
        <f>IF(INDEX(DarlBelegt,9)=0,0,IF(INDEX(DarlOhneTilgung,9)=1,IF(INDEX(DarlBindung,9)="",1,$G3868),IF($J3868&gt;0.005,1,0)))</f>
      </c>
      <c r="J3868" s="43">
        <f>IF($I3867=0,0,$R3867)</f>
      </c>
      <c r="K3868" s="43">
        <f>IF($I3868=0,0,IF(INDEX(DarlOhneTilgung,9)=1,0,IF(AND(INDEX(DarlTilgStart,9)&gt;0,$E3868=INDEX(DarlTilgStart,9)),$J3868*($H3868+INDEX(DarlTilgung,9))/100/12,IF(AND($G3868=0,$G3867=1),MAX($K3867,$J3868*($H3868+1)/100/12),$K3867))))</f>
      </c>
      <c r="L3868" s="43">
        <f>IF($I3868=0,0,$J3868*$H3868/100/12)</f>
      </c>
      <c r="M3868" s="43">
        <f>IF($I3868=0,0,IF(OR(INDEX(DarlOhneTilgung,9)=1,AND(INDEX(DarlTilgStart,9)&gt;0,$E3868&lt;INDEX(DarlTilgStart,9))),0,MIN(MAX(0,$K3868-$L3868),$J3868)))</f>
      </c>
      <c r="N3868" s="43">
        <f>IF($I3868=0,0,MIN(SUMIFS(SondBetrag,SondDarl,9,SondDatum,"&gt;="&amp;$E3868,SondDatum,"&lt;="&amp;EOMONTH($E3868,0)),$J3868-$M3868))</f>
      </c>
      <c r="O3868" s="43">
        <f>IF($I3868=0,0,INDEX(DarlErsatzRate,9))</f>
      </c>
      <c r="P3868" s="43">
        <f>IF($I3868=0,0,$Q3867*INDEX(DarlErsatzZins,9))</f>
      </c>
      <c r="Q3868" s="43">
        <f>IF($I3868=0,0,$Q3867+$P3868+$O3868)</f>
      </c>
      <c r="R3868" s="43">
        <f>IF($I3868=0,0,$J3868-$M3868-$N3868)</f>
      </c>
    </row>
    <row r="3869">
      <c r="A3869"/>
      <c r="B3869">
        <v>9</v>
      </c>
      <c r="C3869" s="43">
        <f>INDEX(DarlObj,9)</f>
      </c>
      <c r="D3869">
        <v>26</v>
      </c>
      <c r="E3869" s="51">
        <f>IF(INDEX(DarlBelegt,9)=0,0,EOMONTH(INDEX(DarlAuszahlung,9),25)+1)</f>
      </c>
      <c r="F3869" s="43">
        <f>IF($E3869=0,0,YEAR($E3869))</f>
      </c>
      <c r="G3869" s="43">
        <f>IF(INDEX(DarlBindung,9)="",1,IF($E3869&lt;=INDEX(DarlBindung,9),1,0))</f>
      </c>
      <c r="H3869" s="43">
        <f>IF($G3869=1,INDEX(DarlSollzins,9),INDEX(DarlAnschluss,9))</f>
      </c>
      <c r="I3869" s="43">
        <f>IF(INDEX(DarlBelegt,9)=0,0,IF(INDEX(DarlOhneTilgung,9)=1,IF(INDEX(DarlBindung,9)="",1,$G3869),IF($J3869&gt;0.005,1,0)))</f>
      </c>
      <c r="J3869" s="43">
        <f>IF($I3868=0,0,$R3868)</f>
      </c>
      <c r="K3869" s="43">
        <f>IF($I3869=0,0,IF(INDEX(DarlOhneTilgung,9)=1,0,IF(AND(INDEX(DarlTilgStart,9)&gt;0,$E3869=INDEX(DarlTilgStart,9)),$J3869*($H3869+INDEX(DarlTilgung,9))/100/12,IF(AND($G3869=0,$G3868=1),MAX($K3868,$J3869*($H3869+1)/100/12),$K3868))))</f>
      </c>
      <c r="L3869" s="43">
        <f>IF($I3869=0,0,$J3869*$H3869/100/12)</f>
      </c>
      <c r="M3869" s="43">
        <f>IF($I3869=0,0,IF(OR(INDEX(DarlOhneTilgung,9)=1,AND(INDEX(DarlTilgStart,9)&gt;0,$E3869&lt;INDEX(DarlTilgStart,9))),0,MIN(MAX(0,$K3869-$L3869),$J3869)))</f>
      </c>
      <c r="N3869" s="43">
        <f>IF($I3869=0,0,MIN(SUMIFS(SondBetrag,SondDarl,9,SondDatum,"&gt;="&amp;$E3869,SondDatum,"&lt;="&amp;EOMONTH($E3869,0)),$J3869-$M3869))</f>
      </c>
      <c r="O3869" s="43">
        <f>IF($I3869=0,0,INDEX(DarlErsatzRate,9))</f>
      </c>
      <c r="P3869" s="43">
        <f>IF($I3869=0,0,$Q3868*INDEX(DarlErsatzZins,9))</f>
      </c>
      <c r="Q3869" s="43">
        <f>IF($I3869=0,0,$Q3868+$P3869+$O3869)</f>
      </c>
      <c r="R3869" s="43">
        <f>IF($I3869=0,0,$J3869-$M3869-$N3869)</f>
      </c>
    </row>
    <row r="3870">
      <c r="A3870"/>
      <c r="B3870">
        <v>9</v>
      </c>
      <c r="C3870" s="43">
        <f>INDEX(DarlObj,9)</f>
      </c>
      <c r="D3870">
        <v>27</v>
      </c>
      <c r="E3870" s="51">
        <f>IF(INDEX(DarlBelegt,9)=0,0,EOMONTH(INDEX(DarlAuszahlung,9),26)+1)</f>
      </c>
      <c r="F3870" s="43">
        <f>IF($E3870=0,0,YEAR($E3870))</f>
      </c>
      <c r="G3870" s="43">
        <f>IF(INDEX(DarlBindung,9)="",1,IF($E3870&lt;=INDEX(DarlBindung,9),1,0))</f>
      </c>
      <c r="H3870" s="43">
        <f>IF($G3870=1,INDEX(DarlSollzins,9),INDEX(DarlAnschluss,9))</f>
      </c>
      <c r="I3870" s="43">
        <f>IF(INDEX(DarlBelegt,9)=0,0,IF(INDEX(DarlOhneTilgung,9)=1,IF(INDEX(DarlBindung,9)="",1,$G3870),IF($J3870&gt;0.005,1,0)))</f>
      </c>
      <c r="J3870" s="43">
        <f>IF($I3869=0,0,$R3869)</f>
      </c>
      <c r="K3870" s="43">
        <f>IF($I3870=0,0,IF(INDEX(DarlOhneTilgung,9)=1,0,IF(AND(INDEX(DarlTilgStart,9)&gt;0,$E3870=INDEX(DarlTilgStart,9)),$J3870*($H3870+INDEX(DarlTilgung,9))/100/12,IF(AND($G3870=0,$G3869=1),MAX($K3869,$J3870*($H3870+1)/100/12),$K3869))))</f>
      </c>
      <c r="L3870" s="43">
        <f>IF($I3870=0,0,$J3870*$H3870/100/12)</f>
      </c>
      <c r="M3870" s="43">
        <f>IF($I3870=0,0,IF(OR(INDEX(DarlOhneTilgung,9)=1,AND(INDEX(DarlTilgStart,9)&gt;0,$E3870&lt;INDEX(DarlTilgStart,9))),0,MIN(MAX(0,$K3870-$L3870),$J3870)))</f>
      </c>
      <c r="N3870" s="43">
        <f>IF($I3870=0,0,MIN(SUMIFS(SondBetrag,SondDarl,9,SondDatum,"&gt;="&amp;$E3870,SondDatum,"&lt;="&amp;EOMONTH($E3870,0)),$J3870-$M3870))</f>
      </c>
      <c r="O3870" s="43">
        <f>IF($I3870=0,0,INDEX(DarlErsatzRate,9))</f>
      </c>
      <c r="P3870" s="43">
        <f>IF($I3870=0,0,$Q3869*INDEX(DarlErsatzZins,9))</f>
      </c>
      <c r="Q3870" s="43">
        <f>IF($I3870=0,0,$Q3869+$P3870+$O3870)</f>
      </c>
      <c r="R3870" s="43">
        <f>IF($I3870=0,0,$J3870-$M3870-$N3870)</f>
      </c>
    </row>
    <row r="3871">
      <c r="A3871"/>
      <c r="B3871">
        <v>9</v>
      </c>
      <c r="C3871" s="43">
        <f>INDEX(DarlObj,9)</f>
      </c>
      <c r="D3871">
        <v>28</v>
      </c>
      <c r="E3871" s="51">
        <f>IF(INDEX(DarlBelegt,9)=0,0,EOMONTH(INDEX(DarlAuszahlung,9),27)+1)</f>
      </c>
      <c r="F3871" s="43">
        <f>IF($E3871=0,0,YEAR($E3871))</f>
      </c>
      <c r="G3871" s="43">
        <f>IF(INDEX(DarlBindung,9)="",1,IF($E3871&lt;=INDEX(DarlBindung,9),1,0))</f>
      </c>
      <c r="H3871" s="43">
        <f>IF($G3871=1,INDEX(DarlSollzins,9),INDEX(DarlAnschluss,9))</f>
      </c>
      <c r="I3871" s="43">
        <f>IF(INDEX(DarlBelegt,9)=0,0,IF(INDEX(DarlOhneTilgung,9)=1,IF(INDEX(DarlBindung,9)="",1,$G3871),IF($J3871&gt;0.005,1,0)))</f>
      </c>
      <c r="J3871" s="43">
        <f>IF($I3870=0,0,$R3870)</f>
      </c>
      <c r="K3871" s="43">
        <f>IF($I3871=0,0,IF(INDEX(DarlOhneTilgung,9)=1,0,IF(AND(INDEX(DarlTilgStart,9)&gt;0,$E3871=INDEX(DarlTilgStart,9)),$J3871*($H3871+INDEX(DarlTilgung,9))/100/12,IF(AND($G3871=0,$G3870=1),MAX($K3870,$J3871*($H3871+1)/100/12),$K3870))))</f>
      </c>
      <c r="L3871" s="43">
        <f>IF($I3871=0,0,$J3871*$H3871/100/12)</f>
      </c>
      <c r="M3871" s="43">
        <f>IF($I3871=0,0,IF(OR(INDEX(DarlOhneTilgung,9)=1,AND(INDEX(DarlTilgStart,9)&gt;0,$E3871&lt;INDEX(DarlTilgStart,9))),0,MIN(MAX(0,$K3871-$L3871),$J3871)))</f>
      </c>
      <c r="N3871" s="43">
        <f>IF($I3871=0,0,MIN(SUMIFS(SondBetrag,SondDarl,9,SondDatum,"&gt;="&amp;$E3871,SondDatum,"&lt;="&amp;EOMONTH($E3871,0)),$J3871-$M3871))</f>
      </c>
      <c r="O3871" s="43">
        <f>IF($I3871=0,0,INDEX(DarlErsatzRate,9))</f>
      </c>
      <c r="P3871" s="43">
        <f>IF($I3871=0,0,$Q3870*INDEX(DarlErsatzZins,9))</f>
      </c>
      <c r="Q3871" s="43">
        <f>IF($I3871=0,0,$Q3870+$P3871+$O3871)</f>
      </c>
      <c r="R3871" s="43">
        <f>IF($I3871=0,0,$J3871-$M3871-$N3871)</f>
      </c>
    </row>
    <row r="3872">
      <c r="A3872"/>
      <c r="B3872">
        <v>9</v>
      </c>
      <c r="C3872" s="43">
        <f>INDEX(DarlObj,9)</f>
      </c>
      <c r="D3872">
        <v>29</v>
      </c>
      <c r="E3872" s="51">
        <f>IF(INDEX(DarlBelegt,9)=0,0,EOMONTH(INDEX(DarlAuszahlung,9),28)+1)</f>
      </c>
      <c r="F3872" s="43">
        <f>IF($E3872=0,0,YEAR($E3872))</f>
      </c>
      <c r="G3872" s="43">
        <f>IF(INDEX(DarlBindung,9)="",1,IF($E3872&lt;=INDEX(DarlBindung,9),1,0))</f>
      </c>
      <c r="H3872" s="43">
        <f>IF($G3872=1,INDEX(DarlSollzins,9),INDEX(DarlAnschluss,9))</f>
      </c>
      <c r="I3872" s="43">
        <f>IF(INDEX(DarlBelegt,9)=0,0,IF(INDEX(DarlOhneTilgung,9)=1,IF(INDEX(DarlBindung,9)="",1,$G3872),IF($J3872&gt;0.005,1,0)))</f>
      </c>
      <c r="J3872" s="43">
        <f>IF($I3871=0,0,$R3871)</f>
      </c>
      <c r="K3872" s="43">
        <f>IF($I3872=0,0,IF(INDEX(DarlOhneTilgung,9)=1,0,IF(AND(INDEX(DarlTilgStart,9)&gt;0,$E3872=INDEX(DarlTilgStart,9)),$J3872*($H3872+INDEX(DarlTilgung,9))/100/12,IF(AND($G3872=0,$G3871=1),MAX($K3871,$J3872*($H3872+1)/100/12),$K3871))))</f>
      </c>
      <c r="L3872" s="43">
        <f>IF($I3872=0,0,$J3872*$H3872/100/12)</f>
      </c>
      <c r="M3872" s="43">
        <f>IF($I3872=0,0,IF(OR(INDEX(DarlOhneTilgung,9)=1,AND(INDEX(DarlTilgStart,9)&gt;0,$E3872&lt;INDEX(DarlTilgStart,9))),0,MIN(MAX(0,$K3872-$L3872),$J3872)))</f>
      </c>
      <c r="N3872" s="43">
        <f>IF($I3872=0,0,MIN(SUMIFS(SondBetrag,SondDarl,9,SondDatum,"&gt;="&amp;$E3872,SondDatum,"&lt;="&amp;EOMONTH($E3872,0)),$J3872-$M3872))</f>
      </c>
      <c r="O3872" s="43">
        <f>IF($I3872=0,0,INDEX(DarlErsatzRate,9))</f>
      </c>
      <c r="P3872" s="43">
        <f>IF($I3872=0,0,$Q3871*INDEX(DarlErsatzZins,9))</f>
      </c>
      <c r="Q3872" s="43">
        <f>IF($I3872=0,0,$Q3871+$P3872+$O3872)</f>
      </c>
      <c r="R3872" s="43">
        <f>IF($I3872=0,0,$J3872-$M3872-$N3872)</f>
      </c>
    </row>
    <row r="3873">
      <c r="A3873"/>
      <c r="B3873">
        <v>9</v>
      </c>
      <c r="C3873" s="43">
        <f>INDEX(DarlObj,9)</f>
      </c>
      <c r="D3873">
        <v>30</v>
      </c>
      <c r="E3873" s="51">
        <f>IF(INDEX(DarlBelegt,9)=0,0,EOMONTH(INDEX(DarlAuszahlung,9),29)+1)</f>
      </c>
      <c r="F3873" s="43">
        <f>IF($E3873=0,0,YEAR($E3873))</f>
      </c>
      <c r="G3873" s="43">
        <f>IF(INDEX(DarlBindung,9)="",1,IF($E3873&lt;=INDEX(DarlBindung,9),1,0))</f>
      </c>
      <c r="H3873" s="43">
        <f>IF($G3873=1,INDEX(DarlSollzins,9),INDEX(DarlAnschluss,9))</f>
      </c>
      <c r="I3873" s="43">
        <f>IF(INDEX(DarlBelegt,9)=0,0,IF(INDEX(DarlOhneTilgung,9)=1,IF(INDEX(DarlBindung,9)="",1,$G3873),IF($J3873&gt;0.005,1,0)))</f>
      </c>
      <c r="J3873" s="43">
        <f>IF($I3872=0,0,$R3872)</f>
      </c>
      <c r="K3873" s="43">
        <f>IF($I3873=0,0,IF(INDEX(DarlOhneTilgung,9)=1,0,IF(AND(INDEX(DarlTilgStart,9)&gt;0,$E3873=INDEX(DarlTilgStart,9)),$J3873*($H3873+INDEX(DarlTilgung,9))/100/12,IF(AND($G3873=0,$G3872=1),MAX($K3872,$J3873*($H3873+1)/100/12),$K3872))))</f>
      </c>
      <c r="L3873" s="43">
        <f>IF($I3873=0,0,$J3873*$H3873/100/12)</f>
      </c>
      <c r="M3873" s="43">
        <f>IF($I3873=0,0,IF(OR(INDEX(DarlOhneTilgung,9)=1,AND(INDEX(DarlTilgStart,9)&gt;0,$E3873&lt;INDEX(DarlTilgStart,9))),0,MIN(MAX(0,$K3873-$L3873),$J3873)))</f>
      </c>
      <c r="N3873" s="43">
        <f>IF($I3873=0,0,MIN(SUMIFS(SondBetrag,SondDarl,9,SondDatum,"&gt;="&amp;$E3873,SondDatum,"&lt;="&amp;EOMONTH($E3873,0)),$J3873-$M3873))</f>
      </c>
      <c r="O3873" s="43">
        <f>IF($I3873=0,0,INDEX(DarlErsatzRate,9))</f>
      </c>
      <c r="P3873" s="43">
        <f>IF($I3873=0,0,$Q3872*INDEX(DarlErsatzZins,9))</f>
      </c>
      <c r="Q3873" s="43">
        <f>IF($I3873=0,0,$Q3872+$P3873+$O3873)</f>
      </c>
      <c r="R3873" s="43">
        <f>IF($I3873=0,0,$J3873-$M3873-$N3873)</f>
      </c>
    </row>
    <row r="3874">
      <c r="A3874"/>
      <c r="B3874">
        <v>9</v>
      </c>
      <c r="C3874" s="43">
        <f>INDEX(DarlObj,9)</f>
      </c>
      <c r="D3874">
        <v>31</v>
      </c>
      <c r="E3874" s="51">
        <f>IF(INDEX(DarlBelegt,9)=0,0,EOMONTH(INDEX(DarlAuszahlung,9),30)+1)</f>
      </c>
      <c r="F3874" s="43">
        <f>IF($E3874=0,0,YEAR($E3874))</f>
      </c>
      <c r="G3874" s="43">
        <f>IF(INDEX(DarlBindung,9)="",1,IF($E3874&lt;=INDEX(DarlBindung,9),1,0))</f>
      </c>
      <c r="H3874" s="43">
        <f>IF($G3874=1,INDEX(DarlSollzins,9),INDEX(DarlAnschluss,9))</f>
      </c>
      <c r="I3874" s="43">
        <f>IF(INDEX(DarlBelegt,9)=0,0,IF(INDEX(DarlOhneTilgung,9)=1,IF(INDEX(DarlBindung,9)="",1,$G3874),IF($J3874&gt;0.005,1,0)))</f>
      </c>
      <c r="J3874" s="43">
        <f>IF($I3873=0,0,$R3873)</f>
      </c>
      <c r="K3874" s="43">
        <f>IF($I3874=0,0,IF(INDEX(DarlOhneTilgung,9)=1,0,IF(AND(INDEX(DarlTilgStart,9)&gt;0,$E3874=INDEX(DarlTilgStart,9)),$J3874*($H3874+INDEX(DarlTilgung,9))/100/12,IF(AND($G3874=0,$G3873=1),MAX($K3873,$J3874*($H3874+1)/100/12),$K3873))))</f>
      </c>
      <c r="L3874" s="43">
        <f>IF($I3874=0,0,$J3874*$H3874/100/12)</f>
      </c>
      <c r="M3874" s="43">
        <f>IF($I3874=0,0,IF(OR(INDEX(DarlOhneTilgung,9)=1,AND(INDEX(DarlTilgStart,9)&gt;0,$E3874&lt;INDEX(DarlTilgStart,9))),0,MIN(MAX(0,$K3874-$L3874),$J3874)))</f>
      </c>
      <c r="N3874" s="43">
        <f>IF($I3874=0,0,MIN(SUMIFS(SondBetrag,SondDarl,9,SondDatum,"&gt;="&amp;$E3874,SondDatum,"&lt;="&amp;EOMONTH($E3874,0)),$J3874-$M3874))</f>
      </c>
      <c r="O3874" s="43">
        <f>IF($I3874=0,0,INDEX(DarlErsatzRate,9))</f>
      </c>
      <c r="P3874" s="43">
        <f>IF($I3874=0,0,$Q3873*INDEX(DarlErsatzZins,9))</f>
      </c>
      <c r="Q3874" s="43">
        <f>IF($I3874=0,0,$Q3873+$P3874+$O3874)</f>
      </c>
      <c r="R3874" s="43">
        <f>IF($I3874=0,0,$J3874-$M3874-$N3874)</f>
      </c>
    </row>
    <row r="3875">
      <c r="A3875"/>
      <c r="B3875">
        <v>9</v>
      </c>
      <c r="C3875" s="43">
        <f>INDEX(DarlObj,9)</f>
      </c>
      <c r="D3875">
        <v>32</v>
      </c>
      <c r="E3875" s="51">
        <f>IF(INDEX(DarlBelegt,9)=0,0,EOMONTH(INDEX(DarlAuszahlung,9),31)+1)</f>
      </c>
      <c r="F3875" s="43">
        <f>IF($E3875=0,0,YEAR($E3875))</f>
      </c>
      <c r="G3875" s="43">
        <f>IF(INDEX(DarlBindung,9)="",1,IF($E3875&lt;=INDEX(DarlBindung,9),1,0))</f>
      </c>
      <c r="H3875" s="43">
        <f>IF($G3875=1,INDEX(DarlSollzins,9),INDEX(DarlAnschluss,9))</f>
      </c>
      <c r="I3875" s="43">
        <f>IF(INDEX(DarlBelegt,9)=0,0,IF(INDEX(DarlOhneTilgung,9)=1,IF(INDEX(DarlBindung,9)="",1,$G3875),IF($J3875&gt;0.005,1,0)))</f>
      </c>
      <c r="J3875" s="43">
        <f>IF($I3874=0,0,$R3874)</f>
      </c>
      <c r="K3875" s="43">
        <f>IF($I3875=0,0,IF(INDEX(DarlOhneTilgung,9)=1,0,IF(AND(INDEX(DarlTilgStart,9)&gt;0,$E3875=INDEX(DarlTilgStart,9)),$J3875*($H3875+INDEX(DarlTilgung,9))/100/12,IF(AND($G3875=0,$G3874=1),MAX($K3874,$J3875*($H3875+1)/100/12),$K3874))))</f>
      </c>
      <c r="L3875" s="43">
        <f>IF($I3875=0,0,$J3875*$H3875/100/12)</f>
      </c>
      <c r="M3875" s="43">
        <f>IF($I3875=0,0,IF(OR(INDEX(DarlOhneTilgung,9)=1,AND(INDEX(DarlTilgStart,9)&gt;0,$E3875&lt;INDEX(DarlTilgStart,9))),0,MIN(MAX(0,$K3875-$L3875),$J3875)))</f>
      </c>
      <c r="N3875" s="43">
        <f>IF($I3875=0,0,MIN(SUMIFS(SondBetrag,SondDarl,9,SondDatum,"&gt;="&amp;$E3875,SondDatum,"&lt;="&amp;EOMONTH($E3875,0)),$J3875-$M3875))</f>
      </c>
      <c r="O3875" s="43">
        <f>IF($I3875=0,0,INDEX(DarlErsatzRate,9))</f>
      </c>
      <c r="P3875" s="43">
        <f>IF($I3875=0,0,$Q3874*INDEX(DarlErsatzZins,9))</f>
      </c>
      <c r="Q3875" s="43">
        <f>IF($I3875=0,0,$Q3874+$P3875+$O3875)</f>
      </c>
      <c r="R3875" s="43">
        <f>IF($I3875=0,0,$J3875-$M3875-$N3875)</f>
      </c>
    </row>
    <row r="3876">
      <c r="A3876"/>
      <c r="B3876">
        <v>9</v>
      </c>
      <c r="C3876" s="43">
        <f>INDEX(DarlObj,9)</f>
      </c>
      <c r="D3876">
        <v>33</v>
      </c>
      <c r="E3876" s="51">
        <f>IF(INDEX(DarlBelegt,9)=0,0,EOMONTH(INDEX(DarlAuszahlung,9),32)+1)</f>
      </c>
      <c r="F3876" s="43">
        <f>IF($E3876=0,0,YEAR($E3876))</f>
      </c>
      <c r="G3876" s="43">
        <f>IF(INDEX(DarlBindung,9)="",1,IF($E3876&lt;=INDEX(DarlBindung,9),1,0))</f>
      </c>
      <c r="H3876" s="43">
        <f>IF($G3876=1,INDEX(DarlSollzins,9),INDEX(DarlAnschluss,9))</f>
      </c>
      <c r="I3876" s="43">
        <f>IF(INDEX(DarlBelegt,9)=0,0,IF(INDEX(DarlOhneTilgung,9)=1,IF(INDEX(DarlBindung,9)="",1,$G3876),IF($J3876&gt;0.005,1,0)))</f>
      </c>
      <c r="J3876" s="43">
        <f>IF($I3875=0,0,$R3875)</f>
      </c>
      <c r="K3876" s="43">
        <f>IF($I3876=0,0,IF(INDEX(DarlOhneTilgung,9)=1,0,IF(AND(INDEX(DarlTilgStart,9)&gt;0,$E3876=INDEX(DarlTilgStart,9)),$J3876*($H3876+INDEX(DarlTilgung,9))/100/12,IF(AND($G3876=0,$G3875=1),MAX($K3875,$J3876*($H3876+1)/100/12),$K3875))))</f>
      </c>
      <c r="L3876" s="43">
        <f>IF($I3876=0,0,$J3876*$H3876/100/12)</f>
      </c>
      <c r="M3876" s="43">
        <f>IF($I3876=0,0,IF(OR(INDEX(DarlOhneTilgung,9)=1,AND(INDEX(DarlTilgStart,9)&gt;0,$E3876&lt;INDEX(DarlTilgStart,9))),0,MIN(MAX(0,$K3876-$L3876),$J3876)))</f>
      </c>
      <c r="N3876" s="43">
        <f>IF($I3876=0,0,MIN(SUMIFS(SondBetrag,SondDarl,9,SondDatum,"&gt;="&amp;$E3876,SondDatum,"&lt;="&amp;EOMONTH($E3876,0)),$J3876-$M3876))</f>
      </c>
      <c r="O3876" s="43">
        <f>IF($I3876=0,0,INDEX(DarlErsatzRate,9))</f>
      </c>
      <c r="P3876" s="43">
        <f>IF($I3876=0,0,$Q3875*INDEX(DarlErsatzZins,9))</f>
      </c>
      <c r="Q3876" s="43">
        <f>IF($I3876=0,0,$Q3875+$P3876+$O3876)</f>
      </c>
      <c r="R3876" s="43">
        <f>IF($I3876=0,0,$J3876-$M3876-$N3876)</f>
      </c>
    </row>
    <row r="3877">
      <c r="A3877"/>
      <c r="B3877">
        <v>9</v>
      </c>
      <c r="C3877" s="43">
        <f>INDEX(DarlObj,9)</f>
      </c>
      <c r="D3877">
        <v>34</v>
      </c>
      <c r="E3877" s="51">
        <f>IF(INDEX(DarlBelegt,9)=0,0,EOMONTH(INDEX(DarlAuszahlung,9),33)+1)</f>
      </c>
      <c r="F3877" s="43">
        <f>IF($E3877=0,0,YEAR($E3877))</f>
      </c>
      <c r="G3877" s="43">
        <f>IF(INDEX(DarlBindung,9)="",1,IF($E3877&lt;=INDEX(DarlBindung,9),1,0))</f>
      </c>
      <c r="H3877" s="43">
        <f>IF($G3877=1,INDEX(DarlSollzins,9),INDEX(DarlAnschluss,9))</f>
      </c>
      <c r="I3877" s="43">
        <f>IF(INDEX(DarlBelegt,9)=0,0,IF(INDEX(DarlOhneTilgung,9)=1,IF(INDEX(DarlBindung,9)="",1,$G3877),IF($J3877&gt;0.005,1,0)))</f>
      </c>
      <c r="J3877" s="43">
        <f>IF($I3876=0,0,$R3876)</f>
      </c>
      <c r="K3877" s="43">
        <f>IF($I3877=0,0,IF(INDEX(DarlOhneTilgung,9)=1,0,IF(AND(INDEX(DarlTilgStart,9)&gt;0,$E3877=INDEX(DarlTilgStart,9)),$J3877*($H3877+INDEX(DarlTilgung,9))/100/12,IF(AND($G3877=0,$G3876=1),MAX($K3876,$J3877*($H3877+1)/100/12),$K3876))))</f>
      </c>
      <c r="L3877" s="43">
        <f>IF($I3877=0,0,$J3877*$H3877/100/12)</f>
      </c>
      <c r="M3877" s="43">
        <f>IF($I3877=0,0,IF(OR(INDEX(DarlOhneTilgung,9)=1,AND(INDEX(DarlTilgStart,9)&gt;0,$E3877&lt;INDEX(DarlTilgStart,9))),0,MIN(MAX(0,$K3877-$L3877),$J3877)))</f>
      </c>
      <c r="N3877" s="43">
        <f>IF($I3877=0,0,MIN(SUMIFS(SondBetrag,SondDarl,9,SondDatum,"&gt;="&amp;$E3877,SondDatum,"&lt;="&amp;EOMONTH($E3877,0)),$J3877-$M3877))</f>
      </c>
      <c r="O3877" s="43">
        <f>IF($I3877=0,0,INDEX(DarlErsatzRate,9))</f>
      </c>
      <c r="P3877" s="43">
        <f>IF($I3877=0,0,$Q3876*INDEX(DarlErsatzZins,9))</f>
      </c>
      <c r="Q3877" s="43">
        <f>IF($I3877=0,0,$Q3876+$P3877+$O3877)</f>
      </c>
      <c r="R3877" s="43">
        <f>IF($I3877=0,0,$J3877-$M3877-$N3877)</f>
      </c>
    </row>
    <row r="3878">
      <c r="A3878"/>
      <c r="B3878">
        <v>9</v>
      </c>
      <c r="C3878" s="43">
        <f>INDEX(DarlObj,9)</f>
      </c>
      <c r="D3878">
        <v>35</v>
      </c>
      <c r="E3878" s="51">
        <f>IF(INDEX(DarlBelegt,9)=0,0,EOMONTH(INDEX(DarlAuszahlung,9),34)+1)</f>
      </c>
      <c r="F3878" s="43">
        <f>IF($E3878=0,0,YEAR($E3878))</f>
      </c>
      <c r="G3878" s="43">
        <f>IF(INDEX(DarlBindung,9)="",1,IF($E3878&lt;=INDEX(DarlBindung,9),1,0))</f>
      </c>
      <c r="H3878" s="43">
        <f>IF($G3878=1,INDEX(DarlSollzins,9),INDEX(DarlAnschluss,9))</f>
      </c>
      <c r="I3878" s="43">
        <f>IF(INDEX(DarlBelegt,9)=0,0,IF(INDEX(DarlOhneTilgung,9)=1,IF(INDEX(DarlBindung,9)="",1,$G3878),IF($J3878&gt;0.005,1,0)))</f>
      </c>
      <c r="J3878" s="43">
        <f>IF($I3877=0,0,$R3877)</f>
      </c>
      <c r="K3878" s="43">
        <f>IF($I3878=0,0,IF(INDEX(DarlOhneTilgung,9)=1,0,IF(AND(INDEX(DarlTilgStart,9)&gt;0,$E3878=INDEX(DarlTilgStart,9)),$J3878*($H3878+INDEX(DarlTilgung,9))/100/12,IF(AND($G3878=0,$G3877=1),MAX($K3877,$J3878*($H3878+1)/100/12),$K3877))))</f>
      </c>
      <c r="L3878" s="43">
        <f>IF($I3878=0,0,$J3878*$H3878/100/12)</f>
      </c>
      <c r="M3878" s="43">
        <f>IF($I3878=0,0,IF(OR(INDEX(DarlOhneTilgung,9)=1,AND(INDEX(DarlTilgStart,9)&gt;0,$E3878&lt;INDEX(DarlTilgStart,9))),0,MIN(MAX(0,$K3878-$L3878),$J3878)))</f>
      </c>
      <c r="N3878" s="43">
        <f>IF($I3878=0,0,MIN(SUMIFS(SondBetrag,SondDarl,9,SondDatum,"&gt;="&amp;$E3878,SondDatum,"&lt;="&amp;EOMONTH($E3878,0)),$J3878-$M3878))</f>
      </c>
      <c r="O3878" s="43">
        <f>IF($I3878=0,0,INDEX(DarlErsatzRate,9))</f>
      </c>
      <c r="P3878" s="43">
        <f>IF($I3878=0,0,$Q3877*INDEX(DarlErsatzZins,9))</f>
      </c>
      <c r="Q3878" s="43">
        <f>IF($I3878=0,0,$Q3877+$P3878+$O3878)</f>
      </c>
      <c r="R3878" s="43">
        <f>IF($I3878=0,0,$J3878-$M3878-$N3878)</f>
      </c>
    </row>
    <row r="3879">
      <c r="A3879"/>
      <c r="B3879">
        <v>9</v>
      </c>
      <c r="C3879" s="43">
        <f>INDEX(DarlObj,9)</f>
      </c>
      <c r="D3879">
        <v>36</v>
      </c>
      <c r="E3879" s="51">
        <f>IF(INDEX(DarlBelegt,9)=0,0,EOMONTH(INDEX(DarlAuszahlung,9),35)+1)</f>
      </c>
      <c r="F3879" s="43">
        <f>IF($E3879=0,0,YEAR($E3879))</f>
      </c>
      <c r="G3879" s="43">
        <f>IF(INDEX(DarlBindung,9)="",1,IF($E3879&lt;=INDEX(DarlBindung,9),1,0))</f>
      </c>
      <c r="H3879" s="43">
        <f>IF($G3879=1,INDEX(DarlSollzins,9),INDEX(DarlAnschluss,9))</f>
      </c>
      <c r="I3879" s="43">
        <f>IF(INDEX(DarlBelegt,9)=0,0,IF(INDEX(DarlOhneTilgung,9)=1,IF(INDEX(DarlBindung,9)="",1,$G3879),IF($J3879&gt;0.005,1,0)))</f>
      </c>
      <c r="J3879" s="43">
        <f>IF($I3878=0,0,$R3878)</f>
      </c>
      <c r="K3879" s="43">
        <f>IF($I3879=0,0,IF(INDEX(DarlOhneTilgung,9)=1,0,IF(AND(INDEX(DarlTilgStart,9)&gt;0,$E3879=INDEX(DarlTilgStart,9)),$J3879*($H3879+INDEX(DarlTilgung,9))/100/12,IF(AND($G3879=0,$G3878=1),MAX($K3878,$J3879*($H3879+1)/100/12),$K3878))))</f>
      </c>
      <c r="L3879" s="43">
        <f>IF($I3879=0,0,$J3879*$H3879/100/12)</f>
      </c>
      <c r="M3879" s="43">
        <f>IF($I3879=0,0,IF(OR(INDEX(DarlOhneTilgung,9)=1,AND(INDEX(DarlTilgStart,9)&gt;0,$E3879&lt;INDEX(DarlTilgStart,9))),0,MIN(MAX(0,$K3879-$L3879),$J3879)))</f>
      </c>
      <c r="N3879" s="43">
        <f>IF($I3879=0,0,MIN(SUMIFS(SondBetrag,SondDarl,9,SondDatum,"&gt;="&amp;$E3879,SondDatum,"&lt;="&amp;EOMONTH($E3879,0)),$J3879-$M3879))</f>
      </c>
      <c r="O3879" s="43">
        <f>IF($I3879=0,0,INDEX(DarlErsatzRate,9))</f>
      </c>
      <c r="P3879" s="43">
        <f>IF($I3879=0,0,$Q3878*INDEX(DarlErsatzZins,9))</f>
      </c>
      <c r="Q3879" s="43">
        <f>IF($I3879=0,0,$Q3878+$P3879+$O3879)</f>
      </c>
      <c r="R3879" s="43">
        <f>IF($I3879=0,0,$J3879-$M3879-$N3879)</f>
      </c>
    </row>
    <row r="3880">
      <c r="A3880"/>
      <c r="B3880">
        <v>9</v>
      </c>
      <c r="C3880" s="43">
        <f>INDEX(DarlObj,9)</f>
      </c>
      <c r="D3880">
        <v>37</v>
      </c>
      <c r="E3880" s="51">
        <f>IF(INDEX(DarlBelegt,9)=0,0,EOMONTH(INDEX(DarlAuszahlung,9),36)+1)</f>
      </c>
      <c r="F3880" s="43">
        <f>IF($E3880=0,0,YEAR($E3880))</f>
      </c>
      <c r="G3880" s="43">
        <f>IF(INDEX(DarlBindung,9)="",1,IF($E3880&lt;=INDEX(DarlBindung,9),1,0))</f>
      </c>
      <c r="H3880" s="43">
        <f>IF($G3880=1,INDEX(DarlSollzins,9),INDEX(DarlAnschluss,9))</f>
      </c>
      <c r="I3880" s="43">
        <f>IF(INDEX(DarlBelegt,9)=0,0,IF(INDEX(DarlOhneTilgung,9)=1,IF(INDEX(DarlBindung,9)="",1,$G3880),IF($J3880&gt;0.005,1,0)))</f>
      </c>
      <c r="J3880" s="43">
        <f>IF($I3879=0,0,$R3879)</f>
      </c>
      <c r="K3880" s="43">
        <f>IF($I3880=0,0,IF(INDEX(DarlOhneTilgung,9)=1,0,IF(AND(INDEX(DarlTilgStart,9)&gt;0,$E3880=INDEX(DarlTilgStart,9)),$J3880*($H3880+INDEX(DarlTilgung,9))/100/12,IF(AND($G3880=0,$G3879=1),MAX($K3879,$J3880*($H3880+1)/100/12),$K3879))))</f>
      </c>
      <c r="L3880" s="43">
        <f>IF($I3880=0,0,$J3880*$H3880/100/12)</f>
      </c>
      <c r="M3880" s="43">
        <f>IF($I3880=0,0,IF(OR(INDEX(DarlOhneTilgung,9)=1,AND(INDEX(DarlTilgStart,9)&gt;0,$E3880&lt;INDEX(DarlTilgStart,9))),0,MIN(MAX(0,$K3880-$L3880),$J3880)))</f>
      </c>
      <c r="N3880" s="43">
        <f>IF($I3880=0,0,MIN(SUMIFS(SondBetrag,SondDarl,9,SondDatum,"&gt;="&amp;$E3880,SondDatum,"&lt;="&amp;EOMONTH($E3880,0)),$J3880-$M3880))</f>
      </c>
      <c r="O3880" s="43">
        <f>IF($I3880=0,0,INDEX(DarlErsatzRate,9))</f>
      </c>
      <c r="P3880" s="43">
        <f>IF($I3880=0,0,$Q3879*INDEX(DarlErsatzZins,9))</f>
      </c>
      <c r="Q3880" s="43">
        <f>IF($I3880=0,0,$Q3879+$P3880+$O3880)</f>
      </c>
      <c r="R3880" s="43">
        <f>IF($I3880=0,0,$J3880-$M3880-$N3880)</f>
      </c>
    </row>
    <row r="3881">
      <c r="A3881"/>
      <c r="B3881">
        <v>9</v>
      </c>
      <c r="C3881" s="43">
        <f>INDEX(DarlObj,9)</f>
      </c>
      <c r="D3881">
        <v>38</v>
      </c>
      <c r="E3881" s="51">
        <f>IF(INDEX(DarlBelegt,9)=0,0,EOMONTH(INDEX(DarlAuszahlung,9),37)+1)</f>
      </c>
      <c r="F3881" s="43">
        <f>IF($E3881=0,0,YEAR($E3881))</f>
      </c>
      <c r="G3881" s="43">
        <f>IF(INDEX(DarlBindung,9)="",1,IF($E3881&lt;=INDEX(DarlBindung,9),1,0))</f>
      </c>
      <c r="H3881" s="43">
        <f>IF($G3881=1,INDEX(DarlSollzins,9),INDEX(DarlAnschluss,9))</f>
      </c>
      <c r="I3881" s="43">
        <f>IF(INDEX(DarlBelegt,9)=0,0,IF(INDEX(DarlOhneTilgung,9)=1,IF(INDEX(DarlBindung,9)="",1,$G3881),IF($J3881&gt;0.005,1,0)))</f>
      </c>
      <c r="J3881" s="43">
        <f>IF($I3880=0,0,$R3880)</f>
      </c>
      <c r="K3881" s="43">
        <f>IF($I3881=0,0,IF(INDEX(DarlOhneTilgung,9)=1,0,IF(AND(INDEX(DarlTilgStart,9)&gt;0,$E3881=INDEX(DarlTilgStart,9)),$J3881*($H3881+INDEX(DarlTilgung,9))/100/12,IF(AND($G3881=0,$G3880=1),MAX($K3880,$J3881*($H3881+1)/100/12),$K3880))))</f>
      </c>
      <c r="L3881" s="43">
        <f>IF($I3881=0,0,$J3881*$H3881/100/12)</f>
      </c>
      <c r="M3881" s="43">
        <f>IF($I3881=0,0,IF(OR(INDEX(DarlOhneTilgung,9)=1,AND(INDEX(DarlTilgStart,9)&gt;0,$E3881&lt;INDEX(DarlTilgStart,9))),0,MIN(MAX(0,$K3881-$L3881),$J3881)))</f>
      </c>
      <c r="N3881" s="43">
        <f>IF($I3881=0,0,MIN(SUMIFS(SondBetrag,SondDarl,9,SondDatum,"&gt;="&amp;$E3881,SondDatum,"&lt;="&amp;EOMONTH($E3881,0)),$J3881-$M3881))</f>
      </c>
      <c r="O3881" s="43">
        <f>IF($I3881=0,0,INDEX(DarlErsatzRate,9))</f>
      </c>
      <c r="P3881" s="43">
        <f>IF($I3881=0,0,$Q3880*INDEX(DarlErsatzZins,9))</f>
      </c>
      <c r="Q3881" s="43">
        <f>IF($I3881=0,0,$Q3880+$P3881+$O3881)</f>
      </c>
      <c r="R3881" s="43">
        <f>IF($I3881=0,0,$J3881-$M3881-$N3881)</f>
      </c>
    </row>
    <row r="3882">
      <c r="A3882"/>
      <c r="B3882">
        <v>9</v>
      </c>
      <c r="C3882" s="43">
        <f>INDEX(DarlObj,9)</f>
      </c>
      <c r="D3882">
        <v>39</v>
      </c>
      <c r="E3882" s="51">
        <f>IF(INDEX(DarlBelegt,9)=0,0,EOMONTH(INDEX(DarlAuszahlung,9),38)+1)</f>
      </c>
      <c r="F3882" s="43">
        <f>IF($E3882=0,0,YEAR($E3882))</f>
      </c>
      <c r="G3882" s="43">
        <f>IF(INDEX(DarlBindung,9)="",1,IF($E3882&lt;=INDEX(DarlBindung,9),1,0))</f>
      </c>
      <c r="H3882" s="43">
        <f>IF($G3882=1,INDEX(DarlSollzins,9),INDEX(DarlAnschluss,9))</f>
      </c>
      <c r="I3882" s="43">
        <f>IF(INDEX(DarlBelegt,9)=0,0,IF(INDEX(DarlOhneTilgung,9)=1,IF(INDEX(DarlBindung,9)="",1,$G3882),IF($J3882&gt;0.005,1,0)))</f>
      </c>
      <c r="J3882" s="43">
        <f>IF($I3881=0,0,$R3881)</f>
      </c>
      <c r="K3882" s="43">
        <f>IF($I3882=0,0,IF(INDEX(DarlOhneTilgung,9)=1,0,IF(AND(INDEX(DarlTilgStart,9)&gt;0,$E3882=INDEX(DarlTilgStart,9)),$J3882*($H3882+INDEX(DarlTilgung,9))/100/12,IF(AND($G3882=0,$G3881=1),MAX($K3881,$J3882*($H3882+1)/100/12),$K3881))))</f>
      </c>
      <c r="L3882" s="43">
        <f>IF($I3882=0,0,$J3882*$H3882/100/12)</f>
      </c>
      <c r="M3882" s="43">
        <f>IF($I3882=0,0,IF(OR(INDEX(DarlOhneTilgung,9)=1,AND(INDEX(DarlTilgStart,9)&gt;0,$E3882&lt;INDEX(DarlTilgStart,9))),0,MIN(MAX(0,$K3882-$L3882),$J3882)))</f>
      </c>
      <c r="N3882" s="43">
        <f>IF($I3882=0,0,MIN(SUMIFS(SondBetrag,SondDarl,9,SondDatum,"&gt;="&amp;$E3882,SondDatum,"&lt;="&amp;EOMONTH($E3882,0)),$J3882-$M3882))</f>
      </c>
      <c r="O3882" s="43">
        <f>IF($I3882=0,0,INDEX(DarlErsatzRate,9))</f>
      </c>
      <c r="P3882" s="43">
        <f>IF($I3882=0,0,$Q3881*INDEX(DarlErsatzZins,9))</f>
      </c>
      <c r="Q3882" s="43">
        <f>IF($I3882=0,0,$Q3881+$P3882+$O3882)</f>
      </c>
      <c r="R3882" s="43">
        <f>IF($I3882=0,0,$J3882-$M3882-$N3882)</f>
      </c>
    </row>
    <row r="3883">
      <c r="A3883"/>
      <c r="B3883">
        <v>9</v>
      </c>
      <c r="C3883" s="43">
        <f>INDEX(DarlObj,9)</f>
      </c>
      <c r="D3883">
        <v>40</v>
      </c>
      <c r="E3883" s="51">
        <f>IF(INDEX(DarlBelegt,9)=0,0,EOMONTH(INDEX(DarlAuszahlung,9),39)+1)</f>
      </c>
      <c r="F3883" s="43">
        <f>IF($E3883=0,0,YEAR($E3883))</f>
      </c>
      <c r="G3883" s="43">
        <f>IF(INDEX(DarlBindung,9)="",1,IF($E3883&lt;=INDEX(DarlBindung,9),1,0))</f>
      </c>
      <c r="H3883" s="43">
        <f>IF($G3883=1,INDEX(DarlSollzins,9),INDEX(DarlAnschluss,9))</f>
      </c>
      <c r="I3883" s="43">
        <f>IF(INDEX(DarlBelegt,9)=0,0,IF(INDEX(DarlOhneTilgung,9)=1,IF(INDEX(DarlBindung,9)="",1,$G3883),IF($J3883&gt;0.005,1,0)))</f>
      </c>
      <c r="J3883" s="43">
        <f>IF($I3882=0,0,$R3882)</f>
      </c>
      <c r="K3883" s="43">
        <f>IF($I3883=0,0,IF(INDEX(DarlOhneTilgung,9)=1,0,IF(AND(INDEX(DarlTilgStart,9)&gt;0,$E3883=INDEX(DarlTilgStart,9)),$J3883*($H3883+INDEX(DarlTilgung,9))/100/12,IF(AND($G3883=0,$G3882=1),MAX($K3882,$J3883*($H3883+1)/100/12),$K3882))))</f>
      </c>
      <c r="L3883" s="43">
        <f>IF($I3883=0,0,$J3883*$H3883/100/12)</f>
      </c>
      <c r="M3883" s="43">
        <f>IF($I3883=0,0,IF(OR(INDEX(DarlOhneTilgung,9)=1,AND(INDEX(DarlTilgStart,9)&gt;0,$E3883&lt;INDEX(DarlTilgStart,9))),0,MIN(MAX(0,$K3883-$L3883),$J3883)))</f>
      </c>
      <c r="N3883" s="43">
        <f>IF($I3883=0,0,MIN(SUMIFS(SondBetrag,SondDarl,9,SondDatum,"&gt;="&amp;$E3883,SondDatum,"&lt;="&amp;EOMONTH($E3883,0)),$J3883-$M3883))</f>
      </c>
      <c r="O3883" s="43">
        <f>IF($I3883=0,0,INDEX(DarlErsatzRate,9))</f>
      </c>
      <c r="P3883" s="43">
        <f>IF($I3883=0,0,$Q3882*INDEX(DarlErsatzZins,9))</f>
      </c>
      <c r="Q3883" s="43">
        <f>IF($I3883=0,0,$Q3882+$P3883+$O3883)</f>
      </c>
      <c r="R3883" s="43">
        <f>IF($I3883=0,0,$J3883-$M3883-$N3883)</f>
      </c>
    </row>
    <row r="3884">
      <c r="A3884"/>
      <c r="B3884">
        <v>9</v>
      </c>
      <c r="C3884" s="43">
        <f>INDEX(DarlObj,9)</f>
      </c>
      <c r="D3884">
        <v>41</v>
      </c>
      <c r="E3884" s="51">
        <f>IF(INDEX(DarlBelegt,9)=0,0,EOMONTH(INDEX(DarlAuszahlung,9),40)+1)</f>
      </c>
      <c r="F3884" s="43">
        <f>IF($E3884=0,0,YEAR($E3884))</f>
      </c>
      <c r="G3884" s="43">
        <f>IF(INDEX(DarlBindung,9)="",1,IF($E3884&lt;=INDEX(DarlBindung,9),1,0))</f>
      </c>
      <c r="H3884" s="43">
        <f>IF($G3884=1,INDEX(DarlSollzins,9),INDEX(DarlAnschluss,9))</f>
      </c>
      <c r="I3884" s="43">
        <f>IF(INDEX(DarlBelegt,9)=0,0,IF(INDEX(DarlOhneTilgung,9)=1,IF(INDEX(DarlBindung,9)="",1,$G3884),IF($J3884&gt;0.005,1,0)))</f>
      </c>
      <c r="J3884" s="43">
        <f>IF($I3883=0,0,$R3883)</f>
      </c>
      <c r="K3884" s="43">
        <f>IF($I3884=0,0,IF(INDEX(DarlOhneTilgung,9)=1,0,IF(AND(INDEX(DarlTilgStart,9)&gt;0,$E3884=INDEX(DarlTilgStart,9)),$J3884*($H3884+INDEX(DarlTilgung,9))/100/12,IF(AND($G3884=0,$G3883=1),MAX($K3883,$J3884*($H3884+1)/100/12),$K3883))))</f>
      </c>
      <c r="L3884" s="43">
        <f>IF($I3884=0,0,$J3884*$H3884/100/12)</f>
      </c>
      <c r="M3884" s="43">
        <f>IF($I3884=0,0,IF(OR(INDEX(DarlOhneTilgung,9)=1,AND(INDEX(DarlTilgStart,9)&gt;0,$E3884&lt;INDEX(DarlTilgStart,9))),0,MIN(MAX(0,$K3884-$L3884),$J3884)))</f>
      </c>
      <c r="N3884" s="43">
        <f>IF($I3884=0,0,MIN(SUMIFS(SondBetrag,SondDarl,9,SondDatum,"&gt;="&amp;$E3884,SondDatum,"&lt;="&amp;EOMONTH($E3884,0)),$J3884-$M3884))</f>
      </c>
      <c r="O3884" s="43">
        <f>IF($I3884=0,0,INDEX(DarlErsatzRate,9))</f>
      </c>
      <c r="P3884" s="43">
        <f>IF($I3884=0,0,$Q3883*INDEX(DarlErsatzZins,9))</f>
      </c>
      <c r="Q3884" s="43">
        <f>IF($I3884=0,0,$Q3883+$P3884+$O3884)</f>
      </c>
      <c r="R3884" s="43">
        <f>IF($I3884=0,0,$J3884-$M3884-$N3884)</f>
      </c>
    </row>
    <row r="3885">
      <c r="A3885"/>
      <c r="B3885">
        <v>9</v>
      </c>
      <c r="C3885" s="43">
        <f>INDEX(DarlObj,9)</f>
      </c>
      <c r="D3885">
        <v>42</v>
      </c>
      <c r="E3885" s="51">
        <f>IF(INDEX(DarlBelegt,9)=0,0,EOMONTH(INDEX(DarlAuszahlung,9),41)+1)</f>
      </c>
      <c r="F3885" s="43">
        <f>IF($E3885=0,0,YEAR($E3885))</f>
      </c>
      <c r="G3885" s="43">
        <f>IF(INDEX(DarlBindung,9)="",1,IF($E3885&lt;=INDEX(DarlBindung,9),1,0))</f>
      </c>
      <c r="H3885" s="43">
        <f>IF($G3885=1,INDEX(DarlSollzins,9),INDEX(DarlAnschluss,9))</f>
      </c>
      <c r="I3885" s="43">
        <f>IF(INDEX(DarlBelegt,9)=0,0,IF(INDEX(DarlOhneTilgung,9)=1,IF(INDEX(DarlBindung,9)="",1,$G3885),IF($J3885&gt;0.005,1,0)))</f>
      </c>
      <c r="J3885" s="43">
        <f>IF($I3884=0,0,$R3884)</f>
      </c>
      <c r="K3885" s="43">
        <f>IF($I3885=0,0,IF(INDEX(DarlOhneTilgung,9)=1,0,IF(AND(INDEX(DarlTilgStart,9)&gt;0,$E3885=INDEX(DarlTilgStart,9)),$J3885*($H3885+INDEX(DarlTilgung,9))/100/12,IF(AND($G3885=0,$G3884=1),MAX($K3884,$J3885*($H3885+1)/100/12),$K3884))))</f>
      </c>
      <c r="L3885" s="43">
        <f>IF($I3885=0,0,$J3885*$H3885/100/12)</f>
      </c>
      <c r="M3885" s="43">
        <f>IF($I3885=0,0,IF(OR(INDEX(DarlOhneTilgung,9)=1,AND(INDEX(DarlTilgStart,9)&gt;0,$E3885&lt;INDEX(DarlTilgStart,9))),0,MIN(MAX(0,$K3885-$L3885),$J3885)))</f>
      </c>
      <c r="N3885" s="43">
        <f>IF($I3885=0,0,MIN(SUMIFS(SondBetrag,SondDarl,9,SondDatum,"&gt;="&amp;$E3885,SondDatum,"&lt;="&amp;EOMONTH($E3885,0)),$J3885-$M3885))</f>
      </c>
      <c r="O3885" s="43">
        <f>IF($I3885=0,0,INDEX(DarlErsatzRate,9))</f>
      </c>
      <c r="P3885" s="43">
        <f>IF($I3885=0,0,$Q3884*INDEX(DarlErsatzZins,9))</f>
      </c>
      <c r="Q3885" s="43">
        <f>IF($I3885=0,0,$Q3884+$P3885+$O3885)</f>
      </c>
      <c r="R3885" s="43">
        <f>IF($I3885=0,0,$J3885-$M3885-$N3885)</f>
      </c>
    </row>
    <row r="3886">
      <c r="A3886"/>
      <c r="B3886">
        <v>9</v>
      </c>
      <c r="C3886" s="43">
        <f>INDEX(DarlObj,9)</f>
      </c>
      <c r="D3886">
        <v>43</v>
      </c>
      <c r="E3886" s="51">
        <f>IF(INDEX(DarlBelegt,9)=0,0,EOMONTH(INDEX(DarlAuszahlung,9),42)+1)</f>
      </c>
      <c r="F3886" s="43">
        <f>IF($E3886=0,0,YEAR($E3886))</f>
      </c>
      <c r="G3886" s="43">
        <f>IF(INDEX(DarlBindung,9)="",1,IF($E3886&lt;=INDEX(DarlBindung,9),1,0))</f>
      </c>
      <c r="H3886" s="43">
        <f>IF($G3886=1,INDEX(DarlSollzins,9),INDEX(DarlAnschluss,9))</f>
      </c>
      <c r="I3886" s="43">
        <f>IF(INDEX(DarlBelegt,9)=0,0,IF(INDEX(DarlOhneTilgung,9)=1,IF(INDEX(DarlBindung,9)="",1,$G3886),IF($J3886&gt;0.005,1,0)))</f>
      </c>
      <c r="J3886" s="43">
        <f>IF($I3885=0,0,$R3885)</f>
      </c>
      <c r="K3886" s="43">
        <f>IF($I3886=0,0,IF(INDEX(DarlOhneTilgung,9)=1,0,IF(AND(INDEX(DarlTilgStart,9)&gt;0,$E3886=INDEX(DarlTilgStart,9)),$J3886*($H3886+INDEX(DarlTilgung,9))/100/12,IF(AND($G3886=0,$G3885=1),MAX($K3885,$J3886*($H3886+1)/100/12),$K3885))))</f>
      </c>
      <c r="L3886" s="43">
        <f>IF($I3886=0,0,$J3886*$H3886/100/12)</f>
      </c>
      <c r="M3886" s="43">
        <f>IF($I3886=0,0,IF(OR(INDEX(DarlOhneTilgung,9)=1,AND(INDEX(DarlTilgStart,9)&gt;0,$E3886&lt;INDEX(DarlTilgStart,9))),0,MIN(MAX(0,$K3886-$L3886),$J3886)))</f>
      </c>
      <c r="N3886" s="43">
        <f>IF($I3886=0,0,MIN(SUMIFS(SondBetrag,SondDarl,9,SondDatum,"&gt;="&amp;$E3886,SondDatum,"&lt;="&amp;EOMONTH($E3886,0)),$J3886-$M3886))</f>
      </c>
      <c r="O3886" s="43">
        <f>IF($I3886=0,0,INDEX(DarlErsatzRate,9))</f>
      </c>
      <c r="P3886" s="43">
        <f>IF($I3886=0,0,$Q3885*INDEX(DarlErsatzZins,9))</f>
      </c>
      <c r="Q3886" s="43">
        <f>IF($I3886=0,0,$Q3885+$P3886+$O3886)</f>
      </c>
      <c r="R3886" s="43">
        <f>IF($I3886=0,0,$J3886-$M3886-$N3886)</f>
      </c>
    </row>
    <row r="3887">
      <c r="A3887"/>
      <c r="B3887">
        <v>9</v>
      </c>
      <c r="C3887" s="43">
        <f>INDEX(DarlObj,9)</f>
      </c>
      <c r="D3887">
        <v>44</v>
      </c>
      <c r="E3887" s="51">
        <f>IF(INDEX(DarlBelegt,9)=0,0,EOMONTH(INDEX(DarlAuszahlung,9),43)+1)</f>
      </c>
      <c r="F3887" s="43">
        <f>IF($E3887=0,0,YEAR($E3887))</f>
      </c>
      <c r="G3887" s="43">
        <f>IF(INDEX(DarlBindung,9)="",1,IF($E3887&lt;=INDEX(DarlBindung,9),1,0))</f>
      </c>
      <c r="H3887" s="43">
        <f>IF($G3887=1,INDEX(DarlSollzins,9),INDEX(DarlAnschluss,9))</f>
      </c>
      <c r="I3887" s="43">
        <f>IF(INDEX(DarlBelegt,9)=0,0,IF(INDEX(DarlOhneTilgung,9)=1,IF(INDEX(DarlBindung,9)="",1,$G3887),IF($J3887&gt;0.005,1,0)))</f>
      </c>
      <c r="J3887" s="43">
        <f>IF($I3886=0,0,$R3886)</f>
      </c>
      <c r="K3887" s="43">
        <f>IF($I3887=0,0,IF(INDEX(DarlOhneTilgung,9)=1,0,IF(AND(INDEX(DarlTilgStart,9)&gt;0,$E3887=INDEX(DarlTilgStart,9)),$J3887*($H3887+INDEX(DarlTilgung,9))/100/12,IF(AND($G3887=0,$G3886=1),MAX($K3886,$J3887*($H3887+1)/100/12),$K3886))))</f>
      </c>
      <c r="L3887" s="43">
        <f>IF($I3887=0,0,$J3887*$H3887/100/12)</f>
      </c>
      <c r="M3887" s="43">
        <f>IF($I3887=0,0,IF(OR(INDEX(DarlOhneTilgung,9)=1,AND(INDEX(DarlTilgStart,9)&gt;0,$E3887&lt;INDEX(DarlTilgStart,9))),0,MIN(MAX(0,$K3887-$L3887),$J3887)))</f>
      </c>
      <c r="N3887" s="43">
        <f>IF($I3887=0,0,MIN(SUMIFS(SondBetrag,SondDarl,9,SondDatum,"&gt;="&amp;$E3887,SondDatum,"&lt;="&amp;EOMONTH($E3887,0)),$J3887-$M3887))</f>
      </c>
      <c r="O3887" s="43">
        <f>IF($I3887=0,0,INDEX(DarlErsatzRate,9))</f>
      </c>
      <c r="P3887" s="43">
        <f>IF($I3887=0,0,$Q3886*INDEX(DarlErsatzZins,9))</f>
      </c>
      <c r="Q3887" s="43">
        <f>IF($I3887=0,0,$Q3886+$P3887+$O3887)</f>
      </c>
      <c r="R3887" s="43">
        <f>IF($I3887=0,0,$J3887-$M3887-$N3887)</f>
      </c>
    </row>
    <row r="3888">
      <c r="A3888"/>
      <c r="B3888">
        <v>9</v>
      </c>
      <c r="C3888" s="43">
        <f>INDEX(DarlObj,9)</f>
      </c>
      <c r="D3888">
        <v>45</v>
      </c>
      <c r="E3888" s="51">
        <f>IF(INDEX(DarlBelegt,9)=0,0,EOMONTH(INDEX(DarlAuszahlung,9),44)+1)</f>
      </c>
      <c r="F3888" s="43">
        <f>IF($E3888=0,0,YEAR($E3888))</f>
      </c>
      <c r="G3888" s="43">
        <f>IF(INDEX(DarlBindung,9)="",1,IF($E3888&lt;=INDEX(DarlBindung,9),1,0))</f>
      </c>
      <c r="H3888" s="43">
        <f>IF($G3888=1,INDEX(DarlSollzins,9),INDEX(DarlAnschluss,9))</f>
      </c>
      <c r="I3888" s="43">
        <f>IF(INDEX(DarlBelegt,9)=0,0,IF(INDEX(DarlOhneTilgung,9)=1,IF(INDEX(DarlBindung,9)="",1,$G3888),IF($J3888&gt;0.005,1,0)))</f>
      </c>
      <c r="J3888" s="43">
        <f>IF($I3887=0,0,$R3887)</f>
      </c>
      <c r="K3888" s="43">
        <f>IF($I3888=0,0,IF(INDEX(DarlOhneTilgung,9)=1,0,IF(AND(INDEX(DarlTilgStart,9)&gt;0,$E3888=INDEX(DarlTilgStart,9)),$J3888*($H3888+INDEX(DarlTilgung,9))/100/12,IF(AND($G3888=0,$G3887=1),MAX($K3887,$J3888*($H3888+1)/100/12),$K3887))))</f>
      </c>
      <c r="L3888" s="43">
        <f>IF($I3888=0,0,$J3888*$H3888/100/12)</f>
      </c>
      <c r="M3888" s="43">
        <f>IF($I3888=0,0,IF(OR(INDEX(DarlOhneTilgung,9)=1,AND(INDEX(DarlTilgStart,9)&gt;0,$E3888&lt;INDEX(DarlTilgStart,9))),0,MIN(MAX(0,$K3888-$L3888),$J3888)))</f>
      </c>
      <c r="N3888" s="43">
        <f>IF($I3888=0,0,MIN(SUMIFS(SondBetrag,SondDarl,9,SondDatum,"&gt;="&amp;$E3888,SondDatum,"&lt;="&amp;EOMONTH($E3888,0)),$J3888-$M3888))</f>
      </c>
      <c r="O3888" s="43">
        <f>IF($I3888=0,0,INDEX(DarlErsatzRate,9))</f>
      </c>
      <c r="P3888" s="43">
        <f>IF($I3888=0,0,$Q3887*INDEX(DarlErsatzZins,9))</f>
      </c>
      <c r="Q3888" s="43">
        <f>IF($I3888=0,0,$Q3887+$P3888+$O3888)</f>
      </c>
      <c r="R3888" s="43">
        <f>IF($I3888=0,0,$J3888-$M3888-$N3888)</f>
      </c>
    </row>
    <row r="3889">
      <c r="A3889"/>
      <c r="B3889">
        <v>9</v>
      </c>
      <c r="C3889" s="43">
        <f>INDEX(DarlObj,9)</f>
      </c>
      <c r="D3889">
        <v>46</v>
      </c>
      <c r="E3889" s="51">
        <f>IF(INDEX(DarlBelegt,9)=0,0,EOMONTH(INDEX(DarlAuszahlung,9),45)+1)</f>
      </c>
      <c r="F3889" s="43">
        <f>IF($E3889=0,0,YEAR($E3889))</f>
      </c>
      <c r="G3889" s="43">
        <f>IF(INDEX(DarlBindung,9)="",1,IF($E3889&lt;=INDEX(DarlBindung,9),1,0))</f>
      </c>
      <c r="H3889" s="43">
        <f>IF($G3889=1,INDEX(DarlSollzins,9),INDEX(DarlAnschluss,9))</f>
      </c>
      <c r="I3889" s="43">
        <f>IF(INDEX(DarlBelegt,9)=0,0,IF(INDEX(DarlOhneTilgung,9)=1,IF(INDEX(DarlBindung,9)="",1,$G3889),IF($J3889&gt;0.005,1,0)))</f>
      </c>
      <c r="J3889" s="43">
        <f>IF($I3888=0,0,$R3888)</f>
      </c>
      <c r="K3889" s="43">
        <f>IF($I3889=0,0,IF(INDEX(DarlOhneTilgung,9)=1,0,IF(AND(INDEX(DarlTilgStart,9)&gt;0,$E3889=INDEX(DarlTilgStart,9)),$J3889*($H3889+INDEX(DarlTilgung,9))/100/12,IF(AND($G3889=0,$G3888=1),MAX($K3888,$J3889*($H3889+1)/100/12),$K3888))))</f>
      </c>
      <c r="L3889" s="43">
        <f>IF($I3889=0,0,$J3889*$H3889/100/12)</f>
      </c>
      <c r="M3889" s="43">
        <f>IF($I3889=0,0,IF(OR(INDEX(DarlOhneTilgung,9)=1,AND(INDEX(DarlTilgStart,9)&gt;0,$E3889&lt;INDEX(DarlTilgStart,9))),0,MIN(MAX(0,$K3889-$L3889),$J3889)))</f>
      </c>
      <c r="N3889" s="43">
        <f>IF($I3889=0,0,MIN(SUMIFS(SondBetrag,SondDarl,9,SondDatum,"&gt;="&amp;$E3889,SondDatum,"&lt;="&amp;EOMONTH($E3889,0)),$J3889-$M3889))</f>
      </c>
      <c r="O3889" s="43">
        <f>IF($I3889=0,0,INDEX(DarlErsatzRate,9))</f>
      </c>
      <c r="P3889" s="43">
        <f>IF($I3889=0,0,$Q3888*INDEX(DarlErsatzZins,9))</f>
      </c>
      <c r="Q3889" s="43">
        <f>IF($I3889=0,0,$Q3888+$P3889+$O3889)</f>
      </c>
      <c r="R3889" s="43">
        <f>IF($I3889=0,0,$J3889-$M3889-$N3889)</f>
      </c>
    </row>
    <row r="3890">
      <c r="A3890"/>
      <c r="B3890">
        <v>9</v>
      </c>
      <c r="C3890" s="43">
        <f>INDEX(DarlObj,9)</f>
      </c>
      <c r="D3890">
        <v>47</v>
      </c>
      <c r="E3890" s="51">
        <f>IF(INDEX(DarlBelegt,9)=0,0,EOMONTH(INDEX(DarlAuszahlung,9),46)+1)</f>
      </c>
      <c r="F3890" s="43">
        <f>IF($E3890=0,0,YEAR($E3890))</f>
      </c>
      <c r="G3890" s="43">
        <f>IF(INDEX(DarlBindung,9)="",1,IF($E3890&lt;=INDEX(DarlBindung,9),1,0))</f>
      </c>
      <c r="H3890" s="43">
        <f>IF($G3890=1,INDEX(DarlSollzins,9),INDEX(DarlAnschluss,9))</f>
      </c>
      <c r="I3890" s="43">
        <f>IF(INDEX(DarlBelegt,9)=0,0,IF(INDEX(DarlOhneTilgung,9)=1,IF(INDEX(DarlBindung,9)="",1,$G3890),IF($J3890&gt;0.005,1,0)))</f>
      </c>
      <c r="J3890" s="43">
        <f>IF($I3889=0,0,$R3889)</f>
      </c>
      <c r="K3890" s="43">
        <f>IF($I3890=0,0,IF(INDEX(DarlOhneTilgung,9)=1,0,IF(AND(INDEX(DarlTilgStart,9)&gt;0,$E3890=INDEX(DarlTilgStart,9)),$J3890*($H3890+INDEX(DarlTilgung,9))/100/12,IF(AND($G3890=0,$G3889=1),MAX($K3889,$J3890*($H3890+1)/100/12),$K3889))))</f>
      </c>
      <c r="L3890" s="43">
        <f>IF($I3890=0,0,$J3890*$H3890/100/12)</f>
      </c>
      <c r="M3890" s="43">
        <f>IF($I3890=0,0,IF(OR(INDEX(DarlOhneTilgung,9)=1,AND(INDEX(DarlTilgStart,9)&gt;0,$E3890&lt;INDEX(DarlTilgStart,9))),0,MIN(MAX(0,$K3890-$L3890),$J3890)))</f>
      </c>
      <c r="N3890" s="43">
        <f>IF($I3890=0,0,MIN(SUMIFS(SondBetrag,SondDarl,9,SondDatum,"&gt;="&amp;$E3890,SondDatum,"&lt;="&amp;EOMONTH($E3890,0)),$J3890-$M3890))</f>
      </c>
      <c r="O3890" s="43">
        <f>IF($I3890=0,0,INDEX(DarlErsatzRate,9))</f>
      </c>
      <c r="P3890" s="43">
        <f>IF($I3890=0,0,$Q3889*INDEX(DarlErsatzZins,9))</f>
      </c>
      <c r="Q3890" s="43">
        <f>IF($I3890=0,0,$Q3889+$P3890+$O3890)</f>
      </c>
      <c r="R3890" s="43">
        <f>IF($I3890=0,0,$J3890-$M3890-$N3890)</f>
      </c>
    </row>
    <row r="3891">
      <c r="A3891"/>
      <c r="B3891">
        <v>9</v>
      </c>
      <c r="C3891" s="43">
        <f>INDEX(DarlObj,9)</f>
      </c>
      <c r="D3891">
        <v>48</v>
      </c>
      <c r="E3891" s="51">
        <f>IF(INDEX(DarlBelegt,9)=0,0,EOMONTH(INDEX(DarlAuszahlung,9),47)+1)</f>
      </c>
      <c r="F3891" s="43">
        <f>IF($E3891=0,0,YEAR($E3891))</f>
      </c>
      <c r="G3891" s="43">
        <f>IF(INDEX(DarlBindung,9)="",1,IF($E3891&lt;=INDEX(DarlBindung,9),1,0))</f>
      </c>
      <c r="H3891" s="43">
        <f>IF($G3891=1,INDEX(DarlSollzins,9),INDEX(DarlAnschluss,9))</f>
      </c>
      <c r="I3891" s="43">
        <f>IF(INDEX(DarlBelegt,9)=0,0,IF(INDEX(DarlOhneTilgung,9)=1,IF(INDEX(DarlBindung,9)="",1,$G3891),IF($J3891&gt;0.005,1,0)))</f>
      </c>
      <c r="J3891" s="43">
        <f>IF($I3890=0,0,$R3890)</f>
      </c>
      <c r="K3891" s="43">
        <f>IF($I3891=0,0,IF(INDEX(DarlOhneTilgung,9)=1,0,IF(AND(INDEX(DarlTilgStart,9)&gt;0,$E3891=INDEX(DarlTilgStart,9)),$J3891*($H3891+INDEX(DarlTilgung,9))/100/12,IF(AND($G3891=0,$G3890=1),MAX($K3890,$J3891*($H3891+1)/100/12),$K3890))))</f>
      </c>
      <c r="L3891" s="43">
        <f>IF($I3891=0,0,$J3891*$H3891/100/12)</f>
      </c>
      <c r="M3891" s="43">
        <f>IF($I3891=0,0,IF(OR(INDEX(DarlOhneTilgung,9)=1,AND(INDEX(DarlTilgStart,9)&gt;0,$E3891&lt;INDEX(DarlTilgStart,9))),0,MIN(MAX(0,$K3891-$L3891),$J3891)))</f>
      </c>
      <c r="N3891" s="43">
        <f>IF($I3891=0,0,MIN(SUMIFS(SondBetrag,SondDarl,9,SondDatum,"&gt;="&amp;$E3891,SondDatum,"&lt;="&amp;EOMONTH($E3891,0)),$J3891-$M3891))</f>
      </c>
      <c r="O3891" s="43">
        <f>IF($I3891=0,0,INDEX(DarlErsatzRate,9))</f>
      </c>
      <c r="P3891" s="43">
        <f>IF($I3891=0,0,$Q3890*INDEX(DarlErsatzZins,9))</f>
      </c>
      <c r="Q3891" s="43">
        <f>IF($I3891=0,0,$Q3890+$P3891+$O3891)</f>
      </c>
      <c r="R3891" s="43">
        <f>IF($I3891=0,0,$J3891-$M3891-$N3891)</f>
      </c>
    </row>
    <row r="3892">
      <c r="A3892"/>
      <c r="B3892">
        <v>9</v>
      </c>
      <c r="C3892" s="43">
        <f>INDEX(DarlObj,9)</f>
      </c>
      <c r="D3892">
        <v>49</v>
      </c>
      <c r="E3892" s="51">
        <f>IF(INDEX(DarlBelegt,9)=0,0,EOMONTH(INDEX(DarlAuszahlung,9),48)+1)</f>
      </c>
      <c r="F3892" s="43">
        <f>IF($E3892=0,0,YEAR($E3892))</f>
      </c>
      <c r="G3892" s="43">
        <f>IF(INDEX(DarlBindung,9)="",1,IF($E3892&lt;=INDEX(DarlBindung,9),1,0))</f>
      </c>
      <c r="H3892" s="43">
        <f>IF($G3892=1,INDEX(DarlSollzins,9),INDEX(DarlAnschluss,9))</f>
      </c>
      <c r="I3892" s="43">
        <f>IF(INDEX(DarlBelegt,9)=0,0,IF(INDEX(DarlOhneTilgung,9)=1,IF(INDEX(DarlBindung,9)="",1,$G3892),IF($J3892&gt;0.005,1,0)))</f>
      </c>
      <c r="J3892" s="43">
        <f>IF($I3891=0,0,$R3891)</f>
      </c>
      <c r="K3892" s="43">
        <f>IF($I3892=0,0,IF(INDEX(DarlOhneTilgung,9)=1,0,IF(AND(INDEX(DarlTilgStart,9)&gt;0,$E3892=INDEX(DarlTilgStart,9)),$J3892*($H3892+INDEX(DarlTilgung,9))/100/12,IF(AND($G3892=0,$G3891=1),MAX($K3891,$J3892*($H3892+1)/100/12),$K3891))))</f>
      </c>
      <c r="L3892" s="43">
        <f>IF($I3892=0,0,$J3892*$H3892/100/12)</f>
      </c>
      <c r="M3892" s="43">
        <f>IF($I3892=0,0,IF(OR(INDEX(DarlOhneTilgung,9)=1,AND(INDEX(DarlTilgStart,9)&gt;0,$E3892&lt;INDEX(DarlTilgStart,9))),0,MIN(MAX(0,$K3892-$L3892),$J3892)))</f>
      </c>
      <c r="N3892" s="43">
        <f>IF($I3892=0,0,MIN(SUMIFS(SondBetrag,SondDarl,9,SondDatum,"&gt;="&amp;$E3892,SondDatum,"&lt;="&amp;EOMONTH($E3892,0)),$J3892-$M3892))</f>
      </c>
      <c r="O3892" s="43">
        <f>IF($I3892=0,0,INDEX(DarlErsatzRate,9))</f>
      </c>
      <c r="P3892" s="43">
        <f>IF($I3892=0,0,$Q3891*INDEX(DarlErsatzZins,9))</f>
      </c>
      <c r="Q3892" s="43">
        <f>IF($I3892=0,0,$Q3891+$P3892+$O3892)</f>
      </c>
      <c r="R3892" s="43">
        <f>IF($I3892=0,0,$J3892-$M3892-$N3892)</f>
      </c>
    </row>
    <row r="3893">
      <c r="A3893"/>
      <c r="B3893">
        <v>9</v>
      </c>
      <c r="C3893" s="43">
        <f>INDEX(DarlObj,9)</f>
      </c>
      <c r="D3893">
        <v>50</v>
      </c>
      <c r="E3893" s="51">
        <f>IF(INDEX(DarlBelegt,9)=0,0,EOMONTH(INDEX(DarlAuszahlung,9),49)+1)</f>
      </c>
      <c r="F3893" s="43">
        <f>IF($E3893=0,0,YEAR($E3893))</f>
      </c>
      <c r="G3893" s="43">
        <f>IF(INDEX(DarlBindung,9)="",1,IF($E3893&lt;=INDEX(DarlBindung,9),1,0))</f>
      </c>
      <c r="H3893" s="43">
        <f>IF($G3893=1,INDEX(DarlSollzins,9),INDEX(DarlAnschluss,9))</f>
      </c>
      <c r="I3893" s="43">
        <f>IF(INDEX(DarlBelegt,9)=0,0,IF(INDEX(DarlOhneTilgung,9)=1,IF(INDEX(DarlBindung,9)="",1,$G3893),IF($J3893&gt;0.005,1,0)))</f>
      </c>
      <c r="J3893" s="43">
        <f>IF($I3892=0,0,$R3892)</f>
      </c>
      <c r="K3893" s="43">
        <f>IF($I3893=0,0,IF(INDEX(DarlOhneTilgung,9)=1,0,IF(AND(INDEX(DarlTilgStart,9)&gt;0,$E3893=INDEX(DarlTilgStart,9)),$J3893*($H3893+INDEX(DarlTilgung,9))/100/12,IF(AND($G3893=0,$G3892=1),MAX($K3892,$J3893*($H3893+1)/100/12),$K3892))))</f>
      </c>
      <c r="L3893" s="43">
        <f>IF($I3893=0,0,$J3893*$H3893/100/12)</f>
      </c>
      <c r="M3893" s="43">
        <f>IF($I3893=0,0,IF(OR(INDEX(DarlOhneTilgung,9)=1,AND(INDEX(DarlTilgStart,9)&gt;0,$E3893&lt;INDEX(DarlTilgStart,9))),0,MIN(MAX(0,$K3893-$L3893),$J3893)))</f>
      </c>
      <c r="N3893" s="43">
        <f>IF($I3893=0,0,MIN(SUMIFS(SondBetrag,SondDarl,9,SondDatum,"&gt;="&amp;$E3893,SondDatum,"&lt;="&amp;EOMONTH($E3893,0)),$J3893-$M3893))</f>
      </c>
      <c r="O3893" s="43">
        <f>IF($I3893=0,0,INDEX(DarlErsatzRate,9))</f>
      </c>
      <c r="P3893" s="43">
        <f>IF($I3893=0,0,$Q3892*INDEX(DarlErsatzZins,9))</f>
      </c>
      <c r="Q3893" s="43">
        <f>IF($I3893=0,0,$Q3892+$P3893+$O3893)</f>
      </c>
      <c r="R3893" s="43">
        <f>IF($I3893=0,0,$J3893-$M3893-$N3893)</f>
      </c>
    </row>
    <row r="3894">
      <c r="A3894"/>
      <c r="B3894">
        <v>9</v>
      </c>
      <c r="C3894" s="43">
        <f>INDEX(DarlObj,9)</f>
      </c>
      <c r="D3894">
        <v>51</v>
      </c>
      <c r="E3894" s="51">
        <f>IF(INDEX(DarlBelegt,9)=0,0,EOMONTH(INDEX(DarlAuszahlung,9),50)+1)</f>
      </c>
      <c r="F3894" s="43">
        <f>IF($E3894=0,0,YEAR($E3894))</f>
      </c>
      <c r="G3894" s="43">
        <f>IF(INDEX(DarlBindung,9)="",1,IF($E3894&lt;=INDEX(DarlBindung,9),1,0))</f>
      </c>
      <c r="H3894" s="43">
        <f>IF($G3894=1,INDEX(DarlSollzins,9),INDEX(DarlAnschluss,9))</f>
      </c>
      <c r="I3894" s="43">
        <f>IF(INDEX(DarlBelegt,9)=0,0,IF(INDEX(DarlOhneTilgung,9)=1,IF(INDEX(DarlBindung,9)="",1,$G3894),IF($J3894&gt;0.005,1,0)))</f>
      </c>
      <c r="J3894" s="43">
        <f>IF($I3893=0,0,$R3893)</f>
      </c>
      <c r="K3894" s="43">
        <f>IF($I3894=0,0,IF(INDEX(DarlOhneTilgung,9)=1,0,IF(AND(INDEX(DarlTilgStart,9)&gt;0,$E3894=INDEX(DarlTilgStart,9)),$J3894*($H3894+INDEX(DarlTilgung,9))/100/12,IF(AND($G3894=0,$G3893=1),MAX($K3893,$J3894*($H3894+1)/100/12),$K3893))))</f>
      </c>
      <c r="L3894" s="43">
        <f>IF($I3894=0,0,$J3894*$H3894/100/12)</f>
      </c>
      <c r="M3894" s="43">
        <f>IF($I3894=0,0,IF(OR(INDEX(DarlOhneTilgung,9)=1,AND(INDEX(DarlTilgStart,9)&gt;0,$E3894&lt;INDEX(DarlTilgStart,9))),0,MIN(MAX(0,$K3894-$L3894),$J3894)))</f>
      </c>
      <c r="N3894" s="43">
        <f>IF($I3894=0,0,MIN(SUMIFS(SondBetrag,SondDarl,9,SondDatum,"&gt;="&amp;$E3894,SondDatum,"&lt;="&amp;EOMONTH($E3894,0)),$J3894-$M3894))</f>
      </c>
      <c r="O3894" s="43">
        <f>IF($I3894=0,0,INDEX(DarlErsatzRate,9))</f>
      </c>
      <c r="P3894" s="43">
        <f>IF($I3894=0,0,$Q3893*INDEX(DarlErsatzZins,9))</f>
      </c>
      <c r="Q3894" s="43">
        <f>IF($I3894=0,0,$Q3893+$P3894+$O3894)</f>
      </c>
      <c r="R3894" s="43">
        <f>IF($I3894=0,0,$J3894-$M3894-$N3894)</f>
      </c>
    </row>
    <row r="3895">
      <c r="A3895"/>
      <c r="B3895">
        <v>9</v>
      </c>
      <c r="C3895" s="43">
        <f>INDEX(DarlObj,9)</f>
      </c>
      <c r="D3895">
        <v>52</v>
      </c>
      <c r="E3895" s="51">
        <f>IF(INDEX(DarlBelegt,9)=0,0,EOMONTH(INDEX(DarlAuszahlung,9),51)+1)</f>
      </c>
      <c r="F3895" s="43">
        <f>IF($E3895=0,0,YEAR($E3895))</f>
      </c>
      <c r="G3895" s="43">
        <f>IF(INDEX(DarlBindung,9)="",1,IF($E3895&lt;=INDEX(DarlBindung,9),1,0))</f>
      </c>
      <c r="H3895" s="43">
        <f>IF($G3895=1,INDEX(DarlSollzins,9),INDEX(DarlAnschluss,9))</f>
      </c>
      <c r="I3895" s="43">
        <f>IF(INDEX(DarlBelegt,9)=0,0,IF(INDEX(DarlOhneTilgung,9)=1,IF(INDEX(DarlBindung,9)="",1,$G3895),IF($J3895&gt;0.005,1,0)))</f>
      </c>
      <c r="J3895" s="43">
        <f>IF($I3894=0,0,$R3894)</f>
      </c>
      <c r="K3895" s="43">
        <f>IF($I3895=0,0,IF(INDEX(DarlOhneTilgung,9)=1,0,IF(AND(INDEX(DarlTilgStart,9)&gt;0,$E3895=INDEX(DarlTilgStart,9)),$J3895*($H3895+INDEX(DarlTilgung,9))/100/12,IF(AND($G3895=0,$G3894=1),MAX($K3894,$J3895*($H3895+1)/100/12),$K3894))))</f>
      </c>
      <c r="L3895" s="43">
        <f>IF($I3895=0,0,$J3895*$H3895/100/12)</f>
      </c>
      <c r="M3895" s="43">
        <f>IF($I3895=0,0,IF(OR(INDEX(DarlOhneTilgung,9)=1,AND(INDEX(DarlTilgStart,9)&gt;0,$E3895&lt;INDEX(DarlTilgStart,9))),0,MIN(MAX(0,$K3895-$L3895),$J3895)))</f>
      </c>
      <c r="N3895" s="43">
        <f>IF($I3895=0,0,MIN(SUMIFS(SondBetrag,SondDarl,9,SondDatum,"&gt;="&amp;$E3895,SondDatum,"&lt;="&amp;EOMONTH($E3895,0)),$J3895-$M3895))</f>
      </c>
      <c r="O3895" s="43">
        <f>IF($I3895=0,0,INDEX(DarlErsatzRate,9))</f>
      </c>
      <c r="P3895" s="43">
        <f>IF($I3895=0,0,$Q3894*INDEX(DarlErsatzZins,9))</f>
      </c>
      <c r="Q3895" s="43">
        <f>IF($I3895=0,0,$Q3894+$P3895+$O3895)</f>
      </c>
      <c r="R3895" s="43">
        <f>IF($I3895=0,0,$J3895-$M3895-$N3895)</f>
      </c>
    </row>
    <row r="3896">
      <c r="A3896"/>
      <c r="B3896">
        <v>9</v>
      </c>
      <c r="C3896" s="43">
        <f>INDEX(DarlObj,9)</f>
      </c>
      <c r="D3896">
        <v>53</v>
      </c>
      <c r="E3896" s="51">
        <f>IF(INDEX(DarlBelegt,9)=0,0,EOMONTH(INDEX(DarlAuszahlung,9),52)+1)</f>
      </c>
      <c r="F3896" s="43">
        <f>IF($E3896=0,0,YEAR($E3896))</f>
      </c>
      <c r="G3896" s="43">
        <f>IF(INDEX(DarlBindung,9)="",1,IF($E3896&lt;=INDEX(DarlBindung,9),1,0))</f>
      </c>
      <c r="H3896" s="43">
        <f>IF($G3896=1,INDEX(DarlSollzins,9),INDEX(DarlAnschluss,9))</f>
      </c>
      <c r="I3896" s="43">
        <f>IF(INDEX(DarlBelegt,9)=0,0,IF(INDEX(DarlOhneTilgung,9)=1,IF(INDEX(DarlBindung,9)="",1,$G3896),IF($J3896&gt;0.005,1,0)))</f>
      </c>
      <c r="J3896" s="43">
        <f>IF($I3895=0,0,$R3895)</f>
      </c>
      <c r="K3896" s="43">
        <f>IF($I3896=0,0,IF(INDEX(DarlOhneTilgung,9)=1,0,IF(AND(INDEX(DarlTilgStart,9)&gt;0,$E3896=INDEX(DarlTilgStart,9)),$J3896*($H3896+INDEX(DarlTilgung,9))/100/12,IF(AND($G3896=0,$G3895=1),MAX($K3895,$J3896*($H3896+1)/100/12),$K3895))))</f>
      </c>
      <c r="L3896" s="43">
        <f>IF($I3896=0,0,$J3896*$H3896/100/12)</f>
      </c>
      <c r="M3896" s="43">
        <f>IF($I3896=0,0,IF(OR(INDEX(DarlOhneTilgung,9)=1,AND(INDEX(DarlTilgStart,9)&gt;0,$E3896&lt;INDEX(DarlTilgStart,9))),0,MIN(MAX(0,$K3896-$L3896),$J3896)))</f>
      </c>
      <c r="N3896" s="43">
        <f>IF($I3896=0,0,MIN(SUMIFS(SondBetrag,SondDarl,9,SondDatum,"&gt;="&amp;$E3896,SondDatum,"&lt;="&amp;EOMONTH($E3896,0)),$J3896-$M3896))</f>
      </c>
      <c r="O3896" s="43">
        <f>IF($I3896=0,0,INDEX(DarlErsatzRate,9))</f>
      </c>
      <c r="P3896" s="43">
        <f>IF($I3896=0,0,$Q3895*INDEX(DarlErsatzZins,9))</f>
      </c>
      <c r="Q3896" s="43">
        <f>IF($I3896=0,0,$Q3895+$P3896+$O3896)</f>
      </c>
      <c r="R3896" s="43">
        <f>IF($I3896=0,0,$J3896-$M3896-$N3896)</f>
      </c>
    </row>
    <row r="3897">
      <c r="A3897"/>
      <c r="B3897">
        <v>9</v>
      </c>
      <c r="C3897" s="43">
        <f>INDEX(DarlObj,9)</f>
      </c>
      <c r="D3897">
        <v>54</v>
      </c>
      <c r="E3897" s="51">
        <f>IF(INDEX(DarlBelegt,9)=0,0,EOMONTH(INDEX(DarlAuszahlung,9),53)+1)</f>
      </c>
      <c r="F3897" s="43">
        <f>IF($E3897=0,0,YEAR($E3897))</f>
      </c>
      <c r="G3897" s="43">
        <f>IF(INDEX(DarlBindung,9)="",1,IF($E3897&lt;=INDEX(DarlBindung,9),1,0))</f>
      </c>
      <c r="H3897" s="43">
        <f>IF($G3897=1,INDEX(DarlSollzins,9),INDEX(DarlAnschluss,9))</f>
      </c>
      <c r="I3897" s="43">
        <f>IF(INDEX(DarlBelegt,9)=0,0,IF(INDEX(DarlOhneTilgung,9)=1,IF(INDEX(DarlBindung,9)="",1,$G3897),IF($J3897&gt;0.005,1,0)))</f>
      </c>
      <c r="J3897" s="43">
        <f>IF($I3896=0,0,$R3896)</f>
      </c>
      <c r="K3897" s="43">
        <f>IF($I3897=0,0,IF(INDEX(DarlOhneTilgung,9)=1,0,IF(AND(INDEX(DarlTilgStart,9)&gt;0,$E3897=INDEX(DarlTilgStart,9)),$J3897*($H3897+INDEX(DarlTilgung,9))/100/12,IF(AND($G3897=0,$G3896=1),MAX($K3896,$J3897*($H3897+1)/100/12),$K3896))))</f>
      </c>
      <c r="L3897" s="43">
        <f>IF($I3897=0,0,$J3897*$H3897/100/12)</f>
      </c>
      <c r="M3897" s="43">
        <f>IF($I3897=0,0,IF(OR(INDEX(DarlOhneTilgung,9)=1,AND(INDEX(DarlTilgStart,9)&gt;0,$E3897&lt;INDEX(DarlTilgStart,9))),0,MIN(MAX(0,$K3897-$L3897),$J3897)))</f>
      </c>
      <c r="N3897" s="43">
        <f>IF($I3897=0,0,MIN(SUMIFS(SondBetrag,SondDarl,9,SondDatum,"&gt;="&amp;$E3897,SondDatum,"&lt;="&amp;EOMONTH($E3897,0)),$J3897-$M3897))</f>
      </c>
      <c r="O3897" s="43">
        <f>IF($I3897=0,0,INDEX(DarlErsatzRate,9))</f>
      </c>
      <c r="P3897" s="43">
        <f>IF($I3897=0,0,$Q3896*INDEX(DarlErsatzZins,9))</f>
      </c>
      <c r="Q3897" s="43">
        <f>IF($I3897=0,0,$Q3896+$P3897+$O3897)</f>
      </c>
      <c r="R3897" s="43">
        <f>IF($I3897=0,0,$J3897-$M3897-$N3897)</f>
      </c>
    </row>
    <row r="3898">
      <c r="A3898"/>
      <c r="B3898">
        <v>9</v>
      </c>
      <c r="C3898" s="43">
        <f>INDEX(DarlObj,9)</f>
      </c>
      <c r="D3898">
        <v>55</v>
      </c>
      <c r="E3898" s="51">
        <f>IF(INDEX(DarlBelegt,9)=0,0,EOMONTH(INDEX(DarlAuszahlung,9),54)+1)</f>
      </c>
      <c r="F3898" s="43">
        <f>IF($E3898=0,0,YEAR($E3898))</f>
      </c>
      <c r="G3898" s="43">
        <f>IF(INDEX(DarlBindung,9)="",1,IF($E3898&lt;=INDEX(DarlBindung,9),1,0))</f>
      </c>
      <c r="H3898" s="43">
        <f>IF($G3898=1,INDEX(DarlSollzins,9),INDEX(DarlAnschluss,9))</f>
      </c>
      <c r="I3898" s="43">
        <f>IF(INDEX(DarlBelegt,9)=0,0,IF(INDEX(DarlOhneTilgung,9)=1,IF(INDEX(DarlBindung,9)="",1,$G3898),IF($J3898&gt;0.005,1,0)))</f>
      </c>
      <c r="J3898" s="43">
        <f>IF($I3897=0,0,$R3897)</f>
      </c>
      <c r="K3898" s="43">
        <f>IF($I3898=0,0,IF(INDEX(DarlOhneTilgung,9)=1,0,IF(AND(INDEX(DarlTilgStart,9)&gt;0,$E3898=INDEX(DarlTilgStart,9)),$J3898*($H3898+INDEX(DarlTilgung,9))/100/12,IF(AND($G3898=0,$G3897=1),MAX($K3897,$J3898*($H3898+1)/100/12),$K3897))))</f>
      </c>
      <c r="L3898" s="43">
        <f>IF($I3898=0,0,$J3898*$H3898/100/12)</f>
      </c>
      <c r="M3898" s="43">
        <f>IF($I3898=0,0,IF(OR(INDEX(DarlOhneTilgung,9)=1,AND(INDEX(DarlTilgStart,9)&gt;0,$E3898&lt;INDEX(DarlTilgStart,9))),0,MIN(MAX(0,$K3898-$L3898),$J3898)))</f>
      </c>
      <c r="N3898" s="43">
        <f>IF($I3898=0,0,MIN(SUMIFS(SondBetrag,SondDarl,9,SondDatum,"&gt;="&amp;$E3898,SondDatum,"&lt;="&amp;EOMONTH($E3898,0)),$J3898-$M3898))</f>
      </c>
      <c r="O3898" s="43">
        <f>IF($I3898=0,0,INDEX(DarlErsatzRate,9))</f>
      </c>
      <c r="P3898" s="43">
        <f>IF($I3898=0,0,$Q3897*INDEX(DarlErsatzZins,9))</f>
      </c>
      <c r="Q3898" s="43">
        <f>IF($I3898=0,0,$Q3897+$P3898+$O3898)</f>
      </c>
      <c r="R3898" s="43">
        <f>IF($I3898=0,0,$J3898-$M3898-$N3898)</f>
      </c>
    </row>
    <row r="3899">
      <c r="A3899"/>
      <c r="B3899">
        <v>9</v>
      </c>
      <c r="C3899" s="43">
        <f>INDEX(DarlObj,9)</f>
      </c>
      <c r="D3899">
        <v>56</v>
      </c>
      <c r="E3899" s="51">
        <f>IF(INDEX(DarlBelegt,9)=0,0,EOMONTH(INDEX(DarlAuszahlung,9),55)+1)</f>
      </c>
      <c r="F3899" s="43">
        <f>IF($E3899=0,0,YEAR($E3899))</f>
      </c>
      <c r="G3899" s="43">
        <f>IF(INDEX(DarlBindung,9)="",1,IF($E3899&lt;=INDEX(DarlBindung,9),1,0))</f>
      </c>
      <c r="H3899" s="43">
        <f>IF($G3899=1,INDEX(DarlSollzins,9),INDEX(DarlAnschluss,9))</f>
      </c>
      <c r="I3899" s="43">
        <f>IF(INDEX(DarlBelegt,9)=0,0,IF(INDEX(DarlOhneTilgung,9)=1,IF(INDEX(DarlBindung,9)="",1,$G3899),IF($J3899&gt;0.005,1,0)))</f>
      </c>
      <c r="J3899" s="43">
        <f>IF($I3898=0,0,$R3898)</f>
      </c>
      <c r="K3899" s="43">
        <f>IF($I3899=0,0,IF(INDEX(DarlOhneTilgung,9)=1,0,IF(AND(INDEX(DarlTilgStart,9)&gt;0,$E3899=INDEX(DarlTilgStart,9)),$J3899*($H3899+INDEX(DarlTilgung,9))/100/12,IF(AND($G3899=0,$G3898=1),MAX($K3898,$J3899*($H3899+1)/100/12),$K3898))))</f>
      </c>
      <c r="L3899" s="43">
        <f>IF($I3899=0,0,$J3899*$H3899/100/12)</f>
      </c>
      <c r="M3899" s="43">
        <f>IF($I3899=0,0,IF(OR(INDEX(DarlOhneTilgung,9)=1,AND(INDEX(DarlTilgStart,9)&gt;0,$E3899&lt;INDEX(DarlTilgStart,9))),0,MIN(MAX(0,$K3899-$L3899),$J3899)))</f>
      </c>
      <c r="N3899" s="43">
        <f>IF($I3899=0,0,MIN(SUMIFS(SondBetrag,SondDarl,9,SondDatum,"&gt;="&amp;$E3899,SondDatum,"&lt;="&amp;EOMONTH($E3899,0)),$J3899-$M3899))</f>
      </c>
      <c r="O3899" s="43">
        <f>IF($I3899=0,0,INDEX(DarlErsatzRate,9))</f>
      </c>
      <c r="P3899" s="43">
        <f>IF($I3899=0,0,$Q3898*INDEX(DarlErsatzZins,9))</f>
      </c>
      <c r="Q3899" s="43">
        <f>IF($I3899=0,0,$Q3898+$P3899+$O3899)</f>
      </c>
      <c r="R3899" s="43">
        <f>IF($I3899=0,0,$J3899-$M3899-$N3899)</f>
      </c>
    </row>
    <row r="3900">
      <c r="A3900"/>
      <c r="B3900">
        <v>9</v>
      </c>
      <c r="C3900" s="43">
        <f>INDEX(DarlObj,9)</f>
      </c>
      <c r="D3900">
        <v>57</v>
      </c>
      <c r="E3900" s="51">
        <f>IF(INDEX(DarlBelegt,9)=0,0,EOMONTH(INDEX(DarlAuszahlung,9),56)+1)</f>
      </c>
      <c r="F3900" s="43">
        <f>IF($E3900=0,0,YEAR($E3900))</f>
      </c>
      <c r="G3900" s="43">
        <f>IF(INDEX(DarlBindung,9)="",1,IF($E3900&lt;=INDEX(DarlBindung,9),1,0))</f>
      </c>
      <c r="H3900" s="43">
        <f>IF($G3900=1,INDEX(DarlSollzins,9),INDEX(DarlAnschluss,9))</f>
      </c>
      <c r="I3900" s="43">
        <f>IF(INDEX(DarlBelegt,9)=0,0,IF(INDEX(DarlOhneTilgung,9)=1,IF(INDEX(DarlBindung,9)="",1,$G3900),IF($J3900&gt;0.005,1,0)))</f>
      </c>
      <c r="J3900" s="43">
        <f>IF($I3899=0,0,$R3899)</f>
      </c>
      <c r="K3900" s="43">
        <f>IF($I3900=0,0,IF(INDEX(DarlOhneTilgung,9)=1,0,IF(AND(INDEX(DarlTilgStart,9)&gt;0,$E3900=INDEX(DarlTilgStart,9)),$J3900*($H3900+INDEX(DarlTilgung,9))/100/12,IF(AND($G3900=0,$G3899=1),MAX($K3899,$J3900*($H3900+1)/100/12),$K3899))))</f>
      </c>
      <c r="L3900" s="43">
        <f>IF($I3900=0,0,$J3900*$H3900/100/12)</f>
      </c>
      <c r="M3900" s="43">
        <f>IF($I3900=0,0,IF(OR(INDEX(DarlOhneTilgung,9)=1,AND(INDEX(DarlTilgStart,9)&gt;0,$E3900&lt;INDEX(DarlTilgStart,9))),0,MIN(MAX(0,$K3900-$L3900),$J3900)))</f>
      </c>
      <c r="N3900" s="43">
        <f>IF($I3900=0,0,MIN(SUMIFS(SondBetrag,SondDarl,9,SondDatum,"&gt;="&amp;$E3900,SondDatum,"&lt;="&amp;EOMONTH($E3900,0)),$J3900-$M3900))</f>
      </c>
      <c r="O3900" s="43">
        <f>IF($I3900=0,0,INDEX(DarlErsatzRate,9))</f>
      </c>
      <c r="P3900" s="43">
        <f>IF($I3900=0,0,$Q3899*INDEX(DarlErsatzZins,9))</f>
      </c>
      <c r="Q3900" s="43">
        <f>IF($I3900=0,0,$Q3899+$P3900+$O3900)</f>
      </c>
      <c r="R3900" s="43">
        <f>IF($I3900=0,0,$J3900-$M3900-$N3900)</f>
      </c>
    </row>
    <row r="3901">
      <c r="A3901"/>
      <c r="B3901">
        <v>9</v>
      </c>
      <c r="C3901" s="43">
        <f>INDEX(DarlObj,9)</f>
      </c>
      <c r="D3901">
        <v>58</v>
      </c>
      <c r="E3901" s="51">
        <f>IF(INDEX(DarlBelegt,9)=0,0,EOMONTH(INDEX(DarlAuszahlung,9),57)+1)</f>
      </c>
      <c r="F3901" s="43">
        <f>IF($E3901=0,0,YEAR($E3901))</f>
      </c>
      <c r="G3901" s="43">
        <f>IF(INDEX(DarlBindung,9)="",1,IF($E3901&lt;=INDEX(DarlBindung,9),1,0))</f>
      </c>
      <c r="H3901" s="43">
        <f>IF($G3901=1,INDEX(DarlSollzins,9),INDEX(DarlAnschluss,9))</f>
      </c>
      <c r="I3901" s="43">
        <f>IF(INDEX(DarlBelegt,9)=0,0,IF(INDEX(DarlOhneTilgung,9)=1,IF(INDEX(DarlBindung,9)="",1,$G3901),IF($J3901&gt;0.005,1,0)))</f>
      </c>
      <c r="J3901" s="43">
        <f>IF($I3900=0,0,$R3900)</f>
      </c>
      <c r="K3901" s="43">
        <f>IF($I3901=0,0,IF(INDEX(DarlOhneTilgung,9)=1,0,IF(AND(INDEX(DarlTilgStart,9)&gt;0,$E3901=INDEX(DarlTilgStart,9)),$J3901*($H3901+INDEX(DarlTilgung,9))/100/12,IF(AND($G3901=0,$G3900=1),MAX($K3900,$J3901*($H3901+1)/100/12),$K3900))))</f>
      </c>
      <c r="L3901" s="43">
        <f>IF($I3901=0,0,$J3901*$H3901/100/12)</f>
      </c>
      <c r="M3901" s="43">
        <f>IF($I3901=0,0,IF(OR(INDEX(DarlOhneTilgung,9)=1,AND(INDEX(DarlTilgStart,9)&gt;0,$E3901&lt;INDEX(DarlTilgStart,9))),0,MIN(MAX(0,$K3901-$L3901),$J3901)))</f>
      </c>
      <c r="N3901" s="43">
        <f>IF($I3901=0,0,MIN(SUMIFS(SondBetrag,SondDarl,9,SondDatum,"&gt;="&amp;$E3901,SondDatum,"&lt;="&amp;EOMONTH($E3901,0)),$J3901-$M3901))</f>
      </c>
      <c r="O3901" s="43">
        <f>IF($I3901=0,0,INDEX(DarlErsatzRate,9))</f>
      </c>
      <c r="P3901" s="43">
        <f>IF($I3901=0,0,$Q3900*INDEX(DarlErsatzZins,9))</f>
      </c>
      <c r="Q3901" s="43">
        <f>IF($I3901=0,0,$Q3900+$P3901+$O3901)</f>
      </c>
      <c r="R3901" s="43">
        <f>IF($I3901=0,0,$J3901-$M3901-$N3901)</f>
      </c>
    </row>
    <row r="3902">
      <c r="A3902"/>
      <c r="B3902">
        <v>9</v>
      </c>
      <c r="C3902" s="43">
        <f>INDEX(DarlObj,9)</f>
      </c>
      <c r="D3902">
        <v>59</v>
      </c>
      <c r="E3902" s="51">
        <f>IF(INDEX(DarlBelegt,9)=0,0,EOMONTH(INDEX(DarlAuszahlung,9),58)+1)</f>
      </c>
      <c r="F3902" s="43">
        <f>IF($E3902=0,0,YEAR($E3902))</f>
      </c>
      <c r="G3902" s="43">
        <f>IF(INDEX(DarlBindung,9)="",1,IF($E3902&lt;=INDEX(DarlBindung,9),1,0))</f>
      </c>
      <c r="H3902" s="43">
        <f>IF($G3902=1,INDEX(DarlSollzins,9),INDEX(DarlAnschluss,9))</f>
      </c>
      <c r="I3902" s="43">
        <f>IF(INDEX(DarlBelegt,9)=0,0,IF(INDEX(DarlOhneTilgung,9)=1,IF(INDEX(DarlBindung,9)="",1,$G3902),IF($J3902&gt;0.005,1,0)))</f>
      </c>
      <c r="J3902" s="43">
        <f>IF($I3901=0,0,$R3901)</f>
      </c>
      <c r="K3902" s="43">
        <f>IF($I3902=0,0,IF(INDEX(DarlOhneTilgung,9)=1,0,IF(AND(INDEX(DarlTilgStart,9)&gt;0,$E3902=INDEX(DarlTilgStart,9)),$J3902*($H3902+INDEX(DarlTilgung,9))/100/12,IF(AND($G3902=0,$G3901=1),MAX($K3901,$J3902*($H3902+1)/100/12),$K3901))))</f>
      </c>
      <c r="L3902" s="43">
        <f>IF($I3902=0,0,$J3902*$H3902/100/12)</f>
      </c>
      <c r="M3902" s="43">
        <f>IF($I3902=0,0,IF(OR(INDEX(DarlOhneTilgung,9)=1,AND(INDEX(DarlTilgStart,9)&gt;0,$E3902&lt;INDEX(DarlTilgStart,9))),0,MIN(MAX(0,$K3902-$L3902),$J3902)))</f>
      </c>
      <c r="N3902" s="43">
        <f>IF($I3902=0,0,MIN(SUMIFS(SondBetrag,SondDarl,9,SondDatum,"&gt;="&amp;$E3902,SondDatum,"&lt;="&amp;EOMONTH($E3902,0)),$J3902-$M3902))</f>
      </c>
      <c r="O3902" s="43">
        <f>IF($I3902=0,0,INDEX(DarlErsatzRate,9))</f>
      </c>
      <c r="P3902" s="43">
        <f>IF($I3902=0,0,$Q3901*INDEX(DarlErsatzZins,9))</f>
      </c>
      <c r="Q3902" s="43">
        <f>IF($I3902=0,0,$Q3901+$P3902+$O3902)</f>
      </c>
      <c r="R3902" s="43">
        <f>IF($I3902=0,0,$J3902-$M3902-$N3902)</f>
      </c>
    </row>
    <row r="3903">
      <c r="A3903"/>
      <c r="B3903">
        <v>9</v>
      </c>
      <c r="C3903" s="43">
        <f>INDEX(DarlObj,9)</f>
      </c>
      <c r="D3903">
        <v>60</v>
      </c>
      <c r="E3903" s="51">
        <f>IF(INDEX(DarlBelegt,9)=0,0,EOMONTH(INDEX(DarlAuszahlung,9),59)+1)</f>
      </c>
      <c r="F3903" s="43">
        <f>IF($E3903=0,0,YEAR($E3903))</f>
      </c>
      <c r="G3903" s="43">
        <f>IF(INDEX(DarlBindung,9)="",1,IF($E3903&lt;=INDEX(DarlBindung,9),1,0))</f>
      </c>
      <c r="H3903" s="43">
        <f>IF($G3903=1,INDEX(DarlSollzins,9),INDEX(DarlAnschluss,9))</f>
      </c>
      <c r="I3903" s="43">
        <f>IF(INDEX(DarlBelegt,9)=0,0,IF(INDEX(DarlOhneTilgung,9)=1,IF(INDEX(DarlBindung,9)="",1,$G3903),IF($J3903&gt;0.005,1,0)))</f>
      </c>
      <c r="J3903" s="43">
        <f>IF($I3902=0,0,$R3902)</f>
      </c>
      <c r="K3903" s="43">
        <f>IF($I3903=0,0,IF(INDEX(DarlOhneTilgung,9)=1,0,IF(AND(INDEX(DarlTilgStart,9)&gt;0,$E3903=INDEX(DarlTilgStart,9)),$J3903*($H3903+INDEX(DarlTilgung,9))/100/12,IF(AND($G3903=0,$G3902=1),MAX($K3902,$J3903*($H3903+1)/100/12),$K3902))))</f>
      </c>
      <c r="L3903" s="43">
        <f>IF($I3903=0,0,$J3903*$H3903/100/12)</f>
      </c>
      <c r="M3903" s="43">
        <f>IF($I3903=0,0,IF(OR(INDEX(DarlOhneTilgung,9)=1,AND(INDEX(DarlTilgStart,9)&gt;0,$E3903&lt;INDEX(DarlTilgStart,9))),0,MIN(MAX(0,$K3903-$L3903),$J3903)))</f>
      </c>
      <c r="N3903" s="43">
        <f>IF($I3903=0,0,MIN(SUMIFS(SondBetrag,SondDarl,9,SondDatum,"&gt;="&amp;$E3903,SondDatum,"&lt;="&amp;EOMONTH($E3903,0)),$J3903-$M3903))</f>
      </c>
      <c r="O3903" s="43">
        <f>IF($I3903=0,0,INDEX(DarlErsatzRate,9))</f>
      </c>
      <c r="P3903" s="43">
        <f>IF($I3903=0,0,$Q3902*INDEX(DarlErsatzZins,9))</f>
      </c>
      <c r="Q3903" s="43">
        <f>IF($I3903=0,0,$Q3902+$P3903+$O3903)</f>
      </c>
      <c r="R3903" s="43">
        <f>IF($I3903=0,0,$J3903-$M3903-$N3903)</f>
      </c>
    </row>
    <row r="3904">
      <c r="A3904"/>
      <c r="B3904">
        <v>9</v>
      </c>
      <c r="C3904" s="43">
        <f>INDEX(DarlObj,9)</f>
      </c>
      <c r="D3904">
        <v>61</v>
      </c>
      <c r="E3904" s="51">
        <f>IF(INDEX(DarlBelegt,9)=0,0,EOMONTH(INDEX(DarlAuszahlung,9),60)+1)</f>
      </c>
      <c r="F3904" s="43">
        <f>IF($E3904=0,0,YEAR($E3904))</f>
      </c>
      <c r="G3904" s="43">
        <f>IF(INDEX(DarlBindung,9)="",1,IF($E3904&lt;=INDEX(DarlBindung,9),1,0))</f>
      </c>
      <c r="H3904" s="43">
        <f>IF($G3904=1,INDEX(DarlSollzins,9),INDEX(DarlAnschluss,9))</f>
      </c>
      <c r="I3904" s="43">
        <f>IF(INDEX(DarlBelegt,9)=0,0,IF(INDEX(DarlOhneTilgung,9)=1,IF(INDEX(DarlBindung,9)="",1,$G3904),IF($J3904&gt;0.005,1,0)))</f>
      </c>
      <c r="J3904" s="43">
        <f>IF($I3903=0,0,$R3903)</f>
      </c>
      <c r="K3904" s="43">
        <f>IF($I3904=0,0,IF(INDEX(DarlOhneTilgung,9)=1,0,IF(AND(INDEX(DarlTilgStart,9)&gt;0,$E3904=INDEX(DarlTilgStart,9)),$J3904*($H3904+INDEX(DarlTilgung,9))/100/12,IF(AND($G3904=0,$G3903=1),MAX($K3903,$J3904*($H3904+1)/100/12),$K3903))))</f>
      </c>
      <c r="L3904" s="43">
        <f>IF($I3904=0,0,$J3904*$H3904/100/12)</f>
      </c>
      <c r="M3904" s="43">
        <f>IF($I3904=0,0,IF(OR(INDEX(DarlOhneTilgung,9)=1,AND(INDEX(DarlTilgStart,9)&gt;0,$E3904&lt;INDEX(DarlTilgStart,9))),0,MIN(MAX(0,$K3904-$L3904),$J3904)))</f>
      </c>
      <c r="N3904" s="43">
        <f>IF($I3904=0,0,MIN(SUMIFS(SondBetrag,SondDarl,9,SondDatum,"&gt;="&amp;$E3904,SondDatum,"&lt;="&amp;EOMONTH($E3904,0)),$J3904-$M3904))</f>
      </c>
      <c r="O3904" s="43">
        <f>IF($I3904=0,0,INDEX(DarlErsatzRate,9))</f>
      </c>
      <c r="P3904" s="43">
        <f>IF($I3904=0,0,$Q3903*INDEX(DarlErsatzZins,9))</f>
      </c>
      <c r="Q3904" s="43">
        <f>IF($I3904=0,0,$Q3903+$P3904+$O3904)</f>
      </c>
      <c r="R3904" s="43">
        <f>IF($I3904=0,0,$J3904-$M3904-$N3904)</f>
      </c>
    </row>
    <row r="3905">
      <c r="A3905"/>
      <c r="B3905">
        <v>9</v>
      </c>
      <c r="C3905" s="43">
        <f>INDEX(DarlObj,9)</f>
      </c>
      <c r="D3905">
        <v>62</v>
      </c>
      <c r="E3905" s="51">
        <f>IF(INDEX(DarlBelegt,9)=0,0,EOMONTH(INDEX(DarlAuszahlung,9),61)+1)</f>
      </c>
      <c r="F3905" s="43">
        <f>IF($E3905=0,0,YEAR($E3905))</f>
      </c>
      <c r="G3905" s="43">
        <f>IF(INDEX(DarlBindung,9)="",1,IF($E3905&lt;=INDEX(DarlBindung,9),1,0))</f>
      </c>
      <c r="H3905" s="43">
        <f>IF($G3905=1,INDEX(DarlSollzins,9),INDEX(DarlAnschluss,9))</f>
      </c>
      <c r="I3905" s="43">
        <f>IF(INDEX(DarlBelegt,9)=0,0,IF(INDEX(DarlOhneTilgung,9)=1,IF(INDEX(DarlBindung,9)="",1,$G3905),IF($J3905&gt;0.005,1,0)))</f>
      </c>
      <c r="J3905" s="43">
        <f>IF($I3904=0,0,$R3904)</f>
      </c>
      <c r="K3905" s="43">
        <f>IF($I3905=0,0,IF(INDEX(DarlOhneTilgung,9)=1,0,IF(AND(INDEX(DarlTilgStart,9)&gt;0,$E3905=INDEX(DarlTilgStart,9)),$J3905*($H3905+INDEX(DarlTilgung,9))/100/12,IF(AND($G3905=0,$G3904=1),MAX($K3904,$J3905*($H3905+1)/100/12),$K3904))))</f>
      </c>
      <c r="L3905" s="43">
        <f>IF($I3905=0,0,$J3905*$H3905/100/12)</f>
      </c>
      <c r="M3905" s="43">
        <f>IF($I3905=0,0,IF(OR(INDEX(DarlOhneTilgung,9)=1,AND(INDEX(DarlTilgStart,9)&gt;0,$E3905&lt;INDEX(DarlTilgStart,9))),0,MIN(MAX(0,$K3905-$L3905),$J3905)))</f>
      </c>
      <c r="N3905" s="43">
        <f>IF($I3905=0,0,MIN(SUMIFS(SondBetrag,SondDarl,9,SondDatum,"&gt;="&amp;$E3905,SondDatum,"&lt;="&amp;EOMONTH($E3905,0)),$J3905-$M3905))</f>
      </c>
      <c r="O3905" s="43">
        <f>IF($I3905=0,0,INDEX(DarlErsatzRate,9))</f>
      </c>
      <c r="P3905" s="43">
        <f>IF($I3905=0,0,$Q3904*INDEX(DarlErsatzZins,9))</f>
      </c>
      <c r="Q3905" s="43">
        <f>IF($I3905=0,0,$Q3904+$P3905+$O3905)</f>
      </c>
      <c r="R3905" s="43">
        <f>IF($I3905=0,0,$J3905-$M3905-$N3905)</f>
      </c>
    </row>
    <row r="3906">
      <c r="A3906"/>
      <c r="B3906">
        <v>9</v>
      </c>
      <c r="C3906" s="43">
        <f>INDEX(DarlObj,9)</f>
      </c>
      <c r="D3906">
        <v>63</v>
      </c>
      <c r="E3906" s="51">
        <f>IF(INDEX(DarlBelegt,9)=0,0,EOMONTH(INDEX(DarlAuszahlung,9),62)+1)</f>
      </c>
      <c r="F3906" s="43">
        <f>IF($E3906=0,0,YEAR($E3906))</f>
      </c>
      <c r="G3906" s="43">
        <f>IF(INDEX(DarlBindung,9)="",1,IF($E3906&lt;=INDEX(DarlBindung,9),1,0))</f>
      </c>
      <c r="H3906" s="43">
        <f>IF($G3906=1,INDEX(DarlSollzins,9),INDEX(DarlAnschluss,9))</f>
      </c>
      <c r="I3906" s="43">
        <f>IF(INDEX(DarlBelegt,9)=0,0,IF(INDEX(DarlOhneTilgung,9)=1,IF(INDEX(DarlBindung,9)="",1,$G3906),IF($J3906&gt;0.005,1,0)))</f>
      </c>
      <c r="J3906" s="43">
        <f>IF($I3905=0,0,$R3905)</f>
      </c>
      <c r="K3906" s="43">
        <f>IF($I3906=0,0,IF(INDEX(DarlOhneTilgung,9)=1,0,IF(AND(INDEX(DarlTilgStart,9)&gt;0,$E3906=INDEX(DarlTilgStart,9)),$J3906*($H3906+INDEX(DarlTilgung,9))/100/12,IF(AND($G3906=0,$G3905=1),MAX($K3905,$J3906*($H3906+1)/100/12),$K3905))))</f>
      </c>
      <c r="L3906" s="43">
        <f>IF($I3906=0,0,$J3906*$H3906/100/12)</f>
      </c>
      <c r="M3906" s="43">
        <f>IF($I3906=0,0,IF(OR(INDEX(DarlOhneTilgung,9)=1,AND(INDEX(DarlTilgStart,9)&gt;0,$E3906&lt;INDEX(DarlTilgStart,9))),0,MIN(MAX(0,$K3906-$L3906),$J3906)))</f>
      </c>
      <c r="N3906" s="43">
        <f>IF($I3906=0,0,MIN(SUMIFS(SondBetrag,SondDarl,9,SondDatum,"&gt;="&amp;$E3906,SondDatum,"&lt;="&amp;EOMONTH($E3906,0)),$J3906-$M3906))</f>
      </c>
      <c r="O3906" s="43">
        <f>IF($I3906=0,0,INDEX(DarlErsatzRate,9))</f>
      </c>
      <c r="P3906" s="43">
        <f>IF($I3906=0,0,$Q3905*INDEX(DarlErsatzZins,9))</f>
      </c>
      <c r="Q3906" s="43">
        <f>IF($I3906=0,0,$Q3905+$P3906+$O3906)</f>
      </c>
      <c r="R3906" s="43">
        <f>IF($I3906=0,0,$J3906-$M3906-$N3906)</f>
      </c>
    </row>
    <row r="3907">
      <c r="A3907"/>
      <c r="B3907">
        <v>9</v>
      </c>
      <c r="C3907" s="43">
        <f>INDEX(DarlObj,9)</f>
      </c>
      <c r="D3907">
        <v>64</v>
      </c>
      <c r="E3907" s="51">
        <f>IF(INDEX(DarlBelegt,9)=0,0,EOMONTH(INDEX(DarlAuszahlung,9),63)+1)</f>
      </c>
      <c r="F3907" s="43">
        <f>IF($E3907=0,0,YEAR($E3907))</f>
      </c>
      <c r="G3907" s="43">
        <f>IF(INDEX(DarlBindung,9)="",1,IF($E3907&lt;=INDEX(DarlBindung,9),1,0))</f>
      </c>
      <c r="H3907" s="43">
        <f>IF($G3907=1,INDEX(DarlSollzins,9),INDEX(DarlAnschluss,9))</f>
      </c>
      <c r="I3907" s="43">
        <f>IF(INDEX(DarlBelegt,9)=0,0,IF(INDEX(DarlOhneTilgung,9)=1,IF(INDEX(DarlBindung,9)="",1,$G3907),IF($J3907&gt;0.005,1,0)))</f>
      </c>
      <c r="J3907" s="43">
        <f>IF($I3906=0,0,$R3906)</f>
      </c>
      <c r="K3907" s="43">
        <f>IF($I3907=0,0,IF(INDEX(DarlOhneTilgung,9)=1,0,IF(AND(INDEX(DarlTilgStart,9)&gt;0,$E3907=INDEX(DarlTilgStart,9)),$J3907*($H3907+INDEX(DarlTilgung,9))/100/12,IF(AND($G3907=0,$G3906=1),MAX($K3906,$J3907*($H3907+1)/100/12),$K3906))))</f>
      </c>
      <c r="L3907" s="43">
        <f>IF($I3907=0,0,$J3907*$H3907/100/12)</f>
      </c>
      <c r="M3907" s="43">
        <f>IF($I3907=0,0,IF(OR(INDEX(DarlOhneTilgung,9)=1,AND(INDEX(DarlTilgStart,9)&gt;0,$E3907&lt;INDEX(DarlTilgStart,9))),0,MIN(MAX(0,$K3907-$L3907),$J3907)))</f>
      </c>
      <c r="N3907" s="43">
        <f>IF($I3907=0,0,MIN(SUMIFS(SondBetrag,SondDarl,9,SondDatum,"&gt;="&amp;$E3907,SondDatum,"&lt;="&amp;EOMONTH($E3907,0)),$J3907-$M3907))</f>
      </c>
      <c r="O3907" s="43">
        <f>IF($I3907=0,0,INDEX(DarlErsatzRate,9))</f>
      </c>
      <c r="P3907" s="43">
        <f>IF($I3907=0,0,$Q3906*INDEX(DarlErsatzZins,9))</f>
      </c>
      <c r="Q3907" s="43">
        <f>IF($I3907=0,0,$Q3906+$P3907+$O3907)</f>
      </c>
      <c r="R3907" s="43">
        <f>IF($I3907=0,0,$J3907-$M3907-$N3907)</f>
      </c>
    </row>
    <row r="3908">
      <c r="A3908"/>
      <c r="B3908">
        <v>9</v>
      </c>
      <c r="C3908" s="43">
        <f>INDEX(DarlObj,9)</f>
      </c>
      <c r="D3908">
        <v>65</v>
      </c>
      <c r="E3908" s="51">
        <f>IF(INDEX(DarlBelegt,9)=0,0,EOMONTH(INDEX(DarlAuszahlung,9),64)+1)</f>
      </c>
      <c r="F3908" s="43">
        <f>IF($E3908=0,0,YEAR($E3908))</f>
      </c>
      <c r="G3908" s="43">
        <f>IF(INDEX(DarlBindung,9)="",1,IF($E3908&lt;=INDEX(DarlBindung,9),1,0))</f>
      </c>
      <c r="H3908" s="43">
        <f>IF($G3908=1,INDEX(DarlSollzins,9),INDEX(DarlAnschluss,9))</f>
      </c>
      <c r="I3908" s="43">
        <f>IF(INDEX(DarlBelegt,9)=0,0,IF(INDEX(DarlOhneTilgung,9)=1,IF(INDEX(DarlBindung,9)="",1,$G3908),IF($J3908&gt;0.005,1,0)))</f>
      </c>
      <c r="J3908" s="43">
        <f>IF($I3907=0,0,$R3907)</f>
      </c>
      <c r="K3908" s="43">
        <f>IF($I3908=0,0,IF(INDEX(DarlOhneTilgung,9)=1,0,IF(AND(INDEX(DarlTilgStart,9)&gt;0,$E3908=INDEX(DarlTilgStart,9)),$J3908*($H3908+INDEX(DarlTilgung,9))/100/12,IF(AND($G3908=0,$G3907=1),MAX($K3907,$J3908*($H3908+1)/100/12),$K3907))))</f>
      </c>
      <c r="L3908" s="43">
        <f>IF($I3908=0,0,$J3908*$H3908/100/12)</f>
      </c>
      <c r="M3908" s="43">
        <f>IF($I3908=0,0,IF(OR(INDEX(DarlOhneTilgung,9)=1,AND(INDEX(DarlTilgStart,9)&gt;0,$E3908&lt;INDEX(DarlTilgStart,9))),0,MIN(MAX(0,$K3908-$L3908),$J3908)))</f>
      </c>
      <c r="N3908" s="43">
        <f>IF($I3908=0,0,MIN(SUMIFS(SondBetrag,SondDarl,9,SondDatum,"&gt;="&amp;$E3908,SondDatum,"&lt;="&amp;EOMONTH($E3908,0)),$J3908-$M3908))</f>
      </c>
      <c r="O3908" s="43">
        <f>IF($I3908=0,0,INDEX(DarlErsatzRate,9))</f>
      </c>
      <c r="P3908" s="43">
        <f>IF($I3908=0,0,$Q3907*INDEX(DarlErsatzZins,9))</f>
      </c>
      <c r="Q3908" s="43">
        <f>IF($I3908=0,0,$Q3907+$P3908+$O3908)</f>
      </c>
      <c r="R3908" s="43">
        <f>IF($I3908=0,0,$J3908-$M3908-$N3908)</f>
      </c>
    </row>
    <row r="3909">
      <c r="A3909"/>
      <c r="B3909">
        <v>9</v>
      </c>
      <c r="C3909" s="43">
        <f>INDEX(DarlObj,9)</f>
      </c>
      <c r="D3909">
        <v>66</v>
      </c>
      <c r="E3909" s="51">
        <f>IF(INDEX(DarlBelegt,9)=0,0,EOMONTH(INDEX(DarlAuszahlung,9),65)+1)</f>
      </c>
      <c r="F3909" s="43">
        <f>IF($E3909=0,0,YEAR($E3909))</f>
      </c>
      <c r="G3909" s="43">
        <f>IF(INDEX(DarlBindung,9)="",1,IF($E3909&lt;=INDEX(DarlBindung,9),1,0))</f>
      </c>
      <c r="H3909" s="43">
        <f>IF($G3909=1,INDEX(DarlSollzins,9),INDEX(DarlAnschluss,9))</f>
      </c>
      <c r="I3909" s="43">
        <f>IF(INDEX(DarlBelegt,9)=0,0,IF(INDEX(DarlOhneTilgung,9)=1,IF(INDEX(DarlBindung,9)="",1,$G3909),IF($J3909&gt;0.005,1,0)))</f>
      </c>
      <c r="J3909" s="43">
        <f>IF($I3908=0,0,$R3908)</f>
      </c>
      <c r="K3909" s="43">
        <f>IF($I3909=0,0,IF(INDEX(DarlOhneTilgung,9)=1,0,IF(AND(INDEX(DarlTilgStart,9)&gt;0,$E3909=INDEX(DarlTilgStart,9)),$J3909*($H3909+INDEX(DarlTilgung,9))/100/12,IF(AND($G3909=0,$G3908=1),MAX($K3908,$J3909*($H3909+1)/100/12),$K3908))))</f>
      </c>
      <c r="L3909" s="43">
        <f>IF($I3909=0,0,$J3909*$H3909/100/12)</f>
      </c>
      <c r="M3909" s="43">
        <f>IF($I3909=0,0,IF(OR(INDEX(DarlOhneTilgung,9)=1,AND(INDEX(DarlTilgStart,9)&gt;0,$E3909&lt;INDEX(DarlTilgStart,9))),0,MIN(MAX(0,$K3909-$L3909),$J3909)))</f>
      </c>
      <c r="N3909" s="43">
        <f>IF($I3909=0,0,MIN(SUMIFS(SondBetrag,SondDarl,9,SondDatum,"&gt;="&amp;$E3909,SondDatum,"&lt;="&amp;EOMONTH($E3909,0)),$J3909-$M3909))</f>
      </c>
      <c r="O3909" s="43">
        <f>IF($I3909=0,0,INDEX(DarlErsatzRate,9))</f>
      </c>
      <c r="P3909" s="43">
        <f>IF($I3909=0,0,$Q3908*INDEX(DarlErsatzZins,9))</f>
      </c>
      <c r="Q3909" s="43">
        <f>IF($I3909=0,0,$Q3908+$P3909+$O3909)</f>
      </c>
      <c r="R3909" s="43">
        <f>IF($I3909=0,0,$J3909-$M3909-$N3909)</f>
      </c>
    </row>
    <row r="3910">
      <c r="A3910"/>
      <c r="B3910">
        <v>9</v>
      </c>
      <c r="C3910" s="43">
        <f>INDEX(DarlObj,9)</f>
      </c>
      <c r="D3910">
        <v>67</v>
      </c>
      <c r="E3910" s="51">
        <f>IF(INDEX(DarlBelegt,9)=0,0,EOMONTH(INDEX(DarlAuszahlung,9),66)+1)</f>
      </c>
      <c r="F3910" s="43">
        <f>IF($E3910=0,0,YEAR($E3910))</f>
      </c>
      <c r="G3910" s="43">
        <f>IF(INDEX(DarlBindung,9)="",1,IF($E3910&lt;=INDEX(DarlBindung,9),1,0))</f>
      </c>
      <c r="H3910" s="43">
        <f>IF($G3910=1,INDEX(DarlSollzins,9),INDEX(DarlAnschluss,9))</f>
      </c>
      <c r="I3910" s="43">
        <f>IF(INDEX(DarlBelegt,9)=0,0,IF(INDEX(DarlOhneTilgung,9)=1,IF(INDEX(DarlBindung,9)="",1,$G3910),IF($J3910&gt;0.005,1,0)))</f>
      </c>
      <c r="J3910" s="43">
        <f>IF($I3909=0,0,$R3909)</f>
      </c>
      <c r="K3910" s="43">
        <f>IF($I3910=0,0,IF(INDEX(DarlOhneTilgung,9)=1,0,IF(AND(INDEX(DarlTilgStart,9)&gt;0,$E3910=INDEX(DarlTilgStart,9)),$J3910*($H3910+INDEX(DarlTilgung,9))/100/12,IF(AND($G3910=0,$G3909=1),MAX($K3909,$J3910*($H3910+1)/100/12),$K3909))))</f>
      </c>
      <c r="L3910" s="43">
        <f>IF($I3910=0,0,$J3910*$H3910/100/12)</f>
      </c>
      <c r="M3910" s="43">
        <f>IF($I3910=0,0,IF(OR(INDEX(DarlOhneTilgung,9)=1,AND(INDEX(DarlTilgStart,9)&gt;0,$E3910&lt;INDEX(DarlTilgStart,9))),0,MIN(MAX(0,$K3910-$L3910),$J3910)))</f>
      </c>
      <c r="N3910" s="43">
        <f>IF($I3910=0,0,MIN(SUMIFS(SondBetrag,SondDarl,9,SondDatum,"&gt;="&amp;$E3910,SondDatum,"&lt;="&amp;EOMONTH($E3910,0)),$J3910-$M3910))</f>
      </c>
      <c r="O3910" s="43">
        <f>IF($I3910=0,0,INDEX(DarlErsatzRate,9))</f>
      </c>
      <c r="P3910" s="43">
        <f>IF($I3910=0,0,$Q3909*INDEX(DarlErsatzZins,9))</f>
      </c>
      <c r="Q3910" s="43">
        <f>IF($I3910=0,0,$Q3909+$P3910+$O3910)</f>
      </c>
      <c r="R3910" s="43">
        <f>IF($I3910=0,0,$J3910-$M3910-$N3910)</f>
      </c>
    </row>
    <row r="3911">
      <c r="A3911"/>
      <c r="B3911">
        <v>9</v>
      </c>
      <c r="C3911" s="43">
        <f>INDEX(DarlObj,9)</f>
      </c>
      <c r="D3911">
        <v>68</v>
      </c>
      <c r="E3911" s="51">
        <f>IF(INDEX(DarlBelegt,9)=0,0,EOMONTH(INDEX(DarlAuszahlung,9),67)+1)</f>
      </c>
      <c r="F3911" s="43">
        <f>IF($E3911=0,0,YEAR($E3911))</f>
      </c>
      <c r="G3911" s="43">
        <f>IF(INDEX(DarlBindung,9)="",1,IF($E3911&lt;=INDEX(DarlBindung,9),1,0))</f>
      </c>
      <c r="H3911" s="43">
        <f>IF($G3911=1,INDEX(DarlSollzins,9),INDEX(DarlAnschluss,9))</f>
      </c>
      <c r="I3911" s="43">
        <f>IF(INDEX(DarlBelegt,9)=0,0,IF(INDEX(DarlOhneTilgung,9)=1,IF(INDEX(DarlBindung,9)="",1,$G3911),IF($J3911&gt;0.005,1,0)))</f>
      </c>
      <c r="J3911" s="43">
        <f>IF($I3910=0,0,$R3910)</f>
      </c>
      <c r="K3911" s="43">
        <f>IF($I3911=0,0,IF(INDEX(DarlOhneTilgung,9)=1,0,IF(AND(INDEX(DarlTilgStart,9)&gt;0,$E3911=INDEX(DarlTilgStart,9)),$J3911*($H3911+INDEX(DarlTilgung,9))/100/12,IF(AND($G3911=0,$G3910=1),MAX($K3910,$J3911*($H3911+1)/100/12),$K3910))))</f>
      </c>
      <c r="L3911" s="43">
        <f>IF($I3911=0,0,$J3911*$H3911/100/12)</f>
      </c>
      <c r="M3911" s="43">
        <f>IF($I3911=0,0,IF(OR(INDEX(DarlOhneTilgung,9)=1,AND(INDEX(DarlTilgStart,9)&gt;0,$E3911&lt;INDEX(DarlTilgStart,9))),0,MIN(MAX(0,$K3911-$L3911),$J3911)))</f>
      </c>
      <c r="N3911" s="43">
        <f>IF($I3911=0,0,MIN(SUMIFS(SondBetrag,SondDarl,9,SondDatum,"&gt;="&amp;$E3911,SondDatum,"&lt;="&amp;EOMONTH($E3911,0)),$J3911-$M3911))</f>
      </c>
      <c r="O3911" s="43">
        <f>IF($I3911=0,0,INDEX(DarlErsatzRate,9))</f>
      </c>
      <c r="P3911" s="43">
        <f>IF($I3911=0,0,$Q3910*INDEX(DarlErsatzZins,9))</f>
      </c>
      <c r="Q3911" s="43">
        <f>IF($I3911=0,0,$Q3910+$P3911+$O3911)</f>
      </c>
      <c r="R3911" s="43">
        <f>IF($I3911=0,0,$J3911-$M3911-$N3911)</f>
      </c>
    </row>
    <row r="3912">
      <c r="A3912"/>
      <c r="B3912">
        <v>9</v>
      </c>
      <c r="C3912" s="43">
        <f>INDEX(DarlObj,9)</f>
      </c>
      <c r="D3912">
        <v>69</v>
      </c>
      <c r="E3912" s="51">
        <f>IF(INDEX(DarlBelegt,9)=0,0,EOMONTH(INDEX(DarlAuszahlung,9),68)+1)</f>
      </c>
      <c r="F3912" s="43">
        <f>IF($E3912=0,0,YEAR($E3912))</f>
      </c>
      <c r="G3912" s="43">
        <f>IF(INDEX(DarlBindung,9)="",1,IF($E3912&lt;=INDEX(DarlBindung,9),1,0))</f>
      </c>
      <c r="H3912" s="43">
        <f>IF($G3912=1,INDEX(DarlSollzins,9),INDEX(DarlAnschluss,9))</f>
      </c>
      <c r="I3912" s="43">
        <f>IF(INDEX(DarlBelegt,9)=0,0,IF(INDEX(DarlOhneTilgung,9)=1,IF(INDEX(DarlBindung,9)="",1,$G3912),IF($J3912&gt;0.005,1,0)))</f>
      </c>
      <c r="J3912" s="43">
        <f>IF($I3911=0,0,$R3911)</f>
      </c>
      <c r="K3912" s="43">
        <f>IF($I3912=0,0,IF(INDEX(DarlOhneTilgung,9)=1,0,IF(AND(INDEX(DarlTilgStart,9)&gt;0,$E3912=INDEX(DarlTilgStart,9)),$J3912*($H3912+INDEX(DarlTilgung,9))/100/12,IF(AND($G3912=0,$G3911=1),MAX($K3911,$J3912*($H3912+1)/100/12),$K3911))))</f>
      </c>
      <c r="L3912" s="43">
        <f>IF($I3912=0,0,$J3912*$H3912/100/12)</f>
      </c>
      <c r="M3912" s="43">
        <f>IF($I3912=0,0,IF(OR(INDEX(DarlOhneTilgung,9)=1,AND(INDEX(DarlTilgStart,9)&gt;0,$E3912&lt;INDEX(DarlTilgStart,9))),0,MIN(MAX(0,$K3912-$L3912),$J3912)))</f>
      </c>
      <c r="N3912" s="43">
        <f>IF($I3912=0,0,MIN(SUMIFS(SondBetrag,SondDarl,9,SondDatum,"&gt;="&amp;$E3912,SondDatum,"&lt;="&amp;EOMONTH($E3912,0)),$J3912-$M3912))</f>
      </c>
      <c r="O3912" s="43">
        <f>IF($I3912=0,0,INDEX(DarlErsatzRate,9))</f>
      </c>
      <c r="P3912" s="43">
        <f>IF($I3912=0,0,$Q3911*INDEX(DarlErsatzZins,9))</f>
      </c>
      <c r="Q3912" s="43">
        <f>IF($I3912=0,0,$Q3911+$P3912+$O3912)</f>
      </c>
      <c r="R3912" s="43">
        <f>IF($I3912=0,0,$J3912-$M3912-$N3912)</f>
      </c>
    </row>
    <row r="3913">
      <c r="A3913"/>
      <c r="B3913">
        <v>9</v>
      </c>
      <c r="C3913" s="43">
        <f>INDEX(DarlObj,9)</f>
      </c>
      <c r="D3913">
        <v>70</v>
      </c>
      <c r="E3913" s="51">
        <f>IF(INDEX(DarlBelegt,9)=0,0,EOMONTH(INDEX(DarlAuszahlung,9),69)+1)</f>
      </c>
      <c r="F3913" s="43">
        <f>IF($E3913=0,0,YEAR($E3913))</f>
      </c>
      <c r="G3913" s="43">
        <f>IF(INDEX(DarlBindung,9)="",1,IF($E3913&lt;=INDEX(DarlBindung,9),1,0))</f>
      </c>
      <c r="H3913" s="43">
        <f>IF($G3913=1,INDEX(DarlSollzins,9),INDEX(DarlAnschluss,9))</f>
      </c>
      <c r="I3913" s="43">
        <f>IF(INDEX(DarlBelegt,9)=0,0,IF(INDEX(DarlOhneTilgung,9)=1,IF(INDEX(DarlBindung,9)="",1,$G3913),IF($J3913&gt;0.005,1,0)))</f>
      </c>
      <c r="J3913" s="43">
        <f>IF($I3912=0,0,$R3912)</f>
      </c>
      <c r="K3913" s="43">
        <f>IF($I3913=0,0,IF(INDEX(DarlOhneTilgung,9)=1,0,IF(AND(INDEX(DarlTilgStart,9)&gt;0,$E3913=INDEX(DarlTilgStart,9)),$J3913*($H3913+INDEX(DarlTilgung,9))/100/12,IF(AND($G3913=0,$G3912=1),MAX($K3912,$J3913*($H3913+1)/100/12),$K3912))))</f>
      </c>
      <c r="L3913" s="43">
        <f>IF($I3913=0,0,$J3913*$H3913/100/12)</f>
      </c>
      <c r="M3913" s="43">
        <f>IF($I3913=0,0,IF(OR(INDEX(DarlOhneTilgung,9)=1,AND(INDEX(DarlTilgStart,9)&gt;0,$E3913&lt;INDEX(DarlTilgStart,9))),0,MIN(MAX(0,$K3913-$L3913),$J3913)))</f>
      </c>
      <c r="N3913" s="43">
        <f>IF($I3913=0,0,MIN(SUMIFS(SondBetrag,SondDarl,9,SondDatum,"&gt;="&amp;$E3913,SondDatum,"&lt;="&amp;EOMONTH($E3913,0)),$J3913-$M3913))</f>
      </c>
      <c r="O3913" s="43">
        <f>IF($I3913=0,0,INDEX(DarlErsatzRate,9))</f>
      </c>
      <c r="P3913" s="43">
        <f>IF($I3913=0,0,$Q3912*INDEX(DarlErsatzZins,9))</f>
      </c>
      <c r="Q3913" s="43">
        <f>IF($I3913=0,0,$Q3912+$P3913+$O3913)</f>
      </c>
      <c r="R3913" s="43">
        <f>IF($I3913=0,0,$J3913-$M3913-$N3913)</f>
      </c>
    </row>
    <row r="3914">
      <c r="A3914"/>
      <c r="B3914">
        <v>9</v>
      </c>
      <c r="C3914" s="43">
        <f>INDEX(DarlObj,9)</f>
      </c>
      <c r="D3914">
        <v>71</v>
      </c>
      <c r="E3914" s="51">
        <f>IF(INDEX(DarlBelegt,9)=0,0,EOMONTH(INDEX(DarlAuszahlung,9),70)+1)</f>
      </c>
      <c r="F3914" s="43">
        <f>IF($E3914=0,0,YEAR($E3914))</f>
      </c>
      <c r="G3914" s="43">
        <f>IF(INDEX(DarlBindung,9)="",1,IF($E3914&lt;=INDEX(DarlBindung,9),1,0))</f>
      </c>
      <c r="H3914" s="43">
        <f>IF($G3914=1,INDEX(DarlSollzins,9),INDEX(DarlAnschluss,9))</f>
      </c>
      <c r="I3914" s="43">
        <f>IF(INDEX(DarlBelegt,9)=0,0,IF(INDEX(DarlOhneTilgung,9)=1,IF(INDEX(DarlBindung,9)="",1,$G3914),IF($J3914&gt;0.005,1,0)))</f>
      </c>
      <c r="J3914" s="43">
        <f>IF($I3913=0,0,$R3913)</f>
      </c>
      <c r="K3914" s="43">
        <f>IF($I3914=0,0,IF(INDEX(DarlOhneTilgung,9)=1,0,IF(AND(INDEX(DarlTilgStart,9)&gt;0,$E3914=INDEX(DarlTilgStart,9)),$J3914*($H3914+INDEX(DarlTilgung,9))/100/12,IF(AND($G3914=0,$G3913=1),MAX($K3913,$J3914*($H3914+1)/100/12),$K3913))))</f>
      </c>
      <c r="L3914" s="43">
        <f>IF($I3914=0,0,$J3914*$H3914/100/12)</f>
      </c>
      <c r="M3914" s="43">
        <f>IF($I3914=0,0,IF(OR(INDEX(DarlOhneTilgung,9)=1,AND(INDEX(DarlTilgStart,9)&gt;0,$E3914&lt;INDEX(DarlTilgStart,9))),0,MIN(MAX(0,$K3914-$L3914),$J3914)))</f>
      </c>
      <c r="N3914" s="43">
        <f>IF($I3914=0,0,MIN(SUMIFS(SondBetrag,SondDarl,9,SondDatum,"&gt;="&amp;$E3914,SondDatum,"&lt;="&amp;EOMONTH($E3914,0)),$J3914-$M3914))</f>
      </c>
      <c r="O3914" s="43">
        <f>IF($I3914=0,0,INDEX(DarlErsatzRate,9))</f>
      </c>
      <c r="P3914" s="43">
        <f>IF($I3914=0,0,$Q3913*INDEX(DarlErsatzZins,9))</f>
      </c>
      <c r="Q3914" s="43">
        <f>IF($I3914=0,0,$Q3913+$P3914+$O3914)</f>
      </c>
      <c r="R3914" s="43">
        <f>IF($I3914=0,0,$J3914-$M3914-$N3914)</f>
      </c>
    </row>
    <row r="3915">
      <c r="A3915"/>
      <c r="B3915">
        <v>9</v>
      </c>
      <c r="C3915" s="43">
        <f>INDEX(DarlObj,9)</f>
      </c>
      <c r="D3915">
        <v>72</v>
      </c>
      <c r="E3915" s="51">
        <f>IF(INDEX(DarlBelegt,9)=0,0,EOMONTH(INDEX(DarlAuszahlung,9),71)+1)</f>
      </c>
      <c r="F3915" s="43">
        <f>IF($E3915=0,0,YEAR($E3915))</f>
      </c>
      <c r="G3915" s="43">
        <f>IF(INDEX(DarlBindung,9)="",1,IF($E3915&lt;=INDEX(DarlBindung,9),1,0))</f>
      </c>
      <c r="H3915" s="43">
        <f>IF($G3915=1,INDEX(DarlSollzins,9),INDEX(DarlAnschluss,9))</f>
      </c>
      <c r="I3915" s="43">
        <f>IF(INDEX(DarlBelegt,9)=0,0,IF(INDEX(DarlOhneTilgung,9)=1,IF(INDEX(DarlBindung,9)="",1,$G3915),IF($J3915&gt;0.005,1,0)))</f>
      </c>
      <c r="J3915" s="43">
        <f>IF($I3914=0,0,$R3914)</f>
      </c>
      <c r="K3915" s="43">
        <f>IF($I3915=0,0,IF(INDEX(DarlOhneTilgung,9)=1,0,IF(AND(INDEX(DarlTilgStart,9)&gt;0,$E3915=INDEX(DarlTilgStart,9)),$J3915*($H3915+INDEX(DarlTilgung,9))/100/12,IF(AND($G3915=0,$G3914=1),MAX($K3914,$J3915*($H3915+1)/100/12),$K3914))))</f>
      </c>
      <c r="L3915" s="43">
        <f>IF($I3915=0,0,$J3915*$H3915/100/12)</f>
      </c>
      <c r="M3915" s="43">
        <f>IF($I3915=0,0,IF(OR(INDEX(DarlOhneTilgung,9)=1,AND(INDEX(DarlTilgStart,9)&gt;0,$E3915&lt;INDEX(DarlTilgStart,9))),0,MIN(MAX(0,$K3915-$L3915),$J3915)))</f>
      </c>
      <c r="N3915" s="43">
        <f>IF($I3915=0,0,MIN(SUMIFS(SondBetrag,SondDarl,9,SondDatum,"&gt;="&amp;$E3915,SondDatum,"&lt;="&amp;EOMONTH($E3915,0)),$J3915-$M3915))</f>
      </c>
      <c r="O3915" s="43">
        <f>IF($I3915=0,0,INDEX(DarlErsatzRate,9))</f>
      </c>
      <c r="P3915" s="43">
        <f>IF($I3915=0,0,$Q3914*INDEX(DarlErsatzZins,9))</f>
      </c>
      <c r="Q3915" s="43">
        <f>IF($I3915=0,0,$Q3914+$P3915+$O3915)</f>
      </c>
      <c r="R3915" s="43">
        <f>IF($I3915=0,0,$J3915-$M3915-$N3915)</f>
      </c>
    </row>
    <row r="3916">
      <c r="A3916"/>
      <c r="B3916">
        <v>9</v>
      </c>
      <c r="C3916" s="43">
        <f>INDEX(DarlObj,9)</f>
      </c>
      <c r="D3916">
        <v>73</v>
      </c>
      <c r="E3916" s="51">
        <f>IF(INDEX(DarlBelegt,9)=0,0,EOMONTH(INDEX(DarlAuszahlung,9),72)+1)</f>
      </c>
      <c r="F3916" s="43">
        <f>IF($E3916=0,0,YEAR($E3916))</f>
      </c>
      <c r="G3916" s="43">
        <f>IF(INDEX(DarlBindung,9)="",1,IF($E3916&lt;=INDEX(DarlBindung,9),1,0))</f>
      </c>
      <c r="H3916" s="43">
        <f>IF($G3916=1,INDEX(DarlSollzins,9),INDEX(DarlAnschluss,9))</f>
      </c>
      <c r="I3916" s="43">
        <f>IF(INDEX(DarlBelegt,9)=0,0,IF(INDEX(DarlOhneTilgung,9)=1,IF(INDEX(DarlBindung,9)="",1,$G3916),IF($J3916&gt;0.005,1,0)))</f>
      </c>
      <c r="J3916" s="43">
        <f>IF($I3915=0,0,$R3915)</f>
      </c>
      <c r="K3916" s="43">
        <f>IF($I3916=0,0,IF(INDEX(DarlOhneTilgung,9)=1,0,IF(AND(INDEX(DarlTilgStart,9)&gt;0,$E3916=INDEX(DarlTilgStart,9)),$J3916*($H3916+INDEX(DarlTilgung,9))/100/12,IF(AND($G3916=0,$G3915=1),MAX($K3915,$J3916*($H3916+1)/100/12),$K3915))))</f>
      </c>
      <c r="L3916" s="43">
        <f>IF($I3916=0,0,$J3916*$H3916/100/12)</f>
      </c>
      <c r="M3916" s="43">
        <f>IF($I3916=0,0,IF(OR(INDEX(DarlOhneTilgung,9)=1,AND(INDEX(DarlTilgStart,9)&gt;0,$E3916&lt;INDEX(DarlTilgStart,9))),0,MIN(MAX(0,$K3916-$L3916),$J3916)))</f>
      </c>
      <c r="N3916" s="43">
        <f>IF($I3916=0,0,MIN(SUMIFS(SondBetrag,SondDarl,9,SondDatum,"&gt;="&amp;$E3916,SondDatum,"&lt;="&amp;EOMONTH($E3916,0)),$J3916-$M3916))</f>
      </c>
      <c r="O3916" s="43">
        <f>IF($I3916=0,0,INDEX(DarlErsatzRate,9))</f>
      </c>
      <c r="P3916" s="43">
        <f>IF($I3916=0,0,$Q3915*INDEX(DarlErsatzZins,9))</f>
      </c>
      <c r="Q3916" s="43">
        <f>IF($I3916=0,0,$Q3915+$P3916+$O3916)</f>
      </c>
      <c r="R3916" s="43">
        <f>IF($I3916=0,0,$J3916-$M3916-$N3916)</f>
      </c>
    </row>
    <row r="3917">
      <c r="A3917"/>
      <c r="B3917">
        <v>9</v>
      </c>
      <c r="C3917" s="43">
        <f>INDEX(DarlObj,9)</f>
      </c>
      <c r="D3917">
        <v>74</v>
      </c>
      <c r="E3917" s="51">
        <f>IF(INDEX(DarlBelegt,9)=0,0,EOMONTH(INDEX(DarlAuszahlung,9),73)+1)</f>
      </c>
      <c r="F3917" s="43">
        <f>IF($E3917=0,0,YEAR($E3917))</f>
      </c>
      <c r="G3917" s="43">
        <f>IF(INDEX(DarlBindung,9)="",1,IF($E3917&lt;=INDEX(DarlBindung,9),1,0))</f>
      </c>
      <c r="H3917" s="43">
        <f>IF($G3917=1,INDEX(DarlSollzins,9),INDEX(DarlAnschluss,9))</f>
      </c>
      <c r="I3917" s="43">
        <f>IF(INDEX(DarlBelegt,9)=0,0,IF(INDEX(DarlOhneTilgung,9)=1,IF(INDEX(DarlBindung,9)="",1,$G3917),IF($J3917&gt;0.005,1,0)))</f>
      </c>
      <c r="J3917" s="43">
        <f>IF($I3916=0,0,$R3916)</f>
      </c>
      <c r="K3917" s="43">
        <f>IF($I3917=0,0,IF(INDEX(DarlOhneTilgung,9)=1,0,IF(AND(INDEX(DarlTilgStart,9)&gt;0,$E3917=INDEX(DarlTilgStart,9)),$J3917*($H3917+INDEX(DarlTilgung,9))/100/12,IF(AND($G3917=0,$G3916=1),MAX($K3916,$J3917*($H3917+1)/100/12),$K3916))))</f>
      </c>
      <c r="L3917" s="43">
        <f>IF($I3917=0,0,$J3917*$H3917/100/12)</f>
      </c>
      <c r="M3917" s="43">
        <f>IF($I3917=0,0,IF(OR(INDEX(DarlOhneTilgung,9)=1,AND(INDEX(DarlTilgStart,9)&gt;0,$E3917&lt;INDEX(DarlTilgStart,9))),0,MIN(MAX(0,$K3917-$L3917),$J3917)))</f>
      </c>
      <c r="N3917" s="43">
        <f>IF($I3917=0,0,MIN(SUMIFS(SondBetrag,SondDarl,9,SondDatum,"&gt;="&amp;$E3917,SondDatum,"&lt;="&amp;EOMONTH($E3917,0)),$J3917-$M3917))</f>
      </c>
      <c r="O3917" s="43">
        <f>IF($I3917=0,0,INDEX(DarlErsatzRate,9))</f>
      </c>
      <c r="P3917" s="43">
        <f>IF($I3917=0,0,$Q3916*INDEX(DarlErsatzZins,9))</f>
      </c>
      <c r="Q3917" s="43">
        <f>IF($I3917=0,0,$Q3916+$P3917+$O3917)</f>
      </c>
      <c r="R3917" s="43">
        <f>IF($I3917=0,0,$J3917-$M3917-$N3917)</f>
      </c>
    </row>
    <row r="3918">
      <c r="A3918"/>
      <c r="B3918">
        <v>9</v>
      </c>
      <c r="C3918" s="43">
        <f>INDEX(DarlObj,9)</f>
      </c>
      <c r="D3918">
        <v>75</v>
      </c>
      <c r="E3918" s="51">
        <f>IF(INDEX(DarlBelegt,9)=0,0,EOMONTH(INDEX(DarlAuszahlung,9),74)+1)</f>
      </c>
      <c r="F3918" s="43">
        <f>IF($E3918=0,0,YEAR($E3918))</f>
      </c>
      <c r="G3918" s="43">
        <f>IF(INDEX(DarlBindung,9)="",1,IF($E3918&lt;=INDEX(DarlBindung,9),1,0))</f>
      </c>
      <c r="H3918" s="43">
        <f>IF($G3918=1,INDEX(DarlSollzins,9),INDEX(DarlAnschluss,9))</f>
      </c>
      <c r="I3918" s="43">
        <f>IF(INDEX(DarlBelegt,9)=0,0,IF(INDEX(DarlOhneTilgung,9)=1,IF(INDEX(DarlBindung,9)="",1,$G3918),IF($J3918&gt;0.005,1,0)))</f>
      </c>
      <c r="J3918" s="43">
        <f>IF($I3917=0,0,$R3917)</f>
      </c>
      <c r="K3918" s="43">
        <f>IF($I3918=0,0,IF(INDEX(DarlOhneTilgung,9)=1,0,IF(AND(INDEX(DarlTilgStart,9)&gt;0,$E3918=INDEX(DarlTilgStart,9)),$J3918*($H3918+INDEX(DarlTilgung,9))/100/12,IF(AND($G3918=0,$G3917=1),MAX($K3917,$J3918*($H3918+1)/100/12),$K3917))))</f>
      </c>
      <c r="L3918" s="43">
        <f>IF($I3918=0,0,$J3918*$H3918/100/12)</f>
      </c>
      <c r="M3918" s="43">
        <f>IF($I3918=0,0,IF(OR(INDEX(DarlOhneTilgung,9)=1,AND(INDEX(DarlTilgStart,9)&gt;0,$E3918&lt;INDEX(DarlTilgStart,9))),0,MIN(MAX(0,$K3918-$L3918),$J3918)))</f>
      </c>
      <c r="N3918" s="43">
        <f>IF($I3918=0,0,MIN(SUMIFS(SondBetrag,SondDarl,9,SondDatum,"&gt;="&amp;$E3918,SondDatum,"&lt;="&amp;EOMONTH($E3918,0)),$J3918-$M3918))</f>
      </c>
      <c r="O3918" s="43">
        <f>IF($I3918=0,0,INDEX(DarlErsatzRate,9))</f>
      </c>
      <c r="P3918" s="43">
        <f>IF($I3918=0,0,$Q3917*INDEX(DarlErsatzZins,9))</f>
      </c>
      <c r="Q3918" s="43">
        <f>IF($I3918=0,0,$Q3917+$P3918+$O3918)</f>
      </c>
      <c r="R3918" s="43">
        <f>IF($I3918=0,0,$J3918-$M3918-$N3918)</f>
      </c>
    </row>
    <row r="3919">
      <c r="A3919"/>
      <c r="B3919">
        <v>9</v>
      </c>
      <c r="C3919" s="43">
        <f>INDEX(DarlObj,9)</f>
      </c>
      <c r="D3919">
        <v>76</v>
      </c>
      <c r="E3919" s="51">
        <f>IF(INDEX(DarlBelegt,9)=0,0,EOMONTH(INDEX(DarlAuszahlung,9),75)+1)</f>
      </c>
      <c r="F3919" s="43">
        <f>IF($E3919=0,0,YEAR($E3919))</f>
      </c>
      <c r="G3919" s="43">
        <f>IF(INDEX(DarlBindung,9)="",1,IF($E3919&lt;=INDEX(DarlBindung,9),1,0))</f>
      </c>
      <c r="H3919" s="43">
        <f>IF($G3919=1,INDEX(DarlSollzins,9),INDEX(DarlAnschluss,9))</f>
      </c>
      <c r="I3919" s="43">
        <f>IF(INDEX(DarlBelegt,9)=0,0,IF(INDEX(DarlOhneTilgung,9)=1,IF(INDEX(DarlBindung,9)="",1,$G3919),IF($J3919&gt;0.005,1,0)))</f>
      </c>
      <c r="J3919" s="43">
        <f>IF($I3918=0,0,$R3918)</f>
      </c>
      <c r="K3919" s="43">
        <f>IF($I3919=0,0,IF(INDEX(DarlOhneTilgung,9)=1,0,IF(AND(INDEX(DarlTilgStart,9)&gt;0,$E3919=INDEX(DarlTilgStart,9)),$J3919*($H3919+INDEX(DarlTilgung,9))/100/12,IF(AND($G3919=0,$G3918=1),MAX($K3918,$J3919*($H3919+1)/100/12),$K3918))))</f>
      </c>
      <c r="L3919" s="43">
        <f>IF($I3919=0,0,$J3919*$H3919/100/12)</f>
      </c>
      <c r="M3919" s="43">
        <f>IF($I3919=0,0,IF(OR(INDEX(DarlOhneTilgung,9)=1,AND(INDEX(DarlTilgStart,9)&gt;0,$E3919&lt;INDEX(DarlTilgStart,9))),0,MIN(MAX(0,$K3919-$L3919),$J3919)))</f>
      </c>
      <c r="N3919" s="43">
        <f>IF($I3919=0,0,MIN(SUMIFS(SondBetrag,SondDarl,9,SondDatum,"&gt;="&amp;$E3919,SondDatum,"&lt;="&amp;EOMONTH($E3919,0)),$J3919-$M3919))</f>
      </c>
      <c r="O3919" s="43">
        <f>IF($I3919=0,0,INDEX(DarlErsatzRate,9))</f>
      </c>
      <c r="P3919" s="43">
        <f>IF($I3919=0,0,$Q3918*INDEX(DarlErsatzZins,9))</f>
      </c>
      <c r="Q3919" s="43">
        <f>IF($I3919=0,0,$Q3918+$P3919+$O3919)</f>
      </c>
      <c r="R3919" s="43">
        <f>IF($I3919=0,0,$J3919-$M3919-$N3919)</f>
      </c>
    </row>
    <row r="3920">
      <c r="A3920"/>
      <c r="B3920">
        <v>9</v>
      </c>
      <c r="C3920" s="43">
        <f>INDEX(DarlObj,9)</f>
      </c>
      <c r="D3920">
        <v>77</v>
      </c>
      <c r="E3920" s="51">
        <f>IF(INDEX(DarlBelegt,9)=0,0,EOMONTH(INDEX(DarlAuszahlung,9),76)+1)</f>
      </c>
      <c r="F3920" s="43">
        <f>IF($E3920=0,0,YEAR($E3920))</f>
      </c>
      <c r="G3920" s="43">
        <f>IF(INDEX(DarlBindung,9)="",1,IF($E3920&lt;=INDEX(DarlBindung,9),1,0))</f>
      </c>
      <c r="H3920" s="43">
        <f>IF($G3920=1,INDEX(DarlSollzins,9),INDEX(DarlAnschluss,9))</f>
      </c>
      <c r="I3920" s="43">
        <f>IF(INDEX(DarlBelegt,9)=0,0,IF(INDEX(DarlOhneTilgung,9)=1,IF(INDEX(DarlBindung,9)="",1,$G3920),IF($J3920&gt;0.005,1,0)))</f>
      </c>
      <c r="J3920" s="43">
        <f>IF($I3919=0,0,$R3919)</f>
      </c>
      <c r="K3920" s="43">
        <f>IF($I3920=0,0,IF(INDEX(DarlOhneTilgung,9)=1,0,IF(AND(INDEX(DarlTilgStart,9)&gt;0,$E3920=INDEX(DarlTilgStart,9)),$J3920*($H3920+INDEX(DarlTilgung,9))/100/12,IF(AND($G3920=0,$G3919=1),MAX($K3919,$J3920*($H3920+1)/100/12),$K3919))))</f>
      </c>
      <c r="L3920" s="43">
        <f>IF($I3920=0,0,$J3920*$H3920/100/12)</f>
      </c>
      <c r="M3920" s="43">
        <f>IF($I3920=0,0,IF(OR(INDEX(DarlOhneTilgung,9)=1,AND(INDEX(DarlTilgStart,9)&gt;0,$E3920&lt;INDEX(DarlTilgStart,9))),0,MIN(MAX(0,$K3920-$L3920),$J3920)))</f>
      </c>
      <c r="N3920" s="43">
        <f>IF($I3920=0,0,MIN(SUMIFS(SondBetrag,SondDarl,9,SondDatum,"&gt;="&amp;$E3920,SondDatum,"&lt;="&amp;EOMONTH($E3920,0)),$J3920-$M3920))</f>
      </c>
      <c r="O3920" s="43">
        <f>IF($I3920=0,0,INDEX(DarlErsatzRate,9))</f>
      </c>
      <c r="P3920" s="43">
        <f>IF($I3920=0,0,$Q3919*INDEX(DarlErsatzZins,9))</f>
      </c>
      <c r="Q3920" s="43">
        <f>IF($I3920=0,0,$Q3919+$P3920+$O3920)</f>
      </c>
      <c r="R3920" s="43">
        <f>IF($I3920=0,0,$J3920-$M3920-$N3920)</f>
      </c>
    </row>
    <row r="3921">
      <c r="A3921"/>
      <c r="B3921">
        <v>9</v>
      </c>
      <c r="C3921" s="43">
        <f>INDEX(DarlObj,9)</f>
      </c>
      <c r="D3921">
        <v>78</v>
      </c>
      <c r="E3921" s="51">
        <f>IF(INDEX(DarlBelegt,9)=0,0,EOMONTH(INDEX(DarlAuszahlung,9),77)+1)</f>
      </c>
      <c r="F3921" s="43">
        <f>IF($E3921=0,0,YEAR($E3921))</f>
      </c>
      <c r="G3921" s="43">
        <f>IF(INDEX(DarlBindung,9)="",1,IF($E3921&lt;=INDEX(DarlBindung,9),1,0))</f>
      </c>
      <c r="H3921" s="43">
        <f>IF($G3921=1,INDEX(DarlSollzins,9),INDEX(DarlAnschluss,9))</f>
      </c>
      <c r="I3921" s="43">
        <f>IF(INDEX(DarlBelegt,9)=0,0,IF(INDEX(DarlOhneTilgung,9)=1,IF(INDEX(DarlBindung,9)="",1,$G3921),IF($J3921&gt;0.005,1,0)))</f>
      </c>
      <c r="J3921" s="43">
        <f>IF($I3920=0,0,$R3920)</f>
      </c>
      <c r="K3921" s="43">
        <f>IF($I3921=0,0,IF(INDEX(DarlOhneTilgung,9)=1,0,IF(AND(INDEX(DarlTilgStart,9)&gt;0,$E3921=INDEX(DarlTilgStart,9)),$J3921*($H3921+INDEX(DarlTilgung,9))/100/12,IF(AND($G3921=0,$G3920=1),MAX($K3920,$J3921*($H3921+1)/100/12),$K3920))))</f>
      </c>
      <c r="L3921" s="43">
        <f>IF($I3921=0,0,$J3921*$H3921/100/12)</f>
      </c>
      <c r="M3921" s="43">
        <f>IF($I3921=0,0,IF(OR(INDEX(DarlOhneTilgung,9)=1,AND(INDEX(DarlTilgStart,9)&gt;0,$E3921&lt;INDEX(DarlTilgStart,9))),0,MIN(MAX(0,$K3921-$L3921),$J3921)))</f>
      </c>
      <c r="N3921" s="43">
        <f>IF($I3921=0,0,MIN(SUMIFS(SondBetrag,SondDarl,9,SondDatum,"&gt;="&amp;$E3921,SondDatum,"&lt;="&amp;EOMONTH($E3921,0)),$J3921-$M3921))</f>
      </c>
      <c r="O3921" s="43">
        <f>IF($I3921=0,0,INDEX(DarlErsatzRate,9))</f>
      </c>
      <c r="P3921" s="43">
        <f>IF($I3921=0,0,$Q3920*INDEX(DarlErsatzZins,9))</f>
      </c>
      <c r="Q3921" s="43">
        <f>IF($I3921=0,0,$Q3920+$P3921+$O3921)</f>
      </c>
      <c r="R3921" s="43">
        <f>IF($I3921=0,0,$J3921-$M3921-$N3921)</f>
      </c>
    </row>
    <row r="3922">
      <c r="A3922"/>
      <c r="B3922">
        <v>9</v>
      </c>
      <c r="C3922" s="43">
        <f>INDEX(DarlObj,9)</f>
      </c>
      <c r="D3922">
        <v>79</v>
      </c>
      <c r="E3922" s="51">
        <f>IF(INDEX(DarlBelegt,9)=0,0,EOMONTH(INDEX(DarlAuszahlung,9),78)+1)</f>
      </c>
      <c r="F3922" s="43">
        <f>IF($E3922=0,0,YEAR($E3922))</f>
      </c>
      <c r="G3922" s="43">
        <f>IF(INDEX(DarlBindung,9)="",1,IF($E3922&lt;=INDEX(DarlBindung,9),1,0))</f>
      </c>
      <c r="H3922" s="43">
        <f>IF($G3922=1,INDEX(DarlSollzins,9),INDEX(DarlAnschluss,9))</f>
      </c>
      <c r="I3922" s="43">
        <f>IF(INDEX(DarlBelegt,9)=0,0,IF(INDEX(DarlOhneTilgung,9)=1,IF(INDEX(DarlBindung,9)="",1,$G3922),IF($J3922&gt;0.005,1,0)))</f>
      </c>
      <c r="J3922" s="43">
        <f>IF($I3921=0,0,$R3921)</f>
      </c>
      <c r="K3922" s="43">
        <f>IF($I3922=0,0,IF(INDEX(DarlOhneTilgung,9)=1,0,IF(AND(INDEX(DarlTilgStart,9)&gt;0,$E3922=INDEX(DarlTilgStart,9)),$J3922*($H3922+INDEX(DarlTilgung,9))/100/12,IF(AND($G3922=0,$G3921=1),MAX($K3921,$J3922*($H3922+1)/100/12),$K3921))))</f>
      </c>
      <c r="L3922" s="43">
        <f>IF($I3922=0,0,$J3922*$H3922/100/12)</f>
      </c>
      <c r="M3922" s="43">
        <f>IF($I3922=0,0,IF(OR(INDEX(DarlOhneTilgung,9)=1,AND(INDEX(DarlTilgStart,9)&gt;0,$E3922&lt;INDEX(DarlTilgStart,9))),0,MIN(MAX(0,$K3922-$L3922),$J3922)))</f>
      </c>
      <c r="N3922" s="43">
        <f>IF($I3922=0,0,MIN(SUMIFS(SondBetrag,SondDarl,9,SondDatum,"&gt;="&amp;$E3922,SondDatum,"&lt;="&amp;EOMONTH($E3922,0)),$J3922-$M3922))</f>
      </c>
      <c r="O3922" s="43">
        <f>IF($I3922=0,0,INDEX(DarlErsatzRate,9))</f>
      </c>
      <c r="P3922" s="43">
        <f>IF($I3922=0,0,$Q3921*INDEX(DarlErsatzZins,9))</f>
      </c>
      <c r="Q3922" s="43">
        <f>IF($I3922=0,0,$Q3921+$P3922+$O3922)</f>
      </c>
      <c r="R3922" s="43">
        <f>IF($I3922=0,0,$J3922-$M3922-$N3922)</f>
      </c>
    </row>
    <row r="3923">
      <c r="A3923"/>
      <c r="B3923">
        <v>9</v>
      </c>
      <c r="C3923" s="43">
        <f>INDEX(DarlObj,9)</f>
      </c>
      <c r="D3923">
        <v>80</v>
      </c>
      <c r="E3923" s="51">
        <f>IF(INDEX(DarlBelegt,9)=0,0,EOMONTH(INDEX(DarlAuszahlung,9),79)+1)</f>
      </c>
      <c r="F3923" s="43">
        <f>IF($E3923=0,0,YEAR($E3923))</f>
      </c>
      <c r="G3923" s="43">
        <f>IF(INDEX(DarlBindung,9)="",1,IF($E3923&lt;=INDEX(DarlBindung,9),1,0))</f>
      </c>
      <c r="H3923" s="43">
        <f>IF($G3923=1,INDEX(DarlSollzins,9),INDEX(DarlAnschluss,9))</f>
      </c>
      <c r="I3923" s="43">
        <f>IF(INDEX(DarlBelegt,9)=0,0,IF(INDEX(DarlOhneTilgung,9)=1,IF(INDEX(DarlBindung,9)="",1,$G3923),IF($J3923&gt;0.005,1,0)))</f>
      </c>
      <c r="J3923" s="43">
        <f>IF($I3922=0,0,$R3922)</f>
      </c>
      <c r="K3923" s="43">
        <f>IF($I3923=0,0,IF(INDEX(DarlOhneTilgung,9)=1,0,IF(AND(INDEX(DarlTilgStart,9)&gt;0,$E3923=INDEX(DarlTilgStart,9)),$J3923*($H3923+INDEX(DarlTilgung,9))/100/12,IF(AND($G3923=0,$G3922=1),MAX($K3922,$J3923*($H3923+1)/100/12),$K3922))))</f>
      </c>
      <c r="L3923" s="43">
        <f>IF($I3923=0,0,$J3923*$H3923/100/12)</f>
      </c>
      <c r="M3923" s="43">
        <f>IF($I3923=0,0,IF(OR(INDEX(DarlOhneTilgung,9)=1,AND(INDEX(DarlTilgStart,9)&gt;0,$E3923&lt;INDEX(DarlTilgStart,9))),0,MIN(MAX(0,$K3923-$L3923),$J3923)))</f>
      </c>
      <c r="N3923" s="43">
        <f>IF($I3923=0,0,MIN(SUMIFS(SondBetrag,SondDarl,9,SondDatum,"&gt;="&amp;$E3923,SondDatum,"&lt;="&amp;EOMONTH($E3923,0)),$J3923-$M3923))</f>
      </c>
      <c r="O3923" s="43">
        <f>IF($I3923=0,0,INDEX(DarlErsatzRate,9))</f>
      </c>
      <c r="P3923" s="43">
        <f>IF($I3923=0,0,$Q3922*INDEX(DarlErsatzZins,9))</f>
      </c>
      <c r="Q3923" s="43">
        <f>IF($I3923=0,0,$Q3922+$P3923+$O3923)</f>
      </c>
      <c r="R3923" s="43">
        <f>IF($I3923=0,0,$J3923-$M3923-$N3923)</f>
      </c>
    </row>
    <row r="3924">
      <c r="A3924"/>
      <c r="B3924">
        <v>9</v>
      </c>
      <c r="C3924" s="43">
        <f>INDEX(DarlObj,9)</f>
      </c>
      <c r="D3924">
        <v>81</v>
      </c>
      <c r="E3924" s="51">
        <f>IF(INDEX(DarlBelegt,9)=0,0,EOMONTH(INDEX(DarlAuszahlung,9),80)+1)</f>
      </c>
      <c r="F3924" s="43">
        <f>IF($E3924=0,0,YEAR($E3924))</f>
      </c>
      <c r="G3924" s="43">
        <f>IF(INDEX(DarlBindung,9)="",1,IF($E3924&lt;=INDEX(DarlBindung,9),1,0))</f>
      </c>
      <c r="H3924" s="43">
        <f>IF($G3924=1,INDEX(DarlSollzins,9),INDEX(DarlAnschluss,9))</f>
      </c>
      <c r="I3924" s="43">
        <f>IF(INDEX(DarlBelegt,9)=0,0,IF(INDEX(DarlOhneTilgung,9)=1,IF(INDEX(DarlBindung,9)="",1,$G3924),IF($J3924&gt;0.005,1,0)))</f>
      </c>
      <c r="J3924" s="43">
        <f>IF($I3923=0,0,$R3923)</f>
      </c>
      <c r="K3924" s="43">
        <f>IF($I3924=0,0,IF(INDEX(DarlOhneTilgung,9)=1,0,IF(AND(INDEX(DarlTilgStart,9)&gt;0,$E3924=INDEX(DarlTilgStart,9)),$J3924*($H3924+INDEX(DarlTilgung,9))/100/12,IF(AND($G3924=0,$G3923=1),MAX($K3923,$J3924*($H3924+1)/100/12),$K3923))))</f>
      </c>
      <c r="L3924" s="43">
        <f>IF($I3924=0,0,$J3924*$H3924/100/12)</f>
      </c>
      <c r="M3924" s="43">
        <f>IF($I3924=0,0,IF(OR(INDEX(DarlOhneTilgung,9)=1,AND(INDEX(DarlTilgStart,9)&gt;0,$E3924&lt;INDEX(DarlTilgStart,9))),0,MIN(MAX(0,$K3924-$L3924),$J3924)))</f>
      </c>
      <c r="N3924" s="43">
        <f>IF($I3924=0,0,MIN(SUMIFS(SondBetrag,SondDarl,9,SondDatum,"&gt;="&amp;$E3924,SondDatum,"&lt;="&amp;EOMONTH($E3924,0)),$J3924-$M3924))</f>
      </c>
      <c r="O3924" s="43">
        <f>IF($I3924=0,0,INDEX(DarlErsatzRate,9))</f>
      </c>
      <c r="P3924" s="43">
        <f>IF($I3924=0,0,$Q3923*INDEX(DarlErsatzZins,9))</f>
      </c>
      <c r="Q3924" s="43">
        <f>IF($I3924=0,0,$Q3923+$P3924+$O3924)</f>
      </c>
      <c r="R3924" s="43">
        <f>IF($I3924=0,0,$J3924-$M3924-$N3924)</f>
      </c>
    </row>
    <row r="3925">
      <c r="A3925"/>
      <c r="B3925">
        <v>9</v>
      </c>
      <c r="C3925" s="43">
        <f>INDEX(DarlObj,9)</f>
      </c>
      <c r="D3925">
        <v>82</v>
      </c>
      <c r="E3925" s="51">
        <f>IF(INDEX(DarlBelegt,9)=0,0,EOMONTH(INDEX(DarlAuszahlung,9),81)+1)</f>
      </c>
      <c r="F3925" s="43">
        <f>IF($E3925=0,0,YEAR($E3925))</f>
      </c>
      <c r="G3925" s="43">
        <f>IF(INDEX(DarlBindung,9)="",1,IF($E3925&lt;=INDEX(DarlBindung,9),1,0))</f>
      </c>
      <c r="H3925" s="43">
        <f>IF($G3925=1,INDEX(DarlSollzins,9),INDEX(DarlAnschluss,9))</f>
      </c>
      <c r="I3925" s="43">
        <f>IF(INDEX(DarlBelegt,9)=0,0,IF(INDEX(DarlOhneTilgung,9)=1,IF(INDEX(DarlBindung,9)="",1,$G3925),IF($J3925&gt;0.005,1,0)))</f>
      </c>
      <c r="J3925" s="43">
        <f>IF($I3924=0,0,$R3924)</f>
      </c>
      <c r="K3925" s="43">
        <f>IF($I3925=0,0,IF(INDEX(DarlOhneTilgung,9)=1,0,IF(AND(INDEX(DarlTilgStart,9)&gt;0,$E3925=INDEX(DarlTilgStart,9)),$J3925*($H3925+INDEX(DarlTilgung,9))/100/12,IF(AND($G3925=0,$G3924=1),MAX($K3924,$J3925*($H3925+1)/100/12),$K3924))))</f>
      </c>
      <c r="L3925" s="43">
        <f>IF($I3925=0,0,$J3925*$H3925/100/12)</f>
      </c>
      <c r="M3925" s="43">
        <f>IF($I3925=0,0,IF(OR(INDEX(DarlOhneTilgung,9)=1,AND(INDEX(DarlTilgStart,9)&gt;0,$E3925&lt;INDEX(DarlTilgStart,9))),0,MIN(MAX(0,$K3925-$L3925),$J3925)))</f>
      </c>
      <c r="N3925" s="43">
        <f>IF($I3925=0,0,MIN(SUMIFS(SondBetrag,SondDarl,9,SondDatum,"&gt;="&amp;$E3925,SondDatum,"&lt;="&amp;EOMONTH($E3925,0)),$J3925-$M3925))</f>
      </c>
      <c r="O3925" s="43">
        <f>IF($I3925=0,0,INDEX(DarlErsatzRate,9))</f>
      </c>
      <c r="P3925" s="43">
        <f>IF($I3925=0,0,$Q3924*INDEX(DarlErsatzZins,9))</f>
      </c>
      <c r="Q3925" s="43">
        <f>IF($I3925=0,0,$Q3924+$P3925+$O3925)</f>
      </c>
      <c r="R3925" s="43">
        <f>IF($I3925=0,0,$J3925-$M3925-$N3925)</f>
      </c>
    </row>
    <row r="3926">
      <c r="A3926"/>
      <c r="B3926">
        <v>9</v>
      </c>
      <c r="C3926" s="43">
        <f>INDEX(DarlObj,9)</f>
      </c>
      <c r="D3926">
        <v>83</v>
      </c>
      <c r="E3926" s="51">
        <f>IF(INDEX(DarlBelegt,9)=0,0,EOMONTH(INDEX(DarlAuszahlung,9),82)+1)</f>
      </c>
      <c r="F3926" s="43">
        <f>IF($E3926=0,0,YEAR($E3926))</f>
      </c>
      <c r="G3926" s="43">
        <f>IF(INDEX(DarlBindung,9)="",1,IF($E3926&lt;=INDEX(DarlBindung,9),1,0))</f>
      </c>
      <c r="H3926" s="43">
        <f>IF($G3926=1,INDEX(DarlSollzins,9),INDEX(DarlAnschluss,9))</f>
      </c>
      <c r="I3926" s="43">
        <f>IF(INDEX(DarlBelegt,9)=0,0,IF(INDEX(DarlOhneTilgung,9)=1,IF(INDEX(DarlBindung,9)="",1,$G3926),IF($J3926&gt;0.005,1,0)))</f>
      </c>
      <c r="J3926" s="43">
        <f>IF($I3925=0,0,$R3925)</f>
      </c>
      <c r="K3926" s="43">
        <f>IF($I3926=0,0,IF(INDEX(DarlOhneTilgung,9)=1,0,IF(AND(INDEX(DarlTilgStart,9)&gt;0,$E3926=INDEX(DarlTilgStart,9)),$J3926*($H3926+INDEX(DarlTilgung,9))/100/12,IF(AND($G3926=0,$G3925=1),MAX($K3925,$J3926*($H3926+1)/100/12),$K3925))))</f>
      </c>
      <c r="L3926" s="43">
        <f>IF($I3926=0,0,$J3926*$H3926/100/12)</f>
      </c>
      <c r="M3926" s="43">
        <f>IF($I3926=0,0,IF(OR(INDEX(DarlOhneTilgung,9)=1,AND(INDEX(DarlTilgStart,9)&gt;0,$E3926&lt;INDEX(DarlTilgStart,9))),0,MIN(MAX(0,$K3926-$L3926),$J3926)))</f>
      </c>
      <c r="N3926" s="43">
        <f>IF($I3926=0,0,MIN(SUMIFS(SondBetrag,SondDarl,9,SondDatum,"&gt;="&amp;$E3926,SondDatum,"&lt;="&amp;EOMONTH($E3926,0)),$J3926-$M3926))</f>
      </c>
      <c r="O3926" s="43">
        <f>IF($I3926=0,0,INDEX(DarlErsatzRate,9))</f>
      </c>
      <c r="P3926" s="43">
        <f>IF($I3926=0,0,$Q3925*INDEX(DarlErsatzZins,9))</f>
      </c>
      <c r="Q3926" s="43">
        <f>IF($I3926=0,0,$Q3925+$P3926+$O3926)</f>
      </c>
      <c r="R3926" s="43">
        <f>IF($I3926=0,0,$J3926-$M3926-$N3926)</f>
      </c>
    </row>
    <row r="3927">
      <c r="A3927"/>
      <c r="B3927">
        <v>9</v>
      </c>
      <c r="C3927" s="43">
        <f>INDEX(DarlObj,9)</f>
      </c>
      <c r="D3927">
        <v>84</v>
      </c>
      <c r="E3927" s="51">
        <f>IF(INDEX(DarlBelegt,9)=0,0,EOMONTH(INDEX(DarlAuszahlung,9),83)+1)</f>
      </c>
      <c r="F3927" s="43">
        <f>IF($E3927=0,0,YEAR($E3927))</f>
      </c>
      <c r="G3927" s="43">
        <f>IF(INDEX(DarlBindung,9)="",1,IF($E3927&lt;=INDEX(DarlBindung,9),1,0))</f>
      </c>
      <c r="H3927" s="43">
        <f>IF($G3927=1,INDEX(DarlSollzins,9),INDEX(DarlAnschluss,9))</f>
      </c>
      <c r="I3927" s="43">
        <f>IF(INDEX(DarlBelegt,9)=0,0,IF(INDEX(DarlOhneTilgung,9)=1,IF(INDEX(DarlBindung,9)="",1,$G3927),IF($J3927&gt;0.005,1,0)))</f>
      </c>
      <c r="J3927" s="43">
        <f>IF($I3926=0,0,$R3926)</f>
      </c>
      <c r="K3927" s="43">
        <f>IF($I3927=0,0,IF(INDEX(DarlOhneTilgung,9)=1,0,IF(AND(INDEX(DarlTilgStart,9)&gt;0,$E3927=INDEX(DarlTilgStart,9)),$J3927*($H3927+INDEX(DarlTilgung,9))/100/12,IF(AND($G3927=0,$G3926=1),MAX($K3926,$J3927*($H3927+1)/100/12),$K3926))))</f>
      </c>
      <c r="L3927" s="43">
        <f>IF($I3927=0,0,$J3927*$H3927/100/12)</f>
      </c>
      <c r="M3927" s="43">
        <f>IF($I3927=0,0,IF(OR(INDEX(DarlOhneTilgung,9)=1,AND(INDEX(DarlTilgStart,9)&gt;0,$E3927&lt;INDEX(DarlTilgStart,9))),0,MIN(MAX(0,$K3927-$L3927),$J3927)))</f>
      </c>
      <c r="N3927" s="43">
        <f>IF($I3927=0,0,MIN(SUMIFS(SondBetrag,SondDarl,9,SondDatum,"&gt;="&amp;$E3927,SondDatum,"&lt;="&amp;EOMONTH($E3927,0)),$J3927-$M3927))</f>
      </c>
      <c r="O3927" s="43">
        <f>IF($I3927=0,0,INDEX(DarlErsatzRate,9))</f>
      </c>
      <c r="P3927" s="43">
        <f>IF($I3927=0,0,$Q3926*INDEX(DarlErsatzZins,9))</f>
      </c>
      <c r="Q3927" s="43">
        <f>IF($I3927=0,0,$Q3926+$P3927+$O3927)</f>
      </c>
      <c r="R3927" s="43">
        <f>IF($I3927=0,0,$J3927-$M3927-$N3927)</f>
      </c>
    </row>
    <row r="3928">
      <c r="A3928"/>
      <c r="B3928">
        <v>9</v>
      </c>
      <c r="C3928" s="43">
        <f>INDEX(DarlObj,9)</f>
      </c>
      <c r="D3928">
        <v>85</v>
      </c>
      <c r="E3928" s="51">
        <f>IF(INDEX(DarlBelegt,9)=0,0,EOMONTH(INDEX(DarlAuszahlung,9),84)+1)</f>
      </c>
      <c r="F3928" s="43">
        <f>IF($E3928=0,0,YEAR($E3928))</f>
      </c>
      <c r="G3928" s="43">
        <f>IF(INDEX(DarlBindung,9)="",1,IF($E3928&lt;=INDEX(DarlBindung,9),1,0))</f>
      </c>
      <c r="H3928" s="43">
        <f>IF($G3928=1,INDEX(DarlSollzins,9),INDEX(DarlAnschluss,9))</f>
      </c>
      <c r="I3928" s="43">
        <f>IF(INDEX(DarlBelegt,9)=0,0,IF(INDEX(DarlOhneTilgung,9)=1,IF(INDEX(DarlBindung,9)="",1,$G3928),IF($J3928&gt;0.005,1,0)))</f>
      </c>
      <c r="J3928" s="43">
        <f>IF($I3927=0,0,$R3927)</f>
      </c>
      <c r="K3928" s="43">
        <f>IF($I3928=0,0,IF(INDEX(DarlOhneTilgung,9)=1,0,IF(AND(INDEX(DarlTilgStart,9)&gt;0,$E3928=INDEX(DarlTilgStart,9)),$J3928*($H3928+INDEX(DarlTilgung,9))/100/12,IF(AND($G3928=0,$G3927=1),MAX($K3927,$J3928*($H3928+1)/100/12),$K3927))))</f>
      </c>
      <c r="L3928" s="43">
        <f>IF($I3928=0,0,$J3928*$H3928/100/12)</f>
      </c>
      <c r="M3928" s="43">
        <f>IF($I3928=0,0,IF(OR(INDEX(DarlOhneTilgung,9)=1,AND(INDEX(DarlTilgStart,9)&gt;0,$E3928&lt;INDEX(DarlTilgStart,9))),0,MIN(MAX(0,$K3928-$L3928),$J3928)))</f>
      </c>
      <c r="N3928" s="43">
        <f>IF($I3928=0,0,MIN(SUMIFS(SondBetrag,SondDarl,9,SondDatum,"&gt;="&amp;$E3928,SondDatum,"&lt;="&amp;EOMONTH($E3928,0)),$J3928-$M3928))</f>
      </c>
      <c r="O3928" s="43">
        <f>IF($I3928=0,0,INDEX(DarlErsatzRate,9))</f>
      </c>
      <c r="P3928" s="43">
        <f>IF($I3928=0,0,$Q3927*INDEX(DarlErsatzZins,9))</f>
      </c>
      <c r="Q3928" s="43">
        <f>IF($I3928=0,0,$Q3927+$P3928+$O3928)</f>
      </c>
      <c r="R3928" s="43">
        <f>IF($I3928=0,0,$J3928-$M3928-$N3928)</f>
      </c>
    </row>
    <row r="3929">
      <c r="A3929"/>
      <c r="B3929">
        <v>9</v>
      </c>
      <c r="C3929" s="43">
        <f>INDEX(DarlObj,9)</f>
      </c>
      <c r="D3929">
        <v>86</v>
      </c>
      <c r="E3929" s="51">
        <f>IF(INDEX(DarlBelegt,9)=0,0,EOMONTH(INDEX(DarlAuszahlung,9),85)+1)</f>
      </c>
      <c r="F3929" s="43">
        <f>IF($E3929=0,0,YEAR($E3929))</f>
      </c>
      <c r="G3929" s="43">
        <f>IF(INDEX(DarlBindung,9)="",1,IF($E3929&lt;=INDEX(DarlBindung,9),1,0))</f>
      </c>
      <c r="H3929" s="43">
        <f>IF($G3929=1,INDEX(DarlSollzins,9),INDEX(DarlAnschluss,9))</f>
      </c>
      <c r="I3929" s="43">
        <f>IF(INDEX(DarlBelegt,9)=0,0,IF(INDEX(DarlOhneTilgung,9)=1,IF(INDEX(DarlBindung,9)="",1,$G3929),IF($J3929&gt;0.005,1,0)))</f>
      </c>
      <c r="J3929" s="43">
        <f>IF($I3928=0,0,$R3928)</f>
      </c>
      <c r="K3929" s="43">
        <f>IF($I3929=0,0,IF(INDEX(DarlOhneTilgung,9)=1,0,IF(AND(INDEX(DarlTilgStart,9)&gt;0,$E3929=INDEX(DarlTilgStart,9)),$J3929*($H3929+INDEX(DarlTilgung,9))/100/12,IF(AND($G3929=0,$G3928=1),MAX($K3928,$J3929*($H3929+1)/100/12),$K3928))))</f>
      </c>
      <c r="L3929" s="43">
        <f>IF($I3929=0,0,$J3929*$H3929/100/12)</f>
      </c>
      <c r="M3929" s="43">
        <f>IF($I3929=0,0,IF(OR(INDEX(DarlOhneTilgung,9)=1,AND(INDEX(DarlTilgStart,9)&gt;0,$E3929&lt;INDEX(DarlTilgStart,9))),0,MIN(MAX(0,$K3929-$L3929),$J3929)))</f>
      </c>
      <c r="N3929" s="43">
        <f>IF($I3929=0,0,MIN(SUMIFS(SondBetrag,SondDarl,9,SondDatum,"&gt;="&amp;$E3929,SondDatum,"&lt;="&amp;EOMONTH($E3929,0)),$J3929-$M3929))</f>
      </c>
      <c r="O3929" s="43">
        <f>IF($I3929=0,0,INDEX(DarlErsatzRate,9))</f>
      </c>
      <c r="P3929" s="43">
        <f>IF($I3929=0,0,$Q3928*INDEX(DarlErsatzZins,9))</f>
      </c>
      <c r="Q3929" s="43">
        <f>IF($I3929=0,0,$Q3928+$P3929+$O3929)</f>
      </c>
      <c r="R3929" s="43">
        <f>IF($I3929=0,0,$J3929-$M3929-$N3929)</f>
      </c>
    </row>
    <row r="3930">
      <c r="A3930"/>
      <c r="B3930">
        <v>9</v>
      </c>
      <c r="C3930" s="43">
        <f>INDEX(DarlObj,9)</f>
      </c>
      <c r="D3930">
        <v>87</v>
      </c>
      <c r="E3930" s="51">
        <f>IF(INDEX(DarlBelegt,9)=0,0,EOMONTH(INDEX(DarlAuszahlung,9),86)+1)</f>
      </c>
      <c r="F3930" s="43">
        <f>IF($E3930=0,0,YEAR($E3930))</f>
      </c>
      <c r="G3930" s="43">
        <f>IF(INDEX(DarlBindung,9)="",1,IF($E3930&lt;=INDEX(DarlBindung,9),1,0))</f>
      </c>
      <c r="H3930" s="43">
        <f>IF($G3930=1,INDEX(DarlSollzins,9),INDEX(DarlAnschluss,9))</f>
      </c>
      <c r="I3930" s="43">
        <f>IF(INDEX(DarlBelegt,9)=0,0,IF(INDEX(DarlOhneTilgung,9)=1,IF(INDEX(DarlBindung,9)="",1,$G3930),IF($J3930&gt;0.005,1,0)))</f>
      </c>
      <c r="J3930" s="43">
        <f>IF($I3929=0,0,$R3929)</f>
      </c>
      <c r="K3930" s="43">
        <f>IF($I3930=0,0,IF(INDEX(DarlOhneTilgung,9)=1,0,IF(AND(INDEX(DarlTilgStart,9)&gt;0,$E3930=INDEX(DarlTilgStart,9)),$J3930*($H3930+INDEX(DarlTilgung,9))/100/12,IF(AND($G3930=0,$G3929=1),MAX($K3929,$J3930*($H3930+1)/100/12),$K3929))))</f>
      </c>
      <c r="L3930" s="43">
        <f>IF($I3930=0,0,$J3930*$H3930/100/12)</f>
      </c>
      <c r="M3930" s="43">
        <f>IF($I3930=0,0,IF(OR(INDEX(DarlOhneTilgung,9)=1,AND(INDEX(DarlTilgStart,9)&gt;0,$E3930&lt;INDEX(DarlTilgStart,9))),0,MIN(MAX(0,$K3930-$L3930),$J3930)))</f>
      </c>
      <c r="N3930" s="43">
        <f>IF($I3930=0,0,MIN(SUMIFS(SondBetrag,SondDarl,9,SondDatum,"&gt;="&amp;$E3930,SondDatum,"&lt;="&amp;EOMONTH($E3930,0)),$J3930-$M3930))</f>
      </c>
      <c r="O3930" s="43">
        <f>IF($I3930=0,0,INDEX(DarlErsatzRate,9))</f>
      </c>
      <c r="P3930" s="43">
        <f>IF($I3930=0,0,$Q3929*INDEX(DarlErsatzZins,9))</f>
      </c>
      <c r="Q3930" s="43">
        <f>IF($I3930=0,0,$Q3929+$P3930+$O3930)</f>
      </c>
      <c r="R3930" s="43">
        <f>IF($I3930=0,0,$J3930-$M3930-$N3930)</f>
      </c>
    </row>
    <row r="3931">
      <c r="A3931"/>
      <c r="B3931">
        <v>9</v>
      </c>
      <c r="C3931" s="43">
        <f>INDEX(DarlObj,9)</f>
      </c>
      <c r="D3931">
        <v>88</v>
      </c>
      <c r="E3931" s="51">
        <f>IF(INDEX(DarlBelegt,9)=0,0,EOMONTH(INDEX(DarlAuszahlung,9),87)+1)</f>
      </c>
      <c r="F3931" s="43">
        <f>IF($E3931=0,0,YEAR($E3931))</f>
      </c>
      <c r="G3931" s="43">
        <f>IF(INDEX(DarlBindung,9)="",1,IF($E3931&lt;=INDEX(DarlBindung,9),1,0))</f>
      </c>
      <c r="H3931" s="43">
        <f>IF($G3931=1,INDEX(DarlSollzins,9),INDEX(DarlAnschluss,9))</f>
      </c>
      <c r="I3931" s="43">
        <f>IF(INDEX(DarlBelegt,9)=0,0,IF(INDEX(DarlOhneTilgung,9)=1,IF(INDEX(DarlBindung,9)="",1,$G3931),IF($J3931&gt;0.005,1,0)))</f>
      </c>
      <c r="J3931" s="43">
        <f>IF($I3930=0,0,$R3930)</f>
      </c>
      <c r="K3931" s="43">
        <f>IF($I3931=0,0,IF(INDEX(DarlOhneTilgung,9)=1,0,IF(AND(INDEX(DarlTilgStart,9)&gt;0,$E3931=INDEX(DarlTilgStart,9)),$J3931*($H3931+INDEX(DarlTilgung,9))/100/12,IF(AND($G3931=0,$G3930=1),MAX($K3930,$J3931*($H3931+1)/100/12),$K3930))))</f>
      </c>
      <c r="L3931" s="43">
        <f>IF($I3931=0,0,$J3931*$H3931/100/12)</f>
      </c>
      <c r="M3931" s="43">
        <f>IF($I3931=0,0,IF(OR(INDEX(DarlOhneTilgung,9)=1,AND(INDEX(DarlTilgStart,9)&gt;0,$E3931&lt;INDEX(DarlTilgStart,9))),0,MIN(MAX(0,$K3931-$L3931),$J3931)))</f>
      </c>
      <c r="N3931" s="43">
        <f>IF($I3931=0,0,MIN(SUMIFS(SondBetrag,SondDarl,9,SondDatum,"&gt;="&amp;$E3931,SondDatum,"&lt;="&amp;EOMONTH($E3931,0)),$J3931-$M3931))</f>
      </c>
      <c r="O3931" s="43">
        <f>IF($I3931=0,0,INDEX(DarlErsatzRate,9))</f>
      </c>
      <c r="P3931" s="43">
        <f>IF($I3931=0,0,$Q3930*INDEX(DarlErsatzZins,9))</f>
      </c>
      <c r="Q3931" s="43">
        <f>IF($I3931=0,0,$Q3930+$P3931+$O3931)</f>
      </c>
      <c r="R3931" s="43">
        <f>IF($I3931=0,0,$J3931-$M3931-$N3931)</f>
      </c>
    </row>
    <row r="3932">
      <c r="A3932"/>
      <c r="B3932">
        <v>9</v>
      </c>
      <c r="C3932" s="43">
        <f>INDEX(DarlObj,9)</f>
      </c>
      <c r="D3932">
        <v>89</v>
      </c>
      <c r="E3932" s="51">
        <f>IF(INDEX(DarlBelegt,9)=0,0,EOMONTH(INDEX(DarlAuszahlung,9),88)+1)</f>
      </c>
      <c r="F3932" s="43">
        <f>IF($E3932=0,0,YEAR($E3932))</f>
      </c>
      <c r="G3932" s="43">
        <f>IF(INDEX(DarlBindung,9)="",1,IF($E3932&lt;=INDEX(DarlBindung,9),1,0))</f>
      </c>
      <c r="H3932" s="43">
        <f>IF($G3932=1,INDEX(DarlSollzins,9),INDEX(DarlAnschluss,9))</f>
      </c>
      <c r="I3932" s="43">
        <f>IF(INDEX(DarlBelegt,9)=0,0,IF(INDEX(DarlOhneTilgung,9)=1,IF(INDEX(DarlBindung,9)="",1,$G3932),IF($J3932&gt;0.005,1,0)))</f>
      </c>
      <c r="J3932" s="43">
        <f>IF($I3931=0,0,$R3931)</f>
      </c>
      <c r="K3932" s="43">
        <f>IF($I3932=0,0,IF(INDEX(DarlOhneTilgung,9)=1,0,IF(AND(INDEX(DarlTilgStart,9)&gt;0,$E3932=INDEX(DarlTilgStart,9)),$J3932*($H3932+INDEX(DarlTilgung,9))/100/12,IF(AND($G3932=0,$G3931=1),MAX($K3931,$J3932*($H3932+1)/100/12),$K3931))))</f>
      </c>
      <c r="L3932" s="43">
        <f>IF($I3932=0,0,$J3932*$H3932/100/12)</f>
      </c>
      <c r="M3932" s="43">
        <f>IF($I3932=0,0,IF(OR(INDEX(DarlOhneTilgung,9)=1,AND(INDEX(DarlTilgStart,9)&gt;0,$E3932&lt;INDEX(DarlTilgStart,9))),0,MIN(MAX(0,$K3932-$L3932),$J3932)))</f>
      </c>
      <c r="N3932" s="43">
        <f>IF($I3932=0,0,MIN(SUMIFS(SondBetrag,SondDarl,9,SondDatum,"&gt;="&amp;$E3932,SondDatum,"&lt;="&amp;EOMONTH($E3932,0)),$J3932-$M3932))</f>
      </c>
      <c r="O3932" s="43">
        <f>IF($I3932=0,0,INDEX(DarlErsatzRate,9))</f>
      </c>
      <c r="P3932" s="43">
        <f>IF($I3932=0,0,$Q3931*INDEX(DarlErsatzZins,9))</f>
      </c>
      <c r="Q3932" s="43">
        <f>IF($I3932=0,0,$Q3931+$P3932+$O3932)</f>
      </c>
      <c r="R3932" s="43">
        <f>IF($I3932=0,0,$J3932-$M3932-$N3932)</f>
      </c>
    </row>
    <row r="3933">
      <c r="A3933"/>
      <c r="B3933">
        <v>9</v>
      </c>
      <c r="C3933" s="43">
        <f>INDEX(DarlObj,9)</f>
      </c>
      <c r="D3933">
        <v>90</v>
      </c>
      <c r="E3933" s="51">
        <f>IF(INDEX(DarlBelegt,9)=0,0,EOMONTH(INDEX(DarlAuszahlung,9),89)+1)</f>
      </c>
      <c r="F3933" s="43">
        <f>IF($E3933=0,0,YEAR($E3933))</f>
      </c>
      <c r="G3933" s="43">
        <f>IF(INDEX(DarlBindung,9)="",1,IF($E3933&lt;=INDEX(DarlBindung,9),1,0))</f>
      </c>
      <c r="H3933" s="43">
        <f>IF($G3933=1,INDEX(DarlSollzins,9),INDEX(DarlAnschluss,9))</f>
      </c>
      <c r="I3933" s="43">
        <f>IF(INDEX(DarlBelegt,9)=0,0,IF(INDEX(DarlOhneTilgung,9)=1,IF(INDEX(DarlBindung,9)="",1,$G3933),IF($J3933&gt;0.005,1,0)))</f>
      </c>
      <c r="J3933" s="43">
        <f>IF($I3932=0,0,$R3932)</f>
      </c>
      <c r="K3933" s="43">
        <f>IF($I3933=0,0,IF(INDEX(DarlOhneTilgung,9)=1,0,IF(AND(INDEX(DarlTilgStart,9)&gt;0,$E3933=INDEX(DarlTilgStart,9)),$J3933*($H3933+INDEX(DarlTilgung,9))/100/12,IF(AND($G3933=0,$G3932=1),MAX($K3932,$J3933*($H3933+1)/100/12),$K3932))))</f>
      </c>
      <c r="L3933" s="43">
        <f>IF($I3933=0,0,$J3933*$H3933/100/12)</f>
      </c>
      <c r="M3933" s="43">
        <f>IF($I3933=0,0,IF(OR(INDEX(DarlOhneTilgung,9)=1,AND(INDEX(DarlTilgStart,9)&gt;0,$E3933&lt;INDEX(DarlTilgStart,9))),0,MIN(MAX(0,$K3933-$L3933),$J3933)))</f>
      </c>
      <c r="N3933" s="43">
        <f>IF($I3933=0,0,MIN(SUMIFS(SondBetrag,SondDarl,9,SondDatum,"&gt;="&amp;$E3933,SondDatum,"&lt;="&amp;EOMONTH($E3933,0)),$J3933-$M3933))</f>
      </c>
      <c r="O3933" s="43">
        <f>IF($I3933=0,0,INDEX(DarlErsatzRate,9))</f>
      </c>
      <c r="P3933" s="43">
        <f>IF($I3933=0,0,$Q3932*INDEX(DarlErsatzZins,9))</f>
      </c>
      <c r="Q3933" s="43">
        <f>IF($I3933=0,0,$Q3932+$P3933+$O3933)</f>
      </c>
      <c r="R3933" s="43">
        <f>IF($I3933=0,0,$J3933-$M3933-$N3933)</f>
      </c>
    </row>
    <row r="3934">
      <c r="A3934"/>
      <c r="B3934">
        <v>9</v>
      </c>
      <c r="C3934" s="43">
        <f>INDEX(DarlObj,9)</f>
      </c>
      <c r="D3934">
        <v>91</v>
      </c>
      <c r="E3934" s="51">
        <f>IF(INDEX(DarlBelegt,9)=0,0,EOMONTH(INDEX(DarlAuszahlung,9),90)+1)</f>
      </c>
      <c r="F3934" s="43">
        <f>IF($E3934=0,0,YEAR($E3934))</f>
      </c>
      <c r="G3934" s="43">
        <f>IF(INDEX(DarlBindung,9)="",1,IF($E3934&lt;=INDEX(DarlBindung,9),1,0))</f>
      </c>
      <c r="H3934" s="43">
        <f>IF($G3934=1,INDEX(DarlSollzins,9),INDEX(DarlAnschluss,9))</f>
      </c>
      <c r="I3934" s="43">
        <f>IF(INDEX(DarlBelegt,9)=0,0,IF(INDEX(DarlOhneTilgung,9)=1,IF(INDEX(DarlBindung,9)="",1,$G3934),IF($J3934&gt;0.005,1,0)))</f>
      </c>
      <c r="J3934" s="43">
        <f>IF($I3933=0,0,$R3933)</f>
      </c>
      <c r="K3934" s="43">
        <f>IF($I3934=0,0,IF(INDEX(DarlOhneTilgung,9)=1,0,IF(AND(INDEX(DarlTilgStart,9)&gt;0,$E3934=INDEX(DarlTilgStart,9)),$J3934*($H3934+INDEX(DarlTilgung,9))/100/12,IF(AND($G3934=0,$G3933=1),MAX($K3933,$J3934*($H3934+1)/100/12),$K3933))))</f>
      </c>
      <c r="L3934" s="43">
        <f>IF($I3934=0,0,$J3934*$H3934/100/12)</f>
      </c>
      <c r="M3934" s="43">
        <f>IF($I3934=0,0,IF(OR(INDEX(DarlOhneTilgung,9)=1,AND(INDEX(DarlTilgStart,9)&gt;0,$E3934&lt;INDEX(DarlTilgStart,9))),0,MIN(MAX(0,$K3934-$L3934),$J3934)))</f>
      </c>
      <c r="N3934" s="43">
        <f>IF($I3934=0,0,MIN(SUMIFS(SondBetrag,SondDarl,9,SondDatum,"&gt;="&amp;$E3934,SondDatum,"&lt;="&amp;EOMONTH($E3934,0)),$J3934-$M3934))</f>
      </c>
      <c r="O3934" s="43">
        <f>IF($I3934=0,0,INDEX(DarlErsatzRate,9))</f>
      </c>
      <c r="P3934" s="43">
        <f>IF($I3934=0,0,$Q3933*INDEX(DarlErsatzZins,9))</f>
      </c>
      <c r="Q3934" s="43">
        <f>IF($I3934=0,0,$Q3933+$P3934+$O3934)</f>
      </c>
      <c r="R3934" s="43">
        <f>IF($I3934=0,0,$J3934-$M3934-$N3934)</f>
      </c>
    </row>
    <row r="3935">
      <c r="A3935"/>
      <c r="B3935">
        <v>9</v>
      </c>
      <c r="C3935" s="43">
        <f>INDEX(DarlObj,9)</f>
      </c>
      <c r="D3935">
        <v>92</v>
      </c>
      <c r="E3935" s="51">
        <f>IF(INDEX(DarlBelegt,9)=0,0,EOMONTH(INDEX(DarlAuszahlung,9),91)+1)</f>
      </c>
      <c r="F3935" s="43">
        <f>IF($E3935=0,0,YEAR($E3935))</f>
      </c>
      <c r="G3935" s="43">
        <f>IF(INDEX(DarlBindung,9)="",1,IF($E3935&lt;=INDEX(DarlBindung,9),1,0))</f>
      </c>
      <c r="H3935" s="43">
        <f>IF($G3935=1,INDEX(DarlSollzins,9),INDEX(DarlAnschluss,9))</f>
      </c>
      <c r="I3935" s="43">
        <f>IF(INDEX(DarlBelegt,9)=0,0,IF(INDEX(DarlOhneTilgung,9)=1,IF(INDEX(DarlBindung,9)="",1,$G3935),IF($J3935&gt;0.005,1,0)))</f>
      </c>
      <c r="J3935" s="43">
        <f>IF($I3934=0,0,$R3934)</f>
      </c>
      <c r="K3935" s="43">
        <f>IF($I3935=0,0,IF(INDEX(DarlOhneTilgung,9)=1,0,IF(AND(INDEX(DarlTilgStart,9)&gt;0,$E3935=INDEX(DarlTilgStart,9)),$J3935*($H3935+INDEX(DarlTilgung,9))/100/12,IF(AND($G3935=0,$G3934=1),MAX($K3934,$J3935*($H3935+1)/100/12),$K3934))))</f>
      </c>
      <c r="L3935" s="43">
        <f>IF($I3935=0,0,$J3935*$H3935/100/12)</f>
      </c>
      <c r="M3935" s="43">
        <f>IF($I3935=0,0,IF(OR(INDEX(DarlOhneTilgung,9)=1,AND(INDEX(DarlTilgStart,9)&gt;0,$E3935&lt;INDEX(DarlTilgStart,9))),0,MIN(MAX(0,$K3935-$L3935),$J3935)))</f>
      </c>
      <c r="N3935" s="43">
        <f>IF($I3935=0,0,MIN(SUMIFS(SondBetrag,SondDarl,9,SondDatum,"&gt;="&amp;$E3935,SondDatum,"&lt;="&amp;EOMONTH($E3935,0)),$J3935-$M3935))</f>
      </c>
      <c r="O3935" s="43">
        <f>IF($I3935=0,0,INDEX(DarlErsatzRate,9))</f>
      </c>
      <c r="P3935" s="43">
        <f>IF($I3935=0,0,$Q3934*INDEX(DarlErsatzZins,9))</f>
      </c>
      <c r="Q3935" s="43">
        <f>IF($I3935=0,0,$Q3934+$P3935+$O3935)</f>
      </c>
      <c r="R3935" s="43">
        <f>IF($I3935=0,0,$J3935-$M3935-$N3935)</f>
      </c>
    </row>
    <row r="3936">
      <c r="A3936"/>
      <c r="B3936">
        <v>9</v>
      </c>
      <c r="C3936" s="43">
        <f>INDEX(DarlObj,9)</f>
      </c>
      <c r="D3936">
        <v>93</v>
      </c>
      <c r="E3936" s="51">
        <f>IF(INDEX(DarlBelegt,9)=0,0,EOMONTH(INDEX(DarlAuszahlung,9),92)+1)</f>
      </c>
      <c r="F3936" s="43">
        <f>IF($E3936=0,0,YEAR($E3936))</f>
      </c>
      <c r="G3936" s="43">
        <f>IF(INDEX(DarlBindung,9)="",1,IF($E3936&lt;=INDEX(DarlBindung,9),1,0))</f>
      </c>
      <c r="H3936" s="43">
        <f>IF($G3936=1,INDEX(DarlSollzins,9),INDEX(DarlAnschluss,9))</f>
      </c>
      <c r="I3936" s="43">
        <f>IF(INDEX(DarlBelegt,9)=0,0,IF(INDEX(DarlOhneTilgung,9)=1,IF(INDEX(DarlBindung,9)="",1,$G3936),IF($J3936&gt;0.005,1,0)))</f>
      </c>
      <c r="J3936" s="43">
        <f>IF($I3935=0,0,$R3935)</f>
      </c>
      <c r="K3936" s="43">
        <f>IF($I3936=0,0,IF(INDEX(DarlOhneTilgung,9)=1,0,IF(AND(INDEX(DarlTilgStart,9)&gt;0,$E3936=INDEX(DarlTilgStart,9)),$J3936*($H3936+INDEX(DarlTilgung,9))/100/12,IF(AND($G3936=0,$G3935=1),MAX($K3935,$J3936*($H3936+1)/100/12),$K3935))))</f>
      </c>
      <c r="L3936" s="43">
        <f>IF($I3936=0,0,$J3936*$H3936/100/12)</f>
      </c>
      <c r="M3936" s="43">
        <f>IF($I3936=0,0,IF(OR(INDEX(DarlOhneTilgung,9)=1,AND(INDEX(DarlTilgStart,9)&gt;0,$E3936&lt;INDEX(DarlTilgStart,9))),0,MIN(MAX(0,$K3936-$L3936),$J3936)))</f>
      </c>
      <c r="N3936" s="43">
        <f>IF($I3936=0,0,MIN(SUMIFS(SondBetrag,SondDarl,9,SondDatum,"&gt;="&amp;$E3936,SondDatum,"&lt;="&amp;EOMONTH($E3936,0)),$J3936-$M3936))</f>
      </c>
      <c r="O3936" s="43">
        <f>IF($I3936=0,0,INDEX(DarlErsatzRate,9))</f>
      </c>
      <c r="P3936" s="43">
        <f>IF($I3936=0,0,$Q3935*INDEX(DarlErsatzZins,9))</f>
      </c>
      <c r="Q3936" s="43">
        <f>IF($I3936=0,0,$Q3935+$P3936+$O3936)</f>
      </c>
      <c r="R3936" s="43">
        <f>IF($I3936=0,0,$J3936-$M3936-$N3936)</f>
      </c>
    </row>
    <row r="3937">
      <c r="A3937"/>
      <c r="B3937">
        <v>9</v>
      </c>
      <c r="C3937" s="43">
        <f>INDEX(DarlObj,9)</f>
      </c>
      <c r="D3937">
        <v>94</v>
      </c>
      <c r="E3937" s="51">
        <f>IF(INDEX(DarlBelegt,9)=0,0,EOMONTH(INDEX(DarlAuszahlung,9),93)+1)</f>
      </c>
      <c r="F3937" s="43">
        <f>IF($E3937=0,0,YEAR($E3937))</f>
      </c>
      <c r="G3937" s="43">
        <f>IF(INDEX(DarlBindung,9)="",1,IF($E3937&lt;=INDEX(DarlBindung,9),1,0))</f>
      </c>
      <c r="H3937" s="43">
        <f>IF($G3937=1,INDEX(DarlSollzins,9),INDEX(DarlAnschluss,9))</f>
      </c>
      <c r="I3937" s="43">
        <f>IF(INDEX(DarlBelegt,9)=0,0,IF(INDEX(DarlOhneTilgung,9)=1,IF(INDEX(DarlBindung,9)="",1,$G3937),IF($J3937&gt;0.005,1,0)))</f>
      </c>
      <c r="J3937" s="43">
        <f>IF($I3936=0,0,$R3936)</f>
      </c>
      <c r="K3937" s="43">
        <f>IF($I3937=0,0,IF(INDEX(DarlOhneTilgung,9)=1,0,IF(AND(INDEX(DarlTilgStart,9)&gt;0,$E3937=INDEX(DarlTilgStart,9)),$J3937*($H3937+INDEX(DarlTilgung,9))/100/12,IF(AND($G3937=0,$G3936=1),MAX($K3936,$J3937*($H3937+1)/100/12),$K3936))))</f>
      </c>
      <c r="L3937" s="43">
        <f>IF($I3937=0,0,$J3937*$H3937/100/12)</f>
      </c>
      <c r="M3937" s="43">
        <f>IF($I3937=0,0,IF(OR(INDEX(DarlOhneTilgung,9)=1,AND(INDEX(DarlTilgStart,9)&gt;0,$E3937&lt;INDEX(DarlTilgStart,9))),0,MIN(MAX(0,$K3937-$L3937),$J3937)))</f>
      </c>
      <c r="N3937" s="43">
        <f>IF($I3937=0,0,MIN(SUMIFS(SondBetrag,SondDarl,9,SondDatum,"&gt;="&amp;$E3937,SondDatum,"&lt;="&amp;EOMONTH($E3937,0)),$J3937-$M3937))</f>
      </c>
      <c r="O3937" s="43">
        <f>IF($I3937=0,0,INDEX(DarlErsatzRate,9))</f>
      </c>
      <c r="P3937" s="43">
        <f>IF($I3937=0,0,$Q3936*INDEX(DarlErsatzZins,9))</f>
      </c>
      <c r="Q3937" s="43">
        <f>IF($I3937=0,0,$Q3936+$P3937+$O3937)</f>
      </c>
      <c r="R3937" s="43">
        <f>IF($I3937=0,0,$J3937-$M3937-$N3937)</f>
      </c>
    </row>
    <row r="3938">
      <c r="A3938"/>
      <c r="B3938">
        <v>9</v>
      </c>
      <c r="C3938" s="43">
        <f>INDEX(DarlObj,9)</f>
      </c>
      <c r="D3938">
        <v>95</v>
      </c>
      <c r="E3938" s="51">
        <f>IF(INDEX(DarlBelegt,9)=0,0,EOMONTH(INDEX(DarlAuszahlung,9),94)+1)</f>
      </c>
      <c r="F3938" s="43">
        <f>IF($E3938=0,0,YEAR($E3938))</f>
      </c>
      <c r="G3938" s="43">
        <f>IF(INDEX(DarlBindung,9)="",1,IF($E3938&lt;=INDEX(DarlBindung,9),1,0))</f>
      </c>
      <c r="H3938" s="43">
        <f>IF($G3938=1,INDEX(DarlSollzins,9),INDEX(DarlAnschluss,9))</f>
      </c>
      <c r="I3938" s="43">
        <f>IF(INDEX(DarlBelegt,9)=0,0,IF(INDEX(DarlOhneTilgung,9)=1,IF(INDEX(DarlBindung,9)="",1,$G3938),IF($J3938&gt;0.005,1,0)))</f>
      </c>
      <c r="J3938" s="43">
        <f>IF($I3937=0,0,$R3937)</f>
      </c>
      <c r="K3938" s="43">
        <f>IF($I3938=0,0,IF(INDEX(DarlOhneTilgung,9)=1,0,IF(AND(INDEX(DarlTilgStart,9)&gt;0,$E3938=INDEX(DarlTilgStart,9)),$J3938*($H3938+INDEX(DarlTilgung,9))/100/12,IF(AND($G3938=0,$G3937=1),MAX($K3937,$J3938*($H3938+1)/100/12),$K3937))))</f>
      </c>
      <c r="L3938" s="43">
        <f>IF($I3938=0,0,$J3938*$H3938/100/12)</f>
      </c>
      <c r="M3938" s="43">
        <f>IF($I3938=0,0,IF(OR(INDEX(DarlOhneTilgung,9)=1,AND(INDEX(DarlTilgStart,9)&gt;0,$E3938&lt;INDEX(DarlTilgStart,9))),0,MIN(MAX(0,$K3938-$L3938),$J3938)))</f>
      </c>
      <c r="N3938" s="43">
        <f>IF($I3938=0,0,MIN(SUMIFS(SondBetrag,SondDarl,9,SondDatum,"&gt;="&amp;$E3938,SondDatum,"&lt;="&amp;EOMONTH($E3938,0)),$J3938-$M3938))</f>
      </c>
      <c r="O3938" s="43">
        <f>IF($I3938=0,0,INDEX(DarlErsatzRate,9))</f>
      </c>
      <c r="P3938" s="43">
        <f>IF($I3938=0,0,$Q3937*INDEX(DarlErsatzZins,9))</f>
      </c>
      <c r="Q3938" s="43">
        <f>IF($I3938=0,0,$Q3937+$P3938+$O3938)</f>
      </c>
      <c r="R3938" s="43">
        <f>IF($I3938=0,0,$J3938-$M3938-$N3938)</f>
      </c>
    </row>
    <row r="3939">
      <c r="A3939"/>
      <c r="B3939">
        <v>9</v>
      </c>
      <c r="C3939" s="43">
        <f>INDEX(DarlObj,9)</f>
      </c>
      <c r="D3939">
        <v>96</v>
      </c>
      <c r="E3939" s="51">
        <f>IF(INDEX(DarlBelegt,9)=0,0,EOMONTH(INDEX(DarlAuszahlung,9),95)+1)</f>
      </c>
      <c r="F3939" s="43">
        <f>IF($E3939=0,0,YEAR($E3939))</f>
      </c>
      <c r="G3939" s="43">
        <f>IF(INDEX(DarlBindung,9)="",1,IF($E3939&lt;=INDEX(DarlBindung,9),1,0))</f>
      </c>
      <c r="H3939" s="43">
        <f>IF($G3939=1,INDEX(DarlSollzins,9),INDEX(DarlAnschluss,9))</f>
      </c>
      <c r="I3939" s="43">
        <f>IF(INDEX(DarlBelegt,9)=0,0,IF(INDEX(DarlOhneTilgung,9)=1,IF(INDEX(DarlBindung,9)="",1,$G3939),IF($J3939&gt;0.005,1,0)))</f>
      </c>
      <c r="J3939" s="43">
        <f>IF($I3938=0,0,$R3938)</f>
      </c>
      <c r="K3939" s="43">
        <f>IF($I3939=0,0,IF(INDEX(DarlOhneTilgung,9)=1,0,IF(AND(INDEX(DarlTilgStart,9)&gt;0,$E3939=INDEX(DarlTilgStart,9)),$J3939*($H3939+INDEX(DarlTilgung,9))/100/12,IF(AND($G3939=0,$G3938=1),MAX($K3938,$J3939*($H3939+1)/100/12),$K3938))))</f>
      </c>
      <c r="L3939" s="43">
        <f>IF($I3939=0,0,$J3939*$H3939/100/12)</f>
      </c>
      <c r="M3939" s="43">
        <f>IF($I3939=0,0,IF(OR(INDEX(DarlOhneTilgung,9)=1,AND(INDEX(DarlTilgStart,9)&gt;0,$E3939&lt;INDEX(DarlTilgStart,9))),0,MIN(MAX(0,$K3939-$L3939),$J3939)))</f>
      </c>
      <c r="N3939" s="43">
        <f>IF($I3939=0,0,MIN(SUMIFS(SondBetrag,SondDarl,9,SondDatum,"&gt;="&amp;$E3939,SondDatum,"&lt;="&amp;EOMONTH($E3939,0)),$J3939-$M3939))</f>
      </c>
      <c r="O3939" s="43">
        <f>IF($I3939=0,0,INDEX(DarlErsatzRate,9))</f>
      </c>
      <c r="P3939" s="43">
        <f>IF($I3939=0,0,$Q3938*INDEX(DarlErsatzZins,9))</f>
      </c>
      <c r="Q3939" s="43">
        <f>IF($I3939=0,0,$Q3938+$P3939+$O3939)</f>
      </c>
      <c r="R3939" s="43">
        <f>IF($I3939=0,0,$J3939-$M3939-$N3939)</f>
      </c>
    </row>
    <row r="3940">
      <c r="A3940"/>
      <c r="B3940">
        <v>9</v>
      </c>
      <c r="C3940" s="43">
        <f>INDEX(DarlObj,9)</f>
      </c>
      <c r="D3940">
        <v>97</v>
      </c>
      <c r="E3940" s="51">
        <f>IF(INDEX(DarlBelegt,9)=0,0,EOMONTH(INDEX(DarlAuszahlung,9),96)+1)</f>
      </c>
      <c r="F3940" s="43">
        <f>IF($E3940=0,0,YEAR($E3940))</f>
      </c>
      <c r="G3940" s="43">
        <f>IF(INDEX(DarlBindung,9)="",1,IF($E3940&lt;=INDEX(DarlBindung,9),1,0))</f>
      </c>
      <c r="H3940" s="43">
        <f>IF($G3940=1,INDEX(DarlSollzins,9),INDEX(DarlAnschluss,9))</f>
      </c>
      <c r="I3940" s="43">
        <f>IF(INDEX(DarlBelegt,9)=0,0,IF(INDEX(DarlOhneTilgung,9)=1,IF(INDEX(DarlBindung,9)="",1,$G3940),IF($J3940&gt;0.005,1,0)))</f>
      </c>
      <c r="J3940" s="43">
        <f>IF($I3939=0,0,$R3939)</f>
      </c>
      <c r="K3940" s="43">
        <f>IF($I3940=0,0,IF(INDEX(DarlOhneTilgung,9)=1,0,IF(AND(INDEX(DarlTilgStart,9)&gt;0,$E3940=INDEX(DarlTilgStart,9)),$J3940*($H3940+INDEX(DarlTilgung,9))/100/12,IF(AND($G3940=0,$G3939=1),MAX($K3939,$J3940*($H3940+1)/100/12),$K3939))))</f>
      </c>
      <c r="L3940" s="43">
        <f>IF($I3940=0,0,$J3940*$H3940/100/12)</f>
      </c>
      <c r="M3940" s="43">
        <f>IF($I3940=0,0,IF(OR(INDEX(DarlOhneTilgung,9)=1,AND(INDEX(DarlTilgStart,9)&gt;0,$E3940&lt;INDEX(DarlTilgStart,9))),0,MIN(MAX(0,$K3940-$L3940),$J3940)))</f>
      </c>
      <c r="N3940" s="43">
        <f>IF($I3940=0,0,MIN(SUMIFS(SondBetrag,SondDarl,9,SondDatum,"&gt;="&amp;$E3940,SondDatum,"&lt;="&amp;EOMONTH($E3940,0)),$J3940-$M3940))</f>
      </c>
      <c r="O3940" s="43">
        <f>IF($I3940=0,0,INDEX(DarlErsatzRate,9))</f>
      </c>
      <c r="P3940" s="43">
        <f>IF($I3940=0,0,$Q3939*INDEX(DarlErsatzZins,9))</f>
      </c>
      <c r="Q3940" s="43">
        <f>IF($I3940=0,0,$Q3939+$P3940+$O3940)</f>
      </c>
      <c r="R3940" s="43">
        <f>IF($I3940=0,0,$J3940-$M3940-$N3940)</f>
      </c>
    </row>
    <row r="3941">
      <c r="A3941"/>
      <c r="B3941">
        <v>9</v>
      </c>
      <c r="C3941" s="43">
        <f>INDEX(DarlObj,9)</f>
      </c>
      <c r="D3941">
        <v>98</v>
      </c>
      <c r="E3941" s="51">
        <f>IF(INDEX(DarlBelegt,9)=0,0,EOMONTH(INDEX(DarlAuszahlung,9),97)+1)</f>
      </c>
      <c r="F3941" s="43">
        <f>IF($E3941=0,0,YEAR($E3941))</f>
      </c>
      <c r="G3941" s="43">
        <f>IF(INDEX(DarlBindung,9)="",1,IF($E3941&lt;=INDEX(DarlBindung,9),1,0))</f>
      </c>
      <c r="H3941" s="43">
        <f>IF($G3941=1,INDEX(DarlSollzins,9),INDEX(DarlAnschluss,9))</f>
      </c>
      <c r="I3941" s="43">
        <f>IF(INDEX(DarlBelegt,9)=0,0,IF(INDEX(DarlOhneTilgung,9)=1,IF(INDEX(DarlBindung,9)="",1,$G3941),IF($J3941&gt;0.005,1,0)))</f>
      </c>
      <c r="J3941" s="43">
        <f>IF($I3940=0,0,$R3940)</f>
      </c>
      <c r="K3941" s="43">
        <f>IF($I3941=0,0,IF(INDEX(DarlOhneTilgung,9)=1,0,IF(AND(INDEX(DarlTilgStart,9)&gt;0,$E3941=INDEX(DarlTilgStart,9)),$J3941*($H3941+INDEX(DarlTilgung,9))/100/12,IF(AND($G3941=0,$G3940=1),MAX($K3940,$J3941*($H3941+1)/100/12),$K3940))))</f>
      </c>
      <c r="L3941" s="43">
        <f>IF($I3941=0,0,$J3941*$H3941/100/12)</f>
      </c>
      <c r="M3941" s="43">
        <f>IF($I3941=0,0,IF(OR(INDEX(DarlOhneTilgung,9)=1,AND(INDEX(DarlTilgStart,9)&gt;0,$E3941&lt;INDEX(DarlTilgStart,9))),0,MIN(MAX(0,$K3941-$L3941),$J3941)))</f>
      </c>
      <c r="N3941" s="43">
        <f>IF($I3941=0,0,MIN(SUMIFS(SondBetrag,SondDarl,9,SondDatum,"&gt;="&amp;$E3941,SondDatum,"&lt;="&amp;EOMONTH($E3941,0)),$J3941-$M3941))</f>
      </c>
      <c r="O3941" s="43">
        <f>IF($I3941=0,0,INDEX(DarlErsatzRate,9))</f>
      </c>
      <c r="P3941" s="43">
        <f>IF($I3941=0,0,$Q3940*INDEX(DarlErsatzZins,9))</f>
      </c>
      <c r="Q3941" s="43">
        <f>IF($I3941=0,0,$Q3940+$P3941+$O3941)</f>
      </c>
      <c r="R3941" s="43">
        <f>IF($I3941=0,0,$J3941-$M3941-$N3941)</f>
      </c>
    </row>
    <row r="3942">
      <c r="A3942"/>
      <c r="B3942">
        <v>9</v>
      </c>
      <c r="C3942" s="43">
        <f>INDEX(DarlObj,9)</f>
      </c>
      <c r="D3942">
        <v>99</v>
      </c>
      <c r="E3942" s="51">
        <f>IF(INDEX(DarlBelegt,9)=0,0,EOMONTH(INDEX(DarlAuszahlung,9),98)+1)</f>
      </c>
      <c r="F3942" s="43">
        <f>IF($E3942=0,0,YEAR($E3942))</f>
      </c>
      <c r="G3942" s="43">
        <f>IF(INDEX(DarlBindung,9)="",1,IF($E3942&lt;=INDEX(DarlBindung,9),1,0))</f>
      </c>
      <c r="H3942" s="43">
        <f>IF($G3942=1,INDEX(DarlSollzins,9),INDEX(DarlAnschluss,9))</f>
      </c>
      <c r="I3942" s="43">
        <f>IF(INDEX(DarlBelegt,9)=0,0,IF(INDEX(DarlOhneTilgung,9)=1,IF(INDEX(DarlBindung,9)="",1,$G3942),IF($J3942&gt;0.005,1,0)))</f>
      </c>
      <c r="J3942" s="43">
        <f>IF($I3941=0,0,$R3941)</f>
      </c>
      <c r="K3942" s="43">
        <f>IF($I3942=0,0,IF(INDEX(DarlOhneTilgung,9)=1,0,IF(AND(INDEX(DarlTilgStart,9)&gt;0,$E3942=INDEX(DarlTilgStart,9)),$J3942*($H3942+INDEX(DarlTilgung,9))/100/12,IF(AND($G3942=0,$G3941=1),MAX($K3941,$J3942*($H3942+1)/100/12),$K3941))))</f>
      </c>
      <c r="L3942" s="43">
        <f>IF($I3942=0,0,$J3942*$H3942/100/12)</f>
      </c>
      <c r="M3942" s="43">
        <f>IF($I3942=0,0,IF(OR(INDEX(DarlOhneTilgung,9)=1,AND(INDEX(DarlTilgStart,9)&gt;0,$E3942&lt;INDEX(DarlTilgStart,9))),0,MIN(MAX(0,$K3942-$L3942),$J3942)))</f>
      </c>
      <c r="N3942" s="43">
        <f>IF($I3942=0,0,MIN(SUMIFS(SondBetrag,SondDarl,9,SondDatum,"&gt;="&amp;$E3942,SondDatum,"&lt;="&amp;EOMONTH($E3942,0)),$J3942-$M3942))</f>
      </c>
      <c r="O3942" s="43">
        <f>IF($I3942=0,0,INDEX(DarlErsatzRate,9))</f>
      </c>
      <c r="P3942" s="43">
        <f>IF($I3942=0,0,$Q3941*INDEX(DarlErsatzZins,9))</f>
      </c>
      <c r="Q3942" s="43">
        <f>IF($I3942=0,0,$Q3941+$P3942+$O3942)</f>
      </c>
      <c r="R3942" s="43">
        <f>IF($I3942=0,0,$J3942-$M3942-$N3942)</f>
      </c>
    </row>
    <row r="3943">
      <c r="A3943"/>
      <c r="B3943">
        <v>9</v>
      </c>
      <c r="C3943" s="43">
        <f>INDEX(DarlObj,9)</f>
      </c>
      <c r="D3943">
        <v>100</v>
      </c>
      <c r="E3943" s="51">
        <f>IF(INDEX(DarlBelegt,9)=0,0,EOMONTH(INDEX(DarlAuszahlung,9),99)+1)</f>
      </c>
      <c r="F3943" s="43">
        <f>IF($E3943=0,0,YEAR($E3943))</f>
      </c>
      <c r="G3943" s="43">
        <f>IF(INDEX(DarlBindung,9)="",1,IF($E3943&lt;=INDEX(DarlBindung,9),1,0))</f>
      </c>
      <c r="H3943" s="43">
        <f>IF($G3943=1,INDEX(DarlSollzins,9),INDEX(DarlAnschluss,9))</f>
      </c>
      <c r="I3943" s="43">
        <f>IF(INDEX(DarlBelegt,9)=0,0,IF(INDEX(DarlOhneTilgung,9)=1,IF(INDEX(DarlBindung,9)="",1,$G3943),IF($J3943&gt;0.005,1,0)))</f>
      </c>
      <c r="J3943" s="43">
        <f>IF($I3942=0,0,$R3942)</f>
      </c>
      <c r="K3943" s="43">
        <f>IF($I3943=0,0,IF(INDEX(DarlOhneTilgung,9)=1,0,IF(AND(INDEX(DarlTilgStart,9)&gt;0,$E3943=INDEX(DarlTilgStart,9)),$J3943*($H3943+INDEX(DarlTilgung,9))/100/12,IF(AND($G3943=0,$G3942=1),MAX($K3942,$J3943*($H3943+1)/100/12),$K3942))))</f>
      </c>
      <c r="L3943" s="43">
        <f>IF($I3943=0,0,$J3943*$H3943/100/12)</f>
      </c>
      <c r="M3943" s="43">
        <f>IF($I3943=0,0,IF(OR(INDEX(DarlOhneTilgung,9)=1,AND(INDEX(DarlTilgStart,9)&gt;0,$E3943&lt;INDEX(DarlTilgStart,9))),0,MIN(MAX(0,$K3943-$L3943),$J3943)))</f>
      </c>
      <c r="N3943" s="43">
        <f>IF($I3943=0,0,MIN(SUMIFS(SondBetrag,SondDarl,9,SondDatum,"&gt;="&amp;$E3943,SondDatum,"&lt;="&amp;EOMONTH($E3943,0)),$J3943-$M3943))</f>
      </c>
      <c r="O3943" s="43">
        <f>IF($I3943=0,0,INDEX(DarlErsatzRate,9))</f>
      </c>
      <c r="P3943" s="43">
        <f>IF($I3943=0,0,$Q3942*INDEX(DarlErsatzZins,9))</f>
      </c>
      <c r="Q3943" s="43">
        <f>IF($I3943=0,0,$Q3942+$P3943+$O3943)</f>
      </c>
      <c r="R3943" s="43">
        <f>IF($I3943=0,0,$J3943-$M3943-$N3943)</f>
      </c>
    </row>
    <row r="3944">
      <c r="A3944"/>
      <c r="B3944">
        <v>9</v>
      </c>
      <c r="C3944" s="43">
        <f>INDEX(DarlObj,9)</f>
      </c>
      <c r="D3944">
        <v>101</v>
      </c>
      <c r="E3944" s="51">
        <f>IF(INDEX(DarlBelegt,9)=0,0,EOMONTH(INDEX(DarlAuszahlung,9),100)+1)</f>
      </c>
      <c r="F3944" s="43">
        <f>IF($E3944=0,0,YEAR($E3944))</f>
      </c>
      <c r="G3944" s="43">
        <f>IF(INDEX(DarlBindung,9)="",1,IF($E3944&lt;=INDEX(DarlBindung,9),1,0))</f>
      </c>
      <c r="H3944" s="43">
        <f>IF($G3944=1,INDEX(DarlSollzins,9),INDEX(DarlAnschluss,9))</f>
      </c>
      <c r="I3944" s="43">
        <f>IF(INDEX(DarlBelegt,9)=0,0,IF(INDEX(DarlOhneTilgung,9)=1,IF(INDEX(DarlBindung,9)="",1,$G3944),IF($J3944&gt;0.005,1,0)))</f>
      </c>
      <c r="J3944" s="43">
        <f>IF($I3943=0,0,$R3943)</f>
      </c>
      <c r="K3944" s="43">
        <f>IF($I3944=0,0,IF(INDEX(DarlOhneTilgung,9)=1,0,IF(AND(INDEX(DarlTilgStart,9)&gt;0,$E3944=INDEX(DarlTilgStart,9)),$J3944*($H3944+INDEX(DarlTilgung,9))/100/12,IF(AND($G3944=0,$G3943=1),MAX($K3943,$J3944*($H3944+1)/100/12),$K3943))))</f>
      </c>
      <c r="L3944" s="43">
        <f>IF($I3944=0,0,$J3944*$H3944/100/12)</f>
      </c>
      <c r="M3944" s="43">
        <f>IF($I3944=0,0,IF(OR(INDEX(DarlOhneTilgung,9)=1,AND(INDEX(DarlTilgStart,9)&gt;0,$E3944&lt;INDEX(DarlTilgStart,9))),0,MIN(MAX(0,$K3944-$L3944),$J3944)))</f>
      </c>
      <c r="N3944" s="43">
        <f>IF($I3944=0,0,MIN(SUMIFS(SondBetrag,SondDarl,9,SondDatum,"&gt;="&amp;$E3944,SondDatum,"&lt;="&amp;EOMONTH($E3944,0)),$J3944-$M3944))</f>
      </c>
      <c r="O3944" s="43">
        <f>IF($I3944=0,0,INDEX(DarlErsatzRate,9))</f>
      </c>
      <c r="P3944" s="43">
        <f>IF($I3944=0,0,$Q3943*INDEX(DarlErsatzZins,9))</f>
      </c>
      <c r="Q3944" s="43">
        <f>IF($I3944=0,0,$Q3943+$P3944+$O3944)</f>
      </c>
      <c r="R3944" s="43">
        <f>IF($I3944=0,0,$J3944-$M3944-$N3944)</f>
      </c>
    </row>
    <row r="3945">
      <c r="A3945"/>
      <c r="B3945">
        <v>9</v>
      </c>
      <c r="C3945" s="43">
        <f>INDEX(DarlObj,9)</f>
      </c>
      <c r="D3945">
        <v>102</v>
      </c>
      <c r="E3945" s="51">
        <f>IF(INDEX(DarlBelegt,9)=0,0,EOMONTH(INDEX(DarlAuszahlung,9),101)+1)</f>
      </c>
      <c r="F3945" s="43">
        <f>IF($E3945=0,0,YEAR($E3945))</f>
      </c>
      <c r="G3945" s="43">
        <f>IF(INDEX(DarlBindung,9)="",1,IF($E3945&lt;=INDEX(DarlBindung,9),1,0))</f>
      </c>
      <c r="H3945" s="43">
        <f>IF($G3945=1,INDEX(DarlSollzins,9),INDEX(DarlAnschluss,9))</f>
      </c>
      <c r="I3945" s="43">
        <f>IF(INDEX(DarlBelegt,9)=0,0,IF(INDEX(DarlOhneTilgung,9)=1,IF(INDEX(DarlBindung,9)="",1,$G3945),IF($J3945&gt;0.005,1,0)))</f>
      </c>
      <c r="J3945" s="43">
        <f>IF($I3944=0,0,$R3944)</f>
      </c>
      <c r="K3945" s="43">
        <f>IF($I3945=0,0,IF(INDEX(DarlOhneTilgung,9)=1,0,IF(AND(INDEX(DarlTilgStart,9)&gt;0,$E3945=INDEX(DarlTilgStart,9)),$J3945*($H3945+INDEX(DarlTilgung,9))/100/12,IF(AND($G3945=0,$G3944=1),MAX($K3944,$J3945*($H3945+1)/100/12),$K3944))))</f>
      </c>
      <c r="L3945" s="43">
        <f>IF($I3945=0,0,$J3945*$H3945/100/12)</f>
      </c>
      <c r="M3945" s="43">
        <f>IF($I3945=0,0,IF(OR(INDEX(DarlOhneTilgung,9)=1,AND(INDEX(DarlTilgStart,9)&gt;0,$E3945&lt;INDEX(DarlTilgStart,9))),0,MIN(MAX(0,$K3945-$L3945),$J3945)))</f>
      </c>
      <c r="N3945" s="43">
        <f>IF($I3945=0,0,MIN(SUMIFS(SondBetrag,SondDarl,9,SondDatum,"&gt;="&amp;$E3945,SondDatum,"&lt;="&amp;EOMONTH($E3945,0)),$J3945-$M3945))</f>
      </c>
      <c r="O3945" s="43">
        <f>IF($I3945=0,0,INDEX(DarlErsatzRate,9))</f>
      </c>
      <c r="P3945" s="43">
        <f>IF($I3945=0,0,$Q3944*INDEX(DarlErsatzZins,9))</f>
      </c>
      <c r="Q3945" s="43">
        <f>IF($I3945=0,0,$Q3944+$P3945+$O3945)</f>
      </c>
      <c r="R3945" s="43">
        <f>IF($I3945=0,0,$J3945-$M3945-$N3945)</f>
      </c>
    </row>
    <row r="3946">
      <c r="A3946"/>
      <c r="B3946">
        <v>9</v>
      </c>
      <c r="C3946" s="43">
        <f>INDEX(DarlObj,9)</f>
      </c>
      <c r="D3946">
        <v>103</v>
      </c>
      <c r="E3946" s="51">
        <f>IF(INDEX(DarlBelegt,9)=0,0,EOMONTH(INDEX(DarlAuszahlung,9),102)+1)</f>
      </c>
      <c r="F3946" s="43">
        <f>IF($E3946=0,0,YEAR($E3946))</f>
      </c>
      <c r="G3946" s="43">
        <f>IF(INDEX(DarlBindung,9)="",1,IF($E3946&lt;=INDEX(DarlBindung,9),1,0))</f>
      </c>
      <c r="H3946" s="43">
        <f>IF($G3946=1,INDEX(DarlSollzins,9),INDEX(DarlAnschluss,9))</f>
      </c>
      <c r="I3946" s="43">
        <f>IF(INDEX(DarlBelegt,9)=0,0,IF(INDEX(DarlOhneTilgung,9)=1,IF(INDEX(DarlBindung,9)="",1,$G3946),IF($J3946&gt;0.005,1,0)))</f>
      </c>
      <c r="J3946" s="43">
        <f>IF($I3945=0,0,$R3945)</f>
      </c>
      <c r="K3946" s="43">
        <f>IF($I3946=0,0,IF(INDEX(DarlOhneTilgung,9)=1,0,IF(AND(INDEX(DarlTilgStart,9)&gt;0,$E3946=INDEX(DarlTilgStart,9)),$J3946*($H3946+INDEX(DarlTilgung,9))/100/12,IF(AND($G3946=0,$G3945=1),MAX($K3945,$J3946*($H3946+1)/100/12),$K3945))))</f>
      </c>
      <c r="L3946" s="43">
        <f>IF($I3946=0,0,$J3946*$H3946/100/12)</f>
      </c>
      <c r="M3946" s="43">
        <f>IF($I3946=0,0,IF(OR(INDEX(DarlOhneTilgung,9)=1,AND(INDEX(DarlTilgStart,9)&gt;0,$E3946&lt;INDEX(DarlTilgStart,9))),0,MIN(MAX(0,$K3946-$L3946),$J3946)))</f>
      </c>
      <c r="N3946" s="43">
        <f>IF($I3946=0,0,MIN(SUMIFS(SondBetrag,SondDarl,9,SondDatum,"&gt;="&amp;$E3946,SondDatum,"&lt;="&amp;EOMONTH($E3946,0)),$J3946-$M3946))</f>
      </c>
      <c r="O3946" s="43">
        <f>IF($I3946=0,0,INDEX(DarlErsatzRate,9))</f>
      </c>
      <c r="P3946" s="43">
        <f>IF($I3946=0,0,$Q3945*INDEX(DarlErsatzZins,9))</f>
      </c>
      <c r="Q3946" s="43">
        <f>IF($I3946=0,0,$Q3945+$P3946+$O3946)</f>
      </c>
      <c r="R3946" s="43">
        <f>IF($I3946=0,0,$J3946-$M3946-$N3946)</f>
      </c>
    </row>
    <row r="3947">
      <c r="A3947"/>
      <c r="B3947">
        <v>9</v>
      </c>
      <c r="C3947" s="43">
        <f>INDEX(DarlObj,9)</f>
      </c>
      <c r="D3947">
        <v>104</v>
      </c>
      <c r="E3947" s="51">
        <f>IF(INDEX(DarlBelegt,9)=0,0,EOMONTH(INDEX(DarlAuszahlung,9),103)+1)</f>
      </c>
      <c r="F3947" s="43">
        <f>IF($E3947=0,0,YEAR($E3947))</f>
      </c>
      <c r="G3947" s="43">
        <f>IF(INDEX(DarlBindung,9)="",1,IF($E3947&lt;=INDEX(DarlBindung,9),1,0))</f>
      </c>
      <c r="H3947" s="43">
        <f>IF($G3947=1,INDEX(DarlSollzins,9),INDEX(DarlAnschluss,9))</f>
      </c>
      <c r="I3947" s="43">
        <f>IF(INDEX(DarlBelegt,9)=0,0,IF(INDEX(DarlOhneTilgung,9)=1,IF(INDEX(DarlBindung,9)="",1,$G3947),IF($J3947&gt;0.005,1,0)))</f>
      </c>
      <c r="J3947" s="43">
        <f>IF($I3946=0,0,$R3946)</f>
      </c>
      <c r="K3947" s="43">
        <f>IF($I3947=0,0,IF(INDEX(DarlOhneTilgung,9)=1,0,IF(AND(INDEX(DarlTilgStart,9)&gt;0,$E3947=INDEX(DarlTilgStart,9)),$J3947*($H3947+INDEX(DarlTilgung,9))/100/12,IF(AND($G3947=0,$G3946=1),MAX($K3946,$J3947*($H3947+1)/100/12),$K3946))))</f>
      </c>
      <c r="L3947" s="43">
        <f>IF($I3947=0,0,$J3947*$H3947/100/12)</f>
      </c>
      <c r="M3947" s="43">
        <f>IF($I3947=0,0,IF(OR(INDEX(DarlOhneTilgung,9)=1,AND(INDEX(DarlTilgStart,9)&gt;0,$E3947&lt;INDEX(DarlTilgStart,9))),0,MIN(MAX(0,$K3947-$L3947),$J3947)))</f>
      </c>
      <c r="N3947" s="43">
        <f>IF($I3947=0,0,MIN(SUMIFS(SondBetrag,SondDarl,9,SondDatum,"&gt;="&amp;$E3947,SondDatum,"&lt;="&amp;EOMONTH($E3947,0)),$J3947-$M3947))</f>
      </c>
      <c r="O3947" s="43">
        <f>IF($I3947=0,0,INDEX(DarlErsatzRate,9))</f>
      </c>
      <c r="P3947" s="43">
        <f>IF($I3947=0,0,$Q3946*INDEX(DarlErsatzZins,9))</f>
      </c>
      <c r="Q3947" s="43">
        <f>IF($I3947=0,0,$Q3946+$P3947+$O3947)</f>
      </c>
      <c r="R3947" s="43">
        <f>IF($I3947=0,0,$J3947-$M3947-$N3947)</f>
      </c>
    </row>
    <row r="3948">
      <c r="A3948"/>
      <c r="B3948">
        <v>9</v>
      </c>
      <c r="C3948" s="43">
        <f>INDEX(DarlObj,9)</f>
      </c>
      <c r="D3948">
        <v>105</v>
      </c>
      <c r="E3948" s="51">
        <f>IF(INDEX(DarlBelegt,9)=0,0,EOMONTH(INDEX(DarlAuszahlung,9),104)+1)</f>
      </c>
      <c r="F3948" s="43">
        <f>IF($E3948=0,0,YEAR($E3948))</f>
      </c>
      <c r="G3948" s="43">
        <f>IF(INDEX(DarlBindung,9)="",1,IF($E3948&lt;=INDEX(DarlBindung,9),1,0))</f>
      </c>
      <c r="H3948" s="43">
        <f>IF($G3948=1,INDEX(DarlSollzins,9),INDEX(DarlAnschluss,9))</f>
      </c>
      <c r="I3948" s="43">
        <f>IF(INDEX(DarlBelegt,9)=0,0,IF(INDEX(DarlOhneTilgung,9)=1,IF(INDEX(DarlBindung,9)="",1,$G3948),IF($J3948&gt;0.005,1,0)))</f>
      </c>
      <c r="J3948" s="43">
        <f>IF($I3947=0,0,$R3947)</f>
      </c>
      <c r="K3948" s="43">
        <f>IF($I3948=0,0,IF(INDEX(DarlOhneTilgung,9)=1,0,IF(AND(INDEX(DarlTilgStart,9)&gt;0,$E3948=INDEX(DarlTilgStart,9)),$J3948*($H3948+INDEX(DarlTilgung,9))/100/12,IF(AND($G3948=0,$G3947=1),MAX($K3947,$J3948*($H3948+1)/100/12),$K3947))))</f>
      </c>
      <c r="L3948" s="43">
        <f>IF($I3948=0,0,$J3948*$H3948/100/12)</f>
      </c>
      <c r="M3948" s="43">
        <f>IF($I3948=0,0,IF(OR(INDEX(DarlOhneTilgung,9)=1,AND(INDEX(DarlTilgStart,9)&gt;0,$E3948&lt;INDEX(DarlTilgStart,9))),0,MIN(MAX(0,$K3948-$L3948),$J3948)))</f>
      </c>
      <c r="N3948" s="43">
        <f>IF($I3948=0,0,MIN(SUMIFS(SondBetrag,SondDarl,9,SondDatum,"&gt;="&amp;$E3948,SondDatum,"&lt;="&amp;EOMONTH($E3948,0)),$J3948-$M3948))</f>
      </c>
      <c r="O3948" s="43">
        <f>IF($I3948=0,0,INDEX(DarlErsatzRate,9))</f>
      </c>
      <c r="P3948" s="43">
        <f>IF($I3948=0,0,$Q3947*INDEX(DarlErsatzZins,9))</f>
      </c>
      <c r="Q3948" s="43">
        <f>IF($I3948=0,0,$Q3947+$P3948+$O3948)</f>
      </c>
      <c r="R3948" s="43">
        <f>IF($I3948=0,0,$J3948-$M3948-$N3948)</f>
      </c>
    </row>
    <row r="3949">
      <c r="A3949"/>
      <c r="B3949">
        <v>9</v>
      </c>
      <c r="C3949" s="43">
        <f>INDEX(DarlObj,9)</f>
      </c>
      <c r="D3949">
        <v>106</v>
      </c>
      <c r="E3949" s="51">
        <f>IF(INDEX(DarlBelegt,9)=0,0,EOMONTH(INDEX(DarlAuszahlung,9),105)+1)</f>
      </c>
      <c r="F3949" s="43">
        <f>IF($E3949=0,0,YEAR($E3949))</f>
      </c>
      <c r="G3949" s="43">
        <f>IF(INDEX(DarlBindung,9)="",1,IF($E3949&lt;=INDEX(DarlBindung,9),1,0))</f>
      </c>
      <c r="H3949" s="43">
        <f>IF($G3949=1,INDEX(DarlSollzins,9),INDEX(DarlAnschluss,9))</f>
      </c>
      <c r="I3949" s="43">
        <f>IF(INDEX(DarlBelegt,9)=0,0,IF(INDEX(DarlOhneTilgung,9)=1,IF(INDEX(DarlBindung,9)="",1,$G3949),IF($J3949&gt;0.005,1,0)))</f>
      </c>
      <c r="J3949" s="43">
        <f>IF($I3948=0,0,$R3948)</f>
      </c>
      <c r="K3949" s="43">
        <f>IF($I3949=0,0,IF(INDEX(DarlOhneTilgung,9)=1,0,IF(AND(INDEX(DarlTilgStart,9)&gt;0,$E3949=INDEX(DarlTilgStart,9)),$J3949*($H3949+INDEX(DarlTilgung,9))/100/12,IF(AND($G3949=0,$G3948=1),MAX($K3948,$J3949*($H3949+1)/100/12),$K3948))))</f>
      </c>
      <c r="L3949" s="43">
        <f>IF($I3949=0,0,$J3949*$H3949/100/12)</f>
      </c>
      <c r="M3949" s="43">
        <f>IF($I3949=0,0,IF(OR(INDEX(DarlOhneTilgung,9)=1,AND(INDEX(DarlTilgStart,9)&gt;0,$E3949&lt;INDEX(DarlTilgStart,9))),0,MIN(MAX(0,$K3949-$L3949),$J3949)))</f>
      </c>
      <c r="N3949" s="43">
        <f>IF($I3949=0,0,MIN(SUMIFS(SondBetrag,SondDarl,9,SondDatum,"&gt;="&amp;$E3949,SondDatum,"&lt;="&amp;EOMONTH($E3949,0)),$J3949-$M3949))</f>
      </c>
      <c r="O3949" s="43">
        <f>IF($I3949=0,0,INDEX(DarlErsatzRate,9))</f>
      </c>
      <c r="P3949" s="43">
        <f>IF($I3949=0,0,$Q3948*INDEX(DarlErsatzZins,9))</f>
      </c>
      <c r="Q3949" s="43">
        <f>IF($I3949=0,0,$Q3948+$P3949+$O3949)</f>
      </c>
      <c r="R3949" s="43">
        <f>IF($I3949=0,0,$J3949-$M3949-$N3949)</f>
      </c>
    </row>
    <row r="3950">
      <c r="A3950"/>
      <c r="B3950">
        <v>9</v>
      </c>
      <c r="C3950" s="43">
        <f>INDEX(DarlObj,9)</f>
      </c>
      <c r="D3950">
        <v>107</v>
      </c>
      <c r="E3950" s="51">
        <f>IF(INDEX(DarlBelegt,9)=0,0,EOMONTH(INDEX(DarlAuszahlung,9),106)+1)</f>
      </c>
      <c r="F3950" s="43">
        <f>IF($E3950=0,0,YEAR($E3950))</f>
      </c>
      <c r="G3950" s="43">
        <f>IF(INDEX(DarlBindung,9)="",1,IF($E3950&lt;=INDEX(DarlBindung,9),1,0))</f>
      </c>
      <c r="H3950" s="43">
        <f>IF($G3950=1,INDEX(DarlSollzins,9),INDEX(DarlAnschluss,9))</f>
      </c>
      <c r="I3950" s="43">
        <f>IF(INDEX(DarlBelegt,9)=0,0,IF(INDEX(DarlOhneTilgung,9)=1,IF(INDEX(DarlBindung,9)="",1,$G3950),IF($J3950&gt;0.005,1,0)))</f>
      </c>
      <c r="J3950" s="43">
        <f>IF($I3949=0,0,$R3949)</f>
      </c>
      <c r="K3950" s="43">
        <f>IF($I3950=0,0,IF(INDEX(DarlOhneTilgung,9)=1,0,IF(AND(INDEX(DarlTilgStart,9)&gt;0,$E3950=INDEX(DarlTilgStart,9)),$J3950*($H3950+INDEX(DarlTilgung,9))/100/12,IF(AND($G3950=0,$G3949=1),MAX($K3949,$J3950*($H3950+1)/100/12),$K3949))))</f>
      </c>
      <c r="L3950" s="43">
        <f>IF($I3950=0,0,$J3950*$H3950/100/12)</f>
      </c>
      <c r="M3950" s="43">
        <f>IF($I3950=0,0,IF(OR(INDEX(DarlOhneTilgung,9)=1,AND(INDEX(DarlTilgStart,9)&gt;0,$E3950&lt;INDEX(DarlTilgStart,9))),0,MIN(MAX(0,$K3950-$L3950),$J3950)))</f>
      </c>
      <c r="N3950" s="43">
        <f>IF($I3950=0,0,MIN(SUMIFS(SondBetrag,SondDarl,9,SondDatum,"&gt;="&amp;$E3950,SondDatum,"&lt;="&amp;EOMONTH($E3950,0)),$J3950-$M3950))</f>
      </c>
      <c r="O3950" s="43">
        <f>IF($I3950=0,0,INDEX(DarlErsatzRate,9))</f>
      </c>
      <c r="P3950" s="43">
        <f>IF($I3950=0,0,$Q3949*INDEX(DarlErsatzZins,9))</f>
      </c>
      <c r="Q3950" s="43">
        <f>IF($I3950=0,0,$Q3949+$P3950+$O3950)</f>
      </c>
      <c r="R3950" s="43">
        <f>IF($I3950=0,0,$J3950-$M3950-$N3950)</f>
      </c>
    </row>
    <row r="3951">
      <c r="A3951"/>
      <c r="B3951">
        <v>9</v>
      </c>
      <c r="C3951" s="43">
        <f>INDEX(DarlObj,9)</f>
      </c>
      <c r="D3951">
        <v>108</v>
      </c>
      <c r="E3951" s="51">
        <f>IF(INDEX(DarlBelegt,9)=0,0,EOMONTH(INDEX(DarlAuszahlung,9),107)+1)</f>
      </c>
      <c r="F3951" s="43">
        <f>IF($E3951=0,0,YEAR($E3951))</f>
      </c>
      <c r="G3951" s="43">
        <f>IF(INDEX(DarlBindung,9)="",1,IF($E3951&lt;=INDEX(DarlBindung,9),1,0))</f>
      </c>
      <c r="H3951" s="43">
        <f>IF($G3951=1,INDEX(DarlSollzins,9),INDEX(DarlAnschluss,9))</f>
      </c>
      <c r="I3951" s="43">
        <f>IF(INDEX(DarlBelegt,9)=0,0,IF(INDEX(DarlOhneTilgung,9)=1,IF(INDEX(DarlBindung,9)="",1,$G3951),IF($J3951&gt;0.005,1,0)))</f>
      </c>
      <c r="J3951" s="43">
        <f>IF($I3950=0,0,$R3950)</f>
      </c>
      <c r="K3951" s="43">
        <f>IF($I3951=0,0,IF(INDEX(DarlOhneTilgung,9)=1,0,IF(AND(INDEX(DarlTilgStart,9)&gt;0,$E3951=INDEX(DarlTilgStart,9)),$J3951*($H3951+INDEX(DarlTilgung,9))/100/12,IF(AND($G3951=0,$G3950=1),MAX($K3950,$J3951*($H3951+1)/100/12),$K3950))))</f>
      </c>
      <c r="L3951" s="43">
        <f>IF($I3951=0,0,$J3951*$H3951/100/12)</f>
      </c>
      <c r="M3951" s="43">
        <f>IF($I3951=0,0,IF(OR(INDEX(DarlOhneTilgung,9)=1,AND(INDEX(DarlTilgStart,9)&gt;0,$E3951&lt;INDEX(DarlTilgStart,9))),0,MIN(MAX(0,$K3951-$L3951),$J3951)))</f>
      </c>
      <c r="N3951" s="43">
        <f>IF($I3951=0,0,MIN(SUMIFS(SondBetrag,SondDarl,9,SondDatum,"&gt;="&amp;$E3951,SondDatum,"&lt;="&amp;EOMONTH($E3951,0)),$J3951-$M3951))</f>
      </c>
      <c r="O3951" s="43">
        <f>IF($I3951=0,0,INDEX(DarlErsatzRate,9))</f>
      </c>
      <c r="P3951" s="43">
        <f>IF($I3951=0,0,$Q3950*INDEX(DarlErsatzZins,9))</f>
      </c>
      <c r="Q3951" s="43">
        <f>IF($I3951=0,0,$Q3950+$P3951+$O3951)</f>
      </c>
      <c r="R3951" s="43">
        <f>IF($I3951=0,0,$J3951-$M3951-$N3951)</f>
      </c>
    </row>
    <row r="3952">
      <c r="A3952"/>
      <c r="B3952">
        <v>9</v>
      </c>
      <c r="C3952" s="43">
        <f>INDEX(DarlObj,9)</f>
      </c>
      <c r="D3952">
        <v>109</v>
      </c>
      <c r="E3952" s="51">
        <f>IF(INDEX(DarlBelegt,9)=0,0,EOMONTH(INDEX(DarlAuszahlung,9),108)+1)</f>
      </c>
      <c r="F3952" s="43">
        <f>IF($E3952=0,0,YEAR($E3952))</f>
      </c>
      <c r="G3952" s="43">
        <f>IF(INDEX(DarlBindung,9)="",1,IF($E3952&lt;=INDEX(DarlBindung,9),1,0))</f>
      </c>
      <c r="H3952" s="43">
        <f>IF($G3952=1,INDEX(DarlSollzins,9),INDEX(DarlAnschluss,9))</f>
      </c>
      <c r="I3952" s="43">
        <f>IF(INDEX(DarlBelegt,9)=0,0,IF(INDEX(DarlOhneTilgung,9)=1,IF(INDEX(DarlBindung,9)="",1,$G3952),IF($J3952&gt;0.005,1,0)))</f>
      </c>
      <c r="J3952" s="43">
        <f>IF($I3951=0,0,$R3951)</f>
      </c>
      <c r="K3952" s="43">
        <f>IF($I3952=0,0,IF(INDEX(DarlOhneTilgung,9)=1,0,IF(AND(INDEX(DarlTilgStart,9)&gt;0,$E3952=INDEX(DarlTilgStart,9)),$J3952*($H3952+INDEX(DarlTilgung,9))/100/12,IF(AND($G3952=0,$G3951=1),MAX($K3951,$J3952*($H3952+1)/100/12),$K3951))))</f>
      </c>
      <c r="L3952" s="43">
        <f>IF($I3952=0,0,$J3952*$H3952/100/12)</f>
      </c>
      <c r="M3952" s="43">
        <f>IF($I3952=0,0,IF(OR(INDEX(DarlOhneTilgung,9)=1,AND(INDEX(DarlTilgStart,9)&gt;0,$E3952&lt;INDEX(DarlTilgStart,9))),0,MIN(MAX(0,$K3952-$L3952),$J3952)))</f>
      </c>
      <c r="N3952" s="43">
        <f>IF($I3952=0,0,MIN(SUMIFS(SondBetrag,SondDarl,9,SondDatum,"&gt;="&amp;$E3952,SondDatum,"&lt;="&amp;EOMONTH($E3952,0)),$J3952-$M3952))</f>
      </c>
      <c r="O3952" s="43">
        <f>IF($I3952=0,0,INDEX(DarlErsatzRate,9))</f>
      </c>
      <c r="P3952" s="43">
        <f>IF($I3952=0,0,$Q3951*INDEX(DarlErsatzZins,9))</f>
      </c>
      <c r="Q3952" s="43">
        <f>IF($I3952=0,0,$Q3951+$P3952+$O3952)</f>
      </c>
      <c r="R3952" s="43">
        <f>IF($I3952=0,0,$J3952-$M3952-$N3952)</f>
      </c>
    </row>
    <row r="3953">
      <c r="A3953"/>
      <c r="B3953">
        <v>9</v>
      </c>
      <c r="C3953" s="43">
        <f>INDEX(DarlObj,9)</f>
      </c>
      <c r="D3953">
        <v>110</v>
      </c>
      <c r="E3953" s="51">
        <f>IF(INDEX(DarlBelegt,9)=0,0,EOMONTH(INDEX(DarlAuszahlung,9),109)+1)</f>
      </c>
      <c r="F3953" s="43">
        <f>IF($E3953=0,0,YEAR($E3953))</f>
      </c>
      <c r="G3953" s="43">
        <f>IF(INDEX(DarlBindung,9)="",1,IF($E3953&lt;=INDEX(DarlBindung,9),1,0))</f>
      </c>
      <c r="H3953" s="43">
        <f>IF($G3953=1,INDEX(DarlSollzins,9),INDEX(DarlAnschluss,9))</f>
      </c>
      <c r="I3953" s="43">
        <f>IF(INDEX(DarlBelegt,9)=0,0,IF(INDEX(DarlOhneTilgung,9)=1,IF(INDEX(DarlBindung,9)="",1,$G3953),IF($J3953&gt;0.005,1,0)))</f>
      </c>
      <c r="J3953" s="43">
        <f>IF($I3952=0,0,$R3952)</f>
      </c>
      <c r="K3953" s="43">
        <f>IF($I3953=0,0,IF(INDEX(DarlOhneTilgung,9)=1,0,IF(AND(INDEX(DarlTilgStart,9)&gt;0,$E3953=INDEX(DarlTilgStart,9)),$J3953*($H3953+INDEX(DarlTilgung,9))/100/12,IF(AND($G3953=0,$G3952=1),MAX($K3952,$J3953*($H3953+1)/100/12),$K3952))))</f>
      </c>
      <c r="L3953" s="43">
        <f>IF($I3953=0,0,$J3953*$H3953/100/12)</f>
      </c>
      <c r="M3953" s="43">
        <f>IF($I3953=0,0,IF(OR(INDEX(DarlOhneTilgung,9)=1,AND(INDEX(DarlTilgStart,9)&gt;0,$E3953&lt;INDEX(DarlTilgStart,9))),0,MIN(MAX(0,$K3953-$L3953),$J3953)))</f>
      </c>
      <c r="N3953" s="43">
        <f>IF($I3953=0,0,MIN(SUMIFS(SondBetrag,SondDarl,9,SondDatum,"&gt;="&amp;$E3953,SondDatum,"&lt;="&amp;EOMONTH($E3953,0)),$J3953-$M3953))</f>
      </c>
      <c r="O3953" s="43">
        <f>IF($I3953=0,0,INDEX(DarlErsatzRate,9))</f>
      </c>
      <c r="P3953" s="43">
        <f>IF($I3953=0,0,$Q3952*INDEX(DarlErsatzZins,9))</f>
      </c>
      <c r="Q3953" s="43">
        <f>IF($I3953=0,0,$Q3952+$P3953+$O3953)</f>
      </c>
      <c r="R3953" s="43">
        <f>IF($I3953=0,0,$J3953-$M3953-$N3953)</f>
      </c>
    </row>
    <row r="3954">
      <c r="A3954"/>
      <c r="B3954">
        <v>9</v>
      </c>
      <c r="C3954" s="43">
        <f>INDEX(DarlObj,9)</f>
      </c>
      <c r="D3954">
        <v>111</v>
      </c>
      <c r="E3954" s="51">
        <f>IF(INDEX(DarlBelegt,9)=0,0,EOMONTH(INDEX(DarlAuszahlung,9),110)+1)</f>
      </c>
      <c r="F3954" s="43">
        <f>IF($E3954=0,0,YEAR($E3954))</f>
      </c>
      <c r="G3954" s="43">
        <f>IF(INDEX(DarlBindung,9)="",1,IF($E3954&lt;=INDEX(DarlBindung,9),1,0))</f>
      </c>
      <c r="H3954" s="43">
        <f>IF($G3954=1,INDEX(DarlSollzins,9),INDEX(DarlAnschluss,9))</f>
      </c>
      <c r="I3954" s="43">
        <f>IF(INDEX(DarlBelegt,9)=0,0,IF(INDEX(DarlOhneTilgung,9)=1,IF(INDEX(DarlBindung,9)="",1,$G3954),IF($J3954&gt;0.005,1,0)))</f>
      </c>
      <c r="J3954" s="43">
        <f>IF($I3953=0,0,$R3953)</f>
      </c>
      <c r="K3954" s="43">
        <f>IF($I3954=0,0,IF(INDEX(DarlOhneTilgung,9)=1,0,IF(AND(INDEX(DarlTilgStart,9)&gt;0,$E3954=INDEX(DarlTilgStart,9)),$J3954*($H3954+INDEX(DarlTilgung,9))/100/12,IF(AND($G3954=0,$G3953=1),MAX($K3953,$J3954*($H3954+1)/100/12),$K3953))))</f>
      </c>
      <c r="L3954" s="43">
        <f>IF($I3954=0,0,$J3954*$H3954/100/12)</f>
      </c>
      <c r="M3954" s="43">
        <f>IF($I3954=0,0,IF(OR(INDEX(DarlOhneTilgung,9)=1,AND(INDEX(DarlTilgStart,9)&gt;0,$E3954&lt;INDEX(DarlTilgStart,9))),0,MIN(MAX(0,$K3954-$L3954),$J3954)))</f>
      </c>
      <c r="N3954" s="43">
        <f>IF($I3954=0,0,MIN(SUMIFS(SondBetrag,SondDarl,9,SondDatum,"&gt;="&amp;$E3954,SondDatum,"&lt;="&amp;EOMONTH($E3954,0)),$J3954-$M3954))</f>
      </c>
      <c r="O3954" s="43">
        <f>IF($I3954=0,0,INDEX(DarlErsatzRate,9))</f>
      </c>
      <c r="P3954" s="43">
        <f>IF($I3954=0,0,$Q3953*INDEX(DarlErsatzZins,9))</f>
      </c>
      <c r="Q3954" s="43">
        <f>IF($I3954=0,0,$Q3953+$P3954+$O3954)</f>
      </c>
      <c r="R3954" s="43">
        <f>IF($I3954=0,0,$J3954-$M3954-$N3954)</f>
      </c>
    </row>
    <row r="3955">
      <c r="A3955"/>
      <c r="B3955">
        <v>9</v>
      </c>
      <c r="C3955" s="43">
        <f>INDEX(DarlObj,9)</f>
      </c>
      <c r="D3955">
        <v>112</v>
      </c>
      <c r="E3955" s="51">
        <f>IF(INDEX(DarlBelegt,9)=0,0,EOMONTH(INDEX(DarlAuszahlung,9),111)+1)</f>
      </c>
      <c r="F3955" s="43">
        <f>IF($E3955=0,0,YEAR($E3955))</f>
      </c>
      <c r="G3955" s="43">
        <f>IF(INDEX(DarlBindung,9)="",1,IF($E3955&lt;=INDEX(DarlBindung,9),1,0))</f>
      </c>
      <c r="H3955" s="43">
        <f>IF($G3955=1,INDEX(DarlSollzins,9),INDEX(DarlAnschluss,9))</f>
      </c>
      <c r="I3955" s="43">
        <f>IF(INDEX(DarlBelegt,9)=0,0,IF(INDEX(DarlOhneTilgung,9)=1,IF(INDEX(DarlBindung,9)="",1,$G3955),IF($J3955&gt;0.005,1,0)))</f>
      </c>
      <c r="J3955" s="43">
        <f>IF($I3954=0,0,$R3954)</f>
      </c>
      <c r="K3955" s="43">
        <f>IF($I3955=0,0,IF(INDEX(DarlOhneTilgung,9)=1,0,IF(AND(INDEX(DarlTilgStart,9)&gt;0,$E3955=INDEX(DarlTilgStart,9)),$J3955*($H3955+INDEX(DarlTilgung,9))/100/12,IF(AND($G3955=0,$G3954=1),MAX($K3954,$J3955*($H3955+1)/100/12),$K3954))))</f>
      </c>
      <c r="L3955" s="43">
        <f>IF($I3955=0,0,$J3955*$H3955/100/12)</f>
      </c>
      <c r="M3955" s="43">
        <f>IF($I3955=0,0,IF(OR(INDEX(DarlOhneTilgung,9)=1,AND(INDEX(DarlTilgStart,9)&gt;0,$E3955&lt;INDEX(DarlTilgStart,9))),0,MIN(MAX(0,$K3955-$L3955),$J3955)))</f>
      </c>
      <c r="N3955" s="43">
        <f>IF($I3955=0,0,MIN(SUMIFS(SondBetrag,SondDarl,9,SondDatum,"&gt;="&amp;$E3955,SondDatum,"&lt;="&amp;EOMONTH($E3955,0)),$J3955-$M3955))</f>
      </c>
      <c r="O3955" s="43">
        <f>IF($I3955=0,0,INDEX(DarlErsatzRate,9))</f>
      </c>
      <c r="P3955" s="43">
        <f>IF($I3955=0,0,$Q3954*INDEX(DarlErsatzZins,9))</f>
      </c>
      <c r="Q3955" s="43">
        <f>IF($I3955=0,0,$Q3954+$P3955+$O3955)</f>
      </c>
      <c r="R3955" s="43">
        <f>IF($I3955=0,0,$J3955-$M3955-$N3955)</f>
      </c>
    </row>
    <row r="3956">
      <c r="A3956"/>
      <c r="B3956">
        <v>9</v>
      </c>
      <c r="C3956" s="43">
        <f>INDEX(DarlObj,9)</f>
      </c>
      <c r="D3956">
        <v>113</v>
      </c>
      <c r="E3956" s="51">
        <f>IF(INDEX(DarlBelegt,9)=0,0,EOMONTH(INDEX(DarlAuszahlung,9),112)+1)</f>
      </c>
      <c r="F3956" s="43">
        <f>IF($E3956=0,0,YEAR($E3956))</f>
      </c>
      <c r="G3956" s="43">
        <f>IF(INDEX(DarlBindung,9)="",1,IF($E3956&lt;=INDEX(DarlBindung,9),1,0))</f>
      </c>
      <c r="H3956" s="43">
        <f>IF($G3956=1,INDEX(DarlSollzins,9),INDEX(DarlAnschluss,9))</f>
      </c>
      <c r="I3956" s="43">
        <f>IF(INDEX(DarlBelegt,9)=0,0,IF(INDEX(DarlOhneTilgung,9)=1,IF(INDEX(DarlBindung,9)="",1,$G3956),IF($J3956&gt;0.005,1,0)))</f>
      </c>
      <c r="J3956" s="43">
        <f>IF($I3955=0,0,$R3955)</f>
      </c>
      <c r="K3956" s="43">
        <f>IF($I3956=0,0,IF(INDEX(DarlOhneTilgung,9)=1,0,IF(AND(INDEX(DarlTilgStart,9)&gt;0,$E3956=INDEX(DarlTilgStart,9)),$J3956*($H3956+INDEX(DarlTilgung,9))/100/12,IF(AND($G3956=0,$G3955=1),MAX($K3955,$J3956*($H3956+1)/100/12),$K3955))))</f>
      </c>
      <c r="L3956" s="43">
        <f>IF($I3956=0,0,$J3956*$H3956/100/12)</f>
      </c>
      <c r="M3956" s="43">
        <f>IF($I3956=0,0,IF(OR(INDEX(DarlOhneTilgung,9)=1,AND(INDEX(DarlTilgStart,9)&gt;0,$E3956&lt;INDEX(DarlTilgStart,9))),0,MIN(MAX(0,$K3956-$L3956),$J3956)))</f>
      </c>
      <c r="N3956" s="43">
        <f>IF($I3956=0,0,MIN(SUMIFS(SondBetrag,SondDarl,9,SondDatum,"&gt;="&amp;$E3956,SondDatum,"&lt;="&amp;EOMONTH($E3956,0)),$J3956-$M3956))</f>
      </c>
      <c r="O3956" s="43">
        <f>IF($I3956=0,0,INDEX(DarlErsatzRate,9))</f>
      </c>
      <c r="P3956" s="43">
        <f>IF($I3956=0,0,$Q3955*INDEX(DarlErsatzZins,9))</f>
      </c>
      <c r="Q3956" s="43">
        <f>IF($I3956=0,0,$Q3955+$P3956+$O3956)</f>
      </c>
      <c r="R3956" s="43">
        <f>IF($I3956=0,0,$J3956-$M3956-$N3956)</f>
      </c>
    </row>
    <row r="3957">
      <c r="A3957"/>
      <c r="B3957">
        <v>9</v>
      </c>
      <c r="C3957" s="43">
        <f>INDEX(DarlObj,9)</f>
      </c>
      <c r="D3957">
        <v>114</v>
      </c>
      <c r="E3957" s="51">
        <f>IF(INDEX(DarlBelegt,9)=0,0,EOMONTH(INDEX(DarlAuszahlung,9),113)+1)</f>
      </c>
      <c r="F3957" s="43">
        <f>IF($E3957=0,0,YEAR($E3957))</f>
      </c>
      <c r="G3957" s="43">
        <f>IF(INDEX(DarlBindung,9)="",1,IF($E3957&lt;=INDEX(DarlBindung,9),1,0))</f>
      </c>
      <c r="H3957" s="43">
        <f>IF($G3957=1,INDEX(DarlSollzins,9),INDEX(DarlAnschluss,9))</f>
      </c>
      <c r="I3957" s="43">
        <f>IF(INDEX(DarlBelegt,9)=0,0,IF(INDEX(DarlOhneTilgung,9)=1,IF(INDEX(DarlBindung,9)="",1,$G3957),IF($J3957&gt;0.005,1,0)))</f>
      </c>
      <c r="J3957" s="43">
        <f>IF($I3956=0,0,$R3956)</f>
      </c>
      <c r="K3957" s="43">
        <f>IF($I3957=0,0,IF(INDEX(DarlOhneTilgung,9)=1,0,IF(AND(INDEX(DarlTilgStart,9)&gt;0,$E3957=INDEX(DarlTilgStart,9)),$J3957*($H3957+INDEX(DarlTilgung,9))/100/12,IF(AND($G3957=0,$G3956=1),MAX($K3956,$J3957*($H3957+1)/100/12),$K3956))))</f>
      </c>
      <c r="L3957" s="43">
        <f>IF($I3957=0,0,$J3957*$H3957/100/12)</f>
      </c>
      <c r="M3957" s="43">
        <f>IF($I3957=0,0,IF(OR(INDEX(DarlOhneTilgung,9)=1,AND(INDEX(DarlTilgStart,9)&gt;0,$E3957&lt;INDEX(DarlTilgStart,9))),0,MIN(MAX(0,$K3957-$L3957),$J3957)))</f>
      </c>
      <c r="N3957" s="43">
        <f>IF($I3957=0,0,MIN(SUMIFS(SondBetrag,SondDarl,9,SondDatum,"&gt;="&amp;$E3957,SondDatum,"&lt;="&amp;EOMONTH($E3957,0)),$J3957-$M3957))</f>
      </c>
      <c r="O3957" s="43">
        <f>IF($I3957=0,0,INDEX(DarlErsatzRate,9))</f>
      </c>
      <c r="P3957" s="43">
        <f>IF($I3957=0,0,$Q3956*INDEX(DarlErsatzZins,9))</f>
      </c>
      <c r="Q3957" s="43">
        <f>IF($I3957=0,0,$Q3956+$P3957+$O3957)</f>
      </c>
      <c r="R3957" s="43">
        <f>IF($I3957=0,0,$J3957-$M3957-$N3957)</f>
      </c>
    </row>
    <row r="3958">
      <c r="A3958"/>
      <c r="B3958">
        <v>9</v>
      </c>
      <c r="C3958" s="43">
        <f>INDEX(DarlObj,9)</f>
      </c>
      <c r="D3958">
        <v>115</v>
      </c>
      <c r="E3958" s="51">
        <f>IF(INDEX(DarlBelegt,9)=0,0,EOMONTH(INDEX(DarlAuszahlung,9),114)+1)</f>
      </c>
      <c r="F3958" s="43">
        <f>IF($E3958=0,0,YEAR($E3958))</f>
      </c>
      <c r="G3958" s="43">
        <f>IF(INDEX(DarlBindung,9)="",1,IF($E3958&lt;=INDEX(DarlBindung,9),1,0))</f>
      </c>
      <c r="H3958" s="43">
        <f>IF($G3958=1,INDEX(DarlSollzins,9),INDEX(DarlAnschluss,9))</f>
      </c>
      <c r="I3958" s="43">
        <f>IF(INDEX(DarlBelegt,9)=0,0,IF(INDEX(DarlOhneTilgung,9)=1,IF(INDEX(DarlBindung,9)="",1,$G3958),IF($J3958&gt;0.005,1,0)))</f>
      </c>
      <c r="J3958" s="43">
        <f>IF($I3957=0,0,$R3957)</f>
      </c>
      <c r="K3958" s="43">
        <f>IF($I3958=0,0,IF(INDEX(DarlOhneTilgung,9)=1,0,IF(AND(INDEX(DarlTilgStart,9)&gt;0,$E3958=INDEX(DarlTilgStart,9)),$J3958*($H3958+INDEX(DarlTilgung,9))/100/12,IF(AND($G3958=0,$G3957=1),MAX($K3957,$J3958*($H3958+1)/100/12),$K3957))))</f>
      </c>
      <c r="L3958" s="43">
        <f>IF($I3958=0,0,$J3958*$H3958/100/12)</f>
      </c>
      <c r="M3958" s="43">
        <f>IF($I3958=0,0,IF(OR(INDEX(DarlOhneTilgung,9)=1,AND(INDEX(DarlTilgStart,9)&gt;0,$E3958&lt;INDEX(DarlTilgStart,9))),0,MIN(MAX(0,$K3958-$L3958),$J3958)))</f>
      </c>
      <c r="N3958" s="43">
        <f>IF($I3958=0,0,MIN(SUMIFS(SondBetrag,SondDarl,9,SondDatum,"&gt;="&amp;$E3958,SondDatum,"&lt;="&amp;EOMONTH($E3958,0)),$J3958-$M3958))</f>
      </c>
      <c r="O3958" s="43">
        <f>IF($I3958=0,0,INDEX(DarlErsatzRate,9))</f>
      </c>
      <c r="P3958" s="43">
        <f>IF($I3958=0,0,$Q3957*INDEX(DarlErsatzZins,9))</f>
      </c>
      <c r="Q3958" s="43">
        <f>IF($I3958=0,0,$Q3957+$P3958+$O3958)</f>
      </c>
      <c r="R3958" s="43">
        <f>IF($I3958=0,0,$J3958-$M3958-$N3958)</f>
      </c>
    </row>
    <row r="3959">
      <c r="A3959"/>
      <c r="B3959">
        <v>9</v>
      </c>
      <c r="C3959" s="43">
        <f>INDEX(DarlObj,9)</f>
      </c>
      <c r="D3959">
        <v>116</v>
      </c>
      <c r="E3959" s="51">
        <f>IF(INDEX(DarlBelegt,9)=0,0,EOMONTH(INDEX(DarlAuszahlung,9),115)+1)</f>
      </c>
      <c r="F3959" s="43">
        <f>IF($E3959=0,0,YEAR($E3959))</f>
      </c>
      <c r="G3959" s="43">
        <f>IF(INDEX(DarlBindung,9)="",1,IF($E3959&lt;=INDEX(DarlBindung,9),1,0))</f>
      </c>
      <c r="H3959" s="43">
        <f>IF($G3959=1,INDEX(DarlSollzins,9),INDEX(DarlAnschluss,9))</f>
      </c>
      <c r="I3959" s="43">
        <f>IF(INDEX(DarlBelegt,9)=0,0,IF(INDEX(DarlOhneTilgung,9)=1,IF(INDEX(DarlBindung,9)="",1,$G3959),IF($J3959&gt;0.005,1,0)))</f>
      </c>
      <c r="J3959" s="43">
        <f>IF($I3958=0,0,$R3958)</f>
      </c>
      <c r="K3959" s="43">
        <f>IF($I3959=0,0,IF(INDEX(DarlOhneTilgung,9)=1,0,IF(AND(INDEX(DarlTilgStart,9)&gt;0,$E3959=INDEX(DarlTilgStart,9)),$J3959*($H3959+INDEX(DarlTilgung,9))/100/12,IF(AND($G3959=0,$G3958=1),MAX($K3958,$J3959*($H3959+1)/100/12),$K3958))))</f>
      </c>
      <c r="L3959" s="43">
        <f>IF($I3959=0,0,$J3959*$H3959/100/12)</f>
      </c>
      <c r="M3959" s="43">
        <f>IF($I3959=0,0,IF(OR(INDEX(DarlOhneTilgung,9)=1,AND(INDEX(DarlTilgStart,9)&gt;0,$E3959&lt;INDEX(DarlTilgStart,9))),0,MIN(MAX(0,$K3959-$L3959),$J3959)))</f>
      </c>
      <c r="N3959" s="43">
        <f>IF($I3959=0,0,MIN(SUMIFS(SondBetrag,SondDarl,9,SondDatum,"&gt;="&amp;$E3959,SondDatum,"&lt;="&amp;EOMONTH($E3959,0)),$J3959-$M3959))</f>
      </c>
      <c r="O3959" s="43">
        <f>IF($I3959=0,0,INDEX(DarlErsatzRate,9))</f>
      </c>
      <c r="P3959" s="43">
        <f>IF($I3959=0,0,$Q3958*INDEX(DarlErsatzZins,9))</f>
      </c>
      <c r="Q3959" s="43">
        <f>IF($I3959=0,0,$Q3958+$P3959+$O3959)</f>
      </c>
      <c r="R3959" s="43">
        <f>IF($I3959=0,0,$J3959-$M3959-$N3959)</f>
      </c>
    </row>
    <row r="3960">
      <c r="A3960"/>
      <c r="B3960">
        <v>9</v>
      </c>
      <c r="C3960" s="43">
        <f>INDEX(DarlObj,9)</f>
      </c>
      <c r="D3960">
        <v>117</v>
      </c>
      <c r="E3960" s="51">
        <f>IF(INDEX(DarlBelegt,9)=0,0,EOMONTH(INDEX(DarlAuszahlung,9),116)+1)</f>
      </c>
      <c r="F3960" s="43">
        <f>IF($E3960=0,0,YEAR($E3960))</f>
      </c>
      <c r="G3960" s="43">
        <f>IF(INDEX(DarlBindung,9)="",1,IF($E3960&lt;=INDEX(DarlBindung,9),1,0))</f>
      </c>
      <c r="H3960" s="43">
        <f>IF($G3960=1,INDEX(DarlSollzins,9),INDEX(DarlAnschluss,9))</f>
      </c>
      <c r="I3960" s="43">
        <f>IF(INDEX(DarlBelegt,9)=0,0,IF(INDEX(DarlOhneTilgung,9)=1,IF(INDEX(DarlBindung,9)="",1,$G3960),IF($J3960&gt;0.005,1,0)))</f>
      </c>
      <c r="J3960" s="43">
        <f>IF($I3959=0,0,$R3959)</f>
      </c>
      <c r="K3960" s="43">
        <f>IF($I3960=0,0,IF(INDEX(DarlOhneTilgung,9)=1,0,IF(AND(INDEX(DarlTilgStart,9)&gt;0,$E3960=INDEX(DarlTilgStart,9)),$J3960*($H3960+INDEX(DarlTilgung,9))/100/12,IF(AND($G3960=0,$G3959=1),MAX($K3959,$J3960*($H3960+1)/100/12),$K3959))))</f>
      </c>
      <c r="L3960" s="43">
        <f>IF($I3960=0,0,$J3960*$H3960/100/12)</f>
      </c>
      <c r="M3960" s="43">
        <f>IF($I3960=0,0,IF(OR(INDEX(DarlOhneTilgung,9)=1,AND(INDEX(DarlTilgStart,9)&gt;0,$E3960&lt;INDEX(DarlTilgStart,9))),0,MIN(MAX(0,$K3960-$L3960),$J3960)))</f>
      </c>
      <c r="N3960" s="43">
        <f>IF($I3960=0,0,MIN(SUMIFS(SondBetrag,SondDarl,9,SondDatum,"&gt;="&amp;$E3960,SondDatum,"&lt;="&amp;EOMONTH($E3960,0)),$J3960-$M3960))</f>
      </c>
      <c r="O3960" s="43">
        <f>IF($I3960=0,0,INDEX(DarlErsatzRate,9))</f>
      </c>
      <c r="P3960" s="43">
        <f>IF($I3960=0,0,$Q3959*INDEX(DarlErsatzZins,9))</f>
      </c>
      <c r="Q3960" s="43">
        <f>IF($I3960=0,0,$Q3959+$P3960+$O3960)</f>
      </c>
      <c r="R3960" s="43">
        <f>IF($I3960=0,0,$J3960-$M3960-$N3960)</f>
      </c>
    </row>
    <row r="3961">
      <c r="A3961"/>
      <c r="B3961">
        <v>9</v>
      </c>
      <c r="C3961" s="43">
        <f>INDEX(DarlObj,9)</f>
      </c>
      <c r="D3961">
        <v>118</v>
      </c>
      <c r="E3961" s="51">
        <f>IF(INDEX(DarlBelegt,9)=0,0,EOMONTH(INDEX(DarlAuszahlung,9),117)+1)</f>
      </c>
      <c r="F3961" s="43">
        <f>IF($E3961=0,0,YEAR($E3961))</f>
      </c>
      <c r="G3961" s="43">
        <f>IF(INDEX(DarlBindung,9)="",1,IF($E3961&lt;=INDEX(DarlBindung,9),1,0))</f>
      </c>
      <c r="H3961" s="43">
        <f>IF($G3961=1,INDEX(DarlSollzins,9),INDEX(DarlAnschluss,9))</f>
      </c>
      <c r="I3961" s="43">
        <f>IF(INDEX(DarlBelegt,9)=0,0,IF(INDEX(DarlOhneTilgung,9)=1,IF(INDEX(DarlBindung,9)="",1,$G3961),IF($J3961&gt;0.005,1,0)))</f>
      </c>
      <c r="J3961" s="43">
        <f>IF($I3960=0,0,$R3960)</f>
      </c>
      <c r="K3961" s="43">
        <f>IF($I3961=0,0,IF(INDEX(DarlOhneTilgung,9)=1,0,IF(AND(INDEX(DarlTilgStart,9)&gt;0,$E3961=INDEX(DarlTilgStart,9)),$J3961*($H3961+INDEX(DarlTilgung,9))/100/12,IF(AND($G3961=0,$G3960=1),MAX($K3960,$J3961*($H3961+1)/100/12),$K3960))))</f>
      </c>
      <c r="L3961" s="43">
        <f>IF($I3961=0,0,$J3961*$H3961/100/12)</f>
      </c>
      <c r="M3961" s="43">
        <f>IF($I3961=0,0,IF(OR(INDEX(DarlOhneTilgung,9)=1,AND(INDEX(DarlTilgStart,9)&gt;0,$E3961&lt;INDEX(DarlTilgStart,9))),0,MIN(MAX(0,$K3961-$L3961),$J3961)))</f>
      </c>
      <c r="N3961" s="43">
        <f>IF($I3961=0,0,MIN(SUMIFS(SondBetrag,SondDarl,9,SondDatum,"&gt;="&amp;$E3961,SondDatum,"&lt;="&amp;EOMONTH($E3961,0)),$J3961-$M3961))</f>
      </c>
      <c r="O3961" s="43">
        <f>IF($I3961=0,0,INDEX(DarlErsatzRate,9))</f>
      </c>
      <c r="P3961" s="43">
        <f>IF($I3961=0,0,$Q3960*INDEX(DarlErsatzZins,9))</f>
      </c>
      <c r="Q3961" s="43">
        <f>IF($I3961=0,0,$Q3960+$P3961+$O3961)</f>
      </c>
      <c r="R3961" s="43">
        <f>IF($I3961=0,0,$J3961-$M3961-$N3961)</f>
      </c>
    </row>
    <row r="3962">
      <c r="A3962"/>
      <c r="B3962">
        <v>9</v>
      </c>
      <c r="C3962" s="43">
        <f>INDEX(DarlObj,9)</f>
      </c>
      <c r="D3962">
        <v>119</v>
      </c>
      <c r="E3962" s="51">
        <f>IF(INDEX(DarlBelegt,9)=0,0,EOMONTH(INDEX(DarlAuszahlung,9),118)+1)</f>
      </c>
      <c r="F3962" s="43">
        <f>IF($E3962=0,0,YEAR($E3962))</f>
      </c>
      <c r="G3962" s="43">
        <f>IF(INDEX(DarlBindung,9)="",1,IF($E3962&lt;=INDEX(DarlBindung,9),1,0))</f>
      </c>
      <c r="H3962" s="43">
        <f>IF($G3962=1,INDEX(DarlSollzins,9),INDEX(DarlAnschluss,9))</f>
      </c>
      <c r="I3962" s="43">
        <f>IF(INDEX(DarlBelegt,9)=0,0,IF(INDEX(DarlOhneTilgung,9)=1,IF(INDEX(DarlBindung,9)="",1,$G3962),IF($J3962&gt;0.005,1,0)))</f>
      </c>
      <c r="J3962" s="43">
        <f>IF($I3961=0,0,$R3961)</f>
      </c>
      <c r="K3962" s="43">
        <f>IF($I3962=0,0,IF(INDEX(DarlOhneTilgung,9)=1,0,IF(AND(INDEX(DarlTilgStart,9)&gt;0,$E3962=INDEX(DarlTilgStart,9)),$J3962*($H3962+INDEX(DarlTilgung,9))/100/12,IF(AND($G3962=0,$G3961=1),MAX($K3961,$J3962*($H3962+1)/100/12),$K3961))))</f>
      </c>
      <c r="L3962" s="43">
        <f>IF($I3962=0,0,$J3962*$H3962/100/12)</f>
      </c>
      <c r="M3962" s="43">
        <f>IF($I3962=0,0,IF(OR(INDEX(DarlOhneTilgung,9)=1,AND(INDEX(DarlTilgStart,9)&gt;0,$E3962&lt;INDEX(DarlTilgStart,9))),0,MIN(MAX(0,$K3962-$L3962),$J3962)))</f>
      </c>
      <c r="N3962" s="43">
        <f>IF($I3962=0,0,MIN(SUMIFS(SondBetrag,SondDarl,9,SondDatum,"&gt;="&amp;$E3962,SondDatum,"&lt;="&amp;EOMONTH($E3962,0)),$J3962-$M3962))</f>
      </c>
      <c r="O3962" s="43">
        <f>IF($I3962=0,0,INDEX(DarlErsatzRate,9))</f>
      </c>
      <c r="P3962" s="43">
        <f>IF($I3962=0,0,$Q3961*INDEX(DarlErsatzZins,9))</f>
      </c>
      <c r="Q3962" s="43">
        <f>IF($I3962=0,0,$Q3961+$P3962+$O3962)</f>
      </c>
      <c r="R3962" s="43">
        <f>IF($I3962=0,0,$J3962-$M3962-$N3962)</f>
      </c>
    </row>
    <row r="3963">
      <c r="A3963"/>
      <c r="B3963">
        <v>9</v>
      </c>
      <c r="C3963" s="43">
        <f>INDEX(DarlObj,9)</f>
      </c>
      <c r="D3963">
        <v>120</v>
      </c>
      <c r="E3963" s="51">
        <f>IF(INDEX(DarlBelegt,9)=0,0,EOMONTH(INDEX(DarlAuszahlung,9),119)+1)</f>
      </c>
      <c r="F3963" s="43">
        <f>IF($E3963=0,0,YEAR($E3963))</f>
      </c>
      <c r="G3963" s="43">
        <f>IF(INDEX(DarlBindung,9)="",1,IF($E3963&lt;=INDEX(DarlBindung,9),1,0))</f>
      </c>
      <c r="H3963" s="43">
        <f>IF($G3963=1,INDEX(DarlSollzins,9),INDEX(DarlAnschluss,9))</f>
      </c>
      <c r="I3963" s="43">
        <f>IF(INDEX(DarlBelegt,9)=0,0,IF(INDEX(DarlOhneTilgung,9)=1,IF(INDEX(DarlBindung,9)="",1,$G3963),IF($J3963&gt;0.005,1,0)))</f>
      </c>
      <c r="J3963" s="43">
        <f>IF($I3962=0,0,$R3962)</f>
      </c>
      <c r="K3963" s="43">
        <f>IF($I3963=0,0,IF(INDEX(DarlOhneTilgung,9)=1,0,IF(AND(INDEX(DarlTilgStart,9)&gt;0,$E3963=INDEX(DarlTilgStart,9)),$J3963*($H3963+INDEX(DarlTilgung,9))/100/12,IF(AND($G3963=0,$G3962=1),MAX($K3962,$J3963*($H3963+1)/100/12),$K3962))))</f>
      </c>
      <c r="L3963" s="43">
        <f>IF($I3963=0,0,$J3963*$H3963/100/12)</f>
      </c>
      <c r="M3963" s="43">
        <f>IF($I3963=0,0,IF(OR(INDEX(DarlOhneTilgung,9)=1,AND(INDEX(DarlTilgStart,9)&gt;0,$E3963&lt;INDEX(DarlTilgStart,9))),0,MIN(MAX(0,$K3963-$L3963),$J3963)))</f>
      </c>
      <c r="N3963" s="43">
        <f>IF($I3963=0,0,MIN(SUMIFS(SondBetrag,SondDarl,9,SondDatum,"&gt;="&amp;$E3963,SondDatum,"&lt;="&amp;EOMONTH($E3963,0)),$J3963-$M3963))</f>
      </c>
      <c r="O3963" s="43">
        <f>IF($I3963=0,0,INDEX(DarlErsatzRate,9))</f>
      </c>
      <c r="P3963" s="43">
        <f>IF($I3963=0,0,$Q3962*INDEX(DarlErsatzZins,9))</f>
      </c>
      <c r="Q3963" s="43">
        <f>IF($I3963=0,0,$Q3962+$P3963+$O3963)</f>
      </c>
      <c r="R3963" s="43">
        <f>IF($I3963=0,0,$J3963-$M3963-$N3963)</f>
      </c>
    </row>
    <row r="3964">
      <c r="A3964"/>
      <c r="B3964">
        <v>9</v>
      </c>
      <c r="C3964" s="43">
        <f>INDEX(DarlObj,9)</f>
      </c>
      <c r="D3964">
        <v>121</v>
      </c>
      <c r="E3964" s="51">
        <f>IF(INDEX(DarlBelegt,9)=0,0,EOMONTH(INDEX(DarlAuszahlung,9),120)+1)</f>
      </c>
      <c r="F3964" s="43">
        <f>IF($E3964=0,0,YEAR($E3964))</f>
      </c>
      <c r="G3964" s="43">
        <f>IF(INDEX(DarlBindung,9)="",1,IF($E3964&lt;=INDEX(DarlBindung,9),1,0))</f>
      </c>
      <c r="H3964" s="43">
        <f>IF($G3964=1,INDEX(DarlSollzins,9),INDEX(DarlAnschluss,9))</f>
      </c>
      <c r="I3964" s="43">
        <f>IF(INDEX(DarlBelegt,9)=0,0,IF(INDEX(DarlOhneTilgung,9)=1,IF(INDEX(DarlBindung,9)="",1,$G3964),IF($J3964&gt;0.005,1,0)))</f>
      </c>
      <c r="J3964" s="43">
        <f>IF($I3963=0,0,$R3963)</f>
      </c>
      <c r="K3964" s="43">
        <f>IF($I3964=0,0,IF(INDEX(DarlOhneTilgung,9)=1,0,IF(AND(INDEX(DarlTilgStart,9)&gt;0,$E3964=INDEX(DarlTilgStart,9)),$J3964*($H3964+INDEX(DarlTilgung,9))/100/12,IF(AND($G3964=0,$G3963=1),MAX($K3963,$J3964*($H3964+1)/100/12),$K3963))))</f>
      </c>
      <c r="L3964" s="43">
        <f>IF($I3964=0,0,$J3964*$H3964/100/12)</f>
      </c>
      <c r="M3964" s="43">
        <f>IF($I3964=0,0,IF(OR(INDEX(DarlOhneTilgung,9)=1,AND(INDEX(DarlTilgStart,9)&gt;0,$E3964&lt;INDEX(DarlTilgStart,9))),0,MIN(MAX(0,$K3964-$L3964),$J3964)))</f>
      </c>
      <c r="N3964" s="43">
        <f>IF($I3964=0,0,MIN(SUMIFS(SondBetrag,SondDarl,9,SondDatum,"&gt;="&amp;$E3964,SondDatum,"&lt;="&amp;EOMONTH($E3964,0)),$J3964-$M3964))</f>
      </c>
      <c r="O3964" s="43">
        <f>IF($I3964=0,0,INDEX(DarlErsatzRate,9))</f>
      </c>
      <c r="P3964" s="43">
        <f>IF($I3964=0,0,$Q3963*INDEX(DarlErsatzZins,9))</f>
      </c>
      <c r="Q3964" s="43">
        <f>IF($I3964=0,0,$Q3963+$P3964+$O3964)</f>
      </c>
      <c r="R3964" s="43">
        <f>IF($I3964=0,0,$J3964-$M3964-$N3964)</f>
      </c>
    </row>
    <row r="3965">
      <c r="A3965"/>
      <c r="B3965">
        <v>9</v>
      </c>
      <c r="C3965" s="43">
        <f>INDEX(DarlObj,9)</f>
      </c>
      <c r="D3965">
        <v>122</v>
      </c>
      <c r="E3965" s="51">
        <f>IF(INDEX(DarlBelegt,9)=0,0,EOMONTH(INDEX(DarlAuszahlung,9),121)+1)</f>
      </c>
      <c r="F3965" s="43">
        <f>IF($E3965=0,0,YEAR($E3965))</f>
      </c>
      <c r="G3965" s="43">
        <f>IF(INDEX(DarlBindung,9)="",1,IF($E3965&lt;=INDEX(DarlBindung,9),1,0))</f>
      </c>
      <c r="H3965" s="43">
        <f>IF($G3965=1,INDEX(DarlSollzins,9),INDEX(DarlAnschluss,9))</f>
      </c>
      <c r="I3965" s="43">
        <f>IF(INDEX(DarlBelegt,9)=0,0,IF(INDEX(DarlOhneTilgung,9)=1,IF(INDEX(DarlBindung,9)="",1,$G3965),IF($J3965&gt;0.005,1,0)))</f>
      </c>
      <c r="J3965" s="43">
        <f>IF($I3964=0,0,$R3964)</f>
      </c>
      <c r="K3965" s="43">
        <f>IF($I3965=0,0,IF(INDEX(DarlOhneTilgung,9)=1,0,IF(AND(INDEX(DarlTilgStart,9)&gt;0,$E3965=INDEX(DarlTilgStart,9)),$J3965*($H3965+INDEX(DarlTilgung,9))/100/12,IF(AND($G3965=0,$G3964=1),MAX($K3964,$J3965*($H3965+1)/100/12),$K3964))))</f>
      </c>
      <c r="L3965" s="43">
        <f>IF($I3965=0,0,$J3965*$H3965/100/12)</f>
      </c>
      <c r="M3965" s="43">
        <f>IF($I3965=0,0,IF(OR(INDEX(DarlOhneTilgung,9)=1,AND(INDEX(DarlTilgStart,9)&gt;0,$E3965&lt;INDEX(DarlTilgStart,9))),0,MIN(MAX(0,$K3965-$L3965),$J3965)))</f>
      </c>
      <c r="N3965" s="43">
        <f>IF($I3965=0,0,MIN(SUMIFS(SondBetrag,SondDarl,9,SondDatum,"&gt;="&amp;$E3965,SondDatum,"&lt;="&amp;EOMONTH($E3965,0)),$J3965-$M3965))</f>
      </c>
      <c r="O3965" s="43">
        <f>IF($I3965=0,0,INDEX(DarlErsatzRate,9))</f>
      </c>
      <c r="P3965" s="43">
        <f>IF($I3965=0,0,$Q3964*INDEX(DarlErsatzZins,9))</f>
      </c>
      <c r="Q3965" s="43">
        <f>IF($I3965=0,0,$Q3964+$P3965+$O3965)</f>
      </c>
      <c r="R3965" s="43">
        <f>IF($I3965=0,0,$J3965-$M3965-$N3965)</f>
      </c>
    </row>
    <row r="3966">
      <c r="A3966"/>
      <c r="B3966">
        <v>9</v>
      </c>
      <c r="C3966" s="43">
        <f>INDEX(DarlObj,9)</f>
      </c>
      <c r="D3966">
        <v>123</v>
      </c>
      <c r="E3966" s="51">
        <f>IF(INDEX(DarlBelegt,9)=0,0,EOMONTH(INDEX(DarlAuszahlung,9),122)+1)</f>
      </c>
      <c r="F3966" s="43">
        <f>IF($E3966=0,0,YEAR($E3966))</f>
      </c>
      <c r="G3966" s="43">
        <f>IF(INDEX(DarlBindung,9)="",1,IF($E3966&lt;=INDEX(DarlBindung,9),1,0))</f>
      </c>
      <c r="H3966" s="43">
        <f>IF($G3966=1,INDEX(DarlSollzins,9),INDEX(DarlAnschluss,9))</f>
      </c>
      <c r="I3966" s="43">
        <f>IF(INDEX(DarlBelegt,9)=0,0,IF(INDEX(DarlOhneTilgung,9)=1,IF(INDEX(DarlBindung,9)="",1,$G3966),IF($J3966&gt;0.005,1,0)))</f>
      </c>
      <c r="J3966" s="43">
        <f>IF($I3965=0,0,$R3965)</f>
      </c>
      <c r="K3966" s="43">
        <f>IF($I3966=0,0,IF(INDEX(DarlOhneTilgung,9)=1,0,IF(AND(INDEX(DarlTilgStart,9)&gt;0,$E3966=INDEX(DarlTilgStart,9)),$J3966*($H3966+INDEX(DarlTilgung,9))/100/12,IF(AND($G3966=0,$G3965=1),MAX($K3965,$J3966*($H3966+1)/100/12),$K3965))))</f>
      </c>
      <c r="L3966" s="43">
        <f>IF($I3966=0,0,$J3966*$H3966/100/12)</f>
      </c>
      <c r="M3966" s="43">
        <f>IF($I3966=0,0,IF(OR(INDEX(DarlOhneTilgung,9)=1,AND(INDEX(DarlTilgStart,9)&gt;0,$E3966&lt;INDEX(DarlTilgStart,9))),0,MIN(MAX(0,$K3966-$L3966),$J3966)))</f>
      </c>
      <c r="N3966" s="43">
        <f>IF($I3966=0,0,MIN(SUMIFS(SondBetrag,SondDarl,9,SondDatum,"&gt;="&amp;$E3966,SondDatum,"&lt;="&amp;EOMONTH($E3966,0)),$J3966-$M3966))</f>
      </c>
      <c r="O3966" s="43">
        <f>IF($I3966=0,0,INDEX(DarlErsatzRate,9))</f>
      </c>
      <c r="P3966" s="43">
        <f>IF($I3966=0,0,$Q3965*INDEX(DarlErsatzZins,9))</f>
      </c>
      <c r="Q3966" s="43">
        <f>IF($I3966=0,0,$Q3965+$P3966+$O3966)</f>
      </c>
      <c r="R3966" s="43">
        <f>IF($I3966=0,0,$J3966-$M3966-$N3966)</f>
      </c>
    </row>
    <row r="3967">
      <c r="A3967"/>
      <c r="B3967">
        <v>9</v>
      </c>
      <c r="C3967" s="43">
        <f>INDEX(DarlObj,9)</f>
      </c>
      <c r="D3967">
        <v>124</v>
      </c>
      <c r="E3967" s="51">
        <f>IF(INDEX(DarlBelegt,9)=0,0,EOMONTH(INDEX(DarlAuszahlung,9),123)+1)</f>
      </c>
      <c r="F3967" s="43">
        <f>IF($E3967=0,0,YEAR($E3967))</f>
      </c>
      <c r="G3967" s="43">
        <f>IF(INDEX(DarlBindung,9)="",1,IF($E3967&lt;=INDEX(DarlBindung,9),1,0))</f>
      </c>
      <c r="H3967" s="43">
        <f>IF($G3967=1,INDEX(DarlSollzins,9),INDEX(DarlAnschluss,9))</f>
      </c>
      <c r="I3967" s="43">
        <f>IF(INDEX(DarlBelegt,9)=0,0,IF(INDEX(DarlOhneTilgung,9)=1,IF(INDEX(DarlBindung,9)="",1,$G3967),IF($J3967&gt;0.005,1,0)))</f>
      </c>
      <c r="J3967" s="43">
        <f>IF($I3966=0,0,$R3966)</f>
      </c>
      <c r="K3967" s="43">
        <f>IF($I3967=0,0,IF(INDEX(DarlOhneTilgung,9)=1,0,IF(AND(INDEX(DarlTilgStart,9)&gt;0,$E3967=INDEX(DarlTilgStart,9)),$J3967*($H3967+INDEX(DarlTilgung,9))/100/12,IF(AND($G3967=0,$G3966=1),MAX($K3966,$J3967*($H3967+1)/100/12),$K3966))))</f>
      </c>
      <c r="L3967" s="43">
        <f>IF($I3967=0,0,$J3967*$H3967/100/12)</f>
      </c>
      <c r="M3967" s="43">
        <f>IF($I3967=0,0,IF(OR(INDEX(DarlOhneTilgung,9)=1,AND(INDEX(DarlTilgStart,9)&gt;0,$E3967&lt;INDEX(DarlTilgStart,9))),0,MIN(MAX(0,$K3967-$L3967),$J3967)))</f>
      </c>
      <c r="N3967" s="43">
        <f>IF($I3967=0,0,MIN(SUMIFS(SondBetrag,SondDarl,9,SondDatum,"&gt;="&amp;$E3967,SondDatum,"&lt;="&amp;EOMONTH($E3967,0)),$J3967-$M3967))</f>
      </c>
      <c r="O3967" s="43">
        <f>IF($I3967=0,0,INDEX(DarlErsatzRate,9))</f>
      </c>
      <c r="P3967" s="43">
        <f>IF($I3967=0,0,$Q3966*INDEX(DarlErsatzZins,9))</f>
      </c>
      <c r="Q3967" s="43">
        <f>IF($I3967=0,0,$Q3966+$P3967+$O3967)</f>
      </c>
      <c r="R3967" s="43">
        <f>IF($I3967=0,0,$J3967-$M3967-$N3967)</f>
      </c>
    </row>
    <row r="3968">
      <c r="A3968"/>
      <c r="B3968">
        <v>9</v>
      </c>
      <c r="C3968" s="43">
        <f>INDEX(DarlObj,9)</f>
      </c>
      <c r="D3968">
        <v>125</v>
      </c>
      <c r="E3968" s="51">
        <f>IF(INDEX(DarlBelegt,9)=0,0,EOMONTH(INDEX(DarlAuszahlung,9),124)+1)</f>
      </c>
      <c r="F3968" s="43">
        <f>IF($E3968=0,0,YEAR($E3968))</f>
      </c>
      <c r="G3968" s="43">
        <f>IF(INDEX(DarlBindung,9)="",1,IF($E3968&lt;=INDEX(DarlBindung,9),1,0))</f>
      </c>
      <c r="H3968" s="43">
        <f>IF($G3968=1,INDEX(DarlSollzins,9),INDEX(DarlAnschluss,9))</f>
      </c>
      <c r="I3968" s="43">
        <f>IF(INDEX(DarlBelegt,9)=0,0,IF(INDEX(DarlOhneTilgung,9)=1,IF(INDEX(DarlBindung,9)="",1,$G3968),IF($J3968&gt;0.005,1,0)))</f>
      </c>
      <c r="J3968" s="43">
        <f>IF($I3967=0,0,$R3967)</f>
      </c>
      <c r="K3968" s="43">
        <f>IF($I3968=0,0,IF(INDEX(DarlOhneTilgung,9)=1,0,IF(AND(INDEX(DarlTilgStart,9)&gt;0,$E3968=INDEX(DarlTilgStart,9)),$J3968*($H3968+INDEX(DarlTilgung,9))/100/12,IF(AND($G3968=0,$G3967=1),MAX($K3967,$J3968*($H3968+1)/100/12),$K3967))))</f>
      </c>
      <c r="L3968" s="43">
        <f>IF($I3968=0,0,$J3968*$H3968/100/12)</f>
      </c>
      <c r="M3968" s="43">
        <f>IF($I3968=0,0,IF(OR(INDEX(DarlOhneTilgung,9)=1,AND(INDEX(DarlTilgStart,9)&gt;0,$E3968&lt;INDEX(DarlTilgStart,9))),0,MIN(MAX(0,$K3968-$L3968),$J3968)))</f>
      </c>
      <c r="N3968" s="43">
        <f>IF($I3968=0,0,MIN(SUMIFS(SondBetrag,SondDarl,9,SondDatum,"&gt;="&amp;$E3968,SondDatum,"&lt;="&amp;EOMONTH($E3968,0)),$J3968-$M3968))</f>
      </c>
      <c r="O3968" s="43">
        <f>IF($I3968=0,0,INDEX(DarlErsatzRate,9))</f>
      </c>
      <c r="P3968" s="43">
        <f>IF($I3968=0,0,$Q3967*INDEX(DarlErsatzZins,9))</f>
      </c>
      <c r="Q3968" s="43">
        <f>IF($I3968=0,0,$Q3967+$P3968+$O3968)</f>
      </c>
      <c r="R3968" s="43">
        <f>IF($I3968=0,0,$J3968-$M3968-$N3968)</f>
      </c>
    </row>
    <row r="3969">
      <c r="A3969"/>
      <c r="B3969">
        <v>9</v>
      </c>
      <c r="C3969" s="43">
        <f>INDEX(DarlObj,9)</f>
      </c>
      <c r="D3969">
        <v>126</v>
      </c>
      <c r="E3969" s="51">
        <f>IF(INDEX(DarlBelegt,9)=0,0,EOMONTH(INDEX(DarlAuszahlung,9),125)+1)</f>
      </c>
      <c r="F3969" s="43">
        <f>IF($E3969=0,0,YEAR($E3969))</f>
      </c>
      <c r="G3969" s="43">
        <f>IF(INDEX(DarlBindung,9)="",1,IF($E3969&lt;=INDEX(DarlBindung,9),1,0))</f>
      </c>
      <c r="H3969" s="43">
        <f>IF($G3969=1,INDEX(DarlSollzins,9),INDEX(DarlAnschluss,9))</f>
      </c>
      <c r="I3969" s="43">
        <f>IF(INDEX(DarlBelegt,9)=0,0,IF(INDEX(DarlOhneTilgung,9)=1,IF(INDEX(DarlBindung,9)="",1,$G3969),IF($J3969&gt;0.005,1,0)))</f>
      </c>
      <c r="J3969" s="43">
        <f>IF($I3968=0,0,$R3968)</f>
      </c>
      <c r="K3969" s="43">
        <f>IF($I3969=0,0,IF(INDEX(DarlOhneTilgung,9)=1,0,IF(AND(INDEX(DarlTilgStart,9)&gt;0,$E3969=INDEX(DarlTilgStart,9)),$J3969*($H3969+INDEX(DarlTilgung,9))/100/12,IF(AND($G3969=0,$G3968=1),MAX($K3968,$J3969*($H3969+1)/100/12),$K3968))))</f>
      </c>
      <c r="L3969" s="43">
        <f>IF($I3969=0,0,$J3969*$H3969/100/12)</f>
      </c>
      <c r="M3969" s="43">
        <f>IF($I3969=0,0,IF(OR(INDEX(DarlOhneTilgung,9)=1,AND(INDEX(DarlTilgStart,9)&gt;0,$E3969&lt;INDEX(DarlTilgStart,9))),0,MIN(MAX(0,$K3969-$L3969),$J3969)))</f>
      </c>
      <c r="N3969" s="43">
        <f>IF($I3969=0,0,MIN(SUMIFS(SondBetrag,SondDarl,9,SondDatum,"&gt;="&amp;$E3969,SondDatum,"&lt;="&amp;EOMONTH($E3969,0)),$J3969-$M3969))</f>
      </c>
      <c r="O3969" s="43">
        <f>IF($I3969=0,0,INDEX(DarlErsatzRate,9))</f>
      </c>
      <c r="P3969" s="43">
        <f>IF($I3969=0,0,$Q3968*INDEX(DarlErsatzZins,9))</f>
      </c>
      <c r="Q3969" s="43">
        <f>IF($I3969=0,0,$Q3968+$P3969+$O3969)</f>
      </c>
      <c r="R3969" s="43">
        <f>IF($I3969=0,0,$J3969-$M3969-$N3969)</f>
      </c>
    </row>
    <row r="3970">
      <c r="A3970"/>
      <c r="B3970">
        <v>9</v>
      </c>
      <c r="C3970" s="43">
        <f>INDEX(DarlObj,9)</f>
      </c>
      <c r="D3970">
        <v>127</v>
      </c>
      <c r="E3970" s="51">
        <f>IF(INDEX(DarlBelegt,9)=0,0,EOMONTH(INDEX(DarlAuszahlung,9),126)+1)</f>
      </c>
      <c r="F3970" s="43">
        <f>IF($E3970=0,0,YEAR($E3970))</f>
      </c>
      <c r="G3970" s="43">
        <f>IF(INDEX(DarlBindung,9)="",1,IF($E3970&lt;=INDEX(DarlBindung,9),1,0))</f>
      </c>
      <c r="H3970" s="43">
        <f>IF($G3970=1,INDEX(DarlSollzins,9),INDEX(DarlAnschluss,9))</f>
      </c>
      <c r="I3970" s="43">
        <f>IF(INDEX(DarlBelegt,9)=0,0,IF(INDEX(DarlOhneTilgung,9)=1,IF(INDEX(DarlBindung,9)="",1,$G3970),IF($J3970&gt;0.005,1,0)))</f>
      </c>
      <c r="J3970" s="43">
        <f>IF($I3969=0,0,$R3969)</f>
      </c>
      <c r="K3970" s="43">
        <f>IF($I3970=0,0,IF(INDEX(DarlOhneTilgung,9)=1,0,IF(AND(INDEX(DarlTilgStart,9)&gt;0,$E3970=INDEX(DarlTilgStart,9)),$J3970*($H3970+INDEX(DarlTilgung,9))/100/12,IF(AND($G3970=0,$G3969=1),MAX($K3969,$J3970*($H3970+1)/100/12),$K3969))))</f>
      </c>
      <c r="L3970" s="43">
        <f>IF($I3970=0,0,$J3970*$H3970/100/12)</f>
      </c>
      <c r="M3970" s="43">
        <f>IF($I3970=0,0,IF(OR(INDEX(DarlOhneTilgung,9)=1,AND(INDEX(DarlTilgStart,9)&gt;0,$E3970&lt;INDEX(DarlTilgStart,9))),0,MIN(MAX(0,$K3970-$L3970),$J3970)))</f>
      </c>
      <c r="N3970" s="43">
        <f>IF($I3970=0,0,MIN(SUMIFS(SondBetrag,SondDarl,9,SondDatum,"&gt;="&amp;$E3970,SondDatum,"&lt;="&amp;EOMONTH($E3970,0)),$J3970-$M3970))</f>
      </c>
      <c r="O3970" s="43">
        <f>IF($I3970=0,0,INDEX(DarlErsatzRate,9))</f>
      </c>
      <c r="P3970" s="43">
        <f>IF($I3970=0,0,$Q3969*INDEX(DarlErsatzZins,9))</f>
      </c>
      <c r="Q3970" s="43">
        <f>IF($I3970=0,0,$Q3969+$P3970+$O3970)</f>
      </c>
      <c r="R3970" s="43">
        <f>IF($I3970=0,0,$J3970-$M3970-$N3970)</f>
      </c>
    </row>
    <row r="3971">
      <c r="A3971"/>
      <c r="B3971">
        <v>9</v>
      </c>
      <c r="C3971" s="43">
        <f>INDEX(DarlObj,9)</f>
      </c>
      <c r="D3971">
        <v>128</v>
      </c>
      <c r="E3971" s="51">
        <f>IF(INDEX(DarlBelegt,9)=0,0,EOMONTH(INDEX(DarlAuszahlung,9),127)+1)</f>
      </c>
      <c r="F3971" s="43">
        <f>IF($E3971=0,0,YEAR($E3971))</f>
      </c>
      <c r="G3971" s="43">
        <f>IF(INDEX(DarlBindung,9)="",1,IF($E3971&lt;=INDEX(DarlBindung,9),1,0))</f>
      </c>
      <c r="H3971" s="43">
        <f>IF($G3971=1,INDEX(DarlSollzins,9),INDEX(DarlAnschluss,9))</f>
      </c>
      <c r="I3971" s="43">
        <f>IF(INDEX(DarlBelegt,9)=0,0,IF(INDEX(DarlOhneTilgung,9)=1,IF(INDEX(DarlBindung,9)="",1,$G3971),IF($J3971&gt;0.005,1,0)))</f>
      </c>
      <c r="J3971" s="43">
        <f>IF($I3970=0,0,$R3970)</f>
      </c>
      <c r="K3971" s="43">
        <f>IF($I3971=0,0,IF(INDEX(DarlOhneTilgung,9)=1,0,IF(AND(INDEX(DarlTilgStart,9)&gt;0,$E3971=INDEX(DarlTilgStart,9)),$J3971*($H3971+INDEX(DarlTilgung,9))/100/12,IF(AND($G3971=0,$G3970=1),MAX($K3970,$J3971*($H3971+1)/100/12),$K3970))))</f>
      </c>
      <c r="L3971" s="43">
        <f>IF($I3971=0,0,$J3971*$H3971/100/12)</f>
      </c>
      <c r="M3971" s="43">
        <f>IF($I3971=0,0,IF(OR(INDEX(DarlOhneTilgung,9)=1,AND(INDEX(DarlTilgStart,9)&gt;0,$E3971&lt;INDEX(DarlTilgStart,9))),0,MIN(MAX(0,$K3971-$L3971),$J3971)))</f>
      </c>
      <c r="N3971" s="43">
        <f>IF($I3971=0,0,MIN(SUMIFS(SondBetrag,SondDarl,9,SondDatum,"&gt;="&amp;$E3971,SondDatum,"&lt;="&amp;EOMONTH($E3971,0)),$J3971-$M3971))</f>
      </c>
      <c r="O3971" s="43">
        <f>IF($I3971=0,0,INDEX(DarlErsatzRate,9))</f>
      </c>
      <c r="P3971" s="43">
        <f>IF($I3971=0,0,$Q3970*INDEX(DarlErsatzZins,9))</f>
      </c>
      <c r="Q3971" s="43">
        <f>IF($I3971=0,0,$Q3970+$P3971+$O3971)</f>
      </c>
      <c r="R3971" s="43">
        <f>IF($I3971=0,0,$J3971-$M3971-$N3971)</f>
      </c>
    </row>
    <row r="3972">
      <c r="A3972"/>
      <c r="B3972">
        <v>9</v>
      </c>
      <c r="C3972" s="43">
        <f>INDEX(DarlObj,9)</f>
      </c>
      <c r="D3972">
        <v>129</v>
      </c>
      <c r="E3972" s="51">
        <f>IF(INDEX(DarlBelegt,9)=0,0,EOMONTH(INDEX(DarlAuszahlung,9),128)+1)</f>
      </c>
      <c r="F3972" s="43">
        <f>IF($E3972=0,0,YEAR($E3972))</f>
      </c>
      <c r="G3972" s="43">
        <f>IF(INDEX(DarlBindung,9)="",1,IF($E3972&lt;=INDEX(DarlBindung,9),1,0))</f>
      </c>
      <c r="H3972" s="43">
        <f>IF($G3972=1,INDEX(DarlSollzins,9),INDEX(DarlAnschluss,9))</f>
      </c>
      <c r="I3972" s="43">
        <f>IF(INDEX(DarlBelegt,9)=0,0,IF(INDEX(DarlOhneTilgung,9)=1,IF(INDEX(DarlBindung,9)="",1,$G3972),IF($J3972&gt;0.005,1,0)))</f>
      </c>
      <c r="J3972" s="43">
        <f>IF($I3971=0,0,$R3971)</f>
      </c>
      <c r="K3972" s="43">
        <f>IF($I3972=0,0,IF(INDEX(DarlOhneTilgung,9)=1,0,IF(AND(INDEX(DarlTilgStart,9)&gt;0,$E3972=INDEX(DarlTilgStart,9)),$J3972*($H3972+INDEX(DarlTilgung,9))/100/12,IF(AND($G3972=0,$G3971=1),MAX($K3971,$J3972*($H3972+1)/100/12),$K3971))))</f>
      </c>
      <c r="L3972" s="43">
        <f>IF($I3972=0,0,$J3972*$H3972/100/12)</f>
      </c>
      <c r="M3972" s="43">
        <f>IF($I3972=0,0,IF(OR(INDEX(DarlOhneTilgung,9)=1,AND(INDEX(DarlTilgStart,9)&gt;0,$E3972&lt;INDEX(DarlTilgStart,9))),0,MIN(MAX(0,$K3972-$L3972),$J3972)))</f>
      </c>
      <c r="N3972" s="43">
        <f>IF($I3972=0,0,MIN(SUMIFS(SondBetrag,SondDarl,9,SondDatum,"&gt;="&amp;$E3972,SondDatum,"&lt;="&amp;EOMONTH($E3972,0)),$J3972-$M3972))</f>
      </c>
      <c r="O3972" s="43">
        <f>IF($I3972=0,0,INDEX(DarlErsatzRate,9))</f>
      </c>
      <c r="P3972" s="43">
        <f>IF($I3972=0,0,$Q3971*INDEX(DarlErsatzZins,9))</f>
      </c>
      <c r="Q3972" s="43">
        <f>IF($I3972=0,0,$Q3971+$P3972+$O3972)</f>
      </c>
      <c r="R3972" s="43">
        <f>IF($I3972=0,0,$J3972-$M3972-$N3972)</f>
      </c>
    </row>
    <row r="3973">
      <c r="A3973"/>
      <c r="B3973">
        <v>9</v>
      </c>
      <c r="C3973" s="43">
        <f>INDEX(DarlObj,9)</f>
      </c>
      <c r="D3973">
        <v>130</v>
      </c>
      <c r="E3973" s="51">
        <f>IF(INDEX(DarlBelegt,9)=0,0,EOMONTH(INDEX(DarlAuszahlung,9),129)+1)</f>
      </c>
      <c r="F3973" s="43">
        <f>IF($E3973=0,0,YEAR($E3973))</f>
      </c>
      <c r="G3973" s="43">
        <f>IF(INDEX(DarlBindung,9)="",1,IF($E3973&lt;=INDEX(DarlBindung,9),1,0))</f>
      </c>
      <c r="H3973" s="43">
        <f>IF($G3973=1,INDEX(DarlSollzins,9),INDEX(DarlAnschluss,9))</f>
      </c>
      <c r="I3973" s="43">
        <f>IF(INDEX(DarlBelegt,9)=0,0,IF(INDEX(DarlOhneTilgung,9)=1,IF(INDEX(DarlBindung,9)="",1,$G3973),IF($J3973&gt;0.005,1,0)))</f>
      </c>
      <c r="J3973" s="43">
        <f>IF($I3972=0,0,$R3972)</f>
      </c>
      <c r="K3973" s="43">
        <f>IF($I3973=0,0,IF(INDEX(DarlOhneTilgung,9)=1,0,IF(AND(INDEX(DarlTilgStart,9)&gt;0,$E3973=INDEX(DarlTilgStart,9)),$J3973*($H3973+INDEX(DarlTilgung,9))/100/12,IF(AND($G3973=0,$G3972=1),MAX($K3972,$J3973*($H3973+1)/100/12),$K3972))))</f>
      </c>
      <c r="L3973" s="43">
        <f>IF($I3973=0,0,$J3973*$H3973/100/12)</f>
      </c>
      <c r="M3973" s="43">
        <f>IF($I3973=0,0,IF(OR(INDEX(DarlOhneTilgung,9)=1,AND(INDEX(DarlTilgStart,9)&gt;0,$E3973&lt;INDEX(DarlTilgStart,9))),0,MIN(MAX(0,$K3973-$L3973),$J3973)))</f>
      </c>
      <c r="N3973" s="43">
        <f>IF($I3973=0,0,MIN(SUMIFS(SondBetrag,SondDarl,9,SondDatum,"&gt;="&amp;$E3973,SondDatum,"&lt;="&amp;EOMONTH($E3973,0)),$J3973-$M3973))</f>
      </c>
      <c r="O3973" s="43">
        <f>IF($I3973=0,0,INDEX(DarlErsatzRate,9))</f>
      </c>
      <c r="P3973" s="43">
        <f>IF($I3973=0,0,$Q3972*INDEX(DarlErsatzZins,9))</f>
      </c>
      <c r="Q3973" s="43">
        <f>IF($I3973=0,0,$Q3972+$P3973+$O3973)</f>
      </c>
      <c r="R3973" s="43">
        <f>IF($I3973=0,0,$J3973-$M3973-$N3973)</f>
      </c>
    </row>
    <row r="3974">
      <c r="A3974"/>
      <c r="B3974">
        <v>9</v>
      </c>
      <c r="C3974" s="43">
        <f>INDEX(DarlObj,9)</f>
      </c>
      <c r="D3974">
        <v>131</v>
      </c>
      <c r="E3974" s="51">
        <f>IF(INDEX(DarlBelegt,9)=0,0,EOMONTH(INDEX(DarlAuszahlung,9),130)+1)</f>
      </c>
      <c r="F3974" s="43">
        <f>IF($E3974=0,0,YEAR($E3974))</f>
      </c>
      <c r="G3974" s="43">
        <f>IF(INDEX(DarlBindung,9)="",1,IF($E3974&lt;=INDEX(DarlBindung,9),1,0))</f>
      </c>
      <c r="H3974" s="43">
        <f>IF($G3974=1,INDEX(DarlSollzins,9),INDEX(DarlAnschluss,9))</f>
      </c>
      <c r="I3974" s="43">
        <f>IF(INDEX(DarlBelegt,9)=0,0,IF(INDEX(DarlOhneTilgung,9)=1,IF(INDEX(DarlBindung,9)="",1,$G3974),IF($J3974&gt;0.005,1,0)))</f>
      </c>
      <c r="J3974" s="43">
        <f>IF($I3973=0,0,$R3973)</f>
      </c>
      <c r="K3974" s="43">
        <f>IF($I3974=0,0,IF(INDEX(DarlOhneTilgung,9)=1,0,IF(AND(INDEX(DarlTilgStart,9)&gt;0,$E3974=INDEX(DarlTilgStart,9)),$J3974*($H3974+INDEX(DarlTilgung,9))/100/12,IF(AND($G3974=0,$G3973=1),MAX($K3973,$J3974*($H3974+1)/100/12),$K3973))))</f>
      </c>
      <c r="L3974" s="43">
        <f>IF($I3974=0,0,$J3974*$H3974/100/12)</f>
      </c>
      <c r="M3974" s="43">
        <f>IF($I3974=0,0,IF(OR(INDEX(DarlOhneTilgung,9)=1,AND(INDEX(DarlTilgStart,9)&gt;0,$E3974&lt;INDEX(DarlTilgStart,9))),0,MIN(MAX(0,$K3974-$L3974),$J3974)))</f>
      </c>
      <c r="N3974" s="43">
        <f>IF($I3974=0,0,MIN(SUMIFS(SondBetrag,SondDarl,9,SondDatum,"&gt;="&amp;$E3974,SondDatum,"&lt;="&amp;EOMONTH($E3974,0)),$J3974-$M3974))</f>
      </c>
      <c r="O3974" s="43">
        <f>IF($I3974=0,0,INDEX(DarlErsatzRate,9))</f>
      </c>
      <c r="P3974" s="43">
        <f>IF($I3974=0,0,$Q3973*INDEX(DarlErsatzZins,9))</f>
      </c>
      <c r="Q3974" s="43">
        <f>IF($I3974=0,0,$Q3973+$P3974+$O3974)</f>
      </c>
      <c r="R3974" s="43">
        <f>IF($I3974=0,0,$J3974-$M3974-$N3974)</f>
      </c>
    </row>
    <row r="3975">
      <c r="A3975"/>
      <c r="B3975">
        <v>9</v>
      </c>
      <c r="C3975" s="43">
        <f>INDEX(DarlObj,9)</f>
      </c>
      <c r="D3975">
        <v>132</v>
      </c>
      <c r="E3975" s="51">
        <f>IF(INDEX(DarlBelegt,9)=0,0,EOMONTH(INDEX(DarlAuszahlung,9),131)+1)</f>
      </c>
      <c r="F3975" s="43">
        <f>IF($E3975=0,0,YEAR($E3975))</f>
      </c>
      <c r="G3975" s="43">
        <f>IF(INDEX(DarlBindung,9)="",1,IF($E3975&lt;=INDEX(DarlBindung,9),1,0))</f>
      </c>
      <c r="H3975" s="43">
        <f>IF($G3975=1,INDEX(DarlSollzins,9),INDEX(DarlAnschluss,9))</f>
      </c>
      <c r="I3975" s="43">
        <f>IF(INDEX(DarlBelegt,9)=0,0,IF(INDEX(DarlOhneTilgung,9)=1,IF(INDEX(DarlBindung,9)="",1,$G3975),IF($J3975&gt;0.005,1,0)))</f>
      </c>
      <c r="J3975" s="43">
        <f>IF($I3974=0,0,$R3974)</f>
      </c>
      <c r="K3975" s="43">
        <f>IF($I3975=0,0,IF(INDEX(DarlOhneTilgung,9)=1,0,IF(AND(INDEX(DarlTilgStart,9)&gt;0,$E3975=INDEX(DarlTilgStart,9)),$J3975*($H3975+INDEX(DarlTilgung,9))/100/12,IF(AND($G3975=0,$G3974=1),MAX($K3974,$J3975*($H3975+1)/100/12),$K3974))))</f>
      </c>
      <c r="L3975" s="43">
        <f>IF($I3975=0,0,$J3975*$H3975/100/12)</f>
      </c>
      <c r="M3975" s="43">
        <f>IF($I3975=0,0,IF(OR(INDEX(DarlOhneTilgung,9)=1,AND(INDEX(DarlTilgStart,9)&gt;0,$E3975&lt;INDEX(DarlTilgStart,9))),0,MIN(MAX(0,$K3975-$L3975),$J3975)))</f>
      </c>
      <c r="N3975" s="43">
        <f>IF($I3975=0,0,MIN(SUMIFS(SondBetrag,SondDarl,9,SondDatum,"&gt;="&amp;$E3975,SondDatum,"&lt;="&amp;EOMONTH($E3975,0)),$J3975-$M3975))</f>
      </c>
      <c r="O3975" s="43">
        <f>IF($I3975=0,0,INDEX(DarlErsatzRate,9))</f>
      </c>
      <c r="P3975" s="43">
        <f>IF($I3975=0,0,$Q3974*INDEX(DarlErsatzZins,9))</f>
      </c>
      <c r="Q3975" s="43">
        <f>IF($I3975=0,0,$Q3974+$P3975+$O3975)</f>
      </c>
      <c r="R3975" s="43">
        <f>IF($I3975=0,0,$J3975-$M3975-$N3975)</f>
      </c>
    </row>
    <row r="3976">
      <c r="A3976"/>
      <c r="B3976">
        <v>9</v>
      </c>
      <c r="C3976" s="43">
        <f>INDEX(DarlObj,9)</f>
      </c>
      <c r="D3976">
        <v>133</v>
      </c>
      <c r="E3976" s="51">
        <f>IF(INDEX(DarlBelegt,9)=0,0,EOMONTH(INDEX(DarlAuszahlung,9),132)+1)</f>
      </c>
      <c r="F3976" s="43">
        <f>IF($E3976=0,0,YEAR($E3976))</f>
      </c>
      <c r="G3976" s="43">
        <f>IF(INDEX(DarlBindung,9)="",1,IF($E3976&lt;=INDEX(DarlBindung,9),1,0))</f>
      </c>
      <c r="H3976" s="43">
        <f>IF($G3976=1,INDEX(DarlSollzins,9),INDEX(DarlAnschluss,9))</f>
      </c>
      <c r="I3976" s="43">
        <f>IF(INDEX(DarlBelegt,9)=0,0,IF(INDEX(DarlOhneTilgung,9)=1,IF(INDEX(DarlBindung,9)="",1,$G3976),IF($J3976&gt;0.005,1,0)))</f>
      </c>
      <c r="J3976" s="43">
        <f>IF($I3975=0,0,$R3975)</f>
      </c>
      <c r="K3976" s="43">
        <f>IF($I3976=0,0,IF(INDEX(DarlOhneTilgung,9)=1,0,IF(AND(INDEX(DarlTilgStart,9)&gt;0,$E3976=INDEX(DarlTilgStart,9)),$J3976*($H3976+INDEX(DarlTilgung,9))/100/12,IF(AND($G3976=0,$G3975=1),MAX($K3975,$J3976*($H3976+1)/100/12),$K3975))))</f>
      </c>
      <c r="L3976" s="43">
        <f>IF($I3976=0,0,$J3976*$H3976/100/12)</f>
      </c>
      <c r="M3976" s="43">
        <f>IF($I3976=0,0,IF(OR(INDEX(DarlOhneTilgung,9)=1,AND(INDEX(DarlTilgStart,9)&gt;0,$E3976&lt;INDEX(DarlTilgStart,9))),0,MIN(MAX(0,$K3976-$L3976),$J3976)))</f>
      </c>
      <c r="N3976" s="43">
        <f>IF($I3976=0,0,MIN(SUMIFS(SondBetrag,SondDarl,9,SondDatum,"&gt;="&amp;$E3976,SondDatum,"&lt;="&amp;EOMONTH($E3976,0)),$J3976-$M3976))</f>
      </c>
      <c r="O3976" s="43">
        <f>IF($I3976=0,0,INDEX(DarlErsatzRate,9))</f>
      </c>
      <c r="P3976" s="43">
        <f>IF($I3976=0,0,$Q3975*INDEX(DarlErsatzZins,9))</f>
      </c>
      <c r="Q3976" s="43">
        <f>IF($I3976=0,0,$Q3975+$P3976+$O3976)</f>
      </c>
      <c r="R3976" s="43">
        <f>IF($I3976=0,0,$J3976-$M3976-$N3976)</f>
      </c>
    </row>
    <row r="3977">
      <c r="A3977"/>
      <c r="B3977">
        <v>9</v>
      </c>
      <c r="C3977" s="43">
        <f>INDEX(DarlObj,9)</f>
      </c>
      <c r="D3977">
        <v>134</v>
      </c>
      <c r="E3977" s="51">
        <f>IF(INDEX(DarlBelegt,9)=0,0,EOMONTH(INDEX(DarlAuszahlung,9),133)+1)</f>
      </c>
      <c r="F3977" s="43">
        <f>IF($E3977=0,0,YEAR($E3977))</f>
      </c>
      <c r="G3977" s="43">
        <f>IF(INDEX(DarlBindung,9)="",1,IF($E3977&lt;=INDEX(DarlBindung,9),1,0))</f>
      </c>
      <c r="H3977" s="43">
        <f>IF($G3977=1,INDEX(DarlSollzins,9),INDEX(DarlAnschluss,9))</f>
      </c>
      <c r="I3977" s="43">
        <f>IF(INDEX(DarlBelegt,9)=0,0,IF(INDEX(DarlOhneTilgung,9)=1,IF(INDEX(DarlBindung,9)="",1,$G3977),IF($J3977&gt;0.005,1,0)))</f>
      </c>
      <c r="J3977" s="43">
        <f>IF($I3976=0,0,$R3976)</f>
      </c>
      <c r="K3977" s="43">
        <f>IF($I3977=0,0,IF(INDEX(DarlOhneTilgung,9)=1,0,IF(AND(INDEX(DarlTilgStart,9)&gt;0,$E3977=INDEX(DarlTilgStart,9)),$J3977*($H3977+INDEX(DarlTilgung,9))/100/12,IF(AND($G3977=0,$G3976=1),MAX($K3976,$J3977*($H3977+1)/100/12),$K3976))))</f>
      </c>
      <c r="L3977" s="43">
        <f>IF($I3977=0,0,$J3977*$H3977/100/12)</f>
      </c>
      <c r="M3977" s="43">
        <f>IF($I3977=0,0,IF(OR(INDEX(DarlOhneTilgung,9)=1,AND(INDEX(DarlTilgStart,9)&gt;0,$E3977&lt;INDEX(DarlTilgStart,9))),0,MIN(MAX(0,$K3977-$L3977),$J3977)))</f>
      </c>
      <c r="N3977" s="43">
        <f>IF($I3977=0,0,MIN(SUMIFS(SondBetrag,SondDarl,9,SondDatum,"&gt;="&amp;$E3977,SondDatum,"&lt;="&amp;EOMONTH($E3977,0)),$J3977-$M3977))</f>
      </c>
      <c r="O3977" s="43">
        <f>IF($I3977=0,0,INDEX(DarlErsatzRate,9))</f>
      </c>
      <c r="P3977" s="43">
        <f>IF($I3977=0,0,$Q3976*INDEX(DarlErsatzZins,9))</f>
      </c>
      <c r="Q3977" s="43">
        <f>IF($I3977=0,0,$Q3976+$P3977+$O3977)</f>
      </c>
      <c r="R3977" s="43">
        <f>IF($I3977=0,0,$J3977-$M3977-$N3977)</f>
      </c>
    </row>
    <row r="3978">
      <c r="A3978"/>
      <c r="B3978">
        <v>9</v>
      </c>
      <c r="C3978" s="43">
        <f>INDEX(DarlObj,9)</f>
      </c>
      <c r="D3978">
        <v>135</v>
      </c>
      <c r="E3978" s="51">
        <f>IF(INDEX(DarlBelegt,9)=0,0,EOMONTH(INDEX(DarlAuszahlung,9),134)+1)</f>
      </c>
      <c r="F3978" s="43">
        <f>IF($E3978=0,0,YEAR($E3978))</f>
      </c>
      <c r="G3978" s="43">
        <f>IF(INDEX(DarlBindung,9)="",1,IF($E3978&lt;=INDEX(DarlBindung,9),1,0))</f>
      </c>
      <c r="H3978" s="43">
        <f>IF($G3978=1,INDEX(DarlSollzins,9),INDEX(DarlAnschluss,9))</f>
      </c>
      <c r="I3978" s="43">
        <f>IF(INDEX(DarlBelegt,9)=0,0,IF(INDEX(DarlOhneTilgung,9)=1,IF(INDEX(DarlBindung,9)="",1,$G3978),IF($J3978&gt;0.005,1,0)))</f>
      </c>
      <c r="J3978" s="43">
        <f>IF($I3977=0,0,$R3977)</f>
      </c>
      <c r="K3978" s="43">
        <f>IF($I3978=0,0,IF(INDEX(DarlOhneTilgung,9)=1,0,IF(AND(INDEX(DarlTilgStart,9)&gt;0,$E3978=INDEX(DarlTilgStart,9)),$J3978*($H3978+INDEX(DarlTilgung,9))/100/12,IF(AND($G3978=0,$G3977=1),MAX($K3977,$J3978*($H3978+1)/100/12),$K3977))))</f>
      </c>
      <c r="L3978" s="43">
        <f>IF($I3978=0,0,$J3978*$H3978/100/12)</f>
      </c>
      <c r="M3978" s="43">
        <f>IF($I3978=0,0,IF(OR(INDEX(DarlOhneTilgung,9)=1,AND(INDEX(DarlTilgStart,9)&gt;0,$E3978&lt;INDEX(DarlTilgStart,9))),0,MIN(MAX(0,$K3978-$L3978),$J3978)))</f>
      </c>
      <c r="N3978" s="43">
        <f>IF($I3978=0,0,MIN(SUMIFS(SondBetrag,SondDarl,9,SondDatum,"&gt;="&amp;$E3978,SondDatum,"&lt;="&amp;EOMONTH($E3978,0)),$J3978-$M3978))</f>
      </c>
      <c r="O3978" s="43">
        <f>IF($I3978=0,0,INDEX(DarlErsatzRate,9))</f>
      </c>
      <c r="P3978" s="43">
        <f>IF($I3978=0,0,$Q3977*INDEX(DarlErsatzZins,9))</f>
      </c>
      <c r="Q3978" s="43">
        <f>IF($I3978=0,0,$Q3977+$P3978+$O3978)</f>
      </c>
      <c r="R3978" s="43">
        <f>IF($I3978=0,0,$J3978-$M3978-$N3978)</f>
      </c>
    </row>
    <row r="3979">
      <c r="A3979"/>
      <c r="B3979">
        <v>9</v>
      </c>
      <c r="C3979" s="43">
        <f>INDEX(DarlObj,9)</f>
      </c>
      <c r="D3979">
        <v>136</v>
      </c>
      <c r="E3979" s="51">
        <f>IF(INDEX(DarlBelegt,9)=0,0,EOMONTH(INDEX(DarlAuszahlung,9),135)+1)</f>
      </c>
      <c r="F3979" s="43">
        <f>IF($E3979=0,0,YEAR($E3979))</f>
      </c>
      <c r="G3979" s="43">
        <f>IF(INDEX(DarlBindung,9)="",1,IF($E3979&lt;=INDEX(DarlBindung,9),1,0))</f>
      </c>
      <c r="H3979" s="43">
        <f>IF($G3979=1,INDEX(DarlSollzins,9),INDEX(DarlAnschluss,9))</f>
      </c>
      <c r="I3979" s="43">
        <f>IF(INDEX(DarlBelegt,9)=0,0,IF(INDEX(DarlOhneTilgung,9)=1,IF(INDEX(DarlBindung,9)="",1,$G3979),IF($J3979&gt;0.005,1,0)))</f>
      </c>
      <c r="J3979" s="43">
        <f>IF($I3978=0,0,$R3978)</f>
      </c>
      <c r="K3979" s="43">
        <f>IF($I3979=0,0,IF(INDEX(DarlOhneTilgung,9)=1,0,IF(AND(INDEX(DarlTilgStart,9)&gt;0,$E3979=INDEX(DarlTilgStart,9)),$J3979*($H3979+INDEX(DarlTilgung,9))/100/12,IF(AND($G3979=0,$G3978=1),MAX($K3978,$J3979*($H3979+1)/100/12),$K3978))))</f>
      </c>
      <c r="L3979" s="43">
        <f>IF($I3979=0,0,$J3979*$H3979/100/12)</f>
      </c>
      <c r="M3979" s="43">
        <f>IF($I3979=0,0,IF(OR(INDEX(DarlOhneTilgung,9)=1,AND(INDEX(DarlTilgStart,9)&gt;0,$E3979&lt;INDEX(DarlTilgStart,9))),0,MIN(MAX(0,$K3979-$L3979),$J3979)))</f>
      </c>
      <c r="N3979" s="43">
        <f>IF($I3979=0,0,MIN(SUMIFS(SondBetrag,SondDarl,9,SondDatum,"&gt;="&amp;$E3979,SondDatum,"&lt;="&amp;EOMONTH($E3979,0)),$J3979-$M3979))</f>
      </c>
      <c r="O3979" s="43">
        <f>IF($I3979=0,0,INDEX(DarlErsatzRate,9))</f>
      </c>
      <c r="P3979" s="43">
        <f>IF($I3979=0,0,$Q3978*INDEX(DarlErsatzZins,9))</f>
      </c>
      <c r="Q3979" s="43">
        <f>IF($I3979=0,0,$Q3978+$P3979+$O3979)</f>
      </c>
      <c r="R3979" s="43">
        <f>IF($I3979=0,0,$J3979-$M3979-$N3979)</f>
      </c>
    </row>
    <row r="3980">
      <c r="A3980"/>
      <c r="B3980">
        <v>9</v>
      </c>
      <c r="C3980" s="43">
        <f>INDEX(DarlObj,9)</f>
      </c>
      <c r="D3980">
        <v>137</v>
      </c>
      <c r="E3980" s="51">
        <f>IF(INDEX(DarlBelegt,9)=0,0,EOMONTH(INDEX(DarlAuszahlung,9),136)+1)</f>
      </c>
      <c r="F3980" s="43">
        <f>IF($E3980=0,0,YEAR($E3980))</f>
      </c>
      <c r="G3980" s="43">
        <f>IF(INDEX(DarlBindung,9)="",1,IF($E3980&lt;=INDEX(DarlBindung,9),1,0))</f>
      </c>
      <c r="H3980" s="43">
        <f>IF($G3980=1,INDEX(DarlSollzins,9),INDEX(DarlAnschluss,9))</f>
      </c>
      <c r="I3980" s="43">
        <f>IF(INDEX(DarlBelegt,9)=0,0,IF(INDEX(DarlOhneTilgung,9)=1,IF(INDEX(DarlBindung,9)="",1,$G3980),IF($J3980&gt;0.005,1,0)))</f>
      </c>
      <c r="J3980" s="43">
        <f>IF($I3979=0,0,$R3979)</f>
      </c>
      <c r="K3980" s="43">
        <f>IF($I3980=0,0,IF(INDEX(DarlOhneTilgung,9)=1,0,IF(AND(INDEX(DarlTilgStart,9)&gt;0,$E3980=INDEX(DarlTilgStart,9)),$J3980*($H3980+INDEX(DarlTilgung,9))/100/12,IF(AND($G3980=0,$G3979=1),MAX($K3979,$J3980*($H3980+1)/100/12),$K3979))))</f>
      </c>
      <c r="L3980" s="43">
        <f>IF($I3980=0,0,$J3980*$H3980/100/12)</f>
      </c>
      <c r="M3980" s="43">
        <f>IF($I3980=0,0,IF(OR(INDEX(DarlOhneTilgung,9)=1,AND(INDEX(DarlTilgStart,9)&gt;0,$E3980&lt;INDEX(DarlTilgStart,9))),0,MIN(MAX(0,$K3980-$L3980),$J3980)))</f>
      </c>
      <c r="N3980" s="43">
        <f>IF($I3980=0,0,MIN(SUMIFS(SondBetrag,SondDarl,9,SondDatum,"&gt;="&amp;$E3980,SondDatum,"&lt;="&amp;EOMONTH($E3980,0)),$J3980-$M3980))</f>
      </c>
      <c r="O3980" s="43">
        <f>IF($I3980=0,0,INDEX(DarlErsatzRate,9))</f>
      </c>
      <c r="P3980" s="43">
        <f>IF($I3980=0,0,$Q3979*INDEX(DarlErsatzZins,9))</f>
      </c>
      <c r="Q3980" s="43">
        <f>IF($I3980=0,0,$Q3979+$P3980+$O3980)</f>
      </c>
      <c r="R3980" s="43">
        <f>IF($I3980=0,0,$J3980-$M3980-$N3980)</f>
      </c>
    </row>
    <row r="3981">
      <c r="A3981"/>
      <c r="B3981">
        <v>9</v>
      </c>
      <c r="C3981" s="43">
        <f>INDEX(DarlObj,9)</f>
      </c>
      <c r="D3981">
        <v>138</v>
      </c>
      <c r="E3981" s="51">
        <f>IF(INDEX(DarlBelegt,9)=0,0,EOMONTH(INDEX(DarlAuszahlung,9),137)+1)</f>
      </c>
      <c r="F3981" s="43">
        <f>IF($E3981=0,0,YEAR($E3981))</f>
      </c>
      <c r="G3981" s="43">
        <f>IF(INDEX(DarlBindung,9)="",1,IF($E3981&lt;=INDEX(DarlBindung,9),1,0))</f>
      </c>
      <c r="H3981" s="43">
        <f>IF($G3981=1,INDEX(DarlSollzins,9),INDEX(DarlAnschluss,9))</f>
      </c>
      <c r="I3981" s="43">
        <f>IF(INDEX(DarlBelegt,9)=0,0,IF(INDEX(DarlOhneTilgung,9)=1,IF(INDEX(DarlBindung,9)="",1,$G3981),IF($J3981&gt;0.005,1,0)))</f>
      </c>
      <c r="J3981" s="43">
        <f>IF($I3980=0,0,$R3980)</f>
      </c>
      <c r="K3981" s="43">
        <f>IF($I3981=0,0,IF(INDEX(DarlOhneTilgung,9)=1,0,IF(AND(INDEX(DarlTilgStart,9)&gt;0,$E3981=INDEX(DarlTilgStart,9)),$J3981*($H3981+INDEX(DarlTilgung,9))/100/12,IF(AND($G3981=0,$G3980=1),MAX($K3980,$J3981*($H3981+1)/100/12),$K3980))))</f>
      </c>
      <c r="L3981" s="43">
        <f>IF($I3981=0,0,$J3981*$H3981/100/12)</f>
      </c>
      <c r="M3981" s="43">
        <f>IF($I3981=0,0,IF(OR(INDEX(DarlOhneTilgung,9)=1,AND(INDEX(DarlTilgStart,9)&gt;0,$E3981&lt;INDEX(DarlTilgStart,9))),0,MIN(MAX(0,$K3981-$L3981),$J3981)))</f>
      </c>
      <c r="N3981" s="43">
        <f>IF($I3981=0,0,MIN(SUMIFS(SondBetrag,SondDarl,9,SondDatum,"&gt;="&amp;$E3981,SondDatum,"&lt;="&amp;EOMONTH($E3981,0)),$J3981-$M3981))</f>
      </c>
      <c r="O3981" s="43">
        <f>IF($I3981=0,0,INDEX(DarlErsatzRate,9))</f>
      </c>
      <c r="P3981" s="43">
        <f>IF($I3981=0,0,$Q3980*INDEX(DarlErsatzZins,9))</f>
      </c>
      <c r="Q3981" s="43">
        <f>IF($I3981=0,0,$Q3980+$P3981+$O3981)</f>
      </c>
      <c r="R3981" s="43">
        <f>IF($I3981=0,0,$J3981-$M3981-$N3981)</f>
      </c>
    </row>
    <row r="3982">
      <c r="A3982"/>
      <c r="B3982">
        <v>9</v>
      </c>
      <c r="C3982" s="43">
        <f>INDEX(DarlObj,9)</f>
      </c>
      <c r="D3982">
        <v>139</v>
      </c>
      <c r="E3982" s="51">
        <f>IF(INDEX(DarlBelegt,9)=0,0,EOMONTH(INDEX(DarlAuszahlung,9),138)+1)</f>
      </c>
      <c r="F3982" s="43">
        <f>IF($E3982=0,0,YEAR($E3982))</f>
      </c>
      <c r="G3982" s="43">
        <f>IF(INDEX(DarlBindung,9)="",1,IF($E3982&lt;=INDEX(DarlBindung,9),1,0))</f>
      </c>
      <c r="H3982" s="43">
        <f>IF($G3982=1,INDEX(DarlSollzins,9),INDEX(DarlAnschluss,9))</f>
      </c>
      <c r="I3982" s="43">
        <f>IF(INDEX(DarlBelegt,9)=0,0,IF(INDEX(DarlOhneTilgung,9)=1,IF(INDEX(DarlBindung,9)="",1,$G3982),IF($J3982&gt;0.005,1,0)))</f>
      </c>
      <c r="J3982" s="43">
        <f>IF($I3981=0,0,$R3981)</f>
      </c>
      <c r="K3982" s="43">
        <f>IF($I3982=0,0,IF(INDEX(DarlOhneTilgung,9)=1,0,IF(AND(INDEX(DarlTilgStart,9)&gt;0,$E3982=INDEX(DarlTilgStart,9)),$J3982*($H3982+INDEX(DarlTilgung,9))/100/12,IF(AND($G3982=0,$G3981=1),MAX($K3981,$J3982*($H3982+1)/100/12),$K3981))))</f>
      </c>
      <c r="L3982" s="43">
        <f>IF($I3982=0,0,$J3982*$H3982/100/12)</f>
      </c>
      <c r="M3982" s="43">
        <f>IF($I3982=0,0,IF(OR(INDEX(DarlOhneTilgung,9)=1,AND(INDEX(DarlTilgStart,9)&gt;0,$E3982&lt;INDEX(DarlTilgStart,9))),0,MIN(MAX(0,$K3982-$L3982),$J3982)))</f>
      </c>
      <c r="N3982" s="43">
        <f>IF($I3982=0,0,MIN(SUMIFS(SondBetrag,SondDarl,9,SondDatum,"&gt;="&amp;$E3982,SondDatum,"&lt;="&amp;EOMONTH($E3982,0)),$J3982-$M3982))</f>
      </c>
      <c r="O3982" s="43">
        <f>IF($I3982=0,0,INDEX(DarlErsatzRate,9))</f>
      </c>
      <c r="P3982" s="43">
        <f>IF($I3982=0,0,$Q3981*INDEX(DarlErsatzZins,9))</f>
      </c>
      <c r="Q3982" s="43">
        <f>IF($I3982=0,0,$Q3981+$P3982+$O3982)</f>
      </c>
      <c r="R3982" s="43">
        <f>IF($I3982=0,0,$J3982-$M3982-$N3982)</f>
      </c>
    </row>
    <row r="3983">
      <c r="A3983"/>
      <c r="B3983">
        <v>9</v>
      </c>
      <c r="C3983" s="43">
        <f>INDEX(DarlObj,9)</f>
      </c>
      <c r="D3983">
        <v>140</v>
      </c>
      <c r="E3983" s="51">
        <f>IF(INDEX(DarlBelegt,9)=0,0,EOMONTH(INDEX(DarlAuszahlung,9),139)+1)</f>
      </c>
      <c r="F3983" s="43">
        <f>IF($E3983=0,0,YEAR($E3983))</f>
      </c>
      <c r="G3983" s="43">
        <f>IF(INDEX(DarlBindung,9)="",1,IF($E3983&lt;=INDEX(DarlBindung,9),1,0))</f>
      </c>
      <c r="H3983" s="43">
        <f>IF($G3983=1,INDEX(DarlSollzins,9),INDEX(DarlAnschluss,9))</f>
      </c>
      <c r="I3983" s="43">
        <f>IF(INDEX(DarlBelegt,9)=0,0,IF(INDEX(DarlOhneTilgung,9)=1,IF(INDEX(DarlBindung,9)="",1,$G3983),IF($J3983&gt;0.005,1,0)))</f>
      </c>
      <c r="J3983" s="43">
        <f>IF($I3982=0,0,$R3982)</f>
      </c>
      <c r="K3983" s="43">
        <f>IF($I3983=0,0,IF(INDEX(DarlOhneTilgung,9)=1,0,IF(AND(INDEX(DarlTilgStart,9)&gt;0,$E3983=INDEX(DarlTilgStart,9)),$J3983*($H3983+INDEX(DarlTilgung,9))/100/12,IF(AND($G3983=0,$G3982=1),MAX($K3982,$J3983*($H3983+1)/100/12),$K3982))))</f>
      </c>
      <c r="L3983" s="43">
        <f>IF($I3983=0,0,$J3983*$H3983/100/12)</f>
      </c>
      <c r="M3983" s="43">
        <f>IF($I3983=0,0,IF(OR(INDEX(DarlOhneTilgung,9)=1,AND(INDEX(DarlTilgStart,9)&gt;0,$E3983&lt;INDEX(DarlTilgStart,9))),0,MIN(MAX(0,$K3983-$L3983),$J3983)))</f>
      </c>
      <c r="N3983" s="43">
        <f>IF($I3983=0,0,MIN(SUMIFS(SondBetrag,SondDarl,9,SondDatum,"&gt;="&amp;$E3983,SondDatum,"&lt;="&amp;EOMONTH($E3983,0)),$J3983-$M3983))</f>
      </c>
      <c r="O3983" s="43">
        <f>IF($I3983=0,0,INDEX(DarlErsatzRate,9))</f>
      </c>
      <c r="P3983" s="43">
        <f>IF($I3983=0,0,$Q3982*INDEX(DarlErsatzZins,9))</f>
      </c>
      <c r="Q3983" s="43">
        <f>IF($I3983=0,0,$Q3982+$P3983+$O3983)</f>
      </c>
      <c r="R3983" s="43">
        <f>IF($I3983=0,0,$J3983-$M3983-$N3983)</f>
      </c>
    </row>
    <row r="3984">
      <c r="A3984"/>
      <c r="B3984">
        <v>9</v>
      </c>
      <c r="C3984" s="43">
        <f>INDEX(DarlObj,9)</f>
      </c>
      <c r="D3984">
        <v>141</v>
      </c>
      <c r="E3984" s="51">
        <f>IF(INDEX(DarlBelegt,9)=0,0,EOMONTH(INDEX(DarlAuszahlung,9),140)+1)</f>
      </c>
      <c r="F3984" s="43">
        <f>IF($E3984=0,0,YEAR($E3984))</f>
      </c>
      <c r="G3984" s="43">
        <f>IF(INDEX(DarlBindung,9)="",1,IF($E3984&lt;=INDEX(DarlBindung,9),1,0))</f>
      </c>
      <c r="H3984" s="43">
        <f>IF($G3984=1,INDEX(DarlSollzins,9),INDEX(DarlAnschluss,9))</f>
      </c>
      <c r="I3984" s="43">
        <f>IF(INDEX(DarlBelegt,9)=0,0,IF(INDEX(DarlOhneTilgung,9)=1,IF(INDEX(DarlBindung,9)="",1,$G3984),IF($J3984&gt;0.005,1,0)))</f>
      </c>
      <c r="J3984" s="43">
        <f>IF($I3983=0,0,$R3983)</f>
      </c>
      <c r="K3984" s="43">
        <f>IF($I3984=0,0,IF(INDEX(DarlOhneTilgung,9)=1,0,IF(AND(INDEX(DarlTilgStart,9)&gt;0,$E3984=INDEX(DarlTilgStart,9)),$J3984*($H3984+INDEX(DarlTilgung,9))/100/12,IF(AND($G3984=0,$G3983=1),MAX($K3983,$J3984*($H3984+1)/100/12),$K3983))))</f>
      </c>
      <c r="L3984" s="43">
        <f>IF($I3984=0,0,$J3984*$H3984/100/12)</f>
      </c>
      <c r="M3984" s="43">
        <f>IF($I3984=0,0,IF(OR(INDEX(DarlOhneTilgung,9)=1,AND(INDEX(DarlTilgStart,9)&gt;0,$E3984&lt;INDEX(DarlTilgStart,9))),0,MIN(MAX(0,$K3984-$L3984),$J3984)))</f>
      </c>
      <c r="N3984" s="43">
        <f>IF($I3984=0,0,MIN(SUMIFS(SondBetrag,SondDarl,9,SondDatum,"&gt;="&amp;$E3984,SondDatum,"&lt;="&amp;EOMONTH($E3984,0)),$J3984-$M3984))</f>
      </c>
      <c r="O3984" s="43">
        <f>IF($I3984=0,0,INDEX(DarlErsatzRate,9))</f>
      </c>
      <c r="P3984" s="43">
        <f>IF($I3984=0,0,$Q3983*INDEX(DarlErsatzZins,9))</f>
      </c>
      <c r="Q3984" s="43">
        <f>IF($I3984=0,0,$Q3983+$P3984+$O3984)</f>
      </c>
      <c r="R3984" s="43">
        <f>IF($I3984=0,0,$J3984-$M3984-$N3984)</f>
      </c>
    </row>
    <row r="3985">
      <c r="A3985"/>
      <c r="B3985">
        <v>9</v>
      </c>
      <c r="C3985" s="43">
        <f>INDEX(DarlObj,9)</f>
      </c>
      <c r="D3985">
        <v>142</v>
      </c>
      <c r="E3985" s="51">
        <f>IF(INDEX(DarlBelegt,9)=0,0,EOMONTH(INDEX(DarlAuszahlung,9),141)+1)</f>
      </c>
      <c r="F3985" s="43">
        <f>IF($E3985=0,0,YEAR($E3985))</f>
      </c>
      <c r="G3985" s="43">
        <f>IF(INDEX(DarlBindung,9)="",1,IF($E3985&lt;=INDEX(DarlBindung,9),1,0))</f>
      </c>
      <c r="H3985" s="43">
        <f>IF($G3985=1,INDEX(DarlSollzins,9),INDEX(DarlAnschluss,9))</f>
      </c>
      <c r="I3985" s="43">
        <f>IF(INDEX(DarlBelegt,9)=0,0,IF(INDEX(DarlOhneTilgung,9)=1,IF(INDEX(DarlBindung,9)="",1,$G3985),IF($J3985&gt;0.005,1,0)))</f>
      </c>
      <c r="J3985" s="43">
        <f>IF($I3984=0,0,$R3984)</f>
      </c>
      <c r="K3985" s="43">
        <f>IF($I3985=0,0,IF(INDEX(DarlOhneTilgung,9)=1,0,IF(AND(INDEX(DarlTilgStart,9)&gt;0,$E3985=INDEX(DarlTilgStart,9)),$J3985*($H3985+INDEX(DarlTilgung,9))/100/12,IF(AND($G3985=0,$G3984=1),MAX($K3984,$J3985*($H3985+1)/100/12),$K3984))))</f>
      </c>
      <c r="L3985" s="43">
        <f>IF($I3985=0,0,$J3985*$H3985/100/12)</f>
      </c>
      <c r="M3985" s="43">
        <f>IF($I3985=0,0,IF(OR(INDEX(DarlOhneTilgung,9)=1,AND(INDEX(DarlTilgStart,9)&gt;0,$E3985&lt;INDEX(DarlTilgStart,9))),0,MIN(MAX(0,$K3985-$L3985),$J3985)))</f>
      </c>
      <c r="N3985" s="43">
        <f>IF($I3985=0,0,MIN(SUMIFS(SondBetrag,SondDarl,9,SondDatum,"&gt;="&amp;$E3985,SondDatum,"&lt;="&amp;EOMONTH($E3985,0)),$J3985-$M3985))</f>
      </c>
      <c r="O3985" s="43">
        <f>IF($I3985=0,0,INDEX(DarlErsatzRate,9))</f>
      </c>
      <c r="P3985" s="43">
        <f>IF($I3985=0,0,$Q3984*INDEX(DarlErsatzZins,9))</f>
      </c>
      <c r="Q3985" s="43">
        <f>IF($I3985=0,0,$Q3984+$P3985+$O3985)</f>
      </c>
      <c r="R3985" s="43">
        <f>IF($I3985=0,0,$J3985-$M3985-$N3985)</f>
      </c>
    </row>
    <row r="3986">
      <c r="A3986"/>
      <c r="B3986">
        <v>9</v>
      </c>
      <c r="C3986" s="43">
        <f>INDEX(DarlObj,9)</f>
      </c>
      <c r="D3986">
        <v>143</v>
      </c>
      <c r="E3986" s="51">
        <f>IF(INDEX(DarlBelegt,9)=0,0,EOMONTH(INDEX(DarlAuszahlung,9),142)+1)</f>
      </c>
      <c r="F3986" s="43">
        <f>IF($E3986=0,0,YEAR($E3986))</f>
      </c>
      <c r="G3986" s="43">
        <f>IF(INDEX(DarlBindung,9)="",1,IF($E3986&lt;=INDEX(DarlBindung,9),1,0))</f>
      </c>
      <c r="H3986" s="43">
        <f>IF($G3986=1,INDEX(DarlSollzins,9),INDEX(DarlAnschluss,9))</f>
      </c>
      <c r="I3986" s="43">
        <f>IF(INDEX(DarlBelegt,9)=0,0,IF(INDEX(DarlOhneTilgung,9)=1,IF(INDEX(DarlBindung,9)="",1,$G3986),IF($J3986&gt;0.005,1,0)))</f>
      </c>
      <c r="J3986" s="43">
        <f>IF($I3985=0,0,$R3985)</f>
      </c>
      <c r="K3986" s="43">
        <f>IF($I3986=0,0,IF(INDEX(DarlOhneTilgung,9)=1,0,IF(AND(INDEX(DarlTilgStart,9)&gt;0,$E3986=INDEX(DarlTilgStart,9)),$J3986*($H3986+INDEX(DarlTilgung,9))/100/12,IF(AND($G3986=0,$G3985=1),MAX($K3985,$J3986*($H3986+1)/100/12),$K3985))))</f>
      </c>
      <c r="L3986" s="43">
        <f>IF($I3986=0,0,$J3986*$H3986/100/12)</f>
      </c>
      <c r="M3986" s="43">
        <f>IF($I3986=0,0,IF(OR(INDEX(DarlOhneTilgung,9)=1,AND(INDEX(DarlTilgStart,9)&gt;0,$E3986&lt;INDEX(DarlTilgStart,9))),0,MIN(MAX(0,$K3986-$L3986),$J3986)))</f>
      </c>
      <c r="N3986" s="43">
        <f>IF($I3986=0,0,MIN(SUMIFS(SondBetrag,SondDarl,9,SondDatum,"&gt;="&amp;$E3986,SondDatum,"&lt;="&amp;EOMONTH($E3986,0)),$J3986-$M3986))</f>
      </c>
      <c r="O3986" s="43">
        <f>IF($I3986=0,0,INDEX(DarlErsatzRate,9))</f>
      </c>
      <c r="P3986" s="43">
        <f>IF($I3986=0,0,$Q3985*INDEX(DarlErsatzZins,9))</f>
      </c>
      <c r="Q3986" s="43">
        <f>IF($I3986=0,0,$Q3985+$P3986+$O3986)</f>
      </c>
      <c r="R3986" s="43">
        <f>IF($I3986=0,0,$J3986-$M3986-$N3986)</f>
      </c>
    </row>
    <row r="3987">
      <c r="A3987"/>
      <c r="B3987">
        <v>9</v>
      </c>
      <c r="C3987" s="43">
        <f>INDEX(DarlObj,9)</f>
      </c>
      <c r="D3987">
        <v>144</v>
      </c>
      <c r="E3987" s="51">
        <f>IF(INDEX(DarlBelegt,9)=0,0,EOMONTH(INDEX(DarlAuszahlung,9),143)+1)</f>
      </c>
      <c r="F3987" s="43">
        <f>IF($E3987=0,0,YEAR($E3987))</f>
      </c>
      <c r="G3987" s="43">
        <f>IF(INDEX(DarlBindung,9)="",1,IF($E3987&lt;=INDEX(DarlBindung,9),1,0))</f>
      </c>
      <c r="H3987" s="43">
        <f>IF($G3987=1,INDEX(DarlSollzins,9),INDEX(DarlAnschluss,9))</f>
      </c>
      <c r="I3987" s="43">
        <f>IF(INDEX(DarlBelegt,9)=0,0,IF(INDEX(DarlOhneTilgung,9)=1,IF(INDEX(DarlBindung,9)="",1,$G3987),IF($J3987&gt;0.005,1,0)))</f>
      </c>
      <c r="J3987" s="43">
        <f>IF($I3986=0,0,$R3986)</f>
      </c>
      <c r="K3987" s="43">
        <f>IF($I3987=0,0,IF(INDEX(DarlOhneTilgung,9)=1,0,IF(AND(INDEX(DarlTilgStart,9)&gt;0,$E3987=INDEX(DarlTilgStart,9)),$J3987*($H3987+INDEX(DarlTilgung,9))/100/12,IF(AND($G3987=0,$G3986=1),MAX($K3986,$J3987*($H3987+1)/100/12),$K3986))))</f>
      </c>
      <c r="L3987" s="43">
        <f>IF($I3987=0,0,$J3987*$H3987/100/12)</f>
      </c>
      <c r="M3987" s="43">
        <f>IF($I3987=0,0,IF(OR(INDEX(DarlOhneTilgung,9)=1,AND(INDEX(DarlTilgStart,9)&gt;0,$E3987&lt;INDEX(DarlTilgStart,9))),0,MIN(MAX(0,$K3987-$L3987),$J3987)))</f>
      </c>
      <c r="N3987" s="43">
        <f>IF($I3987=0,0,MIN(SUMIFS(SondBetrag,SondDarl,9,SondDatum,"&gt;="&amp;$E3987,SondDatum,"&lt;="&amp;EOMONTH($E3987,0)),$J3987-$M3987))</f>
      </c>
      <c r="O3987" s="43">
        <f>IF($I3987=0,0,INDEX(DarlErsatzRate,9))</f>
      </c>
      <c r="P3987" s="43">
        <f>IF($I3987=0,0,$Q3986*INDEX(DarlErsatzZins,9))</f>
      </c>
      <c r="Q3987" s="43">
        <f>IF($I3987=0,0,$Q3986+$P3987+$O3987)</f>
      </c>
      <c r="R3987" s="43">
        <f>IF($I3987=0,0,$J3987-$M3987-$N3987)</f>
      </c>
    </row>
    <row r="3988">
      <c r="A3988"/>
      <c r="B3988">
        <v>9</v>
      </c>
      <c r="C3988" s="43">
        <f>INDEX(DarlObj,9)</f>
      </c>
      <c r="D3988">
        <v>145</v>
      </c>
      <c r="E3988" s="51">
        <f>IF(INDEX(DarlBelegt,9)=0,0,EOMONTH(INDEX(DarlAuszahlung,9),144)+1)</f>
      </c>
      <c r="F3988" s="43">
        <f>IF($E3988=0,0,YEAR($E3988))</f>
      </c>
      <c r="G3988" s="43">
        <f>IF(INDEX(DarlBindung,9)="",1,IF($E3988&lt;=INDEX(DarlBindung,9),1,0))</f>
      </c>
      <c r="H3988" s="43">
        <f>IF($G3988=1,INDEX(DarlSollzins,9),INDEX(DarlAnschluss,9))</f>
      </c>
      <c r="I3988" s="43">
        <f>IF(INDEX(DarlBelegt,9)=0,0,IF(INDEX(DarlOhneTilgung,9)=1,IF(INDEX(DarlBindung,9)="",1,$G3988),IF($J3988&gt;0.005,1,0)))</f>
      </c>
      <c r="J3988" s="43">
        <f>IF($I3987=0,0,$R3987)</f>
      </c>
      <c r="K3988" s="43">
        <f>IF($I3988=0,0,IF(INDEX(DarlOhneTilgung,9)=1,0,IF(AND(INDEX(DarlTilgStart,9)&gt;0,$E3988=INDEX(DarlTilgStart,9)),$J3988*($H3988+INDEX(DarlTilgung,9))/100/12,IF(AND($G3988=0,$G3987=1),MAX($K3987,$J3988*($H3988+1)/100/12),$K3987))))</f>
      </c>
      <c r="L3988" s="43">
        <f>IF($I3988=0,0,$J3988*$H3988/100/12)</f>
      </c>
      <c r="M3988" s="43">
        <f>IF($I3988=0,0,IF(OR(INDEX(DarlOhneTilgung,9)=1,AND(INDEX(DarlTilgStart,9)&gt;0,$E3988&lt;INDEX(DarlTilgStart,9))),0,MIN(MAX(0,$K3988-$L3988),$J3988)))</f>
      </c>
      <c r="N3988" s="43">
        <f>IF($I3988=0,0,MIN(SUMIFS(SondBetrag,SondDarl,9,SondDatum,"&gt;="&amp;$E3988,SondDatum,"&lt;="&amp;EOMONTH($E3988,0)),$J3988-$M3988))</f>
      </c>
      <c r="O3988" s="43">
        <f>IF($I3988=0,0,INDEX(DarlErsatzRate,9))</f>
      </c>
      <c r="P3988" s="43">
        <f>IF($I3988=0,0,$Q3987*INDEX(DarlErsatzZins,9))</f>
      </c>
      <c r="Q3988" s="43">
        <f>IF($I3988=0,0,$Q3987+$P3988+$O3988)</f>
      </c>
      <c r="R3988" s="43">
        <f>IF($I3988=0,0,$J3988-$M3988-$N3988)</f>
      </c>
    </row>
    <row r="3989">
      <c r="A3989"/>
      <c r="B3989">
        <v>9</v>
      </c>
      <c r="C3989" s="43">
        <f>INDEX(DarlObj,9)</f>
      </c>
      <c r="D3989">
        <v>146</v>
      </c>
      <c r="E3989" s="51">
        <f>IF(INDEX(DarlBelegt,9)=0,0,EOMONTH(INDEX(DarlAuszahlung,9),145)+1)</f>
      </c>
      <c r="F3989" s="43">
        <f>IF($E3989=0,0,YEAR($E3989))</f>
      </c>
      <c r="G3989" s="43">
        <f>IF(INDEX(DarlBindung,9)="",1,IF($E3989&lt;=INDEX(DarlBindung,9),1,0))</f>
      </c>
      <c r="H3989" s="43">
        <f>IF($G3989=1,INDEX(DarlSollzins,9),INDEX(DarlAnschluss,9))</f>
      </c>
      <c r="I3989" s="43">
        <f>IF(INDEX(DarlBelegt,9)=0,0,IF(INDEX(DarlOhneTilgung,9)=1,IF(INDEX(DarlBindung,9)="",1,$G3989),IF($J3989&gt;0.005,1,0)))</f>
      </c>
      <c r="J3989" s="43">
        <f>IF($I3988=0,0,$R3988)</f>
      </c>
      <c r="K3989" s="43">
        <f>IF($I3989=0,0,IF(INDEX(DarlOhneTilgung,9)=1,0,IF(AND(INDEX(DarlTilgStart,9)&gt;0,$E3989=INDEX(DarlTilgStart,9)),$J3989*($H3989+INDEX(DarlTilgung,9))/100/12,IF(AND($G3989=0,$G3988=1),MAX($K3988,$J3989*($H3989+1)/100/12),$K3988))))</f>
      </c>
      <c r="L3989" s="43">
        <f>IF($I3989=0,0,$J3989*$H3989/100/12)</f>
      </c>
      <c r="M3989" s="43">
        <f>IF($I3989=0,0,IF(OR(INDEX(DarlOhneTilgung,9)=1,AND(INDEX(DarlTilgStart,9)&gt;0,$E3989&lt;INDEX(DarlTilgStart,9))),0,MIN(MAX(0,$K3989-$L3989),$J3989)))</f>
      </c>
      <c r="N3989" s="43">
        <f>IF($I3989=0,0,MIN(SUMIFS(SondBetrag,SondDarl,9,SondDatum,"&gt;="&amp;$E3989,SondDatum,"&lt;="&amp;EOMONTH($E3989,0)),$J3989-$M3989))</f>
      </c>
      <c r="O3989" s="43">
        <f>IF($I3989=0,0,INDEX(DarlErsatzRate,9))</f>
      </c>
      <c r="P3989" s="43">
        <f>IF($I3989=0,0,$Q3988*INDEX(DarlErsatzZins,9))</f>
      </c>
      <c r="Q3989" s="43">
        <f>IF($I3989=0,0,$Q3988+$P3989+$O3989)</f>
      </c>
      <c r="R3989" s="43">
        <f>IF($I3989=0,0,$J3989-$M3989-$N3989)</f>
      </c>
    </row>
    <row r="3990">
      <c r="A3990"/>
      <c r="B3990">
        <v>9</v>
      </c>
      <c r="C3990" s="43">
        <f>INDEX(DarlObj,9)</f>
      </c>
      <c r="D3990">
        <v>147</v>
      </c>
      <c r="E3990" s="51">
        <f>IF(INDEX(DarlBelegt,9)=0,0,EOMONTH(INDEX(DarlAuszahlung,9),146)+1)</f>
      </c>
      <c r="F3990" s="43">
        <f>IF($E3990=0,0,YEAR($E3990))</f>
      </c>
      <c r="G3990" s="43">
        <f>IF(INDEX(DarlBindung,9)="",1,IF($E3990&lt;=INDEX(DarlBindung,9),1,0))</f>
      </c>
      <c r="H3990" s="43">
        <f>IF($G3990=1,INDEX(DarlSollzins,9),INDEX(DarlAnschluss,9))</f>
      </c>
      <c r="I3990" s="43">
        <f>IF(INDEX(DarlBelegt,9)=0,0,IF(INDEX(DarlOhneTilgung,9)=1,IF(INDEX(DarlBindung,9)="",1,$G3990),IF($J3990&gt;0.005,1,0)))</f>
      </c>
      <c r="J3990" s="43">
        <f>IF($I3989=0,0,$R3989)</f>
      </c>
      <c r="K3990" s="43">
        <f>IF($I3990=0,0,IF(INDEX(DarlOhneTilgung,9)=1,0,IF(AND(INDEX(DarlTilgStart,9)&gt;0,$E3990=INDEX(DarlTilgStart,9)),$J3990*($H3990+INDEX(DarlTilgung,9))/100/12,IF(AND($G3990=0,$G3989=1),MAX($K3989,$J3990*($H3990+1)/100/12),$K3989))))</f>
      </c>
      <c r="L3990" s="43">
        <f>IF($I3990=0,0,$J3990*$H3990/100/12)</f>
      </c>
      <c r="M3990" s="43">
        <f>IF($I3990=0,0,IF(OR(INDEX(DarlOhneTilgung,9)=1,AND(INDEX(DarlTilgStart,9)&gt;0,$E3990&lt;INDEX(DarlTilgStart,9))),0,MIN(MAX(0,$K3990-$L3990),$J3990)))</f>
      </c>
      <c r="N3990" s="43">
        <f>IF($I3990=0,0,MIN(SUMIFS(SondBetrag,SondDarl,9,SondDatum,"&gt;="&amp;$E3990,SondDatum,"&lt;="&amp;EOMONTH($E3990,0)),$J3990-$M3990))</f>
      </c>
      <c r="O3990" s="43">
        <f>IF($I3990=0,0,INDEX(DarlErsatzRate,9))</f>
      </c>
      <c r="P3990" s="43">
        <f>IF($I3990=0,0,$Q3989*INDEX(DarlErsatzZins,9))</f>
      </c>
      <c r="Q3990" s="43">
        <f>IF($I3990=0,0,$Q3989+$P3990+$O3990)</f>
      </c>
      <c r="R3990" s="43">
        <f>IF($I3990=0,0,$J3990-$M3990-$N3990)</f>
      </c>
    </row>
    <row r="3991">
      <c r="A3991"/>
      <c r="B3991">
        <v>9</v>
      </c>
      <c r="C3991" s="43">
        <f>INDEX(DarlObj,9)</f>
      </c>
      <c r="D3991">
        <v>148</v>
      </c>
      <c r="E3991" s="51">
        <f>IF(INDEX(DarlBelegt,9)=0,0,EOMONTH(INDEX(DarlAuszahlung,9),147)+1)</f>
      </c>
      <c r="F3991" s="43">
        <f>IF($E3991=0,0,YEAR($E3991))</f>
      </c>
      <c r="G3991" s="43">
        <f>IF(INDEX(DarlBindung,9)="",1,IF($E3991&lt;=INDEX(DarlBindung,9),1,0))</f>
      </c>
      <c r="H3991" s="43">
        <f>IF($G3991=1,INDEX(DarlSollzins,9),INDEX(DarlAnschluss,9))</f>
      </c>
      <c r="I3991" s="43">
        <f>IF(INDEX(DarlBelegt,9)=0,0,IF(INDEX(DarlOhneTilgung,9)=1,IF(INDEX(DarlBindung,9)="",1,$G3991),IF($J3991&gt;0.005,1,0)))</f>
      </c>
      <c r="J3991" s="43">
        <f>IF($I3990=0,0,$R3990)</f>
      </c>
      <c r="K3991" s="43">
        <f>IF($I3991=0,0,IF(INDEX(DarlOhneTilgung,9)=1,0,IF(AND(INDEX(DarlTilgStart,9)&gt;0,$E3991=INDEX(DarlTilgStart,9)),$J3991*($H3991+INDEX(DarlTilgung,9))/100/12,IF(AND($G3991=0,$G3990=1),MAX($K3990,$J3991*($H3991+1)/100/12),$K3990))))</f>
      </c>
      <c r="L3991" s="43">
        <f>IF($I3991=0,0,$J3991*$H3991/100/12)</f>
      </c>
      <c r="M3991" s="43">
        <f>IF($I3991=0,0,IF(OR(INDEX(DarlOhneTilgung,9)=1,AND(INDEX(DarlTilgStart,9)&gt;0,$E3991&lt;INDEX(DarlTilgStart,9))),0,MIN(MAX(0,$K3991-$L3991),$J3991)))</f>
      </c>
      <c r="N3991" s="43">
        <f>IF($I3991=0,0,MIN(SUMIFS(SondBetrag,SondDarl,9,SondDatum,"&gt;="&amp;$E3991,SondDatum,"&lt;="&amp;EOMONTH($E3991,0)),$J3991-$M3991))</f>
      </c>
      <c r="O3991" s="43">
        <f>IF($I3991=0,0,INDEX(DarlErsatzRate,9))</f>
      </c>
      <c r="P3991" s="43">
        <f>IF($I3991=0,0,$Q3990*INDEX(DarlErsatzZins,9))</f>
      </c>
      <c r="Q3991" s="43">
        <f>IF($I3991=0,0,$Q3990+$P3991+$O3991)</f>
      </c>
      <c r="R3991" s="43">
        <f>IF($I3991=0,0,$J3991-$M3991-$N3991)</f>
      </c>
    </row>
    <row r="3992">
      <c r="A3992"/>
      <c r="B3992">
        <v>9</v>
      </c>
      <c r="C3992" s="43">
        <f>INDEX(DarlObj,9)</f>
      </c>
      <c r="D3992">
        <v>149</v>
      </c>
      <c r="E3992" s="51">
        <f>IF(INDEX(DarlBelegt,9)=0,0,EOMONTH(INDEX(DarlAuszahlung,9),148)+1)</f>
      </c>
      <c r="F3992" s="43">
        <f>IF($E3992=0,0,YEAR($E3992))</f>
      </c>
      <c r="G3992" s="43">
        <f>IF(INDEX(DarlBindung,9)="",1,IF($E3992&lt;=INDEX(DarlBindung,9),1,0))</f>
      </c>
      <c r="H3992" s="43">
        <f>IF($G3992=1,INDEX(DarlSollzins,9),INDEX(DarlAnschluss,9))</f>
      </c>
      <c r="I3992" s="43">
        <f>IF(INDEX(DarlBelegt,9)=0,0,IF(INDEX(DarlOhneTilgung,9)=1,IF(INDEX(DarlBindung,9)="",1,$G3992),IF($J3992&gt;0.005,1,0)))</f>
      </c>
      <c r="J3992" s="43">
        <f>IF($I3991=0,0,$R3991)</f>
      </c>
      <c r="K3992" s="43">
        <f>IF($I3992=0,0,IF(INDEX(DarlOhneTilgung,9)=1,0,IF(AND(INDEX(DarlTilgStart,9)&gt;0,$E3992=INDEX(DarlTilgStart,9)),$J3992*($H3992+INDEX(DarlTilgung,9))/100/12,IF(AND($G3992=0,$G3991=1),MAX($K3991,$J3992*($H3992+1)/100/12),$K3991))))</f>
      </c>
      <c r="L3992" s="43">
        <f>IF($I3992=0,0,$J3992*$H3992/100/12)</f>
      </c>
      <c r="M3992" s="43">
        <f>IF($I3992=0,0,IF(OR(INDEX(DarlOhneTilgung,9)=1,AND(INDEX(DarlTilgStart,9)&gt;0,$E3992&lt;INDEX(DarlTilgStart,9))),0,MIN(MAX(0,$K3992-$L3992),$J3992)))</f>
      </c>
      <c r="N3992" s="43">
        <f>IF($I3992=0,0,MIN(SUMIFS(SondBetrag,SondDarl,9,SondDatum,"&gt;="&amp;$E3992,SondDatum,"&lt;="&amp;EOMONTH($E3992,0)),$J3992-$M3992))</f>
      </c>
      <c r="O3992" s="43">
        <f>IF($I3992=0,0,INDEX(DarlErsatzRate,9))</f>
      </c>
      <c r="P3992" s="43">
        <f>IF($I3992=0,0,$Q3991*INDEX(DarlErsatzZins,9))</f>
      </c>
      <c r="Q3992" s="43">
        <f>IF($I3992=0,0,$Q3991+$P3992+$O3992)</f>
      </c>
      <c r="R3992" s="43">
        <f>IF($I3992=0,0,$J3992-$M3992-$N3992)</f>
      </c>
    </row>
    <row r="3993">
      <c r="A3993"/>
      <c r="B3993">
        <v>9</v>
      </c>
      <c r="C3993" s="43">
        <f>INDEX(DarlObj,9)</f>
      </c>
      <c r="D3993">
        <v>150</v>
      </c>
      <c r="E3993" s="51">
        <f>IF(INDEX(DarlBelegt,9)=0,0,EOMONTH(INDEX(DarlAuszahlung,9),149)+1)</f>
      </c>
      <c r="F3993" s="43">
        <f>IF($E3993=0,0,YEAR($E3993))</f>
      </c>
      <c r="G3993" s="43">
        <f>IF(INDEX(DarlBindung,9)="",1,IF($E3993&lt;=INDEX(DarlBindung,9),1,0))</f>
      </c>
      <c r="H3993" s="43">
        <f>IF($G3993=1,INDEX(DarlSollzins,9),INDEX(DarlAnschluss,9))</f>
      </c>
      <c r="I3993" s="43">
        <f>IF(INDEX(DarlBelegt,9)=0,0,IF(INDEX(DarlOhneTilgung,9)=1,IF(INDEX(DarlBindung,9)="",1,$G3993),IF($J3993&gt;0.005,1,0)))</f>
      </c>
      <c r="J3993" s="43">
        <f>IF($I3992=0,0,$R3992)</f>
      </c>
      <c r="K3993" s="43">
        <f>IF($I3993=0,0,IF(INDEX(DarlOhneTilgung,9)=1,0,IF(AND(INDEX(DarlTilgStart,9)&gt;0,$E3993=INDEX(DarlTilgStart,9)),$J3993*($H3993+INDEX(DarlTilgung,9))/100/12,IF(AND($G3993=0,$G3992=1),MAX($K3992,$J3993*($H3993+1)/100/12),$K3992))))</f>
      </c>
      <c r="L3993" s="43">
        <f>IF($I3993=0,0,$J3993*$H3993/100/12)</f>
      </c>
      <c r="M3993" s="43">
        <f>IF($I3993=0,0,IF(OR(INDEX(DarlOhneTilgung,9)=1,AND(INDEX(DarlTilgStart,9)&gt;0,$E3993&lt;INDEX(DarlTilgStart,9))),0,MIN(MAX(0,$K3993-$L3993),$J3993)))</f>
      </c>
      <c r="N3993" s="43">
        <f>IF($I3993=0,0,MIN(SUMIFS(SondBetrag,SondDarl,9,SondDatum,"&gt;="&amp;$E3993,SondDatum,"&lt;="&amp;EOMONTH($E3993,0)),$J3993-$M3993))</f>
      </c>
      <c r="O3993" s="43">
        <f>IF($I3993=0,0,INDEX(DarlErsatzRate,9))</f>
      </c>
      <c r="P3993" s="43">
        <f>IF($I3993=0,0,$Q3992*INDEX(DarlErsatzZins,9))</f>
      </c>
      <c r="Q3993" s="43">
        <f>IF($I3993=0,0,$Q3992+$P3993+$O3993)</f>
      </c>
      <c r="R3993" s="43">
        <f>IF($I3993=0,0,$J3993-$M3993-$N3993)</f>
      </c>
    </row>
    <row r="3994">
      <c r="A3994"/>
      <c r="B3994">
        <v>9</v>
      </c>
      <c r="C3994" s="43">
        <f>INDEX(DarlObj,9)</f>
      </c>
      <c r="D3994">
        <v>151</v>
      </c>
      <c r="E3994" s="51">
        <f>IF(INDEX(DarlBelegt,9)=0,0,EOMONTH(INDEX(DarlAuszahlung,9),150)+1)</f>
      </c>
      <c r="F3994" s="43">
        <f>IF($E3994=0,0,YEAR($E3994))</f>
      </c>
      <c r="G3994" s="43">
        <f>IF(INDEX(DarlBindung,9)="",1,IF($E3994&lt;=INDEX(DarlBindung,9),1,0))</f>
      </c>
      <c r="H3994" s="43">
        <f>IF($G3994=1,INDEX(DarlSollzins,9),INDEX(DarlAnschluss,9))</f>
      </c>
      <c r="I3994" s="43">
        <f>IF(INDEX(DarlBelegt,9)=0,0,IF(INDEX(DarlOhneTilgung,9)=1,IF(INDEX(DarlBindung,9)="",1,$G3994),IF($J3994&gt;0.005,1,0)))</f>
      </c>
      <c r="J3994" s="43">
        <f>IF($I3993=0,0,$R3993)</f>
      </c>
      <c r="K3994" s="43">
        <f>IF($I3994=0,0,IF(INDEX(DarlOhneTilgung,9)=1,0,IF(AND(INDEX(DarlTilgStart,9)&gt;0,$E3994=INDEX(DarlTilgStart,9)),$J3994*($H3994+INDEX(DarlTilgung,9))/100/12,IF(AND($G3994=0,$G3993=1),MAX($K3993,$J3994*($H3994+1)/100/12),$K3993))))</f>
      </c>
      <c r="L3994" s="43">
        <f>IF($I3994=0,0,$J3994*$H3994/100/12)</f>
      </c>
      <c r="M3994" s="43">
        <f>IF($I3994=0,0,IF(OR(INDEX(DarlOhneTilgung,9)=1,AND(INDEX(DarlTilgStart,9)&gt;0,$E3994&lt;INDEX(DarlTilgStart,9))),0,MIN(MAX(0,$K3994-$L3994),$J3994)))</f>
      </c>
      <c r="N3994" s="43">
        <f>IF($I3994=0,0,MIN(SUMIFS(SondBetrag,SondDarl,9,SondDatum,"&gt;="&amp;$E3994,SondDatum,"&lt;="&amp;EOMONTH($E3994,0)),$J3994-$M3994))</f>
      </c>
      <c r="O3994" s="43">
        <f>IF($I3994=0,0,INDEX(DarlErsatzRate,9))</f>
      </c>
      <c r="P3994" s="43">
        <f>IF($I3994=0,0,$Q3993*INDEX(DarlErsatzZins,9))</f>
      </c>
      <c r="Q3994" s="43">
        <f>IF($I3994=0,0,$Q3993+$P3994+$O3994)</f>
      </c>
      <c r="R3994" s="43">
        <f>IF($I3994=0,0,$J3994-$M3994-$N3994)</f>
      </c>
    </row>
    <row r="3995">
      <c r="A3995"/>
      <c r="B3995">
        <v>9</v>
      </c>
      <c r="C3995" s="43">
        <f>INDEX(DarlObj,9)</f>
      </c>
      <c r="D3995">
        <v>152</v>
      </c>
      <c r="E3995" s="51">
        <f>IF(INDEX(DarlBelegt,9)=0,0,EOMONTH(INDEX(DarlAuszahlung,9),151)+1)</f>
      </c>
      <c r="F3995" s="43">
        <f>IF($E3995=0,0,YEAR($E3995))</f>
      </c>
      <c r="G3995" s="43">
        <f>IF(INDEX(DarlBindung,9)="",1,IF($E3995&lt;=INDEX(DarlBindung,9),1,0))</f>
      </c>
      <c r="H3995" s="43">
        <f>IF($G3995=1,INDEX(DarlSollzins,9),INDEX(DarlAnschluss,9))</f>
      </c>
      <c r="I3995" s="43">
        <f>IF(INDEX(DarlBelegt,9)=0,0,IF(INDEX(DarlOhneTilgung,9)=1,IF(INDEX(DarlBindung,9)="",1,$G3995),IF($J3995&gt;0.005,1,0)))</f>
      </c>
      <c r="J3995" s="43">
        <f>IF($I3994=0,0,$R3994)</f>
      </c>
      <c r="K3995" s="43">
        <f>IF($I3995=0,0,IF(INDEX(DarlOhneTilgung,9)=1,0,IF(AND(INDEX(DarlTilgStart,9)&gt;0,$E3995=INDEX(DarlTilgStart,9)),$J3995*($H3995+INDEX(DarlTilgung,9))/100/12,IF(AND($G3995=0,$G3994=1),MAX($K3994,$J3995*($H3995+1)/100/12),$K3994))))</f>
      </c>
      <c r="L3995" s="43">
        <f>IF($I3995=0,0,$J3995*$H3995/100/12)</f>
      </c>
      <c r="M3995" s="43">
        <f>IF($I3995=0,0,IF(OR(INDEX(DarlOhneTilgung,9)=1,AND(INDEX(DarlTilgStart,9)&gt;0,$E3995&lt;INDEX(DarlTilgStart,9))),0,MIN(MAX(0,$K3995-$L3995),$J3995)))</f>
      </c>
      <c r="N3995" s="43">
        <f>IF($I3995=0,0,MIN(SUMIFS(SondBetrag,SondDarl,9,SondDatum,"&gt;="&amp;$E3995,SondDatum,"&lt;="&amp;EOMONTH($E3995,0)),$J3995-$M3995))</f>
      </c>
      <c r="O3995" s="43">
        <f>IF($I3995=0,0,INDEX(DarlErsatzRate,9))</f>
      </c>
      <c r="P3995" s="43">
        <f>IF($I3995=0,0,$Q3994*INDEX(DarlErsatzZins,9))</f>
      </c>
      <c r="Q3995" s="43">
        <f>IF($I3995=0,0,$Q3994+$P3995+$O3995)</f>
      </c>
      <c r="R3995" s="43">
        <f>IF($I3995=0,0,$J3995-$M3995-$N3995)</f>
      </c>
    </row>
    <row r="3996">
      <c r="A3996"/>
      <c r="B3996">
        <v>9</v>
      </c>
      <c r="C3996" s="43">
        <f>INDEX(DarlObj,9)</f>
      </c>
      <c r="D3996">
        <v>153</v>
      </c>
      <c r="E3996" s="51">
        <f>IF(INDEX(DarlBelegt,9)=0,0,EOMONTH(INDEX(DarlAuszahlung,9),152)+1)</f>
      </c>
      <c r="F3996" s="43">
        <f>IF($E3996=0,0,YEAR($E3996))</f>
      </c>
      <c r="G3996" s="43">
        <f>IF(INDEX(DarlBindung,9)="",1,IF($E3996&lt;=INDEX(DarlBindung,9),1,0))</f>
      </c>
      <c r="H3996" s="43">
        <f>IF($G3996=1,INDEX(DarlSollzins,9),INDEX(DarlAnschluss,9))</f>
      </c>
      <c r="I3996" s="43">
        <f>IF(INDEX(DarlBelegt,9)=0,0,IF(INDEX(DarlOhneTilgung,9)=1,IF(INDEX(DarlBindung,9)="",1,$G3996),IF($J3996&gt;0.005,1,0)))</f>
      </c>
      <c r="J3996" s="43">
        <f>IF($I3995=0,0,$R3995)</f>
      </c>
      <c r="K3996" s="43">
        <f>IF($I3996=0,0,IF(INDEX(DarlOhneTilgung,9)=1,0,IF(AND(INDEX(DarlTilgStart,9)&gt;0,$E3996=INDEX(DarlTilgStart,9)),$J3996*($H3996+INDEX(DarlTilgung,9))/100/12,IF(AND($G3996=0,$G3995=1),MAX($K3995,$J3996*($H3996+1)/100/12),$K3995))))</f>
      </c>
      <c r="L3996" s="43">
        <f>IF($I3996=0,0,$J3996*$H3996/100/12)</f>
      </c>
      <c r="M3996" s="43">
        <f>IF($I3996=0,0,IF(OR(INDEX(DarlOhneTilgung,9)=1,AND(INDEX(DarlTilgStart,9)&gt;0,$E3996&lt;INDEX(DarlTilgStart,9))),0,MIN(MAX(0,$K3996-$L3996),$J3996)))</f>
      </c>
      <c r="N3996" s="43">
        <f>IF($I3996=0,0,MIN(SUMIFS(SondBetrag,SondDarl,9,SondDatum,"&gt;="&amp;$E3996,SondDatum,"&lt;="&amp;EOMONTH($E3996,0)),$J3996-$M3996))</f>
      </c>
      <c r="O3996" s="43">
        <f>IF($I3996=0,0,INDEX(DarlErsatzRate,9))</f>
      </c>
      <c r="P3996" s="43">
        <f>IF($I3996=0,0,$Q3995*INDEX(DarlErsatzZins,9))</f>
      </c>
      <c r="Q3996" s="43">
        <f>IF($I3996=0,0,$Q3995+$P3996+$O3996)</f>
      </c>
      <c r="R3996" s="43">
        <f>IF($I3996=0,0,$J3996-$M3996-$N3996)</f>
      </c>
    </row>
    <row r="3997">
      <c r="A3997"/>
      <c r="B3997">
        <v>9</v>
      </c>
      <c r="C3997" s="43">
        <f>INDEX(DarlObj,9)</f>
      </c>
      <c r="D3997">
        <v>154</v>
      </c>
      <c r="E3997" s="51">
        <f>IF(INDEX(DarlBelegt,9)=0,0,EOMONTH(INDEX(DarlAuszahlung,9),153)+1)</f>
      </c>
      <c r="F3997" s="43">
        <f>IF($E3997=0,0,YEAR($E3997))</f>
      </c>
      <c r="G3997" s="43">
        <f>IF(INDEX(DarlBindung,9)="",1,IF($E3997&lt;=INDEX(DarlBindung,9),1,0))</f>
      </c>
      <c r="H3997" s="43">
        <f>IF($G3997=1,INDEX(DarlSollzins,9),INDEX(DarlAnschluss,9))</f>
      </c>
      <c r="I3997" s="43">
        <f>IF(INDEX(DarlBelegt,9)=0,0,IF(INDEX(DarlOhneTilgung,9)=1,IF(INDEX(DarlBindung,9)="",1,$G3997),IF($J3997&gt;0.005,1,0)))</f>
      </c>
      <c r="J3997" s="43">
        <f>IF($I3996=0,0,$R3996)</f>
      </c>
      <c r="K3997" s="43">
        <f>IF($I3997=0,0,IF(INDEX(DarlOhneTilgung,9)=1,0,IF(AND(INDEX(DarlTilgStart,9)&gt;0,$E3997=INDEX(DarlTilgStart,9)),$J3997*($H3997+INDEX(DarlTilgung,9))/100/12,IF(AND($G3997=0,$G3996=1),MAX($K3996,$J3997*($H3997+1)/100/12),$K3996))))</f>
      </c>
      <c r="L3997" s="43">
        <f>IF($I3997=0,0,$J3997*$H3997/100/12)</f>
      </c>
      <c r="M3997" s="43">
        <f>IF($I3997=0,0,IF(OR(INDEX(DarlOhneTilgung,9)=1,AND(INDEX(DarlTilgStart,9)&gt;0,$E3997&lt;INDEX(DarlTilgStart,9))),0,MIN(MAX(0,$K3997-$L3997),$J3997)))</f>
      </c>
      <c r="N3997" s="43">
        <f>IF($I3997=0,0,MIN(SUMIFS(SondBetrag,SondDarl,9,SondDatum,"&gt;="&amp;$E3997,SondDatum,"&lt;="&amp;EOMONTH($E3997,0)),$J3997-$M3997))</f>
      </c>
      <c r="O3997" s="43">
        <f>IF($I3997=0,0,INDEX(DarlErsatzRate,9))</f>
      </c>
      <c r="P3997" s="43">
        <f>IF($I3997=0,0,$Q3996*INDEX(DarlErsatzZins,9))</f>
      </c>
      <c r="Q3997" s="43">
        <f>IF($I3997=0,0,$Q3996+$P3997+$O3997)</f>
      </c>
      <c r="R3997" s="43">
        <f>IF($I3997=0,0,$J3997-$M3997-$N3997)</f>
      </c>
    </row>
    <row r="3998">
      <c r="A3998"/>
      <c r="B3998">
        <v>9</v>
      </c>
      <c r="C3998" s="43">
        <f>INDEX(DarlObj,9)</f>
      </c>
      <c r="D3998">
        <v>155</v>
      </c>
      <c r="E3998" s="51">
        <f>IF(INDEX(DarlBelegt,9)=0,0,EOMONTH(INDEX(DarlAuszahlung,9),154)+1)</f>
      </c>
      <c r="F3998" s="43">
        <f>IF($E3998=0,0,YEAR($E3998))</f>
      </c>
      <c r="G3998" s="43">
        <f>IF(INDEX(DarlBindung,9)="",1,IF($E3998&lt;=INDEX(DarlBindung,9),1,0))</f>
      </c>
      <c r="H3998" s="43">
        <f>IF($G3998=1,INDEX(DarlSollzins,9),INDEX(DarlAnschluss,9))</f>
      </c>
      <c r="I3998" s="43">
        <f>IF(INDEX(DarlBelegt,9)=0,0,IF(INDEX(DarlOhneTilgung,9)=1,IF(INDEX(DarlBindung,9)="",1,$G3998),IF($J3998&gt;0.005,1,0)))</f>
      </c>
      <c r="J3998" s="43">
        <f>IF($I3997=0,0,$R3997)</f>
      </c>
      <c r="K3998" s="43">
        <f>IF($I3998=0,0,IF(INDEX(DarlOhneTilgung,9)=1,0,IF(AND(INDEX(DarlTilgStart,9)&gt;0,$E3998=INDEX(DarlTilgStart,9)),$J3998*($H3998+INDEX(DarlTilgung,9))/100/12,IF(AND($G3998=0,$G3997=1),MAX($K3997,$J3998*($H3998+1)/100/12),$K3997))))</f>
      </c>
      <c r="L3998" s="43">
        <f>IF($I3998=0,0,$J3998*$H3998/100/12)</f>
      </c>
      <c r="M3998" s="43">
        <f>IF($I3998=0,0,IF(OR(INDEX(DarlOhneTilgung,9)=1,AND(INDEX(DarlTilgStart,9)&gt;0,$E3998&lt;INDEX(DarlTilgStart,9))),0,MIN(MAX(0,$K3998-$L3998),$J3998)))</f>
      </c>
      <c r="N3998" s="43">
        <f>IF($I3998=0,0,MIN(SUMIFS(SondBetrag,SondDarl,9,SondDatum,"&gt;="&amp;$E3998,SondDatum,"&lt;="&amp;EOMONTH($E3998,0)),$J3998-$M3998))</f>
      </c>
      <c r="O3998" s="43">
        <f>IF($I3998=0,0,INDEX(DarlErsatzRate,9))</f>
      </c>
      <c r="P3998" s="43">
        <f>IF($I3998=0,0,$Q3997*INDEX(DarlErsatzZins,9))</f>
      </c>
      <c r="Q3998" s="43">
        <f>IF($I3998=0,0,$Q3997+$P3998+$O3998)</f>
      </c>
      <c r="R3998" s="43">
        <f>IF($I3998=0,0,$J3998-$M3998-$N3998)</f>
      </c>
    </row>
    <row r="3999">
      <c r="A3999"/>
      <c r="B3999">
        <v>9</v>
      </c>
      <c r="C3999" s="43">
        <f>INDEX(DarlObj,9)</f>
      </c>
      <c r="D3999">
        <v>156</v>
      </c>
      <c r="E3999" s="51">
        <f>IF(INDEX(DarlBelegt,9)=0,0,EOMONTH(INDEX(DarlAuszahlung,9),155)+1)</f>
      </c>
      <c r="F3999" s="43">
        <f>IF($E3999=0,0,YEAR($E3999))</f>
      </c>
      <c r="G3999" s="43">
        <f>IF(INDEX(DarlBindung,9)="",1,IF($E3999&lt;=INDEX(DarlBindung,9),1,0))</f>
      </c>
      <c r="H3999" s="43">
        <f>IF($G3999=1,INDEX(DarlSollzins,9),INDEX(DarlAnschluss,9))</f>
      </c>
      <c r="I3999" s="43">
        <f>IF(INDEX(DarlBelegt,9)=0,0,IF(INDEX(DarlOhneTilgung,9)=1,IF(INDEX(DarlBindung,9)="",1,$G3999),IF($J3999&gt;0.005,1,0)))</f>
      </c>
      <c r="J3999" s="43">
        <f>IF($I3998=0,0,$R3998)</f>
      </c>
      <c r="K3999" s="43">
        <f>IF($I3999=0,0,IF(INDEX(DarlOhneTilgung,9)=1,0,IF(AND(INDEX(DarlTilgStart,9)&gt;0,$E3999=INDEX(DarlTilgStart,9)),$J3999*($H3999+INDEX(DarlTilgung,9))/100/12,IF(AND($G3999=0,$G3998=1),MAX($K3998,$J3999*($H3999+1)/100/12),$K3998))))</f>
      </c>
      <c r="L3999" s="43">
        <f>IF($I3999=0,0,$J3999*$H3999/100/12)</f>
      </c>
      <c r="M3999" s="43">
        <f>IF($I3999=0,0,IF(OR(INDEX(DarlOhneTilgung,9)=1,AND(INDEX(DarlTilgStart,9)&gt;0,$E3999&lt;INDEX(DarlTilgStart,9))),0,MIN(MAX(0,$K3999-$L3999),$J3999)))</f>
      </c>
      <c r="N3999" s="43">
        <f>IF($I3999=0,0,MIN(SUMIFS(SondBetrag,SondDarl,9,SondDatum,"&gt;="&amp;$E3999,SondDatum,"&lt;="&amp;EOMONTH($E3999,0)),$J3999-$M3999))</f>
      </c>
      <c r="O3999" s="43">
        <f>IF($I3999=0,0,INDEX(DarlErsatzRate,9))</f>
      </c>
      <c r="P3999" s="43">
        <f>IF($I3999=0,0,$Q3998*INDEX(DarlErsatzZins,9))</f>
      </c>
      <c r="Q3999" s="43">
        <f>IF($I3999=0,0,$Q3998+$P3999+$O3999)</f>
      </c>
      <c r="R3999" s="43">
        <f>IF($I3999=0,0,$J3999-$M3999-$N3999)</f>
      </c>
    </row>
    <row r="4000">
      <c r="A4000"/>
      <c r="B4000">
        <v>9</v>
      </c>
      <c r="C4000" s="43">
        <f>INDEX(DarlObj,9)</f>
      </c>
      <c r="D4000">
        <v>157</v>
      </c>
      <c r="E4000" s="51">
        <f>IF(INDEX(DarlBelegt,9)=0,0,EOMONTH(INDEX(DarlAuszahlung,9),156)+1)</f>
      </c>
      <c r="F4000" s="43">
        <f>IF($E4000=0,0,YEAR($E4000))</f>
      </c>
      <c r="G4000" s="43">
        <f>IF(INDEX(DarlBindung,9)="",1,IF($E4000&lt;=INDEX(DarlBindung,9),1,0))</f>
      </c>
      <c r="H4000" s="43">
        <f>IF($G4000=1,INDEX(DarlSollzins,9),INDEX(DarlAnschluss,9))</f>
      </c>
      <c r="I4000" s="43">
        <f>IF(INDEX(DarlBelegt,9)=0,0,IF(INDEX(DarlOhneTilgung,9)=1,IF(INDEX(DarlBindung,9)="",1,$G4000),IF($J4000&gt;0.005,1,0)))</f>
      </c>
      <c r="J4000" s="43">
        <f>IF($I3999=0,0,$R3999)</f>
      </c>
      <c r="K4000" s="43">
        <f>IF($I4000=0,0,IF(INDEX(DarlOhneTilgung,9)=1,0,IF(AND(INDEX(DarlTilgStart,9)&gt;0,$E4000=INDEX(DarlTilgStart,9)),$J4000*($H4000+INDEX(DarlTilgung,9))/100/12,IF(AND($G4000=0,$G3999=1),MAX($K3999,$J4000*($H4000+1)/100/12),$K3999))))</f>
      </c>
      <c r="L4000" s="43">
        <f>IF($I4000=0,0,$J4000*$H4000/100/12)</f>
      </c>
      <c r="M4000" s="43">
        <f>IF($I4000=0,0,IF(OR(INDEX(DarlOhneTilgung,9)=1,AND(INDEX(DarlTilgStart,9)&gt;0,$E4000&lt;INDEX(DarlTilgStart,9))),0,MIN(MAX(0,$K4000-$L4000),$J4000)))</f>
      </c>
      <c r="N4000" s="43">
        <f>IF($I4000=0,0,MIN(SUMIFS(SondBetrag,SondDarl,9,SondDatum,"&gt;="&amp;$E4000,SondDatum,"&lt;="&amp;EOMONTH($E4000,0)),$J4000-$M4000))</f>
      </c>
      <c r="O4000" s="43">
        <f>IF($I4000=0,0,INDEX(DarlErsatzRate,9))</f>
      </c>
      <c r="P4000" s="43">
        <f>IF($I4000=0,0,$Q3999*INDEX(DarlErsatzZins,9))</f>
      </c>
      <c r="Q4000" s="43">
        <f>IF($I4000=0,0,$Q3999+$P4000+$O4000)</f>
      </c>
      <c r="R4000" s="43">
        <f>IF($I4000=0,0,$J4000-$M4000-$N4000)</f>
      </c>
    </row>
    <row r="4001">
      <c r="A4001"/>
      <c r="B4001">
        <v>9</v>
      </c>
      <c r="C4001" s="43">
        <f>INDEX(DarlObj,9)</f>
      </c>
      <c r="D4001">
        <v>158</v>
      </c>
      <c r="E4001" s="51">
        <f>IF(INDEX(DarlBelegt,9)=0,0,EOMONTH(INDEX(DarlAuszahlung,9),157)+1)</f>
      </c>
      <c r="F4001" s="43">
        <f>IF($E4001=0,0,YEAR($E4001))</f>
      </c>
      <c r="G4001" s="43">
        <f>IF(INDEX(DarlBindung,9)="",1,IF($E4001&lt;=INDEX(DarlBindung,9),1,0))</f>
      </c>
      <c r="H4001" s="43">
        <f>IF($G4001=1,INDEX(DarlSollzins,9),INDEX(DarlAnschluss,9))</f>
      </c>
      <c r="I4001" s="43">
        <f>IF(INDEX(DarlBelegt,9)=0,0,IF(INDEX(DarlOhneTilgung,9)=1,IF(INDEX(DarlBindung,9)="",1,$G4001),IF($J4001&gt;0.005,1,0)))</f>
      </c>
      <c r="J4001" s="43">
        <f>IF($I4000=0,0,$R4000)</f>
      </c>
      <c r="K4001" s="43">
        <f>IF($I4001=0,0,IF(INDEX(DarlOhneTilgung,9)=1,0,IF(AND(INDEX(DarlTilgStart,9)&gt;0,$E4001=INDEX(DarlTilgStart,9)),$J4001*($H4001+INDEX(DarlTilgung,9))/100/12,IF(AND($G4001=0,$G4000=1),MAX($K4000,$J4001*($H4001+1)/100/12),$K4000))))</f>
      </c>
      <c r="L4001" s="43">
        <f>IF($I4001=0,0,$J4001*$H4001/100/12)</f>
      </c>
      <c r="M4001" s="43">
        <f>IF($I4001=0,0,IF(OR(INDEX(DarlOhneTilgung,9)=1,AND(INDEX(DarlTilgStart,9)&gt;0,$E4001&lt;INDEX(DarlTilgStart,9))),0,MIN(MAX(0,$K4001-$L4001),$J4001)))</f>
      </c>
      <c r="N4001" s="43">
        <f>IF($I4001=0,0,MIN(SUMIFS(SondBetrag,SondDarl,9,SondDatum,"&gt;="&amp;$E4001,SondDatum,"&lt;="&amp;EOMONTH($E4001,0)),$J4001-$M4001))</f>
      </c>
      <c r="O4001" s="43">
        <f>IF($I4001=0,0,INDEX(DarlErsatzRate,9))</f>
      </c>
      <c r="P4001" s="43">
        <f>IF($I4001=0,0,$Q4000*INDEX(DarlErsatzZins,9))</f>
      </c>
      <c r="Q4001" s="43">
        <f>IF($I4001=0,0,$Q4000+$P4001+$O4001)</f>
      </c>
      <c r="R4001" s="43">
        <f>IF($I4001=0,0,$J4001-$M4001-$N4001)</f>
      </c>
    </row>
    <row r="4002">
      <c r="A4002"/>
      <c r="B4002">
        <v>9</v>
      </c>
      <c r="C4002" s="43">
        <f>INDEX(DarlObj,9)</f>
      </c>
      <c r="D4002">
        <v>159</v>
      </c>
      <c r="E4002" s="51">
        <f>IF(INDEX(DarlBelegt,9)=0,0,EOMONTH(INDEX(DarlAuszahlung,9),158)+1)</f>
      </c>
      <c r="F4002" s="43">
        <f>IF($E4002=0,0,YEAR($E4002))</f>
      </c>
      <c r="G4002" s="43">
        <f>IF(INDEX(DarlBindung,9)="",1,IF($E4002&lt;=INDEX(DarlBindung,9),1,0))</f>
      </c>
      <c r="H4002" s="43">
        <f>IF($G4002=1,INDEX(DarlSollzins,9),INDEX(DarlAnschluss,9))</f>
      </c>
      <c r="I4002" s="43">
        <f>IF(INDEX(DarlBelegt,9)=0,0,IF(INDEX(DarlOhneTilgung,9)=1,IF(INDEX(DarlBindung,9)="",1,$G4002),IF($J4002&gt;0.005,1,0)))</f>
      </c>
      <c r="J4002" s="43">
        <f>IF($I4001=0,0,$R4001)</f>
      </c>
      <c r="K4002" s="43">
        <f>IF($I4002=0,0,IF(INDEX(DarlOhneTilgung,9)=1,0,IF(AND(INDEX(DarlTilgStart,9)&gt;0,$E4002=INDEX(DarlTilgStart,9)),$J4002*($H4002+INDEX(DarlTilgung,9))/100/12,IF(AND($G4002=0,$G4001=1),MAX($K4001,$J4002*($H4002+1)/100/12),$K4001))))</f>
      </c>
      <c r="L4002" s="43">
        <f>IF($I4002=0,0,$J4002*$H4002/100/12)</f>
      </c>
      <c r="M4002" s="43">
        <f>IF($I4002=0,0,IF(OR(INDEX(DarlOhneTilgung,9)=1,AND(INDEX(DarlTilgStart,9)&gt;0,$E4002&lt;INDEX(DarlTilgStart,9))),0,MIN(MAX(0,$K4002-$L4002),$J4002)))</f>
      </c>
      <c r="N4002" s="43">
        <f>IF($I4002=0,0,MIN(SUMIFS(SondBetrag,SondDarl,9,SondDatum,"&gt;="&amp;$E4002,SondDatum,"&lt;="&amp;EOMONTH($E4002,0)),$J4002-$M4002))</f>
      </c>
      <c r="O4002" s="43">
        <f>IF($I4002=0,0,INDEX(DarlErsatzRate,9))</f>
      </c>
      <c r="P4002" s="43">
        <f>IF($I4002=0,0,$Q4001*INDEX(DarlErsatzZins,9))</f>
      </c>
      <c r="Q4002" s="43">
        <f>IF($I4002=0,0,$Q4001+$P4002+$O4002)</f>
      </c>
      <c r="R4002" s="43">
        <f>IF($I4002=0,0,$J4002-$M4002-$N4002)</f>
      </c>
    </row>
    <row r="4003">
      <c r="A4003"/>
      <c r="B4003">
        <v>9</v>
      </c>
      <c r="C4003" s="43">
        <f>INDEX(DarlObj,9)</f>
      </c>
      <c r="D4003">
        <v>160</v>
      </c>
      <c r="E4003" s="51">
        <f>IF(INDEX(DarlBelegt,9)=0,0,EOMONTH(INDEX(DarlAuszahlung,9),159)+1)</f>
      </c>
      <c r="F4003" s="43">
        <f>IF($E4003=0,0,YEAR($E4003))</f>
      </c>
      <c r="G4003" s="43">
        <f>IF(INDEX(DarlBindung,9)="",1,IF($E4003&lt;=INDEX(DarlBindung,9),1,0))</f>
      </c>
      <c r="H4003" s="43">
        <f>IF($G4003=1,INDEX(DarlSollzins,9),INDEX(DarlAnschluss,9))</f>
      </c>
      <c r="I4003" s="43">
        <f>IF(INDEX(DarlBelegt,9)=0,0,IF(INDEX(DarlOhneTilgung,9)=1,IF(INDEX(DarlBindung,9)="",1,$G4003),IF($J4003&gt;0.005,1,0)))</f>
      </c>
      <c r="J4003" s="43">
        <f>IF($I4002=0,0,$R4002)</f>
      </c>
      <c r="K4003" s="43">
        <f>IF($I4003=0,0,IF(INDEX(DarlOhneTilgung,9)=1,0,IF(AND(INDEX(DarlTilgStart,9)&gt;0,$E4003=INDEX(DarlTilgStart,9)),$J4003*($H4003+INDEX(DarlTilgung,9))/100/12,IF(AND($G4003=0,$G4002=1),MAX($K4002,$J4003*($H4003+1)/100/12),$K4002))))</f>
      </c>
      <c r="L4003" s="43">
        <f>IF($I4003=0,0,$J4003*$H4003/100/12)</f>
      </c>
      <c r="M4003" s="43">
        <f>IF($I4003=0,0,IF(OR(INDEX(DarlOhneTilgung,9)=1,AND(INDEX(DarlTilgStart,9)&gt;0,$E4003&lt;INDEX(DarlTilgStart,9))),0,MIN(MAX(0,$K4003-$L4003),$J4003)))</f>
      </c>
      <c r="N4003" s="43">
        <f>IF($I4003=0,0,MIN(SUMIFS(SondBetrag,SondDarl,9,SondDatum,"&gt;="&amp;$E4003,SondDatum,"&lt;="&amp;EOMONTH($E4003,0)),$J4003-$M4003))</f>
      </c>
      <c r="O4003" s="43">
        <f>IF($I4003=0,0,INDEX(DarlErsatzRate,9))</f>
      </c>
      <c r="P4003" s="43">
        <f>IF($I4003=0,0,$Q4002*INDEX(DarlErsatzZins,9))</f>
      </c>
      <c r="Q4003" s="43">
        <f>IF($I4003=0,0,$Q4002+$P4003+$O4003)</f>
      </c>
      <c r="R4003" s="43">
        <f>IF($I4003=0,0,$J4003-$M4003-$N4003)</f>
      </c>
    </row>
    <row r="4004">
      <c r="A4004"/>
      <c r="B4004">
        <v>9</v>
      </c>
      <c r="C4004" s="43">
        <f>INDEX(DarlObj,9)</f>
      </c>
      <c r="D4004">
        <v>161</v>
      </c>
      <c r="E4004" s="51">
        <f>IF(INDEX(DarlBelegt,9)=0,0,EOMONTH(INDEX(DarlAuszahlung,9),160)+1)</f>
      </c>
      <c r="F4004" s="43">
        <f>IF($E4004=0,0,YEAR($E4004))</f>
      </c>
      <c r="G4004" s="43">
        <f>IF(INDEX(DarlBindung,9)="",1,IF($E4004&lt;=INDEX(DarlBindung,9),1,0))</f>
      </c>
      <c r="H4004" s="43">
        <f>IF($G4004=1,INDEX(DarlSollzins,9),INDEX(DarlAnschluss,9))</f>
      </c>
      <c r="I4004" s="43">
        <f>IF(INDEX(DarlBelegt,9)=0,0,IF(INDEX(DarlOhneTilgung,9)=1,IF(INDEX(DarlBindung,9)="",1,$G4004),IF($J4004&gt;0.005,1,0)))</f>
      </c>
      <c r="J4004" s="43">
        <f>IF($I4003=0,0,$R4003)</f>
      </c>
      <c r="K4004" s="43">
        <f>IF($I4004=0,0,IF(INDEX(DarlOhneTilgung,9)=1,0,IF(AND(INDEX(DarlTilgStart,9)&gt;0,$E4004=INDEX(DarlTilgStart,9)),$J4004*($H4004+INDEX(DarlTilgung,9))/100/12,IF(AND($G4004=0,$G4003=1),MAX($K4003,$J4004*($H4004+1)/100/12),$K4003))))</f>
      </c>
      <c r="L4004" s="43">
        <f>IF($I4004=0,0,$J4004*$H4004/100/12)</f>
      </c>
      <c r="M4004" s="43">
        <f>IF($I4004=0,0,IF(OR(INDEX(DarlOhneTilgung,9)=1,AND(INDEX(DarlTilgStart,9)&gt;0,$E4004&lt;INDEX(DarlTilgStart,9))),0,MIN(MAX(0,$K4004-$L4004),$J4004)))</f>
      </c>
      <c r="N4004" s="43">
        <f>IF($I4004=0,0,MIN(SUMIFS(SondBetrag,SondDarl,9,SondDatum,"&gt;="&amp;$E4004,SondDatum,"&lt;="&amp;EOMONTH($E4004,0)),$J4004-$M4004))</f>
      </c>
      <c r="O4004" s="43">
        <f>IF($I4004=0,0,INDEX(DarlErsatzRate,9))</f>
      </c>
      <c r="P4004" s="43">
        <f>IF($I4004=0,0,$Q4003*INDEX(DarlErsatzZins,9))</f>
      </c>
      <c r="Q4004" s="43">
        <f>IF($I4004=0,0,$Q4003+$P4004+$O4004)</f>
      </c>
      <c r="R4004" s="43">
        <f>IF($I4004=0,0,$J4004-$M4004-$N4004)</f>
      </c>
    </row>
    <row r="4005">
      <c r="A4005"/>
      <c r="B4005">
        <v>9</v>
      </c>
      <c r="C4005" s="43">
        <f>INDEX(DarlObj,9)</f>
      </c>
      <c r="D4005">
        <v>162</v>
      </c>
      <c r="E4005" s="51">
        <f>IF(INDEX(DarlBelegt,9)=0,0,EOMONTH(INDEX(DarlAuszahlung,9),161)+1)</f>
      </c>
      <c r="F4005" s="43">
        <f>IF($E4005=0,0,YEAR($E4005))</f>
      </c>
      <c r="G4005" s="43">
        <f>IF(INDEX(DarlBindung,9)="",1,IF($E4005&lt;=INDEX(DarlBindung,9),1,0))</f>
      </c>
      <c r="H4005" s="43">
        <f>IF($G4005=1,INDEX(DarlSollzins,9),INDEX(DarlAnschluss,9))</f>
      </c>
      <c r="I4005" s="43">
        <f>IF(INDEX(DarlBelegt,9)=0,0,IF(INDEX(DarlOhneTilgung,9)=1,IF(INDEX(DarlBindung,9)="",1,$G4005),IF($J4005&gt;0.005,1,0)))</f>
      </c>
      <c r="J4005" s="43">
        <f>IF($I4004=0,0,$R4004)</f>
      </c>
      <c r="K4005" s="43">
        <f>IF($I4005=0,0,IF(INDEX(DarlOhneTilgung,9)=1,0,IF(AND(INDEX(DarlTilgStart,9)&gt;0,$E4005=INDEX(DarlTilgStart,9)),$J4005*($H4005+INDEX(DarlTilgung,9))/100/12,IF(AND($G4005=0,$G4004=1),MAX($K4004,$J4005*($H4005+1)/100/12),$K4004))))</f>
      </c>
      <c r="L4005" s="43">
        <f>IF($I4005=0,0,$J4005*$H4005/100/12)</f>
      </c>
      <c r="M4005" s="43">
        <f>IF($I4005=0,0,IF(OR(INDEX(DarlOhneTilgung,9)=1,AND(INDEX(DarlTilgStart,9)&gt;0,$E4005&lt;INDEX(DarlTilgStart,9))),0,MIN(MAX(0,$K4005-$L4005),$J4005)))</f>
      </c>
      <c r="N4005" s="43">
        <f>IF($I4005=0,0,MIN(SUMIFS(SondBetrag,SondDarl,9,SondDatum,"&gt;="&amp;$E4005,SondDatum,"&lt;="&amp;EOMONTH($E4005,0)),$J4005-$M4005))</f>
      </c>
      <c r="O4005" s="43">
        <f>IF($I4005=0,0,INDEX(DarlErsatzRate,9))</f>
      </c>
      <c r="P4005" s="43">
        <f>IF($I4005=0,0,$Q4004*INDEX(DarlErsatzZins,9))</f>
      </c>
      <c r="Q4005" s="43">
        <f>IF($I4005=0,0,$Q4004+$P4005+$O4005)</f>
      </c>
      <c r="R4005" s="43">
        <f>IF($I4005=0,0,$J4005-$M4005-$N4005)</f>
      </c>
    </row>
    <row r="4006">
      <c r="A4006"/>
      <c r="B4006">
        <v>9</v>
      </c>
      <c r="C4006" s="43">
        <f>INDEX(DarlObj,9)</f>
      </c>
      <c r="D4006">
        <v>163</v>
      </c>
      <c r="E4006" s="51">
        <f>IF(INDEX(DarlBelegt,9)=0,0,EOMONTH(INDEX(DarlAuszahlung,9),162)+1)</f>
      </c>
      <c r="F4006" s="43">
        <f>IF($E4006=0,0,YEAR($E4006))</f>
      </c>
      <c r="G4006" s="43">
        <f>IF(INDEX(DarlBindung,9)="",1,IF($E4006&lt;=INDEX(DarlBindung,9),1,0))</f>
      </c>
      <c r="H4006" s="43">
        <f>IF($G4006=1,INDEX(DarlSollzins,9),INDEX(DarlAnschluss,9))</f>
      </c>
      <c r="I4006" s="43">
        <f>IF(INDEX(DarlBelegt,9)=0,0,IF(INDEX(DarlOhneTilgung,9)=1,IF(INDEX(DarlBindung,9)="",1,$G4006),IF($J4006&gt;0.005,1,0)))</f>
      </c>
      <c r="J4006" s="43">
        <f>IF($I4005=0,0,$R4005)</f>
      </c>
      <c r="K4006" s="43">
        <f>IF($I4006=0,0,IF(INDEX(DarlOhneTilgung,9)=1,0,IF(AND(INDEX(DarlTilgStart,9)&gt;0,$E4006=INDEX(DarlTilgStart,9)),$J4006*($H4006+INDEX(DarlTilgung,9))/100/12,IF(AND($G4006=0,$G4005=1),MAX($K4005,$J4006*($H4006+1)/100/12),$K4005))))</f>
      </c>
      <c r="L4006" s="43">
        <f>IF($I4006=0,0,$J4006*$H4006/100/12)</f>
      </c>
      <c r="M4006" s="43">
        <f>IF($I4006=0,0,IF(OR(INDEX(DarlOhneTilgung,9)=1,AND(INDEX(DarlTilgStart,9)&gt;0,$E4006&lt;INDEX(DarlTilgStart,9))),0,MIN(MAX(0,$K4006-$L4006),$J4006)))</f>
      </c>
      <c r="N4006" s="43">
        <f>IF($I4006=0,0,MIN(SUMIFS(SondBetrag,SondDarl,9,SondDatum,"&gt;="&amp;$E4006,SondDatum,"&lt;="&amp;EOMONTH($E4006,0)),$J4006-$M4006))</f>
      </c>
      <c r="O4006" s="43">
        <f>IF($I4006=0,0,INDEX(DarlErsatzRate,9))</f>
      </c>
      <c r="P4006" s="43">
        <f>IF($I4006=0,0,$Q4005*INDEX(DarlErsatzZins,9))</f>
      </c>
      <c r="Q4006" s="43">
        <f>IF($I4006=0,0,$Q4005+$P4006+$O4006)</f>
      </c>
      <c r="R4006" s="43">
        <f>IF($I4006=0,0,$J4006-$M4006-$N4006)</f>
      </c>
    </row>
    <row r="4007">
      <c r="A4007"/>
      <c r="B4007">
        <v>9</v>
      </c>
      <c r="C4007" s="43">
        <f>INDEX(DarlObj,9)</f>
      </c>
      <c r="D4007">
        <v>164</v>
      </c>
      <c r="E4007" s="51">
        <f>IF(INDEX(DarlBelegt,9)=0,0,EOMONTH(INDEX(DarlAuszahlung,9),163)+1)</f>
      </c>
      <c r="F4007" s="43">
        <f>IF($E4007=0,0,YEAR($E4007))</f>
      </c>
      <c r="G4007" s="43">
        <f>IF(INDEX(DarlBindung,9)="",1,IF($E4007&lt;=INDEX(DarlBindung,9),1,0))</f>
      </c>
      <c r="H4007" s="43">
        <f>IF($G4007=1,INDEX(DarlSollzins,9),INDEX(DarlAnschluss,9))</f>
      </c>
      <c r="I4007" s="43">
        <f>IF(INDEX(DarlBelegt,9)=0,0,IF(INDEX(DarlOhneTilgung,9)=1,IF(INDEX(DarlBindung,9)="",1,$G4007),IF($J4007&gt;0.005,1,0)))</f>
      </c>
      <c r="J4007" s="43">
        <f>IF($I4006=0,0,$R4006)</f>
      </c>
      <c r="K4007" s="43">
        <f>IF($I4007=0,0,IF(INDEX(DarlOhneTilgung,9)=1,0,IF(AND(INDEX(DarlTilgStart,9)&gt;0,$E4007=INDEX(DarlTilgStart,9)),$J4007*($H4007+INDEX(DarlTilgung,9))/100/12,IF(AND($G4007=0,$G4006=1),MAX($K4006,$J4007*($H4007+1)/100/12),$K4006))))</f>
      </c>
      <c r="L4007" s="43">
        <f>IF($I4007=0,0,$J4007*$H4007/100/12)</f>
      </c>
      <c r="M4007" s="43">
        <f>IF($I4007=0,0,IF(OR(INDEX(DarlOhneTilgung,9)=1,AND(INDEX(DarlTilgStart,9)&gt;0,$E4007&lt;INDEX(DarlTilgStart,9))),0,MIN(MAX(0,$K4007-$L4007),$J4007)))</f>
      </c>
      <c r="N4007" s="43">
        <f>IF($I4007=0,0,MIN(SUMIFS(SondBetrag,SondDarl,9,SondDatum,"&gt;="&amp;$E4007,SondDatum,"&lt;="&amp;EOMONTH($E4007,0)),$J4007-$M4007))</f>
      </c>
      <c r="O4007" s="43">
        <f>IF($I4007=0,0,INDEX(DarlErsatzRate,9))</f>
      </c>
      <c r="P4007" s="43">
        <f>IF($I4007=0,0,$Q4006*INDEX(DarlErsatzZins,9))</f>
      </c>
      <c r="Q4007" s="43">
        <f>IF($I4007=0,0,$Q4006+$P4007+$O4007)</f>
      </c>
      <c r="R4007" s="43">
        <f>IF($I4007=0,0,$J4007-$M4007-$N4007)</f>
      </c>
    </row>
    <row r="4008">
      <c r="A4008"/>
      <c r="B4008">
        <v>9</v>
      </c>
      <c r="C4008" s="43">
        <f>INDEX(DarlObj,9)</f>
      </c>
      <c r="D4008">
        <v>165</v>
      </c>
      <c r="E4008" s="51">
        <f>IF(INDEX(DarlBelegt,9)=0,0,EOMONTH(INDEX(DarlAuszahlung,9),164)+1)</f>
      </c>
      <c r="F4008" s="43">
        <f>IF($E4008=0,0,YEAR($E4008))</f>
      </c>
      <c r="G4008" s="43">
        <f>IF(INDEX(DarlBindung,9)="",1,IF($E4008&lt;=INDEX(DarlBindung,9),1,0))</f>
      </c>
      <c r="H4008" s="43">
        <f>IF($G4008=1,INDEX(DarlSollzins,9),INDEX(DarlAnschluss,9))</f>
      </c>
      <c r="I4008" s="43">
        <f>IF(INDEX(DarlBelegt,9)=0,0,IF(INDEX(DarlOhneTilgung,9)=1,IF(INDEX(DarlBindung,9)="",1,$G4008),IF($J4008&gt;0.005,1,0)))</f>
      </c>
      <c r="J4008" s="43">
        <f>IF($I4007=0,0,$R4007)</f>
      </c>
      <c r="K4008" s="43">
        <f>IF($I4008=0,0,IF(INDEX(DarlOhneTilgung,9)=1,0,IF(AND(INDEX(DarlTilgStart,9)&gt;0,$E4008=INDEX(DarlTilgStart,9)),$J4008*($H4008+INDEX(DarlTilgung,9))/100/12,IF(AND($G4008=0,$G4007=1),MAX($K4007,$J4008*($H4008+1)/100/12),$K4007))))</f>
      </c>
      <c r="L4008" s="43">
        <f>IF($I4008=0,0,$J4008*$H4008/100/12)</f>
      </c>
      <c r="M4008" s="43">
        <f>IF($I4008=0,0,IF(OR(INDEX(DarlOhneTilgung,9)=1,AND(INDEX(DarlTilgStart,9)&gt;0,$E4008&lt;INDEX(DarlTilgStart,9))),0,MIN(MAX(0,$K4008-$L4008),$J4008)))</f>
      </c>
      <c r="N4008" s="43">
        <f>IF($I4008=0,0,MIN(SUMIFS(SondBetrag,SondDarl,9,SondDatum,"&gt;="&amp;$E4008,SondDatum,"&lt;="&amp;EOMONTH($E4008,0)),$J4008-$M4008))</f>
      </c>
      <c r="O4008" s="43">
        <f>IF($I4008=0,0,INDEX(DarlErsatzRate,9))</f>
      </c>
      <c r="P4008" s="43">
        <f>IF($I4008=0,0,$Q4007*INDEX(DarlErsatzZins,9))</f>
      </c>
      <c r="Q4008" s="43">
        <f>IF($I4008=0,0,$Q4007+$P4008+$O4008)</f>
      </c>
      <c r="R4008" s="43">
        <f>IF($I4008=0,0,$J4008-$M4008-$N4008)</f>
      </c>
    </row>
    <row r="4009">
      <c r="A4009"/>
      <c r="B4009">
        <v>9</v>
      </c>
      <c r="C4009" s="43">
        <f>INDEX(DarlObj,9)</f>
      </c>
      <c r="D4009">
        <v>166</v>
      </c>
      <c r="E4009" s="51">
        <f>IF(INDEX(DarlBelegt,9)=0,0,EOMONTH(INDEX(DarlAuszahlung,9),165)+1)</f>
      </c>
      <c r="F4009" s="43">
        <f>IF($E4009=0,0,YEAR($E4009))</f>
      </c>
      <c r="G4009" s="43">
        <f>IF(INDEX(DarlBindung,9)="",1,IF($E4009&lt;=INDEX(DarlBindung,9),1,0))</f>
      </c>
      <c r="H4009" s="43">
        <f>IF($G4009=1,INDEX(DarlSollzins,9),INDEX(DarlAnschluss,9))</f>
      </c>
      <c r="I4009" s="43">
        <f>IF(INDEX(DarlBelegt,9)=0,0,IF(INDEX(DarlOhneTilgung,9)=1,IF(INDEX(DarlBindung,9)="",1,$G4009),IF($J4009&gt;0.005,1,0)))</f>
      </c>
      <c r="J4009" s="43">
        <f>IF($I4008=0,0,$R4008)</f>
      </c>
      <c r="K4009" s="43">
        <f>IF($I4009=0,0,IF(INDEX(DarlOhneTilgung,9)=1,0,IF(AND(INDEX(DarlTilgStart,9)&gt;0,$E4009=INDEX(DarlTilgStart,9)),$J4009*($H4009+INDEX(DarlTilgung,9))/100/12,IF(AND($G4009=0,$G4008=1),MAX($K4008,$J4009*($H4009+1)/100/12),$K4008))))</f>
      </c>
      <c r="L4009" s="43">
        <f>IF($I4009=0,0,$J4009*$H4009/100/12)</f>
      </c>
      <c r="M4009" s="43">
        <f>IF($I4009=0,0,IF(OR(INDEX(DarlOhneTilgung,9)=1,AND(INDEX(DarlTilgStart,9)&gt;0,$E4009&lt;INDEX(DarlTilgStart,9))),0,MIN(MAX(0,$K4009-$L4009),$J4009)))</f>
      </c>
      <c r="N4009" s="43">
        <f>IF($I4009=0,0,MIN(SUMIFS(SondBetrag,SondDarl,9,SondDatum,"&gt;="&amp;$E4009,SondDatum,"&lt;="&amp;EOMONTH($E4009,0)),$J4009-$M4009))</f>
      </c>
      <c r="O4009" s="43">
        <f>IF($I4009=0,0,INDEX(DarlErsatzRate,9))</f>
      </c>
      <c r="P4009" s="43">
        <f>IF($I4009=0,0,$Q4008*INDEX(DarlErsatzZins,9))</f>
      </c>
      <c r="Q4009" s="43">
        <f>IF($I4009=0,0,$Q4008+$P4009+$O4009)</f>
      </c>
      <c r="R4009" s="43">
        <f>IF($I4009=0,0,$J4009-$M4009-$N4009)</f>
      </c>
    </row>
    <row r="4010">
      <c r="A4010"/>
      <c r="B4010">
        <v>9</v>
      </c>
      <c r="C4010" s="43">
        <f>INDEX(DarlObj,9)</f>
      </c>
      <c r="D4010">
        <v>167</v>
      </c>
      <c r="E4010" s="51">
        <f>IF(INDEX(DarlBelegt,9)=0,0,EOMONTH(INDEX(DarlAuszahlung,9),166)+1)</f>
      </c>
      <c r="F4010" s="43">
        <f>IF($E4010=0,0,YEAR($E4010))</f>
      </c>
      <c r="G4010" s="43">
        <f>IF(INDEX(DarlBindung,9)="",1,IF($E4010&lt;=INDEX(DarlBindung,9),1,0))</f>
      </c>
      <c r="H4010" s="43">
        <f>IF($G4010=1,INDEX(DarlSollzins,9),INDEX(DarlAnschluss,9))</f>
      </c>
      <c r="I4010" s="43">
        <f>IF(INDEX(DarlBelegt,9)=0,0,IF(INDEX(DarlOhneTilgung,9)=1,IF(INDEX(DarlBindung,9)="",1,$G4010),IF($J4010&gt;0.005,1,0)))</f>
      </c>
      <c r="J4010" s="43">
        <f>IF($I4009=0,0,$R4009)</f>
      </c>
      <c r="K4010" s="43">
        <f>IF($I4010=0,0,IF(INDEX(DarlOhneTilgung,9)=1,0,IF(AND(INDEX(DarlTilgStart,9)&gt;0,$E4010=INDEX(DarlTilgStart,9)),$J4010*($H4010+INDEX(DarlTilgung,9))/100/12,IF(AND($G4010=0,$G4009=1),MAX($K4009,$J4010*($H4010+1)/100/12),$K4009))))</f>
      </c>
      <c r="L4010" s="43">
        <f>IF($I4010=0,0,$J4010*$H4010/100/12)</f>
      </c>
      <c r="M4010" s="43">
        <f>IF($I4010=0,0,IF(OR(INDEX(DarlOhneTilgung,9)=1,AND(INDEX(DarlTilgStart,9)&gt;0,$E4010&lt;INDEX(DarlTilgStart,9))),0,MIN(MAX(0,$K4010-$L4010),$J4010)))</f>
      </c>
      <c r="N4010" s="43">
        <f>IF($I4010=0,0,MIN(SUMIFS(SondBetrag,SondDarl,9,SondDatum,"&gt;="&amp;$E4010,SondDatum,"&lt;="&amp;EOMONTH($E4010,0)),$J4010-$M4010))</f>
      </c>
      <c r="O4010" s="43">
        <f>IF($I4010=0,0,INDEX(DarlErsatzRate,9))</f>
      </c>
      <c r="P4010" s="43">
        <f>IF($I4010=0,0,$Q4009*INDEX(DarlErsatzZins,9))</f>
      </c>
      <c r="Q4010" s="43">
        <f>IF($I4010=0,0,$Q4009+$P4010+$O4010)</f>
      </c>
      <c r="R4010" s="43">
        <f>IF($I4010=0,0,$J4010-$M4010-$N4010)</f>
      </c>
    </row>
    <row r="4011">
      <c r="A4011"/>
      <c r="B4011">
        <v>9</v>
      </c>
      <c r="C4011" s="43">
        <f>INDEX(DarlObj,9)</f>
      </c>
      <c r="D4011">
        <v>168</v>
      </c>
      <c r="E4011" s="51">
        <f>IF(INDEX(DarlBelegt,9)=0,0,EOMONTH(INDEX(DarlAuszahlung,9),167)+1)</f>
      </c>
      <c r="F4011" s="43">
        <f>IF($E4011=0,0,YEAR($E4011))</f>
      </c>
      <c r="G4011" s="43">
        <f>IF(INDEX(DarlBindung,9)="",1,IF($E4011&lt;=INDEX(DarlBindung,9),1,0))</f>
      </c>
      <c r="H4011" s="43">
        <f>IF($G4011=1,INDEX(DarlSollzins,9),INDEX(DarlAnschluss,9))</f>
      </c>
      <c r="I4011" s="43">
        <f>IF(INDEX(DarlBelegt,9)=0,0,IF(INDEX(DarlOhneTilgung,9)=1,IF(INDEX(DarlBindung,9)="",1,$G4011),IF($J4011&gt;0.005,1,0)))</f>
      </c>
      <c r="J4011" s="43">
        <f>IF($I4010=0,0,$R4010)</f>
      </c>
      <c r="K4011" s="43">
        <f>IF($I4011=0,0,IF(INDEX(DarlOhneTilgung,9)=1,0,IF(AND(INDEX(DarlTilgStart,9)&gt;0,$E4011=INDEX(DarlTilgStart,9)),$J4011*($H4011+INDEX(DarlTilgung,9))/100/12,IF(AND($G4011=0,$G4010=1),MAX($K4010,$J4011*($H4011+1)/100/12),$K4010))))</f>
      </c>
      <c r="L4011" s="43">
        <f>IF($I4011=0,0,$J4011*$H4011/100/12)</f>
      </c>
      <c r="M4011" s="43">
        <f>IF($I4011=0,0,IF(OR(INDEX(DarlOhneTilgung,9)=1,AND(INDEX(DarlTilgStart,9)&gt;0,$E4011&lt;INDEX(DarlTilgStart,9))),0,MIN(MAX(0,$K4011-$L4011),$J4011)))</f>
      </c>
      <c r="N4011" s="43">
        <f>IF($I4011=0,0,MIN(SUMIFS(SondBetrag,SondDarl,9,SondDatum,"&gt;="&amp;$E4011,SondDatum,"&lt;="&amp;EOMONTH($E4011,0)),$J4011-$M4011))</f>
      </c>
      <c r="O4011" s="43">
        <f>IF($I4011=0,0,INDEX(DarlErsatzRate,9))</f>
      </c>
      <c r="P4011" s="43">
        <f>IF($I4011=0,0,$Q4010*INDEX(DarlErsatzZins,9))</f>
      </c>
      <c r="Q4011" s="43">
        <f>IF($I4011=0,0,$Q4010+$P4011+$O4011)</f>
      </c>
      <c r="R4011" s="43">
        <f>IF($I4011=0,0,$J4011-$M4011-$N4011)</f>
      </c>
    </row>
    <row r="4012">
      <c r="A4012"/>
      <c r="B4012">
        <v>9</v>
      </c>
      <c r="C4012" s="43">
        <f>INDEX(DarlObj,9)</f>
      </c>
      <c r="D4012">
        <v>169</v>
      </c>
      <c r="E4012" s="51">
        <f>IF(INDEX(DarlBelegt,9)=0,0,EOMONTH(INDEX(DarlAuszahlung,9),168)+1)</f>
      </c>
      <c r="F4012" s="43">
        <f>IF($E4012=0,0,YEAR($E4012))</f>
      </c>
      <c r="G4012" s="43">
        <f>IF(INDEX(DarlBindung,9)="",1,IF($E4012&lt;=INDEX(DarlBindung,9),1,0))</f>
      </c>
      <c r="H4012" s="43">
        <f>IF($G4012=1,INDEX(DarlSollzins,9),INDEX(DarlAnschluss,9))</f>
      </c>
      <c r="I4012" s="43">
        <f>IF(INDEX(DarlBelegt,9)=0,0,IF(INDEX(DarlOhneTilgung,9)=1,IF(INDEX(DarlBindung,9)="",1,$G4012),IF($J4012&gt;0.005,1,0)))</f>
      </c>
      <c r="J4012" s="43">
        <f>IF($I4011=0,0,$R4011)</f>
      </c>
      <c r="K4012" s="43">
        <f>IF($I4012=0,0,IF(INDEX(DarlOhneTilgung,9)=1,0,IF(AND(INDEX(DarlTilgStart,9)&gt;0,$E4012=INDEX(DarlTilgStart,9)),$J4012*($H4012+INDEX(DarlTilgung,9))/100/12,IF(AND($G4012=0,$G4011=1),MAX($K4011,$J4012*($H4012+1)/100/12),$K4011))))</f>
      </c>
      <c r="L4012" s="43">
        <f>IF($I4012=0,0,$J4012*$H4012/100/12)</f>
      </c>
      <c r="M4012" s="43">
        <f>IF($I4012=0,0,IF(OR(INDEX(DarlOhneTilgung,9)=1,AND(INDEX(DarlTilgStart,9)&gt;0,$E4012&lt;INDEX(DarlTilgStart,9))),0,MIN(MAX(0,$K4012-$L4012),$J4012)))</f>
      </c>
      <c r="N4012" s="43">
        <f>IF($I4012=0,0,MIN(SUMIFS(SondBetrag,SondDarl,9,SondDatum,"&gt;="&amp;$E4012,SondDatum,"&lt;="&amp;EOMONTH($E4012,0)),$J4012-$M4012))</f>
      </c>
      <c r="O4012" s="43">
        <f>IF($I4012=0,0,INDEX(DarlErsatzRate,9))</f>
      </c>
      <c r="P4012" s="43">
        <f>IF($I4012=0,0,$Q4011*INDEX(DarlErsatzZins,9))</f>
      </c>
      <c r="Q4012" s="43">
        <f>IF($I4012=0,0,$Q4011+$P4012+$O4012)</f>
      </c>
      <c r="R4012" s="43">
        <f>IF($I4012=0,0,$J4012-$M4012-$N4012)</f>
      </c>
    </row>
    <row r="4013">
      <c r="A4013"/>
      <c r="B4013">
        <v>9</v>
      </c>
      <c r="C4013" s="43">
        <f>INDEX(DarlObj,9)</f>
      </c>
      <c r="D4013">
        <v>170</v>
      </c>
      <c r="E4013" s="51">
        <f>IF(INDEX(DarlBelegt,9)=0,0,EOMONTH(INDEX(DarlAuszahlung,9),169)+1)</f>
      </c>
      <c r="F4013" s="43">
        <f>IF($E4013=0,0,YEAR($E4013))</f>
      </c>
      <c r="G4013" s="43">
        <f>IF(INDEX(DarlBindung,9)="",1,IF($E4013&lt;=INDEX(DarlBindung,9),1,0))</f>
      </c>
      <c r="H4013" s="43">
        <f>IF($G4013=1,INDEX(DarlSollzins,9),INDEX(DarlAnschluss,9))</f>
      </c>
      <c r="I4013" s="43">
        <f>IF(INDEX(DarlBelegt,9)=0,0,IF(INDEX(DarlOhneTilgung,9)=1,IF(INDEX(DarlBindung,9)="",1,$G4013),IF($J4013&gt;0.005,1,0)))</f>
      </c>
      <c r="J4013" s="43">
        <f>IF($I4012=0,0,$R4012)</f>
      </c>
      <c r="K4013" s="43">
        <f>IF($I4013=0,0,IF(INDEX(DarlOhneTilgung,9)=1,0,IF(AND(INDEX(DarlTilgStart,9)&gt;0,$E4013=INDEX(DarlTilgStart,9)),$J4013*($H4013+INDEX(DarlTilgung,9))/100/12,IF(AND($G4013=0,$G4012=1),MAX($K4012,$J4013*($H4013+1)/100/12),$K4012))))</f>
      </c>
      <c r="L4013" s="43">
        <f>IF($I4013=0,0,$J4013*$H4013/100/12)</f>
      </c>
      <c r="M4013" s="43">
        <f>IF($I4013=0,0,IF(OR(INDEX(DarlOhneTilgung,9)=1,AND(INDEX(DarlTilgStart,9)&gt;0,$E4013&lt;INDEX(DarlTilgStart,9))),0,MIN(MAX(0,$K4013-$L4013),$J4013)))</f>
      </c>
      <c r="N4013" s="43">
        <f>IF($I4013=0,0,MIN(SUMIFS(SondBetrag,SondDarl,9,SondDatum,"&gt;="&amp;$E4013,SondDatum,"&lt;="&amp;EOMONTH($E4013,0)),$J4013-$M4013))</f>
      </c>
      <c r="O4013" s="43">
        <f>IF($I4013=0,0,INDEX(DarlErsatzRate,9))</f>
      </c>
      <c r="P4013" s="43">
        <f>IF($I4013=0,0,$Q4012*INDEX(DarlErsatzZins,9))</f>
      </c>
      <c r="Q4013" s="43">
        <f>IF($I4013=0,0,$Q4012+$P4013+$O4013)</f>
      </c>
      <c r="R4013" s="43">
        <f>IF($I4013=0,0,$J4013-$M4013-$N4013)</f>
      </c>
    </row>
    <row r="4014">
      <c r="A4014"/>
      <c r="B4014">
        <v>9</v>
      </c>
      <c r="C4014" s="43">
        <f>INDEX(DarlObj,9)</f>
      </c>
      <c r="D4014">
        <v>171</v>
      </c>
      <c r="E4014" s="51">
        <f>IF(INDEX(DarlBelegt,9)=0,0,EOMONTH(INDEX(DarlAuszahlung,9),170)+1)</f>
      </c>
      <c r="F4014" s="43">
        <f>IF($E4014=0,0,YEAR($E4014))</f>
      </c>
      <c r="G4014" s="43">
        <f>IF(INDEX(DarlBindung,9)="",1,IF($E4014&lt;=INDEX(DarlBindung,9),1,0))</f>
      </c>
      <c r="H4014" s="43">
        <f>IF($G4014=1,INDEX(DarlSollzins,9),INDEX(DarlAnschluss,9))</f>
      </c>
      <c r="I4014" s="43">
        <f>IF(INDEX(DarlBelegt,9)=0,0,IF(INDEX(DarlOhneTilgung,9)=1,IF(INDEX(DarlBindung,9)="",1,$G4014),IF($J4014&gt;0.005,1,0)))</f>
      </c>
      <c r="J4014" s="43">
        <f>IF($I4013=0,0,$R4013)</f>
      </c>
      <c r="K4014" s="43">
        <f>IF($I4014=0,0,IF(INDEX(DarlOhneTilgung,9)=1,0,IF(AND(INDEX(DarlTilgStart,9)&gt;0,$E4014=INDEX(DarlTilgStart,9)),$J4014*($H4014+INDEX(DarlTilgung,9))/100/12,IF(AND($G4014=0,$G4013=1),MAX($K4013,$J4014*($H4014+1)/100/12),$K4013))))</f>
      </c>
      <c r="L4014" s="43">
        <f>IF($I4014=0,0,$J4014*$H4014/100/12)</f>
      </c>
      <c r="M4014" s="43">
        <f>IF($I4014=0,0,IF(OR(INDEX(DarlOhneTilgung,9)=1,AND(INDEX(DarlTilgStart,9)&gt;0,$E4014&lt;INDEX(DarlTilgStart,9))),0,MIN(MAX(0,$K4014-$L4014),$J4014)))</f>
      </c>
      <c r="N4014" s="43">
        <f>IF($I4014=0,0,MIN(SUMIFS(SondBetrag,SondDarl,9,SondDatum,"&gt;="&amp;$E4014,SondDatum,"&lt;="&amp;EOMONTH($E4014,0)),$J4014-$M4014))</f>
      </c>
      <c r="O4014" s="43">
        <f>IF($I4014=0,0,INDEX(DarlErsatzRate,9))</f>
      </c>
      <c r="P4014" s="43">
        <f>IF($I4014=0,0,$Q4013*INDEX(DarlErsatzZins,9))</f>
      </c>
      <c r="Q4014" s="43">
        <f>IF($I4014=0,0,$Q4013+$P4014+$O4014)</f>
      </c>
      <c r="R4014" s="43">
        <f>IF($I4014=0,0,$J4014-$M4014-$N4014)</f>
      </c>
    </row>
    <row r="4015">
      <c r="A4015"/>
      <c r="B4015">
        <v>9</v>
      </c>
      <c r="C4015" s="43">
        <f>INDEX(DarlObj,9)</f>
      </c>
      <c r="D4015">
        <v>172</v>
      </c>
      <c r="E4015" s="51">
        <f>IF(INDEX(DarlBelegt,9)=0,0,EOMONTH(INDEX(DarlAuszahlung,9),171)+1)</f>
      </c>
      <c r="F4015" s="43">
        <f>IF($E4015=0,0,YEAR($E4015))</f>
      </c>
      <c r="G4015" s="43">
        <f>IF(INDEX(DarlBindung,9)="",1,IF($E4015&lt;=INDEX(DarlBindung,9),1,0))</f>
      </c>
      <c r="H4015" s="43">
        <f>IF($G4015=1,INDEX(DarlSollzins,9),INDEX(DarlAnschluss,9))</f>
      </c>
      <c r="I4015" s="43">
        <f>IF(INDEX(DarlBelegt,9)=0,0,IF(INDEX(DarlOhneTilgung,9)=1,IF(INDEX(DarlBindung,9)="",1,$G4015),IF($J4015&gt;0.005,1,0)))</f>
      </c>
      <c r="J4015" s="43">
        <f>IF($I4014=0,0,$R4014)</f>
      </c>
      <c r="K4015" s="43">
        <f>IF($I4015=0,0,IF(INDEX(DarlOhneTilgung,9)=1,0,IF(AND(INDEX(DarlTilgStart,9)&gt;0,$E4015=INDEX(DarlTilgStart,9)),$J4015*($H4015+INDEX(DarlTilgung,9))/100/12,IF(AND($G4015=0,$G4014=1),MAX($K4014,$J4015*($H4015+1)/100/12),$K4014))))</f>
      </c>
      <c r="L4015" s="43">
        <f>IF($I4015=0,0,$J4015*$H4015/100/12)</f>
      </c>
      <c r="M4015" s="43">
        <f>IF($I4015=0,0,IF(OR(INDEX(DarlOhneTilgung,9)=1,AND(INDEX(DarlTilgStart,9)&gt;0,$E4015&lt;INDEX(DarlTilgStart,9))),0,MIN(MAX(0,$K4015-$L4015),$J4015)))</f>
      </c>
      <c r="N4015" s="43">
        <f>IF($I4015=0,0,MIN(SUMIFS(SondBetrag,SondDarl,9,SondDatum,"&gt;="&amp;$E4015,SondDatum,"&lt;="&amp;EOMONTH($E4015,0)),$J4015-$M4015))</f>
      </c>
      <c r="O4015" s="43">
        <f>IF($I4015=0,0,INDEX(DarlErsatzRate,9))</f>
      </c>
      <c r="P4015" s="43">
        <f>IF($I4015=0,0,$Q4014*INDEX(DarlErsatzZins,9))</f>
      </c>
      <c r="Q4015" s="43">
        <f>IF($I4015=0,0,$Q4014+$P4015+$O4015)</f>
      </c>
      <c r="R4015" s="43">
        <f>IF($I4015=0,0,$J4015-$M4015-$N4015)</f>
      </c>
    </row>
    <row r="4016">
      <c r="A4016"/>
      <c r="B4016">
        <v>9</v>
      </c>
      <c r="C4016" s="43">
        <f>INDEX(DarlObj,9)</f>
      </c>
      <c r="D4016">
        <v>173</v>
      </c>
      <c r="E4016" s="51">
        <f>IF(INDEX(DarlBelegt,9)=0,0,EOMONTH(INDEX(DarlAuszahlung,9),172)+1)</f>
      </c>
      <c r="F4016" s="43">
        <f>IF($E4016=0,0,YEAR($E4016))</f>
      </c>
      <c r="G4016" s="43">
        <f>IF(INDEX(DarlBindung,9)="",1,IF($E4016&lt;=INDEX(DarlBindung,9),1,0))</f>
      </c>
      <c r="H4016" s="43">
        <f>IF($G4016=1,INDEX(DarlSollzins,9),INDEX(DarlAnschluss,9))</f>
      </c>
      <c r="I4016" s="43">
        <f>IF(INDEX(DarlBelegt,9)=0,0,IF(INDEX(DarlOhneTilgung,9)=1,IF(INDEX(DarlBindung,9)="",1,$G4016),IF($J4016&gt;0.005,1,0)))</f>
      </c>
      <c r="J4016" s="43">
        <f>IF($I4015=0,0,$R4015)</f>
      </c>
      <c r="K4016" s="43">
        <f>IF($I4016=0,0,IF(INDEX(DarlOhneTilgung,9)=1,0,IF(AND(INDEX(DarlTilgStart,9)&gt;0,$E4016=INDEX(DarlTilgStart,9)),$J4016*($H4016+INDEX(DarlTilgung,9))/100/12,IF(AND($G4016=0,$G4015=1),MAX($K4015,$J4016*($H4016+1)/100/12),$K4015))))</f>
      </c>
      <c r="L4016" s="43">
        <f>IF($I4016=0,0,$J4016*$H4016/100/12)</f>
      </c>
      <c r="M4016" s="43">
        <f>IF($I4016=0,0,IF(OR(INDEX(DarlOhneTilgung,9)=1,AND(INDEX(DarlTilgStart,9)&gt;0,$E4016&lt;INDEX(DarlTilgStart,9))),0,MIN(MAX(0,$K4016-$L4016),$J4016)))</f>
      </c>
      <c r="N4016" s="43">
        <f>IF($I4016=0,0,MIN(SUMIFS(SondBetrag,SondDarl,9,SondDatum,"&gt;="&amp;$E4016,SondDatum,"&lt;="&amp;EOMONTH($E4016,0)),$J4016-$M4016))</f>
      </c>
      <c r="O4016" s="43">
        <f>IF($I4016=0,0,INDEX(DarlErsatzRate,9))</f>
      </c>
      <c r="P4016" s="43">
        <f>IF($I4016=0,0,$Q4015*INDEX(DarlErsatzZins,9))</f>
      </c>
      <c r="Q4016" s="43">
        <f>IF($I4016=0,0,$Q4015+$P4016+$O4016)</f>
      </c>
      <c r="R4016" s="43">
        <f>IF($I4016=0,0,$J4016-$M4016-$N4016)</f>
      </c>
    </row>
    <row r="4017">
      <c r="A4017"/>
      <c r="B4017">
        <v>9</v>
      </c>
      <c r="C4017" s="43">
        <f>INDEX(DarlObj,9)</f>
      </c>
      <c r="D4017">
        <v>174</v>
      </c>
      <c r="E4017" s="51">
        <f>IF(INDEX(DarlBelegt,9)=0,0,EOMONTH(INDEX(DarlAuszahlung,9),173)+1)</f>
      </c>
      <c r="F4017" s="43">
        <f>IF($E4017=0,0,YEAR($E4017))</f>
      </c>
      <c r="G4017" s="43">
        <f>IF(INDEX(DarlBindung,9)="",1,IF($E4017&lt;=INDEX(DarlBindung,9),1,0))</f>
      </c>
      <c r="H4017" s="43">
        <f>IF($G4017=1,INDEX(DarlSollzins,9),INDEX(DarlAnschluss,9))</f>
      </c>
      <c r="I4017" s="43">
        <f>IF(INDEX(DarlBelegt,9)=0,0,IF(INDEX(DarlOhneTilgung,9)=1,IF(INDEX(DarlBindung,9)="",1,$G4017),IF($J4017&gt;0.005,1,0)))</f>
      </c>
      <c r="J4017" s="43">
        <f>IF($I4016=0,0,$R4016)</f>
      </c>
      <c r="K4017" s="43">
        <f>IF($I4017=0,0,IF(INDEX(DarlOhneTilgung,9)=1,0,IF(AND(INDEX(DarlTilgStart,9)&gt;0,$E4017=INDEX(DarlTilgStart,9)),$J4017*($H4017+INDEX(DarlTilgung,9))/100/12,IF(AND($G4017=0,$G4016=1),MAX($K4016,$J4017*($H4017+1)/100/12),$K4016))))</f>
      </c>
      <c r="L4017" s="43">
        <f>IF($I4017=0,0,$J4017*$H4017/100/12)</f>
      </c>
      <c r="M4017" s="43">
        <f>IF($I4017=0,0,IF(OR(INDEX(DarlOhneTilgung,9)=1,AND(INDEX(DarlTilgStart,9)&gt;0,$E4017&lt;INDEX(DarlTilgStart,9))),0,MIN(MAX(0,$K4017-$L4017),$J4017)))</f>
      </c>
      <c r="N4017" s="43">
        <f>IF($I4017=0,0,MIN(SUMIFS(SondBetrag,SondDarl,9,SondDatum,"&gt;="&amp;$E4017,SondDatum,"&lt;="&amp;EOMONTH($E4017,0)),$J4017-$M4017))</f>
      </c>
      <c r="O4017" s="43">
        <f>IF($I4017=0,0,INDEX(DarlErsatzRate,9))</f>
      </c>
      <c r="P4017" s="43">
        <f>IF($I4017=0,0,$Q4016*INDEX(DarlErsatzZins,9))</f>
      </c>
      <c r="Q4017" s="43">
        <f>IF($I4017=0,0,$Q4016+$P4017+$O4017)</f>
      </c>
      <c r="R4017" s="43">
        <f>IF($I4017=0,0,$J4017-$M4017-$N4017)</f>
      </c>
    </row>
    <row r="4018">
      <c r="A4018"/>
      <c r="B4018">
        <v>9</v>
      </c>
      <c r="C4018" s="43">
        <f>INDEX(DarlObj,9)</f>
      </c>
      <c r="D4018">
        <v>175</v>
      </c>
      <c r="E4018" s="51">
        <f>IF(INDEX(DarlBelegt,9)=0,0,EOMONTH(INDEX(DarlAuszahlung,9),174)+1)</f>
      </c>
      <c r="F4018" s="43">
        <f>IF($E4018=0,0,YEAR($E4018))</f>
      </c>
      <c r="G4018" s="43">
        <f>IF(INDEX(DarlBindung,9)="",1,IF($E4018&lt;=INDEX(DarlBindung,9),1,0))</f>
      </c>
      <c r="H4018" s="43">
        <f>IF($G4018=1,INDEX(DarlSollzins,9),INDEX(DarlAnschluss,9))</f>
      </c>
      <c r="I4018" s="43">
        <f>IF(INDEX(DarlBelegt,9)=0,0,IF(INDEX(DarlOhneTilgung,9)=1,IF(INDEX(DarlBindung,9)="",1,$G4018),IF($J4018&gt;0.005,1,0)))</f>
      </c>
      <c r="J4018" s="43">
        <f>IF($I4017=0,0,$R4017)</f>
      </c>
      <c r="K4018" s="43">
        <f>IF($I4018=0,0,IF(INDEX(DarlOhneTilgung,9)=1,0,IF(AND(INDEX(DarlTilgStart,9)&gt;0,$E4018=INDEX(DarlTilgStart,9)),$J4018*($H4018+INDEX(DarlTilgung,9))/100/12,IF(AND($G4018=0,$G4017=1),MAX($K4017,$J4018*($H4018+1)/100/12),$K4017))))</f>
      </c>
      <c r="L4018" s="43">
        <f>IF($I4018=0,0,$J4018*$H4018/100/12)</f>
      </c>
      <c r="M4018" s="43">
        <f>IF($I4018=0,0,IF(OR(INDEX(DarlOhneTilgung,9)=1,AND(INDEX(DarlTilgStart,9)&gt;0,$E4018&lt;INDEX(DarlTilgStart,9))),0,MIN(MAX(0,$K4018-$L4018),$J4018)))</f>
      </c>
      <c r="N4018" s="43">
        <f>IF($I4018=0,0,MIN(SUMIFS(SondBetrag,SondDarl,9,SondDatum,"&gt;="&amp;$E4018,SondDatum,"&lt;="&amp;EOMONTH($E4018,0)),$J4018-$M4018))</f>
      </c>
      <c r="O4018" s="43">
        <f>IF($I4018=0,0,INDEX(DarlErsatzRate,9))</f>
      </c>
      <c r="P4018" s="43">
        <f>IF($I4018=0,0,$Q4017*INDEX(DarlErsatzZins,9))</f>
      </c>
      <c r="Q4018" s="43">
        <f>IF($I4018=0,0,$Q4017+$P4018+$O4018)</f>
      </c>
      <c r="R4018" s="43">
        <f>IF($I4018=0,0,$J4018-$M4018-$N4018)</f>
      </c>
    </row>
    <row r="4019">
      <c r="A4019"/>
      <c r="B4019">
        <v>9</v>
      </c>
      <c r="C4019" s="43">
        <f>INDEX(DarlObj,9)</f>
      </c>
      <c r="D4019">
        <v>176</v>
      </c>
      <c r="E4019" s="51">
        <f>IF(INDEX(DarlBelegt,9)=0,0,EOMONTH(INDEX(DarlAuszahlung,9),175)+1)</f>
      </c>
      <c r="F4019" s="43">
        <f>IF($E4019=0,0,YEAR($E4019))</f>
      </c>
      <c r="G4019" s="43">
        <f>IF(INDEX(DarlBindung,9)="",1,IF($E4019&lt;=INDEX(DarlBindung,9),1,0))</f>
      </c>
      <c r="H4019" s="43">
        <f>IF($G4019=1,INDEX(DarlSollzins,9),INDEX(DarlAnschluss,9))</f>
      </c>
      <c r="I4019" s="43">
        <f>IF(INDEX(DarlBelegt,9)=0,0,IF(INDEX(DarlOhneTilgung,9)=1,IF(INDEX(DarlBindung,9)="",1,$G4019),IF($J4019&gt;0.005,1,0)))</f>
      </c>
      <c r="J4019" s="43">
        <f>IF($I4018=0,0,$R4018)</f>
      </c>
      <c r="K4019" s="43">
        <f>IF($I4019=0,0,IF(INDEX(DarlOhneTilgung,9)=1,0,IF(AND(INDEX(DarlTilgStart,9)&gt;0,$E4019=INDEX(DarlTilgStart,9)),$J4019*($H4019+INDEX(DarlTilgung,9))/100/12,IF(AND($G4019=0,$G4018=1),MAX($K4018,$J4019*($H4019+1)/100/12),$K4018))))</f>
      </c>
      <c r="L4019" s="43">
        <f>IF($I4019=0,0,$J4019*$H4019/100/12)</f>
      </c>
      <c r="M4019" s="43">
        <f>IF($I4019=0,0,IF(OR(INDEX(DarlOhneTilgung,9)=1,AND(INDEX(DarlTilgStart,9)&gt;0,$E4019&lt;INDEX(DarlTilgStart,9))),0,MIN(MAX(0,$K4019-$L4019),$J4019)))</f>
      </c>
      <c r="N4019" s="43">
        <f>IF($I4019=0,0,MIN(SUMIFS(SondBetrag,SondDarl,9,SondDatum,"&gt;="&amp;$E4019,SondDatum,"&lt;="&amp;EOMONTH($E4019,0)),$J4019-$M4019))</f>
      </c>
      <c r="O4019" s="43">
        <f>IF($I4019=0,0,INDEX(DarlErsatzRate,9))</f>
      </c>
      <c r="P4019" s="43">
        <f>IF($I4019=0,0,$Q4018*INDEX(DarlErsatzZins,9))</f>
      </c>
      <c r="Q4019" s="43">
        <f>IF($I4019=0,0,$Q4018+$P4019+$O4019)</f>
      </c>
      <c r="R4019" s="43">
        <f>IF($I4019=0,0,$J4019-$M4019-$N4019)</f>
      </c>
    </row>
    <row r="4020">
      <c r="A4020"/>
      <c r="B4020">
        <v>9</v>
      </c>
      <c r="C4020" s="43">
        <f>INDEX(DarlObj,9)</f>
      </c>
      <c r="D4020">
        <v>177</v>
      </c>
      <c r="E4020" s="51">
        <f>IF(INDEX(DarlBelegt,9)=0,0,EOMONTH(INDEX(DarlAuszahlung,9),176)+1)</f>
      </c>
      <c r="F4020" s="43">
        <f>IF($E4020=0,0,YEAR($E4020))</f>
      </c>
      <c r="G4020" s="43">
        <f>IF(INDEX(DarlBindung,9)="",1,IF($E4020&lt;=INDEX(DarlBindung,9),1,0))</f>
      </c>
      <c r="H4020" s="43">
        <f>IF($G4020=1,INDEX(DarlSollzins,9),INDEX(DarlAnschluss,9))</f>
      </c>
      <c r="I4020" s="43">
        <f>IF(INDEX(DarlBelegt,9)=0,0,IF(INDEX(DarlOhneTilgung,9)=1,IF(INDEX(DarlBindung,9)="",1,$G4020),IF($J4020&gt;0.005,1,0)))</f>
      </c>
      <c r="J4020" s="43">
        <f>IF($I4019=0,0,$R4019)</f>
      </c>
      <c r="K4020" s="43">
        <f>IF($I4020=0,0,IF(INDEX(DarlOhneTilgung,9)=1,0,IF(AND(INDEX(DarlTilgStart,9)&gt;0,$E4020=INDEX(DarlTilgStart,9)),$J4020*($H4020+INDEX(DarlTilgung,9))/100/12,IF(AND($G4020=0,$G4019=1),MAX($K4019,$J4020*($H4020+1)/100/12),$K4019))))</f>
      </c>
      <c r="L4020" s="43">
        <f>IF($I4020=0,0,$J4020*$H4020/100/12)</f>
      </c>
      <c r="M4020" s="43">
        <f>IF($I4020=0,0,IF(OR(INDEX(DarlOhneTilgung,9)=1,AND(INDEX(DarlTilgStart,9)&gt;0,$E4020&lt;INDEX(DarlTilgStart,9))),0,MIN(MAX(0,$K4020-$L4020),$J4020)))</f>
      </c>
      <c r="N4020" s="43">
        <f>IF($I4020=0,0,MIN(SUMIFS(SondBetrag,SondDarl,9,SondDatum,"&gt;="&amp;$E4020,SondDatum,"&lt;="&amp;EOMONTH($E4020,0)),$J4020-$M4020))</f>
      </c>
      <c r="O4020" s="43">
        <f>IF($I4020=0,0,INDEX(DarlErsatzRate,9))</f>
      </c>
      <c r="P4020" s="43">
        <f>IF($I4020=0,0,$Q4019*INDEX(DarlErsatzZins,9))</f>
      </c>
      <c r="Q4020" s="43">
        <f>IF($I4020=0,0,$Q4019+$P4020+$O4020)</f>
      </c>
      <c r="R4020" s="43">
        <f>IF($I4020=0,0,$J4020-$M4020-$N4020)</f>
      </c>
    </row>
    <row r="4021">
      <c r="A4021"/>
      <c r="B4021">
        <v>9</v>
      </c>
      <c r="C4021" s="43">
        <f>INDEX(DarlObj,9)</f>
      </c>
      <c r="D4021">
        <v>178</v>
      </c>
      <c r="E4021" s="51">
        <f>IF(INDEX(DarlBelegt,9)=0,0,EOMONTH(INDEX(DarlAuszahlung,9),177)+1)</f>
      </c>
      <c r="F4021" s="43">
        <f>IF($E4021=0,0,YEAR($E4021))</f>
      </c>
      <c r="G4021" s="43">
        <f>IF(INDEX(DarlBindung,9)="",1,IF($E4021&lt;=INDEX(DarlBindung,9),1,0))</f>
      </c>
      <c r="H4021" s="43">
        <f>IF($G4021=1,INDEX(DarlSollzins,9),INDEX(DarlAnschluss,9))</f>
      </c>
      <c r="I4021" s="43">
        <f>IF(INDEX(DarlBelegt,9)=0,0,IF(INDEX(DarlOhneTilgung,9)=1,IF(INDEX(DarlBindung,9)="",1,$G4021),IF($J4021&gt;0.005,1,0)))</f>
      </c>
      <c r="J4021" s="43">
        <f>IF($I4020=0,0,$R4020)</f>
      </c>
      <c r="K4021" s="43">
        <f>IF($I4021=0,0,IF(INDEX(DarlOhneTilgung,9)=1,0,IF(AND(INDEX(DarlTilgStart,9)&gt;0,$E4021=INDEX(DarlTilgStart,9)),$J4021*($H4021+INDEX(DarlTilgung,9))/100/12,IF(AND($G4021=0,$G4020=1),MAX($K4020,$J4021*($H4021+1)/100/12),$K4020))))</f>
      </c>
      <c r="L4021" s="43">
        <f>IF($I4021=0,0,$J4021*$H4021/100/12)</f>
      </c>
      <c r="M4021" s="43">
        <f>IF($I4021=0,0,IF(OR(INDEX(DarlOhneTilgung,9)=1,AND(INDEX(DarlTilgStart,9)&gt;0,$E4021&lt;INDEX(DarlTilgStart,9))),0,MIN(MAX(0,$K4021-$L4021),$J4021)))</f>
      </c>
      <c r="N4021" s="43">
        <f>IF($I4021=0,0,MIN(SUMIFS(SondBetrag,SondDarl,9,SondDatum,"&gt;="&amp;$E4021,SondDatum,"&lt;="&amp;EOMONTH($E4021,0)),$J4021-$M4021))</f>
      </c>
      <c r="O4021" s="43">
        <f>IF($I4021=0,0,INDEX(DarlErsatzRate,9))</f>
      </c>
      <c r="P4021" s="43">
        <f>IF($I4021=0,0,$Q4020*INDEX(DarlErsatzZins,9))</f>
      </c>
      <c r="Q4021" s="43">
        <f>IF($I4021=0,0,$Q4020+$P4021+$O4021)</f>
      </c>
      <c r="R4021" s="43">
        <f>IF($I4021=0,0,$J4021-$M4021-$N4021)</f>
      </c>
    </row>
    <row r="4022">
      <c r="A4022"/>
      <c r="B4022">
        <v>9</v>
      </c>
      <c r="C4022" s="43">
        <f>INDEX(DarlObj,9)</f>
      </c>
      <c r="D4022">
        <v>179</v>
      </c>
      <c r="E4022" s="51">
        <f>IF(INDEX(DarlBelegt,9)=0,0,EOMONTH(INDEX(DarlAuszahlung,9),178)+1)</f>
      </c>
      <c r="F4022" s="43">
        <f>IF($E4022=0,0,YEAR($E4022))</f>
      </c>
      <c r="G4022" s="43">
        <f>IF(INDEX(DarlBindung,9)="",1,IF($E4022&lt;=INDEX(DarlBindung,9),1,0))</f>
      </c>
      <c r="H4022" s="43">
        <f>IF($G4022=1,INDEX(DarlSollzins,9),INDEX(DarlAnschluss,9))</f>
      </c>
      <c r="I4022" s="43">
        <f>IF(INDEX(DarlBelegt,9)=0,0,IF(INDEX(DarlOhneTilgung,9)=1,IF(INDEX(DarlBindung,9)="",1,$G4022),IF($J4022&gt;0.005,1,0)))</f>
      </c>
      <c r="J4022" s="43">
        <f>IF($I4021=0,0,$R4021)</f>
      </c>
      <c r="K4022" s="43">
        <f>IF($I4022=0,0,IF(INDEX(DarlOhneTilgung,9)=1,0,IF(AND(INDEX(DarlTilgStart,9)&gt;0,$E4022=INDEX(DarlTilgStart,9)),$J4022*($H4022+INDEX(DarlTilgung,9))/100/12,IF(AND($G4022=0,$G4021=1),MAX($K4021,$J4022*($H4022+1)/100/12),$K4021))))</f>
      </c>
      <c r="L4022" s="43">
        <f>IF($I4022=0,0,$J4022*$H4022/100/12)</f>
      </c>
      <c r="M4022" s="43">
        <f>IF($I4022=0,0,IF(OR(INDEX(DarlOhneTilgung,9)=1,AND(INDEX(DarlTilgStart,9)&gt;0,$E4022&lt;INDEX(DarlTilgStart,9))),0,MIN(MAX(0,$K4022-$L4022),$J4022)))</f>
      </c>
      <c r="N4022" s="43">
        <f>IF($I4022=0,0,MIN(SUMIFS(SondBetrag,SondDarl,9,SondDatum,"&gt;="&amp;$E4022,SondDatum,"&lt;="&amp;EOMONTH($E4022,0)),$J4022-$M4022))</f>
      </c>
      <c r="O4022" s="43">
        <f>IF($I4022=0,0,INDEX(DarlErsatzRate,9))</f>
      </c>
      <c r="P4022" s="43">
        <f>IF($I4022=0,0,$Q4021*INDEX(DarlErsatzZins,9))</f>
      </c>
      <c r="Q4022" s="43">
        <f>IF($I4022=0,0,$Q4021+$P4022+$O4022)</f>
      </c>
      <c r="R4022" s="43">
        <f>IF($I4022=0,0,$J4022-$M4022-$N4022)</f>
      </c>
    </row>
    <row r="4023">
      <c r="A4023"/>
      <c r="B4023">
        <v>9</v>
      </c>
      <c r="C4023" s="43">
        <f>INDEX(DarlObj,9)</f>
      </c>
      <c r="D4023">
        <v>180</v>
      </c>
      <c r="E4023" s="51">
        <f>IF(INDEX(DarlBelegt,9)=0,0,EOMONTH(INDEX(DarlAuszahlung,9),179)+1)</f>
      </c>
      <c r="F4023" s="43">
        <f>IF($E4023=0,0,YEAR($E4023))</f>
      </c>
      <c r="G4023" s="43">
        <f>IF(INDEX(DarlBindung,9)="",1,IF($E4023&lt;=INDEX(DarlBindung,9),1,0))</f>
      </c>
      <c r="H4023" s="43">
        <f>IF($G4023=1,INDEX(DarlSollzins,9),INDEX(DarlAnschluss,9))</f>
      </c>
      <c r="I4023" s="43">
        <f>IF(INDEX(DarlBelegt,9)=0,0,IF(INDEX(DarlOhneTilgung,9)=1,IF(INDEX(DarlBindung,9)="",1,$G4023),IF($J4023&gt;0.005,1,0)))</f>
      </c>
      <c r="J4023" s="43">
        <f>IF($I4022=0,0,$R4022)</f>
      </c>
      <c r="K4023" s="43">
        <f>IF($I4023=0,0,IF(INDEX(DarlOhneTilgung,9)=1,0,IF(AND(INDEX(DarlTilgStart,9)&gt;0,$E4023=INDEX(DarlTilgStart,9)),$J4023*($H4023+INDEX(DarlTilgung,9))/100/12,IF(AND($G4023=0,$G4022=1),MAX($K4022,$J4023*($H4023+1)/100/12),$K4022))))</f>
      </c>
      <c r="L4023" s="43">
        <f>IF($I4023=0,0,$J4023*$H4023/100/12)</f>
      </c>
      <c r="M4023" s="43">
        <f>IF($I4023=0,0,IF(OR(INDEX(DarlOhneTilgung,9)=1,AND(INDEX(DarlTilgStart,9)&gt;0,$E4023&lt;INDEX(DarlTilgStart,9))),0,MIN(MAX(0,$K4023-$L4023),$J4023)))</f>
      </c>
      <c r="N4023" s="43">
        <f>IF($I4023=0,0,MIN(SUMIFS(SondBetrag,SondDarl,9,SondDatum,"&gt;="&amp;$E4023,SondDatum,"&lt;="&amp;EOMONTH($E4023,0)),$J4023-$M4023))</f>
      </c>
      <c r="O4023" s="43">
        <f>IF($I4023=0,0,INDEX(DarlErsatzRate,9))</f>
      </c>
      <c r="P4023" s="43">
        <f>IF($I4023=0,0,$Q4022*INDEX(DarlErsatzZins,9))</f>
      </c>
      <c r="Q4023" s="43">
        <f>IF($I4023=0,0,$Q4022+$P4023+$O4023)</f>
      </c>
      <c r="R4023" s="43">
        <f>IF($I4023=0,0,$J4023-$M4023-$N4023)</f>
      </c>
    </row>
    <row r="4024">
      <c r="A4024"/>
      <c r="B4024">
        <v>9</v>
      </c>
      <c r="C4024" s="43">
        <f>INDEX(DarlObj,9)</f>
      </c>
      <c r="D4024">
        <v>181</v>
      </c>
      <c r="E4024" s="51">
        <f>IF(INDEX(DarlBelegt,9)=0,0,EOMONTH(INDEX(DarlAuszahlung,9),180)+1)</f>
      </c>
      <c r="F4024" s="43">
        <f>IF($E4024=0,0,YEAR($E4024))</f>
      </c>
      <c r="G4024" s="43">
        <f>IF(INDEX(DarlBindung,9)="",1,IF($E4024&lt;=INDEX(DarlBindung,9),1,0))</f>
      </c>
      <c r="H4024" s="43">
        <f>IF($G4024=1,INDEX(DarlSollzins,9),INDEX(DarlAnschluss,9))</f>
      </c>
      <c r="I4024" s="43">
        <f>IF(INDEX(DarlBelegt,9)=0,0,IF(INDEX(DarlOhneTilgung,9)=1,IF(INDEX(DarlBindung,9)="",1,$G4024),IF($J4024&gt;0.005,1,0)))</f>
      </c>
      <c r="J4024" s="43">
        <f>IF($I4023=0,0,$R4023)</f>
      </c>
      <c r="K4024" s="43">
        <f>IF($I4024=0,0,IF(INDEX(DarlOhneTilgung,9)=1,0,IF(AND(INDEX(DarlTilgStart,9)&gt;0,$E4024=INDEX(DarlTilgStart,9)),$J4024*($H4024+INDEX(DarlTilgung,9))/100/12,IF(AND($G4024=0,$G4023=1),MAX($K4023,$J4024*($H4024+1)/100/12),$K4023))))</f>
      </c>
      <c r="L4024" s="43">
        <f>IF($I4024=0,0,$J4024*$H4024/100/12)</f>
      </c>
      <c r="M4024" s="43">
        <f>IF($I4024=0,0,IF(OR(INDEX(DarlOhneTilgung,9)=1,AND(INDEX(DarlTilgStart,9)&gt;0,$E4024&lt;INDEX(DarlTilgStart,9))),0,MIN(MAX(0,$K4024-$L4024),$J4024)))</f>
      </c>
      <c r="N4024" s="43">
        <f>IF($I4024=0,0,MIN(SUMIFS(SondBetrag,SondDarl,9,SondDatum,"&gt;="&amp;$E4024,SondDatum,"&lt;="&amp;EOMONTH($E4024,0)),$J4024-$M4024))</f>
      </c>
      <c r="O4024" s="43">
        <f>IF($I4024=0,0,INDEX(DarlErsatzRate,9))</f>
      </c>
      <c r="P4024" s="43">
        <f>IF($I4024=0,0,$Q4023*INDEX(DarlErsatzZins,9))</f>
      </c>
      <c r="Q4024" s="43">
        <f>IF($I4024=0,0,$Q4023+$P4024+$O4024)</f>
      </c>
      <c r="R4024" s="43">
        <f>IF($I4024=0,0,$J4024-$M4024-$N4024)</f>
      </c>
    </row>
    <row r="4025">
      <c r="A4025"/>
      <c r="B4025">
        <v>9</v>
      </c>
      <c r="C4025" s="43">
        <f>INDEX(DarlObj,9)</f>
      </c>
      <c r="D4025">
        <v>182</v>
      </c>
      <c r="E4025" s="51">
        <f>IF(INDEX(DarlBelegt,9)=0,0,EOMONTH(INDEX(DarlAuszahlung,9),181)+1)</f>
      </c>
      <c r="F4025" s="43">
        <f>IF($E4025=0,0,YEAR($E4025))</f>
      </c>
      <c r="G4025" s="43">
        <f>IF(INDEX(DarlBindung,9)="",1,IF($E4025&lt;=INDEX(DarlBindung,9),1,0))</f>
      </c>
      <c r="H4025" s="43">
        <f>IF($G4025=1,INDEX(DarlSollzins,9),INDEX(DarlAnschluss,9))</f>
      </c>
      <c r="I4025" s="43">
        <f>IF(INDEX(DarlBelegt,9)=0,0,IF(INDEX(DarlOhneTilgung,9)=1,IF(INDEX(DarlBindung,9)="",1,$G4025),IF($J4025&gt;0.005,1,0)))</f>
      </c>
      <c r="J4025" s="43">
        <f>IF($I4024=0,0,$R4024)</f>
      </c>
      <c r="K4025" s="43">
        <f>IF($I4025=0,0,IF(INDEX(DarlOhneTilgung,9)=1,0,IF(AND(INDEX(DarlTilgStart,9)&gt;0,$E4025=INDEX(DarlTilgStart,9)),$J4025*($H4025+INDEX(DarlTilgung,9))/100/12,IF(AND($G4025=0,$G4024=1),MAX($K4024,$J4025*($H4025+1)/100/12),$K4024))))</f>
      </c>
      <c r="L4025" s="43">
        <f>IF($I4025=0,0,$J4025*$H4025/100/12)</f>
      </c>
      <c r="M4025" s="43">
        <f>IF($I4025=0,0,IF(OR(INDEX(DarlOhneTilgung,9)=1,AND(INDEX(DarlTilgStart,9)&gt;0,$E4025&lt;INDEX(DarlTilgStart,9))),0,MIN(MAX(0,$K4025-$L4025),$J4025)))</f>
      </c>
      <c r="N4025" s="43">
        <f>IF($I4025=0,0,MIN(SUMIFS(SondBetrag,SondDarl,9,SondDatum,"&gt;="&amp;$E4025,SondDatum,"&lt;="&amp;EOMONTH($E4025,0)),$J4025-$M4025))</f>
      </c>
      <c r="O4025" s="43">
        <f>IF($I4025=0,0,INDEX(DarlErsatzRate,9))</f>
      </c>
      <c r="P4025" s="43">
        <f>IF($I4025=0,0,$Q4024*INDEX(DarlErsatzZins,9))</f>
      </c>
      <c r="Q4025" s="43">
        <f>IF($I4025=0,0,$Q4024+$P4025+$O4025)</f>
      </c>
      <c r="R4025" s="43">
        <f>IF($I4025=0,0,$J4025-$M4025-$N4025)</f>
      </c>
    </row>
    <row r="4026">
      <c r="A4026"/>
      <c r="B4026">
        <v>9</v>
      </c>
      <c r="C4026" s="43">
        <f>INDEX(DarlObj,9)</f>
      </c>
      <c r="D4026">
        <v>183</v>
      </c>
      <c r="E4026" s="51">
        <f>IF(INDEX(DarlBelegt,9)=0,0,EOMONTH(INDEX(DarlAuszahlung,9),182)+1)</f>
      </c>
      <c r="F4026" s="43">
        <f>IF($E4026=0,0,YEAR($E4026))</f>
      </c>
      <c r="G4026" s="43">
        <f>IF(INDEX(DarlBindung,9)="",1,IF($E4026&lt;=INDEX(DarlBindung,9),1,0))</f>
      </c>
      <c r="H4026" s="43">
        <f>IF($G4026=1,INDEX(DarlSollzins,9),INDEX(DarlAnschluss,9))</f>
      </c>
      <c r="I4026" s="43">
        <f>IF(INDEX(DarlBelegt,9)=0,0,IF(INDEX(DarlOhneTilgung,9)=1,IF(INDEX(DarlBindung,9)="",1,$G4026),IF($J4026&gt;0.005,1,0)))</f>
      </c>
      <c r="J4026" s="43">
        <f>IF($I4025=0,0,$R4025)</f>
      </c>
      <c r="K4026" s="43">
        <f>IF($I4026=0,0,IF(INDEX(DarlOhneTilgung,9)=1,0,IF(AND(INDEX(DarlTilgStart,9)&gt;0,$E4026=INDEX(DarlTilgStart,9)),$J4026*($H4026+INDEX(DarlTilgung,9))/100/12,IF(AND($G4026=0,$G4025=1),MAX($K4025,$J4026*($H4026+1)/100/12),$K4025))))</f>
      </c>
      <c r="L4026" s="43">
        <f>IF($I4026=0,0,$J4026*$H4026/100/12)</f>
      </c>
      <c r="M4026" s="43">
        <f>IF($I4026=0,0,IF(OR(INDEX(DarlOhneTilgung,9)=1,AND(INDEX(DarlTilgStart,9)&gt;0,$E4026&lt;INDEX(DarlTilgStart,9))),0,MIN(MAX(0,$K4026-$L4026),$J4026)))</f>
      </c>
      <c r="N4026" s="43">
        <f>IF($I4026=0,0,MIN(SUMIFS(SondBetrag,SondDarl,9,SondDatum,"&gt;="&amp;$E4026,SondDatum,"&lt;="&amp;EOMONTH($E4026,0)),$J4026-$M4026))</f>
      </c>
      <c r="O4026" s="43">
        <f>IF($I4026=0,0,INDEX(DarlErsatzRate,9))</f>
      </c>
      <c r="P4026" s="43">
        <f>IF($I4026=0,0,$Q4025*INDEX(DarlErsatzZins,9))</f>
      </c>
      <c r="Q4026" s="43">
        <f>IF($I4026=0,0,$Q4025+$P4026+$O4026)</f>
      </c>
      <c r="R4026" s="43">
        <f>IF($I4026=0,0,$J4026-$M4026-$N4026)</f>
      </c>
    </row>
    <row r="4027">
      <c r="A4027"/>
      <c r="B4027">
        <v>9</v>
      </c>
      <c r="C4027" s="43">
        <f>INDEX(DarlObj,9)</f>
      </c>
      <c r="D4027">
        <v>184</v>
      </c>
      <c r="E4027" s="51">
        <f>IF(INDEX(DarlBelegt,9)=0,0,EOMONTH(INDEX(DarlAuszahlung,9),183)+1)</f>
      </c>
      <c r="F4027" s="43">
        <f>IF($E4027=0,0,YEAR($E4027))</f>
      </c>
      <c r="G4027" s="43">
        <f>IF(INDEX(DarlBindung,9)="",1,IF($E4027&lt;=INDEX(DarlBindung,9),1,0))</f>
      </c>
      <c r="H4027" s="43">
        <f>IF($G4027=1,INDEX(DarlSollzins,9),INDEX(DarlAnschluss,9))</f>
      </c>
      <c r="I4027" s="43">
        <f>IF(INDEX(DarlBelegt,9)=0,0,IF(INDEX(DarlOhneTilgung,9)=1,IF(INDEX(DarlBindung,9)="",1,$G4027),IF($J4027&gt;0.005,1,0)))</f>
      </c>
      <c r="J4027" s="43">
        <f>IF($I4026=0,0,$R4026)</f>
      </c>
      <c r="K4027" s="43">
        <f>IF($I4027=0,0,IF(INDEX(DarlOhneTilgung,9)=1,0,IF(AND(INDEX(DarlTilgStart,9)&gt;0,$E4027=INDEX(DarlTilgStart,9)),$J4027*($H4027+INDEX(DarlTilgung,9))/100/12,IF(AND($G4027=0,$G4026=1),MAX($K4026,$J4027*($H4027+1)/100/12),$K4026))))</f>
      </c>
      <c r="L4027" s="43">
        <f>IF($I4027=0,0,$J4027*$H4027/100/12)</f>
      </c>
      <c r="M4027" s="43">
        <f>IF($I4027=0,0,IF(OR(INDEX(DarlOhneTilgung,9)=1,AND(INDEX(DarlTilgStart,9)&gt;0,$E4027&lt;INDEX(DarlTilgStart,9))),0,MIN(MAX(0,$K4027-$L4027),$J4027)))</f>
      </c>
      <c r="N4027" s="43">
        <f>IF($I4027=0,0,MIN(SUMIFS(SondBetrag,SondDarl,9,SondDatum,"&gt;="&amp;$E4027,SondDatum,"&lt;="&amp;EOMONTH($E4027,0)),$J4027-$M4027))</f>
      </c>
      <c r="O4027" s="43">
        <f>IF($I4027=0,0,INDEX(DarlErsatzRate,9))</f>
      </c>
      <c r="P4027" s="43">
        <f>IF($I4027=0,0,$Q4026*INDEX(DarlErsatzZins,9))</f>
      </c>
      <c r="Q4027" s="43">
        <f>IF($I4027=0,0,$Q4026+$P4027+$O4027)</f>
      </c>
      <c r="R4027" s="43">
        <f>IF($I4027=0,0,$J4027-$M4027-$N4027)</f>
      </c>
    </row>
    <row r="4028">
      <c r="A4028"/>
      <c r="B4028">
        <v>9</v>
      </c>
      <c r="C4028" s="43">
        <f>INDEX(DarlObj,9)</f>
      </c>
      <c r="D4028">
        <v>185</v>
      </c>
      <c r="E4028" s="51">
        <f>IF(INDEX(DarlBelegt,9)=0,0,EOMONTH(INDEX(DarlAuszahlung,9),184)+1)</f>
      </c>
      <c r="F4028" s="43">
        <f>IF($E4028=0,0,YEAR($E4028))</f>
      </c>
      <c r="G4028" s="43">
        <f>IF(INDEX(DarlBindung,9)="",1,IF($E4028&lt;=INDEX(DarlBindung,9),1,0))</f>
      </c>
      <c r="H4028" s="43">
        <f>IF($G4028=1,INDEX(DarlSollzins,9),INDEX(DarlAnschluss,9))</f>
      </c>
      <c r="I4028" s="43">
        <f>IF(INDEX(DarlBelegt,9)=0,0,IF(INDEX(DarlOhneTilgung,9)=1,IF(INDEX(DarlBindung,9)="",1,$G4028),IF($J4028&gt;0.005,1,0)))</f>
      </c>
      <c r="J4028" s="43">
        <f>IF($I4027=0,0,$R4027)</f>
      </c>
      <c r="K4028" s="43">
        <f>IF($I4028=0,0,IF(INDEX(DarlOhneTilgung,9)=1,0,IF(AND(INDEX(DarlTilgStart,9)&gt;0,$E4028=INDEX(DarlTilgStart,9)),$J4028*($H4028+INDEX(DarlTilgung,9))/100/12,IF(AND($G4028=0,$G4027=1),MAX($K4027,$J4028*($H4028+1)/100/12),$K4027))))</f>
      </c>
      <c r="L4028" s="43">
        <f>IF($I4028=0,0,$J4028*$H4028/100/12)</f>
      </c>
      <c r="M4028" s="43">
        <f>IF($I4028=0,0,IF(OR(INDEX(DarlOhneTilgung,9)=1,AND(INDEX(DarlTilgStart,9)&gt;0,$E4028&lt;INDEX(DarlTilgStart,9))),0,MIN(MAX(0,$K4028-$L4028),$J4028)))</f>
      </c>
      <c r="N4028" s="43">
        <f>IF($I4028=0,0,MIN(SUMIFS(SondBetrag,SondDarl,9,SondDatum,"&gt;="&amp;$E4028,SondDatum,"&lt;="&amp;EOMONTH($E4028,0)),$J4028-$M4028))</f>
      </c>
      <c r="O4028" s="43">
        <f>IF($I4028=0,0,INDEX(DarlErsatzRate,9))</f>
      </c>
      <c r="P4028" s="43">
        <f>IF($I4028=0,0,$Q4027*INDEX(DarlErsatzZins,9))</f>
      </c>
      <c r="Q4028" s="43">
        <f>IF($I4028=0,0,$Q4027+$P4028+$O4028)</f>
      </c>
      <c r="R4028" s="43">
        <f>IF($I4028=0,0,$J4028-$M4028-$N4028)</f>
      </c>
    </row>
    <row r="4029">
      <c r="A4029"/>
      <c r="B4029">
        <v>9</v>
      </c>
      <c r="C4029" s="43">
        <f>INDEX(DarlObj,9)</f>
      </c>
      <c r="D4029">
        <v>186</v>
      </c>
      <c r="E4029" s="51">
        <f>IF(INDEX(DarlBelegt,9)=0,0,EOMONTH(INDEX(DarlAuszahlung,9),185)+1)</f>
      </c>
      <c r="F4029" s="43">
        <f>IF($E4029=0,0,YEAR($E4029))</f>
      </c>
      <c r="G4029" s="43">
        <f>IF(INDEX(DarlBindung,9)="",1,IF($E4029&lt;=INDEX(DarlBindung,9),1,0))</f>
      </c>
      <c r="H4029" s="43">
        <f>IF($G4029=1,INDEX(DarlSollzins,9),INDEX(DarlAnschluss,9))</f>
      </c>
      <c r="I4029" s="43">
        <f>IF(INDEX(DarlBelegt,9)=0,0,IF(INDEX(DarlOhneTilgung,9)=1,IF(INDEX(DarlBindung,9)="",1,$G4029),IF($J4029&gt;0.005,1,0)))</f>
      </c>
      <c r="J4029" s="43">
        <f>IF($I4028=0,0,$R4028)</f>
      </c>
      <c r="K4029" s="43">
        <f>IF($I4029=0,0,IF(INDEX(DarlOhneTilgung,9)=1,0,IF(AND(INDEX(DarlTilgStart,9)&gt;0,$E4029=INDEX(DarlTilgStart,9)),$J4029*($H4029+INDEX(DarlTilgung,9))/100/12,IF(AND($G4029=0,$G4028=1),MAX($K4028,$J4029*($H4029+1)/100/12),$K4028))))</f>
      </c>
      <c r="L4029" s="43">
        <f>IF($I4029=0,0,$J4029*$H4029/100/12)</f>
      </c>
      <c r="M4029" s="43">
        <f>IF($I4029=0,0,IF(OR(INDEX(DarlOhneTilgung,9)=1,AND(INDEX(DarlTilgStart,9)&gt;0,$E4029&lt;INDEX(DarlTilgStart,9))),0,MIN(MAX(0,$K4029-$L4029),$J4029)))</f>
      </c>
      <c r="N4029" s="43">
        <f>IF($I4029=0,0,MIN(SUMIFS(SondBetrag,SondDarl,9,SondDatum,"&gt;="&amp;$E4029,SondDatum,"&lt;="&amp;EOMONTH($E4029,0)),$J4029-$M4029))</f>
      </c>
      <c r="O4029" s="43">
        <f>IF($I4029=0,0,INDEX(DarlErsatzRate,9))</f>
      </c>
      <c r="P4029" s="43">
        <f>IF($I4029=0,0,$Q4028*INDEX(DarlErsatzZins,9))</f>
      </c>
      <c r="Q4029" s="43">
        <f>IF($I4029=0,0,$Q4028+$P4029+$O4029)</f>
      </c>
      <c r="R4029" s="43">
        <f>IF($I4029=0,0,$J4029-$M4029-$N4029)</f>
      </c>
    </row>
    <row r="4030">
      <c r="A4030"/>
      <c r="B4030">
        <v>9</v>
      </c>
      <c r="C4030" s="43">
        <f>INDEX(DarlObj,9)</f>
      </c>
      <c r="D4030">
        <v>187</v>
      </c>
      <c r="E4030" s="51">
        <f>IF(INDEX(DarlBelegt,9)=0,0,EOMONTH(INDEX(DarlAuszahlung,9),186)+1)</f>
      </c>
      <c r="F4030" s="43">
        <f>IF($E4030=0,0,YEAR($E4030))</f>
      </c>
      <c r="G4030" s="43">
        <f>IF(INDEX(DarlBindung,9)="",1,IF($E4030&lt;=INDEX(DarlBindung,9),1,0))</f>
      </c>
      <c r="H4030" s="43">
        <f>IF($G4030=1,INDEX(DarlSollzins,9),INDEX(DarlAnschluss,9))</f>
      </c>
      <c r="I4030" s="43">
        <f>IF(INDEX(DarlBelegt,9)=0,0,IF(INDEX(DarlOhneTilgung,9)=1,IF(INDEX(DarlBindung,9)="",1,$G4030),IF($J4030&gt;0.005,1,0)))</f>
      </c>
      <c r="J4030" s="43">
        <f>IF($I4029=0,0,$R4029)</f>
      </c>
      <c r="K4030" s="43">
        <f>IF($I4030=0,0,IF(INDEX(DarlOhneTilgung,9)=1,0,IF(AND(INDEX(DarlTilgStart,9)&gt;0,$E4030=INDEX(DarlTilgStart,9)),$J4030*($H4030+INDEX(DarlTilgung,9))/100/12,IF(AND($G4030=0,$G4029=1),MAX($K4029,$J4030*($H4030+1)/100/12),$K4029))))</f>
      </c>
      <c r="L4030" s="43">
        <f>IF($I4030=0,0,$J4030*$H4030/100/12)</f>
      </c>
      <c r="M4030" s="43">
        <f>IF($I4030=0,0,IF(OR(INDEX(DarlOhneTilgung,9)=1,AND(INDEX(DarlTilgStart,9)&gt;0,$E4030&lt;INDEX(DarlTilgStart,9))),0,MIN(MAX(0,$K4030-$L4030),$J4030)))</f>
      </c>
      <c r="N4030" s="43">
        <f>IF($I4030=0,0,MIN(SUMIFS(SondBetrag,SondDarl,9,SondDatum,"&gt;="&amp;$E4030,SondDatum,"&lt;="&amp;EOMONTH($E4030,0)),$J4030-$M4030))</f>
      </c>
      <c r="O4030" s="43">
        <f>IF($I4030=0,0,INDEX(DarlErsatzRate,9))</f>
      </c>
      <c r="P4030" s="43">
        <f>IF($I4030=0,0,$Q4029*INDEX(DarlErsatzZins,9))</f>
      </c>
      <c r="Q4030" s="43">
        <f>IF($I4030=0,0,$Q4029+$P4030+$O4030)</f>
      </c>
      <c r="R4030" s="43">
        <f>IF($I4030=0,0,$J4030-$M4030-$N4030)</f>
      </c>
    </row>
    <row r="4031">
      <c r="A4031"/>
      <c r="B4031">
        <v>9</v>
      </c>
      <c r="C4031" s="43">
        <f>INDEX(DarlObj,9)</f>
      </c>
      <c r="D4031">
        <v>188</v>
      </c>
      <c r="E4031" s="51">
        <f>IF(INDEX(DarlBelegt,9)=0,0,EOMONTH(INDEX(DarlAuszahlung,9),187)+1)</f>
      </c>
      <c r="F4031" s="43">
        <f>IF($E4031=0,0,YEAR($E4031))</f>
      </c>
      <c r="G4031" s="43">
        <f>IF(INDEX(DarlBindung,9)="",1,IF($E4031&lt;=INDEX(DarlBindung,9),1,0))</f>
      </c>
      <c r="H4031" s="43">
        <f>IF($G4031=1,INDEX(DarlSollzins,9),INDEX(DarlAnschluss,9))</f>
      </c>
      <c r="I4031" s="43">
        <f>IF(INDEX(DarlBelegt,9)=0,0,IF(INDEX(DarlOhneTilgung,9)=1,IF(INDEX(DarlBindung,9)="",1,$G4031),IF($J4031&gt;0.005,1,0)))</f>
      </c>
      <c r="J4031" s="43">
        <f>IF($I4030=0,0,$R4030)</f>
      </c>
      <c r="K4031" s="43">
        <f>IF($I4031=0,0,IF(INDEX(DarlOhneTilgung,9)=1,0,IF(AND(INDEX(DarlTilgStart,9)&gt;0,$E4031=INDEX(DarlTilgStart,9)),$J4031*($H4031+INDEX(DarlTilgung,9))/100/12,IF(AND($G4031=0,$G4030=1),MAX($K4030,$J4031*($H4031+1)/100/12),$K4030))))</f>
      </c>
      <c r="L4031" s="43">
        <f>IF($I4031=0,0,$J4031*$H4031/100/12)</f>
      </c>
      <c r="M4031" s="43">
        <f>IF($I4031=0,0,IF(OR(INDEX(DarlOhneTilgung,9)=1,AND(INDEX(DarlTilgStart,9)&gt;0,$E4031&lt;INDEX(DarlTilgStart,9))),0,MIN(MAX(0,$K4031-$L4031),$J4031)))</f>
      </c>
      <c r="N4031" s="43">
        <f>IF($I4031=0,0,MIN(SUMIFS(SondBetrag,SondDarl,9,SondDatum,"&gt;="&amp;$E4031,SondDatum,"&lt;="&amp;EOMONTH($E4031,0)),$J4031-$M4031))</f>
      </c>
      <c r="O4031" s="43">
        <f>IF($I4031=0,0,INDEX(DarlErsatzRate,9))</f>
      </c>
      <c r="P4031" s="43">
        <f>IF($I4031=0,0,$Q4030*INDEX(DarlErsatzZins,9))</f>
      </c>
      <c r="Q4031" s="43">
        <f>IF($I4031=0,0,$Q4030+$P4031+$O4031)</f>
      </c>
      <c r="R4031" s="43">
        <f>IF($I4031=0,0,$J4031-$M4031-$N4031)</f>
      </c>
    </row>
    <row r="4032">
      <c r="A4032"/>
      <c r="B4032">
        <v>9</v>
      </c>
      <c r="C4032" s="43">
        <f>INDEX(DarlObj,9)</f>
      </c>
      <c r="D4032">
        <v>189</v>
      </c>
      <c r="E4032" s="51">
        <f>IF(INDEX(DarlBelegt,9)=0,0,EOMONTH(INDEX(DarlAuszahlung,9),188)+1)</f>
      </c>
      <c r="F4032" s="43">
        <f>IF($E4032=0,0,YEAR($E4032))</f>
      </c>
      <c r="G4032" s="43">
        <f>IF(INDEX(DarlBindung,9)="",1,IF($E4032&lt;=INDEX(DarlBindung,9),1,0))</f>
      </c>
      <c r="H4032" s="43">
        <f>IF($G4032=1,INDEX(DarlSollzins,9),INDEX(DarlAnschluss,9))</f>
      </c>
      <c r="I4032" s="43">
        <f>IF(INDEX(DarlBelegt,9)=0,0,IF(INDEX(DarlOhneTilgung,9)=1,IF(INDEX(DarlBindung,9)="",1,$G4032),IF($J4032&gt;0.005,1,0)))</f>
      </c>
      <c r="J4032" s="43">
        <f>IF($I4031=0,0,$R4031)</f>
      </c>
      <c r="K4032" s="43">
        <f>IF($I4032=0,0,IF(INDEX(DarlOhneTilgung,9)=1,0,IF(AND(INDEX(DarlTilgStart,9)&gt;0,$E4032=INDEX(DarlTilgStart,9)),$J4032*($H4032+INDEX(DarlTilgung,9))/100/12,IF(AND($G4032=0,$G4031=1),MAX($K4031,$J4032*($H4032+1)/100/12),$K4031))))</f>
      </c>
      <c r="L4032" s="43">
        <f>IF($I4032=0,0,$J4032*$H4032/100/12)</f>
      </c>
      <c r="M4032" s="43">
        <f>IF($I4032=0,0,IF(OR(INDEX(DarlOhneTilgung,9)=1,AND(INDEX(DarlTilgStart,9)&gt;0,$E4032&lt;INDEX(DarlTilgStart,9))),0,MIN(MAX(0,$K4032-$L4032),$J4032)))</f>
      </c>
      <c r="N4032" s="43">
        <f>IF($I4032=0,0,MIN(SUMIFS(SondBetrag,SondDarl,9,SondDatum,"&gt;="&amp;$E4032,SondDatum,"&lt;="&amp;EOMONTH($E4032,0)),$J4032-$M4032))</f>
      </c>
      <c r="O4032" s="43">
        <f>IF($I4032=0,0,INDEX(DarlErsatzRate,9))</f>
      </c>
      <c r="P4032" s="43">
        <f>IF($I4032=0,0,$Q4031*INDEX(DarlErsatzZins,9))</f>
      </c>
      <c r="Q4032" s="43">
        <f>IF($I4032=0,0,$Q4031+$P4032+$O4032)</f>
      </c>
      <c r="R4032" s="43">
        <f>IF($I4032=0,0,$J4032-$M4032-$N4032)</f>
      </c>
    </row>
    <row r="4033">
      <c r="A4033"/>
      <c r="B4033">
        <v>9</v>
      </c>
      <c r="C4033" s="43">
        <f>INDEX(DarlObj,9)</f>
      </c>
      <c r="D4033">
        <v>190</v>
      </c>
      <c r="E4033" s="51">
        <f>IF(INDEX(DarlBelegt,9)=0,0,EOMONTH(INDEX(DarlAuszahlung,9),189)+1)</f>
      </c>
      <c r="F4033" s="43">
        <f>IF($E4033=0,0,YEAR($E4033))</f>
      </c>
      <c r="G4033" s="43">
        <f>IF(INDEX(DarlBindung,9)="",1,IF($E4033&lt;=INDEX(DarlBindung,9),1,0))</f>
      </c>
      <c r="H4033" s="43">
        <f>IF($G4033=1,INDEX(DarlSollzins,9),INDEX(DarlAnschluss,9))</f>
      </c>
      <c r="I4033" s="43">
        <f>IF(INDEX(DarlBelegt,9)=0,0,IF(INDEX(DarlOhneTilgung,9)=1,IF(INDEX(DarlBindung,9)="",1,$G4033),IF($J4033&gt;0.005,1,0)))</f>
      </c>
      <c r="J4033" s="43">
        <f>IF($I4032=0,0,$R4032)</f>
      </c>
      <c r="K4033" s="43">
        <f>IF($I4033=0,0,IF(INDEX(DarlOhneTilgung,9)=1,0,IF(AND(INDEX(DarlTilgStart,9)&gt;0,$E4033=INDEX(DarlTilgStart,9)),$J4033*($H4033+INDEX(DarlTilgung,9))/100/12,IF(AND($G4033=0,$G4032=1),MAX($K4032,$J4033*($H4033+1)/100/12),$K4032))))</f>
      </c>
      <c r="L4033" s="43">
        <f>IF($I4033=0,0,$J4033*$H4033/100/12)</f>
      </c>
      <c r="M4033" s="43">
        <f>IF($I4033=0,0,IF(OR(INDEX(DarlOhneTilgung,9)=1,AND(INDEX(DarlTilgStart,9)&gt;0,$E4033&lt;INDEX(DarlTilgStart,9))),0,MIN(MAX(0,$K4033-$L4033),$J4033)))</f>
      </c>
      <c r="N4033" s="43">
        <f>IF($I4033=0,0,MIN(SUMIFS(SondBetrag,SondDarl,9,SondDatum,"&gt;="&amp;$E4033,SondDatum,"&lt;="&amp;EOMONTH($E4033,0)),$J4033-$M4033))</f>
      </c>
      <c r="O4033" s="43">
        <f>IF($I4033=0,0,INDEX(DarlErsatzRate,9))</f>
      </c>
      <c r="P4033" s="43">
        <f>IF($I4033=0,0,$Q4032*INDEX(DarlErsatzZins,9))</f>
      </c>
      <c r="Q4033" s="43">
        <f>IF($I4033=0,0,$Q4032+$P4033+$O4033)</f>
      </c>
      <c r="R4033" s="43">
        <f>IF($I4033=0,0,$J4033-$M4033-$N4033)</f>
      </c>
    </row>
    <row r="4034">
      <c r="A4034"/>
      <c r="B4034">
        <v>9</v>
      </c>
      <c r="C4034" s="43">
        <f>INDEX(DarlObj,9)</f>
      </c>
      <c r="D4034">
        <v>191</v>
      </c>
      <c r="E4034" s="51">
        <f>IF(INDEX(DarlBelegt,9)=0,0,EOMONTH(INDEX(DarlAuszahlung,9),190)+1)</f>
      </c>
      <c r="F4034" s="43">
        <f>IF($E4034=0,0,YEAR($E4034))</f>
      </c>
      <c r="G4034" s="43">
        <f>IF(INDEX(DarlBindung,9)="",1,IF($E4034&lt;=INDEX(DarlBindung,9),1,0))</f>
      </c>
      <c r="H4034" s="43">
        <f>IF($G4034=1,INDEX(DarlSollzins,9),INDEX(DarlAnschluss,9))</f>
      </c>
      <c r="I4034" s="43">
        <f>IF(INDEX(DarlBelegt,9)=0,0,IF(INDEX(DarlOhneTilgung,9)=1,IF(INDEX(DarlBindung,9)="",1,$G4034),IF($J4034&gt;0.005,1,0)))</f>
      </c>
      <c r="J4034" s="43">
        <f>IF($I4033=0,0,$R4033)</f>
      </c>
      <c r="K4034" s="43">
        <f>IF($I4034=0,0,IF(INDEX(DarlOhneTilgung,9)=1,0,IF(AND(INDEX(DarlTilgStart,9)&gt;0,$E4034=INDEX(DarlTilgStart,9)),$J4034*($H4034+INDEX(DarlTilgung,9))/100/12,IF(AND($G4034=0,$G4033=1),MAX($K4033,$J4034*($H4034+1)/100/12),$K4033))))</f>
      </c>
      <c r="L4034" s="43">
        <f>IF($I4034=0,0,$J4034*$H4034/100/12)</f>
      </c>
      <c r="M4034" s="43">
        <f>IF($I4034=0,0,IF(OR(INDEX(DarlOhneTilgung,9)=1,AND(INDEX(DarlTilgStart,9)&gt;0,$E4034&lt;INDEX(DarlTilgStart,9))),0,MIN(MAX(0,$K4034-$L4034),$J4034)))</f>
      </c>
      <c r="N4034" s="43">
        <f>IF($I4034=0,0,MIN(SUMIFS(SondBetrag,SondDarl,9,SondDatum,"&gt;="&amp;$E4034,SondDatum,"&lt;="&amp;EOMONTH($E4034,0)),$J4034-$M4034))</f>
      </c>
      <c r="O4034" s="43">
        <f>IF($I4034=0,0,INDEX(DarlErsatzRate,9))</f>
      </c>
      <c r="P4034" s="43">
        <f>IF($I4034=0,0,$Q4033*INDEX(DarlErsatzZins,9))</f>
      </c>
      <c r="Q4034" s="43">
        <f>IF($I4034=0,0,$Q4033+$P4034+$O4034)</f>
      </c>
      <c r="R4034" s="43">
        <f>IF($I4034=0,0,$J4034-$M4034-$N4034)</f>
      </c>
    </row>
    <row r="4035">
      <c r="A4035"/>
      <c r="B4035">
        <v>9</v>
      </c>
      <c r="C4035" s="43">
        <f>INDEX(DarlObj,9)</f>
      </c>
      <c r="D4035">
        <v>192</v>
      </c>
      <c r="E4035" s="51">
        <f>IF(INDEX(DarlBelegt,9)=0,0,EOMONTH(INDEX(DarlAuszahlung,9),191)+1)</f>
      </c>
      <c r="F4035" s="43">
        <f>IF($E4035=0,0,YEAR($E4035))</f>
      </c>
      <c r="G4035" s="43">
        <f>IF(INDEX(DarlBindung,9)="",1,IF($E4035&lt;=INDEX(DarlBindung,9),1,0))</f>
      </c>
      <c r="H4035" s="43">
        <f>IF($G4035=1,INDEX(DarlSollzins,9),INDEX(DarlAnschluss,9))</f>
      </c>
      <c r="I4035" s="43">
        <f>IF(INDEX(DarlBelegt,9)=0,0,IF(INDEX(DarlOhneTilgung,9)=1,IF(INDEX(DarlBindung,9)="",1,$G4035),IF($J4035&gt;0.005,1,0)))</f>
      </c>
      <c r="J4035" s="43">
        <f>IF($I4034=0,0,$R4034)</f>
      </c>
      <c r="K4035" s="43">
        <f>IF($I4035=0,0,IF(INDEX(DarlOhneTilgung,9)=1,0,IF(AND(INDEX(DarlTilgStart,9)&gt;0,$E4035=INDEX(DarlTilgStart,9)),$J4035*($H4035+INDEX(DarlTilgung,9))/100/12,IF(AND($G4035=0,$G4034=1),MAX($K4034,$J4035*($H4035+1)/100/12),$K4034))))</f>
      </c>
      <c r="L4035" s="43">
        <f>IF($I4035=0,0,$J4035*$H4035/100/12)</f>
      </c>
      <c r="M4035" s="43">
        <f>IF($I4035=0,0,IF(OR(INDEX(DarlOhneTilgung,9)=1,AND(INDEX(DarlTilgStart,9)&gt;0,$E4035&lt;INDEX(DarlTilgStart,9))),0,MIN(MAX(0,$K4035-$L4035),$J4035)))</f>
      </c>
      <c r="N4035" s="43">
        <f>IF($I4035=0,0,MIN(SUMIFS(SondBetrag,SondDarl,9,SondDatum,"&gt;="&amp;$E4035,SondDatum,"&lt;="&amp;EOMONTH($E4035,0)),$J4035-$M4035))</f>
      </c>
      <c r="O4035" s="43">
        <f>IF($I4035=0,0,INDEX(DarlErsatzRate,9))</f>
      </c>
      <c r="P4035" s="43">
        <f>IF($I4035=0,0,$Q4034*INDEX(DarlErsatzZins,9))</f>
      </c>
      <c r="Q4035" s="43">
        <f>IF($I4035=0,0,$Q4034+$P4035+$O4035)</f>
      </c>
      <c r="R4035" s="43">
        <f>IF($I4035=0,0,$J4035-$M4035-$N4035)</f>
      </c>
    </row>
    <row r="4036">
      <c r="A4036"/>
      <c r="B4036">
        <v>9</v>
      </c>
      <c r="C4036" s="43">
        <f>INDEX(DarlObj,9)</f>
      </c>
      <c r="D4036">
        <v>193</v>
      </c>
      <c r="E4036" s="51">
        <f>IF(INDEX(DarlBelegt,9)=0,0,EOMONTH(INDEX(DarlAuszahlung,9),192)+1)</f>
      </c>
      <c r="F4036" s="43">
        <f>IF($E4036=0,0,YEAR($E4036))</f>
      </c>
      <c r="G4036" s="43">
        <f>IF(INDEX(DarlBindung,9)="",1,IF($E4036&lt;=INDEX(DarlBindung,9),1,0))</f>
      </c>
      <c r="H4036" s="43">
        <f>IF($G4036=1,INDEX(DarlSollzins,9),INDEX(DarlAnschluss,9))</f>
      </c>
      <c r="I4036" s="43">
        <f>IF(INDEX(DarlBelegt,9)=0,0,IF(INDEX(DarlOhneTilgung,9)=1,IF(INDEX(DarlBindung,9)="",1,$G4036),IF($J4036&gt;0.005,1,0)))</f>
      </c>
      <c r="J4036" s="43">
        <f>IF($I4035=0,0,$R4035)</f>
      </c>
      <c r="K4036" s="43">
        <f>IF($I4036=0,0,IF(INDEX(DarlOhneTilgung,9)=1,0,IF(AND(INDEX(DarlTilgStart,9)&gt;0,$E4036=INDEX(DarlTilgStart,9)),$J4036*($H4036+INDEX(DarlTilgung,9))/100/12,IF(AND($G4036=0,$G4035=1),MAX($K4035,$J4036*($H4036+1)/100/12),$K4035))))</f>
      </c>
      <c r="L4036" s="43">
        <f>IF($I4036=0,0,$J4036*$H4036/100/12)</f>
      </c>
      <c r="M4036" s="43">
        <f>IF($I4036=0,0,IF(OR(INDEX(DarlOhneTilgung,9)=1,AND(INDEX(DarlTilgStart,9)&gt;0,$E4036&lt;INDEX(DarlTilgStart,9))),0,MIN(MAX(0,$K4036-$L4036),$J4036)))</f>
      </c>
      <c r="N4036" s="43">
        <f>IF($I4036=0,0,MIN(SUMIFS(SondBetrag,SondDarl,9,SondDatum,"&gt;="&amp;$E4036,SondDatum,"&lt;="&amp;EOMONTH($E4036,0)),$J4036-$M4036))</f>
      </c>
      <c r="O4036" s="43">
        <f>IF($I4036=0,0,INDEX(DarlErsatzRate,9))</f>
      </c>
      <c r="P4036" s="43">
        <f>IF($I4036=0,0,$Q4035*INDEX(DarlErsatzZins,9))</f>
      </c>
      <c r="Q4036" s="43">
        <f>IF($I4036=0,0,$Q4035+$P4036+$O4036)</f>
      </c>
      <c r="R4036" s="43">
        <f>IF($I4036=0,0,$J4036-$M4036-$N4036)</f>
      </c>
    </row>
    <row r="4037">
      <c r="A4037"/>
      <c r="B4037">
        <v>9</v>
      </c>
      <c r="C4037" s="43">
        <f>INDEX(DarlObj,9)</f>
      </c>
      <c r="D4037">
        <v>194</v>
      </c>
      <c r="E4037" s="51">
        <f>IF(INDEX(DarlBelegt,9)=0,0,EOMONTH(INDEX(DarlAuszahlung,9),193)+1)</f>
      </c>
      <c r="F4037" s="43">
        <f>IF($E4037=0,0,YEAR($E4037))</f>
      </c>
      <c r="G4037" s="43">
        <f>IF(INDEX(DarlBindung,9)="",1,IF($E4037&lt;=INDEX(DarlBindung,9),1,0))</f>
      </c>
      <c r="H4037" s="43">
        <f>IF($G4037=1,INDEX(DarlSollzins,9),INDEX(DarlAnschluss,9))</f>
      </c>
      <c r="I4037" s="43">
        <f>IF(INDEX(DarlBelegt,9)=0,0,IF(INDEX(DarlOhneTilgung,9)=1,IF(INDEX(DarlBindung,9)="",1,$G4037),IF($J4037&gt;0.005,1,0)))</f>
      </c>
      <c r="J4037" s="43">
        <f>IF($I4036=0,0,$R4036)</f>
      </c>
      <c r="K4037" s="43">
        <f>IF($I4037=0,0,IF(INDEX(DarlOhneTilgung,9)=1,0,IF(AND(INDEX(DarlTilgStart,9)&gt;0,$E4037=INDEX(DarlTilgStart,9)),$J4037*($H4037+INDEX(DarlTilgung,9))/100/12,IF(AND($G4037=0,$G4036=1),MAX($K4036,$J4037*($H4037+1)/100/12),$K4036))))</f>
      </c>
      <c r="L4037" s="43">
        <f>IF($I4037=0,0,$J4037*$H4037/100/12)</f>
      </c>
      <c r="M4037" s="43">
        <f>IF($I4037=0,0,IF(OR(INDEX(DarlOhneTilgung,9)=1,AND(INDEX(DarlTilgStart,9)&gt;0,$E4037&lt;INDEX(DarlTilgStart,9))),0,MIN(MAX(0,$K4037-$L4037),$J4037)))</f>
      </c>
      <c r="N4037" s="43">
        <f>IF($I4037=0,0,MIN(SUMIFS(SondBetrag,SondDarl,9,SondDatum,"&gt;="&amp;$E4037,SondDatum,"&lt;="&amp;EOMONTH($E4037,0)),$J4037-$M4037))</f>
      </c>
      <c r="O4037" s="43">
        <f>IF($I4037=0,0,INDEX(DarlErsatzRate,9))</f>
      </c>
      <c r="P4037" s="43">
        <f>IF($I4037=0,0,$Q4036*INDEX(DarlErsatzZins,9))</f>
      </c>
      <c r="Q4037" s="43">
        <f>IF($I4037=0,0,$Q4036+$P4037+$O4037)</f>
      </c>
      <c r="R4037" s="43">
        <f>IF($I4037=0,0,$J4037-$M4037-$N4037)</f>
      </c>
    </row>
    <row r="4038">
      <c r="A4038"/>
      <c r="B4038">
        <v>9</v>
      </c>
      <c r="C4038" s="43">
        <f>INDEX(DarlObj,9)</f>
      </c>
      <c r="D4038">
        <v>195</v>
      </c>
      <c r="E4038" s="51">
        <f>IF(INDEX(DarlBelegt,9)=0,0,EOMONTH(INDEX(DarlAuszahlung,9),194)+1)</f>
      </c>
      <c r="F4038" s="43">
        <f>IF($E4038=0,0,YEAR($E4038))</f>
      </c>
      <c r="G4038" s="43">
        <f>IF(INDEX(DarlBindung,9)="",1,IF($E4038&lt;=INDEX(DarlBindung,9),1,0))</f>
      </c>
      <c r="H4038" s="43">
        <f>IF($G4038=1,INDEX(DarlSollzins,9),INDEX(DarlAnschluss,9))</f>
      </c>
      <c r="I4038" s="43">
        <f>IF(INDEX(DarlBelegt,9)=0,0,IF(INDEX(DarlOhneTilgung,9)=1,IF(INDEX(DarlBindung,9)="",1,$G4038),IF($J4038&gt;0.005,1,0)))</f>
      </c>
      <c r="J4038" s="43">
        <f>IF($I4037=0,0,$R4037)</f>
      </c>
      <c r="K4038" s="43">
        <f>IF($I4038=0,0,IF(INDEX(DarlOhneTilgung,9)=1,0,IF(AND(INDEX(DarlTilgStart,9)&gt;0,$E4038=INDEX(DarlTilgStart,9)),$J4038*($H4038+INDEX(DarlTilgung,9))/100/12,IF(AND($G4038=0,$G4037=1),MAX($K4037,$J4038*($H4038+1)/100/12),$K4037))))</f>
      </c>
      <c r="L4038" s="43">
        <f>IF($I4038=0,0,$J4038*$H4038/100/12)</f>
      </c>
      <c r="M4038" s="43">
        <f>IF($I4038=0,0,IF(OR(INDEX(DarlOhneTilgung,9)=1,AND(INDEX(DarlTilgStart,9)&gt;0,$E4038&lt;INDEX(DarlTilgStart,9))),0,MIN(MAX(0,$K4038-$L4038),$J4038)))</f>
      </c>
      <c r="N4038" s="43">
        <f>IF($I4038=0,0,MIN(SUMIFS(SondBetrag,SondDarl,9,SondDatum,"&gt;="&amp;$E4038,SondDatum,"&lt;="&amp;EOMONTH($E4038,0)),$J4038-$M4038))</f>
      </c>
      <c r="O4038" s="43">
        <f>IF($I4038=0,0,INDEX(DarlErsatzRate,9))</f>
      </c>
      <c r="P4038" s="43">
        <f>IF($I4038=0,0,$Q4037*INDEX(DarlErsatzZins,9))</f>
      </c>
      <c r="Q4038" s="43">
        <f>IF($I4038=0,0,$Q4037+$P4038+$O4038)</f>
      </c>
      <c r="R4038" s="43">
        <f>IF($I4038=0,0,$J4038-$M4038-$N4038)</f>
      </c>
    </row>
    <row r="4039">
      <c r="A4039"/>
      <c r="B4039">
        <v>9</v>
      </c>
      <c r="C4039" s="43">
        <f>INDEX(DarlObj,9)</f>
      </c>
      <c r="D4039">
        <v>196</v>
      </c>
      <c r="E4039" s="51">
        <f>IF(INDEX(DarlBelegt,9)=0,0,EOMONTH(INDEX(DarlAuszahlung,9),195)+1)</f>
      </c>
      <c r="F4039" s="43">
        <f>IF($E4039=0,0,YEAR($E4039))</f>
      </c>
      <c r="G4039" s="43">
        <f>IF(INDEX(DarlBindung,9)="",1,IF($E4039&lt;=INDEX(DarlBindung,9),1,0))</f>
      </c>
      <c r="H4039" s="43">
        <f>IF($G4039=1,INDEX(DarlSollzins,9),INDEX(DarlAnschluss,9))</f>
      </c>
      <c r="I4039" s="43">
        <f>IF(INDEX(DarlBelegt,9)=0,0,IF(INDEX(DarlOhneTilgung,9)=1,IF(INDEX(DarlBindung,9)="",1,$G4039),IF($J4039&gt;0.005,1,0)))</f>
      </c>
      <c r="J4039" s="43">
        <f>IF($I4038=0,0,$R4038)</f>
      </c>
      <c r="K4039" s="43">
        <f>IF($I4039=0,0,IF(INDEX(DarlOhneTilgung,9)=1,0,IF(AND(INDEX(DarlTilgStart,9)&gt;0,$E4039=INDEX(DarlTilgStart,9)),$J4039*($H4039+INDEX(DarlTilgung,9))/100/12,IF(AND($G4039=0,$G4038=1),MAX($K4038,$J4039*($H4039+1)/100/12),$K4038))))</f>
      </c>
      <c r="L4039" s="43">
        <f>IF($I4039=0,0,$J4039*$H4039/100/12)</f>
      </c>
      <c r="M4039" s="43">
        <f>IF($I4039=0,0,IF(OR(INDEX(DarlOhneTilgung,9)=1,AND(INDEX(DarlTilgStart,9)&gt;0,$E4039&lt;INDEX(DarlTilgStart,9))),0,MIN(MAX(0,$K4039-$L4039),$J4039)))</f>
      </c>
      <c r="N4039" s="43">
        <f>IF($I4039=0,0,MIN(SUMIFS(SondBetrag,SondDarl,9,SondDatum,"&gt;="&amp;$E4039,SondDatum,"&lt;="&amp;EOMONTH($E4039,0)),$J4039-$M4039))</f>
      </c>
      <c r="O4039" s="43">
        <f>IF($I4039=0,0,INDEX(DarlErsatzRate,9))</f>
      </c>
      <c r="P4039" s="43">
        <f>IF($I4039=0,0,$Q4038*INDEX(DarlErsatzZins,9))</f>
      </c>
      <c r="Q4039" s="43">
        <f>IF($I4039=0,0,$Q4038+$P4039+$O4039)</f>
      </c>
      <c r="R4039" s="43">
        <f>IF($I4039=0,0,$J4039-$M4039-$N4039)</f>
      </c>
    </row>
    <row r="4040">
      <c r="A4040"/>
      <c r="B4040">
        <v>9</v>
      </c>
      <c r="C4040" s="43">
        <f>INDEX(DarlObj,9)</f>
      </c>
      <c r="D4040">
        <v>197</v>
      </c>
      <c r="E4040" s="51">
        <f>IF(INDEX(DarlBelegt,9)=0,0,EOMONTH(INDEX(DarlAuszahlung,9),196)+1)</f>
      </c>
      <c r="F4040" s="43">
        <f>IF($E4040=0,0,YEAR($E4040))</f>
      </c>
      <c r="G4040" s="43">
        <f>IF(INDEX(DarlBindung,9)="",1,IF($E4040&lt;=INDEX(DarlBindung,9),1,0))</f>
      </c>
      <c r="H4040" s="43">
        <f>IF($G4040=1,INDEX(DarlSollzins,9),INDEX(DarlAnschluss,9))</f>
      </c>
      <c r="I4040" s="43">
        <f>IF(INDEX(DarlBelegt,9)=0,0,IF(INDEX(DarlOhneTilgung,9)=1,IF(INDEX(DarlBindung,9)="",1,$G4040),IF($J4040&gt;0.005,1,0)))</f>
      </c>
      <c r="J4040" s="43">
        <f>IF($I4039=0,0,$R4039)</f>
      </c>
      <c r="K4040" s="43">
        <f>IF($I4040=0,0,IF(INDEX(DarlOhneTilgung,9)=1,0,IF(AND(INDEX(DarlTilgStart,9)&gt;0,$E4040=INDEX(DarlTilgStart,9)),$J4040*($H4040+INDEX(DarlTilgung,9))/100/12,IF(AND($G4040=0,$G4039=1),MAX($K4039,$J4040*($H4040+1)/100/12),$K4039))))</f>
      </c>
      <c r="L4040" s="43">
        <f>IF($I4040=0,0,$J4040*$H4040/100/12)</f>
      </c>
      <c r="M4040" s="43">
        <f>IF($I4040=0,0,IF(OR(INDEX(DarlOhneTilgung,9)=1,AND(INDEX(DarlTilgStart,9)&gt;0,$E4040&lt;INDEX(DarlTilgStart,9))),0,MIN(MAX(0,$K4040-$L4040),$J4040)))</f>
      </c>
      <c r="N4040" s="43">
        <f>IF($I4040=0,0,MIN(SUMIFS(SondBetrag,SondDarl,9,SondDatum,"&gt;="&amp;$E4040,SondDatum,"&lt;="&amp;EOMONTH($E4040,0)),$J4040-$M4040))</f>
      </c>
      <c r="O4040" s="43">
        <f>IF($I4040=0,0,INDEX(DarlErsatzRate,9))</f>
      </c>
      <c r="P4040" s="43">
        <f>IF($I4040=0,0,$Q4039*INDEX(DarlErsatzZins,9))</f>
      </c>
      <c r="Q4040" s="43">
        <f>IF($I4040=0,0,$Q4039+$P4040+$O4040)</f>
      </c>
      <c r="R4040" s="43">
        <f>IF($I4040=0,0,$J4040-$M4040-$N4040)</f>
      </c>
    </row>
    <row r="4041">
      <c r="A4041"/>
      <c r="B4041">
        <v>9</v>
      </c>
      <c r="C4041" s="43">
        <f>INDEX(DarlObj,9)</f>
      </c>
      <c r="D4041">
        <v>198</v>
      </c>
      <c r="E4041" s="51">
        <f>IF(INDEX(DarlBelegt,9)=0,0,EOMONTH(INDEX(DarlAuszahlung,9),197)+1)</f>
      </c>
      <c r="F4041" s="43">
        <f>IF($E4041=0,0,YEAR($E4041))</f>
      </c>
      <c r="G4041" s="43">
        <f>IF(INDEX(DarlBindung,9)="",1,IF($E4041&lt;=INDEX(DarlBindung,9),1,0))</f>
      </c>
      <c r="H4041" s="43">
        <f>IF($G4041=1,INDEX(DarlSollzins,9),INDEX(DarlAnschluss,9))</f>
      </c>
      <c r="I4041" s="43">
        <f>IF(INDEX(DarlBelegt,9)=0,0,IF(INDEX(DarlOhneTilgung,9)=1,IF(INDEX(DarlBindung,9)="",1,$G4041),IF($J4041&gt;0.005,1,0)))</f>
      </c>
      <c r="J4041" s="43">
        <f>IF($I4040=0,0,$R4040)</f>
      </c>
      <c r="K4041" s="43">
        <f>IF($I4041=0,0,IF(INDEX(DarlOhneTilgung,9)=1,0,IF(AND(INDEX(DarlTilgStart,9)&gt;0,$E4041=INDEX(DarlTilgStart,9)),$J4041*($H4041+INDEX(DarlTilgung,9))/100/12,IF(AND($G4041=0,$G4040=1),MAX($K4040,$J4041*($H4041+1)/100/12),$K4040))))</f>
      </c>
      <c r="L4041" s="43">
        <f>IF($I4041=0,0,$J4041*$H4041/100/12)</f>
      </c>
      <c r="M4041" s="43">
        <f>IF($I4041=0,0,IF(OR(INDEX(DarlOhneTilgung,9)=1,AND(INDEX(DarlTilgStart,9)&gt;0,$E4041&lt;INDEX(DarlTilgStart,9))),0,MIN(MAX(0,$K4041-$L4041),$J4041)))</f>
      </c>
      <c r="N4041" s="43">
        <f>IF($I4041=0,0,MIN(SUMIFS(SondBetrag,SondDarl,9,SondDatum,"&gt;="&amp;$E4041,SondDatum,"&lt;="&amp;EOMONTH($E4041,0)),$J4041-$M4041))</f>
      </c>
      <c r="O4041" s="43">
        <f>IF($I4041=0,0,INDEX(DarlErsatzRate,9))</f>
      </c>
      <c r="P4041" s="43">
        <f>IF($I4041=0,0,$Q4040*INDEX(DarlErsatzZins,9))</f>
      </c>
      <c r="Q4041" s="43">
        <f>IF($I4041=0,0,$Q4040+$P4041+$O4041)</f>
      </c>
      <c r="R4041" s="43">
        <f>IF($I4041=0,0,$J4041-$M4041-$N4041)</f>
      </c>
    </row>
    <row r="4042">
      <c r="A4042"/>
      <c r="B4042">
        <v>9</v>
      </c>
      <c r="C4042" s="43">
        <f>INDEX(DarlObj,9)</f>
      </c>
      <c r="D4042">
        <v>199</v>
      </c>
      <c r="E4042" s="51">
        <f>IF(INDEX(DarlBelegt,9)=0,0,EOMONTH(INDEX(DarlAuszahlung,9),198)+1)</f>
      </c>
      <c r="F4042" s="43">
        <f>IF($E4042=0,0,YEAR($E4042))</f>
      </c>
      <c r="G4042" s="43">
        <f>IF(INDEX(DarlBindung,9)="",1,IF($E4042&lt;=INDEX(DarlBindung,9),1,0))</f>
      </c>
      <c r="H4042" s="43">
        <f>IF($G4042=1,INDEX(DarlSollzins,9),INDEX(DarlAnschluss,9))</f>
      </c>
      <c r="I4042" s="43">
        <f>IF(INDEX(DarlBelegt,9)=0,0,IF(INDEX(DarlOhneTilgung,9)=1,IF(INDEX(DarlBindung,9)="",1,$G4042),IF($J4042&gt;0.005,1,0)))</f>
      </c>
      <c r="J4042" s="43">
        <f>IF($I4041=0,0,$R4041)</f>
      </c>
      <c r="K4042" s="43">
        <f>IF($I4042=0,0,IF(INDEX(DarlOhneTilgung,9)=1,0,IF(AND(INDEX(DarlTilgStart,9)&gt;0,$E4042=INDEX(DarlTilgStart,9)),$J4042*($H4042+INDEX(DarlTilgung,9))/100/12,IF(AND($G4042=0,$G4041=1),MAX($K4041,$J4042*($H4042+1)/100/12),$K4041))))</f>
      </c>
      <c r="L4042" s="43">
        <f>IF($I4042=0,0,$J4042*$H4042/100/12)</f>
      </c>
      <c r="M4042" s="43">
        <f>IF($I4042=0,0,IF(OR(INDEX(DarlOhneTilgung,9)=1,AND(INDEX(DarlTilgStart,9)&gt;0,$E4042&lt;INDEX(DarlTilgStart,9))),0,MIN(MAX(0,$K4042-$L4042),$J4042)))</f>
      </c>
      <c r="N4042" s="43">
        <f>IF($I4042=0,0,MIN(SUMIFS(SondBetrag,SondDarl,9,SondDatum,"&gt;="&amp;$E4042,SondDatum,"&lt;="&amp;EOMONTH($E4042,0)),$J4042-$M4042))</f>
      </c>
      <c r="O4042" s="43">
        <f>IF($I4042=0,0,INDEX(DarlErsatzRate,9))</f>
      </c>
      <c r="P4042" s="43">
        <f>IF($I4042=0,0,$Q4041*INDEX(DarlErsatzZins,9))</f>
      </c>
      <c r="Q4042" s="43">
        <f>IF($I4042=0,0,$Q4041+$P4042+$O4042)</f>
      </c>
      <c r="R4042" s="43">
        <f>IF($I4042=0,0,$J4042-$M4042-$N4042)</f>
      </c>
    </row>
    <row r="4043">
      <c r="A4043"/>
      <c r="B4043">
        <v>9</v>
      </c>
      <c r="C4043" s="43">
        <f>INDEX(DarlObj,9)</f>
      </c>
      <c r="D4043">
        <v>200</v>
      </c>
      <c r="E4043" s="51">
        <f>IF(INDEX(DarlBelegt,9)=0,0,EOMONTH(INDEX(DarlAuszahlung,9),199)+1)</f>
      </c>
      <c r="F4043" s="43">
        <f>IF($E4043=0,0,YEAR($E4043))</f>
      </c>
      <c r="G4043" s="43">
        <f>IF(INDEX(DarlBindung,9)="",1,IF($E4043&lt;=INDEX(DarlBindung,9),1,0))</f>
      </c>
      <c r="H4043" s="43">
        <f>IF($G4043=1,INDEX(DarlSollzins,9),INDEX(DarlAnschluss,9))</f>
      </c>
      <c r="I4043" s="43">
        <f>IF(INDEX(DarlBelegt,9)=0,0,IF(INDEX(DarlOhneTilgung,9)=1,IF(INDEX(DarlBindung,9)="",1,$G4043),IF($J4043&gt;0.005,1,0)))</f>
      </c>
      <c r="J4043" s="43">
        <f>IF($I4042=0,0,$R4042)</f>
      </c>
      <c r="K4043" s="43">
        <f>IF($I4043=0,0,IF(INDEX(DarlOhneTilgung,9)=1,0,IF(AND(INDEX(DarlTilgStart,9)&gt;0,$E4043=INDEX(DarlTilgStart,9)),$J4043*($H4043+INDEX(DarlTilgung,9))/100/12,IF(AND($G4043=0,$G4042=1),MAX($K4042,$J4043*($H4043+1)/100/12),$K4042))))</f>
      </c>
      <c r="L4043" s="43">
        <f>IF($I4043=0,0,$J4043*$H4043/100/12)</f>
      </c>
      <c r="M4043" s="43">
        <f>IF($I4043=0,0,IF(OR(INDEX(DarlOhneTilgung,9)=1,AND(INDEX(DarlTilgStart,9)&gt;0,$E4043&lt;INDEX(DarlTilgStart,9))),0,MIN(MAX(0,$K4043-$L4043),$J4043)))</f>
      </c>
      <c r="N4043" s="43">
        <f>IF($I4043=0,0,MIN(SUMIFS(SondBetrag,SondDarl,9,SondDatum,"&gt;="&amp;$E4043,SondDatum,"&lt;="&amp;EOMONTH($E4043,0)),$J4043-$M4043))</f>
      </c>
      <c r="O4043" s="43">
        <f>IF($I4043=0,0,INDEX(DarlErsatzRate,9))</f>
      </c>
      <c r="P4043" s="43">
        <f>IF($I4043=0,0,$Q4042*INDEX(DarlErsatzZins,9))</f>
      </c>
      <c r="Q4043" s="43">
        <f>IF($I4043=0,0,$Q4042+$P4043+$O4043)</f>
      </c>
      <c r="R4043" s="43">
        <f>IF($I4043=0,0,$J4043-$M4043-$N4043)</f>
      </c>
    </row>
    <row r="4044">
      <c r="A4044"/>
      <c r="B4044">
        <v>9</v>
      </c>
      <c r="C4044" s="43">
        <f>INDEX(DarlObj,9)</f>
      </c>
      <c r="D4044">
        <v>201</v>
      </c>
      <c r="E4044" s="51">
        <f>IF(INDEX(DarlBelegt,9)=0,0,EOMONTH(INDEX(DarlAuszahlung,9),200)+1)</f>
      </c>
      <c r="F4044" s="43">
        <f>IF($E4044=0,0,YEAR($E4044))</f>
      </c>
      <c r="G4044" s="43">
        <f>IF(INDEX(DarlBindung,9)="",1,IF($E4044&lt;=INDEX(DarlBindung,9),1,0))</f>
      </c>
      <c r="H4044" s="43">
        <f>IF($G4044=1,INDEX(DarlSollzins,9),INDEX(DarlAnschluss,9))</f>
      </c>
      <c r="I4044" s="43">
        <f>IF(INDEX(DarlBelegt,9)=0,0,IF(INDEX(DarlOhneTilgung,9)=1,IF(INDEX(DarlBindung,9)="",1,$G4044),IF($J4044&gt;0.005,1,0)))</f>
      </c>
      <c r="J4044" s="43">
        <f>IF($I4043=0,0,$R4043)</f>
      </c>
      <c r="K4044" s="43">
        <f>IF($I4044=0,0,IF(INDEX(DarlOhneTilgung,9)=1,0,IF(AND(INDEX(DarlTilgStart,9)&gt;0,$E4044=INDEX(DarlTilgStart,9)),$J4044*($H4044+INDEX(DarlTilgung,9))/100/12,IF(AND($G4044=0,$G4043=1),MAX($K4043,$J4044*($H4044+1)/100/12),$K4043))))</f>
      </c>
      <c r="L4044" s="43">
        <f>IF($I4044=0,0,$J4044*$H4044/100/12)</f>
      </c>
      <c r="M4044" s="43">
        <f>IF($I4044=0,0,IF(OR(INDEX(DarlOhneTilgung,9)=1,AND(INDEX(DarlTilgStart,9)&gt;0,$E4044&lt;INDEX(DarlTilgStart,9))),0,MIN(MAX(0,$K4044-$L4044),$J4044)))</f>
      </c>
      <c r="N4044" s="43">
        <f>IF($I4044=0,0,MIN(SUMIFS(SondBetrag,SondDarl,9,SondDatum,"&gt;="&amp;$E4044,SondDatum,"&lt;="&amp;EOMONTH($E4044,0)),$J4044-$M4044))</f>
      </c>
      <c r="O4044" s="43">
        <f>IF($I4044=0,0,INDEX(DarlErsatzRate,9))</f>
      </c>
      <c r="P4044" s="43">
        <f>IF($I4044=0,0,$Q4043*INDEX(DarlErsatzZins,9))</f>
      </c>
      <c r="Q4044" s="43">
        <f>IF($I4044=0,0,$Q4043+$P4044+$O4044)</f>
      </c>
      <c r="R4044" s="43">
        <f>IF($I4044=0,0,$J4044-$M4044-$N4044)</f>
      </c>
    </row>
    <row r="4045">
      <c r="A4045"/>
      <c r="B4045">
        <v>9</v>
      </c>
      <c r="C4045" s="43">
        <f>INDEX(DarlObj,9)</f>
      </c>
      <c r="D4045">
        <v>202</v>
      </c>
      <c r="E4045" s="51">
        <f>IF(INDEX(DarlBelegt,9)=0,0,EOMONTH(INDEX(DarlAuszahlung,9),201)+1)</f>
      </c>
      <c r="F4045" s="43">
        <f>IF($E4045=0,0,YEAR($E4045))</f>
      </c>
      <c r="G4045" s="43">
        <f>IF(INDEX(DarlBindung,9)="",1,IF($E4045&lt;=INDEX(DarlBindung,9),1,0))</f>
      </c>
      <c r="H4045" s="43">
        <f>IF($G4045=1,INDEX(DarlSollzins,9),INDEX(DarlAnschluss,9))</f>
      </c>
      <c r="I4045" s="43">
        <f>IF(INDEX(DarlBelegt,9)=0,0,IF(INDEX(DarlOhneTilgung,9)=1,IF(INDEX(DarlBindung,9)="",1,$G4045),IF($J4045&gt;0.005,1,0)))</f>
      </c>
      <c r="J4045" s="43">
        <f>IF($I4044=0,0,$R4044)</f>
      </c>
      <c r="K4045" s="43">
        <f>IF($I4045=0,0,IF(INDEX(DarlOhneTilgung,9)=1,0,IF(AND(INDEX(DarlTilgStart,9)&gt;0,$E4045=INDEX(DarlTilgStart,9)),$J4045*($H4045+INDEX(DarlTilgung,9))/100/12,IF(AND($G4045=0,$G4044=1),MAX($K4044,$J4045*($H4045+1)/100/12),$K4044))))</f>
      </c>
      <c r="L4045" s="43">
        <f>IF($I4045=0,0,$J4045*$H4045/100/12)</f>
      </c>
      <c r="M4045" s="43">
        <f>IF($I4045=0,0,IF(OR(INDEX(DarlOhneTilgung,9)=1,AND(INDEX(DarlTilgStart,9)&gt;0,$E4045&lt;INDEX(DarlTilgStart,9))),0,MIN(MAX(0,$K4045-$L4045),$J4045)))</f>
      </c>
      <c r="N4045" s="43">
        <f>IF($I4045=0,0,MIN(SUMIFS(SondBetrag,SondDarl,9,SondDatum,"&gt;="&amp;$E4045,SondDatum,"&lt;="&amp;EOMONTH($E4045,0)),$J4045-$M4045))</f>
      </c>
      <c r="O4045" s="43">
        <f>IF($I4045=0,0,INDEX(DarlErsatzRate,9))</f>
      </c>
      <c r="P4045" s="43">
        <f>IF($I4045=0,0,$Q4044*INDEX(DarlErsatzZins,9))</f>
      </c>
      <c r="Q4045" s="43">
        <f>IF($I4045=0,0,$Q4044+$P4045+$O4045)</f>
      </c>
      <c r="R4045" s="43">
        <f>IF($I4045=0,0,$J4045-$M4045-$N4045)</f>
      </c>
    </row>
    <row r="4046">
      <c r="A4046"/>
      <c r="B4046">
        <v>9</v>
      </c>
      <c r="C4046" s="43">
        <f>INDEX(DarlObj,9)</f>
      </c>
      <c r="D4046">
        <v>203</v>
      </c>
      <c r="E4046" s="51">
        <f>IF(INDEX(DarlBelegt,9)=0,0,EOMONTH(INDEX(DarlAuszahlung,9),202)+1)</f>
      </c>
      <c r="F4046" s="43">
        <f>IF($E4046=0,0,YEAR($E4046))</f>
      </c>
      <c r="G4046" s="43">
        <f>IF(INDEX(DarlBindung,9)="",1,IF($E4046&lt;=INDEX(DarlBindung,9),1,0))</f>
      </c>
      <c r="H4046" s="43">
        <f>IF($G4046=1,INDEX(DarlSollzins,9),INDEX(DarlAnschluss,9))</f>
      </c>
      <c r="I4046" s="43">
        <f>IF(INDEX(DarlBelegt,9)=0,0,IF(INDEX(DarlOhneTilgung,9)=1,IF(INDEX(DarlBindung,9)="",1,$G4046),IF($J4046&gt;0.005,1,0)))</f>
      </c>
      <c r="J4046" s="43">
        <f>IF($I4045=0,0,$R4045)</f>
      </c>
      <c r="K4046" s="43">
        <f>IF($I4046=0,0,IF(INDEX(DarlOhneTilgung,9)=1,0,IF(AND(INDEX(DarlTilgStart,9)&gt;0,$E4046=INDEX(DarlTilgStart,9)),$J4046*($H4046+INDEX(DarlTilgung,9))/100/12,IF(AND($G4046=0,$G4045=1),MAX($K4045,$J4046*($H4046+1)/100/12),$K4045))))</f>
      </c>
      <c r="L4046" s="43">
        <f>IF($I4046=0,0,$J4046*$H4046/100/12)</f>
      </c>
      <c r="M4046" s="43">
        <f>IF($I4046=0,0,IF(OR(INDEX(DarlOhneTilgung,9)=1,AND(INDEX(DarlTilgStart,9)&gt;0,$E4046&lt;INDEX(DarlTilgStart,9))),0,MIN(MAX(0,$K4046-$L4046),$J4046)))</f>
      </c>
      <c r="N4046" s="43">
        <f>IF($I4046=0,0,MIN(SUMIFS(SondBetrag,SondDarl,9,SondDatum,"&gt;="&amp;$E4046,SondDatum,"&lt;="&amp;EOMONTH($E4046,0)),$J4046-$M4046))</f>
      </c>
      <c r="O4046" s="43">
        <f>IF($I4046=0,0,INDEX(DarlErsatzRate,9))</f>
      </c>
      <c r="P4046" s="43">
        <f>IF($I4046=0,0,$Q4045*INDEX(DarlErsatzZins,9))</f>
      </c>
      <c r="Q4046" s="43">
        <f>IF($I4046=0,0,$Q4045+$P4046+$O4046)</f>
      </c>
      <c r="R4046" s="43">
        <f>IF($I4046=0,0,$J4046-$M4046-$N4046)</f>
      </c>
    </row>
    <row r="4047">
      <c r="A4047"/>
      <c r="B4047">
        <v>9</v>
      </c>
      <c r="C4047" s="43">
        <f>INDEX(DarlObj,9)</f>
      </c>
      <c r="D4047">
        <v>204</v>
      </c>
      <c r="E4047" s="51">
        <f>IF(INDEX(DarlBelegt,9)=0,0,EOMONTH(INDEX(DarlAuszahlung,9),203)+1)</f>
      </c>
      <c r="F4047" s="43">
        <f>IF($E4047=0,0,YEAR($E4047))</f>
      </c>
      <c r="G4047" s="43">
        <f>IF(INDEX(DarlBindung,9)="",1,IF($E4047&lt;=INDEX(DarlBindung,9),1,0))</f>
      </c>
      <c r="H4047" s="43">
        <f>IF($G4047=1,INDEX(DarlSollzins,9),INDEX(DarlAnschluss,9))</f>
      </c>
      <c r="I4047" s="43">
        <f>IF(INDEX(DarlBelegt,9)=0,0,IF(INDEX(DarlOhneTilgung,9)=1,IF(INDEX(DarlBindung,9)="",1,$G4047),IF($J4047&gt;0.005,1,0)))</f>
      </c>
      <c r="J4047" s="43">
        <f>IF($I4046=0,0,$R4046)</f>
      </c>
      <c r="K4047" s="43">
        <f>IF($I4047=0,0,IF(INDEX(DarlOhneTilgung,9)=1,0,IF(AND(INDEX(DarlTilgStart,9)&gt;0,$E4047=INDEX(DarlTilgStart,9)),$J4047*($H4047+INDEX(DarlTilgung,9))/100/12,IF(AND($G4047=0,$G4046=1),MAX($K4046,$J4047*($H4047+1)/100/12),$K4046))))</f>
      </c>
      <c r="L4047" s="43">
        <f>IF($I4047=0,0,$J4047*$H4047/100/12)</f>
      </c>
      <c r="M4047" s="43">
        <f>IF($I4047=0,0,IF(OR(INDEX(DarlOhneTilgung,9)=1,AND(INDEX(DarlTilgStart,9)&gt;0,$E4047&lt;INDEX(DarlTilgStart,9))),0,MIN(MAX(0,$K4047-$L4047),$J4047)))</f>
      </c>
      <c r="N4047" s="43">
        <f>IF($I4047=0,0,MIN(SUMIFS(SondBetrag,SondDarl,9,SondDatum,"&gt;="&amp;$E4047,SondDatum,"&lt;="&amp;EOMONTH($E4047,0)),$J4047-$M4047))</f>
      </c>
      <c r="O4047" s="43">
        <f>IF($I4047=0,0,INDEX(DarlErsatzRate,9))</f>
      </c>
      <c r="P4047" s="43">
        <f>IF($I4047=0,0,$Q4046*INDEX(DarlErsatzZins,9))</f>
      </c>
      <c r="Q4047" s="43">
        <f>IF($I4047=0,0,$Q4046+$P4047+$O4047)</f>
      </c>
      <c r="R4047" s="43">
        <f>IF($I4047=0,0,$J4047-$M4047-$N4047)</f>
      </c>
    </row>
    <row r="4048">
      <c r="A4048"/>
      <c r="B4048">
        <v>9</v>
      </c>
      <c r="C4048" s="43">
        <f>INDEX(DarlObj,9)</f>
      </c>
      <c r="D4048">
        <v>205</v>
      </c>
      <c r="E4048" s="51">
        <f>IF(INDEX(DarlBelegt,9)=0,0,EOMONTH(INDEX(DarlAuszahlung,9),204)+1)</f>
      </c>
      <c r="F4048" s="43">
        <f>IF($E4048=0,0,YEAR($E4048))</f>
      </c>
      <c r="G4048" s="43">
        <f>IF(INDEX(DarlBindung,9)="",1,IF($E4048&lt;=INDEX(DarlBindung,9),1,0))</f>
      </c>
      <c r="H4048" s="43">
        <f>IF($G4048=1,INDEX(DarlSollzins,9),INDEX(DarlAnschluss,9))</f>
      </c>
      <c r="I4048" s="43">
        <f>IF(INDEX(DarlBelegt,9)=0,0,IF(INDEX(DarlOhneTilgung,9)=1,IF(INDEX(DarlBindung,9)="",1,$G4048),IF($J4048&gt;0.005,1,0)))</f>
      </c>
      <c r="J4048" s="43">
        <f>IF($I4047=0,0,$R4047)</f>
      </c>
      <c r="K4048" s="43">
        <f>IF($I4048=0,0,IF(INDEX(DarlOhneTilgung,9)=1,0,IF(AND(INDEX(DarlTilgStart,9)&gt;0,$E4048=INDEX(DarlTilgStart,9)),$J4048*($H4048+INDEX(DarlTilgung,9))/100/12,IF(AND($G4048=0,$G4047=1),MAX($K4047,$J4048*($H4048+1)/100/12),$K4047))))</f>
      </c>
      <c r="L4048" s="43">
        <f>IF($I4048=0,0,$J4048*$H4048/100/12)</f>
      </c>
      <c r="M4048" s="43">
        <f>IF($I4048=0,0,IF(OR(INDEX(DarlOhneTilgung,9)=1,AND(INDEX(DarlTilgStart,9)&gt;0,$E4048&lt;INDEX(DarlTilgStart,9))),0,MIN(MAX(0,$K4048-$L4048),$J4048)))</f>
      </c>
      <c r="N4048" s="43">
        <f>IF($I4048=0,0,MIN(SUMIFS(SondBetrag,SondDarl,9,SondDatum,"&gt;="&amp;$E4048,SondDatum,"&lt;="&amp;EOMONTH($E4048,0)),$J4048-$M4048))</f>
      </c>
      <c r="O4048" s="43">
        <f>IF($I4048=0,0,INDEX(DarlErsatzRate,9))</f>
      </c>
      <c r="P4048" s="43">
        <f>IF($I4048=0,0,$Q4047*INDEX(DarlErsatzZins,9))</f>
      </c>
      <c r="Q4048" s="43">
        <f>IF($I4048=0,0,$Q4047+$P4048+$O4048)</f>
      </c>
      <c r="R4048" s="43">
        <f>IF($I4048=0,0,$J4048-$M4048-$N4048)</f>
      </c>
    </row>
    <row r="4049">
      <c r="A4049"/>
      <c r="B4049">
        <v>9</v>
      </c>
      <c r="C4049" s="43">
        <f>INDEX(DarlObj,9)</f>
      </c>
      <c r="D4049">
        <v>206</v>
      </c>
      <c r="E4049" s="51">
        <f>IF(INDEX(DarlBelegt,9)=0,0,EOMONTH(INDEX(DarlAuszahlung,9),205)+1)</f>
      </c>
      <c r="F4049" s="43">
        <f>IF($E4049=0,0,YEAR($E4049))</f>
      </c>
      <c r="G4049" s="43">
        <f>IF(INDEX(DarlBindung,9)="",1,IF($E4049&lt;=INDEX(DarlBindung,9),1,0))</f>
      </c>
      <c r="H4049" s="43">
        <f>IF($G4049=1,INDEX(DarlSollzins,9),INDEX(DarlAnschluss,9))</f>
      </c>
      <c r="I4049" s="43">
        <f>IF(INDEX(DarlBelegt,9)=0,0,IF(INDEX(DarlOhneTilgung,9)=1,IF(INDEX(DarlBindung,9)="",1,$G4049),IF($J4049&gt;0.005,1,0)))</f>
      </c>
      <c r="J4049" s="43">
        <f>IF($I4048=0,0,$R4048)</f>
      </c>
      <c r="K4049" s="43">
        <f>IF($I4049=0,0,IF(INDEX(DarlOhneTilgung,9)=1,0,IF(AND(INDEX(DarlTilgStart,9)&gt;0,$E4049=INDEX(DarlTilgStart,9)),$J4049*($H4049+INDEX(DarlTilgung,9))/100/12,IF(AND($G4049=0,$G4048=1),MAX($K4048,$J4049*($H4049+1)/100/12),$K4048))))</f>
      </c>
      <c r="L4049" s="43">
        <f>IF($I4049=0,0,$J4049*$H4049/100/12)</f>
      </c>
      <c r="M4049" s="43">
        <f>IF($I4049=0,0,IF(OR(INDEX(DarlOhneTilgung,9)=1,AND(INDEX(DarlTilgStart,9)&gt;0,$E4049&lt;INDEX(DarlTilgStart,9))),0,MIN(MAX(0,$K4049-$L4049),$J4049)))</f>
      </c>
      <c r="N4049" s="43">
        <f>IF($I4049=0,0,MIN(SUMIFS(SondBetrag,SondDarl,9,SondDatum,"&gt;="&amp;$E4049,SondDatum,"&lt;="&amp;EOMONTH($E4049,0)),$J4049-$M4049))</f>
      </c>
      <c r="O4049" s="43">
        <f>IF($I4049=0,0,INDEX(DarlErsatzRate,9))</f>
      </c>
      <c r="P4049" s="43">
        <f>IF($I4049=0,0,$Q4048*INDEX(DarlErsatzZins,9))</f>
      </c>
      <c r="Q4049" s="43">
        <f>IF($I4049=0,0,$Q4048+$P4049+$O4049)</f>
      </c>
      <c r="R4049" s="43">
        <f>IF($I4049=0,0,$J4049-$M4049-$N4049)</f>
      </c>
    </row>
    <row r="4050">
      <c r="A4050"/>
      <c r="B4050">
        <v>9</v>
      </c>
      <c r="C4050" s="43">
        <f>INDEX(DarlObj,9)</f>
      </c>
      <c r="D4050">
        <v>207</v>
      </c>
      <c r="E4050" s="51">
        <f>IF(INDEX(DarlBelegt,9)=0,0,EOMONTH(INDEX(DarlAuszahlung,9),206)+1)</f>
      </c>
      <c r="F4050" s="43">
        <f>IF($E4050=0,0,YEAR($E4050))</f>
      </c>
      <c r="G4050" s="43">
        <f>IF(INDEX(DarlBindung,9)="",1,IF($E4050&lt;=INDEX(DarlBindung,9),1,0))</f>
      </c>
      <c r="H4050" s="43">
        <f>IF($G4050=1,INDEX(DarlSollzins,9),INDEX(DarlAnschluss,9))</f>
      </c>
      <c r="I4050" s="43">
        <f>IF(INDEX(DarlBelegt,9)=0,0,IF(INDEX(DarlOhneTilgung,9)=1,IF(INDEX(DarlBindung,9)="",1,$G4050),IF($J4050&gt;0.005,1,0)))</f>
      </c>
      <c r="J4050" s="43">
        <f>IF($I4049=0,0,$R4049)</f>
      </c>
      <c r="K4050" s="43">
        <f>IF($I4050=0,0,IF(INDEX(DarlOhneTilgung,9)=1,0,IF(AND(INDEX(DarlTilgStart,9)&gt;0,$E4050=INDEX(DarlTilgStart,9)),$J4050*($H4050+INDEX(DarlTilgung,9))/100/12,IF(AND($G4050=0,$G4049=1),MAX($K4049,$J4050*($H4050+1)/100/12),$K4049))))</f>
      </c>
      <c r="L4050" s="43">
        <f>IF($I4050=0,0,$J4050*$H4050/100/12)</f>
      </c>
      <c r="M4050" s="43">
        <f>IF($I4050=0,0,IF(OR(INDEX(DarlOhneTilgung,9)=1,AND(INDEX(DarlTilgStart,9)&gt;0,$E4050&lt;INDEX(DarlTilgStart,9))),0,MIN(MAX(0,$K4050-$L4050),$J4050)))</f>
      </c>
      <c r="N4050" s="43">
        <f>IF($I4050=0,0,MIN(SUMIFS(SondBetrag,SondDarl,9,SondDatum,"&gt;="&amp;$E4050,SondDatum,"&lt;="&amp;EOMONTH($E4050,0)),$J4050-$M4050))</f>
      </c>
      <c r="O4050" s="43">
        <f>IF($I4050=0,0,INDEX(DarlErsatzRate,9))</f>
      </c>
      <c r="P4050" s="43">
        <f>IF($I4050=0,0,$Q4049*INDEX(DarlErsatzZins,9))</f>
      </c>
      <c r="Q4050" s="43">
        <f>IF($I4050=0,0,$Q4049+$P4050+$O4050)</f>
      </c>
      <c r="R4050" s="43">
        <f>IF($I4050=0,0,$J4050-$M4050-$N4050)</f>
      </c>
    </row>
    <row r="4051">
      <c r="A4051"/>
      <c r="B4051">
        <v>9</v>
      </c>
      <c r="C4051" s="43">
        <f>INDEX(DarlObj,9)</f>
      </c>
      <c r="D4051">
        <v>208</v>
      </c>
      <c r="E4051" s="51">
        <f>IF(INDEX(DarlBelegt,9)=0,0,EOMONTH(INDEX(DarlAuszahlung,9),207)+1)</f>
      </c>
      <c r="F4051" s="43">
        <f>IF($E4051=0,0,YEAR($E4051))</f>
      </c>
      <c r="G4051" s="43">
        <f>IF(INDEX(DarlBindung,9)="",1,IF($E4051&lt;=INDEX(DarlBindung,9),1,0))</f>
      </c>
      <c r="H4051" s="43">
        <f>IF($G4051=1,INDEX(DarlSollzins,9),INDEX(DarlAnschluss,9))</f>
      </c>
      <c r="I4051" s="43">
        <f>IF(INDEX(DarlBelegt,9)=0,0,IF(INDEX(DarlOhneTilgung,9)=1,IF(INDEX(DarlBindung,9)="",1,$G4051),IF($J4051&gt;0.005,1,0)))</f>
      </c>
      <c r="J4051" s="43">
        <f>IF($I4050=0,0,$R4050)</f>
      </c>
      <c r="K4051" s="43">
        <f>IF($I4051=0,0,IF(INDEX(DarlOhneTilgung,9)=1,0,IF(AND(INDEX(DarlTilgStart,9)&gt;0,$E4051=INDEX(DarlTilgStart,9)),$J4051*($H4051+INDEX(DarlTilgung,9))/100/12,IF(AND($G4051=0,$G4050=1),MAX($K4050,$J4051*($H4051+1)/100/12),$K4050))))</f>
      </c>
      <c r="L4051" s="43">
        <f>IF($I4051=0,0,$J4051*$H4051/100/12)</f>
      </c>
      <c r="M4051" s="43">
        <f>IF($I4051=0,0,IF(OR(INDEX(DarlOhneTilgung,9)=1,AND(INDEX(DarlTilgStart,9)&gt;0,$E4051&lt;INDEX(DarlTilgStart,9))),0,MIN(MAX(0,$K4051-$L4051),$J4051)))</f>
      </c>
      <c r="N4051" s="43">
        <f>IF($I4051=0,0,MIN(SUMIFS(SondBetrag,SondDarl,9,SondDatum,"&gt;="&amp;$E4051,SondDatum,"&lt;="&amp;EOMONTH($E4051,0)),$J4051-$M4051))</f>
      </c>
      <c r="O4051" s="43">
        <f>IF($I4051=0,0,INDEX(DarlErsatzRate,9))</f>
      </c>
      <c r="P4051" s="43">
        <f>IF($I4051=0,0,$Q4050*INDEX(DarlErsatzZins,9))</f>
      </c>
      <c r="Q4051" s="43">
        <f>IF($I4051=0,0,$Q4050+$P4051+$O4051)</f>
      </c>
      <c r="R4051" s="43">
        <f>IF($I4051=0,0,$J4051-$M4051-$N4051)</f>
      </c>
    </row>
    <row r="4052">
      <c r="A4052"/>
      <c r="B4052">
        <v>9</v>
      </c>
      <c r="C4052" s="43">
        <f>INDEX(DarlObj,9)</f>
      </c>
      <c r="D4052">
        <v>209</v>
      </c>
      <c r="E4052" s="51">
        <f>IF(INDEX(DarlBelegt,9)=0,0,EOMONTH(INDEX(DarlAuszahlung,9),208)+1)</f>
      </c>
      <c r="F4052" s="43">
        <f>IF($E4052=0,0,YEAR($E4052))</f>
      </c>
      <c r="G4052" s="43">
        <f>IF(INDEX(DarlBindung,9)="",1,IF($E4052&lt;=INDEX(DarlBindung,9),1,0))</f>
      </c>
      <c r="H4052" s="43">
        <f>IF($G4052=1,INDEX(DarlSollzins,9),INDEX(DarlAnschluss,9))</f>
      </c>
      <c r="I4052" s="43">
        <f>IF(INDEX(DarlBelegt,9)=0,0,IF(INDEX(DarlOhneTilgung,9)=1,IF(INDEX(DarlBindung,9)="",1,$G4052),IF($J4052&gt;0.005,1,0)))</f>
      </c>
      <c r="J4052" s="43">
        <f>IF($I4051=0,0,$R4051)</f>
      </c>
      <c r="K4052" s="43">
        <f>IF($I4052=0,0,IF(INDEX(DarlOhneTilgung,9)=1,0,IF(AND(INDEX(DarlTilgStart,9)&gt;0,$E4052=INDEX(DarlTilgStart,9)),$J4052*($H4052+INDEX(DarlTilgung,9))/100/12,IF(AND($G4052=0,$G4051=1),MAX($K4051,$J4052*($H4052+1)/100/12),$K4051))))</f>
      </c>
      <c r="L4052" s="43">
        <f>IF($I4052=0,0,$J4052*$H4052/100/12)</f>
      </c>
      <c r="M4052" s="43">
        <f>IF($I4052=0,0,IF(OR(INDEX(DarlOhneTilgung,9)=1,AND(INDEX(DarlTilgStart,9)&gt;0,$E4052&lt;INDEX(DarlTilgStart,9))),0,MIN(MAX(0,$K4052-$L4052),$J4052)))</f>
      </c>
      <c r="N4052" s="43">
        <f>IF($I4052=0,0,MIN(SUMIFS(SondBetrag,SondDarl,9,SondDatum,"&gt;="&amp;$E4052,SondDatum,"&lt;="&amp;EOMONTH($E4052,0)),$J4052-$M4052))</f>
      </c>
      <c r="O4052" s="43">
        <f>IF($I4052=0,0,INDEX(DarlErsatzRate,9))</f>
      </c>
      <c r="P4052" s="43">
        <f>IF($I4052=0,0,$Q4051*INDEX(DarlErsatzZins,9))</f>
      </c>
      <c r="Q4052" s="43">
        <f>IF($I4052=0,0,$Q4051+$P4052+$O4052)</f>
      </c>
      <c r="R4052" s="43">
        <f>IF($I4052=0,0,$J4052-$M4052-$N4052)</f>
      </c>
    </row>
    <row r="4053">
      <c r="A4053"/>
      <c r="B4053">
        <v>9</v>
      </c>
      <c r="C4053" s="43">
        <f>INDEX(DarlObj,9)</f>
      </c>
      <c r="D4053">
        <v>210</v>
      </c>
      <c r="E4053" s="51">
        <f>IF(INDEX(DarlBelegt,9)=0,0,EOMONTH(INDEX(DarlAuszahlung,9),209)+1)</f>
      </c>
      <c r="F4053" s="43">
        <f>IF($E4053=0,0,YEAR($E4053))</f>
      </c>
      <c r="G4053" s="43">
        <f>IF(INDEX(DarlBindung,9)="",1,IF($E4053&lt;=INDEX(DarlBindung,9),1,0))</f>
      </c>
      <c r="H4053" s="43">
        <f>IF($G4053=1,INDEX(DarlSollzins,9),INDEX(DarlAnschluss,9))</f>
      </c>
      <c r="I4053" s="43">
        <f>IF(INDEX(DarlBelegt,9)=0,0,IF(INDEX(DarlOhneTilgung,9)=1,IF(INDEX(DarlBindung,9)="",1,$G4053),IF($J4053&gt;0.005,1,0)))</f>
      </c>
      <c r="J4053" s="43">
        <f>IF($I4052=0,0,$R4052)</f>
      </c>
      <c r="K4053" s="43">
        <f>IF($I4053=0,0,IF(INDEX(DarlOhneTilgung,9)=1,0,IF(AND(INDEX(DarlTilgStart,9)&gt;0,$E4053=INDEX(DarlTilgStart,9)),$J4053*($H4053+INDEX(DarlTilgung,9))/100/12,IF(AND($G4053=0,$G4052=1),MAX($K4052,$J4053*($H4053+1)/100/12),$K4052))))</f>
      </c>
      <c r="L4053" s="43">
        <f>IF($I4053=0,0,$J4053*$H4053/100/12)</f>
      </c>
      <c r="M4053" s="43">
        <f>IF($I4053=0,0,IF(OR(INDEX(DarlOhneTilgung,9)=1,AND(INDEX(DarlTilgStart,9)&gt;0,$E4053&lt;INDEX(DarlTilgStart,9))),0,MIN(MAX(0,$K4053-$L4053),$J4053)))</f>
      </c>
      <c r="N4053" s="43">
        <f>IF($I4053=0,0,MIN(SUMIFS(SondBetrag,SondDarl,9,SondDatum,"&gt;="&amp;$E4053,SondDatum,"&lt;="&amp;EOMONTH($E4053,0)),$J4053-$M4053))</f>
      </c>
      <c r="O4053" s="43">
        <f>IF($I4053=0,0,INDEX(DarlErsatzRate,9))</f>
      </c>
      <c r="P4053" s="43">
        <f>IF($I4053=0,0,$Q4052*INDEX(DarlErsatzZins,9))</f>
      </c>
      <c r="Q4053" s="43">
        <f>IF($I4053=0,0,$Q4052+$P4053+$O4053)</f>
      </c>
      <c r="R4053" s="43">
        <f>IF($I4053=0,0,$J4053-$M4053-$N4053)</f>
      </c>
    </row>
    <row r="4054">
      <c r="A4054"/>
      <c r="B4054">
        <v>9</v>
      </c>
      <c r="C4054" s="43">
        <f>INDEX(DarlObj,9)</f>
      </c>
      <c r="D4054">
        <v>211</v>
      </c>
      <c r="E4054" s="51">
        <f>IF(INDEX(DarlBelegt,9)=0,0,EOMONTH(INDEX(DarlAuszahlung,9),210)+1)</f>
      </c>
      <c r="F4054" s="43">
        <f>IF($E4054=0,0,YEAR($E4054))</f>
      </c>
      <c r="G4054" s="43">
        <f>IF(INDEX(DarlBindung,9)="",1,IF($E4054&lt;=INDEX(DarlBindung,9),1,0))</f>
      </c>
      <c r="H4054" s="43">
        <f>IF($G4054=1,INDEX(DarlSollzins,9),INDEX(DarlAnschluss,9))</f>
      </c>
      <c r="I4054" s="43">
        <f>IF(INDEX(DarlBelegt,9)=0,0,IF(INDEX(DarlOhneTilgung,9)=1,IF(INDEX(DarlBindung,9)="",1,$G4054),IF($J4054&gt;0.005,1,0)))</f>
      </c>
      <c r="J4054" s="43">
        <f>IF($I4053=0,0,$R4053)</f>
      </c>
      <c r="K4054" s="43">
        <f>IF($I4054=0,0,IF(INDEX(DarlOhneTilgung,9)=1,0,IF(AND(INDEX(DarlTilgStart,9)&gt;0,$E4054=INDEX(DarlTilgStart,9)),$J4054*($H4054+INDEX(DarlTilgung,9))/100/12,IF(AND($G4054=0,$G4053=1),MAX($K4053,$J4054*($H4054+1)/100/12),$K4053))))</f>
      </c>
      <c r="L4054" s="43">
        <f>IF($I4054=0,0,$J4054*$H4054/100/12)</f>
      </c>
      <c r="M4054" s="43">
        <f>IF($I4054=0,0,IF(OR(INDEX(DarlOhneTilgung,9)=1,AND(INDEX(DarlTilgStart,9)&gt;0,$E4054&lt;INDEX(DarlTilgStart,9))),0,MIN(MAX(0,$K4054-$L4054),$J4054)))</f>
      </c>
      <c r="N4054" s="43">
        <f>IF($I4054=0,0,MIN(SUMIFS(SondBetrag,SondDarl,9,SondDatum,"&gt;="&amp;$E4054,SondDatum,"&lt;="&amp;EOMONTH($E4054,0)),$J4054-$M4054))</f>
      </c>
      <c r="O4054" s="43">
        <f>IF($I4054=0,0,INDEX(DarlErsatzRate,9))</f>
      </c>
      <c r="P4054" s="43">
        <f>IF($I4054=0,0,$Q4053*INDEX(DarlErsatzZins,9))</f>
      </c>
      <c r="Q4054" s="43">
        <f>IF($I4054=0,0,$Q4053+$P4054+$O4054)</f>
      </c>
      <c r="R4054" s="43">
        <f>IF($I4054=0,0,$J4054-$M4054-$N4054)</f>
      </c>
    </row>
    <row r="4055">
      <c r="A4055"/>
      <c r="B4055">
        <v>9</v>
      </c>
      <c r="C4055" s="43">
        <f>INDEX(DarlObj,9)</f>
      </c>
      <c r="D4055">
        <v>212</v>
      </c>
      <c r="E4055" s="51">
        <f>IF(INDEX(DarlBelegt,9)=0,0,EOMONTH(INDEX(DarlAuszahlung,9),211)+1)</f>
      </c>
      <c r="F4055" s="43">
        <f>IF($E4055=0,0,YEAR($E4055))</f>
      </c>
      <c r="G4055" s="43">
        <f>IF(INDEX(DarlBindung,9)="",1,IF($E4055&lt;=INDEX(DarlBindung,9),1,0))</f>
      </c>
      <c r="H4055" s="43">
        <f>IF($G4055=1,INDEX(DarlSollzins,9),INDEX(DarlAnschluss,9))</f>
      </c>
      <c r="I4055" s="43">
        <f>IF(INDEX(DarlBelegt,9)=0,0,IF(INDEX(DarlOhneTilgung,9)=1,IF(INDEX(DarlBindung,9)="",1,$G4055),IF($J4055&gt;0.005,1,0)))</f>
      </c>
      <c r="J4055" s="43">
        <f>IF($I4054=0,0,$R4054)</f>
      </c>
      <c r="K4055" s="43">
        <f>IF($I4055=0,0,IF(INDEX(DarlOhneTilgung,9)=1,0,IF(AND(INDEX(DarlTilgStart,9)&gt;0,$E4055=INDEX(DarlTilgStart,9)),$J4055*($H4055+INDEX(DarlTilgung,9))/100/12,IF(AND($G4055=0,$G4054=1),MAX($K4054,$J4055*($H4055+1)/100/12),$K4054))))</f>
      </c>
      <c r="L4055" s="43">
        <f>IF($I4055=0,0,$J4055*$H4055/100/12)</f>
      </c>
      <c r="M4055" s="43">
        <f>IF($I4055=0,0,IF(OR(INDEX(DarlOhneTilgung,9)=1,AND(INDEX(DarlTilgStart,9)&gt;0,$E4055&lt;INDEX(DarlTilgStart,9))),0,MIN(MAX(0,$K4055-$L4055),$J4055)))</f>
      </c>
      <c r="N4055" s="43">
        <f>IF($I4055=0,0,MIN(SUMIFS(SondBetrag,SondDarl,9,SondDatum,"&gt;="&amp;$E4055,SondDatum,"&lt;="&amp;EOMONTH($E4055,0)),$J4055-$M4055))</f>
      </c>
      <c r="O4055" s="43">
        <f>IF($I4055=0,0,INDEX(DarlErsatzRate,9))</f>
      </c>
      <c r="P4055" s="43">
        <f>IF($I4055=0,0,$Q4054*INDEX(DarlErsatzZins,9))</f>
      </c>
      <c r="Q4055" s="43">
        <f>IF($I4055=0,0,$Q4054+$P4055+$O4055)</f>
      </c>
      <c r="R4055" s="43">
        <f>IF($I4055=0,0,$J4055-$M4055-$N4055)</f>
      </c>
    </row>
    <row r="4056">
      <c r="A4056"/>
      <c r="B4056">
        <v>9</v>
      </c>
      <c r="C4056" s="43">
        <f>INDEX(DarlObj,9)</f>
      </c>
      <c r="D4056">
        <v>213</v>
      </c>
      <c r="E4056" s="51">
        <f>IF(INDEX(DarlBelegt,9)=0,0,EOMONTH(INDEX(DarlAuszahlung,9),212)+1)</f>
      </c>
      <c r="F4056" s="43">
        <f>IF($E4056=0,0,YEAR($E4056))</f>
      </c>
      <c r="G4056" s="43">
        <f>IF(INDEX(DarlBindung,9)="",1,IF($E4056&lt;=INDEX(DarlBindung,9),1,0))</f>
      </c>
      <c r="H4056" s="43">
        <f>IF($G4056=1,INDEX(DarlSollzins,9),INDEX(DarlAnschluss,9))</f>
      </c>
      <c r="I4056" s="43">
        <f>IF(INDEX(DarlBelegt,9)=0,0,IF(INDEX(DarlOhneTilgung,9)=1,IF(INDEX(DarlBindung,9)="",1,$G4056),IF($J4056&gt;0.005,1,0)))</f>
      </c>
      <c r="J4056" s="43">
        <f>IF($I4055=0,0,$R4055)</f>
      </c>
      <c r="K4056" s="43">
        <f>IF($I4056=0,0,IF(INDEX(DarlOhneTilgung,9)=1,0,IF(AND(INDEX(DarlTilgStart,9)&gt;0,$E4056=INDEX(DarlTilgStart,9)),$J4056*($H4056+INDEX(DarlTilgung,9))/100/12,IF(AND($G4056=0,$G4055=1),MAX($K4055,$J4056*($H4056+1)/100/12),$K4055))))</f>
      </c>
      <c r="L4056" s="43">
        <f>IF($I4056=0,0,$J4056*$H4056/100/12)</f>
      </c>
      <c r="M4056" s="43">
        <f>IF($I4056=0,0,IF(OR(INDEX(DarlOhneTilgung,9)=1,AND(INDEX(DarlTilgStart,9)&gt;0,$E4056&lt;INDEX(DarlTilgStart,9))),0,MIN(MAX(0,$K4056-$L4056),$J4056)))</f>
      </c>
      <c r="N4056" s="43">
        <f>IF($I4056=0,0,MIN(SUMIFS(SondBetrag,SondDarl,9,SondDatum,"&gt;="&amp;$E4056,SondDatum,"&lt;="&amp;EOMONTH($E4056,0)),$J4056-$M4056))</f>
      </c>
      <c r="O4056" s="43">
        <f>IF($I4056=0,0,INDEX(DarlErsatzRate,9))</f>
      </c>
      <c r="P4056" s="43">
        <f>IF($I4056=0,0,$Q4055*INDEX(DarlErsatzZins,9))</f>
      </c>
      <c r="Q4056" s="43">
        <f>IF($I4056=0,0,$Q4055+$P4056+$O4056)</f>
      </c>
      <c r="R4056" s="43">
        <f>IF($I4056=0,0,$J4056-$M4056-$N4056)</f>
      </c>
    </row>
    <row r="4057">
      <c r="A4057"/>
      <c r="B4057">
        <v>9</v>
      </c>
      <c r="C4057" s="43">
        <f>INDEX(DarlObj,9)</f>
      </c>
      <c r="D4057">
        <v>214</v>
      </c>
      <c r="E4057" s="51">
        <f>IF(INDEX(DarlBelegt,9)=0,0,EOMONTH(INDEX(DarlAuszahlung,9),213)+1)</f>
      </c>
      <c r="F4057" s="43">
        <f>IF($E4057=0,0,YEAR($E4057))</f>
      </c>
      <c r="G4057" s="43">
        <f>IF(INDEX(DarlBindung,9)="",1,IF($E4057&lt;=INDEX(DarlBindung,9),1,0))</f>
      </c>
      <c r="H4057" s="43">
        <f>IF($G4057=1,INDEX(DarlSollzins,9),INDEX(DarlAnschluss,9))</f>
      </c>
      <c r="I4057" s="43">
        <f>IF(INDEX(DarlBelegt,9)=0,0,IF(INDEX(DarlOhneTilgung,9)=1,IF(INDEX(DarlBindung,9)="",1,$G4057),IF($J4057&gt;0.005,1,0)))</f>
      </c>
      <c r="J4057" s="43">
        <f>IF($I4056=0,0,$R4056)</f>
      </c>
      <c r="K4057" s="43">
        <f>IF($I4057=0,0,IF(INDEX(DarlOhneTilgung,9)=1,0,IF(AND(INDEX(DarlTilgStart,9)&gt;0,$E4057=INDEX(DarlTilgStart,9)),$J4057*($H4057+INDEX(DarlTilgung,9))/100/12,IF(AND($G4057=0,$G4056=1),MAX($K4056,$J4057*($H4057+1)/100/12),$K4056))))</f>
      </c>
      <c r="L4057" s="43">
        <f>IF($I4057=0,0,$J4057*$H4057/100/12)</f>
      </c>
      <c r="M4057" s="43">
        <f>IF($I4057=0,0,IF(OR(INDEX(DarlOhneTilgung,9)=1,AND(INDEX(DarlTilgStart,9)&gt;0,$E4057&lt;INDEX(DarlTilgStart,9))),0,MIN(MAX(0,$K4057-$L4057),$J4057)))</f>
      </c>
      <c r="N4057" s="43">
        <f>IF($I4057=0,0,MIN(SUMIFS(SondBetrag,SondDarl,9,SondDatum,"&gt;="&amp;$E4057,SondDatum,"&lt;="&amp;EOMONTH($E4057,0)),$J4057-$M4057))</f>
      </c>
      <c r="O4057" s="43">
        <f>IF($I4057=0,0,INDEX(DarlErsatzRate,9))</f>
      </c>
      <c r="P4057" s="43">
        <f>IF($I4057=0,0,$Q4056*INDEX(DarlErsatzZins,9))</f>
      </c>
      <c r="Q4057" s="43">
        <f>IF($I4057=0,0,$Q4056+$P4057+$O4057)</f>
      </c>
      <c r="R4057" s="43">
        <f>IF($I4057=0,0,$J4057-$M4057-$N4057)</f>
      </c>
    </row>
    <row r="4058">
      <c r="A4058"/>
      <c r="B4058">
        <v>9</v>
      </c>
      <c r="C4058" s="43">
        <f>INDEX(DarlObj,9)</f>
      </c>
      <c r="D4058">
        <v>215</v>
      </c>
      <c r="E4058" s="51">
        <f>IF(INDEX(DarlBelegt,9)=0,0,EOMONTH(INDEX(DarlAuszahlung,9),214)+1)</f>
      </c>
      <c r="F4058" s="43">
        <f>IF($E4058=0,0,YEAR($E4058))</f>
      </c>
      <c r="G4058" s="43">
        <f>IF(INDEX(DarlBindung,9)="",1,IF($E4058&lt;=INDEX(DarlBindung,9),1,0))</f>
      </c>
      <c r="H4058" s="43">
        <f>IF($G4058=1,INDEX(DarlSollzins,9),INDEX(DarlAnschluss,9))</f>
      </c>
      <c r="I4058" s="43">
        <f>IF(INDEX(DarlBelegt,9)=0,0,IF(INDEX(DarlOhneTilgung,9)=1,IF(INDEX(DarlBindung,9)="",1,$G4058),IF($J4058&gt;0.005,1,0)))</f>
      </c>
      <c r="J4058" s="43">
        <f>IF($I4057=0,0,$R4057)</f>
      </c>
      <c r="K4058" s="43">
        <f>IF($I4058=0,0,IF(INDEX(DarlOhneTilgung,9)=1,0,IF(AND(INDEX(DarlTilgStart,9)&gt;0,$E4058=INDEX(DarlTilgStart,9)),$J4058*($H4058+INDEX(DarlTilgung,9))/100/12,IF(AND($G4058=0,$G4057=1),MAX($K4057,$J4058*($H4058+1)/100/12),$K4057))))</f>
      </c>
      <c r="L4058" s="43">
        <f>IF($I4058=0,0,$J4058*$H4058/100/12)</f>
      </c>
      <c r="M4058" s="43">
        <f>IF($I4058=0,0,IF(OR(INDEX(DarlOhneTilgung,9)=1,AND(INDEX(DarlTilgStart,9)&gt;0,$E4058&lt;INDEX(DarlTilgStart,9))),0,MIN(MAX(0,$K4058-$L4058),$J4058)))</f>
      </c>
      <c r="N4058" s="43">
        <f>IF($I4058=0,0,MIN(SUMIFS(SondBetrag,SondDarl,9,SondDatum,"&gt;="&amp;$E4058,SondDatum,"&lt;="&amp;EOMONTH($E4058,0)),$J4058-$M4058))</f>
      </c>
      <c r="O4058" s="43">
        <f>IF($I4058=0,0,INDEX(DarlErsatzRate,9))</f>
      </c>
      <c r="P4058" s="43">
        <f>IF($I4058=0,0,$Q4057*INDEX(DarlErsatzZins,9))</f>
      </c>
      <c r="Q4058" s="43">
        <f>IF($I4058=0,0,$Q4057+$P4058+$O4058)</f>
      </c>
      <c r="R4058" s="43">
        <f>IF($I4058=0,0,$J4058-$M4058-$N4058)</f>
      </c>
    </row>
    <row r="4059">
      <c r="A4059"/>
      <c r="B4059">
        <v>9</v>
      </c>
      <c r="C4059" s="43">
        <f>INDEX(DarlObj,9)</f>
      </c>
      <c r="D4059">
        <v>216</v>
      </c>
      <c r="E4059" s="51">
        <f>IF(INDEX(DarlBelegt,9)=0,0,EOMONTH(INDEX(DarlAuszahlung,9),215)+1)</f>
      </c>
      <c r="F4059" s="43">
        <f>IF($E4059=0,0,YEAR($E4059))</f>
      </c>
      <c r="G4059" s="43">
        <f>IF(INDEX(DarlBindung,9)="",1,IF($E4059&lt;=INDEX(DarlBindung,9),1,0))</f>
      </c>
      <c r="H4059" s="43">
        <f>IF($G4059=1,INDEX(DarlSollzins,9),INDEX(DarlAnschluss,9))</f>
      </c>
      <c r="I4059" s="43">
        <f>IF(INDEX(DarlBelegt,9)=0,0,IF(INDEX(DarlOhneTilgung,9)=1,IF(INDEX(DarlBindung,9)="",1,$G4059),IF($J4059&gt;0.005,1,0)))</f>
      </c>
      <c r="J4059" s="43">
        <f>IF($I4058=0,0,$R4058)</f>
      </c>
      <c r="K4059" s="43">
        <f>IF($I4059=0,0,IF(INDEX(DarlOhneTilgung,9)=1,0,IF(AND(INDEX(DarlTilgStart,9)&gt;0,$E4059=INDEX(DarlTilgStart,9)),$J4059*($H4059+INDEX(DarlTilgung,9))/100/12,IF(AND($G4059=0,$G4058=1),MAX($K4058,$J4059*($H4059+1)/100/12),$K4058))))</f>
      </c>
      <c r="L4059" s="43">
        <f>IF($I4059=0,0,$J4059*$H4059/100/12)</f>
      </c>
      <c r="M4059" s="43">
        <f>IF($I4059=0,0,IF(OR(INDEX(DarlOhneTilgung,9)=1,AND(INDEX(DarlTilgStart,9)&gt;0,$E4059&lt;INDEX(DarlTilgStart,9))),0,MIN(MAX(0,$K4059-$L4059),$J4059)))</f>
      </c>
      <c r="N4059" s="43">
        <f>IF($I4059=0,0,MIN(SUMIFS(SondBetrag,SondDarl,9,SondDatum,"&gt;="&amp;$E4059,SondDatum,"&lt;="&amp;EOMONTH($E4059,0)),$J4059-$M4059))</f>
      </c>
      <c r="O4059" s="43">
        <f>IF($I4059=0,0,INDEX(DarlErsatzRate,9))</f>
      </c>
      <c r="P4059" s="43">
        <f>IF($I4059=0,0,$Q4058*INDEX(DarlErsatzZins,9))</f>
      </c>
      <c r="Q4059" s="43">
        <f>IF($I4059=0,0,$Q4058+$P4059+$O4059)</f>
      </c>
      <c r="R4059" s="43">
        <f>IF($I4059=0,0,$J4059-$M4059-$N4059)</f>
      </c>
    </row>
    <row r="4060">
      <c r="A4060"/>
      <c r="B4060">
        <v>9</v>
      </c>
      <c r="C4060" s="43">
        <f>INDEX(DarlObj,9)</f>
      </c>
      <c r="D4060">
        <v>217</v>
      </c>
      <c r="E4060" s="51">
        <f>IF(INDEX(DarlBelegt,9)=0,0,EOMONTH(INDEX(DarlAuszahlung,9),216)+1)</f>
      </c>
      <c r="F4060" s="43">
        <f>IF($E4060=0,0,YEAR($E4060))</f>
      </c>
      <c r="G4060" s="43">
        <f>IF(INDEX(DarlBindung,9)="",1,IF($E4060&lt;=INDEX(DarlBindung,9),1,0))</f>
      </c>
      <c r="H4060" s="43">
        <f>IF($G4060=1,INDEX(DarlSollzins,9),INDEX(DarlAnschluss,9))</f>
      </c>
      <c r="I4060" s="43">
        <f>IF(INDEX(DarlBelegt,9)=0,0,IF(INDEX(DarlOhneTilgung,9)=1,IF(INDEX(DarlBindung,9)="",1,$G4060),IF($J4060&gt;0.005,1,0)))</f>
      </c>
      <c r="J4060" s="43">
        <f>IF($I4059=0,0,$R4059)</f>
      </c>
      <c r="K4060" s="43">
        <f>IF($I4060=0,0,IF(INDEX(DarlOhneTilgung,9)=1,0,IF(AND(INDEX(DarlTilgStart,9)&gt;0,$E4060=INDEX(DarlTilgStart,9)),$J4060*($H4060+INDEX(DarlTilgung,9))/100/12,IF(AND($G4060=0,$G4059=1),MAX($K4059,$J4060*($H4060+1)/100/12),$K4059))))</f>
      </c>
      <c r="L4060" s="43">
        <f>IF($I4060=0,0,$J4060*$H4060/100/12)</f>
      </c>
      <c r="M4060" s="43">
        <f>IF($I4060=0,0,IF(OR(INDEX(DarlOhneTilgung,9)=1,AND(INDEX(DarlTilgStart,9)&gt;0,$E4060&lt;INDEX(DarlTilgStart,9))),0,MIN(MAX(0,$K4060-$L4060),$J4060)))</f>
      </c>
      <c r="N4060" s="43">
        <f>IF($I4060=0,0,MIN(SUMIFS(SondBetrag,SondDarl,9,SondDatum,"&gt;="&amp;$E4060,SondDatum,"&lt;="&amp;EOMONTH($E4060,0)),$J4060-$M4060))</f>
      </c>
      <c r="O4060" s="43">
        <f>IF($I4060=0,0,INDEX(DarlErsatzRate,9))</f>
      </c>
      <c r="P4060" s="43">
        <f>IF($I4060=0,0,$Q4059*INDEX(DarlErsatzZins,9))</f>
      </c>
      <c r="Q4060" s="43">
        <f>IF($I4060=0,0,$Q4059+$P4060+$O4060)</f>
      </c>
      <c r="R4060" s="43">
        <f>IF($I4060=0,0,$J4060-$M4060-$N4060)</f>
      </c>
    </row>
    <row r="4061">
      <c r="A4061"/>
      <c r="B4061">
        <v>9</v>
      </c>
      <c r="C4061" s="43">
        <f>INDEX(DarlObj,9)</f>
      </c>
      <c r="D4061">
        <v>218</v>
      </c>
      <c r="E4061" s="51">
        <f>IF(INDEX(DarlBelegt,9)=0,0,EOMONTH(INDEX(DarlAuszahlung,9),217)+1)</f>
      </c>
      <c r="F4061" s="43">
        <f>IF($E4061=0,0,YEAR($E4061))</f>
      </c>
      <c r="G4061" s="43">
        <f>IF(INDEX(DarlBindung,9)="",1,IF($E4061&lt;=INDEX(DarlBindung,9),1,0))</f>
      </c>
      <c r="H4061" s="43">
        <f>IF($G4061=1,INDEX(DarlSollzins,9),INDEX(DarlAnschluss,9))</f>
      </c>
      <c r="I4061" s="43">
        <f>IF(INDEX(DarlBelegt,9)=0,0,IF(INDEX(DarlOhneTilgung,9)=1,IF(INDEX(DarlBindung,9)="",1,$G4061),IF($J4061&gt;0.005,1,0)))</f>
      </c>
      <c r="J4061" s="43">
        <f>IF($I4060=0,0,$R4060)</f>
      </c>
      <c r="K4061" s="43">
        <f>IF($I4061=0,0,IF(INDEX(DarlOhneTilgung,9)=1,0,IF(AND(INDEX(DarlTilgStart,9)&gt;0,$E4061=INDEX(DarlTilgStart,9)),$J4061*($H4061+INDEX(DarlTilgung,9))/100/12,IF(AND($G4061=0,$G4060=1),MAX($K4060,$J4061*($H4061+1)/100/12),$K4060))))</f>
      </c>
      <c r="L4061" s="43">
        <f>IF($I4061=0,0,$J4061*$H4061/100/12)</f>
      </c>
      <c r="M4061" s="43">
        <f>IF($I4061=0,0,IF(OR(INDEX(DarlOhneTilgung,9)=1,AND(INDEX(DarlTilgStart,9)&gt;0,$E4061&lt;INDEX(DarlTilgStart,9))),0,MIN(MAX(0,$K4061-$L4061),$J4061)))</f>
      </c>
      <c r="N4061" s="43">
        <f>IF($I4061=0,0,MIN(SUMIFS(SondBetrag,SondDarl,9,SondDatum,"&gt;="&amp;$E4061,SondDatum,"&lt;="&amp;EOMONTH($E4061,0)),$J4061-$M4061))</f>
      </c>
      <c r="O4061" s="43">
        <f>IF($I4061=0,0,INDEX(DarlErsatzRate,9))</f>
      </c>
      <c r="P4061" s="43">
        <f>IF($I4061=0,0,$Q4060*INDEX(DarlErsatzZins,9))</f>
      </c>
      <c r="Q4061" s="43">
        <f>IF($I4061=0,0,$Q4060+$P4061+$O4061)</f>
      </c>
      <c r="R4061" s="43">
        <f>IF($I4061=0,0,$J4061-$M4061-$N4061)</f>
      </c>
    </row>
    <row r="4062">
      <c r="A4062"/>
      <c r="B4062">
        <v>9</v>
      </c>
      <c r="C4062" s="43">
        <f>INDEX(DarlObj,9)</f>
      </c>
      <c r="D4062">
        <v>219</v>
      </c>
      <c r="E4062" s="51">
        <f>IF(INDEX(DarlBelegt,9)=0,0,EOMONTH(INDEX(DarlAuszahlung,9),218)+1)</f>
      </c>
      <c r="F4062" s="43">
        <f>IF($E4062=0,0,YEAR($E4062))</f>
      </c>
      <c r="G4062" s="43">
        <f>IF(INDEX(DarlBindung,9)="",1,IF($E4062&lt;=INDEX(DarlBindung,9),1,0))</f>
      </c>
      <c r="H4062" s="43">
        <f>IF($G4062=1,INDEX(DarlSollzins,9),INDEX(DarlAnschluss,9))</f>
      </c>
      <c r="I4062" s="43">
        <f>IF(INDEX(DarlBelegt,9)=0,0,IF(INDEX(DarlOhneTilgung,9)=1,IF(INDEX(DarlBindung,9)="",1,$G4062),IF($J4062&gt;0.005,1,0)))</f>
      </c>
      <c r="J4062" s="43">
        <f>IF($I4061=0,0,$R4061)</f>
      </c>
      <c r="K4062" s="43">
        <f>IF($I4062=0,0,IF(INDEX(DarlOhneTilgung,9)=1,0,IF(AND(INDEX(DarlTilgStart,9)&gt;0,$E4062=INDEX(DarlTilgStart,9)),$J4062*($H4062+INDEX(DarlTilgung,9))/100/12,IF(AND($G4062=0,$G4061=1),MAX($K4061,$J4062*($H4062+1)/100/12),$K4061))))</f>
      </c>
      <c r="L4062" s="43">
        <f>IF($I4062=0,0,$J4062*$H4062/100/12)</f>
      </c>
      <c r="M4062" s="43">
        <f>IF($I4062=0,0,IF(OR(INDEX(DarlOhneTilgung,9)=1,AND(INDEX(DarlTilgStart,9)&gt;0,$E4062&lt;INDEX(DarlTilgStart,9))),0,MIN(MAX(0,$K4062-$L4062),$J4062)))</f>
      </c>
      <c r="N4062" s="43">
        <f>IF($I4062=0,0,MIN(SUMIFS(SondBetrag,SondDarl,9,SondDatum,"&gt;="&amp;$E4062,SondDatum,"&lt;="&amp;EOMONTH($E4062,0)),$J4062-$M4062))</f>
      </c>
      <c r="O4062" s="43">
        <f>IF($I4062=0,0,INDEX(DarlErsatzRate,9))</f>
      </c>
      <c r="P4062" s="43">
        <f>IF($I4062=0,0,$Q4061*INDEX(DarlErsatzZins,9))</f>
      </c>
      <c r="Q4062" s="43">
        <f>IF($I4062=0,0,$Q4061+$P4062+$O4062)</f>
      </c>
      <c r="R4062" s="43">
        <f>IF($I4062=0,0,$J4062-$M4062-$N4062)</f>
      </c>
    </row>
    <row r="4063">
      <c r="A4063"/>
      <c r="B4063">
        <v>9</v>
      </c>
      <c r="C4063" s="43">
        <f>INDEX(DarlObj,9)</f>
      </c>
      <c r="D4063">
        <v>220</v>
      </c>
      <c r="E4063" s="51">
        <f>IF(INDEX(DarlBelegt,9)=0,0,EOMONTH(INDEX(DarlAuszahlung,9),219)+1)</f>
      </c>
      <c r="F4063" s="43">
        <f>IF($E4063=0,0,YEAR($E4063))</f>
      </c>
      <c r="G4063" s="43">
        <f>IF(INDEX(DarlBindung,9)="",1,IF($E4063&lt;=INDEX(DarlBindung,9),1,0))</f>
      </c>
      <c r="H4063" s="43">
        <f>IF($G4063=1,INDEX(DarlSollzins,9),INDEX(DarlAnschluss,9))</f>
      </c>
      <c r="I4063" s="43">
        <f>IF(INDEX(DarlBelegt,9)=0,0,IF(INDEX(DarlOhneTilgung,9)=1,IF(INDEX(DarlBindung,9)="",1,$G4063),IF($J4063&gt;0.005,1,0)))</f>
      </c>
      <c r="J4063" s="43">
        <f>IF($I4062=0,0,$R4062)</f>
      </c>
      <c r="K4063" s="43">
        <f>IF($I4063=0,0,IF(INDEX(DarlOhneTilgung,9)=1,0,IF(AND(INDEX(DarlTilgStart,9)&gt;0,$E4063=INDEX(DarlTilgStart,9)),$J4063*($H4063+INDEX(DarlTilgung,9))/100/12,IF(AND($G4063=0,$G4062=1),MAX($K4062,$J4063*($H4063+1)/100/12),$K4062))))</f>
      </c>
      <c r="L4063" s="43">
        <f>IF($I4063=0,0,$J4063*$H4063/100/12)</f>
      </c>
      <c r="M4063" s="43">
        <f>IF($I4063=0,0,IF(OR(INDEX(DarlOhneTilgung,9)=1,AND(INDEX(DarlTilgStart,9)&gt;0,$E4063&lt;INDEX(DarlTilgStart,9))),0,MIN(MAX(0,$K4063-$L4063),$J4063)))</f>
      </c>
      <c r="N4063" s="43">
        <f>IF($I4063=0,0,MIN(SUMIFS(SondBetrag,SondDarl,9,SondDatum,"&gt;="&amp;$E4063,SondDatum,"&lt;="&amp;EOMONTH($E4063,0)),$J4063-$M4063))</f>
      </c>
      <c r="O4063" s="43">
        <f>IF($I4063=0,0,INDEX(DarlErsatzRate,9))</f>
      </c>
      <c r="P4063" s="43">
        <f>IF($I4063=0,0,$Q4062*INDEX(DarlErsatzZins,9))</f>
      </c>
      <c r="Q4063" s="43">
        <f>IF($I4063=0,0,$Q4062+$P4063+$O4063)</f>
      </c>
      <c r="R4063" s="43">
        <f>IF($I4063=0,0,$J4063-$M4063-$N4063)</f>
      </c>
    </row>
    <row r="4064">
      <c r="A4064"/>
      <c r="B4064">
        <v>9</v>
      </c>
      <c r="C4064" s="43">
        <f>INDEX(DarlObj,9)</f>
      </c>
      <c r="D4064">
        <v>221</v>
      </c>
      <c r="E4064" s="51">
        <f>IF(INDEX(DarlBelegt,9)=0,0,EOMONTH(INDEX(DarlAuszahlung,9),220)+1)</f>
      </c>
      <c r="F4064" s="43">
        <f>IF($E4064=0,0,YEAR($E4064))</f>
      </c>
      <c r="G4064" s="43">
        <f>IF(INDEX(DarlBindung,9)="",1,IF($E4064&lt;=INDEX(DarlBindung,9),1,0))</f>
      </c>
      <c r="H4064" s="43">
        <f>IF($G4064=1,INDEX(DarlSollzins,9),INDEX(DarlAnschluss,9))</f>
      </c>
      <c r="I4064" s="43">
        <f>IF(INDEX(DarlBelegt,9)=0,0,IF(INDEX(DarlOhneTilgung,9)=1,IF(INDEX(DarlBindung,9)="",1,$G4064),IF($J4064&gt;0.005,1,0)))</f>
      </c>
      <c r="J4064" s="43">
        <f>IF($I4063=0,0,$R4063)</f>
      </c>
      <c r="K4064" s="43">
        <f>IF($I4064=0,0,IF(INDEX(DarlOhneTilgung,9)=1,0,IF(AND(INDEX(DarlTilgStart,9)&gt;0,$E4064=INDEX(DarlTilgStart,9)),$J4064*($H4064+INDEX(DarlTilgung,9))/100/12,IF(AND($G4064=0,$G4063=1),MAX($K4063,$J4064*($H4064+1)/100/12),$K4063))))</f>
      </c>
      <c r="L4064" s="43">
        <f>IF($I4064=0,0,$J4064*$H4064/100/12)</f>
      </c>
      <c r="M4064" s="43">
        <f>IF($I4064=0,0,IF(OR(INDEX(DarlOhneTilgung,9)=1,AND(INDEX(DarlTilgStart,9)&gt;0,$E4064&lt;INDEX(DarlTilgStart,9))),0,MIN(MAX(0,$K4064-$L4064),$J4064)))</f>
      </c>
      <c r="N4064" s="43">
        <f>IF($I4064=0,0,MIN(SUMIFS(SondBetrag,SondDarl,9,SondDatum,"&gt;="&amp;$E4064,SondDatum,"&lt;="&amp;EOMONTH($E4064,0)),$J4064-$M4064))</f>
      </c>
      <c r="O4064" s="43">
        <f>IF($I4064=0,0,INDEX(DarlErsatzRate,9))</f>
      </c>
      <c r="P4064" s="43">
        <f>IF($I4064=0,0,$Q4063*INDEX(DarlErsatzZins,9))</f>
      </c>
      <c r="Q4064" s="43">
        <f>IF($I4064=0,0,$Q4063+$P4064+$O4064)</f>
      </c>
      <c r="R4064" s="43">
        <f>IF($I4064=0,0,$J4064-$M4064-$N4064)</f>
      </c>
    </row>
    <row r="4065">
      <c r="A4065"/>
      <c r="B4065">
        <v>9</v>
      </c>
      <c r="C4065" s="43">
        <f>INDEX(DarlObj,9)</f>
      </c>
      <c r="D4065">
        <v>222</v>
      </c>
      <c r="E4065" s="51">
        <f>IF(INDEX(DarlBelegt,9)=0,0,EOMONTH(INDEX(DarlAuszahlung,9),221)+1)</f>
      </c>
      <c r="F4065" s="43">
        <f>IF($E4065=0,0,YEAR($E4065))</f>
      </c>
      <c r="G4065" s="43">
        <f>IF(INDEX(DarlBindung,9)="",1,IF($E4065&lt;=INDEX(DarlBindung,9),1,0))</f>
      </c>
      <c r="H4065" s="43">
        <f>IF($G4065=1,INDEX(DarlSollzins,9),INDEX(DarlAnschluss,9))</f>
      </c>
      <c r="I4065" s="43">
        <f>IF(INDEX(DarlBelegt,9)=0,0,IF(INDEX(DarlOhneTilgung,9)=1,IF(INDEX(DarlBindung,9)="",1,$G4065),IF($J4065&gt;0.005,1,0)))</f>
      </c>
      <c r="J4065" s="43">
        <f>IF($I4064=0,0,$R4064)</f>
      </c>
      <c r="K4065" s="43">
        <f>IF($I4065=0,0,IF(INDEX(DarlOhneTilgung,9)=1,0,IF(AND(INDEX(DarlTilgStart,9)&gt;0,$E4065=INDEX(DarlTilgStart,9)),$J4065*($H4065+INDEX(DarlTilgung,9))/100/12,IF(AND($G4065=0,$G4064=1),MAX($K4064,$J4065*($H4065+1)/100/12),$K4064))))</f>
      </c>
      <c r="L4065" s="43">
        <f>IF($I4065=0,0,$J4065*$H4065/100/12)</f>
      </c>
      <c r="M4065" s="43">
        <f>IF($I4065=0,0,IF(OR(INDEX(DarlOhneTilgung,9)=1,AND(INDEX(DarlTilgStart,9)&gt;0,$E4065&lt;INDEX(DarlTilgStart,9))),0,MIN(MAX(0,$K4065-$L4065),$J4065)))</f>
      </c>
      <c r="N4065" s="43">
        <f>IF($I4065=0,0,MIN(SUMIFS(SondBetrag,SondDarl,9,SondDatum,"&gt;="&amp;$E4065,SondDatum,"&lt;="&amp;EOMONTH($E4065,0)),$J4065-$M4065))</f>
      </c>
      <c r="O4065" s="43">
        <f>IF($I4065=0,0,INDEX(DarlErsatzRate,9))</f>
      </c>
      <c r="P4065" s="43">
        <f>IF($I4065=0,0,$Q4064*INDEX(DarlErsatzZins,9))</f>
      </c>
      <c r="Q4065" s="43">
        <f>IF($I4065=0,0,$Q4064+$P4065+$O4065)</f>
      </c>
      <c r="R4065" s="43">
        <f>IF($I4065=0,0,$J4065-$M4065-$N4065)</f>
      </c>
    </row>
    <row r="4066">
      <c r="A4066"/>
      <c r="B4066">
        <v>9</v>
      </c>
      <c r="C4066" s="43">
        <f>INDEX(DarlObj,9)</f>
      </c>
      <c r="D4066">
        <v>223</v>
      </c>
      <c r="E4066" s="51">
        <f>IF(INDEX(DarlBelegt,9)=0,0,EOMONTH(INDEX(DarlAuszahlung,9),222)+1)</f>
      </c>
      <c r="F4066" s="43">
        <f>IF($E4066=0,0,YEAR($E4066))</f>
      </c>
      <c r="G4066" s="43">
        <f>IF(INDEX(DarlBindung,9)="",1,IF($E4066&lt;=INDEX(DarlBindung,9),1,0))</f>
      </c>
      <c r="H4066" s="43">
        <f>IF($G4066=1,INDEX(DarlSollzins,9),INDEX(DarlAnschluss,9))</f>
      </c>
      <c r="I4066" s="43">
        <f>IF(INDEX(DarlBelegt,9)=0,0,IF(INDEX(DarlOhneTilgung,9)=1,IF(INDEX(DarlBindung,9)="",1,$G4066),IF($J4066&gt;0.005,1,0)))</f>
      </c>
      <c r="J4066" s="43">
        <f>IF($I4065=0,0,$R4065)</f>
      </c>
      <c r="K4066" s="43">
        <f>IF($I4066=0,0,IF(INDEX(DarlOhneTilgung,9)=1,0,IF(AND(INDEX(DarlTilgStart,9)&gt;0,$E4066=INDEX(DarlTilgStart,9)),$J4066*($H4066+INDEX(DarlTilgung,9))/100/12,IF(AND($G4066=0,$G4065=1),MAX($K4065,$J4066*($H4066+1)/100/12),$K4065))))</f>
      </c>
      <c r="L4066" s="43">
        <f>IF($I4066=0,0,$J4066*$H4066/100/12)</f>
      </c>
      <c r="M4066" s="43">
        <f>IF($I4066=0,0,IF(OR(INDEX(DarlOhneTilgung,9)=1,AND(INDEX(DarlTilgStart,9)&gt;0,$E4066&lt;INDEX(DarlTilgStart,9))),0,MIN(MAX(0,$K4066-$L4066),$J4066)))</f>
      </c>
      <c r="N4066" s="43">
        <f>IF($I4066=0,0,MIN(SUMIFS(SondBetrag,SondDarl,9,SondDatum,"&gt;="&amp;$E4066,SondDatum,"&lt;="&amp;EOMONTH($E4066,0)),$J4066-$M4066))</f>
      </c>
      <c r="O4066" s="43">
        <f>IF($I4066=0,0,INDEX(DarlErsatzRate,9))</f>
      </c>
      <c r="P4066" s="43">
        <f>IF($I4066=0,0,$Q4065*INDEX(DarlErsatzZins,9))</f>
      </c>
      <c r="Q4066" s="43">
        <f>IF($I4066=0,0,$Q4065+$P4066+$O4066)</f>
      </c>
      <c r="R4066" s="43">
        <f>IF($I4066=0,0,$J4066-$M4066-$N4066)</f>
      </c>
    </row>
    <row r="4067">
      <c r="A4067"/>
      <c r="B4067">
        <v>9</v>
      </c>
      <c r="C4067" s="43">
        <f>INDEX(DarlObj,9)</f>
      </c>
      <c r="D4067">
        <v>224</v>
      </c>
      <c r="E4067" s="51">
        <f>IF(INDEX(DarlBelegt,9)=0,0,EOMONTH(INDEX(DarlAuszahlung,9),223)+1)</f>
      </c>
      <c r="F4067" s="43">
        <f>IF($E4067=0,0,YEAR($E4067))</f>
      </c>
      <c r="G4067" s="43">
        <f>IF(INDEX(DarlBindung,9)="",1,IF($E4067&lt;=INDEX(DarlBindung,9),1,0))</f>
      </c>
      <c r="H4067" s="43">
        <f>IF($G4067=1,INDEX(DarlSollzins,9),INDEX(DarlAnschluss,9))</f>
      </c>
      <c r="I4067" s="43">
        <f>IF(INDEX(DarlBelegt,9)=0,0,IF(INDEX(DarlOhneTilgung,9)=1,IF(INDEX(DarlBindung,9)="",1,$G4067),IF($J4067&gt;0.005,1,0)))</f>
      </c>
      <c r="J4067" s="43">
        <f>IF($I4066=0,0,$R4066)</f>
      </c>
      <c r="K4067" s="43">
        <f>IF($I4067=0,0,IF(INDEX(DarlOhneTilgung,9)=1,0,IF(AND(INDEX(DarlTilgStart,9)&gt;0,$E4067=INDEX(DarlTilgStart,9)),$J4067*($H4067+INDEX(DarlTilgung,9))/100/12,IF(AND($G4067=0,$G4066=1),MAX($K4066,$J4067*($H4067+1)/100/12),$K4066))))</f>
      </c>
      <c r="L4067" s="43">
        <f>IF($I4067=0,0,$J4067*$H4067/100/12)</f>
      </c>
      <c r="M4067" s="43">
        <f>IF($I4067=0,0,IF(OR(INDEX(DarlOhneTilgung,9)=1,AND(INDEX(DarlTilgStart,9)&gt;0,$E4067&lt;INDEX(DarlTilgStart,9))),0,MIN(MAX(0,$K4067-$L4067),$J4067)))</f>
      </c>
      <c r="N4067" s="43">
        <f>IF($I4067=0,0,MIN(SUMIFS(SondBetrag,SondDarl,9,SondDatum,"&gt;="&amp;$E4067,SondDatum,"&lt;="&amp;EOMONTH($E4067,0)),$J4067-$M4067))</f>
      </c>
      <c r="O4067" s="43">
        <f>IF($I4067=0,0,INDEX(DarlErsatzRate,9))</f>
      </c>
      <c r="P4067" s="43">
        <f>IF($I4067=0,0,$Q4066*INDEX(DarlErsatzZins,9))</f>
      </c>
      <c r="Q4067" s="43">
        <f>IF($I4067=0,0,$Q4066+$P4067+$O4067)</f>
      </c>
      <c r="R4067" s="43">
        <f>IF($I4067=0,0,$J4067-$M4067-$N4067)</f>
      </c>
    </row>
    <row r="4068">
      <c r="A4068"/>
      <c r="B4068">
        <v>9</v>
      </c>
      <c r="C4068" s="43">
        <f>INDEX(DarlObj,9)</f>
      </c>
      <c r="D4068">
        <v>225</v>
      </c>
      <c r="E4068" s="51">
        <f>IF(INDEX(DarlBelegt,9)=0,0,EOMONTH(INDEX(DarlAuszahlung,9),224)+1)</f>
      </c>
      <c r="F4068" s="43">
        <f>IF($E4068=0,0,YEAR($E4068))</f>
      </c>
      <c r="G4068" s="43">
        <f>IF(INDEX(DarlBindung,9)="",1,IF($E4068&lt;=INDEX(DarlBindung,9),1,0))</f>
      </c>
      <c r="H4068" s="43">
        <f>IF($G4068=1,INDEX(DarlSollzins,9),INDEX(DarlAnschluss,9))</f>
      </c>
      <c r="I4068" s="43">
        <f>IF(INDEX(DarlBelegt,9)=0,0,IF(INDEX(DarlOhneTilgung,9)=1,IF(INDEX(DarlBindung,9)="",1,$G4068),IF($J4068&gt;0.005,1,0)))</f>
      </c>
      <c r="J4068" s="43">
        <f>IF($I4067=0,0,$R4067)</f>
      </c>
      <c r="K4068" s="43">
        <f>IF($I4068=0,0,IF(INDEX(DarlOhneTilgung,9)=1,0,IF(AND(INDEX(DarlTilgStart,9)&gt;0,$E4068=INDEX(DarlTilgStart,9)),$J4068*($H4068+INDEX(DarlTilgung,9))/100/12,IF(AND($G4068=0,$G4067=1),MAX($K4067,$J4068*($H4068+1)/100/12),$K4067))))</f>
      </c>
      <c r="L4068" s="43">
        <f>IF($I4068=0,0,$J4068*$H4068/100/12)</f>
      </c>
      <c r="M4068" s="43">
        <f>IF($I4068=0,0,IF(OR(INDEX(DarlOhneTilgung,9)=1,AND(INDEX(DarlTilgStart,9)&gt;0,$E4068&lt;INDEX(DarlTilgStart,9))),0,MIN(MAX(0,$K4068-$L4068),$J4068)))</f>
      </c>
      <c r="N4068" s="43">
        <f>IF($I4068=0,0,MIN(SUMIFS(SondBetrag,SondDarl,9,SondDatum,"&gt;="&amp;$E4068,SondDatum,"&lt;="&amp;EOMONTH($E4068,0)),$J4068-$M4068))</f>
      </c>
      <c r="O4068" s="43">
        <f>IF($I4068=0,0,INDEX(DarlErsatzRate,9))</f>
      </c>
      <c r="P4068" s="43">
        <f>IF($I4068=0,0,$Q4067*INDEX(DarlErsatzZins,9))</f>
      </c>
      <c r="Q4068" s="43">
        <f>IF($I4068=0,0,$Q4067+$P4068+$O4068)</f>
      </c>
      <c r="R4068" s="43">
        <f>IF($I4068=0,0,$J4068-$M4068-$N4068)</f>
      </c>
    </row>
    <row r="4069">
      <c r="A4069"/>
      <c r="B4069">
        <v>9</v>
      </c>
      <c r="C4069" s="43">
        <f>INDEX(DarlObj,9)</f>
      </c>
      <c r="D4069">
        <v>226</v>
      </c>
      <c r="E4069" s="51">
        <f>IF(INDEX(DarlBelegt,9)=0,0,EOMONTH(INDEX(DarlAuszahlung,9),225)+1)</f>
      </c>
      <c r="F4069" s="43">
        <f>IF($E4069=0,0,YEAR($E4069))</f>
      </c>
      <c r="G4069" s="43">
        <f>IF(INDEX(DarlBindung,9)="",1,IF($E4069&lt;=INDEX(DarlBindung,9),1,0))</f>
      </c>
      <c r="H4069" s="43">
        <f>IF($G4069=1,INDEX(DarlSollzins,9),INDEX(DarlAnschluss,9))</f>
      </c>
      <c r="I4069" s="43">
        <f>IF(INDEX(DarlBelegt,9)=0,0,IF(INDEX(DarlOhneTilgung,9)=1,IF(INDEX(DarlBindung,9)="",1,$G4069),IF($J4069&gt;0.005,1,0)))</f>
      </c>
      <c r="J4069" s="43">
        <f>IF($I4068=0,0,$R4068)</f>
      </c>
      <c r="K4069" s="43">
        <f>IF($I4069=0,0,IF(INDEX(DarlOhneTilgung,9)=1,0,IF(AND(INDEX(DarlTilgStart,9)&gt;0,$E4069=INDEX(DarlTilgStart,9)),$J4069*($H4069+INDEX(DarlTilgung,9))/100/12,IF(AND($G4069=0,$G4068=1),MAX($K4068,$J4069*($H4069+1)/100/12),$K4068))))</f>
      </c>
      <c r="L4069" s="43">
        <f>IF($I4069=0,0,$J4069*$H4069/100/12)</f>
      </c>
      <c r="M4069" s="43">
        <f>IF($I4069=0,0,IF(OR(INDEX(DarlOhneTilgung,9)=1,AND(INDEX(DarlTilgStart,9)&gt;0,$E4069&lt;INDEX(DarlTilgStart,9))),0,MIN(MAX(0,$K4069-$L4069),$J4069)))</f>
      </c>
      <c r="N4069" s="43">
        <f>IF($I4069=0,0,MIN(SUMIFS(SondBetrag,SondDarl,9,SondDatum,"&gt;="&amp;$E4069,SondDatum,"&lt;="&amp;EOMONTH($E4069,0)),$J4069-$M4069))</f>
      </c>
      <c r="O4069" s="43">
        <f>IF($I4069=0,0,INDEX(DarlErsatzRate,9))</f>
      </c>
      <c r="P4069" s="43">
        <f>IF($I4069=0,0,$Q4068*INDEX(DarlErsatzZins,9))</f>
      </c>
      <c r="Q4069" s="43">
        <f>IF($I4069=0,0,$Q4068+$P4069+$O4069)</f>
      </c>
      <c r="R4069" s="43">
        <f>IF($I4069=0,0,$J4069-$M4069-$N4069)</f>
      </c>
    </row>
    <row r="4070">
      <c r="A4070"/>
      <c r="B4070">
        <v>9</v>
      </c>
      <c r="C4070" s="43">
        <f>INDEX(DarlObj,9)</f>
      </c>
      <c r="D4070">
        <v>227</v>
      </c>
      <c r="E4070" s="51">
        <f>IF(INDEX(DarlBelegt,9)=0,0,EOMONTH(INDEX(DarlAuszahlung,9),226)+1)</f>
      </c>
      <c r="F4070" s="43">
        <f>IF($E4070=0,0,YEAR($E4070))</f>
      </c>
      <c r="G4070" s="43">
        <f>IF(INDEX(DarlBindung,9)="",1,IF($E4070&lt;=INDEX(DarlBindung,9),1,0))</f>
      </c>
      <c r="H4070" s="43">
        <f>IF($G4070=1,INDEX(DarlSollzins,9),INDEX(DarlAnschluss,9))</f>
      </c>
      <c r="I4070" s="43">
        <f>IF(INDEX(DarlBelegt,9)=0,0,IF(INDEX(DarlOhneTilgung,9)=1,IF(INDEX(DarlBindung,9)="",1,$G4070),IF($J4070&gt;0.005,1,0)))</f>
      </c>
      <c r="J4070" s="43">
        <f>IF($I4069=0,0,$R4069)</f>
      </c>
      <c r="K4070" s="43">
        <f>IF($I4070=0,0,IF(INDEX(DarlOhneTilgung,9)=1,0,IF(AND(INDEX(DarlTilgStart,9)&gt;0,$E4070=INDEX(DarlTilgStart,9)),$J4070*($H4070+INDEX(DarlTilgung,9))/100/12,IF(AND($G4070=0,$G4069=1),MAX($K4069,$J4070*($H4070+1)/100/12),$K4069))))</f>
      </c>
      <c r="L4070" s="43">
        <f>IF($I4070=0,0,$J4070*$H4070/100/12)</f>
      </c>
      <c r="M4070" s="43">
        <f>IF($I4070=0,0,IF(OR(INDEX(DarlOhneTilgung,9)=1,AND(INDEX(DarlTilgStart,9)&gt;0,$E4070&lt;INDEX(DarlTilgStart,9))),0,MIN(MAX(0,$K4070-$L4070),$J4070)))</f>
      </c>
      <c r="N4070" s="43">
        <f>IF($I4070=0,0,MIN(SUMIFS(SondBetrag,SondDarl,9,SondDatum,"&gt;="&amp;$E4070,SondDatum,"&lt;="&amp;EOMONTH($E4070,0)),$J4070-$M4070))</f>
      </c>
      <c r="O4070" s="43">
        <f>IF($I4070=0,0,INDEX(DarlErsatzRate,9))</f>
      </c>
      <c r="P4070" s="43">
        <f>IF($I4070=0,0,$Q4069*INDEX(DarlErsatzZins,9))</f>
      </c>
      <c r="Q4070" s="43">
        <f>IF($I4070=0,0,$Q4069+$P4070+$O4070)</f>
      </c>
      <c r="R4070" s="43">
        <f>IF($I4070=0,0,$J4070-$M4070-$N4070)</f>
      </c>
    </row>
    <row r="4071">
      <c r="A4071"/>
      <c r="B4071">
        <v>9</v>
      </c>
      <c r="C4071" s="43">
        <f>INDEX(DarlObj,9)</f>
      </c>
      <c r="D4071">
        <v>228</v>
      </c>
      <c r="E4071" s="51">
        <f>IF(INDEX(DarlBelegt,9)=0,0,EOMONTH(INDEX(DarlAuszahlung,9),227)+1)</f>
      </c>
      <c r="F4071" s="43">
        <f>IF($E4071=0,0,YEAR($E4071))</f>
      </c>
      <c r="G4071" s="43">
        <f>IF(INDEX(DarlBindung,9)="",1,IF($E4071&lt;=INDEX(DarlBindung,9),1,0))</f>
      </c>
      <c r="H4071" s="43">
        <f>IF($G4071=1,INDEX(DarlSollzins,9),INDEX(DarlAnschluss,9))</f>
      </c>
      <c r="I4071" s="43">
        <f>IF(INDEX(DarlBelegt,9)=0,0,IF(INDEX(DarlOhneTilgung,9)=1,IF(INDEX(DarlBindung,9)="",1,$G4071),IF($J4071&gt;0.005,1,0)))</f>
      </c>
      <c r="J4071" s="43">
        <f>IF($I4070=0,0,$R4070)</f>
      </c>
      <c r="K4071" s="43">
        <f>IF($I4071=0,0,IF(INDEX(DarlOhneTilgung,9)=1,0,IF(AND(INDEX(DarlTilgStart,9)&gt;0,$E4071=INDEX(DarlTilgStart,9)),$J4071*($H4071+INDEX(DarlTilgung,9))/100/12,IF(AND($G4071=0,$G4070=1),MAX($K4070,$J4071*($H4071+1)/100/12),$K4070))))</f>
      </c>
      <c r="L4071" s="43">
        <f>IF($I4071=0,0,$J4071*$H4071/100/12)</f>
      </c>
      <c r="M4071" s="43">
        <f>IF($I4071=0,0,IF(OR(INDEX(DarlOhneTilgung,9)=1,AND(INDEX(DarlTilgStart,9)&gt;0,$E4071&lt;INDEX(DarlTilgStart,9))),0,MIN(MAX(0,$K4071-$L4071),$J4071)))</f>
      </c>
      <c r="N4071" s="43">
        <f>IF($I4071=0,0,MIN(SUMIFS(SondBetrag,SondDarl,9,SondDatum,"&gt;="&amp;$E4071,SondDatum,"&lt;="&amp;EOMONTH($E4071,0)),$J4071-$M4071))</f>
      </c>
      <c r="O4071" s="43">
        <f>IF($I4071=0,0,INDEX(DarlErsatzRate,9))</f>
      </c>
      <c r="P4071" s="43">
        <f>IF($I4071=0,0,$Q4070*INDEX(DarlErsatzZins,9))</f>
      </c>
      <c r="Q4071" s="43">
        <f>IF($I4071=0,0,$Q4070+$P4071+$O4071)</f>
      </c>
      <c r="R4071" s="43">
        <f>IF($I4071=0,0,$J4071-$M4071-$N4071)</f>
      </c>
    </row>
    <row r="4072">
      <c r="A4072"/>
      <c r="B4072">
        <v>9</v>
      </c>
      <c r="C4072" s="43">
        <f>INDEX(DarlObj,9)</f>
      </c>
      <c r="D4072">
        <v>229</v>
      </c>
      <c r="E4072" s="51">
        <f>IF(INDEX(DarlBelegt,9)=0,0,EOMONTH(INDEX(DarlAuszahlung,9),228)+1)</f>
      </c>
      <c r="F4072" s="43">
        <f>IF($E4072=0,0,YEAR($E4072))</f>
      </c>
      <c r="G4072" s="43">
        <f>IF(INDEX(DarlBindung,9)="",1,IF($E4072&lt;=INDEX(DarlBindung,9),1,0))</f>
      </c>
      <c r="H4072" s="43">
        <f>IF($G4072=1,INDEX(DarlSollzins,9),INDEX(DarlAnschluss,9))</f>
      </c>
      <c r="I4072" s="43">
        <f>IF(INDEX(DarlBelegt,9)=0,0,IF(INDEX(DarlOhneTilgung,9)=1,IF(INDEX(DarlBindung,9)="",1,$G4072),IF($J4072&gt;0.005,1,0)))</f>
      </c>
      <c r="J4072" s="43">
        <f>IF($I4071=0,0,$R4071)</f>
      </c>
      <c r="K4072" s="43">
        <f>IF($I4072=0,0,IF(INDEX(DarlOhneTilgung,9)=1,0,IF(AND(INDEX(DarlTilgStart,9)&gt;0,$E4072=INDEX(DarlTilgStart,9)),$J4072*($H4072+INDEX(DarlTilgung,9))/100/12,IF(AND($G4072=0,$G4071=1),MAX($K4071,$J4072*($H4072+1)/100/12),$K4071))))</f>
      </c>
      <c r="L4072" s="43">
        <f>IF($I4072=0,0,$J4072*$H4072/100/12)</f>
      </c>
      <c r="M4072" s="43">
        <f>IF($I4072=0,0,IF(OR(INDEX(DarlOhneTilgung,9)=1,AND(INDEX(DarlTilgStart,9)&gt;0,$E4072&lt;INDEX(DarlTilgStart,9))),0,MIN(MAX(0,$K4072-$L4072),$J4072)))</f>
      </c>
      <c r="N4072" s="43">
        <f>IF($I4072=0,0,MIN(SUMIFS(SondBetrag,SondDarl,9,SondDatum,"&gt;="&amp;$E4072,SondDatum,"&lt;="&amp;EOMONTH($E4072,0)),$J4072-$M4072))</f>
      </c>
      <c r="O4072" s="43">
        <f>IF($I4072=0,0,INDEX(DarlErsatzRate,9))</f>
      </c>
      <c r="P4072" s="43">
        <f>IF($I4072=0,0,$Q4071*INDEX(DarlErsatzZins,9))</f>
      </c>
      <c r="Q4072" s="43">
        <f>IF($I4072=0,0,$Q4071+$P4072+$O4072)</f>
      </c>
      <c r="R4072" s="43">
        <f>IF($I4072=0,0,$J4072-$M4072-$N4072)</f>
      </c>
    </row>
    <row r="4073">
      <c r="A4073"/>
      <c r="B4073">
        <v>9</v>
      </c>
      <c r="C4073" s="43">
        <f>INDEX(DarlObj,9)</f>
      </c>
      <c r="D4073">
        <v>230</v>
      </c>
      <c r="E4073" s="51">
        <f>IF(INDEX(DarlBelegt,9)=0,0,EOMONTH(INDEX(DarlAuszahlung,9),229)+1)</f>
      </c>
      <c r="F4073" s="43">
        <f>IF($E4073=0,0,YEAR($E4073))</f>
      </c>
      <c r="G4073" s="43">
        <f>IF(INDEX(DarlBindung,9)="",1,IF($E4073&lt;=INDEX(DarlBindung,9),1,0))</f>
      </c>
      <c r="H4073" s="43">
        <f>IF($G4073=1,INDEX(DarlSollzins,9),INDEX(DarlAnschluss,9))</f>
      </c>
      <c r="I4073" s="43">
        <f>IF(INDEX(DarlBelegt,9)=0,0,IF(INDEX(DarlOhneTilgung,9)=1,IF(INDEX(DarlBindung,9)="",1,$G4073),IF($J4073&gt;0.005,1,0)))</f>
      </c>
      <c r="J4073" s="43">
        <f>IF($I4072=0,0,$R4072)</f>
      </c>
      <c r="K4073" s="43">
        <f>IF($I4073=0,0,IF(INDEX(DarlOhneTilgung,9)=1,0,IF(AND(INDEX(DarlTilgStart,9)&gt;0,$E4073=INDEX(DarlTilgStart,9)),$J4073*($H4073+INDEX(DarlTilgung,9))/100/12,IF(AND($G4073=0,$G4072=1),MAX($K4072,$J4073*($H4073+1)/100/12),$K4072))))</f>
      </c>
      <c r="L4073" s="43">
        <f>IF($I4073=0,0,$J4073*$H4073/100/12)</f>
      </c>
      <c r="M4073" s="43">
        <f>IF($I4073=0,0,IF(OR(INDEX(DarlOhneTilgung,9)=1,AND(INDEX(DarlTilgStart,9)&gt;0,$E4073&lt;INDEX(DarlTilgStart,9))),0,MIN(MAX(0,$K4073-$L4073),$J4073)))</f>
      </c>
      <c r="N4073" s="43">
        <f>IF($I4073=0,0,MIN(SUMIFS(SondBetrag,SondDarl,9,SondDatum,"&gt;="&amp;$E4073,SondDatum,"&lt;="&amp;EOMONTH($E4073,0)),$J4073-$M4073))</f>
      </c>
      <c r="O4073" s="43">
        <f>IF($I4073=0,0,INDEX(DarlErsatzRate,9))</f>
      </c>
      <c r="P4073" s="43">
        <f>IF($I4073=0,0,$Q4072*INDEX(DarlErsatzZins,9))</f>
      </c>
      <c r="Q4073" s="43">
        <f>IF($I4073=0,0,$Q4072+$P4073+$O4073)</f>
      </c>
      <c r="R4073" s="43">
        <f>IF($I4073=0,0,$J4073-$M4073-$N4073)</f>
      </c>
    </row>
    <row r="4074">
      <c r="A4074"/>
      <c r="B4074">
        <v>9</v>
      </c>
      <c r="C4074" s="43">
        <f>INDEX(DarlObj,9)</f>
      </c>
      <c r="D4074">
        <v>231</v>
      </c>
      <c r="E4074" s="51">
        <f>IF(INDEX(DarlBelegt,9)=0,0,EOMONTH(INDEX(DarlAuszahlung,9),230)+1)</f>
      </c>
      <c r="F4074" s="43">
        <f>IF($E4074=0,0,YEAR($E4074))</f>
      </c>
      <c r="G4074" s="43">
        <f>IF(INDEX(DarlBindung,9)="",1,IF($E4074&lt;=INDEX(DarlBindung,9),1,0))</f>
      </c>
      <c r="H4074" s="43">
        <f>IF($G4074=1,INDEX(DarlSollzins,9),INDEX(DarlAnschluss,9))</f>
      </c>
      <c r="I4074" s="43">
        <f>IF(INDEX(DarlBelegt,9)=0,0,IF(INDEX(DarlOhneTilgung,9)=1,IF(INDEX(DarlBindung,9)="",1,$G4074),IF($J4074&gt;0.005,1,0)))</f>
      </c>
      <c r="J4074" s="43">
        <f>IF($I4073=0,0,$R4073)</f>
      </c>
      <c r="K4074" s="43">
        <f>IF($I4074=0,0,IF(INDEX(DarlOhneTilgung,9)=1,0,IF(AND(INDEX(DarlTilgStart,9)&gt;0,$E4074=INDEX(DarlTilgStart,9)),$J4074*($H4074+INDEX(DarlTilgung,9))/100/12,IF(AND($G4074=0,$G4073=1),MAX($K4073,$J4074*($H4074+1)/100/12),$K4073))))</f>
      </c>
      <c r="L4074" s="43">
        <f>IF($I4074=0,0,$J4074*$H4074/100/12)</f>
      </c>
      <c r="M4074" s="43">
        <f>IF($I4074=0,0,IF(OR(INDEX(DarlOhneTilgung,9)=1,AND(INDEX(DarlTilgStart,9)&gt;0,$E4074&lt;INDEX(DarlTilgStart,9))),0,MIN(MAX(0,$K4074-$L4074),$J4074)))</f>
      </c>
      <c r="N4074" s="43">
        <f>IF($I4074=0,0,MIN(SUMIFS(SondBetrag,SondDarl,9,SondDatum,"&gt;="&amp;$E4074,SondDatum,"&lt;="&amp;EOMONTH($E4074,0)),$J4074-$M4074))</f>
      </c>
      <c r="O4074" s="43">
        <f>IF($I4074=0,0,INDEX(DarlErsatzRate,9))</f>
      </c>
      <c r="P4074" s="43">
        <f>IF($I4074=0,0,$Q4073*INDEX(DarlErsatzZins,9))</f>
      </c>
      <c r="Q4074" s="43">
        <f>IF($I4074=0,0,$Q4073+$P4074+$O4074)</f>
      </c>
      <c r="R4074" s="43">
        <f>IF($I4074=0,0,$J4074-$M4074-$N4074)</f>
      </c>
    </row>
    <row r="4075">
      <c r="A4075"/>
      <c r="B4075">
        <v>9</v>
      </c>
      <c r="C4075" s="43">
        <f>INDEX(DarlObj,9)</f>
      </c>
      <c r="D4075">
        <v>232</v>
      </c>
      <c r="E4075" s="51">
        <f>IF(INDEX(DarlBelegt,9)=0,0,EOMONTH(INDEX(DarlAuszahlung,9),231)+1)</f>
      </c>
      <c r="F4075" s="43">
        <f>IF($E4075=0,0,YEAR($E4075))</f>
      </c>
      <c r="G4075" s="43">
        <f>IF(INDEX(DarlBindung,9)="",1,IF($E4075&lt;=INDEX(DarlBindung,9),1,0))</f>
      </c>
      <c r="H4075" s="43">
        <f>IF($G4075=1,INDEX(DarlSollzins,9),INDEX(DarlAnschluss,9))</f>
      </c>
      <c r="I4075" s="43">
        <f>IF(INDEX(DarlBelegt,9)=0,0,IF(INDEX(DarlOhneTilgung,9)=1,IF(INDEX(DarlBindung,9)="",1,$G4075),IF($J4075&gt;0.005,1,0)))</f>
      </c>
      <c r="J4075" s="43">
        <f>IF($I4074=0,0,$R4074)</f>
      </c>
      <c r="K4075" s="43">
        <f>IF($I4075=0,0,IF(INDEX(DarlOhneTilgung,9)=1,0,IF(AND(INDEX(DarlTilgStart,9)&gt;0,$E4075=INDEX(DarlTilgStart,9)),$J4075*($H4075+INDEX(DarlTilgung,9))/100/12,IF(AND($G4075=0,$G4074=1),MAX($K4074,$J4075*($H4075+1)/100/12),$K4074))))</f>
      </c>
      <c r="L4075" s="43">
        <f>IF($I4075=0,0,$J4075*$H4075/100/12)</f>
      </c>
      <c r="M4075" s="43">
        <f>IF($I4075=0,0,IF(OR(INDEX(DarlOhneTilgung,9)=1,AND(INDEX(DarlTilgStart,9)&gt;0,$E4075&lt;INDEX(DarlTilgStart,9))),0,MIN(MAX(0,$K4075-$L4075),$J4075)))</f>
      </c>
      <c r="N4075" s="43">
        <f>IF($I4075=0,0,MIN(SUMIFS(SondBetrag,SondDarl,9,SondDatum,"&gt;="&amp;$E4075,SondDatum,"&lt;="&amp;EOMONTH($E4075,0)),$J4075-$M4075))</f>
      </c>
      <c r="O4075" s="43">
        <f>IF($I4075=0,0,INDEX(DarlErsatzRate,9))</f>
      </c>
      <c r="P4075" s="43">
        <f>IF($I4075=0,0,$Q4074*INDEX(DarlErsatzZins,9))</f>
      </c>
      <c r="Q4075" s="43">
        <f>IF($I4075=0,0,$Q4074+$P4075+$O4075)</f>
      </c>
      <c r="R4075" s="43">
        <f>IF($I4075=0,0,$J4075-$M4075-$N4075)</f>
      </c>
    </row>
    <row r="4076">
      <c r="A4076"/>
      <c r="B4076">
        <v>9</v>
      </c>
      <c r="C4076" s="43">
        <f>INDEX(DarlObj,9)</f>
      </c>
      <c r="D4076">
        <v>233</v>
      </c>
      <c r="E4076" s="51">
        <f>IF(INDEX(DarlBelegt,9)=0,0,EOMONTH(INDEX(DarlAuszahlung,9),232)+1)</f>
      </c>
      <c r="F4076" s="43">
        <f>IF($E4076=0,0,YEAR($E4076))</f>
      </c>
      <c r="G4076" s="43">
        <f>IF(INDEX(DarlBindung,9)="",1,IF($E4076&lt;=INDEX(DarlBindung,9),1,0))</f>
      </c>
      <c r="H4076" s="43">
        <f>IF($G4076=1,INDEX(DarlSollzins,9),INDEX(DarlAnschluss,9))</f>
      </c>
      <c r="I4076" s="43">
        <f>IF(INDEX(DarlBelegt,9)=0,0,IF(INDEX(DarlOhneTilgung,9)=1,IF(INDEX(DarlBindung,9)="",1,$G4076),IF($J4076&gt;0.005,1,0)))</f>
      </c>
      <c r="J4076" s="43">
        <f>IF($I4075=0,0,$R4075)</f>
      </c>
      <c r="K4076" s="43">
        <f>IF($I4076=0,0,IF(INDEX(DarlOhneTilgung,9)=1,0,IF(AND(INDEX(DarlTilgStart,9)&gt;0,$E4076=INDEX(DarlTilgStart,9)),$J4076*($H4076+INDEX(DarlTilgung,9))/100/12,IF(AND($G4076=0,$G4075=1),MAX($K4075,$J4076*($H4076+1)/100/12),$K4075))))</f>
      </c>
      <c r="L4076" s="43">
        <f>IF($I4076=0,0,$J4076*$H4076/100/12)</f>
      </c>
      <c r="M4076" s="43">
        <f>IF($I4076=0,0,IF(OR(INDEX(DarlOhneTilgung,9)=1,AND(INDEX(DarlTilgStart,9)&gt;0,$E4076&lt;INDEX(DarlTilgStart,9))),0,MIN(MAX(0,$K4076-$L4076),$J4076)))</f>
      </c>
      <c r="N4076" s="43">
        <f>IF($I4076=0,0,MIN(SUMIFS(SondBetrag,SondDarl,9,SondDatum,"&gt;="&amp;$E4076,SondDatum,"&lt;="&amp;EOMONTH($E4076,0)),$J4076-$M4076))</f>
      </c>
      <c r="O4076" s="43">
        <f>IF($I4076=0,0,INDEX(DarlErsatzRate,9))</f>
      </c>
      <c r="P4076" s="43">
        <f>IF($I4076=0,0,$Q4075*INDEX(DarlErsatzZins,9))</f>
      </c>
      <c r="Q4076" s="43">
        <f>IF($I4076=0,0,$Q4075+$P4076+$O4076)</f>
      </c>
      <c r="R4076" s="43">
        <f>IF($I4076=0,0,$J4076-$M4076-$N4076)</f>
      </c>
    </row>
    <row r="4077">
      <c r="A4077"/>
      <c r="B4077">
        <v>9</v>
      </c>
      <c r="C4077" s="43">
        <f>INDEX(DarlObj,9)</f>
      </c>
      <c r="D4077">
        <v>234</v>
      </c>
      <c r="E4077" s="51">
        <f>IF(INDEX(DarlBelegt,9)=0,0,EOMONTH(INDEX(DarlAuszahlung,9),233)+1)</f>
      </c>
      <c r="F4077" s="43">
        <f>IF($E4077=0,0,YEAR($E4077))</f>
      </c>
      <c r="G4077" s="43">
        <f>IF(INDEX(DarlBindung,9)="",1,IF($E4077&lt;=INDEX(DarlBindung,9),1,0))</f>
      </c>
      <c r="H4077" s="43">
        <f>IF($G4077=1,INDEX(DarlSollzins,9),INDEX(DarlAnschluss,9))</f>
      </c>
      <c r="I4077" s="43">
        <f>IF(INDEX(DarlBelegt,9)=0,0,IF(INDEX(DarlOhneTilgung,9)=1,IF(INDEX(DarlBindung,9)="",1,$G4077),IF($J4077&gt;0.005,1,0)))</f>
      </c>
      <c r="J4077" s="43">
        <f>IF($I4076=0,0,$R4076)</f>
      </c>
      <c r="K4077" s="43">
        <f>IF($I4077=0,0,IF(INDEX(DarlOhneTilgung,9)=1,0,IF(AND(INDEX(DarlTilgStart,9)&gt;0,$E4077=INDEX(DarlTilgStart,9)),$J4077*($H4077+INDEX(DarlTilgung,9))/100/12,IF(AND($G4077=0,$G4076=1),MAX($K4076,$J4077*($H4077+1)/100/12),$K4076))))</f>
      </c>
      <c r="L4077" s="43">
        <f>IF($I4077=0,0,$J4077*$H4077/100/12)</f>
      </c>
      <c r="M4077" s="43">
        <f>IF($I4077=0,0,IF(OR(INDEX(DarlOhneTilgung,9)=1,AND(INDEX(DarlTilgStart,9)&gt;0,$E4077&lt;INDEX(DarlTilgStart,9))),0,MIN(MAX(0,$K4077-$L4077),$J4077)))</f>
      </c>
      <c r="N4077" s="43">
        <f>IF($I4077=0,0,MIN(SUMIFS(SondBetrag,SondDarl,9,SondDatum,"&gt;="&amp;$E4077,SondDatum,"&lt;="&amp;EOMONTH($E4077,0)),$J4077-$M4077))</f>
      </c>
      <c r="O4077" s="43">
        <f>IF($I4077=0,0,INDEX(DarlErsatzRate,9))</f>
      </c>
      <c r="P4077" s="43">
        <f>IF($I4077=0,0,$Q4076*INDEX(DarlErsatzZins,9))</f>
      </c>
      <c r="Q4077" s="43">
        <f>IF($I4077=0,0,$Q4076+$P4077+$O4077)</f>
      </c>
      <c r="R4077" s="43">
        <f>IF($I4077=0,0,$J4077-$M4077-$N4077)</f>
      </c>
    </row>
    <row r="4078">
      <c r="A4078"/>
      <c r="B4078">
        <v>9</v>
      </c>
      <c r="C4078" s="43">
        <f>INDEX(DarlObj,9)</f>
      </c>
      <c r="D4078">
        <v>235</v>
      </c>
      <c r="E4078" s="51">
        <f>IF(INDEX(DarlBelegt,9)=0,0,EOMONTH(INDEX(DarlAuszahlung,9),234)+1)</f>
      </c>
      <c r="F4078" s="43">
        <f>IF($E4078=0,0,YEAR($E4078))</f>
      </c>
      <c r="G4078" s="43">
        <f>IF(INDEX(DarlBindung,9)="",1,IF($E4078&lt;=INDEX(DarlBindung,9),1,0))</f>
      </c>
      <c r="H4078" s="43">
        <f>IF($G4078=1,INDEX(DarlSollzins,9),INDEX(DarlAnschluss,9))</f>
      </c>
      <c r="I4078" s="43">
        <f>IF(INDEX(DarlBelegt,9)=0,0,IF(INDEX(DarlOhneTilgung,9)=1,IF(INDEX(DarlBindung,9)="",1,$G4078),IF($J4078&gt;0.005,1,0)))</f>
      </c>
      <c r="J4078" s="43">
        <f>IF($I4077=0,0,$R4077)</f>
      </c>
      <c r="K4078" s="43">
        <f>IF($I4078=0,0,IF(INDEX(DarlOhneTilgung,9)=1,0,IF(AND(INDEX(DarlTilgStart,9)&gt;0,$E4078=INDEX(DarlTilgStart,9)),$J4078*($H4078+INDEX(DarlTilgung,9))/100/12,IF(AND($G4078=0,$G4077=1),MAX($K4077,$J4078*($H4078+1)/100/12),$K4077))))</f>
      </c>
      <c r="L4078" s="43">
        <f>IF($I4078=0,0,$J4078*$H4078/100/12)</f>
      </c>
      <c r="M4078" s="43">
        <f>IF($I4078=0,0,IF(OR(INDEX(DarlOhneTilgung,9)=1,AND(INDEX(DarlTilgStart,9)&gt;0,$E4078&lt;INDEX(DarlTilgStart,9))),0,MIN(MAX(0,$K4078-$L4078),$J4078)))</f>
      </c>
      <c r="N4078" s="43">
        <f>IF($I4078=0,0,MIN(SUMIFS(SondBetrag,SondDarl,9,SondDatum,"&gt;="&amp;$E4078,SondDatum,"&lt;="&amp;EOMONTH($E4078,0)),$J4078-$M4078))</f>
      </c>
      <c r="O4078" s="43">
        <f>IF($I4078=0,0,INDEX(DarlErsatzRate,9))</f>
      </c>
      <c r="P4078" s="43">
        <f>IF($I4078=0,0,$Q4077*INDEX(DarlErsatzZins,9))</f>
      </c>
      <c r="Q4078" s="43">
        <f>IF($I4078=0,0,$Q4077+$P4078+$O4078)</f>
      </c>
      <c r="R4078" s="43">
        <f>IF($I4078=0,0,$J4078-$M4078-$N4078)</f>
      </c>
    </row>
    <row r="4079">
      <c r="A4079"/>
      <c r="B4079">
        <v>9</v>
      </c>
      <c r="C4079" s="43">
        <f>INDEX(DarlObj,9)</f>
      </c>
      <c r="D4079">
        <v>236</v>
      </c>
      <c r="E4079" s="51">
        <f>IF(INDEX(DarlBelegt,9)=0,0,EOMONTH(INDEX(DarlAuszahlung,9),235)+1)</f>
      </c>
      <c r="F4079" s="43">
        <f>IF($E4079=0,0,YEAR($E4079))</f>
      </c>
      <c r="G4079" s="43">
        <f>IF(INDEX(DarlBindung,9)="",1,IF($E4079&lt;=INDEX(DarlBindung,9),1,0))</f>
      </c>
      <c r="H4079" s="43">
        <f>IF($G4079=1,INDEX(DarlSollzins,9),INDEX(DarlAnschluss,9))</f>
      </c>
      <c r="I4079" s="43">
        <f>IF(INDEX(DarlBelegt,9)=0,0,IF(INDEX(DarlOhneTilgung,9)=1,IF(INDEX(DarlBindung,9)="",1,$G4079),IF($J4079&gt;0.005,1,0)))</f>
      </c>
      <c r="J4079" s="43">
        <f>IF($I4078=0,0,$R4078)</f>
      </c>
      <c r="K4079" s="43">
        <f>IF($I4079=0,0,IF(INDEX(DarlOhneTilgung,9)=1,0,IF(AND(INDEX(DarlTilgStart,9)&gt;0,$E4079=INDEX(DarlTilgStart,9)),$J4079*($H4079+INDEX(DarlTilgung,9))/100/12,IF(AND($G4079=0,$G4078=1),MAX($K4078,$J4079*($H4079+1)/100/12),$K4078))))</f>
      </c>
      <c r="L4079" s="43">
        <f>IF($I4079=0,0,$J4079*$H4079/100/12)</f>
      </c>
      <c r="M4079" s="43">
        <f>IF($I4079=0,0,IF(OR(INDEX(DarlOhneTilgung,9)=1,AND(INDEX(DarlTilgStart,9)&gt;0,$E4079&lt;INDEX(DarlTilgStart,9))),0,MIN(MAX(0,$K4079-$L4079),$J4079)))</f>
      </c>
      <c r="N4079" s="43">
        <f>IF($I4079=0,0,MIN(SUMIFS(SondBetrag,SondDarl,9,SondDatum,"&gt;="&amp;$E4079,SondDatum,"&lt;="&amp;EOMONTH($E4079,0)),$J4079-$M4079))</f>
      </c>
      <c r="O4079" s="43">
        <f>IF($I4079=0,0,INDEX(DarlErsatzRate,9))</f>
      </c>
      <c r="P4079" s="43">
        <f>IF($I4079=0,0,$Q4078*INDEX(DarlErsatzZins,9))</f>
      </c>
      <c r="Q4079" s="43">
        <f>IF($I4079=0,0,$Q4078+$P4079+$O4079)</f>
      </c>
      <c r="R4079" s="43">
        <f>IF($I4079=0,0,$J4079-$M4079-$N4079)</f>
      </c>
    </row>
    <row r="4080">
      <c r="A4080"/>
      <c r="B4080">
        <v>9</v>
      </c>
      <c r="C4080" s="43">
        <f>INDEX(DarlObj,9)</f>
      </c>
      <c r="D4080">
        <v>237</v>
      </c>
      <c r="E4080" s="51">
        <f>IF(INDEX(DarlBelegt,9)=0,0,EOMONTH(INDEX(DarlAuszahlung,9),236)+1)</f>
      </c>
      <c r="F4080" s="43">
        <f>IF($E4080=0,0,YEAR($E4080))</f>
      </c>
      <c r="G4080" s="43">
        <f>IF(INDEX(DarlBindung,9)="",1,IF($E4080&lt;=INDEX(DarlBindung,9),1,0))</f>
      </c>
      <c r="H4080" s="43">
        <f>IF($G4080=1,INDEX(DarlSollzins,9),INDEX(DarlAnschluss,9))</f>
      </c>
      <c r="I4080" s="43">
        <f>IF(INDEX(DarlBelegt,9)=0,0,IF(INDEX(DarlOhneTilgung,9)=1,IF(INDEX(DarlBindung,9)="",1,$G4080),IF($J4080&gt;0.005,1,0)))</f>
      </c>
      <c r="J4080" s="43">
        <f>IF($I4079=0,0,$R4079)</f>
      </c>
      <c r="K4080" s="43">
        <f>IF($I4080=0,0,IF(INDEX(DarlOhneTilgung,9)=1,0,IF(AND(INDEX(DarlTilgStart,9)&gt;0,$E4080=INDEX(DarlTilgStart,9)),$J4080*($H4080+INDEX(DarlTilgung,9))/100/12,IF(AND($G4080=0,$G4079=1),MAX($K4079,$J4080*($H4080+1)/100/12),$K4079))))</f>
      </c>
      <c r="L4080" s="43">
        <f>IF($I4080=0,0,$J4080*$H4080/100/12)</f>
      </c>
      <c r="M4080" s="43">
        <f>IF($I4080=0,0,IF(OR(INDEX(DarlOhneTilgung,9)=1,AND(INDEX(DarlTilgStart,9)&gt;0,$E4080&lt;INDEX(DarlTilgStart,9))),0,MIN(MAX(0,$K4080-$L4080),$J4080)))</f>
      </c>
      <c r="N4080" s="43">
        <f>IF($I4080=0,0,MIN(SUMIFS(SondBetrag,SondDarl,9,SondDatum,"&gt;="&amp;$E4080,SondDatum,"&lt;="&amp;EOMONTH($E4080,0)),$J4080-$M4080))</f>
      </c>
      <c r="O4080" s="43">
        <f>IF($I4080=0,0,INDEX(DarlErsatzRate,9))</f>
      </c>
      <c r="P4080" s="43">
        <f>IF($I4080=0,0,$Q4079*INDEX(DarlErsatzZins,9))</f>
      </c>
      <c r="Q4080" s="43">
        <f>IF($I4080=0,0,$Q4079+$P4080+$O4080)</f>
      </c>
      <c r="R4080" s="43">
        <f>IF($I4080=0,0,$J4080-$M4080-$N4080)</f>
      </c>
    </row>
    <row r="4081">
      <c r="A4081"/>
      <c r="B4081">
        <v>9</v>
      </c>
      <c r="C4081" s="43">
        <f>INDEX(DarlObj,9)</f>
      </c>
      <c r="D4081">
        <v>238</v>
      </c>
      <c r="E4081" s="51">
        <f>IF(INDEX(DarlBelegt,9)=0,0,EOMONTH(INDEX(DarlAuszahlung,9),237)+1)</f>
      </c>
      <c r="F4081" s="43">
        <f>IF($E4081=0,0,YEAR($E4081))</f>
      </c>
      <c r="G4081" s="43">
        <f>IF(INDEX(DarlBindung,9)="",1,IF($E4081&lt;=INDEX(DarlBindung,9),1,0))</f>
      </c>
      <c r="H4081" s="43">
        <f>IF($G4081=1,INDEX(DarlSollzins,9),INDEX(DarlAnschluss,9))</f>
      </c>
      <c r="I4081" s="43">
        <f>IF(INDEX(DarlBelegt,9)=0,0,IF(INDEX(DarlOhneTilgung,9)=1,IF(INDEX(DarlBindung,9)="",1,$G4081),IF($J4081&gt;0.005,1,0)))</f>
      </c>
      <c r="J4081" s="43">
        <f>IF($I4080=0,0,$R4080)</f>
      </c>
      <c r="K4081" s="43">
        <f>IF($I4081=0,0,IF(INDEX(DarlOhneTilgung,9)=1,0,IF(AND(INDEX(DarlTilgStart,9)&gt;0,$E4081=INDEX(DarlTilgStart,9)),$J4081*($H4081+INDEX(DarlTilgung,9))/100/12,IF(AND($G4081=0,$G4080=1),MAX($K4080,$J4081*($H4081+1)/100/12),$K4080))))</f>
      </c>
      <c r="L4081" s="43">
        <f>IF($I4081=0,0,$J4081*$H4081/100/12)</f>
      </c>
      <c r="M4081" s="43">
        <f>IF($I4081=0,0,IF(OR(INDEX(DarlOhneTilgung,9)=1,AND(INDEX(DarlTilgStart,9)&gt;0,$E4081&lt;INDEX(DarlTilgStart,9))),0,MIN(MAX(0,$K4081-$L4081),$J4081)))</f>
      </c>
      <c r="N4081" s="43">
        <f>IF($I4081=0,0,MIN(SUMIFS(SondBetrag,SondDarl,9,SondDatum,"&gt;="&amp;$E4081,SondDatum,"&lt;="&amp;EOMONTH($E4081,0)),$J4081-$M4081))</f>
      </c>
      <c r="O4081" s="43">
        <f>IF($I4081=0,0,INDEX(DarlErsatzRate,9))</f>
      </c>
      <c r="P4081" s="43">
        <f>IF($I4081=0,0,$Q4080*INDEX(DarlErsatzZins,9))</f>
      </c>
      <c r="Q4081" s="43">
        <f>IF($I4081=0,0,$Q4080+$P4081+$O4081)</f>
      </c>
      <c r="R4081" s="43">
        <f>IF($I4081=0,0,$J4081-$M4081-$N4081)</f>
      </c>
    </row>
    <row r="4082">
      <c r="A4082"/>
      <c r="B4082">
        <v>9</v>
      </c>
      <c r="C4082" s="43">
        <f>INDEX(DarlObj,9)</f>
      </c>
      <c r="D4082">
        <v>239</v>
      </c>
      <c r="E4082" s="51">
        <f>IF(INDEX(DarlBelegt,9)=0,0,EOMONTH(INDEX(DarlAuszahlung,9),238)+1)</f>
      </c>
      <c r="F4082" s="43">
        <f>IF($E4082=0,0,YEAR($E4082))</f>
      </c>
      <c r="G4082" s="43">
        <f>IF(INDEX(DarlBindung,9)="",1,IF($E4082&lt;=INDEX(DarlBindung,9),1,0))</f>
      </c>
      <c r="H4082" s="43">
        <f>IF($G4082=1,INDEX(DarlSollzins,9),INDEX(DarlAnschluss,9))</f>
      </c>
      <c r="I4082" s="43">
        <f>IF(INDEX(DarlBelegt,9)=0,0,IF(INDEX(DarlOhneTilgung,9)=1,IF(INDEX(DarlBindung,9)="",1,$G4082),IF($J4082&gt;0.005,1,0)))</f>
      </c>
      <c r="J4082" s="43">
        <f>IF($I4081=0,0,$R4081)</f>
      </c>
      <c r="K4082" s="43">
        <f>IF($I4082=0,0,IF(INDEX(DarlOhneTilgung,9)=1,0,IF(AND(INDEX(DarlTilgStart,9)&gt;0,$E4082=INDEX(DarlTilgStart,9)),$J4082*($H4082+INDEX(DarlTilgung,9))/100/12,IF(AND($G4082=0,$G4081=1),MAX($K4081,$J4082*($H4082+1)/100/12),$K4081))))</f>
      </c>
      <c r="L4082" s="43">
        <f>IF($I4082=0,0,$J4082*$H4082/100/12)</f>
      </c>
      <c r="M4082" s="43">
        <f>IF($I4082=0,0,IF(OR(INDEX(DarlOhneTilgung,9)=1,AND(INDEX(DarlTilgStart,9)&gt;0,$E4082&lt;INDEX(DarlTilgStart,9))),0,MIN(MAX(0,$K4082-$L4082),$J4082)))</f>
      </c>
      <c r="N4082" s="43">
        <f>IF($I4082=0,0,MIN(SUMIFS(SondBetrag,SondDarl,9,SondDatum,"&gt;="&amp;$E4082,SondDatum,"&lt;="&amp;EOMONTH($E4082,0)),$J4082-$M4082))</f>
      </c>
      <c r="O4082" s="43">
        <f>IF($I4082=0,0,INDEX(DarlErsatzRate,9))</f>
      </c>
      <c r="P4082" s="43">
        <f>IF($I4082=0,0,$Q4081*INDEX(DarlErsatzZins,9))</f>
      </c>
      <c r="Q4082" s="43">
        <f>IF($I4082=0,0,$Q4081+$P4082+$O4082)</f>
      </c>
      <c r="R4082" s="43">
        <f>IF($I4082=0,0,$J4082-$M4082-$N4082)</f>
      </c>
    </row>
    <row r="4083">
      <c r="A4083"/>
      <c r="B4083">
        <v>9</v>
      </c>
      <c r="C4083" s="43">
        <f>INDEX(DarlObj,9)</f>
      </c>
      <c r="D4083">
        <v>240</v>
      </c>
      <c r="E4083" s="51">
        <f>IF(INDEX(DarlBelegt,9)=0,0,EOMONTH(INDEX(DarlAuszahlung,9),239)+1)</f>
      </c>
      <c r="F4083" s="43">
        <f>IF($E4083=0,0,YEAR($E4083))</f>
      </c>
      <c r="G4083" s="43">
        <f>IF(INDEX(DarlBindung,9)="",1,IF($E4083&lt;=INDEX(DarlBindung,9),1,0))</f>
      </c>
      <c r="H4083" s="43">
        <f>IF($G4083=1,INDEX(DarlSollzins,9),INDEX(DarlAnschluss,9))</f>
      </c>
      <c r="I4083" s="43">
        <f>IF(INDEX(DarlBelegt,9)=0,0,IF(INDEX(DarlOhneTilgung,9)=1,IF(INDEX(DarlBindung,9)="",1,$G4083),IF($J4083&gt;0.005,1,0)))</f>
      </c>
      <c r="J4083" s="43">
        <f>IF($I4082=0,0,$R4082)</f>
      </c>
      <c r="K4083" s="43">
        <f>IF($I4083=0,0,IF(INDEX(DarlOhneTilgung,9)=1,0,IF(AND(INDEX(DarlTilgStart,9)&gt;0,$E4083=INDEX(DarlTilgStart,9)),$J4083*($H4083+INDEX(DarlTilgung,9))/100/12,IF(AND($G4083=0,$G4082=1),MAX($K4082,$J4083*($H4083+1)/100/12),$K4082))))</f>
      </c>
      <c r="L4083" s="43">
        <f>IF($I4083=0,0,$J4083*$H4083/100/12)</f>
      </c>
      <c r="M4083" s="43">
        <f>IF($I4083=0,0,IF(OR(INDEX(DarlOhneTilgung,9)=1,AND(INDEX(DarlTilgStart,9)&gt;0,$E4083&lt;INDEX(DarlTilgStart,9))),0,MIN(MAX(0,$K4083-$L4083),$J4083)))</f>
      </c>
      <c r="N4083" s="43">
        <f>IF($I4083=0,0,MIN(SUMIFS(SondBetrag,SondDarl,9,SondDatum,"&gt;="&amp;$E4083,SondDatum,"&lt;="&amp;EOMONTH($E4083,0)),$J4083-$M4083))</f>
      </c>
      <c r="O4083" s="43">
        <f>IF($I4083=0,0,INDEX(DarlErsatzRate,9))</f>
      </c>
      <c r="P4083" s="43">
        <f>IF($I4083=0,0,$Q4082*INDEX(DarlErsatzZins,9))</f>
      </c>
      <c r="Q4083" s="43">
        <f>IF($I4083=0,0,$Q4082+$P4083+$O4083)</f>
      </c>
      <c r="R4083" s="43">
        <f>IF($I4083=0,0,$J4083-$M4083-$N4083)</f>
      </c>
    </row>
    <row r="4084">
      <c r="A4084"/>
      <c r="B4084">
        <v>9</v>
      </c>
      <c r="C4084" s="43">
        <f>INDEX(DarlObj,9)</f>
      </c>
      <c r="D4084">
        <v>241</v>
      </c>
      <c r="E4084" s="51">
        <f>IF(INDEX(DarlBelegt,9)=0,0,EOMONTH(INDEX(DarlAuszahlung,9),240)+1)</f>
      </c>
      <c r="F4084" s="43">
        <f>IF($E4084=0,0,YEAR($E4084))</f>
      </c>
      <c r="G4084" s="43">
        <f>IF(INDEX(DarlBindung,9)="",1,IF($E4084&lt;=INDEX(DarlBindung,9),1,0))</f>
      </c>
      <c r="H4084" s="43">
        <f>IF($G4084=1,INDEX(DarlSollzins,9),INDEX(DarlAnschluss,9))</f>
      </c>
      <c r="I4084" s="43">
        <f>IF(INDEX(DarlBelegt,9)=0,0,IF(INDEX(DarlOhneTilgung,9)=1,IF(INDEX(DarlBindung,9)="",1,$G4084),IF($J4084&gt;0.005,1,0)))</f>
      </c>
      <c r="J4084" s="43">
        <f>IF($I4083=0,0,$R4083)</f>
      </c>
      <c r="K4084" s="43">
        <f>IF($I4084=0,0,IF(INDEX(DarlOhneTilgung,9)=1,0,IF(AND(INDEX(DarlTilgStart,9)&gt;0,$E4084=INDEX(DarlTilgStart,9)),$J4084*($H4084+INDEX(DarlTilgung,9))/100/12,IF(AND($G4084=0,$G4083=1),MAX($K4083,$J4084*($H4084+1)/100/12),$K4083))))</f>
      </c>
      <c r="L4084" s="43">
        <f>IF($I4084=0,0,$J4084*$H4084/100/12)</f>
      </c>
      <c r="M4084" s="43">
        <f>IF($I4084=0,0,IF(OR(INDEX(DarlOhneTilgung,9)=1,AND(INDEX(DarlTilgStart,9)&gt;0,$E4084&lt;INDEX(DarlTilgStart,9))),0,MIN(MAX(0,$K4084-$L4084),$J4084)))</f>
      </c>
      <c r="N4084" s="43">
        <f>IF($I4084=0,0,MIN(SUMIFS(SondBetrag,SondDarl,9,SondDatum,"&gt;="&amp;$E4084,SondDatum,"&lt;="&amp;EOMONTH($E4084,0)),$J4084-$M4084))</f>
      </c>
      <c r="O4084" s="43">
        <f>IF($I4084=0,0,INDEX(DarlErsatzRate,9))</f>
      </c>
      <c r="P4084" s="43">
        <f>IF($I4084=0,0,$Q4083*INDEX(DarlErsatzZins,9))</f>
      </c>
      <c r="Q4084" s="43">
        <f>IF($I4084=0,0,$Q4083+$P4084+$O4084)</f>
      </c>
      <c r="R4084" s="43">
        <f>IF($I4084=0,0,$J4084-$M4084-$N4084)</f>
      </c>
    </row>
    <row r="4085">
      <c r="A4085"/>
      <c r="B4085">
        <v>9</v>
      </c>
      <c r="C4085" s="43">
        <f>INDEX(DarlObj,9)</f>
      </c>
      <c r="D4085">
        <v>242</v>
      </c>
      <c r="E4085" s="51">
        <f>IF(INDEX(DarlBelegt,9)=0,0,EOMONTH(INDEX(DarlAuszahlung,9),241)+1)</f>
      </c>
      <c r="F4085" s="43">
        <f>IF($E4085=0,0,YEAR($E4085))</f>
      </c>
      <c r="G4085" s="43">
        <f>IF(INDEX(DarlBindung,9)="",1,IF($E4085&lt;=INDEX(DarlBindung,9),1,0))</f>
      </c>
      <c r="H4085" s="43">
        <f>IF($G4085=1,INDEX(DarlSollzins,9),INDEX(DarlAnschluss,9))</f>
      </c>
      <c r="I4085" s="43">
        <f>IF(INDEX(DarlBelegt,9)=0,0,IF(INDEX(DarlOhneTilgung,9)=1,IF(INDEX(DarlBindung,9)="",1,$G4085),IF($J4085&gt;0.005,1,0)))</f>
      </c>
      <c r="J4085" s="43">
        <f>IF($I4084=0,0,$R4084)</f>
      </c>
      <c r="K4085" s="43">
        <f>IF($I4085=0,0,IF(INDEX(DarlOhneTilgung,9)=1,0,IF(AND(INDEX(DarlTilgStart,9)&gt;0,$E4085=INDEX(DarlTilgStart,9)),$J4085*($H4085+INDEX(DarlTilgung,9))/100/12,IF(AND($G4085=0,$G4084=1),MAX($K4084,$J4085*($H4085+1)/100/12),$K4084))))</f>
      </c>
      <c r="L4085" s="43">
        <f>IF($I4085=0,0,$J4085*$H4085/100/12)</f>
      </c>
      <c r="M4085" s="43">
        <f>IF($I4085=0,0,IF(OR(INDEX(DarlOhneTilgung,9)=1,AND(INDEX(DarlTilgStart,9)&gt;0,$E4085&lt;INDEX(DarlTilgStart,9))),0,MIN(MAX(0,$K4085-$L4085),$J4085)))</f>
      </c>
      <c r="N4085" s="43">
        <f>IF($I4085=0,0,MIN(SUMIFS(SondBetrag,SondDarl,9,SondDatum,"&gt;="&amp;$E4085,SondDatum,"&lt;="&amp;EOMONTH($E4085,0)),$J4085-$M4085))</f>
      </c>
      <c r="O4085" s="43">
        <f>IF($I4085=0,0,INDEX(DarlErsatzRate,9))</f>
      </c>
      <c r="P4085" s="43">
        <f>IF($I4085=0,0,$Q4084*INDEX(DarlErsatzZins,9))</f>
      </c>
      <c r="Q4085" s="43">
        <f>IF($I4085=0,0,$Q4084+$P4085+$O4085)</f>
      </c>
      <c r="R4085" s="43">
        <f>IF($I4085=0,0,$J4085-$M4085-$N4085)</f>
      </c>
    </row>
    <row r="4086">
      <c r="A4086"/>
      <c r="B4086">
        <v>9</v>
      </c>
      <c r="C4086" s="43">
        <f>INDEX(DarlObj,9)</f>
      </c>
      <c r="D4086">
        <v>243</v>
      </c>
      <c r="E4086" s="51">
        <f>IF(INDEX(DarlBelegt,9)=0,0,EOMONTH(INDEX(DarlAuszahlung,9),242)+1)</f>
      </c>
      <c r="F4086" s="43">
        <f>IF($E4086=0,0,YEAR($E4086))</f>
      </c>
      <c r="G4086" s="43">
        <f>IF(INDEX(DarlBindung,9)="",1,IF($E4086&lt;=INDEX(DarlBindung,9),1,0))</f>
      </c>
      <c r="H4086" s="43">
        <f>IF($G4086=1,INDEX(DarlSollzins,9),INDEX(DarlAnschluss,9))</f>
      </c>
      <c r="I4086" s="43">
        <f>IF(INDEX(DarlBelegt,9)=0,0,IF(INDEX(DarlOhneTilgung,9)=1,IF(INDEX(DarlBindung,9)="",1,$G4086),IF($J4086&gt;0.005,1,0)))</f>
      </c>
      <c r="J4086" s="43">
        <f>IF($I4085=0,0,$R4085)</f>
      </c>
      <c r="K4086" s="43">
        <f>IF($I4086=0,0,IF(INDEX(DarlOhneTilgung,9)=1,0,IF(AND(INDEX(DarlTilgStart,9)&gt;0,$E4086=INDEX(DarlTilgStart,9)),$J4086*($H4086+INDEX(DarlTilgung,9))/100/12,IF(AND($G4086=0,$G4085=1),MAX($K4085,$J4086*($H4086+1)/100/12),$K4085))))</f>
      </c>
      <c r="L4086" s="43">
        <f>IF($I4086=0,0,$J4086*$H4086/100/12)</f>
      </c>
      <c r="M4086" s="43">
        <f>IF($I4086=0,0,IF(OR(INDEX(DarlOhneTilgung,9)=1,AND(INDEX(DarlTilgStart,9)&gt;0,$E4086&lt;INDEX(DarlTilgStart,9))),0,MIN(MAX(0,$K4086-$L4086),$J4086)))</f>
      </c>
      <c r="N4086" s="43">
        <f>IF($I4086=0,0,MIN(SUMIFS(SondBetrag,SondDarl,9,SondDatum,"&gt;="&amp;$E4086,SondDatum,"&lt;="&amp;EOMONTH($E4086,0)),$J4086-$M4086))</f>
      </c>
      <c r="O4086" s="43">
        <f>IF($I4086=0,0,INDEX(DarlErsatzRate,9))</f>
      </c>
      <c r="P4086" s="43">
        <f>IF($I4086=0,0,$Q4085*INDEX(DarlErsatzZins,9))</f>
      </c>
      <c r="Q4086" s="43">
        <f>IF($I4086=0,0,$Q4085+$P4086+$O4086)</f>
      </c>
      <c r="R4086" s="43">
        <f>IF($I4086=0,0,$J4086-$M4086-$N4086)</f>
      </c>
    </row>
    <row r="4087">
      <c r="A4087"/>
      <c r="B4087">
        <v>9</v>
      </c>
      <c r="C4087" s="43">
        <f>INDEX(DarlObj,9)</f>
      </c>
      <c r="D4087">
        <v>244</v>
      </c>
      <c r="E4087" s="51">
        <f>IF(INDEX(DarlBelegt,9)=0,0,EOMONTH(INDEX(DarlAuszahlung,9),243)+1)</f>
      </c>
      <c r="F4087" s="43">
        <f>IF($E4087=0,0,YEAR($E4087))</f>
      </c>
      <c r="G4087" s="43">
        <f>IF(INDEX(DarlBindung,9)="",1,IF($E4087&lt;=INDEX(DarlBindung,9),1,0))</f>
      </c>
      <c r="H4087" s="43">
        <f>IF($G4087=1,INDEX(DarlSollzins,9),INDEX(DarlAnschluss,9))</f>
      </c>
      <c r="I4087" s="43">
        <f>IF(INDEX(DarlBelegt,9)=0,0,IF(INDEX(DarlOhneTilgung,9)=1,IF(INDEX(DarlBindung,9)="",1,$G4087),IF($J4087&gt;0.005,1,0)))</f>
      </c>
      <c r="J4087" s="43">
        <f>IF($I4086=0,0,$R4086)</f>
      </c>
      <c r="K4087" s="43">
        <f>IF($I4087=0,0,IF(INDEX(DarlOhneTilgung,9)=1,0,IF(AND(INDEX(DarlTilgStart,9)&gt;0,$E4087=INDEX(DarlTilgStart,9)),$J4087*($H4087+INDEX(DarlTilgung,9))/100/12,IF(AND($G4087=0,$G4086=1),MAX($K4086,$J4087*($H4087+1)/100/12),$K4086))))</f>
      </c>
      <c r="L4087" s="43">
        <f>IF($I4087=0,0,$J4087*$H4087/100/12)</f>
      </c>
      <c r="M4087" s="43">
        <f>IF($I4087=0,0,IF(OR(INDEX(DarlOhneTilgung,9)=1,AND(INDEX(DarlTilgStart,9)&gt;0,$E4087&lt;INDEX(DarlTilgStart,9))),0,MIN(MAX(0,$K4087-$L4087),$J4087)))</f>
      </c>
      <c r="N4087" s="43">
        <f>IF($I4087=0,0,MIN(SUMIFS(SondBetrag,SondDarl,9,SondDatum,"&gt;="&amp;$E4087,SondDatum,"&lt;="&amp;EOMONTH($E4087,0)),$J4087-$M4087))</f>
      </c>
      <c r="O4087" s="43">
        <f>IF($I4087=0,0,INDEX(DarlErsatzRate,9))</f>
      </c>
      <c r="P4087" s="43">
        <f>IF($I4087=0,0,$Q4086*INDEX(DarlErsatzZins,9))</f>
      </c>
      <c r="Q4087" s="43">
        <f>IF($I4087=0,0,$Q4086+$P4087+$O4087)</f>
      </c>
      <c r="R4087" s="43">
        <f>IF($I4087=0,0,$J4087-$M4087-$N4087)</f>
      </c>
    </row>
    <row r="4088">
      <c r="A4088"/>
      <c r="B4088">
        <v>9</v>
      </c>
      <c r="C4088" s="43">
        <f>INDEX(DarlObj,9)</f>
      </c>
      <c r="D4088">
        <v>245</v>
      </c>
      <c r="E4088" s="51">
        <f>IF(INDEX(DarlBelegt,9)=0,0,EOMONTH(INDEX(DarlAuszahlung,9),244)+1)</f>
      </c>
      <c r="F4088" s="43">
        <f>IF($E4088=0,0,YEAR($E4088))</f>
      </c>
      <c r="G4088" s="43">
        <f>IF(INDEX(DarlBindung,9)="",1,IF($E4088&lt;=INDEX(DarlBindung,9),1,0))</f>
      </c>
      <c r="H4088" s="43">
        <f>IF($G4088=1,INDEX(DarlSollzins,9),INDEX(DarlAnschluss,9))</f>
      </c>
      <c r="I4088" s="43">
        <f>IF(INDEX(DarlBelegt,9)=0,0,IF(INDEX(DarlOhneTilgung,9)=1,IF(INDEX(DarlBindung,9)="",1,$G4088),IF($J4088&gt;0.005,1,0)))</f>
      </c>
      <c r="J4088" s="43">
        <f>IF($I4087=0,0,$R4087)</f>
      </c>
      <c r="K4088" s="43">
        <f>IF($I4088=0,0,IF(INDEX(DarlOhneTilgung,9)=1,0,IF(AND(INDEX(DarlTilgStart,9)&gt;0,$E4088=INDEX(DarlTilgStart,9)),$J4088*($H4088+INDEX(DarlTilgung,9))/100/12,IF(AND($G4088=0,$G4087=1),MAX($K4087,$J4088*($H4088+1)/100/12),$K4087))))</f>
      </c>
      <c r="L4088" s="43">
        <f>IF($I4088=0,0,$J4088*$H4088/100/12)</f>
      </c>
      <c r="M4088" s="43">
        <f>IF($I4088=0,0,IF(OR(INDEX(DarlOhneTilgung,9)=1,AND(INDEX(DarlTilgStart,9)&gt;0,$E4088&lt;INDEX(DarlTilgStart,9))),0,MIN(MAX(0,$K4088-$L4088),$J4088)))</f>
      </c>
      <c r="N4088" s="43">
        <f>IF($I4088=0,0,MIN(SUMIFS(SondBetrag,SondDarl,9,SondDatum,"&gt;="&amp;$E4088,SondDatum,"&lt;="&amp;EOMONTH($E4088,0)),$J4088-$M4088))</f>
      </c>
      <c r="O4088" s="43">
        <f>IF($I4088=0,0,INDEX(DarlErsatzRate,9))</f>
      </c>
      <c r="P4088" s="43">
        <f>IF($I4088=0,0,$Q4087*INDEX(DarlErsatzZins,9))</f>
      </c>
      <c r="Q4088" s="43">
        <f>IF($I4088=0,0,$Q4087+$P4088+$O4088)</f>
      </c>
      <c r="R4088" s="43">
        <f>IF($I4088=0,0,$J4088-$M4088-$N4088)</f>
      </c>
    </row>
    <row r="4089">
      <c r="A4089"/>
      <c r="B4089">
        <v>9</v>
      </c>
      <c r="C4089" s="43">
        <f>INDEX(DarlObj,9)</f>
      </c>
      <c r="D4089">
        <v>246</v>
      </c>
      <c r="E4089" s="51">
        <f>IF(INDEX(DarlBelegt,9)=0,0,EOMONTH(INDEX(DarlAuszahlung,9),245)+1)</f>
      </c>
      <c r="F4089" s="43">
        <f>IF($E4089=0,0,YEAR($E4089))</f>
      </c>
      <c r="G4089" s="43">
        <f>IF(INDEX(DarlBindung,9)="",1,IF($E4089&lt;=INDEX(DarlBindung,9),1,0))</f>
      </c>
      <c r="H4089" s="43">
        <f>IF($G4089=1,INDEX(DarlSollzins,9),INDEX(DarlAnschluss,9))</f>
      </c>
      <c r="I4089" s="43">
        <f>IF(INDEX(DarlBelegt,9)=0,0,IF(INDEX(DarlOhneTilgung,9)=1,IF(INDEX(DarlBindung,9)="",1,$G4089),IF($J4089&gt;0.005,1,0)))</f>
      </c>
      <c r="J4089" s="43">
        <f>IF($I4088=0,0,$R4088)</f>
      </c>
      <c r="K4089" s="43">
        <f>IF($I4089=0,0,IF(INDEX(DarlOhneTilgung,9)=1,0,IF(AND(INDEX(DarlTilgStart,9)&gt;0,$E4089=INDEX(DarlTilgStart,9)),$J4089*($H4089+INDEX(DarlTilgung,9))/100/12,IF(AND($G4089=0,$G4088=1),MAX($K4088,$J4089*($H4089+1)/100/12),$K4088))))</f>
      </c>
      <c r="L4089" s="43">
        <f>IF($I4089=0,0,$J4089*$H4089/100/12)</f>
      </c>
      <c r="M4089" s="43">
        <f>IF($I4089=0,0,IF(OR(INDEX(DarlOhneTilgung,9)=1,AND(INDEX(DarlTilgStart,9)&gt;0,$E4089&lt;INDEX(DarlTilgStart,9))),0,MIN(MAX(0,$K4089-$L4089),$J4089)))</f>
      </c>
      <c r="N4089" s="43">
        <f>IF($I4089=0,0,MIN(SUMIFS(SondBetrag,SondDarl,9,SondDatum,"&gt;="&amp;$E4089,SondDatum,"&lt;="&amp;EOMONTH($E4089,0)),$J4089-$M4089))</f>
      </c>
      <c r="O4089" s="43">
        <f>IF($I4089=0,0,INDEX(DarlErsatzRate,9))</f>
      </c>
      <c r="P4089" s="43">
        <f>IF($I4089=0,0,$Q4088*INDEX(DarlErsatzZins,9))</f>
      </c>
      <c r="Q4089" s="43">
        <f>IF($I4089=0,0,$Q4088+$P4089+$O4089)</f>
      </c>
      <c r="R4089" s="43">
        <f>IF($I4089=0,0,$J4089-$M4089-$N4089)</f>
      </c>
    </row>
    <row r="4090">
      <c r="A4090"/>
      <c r="B4090">
        <v>9</v>
      </c>
      <c r="C4090" s="43">
        <f>INDEX(DarlObj,9)</f>
      </c>
      <c r="D4090">
        <v>247</v>
      </c>
      <c r="E4090" s="51">
        <f>IF(INDEX(DarlBelegt,9)=0,0,EOMONTH(INDEX(DarlAuszahlung,9),246)+1)</f>
      </c>
      <c r="F4090" s="43">
        <f>IF($E4090=0,0,YEAR($E4090))</f>
      </c>
      <c r="G4090" s="43">
        <f>IF(INDEX(DarlBindung,9)="",1,IF($E4090&lt;=INDEX(DarlBindung,9),1,0))</f>
      </c>
      <c r="H4090" s="43">
        <f>IF($G4090=1,INDEX(DarlSollzins,9),INDEX(DarlAnschluss,9))</f>
      </c>
      <c r="I4090" s="43">
        <f>IF(INDEX(DarlBelegt,9)=0,0,IF(INDEX(DarlOhneTilgung,9)=1,IF(INDEX(DarlBindung,9)="",1,$G4090),IF($J4090&gt;0.005,1,0)))</f>
      </c>
      <c r="J4090" s="43">
        <f>IF($I4089=0,0,$R4089)</f>
      </c>
      <c r="K4090" s="43">
        <f>IF($I4090=0,0,IF(INDEX(DarlOhneTilgung,9)=1,0,IF(AND(INDEX(DarlTilgStart,9)&gt;0,$E4090=INDEX(DarlTilgStart,9)),$J4090*($H4090+INDEX(DarlTilgung,9))/100/12,IF(AND($G4090=0,$G4089=1),MAX($K4089,$J4090*($H4090+1)/100/12),$K4089))))</f>
      </c>
      <c r="L4090" s="43">
        <f>IF($I4090=0,0,$J4090*$H4090/100/12)</f>
      </c>
      <c r="M4090" s="43">
        <f>IF($I4090=0,0,IF(OR(INDEX(DarlOhneTilgung,9)=1,AND(INDEX(DarlTilgStart,9)&gt;0,$E4090&lt;INDEX(DarlTilgStart,9))),0,MIN(MAX(0,$K4090-$L4090),$J4090)))</f>
      </c>
      <c r="N4090" s="43">
        <f>IF($I4090=0,0,MIN(SUMIFS(SondBetrag,SondDarl,9,SondDatum,"&gt;="&amp;$E4090,SondDatum,"&lt;="&amp;EOMONTH($E4090,0)),$J4090-$M4090))</f>
      </c>
      <c r="O4090" s="43">
        <f>IF($I4090=0,0,INDEX(DarlErsatzRate,9))</f>
      </c>
      <c r="P4090" s="43">
        <f>IF($I4090=0,0,$Q4089*INDEX(DarlErsatzZins,9))</f>
      </c>
      <c r="Q4090" s="43">
        <f>IF($I4090=0,0,$Q4089+$P4090+$O4090)</f>
      </c>
      <c r="R4090" s="43">
        <f>IF($I4090=0,0,$J4090-$M4090-$N4090)</f>
      </c>
    </row>
    <row r="4091">
      <c r="A4091"/>
      <c r="B4091">
        <v>9</v>
      </c>
      <c r="C4091" s="43">
        <f>INDEX(DarlObj,9)</f>
      </c>
      <c r="D4091">
        <v>248</v>
      </c>
      <c r="E4091" s="51">
        <f>IF(INDEX(DarlBelegt,9)=0,0,EOMONTH(INDEX(DarlAuszahlung,9),247)+1)</f>
      </c>
      <c r="F4091" s="43">
        <f>IF($E4091=0,0,YEAR($E4091))</f>
      </c>
      <c r="G4091" s="43">
        <f>IF(INDEX(DarlBindung,9)="",1,IF($E4091&lt;=INDEX(DarlBindung,9),1,0))</f>
      </c>
      <c r="H4091" s="43">
        <f>IF($G4091=1,INDEX(DarlSollzins,9),INDEX(DarlAnschluss,9))</f>
      </c>
      <c r="I4091" s="43">
        <f>IF(INDEX(DarlBelegt,9)=0,0,IF(INDEX(DarlOhneTilgung,9)=1,IF(INDEX(DarlBindung,9)="",1,$G4091),IF($J4091&gt;0.005,1,0)))</f>
      </c>
      <c r="J4091" s="43">
        <f>IF($I4090=0,0,$R4090)</f>
      </c>
      <c r="K4091" s="43">
        <f>IF($I4091=0,0,IF(INDEX(DarlOhneTilgung,9)=1,0,IF(AND(INDEX(DarlTilgStart,9)&gt;0,$E4091=INDEX(DarlTilgStart,9)),$J4091*($H4091+INDEX(DarlTilgung,9))/100/12,IF(AND($G4091=0,$G4090=1),MAX($K4090,$J4091*($H4091+1)/100/12),$K4090))))</f>
      </c>
      <c r="L4091" s="43">
        <f>IF($I4091=0,0,$J4091*$H4091/100/12)</f>
      </c>
      <c r="M4091" s="43">
        <f>IF($I4091=0,0,IF(OR(INDEX(DarlOhneTilgung,9)=1,AND(INDEX(DarlTilgStart,9)&gt;0,$E4091&lt;INDEX(DarlTilgStart,9))),0,MIN(MAX(0,$K4091-$L4091),$J4091)))</f>
      </c>
      <c r="N4091" s="43">
        <f>IF($I4091=0,0,MIN(SUMIFS(SondBetrag,SondDarl,9,SondDatum,"&gt;="&amp;$E4091,SondDatum,"&lt;="&amp;EOMONTH($E4091,0)),$J4091-$M4091))</f>
      </c>
      <c r="O4091" s="43">
        <f>IF($I4091=0,0,INDEX(DarlErsatzRate,9))</f>
      </c>
      <c r="P4091" s="43">
        <f>IF($I4091=0,0,$Q4090*INDEX(DarlErsatzZins,9))</f>
      </c>
      <c r="Q4091" s="43">
        <f>IF($I4091=0,0,$Q4090+$P4091+$O4091)</f>
      </c>
      <c r="R4091" s="43">
        <f>IF($I4091=0,0,$J4091-$M4091-$N4091)</f>
      </c>
    </row>
    <row r="4092">
      <c r="A4092"/>
      <c r="B4092">
        <v>9</v>
      </c>
      <c r="C4092" s="43">
        <f>INDEX(DarlObj,9)</f>
      </c>
      <c r="D4092">
        <v>249</v>
      </c>
      <c r="E4092" s="51">
        <f>IF(INDEX(DarlBelegt,9)=0,0,EOMONTH(INDEX(DarlAuszahlung,9),248)+1)</f>
      </c>
      <c r="F4092" s="43">
        <f>IF($E4092=0,0,YEAR($E4092))</f>
      </c>
      <c r="G4092" s="43">
        <f>IF(INDEX(DarlBindung,9)="",1,IF($E4092&lt;=INDEX(DarlBindung,9),1,0))</f>
      </c>
      <c r="H4092" s="43">
        <f>IF($G4092=1,INDEX(DarlSollzins,9),INDEX(DarlAnschluss,9))</f>
      </c>
      <c r="I4092" s="43">
        <f>IF(INDEX(DarlBelegt,9)=0,0,IF(INDEX(DarlOhneTilgung,9)=1,IF(INDEX(DarlBindung,9)="",1,$G4092),IF($J4092&gt;0.005,1,0)))</f>
      </c>
      <c r="J4092" s="43">
        <f>IF($I4091=0,0,$R4091)</f>
      </c>
      <c r="K4092" s="43">
        <f>IF($I4092=0,0,IF(INDEX(DarlOhneTilgung,9)=1,0,IF(AND(INDEX(DarlTilgStart,9)&gt;0,$E4092=INDEX(DarlTilgStart,9)),$J4092*($H4092+INDEX(DarlTilgung,9))/100/12,IF(AND($G4092=0,$G4091=1),MAX($K4091,$J4092*($H4092+1)/100/12),$K4091))))</f>
      </c>
      <c r="L4092" s="43">
        <f>IF($I4092=0,0,$J4092*$H4092/100/12)</f>
      </c>
      <c r="M4092" s="43">
        <f>IF($I4092=0,0,IF(OR(INDEX(DarlOhneTilgung,9)=1,AND(INDEX(DarlTilgStart,9)&gt;0,$E4092&lt;INDEX(DarlTilgStart,9))),0,MIN(MAX(0,$K4092-$L4092),$J4092)))</f>
      </c>
      <c r="N4092" s="43">
        <f>IF($I4092=0,0,MIN(SUMIFS(SondBetrag,SondDarl,9,SondDatum,"&gt;="&amp;$E4092,SondDatum,"&lt;="&amp;EOMONTH($E4092,0)),$J4092-$M4092))</f>
      </c>
      <c r="O4092" s="43">
        <f>IF($I4092=0,0,INDEX(DarlErsatzRate,9))</f>
      </c>
      <c r="P4092" s="43">
        <f>IF($I4092=0,0,$Q4091*INDEX(DarlErsatzZins,9))</f>
      </c>
      <c r="Q4092" s="43">
        <f>IF($I4092=0,0,$Q4091+$P4092+$O4092)</f>
      </c>
      <c r="R4092" s="43">
        <f>IF($I4092=0,0,$J4092-$M4092-$N4092)</f>
      </c>
    </row>
    <row r="4093">
      <c r="A4093"/>
      <c r="B4093">
        <v>9</v>
      </c>
      <c r="C4093" s="43">
        <f>INDEX(DarlObj,9)</f>
      </c>
      <c r="D4093">
        <v>250</v>
      </c>
      <c r="E4093" s="51">
        <f>IF(INDEX(DarlBelegt,9)=0,0,EOMONTH(INDEX(DarlAuszahlung,9),249)+1)</f>
      </c>
      <c r="F4093" s="43">
        <f>IF($E4093=0,0,YEAR($E4093))</f>
      </c>
      <c r="G4093" s="43">
        <f>IF(INDEX(DarlBindung,9)="",1,IF($E4093&lt;=INDEX(DarlBindung,9),1,0))</f>
      </c>
      <c r="H4093" s="43">
        <f>IF($G4093=1,INDEX(DarlSollzins,9),INDEX(DarlAnschluss,9))</f>
      </c>
      <c r="I4093" s="43">
        <f>IF(INDEX(DarlBelegt,9)=0,0,IF(INDEX(DarlOhneTilgung,9)=1,IF(INDEX(DarlBindung,9)="",1,$G4093),IF($J4093&gt;0.005,1,0)))</f>
      </c>
      <c r="J4093" s="43">
        <f>IF($I4092=0,0,$R4092)</f>
      </c>
      <c r="K4093" s="43">
        <f>IF($I4093=0,0,IF(INDEX(DarlOhneTilgung,9)=1,0,IF(AND(INDEX(DarlTilgStart,9)&gt;0,$E4093=INDEX(DarlTilgStart,9)),$J4093*($H4093+INDEX(DarlTilgung,9))/100/12,IF(AND($G4093=0,$G4092=1),MAX($K4092,$J4093*($H4093+1)/100/12),$K4092))))</f>
      </c>
      <c r="L4093" s="43">
        <f>IF($I4093=0,0,$J4093*$H4093/100/12)</f>
      </c>
      <c r="M4093" s="43">
        <f>IF($I4093=0,0,IF(OR(INDEX(DarlOhneTilgung,9)=1,AND(INDEX(DarlTilgStart,9)&gt;0,$E4093&lt;INDEX(DarlTilgStart,9))),0,MIN(MAX(0,$K4093-$L4093),$J4093)))</f>
      </c>
      <c r="N4093" s="43">
        <f>IF($I4093=0,0,MIN(SUMIFS(SondBetrag,SondDarl,9,SondDatum,"&gt;="&amp;$E4093,SondDatum,"&lt;="&amp;EOMONTH($E4093,0)),$J4093-$M4093))</f>
      </c>
      <c r="O4093" s="43">
        <f>IF($I4093=0,0,INDEX(DarlErsatzRate,9))</f>
      </c>
      <c r="P4093" s="43">
        <f>IF($I4093=0,0,$Q4092*INDEX(DarlErsatzZins,9))</f>
      </c>
      <c r="Q4093" s="43">
        <f>IF($I4093=0,0,$Q4092+$P4093+$O4093)</f>
      </c>
      <c r="R4093" s="43">
        <f>IF($I4093=0,0,$J4093-$M4093-$N4093)</f>
      </c>
    </row>
    <row r="4094">
      <c r="A4094"/>
      <c r="B4094">
        <v>9</v>
      </c>
      <c r="C4094" s="43">
        <f>INDEX(DarlObj,9)</f>
      </c>
      <c r="D4094">
        <v>251</v>
      </c>
      <c r="E4094" s="51">
        <f>IF(INDEX(DarlBelegt,9)=0,0,EOMONTH(INDEX(DarlAuszahlung,9),250)+1)</f>
      </c>
      <c r="F4094" s="43">
        <f>IF($E4094=0,0,YEAR($E4094))</f>
      </c>
      <c r="G4094" s="43">
        <f>IF(INDEX(DarlBindung,9)="",1,IF($E4094&lt;=INDEX(DarlBindung,9),1,0))</f>
      </c>
      <c r="H4094" s="43">
        <f>IF($G4094=1,INDEX(DarlSollzins,9),INDEX(DarlAnschluss,9))</f>
      </c>
      <c r="I4094" s="43">
        <f>IF(INDEX(DarlBelegt,9)=0,0,IF(INDEX(DarlOhneTilgung,9)=1,IF(INDEX(DarlBindung,9)="",1,$G4094),IF($J4094&gt;0.005,1,0)))</f>
      </c>
      <c r="J4094" s="43">
        <f>IF($I4093=0,0,$R4093)</f>
      </c>
      <c r="K4094" s="43">
        <f>IF($I4094=0,0,IF(INDEX(DarlOhneTilgung,9)=1,0,IF(AND(INDEX(DarlTilgStart,9)&gt;0,$E4094=INDEX(DarlTilgStart,9)),$J4094*($H4094+INDEX(DarlTilgung,9))/100/12,IF(AND($G4094=0,$G4093=1),MAX($K4093,$J4094*($H4094+1)/100/12),$K4093))))</f>
      </c>
      <c r="L4094" s="43">
        <f>IF($I4094=0,0,$J4094*$H4094/100/12)</f>
      </c>
      <c r="M4094" s="43">
        <f>IF($I4094=0,0,IF(OR(INDEX(DarlOhneTilgung,9)=1,AND(INDEX(DarlTilgStart,9)&gt;0,$E4094&lt;INDEX(DarlTilgStart,9))),0,MIN(MAX(0,$K4094-$L4094),$J4094)))</f>
      </c>
      <c r="N4094" s="43">
        <f>IF($I4094=0,0,MIN(SUMIFS(SondBetrag,SondDarl,9,SondDatum,"&gt;="&amp;$E4094,SondDatum,"&lt;="&amp;EOMONTH($E4094,0)),$J4094-$M4094))</f>
      </c>
      <c r="O4094" s="43">
        <f>IF($I4094=0,0,INDEX(DarlErsatzRate,9))</f>
      </c>
      <c r="P4094" s="43">
        <f>IF($I4094=0,0,$Q4093*INDEX(DarlErsatzZins,9))</f>
      </c>
      <c r="Q4094" s="43">
        <f>IF($I4094=0,0,$Q4093+$P4094+$O4094)</f>
      </c>
      <c r="R4094" s="43">
        <f>IF($I4094=0,0,$J4094-$M4094-$N4094)</f>
      </c>
    </row>
    <row r="4095">
      <c r="A4095"/>
      <c r="B4095">
        <v>9</v>
      </c>
      <c r="C4095" s="43">
        <f>INDEX(DarlObj,9)</f>
      </c>
      <c r="D4095">
        <v>252</v>
      </c>
      <c r="E4095" s="51">
        <f>IF(INDEX(DarlBelegt,9)=0,0,EOMONTH(INDEX(DarlAuszahlung,9),251)+1)</f>
      </c>
      <c r="F4095" s="43">
        <f>IF($E4095=0,0,YEAR($E4095))</f>
      </c>
      <c r="G4095" s="43">
        <f>IF(INDEX(DarlBindung,9)="",1,IF($E4095&lt;=INDEX(DarlBindung,9),1,0))</f>
      </c>
      <c r="H4095" s="43">
        <f>IF($G4095=1,INDEX(DarlSollzins,9),INDEX(DarlAnschluss,9))</f>
      </c>
      <c r="I4095" s="43">
        <f>IF(INDEX(DarlBelegt,9)=0,0,IF(INDEX(DarlOhneTilgung,9)=1,IF(INDEX(DarlBindung,9)="",1,$G4095),IF($J4095&gt;0.005,1,0)))</f>
      </c>
      <c r="J4095" s="43">
        <f>IF($I4094=0,0,$R4094)</f>
      </c>
      <c r="K4095" s="43">
        <f>IF($I4095=0,0,IF(INDEX(DarlOhneTilgung,9)=1,0,IF(AND(INDEX(DarlTilgStart,9)&gt;0,$E4095=INDEX(DarlTilgStart,9)),$J4095*($H4095+INDEX(DarlTilgung,9))/100/12,IF(AND($G4095=0,$G4094=1),MAX($K4094,$J4095*($H4095+1)/100/12),$K4094))))</f>
      </c>
      <c r="L4095" s="43">
        <f>IF($I4095=0,0,$J4095*$H4095/100/12)</f>
      </c>
      <c r="M4095" s="43">
        <f>IF($I4095=0,0,IF(OR(INDEX(DarlOhneTilgung,9)=1,AND(INDEX(DarlTilgStart,9)&gt;0,$E4095&lt;INDEX(DarlTilgStart,9))),0,MIN(MAX(0,$K4095-$L4095),$J4095)))</f>
      </c>
      <c r="N4095" s="43">
        <f>IF($I4095=0,0,MIN(SUMIFS(SondBetrag,SondDarl,9,SondDatum,"&gt;="&amp;$E4095,SondDatum,"&lt;="&amp;EOMONTH($E4095,0)),$J4095-$M4095))</f>
      </c>
      <c r="O4095" s="43">
        <f>IF($I4095=0,0,INDEX(DarlErsatzRate,9))</f>
      </c>
      <c r="P4095" s="43">
        <f>IF($I4095=0,0,$Q4094*INDEX(DarlErsatzZins,9))</f>
      </c>
      <c r="Q4095" s="43">
        <f>IF($I4095=0,0,$Q4094+$P4095+$O4095)</f>
      </c>
      <c r="R4095" s="43">
        <f>IF($I4095=0,0,$J4095-$M4095-$N4095)</f>
      </c>
    </row>
    <row r="4096">
      <c r="A4096"/>
      <c r="B4096">
        <v>9</v>
      </c>
      <c r="C4096" s="43">
        <f>INDEX(DarlObj,9)</f>
      </c>
      <c r="D4096">
        <v>253</v>
      </c>
      <c r="E4096" s="51">
        <f>IF(INDEX(DarlBelegt,9)=0,0,EOMONTH(INDEX(DarlAuszahlung,9),252)+1)</f>
      </c>
      <c r="F4096" s="43">
        <f>IF($E4096=0,0,YEAR($E4096))</f>
      </c>
      <c r="G4096" s="43">
        <f>IF(INDEX(DarlBindung,9)="",1,IF($E4096&lt;=INDEX(DarlBindung,9),1,0))</f>
      </c>
      <c r="H4096" s="43">
        <f>IF($G4096=1,INDEX(DarlSollzins,9),INDEX(DarlAnschluss,9))</f>
      </c>
      <c r="I4096" s="43">
        <f>IF(INDEX(DarlBelegt,9)=0,0,IF(INDEX(DarlOhneTilgung,9)=1,IF(INDEX(DarlBindung,9)="",1,$G4096),IF($J4096&gt;0.005,1,0)))</f>
      </c>
      <c r="J4096" s="43">
        <f>IF($I4095=0,0,$R4095)</f>
      </c>
      <c r="K4096" s="43">
        <f>IF($I4096=0,0,IF(INDEX(DarlOhneTilgung,9)=1,0,IF(AND(INDEX(DarlTilgStart,9)&gt;0,$E4096=INDEX(DarlTilgStart,9)),$J4096*($H4096+INDEX(DarlTilgung,9))/100/12,IF(AND($G4096=0,$G4095=1),MAX($K4095,$J4096*($H4096+1)/100/12),$K4095))))</f>
      </c>
      <c r="L4096" s="43">
        <f>IF($I4096=0,0,$J4096*$H4096/100/12)</f>
      </c>
      <c r="M4096" s="43">
        <f>IF($I4096=0,0,IF(OR(INDEX(DarlOhneTilgung,9)=1,AND(INDEX(DarlTilgStart,9)&gt;0,$E4096&lt;INDEX(DarlTilgStart,9))),0,MIN(MAX(0,$K4096-$L4096),$J4096)))</f>
      </c>
      <c r="N4096" s="43">
        <f>IF($I4096=0,0,MIN(SUMIFS(SondBetrag,SondDarl,9,SondDatum,"&gt;="&amp;$E4096,SondDatum,"&lt;="&amp;EOMONTH($E4096,0)),$J4096-$M4096))</f>
      </c>
      <c r="O4096" s="43">
        <f>IF($I4096=0,0,INDEX(DarlErsatzRate,9))</f>
      </c>
      <c r="P4096" s="43">
        <f>IF($I4096=0,0,$Q4095*INDEX(DarlErsatzZins,9))</f>
      </c>
      <c r="Q4096" s="43">
        <f>IF($I4096=0,0,$Q4095+$P4096+$O4096)</f>
      </c>
      <c r="R4096" s="43">
        <f>IF($I4096=0,0,$J4096-$M4096-$N4096)</f>
      </c>
    </row>
    <row r="4097">
      <c r="A4097"/>
      <c r="B4097">
        <v>9</v>
      </c>
      <c r="C4097" s="43">
        <f>INDEX(DarlObj,9)</f>
      </c>
      <c r="D4097">
        <v>254</v>
      </c>
      <c r="E4097" s="51">
        <f>IF(INDEX(DarlBelegt,9)=0,0,EOMONTH(INDEX(DarlAuszahlung,9),253)+1)</f>
      </c>
      <c r="F4097" s="43">
        <f>IF($E4097=0,0,YEAR($E4097))</f>
      </c>
      <c r="G4097" s="43">
        <f>IF(INDEX(DarlBindung,9)="",1,IF($E4097&lt;=INDEX(DarlBindung,9),1,0))</f>
      </c>
      <c r="H4097" s="43">
        <f>IF($G4097=1,INDEX(DarlSollzins,9),INDEX(DarlAnschluss,9))</f>
      </c>
      <c r="I4097" s="43">
        <f>IF(INDEX(DarlBelegt,9)=0,0,IF(INDEX(DarlOhneTilgung,9)=1,IF(INDEX(DarlBindung,9)="",1,$G4097),IF($J4097&gt;0.005,1,0)))</f>
      </c>
      <c r="J4097" s="43">
        <f>IF($I4096=0,0,$R4096)</f>
      </c>
      <c r="K4097" s="43">
        <f>IF($I4097=0,0,IF(INDEX(DarlOhneTilgung,9)=1,0,IF(AND(INDEX(DarlTilgStart,9)&gt;0,$E4097=INDEX(DarlTilgStart,9)),$J4097*($H4097+INDEX(DarlTilgung,9))/100/12,IF(AND($G4097=0,$G4096=1),MAX($K4096,$J4097*($H4097+1)/100/12),$K4096))))</f>
      </c>
      <c r="L4097" s="43">
        <f>IF($I4097=0,0,$J4097*$H4097/100/12)</f>
      </c>
      <c r="M4097" s="43">
        <f>IF($I4097=0,0,IF(OR(INDEX(DarlOhneTilgung,9)=1,AND(INDEX(DarlTilgStart,9)&gt;0,$E4097&lt;INDEX(DarlTilgStart,9))),0,MIN(MAX(0,$K4097-$L4097),$J4097)))</f>
      </c>
      <c r="N4097" s="43">
        <f>IF($I4097=0,0,MIN(SUMIFS(SondBetrag,SondDarl,9,SondDatum,"&gt;="&amp;$E4097,SondDatum,"&lt;="&amp;EOMONTH($E4097,0)),$J4097-$M4097))</f>
      </c>
      <c r="O4097" s="43">
        <f>IF($I4097=0,0,INDEX(DarlErsatzRate,9))</f>
      </c>
      <c r="P4097" s="43">
        <f>IF($I4097=0,0,$Q4096*INDEX(DarlErsatzZins,9))</f>
      </c>
      <c r="Q4097" s="43">
        <f>IF($I4097=0,0,$Q4096+$P4097+$O4097)</f>
      </c>
      <c r="R4097" s="43">
        <f>IF($I4097=0,0,$J4097-$M4097-$N4097)</f>
      </c>
    </row>
    <row r="4098">
      <c r="A4098"/>
      <c r="B4098">
        <v>9</v>
      </c>
      <c r="C4098" s="43">
        <f>INDEX(DarlObj,9)</f>
      </c>
      <c r="D4098">
        <v>255</v>
      </c>
      <c r="E4098" s="51">
        <f>IF(INDEX(DarlBelegt,9)=0,0,EOMONTH(INDEX(DarlAuszahlung,9),254)+1)</f>
      </c>
      <c r="F4098" s="43">
        <f>IF($E4098=0,0,YEAR($E4098))</f>
      </c>
      <c r="G4098" s="43">
        <f>IF(INDEX(DarlBindung,9)="",1,IF($E4098&lt;=INDEX(DarlBindung,9),1,0))</f>
      </c>
      <c r="H4098" s="43">
        <f>IF($G4098=1,INDEX(DarlSollzins,9),INDEX(DarlAnschluss,9))</f>
      </c>
      <c r="I4098" s="43">
        <f>IF(INDEX(DarlBelegt,9)=0,0,IF(INDEX(DarlOhneTilgung,9)=1,IF(INDEX(DarlBindung,9)="",1,$G4098),IF($J4098&gt;0.005,1,0)))</f>
      </c>
      <c r="J4098" s="43">
        <f>IF($I4097=0,0,$R4097)</f>
      </c>
      <c r="K4098" s="43">
        <f>IF($I4098=0,0,IF(INDEX(DarlOhneTilgung,9)=1,0,IF(AND(INDEX(DarlTilgStart,9)&gt;0,$E4098=INDEX(DarlTilgStart,9)),$J4098*($H4098+INDEX(DarlTilgung,9))/100/12,IF(AND($G4098=0,$G4097=1),MAX($K4097,$J4098*($H4098+1)/100/12),$K4097))))</f>
      </c>
      <c r="L4098" s="43">
        <f>IF($I4098=0,0,$J4098*$H4098/100/12)</f>
      </c>
      <c r="M4098" s="43">
        <f>IF($I4098=0,0,IF(OR(INDEX(DarlOhneTilgung,9)=1,AND(INDEX(DarlTilgStart,9)&gt;0,$E4098&lt;INDEX(DarlTilgStart,9))),0,MIN(MAX(0,$K4098-$L4098),$J4098)))</f>
      </c>
      <c r="N4098" s="43">
        <f>IF($I4098=0,0,MIN(SUMIFS(SondBetrag,SondDarl,9,SondDatum,"&gt;="&amp;$E4098,SondDatum,"&lt;="&amp;EOMONTH($E4098,0)),$J4098-$M4098))</f>
      </c>
      <c r="O4098" s="43">
        <f>IF($I4098=0,0,INDEX(DarlErsatzRate,9))</f>
      </c>
      <c r="P4098" s="43">
        <f>IF($I4098=0,0,$Q4097*INDEX(DarlErsatzZins,9))</f>
      </c>
      <c r="Q4098" s="43">
        <f>IF($I4098=0,0,$Q4097+$P4098+$O4098)</f>
      </c>
      <c r="R4098" s="43">
        <f>IF($I4098=0,0,$J4098-$M4098-$N4098)</f>
      </c>
    </row>
    <row r="4099">
      <c r="A4099"/>
      <c r="B4099">
        <v>9</v>
      </c>
      <c r="C4099" s="43">
        <f>INDEX(DarlObj,9)</f>
      </c>
      <c r="D4099">
        <v>256</v>
      </c>
      <c r="E4099" s="51">
        <f>IF(INDEX(DarlBelegt,9)=0,0,EOMONTH(INDEX(DarlAuszahlung,9),255)+1)</f>
      </c>
      <c r="F4099" s="43">
        <f>IF($E4099=0,0,YEAR($E4099))</f>
      </c>
      <c r="G4099" s="43">
        <f>IF(INDEX(DarlBindung,9)="",1,IF($E4099&lt;=INDEX(DarlBindung,9),1,0))</f>
      </c>
      <c r="H4099" s="43">
        <f>IF($G4099=1,INDEX(DarlSollzins,9),INDEX(DarlAnschluss,9))</f>
      </c>
      <c r="I4099" s="43">
        <f>IF(INDEX(DarlBelegt,9)=0,0,IF(INDEX(DarlOhneTilgung,9)=1,IF(INDEX(DarlBindung,9)="",1,$G4099),IF($J4099&gt;0.005,1,0)))</f>
      </c>
      <c r="J4099" s="43">
        <f>IF($I4098=0,0,$R4098)</f>
      </c>
      <c r="K4099" s="43">
        <f>IF($I4099=0,0,IF(INDEX(DarlOhneTilgung,9)=1,0,IF(AND(INDEX(DarlTilgStart,9)&gt;0,$E4099=INDEX(DarlTilgStart,9)),$J4099*($H4099+INDEX(DarlTilgung,9))/100/12,IF(AND($G4099=0,$G4098=1),MAX($K4098,$J4099*($H4099+1)/100/12),$K4098))))</f>
      </c>
      <c r="L4099" s="43">
        <f>IF($I4099=0,0,$J4099*$H4099/100/12)</f>
      </c>
      <c r="M4099" s="43">
        <f>IF($I4099=0,0,IF(OR(INDEX(DarlOhneTilgung,9)=1,AND(INDEX(DarlTilgStart,9)&gt;0,$E4099&lt;INDEX(DarlTilgStart,9))),0,MIN(MAX(0,$K4099-$L4099),$J4099)))</f>
      </c>
      <c r="N4099" s="43">
        <f>IF($I4099=0,0,MIN(SUMIFS(SondBetrag,SondDarl,9,SondDatum,"&gt;="&amp;$E4099,SondDatum,"&lt;="&amp;EOMONTH($E4099,0)),$J4099-$M4099))</f>
      </c>
      <c r="O4099" s="43">
        <f>IF($I4099=0,0,INDEX(DarlErsatzRate,9))</f>
      </c>
      <c r="P4099" s="43">
        <f>IF($I4099=0,0,$Q4098*INDEX(DarlErsatzZins,9))</f>
      </c>
      <c r="Q4099" s="43">
        <f>IF($I4099=0,0,$Q4098+$P4099+$O4099)</f>
      </c>
      <c r="R4099" s="43">
        <f>IF($I4099=0,0,$J4099-$M4099-$N4099)</f>
      </c>
    </row>
    <row r="4100">
      <c r="A4100"/>
      <c r="B4100">
        <v>9</v>
      </c>
      <c r="C4100" s="43">
        <f>INDEX(DarlObj,9)</f>
      </c>
      <c r="D4100">
        <v>257</v>
      </c>
      <c r="E4100" s="51">
        <f>IF(INDEX(DarlBelegt,9)=0,0,EOMONTH(INDEX(DarlAuszahlung,9),256)+1)</f>
      </c>
      <c r="F4100" s="43">
        <f>IF($E4100=0,0,YEAR($E4100))</f>
      </c>
      <c r="G4100" s="43">
        <f>IF(INDEX(DarlBindung,9)="",1,IF($E4100&lt;=INDEX(DarlBindung,9),1,0))</f>
      </c>
      <c r="H4100" s="43">
        <f>IF($G4100=1,INDEX(DarlSollzins,9),INDEX(DarlAnschluss,9))</f>
      </c>
      <c r="I4100" s="43">
        <f>IF(INDEX(DarlBelegt,9)=0,0,IF(INDEX(DarlOhneTilgung,9)=1,IF(INDEX(DarlBindung,9)="",1,$G4100),IF($J4100&gt;0.005,1,0)))</f>
      </c>
      <c r="J4100" s="43">
        <f>IF($I4099=0,0,$R4099)</f>
      </c>
      <c r="K4100" s="43">
        <f>IF($I4100=0,0,IF(INDEX(DarlOhneTilgung,9)=1,0,IF(AND(INDEX(DarlTilgStart,9)&gt;0,$E4100=INDEX(DarlTilgStart,9)),$J4100*($H4100+INDEX(DarlTilgung,9))/100/12,IF(AND($G4100=0,$G4099=1),MAX($K4099,$J4100*($H4100+1)/100/12),$K4099))))</f>
      </c>
      <c r="L4100" s="43">
        <f>IF($I4100=0,0,$J4100*$H4100/100/12)</f>
      </c>
      <c r="M4100" s="43">
        <f>IF($I4100=0,0,IF(OR(INDEX(DarlOhneTilgung,9)=1,AND(INDEX(DarlTilgStart,9)&gt;0,$E4100&lt;INDEX(DarlTilgStart,9))),0,MIN(MAX(0,$K4100-$L4100),$J4100)))</f>
      </c>
      <c r="N4100" s="43">
        <f>IF($I4100=0,0,MIN(SUMIFS(SondBetrag,SondDarl,9,SondDatum,"&gt;="&amp;$E4100,SondDatum,"&lt;="&amp;EOMONTH($E4100,0)),$J4100-$M4100))</f>
      </c>
      <c r="O4100" s="43">
        <f>IF($I4100=0,0,INDEX(DarlErsatzRate,9))</f>
      </c>
      <c r="P4100" s="43">
        <f>IF($I4100=0,0,$Q4099*INDEX(DarlErsatzZins,9))</f>
      </c>
      <c r="Q4100" s="43">
        <f>IF($I4100=0,0,$Q4099+$P4100+$O4100)</f>
      </c>
      <c r="R4100" s="43">
        <f>IF($I4100=0,0,$J4100-$M4100-$N4100)</f>
      </c>
    </row>
    <row r="4101">
      <c r="A4101"/>
      <c r="B4101">
        <v>9</v>
      </c>
      <c r="C4101" s="43">
        <f>INDEX(DarlObj,9)</f>
      </c>
      <c r="D4101">
        <v>258</v>
      </c>
      <c r="E4101" s="51">
        <f>IF(INDEX(DarlBelegt,9)=0,0,EOMONTH(INDEX(DarlAuszahlung,9),257)+1)</f>
      </c>
      <c r="F4101" s="43">
        <f>IF($E4101=0,0,YEAR($E4101))</f>
      </c>
      <c r="G4101" s="43">
        <f>IF(INDEX(DarlBindung,9)="",1,IF($E4101&lt;=INDEX(DarlBindung,9),1,0))</f>
      </c>
      <c r="H4101" s="43">
        <f>IF($G4101=1,INDEX(DarlSollzins,9),INDEX(DarlAnschluss,9))</f>
      </c>
      <c r="I4101" s="43">
        <f>IF(INDEX(DarlBelegt,9)=0,0,IF(INDEX(DarlOhneTilgung,9)=1,IF(INDEX(DarlBindung,9)="",1,$G4101),IF($J4101&gt;0.005,1,0)))</f>
      </c>
      <c r="J4101" s="43">
        <f>IF($I4100=0,0,$R4100)</f>
      </c>
      <c r="K4101" s="43">
        <f>IF($I4101=0,0,IF(INDEX(DarlOhneTilgung,9)=1,0,IF(AND(INDEX(DarlTilgStart,9)&gt;0,$E4101=INDEX(DarlTilgStart,9)),$J4101*($H4101+INDEX(DarlTilgung,9))/100/12,IF(AND($G4101=0,$G4100=1),MAX($K4100,$J4101*($H4101+1)/100/12),$K4100))))</f>
      </c>
      <c r="L4101" s="43">
        <f>IF($I4101=0,0,$J4101*$H4101/100/12)</f>
      </c>
      <c r="M4101" s="43">
        <f>IF($I4101=0,0,IF(OR(INDEX(DarlOhneTilgung,9)=1,AND(INDEX(DarlTilgStart,9)&gt;0,$E4101&lt;INDEX(DarlTilgStart,9))),0,MIN(MAX(0,$K4101-$L4101),$J4101)))</f>
      </c>
      <c r="N4101" s="43">
        <f>IF($I4101=0,0,MIN(SUMIFS(SondBetrag,SondDarl,9,SondDatum,"&gt;="&amp;$E4101,SondDatum,"&lt;="&amp;EOMONTH($E4101,0)),$J4101-$M4101))</f>
      </c>
      <c r="O4101" s="43">
        <f>IF($I4101=0,0,INDEX(DarlErsatzRate,9))</f>
      </c>
      <c r="P4101" s="43">
        <f>IF($I4101=0,0,$Q4100*INDEX(DarlErsatzZins,9))</f>
      </c>
      <c r="Q4101" s="43">
        <f>IF($I4101=0,0,$Q4100+$P4101+$O4101)</f>
      </c>
      <c r="R4101" s="43">
        <f>IF($I4101=0,0,$J4101-$M4101-$N4101)</f>
      </c>
    </row>
    <row r="4102">
      <c r="A4102"/>
      <c r="B4102">
        <v>9</v>
      </c>
      <c r="C4102" s="43">
        <f>INDEX(DarlObj,9)</f>
      </c>
      <c r="D4102">
        <v>259</v>
      </c>
      <c r="E4102" s="51">
        <f>IF(INDEX(DarlBelegt,9)=0,0,EOMONTH(INDEX(DarlAuszahlung,9),258)+1)</f>
      </c>
      <c r="F4102" s="43">
        <f>IF($E4102=0,0,YEAR($E4102))</f>
      </c>
      <c r="G4102" s="43">
        <f>IF(INDEX(DarlBindung,9)="",1,IF($E4102&lt;=INDEX(DarlBindung,9),1,0))</f>
      </c>
      <c r="H4102" s="43">
        <f>IF($G4102=1,INDEX(DarlSollzins,9),INDEX(DarlAnschluss,9))</f>
      </c>
      <c r="I4102" s="43">
        <f>IF(INDEX(DarlBelegt,9)=0,0,IF(INDEX(DarlOhneTilgung,9)=1,IF(INDEX(DarlBindung,9)="",1,$G4102),IF($J4102&gt;0.005,1,0)))</f>
      </c>
      <c r="J4102" s="43">
        <f>IF($I4101=0,0,$R4101)</f>
      </c>
      <c r="K4102" s="43">
        <f>IF($I4102=0,0,IF(INDEX(DarlOhneTilgung,9)=1,0,IF(AND(INDEX(DarlTilgStart,9)&gt;0,$E4102=INDEX(DarlTilgStart,9)),$J4102*($H4102+INDEX(DarlTilgung,9))/100/12,IF(AND($G4102=0,$G4101=1),MAX($K4101,$J4102*($H4102+1)/100/12),$K4101))))</f>
      </c>
      <c r="L4102" s="43">
        <f>IF($I4102=0,0,$J4102*$H4102/100/12)</f>
      </c>
      <c r="M4102" s="43">
        <f>IF($I4102=0,0,IF(OR(INDEX(DarlOhneTilgung,9)=1,AND(INDEX(DarlTilgStart,9)&gt;0,$E4102&lt;INDEX(DarlTilgStart,9))),0,MIN(MAX(0,$K4102-$L4102),$J4102)))</f>
      </c>
      <c r="N4102" s="43">
        <f>IF($I4102=0,0,MIN(SUMIFS(SondBetrag,SondDarl,9,SondDatum,"&gt;="&amp;$E4102,SondDatum,"&lt;="&amp;EOMONTH($E4102,0)),$J4102-$M4102))</f>
      </c>
      <c r="O4102" s="43">
        <f>IF($I4102=0,0,INDEX(DarlErsatzRate,9))</f>
      </c>
      <c r="P4102" s="43">
        <f>IF($I4102=0,0,$Q4101*INDEX(DarlErsatzZins,9))</f>
      </c>
      <c r="Q4102" s="43">
        <f>IF($I4102=0,0,$Q4101+$P4102+$O4102)</f>
      </c>
      <c r="R4102" s="43">
        <f>IF($I4102=0,0,$J4102-$M4102-$N4102)</f>
      </c>
    </row>
    <row r="4103">
      <c r="A4103"/>
      <c r="B4103">
        <v>9</v>
      </c>
      <c r="C4103" s="43">
        <f>INDEX(DarlObj,9)</f>
      </c>
      <c r="D4103">
        <v>260</v>
      </c>
      <c r="E4103" s="51">
        <f>IF(INDEX(DarlBelegt,9)=0,0,EOMONTH(INDEX(DarlAuszahlung,9),259)+1)</f>
      </c>
      <c r="F4103" s="43">
        <f>IF($E4103=0,0,YEAR($E4103))</f>
      </c>
      <c r="G4103" s="43">
        <f>IF(INDEX(DarlBindung,9)="",1,IF($E4103&lt;=INDEX(DarlBindung,9),1,0))</f>
      </c>
      <c r="H4103" s="43">
        <f>IF($G4103=1,INDEX(DarlSollzins,9),INDEX(DarlAnschluss,9))</f>
      </c>
      <c r="I4103" s="43">
        <f>IF(INDEX(DarlBelegt,9)=0,0,IF(INDEX(DarlOhneTilgung,9)=1,IF(INDEX(DarlBindung,9)="",1,$G4103),IF($J4103&gt;0.005,1,0)))</f>
      </c>
      <c r="J4103" s="43">
        <f>IF($I4102=0,0,$R4102)</f>
      </c>
      <c r="K4103" s="43">
        <f>IF($I4103=0,0,IF(INDEX(DarlOhneTilgung,9)=1,0,IF(AND(INDEX(DarlTilgStart,9)&gt;0,$E4103=INDEX(DarlTilgStart,9)),$J4103*($H4103+INDEX(DarlTilgung,9))/100/12,IF(AND($G4103=0,$G4102=1),MAX($K4102,$J4103*($H4103+1)/100/12),$K4102))))</f>
      </c>
      <c r="L4103" s="43">
        <f>IF($I4103=0,0,$J4103*$H4103/100/12)</f>
      </c>
      <c r="M4103" s="43">
        <f>IF($I4103=0,0,IF(OR(INDEX(DarlOhneTilgung,9)=1,AND(INDEX(DarlTilgStart,9)&gt;0,$E4103&lt;INDEX(DarlTilgStart,9))),0,MIN(MAX(0,$K4103-$L4103),$J4103)))</f>
      </c>
      <c r="N4103" s="43">
        <f>IF($I4103=0,0,MIN(SUMIFS(SondBetrag,SondDarl,9,SondDatum,"&gt;="&amp;$E4103,SondDatum,"&lt;="&amp;EOMONTH($E4103,0)),$J4103-$M4103))</f>
      </c>
      <c r="O4103" s="43">
        <f>IF($I4103=0,0,INDEX(DarlErsatzRate,9))</f>
      </c>
      <c r="P4103" s="43">
        <f>IF($I4103=0,0,$Q4102*INDEX(DarlErsatzZins,9))</f>
      </c>
      <c r="Q4103" s="43">
        <f>IF($I4103=0,0,$Q4102+$P4103+$O4103)</f>
      </c>
      <c r="R4103" s="43">
        <f>IF($I4103=0,0,$J4103-$M4103-$N4103)</f>
      </c>
    </row>
    <row r="4104">
      <c r="A4104"/>
      <c r="B4104">
        <v>9</v>
      </c>
      <c r="C4104" s="43">
        <f>INDEX(DarlObj,9)</f>
      </c>
      <c r="D4104">
        <v>261</v>
      </c>
      <c r="E4104" s="51">
        <f>IF(INDEX(DarlBelegt,9)=0,0,EOMONTH(INDEX(DarlAuszahlung,9),260)+1)</f>
      </c>
      <c r="F4104" s="43">
        <f>IF($E4104=0,0,YEAR($E4104))</f>
      </c>
      <c r="G4104" s="43">
        <f>IF(INDEX(DarlBindung,9)="",1,IF($E4104&lt;=INDEX(DarlBindung,9),1,0))</f>
      </c>
      <c r="H4104" s="43">
        <f>IF($G4104=1,INDEX(DarlSollzins,9),INDEX(DarlAnschluss,9))</f>
      </c>
      <c r="I4104" s="43">
        <f>IF(INDEX(DarlBelegt,9)=0,0,IF(INDEX(DarlOhneTilgung,9)=1,IF(INDEX(DarlBindung,9)="",1,$G4104),IF($J4104&gt;0.005,1,0)))</f>
      </c>
      <c r="J4104" s="43">
        <f>IF($I4103=0,0,$R4103)</f>
      </c>
      <c r="K4104" s="43">
        <f>IF($I4104=0,0,IF(INDEX(DarlOhneTilgung,9)=1,0,IF(AND(INDEX(DarlTilgStart,9)&gt;0,$E4104=INDEX(DarlTilgStart,9)),$J4104*($H4104+INDEX(DarlTilgung,9))/100/12,IF(AND($G4104=0,$G4103=1),MAX($K4103,$J4104*($H4104+1)/100/12),$K4103))))</f>
      </c>
      <c r="L4104" s="43">
        <f>IF($I4104=0,0,$J4104*$H4104/100/12)</f>
      </c>
      <c r="M4104" s="43">
        <f>IF($I4104=0,0,IF(OR(INDEX(DarlOhneTilgung,9)=1,AND(INDEX(DarlTilgStart,9)&gt;0,$E4104&lt;INDEX(DarlTilgStart,9))),0,MIN(MAX(0,$K4104-$L4104),$J4104)))</f>
      </c>
      <c r="N4104" s="43">
        <f>IF($I4104=0,0,MIN(SUMIFS(SondBetrag,SondDarl,9,SondDatum,"&gt;="&amp;$E4104,SondDatum,"&lt;="&amp;EOMONTH($E4104,0)),$J4104-$M4104))</f>
      </c>
      <c r="O4104" s="43">
        <f>IF($I4104=0,0,INDEX(DarlErsatzRate,9))</f>
      </c>
      <c r="P4104" s="43">
        <f>IF($I4104=0,0,$Q4103*INDEX(DarlErsatzZins,9))</f>
      </c>
      <c r="Q4104" s="43">
        <f>IF($I4104=0,0,$Q4103+$P4104+$O4104)</f>
      </c>
      <c r="R4104" s="43">
        <f>IF($I4104=0,0,$J4104-$M4104-$N4104)</f>
      </c>
    </row>
    <row r="4105">
      <c r="A4105"/>
      <c r="B4105">
        <v>9</v>
      </c>
      <c r="C4105" s="43">
        <f>INDEX(DarlObj,9)</f>
      </c>
      <c r="D4105">
        <v>262</v>
      </c>
      <c r="E4105" s="51">
        <f>IF(INDEX(DarlBelegt,9)=0,0,EOMONTH(INDEX(DarlAuszahlung,9),261)+1)</f>
      </c>
      <c r="F4105" s="43">
        <f>IF($E4105=0,0,YEAR($E4105))</f>
      </c>
      <c r="G4105" s="43">
        <f>IF(INDEX(DarlBindung,9)="",1,IF($E4105&lt;=INDEX(DarlBindung,9),1,0))</f>
      </c>
      <c r="H4105" s="43">
        <f>IF($G4105=1,INDEX(DarlSollzins,9),INDEX(DarlAnschluss,9))</f>
      </c>
      <c r="I4105" s="43">
        <f>IF(INDEX(DarlBelegt,9)=0,0,IF(INDEX(DarlOhneTilgung,9)=1,IF(INDEX(DarlBindung,9)="",1,$G4105),IF($J4105&gt;0.005,1,0)))</f>
      </c>
      <c r="J4105" s="43">
        <f>IF($I4104=0,0,$R4104)</f>
      </c>
      <c r="K4105" s="43">
        <f>IF($I4105=0,0,IF(INDEX(DarlOhneTilgung,9)=1,0,IF(AND(INDEX(DarlTilgStart,9)&gt;0,$E4105=INDEX(DarlTilgStart,9)),$J4105*($H4105+INDEX(DarlTilgung,9))/100/12,IF(AND($G4105=0,$G4104=1),MAX($K4104,$J4105*($H4105+1)/100/12),$K4104))))</f>
      </c>
      <c r="L4105" s="43">
        <f>IF($I4105=0,0,$J4105*$H4105/100/12)</f>
      </c>
      <c r="M4105" s="43">
        <f>IF($I4105=0,0,IF(OR(INDEX(DarlOhneTilgung,9)=1,AND(INDEX(DarlTilgStart,9)&gt;0,$E4105&lt;INDEX(DarlTilgStart,9))),0,MIN(MAX(0,$K4105-$L4105),$J4105)))</f>
      </c>
      <c r="N4105" s="43">
        <f>IF($I4105=0,0,MIN(SUMIFS(SondBetrag,SondDarl,9,SondDatum,"&gt;="&amp;$E4105,SondDatum,"&lt;="&amp;EOMONTH($E4105,0)),$J4105-$M4105))</f>
      </c>
      <c r="O4105" s="43">
        <f>IF($I4105=0,0,INDEX(DarlErsatzRate,9))</f>
      </c>
      <c r="P4105" s="43">
        <f>IF($I4105=0,0,$Q4104*INDEX(DarlErsatzZins,9))</f>
      </c>
      <c r="Q4105" s="43">
        <f>IF($I4105=0,0,$Q4104+$P4105+$O4105)</f>
      </c>
      <c r="R4105" s="43">
        <f>IF($I4105=0,0,$J4105-$M4105-$N4105)</f>
      </c>
    </row>
    <row r="4106">
      <c r="A4106"/>
      <c r="B4106">
        <v>9</v>
      </c>
      <c r="C4106" s="43">
        <f>INDEX(DarlObj,9)</f>
      </c>
      <c r="D4106">
        <v>263</v>
      </c>
      <c r="E4106" s="51">
        <f>IF(INDEX(DarlBelegt,9)=0,0,EOMONTH(INDEX(DarlAuszahlung,9),262)+1)</f>
      </c>
      <c r="F4106" s="43">
        <f>IF($E4106=0,0,YEAR($E4106))</f>
      </c>
      <c r="G4106" s="43">
        <f>IF(INDEX(DarlBindung,9)="",1,IF($E4106&lt;=INDEX(DarlBindung,9),1,0))</f>
      </c>
      <c r="H4106" s="43">
        <f>IF($G4106=1,INDEX(DarlSollzins,9),INDEX(DarlAnschluss,9))</f>
      </c>
      <c r="I4106" s="43">
        <f>IF(INDEX(DarlBelegt,9)=0,0,IF(INDEX(DarlOhneTilgung,9)=1,IF(INDEX(DarlBindung,9)="",1,$G4106),IF($J4106&gt;0.005,1,0)))</f>
      </c>
      <c r="J4106" s="43">
        <f>IF($I4105=0,0,$R4105)</f>
      </c>
      <c r="K4106" s="43">
        <f>IF($I4106=0,0,IF(INDEX(DarlOhneTilgung,9)=1,0,IF(AND(INDEX(DarlTilgStart,9)&gt;0,$E4106=INDEX(DarlTilgStart,9)),$J4106*($H4106+INDEX(DarlTilgung,9))/100/12,IF(AND($G4106=0,$G4105=1),MAX($K4105,$J4106*($H4106+1)/100/12),$K4105))))</f>
      </c>
      <c r="L4106" s="43">
        <f>IF($I4106=0,0,$J4106*$H4106/100/12)</f>
      </c>
      <c r="M4106" s="43">
        <f>IF($I4106=0,0,IF(OR(INDEX(DarlOhneTilgung,9)=1,AND(INDEX(DarlTilgStart,9)&gt;0,$E4106&lt;INDEX(DarlTilgStart,9))),0,MIN(MAX(0,$K4106-$L4106),$J4106)))</f>
      </c>
      <c r="N4106" s="43">
        <f>IF($I4106=0,0,MIN(SUMIFS(SondBetrag,SondDarl,9,SondDatum,"&gt;="&amp;$E4106,SondDatum,"&lt;="&amp;EOMONTH($E4106,0)),$J4106-$M4106))</f>
      </c>
      <c r="O4106" s="43">
        <f>IF($I4106=0,0,INDEX(DarlErsatzRate,9))</f>
      </c>
      <c r="P4106" s="43">
        <f>IF($I4106=0,0,$Q4105*INDEX(DarlErsatzZins,9))</f>
      </c>
      <c r="Q4106" s="43">
        <f>IF($I4106=0,0,$Q4105+$P4106+$O4106)</f>
      </c>
      <c r="R4106" s="43">
        <f>IF($I4106=0,0,$J4106-$M4106-$N4106)</f>
      </c>
    </row>
    <row r="4107">
      <c r="A4107"/>
      <c r="B4107">
        <v>9</v>
      </c>
      <c r="C4107" s="43">
        <f>INDEX(DarlObj,9)</f>
      </c>
      <c r="D4107">
        <v>264</v>
      </c>
      <c r="E4107" s="51">
        <f>IF(INDEX(DarlBelegt,9)=0,0,EOMONTH(INDEX(DarlAuszahlung,9),263)+1)</f>
      </c>
      <c r="F4107" s="43">
        <f>IF($E4107=0,0,YEAR($E4107))</f>
      </c>
      <c r="G4107" s="43">
        <f>IF(INDEX(DarlBindung,9)="",1,IF($E4107&lt;=INDEX(DarlBindung,9),1,0))</f>
      </c>
      <c r="H4107" s="43">
        <f>IF($G4107=1,INDEX(DarlSollzins,9),INDEX(DarlAnschluss,9))</f>
      </c>
      <c r="I4107" s="43">
        <f>IF(INDEX(DarlBelegt,9)=0,0,IF(INDEX(DarlOhneTilgung,9)=1,IF(INDEX(DarlBindung,9)="",1,$G4107),IF($J4107&gt;0.005,1,0)))</f>
      </c>
      <c r="J4107" s="43">
        <f>IF($I4106=0,0,$R4106)</f>
      </c>
      <c r="K4107" s="43">
        <f>IF($I4107=0,0,IF(INDEX(DarlOhneTilgung,9)=1,0,IF(AND(INDEX(DarlTilgStart,9)&gt;0,$E4107=INDEX(DarlTilgStart,9)),$J4107*($H4107+INDEX(DarlTilgung,9))/100/12,IF(AND($G4107=0,$G4106=1),MAX($K4106,$J4107*($H4107+1)/100/12),$K4106))))</f>
      </c>
      <c r="L4107" s="43">
        <f>IF($I4107=0,0,$J4107*$H4107/100/12)</f>
      </c>
      <c r="M4107" s="43">
        <f>IF($I4107=0,0,IF(OR(INDEX(DarlOhneTilgung,9)=1,AND(INDEX(DarlTilgStart,9)&gt;0,$E4107&lt;INDEX(DarlTilgStart,9))),0,MIN(MAX(0,$K4107-$L4107),$J4107)))</f>
      </c>
      <c r="N4107" s="43">
        <f>IF($I4107=0,0,MIN(SUMIFS(SondBetrag,SondDarl,9,SondDatum,"&gt;="&amp;$E4107,SondDatum,"&lt;="&amp;EOMONTH($E4107,0)),$J4107-$M4107))</f>
      </c>
      <c r="O4107" s="43">
        <f>IF($I4107=0,0,INDEX(DarlErsatzRate,9))</f>
      </c>
      <c r="P4107" s="43">
        <f>IF($I4107=0,0,$Q4106*INDEX(DarlErsatzZins,9))</f>
      </c>
      <c r="Q4107" s="43">
        <f>IF($I4107=0,0,$Q4106+$P4107+$O4107)</f>
      </c>
      <c r="R4107" s="43">
        <f>IF($I4107=0,0,$J4107-$M4107-$N4107)</f>
      </c>
    </row>
    <row r="4108">
      <c r="A4108"/>
      <c r="B4108">
        <v>9</v>
      </c>
      <c r="C4108" s="43">
        <f>INDEX(DarlObj,9)</f>
      </c>
      <c r="D4108">
        <v>265</v>
      </c>
      <c r="E4108" s="51">
        <f>IF(INDEX(DarlBelegt,9)=0,0,EOMONTH(INDEX(DarlAuszahlung,9),264)+1)</f>
      </c>
      <c r="F4108" s="43">
        <f>IF($E4108=0,0,YEAR($E4108))</f>
      </c>
      <c r="G4108" s="43">
        <f>IF(INDEX(DarlBindung,9)="",1,IF($E4108&lt;=INDEX(DarlBindung,9),1,0))</f>
      </c>
      <c r="H4108" s="43">
        <f>IF($G4108=1,INDEX(DarlSollzins,9),INDEX(DarlAnschluss,9))</f>
      </c>
      <c r="I4108" s="43">
        <f>IF(INDEX(DarlBelegt,9)=0,0,IF(INDEX(DarlOhneTilgung,9)=1,IF(INDEX(DarlBindung,9)="",1,$G4108),IF($J4108&gt;0.005,1,0)))</f>
      </c>
      <c r="J4108" s="43">
        <f>IF($I4107=0,0,$R4107)</f>
      </c>
      <c r="K4108" s="43">
        <f>IF($I4108=0,0,IF(INDEX(DarlOhneTilgung,9)=1,0,IF(AND(INDEX(DarlTilgStart,9)&gt;0,$E4108=INDEX(DarlTilgStart,9)),$J4108*($H4108+INDEX(DarlTilgung,9))/100/12,IF(AND($G4108=0,$G4107=1),MAX($K4107,$J4108*($H4108+1)/100/12),$K4107))))</f>
      </c>
      <c r="L4108" s="43">
        <f>IF($I4108=0,0,$J4108*$H4108/100/12)</f>
      </c>
      <c r="M4108" s="43">
        <f>IF($I4108=0,0,IF(OR(INDEX(DarlOhneTilgung,9)=1,AND(INDEX(DarlTilgStart,9)&gt;0,$E4108&lt;INDEX(DarlTilgStart,9))),0,MIN(MAX(0,$K4108-$L4108),$J4108)))</f>
      </c>
      <c r="N4108" s="43">
        <f>IF($I4108=0,0,MIN(SUMIFS(SondBetrag,SondDarl,9,SondDatum,"&gt;="&amp;$E4108,SondDatum,"&lt;="&amp;EOMONTH($E4108,0)),$J4108-$M4108))</f>
      </c>
      <c r="O4108" s="43">
        <f>IF($I4108=0,0,INDEX(DarlErsatzRate,9))</f>
      </c>
      <c r="P4108" s="43">
        <f>IF($I4108=0,0,$Q4107*INDEX(DarlErsatzZins,9))</f>
      </c>
      <c r="Q4108" s="43">
        <f>IF($I4108=0,0,$Q4107+$P4108+$O4108)</f>
      </c>
      <c r="R4108" s="43">
        <f>IF($I4108=0,0,$J4108-$M4108-$N4108)</f>
      </c>
    </row>
    <row r="4109">
      <c r="A4109"/>
      <c r="B4109">
        <v>9</v>
      </c>
      <c r="C4109" s="43">
        <f>INDEX(DarlObj,9)</f>
      </c>
      <c r="D4109">
        <v>266</v>
      </c>
      <c r="E4109" s="51">
        <f>IF(INDEX(DarlBelegt,9)=0,0,EOMONTH(INDEX(DarlAuszahlung,9),265)+1)</f>
      </c>
      <c r="F4109" s="43">
        <f>IF($E4109=0,0,YEAR($E4109))</f>
      </c>
      <c r="G4109" s="43">
        <f>IF(INDEX(DarlBindung,9)="",1,IF($E4109&lt;=INDEX(DarlBindung,9),1,0))</f>
      </c>
      <c r="H4109" s="43">
        <f>IF($G4109=1,INDEX(DarlSollzins,9),INDEX(DarlAnschluss,9))</f>
      </c>
      <c r="I4109" s="43">
        <f>IF(INDEX(DarlBelegt,9)=0,0,IF(INDEX(DarlOhneTilgung,9)=1,IF(INDEX(DarlBindung,9)="",1,$G4109),IF($J4109&gt;0.005,1,0)))</f>
      </c>
      <c r="J4109" s="43">
        <f>IF($I4108=0,0,$R4108)</f>
      </c>
      <c r="K4109" s="43">
        <f>IF($I4109=0,0,IF(INDEX(DarlOhneTilgung,9)=1,0,IF(AND(INDEX(DarlTilgStart,9)&gt;0,$E4109=INDEX(DarlTilgStart,9)),$J4109*($H4109+INDEX(DarlTilgung,9))/100/12,IF(AND($G4109=0,$G4108=1),MAX($K4108,$J4109*($H4109+1)/100/12),$K4108))))</f>
      </c>
      <c r="L4109" s="43">
        <f>IF($I4109=0,0,$J4109*$H4109/100/12)</f>
      </c>
      <c r="M4109" s="43">
        <f>IF($I4109=0,0,IF(OR(INDEX(DarlOhneTilgung,9)=1,AND(INDEX(DarlTilgStart,9)&gt;0,$E4109&lt;INDEX(DarlTilgStart,9))),0,MIN(MAX(0,$K4109-$L4109),$J4109)))</f>
      </c>
      <c r="N4109" s="43">
        <f>IF($I4109=0,0,MIN(SUMIFS(SondBetrag,SondDarl,9,SondDatum,"&gt;="&amp;$E4109,SondDatum,"&lt;="&amp;EOMONTH($E4109,0)),$J4109-$M4109))</f>
      </c>
      <c r="O4109" s="43">
        <f>IF($I4109=0,0,INDEX(DarlErsatzRate,9))</f>
      </c>
      <c r="P4109" s="43">
        <f>IF($I4109=0,0,$Q4108*INDEX(DarlErsatzZins,9))</f>
      </c>
      <c r="Q4109" s="43">
        <f>IF($I4109=0,0,$Q4108+$P4109+$O4109)</f>
      </c>
      <c r="R4109" s="43">
        <f>IF($I4109=0,0,$J4109-$M4109-$N4109)</f>
      </c>
    </row>
    <row r="4110">
      <c r="A4110"/>
      <c r="B4110">
        <v>9</v>
      </c>
      <c r="C4110" s="43">
        <f>INDEX(DarlObj,9)</f>
      </c>
      <c r="D4110">
        <v>267</v>
      </c>
      <c r="E4110" s="51">
        <f>IF(INDEX(DarlBelegt,9)=0,0,EOMONTH(INDEX(DarlAuszahlung,9),266)+1)</f>
      </c>
      <c r="F4110" s="43">
        <f>IF($E4110=0,0,YEAR($E4110))</f>
      </c>
      <c r="G4110" s="43">
        <f>IF(INDEX(DarlBindung,9)="",1,IF($E4110&lt;=INDEX(DarlBindung,9),1,0))</f>
      </c>
      <c r="H4110" s="43">
        <f>IF($G4110=1,INDEX(DarlSollzins,9),INDEX(DarlAnschluss,9))</f>
      </c>
      <c r="I4110" s="43">
        <f>IF(INDEX(DarlBelegt,9)=0,0,IF(INDEX(DarlOhneTilgung,9)=1,IF(INDEX(DarlBindung,9)="",1,$G4110),IF($J4110&gt;0.005,1,0)))</f>
      </c>
      <c r="J4110" s="43">
        <f>IF($I4109=0,0,$R4109)</f>
      </c>
      <c r="K4110" s="43">
        <f>IF($I4110=0,0,IF(INDEX(DarlOhneTilgung,9)=1,0,IF(AND(INDEX(DarlTilgStart,9)&gt;0,$E4110=INDEX(DarlTilgStart,9)),$J4110*($H4110+INDEX(DarlTilgung,9))/100/12,IF(AND($G4110=0,$G4109=1),MAX($K4109,$J4110*($H4110+1)/100/12),$K4109))))</f>
      </c>
      <c r="L4110" s="43">
        <f>IF($I4110=0,0,$J4110*$H4110/100/12)</f>
      </c>
      <c r="M4110" s="43">
        <f>IF($I4110=0,0,IF(OR(INDEX(DarlOhneTilgung,9)=1,AND(INDEX(DarlTilgStart,9)&gt;0,$E4110&lt;INDEX(DarlTilgStart,9))),0,MIN(MAX(0,$K4110-$L4110),$J4110)))</f>
      </c>
      <c r="N4110" s="43">
        <f>IF($I4110=0,0,MIN(SUMIFS(SondBetrag,SondDarl,9,SondDatum,"&gt;="&amp;$E4110,SondDatum,"&lt;="&amp;EOMONTH($E4110,0)),$J4110-$M4110))</f>
      </c>
      <c r="O4110" s="43">
        <f>IF($I4110=0,0,INDEX(DarlErsatzRate,9))</f>
      </c>
      <c r="P4110" s="43">
        <f>IF($I4110=0,0,$Q4109*INDEX(DarlErsatzZins,9))</f>
      </c>
      <c r="Q4110" s="43">
        <f>IF($I4110=0,0,$Q4109+$P4110+$O4110)</f>
      </c>
      <c r="R4110" s="43">
        <f>IF($I4110=0,0,$J4110-$M4110-$N4110)</f>
      </c>
    </row>
    <row r="4111">
      <c r="A4111"/>
      <c r="B4111">
        <v>9</v>
      </c>
      <c r="C4111" s="43">
        <f>INDEX(DarlObj,9)</f>
      </c>
      <c r="D4111">
        <v>268</v>
      </c>
      <c r="E4111" s="51">
        <f>IF(INDEX(DarlBelegt,9)=0,0,EOMONTH(INDEX(DarlAuszahlung,9),267)+1)</f>
      </c>
      <c r="F4111" s="43">
        <f>IF($E4111=0,0,YEAR($E4111))</f>
      </c>
      <c r="G4111" s="43">
        <f>IF(INDEX(DarlBindung,9)="",1,IF($E4111&lt;=INDEX(DarlBindung,9),1,0))</f>
      </c>
      <c r="H4111" s="43">
        <f>IF($G4111=1,INDEX(DarlSollzins,9),INDEX(DarlAnschluss,9))</f>
      </c>
      <c r="I4111" s="43">
        <f>IF(INDEX(DarlBelegt,9)=0,0,IF(INDEX(DarlOhneTilgung,9)=1,IF(INDEX(DarlBindung,9)="",1,$G4111),IF($J4111&gt;0.005,1,0)))</f>
      </c>
      <c r="J4111" s="43">
        <f>IF($I4110=0,0,$R4110)</f>
      </c>
      <c r="K4111" s="43">
        <f>IF($I4111=0,0,IF(INDEX(DarlOhneTilgung,9)=1,0,IF(AND(INDEX(DarlTilgStart,9)&gt;0,$E4111=INDEX(DarlTilgStart,9)),$J4111*($H4111+INDEX(DarlTilgung,9))/100/12,IF(AND($G4111=0,$G4110=1),MAX($K4110,$J4111*($H4111+1)/100/12),$K4110))))</f>
      </c>
      <c r="L4111" s="43">
        <f>IF($I4111=0,0,$J4111*$H4111/100/12)</f>
      </c>
      <c r="M4111" s="43">
        <f>IF($I4111=0,0,IF(OR(INDEX(DarlOhneTilgung,9)=1,AND(INDEX(DarlTilgStart,9)&gt;0,$E4111&lt;INDEX(DarlTilgStart,9))),0,MIN(MAX(0,$K4111-$L4111),$J4111)))</f>
      </c>
      <c r="N4111" s="43">
        <f>IF($I4111=0,0,MIN(SUMIFS(SondBetrag,SondDarl,9,SondDatum,"&gt;="&amp;$E4111,SondDatum,"&lt;="&amp;EOMONTH($E4111,0)),$J4111-$M4111))</f>
      </c>
      <c r="O4111" s="43">
        <f>IF($I4111=0,0,INDEX(DarlErsatzRate,9))</f>
      </c>
      <c r="P4111" s="43">
        <f>IF($I4111=0,0,$Q4110*INDEX(DarlErsatzZins,9))</f>
      </c>
      <c r="Q4111" s="43">
        <f>IF($I4111=0,0,$Q4110+$P4111+$O4111)</f>
      </c>
      <c r="R4111" s="43">
        <f>IF($I4111=0,0,$J4111-$M4111-$N4111)</f>
      </c>
    </row>
    <row r="4112">
      <c r="A4112"/>
      <c r="B4112">
        <v>9</v>
      </c>
      <c r="C4112" s="43">
        <f>INDEX(DarlObj,9)</f>
      </c>
      <c r="D4112">
        <v>269</v>
      </c>
      <c r="E4112" s="51">
        <f>IF(INDEX(DarlBelegt,9)=0,0,EOMONTH(INDEX(DarlAuszahlung,9),268)+1)</f>
      </c>
      <c r="F4112" s="43">
        <f>IF($E4112=0,0,YEAR($E4112))</f>
      </c>
      <c r="G4112" s="43">
        <f>IF(INDEX(DarlBindung,9)="",1,IF($E4112&lt;=INDEX(DarlBindung,9),1,0))</f>
      </c>
      <c r="H4112" s="43">
        <f>IF($G4112=1,INDEX(DarlSollzins,9),INDEX(DarlAnschluss,9))</f>
      </c>
      <c r="I4112" s="43">
        <f>IF(INDEX(DarlBelegt,9)=0,0,IF(INDEX(DarlOhneTilgung,9)=1,IF(INDEX(DarlBindung,9)="",1,$G4112),IF($J4112&gt;0.005,1,0)))</f>
      </c>
      <c r="J4112" s="43">
        <f>IF($I4111=0,0,$R4111)</f>
      </c>
      <c r="K4112" s="43">
        <f>IF($I4112=0,0,IF(INDEX(DarlOhneTilgung,9)=1,0,IF(AND(INDEX(DarlTilgStart,9)&gt;0,$E4112=INDEX(DarlTilgStart,9)),$J4112*($H4112+INDEX(DarlTilgung,9))/100/12,IF(AND($G4112=0,$G4111=1),MAX($K4111,$J4112*($H4112+1)/100/12),$K4111))))</f>
      </c>
      <c r="L4112" s="43">
        <f>IF($I4112=0,0,$J4112*$H4112/100/12)</f>
      </c>
      <c r="M4112" s="43">
        <f>IF($I4112=0,0,IF(OR(INDEX(DarlOhneTilgung,9)=1,AND(INDEX(DarlTilgStart,9)&gt;0,$E4112&lt;INDEX(DarlTilgStart,9))),0,MIN(MAX(0,$K4112-$L4112),$J4112)))</f>
      </c>
      <c r="N4112" s="43">
        <f>IF($I4112=0,0,MIN(SUMIFS(SondBetrag,SondDarl,9,SondDatum,"&gt;="&amp;$E4112,SondDatum,"&lt;="&amp;EOMONTH($E4112,0)),$J4112-$M4112))</f>
      </c>
      <c r="O4112" s="43">
        <f>IF($I4112=0,0,INDEX(DarlErsatzRate,9))</f>
      </c>
      <c r="P4112" s="43">
        <f>IF($I4112=0,0,$Q4111*INDEX(DarlErsatzZins,9))</f>
      </c>
      <c r="Q4112" s="43">
        <f>IF($I4112=0,0,$Q4111+$P4112+$O4112)</f>
      </c>
      <c r="R4112" s="43">
        <f>IF($I4112=0,0,$J4112-$M4112-$N4112)</f>
      </c>
    </row>
    <row r="4113">
      <c r="A4113"/>
      <c r="B4113">
        <v>9</v>
      </c>
      <c r="C4113" s="43">
        <f>INDEX(DarlObj,9)</f>
      </c>
      <c r="D4113">
        <v>270</v>
      </c>
      <c r="E4113" s="51">
        <f>IF(INDEX(DarlBelegt,9)=0,0,EOMONTH(INDEX(DarlAuszahlung,9),269)+1)</f>
      </c>
      <c r="F4113" s="43">
        <f>IF($E4113=0,0,YEAR($E4113))</f>
      </c>
      <c r="G4113" s="43">
        <f>IF(INDEX(DarlBindung,9)="",1,IF($E4113&lt;=INDEX(DarlBindung,9),1,0))</f>
      </c>
      <c r="H4113" s="43">
        <f>IF($G4113=1,INDEX(DarlSollzins,9),INDEX(DarlAnschluss,9))</f>
      </c>
      <c r="I4113" s="43">
        <f>IF(INDEX(DarlBelegt,9)=0,0,IF(INDEX(DarlOhneTilgung,9)=1,IF(INDEX(DarlBindung,9)="",1,$G4113),IF($J4113&gt;0.005,1,0)))</f>
      </c>
      <c r="J4113" s="43">
        <f>IF($I4112=0,0,$R4112)</f>
      </c>
      <c r="K4113" s="43">
        <f>IF($I4113=0,0,IF(INDEX(DarlOhneTilgung,9)=1,0,IF(AND(INDEX(DarlTilgStart,9)&gt;0,$E4113=INDEX(DarlTilgStart,9)),$J4113*($H4113+INDEX(DarlTilgung,9))/100/12,IF(AND($G4113=0,$G4112=1),MAX($K4112,$J4113*($H4113+1)/100/12),$K4112))))</f>
      </c>
      <c r="L4113" s="43">
        <f>IF($I4113=0,0,$J4113*$H4113/100/12)</f>
      </c>
      <c r="M4113" s="43">
        <f>IF($I4113=0,0,IF(OR(INDEX(DarlOhneTilgung,9)=1,AND(INDEX(DarlTilgStart,9)&gt;0,$E4113&lt;INDEX(DarlTilgStart,9))),0,MIN(MAX(0,$K4113-$L4113),$J4113)))</f>
      </c>
      <c r="N4113" s="43">
        <f>IF($I4113=0,0,MIN(SUMIFS(SondBetrag,SondDarl,9,SondDatum,"&gt;="&amp;$E4113,SondDatum,"&lt;="&amp;EOMONTH($E4113,0)),$J4113-$M4113))</f>
      </c>
      <c r="O4113" s="43">
        <f>IF($I4113=0,0,INDEX(DarlErsatzRate,9))</f>
      </c>
      <c r="P4113" s="43">
        <f>IF($I4113=0,0,$Q4112*INDEX(DarlErsatzZins,9))</f>
      </c>
      <c r="Q4113" s="43">
        <f>IF($I4113=0,0,$Q4112+$P4113+$O4113)</f>
      </c>
      <c r="R4113" s="43">
        <f>IF($I4113=0,0,$J4113-$M4113-$N4113)</f>
      </c>
    </row>
    <row r="4114">
      <c r="A4114"/>
      <c r="B4114">
        <v>9</v>
      </c>
      <c r="C4114" s="43">
        <f>INDEX(DarlObj,9)</f>
      </c>
      <c r="D4114">
        <v>271</v>
      </c>
      <c r="E4114" s="51">
        <f>IF(INDEX(DarlBelegt,9)=0,0,EOMONTH(INDEX(DarlAuszahlung,9),270)+1)</f>
      </c>
      <c r="F4114" s="43">
        <f>IF($E4114=0,0,YEAR($E4114))</f>
      </c>
      <c r="G4114" s="43">
        <f>IF(INDEX(DarlBindung,9)="",1,IF($E4114&lt;=INDEX(DarlBindung,9),1,0))</f>
      </c>
      <c r="H4114" s="43">
        <f>IF($G4114=1,INDEX(DarlSollzins,9),INDEX(DarlAnschluss,9))</f>
      </c>
      <c r="I4114" s="43">
        <f>IF(INDEX(DarlBelegt,9)=0,0,IF(INDEX(DarlOhneTilgung,9)=1,IF(INDEX(DarlBindung,9)="",1,$G4114),IF($J4114&gt;0.005,1,0)))</f>
      </c>
      <c r="J4114" s="43">
        <f>IF($I4113=0,0,$R4113)</f>
      </c>
      <c r="K4114" s="43">
        <f>IF($I4114=0,0,IF(INDEX(DarlOhneTilgung,9)=1,0,IF(AND(INDEX(DarlTilgStart,9)&gt;0,$E4114=INDEX(DarlTilgStart,9)),$J4114*($H4114+INDEX(DarlTilgung,9))/100/12,IF(AND($G4114=0,$G4113=1),MAX($K4113,$J4114*($H4114+1)/100/12),$K4113))))</f>
      </c>
      <c r="L4114" s="43">
        <f>IF($I4114=0,0,$J4114*$H4114/100/12)</f>
      </c>
      <c r="M4114" s="43">
        <f>IF($I4114=0,0,IF(OR(INDEX(DarlOhneTilgung,9)=1,AND(INDEX(DarlTilgStart,9)&gt;0,$E4114&lt;INDEX(DarlTilgStart,9))),0,MIN(MAX(0,$K4114-$L4114),$J4114)))</f>
      </c>
      <c r="N4114" s="43">
        <f>IF($I4114=0,0,MIN(SUMIFS(SondBetrag,SondDarl,9,SondDatum,"&gt;="&amp;$E4114,SondDatum,"&lt;="&amp;EOMONTH($E4114,0)),$J4114-$M4114))</f>
      </c>
      <c r="O4114" s="43">
        <f>IF($I4114=0,0,INDEX(DarlErsatzRate,9))</f>
      </c>
      <c r="P4114" s="43">
        <f>IF($I4114=0,0,$Q4113*INDEX(DarlErsatzZins,9))</f>
      </c>
      <c r="Q4114" s="43">
        <f>IF($I4114=0,0,$Q4113+$P4114+$O4114)</f>
      </c>
      <c r="R4114" s="43">
        <f>IF($I4114=0,0,$J4114-$M4114-$N4114)</f>
      </c>
    </row>
    <row r="4115">
      <c r="A4115"/>
      <c r="B4115">
        <v>9</v>
      </c>
      <c r="C4115" s="43">
        <f>INDEX(DarlObj,9)</f>
      </c>
      <c r="D4115">
        <v>272</v>
      </c>
      <c r="E4115" s="51">
        <f>IF(INDEX(DarlBelegt,9)=0,0,EOMONTH(INDEX(DarlAuszahlung,9),271)+1)</f>
      </c>
      <c r="F4115" s="43">
        <f>IF($E4115=0,0,YEAR($E4115))</f>
      </c>
      <c r="G4115" s="43">
        <f>IF(INDEX(DarlBindung,9)="",1,IF($E4115&lt;=INDEX(DarlBindung,9),1,0))</f>
      </c>
      <c r="H4115" s="43">
        <f>IF($G4115=1,INDEX(DarlSollzins,9),INDEX(DarlAnschluss,9))</f>
      </c>
      <c r="I4115" s="43">
        <f>IF(INDEX(DarlBelegt,9)=0,0,IF(INDEX(DarlOhneTilgung,9)=1,IF(INDEX(DarlBindung,9)="",1,$G4115),IF($J4115&gt;0.005,1,0)))</f>
      </c>
      <c r="J4115" s="43">
        <f>IF($I4114=0,0,$R4114)</f>
      </c>
      <c r="K4115" s="43">
        <f>IF($I4115=0,0,IF(INDEX(DarlOhneTilgung,9)=1,0,IF(AND(INDEX(DarlTilgStart,9)&gt;0,$E4115=INDEX(DarlTilgStart,9)),$J4115*($H4115+INDEX(DarlTilgung,9))/100/12,IF(AND($G4115=0,$G4114=1),MAX($K4114,$J4115*($H4115+1)/100/12),$K4114))))</f>
      </c>
      <c r="L4115" s="43">
        <f>IF($I4115=0,0,$J4115*$H4115/100/12)</f>
      </c>
      <c r="M4115" s="43">
        <f>IF($I4115=0,0,IF(OR(INDEX(DarlOhneTilgung,9)=1,AND(INDEX(DarlTilgStart,9)&gt;0,$E4115&lt;INDEX(DarlTilgStart,9))),0,MIN(MAX(0,$K4115-$L4115),$J4115)))</f>
      </c>
      <c r="N4115" s="43">
        <f>IF($I4115=0,0,MIN(SUMIFS(SondBetrag,SondDarl,9,SondDatum,"&gt;="&amp;$E4115,SondDatum,"&lt;="&amp;EOMONTH($E4115,0)),$J4115-$M4115))</f>
      </c>
      <c r="O4115" s="43">
        <f>IF($I4115=0,0,INDEX(DarlErsatzRate,9))</f>
      </c>
      <c r="P4115" s="43">
        <f>IF($I4115=0,0,$Q4114*INDEX(DarlErsatzZins,9))</f>
      </c>
      <c r="Q4115" s="43">
        <f>IF($I4115=0,0,$Q4114+$P4115+$O4115)</f>
      </c>
      <c r="R4115" s="43">
        <f>IF($I4115=0,0,$J4115-$M4115-$N4115)</f>
      </c>
    </row>
    <row r="4116">
      <c r="A4116"/>
      <c r="B4116">
        <v>9</v>
      </c>
      <c r="C4116" s="43">
        <f>INDEX(DarlObj,9)</f>
      </c>
      <c r="D4116">
        <v>273</v>
      </c>
      <c r="E4116" s="51">
        <f>IF(INDEX(DarlBelegt,9)=0,0,EOMONTH(INDEX(DarlAuszahlung,9),272)+1)</f>
      </c>
      <c r="F4116" s="43">
        <f>IF($E4116=0,0,YEAR($E4116))</f>
      </c>
      <c r="G4116" s="43">
        <f>IF(INDEX(DarlBindung,9)="",1,IF($E4116&lt;=INDEX(DarlBindung,9),1,0))</f>
      </c>
      <c r="H4116" s="43">
        <f>IF($G4116=1,INDEX(DarlSollzins,9),INDEX(DarlAnschluss,9))</f>
      </c>
      <c r="I4116" s="43">
        <f>IF(INDEX(DarlBelegt,9)=0,0,IF(INDEX(DarlOhneTilgung,9)=1,IF(INDEX(DarlBindung,9)="",1,$G4116),IF($J4116&gt;0.005,1,0)))</f>
      </c>
      <c r="J4116" s="43">
        <f>IF($I4115=0,0,$R4115)</f>
      </c>
      <c r="K4116" s="43">
        <f>IF($I4116=0,0,IF(INDEX(DarlOhneTilgung,9)=1,0,IF(AND(INDEX(DarlTilgStart,9)&gt;0,$E4116=INDEX(DarlTilgStart,9)),$J4116*($H4116+INDEX(DarlTilgung,9))/100/12,IF(AND($G4116=0,$G4115=1),MAX($K4115,$J4116*($H4116+1)/100/12),$K4115))))</f>
      </c>
      <c r="L4116" s="43">
        <f>IF($I4116=0,0,$J4116*$H4116/100/12)</f>
      </c>
      <c r="M4116" s="43">
        <f>IF($I4116=0,0,IF(OR(INDEX(DarlOhneTilgung,9)=1,AND(INDEX(DarlTilgStart,9)&gt;0,$E4116&lt;INDEX(DarlTilgStart,9))),0,MIN(MAX(0,$K4116-$L4116),$J4116)))</f>
      </c>
      <c r="N4116" s="43">
        <f>IF($I4116=0,0,MIN(SUMIFS(SondBetrag,SondDarl,9,SondDatum,"&gt;="&amp;$E4116,SondDatum,"&lt;="&amp;EOMONTH($E4116,0)),$J4116-$M4116))</f>
      </c>
      <c r="O4116" s="43">
        <f>IF($I4116=0,0,INDEX(DarlErsatzRate,9))</f>
      </c>
      <c r="P4116" s="43">
        <f>IF($I4116=0,0,$Q4115*INDEX(DarlErsatzZins,9))</f>
      </c>
      <c r="Q4116" s="43">
        <f>IF($I4116=0,0,$Q4115+$P4116+$O4116)</f>
      </c>
      <c r="R4116" s="43">
        <f>IF($I4116=0,0,$J4116-$M4116-$N4116)</f>
      </c>
    </row>
    <row r="4117">
      <c r="A4117"/>
      <c r="B4117">
        <v>9</v>
      </c>
      <c r="C4117" s="43">
        <f>INDEX(DarlObj,9)</f>
      </c>
      <c r="D4117">
        <v>274</v>
      </c>
      <c r="E4117" s="51">
        <f>IF(INDEX(DarlBelegt,9)=0,0,EOMONTH(INDEX(DarlAuszahlung,9),273)+1)</f>
      </c>
      <c r="F4117" s="43">
        <f>IF($E4117=0,0,YEAR($E4117))</f>
      </c>
      <c r="G4117" s="43">
        <f>IF(INDEX(DarlBindung,9)="",1,IF($E4117&lt;=INDEX(DarlBindung,9),1,0))</f>
      </c>
      <c r="H4117" s="43">
        <f>IF($G4117=1,INDEX(DarlSollzins,9),INDEX(DarlAnschluss,9))</f>
      </c>
      <c r="I4117" s="43">
        <f>IF(INDEX(DarlBelegt,9)=0,0,IF(INDEX(DarlOhneTilgung,9)=1,IF(INDEX(DarlBindung,9)="",1,$G4117),IF($J4117&gt;0.005,1,0)))</f>
      </c>
      <c r="J4117" s="43">
        <f>IF($I4116=0,0,$R4116)</f>
      </c>
      <c r="K4117" s="43">
        <f>IF($I4117=0,0,IF(INDEX(DarlOhneTilgung,9)=1,0,IF(AND(INDEX(DarlTilgStart,9)&gt;0,$E4117=INDEX(DarlTilgStart,9)),$J4117*($H4117+INDEX(DarlTilgung,9))/100/12,IF(AND($G4117=0,$G4116=1),MAX($K4116,$J4117*($H4117+1)/100/12),$K4116))))</f>
      </c>
      <c r="L4117" s="43">
        <f>IF($I4117=0,0,$J4117*$H4117/100/12)</f>
      </c>
      <c r="M4117" s="43">
        <f>IF($I4117=0,0,IF(OR(INDEX(DarlOhneTilgung,9)=1,AND(INDEX(DarlTilgStart,9)&gt;0,$E4117&lt;INDEX(DarlTilgStart,9))),0,MIN(MAX(0,$K4117-$L4117),$J4117)))</f>
      </c>
      <c r="N4117" s="43">
        <f>IF($I4117=0,0,MIN(SUMIFS(SondBetrag,SondDarl,9,SondDatum,"&gt;="&amp;$E4117,SondDatum,"&lt;="&amp;EOMONTH($E4117,0)),$J4117-$M4117))</f>
      </c>
      <c r="O4117" s="43">
        <f>IF($I4117=0,0,INDEX(DarlErsatzRate,9))</f>
      </c>
      <c r="P4117" s="43">
        <f>IF($I4117=0,0,$Q4116*INDEX(DarlErsatzZins,9))</f>
      </c>
      <c r="Q4117" s="43">
        <f>IF($I4117=0,0,$Q4116+$P4117+$O4117)</f>
      </c>
      <c r="R4117" s="43">
        <f>IF($I4117=0,0,$J4117-$M4117-$N4117)</f>
      </c>
    </row>
    <row r="4118">
      <c r="A4118"/>
      <c r="B4118">
        <v>9</v>
      </c>
      <c r="C4118" s="43">
        <f>INDEX(DarlObj,9)</f>
      </c>
      <c r="D4118">
        <v>275</v>
      </c>
      <c r="E4118" s="51">
        <f>IF(INDEX(DarlBelegt,9)=0,0,EOMONTH(INDEX(DarlAuszahlung,9),274)+1)</f>
      </c>
      <c r="F4118" s="43">
        <f>IF($E4118=0,0,YEAR($E4118))</f>
      </c>
      <c r="G4118" s="43">
        <f>IF(INDEX(DarlBindung,9)="",1,IF($E4118&lt;=INDEX(DarlBindung,9),1,0))</f>
      </c>
      <c r="H4118" s="43">
        <f>IF($G4118=1,INDEX(DarlSollzins,9),INDEX(DarlAnschluss,9))</f>
      </c>
      <c r="I4118" s="43">
        <f>IF(INDEX(DarlBelegt,9)=0,0,IF(INDEX(DarlOhneTilgung,9)=1,IF(INDEX(DarlBindung,9)="",1,$G4118),IF($J4118&gt;0.005,1,0)))</f>
      </c>
      <c r="J4118" s="43">
        <f>IF($I4117=0,0,$R4117)</f>
      </c>
      <c r="K4118" s="43">
        <f>IF($I4118=0,0,IF(INDEX(DarlOhneTilgung,9)=1,0,IF(AND(INDEX(DarlTilgStart,9)&gt;0,$E4118=INDEX(DarlTilgStart,9)),$J4118*($H4118+INDEX(DarlTilgung,9))/100/12,IF(AND($G4118=0,$G4117=1),MAX($K4117,$J4118*($H4118+1)/100/12),$K4117))))</f>
      </c>
      <c r="L4118" s="43">
        <f>IF($I4118=0,0,$J4118*$H4118/100/12)</f>
      </c>
      <c r="M4118" s="43">
        <f>IF($I4118=0,0,IF(OR(INDEX(DarlOhneTilgung,9)=1,AND(INDEX(DarlTilgStart,9)&gt;0,$E4118&lt;INDEX(DarlTilgStart,9))),0,MIN(MAX(0,$K4118-$L4118),$J4118)))</f>
      </c>
      <c r="N4118" s="43">
        <f>IF($I4118=0,0,MIN(SUMIFS(SondBetrag,SondDarl,9,SondDatum,"&gt;="&amp;$E4118,SondDatum,"&lt;="&amp;EOMONTH($E4118,0)),$J4118-$M4118))</f>
      </c>
      <c r="O4118" s="43">
        <f>IF($I4118=0,0,INDEX(DarlErsatzRate,9))</f>
      </c>
      <c r="P4118" s="43">
        <f>IF($I4118=0,0,$Q4117*INDEX(DarlErsatzZins,9))</f>
      </c>
      <c r="Q4118" s="43">
        <f>IF($I4118=0,0,$Q4117+$P4118+$O4118)</f>
      </c>
      <c r="R4118" s="43">
        <f>IF($I4118=0,0,$J4118-$M4118-$N4118)</f>
      </c>
    </row>
    <row r="4119">
      <c r="A4119"/>
      <c r="B4119">
        <v>9</v>
      </c>
      <c r="C4119" s="43">
        <f>INDEX(DarlObj,9)</f>
      </c>
      <c r="D4119">
        <v>276</v>
      </c>
      <c r="E4119" s="51">
        <f>IF(INDEX(DarlBelegt,9)=0,0,EOMONTH(INDEX(DarlAuszahlung,9),275)+1)</f>
      </c>
      <c r="F4119" s="43">
        <f>IF($E4119=0,0,YEAR($E4119))</f>
      </c>
      <c r="G4119" s="43">
        <f>IF(INDEX(DarlBindung,9)="",1,IF($E4119&lt;=INDEX(DarlBindung,9),1,0))</f>
      </c>
      <c r="H4119" s="43">
        <f>IF($G4119=1,INDEX(DarlSollzins,9),INDEX(DarlAnschluss,9))</f>
      </c>
      <c r="I4119" s="43">
        <f>IF(INDEX(DarlBelegt,9)=0,0,IF(INDEX(DarlOhneTilgung,9)=1,IF(INDEX(DarlBindung,9)="",1,$G4119),IF($J4119&gt;0.005,1,0)))</f>
      </c>
      <c r="J4119" s="43">
        <f>IF($I4118=0,0,$R4118)</f>
      </c>
      <c r="K4119" s="43">
        <f>IF($I4119=0,0,IF(INDEX(DarlOhneTilgung,9)=1,0,IF(AND(INDEX(DarlTilgStart,9)&gt;0,$E4119=INDEX(DarlTilgStart,9)),$J4119*($H4119+INDEX(DarlTilgung,9))/100/12,IF(AND($G4119=0,$G4118=1),MAX($K4118,$J4119*($H4119+1)/100/12),$K4118))))</f>
      </c>
      <c r="L4119" s="43">
        <f>IF($I4119=0,0,$J4119*$H4119/100/12)</f>
      </c>
      <c r="M4119" s="43">
        <f>IF($I4119=0,0,IF(OR(INDEX(DarlOhneTilgung,9)=1,AND(INDEX(DarlTilgStart,9)&gt;0,$E4119&lt;INDEX(DarlTilgStart,9))),0,MIN(MAX(0,$K4119-$L4119),$J4119)))</f>
      </c>
      <c r="N4119" s="43">
        <f>IF($I4119=0,0,MIN(SUMIFS(SondBetrag,SondDarl,9,SondDatum,"&gt;="&amp;$E4119,SondDatum,"&lt;="&amp;EOMONTH($E4119,0)),$J4119-$M4119))</f>
      </c>
      <c r="O4119" s="43">
        <f>IF($I4119=0,0,INDEX(DarlErsatzRate,9))</f>
      </c>
      <c r="P4119" s="43">
        <f>IF($I4119=0,0,$Q4118*INDEX(DarlErsatzZins,9))</f>
      </c>
      <c r="Q4119" s="43">
        <f>IF($I4119=0,0,$Q4118+$P4119+$O4119)</f>
      </c>
      <c r="R4119" s="43">
        <f>IF($I4119=0,0,$J4119-$M4119-$N4119)</f>
      </c>
    </row>
    <row r="4120">
      <c r="A4120"/>
      <c r="B4120">
        <v>9</v>
      </c>
      <c r="C4120" s="43">
        <f>INDEX(DarlObj,9)</f>
      </c>
      <c r="D4120">
        <v>277</v>
      </c>
      <c r="E4120" s="51">
        <f>IF(INDEX(DarlBelegt,9)=0,0,EOMONTH(INDEX(DarlAuszahlung,9),276)+1)</f>
      </c>
      <c r="F4120" s="43">
        <f>IF($E4120=0,0,YEAR($E4120))</f>
      </c>
      <c r="G4120" s="43">
        <f>IF(INDEX(DarlBindung,9)="",1,IF($E4120&lt;=INDEX(DarlBindung,9),1,0))</f>
      </c>
      <c r="H4120" s="43">
        <f>IF($G4120=1,INDEX(DarlSollzins,9),INDEX(DarlAnschluss,9))</f>
      </c>
      <c r="I4120" s="43">
        <f>IF(INDEX(DarlBelegt,9)=0,0,IF(INDEX(DarlOhneTilgung,9)=1,IF(INDEX(DarlBindung,9)="",1,$G4120),IF($J4120&gt;0.005,1,0)))</f>
      </c>
      <c r="J4120" s="43">
        <f>IF($I4119=0,0,$R4119)</f>
      </c>
      <c r="K4120" s="43">
        <f>IF($I4120=0,0,IF(INDEX(DarlOhneTilgung,9)=1,0,IF(AND(INDEX(DarlTilgStart,9)&gt;0,$E4120=INDEX(DarlTilgStart,9)),$J4120*($H4120+INDEX(DarlTilgung,9))/100/12,IF(AND($G4120=0,$G4119=1),MAX($K4119,$J4120*($H4120+1)/100/12),$K4119))))</f>
      </c>
      <c r="L4120" s="43">
        <f>IF($I4120=0,0,$J4120*$H4120/100/12)</f>
      </c>
      <c r="M4120" s="43">
        <f>IF($I4120=0,0,IF(OR(INDEX(DarlOhneTilgung,9)=1,AND(INDEX(DarlTilgStart,9)&gt;0,$E4120&lt;INDEX(DarlTilgStart,9))),0,MIN(MAX(0,$K4120-$L4120),$J4120)))</f>
      </c>
      <c r="N4120" s="43">
        <f>IF($I4120=0,0,MIN(SUMIFS(SondBetrag,SondDarl,9,SondDatum,"&gt;="&amp;$E4120,SondDatum,"&lt;="&amp;EOMONTH($E4120,0)),$J4120-$M4120))</f>
      </c>
      <c r="O4120" s="43">
        <f>IF($I4120=0,0,INDEX(DarlErsatzRate,9))</f>
      </c>
      <c r="P4120" s="43">
        <f>IF($I4120=0,0,$Q4119*INDEX(DarlErsatzZins,9))</f>
      </c>
      <c r="Q4120" s="43">
        <f>IF($I4120=0,0,$Q4119+$P4120+$O4120)</f>
      </c>
      <c r="R4120" s="43">
        <f>IF($I4120=0,0,$J4120-$M4120-$N4120)</f>
      </c>
    </row>
    <row r="4121">
      <c r="A4121"/>
      <c r="B4121">
        <v>9</v>
      </c>
      <c r="C4121" s="43">
        <f>INDEX(DarlObj,9)</f>
      </c>
      <c r="D4121">
        <v>278</v>
      </c>
      <c r="E4121" s="51">
        <f>IF(INDEX(DarlBelegt,9)=0,0,EOMONTH(INDEX(DarlAuszahlung,9),277)+1)</f>
      </c>
      <c r="F4121" s="43">
        <f>IF($E4121=0,0,YEAR($E4121))</f>
      </c>
      <c r="G4121" s="43">
        <f>IF(INDEX(DarlBindung,9)="",1,IF($E4121&lt;=INDEX(DarlBindung,9),1,0))</f>
      </c>
      <c r="H4121" s="43">
        <f>IF($G4121=1,INDEX(DarlSollzins,9),INDEX(DarlAnschluss,9))</f>
      </c>
      <c r="I4121" s="43">
        <f>IF(INDEX(DarlBelegt,9)=0,0,IF(INDEX(DarlOhneTilgung,9)=1,IF(INDEX(DarlBindung,9)="",1,$G4121),IF($J4121&gt;0.005,1,0)))</f>
      </c>
      <c r="J4121" s="43">
        <f>IF($I4120=0,0,$R4120)</f>
      </c>
      <c r="K4121" s="43">
        <f>IF($I4121=0,0,IF(INDEX(DarlOhneTilgung,9)=1,0,IF(AND(INDEX(DarlTilgStart,9)&gt;0,$E4121=INDEX(DarlTilgStart,9)),$J4121*($H4121+INDEX(DarlTilgung,9))/100/12,IF(AND($G4121=0,$G4120=1),MAX($K4120,$J4121*($H4121+1)/100/12),$K4120))))</f>
      </c>
      <c r="L4121" s="43">
        <f>IF($I4121=0,0,$J4121*$H4121/100/12)</f>
      </c>
      <c r="M4121" s="43">
        <f>IF($I4121=0,0,IF(OR(INDEX(DarlOhneTilgung,9)=1,AND(INDEX(DarlTilgStart,9)&gt;0,$E4121&lt;INDEX(DarlTilgStart,9))),0,MIN(MAX(0,$K4121-$L4121),$J4121)))</f>
      </c>
      <c r="N4121" s="43">
        <f>IF($I4121=0,0,MIN(SUMIFS(SondBetrag,SondDarl,9,SondDatum,"&gt;="&amp;$E4121,SondDatum,"&lt;="&amp;EOMONTH($E4121,0)),$J4121-$M4121))</f>
      </c>
      <c r="O4121" s="43">
        <f>IF($I4121=0,0,INDEX(DarlErsatzRate,9))</f>
      </c>
      <c r="P4121" s="43">
        <f>IF($I4121=0,0,$Q4120*INDEX(DarlErsatzZins,9))</f>
      </c>
      <c r="Q4121" s="43">
        <f>IF($I4121=0,0,$Q4120+$P4121+$O4121)</f>
      </c>
      <c r="R4121" s="43">
        <f>IF($I4121=0,0,$J4121-$M4121-$N4121)</f>
      </c>
    </row>
    <row r="4122">
      <c r="A4122"/>
      <c r="B4122">
        <v>9</v>
      </c>
      <c r="C4122" s="43">
        <f>INDEX(DarlObj,9)</f>
      </c>
      <c r="D4122">
        <v>279</v>
      </c>
      <c r="E4122" s="51">
        <f>IF(INDEX(DarlBelegt,9)=0,0,EOMONTH(INDEX(DarlAuszahlung,9),278)+1)</f>
      </c>
      <c r="F4122" s="43">
        <f>IF($E4122=0,0,YEAR($E4122))</f>
      </c>
      <c r="G4122" s="43">
        <f>IF(INDEX(DarlBindung,9)="",1,IF($E4122&lt;=INDEX(DarlBindung,9),1,0))</f>
      </c>
      <c r="H4122" s="43">
        <f>IF($G4122=1,INDEX(DarlSollzins,9),INDEX(DarlAnschluss,9))</f>
      </c>
      <c r="I4122" s="43">
        <f>IF(INDEX(DarlBelegt,9)=0,0,IF(INDEX(DarlOhneTilgung,9)=1,IF(INDEX(DarlBindung,9)="",1,$G4122),IF($J4122&gt;0.005,1,0)))</f>
      </c>
      <c r="J4122" s="43">
        <f>IF($I4121=0,0,$R4121)</f>
      </c>
      <c r="K4122" s="43">
        <f>IF($I4122=0,0,IF(INDEX(DarlOhneTilgung,9)=1,0,IF(AND(INDEX(DarlTilgStart,9)&gt;0,$E4122=INDEX(DarlTilgStart,9)),$J4122*($H4122+INDEX(DarlTilgung,9))/100/12,IF(AND($G4122=0,$G4121=1),MAX($K4121,$J4122*($H4122+1)/100/12),$K4121))))</f>
      </c>
      <c r="L4122" s="43">
        <f>IF($I4122=0,0,$J4122*$H4122/100/12)</f>
      </c>
      <c r="M4122" s="43">
        <f>IF($I4122=0,0,IF(OR(INDEX(DarlOhneTilgung,9)=1,AND(INDEX(DarlTilgStart,9)&gt;0,$E4122&lt;INDEX(DarlTilgStart,9))),0,MIN(MAX(0,$K4122-$L4122),$J4122)))</f>
      </c>
      <c r="N4122" s="43">
        <f>IF($I4122=0,0,MIN(SUMIFS(SondBetrag,SondDarl,9,SondDatum,"&gt;="&amp;$E4122,SondDatum,"&lt;="&amp;EOMONTH($E4122,0)),$J4122-$M4122))</f>
      </c>
      <c r="O4122" s="43">
        <f>IF($I4122=0,0,INDEX(DarlErsatzRate,9))</f>
      </c>
      <c r="P4122" s="43">
        <f>IF($I4122=0,0,$Q4121*INDEX(DarlErsatzZins,9))</f>
      </c>
      <c r="Q4122" s="43">
        <f>IF($I4122=0,0,$Q4121+$P4122+$O4122)</f>
      </c>
      <c r="R4122" s="43">
        <f>IF($I4122=0,0,$J4122-$M4122-$N4122)</f>
      </c>
    </row>
    <row r="4123">
      <c r="A4123"/>
      <c r="B4123">
        <v>9</v>
      </c>
      <c r="C4123" s="43">
        <f>INDEX(DarlObj,9)</f>
      </c>
      <c r="D4123">
        <v>280</v>
      </c>
      <c r="E4123" s="51">
        <f>IF(INDEX(DarlBelegt,9)=0,0,EOMONTH(INDEX(DarlAuszahlung,9),279)+1)</f>
      </c>
      <c r="F4123" s="43">
        <f>IF($E4123=0,0,YEAR($E4123))</f>
      </c>
      <c r="G4123" s="43">
        <f>IF(INDEX(DarlBindung,9)="",1,IF($E4123&lt;=INDEX(DarlBindung,9),1,0))</f>
      </c>
      <c r="H4123" s="43">
        <f>IF($G4123=1,INDEX(DarlSollzins,9),INDEX(DarlAnschluss,9))</f>
      </c>
      <c r="I4123" s="43">
        <f>IF(INDEX(DarlBelegt,9)=0,0,IF(INDEX(DarlOhneTilgung,9)=1,IF(INDEX(DarlBindung,9)="",1,$G4123),IF($J4123&gt;0.005,1,0)))</f>
      </c>
      <c r="J4123" s="43">
        <f>IF($I4122=0,0,$R4122)</f>
      </c>
      <c r="K4123" s="43">
        <f>IF($I4123=0,0,IF(INDEX(DarlOhneTilgung,9)=1,0,IF(AND(INDEX(DarlTilgStart,9)&gt;0,$E4123=INDEX(DarlTilgStart,9)),$J4123*($H4123+INDEX(DarlTilgung,9))/100/12,IF(AND($G4123=0,$G4122=1),MAX($K4122,$J4123*($H4123+1)/100/12),$K4122))))</f>
      </c>
      <c r="L4123" s="43">
        <f>IF($I4123=0,0,$J4123*$H4123/100/12)</f>
      </c>
      <c r="M4123" s="43">
        <f>IF($I4123=0,0,IF(OR(INDEX(DarlOhneTilgung,9)=1,AND(INDEX(DarlTilgStart,9)&gt;0,$E4123&lt;INDEX(DarlTilgStart,9))),0,MIN(MAX(0,$K4123-$L4123),$J4123)))</f>
      </c>
      <c r="N4123" s="43">
        <f>IF($I4123=0,0,MIN(SUMIFS(SondBetrag,SondDarl,9,SondDatum,"&gt;="&amp;$E4123,SondDatum,"&lt;="&amp;EOMONTH($E4123,0)),$J4123-$M4123))</f>
      </c>
      <c r="O4123" s="43">
        <f>IF($I4123=0,0,INDEX(DarlErsatzRate,9))</f>
      </c>
      <c r="P4123" s="43">
        <f>IF($I4123=0,0,$Q4122*INDEX(DarlErsatzZins,9))</f>
      </c>
      <c r="Q4123" s="43">
        <f>IF($I4123=0,0,$Q4122+$P4123+$O4123)</f>
      </c>
      <c r="R4123" s="43">
        <f>IF($I4123=0,0,$J4123-$M4123-$N4123)</f>
      </c>
    </row>
    <row r="4124">
      <c r="A4124"/>
      <c r="B4124">
        <v>9</v>
      </c>
      <c r="C4124" s="43">
        <f>INDEX(DarlObj,9)</f>
      </c>
      <c r="D4124">
        <v>281</v>
      </c>
      <c r="E4124" s="51">
        <f>IF(INDEX(DarlBelegt,9)=0,0,EOMONTH(INDEX(DarlAuszahlung,9),280)+1)</f>
      </c>
      <c r="F4124" s="43">
        <f>IF($E4124=0,0,YEAR($E4124))</f>
      </c>
      <c r="G4124" s="43">
        <f>IF(INDEX(DarlBindung,9)="",1,IF($E4124&lt;=INDEX(DarlBindung,9),1,0))</f>
      </c>
      <c r="H4124" s="43">
        <f>IF($G4124=1,INDEX(DarlSollzins,9),INDEX(DarlAnschluss,9))</f>
      </c>
      <c r="I4124" s="43">
        <f>IF(INDEX(DarlBelegt,9)=0,0,IF(INDEX(DarlOhneTilgung,9)=1,IF(INDEX(DarlBindung,9)="",1,$G4124),IF($J4124&gt;0.005,1,0)))</f>
      </c>
      <c r="J4124" s="43">
        <f>IF($I4123=0,0,$R4123)</f>
      </c>
      <c r="K4124" s="43">
        <f>IF($I4124=0,0,IF(INDEX(DarlOhneTilgung,9)=1,0,IF(AND(INDEX(DarlTilgStart,9)&gt;0,$E4124=INDEX(DarlTilgStart,9)),$J4124*($H4124+INDEX(DarlTilgung,9))/100/12,IF(AND($G4124=0,$G4123=1),MAX($K4123,$J4124*($H4124+1)/100/12),$K4123))))</f>
      </c>
      <c r="L4124" s="43">
        <f>IF($I4124=0,0,$J4124*$H4124/100/12)</f>
      </c>
      <c r="M4124" s="43">
        <f>IF($I4124=0,0,IF(OR(INDEX(DarlOhneTilgung,9)=1,AND(INDEX(DarlTilgStart,9)&gt;0,$E4124&lt;INDEX(DarlTilgStart,9))),0,MIN(MAX(0,$K4124-$L4124),$J4124)))</f>
      </c>
      <c r="N4124" s="43">
        <f>IF($I4124=0,0,MIN(SUMIFS(SondBetrag,SondDarl,9,SondDatum,"&gt;="&amp;$E4124,SondDatum,"&lt;="&amp;EOMONTH($E4124,0)),$J4124-$M4124))</f>
      </c>
      <c r="O4124" s="43">
        <f>IF($I4124=0,0,INDEX(DarlErsatzRate,9))</f>
      </c>
      <c r="P4124" s="43">
        <f>IF($I4124=0,0,$Q4123*INDEX(DarlErsatzZins,9))</f>
      </c>
      <c r="Q4124" s="43">
        <f>IF($I4124=0,0,$Q4123+$P4124+$O4124)</f>
      </c>
      <c r="R4124" s="43">
        <f>IF($I4124=0,0,$J4124-$M4124-$N4124)</f>
      </c>
    </row>
    <row r="4125">
      <c r="A4125"/>
      <c r="B4125">
        <v>9</v>
      </c>
      <c r="C4125" s="43">
        <f>INDEX(DarlObj,9)</f>
      </c>
      <c r="D4125">
        <v>282</v>
      </c>
      <c r="E4125" s="51">
        <f>IF(INDEX(DarlBelegt,9)=0,0,EOMONTH(INDEX(DarlAuszahlung,9),281)+1)</f>
      </c>
      <c r="F4125" s="43">
        <f>IF($E4125=0,0,YEAR($E4125))</f>
      </c>
      <c r="G4125" s="43">
        <f>IF(INDEX(DarlBindung,9)="",1,IF($E4125&lt;=INDEX(DarlBindung,9),1,0))</f>
      </c>
      <c r="H4125" s="43">
        <f>IF($G4125=1,INDEX(DarlSollzins,9),INDEX(DarlAnschluss,9))</f>
      </c>
      <c r="I4125" s="43">
        <f>IF(INDEX(DarlBelegt,9)=0,0,IF(INDEX(DarlOhneTilgung,9)=1,IF(INDEX(DarlBindung,9)="",1,$G4125),IF($J4125&gt;0.005,1,0)))</f>
      </c>
      <c r="J4125" s="43">
        <f>IF($I4124=0,0,$R4124)</f>
      </c>
      <c r="K4125" s="43">
        <f>IF($I4125=0,0,IF(INDEX(DarlOhneTilgung,9)=1,0,IF(AND(INDEX(DarlTilgStart,9)&gt;0,$E4125=INDEX(DarlTilgStart,9)),$J4125*($H4125+INDEX(DarlTilgung,9))/100/12,IF(AND($G4125=0,$G4124=1),MAX($K4124,$J4125*($H4125+1)/100/12),$K4124))))</f>
      </c>
      <c r="L4125" s="43">
        <f>IF($I4125=0,0,$J4125*$H4125/100/12)</f>
      </c>
      <c r="M4125" s="43">
        <f>IF($I4125=0,0,IF(OR(INDEX(DarlOhneTilgung,9)=1,AND(INDEX(DarlTilgStart,9)&gt;0,$E4125&lt;INDEX(DarlTilgStart,9))),0,MIN(MAX(0,$K4125-$L4125),$J4125)))</f>
      </c>
      <c r="N4125" s="43">
        <f>IF($I4125=0,0,MIN(SUMIFS(SondBetrag,SondDarl,9,SondDatum,"&gt;="&amp;$E4125,SondDatum,"&lt;="&amp;EOMONTH($E4125,0)),$J4125-$M4125))</f>
      </c>
      <c r="O4125" s="43">
        <f>IF($I4125=0,0,INDEX(DarlErsatzRate,9))</f>
      </c>
      <c r="P4125" s="43">
        <f>IF($I4125=0,0,$Q4124*INDEX(DarlErsatzZins,9))</f>
      </c>
      <c r="Q4125" s="43">
        <f>IF($I4125=0,0,$Q4124+$P4125+$O4125)</f>
      </c>
      <c r="R4125" s="43">
        <f>IF($I4125=0,0,$J4125-$M4125-$N4125)</f>
      </c>
    </row>
    <row r="4126">
      <c r="A4126"/>
      <c r="B4126">
        <v>9</v>
      </c>
      <c r="C4126" s="43">
        <f>INDEX(DarlObj,9)</f>
      </c>
      <c r="D4126">
        <v>283</v>
      </c>
      <c r="E4126" s="51">
        <f>IF(INDEX(DarlBelegt,9)=0,0,EOMONTH(INDEX(DarlAuszahlung,9),282)+1)</f>
      </c>
      <c r="F4126" s="43">
        <f>IF($E4126=0,0,YEAR($E4126))</f>
      </c>
      <c r="G4126" s="43">
        <f>IF(INDEX(DarlBindung,9)="",1,IF($E4126&lt;=INDEX(DarlBindung,9),1,0))</f>
      </c>
      <c r="H4126" s="43">
        <f>IF($G4126=1,INDEX(DarlSollzins,9),INDEX(DarlAnschluss,9))</f>
      </c>
      <c r="I4126" s="43">
        <f>IF(INDEX(DarlBelegt,9)=0,0,IF(INDEX(DarlOhneTilgung,9)=1,IF(INDEX(DarlBindung,9)="",1,$G4126),IF($J4126&gt;0.005,1,0)))</f>
      </c>
      <c r="J4126" s="43">
        <f>IF($I4125=0,0,$R4125)</f>
      </c>
      <c r="K4126" s="43">
        <f>IF($I4126=0,0,IF(INDEX(DarlOhneTilgung,9)=1,0,IF(AND(INDEX(DarlTilgStart,9)&gt;0,$E4126=INDEX(DarlTilgStart,9)),$J4126*($H4126+INDEX(DarlTilgung,9))/100/12,IF(AND($G4126=0,$G4125=1),MAX($K4125,$J4126*($H4126+1)/100/12),$K4125))))</f>
      </c>
      <c r="L4126" s="43">
        <f>IF($I4126=0,0,$J4126*$H4126/100/12)</f>
      </c>
      <c r="M4126" s="43">
        <f>IF($I4126=0,0,IF(OR(INDEX(DarlOhneTilgung,9)=1,AND(INDEX(DarlTilgStart,9)&gt;0,$E4126&lt;INDEX(DarlTilgStart,9))),0,MIN(MAX(0,$K4126-$L4126),$J4126)))</f>
      </c>
      <c r="N4126" s="43">
        <f>IF($I4126=0,0,MIN(SUMIFS(SondBetrag,SondDarl,9,SondDatum,"&gt;="&amp;$E4126,SondDatum,"&lt;="&amp;EOMONTH($E4126,0)),$J4126-$M4126))</f>
      </c>
      <c r="O4126" s="43">
        <f>IF($I4126=0,0,INDEX(DarlErsatzRate,9))</f>
      </c>
      <c r="P4126" s="43">
        <f>IF($I4126=0,0,$Q4125*INDEX(DarlErsatzZins,9))</f>
      </c>
      <c r="Q4126" s="43">
        <f>IF($I4126=0,0,$Q4125+$P4126+$O4126)</f>
      </c>
      <c r="R4126" s="43">
        <f>IF($I4126=0,0,$J4126-$M4126-$N4126)</f>
      </c>
    </row>
    <row r="4127">
      <c r="A4127"/>
      <c r="B4127">
        <v>9</v>
      </c>
      <c r="C4127" s="43">
        <f>INDEX(DarlObj,9)</f>
      </c>
      <c r="D4127">
        <v>284</v>
      </c>
      <c r="E4127" s="51">
        <f>IF(INDEX(DarlBelegt,9)=0,0,EOMONTH(INDEX(DarlAuszahlung,9),283)+1)</f>
      </c>
      <c r="F4127" s="43">
        <f>IF($E4127=0,0,YEAR($E4127))</f>
      </c>
      <c r="G4127" s="43">
        <f>IF(INDEX(DarlBindung,9)="",1,IF($E4127&lt;=INDEX(DarlBindung,9),1,0))</f>
      </c>
      <c r="H4127" s="43">
        <f>IF($G4127=1,INDEX(DarlSollzins,9),INDEX(DarlAnschluss,9))</f>
      </c>
      <c r="I4127" s="43">
        <f>IF(INDEX(DarlBelegt,9)=0,0,IF(INDEX(DarlOhneTilgung,9)=1,IF(INDEX(DarlBindung,9)="",1,$G4127),IF($J4127&gt;0.005,1,0)))</f>
      </c>
      <c r="J4127" s="43">
        <f>IF($I4126=0,0,$R4126)</f>
      </c>
      <c r="K4127" s="43">
        <f>IF($I4127=0,0,IF(INDEX(DarlOhneTilgung,9)=1,0,IF(AND(INDEX(DarlTilgStart,9)&gt;0,$E4127=INDEX(DarlTilgStart,9)),$J4127*($H4127+INDEX(DarlTilgung,9))/100/12,IF(AND($G4127=0,$G4126=1),MAX($K4126,$J4127*($H4127+1)/100/12),$K4126))))</f>
      </c>
      <c r="L4127" s="43">
        <f>IF($I4127=0,0,$J4127*$H4127/100/12)</f>
      </c>
      <c r="M4127" s="43">
        <f>IF($I4127=0,0,IF(OR(INDEX(DarlOhneTilgung,9)=1,AND(INDEX(DarlTilgStart,9)&gt;0,$E4127&lt;INDEX(DarlTilgStart,9))),0,MIN(MAX(0,$K4127-$L4127),$J4127)))</f>
      </c>
      <c r="N4127" s="43">
        <f>IF($I4127=0,0,MIN(SUMIFS(SondBetrag,SondDarl,9,SondDatum,"&gt;="&amp;$E4127,SondDatum,"&lt;="&amp;EOMONTH($E4127,0)),$J4127-$M4127))</f>
      </c>
      <c r="O4127" s="43">
        <f>IF($I4127=0,0,INDEX(DarlErsatzRate,9))</f>
      </c>
      <c r="P4127" s="43">
        <f>IF($I4127=0,0,$Q4126*INDEX(DarlErsatzZins,9))</f>
      </c>
      <c r="Q4127" s="43">
        <f>IF($I4127=0,0,$Q4126+$P4127+$O4127)</f>
      </c>
      <c r="R4127" s="43">
        <f>IF($I4127=0,0,$J4127-$M4127-$N4127)</f>
      </c>
    </row>
    <row r="4128">
      <c r="A4128"/>
      <c r="B4128">
        <v>9</v>
      </c>
      <c r="C4128" s="43">
        <f>INDEX(DarlObj,9)</f>
      </c>
      <c r="D4128">
        <v>285</v>
      </c>
      <c r="E4128" s="51">
        <f>IF(INDEX(DarlBelegt,9)=0,0,EOMONTH(INDEX(DarlAuszahlung,9),284)+1)</f>
      </c>
      <c r="F4128" s="43">
        <f>IF($E4128=0,0,YEAR($E4128))</f>
      </c>
      <c r="G4128" s="43">
        <f>IF(INDEX(DarlBindung,9)="",1,IF($E4128&lt;=INDEX(DarlBindung,9),1,0))</f>
      </c>
      <c r="H4128" s="43">
        <f>IF($G4128=1,INDEX(DarlSollzins,9),INDEX(DarlAnschluss,9))</f>
      </c>
      <c r="I4128" s="43">
        <f>IF(INDEX(DarlBelegt,9)=0,0,IF(INDEX(DarlOhneTilgung,9)=1,IF(INDEX(DarlBindung,9)="",1,$G4128),IF($J4128&gt;0.005,1,0)))</f>
      </c>
      <c r="J4128" s="43">
        <f>IF($I4127=0,0,$R4127)</f>
      </c>
      <c r="K4128" s="43">
        <f>IF($I4128=0,0,IF(INDEX(DarlOhneTilgung,9)=1,0,IF(AND(INDEX(DarlTilgStart,9)&gt;0,$E4128=INDEX(DarlTilgStart,9)),$J4128*($H4128+INDEX(DarlTilgung,9))/100/12,IF(AND($G4128=0,$G4127=1),MAX($K4127,$J4128*($H4128+1)/100/12),$K4127))))</f>
      </c>
      <c r="L4128" s="43">
        <f>IF($I4128=0,0,$J4128*$H4128/100/12)</f>
      </c>
      <c r="M4128" s="43">
        <f>IF($I4128=0,0,IF(OR(INDEX(DarlOhneTilgung,9)=1,AND(INDEX(DarlTilgStart,9)&gt;0,$E4128&lt;INDEX(DarlTilgStart,9))),0,MIN(MAX(0,$K4128-$L4128),$J4128)))</f>
      </c>
      <c r="N4128" s="43">
        <f>IF($I4128=0,0,MIN(SUMIFS(SondBetrag,SondDarl,9,SondDatum,"&gt;="&amp;$E4128,SondDatum,"&lt;="&amp;EOMONTH($E4128,0)),$J4128-$M4128))</f>
      </c>
      <c r="O4128" s="43">
        <f>IF($I4128=0,0,INDEX(DarlErsatzRate,9))</f>
      </c>
      <c r="P4128" s="43">
        <f>IF($I4128=0,0,$Q4127*INDEX(DarlErsatzZins,9))</f>
      </c>
      <c r="Q4128" s="43">
        <f>IF($I4128=0,0,$Q4127+$P4128+$O4128)</f>
      </c>
      <c r="R4128" s="43">
        <f>IF($I4128=0,0,$J4128-$M4128-$N4128)</f>
      </c>
    </row>
    <row r="4129">
      <c r="A4129"/>
      <c r="B4129">
        <v>9</v>
      </c>
      <c r="C4129" s="43">
        <f>INDEX(DarlObj,9)</f>
      </c>
      <c r="D4129">
        <v>286</v>
      </c>
      <c r="E4129" s="51">
        <f>IF(INDEX(DarlBelegt,9)=0,0,EOMONTH(INDEX(DarlAuszahlung,9),285)+1)</f>
      </c>
      <c r="F4129" s="43">
        <f>IF($E4129=0,0,YEAR($E4129))</f>
      </c>
      <c r="G4129" s="43">
        <f>IF(INDEX(DarlBindung,9)="",1,IF($E4129&lt;=INDEX(DarlBindung,9),1,0))</f>
      </c>
      <c r="H4129" s="43">
        <f>IF($G4129=1,INDEX(DarlSollzins,9),INDEX(DarlAnschluss,9))</f>
      </c>
      <c r="I4129" s="43">
        <f>IF(INDEX(DarlBelegt,9)=0,0,IF(INDEX(DarlOhneTilgung,9)=1,IF(INDEX(DarlBindung,9)="",1,$G4129),IF($J4129&gt;0.005,1,0)))</f>
      </c>
      <c r="J4129" s="43">
        <f>IF($I4128=0,0,$R4128)</f>
      </c>
      <c r="K4129" s="43">
        <f>IF($I4129=0,0,IF(INDEX(DarlOhneTilgung,9)=1,0,IF(AND(INDEX(DarlTilgStart,9)&gt;0,$E4129=INDEX(DarlTilgStart,9)),$J4129*($H4129+INDEX(DarlTilgung,9))/100/12,IF(AND($G4129=0,$G4128=1),MAX($K4128,$J4129*($H4129+1)/100/12),$K4128))))</f>
      </c>
      <c r="L4129" s="43">
        <f>IF($I4129=0,0,$J4129*$H4129/100/12)</f>
      </c>
      <c r="M4129" s="43">
        <f>IF($I4129=0,0,IF(OR(INDEX(DarlOhneTilgung,9)=1,AND(INDEX(DarlTilgStart,9)&gt;0,$E4129&lt;INDEX(DarlTilgStart,9))),0,MIN(MAX(0,$K4129-$L4129),$J4129)))</f>
      </c>
      <c r="N4129" s="43">
        <f>IF($I4129=0,0,MIN(SUMIFS(SondBetrag,SondDarl,9,SondDatum,"&gt;="&amp;$E4129,SondDatum,"&lt;="&amp;EOMONTH($E4129,0)),$J4129-$M4129))</f>
      </c>
      <c r="O4129" s="43">
        <f>IF($I4129=0,0,INDEX(DarlErsatzRate,9))</f>
      </c>
      <c r="P4129" s="43">
        <f>IF($I4129=0,0,$Q4128*INDEX(DarlErsatzZins,9))</f>
      </c>
      <c r="Q4129" s="43">
        <f>IF($I4129=0,0,$Q4128+$P4129+$O4129)</f>
      </c>
      <c r="R4129" s="43">
        <f>IF($I4129=0,0,$J4129-$M4129-$N4129)</f>
      </c>
    </row>
    <row r="4130">
      <c r="A4130"/>
      <c r="B4130">
        <v>9</v>
      </c>
      <c r="C4130" s="43">
        <f>INDEX(DarlObj,9)</f>
      </c>
      <c r="D4130">
        <v>287</v>
      </c>
      <c r="E4130" s="51">
        <f>IF(INDEX(DarlBelegt,9)=0,0,EOMONTH(INDEX(DarlAuszahlung,9),286)+1)</f>
      </c>
      <c r="F4130" s="43">
        <f>IF($E4130=0,0,YEAR($E4130))</f>
      </c>
      <c r="G4130" s="43">
        <f>IF(INDEX(DarlBindung,9)="",1,IF($E4130&lt;=INDEX(DarlBindung,9),1,0))</f>
      </c>
      <c r="H4130" s="43">
        <f>IF($G4130=1,INDEX(DarlSollzins,9),INDEX(DarlAnschluss,9))</f>
      </c>
      <c r="I4130" s="43">
        <f>IF(INDEX(DarlBelegt,9)=0,0,IF(INDEX(DarlOhneTilgung,9)=1,IF(INDEX(DarlBindung,9)="",1,$G4130),IF($J4130&gt;0.005,1,0)))</f>
      </c>
      <c r="J4130" s="43">
        <f>IF($I4129=0,0,$R4129)</f>
      </c>
      <c r="K4130" s="43">
        <f>IF($I4130=0,0,IF(INDEX(DarlOhneTilgung,9)=1,0,IF(AND(INDEX(DarlTilgStart,9)&gt;0,$E4130=INDEX(DarlTilgStart,9)),$J4130*($H4130+INDEX(DarlTilgung,9))/100/12,IF(AND($G4130=0,$G4129=1),MAX($K4129,$J4130*($H4130+1)/100/12),$K4129))))</f>
      </c>
      <c r="L4130" s="43">
        <f>IF($I4130=0,0,$J4130*$H4130/100/12)</f>
      </c>
      <c r="M4130" s="43">
        <f>IF($I4130=0,0,IF(OR(INDEX(DarlOhneTilgung,9)=1,AND(INDEX(DarlTilgStart,9)&gt;0,$E4130&lt;INDEX(DarlTilgStart,9))),0,MIN(MAX(0,$K4130-$L4130),$J4130)))</f>
      </c>
      <c r="N4130" s="43">
        <f>IF($I4130=0,0,MIN(SUMIFS(SondBetrag,SondDarl,9,SondDatum,"&gt;="&amp;$E4130,SondDatum,"&lt;="&amp;EOMONTH($E4130,0)),$J4130-$M4130))</f>
      </c>
      <c r="O4130" s="43">
        <f>IF($I4130=0,0,INDEX(DarlErsatzRate,9))</f>
      </c>
      <c r="P4130" s="43">
        <f>IF($I4130=0,0,$Q4129*INDEX(DarlErsatzZins,9))</f>
      </c>
      <c r="Q4130" s="43">
        <f>IF($I4130=0,0,$Q4129+$P4130+$O4130)</f>
      </c>
      <c r="R4130" s="43">
        <f>IF($I4130=0,0,$J4130-$M4130-$N4130)</f>
      </c>
    </row>
    <row r="4131">
      <c r="A4131"/>
      <c r="B4131">
        <v>9</v>
      </c>
      <c r="C4131" s="43">
        <f>INDEX(DarlObj,9)</f>
      </c>
      <c r="D4131">
        <v>288</v>
      </c>
      <c r="E4131" s="51">
        <f>IF(INDEX(DarlBelegt,9)=0,0,EOMONTH(INDEX(DarlAuszahlung,9),287)+1)</f>
      </c>
      <c r="F4131" s="43">
        <f>IF($E4131=0,0,YEAR($E4131))</f>
      </c>
      <c r="G4131" s="43">
        <f>IF(INDEX(DarlBindung,9)="",1,IF($E4131&lt;=INDEX(DarlBindung,9),1,0))</f>
      </c>
      <c r="H4131" s="43">
        <f>IF($G4131=1,INDEX(DarlSollzins,9),INDEX(DarlAnschluss,9))</f>
      </c>
      <c r="I4131" s="43">
        <f>IF(INDEX(DarlBelegt,9)=0,0,IF(INDEX(DarlOhneTilgung,9)=1,IF(INDEX(DarlBindung,9)="",1,$G4131),IF($J4131&gt;0.005,1,0)))</f>
      </c>
      <c r="J4131" s="43">
        <f>IF($I4130=0,0,$R4130)</f>
      </c>
      <c r="K4131" s="43">
        <f>IF($I4131=0,0,IF(INDEX(DarlOhneTilgung,9)=1,0,IF(AND(INDEX(DarlTilgStart,9)&gt;0,$E4131=INDEX(DarlTilgStart,9)),$J4131*($H4131+INDEX(DarlTilgung,9))/100/12,IF(AND($G4131=0,$G4130=1),MAX($K4130,$J4131*($H4131+1)/100/12),$K4130))))</f>
      </c>
      <c r="L4131" s="43">
        <f>IF($I4131=0,0,$J4131*$H4131/100/12)</f>
      </c>
      <c r="M4131" s="43">
        <f>IF($I4131=0,0,IF(OR(INDEX(DarlOhneTilgung,9)=1,AND(INDEX(DarlTilgStart,9)&gt;0,$E4131&lt;INDEX(DarlTilgStart,9))),0,MIN(MAX(0,$K4131-$L4131),$J4131)))</f>
      </c>
      <c r="N4131" s="43">
        <f>IF($I4131=0,0,MIN(SUMIFS(SondBetrag,SondDarl,9,SondDatum,"&gt;="&amp;$E4131,SondDatum,"&lt;="&amp;EOMONTH($E4131,0)),$J4131-$M4131))</f>
      </c>
      <c r="O4131" s="43">
        <f>IF($I4131=0,0,INDEX(DarlErsatzRate,9))</f>
      </c>
      <c r="P4131" s="43">
        <f>IF($I4131=0,0,$Q4130*INDEX(DarlErsatzZins,9))</f>
      </c>
      <c r="Q4131" s="43">
        <f>IF($I4131=0,0,$Q4130+$P4131+$O4131)</f>
      </c>
      <c r="R4131" s="43">
        <f>IF($I4131=0,0,$J4131-$M4131-$N4131)</f>
      </c>
    </row>
    <row r="4132">
      <c r="A4132"/>
      <c r="B4132">
        <v>9</v>
      </c>
      <c r="C4132" s="43">
        <f>INDEX(DarlObj,9)</f>
      </c>
      <c r="D4132">
        <v>289</v>
      </c>
      <c r="E4132" s="51">
        <f>IF(INDEX(DarlBelegt,9)=0,0,EOMONTH(INDEX(DarlAuszahlung,9),288)+1)</f>
      </c>
      <c r="F4132" s="43">
        <f>IF($E4132=0,0,YEAR($E4132))</f>
      </c>
      <c r="G4132" s="43">
        <f>IF(INDEX(DarlBindung,9)="",1,IF($E4132&lt;=INDEX(DarlBindung,9),1,0))</f>
      </c>
      <c r="H4132" s="43">
        <f>IF($G4132=1,INDEX(DarlSollzins,9),INDEX(DarlAnschluss,9))</f>
      </c>
      <c r="I4132" s="43">
        <f>IF(INDEX(DarlBelegt,9)=0,0,IF(INDEX(DarlOhneTilgung,9)=1,IF(INDEX(DarlBindung,9)="",1,$G4132),IF($J4132&gt;0.005,1,0)))</f>
      </c>
      <c r="J4132" s="43">
        <f>IF($I4131=0,0,$R4131)</f>
      </c>
      <c r="K4132" s="43">
        <f>IF($I4132=0,0,IF(INDEX(DarlOhneTilgung,9)=1,0,IF(AND(INDEX(DarlTilgStart,9)&gt;0,$E4132=INDEX(DarlTilgStart,9)),$J4132*($H4132+INDEX(DarlTilgung,9))/100/12,IF(AND($G4132=0,$G4131=1),MAX($K4131,$J4132*($H4132+1)/100/12),$K4131))))</f>
      </c>
      <c r="L4132" s="43">
        <f>IF($I4132=0,0,$J4132*$H4132/100/12)</f>
      </c>
      <c r="M4132" s="43">
        <f>IF($I4132=0,0,IF(OR(INDEX(DarlOhneTilgung,9)=1,AND(INDEX(DarlTilgStart,9)&gt;0,$E4132&lt;INDEX(DarlTilgStart,9))),0,MIN(MAX(0,$K4132-$L4132),$J4132)))</f>
      </c>
      <c r="N4132" s="43">
        <f>IF($I4132=0,0,MIN(SUMIFS(SondBetrag,SondDarl,9,SondDatum,"&gt;="&amp;$E4132,SondDatum,"&lt;="&amp;EOMONTH($E4132,0)),$J4132-$M4132))</f>
      </c>
      <c r="O4132" s="43">
        <f>IF($I4132=0,0,INDEX(DarlErsatzRate,9))</f>
      </c>
      <c r="P4132" s="43">
        <f>IF($I4132=0,0,$Q4131*INDEX(DarlErsatzZins,9))</f>
      </c>
      <c r="Q4132" s="43">
        <f>IF($I4132=0,0,$Q4131+$P4132+$O4132)</f>
      </c>
      <c r="R4132" s="43">
        <f>IF($I4132=0,0,$J4132-$M4132-$N4132)</f>
      </c>
    </row>
    <row r="4133">
      <c r="A4133"/>
      <c r="B4133">
        <v>9</v>
      </c>
      <c r="C4133" s="43">
        <f>INDEX(DarlObj,9)</f>
      </c>
      <c r="D4133">
        <v>290</v>
      </c>
      <c r="E4133" s="51">
        <f>IF(INDEX(DarlBelegt,9)=0,0,EOMONTH(INDEX(DarlAuszahlung,9),289)+1)</f>
      </c>
      <c r="F4133" s="43">
        <f>IF($E4133=0,0,YEAR($E4133))</f>
      </c>
      <c r="G4133" s="43">
        <f>IF(INDEX(DarlBindung,9)="",1,IF($E4133&lt;=INDEX(DarlBindung,9),1,0))</f>
      </c>
      <c r="H4133" s="43">
        <f>IF($G4133=1,INDEX(DarlSollzins,9),INDEX(DarlAnschluss,9))</f>
      </c>
      <c r="I4133" s="43">
        <f>IF(INDEX(DarlBelegt,9)=0,0,IF(INDEX(DarlOhneTilgung,9)=1,IF(INDEX(DarlBindung,9)="",1,$G4133),IF($J4133&gt;0.005,1,0)))</f>
      </c>
      <c r="J4133" s="43">
        <f>IF($I4132=0,0,$R4132)</f>
      </c>
      <c r="K4133" s="43">
        <f>IF($I4133=0,0,IF(INDEX(DarlOhneTilgung,9)=1,0,IF(AND(INDEX(DarlTilgStart,9)&gt;0,$E4133=INDEX(DarlTilgStart,9)),$J4133*($H4133+INDEX(DarlTilgung,9))/100/12,IF(AND($G4133=0,$G4132=1),MAX($K4132,$J4133*($H4133+1)/100/12),$K4132))))</f>
      </c>
      <c r="L4133" s="43">
        <f>IF($I4133=0,0,$J4133*$H4133/100/12)</f>
      </c>
      <c r="M4133" s="43">
        <f>IF($I4133=0,0,IF(OR(INDEX(DarlOhneTilgung,9)=1,AND(INDEX(DarlTilgStart,9)&gt;0,$E4133&lt;INDEX(DarlTilgStart,9))),0,MIN(MAX(0,$K4133-$L4133),$J4133)))</f>
      </c>
      <c r="N4133" s="43">
        <f>IF($I4133=0,0,MIN(SUMIFS(SondBetrag,SondDarl,9,SondDatum,"&gt;="&amp;$E4133,SondDatum,"&lt;="&amp;EOMONTH($E4133,0)),$J4133-$M4133))</f>
      </c>
      <c r="O4133" s="43">
        <f>IF($I4133=0,0,INDEX(DarlErsatzRate,9))</f>
      </c>
      <c r="P4133" s="43">
        <f>IF($I4133=0,0,$Q4132*INDEX(DarlErsatzZins,9))</f>
      </c>
      <c r="Q4133" s="43">
        <f>IF($I4133=0,0,$Q4132+$P4133+$O4133)</f>
      </c>
      <c r="R4133" s="43">
        <f>IF($I4133=0,0,$J4133-$M4133-$N4133)</f>
      </c>
    </row>
    <row r="4134">
      <c r="A4134"/>
      <c r="B4134">
        <v>9</v>
      </c>
      <c r="C4134" s="43">
        <f>INDEX(DarlObj,9)</f>
      </c>
      <c r="D4134">
        <v>291</v>
      </c>
      <c r="E4134" s="51">
        <f>IF(INDEX(DarlBelegt,9)=0,0,EOMONTH(INDEX(DarlAuszahlung,9),290)+1)</f>
      </c>
      <c r="F4134" s="43">
        <f>IF($E4134=0,0,YEAR($E4134))</f>
      </c>
      <c r="G4134" s="43">
        <f>IF(INDEX(DarlBindung,9)="",1,IF($E4134&lt;=INDEX(DarlBindung,9),1,0))</f>
      </c>
      <c r="H4134" s="43">
        <f>IF($G4134=1,INDEX(DarlSollzins,9),INDEX(DarlAnschluss,9))</f>
      </c>
      <c r="I4134" s="43">
        <f>IF(INDEX(DarlBelegt,9)=0,0,IF(INDEX(DarlOhneTilgung,9)=1,IF(INDEX(DarlBindung,9)="",1,$G4134),IF($J4134&gt;0.005,1,0)))</f>
      </c>
      <c r="J4134" s="43">
        <f>IF($I4133=0,0,$R4133)</f>
      </c>
      <c r="K4134" s="43">
        <f>IF($I4134=0,0,IF(INDEX(DarlOhneTilgung,9)=1,0,IF(AND(INDEX(DarlTilgStart,9)&gt;0,$E4134=INDEX(DarlTilgStart,9)),$J4134*($H4134+INDEX(DarlTilgung,9))/100/12,IF(AND($G4134=0,$G4133=1),MAX($K4133,$J4134*($H4134+1)/100/12),$K4133))))</f>
      </c>
      <c r="L4134" s="43">
        <f>IF($I4134=0,0,$J4134*$H4134/100/12)</f>
      </c>
      <c r="M4134" s="43">
        <f>IF($I4134=0,0,IF(OR(INDEX(DarlOhneTilgung,9)=1,AND(INDEX(DarlTilgStart,9)&gt;0,$E4134&lt;INDEX(DarlTilgStart,9))),0,MIN(MAX(0,$K4134-$L4134),$J4134)))</f>
      </c>
      <c r="N4134" s="43">
        <f>IF($I4134=0,0,MIN(SUMIFS(SondBetrag,SondDarl,9,SondDatum,"&gt;="&amp;$E4134,SondDatum,"&lt;="&amp;EOMONTH($E4134,0)),$J4134-$M4134))</f>
      </c>
      <c r="O4134" s="43">
        <f>IF($I4134=0,0,INDEX(DarlErsatzRate,9))</f>
      </c>
      <c r="P4134" s="43">
        <f>IF($I4134=0,0,$Q4133*INDEX(DarlErsatzZins,9))</f>
      </c>
      <c r="Q4134" s="43">
        <f>IF($I4134=0,0,$Q4133+$P4134+$O4134)</f>
      </c>
      <c r="R4134" s="43">
        <f>IF($I4134=0,0,$J4134-$M4134-$N4134)</f>
      </c>
    </row>
    <row r="4135">
      <c r="A4135"/>
      <c r="B4135">
        <v>9</v>
      </c>
      <c r="C4135" s="43">
        <f>INDEX(DarlObj,9)</f>
      </c>
      <c r="D4135">
        <v>292</v>
      </c>
      <c r="E4135" s="51">
        <f>IF(INDEX(DarlBelegt,9)=0,0,EOMONTH(INDEX(DarlAuszahlung,9),291)+1)</f>
      </c>
      <c r="F4135" s="43">
        <f>IF($E4135=0,0,YEAR($E4135))</f>
      </c>
      <c r="G4135" s="43">
        <f>IF(INDEX(DarlBindung,9)="",1,IF($E4135&lt;=INDEX(DarlBindung,9),1,0))</f>
      </c>
      <c r="H4135" s="43">
        <f>IF($G4135=1,INDEX(DarlSollzins,9),INDEX(DarlAnschluss,9))</f>
      </c>
      <c r="I4135" s="43">
        <f>IF(INDEX(DarlBelegt,9)=0,0,IF(INDEX(DarlOhneTilgung,9)=1,IF(INDEX(DarlBindung,9)="",1,$G4135),IF($J4135&gt;0.005,1,0)))</f>
      </c>
      <c r="J4135" s="43">
        <f>IF($I4134=0,0,$R4134)</f>
      </c>
      <c r="K4135" s="43">
        <f>IF($I4135=0,0,IF(INDEX(DarlOhneTilgung,9)=1,0,IF(AND(INDEX(DarlTilgStart,9)&gt;0,$E4135=INDEX(DarlTilgStart,9)),$J4135*($H4135+INDEX(DarlTilgung,9))/100/12,IF(AND($G4135=0,$G4134=1),MAX($K4134,$J4135*($H4135+1)/100/12),$K4134))))</f>
      </c>
      <c r="L4135" s="43">
        <f>IF($I4135=0,0,$J4135*$H4135/100/12)</f>
      </c>
      <c r="M4135" s="43">
        <f>IF($I4135=0,0,IF(OR(INDEX(DarlOhneTilgung,9)=1,AND(INDEX(DarlTilgStart,9)&gt;0,$E4135&lt;INDEX(DarlTilgStart,9))),0,MIN(MAX(0,$K4135-$L4135),$J4135)))</f>
      </c>
      <c r="N4135" s="43">
        <f>IF($I4135=0,0,MIN(SUMIFS(SondBetrag,SondDarl,9,SondDatum,"&gt;="&amp;$E4135,SondDatum,"&lt;="&amp;EOMONTH($E4135,0)),$J4135-$M4135))</f>
      </c>
      <c r="O4135" s="43">
        <f>IF($I4135=0,0,INDEX(DarlErsatzRate,9))</f>
      </c>
      <c r="P4135" s="43">
        <f>IF($I4135=0,0,$Q4134*INDEX(DarlErsatzZins,9))</f>
      </c>
      <c r="Q4135" s="43">
        <f>IF($I4135=0,0,$Q4134+$P4135+$O4135)</f>
      </c>
      <c r="R4135" s="43">
        <f>IF($I4135=0,0,$J4135-$M4135-$N4135)</f>
      </c>
    </row>
    <row r="4136">
      <c r="A4136"/>
      <c r="B4136">
        <v>9</v>
      </c>
      <c r="C4136" s="43">
        <f>INDEX(DarlObj,9)</f>
      </c>
      <c r="D4136">
        <v>293</v>
      </c>
      <c r="E4136" s="51">
        <f>IF(INDEX(DarlBelegt,9)=0,0,EOMONTH(INDEX(DarlAuszahlung,9),292)+1)</f>
      </c>
      <c r="F4136" s="43">
        <f>IF($E4136=0,0,YEAR($E4136))</f>
      </c>
      <c r="G4136" s="43">
        <f>IF(INDEX(DarlBindung,9)="",1,IF($E4136&lt;=INDEX(DarlBindung,9),1,0))</f>
      </c>
      <c r="H4136" s="43">
        <f>IF($G4136=1,INDEX(DarlSollzins,9),INDEX(DarlAnschluss,9))</f>
      </c>
      <c r="I4136" s="43">
        <f>IF(INDEX(DarlBelegt,9)=0,0,IF(INDEX(DarlOhneTilgung,9)=1,IF(INDEX(DarlBindung,9)="",1,$G4136),IF($J4136&gt;0.005,1,0)))</f>
      </c>
      <c r="J4136" s="43">
        <f>IF($I4135=0,0,$R4135)</f>
      </c>
      <c r="K4136" s="43">
        <f>IF($I4136=0,0,IF(INDEX(DarlOhneTilgung,9)=1,0,IF(AND(INDEX(DarlTilgStart,9)&gt;0,$E4136=INDEX(DarlTilgStart,9)),$J4136*($H4136+INDEX(DarlTilgung,9))/100/12,IF(AND($G4136=0,$G4135=1),MAX($K4135,$J4136*($H4136+1)/100/12),$K4135))))</f>
      </c>
      <c r="L4136" s="43">
        <f>IF($I4136=0,0,$J4136*$H4136/100/12)</f>
      </c>
      <c r="M4136" s="43">
        <f>IF($I4136=0,0,IF(OR(INDEX(DarlOhneTilgung,9)=1,AND(INDEX(DarlTilgStart,9)&gt;0,$E4136&lt;INDEX(DarlTilgStart,9))),0,MIN(MAX(0,$K4136-$L4136),$J4136)))</f>
      </c>
      <c r="N4136" s="43">
        <f>IF($I4136=0,0,MIN(SUMIFS(SondBetrag,SondDarl,9,SondDatum,"&gt;="&amp;$E4136,SondDatum,"&lt;="&amp;EOMONTH($E4136,0)),$J4136-$M4136))</f>
      </c>
      <c r="O4136" s="43">
        <f>IF($I4136=0,0,INDEX(DarlErsatzRate,9))</f>
      </c>
      <c r="P4136" s="43">
        <f>IF($I4136=0,0,$Q4135*INDEX(DarlErsatzZins,9))</f>
      </c>
      <c r="Q4136" s="43">
        <f>IF($I4136=0,0,$Q4135+$P4136+$O4136)</f>
      </c>
      <c r="R4136" s="43">
        <f>IF($I4136=0,0,$J4136-$M4136-$N4136)</f>
      </c>
    </row>
    <row r="4137">
      <c r="A4137"/>
      <c r="B4137">
        <v>9</v>
      </c>
      <c r="C4137" s="43">
        <f>INDEX(DarlObj,9)</f>
      </c>
      <c r="D4137">
        <v>294</v>
      </c>
      <c r="E4137" s="51">
        <f>IF(INDEX(DarlBelegt,9)=0,0,EOMONTH(INDEX(DarlAuszahlung,9),293)+1)</f>
      </c>
      <c r="F4137" s="43">
        <f>IF($E4137=0,0,YEAR($E4137))</f>
      </c>
      <c r="G4137" s="43">
        <f>IF(INDEX(DarlBindung,9)="",1,IF($E4137&lt;=INDEX(DarlBindung,9),1,0))</f>
      </c>
      <c r="H4137" s="43">
        <f>IF($G4137=1,INDEX(DarlSollzins,9),INDEX(DarlAnschluss,9))</f>
      </c>
      <c r="I4137" s="43">
        <f>IF(INDEX(DarlBelegt,9)=0,0,IF(INDEX(DarlOhneTilgung,9)=1,IF(INDEX(DarlBindung,9)="",1,$G4137),IF($J4137&gt;0.005,1,0)))</f>
      </c>
      <c r="J4137" s="43">
        <f>IF($I4136=0,0,$R4136)</f>
      </c>
      <c r="K4137" s="43">
        <f>IF($I4137=0,0,IF(INDEX(DarlOhneTilgung,9)=1,0,IF(AND(INDEX(DarlTilgStart,9)&gt;0,$E4137=INDEX(DarlTilgStart,9)),$J4137*($H4137+INDEX(DarlTilgung,9))/100/12,IF(AND($G4137=0,$G4136=1),MAX($K4136,$J4137*($H4137+1)/100/12),$K4136))))</f>
      </c>
      <c r="L4137" s="43">
        <f>IF($I4137=0,0,$J4137*$H4137/100/12)</f>
      </c>
      <c r="M4137" s="43">
        <f>IF($I4137=0,0,IF(OR(INDEX(DarlOhneTilgung,9)=1,AND(INDEX(DarlTilgStart,9)&gt;0,$E4137&lt;INDEX(DarlTilgStart,9))),0,MIN(MAX(0,$K4137-$L4137),$J4137)))</f>
      </c>
      <c r="N4137" s="43">
        <f>IF($I4137=0,0,MIN(SUMIFS(SondBetrag,SondDarl,9,SondDatum,"&gt;="&amp;$E4137,SondDatum,"&lt;="&amp;EOMONTH($E4137,0)),$J4137-$M4137))</f>
      </c>
      <c r="O4137" s="43">
        <f>IF($I4137=0,0,INDEX(DarlErsatzRate,9))</f>
      </c>
      <c r="P4137" s="43">
        <f>IF($I4137=0,0,$Q4136*INDEX(DarlErsatzZins,9))</f>
      </c>
      <c r="Q4137" s="43">
        <f>IF($I4137=0,0,$Q4136+$P4137+$O4137)</f>
      </c>
      <c r="R4137" s="43">
        <f>IF($I4137=0,0,$J4137-$M4137-$N4137)</f>
      </c>
    </row>
    <row r="4138">
      <c r="A4138"/>
      <c r="B4138">
        <v>9</v>
      </c>
      <c r="C4138" s="43">
        <f>INDEX(DarlObj,9)</f>
      </c>
      <c r="D4138">
        <v>295</v>
      </c>
      <c r="E4138" s="51">
        <f>IF(INDEX(DarlBelegt,9)=0,0,EOMONTH(INDEX(DarlAuszahlung,9),294)+1)</f>
      </c>
      <c r="F4138" s="43">
        <f>IF($E4138=0,0,YEAR($E4138))</f>
      </c>
      <c r="G4138" s="43">
        <f>IF(INDEX(DarlBindung,9)="",1,IF($E4138&lt;=INDEX(DarlBindung,9),1,0))</f>
      </c>
      <c r="H4138" s="43">
        <f>IF($G4138=1,INDEX(DarlSollzins,9),INDEX(DarlAnschluss,9))</f>
      </c>
      <c r="I4138" s="43">
        <f>IF(INDEX(DarlBelegt,9)=0,0,IF(INDEX(DarlOhneTilgung,9)=1,IF(INDEX(DarlBindung,9)="",1,$G4138),IF($J4138&gt;0.005,1,0)))</f>
      </c>
      <c r="J4138" s="43">
        <f>IF($I4137=0,0,$R4137)</f>
      </c>
      <c r="K4138" s="43">
        <f>IF($I4138=0,0,IF(INDEX(DarlOhneTilgung,9)=1,0,IF(AND(INDEX(DarlTilgStart,9)&gt;0,$E4138=INDEX(DarlTilgStart,9)),$J4138*($H4138+INDEX(DarlTilgung,9))/100/12,IF(AND($G4138=0,$G4137=1),MAX($K4137,$J4138*($H4138+1)/100/12),$K4137))))</f>
      </c>
      <c r="L4138" s="43">
        <f>IF($I4138=0,0,$J4138*$H4138/100/12)</f>
      </c>
      <c r="M4138" s="43">
        <f>IF($I4138=0,0,IF(OR(INDEX(DarlOhneTilgung,9)=1,AND(INDEX(DarlTilgStart,9)&gt;0,$E4138&lt;INDEX(DarlTilgStart,9))),0,MIN(MAX(0,$K4138-$L4138),$J4138)))</f>
      </c>
      <c r="N4138" s="43">
        <f>IF($I4138=0,0,MIN(SUMIFS(SondBetrag,SondDarl,9,SondDatum,"&gt;="&amp;$E4138,SondDatum,"&lt;="&amp;EOMONTH($E4138,0)),$J4138-$M4138))</f>
      </c>
      <c r="O4138" s="43">
        <f>IF($I4138=0,0,INDEX(DarlErsatzRate,9))</f>
      </c>
      <c r="P4138" s="43">
        <f>IF($I4138=0,0,$Q4137*INDEX(DarlErsatzZins,9))</f>
      </c>
      <c r="Q4138" s="43">
        <f>IF($I4138=0,0,$Q4137+$P4138+$O4138)</f>
      </c>
      <c r="R4138" s="43">
        <f>IF($I4138=0,0,$J4138-$M4138-$N4138)</f>
      </c>
    </row>
    <row r="4139">
      <c r="A4139"/>
      <c r="B4139">
        <v>9</v>
      </c>
      <c r="C4139" s="43">
        <f>INDEX(DarlObj,9)</f>
      </c>
      <c r="D4139">
        <v>296</v>
      </c>
      <c r="E4139" s="51">
        <f>IF(INDEX(DarlBelegt,9)=0,0,EOMONTH(INDEX(DarlAuszahlung,9),295)+1)</f>
      </c>
      <c r="F4139" s="43">
        <f>IF($E4139=0,0,YEAR($E4139))</f>
      </c>
      <c r="G4139" s="43">
        <f>IF(INDEX(DarlBindung,9)="",1,IF($E4139&lt;=INDEX(DarlBindung,9),1,0))</f>
      </c>
      <c r="H4139" s="43">
        <f>IF($G4139=1,INDEX(DarlSollzins,9),INDEX(DarlAnschluss,9))</f>
      </c>
      <c r="I4139" s="43">
        <f>IF(INDEX(DarlBelegt,9)=0,0,IF(INDEX(DarlOhneTilgung,9)=1,IF(INDEX(DarlBindung,9)="",1,$G4139),IF($J4139&gt;0.005,1,0)))</f>
      </c>
      <c r="J4139" s="43">
        <f>IF($I4138=0,0,$R4138)</f>
      </c>
      <c r="K4139" s="43">
        <f>IF($I4139=0,0,IF(INDEX(DarlOhneTilgung,9)=1,0,IF(AND(INDEX(DarlTilgStart,9)&gt;0,$E4139=INDEX(DarlTilgStart,9)),$J4139*($H4139+INDEX(DarlTilgung,9))/100/12,IF(AND($G4139=0,$G4138=1),MAX($K4138,$J4139*($H4139+1)/100/12),$K4138))))</f>
      </c>
      <c r="L4139" s="43">
        <f>IF($I4139=0,0,$J4139*$H4139/100/12)</f>
      </c>
      <c r="M4139" s="43">
        <f>IF($I4139=0,0,IF(OR(INDEX(DarlOhneTilgung,9)=1,AND(INDEX(DarlTilgStart,9)&gt;0,$E4139&lt;INDEX(DarlTilgStart,9))),0,MIN(MAX(0,$K4139-$L4139),$J4139)))</f>
      </c>
      <c r="N4139" s="43">
        <f>IF($I4139=0,0,MIN(SUMIFS(SondBetrag,SondDarl,9,SondDatum,"&gt;="&amp;$E4139,SondDatum,"&lt;="&amp;EOMONTH($E4139,0)),$J4139-$M4139))</f>
      </c>
      <c r="O4139" s="43">
        <f>IF($I4139=0,0,INDEX(DarlErsatzRate,9))</f>
      </c>
      <c r="P4139" s="43">
        <f>IF($I4139=0,0,$Q4138*INDEX(DarlErsatzZins,9))</f>
      </c>
      <c r="Q4139" s="43">
        <f>IF($I4139=0,0,$Q4138+$P4139+$O4139)</f>
      </c>
      <c r="R4139" s="43">
        <f>IF($I4139=0,0,$J4139-$M4139-$N4139)</f>
      </c>
    </row>
    <row r="4140">
      <c r="A4140"/>
      <c r="B4140">
        <v>9</v>
      </c>
      <c r="C4140" s="43">
        <f>INDEX(DarlObj,9)</f>
      </c>
      <c r="D4140">
        <v>297</v>
      </c>
      <c r="E4140" s="51">
        <f>IF(INDEX(DarlBelegt,9)=0,0,EOMONTH(INDEX(DarlAuszahlung,9),296)+1)</f>
      </c>
      <c r="F4140" s="43">
        <f>IF($E4140=0,0,YEAR($E4140))</f>
      </c>
      <c r="G4140" s="43">
        <f>IF(INDEX(DarlBindung,9)="",1,IF($E4140&lt;=INDEX(DarlBindung,9),1,0))</f>
      </c>
      <c r="H4140" s="43">
        <f>IF($G4140=1,INDEX(DarlSollzins,9),INDEX(DarlAnschluss,9))</f>
      </c>
      <c r="I4140" s="43">
        <f>IF(INDEX(DarlBelegt,9)=0,0,IF(INDEX(DarlOhneTilgung,9)=1,IF(INDEX(DarlBindung,9)="",1,$G4140),IF($J4140&gt;0.005,1,0)))</f>
      </c>
      <c r="J4140" s="43">
        <f>IF($I4139=0,0,$R4139)</f>
      </c>
      <c r="K4140" s="43">
        <f>IF($I4140=0,0,IF(INDEX(DarlOhneTilgung,9)=1,0,IF(AND(INDEX(DarlTilgStart,9)&gt;0,$E4140=INDEX(DarlTilgStart,9)),$J4140*($H4140+INDEX(DarlTilgung,9))/100/12,IF(AND($G4140=0,$G4139=1),MAX($K4139,$J4140*($H4140+1)/100/12),$K4139))))</f>
      </c>
      <c r="L4140" s="43">
        <f>IF($I4140=0,0,$J4140*$H4140/100/12)</f>
      </c>
      <c r="M4140" s="43">
        <f>IF($I4140=0,0,IF(OR(INDEX(DarlOhneTilgung,9)=1,AND(INDEX(DarlTilgStart,9)&gt;0,$E4140&lt;INDEX(DarlTilgStart,9))),0,MIN(MAX(0,$K4140-$L4140),$J4140)))</f>
      </c>
      <c r="N4140" s="43">
        <f>IF($I4140=0,0,MIN(SUMIFS(SondBetrag,SondDarl,9,SondDatum,"&gt;="&amp;$E4140,SondDatum,"&lt;="&amp;EOMONTH($E4140,0)),$J4140-$M4140))</f>
      </c>
      <c r="O4140" s="43">
        <f>IF($I4140=0,0,INDEX(DarlErsatzRate,9))</f>
      </c>
      <c r="P4140" s="43">
        <f>IF($I4140=0,0,$Q4139*INDEX(DarlErsatzZins,9))</f>
      </c>
      <c r="Q4140" s="43">
        <f>IF($I4140=0,0,$Q4139+$P4140+$O4140)</f>
      </c>
      <c r="R4140" s="43">
        <f>IF($I4140=0,0,$J4140-$M4140-$N4140)</f>
      </c>
    </row>
    <row r="4141">
      <c r="A4141"/>
      <c r="B4141">
        <v>9</v>
      </c>
      <c r="C4141" s="43">
        <f>INDEX(DarlObj,9)</f>
      </c>
      <c r="D4141">
        <v>298</v>
      </c>
      <c r="E4141" s="51">
        <f>IF(INDEX(DarlBelegt,9)=0,0,EOMONTH(INDEX(DarlAuszahlung,9),297)+1)</f>
      </c>
      <c r="F4141" s="43">
        <f>IF($E4141=0,0,YEAR($E4141))</f>
      </c>
      <c r="G4141" s="43">
        <f>IF(INDEX(DarlBindung,9)="",1,IF($E4141&lt;=INDEX(DarlBindung,9),1,0))</f>
      </c>
      <c r="H4141" s="43">
        <f>IF($G4141=1,INDEX(DarlSollzins,9),INDEX(DarlAnschluss,9))</f>
      </c>
      <c r="I4141" s="43">
        <f>IF(INDEX(DarlBelegt,9)=0,0,IF(INDEX(DarlOhneTilgung,9)=1,IF(INDEX(DarlBindung,9)="",1,$G4141),IF($J4141&gt;0.005,1,0)))</f>
      </c>
      <c r="J4141" s="43">
        <f>IF($I4140=0,0,$R4140)</f>
      </c>
      <c r="K4141" s="43">
        <f>IF($I4141=0,0,IF(INDEX(DarlOhneTilgung,9)=1,0,IF(AND(INDEX(DarlTilgStart,9)&gt;0,$E4141=INDEX(DarlTilgStart,9)),$J4141*($H4141+INDEX(DarlTilgung,9))/100/12,IF(AND($G4141=0,$G4140=1),MAX($K4140,$J4141*($H4141+1)/100/12),$K4140))))</f>
      </c>
      <c r="L4141" s="43">
        <f>IF($I4141=0,0,$J4141*$H4141/100/12)</f>
      </c>
      <c r="M4141" s="43">
        <f>IF($I4141=0,0,IF(OR(INDEX(DarlOhneTilgung,9)=1,AND(INDEX(DarlTilgStart,9)&gt;0,$E4141&lt;INDEX(DarlTilgStart,9))),0,MIN(MAX(0,$K4141-$L4141),$J4141)))</f>
      </c>
      <c r="N4141" s="43">
        <f>IF($I4141=0,0,MIN(SUMIFS(SondBetrag,SondDarl,9,SondDatum,"&gt;="&amp;$E4141,SondDatum,"&lt;="&amp;EOMONTH($E4141,0)),$J4141-$M4141))</f>
      </c>
      <c r="O4141" s="43">
        <f>IF($I4141=0,0,INDEX(DarlErsatzRate,9))</f>
      </c>
      <c r="P4141" s="43">
        <f>IF($I4141=0,0,$Q4140*INDEX(DarlErsatzZins,9))</f>
      </c>
      <c r="Q4141" s="43">
        <f>IF($I4141=0,0,$Q4140+$P4141+$O4141)</f>
      </c>
      <c r="R4141" s="43">
        <f>IF($I4141=0,0,$J4141-$M4141-$N4141)</f>
      </c>
    </row>
    <row r="4142">
      <c r="A4142"/>
      <c r="B4142">
        <v>9</v>
      </c>
      <c r="C4142" s="43">
        <f>INDEX(DarlObj,9)</f>
      </c>
      <c r="D4142">
        <v>299</v>
      </c>
      <c r="E4142" s="51">
        <f>IF(INDEX(DarlBelegt,9)=0,0,EOMONTH(INDEX(DarlAuszahlung,9),298)+1)</f>
      </c>
      <c r="F4142" s="43">
        <f>IF($E4142=0,0,YEAR($E4142))</f>
      </c>
      <c r="G4142" s="43">
        <f>IF(INDEX(DarlBindung,9)="",1,IF($E4142&lt;=INDEX(DarlBindung,9),1,0))</f>
      </c>
      <c r="H4142" s="43">
        <f>IF($G4142=1,INDEX(DarlSollzins,9),INDEX(DarlAnschluss,9))</f>
      </c>
      <c r="I4142" s="43">
        <f>IF(INDEX(DarlBelegt,9)=0,0,IF(INDEX(DarlOhneTilgung,9)=1,IF(INDEX(DarlBindung,9)="",1,$G4142),IF($J4142&gt;0.005,1,0)))</f>
      </c>
      <c r="J4142" s="43">
        <f>IF($I4141=0,0,$R4141)</f>
      </c>
      <c r="K4142" s="43">
        <f>IF($I4142=0,0,IF(INDEX(DarlOhneTilgung,9)=1,0,IF(AND(INDEX(DarlTilgStart,9)&gt;0,$E4142=INDEX(DarlTilgStart,9)),$J4142*($H4142+INDEX(DarlTilgung,9))/100/12,IF(AND($G4142=0,$G4141=1),MAX($K4141,$J4142*($H4142+1)/100/12),$K4141))))</f>
      </c>
      <c r="L4142" s="43">
        <f>IF($I4142=0,0,$J4142*$H4142/100/12)</f>
      </c>
      <c r="M4142" s="43">
        <f>IF($I4142=0,0,IF(OR(INDEX(DarlOhneTilgung,9)=1,AND(INDEX(DarlTilgStart,9)&gt;0,$E4142&lt;INDEX(DarlTilgStart,9))),0,MIN(MAX(0,$K4142-$L4142),$J4142)))</f>
      </c>
      <c r="N4142" s="43">
        <f>IF($I4142=0,0,MIN(SUMIFS(SondBetrag,SondDarl,9,SondDatum,"&gt;="&amp;$E4142,SondDatum,"&lt;="&amp;EOMONTH($E4142,0)),$J4142-$M4142))</f>
      </c>
      <c r="O4142" s="43">
        <f>IF($I4142=0,0,INDEX(DarlErsatzRate,9))</f>
      </c>
      <c r="P4142" s="43">
        <f>IF($I4142=0,0,$Q4141*INDEX(DarlErsatzZins,9))</f>
      </c>
      <c r="Q4142" s="43">
        <f>IF($I4142=0,0,$Q4141+$P4142+$O4142)</f>
      </c>
      <c r="R4142" s="43">
        <f>IF($I4142=0,0,$J4142-$M4142-$N4142)</f>
      </c>
    </row>
    <row r="4143">
      <c r="A4143"/>
      <c r="B4143">
        <v>9</v>
      </c>
      <c r="C4143" s="43">
        <f>INDEX(DarlObj,9)</f>
      </c>
      <c r="D4143">
        <v>300</v>
      </c>
      <c r="E4143" s="51">
        <f>IF(INDEX(DarlBelegt,9)=0,0,EOMONTH(INDEX(DarlAuszahlung,9),299)+1)</f>
      </c>
      <c r="F4143" s="43">
        <f>IF($E4143=0,0,YEAR($E4143))</f>
      </c>
      <c r="G4143" s="43">
        <f>IF(INDEX(DarlBindung,9)="",1,IF($E4143&lt;=INDEX(DarlBindung,9),1,0))</f>
      </c>
      <c r="H4143" s="43">
        <f>IF($G4143=1,INDEX(DarlSollzins,9),INDEX(DarlAnschluss,9))</f>
      </c>
      <c r="I4143" s="43">
        <f>IF(INDEX(DarlBelegt,9)=0,0,IF(INDEX(DarlOhneTilgung,9)=1,IF(INDEX(DarlBindung,9)="",1,$G4143),IF($J4143&gt;0.005,1,0)))</f>
      </c>
      <c r="J4143" s="43">
        <f>IF($I4142=0,0,$R4142)</f>
      </c>
      <c r="K4143" s="43">
        <f>IF($I4143=0,0,IF(INDEX(DarlOhneTilgung,9)=1,0,IF(AND(INDEX(DarlTilgStart,9)&gt;0,$E4143=INDEX(DarlTilgStart,9)),$J4143*($H4143+INDEX(DarlTilgung,9))/100/12,IF(AND($G4143=0,$G4142=1),MAX($K4142,$J4143*($H4143+1)/100/12),$K4142))))</f>
      </c>
      <c r="L4143" s="43">
        <f>IF($I4143=0,0,$J4143*$H4143/100/12)</f>
      </c>
      <c r="M4143" s="43">
        <f>IF($I4143=0,0,IF(OR(INDEX(DarlOhneTilgung,9)=1,AND(INDEX(DarlTilgStart,9)&gt;0,$E4143&lt;INDEX(DarlTilgStart,9))),0,MIN(MAX(0,$K4143-$L4143),$J4143)))</f>
      </c>
      <c r="N4143" s="43">
        <f>IF($I4143=0,0,MIN(SUMIFS(SondBetrag,SondDarl,9,SondDatum,"&gt;="&amp;$E4143,SondDatum,"&lt;="&amp;EOMONTH($E4143,0)),$J4143-$M4143))</f>
      </c>
      <c r="O4143" s="43">
        <f>IF($I4143=0,0,INDEX(DarlErsatzRate,9))</f>
      </c>
      <c r="P4143" s="43">
        <f>IF($I4143=0,0,$Q4142*INDEX(DarlErsatzZins,9))</f>
      </c>
      <c r="Q4143" s="43">
        <f>IF($I4143=0,0,$Q4142+$P4143+$O4143)</f>
      </c>
      <c r="R4143" s="43">
        <f>IF($I4143=0,0,$J4143-$M4143-$N4143)</f>
      </c>
    </row>
    <row r="4144">
      <c r="A4144"/>
      <c r="B4144">
        <v>9</v>
      </c>
      <c r="C4144" s="43">
        <f>INDEX(DarlObj,9)</f>
      </c>
      <c r="D4144">
        <v>301</v>
      </c>
      <c r="E4144" s="51">
        <f>IF(INDEX(DarlBelegt,9)=0,0,EOMONTH(INDEX(DarlAuszahlung,9),300)+1)</f>
      </c>
      <c r="F4144" s="43">
        <f>IF($E4144=0,0,YEAR($E4144))</f>
      </c>
      <c r="G4144" s="43">
        <f>IF(INDEX(DarlBindung,9)="",1,IF($E4144&lt;=INDEX(DarlBindung,9),1,0))</f>
      </c>
      <c r="H4144" s="43">
        <f>IF($G4144=1,INDEX(DarlSollzins,9),INDEX(DarlAnschluss,9))</f>
      </c>
      <c r="I4144" s="43">
        <f>IF(INDEX(DarlBelegt,9)=0,0,IF(INDEX(DarlOhneTilgung,9)=1,IF(INDEX(DarlBindung,9)="",1,$G4144),IF($J4144&gt;0.005,1,0)))</f>
      </c>
      <c r="J4144" s="43">
        <f>IF($I4143=0,0,$R4143)</f>
      </c>
      <c r="K4144" s="43">
        <f>IF($I4144=0,0,IF(INDEX(DarlOhneTilgung,9)=1,0,IF(AND(INDEX(DarlTilgStart,9)&gt;0,$E4144=INDEX(DarlTilgStart,9)),$J4144*($H4144+INDEX(DarlTilgung,9))/100/12,IF(AND($G4144=0,$G4143=1),MAX($K4143,$J4144*($H4144+1)/100/12),$K4143))))</f>
      </c>
      <c r="L4144" s="43">
        <f>IF($I4144=0,0,$J4144*$H4144/100/12)</f>
      </c>
      <c r="M4144" s="43">
        <f>IF($I4144=0,0,IF(OR(INDEX(DarlOhneTilgung,9)=1,AND(INDEX(DarlTilgStart,9)&gt;0,$E4144&lt;INDEX(DarlTilgStart,9))),0,MIN(MAX(0,$K4144-$L4144),$J4144)))</f>
      </c>
      <c r="N4144" s="43">
        <f>IF($I4144=0,0,MIN(SUMIFS(SondBetrag,SondDarl,9,SondDatum,"&gt;="&amp;$E4144,SondDatum,"&lt;="&amp;EOMONTH($E4144,0)),$J4144-$M4144))</f>
      </c>
      <c r="O4144" s="43">
        <f>IF($I4144=0,0,INDEX(DarlErsatzRate,9))</f>
      </c>
      <c r="P4144" s="43">
        <f>IF($I4144=0,0,$Q4143*INDEX(DarlErsatzZins,9))</f>
      </c>
      <c r="Q4144" s="43">
        <f>IF($I4144=0,0,$Q4143+$P4144+$O4144)</f>
      </c>
      <c r="R4144" s="43">
        <f>IF($I4144=0,0,$J4144-$M4144-$N4144)</f>
      </c>
    </row>
    <row r="4145">
      <c r="A4145"/>
      <c r="B4145">
        <v>9</v>
      </c>
      <c r="C4145" s="43">
        <f>INDEX(DarlObj,9)</f>
      </c>
      <c r="D4145">
        <v>302</v>
      </c>
      <c r="E4145" s="51">
        <f>IF(INDEX(DarlBelegt,9)=0,0,EOMONTH(INDEX(DarlAuszahlung,9),301)+1)</f>
      </c>
      <c r="F4145" s="43">
        <f>IF($E4145=0,0,YEAR($E4145))</f>
      </c>
      <c r="G4145" s="43">
        <f>IF(INDEX(DarlBindung,9)="",1,IF($E4145&lt;=INDEX(DarlBindung,9),1,0))</f>
      </c>
      <c r="H4145" s="43">
        <f>IF($G4145=1,INDEX(DarlSollzins,9),INDEX(DarlAnschluss,9))</f>
      </c>
      <c r="I4145" s="43">
        <f>IF(INDEX(DarlBelegt,9)=0,0,IF(INDEX(DarlOhneTilgung,9)=1,IF(INDEX(DarlBindung,9)="",1,$G4145),IF($J4145&gt;0.005,1,0)))</f>
      </c>
      <c r="J4145" s="43">
        <f>IF($I4144=0,0,$R4144)</f>
      </c>
      <c r="K4145" s="43">
        <f>IF($I4145=0,0,IF(INDEX(DarlOhneTilgung,9)=1,0,IF(AND(INDEX(DarlTilgStart,9)&gt;0,$E4145=INDEX(DarlTilgStart,9)),$J4145*($H4145+INDEX(DarlTilgung,9))/100/12,IF(AND($G4145=0,$G4144=1),MAX($K4144,$J4145*($H4145+1)/100/12),$K4144))))</f>
      </c>
      <c r="L4145" s="43">
        <f>IF($I4145=0,0,$J4145*$H4145/100/12)</f>
      </c>
      <c r="M4145" s="43">
        <f>IF($I4145=0,0,IF(OR(INDEX(DarlOhneTilgung,9)=1,AND(INDEX(DarlTilgStart,9)&gt;0,$E4145&lt;INDEX(DarlTilgStart,9))),0,MIN(MAX(0,$K4145-$L4145),$J4145)))</f>
      </c>
      <c r="N4145" s="43">
        <f>IF($I4145=0,0,MIN(SUMIFS(SondBetrag,SondDarl,9,SondDatum,"&gt;="&amp;$E4145,SondDatum,"&lt;="&amp;EOMONTH($E4145,0)),$J4145-$M4145))</f>
      </c>
      <c r="O4145" s="43">
        <f>IF($I4145=0,0,INDEX(DarlErsatzRate,9))</f>
      </c>
      <c r="P4145" s="43">
        <f>IF($I4145=0,0,$Q4144*INDEX(DarlErsatzZins,9))</f>
      </c>
      <c r="Q4145" s="43">
        <f>IF($I4145=0,0,$Q4144+$P4145+$O4145)</f>
      </c>
      <c r="R4145" s="43">
        <f>IF($I4145=0,0,$J4145-$M4145-$N4145)</f>
      </c>
    </row>
    <row r="4146">
      <c r="A4146"/>
      <c r="B4146">
        <v>9</v>
      </c>
      <c r="C4146" s="43">
        <f>INDEX(DarlObj,9)</f>
      </c>
      <c r="D4146">
        <v>303</v>
      </c>
      <c r="E4146" s="51">
        <f>IF(INDEX(DarlBelegt,9)=0,0,EOMONTH(INDEX(DarlAuszahlung,9),302)+1)</f>
      </c>
      <c r="F4146" s="43">
        <f>IF($E4146=0,0,YEAR($E4146))</f>
      </c>
      <c r="G4146" s="43">
        <f>IF(INDEX(DarlBindung,9)="",1,IF($E4146&lt;=INDEX(DarlBindung,9),1,0))</f>
      </c>
      <c r="H4146" s="43">
        <f>IF($G4146=1,INDEX(DarlSollzins,9),INDEX(DarlAnschluss,9))</f>
      </c>
      <c r="I4146" s="43">
        <f>IF(INDEX(DarlBelegt,9)=0,0,IF(INDEX(DarlOhneTilgung,9)=1,IF(INDEX(DarlBindung,9)="",1,$G4146),IF($J4146&gt;0.005,1,0)))</f>
      </c>
      <c r="J4146" s="43">
        <f>IF($I4145=0,0,$R4145)</f>
      </c>
      <c r="K4146" s="43">
        <f>IF($I4146=0,0,IF(INDEX(DarlOhneTilgung,9)=1,0,IF(AND(INDEX(DarlTilgStart,9)&gt;0,$E4146=INDEX(DarlTilgStart,9)),$J4146*($H4146+INDEX(DarlTilgung,9))/100/12,IF(AND($G4146=0,$G4145=1),MAX($K4145,$J4146*($H4146+1)/100/12),$K4145))))</f>
      </c>
      <c r="L4146" s="43">
        <f>IF($I4146=0,0,$J4146*$H4146/100/12)</f>
      </c>
      <c r="M4146" s="43">
        <f>IF($I4146=0,0,IF(OR(INDEX(DarlOhneTilgung,9)=1,AND(INDEX(DarlTilgStart,9)&gt;0,$E4146&lt;INDEX(DarlTilgStart,9))),0,MIN(MAX(0,$K4146-$L4146),$J4146)))</f>
      </c>
      <c r="N4146" s="43">
        <f>IF($I4146=0,0,MIN(SUMIFS(SondBetrag,SondDarl,9,SondDatum,"&gt;="&amp;$E4146,SondDatum,"&lt;="&amp;EOMONTH($E4146,0)),$J4146-$M4146))</f>
      </c>
      <c r="O4146" s="43">
        <f>IF($I4146=0,0,INDEX(DarlErsatzRate,9))</f>
      </c>
      <c r="P4146" s="43">
        <f>IF($I4146=0,0,$Q4145*INDEX(DarlErsatzZins,9))</f>
      </c>
      <c r="Q4146" s="43">
        <f>IF($I4146=0,0,$Q4145+$P4146+$O4146)</f>
      </c>
      <c r="R4146" s="43">
        <f>IF($I4146=0,0,$J4146-$M4146-$N4146)</f>
      </c>
    </row>
    <row r="4147">
      <c r="A4147"/>
      <c r="B4147">
        <v>9</v>
      </c>
      <c r="C4147" s="43">
        <f>INDEX(DarlObj,9)</f>
      </c>
      <c r="D4147">
        <v>304</v>
      </c>
      <c r="E4147" s="51">
        <f>IF(INDEX(DarlBelegt,9)=0,0,EOMONTH(INDEX(DarlAuszahlung,9),303)+1)</f>
      </c>
      <c r="F4147" s="43">
        <f>IF($E4147=0,0,YEAR($E4147))</f>
      </c>
      <c r="G4147" s="43">
        <f>IF(INDEX(DarlBindung,9)="",1,IF($E4147&lt;=INDEX(DarlBindung,9),1,0))</f>
      </c>
      <c r="H4147" s="43">
        <f>IF($G4147=1,INDEX(DarlSollzins,9),INDEX(DarlAnschluss,9))</f>
      </c>
      <c r="I4147" s="43">
        <f>IF(INDEX(DarlBelegt,9)=0,0,IF(INDEX(DarlOhneTilgung,9)=1,IF(INDEX(DarlBindung,9)="",1,$G4147),IF($J4147&gt;0.005,1,0)))</f>
      </c>
      <c r="J4147" s="43">
        <f>IF($I4146=0,0,$R4146)</f>
      </c>
      <c r="K4147" s="43">
        <f>IF($I4147=0,0,IF(INDEX(DarlOhneTilgung,9)=1,0,IF(AND(INDEX(DarlTilgStart,9)&gt;0,$E4147=INDEX(DarlTilgStart,9)),$J4147*($H4147+INDEX(DarlTilgung,9))/100/12,IF(AND($G4147=0,$G4146=1),MAX($K4146,$J4147*($H4147+1)/100/12),$K4146))))</f>
      </c>
      <c r="L4147" s="43">
        <f>IF($I4147=0,0,$J4147*$H4147/100/12)</f>
      </c>
      <c r="M4147" s="43">
        <f>IF($I4147=0,0,IF(OR(INDEX(DarlOhneTilgung,9)=1,AND(INDEX(DarlTilgStart,9)&gt;0,$E4147&lt;INDEX(DarlTilgStart,9))),0,MIN(MAX(0,$K4147-$L4147),$J4147)))</f>
      </c>
      <c r="N4147" s="43">
        <f>IF($I4147=0,0,MIN(SUMIFS(SondBetrag,SondDarl,9,SondDatum,"&gt;="&amp;$E4147,SondDatum,"&lt;="&amp;EOMONTH($E4147,0)),$J4147-$M4147))</f>
      </c>
      <c r="O4147" s="43">
        <f>IF($I4147=0,0,INDEX(DarlErsatzRate,9))</f>
      </c>
      <c r="P4147" s="43">
        <f>IF($I4147=0,0,$Q4146*INDEX(DarlErsatzZins,9))</f>
      </c>
      <c r="Q4147" s="43">
        <f>IF($I4147=0,0,$Q4146+$P4147+$O4147)</f>
      </c>
      <c r="R4147" s="43">
        <f>IF($I4147=0,0,$J4147-$M4147-$N4147)</f>
      </c>
    </row>
    <row r="4148">
      <c r="A4148"/>
      <c r="B4148">
        <v>9</v>
      </c>
      <c r="C4148" s="43">
        <f>INDEX(DarlObj,9)</f>
      </c>
      <c r="D4148">
        <v>305</v>
      </c>
      <c r="E4148" s="51">
        <f>IF(INDEX(DarlBelegt,9)=0,0,EOMONTH(INDEX(DarlAuszahlung,9),304)+1)</f>
      </c>
      <c r="F4148" s="43">
        <f>IF($E4148=0,0,YEAR($E4148))</f>
      </c>
      <c r="G4148" s="43">
        <f>IF(INDEX(DarlBindung,9)="",1,IF($E4148&lt;=INDEX(DarlBindung,9),1,0))</f>
      </c>
      <c r="H4148" s="43">
        <f>IF($G4148=1,INDEX(DarlSollzins,9),INDEX(DarlAnschluss,9))</f>
      </c>
      <c r="I4148" s="43">
        <f>IF(INDEX(DarlBelegt,9)=0,0,IF(INDEX(DarlOhneTilgung,9)=1,IF(INDEX(DarlBindung,9)="",1,$G4148),IF($J4148&gt;0.005,1,0)))</f>
      </c>
      <c r="J4148" s="43">
        <f>IF($I4147=0,0,$R4147)</f>
      </c>
      <c r="K4148" s="43">
        <f>IF($I4148=0,0,IF(INDEX(DarlOhneTilgung,9)=1,0,IF(AND(INDEX(DarlTilgStart,9)&gt;0,$E4148=INDEX(DarlTilgStart,9)),$J4148*($H4148+INDEX(DarlTilgung,9))/100/12,IF(AND($G4148=0,$G4147=1),MAX($K4147,$J4148*($H4148+1)/100/12),$K4147))))</f>
      </c>
      <c r="L4148" s="43">
        <f>IF($I4148=0,0,$J4148*$H4148/100/12)</f>
      </c>
      <c r="M4148" s="43">
        <f>IF($I4148=0,0,IF(OR(INDEX(DarlOhneTilgung,9)=1,AND(INDEX(DarlTilgStart,9)&gt;0,$E4148&lt;INDEX(DarlTilgStart,9))),0,MIN(MAX(0,$K4148-$L4148),$J4148)))</f>
      </c>
      <c r="N4148" s="43">
        <f>IF($I4148=0,0,MIN(SUMIFS(SondBetrag,SondDarl,9,SondDatum,"&gt;="&amp;$E4148,SondDatum,"&lt;="&amp;EOMONTH($E4148,0)),$J4148-$M4148))</f>
      </c>
      <c r="O4148" s="43">
        <f>IF($I4148=0,0,INDEX(DarlErsatzRate,9))</f>
      </c>
      <c r="P4148" s="43">
        <f>IF($I4148=0,0,$Q4147*INDEX(DarlErsatzZins,9))</f>
      </c>
      <c r="Q4148" s="43">
        <f>IF($I4148=0,0,$Q4147+$P4148+$O4148)</f>
      </c>
      <c r="R4148" s="43">
        <f>IF($I4148=0,0,$J4148-$M4148-$N4148)</f>
      </c>
    </row>
    <row r="4149">
      <c r="A4149"/>
      <c r="B4149">
        <v>9</v>
      </c>
      <c r="C4149" s="43">
        <f>INDEX(DarlObj,9)</f>
      </c>
      <c r="D4149">
        <v>306</v>
      </c>
      <c r="E4149" s="51">
        <f>IF(INDEX(DarlBelegt,9)=0,0,EOMONTH(INDEX(DarlAuszahlung,9),305)+1)</f>
      </c>
      <c r="F4149" s="43">
        <f>IF($E4149=0,0,YEAR($E4149))</f>
      </c>
      <c r="G4149" s="43">
        <f>IF(INDEX(DarlBindung,9)="",1,IF($E4149&lt;=INDEX(DarlBindung,9),1,0))</f>
      </c>
      <c r="H4149" s="43">
        <f>IF($G4149=1,INDEX(DarlSollzins,9),INDEX(DarlAnschluss,9))</f>
      </c>
      <c r="I4149" s="43">
        <f>IF(INDEX(DarlBelegt,9)=0,0,IF(INDEX(DarlOhneTilgung,9)=1,IF(INDEX(DarlBindung,9)="",1,$G4149),IF($J4149&gt;0.005,1,0)))</f>
      </c>
      <c r="J4149" s="43">
        <f>IF($I4148=0,0,$R4148)</f>
      </c>
      <c r="K4149" s="43">
        <f>IF($I4149=0,0,IF(INDEX(DarlOhneTilgung,9)=1,0,IF(AND(INDEX(DarlTilgStart,9)&gt;0,$E4149=INDEX(DarlTilgStart,9)),$J4149*($H4149+INDEX(DarlTilgung,9))/100/12,IF(AND($G4149=0,$G4148=1),MAX($K4148,$J4149*($H4149+1)/100/12),$K4148))))</f>
      </c>
      <c r="L4149" s="43">
        <f>IF($I4149=0,0,$J4149*$H4149/100/12)</f>
      </c>
      <c r="M4149" s="43">
        <f>IF($I4149=0,0,IF(OR(INDEX(DarlOhneTilgung,9)=1,AND(INDEX(DarlTilgStart,9)&gt;0,$E4149&lt;INDEX(DarlTilgStart,9))),0,MIN(MAX(0,$K4149-$L4149),$J4149)))</f>
      </c>
      <c r="N4149" s="43">
        <f>IF($I4149=0,0,MIN(SUMIFS(SondBetrag,SondDarl,9,SondDatum,"&gt;="&amp;$E4149,SondDatum,"&lt;="&amp;EOMONTH($E4149,0)),$J4149-$M4149))</f>
      </c>
      <c r="O4149" s="43">
        <f>IF($I4149=0,0,INDEX(DarlErsatzRate,9))</f>
      </c>
      <c r="P4149" s="43">
        <f>IF($I4149=0,0,$Q4148*INDEX(DarlErsatzZins,9))</f>
      </c>
      <c r="Q4149" s="43">
        <f>IF($I4149=0,0,$Q4148+$P4149+$O4149)</f>
      </c>
      <c r="R4149" s="43">
        <f>IF($I4149=0,0,$J4149-$M4149-$N4149)</f>
      </c>
    </row>
    <row r="4150">
      <c r="A4150"/>
      <c r="B4150">
        <v>9</v>
      </c>
      <c r="C4150" s="43">
        <f>INDEX(DarlObj,9)</f>
      </c>
      <c r="D4150">
        <v>307</v>
      </c>
      <c r="E4150" s="51">
        <f>IF(INDEX(DarlBelegt,9)=0,0,EOMONTH(INDEX(DarlAuszahlung,9),306)+1)</f>
      </c>
      <c r="F4150" s="43">
        <f>IF($E4150=0,0,YEAR($E4150))</f>
      </c>
      <c r="G4150" s="43">
        <f>IF(INDEX(DarlBindung,9)="",1,IF($E4150&lt;=INDEX(DarlBindung,9),1,0))</f>
      </c>
      <c r="H4150" s="43">
        <f>IF($G4150=1,INDEX(DarlSollzins,9),INDEX(DarlAnschluss,9))</f>
      </c>
      <c r="I4150" s="43">
        <f>IF(INDEX(DarlBelegt,9)=0,0,IF(INDEX(DarlOhneTilgung,9)=1,IF(INDEX(DarlBindung,9)="",1,$G4150),IF($J4150&gt;0.005,1,0)))</f>
      </c>
      <c r="J4150" s="43">
        <f>IF($I4149=0,0,$R4149)</f>
      </c>
      <c r="K4150" s="43">
        <f>IF($I4150=0,0,IF(INDEX(DarlOhneTilgung,9)=1,0,IF(AND(INDEX(DarlTilgStart,9)&gt;0,$E4150=INDEX(DarlTilgStart,9)),$J4150*($H4150+INDEX(DarlTilgung,9))/100/12,IF(AND($G4150=0,$G4149=1),MAX($K4149,$J4150*($H4150+1)/100/12),$K4149))))</f>
      </c>
      <c r="L4150" s="43">
        <f>IF($I4150=0,0,$J4150*$H4150/100/12)</f>
      </c>
      <c r="M4150" s="43">
        <f>IF($I4150=0,0,IF(OR(INDEX(DarlOhneTilgung,9)=1,AND(INDEX(DarlTilgStart,9)&gt;0,$E4150&lt;INDEX(DarlTilgStart,9))),0,MIN(MAX(0,$K4150-$L4150),$J4150)))</f>
      </c>
      <c r="N4150" s="43">
        <f>IF($I4150=0,0,MIN(SUMIFS(SondBetrag,SondDarl,9,SondDatum,"&gt;="&amp;$E4150,SondDatum,"&lt;="&amp;EOMONTH($E4150,0)),$J4150-$M4150))</f>
      </c>
      <c r="O4150" s="43">
        <f>IF($I4150=0,0,INDEX(DarlErsatzRate,9))</f>
      </c>
      <c r="P4150" s="43">
        <f>IF($I4150=0,0,$Q4149*INDEX(DarlErsatzZins,9))</f>
      </c>
      <c r="Q4150" s="43">
        <f>IF($I4150=0,0,$Q4149+$P4150+$O4150)</f>
      </c>
      <c r="R4150" s="43">
        <f>IF($I4150=0,0,$J4150-$M4150-$N4150)</f>
      </c>
    </row>
    <row r="4151">
      <c r="A4151"/>
      <c r="B4151">
        <v>9</v>
      </c>
      <c r="C4151" s="43">
        <f>INDEX(DarlObj,9)</f>
      </c>
      <c r="D4151">
        <v>308</v>
      </c>
      <c r="E4151" s="51">
        <f>IF(INDEX(DarlBelegt,9)=0,0,EOMONTH(INDEX(DarlAuszahlung,9),307)+1)</f>
      </c>
      <c r="F4151" s="43">
        <f>IF($E4151=0,0,YEAR($E4151))</f>
      </c>
      <c r="G4151" s="43">
        <f>IF(INDEX(DarlBindung,9)="",1,IF($E4151&lt;=INDEX(DarlBindung,9),1,0))</f>
      </c>
      <c r="H4151" s="43">
        <f>IF($G4151=1,INDEX(DarlSollzins,9),INDEX(DarlAnschluss,9))</f>
      </c>
      <c r="I4151" s="43">
        <f>IF(INDEX(DarlBelegt,9)=0,0,IF(INDEX(DarlOhneTilgung,9)=1,IF(INDEX(DarlBindung,9)="",1,$G4151),IF($J4151&gt;0.005,1,0)))</f>
      </c>
      <c r="J4151" s="43">
        <f>IF($I4150=0,0,$R4150)</f>
      </c>
      <c r="K4151" s="43">
        <f>IF($I4151=0,0,IF(INDEX(DarlOhneTilgung,9)=1,0,IF(AND(INDEX(DarlTilgStart,9)&gt;0,$E4151=INDEX(DarlTilgStart,9)),$J4151*($H4151+INDEX(DarlTilgung,9))/100/12,IF(AND($G4151=0,$G4150=1),MAX($K4150,$J4151*($H4151+1)/100/12),$K4150))))</f>
      </c>
      <c r="L4151" s="43">
        <f>IF($I4151=0,0,$J4151*$H4151/100/12)</f>
      </c>
      <c r="M4151" s="43">
        <f>IF($I4151=0,0,IF(OR(INDEX(DarlOhneTilgung,9)=1,AND(INDEX(DarlTilgStart,9)&gt;0,$E4151&lt;INDEX(DarlTilgStart,9))),0,MIN(MAX(0,$K4151-$L4151),$J4151)))</f>
      </c>
      <c r="N4151" s="43">
        <f>IF($I4151=0,0,MIN(SUMIFS(SondBetrag,SondDarl,9,SondDatum,"&gt;="&amp;$E4151,SondDatum,"&lt;="&amp;EOMONTH($E4151,0)),$J4151-$M4151))</f>
      </c>
      <c r="O4151" s="43">
        <f>IF($I4151=0,0,INDEX(DarlErsatzRate,9))</f>
      </c>
      <c r="P4151" s="43">
        <f>IF($I4151=0,0,$Q4150*INDEX(DarlErsatzZins,9))</f>
      </c>
      <c r="Q4151" s="43">
        <f>IF($I4151=0,0,$Q4150+$P4151+$O4151)</f>
      </c>
      <c r="R4151" s="43">
        <f>IF($I4151=0,0,$J4151-$M4151-$N4151)</f>
      </c>
    </row>
    <row r="4152">
      <c r="A4152"/>
      <c r="B4152">
        <v>9</v>
      </c>
      <c r="C4152" s="43">
        <f>INDEX(DarlObj,9)</f>
      </c>
      <c r="D4152">
        <v>309</v>
      </c>
      <c r="E4152" s="51">
        <f>IF(INDEX(DarlBelegt,9)=0,0,EOMONTH(INDEX(DarlAuszahlung,9),308)+1)</f>
      </c>
      <c r="F4152" s="43">
        <f>IF($E4152=0,0,YEAR($E4152))</f>
      </c>
      <c r="G4152" s="43">
        <f>IF(INDEX(DarlBindung,9)="",1,IF($E4152&lt;=INDEX(DarlBindung,9),1,0))</f>
      </c>
      <c r="H4152" s="43">
        <f>IF($G4152=1,INDEX(DarlSollzins,9),INDEX(DarlAnschluss,9))</f>
      </c>
      <c r="I4152" s="43">
        <f>IF(INDEX(DarlBelegt,9)=0,0,IF(INDEX(DarlOhneTilgung,9)=1,IF(INDEX(DarlBindung,9)="",1,$G4152),IF($J4152&gt;0.005,1,0)))</f>
      </c>
      <c r="J4152" s="43">
        <f>IF($I4151=0,0,$R4151)</f>
      </c>
      <c r="K4152" s="43">
        <f>IF($I4152=0,0,IF(INDEX(DarlOhneTilgung,9)=1,0,IF(AND(INDEX(DarlTilgStart,9)&gt;0,$E4152=INDEX(DarlTilgStart,9)),$J4152*($H4152+INDEX(DarlTilgung,9))/100/12,IF(AND($G4152=0,$G4151=1),MAX($K4151,$J4152*($H4152+1)/100/12),$K4151))))</f>
      </c>
      <c r="L4152" s="43">
        <f>IF($I4152=0,0,$J4152*$H4152/100/12)</f>
      </c>
      <c r="M4152" s="43">
        <f>IF($I4152=0,0,IF(OR(INDEX(DarlOhneTilgung,9)=1,AND(INDEX(DarlTilgStart,9)&gt;0,$E4152&lt;INDEX(DarlTilgStart,9))),0,MIN(MAX(0,$K4152-$L4152),$J4152)))</f>
      </c>
      <c r="N4152" s="43">
        <f>IF($I4152=0,0,MIN(SUMIFS(SondBetrag,SondDarl,9,SondDatum,"&gt;="&amp;$E4152,SondDatum,"&lt;="&amp;EOMONTH($E4152,0)),$J4152-$M4152))</f>
      </c>
      <c r="O4152" s="43">
        <f>IF($I4152=0,0,INDEX(DarlErsatzRate,9))</f>
      </c>
      <c r="P4152" s="43">
        <f>IF($I4152=0,0,$Q4151*INDEX(DarlErsatzZins,9))</f>
      </c>
      <c r="Q4152" s="43">
        <f>IF($I4152=0,0,$Q4151+$P4152+$O4152)</f>
      </c>
      <c r="R4152" s="43">
        <f>IF($I4152=0,0,$J4152-$M4152-$N4152)</f>
      </c>
    </row>
    <row r="4153">
      <c r="A4153"/>
      <c r="B4153">
        <v>9</v>
      </c>
      <c r="C4153" s="43">
        <f>INDEX(DarlObj,9)</f>
      </c>
      <c r="D4153">
        <v>310</v>
      </c>
      <c r="E4153" s="51">
        <f>IF(INDEX(DarlBelegt,9)=0,0,EOMONTH(INDEX(DarlAuszahlung,9),309)+1)</f>
      </c>
      <c r="F4153" s="43">
        <f>IF($E4153=0,0,YEAR($E4153))</f>
      </c>
      <c r="G4153" s="43">
        <f>IF(INDEX(DarlBindung,9)="",1,IF($E4153&lt;=INDEX(DarlBindung,9),1,0))</f>
      </c>
      <c r="H4153" s="43">
        <f>IF($G4153=1,INDEX(DarlSollzins,9),INDEX(DarlAnschluss,9))</f>
      </c>
      <c r="I4153" s="43">
        <f>IF(INDEX(DarlBelegt,9)=0,0,IF(INDEX(DarlOhneTilgung,9)=1,IF(INDEX(DarlBindung,9)="",1,$G4153),IF($J4153&gt;0.005,1,0)))</f>
      </c>
      <c r="J4153" s="43">
        <f>IF($I4152=0,0,$R4152)</f>
      </c>
      <c r="K4153" s="43">
        <f>IF($I4153=0,0,IF(INDEX(DarlOhneTilgung,9)=1,0,IF(AND(INDEX(DarlTilgStart,9)&gt;0,$E4153=INDEX(DarlTilgStart,9)),$J4153*($H4153+INDEX(DarlTilgung,9))/100/12,IF(AND($G4153=0,$G4152=1),MAX($K4152,$J4153*($H4153+1)/100/12),$K4152))))</f>
      </c>
      <c r="L4153" s="43">
        <f>IF($I4153=0,0,$J4153*$H4153/100/12)</f>
      </c>
      <c r="M4153" s="43">
        <f>IF($I4153=0,0,IF(OR(INDEX(DarlOhneTilgung,9)=1,AND(INDEX(DarlTilgStart,9)&gt;0,$E4153&lt;INDEX(DarlTilgStart,9))),0,MIN(MAX(0,$K4153-$L4153),$J4153)))</f>
      </c>
      <c r="N4153" s="43">
        <f>IF($I4153=0,0,MIN(SUMIFS(SondBetrag,SondDarl,9,SondDatum,"&gt;="&amp;$E4153,SondDatum,"&lt;="&amp;EOMONTH($E4153,0)),$J4153-$M4153))</f>
      </c>
      <c r="O4153" s="43">
        <f>IF($I4153=0,0,INDEX(DarlErsatzRate,9))</f>
      </c>
      <c r="P4153" s="43">
        <f>IF($I4153=0,0,$Q4152*INDEX(DarlErsatzZins,9))</f>
      </c>
      <c r="Q4153" s="43">
        <f>IF($I4153=0,0,$Q4152+$P4153+$O4153)</f>
      </c>
      <c r="R4153" s="43">
        <f>IF($I4153=0,0,$J4153-$M4153-$N4153)</f>
      </c>
    </row>
    <row r="4154">
      <c r="A4154"/>
      <c r="B4154">
        <v>9</v>
      </c>
      <c r="C4154" s="43">
        <f>INDEX(DarlObj,9)</f>
      </c>
      <c r="D4154">
        <v>311</v>
      </c>
      <c r="E4154" s="51">
        <f>IF(INDEX(DarlBelegt,9)=0,0,EOMONTH(INDEX(DarlAuszahlung,9),310)+1)</f>
      </c>
      <c r="F4154" s="43">
        <f>IF($E4154=0,0,YEAR($E4154))</f>
      </c>
      <c r="G4154" s="43">
        <f>IF(INDEX(DarlBindung,9)="",1,IF($E4154&lt;=INDEX(DarlBindung,9),1,0))</f>
      </c>
      <c r="H4154" s="43">
        <f>IF($G4154=1,INDEX(DarlSollzins,9),INDEX(DarlAnschluss,9))</f>
      </c>
      <c r="I4154" s="43">
        <f>IF(INDEX(DarlBelegt,9)=0,0,IF(INDEX(DarlOhneTilgung,9)=1,IF(INDEX(DarlBindung,9)="",1,$G4154),IF($J4154&gt;0.005,1,0)))</f>
      </c>
      <c r="J4154" s="43">
        <f>IF($I4153=0,0,$R4153)</f>
      </c>
      <c r="K4154" s="43">
        <f>IF($I4154=0,0,IF(INDEX(DarlOhneTilgung,9)=1,0,IF(AND(INDEX(DarlTilgStart,9)&gt;0,$E4154=INDEX(DarlTilgStart,9)),$J4154*($H4154+INDEX(DarlTilgung,9))/100/12,IF(AND($G4154=0,$G4153=1),MAX($K4153,$J4154*($H4154+1)/100/12),$K4153))))</f>
      </c>
      <c r="L4154" s="43">
        <f>IF($I4154=0,0,$J4154*$H4154/100/12)</f>
      </c>
      <c r="M4154" s="43">
        <f>IF($I4154=0,0,IF(OR(INDEX(DarlOhneTilgung,9)=1,AND(INDEX(DarlTilgStart,9)&gt;0,$E4154&lt;INDEX(DarlTilgStart,9))),0,MIN(MAX(0,$K4154-$L4154),$J4154)))</f>
      </c>
      <c r="N4154" s="43">
        <f>IF($I4154=0,0,MIN(SUMIFS(SondBetrag,SondDarl,9,SondDatum,"&gt;="&amp;$E4154,SondDatum,"&lt;="&amp;EOMONTH($E4154,0)),$J4154-$M4154))</f>
      </c>
      <c r="O4154" s="43">
        <f>IF($I4154=0,0,INDEX(DarlErsatzRate,9))</f>
      </c>
      <c r="P4154" s="43">
        <f>IF($I4154=0,0,$Q4153*INDEX(DarlErsatzZins,9))</f>
      </c>
      <c r="Q4154" s="43">
        <f>IF($I4154=0,0,$Q4153+$P4154+$O4154)</f>
      </c>
      <c r="R4154" s="43">
        <f>IF($I4154=0,0,$J4154-$M4154-$N4154)</f>
      </c>
    </row>
    <row r="4155">
      <c r="A4155"/>
      <c r="B4155">
        <v>9</v>
      </c>
      <c r="C4155" s="43">
        <f>INDEX(DarlObj,9)</f>
      </c>
      <c r="D4155">
        <v>312</v>
      </c>
      <c r="E4155" s="51">
        <f>IF(INDEX(DarlBelegt,9)=0,0,EOMONTH(INDEX(DarlAuszahlung,9),311)+1)</f>
      </c>
      <c r="F4155" s="43">
        <f>IF($E4155=0,0,YEAR($E4155))</f>
      </c>
      <c r="G4155" s="43">
        <f>IF(INDEX(DarlBindung,9)="",1,IF($E4155&lt;=INDEX(DarlBindung,9),1,0))</f>
      </c>
      <c r="H4155" s="43">
        <f>IF($G4155=1,INDEX(DarlSollzins,9),INDEX(DarlAnschluss,9))</f>
      </c>
      <c r="I4155" s="43">
        <f>IF(INDEX(DarlBelegt,9)=0,0,IF(INDEX(DarlOhneTilgung,9)=1,IF(INDEX(DarlBindung,9)="",1,$G4155),IF($J4155&gt;0.005,1,0)))</f>
      </c>
      <c r="J4155" s="43">
        <f>IF($I4154=0,0,$R4154)</f>
      </c>
      <c r="K4155" s="43">
        <f>IF($I4155=0,0,IF(INDEX(DarlOhneTilgung,9)=1,0,IF(AND(INDEX(DarlTilgStart,9)&gt;0,$E4155=INDEX(DarlTilgStart,9)),$J4155*($H4155+INDEX(DarlTilgung,9))/100/12,IF(AND($G4155=0,$G4154=1),MAX($K4154,$J4155*($H4155+1)/100/12),$K4154))))</f>
      </c>
      <c r="L4155" s="43">
        <f>IF($I4155=0,0,$J4155*$H4155/100/12)</f>
      </c>
      <c r="M4155" s="43">
        <f>IF($I4155=0,0,IF(OR(INDEX(DarlOhneTilgung,9)=1,AND(INDEX(DarlTilgStart,9)&gt;0,$E4155&lt;INDEX(DarlTilgStart,9))),0,MIN(MAX(0,$K4155-$L4155),$J4155)))</f>
      </c>
      <c r="N4155" s="43">
        <f>IF($I4155=0,0,MIN(SUMIFS(SondBetrag,SondDarl,9,SondDatum,"&gt;="&amp;$E4155,SondDatum,"&lt;="&amp;EOMONTH($E4155,0)),$J4155-$M4155))</f>
      </c>
      <c r="O4155" s="43">
        <f>IF($I4155=0,0,INDEX(DarlErsatzRate,9))</f>
      </c>
      <c r="P4155" s="43">
        <f>IF($I4155=0,0,$Q4154*INDEX(DarlErsatzZins,9))</f>
      </c>
      <c r="Q4155" s="43">
        <f>IF($I4155=0,0,$Q4154+$P4155+$O4155)</f>
      </c>
      <c r="R4155" s="43">
        <f>IF($I4155=0,0,$J4155-$M4155-$N4155)</f>
      </c>
    </row>
    <row r="4156">
      <c r="A4156"/>
      <c r="B4156">
        <v>9</v>
      </c>
      <c r="C4156" s="43">
        <f>INDEX(DarlObj,9)</f>
      </c>
      <c r="D4156">
        <v>313</v>
      </c>
      <c r="E4156" s="51">
        <f>IF(INDEX(DarlBelegt,9)=0,0,EOMONTH(INDEX(DarlAuszahlung,9),312)+1)</f>
      </c>
      <c r="F4156" s="43">
        <f>IF($E4156=0,0,YEAR($E4156))</f>
      </c>
      <c r="G4156" s="43">
        <f>IF(INDEX(DarlBindung,9)="",1,IF($E4156&lt;=INDEX(DarlBindung,9),1,0))</f>
      </c>
      <c r="H4156" s="43">
        <f>IF($G4156=1,INDEX(DarlSollzins,9),INDEX(DarlAnschluss,9))</f>
      </c>
      <c r="I4156" s="43">
        <f>IF(INDEX(DarlBelegt,9)=0,0,IF(INDEX(DarlOhneTilgung,9)=1,IF(INDEX(DarlBindung,9)="",1,$G4156),IF($J4156&gt;0.005,1,0)))</f>
      </c>
      <c r="J4156" s="43">
        <f>IF($I4155=0,0,$R4155)</f>
      </c>
      <c r="K4156" s="43">
        <f>IF($I4156=0,0,IF(INDEX(DarlOhneTilgung,9)=1,0,IF(AND(INDEX(DarlTilgStart,9)&gt;0,$E4156=INDEX(DarlTilgStart,9)),$J4156*($H4156+INDEX(DarlTilgung,9))/100/12,IF(AND($G4156=0,$G4155=1),MAX($K4155,$J4156*($H4156+1)/100/12),$K4155))))</f>
      </c>
      <c r="L4156" s="43">
        <f>IF($I4156=0,0,$J4156*$H4156/100/12)</f>
      </c>
      <c r="M4156" s="43">
        <f>IF($I4156=0,0,IF(OR(INDEX(DarlOhneTilgung,9)=1,AND(INDEX(DarlTilgStart,9)&gt;0,$E4156&lt;INDEX(DarlTilgStart,9))),0,MIN(MAX(0,$K4156-$L4156),$J4156)))</f>
      </c>
      <c r="N4156" s="43">
        <f>IF($I4156=0,0,MIN(SUMIFS(SondBetrag,SondDarl,9,SondDatum,"&gt;="&amp;$E4156,SondDatum,"&lt;="&amp;EOMONTH($E4156,0)),$J4156-$M4156))</f>
      </c>
      <c r="O4156" s="43">
        <f>IF($I4156=0,0,INDEX(DarlErsatzRate,9))</f>
      </c>
      <c r="P4156" s="43">
        <f>IF($I4156=0,0,$Q4155*INDEX(DarlErsatzZins,9))</f>
      </c>
      <c r="Q4156" s="43">
        <f>IF($I4156=0,0,$Q4155+$P4156+$O4156)</f>
      </c>
      <c r="R4156" s="43">
        <f>IF($I4156=0,0,$J4156-$M4156-$N4156)</f>
      </c>
    </row>
    <row r="4157">
      <c r="A4157"/>
      <c r="B4157">
        <v>9</v>
      </c>
      <c r="C4157" s="43">
        <f>INDEX(DarlObj,9)</f>
      </c>
      <c r="D4157">
        <v>314</v>
      </c>
      <c r="E4157" s="51">
        <f>IF(INDEX(DarlBelegt,9)=0,0,EOMONTH(INDEX(DarlAuszahlung,9),313)+1)</f>
      </c>
      <c r="F4157" s="43">
        <f>IF($E4157=0,0,YEAR($E4157))</f>
      </c>
      <c r="G4157" s="43">
        <f>IF(INDEX(DarlBindung,9)="",1,IF($E4157&lt;=INDEX(DarlBindung,9),1,0))</f>
      </c>
      <c r="H4157" s="43">
        <f>IF($G4157=1,INDEX(DarlSollzins,9),INDEX(DarlAnschluss,9))</f>
      </c>
      <c r="I4157" s="43">
        <f>IF(INDEX(DarlBelegt,9)=0,0,IF(INDEX(DarlOhneTilgung,9)=1,IF(INDEX(DarlBindung,9)="",1,$G4157),IF($J4157&gt;0.005,1,0)))</f>
      </c>
      <c r="J4157" s="43">
        <f>IF($I4156=0,0,$R4156)</f>
      </c>
      <c r="K4157" s="43">
        <f>IF($I4157=0,0,IF(INDEX(DarlOhneTilgung,9)=1,0,IF(AND(INDEX(DarlTilgStart,9)&gt;0,$E4157=INDEX(DarlTilgStart,9)),$J4157*($H4157+INDEX(DarlTilgung,9))/100/12,IF(AND($G4157=0,$G4156=1),MAX($K4156,$J4157*($H4157+1)/100/12),$K4156))))</f>
      </c>
      <c r="L4157" s="43">
        <f>IF($I4157=0,0,$J4157*$H4157/100/12)</f>
      </c>
      <c r="M4157" s="43">
        <f>IF($I4157=0,0,IF(OR(INDEX(DarlOhneTilgung,9)=1,AND(INDEX(DarlTilgStart,9)&gt;0,$E4157&lt;INDEX(DarlTilgStart,9))),0,MIN(MAX(0,$K4157-$L4157),$J4157)))</f>
      </c>
      <c r="N4157" s="43">
        <f>IF($I4157=0,0,MIN(SUMIFS(SondBetrag,SondDarl,9,SondDatum,"&gt;="&amp;$E4157,SondDatum,"&lt;="&amp;EOMONTH($E4157,0)),$J4157-$M4157))</f>
      </c>
      <c r="O4157" s="43">
        <f>IF($I4157=0,0,INDEX(DarlErsatzRate,9))</f>
      </c>
      <c r="P4157" s="43">
        <f>IF($I4157=0,0,$Q4156*INDEX(DarlErsatzZins,9))</f>
      </c>
      <c r="Q4157" s="43">
        <f>IF($I4157=0,0,$Q4156+$P4157+$O4157)</f>
      </c>
      <c r="R4157" s="43">
        <f>IF($I4157=0,0,$J4157-$M4157-$N4157)</f>
      </c>
    </row>
    <row r="4158">
      <c r="A4158"/>
      <c r="B4158">
        <v>9</v>
      </c>
      <c r="C4158" s="43">
        <f>INDEX(DarlObj,9)</f>
      </c>
      <c r="D4158">
        <v>315</v>
      </c>
      <c r="E4158" s="51">
        <f>IF(INDEX(DarlBelegt,9)=0,0,EOMONTH(INDEX(DarlAuszahlung,9),314)+1)</f>
      </c>
      <c r="F4158" s="43">
        <f>IF($E4158=0,0,YEAR($E4158))</f>
      </c>
      <c r="G4158" s="43">
        <f>IF(INDEX(DarlBindung,9)="",1,IF($E4158&lt;=INDEX(DarlBindung,9),1,0))</f>
      </c>
      <c r="H4158" s="43">
        <f>IF($G4158=1,INDEX(DarlSollzins,9),INDEX(DarlAnschluss,9))</f>
      </c>
      <c r="I4158" s="43">
        <f>IF(INDEX(DarlBelegt,9)=0,0,IF(INDEX(DarlOhneTilgung,9)=1,IF(INDEX(DarlBindung,9)="",1,$G4158),IF($J4158&gt;0.005,1,0)))</f>
      </c>
      <c r="J4158" s="43">
        <f>IF($I4157=0,0,$R4157)</f>
      </c>
      <c r="K4158" s="43">
        <f>IF($I4158=0,0,IF(INDEX(DarlOhneTilgung,9)=1,0,IF(AND(INDEX(DarlTilgStart,9)&gt;0,$E4158=INDEX(DarlTilgStart,9)),$J4158*($H4158+INDEX(DarlTilgung,9))/100/12,IF(AND($G4158=0,$G4157=1),MAX($K4157,$J4158*($H4158+1)/100/12),$K4157))))</f>
      </c>
      <c r="L4158" s="43">
        <f>IF($I4158=0,0,$J4158*$H4158/100/12)</f>
      </c>
      <c r="M4158" s="43">
        <f>IF($I4158=0,0,IF(OR(INDEX(DarlOhneTilgung,9)=1,AND(INDEX(DarlTilgStart,9)&gt;0,$E4158&lt;INDEX(DarlTilgStart,9))),0,MIN(MAX(0,$K4158-$L4158),$J4158)))</f>
      </c>
      <c r="N4158" s="43">
        <f>IF($I4158=0,0,MIN(SUMIFS(SondBetrag,SondDarl,9,SondDatum,"&gt;="&amp;$E4158,SondDatum,"&lt;="&amp;EOMONTH($E4158,0)),$J4158-$M4158))</f>
      </c>
      <c r="O4158" s="43">
        <f>IF($I4158=0,0,INDEX(DarlErsatzRate,9))</f>
      </c>
      <c r="P4158" s="43">
        <f>IF($I4158=0,0,$Q4157*INDEX(DarlErsatzZins,9))</f>
      </c>
      <c r="Q4158" s="43">
        <f>IF($I4158=0,0,$Q4157+$P4158+$O4158)</f>
      </c>
      <c r="R4158" s="43">
        <f>IF($I4158=0,0,$J4158-$M4158-$N4158)</f>
      </c>
    </row>
    <row r="4159">
      <c r="A4159"/>
      <c r="B4159">
        <v>9</v>
      </c>
      <c r="C4159" s="43">
        <f>INDEX(DarlObj,9)</f>
      </c>
      <c r="D4159">
        <v>316</v>
      </c>
      <c r="E4159" s="51">
        <f>IF(INDEX(DarlBelegt,9)=0,0,EOMONTH(INDEX(DarlAuszahlung,9),315)+1)</f>
      </c>
      <c r="F4159" s="43">
        <f>IF($E4159=0,0,YEAR($E4159))</f>
      </c>
      <c r="G4159" s="43">
        <f>IF(INDEX(DarlBindung,9)="",1,IF($E4159&lt;=INDEX(DarlBindung,9),1,0))</f>
      </c>
      <c r="H4159" s="43">
        <f>IF($G4159=1,INDEX(DarlSollzins,9),INDEX(DarlAnschluss,9))</f>
      </c>
      <c r="I4159" s="43">
        <f>IF(INDEX(DarlBelegt,9)=0,0,IF(INDEX(DarlOhneTilgung,9)=1,IF(INDEX(DarlBindung,9)="",1,$G4159),IF($J4159&gt;0.005,1,0)))</f>
      </c>
      <c r="J4159" s="43">
        <f>IF($I4158=0,0,$R4158)</f>
      </c>
      <c r="K4159" s="43">
        <f>IF($I4159=0,0,IF(INDEX(DarlOhneTilgung,9)=1,0,IF(AND(INDEX(DarlTilgStart,9)&gt;0,$E4159=INDEX(DarlTilgStart,9)),$J4159*($H4159+INDEX(DarlTilgung,9))/100/12,IF(AND($G4159=0,$G4158=1),MAX($K4158,$J4159*($H4159+1)/100/12),$K4158))))</f>
      </c>
      <c r="L4159" s="43">
        <f>IF($I4159=0,0,$J4159*$H4159/100/12)</f>
      </c>
      <c r="M4159" s="43">
        <f>IF($I4159=0,0,IF(OR(INDEX(DarlOhneTilgung,9)=1,AND(INDEX(DarlTilgStart,9)&gt;0,$E4159&lt;INDEX(DarlTilgStart,9))),0,MIN(MAX(0,$K4159-$L4159),$J4159)))</f>
      </c>
      <c r="N4159" s="43">
        <f>IF($I4159=0,0,MIN(SUMIFS(SondBetrag,SondDarl,9,SondDatum,"&gt;="&amp;$E4159,SondDatum,"&lt;="&amp;EOMONTH($E4159,0)),$J4159-$M4159))</f>
      </c>
      <c r="O4159" s="43">
        <f>IF($I4159=0,0,INDEX(DarlErsatzRate,9))</f>
      </c>
      <c r="P4159" s="43">
        <f>IF($I4159=0,0,$Q4158*INDEX(DarlErsatzZins,9))</f>
      </c>
      <c r="Q4159" s="43">
        <f>IF($I4159=0,0,$Q4158+$P4159+$O4159)</f>
      </c>
      <c r="R4159" s="43">
        <f>IF($I4159=0,0,$J4159-$M4159-$N4159)</f>
      </c>
    </row>
    <row r="4160">
      <c r="A4160"/>
      <c r="B4160">
        <v>9</v>
      </c>
      <c r="C4160" s="43">
        <f>INDEX(DarlObj,9)</f>
      </c>
      <c r="D4160">
        <v>317</v>
      </c>
      <c r="E4160" s="51">
        <f>IF(INDEX(DarlBelegt,9)=0,0,EOMONTH(INDEX(DarlAuszahlung,9),316)+1)</f>
      </c>
      <c r="F4160" s="43">
        <f>IF($E4160=0,0,YEAR($E4160))</f>
      </c>
      <c r="G4160" s="43">
        <f>IF(INDEX(DarlBindung,9)="",1,IF($E4160&lt;=INDEX(DarlBindung,9),1,0))</f>
      </c>
      <c r="H4160" s="43">
        <f>IF($G4160=1,INDEX(DarlSollzins,9),INDEX(DarlAnschluss,9))</f>
      </c>
      <c r="I4160" s="43">
        <f>IF(INDEX(DarlBelegt,9)=0,0,IF(INDEX(DarlOhneTilgung,9)=1,IF(INDEX(DarlBindung,9)="",1,$G4160),IF($J4160&gt;0.005,1,0)))</f>
      </c>
      <c r="J4160" s="43">
        <f>IF($I4159=0,0,$R4159)</f>
      </c>
      <c r="K4160" s="43">
        <f>IF($I4160=0,0,IF(INDEX(DarlOhneTilgung,9)=1,0,IF(AND(INDEX(DarlTilgStart,9)&gt;0,$E4160=INDEX(DarlTilgStart,9)),$J4160*($H4160+INDEX(DarlTilgung,9))/100/12,IF(AND($G4160=0,$G4159=1),MAX($K4159,$J4160*($H4160+1)/100/12),$K4159))))</f>
      </c>
      <c r="L4160" s="43">
        <f>IF($I4160=0,0,$J4160*$H4160/100/12)</f>
      </c>
      <c r="M4160" s="43">
        <f>IF($I4160=0,0,IF(OR(INDEX(DarlOhneTilgung,9)=1,AND(INDEX(DarlTilgStart,9)&gt;0,$E4160&lt;INDEX(DarlTilgStart,9))),0,MIN(MAX(0,$K4160-$L4160),$J4160)))</f>
      </c>
      <c r="N4160" s="43">
        <f>IF($I4160=0,0,MIN(SUMIFS(SondBetrag,SondDarl,9,SondDatum,"&gt;="&amp;$E4160,SondDatum,"&lt;="&amp;EOMONTH($E4160,0)),$J4160-$M4160))</f>
      </c>
      <c r="O4160" s="43">
        <f>IF($I4160=0,0,INDEX(DarlErsatzRate,9))</f>
      </c>
      <c r="P4160" s="43">
        <f>IF($I4160=0,0,$Q4159*INDEX(DarlErsatzZins,9))</f>
      </c>
      <c r="Q4160" s="43">
        <f>IF($I4160=0,0,$Q4159+$P4160+$O4160)</f>
      </c>
      <c r="R4160" s="43">
        <f>IF($I4160=0,0,$J4160-$M4160-$N4160)</f>
      </c>
    </row>
    <row r="4161">
      <c r="A4161"/>
      <c r="B4161">
        <v>9</v>
      </c>
      <c r="C4161" s="43">
        <f>INDEX(DarlObj,9)</f>
      </c>
      <c r="D4161">
        <v>318</v>
      </c>
      <c r="E4161" s="51">
        <f>IF(INDEX(DarlBelegt,9)=0,0,EOMONTH(INDEX(DarlAuszahlung,9),317)+1)</f>
      </c>
      <c r="F4161" s="43">
        <f>IF($E4161=0,0,YEAR($E4161))</f>
      </c>
      <c r="G4161" s="43">
        <f>IF(INDEX(DarlBindung,9)="",1,IF($E4161&lt;=INDEX(DarlBindung,9),1,0))</f>
      </c>
      <c r="H4161" s="43">
        <f>IF($G4161=1,INDEX(DarlSollzins,9),INDEX(DarlAnschluss,9))</f>
      </c>
      <c r="I4161" s="43">
        <f>IF(INDEX(DarlBelegt,9)=0,0,IF(INDEX(DarlOhneTilgung,9)=1,IF(INDEX(DarlBindung,9)="",1,$G4161),IF($J4161&gt;0.005,1,0)))</f>
      </c>
      <c r="J4161" s="43">
        <f>IF($I4160=0,0,$R4160)</f>
      </c>
      <c r="K4161" s="43">
        <f>IF($I4161=0,0,IF(INDEX(DarlOhneTilgung,9)=1,0,IF(AND(INDEX(DarlTilgStart,9)&gt;0,$E4161=INDEX(DarlTilgStart,9)),$J4161*($H4161+INDEX(DarlTilgung,9))/100/12,IF(AND($G4161=0,$G4160=1),MAX($K4160,$J4161*($H4161+1)/100/12),$K4160))))</f>
      </c>
      <c r="L4161" s="43">
        <f>IF($I4161=0,0,$J4161*$H4161/100/12)</f>
      </c>
      <c r="M4161" s="43">
        <f>IF($I4161=0,0,IF(OR(INDEX(DarlOhneTilgung,9)=1,AND(INDEX(DarlTilgStart,9)&gt;0,$E4161&lt;INDEX(DarlTilgStart,9))),0,MIN(MAX(0,$K4161-$L4161),$J4161)))</f>
      </c>
      <c r="N4161" s="43">
        <f>IF($I4161=0,0,MIN(SUMIFS(SondBetrag,SondDarl,9,SondDatum,"&gt;="&amp;$E4161,SondDatum,"&lt;="&amp;EOMONTH($E4161,0)),$J4161-$M4161))</f>
      </c>
      <c r="O4161" s="43">
        <f>IF($I4161=0,0,INDEX(DarlErsatzRate,9))</f>
      </c>
      <c r="P4161" s="43">
        <f>IF($I4161=0,0,$Q4160*INDEX(DarlErsatzZins,9))</f>
      </c>
      <c r="Q4161" s="43">
        <f>IF($I4161=0,0,$Q4160+$P4161+$O4161)</f>
      </c>
      <c r="R4161" s="43">
        <f>IF($I4161=0,0,$J4161-$M4161-$N4161)</f>
      </c>
    </row>
    <row r="4162">
      <c r="A4162"/>
      <c r="B4162">
        <v>9</v>
      </c>
      <c r="C4162" s="43">
        <f>INDEX(DarlObj,9)</f>
      </c>
      <c r="D4162">
        <v>319</v>
      </c>
      <c r="E4162" s="51">
        <f>IF(INDEX(DarlBelegt,9)=0,0,EOMONTH(INDEX(DarlAuszahlung,9),318)+1)</f>
      </c>
      <c r="F4162" s="43">
        <f>IF($E4162=0,0,YEAR($E4162))</f>
      </c>
      <c r="G4162" s="43">
        <f>IF(INDEX(DarlBindung,9)="",1,IF($E4162&lt;=INDEX(DarlBindung,9),1,0))</f>
      </c>
      <c r="H4162" s="43">
        <f>IF($G4162=1,INDEX(DarlSollzins,9),INDEX(DarlAnschluss,9))</f>
      </c>
      <c r="I4162" s="43">
        <f>IF(INDEX(DarlBelegt,9)=0,0,IF(INDEX(DarlOhneTilgung,9)=1,IF(INDEX(DarlBindung,9)="",1,$G4162),IF($J4162&gt;0.005,1,0)))</f>
      </c>
      <c r="J4162" s="43">
        <f>IF($I4161=0,0,$R4161)</f>
      </c>
      <c r="K4162" s="43">
        <f>IF($I4162=0,0,IF(INDEX(DarlOhneTilgung,9)=1,0,IF(AND(INDEX(DarlTilgStart,9)&gt;0,$E4162=INDEX(DarlTilgStart,9)),$J4162*($H4162+INDEX(DarlTilgung,9))/100/12,IF(AND($G4162=0,$G4161=1),MAX($K4161,$J4162*($H4162+1)/100/12),$K4161))))</f>
      </c>
      <c r="L4162" s="43">
        <f>IF($I4162=0,0,$J4162*$H4162/100/12)</f>
      </c>
      <c r="M4162" s="43">
        <f>IF($I4162=0,0,IF(OR(INDEX(DarlOhneTilgung,9)=1,AND(INDEX(DarlTilgStart,9)&gt;0,$E4162&lt;INDEX(DarlTilgStart,9))),0,MIN(MAX(0,$K4162-$L4162),$J4162)))</f>
      </c>
      <c r="N4162" s="43">
        <f>IF($I4162=0,0,MIN(SUMIFS(SondBetrag,SondDarl,9,SondDatum,"&gt;="&amp;$E4162,SondDatum,"&lt;="&amp;EOMONTH($E4162,0)),$J4162-$M4162))</f>
      </c>
      <c r="O4162" s="43">
        <f>IF($I4162=0,0,INDEX(DarlErsatzRate,9))</f>
      </c>
      <c r="P4162" s="43">
        <f>IF($I4162=0,0,$Q4161*INDEX(DarlErsatzZins,9))</f>
      </c>
      <c r="Q4162" s="43">
        <f>IF($I4162=0,0,$Q4161+$P4162+$O4162)</f>
      </c>
      <c r="R4162" s="43">
        <f>IF($I4162=0,0,$J4162-$M4162-$N4162)</f>
      </c>
    </row>
    <row r="4163">
      <c r="A4163"/>
      <c r="B4163">
        <v>9</v>
      </c>
      <c r="C4163" s="43">
        <f>INDEX(DarlObj,9)</f>
      </c>
      <c r="D4163">
        <v>320</v>
      </c>
      <c r="E4163" s="51">
        <f>IF(INDEX(DarlBelegt,9)=0,0,EOMONTH(INDEX(DarlAuszahlung,9),319)+1)</f>
      </c>
      <c r="F4163" s="43">
        <f>IF($E4163=0,0,YEAR($E4163))</f>
      </c>
      <c r="G4163" s="43">
        <f>IF(INDEX(DarlBindung,9)="",1,IF($E4163&lt;=INDEX(DarlBindung,9),1,0))</f>
      </c>
      <c r="H4163" s="43">
        <f>IF($G4163=1,INDEX(DarlSollzins,9),INDEX(DarlAnschluss,9))</f>
      </c>
      <c r="I4163" s="43">
        <f>IF(INDEX(DarlBelegt,9)=0,0,IF(INDEX(DarlOhneTilgung,9)=1,IF(INDEX(DarlBindung,9)="",1,$G4163),IF($J4163&gt;0.005,1,0)))</f>
      </c>
      <c r="J4163" s="43">
        <f>IF($I4162=0,0,$R4162)</f>
      </c>
      <c r="K4163" s="43">
        <f>IF($I4163=0,0,IF(INDEX(DarlOhneTilgung,9)=1,0,IF(AND(INDEX(DarlTilgStart,9)&gt;0,$E4163=INDEX(DarlTilgStart,9)),$J4163*($H4163+INDEX(DarlTilgung,9))/100/12,IF(AND($G4163=0,$G4162=1),MAX($K4162,$J4163*($H4163+1)/100/12),$K4162))))</f>
      </c>
      <c r="L4163" s="43">
        <f>IF($I4163=0,0,$J4163*$H4163/100/12)</f>
      </c>
      <c r="M4163" s="43">
        <f>IF($I4163=0,0,IF(OR(INDEX(DarlOhneTilgung,9)=1,AND(INDEX(DarlTilgStart,9)&gt;0,$E4163&lt;INDEX(DarlTilgStart,9))),0,MIN(MAX(0,$K4163-$L4163),$J4163)))</f>
      </c>
      <c r="N4163" s="43">
        <f>IF($I4163=0,0,MIN(SUMIFS(SondBetrag,SondDarl,9,SondDatum,"&gt;="&amp;$E4163,SondDatum,"&lt;="&amp;EOMONTH($E4163,0)),$J4163-$M4163))</f>
      </c>
      <c r="O4163" s="43">
        <f>IF($I4163=0,0,INDEX(DarlErsatzRate,9))</f>
      </c>
      <c r="P4163" s="43">
        <f>IF($I4163=0,0,$Q4162*INDEX(DarlErsatzZins,9))</f>
      </c>
      <c r="Q4163" s="43">
        <f>IF($I4163=0,0,$Q4162+$P4163+$O4163)</f>
      </c>
      <c r="R4163" s="43">
        <f>IF($I4163=0,0,$J4163-$M4163-$N4163)</f>
      </c>
    </row>
    <row r="4164">
      <c r="A4164"/>
      <c r="B4164">
        <v>9</v>
      </c>
      <c r="C4164" s="43">
        <f>INDEX(DarlObj,9)</f>
      </c>
      <c r="D4164">
        <v>321</v>
      </c>
      <c r="E4164" s="51">
        <f>IF(INDEX(DarlBelegt,9)=0,0,EOMONTH(INDEX(DarlAuszahlung,9),320)+1)</f>
      </c>
      <c r="F4164" s="43">
        <f>IF($E4164=0,0,YEAR($E4164))</f>
      </c>
      <c r="G4164" s="43">
        <f>IF(INDEX(DarlBindung,9)="",1,IF($E4164&lt;=INDEX(DarlBindung,9),1,0))</f>
      </c>
      <c r="H4164" s="43">
        <f>IF($G4164=1,INDEX(DarlSollzins,9),INDEX(DarlAnschluss,9))</f>
      </c>
      <c r="I4164" s="43">
        <f>IF(INDEX(DarlBelegt,9)=0,0,IF(INDEX(DarlOhneTilgung,9)=1,IF(INDEX(DarlBindung,9)="",1,$G4164),IF($J4164&gt;0.005,1,0)))</f>
      </c>
      <c r="J4164" s="43">
        <f>IF($I4163=0,0,$R4163)</f>
      </c>
      <c r="K4164" s="43">
        <f>IF($I4164=0,0,IF(INDEX(DarlOhneTilgung,9)=1,0,IF(AND(INDEX(DarlTilgStart,9)&gt;0,$E4164=INDEX(DarlTilgStart,9)),$J4164*($H4164+INDEX(DarlTilgung,9))/100/12,IF(AND($G4164=0,$G4163=1),MAX($K4163,$J4164*($H4164+1)/100/12),$K4163))))</f>
      </c>
      <c r="L4164" s="43">
        <f>IF($I4164=0,0,$J4164*$H4164/100/12)</f>
      </c>
      <c r="M4164" s="43">
        <f>IF($I4164=0,0,IF(OR(INDEX(DarlOhneTilgung,9)=1,AND(INDEX(DarlTilgStart,9)&gt;0,$E4164&lt;INDEX(DarlTilgStart,9))),0,MIN(MAX(0,$K4164-$L4164),$J4164)))</f>
      </c>
      <c r="N4164" s="43">
        <f>IF($I4164=0,0,MIN(SUMIFS(SondBetrag,SondDarl,9,SondDatum,"&gt;="&amp;$E4164,SondDatum,"&lt;="&amp;EOMONTH($E4164,0)),$J4164-$M4164))</f>
      </c>
      <c r="O4164" s="43">
        <f>IF($I4164=0,0,INDEX(DarlErsatzRate,9))</f>
      </c>
      <c r="P4164" s="43">
        <f>IF($I4164=0,0,$Q4163*INDEX(DarlErsatzZins,9))</f>
      </c>
      <c r="Q4164" s="43">
        <f>IF($I4164=0,0,$Q4163+$P4164+$O4164)</f>
      </c>
      <c r="R4164" s="43">
        <f>IF($I4164=0,0,$J4164-$M4164-$N4164)</f>
      </c>
    </row>
    <row r="4165">
      <c r="A4165"/>
      <c r="B4165">
        <v>9</v>
      </c>
      <c r="C4165" s="43">
        <f>INDEX(DarlObj,9)</f>
      </c>
      <c r="D4165">
        <v>322</v>
      </c>
      <c r="E4165" s="51">
        <f>IF(INDEX(DarlBelegt,9)=0,0,EOMONTH(INDEX(DarlAuszahlung,9),321)+1)</f>
      </c>
      <c r="F4165" s="43">
        <f>IF($E4165=0,0,YEAR($E4165))</f>
      </c>
      <c r="G4165" s="43">
        <f>IF(INDEX(DarlBindung,9)="",1,IF($E4165&lt;=INDEX(DarlBindung,9),1,0))</f>
      </c>
      <c r="H4165" s="43">
        <f>IF($G4165=1,INDEX(DarlSollzins,9),INDEX(DarlAnschluss,9))</f>
      </c>
      <c r="I4165" s="43">
        <f>IF(INDEX(DarlBelegt,9)=0,0,IF(INDEX(DarlOhneTilgung,9)=1,IF(INDEX(DarlBindung,9)="",1,$G4165),IF($J4165&gt;0.005,1,0)))</f>
      </c>
      <c r="J4165" s="43">
        <f>IF($I4164=0,0,$R4164)</f>
      </c>
      <c r="K4165" s="43">
        <f>IF($I4165=0,0,IF(INDEX(DarlOhneTilgung,9)=1,0,IF(AND(INDEX(DarlTilgStart,9)&gt;0,$E4165=INDEX(DarlTilgStart,9)),$J4165*($H4165+INDEX(DarlTilgung,9))/100/12,IF(AND($G4165=0,$G4164=1),MAX($K4164,$J4165*($H4165+1)/100/12),$K4164))))</f>
      </c>
      <c r="L4165" s="43">
        <f>IF($I4165=0,0,$J4165*$H4165/100/12)</f>
      </c>
      <c r="M4165" s="43">
        <f>IF($I4165=0,0,IF(OR(INDEX(DarlOhneTilgung,9)=1,AND(INDEX(DarlTilgStart,9)&gt;0,$E4165&lt;INDEX(DarlTilgStart,9))),0,MIN(MAX(0,$K4165-$L4165),$J4165)))</f>
      </c>
      <c r="N4165" s="43">
        <f>IF($I4165=0,0,MIN(SUMIFS(SondBetrag,SondDarl,9,SondDatum,"&gt;="&amp;$E4165,SondDatum,"&lt;="&amp;EOMONTH($E4165,0)),$J4165-$M4165))</f>
      </c>
      <c r="O4165" s="43">
        <f>IF($I4165=0,0,INDEX(DarlErsatzRate,9))</f>
      </c>
      <c r="P4165" s="43">
        <f>IF($I4165=0,0,$Q4164*INDEX(DarlErsatzZins,9))</f>
      </c>
      <c r="Q4165" s="43">
        <f>IF($I4165=0,0,$Q4164+$P4165+$O4165)</f>
      </c>
      <c r="R4165" s="43">
        <f>IF($I4165=0,0,$J4165-$M4165-$N4165)</f>
      </c>
    </row>
    <row r="4166">
      <c r="A4166"/>
      <c r="B4166">
        <v>9</v>
      </c>
      <c r="C4166" s="43">
        <f>INDEX(DarlObj,9)</f>
      </c>
      <c r="D4166">
        <v>323</v>
      </c>
      <c r="E4166" s="51">
        <f>IF(INDEX(DarlBelegt,9)=0,0,EOMONTH(INDEX(DarlAuszahlung,9),322)+1)</f>
      </c>
      <c r="F4166" s="43">
        <f>IF($E4166=0,0,YEAR($E4166))</f>
      </c>
      <c r="G4166" s="43">
        <f>IF(INDEX(DarlBindung,9)="",1,IF($E4166&lt;=INDEX(DarlBindung,9),1,0))</f>
      </c>
      <c r="H4166" s="43">
        <f>IF($G4166=1,INDEX(DarlSollzins,9),INDEX(DarlAnschluss,9))</f>
      </c>
      <c r="I4166" s="43">
        <f>IF(INDEX(DarlBelegt,9)=0,0,IF(INDEX(DarlOhneTilgung,9)=1,IF(INDEX(DarlBindung,9)="",1,$G4166),IF($J4166&gt;0.005,1,0)))</f>
      </c>
      <c r="J4166" s="43">
        <f>IF($I4165=0,0,$R4165)</f>
      </c>
      <c r="K4166" s="43">
        <f>IF($I4166=0,0,IF(INDEX(DarlOhneTilgung,9)=1,0,IF(AND(INDEX(DarlTilgStart,9)&gt;0,$E4166=INDEX(DarlTilgStart,9)),$J4166*($H4166+INDEX(DarlTilgung,9))/100/12,IF(AND($G4166=0,$G4165=1),MAX($K4165,$J4166*($H4166+1)/100/12),$K4165))))</f>
      </c>
      <c r="L4166" s="43">
        <f>IF($I4166=0,0,$J4166*$H4166/100/12)</f>
      </c>
      <c r="M4166" s="43">
        <f>IF($I4166=0,0,IF(OR(INDEX(DarlOhneTilgung,9)=1,AND(INDEX(DarlTilgStart,9)&gt;0,$E4166&lt;INDEX(DarlTilgStart,9))),0,MIN(MAX(0,$K4166-$L4166),$J4166)))</f>
      </c>
      <c r="N4166" s="43">
        <f>IF($I4166=0,0,MIN(SUMIFS(SondBetrag,SondDarl,9,SondDatum,"&gt;="&amp;$E4166,SondDatum,"&lt;="&amp;EOMONTH($E4166,0)),$J4166-$M4166))</f>
      </c>
      <c r="O4166" s="43">
        <f>IF($I4166=0,0,INDEX(DarlErsatzRate,9))</f>
      </c>
      <c r="P4166" s="43">
        <f>IF($I4166=0,0,$Q4165*INDEX(DarlErsatzZins,9))</f>
      </c>
      <c r="Q4166" s="43">
        <f>IF($I4166=0,0,$Q4165+$P4166+$O4166)</f>
      </c>
      <c r="R4166" s="43">
        <f>IF($I4166=0,0,$J4166-$M4166-$N4166)</f>
      </c>
    </row>
    <row r="4167">
      <c r="A4167"/>
      <c r="B4167">
        <v>9</v>
      </c>
      <c r="C4167" s="43">
        <f>INDEX(DarlObj,9)</f>
      </c>
      <c r="D4167">
        <v>324</v>
      </c>
      <c r="E4167" s="51">
        <f>IF(INDEX(DarlBelegt,9)=0,0,EOMONTH(INDEX(DarlAuszahlung,9),323)+1)</f>
      </c>
      <c r="F4167" s="43">
        <f>IF($E4167=0,0,YEAR($E4167))</f>
      </c>
      <c r="G4167" s="43">
        <f>IF(INDEX(DarlBindung,9)="",1,IF($E4167&lt;=INDEX(DarlBindung,9),1,0))</f>
      </c>
      <c r="H4167" s="43">
        <f>IF($G4167=1,INDEX(DarlSollzins,9),INDEX(DarlAnschluss,9))</f>
      </c>
      <c r="I4167" s="43">
        <f>IF(INDEX(DarlBelegt,9)=0,0,IF(INDEX(DarlOhneTilgung,9)=1,IF(INDEX(DarlBindung,9)="",1,$G4167),IF($J4167&gt;0.005,1,0)))</f>
      </c>
      <c r="J4167" s="43">
        <f>IF($I4166=0,0,$R4166)</f>
      </c>
      <c r="K4167" s="43">
        <f>IF($I4167=0,0,IF(INDEX(DarlOhneTilgung,9)=1,0,IF(AND(INDEX(DarlTilgStart,9)&gt;0,$E4167=INDEX(DarlTilgStart,9)),$J4167*($H4167+INDEX(DarlTilgung,9))/100/12,IF(AND($G4167=0,$G4166=1),MAX($K4166,$J4167*($H4167+1)/100/12),$K4166))))</f>
      </c>
      <c r="L4167" s="43">
        <f>IF($I4167=0,0,$J4167*$H4167/100/12)</f>
      </c>
      <c r="M4167" s="43">
        <f>IF($I4167=0,0,IF(OR(INDEX(DarlOhneTilgung,9)=1,AND(INDEX(DarlTilgStart,9)&gt;0,$E4167&lt;INDEX(DarlTilgStart,9))),0,MIN(MAX(0,$K4167-$L4167),$J4167)))</f>
      </c>
      <c r="N4167" s="43">
        <f>IF($I4167=0,0,MIN(SUMIFS(SondBetrag,SondDarl,9,SondDatum,"&gt;="&amp;$E4167,SondDatum,"&lt;="&amp;EOMONTH($E4167,0)),$J4167-$M4167))</f>
      </c>
      <c r="O4167" s="43">
        <f>IF($I4167=0,0,INDEX(DarlErsatzRate,9))</f>
      </c>
      <c r="P4167" s="43">
        <f>IF($I4167=0,0,$Q4166*INDEX(DarlErsatzZins,9))</f>
      </c>
      <c r="Q4167" s="43">
        <f>IF($I4167=0,0,$Q4166+$P4167+$O4167)</f>
      </c>
      <c r="R4167" s="43">
        <f>IF($I4167=0,0,$J4167-$M4167-$N4167)</f>
      </c>
    </row>
    <row r="4168">
      <c r="A4168"/>
      <c r="B4168">
        <v>9</v>
      </c>
      <c r="C4168" s="43">
        <f>INDEX(DarlObj,9)</f>
      </c>
      <c r="D4168">
        <v>325</v>
      </c>
      <c r="E4168" s="51">
        <f>IF(INDEX(DarlBelegt,9)=0,0,EOMONTH(INDEX(DarlAuszahlung,9),324)+1)</f>
      </c>
      <c r="F4168" s="43">
        <f>IF($E4168=0,0,YEAR($E4168))</f>
      </c>
      <c r="G4168" s="43">
        <f>IF(INDEX(DarlBindung,9)="",1,IF($E4168&lt;=INDEX(DarlBindung,9),1,0))</f>
      </c>
      <c r="H4168" s="43">
        <f>IF($G4168=1,INDEX(DarlSollzins,9),INDEX(DarlAnschluss,9))</f>
      </c>
      <c r="I4168" s="43">
        <f>IF(INDEX(DarlBelegt,9)=0,0,IF(INDEX(DarlOhneTilgung,9)=1,IF(INDEX(DarlBindung,9)="",1,$G4168),IF($J4168&gt;0.005,1,0)))</f>
      </c>
      <c r="J4168" s="43">
        <f>IF($I4167=0,0,$R4167)</f>
      </c>
      <c r="K4168" s="43">
        <f>IF($I4168=0,0,IF(INDEX(DarlOhneTilgung,9)=1,0,IF(AND(INDEX(DarlTilgStart,9)&gt;0,$E4168=INDEX(DarlTilgStart,9)),$J4168*($H4168+INDEX(DarlTilgung,9))/100/12,IF(AND($G4168=0,$G4167=1),MAX($K4167,$J4168*($H4168+1)/100/12),$K4167))))</f>
      </c>
      <c r="L4168" s="43">
        <f>IF($I4168=0,0,$J4168*$H4168/100/12)</f>
      </c>
      <c r="M4168" s="43">
        <f>IF($I4168=0,0,IF(OR(INDEX(DarlOhneTilgung,9)=1,AND(INDEX(DarlTilgStart,9)&gt;0,$E4168&lt;INDEX(DarlTilgStart,9))),0,MIN(MAX(0,$K4168-$L4168),$J4168)))</f>
      </c>
      <c r="N4168" s="43">
        <f>IF($I4168=0,0,MIN(SUMIFS(SondBetrag,SondDarl,9,SondDatum,"&gt;="&amp;$E4168,SondDatum,"&lt;="&amp;EOMONTH($E4168,0)),$J4168-$M4168))</f>
      </c>
      <c r="O4168" s="43">
        <f>IF($I4168=0,0,INDEX(DarlErsatzRate,9))</f>
      </c>
      <c r="P4168" s="43">
        <f>IF($I4168=0,0,$Q4167*INDEX(DarlErsatzZins,9))</f>
      </c>
      <c r="Q4168" s="43">
        <f>IF($I4168=0,0,$Q4167+$P4168+$O4168)</f>
      </c>
      <c r="R4168" s="43">
        <f>IF($I4168=0,0,$J4168-$M4168-$N4168)</f>
      </c>
    </row>
    <row r="4169">
      <c r="A4169"/>
      <c r="B4169">
        <v>9</v>
      </c>
      <c r="C4169" s="43">
        <f>INDEX(DarlObj,9)</f>
      </c>
      <c r="D4169">
        <v>326</v>
      </c>
      <c r="E4169" s="51">
        <f>IF(INDEX(DarlBelegt,9)=0,0,EOMONTH(INDEX(DarlAuszahlung,9),325)+1)</f>
      </c>
      <c r="F4169" s="43">
        <f>IF($E4169=0,0,YEAR($E4169))</f>
      </c>
      <c r="G4169" s="43">
        <f>IF(INDEX(DarlBindung,9)="",1,IF($E4169&lt;=INDEX(DarlBindung,9),1,0))</f>
      </c>
      <c r="H4169" s="43">
        <f>IF($G4169=1,INDEX(DarlSollzins,9),INDEX(DarlAnschluss,9))</f>
      </c>
      <c r="I4169" s="43">
        <f>IF(INDEX(DarlBelegt,9)=0,0,IF(INDEX(DarlOhneTilgung,9)=1,IF(INDEX(DarlBindung,9)="",1,$G4169),IF($J4169&gt;0.005,1,0)))</f>
      </c>
      <c r="J4169" s="43">
        <f>IF($I4168=0,0,$R4168)</f>
      </c>
      <c r="K4169" s="43">
        <f>IF($I4169=0,0,IF(INDEX(DarlOhneTilgung,9)=1,0,IF(AND(INDEX(DarlTilgStart,9)&gt;0,$E4169=INDEX(DarlTilgStart,9)),$J4169*($H4169+INDEX(DarlTilgung,9))/100/12,IF(AND($G4169=0,$G4168=1),MAX($K4168,$J4169*($H4169+1)/100/12),$K4168))))</f>
      </c>
      <c r="L4169" s="43">
        <f>IF($I4169=0,0,$J4169*$H4169/100/12)</f>
      </c>
      <c r="M4169" s="43">
        <f>IF($I4169=0,0,IF(OR(INDEX(DarlOhneTilgung,9)=1,AND(INDEX(DarlTilgStart,9)&gt;0,$E4169&lt;INDEX(DarlTilgStart,9))),0,MIN(MAX(0,$K4169-$L4169),$J4169)))</f>
      </c>
      <c r="N4169" s="43">
        <f>IF($I4169=0,0,MIN(SUMIFS(SondBetrag,SondDarl,9,SondDatum,"&gt;="&amp;$E4169,SondDatum,"&lt;="&amp;EOMONTH($E4169,0)),$J4169-$M4169))</f>
      </c>
      <c r="O4169" s="43">
        <f>IF($I4169=0,0,INDEX(DarlErsatzRate,9))</f>
      </c>
      <c r="P4169" s="43">
        <f>IF($I4169=0,0,$Q4168*INDEX(DarlErsatzZins,9))</f>
      </c>
      <c r="Q4169" s="43">
        <f>IF($I4169=0,0,$Q4168+$P4169+$O4169)</f>
      </c>
      <c r="R4169" s="43">
        <f>IF($I4169=0,0,$J4169-$M4169-$N4169)</f>
      </c>
    </row>
    <row r="4170">
      <c r="A4170"/>
      <c r="B4170">
        <v>9</v>
      </c>
      <c r="C4170" s="43">
        <f>INDEX(DarlObj,9)</f>
      </c>
      <c r="D4170">
        <v>327</v>
      </c>
      <c r="E4170" s="51">
        <f>IF(INDEX(DarlBelegt,9)=0,0,EOMONTH(INDEX(DarlAuszahlung,9),326)+1)</f>
      </c>
      <c r="F4170" s="43">
        <f>IF($E4170=0,0,YEAR($E4170))</f>
      </c>
      <c r="G4170" s="43">
        <f>IF(INDEX(DarlBindung,9)="",1,IF($E4170&lt;=INDEX(DarlBindung,9),1,0))</f>
      </c>
      <c r="H4170" s="43">
        <f>IF($G4170=1,INDEX(DarlSollzins,9),INDEX(DarlAnschluss,9))</f>
      </c>
      <c r="I4170" s="43">
        <f>IF(INDEX(DarlBelegt,9)=0,0,IF(INDEX(DarlOhneTilgung,9)=1,IF(INDEX(DarlBindung,9)="",1,$G4170),IF($J4170&gt;0.005,1,0)))</f>
      </c>
      <c r="J4170" s="43">
        <f>IF($I4169=0,0,$R4169)</f>
      </c>
      <c r="K4170" s="43">
        <f>IF($I4170=0,0,IF(INDEX(DarlOhneTilgung,9)=1,0,IF(AND(INDEX(DarlTilgStart,9)&gt;0,$E4170=INDEX(DarlTilgStart,9)),$J4170*($H4170+INDEX(DarlTilgung,9))/100/12,IF(AND($G4170=0,$G4169=1),MAX($K4169,$J4170*($H4170+1)/100/12),$K4169))))</f>
      </c>
      <c r="L4170" s="43">
        <f>IF($I4170=0,0,$J4170*$H4170/100/12)</f>
      </c>
      <c r="M4170" s="43">
        <f>IF($I4170=0,0,IF(OR(INDEX(DarlOhneTilgung,9)=1,AND(INDEX(DarlTilgStart,9)&gt;0,$E4170&lt;INDEX(DarlTilgStart,9))),0,MIN(MAX(0,$K4170-$L4170),$J4170)))</f>
      </c>
      <c r="N4170" s="43">
        <f>IF($I4170=0,0,MIN(SUMIFS(SondBetrag,SondDarl,9,SondDatum,"&gt;="&amp;$E4170,SondDatum,"&lt;="&amp;EOMONTH($E4170,0)),$J4170-$M4170))</f>
      </c>
      <c r="O4170" s="43">
        <f>IF($I4170=0,0,INDEX(DarlErsatzRate,9))</f>
      </c>
      <c r="P4170" s="43">
        <f>IF($I4170=0,0,$Q4169*INDEX(DarlErsatzZins,9))</f>
      </c>
      <c r="Q4170" s="43">
        <f>IF($I4170=0,0,$Q4169+$P4170+$O4170)</f>
      </c>
      <c r="R4170" s="43">
        <f>IF($I4170=0,0,$J4170-$M4170-$N4170)</f>
      </c>
    </row>
    <row r="4171">
      <c r="A4171"/>
      <c r="B4171">
        <v>9</v>
      </c>
      <c r="C4171" s="43">
        <f>INDEX(DarlObj,9)</f>
      </c>
      <c r="D4171">
        <v>328</v>
      </c>
      <c r="E4171" s="51">
        <f>IF(INDEX(DarlBelegt,9)=0,0,EOMONTH(INDEX(DarlAuszahlung,9),327)+1)</f>
      </c>
      <c r="F4171" s="43">
        <f>IF($E4171=0,0,YEAR($E4171))</f>
      </c>
      <c r="G4171" s="43">
        <f>IF(INDEX(DarlBindung,9)="",1,IF($E4171&lt;=INDEX(DarlBindung,9),1,0))</f>
      </c>
      <c r="H4171" s="43">
        <f>IF($G4171=1,INDEX(DarlSollzins,9),INDEX(DarlAnschluss,9))</f>
      </c>
      <c r="I4171" s="43">
        <f>IF(INDEX(DarlBelegt,9)=0,0,IF(INDEX(DarlOhneTilgung,9)=1,IF(INDEX(DarlBindung,9)="",1,$G4171),IF($J4171&gt;0.005,1,0)))</f>
      </c>
      <c r="J4171" s="43">
        <f>IF($I4170=0,0,$R4170)</f>
      </c>
      <c r="K4171" s="43">
        <f>IF($I4171=0,0,IF(INDEX(DarlOhneTilgung,9)=1,0,IF(AND(INDEX(DarlTilgStart,9)&gt;0,$E4171=INDEX(DarlTilgStart,9)),$J4171*($H4171+INDEX(DarlTilgung,9))/100/12,IF(AND($G4171=0,$G4170=1),MAX($K4170,$J4171*($H4171+1)/100/12),$K4170))))</f>
      </c>
      <c r="L4171" s="43">
        <f>IF($I4171=0,0,$J4171*$H4171/100/12)</f>
      </c>
      <c r="M4171" s="43">
        <f>IF($I4171=0,0,IF(OR(INDEX(DarlOhneTilgung,9)=1,AND(INDEX(DarlTilgStart,9)&gt;0,$E4171&lt;INDEX(DarlTilgStart,9))),0,MIN(MAX(0,$K4171-$L4171),$J4171)))</f>
      </c>
      <c r="N4171" s="43">
        <f>IF($I4171=0,0,MIN(SUMIFS(SondBetrag,SondDarl,9,SondDatum,"&gt;="&amp;$E4171,SondDatum,"&lt;="&amp;EOMONTH($E4171,0)),$J4171-$M4171))</f>
      </c>
      <c r="O4171" s="43">
        <f>IF($I4171=0,0,INDEX(DarlErsatzRate,9))</f>
      </c>
      <c r="P4171" s="43">
        <f>IF($I4171=0,0,$Q4170*INDEX(DarlErsatzZins,9))</f>
      </c>
      <c r="Q4171" s="43">
        <f>IF($I4171=0,0,$Q4170+$P4171+$O4171)</f>
      </c>
      <c r="R4171" s="43">
        <f>IF($I4171=0,0,$J4171-$M4171-$N4171)</f>
      </c>
    </row>
    <row r="4172">
      <c r="A4172"/>
      <c r="B4172">
        <v>9</v>
      </c>
      <c r="C4172" s="43">
        <f>INDEX(DarlObj,9)</f>
      </c>
      <c r="D4172">
        <v>329</v>
      </c>
      <c r="E4172" s="51">
        <f>IF(INDEX(DarlBelegt,9)=0,0,EOMONTH(INDEX(DarlAuszahlung,9),328)+1)</f>
      </c>
      <c r="F4172" s="43">
        <f>IF($E4172=0,0,YEAR($E4172))</f>
      </c>
      <c r="G4172" s="43">
        <f>IF(INDEX(DarlBindung,9)="",1,IF($E4172&lt;=INDEX(DarlBindung,9),1,0))</f>
      </c>
      <c r="H4172" s="43">
        <f>IF($G4172=1,INDEX(DarlSollzins,9),INDEX(DarlAnschluss,9))</f>
      </c>
      <c r="I4172" s="43">
        <f>IF(INDEX(DarlBelegt,9)=0,0,IF(INDEX(DarlOhneTilgung,9)=1,IF(INDEX(DarlBindung,9)="",1,$G4172),IF($J4172&gt;0.005,1,0)))</f>
      </c>
      <c r="J4172" s="43">
        <f>IF($I4171=0,0,$R4171)</f>
      </c>
      <c r="K4172" s="43">
        <f>IF($I4172=0,0,IF(INDEX(DarlOhneTilgung,9)=1,0,IF(AND(INDEX(DarlTilgStart,9)&gt;0,$E4172=INDEX(DarlTilgStart,9)),$J4172*($H4172+INDEX(DarlTilgung,9))/100/12,IF(AND($G4172=0,$G4171=1),MAX($K4171,$J4172*($H4172+1)/100/12),$K4171))))</f>
      </c>
      <c r="L4172" s="43">
        <f>IF($I4172=0,0,$J4172*$H4172/100/12)</f>
      </c>
      <c r="M4172" s="43">
        <f>IF($I4172=0,0,IF(OR(INDEX(DarlOhneTilgung,9)=1,AND(INDEX(DarlTilgStart,9)&gt;0,$E4172&lt;INDEX(DarlTilgStart,9))),0,MIN(MAX(0,$K4172-$L4172),$J4172)))</f>
      </c>
      <c r="N4172" s="43">
        <f>IF($I4172=0,0,MIN(SUMIFS(SondBetrag,SondDarl,9,SondDatum,"&gt;="&amp;$E4172,SondDatum,"&lt;="&amp;EOMONTH($E4172,0)),$J4172-$M4172))</f>
      </c>
      <c r="O4172" s="43">
        <f>IF($I4172=0,0,INDEX(DarlErsatzRate,9))</f>
      </c>
      <c r="P4172" s="43">
        <f>IF($I4172=0,0,$Q4171*INDEX(DarlErsatzZins,9))</f>
      </c>
      <c r="Q4172" s="43">
        <f>IF($I4172=0,0,$Q4171+$P4172+$O4172)</f>
      </c>
      <c r="R4172" s="43">
        <f>IF($I4172=0,0,$J4172-$M4172-$N4172)</f>
      </c>
    </row>
    <row r="4173">
      <c r="A4173"/>
      <c r="B4173">
        <v>9</v>
      </c>
      <c r="C4173" s="43">
        <f>INDEX(DarlObj,9)</f>
      </c>
      <c r="D4173">
        <v>330</v>
      </c>
      <c r="E4173" s="51">
        <f>IF(INDEX(DarlBelegt,9)=0,0,EOMONTH(INDEX(DarlAuszahlung,9),329)+1)</f>
      </c>
      <c r="F4173" s="43">
        <f>IF($E4173=0,0,YEAR($E4173))</f>
      </c>
      <c r="G4173" s="43">
        <f>IF(INDEX(DarlBindung,9)="",1,IF($E4173&lt;=INDEX(DarlBindung,9),1,0))</f>
      </c>
      <c r="H4173" s="43">
        <f>IF($G4173=1,INDEX(DarlSollzins,9),INDEX(DarlAnschluss,9))</f>
      </c>
      <c r="I4173" s="43">
        <f>IF(INDEX(DarlBelegt,9)=0,0,IF(INDEX(DarlOhneTilgung,9)=1,IF(INDEX(DarlBindung,9)="",1,$G4173),IF($J4173&gt;0.005,1,0)))</f>
      </c>
      <c r="J4173" s="43">
        <f>IF($I4172=0,0,$R4172)</f>
      </c>
      <c r="K4173" s="43">
        <f>IF($I4173=0,0,IF(INDEX(DarlOhneTilgung,9)=1,0,IF(AND(INDEX(DarlTilgStart,9)&gt;0,$E4173=INDEX(DarlTilgStart,9)),$J4173*($H4173+INDEX(DarlTilgung,9))/100/12,IF(AND($G4173=0,$G4172=1),MAX($K4172,$J4173*($H4173+1)/100/12),$K4172))))</f>
      </c>
      <c r="L4173" s="43">
        <f>IF($I4173=0,0,$J4173*$H4173/100/12)</f>
      </c>
      <c r="M4173" s="43">
        <f>IF($I4173=0,0,IF(OR(INDEX(DarlOhneTilgung,9)=1,AND(INDEX(DarlTilgStart,9)&gt;0,$E4173&lt;INDEX(DarlTilgStart,9))),0,MIN(MAX(0,$K4173-$L4173),$J4173)))</f>
      </c>
      <c r="N4173" s="43">
        <f>IF($I4173=0,0,MIN(SUMIFS(SondBetrag,SondDarl,9,SondDatum,"&gt;="&amp;$E4173,SondDatum,"&lt;="&amp;EOMONTH($E4173,0)),$J4173-$M4173))</f>
      </c>
      <c r="O4173" s="43">
        <f>IF($I4173=0,0,INDEX(DarlErsatzRate,9))</f>
      </c>
      <c r="P4173" s="43">
        <f>IF($I4173=0,0,$Q4172*INDEX(DarlErsatzZins,9))</f>
      </c>
      <c r="Q4173" s="43">
        <f>IF($I4173=0,0,$Q4172+$P4173+$O4173)</f>
      </c>
      <c r="R4173" s="43">
        <f>IF($I4173=0,0,$J4173-$M4173-$N4173)</f>
      </c>
    </row>
    <row r="4174">
      <c r="A4174"/>
      <c r="B4174">
        <v>9</v>
      </c>
      <c r="C4174" s="43">
        <f>INDEX(DarlObj,9)</f>
      </c>
      <c r="D4174">
        <v>331</v>
      </c>
      <c r="E4174" s="51">
        <f>IF(INDEX(DarlBelegt,9)=0,0,EOMONTH(INDEX(DarlAuszahlung,9),330)+1)</f>
      </c>
      <c r="F4174" s="43">
        <f>IF($E4174=0,0,YEAR($E4174))</f>
      </c>
      <c r="G4174" s="43">
        <f>IF(INDEX(DarlBindung,9)="",1,IF($E4174&lt;=INDEX(DarlBindung,9),1,0))</f>
      </c>
      <c r="H4174" s="43">
        <f>IF($G4174=1,INDEX(DarlSollzins,9),INDEX(DarlAnschluss,9))</f>
      </c>
      <c r="I4174" s="43">
        <f>IF(INDEX(DarlBelegt,9)=0,0,IF(INDEX(DarlOhneTilgung,9)=1,IF(INDEX(DarlBindung,9)="",1,$G4174),IF($J4174&gt;0.005,1,0)))</f>
      </c>
      <c r="J4174" s="43">
        <f>IF($I4173=0,0,$R4173)</f>
      </c>
      <c r="K4174" s="43">
        <f>IF($I4174=0,0,IF(INDEX(DarlOhneTilgung,9)=1,0,IF(AND(INDEX(DarlTilgStart,9)&gt;0,$E4174=INDEX(DarlTilgStart,9)),$J4174*($H4174+INDEX(DarlTilgung,9))/100/12,IF(AND($G4174=0,$G4173=1),MAX($K4173,$J4174*($H4174+1)/100/12),$K4173))))</f>
      </c>
      <c r="L4174" s="43">
        <f>IF($I4174=0,0,$J4174*$H4174/100/12)</f>
      </c>
      <c r="M4174" s="43">
        <f>IF($I4174=0,0,IF(OR(INDEX(DarlOhneTilgung,9)=1,AND(INDEX(DarlTilgStart,9)&gt;0,$E4174&lt;INDEX(DarlTilgStart,9))),0,MIN(MAX(0,$K4174-$L4174),$J4174)))</f>
      </c>
      <c r="N4174" s="43">
        <f>IF($I4174=0,0,MIN(SUMIFS(SondBetrag,SondDarl,9,SondDatum,"&gt;="&amp;$E4174,SondDatum,"&lt;="&amp;EOMONTH($E4174,0)),$J4174-$M4174))</f>
      </c>
      <c r="O4174" s="43">
        <f>IF($I4174=0,0,INDEX(DarlErsatzRate,9))</f>
      </c>
      <c r="P4174" s="43">
        <f>IF($I4174=0,0,$Q4173*INDEX(DarlErsatzZins,9))</f>
      </c>
      <c r="Q4174" s="43">
        <f>IF($I4174=0,0,$Q4173+$P4174+$O4174)</f>
      </c>
      <c r="R4174" s="43">
        <f>IF($I4174=0,0,$J4174-$M4174-$N4174)</f>
      </c>
    </row>
    <row r="4175">
      <c r="A4175"/>
      <c r="B4175">
        <v>9</v>
      </c>
      <c r="C4175" s="43">
        <f>INDEX(DarlObj,9)</f>
      </c>
      <c r="D4175">
        <v>332</v>
      </c>
      <c r="E4175" s="51">
        <f>IF(INDEX(DarlBelegt,9)=0,0,EOMONTH(INDEX(DarlAuszahlung,9),331)+1)</f>
      </c>
      <c r="F4175" s="43">
        <f>IF($E4175=0,0,YEAR($E4175))</f>
      </c>
      <c r="G4175" s="43">
        <f>IF(INDEX(DarlBindung,9)="",1,IF($E4175&lt;=INDEX(DarlBindung,9),1,0))</f>
      </c>
      <c r="H4175" s="43">
        <f>IF($G4175=1,INDEX(DarlSollzins,9),INDEX(DarlAnschluss,9))</f>
      </c>
      <c r="I4175" s="43">
        <f>IF(INDEX(DarlBelegt,9)=0,0,IF(INDEX(DarlOhneTilgung,9)=1,IF(INDEX(DarlBindung,9)="",1,$G4175),IF($J4175&gt;0.005,1,0)))</f>
      </c>
      <c r="J4175" s="43">
        <f>IF($I4174=0,0,$R4174)</f>
      </c>
      <c r="K4175" s="43">
        <f>IF($I4175=0,0,IF(INDEX(DarlOhneTilgung,9)=1,0,IF(AND(INDEX(DarlTilgStart,9)&gt;0,$E4175=INDEX(DarlTilgStart,9)),$J4175*($H4175+INDEX(DarlTilgung,9))/100/12,IF(AND($G4175=0,$G4174=1),MAX($K4174,$J4175*($H4175+1)/100/12),$K4174))))</f>
      </c>
      <c r="L4175" s="43">
        <f>IF($I4175=0,0,$J4175*$H4175/100/12)</f>
      </c>
      <c r="M4175" s="43">
        <f>IF($I4175=0,0,IF(OR(INDEX(DarlOhneTilgung,9)=1,AND(INDEX(DarlTilgStart,9)&gt;0,$E4175&lt;INDEX(DarlTilgStart,9))),0,MIN(MAX(0,$K4175-$L4175),$J4175)))</f>
      </c>
      <c r="N4175" s="43">
        <f>IF($I4175=0,0,MIN(SUMIFS(SondBetrag,SondDarl,9,SondDatum,"&gt;="&amp;$E4175,SondDatum,"&lt;="&amp;EOMONTH($E4175,0)),$J4175-$M4175))</f>
      </c>
      <c r="O4175" s="43">
        <f>IF($I4175=0,0,INDEX(DarlErsatzRate,9))</f>
      </c>
      <c r="P4175" s="43">
        <f>IF($I4175=0,0,$Q4174*INDEX(DarlErsatzZins,9))</f>
      </c>
      <c r="Q4175" s="43">
        <f>IF($I4175=0,0,$Q4174+$P4175+$O4175)</f>
      </c>
      <c r="R4175" s="43">
        <f>IF($I4175=0,0,$J4175-$M4175-$N4175)</f>
      </c>
    </row>
    <row r="4176">
      <c r="A4176"/>
      <c r="B4176">
        <v>9</v>
      </c>
      <c r="C4176" s="43">
        <f>INDEX(DarlObj,9)</f>
      </c>
      <c r="D4176">
        <v>333</v>
      </c>
      <c r="E4176" s="51">
        <f>IF(INDEX(DarlBelegt,9)=0,0,EOMONTH(INDEX(DarlAuszahlung,9),332)+1)</f>
      </c>
      <c r="F4176" s="43">
        <f>IF($E4176=0,0,YEAR($E4176))</f>
      </c>
      <c r="G4176" s="43">
        <f>IF(INDEX(DarlBindung,9)="",1,IF($E4176&lt;=INDEX(DarlBindung,9),1,0))</f>
      </c>
      <c r="H4176" s="43">
        <f>IF($G4176=1,INDEX(DarlSollzins,9),INDEX(DarlAnschluss,9))</f>
      </c>
      <c r="I4176" s="43">
        <f>IF(INDEX(DarlBelegt,9)=0,0,IF(INDEX(DarlOhneTilgung,9)=1,IF(INDEX(DarlBindung,9)="",1,$G4176),IF($J4176&gt;0.005,1,0)))</f>
      </c>
      <c r="J4176" s="43">
        <f>IF($I4175=0,0,$R4175)</f>
      </c>
      <c r="K4176" s="43">
        <f>IF($I4176=0,0,IF(INDEX(DarlOhneTilgung,9)=1,0,IF(AND(INDEX(DarlTilgStart,9)&gt;0,$E4176=INDEX(DarlTilgStart,9)),$J4176*($H4176+INDEX(DarlTilgung,9))/100/12,IF(AND($G4176=0,$G4175=1),MAX($K4175,$J4176*($H4176+1)/100/12),$K4175))))</f>
      </c>
      <c r="L4176" s="43">
        <f>IF($I4176=0,0,$J4176*$H4176/100/12)</f>
      </c>
      <c r="M4176" s="43">
        <f>IF($I4176=0,0,IF(OR(INDEX(DarlOhneTilgung,9)=1,AND(INDEX(DarlTilgStart,9)&gt;0,$E4176&lt;INDEX(DarlTilgStart,9))),0,MIN(MAX(0,$K4176-$L4176),$J4176)))</f>
      </c>
      <c r="N4176" s="43">
        <f>IF($I4176=0,0,MIN(SUMIFS(SondBetrag,SondDarl,9,SondDatum,"&gt;="&amp;$E4176,SondDatum,"&lt;="&amp;EOMONTH($E4176,0)),$J4176-$M4176))</f>
      </c>
      <c r="O4176" s="43">
        <f>IF($I4176=0,0,INDEX(DarlErsatzRate,9))</f>
      </c>
      <c r="P4176" s="43">
        <f>IF($I4176=0,0,$Q4175*INDEX(DarlErsatzZins,9))</f>
      </c>
      <c r="Q4176" s="43">
        <f>IF($I4176=0,0,$Q4175+$P4176+$O4176)</f>
      </c>
      <c r="R4176" s="43">
        <f>IF($I4176=0,0,$J4176-$M4176-$N4176)</f>
      </c>
    </row>
    <row r="4177">
      <c r="A4177"/>
      <c r="B4177">
        <v>9</v>
      </c>
      <c r="C4177" s="43">
        <f>INDEX(DarlObj,9)</f>
      </c>
      <c r="D4177">
        <v>334</v>
      </c>
      <c r="E4177" s="51">
        <f>IF(INDEX(DarlBelegt,9)=0,0,EOMONTH(INDEX(DarlAuszahlung,9),333)+1)</f>
      </c>
      <c r="F4177" s="43">
        <f>IF($E4177=0,0,YEAR($E4177))</f>
      </c>
      <c r="G4177" s="43">
        <f>IF(INDEX(DarlBindung,9)="",1,IF($E4177&lt;=INDEX(DarlBindung,9),1,0))</f>
      </c>
      <c r="H4177" s="43">
        <f>IF($G4177=1,INDEX(DarlSollzins,9),INDEX(DarlAnschluss,9))</f>
      </c>
      <c r="I4177" s="43">
        <f>IF(INDEX(DarlBelegt,9)=0,0,IF(INDEX(DarlOhneTilgung,9)=1,IF(INDEX(DarlBindung,9)="",1,$G4177),IF($J4177&gt;0.005,1,0)))</f>
      </c>
      <c r="J4177" s="43">
        <f>IF($I4176=0,0,$R4176)</f>
      </c>
      <c r="K4177" s="43">
        <f>IF($I4177=0,0,IF(INDEX(DarlOhneTilgung,9)=1,0,IF(AND(INDEX(DarlTilgStart,9)&gt;0,$E4177=INDEX(DarlTilgStart,9)),$J4177*($H4177+INDEX(DarlTilgung,9))/100/12,IF(AND($G4177=0,$G4176=1),MAX($K4176,$J4177*($H4177+1)/100/12),$K4176))))</f>
      </c>
      <c r="L4177" s="43">
        <f>IF($I4177=0,0,$J4177*$H4177/100/12)</f>
      </c>
      <c r="M4177" s="43">
        <f>IF($I4177=0,0,IF(OR(INDEX(DarlOhneTilgung,9)=1,AND(INDEX(DarlTilgStart,9)&gt;0,$E4177&lt;INDEX(DarlTilgStart,9))),0,MIN(MAX(0,$K4177-$L4177),$J4177)))</f>
      </c>
      <c r="N4177" s="43">
        <f>IF($I4177=0,0,MIN(SUMIFS(SondBetrag,SondDarl,9,SondDatum,"&gt;="&amp;$E4177,SondDatum,"&lt;="&amp;EOMONTH($E4177,0)),$J4177-$M4177))</f>
      </c>
      <c r="O4177" s="43">
        <f>IF($I4177=0,0,INDEX(DarlErsatzRate,9))</f>
      </c>
      <c r="P4177" s="43">
        <f>IF($I4177=0,0,$Q4176*INDEX(DarlErsatzZins,9))</f>
      </c>
      <c r="Q4177" s="43">
        <f>IF($I4177=0,0,$Q4176+$P4177+$O4177)</f>
      </c>
      <c r="R4177" s="43">
        <f>IF($I4177=0,0,$J4177-$M4177-$N4177)</f>
      </c>
    </row>
    <row r="4178">
      <c r="A4178"/>
      <c r="B4178">
        <v>9</v>
      </c>
      <c r="C4178" s="43">
        <f>INDEX(DarlObj,9)</f>
      </c>
      <c r="D4178">
        <v>335</v>
      </c>
      <c r="E4178" s="51">
        <f>IF(INDEX(DarlBelegt,9)=0,0,EOMONTH(INDEX(DarlAuszahlung,9),334)+1)</f>
      </c>
      <c r="F4178" s="43">
        <f>IF($E4178=0,0,YEAR($E4178))</f>
      </c>
      <c r="G4178" s="43">
        <f>IF(INDEX(DarlBindung,9)="",1,IF($E4178&lt;=INDEX(DarlBindung,9),1,0))</f>
      </c>
      <c r="H4178" s="43">
        <f>IF($G4178=1,INDEX(DarlSollzins,9),INDEX(DarlAnschluss,9))</f>
      </c>
      <c r="I4178" s="43">
        <f>IF(INDEX(DarlBelegt,9)=0,0,IF(INDEX(DarlOhneTilgung,9)=1,IF(INDEX(DarlBindung,9)="",1,$G4178),IF($J4178&gt;0.005,1,0)))</f>
      </c>
      <c r="J4178" s="43">
        <f>IF($I4177=0,0,$R4177)</f>
      </c>
      <c r="K4178" s="43">
        <f>IF($I4178=0,0,IF(INDEX(DarlOhneTilgung,9)=1,0,IF(AND(INDEX(DarlTilgStart,9)&gt;0,$E4178=INDEX(DarlTilgStart,9)),$J4178*($H4178+INDEX(DarlTilgung,9))/100/12,IF(AND($G4178=0,$G4177=1),MAX($K4177,$J4178*($H4178+1)/100/12),$K4177))))</f>
      </c>
      <c r="L4178" s="43">
        <f>IF($I4178=0,0,$J4178*$H4178/100/12)</f>
      </c>
      <c r="M4178" s="43">
        <f>IF($I4178=0,0,IF(OR(INDEX(DarlOhneTilgung,9)=1,AND(INDEX(DarlTilgStart,9)&gt;0,$E4178&lt;INDEX(DarlTilgStart,9))),0,MIN(MAX(0,$K4178-$L4178),$J4178)))</f>
      </c>
      <c r="N4178" s="43">
        <f>IF($I4178=0,0,MIN(SUMIFS(SondBetrag,SondDarl,9,SondDatum,"&gt;="&amp;$E4178,SondDatum,"&lt;="&amp;EOMONTH($E4178,0)),$J4178-$M4178))</f>
      </c>
      <c r="O4178" s="43">
        <f>IF($I4178=0,0,INDEX(DarlErsatzRate,9))</f>
      </c>
      <c r="P4178" s="43">
        <f>IF($I4178=0,0,$Q4177*INDEX(DarlErsatzZins,9))</f>
      </c>
      <c r="Q4178" s="43">
        <f>IF($I4178=0,0,$Q4177+$P4178+$O4178)</f>
      </c>
      <c r="R4178" s="43">
        <f>IF($I4178=0,0,$J4178-$M4178-$N4178)</f>
      </c>
    </row>
    <row r="4179">
      <c r="A4179"/>
      <c r="B4179">
        <v>9</v>
      </c>
      <c r="C4179" s="43">
        <f>INDEX(DarlObj,9)</f>
      </c>
      <c r="D4179">
        <v>336</v>
      </c>
      <c r="E4179" s="51">
        <f>IF(INDEX(DarlBelegt,9)=0,0,EOMONTH(INDEX(DarlAuszahlung,9),335)+1)</f>
      </c>
      <c r="F4179" s="43">
        <f>IF($E4179=0,0,YEAR($E4179))</f>
      </c>
      <c r="G4179" s="43">
        <f>IF(INDEX(DarlBindung,9)="",1,IF($E4179&lt;=INDEX(DarlBindung,9),1,0))</f>
      </c>
      <c r="H4179" s="43">
        <f>IF($G4179=1,INDEX(DarlSollzins,9),INDEX(DarlAnschluss,9))</f>
      </c>
      <c r="I4179" s="43">
        <f>IF(INDEX(DarlBelegt,9)=0,0,IF(INDEX(DarlOhneTilgung,9)=1,IF(INDEX(DarlBindung,9)="",1,$G4179),IF($J4179&gt;0.005,1,0)))</f>
      </c>
      <c r="J4179" s="43">
        <f>IF($I4178=0,0,$R4178)</f>
      </c>
      <c r="K4179" s="43">
        <f>IF($I4179=0,0,IF(INDEX(DarlOhneTilgung,9)=1,0,IF(AND(INDEX(DarlTilgStart,9)&gt;0,$E4179=INDEX(DarlTilgStart,9)),$J4179*($H4179+INDEX(DarlTilgung,9))/100/12,IF(AND($G4179=0,$G4178=1),MAX($K4178,$J4179*($H4179+1)/100/12),$K4178))))</f>
      </c>
      <c r="L4179" s="43">
        <f>IF($I4179=0,0,$J4179*$H4179/100/12)</f>
      </c>
      <c r="M4179" s="43">
        <f>IF($I4179=0,0,IF(OR(INDEX(DarlOhneTilgung,9)=1,AND(INDEX(DarlTilgStart,9)&gt;0,$E4179&lt;INDEX(DarlTilgStart,9))),0,MIN(MAX(0,$K4179-$L4179),$J4179)))</f>
      </c>
      <c r="N4179" s="43">
        <f>IF($I4179=0,0,MIN(SUMIFS(SondBetrag,SondDarl,9,SondDatum,"&gt;="&amp;$E4179,SondDatum,"&lt;="&amp;EOMONTH($E4179,0)),$J4179-$M4179))</f>
      </c>
      <c r="O4179" s="43">
        <f>IF($I4179=0,0,INDEX(DarlErsatzRate,9))</f>
      </c>
      <c r="P4179" s="43">
        <f>IF($I4179=0,0,$Q4178*INDEX(DarlErsatzZins,9))</f>
      </c>
      <c r="Q4179" s="43">
        <f>IF($I4179=0,0,$Q4178+$P4179+$O4179)</f>
      </c>
      <c r="R4179" s="43">
        <f>IF($I4179=0,0,$J4179-$M4179-$N4179)</f>
      </c>
    </row>
    <row r="4180">
      <c r="A4180"/>
      <c r="B4180">
        <v>9</v>
      </c>
      <c r="C4180" s="43">
        <f>INDEX(DarlObj,9)</f>
      </c>
      <c r="D4180">
        <v>337</v>
      </c>
      <c r="E4180" s="51">
        <f>IF(INDEX(DarlBelegt,9)=0,0,EOMONTH(INDEX(DarlAuszahlung,9),336)+1)</f>
      </c>
      <c r="F4180" s="43">
        <f>IF($E4180=0,0,YEAR($E4180))</f>
      </c>
      <c r="G4180" s="43">
        <f>IF(INDEX(DarlBindung,9)="",1,IF($E4180&lt;=INDEX(DarlBindung,9),1,0))</f>
      </c>
      <c r="H4180" s="43">
        <f>IF($G4180=1,INDEX(DarlSollzins,9),INDEX(DarlAnschluss,9))</f>
      </c>
      <c r="I4180" s="43">
        <f>IF(INDEX(DarlBelegt,9)=0,0,IF(INDEX(DarlOhneTilgung,9)=1,IF(INDEX(DarlBindung,9)="",1,$G4180),IF($J4180&gt;0.005,1,0)))</f>
      </c>
      <c r="J4180" s="43">
        <f>IF($I4179=0,0,$R4179)</f>
      </c>
      <c r="K4180" s="43">
        <f>IF($I4180=0,0,IF(INDEX(DarlOhneTilgung,9)=1,0,IF(AND(INDEX(DarlTilgStart,9)&gt;0,$E4180=INDEX(DarlTilgStart,9)),$J4180*($H4180+INDEX(DarlTilgung,9))/100/12,IF(AND($G4180=0,$G4179=1),MAX($K4179,$J4180*($H4180+1)/100/12),$K4179))))</f>
      </c>
      <c r="L4180" s="43">
        <f>IF($I4180=0,0,$J4180*$H4180/100/12)</f>
      </c>
      <c r="M4180" s="43">
        <f>IF($I4180=0,0,IF(OR(INDEX(DarlOhneTilgung,9)=1,AND(INDEX(DarlTilgStart,9)&gt;0,$E4180&lt;INDEX(DarlTilgStart,9))),0,MIN(MAX(0,$K4180-$L4180),$J4180)))</f>
      </c>
      <c r="N4180" s="43">
        <f>IF($I4180=0,0,MIN(SUMIFS(SondBetrag,SondDarl,9,SondDatum,"&gt;="&amp;$E4180,SondDatum,"&lt;="&amp;EOMONTH($E4180,0)),$J4180-$M4180))</f>
      </c>
      <c r="O4180" s="43">
        <f>IF($I4180=0,0,INDEX(DarlErsatzRate,9))</f>
      </c>
      <c r="P4180" s="43">
        <f>IF($I4180=0,0,$Q4179*INDEX(DarlErsatzZins,9))</f>
      </c>
      <c r="Q4180" s="43">
        <f>IF($I4180=0,0,$Q4179+$P4180+$O4180)</f>
      </c>
      <c r="R4180" s="43">
        <f>IF($I4180=0,0,$J4180-$M4180-$N4180)</f>
      </c>
    </row>
    <row r="4181">
      <c r="A4181"/>
      <c r="B4181">
        <v>9</v>
      </c>
      <c r="C4181" s="43">
        <f>INDEX(DarlObj,9)</f>
      </c>
      <c r="D4181">
        <v>338</v>
      </c>
      <c r="E4181" s="51">
        <f>IF(INDEX(DarlBelegt,9)=0,0,EOMONTH(INDEX(DarlAuszahlung,9),337)+1)</f>
      </c>
      <c r="F4181" s="43">
        <f>IF($E4181=0,0,YEAR($E4181))</f>
      </c>
      <c r="G4181" s="43">
        <f>IF(INDEX(DarlBindung,9)="",1,IF($E4181&lt;=INDEX(DarlBindung,9),1,0))</f>
      </c>
      <c r="H4181" s="43">
        <f>IF($G4181=1,INDEX(DarlSollzins,9),INDEX(DarlAnschluss,9))</f>
      </c>
      <c r="I4181" s="43">
        <f>IF(INDEX(DarlBelegt,9)=0,0,IF(INDEX(DarlOhneTilgung,9)=1,IF(INDEX(DarlBindung,9)="",1,$G4181),IF($J4181&gt;0.005,1,0)))</f>
      </c>
      <c r="J4181" s="43">
        <f>IF($I4180=0,0,$R4180)</f>
      </c>
      <c r="K4181" s="43">
        <f>IF($I4181=0,0,IF(INDEX(DarlOhneTilgung,9)=1,0,IF(AND(INDEX(DarlTilgStart,9)&gt;0,$E4181=INDEX(DarlTilgStart,9)),$J4181*($H4181+INDEX(DarlTilgung,9))/100/12,IF(AND($G4181=0,$G4180=1),MAX($K4180,$J4181*($H4181+1)/100/12),$K4180))))</f>
      </c>
      <c r="L4181" s="43">
        <f>IF($I4181=0,0,$J4181*$H4181/100/12)</f>
      </c>
      <c r="M4181" s="43">
        <f>IF($I4181=0,0,IF(OR(INDEX(DarlOhneTilgung,9)=1,AND(INDEX(DarlTilgStart,9)&gt;0,$E4181&lt;INDEX(DarlTilgStart,9))),0,MIN(MAX(0,$K4181-$L4181),$J4181)))</f>
      </c>
      <c r="N4181" s="43">
        <f>IF($I4181=0,0,MIN(SUMIFS(SondBetrag,SondDarl,9,SondDatum,"&gt;="&amp;$E4181,SondDatum,"&lt;="&amp;EOMONTH($E4181,0)),$J4181-$M4181))</f>
      </c>
      <c r="O4181" s="43">
        <f>IF($I4181=0,0,INDEX(DarlErsatzRate,9))</f>
      </c>
      <c r="P4181" s="43">
        <f>IF($I4181=0,0,$Q4180*INDEX(DarlErsatzZins,9))</f>
      </c>
      <c r="Q4181" s="43">
        <f>IF($I4181=0,0,$Q4180+$P4181+$O4181)</f>
      </c>
      <c r="R4181" s="43">
        <f>IF($I4181=0,0,$J4181-$M4181-$N4181)</f>
      </c>
    </row>
    <row r="4182">
      <c r="A4182"/>
      <c r="B4182">
        <v>9</v>
      </c>
      <c r="C4182" s="43">
        <f>INDEX(DarlObj,9)</f>
      </c>
      <c r="D4182">
        <v>339</v>
      </c>
      <c r="E4182" s="51">
        <f>IF(INDEX(DarlBelegt,9)=0,0,EOMONTH(INDEX(DarlAuszahlung,9),338)+1)</f>
      </c>
      <c r="F4182" s="43">
        <f>IF($E4182=0,0,YEAR($E4182))</f>
      </c>
      <c r="G4182" s="43">
        <f>IF(INDEX(DarlBindung,9)="",1,IF($E4182&lt;=INDEX(DarlBindung,9),1,0))</f>
      </c>
      <c r="H4182" s="43">
        <f>IF($G4182=1,INDEX(DarlSollzins,9),INDEX(DarlAnschluss,9))</f>
      </c>
      <c r="I4182" s="43">
        <f>IF(INDEX(DarlBelegt,9)=0,0,IF(INDEX(DarlOhneTilgung,9)=1,IF(INDEX(DarlBindung,9)="",1,$G4182),IF($J4182&gt;0.005,1,0)))</f>
      </c>
      <c r="J4182" s="43">
        <f>IF($I4181=0,0,$R4181)</f>
      </c>
      <c r="K4182" s="43">
        <f>IF($I4182=0,0,IF(INDEX(DarlOhneTilgung,9)=1,0,IF(AND(INDEX(DarlTilgStart,9)&gt;0,$E4182=INDEX(DarlTilgStart,9)),$J4182*($H4182+INDEX(DarlTilgung,9))/100/12,IF(AND($G4182=0,$G4181=1),MAX($K4181,$J4182*($H4182+1)/100/12),$K4181))))</f>
      </c>
      <c r="L4182" s="43">
        <f>IF($I4182=0,0,$J4182*$H4182/100/12)</f>
      </c>
      <c r="M4182" s="43">
        <f>IF($I4182=0,0,IF(OR(INDEX(DarlOhneTilgung,9)=1,AND(INDEX(DarlTilgStart,9)&gt;0,$E4182&lt;INDEX(DarlTilgStart,9))),0,MIN(MAX(0,$K4182-$L4182),$J4182)))</f>
      </c>
      <c r="N4182" s="43">
        <f>IF($I4182=0,0,MIN(SUMIFS(SondBetrag,SondDarl,9,SondDatum,"&gt;="&amp;$E4182,SondDatum,"&lt;="&amp;EOMONTH($E4182,0)),$J4182-$M4182))</f>
      </c>
      <c r="O4182" s="43">
        <f>IF($I4182=0,0,INDEX(DarlErsatzRate,9))</f>
      </c>
      <c r="P4182" s="43">
        <f>IF($I4182=0,0,$Q4181*INDEX(DarlErsatzZins,9))</f>
      </c>
      <c r="Q4182" s="43">
        <f>IF($I4182=0,0,$Q4181+$P4182+$O4182)</f>
      </c>
      <c r="R4182" s="43">
        <f>IF($I4182=0,0,$J4182-$M4182-$N4182)</f>
      </c>
    </row>
    <row r="4183">
      <c r="A4183"/>
      <c r="B4183">
        <v>9</v>
      </c>
      <c r="C4183" s="43">
        <f>INDEX(DarlObj,9)</f>
      </c>
      <c r="D4183">
        <v>340</v>
      </c>
      <c r="E4183" s="51">
        <f>IF(INDEX(DarlBelegt,9)=0,0,EOMONTH(INDEX(DarlAuszahlung,9),339)+1)</f>
      </c>
      <c r="F4183" s="43">
        <f>IF($E4183=0,0,YEAR($E4183))</f>
      </c>
      <c r="G4183" s="43">
        <f>IF(INDEX(DarlBindung,9)="",1,IF($E4183&lt;=INDEX(DarlBindung,9),1,0))</f>
      </c>
      <c r="H4183" s="43">
        <f>IF($G4183=1,INDEX(DarlSollzins,9),INDEX(DarlAnschluss,9))</f>
      </c>
      <c r="I4183" s="43">
        <f>IF(INDEX(DarlBelegt,9)=0,0,IF(INDEX(DarlOhneTilgung,9)=1,IF(INDEX(DarlBindung,9)="",1,$G4183),IF($J4183&gt;0.005,1,0)))</f>
      </c>
      <c r="J4183" s="43">
        <f>IF($I4182=0,0,$R4182)</f>
      </c>
      <c r="K4183" s="43">
        <f>IF($I4183=0,0,IF(INDEX(DarlOhneTilgung,9)=1,0,IF(AND(INDEX(DarlTilgStart,9)&gt;0,$E4183=INDEX(DarlTilgStart,9)),$J4183*($H4183+INDEX(DarlTilgung,9))/100/12,IF(AND($G4183=0,$G4182=1),MAX($K4182,$J4183*($H4183+1)/100/12),$K4182))))</f>
      </c>
      <c r="L4183" s="43">
        <f>IF($I4183=0,0,$J4183*$H4183/100/12)</f>
      </c>
      <c r="M4183" s="43">
        <f>IF($I4183=0,0,IF(OR(INDEX(DarlOhneTilgung,9)=1,AND(INDEX(DarlTilgStart,9)&gt;0,$E4183&lt;INDEX(DarlTilgStart,9))),0,MIN(MAX(0,$K4183-$L4183),$J4183)))</f>
      </c>
      <c r="N4183" s="43">
        <f>IF($I4183=0,0,MIN(SUMIFS(SondBetrag,SondDarl,9,SondDatum,"&gt;="&amp;$E4183,SondDatum,"&lt;="&amp;EOMONTH($E4183,0)),$J4183-$M4183))</f>
      </c>
      <c r="O4183" s="43">
        <f>IF($I4183=0,0,INDEX(DarlErsatzRate,9))</f>
      </c>
      <c r="P4183" s="43">
        <f>IF($I4183=0,0,$Q4182*INDEX(DarlErsatzZins,9))</f>
      </c>
      <c r="Q4183" s="43">
        <f>IF($I4183=0,0,$Q4182+$P4183+$O4183)</f>
      </c>
      <c r="R4183" s="43">
        <f>IF($I4183=0,0,$J4183-$M4183-$N4183)</f>
      </c>
    </row>
    <row r="4184">
      <c r="A4184"/>
      <c r="B4184">
        <v>9</v>
      </c>
      <c r="C4184" s="43">
        <f>INDEX(DarlObj,9)</f>
      </c>
      <c r="D4184">
        <v>341</v>
      </c>
      <c r="E4184" s="51">
        <f>IF(INDEX(DarlBelegt,9)=0,0,EOMONTH(INDEX(DarlAuszahlung,9),340)+1)</f>
      </c>
      <c r="F4184" s="43">
        <f>IF($E4184=0,0,YEAR($E4184))</f>
      </c>
      <c r="G4184" s="43">
        <f>IF(INDEX(DarlBindung,9)="",1,IF($E4184&lt;=INDEX(DarlBindung,9),1,0))</f>
      </c>
      <c r="H4184" s="43">
        <f>IF($G4184=1,INDEX(DarlSollzins,9),INDEX(DarlAnschluss,9))</f>
      </c>
      <c r="I4184" s="43">
        <f>IF(INDEX(DarlBelegt,9)=0,0,IF(INDEX(DarlOhneTilgung,9)=1,IF(INDEX(DarlBindung,9)="",1,$G4184),IF($J4184&gt;0.005,1,0)))</f>
      </c>
      <c r="J4184" s="43">
        <f>IF($I4183=0,0,$R4183)</f>
      </c>
      <c r="K4184" s="43">
        <f>IF($I4184=0,0,IF(INDEX(DarlOhneTilgung,9)=1,0,IF(AND(INDEX(DarlTilgStart,9)&gt;0,$E4184=INDEX(DarlTilgStart,9)),$J4184*($H4184+INDEX(DarlTilgung,9))/100/12,IF(AND($G4184=0,$G4183=1),MAX($K4183,$J4184*($H4184+1)/100/12),$K4183))))</f>
      </c>
      <c r="L4184" s="43">
        <f>IF($I4184=0,0,$J4184*$H4184/100/12)</f>
      </c>
      <c r="M4184" s="43">
        <f>IF($I4184=0,0,IF(OR(INDEX(DarlOhneTilgung,9)=1,AND(INDEX(DarlTilgStart,9)&gt;0,$E4184&lt;INDEX(DarlTilgStart,9))),0,MIN(MAX(0,$K4184-$L4184),$J4184)))</f>
      </c>
      <c r="N4184" s="43">
        <f>IF($I4184=0,0,MIN(SUMIFS(SondBetrag,SondDarl,9,SondDatum,"&gt;="&amp;$E4184,SondDatum,"&lt;="&amp;EOMONTH($E4184,0)),$J4184-$M4184))</f>
      </c>
      <c r="O4184" s="43">
        <f>IF($I4184=0,0,INDEX(DarlErsatzRate,9))</f>
      </c>
      <c r="P4184" s="43">
        <f>IF($I4184=0,0,$Q4183*INDEX(DarlErsatzZins,9))</f>
      </c>
      <c r="Q4184" s="43">
        <f>IF($I4184=0,0,$Q4183+$P4184+$O4184)</f>
      </c>
      <c r="R4184" s="43">
        <f>IF($I4184=0,0,$J4184-$M4184-$N4184)</f>
      </c>
    </row>
    <row r="4185">
      <c r="A4185"/>
      <c r="B4185">
        <v>9</v>
      </c>
      <c r="C4185" s="43">
        <f>INDEX(DarlObj,9)</f>
      </c>
      <c r="D4185">
        <v>342</v>
      </c>
      <c r="E4185" s="51">
        <f>IF(INDEX(DarlBelegt,9)=0,0,EOMONTH(INDEX(DarlAuszahlung,9),341)+1)</f>
      </c>
      <c r="F4185" s="43">
        <f>IF($E4185=0,0,YEAR($E4185))</f>
      </c>
      <c r="G4185" s="43">
        <f>IF(INDEX(DarlBindung,9)="",1,IF($E4185&lt;=INDEX(DarlBindung,9),1,0))</f>
      </c>
      <c r="H4185" s="43">
        <f>IF($G4185=1,INDEX(DarlSollzins,9),INDEX(DarlAnschluss,9))</f>
      </c>
      <c r="I4185" s="43">
        <f>IF(INDEX(DarlBelegt,9)=0,0,IF(INDEX(DarlOhneTilgung,9)=1,IF(INDEX(DarlBindung,9)="",1,$G4185),IF($J4185&gt;0.005,1,0)))</f>
      </c>
      <c r="J4185" s="43">
        <f>IF($I4184=0,0,$R4184)</f>
      </c>
      <c r="K4185" s="43">
        <f>IF($I4185=0,0,IF(INDEX(DarlOhneTilgung,9)=1,0,IF(AND(INDEX(DarlTilgStart,9)&gt;0,$E4185=INDEX(DarlTilgStart,9)),$J4185*($H4185+INDEX(DarlTilgung,9))/100/12,IF(AND($G4185=0,$G4184=1),MAX($K4184,$J4185*($H4185+1)/100/12),$K4184))))</f>
      </c>
      <c r="L4185" s="43">
        <f>IF($I4185=0,0,$J4185*$H4185/100/12)</f>
      </c>
      <c r="M4185" s="43">
        <f>IF($I4185=0,0,IF(OR(INDEX(DarlOhneTilgung,9)=1,AND(INDEX(DarlTilgStart,9)&gt;0,$E4185&lt;INDEX(DarlTilgStart,9))),0,MIN(MAX(0,$K4185-$L4185),$J4185)))</f>
      </c>
      <c r="N4185" s="43">
        <f>IF($I4185=0,0,MIN(SUMIFS(SondBetrag,SondDarl,9,SondDatum,"&gt;="&amp;$E4185,SondDatum,"&lt;="&amp;EOMONTH($E4185,0)),$J4185-$M4185))</f>
      </c>
      <c r="O4185" s="43">
        <f>IF($I4185=0,0,INDEX(DarlErsatzRate,9))</f>
      </c>
      <c r="P4185" s="43">
        <f>IF($I4185=0,0,$Q4184*INDEX(DarlErsatzZins,9))</f>
      </c>
      <c r="Q4185" s="43">
        <f>IF($I4185=0,0,$Q4184+$P4185+$O4185)</f>
      </c>
      <c r="R4185" s="43">
        <f>IF($I4185=0,0,$J4185-$M4185-$N4185)</f>
      </c>
    </row>
    <row r="4186">
      <c r="A4186"/>
      <c r="B4186">
        <v>9</v>
      </c>
      <c r="C4186" s="43">
        <f>INDEX(DarlObj,9)</f>
      </c>
      <c r="D4186">
        <v>343</v>
      </c>
      <c r="E4186" s="51">
        <f>IF(INDEX(DarlBelegt,9)=0,0,EOMONTH(INDEX(DarlAuszahlung,9),342)+1)</f>
      </c>
      <c r="F4186" s="43">
        <f>IF($E4186=0,0,YEAR($E4186))</f>
      </c>
      <c r="G4186" s="43">
        <f>IF(INDEX(DarlBindung,9)="",1,IF($E4186&lt;=INDEX(DarlBindung,9),1,0))</f>
      </c>
      <c r="H4186" s="43">
        <f>IF($G4186=1,INDEX(DarlSollzins,9),INDEX(DarlAnschluss,9))</f>
      </c>
      <c r="I4186" s="43">
        <f>IF(INDEX(DarlBelegt,9)=0,0,IF(INDEX(DarlOhneTilgung,9)=1,IF(INDEX(DarlBindung,9)="",1,$G4186),IF($J4186&gt;0.005,1,0)))</f>
      </c>
      <c r="J4186" s="43">
        <f>IF($I4185=0,0,$R4185)</f>
      </c>
      <c r="K4186" s="43">
        <f>IF($I4186=0,0,IF(INDEX(DarlOhneTilgung,9)=1,0,IF(AND(INDEX(DarlTilgStart,9)&gt;0,$E4186=INDEX(DarlTilgStart,9)),$J4186*($H4186+INDEX(DarlTilgung,9))/100/12,IF(AND($G4186=0,$G4185=1),MAX($K4185,$J4186*($H4186+1)/100/12),$K4185))))</f>
      </c>
      <c r="L4186" s="43">
        <f>IF($I4186=0,0,$J4186*$H4186/100/12)</f>
      </c>
      <c r="M4186" s="43">
        <f>IF($I4186=0,0,IF(OR(INDEX(DarlOhneTilgung,9)=1,AND(INDEX(DarlTilgStart,9)&gt;0,$E4186&lt;INDEX(DarlTilgStart,9))),0,MIN(MAX(0,$K4186-$L4186),$J4186)))</f>
      </c>
      <c r="N4186" s="43">
        <f>IF($I4186=0,0,MIN(SUMIFS(SondBetrag,SondDarl,9,SondDatum,"&gt;="&amp;$E4186,SondDatum,"&lt;="&amp;EOMONTH($E4186,0)),$J4186-$M4186))</f>
      </c>
      <c r="O4186" s="43">
        <f>IF($I4186=0,0,INDEX(DarlErsatzRate,9))</f>
      </c>
      <c r="P4186" s="43">
        <f>IF($I4186=0,0,$Q4185*INDEX(DarlErsatzZins,9))</f>
      </c>
      <c r="Q4186" s="43">
        <f>IF($I4186=0,0,$Q4185+$P4186+$O4186)</f>
      </c>
      <c r="R4186" s="43">
        <f>IF($I4186=0,0,$J4186-$M4186-$N4186)</f>
      </c>
    </row>
    <row r="4187">
      <c r="A4187"/>
      <c r="B4187">
        <v>9</v>
      </c>
      <c r="C4187" s="43">
        <f>INDEX(DarlObj,9)</f>
      </c>
      <c r="D4187">
        <v>344</v>
      </c>
      <c r="E4187" s="51">
        <f>IF(INDEX(DarlBelegt,9)=0,0,EOMONTH(INDEX(DarlAuszahlung,9),343)+1)</f>
      </c>
      <c r="F4187" s="43">
        <f>IF($E4187=0,0,YEAR($E4187))</f>
      </c>
      <c r="G4187" s="43">
        <f>IF(INDEX(DarlBindung,9)="",1,IF($E4187&lt;=INDEX(DarlBindung,9),1,0))</f>
      </c>
      <c r="H4187" s="43">
        <f>IF($G4187=1,INDEX(DarlSollzins,9),INDEX(DarlAnschluss,9))</f>
      </c>
      <c r="I4187" s="43">
        <f>IF(INDEX(DarlBelegt,9)=0,0,IF(INDEX(DarlOhneTilgung,9)=1,IF(INDEX(DarlBindung,9)="",1,$G4187),IF($J4187&gt;0.005,1,0)))</f>
      </c>
      <c r="J4187" s="43">
        <f>IF($I4186=0,0,$R4186)</f>
      </c>
      <c r="K4187" s="43">
        <f>IF($I4187=0,0,IF(INDEX(DarlOhneTilgung,9)=1,0,IF(AND(INDEX(DarlTilgStart,9)&gt;0,$E4187=INDEX(DarlTilgStart,9)),$J4187*($H4187+INDEX(DarlTilgung,9))/100/12,IF(AND($G4187=0,$G4186=1),MAX($K4186,$J4187*($H4187+1)/100/12),$K4186))))</f>
      </c>
      <c r="L4187" s="43">
        <f>IF($I4187=0,0,$J4187*$H4187/100/12)</f>
      </c>
      <c r="M4187" s="43">
        <f>IF($I4187=0,0,IF(OR(INDEX(DarlOhneTilgung,9)=1,AND(INDEX(DarlTilgStart,9)&gt;0,$E4187&lt;INDEX(DarlTilgStart,9))),0,MIN(MAX(0,$K4187-$L4187),$J4187)))</f>
      </c>
      <c r="N4187" s="43">
        <f>IF($I4187=0,0,MIN(SUMIFS(SondBetrag,SondDarl,9,SondDatum,"&gt;="&amp;$E4187,SondDatum,"&lt;="&amp;EOMONTH($E4187,0)),$J4187-$M4187))</f>
      </c>
      <c r="O4187" s="43">
        <f>IF($I4187=0,0,INDEX(DarlErsatzRate,9))</f>
      </c>
      <c r="P4187" s="43">
        <f>IF($I4187=0,0,$Q4186*INDEX(DarlErsatzZins,9))</f>
      </c>
      <c r="Q4187" s="43">
        <f>IF($I4187=0,0,$Q4186+$P4187+$O4187)</f>
      </c>
      <c r="R4187" s="43">
        <f>IF($I4187=0,0,$J4187-$M4187-$N4187)</f>
      </c>
    </row>
    <row r="4188">
      <c r="A4188"/>
      <c r="B4188">
        <v>9</v>
      </c>
      <c r="C4188" s="43">
        <f>INDEX(DarlObj,9)</f>
      </c>
      <c r="D4188">
        <v>345</v>
      </c>
      <c r="E4188" s="51">
        <f>IF(INDEX(DarlBelegt,9)=0,0,EOMONTH(INDEX(DarlAuszahlung,9),344)+1)</f>
      </c>
      <c r="F4188" s="43">
        <f>IF($E4188=0,0,YEAR($E4188))</f>
      </c>
      <c r="G4188" s="43">
        <f>IF(INDEX(DarlBindung,9)="",1,IF($E4188&lt;=INDEX(DarlBindung,9),1,0))</f>
      </c>
      <c r="H4188" s="43">
        <f>IF($G4188=1,INDEX(DarlSollzins,9),INDEX(DarlAnschluss,9))</f>
      </c>
      <c r="I4188" s="43">
        <f>IF(INDEX(DarlBelegt,9)=0,0,IF(INDEX(DarlOhneTilgung,9)=1,IF(INDEX(DarlBindung,9)="",1,$G4188),IF($J4188&gt;0.005,1,0)))</f>
      </c>
      <c r="J4188" s="43">
        <f>IF($I4187=0,0,$R4187)</f>
      </c>
      <c r="K4188" s="43">
        <f>IF($I4188=0,0,IF(INDEX(DarlOhneTilgung,9)=1,0,IF(AND(INDEX(DarlTilgStart,9)&gt;0,$E4188=INDEX(DarlTilgStart,9)),$J4188*($H4188+INDEX(DarlTilgung,9))/100/12,IF(AND($G4188=0,$G4187=1),MAX($K4187,$J4188*($H4188+1)/100/12),$K4187))))</f>
      </c>
      <c r="L4188" s="43">
        <f>IF($I4188=0,0,$J4188*$H4188/100/12)</f>
      </c>
      <c r="M4188" s="43">
        <f>IF($I4188=0,0,IF(OR(INDEX(DarlOhneTilgung,9)=1,AND(INDEX(DarlTilgStart,9)&gt;0,$E4188&lt;INDEX(DarlTilgStart,9))),0,MIN(MAX(0,$K4188-$L4188),$J4188)))</f>
      </c>
      <c r="N4188" s="43">
        <f>IF($I4188=0,0,MIN(SUMIFS(SondBetrag,SondDarl,9,SondDatum,"&gt;="&amp;$E4188,SondDatum,"&lt;="&amp;EOMONTH($E4188,0)),$J4188-$M4188))</f>
      </c>
      <c r="O4188" s="43">
        <f>IF($I4188=0,0,INDEX(DarlErsatzRate,9))</f>
      </c>
      <c r="P4188" s="43">
        <f>IF($I4188=0,0,$Q4187*INDEX(DarlErsatzZins,9))</f>
      </c>
      <c r="Q4188" s="43">
        <f>IF($I4188=0,0,$Q4187+$P4188+$O4188)</f>
      </c>
      <c r="R4188" s="43">
        <f>IF($I4188=0,0,$J4188-$M4188-$N4188)</f>
      </c>
    </row>
    <row r="4189">
      <c r="A4189"/>
      <c r="B4189">
        <v>9</v>
      </c>
      <c r="C4189" s="43">
        <f>INDEX(DarlObj,9)</f>
      </c>
      <c r="D4189">
        <v>346</v>
      </c>
      <c r="E4189" s="51">
        <f>IF(INDEX(DarlBelegt,9)=0,0,EOMONTH(INDEX(DarlAuszahlung,9),345)+1)</f>
      </c>
      <c r="F4189" s="43">
        <f>IF($E4189=0,0,YEAR($E4189))</f>
      </c>
      <c r="G4189" s="43">
        <f>IF(INDEX(DarlBindung,9)="",1,IF($E4189&lt;=INDEX(DarlBindung,9),1,0))</f>
      </c>
      <c r="H4189" s="43">
        <f>IF($G4189=1,INDEX(DarlSollzins,9),INDEX(DarlAnschluss,9))</f>
      </c>
      <c r="I4189" s="43">
        <f>IF(INDEX(DarlBelegt,9)=0,0,IF(INDEX(DarlOhneTilgung,9)=1,IF(INDEX(DarlBindung,9)="",1,$G4189),IF($J4189&gt;0.005,1,0)))</f>
      </c>
      <c r="J4189" s="43">
        <f>IF($I4188=0,0,$R4188)</f>
      </c>
      <c r="K4189" s="43">
        <f>IF($I4189=0,0,IF(INDEX(DarlOhneTilgung,9)=1,0,IF(AND(INDEX(DarlTilgStart,9)&gt;0,$E4189=INDEX(DarlTilgStart,9)),$J4189*($H4189+INDEX(DarlTilgung,9))/100/12,IF(AND($G4189=0,$G4188=1),MAX($K4188,$J4189*($H4189+1)/100/12),$K4188))))</f>
      </c>
      <c r="L4189" s="43">
        <f>IF($I4189=0,0,$J4189*$H4189/100/12)</f>
      </c>
      <c r="M4189" s="43">
        <f>IF($I4189=0,0,IF(OR(INDEX(DarlOhneTilgung,9)=1,AND(INDEX(DarlTilgStart,9)&gt;0,$E4189&lt;INDEX(DarlTilgStart,9))),0,MIN(MAX(0,$K4189-$L4189),$J4189)))</f>
      </c>
      <c r="N4189" s="43">
        <f>IF($I4189=0,0,MIN(SUMIFS(SondBetrag,SondDarl,9,SondDatum,"&gt;="&amp;$E4189,SondDatum,"&lt;="&amp;EOMONTH($E4189,0)),$J4189-$M4189))</f>
      </c>
      <c r="O4189" s="43">
        <f>IF($I4189=0,0,INDEX(DarlErsatzRate,9))</f>
      </c>
      <c r="P4189" s="43">
        <f>IF($I4189=0,0,$Q4188*INDEX(DarlErsatzZins,9))</f>
      </c>
      <c r="Q4189" s="43">
        <f>IF($I4189=0,0,$Q4188+$P4189+$O4189)</f>
      </c>
      <c r="R4189" s="43">
        <f>IF($I4189=0,0,$J4189-$M4189-$N4189)</f>
      </c>
    </row>
    <row r="4190">
      <c r="A4190"/>
      <c r="B4190">
        <v>9</v>
      </c>
      <c r="C4190" s="43">
        <f>INDEX(DarlObj,9)</f>
      </c>
      <c r="D4190">
        <v>347</v>
      </c>
      <c r="E4190" s="51">
        <f>IF(INDEX(DarlBelegt,9)=0,0,EOMONTH(INDEX(DarlAuszahlung,9),346)+1)</f>
      </c>
      <c r="F4190" s="43">
        <f>IF($E4190=0,0,YEAR($E4190))</f>
      </c>
      <c r="G4190" s="43">
        <f>IF(INDEX(DarlBindung,9)="",1,IF($E4190&lt;=INDEX(DarlBindung,9),1,0))</f>
      </c>
      <c r="H4190" s="43">
        <f>IF($G4190=1,INDEX(DarlSollzins,9),INDEX(DarlAnschluss,9))</f>
      </c>
      <c r="I4190" s="43">
        <f>IF(INDEX(DarlBelegt,9)=0,0,IF(INDEX(DarlOhneTilgung,9)=1,IF(INDEX(DarlBindung,9)="",1,$G4190),IF($J4190&gt;0.005,1,0)))</f>
      </c>
      <c r="J4190" s="43">
        <f>IF($I4189=0,0,$R4189)</f>
      </c>
      <c r="K4190" s="43">
        <f>IF($I4190=0,0,IF(INDEX(DarlOhneTilgung,9)=1,0,IF(AND(INDEX(DarlTilgStart,9)&gt;0,$E4190=INDEX(DarlTilgStart,9)),$J4190*($H4190+INDEX(DarlTilgung,9))/100/12,IF(AND($G4190=0,$G4189=1),MAX($K4189,$J4190*($H4190+1)/100/12),$K4189))))</f>
      </c>
      <c r="L4190" s="43">
        <f>IF($I4190=0,0,$J4190*$H4190/100/12)</f>
      </c>
      <c r="M4190" s="43">
        <f>IF($I4190=0,0,IF(OR(INDEX(DarlOhneTilgung,9)=1,AND(INDEX(DarlTilgStart,9)&gt;0,$E4190&lt;INDEX(DarlTilgStart,9))),0,MIN(MAX(0,$K4190-$L4190),$J4190)))</f>
      </c>
      <c r="N4190" s="43">
        <f>IF($I4190=0,0,MIN(SUMIFS(SondBetrag,SondDarl,9,SondDatum,"&gt;="&amp;$E4190,SondDatum,"&lt;="&amp;EOMONTH($E4190,0)),$J4190-$M4190))</f>
      </c>
      <c r="O4190" s="43">
        <f>IF($I4190=0,0,INDEX(DarlErsatzRate,9))</f>
      </c>
      <c r="P4190" s="43">
        <f>IF($I4190=0,0,$Q4189*INDEX(DarlErsatzZins,9))</f>
      </c>
      <c r="Q4190" s="43">
        <f>IF($I4190=0,0,$Q4189+$P4190+$O4190)</f>
      </c>
      <c r="R4190" s="43">
        <f>IF($I4190=0,0,$J4190-$M4190-$N4190)</f>
      </c>
    </row>
    <row r="4191">
      <c r="A4191"/>
      <c r="B4191">
        <v>9</v>
      </c>
      <c r="C4191" s="43">
        <f>INDEX(DarlObj,9)</f>
      </c>
      <c r="D4191">
        <v>348</v>
      </c>
      <c r="E4191" s="51">
        <f>IF(INDEX(DarlBelegt,9)=0,0,EOMONTH(INDEX(DarlAuszahlung,9),347)+1)</f>
      </c>
      <c r="F4191" s="43">
        <f>IF($E4191=0,0,YEAR($E4191))</f>
      </c>
      <c r="G4191" s="43">
        <f>IF(INDEX(DarlBindung,9)="",1,IF($E4191&lt;=INDEX(DarlBindung,9),1,0))</f>
      </c>
      <c r="H4191" s="43">
        <f>IF($G4191=1,INDEX(DarlSollzins,9),INDEX(DarlAnschluss,9))</f>
      </c>
      <c r="I4191" s="43">
        <f>IF(INDEX(DarlBelegt,9)=0,0,IF(INDEX(DarlOhneTilgung,9)=1,IF(INDEX(DarlBindung,9)="",1,$G4191),IF($J4191&gt;0.005,1,0)))</f>
      </c>
      <c r="J4191" s="43">
        <f>IF($I4190=0,0,$R4190)</f>
      </c>
      <c r="K4191" s="43">
        <f>IF($I4191=0,0,IF(INDEX(DarlOhneTilgung,9)=1,0,IF(AND(INDEX(DarlTilgStart,9)&gt;0,$E4191=INDEX(DarlTilgStart,9)),$J4191*($H4191+INDEX(DarlTilgung,9))/100/12,IF(AND($G4191=0,$G4190=1),MAX($K4190,$J4191*($H4191+1)/100/12),$K4190))))</f>
      </c>
      <c r="L4191" s="43">
        <f>IF($I4191=0,0,$J4191*$H4191/100/12)</f>
      </c>
      <c r="M4191" s="43">
        <f>IF($I4191=0,0,IF(OR(INDEX(DarlOhneTilgung,9)=1,AND(INDEX(DarlTilgStart,9)&gt;0,$E4191&lt;INDEX(DarlTilgStart,9))),0,MIN(MAX(0,$K4191-$L4191),$J4191)))</f>
      </c>
      <c r="N4191" s="43">
        <f>IF($I4191=0,0,MIN(SUMIFS(SondBetrag,SondDarl,9,SondDatum,"&gt;="&amp;$E4191,SondDatum,"&lt;="&amp;EOMONTH($E4191,0)),$J4191-$M4191))</f>
      </c>
      <c r="O4191" s="43">
        <f>IF($I4191=0,0,INDEX(DarlErsatzRate,9))</f>
      </c>
      <c r="P4191" s="43">
        <f>IF($I4191=0,0,$Q4190*INDEX(DarlErsatzZins,9))</f>
      </c>
      <c r="Q4191" s="43">
        <f>IF($I4191=0,0,$Q4190+$P4191+$O4191)</f>
      </c>
      <c r="R4191" s="43">
        <f>IF($I4191=0,0,$J4191-$M4191-$N4191)</f>
      </c>
    </row>
    <row r="4192">
      <c r="A4192"/>
      <c r="B4192">
        <v>9</v>
      </c>
      <c r="C4192" s="43">
        <f>INDEX(DarlObj,9)</f>
      </c>
      <c r="D4192">
        <v>349</v>
      </c>
      <c r="E4192" s="51">
        <f>IF(INDEX(DarlBelegt,9)=0,0,EOMONTH(INDEX(DarlAuszahlung,9),348)+1)</f>
      </c>
      <c r="F4192" s="43">
        <f>IF($E4192=0,0,YEAR($E4192))</f>
      </c>
      <c r="G4192" s="43">
        <f>IF(INDEX(DarlBindung,9)="",1,IF($E4192&lt;=INDEX(DarlBindung,9),1,0))</f>
      </c>
      <c r="H4192" s="43">
        <f>IF($G4192=1,INDEX(DarlSollzins,9),INDEX(DarlAnschluss,9))</f>
      </c>
      <c r="I4192" s="43">
        <f>IF(INDEX(DarlBelegt,9)=0,0,IF(INDEX(DarlOhneTilgung,9)=1,IF(INDEX(DarlBindung,9)="",1,$G4192),IF($J4192&gt;0.005,1,0)))</f>
      </c>
      <c r="J4192" s="43">
        <f>IF($I4191=0,0,$R4191)</f>
      </c>
      <c r="K4192" s="43">
        <f>IF($I4192=0,0,IF(INDEX(DarlOhneTilgung,9)=1,0,IF(AND(INDEX(DarlTilgStart,9)&gt;0,$E4192=INDEX(DarlTilgStart,9)),$J4192*($H4192+INDEX(DarlTilgung,9))/100/12,IF(AND($G4192=0,$G4191=1),MAX($K4191,$J4192*($H4192+1)/100/12),$K4191))))</f>
      </c>
      <c r="L4192" s="43">
        <f>IF($I4192=0,0,$J4192*$H4192/100/12)</f>
      </c>
      <c r="M4192" s="43">
        <f>IF($I4192=0,0,IF(OR(INDEX(DarlOhneTilgung,9)=1,AND(INDEX(DarlTilgStart,9)&gt;0,$E4192&lt;INDEX(DarlTilgStart,9))),0,MIN(MAX(0,$K4192-$L4192),$J4192)))</f>
      </c>
      <c r="N4192" s="43">
        <f>IF($I4192=0,0,MIN(SUMIFS(SondBetrag,SondDarl,9,SondDatum,"&gt;="&amp;$E4192,SondDatum,"&lt;="&amp;EOMONTH($E4192,0)),$J4192-$M4192))</f>
      </c>
      <c r="O4192" s="43">
        <f>IF($I4192=0,0,INDEX(DarlErsatzRate,9))</f>
      </c>
      <c r="P4192" s="43">
        <f>IF($I4192=0,0,$Q4191*INDEX(DarlErsatzZins,9))</f>
      </c>
      <c r="Q4192" s="43">
        <f>IF($I4192=0,0,$Q4191+$P4192+$O4192)</f>
      </c>
      <c r="R4192" s="43">
        <f>IF($I4192=0,0,$J4192-$M4192-$N4192)</f>
      </c>
    </row>
    <row r="4193">
      <c r="A4193"/>
      <c r="B4193">
        <v>9</v>
      </c>
      <c r="C4193" s="43">
        <f>INDEX(DarlObj,9)</f>
      </c>
      <c r="D4193">
        <v>350</v>
      </c>
      <c r="E4193" s="51">
        <f>IF(INDEX(DarlBelegt,9)=0,0,EOMONTH(INDEX(DarlAuszahlung,9),349)+1)</f>
      </c>
      <c r="F4193" s="43">
        <f>IF($E4193=0,0,YEAR($E4193))</f>
      </c>
      <c r="G4193" s="43">
        <f>IF(INDEX(DarlBindung,9)="",1,IF($E4193&lt;=INDEX(DarlBindung,9),1,0))</f>
      </c>
      <c r="H4193" s="43">
        <f>IF($G4193=1,INDEX(DarlSollzins,9),INDEX(DarlAnschluss,9))</f>
      </c>
      <c r="I4193" s="43">
        <f>IF(INDEX(DarlBelegt,9)=0,0,IF(INDEX(DarlOhneTilgung,9)=1,IF(INDEX(DarlBindung,9)="",1,$G4193),IF($J4193&gt;0.005,1,0)))</f>
      </c>
      <c r="J4193" s="43">
        <f>IF($I4192=0,0,$R4192)</f>
      </c>
      <c r="K4193" s="43">
        <f>IF($I4193=0,0,IF(INDEX(DarlOhneTilgung,9)=1,0,IF(AND(INDEX(DarlTilgStart,9)&gt;0,$E4193=INDEX(DarlTilgStart,9)),$J4193*($H4193+INDEX(DarlTilgung,9))/100/12,IF(AND($G4193=0,$G4192=1),MAX($K4192,$J4193*($H4193+1)/100/12),$K4192))))</f>
      </c>
      <c r="L4193" s="43">
        <f>IF($I4193=0,0,$J4193*$H4193/100/12)</f>
      </c>
      <c r="M4193" s="43">
        <f>IF($I4193=0,0,IF(OR(INDEX(DarlOhneTilgung,9)=1,AND(INDEX(DarlTilgStart,9)&gt;0,$E4193&lt;INDEX(DarlTilgStart,9))),0,MIN(MAX(0,$K4193-$L4193),$J4193)))</f>
      </c>
      <c r="N4193" s="43">
        <f>IF($I4193=0,0,MIN(SUMIFS(SondBetrag,SondDarl,9,SondDatum,"&gt;="&amp;$E4193,SondDatum,"&lt;="&amp;EOMONTH($E4193,0)),$J4193-$M4193))</f>
      </c>
      <c r="O4193" s="43">
        <f>IF($I4193=0,0,INDEX(DarlErsatzRate,9))</f>
      </c>
      <c r="P4193" s="43">
        <f>IF($I4193=0,0,$Q4192*INDEX(DarlErsatzZins,9))</f>
      </c>
      <c r="Q4193" s="43">
        <f>IF($I4193=0,0,$Q4192+$P4193+$O4193)</f>
      </c>
      <c r="R4193" s="43">
        <f>IF($I4193=0,0,$J4193-$M4193-$N4193)</f>
      </c>
    </row>
    <row r="4194">
      <c r="A4194"/>
      <c r="B4194">
        <v>9</v>
      </c>
      <c r="C4194" s="43">
        <f>INDEX(DarlObj,9)</f>
      </c>
      <c r="D4194">
        <v>351</v>
      </c>
      <c r="E4194" s="51">
        <f>IF(INDEX(DarlBelegt,9)=0,0,EOMONTH(INDEX(DarlAuszahlung,9),350)+1)</f>
      </c>
      <c r="F4194" s="43">
        <f>IF($E4194=0,0,YEAR($E4194))</f>
      </c>
      <c r="G4194" s="43">
        <f>IF(INDEX(DarlBindung,9)="",1,IF($E4194&lt;=INDEX(DarlBindung,9),1,0))</f>
      </c>
      <c r="H4194" s="43">
        <f>IF($G4194=1,INDEX(DarlSollzins,9),INDEX(DarlAnschluss,9))</f>
      </c>
      <c r="I4194" s="43">
        <f>IF(INDEX(DarlBelegt,9)=0,0,IF(INDEX(DarlOhneTilgung,9)=1,IF(INDEX(DarlBindung,9)="",1,$G4194),IF($J4194&gt;0.005,1,0)))</f>
      </c>
      <c r="J4194" s="43">
        <f>IF($I4193=0,0,$R4193)</f>
      </c>
      <c r="K4194" s="43">
        <f>IF($I4194=0,0,IF(INDEX(DarlOhneTilgung,9)=1,0,IF(AND(INDEX(DarlTilgStart,9)&gt;0,$E4194=INDEX(DarlTilgStart,9)),$J4194*($H4194+INDEX(DarlTilgung,9))/100/12,IF(AND($G4194=0,$G4193=1),MAX($K4193,$J4194*($H4194+1)/100/12),$K4193))))</f>
      </c>
      <c r="L4194" s="43">
        <f>IF($I4194=0,0,$J4194*$H4194/100/12)</f>
      </c>
      <c r="M4194" s="43">
        <f>IF($I4194=0,0,IF(OR(INDEX(DarlOhneTilgung,9)=1,AND(INDEX(DarlTilgStart,9)&gt;0,$E4194&lt;INDEX(DarlTilgStart,9))),0,MIN(MAX(0,$K4194-$L4194),$J4194)))</f>
      </c>
      <c r="N4194" s="43">
        <f>IF($I4194=0,0,MIN(SUMIFS(SondBetrag,SondDarl,9,SondDatum,"&gt;="&amp;$E4194,SondDatum,"&lt;="&amp;EOMONTH($E4194,0)),$J4194-$M4194))</f>
      </c>
      <c r="O4194" s="43">
        <f>IF($I4194=0,0,INDEX(DarlErsatzRate,9))</f>
      </c>
      <c r="P4194" s="43">
        <f>IF($I4194=0,0,$Q4193*INDEX(DarlErsatzZins,9))</f>
      </c>
      <c r="Q4194" s="43">
        <f>IF($I4194=0,0,$Q4193+$P4194+$O4194)</f>
      </c>
      <c r="R4194" s="43">
        <f>IF($I4194=0,0,$J4194-$M4194-$N4194)</f>
      </c>
    </row>
    <row r="4195">
      <c r="A4195"/>
      <c r="B4195">
        <v>9</v>
      </c>
      <c r="C4195" s="43">
        <f>INDEX(DarlObj,9)</f>
      </c>
      <c r="D4195">
        <v>352</v>
      </c>
      <c r="E4195" s="51">
        <f>IF(INDEX(DarlBelegt,9)=0,0,EOMONTH(INDEX(DarlAuszahlung,9),351)+1)</f>
      </c>
      <c r="F4195" s="43">
        <f>IF($E4195=0,0,YEAR($E4195))</f>
      </c>
      <c r="G4195" s="43">
        <f>IF(INDEX(DarlBindung,9)="",1,IF($E4195&lt;=INDEX(DarlBindung,9),1,0))</f>
      </c>
      <c r="H4195" s="43">
        <f>IF($G4195=1,INDEX(DarlSollzins,9),INDEX(DarlAnschluss,9))</f>
      </c>
      <c r="I4195" s="43">
        <f>IF(INDEX(DarlBelegt,9)=0,0,IF(INDEX(DarlOhneTilgung,9)=1,IF(INDEX(DarlBindung,9)="",1,$G4195),IF($J4195&gt;0.005,1,0)))</f>
      </c>
      <c r="J4195" s="43">
        <f>IF($I4194=0,0,$R4194)</f>
      </c>
      <c r="K4195" s="43">
        <f>IF($I4195=0,0,IF(INDEX(DarlOhneTilgung,9)=1,0,IF(AND(INDEX(DarlTilgStart,9)&gt;0,$E4195=INDEX(DarlTilgStart,9)),$J4195*($H4195+INDEX(DarlTilgung,9))/100/12,IF(AND($G4195=0,$G4194=1),MAX($K4194,$J4195*($H4195+1)/100/12),$K4194))))</f>
      </c>
      <c r="L4195" s="43">
        <f>IF($I4195=0,0,$J4195*$H4195/100/12)</f>
      </c>
      <c r="M4195" s="43">
        <f>IF($I4195=0,0,IF(OR(INDEX(DarlOhneTilgung,9)=1,AND(INDEX(DarlTilgStart,9)&gt;0,$E4195&lt;INDEX(DarlTilgStart,9))),0,MIN(MAX(0,$K4195-$L4195),$J4195)))</f>
      </c>
      <c r="N4195" s="43">
        <f>IF($I4195=0,0,MIN(SUMIFS(SondBetrag,SondDarl,9,SondDatum,"&gt;="&amp;$E4195,SondDatum,"&lt;="&amp;EOMONTH($E4195,0)),$J4195-$M4195))</f>
      </c>
      <c r="O4195" s="43">
        <f>IF($I4195=0,0,INDEX(DarlErsatzRate,9))</f>
      </c>
      <c r="P4195" s="43">
        <f>IF($I4195=0,0,$Q4194*INDEX(DarlErsatzZins,9))</f>
      </c>
      <c r="Q4195" s="43">
        <f>IF($I4195=0,0,$Q4194+$P4195+$O4195)</f>
      </c>
      <c r="R4195" s="43">
        <f>IF($I4195=0,0,$J4195-$M4195-$N4195)</f>
      </c>
    </row>
    <row r="4196">
      <c r="A4196"/>
      <c r="B4196">
        <v>9</v>
      </c>
      <c r="C4196" s="43">
        <f>INDEX(DarlObj,9)</f>
      </c>
      <c r="D4196">
        <v>353</v>
      </c>
      <c r="E4196" s="51">
        <f>IF(INDEX(DarlBelegt,9)=0,0,EOMONTH(INDEX(DarlAuszahlung,9),352)+1)</f>
      </c>
      <c r="F4196" s="43">
        <f>IF($E4196=0,0,YEAR($E4196))</f>
      </c>
      <c r="G4196" s="43">
        <f>IF(INDEX(DarlBindung,9)="",1,IF($E4196&lt;=INDEX(DarlBindung,9),1,0))</f>
      </c>
      <c r="H4196" s="43">
        <f>IF($G4196=1,INDEX(DarlSollzins,9),INDEX(DarlAnschluss,9))</f>
      </c>
      <c r="I4196" s="43">
        <f>IF(INDEX(DarlBelegt,9)=0,0,IF(INDEX(DarlOhneTilgung,9)=1,IF(INDEX(DarlBindung,9)="",1,$G4196),IF($J4196&gt;0.005,1,0)))</f>
      </c>
      <c r="J4196" s="43">
        <f>IF($I4195=0,0,$R4195)</f>
      </c>
      <c r="K4196" s="43">
        <f>IF($I4196=0,0,IF(INDEX(DarlOhneTilgung,9)=1,0,IF(AND(INDEX(DarlTilgStart,9)&gt;0,$E4196=INDEX(DarlTilgStart,9)),$J4196*($H4196+INDEX(DarlTilgung,9))/100/12,IF(AND($G4196=0,$G4195=1),MAX($K4195,$J4196*($H4196+1)/100/12),$K4195))))</f>
      </c>
      <c r="L4196" s="43">
        <f>IF($I4196=0,0,$J4196*$H4196/100/12)</f>
      </c>
      <c r="M4196" s="43">
        <f>IF($I4196=0,0,IF(OR(INDEX(DarlOhneTilgung,9)=1,AND(INDEX(DarlTilgStart,9)&gt;0,$E4196&lt;INDEX(DarlTilgStart,9))),0,MIN(MAX(0,$K4196-$L4196),$J4196)))</f>
      </c>
      <c r="N4196" s="43">
        <f>IF($I4196=0,0,MIN(SUMIFS(SondBetrag,SondDarl,9,SondDatum,"&gt;="&amp;$E4196,SondDatum,"&lt;="&amp;EOMONTH($E4196,0)),$J4196-$M4196))</f>
      </c>
      <c r="O4196" s="43">
        <f>IF($I4196=0,0,INDEX(DarlErsatzRate,9))</f>
      </c>
      <c r="P4196" s="43">
        <f>IF($I4196=0,0,$Q4195*INDEX(DarlErsatzZins,9))</f>
      </c>
      <c r="Q4196" s="43">
        <f>IF($I4196=0,0,$Q4195+$P4196+$O4196)</f>
      </c>
      <c r="R4196" s="43">
        <f>IF($I4196=0,0,$J4196-$M4196-$N4196)</f>
      </c>
    </row>
    <row r="4197">
      <c r="A4197"/>
      <c r="B4197">
        <v>9</v>
      </c>
      <c r="C4197" s="43">
        <f>INDEX(DarlObj,9)</f>
      </c>
      <c r="D4197">
        <v>354</v>
      </c>
      <c r="E4197" s="51">
        <f>IF(INDEX(DarlBelegt,9)=0,0,EOMONTH(INDEX(DarlAuszahlung,9),353)+1)</f>
      </c>
      <c r="F4197" s="43">
        <f>IF($E4197=0,0,YEAR($E4197))</f>
      </c>
      <c r="G4197" s="43">
        <f>IF(INDEX(DarlBindung,9)="",1,IF($E4197&lt;=INDEX(DarlBindung,9),1,0))</f>
      </c>
      <c r="H4197" s="43">
        <f>IF($G4197=1,INDEX(DarlSollzins,9),INDEX(DarlAnschluss,9))</f>
      </c>
      <c r="I4197" s="43">
        <f>IF(INDEX(DarlBelegt,9)=0,0,IF(INDEX(DarlOhneTilgung,9)=1,IF(INDEX(DarlBindung,9)="",1,$G4197),IF($J4197&gt;0.005,1,0)))</f>
      </c>
      <c r="J4197" s="43">
        <f>IF($I4196=0,0,$R4196)</f>
      </c>
      <c r="K4197" s="43">
        <f>IF($I4197=0,0,IF(INDEX(DarlOhneTilgung,9)=1,0,IF(AND(INDEX(DarlTilgStart,9)&gt;0,$E4197=INDEX(DarlTilgStart,9)),$J4197*($H4197+INDEX(DarlTilgung,9))/100/12,IF(AND($G4197=0,$G4196=1),MAX($K4196,$J4197*($H4197+1)/100/12),$K4196))))</f>
      </c>
      <c r="L4197" s="43">
        <f>IF($I4197=0,0,$J4197*$H4197/100/12)</f>
      </c>
      <c r="M4197" s="43">
        <f>IF($I4197=0,0,IF(OR(INDEX(DarlOhneTilgung,9)=1,AND(INDEX(DarlTilgStart,9)&gt;0,$E4197&lt;INDEX(DarlTilgStart,9))),0,MIN(MAX(0,$K4197-$L4197),$J4197)))</f>
      </c>
      <c r="N4197" s="43">
        <f>IF($I4197=0,0,MIN(SUMIFS(SondBetrag,SondDarl,9,SondDatum,"&gt;="&amp;$E4197,SondDatum,"&lt;="&amp;EOMONTH($E4197,0)),$J4197-$M4197))</f>
      </c>
      <c r="O4197" s="43">
        <f>IF($I4197=0,0,INDEX(DarlErsatzRate,9))</f>
      </c>
      <c r="P4197" s="43">
        <f>IF($I4197=0,0,$Q4196*INDEX(DarlErsatzZins,9))</f>
      </c>
      <c r="Q4197" s="43">
        <f>IF($I4197=0,0,$Q4196+$P4197+$O4197)</f>
      </c>
      <c r="R4197" s="43">
        <f>IF($I4197=0,0,$J4197-$M4197-$N4197)</f>
      </c>
    </row>
    <row r="4198">
      <c r="A4198"/>
      <c r="B4198">
        <v>9</v>
      </c>
      <c r="C4198" s="43">
        <f>INDEX(DarlObj,9)</f>
      </c>
      <c r="D4198">
        <v>355</v>
      </c>
      <c r="E4198" s="51">
        <f>IF(INDEX(DarlBelegt,9)=0,0,EOMONTH(INDEX(DarlAuszahlung,9),354)+1)</f>
      </c>
      <c r="F4198" s="43">
        <f>IF($E4198=0,0,YEAR($E4198))</f>
      </c>
      <c r="G4198" s="43">
        <f>IF(INDEX(DarlBindung,9)="",1,IF($E4198&lt;=INDEX(DarlBindung,9),1,0))</f>
      </c>
      <c r="H4198" s="43">
        <f>IF($G4198=1,INDEX(DarlSollzins,9),INDEX(DarlAnschluss,9))</f>
      </c>
      <c r="I4198" s="43">
        <f>IF(INDEX(DarlBelegt,9)=0,0,IF(INDEX(DarlOhneTilgung,9)=1,IF(INDEX(DarlBindung,9)="",1,$G4198),IF($J4198&gt;0.005,1,0)))</f>
      </c>
      <c r="J4198" s="43">
        <f>IF($I4197=0,0,$R4197)</f>
      </c>
      <c r="K4198" s="43">
        <f>IF($I4198=0,0,IF(INDEX(DarlOhneTilgung,9)=1,0,IF(AND(INDEX(DarlTilgStart,9)&gt;0,$E4198=INDEX(DarlTilgStart,9)),$J4198*($H4198+INDEX(DarlTilgung,9))/100/12,IF(AND($G4198=0,$G4197=1),MAX($K4197,$J4198*($H4198+1)/100/12),$K4197))))</f>
      </c>
      <c r="L4198" s="43">
        <f>IF($I4198=0,0,$J4198*$H4198/100/12)</f>
      </c>
      <c r="M4198" s="43">
        <f>IF($I4198=0,0,IF(OR(INDEX(DarlOhneTilgung,9)=1,AND(INDEX(DarlTilgStart,9)&gt;0,$E4198&lt;INDEX(DarlTilgStart,9))),0,MIN(MAX(0,$K4198-$L4198),$J4198)))</f>
      </c>
      <c r="N4198" s="43">
        <f>IF($I4198=0,0,MIN(SUMIFS(SondBetrag,SondDarl,9,SondDatum,"&gt;="&amp;$E4198,SondDatum,"&lt;="&amp;EOMONTH($E4198,0)),$J4198-$M4198))</f>
      </c>
      <c r="O4198" s="43">
        <f>IF($I4198=0,0,INDEX(DarlErsatzRate,9))</f>
      </c>
      <c r="P4198" s="43">
        <f>IF($I4198=0,0,$Q4197*INDEX(DarlErsatzZins,9))</f>
      </c>
      <c r="Q4198" s="43">
        <f>IF($I4198=0,0,$Q4197+$P4198+$O4198)</f>
      </c>
      <c r="R4198" s="43">
        <f>IF($I4198=0,0,$J4198-$M4198-$N4198)</f>
      </c>
    </row>
    <row r="4199">
      <c r="A4199"/>
      <c r="B4199">
        <v>9</v>
      </c>
      <c r="C4199" s="43">
        <f>INDEX(DarlObj,9)</f>
      </c>
      <c r="D4199">
        <v>356</v>
      </c>
      <c r="E4199" s="51">
        <f>IF(INDEX(DarlBelegt,9)=0,0,EOMONTH(INDEX(DarlAuszahlung,9),355)+1)</f>
      </c>
      <c r="F4199" s="43">
        <f>IF($E4199=0,0,YEAR($E4199))</f>
      </c>
      <c r="G4199" s="43">
        <f>IF(INDEX(DarlBindung,9)="",1,IF($E4199&lt;=INDEX(DarlBindung,9),1,0))</f>
      </c>
      <c r="H4199" s="43">
        <f>IF($G4199=1,INDEX(DarlSollzins,9),INDEX(DarlAnschluss,9))</f>
      </c>
      <c r="I4199" s="43">
        <f>IF(INDEX(DarlBelegt,9)=0,0,IF(INDEX(DarlOhneTilgung,9)=1,IF(INDEX(DarlBindung,9)="",1,$G4199),IF($J4199&gt;0.005,1,0)))</f>
      </c>
      <c r="J4199" s="43">
        <f>IF($I4198=0,0,$R4198)</f>
      </c>
      <c r="K4199" s="43">
        <f>IF($I4199=0,0,IF(INDEX(DarlOhneTilgung,9)=1,0,IF(AND(INDEX(DarlTilgStart,9)&gt;0,$E4199=INDEX(DarlTilgStart,9)),$J4199*($H4199+INDEX(DarlTilgung,9))/100/12,IF(AND($G4199=0,$G4198=1),MAX($K4198,$J4199*($H4199+1)/100/12),$K4198))))</f>
      </c>
      <c r="L4199" s="43">
        <f>IF($I4199=0,0,$J4199*$H4199/100/12)</f>
      </c>
      <c r="M4199" s="43">
        <f>IF($I4199=0,0,IF(OR(INDEX(DarlOhneTilgung,9)=1,AND(INDEX(DarlTilgStart,9)&gt;0,$E4199&lt;INDEX(DarlTilgStart,9))),0,MIN(MAX(0,$K4199-$L4199),$J4199)))</f>
      </c>
      <c r="N4199" s="43">
        <f>IF($I4199=0,0,MIN(SUMIFS(SondBetrag,SondDarl,9,SondDatum,"&gt;="&amp;$E4199,SondDatum,"&lt;="&amp;EOMONTH($E4199,0)),$J4199-$M4199))</f>
      </c>
      <c r="O4199" s="43">
        <f>IF($I4199=0,0,INDEX(DarlErsatzRate,9))</f>
      </c>
      <c r="P4199" s="43">
        <f>IF($I4199=0,0,$Q4198*INDEX(DarlErsatzZins,9))</f>
      </c>
      <c r="Q4199" s="43">
        <f>IF($I4199=0,0,$Q4198+$P4199+$O4199)</f>
      </c>
      <c r="R4199" s="43">
        <f>IF($I4199=0,0,$J4199-$M4199-$N4199)</f>
      </c>
    </row>
    <row r="4200">
      <c r="A4200"/>
      <c r="B4200">
        <v>9</v>
      </c>
      <c r="C4200" s="43">
        <f>INDEX(DarlObj,9)</f>
      </c>
      <c r="D4200">
        <v>357</v>
      </c>
      <c r="E4200" s="51">
        <f>IF(INDEX(DarlBelegt,9)=0,0,EOMONTH(INDEX(DarlAuszahlung,9),356)+1)</f>
      </c>
      <c r="F4200" s="43">
        <f>IF($E4200=0,0,YEAR($E4200))</f>
      </c>
      <c r="G4200" s="43">
        <f>IF(INDEX(DarlBindung,9)="",1,IF($E4200&lt;=INDEX(DarlBindung,9),1,0))</f>
      </c>
      <c r="H4200" s="43">
        <f>IF($G4200=1,INDEX(DarlSollzins,9),INDEX(DarlAnschluss,9))</f>
      </c>
      <c r="I4200" s="43">
        <f>IF(INDEX(DarlBelegt,9)=0,0,IF(INDEX(DarlOhneTilgung,9)=1,IF(INDEX(DarlBindung,9)="",1,$G4200),IF($J4200&gt;0.005,1,0)))</f>
      </c>
      <c r="J4200" s="43">
        <f>IF($I4199=0,0,$R4199)</f>
      </c>
      <c r="K4200" s="43">
        <f>IF($I4200=0,0,IF(INDEX(DarlOhneTilgung,9)=1,0,IF(AND(INDEX(DarlTilgStart,9)&gt;0,$E4200=INDEX(DarlTilgStart,9)),$J4200*($H4200+INDEX(DarlTilgung,9))/100/12,IF(AND($G4200=0,$G4199=1),MAX($K4199,$J4200*($H4200+1)/100/12),$K4199))))</f>
      </c>
      <c r="L4200" s="43">
        <f>IF($I4200=0,0,$J4200*$H4200/100/12)</f>
      </c>
      <c r="M4200" s="43">
        <f>IF($I4200=0,0,IF(OR(INDEX(DarlOhneTilgung,9)=1,AND(INDEX(DarlTilgStart,9)&gt;0,$E4200&lt;INDEX(DarlTilgStart,9))),0,MIN(MAX(0,$K4200-$L4200),$J4200)))</f>
      </c>
      <c r="N4200" s="43">
        <f>IF($I4200=0,0,MIN(SUMIFS(SondBetrag,SondDarl,9,SondDatum,"&gt;="&amp;$E4200,SondDatum,"&lt;="&amp;EOMONTH($E4200,0)),$J4200-$M4200))</f>
      </c>
      <c r="O4200" s="43">
        <f>IF($I4200=0,0,INDEX(DarlErsatzRate,9))</f>
      </c>
      <c r="P4200" s="43">
        <f>IF($I4200=0,0,$Q4199*INDEX(DarlErsatzZins,9))</f>
      </c>
      <c r="Q4200" s="43">
        <f>IF($I4200=0,0,$Q4199+$P4200+$O4200)</f>
      </c>
      <c r="R4200" s="43">
        <f>IF($I4200=0,0,$J4200-$M4200-$N4200)</f>
      </c>
    </row>
    <row r="4201">
      <c r="A4201"/>
      <c r="B4201">
        <v>9</v>
      </c>
      <c r="C4201" s="43">
        <f>INDEX(DarlObj,9)</f>
      </c>
      <c r="D4201">
        <v>358</v>
      </c>
      <c r="E4201" s="51">
        <f>IF(INDEX(DarlBelegt,9)=0,0,EOMONTH(INDEX(DarlAuszahlung,9),357)+1)</f>
      </c>
      <c r="F4201" s="43">
        <f>IF($E4201=0,0,YEAR($E4201))</f>
      </c>
      <c r="G4201" s="43">
        <f>IF(INDEX(DarlBindung,9)="",1,IF($E4201&lt;=INDEX(DarlBindung,9),1,0))</f>
      </c>
      <c r="H4201" s="43">
        <f>IF($G4201=1,INDEX(DarlSollzins,9),INDEX(DarlAnschluss,9))</f>
      </c>
      <c r="I4201" s="43">
        <f>IF(INDEX(DarlBelegt,9)=0,0,IF(INDEX(DarlOhneTilgung,9)=1,IF(INDEX(DarlBindung,9)="",1,$G4201),IF($J4201&gt;0.005,1,0)))</f>
      </c>
      <c r="J4201" s="43">
        <f>IF($I4200=0,0,$R4200)</f>
      </c>
      <c r="K4201" s="43">
        <f>IF($I4201=0,0,IF(INDEX(DarlOhneTilgung,9)=1,0,IF(AND(INDEX(DarlTilgStart,9)&gt;0,$E4201=INDEX(DarlTilgStart,9)),$J4201*($H4201+INDEX(DarlTilgung,9))/100/12,IF(AND($G4201=0,$G4200=1),MAX($K4200,$J4201*($H4201+1)/100/12),$K4200))))</f>
      </c>
      <c r="L4201" s="43">
        <f>IF($I4201=0,0,$J4201*$H4201/100/12)</f>
      </c>
      <c r="M4201" s="43">
        <f>IF($I4201=0,0,IF(OR(INDEX(DarlOhneTilgung,9)=1,AND(INDEX(DarlTilgStart,9)&gt;0,$E4201&lt;INDEX(DarlTilgStart,9))),0,MIN(MAX(0,$K4201-$L4201),$J4201)))</f>
      </c>
      <c r="N4201" s="43">
        <f>IF($I4201=0,0,MIN(SUMIFS(SondBetrag,SondDarl,9,SondDatum,"&gt;="&amp;$E4201,SondDatum,"&lt;="&amp;EOMONTH($E4201,0)),$J4201-$M4201))</f>
      </c>
      <c r="O4201" s="43">
        <f>IF($I4201=0,0,INDEX(DarlErsatzRate,9))</f>
      </c>
      <c r="P4201" s="43">
        <f>IF($I4201=0,0,$Q4200*INDEX(DarlErsatzZins,9))</f>
      </c>
      <c r="Q4201" s="43">
        <f>IF($I4201=0,0,$Q4200+$P4201+$O4201)</f>
      </c>
      <c r="R4201" s="43">
        <f>IF($I4201=0,0,$J4201-$M4201-$N4201)</f>
      </c>
    </row>
    <row r="4202">
      <c r="A4202"/>
      <c r="B4202">
        <v>9</v>
      </c>
      <c r="C4202" s="43">
        <f>INDEX(DarlObj,9)</f>
      </c>
      <c r="D4202">
        <v>359</v>
      </c>
      <c r="E4202" s="51">
        <f>IF(INDEX(DarlBelegt,9)=0,0,EOMONTH(INDEX(DarlAuszahlung,9),358)+1)</f>
      </c>
      <c r="F4202" s="43">
        <f>IF($E4202=0,0,YEAR($E4202))</f>
      </c>
      <c r="G4202" s="43">
        <f>IF(INDEX(DarlBindung,9)="",1,IF($E4202&lt;=INDEX(DarlBindung,9),1,0))</f>
      </c>
      <c r="H4202" s="43">
        <f>IF($G4202=1,INDEX(DarlSollzins,9),INDEX(DarlAnschluss,9))</f>
      </c>
      <c r="I4202" s="43">
        <f>IF(INDEX(DarlBelegt,9)=0,0,IF(INDEX(DarlOhneTilgung,9)=1,IF(INDEX(DarlBindung,9)="",1,$G4202),IF($J4202&gt;0.005,1,0)))</f>
      </c>
      <c r="J4202" s="43">
        <f>IF($I4201=0,0,$R4201)</f>
      </c>
      <c r="K4202" s="43">
        <f>IF($I4202=0,0,IF(INDEX(DarlOhneTilgung,9)=1,0,IF(AND(INDEX(DarlTilgStart,9)&gt;0,$E4202=INDEX(DarlTilgStart,9)),$J4202*($H4202+INDEX(DarlTilgung,9))/100/12,IF(AND($G4202=0,$G4201=1),MAX($K4201,$J4202*($H4202+1)/100/12),$K4201))))</f>
      </c>
      <c r="L4202" s="43">
        <f>IF($I4202=0,0,$J4202*$H4202/100/12)</f>
      </c>
      <c r="M4202" s="43">
        <f>IF($I4202=0,0,IF(OR(INDEX(DarlOhneTilgung,9)=1,AND(INDEX(DarlTilgStart,9)&gt;0,$E4202&lt;INDEX(DarlTilgStart,9))),0,MIN(MAX(0,$K4202-$L4202),$J4202)))</f>
      </c>
      <c r="N4202" s="43">
        <f>IF($I4202=0,0,MIN(SUMIFS(SondBetrag,SondDarl,9,SondDatum,"&gt;="&amp;$E4202,SondDatum,"&lt;="&amp;EOMONTH($E4202,0)),$J4202-$M4202))</f>
      </c>
      <c r="O4202" s="43">
        <f>IF($I4202=0,0,INDEX(DarlErsatzRate,9))</f>
      </c>
      <c r="P4202" s="43">
        <f>IF($I4202=0,0,$Q4201*INDEX(DarlErsatzZins,9))</f>
      </c>
      <c r="Q4202" s="43">
        <f>IF($I4202=0,0,$Q4201+$P4202+$O4202)</f>
      </c>
      <c r="R4202" s="43">
        <f>IF($I4202=0,0,$J4202-$M4202-$N4202)</f>
      </c>
    </row>
    <row r="4203">
      <c r="A4203"/>
      <c r="B4203">
        <v>9</v>
      </c>
      <c r="C4203" s="43">
        <f>INDEX(DarlObj,9)</f>
      </c>
      <c r="D4203">
        <v>360</v>
      </c>
      <c r="E4203" s="51">
        <f>IF(INDEX(DarlBelegt,9)=0,0,EOMONTH(INDEX(DarlAuszahlung,9),359)+1)</f>
      </c>
      <c r="F4203" s="43">
        <f>IF($E4203=0,0,YEAR($E4203))</f>
      </c>
      <c r="G4203" s="43">
        <f>IF(INDEX(DarlBindung,9)="",1,IF($E4203&lt;=INDEX(DarlBindung,9),1,0))</f>
      </c>
      <c r="H4203" s="43">
        <f>IF($G4203=1,INDEX(DarlSollzins,9),INDEX(DarlAnschluss,9))</f>
      </c>
      <c r="I4203" s="43">
        <f>IF(INDEX(DarlBelegt,9)=0,0,IF(INDEX(DarlOhneTilgung,9)=1,IF(INDEX(DarlBindung,9)="",1,$G4203),IF($J4203&gt;0.005,1,0)))</f>
      </c>
      <c r="J4203" s="43">
        <f>IF($I4202=0,0,$R4202)</f>
      </c>
      <c r="K4203" s="43">
        <f>IF($I4203=0,0,IF(INDEX(DarlOhneTilgung,9)=1,0,IF(AND(INDEX(DarlTilgStart,9)&gt;0,$E4203=INDEX(DarlTilgStart,9)),$J4203*($H4203+INDEX(DarlTilgung,9))/100/12,IF(AND($G4203=0,$G4202=1),MAX($K4202,$J4203*($H4203+1)/100/12),$K4202))))</f>
      </c>
      <c r="L4203" s="43">
        <f>IF($I4203=0,0,$J4203*$H4203/100/12)</f>
      </c>
      <c r="M4203" s="43">
        <f>IF($I4203=0,0,IF(OR(INDEX(DarlOhneTilgung,9)=1,AND(INDEX(DarlTilgStart,9)&gt;0,$E4203&lt;INDEX(DarlTilgStart,9))),0,MIN(MAX(0,$K4203-$L4203),$J4203)))</f>
      </c>
      <c r="N4203" s="43">
        <f>IF($I4203=0,0,MIN(SUMIFS(SondBetrag,SondDarl,9,SondDatum,"&gt;="&amp;$E4203,SondDatum,"&lt;="&amp;EOMONTH($E4203,0)),$J4203-$M4203))</f>
      </c>
      <c r="O4203" s="43">
        <f>IF($I4203=0,0,INDEX(DarlErsatzRate,9))</f>
      </c>
      <c r="P4203" s="43">
        <f>IF($I4203=0,0,$Q4202*INDEX(DarlErsatzZins,9))</f>
      </c>
      <c r="Q4203" s="43">
        <f>IF($I4203=0,0,$Q4202+$P4203+$O4203)</f>
      </c>
      <c r="R4203" s="43">
        <f>IF($I4203=0,0,$J4203-$M4203-$N4203)</f>
      </c>
    </row>
    <row r="4204">
      <c r="A4204"/>
      <c r="B4204">
        <v>9</v>
      </c>
      <c r="C4204" s="43">
        <f>INDEX(DarlObj,9)</f>
      </c>
      <c r="D4204">
        <v>361</v>
      </c>
      <c r="E4204" s="51">
        <f>IF(INDEX(DarlBelegt,9)=0,0,EOMONTH(INDEX(DarlAuszahlung,9),360)+1)</f>
      </c>
      <c r="F4204" s="43">
        <f>IF($E4204=0,0,YEAR($E4204))</f>
      </c>
      <c r="G4204" s="43">
        <f>IF(INDEX(DarlBindung,9)="",1,IF($E4204&lt;=INDEX(DarlBindung,9),1,0))</f>
      </c>
      <c r="H4204" s="43">
        <f>IF($G4204=1,INDEX(DarlSollzins,9),INDEX(DarlAnschluss,9))</f>
      </c>
      <c r="I4204" s="43">
        <f>IF(INDEX(DarlBelegt,9)=0,0,IF(INDEX(DarlOhneTilgung,9)=1,IF(INDEX(DarlBindung,9)="",1,$G4204),IF($J4204&gt;0.005,1,0)))</f>
      </c>
      <c r="J4204" s="43">
        <f>IF($I4203=0,0,$R4203)</f>
      </c>
      <c r="K4204" s="43">
        <f>IF($I4204=0,0,IF(INDEX(DarlOhneTilgung,9)=1,0,IF(AND(INDEX(DarlTilgStart,9)&gt;0,$E4204=INDEX(DarlTilgStart,9)),$J4204*($H4204+INDEX(DarlTilgung,9))/100/12,IF(AND($G4204=0,$G4203=1),MAX($K4203,$J4204*($H4204+1)/100/12),$K4203))))</f>
      </c>
      <c r="L4204" s="43">
        <f>IF($I4204=0,0,$J4204*$H4204/100/12)</f>
      </c>
      <c r="M4204" s="43">
        <f>IF($I4204=0,0,IF(OR(INDEX(DarlOhneTilgung,9)=1,AND(INDEX(DarlTilgStart,9)&gt;0,$E4204&lt;INDEX(DarlTilgStart,9))),0,MIN(MAX(0,$K4204-$L4204),$J4204)))</f>
      </c>
      <c r="N4204" s="43">
        <f>IF($I4204=0,0,MIN(SUMIFS(SondBetrag,SondDarl,9,SondDatum,"&gt;="&amp;$E4204,SondDatum,"&lt;="&amp;EOMONTH($E4204,0)),$J4204-$M4204))</f>
      </c>
      <c r="O4204" s="43">
        <f>IF($I4204=0,0,INDEX(DarlErsatzRate,9))</f>
      </c>
      <c r="P4204" s="43">
        <f>IF($I4204=0,0,$Q4203*INDEX(DarlErsatzZins,9))</f>
      </c>
      <c r="Q4204" s="43">
        <f>IF($I4204=0,0,$Q4203+$P4204+$O4204)</f>
      </c>
      <c r="R4204" s="43">
        <f>IF($I4204=0,0,$J4204-$M4204-$N4204)</f>
      </c>
    </row>
    <row r="4205">
      <c r="A4205"/>
      <c r="B4205">
        <v>9</v>
      </c>
      <c r="C4205" s="43">
        <f>INDEX(DarlObj,9)</f>
      </c>
      <c r="D4205">
        <v>362</v>
      </c>
      <c r="E4205" s="51">
        <f>IF(INDEX(DarlBelegt,9)=0,0,EOMONTH(INDEX(DarlAuszahlung,9),361)+1)</f>
      </c>
      <c r="F4205" s="43">
        <f>IF($E4205=0,0,YEAR($E4205))</f>
      </c>
      <c r="G4205" s="43">
        <f>IF(INDEX(DarlBindung,9)="",1,IF($E4205&lt;=INDEX(DarlBindung,9),1,0))</f>
      </c>
      <c r="H4205" s="43">
        <f>IF($G4205=1,INDEX(DarlSollzins,9),INDEX(DarlAnschluss,9))</f>
      </c>
      <c r="I4205" s="43">
        <f>IF(INDEX(DarlBelegt,9)=0,0,IF(INDEX(DarlOhneTilgung,9)=1,IF(INDEX(DarlBindung,9)="",1,$G4205),IF($J4205&gt;0.005,1,0)))</f>
      </c>
      <c r="J4205" s="43">
        <f>IF($I4204=0,0,$R4204)</f>
      </c>
      <c r="K4205" s="43">
        <f>IF($I4205=0,0,IF(INDEX(DarlOhneTilgung,9)=1,0,IF(AND(INDEX(DarlTilgStart,9)&gt;0,$E4205=INDEX(DarlTilgStart,9)),$J4205*($H4205+INDEX(DarlTilgung,9))/100/12,IF(AND($G4205=0,$G4204=1),MAX($K4204,$J4205*($H4205+1)/100/12),$K4204))))</f>
      </c>
      <c r="L4205" s="43">
        <f>IF($I4205=0,0,$J4205*$H4205/100/12)</f>
      </c>
      <c r="M4205" s="43">
        <f>IF($I4205=0,0,IF(OR(INDEX(DarlOhneTilgung,9)=1,AND(INDEX(DarlTilgStart,9)&gt;0,$E4205&lt;INDEX(DarlTilgStart,9))),0,MIN(MAX(0,$K4205-$L4205),$J4205)))</f>
      </c>
      <c r="N4205" s="43">
        <f>IF($I4205=0,0,MIN(SUMIFS(SondBetrag,SondDarl,9,SondDatum,"&gt;="&amp;$E4205,SondDatum,"&lt;="&amp;EOMONTH($E4205,0)),$J4205-$M4205))</f>
      </c>
      <c r="O4205" s="43">
        <f>IF($I4205=0,0,INDEX(DarlErsatzRate,9))</f>
      </c>
      <c r="P4205" s="43">
        <f>IF($I4205=0,0,$Q4204*INDEX(DarlErsatzZins,9))</f>
      </c>
      <c r="Q4205" s="43">
        <f>IF($I4205=0,0,$Q4204+$P4205+$O4205)</f>
      </c>
      <c r="R4205" s="43">
        <f>IF($I4205=0,0,$J4205-$M4205-$N4205)</f>
      </c>
    </row>
    <row r="4206">
      <c r="A4206"/>
      <c r="B4206">
        <v>9</v>
      </c>
      <c r="C4206" s="43">
        <f>INDEX(DarlObj,9)</f>
      </c>
      <c r="D4206">
        <v>363</v>
      </c>
      <c r="E4206" s="51">
        <f>IF(INDEX(DarlBelegt,9)=0,0,EOMONTH(INDEX(DarlAuszahlung,9),362)+1)</f>
      </c>
      <c r="F4206" s="43">
        <f>IF($E4206=0,0,YEAR($E4206))</f>
      </c>
      <c r="G4206" s="43">
        <f>IF(INDEX(DarlBindung,9)="",1,IF($E4206&lt;=INDEX(DarlBindung,9),1,0))</f>
      </c>
      <c r="H4206" s="43">
        <f>IF($G4206=1,INDEX(DarlSollzins,9),INDEX(DarlAnschluss,9))</f>
      </c>
      <c r="I4206" s="43">
        <f>IF(INDEX(DarlBelegt,9)=0,0,IF(INDEX(DarlOhneTilgung,9)=1,IF(INDEX(DarlBindung,9)="",1,$G4206),IF($J4206&gt;0.005,1,0)))</f>
      </c>
      <c r="J4206" s="43">
        <f>IF($I4205=0,0,$R4205)</f>
      </c>
      <c r="K4206" s="43">
        <f>IF($I4206=0,0,IF(INDEX(DarlOhneTilgung,9)=1,0,IF(AND(INDEX(DarlTilgStart,9)&gt;0,$E4206=INDEX(DarlTilgStart,9)),$J4206*($H4206+INDEX(DarlTilgung,9))/100/12,IF(AND($G4206=0,$G4205=1),MAX($K4205,$J4206*($H4206+1)/100/12),$K4205))))</f>
      </c>
      <c r="L4206" s="43">
        <f>IF($I4206=0,0,$J4206*$H4206/100/12)</f>
      </c>
      <c r="M4206" s="43">
        <f>IF($I4206=0,0,IF(OR(INDEX(DarlOhneTilgung,9)=1,AND(INDEX(DarlTilgStart,9)&gt;0,$E4206&lt;INDEX(DarlTilgStart,9))),0,MIN(MAX(0,$K4206-$L4206),$J4206)))</f>
      </c>
      <c r="N4206" s="43">
        <f>IF($I4206=0,0,MIN(SUMIFS(SondBetrag,SondDarl,9,SondDatum,"&gt;="&amp;$E4206,SondDatum,"&lt;="&amp;EOMONTH($E4206,0)),$J4206-$M4206))</f>
      </c>
      <c r="O4206" s="43">
        <f>IF($I4206=0,0,INDEX(DarlErsatzRate,9))</f>
      </c>
      <c r="P4206" s="43">
        <f>IF($I4206=0,0,$Q4205*INDEX(DarlErsatzZins,9))</f>
      </c>
      <c r="Q4206" s="43">
        <f>IF($I4206=0,0,$Q4205+$P4206+$O4206)</f>
      </c>
      <c r="R4206" s="43">
        <f>IF($I4206=0,0,$J4206-$M4206-$N4206)</f>
      </c>
    </row>
    <row r="4207">
      <c r="A4207"/>
      <c r="B4207">
        <v>9</v>
      </c>
      <c r="C4207" s="43">
        <f>INDEX(DarlObj,9)</f>
      </c>
      <c r="D4207">
        <v>364</v>
      </c>
      <c r="E4207" s="51">
        <f>IF(INDEX(DarlBelegt,9)=0,0,EOMONTH(INDEX(DarlAuszahlung,9),363)+1)</f>
      </c>
      <c r="F4207" s="43">
        <f>IF($E4207=0,0,YEAR($E4207))</f>
      </c>
      <c r="G4207" s="43">
        <f>IF(INDEX(DarlBindung,9)="",1,IF($E4207&lt;=INDEX(DarlBindung,9),1,0))</f>
      </c>
      <c r="H4207" s="43">
        <f>IF($G4207=1,INDEX(DarlSollzins,9),INDEX(DarlAnschluss,9))</f>
      </c>
      <c r="I4207" s="43">
        <f>IF(INDEX(DarlBelegt,9)=0,0,IF(INDEX(DarlOhneTilgung,9)=1,IF(INDEX(DarlBindung,9)="",1,$G4207),IF($J4207&gt;0.005,1,0)))</f>
      </c>
      <c r="J4207" s="43">
        <f>IF($I4206=0,0,$R4206)</f>
      </c>
      <c r="K4207" s="43">
        <f>IF($I4207=0,0,IF(INDEX(DarlOhneTilgung,9)=1,0,IF(AND(INDEX(DarlTilgStart,9)&gt;0,$E4207=INDEX(DarlTilgStart,9)),$J4207*($H4207+INDEX(DarlTilgung,9))/100/12,IF(AND($G4207=0,$G4206=1),MAX($K4206,$J4207*($H4207+1)/100/12),$K4206))))</f>
      </c>
      <c r="L4207" s="43">
        <f>IF($I4207=0,0,$J4207*$H4207/100/12)</f>
      </c>
      <c r="M4207" s="43">
        <f>IF($I4207=0,0,IF(OR(INDEX(DarlOhneTilgung,9)=1,AND(INDEX(DarlTilgStart,9)&gt;0,$E4207&lt;INDEX(DarlTilgStart,9))),0,MIN(MAX(0,$K4207-$L4207),$J4207)))</f>
      </c>
      <c r="N4207" s="43">
        <f>IF($I4207=0,0,MIN(SUMIFS(SondBetrag,SondDarl,9,SondDatum,"&gt;="&amp;$E4207,SondDatum,"&lt;="&amp;EOMONTH($E4207,0)),$J4207-$M4207))</f>
      </c>
      <c r="O4207" s="43">
        <f>IF($I4207=0,0,INDEX(DarlErsatzRate,9))</f>
      </c>
      <c r="P4207" s="43">
        <f>IF($I4207=0,0,$Q4206*INDEX(DarlErsatzZins,9))</f>
      </c>
      <c r="Q4207" s="43">
        <f>IF($I4207=0,0,$Q4206+$P4207+$O4207)</f>
      </c>
      <c r="R4207" s="43">
        <f>IF($I4207=0,0,$J4207-$M4207-$N4207)</f>
      </c>
    </row>
    <row r="4208">
      <c r="A4208"/>
      <c r="B4208">
        <v>9</v>
      </c>
      <c r="C4208" s="43">
        <f>INDEX(DarlObj,9)</f>
      </c>
      <c r="D4208">
        <v>365</v>
      </c>
      <c r="E4208" s="51">
        <f>IF(INDEX(DarlBelegt,9)=0,0,EOMONTH(INDEX(DarlAuszahlung,9),364)+1)</f>
      </c>
      <c r="F4208" s="43">
        <f>IF($E4208=0,0,YEAR($E4208))</f>
      </c>
      <c r="G4208" s="43">
        <f>IF(INDEX(DarlBindung,9)="",1,IF($E4208&lt;=INDEX(DarlBindung,9),1,0))</f>
      </c>
      <c r="H4208" s="43">
        <f>IF($G4208=1,INDEX(DarlSollzins,9),INDEX(DarlAnschluss,9))</f>
      </c>
      <c r="I4208" s="43">
        <f>IF(INDEX(DarlBelegt,9)=0,0,IF(INDEX(DarlOhneTilgung,9)=1,IF(INDEX(DarlBindung,9)="",1,$G4208),IF($J4208&gt;0.005,1,0)))</f>
      </c>
      <c r="J4208" s="43">
        <f>IF($I4207=0,0,$R4207)</f>
      </c>
      <c r="K4208" s="43">
        <f>IF($I4208=0,0,IF(INDEX(DarlOhneTilgung,9)=1,0,IF(AND(INDEX(DarlTilgStart,9)&gt;0,$E4208=INDEX(DarlTilgStart,9)),$J4208*($H4208+INDEX(DarlTilgung,9))/100/12,IF(AND($G4208=0,$G4207=1),MAX($K4207,$J4208*($H4208+1)/100/12),$K4207))))</f>
      </c>
      <c r="L4208" s="43">
        <f>IF($I4208=0,0,$J4208*$H4208/100/12)</f>
      </c>
      <c r="M4208" s="43">
        <f>IF($I4208=0,0,IF(OR(INDEX(DarlOhneTilgung,9)=1,AND(INDEX(DarlTilgStart,9)&gt;0,$E4208&lt;INDEX(DarlTilgStart,9))),0,MIN(MAX(0,$K4208-$L4208),$J4208)))</f>
      </c>
      <c r="N4208" s="43">
        <f>IF($I4208=0,0,MIN(SUMIFS(SondBetrag,SondDarl,9,SondDatum,"&gt;="&amp;$E4208,SondDatum,"&lt;="&amp;EOMONTH($E4208,0)),$J4208-$M4208))</f>
      </c>
      <c r="O4208" s="43">
        <f>IF($I4208=0,0,INDEX(DarlErsatzRate,9))</f>
      </c>
      <c r="P4208" s="43">
        <f>IF($I4208=0,0,$Q4207*INDEX(DarlErsatzZins,9))</f>
      </c>
      <c r="Q4208" s="43">
        <f>IF($I4208=0,0,$Q4207+$P4208+$O4208)</f>
      </c>
      <c r="R4208" s="43">
        <f>IF($I4208=0,0,$J4208-$M4208-$N4208)</f>
      </c>
    </row>
    <row r="4209">
      <c r="A4209"/>
      <c r="B4209">
        <v>9</v>
      </c>
      <c r="C4209" s="43">
        <f>INDEX(DarlObj,9)</f>
      </c>
      <c r="D4209">
        <v>366</v>
      </c>
      <c r="E4209" s="51">
        <f>IF(INDEX(DarlBelegt,9)=0,0,EOMONTH(INDEX(DarlAuszahlung,9),365)+1)</f>
      </c>
      <c r="F4209" s="43">
        <f>IF($E4209=0,0,YEAR($E4209))</f>
      </c>
      <c r="G4209" s="43">
        <f>IF(INDEX(DarlBindung,9)="",1,IF($E4209&lt;=INDEX(DarlBindung,9),1,0))</f>
      </c>
      <c r="H4209" s="43">
        <f>IF($G4209=1,INDEX(DarlSollzins,9),INDEX(DarlAnschluss,9))</f>
      </c>
      <c r="I4209" s="43">
        <f>IF(INDEX(DarlBelegt,9)=0,0,IF(INDEX(DarlOhneTilgung,9)=1,IF(INDEX(DarlBindung,9)="",1,$G4209),IF($J4209&gt;0.005,1,0)))</f>
      </c>
      <c r="J4209" s="43">
        <f>IF($I4208=0,0,$R4208)</f>
      </c>
      <c r="K4209" s="43">
        <f>IF($I4209=0,0,IF(INDEX(DarlOhneTilgung,9)=1,0,IF(AND(INDEX(DarlTilgStart,9)&gt;0,$E4209=INDEX(DarlTilgStart,9)),$J4209*($H4209+INDEX(DarlTilgung,9))/100/12,IF(AND($G4209=0,$G4208=1),MAX($K4208,$J4209*($H4209+1)/100/12),$K4208))))</f>
      </c>
      <c r="L4209" s="43">
        <f>IF($I4209=0,0,$J4209*$H4209/100/12)</f>
      </c>
      <c r="M4209" s="43">
        <f>IF($I4209=0,0,IF(OR(INDEX(DarlOhneTilgung,9)=1,AND(INDEX(DarlTilgStart,9)&gt;0,$E4209&lt;INDEX(DarlTilgStart,9))),0,MIN(MAX(0,$K4209-$L4209),$J4209)))</f>
      </c>
      <c r="N4209" s="43">
        <f>IF($I4209=0,0,MIN(SUMIFS(SondBetrag,SondDarl,9,SondDatum,"&gt;="&amp;$E4209,SondDatum,"&lt;="&amp;EOMONTH($E4209,0)),$J4209-$M4209))</f>
      </c>
      <c r="O4209" s="43">
        <f>IF($I4209=0,0,INDEX(DarlErsatzRate,9))</f>
      </c>
      <c r="P4209" s="43">
        <f>IF($I4209=0,0,$Q4208*INDEX(DarlErsatzZins,9))</f>
      </c>
      <c r="Q4209" s="43">
        <f>IF($I4209=0,0,$Q4208+$P4209+$O4209)</f>
      </c>
      <c r="R4209" s="43">
        <f>IF($I4209=0,0,$J4209-$M4209-$N4209)</f>
      </c>
    </row>
    <row r="4210">
      <c r="A4210"/>
      <c r="B4210">
        <v>9</v>
      </c>
      <c r="C4210" s="43">
        <f>INDEX(DarlObj,9)</f>
      </c>
      <c r="D4210">
        <v>367</v>
      </c>
      <c r="E4210" s="51">
        <f>IF(INDEX(DarlBelegt,9)=0,0,EOMONTH(INDEX(DarlAuszahlung,9),366)+1)</f>
      </c>
      <c r="F4210" s="43">
        <f>IF($E4210=0,0,YEAR($E4210))</f>
      </c>
      <c r="G4210" s="43">
        <f>IF(INDEX(DarlBindung,9)="",1,IF($E4210&lt;=INDEX(DarlBindung,9),1,0))</f>
      </c>
      <c r="H4210" s="43">
        <f>IF($G4210=1,INDEX(DarlSollzins,9),INDEX(DarlAnschluss,9))</f>
      </c>
      <c r="I4210" s="43">
        <f>IF(INDEX(DarlBelegt,9)=0,0,IF(INDEX(DarlOhneTilgung,9)=1,IF(INDEX(DarlBindung,9)="",1,$G4210),IF($J4210&gt;0.005,1,0)))</f>
      </c>
      <c r="J4210" s="43">
        <f>IF($I4209=0,0,$R4209)</f>
      </c>
      <c r="K4210" s="43">
        <f>IF($I4210=0,0,IF(INDEX(DarlOhneTilgung,9)=1,0,IF(AND(INDEX(DarlTilgStart,9)&gt;0,$E4210=INDEX(DarlTilgStart,9)),$J4210*($H4210+INDEX(DarlTilgung,9))/100/12,IF(AND($G4210=0,$G4209=1),MAX($K4209,$J4210*($H4210+1)/100/12),$K4209))))</f>
      </c>
      <c r="L4210" s="43">
        <f>IF($I4210=0,0,$J4210*$H4210/100/12)</f>
      </c>
      <c r="M4210" s="43">
        <f>IF($I4210=0,0,IF(OR(INDEX(DarlOhneTilgung,9)=1,AND(INDEX(DarlTilgStart,9)&gt;0,$E4210&lt;INDEX(DarlTilgStart,9))),0,MIN(MAX(0,$K4210-$L4210),$J4210)))</f>
      </c>
      <c r="N4210" s="43">
        <f>IF($I4210=0,0,MIN(SUMIFS(SondBetrag,SondDarl,9,SondDatum,"&gt;="&amp;$E4210,SondDatum,"&lt;="&amp;EOMONTH($E4210,0)),$J4210-$M4210))</f>
      </c>
      <c r="O4210" s="43">
        <f>IF($I4210=0,0,INDEX(DarlErsatzRate,9))</f>
      </c>
      <c r="P4210" s="43">
        <f>IF($I4210=0,0,$Q4209*INDEX(DarlErsatzZins,9))</f>
      </c>
      <c r="Q4210" s="43">
        <f>IF($I4210=0,0,$Q4209+$P4210+$O4210)</f>
      </c>
      <c r="R4210" s="43">
        <f>IF($I4210=0,0,$J4210-$M4210-$N4210)</f>
      </c>
    </row>
    <row r="4211">
      <c r="A4211"/>
      <c r="B4211">
        <v>9</v>
      </c>
      <c r="C4211" s="43">
        <f>INDEX(DarlObj,9)</f>
      </c>
      <c r="D4211">
        <v>368</v>
      </c>
      <c r="E4211" s="51">
        <f>IF(INDEX(DarlBelegt,9)=0,0,EOMONTH(INDEX(DarlAuszahlung,9),367)+1)</f>
      </c>
      <c r="F4211" s="43">
        <f>IF($E4211=0,0,YEAR($E4211))</f>
      </c>
      <c r="G4211" s="43">
        <f>IF(INDEX(DarlBindung,9)="",1,IF($E4211&lt;=INDEX(DarlBindung,9),1,0))</f>
      </c>
      <c r="H4211" s="43">
        <f>IF($G4211=1,INDEX(DarlSollzins,9),INDEX(DarlAnschluss,9))</f>
      </c>
      <c r="I4211" s="43">
        <f>IF(INDEX(DarlBelegt,9)=0,0,IF(INDEX(DarlOhneTilgung,9)=1,IF(INDEX(DarlBindung,9)="",1,$G4211),IF($J4211&gt;0.005,1,0)))</f>
      </c>
      <c r="J4211" s="43">
        <f>IF($I4210=0,0,$R4210)</f>
      </c>
      <c r="K4211" s="43">
        <f>IF($I4211=0,0,IF(INDEX(DarlOhneTilgung,9)=1,0,IF(AND(INDEX(DarlTilgStart,9)&gt;0,$E4211=INDEX(DarlTilgStart,9)),$J4211*($H4211+INDEX(DarlTilgung,9))/100/12,IF(AND($G4211=0,$G4210=1),MAX($K4210,$J4211*($H4211+1)/100/12),$K4210))))</f>
      </c>
      <c r="L4211" s="43">
        <f>IF($I4211=0,0,$J4211*$H4211/100/12)</f>
      </c>
      <c r="M4211" s="43">
        <f>IF($I4211=0,0,IF(OR(INDEX(DarlOhneTilgung,9)=1,AND(INDEX(DarlTilgStart,9)&gt;0,$E4211&lt;INDEX(DarlTilgStart,9))),0,MIN(MAX(0,$K4211-$L4211),$J4211)))</f>
      </c>
      <c r="N4211" s="43">
        <f>IF($I4211=0,0,MIN(SUMIFS(SondBetrag,SondDarl,9,SondDatum,"&gt;="&amp;$E4211,SondDatum,"&lt;="&amp;EOMONTH($E4211,0)),$J4211-$M4211))</f>
      </c>
      <c r="O4211" s="43">
        <f>IF($I4211=0,0,INDEX(DarlErsatzRate,9))</f>
      </c>
      <c r="P4211" s="43">
        <f>IF($I4211=0,0,$Q4210*INDEX(DarlErsatzZins,9))</f>
      </c>
      <c r="Q4211" s="43">
        <f>IF($I4211=0,0,$Q4210+$P4211+$O4211)</f>
      </c>
      <c r="R4211" s="43">
        <f>IF($I4211=0,0,$J4211-$M4211-$N4211)</f>
      </c>
    </row>
    <row r="4212">
      <c r="A4212"/>
      <c r="B4212">
        <v>9</v>
      </c>
      <c r="C4212" s="43">
        <f>INDEX(DarlObj,9)</f>
      </c>
      <c r="D4212">
        <v>369</v>
      </c>
      <c r="E4212" s="51">
        <f>IF(INDEX(DarlBelegt,9)=0,0,EOMONTH(INDEX(DarlAuszahlung,9),368)+1)</f>
      </c>
      <c r="F4212" s="43">
        <f>IF($E4212=0,0,YEAR($E4212))</f>
      </c>
      <c r="G4212" s="43">
        <f>IF(INDEX(DarlBindung,9)="",1,IF($E4212&lt;=INDEX(DarlBindung,9),1,0))</f>
      </c>
      <c r="H4212" s="43">
        <f>IF($G4212=1,INDEX(DarlSollzins,9),INDEX(DarlAnschluss,9))</f>
      </c>
      <c r="I4212" s="43">
        <f>IF(INDEX(DarlBelegt,9)=0,0,IF(INDEX(DarlOhneTilgung,9)=1,IF(INDEX(DarlBindung,9)="",1,$G4212),IF($J4212&gt;0.005,1,0)))</f>
      </c>
      <c r="J4212" s="43">
        <f>IF($I4211=0,0,$R4211)</f>
      </c>
      <c r="K4212" s="43">
        <f>IF($I4212=0,0,IF(INDEX(DarlOhneTilgung,9)=1,0,IF(AND(INDEX(DarlTilgStart,9)&gt;0,$E4212=INDEX(DarlTilgStart,9)),$J4212*($H4212+INDEX(DarlTilgung,9))/100/12,IF(AND($G4212=0,$G4211=1),MAX($K4211,$J4212*($H4212+1)/100/12),$K4211))))</f>
      </c>
      <c r="L4212" s="43">
        <f>IF($I4212=0,0,$J4212*$H4212/100/12)</f>
      </c>
      <c r="M4212" s="43">
        <f>IF($I4212=0,0,IF(OR(INDEX(DarlOhneTilgung,9)=1,AND(INDEX(DarlTilgStart,9)&gt;0,$E4212&lt;INDEX(DarlTilgStart,9))),0,MIN(MAX(0,$K4212-$L4212),$J4212)))</f>
      </c>
      <c r="N4212" s="43">
        <f>IF($I4212=0,0,MIN(SUMIFS(SondBetrag,SondDarl,9,SondDatum,"&gt;="&amp;$E4212,SondDatum,"&lt;="&amp;EOMONTH($E4212,0)),$J4212-$M4212))</f>
      </c>
      <c r="O4212" s="43">
        <f>IF($I4212=0,0,INDEX(DarlErsatzRate,9))</f>
      </c>
      <c r="P4212" s="43">
        <f>IF($I4212=0,0,$Q4211*INDEX(DarlErsatzZins,9))</f>
      </c>
      <c r="Q4212" s="43">
        <f>IF($I4212=0,0,$Q4211+$P4212+$O4212)</f>
      </c>
      <c r="R4212" s="43">
        <f>IF($I4212=0,0,$J4212-$M4212-$N4212)</f>
      </c>
    </row>
    <row r="4213">
      <c r="A4213"/>
      <c r="B4213">
        <v>9</v>
      </c>
      <c r="C4213" s="43">
        <f>INDEX(DarlObj,9)</f>
      </c>
      <c r="D4213">
        <v>370</v>
      </c>
      <c r="E4213" s="51">
        <f>IF(INDEX(DarlBelegt,9)=0,0,EOMONTH(INDEX(DarlAuszahlung,9),369)+1)</f>
      </c>
      <c r="F4213" s="43">
        <f>IF($E4213=0,0,YEAR($E4213))</f>
      </c>
      <c r="G4213" s="43">
        <f>IF(INDEX(DarlBindung,9)="",1,IF($E4213&lt;=INDEX(DarlBindung,9),1,0))</f>
      </c>
      <c r="H4213" s="43">
        <f>IF($G4213=1,INDEX(DarlSollzins,9),INDEX(DarlAnschluss,9))</f>
      </c>
      <c r="I4213" s="43">
        <f>IF(INDEX(DarlBelegt,9)=0,0,IF(INDEX(DarlOhneTilgung,9)=1,IF(INDEX(DarlBindung,9)="",1,$G4213),IF($J4213&gt;0.005,1,0)))</f>
      </c>
      <c r="J4213" s="43">
        <f>IF($I4212=0,0,$R4212)</f>
      </c>
      <c r="K4213" s="43">
        <f>IF($I4213=0,0,IF(INDEX(DarlOhneTilgung,9)=1,0,IF(AND(INDEX(DarlTilgStart,9)&gt;0,$E4213=INDEX(DarlTilgStart,9)),$J4213*($H4213+INDEX(DarlTilgung,9))/100/12,IF(AND($G4213=0,$G4212=1),MAX($K4212,$J4213*($H4213+1)/100/12),$K4212))))</f>
      </c>
      <c r="L4213" s="43">
        <f>IF($I4213=0,0,$J4213*$H4213/100/12)</f>
      </c>
      <c r="M4213" s="43">
        <f>IF($I4213=0,0,IF(OR(INDEX(DarlOhneTilgung,9)=1,AND(INDEX(DarlTilgStart,9)&gt;0,$E4213&lt;INDEX(DarlTilgStart,9))),0,MIN(MAX(0,$K4213-$L4213),$J4213)))</f>
      </c>
      <c r="N4213" s="43">
        <f>IF($I4213=0,0,MIN(SUMIFS(SondBetrag,SondDarl,9,SondDatum,"&gt;="&amp;$E4213,SondDatum,"&lt;="&amp;EOMONTH($E4213,0)),$J4213-$M4213))</f>
      </c>
      <c r="O4213" s="43">
        <f>IF($I4213=0,0,INDEX(DarlErsatzRate,9))</f>
      </c>
      <c r="P4213" s="43">
        <f>IF($I4213=0,0,$Q4212*INDEX(DarlErsatzZins,9))</f>
      </c>
      <c r="Q4213" s="43">
        <f>IF($I4213=0,0,$Q4212+$P4213+$O4213)</f>
      </c>
      <c r="R4213" s="43">
        <f>IF($I4213=0,0,$J4213-$M4213-$N4213)</f>
      </c>
    </row>
    <row r="4214">
      <c r="A4214"/>
      <c r="B4214">
        <v>9</v>
      </c>
      <c r="C4214" s="43">
        <f>INDEX(DarlObj,9)</f>
      </c>
      <c r="D4214">
        <v>371</v>
      </c>
      <c r="E4214" s="51">
        <f>IF(INDEX(DarlBelegt,9)=0,0,EOMONTH(INDEX(DarlAuszahlung,9),370)+1)</f>
      </c>
      <c r="F4214" s="43">
        <f>IF($E4214=0,0,YEAR($E4214))</f>
      </c>
      <c r="G4214" s="43">
        <f>IF(INDEX(DarlBindung,9)="",1,IF($E4214&lt;=INDEX(DarlBindung,9),1,0))</f>
      </c>
      <c r="H4214" s="43">
        <f>IF($G4214=1,INDEX(DarlSollzins,9),INDEX(DarlAnschluss,9))</f>
      </c>
      <c r="I4214" s="43">
        <f>IF(INDEX(DarlBelegt,9)=0,0,IF(INDEX(DarlOhneTilgung,9)=1,IF(INDEX(DarlBindung,9)="",1,$G4214),IF($J4214&gt;0.005,1,0)))</f>
      </c>
      <c r="J4214" s="43">
        <f>IF($I4213=0,0,$R4213)</f>
      </c>
      <c r="K4214" s="43">
        <f>IF($I4214=0,0,IF(INDEX(DarlOhneTilgung,9)=1,0,IF(AND(INDEX(DarlTilgStart,9)&gt;0,$E4214=INDEX(DarlTilgStart,9)),$J4214*($H4214+INDEX(DarlTilgung,9))/100/12,IF(AND($G4214=0,$G4213=1),MAX($K4213,$J4214*($H4214+1)/100/12),$K4213))))</f>
      </c>
      <c r="L4214" s="43">
        <f>IF($I4214=0,0,$J4214*$H4214/100/12)</f>
      </c>
      <c r="M4214" s="43">
        <f>IF($I4214=0,0,IF(OR(INDEX(DarlOhneTilgung,9)=1,AND(INDEX(DarlTilgStart,9)&gt;0,$E4214&lt;INDEX(DarlTilgStart,9))),0,MIN(MAX(0,$K4214-$L4214),$J4214)))</f>
      </c>
      <c r="N4214" s="43">
        <f>IF($I4214=0,0,MIN(SUMIFS(SondBetrag,SondDarl,9,SondDatum,"&gt;="&amp;$E4214,SondDatum,"&lt;="&amp;EOMONTH($E4214,0)),$J4214-$M4214))</f>
      </c>
      <c r="O4214" s="43">
        <f>IF($I4214=0,0,INDEX(DarlErsatzRate,9))</f>
      </c>
      <c r="P4214" s="43">
        <f>IF($I4214=0,0,$Q4213*INDEX(DarlErsatzZins,9))</f>
      </c>
      <c r="Q4214" s="43">
        <f>IF($I4214=0,0,$Q4213+$P4214+$O4214)</f>
      </c>
      <c r="R4214" s="43">
        <f>IF($I4214=0,0,$J4214-$M4214-$N4214)</f>
      </c>
    </row>
    <row r="4215">
      <c r="A4215"/>
      <c r="B4215">
        <v>9</v>
      </c>
      <c r="C4215" s="43">
        <f>INDEX(DarlObj,9)</f>
      </c>
      <c r="D4215">
        <v>372</v>
      </c>
      <c r="E4215" s="51">
        <f>IF(INDEX(DarlBelegt,9)=0,0,EOMONTH(INDEX(DarlAuszahlung,9),371)+1)</f>
      </c>
      <c r="F4215" s="43">
        <f>IF($E4215=0,0,YEAR($E4215))</f>
      </c>
      <c r="G4215" s="43">
        <f>IF(INDEX(DarlBindung,9)="",1,IF($E4215&lt;=INDEX(DarlBindung,9),1,0))</f>
      </c>
      <c r="H4215" s="43">
        <f>IF($G4215=1,INDEX(DarlSollzins,9),INDEX(DarlAnschluss,9))</f>
      </c>
      <c r="I4215" s="43">
        <f>IF(INDEX(DarlBelegt,9)=0,0,IF(INDEX(DarlOhneTilgung,9)=1,IF(INDEX(DarlBindung,9)="",1,$G4215),IF($J4215&gt;0.005,1,0)))</f>
      </c>
      <c r="J4215" s="43">
        <f>IF($I4214=0,0,$R4214)</f>
      </c>
      <c r="K4215" s="43">
        <f>IF($I4215=0,0,IF(INDEX(DarlOhneTilgung,9)=1,0,IF(AND(INDEX(DarlTilgStart,9)&gt;0,$E4215=INDEX(DarlTilgStart,9)),$J4215*($H4215+INDEX(DarlTilgung,9))/100/12,IF(AND($G4215=0,$G4214=1),MAX($K4214,$J4215*($H4215+1)/100/12),$K4214))))</f>
      </c>
      <c r="L4215" s="43">
        <f>IF($I4215=0,0,$J4215*$H4215/100/12)</f>
      </c>
      <c r="M4215" s="43">
        <f>IF($I4215=0,0,IF(OR(INDEX(DarlOhneTilgung,9)=1,AND(INDEX(DarlTilgStart,9)&gt;0,$E4215&lt;INDEX(DarlTilgStart,9))),0,MIN(MAX(0,$K4215-$L4215),$J4215)))</f>
      </c>
      <c r="N4215" s="43">
        <f>IF($I4215=0,0,MIN(SUMIFS(SondBetrag,SondDarl,9,SondDatum,"&gt;="&amp;$E4215,SondDatum,"&lt;="&amp;EOMONTH($E4215,0)),$J4215-$M4215))</f>
      </c>
      <c r="O4215" s="43">
        <f>IF($I4215=0,0,INDEX(DarlErsatzRate,9))</f>
      </c>
      <c r="P4215" s="43">
        <f>IF($I4215=0,0,$Q4214*INDEX(DarlErsatzZins,9))</f>
      </c>
      <c r="Q4215" s="43">
        <f>IF($I4215=0,0,$Q4214+$P4215+$O4215)</f>
      </c>
      <c r="R4215" s="43">
        <f>IF($I4215=0,0,$J4215-$M4215-$N4215)</f>
      </c>
    </row>
    <row r="4216">
      <c r="A4216"/>
      <c r="B4216">
        <v>9</v>
      </c>
      <c r="C4216" s="43">
        <f>INDEX(DarlObj,9)</f>
      </c>
      <c r="D4216">
        <v>373</v>
      </c>
      <c r="E4216" s="51">
        <f>IF(INDEX(DarlBelegt,9)=0,0,EOMONTH(INDEX(DarlAuszahlung,9),372)+1)</f>
      </c>
      <c r="F4216" s="43">
        <f>IF($E4216=0,0,YEAR($E4216))</f>
      </c>
      <c r="G4216" s="43">
        <f>IF(INDEX(DarlBindung,9)="",1,IF($E4216&lt;=INDEX(DarlBindung,9),1,0))</f>
      </c>
      <c r="H4216" s="43">
        <f>IF($G4216=1,INDEX(DarlSollzins,9),INDEX(DarlAnschluss,9))</f>
      </c>
      <c r="I4216" s="43">
        <f>IF(INDEX(DarlBelegt,9)=0,0,IF(INDEX(DarlOhneTilgung,9)=1,IF(INDEX(DarlBindung,9)="",1,$G4216),IF($J4216&gt;0.005,1,0)))</f>
      </c>
      <c r="J4216" s="43">
        <f>IF($I4215=0,0,$R4215)</f>
      </c>
      <c r="K4216" s="43">
        <f>IF($I4216=0,0,IF(INDEX(DarlOhneTilgung,9)=1,0,IF(AND(INDEX(DarlTilgStart,9)&gt;0,$E4216=INDEX(DarlTilgStart,9)),$J4216*($H4216+INDEX(DarlTilgung,9))/100/12,IF(AND($G4216=0,$G4215=1),MAX($K4215,$J4216*($H4216+1)/100/12),$K4215))))</f>
      </c>
      <c r="L4216" s="43">
        <f>IF($I4216=0,0,$J4216*$H4216/100/12)</f>
      </c>
      <c r="M4216" s="43">
        <f>IF($I4216=0,0,IF(OR(INDEX(DarlOhneTilgung,9)=1,AND(INDEX(DarlTilgStart,9)&gt;0,$E4216&lt;INDEX(DarlTilgStart,9))),0,MIN(MAX(0,$K4216-$L4216),$J4216)))</f>
      </c>
      <c r="N4216" s="43">
        <f>IF($I4216=0,0,MIN(SUMIFS(SondBetrag,SondDarl,9,SondDatum,"&gt;="&amp;$E4216,SondDatum,"&lt;="&amp;EOMONTH($E4216,0)),$J4216-$M4216))</f>
      </c>
      <c r="O4216" s="43">
        <f>IF($I4216=0,0,INDEX(DarlErsatzRate,9))</f>
      </c>
      <c r="P4216" s="43">
        <f>IF($I4216=0,0,$Q4215*INDEX(DarlErsatzZins,9))</f>
      </c>
      <c r="Q4216" s="43">
        <f>IF($I4216=0,0,$Q4215+$P4216+$O4216)</f>
      </c>
      <c r="R4216" s="43">
        <f>IF($I4216=0,0,$J4216-$M4216-$N4216)</f>
      </c>
    </row>
    <row r="4217">
      <c r="A4217"/>
      <c r="B4217">
        <v>9</v>
      </c>
      <c r="C4217" s="43">
        <f>INDEX(DarlObj,9)</f>
      </c>
      <c r="D4217">
        <v>374</v>
      </c>
      <c r="E4217" s="51">
        <f>IF(INDEX(DarlBelegt,9)=0,0,EOMONTH(INDEX(DarlAuszahlung,9),373)+1)</f>
      </c>
      <c r="F4217" s="43">
        <f>IF($E4217=0,0,YEAR($E4217))</f>
      </c>
      <c r="G4217" s="43">
        <f>IF(INDEX(DarlBindung,9)="",1,IF($E4217&lt;=INDEX(DarlBindung,9),1,0))</f>
      </c>
      <c r="H4217" s="43">
        <f>IF($G4217=1,INDEX(DarlSollzins,9),INDEX(DarlAnschluss,9))</f>
      </c>
      <c r="I4217" s="43">
        <f>IF(INDEX(DarlBelegt,9)=0,0,IF(INDEX(DarlOhneTilgung,9)=1,IF(INDEX(DarlBindung,9)="",1,$G4217),IF($J4217&gt;0.005,1,0)))</f>
      </c>
      <c r="J4217" s="43">
        <f>IF($I4216=0,0,$R4216)</f>
      </c>
      <c r="K4217" s="43">
        <f>IF($I4217=0,0,IF(INDEX(DarlOhneTilgung,9)=1,0,IF(AND(INDEX(DarlTilgStart,9)&gt;0,$E4217=INDEX(DarlTilgStart,9)),$J4217*($H4217+INDEX(DarlTilgung,9))/100/12,IF(AND($G4217=0,$G4216=1),MAX($K4216,$J4217*($H4217+1)/100/12),$K4216))))</f>
      </c>
      <c r="L4217" s="43">
        <f>IF($I4217=0,0,$J4217*$H4217/100/12)</f>
      </c>
      <c r="M4217" s="43">
        <f>IF($I4217=0,0,IF(OR(INDEX(DarlOhneTilgung,9)=1,AND(INDEX(DarlTilgStart,9)&gt;0,$E4217&lt;INDEX(DarlTilgStart,9))),0,MIN(MAX(0,$K4217-$L4217),$J4217)))</f>
      </c>
      <c r="N4217" s="43">
        <f>IF($I4217=0,0,MIN(SUMIFS(SondBetrag,SondDarl,9,SondDatum,"&gt;="&amp;$E4217,SondDatum,"&lt;="&amp;EOMONTH($E4217,0)),$J4217-$M4217))</f>
      </c>
      <c r="O4217" s="43">
        <f>IF($I4217=0,0,INDEX(DarlErsatzRate,9))</f>
      </c>
      <c r="P4217" s="43">
        <f>IF($I4217=0,0,$Q4216*INDEX(DarlErsatzZins,9))</f>
      </c>
      <c r="Q4217" s="43">
        <f>IF($I4217=0,0,$Q4216+$P4217+$O4217)</f>
      </c>
      <c r="R4217" s="43">
        <f>IF($I4217=0,0,$J4217-$M4217-$N4217)</f>
      </c>
    </row>
    <row r="4218">
      <c r="A4218"/>
      <c r="B4218">
        <v>9</v>
      </c>
      <c r="C4218" s="43">
        <f>INDEX(DarlObj,9)</f>
      </c>
      <c r="D4218">
        <v>375</v>
      </c>
      <c r="E4218" s="51">
        <f>IF(INDEX(DarlBelegt,9)=0,0,EOMONTH(INDEX(DarlAuszahlung,9),374)+1)</f>
      </c>
      <c r="F4218" s="43">
        <f>IF($E4218=0,0,YEAR($E4218))</f>
      </c>
      <c r="G4218" s="43">
        <f>IF(INDEX(DarlBindung,9)="",1,IF($E4218&lt;=INDEX(DarlBindung,9),1,0))</f>
      </c>
      <c r="H4218" s="43">
        <f>IF($G4218=1,INDEX(DarlSollzins,9),INDEX(DarlAnschluss,9))</f>
      </c>
      <c r="I4218" s="43">
        <f>IF(INDEX(DarlBelegt,9)=0,0,IF(INDEX(DarlOhneTilgung,9)=1,IF(INDEX(DarlBindung,9)="",1,$G4218),IF($J4218&gt;0.005,1,0)))</f>
      </c>
      <c r="J4218" s="43">
        <f>IF($I4217=0,0,$R4217)</f>
      </c>
      <c r="K4218" s="43">
        <f>IF($I4218=0,0,IF(INDEX(DarlOhneTilgung,9)=1,0,IF(AND(INDEX(DarlTilgStart,9)&gt;0,$E4218=INDEX(DarlTilgStart,9)),$J4218*($H4218+INDEX(DarlTilgung,9))/100/12,IF(AND($G4218=0,$G4217=1),MAX($K4217,$J4218*($H4218+1)/100/12),$K4217))))</f>
      </c>
      <c r="L4218" s="43">
        <f>IF($I4218=0,0,$J4218*$H4218/100/12)</f>
      </c>
      <c r="M4218" s="43">
        <f>IF($I4218=0,0,IF(OR(INDEX(DarlOhneTilgung,9)=1,AND(INDEX(DarlTilgStart,9)&gt;0,$E4218&lt;INDEX(DarlTilgStart,9))),0,MIN(MAX(0,$K4218-$L4218),$J4218)))</f>
      </c>
      <c r="N4218" s="43">
        <f>IF($I4218=0,0,MIN(SUMIFS(SondBetrag,SondDarl,9,SondDatum,"&gt;="&amp;$E4218,SondDatum,"&lt;="&amp;EOMONTH($E4218,0)),$J4218-$M4218))</f>
      </c>
      <c r="O4218" s="43">
        <f>IF($I4218=0,0,INDEX(DarlErsatzRate,9))</f>
      </c>
      <c r="P4218" s="43">
        <f>IF($I4218=0,0,$Q4217*INDEX(DarlErsatzZins,9))</f>
      </c>
      <c r="Q4218" s="43">
        <f>IF($I4218=0,0,$Q4217+$P4218+$O4218)</f>
      </c>
      <c r="R4218" s="43">
        <f>IF($I4218=0,0,$J4218-$M4218-$N4218)</f>
      </c>
    </row>
    <row r="4219">
      <c r="A4219"/>
      <c r="B4219">
        <v>9</v>
      </c>
      <c r="C4219" s="43">
        <f>INDEX(DarlObj,9)</f>
      </c>
      <c r="D4219">
        <v>376</v>
      </c>
      <c r="E4219" s="51">
        <f>IF(INDEX(DarlBelegt,9)=0,0,EOMONTH(INDEX(DarlAuszahlung,9),375)+1)</f>
      </c>
      <c r="F4219" s="43">
        <f>IF($E4219=0,0,YEAR($E4219))</f>
      </c>
      <c r="G4219" s="43">
        <f>IF(INDEX(DarlBindung,9)="",1,IF($E4219&lt;=INDEX(DarlBindung,9),1,0))</f>
      </c>
      <c r="H4219" s="43">
        <f>IF($G4219=1,INDEX(DarlSollzins,9),INDEX(DarlAnschluss,9))</f>
      </c>
      <c r="I4219" s="43">
        <f>IF(INDEX(DarlBelegt,9)=0,0,IF(INDEX(DarlOhneTilgung,9)=1,IF(INDEX(DarlBindung,9)="",1,$G4219),IF($J4219&gt;0.005,1,0)))</f>
      </c>
      <c r="J4219" s="43">
        <f>IF($I4218=0,0,$R4218)</f>
      </c>
      <c r="K4219" s="43">
        <f>IF($I4219=0,0,IF(INDEX(DarlOhneTilgung,9)=1,0,IF(AND(INDEX(DarlTilgStart,9)&gt;0,$E4219=INDEX(DarlTilgStart,9)),$J4219*($H4219+INDEX(DarlTilgung,9))/100/12,IF(AND($G4219=0,$G4218=1),MAX($K4218,$J4219*($H4219+1)/100/12),$K4218))))</f>
      </c>
      <c r="L4219" s="43">
        <f>IF($I4219=0,0,$J4219*$H4219/100/12)</f>
      </c>
      <c r="M4219" s="43">
        <f>IF($I4219=0,0,IF(OR(INDEX(DarlOhneTilgung,9)=1,AND(INDEX(DarlTilgStart,9)&gt;0,$E4219&lt;INDEX(DarlTilgStart,9))),0,MIN(MAX(0,$K4219-$L4219),$J4219)))</f>
      </c>
      <c r="N4219" s="43">
        <f>IF($I4219=0,0,MIN(SUMIFS(SondBetrag,SondDarl,9,SondDatum,"&gt;="&amp;$E4219,SondDatum,"&lt;="&amp;EOMONTH($E4219,0)),$J4219-$M4219))</f>
      </c>
      <c r="O4219" s="43">
        <f>IF($I4219=0,0,INDEX(DarlErsatzRate,9))</f>
      </c>
      <c r="P4219" s="43">
        <f>IF($I4219=0,0,$Q4218*INDEX(DarlErsatzZins,9))</f>
      </c>
      <c r="Q4219" s="43">
        <f>IF($I4219=0,0,$Q4218+$P4219+$O4219)</f>
      </c>
      <c r="R4219" s="43">
        <f>IF($I4219=0,0,$J4219-$M4219-$N4219)</f>
      </c>
    </row>
    <row r="4220">
      <c r="A4220"/>
      <c r="B4220">
        <v>9</v>
      </c>
      <c r="C4220" s="43">
        <f>INDEX(DarlObj,9)</f>
      </c>
      <c r="D4220">
        <v>377</v>
      </c>
      <c r="E4220" s="51">
        <f>IF(INDEX(DarlBelegt,9)=0,0,EOMONTH(INDEX(DarlAuszahlung,9),376)+1)</f>
      </c>
      <c r="F4220" s="43">
        <f>IF($E4220=0,0,YEAR($E4220))</f>
      </c>
      <c r="G4220" s="43">
        <f>IF(INDEX(DarlBindung,9)="",1,IF($E4220&lt;=INDEX(DarlBindung,9),1,0))</f>
      </c>
      <c r="H4220" s="43">
        <f>IF($G4220=1,INDEX(DarlSollzins,9),INDEX(DarlAnschluss,9))</f>
      </c>
      <c r="I4220" s="43">
        <f>IF(INDEX(DarlBelegt,9)=0,0,IF(INDEX(DarlOhneTilgung,9)=1,IF(INDEX(DarlBindung,9)="",1,$G4220),IF($J4220&gt;0.005,1,0)))</f>
      </c>
      <c r="J4220" s="43">
        <f>IF($I4219=0,0,$R4219)</f>
      </c>
      <c r="K4220" s="43">
        <f>IF($I4220=0,0,IF(INDEX(DarlOhneTilgung,9)=1,0,IF(AND(INDEX(DarlTilgStart,9)&gt;0,$E4220=INDEX(DarlTilgStart,9)),$J4220*($H4220+INDEX(DarlTilgung,9))/100/12,IF(AND($G4220=0,$G4219=1),MAX($K4219,$J4220*($H4220+1)/100/12),$K4219))))</f>
      </c>
      <c r="L4220" s="43">
        <f>IF($I4220=0,0,$J4220*$H4220/100/12)</f>
      </c>
      <c r="M4220" s="43">
        <f>IF($I4220=0,0,IF(OR(INDEX(DarlOhneTilgung,9)=1,AND(INDEX(DarlTilgStart,9)&gt;0,$E4220&lt;INDEX(DarlTilgStart,9))),0,MIN(MAX(0,$K4220-$L4220),$J4220)))</f>
      </c>
      <c r="N4220" s="43">
        <f>IF($I4220=0,0,MIN(SUMIFS(SondBetrag,SondDarl,9,SondDatum,"&gt;="&amp;$E4220,SondDatum,"&lt;="&amp;EOMONTH($E4220,0)),$J4220-$M4220))</f>
      </c>
      <c r="O4220" s="43">
        <f>IF($I4220=0,0,INDEX(DarlErsatzRate,9))</f>
      </c>
      <c r="P4220" s="43">
        <f>IF($I4220=0,0,$Q4219*INDEX(DarlErsatzZins,9))</f>
      </c>
      <c r="Q4220" s="43">
        <f>IF($I4220=0,0,$Q4219+$P4220+$O4220)</f>
      </c>
      <c r="R4220" s="43">
        <f>IF($I4220=0,0,$J4220-$M4220-$N4220)</f>
      </c>
    </row>
    <row r="4221">
      <c r="A4221"/>
      <c r="B4221">
        <v>9</v>
      </c>
      <c r="C4221" s="43">
        <f>INDEX(DarlObj,9)</f>
      </c>
      <c r="D4221">
        <v>378</v>
      </c>
      <c r="E4221" s="51">
        <f>IF(INDEX(DarlBelegt,9)=0,0,EOMONTH(INDEX(DarlAuszahlung,9),377)+1)</f>
      </c>
      <c r="F4221" s="43">
        <f>IF($E4221=0,0,YEAR($E4221))</f>
      </c>
      <c r="G4221" s="43">
        <f>IF(INDEX(DarlBindung,9)="",1,IF($E4221&lt;=INDEX(DarlBindung,9),1,0))</f>
      </c>
      <c r="H4221" s="43">
        <f>IF($G4221=1,INDEX(DarlSollzins,9),INDEX(DarlAnschluss,9))</f>
      </c>
      <c r="I4221" s="43">
        <f>IF(INDEX(DarlBelegt,9)=0,0,IF(INDEX(DarlOhneTilgung,9)=1,IF(INDEX(DarlBindung,9)="",1,$G4221),IF($J4221&gt;0.005,1,0)))</f>
      </c>
      <c r="J4221" s="43">
        <f>IF($I4220=0,0,$R4220)</f>
      </c>
      <c r="K4221" s="43">
        <f>IF($I4221=0,0,IF(INDEX(DarlOhneTilgung,9)=1,0,IF(AND(INDEX(DarlTilgStart,9)&gt;0,$E4221=INDEX(DarlTilgStart,9)),$J4221*($H4221+INDEX(DarlTilgung,9))/100/12,IF(AND($G4221=0,$G4220=1),MAX($K4220,$J4221*($H4221+1)/100/12),$K4220))))</f>
      </c>
      <c r="L4221" s="43">
        <f>IF($I4221=0,0,$J4221*$H4221/100/12)</f>
      </c>
      <c r="M4221" s="43">
        <f>IF($I4221=0,0,IF(OR(INDEX(DarlOhneTilgung,9)=1,AND(INDEX(DarlTilgStart,9)&gt;0,$E4221&lt;INDEX(DarlTilgStart,9))),0,MIN(MAX(0,$K4221-$L4221),$J4221)))</f>
      </c>
      <c r="N4221" s="43">
        <f>IF($I4221=0,0,MIN(SUMIFS(SondBetrag,SondDarl,9,SondDatum,"&gt;="&amp;$E4221,SondDatum,"&lt;="&amp;EOMONTH($E4221,0)),$J4221-$M4221))</f>
      </c>
      <c r="O4221" s="43">
        <f>IF($I4221=0,0,INDEX(DarlErsatzRate,9))</f>
      </c>
      <c r="P4221" s="43">
        <f>IF($I4221=0,0,$Q4220*INDEX(DarlErsatzZins,9))</f>
      </c>
      <c r="Q4221" s="43">
        <f>IF($I4221=0,0,$Q4220+$P4221+$O4221)</f>
      </c>
      <c r="R4221" s="43">
        <f>IF($I4221=0,0,$J4221-$M4221-$N4221)</f>
      </c>
    </row>
    <row r="4222">
      <c r="A4222"/>
      <c r="B4222">
        <v>9</v>
      </c>
      <c r="C4222" s="43">
        <f>INDEX(DarlObj,9)</f>
      </c>
      <c r="D4222">
        <v>379</v>
      </c>
      <c r="E4222" s="51">
        <f>IF(INDEX(DarlBelegt,9)=0,0,EOMONTH(INDEX(DarlAuszahlung,9),378)+1)</f>
      </c>
      <c r="F4222" s="43">
        <f>IF($E4222=0,0,YEAR($E4222))</f>
      </c>
      <c r="G4222" s="43">
        <f>IF(INDEX(DarlBindung,9)="",1,IF($E4222&lt;=INDEX(DarlBindung,9),1,0))</f>
      </c>
      <c r="H4222" s="43">
        <f>IF($G4222=1,INDEX(DarlSollzins,9),INDEX(DarlAnschluss,9))</f>
      </c>
      <c r="I4222" s="43">
        <f>IF(INDEX(DarlBelegt,9)=0,0,IF(INDEX(DarlOhneTilgung,9)=1,IF(INDEX(DarlBindung,9)="",1,$G4222),IF($J4222&gt;0.005,1,0)))</f>
      </c>
      <c r="J4222" s="43">
        <f>IF($I4221=0,0,$R4221)</f>
      </c>
      <c r="K4222" s="43">
        <f>IF($I4222=0,0,IF(INDEX(DarlOhneTilgung,9)=1,0,IF(AND(INDEX(DarlTilgStart,9)&gt;0,$E4222=INDEX(DarlTilgStart,9)),$J4222*($H4222+INDEX(DarlTilgung,9))/100/12,IF(AND($G4222=0,$G4221=1),MAX($K4221,$J4222*($H4222+1)/100/12),$K4221))))</f>
      </c>
      <c r="L4222" s="43">
        <f>IF($I4222=0,0,$J4222*$H4222/100/12)</f>
      </c>
      <c r="M4222" s="43">
        <f>IF($I4222=0,0,IF(OR(INDEX(DarlOhneTilgung,9)=1,AND(INDEX(DarlTilgStart,9)&gt;0,$E4222&lt;INDEX(DarlTilgStart,9))),0,MIN(MAX(0,$K4222-$L4222),$J4222)))</f>
      </c>
      <c r="N4222" s="43">
        <f>IF($I4222=0,0,MIN(SUMIFS(SondBetrag,SondDarl,9,SondDatum,"&gt;="&amp;$E4222,SondDatum,"&lt;="&amp;EOMONTH($E4222,0)),$J4222-$M4222))</f>
      </c>
      <c r="O4222" s="43">
        <f>IF($I4222=0,0,INDEX(DarlErsatzRate,9))</f>
      </c>
      <c r="P4222" s="43">
        <f>IF($I4222=0,0,$Q4221*INDEX(DarlErsatzZins,9))</f>
      </c>
      <c r="Q4222" s="43">
        <f>IF($I4222=0,0,$Q4221+$P4222+$O4222)</f>
      </c>
      <c r="R4222" s="43">
        <f>IF($I4222=0,0,$J4222-$M4222-$N4222)</f>
      </c>
    </row>
    <row r="4223">
      <c r="A4223"/>
      <c r="B4223">
        <v>9</v>
      </c>
      <c r="C4223" s="43">
        <f>INDEX(DarlObj,9)</f>
      </c>
      <c r="D4223">
        <v>380</v>
      </c>
      <c r="E4223" s="51">
        <f>IF(INDEX(DarlBelegt,9)=0,0,EOMONTH(INDEX(DarlAuszahlung,9),379)+1)</f>
      </c>
      <c r="F4223" s="43">
        <f>IF($E4223=0,0,YEAR($E4223))</f>
      </c>
      <c r="G4223" s="43">
        <f>IF(INDEX(DarlBindung,9)="",1,IF($E4223&lt;=INDEX(DarlBindung,9),1,0))</f>
      </c>
      <c r="H4223" s="43">
        <f>IF($G4223=1,INDEX(DarlSollzins,9),INDEX(DarlAnschluss,9))</f>
      </c>
      <c r="I4223" s="43">
        <f>IF(INDEX(DarlBelegt,9)=0,0,IF(INDEX(DarlOhneTilgung,9)=1,IF(INDEX(DarlBindung,9)="",1,$G4223),IF($J4223&gt;0.005,1,0)))</f>
      </c>
      <c r="J4223" s="43">
        <f>IF($I4222=0,0,$R4222)</f>
      </c>
      <c r="K4223" s="43">
        <f>IF($I4223=0,0,IF(INDEX(DarlOhneTilgung,9)=1,0,IF(AND(INDEX(DarlTilgStart,9)&gt;0,$E4223=INDEX(DarlTilgStart,9)),$J4223*($H4223+INDEX(DarlTilgung,9))/100/12,IF(AND($G4223=0,$G4222=1),MAX($K4222,$J4223*($H4223+1)/100/12),$K4222))))</f>
      </c>
      <c r="L4223" s="43">
        <f>IF($I4223=0,0,$J4223*$H4223/100/12)</f>
      </c>
      <c r="M4223" s="43">
        <f>IF($I4223=0,0,IF(OR(INDEX(DarlOhneTilgung,9)=1,AND(INDEX(DarlTilgStart,9)&gt;0,$E4223&lt;INDEX(DarlTilgStart,9))),0,MIN(MAX(0,$K4223-$L4223),$J4223)))</f>
      </c>
      <c r="N4223" s="43">
        <f>IF($I4223=0,0,MIN(SUMIFS(SondBetrag,SondDarl,9,SondDatum,"&gt;="&amp;$E4223,SondDatum,"&lt;="&amp;EOMONTH($E4223,0)),$J4223-$M4223))</f>
      </c>
      <c r="O4223" s="43">
        <f>IF($I4223=0,0,INDEX(DarlErsatzRate,9))</f>
      </c>
      <c r="P4223" s="43">
        <f>IF($I4223=0,0,$Q4222*INDEX(DarlErsatzZins,9))</f>
      </c>
      <c r="Q4223" s="43">
        <f>IF($I4223=0,0,$Q4222+$P4223+$O4223)</f>
      </c>
      <c r="R4223" s="43">
        <f>IF($I4223=0,0,$J4223-$M4223-$N4223)</f>
      </c>
    </row>
    <row r="4224">
      <c r="A4224"/>
      <c r="B4224">
        <v>9</v>
      </c>
      <c r="C4224" s="43">
        <f>INDEX(DarlObj,9)</f>
      </c>
      <c r="D4224">
        <v>381</v>
      </c>
      <c r="E4224" s="51">
        <f>IF(INDEX(DarlBelegt,9)=0,0,EOMONTH(INDEX(DarlAuszahlung,9),380)+1)</f>
      </c>
      <c r="F4224" s="43">
        <f>IF($E4224=0,0,YEAR($E4224))</f>
      </c>
      <c r="G4224" s="43">
        <f>IF(INDEX(DarlBindung,9)="",1,IF($E4224&lt;=INDEX(DarlBindung,9),1,0))</f>
      </c>
      <c r="H4224" s="43">
        <f>IF($G4224=1,INDEX(DarlSollzins,9),INDEX(DarlAnschluss,9))</f>
      </c>
      <c r="I4224" s="43">
        <f>IF(INDEX(DarlBelegt,9)=0,0,IF(INDEX(DarlOhneTilgung,9)=1,IF(INDEX(DarlBindung,9)="",1,$G4224),IF($J4224&gt;0.005,1,0)))</f>
      </c>
      <c r="J4224" s="43">
        <f>IF($I4223=0,0,$R4223)</f>
      </c>
      <c r="K4224" s="43">
        <f>IF($I4224=0,0,IF(INDEX(DarlOhneTilgung,9)=1,0,IF(AND(INDEX(DarlTilgStart,9)&gt;0,$E4224=INDEX(DarlTilgStart,9)),$J4224*($H4224+INDEX(DarlTilgung,9))/100/12,IF(AND($G4224=0,$G4223=1),MAX($K4223,$J4224*($H4224+1)/100/12),$K4223))))</f>
      </c>
      <c r="L4224" s="43">
        <f>IF($I4224=0,0,$J4224*$H4224/100/12)</f>
      </c>
      <c r="M4224" s="43">
        <f>IF($I4224=0,0,IF(OR(INDEX(DarlOhneTilgung,9)=1,AND(INDEX(DarlTilgStart,9)&gt;0,$E4224&lt;INDEX(DarlTilgStart,9))),0,MIN(MAX(0,$K4224-$L4224),$J4224)))</f>
      </c>
      <c r="N4224" s="43">
        <f>IF($I4224=0,0,MIN(SUMIFS(SondBetrag,SondDarl,9,SondDatum,"&gt;="&amp;$E4224,SondDatum,"&lt;="&amp;EOMONTH($E4224,0)),$J4224-$M4224))</f>
      </c>
      <c r="O4224" s="43">
        <f>IF($I4224=0,0,INDEX(DarlErsatzRate,9))</f>
      </c>
      <c r="P4224" s="43">
        <f>IF($I4224=0,0,$Q4223*INDEX(DarlErsatzZins,9))</f>
      </c>
      <c r="Q4224" s="43">
        <f>IF($I4224=0,0,$Q4223+$P4224+$O4224)</f>
      </c>
      <c r="R4224" s="43">
        <f>IF($I4224=0,0,$J4224-$M4224-$N4224)</f>
      </c>
    </row>
    <row r="4225">
      <c r="A4225"/>
      <c r="B4225">
        <v>9</v>
      </c>
      <c r="C4225" s="43">
        <f>INDEX(DarlObj,9)</f>
      </c>
      <c r="D4225">
        <v>382</v>
      </c>
      <c r="E4225" s="51">
        <f>IF(INDEX(DarlBelegt,9)=0,0,EOMONTH(INDEX(DarlAuszahlung,9),381)+1)</f>
      </c>
      <c r="F4225" s="43">
        <f>IF($E4225=0,0,YEAR($E4225))</f>
      </c>
      <c r="G4225" s="43">
        <f>IF(INDEX(DarlBindung,9)="",1,IF($E4225&lt;=INDEX(DarlBindung,9),1,0))</f>
      </c>
      <c r="H4225" s="43">
        <f>IF($G4225=1,INDEX(DarlSollzins,9),INDEX(DarlAnschluss,9))</f>
      </c>
      <c r="I4225" s="43">
        <f>IF(INDEX(DarlBelegt,9)=0,0,IF(INDEX(DarlOhneTilgung,9)=1,IF(INDEX(DarlBindung,9)="",1,$G4225),IF($J4225&gt;0.005,1,0)))</f>
      </c>
      <c r="J4225" s="43">
        <f>IF($I4224=0,0,$R4224)</f>
      </c>
      <c r="K4225" s="43">
        <f>IF($I4225=0,0,IF(INDEX(DarlOhneTilgung,9)=1,0,IF(AND(INDEX(DarlTilgStart,9)&gt;0,$E4225=INDEX(DarlTilgStart,9)),$J4225*($H4225+INDEX(DarlTilgung,9))/100/12,IF(AND($G4225=0,$G4224=1),MAX($K4224,$J4225*($H4225+1)/100/12),$K4224))))</f>
      </c>
      <c r="L4225" s="43">
        <f>IF($I4225=0,0,$J4225*$H4225/100/12)</f>
      </c>
      <c r="M4225" s="43">
        <f>IF($I4225=0,0,IF(OR(INDEX(DarlOhneTilgung,9)=1,AND(INDEX(DarlTilgStart,9)&gt;0,$E4225&lt;INDEX(DarlTilgStart,9))),0,MIN(MAX(0,$K4225-$L4225),$J4225)))</f>
      </c>
      <c r="N4225" s="43">
        <f>IF($I4225=0,0,MIN(SUMIFS(SondBetrag,SondDarl,9,SondDatum,"&gt;="&amp;$E4225,SondDatum,"&lt;="&amp;EOMONTH($E4225,0)),$J4225-$M4225))</f>
      </c>
      <c r="O4225" s="43">
        <f>IF($I4225=0,0,INDEX(DarlErsatzRate,9))</f>
      </c>
      <c r="P4225" s="43">
        <f>IF($I4225=0,0,$Q4224*INDEX(DarlErsatzZins,9))</f>
      </c>
      <c r="Q4225" s="43">
        <f>IF($I4225=0,0,$Q4224+$P4225+$O4225)</f>
      </c>
      <c r="R4225" s="43">
        <f>IF($I4225=0,0,$J4225-$M4225-$N4225)</f>
      </c>
    </row>
    <row r="4226">
      <c r="A4226"/>
      <c r="B4226">
        <v>9</v>
      </c>
      <c r="C4226" s="43">
        <f>INDEX(DarlObj,9)</f>
      </c>
      <c r="D4226">
        <v>383</v>
      </c>
      <c r="E4226" s="51">
        <f>IF(INDEX(DarlBelegt,9)=0,0,EOMONTH(INDEX(DarlAuszahlung,9),382)+1)</f>
      </c>
      <c r="F4226" s="43">
        <f>IF($E4226=0,0,YEAR($E4226))</f>
      </c>
      <c r="G4226" s="43">
        <f>IF(INDEX(DarlBindung,9)="",1,IF($E4226&lt;=INDEX(DarlBindung,9),1,0))</f>
      </c>
      <c r="H4226" s="43">
        <f>IF($G4226=1,INDEX(DarlSollzins,9),INDEX(DarlAnschluss,9))</f>
      </c>
      <c r="I4226" s="43">
        <f>IF(INDEX(DarlBelegt,9)=0,0,IF(INDEX(DarlOhneTilgung,9)=1,IF(INDEX(DarlBindung,9)="",1,$G4226),IF($J4226&gt;0.005,1,0)))</f>
      </c>
      <c r="J4226" s="43">
        <f>IF($I4225=0,0,$R4225)</f>
      </c>
      <c r="K4226" s="43">
        <f>IF($I4226=0,0,IF(INDEX(DarlOhneTilgung,9)=1,0,IF(AND(INDEX(DarlTilgStart,9)&gt;0,$E4226=INDEX(DarlTilgStart,9)),$J4226*($H4226+INDEX(DarlTilgung,9))/100/12,IF(AND($G4226=0,$G4225=1),MAX($K4225,$J4226*($H4226+1)/100/12),$K4225))))</f>
      </c>
      <c r="L4226" s="43">
        <f>IF($I4226=0,0,$J4226*$H4226/100/12)</f>
      </c>
      <c r="M4226" s="43">
        <f>IF($I4226=0,0,IF(OR(INDEX(DarlOhneTilgung,9)=1,AND(INDEX(DarlTilgStart,9)&gt;0,$E4226&lt;INDEX(DarlTilgStart,9))),0,MIN(MAX(0,$K4226-$L4226),$J4226)))</f>
      </c>
      <c r="N4226" s="43">
        <f>IF($I4226=0,0,MIN(SUMIFS(SondBetrag,SondDarl,9,SondDatum,"&gt;="&amp;$E4226,SondDatum,"&lt;="&amp;EOMONTH($E4226,0)),$J4226-$M4226))</f>
      </c>
      <c r="O4226" s="43">
        <f>IF($I4226=0,0,INDEX(DarlErsatzRate,9))</f>
      </c>
      <c r="P4226" s="43">
        <f>IF($I4226=0,0,$Q4225*INDEX(DarlErsatzZins,9))</f>
      </c>
      <c r="Q4226" s="43">
        <f>IF($I4226=0,0,$Q4225+$P4226+$O4226)</f>
      </c>
      <c r="R4226" s="43">
        <f>IF($I4226=0,0,$J4226-$M4226-$N4226)</f>
      </c>
    </row>
    <row r="4227">
      <c r="A4227"/>
      <c r="B4227">
        <v>9</v>
      </c>
      <c r="C4227" s="43">
        <f>INDEX(DarlObj,9)</f>
      </c>
      <c r="D4227">
        <v>384</v>
      </c>
      <c r="E4227" s="51">
        <f>IF(INDEX(DarlBelegt,9)=0,0,EOMONTH(INDEX(DarlAuszahlung,9),383)+1)</f>
      </c>
      <c r="F4227" s="43">
        <f>IF($E4227=0,0,YEAR($E4227))</f>
      </c>
      <c r="G4227" s="43">
        <f>IF(INDEX(DarlBindung,9)="",1,IF($E4227&lt;=INDEX(DarlBindung,9),1,0))</f>
      </c>
      <c r="H4227" s="43">
        <f>IF($G4227=1,INDEX(DarlSollzins,9),INDEX(DarlAnschluss,9))</f>
      </c>
      <c r="I4227" s="43">
        <f>IF(INDEX(DarlBelegt,9)=0,0,IF(INDEX(DarlOhneTilgung,9)=1,IF(INDEX(DarlBindung,9)="",1,$G4227),IF($J4227&gt;0.005,1,0)))</f>
      </c>
      <c r="J4227" s="43">
        <f>IF($I4226=0,0,$R4226)</f>
      </c>
      <c r="K4227" s="43">
        <f>IF($I4227=0,0,IF(INDEX(DarlOhneTilgung,9)=1,0,IF(AND(INDEX(DarlTilgStart,9)&gt;0,$E4227=INDEX(DarlTilgStart,9)),$J4227*($H4227+INDEX(DarlTilgung,9))/100/12,IF(AND($G4227=0,$G4226=1),MAX($K4226,$J4227*($H4227+1)/100/12),$K4226))))</f>
      </c>
      <c r="L4227" s="43">
        <f>IF($I4227=0,0,$J4227*$H4227/100/12)</f>
      </c>
      <c r="M4227" s="43">
        <f>IF($I4227=0,0,IF(OR(INDEX(DarlOhneTilgung,9)=1,AND(INDEX(DarlTilgStart,9)&gt;0,$E4227&lt;INDEX(DarlTilgStart,9))),0,MIN(MAX(0,$K4227-$L4227),$J4227)))</f>
      </c>
      <c r="N4227" s="43">
        <f>IF($I4227=0,0,MIN(SUMIFS(SondBetrag,SondDarl,9,SondDatum,"&gt;="&amp;$E4227,SondDatum,"&lt;="&amp;EOMONTH($E4227,0)),$J4227-$M4227))</f>
      </c>
      <c r="O4227" s="43">
        <f>IF($I4227=0,0,INDEX(DarlErsatzRate,9))</f>
      </c>
      <c r="P4227" s="43">
        <f>IF($I4227=0,0,$Q4226*INDEX(DarlErsatzZins,9))</f>
      </c>
      <c r="Q4227" s="43">
        <f>IF($I4227=0,0,$Q4226+$P4227+$O4227)</f>
      </c>
      <c r="R4227" s="43">
        <f>IF($I4227=0,0,$J4227-$M4227-$N4227)</f>
      </c>
    </row>
    <row r="4228">
      <c r="A4228"/>
      <c r="B4228">
        <v>9</v>
      </c>
      <c r="C4228" s="43">
        <f>INDEX(DarlObj,9)</f>
      </c>
      <c r="D4228">
        <v>385</v>
      </c>
      <c r="E4228" s="51">
        <f>IF(INDEX(DarlBelegt,9)=0,0,EOMONTH(INDEX(DarlAuszahlung,9),384)+1)</f>
      </c>
      <c r="F4228" s="43">
        <f>IF($E4228=0,0,YEAR($E4228))</f>
      </c>
      <c r="G4228" s="43">
        <f>IF(INDEX(DarlBindung,9)="",1,IF($E4228&lt;=INDEX(DarlBindung,9),1,0))</f>
      </c>
      <c r="H4228" s="43">
        <f>IF($G4228=1,INDEX(DarlSollzins,9),INDEX(DarlAnschluss,9))</f>
      </c>
      <c r="I4228" s="43">
        <f>IF(INDEX(DarlBelegt,9)=0,0,IF(INDEX(DarlOhneTilgung,9)=1,IF(INDEX(DarlBindung,9)="",1,$G4228),IF($J4228&gt;0.005,1,0)))</f>
      </c>
      <c r="J4228" s="43">
        <f>IF($I4227=0,0,$R4227)</f>
      </c>
      <c r="K4228" s="43">
        <f>IF($I4228=0,0,IF(INDEX(DarlOhneTilgung,9)=1,0,IF(AND(INDEX(DarlTilgStart,9)&gt;0,$E4228=INDEX(DarlTilgStart,9)),$J4228*($H4228+INDEX(DarlTilgung,9))/100/12,IF(AND($G4228=0,$G4227=1),MAX($K4227,$J4228*($H4228+1)/100/12),$K4227))))</f>
      </c>
      <c r="L4228" s="43">
        <f>IF($I4228=0,0,$J4228*$H4228/100/12)</f>
      </c>
      <c r="M4228" s="43">
        <f>IF($I4228=0,0,IF(OR(INDEX(DarlOhneTilgung,9)=1,AND(INDEX(DarlTilgStart,9)&gt;0,$E4228&lt;INDEX(DarlTilgStart,9))),0,MIN(MAX(0,$K4228-$L4228),$J4228)))</f>
      </c>
      <c r="N4228" s="43">
        <f>IF($I4228=0,0,MIN(SUMIFS(SondBetrag,SondDarl,9,SondDatum,"&gt;="&amp;$E4228,SondDatum,"&lt;="&amp;EOMONTH($E4228,0)),$J4228-$M4228))</f>
      </c>
      <c r="O4228" s="43">
        <f>IF($I4228=0,0,INDEX(DarlErsatzRate,9))</f>
      </c>
      <c r="P4228" s="43">
        <f>IF($I4228=0,0,$Q4227*INDEX(DarlErsatzZins,9))</f>
      </c>
      <c r="Q4228" s="43">
        <f>IF($I4228=0,0,$Q4227+$P4228+$O4228)</f>
      </c>
      <c r="R4228" s="43">
        <f>IF($I4228=0,0,$J4228-$M4228-$N4228)</f>
      </c>
    </row>
    <row r="4229">
      <c r="A4229"/>
      <c r="B4229">
        <v>9</v>
      </c>
      <c r="C4229" s="43">
        <f>INDEX(DarlObj,9)</f>
      </c>
      <c r="D4229">
        <v>386</v>
      </c>
      <c r="E4229" s="51">
        <f>IF(INDEX(DarlBelegt,9)=0,0,EOMONTH(INDEX(DarlAuszahlung,9),385)+1)</f>
      </c>
      <c r="F4229" s="43">
        <f>IF($E4229=0,0,YEAR($E4229))</f>
      </c>
      <c r="G4229" s="43">
        <f>IF(INDEX(DarlBindung,9)="",1,IF($E4229&lt;=INDEX(DarlBindung,9),1,0))</f>
      </c>
      <c r="H4229" s="43">
        <f>IF($G4229=1,INDEX(DarlSollzins,9),INDEX(DarlAnschluss,9))</f>
      </c>
      <c r="I4229" s="43">
        <f>IF(INDEX(DarlBelegt,9)=0,0,IF(INDEX(DarlOhneTilgung,9)=1,IF(INDEX(DarlBindung,9)="",1,$G4229),IF($J4229&gt;0.005,1,0)))</f>
      </c>
      <c r="J4229" s="43">
        <f>IF($I4228=0,0,$R4228)</f>
      </c>
      <c r="K4229" s="43">
        <f>IF($I4229=0,0,IF(INDEX(DarlOhneTilgung,9)=1,0,IF(AND(INDEX(DarlTilgStart,9)&gt;0,$E4229=INDEX(DarlTilgStart,9)),$J4229*($H4229+INDEX(DarlTilgung,9))/100/12,IF(AND($G4229=0,$G4228=1),MAX($K4228,$J4229*($H4229+1)/100/12),$K4228))))</f>
      </c>
      <c r="L4229" s="43">
        <f>IF($I4229=0,0,$J4229*$H4229/100/12)</f>
      </c>
      <c r="M4229" s="43">
        <f>IF($I4229=0,0,IF(OR(INDEX(DarlOhneTilgung,9)=1,AND(INDEX(DarlTilgStart,9)&gt;0,$E4229&lt;INDEX(DarlTilgStart,9))),0,MIN(MAX(0,$K4229-$L4229),$J4229)))</f>
      </c>
      <c r="N4229" s="43">
        <f>IF($I4229=0,0,MIN(SUMIFS(SondBetrag,SondDarl,9,SondDatum,"&gt;="&amp;$E4229,SondDatum,"&lt;="&amp;EOMONTH($E4229,0)),$J4229-$M4229))</f>
      </c>
      <c r="O4229" s="43">
        <f>IF($I4229=0,0,INDEX(DarlErsatzRate,9))</f>
      </c>
      <c r="P4229" s="43">
        <f>IF($I4229=0,0,$Q4228*INDEX(DarlErsatzZins,9))</f>
      </c>
      <c r="Q4229" s="43">
        <f>IF($I4229=0,0,$Q4228+$P4229+$O4229)</f>
      </c>
      <c r="R4229" s="43">
        <f>IF($I4229=0,0,$J4229-$M4229-$N4229)</f>
      </c>
    </row>
    <row r="4230">
      <c r="A4230"/>
      <c r="B4230">
        <v>9</v>
      </c>
      <c r="C4230" s="43">
        <f>INDEX(DarlObj,9)</f>
      </c>
      <c r="D4230">
        <v>387</v>
      </c>
      <c r="E4230" s="51">
        <f>IF(INDEX(DarlBelegt,9)=0,0,EOMONTH(INDEX(DarlAuszahlung,9),386)+1)</f>
      </c>
      <c r="F4230" s="43">
        <f>IF($E4230=0,0,YEAR($E4230))</f>
      </c>
      <c r="G4230" s="43">
        <f>IF(INDEX(DarlBindung,9)="",1,IF($E4230&lt;=INDEX(DarlBindung,9),1,0))</f>
      </c>
      <c r="H4230" s="43">
        <f>IF($G4230=1,INDEX(DarlSollzins,9),INDEX(DarlAnschluss,9))</f>
      </c>
      <c r="I4230" s="43">
        <f>IF(INDEX(DarlBelegt,9)=0,0,IF(INDEX(DarlOhneTilgung,9)=1,IF(INDEX(DarlBindung,9)="",1,$G4230),IF($J4230&gt;0.005,1,0)))</f>
      </c>
      <c r="J4230" s="43">
        <f>IF($I4229=0,0,$R4229)</f>
      </c>
      <c r="K4230" s="43">
        <f>IF($I4230=0,0,IF(INDEX(DarlOhneTilgung,9)=1,0,IF(AND(INDEX(DarlTilgStart,9)&gt;0,$E4230=INDEX(DarlTilgStart,9)),$J4230*($H4230+INDEX(DarlTilgung,9))/100/12,IF(AND($G4230=0,$G4229=1),MAX($K4229,$J4230*($H4230+1)/100/12),$K4229))))</f>
      </c>
      <c r="L4230" s="43">
        <f>IF($I4230=0,0,$J4230*$H4230/100/12)</f>
      </c>
      <c r="M4230" s="43">
        <f>IF($I4230=0,0,IF(OR(INDEX(DarlOhneTilgung,9)=1,AND(INDEX(DarlTilgStart,9)&gt;0,$E4230&lt;INDEX(DarlTilgStart,9))),0,MIN(MAX(0,$K4230-$L4230),$J4230)))</f>
      </c>
      <c r="N4230" s="43">
        <f>IF($I4230=0,0,MIN(SUMIFS(SondBetrag,SondDarl,9,SondDatum,"&gt;="&amp;$E4230,SondDatum,"&lt;="&amp;EOMONTH($E4230,0)),$J4230-$M4230))</f>
      </c>
      <c r="O4230" s="43">
        <f>IF($I4230=0,0,INDEX(DarlErsatzRate,9))</f>
      </c>
      <c r="P4230" s="43">
        <f>IF($I4230=0,0,$Q4229*INDEX(DarlErsatzZins,9))</f>
      </c>
      <c r="Q4230" s="43">
        <f>IF($I4230=0,0,$Q4229+$P4230+$O4230)</f>
      </c>
      <c r="R4230" s="43">
        <f>IF($I4230=0,0,$J4230-$M4230-$N4230)</f>
      </c>
    </row>
    <row r="4231">
      <c r="A4231"/>
      <c r="B4231">
        <v>9</v>
      </c>
      <c r="C4231" s="43">
        <f>INDEX(DarlObj,9)</f>
      </c>
      <c r="D4231">
        <v>388</v>
      </c>
      <c r="E4231" s="51">
        <f>IF(INDEX(DarlBelegt,9)=0,0,EOMONTH(INDEX(DarlAuszahlung,9),387)+1)</f>
      </c>
      <c r="F4231" s="43">
        <f>IF($E4231=0,0,YEAR($E4231))</f>
      </c>
      <c r="G4231" s="43">
        <f>IF(INDEX(DarlBindung,9)="",1,IF($E4231&lt;=INDEX(DarlBindung,9),1,0))</f>
      </c>
      <c r="H4231" s="43">
        <f>IF($G4231=1,INDEX(DarlSollzins,9),INDEX(DarlAnschluss,9))</f>
      </c>
      <c r="I4231" s="43">
        <f>IF(INDEX(DarlBelegt,9)=0,0,IF(INDEX(DarlOhneTilgung,9)=1,IF(INDEX(DarlBindung,9)="",1,$G4231),IF($J4231&gt;0.005,1,0)))</f>
      </c>
      <c r="J4231" s="43">
        <f>IF($I4230=0,0,$R4230)</f>
      </c>
      <c r="K4231" s="43">
        <f>IF($I4231=0,0,IF(INDEX(DarlOhneTilgung,9)=1,0,IF(AND(INDEX(DarlTilgStart,9)&gt;0,$E4231=INDEX(DarlTilgStart,9)),$J4231*($H4231+INDEX(DarlTilgung,9))/100/12,IF(AND($G4231=0,$G4230=1),MAX($K4230,$J4231*($H4231+1)/100/12),$K4230))))</f>
      </c>
      <c r="L4231" s="43">
        <f>IF($I4231=0,0,$J4231*$H4231/100/12)</f>
      </c>
      <c r="M4231" s="43">
        <f>IF($I4231=0,0,IF(OR(INDEX(DarlOhneTilgung,9)=1,AND(INDEX(DarlTilgStart,9)&gt;0,$E4231&lt;INDEX(DarlTilgStart,9))),0,MIN(MAX(0,$K4231-$L4231),$J4231)))</f>
      </c>
      <c r="N4231" s="43">
        <f>IF($I4231=0,0,MIN(SUMIFS(SondBetrag,SondDarl,9,SondDatum,"&gt;="&amp;$E4231,SondDatum,"&lt;="&amp;EOMONTH($E4231,0)),$J4231-$M4231))</f>
      </c>
      <c r="O4231" s="43">
        <f>IF($I4231=0,0,INDEX(DarlErsatzRate,9))</f>
      </c>
      <c r="P4231" s="43">
        <f>IF($I4231=0,0,$Q4230*INDEX(DarlErsatzZins,9))</f>
      </c>
      <c r="Q4231" s="43">
        <f>IF($I4231=0,0,$Q4230+$P4231+$O4231)</f>
      </c>
      <c r="R4231" s="43">
        <f>IF($I4231=0,0,$J4231-$M4231-$N4231)</f>
      </c>
    </row>
    <row r="4232">
      <c r="A4232"/>
      <c r="B4232">
        <v>9</v>
      </c>
      <c r="C4232" s="43">
        <f>INDEX(DarlObj,9)</f>
      </c>
      <c r="D4232">
        <v>389</v>
      </c>
      <c r="E4232" s="51">
        <f>IF(INDEX(DarlBelegt,9)=0,0,EOMONTH(INDEX(DarlAuszahlung,9),388)+1)</f>
      </c>
      <c r="F4232" s="43">
        <f>IF($E4232=0,0,YEAR($E4232))</f>
      </c>
      <c r="G4232" s="43">
        <f>IF(INDEX(DarlBindung,9)="",1,IF($E4232&lt;=INDEX(DarlBindung,9),1,0))</f>
      </c>
      <c r="H4232" s="43">
        <f>IF($G4232=1,INDEX(DarlSollzins,9),INDEX(DarlAnschluss,9))</f>
      </c>
      <c r="I4232" s="43">
        <f>IF(INDEX(DarlBelegt,9)=0,0,IF(INDEX(DarlOhneTilgung,9)=1,IF(INDEX(DarlBindung,9)="",1,$G4232),IF($J4232&gt;0.005,1,0)))</f>
      </c>
      <c r="J4232" s="43">
        <f>IF($I4231=0,0,$R4231)</f>
      </c>
      <c r="K4232" s="43">
        <f>IF($I4232=0,0,IF(INDEX(DarlOhneTilgung,9)=1,0,IF(AND(INDEX(DarlTilgStart,9)&gt;0,$E4232=INDEX(DarlTilgStart,9)),$J4232*($H4232+INDEX(DarlTilgung,9))/100/12,IF(AND($G4232=0,$G4231=1),MAX($K4231,$J4232*($H4232+1)/100/12),$K4231))))</f>
      </c>
      <c r="L4232" s="43">
        <f>IF($I4232=0,0,$J4232*$H4232/100/12)</f>
      </c>
      <c r="M4232" s="43">
        <f>IF($I4232=0,0,IF(OR(INDEX(DarlOhneTilgung,9)=1,AND(INDEX(DarlTilgStart,9)&gt;0,$E4232&lt;INDEX(DarlTilgStart,9))),0,MIN(MAX(0,$K4232-$L4232),$J4232)))</f>
      </c>
      <c r="N4232" s="43">
        <f>IF($I4232=0,0,MIN(SUMIFS(SondBetrag,SondDarl,9,SondDatum,"&gt;="&amp;$E4232,SondDatum,"&lt;="&amp;EOMONTH($E4232,0)),$J4232-$M4232))</f>
      </c>
      <c r="O4232" s="43">
        <f>IF($I4232=0,0,INDEX(DarlErsatzRate,9))</f>
      </c>
      <c r="P4232" s="43">
        <f>IF($I4232=0,0,$Q4231*INDEX(DarlErsatzZins,9))</f>
      </c>
      <c r="Q4232" s="43">
        <f>IF($I4232=0,0,$Q4231+$P4232+$O4232)</f>
      </c>
      <c r="R4232" s="43">
        <f>IF($I4232=0,0,$J4232-$M4232-$N4232)</f>
      </c>
    </row>
    <row r="4233">
      <c r="A4233"/>
      <c r="B4233">
        <v>9</v>
      </c>
      <c r="C4233" s="43">
        <f>INDEX(DarlObj,9)</f>
      </c>
      <c r="D4233">
        <v>390</v>
      </c>
      <c r="E4233" s="51">
        <f>IF(INDEX(DarlBelegt,9)=0,0,EOMONTH(INDEX(DarlAuszahlung,9),389)+1)</f>
      </c>
      <c r="F4233" s="43">
        <f>IF($E4233=0,0,YEAR($E4233))</f>
      </c>
      <c r="G4233" s="43">
        <f>IF(INDEX(DarlBindung,9)="",1,IF($E4233&lt;=INDEX(DarlBindung,9),1,0))</f>
      </c>
      <c r="H4233" s="43">
        <f>IF($G4233=1,INDEX(DarlSollzins,9),INDEX(DarlAnschluss,9))</f>
      </c>
      <c r="I4233" s="43">
        <f>IF(INDEX(DarlBelegt,9)=0,0,IF(INDEX(DarlOhneTilgung,9)=1,IF(INDEX(DarlBindung,9)="",1,$G4233),IF($J4233&gt;0.005,1,0)))</f>
      </c>
      <c r="J4233" s="43">
        <f>IF($I4232=0,0,$R4232)</f>
      </c>
      <c r="K4233" s="43">
        <f>IF($I4233=0,0,IF(INDEX(DarlOhneTilgung,9)=1,0,IF(AND(INDEX(DarlTilgStart,9)&gt;0,$E4233=INDEX(DarlTilgStart,9)),$J4233*($H4233+INDEX(DarlTilgung,9))/100/12,IF(AND($G4233=0,$G4232=1),MAX($K4232,$J4233*($H4233+1)/100/12),$K4232))))</f>
      </c>
      <c r="L4233" s="43">
        <f>IF($I4233=0,0,$J4233*$H4233/100/12)</f>
      </c>
      <c r="M4233" s="43">
        <f>IF($I4233=0,0,IF(OR(INDEX(DarlOhneTilgung,9)=1,AND(INDEX(DarlTilgStart,9)&gt;0,$E4233&lt;INDEX(DarlTilgStart,9))),0,MIN(MAX(0,$K4233-$L4233),$J4233)))</f>
      </c>
      <c r="N4233" s="43">
        <f>IF($I4233=0,0,MIN(SUMIFS(SondBetrag,SondDarl,9,SondDatum,"&gt;="&amp;$E4233,SondDatum,"&lt;="&amp;EOMONTH($E4233,0)),$J4233-$M4233))</f>
      </c>
      <c r="O4233" s="43">
        <f>IF($I4233=0,0,INDEX(DarlErsatzRate,9))</f>
      </c>
      <c r="P4233" s="43">
        <f>IF($I4233=0,0,$Q4232*INDEX(DarlErsatzZins,9))</f>
      </c>
      <c r="Q4233" s="43">
        <f>IF($I4233=0,0,$Q4232+$P4233+$O4233)</f>
      </c>
      <c r="R4233" s="43">
        <f>IF($I4233=0,0,$J4233-$M4233-$N4233)</f>
      </c>
    </row>
    <row r="4234">
      <c r="A4234"/>
      <c r="B4234">
        <v>9</v>
      </c>
      <c r="C4234" s="43">
        <f>INDEX(DarlObj,9)</f>
      </c>
      <c r="D4234">
        <v>391</v>
      </c>
      <c r="E4234" s="51">
        <f>IF(INDEX(DarlBelegt,9)=0,0,EOMONTH(INDEX(DarlAuszahlung,9),390)+1)</f>
      </c>
      <c r="F4234" s="43">
        <f>IF($E4234=0,0,YEAR($E4234))</f>
      </c>
      <c r="G4234" s="43">
        <f>IF(INDEX(DarlBindung,9)="",1,IF($E4234&lt;=INDEX(DarlBindung,9),1,0))</f>
      </c>
      <c r="H4234" s="43">
        <f>IF($G4234=1,INDEX(DarlSollzins,9),INDEX(DarlAnschluss,9))</f>
      </c>
      <c r="I4234" s="43">
        <f>IF(INDEX(DarlBelegt,9)=0,0,IF(INDEX(DarlOhneTilgung,9)=1,IF(INDEX(DarlBindung,9)="",1,$G4234),IF($J4234&gt;0.005,1,0)))</f>
      </c>
      <c r="J4234" s="43">
        <f>IF($I4233=0,0,$R4233)</f>
      </c>
      <c r="K4234" s="43">
        <f>IF($I4234=0,0,IF(INDEX(DarlOhneTilgung,9)=1,0,IF(AND(INDEX(DarlTilgStart,9)&gt;0,$E4234=INDEX(DarlTilgStart,9)),$J4234*($H4234+INDEX(DarlTilgung,9))/100/12,IF(AND($G4234=0,$G4233=1),MAX($K4233,$J4234*($H4234+1)/100/12),$K4233))))</f>
      </c>
      <c r="L4234" s="43">
        <f>IF($I4234=0,0,$J4234*$H4234/100/12)</f>
      </c>
      <c r="M4234" s="43">
        <f>IF($I4234=0,0,IF(OR(INDEX(DarlOhneTilgung,9)=1,AND(INDEX(DarlTilgStart,9)&gt;0,$E4234&lt;INDEX(DarlTilgStart,9))),0,MIN(MAX(0,$K4234-$L4234),$J4234)))</f>
      </c>
      <c r="N4234" s="43">
        <f>IF($I4234=0,0,MIN(SUMIFS(SondBetrag,SondDarl,9,SondDatum,"&gt;="&amp;$E4234,SondDatum,"&lt;="&amp;EOMONTH($E4234,0)),$J4234-$M4234))</f>
      </c>
      <c r="O4234" s="43">
        <f>IF($I4234=0,0,INDEX(DarlErsatzRate,9))</f>
      </c>
      <c r="P4234" s="43">
        <f>IF($I4234=0,0,$Q4233*INDEX(DarlErsatzZins,9))</f>
      </c>
      <c r="Q4234" s="43">
        <f>IF($I4234=0,0,$Q4233+$P4234+$O4234)</f>
      </c>
      <c r="R4234" s="43">
        <f>IF($I4234=0,0,$J4234-$M4234-$N4234)</f>
      </c>
    </row>
    <row r="4235">
      <c r="A4235"/>
      <c r="B4235">
        <v>9</v>
      </c>
      <c r="C4235" s="43">
        <f>INDEX(DarlObj,9)</f>
      </c>
      <c r="D4235">
        <v>392</v>
      </c>
      <c r="E4235" s="51">
        <f>IF(INDEX(DarlBelegt,9)=0,0,EOMONTH(INDEX(DarlAuszahlung,9),391)+1)</f>
      </c>
      <c r="F4235" s="43">
        <f>IF($E4235=0,0,YEAR($E4235))</f>
      </c>
      <c r="G4235" s="43">
        <f>IF(INDEX(DarlBindung,9)="",1,IF($E4235&lt;=INDEX(DarlBindung,9),1,0))</f>
      </c>
      <c r="H4235" s="43">
        <f>IF($G4235=1,INDEX(DarlSollzins,9),INDEX(DarlAnschluss,9))</f>
      </c>
      <c r="I4235" s="43">
        <f>IF(INDEX(DarlBelegt,9)=0,0,IF(INDEX(DarlOhneTilgung,9)=1,IF(INDEX(DarlBindung,9)="",1,$G4235),IF($J4235&gt;0.005,1,0)))</f>
      </c>
      <c r="J4235" s="43">
        <f>IF($I4234=0,0,$R4234)</f>
      </c>
      <c r="K4235" s="43">
        <f>IF($I4235=0,0,IF(INDEX(DarlOhneTilgung,9)=1,0,IF(AND(INDEX(DarlTilgStart,9)&gt;0,$E4235=INDEX(DarlTilgStart,9)),$J4235*($H4235+INDEX(DarlTilgung,9))/100/12,IF(AND($G4235=0,$G4234=1),MAX($K4234,$J4235*($H4235+1)/100/12),$K4234))))</f>
      </c>
      <c r="L4235" s="43">
        <f>IF($I4235=0,0,$J4235*$H4235/100/12)</f>
      </c>
      <c r="M4235" s="43">
        <f>IF($I4235=0,0,IF(OR(INDEX(DarlOhneTilgung,9)=1,AND(INDEX(DarlTilgStart,9)&gt;0,$E4235&lt;INDEX(DarlTilgStart,9))),0,MIN(MAX(0,$K4235-$L4235),$J4235)))</f>
      </c>
      <c r="N4235" s="43">
        <f>IF($I4235=0,0,MIN(SUMIFS(SondBetrag,SondDarl,9,SondDatum,"&gt;="&amp;$E4235,SondDatum,"&lt;="&amp;EOMONTH($E4235,0)),$J4235-$M4235))</f>
      </c>
      <c r="O4235" s="43">
        <f>IF($I4235=0,0,INDEX(DarlErsatzRate,9))</f>
      </c>
      <c r="P4235" s="43">
        <f>IF($I4235=0,0,$Q4234*INDEX(DarlErsatzZins,9))</f>
      </c>
      <c r="Q4235" s="43">
        <f>IF($I4235=0,0,$Q4234+$P4235+$O4235)</f>
      </c>
      <c r="R4235" s="43">
        <f>IF($I4235=0,0,$J4235-$M4235-$N4235)</f>
      </c>
    </row>
    <row r="4236">
      <c r="A4236"/>
      <c r="B4236">
        <v>9</v>
      </c>
      <c r="C4236" s="43">
        <f>INDEX(DarlObj,9)</f>
      </c>
      <c r="D4236">
        <v>393</v>
      </c>
      <c r="E4236" s="51">
        <f>IF(INDEX(DarlBelegt,9)=0,0,EOMONTH(INDEX(DarlAuszahlung,9),392)+1)</f>
      </c>
      <c r="F4236" s="43">
        <f>IF($E4236=0,0,YEAR($E4236))</f>
      </c>
      <c r="G4236" s="43">
        <f>IF(INDEX(DarlBindung,9)="",1,IF($E4236&lt;=INDEX(DarlBindung,9),1,0))</f>
      </c>
      <c r="H4236" s="43">
        <f>IF($G4236=1,INDEX(DarlSollzins,9),INDEX(DarlAnschluss,9))</f>
      </c>
      <c r="I4236" s="43">
        <f>IF(INDEX(DarlBelegt,9)=0,0,IF(INDEX(DarlOhneTilgung,9)=1,IF(INDEX(DarlBindung,9)="",1,$G4236),IF($J4236&gt;0.005,1,0)))</f>
      </c>
      <c r="J4236" s="43">
        <f>IF($I4235=0,0,$R4235)</f>
      </c>
      <c r="K4236" s="43">
        <f>IF($I4236=0,0,IF(INDEX(DarlOhneTilgung,9)=1,0,IF(AND(INDEX(DarlTilgStart,9)&gt;0,$E4236=INDEX(DarlTilgStart,9)),$J4236*($H4236+INDEX(DarlTilgung,9))/100/12,IF(AND($G4236=0,$G4235=1),MAX($K4235,$J4236*($H4236+1)/100/12),$K4235))))</f>
      </c>
      <c r="L4236" s="43">
        <f>IF($I4236=0,0,$J4236*$H4236/100/12)</f>
      </c>
      <c r="M4236" s="43">
        <f>IF($I4236=0,0,IF(OR(INDEX(DarlOhneTilgung,9)=1,AND(INDEX(DarlTilgStart,9)&gt;0,$E4236&lt;INDEX(DarlTilgStart,9))),0,MIN(MAX(0,$K4236-$L4236),$J4236)))</f>
      </c>
      <c r="N4236" s="43">
        <f>IF($I4236=0,0,MIN(SUMIFS(SondBetrag,SondDarl,9,SondDatum,"&gt;="&amp;$E4236,SondDatum,"&lt;="&amp;EOMONTH($E4236,0)),$J4236-$M4236))</f>
      </c>
      <c r="O4236" s="43">
        <f>IF($I4236=0,0,INDEX(DarlErsatzRate,9))</f>
      </c>
      <c r="P4236" s="43">
        <f>IF($I4236=0,0,$Q4235*INDEX(DarlErsatzZins,9))</f>
      </c>
      <c r="Q4236" s="43">
        <f>IF($I4236=0,0,$Q4235+$P4236+$O4236)</f>
      </c>
      <c r="R4236" s="43">
        <f>IF($I4236=0,0,$J4236-$M4236-$N4236)</f>
      </c>
    </row>
    <row r="4237">
      <c r="A4237"/>
      <c r="B4237">
        <v>9</v>
      </c>
      <c r="C4237" s="43">
        <f>INDEX(DarlObj,9)</f>
      </c>
      <c r="D4237">
        <v>394</v>
      </c>
      <c r="E4237" s="51">
        <f>IF(INDEX(DarlBelegt,9)=0,0,EOMONTH(INDEX(DarlAuszahlung,9),393)+1)</f>
      </c>
      <c r="F4237" s="43">
        <f>IF($E4237=0,0,YEAR($E4237))</f>
      </c>
      <c r="G4237" s="43">
        <f>IF(INDEX(DarlBindung,9)="",1,IF($E4237&lt;=INDEX(DarlBindung,9),1,0))</f>
      </c>
      <c r="H4237" s="43">
        <f>IF($G4237=1,INDEX(DarlSollzins,9),INDEX(DarlAnschluss,9))</f>
      </c>
      <c r="I4237" s="43">
        <f>IF(INDEX(DarlBelegt,9)=0,0,IF(INDEX(DarlOhneTilgung,9)=1,IF(INDEX(DarlBindung,9)="",1,$G4237),IF($J4237&gt;0.005,1,0)))</f>
      </c>
      <c r="J4237" s="43">
        <f>IF($I4236=0,0,$R4236)</f>
      </c>
      <c r="K4237" s="43">
        <f>IF($I4237=0,0,IF(INDEX(DarlOhneTilgung,9)=1,0,IF(AND(INDEX(DarlTilgStart,9)&gt;0,$E4237=INDEX(DarlTilgStart,9)),$J4237*($H4237+INDEX(DarlTilgung,9))/100/12,IF(AND($G4237=0,$G4236=1),MAX($K4236,$J4237*($H4237+1)/100/12),$K4236))))</f>
      </c>
      <c r="L4237" s="43">
        <f>IF($I4237=0,0,$J4237*$H4237/100/12)</f>
      </c>
      <c r="M4237" s="43">
        <f>IF($I4237=0,0,IF(OR(INDEX(DarlOhneTilgung,9)=1,AND(INDEX(DarlTilgStart,9)&gt;0,$E4237&lt;INDEX(DarlTilgStart,9))),0,MIN(MAX(0,$K4237-$L4237),$J4237)))</f>
      </c>
      <c r="N4237" s="43">
        <f>IF($I4237=0,0,MIN(SUMIFS(SondBetrag,SondDarl,9,SondDatum,"&gt;="&amp;$E4237,SondDatum,"&lt;="&amp;EOMONTH($E4237,0)),$J4237-$M4237))</f>
      </c>
      <c r="O4237" s="43">
        <f>IF($I4237=0,0,INDEX(DarlErsatzRate,9))</f>
      </c>
      <c r="P4237" s="43">
        <f>IF($I4237=0,0,$Q4236*INDEX(DarlErsatzZins,9))</f>
      </c>
      <c r="Q4237" s="43">
        <f>IF($I4237=0,0,$Q4236+$P4237+$O4237)</f>
      </c>
      <c r="R4237" s="43">
        <f>IF($I4237=0,0,$J4237-$M4237-$N4237)</f>
      </c>
    </row>
    <row r="4238">
      <c r="A4238"/>
      <c r="B4238">
        <v>9</v>
      </c>
      <c r="C4238" s="43">
        <f>INDEX(DarlObj,9)</f>
      </c>
      <c r="D4238">
        <v>395</v>
      </c>
      <c r="E4238" s="51">
        <f>IF(INDEX(DarlBelegt,9)=0,0,EOMONTH(INDEX(DarlAuszahlung,9),394)+1)</f>
      </c>
      <c r="F4238" s="43">
        <f>IF($E4238=0,0,YEAR($E4238))</f>
      </c>
      <c r="G4238" s="43">
        <f>IF(INDEX(DarlBindung,9)="",1,IF($E4238&lt;=INDEX(DarlBindung,9),1,0))</f>
      </c>
      <c r="H4238" s="43">
        <f>IF($G4238=1,INDEX(DarlSollzins,9),INDEX(DarlAnschluss,9))</f>
      </c>
      <c r="I4238" s="43">
        <f>IF(INDEX(DarlBelegt,9)=0,0,IF(INDEX(DarlOhneTilgung,9)=1,IF(INDEX(DarlBindung,9)="",1,$G4238),IF($J4238&gt;0.005,1,0)))</f>
      </c>
      <c r="J4238" s="43">
        <f>IF($I4237=0,0,$R4237)</f>
      </c>
      <c r="K4238" s="43">
        <f>IF($I4238=0,0,IF(INDEX(DarlOhneTilgung,9)=1,0,IF(AND(INDEX(DarlTilgStart,9)&gt;0,$E4238=INDEX(DarlTilgStart,9)),$J4238*($H4238+INDEX(DarlTilgung,9))/100/12,IF(AND($G4238=0,$G4237=1),MAX($K4237,$J4238*($H4238+1)/100/12),$K4237))))</f>
      </c>
      <c r="L4238" s="43">
        <f>IF($I4238=0,0,$J4238*$H4238/100/12)</f>
      </c>
      <c r="M4238" s="43">
        <f>IF($I4238=0,0,IF(OR(INDEX(DarlOhneTilgung,9)=1,AND(INDEX(DarlTilgStart,9)&gt;0,$E4238&lt;INDEX(DarlTilgStart,9))),0,MIN(MAX(0,$K4238-$L4238),$J4238)))</f>
      </c>
      <c r="N4238" s="43">
        <f>IF($I4238=0,0,MIN(SUMIFS(SondBetrag,SondDarl,9,SondDatum,"&gt;="&amp;$E4238,SondDatum,"&lt;="&amp;EOMONTH($E4238,0)),$J4238-$M4238))</f>
      </c>
      <c r="O4238" s="43">
        <f>IF($I4238=0,0,INDEX(DarlErsatzRate,9))</f>
      </c>
      <c r="P4238" s="43">
        <f>IF($I4238=0,0,$Q4237*INDEX(DarlErsatzZins,9))</f>
      </c>
      <c r="Q4238" s="43">
        <f>IF($I4238=0,0,$Q4237+$P4238+$O4238)</f>
      </c>
      <c r="R4238" s="43">
        <f>IF($I4238=0,0,$J4238-$M4238-$N4238)</f>
      </c>
    </row>
    <row r="4239">
      <c r="A4239"/>
      <c r="B4239">
        <v>9</v>
      </c>
      <c r="C4239" s="43">
        <f>INDEX(DarlObj,9)</f>
      </c>
      <c r="D4239">
        <v>396</v>
      </c>
      <c r="E4239" s="51">
        <f>IF(INDEX(DarlBelegt,9)=0,0,EOMONTH(INDEX(DarlAuszahlung,9),395)+1)</f>
      </c>
      <c r="F4239" s="43">
        <f>IF($E4239=0,0,YEAR($E4239))</f>
      </c>
      <c r="G4239" s="43">
        <f>IF(INDEX(DarlBindung,9)="",1,IF($E4239&lt;=INDEX(DarlBindung,9),1,0))</f>
      </c>
      <c r="H4239" s="43">
        <f>IF($G4239=1,INDEX(DarlSollzins,9),INDEX(DarlAnschluss,9))</f>
      </c>
      <c r="I4239" s="43">
        <f>IF(INDEX(DarlBelegt,9)=0,0,IF(INDEX(DarlOhneTilgung,9)=1,IF(INDEX(DarlBindung,9)="",1,$G4239),IF($J4239&gt;0.005,1,0)))</f>
      </c>
      <c r="J4239" s="43">
        <f>IF($I4238=0,0,$R4238)</f>
      </c>
      <c r="K4239" s="43">
        <f>IF($I4239=0,0,IF(INDEX(DarlOhneTilgung,9)=1,0,IF(AND(INDEX(DarlTilgStart,9)&gt;0,$E4239=INDEX(DarlTilgStart,9)),$J4239*($H4239+INDEX(DarlTilgung,9))/100/12,IF(AND($G4239=0,$G4238=1),MAX($K4238,$J4239*($H4239+1)/100/12),$K4238))))</f>
      </c>
      <c r="L4239" s="43">
        <f>IF($I4239=0,0,$J4239*$H4239/100/12)</f>
      </c>
      <c r="M4239" s="43">
        <f>IF($I4239=0,0,IF(OR(INDEX(DarlOhneTilgung,9)=1,AND(INDEX(DarlTilgStart,9)&gt;0,$E4239&lt;INDEX(DarlTilgStart,9))),0,MIN(MAX(0,$K4239-$L4239),$J4239)))</f>
      </c>
      <c r="N4239" s="43">
        <f>IF($I4239=0,0,MIN(SUMIFS(SondBetrag,SondDarl,9,SondDatum,"&gt;="&amp;$E4239,SondDatum,"&lt;="&amp;EOMONTH($E4239,0)),$J4239-$M4239))</f>
      </c>
      <c r="O4239" s="43">
        <f>IF($I4239=0,0,INDEX(DarlErsatzRate,9))</f>
      </c>
      <c r="P4239" s="43">
        <f>IF($I4239=0,0,$Q4238*INDEX(DarlErsatzZins,9))</f>
      </c>
      <c r="Q4239" s="43">
        <f>IF($I4239=0,0,$Q4238+$P4239+$O4239)</f>
      </c>
      <c r="R4239" s="43">
        <f>IF($I4239=0,0,$J4239-$M4239-$N4239)</f>
      </c>
    </row>
    <row r="4240">
      <c r="A4240"/>
      <c r="B4240">
        <v>9</v>
      </c>
      <c r="C4240" s="43">
        <f>INDEX(DarlObj,9)</f>
      </c>
      <c r="D4240">
        <v>397</v>
      </c>
      <c r="E4240" s="51">
        <f>IF(INDEX(DarlBelegt,9)=0,0,EOMONTH(INDEX(DarlAuszahlung,9),396)+1)</f>
      </c>
      <c r="F4240" s="43">
        <f>IF($E4240=0,0,YEAR($E4240))</f>
      </c>
      <c r="G4240" s="43">
        <f>IF(INDEX(DarlBindung,9)="",1,IF($E4240&lt;=INDEX(DarlBindung,9),1,0))</f>
      </c>
      <c r="H4240" s="43">
        <f>IF($G4240=1,INDEX(DarlSollzins,9),INDEX(DarlAnschluss,9))</f>
      </c>
      <c r="I4240" s="43">
        <f>IF(INDEX(DarlBelegt,9)=0,0,IF(INDEX(DarlOhneTilgung,9)=1,IF(INDEX(DarlBindung,9)="",1,$G4240),IF($J4240&gt;0.005,1,0)))</f>
      </c>
      <c r="J4240" s="43">
        <f>IF($I4239=0,0,$R4239)</f>
      </c>
      <c r="K4240" s="43">
        <f>IF($I4240=0,0,IF(INDEX(DarlOhneTilgung,9)=1,0,IF(AND(INDEX(DarlTilgStart,9)&gt;0,$E4240=INDEX(DarlTilgStart,9)),$J4240*($H4240+INDEX(DarlTilgung,9))/100/12,IF(AND($G4240=0,$G4239=1),MAX($K4239,$J4240*($H4240+1)/100/12),$K4239))))</f>
      </c>
      <c r="L4240" s="43">
        <f>IF($I4240=0,0,$J4240*$H4240/100/12)</f>
      </c>
      <c r="M4240" s="43">
        <f>IF($I4240=0,0,IF(OR(INDEX(DarlOhneTilgung,9)=1,AND(INDEX(DarlTilgStart,9)&gt;0,$E4240&lt;INDEX(DarlTilgStart,9))),0,MIN(MAX(0,$K4240-$L4240),$J4240)))</f>
      </c>
      <c r="N4240" s="43">
        <f>IF($I4240=0,0,MIN(SUMIFS(SondBetrag,SondDarl,9,SondDatum,"&gt;="&amp;$E4240,SondDatum,"&lt;="&amp;EOMONTH($E4240,0)),$J4240-$M4240))</f>
      </c>
      <c r="O4240" s="43">
        <f>IF($I4240=0,0,INDEX(DarlErsatzRate,9))</f>
      </c>
      <c r="P4240" s="43">
        <f>IF($I4240=0,0,$Q4239*INDEX(DarlErsatzZins,9))</f>
      </c>
      <c r="Q4240" s="43">
        <f>IF($I4240=0,0,$Q4239+$P4240+$O4240)</f>
      </c>
      <c r="R4240" s="43">
        <f>IF($I4240=0,0,$J4240-$M4240-$N4240)</f>
      </c>
    </row>
    <row r="4241">
      <c r="A4241"/>
      <c r="B4241">
        <v>9</v>
      </c>
      <c r="C4241" s="43">
        <f>INDEX(DarlObj,9)</f>
      </c>
      <c r="D4241">
        <v>398</v>
      </c>
      <c r="E4241" s="51">
        <f>IF(INDEX(DarlBelegt,9)=0,0,EOMONTH(INDEX(DarlAuszahlung,9),397)+1)</f>
      </c>
      <c r="F4241" s="43">
        <f>IF($E4241=0,0,YEAR($E4241))</f>
      </c>
      <c r="G4241" s="43">
        <f>IF(INDEX(DarlBindung,9)="",1,IF($E4241&lt;=INDEX(DarlBindung,9),1,0))</f>
      </c>
      <c r="H4241" s="43">
        <f>IF($G4241=1,INDEX(DarlSollzins,9),INDEX(DarlAnschluss,9))</f>
      </c>
      <c r="I4241" s="43">
        <f>IF(INDEX(DarlBelegt,9)=0,0,IF(INDEX(DarlOhneTilgung,9)=1,IF(INDEX(DarlBindung,9)="",1,$G4241),IF($J4241&gt;0.005,1,0)))</f>
      </c>
      <c r="J4241" s="43">
        <f>IF($I4240=0,0,$R4240)</f>
      </c>
      <c r="K4241" s="43">
        <f>IF($I4241=0,0,IF(INDEX(DarlOhneTilgung,9)=1,0,IF(AND(INDEX(DarlTilgStart,9)&gt;0,$E4241=INDEX(DarlTilgStart,9)),$J4241*($H4241+INDEX(DarlTilgung,9))/100/12,IF(AND($G4241=0,$G4240=1),MAX($K4240,$J4241*($H4241+1)/100/12),$K4240))))</f>
      </c>
      <c r="L4241" s="43">
        <f>IF($I4241=0,0,$J4241*$H4241/100/12)</f>
      </c>
      <c r="M4241" s="43">
        <f>IF($I4241=0,0,IF(OR(INDEX(DarlOhneTilgung,9)=1,AND(INDEX(DarlTilgStart,9)&gt;0,$E4241&lt;INDEX(DarlTilgStart,9))),0,MIN(MAX(0,$K4241-$L4241),$J4241)))</f>
      </c>
      <c r="N4241" s="43">
        <f>IF($I4241=0,0,MIN(SUMIFS(SondBetrag,SondDarl,9,SondDatum,"&gt;="&amp;$E4241,SondDatum,"&lt;="&amp;EOMONTH($E4241,0)),$J4241-$M4241))</f>
      </c>
      <c r="O4241" s="43">
        <f>IF($I4241=0,0,INDEX(DarlErsatzRate,9))</f>
      </c>
      <c r="P4241" s="43">
        <f>IF($I4241=0,0,$Q4240*INDEX(DarlErsatzZins,9))</f>
      </c>
      <c r="Q4241" s="43">
        <f>IF($I4241=0,0,$Q4240+$P4241+$O4241)</f>
      </c>
      <c r="R4241" s="43">
        <f>IF($I4241=0,0,$J4241-$M4241-$N4241)</f>
      </c>
    </row>
    <row r="4242">
      <c r="A4242"/>
      <c r="B4242">
        <v>9</v>
      </c>
      <c r="C4242" s="43">
        <f>INDEX(DarlObj,9)</f>
      </c>
      <c r="D4242">
        <v>399</v>
      </c>
      <c r="E4242" s="51">
        <f>IF(INDEX(DarlBelegt,9)=0,0,EOMONTH(INDEX(DarlAuszahlung,9),398)+1)</f>
      </c>
      <c r="F4242" s="43">
        <f>IF($E4242=0,0,YEAR($E4242))</f>
      </c>
      <c r="G4242" s="43">
        <f>IF(INDEX(DarlBindung,9)="",1,IF($E4242&lt;=INDEX(DarlBindung,9),1,0))</f>
      </c>
      <c r="H4242" s="43">
        <f>IF($G4242=1,INDEX(DarlSollzins,9),INDEX(DarlAnschluss,9))</f>
      </c>
      <c r="I4242" s="43">
        <f>IF(INDEX(DarlBelegt,9)=0,0,IF(INDEX(DarlOhneTilgung,9)=1,IF(INDEX(DarlBindung,9)="",1,$G4242),IF($J4242&gt;0.005,1,0)))</f>
      </c>
      <c r="J4242" s="43">
        <f>IF($I4241=0,0,$R4241)</f>
      </c>
      <c r="K4242" s="43">
        <f>IF($I4242=0,0,IF(INDEX(DarlOhneTilgung,9)=1,0,IF(AND(INDEX(DarlTilgStart,9)&gt;0,$E4242=INDEX(DarlTilgStart,9)),$J4242*($H4242+INDEX(DarlTilgung,9))/100/12,IF(AND($G4242=0,$G4241=1),MAX($K4241,$J4242*($H4242+1)/100/12),$K4241))))</f>
      </c>
      <c r="L4242" s="43">
        <f>IF($I4242=0,0,$J4242*$H4242/100/12)</f>
      </c>
      <c r="M4242" s="43">
        <f>IF($I4242=0,0,IF(OR(INDEX(DarlOhneTilgung,9)=1,AND(INDEX(DarlTilgStart,9)&gt;0,$E4242&lt;INDEX(DarlTilgStart,9))),0,MIN(MAX(0,$K4242-$L4242),$J4242)))</f>
      </c>
      <c r="N4242" s="43">
        <f>IF($I4242=0,0,MIN(SUMIFS(SondBetrag,SondDarl,9,SondDatum,"&gt;="&amp;$E4242,SondDatum,"&lt;="&amp;EOMONTH($E4242,0)),$J4242-$M4242))</f>
      </c>
      <c r="O4242" s="43">
        <f>IF($I4242=0,0,INDEX(DarlErsatzRate,9))</f>
      </c>
      <c r="P4242" s="43">
        <f>IF($I4242=0,0,$Q4241*INDEX(DarlErsatzZins,9))</f>
      </c>
      <c r="Q4242" s="43">
        <f>IF($I4242=0,0,$Q4241+$P4242+$O4242)</f>
      </c>
      <c r="R4242" s="43">
        <f>IF($I4242=0,0,$J4242-$M4242-$N4242)</f>
      </c>
    </row>
    <row r="4243">
      <c r="A4243"/>
      <c r="B4243">
        <v>9</v>
      </c>
      <c r="C4243" s="43">
        <f>INDEX(DarlObj,9)</f>
      </c>
      <c r="D4243">
        <v>400</v>
      </c>
      <c r="E4243" s="51">
        <f>IF(INDEX(DarlBelegt,9)=0,0,EOMONTH(INDEX(DarlAuszahlung,9),399)+1)</f>
      </c>
      <c r="F4243" s="43">
        <f>IF($E4243=0,0,YEAR($E4243))</f>
      </c>
      <c r="G4243" s="43">
        <f>IF(INDEX(DarlBindung,9)="",1,IF($E4243&lt;=INDEX(DarlBindung,9),1,0))</f>
      </c>
      <c r="H4243" s="43">
        <f>IF($G4243=1,INDEX(DarlSollzins,9),INDEX(DarlAnschluss,9))</f>
      </c>
      <c r="I4243" s="43">
        <f>IF(INDEX(DarlBelegt,9)=0,0,IF(INDEX(DarlOhneTilgung,9)=1,IF(INDEX(DarlBindung,9)="",1,$G4243),IF($J4243&gt;0.005,1,0)))</f>
      </c>
      <c r="J4243" s="43">
        <f>IF($I4242=0,0,$R4242)</f>
      </c>
      <c r="K4243" s="43">
        <f>IF($I4243=0,0,IF(INDEX(DarlOhneTilgung,9)=1,0,IF(AND(INDEX(DarlTilgStart,9)&gt;0,$E4243=INDEX(DarlTilgStart,9)),$J4243*($H4243+INDEX(DarlTilgung,9))/100/12,IF(AND($G4243=0,$G4242=1),MAX($K4242,$J4243*($H4243+1)/100/12),$K4242))))</f>
      </c>
      <c r="L4243" s="43">
        <f>IF($I4243=0,0,$J4243*$H4243/100/12)</f>
      </c>
      <c r="M4243" s="43">
        <f>IF($I4243=0,0,IF(OR(INDEX(DarlOhneTilgung,9)=1,AND(INDEX(DarlTilgStart,9)&gt;0,$E4243&lt;INDEX(DarlTilgStart,9))),0,MIN(MAX(0,$K4243-$L4243),$J4243)))</f>
      </c>
      <c r="N4243" s="43">
        <f>IF($I4243=0,0,MIN(SUMIFS(SondBetrag,SondDarl,9,SondDatum,"&gt;="&amp;$E4243,SondDatum,"&lt;="&amp;EOMONTH($E4243,0)),$J4243-$M4243))</f>
      </c>
      <c r="O4243" s="43">
        <f>IF($I4243=0,0,INDEX(DarlErsatzRate,9))</f>
      </c>
      <c r="P4243" s="43">
        <f>IF($I4243=0,0,$Q4242*INDEX(DarlErsatzZins,9))</f>
      </c>
      <c r="Q4243" s="43">
        <f>IF($I4243=0,0,$Q4242+$P4243+$O4243)</f>
      </c>
      <c r="R4243" s="43">
        <f>IF($I4243=0,0,$J4243-$M4243-$N4243)</f>
      </c>
    </row>
    <row r="4244">
      <c r="A4244"/>
      <c r="B4244">
        <v>9</v>
      </c>
      <c r="C4244" s="43">
        <f>INDEX(DarlObj,9)</f>
      </c>
      <c r="D4244">
        <v>401</v>
      </c>
      <c r="E4244" s="51">
        <f>IF(INDEX(DarlBelegt,9)=0,0,EOMONTH(INDEX(DarlAuszahlung,9),400)+1)</f>
      </c>
      <c r="F4244" s="43">
        <f>IF($E4244=0,0,YEAR($E4244))</f>
      </c>
      <c r="G4244" s="43">
        <f>IF(INDEX(DarlBindung,9)="",1,IF($E4244&lt;=INDEX(DarlBindung,9),1,0))</f>
      </c>
      <c r="H4244" s="43">
        <f>IF($G4244=1,INDEX(DarlSollzins,9),INDEX(DarlAnschluss,9))</f>
      </c>
      <c r="I4244" s="43">
        <f>IF(INDEX(DarlBelegt,9)=0,0,IF(INDEX(DarlOhneTilgung,9)=1,IF(INDEX(DarlBindung,9)="",1,$G4244),IF($J4244&gt;0.005,1,0)))</f>
      </c>
      <c r="J4244" s="43">
        <f>IF($I4243=0,0,$R4243)</f>
      </c>
      <c r="K4244" s="43">
        <f>IF($I4244=0,0,IF(INDEX(DarlOhneTilgung,9)=1,0,IF(AND(INDEX(DarlTilgStart,9)&gt;0,$E4244=INDEX(DarlTilgStart,9)),$J4244*($H4244+INDEX(DarlTilgung,9))/100/12,IF(AND($G4244=0,$G4243=1),MAX($K4243,$J4244*($H4244+1)/100/12),$K4243))))</f>
      </c>
      <c r="L4244" s="43">
        <f>IF($I4244=0,0,$J4244*$H4244/100/12)</f>
      </c>
      <c r="M4244" s="43">
        <f>IF($I4244=0,0,IF(OR(INDEX(DarlOhneTilgung,9)=1,AND(INDEX(DarlTilgStart,9)&gt;0,$E4244&lt;INDEX(DarlTilgStart,9))),0,MIN(MAX(0,$K4244-$L4244),$J4244)))</f>
      </c>
      <c r="N4244" s="43">
        <f>IF($I4244=0,0,MIN(SUMIFS(SondBetrag,SondDarl,9,SondDatum,"&gt;="&amp;$E4244,SondDatum,"&lt;="&amp;EOMONTH($E4244,0)),$J4244-$M4244))</f>
      </c>
      <c r="O4244" s="43">
        <f>IF($I4244=0,0,INDEX(DarlErsatzRate,9))</f>
      </c>
      <c r="P4244" s="43">
        <f>IF($I4244=0,0,$Q4243*INDEX(DarlErsatzZins,9))</f>
      </c>
      <c r="Q4244" s="43">
        <f>IF($I4244=0,0,$Q4243+$P4244+$O4244)</f>
      </c>
      <c r="R4244" s="43">
        <f>IF($I4244=0,0,$J4244-$M4244-$N4244)</f>
      </c>
    </row>
    <row r="4245">
      <c r="A4245"/>
      <c r="B4245">
        <v>9</v>
      </c>
      <c r="C4245" s="43">
        <f>INDEX(DarlObj,9)</f>
      </c>
      <c r="D4245">
        <v>402</v>
      </c>
      <c r="E4245" s="51">
        <f>IF(INDEX(DarlBelegt,9)=0,0,EOMONTH(INDEX(DarlAuszahlung,9),401)+1)</f>
      </c>
      <c r="F4245" s="43">
        <f>IF($E4245=0,0,YEAR($E4245))</f>
      </c>
      <c r="G4245" s="43">
        <f>IF(INDEX(DarlBindung,9)="",1,IF($E4245&lt;=INDEX(DarlBindung,9),1,0))</f>
      </c>
      <c r="H4245" s="43">
        <f>IF($G4245=1,INDEX(DarlSollzins,9),INDEX(DarlAnschluss,9))</f>
      </c>
      <c r="I4245" s="43">
        <f>IF(INDEX(DarlBelegt,9)=0,0,IF(INDEX(DarlOhneTilgung,9)=1,IF(INDEX(DarlBindung,9)="",1,$G4245),IF($J4245&gt;0.005,1,0)))</f>
      </c>
      <c r="J4245" s="43">
        <f>IF($I4244=0,0,$R4244)</f>
      </c>
      <c r="K4245" s="43">
        <f>IF($I4245=0,0,IF(INDEX(DarlOhneTilgung,9)=1,0,IF(AND(INDEX(DarlTilgStart,9)&gt;0,$E4245=INDEX(DarlTilgStart,9)),$J4245*($H4245+INDEX(DarlTilgung,9))/100/12,IF(AND($G4245=0,$G4244=1),MAX($K4244,$J4245*($H4245+1)/100/12),$K4244))))</f>
      </c>
      <c r="L4245" s="43">
        <f>IF($I4245=0,0,$J4245*$H4245/100/12)</f>
      </c>
      <c r="M4245" s="43">
        <f>IF($I4245=0,0,IF(OR(INDEX(DarlOhneTilgung,9)=1,AND(INDEX(DarlTilgStart,9)&gt;0,$E4245&lt;INDEX(DarlTilgStart,9))),0,MIN(MAX(0,$K4245-$L4245),$J4245)))</f>
      </c>
      <c r="N4245" s="43">
        <f>IF($I4245=0,0,MIN(SUMIFS(SondBetrag,SondDarl,9,SondDatum,"&gt;="&amp;$E4245,SondDatum,"&lt;="&amp;EOMONTH($E4245,0)),$J4245-$M4245))</f>
      </c>
      <c r="O4245" s="43">
        <f>IF($I4245=0,0,INDEX(DarlErsatzRate,9))</f>
      </c>
      <c r="P4245" s="43">
        <f>IF($I4245=0,0,$Q4244*INDEX(DarlErsatzZins,9))</f>
      </c>
      <c r="Q4245" s="43">
        <f>IF($I4245=0,0,$Q4244+$P4245+$O4245)</f>
      </c>
      <c r="R4245" s="43">
        <f>IF($I4245=0,0,$J4245-$M4245-$N4245)</f>
      </c>
    </row>
    <row r="4246">
      <c r="A4246"/>
      <c r="B4246">
        <v>9</v>
      </c>
      <c r="C4246" s="43">
        <f>INDEX(DarlObj,9)</f>
      </c>
      <c r="D4246">
        <v>403</v>
      </c>
      <c r="E4246" s="51">
        <f>IF(INDEX(DarlBelegt,9)=0,0,EOMONTH(INDEX(DarlAuszahlung,9),402)+1)</f>
      </c>
      <c r="F4246" s="43">
        <f>IF($E4246=0,0,YEAR($E4246))</f>
      </c>
      <c r="G4246" s="43">
        <f>IF(INDEX(DarlBindung,9)="",1,IF($E4246&lt;=INDEX(DarlBindung,9),1,0))</f>
      </c>
      <c r="H4246" s="43">
        <f>IF($G4246=1,INDEX(DarlSollzins,9),INDEX(DarlAnschluss,9))</f>
      </c>
      <c r="I4246" s="43">
        <f>IF(INDEX(DarlBelegt,9)=0,0,IF(INDEX(DarlOhneTilgung,9)=1,IF(INDEX(DarlBindung,9)="",1,$G4246),IF($J4246&gt;0.005,1,0)))</f>
      </c>
      <c r="J4246" s="43">
        <f>IF($I4245=0,0,$R4245)</f>
      </c>
      <c r="K4246" s="43">
        <f>IF($I4246=0,0,IF(INDEX(DarlOhneTilgung,9)=1,0,IF(AND(INDEX(DarlTilgStart,9)&gt;0,$E4246=INDEX(DarlTilgStart,9)),$J4246*($H4246+INDEX(DarlTilgung,9))/100/12,IF(AND($G4246=0,$G4245=1),MAX($K4245,$J4246*($H4246+1)/100/12),$K4245))))</f>
      </c>
      <c r="L4246" s="43">
        <f>IF($I4246=0,0,$J4246*$H4246/100/12)</f>
      </c>
      <c r="M4246" s="43">
        <f>IF($I4246=0,0,IF(OR(INDEX(DarlOhneTilgung,9)=1,AND(INDEX(DarlTilgStart,9)&gt;0,$E4246&lt;INDEX(DarlTilgStart,9))),0,MIN(MAX(0,$K4246-$L4246),$J4246)))</f>
      </c>
      <c r="N4246" s="43">
        <f>IF($I4246=0,0,MIN(SUMIFS(SondBetrag,SondDarl,9,SondDatum,"&gt;="&amp;$E4246,SondDatum,"&lt;="&amp;EOMONTH($E4246,0)),$J4246-$M4246))</f>
      </c>
      <c r="O4246" s="43">
        <f>IF($I4246=0,0,INDEX(DarlErsatzRate,9))</f>
      </c>
      <c r="P4246" s="43">
        <f>IF($I4246=0,0,$Q4245*INDEX(DarlErsatzZins,9))</f>
      </c>
      <c r="Q4246" s="43">
        <f>IF($I4246=0,0,$Q4245+$P4246+$O4246)</f>
      </c>
      <c r="R4246" s="43">
        <f>IF($I4246=0,0,$J4246-$M4246-$N4246)</f>
      </c>
    </row>
    <row r="4247">
      <c r="A4247"/>
      <c r="B4247">
        <v>9</v>
      </c>
      <c r="C4247" s="43">
        <f>INDEX(DarlObj,9)</f>
      </c>
      <c r="D4247">
        <v>404</v>
      </c>
      <c r="E4247" s="51">
        <f>IF(INDEX(DarlBelegt,9)=0,0,EOMONTH(INDEX(DarlAuszahlung,9),403)+1)</f>
      </c>
      <c r="F4247" s="43">
        <f>IF($E4247=0,0,YEAR($E4247))</f>
      </c>
      <c r="G4247" s="43">
        <f>IF(INDEX(DarlBindung,9)="",1,IF($E4247&lt;=INDEX(DarlBindung,9),1,0))</f>
      </c>
      <c r="H4247" s="43">
        <f>IF($G4247=1,INDEX(DarlSollzins,9),INDEX(DarlAnschluss,9))</f>
      </c>
      <c r="I4247" s="43">
        <f>IF(INDEX(DarlBelegt,9)=0,0,IF(INDEX(DarlOhneTilgung,9)=1,IF(INDEX(DarlBindung,9)="",1,$G4247),IF($J4247&gt;0.005,1,0)))</f>
      </c>
      <c r="J4247" s="43">
        <f>IF($I4246=0,0,$R4246)</f>
      </c>
      <c r="K4247" s="43">
        <f>IF($I4247=0,0,IF(INDEX(DarlOhneTilgung,9)=1,0,IF(AND(INDEX(DarlTilgStart,9)&gt;0,$E4247=INDEX(DarlTilgStart,9)),$J4247*($H4247+INDEX(DarlTilgung,9))/100/12,IF(AND($G4247=0,$G4246=1),MAX($K4246,$J4247*($H4247+1)/100/12),$K4246))))</f>
      </c>
      <c r="L4247" s="43">
        <f>IF($I4247=0,0,$J4247*$H4247/100/12)</f>
      </c>
      <c r="M4247" s="43">
        <f>IF($I4247=0,0,IF(OR(INDEX(DarlOhneTilgung,9)=1,AND(INDEX(DarlTilgStart,9)&gt;0,$E4247&lt;INDEX(DarlTilgStart,9))),0,MIN(MAX(0,$K4247-$L4247),$J4247)))</f>
      </c>
      <c r="N4247" s="43">
        <f>IF($I4247=0,0,MIN(SUMIFS(SondBetrag,SondDarl,9,SondDatum,"&gt;="&amp;$E4247,SondDatum,"&lt;="&amp;EOMONTH($E4247,0)),$J4247-$M4247))</f>
      </c>
      <c r="O4247" s="43">
        <f>IF($I4247=0,0,INDEX(DarlErsatzRate,9))</f>
      </c>
      <c r="P4247" s="43">
        <f>IF($I4247=0,0,$Q4246*INDEX(DarlErsatzZins,9))</f>
      </c>
      <c r="Q4247" s="43">
        <f>IF($I4247=0,0,$Q4246+$P4247+$O4247)</f>
      </c>
      <c r="R4247" s="43">
        <f>IF($I4247=0,0,$J4247-$M4247-$N4247)</f>
      </c>
    </row>
    <row r="4248">
      <c r="A4248"/>
      <c r="B4248">
        <v>9</v>
      </c>
      <c r="C4248" s="43">
        <f>INDEX(DarlObj,9)</f>
      </c>
      <c r="D4248">
        <v>405</v>
      </c>
      <c r="E4248" s="51">
        <f>IF(INDEX(DarlBelegt,9)=0,0,EOMONTH(INDEX(DarlAuszahlung,9),404)+1)</f>
      </c>
      <c r="F4248" s="43">
        <f>IF($E4248=0,0,YEAR($E4248))</f>
      </c>
      <c r="G4248" s="43">
        <f>IF(INDEX(DarlBindung,9)="",1,IF($E4248&lt;=INDEX(DarlBindung,9),1,0))</f>
      </c>
      <c r="H4248" s="43">
        <f>IF($G4248=1,INDEX(DarlSollzins,9),INDEX(DarlAnschluss,9))</f>
      </c>
      <c r="I4248" s="43">
        <f>IF(INDEX(DarlBelegt,9)=0,0,IF(INDEX(DarlOhneTilgung,9)=1,IF(INDEX(DarlBindung,9)="",1,$G4248),IF($J4248&gt;0.005,1,0)))</f>
      </c>
      <c r="J4248" s="43">
        <f>IF($I4247=0,0,$R4247)</f>
      </c>
      <c r="K4248" s="43">
        <f>IF($I4248=0,0,IF(INDEX(DarlOhneTilgung,9)=1,0,IF(AND(INDEX(DarlTilgStart,9)&gt;0,$E4248=INDEX(DarlTilgStart,9)),$J4248*($H4248+INDEX(DarlTilgung,9))/100/12,IF(AND($G4248=0,$G4247=1),MAX($K4247,$J4248*($H4248+1)/100/12),$K4247))))</f>
      </c>
      <c r="L4248" s="43">
        <f>IF($I4248=0,0,$J4248*$H4248/100/12)</f>
      </c>
      <c r="M4248" s="43">
        <f>IF($I4248=0,0,IF(OR(INDEX(DarlOhneTilgung,9)=1,AND(INDEX(DarlTilgStart,9)&gt;0,$E4248&lt;INDEX(DarlTilgStart,9))),0,MIN(MAX(0,$K4248-$L4248),$J4248)))</f>
      </c>
      <c r="N4248" s="43">
        <f>IF($I4248=0,0,MIN(SUMIFS(SondBetrag,SondDarl,9,SondDatum,"&gt;="&amp;$E4248,SondDatum,"&lt;="&amp;EOMONTH($E4248,0)),$J4248-$M4248))</f>
      </c>
      <c r="O4248" s="43">
        <f>IF($I4248=0,0,INDEX(DarlErsatzRate,9))</f>
      </c>
      <c r="P4248" s="43">
        <f>IF($I4248=0,0,$Q4247*INDEX(DarlErsatzZins,9))</f>
      </c>
      <c r="Q4248" s="43">
        <f>IF($I4248=0,0,$Q4247+$P4248+$O4248)</f>
      </c>
      <c r="R4248" s="43">
        <f>IF($I4248=0,0,$J4248-$M4248-$N4248)</f>
      </c>
    </row>
    <row r="4249">
      <c r="A4249"/>
      <c r="B4249">
        <v>9</v>
      </c>
      <c r="C4249" s="43">
        <f>INDEX(DarlObj,9)</f>
      </c>
      <c r="D4249">
        <v>406</v>
      </c>
      <c r="E4249" s="51">
        <f>IF(INDEX(DarlBelegt,9)=0,0,EOMONTH(INDEX(DarlAuszahlung,9),405)+1)</f>
      </c>
      <c r="F4249" s="43">
        <f>IF($E4249=0,0,YEAR($E4249))</f>
      </c>
      <c r="G4249" s="43">
        <f>IF(INDEX(DarlBindung,9)="",1,IF($E4249&lt;=INDEX(DarlBindung,9),1,0))</f>
      </c>
      <c r="H4249" s="43">
        <f>IF($G4249=1,INDEX(DarlSollzins,9),INDEX(DarlAnschluss,9))</f>
      </c>
      <c r="I4249" s="43">
        <f>IF(INDEX(DarlBelegt,9)=0,0,IF(INDEX(DarlOhneTilgung,9)=1,IF(INDEX(DarlBindung,9)="",1,$G4249),IF($J4249&gt;0.005,1,0)))</f>
      </c>
      <c r="J4249" s="43">
        <f>IF($I4248=0,0,$R4248)</f>
      </c>
      <c r="K4249" s="43">
        <f>IF($I4249=0,0,IF(INDEX(DarlOhneTilgung,9)=1,0,IF(AND(INDEX(DarlTilgStart,9)&gt;0,$E4249=INDEX(DarlTilgStart,9)),$J4249*($H4249+INDEX(DarlTilgung,9))/100/12,IF(AND($G4249=0,$G4248=1),MAX($K4248,$J4249*($H4249+1)/100/12),$K4248))))</f>
      </c>
      <c r="L4249" s="43">
        <f>IF($I4249=0,0,$J4249*$H4249/100/12)</f>
      </c>
      <c r="M4249" s="43">
        <f>IF($I4249=0,0,IF(OR(INDEX(DarlOhneTilgung,9)=1,AND(INDEX(DarlTilgStart,9)&gt;0,$E4249&lt;INDEX(DarlTilgStart,9))),0,MIN(MAX(0,$K4249-$L4249),$J4249)))</f>
      </c>
      <c r="N4249" s="43">
        <f>IF($I4249=0,0,MIN(SUMIFS(SondBetrag,SondDarl,9,SondDatum,"&gt;="&amp;$E4249,SondDatum,"&lt;="&amp;EOMONTH($E4249,0)),$J4249-$M4249))</f>
      </c>
      <c r="O4249" s="43">
        <f>IF($I4249=0,0,INDEX(DarlErsatzRate,9))</f>
      </c>
      <c r="P4249" s="43">
        <f>IF($I4249=0,0,$Q4248*INDEX(DarlErsatzZins,9))</f>
      </c>
      <c r="Q4249" s="43">
        <f>IF($I4249=0,0,$Q4248+$P4249+$O4249)</f>
      </c>
      <c r="R4249" s="43">
        <f>IF($I4249=0,0,$J4249-$M4249-$N4249)</f>
      </c>
    </row>
    <row r="4250">
      <c r="A4250"/>
      <c r="B4250">
        <v>9</v>
      </c>
      <c r="C4250" s="43">
        <f>INDEX(DarlObj,9)</f>
      </c>
      <c r="D4250">
        <v>407</v>
      </c>
      <c r="E4250" s="51">
        <f>IF(INDEX(DarlBelegt,9)=0,0,EOMONTH(INDEX(DarlAuszahlung,9),406)+1)</f>
      </c>
      <c r="F4250" s="43">
        <f>IF($E4250=0,0,YEAR($E4250))</f>
      </c>
      <c r="G4250" s="43">
        <f>IF(INDEX(DarlBindung,9)="",1,IF($E4250&lt;=INDEX(DarlBindung,9),1,0))</f>
      </c>
      <c r="H4250" s="43">
        <f>IF($G4250=1,INDEX(DarlSollzins,9),INDEX(DarlAnschluss,9))</f>
      </c>
      <c r="I4250" s="43">
        <f>IF(INDEX(DarlBelegt,9)=0,0,IF(INDEX(DarlOhneTilgung,9)=1,IF(INDEX(DarlBindung,9)="",1,$G4250),IF($J4250&gt;0.005,1,0)))</f>
      </c>
      <c r="J4250" s="43">
        <f>IF($I4249=0,0,$R4249)</f>
      </c>
      <c r="K4250" s="43">
        <f>IF($I4250=0,0,IF(INDEX(DarlOhneTilgung,9)=1,0,IF(AND(INDEX(DarlTilgStart,9)&gt;0,$E4250=INDEX(DarlTilgStart,9)),$J4250*($H4250+INDEX(DarlTilgung,9))/100/12,IF(AND($G4250=0,$G4249=1),MAX($K4249,$J4250*($H4250+1)/100/12),$K4249))))</f>
      </c>
      <c r="L4250" s="43">
        <f>IF($I4250=0,0,$J4250*$H4250/100/12)</f>
      </c>
      <c r="M4250" s="43">
        <f>IF($I4250=0,0,IF(OR(INDEX(DarlOhneTilgung,9)=1,AND(INDEX(DarlTilgStart,9)&gt;0,$E4250&lt;INDEX(DarlTilgStart,9))),0,MIN(MAX(0,$K4250-$L4250),$J4250)))</f>
      </c>
      <c r="N4250" s="43">
        <f>IF($I4250=0,0,MIN(SUMIFS(SondBetrag,SondDarl,9,SondDatum,"&gt;="&amp;$E4250,SondDatum,"&lt;="&amp;EOMONTH($E4250,0)),$J4250-$M4250))</f>
      </c>
      <c r="O4250" s="43">
        <f>IF($I4250=0,0,INDEX(DarlErsatzRate,9))</f>
      </c>
      <c r="P4250" s="43">
        <f>IF($I4250=0,0,$Q4249*INDEX(DarlErsatzZins,9))</f>
      </c>
      <c r="Q4250" s="43">
        <f>IF($I4250=0,0,$Q4249+$P4250+$O4250)</f>
      </c>
      <c r="R4250" s="43">
        <f>IF($I4250=0,0,$J4250-$M4250-$N4250)</f>
      </c>
    </row>
    <row r="4251">
      <c r="A4251"/>
      <c r="B4251">
        <v>9</v>
      </c>
      <c r="C4251" s="43">
        <f>INDEX(DarlObj,9)</f>
      </c>
      <c r="D4251">
        <v>408</v>
      </c>
      <c r="E4251" s="51">
        <f>IF(INDEX(DarlBelegt,9)=0,0,EOMONTH(INDEX(DarlAuszahlung,9),407)+1)</f>
      </c>
      <c r="F4251" s="43">
        <f>IF($E4251=0,0,YEAR($E4251))</f>
      </c>
      <c r="G4251" s="43">
        <f>IF(INDEX(DarlBindung,9)="",1,IF($E4251&lt;=INDEX(DarlBindung,9),1,0))</f>
      </c>
      <c r="H4251" s="43">
        <f>IF($G4251=1,INDEX(DarlSollzins,9),INDEX(DarlAnschluss,9))</f>
      </c>
      <c r="I4251" s="43">
        <f>IF(INDEX(DarlBelegt,9)=0,0,IF(INDEX(DarlOhneTilgung,9)=1,IF(INDEX(DarlBindung,9)="",1,$G4251),IF($J4251&gt;0.005,1,0)))</f>
      </c>
      <c r="J4251" s="43">
        <f>IF($I4250=0,0,$R4250)</f>
      </c>
      <c r="K4251" s="43">
        <f>IF($I4251=0,0,IF(INDEX(DarlOhneTilgung,9)=1,0,IF(AND(INDEX(DarlTilgStart,9)&gt;0,$E4251=INDEX(DarlTilgStart,9)),$J4251*($H4251+INDEX(DarlTilgung,9))/100/12,IF(AND($G4251=0,$G4250=1),MAX($K4250,$J4251*($H4251+1)/100/12),$K4250))))</f>
      </c>
      <c r="L4251" s="43">
        <f>IF($I4251=0,0,$J4251*$H4251/100/12)</f>
      </c>
      <c r="M4251" s="43">
        <f>IF($I4251=0,0,IF(OR(INDEX(DarlOhneTilgung,9)=1,AND(INDEX(DarlTilgStart,9)&gt;0,$E4251&lt;INDEX(DarlTilgStart,9))),0,MIN(MAX(0,$K4251-$L4251),$J4251)))</f>
      </c>
      <c r="N4251" s="43">
        <f>IF($I4251=0,0,MIN(SUMIFS(SondBetrag,SondDarl,9,SondDatum,"&gt;="&amp;$E4251,SondDatum,"&lt;="&amp;EOMONTH($E4251,0)),$J4251-$M4251))</f>
      </c>
      <c r="O4251" s="43">
        <f>IF($I4251=0,0,INDEX(DarlErsatzRate,9))</f>
      </c>
      <c r="P4251" s="43">
        <f>IF($I4251=0,0,$Q4250*INDEX(DarlErsatzZins,9))</f>
      </c>
      <c r="Q4251" s="43">
        <f>IF($I4251=0,0,$Q4250+$P4251+$O4251)</f>
      </c>
      <c r="R4251" s="43">
        <f>IF($I4251=0,0,$J4251-$M4251-$N4251)</f>
      </c>
    </row>
    <row r="4252">
      <c r="A4252"/>
      <c r="B4252">
        <v>9</v>
      </c>
      <c r="C4252" s="43">
        <f>INDEX(DarlObj,9)</f>
      </c>
      <c r="D4252">
        <v>409</v>
      </c>
      <c r="E4252" s="51">
        <f>IF(INDEX(DarlBelegt,9)=0,0,EOMONTH(INDEX(DarlAuszahlung,9),408)+1)</f>
      </c>
      <c r="F4252" s="43">
        <f>IF($E4252=0,0,YEAR($E4252))</f>
      </c>
      <c r="G4252" s="43">
        <f>IF(INDEX(DarlBindung,9)="",1,IF($E4252&lt;=INDEX(DarlBindung,9),1,0))</f>
      </c>
      <c r="H4252" s="43">
        <f>IF($G4252=1,INDEX(DarlSollzins,9),INDEX(DarlAnschluss,9))</f>
      </c>
      <c r="I4252" s="43">
        <f>IF(INDEX(DarlBelegt,9)=0,0,IF(INDEX(DarlOhneTilgung,9)=1,IF(INDEX(DarlBindung,9)="",1,$G4252),IF($J4252&gt;0.005,1,0)))</f>
      </c>
      <c r="J4252" s="43">
        <f>IF($I4251=0,0,$R4251)</f>
      </c>
      <c r="K4252" s="43">
        <f>IF($I4252=0,0,IF(INDEX(DarlOhneTilgung,9)=1,0,IF(AND(INDEX(DarlTilgStart,9)&gt;0,$E4252=INDEX(DarlTilgStart,9)),$J4252*($H4252+INDEX(DarlTilgung,9))/100/12,IF(AND($G4252=0,$G4251=1),MAX($K4251,$J4252*($H4252+1)/100/12),$K4251))))</f>
      </c>
      <c r="L4252" s="43">
        <f>IF($I4252=0,0,$J4252*$H4252/100/12)</f>
      </c>
      <c r="M4252" s="43">
        <f>IF($I4252=0,0,IF(OR(INDEX(DarlOhneTilgung,9)=1,AND(INDEX(DarlTilgStart,9)&gt;0,$E4252&lt;INDEX(DarlTilgStart,9))),0,MIN(MAX(0,$K4252-$L4252),$J4252)))</f>
      </c>
      <c r="N4252" s="43">
        <f>IF($I4252=0,0,MIN(SUMIFS(SondBetrag,SondDarl,9,SondDatum,"&gt;="&amp;$E4252,SondDatum,"&lt;="&amp;EOMONTH($E4252,0)),$J4252-$M4252))</f>
      </c>
      <c r="O4252" s="43">
        <f>IF($I4252=0,0,INDEX(DarlErsatzRate,9))</f>
      </c>
      <c r="P4252" s="43">
        <f>IF($I4252=0,0,$Q4251*INDEX(DarlErsatzZins,9))</f>
      </c>
      <c r="Q4252" s="43">
        <f>IF($I4252=0,0,$Q4251+$P4252+$O4252)</f>
      </c>
      <c r="R4252" s="43">
        <f>IF($I4252=0,0,$J4252-$M4252-$N4252)</f>
      </c>
    </row>
    <row r="4253">
      <c r="A4253"/>
      <c r="B4253">
        <v>9</v>
      </c>
      <c r="C4253" s="43">
        <f>INDEX(DarlObj,9)</f>
      </c>
      <c r="D4253">
        <v>410</v>
      </c>
      <c r="E4253" s="51">
        <f>IF(INDEX(DarlBelegt,9)=0,0,EOMONTH(INDEX(DarlAuszahlung,9),409)+1)</f>
      </c>
      <c r="F4253" s="43">
        <f>IF($E4253=0,0,YEAR($E4253))</f>
      </c>
      <c r="G4253" s="43">
        <f>IF(INDEX(DarlBindung,9)="",1,IF($E4253&lt;=INDEX(DarlBindung,9),1,0))</f>
      </c>
      <c r="H4253" s="43">
        <f>IF($G4253=1,INDEX(DarlSollzins,9),INDEX(DarlAnschluss,9))</f>
      </c>
      <c r="I4253" s="43">
        <f>IF(INDEX(DarlBelegt,9)=0,0,IF(INDEX(DarlOhneTilgung,9)=1,IF(INDEX(DarlBindung,9)="",1,$G4253),IF($J4253&gt;0.005,1,0)))</f>
      </c>
      <c r="J4253" s="43">
        <f>IF($I4252=0,0,$R4252)</f>
      </c>
      <c r="K4253" s="43">
        <f>IF($I4253=0,0,IF(INDEX(DarlOhneTilgung,9)=1,0,IF(AND(INDEX(DarlTilgStart,9)&gt;0,$E4253=INDEX(DarlTilgStart,9)),$J4253*($H4253+INDEX(DarlTilgung,9))/100/12,IF(AND($G4253=0,$G4252=1),MAX($K4252,$J4253*($H4253+1)/100/12),$K4252))))</f>
      </c>
      <c r="L4253" s="43">
        <f>IF($I4253=0,0,$J4253*$H4253/100/12)</f>
      </c>
      <c r="M4253" s="43">
        <f>IF($I4253=0,0,IF(OR(INDEX(DarlOhneTilgung,9)=1,AND(INDEX(DarlTilgStart,9)&gt;0,$E4253&lt;INDEX(DarlTilgStart,9))),0,MIN(MAX(0,$K4253-$L4253),$J4253)))</f>
      </c>
      <c r="N4253" s="43">
        <f>IF($I4253=0,0,MIN(SUMIFS(SondBetrag,SondDarl,9,SondDatum,"&gt;="&amp;$E4253,SondDatum,"&lt;="&amp;EOMONTH($E4253,0)),$J4253-$M4253))</f>
      </c>
      <c r="O4253" s="43">
        <f>IF($I4253=0,0,INDEX(DarlErsatzRate,9))</f>
      </c>
      <c r="P4253" s="43">
        <f>IF($I4253=0,0,$Q4252*INDEX(DarlErsatzZins,9))</f>
      </c>
      <c r="Q4253" s="43">
        <f>IF($I4253=0,0,$Q4252+$P4253+$O4253)</f>
      </c>
      <c r="R4253" s="43">
        <f>IF($I4253=0,0,$J4253-$M4253-$N4253)</f>
      </c>
    </row>
    <row r="4254">
      <c r="A4254"/>
      <c r="B4254">
        <v>9</v>
      </c>
      <c r="C4254" s="43">
        <f>INDEX(DarlObj,9)</f>
      </c>
      <c r="D4254">
        <v>411</v>
      </c>
      <c r="E4254" s="51">
        <f>IF(INDEX(DarlBelegt,9)=0,0,EOMONTH(INDEX(DarlAuszahlung,9),410)+1)</f>
      </c>
      <c r="F4254" s="43">
        <f>IF($E4254=0,0,YEAR($E4254))</f>
      </c>
      <c r="G4254" s="43">
        <f>IF(INDEX(DarlBindung,9)="",1,IF($E4254&lt;=INDEX(DarlBindung,9),1,0))</f>
      </c>
      <c r="H4254" s="43">
        <f>IF($G4254=1,INDEX(DarlSollzins,9),INDEX(DarlAnschluss,9))</f>
      </c>
      <c r="I4254" s="43">
        <f>IF(INDEX(DarlBelegt,9)=0,0,IF(INDEX(DarlOhneTilgung,9)=1,IF(INDEX(DarlBindung,9)="",1,$G4254),IF($J4254&gt;0.005,1,0)))</f>
      </c>
      <c r="J4254" s="43">
        <f>IF($I4253=0,0,$R4253)</f>
      </c>
      <c r="K4254" s="43">
        <f>IF($I4254=0,0,IF(INDEX(DarlOhneTilgung,9)=1,0,IF(AND(INDEX(DarlTilgStart,9)&gt;0,$E4254=INDEX(DarlTilgStart,9)),$J4254*($H4254+INDEX(DarlTilgung,9))/100/12,IF(AND($G4254=0,$G4253=1),MAX($K4253,$J4254*($H4254+1)/100/12),$K4253))))</f>
      </c>
      <c r="L4254" s="43">
        <f>IF($I4254=0,0,$J4254*$H4254/100/12)</f>
      </c>
      <c r="M4254" s="43">
        <f>IF($I4254=0,0,IF(OR(INDEX(DarlOhneTilgung,9)=1,AND(INDEX(DarlTilgStart,9)&gt;0,$E4254&lt;INDEX(DarlTilgStart,9))),0,MIN(MAX(0,$K4254-$L4254),$J4254)))</f>
      </c>
      <c r="N4254" s="43">
        <f>IF($I4254=0,0,MIN(SUMIFS(SondBetrag,SondDarl,9,SondDatum,"&gt;="&amp;$E4254,SondDatum,"&lt;="&amp;EOMONTH($E4254,0)),$J4254-$M4254))</f>
      </c>
      <c r="O4254" s="43">
        <f>IF($I4254=0,0,INDEX(DarlErsatzRate,9))</f>
      </c>
      <c r="P4254" s="43">
        <f>IF($I4254=0,0,$Q4253*INDEX(DarlErsatzZins,9))</f>
      </c>
      <c r="Q4254" s="43">
        <f>IF($I4254=0,0,$Q4253+$P4254+$O4254)</f>
      </c>
      <c r="R4254" s="43">
        <f>IF($I4254=0,0,$J4254-$M4254-$N4254)</f>
      </c>
    </row>
    <row r="4255">
      <c r="A4255"/>
      <c r="B4255">
        <v>9</v>
      </c>
      <c r="C4255" s="43">
        <f>INDEX(DarlObj,9)</f>
      </c>
      <c r="D4255">
        <v>412</v>
      </c>
      <c r="E4255" s="51">
        <f>IF(INDEX(DarlBelegt,9)=0,0,EOMONTH(INDEX(DarlAuszahlung,9),411)+1)</f>
      </c>
      <c r="F4255" s="43">
        <f>IF($E4255=0,0,YEAR($E4255))</f>
      </c>
      <c r="G4255" s="43">
        <f>IF(INDEX(DarlBindung,9)="",1,IF($E4255&lt;=INDEX(DarlBindung,9),1,0))</f>
      </c>
      <c r="H4255" s="43">
        <f>IF($G4255=1,INDEX(DarlSollzins,9),INDEX(DarlAnschluss,9))</f>
      </c>
      <c r="I4255" s="43">
        <f>IF(INDEX(DarlBelegt,9)=0,0,IF(INDEX(DarlOhneTilgung,9)=1,IF(INDEX(DarlBindung,9)="",1,$G4255),IF($J4255&gt;0.005,1,0)))</f>
      </c>
      <c r="J4255" s="43">
        <f>IF($I4254=0,0,$R4254)</f>
      </c>
      <c r="K4255" s="43">
        <f>IF($I4255=0,0,IF(INDEX(DarlOhneTilgung,9)=1,0,IF(AND(INDEX(DarlTilgStart,9)&gt;0,$E4255=INDEX(DarlTilgStart,9)),$J4255*($H4255+INDEX(DarlTilgung,9))/100/12,IF(AND($G4255=0,$G4254=1),MAX($K4254,$J4255*($H4255+1)/100/12),$K4254))))</f>
      </c>
      <c r="L4255" s="43">
        <f>IF($I4255=0,0,$J4255*$H4255/100/12)</f>
      </c>
      <c r="M4255" s="43">
        <f>IF($I4255=0,0,IF(OR(INDEX(DarlOhneTilgung,9)=1,AND(INDEX(DarlTilgStart,9)&gt;0,$E4255&lt;INDEX(DarlTilgStart,9))),0,MIN(MAX(0,$K4255-$L4255),$J4255)))</f>
      </c>
      <c r="N4255" s="43">
        <f>IF($I4255=0,0,MIN(SUMIFS(SondBetrag,SondDarl,9,SondDatum,"&gt;="&amp;$E4255,SondDatum,"&lt;="&amp;EOMONTH($E4255,0)),$J4255-$M4255))</f>
      </c>
      <c r="O4255" s="43">
        <f>IF($I4255=0,0,INDEX(DarlErsatzRate,9))</f>
      </c>
      <c r="P4255" s="43">
        <f>IF($I4255=0,0,$Q4254*INDEX(DarlErsatzZins,9))</f>
      </c>
      <c r="Q4255" s="43">
        <f>IF($I4255=0,0,$Q4254+$P4255+$O4255)</f>
      </c>
      <c r="R4255" s="43">
        <f>IF($I4255=0,0,$J4255-$M4255-$N4255)</f>
      </c>
    </row>
    <row r="4256">
      <c r="A4256"/>
      <c r="B4256">
        <v>9</v>
      </c>
      <c r="C4256" s="43">
        <f>INDEX(DarlObj,9)</f>
      </c>
      <c r="D4256">
        <v>413</v>
      </c>
      <c r="E4256" s="51">
        <f>IF(INDEX(DarlBelegt,9)=0,0,EOMONTH(INDEX(DarlAuszahlung,9),412)+1)</f>
      </c>
      <c r="F4256" s="43">
        <f>IF($E4256=0,0,YEAR($E4256))</f>
      </c>
      <c r="G4256" s="43">
        <f>IF(INDEX(DarlBindung,9)="",1,IF($E4256&lt;=INDEX(DarlBindung,9),1,0))</f>
      </c>
      <c r="H4256" s="43">
        <f>IF($G4256=1,INDEX(DarlSollzins,9),INDEX(DarlAnschluss,9))</f>
      </c>
      <c r="I4256" s="43">
        <f>IF(INDEX(DarlBelegt,9)=0,0,IF(INDEX(DarlOhneTilgung,9)=1,IF(INDEX(DarlBindung,9)="",1,$G4256),IF($J4256&gt;0.005,1,0)))</f>
      </c>
      <c r="J4256" s="43">
        <f>IF($I4255=0,0,$R4255)</f>
      </c>
      <c r="K4256" s="43">
        <f>IF($I4256=0,0,IF(INDEX(DarlOhneTilgung,9)=1,0,IF(AND(INDEX(DarlTilgStart,9)&gt;0,$E4256=INDEX(DarlTilgStart,9)),$J4256*($H4256+INDEX(DarlTilgung,9))/100/12,IF(AND($G4256=0,$G4255=1),MAX($K4255,$J4256*($H4256+1)/100/12),$K4255))))</f>
      </c>
      <c r="L4256" s="43">
        <f>IF($I4256=0,0,$J4256*$H4256/100/12)</f>
      </c>
      <c r="M4256" s="43">
        <f>IF($I4256=0,0,IF(OR(INDEX(DarlOhneTilgung,9)=1,AND(INDEX(DarlTilgStart,9)&gt;0,$E4256&lt;INDEX(DarlTilgStart,9))),0,MIN(MAX(0,$K4256-$L4256),$J4256)))</f>
      </c>
      <c r="N4256" s="43">
        <f>IF($I4256=0,0,MIN(SUMIFS(SondBetrag,SondDarl,9,SondDatum,"&gt;="&amp;$E4256,SondDatum,"&lt;="&amp;EOMONTH($E4256,0)),$J4256-$M4256))</f>
      </c>
      <c r="O4256" s="43">
        <f>IF($I4256=0,0,INDEX(DarlErsatzRate,9))</f>
      </c>
      <c r="P4256" s="43">
        <f>IF($I4256=0,0,$Q4255*INDEX(DarlErsatzZins,9))</f>
      </c>
      <c r="Q4256" s="43">
        <f>IF($I4256=0,0,$Q4255+$P4256+$O4256)</f>
      </c>
      <c r="R4256" s="43">
        <f>IF($I4256=0,0,$J4256-$M4256-$N4256)</f>
      </c>
    </row>
    <row r="4257">
      <c r="A4257"/>
      <c r="B4257">
        <v>9</v>
      </c>
      <c r="C4257" s="43">
        <f>INDEX(DarlObj,9)</f>
      </c>
      <c r="D4257">
        <v>414</v>
      </c>
      <c r="E4257" s="51">
        <f>IF(INDEX(DarlBelegt,9)=0,0,EOMONTH(INDEX(DarlAuszahlung,9),413)+1)</f>
      </c>
      <c r="F4257" s="43">
        <f>IF($E4257=0,0,YEAR($E4257))</f>
      </c>
      <c r="G4257" s="43">
        <f>IF(INDEX(DarlBindung,9)="",1,IF($E4257&lt;=INDEX(DarlBindung,9),1,0))</f>
      </c>
      <c r="H4257" s="43">
        <f>IF($G4257=1,INDEX(DarlSollzins,9),INDEX(DarlAnschluss,9))</f>
      </c>
      <c r="I4257" s="43">
        <f>IF(INDEX(DarlBelegt,9)=0,0,IF(INDEX(DarlOhneTilgung,9)=1,IF(INDEX(DarlBindung,9)="",1,$G4257),IF($J4257&gt;0.005,1,0)))</f>
      </c>
      <c r="J4257" s="43">
        <f>IF($I4256=0,0,$R4256)</f>
      </c>
      <c r="K4257" s="43">
        <f>IF($I4257=0,0,IF(INDEX(DarlOhneTilgung,9)=1,0,IF(AND(INDEX(DarlTilgStart,9)&gt;0,$E4257=INDEX(DarlTilgStart,9)),$J4257*($H4257+INDEX(DarlTilgung,9))/100/12,IF(AND($G4257=0,$G4256=1),MAX($K4256,$J4257*($H4257+1)/100/12),$K4256))))</f>
      </c>
      <c r="L4257" s="43">
        <f>IF($I4257=0,0,$J4257*$H4257/100/12)</f>
      </c>
      <c r="M4257" s="43">
        <f>IF($I4257=0,0,IF(OR(INDEX(DarlOhneTilgung,9)=1,AND(INDEX(DarlTilgStart,9)&gt;0,$E4257&lt;INDEX(DarlTilgStart,9))),0,MIN(MAX(0,$K4257-$L4257),$J4257)))</f>
      </c>
      <c r="N4257" s="43">
        <f>IF($I4257=0,0,MIN(SUMIFS(SondBetrag,SondDarl,9,SondDatum,"&gt;="&amp;$E4257,SondDatum,"&lt;="&amp;EOMONTH($E4257,0)),$J4257-$M4257))</f>
      </c>
      <c r="O4257" s="43">
        <f>IF($I4257=0,0,INDEX(DarlErsatzRate,9))</f>
      </c>
      <c r="P4257" s="43">
        <f>IF($I4257=0,0,$Q4256*INDEX(DarlErsatzZins,9))</f>
      </c>
      <c r="Q4257" s="43">
        <f>IF($I4257=0,0,$Q4256+$P4257+$O4257)</f>
      </c>
      <c r="R4257" s="43">
        <f>IF($I4257=0,0,$J4257-$M4257-$N4257)</f>
      </c>
    </row>
    <row r="4258">
      <c r="A4258"/>
      <c r="B4258">
        <v>9</v>
      </c>
      <c r="C4258" s="43">
        <f>INDEX(DarlObj,9)</f>
      </c>
      <c r="D4258">
        <v>415</v>
      </c>
      <c r="E4258" s="51">
        <f>IF(INDEX(DarlBelegt,9)=0,0,EOMONTH(INDEX(DarlAuszahlung,9),414)+1)</f>
      </c>
      <c r="F4258" s="43">
        <f>IF($E4258=0,0,YEAR($E4258))</f>
      </c>
      <c r="G4258" s="43">
        <f>IF(INDEX(DarlBindung,9)="",1,IF($E4258&lt;=INDEX(DarlBindung,9),1,0))</f>
      </c>
      <c r="H4258" s="43">
        <f>IF($G4258=1,INDEX(DarlSollzins,9),INDEX(DarlAnschluss,9))</f>
      </c>
      <c r="I4258" s="43">
        <f>IF(INDEX(DarlBelegt,9)=0,0,IF(INDEX(DarlOhneTilgung,9)=1,IF(INDEX(DarlBindung,9)="",1,$G4258),IF($J4258&gt;0.005,1,0)))</f>
      </c>
      <c r="J4258" s="43">
        <f>IF($I4257=0,0,$R4257)</f>
      </c>
      <c r="K4258" s="43">
        <f>IF($I4258=0,0,IF(INDEX(DarlOhneTilgung,9)=1,0,IF(AND(INDEX(DarlTilgStart,9)&gt;0,$E4258=INDEX(DarlTilgStart,9)),$J4258*($H4258+INDEX(DarlTilgung,9))/100/12,IF(AND($G4258=0,$G4257=1),MAX($K4257,$J4258*($H4258+1)/100/12),$K4257))))</f>
      </c>
      <c r="L4258" s="43">
        <f>IF($I4258=0,0,$J4258*$H4258/100/12)</f>
      </c>
      <c r="M4258" s="43">
        <f>IF($I4258=0,0,IF(OR(INDEX(DarlOhneTilgung,9)=1,AND(INDEX(DarlTilgStart,9)&gt;0,$E4258&lt;INDEX(DarlTilgStart,9))),0,MIN(MAX(0,$K4258-$L4258),$J4258)))</f>
      </c>
      <c r="N4258" s="43">
        <f>IF($I4258=0,0,MIN(SUMIFS(SondBetrag,SondDarl,9,SondDatum,"&gt;="&amp;$E4258,SondDatum,"&lt;="&amp;EOMONTH($E4258,0)),$J4258-$M4258))</f>
      </c>
      <c r="O4258" s="43">
        <f>IF($I4258=0,0,INDEX(DarlErsatzRate,9))</f>
      </c>
      <c r="P4258" s="43">
        <f>IF($I4258=0,0,$Q4257*INDEX(DarlErsatzZins,9))</f>
      </c>
      <c r="Q4258" s="43">
        <f>IF($I4258=0,0,$Q4257+$P4258+$O4258)</f>
      </c>
      <c r="R4258" s="43">
        <f>IF($I4258=0,0,$J4258-$M4258-$N4258)</f>
      </c>
    </row>
    <row r="4259">
      <c r="A4259"/>
      <c r="B4259">
        <v>9</v>
      </c>
      <c r="C4259" s="43">
        <f>INDEX(DarlObj,9)</f>
      </c>
      <c r="D4259">
        <v>416</v>
      </c>
      <c r="E4259" s="51">
        <f>IF(INDEX(DarlBelegt,9)=0,0,EOMONTH(INDEX(DarlAuszahlung,9),415)+1)</f>
      </c>
      <c r="F4259" s="43">
        <f>IF($E4259=0,0,YEAR($E4259))</f>
      </c>
      <c r="G4259" s="43">
        <f>IF(INDEX(DarlBindung,9)="",1,IF($E4259&lt;=INDEX(DarlBindung,9),1,0))</f>
      </c>
      <c r="H4259" s="43">
        <f>IF($G4259=1,INDEX(DarlSollzins,9),INDEX(DarlAnschluss,9))</f>
      </c>
      <c r="I4259" s="43">
        <f>IF(INDEX(DarlBelegt,9)=0,0,IF(INDEX(DarlOhneTilgung,9)=1,IF(INDEX(DarlBindung,9)="",1,$G4259),IF($J4259&gt;0.005,1,0)))</f>
      </c>
      <c r="J4259" s="43">
        <f>IF($I4258=0,0,$R4258)</f>
      </c>
      <c r="K4259" s="43">
        <f>IF($I4259=0,0,IF(INDEX(DarlOhneTilgung,9)=1,0,IF(AND(INDEX(DarlTilgStart,9)&gt;0,$E4259=INDEX(DarlTilgStart,9)),$J4259*($H4259+INDEX(DarlTilgung,9))/100/12,IF(AND($G4259=0,$G4258=1),MAX($K4258,$J4259*($H4259+1)/100/12),$K4258))))</f>
      </c>
      <c r="L4259" s="43">
        <f>IF($I4259=0,0,$J4259*$H4259/100/12)</f>
      </c>
      <c r="M4259" s="43">
        <f>IF($I4259=0,0,IF(OR(INDEX(DarlOhneTilgung,9)=1,AND(INDEX(DarlTilgStart,9)&gt;0,$E4259&lt;INDEX(DarlTilgStart,9))),0,MIN(MAX(0,$K4259-$L4259),$J4259)))</f>
      </c>
      <c r="N4259" s="43">
        <f>IF($I4259=0,0,MIN(SUMIFS(SondBetrag,SondDarl,9,SondDatum,"&gt;="&amp;$E4259,SondDatum,"&lt;="&amp;EOMONTH($E4259,0)),$J4259-$M4259))</f>
      </c>
      <c r="O4259" s="43">
        <f>IF($I4259=0,0,INDEX(DarlErsatzRate,9))</f>
      </c>
      <c r="P4259" s="43">
        <f>IF($I4259=0,0,$Q4258*INDEX(DarlErsatzZins,9))</f>
      </c>
      <c r="Q4259" s="43">
        <f>IF($I4259=0,0,$Q4258+$P4259+$O4259)</f>
      </c>
      <c r="R4259" s="43">
        <f>IF($I4259=0,0,$J4259-$M4259-$N4259)</f>
      </c>
    </row>
    <row r="4260">
      <c r="A4260"/>
      <c r="B4260">
        <v>9</v>
      </c>
      <c r="C4260" s="43">
        <f>INDEX(DarlObj,9)</f>
      </c>
      <c r="D4260">
        <v>417</v>
      </c>
      <c r="E4260" s="51">
        <f>IF(INDEX(DarlBelegt,9)=0,0,EOMONTH(INDEX(DarlAuszahlung,9),416)+1)</f>
      </c>
      <c r="F4260" s="43">
        <f>IF($E4260=0,0,YEAR($E4260))</f>
      </c>
      <c r="G4260" s="43">
        <f>IF(INDEX(DarlBindung,9)="",1,IF($E4260&lt;=INDEX(DarlBindung,9),1,0))</f>
      </c>
      <c r="H4260" s="43">
        <f>IF($G4260=1,INDEX(DarlSollzins,9),INDEX(DarlAnschluss,9))</f>
      </c>
      <c r="I4260" s="43">
        <f>IF(INDEX(DarlBelegt,9)=0,0,IF(INDEX(DarlOhneTilgung,9)=1,IF(INDEX(DarlBindung,9)="",1,$G4260),IF($J4260&gt;0.005,1,0)))</f>
      </c>
      <c r="J4260" s="43">
        <f>IF($I4259=0,0,$R4259)</f>
      </c>
      <c r="K4260" s="43">
        <f>IF($I4260=0,0,IF(INDEX(DarlOhneTilgung,9)=1,0,IF(AND(INDEX(DarlTilgStart,9)&gt;0,$E4260=INDEX(DarlTilgStart,9)),$J4260*($H4260+INDEX(DarlTilgung,9))/100/12,IF(AND($G4260=0,$G4259=1),MAX($K4259,$J4260*($H4260+1)/100/12),$K4259))))</f>
      </c>
      <c r="L4260" s="43">
        <f>IF($I4260=0,0,$J4260*$H4260/100/12)</f>
      </c>
      <c r="M4260" s="43">
        <f>IF($I4260=0,0,IF(OR(INDEX(DarlOhneTilgung,9)=1,AND(INDEX(DarlTilgStart,9)&gt;0,$E4260&lt;INDEX(DarlTilgStart,9))),0,MIN(MAX(0,$K4260-$L4260),$J4260)))</f>
      </c>
      <c r="N4260" s="43">
        <f>IF($I4260=0,0,MIN(SUMIFS(SondBetrag,SondDarl,9,SondDatum,"&gt;="&amp;$E4260,SondDatum,"&lt;="&amp;EOMONTH($E4260,0)),$J4260-$M4260))</f>
      </c>
      <c r="O4260" s="43">
        <f>IF($I4260=0,0,INDEX(DarlErsatzRate,9))</f>
      </c>
      <c r="P4260" s="43">
        <f>IF($I4260=0,0,$Q4259*INDEX(DarlErsatzZins,9))</f>
      </c>
      <c r="Q4260" s="43">
        <f>IF($I4260=0,0,$Q4259+$P4260+$O4260)</f>
      </c>
      <c r="R4260" s="43">
        <f>IF($I4260=0,0,$J4260-$M4260-$N4260)</f>
      </c>
    </row>
    <row r="4261">
      <c r="A4261"/>
      <c r="B4261">
        <v>9</v>
      </c>
      <c r="C4261" s="43">
        <f>INDEX(DarlObj,9)</f>
      </c>
      <c r="D4261">
        <v>418</v>
      </c>
      <c r="E4261" s="51">
        <f>IF(INDEX(DarlBelegt,9)=0,0,EOMONTH(INDEX(DarlAuszahlung,9),417)+1)</f>
      </c>
      <c r="F4261" s="43">
        <f>IF($E4261=0,0,YEAR($E4261))</f>
      </c>
      <c r="G4261" s="43">
        <f>IF(INDEX(DarlBindung,9)="",1,IF($E4261&lt;=INDEX(DarlBindung,9),1,0))</f>
      </c>
      <c r="H4261" s="43">
        <f>IF($G4261=1,INDEX(DarlSollzins,9),INDEX(DarlAnschluss,9))</f>
      </c>
      <c r="I4261" s="43">
        <f>IF(INDEX(DarlBelegt,9)=0,0,IF(INDEX(DarlOhneTilgung,9)=1,IF(INDEX(DarlBindung,9)="",1,$G4261),IF($J4261&gt;0.005,1,0)))</f>
      </c>
      <c r="J4261" s="43">
        <f>IF($I4260=0,0,$R4260)</f>
      </c>
      <c r="K4261" s="43">
        <f>IF($I4261=0,0,IF(INDEX(DarlOhneTilgung,9)=1,0,IF(AND(INDEX(DarlTilgStart,9)&gt;0,$E4261=INDEX(DarlTilgStart,9)),$J4261*($H4261+INDEX(DarlTilgung,9))/100/12,IF(AND($G4261=0,$G4260=1),MAX($K4260,$J4261*($H4261+1)/100/12),$K4260))))</f>
      </c>
      <c r="L4261" s="43">
        <f>IF($I4261=0,0,$J4261*$H4261/100/12)</f>
      </c>
      <c r="M4261" s="43">
        <f>IF($I4261=0,0,IF(OR(INDEX(DarlOhneTilgung,9)=1,AND(INDEX(DarlTilgStart,9)&gt;0,$E4261&lt;INDEX(DarlTilgStart,9))),0,MIN(MAX(0,$K4261-$L4261),$J4261)))</f>
      </c>
      <c r="N4261" s="43">
        <f>IF($I4261=0,0,MIN(SUMIFS(SondBetrag,SondDarl,9,SondDatum,"&gt;="&amp;$E4261,SondDatum,"&lt;="&amp;EOMONTH($E4261,0)),$J4261-$M4261))</f>
      </c>
      <c r="O4261" s="43">
        <f>IF($I4261=0,0,INDEX(DarlErsatzRate,9))</f>
      </c>
      <c r="P4261" s="43">
        <f>IF($I4261=0,0,$Q4260*INDEX(DarlErsatzZins,9))</f>
      </c>
      <c r="Q4261" s="43">
        <f>IF($I4261=0,0,$Q4260+$P4261+$O4261)</f>
      </c>
      <c r="R4261" s="43">
        <f>IF($I4261=0,0,$J4261-$M4261-$N4261)</f>
      </c>
    </row>
    <row r="4262">
      <c r="A4262"/>
      <c r="B4262">
        <v>9</v>
      </c>
      <c r="C4262" s="43">
        <f>INDEX(DarlObj,9)</f>
      </c>
      <c r="D4262">
        <v>419</v>
      </c>
      <c r="E4262" s="51">
        <f>IF(INDEX(DarlBelegt,9)=0,0,EOMONTH(INDEX(DarlAuszahlung,9),418)+1)</f>
      </c>
      <c r="F4262" s="43">
        <f>IF($E4262=0,0,YEAR($E4262))</f>
      </c>
      <c r="G4262" s="43">
        <f>IF(INDEX(DarlBindung,9)="",1,IF($E4262&lt;=INDEX(DarlBindung,9),1,0))</f>
      </c>
      <c r="H4262" s="43">
        <f>IF($G4262=1,INDEX(DarlSollzins,9),INDEX(DarlAnschluss,9))</f>
      </c>
      <c r="I4262" s="43">
        <f>IF(INDEX(DarlBelegt,9)=0,0,IF(INDEX(DarlOhneTilgung,9)=1,IF(INDEX(DarlBindung,9)="",1,$G4262),IF($J4262&gt;0.005,1,0)))</f>
      </c>
      <c r="J4262" s="43">
        <f>IF($I4261=0,0,$R4261)</f>
      </c>
      <c r="K4262" s="43">
        <f>IF($I4262=0,0,IF(INDEX(DarlOhneTilgung,9)=1,0,IF(AND(INDEX(DarlTilgStart,9)&gt;0,$E4262=INDEX(DarlTilgStart,9)),$J4262*($H4262+INDEX(DarlTilgung,9))/100/12,IF(AND($G4262=0,$G4261=1),MAX($K4261,$J4262*($H4262+1)/100/12),$K4261))))</f>
      </c>
      <c r="L4262" s="43">
        <f>IF($I4262=0,0,$J4262*$H4262/100/12)</f>
      </c>
      <c r="M4262" s="43">
        <f>IF($I4262=0,0,IF(OR(INDEX(DarlOhneTilgung,9)=1,AND(INDEX(DarlTilgStart,9)&gt;0,$E4262&lt;INDEX(DarlTilgStart,9))),0,MIN(MAX(0,$K4262-$L4262),$J4262)))</f>
      </c>
      <c r="N4262" s="43">
        <f>IF($I4262=0,0,MIN(SUMIFS(SondBetrag,SondDarl,9,SondDatum,"&gt;="&amp;$E4262,SondDatum,"&lt;="&amp;EOMONTH($E4262,0)),$J4262-$M4262))</f>
      </c>
      <c r="O4262" s="43">
        <f>IF($I4262=0,0,INDEX(DarlErsatzRate,9))</f>
      </c>
      <c r="P4262" s="43">
        <f>IF($I4262=0,0,$Q4261*INDEX(DarlErsatzZins,9))</f>
      </c>
      <c r="Q4262" s="43">
        <f>IF($I4262=0,0,$Q4261+$P4262+$O4262)</f>
      </c>
      <c r="R4262" s="43">
        <f>IF($I4262=0,0,$J4262-$M4262-$N4262)</f>
      </c>
    </row>
    <row r="4263">
      <c r="A4263"/>
      <c r="B4263">
        <v>9</v>
      </c>
      <c r="C4263" s="43">
        <f>INDEX(DarlObj,9)</f>
      </c>
      <c r="D4263">
        <v>420</v>
      </c>
      <c r="E4263" s="51">
        <f>IF(INDEX(DarlBelegt,9)=0,0,EOMONTH(INDEX(DarlAuszahlung,9),419)+1)</f>
      </c>
      <c r="F4263" s="43">
        <f>IF($E4263=0,0,YEAR($E4263))</f>
      </c>
      <c r="G4263" s="43">
        <f>IF(INDEX(DarlBindung,9)="",1,IF($E4263&lt;=INDEX(DarlBindung,9),1,0))</f>
      </c>
      <c r="H4263" s="43">
        <f>IF($G4263=1,INDEX(DarlSollzins,9),INDEX(DarlAnschluss,9))</f>
      </c>
      <c r="I4263" s="43">
        <f>IF(INDEX(DarlBelegt,9)=0,0,IF(INDEX(DarlOhneTilgung,9)=1,IF(INDEX(DarlBindung,9)="",1,$G4263),IF($J4263&gt;0.005,1,0)))</f>
      </c>
      <c r="J4263" s="43">
        <f>IF($I4262=0,0,$R4262)</f>
      </c>
      <c r="K4263" s="43">
        <f>IF($I4263=0,0,IF(INDEX(DarlOhneTilgung,9)=1,0,IF(AND(INDEX(DarlTilgStart,9)&gt;0,$E4263=INDEX(DarlTilgStart,9)),$J4263*($H4263+INDEX(DarlTilgung,9))/100/12,IF(AND($G4263=0,$G4262=1),MAX($K4262,$J4263*($H4263+1)/100/12),$K4262))))</f>
      </c>
      <c r="L4263" s="43">
        <f>IF($I4263=0,0,$J4263*$H4263/100/12)</f>
      </c>
      <c r="M4263" s="43">
        <f>IF($I4263=0,0,IF(OR(INDEX(DarlOhneTilgung,9)=1,AND(INDEX(DarlTilgStart,9)&gt;0,$E4263&lt;INDEX(DarlTilgStart,9))),0,MIN(MAX(0,$K4263-$L4263),$J4263)))</f>
      </c>
      <c r="N4263" s="43">
        <f>IF($I4263=0,0,MIN(SUMIFS(SondBetrag,SondDarl,9,SondDatum,"&gt;="&amp;$E4263,SondDatum,"&lt;="&amp;EOMONTH($E4263,0)),$J4263-$M4263))</f>
      </c>
      <c r="O4263" s="43">
        <f>IF($I4263=0,0,INDEX(DarlErsatzRate,9))</f>
      </c>
      <c r="P4263" s="43">
        <f>IF($I4263=0,0,$Q4262*INDEX(DarlErsatzZins,9))</f>
      </c>
      <c r="Q4263" s="43">
        <f>IF($I4263=0,0,$Q4262+$P4263+$O4263)</f>
      </c>
      <c r="R4263" s="43">
        <f>IF($I4263=0,0,$J4263-$M4263-$N4263)</f>
      </c>
    </row>
    <row r="4264">
      <c r="A4264"/>
      <c r="B4264">
        <v>9</v>
      </c>
      <c r="C4264" s="43">
        <f>INDEX(DarlObj,9)</f>
      </c>
      <c r="D4264">
        <v>421</v>
      </c>
      <c r="E4264" s="51">
        <f>IF(INDEX(DarlBelegt,9)=0,0,EOMONTH(INDEX(DarlAuszahlung,9),420)+1)</f>
      </c>
      <c r="F4264" s="43">
        <f>IF($E4264=0,0,YEAR($E4264))</f>
      </c>
      <c r="G4264" s="43">
        <f>IF(INDEX(DarlBindung,9)="",1,IF($E4264&lt;=INDEX(DarlBindung,9),1,0))</f>
      </c>
      <c r="H4264" s="43">
        <f>IF($G4264=1,INDEX(DarlSollzins,9),INDEX(DarlAnschluss,9))</f>
      </c>
      <c r="I4264" s="43">
        <f>IF(INDEX(DarlBelegt,9)=0,0,IF(INDEX(DarlOhneTilgung,9)=1,IF(INDEX(DarlBindung,9)="",1,$G4264),IF($J4264&gt;0.005,1,0)))</f>
      </c>
      <c r="J4264" s="43">
        <f>IF($I4263=0,0,$R4263)</f>
      </c>
      <c r="K4264" s="43">
        <f>IF($I4264=0,0,IF(INDEX(DarlOhneTilgung,9)=1,0,IF(AND(INDEX(DarlTilgStart,9)&gt;0,$E4264=INDEX(DarlTilgStart,9)),$J4264*($H4264+INDEX(DarlTilgung,9))/100/12,IF(AND($G4264=0,$G4263=1),MAX($K4263,$J4264*($H4264+1)/100/12),$K4263))))</f>
      </c>
      <c r="L4264" s="43">
        <f>IF($I4264=0,0,$J4264*$H4264/100/12)</f>
      </c>
      <c r="M4264" s="43">
        <f>IF($I4264=0,0,IF(OR(INDEX(DarlOhneTilgung,9)=1,AND(INDEX(DarlTilgStart,9)&gt;0,$E4264&lt;INDEX(DarlTilgStart,9))),0,MIN(MAX(0,$K4264-$L4264),$J4264)))</f>
      </c>
      <c r="N4264" s="43">
        <f>IF($I4264=0,0,MIN(SUMIFS(SondBetrag,SondDarl,9,SondDatum,"&gt;="&amp;$E4264,SondDatum,"&lt;="&amp;EOMONTH($E4264,0)),$J4264-$M4264))</f>
      </c>
      <c r="O4264" s="43">
        <f>IF($I4264=0,0,INDEX(DarlErsatzRate,9))</f>
      </c>
      <c r="P4264" s="43">
        <f>IF($I4264=0,0,$Q4263*INDEX(DarlErsatzZins,9))</f>
      </c>
      <c r="Q4264" s="43">
        <f>IF($I4264=0,0,$Q4263+$P4264+$O4264)</f>
      </c>
      <c r="R4264" s="43">
        <f>IF($I4264=0,0,$J4264-$M4264-$N4264)</f>
      </c>
    </row>
    <row r="4265">
      <c r="A4265"/>
      <c r="B4265">
        <v>9</v>
      </c>
      <c r="C4265" s="43">
        <f>INDEX(DarlObj,9)</f>
      </c>
      <c r="D4265">
        <v>422</v>
      </c>
      <c r="E4265" s="51">
        <f>IF(INDEX(DarlBelegt,9)=0,0,EOMONTH(INDEX(DarlAuszahlung,9),421)+1)</f>
      </c>
      <c r="F4265" s="43">
        <f>IF($E4265=0,0,YEAR($E4265))</f>
      </c>
      <c r="G4265" s="43">
        <f>IF(INDEX(DarlBindung,9)="",1,IF($E4265&lt;=INDEX(DarlBindung,9),1,0))</f>
      </c>
      <c r="H4265" s="43">
        <f>IF($G4265=1,INDEX(DarlSollzins,9),INDEX(DarlAnschluss,9))</f>
      </c>
      <c r="I4265" s="43">
        <f>IF(INDEX(DarlBelegt,9)=0,0,IF(INDEX(DarlOhneTilgung,9)=1,IF(INDEX(DarlBindung,9)="",1,$G4265),IF($J4265&gt;0.005,1,0)))</f>
      </c>
      <c r="J4265" s="43">
        <f>IF($I4264=0,0,$R4264)</f>
      </c>
      <c r="K4265" s="43">
        <f>IF($I4265=0,0,IF(INDEX(DarlOhneTilgung,9)=1,0,IF(AND(INDEX(DarlTilgStart,9)&gt;0,$E4265=INDEX(DarlTilgStart,9)),$J4265*($H4265+INDEX(DarlTilgung,9))/100/12,IF(AND($G4265=0,$G4264=1),MAX($K4264,$J4265*($H4265+1)/100/12),$K4264))))</f>
      </c>
      <c r="L4265" s="43">
        <f>IF($I4265=0,0,$J4265*$H4265/100/12)</f>
      </c>
      <c r="M4265" s="43">
        <f>IF($I4265=0,0,IF(OR(INDEX(DarlOhneTilgung,9)=1,AND(INDEX(DarlTilgStart,9)&gt;0,$E4265&lt;INDEX(DarlTilgStart,9))),0,MIN(MAX(0,$K4265-$L4265),$J4265)))</f>
      </c>
      <c r="N4265" s="43">
        <f>IF($I4265=0,0,MIN(SUMIFS(SondBetrag,SondDarl,9,SondDatum,"&gt;="&amp;$E4265,SondDatum,"&lt;="&amp;EOMONTH($E4265,0)),$J4265-$M4265))</f>
      </c>
      <c r="O4265" s="43">
        <f>IF($I4265=0,0,INDEX(DarlErsatzRate,9))</f>
      </c>
      <c r="P4265" s="43">
        <f>IF($I4265=0,0,$Q4264*INDEX(DarlErsatzZins,9))</f>
      </c>
      <c r="Q4265" s="43">
        <f>IF($I4265=0,0,$Q4264+$P4265+$O4265)</f>
      </c>
      <c r="R4265" s="43">
        <f>IF($I4265=0,0,$J4265-$M4265-$N4265)</f>
      </c>
    </row>
    <row r="4266">
      <c r="A4266"/>
      <c r="B4266">
        <v>9</v>
      </c>
      <c r="C4266" s="43">
        <f>INDEX(DarlObj,9)</f>
      </c>
      <c r="D4266">
        <v>423</v>
      </c>
      <c r="E4266" s="51">
        <f>IF(INDEX(DarlBelegt,9)=0,0,EOMONTH(INDEX(DarlAuszahlung,9),422)+1)</f>
      </c>
      <c r="F4266" s="43">
        <f>IF($E4266=0,0,YEAR($E4266))</f>
      </c>
      <c r="G4266" s="43">
        <f>IF(INDEX(DarlBindung,9)="",1,IF($E4266&lt;=INDEX(DarlBindung,9),1,0))</f>
      </c>
      <c r="H4266" s="43">
        <f>IF($G4266=1,INDEX(DarlSollzins,9),INDEX(DarlAnschluss,9))</f>
      </c>
      <c r="I4266" s="43">
        <f>IF(INDEX(DarlBelegt,9)=0,0,IF(INDEX(DarlOhneTilgung,9)=1,IF(INDEX(DarlBindung,9)="",1,$G4266),IF($J4266&gt;0.005,1,0)))</f>
      </c>
      <c r="J4266" s="43">
        <f>IF($I4265=0,0,$R4265)</f>
      </c>
      <c r="K4266" s="43">
        <f>IF($I4266=0,0,IF(INDEX(DarlOhneTilgung,9)=1,0,IF(AND(INDEX(DarlTilgStart,9)&gt;0,$E4266=INDEX(DarlTilgStart,9)),$J4266*($H4266+INDEX(DarlTilgung,9))/100/12,IF(AND($G4266=0,$G4265=1),MAX($K4265,$J4266*($H4266+1)/100/12),$K4265))))</f>
      </c>
      <c r="L4266" s="43">
        <f>IF($I4266=0,0,$J4266*$H4266/100/12)</f>
      </c>
      <c r="M4266" s="43">
        <f>IF($I4266=0,0,IF(OR(INDEX(DarlOhneTilgung,9)=1,AND(INDEX(DarlTilgStart,9)&gt;0,$E4266&lt;INDEX(DarlTilgStart,9))),0,MIN(MAX(0,$K4266-$L4266),$J4266)))</f>
      </c>
      <c r="N4266" s="43">
        <f>IF($I4266=0,0,MIN(SUMIFS(SondBetrag,SondDarl,9,SondDatum,"&gt;="&amp;$E4266,SondDatum,"&lt;="&amp;EOMONTH($E4266,0)),$J4266-$M4266))</f>
      </c>
      <c r="O4266" s="43">
        <f>IF($I4266=0,0,INDEX(DarlErsatzRate,9))</f>
      </c>
      <c r="P4266" s="43">
        <f>IF($I4266=0,0,$Q4265*INDEX(DarlErsatzZins,9))</f>
      </c>
      <c r="Q4266" s="43">
        <f>IF($I4266=0,0,$Q4265+$P4266+$O4266)</f>
      </c>
      <c r="R4266" s="43">
        <f>IF($I4266=0,0,$J4266-$M4266-$N4266)</f>
      </c>
    </row>
    <row r="4267">
      <c r="A4267"/>
      <c r="B4267">
        <v>9</v>
      </c>
      <c r="C4267" s="43">
        <f>INDEX(DarlObj,9)</f>
      </c>
      <c r="D4267">
        <v>424</v>
      </c>
      <c r="E4267" s="51">
        <f>IF(INDEX(DarlBelegt,9)=0,0,EOMONTH(INDEX(DarlAuszahlung,9),423)+1)</f>
      </c>
      <c r="F4267" s="43">
        <f>IF($E4267=0,0,YEAR($E4267))</f>
      </c>
      <c r="G4267" s="43">
        <f>IF(INDEX(DarlBindung,9)="",1,IF($E4267&lt;=INDEX(DarlBindung,9),1,0))</f>
      </c>
      <c r="H4267" s="43">
        <f>IF($G4267=1,INDEX(DarlSollzins,9),INDEX(DarlAnschluss,9))</f>
      </c>
      <c r="I4267" s="43">
        <f>IF(INDEX(DarlBelegt,9)=0,0,IF(INDEX(DarlOhneTilgung,9)=1,IF(INDEX(DarlBindung,9)="",1,$G4267),IF($J4267&gt;0.005,1,0)))</f>
      </c>
      <c r="J4267" s="43">
        <f>IF($I4266=0,0,$R4266)</f>
      </c>
      <c r="K4267" s="43">
        <f>IF($I4267=0,0,IF(INDEX(DarlOhneTilgung,9)=1,0,IF(AND(INDEX(DarlTilgStart,9)&gt;0,$E4267=INDEX(DarlTilgStart,9)),$J4267*($H4267+INDEX(DarlTilgung,9))/100/12,IF(AND($G4267=0,$G4266=1),MAX($K4266,$J4267*($H4267+1)/100/12),$K4266))))</f>
      </c>
      <c r="L4267" s="43">
        <f>IF($I4267=0,0,$J4267*$H4267/100/12)</f>
      </c>
      <c r="M4267" s="43">
        <f>IF($I4267=0,0,IF(OR(INDEX(DarlOhneTilgung,9)=1,AND(INDEX(DarlTilgStart,9)&gt;0,$E4267&lt;INDEX(DarlTilgStart,9))),0,MIN(MAX(0,$K4267-$L4267),$J4267)))</f>
      </c>
      <c r="N4267" s="43">
        <f>IF($I4267=0,0,MIN(SUMIFS(SondBetrag,SondDarl,9,SondDatum,"&gt;="&amp;$E4267,SondDatum,"&lt;="&amp;EOMONTH($E4267,0)),$J4267-$M4267))</f>
      </c>
      <c r="O4267" s="43">
        <f>IF($I4267=0,0,INDEX(DarlErsatzRate,9))</f>
      </c>
      <c r="P4267" s="43">
        <f>IF($I4267=0,0,$Q4266*INDEX(DarlErsatzZins,9))</f>
      </c>
      <c r="Q4267" s="43">
        <f>IF($I4267=0,0,$Q4266+$P4267+$O4267)</f>
      </c>
      <c r="R4267" s="43">
        <f>IF($I4267=0,0,$J4267-$M4267-$N4267)</f>
      </c>
    </row>
    <row r="4268">
      <c r="A4268"/>
      <c r="B4268">
        <v>9</v>
      </c>
      <c r="C4268" s="43">
        <f>INDEX(DarlObj,9)</f>
      </c>
      <c r="D4268">
        <v>425</v>
      </c>
      <c r="E4268" s="51">
        <f>IF(INDEX(DarlBelegt,9)=0,0,EOMONTH(INDEX(DarlAuszahlung,9),424)+1)</f>
      </c>
      <c r="F4268" s="43">
        <f>IF($E4268=0,0,YEAR($E4268))</f>
      </c>
      <c r="G4268" s="43">
        <f>IF(INDEX(DarlBindung,9)="",1,IF($E4268&lt;=INDEX(DarlBindung,9),1,0))</f>
      </c>
      <c r="H4268" s="43">
        <f>IF($G4268=1,INDEX(DarlSollzins,9),INDEX(DarlAnschluss,9))</f>
      </c>
      <c r="I4268" s="43">
        <f>IF(INDEX(DarlBelegt,9)=0,0,IF(INDEX(DarlOhneTilgung,9)=1,IF(INDEX(DarlBindung,9)="",1,$G4268),IF($J4268&gt;0.005,1,0)))</f>
      </c>
      <c r="J4268" s="43">
        <f>IF($I4267=0,0,$R4267)</f>
      </c>
      <c r="K4268" s="43">
        <f>IF($I4268=0,0,IF(INDEX(DarlOhneTilgung,9)=1,0,IF(AND(INDEX(DarlTilgStart,9)&gt;0,$E4268=INDEX(DarlTilgStart,9)),$J4268*($H4268+INDEX(DarlTilgung,9))/100/12,IF(AND($G4268=0,$G4267=1),MAX($K4267,$J4268*($H4268+1)/100/12),$K4267))))</f>
      </c>
      <c r="L4268" s="43">
        <f>IF($I4268=0,0,$J4268*$H4268/100/12)</f>
      </c>
      <c r="M4268" s="43">
        <f>IF($I4268=0,0,IF(OR(INDEX(DarlOhneTilgung,9)=1,AND(INDEX(DarlTilgStart,9)&gt;0,$E4268&lt;INDEX(DarlTilgStart,9))),0,MIN(MAX(0,$K4268-$L4268),$J4268)))</f>
      </c>
      <c r="N4268" s="43">
        <f>IF($I4268=0,0,MIN(SUMIFS(SondBetrag,SondDarl,9,SondDatum,"&gt;="&amp;$E4268,SondDatum,"&lt;="&amp;EOMONTH($E4268,0)),$J4268-$M4268))</f>
      </c>
      <c r="O4268" s="43">
        <f>IF($I4268=0,0,INDEX(DarlErsatzRate,9))</f>
      </c>
      <c r="P4268" s="43">
        <f>IF($I4268=0,0,$Q4267*INDEX(DarlErsatzZins,9))</f>
      </c>
      <c r="Q4268" s="43">
        <f>IF($I4268=0,0,$Q4267+$P4268+$O4268)</f>
      </c>
      <c r="R4268" s="43">
        <f>IF($I4268=0,0,$J4268-$M4268-$N4268)</f>
      </c>
    </row>
    <row r="4269">
      <c r="A4269"/>
      <c r="B4269">
        <v>9</v>
      </c>
      <c r="C4269" s="43">
        <f>INDEX(DarlObj,9)</f>
      </c>
      <c r="D4269">
        <v>426</v>
      </c>
      <c r="E4269" s="51">
        <f>IF(INDEX(DarlBelegt,9)=0,0,EOMONTH(INDEX(DarlAuszahlung,9),425)+1)</f>
      </c>
      <c r="F4269" s="43">
        <f>IF($E4269=0,0,YEAR($E4269))</f>
      </c>
      <c r="G4269" s="43">
        <f>IF(INDEX(DarlBindung,9)="",1,IF($E4269&lt;=INDEX(DarlBindung,9),1,0))</f>
      </c>
      <c r="H4269" s="43">
        <f>IF($G4269=1,INDEX(DarlSollzins,9),INDEX(DarlAnschluss,9))</f>
      </c>
      <c r="I4269" s="43">
        <f>IF(INDEX(DarlBelegt,9)=0,0,IF(INDEX(DarlOhneTilgung,9)=1,IF(INDEX(DarlBindung,9)="",1,$G4269),IF($J4269&gt;0.005,1,0)))</f>
      </c>
      <c r="J4269" s="43">
        <f>IF($I4268=0,0,$R4268)</f>
      </c>
      <c r="K4269" s="43">
        <f>IF($I4269=0,0,IF(INDEX(DarlOhneTilgung,9)=1,0,IF(AND(INDEX(DarlTilgStart,9)&gt;0,$E4269=INDEX(DarlTilgStart,9)),$J4269*($H4269+INDEX(DarlTilgung,9))/100/12,IF(AND($G4269=0,$G4268=1),MAX($K4268,$J4269*($H4269+1)/100/12),$K4268))))</f>
      </c>
      <c r="L4269" s="43">
        <f>IF($I4269=0,0,$J4269*$H4269/100/12)</f>
      </c>
      <c r="M4269" s="43">
        <f>IF($I4269=0,0,IF(OR(INDEX(DarlOhneTilgung,9)=1,AND(INDEX(DarlTilgStart,9)&gt;0,$E4269&lt;INDEX(DarlTilgStart,9))),0,MIN(MAX(0,$K4269-$L4269),$J4269)))</f>
      </c>
      <c r="N4269" s="43">
        <f>IF($I4269=0,0,MIN(SUMIFS(SondBetrag,SondDarl,9,SondDatum,"&gt;="&amp;$E4269,SondDatum,"&lt;="&amp;EOMONTH($E4269,0)),$J4269-$M4269))</f>
      </c>
      <c r="O4269" s="43">
        <f>IF($I4269=0,0,INDEX(DarlErsatzRate,9))</f>
      </c>
      <c r="P4269" s="43">
        <f>IF($I4269=0,0,$Q4268*INDEX(DarlErsatzZins,9))</f>
      </c>
      <c r="Q4269" s="43">
        <f>IF($I4269=0,0,$Q4268+$P4269+$O4269)</f>
      </c>
      <c r="R4269" s="43">
        <f>IF($I4269=0,0,$J4269-$M4269-$N4269)</f>
      </c>
    </row>
    <row r="4270">
      <c r="A4270"/>
      <c r="B4270">
        <v>9</v>
      </c>
      <c r="C4270" s="43">
        <f>INDEX(DarlObj,9)</f>
      </c>
      <c r="D4270">
        <v>427</v>
      </c>
      <c r="E4270" s="51">
        <f>IF(INDEX(DarlBelegt,9)=0,0,EOMONTH(INDEX(DarlAuszahlung,9),426)+1)</f>
      </c>
      <c r="F4270" s="43">
        <f>IF($E4270=0,0,YEAR($E4270))</f>
      </c>
      <c r="G4270" s="43">
        <f>IF(INDEX(DarlBindung,9)="",1,IF($E4270&lt;=INDEX(DarlBindung,9),1,0))</f>
      </c>
      <c r="H4270" s="43">
        <f>IF($G4270=1,INDEX(DarlSollzins,9),INDEX(DarlAnschluss,9))</f>
      </c>
      <c r="I4270" s="43">
        <f>IF(INDEX(DarlBelegt,9)=0,0,IF(INDEX(DarlOhneTilgung,9)=1,IF(INDEX(DarlBindung,9)="",1,$G4270),IF($J4270&gt;0.005,1,0)))</f>
      </c>
      <c r="J4270" s="43">
        <f>IF($I4269=0,0,$R4269)</f>
      </c>
      <c r="K4270" s="43">
        <f>IF($I4270=0,0,IF(INDEX(DarlOhneTilgung,9)=1,0,IF(AND(INDEX(DarlTilgStart,9)&gt;0,$E4270=INDEX(DarlTilgStart,9)),$J4270*($H4270+INDEX(DarlTilgung,9))/100/12,IF(AND($G4270=0,$G4269=1),MAX($K4269,$J4270*($H4270+1)/100/12),$K4269))))</f>
      </c>
      <c r="L4270" s="43">
        <f>IF($I4270=0,0,$J4270*$H4270/100/12)</f>
      </c>
      <c r="M4270" s="43">
        <f>IF($I4270=0,0,IF(OR(INDEX(DarlOhneTilgung,9)=1,AND(INDEX(DarlTilgStart,9)&gt;0,$E4270&lt;INDEX(DarlTilgStart,9))),0,MIN(MAX(0,$K4270-$L4270),$J4270)))</f>
      </c>
      <c r="N4270" s="43">
        <f>IF($I4270=0,0,MIN(SUMIFS(SondBetrag,SondDarl,9,SondDatum,"&gt;="&amp;$E4270,SondDatum,"&lt;="&amp;EOMONTH($E4270,0)),$J4270-$M4270))</f>
      </c>
      <c r="O4270" s="43">
        <f>IF($I4270=0,0,INDEX(DarlErsatzRate,9))</f>
      </c>
      <c r="P4270" s="43">
        <f>IF($I4270=0,0,$Q4269*INDEX(DarlErsatzZins,9))</f>
      </c>
      <c r="Q4270" s="43">
        <f>IF($I4270=0,0,$Q4269+$P4270+$O4270)</f>
      </c>
      <c r="R4270" s="43">
        <f>IF($I4270=0,0,$J4270-$M4270-$N4270)</f>
      </c>
    </row>
    <row r="4271">
      <c r="A4271"/>
      <c r="B4271">
        <v>9</v>
      </c>
      <c r="C4271" s="43">
        <f>INDEX(DarlObj,9)</f>
      </c>
      <c r="D4271">
        <v>428</v>
      </c>
      <c r="E4271" s="51">
        <f>IF(INDEX(DarlBelegt,9)=0,0,EOMONTH(INDEX(DarlAuszahlung,9),427)+1)</f>
      </c>
      <c r="F4271" s="43">
        <f>IF($E4271=0,0,YEAR($E4271))</f>
      </c>
      <c r="G4271" s="43">
        <f>IF(INDEX(DarlBindung,9)="",1,IF($E4271&lt;=INDEX(DarlBindung,9),1,0))</f>
      </c>
      <c r="H4271" s="43">
        <f>IF($G4271=1,INDEX(DarlSollzins,9),INDEX(DarlAnschluss,9))</f>
      </c>
      <c r="I4271" s="43">
        <f>IF(INDEX(DarlBelegt,9)=0,0,IF(INDEX(DarlOhneTilgung,9)=1,IF(INDEX(DarlBindung,9)="",1,$G4271),IF($J4271&gt;0.005,1,0)))</f>
      </c>
      <c r="J4271" s="43">
        <f>IF($I4270=0,0,$R4270)</f>
      </c>
      <c r="K4271" s="43">
        <f>IF($I4271=0,0,IF(INDEX(DarlOhneTilgung,9)=1,0,IF(AND(INDEX(DarlTilgStart,9)&gt;0,$E4271=INDEX(DarlTilgStart,9)),$J4271*($H4271+INDEX(DarlTilgung,9))/100/12,IF(AND($G4271=0,$G4270=1),MAX($K4270,$J4271*($H4271+1)/100/12),$K4270))))</f>
      </c>
      <c r="L4271" s="43">
        <f>IF($I4271=0,0,$J4271*$H4271/100/12)</f>
      </c>
      <c r="M4271" s="43">
        <f>IF($I4271=0,0,IF(OR(INDEX(DarlOhneTilgung,9)=1,AND(INDEX(DarlTilgStart,9)&gt;0,$E4271&lt;INDEX(DarlTilgStart,9))),0,MIN(MAX(0,$K4271-$L4271),$J4271)))</f>
      </c>
      <c r="N4271" s="43">
        <f>IF($I4271=0,0,MIN(SUMIFS(SondBetrag,SondDarl,9,SondDatum,"&gt;="&amp;$E4271,SondDatum,"&lt;="&amp;EOMONTH($E4271,0)),$J4271-$M4271))</f>
      </c>
      <c r="O4271" s="43">
        <f>IF($I4271=0,0,INDEX(DarlErsatzRate,9))</f>
      </c>
      <c r="P4271" s="43">
        <f>IF($I4271=0,0,$Q4270*INDEX(DarlErsatzZins,9))</f>
      </c>
      <c r="Q4271" s="43">
        <f>IF($I4271=0,0,$Q4270+$P4271+$O4271)</f>
      </c>
      <c r="R4271" s="43">
        <f>IF($I4271=0,0,$J4271-$M4271-$N4271)</f>
      </c>
    </row>
    <row r="4272">
      <c r="A4272"/>
      <c r="B4272">
        <v>9</v>
      </c>
      <c r="C4272" s="43">
        <f>INDEX(DarlObj,9)</f>
      </c>
      <c r="D4272">
        <v>429</v>
      </c>
      <c r="E4272" s="51">
        <f>IF(INDEX(DarlBelegt,9)=0,0,EOMONTH(INDEX(DarlAuszahlung,9),428)+1)</f>
      </c>
      <c r="F4272" s="43">
        <f>IF($E4272=0,0,YEAR($E4272))</f>
      </c>
      <c r="G4272" s="43">
        <f>IF(INDEX(DarlBindung,9)="",1,IF($E4272&lt;=INDEX(DarlBindung,9),1,0))</f>
      </c>
      <c r="H4272" s="43">
        <f>IF($G4272=1,INDEX(DarlSollzins,9),INDEX(DarlAnschluss,9))</f>
      </c>
      <c r="I4272" s="43">
        <f>IF(INDEX(DarlBelegt,9)=0,0,IF(INDEX(DarlOhneTilgung,9)=1,IF(INDEX(DarlBindung,9)="",1,$G4272),IF($J4272&gt;0.005,1,0)))</f>
      </c>
      <c r="J4272" s="43">
        <f>IF($I4271=0,0,$R4271)</f>
      </c>
      <c r="K4272" s="43">
        <f>IF($I4272=0,0,IF(INDEX(DarlOhneTilgung,9)=1,0,IF(AND(INDEX(DarlTilgStart,9)&gt;0,$E4272=INDEX(DarlTilgStart,9)),$J4272*($H4272+INDEX(DarlTilgung,9))/100/12,IF(AND($G4272=0,$G4271=1),MAX($K4271,$J4272*($H4272+1)/100/12),$K4271))))</f>
      </c>
      <c r="L4272" s="43">
        <f>IF($I4272=0,0,$J4272*$H4272/100/12)</f>
      </c>
      <c r="M4272" s="43">
        <f>IF($I4272=0,0,IF(OR(INDEX(DarlOhneTilgung,9)=1,AND(INDEX(DarlTilgStart,9)&gt;0,$E4272&lt;INDEX(DarlTilgStart,9))),0,MIN(MAX(0,$K4272-$L4272),$J4272)))</f>
      </c>
      <c r="N4272" s="43">
        <f>IF($I4272=0,0,MIN(SUMIFS(SondBetrag,SondDarl,9,SondDatum,"&gt;="&amp;$E4272,SondDatum,"&lt;="&amp;EOMONTH($E4272,0)),$J4272-$M4272))</f>
      </c>
      <c r="O4272" s="43">
        <f>IF($I4272=0,0,INDEX(DarlErsatzRate,9))</f>
      </c>
      <c r="P4272" s="43">
        <f>IF($I4272=0,0,$Q4271*INDEX(DarlErsatzZins,9))</f>
      </c>
      <c r="Q4272" s="43">
        <f>IF($I4272=0,0,$Q4271+$P4272+$O4272)</f>
      </c>
      <c r="R4272" s="43">
        <f>IF($I4272=0,0,$J4272-$M4272-$N4272)</f>
      </c>
    </row>
    <row r="4273">
      <c r="A4273"/>
      <c r="B4273">
        <v>9</v>
      </c>
      <c r="C4273" s="43">
        <f>INDEX(DarlObj,9)</f>
      </c>
      <c r="D4273">
        <v>430</v>
      </c>
      <c r="E4273" s="51">
        <f>IF(INDEX(DarlBelegt,9)=0,0,EOMONTH(INDEX(DarlAuszahlung,9),429)+1)</f>
      </c>
      <c r="F4273" s="43">
        <f>IF($E4273=0,0,YEAR($E4273))</f>
      </c>
      <c r="G4273" s="43">
        <f>IF(INDEX(DarlBindung,9)="",1,IF($E4273&lt;=INDEX(DarlBindung,9),1,0))</f>
      </c>
      <c r="H4273" s="43">
        <f>IF($G4273=1,INDEX(DarlSollzins,9),INDEX(DarlAnschluss,9))</f>
      </c>
      <c r="I4273" s="43">
        <f>IF(INDEX(DarlBelegt,9)=0,0,IF(INDEX(DarlOhneTilgung,9)=1,IF(INDEX(DarlBindung,9)="",1,$G4273),IF($J4273&gt;0.005,1,0)))</f>
      </c>
      <c r="J4273" s="43">
        <f>IF($I4272=0,0,$R4272)</f>
      </c>
      <c r="K4273" s="43">
        <f>IF($I4273=0,0,IF(INDEX(DarlOhneTilgung,9)=1,0,IF(AND(INDEX(DarlTilgStart,9)&gt;0,$E4273=INDEX(DarlTilgStart,9)),$J4273*($H4273+INDEX(DarlTilgung,9))/100/12,IF(AND($G4273=0,$G4272=1),MAX($K4272,$J4273*($H4273+1)/100/12),$K4272))))</f>
      </c>
      <c r="L4273" s="43">
        <f>IF($I4273=0,0,$J4273*$H4273/100/12)</f>
      </c>
      <c r="M4273" s="43">
        <f>IF($I4273=0,0,IF(OR(INDEX(DarlOhneTilgung,9)=1,AND(INDEX(DarlTilgStart,9)&gt;0,$E4273&lt;INDEX(DarlTilgStart,9))),0,MIN(MAX(0,$K4273-$L4273),$J4273)))</f>
      </c>
      <c r="N4273" s="43">
        <f>IF($I4273=0,0,MIN(SUMIFS(SondBetrag,SondDarl,9,SondDatum,"&gt;="&amp;$E4273,SondDatum,"&lt;="&amp;EOMONTH($E4273,0)),$J4273-$M4273))</f>
      </c>
      <c r="O4273" s="43">
        <f>IF($I4273=0,0,INDEX(DarlErsatzRate,9))</f>
      </c>
      <c r="P4273" s="43">
        <f>IF($I4273=0,0,$Q4272*INDEX(DarlErsatzZins,9))</f>
      </c>
      <c r="Q4273" s="43">
        <f>IF($I4273=0,0,$Q4272+$P4273+$O4273)</f>
      </c>
      <c r="R4273" s="43">
        <f>IF($I4273=0,0,$J4273-$M4273-$N4273)</f>
      </c>
    </row>
    <row r="4274">
      <c r="A4274"/>
      <c r="B4274">
        <v>9</v>
      </c>
      <c r="C4274" s="43">
        <f>INDEX(DarlObj,9)</f>
      </c>
      <c r="D4274">
        <v>431</v>
      </c>
      <c r="E4274" s="51">
        <f>IF(INDEX(DarlBelegt,9)=0,0,EOMONTH(INDEX(DarlAuszahlung,9),430)+1)</f>
      </c>
      <c r="F4274" s="43">
        <f>IF($E4274=0,0,YEAR($E4274))</f>
      </c>
      <c r="G4274" s="43">
        <f>IF(INDEX(DarlBindung,9)="",1,IF($E4274&lt;=INDEX(DarlBindung,9),1,0))</f>
      </c>
      <c r="H4274" s="43">
        <f>IF($G4274=1,INDEX(DarlSollzins,9),INDEX(DarlAnschluss,9))</f>
      </c>
      <c r="I4274" s="43">
        <f>IF(INDEX(DarlBelegt,9)=0,0,IF(INDEX(DarlOhneTilgung,9)=1,IF(INDEX(DarlBindung,9)="",1,$G4274),IF($J4274&gt;0.005,1,0)))</f>
      </c>
      <c r="J4274" s="43">
        <f>IF($I4273=0,0,$R4273)</f>
      </c>
      <c r="K4274" s="43">
        <f>IF($I4274=0,0,IF(INDEX(DarlOhneTilgung,9)=1,0,IF(AND(INDEX(DarlTilgStart,9)&gt;0,$E4274=INDEX(DarlTilgStart,9)),$J4274*($H4274+INDEX(DarlTilgung,9))/100/12,IF(AND($G4274=0,$G4273=1),MAX($K4273,$J4274*($H4274+1)/100/12),$K4273))))</f>
      </c>
      <c r="L4274" s="43">
        <f>IF($I4274=0,0,$J4274*$H4274/100/12)</f>
      </c>
      <c r="M4274" s="43">
        <f>IF($I4274=0,0,IF(OR(INDEX(DarlOhneTilgung,9)=1,AND(INDEX(DarlTilgStart,9)&gt;0,$E4274&lt;INDEX(DarlTilgStart,9))),0,MIN(MAX(0,$K4274-$L4274),$J4274)))</f>
      </c>
      <c r="N4274" s="43">
        <f>IF($I4274=0,0,MIN(SUMIFS(SondBetrag,SondDarl,9,SondDatum,"&gt;="&amp;$E4274,SondDatum,"&lt;="&amp;EOMONTH($E4274,0)),$J4274-$M4274))</f>
      </c>
      <c r="O4274" s="43">
        <f>IF($I4274=0,0,INDEX(DarlErsatzRate,9))</f>
      </c>
      <c r="P4274" s="43">
        <f>IF($I4274=0,0,$Q4273*INDEX(DarlErsatzZins,9))</f>
      </c>
      <c r="Q4274" s="43">
        <f>IF($I4274=0,0,$Q4273+$P4274+$O4274)</f>
      </c>
      <c r="R4274" s="43">
        <f>IF($I4274=0,0,$J4274-$M4274-$N4274)</f>
      </c>
    </row>
    <row r="4275">
      <c r="A4275"/>
      <c r="B4275">
        <v>9</v>
      </c>
      <c r="C4275" s="43">
        <f>INDEX(DarlObj,9)</f>
      </c>
      <c r="D4275">
        <v>432</v>
      </c>
      <c r="E4275" s="51">
        <f>IF(INDEX(DarlBelegt,9)=0,0,EOMONTH(INDEX(DarlAuszahlung,9),431)+1)</f>
      </c>
      <c r="F4275" s="43">
        <f>IF($E4275=0,0,YEAR($E4275))</f>
      </c>
      <c r="G4275" s="43">
        <f>IF(INDEX(DarlBindung,9)="",1,IF($E4275&lt;=INDEX(DarlBindung,9),1,0))</f>
      </c>
      <c r="H4275" s="43">
        <f>IF($G4275=1,INDEX(DarlSollzins,9),INDEX(DarlAnschluss,9))</f>
      </c>
      <c r="I4275" s="43">
        <f>IF(INDEX(DarlBelegt,9)=0,0,IF(INDEX(DarlOhneTilgung,9)=1,IF(INDEX(DarlBindung,9)="",1,$G4275),IF($J4275&gt;0.005,1,0)))</f>
      </c>
      <c r="J4275" s="43">
        <f>IF($I4274=0,0,$R4274)</f>
      </c>
      <c r="K4275" s="43">
        <f>IF($I4275=0,0,IF(INDEX(DarlOhneTilgung,9)=1,0,IF(AND(INDEX(DarlTilgStart,9)&gt;0,$E4275=INDEX(DarlTilgStart,9)),$J4275*($H4275+INDEX(DarlTilgung,9))/100/12,IF(AND($G4275=0,$G4274=1),MAX($K4274,$J4275*($H4275+1)/100/12),$K4274))))</f>
      </c>
      <c r="L4275" s="43">
        <f>IF($I4275=0,0,$J4275*$H4275/100/12)</f>
      </c>
      <c r="M4275" s="43">
        <f>IF($I4275=0,0,IF(OR(INDEX(DarlOhneTilgung,9)=1,AND(INDEX(DarlTilgStart,9)&gt;0,$E4275&lt;INDEX(DarlTilgStart,9))),0,MIN(MAX(0,$K4275-$L4275),$J4275)))</f>
      </c>
      <c r="N4275" s="43">
        <f>IF($I4275=0,0,MIN(SUMIFS(SondBetrag,SondDarl,9,SondDatum,"&gt;="&amp;$E4275,SondDatum,"&lt;="&amp;EOMONTH($E4275,0)),$J4275-$M4275))</f>
      </c>
      <c r="O4275" s="43">
        <f>IF($I4275=0,0,INDEX(DarlErsatzRate,9))</f>
      </c>
      <c r="P4275" s="43">
        <f>IF($I4275=0,0,$Q4274*INDEX(DarlErsatzZins,9))</f>
      </c>
      <c r="Q4275" s="43">
        <f>IF($I4275=0,0,$Q4274+$P4275+$O4275)</f>
      </c>
      <c r="R4275" s="43">
        <f>IF($I4275=0,0,$J4275-$M4275-$N4275)</f>
      </c>
    </row>
    <row r="4276">
      <c r="A4276"/>
      <c r="B4276">
        <v>9</v>
      </c>
      <c r="C4276" s="43">
        <f>INDEX(DarlObj,9)</f>
      </c>
      <c r="D4276">
        <v>433</v>
      </c>
      <c r="E4276" s="51">
        <f>IF(INDEX(DarlBelegt,9)=0,0,EOMONTH(INDEX(DarlAuszahlung,9),432)+1)</f>
      </c>
      <c r="F4276" s="43">
        <f>IF($E4276=0,0,YEAR($E4276))</f>
      </c>
      <c r="G4276" s="43">
        <f>IF(INDEX(DarlBindung,9)="",1,IF($E4276&lt;=INDEX(DarlBindung,9),1,0))</f>
      </c>
      <c r="H4276" s="43">
        <f>IF($G4276=1,INDEX(DarlSollzins,9),INDEX(DarlAnschluss,9))</f>
      </c>
      <c r="I4276" s="43">
        <f>IF(INDEX(DarlBelegt,9)=0,0,IF(INDEX(DarlOhneTilgung,9)=1,IF(INDEX(DarlBindung,9)="",1,$G4276),IF($J4276&gt;0.005,1,0)))</f>
      </c>
      <c r="J4276" s="43">
        <f>IF($I4275=0,0,$R4275)</f>
      </c>
      <c r="K4276" s="43">
        <f>IF($I4276=0,0,IF(INDEX(DarlOhneTilgung,9)=1,0,IF(AND(INDEX(DarlTilgStart,9)&gt;0,$E4276=INDEX(DarlTilgStart,9)),$J4276*($H4276+INDEX(DarlTilgung,9))/100/12,IF(AND($G4276=0,$G4275=1),MAX($K4275,$J4276*($H4276+1)/100/12),$K4275))))</f>
      </c>
      <c r="L4276" s="43">
        <f>IF($I4276=0,0,$J4276*$H4276/100/12)</f>
      </c>
      <c r="M4276" s="43">
        <f>IF($I4276=0,0,IF(OR(INDEX(DarlOhneTilgung,9)=1,AND(INDEX(DarlTilgStart,9)&gt;0,$E4276&lt;INDEX(DarlTilgStart,9))),0,MIN(MAX(0,$K4276-$L4276),$J4276)))</f>
      </c>
      <c r="N4276" s="43">
        <f>IF($I4276=0,0,MIN(SUMIFS(SondBetrag,SondDarl,9,SondDatum,"&gt;="&amp;$E4276,SondDatum,"&lt;="&amp;EOMONTH($E4276,0)),$J4276-$M4276))</f>
      </c>
      <c r="O4276" s="43">
        <f>IF($I4276=0,0,INDEX(DarlErsatzRate,9))</f>
      </c>
      <c r="P4276" s="43">
        <f>IF($I4276=0,0,$Q4275*INDEX(DarlErsatzZins,9))</f>
      </c>
      <c r="Q4276" s="43">
        <f>IF($I4276=0,0,$Q4275+$P4276+$O4276)</f>
      </c>
      <c r="R4276" s="43">
        <f>IF($I4276=0,0,$J4276-$M4276-$N4276)</f>
      </c>
    </row>
    <row r="4277">
      <c r="A4277"/>
      <c r="B4277">
        <v>9</v>
      </c>
      <c r="C4277" s="43">
        <f>INDEX(DarlObj,9)</f>
      </c>
      <c r="D4277">
        <v>434</v>
      </c>
      <c r="E4277" s="51">
        <f>IF(INDEX(DarlBelegt,9)=0,0,EOMONTH(INDEX(DarlAuszahlung,9),433)+1)</f>
      </c>
      <c r="F4277" s="43">
        <f>IF($E4277=0,0,YEAR($E4277))</f>
      </c>
      <c r="G4277" s="43">
        <f>IF(INDEX(DarlBindung,9)="",1,IF($E4277&lt;=INDEX(DarlBindung,9),1,0))</f>
      </c>
      <c r="H4277" s="43">
        <f>IF($G4277=1,INDEX(DarlSollzins,9),INDEX(DarlAnschluss,9))</f>
      </c>
      <c r="I4277" s="43">
        <f>IF(INDEX(DarlBelegt,9)=0,0,IF(INDEX(DarlOhneTilgung,9)=1,IF(INDEX(DarlBindung,9)="",1,$G4277),IF($J4277&gt;0.005,1,0)))</f>
      </c>
      <c r="J4277" s="43">
        <f>IF($I4276=0,0,$R4276)</f>
      </c>
      <c r="K4277" s="43">
        <f>IF($I4277=0,0,IF(INDEX(DarlOhneTilgung,9)=1,0,IF(AND(INDEX(DarlTilgStart,9)&gt;0,$E4277=INDEX(DarlTilgStart,9)),$J4277*($H4277+INDEX(DarlTilgung,9))/100/12,IF(AND($G4277=0,$G4276=1),MAX($K4276,$J4277*($H4277+1)/100/12),$K4276))))</f>
      </c>
      <c r="L4277" s="43">
        <f>IF($I4277=0,0,$J4277*$H4277/100/12)</f>
      </c>
      <c r="M4277" s="43">
        <f>IF($I4277=0,0,IF(OR(INDEX(DarlOhneTilgung,9)=1,AND(INDEX(DarlTilgStart,9)&gt;0,$E4277&lt;INDEX(DarlTilgStart,9))),0,MIN(MAX(0,$K4277-$L4277),$J4277)))</f>
      </c>
      <c r="N4277" s="43">
        <f>IF($I4277=0,0,MIN(SUMIFS(SondBetrag,SondDarl,9,SondDatum,"&gt;="&amp;$E4277,SondDatum,"&lt;="&amp;EOMONTH($E4277,0)),$J4277-$M4277))</f>
      </c>
      <c r="O4277" s="43">
        <f>IF($I4277=0,0,INDEX(DarlErsatzRate,9))</f>
      </c>
      <c r="P4277" s="43">
        <f>IF($I4277=0,0,$Q4276*INDEX(DarlErsatzZins,9))</f>
      </c>
      <c r="Q4277" s="43">
        <f>IF($I4277=0,0,$Q4276+$P4277+$O4277)</f>
      </c>
      <c r="R4277" s="43">
        <f>IF($I4277=0,0,$J4277-$M4277-$N4277)</f>
      </c>
    </row>
    <row r="4278">
      <c r="A4278"/>
      <c r="B4278">
        <v>9</v>
      </c>
      <c r="C4278" s="43">
        <f>INDEX(DarlObj,9)</f>
      </c>
      <c r="D4278">
        <v>435</v>
      </c>
      <c r="E4278" s="51">
        <f>IF(INDEX(DarlBelegt,9)=0,0,EOMONTH(INDEX(DarlAuszahlung,9),434)+1)</f>
      </c>
      <c r="F4278" s="43">
        <f>IF($E4278=0,0,YEAR($E4278))</f>
      </c>
      <c r="G4278" s="43">
        <f>IF(INDEX(DarlBindung,9)="",1,IF($E4278&lt;=INDEX(DarlBindung,9),1,0))</f>
      </c>
      <c r="H4278" s="43">
        <f>IF($G4278=1,INDEX(DarlSollzins,9),INDEX(DarlAnschluss,9))</f>
      </c>
      <c r="I4278" s="43">
        <f>IF(INDEX(DarlBelegt,9)=0,0,IF(INDEX(DarlOhneTilgung,9)=1,IF(INDEX(DarlBindung,9)="",1,$G4278),IF($J4278&gt;0.005,1,0)))</f>
      </c>
      <c r="J4278" s="43">
        <f>IF($I4277=0,0,$R4277)</f>
      </c>
      <c r="K4278" s="43">
        <f>IF($I4278=0,0,IF(INDEX(DarlOhneTilgung,9)=1,0,IF(AND(INDEX(DarlTilgStart,9)&gt;0,$E4278=INDEX(DarlTilgStart,9)),$J4278*($H4278+INDEX(DarlTilgung,9))/100/12,IF(AND($G4278=0,$G4277=1),MAX($K4277,$J4278*($H4278+1)/100/12),$K4277))))</f>
      </c>
      <c r="L4278" s="43">
        <f>IF($I4278=0,0,$J4278*$H4278/100/12)</f>
      </c>
      <c r="M4278" s="43">
        <f>IF($I4278=0,0,IF(OR(INDEX(DarlOhneTilgung,9)=1,AND(INDEX(DarlTilgStart,9)&gt;0,$E4278&lt;INDEX(DarlTilgStart,9))),0,MIN(MAX(0,$K4278-$L4278),$J4278)))</f>
      </c>
      <c r="N4278" s="43">
        <f>IF($I4278=0,0,MIN(SUMIFS(SondBetrag,SondDarl,9,SondDatum,"&gt;="&amp;$E4278,SondDatum,"&lt;="&amp;EOMONTH($E4278,0)),$J4278-$M4278))</f>
      </c>
      <c r="O4278" s="43">
        <f>IF($I4278=0,0,INDEX(DarlErsatzRate,9))</f>
      </c>
      <c r="P4278" s="43">
        <f>IF($I4278=0,0,$Q4277*INDEX(DarlErsatzZins,9))</f>
      </c>
      <c r="Q4278" s="43">
        <f>IF($I4278=0,0,$Q4277+$P4278+$O4278)</f>
      </c>
      <c r="R4278" s="43">
        <f>IF($I4278=0,0,$J4278-$M4278-$N4278)</f>
      </c>
    </row>
    <row r="4279">
      <c r="A4279"/>
      <c r="B4279">
        <v>9</v>
      </c>
      <c r="C4279" s="43">
        <f>INDEX(DarlObj,9)</f>
      </c>
      <c r="D4279">
        <v>436</v>
      </c>
      <c r="E4279" s="51">
        <f>IF(INDEX(DarlBelegt,9)=0,0,EOMONTH(INDEX(DarlAuszahlung,9),435)+1)</f>
      </c>
      <c r="F4279" s="43">
        <f>IF($E4279=0,0,YEAR($E4279))</f>
      </c>
      <c r="G4279" s="43">
        <f>IF(INDEX(DarlBindung,9)="",1,IF($E4279&lt;=INDEX(DarlBindung,9),1,0))</f>
      </c>
      <c r="H4279" s="43">
        <f>IF($G4279=1,INDEX(DarlSollzins,9),INDEX(DarlAnschluss,9))</f>
      </c>
      <c r="I4279" s="43">
        <f>IF(INDEX(DarlBelegt,9)=0,0,IF(INDEX(DarlOhneTilgung,9)=1,IF(INDEX(DarlBindung,9)="",1,$G4279),IF($J4279&gt;0.005,1,0)))</f>
      </c>
      <c r="J4279" s="43">
        <f>IF($I4278=0,0,$R4278)</f>
      </c>
      <c r="K4279" s="43">
        <f>IF($I4279=0,0,IF(INDEX(DarlOhneTilgung,9)=1,0,IF(AND(INDEX(DarlTilgStart,9)&gt;0,$E4279=INDEX(DarlTilgStart,9)),$J4279*($H4279+INDEX(DarlTilgung,9))/100/12,IF(AND($G4279=0,$G4278=1),MAX($K4278,$J4279*($H4279+1)/100/12),$K4278))))</f>
      </c>
      <c r="L4279" s="43">
        <f>IF($I4279=0,0,$J4279*$H4279/100/12)</f>
      </c>
      <c r="M4279" s="43">
        <f>IF($I4279=0,0,IF(OR(INDEX(DarlOhneTilgung,9)=1,AND(INDEX(DarlTilgStart,9)&gt;0,$E4279&lt;INDEX(DarlTilgStart,9))),0,MIN(MAX(0,$K4279-$L4279),$J4279)))</f>
      </c>
      <c r="N4279" s="43">
        <f>IF($I4279=0,0,MIN(SUMIFS(SondBetrag,SondDarl,9,SondDatum,"&gt;="&amp;$E4279,SondDatum,"&lt;="&amp;EOMONTH($E4279,0)),$J4279-$M4279))</f>
      </c>
      <c r="O4279" s="43">
        <f>IF($I4279=0,0,INDEX(DarlErsatzRate,9))</f>
      </c>
      <c r="P4279" s="43">
        <f>IF($I4279=0,0,$Q4278*INDEX(DarlErsatzZins,9))</f>
      </c>
      <c r="Q4279" s="43">
        <f>IF($I4279=0,0,$Q4278+$P4279+$O4279)</f>
      </c>
      <c r="R4279" s="43">
        <f>IF($I4279=0,0,$J4279-$M4279-$N4279)</f>
      </c>
    </row>
    <row r="4280">
      <c r="A4280"/>
      <c r="B4280">
        <v>9</v>
      </c>
      <c r="C4280" s="43">
        <f>INDEX(DarlObj,9)</f>
      </c>
      <c r="D4280">
        <v>437</v>
      </c>
      <c r="E4280" s="51">
        <f>IF(INDEX(DarlBelegt,9)=0,0,EOMONTH(INDEX(DarlAuszahlung,9),436)+1)</f>
      </c>
      <c r="F4280" s="43">
        <f>IF($E4280=0,0,YEAR($E4280))</f>
      </c>
      <c r="G4280" s="43">
        <f>IF(INDEX(DarlBindung,9)="",1,IF($E4280&lt;=INDEX(DarlBindung,9),1,0))</f>
      </c>
      <c r="H4280" s="43">
        <f>IF($G4280=1,INDEX(DarlSollzins,9),INDEX(DarlAnschluss,9))</f>
      </c>
      <c r="I4280" s="43">
        <f>IF(INDEX(DarlBelegt,9)=0,0,IF(INDEX(DarlOhneTilgung,9)=1,IF(INDEX(DarlBindung,9)="",1,$G4280),IF($J4280&gt;0.005,1,0)))</f>
      </c>
      <c r="J4280" s="43">
        <f>IF($I4279=0,0,$R4279)</f>
      </c>
      <c r="K4280" s="43">
        <f>IF($I4280=0,0,IF(INDEX(DarlOhneTilgung,9)=1,0,IF(AND(INDEX(DarlTilgStart,9)&gt;0,$E4280=INDEX(DarlTilgStart,9)),$J4280*($H4280+INDEX(DarlTilgung,9))/100/12,IF(AND($G4280=0,$G4279=1),MAX($K4279,$J4280*($H4280+1)/100/12),$K4279))))</f>
      </c>
      <c r="L4280" s="43">
        <f>IF($I4280=0,0,$J4280*$H4280/100/12)</f>
      </c>
      <c r="M4280" s="43">
        <f>IF($I4280=0,0,IF(OR(INDEX(DarlOhneTilgung,9)=1,AND(INDEX(DarlTilgStart,9)&gt;0,$E4280&lt;INDEX(DarlTilgStart,9))),0,MIN(MAX(0,$K4280-$L4280),$J4280)))</f>
      </c>
      <c r="N4280" s="43">
        <f>IF($I4280=0,0,MIN(SUMIFS(SondBetrag,SondDarl,9,SondDatum,"&gt;="&amp;$E4280,SondDatum,"&lt;="&amp;EOMONTH($E4280,0)),$J4280-$M4280))</f>
      </c>
      <c r="O4280" s="43">
        <f>IF($I4280=0,0,INDEX(DarlErsatzRate,9))</f>
      </c>
      <c r="P4280" s="43">
        <f>IF($I4280=0,0,$Q4279*INDEX(DarlErsatzZins,9))</f>
      </c>
      <c r="Q4280" s="43">
        <f>IF($I4280=0,0,$Q4279+$P4280+$O4280)</f>
      </c>
      <c r="R4280" s="43">
        <f>IF($I4280=0,0,$J4280-$M4280-$N4280)</f>
      </c>
    </row>
    <row r="4281">
      <c r="A4281"/>
      <c r="B4281">
        <v>9</v>
      </c>
      <c r="C4281" s="43">
        <f>INDEX(DarlObj,9)</f>
      </c>
      <c r="D4281">
        <v>438</v>
      </c>
      <c r="E4281" s="51">
        <f>IF(INDEX(DarlBelegt,9)=0,0,EOMONTH(INDEX(DarlAuszahlung,9),437)+1)</f>
      </c>
      <c r="F4281" s="43">
        <f>IF($E4281=0,0,YEAR($E4281))</f>
      </c>
      <c r="G4281" s="43">
        <f>IF(INDEX(DarlBindung,9)="",1,IF($E4281&lt;=INDEX(DarlBindung,9),1,0))</f>
      </c>
      <c r="H4281" s="43">
        <f>IF($G4281=1,INDEX(DarlSollzins,9),INDEX(DarlAnschluss,9))</f>
      </c>
      <c r="I4281" s="43">
        <f>IF(INDEX(DarlBelegt,9)=0,0,IF(INDEX(DarlOhneTilgung,9)=1,IF(INDEX(DarlBindung,9)="",1,$G4281),IF($J4281&gt;0.005,1,0)))</f>
      </c>
      <c r="J4281" s="43">
        <f>IF($I4280=0,0,$R4280)</f>
      </c>
      <c r="K4281" s="43">
        <f>IF($I4281=0,0,IF(INDEX(DarlOhneTilgung,9)=1,0,IF(AND(INDEX(DarlTilgStart,9)&gt;0,$E4281=INDEX(DarlTilgStart,9)),$J4281*($H4281+INDEX(DarlTilgung,9))/100/12,IF(AND($G4281=0,$G4280=1),MAX($K4280,$J4281*($H4281+1)/100/12),$K4280))))</f>
      </c>
      <c r="L4281" s="43">
        <f>IF($I4281=0,0,$J4281*$H4281/100/12)</f>
      </c>
      <c r="M4281" s="43">
        <f>IF($I4281=0,0,IF(OR(INDEX(DarlOhneTilgung,9)=1,AND(INDEX(DarlTilgStart,9)&gt;0,$E4281&lt;INDEX(DarlTilgStart,9))),0,MIN(MAX(0,$K4281-$L4281),$J4281)))</f>
      </c>
      <c r="N4281" s="43">
        <f>IF($I4281=0,0,MIN(SUMIFS(SondBetrag,SondDarl,9,SondDatum,"&gt;="&amp;$E4281,SondDatum,"&lt;="&amp;EOMONTH($E4281,0)),$J4281-$M4281))</f>
      </c>
      <c r="O4281" s="43">
        <f>IF($I4281=0,0,INDEX(DarlErsatzRate,9))</f>
      </c>
      <c r="P4281" s="43">
        <f>IF($I4281=0,0,$Q4280*INDEX(DarlErsatzZins,9))</f>
      </c>
      <c r="Q4281" s="43">
        <f>IF($I4281=0,0,$Q4280+$P4281+$O4281)</f>
      </c>
      <c r="R4281" s="43">
        <f>IF($I4281=0,0,$J4281-$M4281-$N4281)</f>
      </c>
    </row>
    <row r="4282">
      <c r="A4282"/>
      <c r="B4282">
        <v>9</v>
      </c>
      <c r="C4282" s="43">
        <f>INDEX(DarlObj,9)</f>
      </c>
      <c r="D4282">
        <v>439</v>
      </c>
      <c r="E4282" s="51">
        <f>IF(INDEX(DarlBelegt,9)=0,0,EOMONTH(INDEX(DarlAuszahlung,9),438)+1)</f>
      </c>
      <c r="F4282" s="43">
        <f>IF($E4282=0,0,YEAR($E4282))</f>
      </c>
      <c r="G4282" s="43">
        <f>IF(INDEX(DarlBindung,9)="",1,IF($E4282&lt;=INDEX(DarlBindung,9),1,0))</f>
      </c>
      <c r="H4282" s="43">
        <f>IF($G4282=1,INDEX(DarlSollzins,9),INDEX(DarlAnschluss,9))</f>
      </c>
      <c r="I4282" s="43">
        <f>IF(INDEX(DarlBelegt,9)=0,0,IF(INDEX(DarlOhneTilgung,9)=1,IF(INDEX(DarlBindung,9)="",1,$G4282),IF($J4282&gt;0.005,1,0)))</f>
      </c>
      <c r="J4282" s="43">
        <f>IF($I4281=0,0,$R4281)</f>
      </c>
      <c r="K4282" s="43">
        <f>IF($I4282=0,0,IF(INDEX(DarlOhneTilgung,9)=1,0,IF(AND(INDEX(DarlTilgStart,9)&gt;0,$E4282=INDEX(DarlTilgStart,9)),$J4282*($H4282+INDEX(DarlTilgung,9))/100/12,IF(AND($G4282=0,$G4281=1),MAX($K4281,$J4282*($H4282+1)/100/12),$K4281))))</f>
      </c>
      <c r="L4282" s="43">
        <f>IF($I4282=0,0,$J4282*$H4282/100/12)</f>
      </c>
      <c r="M4282" s="43">
        <f>IF($I4282=0,0,IF(OR(INDEX(DarlOhneTilgung,9)=1,AND(INDEX(DarlTilgStart,9)&gt;0,$E4282&lt;INDEX(DarlTilgStart,9))),0,MIN(MAX(0,$K4282-$L4282),$J4282)))</f>
      </c>
      <c r="N4282" s="43">
        <f>IF($I4282=0,0,MIN(SUMIFS(SondBetrag,SondDarl,9,SondDatum,"&gt;="&amp;$E4282,SondDatum,"&lt;="&amp;EOMONTH($E4282,0)),$J4282-$M4282))</f>
      </c>
      <c r="O4282" s="43">
        <f>IF($I4282=0,0,INDEX(DarlErsatzRate,9))</f>
      </c>
      <c r="P4282" s="43">
        <f>IF($I4282=0,0,$Q4281*INDEX(DarlErsatzZins,9))</f>
      </c>
      <c r="Q4282" s="43">
        <f>IF($I4282=0,0,$Q4281+$P4282+$O4282)</f>
      </c>
      <c r="R4282" s="43">
        <f>IF($I4282=0,0,$J4282-$M4282-$N4282)</f>
      </c>
    </row>
    <row r="4283">
      <c r="A4283"/>
      <c r="B4283">
        <v>9</v>
      </c>
      <c r="C4283" s="43">
        <f>INDEX(DarlObj,9)</f>
      </c>
      <c r="D4283">
        <v>440</v>
      </c>
      <c r="E4283" s="51">
        <f>IF(INDEX(DarlBelegt,9)=0,0,EOMONTH(INDEX(DarlAuszahlung,9),439)+1)</f>
      </c>
      <c r="F4283" s="43">
        <f>IF($E4283=0,0,YEAR($E4283))</f>
      </c>
      <c r="G4283" s="43">
        <f>IF(INDEX(DarlBindung,9)="",1,IF($E4283&lt;=INDEX(DarlBindung,9),1,0))</f>
      </c>
      <c r="H4283" s="43">
        <f>IF($G4283=1,INDEX(DarlSollzins,9),INDEX(DarlAnschluss,9))</f>
      </c>
      <c r="I4283" s="43">
        <f>IF(INDEX(DarlBelegt,9)=0,0,IF(INDEX(DarlOhneTilgung,9)=1,IF(INDEX(DarlBindung,9)="",1,$G4283),IF($J4283&gt;0.005,1,0)))</f>
      </c>
      <c r="J4283" s="43">
        <f>IF($I4282=0,0,$R4282)</f>
      </c>
      <c r="K4283" s="43">
        <f>IF($I4283=0,0,IF(INDEX(DarlOhneTilgung,9)=1,0,IF(AND(INDEX(DarlTilgStart,9)&gt;0,$E4283=INDEX(DarlTilgStart,9)),$J4283*($H4283+INDEX(DarlTilgung,9))/100/12,IF(AND($G4283=0,$G4282=1),MAX($K4282,$J4283*($H4283+1)/100/12),$K4282))))</f>
      </c>
      <c r="L4283" s="43">
        <f>IF($I4283=0,0,$J4283*$H4283/100/12)</f>
      </c>
      <c r="M4283" s="43">
        <f>IF($I4283=0,0,IF(OR(INDEX(DarlOhneTilgung,9)=1,AND(INDEX(DarlTilgStart,9)&gt;0,$E4283&lt;INDEX(DarlTilgStart,9))),0,MIN(MAX(0,$K4283-$L4283),$J4283)))</f>
      </c>
      <c r="N4283" s="43">
        <f>IF($I4283=0,0,MIN(SUMIFS(SondBetrag,SondDarl,9,SondDatum,"&gt;="&amp;$E4283,SondDatum,"&lt;="&amp;EOMONTH($E4283,0)),$J4283-$M4283))</f>
      </c>
      <c r="O4283" s="43">
        <f>IF($I4283=0,0,INDEX(DarlErsatzRate,9))</f>
      </c>
      <c r="P4283" s="43">
        <f>IF($I4283=0,0,$Q4282*INDEX(DarlErsatzZins,9))</f>
      </c>
      <c r="Q4283" s="43">
        <f>IF($I4283=0,0,$Q4282+$P4283+$O4283)</f>
      </c>
      <c r="R4283" s="43">
        <f>IF($I4283=0,0,$J4283-$M4283-$N4283)</f>
      </c>
    </row>
    <row r="4284">
      <c r="A4284"/>
      <c r="B4284">
        <v>9</v>
      </c>
      <c r="C4284" s="43">
        <f>INDEX(DarlObj,9)</f>
      </c>
      <c r="D4284">
        <v>441</v>
      </c>
      <c r="E4284" s="51">
        <f>IF(INDEX(DarlBelegt,9)=0,0,EOMONTH(INDEX(DarlAuszahlung,9),440)+1)</f>
      </c>
      <c r="F4284" s="43">
        <f>IF($E4284=0,0,YEAR($E4284))</f>
      </c>
      <c r="G4284" s="43">
        <f>IF(INDEX(DarlBindung,9)="",1,IF($E4284&lt;=INDEX(DarlBindung,9),1,0))</f>
      </c>
      <c r="H4284" s="43">
        <f>IF($G4284=1,INDEX(DarlSollzins,9),INDEX(DarlAnschluss,9))</f>
      </c>
      <c r="I4284" s="43">
        <f>IF(INDEX(DarlBelegt,9)=0,0,IF(INDEX(DarlOhneTilgung,9)=1,IF(INDEX(DarlBindung,9)="",1,$G4284),IF($J4284&gt;0.005,1,0)))</f>
      </c>
      <c r="J4284" s="43">
        <f>IF($I4283=0,0,$R4283)</f>
      </c>
      <c r="K4284" s="43">
        <f>IF($I4284=0,0,IF(INDEX(DarlOhneTilgung,9)=1,0,IF(AND(INDEX(DarlTilgStart,9)&gt;0,$E4284=INDEX(DarlTilgStart,9)),$J4284*($H4284+INDEX(DarlTilgung,9))/100/12,IF(AND($G4284=0,$G4283=1),MAX($K4283,$J4284*($H4284+1)/100/12),$K4283))))</f>
      </c>
      <c r="L4284" s="43">
        <f>IF($I4284=0,0,$J4284*$H4284/100/12)</f>
      </c>
      <c r="M4284" s="43">
        <f>IF($I4284=0,0,IF(OR(INDEX(DarlOhneTilgung,9)=1,AND(INDEX(DarlTilgStart,9)&gt;0,$E4284&lt;INDEX(DarlTilgStart,9))),0,MIN(MAX(0,$K4284-$L4284),$J4284)))</f>
      </c>
      <c r="N4284" s="43">
        <f>IF($I4284=0,0,MIN(SUMIFS(SondBetrag,SondDarl,9,SondDatum,"&gt;="&amp;$E4284,SondDatum,"&lt;="&amp;EOMONTH($E4284,0)),$J4284-$M4284))</f>
      </c>
      <c r="O4284" s="43">
        <f>IF($I4284=0,0,INDEX(DarlErsatzRate,9))</f>
      </c>
      <c r="P4284" s="43">
        <f>IF($I4284=0,0,$Q4283*INDEX(DarlErsatzZins,9))</f>
      </c>
      <c r="Q4284" s="43">
        <f>IF($I4284=0,0,$Q4283+$P4284+$O4284)</f>
      </c>
      <c r="R4284" s="43">
        <f>IF($I4284=0,0,$J4284-$M4284-$N4284)</f>
      </c>
    </row>
    <row r="4285">
      <c r="A4285"/>
      <c r="B4285">
        <v>9</v>
      </c>
      <c r="C4285" s="43">
        <f>INDEX(DarlObj,9)</f>
      </c>
      <c r="D4285">
        <v>442</v>
      </c>
      <c r="E4285" s="51">
        <f>IF(INDEX(DarlBelegt,9)=0,0,EOMONTH(INDEX(DarlAuszahlung,9),441)+1)</f>
      </c>
      <c r="F4285" s="43">
        <f>IF($E4285=0,0,YEAR($E4285))</f>
      </c>
      <c r="G4285" s="43">
        <f>IF(INDEX(DarlBindung,9)="",1,IF($E4285&lt;=INDEX(DarlBindung,9),1,0))</f>
      </c>
      <c r="H4285" s="43">
        <f>IF($G4285=1,INDEX(DarlSollzins,9),INDEX(DarlAnschluss,9))</f>
      </c>
      <c r="I4285" s="43">
        <f>IF(INDEX(DarlBelegt,9)=0,0,IF(INDEX(DarlOhneTilgung,9)=1,IF(INDEX(DarlBindung,9)="",1,$G4285),IF($J4285&gt;0.005,1,0)))</f>
      </c>
      <c r="J4285" s="43">
        <f>IF($I4284=0,0,$R4284)</f>
      </c>
      <c r="K4285" s="43">
        <f>IF($I4285=0,0,IF(INDEX(DarlOhneTilgung,9)=1,0,IF(AND(INDEX(DarlTilgStart,9)&gt;0,$E4285=INDEX(DarlTilgStart,9)),$J4285*($H4285+INDEX(DarlTilgung,9))/100/12,IF(AND($G4285=0,$G4284=1),MAX($K4284,$J4285*($H4285+1)/100/12),$K4284))))</f>
      </c>
      <c r="L4285" s="43">
        <f>IF($I4285=0,0,$J4285*$H4285/100/12)</f>
      </c>
      <c r="M4285" s="43">
        <f>IF($I4285=0,0,IF(OR(INDEX(DarlOhneTilgung,9)=1,AND(INDEX(DarlTilgStart,9)&gt;0,$E4285&lt;INDEX(DarlTilgStart,9))),0,MIN(MAX(0,$K4285-$L4285),$J4285)))</f>
      </c>
      <c r="N4285" s="43">
        <f>IF($I4285=0,0,MIN(SUMIFS(SondBetrag,SondDarl,9,SondDatum,"&gt;="&amp;$E4285,SondDatum,"&lt;="&amp;EOMONTH($E4285,0)),$J4285-$M4285))</f>
      </c>
      <c r="O4285" s="43">
        <f>IF($I4285=0,0,INDEX(DarlErsatzRate,9))</f>
      </c>
      <c r="P4285" s="43">
        <f>IF($I4285=0,0,$Q4284*INDEX(DarlErsatzZins,9))</f>
      </c>
      <c r="Q4285" s="43">
        <f>IF($I4285=0,0,$Q4284+$P4285+$O4285)</f>
      </c>
      <c r="R4285" s="43">
        <f>IF($I4285=0,0,$J4285-$M4285-$N4285)</f>
      </c>
    </row>
    <row r="4286">
      <c r="A4286"/>
      <c r="B4286">
        <v>9</v>
      </c>
      <c r="C4286" s="43">
        <f>INDEX(DarlObj,9)</f>
      </c>
      <c r="D4286">
        <v>443</v>
      </c>
      <c r="E4286" s="51">
        <f>IF(INDEX(DarlBelegt,9)=0,0,EOMONTH(INDEX(DarlAuszahlung,9),442)+1)</f>
      </c>
      <c r="F4286" s="43">
        <f>IF($E4286=0,0,YEAR($E4286))</f>
      </c>
      <c r="G4286" s="43">
        <f>IF(INDEX(DarlBindung,9)="",1,IF($E4286&lt;=INDEX(DarlBindung,9),1,0))</f>
      </c>
      <c r="H4286" s="43">
        <f>IF($G4286=1,INDEX(DarlSollzins,9),INDEX(DarlAnschluss,9))</f>
      </c>
      <c r="I4286" s="43">
        <f>IF(INDEX(DarlBelegt,9)=0,0,IF(INDEX(DarlOhneTilgung,9)=1,IF(INDEX(DarlBindung,9)="",1,$G4286),IF($J4286&gt;0.005,1,0)))</f>
      </c>
      <c r="J4286" s="43">
        <f>IF($I4285=0,0,$R4285)</f>
      </c>
      <c r="K4286" s="43">
        <f>IF($I4286=0,0,IF(INDEX(DarlOhneTilgung,9)=1,0,IF(AND(INDEX(DarlTilgStart,9)&gt;0,$E4286=INDEX(DarlTilgStart,9)),$J4286*($H4286+INDEX(DarlTilgung,9))/100/12,IF(AND($G4286=0,$G4285=1),MAX($K4285,$J4286*($H4286+1)/100/12),$K4285))))</f>
      </c>
      <c r="L4286" s="43">
        <f>IF($I4286=0,0,$J4286*$H4286/100/12)</f>
      </c>
      <c r="M4286" s="43">
        <f>IF($I4286=0,0,IF(OR(INDEX(DarlOhneTilgung,9)=1,AND(INDEX(DarlTilgStart,9)&gt;0,$E4286&lt;INDEX(DarlTilgStart,9))),0,MIN(MAX(0,$K4286-$L4286),$J4286)))</f>
      </c>
      <c r="N4286" s="43">
        <f>IF($I4286=0,0,MIN(SUMIFS(SondBetrag,SondDarl,9,SondDatum,"&gt;="&amp;$E4286,SondDatum,"&lt;="&amp;EOMONTH($E4286,0)),$J4286-$M4286))</f>
      </c>
      <c r="O4286" s="43">
        <f>IF($I4286=0,0,INDEX(DarlErsatzRate,9))</f>
      </c>
      <c r="P4286" s="43">
        <f>IF($I4286=0,0,$Q4285*INDEX(DarlErsatzZins,9))</f>
      </c>
      <c r="Q4286" s="43">
        <f>IF($I4286=0,0,$Q4285+$P4286+$O4286)</f>
      </c>
      <c r="R4286" s="43">
        <f>IF($I4286=0,0,$J4286-$M4286-$N4286)</f>
      </c>
    </row>
    <row r="4287">
      <c r="A4287"/>
      <c r="B4287">
        <v>9</v>
      </c>
      <c r="C4287" s="43">
        <f>INDEX(DarlObj,9)</f>
      </c>
      <c r="D4287">
        <v>444</v>
      </c>
      <c r="E4287" s="51">
        <f>IF(INDEX(DarlBelegt,9)=0,0,EOMONTH(INDEX(DarlAuszahlung,9),443)+1)</f>
      </c>
      <c r="F4287" s="43">
        <f>IF($E4287=0,0,YEAR($E4287))</f>
      </c>
      <c r="G4287" s="43">
        <f>IF(INDEX(DarlBindung,9)="",1,IF($E4287&lt;=INDEX(DarlBindung,9),1,0))</f>
      </c>
      <c r="H4287" s="43">
        <f>IF($G4287=1,INDEX(DarlSollzins,9),INDEX(DarlAnschluss,9))</f>
      </c>
      <c r="I4287" s="43">
        <f>IF(INDEX(DarlBelegt,9)=0,0,IF(INDEX(DarlOhneTilgung,9)=1,IF(INDEX(DarlBindung,9)="",1,$G4287),IF($J4287&gt;0.005,1,0)))</f>
      </c>
      <c r="J4287" s="43">
        <f>IF($I4286=0,0,$R4286)</f>
      </c>
      <c r="K4287" s="43">
        <f>IF($I4287=0,0,IF(INDEX(DarlOhneTilgung,9)=1,0,IF(AND(INDEX(DarlTilgStart,9)&gt;0,$E4287=INDEX(DarlTilgStart,9)),$J4287*($H4287+INDEX(DarlTilgung,9))/100/12,IF(AND($G4287=0,$G4286=1),MAX($K4286,$J4287*($H4287+1)/100/12),$K4286))))</f>
      </c>
      <c r="L4287" s="43">
        <f>IF($I4287=0,0,$J4287*$H4287/100/12)</f>
      </c>
      <c r="M4287" s="43">
        <f>IF($I4287=0,0,IF(OR(INDEX(DarlOhneTilgung,9)=1,AND(INDEX(DarlTilgStart,9)&gt;0,$E4287&lt;INDEX(DarlTilgStart,9))),0,MIN(MAX(0,$K4287-$L4287),$J4287)))</f>
      </c>
      <c r="N4287" s="43">
        <f>IF($I4287=0,0,MIN(SUMIFS(SondBetrag,SondDarl,9,SondDatum,"&gt;="&amp;$E4287,SondDatum,"&lt;="&amp;EOMONTH($E4287,0)),$J4287-$M4287))</f>
      </c>
      <c r="O4287" s="43">
        <f>IF($I4287=0,0,INDEX(DarlErsatzRate,9))</f>
      </c>
      <c r="P4287" s="43">
        <f>IF($I4287=0,0,$Q4286*INDEX(DarlErsatzZins,9))</f>
      </c>
      <c r="Q4287" s="43">
        <f>IF($I4287=0,0,$Q4286+$P4287+$O4287)</f>
      </c>
      <c r="R4287" s="43">
        <f>IF($I4287=0,0,$J4287-$M4287-$N4287)</f>
      </c>
    </row>
    <row r="4288">
      <c r="A4288"/>
      <c r="B4288">
        <v>9</v>
      </c>
      <c r="C4288" s="43">
        <f>INDEX(DarlObj,9)</f>
      </c>
      <c r="D4288">
        <v>445</v>
      </c>
      <c r="E4288" s="51">
        <f>IF(INDEX(DarlBelegt,9)=0,0,EOMONTH(INDEX(DarlAuszahlung,9),444)+1)</f>
      </c>
      <c r="F4288" s="43">
        <f>IF($E4288=0,0,YEAR($E4288))</f>
      </c>
      <c r="G4288" s="43">
        <f>IF(INDEX(DarlBindung,9)="",1,IF($E4288&lt;=INDEX(DarlBindung,9),1,0))</f>
      </c>
      <c r="H4288" s="43">
        <f>IF($G4288=1,INDEX(DarlSollzins,9),INDEX(DarlAnschluss,9))</f>
      </c>
      <c r="I4288" s="43">
        <f>IF(INDEX(DarlBelegt,9)=0,0,IF(INDEX(DarlOhneTilgung,9)=1,IF(INDEX(DarlBindung,9)="",1,$G4288),IF($J4288&gt;0.005,1,0)))</f>
      </c>
      <c r="J4288" s="43">
        <f>IF($I4287=0,0,$R4287)</f>
      </c>
      <c r="K4288" s="43">
        <f>IF($I4288=0,0,IF(INDEX(DarlOhneTilgung,9)=1,0,IF(AND(INDEX(DarlTilgStart,9)&gt;0,$E4288=INDEX(DarlTilgStart,9)),$J4288*($H4288+INDEX(DarlTilgung,9))/100/12,IF(AND($G4288=0,$G4287=1),MAX($K4287,$J4288*($H4288+1)/100/12),$K4287))))</f>
      </c>
      <c r="L4288" s="43">
        <f>IF($I4288=0,0,$J4288*$H4288/100/12)</f>
      </c>
      <c r="M4288" s="43">
        <f>IF($I4288=0,0,IF(OR(INDEX(DarlOhneTilgung,9)=1,AND(INDEX(DarlTilgStart,9)&gt;0,$E4288&lt;INDEX(DarlTilgStart,9))),0,MIN(MAX(0,$K4288-$L4288),$J4288)))</f>
      </c>
      <c r="N4288" s="43">
        <f>IF($I4288=0,0,MIN(SUMIFS(SondBetrag,SondDarl,9,SondDatum,"&gt;="&amp;$E4288,SondDatum,"&lt;="&amp;EOMONTH($E4288,0)),$J4288-$M4288))</f>
      </c>
      <c r="O4288" s="43">
        <f>IF($I4288=0,0,INDEX(DarlErsatzRate,9))</f>
      </c>
      <c r="P4288" s="43">
        <f>IF($I4288=0,0,$Q4287*INDEX(DarlErsatzZins,9))</f>
      </c>
      <c r="Q4288" s="43">
        <f>IF($I4288=0,0,$Q4287+$P4288+$O4288)</f>
      </c>
      <c r="R4288" s="43">
        <f>IF($I4288=0,0,$J4288-$M4288-$N4288)</f>
      </c>
    </row>
    <row r="4289">
      <c r="A4289"/>
      <c r="B4289">
        <v>9</v>
      </c>
      <c r="C4289" s="43">
        <f>INDEX(DarlObj,9)</f>
      </c>
      <c r="D4289">
        <v>446</v>
      </c>
      <c r="E4289" s="51">
        <f>IF(INDEX(DarlBelegt,9)=0,0,EOMONTH(INDEX(DarlAuszahlung,9),445)+1)</f>
      </c>
      <c r="F4289" s="43">
        <f>IF($E4289=0,0,YEAR($E4289))</f>
      </c>
      <c r="G4289" s="43">
        <f>IF(INDEX(DarlBindung,9)="",1,IF($E4289&lt;=INDEX(DarlBindung,9),1,0))</f>
      </c>
      <c r="H4289" s="43">
        <f>IF($G4289=1,INDEX(DarlSollzins,9),INDEX(DarlAnschluss,9))</f>
      </c>
      <c r="I4289" s="43">
        <f>IF(INDEX(DarlBelegt,9)=0,0,IF(INDEX(DarlOhneTilgung,9)=1,IF(INDEX(DarlBindung,9)="",1,$G4289),IF($J4289&gt;0.005,1,0)))</f>
      </c>
      <c r="J4289" s="43">
        <f>IF($I4288=0,0,$R4288)</f>
      </c>
      <c r="K4289" s="43">
        <f>IF($I4289=0,0,IF(INDEX(DarlOhneTilgung,9)=1,0,IF(AND(INDEX(DarlTilgStart,9)&gt;0,$E4289=INDEX(DarlTilgStart,9)),$J4289*($H4289+INDEX(DarlTilgung,9))/100/12,IF(AND($G4289=0,$G4288=1),MAX($K4288,$J4289*($H4289+1)/100/12),$K4288))))</f>
      </c>
      <c r="L4289" s="43">
        <f>IF($I4289=0,0,$J4289*$H4289/100/12)</f>
      </c>
      <c r="M4289" s="43">
        <f>IF($I4289=0,0,IF(OR(INDEX(DarlOhneTilgung,9)=1,AND(INDEX(DarlTilgStart,9)&gt;0,$E4289&lt;INDEX(DarlTilgStart,9))),0,MIN(MAX(0,$K4289-$L4289),$J4289)))</f>
      </c>
      <c r="N4289" s="43">
        <f>IF($I4289=0,0,MIN(SUMIFS(SondBetrag,SondDarl,9,SondDatum,"&gt;="&amp;$E4289,SondDatum,"&lt;="&amp;EOMONTH($E4289,0)),$J4289-$M4289))</f>
      </c>
      <c r="O4289" s="43">
        <f>IF($I4289=0,0,INDEX(DarlErsatzRate,9))</f>
      </c>
      <c r="P4289" s="43">
        <f>IF($I4289=0,0,$Q4288*INDEX(DarlErsatzZins,9))</f>
      </c>
      <c r="Q4289" s="43">
        <f>IF($I4289=0,0,$Q4288+$P4289+$O4289)</f>
      </c>
      <c r="R4289" s="43">
        <f>IF($I4289=0,0,$J4289-$M4289-$N4289)</f>
      </c>
    </row>
    <row r="4290">
      <c r="A4290"/>
      <c r="B4290">
        <v>9</v>
      </c>
      <c r="C4290" s="43">
        <f>INDEX(DarlObj,9)</f>
      </c>
      <c r="D4290">
        <v>447</v>
      </c>
      <c r="E4290" s="51">
        <f>IF(INDEX(DarlBelegt,9)=0,0,EOMONTH(INDEX(DarlAuszahlung,9),446)+1)</f>
      </c>
      <c r="F4290" s="43">
        <f>IF($E4290=0,0,YEAR($E4290))</f>
      </c>
      <c r="G4290" s="43">
        <f>IF(INDEX(DarlBindung,9)="",1,IF($E4290&lt;=INDEX(DarlBindung,9),1,0))</f>
      </c>
      <c r="H4290" s="43">
        <f>IF($G4290=1,INDEX(DarlSollzins,9),INDEX(DarlAnschluss,9))</f>
      </c>
      <c r="I4290" s="43">
        <f>IF(INDEX(DarlBelegt,9)=0,0,IF(INDEX(DarlOhneTilgung,9)=1,IF(INDEX(DarlBindung,9)="",1,$G4290),IF($J4290&gt;0.005,1,0)))</f>
      </c>
      <c r="J4290" s="43">
        <f>IF($I4289=0,0,$R4289)</f>
      </c>
      <c r="K4290" s="43">
        <f>IF($I4290=0,0,IF(INDEX(DarlOhneTilgung,9)=1,0,IF(AND(INDEX(DarlTilgStart,9)&gt;0,$E4290=INDEX(DarlTilgStart,9)),$J4290*($H4290+INDEX(DarlTilgung,9))/100/12,IF(AND($G4290=0,$G4289=1),MAX($K4289,$J4290*($H4290+1)/100/12),$K4289))))</f>
      </c>
      <c r="L4290" s="43">
        <f>IF($I4290=0,0,$J4290*$H4290/100/12)</f>
      </c>
      <c r="M4290" s="43">
        <f>IF($I4290=0,0,IF(OR(INDEX(DarlOhneTilgung,9)=1,AND(INDEX(DarlTilgStart,9)&gt;0,$E4290&lt;INDEX(DarlTilgStart,9))),0,MIN(MAX(0,$K4290-$L4290),$J4290)))</f>
      </c>
      <c r="N4290" s="43">
        <f>IF($I4290=0,0,MIN(SUMIFS(SondBetrag,SondDarl,9,SondDatum,"&gt;="&amp;$E4290,SondDatum,"&lt;="&amp;EOMONTH($E4290,0)),$J4290-$M4290))</f>
      </c>
      <c r="O4290" s="43">
        <f>IF($I4290=0,0,INDEX(DarlErsatzRate,9))</f>
      </c>
      <c r="P4290" s="43">
        <f>IF($I4290=0,0,$Q4289*INDEX(DarlErsatzZins,9))</f>
      </c>
      <c r="Q4290" s="43">
        <f>IF($I4290=0,0,$Q4289+$P4290+$O4290)</f>
      </c>
      <c r="R4290" s="43">
        <f>IF($I4290=0,0,$J4290-$M4290-$N4290)</f>
      </c>
    </row>
    <row r="4291">
      <c r="A4291"/>
      <c r="B4291">
        <v>9</v>
      </c>
      <c r="C4291" s="43">
        <f>INDEX(DarlObj,9)</f>
      </c>
      <c r="D4291">
        <v>448</v>
      </c>
      <c r="E4291" s="51">
        <f>IF(INDEX(DarlBelegt,9)=0,0,EOMONTH(INDEX(DarlAuszahlung,9),447)+1)</f>
      </c>
      <c r="F4291" s="43">
        <f>IF($E4291=0,0,YEAR($E4291))</f>
      </c>
      <c r="G4291" s="43">
        <f>IF(INDEX(DarlBindung,9)="",1,IF($E4291&lt;=INDEX(DarlBindung,9),1,0))</f>
      </c>
      <c r="H4291" s="43">
        <f>IF($G4291=1,INDEX(DarlSollzins,9),INDEX(DarlAnschluss,9))</f>
      </c>
      <c r="I4291" s="43">
        <f>IF(INDEX(DarlBelegt,9)=0,0,IF(INDEX(DarlOhneTilgung,9)=1,IF(INDEX(DarlBindung,9)="",1,$G4291),IF($J4291&gt;0.005,1,0)))</f>
      </c>
      <c r="J4291" s="43">
        <f>IF($I4290=0,0,$R4290)</f>
      </c>
      <c r="K4291" s="43">
        <f>IF($I4291=0,0,IF(INDEX(DarlOhneTilgung,9)=1,0,IF(AND(INDEX(DarlTilgStart,9)&gt;0,$E4291=INDEX(DarlTilgStart,9)),$J4291*($H4291+INDEX(DarlTilgung,9))/100/12,IF(AND($G4291=0,$G4290=1),MAX($K4290,$J4291*($H4291+1)/100/12),$K4290))))</f>
      </c>
      <c r="L4291" s="43">
        <f>IF($I4291=0,0,$J4291*$H4291/100/12)</f>
      </c>
      <c r="M4291" s="43">
        <f>IF($I4291=0,0,IF(OR(INDEX(DarlOhneTilgung,9)=1,AND(INDEX(DarlTilgStart,9)&gt;0,$E4291&lt;INDEX(DarlTilgStart,9))),0,MIN(MAX(0,$K4291-$L4291),$J4291)))</f>
      </c>
      <c r="N4291" s="43">
        <f>IF($I4291=0,0,MIN(SUMIFS(SondBetrag,SondDarl,9,SondDatum,"&gt;="&amp;$E4291,SondDatum,"&lt;="&amp;EOMONTH($E4291,0)),$J4291-$M4291))</f>
      </c>
      <c r="O4291" s="43">
        <f>IF($I4291=0,0,INDEX(DarlErsatzRate,9))</f>
      </c>
      <c r="P4291" s="43">
        <f>IF($I4291=0,0,$Q4290*INDEX(DarlErsatzZins,9))</f>
      </c>
      <c r="Q4291" s="43">
        <f>IF($I4291=0,0,$Q4290+$P4291+$O4291)</f>
      </c>
      <c r="R4291" s="43">
        <f>IF($I4291=0,0,$J4291-$M4291-$N4291)</f>
      </c>
    </row>
    <row r="4292">
      <c r="A4292"/>
      <c r="B4292">
        <v>9</v>
      </c>
      <c r="C4292" s="43">
        <f>INDEX(DarlObj,9)</f>
      </c>
      <c r="D4292">
        <v>449</v>
      </c>
      <c r="E4292" s="51">
        <f>IF(INDEX(DarlBelegt,9)=0,0,EOMONTH(INDEX(DarlAuszahlung,9),448)+1)</f>
      </c>
      <c r="F4292" s="43">
        <f>IF($E4292=0,0,YEAR($E4292))</f>
      </c>
      <c r="G4292" s="43">
        <f>IF(INDEX(DarlBindung,9)="",1,IF($E4292&lt;=INDEX(DarlBindung,9),1,0))</f>
      </c>
      <c r="H4292" s="43">
        <f>IF($G4292=1,INDEX(DarlSollzins,9),INDEX(DarlAnschluss,9))</f>
      </c>
      <c r="I4292" s="43">
        <f>IF(INDEX(DarlBelegt,9)=0,0,IF(INDEX(DarlOhneTilgung,9)=1,IF(INDEX(DarlBindung,9)="",1,$G4292),IF($J4292&gt;0.005,1,0)))</f>
      </c>
      <c r="J4292" s="43">
        <f>IF($I4291=0,0,$R4291)</f>
      </c>
      <c r="K4292" s="43">
        <f>IF($I4292=0,0,IF(INDEX(DarlOhneTilgung,9)=1,0,IF(AND(INDEX(DarlTilgStart,9)&gt;0,$E4292=INDEX(DarlTilgStart,9)),$J4292*($H4292+INDEX(DarlTilgung,9))/100/12,IF(AND($G4292=0,$G4291=1),MAX($K4291,$J4292*($H4292+1)/100/12),$K4291))))</f>
      </c>
      <c r="L4292" s="43">
        <f>IF($I4292=0,0,$J4292*$H4292/100/12)</f>
      </c>
      <c r="M4292" s="43">
        <f>IF($I4292=0,0,IF(OR(INDEX(DarlOhneTilgung,9)=1,AND(INDEX(DarlTilgStart,9)&gt;0,$E4292&lt;INDEX(DarlTilgStart,9))),0,MIN(MAX(0,$K4292-$L4292),$J4292)))</f>
      </c>
      <c r="N4292" s="43">
        <f>IF($I4292=0,0,MIN(SUMIFS(SondBetrag,SondDarl,9,SondDatum,"&gt;="&amp;$E4292,SondDatum,"&lt;="&amp;EOMONTH($E4292,0)),$J4292-$M4292))</f>
      </c>
      <c r="O4292" s="43">
        <f>IF($I4292=0,0,INDEX(DarlErsatzRate,9))</f>
      </c>
      <c r="P4292" s="43">
        <f>IF($I4292=0,0,$Q4291*INDEX(DarlErsatzZins,9))</f>
      </c>
      <c r="Q4292" s="43">
        <f>IF($I4292=0,0,$Q4291+$P4292+$O4292)</f>
      </c>
      <c r="R4292" s="43">
        <f>IF($I4292=0,0,$J4292-$M4292-$N4292)</f>
      </c>
    </row>
    <row r="4293">
      <c r="A4293"/>
      <c r="B4293">
        <v>9</v>
      </c>
      <c r="C4293" s="43">
        <f>INDEX(DarlObj,9)</f>
      </c>
      <c r="D4293">
        <v>450</v>
      </c>
      <c r="E4293" s="51">
        <f>IF(INDEX(DarlBelegt,9)=0,0,EOMONTH(INDEX(DarlAuszahlung,9),449)+1)</f>
      </c>
      <c r="F4293" s="43">
        <f>IF($E4293=0,0,YEAR($E4293))</f>
      </c>
      <c r="G4293" s="43">
        <f>IF(INDEX(DarlBindung,9)="",1,IF($E4293&lt;=INDEX(DarlBindung,9),1,0))</f>
      </c>
      <c r="H4293" s="43">
        <f>IF($G4293=1,INDEX(DarlSollzins,9),INDEX(DarlAnschluss,9))</f>
      </c>
      <c r="I4293" s="43">
        <f>IF(INDEX(DarlBelegt,9)=0,0,IF(INDEX(DarlOhneTilgung,9)=1,IF(INDEX(DarlBindung,9)="",1,$G4293),IF($J4293&gt;0.005,1,0)))</f>
      </c>
      <c r="J4293" s="43">
        <f>IF($I4292=0,0,$R4292)</f>
      </c>
      <c r="K4293" s="43">
        <f>IF($I4293=0,0,IF(INDEX(DarlOhneTilgung,9)=1,0,IF(AND(INDEX(DarlTilgStart,9)&gt;0,$E4293=INDEX(DarlTilgStart,9)),$J4293*($H4293+INDEX(DarlTilgung,9))/100/12,IF(AND($G4293=0,$G4292=1),MAX($K4292,$J4293*($H4293+1)/100/12),$K4292))))</f>
      </c>
      <c r="L4293" s="43">
        <f>IF($I4293=0,0,$J4293*$H4293/100/12)</f>
      </c>
      <c r="M4293" s="43">
        <f>IF($I4293=0,0,IF(OR(INDEX(DarlOhneTilgung,9)=1,AND(INDEX(DarlTilgStart,9)&gt;0,$E4293&lt;INDEX(DarlTilgStart,9))),0,MIN(MAX(0,$K4293-$L4293),$J4293)))</f>
      </c>
      <c r="N4293" s="43">
        <f>IF($I4293=0,0,MIN(SUMIFS(SondBetrag,SondDarl,9,SondDatum,"&gt;="&amp;$E4293,SondDatum,"&lt;="&amp;EOMONTH($E4293,0)),$J4293-$M4293))</f>
      </c>
      <c r="O4293" s="43">
        <f>IF($I4293=0,0,INDEX(DarlErsatzRate,9))</f>
      </c>
      <c r="P4293" s="43">
        <f>IF($I4293=0,0,$Q4292*INDEX(DarlErsatzZins,9))</f>
      </c>
      <c r="Q4293" s="43">
        <f>IF($I4293=0,0,$Q4292+$P4293+$O4293)</f>
      </c>
      <c r="R4293" s="43">
        <f>IF($I4293=0,0,$J4293-$M4293-$N4293)</f>
      </c>
    </row>
    <row r="4294">
      <c r="A4294"/>
      <c r="B4294">
        <v>9</v>
      </c>
      <c r="C4294" s="43">
        <f>INDEX(DarlObj,9)</f>
      </c>
      <c r="D4294">
        <v>451</v>
      </c>
      <c r="E4294" s="51">
        <f>IF(INDEX(DarlBelegt,9)=0,0,EOMONTH(INDEX(DarlAuszahlung,9),450)+1)</f>
      </c>
      <c r="F4294" s="43">
        <f>IF($E4294=0,0,YEAR($E4294))</f>
      </c>
      <c r="G4294" s="43">
        <f>IF(INDEX(DarlBindung,9)="",1,IF($E4294&lt;=INDEX(DarlBindung,9),1,0))</f>
      </c>
      <c r="H4294" s="43">
        <f>IF($G4294=1,INDEX(DarlSollzins,9),INDEX(DarlAnschluss,9))</f>
      </c>
      <c r="I4294" s="43">
        <f>IF(INDEX(DarlBelegt,9)=0,0,IF(INDEX(DarlOhneTilgung,9)=1,IF(INDEX(DarlBindung,9)="",1,$G4294),IF($J4294&gt;0.005,1,0)))</f>
      </c>
      <c r="J4294" s="43">
        <f>IF($I4293=0,0,$R4293)</f>
      </c>
      <c r="K4294" s="43">
        <f>IF($I4294=0,0,IF(INDEX(DarlOhneTilgung,9)=1,0,IF(AND(INDEX(DarlTilgStart,9)&gt;0,$E4294=INDEX(DarlTilgStart,9)),$J4294*($H4294+INDEX(DarlTilgung,9))/100/12,IF(AND($G4294=0,$G4293=1),MAX($K4293,$J4294*($H4294+1)/100/12),$K4293))))</f>
      </c>
      <c r="L4294" s="43">
        <f>IF($I4294=0,0,$J4294*$H4294/100/12)</f>
      </c>
      <c r="M4294" s="43">
        <f>IF($I4294=0,0,IF(OR(INDEX(DarlOhneTilgung,9)=1,AND(INDEX(DarlTilgStart,9)&gt;0,$E4294&lt;INDEX(DarlTilgStart,9))),0,MIN(MAX(0,$K4294-$L4294),$J4294)))</f>
      </c>
      <c r="N4294" s="43">
        <f>IF($I4294=0,0,MIN(SUMIFS(SondBetrag,SondDarl,9,SondDatum,"&gt;="&amp;$E4294,SondDatum,"&lt;="&amp;EOMONTH($E4294,0)),$J4294-$M4294))</f>
      </c>
      <c r="O4294" s="43">
        <f>IF($I4294=0,0,INDEX(DarlErsatzRate,9))</f>
      </c>
      <c r="P4294" s="43">
        <f>IF($I4294=0,0,$Q4293*INDEX(DarlErsatzZins,9))</f>
      </c>
      <c r="Q4294" s="43">
        <f>IF($I4294=0,0,$Q4293+$P4294+$O4294)</f>
      </c>
      <c r="R4294" s="43">
        <f>IF($I4294=0,0,$J4294-$M4294-$N4294)</f>
      </c>
    </row>
    <row r="4295">
      <c r="A4295"/>
      <c r="B4295">
        <v>9</v>
      </c>
      <c r="C4295" s="43">
        <f>INDEX(DarlObj,9)</f>
      </c>
      <c r="D4295">
        <v>452</v>
      </c>
      <c r="E4295" s="51">
        <f>IF(INDEX(DarlBelegt,9)=0,0,EOMONTH(INDEX(DarlAuszahlung,9),451)+1)</f>
      </c>
      <c r="F4295" s="43">
        <f>IF($E4295=0,0,YEAR($E4295))</f>
      </c>
      <c r="G4295" s="43">
        <f>IF(INDEX(DarlBindung,9)="",1,IF($E4295&lt;=INDEX(DarlBindung,9),1,0))</f>
      </c>
      <c r="H4295" s="43">
        <f>IF($G4295=1,INDEX(DarlSollzins,9),INDEX(DarlAnschluss,9))</f>
      </c>
      <c r="I4295" s="43">
        <f>IF(INDEX(DarlBelegt,9)=0,0,IF(INDEX(DarlOhneTilgung,9)=1,IF(INDEX(DarlBindung,9)="",1,$G4295),IF($J4295&gt;0.005,1,0)))</f>
      </c>
      <c r="J4295" s="43">
        <f>IF($I4294=0,0,$R4294)</f>
      </c>
      <c r="K4295" s="43">
        <f>IF($I4295=0,0,IF(INDEX(DarlOhneTilgung,9)=1,0,IF(AND(INDEX(DarlTilgStart,9)&gt;0,$E4295=INDEX(DarlTilgStart,9)),$J4295*($H4295+INDEX(DarlTilgung,9))/100/12,IF(AND($G4295=0,$G4294=1),MAX($K4294,$J4295*($H4295+1)/100/12),$K4294))))</f>
      </c>
      <c r="L4295" s="43">
        <f>IF($I4295=0,0,$J4295*$H4295/100/12)</f>
      </c>
      <c r="M4295" s="43">
        <f>IF($I4295=0,0,IF(OR(INDEX(DarlOhneTilgung,9)=1,AND(INDEX(DarlTilgStart,9)&gt;0,$E4295&lt;INDEX(DarlTilgStart,9))),0,MIN(MAX(0,$K4295-$L4295),$J4295)))</f>
      </c>
      <c r="N4295" s="43">
        <f>IF($I4295=0,0,MIN(SUMIFS(SondBetrag,SondDarl,9,SondDatum,"&gt;="&amp;$E4295,SondDatum,"&lt;="&amp;EOMONTH($E4295,0)),$J4295-$M4295))</f>
      </c>
      <c r="O4295" s="43">
        <f>IF($I4295=0,0,INDEX(DarlErsatzRate,9))</f>
      </c>
      <c r="P4295" s="43">
        <f>IF($I4295=0,0,$Q4294*INDEX(DarlErsatzZins,9))</f>
      </c>
      <c r="Q4295" s="43">
        <f>IF($I4295=0,0,$Q4294+$P4295+$O4295)</f>
      </c>
      <c r="R4295" s="43">
        <f>IF($I4295=0,0,$J4295-$M4295-$N4295)</f>
      </c>
    </row>
    <row r="4296">
      <c r="A4296"/>
      <c r="B4296">
        <v>9</v>
      </c>
      <c r="C4296" s="43">
        <f>INDEX(DarlObj,9)</f>
      </c>
      <c r="D4296">
        <v>453</v>
      </c>
      <c r="E4296" s="51">
        <f>IF(INDEX(DarlBelegt,9)=0,0,EOMONTH(INDEX(DarlAuszahlung,9),452)+1)</f>
      </c>
      <c r="F4296" s="43">
        <f>IF($E4296=0,0,YEAR($E4296))</f>
      </c>
      <c r="G4296" s="43">
        <f>IF(INDEX(DarlBindung,9)="",1,IF($E4296&lt;=INDEX(DarlBindung,9),1,0))</f>
      </c>
      <c r="H4296" s="43">
        <f>IF($G4296=1,INDEX(DarlSollzins,9),INDEX(DarlAnschluss,9))</f>
      </c>
      <c r="I4296" s="43">
        <f>IF(INDEX(DarlBelegt,9)=0,0,IF(INDEX(DarlOhneTilgung,9)=1,IF(INDEX(DarlBindung,9)="",1,$G4296),IF($J4296&gt;0.005,1,0)))</f>
      </c>
      <c r="J4296" s="43">
        <f>IF($I4295=0,0,$R4295)</f>
      </c>
      <c r="K4296" s="43">
        <f>IF($I4296=0,0,IF(INDEX(DarlOhneTilgung,9)=1,0,IF(AND(INDEX(DarlTilgStart,9)&gt;0,$E4296=INDEX(DarlTilgStart,9)),$J4296*($H4296+INDEX(DarlTilgung,9))/100/12,IF(AND($G4296=0,$G4295=1),MAX($K4295,$J4296*($H4296+1)/100/12),$K4295))))</f>
      </c>
      <c r="L4296" s="43">
        <f>IF($I4296=0,0,$J4296*$H4296/100/12)</f>
      </c>
      <c r="M4296" s="43">
        <f>IF($I4296=0,0,IF(OR(INDEX(DarlOhneTilgung,9)=1,AND(INDEX(DarlTilgStart,9)&gt;0,$E4296&lt;INDEX(DarlTilgStart,9))),0,MIN(MAX(0,$K4296-$L4296),$J4296)))</f>
      </c>
      <c r="N4296" s="43">
        <f>IF($I4296=0,0,MIN(SUMIFS(SondBetrag,SondDarl,9,SondDatum,"&gt;="&amp;$E4296,SondDatum,"&lt;="&amp;EOMONTH($E4296,0)),$J4296-$M4296))</f>
      </c>
      <c r="O4296" s="43">
        <f>IF($I4296=0,0,INDEX(DarlErsatzRate,9))</f>
      </c>
      <c r="P4296" s="43">
        <f>IF($I4296=0,0,$Q4295*INDEX(DarlErsatzZins,9))</f>
      </c>
      <c r="Q4296" s="43">
        <f>IF($I4296=0,0,$Q4295+$P4296+$O4296)</f>
      </c>
      <c r="R4296" s="43">
        <f>IF($I4296=0,0,$J4296-$M4296-$N4296)</f>
      </c>
    </row>
    <row r="4297">
      <c r="A4297"/>
      <c r="B4297">
        <v>9</v>
      </c>
      <c r="C4297" s="43">
        <f>INDEX(DarlObj,9)</f>
      </c>
      <c r="D4297">
        <v>454</v>
      </c>
      <c r="E4297" s="51">
        <f>IF(INDEX(DarlBelegt,9)=0,0,EOMONTH(INDEX(DarlAuszahlung,9),453)+1)</f>
      </c>
      <c r="F4297" s="43">
        <f>IF($E4297=0,0,YEAR($E4297))</f>
      </c>
      <c r="G4297" s="43">
        <f>IF(INDEX(DarlBindung,9)="",1,IF($E4297&lt;=INDEX(DarlBindung,9),1,0))</f>
      </c>
      <c r="H4297" s="43">
        <f>IF($G4297=1,INDEX(DarlSollzins,9),INDEX(DarlAnschluss,9))</f>
      </c>
      <c r="I4297" s="43">
        <f>IF(INDEX(DarlBelegt,9)=0,0,IF(INDEX(DarlOhneTilgung,9)=1,IF(INDEX(DarlBindung,9)="",1,$G4297),IF($J4297&gt;0.005,1,0)))</f>
      </c>
      <c r="J4297" s="43">
        <f>IF($I4296=0,0,$R4296)</f>
      </c>
      <c r="K4297" s="43">
        <f>IF($I4297=0,0,IF(INDEX(DarlOhneTilgung,9)=1,0,IF(AND(INDEX(DarlTilgStart,9)&gt;0,$E4297=INDEX(DarlTilgStart,9)),$J4297*($H4297+INDEX(DarlTilgung,9))/100/12,IF(AND($G4297=0,$G4296=1),MAX($K4296,$J4297*($H4297+1)/100/12),$K4296))))</f>
      </c>
      <c r="L4297" s="43">
        <f>IF($I4297=0,0,$J4297*$H4297/100/12)</f>
      </c>
      <c r="M4297" s="43">
        <f>IF($I4297=0,0,IF(OR(INDEX(DarlOhneTilgung,9)=1,AND(INDEX(DarlTilgStart,9)&gt;0,$E4297&lt;INDEX(DarlTilgStart,9))),0,MIN(MAX(0,$K4297-$L4297),$J4297)))</f>
      </c>
      <c r="N4297" s="43">
        <f>IF($I4297=0,0,MIN(SUMIFS(SondBetrag,SondDarl,9,SondDatum,"&gt;="&amp;$E4297,SondDatum,"&lt;="&amp;EOMONTH($E4297,0)),$J4297-$M4297))</f>
      </c>
      <c r="O4297" s="43">
        <f>IF($I4297=0,0,INDEX(DarlErsatzRate,9))</f>
      </c>
      <c r="P4297" s="43">
        <f>IF($I4297=0,0,$Q4296*INDEX(DarlErsatzZins,9))</f>
      </c>
      <c r="Q4297" s="43">
        <f>IF($I4297=0,0,$Q4296+$P4297+$O4297)</f>
      </c>
      <c r="R4297" s="43">
        <f>IF($I4297=0,0,$J4297-$M4297-$N4297)</f>
      </c>
    </row>
    <row r="4298">
      <c r="A4298"/>
      <c r="B4298">
        <v>9</v>
      </c>
      <c r="C4298" s="43">
        <f>INDEX(DarlObj,9)</f>
      </c>
      <c r="D4298">
        <v>455</v>
      </c>
      <c r="E4298" s="51">
        <f>IF(INDEX(DarlBelegt,9)=0,0,EOMONTH(INDEX(DarlAuszahlung,9),454)+1)</f>
      </c>
      <c r="F4298" s="43">
        <f>IF($E4298=0,0,YEAR($E4298))</f>
      </c>
      <c r="G4298" s="43">
        <f>IF(INDEX(DarlBindung,9)="",1,IF($E4298&lt;=INDEX(DarlBindung,9),1,0))</f>
      </c>
      <c r="H4298" s="43">
        <f>IF($G4298=1,INDEX(DarlSollzins,9),INDEX(DarlAnschluss,9))</f>
      </c>
      <c r="I4298" s="43">
        <f>IF(INDEX(DarlBelegt,9)=0,0,IF(INDEX(DarlOhneTilgung,9)=1,IF(INDEX(DarlBindung,9)="",1,$G4298),IF($J4298&gt;0.005,1,0)))</f>
      </c>
      <c r="J4298" s="43">
        <f>IF($I4297=0,0,$R4297)</f>
      </c>
      <c r="K4298" s="43">
        <f>IF($I4298=0,0,IF(INDEX(DarlOhneTilgung,9)=1,0,IF(AND(INDEX(DarlTilgStart,9)&gt;0,$E4298=INDEX(DarlTilgStart,9)),$J4298*($H4298+INDEX(DarlTilgung,9))/100/12,IF(AND($G4298=0,$G4297=1),MAX($K4297,$J4298*($H4298+1)/100/12),$K4297))))</f>
      </c>
      <c r="L4298" s="43">
        <f>IF($I4298=0,0,$J4298*$H4298/100/12)</f>
      </c>
      <c r="M4298" s="43">
        <f>IF($I4298=0,0,IF(OR(INDEX(DarlOhneTilgung,9)=1,AND(INDEX(DarlTilgStart,9)&gt;0,$E4298&lt;INDEX(DarlTilgStart,9))),0,MIN(MAX(0,$K4298-$L4298),$J4298)))</f>
      </c>
      <c r="N4298" s="43">
        <f>IF($I4298=0,0,MIN(SUMIFS(SondBetrag,SondDarl,9,SondDatum,"&gt;="&amp;$E4298,SondDatum,"&lt;="&amp;EOMONTH($E4298,0)),$J4298-$M4298))</f>
      </c>
      <c r="O4298" s="43">
        <f>IF($I4298=0,0,INDEX(DarlErsatzRate,9))</f>
      </c>
      <c r="P4298" s="43">
        <f>IF($I4298=0,0,$Q4297*INDEX(DarlErsatzZins,9))</f>
      </c>
      <c r="Q4298" s="43">
        <f>IF($I4298=0,0,$Q4297+$P4298+$O4298)</f>
      </c>
      <c r="R4298" s="43">
        <f>IF($I4298=0,0,$J4298-$M4298-$N4298)</f>
      </c>
    </row>
    <row r="4299">
      <c r="A4299"/>
      <c r="B4299">
        <v>9</v>
      </c>
      <c r="C4299" s="43">
        <f>INDEX(DarlObj,9)</f>
      </c>
      <c r="D4299">
        <v>456</v>
      </c>
      <c r="E4299" s="51">
        <f>IF(INDEX(DarlBelegt,9)=0,0,EOMONTH(INDEX(DarlAuszahlung,9),455)+1)</f>
      </c>
      <c r="F4299" s="43">
        <f>IF($E4299=0,0,YEAR($E4299))</f>
      </c>
      <c r="G4299" s="43">
        <f>IF(INDEX(DarlBindung,9)="",1,IF($E4299&lt;=INDEX(DarlBindung,9),1,0))</f>
      </c>
      <c r="H4299" s="43">
        <f>IF($G4299=1,INDEX(DarlSollzins,9),INDEX(DarlAnschluss,9))</f>
      </c>
      <c r="I4299" s="43">
        <f>IF(INDEX(DarlBelegt,9)=0,0,IF(INDEX(DarlOhneTilgung,9)=1,IF(INDEX(DarlBindung,9)="",1,$G4299),IF($J4299&gt;0.005,1,0)))</f>
      </c>
      <c r="J4299" s="43">
        <f>IF($I4298=0,0,$R4298)</f>
      </c>
      <c r="K4299" s="43">
        <f>IF($I4299=0,0,IF(INDEX(DarlOhneTilgung,9)=1,0,IF(AND(INDEX(DarlTilgStart,9)&gt;0,$E4299=INDEX(DarlTilgStart,9)),$J4299*($H4299+INDEX(DarlTilgung,9))/100/12,IF(AND($G4299=0,$G4298=1),MAX($K4298,$J4299*($H4299+1)/100/12),$K4298))))</f>
      </c>
      <c r="L4299" s="43">
        <f>IF($I4299=0,0,$J4299*$H4299/100/12)</f>
      </c>
      <c r="M4299" s="43">
        <f>IF($I4299=0,0,IF(OR(INDEX(DarlOhneTilgung,9)=1,AND(INDEX(DarlTilgStart,9)&gt;0,$E4299&lt;INDEX(DarlTilgStart,9))),0,MIN(MAX(0,$K4299-$L4299),$J4299)))</f>
      </c>
      <c r="N4299" s="43">
        <f>IF($I4299=0,0,MIN(SUMIFS(SondBetrag,SondDarl,9,SondDatum,"&gt;="&amp;$E4299,SondDatum,"&lt;="&amp;EOMONTH($E4299,0)),$J4299-$M4299))</f>
      </c>
      <c r="O4299" s="43">
        <f>IF($I4299=0,0,INDEX(DarlErsatzRate,9))</f>
      </c>
      <c r="P4299" s="43">
        <f>IF($I4299=0,0,$Q4298*INDEX(DarlErsatzZins,9))</f>
      </c>
      <c r="Q4299" s="43">
        <f>IF($I4299=0,0,$Q4298+$P4299+$O4299)</f>
      </c>
      <c r="R4299" s="43">
        <f>IF($I4299=0,0,$J4299-$M4299-$N4299)</f>
      </c>
    </row>
    <row r="4300">
      <c r="A4300"/>
      <c r="B4300">
        <v>9</v>
      </c>
      <c r="C4300" s="43">
        <f>INDEX(DarlObj,9)</f>
      </c>
      <c r="D4300">
        <v>457</v>
      </c>
      <c r="E4300" s="51">
        <f>IF(INDEX(DarlBelegt,9)=0,0,EOMONTH(INDEX(DarlAuszahlung,9),456)+1)</f>
      </c>
      <c r="F4300" s="43">
        <f>IF($E4300=0,0,YEAR($E4300))</f>
      </c>
      <c r="G4300" s="43">
        <f>IF(INDEX(DarlBindung,9)="",1,IF($E4300&lt;=INDEX(DarlBindung,9),1,0))</f>
      </c>
      <c r="H4300" s="43">
        <f>IF($G4300=1,INDEX(DarlSollzins,9),INDEX(DarlAnschluss,9))</f>
      </c>
      <c r="I4300" s="43">
        <f>IF(INDEX(DarlBelegt,9)=0,0,IF(INDEX(DarlOhneTilgung,9)=1,IF(INDEX(DarlBindung,9)="",1,$G4300),IF($J4300&gt;0.005,1,0)))</f>
      </c>
      <c r="J4300" s="43">
        <f>IF($I4299=0,0,$R4299)</f>
      </c>
      <c r="K4300" s="43">
        <f>IF($I4300=0,0,IF(INDEX(DarlOhneTilgung,9)=1,0,IF(AND(INDEX(DarlTilgStart,9)&gt;0,$E4300=INDEX(DarlTilgStart,9)),$J4300*($H4300+INDEX(DarlTilgung,9))/100/12,IF(AND($G4300=0,$G4299=1),MAX($K4299,$J4300*($H4300+1)/100/12),$K4299))))</f>
      </c>
      <c r="L4300" s="43">
        <f>IF($I4300=0,0,$J4300*$H4300/100/12)</f>
      </c>
      <c r="M4300" s="43">
        <f>IF($I4300=0,0,IF(OR(INDEX(DarlOhneTilgung,9)=1,AND(INDEX(DarlTilgStart,9)&gt;0,$E4300&lt;INDEX(DarlTilgStart,9))),0,MIN(MAX(0,$K4300-$L4300),$J4300)))</f>
      </c>
      <c r="N4300" s="43">
        <f>IF($I4300=0,0,MIN(SUMIFS(SondBetrag,SondDarl,9,SondDatum,"&gt;="&amp;$E4300,SondDatum,"&lt;="&amp;EOMONTH($E4300,0)),$J4300-$M4300))</f>
      </c>
      <c r="O4300" s="43">
        <f>IF($I4300=0,0,INDEX(DarlErsatzRate,9))</f>
      </c>
      <c r="P4300" s="43">
        <f>IF($I4300=0,0,$Q4299*INDEX(DarlErsatzZins,9))</f>
      </c>
      <c r="Q4300" s="43">
        <f>IF($I4300=0,0,$Q4299+$P4300+$O4300)</f>
      </c>
      <c r="R4300" s="43">
        <f>IF($I4300=0,0,$J4300-$M4300-$N4300)</f>
      </c>
    </row>
    <row r="4301">
      <c r="A4301"/>
      <c r="B4301">
        <v>9</v>
      </c>
      <c r="C4301" s="43">
        <f>INDEX(DarlObj,9)</f>
      </c>
      <c r="D4301">
        <v>458</v>
      </c>
      <c r="E4301" s="51">
        <f>IF(INDEX(DarlBelegt,9)=0,0,EOMONTH(INDEX(DarlAuszahlung,9),457)+1)</f>
      </c>
      <c r="F4301" s="43">
        <f>IF($E4301=0,0,YEAR($E4301))</f>
      </c>
      <c r="G4301" s="43">
        <f>IF(INDEX(DarlBindung,9)="",1,IF($E4301&lt;=INDEX(DarlBindung,9),1,0))</f>
      </c>
      <c r="H4301" s="43">
        <f>IF($G4301=1,INDEX(DarlSollzins,9),INDEX(DarlAnschluss,9))</f>
      </c>
      <c r="I4301" s="43">
        <f>IF(INDEX(DarlBelegt,9)=0,0,IF(INDEX(DarlOhneTilgung,9)=1,IF(INDEX(DarlBindung,9)="",1,$G4301),IF($J4301&gt;0.005,1,0)))</f>
      </c>
      <c r="J4301" s="43">
        <f>IF($I4300=0,0,$R4300)</f>
      </c>
      <c r="K4301" s="43">
        <f>IF($I4301=0,0,IF(INDEX(DarlOhneTilgung,9)=1,0,IF(AND(INDEX(DarlTilgStart,9)&gt;0,$E4301=INDEX(DarlTilgStart,9)),$J4301*($H4301+INDEX(DarlTilgung,9))/100/12,IF(AND($G4301=0,$G4300=1),MAX($K4300,$J4301*($H4301+1)/100/12),$K4300))))</f>
      </c>
      <c r="L4301" s="43">
        <f>IF($I4301=0,0,$J4301*$H4301/100/12)</f>
      </c>
      <c r="M4301" s="43">
        <f>IF($I4301=0,0,IF(OR(INDEX(DarlOhneTilgung,9)=1,AND(INDEX(DarlTilgStart,9)&gt;0,$E4301&lt;INDEX(DarlTilgStart,9))),0,MIN(MAX(0,$K4301-$L4301),$J4301)))</f>
      </c>
      <c r="N4301" s="43">
        <f>IF($I4301=0,0,MIN(SUMIFS(SondBetrag,SondDarl,9,SondDatum,"&gt;="&amp;$E4301,SondDatum,"&lt;="&amp;EOMONTH($E4301,0)),$J4301-$M4301))</f>
      </c>
      <c r="O4301" s="43">
        <f>IF($I4301=0,0,INDEX(DarlErsatzRate,9))</f>
      </c>
      <c r="P4301" s="43">
        <f>IF($I4301=0,0,$Q4300*INDEX(DarlErsatzZins,9))</f>
      </c>
      <c r="Q4301" s="43">
        <f>IF($I4301=0,0,$Q4300+$P4301+$O4301)</f>
      </c>
      <c r="R4301" s="43">
        <f>IF($I4301=0,0,$J4301-$M4301-$N4301)</f>
      </c>
    </row>
    <row r="4302">
      <c r="A4302"/>
      <c r="B4302">
        <v>9</v>
      </c>
      <c r="C4302" s="43">
        <f>INDEX(DarlObj,9)</f>
      </c>
      <c r="D4302">
        <v>459</v>
      </c>
      <c r="E4302" s="51">
        <f>IF(INDEX(DarlBelegt,9)=0,0,EOMONTH(INDEX(DarlAuszahlung,9),458)+1)</f>
      </c>
      <c r="F4302" s="43">
        <f>IF($E4302=0,0,YEAR($E4302))</f>
      </c>
      <c r="G4302" s="43">
        <f>IF(INDEX(DarlBindung,9)="",1,IF($E4302&lt;=INDEX(DarlBindung,9),1,0))</f>
      </c>
      <c r="H4302" s="43">
        <f>IF($G4302=1,INDEX(DarlSollzins,9),INDEX(DarlAnschluss,9))</f>
      </c>
      <c r="I4302" s="43">
        <f>IF(INDEX(DarlBelegt,9)=0,0,IF(INDEX(DarlOhneTilgung,9)=1,IF(INDEX(DarlBindung,9)="",1,$G4302),IF($J4302&gt;0.005,1,0)))</f>
      </c>
      <c r="J4302" s="43">
        <f>IF($I4301=0,0,$R4301)</f>
      </c>
      <c r="K4302" s="43">
        <f>IF($I4302=0,0,IF(INDEX(DarlOhneTilgung,9)=1,0,IF(AND(INDEX(DarlTilgStart,9)&gt;0,$E4302=INDEX(DarlTilgStart,9)),$J4302*($H4302+INDEX(DarlTilgung,9))/100/12,IF(AND($G4302=0,$G4301=1),MAX($K4301,$J4302*($H4302+1)/100/12),$K4301))))</f>
      </c>
      <c r="L4302" s="43">
        <f>IF($I4302=0,0,$J4302*$H4302/100/12)</f>
      </c>
      <c r="M4302" s="43">
        <f>IF($I4302=0,0,IF(OR(INDEX(DarlOhneTilgung,9)=1,AND(INDEX(DarlTilgStart,9)&gt;0,$E4302&lt;INDEX(DarlTilgStart,9))),0,MIN(MAX(0,$K4302-$L4302),$J4302)))</f>
      </c>
      <c r="N4302" s="43">
        <f>IF($I4302=0,0,MIN(SUMIFS(SondBetrag,SondDarl,9,SondDatum,"&gt;="&amp;$E4302,SondDatum,"&lt;="&amp;EOMONTH($E4302,0)),$J4302-$M4302))</f>
      </c>
      <c r="O4302" s="43">
        <f>IF($I4302=0,0,INDEX(DarlErsatzRate,9))</f>
      </c>
      <c r="P4302" s="43">
        <f>IF($I4302=0,0,$Q4301*INDEX(DarlErsatzZins,9))</f>
      </c>
      <c r="Q4302" s="43">
        <f>IF($I4302=0,0,$Q4301+$P4302+$O4302)</f>
      </c>
      <c r="R4302" s="43">
        <f>IF($I4302=0,0,$J4302-$M4302-$N4302)</f>
      </c>
    </row>
    <row r="4303">
      <c r="A4303"/>
      <c r="B4303">
        <v>9</v>
      </c>
      <c r="C4303" s="43">
        <f>INDEX(DarlObj,9)</f>
      </c>
      <c r="D4303">
        <v>460</v>
      </c>
      <c r="E4303" s="51">
        <f>IF(INDEX(DarlBelegt,9)=0,0,EOMONTH(INDEX(DarlAuszahlung,9),459)+1)</f>
      </c>
      <c r="F4303" s="43">
        <f>IF($E4303=0,0,YEAR($E4303))</f>
      </c>
      <c r="G4303" s="43">
        <f>IF(INDEX(DarlBindung,9)="",1,IF($E4303&lt;=INDEX(DarlBindung,9),1,0))</f>
      </c>
      <c r="H4303" s="43">
        <f>IF($G4303=1,INDEX(DarlSollzins,9),INDEX(DarlAnschluss,9))</f>
      </c>
      <c r="I4303" s="43">
        <f>IF(INDEX(DarlBelegt,9)=0,0,IF(INDEX(DarlOhneTilgung,9)=1,IF(INDEX(DarlBindung,9)="",1,$G4303),IF($J4303&gt;0.005,1,0)))</f>
      </c>
      <c r="J4303" s="43">
        <f>IF($I4302=0,0,$R4302)</f>
      </c>
      <c r="K4303" s="43">
        <f>IF($I4303=0,0,IF(INDEX(DarlOhneTilgung,9)=1,0,IF(AND(INDEX(DarlTilgStart,9)&gt;0,$E4303=INDEX(DarlTilgStart,9)),$J4303*($H4303+INDEX(DarlTilgung,9))/100/12,IF(AND($G4303=0,$G4302=1),MAX($K4302,$J4303*($H4303+1)/100/12),$K4302))))</f>
      </c>
      <c r="L4303" s="43">
        <f>IF($I4303=0,0,$J4303*$H4303/100/12)</f>
      </c>
      <c r="M4303" s="43">
        <f>IF($I4303=0,0,IF(OR(INDEX(DarlOhneTilgung,9)=1,AND(INDEX(DarlTilgStart,9)&gt;0,$E4303&lt;INDEX(DarlTilgStart,9))),0,MIN(MAX(0,$K4303-$L4303),$J4303)))</f>
      </c>
      <c r="N4303" s="43">
        <f>IF($I4303=0,0,MIN(SUMIFS(SondBetrag,SondDarl,9,SondDatum,"&gt;="&amp;$E4303,SondDatum,"&lt;="&amp;EOMONTH($E4303,0)),$J4303-$M4303))</f>
      </c>
      <c r="O4303" s="43">
        <f>IF($I4303=0,0,INDEX(DarlErsatzRate,9))</f>
      </c>
      <c r="P4303" s="43">
        <f>IF($I4303=0,0,$Q4302*INDEX(DarlErsatzZins,9))</f>
      </c>
      <c r="Q4303" s="43">
        <f>IF($I4303=0,0,$Q4302+$P4303+$O4303)</f>
      </c>
      <c r="R4303" s="43">
        <f>IF($I4303=0,0,$J4303-$M4303-$N4303)</f>
      </c>
    </row>
    <row r="4304">
      <c r="A4304"/>
      <c r="B4304">
        <v>9</v>
      </c>
      <c r="C4304" s="43">
        <f>INDEX(DarlObj,9)</f>
      </c>
      <c r="D4304">
        <v>461</v>
      </c>
      <c r="E4304" s="51">
        <f>IF(INDEX(DarlBelegt,9)=0,0,EOMONTH(INDEX(DarlAuszahlung,9),460)+1)</f>
      </c>
      <c r="F4304" s="43">
        <f>IF($E4304=0,0,YEAR($E4304))</f>
      </c>
      <c r="G4304" s="43">
        <f>IF(INDEX(DarlBindung,9)="",1,IF($E4304&lt;=INDEX(DarlBindung,9),1,0))</f>
      </c>
      <c r="H4304" s="43">
        <f>IF($G4304=1,INDEX(DarlSollzins,9),INDEX(DarlAnschluss,9))</f>
      </c>
      <c r="I4304" s="43">
        <f>IF(INDEX(DarlBelegt,9)=0,0,IF(INDEX(DarlOhneTilgung,9)=1,IF(INDEX(DarlBindung,9)="",1,$G4304),IF($J4304&gt;0.005,1,0)))</f>
      </c>
      <c r="J4304" s="43">
        <f>IF($I4303=0,0,$R4303)</f>
      </c>
      <c r="K4304" s="43">
        <f>IF($I4304=0,0,IF(INDEX(DarlOhneTilgung,9)=1,0,IF(AND(INDEX(DarlTilgStart,9)&gt;0,$E4304=INDEX(DarlTilgStart,9)),$J4304*($H4304+INDEX(DarlTilgung,9))/100/12,IF(AND($G4304=0,$G4303=1),MAX($K4303,$J4304*($H4304+1)/100/12),$K4303))))</f>
      </c>
      <c r="L4304" s="43">
        <f>IF($I4304=0,0,$J4304*$H4304/100/12)</f>
      </c>
      <c r="M4304" s="43">
        <f>IF($I4304=0,0,IF(OR(INDEX(DarlOhneTilgung,9)=1,AND(INDEX(DarlTilgStart,9)&gt;0,$E4304&lt;INDEX(DarlTilgStart,9))),0,MIN(MAX(0,$K4304-$L4304),$J4304)))</f>
      </c>
      <c r="N4304" s="43">
        <f>IF($I4304=0,0,MIN(SUMIFS(SondBetrag,SondDarl,9,SondDatum,"&gt;="&amp;$E4304,SondDatum,"&lt;="&amp;EOMONTH($E4304,0)),$J4304-$M4304))</f>
      </c>
      <c r="O4304" s="43">
        <f>IF($I4304=0,0,INDEX(DarlErsatzRate,9))</f>
      </c>
      <c r="P4304" s="43">
        <f>IF($I4304=0,0,$Q4303*INDEX(DarlErsatzZins,9))</f>
      </c>
      <c r="Q4304" s="43">
        <f>IF($I4304=0,0,$Q4303+$P4304+$O4304)</f>
      </c>
      <c r="R4304" s="43">
        <f>IF($I4304=0,0,$J4304-$M4304-$N4304)</f>
      </c>
    </row>
    <row r="4305">
      <c r="A4305"/>
      <c r="B4305">
        <v>9</v>
      </c>
      <c r="C4305" s="43">
        <f>INDEX(DarlObj,9)</f>
      </c>
      <c r="D4305">
        <v>462</v>
      </c>
      <c r="E4305" s="51">
        <f>IF(INDEX(DarlBelegt,9)=0,0,EOMONTH(INDEX(DarlAuszahlung,9),461)+1)</f>
      </c>
      <c r="F4305" s="43">
        <f>IF($E4305=0,0,YEAR($E4305))</f>
      </c>
      <c r="G4305" s="43">
        <f>IF(INDEX(DarlBindung,9)="",1,IF($E4305&lt;=INDEX(DarlBindung,9),1,0))</f>
      </c>
      <c r="H4305" s="43">
        <f>IF($G4305=1,INDEX(DarlSollzins,9),INDEX(DarlAnschluss,9))</f>
      </c>
      <c r="I4305" s="43">
        <f>IF(INDEX(DarlBelegt,9)=0,0,IF(INDEX(DarlOhneTilgung,9)=1,IF(INDEX(DarlBindung,9)="",1,$G4305),IF($J4305&gt;0.005,1,0)))</f>
      </c>
      <c r="J4305" s="43">
        <f>IF($I4304=0,0,$R4304)</f>
      </c>
      <c r="K4305" s="43">
        <f>IF($I4305=0,0,IF(INDEX(DarlOhneTilgung,9)=1,0,IF(AND(INDEX(DarlTilgStart,9)&gt;0,$E4305=INDEX(DarlTilgStart,9)),$J4305*($H4305+INDEX(DarlTilgung,9))/100/12,IF(AND($G4305=0,$G4304=1),MAX($K4304,$J4305*($H4305+1)/100/12),$K4304))))</f>
      </c>
      <c r="L4305" s="43">
        <f>IF($I4305=0,0,$J4305*$H4305/100/12)</f>
      </c>
      <c r="M4305" s="43">
        <f>IF($I4305=0,0,IF(OR(INDEX(DarlOhneTilgung,9)=1,AND(INDEX(DarlTilgStart,9)&gt;0,$E4305&lt;INDEX(DarlTilgStart,9))),0,MIN(MAX(0,$K4305-$L4305),$J4305)))</f>
      </c>
      <c r="N4305" s="43">
        <f>IF($I4305=0,0,MIN(SUMIFS(SondBetrag,SondDarl,9,SondDatum,"&gt;="&amp;$E4305,SondDatum,"&lt;="&amp;EOMONTH($E4305,0)),$J4305-$M4305))</f>
      </c>
      <c r="O4305" s="43">
        <f>IF($I4305=0,0,INDEX(DarlErsatzRate,9))</f>
      </c>
      <c r="P4305" s="43">
        <f>IF($I4305=0,0,$Q4304*INDEX(DarlErsatzZins,9))</f>
      </c>
      <c r="Q4305" s="43">
        <f>IF($I4305=0,0,$Q4304+$P4305+$O4305)</f>
      </c>
      <c r="R4305" s="43">
        <f>IF($I4305=0,0,$J4305-$M4305-$N4305)</f>
      </c>
    </row>
    <row r="4306">
      <c r="A4306"/>
      <c r="B4306">
        <v>9</v>
      </c>
      <c r="C4306" s="43">
        <f>INDEX(DarlObj,9)</f>
      </c>
      <c r="D4306">
        <v>463</v>
      </c>
      <c r="E4306" s="51">
        <f>IF(INDEX(DarlBelegt,9)=0,0,EOMONTH(INDEX(DarlAuszahlung,9),462)+1)</f>
      </c>
      <c r="F4306" s="43">
        <f>IF($E4306=0,0,YEAR($E4306))</f>
      </c>
      <c r="G4306" s="43">
        <f>IF(INDEX(DarlBindung,9)="",1,IF($E4306&lt;=INDEX(DarlBindung,9),1,0))</f>
      </c>
      <c r="H4306" s="43">
        <f>IF($G4306=1,INDEX(DarlSollzins,9),INDEX(DarlAnschluss,9))</f>
      </c>
      <c r="I4306" s="43">
        <f>IF(INDEX(DarlBelegt,9)=0,0,IF(INDEX(DarlOhneTilgung,9)=1,IF(INDEX(DarlBindung,9)="",1,$G4306),IF($J4306&gt;0.005,1,0)))</f>
      </c>
      <c r="J4306" s="43">
        <f>IF($I4305=0,0,$R4305)</f>
      </c>
      <c r="K4306" s="43">
        <f>IF($I4306=0,0,IF(INDEX(DarlOhneTilgung,9)=1,0,IF(AND(INDEX(DarlTilgStart,9)&gt;0,$E4306=INDEX(DarlTilgStart,9)),$J4306*($H4306+INDEX(DarlTilgung,9))/100/12,IF(AND($G4306=0,$G4305=1),MAX($K4305,$J4306*($H4306+1)/100/12),$K4305))))</f>
      </c>
      <c r="L4306" s="43">
        <f>IF($I4306=0,0,$J4306*$H4306/100/12)</f>
      </c>
      <c r="M4306" s="43">
        <f>IF($I4306=0,0,IF(OR(INDEX(DarlOhneTilgung,9)=1,AND(INDEX(DarlTilgStart,9)&gt;0,$E4306&lt;INDEX(DarlTilgStart,9))),0,MIN(MAX(0,$K4306-$L4306),$J4306)))</f>
      </c>
      <c r="N4306" s="43">
        <f>IF($I4306=0,0,MIN(SUMIFS(SondBetrag,SondDarl,9,SondDatum,"&gt;="&amp;$E4306,SondDatum,"&lt;="&amp;EOMONTH($E4306,0)),$J4306-$M4306))</f>
      </c>
      <c r="O4306" s="43">
        <f>IF($I4306=0,0,INDEX(DarlErsatzRate,9))</f>
      </c>
      <c r="P4306" s="43">
        <f>IF($I4306=0,0,$Q4305*INDEX(DarlErsatzZins,9))</f>
      </c>
      <c r="Q4306" s="43">
        <f>IF($I4306=0,0,$Q4305+$P4306+$O4306)</f>
      </c>
      <c r="R4306" s="43">
        <f>IF($I4306=0,0,$J4306-$M4306-$N4306)</f>
      </c>
    </row>
    <row r="4307">
      <c r="A4307"/>
      <c r="B4307">
        <v>9</v>
      </c>
      <c r="C4307" s="43">
        <f>INDEX(DarlObj,9)</f>
      </c>
      <c r="D4307">
        <v>464</v>
      </c>
      <c r="E4307" s="51">
        <f>IF(INDEX(DarlBelegt,9)=0,0,EOMONTH(INDEX(DarlAuszahlung,9),463)+1)</f>
      </c>
      <c r="F4307" s="43">
        <f>IF($E4307=0,0,YEAR($E4307))</f>
      </c>
      <c r="G4307" s="43">
        <f>IF(INDEX(DarlBindung,9)="",1,IF($E4307&lt;=INDEX(DarlBindung,9),1,0))</f>
      </c>
      <c r="H4307" s="43">
        <f>IF($G4307=1,INDEX(DarlSollzins,9),INDEX(DarlAnschluss,9))</f>
      </c>
      <c r="I4307" s="43">
        <f>IF(INDEX(DarlBelegt,9)=0,0,IF(INDEX(DarlOhneTilgung,9)=1,IF(INDEX(DarlBindung,9)="",1,$G4307),IF($J4307&gt;0.005,1,0)))</f>
      </c>
      <c r="J4307" s="43">
        <f>IF($I4306=0,0,$R4306)</f>
      </c>
      <c r="K4307" s="43">
        <f>IF($I4307=0,0,IF(INDEX(DarlOhneTilgung,9)=1,0,IF(AND(INDEX(DarlTilgStart,9)&gt;0,$E4307=INDEX(DarlTilgStart,9)),$J4307*($H4307+INDEX(DarlTilgung,9))/100/12,IF(AND($G4307=0,$G4306=1),MAX($K4306,$J4307*($H4307+1)/100/12),$K4306))))</f>
      </c>
      <c r="L4307" s="43">
        <f>IF($I4307=0,0,$J4307*$H4307/100/12)</f>
      </c>
      <c r="M4307" s="43">
        <f>IF($I4307=0,0,IF(OR(INDEX(DarlOhneTilgung,9)=1,AND(INDEX(DarlTilgStart,9)&gt;0,$E4307&lt;INDEX(DarlTilgStart,9))),0,MIN(MAX(0,$K4307-$L4307),$J4307)))</f>
      </c>
      <c r="N4307" s="43">
        <f>IF($I4307=0,0,MIN(SUMIFS(SondBetrag,SondDarl,9,SondDatum,"&gt;="&amp;$E4307,SondDatum,"&lt;="&amp;EOMONTH($E4307,0)),$J4307-$M4307))</f>
      </c>
      <c r="O4307" s="43">
        <f>IF($I4307=0,0,INDEX(DarlErsatzRate,9))</f>
      </c>
      <c r="P4307" s="43">
        <f>IF($I4307=0,0,$Q4306*INDEX(DarlErsatzZins,9))</f>
      </c>
      <c r="Q4307" s="43">
        <f>IF($I4307=0,0,$Q4306+$P4307+$O4307)</f>
      </c>
      <c r="R4307" s="43">
        <f>IF($I4307=0,0,$J4307-$M4307-$N4307)</f>
      </c>
    </row>
    <row r="4308">
      <c r="A4308"/>
      <c r="B4308">
        <v>9</v>
      </c>
      <c r="C4308" s="43">
        <f>INDEX(DarlObj,9)</f>
      </c>
      <c r="D4308">
        <v>465</v>
      </c>
      <c r="E4308" s="51">
        <f>IF(INDEX(DarlBelegt,9)=0,0,EOMONTH(INDEX(DarlAuszahlung,9),464)+1)</f>
      </c>
      <c r="F4308" s="43">
        <f>IF($E4308=0,0,YEAR($E4308))</f>
      </c>
      <c r="G4308" s="43">
        <f>IF(INDEX(DarlBindung,9)="",1,IF($E4308&lt;=INDEX(DarlBindung,9),1,0))</f>
      </c>
      <c r="H4308" s="43">
        <f>IF($G4308=1,INDEX(DarlSollzins,9),INDEX(DarlAnschluss,9))</f>
      </c>
      <c r="I4308" s="43">
        <f>IF(INDEX(DarlBelegt,9)=0,0,IF(INDEX(DarlOhneTilgung,9)=1,IF(INDEX(DarlBindung,9)="",1,$G4308),IF($J4308&gt;0.005,1,0)))</f>
      </c>
      <c r="J4308" s="43">
        <f>IF($I4307=0,0,$R4307)</f>
      </c>
      <c r="K4308" s="43">
        <f>IF($I4308=0,0,IF(INDEX(DarlOhneTilgung,9)=1,0,IF(AND(INDEX(DarlTilgStart,9)&gt;0,$E4308=INDEX(DarlTilgStart,9)),$J4308*($H4308+INDEX(DarlTilgung,9))/100/12,IF(AND($G4308=0,$G4307=1),MAX($K4307,$J4308*($H4308+1)/100/12),$K4307))))</f>
      </c>
      <c r="L4308" s="43">
        <f>IF($I4308=0,0,$J4308*$H4308/100/12)</f>
      </c>
      <c r="M4308" s="43">
        <f>IF($I4308=0,0,IF(OR(INDEX(DarlOhneTilgung,9)=1,AND(INDEX(DarlTilgStart,9)&gt;0,$E4308&lt;INDEX(DarlTilgStart,9))),0,MIN(MAX(0,$K4308-$L4308),$J4308)))</f>
      </c>
      <c r="N4308" s="43">
        <f>IF($I4308=0,0,MIN(SUMIFS(SondBetrag,SondDarl,9,SondDatum,"&gt;="&amp;$E4308,SondDatum,"&lt;="&amp;EOMONTH($E4308,0)),$J4308-$M4308))</f>
      </c>
      <c r="O4308" s="43">
        <f>IF($I4308=0,0,INDEX(DarlErsatzRate,9))</f>
      </c>
      <c r="P4308" s="43">
        <f>IF($I4308=0,0,$Q4307*INDEX(DarlErsatzZins,9))</f>
      </c>
      <c r="Q4308" s="43">
        <f>IF($I4308=0,0,$Q4307+$P4308+$O4308)</f>
      </c>
      <c r="R4308" s="43">
        <f>IF($I4308=0,0,$J4308-$M4308-$N4308)</f>
      </c>
    </row>
    <row r="4309">
      <c r="A4309"/>
      <c r="B4309">
        <v>9</v>
      </c>
      <c r="C4309" s="43">
        <f>INDEX(DarlObj,9)</f>
      </c>
      <c r="D4309">
        <v>466</v>
      </c>
      <c r="E4309" s="51">
        <f>IF(INDEX(DarlBelegt,9)=0,0,EOMONTH(INDEX(DarlAuszahlung,9),465)+1)</f>
      </c>
      <c r="F4309" s="43">
        <f>IF($E4309=0,0,YEAR($E4309))</f>
      </c>
      <c r="G4309" s="43">
        <f>IF(INDEX(DarlBindung,9)="",1,IF($E4309&lt;=INDEX(DarlBindung,9),1,0))</f>
      </c>
      <c r="H4309" s="43">
        <f>IF($G4309=1,INDEX(DarlSollzins,9),INDEX(DarlAnschluss,9))</f>
      </c>
      <c r="I4309" s="43">
        <f>IF(INDEX(DarlBelegt,9)=0,0,IF(INDEX(DarlOhneTilgung,9)=1,IF(INDEX(DarlBindung,9)="",1,$G4309),IF($J4309&gt;0.005,1,0)))</f>
      </c>
      <c r="J4309" s="43">
        <f>IF($I4308=0,0,$R4308)</f>
      </c>
      <c r="K4309" s="43">
        <f>IF($I4309=0,0,IF(INDEX(DarlOhneTilgung,9)=1,0,IF(AND(INDEX(DarlTilgStart,9)&gt;0,$E4309=INDEX(DarlTilgStart,9)),$J4309*($H4309+INDEX(DarlTilgung,9))/100/12,IF(AND($G4309=0,$G4308=1),MAX($K4308,$J4309*($H4309+1)/100/12),$K4308))))</f>
      </c>
      <c r="L4309" s="43">
        <f>IF($I4309=0,0,$J4309*$H4309/100/12)</f>
      </c>
      <c r="M4309" s="43">
        <f>IF($I4309=0,0,IF(OR(INDEX(DarlOhneTilgung,9)=1,AND(INDEX(DarlTilgStart,9)&gt;0,$E4309&lt;INDEX(DarlTilgStart,9))),0,MIN(MAX(0,$K4309-$L4309),$J4309)))</f>
      </c>
      <c r="N4309" s="43">
        <f>IF($I4309=0,0,MIN(SUMIFS(SondBetrag,SondDarl,9,SondDatum,"&gt;="&amp;$E4309,SondDatum,"&lt;="&amp;EOMONTH($E4309,0)),$J4309-$M4309))</f>
      </c>
      <c r="O4309" s="43">
        <f>IF($I4309=0,0,INDEX(DarlErsatzRate,9))</f>
      </c>
      <c r="P4309" s="43">
        <f>IF($I4309=0,0,$Q4308*INDEX(DarlErsatzZins,9))</f>
      </c>
      <c r="Q4309" s="43">
        <f>IF($I4309=0,0,$Q4308+$P4309+$O4309)</f>
      </c>
      <c r="R4309" s="43">
        <f>IF($I4309=0,0,$J4309-$M4309-$N4309)</f>
      </c>
    </row>
    <row r="4310">
      <c r="A4310"/>
      <c r="B4310">
        <v>9</v>
      </c>
      <c r="C4310" s="43">
        <f>INDEX(DarlObj,9)</f>
      </c>
      <c r="D4310">
        <v>467</v>
      </c>
      <c r="E4310" s="51">
        <f>IF(INDEX(DarlBelegt,9)=0,0,EOMONTH(INDEX(DarlAuszahlung,9),466)+1)</f>
      </c>
      <c r="F4310" s="43">
        <f>IF($E4310=0,0,YEAR($E4310))</f>
      </c>
      <c r="G4310" s="43">
        <f>IF(INDEX(DarlBindung,9)="",1,IF($E4310&lt;=INDEX(DarlBindung,9),1,0))</f>
      </c>
      <c r="H4310" s="43">
        <f>IF($G4310=1,INDEX(DarlSollzins,9),INDEX(DarlAnschluss,9))</f>
      </c>
      <c r="I4310" s="43">
        <f>IF(INDEX(DarlBelegt,9)=0,0,IF(INDEX(DarlOhneTilgung,9)=1,IF(INDEX(DarlBindung,9)="",1,$G4310),IF($J4310&gt;0.005,1,0)))</f>
      </c>
      <c r="J4310" s="43">
        <f>IF($I4309=0,0,$R4309)</f>
      </c>
      <c r="K4310" s="43">
        <f>IF($I4310=0,0,IF(INDEX(DarlOhneTilgung,9)=1,0,IF(AND(INDEX(DarlTilgStart,9)&gt;0,$E4310=INDEX(DarlTilgStart,9)),$J4310*($H4310+INDEX(DarlTilgung,9))/100/12,IF(AND($G4310=0,$G4309=1),MAX($K4309,$J4310*($H4310+1)/100/12),$K4309))))</f>
      </c>
      <c r="L4310" s="43">
        <f>IF($I4310=0,0,$J4310*$H4310/100/12)</f>
      </c>
      <c r="M4310" s="43">
        <f>IF($I4310=0,0,IF(OR(INDEX(DarlOhneTilgung,9)=1,AND(INDEX(DarlTilgStart,9)&gt;0,$E4310&lt;INDEX(DarlTilgStart,9))),0,MIN(MAX(0,$K4310-$L4310),$J4310)))</f>
      </c>
      <c r="N4310" s="43">
        <f>IF($I4310=0,0,MIN(SUMIFS(SondBetrag,SondDarl,9,SondDatum,"&gt;="&amp;$E4310,SondDatum,"&lt;="&amp;EOMONTH($E4310,0)),$J4310-$M4310))</f>
      </c>
      <c r="O4310" s="43">
        <f>IF($I4310=0,0,INDEX(DarlErsatzRate,9))</f>
      </c>
      <c r="P4310" s="43">
        <f>IF($I4310=0,0,$Q4309*INDEX(DarlErsatzZins,9))</f>
      </c>
      <c r="Q4310" s="43">
        <f>IF($I4310=0,0,$Q4309+$P4310+$O4310)</f>
      </c>
      <c r="R4310" s="43">
        <f>IF($I4310=0,0,$J4310-$M4310-$N4310)</f>
      </c>
    </row>
    <row r="4311">
      <c r="A4311"/>
      <c r="B4311">
        <v>9</v>
      </c>
      <c r="C4311" s="43">
        <f>INDEX(DarlObj,9)</f>
      </c>
      <c r="D4311">
        <v>468</v>
      </c>
      <c r="E4311" s="51">
        <f>IF(INDEX(DarlBelegt,9)=0,0,EOMONTH(INDEX(DarlAuszahlung,9),467)+1)</f>
      </c>
      <c r="F4311" s="43">
        <f>IF($E4311=0,0,YEAR($E4311))</f>
      </c>
      <c r="G4311" s="43">
        <f>IF(INDEX(DarlBindung,9)="",1,IF($E4311&lt;=INDEX(DarlBindung,9),1,0))</f>
      </c>
      <c r="H4311" s="43">
        <f>IF($G4311=1,INDEX(DarlSollzins,9),INDEX(DarlAnschluss,9))</f>
      </c>
      <c r="I4311" s="43">
        <f>IF(INDEX(DarlBelegt,9)=0,0,IF(INDEX(DarlOhneTilgung,9)=1,IF(INDEX(DarlBindung,9)="",1,$G4311),IF($J4311&gt;0.005,1,0)))</f>
      </c>
      <c r="J4311" s="43">
        <f>IF($I4310=0,0,$R4310)</f>
      </c>
      <c r="K4311" s="43">
        <f>IF($I4311=0,0,IF(INDEX(DarlOhneTilgung,9)=1,0,IF(AND(INDEX(DarlTilgStart,9)&gt;0,$E4311=INDEX(DarlTilgStart,9)),$J4311*($H4311+INDEX(DarlTilgung,9))/100/12,IF(AND($G4311=0,$G4310=1),MAX($K4310,$J4311*($H4311+1)/100/12),$K4310))))</f>
      </c>
      <c r="L4311" s="43">
        <f>IF($I4311=0,0,$J4311*$H4311/100/12)</f>
      </c>
      <c r="M4311" s="43">
        <f>IF($I4311=0,0,IF(OR(INDEX(DarlOhneTilgung,9)=1,AND(INDEX(DarlTilgStart,9)&gt;0,$E4311&lt;INDEX(DarlTilgStart,9))),0,MIN(MAX(0,$K4311-$L4311),$J4311)))</f>
      </c>
      <c r="N4311" s="43">
        <f>IF($I4311=0,0,MIN(SUMIFS(SondBetrag,SondDarl,9,SondDatum,"&gt;="&amp;$E4311,SondDatum,"&lt;="&amp;EOMONTH($E4311,0)),$J4311-$M4311))</f>
      </c>
      <c r="O4311" s="43">
        <f>IF($I4311=0,0,INDEX(DarlErsatzRate,9))</f>
      </c>
      <c r="P4311" s="43">
        <f>IF($I4311=0,0,$Q4310*INDEX(DarlErsatzZins,9))</f>
      </c>
      <c r="Q4311" s="43">
        <f>IF($I4311=0,0,$Q4310+$P4311+$O4311)</f>
      </c>
      <c r="R4311" s="43">
        <f>IF($I4311=0,0,$J4311-$M4311-$N4311)</f>
      </c>
    </row>
    <row r="4312">
      <c r="A4312"/>
      <c r="B4312">
        <v>9</v>
      </c>
      <c r="C4312" s="43">
        <f>INDEX(DarlObj,9)</f>
      </c>
      <c r="D4312">
        <v>469</v>
      </c>
      <c r="E4312" s="51">
        <f>IF(INDEX(DarlBelegt,9)=0,0,EOMONTH(INDEX(DarlAuszahlung,9),468)+1)</f>
      </c>
      <c r="F4312" s="43">
        <f>IF($E4312=0,0,YEAR($E4312))</f>
      </c>
      <c r="G4312" s="43">
        <f>IF(INDEX(DarlBindung,9)="",1,IF($E4312&lt;=INDEX(DarlBindung,9),1,0))</f>
      </c>
      <c r="H4312" s="43">
        <f>IF($G4312=1,INDEX(DarlSollzins,9),INDEX(DarlAnschluss,9))</f>
      </c>
      <c r="I4312" s="43">
        <f>IF(INDEX(DarlBelegt,9)=0,0,IF(INDEX(DarlOhneTilgung,9)=1,IF(INDEX(DarlBindung,9)="",1,$G4312),IF($J4312&gt;0.005,1,0)))</f>
      </c>
      <c r="J4312" s="43">
        <f>IF($I4311=0,0,$R4311)</f>
      </c>
      <c r="K4312" s="43">
        <f>IF($I4312=0,0,IF(INDEX(DarlOhneTilgung,9)=1,0,IF(AND(INDEX(DarlTilgStart,9)&gt;0,$E4312=INDEX(DarlTilgStart,9)),$J4312*($H4312+INDEX(DarlTilgung,9))/100/12,IF(AND($G4312=0,$G4311=1),MAX($K4311,$J4312*($H4312+1)/100/12),$K4311))))</f>
      </c>
      <c r="L4312" s="43">
        <f>IF($I4312=0,0,$J4312*$H4312/100/12)</f>
      </c>
      <c r="M4312" s="43">
        <f>IF($I4312=0,0,IF(OR(INDEX(DarlOhneTilgung,9)=1,AND(INDEX(DarlTilgStart,9)&gt;0,$E4312&lt;INDEX(DarlTilgStart,9))),0,MIN(MAX(0,$K4312-$L4312),$J4312)))</f>
      </c>
      <c r="N4312" s="43">
        <f>IF($I4312=0,0,MIN(SUMIFS(SondBetrag,SondDarl,9,SondDatum,"&gt;="&amp;$E4312,SondDatum,"&lt;="&amp;EOMONTH($E4312,0)),$J4312-$M4312))</f>
      </c>
      <c r="O4312" s="43">
        <f>IF($I4312=0,0,INDEX(DarlErsatzRate,9))</f>
      </c>
      <c r="P4312" s="43">
        <f>IF($I4312=0,0,$Q4311*INDEX(DarlErsatzZins,9))</f>
      </c>
      <c r="Q4312" s="43">
        <f>IF($I4312=0,0,$Q4311+$P4312+$O4312)</f>
      </c>
      <c r="R4312" s="43">
        <f>IF($I4312=0,0,$J4312-$M4312-$N4312)</f>
      </c>
    </row>
    <row r="4313">
      <c r="A4313"/>
      <c r="B4313">
        <v>9</v>
      </c>
      <c r="C4313" s="43">
        <f>INDEX(DarlObj,9)</f>
      </c>
      <c r="D4313">
        <v>470</v>
      </c>
      <c r="E4313" s="51">
        <f>IF(INDEX(DarlBelegt,9)=0,0,EOMONTH(INDEX(DarlAuszahlung,9),469)+1)</f>
      </c>
      <c r="F4313" s="43">
        <f>IF($E4313=0,0,YEAR($E4313))</f>
      </c>
      <c r="G4313" s="43">
        <f>IF(INDEX(DarlBindung,9)="",1,IF($E4313&lt;=INDEX(DarlBindung,9),1,0))</f>
      </c>
      <c r="H4313" s="43">
        <f>IF($G4313=1,INDEX(DarlSollzins,9),INDEX(DarlAnschluss,9))</f>
      </c>
      <c r="I4313" s="43">
        <f>IF(INDEX(DarlBelegt,9)=0,0,IF(INDEX(DarlOhneTilgung,9)=1,IF(INDEX(DarlBindung,9)="",1,$G4313),IF($J4313&gt;0.005,1,0)))</f>
      </c>
      <c r="J4313" s="43">
        <f>IF($I4312=0,0,$R4312)</f>
      </c>
      <c r="K4313" s="43">
        <f>IF($I4313=0,0,IF(INDEX(DarlOhneTilgung,9)=1,0,IF(AND(INDEX(DarlTilgStart,9)&gt;0,$E4313=INDEX(DarlTilgStart,9)),$J4313*($H4313+INDEX(DarlTilgung,9))/100/12,IF(AND($G4313=0,$G4312=1),MAX($K4312,$J4313*($H4313+1)/100/12),$K4312))))</f>
      </c>
      <c r="L4313" s="43">
        <f>IF($I4313=0,0,$J4313*$H4313/100/12)</f>
      </c>
      <c r="M4313" s="43">
        <f>IF($I4313=0,0,IF(OR(INDEX(DarlOhneTilgung,9)=1,AND(INDEX(DarlTilgStart,9)&gt;0,$E4313&lt;INDEX(DarlTilgStart,9))),0,MIN(MAX(0,$K4313-$L4313),$J4313)))</f>
      </c>
      <c r="N4313" s="43">
        <f>IF($I4313=0,0,MIN(SUMIFS(SondBetrag,SondDarl,9,SondDatum,"&gt;="&amp;$E4313,SondDatum,"&lt;="&amp;EOMONTH($E4313,0)),$J4313-$M4313))</f>
      </c>
      <c r="O4313" s="43">
        <f>IF($I4313=0,0,INDEX(DarlErsatzRate,9))</f>
      </c>
      <c r="P4313" s="43">
        <f>IF($I4313=0,0,$Q4312*INDEX(DarlErsatzZins,9))</f>
      </c>
      <c r="Q4313" s="43">
        <f>IF($I4313=0,0,$Q4312+$P4313+$O4313)</f>
      </c>
      <c r="R4313" s="43">
        <f>IF($I4313=0,0,$J4313-$M4313-$N4313)</f>
      </c>
    </row>
    <row r="4314">
      <c r="A4314"/>
      <c r="B4314">
        <v>9</v>
      </c>
      <c r="C4314" s="43">
        <f>INDEX(DarlObj,9)</f>
      </c>
      <c r="D4314">
        <v>471</v>
      </c>
      <c r="E4314" s="51">
        <f>IF(INDEX(DarlBelegt,9)=0,0,EOMONTH(INDEX(DarlAuszahlung,9),470)+1)</f>
      </c>
      <c r="F4314" s="43">
        <f>IF($E4314=0,0,YEAR($E4314))</f>
      </c>
      <c r="G4314" s="43">
        <f>IF(INDEX(DarlBindung,9)="",1,IF($E4314&lt;=INDEX(DarlBindung,9),1,0))</f>
      </c>
      <c r="H4314" s="43">
        <f>IF($G4314=1,INDEX(DarlSollzins,9),INDEX(DarlAnschluss,9))</f>
      </c>
      <c r="I4314" s="43">
        <f>IF(INDEX(DarlBelegt,9)=0,0,IF(INDEX(DarlOhneTilgung,9)=1,IF(INDEX(DarlBindung,9)="",1,$G4314),IF($J4314&gt;0.005,1,0)))</f>
      </c>
      <c r="J4314" s="43">
        <f>IF($I4313=0,0,$R4313)</f>
      </c>
      <c r="K4314" s="43">
        <f>IF($I4314=0,0,IF(INDEX(DarlOhneTilgung,9)=1,0,IF(AND(INDEX(DarlTilgStart,9)&gt;0,$E4314=INDEX(DarlTilgStart,9)),$J4314*($H4314+INDEX(DarlTilgung,9))/100/12,IF(AND($G4314=0,$G4313=1),MAX($K4313,$J4314*($H4314+1)/100/12),$K4313))))</f>
      </c>
      <c r="L4314" s="43">
        <f>IF($I4314=0,0,$J4314*$H4314/100/12)</f>
      </c>
      <c r="M4314" s="43">
        <f>IF($I4314=0,0,IF(OR(INDEX(DarlOhneTilgung,9)=1,AND(INDEX(DarlTilgStart,9)&gt;0,$E4314&lt;INDEX(DarlTilgStart,9))),0,MIN(MAX(0,$K4314-$L4314),$J4314)))</f>
      </c>
      <c r="N4314" s="43">
        <f>IF($I4314=0,0,MIN(SUMIFS(SondBetrag,SondDarl,9,SondDatum,"&gt;="&amp;$E4314,SondDatum,"&lt;="&amp;EOMONTH($E4314,0)),$J4314-$M4314))</f>
      </c>
      <c r="O4314" s="43">
        <f>IF($I4314=0,0,INDEX(DarlErsatzRate,9))</f>
      </c>
      <c r="P4314" s="43">
        <f>IF($I4314=0,0,$Q4313*INDEX(DarlErsatzZins,9))</f>
      </c>
      <c r="Q4314" s="43">
        <f>IF($I4314=0,0,$Q4313+$P4314+$O4314)</f>
      </c>
      <c r="R4314" s="43">
        <f>IF($I4314=0,0,$J4314-$M4314-$N4314)</f>
      </c>
    </row>
    <row r="4315">
      <c r="A4315"/>
      <c r="B4315">
        <v>9</v>
      </c>
      <c r="C4315" s="43">
        <f>INDEX(DarlObj,9)</f>
      </c>
      <c r="D4315">
        <v>472</v>
      </c>
      <c r="E4315" s="51">
        <f>IF(INDEX(DarlBelegt,9)=0,0,EOMONTH(INDEX(DarlAuszahlung,9),471)+1)</f>
      </c>
      <c r="F4315" s="43">
        <f>IF($E4315=0,0,YEAR($E4315))</f>
      </c>
      <c r="G4315" s="43">
        <f>IF(INDEX(DarlBindung,9)="",1,IF($E4315&lt;=INDEX(DarlBindung,9),1,0))</f>
      </c>
      <c r="H4315" s="43">
        <f>IF($G4315=1,INDEX(DarlSollzins,9),INDEX(DarlAnschluss,9))</f>
      </c>
      <c r="I4315" s="43">
        <f>IF(INDEX(DarlBelegt,9)=0,0,IF(INDEX(DarlOhneTilgung,9)=1,IF(INDEX(DarlBindung,9)="",1,$G4315),IF($J4315&gt;0.005,1,0)))</f>
      </c>
      <c r="J4315" s="43">
        <f>IF($I4314=0,0,$R4314)</f>
      </c>
      <c r="K4315" s="43">
        <f>IF($I4315=0,0,IF(INDEX(DarlOhneTilgung,9)=1,0,IF(AND(INDEX(DarlTilgStart,9)&gt;0,$E4315=INDEX(DarlTilgStart,9)),$J4315*($H4315+INDEX(DarlTilgung,9))/100/12,IF(AND($G4315=0,$G4314=1),MAX($K4314,$J4315*($H4315+1)/100/12),$K4314))))</f>
      </c>
      <c r="L4315" s="43">
        <f>IF($I4315=0,0,$J4315*$H4315/100/12)</f>
      </c>
      <c r="M4315" s="43">
        <f>IF($I4315=0,0,IF(OR(INDEX(DarlOhneTilgung,9)=1,AND(INDEX(DarlTilgStart,9)&gt;0,$E4315&lt;INDEX(DarlTilgStart,9))),0,MIN(MAX(0,$K4315-$L4315),$J4315)))</f>
      </c>
      <c r="N4315" s="43">
        <f>IF($I4315=0,0,MIN(SUMIFS(SondBetrag,SondDarl,9,SondDatum,"&gt;="&amp;$E4315,SondDatum,"&lt;="&amp;EOMONTH($E4315,0)),$J4315-$M4315))</f>
      </c>
      <c r="O4315" s="43">
        <f>IF($I4315=0,0,INDEX(DarlErsatzRate,9))</f>
      </c>
      <c r="P4315" s="43">
        <f>IF($I4315=0,0,$Q4314*INDEX(DarlErsatzZins,9))</f>
      </c>
      <c r="Q4315" s="43">
        <f>IF($I4315=0,0,$Q4314+$P4315+$O4315)</f>
      </c>
      <c r="R4315" s="43">
        <f>IF($I4315=0,0,$J4315-$M4315-$N4315)</f>
      </c>
    </row>
    <row r="4316">
      <c r="A4316"/>
      <c r="B4316">
        <v>9</v>
      </c>
      <c r="C4316" s="43">
        <f>INDEX(DarlObj,9)</f>
      </c>
      <c r="D4316">
        <v>473</v>
      </c>
      <c r="E4316" s="51">
        <f>IF(INDEX(DarlBelegt,9)=0,0,EOMONTH(INDEX(DarlAuszahlung,9),472)+1)</f>
      </c>
      <c r="F4316" s="43">
        <f>IF($E4316=0,0,YEAR($E4316))</f>
      </c>
      <c r="G4316" s="43">
        <f>IF(INDEX(DarlBindung,9)="",1,IF($E4316&lt;=INDEX(DarlBindung,9),1,0))</f>
      </c>
      <c r="H4316" s="43">
        <f>IF($G4316=1,INDEX(DarlSollzins,9),INDEX(DarlAnschluss,9))</f>
      </c>
      <c r="I4316" s="43">
        <f>IF(INDEX(DarlBelegt,9)=0,0,IF(INDEX(DarlOhneTilgung,9)=1,IF(INDEX(DarlBindung,9)="",1,$G4316),IF($J4316&gt;0.005,1,0)))</f>
      </c>
      <c r="J4316" s="43">
        <f>IF($I4315=0,0,$R4315)</f>
      </c>
      <c r="K4316" s="43">
        <f>IF($I4316=0,0,IF(INDEX(DarlOhneTilgung,9)=1,0,IF(AND(INDEX(DarlTilgStart,9)&gt;0,$E4316=INDEX(DarlTilgStart,9)),$J4316*($H4316+INDEX(DarlTilgung,9))/100/12,IF(AND($G4316=0,$G4315=1),MAX($K4315,$J4316*($H4316+1)/100/12),$K4315))))</f>
      </c>
      <c r="L4316" s="43">
        <f>IF($I4316=0,0,$J4316*$H4316/100/12)</f>
      </c>
      <c r="M4316" s="43">
        <f>IF($I4316=0,0,IF(OR(INDEX(DarlOhneTilgung,9)=1,AND(INDEX(DarlTilgStart,9)&gt;0,$E4316&lt;INDEX(DarlTilgStart,9))),0,MIN(MAX(0,$K4316-$L4316),$J4316)))</f>
      </c>
      <c r="N4316" s="43">
        <f>IF($I4316=0,0,MIN(SUMIFS(SondBetrag,SondDarl,9,SondDatum,"&gt;="&amp;$E4316,SondDatum,"&lt;="&amp;EOMONTH($E4316,0)),$J4316-$M4316))</f>
      </c>
      <c r="O4316" s="43">
        <f>IF($I4316=0,0,INDEX(DarlErsatzRate,9))</f>
      </c>
      <c r="P4316" s="43">
        <f>IF($I4316=0,0,$Q4315*INDEX(DarlErsatzZins,9))</f>
      </c>
      <c r="Q4316" s="43">
        <f>IF($I4316=0,0,$Q4315+$P4316+$O4316)</f>
      </c>
      <c r="R4316" s="43">
        <f>IF($I4316=0,0,$J4316-$M4316-$N4316)</f>
      </c>
    </row>
    <row r="4317">
      <c r="A4317"/>
      <c r="B4317">
        <v>9</v>
      </c>
      <c r="C4317" s="43">
        <f>INDEX(DarlObj,9)</f>
      </c>
      <c r="D4317">
        <v>474</v>
      </c>
      <c r="E4317" s="51">
        <f>IF(INDEX(DarlBelegt,9)=0,0,EOMONTH(INDEX(DarlAuszahlung,9),473)+1)</f>
      </c>
      <c r="F4317" s="43">
        <f>IF($E4317=0,0,YEAR($E4317))</f>
      </c>
      <c r="G4317" s="43">
        <f>IF(INDEX(DarlBindung,9)="",1,IF($E4317&lt;=INDEX(DarlBindung,9),1,0))</f>
      </c>
      <c r="H4317" s="43">
        <f>IF($G4317=1,INDEX(DarlSollzins,9),INDEX(DarlAnschluss,9))</f>
      </c>
      <c r="I4317" s="43">
        <f>IF(INDEX(DarlBelegt,9)=0,0,IF(INDEX(DarlOhneTilgung,9)=1,IF(INDEX(DarlBindung,9)="",1,$G4317),IF($J4317&gt;0.005,1,0)))</f>
      </c>
      <c r="J4317" s="43">
        <f>IF($I4316=0,0,$R4316)</f>
      </c>
      <c r="K4317" s="43">
        <f>IF($I4317=0,0,IF(INDEX(DarlOhneTilgung,9)=1,0,IF(AND(INDEX(DarlTilgStart,9)&gt;0,$E4317=INDEX(DarlTilgStart,9)),$J4317*($H4317+INDEX(DarlTilgung,9))/100/12,IF(AND($G4317=0,$G4316=1),MAX($K4316,$J4317*($H4317+1)/100/12),$K4316))))</f>
      </c>
      <c r="L4317" s="43">
        <f>IF($I4317=0,0,$J4317*$H4317/100/12)</f>
      </c>
      <c r="M4317" s="43">
        <f>IF($I4317=0,0,IF(OR(INDEX(DarlOhneTilgung,9)=1,AND(INDEX(DarlTilgStart,9)&gt;0,$E4317&lt;INDEX(DarlTilgStart,9))),0,MIN(MAX(0,$K4317-$L4317),$J4317)))</f>
      </c>
      <c r="N4317" s="43">
        <f>IF($I4317=0,0,MIN(SUMIFS(SondBetrag,SondDarl,9,SondDatum,"&gt;="&amp;$E4317,SondDatum,"&lt;="&amp;EOMONTH($E4317,0)),$J4317-$M4317))</f>
      </c>
      <c r="O4317" s="43">
        <f>IF($I4317=0,0,INDEX(DarlErsatzRate,9))</f>
      </c>
      <c r="P4317" s="43">
        <f>IF($I4317=0,0,$Q4316*INDEX(DarlErsatzZins,9))</f>
      </c>
      <c r="Q4317" s="43">
        <f>IF($I4317=0,0,$Q4316+$P4317+$O4317)</f>
      </c>
      <c r="R4317" s="43">
        <f>IF($I4317=0,0,$J4317-$M4317-$N4317)</f>
      </c>
    </row>
    <row r="4318">
      <c r="A4318"/>
      <c r="B4318">
        <v>9</v>
      </c>
      <c r="C4318" s="43">
        <f>INDEX(DarlObj,9)</f>
      </c>
      <c r="D4318">
        <v>475</v>
      </c>
      <c r="E4318" s="51">
        <f>IF(INDEX(DarlBelegt,9)=0,0,EOMONTH(INDEX(DarlAuszahlung,9),474)+1)</f>
      </c>
      <c r="F4318" s="43">
        <f>IF($E4318=0,0,YEAR($E4318))</f>
      </c>
      <c r="G4318" s="43">
        <f>IF(INDEX(DarlBindung,9)="",1,IF($E4318&lt;=INDEX(DarlBindung,9),1,0))</f>
      </c>
      <c r="H4318" s="43">
        <f>IF($G4318=1,INDEX(DarlSollzins,9),INDEX(DarlAnschluss,9))</f>
      </c>
      <c r="I4318" s="43">
        <f>IF(INDEX(DarlBelegt,9)=0,0,IF(INDEX(DarlOhneTilgung,9)=1,IF(INDEX(DarlBindung,9)="",1,$G4318),IF($J4318&gt;0.005,1,0)))</f>
      </c>
      <c r="J4318" s="43">
        <f>IF($I4317=0,0,$R4317)</f>
      </c>
      <c r="K4318" s="43">
        <f>IF($I4318=0,0,IF(INDEX(DarlOhneTilgung,9)=1,0,IF(AND(INDEX(DarlTilgStart,9)&gt;0,$E4318=INDEX(DarlTilgStart,9)),$J4318*($H4318+INDEX(DarlTilgung,9))/100/12,IF(AND($G4318=0,$G4317=1),MAX($K4317,$J4318*($H4318+1)/100/12),$K4317))))</f>
      </c>
      <c r="L4318" s="43">
        <f>IF($I4318=0,0,$J4318*$H4318/100/12)</f>
      </c>
      <c r="M4318" s="43">
        <f>IF($I4318=0,0,IF(OR(INDEX(DarlOhneTilgung,9)=1,AND(INDEX(DarlTilgStart,9)&gt;0,$E4318&lt;INDEX(DarlTilgStart,9))),0,MIN(MAX(0,$K4318-$L4318),$J4318)))</f>
      </c>
      <c r="N4318" s="43">
        <f>IF($I4318=0,0,MIN(SUMIFS(SondBetrag,SondDarl,9,SondDatum,"&gt;="&amp;$E4318,SondDatum,"&lt;="&amp;EOMONTH($E4318,0)),$J4318-$M4318))</f>
      </c>
      <c r="O4318" s="43">
        <f>IF($I4318=0,0,INDEX(DarlErsatzRate,9))</f>
      </c>
      <c r="P4318" s="43">
        <f>IF($I4318=0,0,$Q4317*INDEX(DarlErsatzZins,9))</f>
      </c>
      <c r="Q4318" s="43">
        <f>IF($I4318=0,0,$Q4317+$P4318+$O4318)</f>
      </c>
      <c r="R4318" s="43">
        <f>IF($I4318=0,0,$J4318-$M4318-$N4318)</f>
      </c>
    </row>
    <row r="4319">
      <c r="A4319"/>
      <c r="B4319">
        <v>9</v>
      </c>
      <c r="C4319" s="43">
        <f>INDEX(DarlObj,9)</f>
      </c>
      <c r="D4319">
        <v>476</v>
      </c>
      <c r="E4319" s="51">
        <f>IF(INDEX(DarlBelegt,9)=0,0,EOMONTH(INDEX(DarlAuszahlung,9),475)+1)</f>
      </c>
      <c r="F4319" s="43">
        <f>IF($E4319=0,0,YEAR($E4319))</f>
      </c>
      <c r="G4319" s="43">
        <f>IF(INDEX(DarlBindung,9)="",1,IF($E4319&lt;=INDEX(DarlBindung,9),1,0))</f>
      </c>
      <c r="H4319" s="43">
        <f>IF($G4319=1,INDEX(DarlSollzins,9),INDEX(DarlAnschluss,9))</f>
      </c>
      <c r="I4319" s="43">
        <f>IF(INDEX(DarlBelegt,9)=0,0,IF(INDEX(DarlOhneTilgung,9)=1,IF(INDEX(DarlBindung,9)="",1,$G4319),IF($J4319&gt;0.005,1,0)))</f>
      </c>
      <c r="J4319" s="43">
        <f>IF($I4318=0,0,$R4318)</f>
      </c>
      <c r="K4319" s="43">
        <f>IF($I4319=0,0,IF(INDEX(DarlOhneTilgung,9)=1,0,IF(AND(INDEX(DarlTilgStart,9)&gt;0,$E4319=INDEX(DarlTilgStart,9)),$J4319*($H4319+INDEX(DarlTilgung,9))/100/12,IF(AND($G4319=0,$G4318=1),MAX($K4318,$J4319*($H4319+1)/100/12),$K4318))))</f>
      </c>
      <c r="L4319" s="43">
        <f>IF($I4319=0,0,$J4319*$H4319/100/12)</f>
      </c>
      <c r="M4319" s="43">
        <f>IF($I4319=0,0,IF(OR(INDEX(DarlOhneTilgung,9)=1,AND(INDEX(DarlTilgStart,9)&gt;0,$E4319&lt;INDEX(DarlTilgStart,9))),0,MIN(MAX(0,$K4319-$L4319),$J4319)))</f>
      </c>
      <c r="N4319" s="43">
        <f>IF($I4319=0,0,MIN(SUMIFS(SondBetrag,SondDarl,9,SondDatum,"&gt;="&amp;$E4319,SondDatum,"&lt;="&amp;EOMONTH($E4319,0)),$J4319-$M4319))</f>
      </c>
      <c r="O4319" s="43">
        <f>IF($I4319=0,0,INDEX(DarlErsatzRate,9))</f>
      </c>
      <c r="P4319" s="43">
        <f>IF($I4319=0,0,$Q4318*INDEX(DarlErsatzZins,9))</f>
      </c>
      <c r="Q4319" s="43">
        <f>IF($I4319=0,0,$Q4318+$P4319+$O4319)</f>
      </c>
      <c r="R4319" s="43">
        <f>IF($I4319=0,0,$J4319-$M4319-$N4319)</f>
      </c>
    </row>
    <row r="4320">
      <c r="A4320"/>
      <c r="B4320">
        <v>9</v>
      </c>
      <c r="C4320" s="43">
        <f>INDEX(DarlObj,9)</f>
      </c>
      <c r="D4320">
        <v>477</v>
      </c>
      <c r="E4320" s="51">
        <f>IF(INDEX(DarlBelegt,9)=0,0,EOMONTH(INDEX(DarlAuszahlung,9),476)+1)</f>
      </c>
      <c r="F4320" s="43">
        <f>IF($E4320=0,0,YEAR($E4320))</f>
      </c>
      <c r="G4320" s="43">
        <f>IF(INDEX(DarlBindung,9)="",1,IF($E4320&lt;=INDEX(DarlBindung,9),1,0))</f>
      </c>
      <c r="H4320" s="43">
        <f>IF($G4320=1,INDEX(DarlSollzins,9),INDEX(DarlAnschluss,9))</f>
      </c>
      <c r="I4320" s="43">
        <f>IF(INDEX(DarlBelegt,9)=0,0,IF(INDEX(DarlOhneTilgung,9)=1,IF(INDEX(DarlBindung,9)="",1,$G4320),IF($J4320&gt;0.005,1,0)))</f>
      </c>
      <c r="J4320" s="43">
        <f>IF($I4319=0,0,$R4319)</f>
      </c>
      <c r="K4320" s="43">
        <f>IF($I4320=0,0,IF(INDEX(DarlOhneTilgung,9)=1,0,IF(AND(INDEX(DarlTilgStart,9)&gt;0,$E4320=INDEX(DarlTilgStart,9)),$J4320*($H4320+INDEX(DarlTilgung,9))/100/12,IF(AND($G4320=0,$G4319=1),MAX($K4319,$J4320*($H4320+1)/100/12),$K4319))))</f>
      </c>
      <c r="L4320" s="43">
        <f>IF($I4320=0,0,$J4320*$H4320/100/12)</f>
      </c>
      <c r="M4320" s="43">
        <f>IF($I4320=0,0,IF(OR(INDEX(DarlOhneTilgung,9)=1,AND(INDEX(DarlTilgStart,9)&gt;0,$E4320&lt;INDEX(DarlTilgStart,9))),0,MIN(MAX(0,$K4320-$L4320),$J4320)))</f>
      </c>
      <c r="N4320" s="43">
        <f>IF($I4320=0,0,MIN(SUMIFS(SondBetrag,SondDarl,9,SondDatum,"&gt;="&amp;$E4320,SondDatum,"&lt;="&amp;EOMONTH($E4320,0)),$J4320-$M4320))</f>
      </c>
      <c r="O4320" s="43">
        <f>IF($I4320=0,0,INDEX(DarlErsatzRate,9))</f>
      </c>
      <c r="P4320" s="43">
        <f>IF($I4320=0,0,$Q4319*INDEX(DarlErsatzZins,9))</f>
      </c>
      <c r="Q4320" s="43">
        <f>IF($I4320=0,0,$Q4319+$P4320+$O4320)</f>
      </c>
      <c r="R4320" s="43">
        <f>IF($I4320=0,0,$J4320-$M4320-$N4320)</f>
      </c>
    </row>
    <row r="4321">
      <c r="A4321"/>
      <c r="B4321">
        <v>9</v>
      </c>
      <c r="C4321" s="43">
        <f>INDEX(DarlObj,9)</f>
      </c>
      <c r="D4321">
        <v>478</v>
      </c>
      <c r="E4321" s="51">
        <f>IF(INDEX(DarlBelegt,9)=0,0,EOMONTH(INDEX(DarlAuszahlung,9),477)+1)</f>
      </c>
      <c r="F4321" s="43">
        <f>IF($E4321=0,0,YEAR($E4321))</f>
      </c>
      <c r="G4321" s="43">
        <f>IF(INDEX(DarlBindung,9)="",1,IF($E4321&lt;=INDEX(DarlBindung,9),1,0))</f>
      </c>
      <c r="H4321" s="43">
        <f>IF($G4321=1,INDEX(DarlSollzins,9),INDEX(DarlAnschluss,9))</f>
      </c>
      <c r="I4321" s="43">
        <f>IF(INDEX(DarlBelegt,9)=0,0,IF(INDEX(DarlOhneTilgung,9)=1,IF(INDEX(DarlBindung,9)="",1,$G4321),IF($J4321&gt;0.005,1,0)))</f>
      </c>
      <c r="J4321" s="43">
        <f>IF($I4320=0,0,$R4320)</f>
      </c>
      <c r="K4321" s="43">
        <f>IF($I4321=0,0,IF(INDEX(DarlOhneTilgung,9)=1,0,IF(AND(INDEX(DarlTilgStart,9)&gt;0,$E4321=INDEX(DarlTilgStart,9)),$J4321*($H4321+INDEX(DarlTilgung,9))/100/12,IF(AND($G4321=0,$G4320=1),MAX($K4320,$J4321*($H4321+1)/100/12),$K4320))))</f>
      </c>
      <c r="L4321" s="43">
        <f>IF($I4321=0,0,$J4321*$H4321/100/12)</f>
      </c>
      <c r="M4321" s="43">
        <f>IF($I4321=0,0,IF(OR(INDEX(DarlOhneTilgung,9)=1,AND(INDEX(DarlTilgStart,9)&gt;0,$E4321&lt;INDEX(DarlTilgStart,9))),0,MIN(MAX(0,$K4321-$L4321),$J4321)))</f>
      </c>
      <c r="N4321" s="43">
        <f>IF($I4321=0,0,MIN(SUMIFS(SondBetrag,SondDarl,9,SondDatum,"&gt;="&amp;$E4321,SondDatum,"&lt;="&amp;EOMONTH($E4321,0)),$J4321-$M4321))</f>
      </c>
      <c r="O4321" s="43">
        <f>IF($I4321=0,0,INDEX(DarlErsatzRate,9))</f>
      </c>
      <c r="P4321" s="43">
        <f>IF($I4321=0,0,$Q4320*INDEX(DarlErsatzZins,9))</f>
      </c>
      <c r="Q4321" s="43">
        <f>IF($I4321=0,0,$Q4320+$P4321+$O4321)</f>
      </c>
      <c r="R4321" s="43">
        <f>IF($I4321=0,0,$J4321-$M4321-$N4321)</f>
      </c>
    </row>
    <row r="4322">
      <c r="A4322"/>
      <c r="B4322">
        <v>9</v>
      </c>
      <c r="C4322" s="43">
        <f>INDEX(DarlObj,9)</f>
      </c>
      <c r="D4322">
        <v>479</v>
      </c>
      <c r="E4322" s="51">
        <f>IF(INDEX(DarlBelegt,9)=0,0,EOMONTH(INDEX(DarlAuszahlung,9),478)+1)</f>
      </c>
      <c r="F4322" s="43">
        <f>IF($E4322=0,0,YEAR($E4322))</f>
      </c>
      <c r="G4322" s="43">
        <f>IF(INDEX(DarlBindung,9)="",1,IF($E4322&lt;=INDEX(DarlBindung,9),1,0))</f>
      </c>
      <c r="H4322" s="43">
        <f>IF($G4322=1,INDEX(DarlSollzins,9),INDEX(DarlAnschluss,9))</f>
      </c>
      <c r="I4322" s="43">
        <f>IF(INDEX(DarlBelegt,9)=0,0,IF(INDEX(DarlOhneTilgung,9)=1,IF(INDEX(DarlBindung,9)="",1,$G4322),IF($J4322&gt;0.005,1,0)))</f>
      </c>
      <c r="J4322" s="43">
        <f>IF($I4321=0,0,$R4321)</f>
      </c>
      <c r="K4322" s="43">
        <f>IF($I4322=0,0,IF(INDEX(DarlOhneTilgung,9)=1,0,IF(AND(INDEX(DarlTilgStart,9)&gt;0,$E4322=INDEX(DarlTilgStart,9)),$J4322*($H4322+INDEX(DarlTilgung,9))/100/12,IF(AND($G4322=0,$G4321=1),MAX($K4321,$J4322*($H4322+1)/100/12),$K4321))))</f>
      </c>
      <c r="L4322" s="43">
        <f>IF($I4322=0,0,$J4322*$H4322/100/12)</f>
      </c>
      <c r="M4322" s="43">
        <f>IF($I4322=0,0,IF(OR(INDEX(DarlOhneTilgung,9)=1,AND(INDEX(DarlTilgStart,9)&gt;0,$E4322&lt;INDEX(DarlTilgStart,9))),0,MIN(MAX(0,$K4322-$L4322),$J4322)))</f>
      </c>
      <c r="N4322" s="43">
        <f>IF($I4322=0,0,MIN(SUMIFS(SondBetrag,SondDarl,9,SondDatum,"&gt;="&amp;$E4322,SondDatum,"&lt;="&amp;EOMONTH($E4322,0)),$J4322-$M4322))</f>
      </c>
      <c r="O4322" s="43">
        <f>IF($I4322=0,0,INDEX(DarlErsatzRate,9))</f>
      </c>
      <c r="P4322" s="43">
        <f>IF($I4322=0,0,$Q4321*INDEX(DarlErsatzZins,9))</f>
      </c>
      <c r="Q4322" s="43">
        <f>IF($I4322=0,0,$Q4321+$P4322+$O4322)</f>
      </c>
      <c r="R4322" s="43">
        <f>IF($I4322=0,0,$J4322-$M4322-$N4322)</f>
      </c>
    </row>
    <row r="4323">
      <c r="A4323"/>
      <c r="B4323">
        <v>9</v>
      </c>
      <c r="C4323" s="43">
        <f>INDEX(DarlObj,9)</f>
      </c>
      <c r="D4323">
        <v>480</v>
      </c>
      <c r="E4323" s="51">
        <f>IF(INDEX(DarlBelegt,9)=0,0,EOMONTH(INDEX(DarlAuszahlung,9),479)+1)</f>
      </c>
      <c r="F4323" s="43">
        <f>IF($E4323=0,0,YEAR($E4323))</f>
      </c>
      <c r="G4323" s="43">
        <f>IF(INDEX(DarlBindung,9)="",1,IF($E4323&lt;=INDEX(DarlBindung,9),1,0))</f>
      </c>
      <c r="H4323" s="43">
        <f>IF($G4323=1,INDEX(DarlSollzins,9),INDEX(DarlAnschluss,9))</f>
      </c>
      <c r="I4323" s="43">
        <f>IF(INDEX(DarlBelegt,9)=0,0,IF(INDEX(DarlOhneTilgung,9)=1,IF(INDEX(DarlBindung,9)="",1,$G4323),IF($J4323&gt;0.005,1,0)))</f>
      </c>
      <c r="J4323" s="43">
        <f>IF($I4322=0,0,$R4322)</f>
      </c>
      <c r="K4323" s="43">
        <f>IF($I4323=0,0,IF(INDEX(DarlOhneTilgung,9)=1,0,IF(AND(INDEX(DarlTilgStart,9)&gt;0,$E4323=INDEX(DarlTilgStart,9)),$J4323*($H4323+INDEX(DarlTilgung,9))/100/12,IF(AND($G4323=0,$G4322=1),MAX($K4322,$J4323*($H4323+1)/100/12),$K4322))))</f>
      </c>
      <c r="L4323" s="43">
        <f>IF($I4323=0,0,$J4323*$H4323/100/12)</f>
      </c>
      <c r="M4323" s="43">
        <f>IF($I4323=0,0,IF(OR(INDEX(DarlOhneTilgung,9)=1,AND(INDEX(DarlTilgStart,9)&gt;0,$E4323&lt;INDEX(DarlTilgStart,9))),0,MIN(MAX(0,$K4323-$L4323),$J4323)))</f>
      </c>
      <c r="N4323" s="43">
        <f>IF($I4323=0,0,MIN(SUMIFS(SondBetrag,SondDarl,9,SondDatum,"&gt;="&amp;$E4323,SondDatum,"&lt;="&amp;EOMONTH($E4323,0)),$J4323-$M4323))</f>
      </c>
      <c r="O4323" s="43">
        <f>IF($I4323=0,0,INDEX(DarlErsatzRate,9))</f>
      </c>
      <c r="P4323" s="43">
        <f>IF($I4323=0,0,$Q4322*INDEX(DarlErsatzZins,9))</f>
      </c>
      <c r="Q4323" s="43">
        <f>IF($I4323=0,0,$Q4322+$P4323+$O4323)</f>
      </c>
      <c r="R4323" s="43">
        <f>IF($I4323=0,0,$J4323-$M4323-$N4323)</f>
      </c>
    </row>
    <row r="4324">
      <c r="A4324"/>
      <c r="B4324">
        <v>10</v>
      </c>
      <c r="C4324" s="43">
        <f>INDEX(DarlObj,10)</f>
      </c>
      <c r="D4324">
        <v>1</v>
      </c>
      <c r="E4324" s="51">
        <f>IF(INDEX(DarlBelegt,10)=0,0,EOMONTH(INDEX(DarlAuszahlung,10),0)+1)</f>
      </c>
      <c r="F4324" s="43">
        <f>IF($E4324=0,0,YEAR($E4324))</f>
      </c>
      <c r="G4324" s="43">
        <f>IF(INDEX(DarlBindung,10)="",1,IF($E4324&lt;=INDEX(DarlBindung,10),1,0))</f>
      </c>
      <c r="H4324" s="43">
        <f>IF($G4324=1,INDEX(DarlSollzins,10),INDEX(DarlAnschluss,10))</f>
      </c>
      <c r="I4324" s="43">
        <f>IF(INDEX(DarlBelegt,10)=0,0,IF(INDEX(DarlOhneTilgung,10)=1,IF(INDEX(DarlBindung,10)="",1,$G4324),IF($J4324&gt;0.005,1,0)))</f>
      </c>
      <c r="J4324" s="43">
        <f>IF(INDEX(DarlBelegt,10)=0,0,INDEX(DarlBetrag,10))</f>
      </c>
      <c r="K4324" s="43">
        <f>IF($I4324=0,0,IF(INDEX(DarlOhneTilgung,10)=1,0,INDEX(DarlRate1,10)))</f>
      </c>
      <c r="L4324" s="43">
        <f>IF($I4324=0,0,$J4324*$H4324/100/12)</f>
      </c>
      <c r="M4324" s="43">
        <f>IF($I4324=0,0,IF(OR(INDEX(DarlOhneTilgung,10)=1,AND(INDEX(DarlTilgStart,10)&gt;0,$E4324&lt;INDEX(DarlTilgStart,10))),0,MIN(MAX(0,$K4324-$L4324),$J4324)))</f>
      </c>
      <c r="N4324" s="43">
        <f>IF($I4324=0,0,MIN(SUMIFS(SondBetrag,SondDarl,10,SondDatum,"&gt;="&amp;$E4324,SondDatum,"&lt;="&amp;EOMONTH($E4324,0)),$J4324-$M4324))</f>
      </c>
      <c r="O4324" s="43">
        <f>IF($I4324=0,0,INDEX(DarlErsatzRate,10))</f>
      </c>
      <c r="P4324" s="43">
        <f>0</f>
      </c>
      <c r="Q4324" s="43">
        <f>IF($I4324=0,0,$P4324+$O4324)</f>
      </c>
      <c r="R4324" s="43">
        <f>IF($I4324=0,0,$J4324-$M4324-$N4324)</f>
      </c>
    </row>
    <row r="4325">
      <c r="A4325"/>
      <c r="B4325">
        <v>10</v>
      </c>
      <c r="C4325" s="43">
        <f>INDEX(DarlObj,10)</f>
      </c>
      <c r="D4325">
        <v>2</v>
      </c>
      <c r="E4325" s="51">
        <f>IF(INDEX(DarlBelegt,10)=0,0,EOMONTH(INDEX(DarlAuszahlung,10),1)+1)</f>
      </c>
      <c r="F4325" s="43">
        <f>IF($E4325=0,0,YEAR($E4325))</f>
      </c>
      <c r="G4325" s="43">
        <f>IF(INDEX(DarlBindung,10)="",1,IF($E4325&lt;=INDEX(DarlBindung,10),1,0))</f>
      </c>
      <c r="H4325" s="43">
        <f>IF($G4325=1,INDEX(DarlSollzins,10),INDEX(DarlAnschluss,10))</f>
      </c>
      <c r="I4325" s="43">
        <f>IF(INDEX(DarlBelegt,10)=0,0,IF(INDEX(DarlOhneTilgung,10)=1,IF(INDEX(DarlBindung,10)="",1,$G4325),IF($J4325&gt;0.005,1,0)))</f>
      </c>
      <c r="J4325" s="43">
        <f>IF($I4324=0,0,$R4324)</f>
      </c>
      <c r="K4325" s="43">
        <f>IF($I4325=0,0,IF(INDEX(DarlOhneTilgung,10)=1,0,IF(AND(INDEX(DarlTilgStart,10)&gt;0,$E4325=INDEX(DarlTilgStart,10)),$J4325*($H4325+INDEX(DarlTilgung,10))/100/12,IF(AND($G4325=0,$G4324=1),MAX($K4324,$J4325*($H4325+1)/100/12),$K4324))))</f>
      </c>
      <c r="L4325" s="43">
        <f>IF($I4325=0,0,$J4325*$H4325/100/12)</f>
      </c>
      <c r="M4325" s="43">
        <f>IF($I4325=0,0,IF(OR(INDEX(DarlOhneTilgung,10)=1,AND(INDEX(DarlTilgStart,10)&gt;0,$E4325&lt;INDEX(DarlTilgStart,10))),0,MIN(MAX(0,$K4325-$L4325),$J4325)))</f>
      </c>
      <c r="N4325" s="43">
        <f>IF($I4325=0,0,MIN(SUMIFS(SondBetrag,SondDarl,10,SondDatum,"&gt;="&amp;$E4325,SondDatum,"&lt;="&amp;EOMONTH($E4325,0)),$J4325-$M4325))</f>
      </c>
      <c r="O4325" s="43">
        <f>IF($I4325=0,0,INDEX(DarlErsatzRate,10))</f>
      </c>
      <c r="P4325" s="43">
        <f>IF($I4325=0,0,$Q4324*INDEX(DarlErsatzZins,10))</f>
      </c>
      <c r="Q4325" s="43">
        <f>IF($I4325=0,0,$Q4324+$P4325+$O4325)</f>
      </c>
      <c r="R4325" s="43">
        <f>IF($I4325=0,0,$J4325-$M4325-$N4325)</f>
      </c>
    </row>
    <row r="4326">
      <c r="A4326"/>
      <c r="B4326">
        <v>10</v>
      </c>
      <c r="C4326" s="43">
        <f>INDEX(DarlObj,10)</f>
      </c>
      <c r="D4326">
        <v>3</v>
      </c>
      <c r="E4326" s="51">
        <f>IF(INDEX(DarlBelegt,10)=0,0,EOMONTH(INDEX(DarlAuszahlung,10),2)+1)</f>
      </c>
      <c r="F4326" s="43">
        <f>IF($E4326=0,0,YEAR($E4326))</f>
      </c>
      <c r="G4326" s="43">
        <f>IF(INDEX(DarlBindung,10)="",1,IF($E4326&lt;=INDEX(DarlBindung,10),1,0))</f>
      </c>
      <c r="H4326" s="43">
        <f>IF($G4326=1,INDEX(DarlSollzins,10),INDEX(DarlAnschluss,10))</f>
      </c>
      <c r="I4326" s="43">
        <f>IF(INDEX(DarlBelegt,10)=0,0,IF(INDEX(DarlOhneTilgung,10)=1,IF(INDEX(DarlBindung,10)="",1,$G4326),IF($J4326&gt;0.005,1,0)))</f>
      </c>
      <c r="J4326" s="43">
        <f>IF($I4325=0,0,$R4325)</f>
      </c>
      <c r="K4326" s="43">
        <f>IF($I4326=0,0,IF(INDEX(DarlOhneTilgung,10)=1,0,IF(AND(INDEX(DarlTilgStart,10)&gt;0,$E4326=INDEX(DarlTilgStart,10)),$J4326*($H4326+INDEX(DarlTilgung,10))/100/12,IF(AND($G4326=0,$G4325=1),MAX($K4325,$J4326*($H4326+1)/100/12),$K4325))))</f>
      </c>
      <c r="L4326" s="43">
        <f>IF($I4326=0,0,$J4326*$H4326/100/12)</f>
      </c>
      <c r="M4326" s="43">
        <f>IF($I4326=0,0,IF(OR(INDEX(DarlOhneTilgung,10)=1,AND(INDEX(DarlTilgStart,10)&gt;0,$E4326&lt;INDEX(DarlTilgStart,10))),0,MIN(MAX(0,$K4326-$L4326),$J4326)))</f>
      </c>
      <c r="N4326" s="43">
        <f>IF($I4326=0,0,MIN(SUMIFS(SondBetrag,SondDarl,10,SondDatum,"&gt;="&amp;$E4326,SondDatum,"&lt;="&amp;EOMONTH($E4326,0)),$J4326-$M4326))</f>
      </c>
      <c r="O4326" s="43">
        <f>IF($I4326=0,0,INDEX(DarlErsatzRate,10))</f>
      </c>
      <c r="P4326" s="43">
        <f>IF($I4326=0,0,$Q4325*INDEX(DarlErsatzZins,10))</f>
      </c>
      <c r="Q4326" s="43">
        <f>IF($I4326=0,0,$Q4325+$P4326+$O4326)</f>
      </c>
      <c r="R4326" s="43">
        <f>IF($I4326=0,0,$J4326-$M4326-$N4326)</f>
      </c>
    </row>
    <row r="4327">
      <c r="A4327"/>
      <c r="B4327">
        <v>10</v>
      </c>
      <c r="C4327" s="43">
        <f>INDEX(DarlObj,10)</f>
      </c>
      <c r="D4327">
        <v>4</v>
      </c>
      <c r="E4327" s="51">
        <f>IF(INDEX(DarlBelegt,10)=0,0,EOMONTH(INDEX(DarlAuszahlung,10),3)+1)</f>
      </c>
      <c r="F4327" s="43">
        <f>IF($E4327=0,0,YEAR($E4327))</f>
      </c>
      <c r="G4327" s="43">
        <f>IF(INDEX(DarlBindung,10)="",1,IF($E4327&lt;=INDEX(DarlBindung,10),1,0))</f>
      </c>
      <c r="H4327" s="43">
        <f>IF($G4327=1,INDEX(DarlSollzins,10),INDEX(DarlAnschluss,10))</f>
      </c>
      <c r="I4327" s="43">
        <f>IF(INDEX(DarlBelegt,10)=0,0,IF(INDEX(DarlOhneTilgung,10)=1,IF(INDEX(DarlBindung,10)="",1,$G4327),IF($J4327&gt;0.005,1,0)))</f>
      </c>
      <c r="J4327" s="43">
        <f>IF($I4326=0,0,$R4326)</f>
      </c>
      <c r="K4327" s="43">
        <f>IF($I4327=0,0,IF(INDEX(DarlOhneTilgung,10)=1,0,IF(AND(INDEX(DarlTilgStart,10)&gt;0,$E4327=INDEX(DarlTilgStart,10)),$J4327*($H4327+INDEX(DarlTilgung,10))/100/12,IF(AND($G4327=0,$G4326=1),MAX($K4326,$J4327*($H4327+1)/100/12),$K4326))))</f>
      </c>
      <c r="L4327" s="43">
        <f>IF($I4327=0,0,$J4327*$H4327/100/12)</f>
      </c>
      <c r="M4327" s="43">
        <f>IF($I4327=0,0,IF(OR(INDEX(DarlOhneTilgung,10)=1,AND(INDEX(DarlTilgStart,10)&gt;0,$E4327&lt;INDEX(DarlTilgStart,10))),0,MIN(MAX(0,$K4327-$L4327),$J4327)))</f>
      </c>
      <c r="N4327" s="43">
        <f>IF($I4327=0,0,MIN(SUMIFS(SondBetrag,SondDarl,10,SondDatum,"&gt;="&amp;$E4327,SondDatum,"&lt;="&amp;EOMONTH($E4327,0)),$J4327-$M4327))</f>
      </c>
      <c r="O4327" s="43">
        <f>IF($I4327=0,0,INDEX(DarlErsatzRate,10))</f>
      </c>
      <c r="P4327" s="43">
        <f>IF($I4327=0,0,$Q4326*INDEX(DarlErsatzZins,10))</f>
      </c>
      <c r="Q4327" s="43">
        <f>IF($I4327=0,0,$Q4326+$P4327+$O4327)</f>
      </c>
      <c r="R4327" s="43">
        <f>IF($I4327=0,0,$J4327-$M4327-$N4327)</f>
      </c>
    </row>
    <row r="4328">
      <c r="A4328"/>
      <c r="B4328">
        <v>10</v>
      </c>
      <c r="C4328" s="43">
        <f>INDEX(DarlObj,10)</f>
      </c>
      <c r="D4328">
        <v>5</v>
      </c>
      <c r="E4328" s="51">
        <f>IF(INDEX(DarlBelegt,10)=0,0,EOMONTH(INDEX(DarlAuszahlung,10),4)+1)</f>
      </c>
      <c r="F4328" s="43">
        <f>IF($E4328=0,0,YEAR($E4328))</f>
      </c>
      <c r="G4328" s="43">
        <f>IF(INDEX(DarlBindung,10)="",1,IF($E4328&lt;=INDEX(DarlBindung,10),1,0))</f>
      </c>
      <c r="H4328" s="43">
        <f>IF($G4328=1,INDEX(DarlSollzins,10),INDEX(DarlAnschluss,10))</f>
      </c>
      <c r="I4328" s="43">
        <f>IF(INDEX(DarlBelegt,10)=0,0,IF(INDEX(DarlOhneTilgung,10)=1,IF(INDEX(DarlBindung,10)="",1,$G4328),IF($J4328&gt;0.005,1,0)))</f>
      </c>
      <c r="J4328" s="43">
        <f>IF($I4327=0,0,$R4327)</f>
      </c>
      <c r="K4328" s="43">
        <f>IF($I4328=0,0,IF(INDEX(DarlOhneTilgung,10)=1,0,IF(AND(INDEX(DarlTilgStart,10)&gt;0,$E4328=INDEX(DarlTilgStart,10)),$J4328*($H4328+INDEX(DarlTilgung,10))/100/12,IF(AND($G4328=0,$G4327=1),MAX($K4327,$J4328*($H4328+1)/100/12),$K4327))))</f>
      </c>
      <c r="L4328" s="43">
        <f>IF($I4328=0,0,$J4328*$H4328/100/12)</f>
      </c>
      <c r="M4328" s="43">
        <f>IF($I4328=0,0,IF(OR(INDEX(DarlOhneTilgung,10)=1,AND(INDEX(DarlTilgStart,10)&gt;0,$E4328&lt;INDEX(DarlTilgStart,10))),0,MIN(MAX(0,$K4328-$L4328),$J4328)))</f>
      </c>
      <c r="N4328" s="43">
        <f>IF($I4328=0,0,MIN(SUMIFS(SondBetrag,SondDarl,10,SondDatum,"&gt;="&amp;$E4328,SondDatum,"&lt;="&amp;EOMONTH($E4328,0)),$J4328-$M4328))</f>
      </c>
      <c r="O4328" s="43">
        <f>IF($I4328=0,0,INDEX(DarlErsatzRate,10))</f>
      </c>
      <c r="P4328" s="43">
        <f>IF($I4328=0,0,$Q4327*INDEX(DarlErsatzZins,10))</f>
      </c>
      <c r="Q4328" s="43">
        <f>IF($I4328=0,0,$Q4327+$P4328+$O4328)</f>
      </c>
      <c r="R4328" s="43">
        <f>IF($I4328=0,0,$J4328-$M4328-$N4328)</f>
      </c>
    </row>
    <row r="4329">
      <c r="A4329"/>
      <c r="B4329">
        <v>10</v>
      </c>
      <c r="C4329" s="43">
        <f>INDEX(DarlObj,10)</f>
      </c>
      <c r="D4329">
        <v>6</v>
      </c>
      <c r="E4329" s="51">
        <f>IF(INDEX(DarlBelegt,10)=0,0,EOMONTH(INDEX(DarlAuszahlung,10),5)+1)</f>
      </c>
      <c r="F4329" s="43">
        <f>IF($E4329=0,0,YEAR($E4329))</f>
      </c>
      <c r="G4329" s="43">
        <f>IF(INDEX(DarlBindung,10)="",1,IF($E4329&lt;=INDEX(DarlBindung,10),1,0))</f>
      </c>
      <c r="H4329" s="43">
        <f>IF($G4329=1,INDEX(DarlSollzins,10),INDEX(DarlAnschluss,10))</f>
      </c>
      <c r="I4329" s="43">
        <f>IF(INDEX(DarlBelegt,10)=0,0,IF(INDEX(DarlOhneTilgung,10)=1,IF(INDEX(DarlBindung,10)="",1,$G4329),IF($J4329&gt;0.005,1,0)))</f>
      </c>
      <c r="J4329" s="43">
        <f>IF($I4328=0,0,$R4328)</f>
      </c>
      <c r="K4329" s="43">
        <f>IF($I4329=0,0,IF(INDEX(DarlOhneTilgung,10)=1,0,IF(AND(INDEX(DarlTilgStart,10)&gt;0,$E4329=INDEX(DarlTilgStart,10)),$J4329*($H4329+INDEX(DarlTilgung,10))/100/12,IF(AND($G4329=0,$G4328=1),MAX($K4328,$J4329*($H4329+1)/100/12),$K4328))))</f>
      </c>
      <c r="L4329" s="43">
        <f>IF($I4329=0,0,$J4329*$H4329/100/12)</f>
      </c>
      <c r="M4329" s="43">
        <f>IF($I4329=0,0,IF(OR(INDEX(DarlOhneTilgung,10)=1,AND(INDEX(DarlTilgStart,10)&gt;0,$E4329&lt;INDEX(DarlTilgStart,10))),0,MIN(MAX(0,$K4329-$L4329),$J4329)))</f>
      </c>
      <c r="N4329" s="43">
        <f>IF($I4329=0,0,MIN(SUMIFS(SondBetrag,SondDarl,10,SondDatum,"&gt;="&amp;$E4329,SondDatum,"&lt;="&amp;EOMONTH($E4329,0)),$J4329-$M4329))</f>
      </c>
      <c r="O4329" s="43">
        <f>IF($I4329=0,0,INDEX(DarlErsatzRate,10))</f>
      </c>
      <c r="P4329" s="43">
        <f>IF($I4329=0,0,$Q4328*INDEX(DarlErsatzZins,10))</f>
      </c>
      <c r="Q4329" s="43">
        <f>IF($I4329=0,0,$Q4328+$P4329+$O4329)</f>
      </c>
      <c r="R4329" s="43">
        <f>IF($I4329=0,0,$J4329-$M4329-$N4329)</f>
      </c>
    </row>
    <row r="4330">
      <c r="A4330"/>
      <c r="B4330">
        <v>10</v>
      </c>
      <c r="C4330" s="43">
        <f>INDEX(DarlObj,10)</f>
      </c>
      <c r="D4330">
        <v>7</v>
      </c>
      <c r="E4330" s="51">
        <f>IF(INDEX(DarlBelegt,10)=0,0,EOMONTH(INDEX(DarlAuszahlung,10),6)+1)</f>
      </c>
      <c r="F4330" s="43">
        <f>IF($E4330=0,0,YEAR($E4330))</f>
      </c>
      <c r="G4330" s="43">
        <f>IF(INDEX(DarlBindung,10)="",1,IF($E4330&lt;=INDEX(DarlBindung,10),1,0))</f>
      </c>
      <c r="H4330" s="43">
        <f>IF($G4330=1,INDEX(DarlSollzins,10),INDEX(DarlAnschluss,10))</f>
      </c>
      <c r="I4330" s="43">
        <f>IF(INDEX(DarlBelegt,10)=0,0,IF(INDEX(DarlOhneTilgung,10)=1,IF(INDEX(DarlBindung,10)="",1,$G4330),IF($J4330&gt;0.005,1,0)))</f>
      </c>
      <c r="J4330" s="43">
        <f>IF($I4329=0,0,$R4329)</f>
      </c>
      <c r="K4330" s="43">
        <f>IF($I4330=0,0,IF(INDEX(DarlOhneTilgung,10)=1,0,IF(AND(INDEX(DarlTilgStart,10)&gt;0,$E4330=INDEX(DarlTilgStart,10)),$J4330*($H4330+INDEX(DarlTilgung,10))/100/12,IF(AND($G4330=0,$G4329=1),MAX($K4329,$J4330*($H4330+1)/100/12),$K4329))))</f>
      </c>
      <c r="L4330" s="43">
        <f>IF($I4330=0,0,$J4330*$H4330/100/12)</f>
      </c>
      <c r="M4330" s="43">
        <f>IF($I4330=0,0,IF(OR(INDEX(DarlOhneTilgung,10)=1,AND(INDEX(DarlTilgStart,10)&gt;0,$E4330&lt;INDEX(DarlTilgStart,10))),0,MIN(MAX(0,$K4330-$L4330),$J4330)))</f>
      </c>
      <c r="N4330" s="43">
        <f>IF($I4330=0,0,MIN(SUMIFS(SondBetrag,SondDarl,10,SondDatum,"&gt;="&amp;$E4330,SondDatum,"&lt;="&amp;EOMONTH($E4330,0)),$J4330-$M4330))</f>
      </c>
      <c r="O4330" s="43">
        <f>IF($I4330=0,0,INDEX(DarlErsatzRate,10))</f>
      </c>
      <c r="P4330" s="43">
        <f>IF($I4330=0,0,$Q4329*INDEX(DarlErsatzZins,10))</f>
      </c>
      <c r="Q4330" s="43">
        <f>IF($I4330=0,0,$Q4329+$P4330+$O4330)</f>
      </c>
      <c r="R4330" s="43">
        <f>IF($I4330=0,0,$J4330-$M4330-$N4330)</f>
      </c>
    </row>
    <row r="4331">
      <c r="A4331"/>
      <c r="B4331">
        <v>10</v>
      </c>
      <c r="C4331" s="43">
        <f>INDEX(DarlObj,10)</f>
      </c>
      <c r="D4331">
        <v>8</v>
      </c>
      <c r="E4331" s="51">
        <f>IF(INDEX(DarlBelegt,10)=0,0,EOMONTH(INDEX(DarlAuszahlung,10),7)+1)</f>
      </c>
      <c r="F4331" s="43">
        <f>IF($E4331=0,0,YEAR($E4331))</f>
      </c>
      <c r="G4331" s="43">
        <f>IF(INDEX(DarlBindung,10)="",1,IF($E4331&lt;=INDEX(DarlBindung,10),1,0))</f>
      </c>
      <c r="H4331" s="43">
        <f>IF($G4331=1,INDEX(DarlSollzins,10),INDEX(DarlAnschluss,10))</f>
      </c>
      <c r="I4331" s="43">
        <f>IF(INDEX(DarlBelegt,10)=0,0,IF(INDEX(DarlOhneTilgung,10)=1,IF(INDEX(DarlBindung,10)="",1,$G4331),IF($J4331&gt;0.005,1,0)))</f>
      </c>
      <c r="J4331" s="43">
        <f>IF($I4330=0,0,$R4330)</f>
      </c>
      <c r="K4331" s="43">
        <f>IF($I4331=0,0,IF(INDEX(DarlOhneTilgung,10)=1,0,IF(AND(INDEX(DarlTilgStart,10)&gt;0,$E4331=INDEX(DarlTilgStart,10)),$J4331*($H4331+INDEX(DarlTilgung,10))/100/12,IF(AND($G4331=0,$G4330=1),MAX($K4330,$J4331*($H4331+1)/100/12),$K4330))))</f>
      </c>
      <c r="L4331" s="43">
        <f>IF($I4331=0,0,$J4331*$H4331/100/12)</f>
      </c>
      <c r="M4331" s="43">
        <f>IF($I4331=0,0,IF(OR(INDEX(DarlOhneTilgung,10)=1,AND(INDEX(DarlTilgStart,10)&gt;0,$E4331&lt;INDEX(DarlTilgStart,10))),0,MIN(MAX(0,$K4331-$L4331),$J4331)))</f>
      </c>
      <c r="N4331" s="43">
        <f>IF($I4331=0,0,MIN(SUMIFS(SondBetrag,SondDarl,10,SondDatum,"&gt;="&amp;$E4331,SondDatum,"&lt;="&amp;EOMONTH($E4331,0)),$J4331-$M4331))</f>
      </c>
      <c r="O4331" s="43">
        <f>IF($I4331=0,0,INDEX(DarlErsatzRate,10))</f>
      </c>
      <c r="P4331" s="43">
        <f>IF($I4331=0,0,$Q4330*INDEX(DarlErsatzZins,10))</f>
      </c>
      <c r="Q4331" s="43">
        <f>IF($I4331=0,0,$Q4330+$P4331+$O4331)</f>
      </c>
      <c r="R4331" s="43">
        <f>IF($I4331=0,0,$J4331-$M4331-$N4331)</f>
      </c>
    </row>
    <row r="4332">
      <c r="A4332"/>
      <c r="B4332">
        <v>10</v>
      </c>
      <c r="C4332" s="43">
        <f>INDEX(DarlObj,10)</f>
      </c>
      <c r="D4332">
        <v>9</v>
      </c>
      <c r="E4332" s="51">
        <f>IF(INDEX(DarlBelegt,10)=0,0,EOMONTH(INDEX(DarlAuszahlung,10),8)+1)</f>
      </c>
      <c r="F4332" s="43">
        <f>IF($E4332=0,0,YEAR($E4332))</f>
      </c>
      <c r="G4332" s="43">
        <f>IF(INDEX(DarlBindung,10)="",1,IF($E4332&lt;=INDEX(DarlBindung,10),1,0))</f>
      </c>
      <c r="H4332" s="43">
        <f>IF($G4332=1,INDEX(DarlSollzins,10),INDEX(DarlAnschluss,10))</f>
      </c>
      <c r="I4332" s="43">
        <f>IF(INDEX(DarlBelegt,10)=0,0,IF(INDEX(DarlOhneTilgung,10)=1,IF(INDEX(DarlBindung,10)="",1,$G4332),IF($J4332&gt;0.005,1,0)))</f>
      </c>
      <c r="J4332" s="43">
        <f>IF($I4331=0,0,$R4331)</f>
      </c>
      <c r="K4332" s="43">
        <f>IF($I4332=0,0,IF(INDEX(DarlOhneTilgung,10)=1,0,IF(AND(INDEX(DarlTilgStart,10)&gt;0,$E4332=INDEX(DarlTilgStart,10)),$J4332*($H4332+INDEX(DarlTilgung,10))/100/12,IF(AND($G4332=0,$G4331=1),MAX($K4331,$J4332*($H4332+1)/100/12),$K4331))))</f>
      </c>
      <c r="L4332" s="43">
        <f>IF($I4332=0,0,$J4332*$H4332/100/12)</f>
      </c>
      <c r="M4332" s="43">
        <f>IF($I4332=0,0,IF(OR(INDEX(DarlOhneTilgung,10)=1,AND(INDEX(DarlTilgStart,10)&gt;0,$E4332&lt;INDEX(DarlTilgStart,10))),0,MIN(MAX(0,$K4332-$L4332),$J4332)))</f>
      </c>
      <c r="N4332" s="43">
        <f>IF($I4332=0,0,MIN(SUMIFS(SondBetrag,SondDarl,10,SondDatum,"&gt;="&amp;$E4332,SondDatum,"&lt;="&amp;EOMONTH($E4332,0)),$J4332-$M4332))</f>
      </c>
      <c r="O4332" s="43">
        <f>IF($I4332=0,0,INDEX(DarlErsatzRate,10))</f>
      </c>
      <c r="P4332" s="43">
        <f>IF($I4332=0,0,$Q4331*INDEX(DarlErsatzZins,10))</f>
      </c>
      <c r="Q4332" s="43">
        <f>IF($I4332=0,0,$Q4331+$P4332+$O4332)</f>
      </c>
      <c r="R4332" s="43">
        <f>IF($I4332=0,0,$J4332-$M4332-$N4332)</f>
      </c>
    </row>
    <row r="4333">
      <c r="A4333"/>
      <c r="B4333">
        <v>10</v>
      </c>
      <c r="C4333" s="43">
        <f>INDEX(DarlObj,10)</f>
      </c>
      <c r="D4333">
        <v>10</v>
      </c>
      <c r="E4333" s="51">
        <f>IF(INDEX(DarlBelegt,10)=0,0,EOMONTH(INDEX(DarlAuszahlung,10),9)+1)</f>
      </c>
      <c r="F4333" s="43">
        <f>IF($E4333=0,0,YEAR($E4333))</f>
      </c>
      <c r="G4333" s="43">
        <f>IF(INDEX(DarlBindung,10)="",1,IF($E4333&lt;=INDEX(DarlBindung,10),1,0))</f>
      </c>
      <c r="H4333" s="43">
        <f>IF($G4333=1,INDEX(DarlSollzins,10),INDEX(DarlAnschluss,10))</f>
      </c>
      <c r="I4333" s="43">
        <f>IF(INDEX(DarlBelegt,10)=0,0,IF(INDEX(DarlOhneTilgung,10)=1,IF(INDEX(DarlBindung,10)="",1,$G4333),IF($J4333&gt;0.005,1,0)))</f>
      </c>
      <c r="J4333" s="43">
        <f>IF($I4332=0,0,$R4332)</f>
      </c>
      <c r="K4333" s="43">
        <f>IF($I4333=0,0,IF(INDEX(DarlOhneTilgung,10)=1,0,IF(AND(INDEX(DarlTilgStart,10)&gt;0,$E4333=INDEX(DarlTilgStart,10)),$J4333*($H4333+INDEX(DarlTilgung,10))/100/12,IF(AND($G4333=0,$G4332=1),MAX($K4332,$J4333*($H4333+1)/100/12),$K4332))))</f>
      </c>
      <c r="L4333" s="43">
        <f>IF($I4333=0,0,$J4333*$H4333/100/12)</f>
      </c>
      <c r="M4333" s="43">
        <f>IF($I4333=0,0,IF(OR(INDEX(DarlOhneTilgung,10)=1,AND(INDEX(DarlTilgStart,10)&gt;0,$E4333&lt;INDEX(DarlTilgStart,10))),0,MIN(MAX(0,$K4333-$L4333),$J4333)))</f>
      </c>
      <c r="N4333" s="43">
        <f>IF($I4333=0,0,MIN(SUMIFS(SondBetrag,SondDarl,10,SondDatum,"&gt;="&amp;$E4333,SondDatum,"&lt;="&amp;EOMONTH($E4333,0)),$J4333-$M4333))</f>
      </c>
      <c r="O4333" s="43">
        <f>IF($I4333=0,0,INDEX(DarlErsatzRate,10))</f>
      </c>
      <c r="P4333" s="43">
        <f>IF($I4333=0,0,$Q4332*INDEX(DarlErsatzZins,10))</f>
      </c>
      <c r="Q4333" s="43">
        <f>IF($I4333=0,0,$Q4332+$P4333+$O4333)</f>
      </c>
      <c r="R4333" s="43">
        <f>IF($I4333=0,0,$J4333-$M4333-$N4333)</f>
      </c>
    </row>
    <row r="4334">
      <c r="A4334"/>
      <c r="B4334">
        <v>10</v>
      </c>
      <c r="C4334" s="43">
        <f>INDEX(DarlObj,10)</f>
      </c>
      <c r="D4334">
        <v>11</v>
      </c>
      <c r="E4334" s="51">
        <f>IF(INDEX(DarlBelegt,10)=0,0,EOMONTH(INDEX(DarlAuszahlung,10),10)+1)</f>
      </c>
      <c r="F4334" s="43">
        <f>IF($E4334=0,0,YEAR($E4334))</f>
      </c>
      <c r="G4334" s="43">
        <f>IF(INDEX(DarlBindung,10)="",1,IF($E4334&lt;=INDEX(DarlBindung,10),1,0))</f>
      </c>
      <c r="H4334" s="43">
        <f>IF($G4334=1,INDEX(DarlSollzins,10),INDEX(DarlAnschluss,10))</f>
      </c>
      <c r="I4334" s="43">
        <f>IF(INDEX(DarlBelegt,10)=0,0,IF(INDEX(DarlOhneTilgung,10)=1,IF(INDEX(DarlBindung,10)="",1,$G4334),IF($J4334&gt;0.005,1,0)))</f>
      </c>
      <c r="J4334" s="43">
        <f>IF($I4333=0,0,$R4333)</f>
      </c>
      <c r="K4334" s="43">
        <f>IF($I4334=0,0,IF(INDEX(DarlOhneTilgung,10)=1,0,IF(AND(INDEX(DarlTilgStart,10)&gt;0,$E4334=INDEX(DarlTilgStart,10)),$J4334*($H4334+INDEX(DarlTilgung,10))/100/12,IF(AND($G4334=0,$G4333=1),MAX($K4333,$J4334*($H4334+1)/100/12),$K4333))))</f>
      </c>
      <c r="L4334" s="43">
        <f>IF($I4334=0,0,$J4334*$H4334/100/12)</f>
      </c>
      <c r="M4334" s="43">
        <f>IF($I4334=0,0,IF(OR(INDEX(DarlOhneTilgung,10)=1,AND(INDEX(DarlTilgStart,10)&gt;0,$E4334&lt;INDEX(DarlTilgStart,10))),0,MIN(MAX(0,$K4334-$L4334),$J4334)))</f>
      </c>
      <c r="N4334" s="43">
        <f>IF($I4334=0,0,MIN(SUMIFS(SondBetrag,SondDarl,10,SondDatum,"&gt;="&amp;$E4334,SondDatum,"&lt;="&amp;EOMONTH($E4334,0)),$J4334-$M4334))</f>
      </c>
      <c r="O4334" s="43">
        <f>IF($I4334=0,0,INDEX(DarlErsatzRate,10))</f>
      </c>
      <c r="P4334" s="43">
        <f>IF($I4334=0,0,$Q4333*INDEX(DarlErsatzZins,10))</f>
      </c>
      <c r="Q4334" s="43">
        <f>IF($I4334=0,0,$Q4333+$P4334+$O4334)</f>
      </c>
      <c r="R4334" s="43">
        <f>IF($I4334=0,0,$J4334-$M4334-$N4334)</f>
      </c>
    </row>
    <row r="4335">
      <c r="A4335"/>
      <c r="B4335">
        <v>10</v>
      </c>
      <c r="C4335" s="43">
        <f>INDEX(DarlObj,10)</f>
      </c>
      <c r="D4335">
        <v>12</v>
      </c>
      <c r="E4335" s="51">
        <f>IF(INDEX(DarlBelegt,10)=0,0,EOMONTH(INDEX(DarlAuszahlung,10),11)+1)</f>
      </c>
      <c r="F4335" s="43">
        <f>IF($E4335=0,0,YEAR($E4335))</f>
      </c>
      <c r="G4335" s="43">
        <f>IF(INDEX(DarlBindung,10)="",1,IF($E4335&lt;=INDEX(DarlBindung,10),1,0))</f>
      </c>
      <c r="H4335" s="43">
        <f>IF($G4335=1,INDEX(DarlSollzins,10),INDEX(DarlAnschluss,10))</f>
      </c>
      <c r="I4335" s="43">
        <f>IF(INDEX(DarlBelegt,10)=0,0,IF(INDEX(DarlOhneTilgung,10)=1,IF(INDEX(DarlBindung,10)="",1,$G4335),IF($J4335&gt;0.005,1,0)))</f>
      </c>
      <c r="J4335" s="43">
        <f>IF($I4334=0,0,$R4334)</f>
      </c>
      <c r="K4335" s="43">
        <f>IF($I4335=0,0,IF(INDEX(DarlOhneTilgung,10)=1,0,IF(AND(INDEX(DarlTilgStart,10)&gt;0,$E4335=INDEX(DarlTilgStart,10)),$J4335*($H4335+INDEX(DarlTilgung,10))/100/12,IF(AND($G4335=0,$G4334=1),MAX($K4334,$J4335*($H4335+1)/100/12),$K4334))))</f>
      </c>
      <c r="L4335" s="43">
        <f>IF($I4335=0,0,$J4335*$H4335/100/12)</f>
      </c>
      <c r="M4335" s="43">
        <f>IF($I4335=0,0,IF(OR(INDEX(DarlOhneTilgung,10)=1,AND(INDEX(DarlTilgStart,10)&gt;0,$E4335&lt;INDEX(DarlTilgStart,10))),0,MIN(MAX(0,$K4335-$L4335),$J4335)))</f>
      </c>
      <c r="N4335" s="43">
        <f>IF($I4335=0,0,MIN(SUMIFS(SondBetrag,SondDarl,10,SondDatum,"&gt;="&amp;$E4335,SondDatum,"&lt;="&amp;EOMONTH($E4335,0)),$J4335-$M4335))</f>
      </c>
      <c r="O4335" s="43">
        <f>IF($I4335=0,0,INDEX(DarlErsatzRate,10))</f>
      </c>
      <c r="P4335" s="43">
        <f>IF($I4335=0,0,$Q4334*INDEX(DarlErsatzZins,10))</f>
      </c>
      <c r="Q4335" s="43">
        <f>IF($I4335=0,0,$Q4334+$P4335+$O4335)</f>
      </c>
      <c r="R4335" s="43">
        <f>IF($I4335=0,0,$J4335-$M4335-$N4335)</f>
      </c>
    </row>
    <row r="4336">
      <c r="A4336"/>
      <c r="B4336">
        <v>10</v>
      </c>
      <c r="C4336" s="43">
        <f>INDEX(DarlObj,10)</f>
      </c>
      <c r="D4336">
        <v>13</v>
      </c>
      <c r="E4336" s="51">
        <f>IF(INDEX(DarlBelegt,10)=0,0,EOMONTH(INDEX(DarlAuszahlung,10),12)+1)</f>
      </c>
      <c r="F4336" s="43">
        <f>IF($E4336=0,0,YEAR($E4336))</f>
      </c>
      <c r="G4336" s="43">
        <f>IF(INDEX(DarlBindung,10)="",1,IF($E4336&lt;=INDEX(DarlBindung,10),1,0))</f>
      </c>
      <c r="H4336" s="43">
        <f>IF($G4336=1,INDEX(DarlSollzins,10),INDEX(DarlAnschluss,10))</f>
      </c>
      <c r="I4336" s="43">
        <f>IF(INDEX(DarlBelegt,10)=0,0,IF(INDEX(DarlOhneTilgung,10)=1,IF(INDEX(DarlBindung,10)="",1,$G4336),IF($J4336&gt;0.005,1,0)))</f>
      </c>
      <c r="J4336" s="43">
        <f>IF($I4335=0,0,$R4335)</f>
      </c>
      <c r="K4336" s="43">
        <f>IF($I4336=0,0,IF(INDEX(DarlOhneTilgung,10)=1,0,IF(AND(INDEX(DarlTilgStart,10)&gt;0,$E4336=INDEX(DarlTilgStart,10)),$J4336*($H4336+INDEX(DarlTilgung,10))/100/12,IF(AND($G4336=0,$G4335=1),MAX($K4335,$J4336*($H4336+1)/100/12),$K4335))))</f>
      </c>
      <c r="L4336" s="43">
        <f>IF($I4336=0,0,$J4336*$H4336/100/12)</f>
      </c>
      <c r="M4336" s="43">
        <f>IF($I4336=0,0,IF(OR(INDEX(DarlOhneTilgung,10)=1,AND(INDEX(DarlTilgStart,10)&gt;0,$E4336&lt;INDEX(DarlTilgStart,10))),0,MIN(MAX(0,$K4336-$L4336),$J4336)))</f>
      </c>
      <c r="N4336" s="43">
        <f>IF($I4336=0,0,MIN(SUMIFS(SondBetrag,SondDarl,10,SondDatum,"&gt;="&amp;$E4336,SondDatum,"&lt;="&amp;EOMONTH($E4336,0)),$J4336-$M4336))</f>
      </c>
      <c r="O4336" s="43">
        <f>IF($I4336=0,0,INDEX(DarlErsatzRate,10))</f>
      </c>
      <c r="P4336" s="43">
        <f>IF($I4336=0,0,$Q4335*INDEX(DarlErsatzZins,10))</f>
      </c>
      <c r="Q4336" s="43">
        <f>IF($I4336=0,0,$Q4335+$P4336+$O4336)</f>
      </c>
      <c r="R4336" s="43">
        <f>IF($I4336=0,0,$J4336-$M4336-$N4336)</f>
      </c>
    </row>
    <row r="4337">
      <c r="A4337"/>
      <c r="B4337">
        <v>10</v>
      </c>
      <c r="C4337" s="43">
        <f>INDEX(DarlObj,10)</f>
      </c>
      <c r="D4337">
        <v>14</v>
      </c>
      <c r="E4337" s="51">
        <f>IF(INDEX(DarlBelegt,10)=0,0,EOMONTH(INDEX(DarlAuszahlung,10),13)+1)</f>
      </c>
      <c r="F4337" s="43">
        <f>IF($E4337=0,0,YEAR($E4337))</f>
      </c>
      <c r="G4337" s="43">
        <f>IF(INDEX(DarlBindung,10)="",1,IF($E4337&lt;=INDEX(DarlBindung,10),1,0))</f>
      </c>
      <c r="H4337" s="43">
        <f>IF($G4337=1,INDEX(DarlSollzins,10),INDEX(DarlAnschluss,10))</f>
      </c>
      <c r="I4337" s="43">
        <f>IF(INDEX(DarlBelegt,10)=0,0,IF(INDEX(DarlOhneTilgung,10)=1,IF(INDEX(DarlBindung,10)="",1,$G4337),IF($J4337&gt;0.005,1,0)))</f>
      </c>
      <c r="J4337" s="43">
        <f>IF($I4336=0,0,$R4336)</f>
      </c>
      <c r="K4337" s="43">
        <f>IF($I4337=0,0,IF(INDEX(DarlOhneTilgung,10)=1,0,IF(AND(INDEX(DarlTilgStart,10)&gt;0,$E4337=INDEX(DarlTilgStart,10)),$J4337*($H4337+INDEX(DarlTilgung,10))/100/12,IF(AND($G4337=0,$G4336=1),MAX($K4336,$J4337*($H4337+1)/100/12),$K4336))))</f>
      </c>
      <c r="L4337" s="43">
        <f>IF($I4337=0,0,$J4337*$H4337/100/12)</f>
      </c>
      <c r="M4337" s="43">
        <f>IF($I4337=0,0,IF(OR(INDEX(DarlOhneTilgung,10)=1,AND(INDEX(DarlTilgStart,10)&gt;0,$E4337&lt;INDEX(DarlTilgStart,10))),0,MIN(MAX(0,$K4337-$L4337),$J4337)))</f>
      </c>
      <c r="N4337" s="43">
        <f>IF($I4337=0,0,MIN(SUMIFS(SondBetrag,SondDarl,10,SondDatum,"&gt;="&amp;$E4337,SondDatum,"&lt;="&amp;EOMONTH($E4337,0)),$J4337-$M4337))</f>
      </c>
      <c r="O4337" s="43">
        <f>IF($I4337=0,0,INDEX(DarlErsatzRate,10))</f>
      </c>
      <c r="P4337" s="43">
        <f>IF($I4337=0,0,$Q4336*INDEX(DarlErsatzZins,10))</f>
      </c>
      <c r="Q4337" s="43">
        <f>IF($I4337=0,0,$Q4336+$P4337+$O4337)</f>
      </c>
      <c r="R4337" s="43">
        <f>IF($I4337=0,0,$J4337-$M4337-$N4337)</f>
      </c>
    </row>
    <row r="4338">
      <c r="A4338"/>
      <c r="B4338">
        <v>10</v>
      </c>
      <c r="C4338" s="43">
        <f>INDEX(DarlObj,10)</f>
      </c>
      <c r="D4338">
        <v>15</v>
      </c>
      <c r="E4338" s="51">
        <f>IF(INDEX(DarlBelegt,10)=0,0,EOMONTH(INDEX(DarlAuszahlung,10),14)+1)</f>
      </c>
      <c r="F4338" s="43">
        <f>IF($E4338=0,0,YEAR($E4338))</f>
      </c>
      <c r="G4338" s="43">
        <f>IF(INDEX(DarlBindung,10)="",1,IF($E4338&lt;=INDEX(DarlBindung,10),1,0))</f>
      </c>
      <c r="H4338" s="43">
        <f>IF($G4338=1,INDEX(DarlSollzins,10),INDEX(DarlAnschluss,10))</f>
      </c>
      <c r="I4338" s="43">
        <f>IF(INDEX(DarlBelegt,10)=0,0,IF(INDEX(DarlOhneTilgung,10)=1,IF(INDEX(DarlBindung,10)="",1,$G4338),IF($J4338&gt;0.005,1,0)))</f>
      </c>
      <c r="J4338" s="43">
        <f>IF($I4337=0,0,$R4337)</f>
      </c>
      <c r="K4338" s="43">
        <f>IF($I4338=0,0,IF(INDEX(DarlOhneTilgung,10)=1,0,IF(AND(INDEX(DarlTilgStart,10)&gt;0,$E4338=INDEX(DarlTilgStart,10)),$J4338*($H4338+INDEX(DarlTilgung,10))/100/12,IF(AND($G4338=0,$G4337=1),MAX($K4337,$J4338*($H4338+1)/100/12),$K4337))))</f>
      </c>
      <c r="L4338" s="43">
        <f>IF($I4338=0,0,$J4338*$H4338/100/12)</f>
      </c>
      <c r="M4338" s="43">
        <f>IF($I4338=0,0,IF(OR(INDEX(DarlOhneTilgung,10)=1,AND(INDEX(DarlTilgStart,10)&gt;0,$E4338&lt;INDEX(DarlTilgStart,10))),0,MIN(MAX(0,$K4338-$L4338),$J4338)))</f>
      </c>
      <c r="N4338" s="43">
        <f>IF($I4338=0,0,MIN(SUMIFS(SondBetrag,SondDarl,10,SondDatum,"&gt;="&amp;$E4338,SondDatum,"&lt;="&amp;EOMONTH($E4338,0)),$J4338-$M4338))</f>
      </c>
      <c r="O4338" s="43">
        <f>IF($I4338=0,0,INDEX(DarlErsatzRate,10))</f>
      </c>
      <c r="P4338" s="43">
        <f>IF($I4338=0,0,$Q4337*INDEX(DarlErsatzZins,10))</f>
      </c>
      <c r="Q4338" s="43">
        <f>IF($I4338=0,0,$Q4337+$P4338+$O4338)</f>
      </c>
      <c r="R4338" s="43">
        <f>IF($I4338=0,0,$J4338-$M4338-$N4338)</f>
      </c>
    </row>
    <row r="4339">
      <c r="A4339"/>
      <c r="B4339">
        <v>10</v>
      </c>
      <c r="C4339" s="43">
        <f>INDEX(DarlObj,10)</f>
      </c>
      <c r="D4339">
        <v>16</v>
      </c>
      <c r="E4339" s="51">
        <f>IF(INDEX(DarlBelegt,10)=0,0,EOMONTH(INDEX(DarlAuszahlung,10),15)+1)</f>
      </c>
      <c r="F4339" s="43">
        <f>IF($E4339=0,0,YEAR($E4339))</f>
      </c>
      <c r="G4339" s="43">
        <f>IF(INDEX(DarlBindung,10)="",1,IF($E4339&lt;=INDEX(DarlBindung,10),1,0))</f>
      </c>
      <c r="H4339" s="43">
        <f>IF($G4339=1,INDEX(DarlSollzins,10),INDEX(DarlAnschluss,10))</f>
      </c>
      <c r="I4339" s="43">
        <f>IF(INDEX(DarlBelegt,10)=0,0,IF(INDEX(DarlOhneTilgung,10)=1,IF(INDEX(DarlBindung,10)="",1,$G4339),IF($J4339&gt;0.005,1,0)))</f>
      </c>
      <c r="J4339" s="43">
        <f>IF($I4338=0,0,$R4338)</f>
      </c>
      <c r="K4339" s="43">
        <f>IF($I4339=0,0,IF(INDEX(DarlOhneTilgung,10)=1,0,IF(AND(INDEX(DarlTilgStart,10)&gt;0,$E4339=INDEX(DarlTilgStart,10)),$J4339*($H4339+INDEX(DarlTilgung,10))/100/12,IF(AND($G4339=0,$G4338=1),MAX($K4338,$J4339*($H4339+1)/100/12),$K4338))))</f>
      </c>
      <c r="L4339" s="43">
        <f>IF($I4339=0,0,$J4339*$H4339/100/12)</f>
      </c>
      <c r="M4339" s="43">
        <f>IF($I4339=0,0,IF(OR(INDEX(DarlOhneTilgung,10)=1,AND(INDEX(DarlTilgStart,10)&gt;0,$E4339&lt;INDEX(DarlTilgStart,10))),0,MIN(MAX(0,$K4339-$L4339),$J4339)))</f>
      </c>
      <c r="N4339" s="43">
        <f>IF($I4339=0,0,MIN(SUMIFS(SondBetrag,SondDarl,10,SondDatum,"&gt;="&amp;$E4339,SondDatum,"&lt;="&amp;EOMONTH($E4339,0)),$J4339-$M4339))</f>
      </c>
      <c r="O4339" s="43">
        <f>IF($I4339=0,0,INDEX(DarlErsatzRate,10))</f>
      </c>
      <c r="P4339" s="43">
        <f>IF($I4339=0,0,$Q4338*INDEX(DarlErsatzZins,10))</f>
      </c>
      <c r="Q4339" s="43">
        <f>IF($I4339=0,0,$Q4338+$P4339+$O4339)</f>
      </c>
      <c r="R4339" s="43">
        <f>IF($I4339=0,0,$J4339-$M4339-$N4339)</f>
      </c>
    </row>
    <row r="4340">
      <c r="A4340"/>
      <c r="B4340">
        <v>10</v>
      </c>
      <c r="C4340" s="43">
        <f>INDEX(DarlObj,10)</f>
      </c>
      <c r="D4340">
        <v>17</v>
      </c>
      <c r="E4340" s="51">
        <f>IF(INDEX(DarlBelegt,10)=0,0,EOMONTH(INDEX(DarlAuszahlung,10),16)+1)</f>
      </c>
      <c r="F4340" s="43">
        <f>IF($E4340=0,0,YEAR($E4340))</f>
      </c>
      <c r="G4340" s="43">
        <f>IF(INDEX(DarlBindung,10)="",1,IF($E4340&lt;=INDEX(DarlBindung,10),1,0))</f>
      </c>
      <c r="H4340" s="43">
        <f>IF($G4340=1,INDEX(DarlSollzins,10),INDEX(DarlAnschluss,10))</f>
      </c>
      <c r="I4340" s="43">
        <f>IF(INDEX(DarlBelegt,10)=0,0,IF(INDEX(DarlOhneTilgung,10)=1,IF(INDEX(DarlBindung,10)="",1,$G4340),IF($J4340&gt;0.005,1,0)))</f>
      </c>
      <c r="J4340" s="43">
        <f>IF($I4339=0,0,$R4339)</f>
      </c>
      <c r="K4340" s="43">
        <f>IF($I4340=0,0,IF(INDEX(DarlOhneTilgung,10)=1,0,IF(AND(INDEX(DarlTilgStart,10)&gt;0,$E4340=INDEX(DarlTilgStart,10)),$J4340*($H4340+INDEX(DarlTilgung,10))/100/12,IF(AND($G4340=0,$G4339=1),MAX($K4339,$J4340*($H4340+1)/100/12),$K4339))))</f>
      </c>
      <c r="L4340" s="43">
        <f>IF($I4340=0,0,$J4340*$H4340/100/12)</f>
      </c>
      <c r="M4340" s="43">
        <f>IF($I4340=0,0,IF(OR(INDEX(DarlOhneTilgung,10)=1,AND(INDEX(DarlTilgStart,10)&gt;0,$E4340&lt;INDEX(DarlTilgStart,10))),0,MIN(MAX(0,$K4340-$L4340),$J4340)))</f>
      </c>
      <c r="N4340" s="43">
        <f>IF($I4340=0,0,MIN(SUMIFS(SondBetrag,SondDarl,10,SondDatum,"&gt;="&amp;$E4340,SondDatum,"&lt;="&amp;EOMONTH($E4340,0)),$J4340-$M4340))</f>
      </c>
      <c r="O4340" s="43">
        <f>IF($I4340=0,0,INDEX(DarlErsatzRate,10))</f>
      </c>
      <c r="P4340" s="43">
        <f>IF($I4340=0,0,$Q4339*INDEX(DarlErsatzZins,10))</f>
      </c>
      <c r="Q4340" s="43">
        <f>IF($I4340=0,0,$Q4339+$P4340+$O4340)</f>
      </c>
      <c r="R4340" s="43">
        <f>IF($I4340=0,0,$J4340-$M4340-$N4340)</f>
      </c>
    </row>
    <row r="4341">
      <c r="A4341"/>
      <c r="B4341">
        <v>10</v>
      </c>
      <c r="C4341" s="43">
        <f>INDEX(DarlObj,10)</f>
      </c>
      <c r="D4341">
        <v>18</v>
      </c>
      <c r="E4341" s="51">
        <f>IF(INDEX(DarlBelegt,10)=0,0,EOMONTH(INDEX(DarlAuszahlung,10),17)+1)</f>
      </c>
      <c r="F4341" s="43">
        <f>IF($E4341=0,0,YEAR($E4341))</f>
      </c>
      <c r="G4341" s="43">
        <f>IF(INDEX(DarlBindung,10)="",1,IF($E4341&lt;=INDEX(DarlBindung,10),1,0))</f>
      </c>
      <c r="H4341" s="43">
        <f>IF($G4341=1,INDEX(DarlSollzins,10),INDEX(DarlAnschluss,10))</f>
      </c>
      <c r="I4341" s="43">
        <f>IF(INDEX(DarlBelegt,10)=0,0,IF(INDEX(DarlOhneTilgung,10)=1,IF(INDEX(DarlBindung,10)="",1,$G4341),IF($J4341&gt;0.005,1,0)))</f>
      </c>
      <c r="J4341" s="43">
        <f>IF($I4340=0,0,$R4340)</f>
      </c>
      <c r="K4341" s="43">
        <f>IF($I4341=0,0,IF(INDEX(DarlOhneTilgung,10)=1,0,IF(AND(INDEX(DarlTilgStart,10)&gt;0,$E4341=INDEX(DarlTilgStart,10)),$J4341*($H4341+INDEX(DarlTilgung,10))/100/12,IF(AND($G4341=0,$G4340=1),MAX($K4340,$J4341*($H4341+1)/100/12),$K4340))))</f>
      </c>
      <c r="L4341" s="43">
        <f>IF($I4341=0,0,$J4341*$H4341/100/12)</f>
      </c>
      <c r="M4341" s="43">
        <f>IF($I4341=0,0,IF(OR(INDEX(DarlOhneTilgung,10)=1,AND(INDEX(DarlTilgStart,10)&gt;0,$E4341&lt;INDEX(DarlTilgStart,10))),0,MIN(MAX(0,$K4341-$L4341),$J4341)))</f>
      </c>
      <c r="N4341" s="43">
        <f>IF($I4341=0,0,MIN(SUMIFS(SondBetrag,SondDarl,10,SondDatum,"&gt;="&amp;$E4341,SondDatum,"&lt;="&amp;EOMONTH($E4341,0)),$J4341-$M4341))</f>
      </c>
      <c r="O4341" s="43">
        <f>IF($I4341=0,0,INDEX(DarlErsatzRate,10))</f>
      </c>
      <c r="P4341" s="43">
        <f>IF($I4341=0,0,$Q4340*INDEX(DarlErsatzZins,10))</f>
      </c>
      <c r="Q4341" s="43">
        <f>IF($I4341=0,0,$Q4340+$P4341+$O4341)</f>
      </c>
      <c r="R4341" s="43">
        <f>IF($I4341=0,0,$J4341-$M4341-$N4341)</f>
      </c>
    </row>
    <row r="4342">
      <c r="A4342"/>
      <c r="B4342">
        <v>10</v>
      </c>
      <c r="C4342" s="43">
        <f>INDEX(DarlObj,10)</f>
      </c>
      <c r="D4342">
        <v>19</v>
      </c>
      <c r="E4342" s="51">
        <f>IF(INDEX(DarlBelegt,10)=0,0,EOMONTH(INDEX(DarlAuszahlung,10),18)+1)</f>
      </c>
      <c r="F4342" s="43">
        <f>IF($E4342=0,0,YEAR($E4342))</f>
      </c>
      <c r="G4342" s="43">
        <f>IF(INDEX(DarlBindung,10)="",1,IF($E4342&lt;=INDEX(DarlBindung,10),1,0))</f>
      </c>
      <c r="H4342" s="43">
        <f>IF($G4342=1,INDEX(DarlSollzins,10),INDEX(DarlAnschluss,10))</f>
      </c>
      <c r="I4342" s="43">
        <f>IF(INDEX(DarlBelegt,10)=0,0,IF(INDEX(DarlOhneTilgung,10)=1,IF(INDEX(DarlBindung,10)="",1,$G4342),IF($J4342&gt;0.005,1,0)))</f>
      </c>
      <c r="J4342" s="43">
        <f>IF($I4341=0,0,$R4341)</f>
      </c>
      <c r="K4342" s="43">
        <f>IF($I4342=0,0,IF(INDEX(DarlOhneTilgung,10)=1,0,IF(AND(INDEX(DarlTilgStart,10)&gt;0,$E4342=INDEX(DarlTilgStart,10)),$J4342*($H4342+INDEX(DarlTilgung,10))/100/12,IF(AND($G4342=0,$G4341=1),MAX($K4341,$J4342*($H4342+1)/100/12),$K4341))))</f>
      </c>
      <c r="L4342" s="43">
        <f>IF($I4342=0,0,$J4342*$H4342/100/12)</f>
      </c>
      <c r="M4342" s="43">
        <f>IF($I4342=0,0,IF(OR(INDEX(DarlOhneTilgung,10)=1,AND(INDEX(DarlTilgStart,10)&gt;0,$E4342&lt;INDEX(DarlTilgStart,10))),0,MIN(MAX(0,$K4342-$L4342),$J4342)))</f>
      </c>
      <c r="N4342" s="43">
        <f>IF($I4342=0,0,MIN(SUMIFS(SondBetrag,SondDarl,10,SondDatum,"&gt;="&amp;$E4342,SondDatum,"&lt;="&amp;EOMONTH($E4342,0)),$J4342-$M4342))</f>
      </c>
      <c r="O4342" s="43">
        <f>IF($I4342=0,0,INDEX(DarlErsatzRate,10))</f>
      </c>
      <c r="P4342" s="43">
        <f>IF($I4342=0,0,$Q4341*INDEX(DarlErsatzZins,10))</f>
      </c>
      <c r="Q4342" s="43">
        <f>IF($I4342=0,0,$Q4341+$P4342+$O4342)</f>
      </c>
      <c r="R4342" s="43">
        <f>IF($I4342=0,0,$J4342-$M4342-$N4342)</f>
      </c>
    </row>
    <row r="4343">
      <c r="A4343"/>
      <c r="B4343">
        <v>10</v>
      </c>
      <c r="C4343" s="43">
        <f>INDEX(DarlObj,10)</f>
      </c>
      <c r="D4343">
        <v>20</v>
      </c>
      <c r="E4343" s="51">
        <f>IF(INDEX(DarlBelegt,10)=0,0,EOMONTH(INDEX(DarlAuszahlung,10),19)+1)</f>
      </c>
      <c r="F4343" s="43">
        <f>IF($E4343=0,0,YEAR($E4343))</f>
      </c>
      <c r="G4343" s="43">
        <f>IF(INDEX(DarlBindung,10)="",1,IF($E4343&lt;=INDEX(DarlBindung,10),1,0))</f>
      </c>
      <c r="H4343" s="43">
        <f>IF($G4343=1,INDEX(DarlSollzins,10),INDEX(DarlAnschluss,10))</f>
      </c>
      <c r="I4343" s="43">
        <f>IF(INDEX(DarlBelegt,10)=0,0,IF(INDEX(DarlOhneTilgung,10)=1,IF(INDEX(DarlBindung,10)="",1,$G4343),IF($J4343&gt;0.005,1,0)))</f>
      </c>
      <c r="J4343" s="43">
        <f>IF($I4342=0,0,$R4342)</f>
      </c>
      <c r="K4343" s="43">
        <f>IF($I4343=0,0,IF(INDEX(DarlOhneTilgung,10)=1,0,IF(AND(INDEX(DarlTilgStart,10)&gt;0,$E4343=INDEX(DarlTilgStart,10)),$J4343*($H4343+INDEX(DarlTilgung,10))/100/12,IF(AND($G4343=0,$G4342=1),MAX($K4342,$J4343*($H4343+1)/100/12),$K4342))))</f>
      </c>
      <c r="L4343" s="43">
        <f>IF($I4343=0,0,$J4343*$H4343/100/12)</f>
      </c>
      <c r="M4343" s="43">
        <f>IF($I4343=0,0,IF(OR(INDEX(DarlOhneTilgung,10)=1,AND(INDEX(DarlTilgStart,10)&gt;0,$E4343&lt;INDEX(DarlTilgStart,10))),0,MIN(MAX(0,$K4343-$L4343),$J4343)))</f>
      </c>
      <c r="N4343" s="43">
        <f>IF($I4343=0,0,MIN(SUMIFS(SondBetrag,SondDarl,10,SondDatum,"&gt;="&amp;$E4343,SondDatum,"&lt;="&amp;EOMONTH($E4343,0)),$J4343-$M4343))</f>
      </c>
      <c r="O4343" s="43">
        <f>IF($I4343=0,0,INDEX(DarlErsatzRate,10))</f>
      </c>
      <c r="P4343" s="43">
        <f>IF($I4343=0,0,$Q4342*INDEX(DarlErsatzZins,10))</f>
      </c>
      <c r="Q4343" s="43">
        <f>IF($I4343=0,0,$Q4342+$P4343+$O4343)</f>
      </c>
      <c r="R4343" s="43">
        <f>IF($I4343=0,0,$J4343-$M4343-$N4343)</f>
      </c>
    </row>
    <row r="4344">
      <c r="A4344"/>
      <c r="B4344">
        <v>10</v>
      </c>
      <c r="C4344" s="43">
        <f>INDEX(DarlObj,10)</f>
      </c>
      <c r="D4344">
        <v>21</v>
      </c>
      <c r="E4344" s="51">
        <f>IF(INDEX(DarlBelegt,10)=0,0,EOMONTH(INDEX(DarlAuszahlung,10),20)+1)</f>
      </c>
      <c r="F4344" s="43">
        <f>IF($E4344=0,0,YEAR($E4344))</f>
      </c>
      <c r="G4344" s="43">
        <f>IF(INDEX(DarlBindung,10)="",1,IF($E4344&lt;=INDEX(DarlBindung,10),1,0))</f>
      </c>
      <c r="H4344" s="43">
        <f>IF($G4344=1,INDEX(DarlSollzins,10),INDEX(DarlAnschluss,10))</f>
      </c>
      <c r="I4344" s="43">
        <f>IF(INDEX(DarlBelegt,10)=0,0,IF(INDEX(DarlOhneTilgung,10)=1,IF(INDEX(DarlBindung,10)="",1,$G4344),IF($J4344&gt;0.005,1,0)))</f>
      </c>
      <c r="J4344" s="43">
        <f>IF($I4343=0,0,$R4343)</f>
      </c>
      <c r="K4344" s="43">
        <f>IF($I4344=0,0,IF(INDEX(DarlOhneTilgung,10)=1,0,IF(AND(INDEX(DarlTilgStart,10)&gt;0,$E4344=INDEX(DarlTilgStart,10)),$J4344*($H4344+INDEX(DarlTilgung,10))/100/12,IF(AND($G4344=0,$G4343=1),MAX($K4343,$J4344*($H4344+1)/100/12),$K4343))))</f>
      </c>
      <c r="L4344" s="43">
        <f>IF($I4344=0,0,$J4344*$H4344/100/12)</f>
      </c>
      <c r="M4344" s="43">
        <f>IF($I4344=0,0,IF(OR(INDEX(DarlOhneTilgung,10)=1,AND(INDEX(DarlTilgStart,10)&gt;0,$E4344&lt;INDEX(DarlTilgStart,10))),0,MIN(MAX(0,$K4344-$L4344),$J4344)))</f>
      </c>
      <c r="N4344" s="43">
        <f>IF($I4344=0,0,MIN(SUMIFS(SondBetrag,SondDarl,10,SondDatum,"&gt;="&amp;$E4344,SondDatum,"&lt;="&amp;EOMONTH($E4344,0)),$J4344-$M4344))</f>
      </c>
      <c r="O4344" s="43">
        <f>IF($I4344=0,0,INDEX(DarlErsatzRate,10))</f>
      </c>
      <c r="P4344" s="43">
        <f>IF($I4344=0,0,$Q4343*INDEX(DarlErsatzZins,10))</f>
      </c>
      <c r="Q4344" s="43">
        <f>IF($I4344=0,0,$Q4343+$P4344+$O4344)</f>
      </c>
      <c r="R4344" s="43">
        <f>IF($I4344=0,0,$J4344-$M4344-$N4344)</f>
      </c>
    </row>
    <row r="4345">
      <c r="A4345"/>
      <c r="B4345">
        <v>10</v>
      </c>
      <c r="C4345" s="43">
        <f>INDEX(DarlObj,10)</f>
      </c>
      <c r="D4345">
        <v>22</v>
      </c>
      <c r="E4345" s="51">
        <f>IF(INDEX(DarlBelegt,10)=0,0,EOMONTH(INDEX(DarlAuszahlung,10),21)+1)</f>
      </c>
      <c r="F4345" s="43">
        <f>IF($E4345=0,0,YEAR($E4345))</f>
      </c>
      <c r="G4345" s="43">
        <f>IF(INDEX(DarlBindung,10)="",1,IF($E4345&lt;=INDEX(DarlBindung,10),1,0))</f>
      </c>
      <c r="H4345" s="43">
        <f>IF($G4345=1,INDEX(DarlSollzins,10),INDEX(DarlAnschluss,10))</f>
      </c>
      <c r="I4345" s="43">
        <f>IF(INDEX(DarlBelegt,10)=0,0,IF(INDEX(DarlOhneTilgung,10)=1,IF(INDEX(DarlBindung,10)="",1,$G4345),IF($J4345&gt;0.005,1,0)))</f>
      </c>
      <c r="J4345" s="43">
        <f>IF($I4344=0,0,$R4344)</f>
      </c>
      <c r="K4345" s="43">
        <f>IF($I4345=0,0,IF(INDEX(DarlOhneTilgung,10)=1,0,IF(AND(INDEX(DarlTilgStart,10)&gt;0,$E4345=INDEX(DarlTilgStart,10)),$J4345*($H4345+INDEX(DarlTilgung,10))/100/12,IF(AND($G4345=0,$G4344=1),MAX($K4344,$J4345*($H4345+1)/100/12),$K4344))))</f>
      </c>
      <c r="L4345" s="43">
        <f>IF($I4345=0,0,$J4345*$H4345/100/12)</f>
      </c>
      <c r="M4345" s="43">
        <f>IF($I4345=0,0,IF(OR(INDEX(DarlOhneTilgung,10)=1,AND(INDEX(DarlTilgStart,10)&gt;0,$E4345&lt;INDEX(DarlTilgStart,10))),0,MIN(MAX(0,$K4345-$L4345),$J4345)))</f>
      </c>
      <c r="N4345" s="43">
        <f>IF($I4345=0,0,MIN(SUMIFS(SondBetrag,SondDarl,10,SondDatum,"&gt;="&amp;$E4345,SondDatum,"&lt;="&amp;EOMONTH($E4345,0)),$J4345-$M4345))</f>
      </c>
      <c r="O4345" s="43">
        <f>IF($I4345=0,0,INDEX(DarlErsatzRate,10))</f>
      </c>
      <c r="P4345" s="43">
        <f>IF($I4345=0,0,$Q4344*INDEX(DarlErsatzZins,10))</f>
      </c>
      <c r="Q4345" s="43">
        <f>IF($I4345=0,0,$Q4344+$P4345+$O4345)</f>
      </c>
      <c r="R4345" s="43">
        <f>IF($I4345=0,0,$J4345-$M4345-$N4345)</f>
      </c>
    </row>
    <row r="4346">
      <c r="A4346"/>
      <c r="B4346">
        <v>10</v>
      </c>
      <c r="C4346" s="43">
        <f>INDEX(DarlObj,10)</f>
      </c>
      <c r="D4346">
        <v>23</v>
      </c>
      <c r="E4346" s="51">
        <f>IF(INDEX(DarlBelegt,10)=0,0,EOMONTH(INDEX(DarlAuszahlung,10),22)+1)</f>
      </c>
      <c r="F4346" s="43">
        <f>IF($E4346=0,0,YEAR($E4346))</f>
      </c>
      <c r="G4346" s="43">
        <f>IF(INDEX(DarlBindung,10)="",1,IF($E4346&lt;=INDEX(DarlBindung,10),1,0))</f>
      </c>
      <c r="H4346" s="43">
        <f>IF($G4346=1,INDEX(DarlSollzins,10),INDEX(DarlAnschluss,10))</f>
      </c>
      <c r="I4346" s="43">
        <f>IF(INDEX(DarlBelegt,10)=0,0,IF(INDEX(DarlOhneTilgung,10)=1,IF(INDEX(DarlBindung,10)="",1,$G4346),IF($J4346&gt;0.005,1,0)))</f>
      </c>
      <c r="J4346" s="43">
        <f>IF($I4345=0,0,$R4345)</f>
      </c>
      <c r="K4346" s="43">
        <f>IF($I4346=0,0,IF(INDEX(DarlOhneTilgung,10)=1,0,IF(AND(INDEX(DarlTilgStart,10)&gt;0,$E4346=INDEX(DarlTilgStart,10)),$J4346*($H4346+INDEX(DarlTilgung,10))/100/12,IF(AND($G4346=0,$G4345=1),MAX($K4345,$J4346*($H4346+1)/100/12),$K4345))))</f>
      </c>
      <c r="L4346" s="43">
        <f>IF($I4346=0,0,$J4346*$H4346/100/12)</f>
      </c>
      <c r="M4346" s="43">
        <f>IF($I4346=0,0,IF(OR(INDEX(DarlOhneTilgung,10)=1,AND(INDEX(DarlTilgStart,10)&gt;0,$E4346&lt;INDEX(DarlTilgStart,10))),0,MIN(MAX(0,$K4346-$L4346),$J4346)))</f>
      </c>
      <c r="N4346" s="43">
        <f>IF($I4346=0,0,MIN(SUMIFS(SondBetrag,SondDarl,10,SondDatum,"&gt;="&amp;$E4346,SondDatum,"&lt;="&amp;EOMONTH($E4346,0)),$J4346-$M4346))</f>
      </c>
      <c r="O4346" s="43">
        <f>IF($I4346=0,0,INDEX(DarlErsatzRate,10))</f>
      </c>
      <c r="P4346" s="43">
        <f>IF($I4346=0,0,$Q4345*INDEX(DarlErsatzZins,10))</f>
      </c>
      <c r="Q4346" s="43">
        <f>IF($I4346=0,0,$Q4345+$P4346+$O4346)</f>
      </c>
      <c r="R4346" s="43">
        <f>IF($I4346=0,0,$J4346-$M4346-$N4346)</f>
      </c>
    </row>
    <row r="4347">
      <c r="A4347"/>
      <c r="B4347">
        <v>10</v>
      </c>
      <c r="C4347" s="43">
        <f>INDEX(DarlObj,10)</f>
      </c>
      <c r="D4347">
        <v>24</v>
      </c>
      <c r="E4347" s="51">
        <f>IF(INDEX(DarlBelegt,10)=0,0,EOMONTH(INDEX(DarlAuszahlung,10),23)+1)</f>
      </c>
      <c r="F4347" s="43">
        <f>IF($E4347=0,0,YEAR($E4347))</f>
      </c>
      <c r="G4347" s="43">
        <f>IF(INDEX(DarlBindung,10)="",1,IF($E4347&lt;=INDEX(DarlBindung,10),1,0))</f>
      </c>
      <c r="H4347" s="43">
        <f>IF($G4347=1,INDEX(DarlSollzins,10),INDEX(DarlAnschluss,10))</f>
      </c>
      <c r="I4347" s="43">
        <f>IF(INDEX(DarlBelegt,10)=0,0,IF(INDEX(DarlOhneTilgung,10)=1,IF(INDEX(DarlBindung,10)="",1,$G4347),IF($J4347&gt;0.005,1,0)))</f>
      </c>
      <c r="J4347" s="43">
        <f>IF($I4346=0,0,$R4346)</f>
      </c>
      <c r="K4347" s="43">
        <f>IF($I4347=0,0,IF(INDEX(DarlOhneTilgung,10)=1,0,IF(AND(INDEX(DarlTilgStart,10)&gt;0,$E4347=INDEX(DarlTilgStart,10)),$J4347*($H4347+INDEX(DarlTilgung,10))/100/12,IF(AND($G4347=0,$G4346=1),MAX($K4346,$J4347*($H4347+1)/100/12),$K4346))))</f>
      </c>
      <c r="L4347" s="43">
        <f>IF($I4347=0,0,$J4347*$H4347/100/12)</f>
      </c>
      <c r="M4347" s="43">
        <f>IF($I4347=0,0,IF(OR(INDEX(DarlOhneTilgung,10)=1,AND(INDEX(DarlTilgStart,10)&gt;0,$E4347&lt;INDEX(DarlTilgStart,10))),0,MIN(MAX(0,$K4347-$L4347),$J4347)))</f>
      </c>
      <c r="N4347" s="43">
        <f>IF($I4347=0,0,MIN(SUMIFS(SondBetrag,SondDarl,10,SondDatum,"&gt;="&amp;$E4347,SondDatum,"&lt;="&amp;EOMONTH($E4347,0)),$J4347-$M4347))</f>
      </c>
      <c r="O4347" s="43">
        <f>IF($I4347=0,0,INDEX(DarlErsatzRate,10))</f>
      </c>
      <c r="P4347" s="43">
        <f>IF($I4347=0,0,$Q4346*INDEX(DarlErsatzZins,10))</f>
      </c>
      <c r="Q4347" s="43">
        <f>IF($I4347=0,0,$Q4346+$P4347+$O4347)</f>
      </c>
      <c r="R4347" s="43">
        <f>IF($I4347=0,0,$J4347-$M4347-$N4347)</f>
      </c>
    </row>
    <row r="4348">
      <c r="A4348"/>
      <c r="B4348">
        <v>10</v>
      </c>
      <c r="C4348" s="43">
        <f>INDEX(DarlObj,10)</f>
      </c>
      <c r="D4348">
        <v>25</v>
      </c>
      <c r="E4348" s="51">
        <f>IF(INDEX(DarlBelegt,10)=0,0,EOMONTH(INDEX(DarlAuszahlung,10),24)+1)</f>
      </c>
      <c r="F4348" s="43">
        <f>IF($E4348=0,0,YEAR($E4348))</f>
      </c>
      <c r="G4348" s="43">
        <f>IF(INDEX(DarlBindung,10)="",1,IF($E4348&lt;=INDEX(DarlBindung,10),1,0))</f>
      </c>
      <c r="H4348" s="43">
        <f>IF($G4348=1,INDEX(DarlSollzins,10),INDEX(DarlAnschluss,10))</f>
      </c>
      <c r="I4348" s="43">
        <f>IF(INDEX(DarlBelegt,10)=0,0,IF(INDEX(DarlOhneTilgung,10)=1,IF(INDEX(DarlBindung,10)="",1,$G4348),IF($J4348&gt;0.005,1,0)))</f>
      </c>
      <c r="J4348" s="43">
        <f>IF($I4347=0,0,$R4347)</f>
      </c>
      <c r="K4348" s="43">
        <f>IF($I4348=0,0,IF(INDEX(DarlOhneTilgung,10)=1,0,IF(AND(INDEX(DarlTilgStart,10)&gt;0,$E4348=INDEX(DarlTilgStart,10)),$J4348*($H4348+INDEX(DarlTilgung,10))/100/12,IF(AND($G4348=0,$G4347=1),MAX($K4347,$J4348*($H4348+1)/100/12),$K4347))))</f>
      </c>
      <c r="L4348" s="43">
        <f>IF($I4348=0,0,$J4348*$H4348/100/12)</f>
      </c>
      <c r="M4348" s="43">
        <f>IF($I4348=0,0,IF(OR(INDEX(DarlOhneTilgung,10)=1,AND(INDEX(DarlTilgStart,10)&gt;0,$E4348&lt;INDEX(DarlTilgStart,10))),0,MIN(MAX(0,$K4348-$L4348),$J4348)))</f>
      </c>
      <c r="N4348" s="43">
        <f>IF($I4348=0,0,MIN(SUMIFS(SondBetrag,SondDarl,10,SondDatum,"&gt;="&amp;$E4348,SondDatum,"&lt;="&amp;EOMONTH($E4348,0)),$J4348-$M4348))</f>
      </c>
      <c r="O4348" s="43">
        <f>IF($I4348=0,0,INDEX(DarlErsatzRate,10))</f>
      </c>
      <c r="P4348" s="43">
        <f>IF($I4348=0,0,$Q4347*INDEX(DarlErsatzZins,10))</f>
      </c>
      <c r="Q4348" s="43">
        <f>IF($I4348=0,0,$Q4347+$P4348+$O4348)</f>
      </c>
      <c r="R4348" s="43">
        <f>IF($I4348=0,0,$J4348-$M4348-$N4348)</f>
      </c>
    </row>
    <row r="4349">
      <c r="A4349"/>
      <c r="B4349">
        <v>10</v>
      </c>
      <c r="C4349" s="43">
        <f>INDEX(DarlObj,10)</f>
      </c>
      <c r="D4349">
        <v>26</v>
      </c>
      <c r="E4349" s="51">
        <f>IF(INDEX(DarlBelegt,10)=0,0,EOMONTH(INDEX(DarlAuszahlung,10),25)+1)</f>
      </c>
      <c r="F4349" s="43">
        <f>IF($E4349=0,0,YEAR($E4349))</f>
      </c>
      <c r="G4349" s="43">
        <f>IF(INDEX(DarlBindung,10)="",1,IF($E4349&lt;=INDEX(DarlBindung,10),1,0))</f>
      </c>
      <c r="H4349" s="43">
        <f>IF($G4349=1,INDEX(DarlSollzins,10),INDEX(DarlAnschluss,10))</f>
      </c>
      <c r="I4349" s="43">
        <f>IF(INDEX(DarlBelegt,10)=0,0,IF(INDEX(DarlOhneTilgung,10)=1,IF(INDEX(DarlBindung,10)="",1,$G4349),IF($J4349&gt;0.005,1,0)))</f>
      </c>
      <c r="J4349" s="43">
        <f>IF($I4348=0,0,$R4348)</f>
      </c>
      <c r="K4349" s="43">
        <f>IF($I4349=0,0,IF(INDEX(DarlOhneTilgung,10)=1,0,IF(AND(INDEX(DarlTilgStart,10)&gt;0,$E4349=INDEX(DarlTilgStart,10)),$J4349*($H4349+INDEX(DarlTilgung,10))/100/12,IF(AND($G4349=0,$G4348=1),MAX($K4348,$J4349*($H4349+1)/100/12),$K4348))))</f>
      </c>
      <c r="L4349" s="43">
        <f>IF($I4349=0,0,$J4349*$H4349/100/12)</f>
      </c>
      <c r="M4349" s="43">
        <f>IF($I4349=0,0,IF(OR(INDEX(DarlOhneTilgung,10)=1,AND(INDEX(DarlTilgStart,10)&gt;0,$E4349&lt;INDEX(DarlTilgStart,10))),0,MIN(MAX(0,$K4349-$L4349),$J4349)))</f>
      </c>
      <c r="N4349" s="43">
        <f>IF($I4349=0,0,MIN(SUMIFS(SondBetrag,SondDarl,10,SondDatum,"&gt;="&amp;$E4349,SondDatum,"&lt;="&amp;EOMONTH($E4349,0)),$J4349-$M4349))</f>
      </c>
      <c r="O4349" s="43">
        <f>IF($I4349=0,0,INDEX(DarlErsatzRate,10))</f>
      </c>
      <c r="P4349" s="43">
        <f>IF($I4349=0,0,$Q4348*INDEX(DarlErsatzZins,10))</f>
      </c>
      <c r="Q4349" s="43">
        <f>IF($I4349=0,0,$Q4348+$P4349+$O4349)</f>
      </c>
      <c r="R4349" s="43">
        <f>IF($I4349=0,0,$J4349-$M4349-$N4349)</f>
      </c>
    </row>
    <row r="4350">
      <c r="A4350"/>
      <c r="B4350">
        <v>10</v>
      </c>
      <c r="C4350" s="43">
        <f>INDEX(DarlObj,10)</f>
      </c>
      <c r="D4350">
        <v>27</v>
      </c>
      <c r="E4350" s="51">
        <f>IF(INDEX(DarlBelegt,10)=0,0,EOMONTH(INDEX(DarlAuszahlung,10),26)+1)</f>
      </c>
      <c r="F4350" s="43">
        <f>IF($E4350=0,0,YEAR($E4350))</f>
      </c>
      <c r="G4350" s="43">
        <f>IF(INDEX(DarlBindung,10)="",1,IF($E4350&lt;=INDEX(DarlBindung,10),1,0))</f>
      </c>
      <c r="H4350" s="43">
        <f>IF($G4350=1,INDEX(DarlSollzins,10),INDEX(DarlAnschluss,10))</f>
      </c>
      <c r="I4350" s="43">
        <f>IF(INDEX(DarlBelegt,10)=0,0,IF(INDEX(DarlOhneTilgung,10)=1,IF(INDEX(DarlBindung,10)="",1,$G4350),IF($J4350&gt;0.005,1,0)))</f>
      </c>
      <c r="J4350" s="43">
        <f>IF($I4349=0,0,$R4349)</f>
      </c>
      <c r="K4350" s="43">
        <f>IF($I4350=0,0,IF(INDEX(DarlOhneTilgung,10)=1,0,IF(AND(INDEX(DarlTilgStart,10)&gt;0,$E4350=INDEX(DarlTilgStart,10)),$J4350*($H4350+INDEX(DarlTilgung,10))/100/12,IF(AND($G4350=0,$G4349=1),MAX($K4349,$J4350*($H4350+1)/100/12),$K4349))))</f>
      </c>
      <c r="L4350" s="43">
        <f>IF($I4350=0,0,$J4350*$H4350/100/12)</f>
      </c>
      <c r="M4350" s="43">
        <f>IF($I4350=0,0,IF(OR(INDEX(DarlOhneTilgung,10)=1,AND(INDEX(DarlTilgStart,10)&gt;0,$E4350&lt;INDEX(DarlTilgStart,10))),0,MIN(MAX(0,$K4350-$L4350),$J4350)))</f>
      </c>
      <c r="N4350" s="43">
        <f>IF($I4350=0,0,MIN(SUMIFS(SondBetrag,SondDarl,10,SondDatum,"&gt;="&amp;$E4350,SondDatum,"&lt;="&amp;EOMONTH($E4350,0)),$J4350-$M4350))</f>
      </c>
      <c r="O4350" s="43">
        <f>IF($I4350=0,0,INDEX(DarlErsatzRate,10))</f>
      </c>
      <c r="P4350" s="43">
        <f>IF($I4350=0,0,$Q4349*INDEX(DarlErsatzZins,10))</f>
      </c>
      <c r="Q4350" s="43">
        <f>IF($I4350=0,0,$Q4349+$P4350+$O4350)</f>
      </c>
      <c r="R4350" s="43">
        <f>IF($I4350=0,0,$J4350-$M4350-$N4350)</f>
      </c>
    </row>
    <row r="4351">
      <c r="A4351"/>
      <c r="B4351">
        <v>10</v>
      </c>
      <c r="C4351" s="43">
        <f>INDEX(DarlObj,10)</f>
      </c>
      <c r="D4351">
        <v>28</v>
      </c>
      <c r="E4351" s="51">
        <f>IF(INDEX(DarlBelegt,10)=0,0,EOMONTH(INDEX(DarlAuszahlung,10),27)+1)</f>
      </c>
      <c r="F4351" s="43">
        <f>IF($E4351=0,0,YEAR($E4351))</f>
      </c>
      <c r="G4351" s="43">
        <f>IF(INDEX(DarlBindung,10)="",1,IF($E4351&lt;=INDEX(DarlBindung,10),1,0))</f>
      </c>
      <c r="H4351" s="43">
        <f>IF($G4351=1,INDEX(DarlSollzins,10),INDEX(DarlAnschluss,10))</f>
      </c>
      <c r="I4351" s="43">
        <f>IF(INDEX(DarlBelegt,10)=0,0,IF(INDEX(DarlOhneTilgung,10)=1,IF(INDEX(DarlBindung,10)="",1,$G4351),IF($J4351&gt;0.005,1,0)))</f>
      </c>
      <c r="J4351" s="43">
        <f>IF($I4350=0,0,$R4350)</f>
      </c>
      <c r="K4351" s="43">
        <f>IF($I4351=0,0,IF(INDEX(DarlOhneTilgung,10)=1,0,IF(AND(INDEX(DarlTilgStart,10)&gt;0,$E4351=INDEX(DarlTilgStart,10)),$J4351*($H4351+INDEX(DarlTilgung,10))/100/12,IF(AND($G4351=0,$G4350=1),MAX($K4350,$J4351*($H4351+1)/100/12),$K4350))))</f>
      </c>
      <c r="L4351" s="43">
        <f>IF($I4351=0,0,$J4351*$H4351/100/12)</f>
      </c>
      <c r="M4351" s="43">
        <f>IF($I4351=0,0,IF(OR(INDEX(DarlOhneTilgung,10)=1,AND(INDEX(DarlTilgStart,10)&gt;0,$E4351&lt;INDEX(DarlTilgStart,10))),0,MIN(MAX(0,$K4351-$L4351),$J4351)))</f>
      </c>
      <c r="N4351" s="43">
        <f>IF($I4351=0,0,MIN(SUMIFS(SondBetrag,SondDarl,10,SondDatum,"&gt;="&amp;$E4351,SondDatum,"&lt;="&amp;EOMONTH($E4351,0)),$J4351-$M4351))</f>
      </c>
      <c r="O4351" s="43">
        <f>IF($I4351=0,0,INDEX(DarlErsatzRate,10))</f>
      </c>
      <c r="P4351" s="43">
        <f>IF($I4351=0,0,$Q4350*INDEX(DarlErsatzZins,10))</f>
      </c>
      <c r="Q4351" s="43">
        <f>IF($I4351=0,0,$Q4350+$P4351+$O4351)</f>
      </c>
      <c r="R4351" s="43">
        <f>IF($I4351=0,0,$J4351-$M4351-$N4351)</f>
      </c>
    </row>
    <row r="4352">
      <c r="A4352"/>
      <c r="B4352">
        <v>10</v>
      </c>
      <c r="C4352" s="43">
        <f>INDEX(DarlObj,10)</f>
      </c>
      <c r="D4352">
        <v>29</v>
      </c>
      <c r="E4352" s="51">
        <f>IF(INDEX(DarlBelegt,10)=0,0,EOMONTH(INDEX(DarlAuszahlung,10),28)+1)</f>
      </c>
      <c r="F4352" s="43">
        <f>IF($E4352=0,0,YEAR($E4352))</f>
      </c>
      <c r="G4352" s="43">
        <f>IF(INDEX(DarlBindung,10)="",1,IF($E4352&lt;=INDEX(DarlBindung,10),1,0))</f>
      </c>
      <c r="H4352" s="43">
        <f>IF($G4352=1,INDEX(DarlSollzins,10),INDEX(DarlAnschluss,10))</f>
      </c>
      <c r="I4352" s="43">
        <f>IF(INDEX(DarlBelegt,10)=0,0,IF(INDEX(DarlOhneTilgung,10)=1,IF(INDEX(DarlBindung,10)="",1,$G4352),IF($J4352&gt;0.005,1,0)))</f>
      </c>
      <c r="J4352" s="43">
        <f>IF($I4351=0,0,$R4351)</f>
      </c>
      <c r="K4352" s="43">
        <f>IF($I4352=0,0,IF(INDEX(DarlOhneTilgung,10)=1,0,IF(AND(INDEX(DarlTilgStart,10)&gt;0,$E4352=INDEX(DarlTilgStart,10)),$J4352*($H4352+INDEX(DarlTilgung,10))/100/12,IF(AND($G4352=0,$G4351=1),MAX($K4351,$J4352*($H4352+1)/100/12),$K4351))))</f>
      </c>
      <c r="L4352" s="43">
        <f>IF($I4352=0,0,$J4352*$H4352/100/12)</f>
      </c>
      <c r="M4352" s="43">
        <f>IF($I4352=0,0,IF(OR(INDEX(DarlOhneTilgung,10)=1,AND(INDEX(DarlTilgStart,10)&gt;0,$E4352&lt;INDEX(DarlTilgStart,10))),0,MIN(MAX(0,$K4352-$L4352),$J4352)))</f>
      </c>
      <c r="N4352" s="43">
        <f>IF($I4352=0,0,MIN(SUMIFS(SondBetrag,SondDarl,10,SondDatum,"&gt;="&amp;$E4352,SondDatum,"&lt;="&amp;EOMONTH($E4352,0)),$J4352-$M4352))</f>
      </c>
      <c r="O4352" s="43">
        <f>IF($I4352=0,0,INDEX(DarlErsatzRate,10))</f>
      </c>
      <c r="P4352" s="43">
        <f>IF($I4352=0,0,$Q4351*INDEX(DarlErsatzZins,10))</f>
      </c>
      <c r="Q4352" s="43">
        <f>IF($I4352=0,0,$Q4351+$P4352+$O4352)</f>
      </c>
      <c r="R4352" s="43">
        <f>IF($I4352=0,0,$J4352-$M4352-$N4352)</f>
      </c>
    </row>
    <row r="4353">
      <c r="A4353"/>
      <c r="B4353">
        <v>10</v>
      </c>
      <c r="C4353" s="43">
        <f>INDEX(DarlObj,10)</f>
      </c>
      <c r="D4353">
        <v>30</v>
      </c>
      <c r="E4353" s="51">
        <f>IF(INDEX(DarlBelegt,10)=0,0,EOMONTH(INDEX(DarlAuszahlung,10),29)+1)</f>
      </c>
      <c r="F4353" s="43">
        <f>IF($E4353=0,0,YEAR($E4353))</f>
      </c>
      <c r="G4353" s="43">
        <f>IF(INDEX(DarlBindung,10)="",1,IF($E4353&lt;=INDEX(DarlBindung,10),1,0))</f>
      </c>
      <c r="H4353" s="43">
        <f>IF($G4353=1,INDEX(DarlSollzins,10),INDEX(DarlAnschluss,10))</f>
      </c>
      <c r="I4353" s="43">
        <f>IF(INDEX(DarlBelegt,10)=0,0,IF(INDEX(DarlOhneTilgung,10)=1,IF(INDEX(DarlBindung,10)="",1,$G4353),IF($J4353&gt;0.005,1,0)))</f>
      </c>
      <c r="J4353" s="43">
        <f>IF($I4352=0,0,$R4352)</f>
      </c>
      <c r="K4353" s="43">
        <f>IF($I4353=0,0,IF(INDEX(DarlOhneTilgung,10)=1,0,IF(AND(INDEX(DarlTilgStart,10)&gt;0,$E4353=INDEX(DarlTilgStart,10)),$J4353*($H4353+INDEX(DarlTilgung,10))/100/12,IF(AND($G4353=0,$G4352=1),MAX($K4352,$J4353*($H4353+1)/100/12),$K4352))))</f>
      </c>
      <c r="L4353" s="43">
        <f>IF($I4353=0,0,$J4353*$H4353/100/12)</f>
      </c>
      <c r="M4353" s="43">
        <f>IF($I4353=0,0,IF(OR(INDEX(DarlOhneTilgung,10)=1,AND(INDEX(DarlTilgStart,10)&gt;0,$E4353&lt;INDEX(DarlTilgStart,10))),0,MIN(MAX(0,$K4353-$L4353),$J4353)))</f>
      </c>
      <c r="N4353" s="43">
        <f>IF($I4353=0,0,MIN(SUMIFS(SondBetrag,SondDarl,10,SondDatum,"&gt;="&amp;$E4353,SondDatum,"&lt;="&amp;EOMONTH($E4353,0)),$J4353-$M4353))</f>
      </c>
      <c r="O4353" s="43">
        <f>IF($I4353=0,0,INDEX(DarlErsatzRate,10))</f>
      </c>
      <c r="P4353" s="43">
        <f>IF($I4353=0,0,$Q4352*INDEX(DarlErsatzZins,10))</f>
      </c>
      <c r="Q4353" s="43">
        <f>IF($I4353=0,0,$Q4352+$P4353+$O4353)</f>
      </c>
      <c r="R4353" s="43">
        <f>IF($I4353=0,0,$J4353-$M4353-$N4353)</f>
      </c>
    </row>
    <row r="4354">
      <c r="A4354"/>
      <c r="B4354">
        <v>10</v>
      </c>
      <c r="C4354" s="43">
        <f>INDEX(DarlObj,10)</f>
      </c>
      <c r="D4354">
        <v>31</v>
      </c>
      <c r="E4354" s="51">
        <f>IF(INDEX(DarlBelegt,10)=0,0,EOMONTH(INDEX(DarlAuszahlung,10),30)+1)</f>
      </c>
      <c r="F4354" s="43">
        <f>IF($E4354=0,0,YEAR($E4354))</f>
      </c>
      <c r="G4354" s="43">
        <f>IF(INDEX(DarlBindung,10)="",1,IF($E4354&lt;=INDEX(DarlBindung,10),1,0))</f>
      </c>
      <c r="H4354" s="43">
        <f>IF($G4354=1,INDEX(DarlSollzins,10),INDEX(DarlAnschluss,10))</f>
      </c>
      <c r="I4354" s="43">
        <f>IF(INDEX(DarlBelegt,10)=0,0,IF(INDEX(DarlOhneTilgung,10)=1,IF(INDEX(DarlBindung,10)="",1,$G4354),IF($J4354&gt;0.005,1,0)))</f>
      </c>
      <c r="J4354" s="43">
        <f>IF($I4353=0,0,$R4353)</f>
      </c>
      <c r="K4354" s="43">
        <f>IF($I4354=0,0,IF(INDEX(DarlOhneTilgung,10)=1,0,IF(AND(INDEX(DarlTilgStart,10)&gt;0,$E4354=INDEX(DarlTilgStart,10)),$J4354*($H4354+INDEX(DarlTilgung,10))/100/12,IF(AND($G4354=0,$G4353=1),MAX($K4353,$J4354*($H4354+1)/100/12),$K4353))))</f>
      </c>
      <c r="L4354" s="43">
        <f>IF($I4354=0,0,$J4354*$H4354/100/12)</f>
      </c>
      <c r="M4354" s="43">
        <f>IF($I4354=0,0,IF(OR(INDEX(DarlOhneTilgung,10)=1,AND(INDEX(DarlTilgStart,10)&gt;0,$E4354&lt;INDEX(DarlTilgStart,10))),0,MIN(MAX(0,$K4354-$L4354),$J4354)))</f>
      </c>
      <c r="N4354" s="43">
        <f>IF($I4354=0,0,MIN(SUMIFS(SondBetrag,SondDarl,10,SondDatum,"&gt;="&amp;$E4354,SondDatum,"&lt;="&amp;EOMONTH($E4354,0)),$J4354-$M4354))</f>
      </c>
      <c r="O4354" s="43">
        <f>IF($I4354=0,0,INDEX(DarlErsatzRate,10))</f>
      </c>
      <c r="P4354" s="43">
        <f>IF($I4354=0,0,$Q4353*INDEX(DarlErsatzZins,10))</f>
      </c>
      <c r="Q4354" s="43">
        <f>IF($I4354=0,0,$Q4353+$P4354+$O4354)</f>
      </c>
      <c r="R4354" s="43">
        <f>IF($I4354=0,0,$J4354-$M4354-$N4354)</f>
      </c>
    </row>
    <row r="4355">
      <c r="A4355"/>
      <c r="B4355">
        <v>10</v>
      </c>
      <c r="C4355" s="43">
        <f>INDEX(DarlObj,10)</f>
      </c>
      <c r="D4355">
        <v>32</v>
      </c>
      <c r="E4355" s="51">
        <f>IF(INDEX(DarlBelegt,10)=0,0,EOMONTH(INDEX(DarlAuszahlung,10),31)+1)</f>
      </c>
      <c r="F4355" s="43">
        <f>IF($E4355=0,0,YEAR($E4355))</f>
      </c>
      <c r="G4355" s="43">
        <f>IF(INDEX(DarlBindung,10)="",1,IF($E4355&lt;=INDEX(DarlBindung,10),1,0))</f>
      </c>
      <c r="H4355" s="43">
        <f>IF($G4355=1,INDEX(DarlSollzins,10),INDEX(DarlAnschluss,10))</f>
      </c>
      <c r="I4355" s="43">
        <f>IF(INDEX(DarlBelegt,10)=0,0,IF(INDEX(DarlOhneTilgung,10)=1,IF(INDEX(DarlBindung,10)="",1,$G4355),IF($J4355&gt;0.005,1,0)))</f>
      </c>
      <c r="J4355" s="43">
        <f>IF($I4354=0,0,$R4354)</f>
      </c>
      <c r="K4355" s="43">
        <f>IF($I4355=0,0,IF(INDEX(DarlOhneTilgung,10)=1,0,IF(AND(INDEX(DarlTilgStart,10)&gt;0,$E4355=INDEX(DarlTilgStart,10)),$J4355*($H4355+INDEX(DarlTilgung,10))/100/12,IF(AND($G4355=0,$G4354=1),MAX($K4354,$J4355*($H4355+1)/100/12),$K4354))))</f>
      </c>
      <c r="L4355" s="43">
        <f>IF($I4355=0,0,$J4355*$H4355/100/12)</f>
      </c>
      <c r="M4355" s="43">
        <f>IF($I4355=0,0,IF(OR(INDEX(DarlOhneTilgung,10)=1,AND(INDEX(DarlTilgStart,10)&gt;0,$E4355&lt;INDEX(DarlTilgStart,10))),0,MIN(MAX(0,$K4355-$L4355),$J4355)))</f>
      </c>
      <c r="N4355" s="43">
        <f>IF($I4355=0,0,MIN(SUMIFS(SondBetrag,SondDarl,10,SondDatum,"&gt;="&amp;$E4355,SondDatum,"&lt;="&amp;EOMONTH($E4355,0)),$J4355-$M4355))</f>
      </c>
      <c r="O4355" s="43">
        <f>IF($I4355=0,0,INDEX(DarlErsatzRate,10))</f>
      </c>
      <c r="P4355" s="43">
        <f>IF($I4355=0,0,$Q4354*INDEX(DarlErsatzZins,10))</f>
      </c>
      <c r="Q4355" s="43">
        <f>IF($I4355=0,0,$Q4354+$P4355+$O4355)</f>
      </c>
      <c r="R4355" s="43">
        <f>IF($I4355=0,0,$J4355-$M4355-$N4355)</f>
      </c>
    </row>
    <row r="4356">
      <c r="A4356"/>
      <c r="B4356">
        <v>10</v>
      </c>
      <c r="C4356" s="43">
        <f>INDEX(DarlObj,10)</f>
      </c>
      <c r="D4356">
        <v>33</v>
      </c>
      <c r="E4356" s="51">
        <f>IF(INDEX(DarlBelegt,10)=0,0,EOMONTH(INDEX(DarlAuszahlung,10),32)+1)</f>
      </c>
      <c r="F4356" s="43">
        <f>IF($E4356=0,0,YEAR($E4356))</f>
      </c>
      <c r="G4356" s="43">
        <f>IF(INDEX(DarlBindung,10)="",1,IF($E4356&lt;=INDEX(DarlBindung,10),1,0))</f>
      </c>
      <c r="H4356" s="43">
        <f>IF($G4356=1,INDEX(DarlSollzins,10),INDEX(DarlAnschluss,10))</f>
      </c>
      <c r="I4356" s="43">
        <f>IF(INDEX(DarlBelegt,10)=0,0,IF(INDEX(DarlOhneTilgung,10)=1,IF(INDEX(DarlBindung,10)="",1,$G4356),IF($J4356&gt;0.005,1,0)))</f>
      </c>
      <c r="J4356" s="43">
        <f>IF($I4355=0,0,$R4355)</f>
      </c>
      <c r="K4356" s="43">
        <f>IF($I4356=0,0,IF(INDEX(DarlOhneTilgung,10)=1,0,IF(AND(INDEX(DarlTilgStart,10)&gt;0,$E4356=INDEX(DarlTilgStart,10)),$J4356*($H4356+INDEX(DarlTilgung,10))/100/12,IF(AND($G4356=0,$G4355=1),MAX($K4355,$J4356*($H4356+1)/100/12),$K4355))))</f>
      </c>
      <c r="L4356" s="43">
        <f>IF($I4356=0,0,$J4356*$H4356/100/12)</f>
      </c>
      <c r="M4356" s="43">
        <f>IF($I4356=0,0,IF(OR(INDEX(DarlOhneTilgung,10)=1,AND(INDEX(DarlTilgStart,10)&gt;0,$E4356&lt;INDEX(DarlTilgStart,10))),0,MIN(MAX(0,$K4356-$L4356),$J4356)))</f>
      </c>
      <c r="N4356" s="43">
        <f>IF($I4356=0,0,MIN(SUMIFS(SondBetrag,SondDarl,10,SondDatum,"&gt;="&amp;$E4356,SondDatum,"&lt;="&amp;EOMONTH($E4356,0)),$J4356-$M4356))</f>
      </c>
      <c r="O4356" s="43">
        <f>IF($I4356=0,0,INDEX(DarlErsatzRate,10))</f>
      </c>
      <c r="P4356" s="43">
        <f>IF($I4356=0,0,$Q4355*INDEX(DarlErsatzZins,10))</f>
      </c>
      <c r="Q4356" s="43">
        <f>IF($I4356=0,0,$Q4355+$P4356+$O4356)</f>
      </c>
      <c r="R4356" s="43">
        <f>IF($I4356=0,0,$J4356-$M4356-$N4356)</f>
      </c>
    </row>
    <row r="4357">
      <c r="A4357"/>
      <c r="B4357">
        <v>10</v>
      </c>
      <c r="C4357" s="43">
        <f>INDEX(DarlObj,10)</f>
      </c>
      <c r="D4357">
        <v>34</v>
      </c>
      <c r="E4357" s="51">
        <f>IF(INDEX(DarlBelegt,10)=0,0,EOMONTH(INDEX(DarlAuszahlung,10),33)+1)</f>
      </c>
      <c r="F4357" s="43">
        <f>IF($E4357=0,0,YEAR($E4357))</f>
      </c>
      <c r="G4357" s="43">
        <f>IF(INDEX(DarlBindung,10)="",1,IF($E4357&lt;=INDEX(DarlBindung,10),1,0))</f>
      </c>
      <c r="H4357" s="43">
        <f>IF($G4357=1,INDEX(DarlSollzins,10),INDEX(DarlAnschluss,10))</f>
      </c>
      <c r="I4357" s="43">
        <f>IF(INDEX(DarlBelegt,10)=0,0,IF(INDEX(DarlOhneTilgung,10)=1,IF(INDEX(DarlBindung,10)="",1,$G4357),IF($J4357&gt;0.005,1,0)))</f>
      </c>
      <c r="J4357" s="43">
        <f>IF($I4356=0,0,$R4356)</f>
      </c>
      <c r="K4357" s="43">
        <f>IF($I4357=0,0,IF(INDEX(DarlOhneTilgung,10)=1,0,IF(AND(INDEX(DarlTilgStart,10)&gt;0,$E4357=INDEX(DarlTilgStart,10)),$J4357*($H4357+INDEX(DarlTilgung,10))/100/12,IF(AND($G4357=0,$G4356=1),MAX($K4356,$J4357*($H4357+1)/100/12),$K4356))))</f>
      </c>
      <c r="L4357" s="43">
        <f>IF($I4357=0,0,$J4357*$H4357/100/12)</f>
      </c>
      <c r="M4357" s="43">
        <f>IF($I4357=0,0,IF(OR(INDEX(DarlOhneTilgung,10)=1,AND(INDEX(DarlTilgStart,10)&gt;0,$E4357&lt;INDEX(DarlTilgStart,10))),0,MIN(MAX(0,$K4357-$L4357),$J4357)))</f>
      </c>
      <c r="N4357" s="43">
        <f>IF($I4357=0,0,MIN(SUMIFS(SondBetrag,SondDarl,10,SondDatum,"&gt;="&amp;$E4357,SondDatum,"&lt;="&amp;EOMONTH($E4357,0)),$J4357-$M4357))</f>
      </c>
      <c r="O4357" s="43">
        <f>IF($I4357=0,0,INDEX(DarlErsatzRate,10))</f>
      </c>
      <c r="P4357" s="43">
        <f>IF($I4357=0,0,$Q4356*INDEX(DarlErsatzZins,10))</f>
      </c>
      <c r="Q4357" s="43">
        <f>IF($I4357=0,0,$Q4356+$P4357+$O4357)</f>
      </c>
      <c r="R4357" s="43">
        <f>IF($I4357=0,0,$J4357-$M4357-$N4357)</f>
      </c>
    </row>
    <row r="4358">
      <c r="A4358"/>
      <c r="B4358">
        <v>10</v>
      </c>
      <c r="C4358" s="43">
        <f>INDEX(DarlObj,10)</f>
      </c>
      <c r="D4358">
        <v>35</v>
      </c>
      <c r="E4358" s="51">
        <f>IF(INDEX(DarlBelegt,10)=0,0,EOMONTH(INDEX(DarlAuszahlung,10),34)+1)</f>
      </c>
      <c r="F4358" s="43">
        <f>IF($E4358=0,0,YEAR($E4358))</f>
      </c>
      <c r="G4358" s="43">
        <f>IF(INDEX(DarlBindung,10)="",1,IF($E4358&lt;=INDEX(DarlBindung,10),1,0))</f>
      </c>
      <c r="H4358" s="43">
        <f>IF($G4358=1,INDEX(DarlSollzins,10),INDEX(DarlAnschluss,10))</f>
      </c>
      <c r="I4358" s="43">
        <f>IF(INDEX(DarlBelegt,10)=0,0,IF(INDEX(DarlOhneTilgung,10)=1,IF(INDEX(DarlBindung,10)="",1,$G4358),IF($J4358&gt;0.005,1,0)))</f>
      </c>
      <c r="J4358" s="43">
        <f>IF($I4357=0,0,$R4357)</f>
      </c>
      <c r="K4358" s="43">
        <f>IF($I4358=0,0,IF(INDEX(DarlOhneTilgung,10)=1,0,IF(AND(INDEX(DarlTilgStart,10)&gt;0,$E4358=INDEX(DarlTilgStart,10)),$J4358*($H4358+INDEX(DarlTilgung,10))/100/12,IF(AND($G4358=0,$G4357=1),MAX($K4357,$J4358*($H4358+1)/100/12),$K4357))))</f>
      </c>
      <c r="L4358" s="43">
        <f>IF($I4358=0,0,$J4358*$H4358/100/12)</f>
      </c>
      <c r="M4358" s="43">
        <f>IF($I4358=0,0,IF(OR(INDEX(DarlOhneTilgung,10)=1,AND(INDEX(DarlTilgStart,10)&gt;0,$E4358&lt;INDEX(DarlTilgStart,10))),0,MIN(MAX(0,$K4358-$L4358),$J4358)))</f>
      </c>
      <c r="N4358" s="43">
        <f>IF($I4358=0,0,MIN(SUMIFS(SondBetrag,SondDarl,10,SondDatum,"&gt;="&amp;$E4358,SondDatum,"&lt;="&amp;EOMONTH($E4358,0)),$J4358-$M4358))</f>
      </c>
      <c r="O4358" s="43">
        <f>IF($I4358=0,0,INDEX(DarlErsatzRate,10))</f>
      </c>
      <c r="P4358" s="43">
        <f>IF($I4358=0,0,$Q4357*INDEX(DarlErsatzZins,10))</f>
      </c>
      <c r="Q4358" s="43">
        <f>IF($I4358=0,0,$Q4357+$P4358+$O4358)</f>
      </c>
      <c r="R4358" s="43">
        <f>IF($I4358=0,0,$J4358-$M4358-$N4358)</f>
      </c>
    </row>
    <row r="4359">
      <c r="A4359"/>
      <c r="B4359">
        <v>10</v>
      </c>
      <c r="C4359" s="43">
        <f>INDEX(DarlObj,10)</f>
      </c>
      <c r="D4359">
        <v>36</v>
      </c>
      <c r="E4359" s="51">
        <f>IF(INDEX(DarlBelegt,10)=0,0,EOMONTH(INDEX(DarlAuszahlung,10),35)+1)</f>
      </c>
      <c r="F4359" s="43">
        <f>IF($E4359=0,0,YEAR($E4359))</f>
      </c>
      <c r="G4359" s="43">
        <f>IF(INDEX(DarlBindung,10)="",1,IF($E4359&lt;=INDEX(DarlBindung,10),1,0))</f>
      </c>
      <c r="H4359" s="43">
        <f>IF($G4359=1,INDEX(DarlSollzins,10),INDEX(DarlAnschluss,10))</f>
      </c>
      <c r="I4359" s="43">
        <f>IF(INDEX(DarlBelegt,10)=0,0,IF(INDEX(DarlOhneTilgung,10)=1,IF(INDEX(DarlBindung,10)="",1,$G4359),IF($J4359&gt;0.005,1,0)))</f>
      </c>
      <c r="J4359" s="43">
        <f>IF($I4358=0,0,$R4358)</f>
      </c>
      <c r="K4359" s="43">
        <f>IF($I4359=0,0,IF(INDEX(DarlOhneTilgung,10)=1,0,IF(AND(INDEX(DarlTilgStart,10)&gt;0,$E4359=INDEX(DarlTilgStart,10)),$J4359*($H4359+INDEX(DarlTilgung,10))/100/12,IF(AND($G4359=0,$G4358=1),MAX($K4358,$J4359*($H4359+1)/100/12),$K4358))))</f>
      </c>
      <c r="L4359" s="43">
        <f>IF($I4359=0,0,$J4359*$H4359/100/12)</f>
      </c>
      <c r="M4359" s="43">
        <f>IF($I4359=0,0,IF(OR(INDEX(DarlOhneTilgung,10)=1,AND(INDEX(DarlTilgStart,10)&gt;0,$E4359&lt;INDEX(DarlTilgStart,10))),0,MIN(MAX(0,$K4359-$L4359),$J4359)))</f>
      </c>
      <c r="N4359" s="43">
        <f>IF($I4359=0,0,MIN(SUMIFS(SondBetrag,SondDarl,10,SondDatum,"&gt;="&amp;$E4359,SondDatum,"&lt;="&amp;EOMONTH($E4359,0)),$J4359-$M4359))</f>
      </c>
      <c r="O4359" s="43">
        <f>IF($I4359=0,0,INDEX(DarlErsatzRate,10))</f>
      </c>
      <c r="P4359" s="43">
        <f>IF($I4359=0,0,$Q4358*INDEX(DarlErsatzZins,10))</f>
      </c>
      <c r="Q4359" s="43">
        <f>IF($I4359=0,0,$Q4358+$P4359+$O4359)</f>
      </c>
      <c r="R4359" s="43">
        <f>IF($I4359=0,0,$J4359-$M4359-$N4359)</f>
      </c>
    </row>
    <row r="4360">
      <c r="A4360"/>
      <c r="B4360">
        <v>10</v>
      </c>
      <c r="C4360" s="43">
        <f>INDEX(DarlObj,10)</f>
      </c>
      <c r="D4360">
        <v>37</v>
      </c>
      <c r="E4360" s="51">
        <f>IF(INDEX(DarlBelegt,10)=0,0,EOMONTH(INDEX(DarlAuszahlung,10),36)+1)</f>
      </c>
      <c r="F4360" s="43">
        <f>IF($E4360=0,0,YEAR($E4360))</f>
      </c>
      <c r="G4360" s="43">
        <f>IF(INDEX(DarlBindung,10)="",1,IF($E4360&lt;=INDEX(DarlBindung,10),1,0))</f>
      </c>
      <c r="H4360" s="43">
        <f>IF($G4360=1,INDEX(DarlSollzins,10),INDEX(DarlAnschluss,10))</f>
      </c>
      <c r="I4360" s="43">
        <f>IF(INDEX(DarlBelegt,10)=0,0,IF(INDEX(DarlOhneTilgung,10)=1,IF(INDEX(DarlBindung,10)="",1,$G4360),IF($J4360&gt;0.005,1,0)))</f>
      </c>
      <c r="J4360" s="43">
        <f>IF($I4359=0,0,$R4359)</f>
      </c>
      <c r="K4360" s="43">
        <f>IF($I4360=0,0,IF(INDEX(DarlOhneTilgung,10)=1,0,IF(AND(INDEX(DarlTilgStart,10)&gt;0,$E4360=INDEX(DarlTilgStart,10)),$J4360*($H4360+INDEX(DarlTilgung,10))/100/12,IF(AND($G4360=0,$G4359=1),MAX($K4359,$J4360*($H4360+1)/100/12),$K4359))))</f>
      </c>
      <c r="L4360" s="43">
        <f>IF($I4360=0,0,$J4360*$H4360/100/12)</f>
      </c>
      <c r="M4360" s="43">
        <f>IF($I4360=0,0,IF(OR(INDEX(DarlOhneTilgung,10)=1,AND(INDEX(DarlTilgStart,10)&gt;0,$E4360&lt;INDEX(DarlTilgStart,10))),0,MIN(MAX(0,$K4360-$L4360),$J4360)))</f>
      </c>
      <c r="N4360" s="43">
        <f>IF($I4360=0,0,MIN(SUMIFS(SondBetrag,SondDarl,10,SondDatum,"&gt;="&amp;$E4360,SondDatum,"&lt;="&amp;EOMONTH($E4360,0)),$J4360-$M4360))</f>
      </c>
      <c r="O4360" s="43">
        <f>IF($I4360=0,0,INDEX(DarlErsatzRate,10))</f>
      </c>
      <c r="P4360" s="43">
        <f>IF($I4360=0,0,$Q4359*INDEX(DarlErsatzZins,10))</f>
      </c>
      <c r="Q4360" s="43">
        <f>IF($I4360=0,0,$Q4359+$P4360+$O4360)</f>
      </c>
      <c r="R4360" s="43">
        <f>IF($I4360=0,0,$J4360-$M4360-$N4360)</f>
      </c>
    </row>
    <row r="4361">
      <c r="A4361"/>
      <c r="B4361">
        <v>10</v>
      </c>
      <c r="C4361" s="43">
        <f>INDEX(DarlObj,10)</f>
      </c>
      <c r="D4361">
        <v>38</v>
      </c>
      <c r="E4361" s="51">
        <f>IF(INDEX(DarlBelegt,10)=0,0,EOMONTH(INDEX(DarlAuszahlung,10),37)+1)</f>
      </c>
      <c r="F4361" s="43">
        <f>IF($E4361=0,0,YEAR($E4361))</f>
      </c>
      <c r="G4361" s="43">
        <f>IF(INDEX(DarlBindung,10)="",1,IF($E4361&lt;=INDEX(DarlBindung,10),1,0))</f>
      </c>
      <c r="H4361" s="43">
        <f>IF($G4361=1,INDEX(DarlSollzins,10),INDEX(DarlAnschluss,10))</f>
      </c>
      <c r="I4361" s="43">
        <f>IF(INDEX(DarlBelegt,10)=0,0,IF(INDEX(DarlOhneTilgung,10)=1,IF(INDEX(DarlBindung,10)="",1,$G4361),IF($J4361&gt;0.005,1,0)))</f>
      </c>
      <c r="J4361" s="43">
        <f>IF($I4360=0,0,$R4360)</f>
      </c>
      <c r="K4361" s="43">
        <f>IF($I4361=0,0,IF(INDEX(DarlOhneTilgung,10)=1,0,IF(AND(INDEX(DarlTilgStart,10)&gt;0,$E4361=INDEX(DarlTilgStart,10)),$J4361*($H4361+INDEX(DarlTilgung,10))/100/12,IF(AND($G4361=0,$G4360=1),MAX($K4360,$J4361*($H4361+1)/100/12),$K4360))))</f>
      </c>
      <c r="L4361" s="43">
        <f>IF($I4361=0,0,$J4361*$H4361/100/12)</f>
      </c>
      <c r="M4361" s="43">
        <f>IF($I4361=0,0,IF(OR(INDEX(DarlOhneTilgung,10)=1,AND(INDEX(DarlTilgStart,10)&gt;0,$E4361&lt;INDEX(DarlTilgStart,10))),0,MIN(MAX(0,$K4361-$L4361),$J4361)))</f>
      </c>
      <c r="N4361" s="43">
        <f>IF($I4361=0,0,MIN(SUMIFS(SondBetrag,SondDarl,10,SondDatum,"&gt;="&amp;$E4361,SondDatum,"&lt;="&amp;EOMONTH($E4361,0)),$J4361-$M4361))</f>
      </c>
      <c r="O4361" s="43">
        <f>IF($I4361=0,0,INDEX(DarlErsatzRate,10))</f>
      </c>
      <c r="P4361" s="43">
        <f>IF($I4361=0,0,$Q4360*INDEX(DarlErsatzZins,10))</f>
      </c>
      <c r="Q4361" s="43">
        <f>IF($I4361=0,0,$Q4360+$P4361+$O4361)</f>
      </c>
      <c r="R4361" s="43">
        <f>IF($I4361=0,0,$J4361-$M4361-$N4361)</f>
      </c>
    </row>
    <row r="4362">
      <c r="A4362"/>
      <c r="B4362">
        <v>10</v>
      </c>
      <c r="C4362" s="43">
        <f>INDEX(DarlObj,10)</f>
      </c>
      <c r="D4362">
        <v>39</v>
      </c>
      <c r="E4362" s="51">
        <f>IF(INDEX(DarlBelegt,10)=0,0,EOMONTH(INDEX(DarlAuszahlung,10),38)+1)</f>
      </c>
      <c r="F4362" s="43">
        <f>IF($E4362=0,0,YEAR($E4362))</f>
      </c>
      <c r="G4362" s="43">
        <f>IF(INDEX(DarlBindung,10)="",1,IF($E4362&lt;=INDEX(DarlBindung,10),1,0))</f>
      </c>
      <c r="H4362" s="43">
        <f>IF($G4362=1,INDEX(DarlSollzins,10),INDEX(DarlAnschluss,10))</f>
      </c>
      <c r="I4362" s="43">
        <f>IF(INDEX(DarlBelegt,10)=0,0,IF(INDEX(DarlOhneTilgung,10)=1,IF(INDEX(DarlBindung,10)="",1,$G4362),IF($J4362&gt;0.005,1,0)))</f>
      </c>
      <c r="J4362" s="43">
        <f>IF($I4361=0,0,$R4361)</f>
      </c>
      <c r="K4362" s="43">
        <f>IF($I4362=0,0,IF(INDEX(DarlOhneTilgung,10)=1,0,IF(AND(INDEX(DarlTilgStart,10)&gt;0,$E4362=INDEX(DarlTilgStart,10)),$J4362*($H4362+INDEX(DarlTilgung,10))/100/12,IF(AND($G4362=0,$G4361=1),MAX($K4361,$J4362*($H4362+1)/100/12),$K4361))))</f>
      </c>
      <c r="L4362" s="43">
        <f>IF($I4362=0,0,$J4362*$H4362/100/12)</f>
      </c>
      <c r="M4362" s="43">
        <f>IF($I4362=0,0,IF(OR(INDEX(DarlOhneTilgung,10)=1,AND(INDEX(DarlTilgStart,10)&gt;0,$E4362&lt;INDEX(DarlTilgStart,10))),0,MIN(MAX(0,$K4362-$L4362),$J4362)))</f>
      </c>
      <c r="N4362" s="43">
        <f>IF($I4362=0,0,MIN(SUMIFS(SondBetrag,SondDarl,10,SondDatum,"&gt;="&amp;$E4362,SondDatum,"&lt;="&amp;EOMONTH($E4362,0)),$J4362-$M4362))</f>
      </c>
      <c r="O4362" s="43">
        <f>IF($I4362=0,0,INDEX(DarlErsatzRate,10))</f>
      </c>
      <c r="P4362" s="43">
        <f>IF($I4362=0,0,$Q4361*INDEX(DarlErsatzZins,10))</f>
      </c>
      <c r="Q4362" s="43">
        <f>IF($I4362=0,0,$Q4361+$P4362+$O4362)</f>
      </c>
      <c r="R4362" s="43">
        <f>IF($I4362=0,0,$J4362-$M4362-$N4362)</f>
      </c>
    </row>
    <row r="4363">
      <c r="A4363"/>
      <c r="B4363">
        <v>10</v>
      </c>
      <c r="C4363" s="43">
        <f>INDEX(DarlObj,10)</f>
      </c>
      <c r="D4363">
        <v>40</v>
      </c>
      <c r="E4363" s="51">
        <f>IF(INDEX(DarlBelegt,10)=0,0,EOMONTH(INDEX(DarlAuszahlung,10),39)+1)</f>
      </c>
      <c r="F4363" s="43">
        <f>IF($E4363=0,0,YEAR($E4363))</f>
      </c>
      <c r="G4363" s="43">
        <f>IF(INDEX(DarlBindung,10)="",1,IF($E4363&lt;=INDEX(DarlBindung,10),1,0))</f>
      </c>
      <c r="H4363" s="43">
        <f>IF($G4363=1,INDEX(DarlSollzins,10),INDEX(DarlAnschluss,10))</f>
      </c>
      <c r="I4363" s="43">
        <f>IF(INDEX(DarlBelegt,10)=0,0,IF(INDEX(DarlOhneTilgung,10)=1,IF(INDEX(DarlBindung,10)="",1,$G4363),IF($J4363&gt;0.005,1,0)))</f>
      </c>
      <c r="J4363" s="43">
        <f>IF($I4362=0,0,$R4362)</f>
      </c>
      <c r="K4363" s="43">
        <f>IF($I4363=0,0,IF(INDEX(DarlOhneTilgung,10)=1,0,IF(AND(INDEX(DarlTilgStart,10)&gt;0,$E4363=INDEX(DarlTilgStart,10)),$J4363*($H4363+INDEX(DarlTilgung,10))/100/12,IF(AND($G4363=0,$G4362=1),MAX($K4362,$J4363*($H4363+1)/100/12),$K4362))))</f>
      </c>
      <c r="L4363" s="43">
        <f>IF($I4363=0,0,$J4363*$H4363/100/12)</f>
      </c>
      <c r="M4363" s="43">
        <f>IF($I4363=0,0,IF(OR(INDEX(DarlOhneTilgung,10)=1,AND(INDEX(DarlTilgStart,10)&gt;0,$E4363&lt;INDEX(DarlTilgStart,10))),0,MIN(MAX(0,$K4363-$L4363),$J4363)))</f>
      </c>
      <c r="N4363" s="43">
        <f>IF($I4363=0,0,MIN(SUMIFS(SondBetrag,SondDarl,10,SondDatum,"&gt;="&amp;$E4363,SondDatum,"&lt;="&amp;EOMONTH($E4363,0)),$J4363-$M4363))</f>
      </c>
      <c r="O4363" s="43">
        <f>IF($I4363=0,0,INDEX(DarlErsatzRate,10))</f>
      </c>
      <c r="P4363" s="43">
        <f>IF($I4363=0,0,$Q4362*INDEX(DarlErsatzZins,10))</f>
      </c>
      <c r="Q4363" s="43">
        <f>IF($I4363=0,0,$Q4362+$P4363+$O4363)</f>
      </c>
      <c r="R4363" s="43">
        <f>IF($I4363=0,0,$J4363-$M4363-$N4363)</f>
      </c>
    </row>
    <row r="4364">
      <c r="A4364"/>
      <c r="B4364">
        <v>10</v>
      </c>
      <c r="C4364" s="43">
        <f>INDEX(DarlObj,10)</f>
      </c>
      <c r="D4364">
        <v>41</v>
      </c>
      <c r="E4364" s="51">
        <f>IF(INDEX(DarlBelegt,10)=0,0,EOMONTH(INDEX(DarlAuszahlung,10),40)+1)</f>
      </c>
      <c r="F4364" s="43">
        <f>IF($E4364=0,0,YEAR($E4364))</f>
      </c>
      <c r="G4364" s="43">
        <f>IF(INDEX(DarlBindung,10)="",1,IF($E4364&lt;=INDEX(DarlBindung,10),1,0))</f>
      </c>
      <c r="H4364" s="43">
        <f>IF($G4364=1,INDEX(DarlSollzins,10),INDEX(DarlAnschluss,10))</f>
      </c>
      <c r="I4364" s="43">
        <f>IF(INDEX(DarlBelegt,10)=0,0,IF(INDEX(DarlOhneTilgung,10)=1,IF(INDEX(DarlBindung,10)="",1,$G4364),IF($J4364&gt;0.005,1,0)))</f>
      </c>
      <c r="J4364" s="43">
        <f>IF($I4363=0,0,$R4363)</f>
      </c>
      <c r="K4364" s="43">
        <f>IF($I4364=0,0,IF(INDEX(DarlOhneTilgung,10)=1,0,IF(AND(INDEX(DarlTilgStart,10)&gt;0,$E4364=INDEX(DarlTilgStart,10)),$J4364*($H4364+INDEX(DarlTilgung,10))/100/12,IF(AND($G4364=0,$G4363=1),MAX($K4363,$J4364*($H4364+1)/100/12),$K4363))))</f>
      </c>
      <c r="L4364" s="43">
        <f>IF($I4364=0,0,$J4364*$H4364/100/12)</f>
      </c>
      <c r="M4364" s="43">
        <f>IF($I4364=0,0,IF(OR(INDEX(DarlOhneTilgung,10)=1,AND(INDEX(DarlTilgStart,10)&gt;0,$E4364&lt;INDEX(DarlTilgStart,10))),0,MIN(MAX(0,$K4364-$L4364),$J4364)))</f>
      </c>
      <c r="N4364" s="43">
        <f>IF($I4364=0,0,MIN(SUMIFS(SondBetrag,SondDarl,10,SondDatum,"&gt;="&amp;$E4364,SondDatum,"&lt;="&amp;EOMONTH($E4364,0)),$J4364-$M4364))</f>
      </c>
      <c r="O4364" s="43">
        <f>IF($I4364=0,0,INDEX(DarlErsatzRate,10))</f>
      </c>
      <c r="P4364" s="43">
        <f>IF($I4364=0,0,$Q4363*INDEX(DarlErsatzZins,10))</f>
      </c>
      <c r="Q4364" s="43">
        <f>IF($I4364=0,0,$Q4363+$P4364+$O4364)</f>
      </c>
      <c r="R4364" s="43">
        <f>IF($I4364=0,0,$J4364-$M4364-$N4364)</f>
      </c>
    </row>
    <row r="4365">
      <c r="A4365"/>
      <c r="B4365">
        <v>10</v>
      </c>
      <c r="C4365" s="43">
        <f>INDEX(DarlObj,10)</f>
      </c>
      <c r="D4365">
        <v>42</v>
      </c>
      <c r="E4365" s="51">
        <f>IF(INDEX(DarlBelegt,10)=0,0,EOMONTH(INDEX(DarlAuszahlung,10),41)+1)</f>
      </c>
      <c r="F4365" s="43">
        <f>IF($E4365=0,0,YEAR($E4365))</f>
      </c>
      <c r="G4365" s="43">
        <f>IF(INDEX(DarlBindung,10)="",1,IF($E4365&lt;=INDEX(DarlBindung,10),1,0))</f>
      </c>
      <c r="H4365" s="43">
        <f>IF($G4365=1,INDEX(DarlSollzins,10),INDEX(DarlAnschluss,10))</f>
      </c>
      <c r="I4365" s="43">
        <f>IF(INDEX(DarlBelegt,10)=0,0,IF(INDEX(DarlOhneTilgung,10)=1,IF(INDEX(DarlBindung,10)="",1,$G4365),IF($J4365&gt;0.005,1,0)))</f>
      </c>
      <c r="J4365" s="43">
        <f>IF($I4364=0,0,$R4364)</f>
      </c>
      <c r="K4365" s="43">
        <f>IF($I4365=0,0,IF(INDEX(DarlOhneTilgung,10)=1,0,IF(AND(INDEX(DarlTilgStart,10)&gt;0,$E4365=INDEX(DarlTilgStart,10)),$J4365*($H4365+INDEX(DarlTilgung,10))/100/12,IF(AND($G4365=0,$G4364=1),MAX($K4364,$J4365*($H4365+1)/100/12),$K4364))))</f>
      </c>
      <c r="L4365" s="43">
        <f>IF($I4365=0,0,$J4365*$H4365/100/12)</f>
      </c>
      <c r="M4365" s="43">
        <f>IF($I4365=0,0,IF(OR(INDEX(DarlOhneTilgung,10)=1,AND(INDEX(DarlTilgStart,10)&gt;0,$E4365&lt;INDEX(DarlTilgStart,10))),0,MIN(MAX(0,$K4365-$L4365),$J4365)))</f>
      </c>
      <c r="N4365" s="43">
        <f>IF($I4365=0,0,MIN(SUMIFS(SondBetrag,SondDarl,10,SondDatum,"&gt;="&amp;$E4365,SondDatum,"&lt;="&amp;EOMONTH($E4365,0)),$J4365-$M4365))</f>
      </c>
      <c r="O4365" s="43">
        <f>IF($I4365=0,0,INDEX(DarlErsatzRate,10))</f>
      </c>
      <c r="P4365" s="43">
        <f>IF($I4365=0,0,$Q4364*INDEX(DarlErsatzZins,10))</f>
      </c>
      <c r="Q4365" s="43">
        <f>IF($I4365=0,0,$Q4364+$P4365+$O4365)</f>
      </c>
      <c r="R4365" s="43">
        <f>IF($I4365=0,0,$J4365-$M4365-$N4365)</f>
      </c>
    </row>
    <row r="4366">
      <c r="A4366"/>
      <c r="B4366">
        <v>10</v>
      </c>
      <c r="C4366" s="43">
        <f>INDEX(DarlObj,10)</f>
      </c>
      <c r="D4366">
        <v>43</v>
      </c>
      <c r="E4366" s="51">
        <f>IF(INDEX(DarlBelegt,10)=0,0,EOMONTH(INDEX(DarlAuszahlung,10),42)+1)</f>
      </c>
      <c r="F4366" s="43">
        <f>IF($E4366=0,0,YEAR($E4366))</f>
      </c>
      <c r="G4366" s="43">
        <f>IF(INDEX(DarlBindung,10)="",1,IF($E4366&lt;=INDEX(DarlBindung,10),1,0))</f>
      </c>
      <c r="H4366" s="43">
        <f>IF($G4366=1,INDEX(DarlSollzins,10),INDEX(DarlAnschluss,10))</f>
      </c>
      <c r="I4366" s="43">
        <f>IF(INDEX(DarlBelegt,10)=0,0,IF(INDEX(DarlOhneTilgung,10)=1,IF(INDEX(DarlBindung,10)="",1,$G4366),IF($J4366&gt;0.005,1,0)))</f>
      </c>
      <c r="J4366" s="43">
        <f>IF($I4365=0,0,$R4365)</f>
      </c>
      <c r="K4366" s="43">
        <f>IF($I4366=0,0,IF(INDEX(DarlOhneTilgung,10)=1,0,IF(AND(INDEX(DarlTilgStart,10)&gt;0,$E4366=INDEX(DarlTilgStart,10)),$J4366*($H4366+INDEX(DarlTilgung,10))/100/12,IF(AND($G4366=0,$G4365=1),MAX($K4365,$J4366*($H4366+1)/100/12),$K4365))))</f>
      </c>
      <c r="L4366" s="43">
        <f>IF($I4366=0,0,$J4366*$H4366/100/12)</f>
      </c>
      <c r="M4366" s="43">
        <f>IF($I4366=0,0,IF(OR(INDEX(DarlOhneTilgung,10)=1,AND(INDEX(DarlTilgStart,10)&gt;0,$E4366&lt;INDEX(DarlTilgStart,10))),0,MIN(MAX(0,$K4366-$L4366),$J4366)))</f>
      </c>
      <c r="N4366" s="43">
        <f>IF($I4366=0,0,MIN(SUMIFS(SondBetrag,SondDarl,10,SondDatum,"&gt;="&amp;$E4366,SondDatum,"&lt;="&amp;EOMONTH($E4366,0)),$J4366-$M4366))</f>
      </c>
      <c r="O4366" s="43">
        <f>IF($I4366=0,0,INDEX(DarlErsatzRate,10))</f>
      </c>
      <c r="P4366" s="43">
        <f>IF($I4366=0,0,$Q4365*INDEX(DarlErsatzZins,10))</f>
      </c>
      <c r="Q4366" s="43">
        <f>IF($I4366=0,0,$Q4365+$P4366+$O4366)</f>
      </c>
      <c r="R4366" s="43">
        <f>IF($I4366=0,0,$J4366-$M4366-$N4366)</f>
      </c>
    </row>
    <row r="4367">
      <c r="A4367"/>
      <c r="B4367">
        <v>10</v>
      </c>
      <c r="C4367" s="43">
        <f>INDEX(DarlObj,10)</f>
      </c>
      <c r="D4367">
        <v>44</v>
      </c>
      <c r="E4367" s="51">
        <f>IF(INDEX(DarlBelegt,10)=0,0,EOMONTH(INDEX(DarlAuszahlung,10),43)+1)</f>
      </c>
      <c r="F4367" s="43">
        <f>IF($E4367=0,0,YEAR($E4367))</f>
      </c>
      <c r="G4367" s="43">
        <f>IF(INDEX(DarlBindung,10)="",1,IF($E4367&lt;=INDEX(DarlBindung,10),1,0))</f>
      </c>
      <c r="H4367" s="43">
        <f>IF($G4367=1,INDEX(DarlSollzins,10),INDEX(DarlAnschluss,10))</f>
      </c>
      <c r="I4367" s="43">
        <f>IF(INDEX(DarlBelegt,10)=0,0,IF(INDEX(DarlOhneTilgung,10)=1,IF(INDEX(DarlBindung,10)="",1,$G4367),IF($J4367&gt;0.005,1,0)))</f>
      </c>
      <c r="J4367" s="43">
        <f>IF($I4366=0,0,$R4366)</f>
      </c>
      <c r="K4367" s="43">
        <f>IF($I4367=0,0,IF(INDEX(DarlOhneTilgung,10)=1,0,IF(AND(INDEX(DarlTilgStart,10)&gt;0,$E4367=INDEX(DarlTilgStart,10)),$J4367*($H4367+INDEX(DarlTilgung,10))/100/12,IF(AND($G4367=0,$G4366=1),MAX($K4366,$J4367*($H4367+1)/100/12),$K4366))))</f>
      </c>
      <c r="L4367" s="43">
        <f>IF($I4367=0,0,$J4367*$H4367/100/12)</f>
      </c>
      <c r="M4367" s="43">
        <f>IF($I4367=0,0,IF(OR(INDEX(DarlOhneTilgung,10)=1,AND(INDEX(DarlTilgStart,10)&gt;0,$E4367&lt;INDEX(DarlTilgStart,10))),0,MIN(MAX(0,$K4367-$L4367),$J4367)))</f>
      </c>
      <c r="N4367" s="43">
        <f>IF($I4367=0,0,MIN(SUMIFS(SondBetrag,SondDarl,10,SondDatum,"&gt;="&amp;$E4367,SondDatum,"&lt;="&amp;EOMONTH($E4367,0)),$J4367-$M4367))</f>
      </c>
      <c r="O4367" s="43">
        <f>IF($I4367=0,0,INDEX(DarlErsatzRate,10))</f>
      </c>
      <c r="P4367" s="43">
        <f>IF($I4367=0,0,$Q4366*INDEX(DarlErsatzZins,10))</f>
      </c>
      <c r="Q4367" s="43">
        <f>IF($I4367=0,0,$Q4366+$P4367+$O4367)</f>
      </c>
      <c r="R4367" s="43">
        <f>IF($I4367=0,0,$J4367-$M4367-$N4367)</f>
      </c>
    </row>
    <row r="4368">
      <c r="A4368"/>
      <c r="B4368">
        <v>10</v>
      </c>
      <c r="C4368" s="43">
        <f>INDEX(DarlObj,10)</f>
      </c>
      <c r="D4368">
        <v>45</v>
      </c>
      <c r="E4368" s="51">
        <f>IF(INDEX(DarlBelegt,10)=0,0,EOMONTH(INDEX(DarlAuszahlung,10),44)+1)</f>
      </c>
      <c r="F4368" s="43">
        <f>IF($E4368=0,0,YEAR($E4368))</f>
      </c>
      <c r="G4368" s="43">
        <f>IF(INDEX(DarlBindung,10)="",1,IF($E4368&lt;=INDEX(DarlBindung,10),1,0))</f>
      </c>
      <c r="H4368" s="43">
        <f>IF($G4368=1,INDEX(DarlSollzins,10),INDEX(DarlAnschluss,10))</f>
      </c>
      <c r="I4368" s="43">
        <f>IF(INDEX(DarlBelegt,10)=0,0,IF(INDEX(DarlOhneTilgung,10)=1,IF(INDEX(DarlBindung,10)="",1,$G4368),IF($J4368&gt;0.005,1,0)))</f>
      </c>
      <c r="J4368" s="43">
        <f>IF($I4367=0,0,$R4367)</f>
      </c>
      <c r="K4368" s="43">
        <f>IF($I4368=0,0,IF(INDEX(DarlOhneTilgung,10)=1,0,IF(AND(INDEX(DarlTilgStart,10)&gt;0,$E4368=INDEX(DarlTilgStart,10)),$J4368*($H4368+INDEX(DarlTilgung,10))/100/12,IF(AND($G4368=0,$G4367=1),MAX($K4367,$J4368*($H4368+1)/100/12),$K4367))))</f>
      </c>
      <c r="L4368" s="43">
        <f>IF($I4368=0,0,$J4368*$H4368/100/12)</f>
      </c>
      <c r="M4368" s="43">
        <f>IF($I4368=0,0,IF(OR(INDEX(DarlOhneTilgung,10)=1,AND(INDEX(DarlTilgStart,10)&gt;0,$E4368&lt;INDEX(DarlTilgStart,10))),0,MIN(MAX(0,$K4368-$L4368),$J4368)))</f>
      </c>
      <c r="N4368" s="43">
        <f>IF($I4368=0,0,MIN(SUMIFS(SondBetrag,SondDarl,10,SondDatum,"&gt;="&amp;$E4368,SondDatum,"&lt;="&amp;EOMONTH($E4368,0)),$J4368-$M4368))</f>
      </c>
      <c r="O4368" s="43">
        <f>IF($I4368=0,0,INDEX(DarlErsatzRate,10))</f>
      </c>
      <c r="P4368" s="43">
        <f>IF($I4368=0,0,$Q4367*INDEX(DarlErsatzZins,10))</f>
      </c>
      <c r="Q4368" s="43">
        <f>IF($I4368=0,0,$Q4367+$P4368+$O4368)</f>
      </c>
      <c r="R4368" s="43">
        <f>IF($I4368=0,0,$J4368-$M4368-$N4368)</f>
      </c>
    </row>
    <row r="4369">
      <c r="A4369"/>
      <c r="B4369">
        <v>10</v>
      </c>
      <c r="C4369" s="43">
        <f>INDEX(DarlObj,10)</f>
      </c>
      <c r="D4369">
        <v>46</v>
      </c>
      <c r="E4369" s="51">
        <f>IF(INDEX(DarlBelegt,10)=0,0,EOMONTH(INDEX(DarlAuszahlung,10),45)+1)</f>
      </c>
      <c r="F4369" s="43">
        <f>IF($E4369=0,0,YEAR($E4369))</f>
      </c>
      <c r="G4369" s="43">
        <f>IF(INDEX(DarlBindung,10)="",1,IF($E4369&lt;=INDEX(DarlBindung,10),1,0))</f>
      </c>
      <c r="H4369" s="43">
        <f>IF($G4369=1,INDEX(DarlSollzins,10),INDEX(DarlAnschluss,10))</f>
      </c>
      <c r="I4369" s="43">
        <f>IF(INDEX(DarlBelegt,10)=0,0,IF(INDEX(DarlOhneTilgung,10)=1,IF(INDEX(DarlBindung,10)="",1,$G4369),IF($J4369&gt;0.005,1,0)))</f>
      </c>
      <c r="J4369" s="43">
        <f>IF($I4368=0,0,$R4368)</f>
      </c>
      <c r="K4369" s="43">
        <f>IF($I4369=0,0,IF(INDEX(DarlOhneTilgung,10)=1,0,IF(AND(INDEX(DarlTilgStart,10)&gt;0,$E4369=INDEX(DarlTilgStart,10)),$J4369*($H4369+INDEX(DarlTilgung,10))/100/12,IF(AND($G4369=0,$G4368=1),MAX($K4368,$J4369*($H4369+1)/100/12),$K4368))))</f>
      </c>
      <c r="L4369" s="43">
        <f>IF($I4369=0,0,$J4369*$H4369/100/12)</f>
      </c>
      <c r="M4369" s="43">
        <f>IF($I4369=0,0,IF(OR(INDEX(DarlOhneTilgung,10)=1,AND(INDEX(DarlTilgStart,10)&gt;0,$E4369&lt;INDEX(DarlTilgStart,10))),0,MIN(MAX(0,$K4369-$L4369),$J4369)))</f>
      </c>
      <c r="N4369" s="43">
        <f>IF($I4369=0,0,MIN(SUMIFS(SondBetrag,SondDarl,10,SondDatum,"&gt;="&amp;$E4369,SondDatum,"&lt;="&amp;EOMONTH($E4369,0)),$J4369-$M4369))</f>
      </c>
      <c r="O4369" s="43">
        <f>IF($I4369=0,0,INDEX(DarlErsatzRate,10))</f>
      </c>
      <c r="P4369" s="43">
        <f>IF($I4369=0,0,$Q4368*INDEX(DarlErsatzZins,10))</f>
      </c>
      <c r="Q4369" s="43">
        <f>IF($I4369=0,0,$Q4368+$P4369+$O4369)</f>
      </c>
      <c r="R4369" s="43">
        <f>IF($I4369=0,0,$J4369-$M4369-$N4369)</f>
      </c>
    </row>
    <row r="4370">
      <c r="A4370"/>
      <c r="B4370">
        <v>10</v>
      </c>
      <c r="C4370" s="43">
        <f>INDEX(DarlObj,10)</f>
      </c>
      <c r="D4370">
        <v>47</v>
      </c>
      <c r="E4370" s="51">
        <f>IF(INDEX(DarlBelegt,10)=0,0,EOMONTH(INDEX(DarlAuszahlung,10),46)+1)</f>
      </c>
      <c r="F4370" s="43">
        <f>IF($E4370=0,0,YEAR($E4370))</f>
      </c>
      <c r="G4370" s="43">
        <f>IF(INDEX(DarlBindung,10)="",1,IF($E4370&lt;=INDEX(DarlBindung,10),1,0))</f>
      </c>
      <c r="H4370" s="43">
        <f>IF($G4370=1,INDEX(DarlSollzins,10),INDEX(DarlAnschluss,10))</f>
      </c>
      <c r="I4370" s="43">
        <f>IF(INDEX(DarlBelegt,10)=0,0,IF(INDEX(DarlOhneTilgung,10)=1,IF(INDEX(DarlBindung,10)="",1,$G4370),IF($J4370&gt;0.005,1,0)))</f>
      </c>
      <c r="J4370" s="43">
        <f>IF($I4369=0,0,$R4369)</f>
      </c>
      <c r="K4370" s="43">
        <f>IF($I4370=0,0,IF(INDEX(DarlOhneTilgung,10)=1,0,IF(AND(INDEX(DarlTilgStart,10)&gt;0,$E4370=INDEX(DarlTilgStart,10)),$J4370*($H4370+INDEX(DarlTilgung,10))/100/12,IF(AND($G4370=0,$G4369=1),MAX($K4369,$J4370*($H4370+1)/100/12),$K4369))))</f>
      </c>
      <c r="L4370" s="43">
        <f>IF($I4370=0,0,$J4370*$H4370/100/12)</f>
      </c>
      <c r="M4370" s="43">
        <f>IF($I4370=0,0,IF(OR(INDEX(DarlOhneTilgung,10)=1,AND(INDEX(DarlTilgStart,10)&gt;0,$E4370&lt;INDEX(DarlTilgStart,10))),0,MIN(MAX(0,$K4370-$L4370),$J4370)))</f>
      </c>
      <c r="N4370" s="43">
        <f>IF($I4370=0,0,MIN(SUMIFS(SondBetrag,SondDarl,10,SondDatum,"&gt;="&amp;$E4370,SondDatum,"&lt;="&amp;EOMONTH($E4370,0)),$J4370-$M4370))</f>
      </c>
      <c r="O4370" s="43">
        <f>IF($I4370=0,0,INDEX(DarlErsatzRate,10))</f>
      </c>
      <c r="P4370" s="43">
        <f>IF($I4370=0,0,$Q4369*INDEX(DarlErsatzZins,10))</f>
      </c>
      <c r="Q4370" s="43">
        <f>IF($I4370=0,0,$Q4369+$P4370+$O4370)</f>
      </c>
      <c r="R4370" s="43">
        <f>IF($I4370=0,0,$J4370-$M4370-$N4370)</f>
      </c>
    </row>
    <row r="4371">
      <c r="A4371"/>
      <c r="B4371">
        <v>10</v>
      </c>
      <c r="C4371" s="43">
        <f>INDEX(DarlObj,10)</f>
      </c>
      <c r="D4371">
        <v>48</v>
      </c>
      <c r="E4371" s="51">
        <f>IF(INDEX(DarlBelegt,10)=0,0,EOMONTH(INDEX(DarlAuszahlung,10),47)+1)</f>
      </c>
      <c r="F4371" s="43">
        <f>IF($E4371=0,0,YEAR($E4371))</f>
      </c>
      <c r="G4371" s="43">
        <f>IF(INDEX(DarlBindung,10)="",1,IF($E4371&lt;=INDEX(DarlBindung,10),1,0))</f>
      </c>
      <c r="H4371" s="43">
        <f>IF($G4371=1,INDEX(DarlSollzins,10),INDEX(DarlAnschluss,10))</f>
      </c>
      <c r="I4371" s="43">
        <f>IF(INDEX(DarlBelegt,10)=0,0,IF(INDEX(DarlOhneTilgung,10)=1,IF(INDEX(DarlBindung,10)="",1,$G4371),IF($J4371&gt;0.005,1,0)))</f>
      </c>
      <c r="J4371" s="43">
        <f>IF($I4370=0,0,$R4370)</f>
      </c>
      <c r="K4371" s="43">
        <f>IF($I4371=0,0,IF(INDEX(DarlOhneTilgung,10)=1,0,IF(AND(INDEX(DarlTilgStart,10)&gt;0,$E4371=INDEX(DarlTilgStart,10)),$J4371*($H4371+INDEX(DarlTilgung,10))/100/12,IF(AND($G4371=0,$G4370=1),MAX($K4370,$J4371*($H4371+1)/100/12),$K4370))))</f>
      </c>
      <c r="L4371" s="43">
        <f>IF($I4371=0,0,$J4371*$H4371/100/12)</f>
      </c>
      <c r="M4371" s="43">
        <f>IF($I4371=0,0,IF(OR(INDEX(DarlOhneTilgung,10)=1,AND(INDEX(DarlTilgStart,10)&gt;0,$E4371&lt;INDEX(DarlTilgStart,10))),0,MIN(MAX(0,$K4371-$L4371),$J4371)))</f>
      </c>
      <c r="N4371" s="43">
        <f>IF($I4371=0,0,MIN(SUMIFS(SondBetrag,SondDarl,10,SondDatum,"&gt;="&amp;$E4371,SondDatum,"&lt;="&amp;EOMONTH($E4371,0)),$J4371-$M4371))</f>
      </c>
      <c r="O4371" s="43">
        <f>IF($I4371=0,0,INDEX(DarlErsatzRate,10))</f>
      </c>
      <c r="P4371" s="43">
        <f>IF($I4371=0,0,$Q4370*INDEX(DarlErsatzZins,10))</f>
      </c>
      <c r="Q4371" s="43">
        <f>IF($I4371=0,0,$Q4370+$P4371+$O4371)</f>
      </c>
      <c r="R4371" s="43">
        <f>IF($I4371=0,0,$J4371-$M4371-$N4371)</f>
      </c>
    </row>
    <row r="4372">
      <c r="A4372"/>
      <c r="B4372">
        <v>10</v>
      </c>
      <c r="C4372" s="43">
        <f>INDEX(DarlObj,10)</f>
      </c>
      <c r="D4372">
        <v>49</v>
      </c>
      <c r="E4372" s="51">
        <f>IF(INDEX(DarlBelegt,10)=0,0,EOMONTH(INDEX(DarlAuszahlung,10),48)+1)</f>
      </c>
      <c r="F4372" s="43">
        <f>IF($E4372=0,0,YEAR($E4372))</f>
      </c>
      <c r="G4372" s="43">
        <f>IF(INDEX(DarlBindung,10)="",1,IF($E4372&lt;=INDEX(DarlBindung,10),1,0))</f>
      </c>
      <c r="H4372" s="43">
        <f>IF($G4372=1,INDEX(DarlSollzins,10),INDEX(DarlAnschluss,10))</f>
      </c>
      <c r="I4372" s="43">
        <f>IF(INDEX(DarlBelegt,10)=0,0,IF(INDEX(DarlOhneTilgung,10)=1,IF(INDEX(DarlBindung,10)="",1,$G4372),IF($J4372&gt;0.005,1,0)))</f>
      </c>
      <c r="J4372" s="43">
        <f>IF($I4371=0,0,$R4371)</f>
      </c>
      <c r="K4372" s="43">
        <f>IF($I4372=0,0,IF(INDEX(DarlOhneTilgung,10)=1,0,IF(AND(INDEX(DarlTilgStart,10)&gt;0,$E4372=INDEX(DarlTilgStart,10)),$J4372*($H4372+INDEX(DarlTilgung,10))/100/12,IF(AND($G4372=0,$G4371=1),MAX($K4371,$J4372*($H4372+1)/100/12),$K4371))))</f>
      </c>
      <c r="L4372" s="43">
        <f>IF($I4372=0,0,$J4372*$H4372/100/12)</f>
      </c>
      <c r="M4372" s="43">
        <f>IF($I4372=0,0,IF(OR(INDEX(DarlOhneTilgung,10)=1,AND(INDEX(DarlTilgStart,10)&gt;0,$E4372&lt;INDEX(DarlTilgStart,10))),0,MIN(MAX(0,$K4372-$L4372),$J4372)))</f>
      </c>
      <c r="N4372" s="43">
        <f>IF($I4372=0,0,MIN(SUMIFS(SondBetrag,SondDarl,10,SondDatum,"&gt;="&amp;$E4372,SondDatum,"&lt;="&amp;EOMONTH($E4372,0)),$J4372-$M4372))</f>
      </c>
      <c r="O4372" s="43">
        <f>IF($I4372=0,0,INDEX(DarlErsatzRate,10))</f>
      </c>
      <c r="P4372" s="43">
        <f>IF($I4372=0,0,$Q4371*INDEX(DarlErsatzZins,10))</f>
      </c>
      <c r="Q4372" s="43">
        <f>IF($I4372=0,0,$Q4371+$P4372+$O4372)</f>
      </c>
      <c r="R4372" s="43">
        <f>IF($I4372=0,0,$J4372-$M4372-$N4372)</f>
      </c>
    </row>
    <row r="4373">
      <c r="A4373"/>
      <c r="B4373">
        <v>10</v>
      </c>
      <c r="C4373" s="43">
        <f>INDEX(DarlObj,10)</f>
      </c>
      <c r="D4373">
        <v>50</v>
      </c>
      <c r="E4373" s="51">
        <f>IF(INDEX(DarlBelegt,10)=0,0,EOMONTH(INDEX(DarlAuszahlung,10),49)+1)</f>
      </c>
      <c r="F4373" s="43">
        <f>IF($E4373=0,0,YEAR($E4373))</f>
      </c>
      <c r="G4373" s="43">
        <f>IF(INDEX(DarlBindung,10)="",1,IF($E4373&lt;=INDEX(DarlBindung,10),1,0))</f>
      </c>
      <c r="H4373" s="43">
        <f>IF($G4373=1,INDEX(DarlSollzins,10),INDEX(DarlAnschluss,10))</f>
      </c>
      <c r="I4373" s="43">
        <f>IF(INDEX(DarlBelegt,10)=0,0,IF(INDEX(DarlOhneTilgung,10)=1,IF(INDEX(DarlBindung,10)="",1,$G4373),IF($J4373&gt;0.005,1,0)))</f>
      </c>
      <c r="J4373" s="43">
        <f>IF($I4372=0,0,$R4372)</f>
      </c>
      <c r="K4373" s="43">
        <f>IF($I4373=0,0,IF(INDEX(DarlOhneTilgung,10)=1,0,IF(AND(INDEX(DarlTilgStart,10)&gt;0,$E4373=INDEX(DarlTilgStart,10)),$J4373*($H4373+INDEX(DarlTilgung,10))/100/12,IF(AND($G4373=0,$G4372=1),MAX($K4372,$J4373*($H4373+1)/100/12),$K4372))))</f>
      </c>
      <c r="L4373" s="43">
        <f>IF($I4373=0,0,$J4373*$H4373/100/12)</f>
      </c>
      <c r="M4373" s="43">
        <f>IF($I4373=0,0,IF(OR(INDEX(DarlOhneTilgung,10)=1,AND(INDEX(DarlTilgStart,10)&gt;0,$E4373&lt;INDEX(DarlTilgStart,10))),0,MIN(MAX(0,$K4373-$L4373),$J4373)))</f>
      </c>
      <c r="N4373" s="43">
        <f>IF($I4373=0,0,MIN(SUMIFS(SondBetrag,SondDarl,10,SondDatum,"&gt;="&amp;$E4373,SondDatum,"&lt;="&amp;EOMONTH($E4373,0)),$J4373-$M4373))</f>
      </c>
      <c r="O4373" s="43">
        <f>IF($I4373=0,0,INDEX(DarlErsatzRate,10))</f>
      </c>
      <c r="P4373" s="43">
        <f>IF($I4373=0,0,$Q4372*INDEX(DarlErsatzZins,10))</f>
      </c>
      <c r="Q4373" s="43">
        <f>IF($I4373=0,0,$Q4372+$P4373+$O4373)</f>
      </c>
      <c r="R4373" s="43">
        <f>IF($I4373=0,0,$J4373-$M4373-$N4373)</f>
      </c>
    </row>
    <row r="4374">
      <c r="A4374"/>
      <c r="B4374">
        <v>10</v>
      </c>
      <c r="C4374" s="43">
        <f>INDEX(DarlObj,10)</f>
      </c>
      <c r="D4374">
        <v>51</v>
      </c>
      <c r="E4374" s="51">
        <f>IF(INDEX(DarlBelegt,10)=0,0,EOMONTH(INDEX(DarlAuszahlung,10),50)+1)</f>
      </c>
      <c r="F4374" s="43">
        <f>IF($E4374=0,0,YEAR($E4374))</f>
      </c>
      <c r="G4374" s="43">
        <f>IF(INDEX(DarlBindung,10)="",1,IF($E4374&lt;=INDEX(DarlBindung,10),1,0))</f>
      </c>
      <c r="H4374" s="43">
        <f>IF($G4374=1,INDEX(DarlSollzins,10),INDEX(DarlAnschluss,10))</f>
      </c>
      <c r="I4374" s="43">
        <f>IF(INDEX(DarlBelegt,10)=0,0,IF(INDEX(DarlOhneTilgung,10)=1,IF(INDEX(DarlBindung,10)="",1,$G4374),IF($J4374&gt;0.005,1,0)))</f>
      </c>
      <c r="J4374" s="43">
        <f>IF($I4373=0,0,$R4373)</f>
      </c>
      <c r="K4374" s="43">
        <f>IF($I4374=0,0,IF(INDEX(DarlOhneTilgung,10)=1,0,IF(AND(INDEX(DarlTilgStart,10)&gt;0,$E4374=INDEX(DarlTilgStart,10)),$J4374*($H4374+INDEX(DarlTilgung,10))/100/12,IF(AND($G4374=0,$G4373=1),MAX($K4373,$J4374*($H4374+1)/100/12),$K4373))))</f>
      </c>
      <c r="L4374" s="43">
        <f>IF($I4374=0,0,$J4374*$H4374/100/12)</f>
      </c>
      <c r="M4374" s="43">
        <f>IF($I4374=0,0,IF(OR(INDEX(DarlOhneTilgung,10)=1,AND(INDEX(DarlTilgStart,10)&gt;0,$E4374&lt;INDEX(DarlTilgStart,10))),0,MIN(MAX(0,$K4374-$L4374),$J4374)))</f>
      </c>
      <c r="N4374" s="43">
        <f>IF($I4374=0,0,MIN(SUMIFS(SondBetrag,SondDarl,10,SondDatum,"&gt;="&amp;$E4374,SondDatum,"&lt;="&amp;EOMONTH($E4374,0)),$J4374-$M4374))</f>
      </c>
      <c r="O4374" s="43">
        <f>IF($I4374=0,0,INDEX(DarlErsatzRate,10))</f>
      </c>
      <c r="P4374" s="43">
        <f>IF($I4374=0,0,$Q4373*INDEX(DarlErsatzZins,10))</f>
      </c>
      <c r="Q4374" s="43">
        <f>IF($I4374=0,0,$Q4373+$P4374+$O4374)</f>
      </c>
      <c r="R4374" s="43">
        <f>IF($I4374=0,0,$J4374-$M4374-$N4374)</f>
      </c>
    </row>
    <row r="4375">
      <c r="A4375"/>
      <c r="B4375">
        <v>10</v>
      </c>
      <c r="C4375" s="43">
        <f>INDEX(DarlObj,10)</f>
      </c>
      <c r="D4375">
        <v>52</v>
      </c>
      <c r="E4375" s="51">
        <f>IF(INDEX(DarlBelegt,10)=0,0,EOMONTH(INDEX(DarlAuszahlung,10),51)+1)</f>
      </c>
      <c r="F4375" s="43">
        <f>IF($E4375=0,0,YEAR($E4375))</f>
      </c>
      <c r="G4375" s="43">
        <f>IF(INDEX(DarlBindung,10)="",1,IF($E4375&lt;=INDEX(DarlBindung,10),1,0))</f>
      </c>
      <c r="H4375" s="43">
        <f>IF($G4375=1,INDEX(DarlSollzins,10),INDEX(DarlAnschluss,10))</f>
      </c>
      <c r="I4375" s="43">
        <f>IF(INDEX(DarlBelegt,10)=0,0,IF(INDEX(DarlOhneTilgung,10)=1,IF(INDEX(DarlBindung,10)="",1,$G4375),IF($J4375&gt;0.005,1,0)))</f>
      </c>
      <c r="J4375" s="43">
        <f>IF($I4374=0,0,$R4374)</f>
      </c>
      <c r="K4375" s="43">
        <f>IF($I4375=0,0,IF(INDEX(DarlOhneTilgung,10)=1,0,IF(AND(INDEX(DarlTilgStart,10)&gt;0,$E4375=INDEX(DarlTilgStart,10)),$J4375*($H4375+INDEX(DarlTilgung,10))/100/12,IF(AND($G4375=0,$G4374=1),MAX($K4374,$J4375*($H4375+1)/100/12),$K4374))))</f>
      </c>
      <c r="L4375" s="43">
        <f>IF($I4375=0,0,$J4375*$H4375/100/12)</f>
      </c>
      <c r="M4375" s="43">
        <f>IF($I4375=0,0,IF(OR(INDEX(DarlOhneTilgung,10)=1,AND(INDEX(DarlTilgStart,10)&gt;0,$E4375&lt;INDEX(DarlTilgStart,10))),0,MIN(MAX(0,$K4375-$L4375),$J4375)))</f>
      </c>
      <c r="N4375" s="43">
        <f>IF($I4375=0,0,MIN(SUMIFS(SondBetrag,SondDarl,10,SondDatum,"&gt;="&amp;$E4375,SondDatum,"&lt;="&amp;EOMONTH($E4375,0)),$J4375-$M4375))</f>
      </c>
      <c r="O4375" s="43">
        <f>IF($I4375=0,0,INDEX(DarlErsatzRate,10))</f>
      </c>
      <c r="P4375" s="43">
        <f>IF($I4375=0,0,$Q4374*INDEX(DarlErsatzZins,10))</f>
      </c>
      <c r="Q4375" s="43">
        <f>IF($I4375=0,0,$Q4374+$P4375+$O4375)</f>
      </c>
      <c r="R4375" s="43">
        <f>IF($I4375=0,0,$J4375-$M4375-$N4375)</f>
      </c>
    </row>
    <row r="4376">
      <c r="A4376"/>
      <c r="B4376">
        <v>10</v>
      </c>
      <c r="C4376" s="43">
        <f>INDEX(DarlObj,10)</f>
      </c>
      <c r="D4376">
        <v>53</v>
      </c>
      <c r="E4376" s="51">
        <f>IF(INDEX(DarlBelegt,10)=0,0,EOMONTH(INDEX(DarlAuszahlung,10),52)+1)</f>
      </c>
      <c r="F4376" s="43">
        <f>IF($E4376=0,0,YEAR($E4376))</f>
      </c>
      <c r="G4376" s="43">
        <f>IF(INDEX(DarlBindung,10)="",1,IF($E4376&lt;=INDEX(DarlBindung,10),1,0))</f>
      </c>
      <c r="H4376" s="43">
        <f>IF($G4376=1,INDEX(DarlSollzins,10),INDEX(DarlAnschluss,10))</f>
      </c>
      <c r="I4376" s="43">
        <f>IF(INDEX(DarlBelegt,10)=0,0,IF(INDEX(DarlOhneTilgung,10)=1,IF(INDEX(DarlBindung,10)="",1,$G4376),IF($J4376&gt;0.005,1,0)))</f>
      </c>
      <c r="J4376" s="43">
        <f>IF($I4375=0,0,$R4375)</f>
      </c>
      <c r="K4376" s="43">
        <f>IF($I4376=0,0,IF(INDEX(DarlOhneTilgung,10)=1,0,IF(AND(INDEX(DarlTilgStart,10)&gt;0,$E4376=INDEX(DarlTilgStart,10)),$J4376*($H4376+INDEX(DarlTilgung,10))/100/12,IF(AND($G4376=0,$G4375=1),MAX($K4375,$J4376*($H4376+1)/100/12),$K4375))))</f>
      </c>
      <c r="L4376" s="43">
        <f>IF($I4376=0,0,$J4376*$H4376/100/12)</f>
      </c>
      <c r="M4376" s="43">
        <f>IF($I4376=0,0,IF(OR(INDEX(DarlOhneTilgung,10)=1,AND(INDEX(DarlTilgStart,10)&gt;0,$E4376&lt;INDEX(DarlTilgStart,10))),0,MIN(MAX(0,$K4376-$L4376),$J4376)))</f>
      </c>
      <c r="N4376" s="43">
        <f>IF($I4376=0,0,MIN(SUMIFS(SondBetrag,SondDarl,10,SondDatum,"&gt;="&amp;$E4376,SondDatum,"&lt;="&amp;EOMONTH($E4376,0)),$J4376-$M4376))</f>
      </c>
      <c r="O4376" s="43">
        <f>IF($I4376=0,0,INDEX(DarlErsatzRate,10))</f>
      </c>
      <c r="P4376" s="43">
        <f>IF($I4376=0,0,$Q4375*INDEX(DarlErsatzZins,10))</f>
      </c>
      <c r="Q4376" s="43">
        <f>IF($I4376=0,0,$Q4375+$P4376+$O4376)</f>
      </c>
      <c r="R4376" s="43">
        <f>IF($I4376=0,0,$J4376-$M4376-$N4376)</f>
      </c>
    </row>
    <row r="4377">
      <c r="A4377"/>
      <c r="B4377">
        <v>10</v>
      </c>
      <c r="C4377" s="43">
        <f>INDEX(DarlObj,10)</f>
      </c>
      <c r="D4377">
        <v>54</v>
      </c>
      <c r="E4377" s="51">
        <f>IF(INDEX(DarlBelegt,10)=0,0,EOMONTH(INDEX(DarlAuszahlung,10),53)+1)</f>
      </c>
      <c r="F4377" s="43">
        <f>IF($E4377=0,0,YEAR($E4377))</f>
      </c>
      <c r="G4377" s="43">
        <f>IF(INDEX(DarlBindung,10)="",1,IF($E4377&lt;=INDEX(DarlBindung,10),1,0))</f>
      </c>
      <c r="H4377" s="43">
        <f>IF($G4377=1,INDEX(DarlSollzins,10),INDEX(DarlAnschluss,10))</f>
      </c>
      <c r="I4377" s="43">
        <f>IF(INDEX(DarlBelegt,10)=0,0,IF(INDEX(DarlOhneTilgung,10)=1,IF(INDEX(DarlBindung,10)="",1,$G4377),IF($J4377&gt;0.005,1,0)))</f>
      </c>
      <c r="J4377" s="43">
        <f>IF($I4376=0,0,$R4376)</f>
      </c>
      <c r="K4377" s="43">
        <f>IF($I4377=0,0,IF(INDEX(DarlOhneTilgung,10)=1,0,IF(AND(INDEX(DarlTilgStart,10)&gt;0,$E4377=INDEX(DarlTilgStart,10)),$J4377*($H4377+INDEX(DarlTilgung,10))/100/12,IF(AND($G4377=0,$G4376=1),MAX($K4376,$J4377*($H4377+1)/100/12),$K4376))))</f>
      </c>
      <c r="L4377" s="43">
        <f>IF($I4377=0,0,$J4377*$H4377/100/12)</f>
      </c>
      <c r="M4377" s="43">
        <f>IF($I4377=0,0,IF(OR(INDEX(DarlOhneTilgung,10)=1,AND(INDEX(DarlTilgStart,10)&gt;0,$E4377&lt;INDEX(DarlTilgStart,10))),0,MIN(MAX(0,$K4377-$L4377),$J4377)))</f>
      </c>
      <c r="N4377" s="43">
        <f>IF($I4377=0,0,MIN(SUMIFS(SondBetrag,SondDarl,10,SondDatum,"&gt;="&amp;$E4377,SondDatum,"&lt;="&amp;EOMONTH($E4377,0)),$J4377-$M4377))</f>
      </c>
      <c r="O4377" s="43">
        <f>IF($I4377=0,0,INDEX(DarlErsatzRate,10))</f>
      </c>
      <c r="P4377" s="43">
        <f>IF($I4377=0,0,$Q4376*INDEX(DarlErsatzZins,10))</f>
      </c>
      <c r="Q4377" s="43">
        <f>IF($I4377=0,0,$Q4376+$P4377+$O4377)</f>
      </c>
      <c r="R4377" s="43">
        <f>IF($I4377=0,0,$J4377-$M4377-$N4377)</f>
      </c>
    </row>
    <row r="4378">
      <c r="A4378"/>
      <c r="B4378">
        <v>10</v>
      </c>
      <c r="C4378" s="43">
        <f>INDEX(DarlObj,10)</f>
      </c>
      <c r="D4378">
        <v>55</v>
      </c>
      <c r="E4378" s="51">
        <f>IF(INDEX(DarlBelegt,10)=0,0,EOMONTH(INDEX(DarlAuszahlung,10),54)+1)</f>
      </c>
      <c r="F4378" s="43">
        <f>IF($E4378=0,0,YEAR($E4378))</f>
      </c>
      <c r="G4378" s="43">
        <f>IF(INDEX(DarlBindung,10)="",1,IF($E4378&lt;=INDEX(DarlBindung,10),1,0))</f>
      </c>
      <c r="H4378" s="43">
        <f>IF($G4378=1,INDEX(DarlSollzins,10),INDEX(DarlAnschluss,10))</f>
      </c>
      <c r="I4378" s="43">
        <f>IF(INDEX(DarlBelegt,10)=0,0,IF(INDEX(DarlOhneTilgung,10)=1,IF(INDEX(DarlBindung,10)="",1,$G4378),IF($J4378&gt;0.005,1,0)))</f>
      </c>
      <c r="J4378" s="43">
        <f>IF($I4377=0,0,$R4377)</f>
      </c>
      <c r="K4378" s="43">
        <f>IF($I4378=0,0,IF(INDEX(DarlOhneTilgung,10)=1,0,IF(AND(INDEX(DarlTilgStart,10)&gt;0,$E4378=INDEX(DarlTilgStart,10)),$J4378*($H4378+INDEX(DarlTilgung,10))/100/12,IF(AND($G4378=0,$G4377=1),MAX($K4377,$J4378*($H4378+1)/100/12),$K4377))))</f>
      </c>
      <c r="L4378" s="43">
        <f>IF($I4378=0,0,$J4378*$H4378/100/12)</f>
      </c>
      <c r="M4378" s="43">
        <f>IF($I4378=0,0,IF(OR(INDEX(DarlOhneTilgung,10)=1,AND(INDEX(DarlTilgStart,10)&gt;0,$E4378&lt;INDEX(DarlTilgStart,10))),0,MIN(MAX(0,$K4378-$L4378),$J4378)))</f>
      </c>
      <c r="N4378" s="43">
        <f>IF($I4378=0,0,MIN(SUMIFS(SondBetrag,SondDarl,10,SondDatum,"&gt;="&amp;$E4378,SondDatum,"&lt;="&amp;EOMONTH($E4378,0)),$J4378-$M4378))</f>
      </c>
      <c r="O4378" s="43">
        <f>IF($I4378=0,0,INDEX(DarlErsatzRate,10))</f>
      </c>
      <c r="P4378" s="43">
        <f>IF($I4378=0,0,$Q4377*INDEX(DarlErsatzZins,10))</f>
      </c>
      <c r="Q4378" s="43">
        <f>IF($I4378=0,0,$Q4377+$P4378+$O4378)</f>
      </c>
      <c r="R4378" s="43">
        <f>IF($I4378=0,0,$J4378-$M4378-$N4378)</f>
      </c>
    </row>
    <row r="4379">
      <c r="A4379"/>
      <c r="B4379">
        <v>10</v>
      </c>
      <c r="C4379" s="43">
        <f>INDEX(DarlObj,10)</f>
      </c>
      <c r="D4379">
        <v>56</v>
      </c>
      <c r="E4379" s="51">
        <f>IF(INDEX(DarlBelegt,10)=0,0,EOMONTH(INDEX(DarlAuszahlung,10),55)+1)</f>
      </c>
      <c r="F4379" s="43">
        <f>IF($E4379=0,0,YEAR($E4379))</f>
      </c>
      <c r="G4379" s="43">
        <f>IF(INDEX(DarlBindung,10)="",1,IF($E4379&lt;=INDEX(DarlBindung,10),1,0))</f>
      </c>
      <c r="H4379" s="43">
        <f>IF($G4379=1,INDEX(DarlSollzins,10),INDEX(DarlAnschluss,10))</f>
      </c>
      <c r="I4379" s="43">
        <f>IF(INDEX(DarlBelegt,10)=0,0,IF(INDEX(DarlOhneTilgung,10)=1,IF(INDEX(DarlBindung,10)="",1,$G4379),IF($J4379&gt;0.005,1,0)))</f>
      </c>
      <c r="J4379" s="43">
        <f>IF($I4378=0,0,$R4378)</f>
      </c>
      <c r="K4379" s="43">
        <f>IF($I4379=0,0,IF(INDEX(DarlOhneTilgung,10)=1,0,IF(AND(INDEX(DarlTilgStart,10)&gt;0,$E4379=INDEX(DarlTilgStart,10)),$J4379*($H4379+INDEX(DarlTilgung,10))/100/12,IF(AND($G4379=0,$G4378=1),MAX($K4378,$J4379*($H4379+1)/100/12),$K4378))))</f>
      </c>
      <c r="L4379" s="43">
        <f>IF($I4379=0,0,$J4379*$H4379/100/12)</f>
      </c>
      <c r="M4379" s="43">
        <f>IF($I4379=0,0,IF(OR(INDEX(DarlOhneTilgung,10)=1,AND(INDEX(DarlTilgStart,10)&gt;0,$E4379&lt;INDEX(DarlTilgStart,10))),0,MIN(MAX(0,$K4379-$L4379),$J4379)))</f>
      </c>
      <c r="N4379" s="43">
        <f>IF($I4379=0,0,MIN(SUMIFS(SondBetrag,SondDarl,10,SondDatum,"&gt;="&amp;$E4379,SondDatum,"&lt;="&amp;EOMONTH($E4379,0)),$J4379-$M4379))</f>
      </c>
      <c r="O4379" s="43">
        <f>IF($I4379=0,0,INDEX(DarlErsatzRate,10))</f>
      </c>
      <c r="P4379" s="43">
        <f>IF($I4379=0,0,$Q4378*INDEX(DarlErsatzZins,10))</f>
      </c>
      <c r="Q4379" s="43">
        <f>IF($I4379=0,0,$Q4378+$P4379+$O4379)</f>
      </c>
      <c r="R4379" s="43">
        <f>IF($I4379=0,0,$J4379-$M4379-$N4379)</f>
      </c>
    </row>
    <row r="4380">
      <c r="A4380"/>
      <c r="B4380">
        <v>10</v>
      </c>
      <c r="C4380" s="43">
        <f>INDEX(DarlObj,10)</f>
      </c>
      <c r="D4380">
        <v>57</v>
      </c>
      <c r="E4380" s="51">
        <f>IF(INDEX(DarlBelegt,10)=0,0,EOMONTH(INDEX(DarlAuszahlung,10),56)+1)</f>
      </c>
      <c r="F4380" s="43">
        <f>IF($E4380=0,0,YEAR($E4380))</f>
      </c>
      <c r="G4380" s="43">
        <f>IF(INDEX(DarlBindung,10)="",1,IF($E4380&lt;=INDEX(DarlBindung,10),1,0))</f>
      </c>
      <c r="H4380" s="43">
        <f>IF($G4380=1,INDEX(DarlSollzins,10),INDEX(DarlAnschluss,10))</f>
      </c>
      <c r="I4380" s="43">
        <f>IF(INDEX(DarlBelegt,10)=0,0,IF(INDEX(DarlOhneTilgung,10)=1,IF(INDEX(DarlBindung,10)="",1,$G4380),IF($J4380&gt;0.005,1,0)))</f>
      </c>
      <c r="J4380" s="43">
        <f>IF($I4379=0,0,$R4379)</f>
      </c>
      <c r="K4380" s="43">
        <f>IF($I4380=0,0,IF(INDEX(DarlOhneTilgung,10)=1,0,IF(AND(INDEX(DarlTilgStart,10)&gt;0,$E4380=INDEX(DarlTilgStart,10)),$J4380*($H4380+INDEX(DarlTilgung,10))/100/12,IF(AND($G4380=0,$G4379=1),MAX($K4379,$J4380*($H4380+1)/100/12),$K4379))))</f>
      </c>
      <c r="L4380" s="43">
        <f>IF($I4380=0,0,$J4380*$H4380/100/12)</f>
      </c>
      <c r="M4380" s="43">
        <f>IF($I4380=0,0,IF(OR(INDEX(DarlOhneTilgung,10)=1,AND(INDEX(DarlTilgStart,10)&gt;0,$E4380&lt;INDEX(DarlTilgStart,10))),0,MIN(MAX(0,$K4380-$L4380),$J4380)))</f>
      </c>
      <c r="N4380" s="43">
        <f>IF($I4380=0,0,MIN(SUMIFS(SondBetrag,SondDarl,10,SondDatum,"&gt;="&amp;$E4380,SondDatum,"&lt;="&amp;EOMONTH($E4380,0)),$J4380-$M4380))</f>
      </c>
      <c r="O4380" s="43">
        <f>IF($I4380=0,0,INDEX(DarlErsatzRate,10))</f>
      </c>
      <c r="P4380" s="43">
        <f>IF($I4380=0,0,$Q4379*INDEX(DarlErsatzZins,10))</f>
      </c>
      <c r="Q4380" s="43">
        <f>IF($I4380=0,0,$Q4379+$P4380+$O4380)</f>
      </c>
      <c r="R4380" s="43">
        <f>IF($I4380=0,0,$J4380-$M4380-$N4380)</f>
      </c>
    </row>
    <row r="4381">
      <c r="A4381"/>
      <c r="B4381">
        <v>10</v>
      </c>
      <c r="C4381" s="43">
        <f>INDEX(DarlObj,10)</f>
      </c>
      <c r="D4381">
        <v>58</v>
      </c>
      <c r="E4381" s="51">
        <f>IF(INDEX(DarlBelegt,10)=0,0,EOMONTH(INDEX(DarlAuszahlung,10),57)+1)</f>
      </c>
      <c r="F4381" s="43">
        <f>IF($E4381=0,0,YEAR($E4381))</f>
      </c>
      <c r="G4381" s="43">
        <f>IF(INDEX(DarlBindung,10)="",1,IF($E4381&lt;=INDEX(DarlBindung,10),1,0))</f>
      </c>
      <c r="H4381" s="43">
        <f>IF($G4381=1,INDEX(DarlSollzins,10),INDEX(DarlAnschluss,10))</f>
      </c>
      <c r="I4381" s="43">
        <f>IF(INDEX(DarlBelegt,10)=0,0,IF(INDEX(DarlOhneTilgung,10)=1,IF(INDEX(DarlBindung,10)="",1,$G4381),IF($J4381&gt;0.005,1,0)))</f>
      </c>
      <c r="J4381" s="43">
        <f>IF($I4380=0,0,$R4380)</f>
      </c>
      <c r="K4381" s="43">
        <f>IF($I4381=0,0,IF(INDEX(DarlOhneTilgung,10)=1,0,IF(AND(INDEX(DarlTilgStart,10)&gt;0,$E4381=INDEX(DarlTilgStart,10)),$J4381*($H4381+INDEX(DarlTilgung,10))/100/12,IF(AND($G4381=0,$G4380=1),MAX($K4380,$J4381*($H4381+1)/100/12),$K4380))))</f>
      </c>
      <c r="L4381" s="43">
        <f>IF($I4381=0,0,$J4381*$H4381/100/12)</f>
      </c>
      <c r="M4381" s="43">
        <f>IF($I4381=0,0,IF(OR(INDEX(DarlOhneTilgung,10)=1,AND(INDEX(DarlTilgStart,10)&gt;0,$E4381&lt;INDEX(DarlTilgStart,10))),0,MIN(MAX(0,$K4381-$L4381),$J4381)))</f>
      </c>
      <c r="N4381" s="43">
        <f>IF($I4381=0,0,MIN(SUMIFS(SondBetrag,SondDarl,10,SondDatum,"&gt;="&amp;$E4381,SondDatum,"&lt;="&amp;EOMONTH($E4381,0)),$J4381-$M4381))</f>
      </c>
      <c r="O4381" s="43">
        <f>IF($I4381=0,0,INDEX(DarlErsatzRate,10))</f>
      </c>
      <c r="P4381" s="43">
        <f>IF($I4381=0,0,$Q4380*INDEX(DarlErsatzZins,10))</f>
      </c>
      <c r="Q4381" s="43">
        <f>IF($I4381=0,0,$Q4380+$P4381+$O4381)</f>
      </c>
      <c r="R4381" s="43">
        <f>IF($I4381=0,0,$J4381-$M4381-$N4381)</f>
      </c>
    </row>
    <row r="4382">
      <c r="A4382"/>
      <c r="B4382">
        <v>10</v>
      </c>
      <c r="C4382" s="43">
        <f>INDEX(DarlObj,10)</f>
      </c>
      <c r="D4382">
        <v>59</v>
      </c>
      <c r="E4382" s="51">
        <f>IF(INDEX(DarlBelegt,10)=0,0,EOMONTH(INDEX(DarlAuszahlung,10),58)+1)</f>
      </c>
      <c r="F4382" s="43">
        <f>IF($E4382=0,0,YEAR($E4382))</f>
      </c>
      <c r="G4382" s="43">
        <f>IF(INDEX(DarlBindung,10)="",1,IF($E4382&lt;=INDEX(DarlBindung,10),1,0))</f>
      </c>
      <c r="H4382" s="43">
        <f>IF($G4382=1,INDEX(DarlSollzins,10),INDEX(DarlAnschluss,10))</f>
      </c>
      <c r="I4382" s="43">
        <f>IF(INDEX(DarlBelegt,10)=0,0,IF(INDEX(DarlOhneTilgung,10)=1,IF(INDEX(DarlBindung,10)="",1,$G4382),IF($J4382&gt;0.005,1,0)))</f>
      </c>
      <c r="J4382" s="43">
        <f>IF($I4381=0,0,$R4381)</f>
      </c>
      <c r="K4382" s="43">
        <f>IF($I4382=0,0,IF(INDEX(DarlOhneTilgung,10)=1,0,IF(AND(INDEX(DarlTilgStart,10)&gt;0,$E4382=INDEX(DarlTilgStart,10)),$J4382*($H4382+INDEX(DarlTilgung,10))/100/12,IF(AND($G4382=0,$G4381=1),MAX($K4381,$J4382*($H4382+1)/100/12),$K4381))))</f>
      </c>
      <c r="L4382" s="43">
        <f>IF($I4382=0,0,$J4382*$H4382/100/12)</f>
      </c>
      <c r="M4382" s="43">
        <f>IF($I4382=0,0,IF(OR(INDEX(DarlOhneTilgung,10)=1,AND(INDEX(DarlTilgStart,10)&gt;0,$E4382&lt;INDEX(DarlTilgStart,10))),0,MIN(MAX(0,$K4382-$L4382),$J4382)))</f>
      </c>
      <c r="N4382" s="43">
        <f>IF($I4382=0,0,MIN(SUMIFS(SondBetrag,SondDarl,10,SondDatum,"&gt;="&amp;$E4382,SondDatum,"&lt;="&amp;EOMONTH($E4382,0)),$J4382-$M4382))</f>
      </c>
      <c r="O4382" s="43">
        <f>IF($I4382=0,0,INDEX(DarlErsatzRate,10))</f>
      </c>
      <c r="P4382" s="43">
        <f>IF($I4382=0,0,$Q4381*INDEX(DarlErsatzZins,10))</f>
      </c>
      <c r="Q4382" s="43">
        <f>IF($I4382=0,0,$Q4381+$P4382+$O4382)</f>
      </c>
      <c r="R4382" s="43">
        <f>IF($I4382=0,0,$J4382-$M4382-$N4382)</f>
      </c>
    </row>
    <row r="4383">
      <c r="A4383"/>
      <c r="B4383">
        <v>10</v>
      </c>
      <c r="C4383" s="43">
        <f>INDEX(DarlObj,10)</f>
      </c>
      <c r="D4383">
        <v>60</v>
      </c>
      <c r="E4383" s="51">
        <f>IF(INDEX(DarlBelegt,10)=0,0,EOMONTH(INDEX(DarlAuszahlung,10),59)+1)</f>
      </c>
      <c r="F4383" s="43">
        <f>IF($E4383=0,0,YEAR($E4383))</f>
      </c>
      <c r="G4383" s="43">
        <f>IF(INDEX(DarlBindung,10)="",1,IF($E4383&lt;=INDEX(DarlBindung,10),1,0))</f>
      </c>
      <c r="H4383" s="43">
        <f>IF($G4383=1,INDEX(DarlSollzins,10),INDEX(DarlAnschluss,10))</f>
      </c>
      <c r="I4383" s="43">
        <f>IF(INDEX(DarlBelegt,10)=0,0,IF(INDEX(DarlOhneTilgung,10)=1,IF(INDEX(DarlBindung,10)="",1,$G4383),IF($J4383&gt;0.005,1,0)))</f>
      </c>
      <c r="J4383" s="43">
        <f>IF($I4382=0,0,$R4382)</f>
      </c>
      <c r="K4383" s="43">
        <f>IF($I4383=0,0,IF(INDEX(DarlOhneTilgung,10)=1,0,IF(AND(INDEX(DarlTilgStart,10)&gt;0,$E4383=INDEX(DarlTilgStart,10)),$J4383*($H4383+INDEX(DarlTilgung,10))/100/12,IF(AND($G4383=0,$G4382=1),MAX($K4382,$J4383*($H4383+1)/100/12),$K4382))))</f>
      </c>
      <c r="L4383" s="43">
        <f>IF($I4383=0,0,$J4383*$H4383/100/12)</f>
      </c>
      <c r="M4383" s="43">
        <f>IF($I4383=0,0,IF(OR(INDEX(DarlOhneTilgung,10)=1,AND(INDEX(DarlTilgStart,10)&gt;0,$E4383&lt;INDEX(DarlTilgStart,10))),0,MIN(MAX(0,$K4383-$L4383),$J4383)))</f>
      </c>
      <c r="N4383" s="43">
        <f>IF($I4383=0,0,MIN(SUMIFS(SondBetrag,SondDarl,10,SondDatum,"&gt;="&amp;$E4383,SondDatum,"&lt;="&amp;EOMONTH($E4383,0)),$J4383-$M4383))</f>
      </c>
      <c r="O4383" s="43">
        <f>IF($I4383=0,0,INDEX(DarlErsatzRate,10))</f>
      </c>
      <c r="P4383" s="43">
        <f>IF($I4383=0,0,$Q4382*INDEX(DarlErsatzZins,10))</f>
      </c>
      <c r="Q4383" s="43">
        <f>IF($I4383=0,0,$Q4382+$P4383+$O4383)</f>
      </c>
      <c r="R4383" s="43">
        <f>IF($I4383=0,0,$J4383-$M4383-$N4383)</f>
      </c>
    </row>
    <row r="4384">
      <c r="A4384"/>
      <c r="B4384">
        <v>10</v>
      </c>
      <c r="C4384" s="43">
        <f>INDEX(DarlObj,10)</f>
      </c>
      <c r="D4384">
        <v>61</v>
      </c>
      <c r="E4384" s="51">
        <f>IF(INDEX(DarlBelegt,10)=0,0,EOMONTH(INDEX(DarlAuszahlung,10),60)+1)</f>
      </c>
      <c r="F4384" s="43">
        <f>IF($E4384=0,0,YEAR($E4384))</f>
      </c>
      <c r="G4384" s="43">
        <f>IF(INDEX(DarlBindung,10)="",1,IF($E4384&lt;=INDEX(DarlBindung,10),1,0))</f>
      </c>
      <c r="H4384" s="43">
        <f>IF($G4384=1,INDEX(DarlSollzins,10),INDEX(DarlAnschluss,10))</f>
      </c>
      <c r="I4384" s="43">
        <f>IF(INDEX(DarlBelegt,10)=0,0,IF(INDEX(DarlOhneTilgung,10)=1,IF(INDEX(DarlBindung,10)="",1,$G4384),IF($J4384&gt;0.005,1,0)))</f>
      </c>
      <c r="J4384" s="43">
        <f>IF($I4383=0,0,$R4383)</f>
      </c>
      <c r="K4384" s="43">
        <f>IF($I4384=0,0,IF(INDEX(DarlOhneTilgung,10)=1,0,IF(AND(INDEX(DarlTilgStart,10)&gt;0,$E4384=INDEX(DarlTilgStart,10)),$J4384*($H4384+INDEX(DarlTilgung,10))/100/12,IF(AND($G4384=0,$G4383=1),MAX($K4383,$J4384*($H4384+1)/100/12),$K4383))))</f>
      </c>
      <c r="L4384" s="43">
        <f>IF($I4384=0,0,$J4384*$H4384/100/12)</f>
      </c>
      <c r="M4384" s="43">
        <f>IF($I4384=0,0,IF(OR(INDEX(DarlOhneTilgung,10)=1,AND(INDEX(DarlTilgStart,10)&gt;0,$E4384&lt;INDEX(DarlTilgStart,10))),0,MIN(MAX(0,$K4384-$L4384),$J4384)))</f>
      </c>
      <c r="N4384" s="43">
        <f>IF($I4384=0,0,MIN(SUMIFS(SondBetrag,SondDarl,10,SondDatum,"&gt;="&amp;$E4384,SondDatum,"&lt;="&amp;EOMONTH($E4384,0)),$J4384-$M4384))</f>
      </c>
      <c r="O4384" s="43">
        <f>IF($I4384=0,0,INDEX(DarlErsatzRate,10))</f>
      </c>
      <c r="P4384" s="43">
        <f>IF($I4384=0,0,$Q4383*INDEX(DarlErsatzZins,10))</f>
      </c>
      <c r="Q4384" s="43">
        <f>IF($I4384=0,0,$Q4383+$P4384+$O4384)</f>
      </c>
      <c r="R4384" s="43">
        <f>IF($I4384=0,0,$J4384-$M4384-$N4384)</f>
      </c>
    </row>
    <row r="4385">
      <c r="A4385"/>
      <c r="B4385">
        <v>10</v>
      </c>
      <c r="C4385" s="43">
        <f>INDEX(DarlObj,10)</f>
      </c>
      <c r="D4385">
        <v>62</v>
      </c>
      <c r="E4385" s="51">
        <f>IF(INDEX(DarlBelegt,10)=0,0,EOMONTH(INDEX(DarlAuszahlung,10),61)+1)</f>
      </c>
      <c r="F4385" s="43">
        <f>IF($E4385=0,0,YEAR($E4385))</f>
      </c>
      <c r="G4385" s="43">
        <f>IF(INDEX(DarlBindung,10)="",1,IF($E4385&lt;=INDEX(DarlBindung,10),1,0))</f>
      </c>
      <c r="H4385" s="43">
        <f>IF($G4385=1,INDEX(DarlSollzins,10),INDEX(DarlAnschluss,10))</f>
      </c>
      <c r="I4385" s="43">
        <f>IF(INDEX(DarlBelegt,10)=0,0,IF(INDEX(DarlOhneTilgung,10)=1,IF(INDEX(DarlBindung,10)="",1,$G4385),IF($J4385&gt;0.005,1,0)))</f>
      </c>
      <c r="J4385" s="43">
        <f>IF($I4384=0,0,$R4384)</f>
      </c>
      <c r="K4385" s="43">
        <f>IF($I4385=0,0,IF(INDEX(DarlOhneTilgung,10)=1,0,IF(AND(INDEX(DarlTilgStart,10)&gt;0,$E4385=INDEX(DarlTilgStart,10)),$J4385*($H4385+INDEX(DarlTilgung,10))/100/12,IF(AND($G4385=0,$G4384=1),MAX($K4384,$J4385*($H4385+1)/100/12),$K4384))))</f>
      </c>
      <c r="L4385" s="43">
        <f>IF($I4385=0,0,$J4385*$H4385/100/12)</f>
      </c>
      <c r="M4385" s="43">
        <f>IF($I4385=0,0,IF(OR(INDEX(DarlOhneTilgung,10)=1,AND(INDEX(DarlTilgStart,10)&gt;0,$E4385&lt;INDEX(DarlTilgStart,10))),0,MIN(MAX(0,$K4385-$L4385),$J4385)))</f>
      </c>
      <c r="N4385" s="43">
        <f>IF($I4385=0,0,MIN(SUMIFS(SondBetrag,SondDarl,10,SondDatum,"&gt;="&amp;$E4385,SondDatum,"&lt;="&amp;EOMONTH($E4385,0)),$J4385-$M4385))</f>
      </c>
      <c r="O4385" s="43">
        <f>IF($I4385=0,0,INDEX(DarlErsatzRate,10))</f>
      </c>
      <c r="P4385" s="43">
        <f>IF($I4385=0,0,$Q4384*INDEX(DarlErsatzZins,10))</f>
      </c>
      <c r="Q4385" s="43">
        <f>IF($I4385=0,0,$Q4384+$P4385+$O4385)</f>
      </c>
      <c r="R4385" s="43">
        <f>IF($I4385=0,0,$J4385-$M4385-$N4385)</f>
      </c>
    </row>
    <row r="4386">
      <c r="A4386"/>
      <c r="B4386">
        <v>10</v>
      </c>
      <c r="C4386" s="43">
        <f>INDEX(DarlObj,10)</f>
      </c>
      <c r="D4386">
        <v>63</v>
      </c>
      <c r="E4386" s="51">
        <f>IF(INDEX(DarlBelegt,10)=0,0,EOMONTH(INDEX(DarlAuszahlung,10),62)+1)</f>
      </c>
      <c r="F4386" s="43">
        <f>IF($E4386=0,0,YEAR($E4386))</f>
      </c>
      <c r="G4386" s="43">
        <f>IF(INDEX(DarlBindung,10)="",1,IF($E4386&lt;=INDEX(DarlBindung,10),1,0))</f>
      </c>
      <c r="H4386" s="43">
        <f>IF($G4386=1,INDEX(DarlSollzins,10),INDEX(DarlAnschluss,10))</f>
      </c>
      <c r="I4386" s="43">
        <f>IF(INDEX(DarlBelegt,10)=0,0,IF(INDEX(DarlOhneTilgung,10)=1,IF(INDEX(DarlBindung,10)="",1,$G4386),IF($J4386&gt;0.005,1,0)))</f>
      </c>
      <c r="J4386" s="43">
        <f>IF($I4385=0,0,$R4385)</f>
      </c>
      <c r="K4386" s="43">
        <f>IF($I4386=0,0,IF(INDEX(DarlOhneTilgung,10)=1,0,IF(AND(INDEX(DarlTilgStart,10)&gt;0,$E4386=INDEX(DarlTilgStart,10)),$J4386*($H4386+INDEX(DarlTilgung,10))/100/12,IF(AND($G4386=0,$G4385=1),MAX($K4385,$J4386*($H4386+1)/100/12),$K4385))))</f>
      </c>
      <c r="L4386" s="43">
        <f>IF($I4386=0,0,$J4386*$H4386/100/12)</f>
      </c>
      <c r="M4386" s="43">
        <f>IF($I4386=0,0,IF(OR(INDEX(DarlOhneTilgung,10)=1,AND(INDEX(DarlTilgStart,10)&gt;0,$E4386&lt;INDEX(DarlTilgStart,10))),0,MIN(MAX(0,$K4386-$L4386),$J4386)))</f>
      </c>
      <c r="N4386" s="43">
        <f>IF($I4386=0,0,MIN(SUMIFS(SondBetrag,SondDarl,10,SondDatum,"&gt;="&amp;$E4386,SondDatum,"&lt;="&amp;EOMONTH($E4386,0)),$J4386-$M4386))</f>
      </c>
      <c r="O4386" s="43">
        <f>IF($I4386=0,0,INDEX(DarlErsatzRate,10))</f>
      </c>
      <c r="P4386" s="43">
        <f>IF($I4386=0,0,$Q4385*INDEX(DarlErsatzZins,10))</f>
      </c>
      <c r="Q4386" s="43">
        <f>IF($I4386=0,0,$Q4385+$P4386+$O4386)</f>
      </c>
      <c r="R4386" s="43">
        <f>IF($I4386=0,0,$J4386-$M4386-$N4386)</f>
      </c>
    </row>
    <row r="4387">
      <c r="A4387"/>
      <c r="B4387">
        <v>10</v>
      </c>
      <c r="C4387" s="43">
        <f>INDEX(DarlObj,10)</f>
      </c>
      <c r="D4387">
        <v>64</v>
      </c>
      <c r="E4387" s="51">
        <f>IF(INDEX(DarlBelegt,10)=0,0,EOMONTH(INDEX(DarlAuszahlung,10),63)+1)</f>
      </c>
      <c r="F4387" s="43">
        <f>IF($E4387=0,0,YEAR($E4387))</f>
      </c>
      <c r="G4387" s="43">
        <f>IF(INDEX(DarlBindung,10)="",1,IF($E4387&lt;=INDEX(DarlBindung,10),1,0))</f>
      </c>
      <c r="H4387" s="43">
        <f>IF($G4387=1,INDEX(DarlSollzins,10),INDEX(DarlAnschluss,10))</f>
      </c>
      <c r="I4387" s="43">
        <f>IF(INDEX(DarlBelegt,10)=0,0,IF(INDEX(DarlOhneTilgung,10)=1,IF(INDEX(DarlBindung,10)="",1,$G4387),IF($J4387&gt;0.005,1,0)))</f>
      </c>
      <c r="J4387" s="43">
        <f>IF($I4386=0,0,$R4386)</f>
      </c>
      <c r="K4387" s="43">
        <f>IF($I4387=0,0,IF(INDEX(DarlOhneTilgung,10)=1,0,IF(AND(INDEX(DarlTilgStart,10)&gt;0,$E4387=INDEX(DarlTilgStart,10)),$J4387*($H4387+INDEX(DarlTilgung,10))/100/12,IF(AND($G4387=0,$G4386=1),MAX($K4386,$J4387*($H4387+1)/100/12),$K4386))))</f>
      </c>
      <c r="L4387" s="43">
        <f>IF($I4387=0,0,$J4387*$H4387/100/12)</f>
      </c>
      <c r="M4387" s="43">
        <f>IF($I4387=0,0,IF(OR(INDEX(DarlOhneTilgung,10)=1,AND(INDEX(DarlTilgStart,10)&gt;0,$E4387&lt;INDEX(DarlTilgStart,10))),0,MIN(MAX(0,$K4387-$L4387),$J4387)))</f>
      </c>
      <c r="N4387" s="43">
        <f>IF($I4387=0,0,MIN(SUMIFS(SondBetrag,SondDarl,10,SondDatum,"&gt;="&amp;$E4387,SondDatum,"&lt;="&amp;EOMONTH($E4387,0)),$J4387-$M4387))</f>
      </c>
      <c r="O4387" s="43">
        <f>IF($I4387=0,0,INDEX(DarlErsatzRate,10))</f>
      </c>
      <c r="P4387" s="43">
        <f>IF($I4387=0,0,$Q4386*INDEX(DarlErsatzZins,10))</f>
      </c>
      <c r="Q4387" s="43">
        <f>IF($I4387=0,0,$Q4386+$P4387+$O4387)</f>
      </c>
      <c r="R4387" s="43">
        <f>IF($I4387=0,0,$J4387-$M4387-$N4387)</f>
      </c>
    </row>
    <row r="4388">
      <c r="A4388"/>
      <c r="B4388">
        <v>10</v>
      </c>
      <c r="C4388" s="43">
        <f>INDEX(DarlObj,10)</f>
      </c>
      <c r="D4388">
        <v>65</v>
      </c>
      <c r="E4388" s="51">
        <f>IF(INDEX(DarlBelegt,10)=0,0,EOMONTH(INDEX(DarlAuszahlung,10),64)+1)</f>
      </c>
      <c r="F4388" s="43">
        <f>IF($E4388=0,0,YEAR($E4388))</f>
      </c>
      <c r="G4388" s="43">
        <f>IF(INDEX(DarlBindung,10)="",1,IF($E4388&lt;=INDEX(DarlBindung,10),1,0))</f>
      </c>
      <c r="H4388" s="43">
        <f>IF($G4388=1,INDEX(DarlSollzins,10),INDEX(DarlAnschluss,10))</f>
      </c>
      <c r="I4388" s="43">
        <f>IF(INDEX(DarlBelegt,10)=0,0,IF(INDEX(DarlOhneTilgung,10)=1,IF(INDEX(DarlBindung,10)="",1,$G4388),IF($J4388&gt;0.005,1,0)))</f>
      </c>
      <c r="J4388" s="43">
        <f>IF($I4387=0,0,$R4387)</f>
      </c>
      <c r="K4388" s="43">
        <f>IF($I4388=0,0,IF(INDEX(DarlOhneTilgung,10)=1,0,IF(AND(INDEX(DarlTilgStart,10)&gt;0,$E4388=INDEX(DarlTilgStart,10)),$J4388*($H4388+INDEX(DarlTilgung,10))/100/12,IF(AND($G4388=0,$G4387=1),MAX($K4387,$J4388*($H4388+1)/100/12),$K4387))))</f>
      </c>
      <c r="L4388" s="43">
        <f>IF($I4388=0,0,$J4388*$H4388/100/12)</f>
      </c>
      <c r="M4388" s="43">
        <f>IF($I4388=0,0,IF(OR(INDEX(DarlOhneTilgung,10)=1,AND(INDEX(DarlTilgStart,10)&gt;0,$E4388&lt;INDEX(DarlTilgStart,10))),0,MIN(MAX(0,$K4388-$L4388),$J4388)))</f>
      </c>
      <c r="N4388" s="43">
        <f>IF($I4388=0,0,MIN(SUMIFS(SondBetrag,SondDarl,10,SondDatum,"&gt;="&amp;$E4388,SondDatum,"&lt;="&amp;EOMONTH($E4388,0)),$J4388-$M4388))</f>
      </c>
      <c r="O4388" s="43">
        <f>IF($I4388=0,0,INDEX(DarlErsatzRate,10))</f>
      </c>
      <c r="P4388" s="43">
        <f>IF($I4388=0,0,$Q4387*INDEX(DarlErsatzZins,10))</f>
      </c>
      <c r="Q4388" s="43">
        <f>IF($I4388=0,0,$Q4387+$P4388+$O4388)</f>
      </c>
      <c r="R4388" s="43">
        <f>IF($I4388=0,0,$J4388-$M4388-$N4388)</f>
      </c>
    </row>
    <row r="4389">
      <c r="A4389"/>
      <c r="B4389">
        <v>10</v>
      </c>
      <c r="C4389" s="43">
        <f>INDEX(DarlObj,10)</f>
      </c>
      <c r="D4389">
        <v>66</v>
      </c>
      <c r="E4389" s="51">
        <f>IF(INDEX(DarlBelegt,10)=0,0,EOMONTH(INDEX(DarlAuszahlung,10),65)+1)</f>
      </c>
      <c r="F4389" s="43">
        <f>IF($E4389=0,0,YEAR($E4389))</f>
      </c>
      <c r="G4389" s="43">
        <f>IF(INDEX(DarlBindung,10)="",1,IF($E4389&lt;=INDEX(DarlBindung,10),1,0))</f>
      </c>
      <c r="H4389" s="43">
        <f>IF($G4389=1,INDEX(DarlSollzins,10),INDEX(DarlAnschluss,10))</f>
      </c>
      <c r="I4389" s="43">
        <f>IF(INDEX(DarlBelegt,10)=0,0,IF(INDEX(DarlOhneTilgung,10)=1,IF(INDEX(DarlBindung,10)="",1,$G4389),IF($J4389&gt;0.005,1,0)))</f>
      </c>
      <c r="J4389" s="43">
        <f>IF($I4388=0,0,$R4388)</f>
      </c>
      <c r="K4389" s="43">
        <f>IF($I4389=0,0,IF(INDEX(DarlOhneTilgung,10)=1,0,IF(AND(INDEX(DarlTilgStart,10)&gt;0,$E4389=INDEX(DarlTilgStart,10)),$J4389*($H4389+INDEX(DarlTilgung,10))/100/12,IF(AND($G4389=0,$G4388=1),MAX($K4388,$J4389*($H4389+1)/100/12),$K4388))))</f>
      </c>
      <c r="L4389" s="43">
        <f>IF($I4389=0,0,$J4389*$H4389/100/12)</f>
      </c>
      <c r="M4389" s="43">
        <f>IF($I4389=0,0,IF(OR(INDEX(DarlOhneTilgung,10)=1,AND(INDEX(DarlTilgStart,10)&gt;0,$E4389&lt;INDEX(DarlTilgStart,10))),0,MIN(MAX(0,$K4389-$L4389),$J4389)))</f>
      </c>
      <c r="N4389" s="43">
        <f>IF($I4389=0,0,MIN(SUMIFS(SondBetrag,SondDarl,10,SondDatum,"&gt;="&amp;$E4389,SondDatum,"&lt;="&amp;EOMONTH($E4389,0)),$J4389-$M4389))</f>
      </c>
      <c r="O4389" s="43">
        <f>IF($I4389=0,0,INDEX(DarlErsatzRate,10))</f>
      </c>
      <c r="P4389" s="43">
        <f>IF($I4389=0,0,$Q4388*INDEX(DarlErsatzZins,10))</f>
      </c>
      <c r="Q4389" s="43">
        <f>IF($I4389=0,0,$Q4388+$P4389+$O4389)</f>
      </c>
      <c r="R4389" s="43">
        <f>IF($I4389=0,0,$J4389-$M4389-$N4389)</f>
      </c>
    </row>
    <row r="4390">
      <c r="A4390"/>
      <c r="B4390">
        <v>10</v>
      </c>
      <c r="C4390" s="43">
        <f>INDEX(DarlObj,10)</f>
      </c>
      <c r="D4390">
        <v>67</v>
      </c>
      <c r="E4390" s="51">
        <f>IF(INDEX(DarlBelegt,10)=0,0,EOMONTH(INDEX(DarlAuszahlung,10),66)+1)</f>
      </c>
      <c r="F4390" s="43">
        <f>IF($E4390=0,0,YEAR($E4390))</f>
      </c>
      <c r="G4390" s="43">
        <f>IF(INDEX(DarlBindung,10)="",1,IF($E4390&lt;=INDEX(DarlBindung,10),1,0))</f>
      </c>
      <c r="H4390" s="43">
        <f>IF($G4390=1,INDEX(DarlSollzins,10),INDEX(DarlAnschluss,10))</f>
      </c>
      <c r="I4390" s="43">
        <f>IF(INDEX(DarlBelegt,10)=0,0,IF(INDEX(DarlOhneTilgung,10)=1,IF(INDEX(DarlBindung,10)="",1,$G4390),IF($J4390&gt;0.005,1,0)))</f>
      </c>
      <c r="J4390" s="43">
        <f>IF($I4389=0,0,$R4389)</f>
      </c>
      <c r="K4390" s="43">
        <f>IF($I4390=0,0,IF(INDEX(DarlOhneTilgung,10)=1,0,IF(AND(INDEX(DarlTilgStart,10)&gt;0,$E4390=INDEX(DarlTilgStart,10)),$J4390*($H4390+INDEX(DarlTilgung,10))/100/12,IF(AND($G4390=0,$G4389=1),MAX($K4389,$J4390*($H4390+1)/100/12),$K4389))))</f>
      </c>
      <c r="L4390" s="43">
        <f>IF($I4390=0,0,$J4390*$H4390/100/12)</f>
      </c>
      <c r="M4390" s="43">
        <f>IF($I4390=0,0,IF(OR(INDEX(DarlOhneTilgung,10)=1,AND(INDEX(DarlTilgStart,10)&gt;0,$E4390&lt;INDEX(DarlTilgStart,10))),0,MIN(MAX(0,$K4390-$L4390),$J4390)))</f>
      </c>
      <c r="N4390" s="43">
        <f>IF($I4390=0,0,MIN(SUMIFS(SondBetrag,SondDarl,10,SondDatum,"&gt;="&amp;$E4390,SondDatum,"&lt;="&amp;EOMONTH($E4390,0)),$J4390-$M4390))</f>
      </c>
      <c r="O4390" s="43">
        <f>IF($I4390=0,0,INDEX(DarlErsatzRate,10))</f>
      </c>
      <c r="P4390" s="43">
        <f>IF($I4390=0,0,$Q4389*INDEX(DarlErsatzZins,10))</f>
      </c>
      <c r="Q4390" s="43">
        <f>IF($I4390=0,0,$Q4389+$P4390+$O4390)</f>
      </c>
      <c r="R4390" s="43">
        <f>IF($I4390=0,0,$J4390-$M4390-$N4390)</f>
      </c>
    </row>
    <row r="4391">
      <c r="A4391"/>
      <c r="B4391">
        <v>10</v>
      </c>
      <c r="C4391" s="43">
        <f>INDEX(DarlObj,10)</f>
      </c>
      <c r="D4391">
        <v>68</v>
      </c>
      <c r="E4391" s="51">
        <f>IF(INDEX(DarlBelegt,10)=0,0,EOMONTH(INDEX(DarlAuszahlung,10),67)+1)</f>
      </c>
      <c r="F4391" s="43">
        <f>IF($E4391=0,0,YEAR($E4391))</f>
      </c>
      <c r="G4391" s="43">
        <f>IF(INDEX(DarlBindung,10)="",1,IF($E4391&lt;=INDEX(DarlBindung,10),1,0))</f>
      </c>
      <c r="H4391" s="43">
        <f>IF($G4391=1,INDEX(DarlSollzins,10),INDEX(DarlAnschluss,10))</f>
      </c>
      <c r="I4391" s="43">
        <f>IF(INDEX(DarlBelegt,10)=0,0,IF(INDEX(DarlOhneTilgung,10)=1,IF(INDEX(DarlBindung,10)="",1,$G4391),IF($J4391&gt;0.005,1,0)))</f>
      </c>
      <c r="J4391" s="43">
        <f>IF($I4390=0,0,$R4390)</f>
      </c>
      <c r="K4391" s="43">
        <f>IF($I4391=0,0,IF(INDEX(DarlOhneTilgung,10)=1,0,IF(AND(INDEX(DarlTilgStart,10)&gt;0,$E4391=INDEX(DarlTilgStart,10)),$J4391*($H4391+INDEX(DarlTilgung,10))/100/12,IF(AND($G4391=0,$G4390=1),MAX($K4390,$J4391*($H4391+1)/100/12),$K4390))))</f>
      </c>
      <c r="L4391" s="43">
        <f>IF($I4391=0,0,$J4391*$H4391/100/12)</f>
      </c>
      <c r="M4391" s="43">
        <f>IF($I4391=0,0,IF(OR(INDEX(DarlOhneTilgung,10)=1,AND(INDEX(DarlTilgStart,10)&gt;0,$E4391&lt;INDEX(DarlTilgStart,10))),0,MIN(MAX(0,$K4391-$L4391),$J4391)))</f>
      </c>
      <c r="N4391" s="43">
        <f>IF($I4391=0,0,MIN(SUMIFS(SondBetrag,SondDarl,10,SondDatum,"&gt;="&amp;$E4391,SondDatum,"&lt;="&amp;EOMONTH($E4391,0)),$J4391-$M4391))</f>
      </c>
      <c r="O4391" s="43">
        <f>IF($I4391=0,0,INDEX(DarlErsatzRate,10))</f>
      </c>
      <c r="P4391" s="43">
        <f>IF($I4391=0,0,$Q4390*INDEX(DarlErsatzZins,10))</f>
      </c>
      <c r="Q4391" s="43">
        <f>IF($I4391=0,0,$Q4390+$P4391+$O4391)</f>
      </c>
      <c r="R4391" s="43">
        <f>IF($I4391=0,0,$J4391-$M4391-$N4391)</f>
      </c>
    </row>
    <row r="4392">
      <c r="A4392"/>
      <c r="B4392">
        <v>10</v>
      </c>
      <c r="C4392" s="43">
        <f>INDEX(DarlObj,10)</f>
      </c>
      <c r="D4392">
        <v>69</v>
      </c>
      <c r="E4392" s="51">
        <f>IF(INDEX(DarlBelegt,10)=0,0,EOMONTH(INDEX(DarlAuszahlung,10),68)+1)</f>
      </c>
      <c r="F4392" s="43">
        <f>IF($E4392=0,0,YEAR($E4392))</f>
      </c>
      <c r="G4392" s="43">
        <f>IF(INDEX(DarlBindung,10)="",1,IF($E4392&lt;=INDEX(DarlBindung,10),1,0))</f>
      </c>
      <c r="H4392" s="43">
        <f>IF($G4392=1,INDEX(DarlSollzins,10),INDEX(DarlAnschluss,10))</f>
      </c>
      <c r="I4392" s="43">
        <f>IF(INDEX(DarlBelegt,10)=0,0,IF(INDEX(DarlOhneTilgung,10)=1,IF(INDEX(DarlBindung,10)="",1,$G4392),IF($J4392&gt;0.005,1,0)))</f>
      </c>
      <c r="J4392" s="43">
        <f>IF($I4391=0,0,$R4391)</f>
      </c>
      <c r="K4392" s="43">
        <f>IF($I4392=0,0,IF(INDEX(DarlOhneTilgung,10)=1,0,IF(AND(INDEX(DarlTilgStart,10)&gt;0,$E4392=INDEX(DarlTilgStart,10)),$J4392*($H4392+INDEX(DarlTilgung,10))/100/12,IF(AND($G4392=0,$G4391=1),MAX($K4391,$J4392*($H4392+1)/100/12),$K4391))))</f>
      </c>
      <c r="L4392" s="43">
        <f>IF($I4392=0,0,$J4392*$H4392/100/12)</f>
      </c>
      <c r="M4392" s="43">
        <f>IF($I4392=0,0,IF(OR(INDEX(DarlOhneTilgung,10)=1,AND(INDEX(DarlTilgStart,10)&gt;0,$E4392&lt;INDEX(DarlTilgStart,10))),0,MIN(MAX(0,$K4392-$L4392),$J4392)))</f>
      </c>
      <c r="N4392" s="43">
        <f>IF($I4392=0,0,MIN(SUMIFS(SondBetrag,SondDarl,10,SondDatum,"&gt;="&amp;$E4392,SondDatum,"&lt;="&amp;EOMONTH($E4392,0)),$J4392-$M4392))</f>
      </c>
      <c r="O4392" s="43">
        <f>IF($I4392=0,0,INDEX(DarlErsatzRate,10))</f>
      </c>
      <c r="P4392" s="43">
        <f>IF($I4392=0,0,$Q4391*INDEX(DarlErsatzZins,10))</f>
      </c>
      <c r="Q4392" s="43">
        <f>IF($I4392=0,0,$Q4391+$P4392+$O4392)</f>
      </c>
      <c r="R4392" s="43">
        <f>IF($I4392=0,0,$J4392-$M4392-$N4392)</f>
      </c>
    </row>
    <row r="4393">
      <c r="A4393"/>
      <c r="B4393">
        <v>10</v>
      </c>
      <c r="C4393" s="43">
        <f>INDEX(DarlObj,10)</f>
      </c>
      <c r="D4393">
        <v>70</v>
      </c>
      <c r="E4393" s="51">
        <f>IF(INDEX(DarlBelegt,10)=0,0,EOMONTH(INDEX(DarlAuszahlung,10),69)+1)</f>
      </c>
      <c r="F4393" s="43">
        <f>IF($E4393=0,0,YEAR($E4393))</f>
      </c>
      <c r="G4393" s="43">
        <f>IF(INDEX(DarlBindung,10)="",1,IF($E4393&lt;=INDEX(DarlBindung,10),1,0))</f>
      </c>
      <c r="H4393" s="43">
        <f>IF($G4393=1,INDEX(DarlSollzins,10),INDEX(DarlAnschluss,10))</f>
      </c>
      <c r="I4393" s="43">
        <f>IF(INDEX(DarlBelegt,10)=0,0,IF(INDEX(DarlOhneTilgung,10)=1,IF(INDEX(DarlBindung,10)="",1,$G4393),IF($J4393&gt;0.005,1,0)))</f>
      </c>
      <c r="J4393" s="43">
        <f>IF($I4392=0,0,$R4392)</f>
      </c>
      <c r="K4393" s="43">
        <f>IF($I4393=0,0,IF(INDEX(DarlOhneTilgung,10)=1,0,IF(AND(INDEX(DarlTilgStart,10)&gt;0,$E4393=INDEX(DarlTilgStart,10)),$J4393*($H4393+INDEX(DarlTilgung,10))/100/12,IF(AND($G4393=0,$G4392=1),MAX($K4392,$J4393*($H4393+1)/100/12),$K4392))))</f>
      </c>
      <c r="L4393" s="43">
        <f>IF($I4393=0,0,$J4393*$H4393/100/12)</f>
      </c>
      <c r="M4393" s="43">
        <f>IF($I4393=0,0,IF(OR(INDEX(DarlOhneTilgung,10)=1,AND(INDEX(DarlTilgStart,10)&gt;0,$E4393&lt;INDEX(DarlTilgStart,10))),0,MIN(MAX(0,$K4393-$L4393),$J4393)))</f>
      </c>
      <c r="N4393" s="43">
        <f>IF($I4393=0,0,MIN(SUMIFS(SondBetrag,SondDarl,10,SondDatum,"&gt;="&amp;$E4393,SondDatum,"&lt;="&amp;EOMONTH($E4393,0)),$J4393-$M4393))</f>
      </c>
      <c r="O4393" s="43">
        <f>IF($I4393=0,0,INDEX(DarlErsatzRate,10))</f>
      </c>
      <c r="P4393" s="43">
        <f>IF($I4393=0,0,$Q4392*INDEX(DarlErsatzZins,10))</f>
      </c>
      <c r="Q4393" s="43">
        <f>IF($I4393=0,0,$Q4392+$P4393+$O4393)</f>
      </c>
      <c r="R4393" s="43">
        <f>IF($I4393=0,0,$J4393-$M4393-$N4393)</f>
      </c>
    </row>
    <row r="4394">
      <c r="A4394"/>
      <c r="B4394">
        <v>10</v>
      </c>
      <c r="C4394" s="43">
        <f>INDEX(DarlObj,10)</f>
      </c>
      <c r="D4394">
        <v>71</v>
      </c>
      <c r="E4394" s="51">
        <f>IF(INDEX(DarlBelegt,10)=0,0,EOMONTH(INDEX(DarlAuszahlung,10),70)+1)</f>
      </c>
      <c r="F4394" s="43">
        <f>IF($E4394=0,0,YEAR($E4394))</f>
      </c>
      <c r="G4394" s="43">
        <f>IF(INDEX(DarlBindung,10)="",1,IF($E4394&lt;=INDEX(DarlBindung,10),1,0))</f>
      </c>
      <c r="H4394" s="43">
        <f>IF($G4394=1,INDEX(DarlSollzins,10),INDEX(DarlAnschluss,10))</f>
      </c>
      <c r="I4394" s="43">
        <f>IF(INDEX(DarlBelegt,10)=0,0,IF(INDEX(DarlOhneTilgung,10)=1,IF(INDEX(DarlBindung,10)="",1,$G4394),IF($J4394&gt;0.005,1,0)))</f>
      </c>
      <c r="J4394" s="43">
        <f>IF($I4393=0,0,$R4393)</f>
      </c>
      <c r="K4394" s="43">
        <f>IF($I4394=0,0,IF(INDEX(DarlOhneTilgung,10)=1,0,IF(AND(INDEX(DarlTilgStart,10)&gt;0,$E4394=INDEX(DarlTilgStart,10)),$J4394*($H4394+INDEX(DarlTilgung,10))/100/12,IF(AND($G4394=0,$G4393=1),MAX($K4393,$J4394*($H4394+1)/100/12),$K4393))))</f>
      </c>
      <c r="L4394" s="43">
        <f>IF($I4394=0,0,$J4394*$H4394/100/12)</f>
      </c>
      <c r="M4394" s="43">
        <f>IF($I4394=0,0,IF(OR(INDEX(DarlOhneTilgung,10)=1,AND(INDEX(DarlTilgStart,10)&gt;0,$E4394&lt;INDEX(DarlTilgStart,10))),0,MIN(MAX(0,$K4394-$L4394),$J4394)))</f>
      </c>
      <c r="N4394" s="43">
        <f>IF($I4394=0,0,MIN(SUMIFS(SondBetrag,SondDarl,10,SondDatum,"&gt;="&amp;$E4394,SondDatum,"&lt;="&amp;EOMONTH($E4394,0)),$J4394-$M4394))</f>
      </c>
      <c r="O4394" s="43">
        <f>IF($I4394=0,0,INDEX(DarlErsatzRate,10))</f>
      </c>
      <c r="P4394" s="43">
        <f>IF($I4394=0,0,$Q4393*INDEX(DarlErsatzZins,10))</f>
      </c>
      <c r="Q4394" s="43">
        <f>IF($I4394=0,0,$Q4393+$P4394+$O4394)</f>
      </c>
      <c r="R4394" s="43">
        <f>IF($I4394=0,0,$J4394-$M4394-$N4394)</f>
      </c>
    </row>
    <row r="4395">
      <c r="A4395"/>
      <c r="B4395">
        <v>10</v>
      </c>
      <c r="C4395" s="43">
        <f>INDEX(DarlObj,10)</f>
      </c>
      <c r="D4395">
        <v>72</v>
      </c>
      <c r="E4395" s="51">
        <f>IF(INDEX(DarlBelegt,10)=0,0,EOMONTH(INDEX(DarlAuszahlung,10),71)+1)</f>
      </c>
      <c r="F4395" s="43">
        <f>IF($E4395=0,0,YEAR($E4395))</f>
      </c>
      <c r="G4395" s="43">
        <f>IF(INDEX(DarlBindung,10)="",1,IF($E4395&lt;=INDEX(DarlBindung,10),1,0))</f>
      </c>
      <c r="H4395" s="43">
        <f>IF($G4395=1,INDEX(DarlSollzins,10),INDEX(DarlAnschluss,10))</f>
      </c>
      <c r="I4395" s="43">
        <f>IF(INDEX(DarlBelegt,10)=0,0,IF(INDEX(DarlOhneTilgung,10)=1,IF(INDEX(DarlBindung,10)="",1,$G4395),IF($J4395&gt;0.005,1,0)))</f>
      </c>
      <c r="J4395" s="43">
        <f>IF($I4394=0,0,$R4394)</f>
      </c>
      <c r="K4395" s="43">
        <f>IF($I4395=0,0,IF(INDEX(DarlOhneTilgung,10)=1,0,IF(AND(INDEX(DarlTilgStart,10)&gt;0,$E4395=INDEX(DarlTilgStart,10)),$J4395*($H4395+INDEX(DarlTilgung,10))/100/12,IF(AND($G4395=0,$G4394=1),MAX($K4394,$J4395*($H4395+1)/100/12),$K4394))))</f>
      </c>
      <c r="L4395" s="43">
        <f>IF($I4395=0,0,$J4395*$H4395/100/12)</f>
      </c>
      <c r="M4395" s="43">
        <f>IF($I4395=0,0,IF(OR(INDEX(DarlOhneTilgung,10)=1,AND(INDEX(DarlTilgStart,10)&gt;0,$E4395&lt;INDEX(DarlTilgStart,10))),0,MIN(MAX(0,$K4395-$L4395),$J4395)))</f>
      </c>
      <c r="N4395" s="43">
        <f>IF($I4395=0,0,MIN(SUMIFS(SondBetrag,SondDarl,10,SondDatum,"&gt;="&amp;$E4395,SondDatum,"&lt;="&amp;EOMONTH($E4395,0)),$J4395-$M4395))</f>
      </c>
      <c r="O4395" s="43">
        <f>IF($I4395=0,0,INDEX(DarlErsatzRate,10))</f>
      </c>
      <c r="P4395" s="43">
        <f>IF($I4395=0,0,$Q4394*INDEX(DarlErsatzZins,10))</f>
      </c>
      <c r="Q4395" s="43">
        <f>IF($I4395=0,0,$Q4394+$P4395+$O4395)</f>
      </c>
      <c r="R4395" s="43">
        <f>IF($I4395=0,0,$J4395-$M4395-$N4395)</f>
      </c>
    </row>
    <row r="4396">
      <c r="A4396"/>
      <c r="B4396">
        <v>10</v>
      </c>
      <c r="C4396" s="43">
        <f>INDEX(DarlObj,10)</f>
      </c>
      <c r="D4396">
        <v>73</v>
      </c>
      <c r="E4396" s="51">
        <f>IF(INDEX(DarlBelegt,10)=0,0,EOMONTH(INDEX(DarlAuszahlung,10),72)+1)</f>
      </c>
      <c r="F4396" s="43">
        <f>IF($E4396=0,0,YEAR($E4396))</f>
      </c>
      <c r="G4396" s="43">
        <f>IF(INDEX(DarlBindung,10)="",1,IF($E4396&lt;=INDEX(DarlBindung,10),1,0))</f>
      </c>
      <c r="H4396" s="43">
        <f>IF($G4396=1,INDEX(DarlSollzins,10),INDEX(DarlAnschluss,10))</f>
      </c>
      <c r="I4396" s="43">
        <f>IF(INDEX(DarlBelegt,10)=0,0,IF(INDEX(DarlOhneTilgung,10)=1,IF(INDEX(DarlBindung,10)="",1,$G4396),IF($J4396&gt;0.005,1,0)))</f>
      </c>
      <c r="J4396" s="43">
        <f>IF($I4395=0,0,$R4395)</f>
      </c>
      <c r="K4396" s="43">
        <f>IF($I4396=0,0,IF(INDEX(DarlOhneTilgung,10)=1,0,IF(AND(INDEX(DarlTilgStart,10)&gt;0,$E4396=INDEX(DarlTilgStart,10)),$J4396*($H4396+INDEX(DarlTilgung,10))/100/12,IF(AND($G4396=0,$G4395=1),MAX($K4395,$J4396*($H4396+1)/100/12),$K4395))))</f>
      </c>
      <c r="L4396" s="43">
        <f>IF($I4396=0,0,$J4396*$H4396/100/12)</f>
      </c>
      <c r="M4396" s="43">
        <f>IF($I4396=0,0,IF(OR(INDEX(DarlOhneTilgung,10)=1,AND(INDEX(DarlTilgStart,10)&gt;0,$E4396&lt;INDEX(DarlTilgStart,10))),0,MIN(MAX(0,$K4396-$L4396),$J4396)))</f>
      </c>
      <c r="N4396" s="43">
        <f>IF($I4396=0,0,MIN(SUMIFS(SondBetrag,SondDarl,10,SondDatum,"&gt;="&amp;$E4396,SondDatum,"&lt;="&amp;EOMONTH($E4396,0)),$J4396-$M4396))</f>
      </c>
      <c r="O4396" s="43">
        <f>IF($I4396=0,0,INDEX(DarlErsatzRate,10))</f>
      </c>
      <c r="P4396" s="43">
        <f>IF($I4396=0,0,$Q4395*INDEX(DarlErsatzZins,10))</f>
      </c>
      <c r="Q4396" s="43">
        <f>IF($I4396=0,0,$Q4395+$P4396+$O4396)</f>
      </c>
      <c r="R4396" s="43">
        <f>IF($I4396=0,0,$J4396-$M4396-$N4396)</f>
      </c>
    </row>
    <row r="4397">
      <c r="A4397"/>
      <c r="B4397">
        <v>10</v>
      </c>
      <c r="C4397" s="43">
        <f>INDEX(DarlObj,10)</f>
      </c>
      <c r="D4397">
        <v>74</v>
      </c>
      <c r="E4397" s="51">
        <f>IF(INDEX(DarlBelegt,10)=0,0,EOMONTH(INDEX(DarlAuszahlung,10),73)+1)</f>
      </c>
      <c r="F4397" s="43">
        <f>IF($E4397=0,0,YEAR($E4397))</f>
      </c>
      <c r="G4397" s="43">
        <f>IF(INDEX(DarlBindung,10)="",1,IF($E4397&lt;=INDEX(DarlBindung,10),1,0))</f>
      </c>
      <c r="H4397" s="43">
        <f>IF($G4397=1,INDEX(DarlSollzins,10),INDEX(DarlAnschluss,10))</f>
      </c>
      <c r="I4397" s="43">
        <f>IF(INDEX(DarlBelegt,10)=0,0,IF(INDEX(DarlOhneTilgung,10)=1,IF(INDEX(DarlBindung,10)="",1,$G4397),IF($J4397&gt;0.005,1,0)))</f>
      </c>
      <c r="J4397" s="43">
        <f>IF($I4396=0,0,$R4396)</f>
      </c>
      <c r="K4397" s="43">
        <f>IF($I4397=0,0,IF(INDEX(DarlOhneTilgung,10)=1,0,IF(AND(INDEX(DarlTilgStart,10)&gt;0,$E4397=INDEX(DarlTilgStart,10)),$J4397*($H4397+INDEX(DarlTilgung,10))/100/12,IF(AND($G4397=0,$G4396=1),MAX($K4396,$J4397*($H4397+1)/100/12),$K4396))))</f>
      </c>
      <c r="L4397" s="43">
        <f>IF($I4397=0,0,$J4397*$H4397/100/12)</f>
      </c>
      <c r="M4397" s="43">
        <f>IF($I4397=0,0,IF(OR(INDEX(DarlOhneTilgung,10)=1,AND(INDEX(DarlTilgStart,10)&gt;0,$E4397&lt;INDEX(DarlTilgStart,10))),0,MIN(MAX(0,$K4397-$L4397),$J4397)))</f>
      </c>
      <c r="N4397" s="43">
        <f>IF($I4397=0,0,MIN(SUMIFS(SondBetrag,SondDarl,10,SondDatum,"&gt;="&amp;$E4397,SondDatum,"&lt;="&amp;EOMONTH($E4397,0)),$J4397-$M4397))</f>
      </c>
      <c r="O4397" s="43">
        <f>IF($I4397=0,0,INDEX(DarlErsatzRate,10))</f>
      </c>
      <c r="P4397" s="43">
        <f>IF($I4397=0,0,$Q4396*INDEX(DarlErsatzZins,10))</f>
      </c>
      <c r="Q4397" s="43">
        <f>IF($I4397=0,0,$Q4396+$P4397+$O4397)</f>
      </c>
      <c r="R4397" s="43">
        <f>IF($I4397=0,0,$J4397-$M4397-$N4397)</f>
      </c>
    </row>
    <row r="4398">
      <c r="A4398"/>
      <c r="B4398">
        <v>10</v>
      </c>
      <c r="C4398" s="43">
        <f>INDEX(DarlObj,10)</f>
      </c>
      <c r="D4398">
        <v>75</v>
      </c>
      <c r="E4398" s="51">
        <f>IF(INDEX(DarlBelegt,10)=0,0,EOMONTH(INDEX(DarlAuszahlung,10),74)+1)</f>
      </c>
      <c r="F4398" s="43">
        <f>IF($E4398=0,0,YEAR($E4398))</f>
      </c>
      <c r="G4398" s="43">
        <f>IF(INDEX(DarlBindung,10)="",1,IF($E4398&lt;=INDEX(DarlBindung,10),1,0))</f>
      </c>
      <c r="H4398" s="43">
        <f>IF($G4398=1,INDEX(DarlSollzins,10),INDEX(DarlAnschluss,10))</f>
      </c>
      <c r="I4398" s="43">
        <f>IF(INDEX(DarlBelegt,10)=0,0,IF(INDEX(DarlOhneTilgung,10)=1,IF(INDEX(DarlBindung,10)="",1,$G4398),IF($J4398&gt;0.005,1,0)))</f>
      </c>
      <c r="J4398" s="43">
        <f>IF($I4397=0,0,$R4397)</f>
      </c>
      <c r="K4398" s="43">
        <f>IF($I4398=0,0,IF(INDEX(DarlOhneTilgung,10)=1,0,IF(AND(INDEX(DarlTilgStart,10)&gt;0,$E4398=INDEX(DarlTilgStart,10)),$J4398*($H4398+INDEX(DarlTilgung,10))/100/12,IF(AND($G4398=0,$G4397=1),MAX($K4397,$J4398*($H4398+1)/100/12),$K4397))))</f>
      </c>
      <c r="L4398" s="43">
        <f>IF($I4398=0,0,$J4398*$H4398/100/12)</f>
      </c>
      <c r="M4398" s="43">
        <f>IF($I4398=0,0,IF(OR(INDEX(DarlOhneTilgung,10)=1,AND(INDEX(DarlTilgStart,10)&gt;0,$E4398&lt;INDEX(DarlTilgStart,10))),0,MIN(MAX(0,$K4398-$L4398),$J4398)))</f>
      </c>
      <c r="N4398" s="43">
        <f>IF($I4398=0,0,MIN(SUMIFS(SondBetrag,SondDarl,10,SondDatum,"&gt;="&amp;$E4398,SondDatum,"&lt;="&amp;EOMONTH($E4398,0)),$J4398-$M4398))</f>
      </c>
      <c r="O4398" s="43">
        <f>IF($I4398=0,0,INDEX(DarlErsatzRate,10))</f>
      </c>
      <c r="P4398" s="43">
        <f>IF($I4398=0,0,$Q4397*INDEX(DarlErsatzZins,10))</f>
      </c>
      <c r="Q4398" s="43">
        <f>IF($I4398=0,0,$Q4397+$P4398+$O4398)</f>
      </c>
      <c r="R4398" s="43">
        <f>IF($I4398=0,0,$J4398-$M4398-$N4398)</f>
      </c>
    </row>
    <row r="4399">
      <c r="A4399"/>
      <c r="B4399">
        <v>10</v>
      </c>
      <c r="C4399" s="43">
        <f>INDEX(DarlObj,10)</f>
      </c>
      <c r="D4399">
        <v>76</v>
      </c>
      <c r="E4399" s="51">
        <f>IF(INDEX(DarlBelegt,10)=0,0,EOMONTH(INDEX(DarlAuszahlung,10),75)+1)</f>
      </c>
      <c r="F4399" s="43">
        <f>IF($E4399=0,0,YEAR($E4399))</f>
      </c>
      <c r="G4399" s="43">
        <f>IF(INDEX(DarlBindung,10)="",1,IF($E4399&lt;=INDEX(DarlBindung,10),1,0))</f>
      </c>
      <c r="H4399" s="43">
        <f>IF($G4399=1,INDEX(DarlSollzins,10),INDEX(DarlAnschluss,10))</f>
      </c>
      <c r="I4399" s="43">
        <f>IF(INDEX(DarlBelegt,10)=0,0,IF(INDEX(DarlOhneTilgung,10)=1,IF(INDEX(DarlBindung,10)="",1,$G4399),IF($J4399&gt;0.005,1,0)))</f>
      </c>
      <c r="J4399" s="43">
        <f>IF($I4398=0,0,$R4398)</f>
      </c>
      <c r="K4399" s="43">
        <f>IF($I4399=0,0,IF(INDEX(DarlOhneTilgung,10)=1,0,IF(AND(INDEX(DarlTilgStart,10)&gt;0,$E4399=INDEX(DarlTilgStart,10)),$J4399*($H4399+INDEX(DarlTilgung,10))/100/12,IF(AND($G4399=0,$G4398=1),MAX($K4398,$J4399*($H4399+1)/100/12),$K4398))))</f>
      </c>
      <c r="L4399" s="43">
        <f>IF($I4399=0,0,$J4399*$H4399/100/12)</f>
      </c>
      <c r="M4399" s="43">
        <f>IF($I4399=0,0,IF(OR(INDEX(DarlOhneTilgung,10)=1,AND(INDEX(DarlTilgStart,10)&gt;0,$E4399&lt;INDEX(DarlTilgStart,10))),0,MIN(MAX(0,$K4399-$L4399),$J4399)))</f>
      </c>
      <c r="N4399" s="43">
        <f>IF($I4399=0,0,MIN(SUMIFS(SondBetrag,SondDarl,10,SondDatum,"&gt;="&amp;$E4399,SondDatum,"&lt;="&amp;EOMONTH($E4399,0)),$J4399-$M4399))</f>
      </c>
      <c r="O4399" s="43">
        <f>IF($I4399=0,0,INDEX(DarlErsatzRate,10))</f>
      </c>
      <c r="P4399" s="43">
        <f>IF($I4399=0,0,$Q4398*INDEX(DarlErsatzZins,10))</f>
      </c>
      <c r="Q4399" s="43">
        <f>IF($I4399=0,0,$Q4398+$P4399+$O4399)</f>
      </c>
      <c r="R4399" s="43">
        <f>IF($I4399=0,0,$J4399-$M4399-$N4399)</f>
      </c>
    </row>
    <row r="4400">
      <c r="A4400"/>
      <c r="B4400">
        <v>10</v>
      </c>
      <c r="C4400" s="43">
        <f>INDEX(DarlObj,10)</f>
      </c>
      <c r="D4400">
        <v>77</v>
      </c>
      <c r="E4400" s="51">
        <f>IF(INDEX(DarlBelegt,10)=0,0,EOMONTH(INDEX(DarlAuszahlung,10),76)+1)</f>
      </c>
      <c r="F4400" s="43">
        <f>IF($E4400=0,0,YEAR($E4400))</f>
      </c>
      <c r="G4400" s="43">
        <f>IF(INDEX(DarlBindung,10)="",1,IF($E4400&lt;=INDEX(DarlBindung,10),1,0))</f>
      </c>
      <c r="H4400" s="43">
        <f>IF($G4400=1,INDEX(DarlSollzins,10),INDEX(DarlAnschluss,10))</f>
      </c>
      <c r="I4400" s="43">
        <f>IF(INDEX(DarlBelegt,10)=0,0,IF(INDEX(DarlOhneTilgung,10)=1,IF(INDEX(DarlBindung,10)="",1,$G4400),IF($J4400&gt;0.005,1,0)))</f>
      </c>
      <c r="J4400" s="43">
        <f>IF($I4399=0,0,$R4399)</f>
      </c>
      <c r="K4400" s="43">
        <f>IF($I4400=0,0,IF(INDEX(DarlOhneTilgung,10)=1,0,IF(AND(INDEX(DarlTilgStart,10)&gt;0,$E4400=INDEX(DarlTilgStart,10)),$J4400*($H4400+INDEX(DarlTilgung,10))/100/12,IF(AND($G4400=0,$G4399=1),MAX($K4399,$J4400*($H4400+1)/100/12),$K4399))))</f>
      </c>
      <c r="L4400" s="43">
        <f>IF($I4400=0,0,$J4400*$H4400/100/12)</f>
      </c>
      <c r="M4400" s="43">
        <f>IF($I4400=0,0,IF(OR(INDEX(DarlOhneTilgung,10)=1,AND(INDEX(DarlTilgStart,10)&gt;0,$E4400&lt;INDEX(DarlTilgStart,10))),0,MIN(MAX(0,$K4400-$L4400),$J4400)))</f>
      </c>
      <c r="N4400" s="43">
        <f>IF($I4400=0,0,MIN(SUMIFS(SondBetrag,SondDarl,10,SondDatum,"&gt;="&amp;$E4400,SondDatum,"&lt;="&amp;EOMONTH($E4400,0)),$J4400-$M4400))</f>
      </c>
      <c r="O4400" s="43">
        <f>IF($I4400=0,0,INDEX(DarlErsatzRate,10))</f>
      </c>
      <c r="P4400" s="43">
        <f>IF($I4400=0,0,$Q4399*INDEX(DarlErsatzZins,10))</f>
      </c>
      <c r="Q4400" s="43">
        <f>IF($I4400=0,0,$Q4399+$P4400+$O4400)</f>
      </c>
      <c r="R4400" s="43">
        <f>IF($I4400=0,0,$J4400-$M4400-$N4400)</f>
      </c>
    </row>
    <row r="4401">
      <c r="A4401"/>
      <c r="B4401">
        <v>10</v>
      </c>
      <c r="C4401" s="43">
        <f>INDEX(DarlObj,10)</f>
      </c>
      <c r="D4401">
        <v>78</v>
      </c>
      <c r="E4401" s="51">
        <f>IF(INDEX(DarlBelegt,10)=0,0,EOMONTH(INDEX(DarlAuszahlung,10),77)+1)</f>
      </c>
      <c r="F4401" s="43">
        <f>IF($E4401=0,0,YEAR($E4401))</f>
      </c>
      <c r="G4401" s="43">
        <f>IF(INDEX(DarlBindung,10)="",1,IF($E4401&lt;=INDEX(DarlBindung,10),1,0))</f>
      </c>
      <c r="H4401" s="43">
        <f>IF($G4401=1,INDEX(DarlSollzins,10),INDEX(DarlAnschluss,10))</f>
      </c>
      <c r="I4401" s="43">
        <f>IF(INDEX(DarlBelegt,10)=0,0,IF(INDEX(DarlOhneTilgung,10)=1,IF(INDEX(DarlBindung,10)="",1,$G4401),IF($J4401&gt;0.005,1,0)))</f>
      </c>
      <c r="J4401" s="43">
        <f>IF($I4400=0,0,$R4400)</f>
      </c>
      <c r="K4401" s="43">
        <f>IF($I4401=0,0,IF(INDEX(DarlOhneTilgung,10)=1,0,IF(AND(INDEX(DarlTilgStart,10)&gt;0,$E4401=INDEX(DarlTilgStart,10)),$J4401*($H4401+INDEX(DarlTilgung,10))/100/12,IF(AND($G4401=0,$G4400=1),MAX($K4400,$J4401*($H4401+1)/100/12),$K4400))))</f>
      </c>
      <c r="L4401" s="43">
        <f>IF($I4401=0,0,$J4401*$H4401/100/12)</f>
      </c>
      <c r="M4401" s="43">
        <f>IF($I4401=0,0,IF(OR(INDEX(DarlOhneTilgung,10)=1,AND(INDEX(DarlTilgStart,10)&gt;0,$E4401&lt;INDEX(DarlTilgStart,10))),0,MIN(MAX(0,$K4401-$L4401),$J4401)))</f>
      </c>
      <c r="N4401" s="43">
        <f>IF($I4401=0,0,MIN(SUMIFS(SondBetrag,SondDarl,10,SondDatum,"&gt;="&amp;$E4401,SondDatum,"&lt;="&amp;EOMONTH($E4401,0)),$J4401-$M4401))</f>
      </c>
      <c r="O4401" s="43">
        <f>IF($I4401=0,0,INDEX(DarlErsatzRate,10))</f>
      </c>
      <c r="P4401" s="43">
        <f>IF($I4401=0,0,$Q4400*INDEX(DarlErsatzZins,10))</f>
      </c>
      <c r="Q4401" s="43">
        <f>IF($I4401=0,0,$Q4400+$P4401+$O4401)</f>
      </c>
      <c r="R4401" s="43">
        <f>IF($I4401=0,0,$J4401-$M4401-$N4401)</f>
      </c>
    </row>
    <row r="4402">
      <c r="A4402"/>
      <c r="B4402">
        <v>10</v>
      </c>
      <c r="C4402" s="43">
        <f>INDEX(DarlObj,10)</f>
      </c>
      <c r="D4402">
        <v>79</v>
      </c>
      <c r="E4402" s="51">
        <f>IF(INDEX(DarlBelegt,10)=0,0,EOMONTH(INDEX(DarlAuszahlung,10),78)+1)</f>
      </c>
      <c r="F4402" s="43">
        <f>IF($E4402=0,0,YEAR($E4402))</f>
      </c>
      <c r="G4402" s="43">
        <f>IF(INDEX(DarlBindung,10)="",1,IF($E4402&lt;=INDEX(DarlBindung,10),1,0))</f>
      </c>
      <c r="H4402" s="43">
        <f>IF($G4402=1,INDEX(DarlSollzins,10),INDEX(DarlAnschluss,10))</f>
      </c>
      <c r="I4402" s="43">
        <f>IF(INDEX(DarlBelegt,10)=0,0,IF(INDEX(DarlOhneTilgung,10)=1,IF(INDEX(DarlBindung,10)="",1,$G4402),IF($J4402&gt;0.005,1,0)))</f>
      </c>
      <c r="J4402" s="43">
        <f>IF($I4401=0,0,$R4401)</f>
      </c>
      <c r="K4402" s="43">
        <f>IF($I4402=0,0,IF(INDEX(DarlOhneTilgung,10)=1,0,IF(AND(INDEX(DarlTilgStart,10)&gt;0,$E4402=INDEX(DarlTilgStart,10)),$J4402*($H4402+INDEX(DarlTilgung,10))/100/12,IF(AND($G4402=0,$G4401=1),MAX($K4401,$J4402*($H4402+1)/100/12),$K4401))))</f>
      </c>
      <c r="L4402" s="43">
        <f>IF($I4402=0,0,$J4402*$H4402/100/12)</f>
      </c>
      <c r="M4402" s="43">
        <f>IF($I4402=0,0,IF(OR(INDEX(DarlOhneTilgung,10)=1,AND(INDEX(DarlTilgStart,10)&gt;0,$E4402&lt;INDEX(DarlTilgStart,10))),0,MIN(MAX(0,$K4402-$L4402),$J4402)))</f>
      </c>
      <c r="N4402" s="43">
        <f>IF($I4402=0,0,MIN(SUMIFS(SondBetrag,SondDarl,10,SondDatum,"&gt;="&amp;$E4402,SondDatum,"&lt;="&amp;EOMONTH($E4402,0)),$J4402-$M4402))</f>
      </c>
      <c r="O4402" s="43">
        <f>IF($I4402=0,0,INDEX(DarlErsatzRate,10))</f>
      </c>
      <c r="P4402" s="43">
        <f>IF($I4402=0,0,$Q4401*INDEX(DarlErsatzZins,10))</f>
      </c>
      <c r="Q4402" s="43">
        <f>IF($I4402=0,0,$Q4401+$P4402+$O4402)</f>
      </c>
      <c r="R4402" s="43">
        <f>IF($I4402=0,0,$J4402-$M4402-$N4402)</f>
      </c>
    </row>
    <row r="4403">
      <c r="A4403"/>
      <c r="B4403">
        <v>10</v>
      </c>
      <c r="C4403" s="43">
        <f>INDEX(DarlObj,10)</f>
      </c>
      <c r="D4403">
        <v>80</v>
      </c>
      <c r="E4403" s="51">
        <f>IF(INDEX(DarlBelegt,10)=0,0,EOMONTH(INDEX(DarlAuszahlung,10),79)+1)</f>
      </c>
      <c r="F4403" s="43">
        <f>IF($E4403=0,0,YEAR($E4403))</f>
      </c>
      <c r="G4403" s="43">
        <f>IF(INDEX(DarlBindung,10)="",1,IF($E4403&lt;=INDEX(DarlBindung,10),1,0))</f>
      </c>
      <c r="H4403" s="43">
        <f>IF($G4403=1,INDEX(DarlSollzins,10),INDEX(DarlAnschluss,10))</f>
      </c>
      <c r="I4403" s="43">
        <f>IF(INDEX(DarlBelegt,10)=0,0,IF(INDEX(DarlOhneTilgung,10)=1,IF(INDEX(DarlBindung,10)="",1,$G4403),IF($J4403&gt;0.005,1,0)))</f>
      </c>
      <c r="J4403" s="43">
        <f>IF($I4402=0,0,$R4402)</f>
      </c>
      <c r="K4403" s="43">
        <f>IF($I4403=0,0,IF(INDEX(DarlOhneTilgung,10)=1,0,IF(AND(INDEX(DarlTilgStart,10)&gt;0,$E4403=INDEX(DarlTilgStart,10)),$J4403*($H4403+INDEX(DarlTilgung,10))/100/12,IF(AND($G4403=0,$G4402=1),MAX($K4402,$J4403*($H4403+1)/100/12),$K4402))))</f>
      </c>
      <c r="L4403" s="43">
        <f>IF($I4403=0,0,$J4403*$H4403/100/12)</f>
      </c>
      <c r="M4403" s="43">
        <f>IF($I4403=0,0,IF(OR(INDEX(DarlOhneTilgung,10)=1,AND(INDEX(DarlTilgStart,10)&gt;0,$E4403&lt;INDEX(DarlTilgStart,10))),0,MIN(MAX(0,$K4403-$L4403),$J4403)))</f>
      </c>
      <c r="N4403" s="43">
        <f>IF($I4403=0,0,MIN(SUMIFS(SondBetrag,SondDarl,10,SondDatum,"&gt;="&amp;$E4403,SondDatum,"&lt;="&amp;EOMONTH($E4403,0)),$J4403-$M4403))</f>
      </c>
      <c r="O4403" s="43">
        <f>IF($I4403=0,0,INDEX(DarlErsatzRate,10))</f>
      </c>
      <c r="P4403" s="43">
        <f>IF($I4403=0,0,$Q4402*INDEX(DarlErsatzZins,10))</f>
      </c>
      <c r="Q4403" s="43">
        <f>IF($I4403=0,0,$Q4402+$P4403+$O4403)</f>
      </c>
      <c r="R4403" s="43">
        <f>IF($I4403=0,0,$J4403-$M4403-$N4403)</f>
      </c>
    </row>
    <row r="4404">
      <c r="A4404"/>
      <c r="B4404">
        <v>10</v>
      </c>
      <c r="C4404" s="43">
        <f>INDEX(DarlObj,10)</f>
      </c>
      <c r="D4404">
        <v>81</v>
      </c>
      <c r="E4404" s="51">
        <f>IF(INDEX(DarlBelegt,10)=0,0,EOMONTH(INDEX(DarlAuszahlung,10),80)+1)</f>
      </c>
      <c r="F4404" s="43">
        <f>IF($E4404=0,0,YEAR($E4404))</f>
      </c>
      <c r="G4404" s="43">
        <f>IF(INDEX(DarlBindung,10)="",1,IF($E4404&lt;=INDEX(DarlBindung,10),1,0))</f>
      </c>
      <c r="H4404" s="43">
        <f>IF($G4404=1,INDEX(DarlSollzins,10),INDEX(DarlAnschluss,10))</f>
      </c>
      <c r="I4404" s="43">
        <f>IF(INDEX(DarlBelegt,10)=0,0,IF(INDEX(DarlOhneTilgung,10)=1,IF(INDEX(DarlBindung,10)="",1,$G4404),IF($J4404&gt;0.005,1,0)))</f>
      </c>
      <c r="J4404" s="43">
        <f>IF($I4403=0,0,$R4403)</f>
      </c>
      <c r="K4404" s="43">
        <f>IF($I4404=0,0,IF(INDEX(DarlOhneTilgung,10)=1,0,IF(AND(INDEX(DarlTilgStart,10)&gt;0,$E4404=INDEX(DarlTilgStart,10)),$J4404*($H4404+INDEX(DarlTilgung,10))/100/12,IF(AND($G4404=0,$G4403=1),MAX($K4403,$J4404*($H4404+1)/100/12),$K4403))))</f>
      </c>
      <c r="L4404" s="43">
        <f>IF($I4404=0,0,$J4404*$H4404/100/12)</f>
      </c>
      <c r="M4404" s="43">
        <f>IF($I4404=0,0,IF(OR(INDEX(DarlOhneTilgung,10)=1,AND(INDEX(DarlTilgStart,10)&gt;0,$E4404&lt;INDEX(DarlTilgStart,10))),0,MIN(MAX(0,$K4404-$L4404),$J4404)))</f>
      </c>
      <c r="N4404" s="43">
        <f>IF($I4404=0,0,MIN(SUMIFS(SondBetrag,SondDarl,10,SondDatum,"&gt;="&amp;$E4404,SondDatum,"&lt;="&amp;EOMONTH($E4404,0)),$J4404-$M4404))</f>
      </c>
      <c r="O4404" s="43">
        <f>IF($I4404=0,0,INDEX(DarlErsatzRate,10))</f>
      </c>
      <c r="P4404" s="43">
        <f>IF($I4404=0,0,$Q4403*INDEX(DarlErsatzZins,10))</f>
      </c>
      <c r="Q4404" s="43">
        <f>IF($I4404=0,0,$Q4403+$P4404+$O4404)</f>
      </c>
      <c r="R4404" s="43">
        <f>IF($I4404=0,0,$J4404-$M4404-$N4404)</f>
      </c>
    </row>
    <row r="4405">
      <c r="A4405"/>
      <c r="B4405">
        <v>10</v>
      </c>
      <c r="C4405" s="43">
        <f>INDEX(DarlObj,10)</f>
      </c>
      <c r="D4405">
        <v>82</v>
      </c>
      <c r="E4405" s="51">
        <f>IF(INDEX(DarlBelegt,10)=0,0,EOMONTH(INDEX(DarlAuszahlung,10),81)+1)</f>
      </c>
      <c r="F4405" s="43">
        <f>IF($E4405=0,0,YEAR($E4405))</f>
      </c>
      <c r="G4405" s="43">
        <f>IF(INDEX(DarlBindung,10)="",1,IF($E4405&lt;=INDEX(DarlBindung,10),1,0))</f>
      </c>
      <c r="H4405" s="43">
        <f>IF($G4405=1,INDEX(DarlSollzins,10),INDEX(DarlAnschluss,10))</f>
      </c>
      <c r="I4405" s="43">
        <f>IF(INDEX(DarlBelegt,10)=0,0,IF(INDEX(DarlOhneTilgung,10)=1,IF(INDEX(DarlBindung,10)="",1,$G4405),IF($J4405&gt;0.005,1,0)))</f>
      </c>
      <c r="J4405" s="43">
        <f>IF($I4404=0,0,$R4404)</f>
      </c>
      <c r="K4405" s="43">
        <f>IF($I4405=0,0,IF(INDEX(DarlOhneTilgung,10)=1,0,IF(AND(INDEX(DarlTilgStart,10)&gt;0,$E4405=INDEX(DarlTilgStart,10)),$J4405*($H4405+INDEX(DarlTilgung,10))/100/12,IF(AND($G4405=0,$G4404=1),MAX($K4404,$J4405*($H4405+1)/100/12),$K4404))))</f>
      </c>
      <c r="L4405" s="43">
        <f>IF($I4405=0,0,$J4405*$H4405/100/12)</f>
      </c>
      <c r="M4405" s="43">
        <f>IF($I4405=0,0,IF(OR(INDEX(DarlOhneTilgung,10)=1,AND(INDEX(DarlTilgStart,10)&gt;0,$E4405&lt;INDEX(DarlTilgStart,10))),0,MIN(MAX(0,$K4405-$L4405),$J4405)))</f>
      </c>
      <c r="N4405" s="43">
        <f>IF($I4405=0,0,MIN(SUMIFS(SondBetrag,SondDarl,10,SondDatum,"&gt;="&amp;$E4405,SondDatum,"&lt;="&amp;EOMONTH($E4405,0)),$J4405-$M4405))</f>
      </c>
      <c r="O4405" s="43">
        <f>IF($I4405=0,0,INDEX(DarlErsatzRate,10))</f>
      </c>
      <c r="P4405" s="43">
        <f>IF($I4405=0,0,$Q4404*INDEX(DarlErsatzZins,10))</f>
      </c>
      <c r="Q4405" s="43">
        <f>IF($I4405=0,0,$Q4404+$P4405+$O4405)</f>
      </c>
      <c r="R4405" s="43">
        <f>IF($I4405=0,0,$J4405-$M4405-$N4405)</f>
      </c>
    </row>
    <row r="4406">
      <c r="A4406"/>
      <c r="B4406">
        <v>10</v>
      </c>
      <c r="C4406" s="43">
        <f>INDEX(DarlObj,10)</f>
      </c>
      <c r="D4406">
        <v>83</v>
      </c>
      <c r="E4406" s="51">
        <f>IF(INDEX(DarlBelegt,10)=0,0,EOMONTH(INDEX(DarlAuszahlung,10),82)+1)</f>
      </c>
      <c r="F4406" s="43">
        <f>IF($E4406=0,0,YEAR($E4406))</f>
      </c>
      <c r="G4406" s="43">
        <f>IF(INDEX(DarlBindung,10)="",1,IF($E4406&lt;=INDEX(DarlBindung,10),1,0))</f>
      </c>
      <c r="H4406" s="43">
        <f>IF($G4406=1,INDEX(DarlSollzins,10),INDEX(DarlAnschluss,10))</f>
      </c>
      <c r="I4406" s="43">
        <f>IF(INDEX(DarlBelegt,10)=0,0,IF(INDEX(DarlOhneTilgung,10)=1,IF(INDEX(DarlBindung,10)="",1,$G4406),IF($J4406&gt;0.005,1,0)))</f>
      </c>
      <c r="J4406" s="43">
        <f>IF($I4405=0,0,$R4405)</f>
      </c>
      <c r="K4406" s="43">
        <f>IF($I4406=0,0,IF(INDEX(DarlOhneTilgung,10)=1,0,IF(AND(INDEX(DarlTilgStart,10)&gt;0,$E4406=INDEX(DarlTilgStart,10)),$J4406*($H4406+INDEX(DarlTilgung,10))/100/12,IF(AND($G4406=0,$G4405=1),MAX($K4405,$J4406*($H4406+1)/100/12),$K4405))))</f>
      </c>
      <c r="L4406" s="43">
        <f>IF($I4406=0,0,$J4406*$H4406/100/12)</f>
      </c>
      <c r="M4406" s="43">
        <f>IF($I4406=0,0,IF(OR(INDEX(DarlOhneTilgung,10)=1,AND(INDEX(DarlTilgStart,10)&gt;0,$E4406&lt;INDEX(DarlTilgStart,10))),0,MIN(MAX(0,$K4406-$L4406),$J4406)))</f>
      </c>
      <c r="N4406" s="43">
        <f>IF($I4406=0,0,MIN(SUMIFS(SondBetrag,SondDarl,10,SondDatum,"&gt;="&amp;$E4406,SondDatum,"&lt;="&amp;EOMONTH($E4406,0)),$J4406-$M4406))</f>
      </c>
      <c r="O4406" s="43">
        <f>IF($I4406=0,0,INDEX(DarlErsatzRate,10))</f>
      </c>
      <c r="P4406" s="43">
        <f>IF($I4406=0,0,$Q4405*INDEX(DarlErsatzZins,10))</f>
      </c>
      <c r="Q4406" s="43">
        <f>IF($I4406=0,0,$Q4405+$P4406+$O4406)</f>
      </c>
      <c r="R4406" s="43">
        <f>IF($I4406=0,0,$J4406-$M4406-$N4406)</f>
      </c>
    </row>
    <row r="4407">
      <c r="A4407"/>
      <c r="B4407">
        <v>10</v>
      </c>
      <c r="C4407" s="43">
        <f>INDEX(DarlObj,10)</f>
      </c>
      <c r="D4407">
        <v>84</v>
      </c>
      <c r="E4407" s="51">
        <f>IF(INDEX(DarlBelegt,10)=0,0,EOMONTH(INDEX(DarlAuszahlung,10),83)+1)</f>
      </c>
      <c r="F4407" s="43">
        <f>IF($E4407=0,0,YEAR($E4407))</f>
      </c>
      <c r="G4407" s="43">
        <f>IF(INDEX(DarlBindung,10)="",1,IF($E4407&lt;=INDEX(DarlBindung,10),1,0))</f>
      </c>
      <c r="H4407" s="43">
        <f>IF($G4407=1,INDEX(DarlSollzins,10),INDEX(DarlAnschluss,10))</f>
      </c>
      <c r="I4407" s="43">
        <f>IF(INDEX(DarlBelegt,10)=0,0,IF(INDEX(DarlOhneTilgung,10)=1,IF(INDEX(DarlBindung,10)="",1,$G4407),IF($J4407&gt;0.005,1,0)))</f>
      </c>
      <c r="J4407" s="43">
        <f>IF($I4406=0,0,$R4406)</f>
      </c>
      <c r="K4407" s="43">
        <f>IF($I4407=0,0,IF(INDEX(DarlOhneTilgung,10)=1,0,IF(AND(INDEX(DarlTilgStart,10)&gt;0,$E4407=INDEX(DarlTilgStart,10)),$J4407*($H4407+INDEX(DarlTilgung,10))/100/12,IF(AND($G4407=0,$G4406=1),MAX($K4406,$J4407*($H4407+1)/100/12),$K4406))))</f>
      </c>
      <c r="L4407" s="43">
        <f>IF($I4407=0,0,$J4407*$H4407/100/12)</f>
      </c>
      <c r="M4407" s="43">
        <f>IF($I4407=0,0,IF(OR(INDEX(DarlOhneTilgung,10)=1,AND(INDEX(DarlTilgStart,10)&gt;0,$E4407&lt;INDEX(DarlTilgStart,10))),0,MIN(MAX(0,$K4407-$L4407),$J4407)))</f>
      </c>
      <c r="N4407" s="43">
        <f>IF($I4407=0,0,MIN(SUMIFS(SondBetrag,SondDarl,10,SondDatum,"&gt;="&amp;$E4407,SondDatum,"&lt;="&amp;EOMONTH($E4407,0)),$J4407-$M4407))</f>
      </c>
      <c r="O4407" s="43">
        <f>IF($I4407=0,0,INDEX(DarlErsatzRate,10))</f>
      </c>
      <c r="P4407" s="43">
        <f>IF($I4407=0,0,$Q4406*INDEX(DarlErsatzZins,10))</f>
      </c>
      <c r="Q4407" s="43">
        <f>IF($I4407=0,0,$Q4406+$P4407+$O4407)</f>
      </c>
      <c r="R4407" s="43">
        <f>IF($I4407=0,0,$J4407-$M4407-$N4407)</f>
      </c>
    </row>
    <row r="4408">
      <c r="A4408"/>
      <c r="B4408">
        <v>10</v>
      </c>
      <c r="C4408" s="43">
        <f>INDEX(DarlObj,10)</f>
      </c>
      <c r="D4408">
        <v>85</v>
      </c>
      <c r="E4408" s="51">
        <f>IF(INDEX(DarlBelegt,10)=0,0,EOMONTH(INDEX(DarlAuszahlung,10),84)+1)</f>
      </c>
      <c r="F4408" s="43">
        <f>IF($E4408=0,0,YEAR($E4408))</f>
      </c>
      <c r="G4408" s="43">
        <f>IF(INDEX(DarlBindung,10)="",1,IF($E4408&lt;=INDEX(DarlBindung,10),1,0))</f>
      </c>
      <c r="H4408" s="43">
        <f>IF($G4408=1,INDEX(DarlSollzins,10),INDEX(DarlAnschluss,10))</f>
      </c>
      <c r="I4408" s="43">
        <f>IF(INDEX(DarlBelegt,10)=0,0,IF(INDEX(DarlOhneTilgung,10)=1,IF(INDEX(DarlBindung,10)="",1,$G4408),IF($J4408&gt;0.005,1,0)))</f>
      </c>
      <c r="J4408" s="43">
        <f>IF($I4407=0,0,$R4407)</f>
      </c>
      <c r="K4408" s="43">
        <f>IF($I4408=0,0,IF(INDEX(DarlOhneTilgung,10)=1,0,IF(AND(INDEX(DarlTilgStart,10)&gt;0,$E4408=INDEX(DarlTilgStart,10)),$J4408*($H4408+INDEX(DarlTilgung,10))/100/12,IF(AND($G4408=0,$G4407=1),MAX($K4407,$J4408*($H4408+1)/100/12),$K4407))))</f>
      </c>
      <c r="L4408" s="43">
        <f>IF($I4408=0,0,$J4408*$H4408/100/12)</f>
      </c>
      <c r="M4408" s="43">
        <f>IF($I4408=0,0,IF(OR(INDEX(DarlOhneTilgung,10)=1,AND(INDEX(DarlTilgStart,10)&gt;0,$E4408&lt;INDEX(DarlTilgStart,10))),0,MIN(MAX(0,$K4408-$L4408),$J4408)))</f>
      </c>
      <c r="N4408" s="43">
        <f>IF($I4408=0,0,MIN(SUMIFS(SondBetrag,SondDarl,10,SondDatum,"&gt;="&amp;$E4408,SondDatum,"&lt;="&amp;EOMONTH($E4408,0)),$J4408-$M4408))</f>
      </c>
      <c r="O4408" s="43">
        <f>IF($I4408=0,0,INDEX(DarlErsatzRate,10))</f>
      </c>
      <c r="P4408" s="43">
        <f>IF($I4408=0,0,$Q4407*INDEX(DarlErsatzZins,10))</f>
      </c>
      <c r="Q4408" s="43">
        <f>IF($I4408=0,0,$Q4407+$P4408+$O4408)</f>
      </c>
      <c r="R4408" s="43">
        <f>IF($I4408=0,0,$J4408-$M4408-$N4408)</f>
      </c>
    </row>
    <row r="4409">
      <c r="A4409"/>
      <c r="B4409">
        <v>10</v>
      </c>
      <c r="C4409" s="43">
        <f>INDEX(DarlObj,10)</f>
      </c>
      <c r="D4409">
        <v>86</v>
      </c>
      <c r="E4409" s="51">
        <f>IF(INDEX(DarlBelegt,10)=0,0,EOMONTH(INDEX(DarlAuszahlung,10),85)+1)</f>
      </c>
      <c r="F4409" s="43">
        <f>IF($E4409=0,0,YEAR($E4409))</f>
      </c>
      <c r="G4409" s="43">
        <f>IF(INDEX(DarlBindung,10)="",1,IF($E4409&lt;=INDEX(DarlBindung,10),1,0))</f>
      </c>
      <c r="H4409" s="43">
        <f>IF($G4409=1,INDEX(DarlSollzins,10),INDEX(DarlAnschluss,10))</f>
      </c>
      <c r="I4409" s="43">
        <f>IF(INDEX(DarlBelegt,10)=0,0,IF(INDEX(DarlOhneTilgung,10)=1,IF(INDEX(DarlBindung,10)="",1,$G4409),IF($J4409&gt;0.005,1,0)))</f>
      </c>
      <c r="J4409" s="43">
        <f>IF($I4408=0,0,$R4408)</f>
      </c>
      <c r="K4409" s="43">
        <f>IF($I4409=0,0,IF(INDEX(DarlOhneTilgung,10)=1,0,IF(AND(INDEX(DarlTilgStart,10)&gt;0,$E4409=INDEX(DarlTilgStart,10)),$J4409*($H4409+INDEX(DarlTilgung,10))/100/12,IF(AND($G4409=0,$G4408=1),MAX($K4408,$J4409*($H4409+1)/100/12),$K4408))))</f>
      </c>
      <c r="L4409" s="43">
        <f>IF($I4409=0,0,$J4409*$H4409/100/12)</f>
      </c>
      <c r="M4409" s="43">
        <f>IF($I4409=0,0,IF(OR(INDEX(DarlOhneTilgung,10)=1,AND(INDEX(DarlTilgStart,10)&gt;0,$E4409&lt;INDEX(DarlTilgStart,10))),0,MIN(MAX(0,$K4409-$L4409),$J4409)))</f>
      </c>
      <c r="N4409" s="43">
        <f>IF($I4409=0,0,MIN(SUMIFS(SondBetrag,SondDarl,10,SondDatum,"&gt;="&amp;$E4409,SondDatum,"&lt;="&amp;EOMONTH($E4409,0)),$J4409-$M4409))</f>
      </c>
      <c r="O4409" s="43">
        <f>IF($I4409=0,0,INDEX(DarlErsatzRate,10))</f>
      </c>
      <c r="P4409" s="43">
        <f>IF($I4409=0,0,$Q4408*INDEX(DarlErsatzZins,10))</f>
      </c>
      <c r="Q4409" s="43">
        <f>IF($I4409=0,0,$Q4408+$P4409+$O4409)</f>
      </c>
      <c r="R4409" s="43">
        <f>IF($I4409=0,0,$J4409-$M4409-$N4409)</f>
      </c>
    </row>
    <row r="4410">
      <c r="A4410"/>
      <c r="B4410">
        <v>10</v>
      </c>
      <c r="C4410" s="43">
        <f>INDEX(DarlObj,10)</f>
      </c>
      <c r="D4410">
        <v>87</v>
      </c>
      <c r="E4410" s="51">
        <f>IF(INDEX(DarlBelegt,10)=0,0,EOMONTH(INDEX(DarlAuszahlung,10),86)+1)</f>
      </c>
      <c r="F4410" s="43">
        <f>IF($E4410=0,0,YEAR($E4410))</f>
      </c>
      <c r="G4410" s="43">
        <f>IF(INDEX(DarlBindung,10)="",1,IF($E4410&lt;=INDEX(DarlBindung,10),1,0))</f>
      </c>
      <c r="H4410" s="43">
        <f>IF($G4410=1,INDEX(DarlSollzins,10),INDEX(DarlAnschluss,10))</f>
      </c>
      <c r="I4410" s="43">
        <f>IF(INDEX(DarlBelegt,10)=0,0,IF(INDEX(DarlOhneTilgung,10)=1,IF(INDEX(DarlBindung,10)="",1,$G4410),IF($J4410&gt;0.005,1,0)))</f>
      </c>
      <c r="J4410" s="43">
        <f>IF($I4409=0,0,$R4409)</f>
      </c>
      <c r="K4410" s="43">
        <f>IF($I4410=0,0,IF(INDEX(DarlOhneTilgung,10)=1,0,IF(AND(INDEX(DarlTilgStart,10)&gt;0,$E4410=INDEX(DarlTilgStart,10)),$J4410*($H4410+INDEX(DarlTilgung,10))/100/12,IF(AND($G4410=0,$G4409=1),MAX($K4409,$J4410*($H4410+1)/100/12),$K4409))))</f>
      </c>
      <c r="L4410" s="43">
        <f>IF($I4410=0,0,$J4410*$H4410/100/12)</f>
      </c>
      <c r="M4410" s="43">
        <f>IF($I4410=0,0,IF(OR(INDEX(DarlOhneTilgung,10)=1,AND(INDEX(DarlTilgStart,10)&gt;0,$E4410&lt;INDEX(DarlTilgStart,10))),0,MIN(MAX(0,$K4410-$L4410),$J4410)))</f>
      </c>
      <c r="N4410" s="43">
        <f>IF($I4410=0,0,MIN(SUMIFS(SondBetrag,SondDarl,10,SondDatum,"&gt;="&amp;$E4410,SondDatum,"&lt;="&amp;EOMONTH($E4410,0)),$J4410-$M4410))</f>
      </c>
      <c r="O4410" s="43">
        <f>IF($I4410=0,0,INDEX(DarlErsatzRate,10))</f>
      </c>
      <c r="P4410" s="43">
        <f>IF($I4410=0,0,$Q4409*INDEX(DarlErsatzZins,10))</f>
      </c>
      <c r="Q4410" s="43">
        <f>IF($I4410=0,0,$Q4409+$P4410+$O4410)</f>
      </c>
      <c r="R4410" s="43">
        <f>IF($I4410=0,0,$J4410-$M4410-$N4410)</f>
      </c>
    </row>
    <row r="4411">
      <c r="A4411"/>
      <c r="B4411">
        <v>10</v>
      </c>
      <c r="C4411" s="43">
        <f>INDEX(DarlObj,10)</f>
      </c>
      <c r="D4411">
        <v>88</v>
      </c>
      <c r="E4411" s="51">
        <f>IF(INDEX(DarlBelegt,10)=0,0,EOMONTH(INDEX(DarlAuszahlung,10),87)+1)</f>
      </c>
      <c r="F4411" s="43">
        <f>IF($E4411=0,0,YEAR($E4411))</f>
      </c>
      <c r="G4411" s="43">
        <f>IF(INDEX(DarlBindung,10)="",1,IF($E4411&lt;=INDEX(DarlBindung,10),1,0))</f>
      </c>
      <c r="H4411" s="43">
        <f>IF($G4411=1,INDEX(DarlSollzins,10),INDEX(DarlAnschluss,10))</f>
      </c>
      <c r="I4411" s="43">
        <f>IF(INDEX(DarlBelegt,10)=0,0,IF(INDEX(DarlOhneTilgung,10)=1,IF(INDEX(DarlBindung,10)="",1,$G4411),IF($J4411&gt;0.005,1,0)))</f>
      </c>
      <c r="J4411" s="43">
        <f>IF($I4410=0,0,$R4410)</f>
      </c>
      <c r="K4411" s="43">
        <f>IF($I4411=0,0,IF(INDEX(DarlOhneTilgung,10)=1,0,IF(AND(INDEX(DarlTilgStart,10)&gt;0,$E4411=INDEX(DarlTilgStart,10)),$J4411*($H4411+INDEX(DarlTilgung,10))/100/12,IF(AND($G4411=0,$G4410=1),MAX($K4410,$J4411*($H4411+1)/100/12),$K4410))))</f>
      </c>
      <c r="L4411" s="43">
        <f>IF($I4411=0,0,$J4411*$H4411/100/12)</f>
      </c>
      <c r="M4411" s="43">
        <f>IF($I4411=0,0,IF(OR(INDEX(DarlOhneTilgung,10)=1,AND(INDEX(DarlTilgStart,10)&gt;0,$E4411&lt;INDEX(DarlTilgStart,10))),0,MIN(MAX(0,$K4411-$L4411),$J4411)))</f>
      </c>
      <c r="N4411" s="43">
        <f>IF($I4411=0,0,MIN(SUMIFS(SondBetrag,SondDarl,10,SondDatum,"&gt;="&amp;$E4411,SondDatum,"&lt;="&amp;EOMONTH($E4411,0)),$J4411-$M4411))</f>
      </c>
      <c r="O4411" s="43">
        <f>IF($I4411=0,0,INDEX(DarlErsatzRate,10))</f>
      </c>
      <c r="P4411" s="43">
        <f>IF($I4411=0,0,$Q4410*INDEX(DarlErsatzZins,10))</f>
      </c>
      <c r="Q4411" s="43">
        <f>IF($I4411=0,0,$Q4410+$P4411+$O4411)</f>
      </c>
      <c r="R4411" s="43">
        <f>IF($I4411=0,0,$J4411-$M4411-$N4411)</f>
      </c>
    </row>
    <row r="4412">
      <c r="A4412"/>
      <c r="B4412">
        <v>10</v>
      </c>
      <c r="C4412" s="43">
        <f>INDEX(DarlObj,10)</f>
      </c>
      <c r="D4412">
        <v>89</v>
      </c>
      <c r="E4412" s="51">
        <f>IF(INDEX(DarlBelegt,10)=0,0,EOMONTH(INDEX(DarlAuszahlung,10),88)+1)</f>
      </c>
      <c r="F4412" s="43">
        <f>IF($E4412=0,0,YEAR($E4412))</f>
      </c>
      <c r="G4412" s="43">
        <f>IF(INDEX(DarlBindung,10)="",1,IF($E4412&lt;=INDEX(DarlBindung,10),1,0))</f>
      </c>
      <c r="H4412" s="43">
        <f>IF($G4412=1,INDEX(DarlSollzins,10),INDEX(DarlAnschluss,10))</f>
      </c>
      <c r="I4412" s="43">
        <f>IF(INDEX(DarlBelegt,10)=0,0,IF(INDEX(DarlOhneTilgung,10)=1,IF(INDEX(DarlBindung,10)="",1,$G4412),IF($J4412&gt;0.005,1,0)))</f>
      </c>
      <c r="J4412" s="43">
        <f>IF($I4411=0,0,$R4411)</f>
      </c>
      <c r="K4412" s="43">
        <f>IF($I4412=0,0,IF(INDEX(DarlOhneTilgung,10)=1,0,IF(AND(INDEX(DarlTilgStart,10)&gt;0,$E4412=INDEX(DarlTilgStart,10)),$J4412*($H4412+INDEX(DarlTilgung,10))/100/12,IF(AND($G4412=0,$G4411=1),MAX($K4411,$J4412*($H4412+1)/100/12),$K4411))))</f>
      </c>
      <c r="L4412" s="43">
        <f>IF($I4412=0,0,$J4412*$H4412/100/12)</f>
      </c>
      <c r="M4412" s="43">
        <f>IF($I4412=0,0,IF(OR(INDEX(DarlOhneTilgung,10)=1,AND(INDEX(DarlTilgStart,10)&gt;0,$E4412&lt;INDEX(DarlTilgStart,10))),0,MIN(MAX(0,$K4412-$L4412),$J4412)))</f>
      </c>
      <c r="N4412" s="43">
        <f>IF($I4412=0,0,MIN(SUMIFS(SondBetrag,SondDarl,10,SondDatum,"&gt;="&amp;$E4412,SondDatum,"&lt;="&amp;EOMONTH($E4412,0)),$J4412-$M4412))</f>
      </c>
      <c r="O4412" s="43">
        <f>IF($I4412=0,0,INDEX(DarlErsatzRate,10))</f>
      </c>
      <c r="P4412" s="43">
        <f>IF($I4412=0,0,$Q4411*INDEX(DarlErsatzZins,10))</f>
      </c>
      <c r="Q4412" s="43">
        <f>IF($I4412=0,0,$Q4411+$P4412+$O4412)</f>
      </c>
      <c r="R4412" s="43">
        <f>IF($I4412=0,0,$J4412-$M4412-$N4412)</f>
      </c>
    </row>
    <row r="4413">
      <c r="A4413"/>
      <c r="B4413">
        <v>10</v>
      </c>
      <c r="C4413" s="43">
        <f>INDEX(DarlObj,10)</f>
      </c>
      <c r="D4413">
        <v>90</v>
      </c>
      <c r="E4413" s="51">
        <f>IF(INDEX(DarlBelegt,10)=0,0,EOMONTH(INDEX(DarlAuszahlung,10),89)+1)</f>
      </c>
      <c r="F4413" s="43">
        <f>IF($E4413=0,0,YEAR($E4413))</f>
      </c>
      <c r="G4413" s="43">
        <f>IF(INDEX(DarlBindung,10)="",1,IF($E4413&lt;=INDEX(DarlBindung,10),1,0))</f>
      </c>
      <c r="H4413" s="43">
        <f>IF($G4413=1,INDEX(DarlSollzins,10),INDEX(DarlAnschluss,10))</f>
      </c>
      <c r="I4413" s="43">
        <f>IF(INDEX(DarlBelegt,10)=0,0,IF(INDEX(DarlOhneTilgung,10)=1,IF(INDEX(DarlBindung,10)="",1,$G4413),IF($J4413&gt;0.005,1,0)))</f>
      </c>
      <c r="J4413" s="43">
        <f>IF($I4412=0,0,$R4412)</f>
      </c>
      <c r="K4413" s="43">
        <f>IF($I4413=0,0,IF(INDEX(DarlOhneTilgung,10)=1,0,IF(AND(INDEX(DarlTilgStart,10)&gt;0,$E4413=INDEX(DarlTilgStart,10)),$J4413*($H4413+INDEX(DarlTilgung,10))/100/12,IF(AND($G4413=0,$G4412=1),MAX($K4412,$J4413*($H4413+1)/100/12),$K4412))))</f>
      </c>
      <c r="L4413" s="43">
        <f>IF($I4413=0,0,$J4413*$H4413/100/12)</f>
      </c>
      <c r="M4413" s="43">
        <f>IF($I4413=0,0,IF(OR(INDEX(DarlOhneTilgung,10)=1,AND(INDEX(DarlTilgStart,10)&gt;0,$E4413&lt;INDEX(DarlTilgStart,10))),0,MIN(MAX(0,$K4413-$L4413),$J4413)))</f>
      </c>
      <c r="N4413" s="43">
        <f>IF($I4413=0,0,MIN(SUMIFS(SondBetrag,SondDarl,10,SondDatum,"&gt;="&amp;$E4413,SondDatum,"&lt;="&amp;EOMONTH($E4413,0)),$J4413-$M4413))</f>
      </c>
      <c r="O4413" s="43">
        <f>IF($I4413=0,0,INDEX(DarlErsatzRate,10))</f>
      </c>
      <c r="P4413" s="43">
        <f>IF($I4413=0,0,$Q4412*INDEX(DarlErsatzZins,10))</f>
      </c>
      <c r="Q4413" s="43">
        <f>IF($I4413=0,0,$Q4412+$P4413+$O4413)</f>
      </c>
      <c r="R4413" s="43">
        <f>IF($I4413=0,0,$J4413-$M4413-$N4413)</f>
      </c>
    </row>
    <row r="4414">
      <c r="A4414"/>
      <c r="B4414">
        <v>10</v>
      </c>
      <c r="C4414" s="43">
        <f>INDEX(DarlObj,10)</f>
      </c>
      <c r="D4414">
        <v>91</v>
      </c>
      <c r="E4414" s="51">
        <f>IF(INDEX(DarlBelegt,10)=0,0,EOMONTH(INDEX(DarlAuszahlung,10),90)+1)</f>
      </c>
      <c r="F4414" s="43">
        <f>IF($E4414=0,0,YEAR($E4414))</f>
      </c>
      <c r="G4414" s="43">
        <f>IF(INDEX(DarlBindung,10)="",1,IF($E4414&lt;=INDEX(DarlBindung,10),1,0))</f>
      </c>
      <c r="H4414" s="43">
        <f>IF($G4414=1,INDEX(DarlSollzins,10),INDEX(DarlAnschluss,10))</f>
      </c>
      <c r="I4414" s="43">
        <f>IF(INDEX(DarlBelegt,10)=0,0,IF(INDEX(DarlOhneTilgung,10)=1,IF(INDEX(DarlBindung,10)="",1,$G4414),IF($J4414&gt;0.005,1,0)))</f>
      </c>
      <c r="J4414" s="43">
        <f>IF($I4413=0,0,$R4413)</f>
      </c>
      <c r="K4414" s="43">
        <f>IF($I4414=0,0,IF(INDEX(DarlOhneTilgung,10)=1,0,IF(AND(INDEX(DarlTilgStart,10)&gt;0,$E4414=INDEX(DarlTilgStart,10)),$J4414*($H4414+INDEX(DarlTilgung,10))/100/12,IF(AND($G4414=0,$G4413=1),MAX($K4413,$J4414*($H4414+1)/100/12),$K4413))))</f>
      </c>
      <c r="L4414" s="43">
        <f>IF($I4414=0,0,$J4414*$H4414/100/12)</f>
      </c>
      <c r="M4414" s="43">
        <f>IF($I4414=0,0,IF(OR(INDEX(DarlOhneTilgung,10)=1,AND(INDEX(DarlTilgStart,10)&gt;0,$E4414&lt;INDEX(DarlTilgStart,10))),0,MIN(MAX(0,$K4414-$L4414),$J4414)))</f>
      </c>
      <c r="N4414" s="43">
        <f>IF($I4414=0,0,MIN(SUMIFS(SondBetrag,SondDarl,10,SondDatum,"&gt;="&amp;$E4414,SondDatum,"&lt;="&amp;EOMONTH($E4414,0)),$J4414-$M4414))</f>
      </c>
      <c r="O4414" s="43">
        <f>IF($I4414=0,0,INDEX(DarlErsatzRate,10))</f>
      </c>
      <c r="P4414" s="43">
        <f>IF($I4414=0,0,$Q4413*INDEX(DarlErsatzZins,10))</f>
      </c>
      <c r="Q4414" s="43">
        <f>IF($I4414=0,0,$Q4413+$P4414+$O4414)</f>
      </c>
      <c r="R4414" s="43">
        <f>IF($I4414=0,0,$J4414-$M4414-$N4414)</f>
      </c>
    </row>
    <row r="4415">
      <c r="A4415"/>
      <c r="B4415">
        <v>10</v>
      </c>
      <c r="C4415" s="43">
        <f>INDEX(DarlObj,10)</f>
      </c>
      <c r="D4415">
        <v>92</v>
      </c>
      <c r="E4415" s="51">
        <f>IF(INDEX(DarlBelegt,10)=0,0,EOMONTH(INDEX(DarlAuszahlung,10),91)+1)</f>
      </c>
      <c r="F4415" s="43">
        <f>IF($E4415=0,0,YEAR($E4415))</f>
      </c>
      <c r="G4415" s="43">
        <f>IF(INDEX(DarlBindung,10)="",1,IF($E4415&lt;=INDEX(DarlBindung,10),1,0))</f>
      </c>
      <c r="H4415" s="43">
        <f>IF($G4415=1,INDEX(DarlSollzins,10),INDEX(DarlAnschluss,10))</f>
      </c>
      <c r="I4415" s="43">
        <f>IF(INDEX(DarlBelegt,10)=0,0,IF(INDEX(DarlOhneTilgung,10)=1,IF(INDEX(DarlBindung,10)="",1,$G4415),IF($J4415&gt;0.005,1,0)))</f>
      </c>
      <c r="J4415" s="43">
        <f>IF($I4414=0,0,$R4414)</f>
      </c>
      <c r="K4415" s="43">
        <f>IF($I4415=0,0,IF(INDEX(DarlOhneTilgung,10)=1,0,IF(AND(INDEX(DarlTilgStart,10)&gt;0,$E4415=INDEX(DarlTilgStart,10)),$J4415*($H4415+INDEX(DarlTilgung,10))/100/12,IF(AND($G4415=0,$G4414=1),MAX($K4414,$J4415*($H4415+1)/100/12),$K4414))))</f>
      </c>
      <c r="L4415" s="43">
        <f>IF($I4415=0,0,$J4415*$H4415/100/12)</f>
      </c>
      <c r="M4415" s="43">
        <f>IF($I4415=0,0,IF(OR(INDEX(DarlOhneTilgung,10)=1,AND(INDEX(DarlTilgStart,10)&gt;0,$E4415&lt;INDEX(DarlTilgStart,10))),0,MIN(MAX(0,$K4415-$L4415),$J4415)))</f>
      </c>
      <c r="N4415" s="43">
        <f>IF($I4415=0,0,MIN(SUMIFS(SondBetrag,SondDarl,10,SondDatum,"&gt;="&amp;$E4415,SondDatum,"&lt;="&amp;EOMONTH($E4415,0)),$J4415-$M4415))</f>
      </c>
      <c r="O4415" s="43">
        <f>IF($I4415=0,0,INDEX(DarlErsatzRate,10))</f>
      </c>
      <c r="P4415" s="43">
        <f>IF($I4415=0,0,$Q4414*INDEX(DarlErsatzZins,10))</f>
      </c>
      <c r="Q4415" s="43">
        <f>IF($I4415=0,0,$Q4414+$P4415+$O4415)</f>
      </c>
      <c r="R4415" s="43">
        <f>IF($I4415=0,0,$J4415-$M4415-$N4415)</f>
      </c>
    </row>
    <row r="4416">
      <c r="A4416"/>
      <c r="B4416">
        <v>10</v>
      </c>
      <c r="C4416" s="43">
        <f>INDEX(DarlObj,10)</f>
      </c>
      <c r="D4416">
        <v>93</v>
      </c>
      <c r="E4416" s="51">
        <f>IF(INDEX(DarlBelegt,10)=0,0,EOMONTH(INDEX(DarlAuszahlung,10),92)+1)</f>
      </c>
      <c r="F4416" s="43">
        <f>IF($E4416=0,0,YEAR($E4416))</f>
      </c>
      <c r="G4416" s="43">
        <f>IF(INDEX(DarlBindung,10)="",1,IF($E4416&lt;=INDEX(DarlBindung,10),1,0))</f>
      </c>
      <c r="H4416" s="43">
        <f>IF($G4416=1,INDEX(DarlSollzins,10),INDEX(DarlAnschluss,10))</f>
      </c>
      <c r="I4416" s="43">
        <f>IF(INDEX(DarlBelegt,10)=0,0,IF(INDEX(DarlOhneTilgung,10)=1,IF(INDEX(DarlBindung,10)="",1,$G4416),IF($J4416&gt;0.005,1,0)))</f>
      </c>
      <c r="J4416" s="43">
        <f>IF($I4415=0,0,$R4415)</f>
      </c>
      <c r="K4416" s="43">
        <f>IF($I4416=0,0,IF(INDEX(DarlOhneTilgung,10)=1,0,IF(AND(INDEX(DarlTilgStart,10)&gt;0,$E4416=INDEX(DarlTilgStart,10)),$J4416*($H4416+INDEX(DarlTilgung,10))/100/12,IF(AND($G4416=0,$G4415=1),MAX($K4415,$J4416*($H4416+1)/100/12),$K4415))))</f>
      </c>
      <c r="L4416" s="43">
        <f>IF($I4416=0,0,$J4416*$H4416/100/12)</f>
      </c>
      <c r="M4416" s="43">
        <f>IF($I4416=0,0,IF(OR(INDEX(DarlOhneTilgung,10)=1,AND(INDEX(DarlTilgStart,10)&gt;0,$E4416&lt;INDEX(DarlTilgStart,10))),0,MIN(MAX(0,$K4416-$L4416),$J4416)))</f>
      </c>
      <c r="N4416" s="43">
        <f>IF($I4416=0,0,MIN(SUMIFS(SondBetrag,SondDarl,10,SondDatum,"&gt;="&amp;$E4416,SondDatum,"&lt;="&amp;EOMONTH($E4416,0)),$J4416-$M4416))</f>
      </c>
      <c r="O4416" s="43">
        <f>IF($I4416=0,0,INDEX(DarlErsatzRate,10))</f>
      </c>
      <c r="P4416" s="43">
        <f>IF($I4416=0,0,$Q4415*INDEX(DarlErsatzZins,10))</f>
      </c>
      <c r="Q4416" s="43">
        <f>IF($I4416=0,0,$Q4415+$P4416+$O4416)</f>
      </c>
      <c r="R4416" s="43">
        <f>IF($I4416=0,0,$J4416-$M4416-$N4416)</f>
      </c>
    </row>
    <row r="4417">
      <c r="A4417"/>
      <c r="B4417">
        <v>10</v>
      </c>
      <c r="C4417" s="43">
        <f>INDEX(DarlObj,10)</f>
      </c>
      <c r="D4417">
        <v>94</v>
      </c>
      <c r="E4417" s="51">
        <f>IF(INDEX(DarlBelegt,10)=0,0,EOMONTH(INDEX(DarlAuszahlung,10),93)+1)</f>
      </c>
      <c r="F4417" s="43">
        <f>IF($E4417=0,0,YEAR($E4417))</f>
      </c>
      <c r="G4417" s="43">
        <f>IF(INDEX(DarlBindung,10)="",1,IF($E4417&lt;=INDEX(DarlBindung,10),1,0))</f>
      </c>
      <c r="H4417" s="43">
        <f>IF($G4417=1,INDEX(DarlSollzins,10),INDEX(DarlAnschluss,10))</f>
      </c>
      <c r="I4417" s="43">
        <f>IF(INDEX(DarlBelegt,10)=0,0,IF(INDEX(DarlOhneTilgung,10)=1,IF(INDEX(DarlBindung,10)="",1,$G4417),IF($J4417&gt;0.005,1,0)))</f>
      </c>
      <c r="J4417" s="43">
        <f>IF($I4416=0,0,$R4416)</f>
      </c>
      <c r="K4417" s="43">
        <f>IF($I4417=0,0,IF(INDEX(DarlOhneTilgung,10)=1,0,IF(AND(INDEX(DarlTilgStart,10)&gt;0,$E4417=INDEX(DarlTilgStart,10)),$J4417*($H4417+INDEX(DarlTilgung,10))/100/12,IF(AND($G4417=0,$G4416=1),MAX($K4416,$J4417*($H4417+1)/100/12),$K4416))))</f>
      </c>
      <c r="L4417" s="43">
        <f>IF($I4417=0,0,$J4417*$H4417/100/12)</f>
      </c>
      <c r="M4417" s="43">
        <f>IF($I4417=0,0,IF(OR(INDEX(DarlOhneTilgung,10)=1,AND(INDEX(DarlTilgStart,10)&gt;0,$E4417&lt;INDEX(DarlTilgStart,10))),0,MIN(MAX(0,$K4417-$L4417),$J4417)))</f>
      </c>
      <c r="N4417" s="43">
        <f>IF($I4417=0,0,MIN(SUMIFS(SondBetrag,SondDarl,10,SondDatum,"&gt;="&amp;$E4417,SondDatum,"&lt;="&amp;EOMONTH($E4417,0)),$J4417-$M4417))</f>
      </c>
      <c r="O4417" s="43">
        <f>IF($I4417=0,0,INDEX(DarlErsatzRate,10))</f>
      </c>
      <c r="P4417" s="43">
        <f>IF($I4417=0,0,$Q4416*INDEX(DarlErsatzZins,10))</f>
      </c>
      <c r="Q4417" s="43">
        <f>IF($I4417=0,0,$Q4416+$P4417+$O4417)</f>
      </c>
      <c r="R4417" s="43">
        <f>IF($I4417=0,0,$J4417-$M4417-$N4417)</f>
      </c>
    </row>
    <row r="4418">
      <c r="A4418"/>
      <c r="B4418">
        <v>10</v>
      </c>
      <c r="C4418" s="43">
        <f>INDEX(DarlObj,10)</f>
      </c>
      <c r="D4418">
        <v>95</v>
      </c>
      <c r="E4418" s="51">
        <f>IF(INDEX(DarlBelegt,10)=0,0,EOMONTH(INDEX(DarlAuszahlung,10),94)+1)</f>
      </c>
      <c r="F4418" s="43">
        <f>IF($E4418=0,0,YEAR($E4418))</f>
      </c>
      <c r="G4418" s="43">
        <f>IF(INDEX(DarlBindung,10)="",1,IF($E4418&lt;=INDEX(DarlBindung,10),1,0))</f>
      </c>
      <c r="H4418" s="43">
        <f>IF($G4418=1,INDEX(DarlSollzins,10),INDEX(DarlAnschluss,10))</f>
      </c>
      <c r="I4418" s="43">
        <f>IF(INDEX(DarlBelegt,10)=0,0,IF(INDEX(DarlOhneTilgung,10)=1,IF(INDEX(DarlBindung,10)="",1,$G4418),IF($J4418&gt;0.005,1,0)))</f>
      </c>
      <c r="J4418" s="43">
        <f>IF($I4417=0,0,$R4417)</f>
      </c>
      <c r="K4418" s="43">
        <f>IF($I4418=0,0,IF(INDEX(DarlOhneTilgung,10)=1,0,IF(AND(INDEX(DarlTilgStart,10)&gt;0,$E4418=INDEX(DarlTilgStart,10)),$J4418*($H4418+INDEX(DarlTilgung,10))/100/12,IF(AND($G4418=0,$G4417=1),MAX($K4417,$J4418*($H4418+1)/100/12),$K4417))))</f>
      </c>
      <c r="L4418" s="43">
        <f>IF($I4418=0,0,$J4418*$H4418/100/12)</f>
      </c>
      <c r="M4418" s="43">
        <f>IF($I4418=0,0,IF(OR(INDEX(DarlOhneTilgung,10)=1,AND(INDEX(DarlTilgStart,10)&gt;0,$E4418&lt;INDEX(DarlTilgStart,10))),0,MIN(MAX(0,$K4418-$L4418),$J4418)))</f>
      </c>
      <c r="N4418" s="43">
        <f>IF($I4418=0,0,MIN(SUMIFS(SondBetrag,SondDarl,10,SondDatum,"&gt;="&amp;$E4418,SondDatum,"&lt;="&amp;EOMONTH($E4418,0)),$J4418-$M4418))</f>
      </c>
      <c r="O4418" s="43">
        <f>IF($I4418=0,0,INDEX(DarlErsatzRate,10))</f>
      </c>
      <c r="P4418" s="43">
        <f>IF($I4418=0,0,$Q4417*INDEX(DarlErsatzZins,10))</f>
      </c>
      <c r="Q4418" s="43">
        <f>IF($I4418=0,0,$Q4417+$P4418+$O4418)</f>
      </c>
      <c r="R4418" s="43">
        <f>IF($I4418=0,0,$J4418-$M4418-$N4418)</f>
      </c>
    </row>
    <row r="4419">
      <c r="A4419"/>
      <c r="B4419">
        <v>10</v>
      </c>
      <c r="C4419" s="43">
        <f>INDEX(DarlObj,10)</f>
      </c>
      <c r="D4419">
        <v>96</v>
      </c>
      <c r="E4419" s="51">
        <f>IF(INDEX(DarlBelegt,10)=0,0,EOMONTH(INDEX(DarlAuszahlung,10),95)+1)</f>
      </c>
      <c r="F4419" s="43">
        <f>IF($E4419=0,0,YEAR($E4419))</f>
      </c>
      <c r="G4419" s="43">
        <f>IF(INDEX(DarlBindung,10)="",1,IF($E4419&lt;=INDEX(DarlBindung,10),1,0))</f>
      </c>
      <c r="H4419" s="43">
        <f>IF($G4419=1,INDEX(DarlSollzins,10),INDEX(DarlAnschluss,10))</f>
      </c>
      <c r="I4419" s="43">
        <f>IF(INDEX(DarlBelegt,10)=0,0,IF(INDEX(DarlOhneTilgung,10)=1,IF(INDEX(DarlBindung,10)="",1,$G4419),IF($J4419&gt;0.005,1,0)))</f>
      </c>
      <c r="J4419" s="43">
        <f>IF($I4418=0,0,$R4418)</f>
      </c>
      <c r="K4419" s="43">
        <f>IF($I4419=0,0,IF(INDEX(DarlOhneTilgung,10)=1,0,IF(AND(INDEX(DarlTilgStart,10)&gt;0,$E4419=INDEX(DarlTilgStart,10)),$J4419*($H4419+INDEX(DarlTilgung,10))/100/12,IF(AND($G4419=0,$G4418=1),MAX($K4418,$J4419*($H4419+1)/100/12),$K4418))))</f>
      </c>
      <c r="L4419" s="43">
        <f>IF($I4419=0,0,$J4419*$H4419/100/12)</f>
      </c>
      <c r="M4419" s="43">
        <f>IF($I4419=0,0,IF(OR(INDEX(DarlOhneTilgung,10)=1,AND(INDEX(DarlTilgStart,10)&gt;0,$E4419&lt;INDEX(DarlTilgStart,10))),0,MIN(MAX(0,$K4419-$L4419),$J4419)))</f>
      </c>
      <c r="N4419" s="43">
        <f>IF($I4419=0,0,MIN(SUMIFS(SondBetrag,SondDarl,10,SondDatum,"&gt;="&amp;$E4419,SondDatum,"&lt;="&amp;EOMONTH($E4419,0)),$J4419-$M4419))</f>
      </c>
      <c r="O4419" s="43">
        <f>IF($I4419=0,0,INDEX(DarlErsatzRate,10))</f>
      </c>
      <c r="P4419" s="43">
        <f>IF($I4419=0,0,$Q4418*INDEX(DarlErsatzZins,10))</f>
      </c>
      <c r="Q4419" s="43">
        <f>IF($I4419=0,0,$Q4418+$P4419+$O4419)</f>
      </c>
      <c r="R4419" s="43">
        <f>IF($I4419=0,0,$J4419-$M4419-$N4419)</f>
      </c>
    </row>
    <row r="4420">
      <c r="A4420"/>
      <c r="B4420">
        <v>10</v>
      </c>
      <c r="C4420" s="43">
        <f>INDEX(DarlObj,10)</f>
      </c>
      <c r="D4420">
        <v>97</v>
      </c>
      <c r="E4420" s="51">
        <f>IF(INDEX(DarlBelegt,10)=0,0,EOMONTH(INDEX(DarlAuszahlung,10),96)+1)</f>
      </c>
      <c r="F4420" s="43">
        <f>IF($E4420=0,0,YEAR($E4420))</f>
      </c>
      <c r="G4420" s="43">
        <f>IF(INDEX(DarlBindung,10)="",1,IF($E4420&lt;=INDEX(DarlBindung,10),1,0))</f>
      </c>
      <c r="H4420" s="43">
        <f>IF($G4420=1,INDEX(DarlSollzins,10),INDEX(DarlAnschluss,10))</f>
      </c>
      <c r="I4420" s="43">
        <f>IF(INDEX(DarlBelegt,10)=0,0,IF(INDEX(DarlOhneTilgung,10)=1,IF(INDEX(DarlBindung,10)="",1,$G4420),IF($J4420&gt;0.005,1,0)))</f>
      </c>
      <c r="J4420" s="43">
        <f>IF($I4419=0,0,$R4419)</f>
      </c>
      <c r="K4420" s="43">
        <f>IF($I4420=0,0,IF(INDEX(DarlOhneTilgung,10)=1,0,IF(AND(INDEX(DarlTilgStart,10)&gt;0,$E4420=INDEX(DarlTilgStart,10)),$J4420*($H4420+INDEX(DarlTilgung,10))/100/12,IF(AND($G4420=0,$G4419=1),MAX($K4419,$J4420*($H4420+1)/100/12),$K4419))))</f>
      </c>
      <c r="L4420" s="43">
        <f>IF($I4420=0,0,$J4420*$H4420/100/12)</f>
      </c>
      <c r="M4420" s="43">
        <f>IF($I4420=0,0,IF(OR(INDEX(DarlOhneTilgung,10)=1,AND(INDEX(DarlTilgStart,10)&gt;0,$E4420&lt;INDEX(DarlTilgStart,10))),0,MIN(MAX(0,$K4420-$L4420),$J4420)))</f>
      </c>
      <c r="N4420" s="43">
        <f>IF($I4420=0,0,MIN(SUMIFS(SondBetrag,SondDarl,10,SondDatum,"&gt;="&amp;$E4420,SondDatum,"&lt;="&amp;EOMONTH($E4420,0)),$J4420-$M4420))</f>
      </c>
      <c r="O4420" s="43">
        <f>IF($I4420=0,0,INDEX(DarlErsatzRate,10))</f>
      </c>
      <c r="P4420" s="43">
        <f>IF($I4420=0,0,$Q4419*INDEX(DarlErsatzZins,10))</f>
      </c>
      <c r="Q4420" s="43">
        <f>IF($I4420=0,0,$Q4419+$P4420+$O4420)</f>
      </c>
      <c r="R4420" s="43">
        <f>IF($I4420=0,0,$J4420-$M4420-$N4420)</f>
      </c>
    </row>
    <row r="4421">
      <c r="A4421"/>
      <c r="B4421">
        <v>10</v>
      </c>
      <c r="C4421" s="43">
        <f>INDEX(DarlObj,10)</f>
      </c>
      <c r="D4421">
        <v>98</v>
      </c>
      <c r="E4421" s="51">
        <f>IF(INDEX(DarlBelegt,10)=0,0,EOMONTH(INDEX(DarlAuszahlung,10),97)+1)</f>
      </c>
      <c r="F4421" s="43">
        <f>IF($E4421=0,0,YEAR($E4421))</f>
      </c>
      <c r="G4421" s="43">
        <f>IF(INDEX(DarlBindung,10)="",1,IF($E4421&lt;=INDEX(DarlBindung,10),1,0))</f>
      </c>
      <c r="H4421" s="43">
        <f>IF($G4421=1,INDEX(DarlSollzins,10),INDEX(DarlAnschluss,10))</f>
      </c>
      <c r="I4421" s="43">
        <f>IF(INDEX(DarlBelegt,10)=0,0,IF(INDEX(DarlOhneTilgung,10)=1,IF(INDEX(DarlBindung,10)="",1,$G4421),IF($J4421&gt;0.005,1,0)))</f>
      </c>
      <c r="J4421" s="43">
        <f>IF($I4420=0,0,$R4420)</f>
      </c>
      <c r="K4421" s="43">
        <f>IF($I4421=0,0,IF(INDEX(DarlOhneTilgung,10)=1,0,IF(AND(INDEX(DarlTilgStart,10)&gt;0,$E4421=INDEX(DarlTilgStart,10)),$J4421*($H4421+INDEX(DarlTilgung,10))/100/12,IF(AND($G4421=0,$G4420=1),MAX($K4420,$J4421*($H4421+1)/100/12),$K4420))))</f>
      </c>
      <c r="L4421" s="43">
        <f>IF($I4421=0,0,$J4421*$H4421/100/12)</f>
      </c>
      <c r="M4421" s="43">
        <f>IF($I4421=0,0,IF(OR(INDEX(DarlOhneTilgung,10)=1,AND(INDEX(DarlTilgStart,10)&gt;0,$E4421&lt;INDEX(DarlTilgStart,10))),0,MIN(MAX(0,$K4421-$L4421),$J4421)))</f>
      </c>
      <c r="N4421" s="43">
        <f>IF($I4421=0,0,MIN(SUMIFS(SondBetrag,SondDarl,10,SondDatum,"&gt;="&amp;$E4421,SondDatum,"&lt;="&amp;EOMONTH($E4421,0)),$J4421-$M4421))</f>
      </c>
      <c r="O4421" s="43">
        <f>IF($I4421=0,0,INDEX(DarlErsatzRate,10))</f>
      </c>
      <c r="P4421" s="43">
        <f>IF($I4421=0,0,$Q4420*INDEX(DarlErsatzZins,10))</f>
      </c>
      <c r="Q4421" s="43">
        <f>IF($I4421=0,0,$Q4420+$P4421+$O4421)</f>
      </c>
      <c r="R4421" s="43">
        <f>IF($I4421=0,0,$J4421-$M4421-$N4421)</f>
      </c>
    </row>
    <row r="4422">
      <c r="A4422"/>
      <c r="B4422">
        <v>10</v>
      </c>
      <c r="C4422" s="43">
        <f>INDEX(DarlObj,10)</f>
      </c>
      <c r="D4422">
        <v>99</v>
      </c>
      <c r="E4422" s="51">
        <f>IF(INDEX(DarlBelegt,10)=0,0,EOMONTH(INDEX(DarlAuszahlung,10),98)+1)</f>
      </c>
      <c r="F4422" s="43">
        <f>IF($E4422=0,0,YEAR($E4422))</f>
      </c>
      <c r="G4422" s="43">
        <f>IF(INDEX(DarlBindung,10)="",1,IF($E4422&lt;=INDEX(DarlBindung,10),1,0))</f>
      </c>
      <c r="H4422" s="43">
        <f>IF($G4422=1,INDEX(DarlSollzins,10),INDEX(DarlAnschluss,10))</f>
      </c>
      <c r="I4422" s="43">
        <f>IF(INDEX(DarlBelegt,10)=0,0,IF(INDEX(DarlOhneTilgung,10)=1,IF(INDEX(DarlBindung,10)="",1,$G4422),IF($J4422&gt;0.005,1,0)))</f>
      </c>
      <c r="J4422" s="43">
        <f>IF($I4421=0,0,$R4421)</f>
      </c>
      <c r="K4422" s="43">
        <f>IF($I4422=0,0,IF(INDEX(DarlOhneTilgung,10)=1,0,IF(AND(INDEX(DarlTilgStart,10)&gt;0,$E4422=INDEX(DarlTilgStart,10)),$J4422*($H4422+INDEX(DarlTilgung,10))/100/12,IF(AND($G4422=0,$G4421=1),MAX($K4421,$J4422*($H4422+1)/100/12),$K4421))))</f>
      </c>
      <c r="L4422" s="43">
        <f>IF($I4422=0,0,$J4422*$H4422/100/12)</f>
      </c>
      <c r="M4422" s="43">
        <f>IF($I4422=0,0,IF(OR(INDEX(DarlOhneTilgung,10)=1,AND(INDEX(DarlTilgStart,10)&gt;0,$E4422&lt;INDEX(DarlTilgStart,10))),0,MIN(MAX(0,$K4422-$L4422),$J4422)))</f>
      </c>
      <c r="N4422" s="43">
        <f>IF($I4422=0,0,MIN(SUMIFS(SondBetrag,SondDarl,10,SondDatum,"&gt;="&amp;$E4422,SondDatum,"&lt;="&amp;EOMONTH($E4422,0)),$J4422-$M4422))</f>
      </c>
      <c r="O4422" s="43">
        <f>IF($I4422=0,0,INDEX(DarlErsatzRate,10))</f>
      </c>
      <c r="P4422" s="43">
        <f>IF($I4422=0,0,$Q4421*INDEX(DarlErsatzZins,10))</f>
      </c>
      <c r="Q4422" s="43">
        <f>IF($I4422=0,0,$Q4421+$P4422+$O4422)</f>
      </c>
      <c r="R4422" s="43">
        <f>IF($I4422=0,0,$J4422-$M4422-$N4422)</f>
      </c>
    </row>
    <row r="4423">
      <c r="A4423"/>
      <c r="B4423">
        <v>10</v>
      </c>
      <c r="C4423" s="43">
        <f>INDEX(DarlObj,10)</f>
      </c>
      <c r="D4423">
        <v>100</v>
      </c>
      <c r="E4423" s="51">
        <f>IF(INDEX(DarlBelegt,10)=0,0,EOMONTH(INDEX(DarlAuszahlung,10),99)+1)</f>
      </c>
      <c r="F4423" s="43">
        <f>IF($E4423=0,0,YEAR($E4423))</f>
      </c>
      <c r="G4423" s="43">
        <f>IF(INDEX(DarlBindung,10)="",1,IF($E4423&lt;=INDEX(DarlBindung,10),1,0))</f>
      </c>
      <c r="H4423" s="43">
        <f>IF($G4423=1,INDEX(DarlSollzins,10),INDEX(DarlAnschluss,10))</f>
      </c>
      <c r="I4423" s="43">
        <f>IF(INDEX(DarlBelegt,10)=0,0,IF(INDEX(DarlOhneTilgung,10)=1,IF(INDEX(DarlBindung,10)="",1,$G4423),IF($J4423&gt;0.005,1,0)))</f>
      </c>
      <c r="J4423" s="43">
        <f>IF($I4422=0,0,$R4422)</f>
      </c>
      <c r="K4423" s="43">
        <f>IF($I4423=0,0,IF(INDEX(DarlOhneTilgung,10)=1,0,IF(AND(INDEX(DarlTilgStart,10)&gt;0,$E4423=INDEX(DarlTilgStart,10)),$J4423*($H4423+INDEX(DarlTilgung,10))/100/12,IF(AND($G4423=0,$G4422=1),MAX($K4422,$J4423*($H4423+1)/100/12),$K4422))))</f>
      </c>
      <c r="L4423" s="43">
        <f>IF($I4423=0,0,$J4423*$H4423/100/12)</f>
      </c>
      <c r="M4423" s="43">
        <f>IF($I4423=0,0,IF(OR(INDEX(DarlOhneTilgung,10)=1,AND(INDEX(DarlTilgStart,10)&gt;0,$E4423&lt;INDEX(DarlTilgStart,10))),0,MIN(MAX(0,$K4423-$L4423),$J4423)))</f>
      </c>
      <c r="N4423" s="43">
        <f>IF($I4423=0,0,MIN(SUMIFS(SondBetrag,SondDarl,10,SondDatum,"&gt;="&amp;$E4423,SondDatum,"&lt;="&amp;EOMONTH($E4423,0)),$J4423-$M4423))</f>
      </c>
      <c r="O4423" s="43">
        <f>IF($I4423=0,0,INDEX(DarlErsatzRate,10))</f>
      </c>
      <c r="P4423" s="43">
        <f>IF($I4423=0,0,$Q4422*INDEX(DarlErsatzZins,10))</f>
      </c>
      <c r="Q4423" s="43">
        <f>IF($I4423=0,0,$Q4422+$P4423+$O4423)</f>
      </c>
      <c r="R4423" s="43">
        <f>IF($I4423=0,0,$J4423-$M4423-$N4423)</f>
      </c>
    </row>
    <row r="4424">
      <c r="A4424"/>
      <c r="B4424">
        <v>10</v>
      </c>
      <c r="C4424" s="43">
        <f>INDEX(DarlObj,10)</f>
      </c>
      <c r="D4424">
        <v>101</v>
      </c>
      <c r="E4424" s="51">
        <f>IF(INDEX(DarlBelegt,10)=0,0,EOMONTH(INDEX(DarlAuszahlung,10),100)+1)</f>
      </c>
      <c r="F4424" s="43">
        <f>IF($E4424=0,0,YEAR($E4424))</f>
      </c>
      <c r="G4424" s="43">
        <f>IF(INDEX(DarlBindung,10)="",1,IF($E4424&lt;=INDEX(DarlBindung,10),1,0))</f>
      </c>
      <c r="H4424" s="43">
        <f>IF($G4424=1,INDEX(DarlSollzins,10),INDEX(DarlAnschluss,10))</f>
      </c>
      <c r="I4424" s="43">
        <f>IF(INDEX(DarlBelegt,10)=0,0,IF(INDEX(DarlOhneTilgung,10)=1,IF(INDEX(DarlBindung,10)="",1,$G4424),IF($J4424&gt;0.005,1,0)))</f>
      </c>
      <c r="J4424" s="43">
        <f>IF($I4423=0,0,$R4423)</f>
      </c>
      <c r="K4424" s="43">
        <f>IF($I4424=0,0,IF(INDEX(DarlOhneTilgung,10)=1,0,IF(AND(INDEX(DarlTilgStart,10)&gt;0,$E4424=INDEX(DarlTilgStart,10)),$J4424*($H4424+INDEX(DarlTilgung,10))/100/12,IF(AND($G4424=0,$G4423=1),MAX($K4423,$J4424*($H4424+1)/100/12),$K4423))))</f>
      </c>
      <c r="L4424" s="43">
        <f>IF($I4424=0,0,$J4424*$H4424/100/12)</f>
      </c>
      <c r="M4424" s="43">
        <f>IF($I4424=0,0,IF(OR(INDEX(DarlOhneTilgung,10)=1,AND(INDEX(DarlTilgStart,10)&gt;0,$E4424&lt;INDEX(DarlTilgStart,10))),0,MIN(MAX(0,$K4424-$L4424),$J4424)))</f>
      </c>
      <c r="N4424" s="43">
        <f>IF($I4424=0,0,MIN(SUMIFS(SondBetrag,SondDarl,10,SondDatum,"&gt;="&amp;$E4424,SondDatum,"&lt;="&amp;EOMONTH($E4424,0)),$J4424-$M4424))</f>
      </c>
      <c r="O4424" s="43">
        <f>IF($I4424=0,0,INDEX(DarlErsatzRate,10))</f>
      </c>
      <c r="P4424" s="43">
        <f>IF($I4424=0,0,$Q4423*INDEX(DarlErsatzZins,10))</f>
      </c>
      <c r="Q4424" s="43">
        <f>IF($I4424=0,0,$Q4423+$P4424+$O4424)</f>
      </c>
      <c r="R4424" s="43">
        <f>IF($I4424=0,0,$J4424-$M4424-$N4424)</f>
      </c>
    </row>
    <row r="4425">
      <c r="A4425"/>
      <c r="B4425">
        <v>10</v>
      </c>
      <c r="C4425" s="43">
        <f>INDEX(DarlObj,10)</f>
      </c>
      <c r="D4425">
        <v>102</v>
      </c>
      <c r="E4425" s="51">
        <f>IF(INDEX(DarlBelegt,10)=0,0,EOMONTH(INDEX(DarlAuszahlung,10),101)+1)</f>
      </c>
      <c r="F4425" s="43">
        <f>IF($E4425=0,0,YEAR($E4425))</f>
      </c>
      <c r="G4425" s="43">
        <f>IF(INDEX(DarlBindung,10)="",1,IF($E4425&lt;=INDEX(DarlBindung,10),1,0))</f>
      </c>
      <c r="H4425" s="43">
        <f>IF($G4425=1,INDEX(DarlSollzins,10),INDEX(DarlAnschluss,10))</f>
      </c>
      <c r="I4425" s="43">
        <f>IF(INDEX(DarlBelegt,10)=0,0,IF(INDEX(DarlOhneTilgung,10)=1,IF(INDEX(DarlBindung,10)="",1,$G4425),IF($J4425&gt;0.005,1,0)))</f>
      </c>
      <c r="J4425" s="43">
        <f>IF($I4424=0,0,$R4424)</f>
      </c>
      <c r="K4425" s="43">
        <f>IF($I4425=0,0,IF(INDEX(DarlOhneTilgung,10)=1,0,IF(AND(INDEX(DarlTilgStart,10)&gt;0,$E4425=INDEX(DarlTilgStart,10)),$J4425*($H4425+INDEX(DarlTilgung,10))/100/12,IF(AND($G4425=0,$G4424=1),MAX($K4424,$J4425*($H4425+1)/100/12),$K4424))))</f>
      </c>
      <c r="L4425" s="43">
        <f>IF($I4425=0,0,$J4425*$H4425/100/12)</f>
      </c>
      <c r="M4425" s="43">
        <f>IF($I4425=0,0,IF(OR(INDEX(DarlOhneTilgung,10)=1,AND(INDEX(DarlTilgStart,10)&gt;0,$E4425&lt;INDEX(DarlTilgStart,10))),0,MIN(MAX(0,$K4425-$L4425),$J4425)))</f>
      </c>
      <c r="N4425" s="43">
        <f>IF($I4425=0,0,MIN(SUMIFS(SondBetrag,SondDarl,10,SondDatum,"&gt;="&amp;$E4425,SondDatum,"&lt;="&amp;EOMONTH($E4425,0)),$J4425-$M4425))</f>
      </c>
      <c r="O4425" s="43">
        <f>IF($I4425=0,0,INDEX(DarlErsatzRate,10))</f>
      </c>
      <c r="P4425" s="43">
        <f>IF($I4425=0,0,$Q4424*INDEX(DarlErsatzZins,10))</f>
      </c>
      <c r="Q4425" s="43">
        <f>IF($I4425=0,0,$Q4424+$P4425+$O4425)</f>
      </c>
      <c r="R4425" s="43">
        <f>IF($I4425=0,0,$J4425-$M4425-$N4425)</f>
      </c>
    </row>
    <row r="4426">
      <c r="A4426"/>
      <c r="B4426">
        <v>10</v>
      </c>
      <c r="C4426" s="43">
        <f>INDEX(DarlObj,10)</f>
      </c>
      <c r="D4426">
        <v>103</v>
      </c>
      <c r="E4426" s="51">
        <f>IF(INDEX(DarlBelegt,10)=0,0,EOMONTH(INDEX(DarlAuszahlung,10),102)+1)</f>
      </c>
      <c r="F4426" s="43">
        <f>IF($E4426=0,0,YEAR($E4426))</f>
      </c>
      <c r="G4426" s="43">
        <f>IF(INDEX(DarlBindung,10)="",1,IF($E4426&lt;=INDEX(DarlBindung,10),1,0))</f>
      </c>
      <c r="H4426" s="43">
        <f>IF($G4426=1,INDEX(DarlSollzins,10),INDEX(DarlAnschluss,10))</f>
      </c>
      <c r="I4426" s="43">
        <f>IF(INDEX(DarlBelegt,10)=0,0,IF(INDEX(DarlOhneTilgung,10)=1,IF(INDEX(DarlBindung,10)="",1,$G4426),IF($J4426&gt;0.005,1,0)))</f>
      </c>
      <c r="J4426" s="43">
        <f>IF($I4425=0,0,$R4425)</f>
      </c>
      <c r="K4426" s="43">
        <f>IF($I4426=0,0,IF(INDEX(DarlOhneTilgung,10)=1,0,IF(AND(INDEX(DarlTilgStart,10)&gt;0,$E4426=INDEX(DarlTilgStart,10)),$J4426*($H4426+INDEX(DarlTilgung,10))/100/12,IF(AND($G4426=0,$G4425=1),MAX($K4425,$J4426*($H4426+1)/100/12),$K4425))))</f>
      </c>
      <c r="L4426" s="43">
        <f>IF($I4426=0,0,$J4426*$H4426/100/12)</f>
      </c>
      <c r="M4426" s="43">
        <f>IF($I4426=0,0,IF(OR(INDEX(DarlOhneTilgung,10)=1,AND(INDEX(DarlTilgStart,10)&gt;0,$E4426&lt;INDEX(DarlTilgStart,10))),0,MIN(MAX(0,$K4426-$L4426),$J4426)))</f>
      </c>
      <c r="N4426" s="43">
        <f>IF($I4426=0,0,MIN(SUMIFS(SondBetrag,SondDarl,10,SondDatum,"&gt;="&amp;$E4426,SondDatum,"&lt;="&amp;EOMONTH($E4426,0)),$J4426-$M4426))</f>
      </c>
      <c r="O4426" s="43">
        <f>IF($I4426=0,0,INDEX(DarlErsatzRate,10))</f>
      </c>
      <c r="P4426" s="43">
        <f>IF($I4426=0,0,$Q4425*INDEX(DarlErsatzZins,10))</f>
      </c>
      <c r="Q4426" s="43">
        <f>IF($I4426=0,0,$Q4425+$P4426+$O4426)</f>
      </c>
      <c r="R4426" s="43">
        <f>IF($I4426=0,0,$J4426-$M4426-$N4426)</f>
      </c>
    </row>
    <row r="4427">
      <c r="A4427"/>
      <c r="B4427">
        <v>10</v>
      </c>
      <c r="C4427" s="43">
        <f>INDEX(DarlObj,10)</f>
      </c>
      <c r="D4427">
        <v>104</v>
      </c>
      <c r="E4427" s="51">
        <f>IF(INDEX(DarlBelegt,10)=0,0,EOMONTH(INDEX(DarlAuszahlung,10),103)+1)</f>
      </c>
      <c r="F4427" s="43">
        <f>IF($E4427=0,0,YEAR($E4427))</f>
      </c>
      <c r="G4427" s="43">
        <f>IF(INDEX(DarlBindung,10)="",1,IF($E4427&lt;=INDEX(DarlBindung,10),1,0))</f>
      </c>
      <c r="H4427" s="43">
        <f>IF($G4427=1,INDEX(DarlSollzins,10),INDEX(DarlAnschluss,10))</f>
      </c>
      <c r="I4427" s="43">
        <f>IF(INDEX(DarlBelegt,10)=0,0,IF(INDEX(DarlOhneTilgung,10)=1,IF(INDEX(DarlBindung,10)="",1,$G4427),IF($J4427&gt;0.005,1,0)))</f>
      </c>
      <c r="J4427" s="43">
        <f>IF($I4426=0,0,$R4426)</f>
      </c>
      <c r="K4427" s="43">
        <f>IF($I4427=0,0,IF(INDEX(DarlOhneTilgung,10)=1,0,IF(AND(INDEX(DarlTilgStart,10)&gt;0,$E4427=INDEX(DarlTilgStart,10)),$J4427*($H4427+INDEX(DarlTilgung,10))/100/12,IF(AND($G4427=0,$G4426=1),MAX($K4426,$J4427*($H4427+1)/100/12),$K4426))))</f>
      </c>
      <c r="L4427" s="43">
        <f>IF($I4427=0,0,$J4427*$H4427/100/12)</f>
      </c>
      <c r="M4427" s="43">
        <f>IF($I4427=0,0,IF(OR(INDEX(DarlOhneTilgung,10)=1,AND(INDEX(DarlTilgStart,10)&gt;0,$E4427&lt;INDEX(DarlTilgStart,10))),0,MIN(MAX(0,$K4427-$L4427),$J4427)))</f>
      </c>
      <c r="N4427" s="43">
        <f>IF($I4427=0,0,MIN(SUMIFS(SondBetrag,SondDarl,10,SondDatum,"&gt;="&amp;$E4427,SondDatum,"&lt;="&amp;EOMONTH($E4427,0)),$J4427-$M4427))</f>
      </c>
      <c r="O4427" s="43">
        <f>IF($I4427=0,0,INDEX(DarlErsatzRate,10))</f>
      </c>
      <c r="P4427" s="43">
        <f>IF($I4427=0,0,$Q4426*INDEX(DarlErsatzZins,10))</f>
      </c>
      <c r="Q4427" s="43">
        <f>IF($I4427=0,0,$Q4426+$P4427+$O4427)</f>
      </c>
      <c r="R4427" s="43">
        <f>IF($I4427=0,0,$J4427-$M4427-$N4427)</f>
      </c>
    </row>
    <row r="4428">
      <c r="A4428"/>
      <c r="B4428">
        <v>10</v>
      </c>
      <c r="C4428" s="43">
        <f>INDEX(DarlObj,10)</f>
      </c>
      <c r="D4428">
        <v>105</v>
      </c>
      <c r="E4428" s="51">
        <f>IF(INDEX(DarlBelegt,10)=0,0,EOMONTH(INDEX(DarlAuszahlung,10),104)+1)</f>
      </c>
      <c r="F4428" s="43">
        <f>IF($E4428=0,0,YEAR($E4428))</f>
      </c>
      <c r="G4428" s="43">
        <f>IF(INDEX(DarlBindung,10)="",1,IF($E4428&lt;=INDEX(DarlBindung,10),1,0))</f>
      </c>
      <c r="H4428" s="43">
        <f>IF($G4428=1,INDEX(DarlSollzins,10),INDEX(DarlAnschluss,10))</f>
      </c>
      <c r="I4428" s="43">
        <f>IF(INDEX(DarlBelegt,10)=0,0,IF(INDEX(DarlOhneTilgung,10)=1,IF(INDEX(DarlBindung,10)="",1,$G4428),IF($J4428&gt;0.005,1,0)))</f>
      </c>
      <c r="J4428" s="43">
        <f>IF($I4427=0,0,$R4427)</f>
      </c>
      <c r="K4428" s="43">
        <f>IF($I4428=0,0,IF(INDEX(DarlOhneTilgung,10)=1,0,IF(AND(INDEX(DarlTilgStart,10)&gt;0,$E4428=INDEX(DarlTilgStart,10)),$J4428*($H4428+INDEX(DarlTilgung,10))/100/12,IF(AND($G4428=0,$G4427=1),MAX($K4427,$J4428*($H4428+1)/100/12),$K4427))))</f>
      </c>
      <c r="L4428" s="43">
        <f>IF($I4428=0,0,$J4428*$H4428/100/12)</f>
      </c>
      <c r="M4428" s="43">
        <f>IF($I4428=0,0,IF(OR(INDEX(DarlOhneTilgung,10)=1,AND(INDEX(DarlTilgStart,10)&gt;0,$E4428&lt;INDEX(DarlTilgStart,10))),0,MIN(MAX(0,$K4428-$L4428),$J4428)))</f>
      </c>
      <c r="N4428" s="43">
        <f>IF($I4428=0,0,MIN(SUMIFS(SondBetrag,SondDarl,10,SondDatum,"&gt;="&amp;$E4428,SondDatum,"&lt;="&amp;EOMONTH($E4428,0)),$J4428-$M4428))</f>
      </c>
      <c r="O4428" s="43">
        <f>IF($I4428=0,0,INDEX(DarlErsatzRate,10))</f>
      </c>
      <c r="P4428" s="43">
        <f>IF($I4428=0,0,$Q4427*INDEX(DarlErsatzZins,10))</f>
      </c>
      <c r="Q4428" s="43">
        <f>IF($I4428=0,0,$Q4427+$P4428+$O4428)</f>
      </c>
      <c r="R4428" s="43">
        <f>IF($I4428=0,0,$J4428-$M4428-$N4428)</f>
      </c>
    </row>
    <row r="4429">
      <c r="A4429"/>
      <c r="B4429">
        <v>10</v>
      </c>
      <c r="C4429" s="43">
        <f>INDEX(DarlObj,10)</f>
      </c>
      <c r="D4429">
        <v>106</v>
      </c>
      <c r="E4429" s="51">
        <f>IF(INDEX(DarlBelegt,10)=0,0,EOMONTH(INDEX(DarlAuszahlung,10),105)+1)</f>
      </c>
      <c r="F4429" s="43">
        <f>IF($E4429=0,0,YEAR($E4429))</f>
      </c>
      <c r="G4429" s="43">
        <f>IF(INDEX(DarlBindung,10)="",1,IF($E4429&lt;=INDEX(DarlBindung,10),1,0))</f>
      </c>
      <c r="H4429" s="43">
        <f>IF($G4429=1,INDEX(DarlSollzins,10),INDEX(DarlAnschluss,10))</f>
      </c>
      <c r="I4429" s="43">
        <f>IF(INDEX(DarlBelegt,10)=0,0,IF(INDEX(DarlOhneTilgung,10)=1,IF(INDEX(DarlBindung,10)="",1,$G4429),IF($J4429&gt;0.005,1,0)))</f>
      </c>
      <c r="J4429" s="43">
        <f>IF($I4428=0,0,$R4428)</f>
      </c>
      <c r="K4429" s="43">
        <f>IF($I4429=0,0,IF(INDEX(DarlOhneTilgung,10)=1,0,IF(AND(INDEX(DarlTilgStart,10)&gt;0,$E4429=INDEX(DarlTilgStart,10)),$J4429*($H4429+INDEX(DarlTilgung,10))/100/12,IF(AND($G4429=0,$G4428=1),MAX($K4428,$J4429*($H4429+1)/100/12),$K4428))))</f>
      </c>
      <c r="L4429" s="43">
        <f>IF($I4429=0,0,$J4429*$H4429/100/12)</f>
      </c>
      <c r="M4429" s="43">
        <f>IF($I4429=0,0,IF(OR(INDEX(DarlOhneTilgung,10)=1,AND(INDEX(DarlTilgStart,10)&gt;0,$E4429&lt;INDEX(DarlTilgStart,10))),0,MIN(MAX(0,$K4429-$L4429),$J4429)))</f>
      </c>
      <c r="N4429" s="43">
        <f>IF($I4429=0,0,MIN(SUMIFS(SondBetrag,SondDarl,10,SondDatum,"&gt;="&amp;$E4429,SondDatum,"&lt;="&amp;EOMONTH($E4429,0)),$J4429-$M4429))</f>
      </c>
      <c r="O4429" s="43">
        <f>IF($I4429=0,0,INDEX(DarlErsatzRate,10))</f>
      </c>
      <c r="P4429" s="43">
        <f>IF($I4429=0,0,$Q4428*INDEX(DarlErsatzZins,10))</f>
      </c>
      <c r="Q4429" s="43">
        <f>IF($I4429=0,0,$Q4428+$P4429+$O4429)</f>
      </c>
      <c r="R4429" s="43">
        <f>IF($I4429=0,0,$J4429-$M4429-$N4429)</f>
      </c>
    </row>
    <row r="4430">
      <c r="A4430"/>
      <c r="B4430">
        <v>10</v>
      </c>
      <c r="C4430" s="43">
        <f>INDEX(DarlObj,10)</f>
      </c>
      <c r="D4430">
        <v>107</v>
      </c>
      <c r="E4430" s="51">
        <f>IF(INDEX(DarlBelegt,10)=0,0,EOMONTH(INDEX(DarlAuszahlung,10),106)+1)</f>
      </c>
      <c r="F4430" s="43">
        <f>IF($E4430=0,0,YEAR($E4430))</f>
      </c>
      <c r="G4430" s="43">
        <f>IF(INDEX(DarlBindung,10)="",1,IF($E4430&lt;=INDEX(DarlBindung,10),1,0))</f>
      </c>
      <c r="H4430" s="43">
        <f>IF($G4430=1,INDEX(DarlSollzins,10),INDEX(DarlAnschluss,10))</f>
      </c>
      <c r="I4430" s="43">
        <f>IF(INDEX(DarlBelegt,10)=0,0,IF(INDEX(DarlOhneTilgung,10)=1,IF(INDEX(DarlBindung,10)="",1,$G4430),IF($J4430&gt;0.005,1,0)))</f>
      </c>
      <c r="J4430" s="43">
        <f>IF($I4429=0,0,$R4429)</f>
      </c>
      <c r="K4430" s="43">
        <f>IF($I4430=0,0,IF(INDEX(DarlOhneTilgung,10)=1,0,IF(AND(INDEX(DarlTilgStart,10)&gt;0,$E4430=INDEX(DarlTilgStart,10)),$J4430*($H4430+INDEX(DarlTilgung,10))/100/12,IF(AND($G4430=0,$G4429=1),MAX($K4429,$J4430*($H4430+1)/100/12),$K4429))))</f>
      </c>
      <c r="L4430" s="43">
        <f>IF($I4430=0,0,$J4430*$H4430/100/12)</f>
      </c>
      <c r="M4430" s="43">
        <f>IF($I4430=0,0,IF(OR(INDEX(DarlOhneTilgung,10)=1,AND(INDEX(DarlTilgStart,10)&gt;0,$E4430&lt;INDEX(DarlTilgStart,10))),0,MIN(MAX(0,$K4430-$L4430),$J4430)))</f>
      </c>
      <c r="N4430" s="43">
        <f>IF($I4430=0,0,MIN(SUMIFS(SondBetrag,SondDarl,10,SondDatum,"&gt;="&amp;$E4430,SondDatum,"&lt;="&amp;EOMONTH($E4430,0)),$J4430-$M4430))</f>
      </c>
      <c r="O4430" s="43">
        <f>IF($I4430=0,0,INDEX(DarlErsatzRate,10))</f>
      </c>
      <c r="P4430" s="43">
        <f>IF($I4430=0,0,$Q4429*INDEX(DarlErsatzZins,10))</f>
      </c>
      <c r="Q4430" s="43">
        <f>IF($I4430=0,0,$Q4429+$P4430+$O4430)</f>
      </c>
      <c r="R4430" s="43">
        <f>IF($I4430=0,0,$J4430-$M4430-$N4430)</f>
      </c>
    </row>
    <row r="4431">
      <c r="A4431"/>
      <c r="B4431">
        <v>10</v>
      </c>
      <c r="C4431" s="43">
        <f>INDEX(DarlObj,10)</f>
      </c>
      <c r="D4431">
        <v>108</v>
      </c>
      <c r="E4431" s="51">
        <f>IF(INDEX(DarlBelegt,10)=0,0,EOMONTH(INDEX(DarlAuszahlung,10),107)+1)</f>
      </c>
      <c r="F4431" s="43">
        <f>IF($E4431=0,0,YEAR($E4431))</f>
      </c>
      <c r="G4431" s="43">
        <f>IF(INDEX(DarlBindung,10)="",1,IF($E4431&lt;=INDEX(DarlBindung,10),1,0))</f>
      </c>
      <c r="H4431" s="43">
        <f>IF($G4431=1,INDEX(DarlSollzins,10),INDEX(DarlAnschluss,10))</f>
      </c>
      <c r="I4431" s="43">
        <f>IF(INDEX(DarlBelegt,10)=0,0,IF(INDEX(DarlOhneTilgung,10)=1,IF(INDEX(DarlBindung,10)="",1,$G4431),IF($J4431&gt;0.005,1,0)))</f>
      </c>
      <c r="J4431" s="43">
        <f>IF($I4430=0,0,$R4430)</f>
      </c>
      <c r="K4431" s="43">
        <f>IF($I4431=0,0,IF(INDEX(DarlOhneTilgung,10)=1,0,IF(AND(INDEX(DarlTilgStart,10)&gt;0,$E4431=INDEX(DarlTilgStart,10)),$J4431*($H4431+INDEX(DarlTilgung,10))/100/12,IF(AND($G4431=0,$G4430=1),MAX($K4430,$J4431*($H4431+1)/100/12),$K4430))))</f>
      </c>
      <c r="L4431" s="43">
        <f>IF($I4431=0,0,$J4431*$H4431/100/12)</f>
      </c>
      <c r="M4431" s="43">
        <f>IF($I4431=0,0,IF(OR(INDEX(DarlOhneTilgung,10)=1,AND(INDEX(DarlTilgStart,10)&gt;0,$E4431&lt;INDEX(DarlTilgStart,10))),0,MIN(MAX(0,$K4431-$L4431),$J4431)))</f>
      </c>
      <c r="N4431" s="43">
        <f>IF($I4431=0,0,MIN(SUMIFS(SondBetrag,SondDarl,10,SondDatum,"&gt;="&amp;$E4431,SondDatum,"&lt;="&amp;EOMONTH($E4431,0)),$J4431-$M4431))</f>
      </c>
      <c r="O4431" s="43">
        <f>IF($I4431=0,0,INDEX(DarlErsatzRate,10))</f>
      </c>
      <c r="P4431" s="43">
        <f>IF($I4431=0,0,$Q4430*INDEX(DarlErsatzZins,10))</f>
      </c>
      <c r="Q4431" s="43">
        <f>IF($I4431=0,0,$Q4430+$P4431+$O4431)</f>
      </c>
      <c r="R4431" s="43">
        <f>IF($I4431=0,0,$J4431-$M4431-$N4431)</f>
      </c>
    </row>
    <row r="4432">
      <c r="A4432"/>
      <c r="B4432">
        <v>10</v>
      </c>
      <c r="C4432" s="43">
        <f>INDEX(DarlObj,10)</f>
      </c>
      <c r="D4432">
        <v>109</v>
      </c>
      <c r="E4432" s="51">
        <f>IF(INDEX(DarlBelegt,10)=0,0,EOMONTH(INDEX(DarlAuszahlung,10),108)+1)</f>
      </c>
      <c r="F4432" s="43">
        <f>IF($E4432=0,0,YEAR($E4432))</f>
      </c>
      <c r="G4432" s="43">
        <f>IF(INDEX(DarlBindung,10)="",1,IF($E4432&lt;=INDEX(DarlBindung,10),1,0))</f>
      </c>
      <c r="H4432" s="43">
        <f>IF($G4432=1,INDEX(DarlSollzins,10),INDEX(DarlAnschluss,10))</f>
      </c>
      <c r="I4432" s="43">
        <f>IF(INDEX(DarlBelegt,10)=0,0,IF(INDEX(DarlOhneTilgung,10)=1,IF(INDEX(DarlBindung,10)="",1,$G4432),IF($J4432&gt;0.005,1,0)))</f>
      </c>
      <c r="J4432" s="43">
        <f>IF($I4431=0,0,$R4431)</f>
      </c>
      <c r="K4432" s="43">
        <f>IF($I4432=0,0,IF(INDEX(DarlOhneTilgung,10)=1,0,IF(AND(INDEX(DarlTilgStart,10)&gt;0,$E4432=INDEX(DarlTilgStart,10)),$J4432*($H4432+INDEX(DarlTilgung,10))/100/12,IF(AND($G4432=0,$G4431=1),MAX($K4431,$J4432*($H4432+1)/100/12),$K4431))))</f>
      </c>
      <c r="L4432" s="43">
        <f>IF($I4432=0,0,$J4432*$H4432/100/12)</f>
      </c>
      <c r="M4432" s="43">
        <f>IF($I4432=0,0,IF(OR(INDEX(DarlOhneTilgung,10)=1,AND(INDEX(DarlTilgStart,10)&gt;0,$E4432&lt;INDEX(DarlTilgStart,10))),0,MIN(MAX(0,$K4432-$L4432),$J4432)))</f>
      </c>
      <c r="N4432" s="43">
        <f>IF($I4432=0,0,MIN(SUMIFS(SondBetrag,SondDarl,10,SondDatum,"&gt;="&amp;$E4432,SondDatum,"&lt;="&amp;EOMONTH($E4432,0)),$J4432-$M4432))</f>
      </c>
      <c r="O4432" s="43">
        <f>IF($I4432=0,0,INDEX(DarlErsatzRate,10))</f>
      </c>
      <c r="P4432" s="43">
        <f>IF($I4432=0,0,$Q4431*INDEX(DarlErsatzZins,10))</f>
      </c>
      <c r="Q4432" s="43">
        <f>IF($I4432=0,0,$Q4431+$P4432+$O4432)</f>
      </c>
      <c r="R4432" s="43">
        <f>IF($I4432=0,0,$J4432-$M4432-$N4432)</f>
      </c>
    </row>
    <row r="4433">
      <c r="A4433"/>
      <c r="B4433">
        <v>10</v>
      </c>
      <c r="C4433" s="43">
        <f>INDEX(DarlObj,10)</f>
      </c>
      <c r="D4433">
        <v>110</v>
      </c>
      <c r="E4433" s="51">
        <f>IF(INDEX(DarlBelegt,10)=0,0,EOMONTH(INDEX(DarlAuszahlung,10),109)+1)</f>
      </c>
      <c r="F4433" s="43">
        <f>IF($E4433=0,0,YEAR($E4433))</f>
      </c>
      <c r="G4433" s="43">
        <f>IF(INDEX(DarlBindung,10)="",1,IF($E4433&lt;=INDEX(DarlBindung,10),1,0))</f>
      </c>
      <c r="H4433" s="43">
        <f>IF($G4433=1,INDEX(DarlSollzins,10),INDEX(DarlAnschluss,10))</f>
      </c>
      <c r="I4433" s="43">
        <f>IF(INDEX(DarlBelegt,10)=0,0,IF(INDEX(DarlOhneTilgung,10)=1,IF(INDEX(DarlBindung,10)="",1,$G4433),IF($J4433&gt;0.005,1,0)))</f>
      </c>
      <c r="J4433" s="43">
        <f>IF($I4432=0,0,$R4432)</f>
      </c>
      <c r="K4433" s="43">
        <f>IF($I4433=0,0,IF(INDEX(DarlOhneTilgung,10)=1,0,IF(AND(INDEX(DarlTilgStart,10)&gt;0,$E4433=INDEX(DarlTilgStart,10)),$J4433*($H4433+INDEX(DarlTilgung,10))/100/12,IF(AND($G4433=0,$G4432=1),MAX($K4432,$J4433*($H4433+1)/100/12),$K4432))))</f>
      </c>
      <c r="L4433" s="43">
        <f>IF($I4433=0,0,$J4433*$H4433/100/12)</f>
      </c>
      <c r="M4433" s="43">
        <f>IF($I4433=0,0,IF(OR(INDEX(DarlOhneTilgung,10)=1,AND(INDEX(DarlTilgStart,10)&gt;0,$E4433&lt;INDEX(DarlTilgStart,10))),0,MIN(MAX(0,$K4433-$L4433),$J4433)))</f>
      </c>
      <c r="N4433" s="43">
        <f>IF($I4433=0,0,MIN(SUMIFS(SondBetrag,SondDarl,10,SondDatum,"&gt;="&amp;$E4433,SondDatum,"&lt;="&amp;EOMONTH($E4433,0)),$J4433-$M4433))</f>
      </c>
      <c r="O4433" s="43">
        <f>IF($I4433=0,0,INDEX(DarlErsatzRate,10))</f>
      </c>
      <c r="P4433" s="43">
        <f>IF($I4433=0,0,$Q4432*INDEX(DarlErsatzZins,10))</f>
      </c>
      <c r="Q4433" s="43">
        <f>IF($I4433=0,0,$Q4432+$P4433+$O4433)</f>
      </c>
      <c r="R4433" s="43">
        <f>IF($I4433=0,0,$J4433-$M4433-$N4433)</f>
      </c>
    </row>
    <row r="4434">
      <c r="A4434"/>
      <c r="B4434">
        <v>10</v>
      </c>
      <c r="C4434" s="43">
        <f>INDEX(DarlObj,10)</f>
      </c>
      <c r="D4434">
        <v>111</v>
      </c>
      <c r="E4434" s="51">
        <f>IF(INDEX(DarlBelegt,10)=0,0,EOMONTH(INDEX(DarlAuszahlung,10),110)+1)</f>
      </c>
      <c r="F4434" s="43">
        <f>IF($E4434=0,0,YEAR($E4434))</f>
      </c>
      <c r="G4434" s="43">
        <f>IF(INDEX(DarlBindung,10)="",1,IF($E4434&lt;=INDEX(DarlBindung,10),1,0))</f>
      </c>
      <c r="H4434" s="43">
        <f>IF($G4434=1,INDEX(DarlSollzins,10),INDEX(DarlAnschluss,10))</f>
      </c>
      <c r="I4434" s="43">
        <f>IF(INDEX(DarlBelegt,10)=0,0,IF(INDEX(DarlOhneTilgung,10)=1,IF(INDEX(DarlBindung,10)="",1,$G4434),IF($J4434&gt;0.005,1,0)))</f>
      </c>
      <c r="J4434" s="43">
        <f>IF($I4433=0,0,$R4433)</f>
      </c>
      <c r="K4434" s="43">
        <f>IF($I4434=0,0,IF(INDEX(DarlOhneTilgung,10)=1,0,IF(AND(INDEX(DarlTilgStart,10)&gt;0,$E4434=INDEX(DarlTilgStart,10)),$J4434*($H4434+INDEX(DarlTilgung,10))/100/12,IF(AND($G4434=0,$G4433=1),MAX($K4433,$J4434*($H4434+1)/100/12),$K4433))))</f>
      </c>
      <c r="L4434" s="43">
        <f>IF($I4434=0,0,$J4434*$H4434/100/12)</f>
      </c>
      <c r="M4434" s="43">
        <f>IF($I4434=0,0,IF(OR(INDEX(DarlOhneTilgung,10)=1,AND(INDEX(DarlTilgStart,10)&gt;0,$E4434&lt;INDEX(DarlTilgStart,10))),0,MIN(MAX(0,$K4434-$L4434),$J4434)))</f>
      </c>
      <c r="N4434" s="43">
        <f>IF($I4434=0,0,MIN(SUMIFS(SondBetrag,SondDarl,10,SondDatum,"&gt;="&amp;$E4434,SondDatum,"&lt;="&amp;EOMONTH($E4434,0)),$J4434-$M4434))</f>
      </c>
      <c r="O4434" s="43">
        <f>IF($I4434=0,0,INDEX(DarlErsatzRate,10))</f>
      </c>
      <c r="P4434" s="43">
        <f>IF($I4434=0,0,$Q4433*INDEX(DarlErsatzZins,10))</f>
      </c>
      <c r="Q4434" s="43">
        <f>IF($I4434=0,0,$Q4433+$P4434+$O4434)</f>
      </c>
      <c r="R4434" s="43">
        <f>IF($I4434=0,0,$J4434-$M4434-$N4434)</f>
      </c>
    </row>
    <row r="4435">
      <c r="A4435"/>
      <c r="B4435">
        <v>10</v>
      </c>
      <c r="C4435" s="43">
        <f>INDEX(DarlObj,10)</f>
      </c>
      <c r="D4435">
        <v>112</v>
      </c>
      <c r="E4435" s="51">
        <f>IF(INDEX(DarlBelegt,10)=0,0,EOMONTH(INDEX(DarlAuszahlung,10),111)+1)</f>
      </c>
      <c r="F4435" s="43">
        <f>IF($E4435=0,0,YEAR($E4435))</f>
      </c>
      <c r="G4435" s="43">
        <f>IF(INDEX(DarlBindung,10)="",1,IF($E4435&lt;=INDEX(DarlBindung,10),1,0))</f>
      </c>
      <c r="H4435" s="43">
        <f>IF($G4435=1,INDEX(DarlSollzins,10),INDEX(DarlAnschluss,10))</f>
      </c>
      <c r="I4435" s="43">
        <f>IF(INDEX(DarlBelegt,10)=0,0,IF(INDEX(DarlOhneTilgung,10)=1,IF(INDEX(DarlBindung,10)="",1,$G4435),IF($J4435&gt;0.005,1,0)))</f>
      </c>
      <c r="J4435" s="43">
        <f>IF($I4434=0,0,$R4434)</f>
      </c>
      <c r="K4435" s="43">
        <f>IF($I4435=0,0,IF(INDEX(DarlOhneTilgung,10)=1,0,IF(AND(INDEX(DarlTilgStart,10)&gt;0,$E4435=INDEX(DarlTilgStart,10)),$J4435*($H4435+INDEX(DarlTilgung,10))/100/12,IF(AND($G4435=0,$G4434=1),MAX($K4434,$J4435*($H4435+1)/100/12),$K4434))))</f>
      </c>
      <c r="L4435" s="43">
        <f>IF($I4435=0,0,$J4435*$H4435/100/12)</f>
      </c>
      <c r="M4435" s="43">
        <f>IF($I4435=0,0,IF(OR(INDEX(DarlOhneTilgung,10)=1,AND(INDEX(DarlTilgStart,10)&gt;0,$E4435&lt;INDEX(DarlTilgStart,10))),0,MIN(MAX(0,$K4435-$L4435),$J4435)))</f>
      </c>
      <c r="N4435" s="43">
        <f>IF($I4435=0,0,MIN(SUMIFS(SondBetrag,SondDarl,10,SondDatum,"&gt;="&amp;$E4435,SondDatum,"&lt;="&amp;EOMONTH($E4435,0)),$J4435-$M4435))</f>
      </c>
      <c r="O4435" s="43">
        <f>IF($I4435=0,0,INDEX(DarlErsatzRate,10))</f>
      </c>
      <c r="P4435" s="43">
        <f>IF($I4435=0,0,$Q4434*INDEX(DarlErsatzZins,10))</f>
      </c>
      <c r="Q4435" s="43">
        <f>IF($I4435=0,0,$Q4434+$P4435+$O4435)</f>
      </c>
      <c r="R4435" s="43">
        <f>IF($I4435=0,0,$J4435-$M4435-$N4435)</f>
      </c>
    </row>
    <row r="4436">
      <c r="A4436"/>
      <c r="B4436">
        <v>10</v>
      </c>
      <c r="C4436" s="43">
        <f>INDEX(DarlObj,10)</f>
      </c>
      <c r="D4436">
        <v>113</v>
      </c>
      <c r="E4436" s="51">
        <f>IF(INDEX(DarlBelegt,10)=0,0,EOMONTH(INDEX(DarlAuszahlung,10),112)+1)</f>
      </c>
      <c r="F4436" s="43">
        <f>IF($E4436=0,0,YEAR($E4436))</f>
      </c>
      <c r="G4436" s="43">
        <f>IF(INDEX(DarlBindung,10)="",1,IF($E4436&lt;=INDEX(DarlBindung,10),1,0))</f>
      </c>
      <c r="H4436" s="43">
        <f>IF($G4436=1,INDEX(DarlSollzins,10),INDEX(DarlAnschluss,10))</f>
      </c>
      <c r="I4436" s="43">
        <f>IF(INDEX(DarlBelegt,10)=0,0,IF(INDEX(DarlOhneTilgung,10)=1,IF(INDEX(DarlBindung,10)="",1,$G4436),IF($J4436&gt;0.005,1,0)))</f>
      </c>
      <c r="J4436" s="43">
        <f>IF($I4435=0,0,$R4435)</f>
      </c>
      <c r="K4436" s="43">
        <f>IF($I4436=0,0,IF(INDEX(DarlOhneTilgung,10)=1,0,IF(AND(INDEX(DarlTilgStart,10)&gt;0,$E4436=INDEX(DarlTilgStart,10)),$J4436*($H4436+INDEX(DarlTilgung,10))/100/12,IF(AND($G4436=0,$G4435=1),MAX($K4435,$J4436*($H4436+1)/100/12),$K4435))))</f>
      </c>
      <c r="L4436" s="43">
        <f>IF($I4436=0,0,$J4436*$H4436/100/12)</f>
      </c>
      <c r="M4436" s="43">
        <f>IF($I4436=0,0,IF(OR(INDEX(DarlOhneTilgung,10)=1,AND(INDEX(DarlTilgStart,10)&gt;0,$E4436&lt;INDEX(DarlTilgStart,10))),0,MIN(MAX(0,$K4436-$L4436),$J4436)))</f>
      </c>
      <c r="N4436" s="43">
        <f>IF($I4436=0,0,MIN(SUMIFS(SondBetrag,SondDarl,10,SondDatum,"&gt;="&amp;$E4436,SondDatum,"&lt;="&amp;EOMONTH($E4436,0)),$J4436-$M4436))</f>
      </c>
      <c r="O4436" s="43">
        <f>IF($I4436=0,0,INDEX(DarlErsatzRate,10))</f>
      </c>
      <c r="P4436" s="43">
        <f>IF($I4436=0,0,$Q4435*INDEX(DarlErsatzZins,10))</f>
      </c>
      <c r="Q4436" s="43">
        <f>IF($I4436=0,0,$Q4435+$P4436+$O4436)</f>
      </c>
      <c r="R4436" s="43">
        <f>IF($I4436=0,0,$J4436-$M4436-$N4436)</f>
      </c>
    </row>
    <row r="4437">
      <c r="A4437"/>
      <c r="B4437">
        <v>10</v>
      </c>
      <c r="C4437" s="43">
        <f>INDEX(DarlObj,10)</f>
      </c>
      <c r="D4437">
        <v>114</v>
      </c>
      <c r="E4437" s="51">
        <f>IF(INDEX(DarlBelegt,10)=0,0,EOMONTH(INDEX(DarlAuszahlung,10),113)+1)</f>
      </c>
      <c r="F4437" s="43">
        <f>IF($E4437=0,0,YEAR($E4437))</f>
      </c>
      <c r="G4437" s="43">
        <f>IF(INDEX(DarlBindung,10)="",1,IF($E4437&lt;=INDEX(DarlBindung,10),1,0))</f>
      </c>
      <c r="H4437" s="43">
        <f>IF($G4437=1,INDEX(DarlSollzins,10),INDEX(DarlAnschluss,10))</f>
      </c>
      <c r="I4437" s="43">
        <f>IF(INDEX(DarlBelegt,10)=0,0,IF(INDEX(DarlOhneTilgung,10)=1,IF(INDEX(DarlBindung,10)="",1,$G4437),IF($J4437&gt;0.005,1,0)))</f>
      </c>
      <c r="J4437" s="43">
        <f>IF($I4436=0,0,$R4436)</f>
      </c>
      <c r="K4437" s="43">
        <f>IF($I4437=0,0,IF(INDEX(DarlOhneTilgung,10)=1,0,IF(AND(INDEX(DarlTilgStart,10)&gt;0,$E4437=INDEX(DarlTilgStart,10)),$J4437*($H4437+INDEX(DarlTilgung,10))/100/12,IF(AND($G4437=0,$G4436=1),MAX($K4436,$J4437*($H4437+1)/100/12),$K4436))))</f>
      </c>
      <c r="L4437" s="43">
        <f>IF($I4437=0,0,$J4437*$H4437/100/12)</f>
      </c>
      <c r="M4437" s="43">
        <f>IF($I4437=0,0,IF(OR(INDEX(DarlOhneTilgung,10)=1,AND(INDEX(DarlTilgStart,10)&gt;0,$E4437&lt;INDEX(DarlTilgStart,10))),0,MIN(MAX(0,$K4437-$L4437),$J4437)))</f>
      </c>
      <c r="N4437" s="43">
        <f>IF($I4437=0,0,MIN(SUMIFS(SondBetrag,SondDarl,10,SondDatum,"&gt;="&amp;$E4437,SondDatum,"&lt;="&amp;EOMONTH($E4437,0)),$J4437-$M4437))</f>
      </c>
      <c r="O4437" s="43">
        <f>IF($I4437=0,0,INDEX(DarlErsatzRate,10))</f>
      </c>
      <c r="P4437" s="43">
        <f>IF($I4437=0,0,$Q4436*INDEX(DarlErsatzZins,10))</f>
      </c>
      <c r="Q4437" s="43">
        <f>IF($I4437=0,0,$Q4436+$P4437+$O4437)</f>
      </c>
      <c r="R4437" s="43">
        <f>IF($I4437=0,0,$J4437-$M4437-$N4437)</f>
      </c>
    </row>
    <row r="4438">
      <c r="A4438"/>
      <c r="B4438">
        <v>10</v>
      </c>
      <c r="C4438" s="43">
        <f>INDEX(DarlObj,10)</f>
      </c>
      <c r="D4438">
        <v>115</v>
      </c>
      <c r="E4438" s="51">
        <f>IF(INDEX(DarlBelegt,10)=0,0,EOMONTH(INDEX(DarlAuszahlung,10),114)+1)</f>
      </c>
      <c r="F4438" s="43">
        <f>IF($E4438=0,0,YEAR($E4438))</f>
      </c>
      <c r="G4438" s="43">
        <f>IF(INDEX(DarlBindung,10)="",1,IF($E4438&lt;=INDEX(DarlBindung,10),1,0))</f>
      </c>
      <c r="H4438" s="43">
        <f>IF($G4438=1,INDEX(DarlSollzins,10),INDEX(DarlAnschluss,10))</f>
      </c>
      <c r="I4438" s="43">
        <f>IF(INDEX(DarlBelegt,10)=0,0,IF(INDEX(DarlOhneTilgung,10)=1,IF(INDEX(DarlBindung,10)="",1,$G4438),IF($J4438&gt;0.005,1,0)))</f>
      </c>
      <c r="J4438" s="43">
        <f>IF($I4437=0,0,$R4437)</f>
      </c>
      <c r="K4438" s="43">
        <f>IF($I4438=0,0,IF(INDEX(DarlOhneTilgung,10)=1,0,IF(AND(INDEX(DarlTilgStart,10)&gt;0,$E4438=INDEX(DarlTilgStart,10)),$J4438*($H4438+INDEX(DarlTilgung,10))/100/12,IF(AND($G4438=0,$G4437=1),MAX($K4437,$J4438*($H4438+1)/100/12),$K4437))))</f>
      </c>
      <c r="L4438" s="43">
        <f>IF($I4438=0,0,$J4438*$H4438/100/12)</f>
      </c>
      <c r="M4438" s="43">
        <f>IF($I4438=0,0,IF(OR(INDEX(DarlOhneTilgung,10)=1,AND(INDEX(DarlTilgStart,10)&gt;0,$E4438&lt;INDEX(DarlTilgStart,10))),0,MIN(MAX(0,$K4438-$L4438),$J4438)))</f>
      </c>
      <c r="N4438" s="43">
        <f>IF($I4438=0,0,MIN(SUMIFS(SondBetrag,SondDarl,10,SondDatum,"&gt;="&amp;$E4438,SondDatum,"&lt;="&amp;EOMONTH($E4438,0)),$J4438-$M4438))</f>
      </c>
      <c r="O4438" s="43">
        <f>IF($I4438=0,0,INDEX(DarlErsatzRate,10))</f>
      </c>
      <c r="P4438" s="43">
        <f>IF($I4438=0,0,$Q4437*INDEX(DarlErsatzZins,10))</f>
      </c>
      <c r="Q4438" s="43">
        <f>IF($I4438=0,0,$Q4437+$P4438+$O4438)</f>
      </c>
      <c r="R4438" s="43">
        <f>IF($I4438=0,0,$J4438-$M4438-$N4438)</f>
      </c>
    </row>
    <row r="4439">
      <c r="A4439"/>
      <c r="B4439">
        <v>10</v>
      </c>
      <c r="C4439" s="43">
        <f>INDEX(DarlObj,10)</f>
      </c>
      <c r="D4439">
        <v>116</v>
      </c>
      <c r="E4439" s="51">
        <f>IF(INDEX(DarlBelegt,10)=0,0,EOMONTH(INDEX(DarlAuszahlung,10),115)+1)</f>
      </c>
      <c r="F4439" s="43">
        <f>IF($E4439=0,0,YEAR($E4439))</f>
      </c>
      <c r="G4439" s="43">
        <f>IF(INDEX(DarlBindung,10)="",1,IF($E4439&lt;=INDEX(DarlBindung,10),1,0))</f>
      </c>
      <c r="H4439" s="43">
        <f>IF($G4439=1,INDEX(DarlSollzins,10),INDEX(DarlAnschluss,10))</f>
      </c>
      <c r="I4439" s="43">
        <f>IF(INDEX(DarlBelegt,10)=0,0,IF(INDEX(DarlOhneTilgung,10)=1,IF(INDEX(DarlBindung,10)="",1,$G4439),IF($J4439&gt;0.005,1,0)))</f>
      </c>
      <c r="J4439" s="43">
        <f>IF($I4438=0,0,$R4438)</f>
      </c>
      <c r="K4439" s="43">
        <f>IF($I4439=0,0,IF(INDEX(DarlOhneTilgung,10)=1,0,IF(AND(INDEX(DarlTilgStart,10)&gt;0,$E4439=INDEX(DarlTilgStart,10)),$J4439*($H4439+INDEX(DarlTilgung,10))/100/12,IF(AND($G4439=0,$G4438=1),MAX($K4438,$J4439*($H4439+1)/100/12),$K4438))))</f>
      </c>
      <c r="L4439" s="43">
        <f>IF($I4439=0,0,$J4439*$H4439/100/12)</f>
      </c>
      <c r="M4439" s="43">
        <f>IF($I4439=0,0,IF(OR(INDEX(DarlOhneTilgung,10)=1,AND(INDEX(DarlTilgStart,10)&gt;0,$E4439&lt;INDEX(DarlTilgStart,10))),0,MIN(MAX(0,$K4439-$L4439),$J4439)))</f>
      </c>
      <c r="N4439" s="43">
        <f>IF($I4439=0,0,MIN(SUMIFS(SondBetrag,SondDarl,10,SondDatum,"&gt;="&amp;$E4439,SondDatum,"&lt;="&amp;EOMONTH($E4439,0)),$J4439-$M4439))</f>
      </c>
      <c r="O4439" s="43">
        <f>IF($I4439=0,0,INDEX(DarlErsatzRate,10))</f>
      </c>
      <c r="P4439" s="43">
        <f>IF($I4439=0,0,$Q4438*INDEX(DarlErsatzZins,10))</f>
      </c>
      <c r="Q4439" s="43">
        <f>IF($I4439=0,0,$Q4438+$P4439+$O4439)</f>
      </c>
      <c r="R4439" s="43">
        <f>IF($I4439=0,0,$J4439-$M4439-$N4439)</f>
      </c>
    </row>
    <row r="4440">
      <c r="A4440"/>
      <c r="B4440">
        <v>10</v>
      </c>
      <c r="C4440" s="43">
        <f>INDEX(DarlObj,10)</f>
      </c>
      <c r="D4440">
        <v>117</v>
      </c>
      <c r="E4440" s="51">
        <f>IF(INDEX(DarlBelegt,10)=0,0,EOMONTH(INDEX(DarlAuszahlung,10),116)+1)</f>
      </c>
      <c r="F4440" s="43">
        <f>IF($E4440=0,0,YEAR($E4440))</f>
      </c>
      <c r="G4440" s="43">
        <f>IF(INDEX(DarlBindung,10)="",1,IF($E4440&lt;=INDEX(DarlBindung,10),1,0))</f>
      </c>
      <c r="H4440" s="43">
        <f>IF($G4440=1,INDEX(DarlSollzins,10),INDEX(DarlAnschluss,10))</f>
      </c>
      <c r="I4440" s="43">
        <f>IF(INDEX(DarlBelegt,10)=0,0,IF(INDEX(DarlOhneTilgung,10)=1,IF(INDEX(DarlBindung,10)="",1,$G4440),IF($J4440&gt;0.005,1,0)))</f>
      </c>
      <c r="J4440" s="43">
        <f>IF($I4439=0,0,$R4439)</f>
      </c>
      <c r="K4440" s="43">
        <f>IF($I4440=0,0,IF(INDEX(DarlOhneTilgung,10)=1,0,IF(AND(INDEX(DarlTilgStart,10)&gt;0,$E4440=INDEX(DarlTilgStart,10)),$J4440*($H4440+INDEX(DarlTilgung,10))/100/12,IF(AND($G4440=0,$G4439=1),MAX($K4439,$J4440*($H4440+1)/100/12),$K4439))))</f>
      </c>
      <c r="L4440" s="43">
        <f>IF($I4440=0,0,$J4440*$H4440/100/12)</f>
      </c>
      <c r="M4440" s="43">
        <f>IF($I4440=0,0,IF(OR(INDEX(DarlOhneTilgung,10)=1,AND(INDEX(DarlTilgStart,10)&gt;0,$E4440&lt;INDEX(DarlTilgStart,10))),0,MIN(MAX(0,$K4440-$L4440),$J4440)))</f>
      </c>
      <c r="N4440" s="43">
        <f>IF($I4440=0,0,MIN(SUMIFS(SondBetrag,SondDarl,10,SondDatum,"&gt;="&amp;$E4440,SondDatum,"&lt;="&amp;EOMONTH($E4440,0)),$J4440-$M4440))</f>
      </c>
      <c r="O4440" s="43">
        <f>IF($I4440=0,0,INDEX(DarlErsatzRate,10))</f>
      </c>
      <c r="P4440" s="43">
        <f>IF($I4440=0,0,$Q4439*INDEX(DarlErsatzZins,10))</f>
      </c>
      <c r="Q4440" s="43">
        <f>IF($I4440=0,0,$Q4439+$P4440+$O4440)</f>
      </c>
      <c r="R4440" s="43">
        <f>IF($I4440=0,0,$J4440-$M4440-$N4440)</f>
      </c>
    </row>
    <row r="4441">
      <c r="A4441"/>
      <c r="B4441">
        <v>10</v>
      </c>
      <c r="C4441" s="43">
        <f>INDEX(DarlObj,10)</f>
      </c>
      <c r="D4441">
        <v>118</v>
      </c>
      <c r="E4441" s="51">
        <f>IF(INDEX(DarlBelegt,10)=0,0,EOMONTH(INDEX(DarlAuszahlung,10),117)+1)</f>
      </c>
      <c r="F4441" s="43">
        <f>IF($E4441=0,0,YEAR($E4441))</f>
      </c>
      <c r="G4441" s="43">
        <f>IF(INDEX(DarlBindung,10)="",1,IF($E4441&lt;=INDEX(DarlBindung,10),1,0))</f>
      </c>
      <c r="H4441" s="43">
        <f>IF($G4441=1,INDEX(DarlSollzins,10),INDEX(DarlAnschluss,10))</f>
      </c>
      <c r="I4441" s="43">
        <f>IF(INDEX(DarlBelegt,10)=0,0,IF(INDEX(DarlOhneTilgung,10)=1,IF(INDEX(DarlBindung,10)="",1,$G4441),IF($J4441&gt;0.005,1,0)))</f>
      </c>
      <c r="J4441" s="43">
        <f>IF($I4440=0,0,$R4440)</f>
      </c>
      <c r="K4441" s="43">
        <f>IF($I4441=0,0,IF(INDEX(DarlOhneTilgung,10)=1,0,IF(AND(INDEX(DarlTilgStart,10)&gt;0,$E4441=INDEX(DarlTilgStart,10)),$J4441*($H4441+INDEX(DarlTilgung,10))/100/12,IF(AND($G4441=0,$G4440=1),MAX($K4440,$J4441*($H4441+1)/100/12),$K4440))))</f>
      </c>
      <c r="L4441" s="43">
        <f>IF($I4441=0,0,$J4441*$H4441/100/12)</f>
      </c>
      <c r="M4441" s="43">
        <f>IF($I4441=0,0,IF(OR(INDEX(DarlOhneTilgung,10)=1,AND(INDEX(DarlTilgStart,10)&gt;0,$E4441&lt;INDEX(DarlTilgStart,10))),0,MIN(MAX(0,$K4441-$L4441),$J4441)))</f>
      </c>
      <c r="N4441" s="43">
        <f>IF($I4441=0,0,MIN(SUMIFS(SondBetrag,SondDarl,10,SondDatum,"&gt;="&amp;$E4441,SondDatum,"&lt;="&amp;EOMONTH($E4441,0)),$J4441-$M4441))</f>
      </c>
      <c r="O4441" s="43">
        <f>IF($I4441=0,0,INDEX(DarlErsatzRate,10))</f>
      </c>
      <c r="P4441" s="43">
        <f>IF($I4441=0,0,$Q4440*INDEX(DarlErsatzZins,10))</f>
      </c>
      <c r="Q4441" s="43">
        <f>IF($I4441=0,0,$Q4440+$P4441+$O4441)</f>
      </c>
      <c r="R4441" s="43">
        <f>IF($I4441=0,0,$J4441-$M4441-$N4441)</f>
      </c>
    </row>
    <row r="4442">
      <c r="A4442"/>
      <c r="B4442">
        <v>10</v>
      </c>
      <c r="C4442" s="43">
        <f>INDEX(DarlObj,10)</f>
      </c>
      <c r="D4442">
        <v>119</v>
      </c>
      <c r="E4442" s="51">
        <f>IF(INDEX(DarlBelegt,10)=0,0,EOMONTH(INDEX(DarlAuszahlung,10),118)+1)</f>
      </c>
      <c r="F4442" s="43">
        <f>IF($E4442=0,0,YEAR($E4442))</f>
      </c>
      <c r="G4442" s="43">
        <f>IF(INDEX(DarlBindung,10)="",1,IF($E4442&lt;=INDEX(DarlBindung,10),1,0))</f>
      </c>
      <c r="H4442" s="43">
        <f>IF($G4442=1,INDEX(DarlSollzins,10),INDEX(DarlAnschluss,10))</f>
      </c>
      <c r="I4442" s="43">
        <f>IF(INDEX(DarlBelegt,10)=0,0,IF(INDEX(DarlOhneTilgung,10)=1,IF(INDEX(DarlBindung,10)="",1,$G4442),IF($J4442&gt;0.005,1,0)))</f>
      </c>
      <c r="J4442" s="43">
        <f>IF($I4441=0,0,$R4441)</f>
      </c>
      <c r="K4442" s="43">
        <f>IF($I4442=0,0,IF(INDEX(DarlOhneTilgung,10)=1,0,IF(AND(INDEX(DarlTilgStart,10)&gt;0,$E4442=INDEX(DarlTilgStart,10)),$J4442*($H4442+INDEX(DarlTilgung,10))/100/12,IF(AND($G4442=0,$G4441=1),MAX($K4441,$J4442*($H4442+1)/100/12),$K4441))))</f>
      </c>
      <c r="L4442" s="43">
        <f>IF($I4442=0,0,$J4442*$H4442/100/12)</f>
      </c>
      <c r="M4442" s="43">
        <f>IF($I4442=0,0,IF(OR(INDEX(DarlOhneTilgung,10)=1,AND(INDEX(DarlTilgStart,10)&gt;0,$E4442&lt;INDEX(DarlTilgStart,10))),0,MIN(MAX(0,$K4442-$L4442),$J4442)))</f>
      </c>
      <c r="N4442" s="43">
        <f>IF($I4442=0,0,MIN(SUMIFS(SondBetrag,SondDarl,10,SondDatum,"&gt;="&amp;$E4442,SondDatum,"&lt;="&amp;EOMONTH($E4442,0)),$J4442-$M4442))</f>
      </c>
      <c r="O4442" s="43">
        <f>IF($I4442=0,0,INDEX(DarlErsatzRate,10))</f>
      </c>
      <c r="P4442" s="43">
        <f>IF($I4442=0,0,$Q4441*INDEX(DarlErsatzZins,10))</f>
      </c>
      <c r="Q4442" s="43">
        <f>IF($I4442=0,0,$Q4441+$P4442+$O4442)</f>
      </c>
      <c r="R4442" s="43">
        <f>IF($I4442=0,0,$J4442-$M4442-$N4442)</f>
      </c>
    </row>
    <row r="4443">
      <c r="A4443"/>
      <c r="B4443">
        <v>10</v>
      </c>
      <c r="C4443" s="43">
        <f>INDEX(DarlObj,10)</f>
      </c>
      <c r="D4443">
        <v>120</v>
      </c>
      <c r="E4443" s="51">
        <f>IF(INDEX(DarlBelegt,10)=0,0,EOMONTH(INDEX(DarlAuszahlung,10),119)+1)</f>
      </c>
      <c r="F4443" s="43">
        <f>IF($E4443=0,0,YEAR($E4443))</f>
      </c>
      <c r="G4443" s="43">
        <f>IF(INDEX(DarlBindung,10)="",1,IF($E4443&lt;=INDEX(DarlBindung,10),1,0))</f>
      </c>
      <c r="H4443" s="43">
        <f>IF($G4443=1,INDEX(DarlSollzins,10),INDEX(DarlAnschluss,10))</f>
      </c>
      <c r="I4443" s="43">
        <f>IF(INDEX(DarlBelegt,10)=0,0,IF(INDEX(DarlOhneTilgung,10)=1,IF(INDEX(DarlBindung,10)="",1,$G4443),IF($J4443&gt;0.005,1,0)))</f>
      </c>
      <c r="J4443" s="43">
        <f>IF($I4442=0,0,$R4442)</f>
      </c>
      <c r="K4443" s="43">
        <f>IF($I4443=0,0,IF(INDEX(DarlOhneTilgung,10)=1,0,IF(AND(INDEX(DarlTilgStart,10)&gt;0,$E4443=INDEX(DarlTilgStart,10)),$J4443*($H4443+INDEX(DarlTilgung,10))/100/12,IF(AND($G4443=0,$G4442=1),MAX($K4442,$J4443*($H4443+1)/100/12),$K4442))))</f>
      </c>
      <c r="L4443" s="43">
        <f>IF($I4443=0,0,$J4443*$H4443/100/12)</f>
      </c>
      <c r="M4443" s="43">
        <f>IF($I4443=0,0,IF(OR(INDEX(DarlOhneTilgung,10)=1,AND(INDEX(DarlTilgStart,10)&gt;0,$E4443&lt;INDEX(DarlTilgStart,10))),0,MIN(MAX(0,$K4443-$L4443),$J4443)))</f>
      </c>
      <c r="N4443" s="43">
        <f>IF($I4443=0,0,MIN(SUMIFS(SondBetrag,SondDarl,10,SondDatum,"&gt;="&amp;$E4443,SondDatum,"&lt;="&amp;EOMONTH($E4443,0)),$J4443-$M4443))</f>
      </c>
      <c r="O4443" s="43">
        <f>IF($I4443=0,0,INDEX(DarlErsatzRate,10))</f>
      </c>
      <c r="P4443" s="43">
        <f>IF($I4443=0,0,$Q4442*INDEX(DarlErsatzZins,10))</f>
      </c>
      <c r="Q4443" s="43">
        <f>IF($I4443=0,0,$Q4442+$P4443+$O4443)</f>
      </c>
      <c r="R4443" s="43">
        <f>IF($I4443=0,0,$J4443-$M4443-$N4443)</f>
      </c>
    </row>
    <row r="4444">
      <c r="A4444"/>
      <c r="B4444">
        <v>10</v>
      </c>
      <c r="C4444" s="43">
        <f>INDEX(DarlObj,10)</f>
      </c>
      <c r="D4444">
        <v>121</v>
      </c>
      <c r="E4444" s="51">
        <f>IF(INDEX(DarlBelegt,10)=0,0,EOMONTH(INDEX(DarlAuszahlung,10),120)+1)</f>
      </c>
      <c r="F4444" s="43">
        <f>IF($E4444=0,0,YEAR($E4444))</f>
      </c>
      <c r="G4444" s="43">
        <f>IF(INDEX(DarlBindung,10)="",1,IF($E4444&lt;=INDEX(DarlBindung,10),1,0))</f>
      </c>
      <c r="H4444" s="43">
        <f>IF($G4444=1,INDEX(DarlSollzins,10),INDEX(DarlAnschluss,10))</f>
      </c>
      <c r="I4444" s="43">
        <f>IF(INDEX(DarlBelegt,10)=0,0,IF(INDEX(DarlOhneTilgung,10)=1,IF(INDEX(DarlBindung,10)="",1,$G4444),IF($J4444&gt;0.005,1,0)))</f>
      </c>
      <c r="J4444" s="43">
        <f>IF($I4443=0,0,$R4443)</f>
      </c>
      <c r="K4444" s="43">
        <f>IF($I4444=0,0,IF(INDEX(DarlOhneTilgung,10)=1,0,IF(AND(INDEX(DarlTilgStart,10)&gt;0,$E4444=INDEX(DarlTilgStart,10)),$J4444*($H4444+INDEX(DarlTilgung,10))/100/12,IF(AND($G4444=0,$G4443=1),MAX($K4443,$J4444*($H4444+1)/100/12),$K4443))))</f>
      </c>
      <c r="L4444" s="43">
        <f>IF($I4444=0,0,$J4444*$H4444/100/12)</f>
      </c>
      <c r="M4444" s="43">
        <f>IF($I4444=0,0,IF(OR(INDEX(DarlOhneTilgung,10)=1,AND(INDEX(DarlTilgStart,10)&gt;0,$E4444&lt;INDEX(DarlTilgStart,10))),0,MIN(MAX(0,$K4444-$L4444),$J4444)))</f>
      </c>
      <c r="N4444" s="43">
        <f>IF($I4444=0,0,MIN(SUMIFS(SondBetrag,SondDarl,10,SondDatum,"&gt;="&amp;$E4444,SondDatum,"&lt;="&amp;EOMONTH($E4444,0)),$J4444-$M4444))</f>
      </c>
      <c r="O4444" s="43">
        <f>IF($I4444=0,0,INDEX(DarlErsatzRate,10))</f>
      </c>
      <c r="P4444" s="43">
        <f>IF($I4444=0,0,$Q4443*INDEX(DarlErsatzZins,10))</f>
      </c>
      <c r="Q4444" s="43">
        <f>IF($I4444=0,0,$Q4443+$P4444+$O4444)</f>
      </c>
      <c r="R4444" s="43">
        <f>IF($I4444=0,0,$J4444-$M4444-$N4444)</f>
      </c>
    </row>
    <row r="4445">
      <c r="A4445"/>
      <c r="B4445">
        <v>10</v>
      </c>
      <c r="C4445" s="43">
        <f>INDEX(DarlObj,10)</f>
      </c>
      <c r="D4445">
        <v>122</v>
      </c>
      <c r="E4445" s="51">
        <f>IF(INDEX(DarlBelegt,10)=0,0,EOMONTH(INDEX(DarlAuszahlung,10),121)+1)</f>
      </c>
      <c r="F4445" s="43">
        <f>IF($E4445=0,0,YEAR($E4445))</f>
      </c>
      <c r="G4445" s="43">
        <f>IF(INDEX(DarlBindung,10)="",1,IF($E4445&lt;=INDEX(DarlBindung,10),1,0))</f>
      </c>
      <c r="H4445" s="43">
        <f>IF($G4445=1,INDEX(DarlSollzins,10),INDEX(DarlAnschluss,10))</f>
      </c>
      <c r="I4445" s="43">
        <f>IF(INDEX(DarlBelegt,10)=0,0,IF(INDEX(DarlOhneTilgung,10)=1,IF(INDEX(DarlBindung,10)="",1,$G4445),IF($J4445&gt;0.005,1,0)))</f>
      </c>
      <c r="J4445" s="43">
        <f>IF($I4444=0,0,$R4444)</f>
      </c>
      <c r="K4445" s="43">
        <f>IF($I4445=0,0,IF(INDEX(DarlOhneTilgung,10)=1,0,IF(AND(INDEX(DarlTilgStart,10)&gt;0,$E4445=INDEX(DarlTilgStart,10)),$J4445*($H4445+INDEX(DarlTilgung,10))/100/12,IF(AND($G4445=0,$G4444=1),MAX($K4444,$J4445*($H4445+1)/100/12),$K4444))))</f>
      </c>
      <c r="L4445" s="43">
        <f>IF($I4445=0,0,$J4445*$H4445/100/12)</f>
      </c>
      <c r="M4445" s="43">
        <f>IF($I4445=0,0,IF(OR(INDEX(DarlOhneTilgung,10)=1,AND(INDEX(DarlTilgStart,10)&gt;0,$E4445&lt;INDEX(DarlTilgStart,10))),0,MIN(MAX(0,$K4445-$L4445),$J4445)))</f>
      </c>
      <c r="N4445" s="43">
        <f>IF($I4445=0,0,MIN(SUMIFS(SondBetrag,SondDarl,10,SondDatum,"&gt;="&amp;$E4445,SondDatum,"&lt;="&amp;EOMONTH($E4445,0)),$J4445-$M4445))</f>
      </c>
      <c r="O4445" s="43">
        <f>IF($I4445=0,0,INDEX(DarlErsatzRate,10))</f>
      </c>
      <c r="P4445" s="43">
        <f>IF($I4445=0,0,$Q4444*INDEX(DarlErsatzZins,10))</f>
      </c>
      <c r="Q4445" s="43">
        <f>IF($I4445=0,0,$Q4444+$P4445+$O4445)</f>
      </c>
      <c r="R4445" s="43">
        <f>IF($I4445=0,0,$J4445-$M4445-$N4445)</f>
      </c>
    </row>
    <row r="4446">
      <c r="A4446"/>
      <c r="B4446">
        <v>10</v>
      </c>
      <c r="C4446" s="43">
        <f>INDEX(DarlObj,10)</f>
      </c>
      <c r="D4446">
        <v>123</v>
      </c>
      <c r="E4446" s="51">
        <f>IF(INDEX(DarlBelegt,10)=0,0,EOMONTH(INDEX(DarlAuszahlung,10),122)+1)</f>
      </c>
      <c r="F4446" s="43">
        <f>IF($E4446=0,0,YEAR($E4446))</f>
      </c>
      <c r="G4446" s="43">
        <f>IF(INDEX(DarlBindung,10)="",1,IF($E4446&lt;=INDEX(DarlBindung,10),1,0))</f>
      </c>
      <c r="H4446" s="43">
        <f>IF($G4446=1,INDEX(DarlSollzins,10),INDEX(DarlAnschluss,10))</f>
      </c>
      <c r="I4446" s="43">
        <f>IF(INDEX(DarlBelegt,10)=0,0,IF(INDEX(DarlOhneTilgung,10)=1,IF(INDEX(DarlBindung,10)="",1,$G4446),IF($J4446&gt;0.005,1,0)))</f>
      </c>
      <c r="J4446" s="43">
        <f>IF($I4445=0,0,$R4445)</f>
      </c>
      <c r="K4446" s="43">
        <f>IF($I4446=0,0,IF(INDEX(DarlOhneTilgung,10)=1,0,IF(AND(INDEX(DarlTilgStart,10)&gt;0,$E4446=INDEX(DarlTilgStart,10)),$J4446*($H4446+INDEX(DarlTilgung,10))/100/12,IF(AND($G4446=0,$G4445=1),MAX($K4445,$J4446*($H4446+1)/100/12),$K4445))))</f>
      </c>
      <c r="L4446" s="43">
        <f>IF($I4446=0,0,$J4446*$H4446/100/12)</f>
      </c>
      <c r="M4446" s="43">
        <f>IF($I4446=0,0,IF(OR(INDEX(DarlOhneTilgung,10)=1,AND(INDEX(DarlTilgStart,10)&gt;0,$E4446&lt;INDEX(DarlTilgStart,10))),0,MIN(MAX(0,$K4446-$L4446),$J4446)))</f>
      </c>
      <c r="N4446" s="43">
        <f>IF($I4446=0,0,MIN(SUMIFS(SondBetrag,SondDarl,10,SondDatum,"&gt;="&amp;$E4446,SondDatum,"&lt;="&amp;EOMONTH($E4446,0)),$J4446-$M4446))</f>
      </c>
      <c r="O4446" s="43">
        <f>IF($I4446=0,0,INDEX(DarlErsatzRate,10))</f>
      </c>
      <c r="P4446" s="43">
        <f>IF($I4446=0,0,$Q4445*INDEX(DarlErsatzZins,10))</f>
      </c>
      <c r="Q4446" s="43">
        <f>IF($I4446=0,0,$Q4445+$P4446+$O4446)</f>
      </c>
      <c r="R4446" s="43">
        <f>IF($I4446=0,0,$J4446-$M4446-$N4446)</f>
      </c>
    </row>
    <row r="4447">
      <c r="A4447"/>
      <c r="B4447">
        <v>10</v>
      </c>
      <c r="C4447" s="43">
        <f>INDEX(DarlObj,10)</f>
      </c>
      <c r="D4447">
        <v>124</v>
      </c>
      <c r="E4447" s="51">
        <f>IF(INDEX(DarlBelegt,10)=0,0,EOMONTH(INDEX(DarlAuszahlung,10),123)+1)</f>
      </c>
      <c r="F4447" s="43">
        <f>IF($E4447=0,0,YEAR($E4447))</f>
      </c>
      <c r="G4447" s="43">
        <f>IF(INDEX(DarlBindung,10)="",1,IF($E4447&lt;=INDEX(DarlBindung,10),1,0))</f>
      </c>
      <c r="H4447" s="43">
        <f>IF($G4447=1,INDEX(DarlSollzins,10),INDEX(DarlAnschluss,10))</f>
      </c>
      <c r="I4447" s="43">
        <f>IF(INDEX(DarlBelegt,10)=0,0,IF(INDEX(DarlOhneTilgung,10)=1,IF(INDEX(DarlBindung,10)="",1,$G4447),IF($J4447&gt;0.005,1,0)))</f>
      </c>
      <c r="J4447" s="43">
        <f>IF($I4446=0,0,$R4446)</f>
      </c>
      <c r="K4447" s="43">
        <f>IF($I4447=0,0,IF(INDEX(DarlOhneTilgung,10)=1,0,IF(AND(INDEX(DarlTilgStart,10)&gt;0,$E4447=INDEX(DarlTilgStart,10)),$J4447*($H4447+INDEX(DarlTilgung,10))/100/12,IF(AND($G4447=0,$G4446=1),MAX($K4446,$J4447*($H4447+1)/100/12),$K4446))))</f>
      </c>
      <c r="L4447" s="43">
        <f>IF($I4447=0,0,$J4447*$H4447/100/12)</f>
      </c>
      <c r="M4447" s="43">
        <f>IF($I4447=0,0,IF(OR(INDEX(DarlOhneTilgung,10)=1,AND(INDEX(DarlTilgStart,10)&gt;0,$E4447&lt;INDEX(DarlTilgStart,10))),0,MIN(MAX(0,$K4447-$L4447),$J4447)))</f>
      </c>
      <c r="N4447" s="43">
        <f>IF($I4447=0,0,MIN(SUMIFS(SondBetrag,SondDarl,10,SondDatum,"&gt;="&amp;$E4447,SondDatum,"&lt;="&amp;EOMONTH($E4447,0)),$J4447-$M4447))</f>
      </c>
      <c r="O4447" s="43">
        <f>IF($I4447=0,0,INDEX(DarlErsatzRate,10))</f>
      </c>
      <c r="P4447" s="43">
        <f>IF($I4447=0,0,$Q4446*INDEX(DarlErsatzZins,10))</f>
      </c>
      <c r="Q4447" s="43">
        <f>IF($I4447=0,0,$Q4446+$P4447+$O4447)</f>
      </c>
      <c r="R4447" s="43">
        <f>IF($I4447=0,0,$J4447-$M4447-$N4447)</f>
      </c>
    </row>
    <row r="4448">
      <c r="A4448"/>
      <c r="B4448">
        <v>10</v>
      </c>
      <c r="C4448" s="43">
        <f>INDEX(DarlObj,10)</f>
      </c>
      <c r="D4448">
        <v>125</v>
      </c>
      <c r="E4448" s="51">
        <f>IF(INDEX(DarlBelegt,10)=0,0,EOMONTH(INDEX(DarlAuszahlung,10),124)+1)</f>
      </c>
      <c r="F4448" s="43">
        <f>IF($E4448=0,0,YEAR($E4448))</f>
      </c>
      <c r="G4448" s="43">
        <f>IF(INDEX(DarlBindung,10)="",1,IF($E4448&lt;=INDEX(DarlBindung,10),1,0))</f>
      </c>
      <c r="H4448" s="43">
        <f>IF($G4448=1,INDEX(DarlSollzins,10),INDEX(DarlAnschluss,10))</f>
      </c>
      <c r="I4448" s="43">
        <f>IF(INDEX(DarlBelegt,10)=0,0,IF(INDEX(DarlOhneTilgung,10)=1,IF(INDEX(DarlBindung,10)="",1,$G4448),IF($J4448&gt;0.005,1,0)))</f>
      </c>
      <c r="J4448" s="43">
        <f>IF($I4447=0,0,$R4447)</f>
      </c>
      <c r="K4448" s="43">
        <f>IF($I4448=0,0,IF(INDEX(DarlOhneTilgung,10)=1,0,IF(AND(INDEX(DarlTilgStart,10)&gt;0,$E4448=INDEX(DarlTilgStart,10)),$J4448*($H4448+INDEX(DarlTilgung,10))/100/12,IF(AND($G4448=0,$G4447=1),MAX($K4447,$J4448*($H4448+1)/100/12),$K4447))))</f>
      </c>
      <c r="L4448" s="43">
        <f>IF($I4448=0,0,$J4448*$H4448/100/12)</f>
      </c>
      <c r="M4448" s="43">
        <f>IF($I4448=0,0,IF(OR(INDEX(DarlOhneTilgung,10)=1,AND(INDEX(DarlTilgStart,10)&gt;0,$E4448&lt;INDEX(DarlTilgStart,10))),0,MIN(MAX(0,$K4448-$L4448),$J4448)))</f>
      </c>
      <c r="N4448" s="43">
        <f>IF($I4448=0,0,MIN(SUMIFS(SondBetrag,SondDarl,10,SondDatum,"&gt;="&amp;$E4448,SondDatum,"&lt;="&amp;EOMONTH($E4448,0)),$J4448-$M4448))</f>
      </c>
      <c r="O4448" s="43">
        <f>IF($I4448=0,0,INDEX(DarlErsatzRate,10))</f>
      </c>
      <c r="P4448" s="43">
        <f>IF($I4448=0,0,$Q4447*INDEX(DarlErsatzZins,10))</f>
      </c>
      <c r="Q4448" s="43">
        <f>IF($I4448=0,0,$Q4447+$P4448+$O4448)</f>
      </c>
      <c r="R4448" s="43">
        <f>IF($I4448=0,0,$J4448-$M4448-$N4448)</f>
      </c>
    </row>
    <row r="4449">
      <c r="A4449"/>
      <c r="B4449">
        <v>10</v>
      </c>
      <c r="C4449" s="43">
        <f>INDEX(DarlObj,10)</f>
      </c>
      <c r="D4449">
        <v>126</v>
      </c>
      <c r="E4449" s="51">
        <f>IF(INDEX(DarlBelegt,10)=0,0,EOMONTH(INDEX(DarlAuszahlung,10),125)+1)</f>
      </c>
      <c r="F4449" s="43">
        <f>IF($E4449=0,0,YEAR($E4449))</f>
      </c>
      <c r="G4449" s="43">
        <f>IF(INDEX(DarlBindung,10)="",1,IF($E4449&lt;=INDEX(DarlBindung,10),1,0))</f>
      </c>
      <c r="H4449" s="43">
        <f>IF($G4449=1,INDEX(DarlSollzins,10),INDEX(DarlAnschluss,10))</f>
      </c>
      <c r="I4449" s="43">
        <f>IF(INDEX(DarlBelegt,10)=0,0,IF(INDEX(DarlOhneTilgung,10)=1,IF(INDEX(DarlBindung,10)="",1,$G4449),IF($J4449&gt;0.005,1,0)))</f>
      </c>
      <c r="J4449" s="43">
        <f>IF($I4448=0,0,$R4448)</f>
      </c>
      <c r="K4449" s="43">
        <f>IF($I4449=0,0,IF(INDEX(DarlOhneTilgung,10)=1,0,IF(AND(INDEX(DarlTilgStart,10)&gt;0,$E4449=INDEX(DarlTilgStart,10)),$J4449*($H4449+INDEX(DarlTilgung,10))/100/12,IF(AND($G4449=0,$G4448=1),MAX($K4448,$J4449*($H4449+1)/100/12),$K4448))))</f>
      </c>
      <c r="L4449" s="43">
        <f>IF($I4449=0,0,$J4449*$H4449/100/12)</f>
      </c>
      <c r="M4449" s="43">
        <f>IF($I4449=0,0,IF(OR(INDEX(DarlOhneTilgung,10)=1,AND(INDEX(DarlTilgStart,10)&gt;0,$E4449&lt;INDEX(DarlTilgStart,10))),0,MIN(MAX(0,$K4449-$L4449),$J4449)))</f>
      </c>
      <c r="N4449" s="43">
        <f>IF($I4449=0,0,MIN(SUMIFS(SondBetrag,SondDarl,10,SondDatum,"&gt;="&amp;$E4449,SondDatum,"&lt;="&amp;EOMONTH($E4449,0)),$J4449-$M4449))</f>
      </c>
      <c r="O4449" s="43">
        <f>IF($I4449=0,0,INDEX(DarlErsatzRate,10))</f>
      </c>
      <c r="P4449" s="43">
        <f>IF($I4449=0,0,$Q4448*INDEX(DarlErsatzZins,10))</f>
      </c>
      <c r="Q4449" s="43">
        <f>IF($I4449=0,0,$Q4448+$P4449+$O4449)</f>
      </c>
      <c r="R4449" s="43">
        <f>IF($I4449=0,0,$J4449-$M4449-$N4449)</f>
      </c>
    </row>
    <row r="4450">
      <c r="A4450"/>
      <c r="B4450">
        <v>10</v>
      </c>
      <c r="C4450" s="43">
        <f>INDEX(DarlObj,10)</f>
      </c>
      <c r="D4450">
        <v>127</v>
      </c>
      <c r="E4450" s="51">
        <f>IF(INDEX(DarlBelegt,10)=0,0,EOMONTH(INDEX(DarlAuszahlung,10),126)+1)</f>
      </c>
      <c r="F4450" s="43">
        <f>IF($E4450=0,0,YEAR($E4450))</f>
      </c>
      <c r="G4450" s="43">
        <f>IF(INDEX(DarlBindung,10)="",1,IF($E4450&lt;=INDEX(DarlBindung,10),1,0))</f>
      </c>
      <c r="H4450" s="43">
        <f>IF($G4450=1,INDEX(DarlSollzins,10),INDEX(DarlAnschluss,10))</f>
      </c>
      <c r="I4450" s="43">
        <f>IF(INDEX(DarlBelegt,10)=0,0,IF(INDEX(DarlOhneTilgung,10)=1,IF(INDEX(DarlBindung,10)="",1,$G4450),IF($J4450&gt;0.005,1,0)))</f>
      </c>
      <c r="J4450" s="43">
        <f>IF($I4449=0,0,$R4449)</f>
      </c>
      <c r="K4450" s="43">
        <f>IF($I4450=0,0,IF(INDEX(DarlOhneTilgung,10)=1,0,IF(AND(INDEX(DarlTilgStart,10)&gt;0,$E4450=INDEX(DarlTilgStart,10)),$J4450*($H4450+INDEX(DarlTilgung,10))/100/12,IF(AND($G4450=0,$G4449=1),MAX($K4449,$J4450*($H4450+1)/100/12),$K4449))))</f>
      </c>
      <c r="L4450" s="43">
        <f>IF($I4450=0,0,$J4450*$H4450/100/12)</f>
      </c>
      <c r="M4450" s="43">
        <f>IF($I4450=0,0,IF(OR(INDEX(DarlOhneTilgung,10)=1,AND(INDEX(DarlTilgStart,10)&gt;0,$E4450&lt;INDEX(DarlTilgStart,10))),0,MIN(MAX(0,$K4450-$L4450),$J4450)))</f>
      </c>
      <c r="N4450" s="43">
        <f>IF($I4450=0,0,MIN(SUMIFS(SondBetrag,SondDarl,10,SondDatum,"&gt;="&amp;$E4450,SondDatum,"&lt;="&amp;EOMONTH($E4450,0)),$J4450-$M4450))</f>
      </c>
      <c r="O4450" s="43">
        <f>IF($I4450=0,0,INDEX(DarlErsatzRate,10))</f>
      </c>
      <c r="P4450" s="43">
        <f>IF($I4450=0,0,$Q4449*INDEX(DarlErsatzZins,10))</f>
      </c>
      <c r="Q4450" s="43">
        <f>IF($I4450=0,0,$Q4449+$P4450+$O4450)</f>
      </c>
      <c r="R4450" s="43">
        <f>IF($I4450=0,0,$J4450-$M4450-$N4450)</f>
      </c>
    </row>
    <row r="4451">
      <c r="A4451"/>
      <c r="B4451">
        <v>10</v>
      </c>
      <c r="C4451" s="43">
        <f>INDEX(DarlObj,10)</f>
      </c>
      <c r="D4451">
        <v>128</v>
      </c>
      <c r="E4451" s="51">
        <f>IF(INDEX(DarlBelegt,10)=0,0,EOMONTH(INDEX(DarlAuszahlung,10),127)+1)</f>
      </c>
      <c r="F4451" s="43">
        <f>IF($E4451=0,0,YEAR($E4451))</f>
      </c>
      <c r="G4451" s="43">
        <f>IF(INDEX(DarlBindung,10)="",1,IF($E4451&lt;=INDEX(DarlBindung,10),1,0))</f>
      </c>
      <c r="H4451" s="43">
        <f>IF($G4451=1,INDEX(DarlSollzins,10),INDEX(DarlAnschluss,10))</f>
      </c>
      <c r="I4451" s="43">
        <f>IF(INDEX(DarlBelegt,10)=0,0,IF(INDEX(DarlOhneTilgung,10)=1,IF(INDEX(DarlBindung,10)="",1,$G4451),IF($J4451&gt;0.005,1,0)))</f>
      </c>
      <c r="J4451" s="43">
        <f>IF($I4450=0,0,$R4450)</f>
      </c>
      <c r="K4451" s="43">
        <f>IF($I4451=0,0,IF(INDEX(DarlOhneTilgung,10)=1,0,IF(AND(INDEX(DarlTilgStart,10)&gt;0,$E4451=INDEX(DarlTilgStart,10)),$J4451*($H4451+INDEX(DarlTilgung,10))/100/12,IF(AND($G4451=0,$G4450=1),MAX($K4450,$J4451*($H4451+1)/100/12),$K4450))))</f>
      </c>
      <c r="L4451" s="43">
        <f>IF($I4451=0,0,$J4451*$H4451/100/12)</f>
      </c>
      <c r="M4451" s="43">
        <f>IF($I4451=0,0,IF(OR(INDEX(DarlOhneTilgung,10)=1,AND(INDEX(DarlTilgStart,10)&gt;0,$E4451&lt;INDEX(DarlTilgStart,10))),0,MIN(MAX(0,$K4451-$L4451),$J4451)))</f>
      </c>
      <c r="N4451" s="43">
        <f>IF($I4451=0,0,MIN(SUMIFS(SondBetrag,SondDarl,10,SondDatum,"&gt;="&amp;$E4451,SondDatum,"&lt;="&amp;EOMONTH($E4451,0)),$J4451-$M4451))</f>
      </c>
      <c r="O4451" s="43">
        <f>IF($I4451=0,0,INDEX(DarlErsatzRate,10))</f>
      </c>
      <c r="P4451" s="43">
        <f>IF($I4451=0,0,$Q4450*INDEX(DarlErsatzZins,10))</f>
      </c>
      <c r="Q4451" s="43">
        <f>IF($I4451=0,0,$Q4450+$P4451+$O4451)</f>
      </c>
      <c r="R4451" s="43">
        <f>IF($I4451=0,0,$J4451-$M4451-$N4451)</f>
      </c>
    </row>
    <row r="4452">
      <c r="A4452"/>
      <c r="B4452">
        <v>10</v>
      </c>
      <c r="C4452" s="43">
        <f>INDEX(DarlObj,10)</f>
      </c>
      <c r="D4452">
        <v>129</v>
      </c>
      <c r="E4452" s="51">
        <f>IF(INDEX(DarlBelegt,10)=0,0,EOMONTH(INDEX(DarlAuszahlung,10),128)+1)</f>
      </c>
      <c r="F4452" s="43">
        <f>IF($E4452=0,0,YEAR($E4452))</f>
      </c>
      <c r="G4452" s="43">
        <f>IF(INDEX(DarlBindung,10)="",1,IF($E4452&lt;=INDEX(DarlBindung,10),1,0))</f>
      </c>
      <c r="H4452" s="43">
        <f>IF($G4452=1,INDEX(DarlSollzins,10),INDEX(DarlAnschluss,10))</f>
      </c>
      <c r="I4452" s="43">
        <f>IF(INDEX(DarlBelegt,10)=0,0,IF(INDEX(DarlOhneTilgung,10)=1,IF(INDEX(DarlBindung,10)="",1,$G4452),IF($J4452&gt;0.005,1,0)))</f>
      </c>
      <c r="J4452" s="43">
        <f>IF($I4451=0,0,$R4451)</f>
      </c>
      <c r="K4452" s="43">
        <f>IF($I4452=0,0,IF(INDEX(DarlOhneTilgung,10)=1,0,IF(AND(INDEX(DarlTilgStart,10)&gt;0,$E4452=INDEX(DarlTilgStart,10)),$J4452*($H4452+INDEX(DarlTilgung,10))/100/12,IF(AND($G4452=0,$G4451=1),MAX($K4451,$J4452*($H4452+1)/100/12),$K4451))))</f>
      </c>
      <c r="L4452" s="43">
        <f>IF($I4452=0,0,$J4452*$H4452/100/12)</f>
      </c>
      <c r="M4452" s="43">
        <f>IF($I4452=0,0,IF(OR(INDEX(DarlOhneTilgung,10)=1,AND(INDEX(DarlTilgStart,10)&gt;0,$E4452&lt;INDEX(DarlTilgStart,10))),0,MIN(MAX(0,$K4452-$L4452),$J4452)))</f>
      </c>
      <c r="N4452" s="43">
        <f>IF($I4452=0,0,MIN(SUMIFS(SondBetrag,SondDarl,10,SondDatum,"&gt;="&amp;$E4452,SondDatum,"&lt;="&amp;EOMONTH($E4452,0)),$J4452-$M4452))</f>
      </c>
      <c r="O4452" s="43">
        <f>IF($I4452=0,0,INDEX(DarlErsatzRate,10))</f>
      </c>
      <c r="P4452" s="43">
        <f>IF($I4452=0,0,$Q4451*INDEX(DarlErsatzZins,10))</f>
      </c>
      <c r="Q4452" s="43">
        <f>IF($I4452=0,0,$Q4451+$P4452+$O4452)</f>
      </c>
      <c r="R4452" s="43">
        <f>IF($I4452=0,0,$J4452-$M4452-$N4452)</f>
      </c>
    </row>
    <row r="4453">
      <c r="A4453"/>
      <c r="B4453">
        <v>10</v>
      </c>
      <c r="C4453" s="43">
        <f>INDEX(DarlObj,10)</f>
      </c>
      <c r="D4453">
        <v>130</v>
      </c>
      <c r="E4453" s="51">
        <f>IF(INDEX(DarlBelegt,10)=0,0,EOMONTH(INDEX(DarlAuszahlung,10),129)+1)</f>
      </c>
      <c r="F4453" s="43">
        <f>IF($E4453=0,0,YEAR($E4453))</f>
      </c>
      <c r="G4453" s="43">
        <f>IF(INDEX(DarlBindung,10)="",1,IF($E4453&lt;=INDEX(DarlBindung,10),1,0))</f>
      </c>
      <c r="H4453" s="43">
        <f>IF($G4453=1,INDEX(DarlSollzins,10),INDEX(DarlAnschluss,10))</f>
      </c>
      <c r="I4453" s="43">
        <f>IF(INDEX(DarlBelegt,10)=0,0,IF(INDEX(DarlOhneTilgung,10)=1,IF(INDEX(DarlBindung,10)="",1,$G4453),IF($J4453&gt;0.005,1,0)))</f>
      </c>
      <c r="J4453" s="43">
        <f>IF($I4452=0,0,$R4452)</f>
      </c>
      <c r="K4453" s="43">
        <f>IF($I4453=0,0,IF(INDEX(DarlOhneTilgung,10)=1,0,IF(AND(INDEX(DarlTilgStart,10)&gt;0,$E4453=INDEX(DarlTilgStart,10)),$J4453*($H4453+INDEX(DarlTilgung,10))/100/12,IF(AND($G4453=0,$G4452=1),MAX($K4452,$J4453*($H4453+1)/100/12),$K4452))))</f>
      </c>
      <c r="L4453" s="43">
        <f>IF($I4453=0,0,$J4453*$H4453/100/12)</f>
      </c>
      <c r="M4453" s="43">
        <f>IF($I4453=0,0,IF(OR(INDEX(DarlOhneTilgung,10)=1,AND(INDEX(DarlTilgStart,10)&gt;0,$E4453&lt;INDEX(DarlTilgStart,10))),0,MIN(MAX(0,$K4453-$L4453),$J4453)))</f>
      </c>
      <c r="N4453" s="43">
        <f>IF($I4453=0,0,MIN(SUMIFS(SondBetrag,SondDarl,10,SondDatum,"&gt;="&amp;$E4453,SondDatum,"&lt;="&amp;EOMONTH($E4453,0)),$J4453-$M4453))</f>
      </c>
      <c r="O4453" s="43">
        <f>IF($I4453=0,0,INDEX(DarlErsatzRate,10))</f>
      </c>
      <c r="P4453" s="43">
        <f>IF($I4453=0,0,$Q4452*INDEX(DarlErsatzZins,10))</f>
      </c>
      <c r="Q4453" s="43">
        <f>IF($I4453=0,0,$Q4452+$P4453+$O4453)</f>
      </c>
      <c r="R4453" s="43">
        <f>IF($I4453=0,0,$J4453-$M4453-$N4453)</f>
      </c>
    </row>
    <row r="4454">
      <c r="A4454"/>
      <c r="B4454">
        <v>10</v>
      </c>
      <c r="C4454" s="43">
        <f>INDEX(DarlObj,10)</f>
      </c>
      <c r="D4454">
        <v>131</v>
      </c>
      <c r="E4454" s="51">
        <f>IF(INDEX(DarlBelegt,10)=0,0,EOMONTH(INDEX(DarlAuszahlung,10),130)+1)</f>
      </c>
      <c r="F4454" s="43">
        <f>IF($E4454=0,0,YEAR($E4454))</f>
      </c>
      <c r="G4454" s="43">
        <f>IF(INDEX(DarlBindung,10)="",1,IF($E4454&lt;=INDEX(DarlBindung,10),1,0))</f>
      </c>
      <c r="H4454" s="43">
        <f>IF($G4454=1,INDEX(DarlSollzins,10),INDEX(DarlAnschluss,10))</f>
      </c>
      <c r="I4454" s="43">
        <f>IF(INDEX(DarlBelegt,10)=0,0,IF(INDEX(DarlOhneTilgung,10)=1,IF(INDEX(DarlBindung,10)="",1,$G4454),IF($J4454&gt;0.005,1,0)))</f>
      </c>
      <c r="J4454" s="43">
        <f>IF($I4453=0,0,$R4453)</f>
      </c>
      <c r="K4454" s="43">
        <f>IF($I4454=0,0,IF(INDEX(DarlOhneTilgung,10)=1,0,IF(AND(INDEX(DarlTilgStart,10)&gt;0,$E4454=INDEX(DarlTilgStart,10)),$J4454*($H4454+INDEX(DarlTilgung,10))/100/12,IF(AND($G4454=0,$G4453=1),MAX($K4453,$J4454*($H4454+1)/100/12),$K4453))))</f>
      </c>
      <c r="L4454" s="43">
        <f>IF($I4454=0,0,$J4454*$H4454/100/12)</f>
      </c>
      <c r="M4454" s="43">
        <f>IF($I4454=0,0,IF(OR(INDEX(DarlOhneTilgung,10)=1,AND(INDEX(DarlTilgStart,10)&gt;0,$E4454&lt;INDEX(DarlTilgStart,10))),0,MIN(MAX(0,$K4454-$L4454),$J4454)))</f>
      </c>
      <c r="N4454" s="43">
        <f>IF($I4454=0,0,MIN(SUMIFS(SondBetrag,SondDarl,10,SondDatum,"&gt;="&amp;$E4454,SondDatum,"&lt;="&amp;EOMONTH($E4454,0)),$J4454-$M4454))</f>
      </c>
      <c r="O4454" s="43">
        <f>IF($I4454=0,0,INDEX(DarlErsatzRate,10))</f>
      </c>
      <c r="P4454" s="43">
        <f>IF($I4454=0,0,$Q4453*INDEX(DarlErsatzZins,10))</f>
      </c>
      <c r="Q4454" s="43">
        <f>IF($I4454=0,0,$Q4453+$P4454+$O4454)</f>
      </c>
      <c r="R4454" s="43">
        <f>IF($I4454=0,0,$J4454-$M4454-$N4454)</f>
      </c>
    </row>
    <row r="4455">
      <c r="A4455"/>
      <c r="B4455">
        <v>10</v>
      </c>
      <c r="C4455" s="43">
        <f>INDEX(DarlObj,10)</f>
      </c>
      <c r="D4455">
        <v>132</v>
      </c>
      <c r="E4455" s="51">
        <f>IF(INDEX(DarlBelegt,10)=0,0,EOMONTH(INDEX(DarlAuszahlung,10),131)+1)</f>
      </c>
      <c r="F4455" s="43">
        <f>IF($E4455=0,0,YEAR($E4455))</f>
      </c>
      <c r="G4455" s="43">
        <f>IF(INDEX(DarlBindung,10)="",1,IF($E4455&lt;=INDEX(DarlBindung,10),1,0))</f>
      </c>
      <c r="H4455" s="43">
        <f>IF($G4455=1,INDEX(DarlSollzins,10),INDEX(DarlAnschluss,10))</f>
      </c>
      <c r="I4455" s="43">
        <f>IF(INDEX(DarlBelegt,10)=0,0,IF(INDEX(DarlOhneTilgung,10)=1,IF(INDEX(DarlBindung,10)="",1,$G4455),IF($J4455&gt;0.005,1,0)))</f>
      </c>
      <c r="J4455" s="43">
        <f>IF($I4454=0,0,$R4454)</f>
      </c>
      <c r="K4455" s="43">
        <f>IF($I4455=0,0,IF(INDEX(DarlOhneTilgung,10)=1,0,IF(AND(INDEX(DarlTilgStart,10)&gt;0,$E4455=INDEX(DarlTilgStart,10)),$J4455*($H4455+INDEX(DarlTilgung,10))/100/12,IF(AND($G4455=0,$G4454=1),MAX($K4454,$J4455*($H4455+1)/100/12),$K4454))))</f>
      </c>
      <c r="L4455" s="43">
        <f>IF($I4455=0,0,$J4455*$H4455/100/12)</f>
      </c>
      <c r="M4455" s="43">
        <f>IF($I4455=0,0,IF(OR(INDEX(DarlOhneTilgung,10)=1,AND(INDEX(DarlTilgStart,10)&gt;0,$E4455&lt;INDEX(DarlTilgStart,10))),0,MIN(MAX(0,$K4455-$L4455),$J4455)))</f>
      </c>
      <c r="N4455" s="43">
        <f>IF($I4455=0,0,MIN(SUMIFS(SondBetrag,SondDarl,10,SondDatum,"&gt;="&amp;$E4455,SondDatum,"&lt;="&amp;EOMONTH($E4455,0)),$J4455-$M4455))</f>
      </c>
      <c r="O4455" s="43">
        <f>IF($I4455=0,0,INDEX(DarlErsatzRate,10))</f>
      </c>
      <c r="P4455" s="43">
        <f>IF($I4455=0,0,$Q4454*INDEX(DarlErsatzZins,10))</f>
      </c>
      <c r="Q4455" s="43">
        <f>IF($I4455=0,0,$Q4454+$P4455+$O4455)</f>
      </c>
      <c r="R4455" s="43">
        <f>IF($I4455=0,0,$J4455-$M4455-$N4455)</f>
      </c>
    </row>
    <row r="4456">
      <c r="A4456"/>
      <c r="B4456">
        <v>10</v>
      </c>
      <c r="C4456" s="43">
        <f>INDEX(DarlObj,10)</f>
      </c>
      <c r="D4456">
        <v>133</v>
      </c>
      <c r="E4456" s="51">
        <f>IF(INDEX(DarlBelegt,10)=0,0,EOMONTH(INDEX(DarlAuszahlung,10),132)+1)</f>
      </c>
      <c r="F4456" s="43">
        <f>IF($E4456=0,0,YEAR($E4456))</f>
      </c>
      <c r="G4456" s="43">
        <f>IF(INDEX(DarlBindung,10)="",1,IF($E4456&lt;=INDEX(DarlBindung,10),1,0))</f>
      </c>
      <c r="H4456" s="43">
        <f>IF($G4456=1,INDEX(DarlSollzins,10),INDEX(DarlAnschluss,10))</f>
      </c>
      <c r="I4456" s="43">
        <f>IF(INDEX(DarlBelegt,10)=0,0,IF(INDEX(DarlOhneTilgung,10)=1,IF(INDEX(DarlBindung,10)="",1,$G4456),IF($J4456&gt;0.005,1,0)))</f>
      </c>
      <c r="J4456" s="43">
        <f>IF($I4455=0,0,$R4455)</f>
      </c>
      <c r="K4456" s="43">
        <f>IF($I4456=0,0,IF(INDEX(DarlOhneTilgung,10)=1,0,IF(AND(INDEX(DarlTilgStart,10)&gt;0,$E4456=INDEX(DarlTilgStart,10)),$J4456*($H4456+INDEX(DarlTilgung,10))/100/12,IF(AND($G4456=0,$G4455=1),MAX($K4455,$J4456*($H4456+1)/100/12),$K4455))))</f>
      </c>
      <c r="L4456" s="43">
        <f>IF($I4456=0,0,$J4456*$H4456/100/12)</f>
      </c>
      <c r="M4456" s="43">
        <f>IF($I4456=0,0,IF(OR(INDEX(DarlOhneTilgung,10)=1,AND(INDEX(DarlTilgStart,10)&gt;0,$E4456&lt;INDEX(DarlTilgStart,10))),0,MIN(MAX(0,$K4456-$L4456),$J4456)))</f>
      </c>
      <c r="N4456" s="43">
        <f>IF($I4456=0,0,MIN(SUMIFS(SondBetrag,SondDarl,10,SondDatum,"&gt;="&amp;$E4456,SondDatum,"&lt;="&amp;EOMONTH($E4456,0)),$J4456-$M4456))</f>
      </c>
      <c r="O4456" s="43">
        <f>IF($I4456=0,0,INDEX(DarlErsatzRate,10))</f>
      </c>
      <c r="P4456" s="43">
        <f>IF($I4456=0,0,$Q4455*INDEX(DarlErsatzZins,10))</f>
      </c>
      <c r="Q4456" s="43">
        <f>IF($I4456=0,0,$Q4455+$P4456+$O4456)</f>
      </c>
      <c r="R4456" s="43">
        <f>IF($I4456=0,0,$J4456-$M4456-$N4456)</f>
      </c>
    </row>
    <row r="4457">
      <c r="A4457"/>
      <c r="B4457">
        <v>10</v>
      </c>
      <c r="C4457" s="43">
        <f>INDEX(DarlObj,10)</f>
      </c>
      <c r="D4457">
        <v>134</v>
      </c>
      <c r="E4457" s="51">
        <f>IF(INDEX(DarlBelegt,10)=0,0,EOMONTH(INDEX(DarlAuszahlung,10),133)+1)</f>
      </c>
      <c r="F4457" s="43">
        <f>IF($E4457=0,0,YEAR($E4457))</f>
      </c>
      <c r="G4457" s="43">
        <f>IF(INDEX(DarlBindung,10)="",1,IF($E4457&lt;=INDEX(DarlBindung,10),1,0))</f>
      </c>
      <c r="H4457" s="43">
        <f>IF($G4457=1,INDEX(DarlSollzins,10),INDEX(DarlAnschluss,10))</f>
      </c>
      <c r="I4457" s="43">
        <f>IF(INDEX(DarlBelegt,10)=0,0,IF(INDEX(DarlOhneTilgung,10)=1,IF(INDEX(DarlBindung,10)="",1,$G4457),IF($J4457&gt;0.005,1,0)))</f>
      </c>
      <c r="J4457" s="43">
        <f>IF($I4456=0,0,$R4456)</f>
      </c>
      <c r="K4457" s="43">
        <f>IF($I4457=0,0,IF(INDEX(DarlOhneTilgung,10)=1,0,IF(AND(INDEX(DarlTilgStart,10)&gt;0,$E4457=INDEX(DarlTilgStart,10)),$J4457*($H4457+INDEX(DarlTilgung,10))/100/12,IF(AND($G4457=0,$G4456=1),MAX($K4456,$J4457*($H4457+1)/100/12),$K4456))))</f>
      </c>
      <c r="L4457" s="43">
        <f>IF($I4457=0,0,$J4457*$H4457/100/12)</f>
      </c>
      <c r="M4457" s="43">
        <f>IF($I4457=0,0,IF(OR(INDEX(DarlOhneTilgung,10)=1,AND(INDEX(DarlTilgStart,10)&gt;0,$E4457&lt;INDEX(DarlTilgStart,10))),0,MIN(MAX(0,$K4457-$L4457),$J4457)))</f>
      </c>
      <c r="N4457" s="43">
        <f>IF($I4457=0,0,MIN(SUMIFS(SondBetrag,SondDarl,10,SondDatum,"&gt;="&amp;$E4457,SondDatum,"&lt;="&amp;EOMONTH($E4457,0)),$J4457-$M4457))</f>
      </c>
      <c r="O4457" s="43">
        <f>IF($I4457=0,0,INDEX(DarlErsatzRate,10))</f>
      </c>
      <c r="P4457" s="43">
        <f>IF($I4457=0,0,$Q4456*INDEX(DarlErsatzZins,10))</f>
      </c>
      <c r="Q4457" s="43">
        <f>IF($I4457=0,0,$Q4456+$P4457+$O4457)</f>
      </c>
      <c r="R4457" s="43">
        <f>IF($I4457=0,0,$J4457-$M4457-$N4457)</f>
      </c>
    </row>
    <row r="4458">
      <c r="A4458"/>
      <c r="B4458">
        <v>10</v>
      </c>
      <c r="C4458" s="43">
        <f>INDEX(DarlObj,10)</f>
      </c>
      <c r="D4458">
        <v>135</v>
      </c>
      <c r="E4458" s="51">
        <f>IF(INDEX(DarlBelegt,10)=0,0,EOMONTH(INDEX(DarlAuszahlung,10),134)+1)</f>
      </c>
      <c r="F4458" s="43">
        <f>IF($E4458=0,0,YEAR($E4458))</f>
      </c>
      <c r="G4458" s="43">
        <f>IF(INDEX(DarlBindung,10)="",1,IF($E4458&lt;=INDEX(DarlBindung,10),1,0))</f>
      </c>
      <c r="H4458" s="43">
        <f>IF($G4458=1,INDEX(DarlSollzins,10),INDEX(DarlAnschluss,10))</f>
      </c>
      <c r="I4458" s="43">
        <f>IF(INDEX(DarlBelegt,10)=0,0,IF(INDEX(DarlOhneTilgung,10)=1,IF(INDEX(DarlBindung,10)="",1,$G4458),IF($J4458&gt;0.005,1,0)))</f>
      </c>
      <c r="J4458" s="43">
        <f>IF($I4457=0,0,$R4457)</f>
      </c>
      <c r="K4458" s="43">
        <f>IF($I4458=0,0,IF(INDEX(DarlOhneTilgung,10)=1,0,IF(AND(INDEX(DarlTilgStart,10)&gt;0,$E4458=INDEX(DarlTilgStart,10)),$J4458*($H4458+INDEX(DarlTilgung,10))/100/12,IF(AND($G4458=0,$G4457=1),MAX($K4457,$J4458*($H4458+1)/100/12),$K4457))))</f>
      </c>
      <c r="L4458" s="43">
        <f>IF($I4458=0,0,$J4458*$H4458/100/12)</f>
      </c>
      <c r="M4458" s="43">
        <f>IF($I4458=0,0,IF(OR(INDEX(DarlOhneTilgung,10)=1,AND(INDEX(DarlTilgStart,10)&gt;0,$E4458&lt;INDEX(DarlTilgStart,10))),0,MIN(MAX(0,$K4458-$L4458),$J4458)))</f>
      </c>
      <c r="N4458" s="43">
        <f>IF($I4458=0,0,MIN(SUMIFS(SondBetrag,SondDarl,10,SondDatum,"&gt;="&amp;$E4458,SondDatum,"&lt;="&amp;EOMONTH($E4458,0)),$J4458-$M4458))</f>
      </c>
      <c r="O4458" s="43">
        <f>IF($I4458=0,0,INDEX(DarlErsatzRate,10))</f>
      </c>
      <c r="P4458" s="43">
        <f>IF($I4458=0,0,$Q4457*INDEX(DarlErsatzZins,10))</f>
      </c>
      <c r="Q4458" s="43">
        <f>IF($I4458=0,0,$Q4457+$P4458+$O4458)</f>
      </c>
      <c r="R4458" s="43">
        <f>IF($I4458=0,0,$J4458-$M4458-$N4458)</f>
      </c>
    </row>
    <row r="4459">
      <c r="A4459"/>
      <c r="B4459">
        <v>10</v>
      </c>
      <c r="C4459" s="43">
        <f>INDEX(DarlObj,10)</f>
      </c>
      <c r="D4459">
        <v>136</v>
      </c>
      <c r="E4459" s="51">
        <f>IF(INDEX(DarlBelegt,10)=0,0,EOMONTH(INDEX(DarlAuszahlung,10),135)+1)</f>
      </c>
      <c r="F4459" s="43">
        <f>IF($E4459=0,0,YEAR($E4459))</f>
      </c>
      <c r="G4459" s="43">
        <f>IF(INDEX(DarlBindung,10)="",1,IF($E4459&lt;=INDEX(DarlBindung,10),1,0))</f>
      </c>
      <c r="H4459" s="43">
        <f>IF($G4459=1,INDEX(DarlSollzins,10),INDEX(DarlAnschluss,10))</f>
      </c>
      <c r="I4459" s="43">
        <f>IF(INDEX(DarlBelegt,10)=0,0,IF(INDEX(DarlOhneTilgung,10)=1,IF(INDEX(DarlBindung,10)="",1,$G4459),IF($J4459&gt;0.005,1,0)))</f>
      </c>
      <c r="J4459" s="43">
        <f>IF($I4458=0,0,$R4458)</f>
      </c>
      <c r="K4459" s="43">
        <f>IF($I4459=0,0,IF(INDEX(DarlOhneTilgung,10)=1,0,IF(AND(INDEX(DarlTilgStart,10)&gt;0,$E4459=INDEX(DarlTilgStart,10)),$J4459*($H4459+INDEX(DarlTilgung,10))/100/12,IF(AND($G4459=0,$G4458=1),MAX($K4458,$J4459*($H4459+1)/100/12),$K4458))))</f>
      </c>
      <c r="L4459" s="43">
        <f>IF($I4459=0,0,$J4459*$H4459/100/12)</f>
      </c>
      <c r="M4459" s="43">
        <f>IF($I4459=0,0,IF(OR(INDEX(DarlOhneTilgung,10)=1,AND(INDEX(DarlTilgStart,10)&gt;0,$E4459&lt;INDEX(DarlTilgStart,10))),0,MIN(MAX(0,$K4459-$L4459),$J4459)))</f>
      </c>
      <c r="N4459" s="43">
        <f>IF($I4459=0,0,MIN(SUMIFS(SondBetrag,SondDarl,10,SondDatum,"&gt;="&amp;$E4459,SondDatum,"&lt;="&amp;EOMONTH($E4459,0)),$J4459-$M4459))</f>
      </c>
      <c r="O4459" s="43">
        <f>IF($I4459=0,0,INDEX(DarlErsatzRate,10))</f>
      </c>
      <c r="P4459" s="43">
        <f>IF($I4459=0,0,$Q4458*INDEX(DarlErsatzZins,10))</f>
      </c>
      <c r="Q4459" s="43">
        <f>IF($I4459=0,0,$Q4458+$P4459+$O4459)</f>
      </c>
      <c r="R4459" s="43">
        <f>IF($I4459=0,0,$J4459-$M4459-$N4459)</f>
      </c>
    </row>
    <row r="4460">
      <c r="A4460"/>
      <c r="B4460">
        <v>10</v>
      </c>
      <c r="C4460" s="43">
        <f>INDEX(DarlObj,10)</f>
      </c>
      <c r="D4460">
        <v>137</v>
      </c>
      <c r="E4460" s="51">
        <f>IF(INDEX(DarlBelegt,10)=0,0,EOMONTH(INDEX(DarlAuszahlung,10),136)+1)</f>
      </c>
      <c r="F4460" s="43">
        <f>IF($E4460=0,0,YEAR($E4460))</f>
      </c>
      <c r="G4460" s="43">
        <f>IF(INDEX(DarlBindung,10)="",1,IF($E4460&lt;=INDEX(DarlBindung,10),1,0))</f>
      </c>
      <c r="H4460" s="43">
        <f>IF($G4460=1,INDEX(DarlSollzins,10),INDEX(DarlAnschluss,10))</f>
      </c>
      <c r="I4460" s="43">
        <f>IF(INDEX(DarlBelegt,10)=0,0,IF(INDEX(DarlOhneTilgung,10)=1,IF(INDEX(DarlBindung,10)="",1,$G4460),IF($J4460&gt;0.005,1,0)))</f>
      </c>
      <c r="J4460" s="43">
        <f>IF($I4459=0,0,$R4459)</f>
      </c>
      <c r="K4460" s="43">
        <f>IF($I4460=0,0,IF(INDEX(DarlOhneTilgung,10)=1,0,IF(AND(INDEX(DarlTilgStart,10)&gt;0,$E4460=INDEX(DarlTilgStart,10)),$J4460*($H4460+INDEX(DarlTilgung,10))/100/12,IF(AND($G4460=0,$G4459=1),MAX($K4459,$J4460*($H4460+1)/100/12),$K4459))))</f>
      </c>
      <c r="L4460" s="43">
        <f>IF($I4460=0,0,$J4460*$H4460/100/12)</f>
      </c>
      <c r="M4460" s="43">
        <f>IF($I4460=0,0,IF(OR(INDEX(DarlOhneTilgung,10)=1,AND(INDEX(DarlTilgStart,10)&gt;0,$E4460&lt;INDEX(DarlTilgStart,10))),0,MIN(MAX(0,$K4460-$L4460),$J4460)))</f>
      </c>
      <c r="N4460" s="43">
        <f>IF($I4460=0,0,MIN(SUMIFS(SondBetrag,SondDarl,10,SondDatum,"&gt;="&amp;$E4460,SondDatum,"&lt;="&amp;EOMONTH($E4460,0)),$J4460-$M4460))</f>
      </c>
      <c r="O4460" s="43">
        <f>IF($I4460=0,0,INDEX(DarlErsatzRate,10))</f>
      </c>
      <c r="P4460" s="43">
        <f>IF($I4460=0,0,$Q4459*INDEX(DarlErsatzZins,10))</f>
      </c>
      <c r="Q4460" s="43">
        <f>IF($I4460=0,0,$Q4459+$P4460+$O4460)</f>
      </c>
      <c r="R4460" s="43">
        <f>IF($I4460=0,0,$J4460-$M4460-$N4460)</f>
      </c>
    </row>
    <row r="4461">
      <c r="A4461"/>
      <c r="B4461">
        <v>10</v>
      </c>
      <c r="C4461" s="43">
        <f>INDEX(DarlObj,10)</f>
      </c>
      <c r="D4461">
        <v>138</v>
      </c>
      <c r="E4461" s="51">
        <f>IF(INDEX(DarlBelegt,10)=0,0,EOMONTH(INDEX(DarlAuszahlung,10),137)+1)</f>
      </c>
      <c r="F4461" s="43">
        <f>IF($E4461=0,0,YEAR($E4461))</f>
      </c>
      <c r="G4461" s="43">
        <f>IF(INDEX(DarlBindung,10)="",1,IF($E4461&lt;=INDEX(DarlBindung,10),1,0))</f>
      </c>
      <c r="H4461" s="43">
        <f>IF($G4461=1,INDEX(DarlSollzins,10),INDEX(DarlAnschluss,10))</f>
      </c>
      <c r="I4461" s="43">
        <f>IF(INDEX(DarlBelegt,10)=0,0,IF(INDEX(DarlOhneTilgung,10)=1,IF(INDEX(DarlBindung,10)="",1,$G4461),IF($J4461&gt;0.005,1,0)))</f>
      </c>
      <c r="J4461" s="43">
        <f>IF($I4460=0,0,$R4460)</f>
      </c>
      <c r="K4461" s="43">
        <f>IF($I4461=0,0,IF(INDEX(DarlOhneTilgung,10)=1,0,IF(AND(INDEX(DarlTilgStart,10)&gt;0,$E4461=INDEX(DarlTilgStart,10)),$J4461*($H4461+INDEX(DarlTilgung,10))/100/12,IF(AND($G4461=0,$G4460=1),MAX($K4460,$J4461*($H4461+1)/100/12),$K4460))))</f>
      </c>
      <c r="L4461" s="43">
        <f>IF($I4461=0,0,$J4461*$H4461/100/12)</f>
      </c>
      <c r="M4461" s="43">
        <f>IF($I4461=0,0,IF(OR(INDEX(DarlOhneTilgung,10)=1,AND(INDEX(DarlTilgStart,10)&gt;0,$E4461&lt;INDEX(DarlTilgStart,10))),0,MIN(MAX(0,$K4461-$L4461),$J4461)))</f>
      </c>
      <c r="N4461" s="43">
        <f>IF($I4461=0,0,MIN(SUMIFS(SondBetrag,SondDarl,10,SondDatum,"&gt;="&amp;$E4461,SondDatum,"&lt;="&amp;EOMONTH($E4461,0)),$J4461-$M4461))</f>
      </c>
      <c r="O4461" s="43">
        <f>IF($I4461=0,0,INDEX(DarlErsatzRate,10))</f>
      </c>
      <c r="P4461" s="43">
        <f>IF($I4461=0,0,$Q4460*INDEX(DarlErsatzZins,10))</f>
      </c>
      <c r="Q4461" s="43">
        <f>IF($I4461=0,0,$Q4460+$P4461+$O4461)</f>
      </c>
      <c r="R4461" s="43">
        <f>IF($I4461=0,0,$J4461-$M4461-$N4461)</f>
      </c>
    </row>
    <row r="4462">
      <c r="A4462"/>
      <c r="B4462">
        <v>10</v>
      </c>
      <c r="C4462" s="43">
        <f>INDEX(DarlObj,10)</f>
      </c>
      <c r="D4462">
        <v>139</v>
      </c>
      <c r="E4462" s="51">
        <f>IF(INDEX(DarlBelegt,10)=0,0,EOMONTH(INDEX(DarlAuszahlung,10),138)+1)</f>
      </c>
      <c r="F4462" s="43">
        <f>IF($E4462=0,0,YEAR($E4462))</f>
      </c>
      <c r="G4462" s="43">
        <f>IF(INDEX(DarlBindung,10)="",1,IF($E4462&lt;=INDEX(DarlBindung,10),1,0))</f>
      </c>
      <c r="H4462" s="43">
        <f>IF($G4462=1,INDEX(DarlSollzins,10),INDEX(DarlAnschluss,10))</f>
      </c>
      <c r="I4462" s="43">
        <f>IF(INDEX(DarlBelegt,10)=0,0,IF(INDEX(DarlOhneTilgung,10)=1,IF(INDEX(DarlBindung,10)="",1,$G4462),IF($J4462&gt;0.005,1,0)))</f>
      </c>
      <c r="J4462" s="43">
        <f>IF($I4461=0,0,$R4461)</f>
      </c>
      <c r="K4462" s="43">
        <f>IF($I4462=0,0,IF(INDEX(DarlOhneTilgung,10)=1,0,IF(AND(INDEX(DarlTilgStart,10)&gt;0,$E4462=INDEX(DarlTilgStart,10)),$J4462*($H4462+INDEX(DarlTilgung,10))/100/12,IF(AND($G4462=0,$G4461=1),MAX($K4461,$J4462*($H4462+1)/100/12),$K4461))))</f>
      </c>
      <c r="L4462" s="43">
        <f>IF($I4462=0,0,$J4462*$H4462/100/12)</f>
      </c>
      <c r="M4462" s="43">
        <f>IF($I4462=0,0,IF(OR(INDEX(DarlOhneTilgung,10)=1,AND(INDEX(DarlTilgStart,10)&gt;0,$E4462&lt;INDEX(DarlTilgStart,10))),0,MIN(MAX(0,$K4462-$L4462),$J4462)))</f>
      </c>
      <c r="N4462" s="43">
        <f>IF($I4462=0,0,MIN(SUMIFS(SondBetrag,SondDarl,10,SondDatum,"&gt;="&amp;$E4462,SondDatum,"&lt;="&amp;EOMONTH($E4462,0)),$J4462-$M4462))</f>
      </c>
      <c r="O4462" s="43">
        <f>IF($I4462=0,0,INDEX(DarlErsatzRate,10))</f>
      </c>
      <c r="P4462" s="43">
        <f>IF($I4462=0,0,$Q4461*INDEX(DarlErsatzZins,10))</f>
      </c>
      <c r="Q4462" s="43">
        <f>IF($I4462=0,0,$Q4461+$P4462+$O4462)</f>
      </c>
      <c r="R4462" s="43">
        <f>IF($I4462=0,0,$J4462-$M4462-$N4462)</f>
      </c>
    </row>
    <row r="4463">
      <c r="A4463"/>
      <c r="B4463">
        <v>10</v>
      </c>
      <c r="C4463" s="43">
        <f>INDEX(DarlObj,10)</f>
      </c>
      <c r="D4463">
        <v>140</v>
      </c>
      <c r="E4463" s="51">
        <f>IF(INDEX(DarlBelegt,10)=0,0,EOMONTH(INDEX(DarlAuszahlung,10),139)+1)</f>
      </c>
      <c r="F4463" s="43">
        <f>IF($E4463=0,0,YEAR($E4463))</f>
      </c>
      <c r="G4463" s="43">
        <f>IF(INDEX(DarlBindung,10)="",1,IF($E4463&lt;=INDEX(DarlBindung,10),1,0))</f>
      </c>
      <c r="H4463" s="43">
        <f>IF($G4463=1,INDEX(DarlSollzins,10),INDEX(DarlAnschluss,10))</f>
      </c>
      <c r="I4463" s="43">
        <f>IF(INDEX(DarlBelegt,10)=0,0,IF(INDEX(DarlOhneTilgung,10)=1,IF(INDEX(DarlBindung,10)="",1,$G4463),IF($J4463&gt;0.005,1,0)))</f>
      </c>
      <c r="J4463" s="43">
        <f>IF($I4462=0,0,$R4462)</f>
      </c>
      <c r="K4463" s="43">
        <f>IF($I4463=0,0,IF(INDEX(DarlOhneTilgung,10)=1,0,IF(AND(INDEX(DarlTilgStart,10)&gt;0,$E4463=INDEX(DarlTilgStart,10)),$J4463*($H4463+INDEX(DarlTilgung,10))/100/12,IF(AND($G4463=0,$G4462=1),MAX($K4462,$J4463*($H4463+1)/100/12),$K4462))))</f>
      </c>
      <c r="L4463" s="43">
        <f>IF($I4463=0,0,$J4463*$H4463/100/12)</f>
      </c>
      <c r="M4463" s="43">
        <f>IF($I4463=0,0,IF(OR(INDEX(DarlOhneTilgung,10)=1,AND(INDEX(DarlTilgStart,10)&gt;0,$E4463&lt;INDEX(DarlTilgStart,10))),0,MIN(MAX(0,$K4463-$L4463),$J4463)))</f>
      </c>
      <c r="N4463" s="43">
        <f>IF($I4463=0,0,MIN(SUMIFS(SondBetrag,SondDarl,10,SondDatum,"&gt;="&amp;$E4463,SondDatum,"&lt;="&amp;EOMONTH($E4463,0)),$J4463-$M4463))</f>
      </c>
      <c r="O4463" s="43">
        <f>IF($I4463=0,0,INDEX(DarlErsatzRate,10))</f>
      </c>
      <c r="P4463" s="43">
        <f>IF($I4463=0,0,$Q4462*INDEX(DarlErsatzZins,10))</f>
      </c>
      <c r="Q4463" s="43">
        <f>IF($I4463=0,0,$Q4462+$P4463+$O4463)</f>
      </c>
      <c r="R4463" s="43">
        <f>IF($I4463=0,0,$J4463-$M4463-$N4463)</f>
      </c>
    </row>
    <row r="4464">
      <c r="A4464"/>
      <c r="B4464">
        <v>10</v>
      </c>
      <c r="C4464" s="43">
        <f>INDEX(DarlObj,10)</f>
      </c>
      <c r="D4464">
        <v>141</v>
      </c>
      <c r="E4464" s="51">
        <f>IF(INDEX(DarlBelegt,10)=0,0,EOMONTH(INDEX(DarlAuszahlung,10),140)+1)</f>
      </c>
      <c r="F4464" s="43">
        <f>IF($E4464=0,0,YEAR($E4464))</f>
      </c>
      <c r="G4464" s="43">
        <f>IF(INDEX(DarlBindung,10)="",1,IF($E4464&lt;=INDEX(DarlBindung,10),1,0))</f>
      </c>
      <c r="H4464" s="43">
        <f>IF($G4464=1,INDEX(DarlSollzins,10),INDEX(DarlAnschluss,10))</f>
      </c>
      <c r="I4464" s="43">
        <f>IF(INDEX(DarlBelegt,10)=0,0,IF(INDEX(DarlOhneTilgung,10)=1,IF(INDEX(DarlBindung,10)="",1,$G4464),IF($J4464&gt;0.005,1,0)))</f>
      </c>
      <c r="J4464" s="43">
        <f>IF($I4463=0,0,$R4463)</f>
      </c>
      <c r="K4464" s="43">
        <f>IF($I4464=0,0,IF(INDEX(DarlOhneTilgung,10)=1,0,IF(AND(INDEX(DarlTilgStart,10)&gt;0,$E4464=INDEX(DarlTilgStart,10)),$J4464*($H4464+INDEX(DarlTilgung,10))/100/12,IF(AND($G4464=0,$G4463=1),MAX($K4463,$J4464*($H4464+1)/100/12),$K4463))))</f>
      </c>
      <c r="L4464" s="43">
        <f>IF($I4464=0,0,$J4464*$H4464/100/12)</f>
      </c>
      <c r="M4464" s="43">
        <f>IF($I4464=0,0,IF(OR(INDEX(DarlOhneTilgung,10)=1,AND(INDEX(DarlTilgStart,10)&gt;0,$E4464&lt;INDEX(DarlTilgStart,10))),0,MIN(MAX(0,$K4464-$L4464),$J4464)))</f>
      </c>
      <c r="N4464" s="43">
        <f>IF($I4464=0,0,MIN(SUMIFS(SondBetrag,SondDarl,10,SondDatum,"&gt;="&amp;$E4464,SondDatum,"&lt;="&amp;EOMONTH($E4464,0)),$J4464-$M4464))</f>
      </c>
      <c r="O4464" s="43">
        <f>IF($I4464=0,0,INDEX(DarlErsatzRate,10))</f>
      </c>
      <c r="P4464" s="43">
        <f>IF($I4464=0,0,$Q4463*INDEX(DarlErsatzZins,10))</f>
      </c>
      <c r="Q4464" s="43">
        <f>IF($I4464=0,0,$Q4463+$P4464+$O4464)</f>
      </c>
      <c r="R4464" s="43">
        <f>IF($I4464=0,0,$J4464-$M4464-$N4464)</f>
      </c>
    </row>
    <row r="4465">
      <c r="A4465"/>
      <c r="B4465">
        <v>10</v>
      </c>
      <c r="C4465" s="43">
        <f>INDEX(DarlObj,10)</f>
      </c>
      <c r="D4465">
        <v>142</v>
      </c>
      <c r="E4465" s="51">
        <f>IF(INDEX(DarlBelegt,10)=0,0,EOMONTH(INDEX(DarlAuszahlung,10),141)+1)</f>
      </c>
      <c r="F4465" s="43">
        <f>IF($E4465=0,0,YEAR($E4465))</f>
      </c>
      <c r="G4465" s="43">
        <f>IF(INDEX(DarlBindung,10)="",1,IF($E4465&lt;=INDEX(DarlBindung,10),1,0))</f>
      </c>
      <c r="H4465" s="43">
        <f>IF($G4465=1,INDEX(DarlSollzins,10),INDEX(DarlAnschluss,10))</f>
      </c>
      <c r="I4465" s="43">
        <f>IF(INDEX(DarlBelegt,10)=0,0,IF(INDEX(DarlOhneTilgung,10)=1,IF(INDEX(DarlBindung,10)="",1,$G4465),IF($J4465&gt;0.005,1,0)))</f>
      </c>
      <c r="J4465" s="43">
        <f>IF($I4464=0,0,$R4464)</f>
      </c>
      <c r="K4465" s="43">
        <f>IF($I4465=0,0,IF(INDEX(DarlOhneTilgung,10)=1,0,IF(AND(INDEX(DarlTilgStart,10)&gt;0,$E4465=INDEX(DarlTilgStart,10)),$J4465*($H4465+INDEX(DarlTilgung,10))/100/12,IF(AND($G4465=0,$G4464=1),MAX($K4464,$J4465*($H4465+1)/100/12),$K4464))))</f>
      </c>
      <c r="L4465" s="43">
        <f>IF($I4465=0,0,$J4465*$H4465/100/12)</f>
      </c>
      <c r="M4465" s="43">
        <f>IF($I4465=0,0,IF(OR(INDEX(DarlOhneTilgung,10)=1,AND(INDEX(DarlTilgStart,10)&gt;0,$E4465&lt;INDEX(DarlTilgStart,10))),0,MIN(MAX(0,$K4465-$L4465),$J4465)))</f>
      </c>
      <c r="N4465" s="43">
        <f>IF($I4465=0,0,MIN(SUMIFS(SondBetrag,SondDarl,10,SondDatum,"&gt;="&amp;$E4465,SondDatum,"&lt;="&amp;EOMONTH($E4465,0)),$J4465-$M4465))</f>
      </c>
      <c r="O4465" s="43">
        <f>IF($I4465=0,0,INDEX(DarlErsatzRate,10))</f>
      </c>
      <c r="P4465" s="43">
        <f>IF($I4465=0,0,$Q4464*INDEX(DarlErsatzZins,10))</f>
      </c>
      <c r="Q4465" s="43">
        <f>IF($I4465=0,0,$Q4464+$P4465+$O4465)</f>
      </c>
      <c r="R4465" s="43">
        <f>IF($I4465=0,0,$J4465-$M4465-$N4465)</f>
      </c>
    </row>
    <row r="4466">
      <c r="A4466"/>
      <c r="B4466">
        <v>10</v>
      </c>
      <c r="C4466" s="43">
        <f>INDEX(DarlObj,10)</f>
      </c>
      <c r="D4466">
        <v>143</v>
      </c>
      <c r="E4466" s="51">
        <f>IF(INDEX(DarlBelegt,10)=0,0,EOMONTH(INDEX(DarlAuszahlung,10),142)+1)</f>
      </c>
      <c r="F4466" s="43">
        <f>IF($E4466=0,0,YEAR($E4466))</f>
      </c>
      <c r="G4466" s="43">
        <f>IF(INDEX(DarlBindung,10)="",1,IF($E4466&lt;=INDEX(DarlBindung,10),1,0))</f>
      </c>
      <c r="H4466" s="43">
        <f>IF($G4466=1,INDEX(DarlSollzins,10),INDEX(DarlAnschluss,10))</f>
      </c>
      <c r="I4466" s="43">
        <f>IF(INDEX(DarlBelegt,10)=0,0,IF(INDEX(DarlOhneTilgung,10)=1,IF(INDEX(DarlBindung,10)="",1,$G4466),IF($J4466&gt;0.005,1,0)))</f>
      </c>
      <c r="J4466" s="43">
        <f>IF($I4465=0,0,$R4465)</f>
      </c>
      <c r="K4466" s="43">
        <f>IF($I4466=0,0,IF(INDEX(DarlOhneTilgung,10)=1,0,IF(AND(INDEX(DarlTilgStart,10)&gt;0,$E4466=INDEX(DarlTilgStart,10)),$J4466*($H4466+INDEX(DarlTilgung,10))/100/12,IF(AND($G4466=0,$G4465=1),MAX($K4465,$J4466*($H4466+1)/100/12),$K4465))))</f>
      </c>
      <c r="L4466" s="43">
        <f>IF($I4466=0,0,$J4466*$H4466/100/12)</f>
      </c>
      <c r="M4466" s="43">
        <f>IF($I4466=0,0,IF(OR(INDEX(DarlOhneTilgung,10)=1,AND(INDEX(DarlTilgStart,10)&gt;0,$E4466&lt;INDEX(DarlTilgStart,10))),0,MIN(MAX(0,$K4466-$L4466),$J4466)))</f>
      </c>
      <c r="N4466" s="43">
        <f>IF($I4466=0,0,MIN(SUMIFS(SondBetrag,SondDarl,10,SondDatum,"&gt;="&amp;$E4466,SondDatum,"&lt;="&amp;EOMONTH($E4466,0)),$J4466-$M4466))</f>
      </c>
      <c r="O4466" s="43">
        <f>IF($I4466=0,0,INDEX(DarlErsatzRate,10))</f>
      </c>
      <c r="P4466" s="43">
        <f>IF($I4466=0,0,$Q4465*INDEX(DarlErsatzZins,10))</f>
      </c>
      <c r="Q4466" s="43">
        <f>IF($I4466=0,0,$Q4465+$P4466+$O4466)</f>
      </c>
      <c r="R4466" s="43">
        <f>IF($I4466=0,0,$J4466-$M4466-$N4466)</f>
      </c>
    </row>
    <row r="4467">
      <c r="A4467"/>
      <c r="B4467">
        <v>10</v>
      </c>
      <c r="C4467" s="43">
        <f>INDEX(DarlObj,10)</f>
      </c>
      <c r="D4467">
        <v>144</v>
      </c>
      <c r="E4467" s="51">
        <f>IF(INDEX(DarlBelegt,10)=0,0,EOMONTH(INDEX(DarlAuszahlung,10),143)+1)</f>
      </c>
      <c r="F4467" s="43">
        <f>IF($E4467=0,0,YEAR($E4467))</f>
      </c>
      <c r="G4467" s="43">
        <f>IF(INDEX(DarlBindung,10)="",1,IF($E4467&lt;=INDEX(DarlBindung,10),1,0))</f>
      </c>
      <c r="H4467" s="43">
        <f>IF($G4467=1,INDEX(DarlSollzins,10),INDEX(DarlAnschluss,10))</f>
      </c>
      <c r="I4467" s="43">
        <f>IF(INDEX(DarlBelegt,10)=0,0,IF(INDEX(DarlOhneTilgung,10)=1,IF(INDEX(DarlBindung,10)="",1,$G4467),IF($J4467&gt;0.005,1,0)))</f>
      </c>
      <c r="J4467" s="43">
        <f>IF($I4466=0,0,$R4466)</f>
      </c>
      <c r="K4467" s="43">
        <f>IF($I4467=0,0,IF(INDEX(DarlOhneTilgung,10)=1,0,IF(AND(INDEX(DarlTilgStart,10)&gt;0,$E4467=INDEX(DarlTilgStart,10)),$J4467*($H4467+INDEX(DarlTilgung,10))/100/12,IF(AND($G4467=0,$G4466=1),MAX($K4466,$J4467*($H4467+1)/100/12),$K4466))))</f>
      </c>
      <c r="L4467" s="43">
        <f>IF($I4467=0,0,$J4467*$H4467/100/12)</f>
      </c>
      <c r="M4467" s="43">
        <f>IF($I4467=0,0,IF(OR(INDEX(DarlOhneTilgung,10)=1,AND(INDEX(DarlTilgStart,10)&gt;0,$E4467&lt;INDEX(DarlTilgStart,10))),0,MIN(MAX(0,$K4467-$L4467),$J4467)))</f>
      </c>
      <c r="N4467" s="43">
        <f>IF($I4467=0,0,MIN(SUMIFS(SondBetrag,SondDarl,10,SondDatum,"&gt;="&amp;$E4467,SondDatum,"&lt;="&amp;EOMONTH($E4467,0)),$J4467-$M4467))</f>
      </c>
      <c r="O4467" s="43">
        <f>IF($I4467=0,0,INDEX(DarlErsatzRate,10))</f>
      </c>
      <c r="P4467" s="43">
        <f>IF($I4467=0,0,$Q4466*INDEX(DarlErsatzZins,10))</f>
      </c>
      <c r="Q4467" s="43">
        <f>IF($I4467=0,0,$Q4466+$P4467+$O4467)</f>
      </c>
      <c r="R4467" s="43">
        <f>IF($I4467=0,0,$J4467-$M4467-$N4467)</f>
      </c>
    </row>
    <row r="4468">
      <c r="A4468"/>
      <c r="B4468">
        <v>10</v>
      </c>
      <c r="C4468" s="43">
        <f>INDEX(DarlObj,10)</f>
      </c>
      <c r="D4468">
        <v>145</v>
      </c>
      <c r="E4468" s="51">
        <f>IF(INDEX(DarlBelegt,10)=0,0,EOMONTH(INDEX(DarlAuszahlung,10),144)+1)</f>
      </c>
      <c r="F4468" s="43">
        <f>IF($E4468=0,0,YEAR($E4468))</f>
      </c>
      <c r="G4468" s="43">
        <f>IF(INDEX(DarlBindung,10)="",1,IF($E4468&lt;=INDEX(DarlBindung,10),1,0))</f>
      </c>
      <c r="H4468" s="43">
        <f>IF($G4468=1,INDEX(DarlSollzins,10),INDEX(DarlAnschluss,10))</f>
      </c>
      <c r="I4468" s="43">
        <f>IF(INDEX(DarlBelegt,10)=0,0,IF(INDEX(DarlOhneTilgung,10)=1,IF(INDEX(DarlBindung,10)="",1,$G4468),IF($J4468&gt;0.005,1,0)))</f>
      </c>
      <c r="J4468" s="43">
        <f>IF($I4467=0,0,$R4467)</f>
      </c>
      <c r="K4468" s="43">
        <f>IF($I4468=0,0,IF(INDEX(DarlOhneTilgung,10)=1,0,IF(AND(INDEX(DarlTilgStart,10)&gt;0,$E4468=INDEX(DarlTilgStart,10)),$J4468*($H4468+INDEX(DarlTilgung,10))/100/12,IF(AND($G4468=0,$G4467=1),MAX($K4467,$J4468*($H4468+1)/100/12),$K4467))))</f>
      </c>
      <c r="L4468" s="43">
        <f>IF($I4468=0,0,$J4468*$H4468/100/12)</f>
      </c>
      <c r="M4468" s="43">
        <f>IF($I4468=0,0,IF(OR(INDEX(DarlOhneTilgung,10)=1,AND(INDEX(DarlTilgStart,10)&gt;0,$E4468&lt;INDEX(DarlTilgStart,10))),0,MIN(MAX(0,$K4468-$L4468),$J4468)))</f>
      </c>
      <c r="N4468" s="43">
        <f>IF($I4468=0,0,MIN(SUMIFS(SondBetrag,SondDarl,10,SondDatum,"&gt;="&amp;$E4468,SondDatum,"&lt;="&amp;EOMONTH($E4468,0)),$J4468-$M4468))</f>
      </c>
      <c r="O4468" s="43">
        <f>IF($I4468=0,0,INDEX(DarlErsatzRate,10))</f>
      </c>
      <c r="P4468" s="43">
        <f>IF($I4468=0,0,$Q4467*INDEX(DarlErsatzZins,10))</f>
      </c>
      <c r="Q4468" s="43">
        <f>IF($I4468=0,0,$Q4467+$P4468+$O4468)</f>
      </c>
      <c r="R4468" s="43">
        <f>IF($I4468=0,0,$J4468-$M4468-$N4468)</f>
      </c>
    </row>
    <row r="4469">
      <c r="A4469"/>
      <c r="B4469">
        <v>10</v>
      </c>
      <c r="C4469" s="43">
        <f>INDEX(DarlObj,10)</f>
      </c>
      <c r="D4469">
        <v>146</v>
      </c>
      <c r="E4469" s="51">
        <f>IF(INDEX(DarlBelegt,10)=0,0,EOMONTH(INDEX(DarlAuszahlung,10),145)+1)</f>
      </c>
      <c r="F4469" s="43">
        <f>IF($E4469=0,0,YEAR($E4469))</f>
      </c>
      <c r="G4469" s="43">
        <f>IF(INDEX(DarlBindung,10)="",1,IF($E4469&lt;=INDEX(DarlBindung,10),1,0))</f>
      </c>
      <c r="H4469" s="43">
        <f>IF($G4469=1,INDEX(DarlSollzins,10),INDEX(DarlAnschluss,10))</f>
      </c>
      <c r="I4469" s="43">
        <f>IF(INDEX(DarlBelegt,10)=0,0,IF(INDEX(DarlOhneTilgung,10)=1,IF(INDEX(DarlBindung,10)="",1,$G4469),IF($J4469&gt;0.005,1,0)))</f>
      </c>
      <c r="J4469" s="43">
        <f>IF($I4468=0,0,$R4468)</f>
      </c>
      <c r="K4469" s="43">
        <f>IF($I4469=0,0,IF(INDEX(DarlOhneTilgung,10)=1,0,IF(AND(INDEX(DarlTilgStart,10)&gt;0,$E4469=INDEX(DarlTilgStart,10)),$J4469*($H4469+INDEX(DarlTilgung,10))/100/12,IF(AND($G4469=0,$G4468=1),MAX($K4468,$J4469*($H4469+1)/100/12),$K4468))))</f>
      </c>
      <c r="L4469" s="43">
        <f>IF($I4469=0,0,$J4469*$H4469/100/12)</f>
      </c>
      <c r="M4469" s="43">
        <f>IF($I4469=0,0,IF(OR(INDEX(DarlOhneTilgung,10)=1,AND(INDEX(DarlTilgStart,10)&gt;0,$E4469&lt;INDEX(DarlTilgStart,10))),0,MIN(MAX(0,$K4469-$L4469),$J4469)))</f>
      </c>
      <c r="N4469" s="43">
        <f>IF($I4469=0,0,MIN(SUMIFS(SondBetrag,SondDarl,10,SondDatum,"&gt;="&amp;$E4469,SondDatum,"&lt;="&amp;EOMONTH($E4469,0)),$J4469-$M4469))</f>
      </c>
      <c r="O4469" s="43">
        <f>IF($I4469=0,0,INDEX(DarlErsatzRate,10))</f>
      </c>
      <c r="P4469" s="43">
        <f>IF($I4469=0,0,$Q4468*INDEX(DarlErsatzZins,10))</f>
      </c>
      <c r="Q4469" s="43">
        <f>IF($I4469=0,0,$Q4468+$P4469+$O4469)</f>
      </c>
      <c r="R4469" s="43">
        <f>IF($I4469=0,0,$J4469-$M4469-$N4469)</f>
      </c>
    </row>
    <row r="4470">
      <c r="A4470"/>
      <c r="B4470">
        <v>10</v>
      </c>
      <c r="C4470" s="43">
        <f>INDEX(DarlObj,10)</f>
      </c>
      <c r="D4470">
        <v>147</v>
      </c>
      <c r="E4470" s="51">
        <f>IF(INDEX(DarlBelegt,10)=0,0,EOMONTH(INDEX(DarlAuszahlung,10),146)+1)</f>
      </c>
      <c r="F4470" s="43">
        <f>IF($E4470=0,0,YEAR($E4470))</f>
      </c>
      <c r="G4470" s="43">
        <f>IF(INDEX(DarlBindung,10)="",1,IF($E4470&lt;=INDEX(DarlBindung,10),1,0))</f>
      </c>
      <c r="H4470" s="43">
        <f>IF($G4470=1,INDEX(DarlSollzins,10),INDEX(DarlAnschluss,10))</f>
      </c>
      <c r="I4470" s="43">
        <f>IF(INDEX(DarlBelegt,10)=0,0,IF(INDEX(DarlOhneTilgung,10)=1,IF(INDEX(DarlBindung,10)="",1,$G4470),IF($J4470&gt;0.005,1,0)))</f>
      </c>
      <c r="J4470" s="43">
        <f>IF($I4469=0,0,$R4469)</f>
      </c>
      <c r="K4470" s="43">
        <f>IF($I4470=0,0,IF(INDEX(DarlOhneTilgung,10)=1,0,IF(AND(INDEX(DarlTilgStart,10)&gt;0,$E4470=INDEX(DarlTilgStart,10)),$J4470*($H4470+INDEX(DarlTilgung,10))/100/12,IF(AND($G4470=0,$G4469=1),MAX($K4469,$J4470*($H4470+1)/100/12),$K4469))))</f>
      </c>
      <c r="L4470" s="43">
        <f>IF($I4470=0,0,$J4470*$H4470/100/12)</f>
      </c>
      <c r="M4470" s="43">
        <f>IF($I4470=0,0,IF(OR(INDEX(DarlOhneTilgung,10)=1,AND(INDEX(DarlTilgStart,10)&gt;0,$E4470&lt;INDEX(DarlTilgStart,10))),0,MIN(MAX(0,$K4470-$L4470),$J4470)))</f>
      </c>
      <c r="N4470" s="43">
        <f>IF($I4470=0,0,MIN(SUMIFS(SondBetrag,SondDarl,10,SondDatum,"&gt;="&amp;$E4470,SondDatum,"&lt;="&amp;EOMONTH($E4470,0)),$J4470-$M4470))</f>
      </c>
      <c r="O4470" s="43">
        <f>IF($I4470=0,0,INDEX(DarlErsatzRate,10))</f>
      </c>
      <c r="P4470" s="43">
        <f>IF($I4470=0,0,$Q4469*INDEX(DarlErsatzZins,10))</f>
      </c>
      <c r="Q4470" s="43">
        <f>IF($I4470=0,0,$Q4469+$P4470+$O4470)</f>
      </c>
      <c r="R4470" s="43">
        <f>IF($I4470=0,0,$J4470-$M4470-$N4470)</f>
      </c>
    </row>
    <row r="4471">
      <c r="A4471"/>
      <c r="B4471">
        <v>10</v>
      </c>
      <c r="C4471" s="43">
        <f>INDEX(DarlObj,10)</f>
      </c>
      <c r="D4471">
        <v>148</v>
      </c>
      <c r="E4471" s="51">
        <f>IF(INDEX(DarlBelegt,10)=0,0,EOMONTH(INDEX(DarlAuszahlung,10),147)+1)</f>
      </c>
      <c r="F4471" s="43">
        <f>IF($E4471=0,0,YEAR($E4471))</f>
      </c>
      <c r="G4471" s="43">
        <f>IF(INDEX(DarlBindung,10)="",1,IF($E4471&lt;=INDEX(DarlBindung,10),1,0))</f>
      </c>
      <c r="H4471" s="43">
        <f>IF($G4471=1,INDEX(DarlSollzins,10),INDEX(DarlAnschluss,10))</f>
      </c>
      <c r="I4471" s="43">
        <f>IF(INDEX(DarlBelegt,10)=0,0,IF(INDEX(DarlOhneTilgung,10)=1,IF(INDEX(DarlBindung,10)="",1,$G4471),IF($J4471&gt;0.005,1,0)))</f>
      </c>
      <c r="J4471" s="43">
        <f>IF($I4470=0,0,$R4470)</f>
      </c>
      <c r="K4471" s="43">
        <f>IF($I4471=0,0,IF(INDEX(DarlOhneTilgung,10)=1,0,IF(AND(INDEX(DarlTilgStart,10)&gt;0,$E4471=INDEX(DarlTilgStart,10)),$J4471*($H4471+INDEX(DarlTilgung,10))/100/12,IF(AND($G4471=0,$G4470=1),MAX($K4470,$J4471*($H4471+1)/100/12),$K4470))))</f>
      </c>
      <c r="L4471" s="43">
        <f>IF($I4471=0,0,$J4471*$H4471/100/12)</f>
      </c>
      <c r="M4471" s="43">
        <f>IF($I4471=0,0,IF(OR(INDEX(DarlOhneTilgung,10)=1,AND(INDEX(DarlTilgStart,10)&gt;0,$E4471&lt;INDEX(DarlTilgStart,10))),0,MIN(MAX(0,$K4471-$L4471),$J4471)))</f>
      </c>
      <c r="N4471" s="43">
        <f>IF($I4471=0,0,MIN(SUMIFS(SondBetrag,SondDarl,10,SondDatum,"&gt;="&amp;$E4471,SondDatum,"&lt;="&amp;EOMONTH($E4471,0)),$J4471-$M4471))</f>
      </c>
      <c r="O4471" s="43">
        <f>IF($I4471=0,0,INDEX(DarlErsatzRate,10))</f>
      </c>
      <c r="P4471" s="43">
        <f>IF($I4471=0,0,$Q4470*INDEX(DarlErsatzZins,10))</f>
      </c>
      <c r="Q4471" s="43">
        <f>IF($I4471=0,0,$Q4470+$P4471+$O4471)</f>
      </c>
      <c r="R4471" s="43">
        <f>IF($I4471=0,0,$J4471-$M4471-$N4471)</f>
      </c>
    </row>
    <row r="4472">
      <c r="A4472"/>
      <c r="B4472">
        <v>10</v>
      </c>
      <c r="C4472" s="43">
        <f>INDEX(DarlObj,10)</f>
      </c>
      <c r="D4472">
        <v>149</v>
      </c>
      <c r="E4472" s="51">
        <f>IF(INDEX(DarlBelegt,10)=0,0,EOMONTH(INDEX(DarlAuszahlung,10),148)+1)</f>
      </c>
      <c r="F4472" s="43">
        <f>IF($E4472=0,0,YEAR($E4472))</f>
      </c>
      <c r="G4472" s="43">
        <f>IF(INDEX(DarlBindung,10)="",1,IF($E4472&lt;=INDEX(DarlBindung,10),1,0))</f>
      </c>
      <c r="H4472" s="43">
        <f>IF($G4472=1,INDEX(DarlSollzins,10),INDEX(DarlAnschluss,10))</f>
      </c>
      <c r="I4472" s="43">
        <f>IF(INDEX(DarlBelegt,10)=0,0,IF(INDEX(DarlOhneTilgung,10)=1,IF(INDEX(DarlBindung,10)="",1,$G4472),IF($J4472&gt;0.005,1,0)))</f>
      </c>
      <c r="J4472" s="43">
        <f>IF($I4471=0,0,$R4471)</f>
      </c>
      <c r="K4472" s="43">
        <f>IF($I4472=0,0,IF(INDEX(DarlOhneTilgung,10)=1,0,IF(AND(INDEX(DarlTilgStart,10)&gt;0,$E4472=INDEX(DarlTilgStart,10)),$J4472*($H4472+INDEX(DarlTilgung,10))/100/12,IF(AND($G4472=0,$G4471=1),MAX($K4471,$J4472*($H4472+1)/100/12),$K4471))))</f>
      </c>
      <c r="L4472" s="43">
        <f>IF($I4472=0,0,$J4472*$H4472/100/12)</f>
      </c>
      <c r="M4472" s="43">
        <f>IF($I4472=0,0,IF(OR(INDEX(DarlOhneTilgung,10)=1,AND(INDEX(DarlTilgStart,10)&gt;0,$E4472&lt;INDEX(DarlTilgStart,10))),0,MIN(MAX(0,$K4472-$L4472),$J4472)))</f>
      </c>
      <c r="N4472" s="43">
        <f>IF($I4472=0,0,MIN(SUMIFS(SondBetrag,SondDarl,10,SondDatum,"&gt;="&amp;$E4472,SondDatum,"&lt;="&amp;EOMONTH($E4472,0)),$J4472-$M4472))</f>
      </c>
      <c r="O4472" s="43">
        <f>IF($I4472=0,0,INDEX(DarlErsatzRate,10))</f>
      </c>
      <c r="P4472" s="43">
        <f>IF($I4472=0,0,$Q4471*INDEX(DarlErsatzZins,10))</f>
      </c>
      <c r="Q4472" s="43">
        <f>IF($I4472=0,0,$Q4471+$P4472+$O4472)</f>
      </c>
      <c r="R4472" s="43">
        <f>IF($I4472=0,0,$J4472-$M4472-$N4472)</f>
      </c>
    </row>
    <row r="4473">
      <c r="A4473"/>
      <c r="B4473">
        <v>10</v>
      </c>
      <c r="C4473" s="43">
        <f>INDEX(DarlObj,10)</f>
      </c>
      <c r="D4473">
        <v>150</v>
      </c>
      <c r="E4473" s="51">
        <f>IF(INDEX(DarlBelegt,10)=0,0,EOMONTH(INDEX(DarlAuszahlung,10),149)+1)</f>
      </c>
      <c r="F4473" s="43">
        <f>IF($E4473=0,0,YEAR($E4473))</f>
      </c>
      <c r="G4473" s="43">
        <f>IF(INDEX(DarlBindung,10)="",1,IF($E4473&lt;=INDEX(DarlBindung,10),1,0))</f>
      </c>
      <c r="H4473" s="43">
        <f>IF($G4473=1,INDEX(DarlSollzins,10),INDEX(DarlAnschluss,10))</f>
      </c>
      <c r="I4473" s="43">
        <f>IF(INDEX(DarlBelegt,10)=0,0,IF(INDEX(DarlOhneTilgung,10)=1,IF(INDEX(DarlBindung,10)="",1,$G4473),IF($J4473&gt;0.005,1,0)))</f>
      </c>
      <c r="J4473" s="43">
        <f>IF($I4472=0,0,$R4472)</f>
      </c>
      <c r="K4473" s="43">
        <f>IF($I4473=0,0,IF(INDEX(DarlOhneTilgung,10)=1,0,IF(AND(INDEX(DarlTilgStart,10)&gt;0,$E4473=INDEX(DarlTilgStart,10)),$J4473*($H4473+INDEX(DarlTilgung,10))/100/12,IF(AND($G4473=0,$G4472=1),MAX($K4472,$J4473*($H4473+1)/100/12),$K4472))))</f>
      </c>
      <c r="L4473" s="43">
        <f>IF($I4473=0,0,$J4473*$H4473/100/12)</f>
      </c>
      <c r="M4473" s="43">
        <f>IF($I4473=0,0,IF(OR(INDEX(DarlOhneTilgung,10)=1,AND(INDEX(DarlTilgStart,10)&gt;0,$E4473&lt;INDEX(DarlTilgStart,10))),0,MIN(MAX(0,$K4473-$L4473),$J4473)))</f>
      </c>
      <c r="N4473" s="43">
        <f>IF($I4473=0,0,MIN(SUMIFS(SondBetrag,SondDarl,10,SondDatum,"&gt;="&amp;$E4473,SondDatum,"&lt;="&amp;EOMONTH($E4473,0)),$J4473-$M4473))</f>
      </c>
      <c r="O4473" s="43">
        <f>IF($I4473=0,0,INDEX(DarlErsatzRate,10))</f>
      </c>
      <c r="P4473" s="43">
        <f>IF($I4473=0,0,$Q4472*INDEX(DarlErsatzZins,10))</f>
      </c>
      <c r="Q4473" s="43">
        <f>IF($I4473=0,0,$Q4472+$P4473+$O4473)</f>
      </c>
      <c r="R4473" s="43">
        <f>IF($I4473=0,0,$J4473-$M4473-$N4473)</f>
      </c>
    </row>
    <row r="4474">
      <c r="A4474"/>
      <c r="B4474">
        <v>10</v>
      </c>
      <c r="C4474" s="43">
        <f>INDEX(DarlObj,10)</f>
      </c>
      <c r="D4474">
        <v>151</v>
      </c>
      <c r="E4474" s="51">
        <f>IF(INDEX(DarlBelegt,10)=0,0,EOMONTH(INDEX(DarlAuszahlung,10),150)+1)</f>
      </c>
      <c r="F4474" s="43">
        <f>IF($E4474=0,0,YEAR($E4474))</f>
      </c>
      <c r="G4474" s="43">
        <f>IF(INDEX(DarlBindung,10)="",1,IF($E4474&lt;=INDEX(DarlBindung,10),1,0))</f>
      </c>
      <c r="H4474" s="43">
        <f>IF($G4474=1,INDEX(DarlSollzins,10),INDEX(DarlAnschluss,10))</f>
      </c>
      <c r="I4474" s="43">
        <f>IF(INDEX(DarlBelegt,10)=0,0,IF(INDEX(DarlOhneTilgung,10)=1,IF(INDEX(DarlBindung,10)="",1,$G4474),IF($J4474&gt;0.005,1,0)))</f>
      </c>
      <c r="J4474" s="43">
        <f>IF($I4473=0,0,$R4473)</f>
      </c>
      <c r="K4474" s="43">
        <f>IF($I4474=0,0,IF(INDEX(DarlOhneTilgung,10)=1,0,IF(AND(INDEX(DarlTilgStart,10)&gt;0,$E4474=INDEX(DarlTilgStart,10)),$J4474*($H4474+INDEX(DarlTilgung,10))/100/12,IF(AND($G4474=0,$G4473=1),MAX($K4473,$J4474*($H4474+1)/100/12),$K4473))))</f>
      </c>
      <c r="L4474" s="43">
        <f>IF($I4474=0,0,$J4474*$H4474/100/12)</f>
      </c>
      <c r="M4474" s="43">
        <f>IF($I4474=0,0,IF(OR(INDEX(DarlOhneTilgung,10)=1,AND(INDEX(DarlTilgStart,10)&gt;0,$E4474&lt;INDEX(DarlTilgStart,10))),0,MIN(MAX(0,$K4474-$L4474),$J4474)))</f>
      </c>
      <c r="N4474" s="43">
        <f>IF($I4474=0,0,MIN(SUMIFS(SondBetrag,SondDarl,10,SondDatum,"&gt;="&amp;$E4474,SondDatum,"&lt;="&amp;EOMONTH($E4474,0)),$J4474-$M4474))</f>
      </c>
      <c r="O4474" s="43">
        <f>IF($I4474=0,0,INDEX(DarlErsatzRate,10))</f>
      </c>
      <c r="P4474" s="43">
        <f>IF($I4474=0,0,$Q4473*INDEX(DarlErsatzZins,10))</f>
      </c>
      <c r="Q4474" s="43">
        <f>IF($I4474=0,0,$Q4473+$P4474+$O4474)</f>
      </c>
      <c r="R4474" s="43">
        <f>IF($I4474=0,0,$J4474-$M4474-$N4474)</f>
      </c>
    </row>
    <row r="4475">
      <c r="A4475"/>
      <c r="B4475">
        <v>10</v>
      </c>
      <c r="C4475" s="43">
        <f>INDEX(DarlObj,10)</f>
      </c>
      <c r="D4475">
        <v>152</v>
      </c>
      <c r="E4475" s="51">
        <f>IF(INDEX(DarlBelegt,10)=0,0,EOMONTH(INDEX(DarlAuszahlung,10),151)+1)</f>
      </c>
      <c r="F4475" s="43">
        <f>IF($E4475=0,0,YEAR($E4475))</f>
      </c>
      <c r="G4475" s="43">
        <f>IF(INDEX(DarlBindung,10)="",1,IF($E4475&lt;=INDEX(DarlBindung,10),1,0))</f>
      </c>
      <c r="H4475" s="43">
        <f>IF($G4475=1,INDEX(DarlSollzins,10),INDEX(DarlAnschluss,10))</f>
      </c>
      <c r="I4475" s="43">
        <f>IF(INDEX(DarlBelegt,10)=0,0,IF(INDEX(DarlOhneTilgung,10)=1,IF(INDEX(DarlBindung,10)="",1,$G4475),IF($J4475&gt;0.005,1,0)))</f>
      </c>
      <c r="J4475" s="43">
        <f>IF($I4474=0,0,$R4474)</f>
      </c>
      <c r="K4475" s="43">
        <f>IF($I4475=0,0,IF(INDEX(DarlOhneTilgung,10)=1,0,IF(AND(INDEX(DarlTilgStart,10)&gt;0,$E4475=INDEX(DarlTilgStart,10)),$J4475*($H4475+INDEX(DarlTilgung,10))/100/12,IF(AND($G4475=0,$G4474=1),MAX($K4474,$J4475*($H4475+1)/100/12),$K4474))))</f>
      </c>
      <c r="L4475" s="43">
        <f>IF($I4475=0,0,$J4475*$H4475/100/12)</f>
      </c>
      <c r="M4475" s="43">
        <f>IF($I4475=0,0,IF(OR(INDEX(DarlOhneTilgung,10)=1,AND(INDEX(DarlTilgStart,10)&gt;0,$E4475&lt;INDEX(DarlTilgStart,10))),0,MIN(MAX(0,$K4475-$L4475),$J4475)))</f>
      </c>
      <c r="N4475" s="43">
        <f>IF($I4475=0,0,MIN(SUMIFS(SondBetrag,SondDarl,10,SondDatum,"&gt;="&amp;$E4475,SondDatum,"&lt;="&amp;EOMONTH($E4475,0)),$J4475-$M4475))</f>
      </c>
      <c r="O4475" s="43">
        <f>IF($I4475=0,0,INDEX(DarlErsatzRate,10))</f>
      </c>
      <c r="P4475" s="43">
        <f>IF($I4475=0,0,$Q4474*INDEX(DarlErsatzZins,10))</f>
      </c>
      <c r="Q4475" s="43">
        <f>IF($I4475=0,0,$Q4474+$P4475+$O4475)</f>
      </c>
      <c r="R4475" s="43">
        <f>IF($I4475=0,0,$J4475-$M4475-$N4475)</f>
      </c>
    </row>
    <row r="4476">
      <c r="A4476"/>
      <c r="B4476">
        <v>10</v>
      </c>
      <c r="C4476" s="43">
        <f>INDEX(DarlObj,10)</f>
      </c>
      <c r="D4476">
        <v>153</v>
      </c>
      <c r="E4476" s="51">
        <f>IF(INDEX(DarlBelegt,10)=0,0,EOMONTH(INDEX(DarlAuszahlung,10),152)+1)</f>
      </c>
      <c r="F4476" s="43">
        <f>IF($E4476=0,0,YEAR($E4476))</f>
      </c>
      <c r="G4476" s="43">
        <f>IF(INDEX(DarlBindung,10)="",1,IF($E4476&lt;=INDEX(DarlBindung,10),1,0))</f>
      </c>
      <c r="H4476" s="43">
        <f>IF($G4476=1,INDEX(DarlSollzins,10),INDEX(DarlAnschluss,10))</f>
      </c>
      <c r="I4476" s="43">
        <f>IF(INDEX(DarlBelegt,10)=0,0,IF(INDEX(DarlOhneTilgung,10)=1,IF(INDEX(DarlBindung,10)="",1,$G4476),IF($J4476&gt;0.005,1,0)))</f>
      </c>
      <c r="J4476" s="43">
        <f>IF($I4475=0,0,$R4475)</f>
      </c>
      <c r="K4476" s="43">
        <f>IF($I4476=0,0,IF(INDEX(DarlOhneTilgung,10)=1,0,IF(AND(INDEX(DarlTilgStart,10)&gt;0,$E4476=INDEX(DarlTilgStart,10)),$J4476*($H4476+INDEX(DarlTilgung,10))/100/12,IF(AND($G4476=0,$G4475=1),MAX($K4475,$J4476*($H4476+1)/100/12),$K4475))))</f>
      </c>
      <c r="L4476" s="43">
        <f>IF($I4476=0,0,$J4476*$H4476/100/12)</f>
      </c>
      <c r="M4476" s="43">
        <f>IF($I4476=0,0,IF(OR(INDEX(DarlOhneTilgung,10)=1,AND(INDEX(DarlTilgStart,10)&gt;0,$E4476&lt;INDEX(DarlTilgStart,10))),0,MIN(MAX(0,$K4476-$L4476),$J4476)))</f>
      </c>
      <c r="N4476" s="43">
        <f>IF($I4476=0,0,MIN(SUMIFS(SondBetrag,SondDarl,10,SondDatum,"&gt;="&amp;$E4476,SondDatum,"&lt;="&amp;EOMONTH($E4476,0)),$J4476-$M4476))</f>
      </c>
      <c r="O4476" s="43">
        <f>IF($I4476=0,0,INDEX(DarlErsatzRate,10))</f>
      </c>
      <c r="P4476" s="43">
        <f>IF($I4476=0,0,$Q4475*INDEX(DarlErsatzZins,10))</f>
      </c>
      <c r="Q4476" s="43">
        <f>IF($I4476=0,0,$Q4475+$P4476+$O4476)</f>
      </c>
      <c r="R4476" s="43">
        <f>IF($I4476=0,0,$J4476-$M4476-$N4476)</f>
      </c>
    </row>
    <row r="4477">
      <c r="A4477"/>
      <c r="B4477">
        <v>10</v>
      </c>
      <c r="C4477" s="43">
        <f>INDEX(DarlObj,10)</f>
      </c>
      <c r="D4477">
        <v>154</v>
      </c>
      <c r="E4477" s="51">
        <f>IF(INDEX(DarlBelegt,10)=0,0,EOMONTH(INDEX(DarlAuszahlung,10),153)+1)</f>
      </c>
      <c r="F4477" s="43">
        <f>IF($E4477=0,0,YEAR($E4477))</f>
      </c>
      <c r="G4477" s="43">
        <f>IF(INDEX(DarlBindung,10)="",1,IF($E4477&lt;=INDEX(DarlBindung,10),1,0))</f>
      </c>
      <c r="H4477" s="43">
        <f>IF($G4477=1,INDEX(DarlSollzins,10),INDEX(DarlAnschluss,10))</f>
      </c>
      <c r="I4477" s="43">
        <f>IF(INDEX(DarlBelegt,10)=0,0,IF(INDEX(DarlOhneTilgung,10)=1,IF(INDEX(DarlBindung,10)="",1,$G4477),IF($J4477&gt;0.005,1,0)))</f>
      </c>
      <c r="J4477" s="43">
        <f>IF($I4476=0,0,$R4476)</f>
      </c>
      <c r="K4477" s="43">
        <f>IF($I4477=0,0,IF(INDEX(DarlOhneTilgung,10)=1,0,IF(AND(INDEX(DarlTilgStart,10)&gt;0,$E4477=INDEX(DarlTilgStart,10)),$J4477*($H4477+INDEX(DarlTilgung,10))/100/12,IF(AND($G4477=0,$G4476=1),MAX($K4476,$J4477*($H4477+1)/100/12),$K4476))))</f>
      </c>
      <c r="L4477" s="43">
        <f>IF($I4477=0,0,$J4477*$H4477/100/12)</f>
      </c>
      <c r="M4477" s="43">
        <f>IF($I4477=0,0,IF(OR(INDEX(DarlOhneTilgung,10)=1,AND(INDEX(DarlTilgStart,10)&gt;0,$E4477&lt;INDEX(DarlTilgStart,10))),0,MIN(MAX(0,$K4477-$L4477),$J4477)))</f>
      </c>
      <c r="N4477" s="43">
        <f>IF($I4477=0,0,MIN(SUMIFS(SondBetrag,SondDarl,10,SondDatum,"&gt;="&amp;$E4477,SondDatum,"&lt;="&amp;EOMONTH($E4477,0)),$J4477-$M4477))</f>
      </c>
      <c r="O4477" s="43">
        <f>IF($I4477=0,0,INDEX(DarlErsatzRate,10))</f>
      </c>
      <c r="P4477" s="43">
        <f>IF($I4477=0,0,$Q4476*INDEX(DarlErsatzZins,10))</f>
      </c>
      <c r="Q4477" s="43">
        <f>IF($I4477=0,0,$Q4476+$P4477+$O4477)</f>
      </c>
      <c r="R4477" s="43">
        <f>IF($I4477=0,0,$J4477-$M4477-$N4477)</f>
      </c>
    </row>
    <row r="4478">
      <c r="A4478"/>
      <c r="B4478">
        <v>10</v>
      </c>
      <c r="C4478" s="43">
        <f>INDEX(DarlObj,10)</f>
      </c>
      <c r="D4478">
        <v>155</v>
      </c>
      <c r="E4478" s="51">
        <f>IF(INDEX(DarlBelegt,10)=0,0,EOMONTH(INDEX(DarlAuszahlung,10),154)+1)</f>
      </c>
      <c r="F4478" s="43">
        <f>IF($E4478=0,0,YEAR($E4478))</f>
      </c>
      <c r="G4478" s="43">
        <f>IF(INDEX(DarlBindung,10)="",1,IF($E4478&lt;=INDEX(DarlBindung,10),1,0))</f>
      </c>
      <c r="H4478" s="43">
        <f>IF($G4478=1,INDEX(DarlSollzins,10),INDEX(DarlAnschluss,10))</f>
      </c>
      <c r="I4478" s="43">
        <f>IF(INDEX(DarlBelegt,10)=0,0,IF(INDEX(DarlOhneTilgung,10)=1,IF(INDEX(DarlBindung,10)="",1,$G4478),IF($J4478&gt;0.005,1,0)))</f>
      </c>
      <c r="J4478" s="43">
        <f>IF($I4477=0,0,$R4477)</f>
      </c>
      <c r="K4478" s="43">
        <f>IF($I4478=0,0,IF(INDEX(DarlOhneTilgung,10)=1,0,IF(AND(INDEX(DarlTilgStart,10)&gt;0,$E4478=INDEX(DarlTilgStart,10)),$J4478*($H4478+INDEX(DarlTilgung,10))/100/12,IF(AND($G4478=0,$G4477=1),MAX($K4477,$J4478*($H4478+1)/100/12),$K4477))))</f>
      </c>
      <c r="L4478" s="43">
        <f>IF($I4478=0,0,$J4478*$H4478/100/12)</f>
      </c>
      <c r="M4478" s="43">
        <f>IF($I4478=0,0,IF(OR(INDEX(DarlOhneTilgung,10)=1,AND(INDEX(DarlTilgStart,10)&gt;0,$E4478&lt;INDEX(DarlTilgStart,10))),0,MIN(MAX(0,$K4478-$L4478),$J4478)))</f>
      </c>
      <c r="N4478" s="43">
        <f>IF($I4478=0,0,MIN(SUMIFS(SondBetrag,SondDarl,10,SondDatum,"&gt;="&amp;$E4478,SondDatum,"&lt;="&amp;EOMONTH($E4478,0)),$J4478-$M4478))</f>
      </c>
      <c r="O4478" s="43">
        <f>IF($I4478=0,0,INDEX(DarlErsatzRate,10))</f>
      </c>
      <c r="P4478" s="43">
        <f>IF($I4478=0,0,$Q4477*INDEX(DarlErsatzZins,10))</f>
      </c>
      <c r="Q4478" s="43">
        <f>IF($I4478=0,0,$Q4477+$P4478+$O4478)</f>
      </c>
      <c r="R4478" s="43">
        <f>IF($I4478=0,0,$J4478-$M4478-$N4478)</f>
      </c>
    </row>
    <row r="4479">
      <c r="A4479"/>
      <c r="B4479">
        <v>10</v>
      </c>
      <c r="C4479" s="43">
        <f>INDEX(DarlObj,10)</f>
      </c>
      <c r="D4479">
        <v>156</v>
      </c>
      <c r="E4479" s="51">
        <f>IF(INDEX(DarlBelegt,10)=0,0,EOMONTH(INDEX(DarlAuszahlung,10),155)+1)</f>
      </c>
      <c r="F4479" s="43">
        <f>IF($E4479=0,0,YEAR($E4479))</f>
      </c>
      <c r="G4479" s="43">
        <f>IF(INDEX(DarlBindung,10)="",1,IF($E4479&lt;=INDEX(DarlBindung,10),1,0))</f>
      </c>
      <c r="H4479" s="43">
        <f>IF($G4479=1,INDEX(DarlSollzins,10),INDEX(DarlAnschluss,10))</f>
      </c>
      <c r="I4479" s="43">
        <f>IF(INDEX(DarlBelegt,10)=0,0,IF(INDEX(DarlOhneTilgung,10)=1,IF(INDEX(DarlBindung,10)="",1,$G4479),IF($J4479&gt;0.005,1,0)))</f>
      </c>
      <c r="J4479" s="43">
        <f>IF($I4478=0,0,$R4478)</f>
      </c>
      <c r="K4479" s="43">
        <f>IF($I4479=0,0,IF(INDEX(DarlOhneTilgung,10)=1,0,IF(AND(INDEX(DarlTilgStart,10)&gt;0,$E4479=INDEX(DarlTilgStart,10)),$J4479*($H4479+INDEX(DarlTilgung,10))/100/12,IF(AND($G4479=0,$G4478=1),MAX($K4478,$J4479*($H4479+1)/100/12),$K4478))))</f>
      </c>
      <c r="L4479" s="43">
        <f>IF($I4479=0,0,$J4479*$H4479/100/12)</f>
      </c>
      <c r="M4479" s="43">
        <f>IF($I4479=0,0,IF(OR(INDEX(DarlOhneTilgung,10)=1,AND(INDEX(DarlTilgStart,10)&gt;0,$E4479&lt;INDEX(DarlTilgStart,10))),0,MIN(MAX(0,$K4479-$L4479),$J4479)))</f>
      </c>
      <c r="N4479" s="43">
        <f>IF($I4479=0,0,MIN(SUMIFS(SondBetrag,SondDarl,10,SondDatum,"&gt;="&amp;$E4479,SondDatum,"&lt;="&amp;EOMONTH($E4479,0)),$J4479-$M4479))</f>
      </c>
      <c r="O4479" s="43">
        <f>IF($I4479=0,0,INDEX(DarlErsatzRate,10))</f>
      </c>
      <c r="P4479" s="43">
        <f>IF($I4479=0,0,$Q4478*INDEX(DarlErsatzZins,10))</f>
      </c>
      <c r="Q4479" s="43">
        <f>IF($I4479=0,0,$Q4478+$P4479+$O4479)</f>
      </c>
      <c r="R4479" s="43">
        <f>IF($I4479=0,0,$J4479-$M4479-$N4479)</f>
      </c>
    </row>
    <row r="4480">
      <c r="A4480"/>
      <c r="B4480">
        <v>10</v>
      </c>
      <c r="C4480" s="43">
        <f>INDEX(DarlObj,10)</f>
      </c>
      <c r="D4480">
        <v>157</v>
      </c>
      <c r="E4480" s="51">
        <f>IF(INDEX(DarlBelegt,10)=0,0,EOMONTH(INDEX(DarlAuszahlung,10),156)+1)</f>
      </c>
      <c r="F4480" s="43">
        <f>IF($E4480=0,0,YEAR($E4480))</f>
      </c>
      <c r="G4480" s="43">
        <f>IF(INDEX(DarlBindung,10)="",1,IF($E4480&lt;=INDEX(DarlBindung,10),1,0))</f>
      </c>
      <c r="H4480" s="43">
        <f>IF($G4480=1,INDEX(DarlSollzins,10),INDEX(DarlAnschluss,10))</f>
      </c>
      <c r="I4480" s="43">
        <f>IF(INDEX(DarlBelegt,10)=0,0,IF(INDEX(DarlOhneTilgung,10)=1,IF(INDEX(DarlBindung,10)="",1,$G4480),IF($J4480&gt;0.005,1,0)))</f>
      </c>
      <c r="J4480" s="43">
        <f>IF($I4479=0,0,$R4479)</f>
      </c>
      <c r="K4480" s="43">
        <f>IF($I4480=0,0,IF(INDEX(DarlOhneTilgung,10)=1,0,IF(AND(INDEX(DarlTilgStart,10)&gt;0,$E4480=INDEX(DarlTilgStart,10)),$J4480*($H4480+INDEX(DarlTilgung,10))/100/12,IF(AND($G4480=0,$G4479=1),MAX($K4479,$J4480*($H4480+1)/100/12),$K4479))))</f>
      </c>
      <c r="L4480" s="43">
        <f>IF($I4480=0,0,$J4480*$H4480/100/12)</f>
      </c>
      <c r="M4480" s="43">
        <f>IF($I4480=0,0,IF(OR(INDEX(DarlOhneTilgung,10)=1,AND(INDEX(DarlTilgStart,10)&gt;0,$E4480&lt;INDEX(DarlTilgStart,10))),0,MIN(MAX(0,$K4480-$L4480),$J4480)))</f>
      </c>
      <c r="N4480" s="43">
        <f>IF($I4480=0,0,MIN(SUMIFS(SondBetrag,SondDarl,10,SondDatum,"&gt;="&amp;$E4480,SondDatum,"&lt;="&amp;EOMONTH($E4480,0)),$J4480-$M4480))</f>
      </c>
      <c r="O4480" s="43">
        <f>IF($I4480=0,0,INDEX(DarlErsatzRate,10))</f>
      </c>
      <c r="P4480" s="43">
        <f>IF($I4480=0,0,$Q4479*INDEX(DarlErsatzZins,10))</f>
      </c>
      <c r="Q4480" s="43">
        <f>IF($I4480=0,0,$Q4479+$P4480+$O4480)</f>
      </c>
      <c r="R4480" s="43">
        <f>IF($I4480=0,0,$J4480-$M4480-$N4480)</f>
      </c>
    </row>
    <row r="4481">
      <c r="A4481"/>
      <c r="B4481">
        <v>10</v>
      </c>
      <c r="C4481" s="43">
        <f>INDEX(DarlObj,10)</f>
      </c>
      <c r="D4481">
        <v>158</v>
      </c>
      <c r="E4481" s="51">
        <f>IF(INDEX(DarlBelegt,10)=0,0,EOMONTH(INDEX(DarlAuszahlung,10),157)+1)</f>
      </c>
      <c r="F4481" s="43">
        <f>IF($E4481=0,0,YEAR($E4481))</f>
      </c>
      <c r="G4481" s="43">
        <f>IF(INDEX(DarlBindung,10)="",1,IF($E4481&lt;=INDEX(DarlBindung,10),1,0))</f>
      </c>
      <c r="H4481" s="43">
        <f>IF($G4481=1,INDEX(DarlSollzins,10),INDEX(DarlAnschluss,10))</f>
      </c>
      <c r="I4481" s="43">
        <f>IF(INDEX(DarlBelegt,10)=0,0,IF(INDEX(DarlOhneTilgung,10)=1,IF(INDEX(DarlBindung,10)="",1,$G4481),IF($J4481&gt;0.005,1,0)))</f>
      </c>
      <c r="J4481" s="43">
        <f>IF($I4480=0,0,$R4480)</f>
      </c>
      <c r="K4481" s="43">
        <f>IF($I4481=0,0,IF(INDEX(DarlOhneTilgung,10)=1,0,IF(AND(INDEX(DarlTilgStart,10)&gt;0,$E4481=INDEX(DarlTilgStart,10)),$J4481*($H4481+INDEX(DarlTilgung,10))/100/12,IF(AND($G4481=0,$G4480=1),MAX($K4480,$J4481*($H4481+1)/100/12),$K4480))))</f>
      </c>
      <c r="L4481" s="43">
        <f>IF($I4481=0,0,$J4481*$H4481/100/12)</f>
      </c>
      <c r="M4481" s="43">
        <f>IF($I4481=0,0,IF(OR(INDEX(DarlOhneTilgung,10)=1,AND(INDEX(DarlTilgStart,10)&gt;0,$E4481&lt;INDEX(DarlTilgStart,10))),0,MIN(MAX(0,$K4481-$L4481),$J4481)))</f>
      </c>
      <c r="N4481" s="43">
        <f>IF($I4481=0,0,MIN(SUMIFS(SondBetrag,SondDarl,10,SondDatum,"&gt;="&amp;$E4481,SondDatum,"&lt;="&amp;EOMONTH($E4481,0)),$J4481-$M4481))</f>
      </c>
      <c r="O4481" s="43">
        <f>IF($I4481=0,0,INDEX(DarlErsatzRate,10))</f>
      </c>
      <c r="P4481" s="43">
        <f>IF($I4481=0,0,$Q4480*INDEX(DarlErsatzZins,10))</f>
      </c>
      <c r="Q4481" s="43">
        <f>IF($I4481=0,0,$Q4480+$P4481+$O4481)</f>
      </c>
      <c r="R4481" s="43">
        <f>IF($I4481=0,0,$J4481-$M4481-$N4481)</f>
      </c>
    </row>
    <row r="4482">
      <c r="A4482"/>
      <c r="B4482">
        <v>10</v>
      </c>
      <c r="C4482" s="43">
        <f>INDEX(DarlObj,10)</f>
      </c>
      <c r="D4482">
        <v>159</v>
      </c>
      <c r="E4482" s="51">
        <f>IF(INDEX(DarlBelegt,10)=0,0,EOMONTH(INDEX(DarlAuszahlung,10),158)+1)</f>
      </c>
      <c r="F4482" s="43">
        <f>IF($E4482=0,0,YEAR($E4482))</f>
      </c>
      <c r="G4482" s="43">
        <f>IF(INDEX(DarlBindung,10)="",1,IF($E4482&lt;=INDEX(DarlBindung,10),1,0))</f>
      </c>
      <c r="H4482" s="43">
        <f>IF($G4482=1,INDEX(DarlSollzins,10),INDEX(DarlAnschluss,10))</f>
      </c>
      <c r="I4482" s="43">
        <f>IF(INDEX(DarlBelegt,10)=0,0,IF(INDEX(DarlOhneTilgung,10)=1,IF(INDEX(DarlBindung,10)="",1,$G4482),IF($J4482&gt;0.005,1,0)))</f>
      </c>
      <c r="J4482" s="43">
        <f>IF($I4481=0,0,$R4481)</f>
      </c>
      <c r="K4482" s="43">
        <f>IF($I4482=0,0,IF(INDEX(DarlOhneTilgung,10)=1,0,IF(AND(INDEX(DarlTilgStart,10)&gt;0,$E4482=INDEX(DarlTilgStart,10)),$J4482*($H4482+INDEX(DarlTilgung,10))/100/12,IF(AND($G4482=0,$G4481=1),MAX($K4481,$J4482*($H4482+1)/100/12),$K4481))))</f>
      </c>
      <c r="L4482" s="43">
        <f>IF($I4482=0,0,$J4482*$H4482/100/12)</f>
      </c>
      <c r="M4482" s="43">
        <f>IF($I4482=0,0,IF(OR(INDEX(DarlOhneTilgung,10)=1,AND(INDEX(DarlTilgStart,10)&gt;0,$E4482&lt;INDEX(DarlTilgStart,10))),0,MIN(MAX(0,$K4482-$L4482),$J4482)))</f>
      </c>
      <c r="N4482" s="43">
        <f>IF($I4482=0,0,MIN(SUMIFS(SondBetrag,SondDarl,10,SondDatum,"&gt;="&amp;$E4482,SondDatum,"&lt;="&amp;EOMONTH($E4482,0)),$J4482-$M4482))</f>
      </c>
      <c r="O4482" s="43">
        <f>IF($I4482=0,0,INDEX(DarlErsatzRate,10))</f>
      </c>
      <c r="P4482" s="43">
        <f>IF($I4482=0,0,$Q4481*INDEX(DarlErsatzZins,10))</f>
      </c>
      <c r="Q4482" s="43">
        <f>IF($I4482=0,0,$Q4481+$P4482+$O4482)</f>
      </c>
      <c r="R4482" s="43">
        <f>IF($I4482=0,0,$J4482-$M4482-$N4482)</f>
      </c>
    </row>
    <row r="4483">
      <c r="A4483"/>
      <c r="B4483">
        <v>10</v>
      </c>
      <c r="C4483" s="43">
        <f>INDEX(DarlObj,10)</f>
      </c>
      <c r="D4483">
        <v>160</v>
      </c>
      <c r="E4483" s="51">
        <f>IF(INDEX(DarlBelegt,10)=0,0,EOMONTH(INDEX(DarlAuszahlung,10),159)+1)</f>
      </c>
      <c r="F4483" s="43">
        <f>IF($E4483=0,0,YEAR($E4483))</f>
      </c>
      <c r="G4483" s="43">
        <f>IF(INDEX(DarlBindung,10)="",1,IF($E4483&lt;=INDEX(DarlBindung,10),1,0))</f>
      </c>
      <c r="H4483" s="43">
        <f>IF($G4483=1,INDEX(DarlSollzins,10),INDEX(DarlAnschluss,10))</f>
      </c>
      <c r="I4483" s="43">
        <f>IF(INDEX(DarlBelegt,10)=0,0,IF(INDEX(DarlOhneTilgung,10)=1,IF(INDEX(DarlBindung,10)="",1,$G4483),IF($J4483&gt;0.005,1,0)))</f>
      </c>
      <c r="J4483" s="43">
        <f>IF($I4482=0,0,$R4482)</f>
      </c>
      <c r="K4483" s="43">
        <f>IF($I4483=0,0,IF(INDEX(DarlOhneTilgung,10)=1,0,IF(AND(INDEX(DarlTilgStart,10)&gt;0,$E4483=INDEX(DarlTilgStart,10)),$J4483*($H4483+INDEX(DarlTilgung,10))/100/12,IF(AND($G4483=0,$G4482=1),MAX($K4482,$J4483*($H4483+1)/100/12),$K4482))))</f>
      </c>
      <c r="L4483" s="43">
        <f>IF($I4483=0,0,$J4483*$H4483/100/12)</f>
      </c>
      <c r="M4483" s="43">
        <f>IF($I4483=0,0,IF(OR(INDEX(DarlOhneTilgung,10)=1,AND(INDEX(DarlTilgStart,10)&gt;0,$E4483&lt;INDEX(DarlTilgStart,10))),0,MIN(MAX(0,$K4483-$L4483),$J4483)))</f>
      </c>
      <c r="N4483" s="43">
        <f>IF($I4483=0,0,MIN(SUMIFS(SondBetrag,SondDarl,10,SondDatum,"&gt;="&amp;$E4483,SondDatum,"&lt;="&amp;EOMONTH($E4483,0)),$J4483-$M4483))</f>
      </c>
      <c r="O4483" s="43">
        <f>IF($I4483=0,0,INDEX(DarlErsatzRate,10))</f>
      </c>
      <c r="P4483" s="43">
        <f>IF($I4483=0,0,$Q4482*INDEX(DarlErsatzZins,10))</f>
      </c>
      <c r="Q4483" s="43">
        <f>IF($I4483=0,0,$Q4482+$P4483+$O4483)</f>
      </c>
      <c r="R4483" s="43">
        <f>IF($I4483=0,0,$J4483-$M4483-$N4483)</f>
      </c>
    </row>
    <row r="4484">
      <c r="A4484"/>
      <c r="B4484">
        <v>10</v>
      </c>
      <c r="C4484" s="43">
        <f>INDEX(DarlObj,10)</f>
      </c>
      <c r="D4484">
        <v>161</v>
      </c>
      <c r="E4484" s="51">
        <f>IF(INDEX(DarlBelegt,10)=0,0,EOMONTH(INDEX(DarlAuszahlung,10),160)+1)</f>
      </c>
      <c r="F4484" s="43">
        <f>IF($E4484=0,0,YEAR($E4484))</f>
      </c>
      <c r="G4484" s="43">
        <f>IF(INDEX(DarlBindung,10)="",1,IF($E4484&lt;=INDEX(DarlBindung,10),1,0))</f>
      </c>
      <c r="H4484" s="43">
        <f>IF($G4484=1,INDEX(DarlSollzins,10),INDEX(DarlAnschluss,10))</f>
      </c>
      <c r="I4484" s="43">
        <f>IF(INDEX(DarlBelegt,10)=0,0,IF(INDEX(DarlOhneTilgung,10)=1,IF(INDEX(DarlBindung,10)="",1,$G4484),IF($J4484&gt;0.005,1,0)))</f>
      </c>
      <c r="J4484" s="43">
        <f>IF($I4483=0,0,$R4483)</f>
      </c>
      <c r="K4484" s="43">
        <f>IF($I4484=0,0,IF(INDEX(DarlOhneTilgung,10)=1,0,IF(AND(INDEX(DarlTilgStart,10)&gt;0,$E4484=INDEX(DarlTilgStart,10)),$J4484*($H4484+INDEX(DarlTilgung,10))/100/12,IF(AND($G4484=0,$G4483=1),MAX($K4483,$J4484*($H4484+1)/100/12),$K4483))))</f>
      </c>
      <c r="L4484" s="43">
        <f>IF($I4484=0,0,$J4484*$H4484/100/12)</f>
      </c>
      <c r="M4484" s="43">
        <f>IF($I4484=0,0,IF(OR(INDEX(DarlOhneTilgung,10)=1,AND(INDEX(DarlTilgStart,10)&gt;0,$E4484&lt;INDEX(DarlTilgStart,10))),0,MIN(MAX(0,$K4484-$L4484),$J4484)))</f>
      </c>
      <c r="N4484" s="43">
        <f>IF($I4484=0,0,MIN(SUMIFS(SondBetrag,SondDarl,10,SondDatum,"&gt;="&amp;$E4484,SondDatum,"&lt;="&amp;EOMONTH($E4484,0)),$J4484-$M4484))</f>
      </c>
      <c r="O4484" s="43">
        <f>IF($I4484=0,0,INDEX(DarlErsatzRate,10))</f>
      </c>
      <c r="P4484" s="43">
        <f>IF($I4484=0,0,$Q4483*INDEX(DarlErsatzZins,10))</f>
      </c>
      <c r="Q4484" s="43">
        <f>IF($I4484=0,0,$Q4483+$P4484+$O4484)</f>
      </c>
      <c r="R4484" s="43">
        <f>IF($I4484=0,0,$J4484-$M4484-$N4484)</f>
      </c>
    </row>
    <row r="4485">
      <c r="A4485"/>
      <c r="B4485">
        <v>10</v>
      </c>
      <c r="C4485" s="43">
        <f>INDEX(DarlObj,10)</f>
      </c>
      <c r="D4485">
        <v>162</v>
      </c>
      <c r="E4485" s="51">
        <f>IF(INDEX(DarlBelegt,10)=0,0,EOMONTH(INDEX(DarlAuszahlung,10),161)+1)</f>
      </c>
      <c r="F4485" s="43">
        <f>IF($E4485=0,0,YEAR($E4485))</f>
      </c>
      <c r="G4485" s="43">
        <f>IF(INDEX(DarlBindung,10)="",1,IF($E4485&lt;=INDEX(DarlBindung,10),1,0))</f>
      </c>
      <c r="H4485" s="43">
        <f>IF($G4485=1,INDEX(DarlSollzins,10),INDEX(DarlAnschluss,10))</f>
      </c>
      <c r="I4485" s="43">
        <f>IF(INDEX(DarlBelegt,10)=0,0,IF(INDEX(DarlOhneTilgung,10)=1,IF(INDEX(DarlBindung,10)="",1,$G4485),IF($J4485&gt;0.005,1,0)))</f>
      </c>
      <c r="J4485" s="43">
        <f>IF($I4484=0,0,$R4484)</f>
      </c>
      <c r="K4485" s="43">
        <f>IF($I4485=0,0,IF(INDEX(DarlOhneTilgung,10)=1,0,IF(AND(INDEX(DarlTilgStart,10)&gt;0,$E4485=INDEX(DarlTilgStart,10)),$J4485*($H4485+INDEX(DarlTilgung,10))/100/12,IF(AND($G4485=0,$G4484=1),MAX($K4484,$J4485*($H4485+1)/100/12),$K4484))))</f>
      </c>
      <c r="L4485" s="43">
        <f>IF($I4485=0,0,$J4485*$H4485/100/12)</f>
      </c>
      <c r="M4485" s="43">
        <f>IF($I4485=0,0,IF(OR(INDEX(DarlOhneTilgung,10)=1,AND(INDEX(DarlTilgStart,10)&gt;0,$E4485&lt;INDEX(DarlTilgStart,10))),0,MIN(MAX(0,$K4485-$L4485),$J4485)))</f>
      </c>
      <c r="N4485" s="43">
        <f>IF($I4485=0,0,MIN(SUMIFS(SondBetrag,SondDarl,10,SondDatum,"&gt;="&amp;$E4485,SondDatum,"&lt;="&amp;EOMONTH($E4485,0)),$J4485-$M4485))</f>
      </c>
      <c r="O4485" s="43">
        <f>IF($I4485=0,0,INDEX(DarlErsatzRate,10))</f>
      </c>
      <c r="P4485" s="43">
        <f>IF($I4485=0,0,$Q4484*INDEX(DarlErsatzZins,10))</f>
      </c>
      <c r="Q4485" s="43">
        <f>IF($I4485=0,0,$Q4484+$P4485+$O4485)</f>
      </c>
      <c r="R4485" s="43">
        <f>IF($I4485=0,0,$J4485-$M4485-$N4485)</f>
      </c>
    </row>
    <row r="4486">
      <c r="A4486"/>
      <c r="B4486">
        <v>10</v>
      </c>
      <c r="C4486" s="43">
        <f>INDEX(DarlObj,10)</f>
      </c>
      <c r="D4486">
        <v>163</v>
      </c>
      <c r="E4486" s="51">
        <f>IF(INDEX(DarlBelegt,10)=0,0,EOMONTH(INDEX(DarlAuszahlung,10),162)+1)</f>
      </c>
      <c r="F4486" s="43">
        <f>IF($E4486=0,0,YEAR($E4486))</f>
      </c>
      <c r="G4486" s="43">
        <f>IF(INDEX(DarlBindung,10)="",1,IF($E4486&lt;=INDEX(DarlBindung,10),1,0))</f>
      </c>
      <c r="H4486" s="43">
        <f>IF($G4486=1,INDEX(DarlSollzins,10),INDEX(DarlAnschluss,10))</f>
      </c>
      <c r="I4486" s="43">
        <f>IF(INDEX(DarlBelegt,10)=0,0,IF(INDEX(DarlOhneTilgung,10)=1,IF(INDEX(DarlBindung,10)="",1,$G4486),IF($J4486&gt;0.005,1,0)))</f>
      </c>
      <c r="J4486" s="43">
        <f>IF($I4485=0,0,$R4485)</f>
      </c>
      <c r="K4486" s="43">
        <f>IF($I4486=0,0,IF(INDEX(DarlOhneTilgung,10)=1,0,IF(AND(INDEX(DarlTilgStart,10)&gt;0,$E4486=INDEX(DarlTilgStart,10)),$J4486*($H4486+INDEX(DarlTilgung,10))/100/12,IF(AND($G4486=0,$G4485=1),MAX($K4485,$J4486*($H4486+1)/100/12),$K4485))))</f>
      </c>
      <c r="L4486" s="43">
        <f>IF($I4486=0,0,$J4486*$H4486/100/12)</f>
      </c>
      <c r="M4486" s="43">
        <f>IF($I4486=0,0,IF(OR(INDEX(DarlOhneTilgung,10)=1,AND(INDEX(DarlTilgStart,10)&gt;0,$E4486&lt;INDEX(DarlTilgStart,10))),0,MIN(MAX(0,$K4486-$L4486),$J4486)))</f>
      </c>
      <c r="N4486" s="43">
        <f>IF($I4486=0,0,MIN(SUMIFS(SondBetrag,SondDarl,10,SondDatum,"&gt;="&amp;$E4486,SondDatum,"&lt;="&amp;EOMONTH($E4486,0)),$J4486-$M4486))</f>
      </c>
      <c r="O4486" s="43">
        <f>IF($I4486=0,0,INDEX(DarlErsatzRate,10))</f>
      </c>
      <c r="P4486" s="43">
        <f>IF($I4486=0,0,$Q4485*INDEX(DarlErsatzZins,10))</f>
      </c>
      <c r="Q4486" s="43">
        <f>IF($I4486=0,0,$Q4485+$P4486+$O4486)</f>
      </c>
      <c r="R4486" s="43">
        <f>IF($I4486=0,0,$J4486-$M4486-$N4486)</f>
      </c>
    </row>
    <row r="4487">
      <c r="A4487"/>
      <c r="B4487">
        <v>10</v>
      </c>
      <c r="C4487" s="43">
        <f>INDEX(DarlObj,10)</f>
      </c>
      <c r="D4487">
        <v>164</v>
      </c>
      <c r="E4487" s="51">
        <f>IF(INDEX(DarlBelegt,10)=0,0,EOMONTH(INDEX(DarlAuszahlung,10),163)+1)</f>
      </c>
      <c r="F4487" s="43">
        <f>IF($E4487=0,0,YEAR($E4487))</f>
      </c>
      <c r="G4487" s="43">
        <f>IF(INDEX(DarlBindung,10)="",1,IF($E4487&lt;=INDEX(DarlBindung,10),1,0))</f>
      </c>
      <c r="H4487" s="43">
        <f>IF($G4487=1,INDEX(DarlSollzins,10),INDEX(DarlAnschluss,10))</f>
      </c>
      <c r="I4487" s="43">
        <f>IF(INDEX(DarlBelegt,10)=0,0,IF(INDEX(DarlOhneTilgung,10)=1,IF(INDEX(DarlBindung,10)="",1,$G4487),IF($J4487&gt;0.005,1,0)))</f>
      </c>
      <c r="J4487" s="43">
        <f>IF($I4486=0,0,$R4486)</f>
      </c>
      <c r="K4487" s="43">
        <f>IF($I4487=0,0,IF(INDEX(DarlOhneTilgung,10)=1,0,IF(AND(INDEX(DarlTilgStart,10)&gt;0,$E4487=INDEX(DarlTilgStart,10)),$J4487*($H4487+INDEX(DarlTilgung,10))/100/12,IF(AND($G4487=0,$G4486=1),MAX($K4486,$J4487*($H4487+1)/100/12),$K4486))))</f>
      </c>
      <c r="L4487" s="43">
        <f>IF($I4487=0,0,$J4487*$H4487/100/12)</f>
      </c>
      <c r="M4487" s="43">
        <f>IF($I4487=0,0,IF(OR(INDEX(DarlOhneTilgung,10)=1,AND(INDEX(DarlTilgStart,10)&gt;0,$E4487&lt;INDEX(DarlTilgStart,10))),0,MIN(MAX(0,$K4487-$L4487),$J4487)))</f>
      </c>
      <c r="N4487" s="43">
        <f>IF($I4487=0,0,MIN(SUMIFS(SondBetrag,SondDarl,10,SondDatum,"&gt;="&amp;$E4487,SondDatum,"&lt;="&amp;EOMONTH($E4487,0)),$J4487-$M4487))</f>
      </c>
      <c r="O4487" s="43">
        <f>IF($I4487=0,0,INDEX(DarlErsatzRate,10))</f>
      </c>
      <c r="P4487" s="43">
        <f>IF($I4487=0,0,$Q4486*INDEX(DarlErsatzZins,10))</f>
      </c>
      <c r="Q4487" s="43">
        <f>IF($I4487=0,0,$Q4486+$P4487+$O4487)</f>
      </c>
      <c r="R4487" s="43">
        <f>IF($I4487=0,0,$J4487-$M4487-$N4487)</f>
      </c>
    </row>
    <row r="4488">
      <c r="A4488"/>
      <c r="B4488">
        <v>10</v>
      </c>
      <c r="C4488" s="43">
        <f>INDEX(DarlObj,10)</f>
      </c>
      <c r="D4488">
        <v>165</v>
      </c>
      <c r="E4488" s="51">
        <f>IF(INDEX(DarlBelegt,10)=0,0,EOMONTH(INDEX(DarlAuszahlung,10),164)+1)</f>
      </c>
      <c r="F4488" s="43">
        <f>IF($E4488=0,0,YEAR($E4488))</f>
      </c>
      <c r="G4488" s="43">
        <f>IF(INDEX(DarlBindung,10)="",1,IF($E4488&lt;=INDEX(DarlBindung,10),1,0))</f>
      </c>
      <c r="H4488" s="43">
        <f>IF($G4488=1,INDEX(DarlSollzins,10),INDEX(DarlAnschluss,10))</f>
      </c>
      <c r="I4488" s="43">
        <f>IF(INDEX(DarlBelegt,10)=0,0,IF(INDEX(DarlOhneTilgung,10)=1,IF(INDEX(DarlBindung,10)="",1,$G4488),IF($J4488&gt;0.005,1,0)))</f>
      </c>
      <c r="J4488" s="43">
        <f>IF($I4487=0,0,$R4487)</f>
      </c>
      <c r="K4488" s="43">
        <f>IF($I4488=0,0,IF(INDEX(DarlOhneTilgung,10)=1,0,IF(AND(INDEX(DarlTilgStart,10)&gt;0,$E4488=INDEX(DarlTilgStart,10)),$J4488*($H4488+INDEX(DarlTilgung,10))/100/12,IF(AND($G4488=0,$G4487=1),MAX($K4487,$J4488*($H4488+1)/100/12),$K4487))))</f>
      </c>
      <c r="L4488" s="43">
        <f>IF($I4488=0,0,$J4488*$H4488/100/12)</f>
      </c>
      <c r="M4488" s="43">
        <f>IF($I4488=0,0,IF(OR(INDEX(DarlOhneTilgung,10)=1,AND(INDEX(DarlTilgStart,10)&gt;0,$E4488&lt;INDEX(DarlTilgStart,10))),0,MIN(MAX(0,$K4488-$L4488),$J4488)))</f>
      </c>
      <c r="N4488" s="43">
        <f>IF($I4488=0,0,MIN(SUMIFS(SondBetrag,SondDarl,10,SondDatum,"&gt;="&amp;$E4488,SondDatum,"&lt;="&amp;EOMONTH($E4488,0)),$J4488-$M4488))</f>
      </c>
      <c r="O4488" s="43">
        <f>IF($I4488=0,0,INDEX(DarlErsatzRate,10))</f>
      </c>
      <c r="P4488" s="43">
        <f>IF($I4488=0,0,$Q4487*INDEX(DarlErsatzZins,10))</f>
      </c>
      <c r="Q4488" s="43">
        <f>IF($I4488=0,0,$Q4487+$P4488+$O4488)</f>
      </c>
      <c r="R4488" s="43">
        <f>IF($I4488=0,0,$J4488-$M4488-$N4488)</f>
      </c>
    </row>
    <row r="4489">
      <c r="A4489"/>
      <c r="B4489">
        <v>10</v>
      </c>
      <c r="C4489" s="43">
        <f>INDEX(DarlObj,10)</f>
      </c>
      <c r="D4489">
        <v>166</v>
      </c>
      <c r="E4489" s="51">
        <f>IF(INDEX(DarlBelegt,10)=0,0,EOMONTH(INDEX(DarlAuszahlung,10),165)+1)</f>
      </c>
      <c r="F4489" s="43">
        <f>IF($E4489=0,0,YEAR($E4489))</f>
      </c>
      <c r="G4489" s="43">
        <f>IF(INDEX(DarlBindung,10)="",1,IF($E4489&lt;=INDEX(DarlBindung,10),1,0))</f>
      </c>
      <c r="H4489" s="43">
        <f>IF($G4489=1,INDEX(DarlSollzins,10),INDEX(DarlAnschluss,10))</f>
      </c>
      <c r="I4489" s="43">
        <f>IF(INDEX(DarlBelegt,10)=0,0,IF(INDEX(DarlOhneTilgung,10)=1,IF(INDEX(DarlBindung,10)="",1,$G4489),IF($J4489&gt;0.005,1,0)))</f>
      </c>
      <c r="J4489" s="43">
        <f>IF($I4488=0,0,$R4488)</f>
      </c>
      <c r="K4489" s="43">
        <f>IF($I4489=0,0,IF(INDEX(DarlOhneTilgung,10)=1,0,IF(AND(INDEX(DarlTilgStart,10)&gt;0,$E4489=INDEX(DarlTilgStart,10)),$J4489*($H4489+INDEX(DarlTilgung,10))/100/12,IF(AND($G4489=0,$G4488=1),MAX($K4488,$J4489*($H4489+1)/100/12),$K4488))))</f>
      </c>
      <c r="L4489" s="43">
        <f>IF($I4489=0,0,$J4489*$H4489/100/12)</f>
      </c>
      <c r="M4489" s="43">
        <f>IF($I4489=0,0,IF(OR(INDEX(DarlOhneTilgung,10)=1,AND(INDEX(DarlTilgStart,10)&gt;0,$E4489&lt;INDEX(DarlTilgStart,10))),0,MIN(MAX(0,$K4489-$L4489),$J4489)))</f>
      </c>
      <c r="N4489" s="43">
        <f>IF($I4489=0,0,MIN(SUMIFS(SondBetrag,SondDarl,10,SondDatum,"&gt;="&amp;$E4489,SondDatum,"&lt;="&amp;EOMONTH($E4489,0)),$J4489-$M4489))</f>
      </c>
      <c r="O4489" s="43">
        <f>IF($I4489=0,0,INDEX(DarlErsatzRate,10))</f>
      </c>
      <c r="P4489" s="43">
        <f>IF($I4489=0,0,$Q4488*INDEX(DarlErsatzZins,10))</f>
      </c>
      <c r="Q4489" s="43">
        <f>IF($I4489=0,0,$Q4488+$P4489+$O4489)</f>
      </c>
      <c r="R4489" s="43">
        <f>IF($I4489=0,0,$J4489-$M4489-$N4489)</f>
      </c>
    </row>
    <row r="4490">
      <c r="A4490"/>
      <c r="B4490">
        <v>10</v>
      </c>
      <c r="C4490" s="43">
        <f>INDEX(DarlObj,10)</f>
      </c>
      <c r="D4490">
        <v>167</v>
      </c>
      <c r="E4490" s="51">
        <f>IF(INDEX(DarlBelegt,10)=0,0,EOMONTH(INDEX(DarlAuszahlung,10),166)+1)</f>
      </c>
      <c r="F4490" s="43">
        <f>IF($E4490=0,0,YEAR($E4490))</f>
      </c>
      <c r="G4490" s="43">
        <f>IF(INDEX(DarlBindung,10)="",1,IF($E4490&lt;=INDEX(DarlBindung,10),1,0))</f>
      </c>
      <c r="H4490" s="43">
        <f>IF($G4490=1,INDEX(DarlSollzins,10),INDEX(DarlAnschluss,10))</f>
      </c>
      <c r="I4490" s="43">
        <f>IF(INDEX(DarlBelegt,10)=0,0,IF(INDEX(DarlOhneTilgung,10)=1,IF(INDEX(DarlBindung,10)="",1,$G4490),IF($J4490&gt;0.005,1,0)))</f>
      </c>
      <c r="J4490" s="43">
        <f>IF($I4489=0,0,$R4489)</f>
      </c>
      <c r="K4490" s="43">
        <f>IF($I4490=0,0,IF(INDEX(DarlOhneTilgung,10)=1,0,IF(AND(INDEX(DarlTilgStart,10)&gt;0,$E4490=INDEX(DarlTilgStart,10)),$J4490*($H4490+INDEX(DarlTilgung,10))/100/12,IF(AND($G4490=0,$G4489=1),MAX($K4489,$J4490*($H4490+1)/100/12),$K4489))))</f>
      </c>
      <c r="L4490" s="43">
        <f>IF($I4490=0,0,$J4490*$H4490/100/12)</f>
      </c>
      <c r="M4490" s="43">
        <f>IF($I4490=0,0,IF(OR(INDEX(DarlOhneTilgung,10)=1,AND(INDEX(DarlTilgStart,10)&gt;0,$E4490&lt;INDEX(DarlTilgStart,10))),0,MIN(MAX(0,$K4490-$L4490),$J4490)))</f>
      </c>
      <c r="N4490" s="43">
        <f>IF($I4490=0,0,MIN(SUMIFS(SondBetrag,SondDarl,10,SondDatum,"&gt;="&amp;$E4490,SondDatum,"&lt;="&amp;EOMONTH($E4490,0)),$J4490-$M4490))</f>
      </c>
      <c r="O4490" s="43">
        <f>IF($I4490=0,0,INDEX(DarlErsatzRate,10))</f>
      </c>
      <c r="P4490" s="43">
        <f>IF($I4490=0,0,$Q4489*INDEX(DarlErsatzZins,10))</f>
      </c>
      <c r="Q4490" s="43">
        <f>IF($I4490=0,0,$Q4489+$P4490+$O4490)</f>
      </c>
      <c r="R4490" s="43">
        <f>IF($I4490=0,0,$J4490-$M4490-$N4490)</f>
      </c>
    </row>
    <row r="4491">
      <c r="A4491"/>
      <c r="B4491">
        <v>10</v>
      </c>
      <c r="C4491" s="43">
        <f>INDEX(DarlObj,10)</f>
      </c>
      <c r="D4491">
        <v>168</v>
      </c>
      <c r="E4491" s="51">
        <f>IF(INDEX(DarlBelegt,10)=0,0,EOMONTH(INDEX(DarlAuszahlung,10),167)+1)</f>
      </c>
      <c r="F4491" s="43">
        <f>IF($E4491=0,0,YEAR($E4491))</f>
      </c>
      <c r="G4491" s="43">
        <f>IF(INDEX(DarlBindung,10)="",1,IF($E4491&lt;=INDEX(DarlBindung,10),1,0))</f>
      </c>
      <c r="H4491" s="43">
        <f>IF($G4491=1,INDEX(DarlSollzins,10),INDEX(DarlAnschluss,10))</f>
      </c>
      <c r="I4491" s="43">
        <f>IF(INDEX(DarlBelegt,10)=0,0,IF(INDEX(DarlOhneTilgung,10)=1,IF(INDEX(DarlBindung,10)="",1,$G4491),IF($J4491&gt;0.005,1,0)))</f>
      </c>
      <c r="J4491" s="43">
        <f>IF($I4490=0,0,$R4490)</f>
      </c>
      <c r="K4491" s="43">
        <f>IF($I4491=0,0,IF(INDEX(DarlOhneTilgung,10)=1,0,IF(AND(INDEX(DarlTilgStart,10)&gt;0,$E4491=INDEX(DarlTilgStart,10)),$J4491*($H4491+INDEX(DarlTilgung,10))/100/12,IF(AND($G4491=0,$G4490=1),MAX($K4490,$J4491*($H4491+1)/100/12),$K4490))))</f>
      </c>
      <c r="L4491" s="43">
        <f>IF($I4491=0,0,$J4491*$H4491/100/12)</f>
      </c>
      <c r="M4491" s="43">
        <f>IF($I4491=0,0,IF(OR(INDEX(DarlOhneTilgung,10)=1,AND(INDEX(DarlTilgStart,10)&gt;0,$E4491&lt;INDEX(DarlTilgStart,10))),0,MIN(MAX(0,$K4491-$L4491),$J4491)))</f>
      </c>
      <c r="N4491" s="43">
        <f>IF($I4491=0,0,MIN(SUMIFS(SondBetrag,SondDarl,10,SondDatum,"&gt;="&amp;$E4491,SondDatum,"&lt;="&amp;EOMONTH($E4491,0)),$J4491-$M4491))</f>
      </c>
      <c r="O4491" s="43">
        <f>IF($I4491=0,0,INDEX(DarlErsatzRate,10))</f>
      </c>
      <c r="P4491" s="43">
        <f>IF($I4491=0,0,$Q4490*INDEX(DarlErsatzZins,10))</f>
      </c>
      <c r="Q4491" s="43">
        <f>IF($I4491=0,0,$Q4490+$P4491+$O4491)</f>
      </c>
      <c r="R4491" s="43">
        <f>IF($I4491=0,0,$J4491-$M4491-$N4491)</f>
      </c>
    </row>
    <row r="4492">
      <c r="A4492"/>
      <c r="B4492">
        <v>10</v>
      </c>
      <c r="C4492" s="43">
        <f>INDEX(DarlObj,10)</f>
      </c>
      <c r="D4492">
        <v>169</v>
      </c>
      <c r="E4492" s="51">
        <f>IF(INDEX(DarlBelegt,10)=0,0,EOMONTH(INDEX(DarlAuszahlung,10),168)+1)</f>
      </c>
      <c r="F4492" s="43">
        <f>IF($E4492=0,0,YEAR($E4492))</f>
      </c>
      <c r="G4492" s="43">
        <f>IF(INDEX(DarlBindung,10)="",1,IF($E4492&lt;=INDEX(DarlBindung,10),1,0))</f>
      </c>
      <c r="H4492" s="43">
        <f>IF($G4492=1,INDEX(DarlSollzins,10),INDEX(DarlAnschluss,10))</f>
      </c>
      <c r="I4492" s="43">
        <f>IF(INDEX(DarlBelegt,10)=0,0,IF(INDEX(DarlOhneTilgung,10)=1,IF(INDEX(DarlBindung,10)="",1,$G4492),IF($J4492&gt;0.005,1,0)))</f>
      </c>
      <c r="J4492" s="43">
        <f>IF($I4491=0,0,$R4491)</f>
      </c>
      <c r="K4492" s="43">
        <f>IF($I4492=0,0,IF(INDEX(DarlOhneTilgung,10)=1,0,IF(AND(INDEX(DarlTilgStart,10)&gt;0,$E4492=INDEX(DarlTilgStart,10)),$J4492*($H4492+INDEX(DarlTilgung,10))/100/12,IF(AND($G4492=0,$G4491=1),MAX($K4491,$J4492*($H4492+1)/100/12),$K4491))))</f>
      </c>
      <c r="L4492" s="43">
        <f>IF($I4492=0,0,$J4492*$H4492/100/12)</f>
      </c>
      <c r="M4492" s="43">
        <f>IF($I4492=0,0,IF(OR(INDEX(DarlOhneTilgung,10)=1,AND(INDEX(DarlTilgStart,10)&gt;0,$E4492&lt;INDEX(DarlTilgStart,10))),0,MIN(MAX(0,$K4492-$L4492),$J4492)))</f>
      </c>
      <c r="N4492" s="43">
        <f>IF($I4492=0,0,MIN(SUMIFS(SondBetrag,SondDarl,10,SondDatum,"&gt;="&amp;$E4492,SondDatum,"&lt;="&amp;EOMONTH($E4492,0)),$J4492-$M4492))</f>
      </c>
      <c r="O4492" s="43">
        <f>IF($I4492=0,0,INDEX(DarlErsatzRate,10))</f>
      </c>
      <c r="P4492" s="43">
        <f>IF($I4492=0,0,$Q4491*INDEX(DarlErsatzZins,10))</f>
      </c>
      <c r="Q4492" s="43">
        <f>IF($I4492=0,0,$Q4491+$P4492+$O4492)</f>
      </c>
      <c r="R4492" s="43">
        <f>IF($I4492=0,0,$J4492-$M4492-$N4492)</f>
      </c>
    </row>
    <row r="4493">
      <c r="A4493"/>
      <c r="B4493">
        <v>10</v>
      </c>
      <c r="C4493" s="43">
        <f>INDEX(DarlObj,10)</f>
      </c>
      <c r="D4493">
        <v>170</v>
      </c>
      <c r="E4493" s="51">
        <f>IF(INDEX(DarlBelegt,10)=0,0,EOMONTH(INDEX(DarlAuszahlung,10),169)+1)</f>
      </c>
      <c r="F4493" s="43">
        <f>IF($E4493=0,0,YEAR($E4493))</f>
      </c>
      <c r="G4493" s="43">
        <f>IF(INDEX(DarlBindung,10)="",1,IF($E4493&lt;=INDEX(DarlBindung,10),1,0))</f>
      </c>
      <c r="H4493" s="43">
        <f>IF($G4493=1,INDEX(DarlSollzins,10),INDEX(DarlAnschluss,10))</f>
      </c>
      <c r="I4493" s="43">
        <f>IF(INDEX(DarlBelegt,10)=0,0,IF(INDEX(DarlOhneTilgung,10)=1,IF(INDEX(DarlBindung,10)="",1,$G4493),IF($J4493&gt;0.005,1,0)))</f>
      </c>
      <c r="J4493" s="43">
        <f>IF($I4492=0,0,$R4492)</f>
      </c>
      <c r="K4493" s="43">
        <f>IF($I4493=0,0,IF(INDEX(DarlOhneTilgung,10)=1,0,IF(AND(INDEX(DarlTilgStart,10)&gt;0,$E4493=INDEX(DarlTilgStart,10)),$J4493*($H4493+INDEX(DarlTilgung,10))/100/12,IF(AND($G4493=0,$G4492=1),MAX($K4492,$J4493*($H4493+1)/100/12),$K4492))))</f>
      </c>
      <c r="L4493" s="43">
        <f>IF($I4493=0,0,$J4493*$H4493/100/12)</f>
      </c>
      <c r="M4493" s="43">
        <f>IF($I4493=0,0,IF(OR(INDEX(DarlOhneTilgung,10)=1,AND(INDEX(DarlTilgStart,10)&gt;0,$E4493&lt;INDEX(DarlTilgStart,10))),0,MIN(MAX(0,$K4493-$L4493),$J4493)))</f>
      </c>
      <c r="N4493" s="43">
        <f>IF($I4493=0,0,MIN(SUMIFS(SondBetrag,SondDarl,10,SondDatum,"&gt;="&amp;$E4493,SondDatum,"&lt;="&amp;EOMONTH($E4493,0)),$J4493-$M4493))</f>
      </c>
      <c r="O4493" s="43">
        <f>IF($I4493=0,0,INDEX(DarlErsatzRate,10))</f>
      </c>
      <c r="P4493" s="43">
        <f>IF($I4493=0,0,$Q4492*INDEX(DarlErsatzZins,10))</f>
      </c>
      <c r="Q4493" s="43">
        <f>IF($I4493=0,0,$Q4492+$P4493+$O4493)</f>
      </c>
      <c r="R4493" s="43">
        <f>IF($I4493=0,0,$J4493-$M4493-$N4493)</f>
      </c>
    </row>
    <row r="4494">
      <c r="A4494"/>
      <c r="B4494">
        <v>10</v>
      </c>
      <c r="C4494" s="43">
        <f>INDEX(DarlObj,10)</f>
      </c>
      <c r="D4494">
        <v>171</v>
      </c>
      <c r="E4494" s="51">
        <f>IF(INDEX(DarlBelegt,10)=0,0,EOMONTH(INDEX(DarlAuszahlung,10),170)+1)</f>
      </c>
      <c r="F4494" s="43">
        <f>IF($E4494=0,0,YEAR($E4494))</f>
      </c>
      <c r="G4494" s="43">
        <f>IF(INDEX(DarlBindung,10)="",1,IF($E4494&lt;=INDEX(DarlBindung,10),1,0))</f>
      </c>
      <c r="H4494" s="43">
        <f>IF($G4494=1,INDEX(DarlSollzins,10),INDEX(DarlAnschluss,10))</f>
      </c>
      <c r="I4494" s="43">
        <f>IF(INDEX(DarlBelegt,10)=0,0,IF(INDEX(DarlOhneTilgung,10)=1,IF(INDEX(DarlBindung,10)="",1,$G4494),IF($J4494&gt;0.005,1,0)))</f>
      </c>
      <c r="J4494" s="43">
        <f>IF($I4493=0,0,$R4493)</f>
      </c>
      <c r="K4494" s="43">
        <f>IF($I4494=0,0,IF(INDEX(DarlOhneTilgung,10)=1,0,IF(AND(INDEX(DarlTilgStart,10)&gt;0,$E4494=INDEX(DarlTilgStart,10)),$J4494*($H4494+INDEX(DarlTilgung,10))/100/12,IF(AND($G4494=0,$G4493=1),MAX($K4493,$J4494*($H4494+1)/100/12),$K4493))))</f>
      </c>
      <c r="L4494" s="43">
        <f>IF($I4494=0,0,$J4494*$H4494/100/12)</f>
      </c>
      <c r="M4494" s="43">
        <f>IF($I4494=0,0,IF(OR(INDEX(DarlOhneTilgung,10)=1,AND(INDEX(DarlTilgStart,10)&gt;0,$E4494&lt;INDEX(DarlTilgStart,10))),0,MIN(MAX(0,$K4494-$L4494),$J4494)))</f>
      </c>
      <c r="N4494" s="43">
        <f>IF($I4494=0,0,MIN(SUMIFS(SondBetrag,SondDarl,10,SondDatum,"&gt;="&amp;$E4494,SondDatum,"&lt;="&amp;EOMONTH($E4494,0)),$J4494-$M4494))</f>
      </c>
      <c r="O4494" s="43">
        <f>IF($I4494=0,0,INDEX(DarlErsatzRate,10))</f>
      </c>
      <c r="P4494" s="43">
        <f>IF($I4494=0,0,$Q4493*INDEX(DarlErsatzZins,10))</f>
      </c>
      <c r="Q4494" s="43">
        <f>IF($I4494=0,0,$Q4493+$P4494+$O4494)</f>
      </c>
      <c r="R4494" s="43">
        <f>IF($I4494=0,0,$J4494-$M4494-$N4494)</f>
      </c>
    </row>
    <row r="4495">
      <c r="A4495"/>
      <c r="B4495">
        <v>10</v>
      </c>
      <c r="C4495" s="43">
        <f>INDEX(DarlObj,10)</f>
      </c>
      <c r="D4495">
        <v>172</v>
      </c>
      <c r="E4495" s="51">
        <f>IF(INDEX(DarlBelegt,10)=0,0,EOMONTH(INDEX(DarlAuszahlung,10),171)+1)</f>
      </c>
      <c r="F4495" s="43">
        <f>IF($E4495=0,0,YEAR($E4495))</f>
      </c>
      <c r="G4495" s="43">
        <f>IF(INDEX(DarlBindung,10)="",1,IF($E4495&lt;=INDEX(DarlBindung,10),1,0))</f>
      </c>
      <c r="H4495" s="43">
        <f>IF($G4495=1,INDEX(DarlSollzins,10),INDEX(DarlAnschluss,10))</f>
      </c>
      <c r="I4495" s="43">
        <f>IF(INDEX(DarlBelegt,10)=0,0,IF(INDEX(DarlOhneTilgung,10)=1,IF(INDEX(DarlBindung,10)="",1,$G4495),IF($J4495&gt;0.005,1,0)))</f>
      </c>
      <c r="J4495" s="43">
        <f>IF($I4494=0,0,$R4494)</f>
      </c>
      <c r="K4495" s="43">
        <f>IF($I4495=0,0,IF(INDEX(DarlOhneTilgung,10)=1,0,IF(AND(INDEX(DarlTilgStart,10)&gt;0,$E4495=INDEX(DarlTilgStart,10)),$J4495*($H4495+INDEX(DarlTilgung,10))/100/12,IF(AND($G4495=0,$G4494=1),MAX($K4494,$J4495*($H4495+1)/100/12),$K4494))))</f>
      </c>
      <c r="L4495" s="43">
        <f>IF($I4495=0,0,$J4495*$H4495/100/12)</f>
      </c>
      <c r="M4495" s="43">
        <f>IF($I4495=0,0,IF(OR(INDEX(DarlOhneTilgung,10)=1,AND(INDEX(DarlTilgStart,10)&gt;0,$E4495&lt;INDEX(DarlTilgStart,10))),0,MIN(MAX(0,$K4495-$L4495),$J4495)))</f>
      </c>
      <c r="N4495" s="43">
        <f>IF($I4495=0,0,MIN(SUMIFS(SondBetrag,SondDarl,10,SondDatum,"&gt;="&amp;$E4495,SondDatum,"&lt;="&amp;EOMONTH($E4495,0)),$J4495-$M4495))</f>
      </c>
      <c r="O4495" s="43">
        <f>IF($I4495=0,0,INDEX(DarlErsatzRate,10))</f>
      </c>
      <c r="P4495" s="43">
        <f>IF($I4495=0,0,$Q4494*INDEX(DarlErsatzZins,10))</f>
      </c>
      <c r="Q4495" s="43">
        <f>IF($I4495=0,0,$Q4494+$P4495+$O4495)</f>
      </c>
      <c r="R4495" s="43">
        <f>IF($I4495=0,0,$J4495-$M4495-$N4495)</f>
      </c>
    </row>
    <row r="4496">
      <c r="A4496"/>
      <c r="B4496">
        <v>10</v>
      </c>
      <c r="C4496" s="43">
        <f>INDEX(DarlObj,10)</f>
      </c>
      <c r="D4496">
        <v>173</v>
      </c>
      <c r="E4496" s="51">
        <f>IF(INDEX(DarlBelegt,10)=0,0,EOMONTH(INDEX(DarlAuszahlung,10),172)+1)</f>
      </c>
      <c r="F4496" s="43">
        <f>IF($E4496=0,0,YEAR($E4496))</f>
      </c>
      <c r="G4496" s="43">
        <f>IF(INDEX(DarlBindung,10)="",1,IF($E4496&lt;=INDEX(DarlBindung,10),1,0))</f>
      </c>
      <c r="H4496" s="43">
        <f>IF($G4496=1,INDEX(DarlSollzins,10),INDEX(DarlAnschluss,10))</f>
      </c>
      <c r="I4496" s="43">
        <f>IF(INDEX(DarlBelegt,10)=0,0,IF(INDEX(DarlOhneTilgung,10)=1,IF(INDEX(DarlBindung,10)="",1,$G4496),IF($J4496&gt;0.005,1,0)))</f>
      </c>
      <c r="J4496" s="43">
        <f>IF($I4495=0,0,$R4495)</f>
      </c>
      <c r="K4496" s="43">
        <f>IF($I4496=0,0,IF(INDEX(DarlOhneTilgung,10)=1,0,IF(AND(INDEX(DarlTilgStart,10)&gt;0,$E4496=INDEX(DarlTilgStart,10)),$J4496*($H4496+INDEX(DarlTilgung,10))/100/12,IF(AND($G4496=0,$G4495=1),MAX($K4495,$J4496*($H4496+1)/100/12),$K4495))))</f>
      </c>
      <c r="L4496" s="43">
        <f>IF($I4496=0,0,$J4496*$H4496/100/12)</f>
      </c>
      <c r="M4496" s="43">
        <f>IF($I4496=0,0,IF(OR(INDEX(DarlOhneTilgung,10)=1,AND(INDEX(DarlTilgStart,10)&gt;0,$E4496&lt;INDEX(DarlTilgStart,10))),0,MIN(MAX(0,$K4496-$L4496),$J4496)))</f>
      </c>
      <c r="N4496" s="43">
        <f>IF($I4496=0,0,MIN(SUMIFS(SondBetrag,SondDarl,10,SondDatum,"&gt;="&amp;$E4496,SondDatum,"&lt;="&amp;EOMONTH($E4496,0)),$J4496-$M4496))</f>
      </c>
      <c r="O4496" s="43">
        <f>IF($I4496=0,0,INDEX(DarlErsatzRate,10))</f>
      </c>
      <c r="P4496" s="43">
        <f>IF($I4496=0,0,$Q4495*INDEX(DarlErsatzZins,10))</f>
      </c>
      <c r="Q4496" s="43">
        <f>IF($I4496=0,0,$Q4495+$P4496+$O4496)</f>
      </c>
      <c r="R4496" s="43">
        <f>IF($I4496=0,0,$J4496-$M4496-$N4496)</f>
      </c>
    </row>
    <row r="4497">
      <c r="A4497"/>
      <c r="B4497">
        <v>10</v>
      </c>
      <c r="C4497" s="43">
        <f>INDEX(DarlObj,10)</f>
      </c>
      <c r="D4497">
        <v>174</v>
      </c>
      <c r="E4497" s="51">
        <f>IF(INDEX(DarlBelegt,10)=0,0,EOMONTH(INDEX(DarlAuszahlung,10),173)+1)</f>
      </c>
      <c r="F4497" s="43">
        <f>IF($E4497=0,0,YEAR($E4497))</f>
      </c>
      <c r="G4497" s="43">
        <f>IF(INDEX(DarlBindung,10)="",1,IF($E4497&lt;=INDEX(DarlBindung,10),1,0))</f>
      </c>
      <c r="H4497" s="43">
        <f>IF($G4497=1,INDEX(DarlSollzins,10),INDEX(DarlAnschluss,10))</f>
      </c>
      <c r="I4497" s="43">
        <f>IF(INDEX(DarlBelegt,10)=0,0,IF(INDEX(DarlOhneTilgung,10)=1,IF(INDEX(DarlBindung,10)="",1,$G4497),IF($J4497&gt;0.005,1,0)))</f>
      </c>
      <c r="J4497" s="43">
        <f>IF($I4496=0,0,$R4496)</f>
      </c>
      <c r="K4497" s="43">
        <f>IF($I4497=0,0,IF(INDEX(DarlOhneTilgung,10)=1,0,IF(AND(INDEX(DarlTilgStart,10)&gt;0,$E4497=INDEX(DarlTilgStart,10)),$J4497*($H4497+INDEX(DarlTilgung,10))/100/12,IF(AND($G4497=0,$G4496=1),MAX($K4496,$J4497*($H4497+1)/100/12),$K4496))))</f>
      </c>
      <c r="L4497" s="43">
        <f>IF($I4497=0,0,$J4497*$H4497/100/12)</f>
      </c>
      <c r="M4497" s="43">
        <f>IF($I4497=0,0,IF(OR(INDEX(DarlOhneTilgung,10)=1,AND(INDEX(DarlTilgStart,10)&gt;0,$E4497&lt;INDEX(DarlTilgStart,10))),0,MIN(MAX(0,$K4497-$L4497),$J4497)))</f>
      </c>
      <c r="N4497" s="43">
        <f>IF($I4497=0,0,MIN(SUMIFS(SondBetrag,SondDarl,10,SondDatum,"&gt;="&amp;$E4497,SondDatum,"&lt;="&amp;EOMONTH($E4497,0)),$J4497-$M4497))</f>
      </c>
      <c r="O4497" s="43">
        <f>IF($I4497=0,0,INDEX(DarlErsatzRate,10))</f>
      </c>
      <c r="P4497" s="43">
        <f>IF($I4497=0,0,$Q4496*INDEX(DarlErsatzZins,10))</f>
      </c>
      <c r="Q4497" s="43">
        <f>IF($I4497=0,0,$Q4496+$P4497+$O4497)</f>
      </c>
      <c r="R4497" s="43">
        <f>IF($I4497=0,0,$J4497-$M4497-$N4497)</f>
      </c>
    </row>
    <row r="4498">
      <c r="A4498"/>
      <c r="B4498">
        <v>10</v>
      </c>
      <c r="C4498" s="43">
        <f>INDEX(DarlObj,10)</f>
      </c>
      <c r="D4498">
        <v>175</v>
      </c>
      <c r="E4498" s="51">
        <f>IF(INDEX(DarlBelegt,10)=0,0,EOMONTH(INDEX(DarlAuszahlung,10),174)+1)</f>
      </c>
      <c r="F4498" s="43">
        <f>IF($E4498=0,0,YEAR($E4498))</f>
      </c>
      <c r="G4498" s="43">
        <f>IF(INDEX(DarlBindung,10)="",1,IF($E4498&lt;=INDEX(DarlBindung,10),1,0))</f>
      </c>
      <c r="H4498" s="43">
        <f>IF($G4498=1,INDEX(DarlSollzins,10),INDEX(DarlAnschluss,10))</f>
      </c>
      <c r="I4498" s="43">
        <f>IF(INDEX(DarlBelegt,10)=0,0,IF(INDEX(DarlOhneTilgung,10)=1,IF(INDEX(DarlBindung,10)="",1,$G4498),IF($J4498&gt;0.005,1,0)))</f>
      </c>
      <c r="J4498" s="43">
        <f>IF($I4497=0,0,$R4497)</f>
      </c>
      <c r="K4498" s="43">
        <f>IF($I4498=0,0,IF(INDEX(DarlOhneTilgung,10)=1,0,IF(AND(INDEX(DarlTilgStart,10)&gt;0,$E4498=INDEX(DarlTilgStart,10)),$J4498*($H4498+INDEX(DarlTilgung,10))/100/12,IF(AND($G4498=0,$G4497=1),MAX($K4497,$J4498*($H4498+1)/100/12),$K4497))))</f>
      </c>
      <c r="L4498" s="43">
        <f>IF($I4498=0,0,$J4498*$H4498/100/12)</f>
      </c>
      <c r="M4498" s="43">
        <f>IF($I4498=0,0,IF(OR(INDEX(DarlOhneTilgung,10)=1,AND(INDEX(DarlTilgStart,10)&gt;0,$E4498&lt;INDEX(DarlTilgStart,10))),0,MIN(MAX(0,$K4498-$L4498),$J4498)))</f>
      </c>
      <c r="N4498" s="43">
        <f>IF($I4498=0,0,MIN(SUMIFS(SondBetrag,SondDarl,10,SondDatum,"&gt;="&amp;$E4498,SondDatum,"&lt;="&amp;EOMONTH($E4498,0)),$J4498-$M4498))</f>
      </c>
      <c r="O4498" s="43">
        <f>IF($I4498=0,0,INDEX(DarlErsatzRate,10))</f>
      </c>
      <c r="P4498" s="43">
        <f>IF($I4498=0,0,$Q4497*INDEX(DarlErsatzZins,10))</f>
      </c>
      <c r="Q4498" s="43">
        <f>IF($I4498=0,0,$Q4497+$P4498+$O4498)</f>
      </c>
      <c r="R4498" s="43">
        <f>IF($I4498=0,0,$J4498-$M4498-$N4498)</f>
      </c>
    </row>
    <row r="4499">
      <c r="A4499"/>
      <c r="B4499">
        <v>10</v>
      </c>
      <c r="C4499" s="43">
        <f>INDEX(DarlObj,10)</f>
      </c>
      <c r="D4499">
        <v>176</v>
      </c>
      <c r="E4499" s="51">
        <f>IF(INDEX(DarlBelegt,10)=0,0,EOMONTH(INDEX(DarlAuszahlung,10),175)+1)</f>
      </c>
      <c r="F4499" s="43">
        <f>IF($E4499=0,0,YEAR($E4499))</f>
      </c>
      <c r="G4499" s="43">
        <f>IF(INDEX(DarlBindung,10)="",1,IF($E4499&lt;=INDEX(DarlBindung,10),1,0))</f>
      </c>
      <c r="H4499" s="43">
        <f>IF($G4499=1,INDEX(DarlSollzins,10),INDEX(DarlAnschluss,10))</f>
      </c>
      <c r="I4499" s="43">
        <f>IF(INDEX(DarlBelegt,10)=0,0,IF(INDEX(DarlOhneTilgung,10)=1,IF(INDEX(DarlBindung,10)="",1,$G4499),IF($J4499&gt;0.005,1,0)))</f>
      </c>
      <c r="J4499" s="43">
        <f>IF($I4498=0,0,$R4498)</f>
      </c>
      <c r="K4499" s="43">
        <f>IF($I4499=0,0,IF(INDEX(DarlOhneTilgung,10)=1,0,IF(AND(INDEX(DarlTilgStart,10)&gt;0,$E4499=INDEX(DarlTilgStart,10)),$J4499*($H4499+INDEX(DarlTilgung,10))/100/12,IF(AND($G4499=0,$G4498=1),MAX($K4498,$J4499*($H4499+1)/100/12),$K4498))))</f>
      </c>
      <c r="L4499" s="43">
        <f>IF($I4499=0,0,$J4499*$H4499/100/12)</f>
      </c>
      <c r="M4499" s="43">
        <f>IF($I4499=0,0,IF(OR(INDEX(DarlOhneTilgung,10)=1,AND(INDEX(DarlTilgStart,10)&gt;0,$E4499&lt;INDEX(DarlTilgStart,10))),0,MIN(MAX(0,$K4499-$L4499),$J4499)))</f>
      </c>
      <c r="N4499" s="43">
        <f>IF($I4499=0,0,MIN(SUMIFS(SondBetrag,SondDarl,10,SondDatum,"&gt;="&amp;$E4499,SondDatum,"&lt;="&amp;EOMONTH($E4499,0)),$J4499-$M4499))</f>
      </c>
      <c r="O4499" s="43">
        <f>IF($I4499=0,0,INDEX(DarlErsatzRate,10))</f>
      </c>
      <c r="P4499" s="43">
        <f>IF($I4499=0,0,$Q4498*INDEX(DarlErsatzZins,10))</f>
      </c>
      <c r="Q4499" s="43">
        <f>IF($I4499=0,0,$Q4498+$P4499+$O4499)</f>
      </c>
      <c r="R4499" s="43">
        <f>IF($I4499=0,0,$J4499-$M4499-$N4499)</f>
      </c>
    </row>
    <row r="4500">
      <c r="A4500"/>
      <c r="B4500">
        <v>10</v>
      </c>
      <c r="C4500" s="43">
        <f>INDEX(DarlObj,10)</f>
      </c>
      <c r="D4500">
        <v>177</v>
      </c>
      <c r="E4500" s="51">
        <f>IF(INDEX(DarlBelegt,10)=0,0,EOMONTH(INDEX(DarlAuszahlung,10),176)+1)</f>
      </c>
      <c r="F4500" s="43">
        <f>IF($E4500=0,0,YEAR($E4500))</f>
      </c>
      <c r="G4500" s="43">
        <f>IF(INDEX(DarlBindung,10)="",1,IF($E4500&lt;=INDEX(DarlBindung,10),1,0))</f>
      </c>
      <c r="H4500" s="43">
        <f>IF($G4500=1,INDEX(DarlSollzins,10),INDEX(DarlAnschluss,10))</f>
      </c>
      <c r="I4500" s="43">
        <f>IF(INDEX(DarlBelegt,10)=0,0,IF(INDEX(DarlOhneTilgung,10)=1,IF(INDEX(DarlBindung,10)="",1,$G4500),IF($J4500&gt;0.005,1,0)))</f>
      </c>
      <c r="J4500" s="43">
        <f>IF($I4499=0,0,$R4499)</f>
      </c>
      <c r="K4500" s="43">
        <f>IF($I4500=0,0,IF(INDEX(DarlOhneTilgung,10)=1,0,IF(AND(INDEX(DarlTilgStart,10)&gt;0,$E4500=INDEX(DarlTilgStart,10)),$J4500*($H4500+INDEX(DarlTilgung,10))/100/12,IF(AND($G4500=0,$G4499=1),MAX($K4499,$J4500*($H4500+1)/100/12),$K4499))))</f>
      </c>
      <c r="L4500" s="43">
        <f>IF($I4500=0,0,$J4500*$H4500/100/12)</f>
      </c>
      <c r="M4500" s="43">
        <f>IF($I4500=0,0,IF(OR(INDEX(DarlOhneTilgung,10)=1,AND(INDEX(DarlTilgStart,10)&gt;0,$E4500&lt;INDEX(DarlTilgStart,10))),0,MIN(MAX(0,$K4500-$L4500),$J4500)))</f>
      </c>
      <c r="N4500" s="43">
        <f>IF($I4500=0,0,MIN(SUMIFS(SondBetrag,SondDarl,10,SondDatum,"&gt;="&amp;$E4500,SondDatum,"&lt;="&amp;EOMONTH($E4500,0)),$J4500-$M4500))</f>
      </c>
      <c r="O4500" s="43">
        <f>IF($I4500=0,0,INDEX(DarlErsatzRate,10))</f>
      </c>
      <c r="P4500" s="43">
        <f>IF($I4500=0,0,$Q4499*INDEX(DarlErsatzZins,10))</f>
      </c>
      <c r="Q4500" s="43">
        <f>IF($I4500=0,0,$Q4499+$P4500+$O4500)</f>
      </c>
      <c r="R4500" s="43">
        <f>IF($I4500=0,0,$J4500-$M4500-$N4500)</f>
      </c>
    </row>
    <row r="4501">
      <c r="A4501"/>
      <c r="B4501">
        <v>10</v>
      </c>
      <c r="C4501" s="43">
        <f>INDEX(DarlObj,10)</f>
      </c>
      <c r="D4501">
        <v>178</v>
      </c>
      <c r="E4501" s="51">
        <f>IF(INDEX(DarlBelegt,10)=0,0,EOMONTH(INDEX(DarlAuszahlung,10),177)+1)</f>
      </c>
      <c r="F4501" s="43">
        <f>IF($E4501=0,0,YEAR($E4501))</f>
      </c>
      <c r="G4501" s="43">
        <f>IF(INDEX(DarlBindung,10)="",1,IF($E4501&lt;=INDEX(DarlBindung,10),1,0))</f>
      </c>
      <c r="H4501" s="43">
        <f>IF($G4501=1,INDEX(DarlSollzins,10),INDEX(DarlAnschluss,10))</f>
      </c>
      <c r="I4501" s="43">
        <f>IF(INDEX(DarlBelegt,10)=0,0,IF(INDEX(DarlOhneTilgung,10)=1,IF(INDEX(DarlBindung,10)="",1,$G4501),IF($J4501&gt;0.005,1,0)))</f>
      </c>
      <c r="J4501" s="43">
        <f>IF($I4500=0,0,$R4500)</f>
      </c>
      <c r="K4501" s="43">
        <f>IF($I4501=0,0,IF(INDEX(DarlOhneTilgung,10)=1,0,IF(AND(INDEX(DarlTilgStart,10)&gt;0,$E4501=INDEX(DarlTilgStart,10)),$J4501*($H4501+INDEX(DarlTilgung,10))/100/12,IF(AND($G4501=0,$G4500=1),MAX($K4500,$J4501*($H4501+1)/100/12),$K4500))))</f>
      </c>
      <c r="L4501" s="43">
        <f>IF($I4501=0,0,$J4501*$H4501/100/12)</f>
      </c>
      <c r="M4501" s="43">
        <f>IF($I4501=0,0,IF(OR(INDEX(DarlOhneTilgung,10)=1,AND(INDEX(DarlTilgStart,10)&gt;0,$E4501&lt;INDEX(DarlTilgStart,10))),0,MIN(MAX(0,$K4501-$L4501),$J4501)))</f>
      </c>
      <c r="N4501" s="43">
        <f>IF($I4501=0,0,MIN(SUMIFS(SondBetrag,SondDarl,10,SondDatum,"&gt;="&amp;$E4501,SondDatum,"&lt;="&amp;EOMONTH($E4501,0)),$J4501-$M4501))</f>
      </c>
      <c r="O4501" s="43">
        <f>IF($I4501=0,0,INDEX(DarlErsatzRate,10))</f>
      </c>
      <c r="P4501" s="43">
        <f>IF($I4501=0,0,$Q4500*INDEX(DarlErsatzZins,10))</f>
      </c>
      <c r="Q4501" s="43">
        <f>IF($I4501=0,0,$Q4500+$P4501+$O4501)</f>
      </c>
      <c r="R4501" s="43">
        <f>IF($I4501=0,0,$J4501-$M4501-$N4501)</f>
      </c>
    </row>
    <row r="4502">
      <c r="A4502"/>
      <c r="B4502">
        <v>10</v>
      </c>
      <c r="C4502" s="43">
        <f>INDEX(DarlObj,10)</f>
      </c>
      <c r="D4502">
        <v>179</v>
      </c>
      <c r="E4502" s="51">
        <f>IF(INDEX(DarlBelegt,10)=0,0,EOMONTH(INDEX(DarlAuszahlung,10),178)+1)</f>
      </c>
      <c r="F4502" s="43">
        <f>IF($E4502=0,0,YEAR($E4502))</f>
      </c>
      <c r="G4502" s="43">
        <f>IF(INDEX(DarlBindung,10)="",1,IF($E4502&lt;=INDEX(DarlBindung,10),1,0))</f>
      </c>
      <c r="H4502" s="43">
        <f>IF($G4502=1,INDEX(DarlSollzins,10),INDEX(DarlAnschluss,10))</f>
      </c>
      <c r="I4502" s="43">
        <f>IF(INDEX(DarlBelegt,10)=0,0,IF(INDEX(DarlOhneTilgung,10)=1,IF(INDEX(DarlBindung,10)="",1,$G4502),IF($J4502&gt;0.005,1,0)))</f>
      </c>
      <c r="J4502" s="43">
        <f>IF($I4501=0,0,$R4501)</f>
      </c>
      <c r="K4502" s="43">
        <f>IF($I4502=0,0,IF(INDEX(DarlOhneTilgung,10)=1,0,IF(AND(INDEX(DarlTilgStart,10)&gt;0,$E4502=INDEX(DarlTilgStart,10)),$J4502*($H4502+INDEX(DarlTilgung,10))/100/12,IF(AND($G4502=0,$G4501=1),MAX($K4501,$J4502*($H4502+1)/100/12),$K4501))))</f>
      </c>
      <c r="L4502" s="43">
        <f>IF($I4502=0,0,$J4502*$H4502/100/12)</f>
      </c>
      <c r="M4502" s="43">
        <f>IF($I4502=0,0,IF(OR(INDEX(DarlOhneTilgung,10)=1,AND(INDEX(DarlTilgStart,10)&gt;0,$E4502&lt;INDEX(DarlTilgStart,10))),0,MIN(MAX(0,$K4502-$L4502),$J4502)))</f>
      </c>
      <c r="N4502" s="43">
        <f>IF($I4502=0,0,MIN(SUMIFS(SondBetrag,SondDarl,10,SondDatum,"&gt;="&amp;$E4502,SondDatum,"&lt;="&amp;EOMONTH($E4502,0)),$J4502-$M4502))</f>
      </c>
      <c r="O4502" s="43">
        <f>IF($I4502=0,0,INDEX(DarlErsatzRate,10))</f>
      </c>
      <c r="P4502" s="43">
        <f>IF($I4502=0,0,$Q4501*INDEX(DarlErsatzZins,10))</f>
      </c>
      <c r="Q4502" s="43">
        <f>IF($I4502=0,0,$Q4501+$P4502+$O4502)</f>
      </c>
      <c r="R4502" s="43">
        <f>IF($I4502=0,0,$J4502-$M4502-$N4502)</f>
      </c>
    </row>
    <row r="4503">
      <c r="A4503"/>
      <c r="B4503">
        <v>10</v>
      </c>
      <c r="C4503" s="43">
        <f>INDEX(DarlObj,10)</f>
      </c>
      <c r="D4503">
        <v>180</v>
      </c>
      <c r="E4503" s="51">
        <f>IF(INDEX(DarlBelegt,10)=0,0,EOMONTH(INDEX(DarlAuszahlung,10),179)+1)</f>
      </c>
      <c r="F4503" s="43">
        <f>IF($E4503=0,0,YEAR($E4503))</f>
      </c>
      <c r="G4503" s="43">
        <f>IF(INDEX(DarlBindung,10)="",1,IF($E4503&lt;=INDEX(DarlBindung,10),1,0))</f>
      </c>
      <c r="H4503" s="43">
        <f>IF($G4503=1,INDEX(DarlSollzins,10),INDEX(DarlAnschluss,10))</f>
      </c>
      <c r="I4503" s="43">
        <f>IF(INDEX(DarlBelegt,10)=0,0,IF(INDEX(DarlOhneTilgung,10)=1,IF(INDEX(DarlBindung,10)="",1,$G4503),IF($J4503&gt;0.005,1,0)))</f>
      </c>
      <c r="J4503" s="43">
        <f>IF($I4502=0,0,$R4502)</f>
      </c>
      <c r="K4503" s="43">
        <f>IF($I4503=0,0,IF(INDEX(DarlOhneTilgung,10)=1,0,IF(AND(INDEX(DarlTilgStart,10)&gt;0,$E4503=INDEX(DarlTilgStart,10)),$J4503*($H4503+INDEX(DarlTilgung,10))/100/12,IF(AND($G4503=0,$G4502=1),MAX($K4502,$J4503*($H4503+1)/100/12),$K4502))))</f>
      </c>
      <c r="L4503" s="43">
        <f>IF($I4503=0,0,$J4503*$H4503/100/12)</f>
      </c>
      <c r="M4503" s="43">
        <f>IF($I4503=0,0,IF(OR(INDEX(DarlOhneTilgung,10)=1,AND(INDEX(DarlTilgStart,10)&gt;0,$E4503&lt;INDEX(DarlTilgStart,10))),0,MIN(MAX(0,$K4503-$L4503),$J4503)))</f>
      </c>
      <c r="N4503" s="43">
        <f>IF($I4503=0,0,MIN(SUMIFS(SondBetrag,SondDarl,10,SondDatum,"&gt;="&amp;$E4503,SondDatum,"&lt;="&amp;EOMONTH($E4503,0)),$J4503-$M4503))</f>
      </c>
      <c r="O4503" s="43">
        <f>IF($I4503=0,0,INDEX(DarlErsatzRate,10))</f>
      </c>
      <c r="P4503" s="43">
        <f>IF($I4503=0,0,$Q4502*INDEX(DarlErsatzZins,10))</f>
      </c>
      <c r="Q4503" s="43">
        <f>IF($I4503=0,0,$Q4502+$P4503+$O4503)</f>
      </c>
      <c r="R4503" s="43">
        <f>IF($I4503=0,0,$J4503-$M4503-$N4503)</f>
      </c>
    </row>
    <row r="4504">
      <c r="A4504"/>
      <c r="B4504">
        <v>10</v>
      </c>
      <c r="C4504" s="43">
        <f>INDEX(DarlObj,10)</f>
      </c>
      <c r="D4504">
        <v>181</v>
      </c>
      <c r="E4504" s="51">
        <f>IF(INDEX(DarlBelegt,10)=0,0,EOMONTH(INDEX(DarlAuszahlung,10),180)+1)</f>
      </c>
      <c r="F4504" s="43">
        <f>IF($E4504=0,0,YEAR($E4504))</f>
      </c>
      <c r="G4504" s="43">
        <f>IF(INDEX(DarlBindung,10)="",1,IF($E4504&lt;=INDEX(DarlBindung,10),1,0))</f>
      </c>
      <c r="H4504" s="43">
        <f>IF($G4504=1,INDEX(DarlSollzins,10),INDEX(DarlAnschluss,10))</f>
      </c>
      <c r="I4504" s="43">
        <f>IF(INDEX(DarlBelegt,10)=0,0,IF(INDEX(DarlOhneTilgung,10)=1,IF(INDEX(DarlBindung,10)="",1,$G4504),IF($J4504&gt;0.005,1,0)))</f>
      </c>
      <c r="J4504" s="43">
        <f>IF($I4503=0,0,$R4503)</f>
      </c>
      <c r="K4504" s="43">
        <f>IF($I4504=0,0,IF(INDEX(DarlOhneTilgung,10)=1,0,IF(AND(INDEX(DarlTilgStart,10)&gt;0,$E4504=INDEX(DarlTilgStart,10)),$J4504*($H4504+INDEX(DarlTilgung,10))/100/12,IF(AND($G4504=0,$G4503=1),MAX($K4503,$J4504*($H4504+1)/100/12),$K4503))))</f>
      </c>
      <c r="L4504" s="43">
        <f>IF($I4504=0,0,$J4504*$H4504/100/12)</f>
      </c>
      <c r="M4504" s="43">
        <f>IF($I4504=0,0,IF(OR(INDEX(DarlOhneTilgung,10)=1,AND(INDEX(DarlTilgStart,10)&gt;0,$E4504&lt;INDEX(DarlTilgStart,10))),0,MIN(MAX(0,$K4504-$L4504),$J4504)))</f>
      </c>
      <c r="N4504" s="43">
        <f>IF($I4504=0,0,MIN(SUMIFS(SondBetrag,SondDarl,10,SondDatum,"&gt;="&amp;$E4504,SondDatum,"&lt;="&amp;EOMONTH($E4504,0)),$J4504-$M4504))</f>
      </c>
      <c r="O4504" s="43">
        <f>IF($I4504=0,0,INDEX(DarlErsatzRate,10))</f>
      </c>
      <c r="P4504" s="43">
        <f>IF($I4504=0,0,$Q4503*INDEX(DarlErsatzZins,10))</f>
      </c>
      <c r="Q4504" s="43">
        <f>IF($I4504=0,0,$Q4503+$P4504+$O4504)</f>
      </c>
      <c r="R4504" s="43">
        <f>IF($I4504=0,0,$J4504-$M4504-$N4504)</f>
      </c>
    </row>
    <row r="4505">
      <c r="A4505"/>
      <c r="B4505">
        <v>10</v>
      </c>
      <c r="C4505" s="43">
        <f>INDEX(DarlObj,10)</f>
      </c>
      <c r="D4505">
        <v>182</v>
      </c>
      <c r="E4505" s="51">
        <f>IF(INDEX(DarlBelegt,10)=0,0,EOMONTH(INDEX(DarlAuszahlung,10),181)+1)</f>
      </c>
      <c r="F4505" s="43">
        <f>IF($E4505=0,0,YEAR($E4505))</f>
      </c>
      <c r="G4505" s="43">
        <f>IF(INDEX(DarlBindung,10)="",1,IF($E4505&lt;=INDEX(DarlBindung,10),1,0))</f>
      </c>
      <c r="H4505" s="43">
        <f>IF($G4505=1,INDEX(DarlSollzins,10),INDEX(DarlAnschluss,10))</f>
      </c>
      <c r="I4505" s="43">
        <f>IF(INDEX(DarlBelegt,10)=0,0,IF(INDEX(DarlOhneTilgung,10)=1,IF(INDEX(DarlBindung,10)="",1,$G4505),IF($J4505&gt;0.005,1,0)))</f>
      </c>
      <c r="J4505" s="43">
        <f>IF($I4504=0,0,$R4504)</f>
      </c>
      <c r="K4505" s="43">
        <f>IF($I4505=0,0,IF(INDEX(DarlOhneTilgung,10)=1,0,IF(AND(INDEX(DarlTilgStart,10)&gt;0,$E4505=INDEX(DarlTilgStart,10)),$J4505*($H4505+INDEX(DarlTilgung,10))/100/12,IF(AND($G4505=0,$G4504=1),MAX($K4504,$J4505*($H4505+1)/100/12),$K4504))))</f>
      </c>
      <c r="L4505" s="43">
        <f>IF($I4505=0,0,$J4505*$H4505/100/12)</f>
      </c>
      <c r="M4505" s="43">
        <f>IF($I4505=0,0,IF(OR(INDEX(DarlOhneTilgung,10)=1,AND(INDEX(DarlTilgStart,10)&gt;0,$E4505&lt;INDEX(DarlTilgStart,10))),0,MIN(MAX(0,$K4505-$L4505),$J4505)))</f>
      </c>
      <c r="N4505" s="43">
        <f>IF($I4505=0,0,MIN(SUMIFS(SondBetrag,SondDarl,10,SondDatum,"&gt;="&amp;$E4505,SondDatum,"&lt;="&amp;EOMONTH($E4505,0)),$J4505-$M4505))</f>
      </c>
      <c r="O4505" s="43">
        <f>IF($I4505=0,0,INDEX(DarlErsatzRate,10))</f>
      </c>
      <c r="P4505" s="43">
        <f>IF($I4505=0,0,$Q4504*INDEX(DarlErsatzZins,10))</f>
      </c>
      <c r="Q4505" s="43">
        <f>IF($I4505=0,0,$Q4504+$P4505+$O4505)</f>
      </c>
      <c r="R4505" s="43">
        <f>IF($I4505=0,0,$J4505-$M4505-$N4505)</f>
      </c>
    </row>
    <row r="4506">
      <c r="A4506"/>
      <c r="B4506">
        <v>10</v>
      </c>
      <c r="C4506" s="43">
        <f>INDEX(DarlObj,10)</f>
      </c>
      <c r="D4506">
        <v>183</v>
      </c>
      <c r="E4506" s="51">
        <f>IF(INDEX(DarlBelegt,10)=0,0,EOMONTH(INDEX(DarlAuszahlung,10),182)+1)</f>
      </c>
      <c r="F4506" s="43">
        <f>IF($E4506=0,0,YEAR($E4506))</f>
      </c>
      <c r="G4506" s="43">
        <f>IF(INDEX(DarlBindung,10)="",1,IF($E4506&lt;=INDEX(DarlBindung,10),1,0))</f>
      </c>
      <c r="H4506" s="43">
        <f>IF($G4506=1,INDEX(DarlSollzins,10),INDEX(DarlAnschluss,10))</f>
      </c>
      <c r="I4506" s="43">
        <f>IF(INDEX(DarlBelegt,10)=0,0,IF(INDEX(DarlOhneTilgung,10)=1,IF(INDEX(DarlBindung,10)="",1,$G4506),IF($J4506&gt;0.005,1,0)))</f>
      </c>
      <c r="J4506" s="43">
        <f>IF($I4505=0,0,$R4505)</f>
      </c>
      <c r="K4506" s="43">
        <f>IF($I4506=0,0,IF(INDEX(DarlOhneTilgung,10)=1,0,IF(AND(INDEX(DarlTilgStart,10)&gt;0,$E4506=INDEX(DarlTilgStart,10)),$J4506*($H4506+INDEX(DarlTilgung,10))/100/12,IF(AND($G4506=0,$G4505=1),MAX($K4505,$J4506*($H4506+1)/100/12),$K4505))))</f>
      </c>
      <c r="L4506" s="43">
        <f>IF($I4506=0,0,$J4506*$H4506/100/12)</f>
      </c>
      <c r="M4506" s="43">
        <f>IF($I4506=0,0,IF(OR(INDEX(DarlOhneTilgung,10)=1,AND(INDEX(DarlTilgStart,10)&gt;0,$E4506&lt;INDEX(DarlTilgStart,10))),0,MIN(MAX(0,$K4506-$L4506),$J4506)))</f>
      </c>
      <c r="N4506" s="43">
        <f>IF($I4506=0,0,MIN(SUMIFS(SondBetrag,SondDarl,10,SondDatum,"&gt;="&amp;$E4506,SondDatum,"&lt;="&amp;EOMONTH($E4506,0)),$J4506-$M4506))</f>
      </c>
      <c r="O4506" s="43">
        <f>IF($I4506=0,0,INDEX(DarlErsatzRate,10))</f>
      </c>
      <c r="P4506" s="43">
        <f>IF($I4506=0,0,$Q4505*INDEX(DarlErsatzZins,10))</f>
      </c>
      <c r="Q4506" s="43">
        <f>IF($I4506=0,0,$Q4505+$P4506+$O4506)</f>
      </c>
      <c r="R4506" s="43">
        <f>IF($I4506=0,0,$J4506-$M4506-$N4506)</f>
      </c>
    </row>
    <row r="4507">
      <c r="A4507"/>
      <c r="B4507">
        <v>10</v>
      </c>
      <c r="C4507" s="43">
        <f>INDEX(DarlObj,10)</f>
      </c>
      <c r="D4507">
        <v>184</v>
      </c>
      <c r="E4507" s="51">
        <f>IF(INDEX(DarlBelegt,10)=0,0,EOMONTH(INDEX(DarlAuszahlung,10),183)+1)</f>
      </c>
      <c r="F4507" s="43">
        <f>IF($E4507=0,0,YEAR($E4507))</f>
      </c>
      <c r="G4507" s="43">
        <f>IF(INDEX(DarlBindung,10)="",1,IF($E4507&lt;=INDEX(DarlBindung,10),1,0))</f>
      </c>
      <c r="H4507" s="43">
        <f>IF($G4507=1,INDEX(DarlSollzins,10),INDEX(DarlAnschluss,10))</f>
      </c>
      <c r="I4507" s="43">
        <f>IF(INDEX(DarlBelegt,10)=0,0,IF(INDEX(DarlOhneTilgung,10)=1,IF(INDEX(DarlBindung,10)="",1,$G4507),IF($J4507&gt;0.005,1,0)))</f>
      </c>
      <c r="J4507" s="43">
        <f>IF($I4506=0,0,$R4506)</f>
      </c>
      <c r="K4507" s="43">
        <f>IF($I4507=0,0,IF(INDEX(DarlOhneTilgung,10)=1,0,IF(AND(INDEX(DarlTilgStart,10)&gt;0,$E4507=INDEX(DarlTilgStart,10)),$J4507*($H4507+INDEX(DarlTilgung,10))/100/12,IF(AND($G4507=0,$G4506=1),MAX($K4506,$J4507*($H4507+1)/100/12),$K4506))))</f>
      </c>
      <c r="L4507" s="43">
        <f>IF($I4507=0,0,$J4507*$H4507/100/12)</f>
      </c>
      <c r="M4507" s="43">
        <f>IF($I4507=0,0,IF(OR(INDEX(DarlOhneTilgung,10)=1,AND(INDEX(DarlTilgStart,10)&gt;0,$E4507&lt;INDEX(DarlTilgStart,10))),0,MIN(MAX(0,$K4507-$L4507),$J4507)))</f>
      </c>
      <c r="N4507" s="43">
        <f>IF($I4507=0,0,MIN(SUMIFS(SondBetrag,SondDarl,10,SondDatum,"&gt;="&amp;$E4507,SondDatum,"&lt;="&amp;EOMONTH($E4507,0)),$J4507-$M4507))</f>
      </c>
      <c r="O4507" s="43">
        <f>IF($I4507=0,0,INDEX(DarlErsatzRate,10))</f>
      </c>
      <c r="P4507" s="43">
        <f>IF($I4507=0,0,$Q4506*INDEX(DarlErsatzZins,10))</f>
      </c>
      <c r="Q4507" s="43">
        <f>IF($I4507=0,0,$Q4506+$P4507+$O4507)</f>
      </c>
      <c r="R4507" s="43">
        <f>IF($I4507=0,0,$J4507-$M4507-$N4507)</f>
      </c>
    </row>
    <row r="4508">
      <c r="A4508"/>
      <c r="B4508">
        <v>10</v>
      </c>
      <c r="C4508" s="43">
        <f>INDEX(DarlObj,10)</f>
      </c>
      <c r="D4508">
        <v>185</v>
      </c>
      <c r="E4508" s="51">
        <f>IF(INDEX(DarlBelegt,10)=0,0,EOMONTH(INDEX(DarlAuszahlung,10),184)+1)</f>
      </c>
      <c r="F4508" s="43">
        <f>IF($E4508=0,0,YEAR($E4508))</f>
      </c>
      <c r="G4508" s="43">
        <f>IF(INDEX(DarlBindung,10)="",1,IF($E4508&lt;=INDEX(DarlBindung,10),1,0))</f>
      </c>
      <c r="H4508" s="43">
        <f>IF($G4508=1,INDEX(DarlSollzins,10),INDEX(DarlAnschluss,10))</f>
      </c>
      <c r="I4508" s="43">
        <f>IF(INDEX(DarlBelegt,10)=0,0,IF(INDEX(DarlOhneTilgung,10)=1,IF(INDEX(DarlBindung,10)="",1,$G4508),IF($J4508&gt;0.005,1,0)))</f>
      </c>
      <c r="J4508" s="43">
        <f>IF($I4507=0,0,$R4507)</f>
      </c>
      <c r="K4508" s="43">
        <f>IF($I4508=0,0,IF(INDEX(DarlOhneTilgung,10)=1,0,IF(AND(INDEX(DarlTilgStart,10)&gt;0,$E4508=INDEX(DarlTilgStart,10)),$J4508*($H4508+INDEX(DarlTilgung,10))/100/12,IF(AND($G4508=0,$G4507=1),MAX($K4507,$J4508*($H4508+1)/100/12),$K4507))))</f>
      </c>
      <c r="L4508" s="43">
        <f>IF($I4508=0,0,$J4508*$H4508/100/12)</f>
      </c>
      <c r="M4508" s="43">
        <f>IF($I4508=0,0,IF(OR(INDEX(DarlOhneTilgung,10)=1,AND(INDEX(DarlTilgStart,10)&gt;0,$E4508&lt;INDEX(DarlTilgStart,10))),0,MIN(MAX(0,$K4508-$L4508),$J4508)))</f>
      </c>
      <c r="N4508" s="43">
        <f>IF($I4508=0,0,MIN(SUMIFS(SondBetrag,SondDarl,10,SondDatum,"&gt;="&amp;$E4508,SondDatum,"&lt;="&amp;EOMONTH($E4508,0)),$J4508-$M4508))</f>
      </c>
      <c r="O4508" s="43">
        <f>IF($I4508=0,0,INDEX(DarlErsatzRate,10))</f>
      </c>
      <c r="P4508" s="43">
        <f>IF($I4508=0,0,$Q4507*INDEX(DarlErsatzZins,10))</f>
      </c>
      <c r="Q4508" s="43">
        <f>IF($I4508=0,0,$Q4507+$P4508+$O4508)</f>
      </c>
      <c r="R4508" s="43">
        <f>IF($I4508=0,0,$J4508-$M4508-$N4508)</f>
      </c>
    </row>
    <row r="4509">
      <c r="A4509"/>
      <c r="B4509">
        <v>10</v>
      </c>
      <c r="C4509" s="43">
        <f>INDEX(DarlObj,10)</f>
      </c>
      <c r="D4509">
        <v>186</v>
      </c>
      <c r="E4509" s="51">
        <f>IF(INDEX(DarlBelegt,10)=0,0,EOMONTH(INDEX(DarlAuszahlung,10),185)+1)</f>
      </c>
      <c r="F4509" s="43">
        <f>IF($E4509=0,0,YEAR($E4509))</f>
      </c>
      <c r="G4509" s="43">
        <f>IF(INDEX(DarlBindung,10)="",1,IF($E4509&lt;=INDEX(DarlBindung,10),1,0))</f>
      </c>
      <c r="H4509" s="43">
        <f>IF($G4509=1,INDEX(DarlSollzins,10),INDEX(DarlAnschluss,10))</f>
      </c>
      <c r="I4509" s="43">
        <f>IF(INDEX(DarlBelegt,10)=0,0,IF(INDEX(DarlOhneTilgung,10)=1,IF(INDEX(DarlBindung,10)="",1,$G4509),IF($J4509&gt;0.005,1,0)))</f>
      </c>
      <c r="J4509" s="43">
        <f>IF($I4508=0,0,$R4508)</f>
      </c>
      <c r="K4509" s="43">
        <f>IF($I4509=0,0,IF(INDEX(DarlOhneTilgung,10)=1,0,IF(AND(INDEX(DarlTilgStart,10)&gt;0,$E4509=INDEX(DarlTilgStart,10)),$J4509*($H4509+INDEX(DarlTilgung,10))/100/12,IF(AND($G4509=0,$G4508=1),MAX($K4508,$J4509*($H4509+1)/100/12),$K4508))))</f>
      </c>
      <c r="L4509" s="43">
        <f>IF($I4509=0,0,$J4509*$H4509/100/12)</f>
      </c>
      <c r="M4509" s="43">
        <f>IF($I4509=0,0,IF(OR(INDEX(DarlOhneTilgung,10)=1,AND(INDEX(DarlTilgStart,10)&gt;0,$E4509&lt;INDEX(DarlTilgStart,10))),0,MIN(MAX(0,$K4509-$L4509),$J4509)))</f>
      </c>
      <c r="N4509" s="43">
        <f>IF($I4509=0,0,MIN(SUMIFS(SondBetrag,SondDarl,10,SondDatum,"&gt;="&amp;$E4509,SondDatum,"&lt;="&amp;EOMONTH($E4509,0)),$J4509-$M4509))</f>
      </c>
      <c r="O4509" s="43">
        <f>IF($I4509=0,0,INDEX(DarlErsatzRate,10))</f>
      </c>
      <c r="P4509" s="43">
        <f>IF($I4509=0,0,$Q4508*INDEX(DarlErsatzZins,10))</f>
      </c>
      <c r="Q4509" s="43">
        <f>IF($I4509=0,0,$Q4508+$P4509+$O4509)</f>
      </c>
      <c r="R4509" s="43">
        <f>IF($I4509=0,0,$J4509-$M4509-$N4509)</f>
      </c>
    </row>
    <row r="4510">
      <c r="A4510"/>
      <c r="B4510">
        <v>10</v>
      </c>
      <c r="C4510" s="43">
        <f>INDEX(DarlObj,10)</f>
      </c>
      <c r="D4510">
        <v>187</v>
      </c>
      <c r="E4510" s="51">
        <f>IF(INDEX(DarlBelegt,10)=0,0,EOMONTH(INDEX(DarlAuszahlung,10),186)+1)</f>
      </c>
      <c r="F4510" s="43">
        <f>IF($E4510=0,0,YEAR($E4510))</f>
      </c>
      <c r="G4510" s="43">
        <f>IF(INDEX(DarlBindung,10)="",1,IF($E4510&lt;=INDEX(DarlBindung,10),1,0))</f>
      </c>
      <c r="H4510" s="43">
        <f>IF($G4510=1,INDEX(DarlSollzins,10),INDEX(DarlAnschluss,10))</f>
      </c>
      <c r="I4510" s="43">
        <f>IF(INDEX(DarlBelegt,10)=0,0,IF(INDEX(DarlOhneTilgung,10)=1,IF(INDEX(DarlBindung,10)="",1,$G4510),IF($J4510&gt;0.005,1,0)))</f>
      </c>
      <c r="J4510" s="43">
        <f>IF($I4509=0,0,$R4509)</f>
      </c>
      <c r="K4510" s="43">
        <f>IF($I4510=0,0,IF(INDEX(DarlOhneTilgung,10)=1,0,IF(AND(INDEX(DarlTilgStart,10)&gt;0,$E4510=INDEX(DarlTilgStart,10)),$J4510*($H4510+INDEX(DarlTilgung,10))/100/12,IF(AND($G4510=0,$G4509=1),MAX($K4509,$J4510*($H4510+1)/100/12),$K4509))))</f>
      </c>
      <c r="L4510" s="43">
        <f>IF($I4510=0,0,$J4510*$H4510/100/12)</f>
      </c>
      <c r="M4510" s="43">
        <f>IF($I4510=0,0,IF(OR(INDEX(DarlOhneTilgung,10)=1,AND(INDEX(DarlTilgStart,10)&gt;0,$E4510&lt;INDEX(DarlTilgStart,10))),0,MIN(MAX(0,$K4510-$L4510),$J4510)))</f>
      </c>
      <c r="N4510" s="43">
        <f>IF($I4510=0,0,MIN(SUMIFS(SondBetrag,SondDarl,10,SondDatum,"&gt;="&amp;$E4510,SondDatum,"&lt;="&amp;EOMONTH($E4510,0)),$J4510-$M4510))</f>
      </c>
      <c r="O4510" s="43">
        <f>IF($I4510=0,0,INDEX(DarlErsatzRate,10))</f>
      </c>
      <c r="P4510" s="43">
        <f>IF($I4510=0,0,$Q4509*INDEX(DarlErsatzZins,10))</f>
      </c>
      <c r="Q4510" s="43">
        <f>IF($I4510=0,0,$Q4509+$P4510+$O4510)</f>
      </c>
      <c r="R4510" s="43">
        <f>IF($I4510=0,0,$J4510-$M4510-$N4510)</f>
      </c>
    </row>
    <row r="4511">
      <c r="A4511"/>
      <c r="B4511">
        <v>10</v>
      </c>
      <c r="C4511" s="43">
        <f>INDEX(DarlObj,10)</f>
      </c>
      <c r="D4511">
        <v>188</v>
      </c>
      <c r="E4511" s="51">
        <f>IF(INDEX(DarlBelegt,10)=0,0,EOMONTH(INDEX(DarlAuszahlung,10),187)+1)</f>
      </c>
      <c r="F4511" s="43">
        <f>IF($E4511=0,0,YEAR($E4511))</f>
      </c>
      <c r="G4511" s="43">
        <f>IF(INDEX(DarlBindung,10)="",1,IF($E4511&lt;=INDEX(DarlBindung,10),1,0))</f>
      </c>
      <c r="H4511" s="43">
        <f>IF($G4511=1,INDEX(DarlSollzins,10),INDEX(DarlAnschluss,10))</f>
      </c>
      <c r="I4511" s="43">
        <f>IF(INDEX(DarlBelegt,10)=0,0,IF(INDEX(DarlOhneTilgung,10)=1,IF(INDEX(DarlBindung,10)="",1,$G4511),IF($J4511&gt;0.005,1,0)))</f>
      </c>
      <c r="J4511" s="43">
        <f>IF($I4510=0,0,$R4510)</f>
      </c>
      <c r="K4511" s="43">
        <f>IF($I4511=0,0,IF(INDEX(DarlOhneTilgung,10)=1,0,IF(AND(INDEX(DarlTilgStart,10)&gt;0,$E4511=INDEX(DarlTilgStart,10)),$J4511*($H4511+INDEX(DarlTilgung,10))/100/12,IF(AND($G4511=0,$G4510=1),MAX($K4510,$J4511*($H4511+1)/100/12),$K4510))))</f>
      </c>
      <c r="L4511" s="43">
        <f>IF($I4511=0,0,$J4511*$H4511/100/12)</f>
      </c>
      <c r="M4511" s="43">
        <f>IF($I4511=0,0,IF(OR(INDEX(DarlOhneTilgung,10)=1,AND(INDEX(DarlTilgStart,10)&gt;0,$E4511&lt;INDEX(DarlTilgStart,10))),0,MIN(MAX(0,$K4511-$L4511),$J4511)))</f>
      </c>
      <c r="N4511" s="43">
        <f>IF($I4511=0,0,MIN(SUMIFS(SondBetrag,SondDarl,10,SondDatum,"&gt;="&amp;$E4511,SondDatum,"&lt;="&amp;EOMONTH($E4511,0)),$J4511-$M4511))</f>
      </c>
      <c r="O4511" s="43">
        <f>IF($I4511=0,0,INDEX(DarlErsatzRate,10))</f>
      </c>
      <c r="P4511" s="43">
        <f>IF($I4511=0,0,$Q4510*INDEX(DarlErsatzZins,10))</f>
      </c>
      <c r="Q4511" s="43">
        <f>IF($I4511=0,0,$Q4510+$P4511+$O4511)</f>
      </c>
      <c r="R4511" s="43">
        <f>IF($I4511=0,0,$J4511-$M4511-$N4511)</f>
      </c>
    </row>
    <row r="4512">
      <c r="A4512"/>
      <c r="B4512">
        <v>10</v>
      </c>
      <c r="C4512" s="43">
        <f>INDEX(DarlObj,10)</f>
      </c>
      <c r="D4512">
        <v>189</v>
      </c>
      <c r="E4512" s="51">
        <f>IF(INDEX(DarlBelegt,10)=0,0,EOMONTH(INDEX(DarlAuszahlung,10),188)+1)</f>
      </c>
      <c r="F4512" s="43">
        <f>IF($E4512=0,0,YEAR($E4512))</f>
      </c>
      <c r="G4512" s="43">
        <f>IF(INDEX(DarlBindung,10)="",1,IF($E4512&lt;=INDEX(DarlBindung,10),1,0))</f>
      </c>
      <c r="H4512" s="43">
        <f>IF($G4512=1,INDEX(DarlSollzins,10),INDEX(DarlAnschluss,10))</f>
      </c>
      <c r="I4512" s="43">
        <f>IF(INDEX(DarlBelegt,10)=0,0,IF(INDEX(DarlOhneTilgung,10)=1,IF(INDEX(DarlBindung,10)="",1,$G4512),IF($J4512&gt;0.005,1,0)))</f>
      </c>
      <c r="J4512" s="43">
        <f>IF($I4511=0,0,$R4511)</f>
      </c>
      <c r="K4512" s="43">
        <f>IF($I4512=0,0,IF(INDEX(DarlOhneTilgung,10)=1,0,IF(AND(INDEX(DarlTilgStart,10)&gt;0,$E4512=INDEX(DarlTilgStart,10)),$J4512*($H4512+INDEX(DarlTilgung,10))/100/12,IF(AND($G4512=0,$G4511=1),MAX($K4511,$J4512*($H4512+1)/100/12),$K4511))))</f>
      </c>
      <c r="L4512" s="43">
        <f>IF($I4512=0,0,$J4512*$H4512/100/12)</f>
      </c>
      <c r="M4512" s="43">
        <f>IF($I4512=0,0,IF(OR(INDEX(DarlOhneTilgung,10)=1,AND(INDEX(DarlTilgStart,10)&gt;0,$E4512&lt;INDEX(DarlTilgStart,10))),0,MIN(MAX(0,$K4512-$L4512),$J4512)))</f>
      </c>
      <c r="N4512" s="43">
        <f>IF($I4512=0,0,MIN(SUMIFS(SondBetrag,SondDarl,10,SondDatum,"&gt;="&amp;$E4512,SondDatum,"&lt;="&amp;EOMONTH($E4512,0)),$J4512-$M4512))</f>
      </c>
      <c r="O4512" s="43">
        <f>IF($I4512=0,0,INDEX(DarlErsatzRate,10))</f>
      </c>
      <c r="P4512" s="43">
        <f>IF($I4512=0,0,$Q4511*INDEX(DarlErsatzZins,10))</f>
      </c>
      <c r="Q4512" s="43">
        <f>IF($I4512=0,0,$Q4511+$P4512+$O4512)</f>
      </c>
      <c r="R4512" s="43">
        <f>IF($I4512=0,0,$J4512-$M4512-$N4512)</f>
      </c>
    </row>
    <row r="4513">
      <c r="A4513"/>
      <c r="B4513">
        <v>10</v>
      </c>
      <c r="C4513" s="43">
        <f>INDEX(DarlObj,10)</f>
      </c>
      <c r="D4513">
        <v>190</v>
      </c>
      <c r="E4513" s="51">
        <f>IF(INDEX(DarlBelegt,10)=0,0,EOMONTH(INDEX(DarlAuszahlung,10),189)+1)</f>
      </c>
      <c r="F4513" s="43">
        <f>IF($E4513=0,0,YEAR($E4513))</f>
      </c>
      <c r="G4513" s="43">
        <f>IF(INDEX(DarlBindung,10)="",1,IF($E4513&lt;=INDEX(DarlBindung,10),1,0))</f>
      </c>
      <c r="H4513" s="43">
        <f>IF($G4513=1,INDEX(DarlSollzins,10),INDEX(DarlAnschluss,10))</f>
      </c>
      <c r="I4513" s="43">
        <f>IF(INDEX(DarlBelegt,10)=0,0,IF(INDEX(DarlOhneTilgung,10)=1,IF(INDEX(DarlBindung,10)="",1,$G4513),IF($J4513&gt;0.005,1,0)))</f>
      </c>
      <c r="J4513" s="43">
        <f>IF($I4512=0,0,$R4512)</f>
      </c>
      <c r="K4513" s="43">
        <f>IF($I4513=0,0,IF(INDEX(DarlOhneTilgung,10)=1,0,IF(AND(INDEX(DarlTilgStart,10)&gt;0,$E4513=INDEX(DarlTilgStart,10)),$J4513*($H4513+INDEX(DarlTilgung,10))/100/12,IF(AND($G4513=0,$G4512=1),MAX($K4512,$J4513*($H4513+1)/100/12),$K4512))))</f>
      </c>
      <c r="L4513" s="43">
        <f>IF($I4513=0,0,$J4513*$H4513/100/12)</f>
      </c>
      <c r="M4513" s="43">
        <f>IF($I4513=0,0,IF(OR(INDEX(DarlOhneTilgung,10)=1,AND(INDEX(DarlTilgStart,10)&gt;0,$E4513&lt;INDEX(DarlTilgStart,10))),0,MIN(MAX(0,$K4513-$L4513),$J4513)))</f>
      </c>
      <c r="N4513" s="43">
        <f>IF($I4513=0,0,MIN(SUMIFS(SondBetrag,SondDarl,10,SondDatum,"&gt;="&amp;$E4513,SondDatum,"&lt;="&amp;EOMONTH($E4513,0)),$J4513-$M4513))</f>
      </c>
      <c r="O4513" s="43">
        <f>IF($I4513=0,0,INDEX(DarlErsatzRate,10))</f>
      </c>
      <c r="P4513" s="43">
        <f>IF($I4513=0,0,$Q4512*INDEX(DarlErsatzZins,10))</f>
      </c>
      <c r="Q4513" s="43">
        <f>IF($I4513=0,0,$Q4512+$P4513+$O4513)</f>
      </c>
      <c r="R4513" s="43">
        <f>IF($I4513=0,0,$J4513-$M4513-$N4513)</f>
      </c>
    </row>
    <row r="4514">
      <c r="A4514"/>
      <c r="B4514">
        <v>10</v>
      </c>
      <c r="C4514" s="43">
        <f>INDEX(DarlObj,10)</f>
      </c>
      <c r="D4514">
        <v>191</v>
      </c>
      <c r="E4514" s="51">
        <f>IF(INDEX(DarlBelegt,10)=0,0,EOMONTH(INDEX(DarlAuszahlung,10),190)+1)</f>
      </c>
      <c r="F4514" s="43">
        <f>IF($E4514=0,0,YEAR($E4514))</f>
      </c>
      <c r="G4514" s="43">
        <f>IF(INDEX(DarlBindung,10)="",1,IF($E4514&lt;=INDEX(DarlBindung,10),1,0))</f>
      </c>
      <c r="H4514" s="43">
        <f>IF($G4514=1,INDEX(DarlSollzins,10),INDEX(DarlAnschluss,10))</f>
      </c>
      <c r="I4514" s="43">
        <f>IF(INDEX(DarlBelegt,10)=0,0,IF(INDEX(DarlOhneTilgung,10)=1,IF(INDEX(DarlBindung,10)="",1,$G4514),IF($J4514&gt;0.005,1,0)))</f>
      </c>
      <c r="J4514" s="43">
        <f>IF($I4513=0,0,$R4513)</f>
      </c>
      <c r="K4514" s="43">
        <f>IF($I4514=0,0,IF(INDEX(DarlOhneTilgung,10)=1,0,IF(AND(INDEX(DarlTilgStart,10)&gt;0,$E4514=INDEX(DarlTilgStart,10)),$J4514*($H4514+INDEX(DarlTilgung,10))/100/12,IF(AND($G4514=0,$G4513=1),MAX($K4513,$J4514*($H4514+1)/100/12),$K4513))))</f>
      </c>
      <c r="L4514" s="43">
        <f>IF($I4514=0,0,$J4514*$H4514/100/12)</f>
      </c>
      <c r="M4514" s="43">
        <f>IF($I4514=0,0,IF(OR(INDEX(DarlOhneTilgung,10)=1,AND(INDEX(DarlTilgStart,10)&gt;0,$E4514&lt;INDEX(DarlTilgStart,10))),0,MIN(MAX(0,$K4514-$L4514),$J4514)))</f>
      </c>
      <c r="N4514" s="43">
        <f>IF($I4514=0,0,MIN(SUMIFS(SondBetrag,SondDarl,10,SondDatum,"&gt;="&amp;$E4514,SondDatum,"&lt;="&amp;EOMONTH($E4514,0)),$J4514-$M4514))</f>
      </c>
      <c r="O4514" s="43">
        <f>IF($I4514=0,0,INDEX(DarlErsatzRate,10))</f>
      </c>
      <c r="P4514" s="43">
        <f>IF($I4514=0,0,$Q4513*INDEX(DarlErsatzZins,10))</f>
      </c>
      <c r="Q4514" s="43">
        <f>IF($I4514=0,0,$Q4513+$P4514+$O4514)</f>
      </c>
      <c r="R4514" s="43">
        <f>IF($I4514=0,0,$J4514-$M4514-$N4514)</f>
      </c>
    </row>
    <row r="4515">
      <c r="A4515"/>
      <c r="B4515">
        <v>10</v>
      </c>
      <c r="C4515" s="43">
        <f>INDEX(DarlObj,10)</f>
      </c>
      <c r="D4515">
        <v>192</v>
      </c>
      <c r="E4515" s="51">
        <f>IF(INDEX(DarlBelegt,10)=0,0,EOMONTH(INDEX(DarlAuszahlung,10),191)+1)</f>
      </c>
      <c r="F4515" s="43">
        <f>IF($E4515=0,0,YEAR($E4515))</f>
      </c>
      <c r="G4515" s="43">
        <f>IF(INDEX(DarlBindung,10)="",1,IF($E4515&lt;=INDEX(DarlBindung,10),1,0))</f>
      </c>
      <c r="H4515" s="43">
        <f>IF($G4515=1,INDEX(DarlSollzins,10),INDEX(DarlAnschluss,10))</f>
      </c>
      <c r="I4515" s="43">
        <f>IF(INDEX(DarlBelegt,10)=0,0,IF(INDEX(DarlOhneTilgung,10)=1,IF(INDEX(DarlBindung,10)="",1,$G4515),IF($J4515&gt;0.005,1,0)))</f>
      </c>
      <c r="J4515" s="43">
        <f>IF($I4514=0,0,$R4514)</f>
      </c>
      <c r="K4515" s="43">
        <f>IF($I4515=0,0,IF(INDEX(DarlOhneTilgung,10)=1,0,IF(AND(INDEX(DarlTilgStart,10)&gt;0,$E4515=INDEX(DarlTilgStart,10)),$J4515*($H4515+INDEX(DarlTilgung,10))/100/12,IF(AND($G4515=0,$G4514=1),MAX($K4514,$J4515*($H4515+1)/100/12),$K4514))))</f>
      </c>
      <c r="L4515" s="43">
        <f>IF($I4515=0,0,$J4515*$H4515/100/12)</f>
      </c>
      <c r="M4515" s="43">
        <f>IF($I4515=0,0,IF(OR(INDEX(DarlOhneTilgung,10)=1,AND(INDEX(DarlTilgStart,10)&gt;0,$E4515&lt;INDEX(DarlTilgStart,10))),0,MIN(MAX(0,$K4515-$L4515),$J4515)))</f>
      </c>
      <c r="N4515" s="43">
        <f>IF($I4515=0,0,MIN(SUMIFS(SondBetrag,SondDarl,10,SondDatum,"&gt;="&amp;$E4515,SondDatum,"&lt;="&amp;EOMONTH($E4515,0)),$J4515-$M4515))</f>
      </c>
      <c r="O4515" s="43">
        <f>IF($I4515=0,0,INDEX(DarlErsatzRate,10))</f>
      </c>
      <c r="P4515" s="43">
        <f>IF($I4515=0,0,$Q4514*INDEX(DarlErsatzZins,10))</f>
      </c>
      <c r="Q4515" s="43">
        <f>IF($I4515=0,0,$Q4514+$P4515+$O4515)</f>
      </c>
      <c r="R4515" s="43">
        <f>IF($I4515=0,0,$J4515-$M4515-$N4515)</f>
      </c>
    </row>
    <row r="4516">
      <c r="A4516"/>
      <c r="B4516">
        <v>10</v>
      </c>
      <c r="C4516" s="43">
        <f>INDEX(DarlObj,10)</f>
      </c>
      <c r="D4516">
        <v>193</v>
      </c>
      <c r="E4516" s="51">
        <f>IF(INDEX(DarlBelegt,10)=0,0,EOMONTH(INDEX(DarlAuszahlung,10),192)+1)</f>
      </c>
      <c r="F4516" s="43">
        <f>IF($E4516=0,0,YEAR($E4516))</f>
      </c>
      <c r="G4516" s="43">
        <f>IF(INDEX(DarlBindung,10)="",1,IF($E4516&lt;=INDEX(DarlBindung,10),1,0))</f>
      </c>
      <c r="H4516" s="43">
        <f>IF($G4516=1,INDEX(DarlSollzins,10),INDEX(DarlAnschluss,10))</f>
      </c>
      <c r="I4516" s="43">
        <f>IF(INDEX(DarlBelegt,10)=0,0,IF(INDEX(DarlOhneTilgung,10)=1,IF(INDEX(DarlBindung,10)="",1,$G4516),IF($J4516&gt;0.005,1,0)))</f>
      </c>
      <c r="J4516" s="43">
        <f>IF($I4515=0,0,$R4515)</f>
      </c>
      <c r="K4516" s="43">
        <f>IF($I4516=0,0,IF(INDEX(DarlOhneTilgung,10)=1,0,IF(AND(INDEX(DarlTilgStart,10)&gt;0,$E4516=INDEX(DarlTilgStart,10)),$J4516*($H4516+INDEX(DarlTilgung,10))/100/12,IF(AND($G4516=0,$G4515=1),MAX($K4515,$J4516*($H4516+1)/100/12),$K4515))))</f>
      </c>
      <c r="L4516" s="43">
        <f>IF($I4516=0,0,$J4516*$H4516/100/12)</f>
      </c>
      <c r="M4516" s="43">
        <f>IF($I4516=0,0,IF(OR(INDEX(DarlOhneTilgung,10)=1,AND(INDEX(DarlTilgStart,10)&gt;0,$E4516&lt;INDEX(DarlTilgStart,10))),0,MIN(MAX(0,$K4516-$L4516),$J4516)))</f>
      </c>
      <c r="N4516" s="43">
        <f>IF($I4516=0,0,MIN(SUMIFS(SondBetrag,SondDarl,10,SondDatum,"&gt;="&amp;$E4516,SondDatum,"&lt;="&amp;EOMONTH($E4516,0)),$J4516-$M4516))</f>
      </c>
      <c r="O4516" s="43">
        <f>IF($I4516=0,0,INDEX(DarlErsatzRate,10))</f>
      </c>
      <c r="P4516" s="43">
        <f>IF($I4516=0,0,$Q4515*INDEX(DarlErsatzZins,10))</f>
      </c>
      <c r="Q4516" s="43">
        <f>IF($I4516=0,0,$Q4515+$P4516+$O4516)</f>
      </c>
      <c r="R4516" s="43">
        <f>IF($I4516=0,0,$J4516-$M4516-$N4516)</f>
      </c>
    </row>
    <row r="4517">
      <c r="A4517"/>
      <c r="B4517">
        <v>10</v>
      </c>
      <c r="C4517" s="43">
        <f>INDEX(DarlObj,10)</f>
      </c>
      <c r="D4517">
        <v>194</v>
      </c>
      <c r="E4517" s="51">
        <f>IF(INDEX(DarlBelegt,10)=0,0,EOMONTH(INDEX(DarlAuszahlung,10),193)+1)</f>
      </c>
      <c r="F4517" s="43">
        <f>IF($E4517=0,0,YEAR($E4517))</f>
      </c>
      <c r="G4517" s="43">
        <f>IF(INDEX(DarlBindung,10)="",1,IF($E4517&lt;=INDEX(DarlBindung,10),1,0))</f>
      </c>
      <c r="H4517" s="43">
        <f>IF($G4517=1,INDEX(DarlSollzins,10),INDEX(DarlAnschluss,10))</f>
      </c>
      <c r="I4517" s="43">
        <f>IF(INDEX(DarlBelegt,10)=0,0,IF(INDEX(DarlOhneTilgung,10)=1,IF(INDEX(DarlBindung,10)="",1,$G4517),IF($J4517&gt;0.005,1,0)))</f>
      </c>
      <c r="J4517" s="43">
        <f>IF($I4516=0,0,$R4516)</f>
      </c>
      <c r="K4517" s="43">
        <f>IF($I4517=0,0,IF(INDEX(DarlOhneTilgung,10)=1,0,IF(AND(INDEX(DarlTilgStart,10)&gt;0,$E4517=INDEX(DarlTilgStart,10)),$J4517*($H4517+INDEX(DarlTilgung,10))/100/12,IF(AND($G4517=0,$G4516=1),MAX($K4516,$J4517*($H4517+1)/100/12),$K4516))))</f>
      </c>
      <c r="L4517" s="43">
        <f>IF($I4517=0,0,$J4517*$H4517/100/12)</f>
      </c>
      <c r="M4517" s="43">
        <f>IF($I4517=0,0,IF(OR(INDEX(DarlOhneTilgung,10)=1,AND(INDEX(DarlTilgStart,10)&gt;0,$E4517&lt;INDEX(DarlTilgStart,10))),0,MIN(MAX(0,$K4517-$L4517),$J4517)))</f>
      </c>
      <c r="N4517" s="43">
        <f>IF($I4517=0,0,MIN(SUMIFS(SondBetrag,SondDarl,10,SondDatum,"&gt;="&amp;$E4517,SondDatum,"&lt;="&amp;EOMONTH($E4517,0)),$J4517-$M4517))</f>
      </c>
      <c r="O4517" s="43">
        <f>IF($I4517=0,0,INDEX(DarlErsatzRate,10))</f>
      </c>
      <c r="P4517" s="43">
        <f>IF($I4517=0,0,$Q4516*INDEX(DarlErsatzZins,10))</f>
      </c>
      <c r="Q4517" s="43">
        <f>IF($I4517=0,0,$Q4516+$P4517+$O4517)</f>
      </c>
      <c r="R4517" s="43">
        <f>IF($I4517=0,0,$J4517-$M4517-$N4517)</f>
      </c>
    </row>
    <row r="4518">
      <c r="A4518"/>
      <c r="B4518">
        <v>10</v>
      </c>
      <c r="C4518" s="43">
        <f>INDEX(DarlObj,10)</f>
      </c>
      <c r="D4518">
        <v>195</v>
      </c>
      <c r="E4518" s="51">
        <f>IF(INDEX(DarlBelegt,10)=0,0,EOMONTH(INDEX(DarlAuszahlung,10),194)+1)</f>
      </c>
      <c r="F4518" s="43">
        <f>IF($E4518=0,0,YEAR($E4518))</f>
      </c>
      <c r="G4518" s="43">
        <f>IF(INDEX(DarlBindung,10)="",1,IF($E4518&lt;=INDEX(DarlBindung,10),1,0))</f>
      </c>
      <c r="H4518" s="43">
        <f>IF($G4518=1,INDEX(DarlSollzins,10),INDEX(DarlAnschluss,10))</f>
      </c>
      <c r="I4518" s="43">
        <f>IF(INDEX(DarlBelegt,10)=0,0,IF(INDEX(DarlOhneTilgung,10)=1,IF(INDEX(DarlBindung,10)="",1,$G4518),IF($J4518&gt;0.005,1,0)))</f>
      </c>
      <c r="J4518" s="43">
        <f>IF($I4517=0,0,$R4517)</f>
      </c>
      <c r="K4518" s="43">
        <f>IF($I4518=0,0,IF(INDEX(DarlOhneTilgung,10)=1,0,IF(AND(INDEX(DarlTilgStart,10)&gt;0,$E4518=INDEX(DarlTilgStart,10)),$J4518*($H4518+INDEX(DarlTilgung,10))/100/12,IF(AND($G4518=0,$G4517=1),MAX($K4517,$J4518*($H4518+1)/100/12),$K4517))))</f>
      </c>
      <c r="L4518" s="43">
        <f>IF($I4518=0,0,$J4518*$H4518/100/12)</f>
      </c>
      <c r="M4518" s="43">
        <f>IF($I4518=0,0,IF(OR(INDEX(DarlOhneTilgung,10)=1,AND(INDEX(DarlTilgStart,10)&gt;0,$E4518&lt;INDEX(DarlTilgStart,10))),0,MIN(MAX(0,$K4518-$L4518),$J4518)))</f>
      </c>
      <c r="N4518" s="43">
        <f>IF($I4518=0,0,MIN(SUMIFS(SondBetrag,SondDarl,10,SondDatum,"&gt;="&amp;$E4518,SondDatum,"&lt;="&amp;EOMONTH($E4518,0)),$J4518-$M4518))</f>
      </c>
      <c r="O4518" s="43">
        <f>IF($I4518=0,0,INDEX(DarlErsatzRate,10))</f>
      </c>
      <c r="P4518" s="43">
        <f>IF($I4518=0,0,$Q4517*INDEX(DarlErsatzZins,10))</f>
      </c>
      <c r="Q4518" s="43">
        <f>IF($I4518=0,0,$Q4517+$P4518+$O4518)</f>
      </c>
      <c r="R4518" s="43">
        <f>IF($I4518=0,0,$J4518-$M4518-$N4518)</f>
      </c>
    </row>
    <row r="4519">
      <c r="A4519"/>
      <c r="B4519">
        <v>10</v>
      </c>
      <c r="C4519" s="43">
        <f>INDEX(DarlObj,10)</f>
      </c>
      <c r="D4519">
        <v>196</v>
      </c>
      <c r="E4519" s="51">
        <f>IF(INDEX(DarlBelegt,10)=0,0,EOMONTH(INDEX(DarlAuszahlung,10),195)+1)</f>
      </c>
      <c r="F4519" s="43">
        <f>IF($E4519=0,0,YEAR($E4519))</f>
      </c>
      <c r="G4519" s="43">
        <f>IF(INDEX(DarlBindung,10)="",1,IF($E4519&lt;=INDEX(DarlBindung,10),1,0))</f>
      </c>
      <c r="H4519" s="43">
        <f>IF($G4519=1,INDEX(DarlSollzins,10),INDEX(DarlAnschluss,10))</f>
      </c>
      <c r="I4519" s="43">
        <f>IF(INDEX(DarlBelegt,10)=0,0,IF(INDEX(DarlOhneTilgung,10)=1,IF(INDEX(DarlBindung,10)="",1,$G4519),IF($J4519&gt;0.005,1,0)))</f>
      </c>
      <c r="J4519" s="43">
        <f>IF($I4518=0,0,$R4518)</f>
      </c>
      <c r="K4519" s="43">
        <f>IF($I4519=0,0,IF(INDEX(DarlOhneTilgung,10)=1,0,IF(AND(INDEX(DarlTilgStart,10)&gt;0,$E4519=INDEX(DarlTilgStart,10)),$J4519*($H4519+INDEX(DarlTilgung,10))/100/12,IF(AND($G4519=0,$G4518=1),MAX($K4518,$J4519*($H4519+1)/100/12),$K4518))))</f>
      </c>
      <c r="L4519" s="43">
        <f>IF($I4519=0,0,$J4519*$H4519/100/12)</f>
      </c>
      <c r="M4519" s="43">
        <f>IF($I4519=0,0,IF(OR(INDEX(DarlOhneTilgung,10)=1,AND(INDEX(DarlTilgStart,10)&gt;0,$E4519&lt;INDEX(DarlTilgStart,10))),0,MIN(MAX(0,$K4519-$L4519),$J4519)))</f>
      </c>
      <c r="N4519" s="43">
        <f>IF($I4519=0,0,MIN(SUMIFS(SondBetrag,SondDarl,10,SondDatum,"&gt;="&amp;$E4519,SondDatum,"&lt;="&amp;EOMONTH($E4519,0)),$J4519-$M4519))</f>
      </c>
      <c r="O4519" s="43">
        <f>IF($I4519=0,0,INDEX(DarlErsatzRate,10))</f>
      </c>
      <c r="P4519" s="43">
        <f>IF($I4519=0,0,$Q4518*INDEX(DarlErsatzZins,10))</f>
      </c>
      <c r="Q4519" s="43">
        <f>IF($I4519=0,0,$Q4518+$P4519+$O4519)</f>
      </c>
      <c r="R4519" s="43">
        <f>IF($I4519=0,0,$J4519-$M4519-$N4519)</f>
      </c>
    </row>
    <row r="4520">
      <c r="A4520"/>
      <c r="B4520">
        <v>10</v>
      </c>
      <c r="C4520" s="43">
        <f>INDEX(DarlObj,10)</f>
      </c>
      <c r="D4520">
        <v>197</v>
      </c>
      <c r="E4520" s="51">
        <f>IF(INDEX(DarlBelegt,10)=0,0,EOMONTH(INDEX(DarlAuszahlung,10),196)+1)</f>
      </c>
      <c r="F4520" s="43">
        <f>IF($E4520=0,0,YEAR($E4520))</f>
      </c>
      <c r="G4520" s="43">
        <f>IF(INDEX(DarlBindung,10)="",1,IF($E4520&lt;=INDEX(DarlBindung,10),1,0))</f>
      </c>
      <c r="H4520" s="43">
        <f>IF($G4520=1,INDEX(DarlSollzins,10),INDEX(DarlAnschluss,10))</f>
      </c>
      <c r="I4520" s="43">
        <f>IF(INDEX(DarlBelegt,10)=0,0,IF(INDEX(DarlOhneTilgung,10)=1,IF(INDEX(DarlBindung,10)="",1,$G4520),IF($J4520&gt;0.005,1,0)))</f>
      </c>
      <c r="J4520" s="43">
        <f>IF($I4519=0,0,$R4519)</f>
      </c>
      <c r="K4520" s="43">
        <f>IF($I4520=0,0,IF(INDEX(DarlOhneTilgung,10)=1,0,IF(AND(INDEX(DarlTilgStart,10)&gt;0,$E4520=INDEX(DarlTilgStart,10)),$J4520*($H4520+INDEX(DarlTilgung,10))/100/12,IF(AND($G4520=0,$G4519=1),MAX($K4519,$J4520*($H4520+1)/100/12),$K4519))))</f>
      </c>
      <c r="L4520" s="43">
        <f>IF($I4520=0,0,$J4520*$H4520/100/12)</f>
      </c>
      <c r="M4520" s="43">
        <f>IF($I4520=0,0,IF(OR(INDEX(DarlOhneTilgung,10)=1,AND(INDEX(DarlTilgStart,10)&gt;0,$E4520&lt;INDEX(DarlTilgStart,10))),0,MIN(MAX(0,$K4520-$L4520),$J4520)))</f>
      </c>
      <c r="N4520" s="43">
        <f>IF($I4520=0,0,MIN(SUMIFS(SondBetrag,SondDarl,10,SondDatum,"&gt;="&amp;$E4520,SondDatum,"&lt;="&amp;EOMONTH($E4520,0)),$J4520-$M4520))</f>
      </c>
      <c r="O4520" s="43">
        <f>IF($I4520=0,0,INDEX(DarlErsatzRate,10))</f>
      </c>
      <c r="P4520" s="43">
        <f>IF($I4520=0,0,$Q4519*INDEX(DarlErsatzZins,10))</f>
      </c>
      <c r="Q4520" s="43">
        <f>IF($I4520=0,0,$Q4519+$P4520+$O4520)</f>
      </c>
      <c r="R4520" s="43">
        <f>IF($I4520=0,0,$J4520-$M4520-$N4520)</f>
      </c>
    </row>
    <row r="4521">
      <c r="A4521"/>
      <c r="B4521">
        <v>10</v>
      </c>
      <c r="C4521" s="43">
        <f>INDEX(DarlObj,10)</f>
      </c>
      <c r="D4521">
        <v>198</v>
      </c>
      <c r="E4521" s="51">
        <f>IF(INDEX(DarlBelegt,10)=0,0,EOMONTH(INDEX(DarlAuszahlung,10),197)+1)</f>
      </c>
      <c r="F4521" s="43">
        <f>IF($E4521=0,0,YEAR($E4521))</f>
      </c>
      <c r="G4521" s="43">
        <f>IF(INDEX(DarlBindung,10)="",1,IF($E4521&lt;=INDEX(DarlBindung,10),1,0))</f>
      </c>
      <c r="H4521" s="43">
        <f>IF($G4521=1,INDEX(DarlSollzins,10),INDEX(DarlAnschluss,10))</f>
      </c>
      <c r="I4521" s="43">
        <f>IF(INDEX(DarlBelegt,10)=0,0,IF(INDEX(DarlOhneTilgung,10)=1,IF(INDEX(DarlBindung,10)="",1,$G4521),IF($J4521&gt;0.005,1,0)))</f>
      </c>
      <c r="J4521" s="43">
        <f>IF($I4520=0,0,$R4520)</f>
      </c>
      <c r="K4521" s="43">
        <f>IF($I4521=0,0,IF(INDEX(DarlOhneTilgung,10)=1,0,IF(AND(INDEX(DarlTilgStart,10)&gt;0,$E4521=INDEX(DarlTilgStart,10)),$J4521*($H4521+INDEX(DarlTilgung,10))/100/12,IF(AND($G4521=0,$G4520=1),MAX($K4520,$J4521*($H4521+1)/100/12),$K4520))))</f>
      </c>
      <c r="L4521" s="43">
        <f>IF($I4521=0,0,$J4521*$H4521/100/12)</f>
      </c>
      <c r="M4521" s="43">
        <f>IF($I4521=0,0,IF(OR(INDEX(DarlOhneTilgung,10)=1,AND(INDEX(DarlTilgStart,10)&gt;0,$E4521&lt;INDEX(DarlTilgStart,10))),0,MIN(MAX(0,$K4521-$L4521),$J4521)))</f>
      </c>
      <c r="N4521" s="43">
        <f>IF($I4521=0,0,MIN(SUMIFS(SondBetrag,SondDarl,10,SondDatum,"&gt;="&amp;$E4521,SondDatum,"&lt;="&amp;EOMONTH($E4521,0)),$J4521-$M4521))</f>
      </c>
      <c r="O4521" s="43">
        <f>IF($I4521=0,0,INDEX(DarlErsatzRate,10))</f>
      </c>
      <c r="P4521" s="43">
        <f>IF($I4521=0,0,$Q4520*INDEX(DarlErsatzZins,10))</f>
      </c>
      <c r="Q4521" s="43">
        <f>IF($I4521=0,0,$Q4520+$P4521+$O4521)</f>
      </c>
      <c r="R4521" s="43">
        <f>IF($I4521=0,0,$J4521-$M4521-$N4521)</f>
      </c>
    </row>
    <row r="4522">
      <c r="A4522"/>
      <c r="B4522">
        <v>10</v>
      </c>
      <c r="C4522" s="43">
        <f>INDEX(DarlObj,10)</f>
      </c>
      <c r="D4522">
        <v>199</v>
      </c>
      <c r="E4522" s="51">
        <f>IF(INDEX(DarlBelegt,10)=0,0,EOMONTH(INDEX(DarlAuszahlung,10),198)+1)</f>
      </c>
      <c r="F4522" s="43">
        <f>IF($E4522=0,0,YEAR($E4522))</f>
      </c>
      <c r="G4522" s="43">
        <f>IF(INDEX(DarlBindung,10)="",1,IF($E4522&lt;=INDEX(DarlBindung,10),1,0))</f>
      </c>
      <c r="H4522" s="43">
        <f>IF($G4522=1,INDEX(DarlSollzins,10),INDEX(DarlAnschluss,10))</f>
      </c>
      <c r="I4522" s="43">
        <f>IF(INDEX(DarlBelegt,10)=0,0,IF(INDEX(DarlOhneTilgung,10)=1,IF(INDEX(DarlBindung,10)="",1,$G4522),IF($J4522&gt;0.005,1,0)))</f>
      </c>
      <c r="J4522" s="43">
        <f>IF($I4521=0,0,$R4521)</f>
      </c>
      <c r="K4522" s="43">
        <f>IF($I4522=0,0,IF(INDEX(DarlOhneTilgung,10)=1,0,IF(AND(INDEX(DarlTilgStart,10)&gt;0,$E4522=INDEX(DarlTilgStart,10)),$J4522*($H4522+INDEX(DarlTilgung,10))/100/12,IF(AND($G4522=0,$G4521=1),MAX($K4521,$J4522*($H4522+1)/100/12),$K4521))))</f>
      </c>
      <c r="L4522" s="43">
        <f>IF($I4522=0,0,$J4522*$H4522/100/12)</f>
      </c>
      <c r="M4522" s="43">
        <f>IF($I4522=0,0,IF(OR(INDEX(DarlOhneTilgung,10)=1,AND(INDEX(DarlTilgStart,10)&gt;0,$E4522&lt;INDEX(DarlTilgStart,10))),0,MIN(MAX(0,$K4522-$L4522),$J4522)))</f>
      </c>
      <c r="N4522" s="43">
        <f>IF($I4522=0,0,MIN(SUMIFS(SondBetrag,SondDarl,10,SondDatum,"&gt;="&amp;$E4522,SondDatum,"&lt;="&amp;EOMONTH($E4522,0)),$J4522-$M4522))</f>
      </c>
      <c r="O4522" s="43">
        <f>IF($I4522=0,0,INDEX(DarlErsatzRate,10))</f>
      </c>
      <c r="P4522" s="43">
        <f>IF($I4522=0,0,$Q4521*INDEX(DarlErsatzZins,10))</f>
      </c>
      <c r="Q4522" s="43">
        <f>IF($I4522=0,0,$Q4521+$P4522+$O4522)</f>
      </c>
      <c r="R4522" s="43">
        <f>IF($I4522=0,0,$J4522-$M4522-$N4522)</f>
      </c>
    </row>
    <row r="4523">
      <c r="A4523"/>
      <c r="B4523">
        <v>10</v>
      </c>
      <c r="C4523" s="43">
        <f>INDEX(DarlObj,10)</f>
      </c>
      <c r="D4523">
        <v>200</v>
      </c>
      <c r="E4523" s="51">
        <f>IF(INDEX(DarlBelegt,10)=0,0,EOMONTH(INDEX(DarlAuszahlung,10),199)+1)</f>
      </c>
      <c r="F4523" s="43">
        <f>IF($E4523=0,0,YEAR($E4523))</f>
      </c>
      <c r="G4523" s="43">
        <f>IF(INDEX(DarlBindung,10)="",1,IF($E4523&lt;=INDEX(DarlBindung,10),1,0))</f>
      </c>
      <c r="H4523" s="43">
        <f>IF($G4523=1,INDEX(DarlSollzins,10),INDEX(DarlAnschluss,10))</f>
      </c>
      <c r="I4523" s="43">
        <f>IF(INDEX(DarlBelegt,10)=0,0,IF(INDEX(DarlOhneTilgung,10)=1,IF(INDEX(DarlBindung,10)="",1,$G4523),IF($J4523&gt;0.005,1,0)))</f>
      </c>
      <c r="J4523" s="43">
        <f>IF($I4522=0,0,$R4522)</f>
      </c>
      <c r="K4523" s="43">
        <f>IF($I4523=0,0,IF(INDEX(DarlOhneTilgung,10)=1,0,IF(AND(INDEX(DarlTilgStart,10)&gt;0,$E4523=INDEX(DarlTilgStart,10)),$J4523*($H4523+INDEX(DarlTilgung,10))/100/12,IF(AND($G4523=0,$G4522=1),MAX($K4522,$J4523*($H4523+1)/100/12),$K4522))))</f>
      </c>
      <c r="L4523" s="43">
        <f>IF($I4523=0,0,$J4523*$H4523/100/12)</f>
      </c>
      <c r="M4523" s="43">
        <f>IF($I4523=0,0,IF(OR(INDEX(DarlOhneTilgung,10)=1,AND(INDEX(DarlTilgStart,10)&gt;0,$E4523&lt;INDEX(DarlTilgStart,10))),0,MIN(MAX(0,$K4523-$L4523),$J4523)))</f>
      </c>
      <c r="N4523" s="43">
        <f>IF($I4523=0,0,MIN(SUMIFS(SondBetrag,SondDarl,10,SondDatum,"&gt;="&amp;$E4523,SondDatum,"&lt;="&amp;EOMONTH($E4523,0)),$J4523-$M4523))</f>
      </c>
      <c r="O4523" s="43">
        <f>IF($I4523=0,0,INDEX(DarlErsatzRate,10))</f>
      </c>
      <c r="P4523" s="43">
        <f>IF($I4523=0,0,$Q4522*INDEX(DarlErsatzZins,10))</f>
      </c>
      <c r="Q4523" s="43">
        <f>IF($I4523=0,0,$Q4522+$P4523+$O4523)</f>
      </c>
      <c r="R4523" s="43">
        <f>IF($I4523=0,0,$J4523-$M4523-$N4523)</f>
      </c>
    </row>
    <row r="4524">
      <c r="A4524"/>
      <c r="B4524">
        <v>10</v>
      </c>
      <c r="C4524" s="43">
        <f>INDEX(DarlObj,10)</f>
      </c>
      <c r="D4524">
        <v>201</v>
      </c>
      <c r="E4524" s="51">
        <f>IF(INDEX(DarlBelegt,10)=0,0,EOMONTH(INDEX(DarlAuszahlung,10),200)+1)</f>
      </c>
      <c r="F4524" s="43">
        <f>IF($E4524=0,0,YEAR($E4524))</f>
      </c>
      <c r="G4524" s="43">
        <f>IF(INDEX(DarlBindung,10)="",1,IF($E4524&lt;=INDEX(DarlBindung,10),1,0))</f>
      </c>
      <c r="H4524" s="43">
        <f>IF($G4524=1,INDEX(DarlSollzins,10),INDEX(DarlAnschluss,10))</f>
      </c>
      <c r="I4524" s="43">
        <f>IF(INDEX(DarlBelegt,10)=0,0,IF(INDEX(DarlOhneTilgung,10)=1,IF(INDEX(DarlBindung,10)="",1,$G4524),IF($J4524&gt;0.005,1,0)))</f>
      </c>
      <c r="J4524" s="43">
        <f>IF($I4523=0,0,$R4523)</f>
      </c>
      <c r="K4524" s="43">
        <f>IF($I4524=0,0,IF(INDEX(DarlOhneTilgung,10)=1,0,IF(AND(INDEX(DarlTilgStart,10)&gt;0,$E4524=INDEX(DarlTilgStart,10)),$J4524*($H4524+INDEX(DarlTilgung,10))/100/12,IF(AND($G4524=0,$G4523=1),MAX($K4523,$J4524*($H4524+1)/100/12),$K4523))))</f>
      </c>
      <c r="L4524" s="43">
        <f>IF($I4524=0,0,$J4524*$H4524/100/12)</f>
      </c>
      <c r="M4524" s="43">
        <f>IF($I4524=0,0,IF(OR(INDEX(DarlOhneTilgung,10)=1,AND(INDEX(DarlTilgStart,10)&gt;0,$E4524&lt;INDEX(DarlTilgStart,10))),0,MIN(MAX(0,$K4524-$L4524),$J4524)))</f>
      </c>
      <c r="N4524" s="43">
        <f>IF($I4524=0,0,MIN(SUMIFS(SondBetrag,SondDarl,10,SondDatum,"&gt;="&amp;$E4524,SondDatum,"&lt;="&amp;EOMONTH($E4524,0)),$J4524-$M4524))</f>
      </c>
      <c r="O4524" s="43">
        <f>IF($I4524=0,0,INDEX(DarlErsatzRate,10))</f>
      </c>
      <c r="P4524" s="43">
        <f>IF($I4524=0,0,$Q4523*INDEX(DarlErsatzZins,10))</f>
      </c>
      <c r="Q4524" s="43">
        <f>IF($I4524=0,0,$Q4523+$P4524+$O4524)</f>
      </c>
      <c r="R4524" s="43">
        <f>IF($I4524=0,0,$J4524-$M4524-$N4524)</f>
      </c>
    </row>
    <row r="4525">
      <c r="A4525"/>
      <c r="B4525">
        <v>10</v>
      </c>
      <c r="C4525" s="43">
        <f>INDEX(DarlObj,10)</f>
      </c>
      <c r="D4525">
        <v>202</v>
      </c>
      <c r="E4525" s="51">
        <f>IF(INDEX(DarlBelegt,10)=0,0,EOMONTH(INDEX(DarlAuszahlung,10),201)+1)</f>
      </c>
      <c r="F4525" s="43">
        <f>IF($E4525=0,0,YEAR($E4525))</f>
      </c>
      <c r="G4525" s="43">
        <f>IF(INDEX(DarlBindung,10)="",1,IF($E4525&lt;=INDEX(DarlBindung,10),1,0))</f>
      </c>
      <c r="H4525" s="43">
        <f>IF($G4525=1,INDEX(DarlSollzins,10),INDEX(DarlAnschluss,10))</f>
      </c>
      <c r="I4525" s="43">
        <f>IF(INDEX(DarlBelegt,10)=0,0,IF(INDEX(DarlOhneTilgung,10)=1,IF(INDEX(DarlBindung,10)="",1,$G4525),IF($J4525&gt;0.005,1,0)))</f>
      </c>
      <c r="J4525" s="43">
        <f>IF($I4524=0,0,$R4524)</f>
      </c>
      <c r="K4525" s="43">
        <f>IF($I4525=0,0,IF(INDEX(DarlOhneTilgung,10)=1,0,IF(AND(INDEX(DarlTilgStart,10)&gt;0,$E4525=INDEX(DarlTilgStart,10)),$J4525*($H4525+INDEX(DarlTilgung,10))/100/12,IF(AND($G4525=0,$G4524=1),MAX($K4524,$J4525*($H4525+1)/100/12),$K4524))))</f>
      </c>
      <c r="L4525" s="43">
        <f>IF($I4525=0,0,$J4525*$H4525/100/12)</f>
      </c>
      <c r="M4525" s="43">
        <f>IF($I4525=0,0,IF(OR(INDEX(DarlOhneTilgung,10)=1,AND(INDEX(DarlTilgStart,10)&gt;0,$E4525&lt;INDEX(DarlTilgStart,10))),0,MIN(MAX(0,$K4525-$L4525),$J4525)))</f>
      </c>
      <c r="N4525" s="43">
        <f>IF($I4525=0,0,MIN(SUMIFS(SondBetrag,SondDarl,10,SondDatum,"&gt;="&amp;$E4525,SondDatum,"&lt;="&amp;EOMONTH($E4525,0)),$J4525-$M4525))</f>
      </c>
      <c r="O4525" s="43">
        <f>IF($I4525=0,0,INDEX(DarlErsatzRate,10))</f>
      </c>
      <c r="P4525" s="43">
        <f>IF($I4525=0,0,$Q4524*INDEX(DarlErsatzZins,10))</f>
      </c>
      <c r="Q4525" s="43">
        <f>IF($I4525=0,0,$Q4524+$P4525+$O4525)</f>
      </c>
      <c r="R4525" s="43">
        <f>IF($I4525=0,0,$J4525-$M4525-$N4525)</f>
      </c>
    </row>
    <row r="4526">
      <c r="A4526"/>
      <c r="B4526">
        <v>10</v>
      </c>
      <c r="C4526" s="43">
        <f>INDEX(DarlObj,10)</f>
      </c>
      <c r="D4526">
        <v>203</v>
      </c>
      <c r="E4526" s="51">
        <f>IF(INDEX(DarlBelegt,10)=0,0,EOMONTH(INDEX(DarlAuszahlung,10),202)+1)</f>
      </c>
      <c r="F4526" s="43">
        <f>IF($E4526=0,0,YEAR($E4526))</f>
      </c>
      <c r="G4526" s="43">
        <f>IF(INDEX(DarlBindung,10)="",1,IF($E4526&lt;=INDEX(DarlBindung,10),1,0))</f>
      </c>
      <c r="H4526" s="43">
        <f>IF($G4526=1,INDEX(DarlSollzins,10),INDEX(DarlAnschluss,10))</f>
      </c>
      <c r="I4526" s="43">
        <f>IF(INDEX(DarlBelegt,10)=0,0,IF(INDEX(DarlOhneTilgung,10)=1,IF(INDEX(DarlBindung,10)="",1,$G4526),IF($J4526&gt;0.005,1,0)))</f>
      </c>
      <c r="J4526" s="43">
        <f>IF($I4525=0,0,$R4525)</f>
      </c>
      <c r="K4526" s="43">
        <f>IF($I4526=0,0,IF(INDEX(DarlOhneTilgung,10)=1,0,IF(AND(INDEX(DarlTilgStart,10)&gt;0,$E4526=INDEX(DarlTilgStart,10)),$J4526*($H4526+INDEX(DarlTilgung,10))/100/12,IF(AND($G4526=0,$G4525=1),MAX($K4525,$J4526*($H4526+1)/100/12),$K4525))))</f>
      </c>
      <c r="L4526" s="43">
        <f>IF($I4526=0,0,$J4526*$H4526/100/12)</f>
      </c>
      <c r="M4526" s="43">
        <f>IF($I4526=0,0,IF(OR(INDEX(DarlOhneTilgung,10)=1,AND(INDEX(DarlTilgStart,10)&gt;0,$E4526&lt;INDEX(DarlTilgStart,10))),0,MIN(MAX(0,$K4526-$L4526),$J4526)))</f>
      </c>
      <c r="N4526" s="43">
        <f>IF($I4526=0,0,MIN(SUMIFS(SondBetrag,SondDarl,10,SondDatum,"&gt;="&amp;$E4526,SondDatum,"&lt;="&amp;EOMONTH($E4526,0)),$J4526-$M4526))</f>
      </c>
      <c r="O4526" s="43">
        <f>IF($I4526=0,0,INDEX(DarlErsatzRate,10))</f>
      </c>
      <c r="P4526" s="43">
        <f>IF($I4526=0,0,$Q4525*INDEX(DarlErsatzZins,10))</f>
      </c>
      <c r="Q4526" s="43">
        <f>IF($I4526=0,0,$Q4525+$P4526+$O4526)</f>
      </c>
      <c r="R4526" s="43">
        <f>IF($I4526=0,0,$J4526-$M4526-$N4526)</f>
      </c>
    </row>
    <row r="4527">
      <c r="A4527"/>
      <c r="B4527">
        <v>10</v>
      </c>
      <c r="C4527" s="43">
        <f>INDEX(DarlObj,10)</f>
      </c>
      <c r="D4527">
        <v>204</v>
      </c>
      <c r="E4527" s="51">
        <f>IF(INDEX(DarlBelegt,10)=0,0,EOMONTH(INDEX(DarlAuszahlung,10),203)+1)</f>
      </c>
      <c r="F4527" s="43">
        <f>IF($E4527=0,0,YEAR($E4527))</f>
      </c>
      <c r="G4527" s="43">
        <f>IF(INDEX(DarlBindung,10)="",1,IF($E4527&lt;=INDEX(DarlBindung,10),1,0))</f>
      </c>
      <c r="H4527" s="43">
        <f>IF($G4527=1,INDEX(DarlSollzins,10),INDEX(DarlAnschluss,10))</f>
      </c>
      <c r="I4527" s="43">
        <f>IF(INDEX(DarlBelegt,10)=0,0,IF(INDEX(DarlOhneTilgung,10)=1,IF(INDEX(DarlBindung,10)="",1,$G4527),IF($J4527&gt;0.005,1,0)))</f>
      </c>
      <c r="J4527" s="43">
        <f>IF($I4526=0,0,$R4526)</f>
      </c>
      <c r="K4527" s="43">
        <f>IF($I4527=0,0,IF(INDEX(DarlOhneTilgung,10)=1,0,IF(AND(INDEX(DarlTilgStart,10)&gt;0,$E4527=INDEX(DarlTilgStart,10)),$J4527*($H4527+INDEX(DarlTilgung,10))/100/12,IF(AND($G4527=0,$G4526=1),MAX($K4526,$J4527*($H4527+1)/100/12),$K4526))))</f>
      </c>
      <c r="L4527" s="43">
        <f>IF($I4527=0,0,$J4527*$H4527/100/12)</f>
      </c>
      <c r="M4527" s="43">
        <f>IF($I4527=0,0,IF(OR(INDEX(DarlOhneTilgung,10)=1,AND(INDEX(DarlTilgStart,10)&gt;0,$E4527&lt;INDEX(DarlTilgStart,10))),0,MIN(MAX(0,$K4527-$L4527),$J4527)))</f>
      </c>
      <c r="N4527" s="43">
        <f>IF($I4527=0,0,MIN(SUMIFS(SondBetrag,SondDarl,10,SondDatum,"&gt;="&amp;$E4527,SondDatum,"&lt;="&amp;EOMONTH($E4527,0)),$J4527-$M4527))</f>
      </c>
      <c r="O4527" s="43">
        <f>IF($I4527=0,0,INDEX(DarlErsatzRate,10))</f>
      </c>
      <c r="P4527" s="43">
        <f>IF($I4527=0,0,$Q4526*INDEX(DarlErsatzZins,10))</f>
      </c>
      <c r="Q4527" s="43">
        <f>IF($I4527=0,0,$Q4526+$P4527+$O4527)</f>
      </c>
      <c r="R4527" s="43">
        <f>IF($I4527=0,0,$J4527-$M4527-$N4527)</f>
      </c>
    </row>
    <row r="4528">
      <c r="A4528"/>
      <c r="B4528">
        <v>10</v>
      </c>
      <c r="C4528" s="43">
        <f>INDEX(DarlObj,10)</f>
      </c>
      <c r="D4528">
        <v>205</v>
      </c>
      <c r="E4528" s="51">
        <f>IF(INDEX(DarlBelegt,10)=0,0,EOMONTH(INDEX(DarlAuszahlung,10),204)+1)</f>
      </c>
      <c r="F4528" s="43">
        <f>IF($E4528=0,0,YEAR($E4528))</f>
      </c>
      <c r="G4528" s="43">
        <f>IF(INDEX(DarlBindung,10)="",1,IF($E4528&lt;=INDEX(DarlBindung,10),1,0))</f>
      </c>
      <c r="H4528" s="43">
        <f>IF($G4528=1,INDEX(DarlSollzins,10),INDEX(DarlAnschluss,10))</f>
      </c>
      <c r="I4528" s="43">
        <f>IF(INDEX(DarlBelegt,10)=0,0,IF(INDEX(DarlOhneTilgung,10)=1,IF(INDEX(DarlBindung,10)="",1,$G4528),IF($J4528&gt;0.005,1,0)))</f>
      </c>
      <c r="J4528" s="43">
        <f>IF($I4527=0,0,$R4527)</f>
      </c>
      <c r="K4528" s="43">
        <f>IF($I4528=0,0,IF(INDEX(DarlOhneTilgung,10)=1,0,IF(AND(INDEX(DarlTilgStart,10)&gt;0,$E4528=INDEX(DarlTilgStart,10)),$J4528*($H4528+INDEX(DarlTilgung,10))/100/12,IF(AND($G4528=0,$G4527=1),MAX($K4527,$J4528*($H4528+1)/100/12),$K4527))))</f>
      </c>
      <c r="L4528" s="43">
        <f>IF($I4528=0,0,$J4528*$H4528/100/12)</f>
      </c>
      <c r="M4528" s="43">
        <f>IF($I4528=0,0,IF(OR(INDEX(DarlOhneTilgung,10)=1,AND(INDEX(DarlTilgStart,10)&gt;0,$E4528&lt;INDEX(DarlTilgStart,10))),0,MIN(MAX(0,$K4528-$L4528),$J4528)))</f>
      </c>
      <c r="N4528" s="43">
        <f>IF($I4528=0,0,MIN(SUMIFS(SondBetrag,SondDarl,10,SondDatum,"&gt;="&amp;$E4528,SondDatum,"&lt;="&amp;EOMONTH($E4528,0)),$J4528-$M4528))</f>
      </c>
      <c r="O4528" s="43">
        <f>IF($I4528=0,0,INDEX(DarlErsatzRate,10))</f>
      </c>
      <c r="P4528" s="43">
        <f>IF($I4528=0,0,$Q4527*INDEX(DarlErsatzZins,10))</f>
      </c>
      <c r="Q4528" s="43">
        <f>IF($I4528=0,0,$Q4527+$P4528+$O4528)</f>
      </c>
      <c r="R4528" s="43">
        <f>IF($I4528=0,0,$J4528-$M4528-$N4528)</f>
      </c>
    </row>
    <row r="4529">
      <c r="A4529"/>
      <c r="B4529">
        <v>10</v>
      </c>
      <c r="C4529" s="43">
        <f>INDEX(DarlObj,10)</f>
      </c>
      <c r="D4529">
        <v>206</v>
      </c>
      <c r="E4529" s="51">
        <f>IF(INDEX(DarlBelegt,10)=0,0,EOMONTH(INDEX(DarlAuszahlung,10),205)+1)</f>
      </c>
      <c r="F4529" s="43">
        <f>IF($E4529=0,0,YEAR($E4529))</f>
      </c>
      <c r="G4529" s="43">
        <f>IF(INDEX(DarlBindung,10)="",1,IF($E4529&lt;=INDEX(DarlBindung,10),1,0))</f>
      </c>
      <c r="H4529" s="43">
        <f>IF($G4529=1,INDEX(DarlSollzins,10),INDEX(DarlAnschluss,10))</f>
      </c>
      <c r="I4529" s="43">
        <f>IF(INDEX(DarlBelegt,10)=0,0,IF(INDEX(DarlOhneTilgung,10)=1,IF(INDEX(DarlBindung,10)="",1,$G4529),IF($J4529&gt;0.005,1,0)))</f>
      </c>
      <c r="J4529" s="43">
        <f>IF($I4528=0,0,$R4528)</f>
      </c>
      <c r="K4529" s="43">
        <f>IF($I4529=0,0,IF(INDEX(DarlOhneTilgung,10)=1,0,IF(AND(INDEX(DarlTilgStart,10)&gt;0,$E4529=INDEX(DarlTilgStart,10)),$J4529*($H4529+INDEX(DarlTilgung,10))/100/12,IF(AND($G4529=0,$G4528=1),MAX($K4528,$J4529*($H4529+1)/100/12),$K4528))))</f>
      </c>
      <c r="L4529" s="43">
        <f>IF($I4529=0,0,$J4529*$H4529/100/12)</f>
      </c>
      <c r="M4529" s="43">
        <f>IF($I4529=0,0,IF(OR(INDEX(DarlOhneTilgung,10)=1,AND(INDEX(DarlTilgStart,10)&gt;0,$E4529&lt;INDEX(DarlTilgStart,10))),0,MIN(MAX(0,$K4529-$L4529),$J4529)))</f>
      </c>
      <c r="N4529" s="43">
        <f>IF($I4529=0,0,MIN(SUMIFS(SondBetrag,SondDarl,10,SondDatum,"&gt;="&amp;$E4529,SondDatum,"&lt;="&amp;EOMONTH($E4529,0)),$J4529-$M4529))</f>
      </c>
      <c r="O4529" s="43">
        <f>IF($I4529=0,0,INDEX(DarlErsatzRate,10))</f>
      </c>
      <c r="P4529" s="43">
        <f>IF($I4529=0,0,$Q4528*INDEX(DarlErsatzZins,10))</f>
      </c>
      <c r="Q4529" s="43">
        <f>IF($I4529=0,0,$Q4528+$P4529+$O4529)</f>
      </c>
      <c r="R4529" s="43">
        <f>IF($I4529=0,0,$J4529-$M4529-$N4529)</f>
      </c>
    </row>
    <row r="4530">
      <c r="A4530"/>
      <c r="B4530">
        <v>10</v>
      </c>
      <c r="C4530" s="43">
        <f>INDEX(DarlObj,10)</f>
      </c>
      <c r="D4530">
        <v>207</v>
      </c>
      <c r="E4530" s="51">
        <f>IF(INDEX(DarlBelegt,10)=0,0,EOMONTH(INDEX(DarlAuszahlung,10),206)+1)</f>
      </c>
      <c r="F4530" s="43">
        <f>IF($E4530=0,0,YEAR($E4530))</f>
      </c>
      <c r="G4530" s="43">
        <f>IF(INDEX(DarlBindung,10)="",1,IF($E4530&lt;=INDEX(DarlBindung,10),1,0))</f>
      </c>
      <c r="H4530" s="43">
        <f>IF($G4530=1,INDEX(DarlSollzins,10),INDEX(DarlAnschluss,10))</f>
      </c>
      <c r="I4530" s="43">
        <f>IF(INDEX(DarlBelegt,10)=0,0,IF(INDEX(DarlOhneTilgung,10)=1,IF(INDEX(DarlBindung,10)="",1,$G4530),IF($J4530&gt;0.005,1,0)))</f>
      </c>
      <c r="J4530" s="43">
        <f>IF($I4529=0,0,$R4529)</f>
      </c>
      <c r="K4530" s="43">
        <f>IF($I4530=0,0,IF(INDEX(DarlOhneTilgung,10)=1,0,IF(AND(INDEX(DarlTilgStart,10)&gt;0,$E4530=INDEX(DarlTilgStart,10)),$J4530*($H4530+INDEX(DarlTilgung,10))/100/12,IF(AND($G4530=0,$G4529=1),MAX($K4529,$J4530*($H4530+1)/100/12),$K4529))))</f>
      </c>
      <c r="L4530" s="43">
        <f>IF($I4530=0,0,$J4530*$H4530/100/12)</f>
      </c>
      <c r="M4530" s="43">
        <f>IF($I4530=0,0,IF(OR(INDEX(DarlOhneTilgung,10)=1,AND(INDEX(DarlTilgStart,10)&gt;0,$E4530&lt;INDEX(DarlTilgStart,10))),0,MIN(MAX(0,$K4530-$L4530),$J4530)))</f>
      </c>
      <c r="N4530" s="43">
        <f>IF($I4530=0,0,MIN(SUMIFS(SondBetrag,SondDarl,10,SondDatum,"&gt;="&amp;$E4530,SondDatum,"&lt;="&amp;EOMONTH($E4530,0)),$J4530-$M4530))</f>
      </c>
      <c r="O4530" s="43">
        <f>IF($I4530=0,0,INDEX(DarlErsatzRate,10))</f>
      </c>
      <c r="P4530" s="43">
        <f>IF($I4530=0,0,$Q4529*INDEX(DarlErsatzZins,10))</f>
      </c>
      <c r="Q4530" s="43">
        <f>IF($I4530=0,0,$Q4529+$P4530+$O4530)</f>
      </c>
      <c r="R4530" s="43">
        <f>IF($I4530=0,0,$J4530-$M4530-$N4530)</f>
      </c>
    </row>
    <row r="4531">
      <c r="A4531"/>
      <c r="B4531">
        <v>10</v>
      </c>
      <c r="C4531" s="43">
        <f>INDEX(DarlObj,10)</f>
      </c>
      <c r="D4531">
        <v>208</v>
      </c>
      <c r="E4531" s="51">
        <f>IF(INDEX(DarlBelegt,10)=0,0,EOMONTH(INDEX(DarlAuszahlung,10),207)+1)</f>
      </c>
      <c r="F4531" s="43">
        <f>IF($E4531=0,0,YEAR($E4531))</f>
      </c>
      <c r="G4531" s="43">
        <f>IF(INDEX(DarlBindung,10)="",1,IF($E4531&lt;=INDEX(DarlBindung,10),1,0))</f>
      </c>
      <c r="H4531" s="43">
        <f>IF($G4531=1,INDEX(DarlSollzins,10),INDEX(DarlAnschluss,10))</f>
      </c>
      <c r="I4531" s="43">
        <f>IF(INDEX(DarlBelegt,10)=0,0,IF(INDEX(DarlOhneTilgung,10)=1,IF(INDEX(DarlBindung,10)="",1,$G4531),IF($J4531&gt;0.005,1,0)))</f>
      </c>
      <c r="J4531" s="43">
        <f>IF($I4530=0,0,$R4530)</f>
      </c>
      <c r="K4531" s="43">
        <f>IF($I4531=0,0,IF(INDEX(DarlOhneTilgung,10)=1,0,IF(AND(INDEX(DarlTilgStart,10)&gt;0,$E4531=INDEX(DarlTilgStart,10)),$J4531*($H4531+INDEX(DarlTilgung,10))/100/12,IF(AND($G4531=0,$G4530=1),MAX($K4530,$J4531*($H4531+1)/100/12),$K4530))))</f>
      </c>
      <c r="L4531" s="43">
        <f>IF($I4531=0,0,$J4531*$H4531/100/12)</f>
      </c>
      <c r="M4531" s="43">
        <f>IF($I4531=0,0,IF(OR(INDEX(DarlOhneTilgung,10)=1,AND(INDEX(DarlTilgStart,10)&gt;0,$E4531&lt;INDEX(DarlTilgStart,10))),0,MIN(MAX(0,$K4531-$L4531),$J4531)))</f>
      </c>
      <c r="N4531" s="43">
        <f>IF($I4531=0,0,MIN(SUMIFS(SondBetrag,SondDarl,10,SondDatum,"&gt;="&amp;$E4531,SondDatum,"&lt;="&amp;EOMONTH($E4531,0)),$J4531-$M4531))</f>
      </c>
      <c r="O4531" s="43">
        <f>IF($I4531=0,0,INDEX(DarlErsatzRate,10))</f>
      </c>
      <c r="P4531" s="43">
        <f>IF($I4531=0,0,$Q4530*INDEX(DarlErsatzZins,10))</f>
      </c>
      <c r="Q4531" s="43">
        <f>IF($I4531=0,0,$Q4530+$P4531+$O4531)</f>
      </c>
      <c r="R4531" s="43">
        <f>IF($I4531=0,0,$J4531-$M4531-$N4531)</f>
      </c>
    </row>
    <row r="4532">
      <c r="A4532"/>
      <c r="B4532">
        <v>10</v>
      </c>
      <c r="C4532" s="43">
        <f>INDEX(DarlObj,10)</f>
      </c>
      <c r="D4532">
        <v>209</v>
      </c>
      <c r="E4532" s="51">
        <f>IF(INDEX(DarlBelegt,10)=0,0,EOMONTH(INDEX(DarlAuszahlung,10),208)+1)</f>
      </c>
      <c r="F4532" s="43">
        <f>IF($E4532=0,0,YEAR($E4532))</f>
      </c>
      <c r="G4532" s="43">
        <f>IF(INDEX(DarlBindung,10)="",1,IF($E4532&lt;=INDEX(DarlBindung,10),1,0))</f>
      </c>
      <c r="H4532" s="43">
        <f>IF($G4532=1,INDEX(DarlSollzins,10),INDEX(DarlAnschluss,10))</f>
      </c>
      <c r="I4532" s="43">
        <f>IF(INDEX(DarlBelegt,10)=0,0,IF(INDEX(DarlOhneTilgung,10)=1,IF(INDEX(DarlBindung,10)="",1,$G4532),IF($J4532&gt;0.005,1,0)))</f>
      </c>
      <c r="J4532" s="43">
        <f>IF($I4531=0,0,$R4531)</f>
      </c>
      <c r="K4532" s="43">
        <f>IF($I4532=0,0,IF(INDEX(DarlOhneTilgung,10)=1,0,IF(AND(INDEX(DarlTilgStart,10)&gt;0,$E4532=INDEX(DarlTilgStart,10)),$J4532*($H4532+INDEX(DarlTilgung,10))/100/12,IF(AND($G4532=0,$G4531=1),MAX($K4531,$J4532*($H4532+1)/100/12),$K4531))))</f>
      </c>
      <c r="L4532" s="43">
        <f>IF($I4532=0,0,$J4532*$H4532/100/12)</f>
      </c>
      <c r="M4532" s="43">
        <f>IF($I4532=0,0,IF(OR(INDEX(DarlOhneTilgung,10)=1,AND(INDEX(DarlTilgStart,10)&gt;0,$E4532&lt;INDEX(DarlTilgStart,10))),0,MIN(MAX(0,$K4532-$L4532),$J4532)))</f>
      </c>
      <c r="N4532" s="43">
        <f>IF($I4532=0,0,MIN(SUMIFS(SondBetrag,SondDarl,10,SondDatum,"&gt;="&amp;$E4532,SondDatum,"&lt;="&amp;EOMONTH($E4532,0)),$J4532-$M4532))</f>
      </c>
      <c r="O4532" s="43">
        <f>IF($I4532=0,0,INDEX(DarlErsatzRate,10))</f>
      </c>
      <c r="P4532" s="43">
        <f>IF($I4532=0,0,$Q4531*INDEX(DarlErsatzZins,10))</f>
      </c>
      <c r="Q4532" s="43">
        <f>IF($I4532=0,0,$Q4531+$P4532+$O4532)</f>
      </c>
      <c r="R4532" s="43">
        <f>IF($I4532=0,0,$J4532-$M4532-$N4532)</f>
      </c>
    </row>
    <row r="4533">
      <c r="A4533"/>
      <c r="B4533">
        <v>10</v>
      </c>
      <c r="C4533" s="43">
        <f>INDEX(DarlObj,10)</f>
      </c>
      <c r="D4533">
        <v>210</v>
      </c>
      <c r="E4533" s="51">
        <f>IF(INDEX(DarlBelegt,10)=0,0,EOMONTH(INDEX(DarlAuszahlung,10),209)+1)</f>
      </c>
      <c r="F4533" s="43">
        <f>IF($E4533=0,0,YEAR($E4533))</f>
      </c>
      <c r="G4533" s="43">
        <f>IF(INDEX(DarlBindung,10)="",1,IF($E4533&lt;=INDEX(DarlBindung,10),1,0))</f>
      </c>
      <c r="H4533" s="43">
        <f>IF($G4533=1,INDEX(DarlSollzins,10),INDEX(DarlAnschluss,10))</f>
      </c>
      <c r="I4533" s="43">
        <f>IF(INDEX(DarlBelegt,10)=0,0,IF(INDEX(DarlOhneTilgung,10)=1,IF(INDEX(DarlBindung,10)="",1,$G4533),IF($J4533&gt;0.005,1,0)))</f>
      </c>
      <c r="J4533" s="43">
        <f>IF($I4532=0,0,$R4532)</f>
      </c>
      <c r="K4533" s="43">
        <f>IF($I4533=0,0,IF(INDEX(DarlOhneTilgung,10)=1,0,IF(AND(INDEX(DarlTilgStart,10)&gt;0,$E4533=INDEX(DarlTilgStart,10)),$J4533*($H4533+INDEX(DarlTilgung,10))/100/12,IF(AND($G4533=0,$G4532=1),MAX($K4532,$J4533*($H4533+1)/100/12),$K4532))))</f>
      </c>
      <c r="L4533" s="43">
        <f>IF($I4533=0,0,$J4533*$H4533/100/12)</f>
      </c>
      <c r="M4533" s="43">
        <f>IF($I4533=0,0,IF(OR(INDEX(DarlOhneTilgung,10)=1,AND(INDEX(DarlTilgStart,10)&gt;0,$E4533&lt;INDEX(DarlTilgStart,10))),0,MIN(MAX(0,$K4533-$L4533),$J4533)))</f>
      </c>
      <c r="N4533" s="43">
        <f>IF($I4533=0,0,MIN(SUMIFS(SondBetrag,SondDarl,10,SondDatum,"&gt;="&amp;$E4533,SondDatum,"&lt;="&amp;EOMONTH($E4533,0)),$J4533-$M4533))</f>
      </c>
      <c r="O4533" s="43">
        <f>IF($I4533=0,0,INDEX(DarlErsatzRate,10))</f>
      </c>
      <c r="P4533" s="43">
        <f>IF($I4533=0,0,$Q4532*INDEX(DarlErsatzZins,10))</f>
      </c>
      <c r="Q4533" s="43">
        <f>IF($I4533=0,0,$Q4532+$P4533+$O4533)</f>
      </c>
      <c r="R4533" s="43">
        <f>IF($I4533=0,0,$J4533-$M4533-$N4533)</f>
      </c>
    </row>
    <row r="4534">
      <c r="A4534"/>
      <c r="B4534">
        <v>10</v>
      </c>
      <c r="C4534" s="43">
        <f>INDEX(DarlObj,10)</f>
      </c>
      <c r="D4534">
        <v>211</v>
      </c>
      <c r="E4534" s="51">
        <f>IF(INDEX(DarlBelegt,10)=0,0,EOMONTH(INDEX(DarlAuszahlung,10),210)+1)</f>
      </c>
      <c r="F4534" s="43">
        <f>IF($E4534=0,0,YEAR($E4534))</f>
      </c>
      <c r="G4534" s="43">
        <f>IF(INDEX(DarlBindung,10)="",1,IF($E4534&lt;=INDEX(DarlBindung,10),1,0))</f>
      </c>
      <c r="H4534" s="43">
        <f>IF($G4534=1,INDEX(DarlSollzins,10),INDEX(DarlAnschluss,10))</f>
      </c>
      <c r="I4534" s="43">
        <f>IF(INDEX(DarlBelegt,10)=0,0,IF(INDEX(DarlOhneTilgung,10)=1,IF(INDEX(DarlBindung,10)="",1,$G4534),IF($J4534&gt;0.005,1,0)))</f>
      </c>
      <c r="J4534" s="43">
        <f>IF($I4533=0,0,$R4533)</f>
      </c>
      <c r="K4534" s="43">
        <f>IF($I4534=0,0,IF(INDEX(DarlOhneTilgung,10)=1,0,IF(AND(INDEX(DarlTilgStart,10)&gt;0,$E4534=INDEX(DarlTilgStart,10)),$J4534*($H4534+INDEX(DarlTilgung,10))/100/12,IF(AND($G4534=0,$G4533=1),MAX($K4533,$J4534*($H4534+1)/100/12),$K4533))))</f>
      </c>
      <c r="L4534" s="43">
        <f>IF($I4534=0,0,$J4534*$H4534/100/12)</f>
      </c>
      <c r="M4534" s="43">
        <f>IF($I4534=0,0,IF(OR(INDEX(DarlOhneTilgung,10)=1,AND(INDEX(DarlTilgStart,10)&gt;0,$E4534&lt;INDEX(DarlTilgStart,10))),0,MIN(MAX(0,$K4534-$L4534),$J4534)))</f>
      </c>
      <c r="N4534" s="43">
        <f>IF($I4534=0,0,MIN(SUMIFS(SondBetrag,SondDarl,10,SondDatum,"&gt;="&amp;$E4534,SondDatum,"&lt;="&amp;EOMONTH($E4534,0)),$J4534-$M4534))</f>
      </c>
      <c r="O4534" s="43">
        <f>IF($I4534=0,0,INDEX(DarlErsatzRate,10))</f>
      </c>
      <c r="P4534" s="43">
        <f>IF($I4534=0,0,$Q4533*INDEX(DarlErsatzZins,10))</f>
      </c>
      <c r="Q4534" s="43">
        <f>IF($I4534=0,0,$Q4533+$P4534+$O4534)</f>
      </c>
      <c r="R4534" s="43">
        <f>IF($I4534=0,0,$J4534-$M4534-$N4534)</f>
      </c>
    </row>
    <row r="4535">
      <c r="A4535"/>
      <c r="B4535">
        <v>10</v>
      </c>
      <c r="C4535" s="43">
        <f>INDEX(DarlObj,10)</f>
      </c>
      <c r="D4535">
        <v>212</v>
      </c>
      <c r="E4535" s="51">
        <f>IF(INDEX(DarlBelegt,10)=0,0,EOMONTH(INDEX(DarlAuszahlung,10),211)+1)</f>
      </c>
      <c r="F4535" s="43">
        <f>IF($E4535=0,0,YEAR($E4535))</f>
      </c>
      <c r="G4535" s="43">
        <f>IF(INDEX(DarlBindung,10)="",1,IF($E4535&lt;=INDEX(DarlBindung,10),1,0))</f>
      </c>
      <c r="H4535" s="43">
        <f>IF($G4535=1,INDEX(DarlSollzins,10),INDEX(DarlAnschluss,10))</f>
      </c>
      <c r="I4535" s="43">
        <f>IF(INDEX(DarlBelegt,10)=0,0,IF(INDEX(DarlOhneTilgung,10)=1,IF(INDEX(DarlBindung,10)="",1,$G4535),IF($J4535&gt;0.005,1,0)))</f>
      </c>
      <c r="J4535" s="43">
        <f>IF($I4534=0,0,$R4534)</f>
      </c>
      <c r="K4535" s="43">
        <f>IF($I4535=0,0,IF(INDEX(DarlOhneTilgung,10)=1,0,IF(AND(INDEX(DarlTilgStart,10)&gt;0,$E4535=INDEX(DarlTilgStart,10)),$J4535*($H4535+INDEX(DarlTilgung,10))/100/12,IF(AND($G4535=0,$G4534=1),MAX($K4534,$J4535*($H4535+1)/100/12),$K4534))))</f>
      </c>
      <c r="L4535" s="43">
        <f>IF($I4535=0,0,$J4535*$H4535/100/12)</f>
      </c>
      <c r="M4535" s="43">
        <f>IF($I4535=0,0,IF(OR(INDEX(DarlOhneTilgung,10)=1,AND(INDEX(DarlTilgStart,10)&gt;0,$E4535&lt;INDEX(DarlTilgStart,10))),0,MIN(MAX(0,$K4535-$L4535),$J4535)))</f>
      </c>
      <c r="N4535" s="43">
        <f>IF($I4535=0,0,MIN(SUMIFS(SondBetrag,SondDarl,10,SondDatum,"&gt;="&amp;$E4535,SondDatum,"&lt;="&amp;EOMONTH($E4535,0)),$J4535-$M4535))</f>
      </c>
      <c r="O4535" s="43">
        <f>IF($I4535=0,0,INDEX(DarlErsatzRate,10))</f>
      </c>
      <c r="P4535" s="43">
        <f>IF($I4535=0,0,$Q4534*INDEX(DarlErsatzZins,10))</f>
      </c>
      <c r="Q4535" s="43">
        <f>IF($I4535=0,0,$Q4534+$P4535+$O4535)</f>
      </c>
      <c r="R4535" s="43">
        <f>IF($I4535=0,0,$J4535-$M4535-$N4535)</f>
      </c>
    </row>
    <row r="4536">
      <c r="A4536"/>
      <c r="B4536">
        <v>10</v>
      </c>
      <c r="C4536" s="43">
        <f>INDEX(DarlObj,10)</f>
      </c>
      <c r="D4536">
        <v>213</v>
      </c>
      <c r="E4536" s="51">
        <f>IF(INDEX(DarlBelegt,10)=0,0,EOMONTH(INDEX(DarlAuszahlung,10),212)+1)</f>
      </c>
      <c r="F4536" s="43">
        <f>IF($E4536=0,0,YEAR($E4536))</f>
      </c>
      <c r="G4536" s="43">
        <f>IF(INDEX(DarlBindung,10)="",1,IF($E4536&lt;=INDEX(DarlBindung,10),1,0))</f>
      </c>
      <c r="H4536" s="43">
        <f>IF($G4536=1,INDEX(DarlSollzins,10),INDEX(DarlAnschluss,10))</f>
      </c>
      <c r="I4536" s="43">
        <f>IF(INDEX(DarlBelegt,10)=0,0,IF(INDEX(DarlOhneTilgung,10)=1,IF(INDEX(DarlBindung,10)="",1,$G4536),IF($J4536&gt;0.005,1,0)))</f>
      </c>
      <c r="J4536" s="43">
        <f>IF($I4535=0,0,$R4535)</f>
      </c>
      <c r="K4536" s="43">
        <f>IF($I4536=0,0,IF(INDEX(DarlOhneTilgung,10)=1,0,IF(AND(INDEX(DarlTilgStart,10)&gt;0,$E4536=INDEX(DarlTilgStart,10)),$J4536*($H4536+INDEX(DarlTilgung,10))/100/12,IF(AND($G4536=0,$G4535=1),MAX($K4535,$J4536*($H4536+1)/100/12),$K4535))))</f>
      </c>
      <c r="L4536" s="43">
        <f>IF($I4536=0,0,$J4536*$H4536/100/12)</f>
      </c>
      <c r="M4536" s="43">
        <f>IF($I4536=0,0,IF(OR(INDEX(DarlOhneTilgung,10)=1,AND(INDEX(DarlTilgStart,10)&gt;0,$E4536&lt;INDEX(DarlTilgStart,10))),0,MIN(MAX(0,$K4536-$L4536),$J4536)))</f>
      </c>
      <c r="N4536" s="43">
        <f>IF($I4536=0,0,MIN(SUMIFS(SondBetrag,SondDarl,10,SondDatum,"&gt;="&amp;$E4536,SondDatum,"&lt;="&amp;EOMONTH($E4536,0)),$J4536-$M4536))</f>
      </c>
      <c r="O4536" s="43">
        <f>IF($I4536=0,0,INDEX(DarlErsatzRate,10))</f>
      </c>
      <c r="P4536" s="43">
        <f>IF($I4536=0,0,$Q4535*INDEX(DarlErsatzZins,10))</f>
      </c>
      <c r="Q4536" s="43">
        <f>IF($I4536=0,0,$Q4535+$P4536+$O4536)</f>
      </c>
      <c r="R4536" s="43">
        <f>IF($I4536=0,0,$J4536-$M4536-$N4536)</f>
      </c>
    </row>
    <row r="4537">
      <c r="A4537"/>
      <c r="B4537">
        <v>10</v>
      </c>
      <c r="C4537" s="43">
        <f>INDEX(DarlObj,10)</f>
      </c>
      <c r="D4537">
        <v>214</v>
      </c>
      <c r="E4537" s="51">
        <f>IF(INDEX(DarlBelegt,10)=0,0,EOMONTH(INDEX(DarlAuszahlung,10),213)+1)</f>
      </c>
      <c r="F4537" s="43">
        <f>IF($E4537=0,0,YEAR($E4537))</f>
      </c>
      <c r="G4537" s="43">
        <f>IF(INDEX(DarlBindung,10)="",1,IF($E4537&lt;=INDEX(DarlBindung,10),1,0))</f>
      </c>
      <c r="H4537" s="43">
        <f>IF($G4537=1,INDEX(DarlSollzins,10),INDEX(DarlAnschluss,10))</f>
      </c>
      <c r="I4537" s="43">
        <f>IF(INDEX(DarlBelegt,10)=0,0,IF(INDEX(DarlOhneTilgung,10)=1,IF(INDEX(DarlBindung,10)="",1,$G4537),IF($J4537&gt;0.005,1,0)))</f>
      </c>
      <c r="J4537" s="43">
        <f>IF($I4536=0,0,$R4536)</f>
      </c>
      <c r="K4537" s="43">
        <f>IF($I4537=0,0,IF(INDEX(DarlOhneTilgung,10)=1,0,IF(AND(INDEX(DarlTilgStart,10)&gt;0,$E4537=INDEX(DarlTilgStart,10)),$J4537*($H4537+INDEX(DarlTilgung,10))/100/12,IF(AND($G4537=0,$G4536=1),MAX($K4536,$J4537*($H4537+1)/100/12),$K4536))))</f>
      </c>
      <c r="L4537" s="43">
        <f>IF($I4537=0,0,$J4537*$H4537/100/12)</f>
      </c>
      <c r="M4537" s="43">
        <f>IF($I4537=0,0,IF(OR(INDEX(DarlOhneTilgung,10)=1,AND(INDEX(DarlTilgStart,10)&gt;0,$E4537&lt;INDEX(DarlTilgStart,10))),0,MIN(MAX(0,$K4537-$L4537),$J4537)))</f>
      </c>
      <c r="N4537" s="43">
        <f>IF($I4537=0,0,MIN(SUMIFS(SondBetrag,SondDarl,10,SondDatum,"&gt;="&amp;$E4537,SondDatum,"&lt;="&amp;EOMONTH($E4537,0)),$J4537-$M4537))</f>
      </c>
      <c r="O4537" s="43">
        <f>IF($I4537=0,0,INDEX(DarlErsatzRate,10))</f>
      </c>
      <c r="P4537" s="43">
        <f>IF($I4537=0,0,$Q4536*INDEX(DarlErsatzZins,10))</f>
      </c>
      <c r="Q4537" s="43">
        <f>IF($I4537=0,0,$Q4536+$P4537+$O4537)</f>
      </c>
      <c r="R4537" s="43">
        <f>IF($I4537=0,0,$J4537-$M4537-$N4537)</f>
      </c>
    </row>
    <row r="4538">
      <c r="A4538"/>
      <c r="B4538">
        <v>10</v>
      </c>
      <c r="C4538" s="43">
        <f>INDEX(DarlObj,10)</f>
      </c>
      <c r="D4538">
        <v>215</v>
      </c>
      <c r="E4538" s="51">
        <f>IF(INDEX(DarlBelegt,10)=0,0,EOMONTH(INDEX(DarlAuszahlung,10),214)+1)</f>
      </c>
      <c r="F4538" s="43">
        <f>IF($E4538=0,0,YEAR($E4538))</f>
      </c>
      <c r="G4538" s="43">
        <f>IF(INDEX(DarlBindung,10)="",1,IF($E4538&lt;=INDEX(DarlBindung,10),1,0))</f>
      </c>
      <c r="H4538" s="43">
        <f>IF($G4538=1,INDEX(DarlSollzins,10),INDEX(DarlAnschluss,10))</f>
      </c>
      <c r="I4538" s="43">
        <f>IF(INDEX(DarlBelegt,10)=0,0,IF(INDEX(DarlOhneTilgung,10)=1,IF(INDEX(DarlBindung,10)="",1,$G4538),IF($J4538&gt;0.005,1,0)))</f>
      </c>
      <c r="J4538" s="43">
        <f>IF($I4537=0,0,$R4537)</f>
      </c>
      <c r="K4538" s="43">
        <f>IF($I4538=0,0,IF(INDEX(DarlOhneTilgung,10)=1,0,IF(AND(INDEX(DarlTilgStart,10)&gt;0,$E4538=INDEX(DarlTilgStart,10)),$J4538*($H4538+INDEX(DarlTilgung,10))/100/12,IF(AND($G4538=0,$G4537=1),MAX($K4537,$J4538*($H4538+1)/100/12),$K4537))))</f>
      </c>
      <c r="L4538" s="43">
        <f>IF($I4538=0,0,$J4538*$H4538/100/12)</f>
      </c>
      <c r="M4538" s="43">
        <f>IF($I4538=0,0,IF(OR(INDEX(DarlOhneTilgung,10)=1,AND(INDEX(DarlTilgStart,10)&gt;0,$E4538&lt;INDEX(DarlTilgStart,10))),0,MIN(MAX(0,$K4538-$L4538),$J4538)))</f>
      </c>
      <c r="N4538" s="43">
        <f>IF($I4538=0,0,MIN(SUMIFS(SondBetrag,SondDarl,10,SondDatum,"&gt;="&amp;$E4538,SondDatum,"&lt;="&amp;EOMONTH($E4538,0)),$J4538-$M4538))</f>
      </c>
      <c r="O4538" s="43">
        <f>IF($I4538=0,0,INDEX(DarlErsatzRate,10))</f>
      </c>
      <c r="P4538" s="43">
        <f>IF($I4538=0,0,$Q4537*INDEX(DarlErsatzZins,10))</f>
      </c>
      <c r="Q4538" s="43">
        <f>IF($I4538=0,0,$Q4537+$P4538+$O4538)</f>
      </c>
      <c r="R4538" s="43">
        <f>IF($I4538=0,0,$J4538-$M4538-$N4538)</f>
      </c>
    </row>
    <row r="4539">
      <c r="A4539"/>
      <c r="B4539">
        <v>10</v>
      </c>
      <c r="C4539" s="43">
        <f>INDEX(DarlObj,10)</f>
      </c>
      <c r="D4539">
        <v>216</v>
      </c>
      <c r="E4539" s="51">
        <f>IF(INDEX(DarlBelegt,10)=0,0,EOMONTH(INDEX(DarlAuszahlung,10),215)+1)</f>
      </c>
      <c r="F4539" s="43">
        <f>IF($E4539=0,0,YEAR($E4539))</f>
      </c>
      <c r="G4539" s="43">
        <f>IF(INDEX(DarlBindung,10)="",1,IF($E4539&lt;=INDEX(DarlBindung,10),1,0))</f>
      </c>
      <c r="H4539" s="43">
        <f>IF($G4539=1,INDEX(DarlSollzins,10),INDEX(DarlAnschluss,10))</f>
      </c>
      <c r="I4539" s="43">
        <f>IF(INDEX(DarlBelegt,10)=0,0,IF(INDEX(DarlOhneTilgung,10)=1,IF(INDEX(DarlBindung,10)="",1,$G4539),IF($J4539&gt;0.005,1,0)))</f>
      </c>
      <c r="J4539" s="43">
        <f>IF($I4538=0,0,$R4538)</f>
      </c>
      <c r="K4539" s="43">
        <f>IF($I4539=0,0,IF(INDEX(DarlOhneTilgung,10)=1,0,IF(AND(INDEX(DarlTilgStart,10)&gt;0,$E4539=INDEX(DarlTilgStart,10)),$J4539*($H4539+INDEX(DarlTilgung,10))/100/12,IF(AND($G4539=0,$G4538=1),MAX($K4538,$J4539*($H4539+1)/100/12),$K4538))))</f>
      </c>
      <c r="L4539" s="43">
        <f>IF($I4539=0,0,$J4539*$H4539/100/12)</f>
      </c>
      <c r="M4539" s="43">
        <f>IF($I4539=0,0,IF(OR(INDEX(DarlOhneTilgung,10)=1,AND(INDEX(DarlTilgStart,10)&gt;0,$E4539&lt;INDEX(DarlTilgStart,10))),0,MIN(MAX(0,$K4539-$L4539),$J4539)))</f>
      </c>
      <c r="N4539" s="43">
        <f>IF($I4539=0,0,MIN(SUMIFS(SondBetrag,SondDarl,10,SondDatum,"&gt;="&amp;$E4539,SondDatum,"&lt;="&amp;EOMONTH($E4539,0)),$J4539-$M4539))</f>
      </c>
      <c r="O4539" s="43">
        <f>IF($I4539=0,0,INDEX(DarlErsatzRate,10))</f>
      </c>
      <c r="P4539" s="43">
        <f>IF($I4539=0,0,$Q4538*INDEX(DarlErsatzZins,10))</f>
      </c>
      <c r="Q4539" s="43">
        <f>IF($I4539=0,0,$Q4538+$P4539+$O4539)</f>
      </c>
      <c r="R4539" s="43">
        <f>IF($I4539=0,0,$J4539-$M4539-$N4539)</f>
      </c>
    </row>
    <row r="4540">
      <c r="A4540"/>
      <c r="B4540">
        <v>10</v>
      </c>
      <c r="C4540" s="43">
        <f>INDEX(DarlObj,10)</f>
      </c>
      <c r="D4540">
        <v>217</v>
      </c>
      <c r="E4540" s="51">
        <f>IF(INDEX(DarlBelegt,10)=0,0,EOMONTH(INDEX(DarlAuszahlung,10),216)+1)</f>
      </c>
      <c r="F4540" s="43">
        <f>IF($E4540=0,0,YEAR($E4540))</f>
      </c>
      <c r="G4540" s="43">
        <f>IF(INDEX(DarlBindung,10)="",1,IF($E4540&lt;=INDEX(DarlBindung,10),1,0))</f>
      </c>
      <c r="H4540" s="43">
        <f>IF($G4540=1,INDEX(DarlSollzins,10),INDEX(DarlAnschluss,10))</f>
      </c>
      <c r="I4540" s="43">
        <f>IF(INDEX(DarlBelegt,10)=0,0,IF(INDEX(DarlOhneTilgung,10)=1,IF(INDEX(DarlBindung,10)="",1,$G4540),IF($J4540&gt;0.005,1,0)))</f>
      </c>
      <c r="J4540" s="43">
        <f>IF($I4539=0,0,$R4539)</f>
      </c>
      <c r="K4540" s="43">
        <f>IF($I4540=0,0,IF(INDEX(DarlOhneTilgung,10)=1,0,IF(AND(INDEX(DarlTilgStart,10)&gt;0,$E4540=INDEX(DarlTilgStart,10)),$J4540*($H4540+INDEX(DarlTilgung,10))/100/12,IF(AND($G4540=0,$G4539=1),MAX($K4539,$J4540*($H4540+1)/100/12),$K4539))))</f>
      </c>
      <c r="L4540" s="43">
        <f>IF($I4540=0,0,$J4540*$H4540/100/12)</f>
      </c>
      <c r="M4540" s="43">
        <f>IF($I4540=0,0,IF(OR(INDEX(DarlOhneTilgung,10)=1,AND(INDEX(DarlTilgStart,10)&gt;0,$E4540&lt;INDEX(DarlTilgStart,10))),0,MIN(MAX(0,$K4540-$L4540),$J4540)))</f>
      </c>
      <c r="N4540" s="43">
        <f>IF($I4540=0,0,MIN(SUMIFS(SondBetrag,SondDarl,10,SondDatum,"&gt;="&amp;$E4540,SondDatum,"&lt;="&amp;EOMONTH($E4540,0)),$J4540-$M4540))</f>
      </c>
      <c r="O4540" s="43">
        <f>IF($I4540=0,0,INDEX(DarlErsatzRate,10))</f>
      </c>
      <c r="P4540" s="43">
        <f>IF($I4540=0,0,$Q4539*INDEX(DarlErsatzZins,10))</f>
      </c>
      <c r="Q4540" s="43">
        <f>IF($I4540=0,0,$Q4539+$P4540+$O4540)</f>
      </c>
      <c r="R4540" s="43">
        <f>IF($I4540=0,0,$J4540-$M4540-$N4540)</f>
      </c>
    </row>
    <row r="4541">
      <c r="A4541"/>
      <c r="B4541">
        <v>10</v>
      </c>
      <c r="C4541" s="43">
        <f>INDEX(DarlObj,10)</f>
      </c>
      <c r="D4541">
        <v>218</v>
      </c>
      <c r="E4541" s="51">
        <f>IF(INDEX(DarlBelegt,10)=0,0,EOMONTH(INDEX(DarlAuszahlung,10),217)+1)</f>
      </c>
      <c r="F4541" s="43">
        <f>IF($E4541=0,0,YEAR($E4541))</f>
      </c>
      <c r="G4541" s="43">
        <f>IF(INDEX(DarlBindung,10)="",1,IF($E4541&lt;=INDEX(DarlBindung,10),1,0))</f>
      </c>
      <c r="H4541" s="43">
        <f>IF($G4541=1,INDEX(DarlSollzins,10),INDEX(DarlAnschluss,10))</f>
      </c>
      <c r="I4541" s="43">
        <f>IF(INDEX(DarlBelegt,10)=0,0,IF(INDEX(DarlOhneTilgung,10)=1,IF(INDEX(DarlBindung,10)="",1,$G4541),IF($J4541&gt;0.005,1,0)))</f>
      </c>
      <c r="J4541" s="43">
        <f>IF($I4540=0,0,$R4540)</f>
      </c>
      <c r="K4541" s="43">
        <f>IF($I4541=0,0,IF(INDEX(DarlOhneTilgung,10)=1,0,IF(AND(INDEX(DarlTilgStart,10)&gt;0,$E4541=INDEX(DarlTilgStart,10)),$J4541*($H4541+INDEX(DarlTilgung,10))/100/12,IF(AND($G4541=0,$G4540=1),MAX($K4540,$J4541*($H4541+1)/100/12),$K4540))))</f>
      </c>
      <c r="L4541" s="43">
        <f>IF($I4541=0,0,$J4541*$H4541/100/12)</f>
      </c>
      <c r="M4541" s="43">
        <f>IF($I4541=0,0,IF(OR(INDEX(DarlOhneTilgung,10)=1,AND(INDEX(DarlTilgStart,10)&gt;0,$E4541&lt;INDEX(DarlTilgStart,10))),0,MIN(MAX(0,$K4541-$L4541),$J4541)))</f>
      </c>
      <c r="N4541" s="43">
        <f>IF($I4541=0,0,MIN(SUMIFS(SondBetrag,SondDarl,10,SondDatum,"&gt;="&amp;$E4541,SondDatum,"&lt;="&amp;EOMONTH($E4541,0)),$J4541-$M4541))</f>
      </c>
      <c r="O4541" s="43">
        <f>IF($I4541=0,0,INDEX(DarlErsatzRate,10))</f>
      </c>
      <c r="P4541" s="43">
        <f>IF($I4541=0,0,$Q4540*INDEX(DarlErsatzZins,10))</f>
      </c>
      <c r="Q4541" s="43">
        <f>IF($I4541=0,0,$Q4540+$P4541+$O4541)</f>
      </c>
      <c r="R4541" s="43">
        <f>IF($I4541=0,0,$J4541-$M4541-$N4541)</f>
      </c>
    </row>
    <row r="4542">
      <c r="A4542"/>
      <c r="B4542">
        <v>10</v>
      </c>
      <c r="C4542" s="43">
        <f>INDEX(DarlObj,10)</f>
      </c>
      <c r="D4542">
        <v>219</v>
      </c>
      <c r="E4542" s="51">
        <f>IF(INDEX(DarlBelegt,10)=0,0,EOMONTH(INDEX(DarlAuszahlung,10),218)+1)</f>
      </c>
      <c r="F4542" s="43">
        <f>IF($E4542=0,0,YEAR($E4542))</f>
      </c>
      <c r="G4542" s="43">
        <f>IF(INDEX(DarlBindung,10)="",1,IF($E4542&lt;=INDEX(DarlBindung,10),1,0))</f>
      </c>
      <c r="H4542" s="43">
        <f>IF($G4542=1,INDEX(DarlSollzins,10),INDEX(DarlAnschluss,10))</f>
      </c>
      <c r="I4542" s="43">
        <f>IF(INDEX(DarlBelegt,10)=0,0,IF(INDEX(DarlOhneTilgung,10)=1,IF(INDEX(DarlBindung,10)="",1,$G4542),IF($J4542&gt;0.005,1,0)))</f>
      </c>
      <c r="J4542" s="43">
        <f>IF($I4541=0,0,$R4541)</f>
      </c>
      <c r="K4542" s="43">
        <f>IF($I4542=0,0,IF(INDEX(DarlOhneTilgung,10)=1,0,IF(AND(INDEX(DarlTilgStart,10)&gt;0,$E4542=INDEX(DarlTilgStart,10)),$J4542*($H4542+INDEX(DarlTilgung,10))/100/12,IF(AND($G4542=0,$G4541=1),MAX($K4541,$J4542*($H4542+1)/100/12),$K4541))))</f>
      </c>
      <c r="L4542" s="43">
        <f>IF($I4542=0,0,$J4542*$H4542/100/12)</f>
      </c>
      <c r="M4542" s="43">
        <f>IF($I4542=0,0,IF(OR(INDEX(DarlOhneTilgung,10)=1,AND(INDEX(DarlTilgStart,10)&gt;0,$E4542&lt;INDEX(DarlTilgStart,10))),0,MIN(MAX(0,$K4542-$L4542),$J4542)))</f>
      </c>
      <c r="N4542" s="43">
        <f>IF($I4542=0,0,MIN(SUMIFS(SondBetrag,SondDarl,10,SondDatum,"&gt;="&amp;$E4542,SondDatum,"&lt;="&amp;EOMONTH($E4542,0)),$J4542-$M4542))</f>
      </c>
      <c r="O4542" s="43">
        <f>IF($I4542=0,0,INDEX(DarlErsatzRate,10))</f>
      </c>
      <c r="P4542" s="43">
        <f>IF($I4542=0,0,$Q4541*INDEX(DarlErsatzZins,10))</f>
      </c>
      <c r="Q4542" s="43">
        <f>IF($I4542=0,0,$Q4541+$P4542+$O4542)</f>
      </c>
      <c r="R4542" s="43">
        <f>IF($I4542=0,0,$J4542-$M4542-$N4542)</f>
      </c>
    </row>
    <row r="4543">
      <c r="A4543"/>
      <c r="B4543">
        <v>10</v>
      </c>
      <c r="C4543" s="43">
        <f>INDEX(DarlObj,10)</f>
      </c>
      <c r="D4543">
        <v>220</v>
      </c>
      <c r="E4543" s="51">
        <f>IF(INDEX(DarlBelegt,10)=0,0,EOMONTH(INDEX(DarlAuszahlung,10),219)+1)</f>
      </c>
      <c r="F4543" s="43">
        <f>IF($E4543=0,0,YEAR($E4543))</f>
      </c>
      <c r="G4543" s="43">
        <f>IF(INDEX(DarlBindung,10)="",1,IF($E4543&lt;=INDEX(DarlBindung,10),1,0))</f>
      </c>
      <c r="H4543" s="43">
        <f>IF($G4543=1,INDEX(DarlSollzins,10),INDEX(DarlAnschluss,10))</f>
      </c>
      <c r="I4543" s="43">
        <f>IF(INDEX(DarlBelegt,10)=0,0,IF(INDEX(DarlOhneTilgung,10)=1,IF(INDEX(DarlBindung,10)="",1,$G4543),IF($J4543&gt;0.005,1,0)))</f>
      </c>
      <c r="J4543" s="43">
        <f>IF($I4542=0,0,$R4542)</f>
      </c>
      <c r="K4543" s="43">
        <f>IF($I4543=0,0,IF(INDEX(DarlOhneTilgung,10)=1,0,IF(AND(INDEX(DarlTilgStart,10)&gt;0,$E4543=INDEX(DarlTilgStart,10)),$J4543*($H4543+INDEX(DarlTilgung,10))/100/12,IF(AND($G4543=0,$G4542=1),MAX($K4542,$J4543*($H4543+1)/100/12),$K4542))))</f>
      </c>
      <c r="L4543" s="43">
        <f>IF($I4543=0,0,$J4543*$H4543/100/12)</f>
      </c>
      <c r="M4543" s="43">
        <f>IF($I4543=0,0,IF(OR(INDEX(DarlOhneTilgung,10)=1,AND(INDEX(DarlTilgStart,10)&gt;0,$E4543&lt;INDEX(DarlTilgStart,10))),0,MIN(MAX(0,$K4543-$L4543),$J4543)))</f>
      </c>
      <c r="N4543" s="43">
        <f>IF($I4543=0,0,MIN(SUMIFS(SondBetrag,SondDarl,10,SondDatum,"&gt;="&amp;$E4543,SondDatum,"&lt;="&amp;EOMONTH($E4543,0)),$J4543-$M4543))</f>
      </c>
      <c r="O4543" s="43">
        <f>IF($I4543=0,0,INDEX(DarlErsatzRate,10))</f>
      </c>
      <c r="P4543" s="43">
        <f>IF($I4543=0,0,$Q4542*INDEX(DarlErsatzZins,10))</f>
      </c>
      <c r="Q4543" s="43">
        <f>IF($I4543=0,0,$Q4542+$P4543+$O4543)</f>
      </c>
      <c r="R4543" s="43">
        <f>IF($I4543=0,0,$J4543-$M4543-$N4543)</f>
      </c>
    </row>
    <row r="4544">
      <c r="A4544"/>
      <c r="B4544">
        <v>10</v>
      </c>
      <c r="C4544" s="43">
        <f>INDEX(DarlObj,10)</f>
      </c>
      <c r="D4544">
        <v>221</v>
      </c>
      <c r="E4544" s="51">
        <f>IF(INDEX(DarlBelegt,10)=0,0,EOMONTH(INDEX(DarlAuszahlung,10),220)+1)</f>
      </c>
      <c r="F4544" s="43">
        <f>IF($E4544=0,0,YEAR($E4544))</f>
      </c>
      <c r="G4544" s="43">
        <f>IF(INDEX(DarlBindung,10)="",1,IF($E4544&lt;=INDEX(DarlBindung,10),1,0))</f>
      </c>
      <c r="H4544" s="43">
        <f>IF($G4544=1,INDEX(DarlSollzins,10),INDEX(DarlAnschluss,10))</f>
      </c>
      <c r="I4544" s="43">
        <f>IF(INDEX(DarlBelegt,10)=0,0,IF(INDEX(DarlOhneTilgung,10)=1,IF(INDEX(DarlBindung,10)="",1,$G4544),IF($J4544&gt;0.005,1,0)))</f>
      </c>
      <c r="J4544" s="43">
        <f>IF($I4543=0,0,$R4543)</f>
      </c>
      <c r="K4544" s="43">
        <f>IF($I4544=0,0,IF(INDEX(DarlOhneTilgung,10)=1,0,IF(AND(INDEX(DarlTilgStart,10)&gt;0,$E4544=INDEX(DarlTilgStart,10)),$J4544*($H4544+INDEX(DarlTilgung,10))/100/12,IF(AND($G4544=0,$G4543=1),MAX($K4543,$J4544*($H4544+1)/100/12),$K4543))))</f>
      </c>
      <c r="L4544" s="43">
        <f>IF($I4544=0,0,$J4544*$H4544/100/12)</f>
      </c>
      <c r="M4544" s="43">
        <f>IF($I4544=0,0,IF(OR(INDEX(DarlOhneTilgung,10)=1,AND(INDEX(DarlTilgStart,10)&gt;0,$E4544&lt;INDEX(DarlTilgStart,10))),0,MIN(MAX(0,$K4544-$L4544),$J4544)))</f>
      </c>
      <c r="N4544" s="43">
        <f>IF($I4544=0,0,MIN(SUMIFS(SondBetrag,SondDarl,10,SondDatum,"&gt;="&amp;$E4544,SondDatum,"&lt;="&amp;EOMONTH($E4544,0)),$J4544-$M4544))</f>
      </c>
      <c r="O4544" s="43">
        <f>IF($I4544=0,0,INDEX(DarlErsatzRate,10))</f>
      </c>
      <c r="P4544" s="43">
        <f>IF($I4544=0,0,$Q4543*INDEX(DarlErsatzZins,10))</f>
      </c>
      <c r="Q4544" s="43">
        <f>IF($I4544=0,0,$Q4543+$P4544+$O4544)</f>
      </c>
      <c r="R4544" s="43">
        <f>IF($I4544=0,0,$J4544-$M4544-$N4544)</f>
      </c>
    </row>
    <row r="4545">
      <c r="A4545"/>
      <c r="B4545">
        <v>10</v>
      </c>
      <c r="C4545" s="43">
        <f>INDEX(DarlObj,10)</f>
      </c>
      <c r="D4545">
        <v>222</v>
      </c>
      <c r="E4545" s="51">
        <f>IF(INDEX(DarlBelegt,10)=0,0,EOMONTH(INDEX(DarlAuszahlung,10),221)+1)</f>
      </c>
      <c r="F4545" s="43">
        <f>IF($E4545=0,0,YEAR($E4545))</f>
      </c>
      <c r="G4545" s="43">
        <f>IF(INDEX(DarlBindung,10)="",1,IF($E4545&lt;=INDEX(DarlBindung,10),1,0))</f>
      </c>
      <c r="H4545" s="43">
        <f>IF($G4545=1,INDEX(DarlSollzins,10),INDEX(DarlAnschluss,10))</f>
      </c>
      <c r="I4545" s="43">
        <f>IF(INDEX(DarlBelegt,10)=0,0,IF(INDEX(DarlOhneTilgung,10)=1,IF(INDEX(DarlBindung,10)="",1,$G4545),IF($J4545&gt;0.005,1,0)))</f>
      </c>
      <c r="J4545" s="43">
        <f>IF($I4544=0,0,$R4544)</f>
      </c>
      <c r="K4545" s="43">
        <f>IF($I4545=0,0,IF(INDEX(DarlOhneTilgung,10)=1,0,IF(AND(INDEX(DarlTilgStart,10)&gt;0,$E4545=INDEX(DarlTilgStart,10)),$J4545*($H4545+INDEX(DarlTilgung,10))/100/12,IF(AND($G4545=0,$G4544=1),MAX($K4544,$J4545*($H4545+1)/100/12),$K4544))))</f>
      </c>
      <c r="L4545" s="43">
        <f>IF($I4545=0,0,$J4545*$H4545/100/12)</f>
      </c>
      <c r="M4545" s="43">
        <f>IF($I4545=0,0,IF(OR(INDEX(DarlOhneTilgung,10)=1,AND(INDEX(DarlTilgStart,10)&gt;0,$E4545&lt;INDEX(DarlTilgStart,10))),0,MIN(MAX(0,$K4545-$L4545),$J4545)))</f>
      </c>
      <c r="N4545" s="43">
        <f>IF($I4545=0,0,MIN(SUMIFS(SondBetrag,SondDarl,10,SondDatum,"&gt;="&amp;$E4545,SondDatum,"&lt;="&amp;EOMONTH($E4545,0)),$J4545-$M4545))</f>
      </c>
      <c r="O4545" s="43">
        <f>IF($I4545=0,0,INDEX(DarlErsatzRate,10))</f>
      </c>
      <c r="P4545" s="43">
        <f>IF($I4545=0,0,$Q4544*INDEX(DarlErsatzZins,10))</f>
      </c>
      <c r="Q4545" s="43">
        <f>IF($I4545=0,0,$Q4544+$P4545+$O4545)</f>
      </c>
      <c r="R4545" s="43">
        <f>IF($I4545=0,0,$J4545-$M4545-$N4545)</f>
      </c>
    </row>
    <row r="4546">
      <c r="A4546"/>
      <c r="B4546">
        <v>10</v>
      </c>
      <c r="C4546" s="43">
        <f>INDEX(DarlObj,10)</f>
      </c>
      <c r="D4546">
        <v>223</v>
      </c>
      <c r="E4546" s="51">
        <f>IF(INDEX(DarlBelegt,10)=0,0,EOMONTH(INDEX(DarlAuszahlung,10),222)+1)</f>
      </c>
      <c r="F4546" s="43">
        <f>IF($E4546=0,0,YEAR($E4546))</f>
      </c>
      <c r="G4546" s="43">
        <f>IF(INDEX(DarlBindung,10)="",1,IF($E4546&lt;=INDEX(DarlBindung,10),1,0))</f>
      </c>
      <c r="H4546" s="43">
        <f>IF($G4546=1,INDEX(DarlSollzins,10),INDEX(DarlAnschluss,10))</f>
      </c>
      <c r="I4546" s="43">
        <f>IF(INDEX(DarlBelegt,10)=0,0,IF(INDEX(DarlOhneTilgung,10)=1,IF(INDEX(DarlBindung,10)="",1,$G4546),IF($J4546&gt;0.005,1,0)))</f>
      </c>
      <c r="J4546" s="43">
        <f>IF($I4545=0,0,$R4545)</f>
      </c>
      <c r="K4546" s="43">
        <f>IF($I4546=0,0,IF(INDEX(DarlOhneTilgung,10)=1,0,IF(AND(INDEX(DarlTilgStart,10)&gt;0,$E4546=INDEX(DarlTilgStart,10)),$J4546*($H4546+INDEX(DarlTilgung,10))/100/12,IF(AND($G4546=0,$G4545=1),MAX($K4545,$J4546*($H4546+1)/100/12),$K4545))))</f>
      </c>
      <c r="L4546" s="43">
        <f>IF($I4546=0,0,$J4546*$H4546/100/12)</f>
      </c>
      <c r="M4546" s="43">
        <f>IF($I4546=0,0,IF(OR(INDEX(DarlOhneTilgung,10)=1,AND(INDEX(DarlTilgStart,10)&gt;0,$E4546&lt;INDEX(DarlTilgStart,10))),0,MIN(MAX(0,$K4546-$L4546),$J4546)))</f>
      </c>
      <c r="N4546" s="43">
        <f>IF($I4546=0,0,MIN(SUMIFS(SondBetrag,SondDarl,10,SondDatum,"&gt;="&amp;$E4546,SondDatum,"&lt;="&amp;EOMONTH($E4546,0)),$J4546-$M4546))</f>
      </c>
      <c r="O4546" s="43">
        <f>IF($I4546=0,0,INDEX(DarlErsatzRate,10))</f>
      </c>
      <c r="P4546" s="43">
        <f>IF($I4546=0,0,$Q4545*INDEX(DarlErsatzZins,10))</f>
      </c>
      <c r="Q4546" s="43">
        <f>IF($I4546=0,0,$Q4545+$P4546+$O4546)</f>
      </c>
      <c r="R4546" s="43">
        <f>IF($I4546=0,0,$J4546-$M4546-$N4546)</f>
      </c>
    </row>
    <row r="4547">
      <c r="A4547"/>
      <c r="B4547">
        <v>10</v>
      </c>
      <c r="C4547" s="43">
        <f>INDEX(DarlObj,10)</f>
      </c>
      <c r="D4547">
        <v>224</v>
      </c>
      <c r="E4547" s="51">
        <f>IF(INDEX(DarlBelegt,10)=0,0,EOMONTH(INDEX(DarlAuszahlung,10),223)+1)</f>
      </c>
      <c r="F4547" s="43">
        <f>IF($E4547=0,0,YEAR($E4547))</f>
      </c>
      <c r="G4547" s="43">
        <f>IF(INDEX(DarlBindung,10)="",1,IF($E4547&lt;=INDEX(DarlBindung,10),1,0))</f>
      </c>
      <c r="H4547" s="43">
        <f>IF($G4547=1,INDEX(DarlSollzins,10),INDEX(DarlAnschluss,10))</f>
      </c>
      <c r="I4547" s="43">
        <f>IF(INDEX(DarlBelegt,10)=0,0,IF(INDEX(DarlOhneTilgung,10)=1,IF(INDEX(DarlBindung,10)="",1,$G4547),IF($J4547&gt;0.005,1,0)))</f>
      </c>
      <c r="J4547" s="43">
        <f>IF($I4546=0,0,$R4546)</f>
      </c>
      <c r="K4547" s="43">
        <f>IF($I4547=0,0,IF(INDEX(DarlOhneTilgung,10)=1,0,IF(AND(INDEX(DarlTilgStart,10)&gt;0,$E4547=INDEX(DarlTilgStart,10)),$J4547*($H4547+INDEX(DarlTilgung,10))/100/12,IF(AND($G4547=0,$G4546=1),MAX($K4546,$J4547*($H4547+1)/100/12),$K4546))))</f>
      </c>
      <c r="L4547" s="43">
        <f>IF($I4547=0,0,$J4547*$H4547/100/12)</f>
      </c>
      <c r="M4547" s="43">
        <f>IF($I4547=0,0,IF(OR(INDEX(DarlOhneTilgung,10)=1,AND(INDEX(DarlTilgStart,10)&gt;0,$E4547&lt;INDEX(DarlTilgStart,10))),0,MIN(MAX(0,$K4547-$L4547),$J4547)))</f>
      </c>
      <c r="N4547" s="43">
        <f>IF($I4547=0,0,MIN(SUMIFS(SondBetrag,SondDarl,10,SondDatum,"&gt;="&amp;$E4547,SondDatum,"&lt;="&amp;EOMONTH($E4547,0)),$J4547-$M4547))</f>
      </c>
      <c r="O4547" s="43">
        <f>IF($I4547=0,0,INDEX(DarlErsatzRate,10))</f>
      </c>
      <c r="P4547" s="43">
        <f>IF($I4547=0,0,$Q4546*INDEX(DarlErsatzZins,10))</f>
      </c>
      <c r="Q4547" s="43">
        <f>IF($I4547=0,0,$Q4546+$P4547+$O4547)</f>
      </c>
      <c r="R4547" s="43">
        <f>IF($I4547=0,0,$J4547-$M4547-$N4547)</f>
      </c>
    </row>
    <row r="4548">
      <c r="A4548"/>
      <c r="B4548">
        <v>10</v>
      </c>
      <c r="C4548" s="43">
        <f>INDEX(DarlObj,10)</f>
      </c>
      <c r="D4548">
        <v>225</v>
      </c>
      <c r="E4548" s="51">
        <f>IF(INDEX(DarlBelegt,10)=0,0,EOMONTH(INDEX(DarlAuszahlung,10),224)+1)</f>
      </c>
      <c r="F4548" s="43">
        <f>IF($E4548=0,0,YEAR($E4548))</f>
      </c>
      <c r="G4548" s="43">
        <f>IF(INDEX(DarlBindung,10)="",1,IF($E4548&lt;=INDEX(DarlBindung,10),1,0))</f>
      </c>
      <c r="H4548" s="43">
        <f>IF($G4548=1,INDEX(DarlSollzins,10),INDEX(DarlAnschluss,10))</f>
      </c>
      <c r="I4548" s="43">
        <f>IF(INDEX(DarlBelegt,10)=0,0,IF(INDEX(DarlOhneTilgung,10)=1,IF(INDEX(DarlBindung,10)="",1,$G4548),IF($J4548&gt;0.005,1,0)))</f>
      </c>
      <c r="J4548" s="43">
        <f>IF($I4547=0,0,$R4547)</f>
      </c>
      <c r="K4548" s="43">
        <f>IF($I4548=0,0,IF(INDEX(DarlOhneTilgung,10)=1,0,IF(AND(INDEX(DarlTilgStart,10)&gt;0,$E4548=INDEX(DarlTilgStart,10)),$J4548*($H4548+INDEX(DarlTilgung,10))/100/12,IF(AND($G4548=0,$G4547=1),MAX($K4547,$J4548*($H4548+1)/100/12),$K4547))))</f>
      </c>
      <c r="L4548" s="43">
        <f>IF($I4548=0,0,$J4548*$H4548/100/12)</f>
      </c>
      <c r="M4548" s="43">
        <f>IF($I4548=0,0,IF(OR(INDEX(DarlOhneTilgung,10)=1,AND(INDEX(DarlTilgStart,10)&gt;0,$E4548&lt;INDEX(DarlTilgStart,10))),0,MIN(MAX(0,$K4548-$L4548),$J4548)))</f>
      </c>
      <c r="N4548" s="43">
        <f>IF($I4548=0,0,MIN(SUMIFS(SondBetrag,SondDarl,10,SondDatum,"&gt;="&amp;$E4548,SondDatum,"&lt;="&amp;EOMONTH($E4548,0)),$J4548-$M4548))</f>
      </c>
      <c r="O4548" s="43">
        <f>IF($I4548=0,0,INDEX(DarlErsatzRate,10))</f>
      </c>
      <c r="P4548" s="43">
        <f>IF($I4548=0,0,$Q4547*INDEX(DarlErsatzZins,10))</f>
      </c>
      <c r="Q4548" s="43">
        <f>IF($I4548=0,0,$Q4547+$P4548+$O4548)</f>
      </c>
      <c r="R4548" s="43">
        <f>IF($I4548=0,0,$J4548-$M4548-$N4548)</f>
      </c>
    </row>
    <row r="4549">
      <c r="A4549"/>
      <c r="B4549">
        <v>10</v>
      </c>
      <c r="C4549" s="43">
        <f>INDEX(DarlObj,10)</f>
      </c>
      <c r="D4549">
        <v>226</v>
      </c>
      <c r="E4549" s="51">
        <f>IF(INDEX(DarlBelegt,10)=0,0,EOMONTH(INDEX(DarlAuszahlung,10),225)+1)</f>
      </c>
      <c r="F4549" s="43">
        <f>IF($E4549=0,0,YEAR($E4549))</f>
      </c>
      <c r="G4549" s="43">
        <f>IF(INDEX(DarlBindung,10)="",1,IF($E4549&lt;=INDEX(DarlBindung,10),1,0))</f>
      </c>
      <c r="H4549" s="43">
        <f>IF($G4549=1,INDEX(DarlSollzins,10),INDEX(DarlAnschluss,10))</f>
      </c>
      <c r="I4549" s="43">
        <f>IF(INDEX(DarlBelegt,10)=0,0,IF(INDEX(DarlOhneTilgung,10)=1,IF(INDEX(DarlBindung,10)="",1,$G4549),IF($J4549&gt;0.005,1,0)))</f>
      </c>
      <c r="J4549" s="43">
        <f>IF($I4548=0,0,$R4548)</f>
      </c>
      <c r="K4549" s="43">
        <f>IF($I4549=0,0,IF(INDEX(DarlOhneTilgung,10)=1,0,IF(AND(INDEX(DarlTilgStart,10)&gt;0,$E4549=INDEX(DarlTilgStart,10)),$J4549*($H4549+INDEX(DarlTilgung,10))/100/12,IF(AND($G4549=0,$G4548=1),MAX($K4548,$J4549*($H4549+1)/100/12),$K4548))))</f>
      </c>
      <c r="L4549" s="43">
        <f>IF($I4549=0,0,$J4549*$H4549/100/12)</f>
      </c>
      <c r="M4549" s="43">
        <f>IF($I4549=0,0,IF(OR(INDEX(DarlOhneTilgung,10)=1,AND(INDEX(DarlTilgStart,10)&gt;0,$E4549&lt;INDEX(DarlTilgStart,10))),0,MIN(MAX(0,$K4549-$L4549),$J4549)))</f>
      </c>
      <c r="N4549" s="43">
        <f>IF($I4549=0,0,MIN(SUMIFS(SondBetrag,SondDarl,10,SondDatum,"&gt;="&amp;$E4549,SondDatum,"&lt;="&amp;EOMONTH($E4549,0)),$J4549-$M4549))</f>
      </c>
      <c r="O4549" s="43">
        <f>IF($I4549=0,0,INDEX(DarlErsatzRate,10))</f>
      </c>
      <c r="P4549" s="43">
        <f>IF($I4549=0,0,$Q4548*INDEX(DarlErsatzZins,10))</f>
      </c>
      <c r="Q4549" s="43">
        <f>IF($I4549=0,0,$Q4548+$P4549+$O4549)</f>
      </c>
      <c r="R4549" s="43">
        <f>IF($I4549=0,0,$J4549-$M4549-$N4549)</f>
      </c>
    </row>
    <row r="4550">
      <c r="A4550"/>
      <c r="B4550">
        <v>10</v>
      </c>
      <c r="C4550" s="43">
        <f>INDEX(DarlObj,10)</f>
      </c>
      <c r="D4550">
        <v>227</v>
      </c>
      <c r="E4550" s="51">
        <f>IF(INDEX(DarlBelegt,10)=0,0,EOMONTH(INDEX(DarlAuszahlung,10),226)+1)</f>
      </c>
      <c r="F4550" s="43">
        <f>IF($E4550=0,0,YEAR($E4550))</f>
      </c>
      <c r="G4550" s="43">
        <f>IF(INDEX(DarlBindung,10)="",1,IF($E4550&lt;=INDEX(DarlBindung,10),1,0))</f>
      </c>
      <c r="H4550" s="43">
        <f>IF($G4550=1,INDEX(DarlSollzins,10),INDEX(DarlAnschluss,10))</f>
      </c>
      <c r="I4550" s="43">
        <f>IF(INDEX(DarlBelegt,10)=0,0,IF(INDEX(DarlOhneTilgung,10)=1,IF(INDEX(DarlBindung,10)="",1,$G4550),IF($J4550&gt;0.005,1,0)))</f>
      </c>
      <c r="J4550" s="43">
        <f>IF($I4549=0,0,$R4549)</f>
      </c>
      <c r="K4550" s="43">
        <f>IF($I4550=0,0,IF(INDEX(DarlOhneTilgung,10)=1,0,IF(AND(INDEX(DarlTilgStart,10)&gt;0,$E4550=INDEX(DarlTilgStart,10)),$J4550*($H4550+INDEX(DarlTilgung,10))/100/12,IF(AND($G4550=0,$G4549=1),MAX($K4549,$J4550*($H4550+1)/100/12),$K4549))))</f>
      </c>
      <c r="L4550" s="43">
        <f>IF($I4550=0,0,$J4550*$H4550/100/12)</f>
      </c>
      <c r="M4550" s="43">
        <f>IF($I4550=0,0,IF(OR(INDEX(DarlOhneTilgung,10)=1,AND(INDEX(DarlTilgStart,10)&gt;0,$E4550&lt;INDEX(DarlTilgStart,10))),0,MIN(MAX(0,$K4550-$L4550),$J4550)))</f>
      </c>
      <c r="N4550" s="43">
        <f>IF($I4550=0,0,MIN(SUMIFS(SondBetrag,SondDarl,10,SondDatum,"&gt;="&amp;$E4550,SondDatum,"&lt;="&amp;EOMONTH($E4550,0)),$J4550-$M4550))</f>
      </c>
      <c r="O4550" s="43">
        <f>IF($I4550=0,0,INDEX(DarlErsatzRate,10))</f>
      </c>
      <c r="P4550" s="43">
        <f>IF($I4550=0,0,$Q4549*INDEX(DarlErsatzZins,10))</f>
      </c>
      <c r="Q4550" s="43">
        <f>IF($I4550=0,0,$Q4549+$P4550+$O4550)</f>
      </c>
      <c r="R4550" s="43">
        <f>IF($I4550=0,0,$J4550-$M4550-$N4550)</f>
      </c>
    </row>
    <row r="4551">
      <c r="A4551"/>
      <c r="B4551">
        <v>10</v>
      </c>
      <c r="C4551" s="43">
        <f>INDEX(DarlObj,10)</f>
      </c>
      <c r="D4551">
        <v>228</v>
      </c>
      <c r="E4551" s="51">
        <f>IF(INDEX(DarlBelegt,10)=0,0,EOMONTH(INDEX(DarlAuszahlung,10),227)+1)</f>
      </c>
      <c r="F4551" s="43">
        <f>IF($E4551=0,0,YEAR($E4551))</f>
      </c>
      <c r="G4551" s="43">
        <f>IF(INDEX(DarlBindung,10)="",1,IF($E4551&lt;=INDEX(DarlBindung,10),1,0))</f>
      </c>
      <c r="H4551" s="43">
        <f>IF($G4551=1,INDEX(DarlSollzins,10),INDEX(DarlAnschluss,10))</f>
      </c>
      <c r="I4551" s="43">
        <f>IF(INDEX(DarlBelegt,10)=0,0,IF(INDEX(DarlOhneTilgung,10)=1,IF(INDEX(DarlBindung,10)="",1,$G4551),IF($J4551&gt;0.005,1,0)))</f>
      </c>
      <c r="J4551" s="43">
        <f>IF($I4550=0,0,$R4550)</f>
      </c>
      <c r="K4551" s="43">
        <f>IF($I4551=0,0,IF(INDEX(DarlOhneTilgung,10)=1,0,IF(AND(INDEX(DarlTilgStart,10)&gt;0,$E4551=INDEX(DarlTilgStart,10)),$J4551*($H4551+INDEX(DarlTilgung,10))/100/12,IF(AND($G4551=0,$G4550=1),MAX($K4550,$J4551*($H4551+1)/100/12),$K4550))))</f>
      </c>
      <c r="L4551" s="43">
        <f>IF($I4551=0,0,$J4551*$H4551/100/12)</f>
      </c>
      <c r="M4551" s="43">
        <f>IF($I4551=0,0,IF(OR(INDEX(DarlOhneTilgung,10)=1,AND(INDEX(DarlTilgStart,10)&gt;0,$E4551&lt;INDEX(DarlTilgStart,10))),0,MIN(MAX(0,$K4551-$L4551),$J4551)))</f>
      </c>
      <c r="N4551" s="43">
        <f>IF($I4551=0,0,MIN(SUMIFS(SondBetrag,SondDarl,10,SondDatum,"&gt;="&amp;$E4551,SondDatum,"&lt;="&amp;EOMONTH($E4551,0)),$J4551-$M4551))</f>
      </c>
      <c r="O4551" s="43">
        <f>IF($I4551=0,0,INDEX(DarlErsatzRate,10))</f>
      </c>
      <c r="P4551" s="43">
        <f>IF($I4551=0,0,$Q4550*INDEX(DarlErsatzZins,10))</f>
      </c>
      <c r="Q4551" s="43">
        <f>IF($I4551=0,0,$Q4550+$P4551+$O4551)</f>
      </c>
      <c r="R4551" s="43">
        <f>IF($I4551=0,0,$J4551-$M4551-$N4551)</f>
      </c>
    </row>
    <row r="4552">
      <c r="A4552"/>
      <c r="B4552">
        <v>10</v>
      </c>
      <c r="C4552" s="43">
        <f>INDEX(DarlObj,10)</f>
      </c>
      <c r="D4552">
        <v>229</v>
      </c>
      <c r="E4552" s="51">
        <f>IF(INDEX(DarlBelegt,10)=0,0,EOMONTH(INDEX(DarlAuszahlung,10),228)+1)</f>
      </c>
      <c r="F4552" s="43">
        <f>IF($E4552=0,0,YEAR($E4552))</f>
      </c>
      <c r="G4552" s="43">
        <f>IF(INDEX(DarlBindung,10)="",1,IF($E4552&lt;=INDEX(DarlBindung,10),1,0))</f>
      </c>
      <c r="H4552" s="43">
        <f>IF($G4552=1,INDEX(DarlSollzins,10),INDEX(DarlAnschluss,10))</f>
      </c>
      <c r="I4552" s="43">
        <f>IF(INDEX(DarlBelegt,10)=0,0,IF(INDEX(DarlOhneTilgung,10)=1,IF(INDEX(DarlBindung,10)="",1,$G4552),IF($J4552&gt;0.005,1,0)))</f>
      </c>
      <c r="J4552" s="43">
        <f>IF($I4551=0,0,$R4551)</f>
      </c>
      <c r="K4552" s="43">
        <f>IF($I4552=0,0,IF(INDEX(DarlOhneTilgung,10)=1,0,IF(AND(INDEX(DarlTilgStart,10)&gt;0,$E4552=INDEX(DarlTilgStart,10)),$J4552*($H4552+INDEX(DarlTilgung,10))/100/12,IF(AND($G4552=0,$G4551=1),MAX($K4551,$J4552*($H4552+1)/100/12),$K4551))))</f>
      </c>
      <c r="L4552" s="43">
        <f>IF($I4552=0,0,$J4552*$H4552/100/12)</f>
      </c>
      <c r="M4552" s="43">
        <f>IF($I4552=0,0,IF(OR(INDEX(DarlOhneTilgung,10)=1,AND(INDEX(DarlTilgStart,10)&gt;0,$E4552&lt;INDEX(DarlTilgStart,10))),0,MIN(MAX(0,$K4552-$L4552),$J4552)))</f>
      </c>
      <c r="N4552" s="43">
        <f>IF($I4552=0,0,MIN(SUMIFS(SondBetrag,SondDarl,10,SondDatum,"&gt;="&amp;$E4552,SondDatum,"&lt;="&amp;EOMONTH($E4552,0)),$J4552-$M4552))</f>
      </c>
      <c r="O4552" s="43">
        <f>IF($I4552=0,0,INDEX(DarlErsatzRate,10))</f>
      </c>
      <c r="P4552" s="43">
        <f>IF($I4552=0,0,$Q4551*INDEX(DarlErsatzZins,10))</f>
      </c>
      <c r="Q4552" s="43">
        <f>IF($I4552=0,0,$Q4551+$P4552+$O4552)</f>
      </c>
      <c r="R4552" s="43">
        <f>IF($I4552=0,0,$J4552-$M4552-$N4552)</f>
      </c>
    </row>
    <row r="4553">
      <c r="A4553"/>
      <c r="B4553">
        <v>10</v>
      </c>
      <c r="C4553" s="43">
        <f>INDEX(DarlObj,10)</f>
      </c>
      <c r="D4553">
        <v>230</v>
      </c>
      <c r="E4553" s="51">
        <f>IF(INDEX(DarlBelegt,10)=0,0,EOMONTH(INDEX(DarlAuszahlung,10),229)+1)</f>
      </c>
      <c r="F4553" s="43">
        <f>IF($E4553=0,0,YEAR($E4553))</f>
      </c>
      <c r="G4553" s="43">
        <f>IF(INDEX(DarlBindung,10)="",1,IF($E4553&lt;=INDEX(DarlBindung,10),1,0))</f>
      </c>
      <c r="H4553" s="43">
        <f>IF($G4553=1,INDEX(DarlSollzins,10),INDEX(DarlAnschluss,10))</f>
      </c>
      <c r="I4553" s="43">
        <f>IF(INDEX(DarlBelegt,10)=0,0,IF(INDEX(DarlOhneTilgung,10)=1,IF(INDEX(DarlBindung,10)="",1,$G4553),IF($J4553&gt;0.005,1,0)))</f>
      </c>
      <c r="J4553" s="43">
        <f>IF($I4552=0,0,$R4552)</f>
      </c>
      <c r="K4553" s="43">
        <f>IF($I4553=0,0,IF(INDEX(DarlOhneTilgung,10)=1,0,IF(AND(INDEX(DarlTilgStart,10)&gt;0,$E4553=INDEX(DarlTilgStart,10)),$J4553*($H4553+INDEX(DarlTilgung,10))/100/12,IF(AND($G4553=0,$G4552=1),MAX($K4552,$J4553*($H4553+1)/100/12),$K4552))))</f>
      </c>
      <c r="L4553" s="43">
        <f>IF($I4553=0,0,$J4553*$H4553/100/12)</f>
      </c>
      <c r="M4553" s="43">
        <f>IF($I4553=0,0,IF(OR(INDEX(DarlOhneTilgung,10)=1,AND(INDEX(DarlTilgStart,10)&gt;0,$E4553&lt;INDEX(DarlTilgStart,10))),0,MIN(MAX(0,$K4553-$L4553),$J4553)))</f>
      </c>
      <c r="N4553" s="43">
        <f>IF($I4553=0,0,MIN(SUMIFS(SondBetrag,SondDarl,10,SondDatum,"&gt;="&amp;$E4553,SondDatum,"&lt;="&amp;EOMONTH($E4553,0)),$J4553-$M4553))</f>
      </c>
      <c r="O4553" s="43">
        <f>IF($I4553=0,0,INDEX(DarlErsatzRate,10))</f>
      </c>
      <c r="P4553" s="43">
        <f>IF($I4553=0,0,$Q4552*INDEX(DarlErsatzZins,10))</f>
      </c>
      <c r="Q4553" s="43">
        <f>IF($I4553=0,0,$Q4552+$P4553+$O4553)</f>
      </c>
      <c r="R4553" s="43">
        <f>IF($I4553=0,0,$J4553-$M4553-$N4553)</f>
      </c>
    </row>
    <row r="4554">
      <c r="A4554"/>
      <c r="B4554">
        <v>10</v>
      </c>
      <c r="C4554" s="43">
        <f>INDEX(DarlObj,10)</f>
      </c>
      <c r="D4554">
        <v>231</v>
      </c>
      <c r="E4554" s="51">
        <f>IF(INDEX(DarlBelegt,10)=0,0,EOMONTH(INDEX(DarlAuszahlung,10),230)+1)</f>
      </c>
      <c r="F4554" s="43">
        <f>IF($E4554=0,0,YEAR($E4554))</f>
      </c>
      <c r="G4554" s="43">
        <f>IF(INDEX(DarlBindung,10)="",1,IF($E4554&lt;=INDEX(DarlBindung,10),1,0))</f>
      </c>
      <c r="H4554" s="43">
        <f>IF($G4554=1,INDEX(DarlSollzins,10),INDEX(DarlAnschluss,10))</f>
      </c>
      <c r="I4554" s="43">
        <f>IF(INDEX(DarlBelegt,10)=0,0,IF(INDEX(DarlOhneTilgung,10)=1,IF(INDEX(DarlBindung,10)="",1,$G4554),IF($J4554&gt;0.005,1,0)))</f>
      </c>
      <c r="J4554" s="43">
        <f>IF($I4553=0,0,$R4553)</f>
      </c>
      <c r="K4554" s="43">
        <f>IF($I4554=0,0,IF(INDEX(DarlOhneTilgung,10)=1,0,IF(AND(INDEX(DarlTilgStart,10)&gt;0,$E4554=INDEX(DarlTilgStart,10)),$J4554*($H4554+INDEX(DarlTilgung,10))/100/12,IF(AND($G4554=0,$G4553=1),MAX($K4553,$J4554*($H4554+1)/100/12),$K4553))))</f>
      </c>
      <c r="L4554" s="43">
        <f>IF($I4554=0,0,$J4554*$H4554/100/12)</f>
      </c>
      <c r="M4554" s="43">
        <f>IF($I4554=0,0,IF(OR(INDEX(DarlOhneTilgung,10)=1,AND(INDEX(DarlTilgStart,10)&gt;0,$E4554&lt;INDEX(DarlTilgStart,10))),0,MIN(MAX(0,$K4554-$L4554),$J4554)))</f>
      </c>
      <c r="N4554" s="43">
        <f>IF($I4554=0,0,MIN(SUMIFS(SondBetrag,SondDarl,10,SondDatum,"&gt;="&amp;$E4554,SondDatum,"&lt;="&amp;EOMONTH($E4554,0)),$J4554-$M4554))</f>
      </c>
      <c r="O4554" s="43">
        <f>IF($I4554=0,0,INDEX(DarlErsatzRate,10))</f>
      </c>
      <c r="P4554" s="43">
        <f>IF($I4554=0,0,$Q4553*INDEX(DarlErsatzZins,10))</f>
      </c>
      <c r="Q4554" s="43">
        <f>IF($I4554=0,0,$Q4553+$P4554+$O4554)</f>
      </c>
      <c r="R4554" s="43">
        <f>IF($I4554=0,0,$J4554-$M4554-$N4554)</f>
      </c>
    </row>
    <row r="4555">
      <c r="A4555"/>
      <c r="B4555">
        <v>10</v>
      </c>
      <c r="C4555" s="43">
        <f>INDEX(DarlObj,10)</f>
      </c>
      <c r="D4555">
        <v>232</v>
      </c>
      <c r="E4555" s="51">
        <f>IF(INDEX(DarlBelegt,10)=0,0,EOMONTH(INDEX(DarlAuszahlung,10),231)+1)</f>
      </c>
      <c r="F4555" s="43">
        <f>IF($E4555=0,0,YEAR($E4555))</f>
      </c>
      <c r="G4555" s="43">
        <f>IF(INDEX(DarlBindung,10)="",1,IF($E4555&lt;=INDEX(DarlBindung,10),1,0))</f>
      </c>
      <c r="H4555" s="43">
        <f>IF($G4555=1,INDEX(DarlSollzins,10),INDEX(DarlAnschluss,10))</f>
      </c>
      <c r="I4555" s="43">
        <f>IF(INDEX(DarlBelegt,10)=0,0,IF(INDEX(DarlOhneTilgung,10)=1,IF(INDEX(DarlBindung,10)="",1,$G4555),IF($J4555&gt;0.005,1,0)))</f>
      </c>
      <c r="J4555" s="43">
        <f>IF($I4554=0,0,$R4554)</f>
      </c>
      <c r="K4555" s="43">
        <f>IF($I4555=0,0,IF(INDEX(DarlOhneTilgung,10)=1,0,IF(AND(INDEX(DarlTilgStart,10)&gt;0,$E4555=INDEX(DarlTilgStart,10)),$J4555*($H4555+INDEX(DarlTilgung,10))/100/12,IF(AND($G4555=0,$G4554=1),MAX($K4554,$J4555*($H4555+1)/100/12),$K4554))))</f>
      </c>
      <c r="L4555" s="43">
        <f>IF($I4555=0,0,$J4555*$H4555/100/12)</f>
      </c>
      <c r="M4555" s="43">
        <f>IF($I4555=0,0,IF(OR(INDEX(DarlOhneTilgung,10)=1,AND(INDEX(DarlTilgStart,10)&gt;0,$E4555&lt;INDEX(DarlTilgStart,10))),0,MIN(MAX(0,$K4555-$L4555),$J4555)))</f>
      </c>
      <c r="N4555" s="43">
        <f>IF($I4555=0,0,MIN(SUMIFS(SondBetrag,SondDarl,10,SondDatum,"&gt;="&amp;$E4555,SondDatum,"&lt;="&amp;EOMONTH($E4555,0)),$J4555-$M4555))</f>
      </c>
      <c r="O4555" s="43">
        <f>IF($I4555=0,0,INDEX(DarlErsatzRate,10))</f>
      </c>
      <c r="P4555" s="43">
        <f>IF($I4555=0,0,$Q4554*INDEX(DarlErsatzZins,10))</f>
      </c>
      <c r="Q4555" s="43">
        <f>IF($I4555=0,0,$Q4554+$P4555+$O4555)</f>
      </c>
      <c r="R4555" s="43">
        <f>IF($I4555=0,0,$J4555-$M4555-$N4555)</f>
      </c>
    </row>
    <row r="4556">
      <c r="A4556"/>
      <c r="B4556">
        <v>10</v>
      </c>
      <c r="C4556" s="43">
        <f>INDEX(DarlObj,10)</f>
      </c>
      <c r="D4556">
        <v>233</v>
      </c>
      <c r="E4556" s="51">
        <f>IF(INDEX(DarlBelegt,10)=0,0,EOMONTH(INDEX(DarlAuszahlung,10),232)+1)</f>
      </c>
      <c r="F4556" s="43">
        <f>IF($E4556=0,0,YEAR($E4556))</f>
      </c>
      <c r="G4556" s="43">
        <f>IF(INDEX(DarlBindung,10)="",1,IF($E4556&lt;=INDEX(DarlBindung,10),1,0))</f>
      </c>
      <c r="H4556" s="43">
        <f>IF($G4556=1,INDEX(DarlSollzins,10),INDEX(DarlAnschluss,10))</f>
      </c>
      <c r="I4556" s="43">
        <f>IF(INDEX(DarlBelegt,10)=0,0,IF(INDEX(DarlOhneTilgung,10)=1,IF(INDEX(DarlBindung,10)="",1,$G4556),IF($J4556&gt;0.005,1,0)))</f>
      </c>
      <c r="J4556" s="43">
        <f>IF($I4555=0,0,$R4555)</f>
      </c>
      <c r="K4556" s="43">
        <f>IF($I4556=0,0,IF(INDEX(DarlOhneTilgung,10)=1,0,IF(AND(INDEX(DarlTilgStart,10)&gt;0,$E4556=INDEX(DarlTilgStart,10)),$J4556*($H4556+INDEX(DarlTilgung,10))/100/12,IF(AND($G4556=0,$G4555=1),MAX($K4555,$J4556*($H4556+1)/100/12),$K4555))))</f>
      </c>
      <c r="L4556" s="43">
        <f>IF($I4556=0,0,$J4556*$H4556/100/12)</f>
      </c>
      <c r="M4556" s="43">
        <f>IF($I4556=0,0,IF(OR(INDEX(DarlOhneTilgung,10)=1,AND(INDEX(DarlTilgStart,10)&gt;0,$E4556&lt;INDEX(DarlTilgStart,10))),0,MIN(MAX(0,$K4556-$L4556),$J4556)))</f>
      </c>
      <c r="N4556" s="43">
        <f>IF($I4556=0,0,MIN(SUMIFS(SondBetrag,SondDarl,10,SondDatum,"&gt;="&amp;$E4556,SondDatum,"&lt;="&amp;EOMONTH($E4556,0)),$J4556-$M4556))</f>
      </c>
      <c r="O4556" s="43">
        <f>IF($I4556=0,0,INDEX(DarlErsatzRate,10))</f>
      </c>
      <c r="P4556" s="43">
        <f>IF($I4556=0,0,$Q4555*INDEX(DarlErsatzZins,10))</f>
      </c>
      <c r="Q4556" s="43">
        <f>IF($I4556=0,0,$Q4555+$P4556+$O4556)</f>
      </c>
      <c r="R4556" s="43">
        <f>IF($I4556=0,0,$J4556-$M4556-$N4556)</f>
      </c>
    </row>
    <row r="4557">
      <c r="A4557"/>
      <c r="B4557">
        <v>10</v>
      </c>
      <c r="C4557" s="43">
        <f>INDEX(DarlObj,10)</f>
      </c>
      <c r="D4557">
        <v>234</v>
      </c>
      <c r="E4557" s="51">
        <f>IF(INDEX(DarlBelegt,10)=0,0,EOMONTH(INDEX(DarlAuszahlung,10),233)+1)</f>
      </c>
      <c r="F4557" s="43">
        <f>IF($E4557=0,0,YEAR($E4557))</f>
      </c>
      <c r="G4557" s="43">
        <f>IF(INDEX(DarlBindung,10)="",1,IF($E4557&lt;=INDEX(DarlBindung,10),1,0))</f>
      </c>
      <c r="H4557" s="43">
        <f>IF($G4557=1,INDEX(DarlSollzins,10),INDEX(DarlAnschluss,10))</f>
      </c>
      <c r="I4557" s="43">
        <f>IF(INDEX(DarlBelegt,10)=0,0,IF(INDEX(DarlOhneTilgung,10)=1,IF(INDEX(DarlBindung,10)="",1,$G4557),IF($J4557&gt;0.005,1,0)))</f>
      </c>
      <c r="J4557" s="43">
        <f>IF($I4556=0,0,$R4556)</f>
      </c>
      <c r="K4557" s="43">
        <f>IF($I4557=0,0,IF(INDEX(DarlOhneTilgung,10)=1,0,IF(AND(INDEX(DarlTilgStart,10)&gt;0,$E4557=INDEX(DarlTilgStart,10)),$J4557*($H4557+INDEX(DarlTilgung,10))/100/12,IF(AND($G4557=0,$G4556=1),MAX($K4556,$J4557*($H4557+1)/100/12),$K4556))))</f>
      </c>
      <c r="L4557" s="43">
        <f>IF($I4557=0,0,$J4557*$H4557/100/12)</f>
      </c>
      <c r="M4557" s="43">
        <f>IF($I4557=0,0,IF(OR(INDEX(DarlOhneTilgung,10)=1,AND(INDEX(DarlTilgStart,10)&gt;0,$E4557&lt;INDEX(DarlTilgStart,10))),0,MIN(MAX(0,$K4557-$L4557),$J4557)))</f>
      </c>
      <c r="N4557" s="43">
        <f>IF($I4557=0,0,MIN(SUMIFS(SondBetrag,SondDarl,10,SondDatum,"&gt;="&amp;$E4557,SondDatum,"&lt;="&amp;EOMONTH($E4557,0)),$J4557-$M4557))</f>
      </c>
      <c r="O4557" s="43">
        <f>IF($I4557=0,0,INDEX(DarlErsatzRate,10))</f>
      </c>
      <c r="P4557" s="43">
        <f>IF($I4557=0,0,$Q4556*INDEX(DarlErsatzZins,10))</f>
      </c>
      <c r="Q4557" s="43">
        <f>IF($I4557=0,0,$Q4556+$P4557+$O4557)</f>
      </c>
      <c r="R4557" s="43">
        <f>IF($I4557=0,0,$J4557-$M4557-$N4557)</f>
      </c>
    </row>
    <row r="4558">
      <c r="A4558"/>
      <c r="B4558">
        <v>10</v>
      </c>
      <c r="C4558" s="43">
        <f>INDEX(DarlObj,10)</f>
      </c>
      <c r="D4558">
        <v>235</v>
      </c>
      <c r="E4558" s="51">
        <f>IF(INDEX(DarlBelegt,10)=0,0,EOMONTH(INDEX(DarlAuszahlung,10),234)+1)</f>
      </c>
      <c r="F4558" s="43">
        <f>IF($E4558=0,0,YEAR($E4558))</f>
      </c>
      <c r="G4558" s="43">
        <f>IF(INDEX(DarlBindung,10)="",1,IF($E4558&lt;=INDEX(DarlBindung,10),1,0))</f>
      </c>
      <c r="H4558" s="43">
        <f>IF($G4558=1,INDEX(DarlSollzins,10),INDEX(DarlAnschluss,10))</f>
      </c>
      <c r="I4558" s="43">
        <f>IF(INDEX(DarlBelegt,10)=0,0,IF(INDEX(DarlOhneTilgung,10)=1,IF(INDEX(DarlBindung,10)="",1,$G4558),IF($J4558&gt;0.005,1,0)))</f>
      </c>
      <c r="J4558" s="43">
        <f>IF($I4557=0,0,$R4557)</f>
      </c>
      <c r="K4558" s="43">
        <f>IF($I4558=0,0,IF(INDEX(DarlOhneTilgung,10)=1,0,IF(AND(INDEX(DarlTilgStart,10)&gt;0,$E4558=INDEX(DarlTilgStart,10)),$J4558*($H4558+INDEX(DarlTilgung,10))/100/12,IF(AND($G4558=0,$G4557=1),MAX($K4557,$J4558*($H4558+1)/100/12),$K4557))))</f>
      </c>
      <c r="L4558" s="43">
        <f>IF($I4558=0,0,$J4558*$H4558/100/12)</f>
      </c>
      <c r="M4558" s="43">
        <f>IF($I4558=0,0,IF(OR(INDEX(DarlOhneTilgung,10)=1,AND(INDEX(DarlTilgStart,10)&gt;0,$E4558&lt;INDEX(DarlTilgStart,10))),0,MIN(MAX(0,$K4558-$L4558),$J4558)))</f>
      </c>
      <c r="N4558" s="43">
        <f>IF($I4558=0,0,MIN(SUMIFS(SondBetrag,SondDarl,10,SondDatum,"&gt;="&amp;$E4558,SondDatum,"&lt;="&amp;EOMONTH($E4558,0)),$J4558-$M4558))</f>
      </c>
      <c r="O4558" s="43">
        <f>IF($I4558=0,0,INDEX(DarlErsatzRate,10))</f>
      </c>
      <c r="P4558" s="43">
        <f>IF($I4558=0,0,$Q4557*INDEX(DarlErsatzZins,10))</f>
      </c>
      <c r="Q4558" s="43">
        <f>IF($I4558=0,0,$Q4557+$P4558+$O4558)</f>
      </c>
      <c r="R4558" s="43">
        <f>IF($I4558=0,0,$J4558-$M4558-$N4558)</f>
      </c>
    </row>
    <row r="4559">
      <c r="A4559"/>
      <c r="B4559">
        <v>10</v>
      </c>
      <c r="C4559" s="43">
        <f>INDEX(DarlObj,10)</f>
      </c>
      <c r="D4559">
        <v>236</v>
      </c>
      <c r="E4559" s="51">
        <f>IF(INDEX(DarlBelegt,10)=0,0,EOMONTH(INDEX(DarlAuszahlung,10),235)+1)</f>
      </c>
      <c r="F4559" s="43">
        <f>IF($E4559=0,0,YEAR($E4559))</f>
      </c>
      <c r="G4559" s="43">
        <f>IF(INDEX(DarlBindung,10)="",1,IF($E4559&lt;=INDEX(DarlBindung,10),1,0))</f>
      </c>
      <c r="H4559" s="43">
        <f>IF($G4559=1,INDEX(DarlSollzins,10),INDEX(DarlAnschluss,10))</f>
      </c>
      <c r="I4559" s="43">
        <f>IF(INDEX(DarlBelegt,10)=0,0,IF(INDEX(DarlOhneTilgung,10)=1,IF(INDEX(DarlBindung,10)="",1,$G4559),IF($J4559&gt;0.005,1,0)))</f>
      </c>
      <c r="J4559" s="43">
        <f>IF($I4558=0,0,$R4558)</f>
      </c>
      <c r="K4559" s="43">
        <f>IF($I4559=0,0,IF(INDEX(DarlOhneTilgung,10)=1,0,IF(AND(INDEX(DarlTilgStart,10)&gt;0,$E4559=INDEX(DarlTilgStart,10)),$J4559*($H4559+INDEX(DarlTilgung,10))/100/12,IF(AND($G4559=0,$G4558=1),MAX($K4558,$J4559*($H4559+1)/100/12),$K4558))))</f>
      </c>
      <c r="L4559" s="43">
        <f>IF($I4559=0,0,$J4559*$H4559/100/12)</f>
      </c>
      <c r="M4559" s="43">
        <f>IF($I4559=0,0,IF(OR(INDEX(DarlOhneTilgung,10)=1,AND(INDEX(DarlTilgStart,10)&gt;0,$E4559&lt;INDEX(DarlTilgStart,10))),0,MIN(MAX(0,$K4559-$L4559),$J4559)))</f>
      </c>
      <c r="N4559" s="43">
        <f>IF($I4559=0,0,MIN(SUMIFS(SondBetrag,SondDarl,10,SondDatum,"&gt;="&amp;$E4559,SondDatum,"&lt;="&amp;EOMONTH($E4559,0)),$J4559-$M4559))</f>
      </c>
      <c r="O4559" s="43">
        <f>IF($I4559=0,0,INDEX(DarlErsatzRate,10))</f>
      </c>
      <c r="P4559" s="43">
        <f>IF($I4559=0,0,$Q4558*INDEX(DarlErsatzZins,10))</f>
      </c>
      <c r="Q4559" s="43">
        <f>IF($I4559=0,0,$Q4558+$P4559+$O4559)</f>
      </c>
      <c r="R4559" s="43">
        <f>IF($I4559=0,0,$J4559-$M4559-$N4559)</f>
      </c>
    </row>
    <row r="4560">
      <c r="A4560"/>
      <c r="B4560">
        <v>10</v>
      </c>
      <c r="C4560" s="43">
        <f>INDEX(DarlObj,10)</f>
      </c>
      <c r="D4560">
        <v>237</v>
      </c>
      <c r="E4560" s="51">
        <f>IF(INDEX(DarlBelegt,10)=0,0,EOMONTH(INDEX(DarlAuszahlung,10),236)+1)</f>
      </c>
      <c r="F4560" s="43">
        <f>IF($E4560=0,0,YEAR($E4560))</f>
      </c>
      <c r="G4560" s="43">
        <f>IF(INDEX(DarlBindung,10)="",1,IF($E4560&lt;=INDEX(DarlBindung,10),1,0))</f>
      </c>
      <c r="H4560" s="43">
        <f>IF($G4560=1,INDEX(DarlSollzins,10),INDEX(DarlAnschluss,10))</f>
      </c>
      <c r="I4560" s="43">
        <f>IF(INDEX(DarlBelegt,10)=0,0,IF(INDEX(DarlOhneTilgung,10)=1,IF(INDEX(DarlBindung,10)="",1,$G4560),IF($J4560&gt;0.005,1,0)))</f>
      </c>
      <c r="J4560" s="43">
        <f>IF($I4559=0,0,$R4559)</f>
      </c>
      <c r="K4560" s="43">
        <f>IF($I4560=0,0,IF(INDEX(DarlOhneTilgung,10)=1,0,IF(AND(INDEX(DarlTilgStart,10)&gt;0,$E4560=INDEX(DarlTilgStart,10)),$J4560*($H4560+INDEX(DarlTilgung,10))/100/12,IF(AND($G4560=0,$G4559=1),MAX($K4559,$J4560*($H4560+1)/100/12),$K4559))))</f>
      </c>
      <c r="L4560" s="43">
        <f>IF($I4560=0,0,$J4560*$H4560/100/12)</f>
      </c>
      <c r="M4560" s="43">
        <f>IF($I4560=0,0,IF(OR(INDEX(DarlOhneTilgung,10)=1,AND(INDEX(DarlTilgStart,10)&gt;0,$E4560&lt;INDEX(DarlTilgStart,10))),0,MIN(MAX(0,$K4560-$L4560),$J4560)))</f>
      </c>
      <c r="N4560" s="43">
        <f>IF($I4560=0,0,MIN(SUMIFS(SondBetrag,SondDarl,10,SondDatum,"&gt;="&amp;$E4560,SondDatum,"&lt;="&amp;EOMONTH($E4560,0)),$J4560-$M4560))</f>
      </c>
      <c r="O4560" s="43">
        <f>IF($I4560=0,0,INDEX(DarlErsatzRate,10))</f>
      </c>
      <c r="P4560" s="43">
        <f>IF($I4560=0,0,$Q4559*INDEX(DarlErsatzZins,10))</f>
      </c>
      <c r="Q4560" s="43">
        <f>IF($I4560=0,0,$Q4559+$P4560+$O4560)</f>
      </c>
      <c r="R4560" s="43">
        <f>IF($I4560=0,0,$J4560-$M4560-$N4560)</f>
      </c>
    </row>
    <row r="4561">
      <c r="A4561"/>
      <c r="B4561">
        <v>10</v>
      </c>
      <c r="C4561" s="43">
        <f>INDEX(DarlObj,10)</f>
      </c>
      <c r="D4561">
        <v>238</v>
      </c>
      <c r="E4561" s="51">
        <f>IF(INDEX(DarlBelegt,10)=0,0,EOMONTH(INDEX(DarlAuszahlung,10),237)+1)</f>
      </c>
      <c r="F4561" s="43">
        <f>IF($E4561=0,0,YEAR($E4561))</f>
      </c>
      <c r="G4561" s="43">
        <f>IF(INDEX(DarlBindung,10)="",1,IF($E4561&lt;=INDEX(DarlBindung,10),1,0))</f>
      </c>
      <c r="H4561" s="43">
        <f>IF($G4561=1,INDEX(DarlSollzins,10),INDEX(DarlAnschluss,10))</f>
      </c>
      <c r="I4561" s="43">
        <f>IF(INDEX(DarlBelegt,10)=0,0,IF(INDEX(DarlOhneTilgung,10)=1,IF(INDEX(DarlBindung,10)="",1,$G4561),IF($J4561&gt;0.005,1,0)))</f>
      </c>
      <c r="J4561" s="43">
        <f>IF($I4560=0,0,$R4560)</f>
      </c>
      <c r="K4561" s="43">
        <f>IF($I4561=0,0,IF(INDEX(DarlOhneTilgung,10)=1,0,IF(AND(INDEX(DarlTilgStart,10)&gt;0,$E4561=INDEX(DarlTilgStart,10)),$J4561*($H4561+INDEX(DarlTilgung,10))/100/12,IF(AND($G4561=0,$G4560=1),MAX($K4560,$J4561*($H4561+1)/100/12),$K4560))))</f>
      </c>
      <c r="L4561" s="43">
        <f>IF($I4561=0,0,$J4561*$H4561/100/12)</f>
      </c>
      <c r="M4561" s="43">
        <f>IF($I4561=0,0,IF(OR(INDEX(DarlOhneTilgung,10)=1,AND(INDEX(DarlTilgStart,10)&gt;0,$E4561&lt;INDEX(DarlTilgStart,10))),0,MIN(MAX(0,$K4561-$L4561),$J4561)))</f>
      </c>
      <c r="N4561" s="43">
        <f>IF($I4561=0,0,MIN(SUMIFS(SondBetrag,SondDarl,10,SondDatum,"&gt;="&amp;$E4561,SondDatum,"&lt;="&amp;EOMONTH($E4561,0)),$J4561-$M4561))</f>
      </c>
      <c r="O4561" s="43">
        <f>IF($I4561=0,0,INDEX(DarlErsatzRate,10))</f>
      </c>
      <c r="P4561" s="43">
        <f>IF($I4561=0,0,$Q4560*INDEX(DarlErsatzZins,10))</f>
      </c>
      <c r="Q4561" s="43">
        <f>IF($I4561=0,0,$Q4560+$P4561+$O4561)</f>
      </c>
      <c r="R4561" s="43">
        <f>IF($I4561=0,0,$J4561-$M4561-$N4561)</f>
      </c>
    </row>
    <row r="4562">
      <c r="A4562"/>
      <c r="B4562">
        <v>10</v>
      </c>
      <c r="C4562" s="43">
        <f>INDEX(DarlObj,10)</f>
      </c>
      <c r="D4562">
        <v>239</v>
      </c>
      <c r="E4562" s="51">
        <f>IF(INDEX(DarlBelegt,10)=0,0,EOMONTH(INDEX(DarlAuszahlung,10),238)+1)</f>
      </c>
      <c r="F4562" s="43">
        <f>IF($E4562=0,0,YEAR($E4562))</f>
      </c>
      <c r="G4562" s="43">
        <f>IF(INDEX(DarlBindung,10)="",1,IF($E4562&lt;=INDEX(DarlBindung,10),1,0))</f>
      </c>
      <c r="H4562" s="43">
        <f>IF($G4562=1,INDEX(DarlSollzins,10),INDEX(DarlAnschluss,10))</f>
      </c>
      <c r="I4562" s="43">
        <f>IF(INDEX(DarlBelegt,10)=0,0,IF(INDEX(DarlOhneTilgung,10)=1,IF(INDEX(DarlBindung,10)="",1,$G4562),IF($J4562&gt;0.005,1,0)))</f>
      </c>
      <c r="J4562" s="43">
        <f>IF($I4561=0,0,$R4561)</f>
      </c>
      <c r="K4562" s="43">
        <f>IF($I4562=0,0,IF(INDEX(DarlOhneTilgung,10)=1,0,IF(AND(INDEX(DarlTilgStart,10)&gt;0,$E4562=INDEX(DarlTilgStart,10)),$J4562*($H4562+INDEX(DarlTilgung,10))/100/12,IF(AND($G4562=0,$G4561=1),MAX($K4561,$J4562*($H4562+1)/100/12),$K4561))))</f>
      </c>
      <c r="L4562" s="43">
        <f>IF($I4562=0,0,$J4562*$H4562/100/12)</f>
      </c>
      <c r="M4562" s="43">
        <f>IF($I4562=0,0,IF(OR(INDEX(DarlOhneTilgung,10)=1,AND(INDEX(DarlTilgStart,10)&gt;0,$E4562&lt;INDEX(DarlTilgStart,10))),0,MIN(MAX(0,$K4562-$L4562),$J4562)))</f>
      </c>
      <c r="N4562" s="43">
        <f>IF($I4562=0,0,MIN(SUMIFS(SondBetrag,SondDarl,10,SondDatum,"&gt;="&amp;$E4562,SondDatum,"&lt;="&amp;EOMONTH($E4562,0)),$J4562-$M4562))</f>
      </c>
      <c r="O4562" s="43">
        <f>IF($I4562=0,0,INDEX(DarlErsatzRate,10))</f>
      </c>
      <c r="P4562" s="43">
        <f>IF($I4562=0,0,$Q4561*INDEX(DarlErsatzZins,10))</f>
      </c>
      <c r="Q4562" s="43">
        <f>IF($I4562=0,0,$Q4561+$P4562+$O4562)</f>
      </c>
      <c r="R4562" s="43">
        <f>IF($I4562=0,0,$J4562-$M4562-$N4562)</f>
      </c>
    </row>
    <row r="4563">
      <c r="A4563"/>
      <c r="B4563">
        <v>10</v>
      </c>
      <c r="C4563" s="43">
        <f>INDEX(DarlObj,10)</f>
      </c>
      <c r="D4563">
        <v>240</v>
      </c>
      <c r="E4563" s="51">
        <f>IF(INDEX(DarlBelegt,10)=0,0,EOMONTH(INDEX(DarlAuszahlung,10),239)+1)</f>
      </c>
      <c r="F4563" s="43">
        <f>IF($E4563=0,0,YEAR($E4563))</f>
      </c>
      <c r="G4563" s="43">
        <f>IF(INDEX(DarlBindung,10)="",1,IF($E4563&lt;=INDEX(DarlBindung,10),1,0))</f>
      </c>
      <c r="H4563" s="43">
        <f>IF($G4563=1,INDEX(DarlSollzins,10),INDEX(DarlAnschluss,10))</f>
      </c>
      <c r="I4563" s="43">
        <f>IF(INDEX(DarlBelegt,10)=0,0,IF(INDEX(DarlOhneTilgung,10)=1,IF(INDEX(DarlBindung,10)="",1,$G4563),IF($J4563&gt;0.005,1,0)))</f>
      </c>
      <c r="J4563" s="43">
        <f>IF($I4562=0,0,$R4562)</f>
      </c>
      <c r="K4563" s="43">
        <f>IF($I4563=0,0,IF(INDEX(DarlOhneTilgung,10)=1,0,IF(AND(INDEX(DarlTilgStart,10)&gt;0,$E4563=INDEX(DarlTilgStart,10)),$J4563*($H4563+INDEX(DarlTilgung,10))/100/12,IF(AND($G4563=0,$G4562=1),MAX($K4562,$J4563*($H4563+1)/100/12),$K4562))))</f>
      </c>
      <c r="L4563" s="43">
        <f>IF($I4563=0,0,$J4563*$H4563/100/12)</f>
      </c>
      <c r="M4563" s="43">
        <f>IF($I4563=0,0,IF(OR(INDEX(DarlOhneTilgung,10)=1,AND(INDEX(DarlTilgStart,10)&gt;0,$E4563&lt;INDEX(DarlTilgStart,10))),0,MIN(MAX(0,$K4563-$L4563),$J4563)))</f>
      </c>
      <c r="N4563" s="43">
        <f>IF($I4563=0,0,MIN(SUMIFS(SondBetrag,SondDarl,10,SondDatum,"&gt;="&amp;$E4563,SondDatum,"&lt;="&amp;EOMONTH($E4563,0)),$J4563-$M4563))</f>
      </c>
      <c r="O4563" s="43">
        <f>IF($I4563=0,0,INDEX(DarlErsatzRate,10))</f>
      </c>
      <c r="P4563" s="43">
        <f>IF($I4563=0,0,$Q4562*INDEX(DarlErsatzZins,10))</f>
      </c>
      <c r="Q4563" s="43">
        <f>IF($I4563=0,0,$Q4562+$P4563+$O4563)</f>
      </c>
      <c r="R4563" s="43">
        <f>IF($I4563=0,0,$J4563-$M4563-$N4563)</f>
      </c>
    </row>
    <row r="4564">
      <c r="A4564"/>
      <c r="B4564">
        <v>10</v>
      </c>
      <c r="C4564" s="43">
        <f>INDEX(DarlObj,10)</f>
      </c>
      <c r="D4564">
        <v>241</v>
      </c>
      <c r="E4564" s="51">
        <f>IF(INDEX(DarlBelegt,10)=0,0,EOMONTH(INDEX(DarlAuszahlung,10),240)+1)</f>
      </c>
      <c r="F4564" s="43">
        <f>IF($E4564=0,0,YEAR($E4564))</f>
      </c>
      <c r="G4564" s="43">
        <f>IF(INDEX(DarlBindung,10)="",1,IF($E4564&lt;=INDEX(DarlBindung,10),1,0))</f>
      </c>
      <c r="H4564" s="43">
        <f>IF($G4564=1,INDEX(DarlSollzins,10),INDEX(DarlAnschluss,10))</f>
      </c>
      <c r="I4564" s="43">
        <f>IF(INDEX(DarlBelegt,10)=0,0,IF(INDEX(DarlOhneTilgung,10)=1,IF(INDEX(DarlBindung,10)="",1,$G4564),IF($J4564&gt;0.005,1,0)))</f>
      </c>
      <c r="J4564" s="43">
        <f>IF($I4563=0,0,$R4563)</f>
      </c>
      <c r="K4564" s="43">
        <f>IF($I4564=0,0,IF(INDEX(DarlOhneTilgung,10)=1,0,IF(AND(INDEX(DarlTilgStart,10)&gt;0,$E4564=INDEX(DarlTilgStart,10)),$J4564*($H4564+INDEX(DarlTilgung,10))/100/12,IF(AND($G4564=0,$G4563=1),MAX($K4563,$J4564*($H4564+1)/100/12),$K4563))))</f>
      </c>
      <c r="L4564" s="43">
        <f>IF($I4564=0,0,$J4564*$H4564/100/12)</f>
      </c>
      <c r="M4564" s="43">
        <f>IF($I4564=0,0,IF(OR(INDEX(DarlOhneTilgung,10)=1,AND(INDEX(DarlTilgStart,10)&gt;0,$E4564&lt;INDEX(DarlTilgStart,10))),0,MIN(MAX(0,$K4564-$L4564),$J4564)))</f>
      </c>
      <c r="N4564" s="43">
        <f>IF($I4564=0,0,MIN(SUMIFS(SondBetrag,SondDarl,10,SondDatum,"&gt;="&amp;$E4564,SondDatum,"&lt;="&amp;EOMONTH($E4564,0)),$J4564-$M4564))</f>
      </c>
      <c r="O4564" s="43">
        <f>IF($I4564=0,0,INDEX(DarlErsatzRate,10))</f>
      </c>
      <c r="P4564" s="43">
        <f>IF($I4564=0,0,$Q4563*INDEX(DarlErsatzZins,10))</f>
      </c>
      <c r="Q4564" s="43">
        <f>IF($I4564=0,0,$Q4563+$P4564+$O4564)</f>
      </c>
      <c r="R4564" s="43">
        <f>IF($I4564=0,0,$J4564-$M4564-$N4564)</f>
      </c>
    </row>
    <row r="4565">
      <c r="A4565"/>
      <c r="B4565">
        <v>10</v>
      </c>
      <c r="C4565" s="43">
        <f>INDEX(DarlObj,10)</f>
      </c>
      <c r="D4565">
        <v>242</v>
      </c>
      <c r="E4565" s="51">
        <f>IF(INDEX(DarlBelegt,10)=0,0,EOMONTH(INDEX(DarlAuszahlung,10),241)+1)</f>
      </c>
      <c r="F4565" s="43">
        <f>IF($E4565=0,0,YEAR($E4565))</f>
      </c>
      <c r="G4565" s="43">
        <f>IF(INDEX(DarlBindung,10)="",1,IF($E4565&lt;=INDEX(DarlBindung,10),1,0))</f>
      </c>
      <c r="H4565" s="43">
        <f>IF($G4565=1,INDEX(DarlSollzins,10),INDEX(DarlAnschluss,10))</f>
      </c>
      <c r="I4565" s="43">
        <f>IF(INDEX(DarlBelegt,10)=0,0,IF(INDEX(DarlOhneTilgung,10)=1,IF(INDEX(DarlBindung,10)="",1,$G4565),IF($J4565&gt;0.005,1,0)))</f>
      </c>
      <c r="J4565" s="43">
        <f>IF($I4564=0,0,$R4564)</f>
      </c>
      <c r="K4565" s="43">
        <f>IF($I4565=0,0,IF(INDEX(DarlOhneTilgung,10)=1,0,IF(AND(INDEX(DarlTilgStart,10)&gt;0,$E4565=INDEX(DarlTilgStart,10)),$J4565*($H4565+INDEX(DarlTilgung,10))/100/12,IF(AND($G4565=0,$G4564=1),MAX($K4564,$J4565*($H4565+1)/100/12),$K4564))))</f>
      </c>
      <c r="L4565" s="43">
        <f>IF($I4565=0,0,$J4565*$H4565/100/12)</f>
      </c>
      <c r="M4565" s="43">
        <f>IF($I4565=0,0,IF(OR(INDEX(DarlOhneTilgung,10)=1,AND(INDEX(DarlTilgStart,10)&gt;0,$E4565&lt;INDEX(DarlTilgStart,10))),0,MIN(MAX(0,$K4565-$L4565),$J4565)))</f>
      </c>
      <c r="N4565" s="43">
        <f>IF($I4565=0,0,MIN(SUMIFS(SondBetrag,SondDarl,10,SondDatum,"&gt;="&amp;$E4565,SondDatum,"&lt;="&amp;EOMONTH($E4565,0)),$J4565-$M4565))</f>
      </c>
      <c r="O4565" s="43">
        <f>IF($I4565=0,0,INDEX(DarlErsatzRate,10))</f>
      </c>
      <c r="P4565" s="43">
        <f>IF($I4565=0,0,$Q4564*INDEX(DarlErsatzZins,10))</f>
      </c>
      <c r="Q4565" s="43">
        <f>IF($I4565=0,0,$Q4564+$P4565+$O4565)</f>
      </c>
      <c r="R4565" s="43">
        <f>IF($I4565=0,0,$J4565-$M4565-$N4565)</f>
      </c>
    </row>
    <row r="4566">
      <c r="A4566"/>
      <c r="B4566">
        <v>10</v>
      </c>
      <c r="C4566" s="43">
        <f>INDEX(DarlObj,10)</f>
      </c>
      <c r="D4566">
        <v>243</v>
      </c>
      <c r="E4566" s="51">
        <f>IF(INDEX(DarlBelegt,10)=0,0,EOMONTH(INDEX(DarlAuszahlung,10),242)+1)</f>
      </c>
      <c r="F4566" s="43">
        <f>IF($E4566=0,0,YEAR($E4566))</f>
      </c>
      <c r="G4566" s="43">
        <f>IF(INDEX(DarlBindung,10)="",1,IF($E4566&lt;=INDEX(DarlBindung,10),1,0))</f>
      </c>
      <c r="H4566" s="43">
        <f>IF($G4566=1,INDEX(DarlSollzins,10),INDEX(DarlAnschluss,10))</f>
      </c>
      <c r="I4566" s="43">
        <f>IF(INDEX(DarlBelegt,10)=0,0,IF(INDEX(DarlOhneTilgung,10)=1,IF(INDEX(DarlBindung,10)="",1,$G4566),IF($J4566&gt;0.005,1,0)))</f>
      </c>
      <c r="J4566" s="43">
        <f>IF($I4565=0,0,$R4565)</f>
      </c>
      <c r="K4566" s="43">
        <f>IF($I4566=0,0,IF(INDEX(DarlOhneTilgung,10)=1,0,IF(AND(INDEX(DarlTilgStart,10)&gt;0,$E4566=INDEX(DarlTilgStart,10)),$J4566*($H4566+INDEX(DarlTilgung,10))/100/12,IF(AND($G4566=0,$G4565=1),MAX($K4565,$J4566*($H4566+1)/100/12),$K4565))))</f>
      </c>
      <c r="L4566" s="43">
        <f>IF($I4566=0,0,$J4566*$H4566/100/12)</f>
      </c>
      <c r="M4566" s="43">
        <f>IF($I4566=0,0,IF(OR(INDEX(DarlOhneTilgung,10)=1,AND(INDEX(DarlTilgStart,10)&gt;0,$E4566&lt;INDEX(DarlTilgStart,10))),0,MIN(MAX(0,$K4566-$L4566),$J4566)))</f>
      </c>
      <c r="N4566" s="43">
        <f>IF($I4566=0,0,MIN(SUMIFS(SondBetrag,SondDarl,10,SondDatum,"&gt;="&amp;$E4566,SondDatum,"&lt;="&amp;EOMONTH($E4566,0)),$J4566-$M4566))</f>
      </c>
      <c r="O4566" s="43">
        <f>IF($I4566=0,0,INDEX(DarlErsatzRate,10))</f>
      </c>
      <c r="P4566" s="43">
        <f>IF($I4566=0,0,$Q4565*INDEX(DarlErsatzZins,10))</f>
      </c>
      <c r="Q4566" s="43">
        <f>IF($I4566=0,0,$Q4565+$P4566+$O4566)</f>
      </c>
      <c r="R4566" s="43">
        <f>IF($I4566=0,0,$J4566-$M4566-$N4566)</f>
      </c>
    </row>
    <row r="4567">
      <c r="A4567"/>
      <c r="B4567">
        <v>10</v>
      </c>
      <c r="C4567" s="43">
        <f>INDEX(DarlObj,10)</f>
      </c>
      <c r="D4567">
        <v>244</v>
      </c>
      <c r="E4567" s="51">
        <f>IF(INDEX(DarlBelegt,10)=0,0,EOMONTH(INDEX(DarlAuszahlung,10),243)+1)</f>
      </c>
      <c r="F4567" s="43">
        <f>IF($E4567=0,0,YEAR($E4567))</f>
      </c>
      <c r="G4567" s="43">
        <f>IF(INDEX(DarlBindung,10)="",1,IF($E4567&lt;=INDEX(DarlBindung,10),1,0))</f>
      </c>
      <c r="H4567" s="43">
        <f>IF($G4567=1,INDEX(DarlSollzins,10),INDEX(DarlAnschluss,10))</f>
      </c>
      <c r="I4567" s="43">
        <f>IF(INDEX(DarlBelegt,10)=0,0,IF(INDEX(DarlOhneTilgung,10)=1,IF(INDEX(DarlBindung,10)="",1,$G4567),IF($J4567&gt;0.005,1,0)))</f>
      </c>
      <c r="J4567" s="43">
        <f>IF($I4566=0,0,$R4566)</f>
      </c>
      <c r="K4567" s="43">
        <f>IF($I4567=0,0,IF(INDEX(DarlOhneTilgung,10)=1,0,IF(AND(INDEX(DarlTilgStart,10)&gt;0,$E4567=INDEX(DarlTilgStart,10)),$J4567*($H4567+INDEX(DarlTilgung,10))/100/12,IF(AND($G4567=0,$G4566=1),MAX($K4566,$J4567*($H4567+1)/100/12),$K4566))))</f>
      </c>
      <c r="L4567" s="43">
        <f>IF($I4567=0,0,$J4567*$H4567/100/12)</f>
      </c>
      <c r="M4567" s="43">
        <f>IF($I4567=0,0,IF(OR(INDEX(DarlOhneTilgung,10)=1,AND(INDEX(DarlTilgStart,10)&gt;0,$E4567&lt;INDEX(DarlTilgStart,10))),0,MIN(MAX(0,$K4567-$L4567),$J4567)))</f>
      </c>
      <c r="N4567" s="43">
        <f>IF($I4567=0,0,MIN(SUMIFS(SondBetrag,SondDarl,10,SondDatum,"&gt;="&amp;$E4567,SondDatum,"&lt;="&amp;EOMONTH($E4567,0)),$J4567-$M4567))</f>
      </c>
      <c r="O4567" s="43">
        <f>IF($I4567=0,0,INDEX(DarlErsatzRate,10))</f>
      </c>
      <c r="P4567" s="43">
        <f>IF($I4567=0,0,$Q4566*INDEX(DarlErsatzZins,10))</f>
      </c>
      <c r="Q4567" s="43">
        <f>IF($I4567=0,0,$Q4566+$P4567+$O4567)</f>
      </c>
      <c r="R4567" s="43">
        <f>IF($I4567=0,0,$J4567-$M4567-$N4567)</f>
      </c>
    </row>
    <row r="4568">
      <c r="A4568"/>
      <c r="B4568">
        <v>10</v>
      </c>
      <c r="C4568" s="43">
        <f>INDEX(DarlObj,10)</f>
      </c>
      <c r="D4568">
        <v>245</v>
      </c>
      <c r="E4568" s="51">
        <f>IF(INDEX(DarlBelegt,10)=0,0,EOMONTH(INDEX(DarlAuszahlung,10),244)+1)</f>
      </c>
      <c r="F4568" s="43">
        <f>IF($E4568=0,0,YEAR($E4568))</f>
      </c>
      <c r="G4568" s="43">
        <f>IF(INDEX(DarlBindung,10)="",1,IF($E4568&lt;=INDEX(DarlBindung,10),1,0))</f>
      </c>
      <c r="H4568" s="43">
        <f>IF($G4568=1,INDEX(DarlSollzins,10),INDEX(DarlAnschluss,10))</f>
      </c>
      <c r="I4568" s="43">
        <f>IF(INDEX(DarlBelegt,10)=0,0,IF(INDEX(DarlOhneTilgung,10)=1,IF(INDEX(DarlBindung,10)="",1,$G4568),IF($J4568&gt;0.005,1,0)))</f>
      </c>
      <c r="J4568" s="43">
        <f>IF($I4567=0,0,$R4567)</f>
      </c>
      <c r="K4568" s="43">
        <f>IF($I4568=0,0,IF(INDEX(DarlOhneTilgung,10)=1,0,IF(AND(INDEX(DarlTilgStart,10)&gt;0,$E4568=INDEX(DarlTilgStart,10)),$J4568*($H4568+INDEX(DarlTilgung,10))/100/12,IF(AND($G4568=0,$G4567=1),MAX($K4567,$J4568*($H4568+1)/100/12),$K4567))))</f>
      </c>
      <c r="L4568" s="43">
        <f>IF($I4568=0,0,$J4568*$H4568/100/12)</f>
      </c>
      <c r="M4568" s="43">
        <f>IF($I4568=0,0,IF(OR(INDEX(DarlOhneTilgung,10)=1,AND(INDEX(DarlTilgStart,10)&gt;0,$E4568&lt;INDEX(DarlTilgStart,10))),0,MIN(MAX(0,$K4568-$L4568),$J4568)))</f>
      </c>
      <c r="N4568" s="43">
        <f>IF($I4568=0,0,MIN(SUMIFS(SondBetrag,SondDarl,10,SondDatum,"&gt;="&amp;$E4568,SondDatum,"&lt;="&amp;EOMONTH($E4568,0)),$J4568-$M4568))</f>
      </c>
      <c r="O4568" s="43">
        <f>IF($I4568=0,0,INDEX(DarlErsatzRate,10))</f>
      </c>
      <c r="P4568" s="43">
        <f>IF($I4568=0,0,$Q4567*INDEX(DarlErsatzZins,10))</f>
      </c>
      <c r="Q4568" s="43">
        <f>IF($I4568=0,0,$Q4567+$P4568+$O4568)</f>
      </c>
      <c r="R4568" s="43">
        <f>IF($I4568=0,0,$J4568-$M4568-$N4568)</f>
      </c>
    </row>
    <row r="4569">
      <c r="A4569"/>
      <c r="B4569">
        <v>10</v>
      </c>
      <c r="C4569" s="43">
        <f>INDEX(DarlObj,10)</f>
      </c>
      <c r="D4569">
        <v>246</v>
      </c>
      <c r="E4569" s="51">
        <f>IF(INDEX(DarlBelegt,10)=0,0,EOMONTH(INDEX(DarlAuszahlung,10),245)+1)</f>
      </c>
      <c r="F4569" s="43">
        <f>IF($E4569=0,0,YEAR($E4569))</f>
      </c>
      <c r="G4569" s="43">
        <f>IF(INDEX(DarlBindung,10)="",1,IF($E4569&lt;=INDEX(DarlBindung,10),1,0))</f>
      </c>
      <c r="H4569" s="43">
        <f>IF($G4569=1,INDEX(DarlSollzins,10),INDEX(DarlAnschluss,10))</f>
      </c>
      <c r="I4569" s="43">
        <f>IF(INDEX(DarlBelegt,10)=0,0,IF(INDEX(DarlOhneTilgung,10)=1,IF(INDEX(DarlBindung,10)="",1,$G4569),IF($J4569&gt;0.005,1,0)))</f>
      </c>
      <c r="J4569" s="43">
        <f>IF($I4568=0,0,$R4568)</f>
      </c>
      <c r="K4569" s="43">
        <f>IF($I4569=0,0,IF(INDEX(DarlOhneTilgung,10)=1,0,IF(AND(INDEX(DarlTilgStart,10)&gt;0,$E4569=INDEX(DarlTilgStart,10)),$J4569*($H4569+INDEX(DarlTilgung,10))/100/12,IF(AND($G4569=0,$G4568=1),MAX($K4568,$J4569*($H4569+1)/100/12),$K4568))))</f>
      </c>
      <c r="L4569" s="43">
        <f>IF($I4569=0,0,$J4569*$H4569/100/12)</f>
      </c>
      <c r="M4569" s="43">
        <f>IF($I4569=0,0,IF(OR(INDEX(DarlOhneTilgung,10)=1,AND(INDEX(DarlTilgStart,10)&gt;0,$E4569&lt;INDEX(DarlTilgStart,10))),0,MIN(MAX(0,$K4569-$L4569),$J4569)))</f>
      </c>
      <c r="N4569" s="43">
        <f>IF($I4569=0,0,MIN(SUMIFS(SondBetrag,SondDarl,10,SondDatum,"&gt;="&amp;$E4569,SondDatum,"&lt;="&amp;EOMONTH($E4569,0)),$J4569-$M4569))</f>
      </c>
      <c r="O4569" s="43">
        <f>IF($I4569=0,0,INDEX(DarlErsatzRate,10))</f>
      </c>
      <c r="P4569" s="43">
        <f>IF($I4569=0,0,$Q4568*INDEX(DarlErsatzZins,10))</f>
      </c>
      <c r="Q4569" s="43">
        <f>IF($I4569=0,0,$Q4568+$P4569+$O4569)</f>
      </c>
      <c r="R4569" s="43">
        <f>IF($I4569=0,0,$J4569-$M4569-$N4569)</f>
      </c>
    </row>
    <row r="4570">
      <c r="A4570"/>
      <c r="B4570">
        <v>10</v>
      </c>
      <c r="C4570" s="43">
        <f>INDEX(DarlObj,10)</f>
      </c>
      <c r="D4570">
        <v>247</v>
      </c>
      <c r="E4570" s="51">
        <f>IF(INDEX(DarlBelegt,10)=0,0,EOMONTH(INDEX(DarlAuszahlung,10),246)+1)</f>
      </c>
      <c r="F4570" s="43">
        <f>IF($E4570=0,0,YEAR($E4570))</f>
      </c>
      <c r="G4570" s="43">
        <f>IF(INDEX(DarlBindung,10)="",1,IF($E4570&lt;=INDEX(DarlBindung,10),1,0))</f>
      </c>
      <c r="H4570" s="43">
        <f>IF($G4570=1,INDEX(DarlSollzins,10),INDEX(DarlAnschluss,10))</f>
      </c>
      <c r="I4570" s="43">
        <f>IF(INDEX(DarlBelegt,10)=0,0,IF(INDEX(DarlOhneTilgung,10)=1,IF(INDEX(DarlBindung,10)="",1,$G4570),IF($J4570&gt;0.005,1,0)))</f>
      </c>
      <c r="J4570" s="43">
        <f>IF($I4569=0,0,$R4569)</f>
      </c>
      <c r="K4570" s="43">
        <f>IF($I4570=0,0,IF(INDEX(DarlOhneTilgung,10)=1,0,IF(AND(INDEX(DarlTilgStart,10)&gt;0,$E4570=INDEX(DarlTilgStart,10)),$J4570*($H4570+INDEX(DarlTilgung,10))/100/12,IF(AND($G4570=0,$G4569=1),MAX($K4569,$J4570*($H4570+1)/100/12),$K4569))))</f>
      </c>
      <c r="L4570" s="43">
        <f>IF($I4570=0,0,$J4570*$H4570/100/12)</f>
      </c>
      <c r="M4570" s="43">
        <f>IF($I4570=0,0,IF(OR(INDEX(DarlOhneTilgung,10)=1,AND(INDEX(DarlTilgStart,10)&gt;0,$E4570&lt;INDEX(DarlTilgStart,10))),0,MIN(MAX(0,$K4570-$L4570),$J4570)))</f>
      </c>
      <c r="N4570" s="43">
        <f>IF($I4570=0,0,MIN(SUMIFS(SondBetrag,SondDarl,10,SondDatum,"&gt;="&amp;$E4570,SondDatum,"&lt;="&amp;EOMONTH($E4570,0)),$J4570-$M4570))</f>
      </c>
      <c r="O4570" s="43">
        <f>IF($I4570=0,0,INDEX(DarlErsatzRate,10))</f>
      </c>
      <c r="P4570" s="43">
        <f>IF($I4570=0,0,$Q4569*INDEX(DarlErsatzZins,10))</f>
      </c>
      <c r="Q4570" s="43">
        <f>IF($I4570=0,0,$Q4569+$P4570+$O4570)</f>
      </c>
      <c r="R4570" s="43">
        <f>IF($I4570=0,0,$J4570-$M4570-$N4570)</f>
      </c>
    </row>
    <row r="4571">
      <c r="A4571"/>
      <c r="B4571">
        <v>10</v>
      </c>
      <c r="C4571" s="43">
        <f>INDEX(DarlObj,10)</f>
      </c>
      <c r="D4571">
        <v>248</v>
      </c>
      <c r="E4571" s="51">
        <f>IF(INDEX(DarlBelegt,10)=0,0,EOMONTH(INDEX(DarlAuszahlung,10),247)+1)</f>
      </c>
      <c r="F4571" s="43">
        <f>IF($E4571=0,0,YEAR($E4571))</f>
      </c>
      <c r="G4571" s="43">
        <f>IF(INDEX(DarlBindung,10)="",1,IF($E4571&lt;=INDEX(DarlBindung,10),1,0))</f>
      </c>
      <c r="H4571" s="43">
        <f>IF($G4571=1,INDEX(DarlSollzins,10),INDEX(DarlAnschluss,10))</f>
      </c>
      <c r="I4571" s="43">
        <f>IF(INDEX(DarlBelegt,10)=0,0,IF(INDEX(DarlOhneTilgung,10)=1,IF(INDEX(DarlBindung,10)="",1,$G4571),IF($J4571&gt;0.005,1,0)))</f>
      </c>
      <c r="J4571" s="43">
        <f>IF($I4570=0,0,$R4570)</f>
      </c>
      <c r="K4571" s="43">
        <f>IF($I4571=0,0,IF(INDEX(DarlOhneTilgung,10)=1,0,IF(AND(INDEX(DarlTilgStart,10)&gt;0,$E4571=INDEX(DarlTilgStart,10)),$J4571*($H4571+INDEX(DarlTilgung,10))/100/12,IF(AND($G4571=0,$G4570=1),MAX($K4570,$J4571*($H4571+1)/100/12),$K4570))))</f>
      </c>
      <c r="L4571" s="43">
        <f>IF($I4571=0,0,$J4571*$H4571/100/12)</f>
      </c>
      <c r="M4571" s="43">
        <f>IF($I4571=0,0,IF(OR(INDEX(DarlOhneTilgung,10)=1,AND(INDEX(DarlTilgStart,10)&gt;0,$E4571&lt;INDEX(DarlTilgStart,10))),0,MIN(MAX(0,$K4571-$L4571),$J4571)))</f>
      </c>
      <c r="N4571" s="43">
        <f>IF($I4571=0,0,MIN(SUMIFS(SondBetrag,SondDarl,10,SondDatum,"&gt;="&amp;$E4571,SondDatum,"&lt;="&amp;EOMONTH($E4571,0)),$J4571-$M4571))</f>
      </c>
      <c r="O4571" s="43">
        <f>IF($I4571=0,0,INDEX(DarlErsatzRate,10))</f>
      </c>
      <c r="P4571" s="43">
        <f>IF($I4571=0,0,$Q4570*INDEX(DarlErsatzZins,10))</f>
      </c>
      <c r="Q4571" s="43">
        <f>IF($I4571=0,0,$Q4570+$P4571+$O4571)</f>
      </c>
      <c r="R4571" s="43">
        <f>IF($I4571=0,0,$J4571-$M4571-$N4571)</f>
      </c>
    </row>
    <row r="4572">
      <c r="A4572"/>
      <c r="B4572">
        <v>10</v>
      </c>
      <c r="C4572" s="43">
        <f>INDEX(DarlObj,10)</f>
      </c>
      <c r="D4572">
        <v>249</v>
      </c>
      <c r="E4572" s="51">
        <f>IF(INDEX(DarlBelegt,10)=0,0,EOMONTH(INDEX(DarlAuszahlung,10),248)+1)</f>
      </c>
      <c r="F4572" s="43">
        <f>IF($E4572=0,0,YEAR($E4572))</f>
      </c>
      <c r="G4572" s="43">
        <f>IF(INDEX(DarlBindung,10)="",1,IF($E4572&lt;=INDEX(DarlBindung,10),1,0))</f>
      </c>
      <c r="H4572" s="43">
        <f>IF($G4572=1,INDEX(DarlSollzins,10),INDEX(DarlAnschluss,10))</f>
      </c>
      <c r="I4572" s="43">
        <f>IF(INDEX(DarlBelegt,10)=0,0,IF(INDEX(DarlOhneTilgung,10)=1,IF(INDEX(DarlBindung,10)="",1,$G4572),IF($J4572&gt;0.005,1,0)))</f>
      </c>
      <c r="J4572" s="43">
        <f>IF($I4571=0,0,$R4571)</f>
      </c>
      <c r="K4572" s="43">
        <f>IF($I4572=0,0,IF(INDEX(DarlOhneTilgung,10)=1,0,IF(AND(INDEX(DarlTilgStart,10)&gt;0,$E4572=INDEX(DarlTilgStart,10)),$J4572*($H4572+INDEX(DarlTilgung,10))/100/12,IF(AND($G4572=0,$G4571=1),MAX($K4571,$J4572*($H4572+1)/100/12),$K4571))))</f>
      </c>
      <c r="L4572" s="43">
        <f>IF($I4572=0,0,$J4572*$H4572/100/12)</f>
      </c>
      <c r="M4572" s="43">
        <f>IF($I4572=0,0,IF(OR(INDEX(DarlOhneTilgung,10)=1,AND(INDEX(DarlTilgStart,10)&gt;0,$E4572&lt;INDEX(DarlTilgStart,10))),0,MIN(MAX(0,$K4572-$L4572),$J4572)))</f>
      </c>
      <c r="N4572" s="43">
        <f>IF($I4572=0,0,MIN(SUMIFS(SondBetrag,SondDarl,10,SondDatum,"&gt;="&amp;$E4572,SondDatum,"&lt;="&amp;EOMONTH($E4572,0)),$J4572-$M4572))</f>
      </c>
      <c r="O4572" s="43">
        <f>IF($I4572=0,0,INDEX(DarlErsatzRate,10))</f>
      </c>
      <c r="P4572" s="43">
        <f>IF($I4572=0,0,$Q4571*INDEX(DarlErsatzZins,10))</f>
      </c>
      <c r="Q4572" s="43">
        <f>IF($I4572=0,0,$Q4571+$P4572+$O4572)</f>
      </c>
      <c r="R4572" s="43">
        <f>IF($I4572=0,0,$J4572-$M4572-$N4572)</f>
      </c>
    </row>
    <row r="4573">
      <c r="A4573"/>
      <c r="B4573">
        <v>10</v>
      </c>
      <c r="C4573" s="43">
        <f>INDEX(DarlObj,10)</f>
      </c>
      <c r="D4573">
        <v>250</v>
      </c>
      <c r="E4573" s="51">
        <f>IF(INDEX(DarlBelegt,10)=0,0,EOMONTH(INDEX(DarlAuszahlung,10),249)+1)</f>
      </c>
      <c r="F4573" s="43">
        <f>IF($E4573=0,0,YEAR($E4573))</f>
      </c>
      <c r="G4573" s="43">
        <f>IF(INDEX(DarlBindung,10)="",1,IF($E4573&lt;=INDEX(DarlBindung,10),1,0))</f>
      </c>
      <c r="H4573" s="43">
        <f>IF($G4573=1,INDEX(DarlSollzins,10),INDEX(DarlAnschluss,10))</f>
      </c>
      <c r="I4573" s="43">
        <f>IF(INDEX(DarlBelegt,10)=0,0,IF(INDEX(DarlOhneTilgung,10)=1,IF(INDEX(DarlBindung,10)="",1,$G4573),IF($J4573&gt;0.005,1,0)))</f>
      </c>
      <c r="J4573" s="43">
        <f>IF($I4572=0,0,$R4572)</f>
      </c>
      <c r="K4573" s="43">
        <f>IF($I4573=0,0,IF(INDEX(DarlOhneTilgung,10)=1,0,IF(AND(INDEX(DarlTilgStart,10)&gt;0,$E4573=INDEX(DarlTilgStart,10)),$J4573*($H4573+INDEX(DarlTilgung,10))/100/12,IF(AND($G4573=0,$G4572=1),MAX($K4572,$J4573*($H4573+1)/100/12),$K4572))))</f>
      </c>
      <c r="L4573" s="43">
        <f>IF($I4573=0,0,$J4573*$H4573/100/12)</f>
      </c>
      <c r="M4573" s="43">
        <f>IF($I4573=0,0,IF(OR(INDEX(DarlOhneTilgung,10)=1,AND(INDEX(DarlTilgStart,10)&gt;0,$E4573&lt;INDEX(DarlTilgStart,10))),0,MIN(MAX(0,$K4573-$L4573),$J4573)))</f>
      </c>
      <c r="N4573" s="43">
        <f>IF($I4573=0,0,MIN(SUMIFS(SondBetrag,SondDarl,10,SondDatum,"&gt;="&amp;$E4573,SondDatum,"&lt;="&amp;EOMONTH($E4573,0)),$J4573-$M4573))</f>
      </c>
      <c r="O4573" s="43">
        <f>IF($I4573=0,0,INDEX(DarlErsatzRate,10))</f>
      </c>
      <c r="P4573" s="43">
        <f>IF($I4573=0,0,$Q4572*INDEX(DarlErsatzZins,10))</f>
      </c>
      <c r="Q4573" s="43">
        <f>IF($I4573=0,0,$Q4572+$P4573+$O4573)</f>
      </c>
      <c r="R4573" s="43">
        <f>IF($I4573=0,0,$J4573-$M4573-$N4573)</f>
      </c>
    </row>
    <row r="4574">
      <c r="A4574"/>
      <c r="B4574">
        <v>10</v>
      </c>
      <c r="C4574" s="43">
        <f>INDEX(DarlObj,10)</f>
      </c>
      <c r="D4574">
        <v>251</v>
      </c>
      <c r="E4574" s="51">
        <f>IF(INDEX(DarlBelegt,10)=0,0,EOMONTH(INDEX(DarlAuszahlung,10),250)+1)</f>
      </c>
      <c r="F4574" s="43">
        <f>IF($E4574=0,0,YEAR($E4574))</f>
      </c>
      <c r="G4574" s="43">
        <f>IF(INDEX(DarlBindung,10)="",1,IF($E4574&lt;=INDEX(DarlBindung,10),1,0))</f>
      </c>
      <c r="H4574" s="43">
        <f>IF($G4574=1,INDEX(DarlSollzins,10),INDEX(DarlAnschluss,10))</f>
      </c>
      <c r="I4574" s="43">
        <f>IF(INDEX(DarlBelegt,10)=0,0,IF(INDEX(DarlOhneTilgung,10)=1,IF(INDEX(DarlBindung,10)="",1,$G4574),IF($J4574&gt;0.005,1,0)))</f>
      </c>
      <c r="J4574" s="43">
        <f>IF($I4573=0,0,$R4573)</f>
      </c>
      <c r="K4574" s="43">
        <f>IF($I4574=0,0,IF(INDEX(DarlOhneTilgung,10)=1,0,IF(AND(INDEX(DarlTilgStart,10)&gt;0,$E4574=INDEX(DarlTilgStart,10)),$J4574*($H4574+INDEX(DarlTilgung,10))/100/12,IF(AND($G4574=0,$G4573=1),MAX($K4573,$J4574*($H4574+1)/100/12),$K4573))))</f>
      </c>
      <c r="L4574" s="43">
        <f>IF($I4574=0,0,$J4574*$H4574/100/12)</f>
      </c>
      <c r="M4574" s="43">
        <f>IF($I4574=0,0,IF(OR(INDEX(DarlOhneTilgung,10)=1,AND(INDEX(DarlTilgStart,10)&gt;0,$E4574&lt;INDEX(DarlTilgStart,10))),0,MIN(MAX(0,$K4574-$L4574),$J4574)))</f>
      </c>
      <c r="N4574" s="43">
        <f>IF($I4574=0,0,MIN(SUMIFS(SondBetrag,SondDarl,10,SondDatum,"&gt;="&amp;$E4574,SondDatum,"&lt;="&amp;EOMONTH($E4574,0)),$J4574-$M4574))</f>
      </c>
      <c r="O4574" s="43">
        <f>IF($I4574=0,0,INDEX(DarlErsatzRate,10))</f>
      </c>
      <c r="P4574" s="43">
        <f>IF($I4574=0,0,$Q4573*INDEX(DarlErsatzZins,10))</f>
      </c>
      <c r="Q4574" s="43">
        <f>IF($I4574=0,0,$Q4573+$P4574+$O4574)</f>
      </c>
      <c r="R4574" s="43">
        <f>IF($I4574=0,0,$J4574-$M4574-$N4574)</f>
      </c>
    </row>
    <row r="4575">
      <c r="A4575"/>
      <c r="B4575">
        <v>10</v>
      </c>
      <c r="C4575" s="43">
        <f>INDEX(DarlObj,10)</f>
      </c>
      <c r="D4575">
        <v>252</v>
      </c>
      <c r="E4575" s="51">
        <f>IF(INDEX(DarlBelegt,10)=0,0,EOMONTH(INDEX(DarlAuszahlung,10),251)+1)</f>
      </c>
      <c r="F4575" s="43">
        <f>IF($E4575=0,0,YEAR($E4575))</f>
      </c>
      <c r="G4575" s="43">
        <f>IF(INDEX(DarlBindung,10)="",1,IF($E4575&lt;=INDEX(DarlBindung,10),1,0))</f>
      </c>
      <c r="H4575" s="43">
        <f>IF($G4575=1,INDEX(DarlSollzins,10),INDEX(DarlAnschluss,10))</f>
      </c>
      <c r="I4575" s="43">
        <f>IF(INDEX(DarlBelegt,10)=0,0,IF(INDEX(DarlOhneTilgung,10)=1,IF(INDEX(DarlBindung,10)="",1,$G4575),IF($J4575&gt;0.005,1,0)))</f>
      </c>
      <c r="J4575" s="43">
        <f>IF($I4574=0,0,$R4574)</f>
      </c>
      <c r="K4575" s="43">
        <f>IF($I4575=0,0,IF(INDEX(DarlOhneTilgung,10)=1,0,IF(AND(INDEX(DarlTilgStart,10)&gt;0,$E4575=INDEX(DarlTilgStart,10)),$J4575*($H4575+INDEX(DarlTilgung,10))/100/12,IF(AND($G4575=0,$G4574=1),MAX($K4574,$J4575*($H4575+1)/100/12),$K4574))))</f>
      </c>
      <c r="L4575" s="43">
        <f>IF($I4575=0,0,$J4575*$H4575/100/12)</f>
      </c>
      <c r="M4575" s="43">
        <f>IF($I4575=0,0,IF(OR(INDEX(DarlOhneTilgung,10)=1,AND(INDEX(DarlTilgStart,10)&gt;0,$E4575&lt;INDEX(DarlTilgStart,10))),0,MIN(MAX(0,$K4575-$L4575),$J4575)))</f>
      </c>
      <c r="N4575" s="43">
        <f>IF($I4575=0,0,MIN(SUMIFS(SondBetrag,SondDarl,10,SondDatum,"&gt;="&amp;$E4575,SondDatum,"&lt;="&amp;EOMONTH($E4575,0)),$J4575-$M4575))</f>
      </c>
      <c r="O4575" s="43">
        <f>IF($I4575=0,0,INDEX(DarlErsatzRate,10))</f>
      </c>
      <c r="P4575" s="43">
        <f>IF($I4575=0,0,$Q4574*INDEX(DarlErsatzZins,10))</f>
      </c>
      <c r="Q4575" s="43">
        <f>IF($I4575=0,0,$Q4574+$P4575+$O4575)</f>
      </c>
      <c r="R4575" s="43">
        <f>IF($I4575=0,0,$J4575-$M4575-$N4575)</f>
      </c>
    </row>
    <row r="4576">
      <c r="A4576"/>
      <c r="B4576">
        <v>10</v>
      </c>
      <c r="C4576" s="43">
        <f>INDEX(DarlObj,10)</f>
      </c>
      <c r="D4576">
        <v>253</v>
      </c>
      <c r="E4576" s="51">
        <f>IF(INDEX(DarlBelegt,10)=0,0,EOMONTH(INDEX(DarlAuszahlung,10),252)+1)</f>
      </c>
      <c r="F4576" s="43">
        <f>IF($E4576=0,0,YEAR($E4576))</f>
      </c>
      <c r="G4576" s="43">
        <f>IF(INDEX(DarlBindung,10)="",1,IF($E4576&lt;=INDEX(DarlBindung,10),1,0))</f>
      </c>
      <c r="H4576" s="43">
        <f>IF($G4576=1,INDEX(DarlSollzins,10),INDEX(DarlAnschluss,10))</f>
      </c>
      <c r="I4576" s="43">
        <f>IF(INDEX(DarlBelegt,10)=0,0,IF(INDEX(DarlOhneTilgung,10)=1,IF(INDEX(DarlBindung,10)="",1,$G4576),IF($J4576&gt;0.005,1,0)))</f>
      </c>
      <c r="J4576" s="43">
        <f>IF($I4575=0,0,$R4575)</f>
      </c>
      <c r="K4576" s="43">
        <f>IF($I4576=0,0,IF(INDEX(DarlOhneTilgung,10)=1,0,IF(AND(INDEX(DarlTilgStart,10)&gt;0,$E4576=INDEX(DarlTilgStart,10)),$J4576*($H4576+INDEX(DarlTilgung,10))/100/12,IF(AND($G4576=0,$G4575=1),MAX($K4575,$J4576*($H4576+1)/100/12),$K4575))))</f>
      </c>
      <c r="L4576" s="43">
        <f>IF($I4576=0,0,$J4576*$H4576/100/12)</f>
      </c>
      <c r="M4576" s="43">
        <f>IF($I4576=0,0,IF(OR(INDEX(DarlOhneTilgung,10)=1,AND(INDEX(DarlTilgStart,10)&gt;0,$E4576&lt;INDEX(DarlTilgStart,10))),0,MIN(MAX(0,$K4576-$L4576),$J4576)))</f>
      </c>
      <c r="N4576" s="43">
        <f>IF($I4576=0,0,MIN(SUMIFS(SondBetrag,SondDarl,10,SondDatum,"&gt;="&amp;$E4576,SondDatum,"&lt;="&amp;EOMONTH($E4576,0)),$J4576-$M4576))</f>
      </c>
      <c r="O4576" s="43">
        <f>IF($I4576=0,0,INDEX(DarlErsatzRate,10))</f>
      </c>
      <c r="P4576" s="43">
        <f>IF($I4576=0,0,$Q4575*INDEX(DarlErsatzZins,10))</f>
      </c>
      <c r="Q4576" s="43">
        <f>IF($I4576=0,0,$Q4575+$P4576+$O4576)</f>
      </c>
      <c r="R4576" s="43">
        <f>IF($I4576=0,0,$J4576-$M4576-$N4576)</f>
      </c>
    </row>
    <row r="4577">
      <c r="A4577"/>
      <c r="B4577">
        <v>10</v>
      </c>
      <c r="C4577" s="43">
        <f>INDEX(DarlObj,10)</f>
      </c>
      <c r="D4577">
        <v>254</v>
      </c>
      <c r="E4577" s="51">
        <f>IF(INDEX(DarlBelegt,10)=0,0,EOMONTH(INDEX(DarlAuszahlung,10),253)+1)</f>
      </c>
      <c r="F4577" s="43">
        <f>IF($E4577=0,0,YEAR($E4577))</f>
      </c>
      <c r="G4577" s="43">
        <f>IF(INDEX(DarlBindung,10)="",1,IF($E4577&lt;=INDEX(DarlBindung,10),1,0))</f>
      </c>
      <c r="H4577" s="43">
        <f>IF($G4577=1,INDEX(DarlSollzins,10),INDEX(DarlAnschluss,10))</f>
      </c>
      <c r="I4577" s="43">
        <f>IF(INDEX(DarlBelegt,10)=0,0,IF(INDEX(DarlOhneTilgung,10)=1,IF(INDEX(DarlBindung,10)="",1,$G4577),IF($J4577&gt;0.005,1,0)))</f>
      </c>
      <c r="J4577" s="43">
        <f>IF($I4576=0,0,$R4576)</f>
      </c>
      <c r="K4577" s="43">
        <f>IF($I4577=0,0,IF(INDEX(DarlOhneTilgung,10)=1,0,IF(AND(INDEX(DarlTilgStart,10)&gt;0,$E4577=INDEX(DarlTilgStart,10)),$J4577*($H4577+INDEX(DarlTilgung,10))/100/12,IF(AND($G4577=0,$G4576=1),MAX($K4576,$J4577*($H4577+1)/100/12),$K4576))))</f>
      </c>
      <c r="L4577" s="43">
        <f>IF($I4577=0,0,$J4577*$H4577/100/12)</f>
      </c>
      <c r="M4577" s="43">
        <f>IF($I4577=0,0,IF(OR(INDEX(DarlOhneTilgung,10)=1,AND(INDEX(DarlTilgStart,10)&gt;0,$E4577&lt;INDEX(DarlTilgStart,10))),0,MIN(MAX(0,$K4577-$L4577),$J4577)))</f>
      </c>
      <c r="N4577" s="43">
        <f>IF($I4577=0,0,MIN(SUMIFS(SondBetrag,SondDarl,10,SondDatum,"&gt;="&amp;$E4577,SondDatum,"&lt;="&amp;EOMONTH($E4577,0)),$J4577-$M4577))</f>
      </c>
      <c r="O4577" s="43">
        <f>IF($I4577=0,0,INDEX(DarlErsatzRate,10))</f>
      </c>
      <c r="P4577" s="43">
        <f>IF($I4577=0,0,$Q4576*INDEX(DarlErsatzZins,10))</f>
      </c>
      <c r="Q4577" s="43">
        <f>IF($I4577=0,0,$Q4576+$P4577+$O4577)</f>
      </c>
      <c r="R4577" s="43">
        <f>IF($I4577=0,0,$J4577-$M4577-$N4577)</f>
      </c>
    </row>
    <row r="4578">
      <c r="A4578"/>
      <c r="B4578">
        <v>10</v>
      </c>
      <c r="C4578" s="43">
        <f>INDEX(DarlObj,10)</f>
      </c>
      <c r="D4578">
        <v>255</v>
      </c>
      <c r="E4578" s="51">
        <f>IF(INDEX(DarlBelegt,10)=0,0,EOMONTH(INDEX(DarlAuszahlung,10),254)+1)</f>
      </c>
      <c r="F4578" s="43">
        <f>IF($E4578=0,0,YEAR($E4578))</f>
      </c>
      <c r="G4578" s="43">
        <f>IF(INDEX(DarlBindung,10)="",1,IF($E4578&lt;=INDEX(DarlBindung,10),1,0))</f>
      </c>
      <c r="H4578" s="43">
        <f>IF($G4578=1,INDEX(DarlSollzins,10),INDEX(DarlAnschluss,10))</f>
      </c>
      <c r="I4578" s="43">
        <f>IF(INDEX(DarlBelegt,10)=0,0,IF(INDEX(DarlOhneTilgung,10)=1,IF(INDEX(DarlBindung,10)="",1,$G4578),IF($J4578&gt;0.005,1,0)))</f>
      </c>
      <c r="J4578" s="43">
        <f>IF($I4577=0,0,$R4577)</f>
      </c>
      <c r="K4578" s="43">
        <f>IF($I4578=0,0,IF(INDEX(DarlOhneTilgung,10)=1,0,IF(AND(INDEX(DarlTilgStart,10)&gt;0,$E4578=INDEX(DarlTilgStart,10)),$J4578*($H4578+INDEX(DarlTilgung,10))/100/12,IF(AND($G4578=0,$G4577=1),MAX($K4577,$J4578*($H4578+1)/100/12),$K4577))))</f>
      </c>
      <c r="L4578" s="43">
        <f>IF($I4578=0,0,$J4578*$H4578/100/12)</f>
      </c>
      <c r="M4578" s="43">
        <f>IF($I4578=0,0,IF(OR(INDEX(DarlOhneTilgung,10)=1,AND(INDEX(DarlTilgStart,10)&gt;0,$E4578&lt;INDEX(DarlTilgStart,10))),0,MIN(MAX(0,$K4578-$L4578),$J4578)))</f>
      </c>
      <c r="N4578" s="43">
        <f>IF($I4578=0,0,MIN(SUMIFS(SondBetrag,SondDarl,10,SondDatum,"&gt;="&amp;$E4578,SondDatum,"&lt;="&amp;EOMONTH($E4578,0)),$J4578-$M4578))</f>
      </c>
      <c r="O4578" s="43">
        <f>IF($I4578=0,0,INDEX(DarlErsatzRate,10))</f>
      </c>
      <c r="P4578" s="43">
        <f>IF($I4578=0,0,$Q4577*INDEX(DarlErsatzZins,10))</f>
      </c>
      <c r="Q4578" s="43">
        <f>IF($I4578=0,0,$Q4577+$P4578+$O4578)</f>
      </c>
      <c r="R4578" s="43">
        <f>IF($I4578=0,0,$J4578-$M4578-$N4578)</f>
      </c>
    </row>
    <row r="4579">
      <c r="A4579"/>
      <c r="B4579">
        <v>10</v>
      </c>
      <c r="C4579" s="43">
        <f>INDEX(DarlObj,10)</f>
      </c>
      <c r="D4579">
        <v>256</v>
      </c>
      <c r="E4579" s="51">
        <f>IF(INDEX(DarlBelegt,10)=0,0,EOMONTH(INDEX(DarlAuszahlung,10),255)+1)</f>
      </c>
      <c r="F4579" s="43">
        <f>IF($E4579=0,0,YEAR($E4579))</f>
      </c>
      <c r="G4579" s="43">
        <f>IF(INDEX(DarlBindung,10)="",1,IF($E4579&lt;=INDEX(DarlBindung,10),1,0))</f>
      </c>
      <c r="H4579" s="43">
        <f>IF($G4579=1,INDEX(DarlSollzins,10),INDEX(DarlAnschluss,10))</f>
      </c>
      <c r="I4579" s="43">
        <f>IF(INDEX(DarlBelegt,10)=0,0,IF(INDEX(DarlOhneTilgung,10)=1,IF(INDEX(DarlBindung,10)="",1,$G4579),IF($J4579&gt;0.005,1,0)))</f>
      </c>
      <c r="J4579" s="43">
        <f>IF($I4578=0,0,$R4578)</f>
      </c>
      <c r="K4579" s="43">
        <f>IF($I4579=0,0,IF(INDEX(DarlOhneTilgung,10)=1,0,IF(AND(INDEX(DarlTilgStart,10)&gt;0,$E4579=INDEX(DarlTilgStart,10)),$J4579*($H4579+INDEX(DarlTilgung,10))/100/12,IF(AND($G4579=0,$G4578=1),MAX($K4578,$J4579*($H4579+1)/100/12),$K4578))))</f>
      </c>
      <c r="L4579" s="43">
        <f>IF($I4579=0,0,$J4579*$H4579/100/12)</f>
      </c>
      <c r="M4579" s="43">
        <f>IF($I4579=0,0,IF(OR(INDEX(DarlOhneTilgung,10)=1,AND(INDEX(DarlTilgStart,10)&gt;0,$E4579&lt;INDEX(DarlTilgStart,10))),0,MIN(MAX(0,$K4579-$L4579),$J4579)))</f>
      </c>
      <c r="N4579" s="43">
        <f>IF($I4579=0,0,MIN(SUMIFS(SondBetrag,SondDarl,10,SondDatum,"&gt;="&amp;$E4579,SondDatum,"&lt;="&amp;EOMONTH($E4579,0)),$J4579-$M4579))</f>
      </c>
      <c r="O4579" s="43">
        <f>IF($I4579=0,0,INDEX(DarlErsatzRate,10))</f>
      </c>
      <c r="P4579" s="43">
        <f>IF($I4579=0,0,$Q4578*INDEX(DarlErsatzZins,10))</f>
      </c>
      <c r="Q4579" s="43">
        <f>IF($I4579=0,0,$Q4578+$P4579+$O4579)</f>
      </c>
      <c r="R4579" s="43">
        <f>IF($I4579=0,0,$J4579-$M4579-$N4579)</f>
      </c>
    </row>
    <row r="4580">
      <c r="A4580"/>
      <c r="B4580">
        <v>10</v>
      </c>
      <c r="C4580" s="43">
        <f>INDEX(DarlObj,10)</f>
      </c>
      <c r="D4580">
        <v>257</v>
      </c>
      <c r="E4580" s="51">
        <f>IF(INDEX(DarlBelegt,10)=0,0,EOMONTH(INDEX(DarlAuszahlung,10),256)+1)</f>
      </c>
      <c r="F4580" s="43">
        <f>IF($E4580=0,0,YEAR($E4580))</f>
      </c>
      <c r="G4580" s="43">
        <f>IF(INDEX(DarlBindung,10)="",1,IF($E4580&lt;=INDEX(DarlBindung,10),1,0))</f>
      </c>
      <c r="H4580" s="43">
        <f>IF($G4580=1,INDEX(DarlSollzins,10),INDEX(DarlAnschluss,10))</f>
      </c>
      <c r="I4580" s="43">
        <f>IF(INDEX(DarlBelegt,10)=0,0,IF(INDEX(DarlOhneTilgung,10)=1,IF(INDEX(DarlBindung,10)="",1,$G4580),IF($J4580&gt;0.005,1,0)))</f>
      </c>
      <c r="J4580" s="43">
        <f>IF($I4579=0,0,$R4579)</f>
      </c>
      <c r="K4580" s="43">
        <f>IF($I4580=0,0,IF(INDEX(DarlOhneTilgung,10)=1,0,IF(AND(INDEX(DarlTilgStart,10)&gt;0,$E4580=INDEX(DarlTilgStart,10)),$J4580*($H4580+INDEX(DarlTilgung,10))/100/12,IF(AND($G4580=0,$G4579=1),MAX($K4579,$J4580*($H4580+1)/100/12),$K4579))))</f>
      </c>
      <c r="L4580" s="43">
        <f>IF($I4580=0,0,$J4580*$H4580/100/12)</f>
      </c>
      <c r="M4580" s="43">
        <f>IF($I4580=0,0,IF(OR(INDEX(DarlOhneTilgung,10)=1,AND(INDEX(DarlTilgStart,10)&gt;0,$E4580&lt;INDEX(DarlTilgStart,10))),0,MIN(MAX(0,$K4580-$L4580),$J4580)))</f>
      </c>
      <c r="N4580" s="43">
        <f>IF($I4580=0,0,MIN(SUMIFS(SondBetrag,SondDarl,10,SondDatum,"&gt;="&amp;$E4580,SondDatum,"&lt;="&amp;EOMONTH($E4580,0)),$J4580-$M4580))</f>
      </c>
      <c r="O4580" s="43">
        <f>IF($I4580=0,0,INDEX(DarlErsatzRate,10))</f>
      </c>
      <c r="P4580" s="43">
        <f>IF($I4580=0,0,$Q4579*INDEX(DarlErsatzZins,10))</f>
      </c>
      <c r="Q4580" s="43">
        <f>IF($I4580=0,0,$Q4579+$P4580+$O4580)</f>
      </c>
      <c r="R4580" s="43">
        <f>IF($I4580=0,0,$J4580-$M4580-$N4580)</f>
      </c>
    </row>
    <row r="4581">
      <c r="A4581"/>
      <c r="B4581">
        <v>10</v>
      </c>
      <c r="C4581" s="43">
        <f>INDEX(DarlObj,10)</f>
      </c>
      <c r="D4581">
        <v>258</v>
      </c>
      <c r="E4581" s="51">
        <f>IF(INDEX(DarlBelegt,10)=0,0,EOMONTH(INDEX(DarlAuszahlung,10),257)+1)</f>
      </c>
      <c r="F4581" s="43">
        <f>IF($E4581=0,0,YEAR($E4581))</f>
      </c>
      <c r="G4581" s="43">
        <f>IF(INDEX(DarlBindung,10)="",1,IF($E4581&lt;=INDEX(DarlBindung,10),1,0))</f>
      </c>
      <c r="H4581" s="43">
        <f>IF($G4581=1,INDEX(DarlSollzins,10),INDEX(DarlAnschluss,10))</f>
      </c>
      <c r="I4581" s="43">
        <f>IF(INDEX(DarlBelegt,10)=0,0,IF(INDEX(DarlOhneTilgung,10)=1,IF(INDEX(DarlBindung,10)="",1,$G4581),IF($J4581&gt;0.005,1,0)))</f>
      </c>
      <c r="J4581" s="43">
        <f>IF($I4580=0,0,$R4580)</f>
      </c>
      <c r="K4581" s="43">
        <f>IF($I4581=0,0,IF(INDEX(DarlOhneTilgung,10)=1,0,IF(AND(INDEX(DarlTilgStart,10)&gt;0,$E4581=INDEX(DarlTilgStart,10)),$J4581*($H4581+INDEX(DarlTilgung,10))/100/12,IF(AND($G4581=0,$G4580=1),MAX($K4580,$J4581*($H4581+1)/100/12),$K4580))))</f>
      </c>
      <c r="L4581" s="43">
        <f>IF($I4581=0,0,$J4581*$H4581/100/12)</f>
      </c>
      <c r="M4581" s="43">
        <f>IF($I4581=0,0,IF(OR(INDEX(DarlOhneTilgung,10)=1,AND(INDEX(DarlTilgStart,10)&gt;0,$E4581&lt;INDEX(DarlTilgStart,10))),0,MIN(MAX(0,$K4581-$L4581),$J4581)))</f>
      </c>
      <c r="N4581" s="43">
        <f>IF($I4581=0,0,MIN(SUMIFS(SondBetrag,SondDarl,10,SondDatum,"&gt;="&amp;$E4581,SondDatum,"&lt;="&amp;EOMONTH($E4581,0)),$J4581-$M4581))</f>
      </c>
      <c r="O4581" s="43">
        <f>IF($I4581=0,0,INDEX(DarlErsatzRate,10))</f>
      </c>
      <c r="P4581" s="43">
        <f>IF($I4581=0,0,$Q4580*INDEX(DarlErsatzZins,10))</f>
      </c>
      <c r="Q4581" s="43">
        <f>IF($I4581=0,0,$Q4580+$P4581+$O4581)</f>
      </c>
      <c r="R4581" s="43">
        <f>IF($I4581=0,0,$J4581-$M4581-$N4581)</f>
      </c>
    </row>
    <row r="4582">
      <c r="A4582"/>
      <c r="B4582">
        <v>10</v>
      </c>
      <c r="C4582" s="43">
        <f>INDEX(DarlObj,10)</f>
      </c>
      <c r="D4582">
        <v>259</v>
      </c>
      <c r="E4582" s="51">
        <f>IF(INDEX(DarlBelegt,10)=0,0,EOMONTH(INDEX(DarlAuszahlung,10),258)+1)</f>
      </c>
      <c r="F4582" s="43">
        <f>IF($E4582=0,0,YEAR($E4582))</f>
      </c>
      <c r="G4582" s="43">
        <f>IF(INDEX(DarlBindung,10)="",1,IF($E4582&lt;=INDEX(DarlBindung,10),1,0))</f>
      </c>
      <c r="H4582" s="43">
        <f>IF($G4582=1,INDEX(DarlSollzins,10),INDEX(DarlAnschluss,10))</f>
      </c>
      <c r="I4582" s="43">
        <f>IF(INDEX(DarlBelegt,10)=0,0,IF(INDEX(DarlOhneTilgung,10)=1,IF(INDEX(DarlBindung,10)="",1,$G4582),IF($J4582&gt;0.005,1,0)))</f>
      </c>
      <c r="J4582" s="43">
        <f>IF($I4581=0,0,$R4581)</f>
      </c>
      <c r="K4582" s="43">
        <f>IF($I4582=0,0,IF(INDEX(DarlOhneTilgung,10)=1,0,IF(AND(INDEX(DarlTilgStart,10)&gt;0,$E4582=INDEX(DarlTilgStart,10)),$J4582*($H4582+INDEX(DarlTilgung,10))/100/12,IF(AND($G4582=0,$G4581=1),MAX($K4581,$J4582*($H4582+1)/100/12),$K4581))))</f>
      </c>
      <c r="L4582" s="43">
        <f>IF($I4582=0,0,$J4582*$H4582/100/12)</f>
      </c>
      <c r="M4582" s="43">
        <f>IF($I4582=0,0,IF(OR(INDEX(DarlOhneTilgung,10)=1,AND(INDEX(DarlTilgStart,10)&gt;0,$E4582&lt;INDEX(DarlTilgStart,10))),0,MIN(MAX(0,$K4582-$L4582),$J4582)))</f>
      </c>
      <c r="N4582" s="43">
        <f>IF($I4582=0,0,MIN(SUMIFS(SondBetrag,SondDarl,10,SondDatum,"&gt;="&amp;$E4582,SondDatum,"&lt;="&amp;EOMONTH($E4582,0)),$J4582-$M4582))</f>
      </c>
      <c r="O4582" s="43">
        <f>IF($I4582=0,0,INDEX(DarlErsatzRate,10))</f>
      </c>
      <c r="P4582" s="43">
        <f>IF($I4582=0,0,$Q4581*INDEX(DarlErsatzZins,10))</f>
      </c>
      <c r="Q4582" s="43">
        <f>IF($I4582=0,0,$Q4581+$P4582+$O4582)</f>
      </c>
      <c r="R4582" s="43">
        <f>IF($I4582=0,0,$J4582-$M4582-$N4582)</f>
      </c>
    </row>
    <row r="4583">
      <c r="A4583"/>
      <c r="B4583">
        <v>10</v>
      </c>
      <c r="C4583" s="43">
        <f>INDEX(DarlObj,10)</f>
      </c>
      <c r="D4583">
        <v>260</v>
      </c>
      <c r="E4583" s="51">
        <f>IF(INDEX(DarlBelegt,10)=0,0,EOMONTH(INDEX(DarlAuszahlung,10),259)+1)</f>
      </c>
      <c r="F4583" s="43">
        <f>IF($E4583=0,0,YEAR($E4583))</f>
      </c>
      <c r="G4583" s="43">
        <f>IF(INDEX(DarlBindung,10)="",1,IF($E4583&lt;=INDEX(DarlBindung,10),1,0))</f>
      </c>
      <c r="H4583" s="43">
        <f>IF($G4583=1,INDEX(DarlSollzins,10),INDEX(DarlAnschluss,10))</f>
      </c>
      <c r="I4583" s="43">
        <f>IF(INDEX(DarlBelegt,10)=0,0,IF(INDEX(DarlOhneTilgung,10)=1,IF(INDEX(DarlBindung,10)="",1,$G4583),IF($J4583&gt;0.005,1,0)))</f>
      </c>
      <c r="J4583" s="43">
        <f>IF($I4582=0,0,$R4582)</f>
      </c>
      <c r="K4583" s="43">
        <f>IF($I4583=0,0,IF(INDEX(DarlOhneTilgung,10)=1,0,IF(AND(INDEX(DarlTilgStart,10)&gt;0,$E4583=INDEX(DarlTilgStart,10)),$J4583*($H4583+INDEX(DarlTilgung,10))/100/12,IF(AND($G4583=0,$G4582=1),MAX($K4582,$J4583*($H4583+1)/100/12),$K4582))))</f>
      </c>
      <c r="L4583" s="43">
        <f>IF($I4583=0,0,$J4583*$H4583/100/12)</f>
      </c>
      <c r="M4583" s="43">
        <f>IF($I4583=0,0,IF(OR(INDEX(DarlOhneTilgung,10)=1,AND(INDEX(DarlTilgStart,10)&gt;0,$E4583&lt;INDEX(DarlTilgStart,10))),0,MIN(MAX(0,$K4583-$L4583),$J4583)))</f>
      </c>
      <c r="N4583" s="43">
        <f>IF($I4583=0,0,MIN(SUMIFS(SondBetrag,SondDarl,10,SondDatum,"&gt;="&amp;$E4583,SondDatum,"&lt;="&amp;EOMONTH($E4583,0)),$J4583-$M4583))</f>
      </c>
      <c r="O4583" s="43">
        <f>IF($I4583=0,0,INDEX(DarlErsatzRate,10))</f>
      </c>
      <c r="P4583" s="43">
        <f>IF($I4583=0,0,$Q4582*INDEX(DarlErsatzZins,10))</f>
      </c>
      <c r="Q4583" s="43">
        <f>IF($I4583=0,0,$Q4582+$P4583+$O4583)</f>
      </c>
      <c r="R4583" s="43">
        <f>IF($I4583=0,0,$J4583-$M4583-$N4583)</f>
      </c>
    </row>
    <row r="4584">
      <c r="A4584"/>
      <c r="B4584">
        <v>10</v>
      </c>
      <c r="C4584" s="43">
        <f>INDEX(DarlObj,10)</f>
      </c>
      <c r="D4584">
        <v>261</v>
      </c>
      <c r="E4584" s="51">
        <f>IF(INDEX(DarlBelegt,10)=0,0,EOMONTH(INDEX(DarlAuszahlung,10),260)+1)</f>
      </c>
      <c r="F4584" s="43">
        <f>IF($E4584=0,0,YEAR($E4584))</f>
      </c>
      <c r="G4584" s="43">
        <f>IF(INDEX(DarlBindung,10)="",1,IF($E4584&lt;=INDEX(DarlBindung,10),1,0))</f>
      </c>
      <c r="H4584" s="43">
        <f>IF($G4584=1,INDEX(DarlSollzins,10),INDEX(DarlAnschluss,10))</f>
      </c>
      <c r="I4584" s="43">
        <f>IF(INDEX(DarlBelegt,10)=0,0,IF(INDEX(DarlOhneTilgung,10)=1,IF(INDEX(DarlBindung,10)="",1,$G4584),IF($J4584&gt;0.005,1,0)))</f>
      </c>
      <c r="J4584" s="43">
        <f>IF($I4583=0,0,$R4583)</f>
      </c>
      <c r="K4584" s="43">
        <f>IF($I4584=0,0,IF(INDEX(DarlOhneTilgung,10)=1,0,IF(AND(INDEX(DarlTilgStart,10)&gt;0,$E4584=INDEX(DarlTilgStart,10)),$J4584*($H4584+INDEX(DarlTilgung,10))/100/12,IF(AND($G4584=0,$G4583=1),MAX($K4583,$J4584*($H4584+1)/100/12),$K4583))))</f>
      </c>
      <c r="L4584" s="43">
        <f>IF($I4584=0,0,$J4584*$H4584/100/12)</f>
      </c>
      <c r="M4584" s="43">
        <f>IF($I4584=0,0,IF(OR(INDEX(DarlOhneTilgung,10)=1,AND(INDEX(DarlTilgStart,10)&gt;0,$E4584&lt;INDEX(DarlTilgStart,10))),0,MIN(MAX(0,$K4584-$L4584),$J4584)))</f>
      </c>
      <c r="N4584" s="43">
        <f>IF($I4584=0,0,MIN(SUMIFS(SondBetrag,SondDarl,10,SondDatum,"&gt;="&amp;$E4584,SondDatum,"&lt;="&amp;EOMONTH($E4584,0)),$J4584-$M4584))</f>
      </c>
      <c r="O4584" s="43">
        <f>IF($I4584=0,0,INDEX(DarlErsatzRate,10))</f>
      </c>
      <c r="P4584" s="43">
        <f>IF($I4584=0,0,$Q4583*INDEX(DarlErsatzZins,10))</f>
      </c>
      <c r="Q4584" s="43">
        <f>IF($I4584=0,0,$Q4583+$P4584+$O4584)</f>
      </c>
      <c r="R4584" s="43">
        <f>IF($I4584=0,0,$J4584-$M4584-$N4584)</f>
      </c>
    </row>
    <row r="4585">
      <c r="A4585"/>
      <c r="B4585">
        <v>10</v>
      </c>
      <c r="C4585" s="43">
        <f>INDEX(DarlObj,10)</f>
      </c>
      <c r="D4585">
        <v>262</v>
      </c>
      <c r="E4585" s="51">
        <f>IF(INDEX(DarlBelegt,10)=0,0,EOMONTH(INDEX(DarlAuszahlung,10),261)+1)</f>
      </c>
      <c r="F4585" s="43">
        <f>IF($E4585=0,0,YEAR($E4585))</f>
      </c>
      <c r="G4585" s="43">
        <f>IF(INDEX(DarlBindung,10)="",1,IF($E4585&lt;=INDEX(DarlBindung,10),1,0))</f>
      </c>
      <c r="H4585" s="43">
        <f>IF($G4585=1,INDEX(DarlSollzins,10),INDEX(DarlAnschluss,10))</f>
      </c>
      <c r="I4585" s="43">
        <f>IF(INDEX(DarlBelegt,10)=0,0,IF(INDEX(DarlOhneTilgung,10)=1,IF(INDEX(DarlBindung,10)="",1,$G4585),IF($J4585&gt;0.005,1,0)))</f>
      </c>
      <c r="J4585" s="43">
        <f>IF($I4584=0,0,$R4584)</f>
      </c>
      <c r="K4585" s="43">
        <f>IF($I4585=0,0,IF(INDEX(DarlOhneTilgung,10)=1,0,IF(AND(INDEX(DarlTilgStart,10)&gt;0,$E4585=INDEX(DarlTilgStart,10)),$J4585*($H4585+INDEX(DarlTilgung,10))/100/12,IF(AND($G4585=0,$G4584=1),MAX($K4584,$J4585*($H4585+1)/100/12),$K4584))))</f>
      </c>
      <c r="L4585" s="43">
        <f>IF($I4585=0,0,$J4585*$H4585/100/12)</f>
      </c>
      <c r="M4585" s="43">
        <f>IF($I4585=0,0,IF(OR(INDEX(DarlOhneTilgung,10)=1,AND(INDEX(DarlTilgStart,10)&gt;0,$E4585&lt;INDEX(DarlTilgStart,10))),0,MIN(MAX(0,$K4585-$L4585),$J4585)))</f>
      </c>
      <c r="N4585" s="43">
        <f>IF($I4585=0,0,MIN(SUMIFS(SondBetrag,SondDarl,10,SondDatum,"&gt;="&amp;$E4585,SondDatum,"&lt;="&amp;EOMONTH($E4585,0)),$J4585-$M4585))</f>
      </c>
      <c r="O4585" s="43">
        <f>IF($I4585=0,0,INDEX(DarlErsatzRate,10))</f>
      </c>
      <c r="P4585" s="43">
        <f>IF($I4585=0,0,$Q4584*INDEX(DarlErsatzZins,10))</f>
      </c>
      <c r="Q4585" s="43">
        <f>IF($I4585=0,0,$Q4584+$P4585+$O4585)</f>
      </c>
      <c r="R4585" s="43">
        <f>IF($I4585=0,0,$J4585-$M4585-$N4585)</f>
      </c>
    </row>
    <row r="4586">
      <c r="A4586"/>
      <c r="B4586">
        <v>10</v>
      </c>
      <c r="C4586" s="43">
        <f>INDEX(DarlObj,10)</f>
      </c>
      <c r="D4586">
        <v>263</v>
      </c>
      <c r="E4586" s="51">
        <f>IF(INDEX(DarlBelegt,10)=0,0,EOMONTH(INDEX(DarlAuszahlung,10),262)+1)</f>
      </c>
      <c r="F4586" s="43">
        <f>IF($E4586=0,0,YEAR($E4586))</f>
      </c>
      <c r="G4586" s="43">
        <f>IF(INDEX(DarlBindung,10)="",1,IF($E4586&lt;=INDEX(DarlBindung,10),1,0))</f>
      </c>
      <c r="H4586" s="43">
        <f>IF($G4586=1,INDEX(DarlSollzins,10),INDEX(DarlAnschluss,10))</f>
      </c>
      <c r="I4586" s="43">
        <f>IF(INDEX(DarlBelegt,10)=0,0,IF(INDEX(DarlOhneTilgung,10)=1,IF(INDEX(DarlBindung,10)="",1,$G4586),IF($J4586&gt;0.005,1,0)))</f>
      </c>
      <c r="J4586" s="43">
        <f>IF($I4585=0,0,$R4585)</f>
      </c>
      <c r="K4586" s="43">
        <f>IF($I4586=0,0,IF(INDEX(DarlOhneTilgung,10)=1,0,IF(AND(INDEX(DarlTilgStart,10)&gt;0,$E4586=INDEX(DarlTilgStart,10)),$J4586*($H4586+INDEX(DarlTilgung,10))/100/12,IF(AND($G4586=0,$G4585=1),MAX($K4585,$J4586*($H4586+1)/100/12),$K4585))))</f>
      </c>
      <c r="L4586" s="43">
        <f>IF($I4586=0,0,$J4586*$H4586/100/12)</f>
      </c>
      <c r="M4586" s="43">
        <f>IF($I4586=0,0,IF(OR(INDEX(DarlOhneTilgung,10)=1,AND(INDEX(DarlTilgStart,10)&gt;0,$E4586&lt;INDEX(DarlTilgStart,10))),0,MIN(MAX(0,$K4586-$L4586),$J4586)))</f>
      </c>
      <c r="N4586" s="43">
        <f>IF($I4586=0,0,MIN(SUMIFS(SondBetrag,SondDarl,10,SondDatum,"&gt;="&amp;$E4586,SondDatum,"&lt;="&amp;EOMONTH($E4586,0)),$J4586-$M4586))</f>
      </c>
      <c r="O4586" s="43">
        <f>IF($I4586=0,0,INDEX(DarlErsatzRate,10))</f>
      </c>
      <c r="P4586" s="43">
        <f>IF($I4586=0,0,$Q4585*INDEX(DarlErsatzZins,10))</f>
      </c>
      <c r="Q4586" s="43">
        <f>IF($I4586=0,0,$Q4585+$P4586+$O4586)</f>
      </c>
      <c r="R4586" s="43">
        <f>IF($I4586=0,0,$J4586-$M4586-$N4586)</f>
      </c>
    </row>
    <row r="4587">
      <c r="A4587"/>
      <c r="B4587">
        <v>10</v>
      </c>
      <c r="C4587" s="43">
        <f>INDEX(DarlObj,10)</f>
      </c>
      <c r="D4587">
        <v>264</v>
      </c>
      <c r="E4587" s="51">
        <f>IF(INDEX(DarlBelegt,10)=0,0,EOMONTH(INDEX(DarlAuszahlung,10),263)+1)</f>
      </c>
      <c r="F4587" s="43">
        <f>IF($E4587=0,0,YEAR($E4587))</f>
      </c>
      <c r="G4587" s="43">
        <f>IF(INDEX(DarlBindung,10)="",1,IF($E4587&lt;=INDEX(DarlBindung,10),1,0))</f>
      </c>
      <c r="H4587" s="43">
        <f>IF($G4587=1,INDEX(DarlSollzins,10),INDEX(DarlAnschluss,10))</f>
      </c>
      <c r="I4587" s="43">
        <f>IF(INDEX(DarlBelegt,10)=0,0,IF(INDEX(DarlOhneTilgung,10)=1,IF(INDEX(DarlBindung,10)="",1,$G4587),IF($J4587&gt;0.005,1,0)))</f>
      </c>
      <c r="J4587" s="43">
        <f>IF($I4586=0,0,$R4586)</f>
      </c>
      <c r="K4587" s="43">
        <f>IF($I4587=0,0,IF(INDEX(DarlOhneTilgung,10)=1,0,IF(AND(INDEX(DarlTilgStart,10)&gt;0,$E4587=INDEX(DarlTilgStart,10)),$J4587*($H4587+INDEX(DarlTilgung,10))/100/12,IF(AND($G4587=0,$G4586=1),MAX($K4586,$J4587*($H4587+1)/100/12),$K4586))))</f>
      </c>
      <c r="L4587" s="43">
        <f>IF($I4587=0,0,$J4587*$H4587/100/12)</f>
      </c>
      <c r="M4587" s="43">
        <f>IF($I4587=0,0,IF(OR(INDEX(DarlOhneTilgung,10)=1,AND(INDEX(DarlTilgStart,10)&gt;0,$E4587&lt;INDEX(DarlTilgStart,10))),0,MIN(MAX(0,$K4587-$L4587),$J4587)))</f>
      </c>
      <c r="N4587" s="43">
        <f>IF($I4587=0,0,MIN(SUMIFS(SondBetrag,SondDarl,10,SondDatum,"&gt;="&amp;$E4587,SondDatum,"&lt;="&amp;EOMONTH($E4587,0)),$J4587-$M4587))</f>
      </c>
      <c r="O4587" s="43">
        <f>IF($I4587=0,0,INDEX(DarlErsatzRate,10))</f>
      </c>
      <c r="P4587" s="43">
        <f>IF($I4587=0,0,$Q4586*INDEX(DarlErsatzZins,10))</f>
      </c>
      <c r="Q4587" s="43">
        <f>IF($I4587=0,0,$Q4586+$P4587+$O4587)</f>
      </c>
      <c r="R4587" s="43">
        <f>IF($I4587=0,0,$J4587-$M4587-$N4587)</f>
      </c>
    </row>
    <row r="4588">
      <c r="A4588"/>
      <c r="B4588">
        <v>10</v>
      </c>
      <c r="C4588" s="43">
        <f>INDEX(DarlObj,10)</f>
      </c>
      <c r="D4588">
        <v>265</v>
      </c>
      <c r="E4588" s="51">
        <f>IF(INDEX(DarlBelegt,10)=0,0,EOMONTH(INDEX(DarlAuszahlung,10),264)+1)</f>
      </c>
      <c r="F4588" s="43">
        <f>IF($E4588=0,0,YEAR($E4588))</f>
      </c>
      <c r="G4588" s="43">
        <f>IF(INDEX(DarlBindung,10)="",1,IF($E4588&lt;=INDEX(DarlBindung,10),1,0))</f>
      </c>
      <c r="H4588" s="43">
        <f>IF($G4588=1,INDEX(DarlSollzins,10),INDEX(DarlAnschluss,10))</f>
      </c>
      <c r="I4588" s="43">
        <f>IF(INDEX(DarlBelegt,10)=0,0,IF(INDEX(DarlOhneTilgung,10)=1,IF(INDEX(DarlBindung,10)="",1,$G4588),IF($J4588&gt;0.005,1,0)))</f>
      </c>
      <c r="J4588" s="43">
        <f>IF($I4587=0,0,$R4587)</f>
      </c>
      <c r="K4588" s="43">
        <f>IF($I4588=0,0,IF(INDEX(DarlOhneTilgung,10)=1,0,IF(AND(INDEX(DarlTilgStart,10)&gt;0,$E4588=INDEX(DarlTilgStart,10)),$J4588*($H4588+INDEX(DarlTilgung,10))/100/12,IF(AND($G4588=0,$G4587=1),MAX($K4587,$J4588*($H4588+1)/100/12),$K4587))))</f>
      </c>
      <c r="L4588" s="43">
        <f>IF($I4588=0,0,$J4588*$H4588/100/12)</f>
      </c>
      <c r="M4588" s="43">
        <f>IF($I4588=0,0,IF(OR(INDEX(DarlOhneTilgung,10)=1,AND(INDEX(DarlTilgStart,10)&gt;0,$E4588&lt;INDEX(DarlTilgStart,10))),0,MIN(MAX(0,$K4588-$L4588),$J4588)))</f>
      </c>
      <c r="N4588" s="43">
        <f>IF($I4588=0,0,MIN(SUMIFS(SondBetrag,SondDarl,10,SondDatum,"&gt;="&amp;$E4588,SondDatum,"&lt;="&amp;EOMONTH($E4588,0)),$J4588-$M4588))</f>
      </c>
      <c r="O4588" s="43">
        <f>IF($I4588=0,0,INDEX(DarlErsatzRate,10))</f>
      </c>
      <c r="P4588" s="43">
        <f>IF($I4588=0,0,$Q4587*INDEX(DarlErsatzZins,10))</f>
      </c>
      <c r="Q4588" s="43">
        <f>IF($I4588=0,0,$Q4587+$P4588+$O4588)</f>
      </c>
      <c r="R4588" s="43">
        <f>IF($I4588=0,0,$J4588-$M4588-$N4588)</f>
      </c>
    </row>
    <row r="4589">
      <c r="A4589"/>
      <c r="B4589">
        <v>10</v>
      </c>
      <c r="C4589" s="43">
        <f>INDEX(DarlObj,10)</f>
      </c>
      <c r="D4589">
        <v>266</v>
      </c>
      <c r="E4589" s="51">
        <f>IF(INDEX(DarlBelegt,10)=0,0,EOMONTH(INDEX(DarlAuszahlung,10),265)+1)</f>
      </c>
      <c r="F4589" s="43">
        <f>IF($E4589=0,0,YEAR($E4589))</f>
      </c>
      <c r="G4589" s="43">
        <f>IF(INDEX(DarlBindung,10)="",1,IF($E4589&lt;=INDEX(DarlBindung,10),1,0))</f>
      </c>
      <c r="H4589" s="43">
        <f>IF($G4589=1,INDEX(DarlSollzins,10),INDEX(DarlAnschluss,10))</f>
      </c>
      <c r="I4589" s="43">
        <f>IF(INDEX(DarlBelegt,10)=0,0,IF(INDEX(DarlOhneTilgung,10)=1,IF(INDEX(DarlBindung,10)="",1,$G4589),IF($J4589&gt;0.005,1,0)))</f>
      </c>
      <c r="J4589" s="43">
        <f>IF($I4588=0,0,$R4588)</f>
      </c>
      <c r="K4589" s="43">
        <f>IF($I4589=0,0,IF(INDEX(DarlOhneTilgung,10)=1,0,IF(AND(INDEX(DarlTilgStart,10)&gt;0,$E4589=INDEX(DarlTilgStart,10)),$J4589*($H4589+INDEX(DarlTilgung,10))/100/12,IF(AND($G4589=0,$G4588=1),MAX($K4588,$J4589*($H4589+1)/100/12),$K4588))))</f>
      </c>
      <c r="L4589" s="43">
        <f>IF($I4589=0,0,$J4589*$H4589/100/12)</f>
      </c>
      <c r="M4589" s="43">
        <f>IF($I4589=0,0,IF(OR(INDEX(DarlOhneTilgung,10)=1,AND(INDEX(DarlTilgStart,10)&gt;0,$E4589&lt;INDEX(DarlTilgStart,10))),0,MIN(MAX(0,$K4589-$L4589),$J4589)))</f>
      </c>
      <c r="N4589" s="43">
        <f>IF($I4589=0,0,MIN(SUMIFS(SondBetrag,SondDarl,10,SondDatum,"&gt;="&amp;$E4589,SondDatum,"&lt;="&amp;EOMONTH($E4589,0)),$J4589-$M4589))</f>
      </c>
      <c r="O4589" s="43">
        <f>IF($I4589=0,0,INDEX(DarlErsatzRate,10))</f>
      </c>
      <c r="P4589" s="43">
        <f>IF($I4589=0,0,$Q4588*INDEX(DarlErsatzZins,10))</f>
      </c>
      <c r="Q4589" s="43">
        <f>IF($I4589=0,0,$Q4588+$P4589+$O4589)</f>
      </c>
      <c r="R4589" s="43">
        <f>IF($I4589=0,0,$J4589-$M4589-$N4589)</f>
      </c>
    </row>
    <row r="4590">
      <c r="A4590"/>
      <c r="B4590">
        <v>10</v>
      </c>
      <c r="C4590" s="43">
        <f>INDEX(DarlObj,10)</f>
      </c>
      <c r="D4590">
        <v>267</v>
      </c>
      <c r="E4590" s="51">
        <f>IF(INDEX(DarlBelegt,10)=0,0,EOMONTH(INDEX(DarlAuszahlung,10),266)+1)</f>
      </c>
      <c r="F4590" s="43">
        <f>IF($E4590=0,0,YEAR($E4590))</f>
      </c>
      <c r="G4590" s="43">
        <f>IF(INDEX(DarlBindung,10)="",1,IF($E4590&lt;=INDEX(DarlBindung,10),1,0))</f>
      </c>
      <c r="H4590" s="43">
        <f>IF($G4590=1,INDEX(DarlSollzins,10),INDEX(DarlAnschluss,10))</f>
      </c>
      <c r="I4590" s="43">
        <f>IF(INDEX(DarlBelegt,10)=0,0,IF(INDEX(DarlOhneTilgung,10)=1,IF(INDEX(DarlBindung,10)="",1,$G4590),IF($J4590&gt;0.005,1,0)))</f>
      </c>
      <c r="J4590" s="43">
        <f>IF($I4589=0,0,$R4589)</f>
      </c>
      <c r="K4590" s="43">
        <f>IF($I4590=0,0,IF(INDEX(DarlOhneTilgung,10)=1,0,IF(AND(INDEX(DarlTilgStart,10)&gt;0,$E4590=INDEX(DarlTilgStart,10)),$J4590*($H4590+INDEX(DarlTilgung,10))/100/12,IF(AND($G4590=0,$G4589=1),MAX($K4589,$J4590*($H4590+1)/100/12),$K4589))))</f>
      </c>
      <c r="L4590" s="43">
        <f>IF($I4590=0,0,$J4590*$H4590/100/12)</f>
      </c>
      <c r="M4590" s="43">
        <f>IF($I4590=0,0,IF(OR(INDEX(DarlOhneTilgung,10)=1,AND(INDEX(DarlTilgStart,10)&gt;0,$E4590&lt;INDEX(DarlTilgStart,10))),0,MIN(MAX(0,$K4590-$L4590),$J4590)))</f>
      </c>
      <c r="N4590" s="43">
        <f>IF($I4590=0,0,MIN(SUMIFS(SondBetrag,SondDarl,10,SondDatum,"&gt;="&amp;$E4590,SondDatum,"&lt;="&amp;EOMONTH($E4590,0)),$J4590-$M4590))</f>
      </c>
      <c r="O4590" s="43">
        <f>IF($I4590=0,0,INDEX(DarlErsatzRate,10))</f>
      </c>
      <c r="P4590" s="43">
        <f>IF($I4590=0,0,$Q4589*INDEX(DarlErsatzZins,10))</f>
      </c>
      <c r="Q4590" s="43">
        <f>IF($I4590=0,0,$Q4589+$P4590+$O4590)</f>
      </c>
      <c r="R4590" s="43">
        <f>IF($I4590=0,0,$J4590-$M4590-$N4590)</f>
      </c>
    </row>
    <row r="4591">
      <c r="A4591"/>
      <c r="B4591">
        <v>10</v>
      </c>
      <c r="C4591" s="43">
        <f>INDEX(DarlObj,10)</f>
      </c>
      <c r="D4591">
        <v>268</v>
      </c>
      <c r="E4591" s="51">
        <f>IF(INDEX(DarlBelegt,10)=0,0,EOMONTH(INDEX(DarlAuszahlung,10),267)+1)</f>
      </c>
      <c r="F4591" s="43">
        <f>IF($E4591=0,0,YEAR($E4591))</f>
      </c>
      <c r="G4591" s="43">
        <f>IF(INDEX(DarlBindung,10)="",1,IF($E4591&lt;=INDEX(DarlBindung,10),1,0))</f>
      </c>
      <c r="H4591" s="43">
        <f>IF($G4591=1,INDEX(DarlSollzins,10),INDEX(DarlAnschluss,10))</f>
      </c>
      <c r="I4591" s="43">
        <f>IF(INDEX(DarlBelegt,10)=0,0,IF(INDEX(DarlOhneTilgung,10)=1,IF(INDEX(DarlBindung,10)="",1,$G4591),IF($J4591&gt;0.005,1,0)))</f>
      </c>
      <c r="J4591" s="43">
        <f>IF($I4590=0,0,$R4590)</f>
      </c>
      <c r="K4591" s="43">
        <f>IF($I4591=0,0,IF(INDEX(DarlOhneTilgung,10)=1,0,IF(AND(INDEX(DarlTilgStart,10)&gt;0,$E4591=INDEX(DarlTilgStart,10)),$J4591*($H4591+INDEX(DarlTilgung,10))/100/12,IF(AND($G4591=0,$G4590=1),MAX($K4590,$J4591*($H4591+1)/100/12),$K4590))))</f>
      </c>
      <c r="L4591" s="43">
        <f>IF($I4591=0,0,$J4591*$H4591/100/12)</f>
      </c>
      <c r="M4591" s="43">
        <f>IF($I4591=0,0,IF(OR(INDEX(DarlOhneTilgung,10)=1,AND(INDEX(DarlTilgStart,10)&gt;0,$E4591&lt;INDEX(DarlTilgStart,10))),0,MIN(MAX(0,$K4591-$L4591),$J4591)))</f>
      </c>
      <c r="N4591" s="43">
        <f>IF($I4591=0,0,MIN(SUMIFS(SondBetrag,SondDarl,10,SondDatum,"&gt;="&amp;$E4591,SondDatum,"&lt;="&amp;EOMONTH($E4591,0)),$J4591-$M4591))</f>
      </c>
      <c r="O4591" s="43">
        <f>IF($I4591=0,0,INDEX(DarlErsatzRate,10))</f>
      </c>
      <c r="P4591" s="43">
        <f>IF($I4591=0,0,$Q4590*INDEX(DarlErsatzZins,10))</f>
      </c>
      <c r="Q4591" s="43">
        <f>IF($I4591=0,0,$Q4590+$P4591+$O4591)</f>
      </c>
      <c r="R4591" s="43">
        <f>IF($I4591=0,0,$J4591-$M4591-$N4591)</f>
      </c>
    </row>
    <row r="4592">
      <c r="A4592"/>
      <c r="B4592">
        <v>10</v>
      </c>
      <c r="C4592" s="43">
        <f>INDEX(DarlObj,10)</f>
      </c>
      <c r="D4592">
        <v>269</v>
      </c>
      <c r="E4592" s="51">
        <f>IF(INDEX(DarlBelegt,10)=0,0,EOMONTH(INDEX(DarlAuszahlung,10),268)+1)</f>
      </c>
      <c r="F4592" s="43">
        <f>IF($E4592=0,0,YEAR($E4592))</f>
      </c>
      <c r="G4592" s="43">
        <f>IF(INDEX(DarlBindung,10)="",1,IF($E4592&lt;=INDEX(DarlBindung,10),1,0))</f>
      </c>
      <c r="H4592" s="43">
        <f>IF($G4592=1,INDEX(DarlSollzins,10),INDEX(DarlAnschluss,10))</f>
      </c>
      <c r="I4592" s="43">
        <f>IF(INDEX(DarlBelegt,10)=0,0,IF(INDEX(DarlOhneTilgung,10)=1,IF(INDEX(DarlBindung,10)="",1,$G4592),IF($J4592&gt;0.005,1,0)))</f>
      </c>
      <c r="J4592" s="43">
        <f>IF($I4591=0,0,$R4591)</f>
      </c>
      <c r="K4592" s="43">
        <f>IF($I4592=0,0,IF(INDEX(DarlOhneTilgung,10)=1,0,IF(AND(INDEX(DarlTilgStart,10)&gt;0,$E4592=INDEX(DarlTilgStart,10)),$J4592*($H4592+INDEX(DarlTilgung,10))/100/12,IF(AND($G4592=0,$G4591=1),MAX($K4591,$J4592*($H4592+1)/100/12),$K4591))))</f>
      </c>
      <c r="L4592" s="43">
        <f>IF($I4592=0,0,$J4592*$H4592/100/12)</f>
      </c>
      <c r="M4592" s="43">
        <f>IF($I4592=0,0,IF(OR(INDEX(DarlOhneTilgung,10)=1,AND(INDEX(DarlTilgStart,10)&gt;0,$E4592&lt;INDEX(DarlTilgStart,10))),0,MIN(MAX(0,$K4592-$L4592),$J4592)))</f>
      </c>
      <c r="N4592" s="43">
        <f>IF($I4592=0,0,MIN(SUMIFS(SondBetrag,SondDarl,10,SondDatum,"&gt;="&amp;$E4592,SondDatum,"&lt;="&amp;EOMONTH($E4592,0)),$J4592-$M4592))</f>
      </c>
      <c r="O4592" s="43">
        <f>IF($I4592=0,0,INDEX(DarlErsatzRate,10))</f>
      </c>
      <c r="P4592" s="43">
        <f>IF($I4592=0,0,$Q4591*INDEX(DarlErsatzZins,10))</f>
      </c>
      <c r="Q4592" s="43">
        <f>IF($I4592=0,0,$Q4591+$P4592+$O4592)</f>
      </c>
      <c r="R4592" s="43">
        <f>IF($I4592=0,0,$J4592-$M4592-$N4592)</f>
      </c>
    </row>
    <row r="4593">
      <c r="A4593"/>
      <c r="B4593">
        <v>10</v>
      </c>
      <c r="C4593" s="43">
        <f>INDEX(DarlObj,10)</f>
      </c>
      <c r="D4593">
        <v>270</v>
      </c>
      <c r="E4593" s="51">
        <f>IF(INDEX(DarlBelegt,10)=0,0,EOMONTH(INDEX(DarlAuszahlung,10),269)+1)</f>
      </c>
      <c r="F4593" s="43">
        <f>IF($E4593=0,0,YEAR($E4593))</f>
      </c>
      <c r="G4593" s="43">
        <f>IF(INDEX(DarlBindung,10)="",1,IF($E4593&lt;=INDEX(DarlBindung,10),1,0))</f>
      </c>
      <c r="H4593" s="43">
        <f>IF($G4593=1,INDEX(DarlSollzins,10),INDEX(DarlAnschluss,10))</f>
      </c>
      <c r="I4593" s="43">
        <f>IF(INDEX(DarlBelegt,10)=0,0,IF(INDEX(DarlOhneTilgung,10)=1,IF(INDEX(DarlBindung,10)="",1,$G4593),IF($J4593&gt;0.005,1,0)))</f>
      </c>
      <c r="J4593" s="43">
        <f>IF($I4592=0,0,$R4592)</f>
      </c>
      <c r="K4593" s="43">
        <f>IF($I4593=0,0,IF(INDEX(DarlOhneTilgung,10)=1,0,IF(AND(INDEX(DarlTilgStart,10)&gt;0,$E4593=INDEX(DarlTilgStart,10)),$J4593*($H4593+INDEX(DarlTilgung,10))/100/12,IF(AND($G4593=0,$G4592=1),MAX($K4592,$J4593*($H4593+1)/100/12),$K4592))))</f>
      </c>
      <c r="L4593" s="43">
        <f>IF($I4593=0,0,$J4593*$H4593/100/12)</f>
      </c>
      <c r="M4593" s="43">
        <f>IF($I4593=0,0,IF(OR(INDEX(DarlOhneTilgung,10)=1,AND(INDEX(DarlTilgStart,10)&gt;0,$E4593&lt;INDEX(DarlTilgStart,10))),0,MIN(MAX(0,$K4593-$L4593),$J4593)))</f>
      </c>
      <c r="N4593" s="43">
        <f>IF($I4593=0,0,MIN(SUMIFS(SondBetrag,SondDarl,10,SondDatum,"&gt;="&amp;$E4593,SondDatum,"&lt;="&amp;EOMONTH($E4593,0)),$J4593-$M4593))</f>
      </c>
      <c r="O4593" s="43">
        <f>IF($I4593=0,0,INDEX(DarlErsatzRate,10))</f>
      </c>
      <c r="P4593" s="43">
        <f>IF($I4593=0,0,$Q4592*INDEX(DarlErsatzZins,10))</f>
      </c>
      <c r="Q4593" s="43">
        <f>IF($I4593=0,0,$Q4592+$P4593+$O4593)</f>
      </c>
      <c r="R4593" s="43">
        <f>IF($I4593=0,0,$J4593-$M4593-$N4593)</f>
      </c>
    </row>
    <row r="4594">
      <c r="A4594"/>
      <c r="B4594">
        <v>10</v>
      </c>
      <c r="C4594" s="43">
        <f>INDEX(DarlObj,10)</f>
      </c>
      <c r="D4594">
        <v>271</v>
      </c>
      <c r="E4594" s="51">
        <f>IF(INDEX(DarlBelegt,10)=0,0,EOMONTH(INDEX(DarlAuszahlung,10),270)+1)</f>
      </c>
      <c r="F4594" s="43">
        <f>IF($E4594=0,0,YEAR($E4594))</f>
      </c>
      <c r="G4594" s="43">
        <f>IF(INDEX(DarlBindung,10)="",1,IF($E4594&lt;=INDEX(DarlBindung,10),1,0))</f>
      </c>
      <c r="H4594" s="43">
        <f>IF($G4594=1,INDEX(DarlSollzins,10),INDEX(DarlAnschluss,10))</f>
      </c>
      <c r="I4594" s="43">
        <f>IF(INDEX(DarlBelegt,10)=0,0,IF(INDEX(DarlOhneTilgung,10)=1,IF(INDEX(DarlBindung,10)="",1,$G4594),IF($J4594&gt;0.005,1,0)))</f>
      </c>
      <c r="J4594" s="43">
        <f>IF($I4593=0,0,$R4593)</f>
      </c>
      <c r="K4594" s="43">
        <f>IF($I4594=0,0,IF(INDEX(DarlOhneTilgung,10)=1,0,IF(AND(INDEX(DarlTilgStart,10)&gt;0,$E4594=INDEX(DarlTilgStart,10)),$J4594*($H4594+INDEX(DarlTilgung,10))/100/12,IF(AND($G4594=0,$G4593=1),MAX($K4593,$J4594*($H4594+1)/100/12),$K4593))))</f>
      </c>
      <c r="L4594" s="43">
        <f>IF($I4594=0,0,$J4594*$H4594/100/12)</f>
      </c>
      <c r="M4594" s="43">
        <f>IF($I4594=0,0,IF(OR(INDEX(DarlOhneTilgung,10)=1,AND(INDEX(DarlTilgStart,10)&gt;0,$E4594&lt;INDEX(DarlTilgStart,10))),0,MIN(MAX(0,$K4594-$L4594),$J4594)))</f>
      </c>
      <c r="N4594" s="43">
        <f>IF($I4594=0,0,MIN(SUMIFS(SondBetrag,SondDarl,10,SondDatum,"&gt;="&amp;$E4594,SondDatum,"&lt;="&amp;EOMONTH($E4594,0)),$J4594-$M4594))</f>
      </c>
      <c r="O4594" s="43">
        <f>IF($I4594=0,0,INDEX(DarlErsatzRate,10))</f>
      </c>
      <c r="P4594" s="43">
        <f>IF($I4594=0,0,$Q4593*INDEX(DarlErsatzZins,10))</f>
      </c>
      <c r="Q4594" s="43">
        <f>IF($I4594=0,0,$Q4593+$P4594+$O4594)</f>
      </c>
      <c r="R4594" s="43">
        <f>IF($I4594=0,0,$J4594-$M4594-$N4594)</f>
      </c>
    </row>
    <row r="4595">
      <c r="A4595"/>
      <c r="B4595">
        <v>10</v>
      </c>
      <c r="C4595" s="43">
        <f>INDEX(DarlObj,10)</f>
      </c>
      <c r="D4595">
        <v>272</v>
      </c>
      <c r="E4595" s="51">
        <f>IF(INDEX(DarlBelegt,10)=0,0,EOMONTH(INDEX(DarlAuszahlung,10),271)+1)</f>
      </c>
      <c r="F4595" s="43">
        <f>IF($E4595=0,0,YEAR($E4595))</f>
      </c>
      <c r="G4595" s="43">
        <f>IF(INDEX(DarlBindung,10)="",1,IF($E4595&lt;=INDEX(DarlBindung,10),1,0))</f>
      </c>
      <c r="H4595" s="43">
        <f>IF($G4595=1,INDEX(DarlSollzins,10),INDEX(DarlAnschluss,10))</f>
      </c>
      <c r="I4595" s="43">
        <f>IF(INDEX(DarlBelegt,10)=0,0,IF(INDEX(DarlOhneTilgung,10)=1,IF(INDEX(DarlBindung,10)="",1,$G4595),IF($J4595&gt;0.005,1,0)))</f>
      </c>
      <c r="J4595" s="43">
        <f>IF($I4594=0,0,$R4594)</f>
      </c>
      <c r="K4595" s="43">
        <f>IF($I4595=0,0,IF(INDEX(DarlOhneTilgung,10)=1,0,IF(AND(INDEX(DarlTilgStart,10)&gt;0,$E4595=INDEX(DarlTilgStart,10)),$J4595*($H4595+INDEX(DarlTilgung,10))/100/12,IF(AND($G4595=0,$G4594=1),MAX($K4594,$J4595*($H4595+1)/100/12),$K4594))))</f>
      </c>
      <c r="L4595" s="43">
        <f>IF($I4595=0,0,$J4595*$H4595/100/12)</f>
      </c>
      <c r="M4595" s="43">
        <f>IF($I4595=0,0,IF(OR(INDEX(DarlOhneTilgung,10)=1,AND(INDEX(DarlTilgStart,10)&gt;0,$E4595&lt;INDEX(DarlTilgStart,10))),0,MIN(MAX(0,$K4595-$L4595),$J4595)))</f>
      </c>
      <c r="N4595" s="43">
        <f>IF($I4595=0,0,MIN(SUMIFS(SondBetrag,SondDarl,10,SondDatum,"&gt;="&amp;$E4595,SondDatum,"&lt;="&amp;EOMONTH($E4595,0)),$J4595-$M4595))</f>
      </c>
      <c r="O4595" s="43">
        <f>IF($I4595=0,0,INDEX(DarlErsatzRate,10))</f>
      </c>
      <c r="P4595" s="43">
        <f>IF($I4595=0,0,$Q4594*INDEX(DarlErsatzZins,10))</f>
      </c>
      <c r="Q4595" s="43">
        <f>IF($I4595=0,0,$Q4594+$P4595+$O4595)</f>
      </c>
      <c r="R4595" s="43">
        <f>IF($I4595=0,0,$J4595-$M4595-$N4595)</f>
      </c>
    </row>
    <row r="4596">
      <c r="A4596"/>
      <c r="B4596">
        <v>10</v>
      </c>
      <c r="C4596" s="43">
        <f>INDEX(DarlObj,10)</f>
      </c>
      <c r="D4596">
        <v>273</v>
      </c>
      <c r="E4596" s="51">
        <f>IF(INDEX(DarlBelegt,10)=0,0,EOMONTH(INDEX(DarlAuszahlung,10),272)+1)</f>
      </c>
      <c r="F4596" s="43">
        <f>IF($E4596=0,0,YEAR($E4596))</f>
      </c>
      <c r="G4596" s="43">
        <f>IF(INDEX(DarlBindung,10)="",1,IF($E4596&lt;=INDEX(DarlBindung,10),1,0))</f>
      </c>
      <c r="H4596" s="43">
        <f>IF($G4596=1,INDEX(DarlSollzins,10),INDEX(DarlAnschluss,10))</f>
      </c>
      <c r="I4596" s="43">
        <f>IF(INDEX(DarlBelegt,10)=0,0,IF(INDEX(DarlOhneTilgung,10)=1,IF(INDEX(DarlBindung,10)="",1,$G4596),IF($J4596&gt;0.005,1,0)))</f>
      </c>
      <c r="J4596" s="43">
        <f>IF($I4595=0,0,$R4595)</f>
      </c>
      <c r="K4596" s="43">
        <f>IF($I4596=0,0,IF(INDEX(DarlOhneTilgung,10)=1,0,IF(AND(INDEX(DarlTilgStart,10)&gt;0,$E4596=INDEX(DarlTilgStart,10)),$J4596*($H4596+INDEX(DarlTilgung,10))/100/12,IF(AND($G4596=0,$G4595=1),MAX($K4595,$J4596*($H4596+1)/100/12),$K4595))))</f>
      </c>
      <c r="L4596" s="43">
        <f>IF($I4596=0,0,$J4596*$H4596/100/12)</f>
      </c>
      <c r="M4596" s="43">
        <f>IF($I4596=0,0,IF(OR(INDEX(DarlOhneTilgung,10)=1,AND(INDEX(DarlTilgStart,10)&gt;0,$E4596&lt;INDEX(DarlTilgStart,10))),0,MIN(MAX(0,$K4596-$L4596),$J4596)))</f>
      </c>
      <c r="N4596" s="43">
        <f>IF($I4596=0,0,MIN(SUMIFS(SondBetrag,SondDarl,10,SondDatum,"&gt;="&amp;$E4596,SondDatum,"&lt;="&amp;EOMONTH($E4596,0)),$J4596-$M4596))</f>
      </c>
      <c r="O4596" s="43">
        <f>IF($I4596=0,0,INDEX(DarlErsatzRate,10))</f>
      </c>
      <c r="P4596" s="43">
        <f>IF($I4596=0,0,$Q4595*INDEX(DarlErsatzZins,10))</f>
      </c>
      <c r="Q4596" s="43">
        <f>IF($I4596=0,0,$Q4595+$P4596+$O4596)</f>
      </c>
      <c r="R4596" s="43">
        <f>IF($I4596=0,0,$J4596-$M4596-$N4596)</f>
      </c>
    </row>
    <row r="4597">
      <c r="A4597"/>
      <c r="B4597">
        <v>10</v>
      </c>
      <c r="C4597" s="43">
        <f>INDEX(DarlObj,10)</f>
      </c>
      <c r="D4597">
        <v>274</v>
      </c>
      <c r="E4597" s="51">
        <f>IF(INDEX(DarlBelegt,10)=0,0,EOMONTH(INDEX(DarlAuszahlung,10),273)+1)</f>
      </c>
      <c r="F4597" s="43">
        <f>IF($E4597=0,0,YEAR($E4597))</f>
      </c>
      <c r="G4597" s="43">
        <f>IF(INDEX(DarlBindung,10)="",1,IF($E4597&lt;=INDEX(DarlBindung,10),1,0))</f>
      </c>
      <c r="H4597" s="43">
        <f>IF($G4597=1,INDEX(DarlSollzins,10),INDEX(DarlAnschluss,10))</f>
      </c>
      <c r="I4597" s="43">
        <f>IF(INDEX(DarlBelegt,10)=0,0,IF(INDEX(DarlOhneTilgung,10)=1,IF(INDEX(DarlBindung,10)="",1,$G4597),IF($J4597&gt;0.005,1,0)))</f>
      </c>
      <c r="J4597" s="43">
        <f>IF($I4596=0,0,$R4596)</f>
      </c>
      <c r="K4597" s="43">
        <f>IF($I4597=0,0,IF(INDEX(DarlOhneTilgung,10)=1,0,IF(AND(INDEX(DarlTilgStart,10)&gt;0,$E4597=INDEX(DarlTilgStart,10)),$J4597*($H4597+INDEX(DarlTilgung,10))/100/12,IF(AND($G4597=0,$G4596=1),MAX($K4596,$J4597*($H4597+1)/100/12),$K4596))))</f>
      </c>
      <c r="L4597" s="43">
        <f>IF($I4597=0,0,$J4597*$H4597/100/12)</f>
      </c>
      <c r="M4597" s="43">
        <f>IF($I4597=0,0,IF(OR(INDEX(DarlOhneTilgung,10)=1,AND(INDEX(DarlTilgStart,10)&gt;0,$E4597&lt;INDEX(DarlTilgStart,10))),0,MIN(MAX(0,$K4597-$L4597),$J4597)))</f>
      </c>
      <c r="N4597" s="43">
        <f>IF($I4597=0,0,MIN(SUMIFS(SondBetrag,SondDarl,10,SondDatum,"&gt;="&amp;$E4597,SondDatum,"&lt;="&amp;EOMONTH($E4597,0)),$J4597-$M4597))</f>
      </c>
      <c r="O4597" s="43">
        <f>IF($I4597=0,0,INDEX(DarlErsatzRate,10))</f>
      </c>
      <c r="P4597" s="43">
        <f>IF($I4597=0,0,$Q4596*INDEX(DarlErsatzZins,10))</f>
      </c>
      <c r="Q4597" s="43">
        <f>IF($I4597=0,0,$Q4596+$P4597+$O4597)</f>
      </c>
      <c r="R4597" s="43">
        <f>IF($I4597=0,0,$J4597-$M4597-$N4597)</f>
      </c>
    </row>
    <row r="4598">
      <c r="A4598"/>
      <c r="B4598">
        <v>10</v>
      </c>
      <c r="C4598" s="43">
        <f>INDEX(DarlObj,10)</f>
      </c>
      <c r="D4598">
        <v>275</v>
      </c>
      <c r="E4598" s="51">
        <f>IF(INDEX(DarlBelegt,10)=0,0,EOMONTH(INDEX(DarlAuszahlung,10),274)+1)</f>
      </c>
      <c r="F4598" s="43">
        <f>IF($E4598=0,0,YEAR($E4598))</f>
      </c>
      <c r="G4598" s="43">
        <f>IF(INDEX(DarlBindung,10)="",1,IF($E4598&lt;=INDEX(DarlBindung,10),1,0))</f>
      </c>
      <c r="H4598" s="43">
        <f>IF($G4598=1,INDEX(DarlSollzins,10),INDEX(DarlAnschluss,10))</f>
      </c>
      <c r="I4598" s="43">
        <f>IF(INDEX(DarlBelegt,10)=0,0,IF(INDEX(DarlOhneTilgung,10)=1,IF(INDEX(DarlBindung,10)="",1,$G4598),IF($J4598&gt;0.005,1,0)))</f>
      </c>
      <c r="J4598" s="43">
        <f>IF($I4597=0,0,$R4597)</f>
      </c>
      <c r="K4598" s="43">
        <f>IF($I4598=0,0,IF(INDEX(DarlOhneTilgung,10)=1,0,IF(AND(INDEX(DarlTilgStart,10)&gt;0,$E4598=INDEX(DarlTilgStart,10)),$J4598*($H4598+INDEX(DarlTilgung,10))/100/12,IF(AND($G4598=0,$G4597=1),MAX($K4597,$J4598*($H4598+1)/100/12),$K4597))))</f>
      </c>
      <c r="L4598" s="43">
        <f>IF($I4598=0,0,$J4598*$H4598/100/12)</f>
      </c>
      <c r="M4598" s="43">
        <f>IF($I4598=0,0,IF(OR(INDEX(DarlOhneTilgung,10)=1,AND(INDEX(DarlTilgStart,10)&gt;0,$E4598&lt;INDEX(DarlTilgStart,10))),0,MIN(MAX(0,$K4598-$L4598),$J4598)))</f>
      </c>
      <c r="N4598" s="43">
        <f>IF($I4598=0,0,MIN(SUMIFS(SondBetrag,SondDarl,10,SondDatum,"&gt;="&amp;$E4598,SondDatum,"&lt;="&amp;EOMONTH($E4598,0)),$J4598-$M4598))</f>
      </c>
      <c r="O4598" s="43">
        <f>IF($I4598=0,0,INDEX(DarlErsatzRate,10))</f>
      </c>
      <c r="P4598" s="43">
        <f>IF($I4598=0,0,$Q4597*INDEX(DarlErsatzZins,10))</f>
      </c>
      <c r="Q4598" s="43">
        <f>IF($I4598=0,0,$Q4597+$P4598+$O4598)</f>
      </c>
      <c r="R4598" s="43">
        <f>IF($I4598=0,0,$J4598-$M4598-$N4598)</f>
      </c>
    </row>
    <row r="4599">
      <c r="A4599"/>
      <c r="B4599">
        <v>10</v>
      </c>
      <c r="C4599" s="43">
        <f>INDEX(DarlObj,10)</f>
      </c>
      <c r="D4599">
        <v>276</v>
      </c>
      <c r="E4599" s="51">
        <f>IF(INDEX(DarlBelegt,10)=0,0,EOMONTH(INDEX(DarlAuszahlung,10),275)+1)</f>
      </c>
      <c r="F4599" s="43">
        <f>IF($E4599=0,0,YEAR($E4599))</f>
      </c>
      <c r="G4599" s="43">
        <f>IF(INDEX(DarlBindung,10)="",1,IF($E4599&lt;=INDEX(DarlBindung,10),1,0))</f>
      </c>
      <c r="H4599" s="43">
        <f>IF($G4599=1,INDEX(DarlSollzins,10),INDEX(DarlAnschluss,10))</f>
      </c>
      <c r="I4599" s="43">
        <f>IF(INDEX(DarlBelegt,10)=0,0,IF(INDEX(DarlOhneTilgung,10)=1,IF(INDEX(DarlBindung,10)="",1,$G4599),IF($J4599&gt;0.005,1,0)))</f>
      </c>
      <c r="J4599" s="43">
        <f>IF($I4598=0,0,$R4598)</f>
      </c>
      <c r="K4599" s="43">
        <f>IF($I4599=0,0,IF(INDEX(DarlOhneTilgung,10)=1,0,IF(AND(INDEX(DarlTilgStart,10)&gt;0,$E4599=INDEX(DarlTilgStart,10)),$J4599*($H4599+INDEX(DarlTilgung,10))/100/12,IF(AND($G4599=0,$G4598=1),MAX($K4598,$J4599*($H4599+1)/100/12),$K4598))))</f>
      </c>
      <c r="L4599" s="43">
        <f>IF($I4599=0,0,$J4599*$H4599/100/12)</f>
      </c>
      <c r="M4599" s="43">
        <f>IF($I4599=0,0,IF(OR(INDEX(DarlOhneTilgung,10)=1,AND(INDEX(DarlTilgStart,10)&gt;0,$E4599&lt;INDEX(DarlTilgStart,10))),0,MIN(MAX(0,$K4599-$L4599),$J4599)))</f>
      </c>
      <c r="N4599" s="43">
        <f>IF($I4599=0,0,MIN(SUMIFS(SondBetrag,SondDarl,10,SondDatum,"&gt;="&amp;$E4599,SondDatum,"&lt;="&amp;EOMONTH($E4599,0)),$J4599-$M4599))</f>
      </c>
      <c r="O4599" s="43">
        <f>IF($I4599=0,0,INDEX(DarlErsatzRate,10))</f>
      </c>
      <c r="P4599" s="43">
        <f>IF($I4599=0,0,$Q4598*INDEX(DarlErsatzZins,10))</f>
      </c>
      <c r="Q4599" s="43">
        <f>IF($I4599=0,0,$Q4598+$P4599+$O4599)</f>
      </c>
      <c r="R4599" s="43">
        <f>IF($I4599=0,0,$J4599-$M4599-$N4599)</f>
      </c>
    </row>
    <row r="4600">
      <c r="A4600"/>
      <c r="B4600">
        <v>10</v>
      </c>
      <c r="C4600" s="43">
        <f>INDEX(DarlObj,10)</f>
      </c>
      <c r="D4600">
        <v>277</v>
      </c>
      <c r="E4600" s="51">
        <f>IF(INDEX(DarlBelegt,10)=0,0,EOMONTH(INDEX(DarlAuszahlung,10),276)+1)</f>
      </c>
      <c r="F4600" s="43">
        <f>IF($E4600=0,0,YEAR($E4600))</f>
      </c>
      <c r="G4600" s="43">
        <f>IF(INDEX(DarlBindung,10)="",1,IF($E4600&lt;=INDEX(DarlBindung,10),1,0))</f>
      </c>
      <c r="H4600" s="43">
        <f>IF($G4600=1,INDEX(DarlSollzins,10),INDEX(DarlAnschluss,10))</f>
      </c>
      <c r="I4600" s="43">
        <f>IF(INDEX(DarlBelegt,10)=0,0,IF(INDEX(DarlOhneTilgung,10)=1,IF(INDEX(DarlBindung,10)="",1,$G4600),IF($J4600&gt;0.005,1,0)))</f>
      </c>
      <c r="J4600" s="43">
        <f>IF($I4599=0,0,$R4599)</f>
      </c>
      <c r="K4600" s="43">
        <f>IF($I4600=0,0,IF(INDEX(DarlOhneTilgung,10)=1,0,IF(AND(INDEX(DarlTilgStart,10)&gt;0,$E4600=INDEX(DarlTilgStart,10)),$J4600*($H4600+INDEX(DarlTilgung,10))/100/12,IF(AND($G4600=0,$G4599=1),MAX($K4599,$J4600*($H4600+1)/100/12),$K4599))))</f>
      </c>
      <c r="L4600" s="43">
        <f>IF($I4600=0,0,$J4600*$H4600/100/12)</f>
      </c>
      <c r="M4600" s="43">
        <f>IF($I4600=0,0,IF(OR(INDEX(DarlOhneTilgung,10)=1,AND(INDEX(DarlTilgStart,10)&gt;0,$E4600&lt;INDEX(DarlTilgStart,10))),0,MIN(MAX(0,$K4600-$L4600),$J4600)))</f>
      </c>
      <c r="N4600" s="43">
        <f>IF($I4600=0,0,MIN(SUMIFS(SondBetrag,SondDarl,10,SondDatum,"&gt;="&amp;$E4600,SondDatum,"&lt;="&amp;EOMONTH($E4600,0)),$J4600-$M4600))</f>
      </c>
      <c r="O4600" s="43">
        <f>IF($I4600=0,0,INDEX(DarlErsatzRate,10))</f>
      </c>
      <c r="P4600" s="43">
        <f>IF($I4600=0,0,$Q4599*INDEX(DarlErsatzZins,10))</f>
      </c>
      <c r="Q4600" s="43">
        <f>IF($I4600=0,0,$Q4599+$P4600+$O4600)</f>
      </c>
      <c r="R4600" s="43">
        <f>IF($I4600=0,0,$J4600-$M4600-$N4600)</f>
      </c>
    </row>
    <row r="4601">
      <c r="A4601"/>
      <c r="B4601">
        <v>10</v>
      </c>
      <c r="C4601" s="43">
        <f>INDEX(DarlObj,10)</f>
      </c>
      <c r="D4601">
        <v>278</v>
      </c>
      <c r="E4601" s="51">
        <f>IF(INDEX(DarlBelegt,10)=0,0,EOMONTH(INDEX(DarlAuszahlung,10),277)+1)</f>
      </c>
      <c r="F4601" s="43">
        <f>IF($E4601=0,0,YEAR($E4601))</f>
      </c>
      <c r="G4601" s="43">
        <f>IF(INDEX(DarlBindung,10)="",1,IF($E4601&lt;=INDEX(DarlBindung,10),1,0))</f>
      </c>
      <c r="H4601" s="43">
        <f>IF($G4601=1,INDEX(DarlSollzins,10),INDEX(DarlAnschluss,10))</f>
      </c>
      <c r="I4601" s="43">
        <f>IF(INDEX(DarlBelegt,10)=0,0,IF(INDEX(DarlOhneTilgung,10)=1,IF(INDEX(DarlBindung,10)="",1,$G4601),IF($J4601&gt;0.005,1,0)))</f>
      </c>
      <c r="J4601" s="43">
        <f>IF($I4600=0,0,$R4600)</f>
      </c>
      <c r="K4601" s="43">
        <f>IF($I4601=0,0,IF(INDEX(DarlOhneTilgung,10)=1,0,IF(AND(INDEX(DarlTilgStart,10)&gt;0,$E4601=INDEX(DarlTilgStart,10)),$J4601*($H4601+INDEX(DarlTilgung,10))/100/12,IF(AND($G4601=0,$G4600=1),MAX($K4600,$J4601*($H4601+1)/100/12),$K4600))))</f>
      </c>
      <c r="L4601" s="43">
        <f>IF($I4601=0,0,$J4601*$H4601/100/12)</f>
      </c>
      <c r="M4601" s="43">
        <f>IF($I4601=0,0,IF(OR(INDEX(DarlOhneTilgung,10)=1,AND(INDEX(DarlTilgStart,10)&gt;0,$E4601&lt;INDEX(DarlTilgStart,10))),0,MIN(MAX(0,$K4601-$L4601),$J4601)))</f>
      </c>
      <c r="N4601" s="43">
        <f>IF($I4601=0,0,MIN(SUMIFS(SondBetrag,SondDarl,10,SondDatum,"&gt;="&amp;$E4601,SondDatum,"&lt;="&amp;EOMONTH($E4601,0)),$J4601-$M4601))</f>
      </c>
      <c r="O4601" s="43">
        <f>IF($I4601=0,0,INDEX(DarlErsatzRate,10))</f>
      </c>
      <c r="P4601" s="43">
        <f>IF($I4601=0,0,$Q4600*INDEX(DarlErsatzZins,10))</f>
      </c>
      <c r="Q4601" s="43">
        <f>IF($I4601=0,0,$Q4600+$P4601+$O4601)</f>
      </c>
      <c r="R4601" s="43">
        <f>IF($I4601=0,0,$J4601-$M4601-$N4601)</f>
      </c>
    </row>
    <row r="4602">
      <c r="A4602"/>
      <c r="B4602">
        <v>10</v>
      </c>
      <c r="C4602" s="43">
        <f>INDEX(DarlObj,10)</f>
      </c>
      <c r="D4602">
        <v>279</v>
      </c>
      <c r="E4602" s="51">
        <f>IF(INDEX(DarlBelegt,10)=0,0,EOMONTH(INDEX(DarlAuszahlung,10),278)+1)</f>
      </c>
      <c r="F4602" s="43">
        <f>IF($E4602=0,0,YEAR($E4602))</f>
      </c>
      <c r="G4602" s="43">
        <f>IF(INDEX(DarlBindung,10)="",1,IF($E4602&lt;=INDEX(DarlBindung,10),1,0))</f>
      </c>
      <c r="H4602" s="43">
        <f>IF($G4602=1,INDEX(DarlSollzins,10),INDEX(DarlAnschluss,10))</f>
      </c>
      <c r="I4602" s="43">
        <f>IF(INDEX(DarlBelegt,10)=0,0,IF(INDEX(DarlOhneTilgung,10)=1,IF(INDEX(DarlBindung,10)="",1,$G4602),IF($J4602&gt;0.005,1,0)))</f>
      </c>
      <c r="J4602" s="43">
        <f>IF($I4601=0,0,$R4601)</f>
      </c>
      <c r="K4602" s="43">
        <f>IF($I4602=0,0,IF(INDEX(DarlOhneTilgung,10)=1,0,IF(AND(INDEX(DarlTilgStart,10)&gt;0,$E4602=INDEX(DarlTilgStart,10)),$J4602*($H4602+INDEX(DarlTilgung,10))/100/12,IF(AND($G4602=0,$G4601=1),MAX($K4601,$J4602*($H4602+1)/100/12),$K4601))))</f>
      </c>
      <c r="L4602" s="43">
        <f>IF($I4602=0,0,$J4602*$H4602/100/12)</f>
      </c>
      <c r="M4602" s="43">
        <f>IF($I4602=0,0,IF(OR(INDEX(DarlOhneTilgung,10)=1,AND(INDEX(DarlTilgStart,10)&gt;0,$E4602&lt;INDEX(DarlTilgStart,10))),0,MIN(MAX(0,$K4602-$L4602),$J4602)))</f>
      </c>
      <c r="N4602" s="43">
        <f>IF($I4602=0,0,MIN(SUMIFS(SondBetrag,SondDarl,10,SondDatum,"&gt;="&amp;$E4602,SondDatum,"&lt;="&amp;EOMONTH($E4602,0)),$J4602-$M4602))</f>
      </c>
      <c r="O4602" s="43">
        <f>IF($I4602=0,0,INDEX(DarlErsatzRate,10))</f>
      </c>
      <c r="P4602" s="43">
        <f>IF($I4602=0,0,$Q4601*INDEX(DarlErsatzZins,10))</f>
      </c>
      <c r="Q4602" s="43">
        <f>IF($I4602=0,0,$Q4601+$P4602+$O4602)</f>
      </c>
      <c r="R4602" s="43">
        <f>IF($I4602=0,0,$J4602-$M4602-$N4602)</f>
      </c>
    </row>
    <row r="4603">
      <c r="A4603"/>
      <c r="B4603">
        <v>10</v>
      </c>
      <c r="C4603" s="43">
        <f>INDEX(DarlObj,10)</f>
      </c>
      <c r="D4603">
        <v>280</v>
      </c>
      <c r="E4603" s="51">
        <f>IF(INDEX(DarlBelegt,10)=0,0,EOMONTH(INDEX(DarlAuszahlung,10),279)+1)</f>
      </c>
      <c r="F4603" s="43">
        <f>IF($E4603=0,0,YEAR($E4603))</f>
      </c>
      <c r="G4603" s="43">
        <f>IF(INDEX(DarlBindung,10)="",1,IF($E4603&lt;=INDEX(DarlBindung,10),1,0))</f>
      </c>
      <c r="H4603" s="43">
        <f>IF($G4603=1,INDEX(DarlSollzins,10),INDEX(DarlAnschluss,10))</f>
      </c>
      <c r="I4603" s="43">
        <f>IF(INDEX(DarlBelegt,10)=0,0,IF(INDEX(DarlOhneTilgung,10)=1,IF(INDEX(DarlBindung,10)="",1,$G4603),IF($J4603&gt;0.005,1,0)))</f>
      </c>
      <c r="J4603" s="43">
        <f>IF($I4602=0,0,$R4602)</f>
      </c>
      <c r="K4603" s="43">
        <f>IF($I4603=0,0,IF(INDEX(DarlOhneTilgung,10)=1,0,IF(AND(INDEX(DarlTilgStart,10)&gt;0,$E4603=INDEX(DarlTilgStart,10)),$J4603*($H4603+INDEX(DarlTilgung,10))/100/12,IF(AND($G4603=0,$G4602=1),MAX($K4602,$J4603*($H4603+1)/100/12),$K4602))))</f>
      </c>
      <c r="L4603" s="43">
        <f>IF($I4603=0,0,$J4603*$H4603/100/12)</f>
      </c>
      <c r="M4603" s="43">
        <f>IF($I4603=0,0,IF(OR(INDEX(DarlOhneTilgung,10)=1,AND(INDEX(DarlTilgStart,10)&gt;0,$E4603&lt;INDEX(DarlTilgStart,10))),0,MIN(MAX(0,$K4603-$L4603),$J4603)))</f>
      </c>
      <c r="N4603" s="43">
        <f>IF($I4603=0,0,MIN(SUMIFS(SondBetrag,SondDarl,10,SondDatum,"&gt;="&amp;$E4603,SondDatum,"&lt;="&amp;EOMONTH($E4603,0)),$J4603-$M4603))</f>
      </c>
      <c r="O4603" s="43">
        <f>IF($I4603=0,0,INDEX(DarlErsatzRate,10))</f>
      </c>
      <c r="P4603" s="43">
        <f>IF($I4603=0,0,$Q4602*INDEX(DarlErsatzZins,10))</f>
      </c>
      <c r="Q4603" s="43">
        <f>IF($I4603=0,0,$Q4602+$P4603+$O4603)</f>
      </c>
      <c r="R4603" s="43">
        <f>IF($I4603=0,0,$J4603-$M4603-$N4603)</f>
      </c>
    </row>
    <row r="4604">
      <c r="A4604"/>
      <c r="B4604">
        <v>10</v>
      </c>
      <c r="C4604" s="43">
        <f>INDEX(DarlObj,10)</f>
      </c>
      <c r="D4604">
        <v>281</v>
      </c>
      <c r="E4604" s="51">
        <f>IF(INDEX(DarlBelegt,10)=0,0,EOMONTH(INDEX(DarlAuszahlung,10),280)+1)</f>
      </c>
      <c r="F4604" s="43">
        <f>IF($E4604=0,0,YEAR($E4604))</f>
      </c>
      <c r="G4604" s="43">
        <f>IF(INDEX(DarlBindung,10)="",1,IF($E4604&lt;=INDEX(DarlBindung,10),1,0))</f>
      </c>
      <c r="H4604" s="43">
        <f>IF($G4604=1,INDEX(DarlSollzins,10),INDEX(DarlAnschluss,10))</f>
      </c>
      <c r="I4604" s="43">
        <f>IF(INDEX(DarlBelegt,10)=0,0,IF(INDEX(DarlOhneTilgung,10)=1,IF(INDEX(DarlBindung,10)="",1,$G4604),IF($J4604&gt;0.005,1,0)))</f>
      </c>
      <c r="J4604" s="43">
        <f>IF($I4603=0,0,$R4603)</f>
      </c>
      <c r="K4604" s="43">
        <f>IF($I4604=0,0,IF(INDEX(DarlOhneTilgung,10)=1,0,IF(AND(INDEX(DarlTilgStart,10)&gt;0,$E4604=INDEX(DarlTilgStart,10)),$J4604*($H4604+INDEX(DarlTilgung,10))/100/12,IF(AND($G4604=0,$G4603=1),MAX($K4603,$J4604*($H4604+1)/100/12),$K4603))))</f>
      </c>
      <c r="L4604" s="43">
        <f>IF($I4604=0,0,$J4604*$H4604/100/12)</f>
      </c>
      <c r="M4604" s="43">
        <f>IF($I4604=0,0,IF(OR(INDEX(DarlOhneTilgung,10)=1,AND(INDEX(DarlTilgStart,10)&gt;0,$E4604&lt;INDEX(DarlTilgStart,10))),0,MIN(MAX(0,$K4604-$L4604),$J4604)))</f>
      </c>
      <c r="N4604" s="43">
        <f>IF($I4604=0,0,MIN(SUMIFS(SondBetrag,SondDarl,10,SondDatum,"&gt;="&amp;$E4604,SondDatum,"&lt;="&amp;EOMONTH($E4604,0)),$J4604-$M4604))</f>
      </c>
      <c r="O4604" s="43">
        <f>IF($I4604=0,0,INDEX(DarlErsatzRate,10))</f>
      </c>
      <c r="P4604" s="43">
        <f>IF($I4604=0,0,$Q4603*INDEX(DarlErsatzZins,10))</f>
      </c>
      <c r="Q4604" s="43">
        <f>IF($I4604=0,0,$Q4603+$P4604+$O4604)</f>
      </c>
      <c r="R4604" s="43">
        <f>IF($I4604=0,0,$J4604-$M4604-$N4604)</f>
      </c>
    </row>
    <row r="4605">
      <c r="A4605"/>
      <c r="B4605">
        <v>10</v>
      </c>
      <c r="C4605" s="43">
        <f>INDEX(DarlObj,10)</f>
      </c>
      <c r="D4605">
        <v>282</v>
      </c>
      <c r="E4605" s="51">
        <f>IF(INDEX(DarlBelegt,10)=0,0,EOMONTH(INDEX(DarlAuszahlung,10),281)+1)</f>
      </c>
      <c r="F4605" s="43">
        <f>IF($E4605=0,0,YEAR($E4605))</f>
      </c>
      <c r="G4605" s="43">
        <f>IF(INDEX(DarlBindung,10)="",1,IF($E4605&lt;=INDEX(DarlBindung,10),1,0))</f>
      </c>
      <c r="H4605" s="43">
        <f>IF($G4605=1,INDEX(DarlSollzins,10),INDEX(DarlAnschluss,10))</f>
      </c>
      <c r="I4605" s="43">
        <f>IF(INDEX(DarlBelegt,10)=0,0,IF(INDEX(DarlOhneTilgung,10)=1,IF(INDEX(DarlBindung,10)="",1,$G4605),IF($J4605&gt;0.005,1,0)))</f>
      </c>
      <c r="J4605" s="43">
        <f>IF($I4604=0,0,$R4604)</f>
      </c>
      <c r="K4605" s="43">
        <f>IF($I4605=0,0,IF(INDEX(DarlOhneTilgung,10)=1,0,IF(AND(INDEX(DarlTilgStart,10)&gt;0,$E4605=INDEX(DarlTilgStart,10)),$J4605*($H4605+INDEX(DarlTilgung,10))/100/12,IF(AND($G4605=0,$G4604=1),MAX($K4604,$J4605*($H4605+1)/100/12),$K4604))))</f>
      </c>
      <c r="L4605" s="43">
        <f>IF($I4605=0,0,$J4605*$H4605/100/12)</f>
      </c>
      <c r="M4605" s="43">
        <f>IF($I4605=0,0,IF(OR(INDEX(DarlOhneTilgung,10)=1,AND(INDEX(DarlTilgStart,10)&gt;0,$E4605&lt;INDEX(DarlTilgStart,10))),0,MIN(MAX(0,$K4605-$L4605),$J4605)))</f>
      </c>
      <c r="N4605" s="43">
        <f>IF($I4605=0,0,MIN(SUMIFS(SondBetrag,SondDarl,10,SondDatum,"&gt;="&amp;$E4605,SondDatum,"&lt;="&amp;EOMONTH($E4605,0)),$J4605-$M4605))</f>
      </c>
      <c r="O4605" s="43">
        <f>IF($I4605=0,0,INDEX(DarlErsatzRate,10))</f>
      </c>
      <c r="P4605" s="43">
        <f>IF($I4605=0,0,$Q4604*INDEX(DarlErsatzZins,10))</f>
      </c>
      <c r="Q4605" s="43">
        <f>IF($I4605=0,0,$Q4604+$P4605+$O4605)</f>
      </c>
      <c r="R4605" s="43">
        <f>IF($I4605=0,0,$J4605-$M4605-$N4605)</f>
      </c>
    </row>
    <row r="4606">
      <c r="A4606"/>
      <c r="B4606">
        <v>10</v>
      </c>
      <c r="C4606" s="43">
        <f>INDEX(DarlObj,10)</f>
      </c>
      <c r="D4606">
        <v>283</v>
      </c>
      <c r="E4606" s="51">
        <f>IF(INDEX(DarlBelegt,10)=0,0,EOMONTH(INDEX(DarlAuszahlung,10),282)+1)</f>
      </c>
      <c r="F4606" s="43">
        <f>IF($E4606=0,0,YEAR($E4606))</f>
      </c>
      <c r="G4606" s="43">
        <f>IF(INDEX(DarlBindung,10)="",1,IF($E4606&lt;=INDEX(DarlBindung,10),1,0))</f>
      </c>
      <c r="H4606" s="43">
        <f>IF($G4606=1,INDEX(DarlSollzins,10),INDEX(DarlAnschluss,10))</f>
      </c>
      <c r="I4606" s="43">
        <f>IF(INDEX(DarlBelegt,10)=0,0,IF(INDEX(DarlOhneTilgung,10)=1,IF(INDEX(DarlBindung,10)="",1,$G4606),IF($J4606&gt;0.005,1,0)))</f>
      </c>
      <c r="J4606" s="43">
        <f>IF($I4605=0,0,$R4605)</f>
      </c>
      <c r="K4606" s="43">
        <f>IF($I4606=0,0,IF(INDEX(DarlOhneTilgung,10)=1,0,IF(AND(INDEX(DarlTilgStart,10)&gt;0,$E4606=INDEX(DarlTilgStart,10)),$J4606*($H4606+INDEX(DarlTilgung,10))/100/12,IF(AND($G4606=0,$G4605=1),MAX($K4605,$J4606*($H4606+1)/100/12),$K4605))))</f>
      </c>
      <c r="L4606" s="43">
        <f>IF($I4606=0,0,$J4606*$H4606/100/12)</f>
      </c>
      <c r="M4606" s="43">
        <f>IF($I4606=0,0,IF(OR(INDEX(DarlOhneTilgung,10)=1,AND(INDEX(DarlTilgStart,10)&gt;0,$E4606&lt;INDEX(DarlTilgStart,10))),0,MIN(MAX(0,$K4606-$L4606),$J4606)))</f>
      </c>
      <c r="N4606" s="43">
        <f>IF($I4606=0,0,MIN(SUMIFS(SondBetrag,SondDarl,10,SondDatum,"&gt;="&amp;$E4606,SondDatum,"&lt;="&amp;EOMONTH($E4606,0)),$J4606-$M4606))</f>
      </c>
      <c r="O4606" s="43">
        <f>IF($I4606=0,0,INDEX(DarlErsatzRate,10))</f>
      </c>
      <c r="P4606" s="43">
        <f>IF($I4606=0,0,$Q4605*INDEX(DarlErsatzZins,10))</f>
      </c>
      <c r="Q4606" s="43">
        <f>IF($I4606=0,0,$Q4605+$P4606+$O4606)</f>
      </c>
      <c r="R4606" s="43">
        <f>IF($I4606=0,0,$J4606-$M4606-$N4606)</f>
      </c>
    </row>
    <row r="4607">
      <c r="A4607"/>
      <c r="B4607">
        <v>10</v>
      </c>
      <c r="C4607" s="43">
        <f>INDEX(DarlObj,10)</f>
      </c>
      <c r="D4607">
        <v>284</v>
      </c>
      <c r="E4607" s="51">
        <f>IF(INDEX(DarlBelegt,10)=0,0,EOMONTH(INDEX(DarlAuszahlung,10),283)+1)</f>
      </c>
      <c r="F4607" s="43">
        <f>IF($E4607=0,0,YEAR($E4607))</f>
      </c>
      <c r="G4607" s="43">
        <f>IF(INDEX(DarlBindung,10)="",1,IF($E4607&lt;=INDEX(DarlBindung,10),1,0))</f>
      </c>
      <c r="H4607" s="43">
        <f>IF($G4607=1,INDEX(DarlSollzins,10),INDEX(DarlAnschluss,10))</f>
      </c>
      <c r="I4607" s="43">
        <f>IF(INDEX(DarlBelegt,10)=0,0,IF(INDEX(DarlOhneTilgung,10)=1,IF(INDEX(DarlBindung,10)="",1,$G4607),IF($J4607&gt;0.005,1,0)))</f>
      </c>
      <c r="J4607" s="43">
        <f>IF($I4606=0,0,$R4606)</f>
      </c>
      <c r="K4607" s="43">
        <f>IF($I4607=0,0,IF(INDEX(DarlOhneTilgung,10)=1,0,IF(AND(INDEX(DarlTilgStart,10)&gt;0,$E4607=INDEX(DarlTilgStart,10)),$J4607*($H4607+INDEX(DarlTilgung,10))/100/12,IF(AND($G4607=0,$G4606=1),MAX($K4606,$J4607*($H4607+1)/100/12),$K4606))))</f>
      </c>
      <c r="L4607" s="43">
        <f>IF($I4607=0,0,$J4607*$H4607/100/12)</f>
      </c>
      <c r="M4607" s="43">
        <f>IF($I4607=0,0,IF(OR(INDEX(DarlOhneTilgung,10)=1,AND(INDEX(DarlTilgStart,10)&gt;0,$E4607&lt;INDEX(DarlTilgStart,10))),0,MIN(MAX(0,$K4607-$L4607),$J4607)))</f>
      </c>
      <c r="N4607" s="43">
        <f>IF($I4607=0,0,MIN(SUMIFS(SondBetrag,SondDarl,10,SondDatum,"&gt;="&amp;$E4607,SondDatum,"&lt;="&amp;EOMONTH($E4607,0)),$J4607-$M4607))</f>
      </c>
      <c r="O4607" s="43">
        <f>IF($I4607=0,0,INDEX(DarlErsatzRate,10))</f>
      </c>
      <c r="P4607" s="43">
        <f>IF($I4607=0,0,$Q4606*INDEX(DarlErsatzZins,10))</f>
      </c>
      <c r="Q4607" s="43">
        <f>IF($I4607=0,0,$Q4606+$P4607+$O4607)</f>
      </c>
      <c r="R4607" s="43">
        <f>IF($I4607=0,0,$J4607-$M4607-$N4607)</f>
      </c>
    </row>
    <row r="4608">
      <c r="A4608"/>
      <c r="B4608">
        <v>10</v>
      </c>
      <c r="C4608" s="43">
        <f>INDEX(DarlObj,10)</f>
      </c>
      <c r="D4608">
        <v>285</v>
      </c>
      <c r="E4608" s="51">
        <f>IF(INDEX(DarlBelegt,10)=0,0,EOMONTH(INDEX(DarlAuszahlung,10),284)+1)</f>
      </c>
      <c r="F4608" s="43">
        <f>IF($E4608=0,0,YEAR($E4608))</f>
      </c>
      <c r="G4608" s="43">
        <f>IF(INDEX(DarlBindung,10)="",1,IF($E4608&lt;=INDEX(DarlBindung,10),1,0))</f>
      </c>
      <c r="H4608" s="43">
        <f>IF($G4608=1,INDEX(DarlSollzins,10),INDEX(DarlAnschluss,10))</f>
      </c>
      <c r="I4608" s="43">
        <f>IF(INDEX(DarlBelegt,10)=0,0,IF(INDEX(DarlOhneTilgung,10)=1,IF(INDEX(DarlBindung,10)="",1,$G4608),IF($J4608&gt;0.005,1,0)))</f>
      </c>
      <c r="J4608" s="43">
        <f>IF($I4607=0,0,$R4607)</f>
      </c>
      <c r="K4608" s="43">
        <f>IF($I4608=0,0,IF(INDEX(DarlOhneTilgung,10)=1,0,IF(AND(INDEX(DarlTilgStart,10)&gt;0,$E4608=INDEX(DarlTilgStart,10)),$J4608*($H4608+INDEX(DarlTilgung,10))/100/12,IF(AND($G4608=0,$G4607=1),MAX($K4607,$J4608*($H4608+1)/100/12),$K4607))))</f>
      </c>
      <c r="L4608" s="43">
        <f>IF($I4608=0,0,$J4608*$H4608/100/12)</f>
      </c>
      <c r="M4608" s="43">
        <f>IF($I4608=0,0,IF(OR(INDEX(DarlOhneTilgung,10)=1,AND(INDEX(DarlTilgStart,10)&gt;0,$E4608&lt;INDEX(DarlTilgStart,10))),0,MIN(MAX(0,$K4608-$L4608),$J4608)))</f>
      </c>
      <c r="N4608" s="43">
        <f>IF($I4608=0,0,MIN(SUMIFS(SondBetrag,SondDarl,10,SondDatum,"&gt;="&amp;$E4608,SondDatum,"&lt;="&amp;EOMONTH($E4608,0)),$J4608-$M4608))</f>
      </c>
      <c r="O4608" s="43">
        <f>IF($I4608=0,0,INDEX(DarlErsatzRate,10))</f>
      </c>
      <c r="P4608" s="43">
        <f>IF($I4608=0,0,$Q4607*INDEX(DarlErsatzZins,10))</f>
      </c>
      <c r="Q4608" s="43">
        <f>IF($I4608=0,0,$Q4607+$P4608+$O4608)</f>
      </c>
      <c r="R4608" s="43">
        <f>IF($I4608=0,0,$J4608-$M4608-$N4608)</f>
      </c>
    </row>
    <row r="4609">
      <c r="A4609"/>
      <c r="B4609">
        <v>10</v>
      </c>
      <c r="C4609" s="43">
        <f>INDEX(DarlObj,10)</f>
      </c>
      <c r="D4609">
        <v>286</v>
      </c>
      <c r="E4609" s="51">
        <f>IF(INDEX(DarlBelegt,10)=0,0,EOMONTH(INDEX(DarlAuszahlung,10),285)+1)</f>
      </c>
      <c r="F4609" s="43">
        <f>IF($E4609=0,0,YEAR($E4609))</f>
      </c>
      <c r="G4609" s="43">
        <f>IF(INDEX(DarlBindung,10)="",1,IF($E4609&lt;=INDEX(DarlBindung,10),1,0))</f>
      </c>
      <c r="H4609" s="43">
        <f>IF($G4609=1,INDEX(DarlSollzins,10),INDEX(DarlAnschluss,10))</f>
      </c>
      <c r="I4609" s="43">
        <f>IF(INDEX(DarlBelegt,10)=0,0,IF(INDEX(DarlOhneTilgung,10)=1,IF(INDEX(DarlBindung,10)="",1,$G4609),IF($J4609&gt;0.005,1,0)))</f>
      </c>
      <c r="J4609" s="43">
        <f>IF($I4608=0,0,$R4608)</f>
      </c>
      <c r="K4609" s="43">
        <f>IF($I4609=0,0,IF(INDEX(DarlOhneTilgung,10)=1,0,IF(AND(INDEX(DarlTilgStart,10)&gt;0,$E4609=INDEX(DarlTilgStart,10)),$J4609*($H4609+INDEX(DarlTilgung,10))/100/12,IF(AND($G4609=0,$G4608=1),MAX($K4608,$J4609*($H4609+1)/100/12),$K4608))))</f>
      </c>
      <c r="L4609" s="43">
        <f>IF($I4609=0,0,$J4609*$H4609/100/12)</f>
      </c>
      <c r="M4609" s="43">
        <f>IF($I4609=0,0,IF(OR(INDEX(DarlOhneTilgung,10)=1,AND(INDEX(DarlTilgStart,10)&gt;0,$E4609&lt;INDEX(DarlTilgStart,10))),0,MIN(MAX(0,$K4609-$L4609),$J4609)))</f>
      </c>
      <c r="N4609" s="43">
        <f>IF($I4609=0,0,MIN(SUMIFS(SondBetrag,SondDarl,10,SondDatum,"&gt;="&amp;$E4609,SondDatum,"&lt;="&amp;EOMONTH($E4609,0)),$J4609-$M4609))</f>
      </c>
      <c r="O4609" s="43">
        <f>IF($I4609=0,0,INDEX(DarlErsatzRate,10))</f>
      </c>
      <c r="P4609" s="43">
        <f>IF($I4609=0,0,$Q4608*INDEX(DarlErsatzZins,10))</f>
      </c>
      <c r="Q4609" s="43">
        <f>IF($I4609=0,0,$Q4608+$P4609+$O4609)</f>
      </c>
      <c r="R4609" s="43">
        <f>IF($I4609=0,0,$J4609-$M4609-$N4609)</f>
      </c>
    </row>
    <row r="4610">
      <c r="A4610"/>
      <c r="B4610">
        <v>10</v>
      </c>
      <c r="C4610" s="43">
        <f>INDEX(DarlObj,10)</f>
      </c>
      <c r="D4610">
        <v>287</v>
      </c>
      <c r="E4610" s="51">
        <f>IF(INDEX(DarlBelegt,10)=0,0,EOMONTH(INDEX(DarlAuszahlung,10),286)+1)</f>
      </c>
      <c r="F4610" s="43">
        <f>IF($E4610=0,0,YEAR($E4610))</f>
      </c>
      <c r="G4610" s="43">
        <f>IF(INDEX(DarlBindung,10)="",1,IF($E4610&lt;=INDEX(DarlBindung,10),1,0))</f>
      </c>
      <c r="H4610" s="43">
        <f>IF($G4610=1,INDEX(DarlSollzins,10),INDEX(DarlAnschluss,10))</f>
      </c>
      <c r="I4610" s="43">
        <f>IF(INDEX(DarlBelegt,10)=0,0,IF(INDEX(DarlOhneTilgung,10)=1,IF(INDEX(DarlBindung,10)="",1,$G4610),IF($J4610&gt;0.005,1,0)))</f>
      </c>
      <c r="J4610" s="43">
        <f>IF($I4609=0,0,$R4609)</f>
      </c>
      <c r="K4610" s="43">
        <f>IF($I4610=0,0,IF(INDEX(DarlOhneTilgung,10)=1,0,IF(AND(INDEX(DarlTilgStart,10)&gt;0,$E4610=INDEX(DarlTilgStart,10)),$J4610*($H4610+INDEX(DarlTilgung,10))/100/12,IF(AND($G4610=0,$G4609=1),MAX($K4609,$J4610*($H4610+1)/100/12),$K4609))))</f>
      </c>
      <c r="L4610" s="43">
        <f>IF($I4610=0,0,$J4610*$H4610/100/12)</f>
      </c>
      <c r="M4610" s="43">
        <f>IF($I4610=0,0,IF(OR(INDEX(DarlOhneTilgung,10)=1,AND(INDEX(DarlTilgStart,10)&gt;0,$E4610&lt;INDEX(DarlTilgStart,10))),0,MIN(MAX(0,$K4610-$L4610),$J4610)))</f>
      </c>
      <c r="N4610" s="43">
        <f>IF($I4610=0,0,MIN(SUMIFS(SondBetrag,SondDarl,10,SondDatum,"&gt;="&amp;$E4610,SondDatum,"&lt;="&amp;EOMONTH($E4610,0)),$J4610-$M4610))</f>
      </c>
      <c r="O4610" s="43">
        <f>IF($I4610=0,0,INDEX(DarlErsatzRate,10))</f>
      </c>
      <c r="P4610" s="43">
        <f>IF($I4610=0,0,$Q4609*INDEX(DarlErsatzZins,10))</f>
      </c>
      <c r="Q4610" s="43">
        <f>IF($I4610=0,0,$Q4609+$P4610+$O4610)</f>
      </c>
      <c r="R4610" s="43">
        <f>IF($I4610=0,0,$J4610-$M4610-$N4610)</f>
      </c>
    </row>
    <row r="4611">
      <c r="A4611"/>
      <c r="B4611">
        <v>10</v>
      </c>
      <c r="C4611" s="43">
        <f>INDEX(DarlObj,10)</f>
      </c>
      <c r="D4611">
        <v>288</v>
      </c>
      <c r="E4611" s="51">
        <f>IF(INDEX(DarlBelegt,10)=0,0,EOMONTH(INDEX(DarlAuszahlung,10),287)+1)</f>
      </c>
      <c r="F4611" s="43">
        <f>IF($E4611=0,0,YEAR($E4611))</f>
      </c>
      <c r="G4611" s="43">
        <f>IF(INDEX(DarlBindung,10)="",1,IF($E4611&lt;=INDEX(DarlBindung,10),1,0))</f>
      </c>
      <c r="H4611" s="43">
        <f>IF($G4611=1,INDEX(DarlSollzins,10),INDEX(DarlAnschluss,10))</f>
      </c>
      <c r="I4611" s="43">
        <f>IF(INDEX(DarlBelegt,10)=0,0,IF(INDEX(DarlOhneTilgung,10)=1,IF(INDEX(DarlBindung,10)="",1,$G4611),IF($J4611&gt;0.005,1,0)))</f>
      </c>
      <c r="J4611" s="43">
        <f>IF($I4610=0,0,$R4610)</f>
      </c>
      <c r="K4611" s="43">
        <f>IF($I4611=0,0,IF(INDEX(DarlOhneTilgung,10)=1,0,IF(AND(INDEX(DarlTilgStart,10)&gt;0,$E4611=INDEX(DarlTilgStart,10)),$J4611*($H4611+INDEX(DarlTilgung,10))/100/12,IF(AND($G4611=0,$G4610=1),MAX($K4610,$J4611*($H4611+1)/100/12),$K4610))))</f>
      </c>
      <c r="L4611" s="43">
        <f>IF($I4611=0,0,$J4611*$H4611/100/12)</f>
      </c>
      <c r="M4611" s="43">
        <f>IF($I4611=0,0,IF(OR(INDEX(DarlOhneTilgung,10)=1,AND(INDEX(DarlTilgStart,10)&gt;0,$E4611&lt;INDEX(DarlTilgStart,10))),0,MIN(MAX(0,$K4611-$L4611),$J4611)))</f>
      </c>
      <c r="N4611" s="43">
        <f>IF($I4611=0,0,MIN(SUMIFS(SondBetrag,SondDarl,10,SondDatum,"&gt;="&amp;$E4611,SondDatum,"&lt;="&amp;EOMONTH($E4611,0)),$J4611-$M4611))</f>
      </c>
      <c r="O4611" s="43">
        <f>IF($I4611=0,0,INDEX(DarlErsatzRate,10))</f>
      </c>
      <c r="P4611" s="43">
        <f>IF($I4611=0,0,$Q4610*INDEX(DarlErsatzZins,10))</f>
      </c>
      <c r="Q4611" s="43">
        <f>IF($I4611=0,0,$Q4610+$P4611+$O4611)</f>
      </c>
      <c r="R4611" s="43">
        <f>IF($I4611=0,0,$J4611-$M4611-$N4611)</f>
      </c>
    </row>
    <row r="4612">
      <c r="A4612"/>
      <c r="B4612">
        <v>10</v>
      </c>
      <c r="C4612" s="43">
        <f>INDEX(DarlObj,10)</f>
      </c>
      <c r="D4612">
        <v>289</v>
      </c>
      <c r="E4612" s="51">
        <f>IF(INDEX(DarlBelegt,10)=0,0,EOMONTH(INDEX(DarlAuszahlung,10),288)+1)</f>
      </c>
      <c r="F4612" s="43">
        <f>IF($E4612=0,0,YEAR($E4612))</f>
      </c>
      <c r="G4612" s="43">
        <f>IF(INDEX(DarlBindung,10)="",1,IF($E4612&lt;=INDEX(DarlBindung,10),1,0))</f>
      </c>
      <c r="H4612" s="43">
        <f>IF($G4612=1,INDEX(DarlSollzins,10),INDEX(DarlAnschluss,10))</f>
      </c>
      <c r="I4612" s="43">
        <f>IF(INDEX(DarlBelegt,10)=0,0,IF(INDEX(DarlOhneTilgung,10)=1,IF(INDEX(DarlBindung,10)="",1,$G4612),IF($J4612&gt;0.005,1,0)))</f>
      </c>
      <c r="J4612" s="43">
        <f>IF($I4611=0,0,$R4611)</f>
      </c>
      <c r="K4612" s="43">
        <f>IF($I4612=0,0,IF(INDEX(DarlOhneTilgung,10)=1,0,IF(AND(INDEX(DarlTilgStart,10)&gt;0,$E4612=INDEX(DarlTilgStart,10)),$J4612*($H4612+INDEX(DarlTilgung,10))/100/12,IF(AND($G4612=0,$G4611=1),MAX($K4611,$J4612*($H4612+1)/100/12),$K4611))))</f>
      </c>
      <c r="L4612" s="43">
        <f>IF($I4612=0,0,$J4612*$H4612/100/12)</f>
      </c>
      <c r="M4612" s="43">
        <f>IF($I4612=0,0,IF(OR(INDEX(DarlOhneTilgung,10)=1,AND(INDEX(DarlTilgStart,10)&gt;0,$E4612&lt;INDEX(DarlTilgStart,10))),0,MIN(MAX(0,$K4612-$L4612),$J4612)))</f>
      </c>
      <c r="N4612" s="43">
        <f>IF($I4612=0,0,MIN(SUMIFS(SondBetrag,SondDarl,10,SondDatum,"&gt;="&amp;$E4612,SondDatum,"&lt;="&amp;EOMONTH($E4612,0)),$J4612-$M4612))</f>
      </c>
      <c r="O4612" s="43">
        <f>IF($I4612=0,0,INDEX(DarlErsatzRate,10))</f>
      </c>
      <c r="P4612" s="43">
        <f>IF($I4612=0,0,$Q4611*INDEX(DarlErsatzZins,10))</f>
      </c>
      <c r="Q4612" s="43">
        <f>IF($I4612=0,0,$Q4611+$P4612+$O4612)</f>
      </c>
      <c r="R4612" s="43">
        <f>IF($I4612=0,0,$J4612-$M4612-$N4612)</f>
      </c>
    </row>
    <row r="4613">
      <c r="A4613"/>
      <c r="B4613">
        <v>10</v>
      </c>
      <c r="C4613" s="43">
        <f>INDEX(DarlObj,10)</f>
      </c>
      <c r="D4613">
        <v>290</v>
      </c>
      <c r="E4613" s="51">
        <f>IF(INDEX(DarlBelegt,10)=0,0,EOMONTH(INDEX(DarlAuszahlung,10),289)+1)</f>
      </c>
      <c r="F4613" s="43">
        <f>IF($E4613=0,0,YEAR($E4613))</f>
      </c>
      <c r="G4613" s="43">
        <f>IF(INDEX(DarlBindung,10)="",1,IF($E4613&lt;=INDEX(DarlBindung,10),1,0))</f>
      </c>
      <c r="H4613" s="43">
        <f>IF($G4613=1,INDEX(DarlSollzins,10),INDEX(DarlAnschluss,10))</f>
      </c>
      <c r="I4613" s="43">
        <f>IF(INDEX(DarlBelegt,10)=0,0,IF(INDEX(DarlOhneTilgung,10)=1,IF(INDEX(DarlBindung,10)="",1,$G4613),IF($J4613&gt;0.005,1,0)))</f>
      </c>
      <c r="J4613" s="43">
        <f>IF($I4612=0,0,$R4612)</f>
      </c>
      <c r="K4613" s="43">
        <f>IF($I4613=0,0,IF(INDEX(DarlOhneTilgung,10)=1,0,IF(AND(INDEX(DarlTilgStart,10)&gt;0,$E4613=INDEX(DarlTilgStart,10)),$J4613*($H4613+INDEX(DarlTilgung,10))/100/12,IF(AND($G4613=0,$G4612=1),MAX($K4612,$J4613*($H4613+1)/100/12),$K4612))))</f>
      </c>
      <c r="L4613" s="43">
        <f>IF($I4613=0,0,$J4613*$H4613/100/12)</f>
      </c>
      <c r="M4613" s="43">
        <f>IF($I4613=0,0,IF(OR(INDEX(DarlOhneTilgung,10)=1,AND(INDEX(DarlTilgStart,10)&gt;0,$E4613&lt;INDEX(DarlTilgStart,10))),0,MIN(MAX(0,$K4613-$L4613),$J4613)))</f>
      </c>
      <c r="N4613" s="43">
        <f>IF($I4613=0,0,MIN(SUMIFS(SondBetrag,SondDarl,10,SondDatum,"&gt;="&amp;$E4613,SondDatum,"&lt;="&amp;EOMONTH($E4613,0)),$J4613-$M4613))</f>
      </c>
      <c r="O4613" s="43">
        <f>IF($I4613=0,0,INDEX(DarlErsatzRate,10))</f>
      </c>
      <c r="P4613" s="43">
        <f>IF($I4613=0,0,$Q4612*INDEX(DarlErsatzZins,10))</f>
      </c>
      <c r="Q4613" s="43">
        <f>IF($I4613=0,0,$Q4612+$P4613+$O4613)</f>
      </c>
      <c r="R4613" s="43">
        <f>IF($I4613=0,0,$J4613-$M4613-$N4613)</f>
      </c>
    </row>
    <row r="4614">
      <c r="A4614"/>
      <c r="B4614">
        <v>10</v>
      </c>
      <c r="C4614" s="43">
        <f>INDEX(DarlObj,10)</f>
      </c>
      <c r="D4614">
        <v>291</v>
      </c>
      <c r="E4614" s="51">
        <f>IF(INDEX(DarlBelegt,10)=0,0,EOMONTH(INDEX(DarlAuszahlung,10),290)+1)</f>
      </c>
      <c r="F4614" s="43">
        <f>IF($E4614=0,0,YEAR($E4614))</f>
      </c>
      <c r="G4614" s="43">
        <f>IF(INDEX(DarlBindung,10)="",1,IF($E4614&lt;=INDEX(DarlBindung,10),1,0))</f>
      </c>
      <c r="H4614" s="43">
        <f>IF($G4614=1,INDEX(DarlSollzins,10),INDEX(DarlAnschluss,10))</f>
      </c>
      <c r="I4614" s="43">
        <f>IF(INDEX(DarlBelegt,10)=0,0,IF(INDEX(DarlOhneTilgung,10)=1,IF(INDEX(DarlBindung,10)="",1,$G4614),IF($J4614&gt;0.005,1,0)))</f>
      </c>
      <c r="J4614" s="43">
        <f>IF($I4613=0,0,$R4613)</f>
      </c>
      <c r="K4614" s="43">
        <f>IF($I4614=0,0,IF(INDEX(DarlOhneTilgung,10)=1,0,IF(AND(INDEX(DarlTilgStart,10)&gt;0,$E4614=INDEX(DarlTilgStart,10)),$J4614*($H4614+INDEX(DarlTilgung,10))/100/12,IF(AND($G4614=0,$G4613=1),MAX($K4613,$J4614*($H4614+1)/100/12),$K4613))))</f>
      </c>
      <c r="L4614" s="43">
        <f>IF($I4614=0,0,$J4614*$H4614/100/12)</f>
      </c>
      <c r="M4614" s="43">
        <f>IF($I4614=0,0,IF(OR(INDEX(DarlOhneTilgung,10)=1,AND(INDEX(DarlTilgStart,10)&gt;0,$E4614&lt;INDEX(DarlTilgStart,10))),0,MIN(MAX(0,$K4614-$L4614),$J4614)))</f>
      </c>
      <c r="N4614" s="43">
        <f>IF($I4614=0,0,MIN(SUMIFS(SondBetrag,SondDarl,10,SondDatum,"&gt;="&amp;$E4614,SondDatum,"&lt;="&amp;EOMONTH($E4614,0)),$J4614-$M4614))</f>
      </c>
      <c r="O4614" s="43">
        <f>IF($I4614=0,0,INDEX(DarlErsatzRate,10))</f>
      </c>
      <c r="P4614" s="43">
        <f>IF($I4614=0,0,$Q4613*INDEX(DarlErsatzZins,10))</f>
      </c>
      <c r="Q4614" s="43">
        <f>IF($I4614=0,0,$Q4613+$P4614+$O4614)</f>
      </c>
      <c r="R4614" s="43">
        <f>IF($I4614=0,0,$J4614-$M4614-$N4614)</f>
      </c>
    </row>
    <row r="4615">
      <c r="A4615"/>
      <c r="B4615">
        <v>10</v>
      </c>
      <c r="C4615" s="43">
        <f>INDEX(DarlObj,10)</f>
      </c>
      <c r="D4615">
        <v>292</v>
      </c>
      <c r="E4615" s="51">
        <f>IF(INDEX(DarlBelegt,10)=0,0,EOMONTH(INDEX(DarlAuszahlung,10),291)+1)</f>
      </c>
      <c r="F4615" s="43">
        <f>IF($E4615=0,0,YEAR($E4615))</f>
      </c>
      <c r="G4615" s="43">
        <f>IF(INDEX(DarlBindung,10)="",1,IF($E4615&lt;=INDEX(DarlBindung,10),1,0))</f>
      </c>
      <c r="H4615" s="43">
        <f>IF($G4615=1,INDEX(DarlSollzins,10),INDEX(DarlAnschluss,10))</f>
      </c>
      <c r="I4615" s="43">
        <f>IF(INDEX(DarlBelegt,10)=0,0,IF(INDEX(DarlOhneTilgung,10)=1,IF(INDEX(DarlBindung,10)="",1,$G4615),IF($J4615&gt;0.005,1,0)))</f>
      </c>
      <c r="J4615" s="43">
        <f>IF($I4614=0,0,$R4614)</f>
      </c>
      <c r="K4615" s="43">
        <f>IF($I4615=0,0,IF(INDEX(DarlOhneTilgung,10)=1,0,IF(AND(INDEX(DarlTilgStart,10)&gt;0,$E4615=INDEX(DarlTilgStart,10)),$J4615*($H4615+INDEX(DarlTilgung,10))/100/12,IF(AND($G4615=0,$G4614=1),MAX($K4614,$J4615*($H4615+1)/100/12),$K4614))))</f>
      </c>
      <c r="L4615" s="43">
        <f>IF($I4615=0,0,$J4615*$H4615/100/12)</f>
      </c>
      <c r="M4615" s="43">
        <f>IF($I4615=0,0,IF(OR(INDEX(DarlOhneTilgung,10)=1,AND(INDEX(DarlTilgStart,10)&gt;0,$E4615&lt;INDEX(DarlTilgStart,10))),0,MIN(MAX(0,$K4615-$L4615),$J4615)))</f>
      </c>
      <c r="N4615" s="43">
        <f>IF($I4615=0,0,MIN(SUMIFS(SondBetrag,SondDarl,10,SondDatum,"&gt;="&amp;$E4615,SondDatum,"&lt;="&amp;EOMONTH($E4615,0)),$J4615-$M4615))</f>
      </c>
      <c r="O4615" s="43">
        <f>IF($I4615=0,0,INDEX(DarlErsatzRate,10))</f>
      </c>
      <c r="P4615" s="43">
        <f>IF($I4615=0,0,$Q4614*INDEX(DarlErsatzZins,10))</f>
      </c>
      <c r="Q4615" s="43">
        <f>IF($I4615=0,0,$Q4614+$P4615+$O4615)</f>
      </c>
      <c r="R4615" s="43">
        <f>IF($I4615=0,0,$J4615-$M4615-$N4615)</f>
      </c>
    </row>
    <row r="4616">
      <c r="A4616"/>
      <c r="B4616">
        <v>10</v>
      </c>
      <c r="C4616" s="43">
        <f>INDEX(DarlObj,10)</f>
      </c>
      <c r="D4616">
        <v>293</v>
      </c>
      <c r="E4616" s="51">
        <f>IF(INDEX(DarlBelegt,10)=0,0,EOMONTH(INDEX(DarlAuszahlung,10),292)+1)</f>
      </c>
      <c r="F4616" s="43">
        <f>IF($E4616=0,0,YEAR($E4616))</f>
      </c>
      <c r="G4616" s="43">
        <f>IF(INDEX(DarlBindung,10)="",1,IF($E4616&lt;=INDEX(DarlBindung,10),1,0))</f>
      </c>
      <c r="H4616" s="43">
        <f>IF($G4616=1,INDEX(DarlSollzins,10),INDEX(DarlAnschluss,10))</f>
      </c>
      <c r="I4616" s="43">
        <f>IF(INDEX(DarlBelegt,10)=0,0,IF(INDEX(DarlOhneTilgung,10)=1,IF(INDEX(DarlBindung,10)="",1,$G4616),IF($J4616&gt;0.005,1,0)))</f>
      </c>
      <c r="J4616" s="43">
        <f>IF($I4615=0,0,$R4615)</f>
      </c>
      <c r="K4616" s="43">
        <f>IF($I4616=0,0,IF(INDEX(DarlOhneTilgung,10)=1,0,IF(AND(INDEX(DarlTilgStart,10)&gt;0,$E4616=INDEX(DarlTilgStart,10)),$J4616*($H4616+INDEX(DarlTilgung,10))/100/12,IF(AND($G4616=0,$G4615=1),MAX($K4615,$J4616*($H4616+1)/100/12),$K4615))))</f>
      </c>
      <c r="L4616" s="43">
        <f>IF($I4616=0,0,$J4616*$H4616/100/12)</f>
      </c>
      <c r="M4616" s="43">
        <f>IF($I4616=0,0,IF(OR(INDEX(DarlOhneTilgung,10)=1,AND(INDEX(DarlTilgStart,10)&gt;0,$E4616&lt;INDEX(DarlTilgStart,10))),0,MIN(MAX(0,$K4616-$L4616),$J4616)))</f>
      </c>
      <c r="N4616" s="43">
        <f>IF($I4616=0,0,MIN(SUMIFS(SondBetrag,SondDarl,10,SondDatum,"&gt;="&amp;$E4616,SondDatum,"&lt;="&amp;EOMONTH($E4616,0)),$J4616-$M4616))</f>
      </c>
      <c r="O4616" s="43">
        <f>IF($I4616=0,0,INDEX(DarlErsatzRate,10))</f>
      </c>
      <c r="P4616" s="43">
        <f>IF($I4616=0,0,$Q4615*INDEX(DarlErsatzZins,10))</f>
      </c>
      <c r="Q4616" s="43">
        <f>IF($I4616=0,0,$Q4615+$P4616+$O4616)</f>
      </c>
      <c r="R4616" s="43">
        <f>IF($I4616=0,0,$J4616-$M4616-$N4616)</f>
      </c>
    </row>
    <row r="4617">
      <c r="A4617"/>
      <c r="B4617">
        <v>10</v>
      </c>
      <c r="C4617" s="43">
        <f>INDEX(DarlObj,10)</f>
      </c>
      <c r="D4617">
        <v>294</v>
      </c>
      <c r="E4617" s="51">
        <f>IF(INDEX(DarlBelegt,10)=0,0,EOMONTH(INDEX(DarlAuszahlung,10),293)+1)</f>
      </c>
      <c r="F4617" s="43">
        <f>IF($E4617=0,0,YEAR($E4617))</f>
      </c>
      <c r="G4617" s="43">
        <f>IF(INDEX(DarlBindung,10)="",1,IF($E4617&lt;=INDEX(DarlBindung,10),1,0))</f>
      </c>
      <c r="H4617" s="43">
        <f>IF($G4617=1,INDEX(DarlSollzins,10),INDEX(DarlAnschluss,10))</f>
      </c>
      <c r="I4617" s="43">
        <f>IF(INDEX(DarlBelegt,10)=0,0,IF(INDEX(DarlOhneTilgung,10)=1,IF(INDEX(DarlBindung,10)="",1,$G4617),IF($J4617&gt;0.005,1,0)))</f>
      </c>
      <c r="J4617" s="43">
        <f>IF($I4616=0,0,$R4616)</f>
      </c>
      <c r="K4617" s="43">
        <f>IF($I4617=0,0,IF(INDEX(DarlOhneTilgung,10)=1,0,IF(AND(INDEX(DarlTilgStart,10)&gt;0,$E4617=INDEX(DarlTilgStart,10)),$J4617*($H4617+INDEX(DarlTilgung,10))/100/12,IF(AND($G4617=0,$G4616=1),MAX($K4616,$J4617*($H4617+1)/100/12),$K4616))))</f>
      </c>
      <c r="L4617" s="43">
        <f>IF($I4617=0,0,$J4617*$H4617/100/12)</f>
      </c>
      <c r="M4617" s="43">
        <f>IF($I4617=0,0,IF(OR(INDEX(DarlOhneTilgung,10)=1,AND(INDEX(DarlTilgStart,10)&gt;0,$E4617&lt;INDEX(DarlTilgStart,10))),0,MIN(MAX(0,$K4617-$L4617),$J4617)))</f>
      </c>
      <c r="N4617" s="43">
        <f>IF($I4617=0,0,MIN(SUMIFS(SondBetrag,SondDarl,10,SondDatum,"&gt;="&amp;$E4617,SondDatum,"&lt;="&amp;EOMONTH($E4617,0)),$J4617-$M4617))</f>
      </c>
      <c r="O4617" s="43">
        <f>IF($I4617=0,0,INDEX(DarlErsatzRate,10))</f>
      </c>
      <c r="P4617" s="43">
        <f>IF($I4617=0,0,$Q4616*INDEX(DarlErsatzZins,10))</f>
      </c>
      <c r="Q4617" s="43">
        <f>IF($I4617=0,0,$Q4616+$P4617+$O4617)</f>
      </c>
      <c r="R4617" s="43">
        <f>IF($I4617=0,0,$J4617-$M4617-$N4617)</f>
      </c>
    </row>
    <row r="4618">
      <c r="A4618"/>
      <c r="B4618">
        <v>10</v>
      </c>
      <c r="C4618" s="43">
        <f>INDEX(DarlObj,10)</f>
      </c>
      <c r="D4618">
        <v>295</v>
      </c>
      <c r="E4618" s="51">
        <f>IF(INDEX(DarlBelegt,10)=0,0,EOMONTH(INDEX(DarlAuszahlung,10),294)+1)</f>
      </c>
      <c r="F4618" s="43">
        <f>IF($E4618=0,0,YEAR($E4618))</f>
      </c>
      <c r="G4618" s="43">
        <f>IF(INDEX(DarlBindung,10)="",1,IF($E4618&lt;=INDEX(DarlBindung,10),1,0))</f>
      </c>
      <c r="H4618" s="43">
        <f>IF($G4618=1,INDEX(DarlSollzins,10),INDEX(DarlAnschluss,10))</f>
      </c>
      <c r="I4618" s="43">
        <f>IF(INDEX(DarlBelegt,10)=0,0,IF(INDEX(DarlOhneTilgung,10)=1,IF(INDEX(DarlBindung,10)="",1,$G4618),IF($J4618&gt;0.005,1,0)))</f>
      </c>
      <c r="J4618" s="43">
        <f>IF($I4617=0,0,$R4617)</f>
      </c>
      <c r="K4618" s="43">
        <f>IF($I4618=0,0,IF(INDEX(DarlOhneTilgung,10)=1,0,IF(AND(INDEX(DarlTilgStart,10)&gt;0,$E4618=INDEX(DarlTilgStart,10)),$J4618*($H4618+INDEX(DarlTilgung,10))/100/12,IF(AND($G4618=0,$G4617=1),MAX($K4617,$J4618*($H4618+1)/100/12),$K4617))))</f>
      </c>
      <c r="L4618" s="43">
        <f>IF($I4618=0,0,$J4618*$H4618/100/12)</f>
      </c>
      <c r="M4618" s="43">
        <f>IF($I4618=0,0,IF(OR(INDEX(DarlOhneTilgung,10)=1,AND(INDEX(DarlTilgStart,10)&gt;0,$E4618&lt;INDEX(DarlTilgStart,10))),0,MIN(MAX(0,$K4618-$L4618),$J4618)))</f>
      </c>
      <c r="N4618" s="43">
        <f>IF($I4618=0,0,MIN(SUMIFS(SondBetrag,SondDarl,10,SondDatum,"&gt;="&amp;$E4618,SondDatum,"&lt;="&amp;EOMONTH($E4618,0)),$J4618-$M4618))</f>
      </c>
      <c r="O4618" s="43">
        <f>IF($I4618=0,0,INDEX(DarlErsatzRate,10))</f>
      </c>
      <c r="P4618" s="43">
        <f>IF($I4618=0,0,$Q4617*INDEX(DarlErsatzZins,10))</f>
      </c>
      <c r="Q4618" s="43">
        <f>IF($I4618=0,0,$Q4617+$P4618+$O4618)</f>
      </c>
      <c r="R4618" s="43">
        <f>IF($I4618=0,0,$J4618-$M4618-$N4618)</f>
      </c>
    </row>
    <row r="4619">
      <c r="A4619"/>
      <c r="B4619">
        <v>10</v>
      </c>
      <c r="C4619" s="43">
        <f>INDEX(DarlObj,10)</f>
      </c>
      <c r="D4619">
        <v>296</v>
      </c>
      <c r="E4619" s="51">
        <f>IF(INDEX(DarlBelegt,10)=0,0,EOMONTH(INDEX(DarlAuszahlung,10),295)+1)</f>
      </c>
      <c r="F4619" s="43">
        <f>IF($E4619=0,0,YEAR($E4619))</f>
      </c>
      <c r="G4619" s="43">
        <f>IF(INDEX(DarlBindung,10)="",1,IF($E4619&lt;=INDEX(DarlBindung,10),1,0))</f>
      </c>
      <c r="H4619" s="43">
        <f>IF($G4619=1,INDEX(DarlSollzins,10),INDEX(DarlAnschluss,10))</f>
      </c>
      <c r="I4619" s="43">
        <f>IF(INDEX(DarlBelegt,10)=0,0,IF(INDEX(DarlOhneTilgung,10)=1,IF(INDEX(DarlBindung,10)="",1,$G4619),IF($J4619&gt;0.005,1,0)))</f>
      </c>
      <c r="J4619" s="43">
        <f>IF($I4618=0,0,$R4618)</f>
      </c>
      <c r="K4619" s="43">
        <f>IF($I4619=0,0,IF(INDEX(DarlOhneTilgung,10)=1,0,IF(AND(INDEX(DarlTilgStart,10)&gt;0,$E4619=INDEX(DarlTilgStart,10)),$J4619*($H4619+INDEX(DarlTilgung,10))/100/12,IF(AND($G4619=0,$G4618=1),MAX($K4618,$J4619*($H4619+1)/100/12),$K4618))))</f>
      </c>
      <c r="L4619" s="43">
        <f>IF($I4619=0,0,$J4619*$H4619/100/12)</f>
      </c>
      <c r="M4619" s="43">
        <f>IF($I4619=0,0,IF(OR(INDEX(DarlOhneTilgung,10)=1,AND(INDEX(DarlTilgStart,10)&gt;0,$E4619&lt;INDEX(DarlTilgStart,10))),0,MIN(MAX(0,$K4619-$L4619),$J4619)))</f>
      </c>
      <c r="N4619" s="43">
        <f>IF($I4619=0,0,MIN(SUMIFS(SondBetrag,SondDarl,10,SondDatum,"&gt;="&amp;$E4619,SondDatum,"&lt;="&amp;EOMONTH($E4619,0)),$J4619-$M4619))</f>
      </c>
      <c r="O4619" s="43">
        <f>IF($I4619=0,0,INDEX(DarlErsatzRate,10))</f>
      </c>
      <c r="P4619" s="43">
        <f>IF($I4619=0,0,$Q4618*INDEX(DarlErsatzZins,10))</f>
      </c>
      <c r="Q4619" s="43">
        <f>IF($I4619=0,0,$Q4618+$P4619+$O4619)</f>
      </c>
      <c r="R4619" s="43">
        <f>IF($I4619=0,0,$J4619-$M4619-$N4619)</f>
      </c>
    </row>
    <row r="4620">
      <c r="A4620"/>
      <c r="B4620">
        <v>10</v>
      </c>
      <c r="C4620" s="43">
        <f>INDEX(DarlObj,10)</f>
      </c>
      <c r="D4620">
        <v>297</v>
      </c>
      <c r="E4620" s="51">
        <f>IF(INDEX(DarlBelegt,10)=0,0,EOMONTH(INDEX(DarlAuszahlung,10),296)+1)</f>
      </c>
      <c r="F4620" s="43">
        <f>IF($E4620=0,0,YEAR($E4620))</f>
      </c>
      <c r="G4620" s="43">
        <f>IF(INDEX(DarlBindung,10)="",1,IF($E4620&lt;=INDEX(DarlBindung,10),1,0))</f>
      </c>
      <c r="H4620" s="43">
        <f>IF($G4620=1,INDEX(DarlSollzins,10),INDEX(DarlAnschluss,10))</f>
      </c>
      <c r="I4620" s="43">
        <f>IF(INDEX(DarlBelegt,10)=0,0,IF(INDEX(DarlOhneTilgung,10)=1,IF(INDEX(DarlBindung,10)="",1,$G4620),IF($J4620&gt;0.005,1,0)))</f>
      </c>
      <c r="J4620" s="43">
        <f>IF($I4619=0,0,$R4619)</f>
      </c>
      <c r="K4620" s="43">
        <f>IF($I4620=0,0,IF(INDEX(DarlOhneTilgung,10)=1,0,IF(AND(INDEX(DarlTilgStart,10)&gt;0,$E4620=INDEX(DarlTilgStart,10)),$J4620*($H4620+INDEX(DarlTilgung,10))/100/12,IF(AND($G4620=0,$G4619=1),MAX($K4619,$J4620*($H4620+1)/100/12),$K4619))))</f>
      </c>
      <c r="L4620" s="43">
        <f>IF($I4620=0,0,$J4620*$H4620/100/12)</f>
      </c>
      <c r="M4620" s="43">
        <f>IF($I4620=0,0,IF(OR(INDEX(DarlOhneTilgung,10)=1,AND(INDEX(DarlTilgStart,10)&gt;0,$E4620&lt;INDEX(DarlTilgStart,10))),0,MIN(MAX(0,$K4620-$L4620),$J4620)))</f>
      </c>
      <c r="N4620" s="43">
        <f>IF($I4620=0,0,MIN(SUMIFS(SondBetrag,SondDarl,10,SondDatum,"&gt;="&amp;$E4620,SondDatum,"&lt;="&amp;EOMONTH($E4620,0)),$J4620-$M4620))</f>
      </c>
      <c r="O4620" s="43">
        <f>IF($I4620=0,0,INDEX(DarlErsatzRate,10))</f>
      </c>
      <c r="P4620" s="43">
        <f>IF($I4620=0,0,$Q4619*INDEX(DarlErsatzZins,10))</f>
      </c>
      <c r="Q4620" s="43">
        <f>IF($I4620=0,0,$Q4619+$P4620+$O4620)</f>
      </c>
      <c r="R4620" s="43">
        <f>IF($I4620=0,0,$J4620-$M4620-$N4620)</f>
      </c>
    </row>
    <row r="4621">
      <c r="A4621"/>
      <c r="B4621">
        <v>10</v>
      </c>
      <c r="C4621" s="43">
        <f>INDEX(DarlObj,10)</f>
      </c>
      <c r="D4621">
        <v>298</v>
      </c>
      <c r="E4621" s="51">
        <f>IF(INDEX(DarlBelegt,10)=0,0,EOMONTH(INDEX(DarlAuszahlung,10),297)+1)</f>
      </c>
      <c r="F4621" s="43">
        <f>IF($E4621=0,0,YEAR($E4621))</f>
      </c>
      <c r="G4621" s="43">
        <f>IF(INDEX(DarlBindung,10)="",1,IF($E4621&lt;=INDEX(DarlBindung,10),1,0))</f>
      </c>
      <c r="H4621" s="43">
        <f>IF($G4621=1,INDEX(DarlSollzins,10),INDEX(DarlAnschluss,10))</f>
      </c>
      <c r="I4621" s="43">
        <f>IF(INDEX(DarlBelegt,10)=0,0,IF(INDEX(DarlOhneTilgung,10)=1,IF(INDEX(DarlBindung,10)="",1,$G4621),IF($J4621&gt;0.005,1,0)))</f>
      </c>
      <c r="J4621" s="43">
        <f>IF($I4620=0,0,$R4620)</f>
      </c>
      <c r="K4621" s="43">
        <f>IF($I4621=0,0,IF(INDEX(DarlOhneTilgung,10)=1,0,IF(AND(INDEX(DarlTilgStart,10)&gt;0,$E4621=INDEX(DarlTilgStart,10)),$J4621*($H4621+INDEX(DarlTilgung,10))/100/12,IF(AND($G4621=0,$G4620=1),MAX($K4620,$J4621*($H4621+1)/100/12),$K4620))))</f>
      </c>
      <c r="L4621" s="43">
        <f>IF($I4621=0,0,$J4621*$H4621/100/12)</f>
      </c>
      <c r="M4621" s="43">
        <f>IF($I4621=0,0,IF(OR(INDEX(DarlOhneTilgung,10)=1,AND(INDEX(DarlTilgStart,10)&gt;0,$E4621&lt;INDEX(DarlTilgStart,10))),0,MIN(MAX(0,$K4621-$L4621),$J4621)))</f>
      </c>
      <c r="N4621" s="43">
        <f>IF($I4621=0,0,MIN(SUMIFS(SondBetrag,SondDarl,10,SondDatum,"&gt;="&amp;$E4621,SondDatum,"&lt;="&amp;EOMONTH($E4621,0)),$J4621-$M4621))</f>
      </c>
      <c r="O4621" s="43">
        <f>IF($I4621=0,0,INDEX(DarlErsatzRate,10))</f>
      </c>
      <c r="P4621" s="43">
        <f>IF($I4621=0,0,$Q4620*INDEX(DarlErsatzZins,10))</f>
      </c>
      <c r="Q4621" s="43">
        <f>IF($I4621=0,0,$Q4620+$P4621+$O4621)</f>
      </c>
      <c r="R4621" s="43">
        <f>IF($I4621=0,0,$J4621-$M4621-$N4621)</f>
      </c>
    </row>
    <row r="4622">
      <c r="A4622"/>
      <c r="B4622">
        <v>10</v>
      </c>
      <c r="C4622" s="43">
        <f>INDEX(DarlObj,10)</f>
      </c>
      <c r="D4622">
        <v>299</v>
      </c>
      <c r="E4622" s="51">
        <f>IF(INDEX(DarlBelegt,10)=0,0,EOMONTH(INDEX(DarlAuszahlung,10),298)+1)</f>
      </c>
      <c r="F4622" s="43">
        <f>IF($E4622=0,0,YEAR($E4622))</f>
      </c>
      <c r="G4622" s="43">
        <f>IF(INDEX(DarlBindung,10)="",1,IF($E4622&lt;=INDEX(DarlBindung,10),1,0))</f>
      </c>
      <c r="H4622" s="43">
        <f>IF($G4622=1,INDEX(DarlSollzins,10),INDEX(DarlAnschluss,10))</f>
      </c>
      <c r="I4622" s="43">
        <f>IF(INDEX(DarlBelegt,10)=0,0,IF(INDEX(DarlOhneTilgung,10)=1,IF(INDEX(DarlBindung,10)="",1,$G4622),IF($J4622&gt;0.005,1,0)))</f>
      </c>
      <c r="J4622" s="43">
        <f>IF($I4621=0,0,$R4621)</f>
      </c>
      <c r="K4622" s="43">
        <f>IF($I4622=0,0,IF(INDEX(DarlOhneTilgung,10)=1,0,IF(AND(INDEX(DarlTilgStart,10)&gt;0,$E4622=INDEX(DarlTilgStart,10)),$J4622*($H4622+INDEX(DarlTilgung,10))/100/12,IF(AND($G4622=0,$G4621=1),MAX($K4621,$J4622*($H4622+1)/100/12),$K4621))))</f>
      </c>
      <c r="L4622" s="43">
        <f>IF($I4622=0,0,$J4622*$H4622/100/12)</f>
      </c>
      <c r="M4622" s="43">
        <f>IF($I4622=0,0,IF(OR(INDEX(DarlOhneTilgung,10)=1,AND(INDEX(DarlTilgStart,10)&gt;0,$E4622&lt;INDEX(DarlTilgStart,10))),0,MIN(MAX(0,$K4622-$L4622),$J4622)))</f>
      </c>
      <c r="N4622" s="43">
        <f>IF($I4622=0,0,MIN(SUMIFS(SondBetrag,SondDarl,10,SondDatum,"&gt;="&amp;$E4622,SondDatum,"&lt;="&amp;EOMONTH($E4622,0)),$J4622-$M4622))</f>
      </c>
      <c r="O4622" s="43">
        <f>IF($I4622=0,0,INDEX(DarlErsatzRate,10))</f>
      </c>
      <c r="P4622" s="43">
        <f>IF($I4622=0,0,$Q4621*INDEX(DarlErsatzZins,10))</f>
      </c>
      <c r="Q4622" s="43">
        <f>IF($I4622=0,0,$Q4621+$P4622+$O4622)</f>
      </c>
      <c r="R4622" s="43">
        <f>IF($I4622=0,0,$J4622-$M4622-$N4622)</f>
      </c>
    </row>
    <row r="4623">
      <c r="A4623"/>
      <c r="B4623">
        <v>10</v>
      </c>
      <c r="C4623" s="43">
        <f>INDEX(DarlObj,10)</f>
      </c>
      <c r="D4623">
        <v>300</v>
      </c>
      <c r="E4623" s="51">
        <f>IF(INDEX(DarlBelegt,10)=0,0,EOMONTH(INDEX(DarlAuszahlung,10),299)+1)</f>
      </c>
      <c r="F4623" s="43">
        <f>IF($E4623=0,0,YEAR($E4623))</f>
      </c>
      <c r="G4623" s="43">
        <f>IF(INDEX(DarlBindung,10)="",1,IF($E4623&lt;=INDEX(DarlBindung,10),1,0))</f>
      </c>
      <c r="H4623" s="43">
        <f>IF($G4623=1,INDEX(DarlSollzins,10),INDEX(DarlAnschluss,10))</f>
      </c>
      <c r="I4623" s="43">
        <f>IF(INDEX(DarlBelegt,10)=0,0,IF(INDEX(DarlOhneTilgung,10)=1,IF(INDEX(DarlBindung,10)="",1,$G4623),IF($J4623&gt;0.005,1,0)))</f>
      </c>
      <c r="J4623" s="43">
        <f>IF($I4622=0,0,$R4622)</f>
      </c>
      <c r="K4623" s="43">
        <f>IF($I4623=0,0,IF(INDEX(DarlOhneTilgung,10)=1,0,IF(AND(INDEX(DarlTilgStart,10)&gt;0,$E4623=INDEX(DarlTilgStart,10)),$J4623*($H4623+INDEX(DarlTilgung,10))/100/12,IF(AND($G4623=0,$G4622=1),MAX($K4622,$J4623*($H4623+1)/100/12),$K4622))))</f>
      </c>
      <c r="L4623" s="43">
        <f>IF($I4623=0,0,$J4623*$H4623/100/12)</f>
      </c>
      <c r="M4623" s="43">
        <f>IF($I4623=0,0,IF(OR(INDEX(DarlOhneTilgung,10)=1,AND(INDEX(DarlTilgStart,10)&gt;0,$E4623&lt;INDEX(DarlTilgStart,10))),0,MIN(MAX(0,$K4623-$L4623),$J4623)))</f>
      </c>
      <c r="N4623" s="43">
        <f>IF($I4623=0,0,MIN(SUMIFS(SondBetrag,SondDarl,10,SondDatum,"&gt;="&amp;$E4623,SondDatum,"&lt;="&amp;EOMONTH($E4623,0)),$J4623-$M4623))</f>
      </c>
      <c r="O4623" s="43">
        <f>IF($I4623=0,0,INDEX(DarlErsatzRate,10))</f>
      </c>
      <c r="P4623" s="43">
        <f>IF($I4623=0,0,$Q4622*INDEX(DarlErsatzZins,10))</f>
      </c>
      <c r="Q4623" s="43">
        <f>IF($I4623=0,0,$Q4622+$P4623+$O4623)</f>
      </c>
      <c r="R4623" s="43">
        <f>IF($I4623=0,0,$J4623-$M4623-$N4623)</f>
      </c>
    </row>
    <row r="4624">
      <c r="A4624"/>
      <c r="B4624">
        <v>10</v>
      </c>
      <c r="C4624" s="43">
        <f>INDEX(DarlObj,10)</f>
      </c>
      <c r="D4624">
        <v>301</v>
      </c>
      <c r="E4624" s="51">
        <f>IF(INDEX(DarlBelegt,10)=0,0,EOMONTH(INDEX(DarlAuszahlung,10),300)+1)</f>
      </c>
      <c r="F4624" s="43">
        <f>IF($E4624=0,0,YEAR($E4624))</f>
      </c>
      <c r="G4624" s="43">
        <f>IF(INDEX(DarlBindung,10)="",1,IF($E4624&lt;=INDEX(DarlBindung,10),1,0))</f>
      </c>
      <c r="H4624" s="43">
        <f>IF($G4624=1,INDEX(DarlSollzins,10),INDEX(DarlAnschluss,10))</f>
      </c>
      <c r="I4624" s="43">
        <f>IF(INDEX(DarlBelegt,10)=0,0,IF(INDEX(DarlOhneTilgung,10)=1,IF(INDEX(DarlBindung,10)="",1,$G4624),IF($J4624&gt;0.005,1,0)))</f>
      </c>
      <c r="J4624" s="43">
        <f>IF($I4623=0,0,$R4623)</f>
      </c>
      <c r="K4624" s="43">
        <f>IF($I4624=0,0,IF(INDEX(DarlOhneTilgung,10)=1,0,IF(AND(INDEX(DarlTilgStart,10)&gt;0,$E4624=INDEX(DarlTilgStart,10)),$J4624*($H4624+INDEX(DarlTilgung,10))/100/12,IF(AND($G4624=0,$G4623=1),MAX($K4623,$J4624*($H4624+1)/100/12),$K4623))))</f>
      </c>
      <c r="L4624" s="43">
        <f>IF($I4624=0,0,$J4624*$H4624/100/12)</f>
      </c>
      <c r="M4624" s="43">
        <f>IF($I4624=0,0,IF(OR(INDEX(DarlOhneTilgung,10)=1,AND(INDEX(DarlTilgStart,10)&gt;0,$E4624&lt;INDEX(DarlTilgStart,10))),0,MIN(MAX(0,$K4624-$L4624),$J4624)))</f>
      </c>
      <c r="N4624" s="43">
        <f>IF($I4624=0,0,MIN(SUMIFS(SondBetrag,SondDarl,10,SondDatum,"&gt;="&amp;$E4624,SondDatum,"&lt;="&amp;EOMONTH($E4624,0)),$J4624-$M4624))</f>
      </c>
      <c r="O4624" s="43">
        <f>IF($I4624=0,0,INDEX(DarlErsatzRate,10))</f>
      </c>
      <c r="P4624" s="43">
        <f>IF($I4624=0,0,$Q4623*INDEX(DarlErsatzZins,10))</f>
      </c>
      <c r="Q4624" s="43">
        <f>IF($I4624=0,0,$Q4623+$P4624+$O4624)</f>
      </c>
      <c r="R4624" s="43">
        <f>IF($I4624=0,0,$J4624-$M4624-$N4624)</f>
      </c>
    </row>
    <row r="4625">
      <c r="A4625"/>
      <c r="B4625">
        <v>10</v>
      </c>
      <c r="C4625" s="43">
        <f>INDEX(DarlObj,10)</f>
      </c>
      <c r="D4625">
        <v>302</v>
      </c>
      <c r="E4625" s="51">
        <f>IF(INDEX(DarlBelegt,10)=0,0,EOMONTH(INDEX(DarlAuszahlung,10),301)+1)</f>
      </c>
      <c r="F4625" s="43">
        <f>IF($E4625=0,0,YEAR($E4625))</f>
      </c>
      <c r="G4625" s="43">
        <f>IF(INDEX(DarlBindung,10)="",1,IF($E4625&lt;=INDEX(DarlBindung,10),1,0))</f>
      </c>
      <c r="H4625" s="43">
        <f>IF($G4625=1,INDEX(DarlSollzins,10),INDEX(DarlAnschluss,10))</f>
      </c>
      <c r="I4625" s="43">
        <f>IF(INDEX(DarlBelegt,10)=0,0,IF(INDEX(DarlOhneTilgung,10)=1,IF(INDEX(DarlBindung,10)="",1,$G4625),IF($J4625&gt;0.005,1,0)))</f>
      </c>
      <c r="J4625" s="43">
        <f>IF($I4624=0,0,$R4624)</f>
      </c>
      <c r="K4625" s="43">
        <f>IF($I4625=0,0,IF(INDEX(DarlOhneTilgung,10)=1,0,IF(AND(INDEX(DarlTilgStart,10)&gt;0,$E4625=INDEX(DarlTilgStart,10)),$J4625*($H4625+INDEX(DarlTilgung,10))/100/12,IF(AND($G4625=0,$G4624=1),MAX($K4624,$J4625*($H4625+1)/100/12),$K4624))))</f>
      </c>
      <c r="L4625" s="43">
        <f>IF($I4625=0,0,$J4625*$H4625/100/12)</f>
      </c>
      <c r="M4625" s="43">
        <f>IF($I4625=0,0,IF(OR(INDEX(DarlOhneTilgung,10)=1,AND(INDEX(DarlTilgStart,10)&gt;0,$E4625&lt;INDEX(DarlTilgStart,10))),0,MIN(MAX(0,$K4625-$L4625),$J4625)))</f>
      </c>
      <c r="N4625" s="43">
        <f>IF($I4625=0,0,MIN(SUMIFS(SondBetrag,SondDarl,10,SondDatum,"&gt;="&amp;$E4625,SondDatum,"&lt;="&amp;EOMONTH($E4625,0)),$J4625-$M4625))</f>
      </c>
      <c r="O4625" s="43">
        <f>IF($I4625=0,0,INDEX(DarlErsatzRate,10))</f>
      </c>
      <c r="P4625" s="43">
        <f>IF($I4625=0,0,$Q4624*INDEX(DarlErsatzZins,10))</f>
      </c>
      <c r="Q4625" s="43">
        <f>IF($I4625=0,0,$Q4624+$P4625+$O4625)</f>
      </c>
      <c r="R4625" s="43">
        <f>IF($I4625=0,0,$J4625-$M4625-$N4625)</f>
      </c>
    </row>
    <row r="4626">
      <c r="A4626"/>
      <c r="B4626">
        <v>10</v>
      </c>
      <c r="C4626" s="43">
        <f>INDEX(DarlObj,10)</f>
      </c>
      <c r="D4626">
        <v>303</v>
      </c>
      <c r="E4626" s="51">
        <f>IF(INDEX(DarlBelegt,10)=0,0,EOMONTH(INDEX(DarlAuszahlung,10),302)+1)</f>
      </c>
      <c r="F4626" s="43">
        <f>IF($E4626=0,0,YEAR($E4626))</f>
      </c>
      <c r="G4626" s="43">
        <f>IF(INDEX(DarlBindung,10)="",1,IF($E4626&lt;=INDEX(DarlBindung,10),1,0))</f>
      </c>
      <c r="H4626" s="43">
        <f>IF($G4626=1,INDEX(DarlSollzins,10),INDEX(DarlAnschluss,10))</f>
      </c>
      <c r="I4626" s="43">
        <f>IF(INDEX(DarlBelegt,10)=0,0,IF(INDEX(DarlOhneTilgung,10)=1,IF(INDEX(DarlBindung,10)="",1,$G4626),IF($J4626&gt;0.005,1,0)))</f>
      </c>
      <c r="J4626" s="43">
        <f>IF($I4625=0,0,$R4625)</f>
      </c>
      <c r="K4626" s="43">
        <f>IF($I4626=0,0,IF(INDEX(DarlOhneTilgung,10)=1,0,IF(AND(INDEX(DarlTilgStart,10)&gt;0,$E4626=INDEX(DarlTilgStart,10)),$J4626*($H4626+INDEX(DarlTilgung,10))/100/12,IF(AND($G4626=0,$G4625=1),MAX($K4625,$J4626*($H4626+1)/100/12),$K4625))))</f>
      </c>
      <c r="L4626" s="43">
        <f>IF($I4626=0,0,$J4626*$H4626/100/12)</f>
      </c>
      <c r="M4626" s="43">
        <f>IF($I4626=0,0,IF(OR(INDEX(DarlOhneTilgung,10)=1,AND(INDEX(DarlTilgStart,10)&gt;0,$E4626&lt;INDEX(DarlTilgStart,10))),0,MIN(MAX(0,$K4626-$L4626),$J4626)))</f>
      </c>
      <c r="N4626" s="43">
        <f>IF($I4626=0,0,MIN(SUMIFS(SondBetrag,SondDarl,10,SondDatum,"&gt;="&amp;$E4626,SondDatum,"&lt;="&amp;EOMONTH($E4626,0)),$J4626-$M4626))</f>
      </c>
      <c r="O4626" s="43">
        <f>IF($I4626=0,0,INDEX(DarlErsatzRate,10))</f>
      </c>
      <c r="P4626" s="43">
        <f>IF($I4626=0,0,$Q4625*INDEX(DarlErsatzZins,10))</f>
      </c>
      <c r="Q4626" s="43">
        <f>IF($I4626=0,0,$Q4625+$P4626+$O4626)</f>
      </c>
      <c r="R4626" s="43">
        <f>IF($I4626=0,0,$J4626-$M4626-$N4626)</f>
      </c>
    </row>
    <row r="4627">
      <c r="A4627"/>
      <c r="B4627">
        <v>10</v>
      </c>
      <c r="C4627" s="43">
        <f>INDEX(DarlObj,10)</f>
      </c>
      <c r="D4627">
        <v>304</v>
      </c>
      <c r="E4627" s="51">
        <f>IF(INDEX(DarlBelegt,10)=0,0,EOMONTH(INDEX(DarlAuszahlung,10),303)+1)</f>
      </c>
      <c r="F4627" s="43">
        <f>IF($E4627=0,0,YEAR($E4627))</f>
      </c>
      <c r="G4627" s="43">
        <f>IF(INDEX(DarlBindung,10)="",1,IF($E4627&lt;=INDEX(DarlBindung,10),1,0))</f>
      </c>
      <c r="H4627" s="43">
        <f>IF($G4627=1,INDEX(DarlSollzins,10),INDEX(DarlAnschluss,10))</f>
      </c>
      <c r="I4627" s="43">
        <f>IF(INDEX(DarlBelegt,10)=0,0,IF(INDEX(DarlOhneTilgung,10)=1,IF(INDEX(DarlBindung,10)="",1,$G4627),IF($J4627&gt;0.005,1,0)))</f>
      </c>
      <c r="J4627" s="43">
        <f>IF($I4626=0,0,$R4626)</f>
      </c>
      <c r="K4627" s="43">
        <f>IF($I4627=0,0,IF(INDEX(DarlOhneTilgung,10)=1,0,IF(AND(INDEX(DarlTilgStart,10)&gt;0,$E4627=INDEX(DarlTilgStart,10)),$J4627*($H4627+INDEX(DarlTilgung,10))/100/12,IF(AND($G4627=0,$G4626=1),MAX($K4626,$J4627*($H4627+1)/100/12),$K4626))))</f>
      </c>
      <c r="L4627" s="43">
        <f>IF($I4627=0,0,$J4627*$H4627/100/12)</f>
      </c>
      <c r="M4627" s="43">
        <f>IF($I4627=0,0,IF(OR(INDEX(DarlOhneTilgung,10)=1,AND(INDEX(DarlTilgStart,10)&gt;0,$E4627&lt;INDEX(DarlTilgStart,10))),0,MIN(MAX(0,$K4627-$L4627),$J4627)))</f>
      </c>
      <c r="N4627" s="43">
        <f>IF($I4627=0,0,MIN(SUMIFS(SondBetrag,SondDarl,10,SondDatum,"&gt;="&amp;$E4627,SondDatum,"&lt;="&amp;EOMONTH($E4627,0)),$J4627-$M4627))</f>
      </c>
      <c r="O4627" s="43">
        <f>IF($I4627=0,0,INDEX(DarlErsatzRate,10))</f>
      </c>
      <c r="P4627" s="43">
        <f>IF($I4627=0,0,$Q4626*INDEX(DarlErsatzZins,10))</f>
      </c>
      <c r="Q4627" s="43">
        <f>IF($I4627=0,0,$Q4626+$P4627+$O4627)</f>
      </c>
      <c r="R4627" s="43">
        <f>IF($I4627=0,0,$J4627-$M4627-$N4627)</f>
      </c>
    </row>
    <row r="4628">
      <c r="A4628"/>
      <c r="B4628">
        <v>10</v>
      </c>
      <c r="C4628" s="43">
        <f>INDEX(DarlObj,10)</f>
      </c>
      <c r="D4628">
        <v>305</v>
      </c>
      <c r="E4628" s="51">
        <f>IF(INDEX(DarlBelegt,10)=0,0,EOMONTH(INDEX(DarlAuszahlung,10),304)+1)</f>
      </c>
      <c r="F4628" s="43">
        <f>IF($E4628=0,0,YEAR($E4628))</f>
      </c>
      <c r="G4628" s="43">
        <f>IF(INDEX(DarlBindung,10)="",1,IF($E4628&lt;=INDEX(DarlBindung,10),1,0))</f>
      </c>
      <c r="H4628" s="43">
        <f>IF($G4628=1,INDEX(DarlSollzins,10),INDEX(DarlAnschluss,10))</f>
      </c>
      <c r="I4628" s="43">
        <f>IF(INDEX(DarlBelegt,10)=0,0,IF(INDEX(DarlOhneTilgung,10)=1,IF(INDEX(DarlBindung,10)="",1,$G4628),IF($J4628&gt;0.005,1,0)))</f>
      </c>
      <c r="J4628" s="43">
        <f>IF($I4627=0,0,$R4627)</f>
      </c>
      <c r="K4628" s="43">
        <f>IF($I4628=0,0,IF(INDEX(DarlOhneTilgung,10)=1,0,IF(AND(INDEX(DarlTilgStart,10)&gt;0,$E4628=INDEX(DarlTilgStart,10)),$J4628*($H4628+INDEX(DarlTilgung,10))/100/12,IF(AND($G4628=0,$G4627=1),MAX($K4627,$J4628*($H4628+1)/100/12),$K4627))))</f>
      </c>
      <c r="L4628" s="43">
        <f>IF($I4628=0,0,$J4628*$H4628/100/12)</f>
      </c>
      <c r="M4628" s="43">
        <f>IF($I4628=0,0,IF(OR(INDEX(DarlOhneTilgung,10)=1,AND(INDEX(DarlTilgStart,10)&gt;0,$E4628&lt;INDEX(DarlTilgStart,10))),0,MIN(MAX(0,$K4628-$L4628),$J4628)))</f>
      </c>
      <c r="N4628" s="43">
        <f>IF($I4628=0,0,MIN(SUMIFS(SondBetrag,SondDarl,10,SondDatum,"&gt;="&amp;$E4628,SondDatum,"&lt;="&amp;EOMONTH($E4628,0)),$J4628-$M4628))</f>
      </c>
      <c r="O4628" s="43">
        <f>IF($I4628=0,0,INDEX(DarlErsatzRate,10))</f>
      </c>
      <c r="P4628" s="43">
        <f>IF($I4628=0,0,$Q4627*INDEX(DarlErsatzZins,10))</f>
      </c>
      <c r="Q4628" s="43">
        <f>IF($I4628=0,0,$Q4627+$P4628+$O4628)</f>
      </c>
      <c r="R4628" s="43">
        <f>IF($I4628=0,0,$J4628-$M4628-$N4628)</f>
      </c>
    </row>
    <row r="4629">
      <c r="A4629"/>
      <c r="B4629">
        <v>10</v>
      </c>
      <c r="C4629" s="43">
        <f>INDEX(DarlObj,10)</f>
      </c>
      <c r="D4629">
        <v>306</v>
      </c>
      <c r="E4629" s="51">
        <f>IF(INDEX(DarlBelegt,10)=0,0,EOMONTH(INDEX(DarlAuszahlung,10),305)+1)</f>
      </c>
      <c r="F4629" s="43">
        <f>IF($E4629=0,0,YEAR($E4629))</f>
      </c>
      <c r="G4629" s="43">
        <f>IF(INDEX(DarlBindung,10)="",1,IF($E4629&lt;=INDEX(DarlBindung,10),1,0))</f>
      </c>
      <c r="H4629" s="43">
        <f>IF($G4629=1,INDEX(DarlSollzins,10),INDEX(DarlAnschluss,10))</f>
      </c>
      <c r="I4629" s="43">
        <f>IF(INDEX(DarlBelegt,10)=0,0,IF(INDEX(DarlOhneTilgung,10)=1,IF(INDEX(DarlBindung,10)="",1,$G4629),IF($J4629&gt;0.005,1,0)))</f>
      </c>
      <c r="J4629" s="43">
        <f>IF($I4628=0,0,$R4628)</f>
      </c>
      <c r="K4629" s="43">
        <f>IF($I4629=0,0,IF(INDEX(DarlOhneTilgung,10)=1,0,IF(AND(INDEX(DarlTilgStart,10)&gt;0,$E4629=INDEX(DarlTilgStart,10)),$J4629*($H4629+INDEX(DarlTilgung,10))/100/12,IF(AND($G4629=0,$G4628=1),MAX($K4628,$J4629*($H4629+1)/100/12),$K4628))))</f>
      </c>
      <c r="L4629" s="43">
        <f>IF($I4629=0,0,$J4629*$H4629/100/12)</f>
      </c>
      <c r="M4629" s="43">
        <f>IF($I4629=0,0,IF(OR(INDEX(DarlOhneTilgung,10)=1,AND(INDEX(DarlTilgStart,10)&gt;0,$E4629&lt;INDEX(DarlTilgStart,10))),0,MIN(MAX(0,$K4629-$L4629),$J4629)))</f>
      </c>
      <c r="N4629" s="43">
        <f>IF($I4629=0,0,MIN(SUMIFS(SondBetrag,SondDarl,10,SondDatum,"&gt;="&amp;$E4629,SondDatum,"&lt;="&amp;EOMONTH($E4629,0)),$J4629-$M4629))</f>
      </c>
      <c r="O4629" s="43">
        <f>IF($I4629=0,0,INDEX(DarlErsatzRate,10))</f>
      </c>
      <c r="P4629" s="43">
        <f>IF($I4629=0,0,$Q4628*INDEX(DarlErsatzZins,10))</f>
      </c>
      <c r="Q4629" s="43">
        <f>IF($I4629=0,0,$Q4628+$P4629+$O4629)</f>
      </c>
      <c r="R4629" s="43">
        <f>IF($I4629=0,0,$J4629-$M4629-$N4629)</f>
      </c>
    </row>
    <row r="4630">
      <c r="A4630"/>
      <c r="B4630">
        <v>10</v>
      </c>
      <c r="C4630" s="43">
        <f>INDEX(DarlObj,10)</f>
      </c>
      <c r="D4630">
        <v>307</v>
      </c>
      <c r="E4630" s="51">
        <f>IF(INDEX(DarlBelegt,10)=0,0,EOMONTH(INDEX(DarlAuszahlung,10),306)+1)</f>
      </c>
      <c r="F4630" s="43">
        <f>IF($E4630=0,0,YEAR($E4630))</f>
      </c>
      <c r="G4630" s="43">
        <f>IF(INDEX(DarlBindung,10)="",1,IF($E4630&lt;=INDEX(DarlBindung,10),1,0))</f>
      </c>
      <c r="H4630" s="43">
        <f>IF($G4630=1,INDEX(DarlSollzins,10),INDEX(DarlAnschluss,10))</f>
      </c>
      <c r="I4630" s="43">
        <f>IF(INDEX(DarlBelegt,10)=0,0,IF(INDEX(DarlOhneTilgung,10)=1,IF(INDEX(DarlBindung,10)="",1,$G4630),IF($J4630&gt;0.005,1,0)))</f>
      </c>
      <c r="J4630" s="43">
        <f>IF($I4629=0,0,$R4629)</f>
      </c>
      <c r="K4630" s="43">
        <f>IF($I4630=0,0,IF(INDEX(DarlOhneTilgung,10)=1,0,IF(AND(INDEX(DarlTilgStart,10)&gt;0,$E4630=INDEX(DarlTilgStart,10)),$J4630*($H4630+INDEX(DarlTilgung,10))/100/12,IF(AND($G4630=0,$G4629=1),MAX($K4629,$J4630*($H4630+1)/100/12),$K4629))))</f>
      </c>
      <c r="L4630" s="43">
        <f>IF($I4630=0,0,$J4630*$H4630/100/12)</f>
      </c>
      <c r="M4630" s="43">
        <f>IF($I4630=0,0,IF(OR(INDEX(DarlOhneTilgung,10)=1,AND(INDEX(DarlTilgStart,10)&gt;0,$E4630&lt;INDEX(DarlTilgStart,10))),0,MIN(MAX(0,$K4630-$L4630),$J4630)))</f>
      </c>
      <c r="N4630" s="43">
        <f>IF($I4630=0,0,MIN(SUMIFS(SondBetrag,SondDarl,10,SondDatum,"&gt;="&amp;$E4630,SondDatum,"&lt;="&amp;EOMONTH($E4630,0)),$J4630-$M4630))</f>
      </c>
      <c r="O4630" s="43">
        <f>IF($I4630=0,0,INDEX(DarlErsatzRate,10))</f>
      </c>
      <c r="P4630" s="43">
        <f>IF($I4630=0,0,$Q4629*INDEX(DarlErsatzZins,10))</f>
      </c>
      <c r="Q4630" s="43">
        <f>IF($I4630=0,0,$Q4629+$P4630+$O4630)</f>
      </c>
      <c r="R4630" s="43">
        <f>IF($I4630=0,0,$J4630-$M4630-$N4630)</f>
      </c>
    </row>
    <row r="4631">
      <c r="A4631"/>
      <c r="B4631">
        <v>10</v>
      </c>
      <c r="C4631" s="43">
        <f>INDEX(DarlObj,10)</f>
      </c>
      <c r="D4631">
        <v>308</v>
      </c>
      <c r="E4631" s="51">
        <f>IF(INDEX(DarlBelegt,10)=0,0,EOMONTH(INDEX(DarlAuszahlung,10),307)+1)</f>
      </c>
      <c r="F4631" s="43">
        <f>IF($E4631=0,0,YEAR($E4631))</f>
      </c>
      <c r="G4631" s="43">
        <f>IF(INDEX(DarlBindung,10)="",1,IF($E4631&lt;=INDEX(DarlBindung,10),1,0))</f>
      </c>
      <c r="H4631" s="43">
        <f>IF($G4631=1,INDEX(DarlSollzins,10),INDEX(DarlAnschluss,10))</f>
      </c>
      <c r="I4631" s="43">
        <f>IF(INDEX(DarlBelegt,10)=0,0,IF(INDEX(DarlOhneTilgung,10)=1,IF(INDEX(DarlBindung,10)="",1,$G4631),IF($J4631&gt;0.005,1,0)))</f>
      </c>
      <c r="J4631" s="43">
        <f>IF($I4630=0,0,$R4630)</f>
      </c>
      <c r="K4631" s="43">
        <f>IF($I4631=0,0,IF(INDEX(DarlOhneTilgung,10)=1,0,IF(AND(INDEX(DarlTilgStart,10)&gt;0,$E4631=INDEX(DarlTilgStart,10)),$J4631*($H4631+INDEX(DarlTilgung,10))/100/12,IF(AND($G4631=0,$G4630=1),MAX($K4630,$J4631*($H4631+1)/100/12),$K4630))))</f>
      </c>
      <c r="L4631" s="43">
        <f>IF($I4631=0,0,$J4631*$H4631/100/12)</f>
      </c>
      <c r="M4631" s="43">
        <f>IF($I4631=0,0,IF(OR(INDEX(DarlOhneTilgung,10)=1,AND(INDEX(DarlTilgStart,10)&gt;0,$E4631&lt;INDEX(DarlTilgStart,10))),0,MIN(MAX(0,$K4631-$L4631),$J4631)))</f>
      </c>
      <c r="N4631" s="43">
        <f>IF($I4631=0,0,MIN(SUMIFS(SondBetrag,SondDarl,10,SondDatum,"&gt;="&amp;$E4631,SondDatum,"&lt;="&amp;EOMONTH($E4631,0)),$J4631-$M4631))</f>
      </c>
      <c r="O4631" s="43">
        <f>IF($I4631=0,0,INDEX(DarlErsatzRate,10))</f>
      </c>
      <c r="P4631" s="43">
        <f>IF($I4631=0,0,$Q4630*INDEX(DarlErsatzZins,10))</f>
      </c>
      <c r="Q4631" s="43">
        <f>IF($I4631=0,0,$Q4630+$P4631+$O4631)</f>
      </c>
      <c r="R4631" s="43">
        <f>IF($I4631=0,0,$J4631-$M4631-$N4631)</f>
      </c>
    </row>
    <row r="4632">
      <c r="A4632"/>
      <c r="B4632">
        <v>10</v>
      </c>
      <c r="C4632" s="43">
        <f>INDEX(DarlObj,10)</f>
      </c>
      <c r="D4632">
        <v>309</v>
      </c>
      <c r="E4632" s="51">
        <f>IF(INDEX(DarlBelegt,10)=0,0,EOMONTH(INDEX(DarlAuszahlung,10),308)+1)</f>
      </c>
      <c r="F4632" s="43">
        <f>IF($E4632=0,0,YEAR($E4632))</f>
      </c>
      <c r="G4632" s="43">
        <f>IF(INDEX(DarlBindung,10)="",1,IF($E4632&lt;=INDEX(DarlBindung,10),1,0))</f>
      </c>
      <c r="H4632" s="43">
        <f>IF($G4632=1,INDEX(DarlSollzins,10),INDEX(DarlAnschluss,10))</f>
      </c>
      <c r="I4632" s="43">
        <f>IF(INDEX(DarlBelegt,10)=0,0,IF(INDEX(DarlOhneTilgung,10)=1,IF(INDEX(DarlBindung,10)="",1,$G4632),IF($J4632&gt;0.005,1,0)))</f>
      </c>
      <c r="J4632" s="43">
        <f>IF($I4631=0,0,$R4631)</f>
      </c>
      <c r="K4632" s="43">
        <f>IF($I4632=0,0,IF(INDEX(DarlOhneTilgung,10)=1,0,IF(AND(INDEX(DarlTilgStart,10)&gt;0,$E4632=INDEX(DarlTilgStart,10)),$J4632*($H4632+INDEX(DarlTilgung,10))/100/12,IF(AND($G4632=0,$G4631=1),MAX($K4631,$J4632*($H4632+1)/100/12),$K4631))))</f>
      </c>
      <c r="L4632" s="43">
        <f>IF($I4632=0,0,$J4632*$H4632/100/12)</f>
      </c>
      <c r="M4632" s="43">
        <f>IF($I4632=0,0,IF(OR(INDEX(DarlOhneTilgung,10)=1,AND(INDEX(DarlTilgStart,10)&gt;0,$E4632&lt;INDEX(DarlTilgStart,10))),0,MIN(MAX(0,$K4632-$L4632),$J4632)))</f>
      </c>
      <c r="N4632" s="43">
        <f>IF($I4632=0,0,MIN(SUMIFS(SondBetrag,SondDarl,10,SondDatum,"&gt;="&amp;$E4632,SondDatum,"&lt;="&amp;EOMONTH($E4632,0)),$J4632-$M4632))</f>
      </c>
      <c r="O4632" s="43">
        <f>IF($I4632=0,0,INDEX(DarlErsatzRate,10))</f>
      </c>
      <c r="P4632" s="43">
        <f>IF($I4632=0,0,$Q4631*INDEX(DarlErsatzZins,10))</f>
      </c>
      <c r="Q4632" s="43">
        <f>IF($I4632=0,0,$Q4631+$P4632+$O4632)</f>
      </c>
      <c r="R4632" s="43">
        <f>IF($I4632=0,0,$J4632-$M4632-$N4632)</f>
      </c>
    </row>
    <row r="4633">
      <c r="A4633"/>
      <c r="B4633">
        <v>10</v>
      </c>
      <c r="C4633" s="43">
        <f>INDEX(DarlObj,10)</f>
      </c>
      <c r="D4633">
        <v>310</v>
      </c>
      <c r="E4633" s="51">
        <f>IF(INDEX(DarlBelegt,10)=0,0,EOMONTH(INDEX(DarlAuszahlung,10),309)+1)</f>
      </c>
      <c r="F4633" s="43">
        <f>IF($E4633=0,0,YEAR($E4633))</f>
      </c>
      <c r="G4633" s="43">
        <f>IF(INDEX(DarlBindung,10)="",1,IF($E4633&lt;=INDEX(DarlBindung,10),1,0))</f>
      </c>
      <c r="H4633" s="43">
        <f>IF($G4633=1,INDEX(DarlSollzins,10),INDEX(DarlAnschluss,10))</f>
      </c>
      <c r="I4633" s="43">
        <f>IF(INDEX(DarlBelegt,10)=0,0,IF(INDEX(DarlOhneTilgung,10)=1,IF(INDEX(DarlBindung,10)="",1,$G4633),IF($J4633&gt;0.005,1,0)))</f>
      </c>
      <c r="J4633" s="43">
        <f>IF($I4632=0,0,$R4632)</f>
      </c>
      <c r="K4633" s="43">
        <f>IF($I4633=0,0,IF(INDEX(DarlOhneTilgung,10)=1,0,IF(AND(INDEX(DarlTilgStart,10)&gt;0,$E4633=INDEX(DarlTilgStart,10)),$J4633*($H4633+INDEX(DarlTilgung,10))/100/12,IF(AND($G4633=0,$G4632=1),MAX($K4632,$J4633*($H4633+1)/100/12),$K4632))))</f>
      </c>
      <c r="L4633" s="43">
        <f>IF($I4633=0,0,$J4633*$H4633/100/12)</f>
      </c>
      <c r="M4633" s="43">
        <f>IF($I4633=0,0,IF(OR(INDEX(DarlOhneTilgung,10)=1,AND(INDEX(DarlTilgStart,10)&gt;0,$E4633&lt;INDEX(DarlTilgStart,10))),0,MIN(MAX(0,$K4633-$L4633),$J4633)))</f>
      </c>
      <c r="N4633" s="43">
        <f>IF($I4633=0,0,MIN(SUMIFS(SondBetrag,SondDarl,10,SondDatum,"&gt;="&amp;$E4633,SondDatum,"&lt;="&amp;EOMONTH($E4633,0)),$J4633-$M4633))</f>
      </c>
      <c r="O4633" s="43">
        <f>IF($I4633=0,0,INDEX(DarlErsatzRate,10))</f>
      </c>
      <c r="P4633" s="43">
        <f>IF($I4633=0,0,$Q4632*INDEX(DarlErsatzZins,10))</f>
      </c>
      <c r="Q4633" s="43">
        <f>IF($I4633=0,0,$Q4632+$P4633+$O4633)</f>
      </c>
      <c r="R4633" s="43">
        <f>IF($I4633=0,0,$J4633-$M4633-$N4633)</f>
      </c>
    </row>
    <row r="4634">
      <c r="A4634"/>
      <c r="B4634">
        <v>10</v>
      </c>
      <c r="C4634" s="43">
        <f>INDEX(DarlObj,10)</f>
      </c>
      <c r="D4634">
        <v>311</v>
      </c>
      <c r="E4634" s="51">
        <f>IF(INDEX(DarlBelegt,10)=0,0,EOMONTH(INDEX(DarlAuszahlung,10),310)+1)</f>
      </c>
      <c r="F4634" s="43">
        <f>IF($E4634=0,0,YEAR($E4634))</f>
      </c>
      <c r="G4634" s="43">
        <f>IF(INDEX(DarlBindung,10)="",1,IF($E4634&lt;=INDEX(DarlBindung,10),1,0))</f>
      </c>
      <c r="H4634" s="43">
        <f>IF($G4634=1,INDEX(DarlSollzins,10),INDEX(DarlAnschluss,10))</f>
      </c>
      <c r="I4634" s="43">
        <f>IF(INDEX(DarlBelegt,10)=0,0,IF(INDEX(DarlOhneTilgung,10)=1,IF(INDEX(DarlBindung,10)="",1,$G4634),IF($J4634&gt;0.005,1,0)))</f>
      </c>
      <c r="J4634" s="43">
        <f>IF($I4633=0,0,$R4633)</f>
      </c>
      <c r="K4634" s="43">
        <f>IF($I4634=0,0,IF(INDEX(DarlOhneTilgung,10)=1,0,IF(AND(INDEX(DarlTilgStart,10)&gt;0,$E4634=INDEX(DarlTilgStart,10)),$J4634*($H4634+INDEX(DarlTilgung,10))/100/12,IF(AND($G4634=0,$G4633=1),MAX($K4633,$J4634*($H4634+1)/100/12),$K4633))))</f>
      </c>
      <c r="L4634" s="43">
        <f>IF($I4634=0,0,$J4634*$H4634/100/12)</f>
      </c>
      <c r="M4634" s="43">
        <f>IF($I4634=0,0,IF(OR(INDEX(DarlOhneTilgung,10)=1,AND(INDEX(DarlTilgStart,10)&gt;0,$E4634&lt;INDEX(DarlTilgStart,10))),0,MIN(MAX(0,$K4634-$L4634),$J4634)))</f>
      </c>
      <c r="N4634" s="43">
        <f>IF($I4634=0,0,MIN(SUMIFS(SondBetrag,SondDarl,10,SondDatum,"&gt;="&amp;$E4634,SondDatum,"&lt;="&amp;EOMONTH($E4634,0)),$J4634-$M4634))</f>
      </c>
      <c r="O4634" s="43">
        <f>IF($I4634=0,0,INDEX(DarlErsatzRate,10))</f>
      </c>
      <c r="P4634" s="43">
        <f>IF($I4634=0,0,$Q4633*INDEX(DarlErsatzZins,10))</f>
      </c>
      <c r="Q4634" s="43">
        <f>IF($I4634=0,0,$Q4633+$P4634+$O4634)</f>
      </c>
      <c r="R4634" s="43">
        <f>IF($I4634=0,0,$J4634-$M4634-$N4634)</f>
      </c>
    </row>
    <row r="4635">
      <c r="A4635"/>
      <c r="B4635">
        <v>10</v>
      </c>
      <c r="C4635" s="43">
        <f>INDEX(DarlObj,10)</f>
      </c>
      <c r="D4635">
        <v>312</v>
      </c>
      <c r="E4635" s="51">
        <f>IF(INDEX(DarlBelegt,10)=0,0,EOMONTH(INDEX(DarlAuszahlung,10),311)+1)</f>
      </c>
      <c r="F4635" s="43">
        <f>IF($E4635=0,0,YEAR($E4635))</f>
      </c>
      <c r="G4635" s="43">
        <f>IF(INDEX(DarlBindung,10)="",1,IF($E4635&lt;=INDEX(DarlBindung,10),1,0))</f>
      </c>
      <c r="H4635" s="43">
        <f>IF($G4635=1,INDEX(DarlSollzins,10),INDEX(DarlAnschluss,10))</f>
      </c>
      <c r="I4635" s="43">
        <f>IF(INDEX(DarlBelegt,10)=0,0,IF(INDEX(DarlOhneTilgung,10)=1,IF(INDEX(DarlBindung,10)="",1,$G4635),IF($J4635&gt;0.005,1,0)))</f>
      </c>
      <c r="J4635" s="43">
        <f>IF($I4634=0,0,$R4634)</f>
      </c>
      <c r="K4635" s="43">
        <f>IF($I4635=0,0,IF(INDEX(DarlOhneTilgung,10)=1,0,IF(AND(INDEX(DarlTilgStart,10)&gt;0,$E4635=INDEX(DarlTilgStart,10)),$J4635*($H4635+INDEX(DarlTilgung,10))/100/12,IF(AND($G4635=0,$G4634=1),MAX($K4634,$J4635*($H4635+1)/100/12),$K4634))))</f>
      </c>
      <c r="L4635" s="43">
        <f>IF($I4635=0,0,$J4635*$H4635/100/12)</f>
      </c>
      <c r="M4635" s="43">
        <f>IF($I4635=0,0,IF(OR(INDEX(DarlOhneTilgung,10)=1,AND(INDEX(DarlTilgStart,10)&gt;0,$E4635&lt;INDEX(DarlTilgStart,10))),0,MIN(MAX(0,$K4635-$L4635),$J4635)))</f>
      </c>
      <c r="N4635" s="43">
        <f>IF($I4635=0,0,MIN(SUMIFS(SondBetrag,SondDarl,10,SondDatum,"&gt;="&amp;$E4635,SondDatum,"&lt;="&amp;EOMONTH($E4635,0)),$J4635-$M4635))</f>
      </c>
      <c r="O4635" s="43">
        <f>IF($I4635=0,0,INDEX(DarlErsatzRate,10))</f>
      </c>
      <c r="P4635" s="43">
        <f>IF($I4635=0,0,$Q4634*INDEX(DarlErsatzZins,10))</f>
      </c>
      <c r="Q4635" s="43">
        <f>IF($I4635=0,0,$Q4634+$P4635+$O4635)</f>
      </c>
      <c r="R4635" s="43">
        <f>IF($I4635=0,0,$J4635-$M4635-$N4635)</f>
      </c>
    </row>
    <row r="4636">
      <c r="A4636"/>
      <c r="B4636">
        <v>10</v>
      </c>
      <c r="C4636" s="43">
        <f>INDEX(DarlObj,10)</f>
      </c>
      <c r="D4636">
        <v>313</v>
      </c>
      <c r="E4636" s="51">
        <f>IF(INDEX(DarlBelegt,10)=0,0,EOMONTH(INDEX(DarlAuszahlung,10),312)+1)</f>
      </c>
      <c r="F4636" s="43">
        <f>IF($E4636=0,0,YEAR($E4636))</f>
      </c>
      <c r="G4636" s="43">
        <f>IF(INDEX(DarlBindung,10)="",1,IF($E4636&lt;=INDEX(DarlBindung,10),1,0))</f>
      </c>
      <c r="H4636" s="43">
        <f>IF($G4636=1,INDEX(DarlSollzins,10),INDEX(DarlAnschluss,10))</f>
      </c>
      <c r="I4636" s="43">
        <f>IF(INDEX(DarlBelegt,10)=0,0,IF(INDEX(DarlOhneTilgung,10)=1,IF(INDEX(DarlBindung,10)="",1,$G4636),IF($J4636&gt;0.005,1,0)))</f>
      </c>
      <c r="J4636" s="43">
        <f>IF($I4635=0,0,$R4635)</f>
      </c>
      <c r="K4636" s="43">
        <f>IF($I4636=0,0,IF(INDEX(DarlOhneTilgung,10)=1,0,IF(AND(INDEX(DarlTilgStart,10)&gt;0,$E4636=INDEX(DarlTilgStart,10)),$J4636*($H4636+INDEX(DarlTilgung,10))/100/12,IF(AND($G4636=0,$G4635=1),MAX($K4635,$J4636*($H4636+1)/100/12),$K4635))))</f>
      </c>
      <c r="L4636" s="43">
        <f>IF($I4636=0,0,$J4636*$H4636/100/12)</f>
      </c>
      <c r="M4636" s="43">
        <f>IF($I4636=0,0,IF(OR(INDEX(DarlOhneTilgung,10)=1,AND(INDEX(DarlTilgStart,10)&gt;0,$E4636&lt;INDEX(DarlTilgStart,10))),0,MIN(MAX(0,$K4636-$L4636),$J4636)))</f>
      </c>
      <c r="N4636" s="43">
        <f>IF($I4636=0,0,MIN(SUMIFS(SondBetrag,SondDarl,10,SondDatum,"&gt;="&amp;$E4636,SondDatum,"&lt;="&amp;EOMONTH($E4636,0)),$J4636-$M4636))</f>
      </c>
      <c r="O4636" s="43">
        <f>IF($I4636=0,0,INDEX(DarlErsatzRate,10))</f>
      </c>
      <c r="P4636" s="43">
        <f>IF($I4636=0,0,$Q4635*INDEX(DarlErsatzZins,10))</f>
      </c>
      <c r="Q4636" s="43">
        <f>IF($I4636=0,0,$Q4635+$P4636+$O4636)</f>
      </c>
      <c r="R4636" s="43">
        <f>IF($I4636=0,0,$J4636-$M4636-$N4636)</f>
      </c>
    </row>
    <row r="4637">
      <c r="A4637"/>
      <c r="B4637">
        <v>10</v>
      </c>
      <c r="C4637" s="43">
        <f>INDEX(DarlObj,10)</f>
      </c>
      <c r="D4637">
        <v>314</v>
      </c>
      <c r="E4637" s="51">
        <f>IF(INDEX(DarlBelegt,10)=0,0,EOMONTH(INDEX(DarlAuszahlung,10),313)+1)</f>
      </c>
      <c r="F4637" s="43">
        <f>IF($E4637=0,0,YEAR($E4637))</f>
      </c>
      <c r="G4637" s="43">
        <f>IF(INDEX(DarlBindung,10)="",1,IF($E4637&lt;=INDEX(DarlBindung,10),1,0))</f>
      </c>
      <c r="H4637" s="43">
        <f>IF($G4637=1,INDEX(DarlSollzins,10),INDEX(DarlAnschluss,10))</f>
      </c>
      <c r="I4637" s="43">
        <f>IF(INDEX(DarlBelegt,10)=0,0,IF(INDEX(DarlOhneTilgung,10)=1,IF(INDEX(DarlBindung,10)="",1,$G4637),IF($J4637&gt;0.005,1,0)))</f>
      </c>
      <c r="J4637" s="43">
        <f>IF($I4636=0,0,$R4636)</f>
      </c>
      <c r="K4637" s="43">
        <f>IF($I4637=0,0,IF(INDEX(DarlOhneTilgung,10)=1,0,IF(AND(INDEX(DarlTilgStart,10)&gt;0,$E4637=INDEX(DarlTilgStart,10)),$J4637*($H4637+INDEX(DarlTilgung,10))/100/12,IF(AND($G4637=0,$G4636=1),MAX($K4636,$J4637*($H4637+1)/100/12),$K4636))))</f>
      </c>
      <c r="L4637" s="43">
        <f>IF($I4637=0,0,$J4637*$H4637/100/12)</f>
      </c>
      <c r="M4637" s="43">
        <f>IF($I4637=0,0,IF(OR(INDEX(DarlOhneTilgung,10)=1,AND(INDEX(DarlTilgStart,10)&gt;0,$E4637&lt;INDEX(DarlTilgStart,10))),0,MIN(MAX(0,$K4637-$L4637),$J4637)))</f>
      </c>
      <c r="N4637" s="43">
        <f>IF($I4637=0,0,MIN(SUMIFS(SondBetrag,SondDarl,10,SondDatum,"&gt;="&amp;$E4637,SondDatum,"&lt;="&amp;EOMONTH($E4637,0)),$J4637-$M4637))</f>
      </c>
      <c r="O4637" s="43">
        <f>IF($I4637=0,0,INDEX(DarlErsatzRate,10))</f>
      </c>
      <c r="P4637" s="43">
        <f>IF($I4637=0,0,$Q4636*INDEX(DarlErsatzZins,10))</f>
      </c>
      <c r="Q4637" s="43">
        <f>IF($I4637=0,0,$Q4636+$P4637+$O4637)</f>
      </c>
      <c r="R4637" s="43">
        <f>IF($I4637=0,0,$J4637-$M4637-$N4637)</f>
      </c>
    </row>
    <row r="4638">
      <c r="A4638"/>
      <c r="B4638">
        <v>10</v>
      </c>
      <c r="C4638" s="43">
        <f>INDEX(DarlObj,10)</f>
      </c>
      <c r="D4638">
        <v>315</v>
      </c>
      <c r="E4638" s="51">
        <f>IF(INDEX(DarlBelegt,10)=0,0,EOMONTH(INDEX(DarlAuszahlung,10),314)+1)</f>
      </c>
      <c r="F4638" s="43">
        <f>IF($E4638=0,0,YEAR($E4638))</f>
      </c>
      <c r="G4638" s="43">
        <f>IF(INDEX(DarlBindung,10)="",1,IF($E4638&lt;=INDEX(DarlBindung,10),1,0))</f>
      </c>
      <c r="H4638" s="43">
        <f>IF($G4638=1,INDEX(DarlSollzins,10),INDEX(DarlAnschluss,10))</f>
      </c>
      <c r="I4638" s="43">
        <f>IF(INDEX(DarlBelegt,10)=0,0,IF(INDEX(DarlOhneTilgung,10)=1,IF(INDEX(DarlBindung,10)="",1,$G4638),IF($J4638&gt;0.005,1,0)))</f>
      </c>
      <c r="J4638" s="43">
        <f>IF($I4637=0,0,$R4637)</f>
      </c>
      <c r="K4638" s="43">
        <f>IF($I4638=0,0,IF(INDEX(DarlOhneTilgung,10)=1,0,IF(AND(INDEX(DarlTilgStart,10)&gt;0,$E4638=INDEX(DarlTilgStart,10)),$J4638*($H4638+INDEX(DarlTilgung,10))/100/12,IF(AND($G4638=0,$G4637=1),MAX($K4637,$J4638*($H4638+1)/100/12),$K4637))))</f>
      </c>
      <c r="L4638" s="43">
        <f>IF($I4638=0,0,$J4638*$H4638/100/12)</f>
      </c>
      <c r="M4638" s="43">
        <f>IF($I4638=0,0,IF(OR(INDEX(DarlOhneTilgung,10)=1,AND(INDEX(DarlTilgStart,10)&gt;0,$E4638&lt;INDEX(DarlTilgStart,10))),0,MIN(MAX(0,$K4638-$L4638),$J4638)))</f>
      </c>
      <c r="N4638" s="43">
        <f>IF($I4638=0,0,MIN(SUMIFS(SondBetrag,SondDarl,10,SondDatum,"&gt;="&amp;$E4638,SondDatum,"&lt;="&amp;EOMONTH($E4638,0)),$J4638-$M4638))</f>
      </c>
      <c r="O4638" s="43">
        <f>IF($I4638=0,0,INDEX(DarlErsatzRate,10))</f>
      </c>
      <c r="P4638" s="43">
        <f>IF($I4638=0,0,$Q4637*INDEX(DarlErsatzZins,10))</f>
      </c>
      <c r="Q4638" s="43">
        <f>IF($I4638=0,0,$Q4637+$P4638+$O4638)</f>
      </c>
      <c r="R4638" s="43">
        <f>IF($I4638=0,0,$J4638-$M4638-$N4638)</f>
      </c>
    </row>
    <row r="4639">
      <c r="A4639"/>
      <c r="B4639">
        <v>10</v>
      </c>
      <c r="C4639" s="43">
        <f>INDEX(DarlObj,10)</f>
      </c>
      <c r="D4639">
        <v>316</v>
      </c>
      <c r="E4639" s="51">
        <f>IF(INDEX(DarlBelegt,10)=0,0,EOMONTH(INDEX(DarlAuszahlung,10),315)+1)</f>
      </c>
      <c r="F4639" s="43">
        <f>IF($E4639=0,0,YEAR($E4639))</f>
      </c>
      <c r="G4639" s="43">
        <f>IF(INDEX(DarlBindung,10)="",1,IF($E4639&lt;=INDEX(DarlBindung,10),1,0))</f>
      </c>
      <c r="H4639" s="43">
        <f>IF($G4639=1,INDEX(DarlSollzins,10),INDEX(DarlAnschluss,10))</f>
      </c>
      <c r="I4639" s="43">
        <f>IF(INDEX(DarlBelegt,10)=0,0,IF(INDEX(DarlOhneTilgung,10)=1,IF(INDEX(DarlBindung,10)="",1,$G4639),IF($J4639&gt;0.005,1,0)))</f>
      </c>
      <c r="J4639" s="43">
        <f>IF($I4638=0,0,$R4638)</f>
      </c>
      <c r="K4639" s="43">
        <f>IF($I4639=0,0,IF(INDEX(DarlOhneTilgung,10)=1,0,IF(AND(INDEX(DarlTilgStart,10)&gt;0,$E4639=INDEX(DarlTilgStart,10)),$J4639*($H4639+INDEX(DarlTilgung,10))/100/12,IF(AND($G4639=0,$G4638=1),MAX($K4638,$J4639*($H4639+1)/100/12),$K4638))))</f>
      </c>
      <c r="L4639" s="43">
        <f>IF($I4639=0,0,$J4639*$H4639/100/12)</f>
      </c>
      <c r="M4639" s="43">
        <f>IF($I4639=0,0,IF(OR(INDEX(DarlOhneTilgung,10)=1,AND(INDEX(DarlTilgStart,10)&gt;0,$E4639&lt;INDEX(DarlTilgStart,10))),0,MIN(MAX(0,$K4639-$L4639),$J4639)))</f>
      </c>
      <c r="N4639" s="43">
        <f>IF($I4639=0,0,MIN(SUMIFS(SondBetrag,SondDarl,10,SondDatum,"&gt;="&amp;$E4639,SondDatum,"&lt;="&amp;EOMONTH($E4639,0)),$J4639-$M4639))</f>
      </c>
      <c r="O4639" s="43">
        <f>IF($I4639=0,0,INDEX(DarlErsatzRate,10))</f>
      </c>
      <c r="P4639" s="43">
        <f>IF($I4639=0,0,$Q4638*INDEX(DarlErsatzZins,10))</f>
      </c>
      <c r="Q4639" s="43">
        <f>IF($I4639=0,0,$Q4638+$P4639+$O4639)</f>
      </c>
      <c r="R4639" s="43">
        <f>IF($I4639=0,0,$J4639-$M4639-$N4639)</f>
      </c>
    </row>
    <row r="4640">
      <c r="A4640"/>
      <c r="B4640">
        <v>10</v>
      </c>
      <c r="C4640" s="43">
        <f>INDEX(DarlObj,10)</f>
      </c>
      <c r="D4640">
        <v>317</v>
      </c>
      <c r="E4640" s="51">
        <f>IF(INDEX(DarlBelegt,10)=0,0,EOMONTH(INDEX(DarlAuszahlung,10),316)+1)</f>
      </c>
      <c r="F4640" s="43">
        <f>IF($E4640=0,0,YEAR($E4640))</f>
      </c>
      <c r="G4640" s="43">
        <f>IF(INDEX(DarlBindung,10)="",1,IF($E4640&lt;=INDEX(DarlBindung,10),1,0))</f>
      </c>
      <c r="H4640" s="43">
        <f>IF($G4640=1,INDEX(DarlSollzins,10),INDEX(DarlAnschluss,10))</f>
      </c>
      <c r="I4640" s="43">
        <f>IF(INDEX(DarlBelegt,10)=0,0,IF(INDEX(DarlOhneTilgung,10)=1,IF(INDEX(DarlBindung,10)="",1,$G4640),IF($J4640&gt;0.005,1,0)))</f>
      </c>
      <c r="J4640" s="43">
        <f>IF($I4639=0,0,$R4639)</f>
      </c>
      <c r="K4640" s="43">
        <f>IF($I4640=0,0,IF(INDEX(DarlOhneTilgung,10)=1,0,IF(AND(INDEX(DarlTilgStart,10)&gt;0,$E4640=INDEX(DarlTilgStart,10)),$J4640*($H4640+INDEX(DarlTilgung,10))/100/12,IF(AND($G4640=0,$G4639=1),MAX($K4639,$J4640*($H4640+1)/100/12),$K4639))))</f>
      </c>
      <c r="L4640" s="43">
        <f>IF($I4640=0,0,$J4640*$H4640/100/12)</f>
      </c>
      <c r="M4640" s="43">
        <f>IF($I4640=0,0,IF(OR(INDEX(DarlOhneTilgung,10)=1,AND(INDEX(DarlTilgStart,10)&gt;0,$E4640&lt;INDEX(DarlTilgStart,10))),0,MIN(MAX(0,$K4640-$L4640),$J4640)))</f>
      </c>
      <c r="N4640" s="43">
        <f>IF($I4640=0,0,MIN(SUMIFS(SondBetrag,SondDarl,10,SondDatum,"&gt;="&amp;$E4640,SondDatum,"&lt;="&amp;EOMONTH($E4640,0)),$J4640-$M4640))</f>
      </c>
      <c r="O4640" s="43">
        <f>IF($I4640=0,0,INDEX(DarlErsatzRate,10))</f>
      </c>
      <c r="P4640" s="43">
        <f>IF($I4640=0,0,$Q4639*INDEX(DarlErsatzZins,10))</f>
      </c>
      <c r="Q4640" s="43">
        <f>IF($I4640=0,0,$Q4639+$P4640+$O4640)</f>
      </c>
      <c r="R4640" s="43">
        <f>IF($I4640=0,0,$J4640-$M4640-$N4640)</f>
      </c>
    </row>
    <row r="4641">
      <c r="A4641"/>
      <c r="B4641">
        <v>10</v>
      </c>
      <c r="C4641" s="43">
        <f>INDEX(DarlObj,10)</f>
      </c>
      <c r="D4641">
        <v>318</v>
      </c>
      <c r="E4641" s="51">
        <f>IF(INDEX(DarlBelegt,10)=0,0,EOMONTH(INDEX(DarlAuszahlung,10),317)+1)</f>
      </c>
      <c r="F4641" s="43">
        <f>IF($E4641=0,0,YEAR($E4641))</f>
      </c>
      <c r="G4641" s="43">
        <f>IF(INDEX(DarlBindung,10)="",1,IF($E4641&lt;=INDEX(DarlBindung,10),1,0))</f>
      </c>
      <c r="H4641" s="43">
        <f>IF($G4641=1,INDEX(DarlSollzins,10),INDEX(DarlAnschluss,10))</f>
      </c>
      <c r="I4641" s="43">
        <f>IF(INDEX(DarlBelegt,10)=0,0,IF(INDEX(DarlOhneTilgung,10)=1,IF(INDEX(DarlBindung,10)="",1,$G4641),IF($J4641&gt;0.005,1,0)))</f>
      </c>
      <c r="J4641" s="43">
        <f>IF($I4640=0,0,$R4640)</f>
      </c>
      <c r="K4641" s="43">
        <f>IF($I4641=0,0,IF(INDEX(DarlOhneTilgung,10)=1,0,IF(AND(INDEX(DarlTilgStart,10)&gt;0,$E4641=INDEX(DarlTilgStart,10)),$J4641*($H4641+INDEX(DarlTilgung,10))/100/12,IF(AND($G4641=0,$G4640=1),MAX($K4640,$J4641*($H4641+1)/100/12),$K4640))))</f>
      </c>
      <c r="L4641" s="43">
        <f>IF($I4641=0,0,$J4641*$H4641/100/12)</f>
      </c>
      <c r="M4641" s="43">
        <f>IF($I4641=0,0,IF(OR(INDEX(DarlOhneTilgung,10)=1,AND(INDEX(DarlTilgStart,10)&gt;0,$E4641&lt;INDEX(DarlTilgStart,10))),0,MIN(MAX(0,$K4641-$L4641),$J4641)))</f>
      </c>
      <c r="N4641" s="43">
        <f>IF($I4641=0,0,MIN(SUMIFS(SondBetrag,SondDarl,10,SondDatum,"&gt;="&amp;$E4641,SondDatum,"&lt;="&amp;EOMONTH($E4641,0)),$J4641-$M4641))</f>
      </c>
      <c r="O4641" s="43">
        <f>IF($I4641=0,0,INDEX(DarlErsatzRate,10))</f>
      </c>
      <c r="P4641" s="43">
        <f>IF($I4641=0,0,$Q4640*INDEX(DarlErsatzZins,10))</f>
      </c>
      <c r="Q4641" s="43">
        <f>IF($I4641=0,0,$Q4640+$P4641+$O4641)</f>
      </c>
      <c r="R4641" s="43">
        <f>IF($I4641=0,0,$J4641-$M4641-$N4641)</f>
      </c>
    </row>
    <row r="4642">
      <c r="A4642"/>
      <c r="B4642">
        <v>10</v>
      </c>
      <c r="C4642" s="43">
        <f>INDEX(DarlObj,10)</f>
      </c>
      <c r="D4642">
        <v>319</v>
      </c>
      <c r="E4642" s="51">
        <f>IF(INDEX(DarlBelegt,10)=0,0,EOMONTH(INDEX(DarlAuszahlung,10),318)+1)</f>
      </c>
      <c r="F4642" s="43">
        <f>IF($E4642=0,0,YEAR($E4642))</f>
      </c>
      <c r="G4642" s="43">
        <f>IF(INDEX(DarlBindung,10)="",1,IF($E4642&lt;=INDEX(DarlBindung,10),1,0))</f>
      </c>
      <c r="H4642" s="43">
        <f>IF($G4642=1,INDEX(DarlSollzins,10),INDEX(DarlAnschluss,10))</f>
      </c>
      <c r="I4642" s="43">
        <f>IF(INDEX(DarlBelegt,10)=0,0,IF(INDEX(DarlOhneTilgung,10)=1,IF(INDEX(DarlBindung,10)="",1,$G4642),IF($J4642&gt;0.005,1,0)))</f>
      </c>
      <c r="J4642" s="43">
        <f>IF($I4641=0,0,$R4641)</f>
      </c>
      <c r="K4642" s="43">
        <f>IF($I4642=0,0,IF(INDEX(DarlOhneTilgung,10)=1,0,IF(AND(INDEX(DarlTilgStart,10)&gt;0,$E4642=INDEX(DarlTilgStart,10)),$J4642*($H4642+INDEX(DarlTilgung,10))/100/12,IF(AND($G4642=0,$G4641=1),MAX($K4641,$J4642*($H4642+1)/100/12),$K4641))))</f>
      </c>
      <c r="L4642" s="43">
        <f>IF($I4642=0,0,$J4642*$H4642/100/12)</f>
      </c>
      <c r="M4642" s="43">
        <f>IF($I4642=0,0,IF(OR(INDEX(DarlOhneTilgung,10)=1,AND(INDEX(DarlTilgStart,10)&gt;0,$E4642&lt;INDEX(DarlTilgStart,10))),0,MIN(MAX(0,$K4642-$L4642),$J4642)))</f>
      </c>
      <c r="N4642" s="43">
        <f>IF($I4642=0,0,MIN(SUMIFS(SondBetrag,SondDarl,10,SondDatum,"&gt;="&amp;$E4642,SondDatum,"&lt;="&amp;EOMONTH($E4642,0)),$J4642-$M4642))</f>
      </c>
      <c r="O4642" s="43">
        <f>IF($I4642=0,0,INDEX(DarlErsatzRate,10))</f>
      </c>
      <c r="P4642" s="43">
        <f>IF($I4642=0,0,$Q4641*INDEX(DarlErsatzZins,10))</f>
      </c>
      <c r="Q4642" s="43">
        <f>IF($I4642=0,0,$Q4641+$P4642+$O4642)</f>
      </c>
      <c r="R4642" s="43">
        <f>IF($I4642=0,0,$J4642-$M4642-$N4642)</f>
      </c>
    </row>
    <row r="4643">
      <c r="A4643"/>
      <c r="B4643">
        <v>10</v>
      </c>
      <c r="C4643" s="43">
        <f>INDEX(DarlObj,10)</f>
      </c>
      <c r="D4643">
        <v>320</v>
      </c>
      <c r="E4643" s="51">
        <f>IF(INDEX(DarlBelegt,10)=0,0,EOMONTH(INDEX(DarlAuszahlung,10),319)+1)</f>
      </c>
      <c r="F4643" s="43">
        <f>IF($E4643=0,0,YEAR($E4643))</f>
      </c>
      <c r="G4643" s="43">
        <f>IF(INDEX(DarlBindung,10)="",1,IF($E4643&lt;=INDEX(DarlBindung,10),1,0))</f>
      </c>
      <c r="H4643" s="43">
        <f>IF($G4643=1,INDEX(DarlSollzins,10),INDEX(DarlAnschluss,10))</f>
      </c>
      <c r="I4643" s="43">
        <f>IF(INDEX(DarlBelegt,10)=0,0,IF(INDEX(DarlOhneTilgung,10)=1,IF(INDEX(DarlBindung,10)="",1,$G4643),IF($J4643&gt;0.005,1,0)))</f>
      </c>
      <c r="J4643" s="43">
        <f>IF($I4642=0,0,$R4642)</f>
      </c>
      <c r="K4643" s="43">
        <f>IF($I4643=0,0,IF(INDEX(DarlOhneTilgung,10)=1,0,IF(AND(INDEX(DarlTilgStart,10)&gt;0,$E4643=INDEX(DarlTilgStart,10)),$J4643*($H4643+INDEX(DarlTilgung,10))/100/12,IF(AND($G4643=0,$G4642=1),MAX($K4642,$J4643*($H4643+1)/100/12),$K4642))))</f>
      </c>
      <c r="L4643" s="43">
        <f>IF($I4643=0,0,$J4643*$H4643/100/12)</f>
      </c>
      <c r="M4643" s="43">
        <f>IF($I4643=0,0,IF(OR(INDEX(DarlOhneTilgung,10)=1,AND(INDEX(DarlTilgStart,10)&gt;0,$E4643&lt;INDEX(DarlTilgStart,10))),0,MIN(MAX(0,$K4643-$L4643),$J4643)))</f>
      </c>
      <c r="N4643" s="43">
        <f>IF($I4643=0,0,MIN(SUMIFS(SondBetrag,SondDarl,10,SondDatum,"&gt;="&amp;$E4643,SondDatum,"&lt;="&amp;EOMONTH($E4643,0)),$J4643-$M4643))</f>
      </c>
      <c r="O4643" s="43">
        <f>IF($I4643=0,0,INDEX(DarlErsatzRate,10))</f>
      </c>
      <c r="P4643" s="43">
        <f>IF($I4643=0,0,$Q4642*INDEX(DarlErsatzZins,10))</f>
      </c>
      <c r="Q4643" s="43">
        <f>IF($I4643=0,0,$Q4642+$P4643+$O4643)</f>
      </c>
      <c r="R4643" s="43">
        <f>IF($I4643=0,0,$J4643-$M4643-$N4643)</f>
      </c>
    </row>
    <row r="4644">
      <c r="A4644"/>
      <c r="B4644">
        <v>10</v>
      </c>
      <c r="C4644" s="43">
        <f>INDEX(DarlObj,10)</f>
      </c>
      <c r="D4644">
        <v>321</v>
      </c>
      <c r="E4644" s="51">
        <f>IF(INDEX(DarlBelegt,10)=0,0,EOMONTH(INDEX(DarlAuszahlung,10),320)+1)</f>
      </c>
      <c r="F4644" s="43">
        <f>IF($E4644=0,0,YEAR($E4644))</f>
      </c>
      <c r="G4644" s="43">
        <f>IF(INDEX(DarlBindung,10)="",1,IF($E4644&lt;=INDEX(DarlBindung,10),1,0))</f>
      </c>
      <c r="H4644" s="43">
        <f>IF($G4644=1,INDEX(DarlSollzins,10),INDEX(DarlAnschluss,10))</f>
      </c>
      <c r="I4644" s="43">
        <f>IF(INDEX(DarlBelegt,10)=0,0,IF(INDEX(DarlOhneTilgung,10)=1,IF(INDEX(DarlBindung,10)="",1,$G4644),IF($J4644&gt;0.005,1,0)))</f>
      </c>
      <c r="J4644" s="43">
        <f>IF($I4643=0,0,$R4643)</f>
      </c>
      <c r="K4644" s="43">
        <f>IF($I4644=0,0,IF(INDEX(DarlOhneTilgung,10)=1,0,IF(AND(INDEX(DarlTilgStart,10)&gt;0,$E4644=INDEX(DarlTilgStart,10)),$J4644*($H4644+INDEX(DarlTilgung,10))/100/12,IF(AND($G4644=0,$G4643=1),MAX($K4643,$J4644*($H4644+1)/100/12),$K4643))))</f>
      </c>
      <c r="L4644" s="43">
        <f>IF($I4644=0,0,$J4644*$H4644/100/12)</f>
      </c>
      <c r="M4644" s="43">
        <f>IF($I4644=0,0,IF(OR(INDEX(DarlOhneTilgung,10)=1,AND(INDEX(DarlTilgStart,10)&gt;0,$E4644&lt;INDEX(DarlTilgStart,10))),0,MIN(MAX(0,$K4644-$L4644),$J4644)))</f>
      </c>
      <c r="N4644" s="43">
        <f>IF($I4644=0,0,MIN(SUMIFS(SondBetrag,SondDarl,10,SondDatum,"&gt;="&amp;$E4644,SondDatum,"&lt;="&amp;EOMONTH($E4644,0)),$J4644-$M4644))</f>
      </c>
      <c r="O4644" s="43">
        <f>IF($I4644=0,0,INDEX(DarlErsatzRate,10))</f>
      </c>
      <c r="P4644" s="43">
        <f>IF($I4644=0,0,$Q4643*INDEX(DarlErsatzZins,10))</f>
      </c>
      <c r="Q4644" s="43">
        <f>IF($I4644=0,0,$Q4643+$P4644+$O4644)</f>
      </c>
      <c r="R4644" s="43">
        <f>IF($I4644=0,0,$J4644-$M4644-$N4644)</f>
      </c>
    </row>
    <row r="4645">
      <c r="A4645"/>
      <c r="B4645">
        <v>10</v>
      </c>
      <c r="C4645" s="43">
        <f>INDEX(DarlObj,10)</f>
      </c>
      <c r="D4645">
        <v>322</v>
      </c>
      <c r="E4645" s="51">
        <f>IF(INDEX(DarlBelegt,10)=0,0,EOMONTH(INDEX(DarlAuszahlung,10),321)+1)</f>
      </c>
      <c r="F4645" s="43">
        <f>IF($E4645=0,0,YEAR($E4645))</f>
      </c>
      <c r="G4645" s="43">
        <f>IF(INDEX(DarlBindung,10)="",1,IF($E4645&lt;=INDEX(DarlBindung,10),1,0))</f>
      </c>
      <c r="H4645" s="43">
        <f>IF($G4645=1,INDEX(DarlSollzins,10),INDEX(DarlAnschluss,10))</f>
      </c>
      <c r="I4645" s="43">
        <f>IF(INDEX(DarlBelegt,10)=0,0,IF(INDEX(DarlOhneTilgung,10)=1,IF(INDEX(DarlBindung,10)="",1,$G4645),IF($J4645&gt;0.005,1,0)))</f>
      </c>
      <c r="J4645" s="43">
        <f>IF($I4644=0,0,$R4644)</f>
      </c>
      <c r="K4645" s="43">
        <f>IF($I4645=0,0,IF(INDEX(DarlOhneTilgung,10)=1,0,IF(AND(INDEX(DarlTilgStart,10)&gt;0,$E4645=INDEX(DarlTilgStart,10)),$J4645*($H4645+INDEX(DarlTilgung,10))/100/12,IF(AND($G4645=0,$G4644=1),MAX($K4644,$J4645*($H4645+1)/100/12),$K4644))))</f>
      </c>
      <c r="L4645" s="43">
        <f>IF($I4645=0,0,$J4645*$H4645/100/12)</f>
      </c>
      <c r="M4645" s="43">
        <f>IF($I4645=0,0,IF(OR(INDEX(DarlOhneTilgung,10)=1,AND(INDEX(DarlTilgStart,10)&gt;0,$E4645&lt;INDEX(DarlTilgStart,10))),0,MIN(MAX(0,$K4645-$L4645),$J4645)))</f>
      </c>
      <c r="N4645" s="43">
        <f>IF($I4645=0,0,MIN(SUMIFS(SondBetrag,SondDarl,10,SondDatum,"&gt;="&amp;$E4645,SondDatum,"&lt;="&amp;EOMONTH($E4645,0)),$J4645-$M4645))</f>
      </c>
      <c r="O4645" s="43">
        <f>IF($I4645=0,0,INDEX(DarlErsatzRate,10))</f>
      </c>
      <c r="P4645" s="43">
        <f>IF($I4645=0,0,$Q4644*INDEX(DarlErsatzZins,10))</f>
      </c>
      <c r="Q4645" s="43">
        <f>IF($I4645=0,0,$Q4644+$P4645+$O4645)</f>
      </c>
      <c r="R4645" s="43">
        <f>IF($I4645=0,0,$J4645-$M4645-$N4645)</f>
      </c>
    </row>
    <row r="4646">
      <c r="A4646"/>
      <c r="B4646">
        <v>10</v>
      </c>
      <c r="C4646" s="43">
        <f>INDEX(DarlObj,10)</f>
      </c>
      <c r="D4646">
        <v>323</v>
      </c>
      <c r="E4646" s="51">
        <f>IF(INDEX(DarlBelegt,10)=0,0,EOMONTH(INDEX(DarlAuszahlung,10),322)+1)</f>
      </c>
      <c r="F4646" s="43">
        <f>IF($E4646=0,0,YEAR($E4646))</f>
      </c>
      <c r="G4646" s="43">
        <f>IF(INDEX(DarlBindung,10)="",1,IF($E4646&lt;=INDEX(DarlBindung,10),1,0))</f>
      </c>
      <c r="H4646" s="43">
        <f>IF($G4646=1,INDEX(DarlSollzins,10),INDEX(DarlAnschluss,10))</f>
      </c>
      <c r="I4646" s="43">
        <f>IF(INDEX(DarlBelegt,10)=0,0,IF(INDEX(DarlOhneTilgung,10)=1,IF(INDEX(DarlBindung,10)="",1,$G4646),IF($J4646&gt;0.005,1,0)))</f>
      </c>
      <c r="J4646" s="43">
        <f>IF($I4645=0,0,$R4645)</f>
      </c>
      <c r="K4646" s="43">
        <f>IF($I4646=0,0,IF(INDEX(DarlOhneTilgung,10)=1,0,IF(AND(INDEX(DarlTilgStart,10)&gt;0,$E4646=INDEX(DarlTilgStart,10)),$J4646*($H4646+INDEX(DarlTilgung,10))/100/12,IF(AND($G4646=0,$G4645=1),MAX($K4645,$J4646*($H4646+1)/100/12),$K4645))))</f>
      </c>
      <c r="L4646" s="43">
        <f>IF($I4646=0,0,$J4646*$H4646/100/12)</f>
      </c>
      <c r="M4646" s="43">
        <f>IF($I4646=0,0,IF(OR(INDEX(DarlOhneTilgung,10)=1,AND(INDEX(DarlTilgStart,10)&gt;0,$E4646&lt;INDEX(DarlTilgStart,10))),0,MIN(MAX(0,$K4646-$L4646),$J4646)))</f>
      </c>
      <c r="N4646" s="43">
        <f>IF($I4646=0,0,MIN(SUMIFS(SondBetrag,SondDarl,10,SondDatum,"&gt;="&amp;$E4646,SondDatum,"&lt;="&amp;EOMONTH($E4646,0)),$J4646-$M4646))</f>
      </c>
      <c r="O4646" s="43">
        <f>IF($I4646=0,0,INDEX(DarlErsatzRate,10))</f>
      </c>
      <c r="P4646" s="43">
        <f>IF($I4646=0,0,$Q4645*INDEX(DarlErsatzZins,10))</f>
      </c>
      <c r="Q4646" s="43">
        <f>IF($I4646=0,0,$Q4645+$P4646+$O4646)</f>
      </c>
      <c r="R4646" s="43">
        <f>IF($I4646=0,0,$J4646-$M4646-$N4646)</f>
      </c>
    </row>
    <row r="4647">
      <c r="A4647"/>
      <c r="B4647">
        <v>10</v>
      </c>
      <c r="C4647" s="43">
        <f>INDEX(DarlObj,10)</f>
      </c>
      <c r="D4647">
        <v>324</v>
      </c>
      <c r="E4647" s="51">
        <f>IF(INDEX(DarlBelegt,10)=0,0,EOMONTH(INDEX(DarlAuszahlung,10),323)+1)</f>
      </c>
      <c r="F4647" s="43">
        <f>IF($E4647=0,0,YEAR($E4647))</f>
      </c>
      <c r="G4647" s="43">
        <f>IF(INDEX(DarlBindung,10)="",1,IF($E4647&lt;=INDEX(DarlBindung,10),1,0))</f>
      </c>
      <c r="H4647" s="43">
        <f>IF($G4647=1,INDEX(DarlSollzins,10),INDEX(DarlAnschluss,10))</f>
      </c>
      <c r="I4647" s="43">
        <f>IF(INDEX(DarlBelegt,10)=0,0,IF(INDEX(DarlOhneTilgung,10)=1,IF(INDEX(DarlBindung,10)="",1,$G4647),IF($J4647&gt;0.005,1,0)))</f>
      </c>
      <c r="J4647" s="43">
        <f>IF($I4646=0,0,$R4646)</f>
      </c>
      <c r="K4647" s="43">
        <f>IF($I4647=0,0,IF(INDEX(DarlOhneTilgung,10)=1,0,IF(AND(INDEX(DarlTilgStart,10)&gt;0,$E4647=INDEX(DarlTilgStart,10)),$J4647*($H4647+INDEX(DarlTilgung,10))/100/12,IF(AND($G4647=0,$G4646=1),MAX($K4646,$J4647*($H4647+1)/100/12),$K4646))))</f>
      </c>
      <c r="L4647" s="43">
        <f>IF($I4647=0,0,$J4647*$H4647/100/12)</f>
      </c>
      <c r="M4647" s="43">
        <f>IF($I4647=0,0,IF(OR(INDEX(DarlOhneTilgung,10)=1,AND(INDEX(DarlTilgStart,10)&gt;0,$E4647&lt;INDEX(DarlTilgStart,10))),0,MIN(MAX(0,$K4647-$L4647),$J4647)))</f>
      </c>
      <c r="N4647" s="43">
        <f>IF($I4647=0,0,MIN(SUMIFS(SondBetrag,SondDarl,10,SondDatum,"&gt;="&amp;$E4647,SondDatum,"&lt;="&amp;EOMONTH($E4647,0)),$J4647-$M4647))</f>
      </c>
      <c r="O4647" s="43">
        <f>IF($I4647=0,0,INDEX(DarlErsatzRate,10))</f>
      </c>
      <c r="P4647" s="43">
        <f>IF($I4647=0,0,$Q4646*INDEX(DarlErsatzZins,10))</f>
      </c>
      <c r="Q4647" s="43">
        <f>IF($I4647=0,0,$Q4646+$P4647+$O4647)</f>
      </c>
      <c r="R4647" s="43">
        <f>IF($I4647=0,0,$J4647-$M4647-$N4647)</f>
      </c>
    </row>
    <row r="4648">
      <c r="A4648"/>
      <c r="B4648">
        <v>10</v>
      </c>
      <c r="C4648" s="43">
        <f>INDEX(DarlObj,10)</f>
      </c>
      <c r="D4648">
        <v>325</v>
      </c>
      <c r="E4648" s="51">
        <f>IF(INDEX(DarlBelegt,10)=0,0,EOMONTH(INDEX(DarlAuszahlung,10),324)+1)</f>
      </c>
      <c r="F4648" s="43">
        <f>IF($E4648=0,0,YEAR($E4648))</f>
      </c>
      <c r="G4648" s="43">
        <f>IF(INDEX(DarlBindung,10)="",1,IF($E4648&lt;=INDEX(DarlBindung,10),1,0))</f>
      </c>
      <c r="H4648" s="43">
        <f>IF($G4648=1,INDEX(DarlSollzins,10),INDEX(DarlAnschluss,10))</f>
      </c>
      <c r="I4648" s="43">
        <f>IF(INDEX(DarlBelegt,10)=0,0,IF(INDEX(DarlOhneTilgung,10)=1,IF(INDEX(DarlBindung,10)="",1,$G4648),IF($J4648&gt;0.005,1,0)))</f>
      </c>
      <c r="J4648" s="43">
        <f>IF($I4647=0,0,$R4647)</f>
      </c>
      <c r="K4648" s="43">
        <f>IF($I4648=0,0,IF(INDEX(DarlOhneTilgung,10)=1,0,IF(AND(INDEX(DarlTilgStart,10)&gt;0,$E4648=INDEX(DarlTilgStart,10)),$J4648*($H4648+INDEX(DarlTilgung,10))/100/12,IF(AND($G4648=0,$G4647=1),MAX($K4647,$J4648*($H4648+1)/100/12),$K4647))))</f>
      </c>
      <c r="L4648" s="43">
        <f>IF($I4648=0,0,$J4648*$H4648/100/12)</f>
      </c>
      <c r="M4648" s="43">
        <f>IF($I4648=0,0,IF(OR(INDEX(DarlOhneTilgung,10)=1,AND(INDEX(DarlTilgStart,10)&gt;0,$E4648&lt;INDEX(DarlTilgStart,10))),0,MIN(MAX(0,$K4648-$L4648),$J4648)))</f>
      </c>
      <c r="N4648" s="43">
        <f>IF($I4648=0,0,MIN(SUMIFS(SondBetrag,SondDarl,10,SondDatum,"&gt;="&amp;$E4648,SondDatum,"&lt;="&amp;EOMONTH($E4648,0)),$J4648-$M4648))</f>
      </c>
      <c r="O4648" s="43">
        <f>IF($I4648=0,0,INDEX(DarlErsatzRate,10))</f>
      </c>
      <c r="P4648" s="43">
        <f>IF($I4648=0,0,$Q4647*INDEX(DarlErsatzZins,10))</f>
      </c>
      <c r="Q4648" s="43">
        <f>IF($I4648=0,0,$Q4647+$P4648+$O4648)</f>
      </c>
      <c r="R4648" s="43">
        <f>IF($I4648=0,0,$J4648-$M4648-$N4648)</f>
      </c>
    </row>
    <row r="4649">
      <c r="A4649"/>
      <c r="B4649">
        <v>10</v>
      </c>
      <c r="C4649" s="43">
        <f>INDEX(DarlObj,10)</f>
      </c>
      <c r="D4649">
        <v>326</v>
      </c>
      <c r="E4649" s="51">
        <f>IF(INDEX(DarlBelegt,10)=0,0,EOMONTH(INDEX(DarlAuszahlung,10),325)+1)</f>
      </c>
      <c r="F4649" s="43">
        <f>IF($E4649=0,0,YEAR($E4649))</f>
      </c>
      <c r="G4649" s="43">
        <f>IF(INDEX(DarlBindung,10)="",1,IF($E4649&lt;=INDEX(DarlBindung,10),1,0))</f>
      </c>
      <c r="H4649" s="43">
        <f>IF($G4649=1,INDEX(DarlSollzins,10),INDEX(DarlAnschluss,10))</f>
      </c>
      <c r="I4649" s="43">
        <f>IF(INDEX(DarlBelegt,10)=0,0,IF(INDEX(DarlOhneTilgung,10)=1,IF(INDEX(DarlBindung,10)="",1,$G4649),IF($J4649&gt;0.005,1,0)))</f>
      </c>
      <c r="J4649" s="43">
        <f>IF($I4648=0,0,$R4648)</f>
      </c>
      <c r="K4649" s="43">
        <f>IF($I4649=0,0,IF(INDEX(DarlOhneTilgung,10)=1,0,IF(AND(INDEX(DarlTilgStart,10)&gt;0,$E4649=INDEX(DarlTilgStart,10)),$J4649*($H4649+INDEX(DarlTilgung,10))/100/12,IF(AND($G4649=0,$G4648=1),MAX($K4648,$J4649*($H4649+1)/100/12),$K4648))))</f>
      </c>
      <c r="L4649" s="43">
        <f>IF($I4649=0,0,$J4649*$H4649/100/12)</f>
      </c>
      <c r="M4649" s="43">
        <f>IF($I4649=0,0,IF(OR(INDEX(DarlOhneTilgung,10)=1,AND(INDEX(DarlTilgStart,10)&gt;0,$E4649&lt;INDEX(DarlTilgStart,10))),0,MIN(MAX(0,$K4649-$L4649),$J4649)))</f>
      </c>
      <c r="N4649" s="43">
        <f>IF($I4649=0,0,MIN(SUMIFS(SondBetrag,SondDarl,10,SondDatum,"&gt;="&amp;$E4649,SondDatum,"&lt;="&amp;EOMONTH($E4649,0)),$J4649-$M4649))</f>
      </c>
      <c r="O4649" s="43">
        <f>IF($I4649=0,0,INDEX(DarlErsatzRate,10))</f>
      </c>
      <c r="P4649" s="43">
        <f>IF($I4649=0,0,$Q4648*INDEX(DarlErsatzZins,10))</f>
      </c>
      <c r="Q4649" s="43">
        <f>IF($I4649=0,0,$Q4648+$P4649+$O4649)</f>
      </c>
      <c r="R4649" s="43">
        <f>IF($I4649=0,0,$J4649-$M4649-$N4649)</f>
      </c>
    </row>
    <row r="4650">
      <c r="A4650"/>
      <c r="B4650">
        <v>10</v>
      </c>
      <c r="C4650" s="43">
        <f>INDEX(DarlObj,10)</f>
      </c>
      <c r="D4650">
        <v>327</v>
      </c>
      <c r="E4650" s="51">
        <f>IF(INDEX(DarlBelegt,10)=0,0,EOMONTH(INDEX(DarlAuszahlung,10),326)+1)</f>
      </c>
      <c r="F4650" s="43">
        <f>IF($E4650=0,0,YEAR($E4650))</f>
      </c>
      <c r="G4650" s="43">
        <f>IF(INDEX(DarlBindung,10)="",1,IF($E4650&lt;=INDEX(DarlBindung,10),1,0))</f>
      </c>
      <c r="H4650" s="43">
        <f>IF($G4650=1,INDEX(DarlSollzins,10),INDEX(DarlAnschluss,10))</f>
      </c>
      <c r="I4650" s="43">
        <f>IF(INDEX(DarlBelegt,10)=0,0,IF(INDEX(DarlOhneTilgung,10)=1,IF(INDEX(DarlBindung,10)="",1,$G4650),IF($J4650&gt;0.005,1,0)))</f>
      </c>
      <c r="J4650" s="43">
        <f>IF($I4649=0,0,$R4649)</f>
      </c>
      <c r="K4650" s="43">
        <f>IF($I4650=0,0,IF(INDEX(DarlOhneTilgung,10)=1,0,IF(AND(INDEX(DarlTilgStart,10)&gt;0,$E4650=INDEX(DarlTilgStart,10)),$J4650*($H4650+INDEX(DarlTilgung,10))/100/12,IF(AND($G4650=0,$G4649=1),MAX($K4649,$J4650*($H4650+1)/100/12),$K4649))))</f>
      </c>
      <c r="L4650" s="43">
        <f>IF($I4650=0,0,$J4650*$H4650/100/12)</f>
      </c>
      <c r="M4650" s="43">
        <f>IF($I4650=0,0,IF(OR(INDEX(DarlOhneTilgung,10)=1,AND(INDEX(DarlTilgStart,10)&gt;0,$E4650&lt;INDEX(DarlTilgStart,10))),0,MIN(MAX(0,$K4650-$L4650),$J4650)))</f>
      </c>
      <c r="N4650" s="43">
        <f>IF($I4650=0,0,MIN(SUMIFS(SondBetrag,SondDarl,10,SondDatum,"&gt;="&amp;$E4650,SondDatum,"&lt;="&amp;EOMONTH($E4650,0)),$J4650-$M4650))</f>
      </c>
      <c r="O4650" s="43">
        <f>IF($I4650=0,0,INDEX(DarlErsatzRate,10))</f>
      </c>
      <c r="P4650" s="43">
        <f>IF($I4650=0,0,$Q4649*INDEX(DarlErsatzZins,10))</f>
      </c>
      <c r="Q4650" s="43">
        <f>IF($I4650=0,0,$Q4649+$P4650+$O4650)</f>
      </c>
      <c r="R4650" s="43">
        <f>IF($I4650=0,0,$J4650-$M4650-$N4650)</f>
      </c>
    </row>
    <row r="4651">
      <c r="A4651"/>
      <c r="B4651">
        <v>10</v>
      </c>
      <c r="C4651" s="43">
        <f>INDEX(DarlObj,10)</f>
      </c>
      <c r="D4651">
        <v>328</v>
      </c>
      <c r="E4651" s="51">
        <f>IF(INDEX(DarlBelegt,10)=0,0,EOMONTH(INDEX(DarlAuszahlung,10),327)+1)</f>
      </c>
      <c r="F4651" s="43">
        <f>IF($E4651=0,0,YEAR($E4651))</f>
      </c>
      <c r="G4651" s="43">
        <f>IF(INDEX(DarlBindung,10)="",1,IF($E4651&lt;=INDEX(DarlBindung,10),1,0))</f>
      </c>
      <c r="H4651" s="43">
        <f>IF($G4651=1,INDEX(DarlSollzins,10),INDEX(DarlAnschluss,10))</f>
      </c>
      <c r="I4651" s="43">
        <f>IF(INDEX(DarlBelegt,10)=0,0,IF(INDEX(DarlOhneTilgung,10)=1,IF(INDEX(DarlBindung,10)="",1,$G4651),IF($J4651&gt;0.005,1,0)))</f>
      </c>
      <c r="J4651" s="43">
        <f>IF($I4650=0,0,$R4650)</f>
      </c>
      <c r="K4651" s="43">
        <f>IF($I4651=0,0,IF(INDEX(DarlOhneTilgung,10)=1,0,IF(AND(INDEX(DarlTilgStart,10)&gt;0,$E4651=INDEX(DarlTilgStart,10)),$J4651*($H4651+INDEX(DarlTilgung,10))/100/12,IF(AND($G4651=0,$G4650=1),MAX($K4650,$J4651*($H4651+1)/100/12),$K4650))))</f>
      </c>
      <c r="L4651" s="43">
        <f>IF($I4651=0,0,$J4651*$H4651/100/12)</f>
      </c>
      <c r="M4651" s="43">
        <f>IF($I4651=0,0,IF(OR(INDEX(DarlOhneTilgung,10)=1,AND(INDEX(DarlTilgStart,10)&gt;0,$E4651&lt;INDEX(DarlTilgStart,10))),0,MIN(MAX(0,$K4651-$L4651),$J4651)))</f>
      </c>
      <c r="N4651" s="43">
        <f>IF($I4651=0,0,MIN(SUMIFS(SondBetrag,SondDarl,10,SondDatum,"&gt;="&amp;$E4651,SondDatum,"&lt;="&amp;EOMONTH($E4651,0)),$J4651-$M4651))</f>
      </c>
      <c r="O4651" s="43">
        <f>IF($I4651=0,0,INDEX(DarlErsatzRate,10))</f>
      </c>
      <c r="P4651" s="43">
        <f>IF($I4651=0,0,$Q4650*INDEX(DarlErsatzZins,10))</f>
      </c>
      <c r="Q4651" s="43">
        <f>IF($I4651=0,0,$Q4650+$P4651+$O4651)</f>
      </c>
      <c r="R4651" s="43">
        <f>IF($I4651=0,0,$J4651-$M4651-$N4651)</f>
      </c>
    </row>
    <row r="4652">
      <c r="A4652"/>
      <c r="B4652">
        <v>10</v>
      </c>
      <c r="C4652" s="43">
        <f>INDEX(DarlObj,10)</f>
      </c>
      <c r="D4652">
        <v>329</v>
      </c>
      <c r="E4652" s="51">
        <f>IF(INDEX(DarlBelegt,10)=0,0,EOMONTH(INDEX(DarlAuszahlung,10),328)+1)</f>
      </c>
      <c r="F4652" s="43">
        <f>IF($E4652=0,0,YEAR($E4652))</f>
      </c>
      <c r="G4652" s="43">
        <f>IF(INDEX(DarlBindung,10)="",1,IF($E4652&lt;=INDEX(DarlBindung,10),1,0))</f>
      </c>
      <c r="H4652" s="43">
        <f>IF($G4652=1,INDEX(DarlSollzins,10),INDEX(DarlAnschluss,10))</f>
      </c>
      <c r="I4652" s="43">
        <f>IF(INDEX(DarlBelegt,10)=0,0,IF(INDEX(DarlOhneTilgung,10)=1,IF(INDEX(DarlBindung,10)="",1,$G4652),IF($J4652&gt;0.005,1,0)))</f>
      </c>
      <c r="J4652" s="43">
        <f>IF($I4651=0,0,$R4651)</f>
      </c>
      <c r="K4652" s="43">
        <f>IF($I4652=0,0,IF(INDEX(DarlOhneTilgung,10)=1,0,IF(AND(INDEX(DarlTilgStart,10)&gt;0,$E4652=INDEX(DarlTilgStart,10)),$J4652*($H4652+INDEX(DarlTilgung,10))/100/12,IF(AND($G4652=0,$G4651=1),MAX($K4651,$J4652*($H4652+1)/100/12),$K4651))))</f>
      </c>
      <c r="L4652" s="43">
        <f>IF($I4652=0,0,$J4652*$H4652/100/12)</f>
      </c>
      <c r="M4652" s="43">
        <f>IF($I4652=0,0,IF(OR(INDEX(DarlOhneTilgung,10)=1,AND(INDEX(DarlTilgStart,10)&gt;0,$E4652&lt;INDEX(DarlTilgStart,10))),0,MIN(MAX(0,$K4652-$L4652),$J4652)))</f>
      </c>
      <c r="N4652" s="43">
        <f>IF($I4652=0,0,MIN(SUMIFS(SondBetrag,SondDarl,10,SondDatum,"&gt;="&amp;$E4652,SondDatum,"&lt;="&amp;EOMONTH($E4652,0)),$J4652-$M4652))</f>
      </c>
      <c r="O4652" s="43">
        <f>IF($I4652=0,0,INDEX(DarlErsatzRate,10))</f>
      </c>
      <c r="P4652" s="43">
        <f>IF($I4652=0,0,$Q4651*INDEX(DarlErsatzZins,10))</f>
      </c>
      <c r="Q4652" s="43">
        <f>IF($I4652=0,0,$Q4651+$P4652+$O4652)</f>
      </c>
      <c r="R4652" s="43">
        <f>IF($I4652=0,0,$J4652-$M4652-$N4652)</f>
      </c>
    </row>
    <row r="4653">
      <c r="A4653"/>
      <c r="B4653">
        <v>10</v>
      </c>
      <c r="C4653" s="43">
        <f>INDEX(DarlObj,10)</f>
      </c>
      <c r="D4653">
        <v>330</v>
      </c>
      <c r="E4653" s="51">
        <f>IF(INDEX(DarlBelegt,10)=0,0,EOMONTH(INDEX(DarlAuszahlung,10),329)+1)</f>
      </c>
      <c r="F4653" s="43">
        <f>IF($E4653=0,0,YEAR($E4653))</f>
      </c>
      <c r="G4653" s="43">
        <f>IF(INDEX(DarlBindung,10)="",1,IF($E4653&lt;=INDEX(DarlBindung,10),1,0))</f>
      </c>
      <c r="H4653" s="43">
        <f>IF($G4653=1,INDEX(DarlSollzins,10),INDEX(DarlAnschluss,10))</f>
      </c>
      <c r="I4653" s="43">
        <f>IF(INDEX(DarlBelegt,10)=0,0,IF(INDEX(DarlOhneTilgung,10)=1,IF(INDEX(DarlBindung,10)="",1,$G4653),IF($J4653&gt;0.005,1,0)))</f>
      </c>
      <c r="J4653" s="43">
        <f>IF($I4652=0,0,$R4652)</f>
      </c>
      <c r="K4653" s="43">
        <f>IF($I4653=0,0,IF(INDEX(DarlOhneTilgung,10)=1,0,IF(AND(INDEX(DarlTilgStart,10)&gt;0,$E4653=INDEX(DarlTilgStart,10)),$J4653*($H4653+INDEX(DarlTilgung,10))/100/12,IF(AND($G4653=0,$G4652=1),MAX($K4652,$J4653*($H4653+1)/100/12),$K4652))))</f>
      </c>
      <c r="L4653" s="43">
        <f>IF($I4653=0,0,$J4653*$H4653/100/12)</f>
      </c>
      <c r="M4653" s="43">
        <f>IF($I4653=0,0,IF(OR(INDEX(DarlOhneTilgung,10)=1,AND(INDEX(DarlTilgStart,10)&gt;0,$E4653&lt;INDEX(DarlTilgStart,10))),0,MIN(MAX(0,$K4653-$L4653),$J4653)))</f>
      </c>
      <c r="N4653" s="43">
        <f>IF($I4653=0,0,MIN(SUMIFS(SondBetrag,SondDarl,10,SondDatum,"&gt;="&amp;$E4653,SondDatum,"&lt;="&amp;EOMONTH($E4653,0)),$J4653-$M4653))</f>
      </c>
      <c r="O4653" s="43">
        <f>IF($I4653=0,0,INDEX(DarlErsatzRate,10))</f>
      </c>
      <c r="P4653" s="43">
        <f>IF($I4653=0,0,$Q4652*INDEX(DarlErsatzZins,10))</f>
      </c>
      <c r="Q4653" s="43">
        <f>IF($I4653=0,0,$Q4652+$P4653+$O4653)</f>
      </c>
      <c r="R4653" s="43">
        <f>IF($I4653=0,0,$J4653-$M4653-$N4653)</f>
      </c>
    </row>
    <row r="4654">
      <c r="A4654"/>
      <c r="B4654">
        <v>10</v>
      </c>
      <c r="C4654" s="43">
        <f>INDEX(DarlObj,10)</f>
      </c>
      <c r="D4654">
        <v>331</v>
      </c>
      <c r="E4654" s="51">
        <f>IF(INDEX(DarlBelegt,10)=0,0,EOMONTH(INDEX(DarlAuszahlung,10),330)+1)</f>
      </c>
      <c r="F4654" s="43">
        <f>IF($E4654=0,0,YEAR($E4654))</f>
      </c>
      <c r="G4654" s="43">
        <f>IF(INDEX(DarlBindung,10)="",1,IF($E4654&lt;=INDEX(DarlBindung,10),1,0))</f>
      </c>
      <c r="H4654" s="43">
        <f>IF($G4654=1,INDEX(DarlSollzins,10),INDEX(DarlAnschluss,10))</f>
      </c>
      <c r="I4654" s="43">
        <f>IF(INDEX(DarlBelegt,10)=0,0,IF(INDEX(DarlOhneTilgung,10)=1,IF(INDEX(DarlBindung,10)="",1,$G4654),IF($J4654&gt;0.005,1,0)))</f>
      </c>
      <c r="J4654" s="43">
        <f>IF($I4653=0,0,$R4653)</f>
      </c>
      <c r="K4654" s="43">
        <f>IF($I4654=0,0,IF(INDEX(DarlOhneTilgung,10)=1,0,IF(AND(INDEX(DarlTilgStart,10)&gt;0,$E4654=INDEX(DarlTilgStart,10)),$J4654*($H4654+INDEX(DarlTilgung,10))/100/12,IF(AND($G4654=0,$G4653=1),MAX($K4653,$J4654*($H4654+1)/100/12),$K4653))))</f>
      </c>
      <c r="L4654" s="43">
        <f>IF($I4654=0,0,$J4654*$H4654/100/12)</f>
      </c>
      <c r="M4654" s="43">
        <f>IF($I4654=0,0,IF(OR(INDEX(DarlOhneTilgung,10)=1,AND(INDEX(DarlTilgStart,10)&gt;0,$E4654&lt;INDEX(DarlTilgStart,10))),0,MIN(MAX(0,$K4654-$L4654),$J4654)))</f>
      </c>
      <c r="N4654" s="43">
        <f>IF($I4654=0,0,MIN(SUMIFS(SondBetrag,SondDarl,10,SondDatum,"&gt;="&amp;$E4654,SondDatum,"&lt;="&amp;EOMONTH($E4654,0)),$J4654-$M4654))</f>
      </c>
      <c r="O4654" s="43">
        <f>IF($I4654=0,0,INDEX(DarlErsatzRate,10))</f>
      </c>
      <c r="P4654" s="43">
        <f>IF($I4654=0,0,$Q4653*INDEX(DarlErsatzZins,10))</f>
      </c>
      <c r="Q4654" s="43">
        <f>IF($I4654=0,0,$Q4653+$P4654+$O4654)</f>
      </c>
      <c r="R4654" s="43">
        <f>IF($I4654=0,0,$J4654-$M4654-$N4654)</f>
      </c>
    </row>
    <row r="4655">
      <c r="A4655"/>
      <c r="B4655">
        <v>10</v>
      </c>
      <c r="C4655" s="43">
        <f>INDEX(DarlObj,10)</f>
      </c>
      <c r="D4655">
        <v>332</v>
      </c>
      <c r="E4655" s="51">
        <f>IF(INDEX(DarlBelegt,10)=0,0,EOMONTH(INDEX(DarlAuszahlung,10),331)+1)</f>
      </c>
      <c r="F4655" s="43">
        <f>IF($E4655=0,0,YEAR($E4655))</f>
      </c>
      <c r="G4655" s="43">
        <f>IF(INDEX(DarlBindung,10)="",1,IF($E4655&lt;=INDEX(DarlBindung,10),1,0))</f>
      </c>
      <c r="H4655" s="43">
        <f>IF($G4655=1,INDEX(DarlSollzins,10),INDEX(DarlAnschluss,10))</f>
      </c>
      <c r="I4655" s="43">
        <f>IF(INDEX(DarlBelegt,10)=0,0,IF(INDEX(DarlOhneTilgung,10)=1,IF(INDEX(DarlBindung,10)="",1,$G4655),IF($J4655&gt;0.005,1,0)))</f>
      </c>
      <c r="J4655" s="43">
        <f>IF($I4654=0,0,$R4654)</f>
      </c>
      <c r="K4655" s="43">
        <f>IF($I4655=0,0,IF(INDEX(DarlOhneTilgung,10)=1,0,IF(AND(INDEX(DarlTilgStart,10)&gt;0,$E4655=INDEX(DarlTilgStart,10)),$J4655*($H4655+INDEX(DarlTilgung,10))/100/12,IF(AND($G4655=0,$G4654=1),MAX($K4654,$J4655*($H4655+1)/100/12),$K4654))))</f>
      </c>
      <c r="L4655" s="43">
        <f>IF($I4655=0,0,$J4655*$H4655/100/12)</f>
      </c>
      <c r="M4655" s="43">
        <f>IF($I4655=0,0,IF(OR(INDEX(DarlOhneTilgung,10)=1,AND(INDEX(DarlTilgStart,10)&gt;0,$E4655&lt;INDEX(DarlTilgStart,10))),0,MIN(MAX(0,$K4655-$L4655),$J4655)))</f>
      </c>
      <c r="N4655" s="43">
        <f>IF($I4655=0,0,MIN(SUMIFS(SondBetrag,SondDarl,10,SondDatum,"&gt;="&amp;$E4655,SondDatum,"&lt;="&amp;EOMONTH($E4655,0)),$J4655-$M4655))</f>
      </c>
      <c r="O4655" s="43">
        <f>IF($I4655=0,0,INDEX(DarlErsatzRate,10))</f>
      </c>
      <c r="P4655" s="43">
        <f>IF($I4655=0,0,$Q4654*INDEX(DarlErsatzZins,10))</f>
      </c>
      <c r="Q4655" s="43">
        <f>IF($I4655=0,0,$Q4654+$P4655+$O4655)</f>
      </c>
      <c r="R4655" s="43">
        <f>IF($I4655=0,0,$J4655-$M4655-$N4655)</f>
      </c>
    </row>
    <row r="4656">
      <c r="A4656"/>
      <c r="B4656">
        <v>10</v>
      </c>
      <c r="C4656" s="43">
        <f>INDEX(DarlObj,10)</f>
      </c>
      <c r="D4656">
        <v>333</v>
      </c>
      <c r="E4656" s="51">
        <f>IF(INDEX(DarlBelegt,10)=0,0,EOMONTH(INDEX(DarlAuszahlung,10),332)+1)</f>
      </c>
      <c r="F4656" s="43">
        <f>IF($E4656=0,0,YEAR($E4656))</f>
      </c>
      <c r="G4656" s="43">
        <f>IF(INDEX(DarlBindung,10)="",1,IF($E4656&lt;=INDEX(DarlBindung,10),1,0))</f>
      </c>
      <c r="H4656" s="43">
        <f>IF($G4656=1,INDEX(DarlSollzins,10),INDEX(DarlAnschluss,10))</f>
      </c>
      <c r="I4656" s="43">
        <f>IF(INDEX(DarlBelegt,10)=0,0,IF(INDEX(DarlOhneTilgung,10)=1,IF(INDEX(DarlBindung,10)="",1,$G4656),IF($J4656&gt;0.005,1,0)))</f>
      </c>
      <c r="J4656" s="43">
        <f>IF($I4655=0,0,$R4655)</f>
      </c>
      <c r="K4656" s="43">
        <f>IF($I4656=0,0,IF(INDEX(DarlOhneTilgung,10)=1,0,IF(AND(INDEX(DarlTilgStart,10)&gt;0,$E4656=INDEX(DarlTilgStart,10)),$J4656*($H4656+INDEX(DarlTilgung,10))/100/12,IF(AND($G4656=0,$G4655=1),MAX($K4655,$J4656*($H4656+1)/100/12),$K4655))))</f>
      </c>
      <c r="L4656" s="43">
        <f>IF($I4656=0,0,$J4656*$H4656/100/12)</f>
      </c>
      <c r="M4656" s="43">
        <f>IF($I4656=0,0,IF(OR(INDEX(DarlOhneTilgung,10)=1,AND(INDEX(DarlTilgStart,10)&gt;0,$E4656&lt;INDEX(DarlTilgStart,10))),0,MIN(MAX(0,$K4656-$L4656),$J4656)))</f>
      </c>
      <c r="N4656" s="43">
        <f>IF($I4656=0,0,MIN(SUMIFS(SondBetrag,SondDarl,10,SondDatum,"&gt;="&amp;$E4656,SondDatum,"&lt;="&amp;EOMONTH($E4656,0)),$J4656-$M4656))</f>
      </c>
      <c r="O4656" s="43">
        <f>IF($I4656=0,0,INDEX(DarlErsatzRate,10))</f>
      </c>
      <c r="P4656" s="43">
        <f>IF($I4656=0,0,$Q4655*INDEX(DarlErsatzZins,10))</f>
      </c>
      <c r="Q4656" s="43">
        <f>IF($I4656=0,0,$Q4655+$P4656+$O4656)</f>
      </c>
      <c r="R4656" s="43">
        <f>IF($I4656=0,0,$J4656-$M4656-$N4656)</f>
      </c>
    </row>
    <row r="4657">
      <c r="A4657"/>
      <c r="B4657">
        <v>10</v>
      </c>
      <c r="C4657" s="43">
        <f>INDEX(DarlObj,10)</f>
      </c>
      <c r="D4657">
        <v>334</v>
      </c>
      <c r="E4657" s="51">
        <f>IF(INDEX(DarlBelegt,10)=0,0,EOMONTH(INDEX(DarlAuszahlung,10),333)+1)</f>
      </c>
      <c r="F4657" s="43">
        <f>IF($E4657=0,0,YEAR($E4657))</f>
      </c>
      <c r="G4657" s="43">
        <f>IF(INDEX(DarlBindung,10)="",1,IF($E4657&lt;=INDEX(DarlBindung,10),1,0))</f>
      </c>
      <c r="H4657" s="43">
        <f>IF($G4657=1,INDEX(DarlSollzins,10),INDEX(DarlAnschluss,10))</f>
      </c>
      <c r="I4657" s="43">
        <f>IF(INDEX(DarlBelegt,10)=0,0,IF(INDEX(DarlOhneTilgung,10)=1,IF(INDEX(DarlBindung,10)="",1,$G4657),IF($J4657&gt;0.005,1,0)))</f>
      </c>
      <c r="J4657" s="43">
        <f>IF($I4656=0,0,$R4656)</f>
      </c>
      <c r="K4657" s="43">
        <f>IF($I4657=0,0,IF(INDEX(DarlOhneTilgung,10)=1,0,IF(AND(INDEX(DarlTilgStart,10)&gt;0,$E4657=INDEX(DarlTilgStart,10)),$J4657*($H4657+INDEX(DarlTilgung,10))/100/12,IF(AND($G4657=0,$G4656=1),MAX($K4656,$J4657*($H4657+1)/100/12),$K4656))))</f>
      </c>
      <c r="L4657" s="43">
        <f>IF($I4657=0,0,$J4657*$H4657/100/12)</f>
      </c>
      <c r="M4657" s="43">
        <f>IF($I4657=0,0,IF(OR(INDEX(DarlOhneTilgung,10)=1,AND(INDEX(DarlTilgStart,10)&gt;0,$E4657&lt;INDEX(DarlTilgStart,10))),0,MIN(MAX(0,$K4657-$L4657),$J4657)))</f>
      </c>
      <c r="N4657" s="43">
        <f>IF($I4657=0,0,MIN(SUMIFS(SondBetrag,SondDarl,10,SondDatum,"&gt;="&amp;$E4657,SondDatum,"&lt;="&amp;EOMONTH($E4657,0)),$J4657-$M4657))</f>
      </c>
      <c r="O4657" s="43">
        <f>IF($I4657=0,0,INDEX(DarlErsatzRate,10))</f>
      </c>
      <c r="P4657" s="43">
        <f>IF($I4657=0,0,$Q4656*INDEX(DarlErsatzZins,10))</f>
      </c>
      <c r="Q4657" s="43">
        <f>IF($I4657=0,0,$Q4656+$P4657+$O4657)</f>
      </c>
      <c r="R4657" s="43">
        <f>IF($I4657=0,0,$J4657-$M4657-$N4657)</f>
      </c>
    </row>
    <row r="4658">
      <c r="A4658"/>
      <c r="B4658">
        <v>10</v>
      </c>
      <c r="C4658" s="43">
        <f>INDEX(DarlObj,10)</f>
      </c>
      <c r="D4658">
        <v>335</v>
      </c>
      <c r="E4658" s="51">
        <f>IF(INDEX(DarlBelegt,10)=0,0,EOMONTH(INDEX(DarlAuszahlung,10),334)+1)</f>
      </c>
      <c r="F4658" s="43">
        <f>IF($E4658=0,0,YEAR($E4658))</f>
      </c>
      <c r="G4658" s="43">
        <f>IF(INDEX(DarlBindung,10)="",1,IF($E4658&lt;=INDEX(DarlBindung,10),1,0))</f>
      </c>
      <c r="H4658" s="43">
        <f>IF($G4658=1,INDEX(DarlSollzins,10),INDEX(DarlAnschluss,10))</f>
      </c>
      <c r="I4658" s="43">
        <f>IF(INDEX(DarlBelegt,10)=0,0,IF(INDEX(DarlOhneTilgung,10)=1,IF(INDEX(DarlBindung,10)="",1,$G4658),IF($J4658&gt;0.005,1,0)))</f>
      </c>
      <c r="J4658" s="43">
        <f>IF($I4657=0,0,$R4657)</f>
      </c>
      <c r="K4658" s="43">
        <f>IF($I4658=0,0,IF(INDEX(DarlOhneTilgung,10)=1,0,IF(AND(INDEX(DarlTilgStart,10)&gt;0,$E4658=INDEX(DarlTilgStart,10)),$J4658*($H4658+INDEX(DarlTilgung,10))/100/12,IF(AND($G4658=0,$G4657=1),MAX($K4657,$J4658*($H4658+1)/100/12),$K4657))))</f>
      </c>
      <c r="L4658" s="43">
        <f>IF($I4658=0,0,$J4658*$H4658/100/12)</f>
      </c>
      <c r="M4658" s="43">
        <f>IF($I4658=0,0,IF(OR(INDEX(DarlOhneTilgung,10)=1,AND(INDEX(DarlTilgStart,10)&gt;0,$E4658&lt;INDEX(DarlTilgStart,10))),0,MIN(MAX(0,$K4658-$L4658),$J4658)))</f>
      </c>
      <c r="N4658" s="43">
        <f>IF($I4658=0,0,MIN(SUMIFS(SondBetrag,SondDarl,10,SondDatum,"&gt;="&amp;$E4658,SondDatum,"&lt;="&amp;EOMONTH($E4658,0)),$J4658-$M4658))</f>
      </c>
      <c r="O4658" s="43">
        <f>IF($I4658=0,0,INDEX(DarlErsatzRate,10))</f>
      </c>
      <c r="P4658" s="43">
        <f>IF($I4658=0,0,$Q4657*INDEX(DarlErsatzZins,10))</f>
      </c>
      <c r="Q4658" s="43">
        <f>IF($I4658=0,0,$Q4657+$P4658+$O4658)</f>
      </c>
      <c r="R4658" s="43">
        <f>IF($I4658=0,0,$J4658-$M4658-$N4658)</f>
      </c>
    </row>
    <row r="4659">
      <c r="A4659"/>
      <c r="B4659">
        <v>10</v>
      </c>
      <c r="C4659" s="43">
        <f>INDEX(DarlObj,10)</f>
      </c>
      <c r="D4659">
        <v>336</v>
      </c>
      <c r="E4659" s="51">
        <f>IF(INDEX(DarlBelegt,10)=0,0,EOMONTH(INDEX(DarlAuszahlung,10),335)+1)</f>
      </c>
      <c r="F4659" s="43">
        <f>IF($E4659=0,0,YEAR($E4659))</f>
      </c>
      <c r="G4659" s="43">
        <f>IF(INDEX(DarlBindung,10)="",1,IF($E4659&lt;=INDEX(DarlBindung,10),1,0))</f>
      </c>
      <c r="H4659" s="43">
        <f>IF($G4659=1,INDEX(DarlSollzins,10),INDEX(DarlAnschluss,10))</f>
      </c>
      <c r="I4659" s="43">
        <f>IF(INDEX(DarlBelegt,10)=0,0,IF(INDEX(DarlOhneTilgung,10)=1,IF(INDEX(DarlBindung,10)="",1,$G4659),IF($J4659&gt;0.005,1,0)))</f>
      </c>
      <c r="J4659" s="43">
        <f>IF($I4658=0,0,$R4658)</f>
      </c>
      <c r="K4659" s="43">
        <f>IF($I4659=0,0,IF(INDEX(DarlOhneTilgung,10)=1,0,IF(AND(INDEX(DarlTilgStart,10)&gt;0,$E4659=INDEX(DarlTilgStart,10)),$J4659*($H4659+INDEX(DarlTilgung,10))/100/12,IF(AND($G4659=0,$G4658=1),MAX($K4658,$J4659*($H4659+1)/100/12),$K4658))))</f>
      </c>
      <c r="L4659" s="43">
        <f>IF($I4659=0,0,$J4659*$H4659/100/12)</f>
      </c>
      <c r="M4659" s="43">
        <f>IF($I4659=0,0,IF(OR(INDEX(DarlOhneTilgung,10)=1,AND(INDEX(DarlTilgStart,10)&gt;0,$E4659&lt;INDEX(DarlTilgStart,10))),0,MIN(MAX(0,$K4659-$L4659),$J4659)))</f>
      </c>
      <c r="N4659" s="43">
        <f>IF($I4659=0,0,MIN(SUMIFS(SondBetrag,SondDarl,10,SondDatum,"&gt;="&amp;$E4659,SondDatum,"&lt;="&amp;EOMONTH($E4659,0)),$J4659-$M4659))</f>
      </c>
      <c r="O4659" s="43">
        <f>IF($I4659=0,0,INDEX(DarlErsatzRate,10))</f>
      </c>
      <c r="P4659" s="43">
        <f>IF($I4659=0,0,$Q4658*INDEX(DarlErsatzZins,10))</f>
      </c>
      <c r="Q4659" s="43">
        <f>IF($I4659=0,0,$Q4658+$P4659+$O4659)</f>
      </c>
      <c r="R4659" s="43">
        <f>IF($I4659=0,0,$J4659-$M4659-$N4659)</f>
      </c>
    </row>
    <row r="4660">
      <c r="A4660"/>
      <c r="B4660">
        <v>10</v>
      </c>
      <c r="C4660" s="43">
        <f>INDEX(DarlObj,10)</f>
      </c>
      <c r="D4660">
        <v>337</v>
      </c>
      <c r="E4660" s="51">
        <f>IF(INDEX(DarlBelegt,10)=0,0,EOMONTH(INDEX(DarlAuszahlung,10),336)+1)</f>
      </c>
      <c r="F4660" s="43">
        <f>IF($E4660=0,0,YEAR($E4660))</f>
      </c>
      <c r="G4660" s="43">
        <f>IF(INDEX(DarlBindung,10)="",1,IF($E4660&lt;=INDEX(DarlBindung,10),1,0))</f>
      </c>
      <c r="H4660" s="43">
        <f>IF($G4660=1,INDEX(DarlSollzins,10),INDEX(DarlAnschluss,10))</f>
      </c>
      <c r="I4660" s="43">
        <f>IF(INDEX(DarlBelegt,10)=0,0,IF(INDEX(DarlOhneTilgung,10)=1,IF(INDEX(DarlBindung,10)="",1,$G4660),IF($J4660&gt;0.005,1,0)))</f>
      </c>
      <c r="J4660" s="43">
        <f>IF($I4659=0,0,$R4659)</f>
      </c>
      <c r="K4660" s="43">
        <f>IF($I4660=0,0,IF(INDEX(DarlOhneTilgung,10)=1,0,IF(AND(INDEX(DarlTilgStart,10)&gt;0,$E4660=INDEX(DarlTilgStart,10)),$J4660*($H4660+INDEX(DarlTilgung,10))/100/12,IF(AND($G4660=0,$G4659=1),MAX($K4659,$J4660*($H4660+1)/100/12),$K4659))))</f>
      </c>
      <c r="L4660" s="43">
        <f>IF($I4660=0,0,$J4660*$H4660/100/12)</f>
      </c>
      <c r="M4660" s="43">
        <f>IF($I4660=0,0,IF(OR(INDEX(DarlOhneTilgung,10)=1,AND(INDEX(DarlTilgStart,10)&gt;0,$E4660&lt;INDEX(DarlTilgStart,10))),0,MIN(MAX(0,$K4660-$L4660),$J4660)))</f>
      </c>
      <c r="N4660" s="43">
        <f>IF($I4660=0,0,MIN(SUMIFS(SondBetrag,SondDarl,10,SondDatum,"&gt;="&amp;$E4660,SondDatum,"&lt;="&amp;EOMONTH($E4660,0)),$J4660-$M4660))</f>
      </c>
      <c r="O4660" s="43">
        <f>IF($I4660=0,0,INDEX(DarlErsatzRate,10))</f>
      </c>
      <c r="P4660" s="43">
        <f>IF($I4660=0,0,$Q4659*INDEX(DarlErsatzZins,10))</f>
      </c>
      <c r="Q4660" s="43">
        <f>IF($I4660=0,0,$Q4659+$P4660+$O4660)</f>
      </c>
      <c r="R4660" s="43">
        <f>IF($I4660=0,0,$J4660-$M4660-$N4660)</f>
      </c>
    </row>
    <row r="4661">
      <c r="A4661"/>
      <c r="B4661">
        <v>10</v>
      </c>
      <c r="C4661" s="43">
        <f>INDEX(DarlObj,10)</f>
      </c>
      <c r="D4661">
        <v>338</v>
      </c>
      <c r="E4661" s="51">
        <f>IF(INDEX(DarlBelegt,10)=0,0,EOMONTH(INDEX(DarlAuszahlung,10),337)+1)</f>
      </c>
      <c r="F4661" s="43">
        <f>IF($E4661=0,0,YEAR($E4661))</f>
      </c>
      <c r="G4661" s="43">
        <f>IF(INDEX(DarlBindung,10)="",1,IF($E4661&lt;=INDEX(DarlBindung,10),1,0))</f>
      </c>
      <c r="H4661" s="43">
        <f>IF($G4661=1,INDEX(DarlSollzins,10),INDEX(DarlAnschluss,10))</f>
      </c>
      <c r="I4661" s="43">
        <f>IF(INDEX(DarlBelegt,10)=0,0,IF(INDEX(DarlOhneTilgung,10)=1,IF(INDEX(DarlBindung,10)="",1,$G4661),IF($J4661&gt;0.005,1,0)))</f>
      </c>
      <c r="J4661" s="43">
        <f>IF($I4660=0,0,$R4660)</f>
      </c>
      <c r="K4661" s="43">
        <f>IF($I4661=0,0,IF(INDEX(DarlOhneTilgung,10)=1,0,IF(AND(INDEX(DarlTilgStart,10)&gt;0,$E4661=INDEX(DarlTilgStart,10)),$J4661*($H4661+INDEX(DarlTilgung,10))/100/12,IF(AND($G4661=0,$G4660=1),MAX($K4660,$J4661*($H4661+1)/100/12),$K4660))))</f>
      </c>
      <c r="L4661" s="43">
        <f>IF($I4661=0,0,$J4661*$H4661/100/12)</f>
      </c>
      <c r="M4661" s="43">
        <f>IF($I4661=0,0,IF(OR(INDEX(DarlOhneTilgung,10)=1,AND(INDEX(DarlTilgStart,10)&gt;0,$E4661&lt;INDEX(DarlTilgStart,10))),0,MIN(MAX(0,$K4661-$L4661),$J4661)))</f>
      </c>
      <c r="N4661" s="43">
        <f>IF($I4661=0,0,MIN(SUMIFS(SondBetrag,SondDarl,10,SondDatum,"&gt;="&amp;$E4661,SondDatum,"&lt;="&amp;EOMONTH($E4661,0)),$J4661-$M4661))</f>
      </c>
      <c r="O4661" s="43">
        <f>IF($I4661=0,0,INDEX(DarlErsatzRate,10))</f>
      </c>
      <c r="P4661" s="43">
        <f>IF($I4661=0,0,$Q4660*INDEX(DarlErsatzZins,10))</f>
      </c>
      <c r="Q4661" s="43">
        <f>IF($I4661=0,0,$Q4660+$P4661+$O4661)</f>
      </c>
      <c r="R4661" s="43">
        <f>IF($I4661=0,0,$J4661-$M4661-$N4661)</f>
      </c>
    </row>
    <row r="4662">
      <c r="A4662"/>
      <c r="B4662">
        <v>10</v>
      </c>
      <c r="C4662" s="43">
        <f>INDEX(DarlObj,10)</f>
      </c>
      <c r="D4662">
        <v>339</v>
      </c>
      <c r="E4662" s="51">
        <f>IF(INDEX(DarlBelegt,10)=0,0,EOMONTH(INDEX(DarlAuszahlung,10),338)+1)</f>
      </c>
      <c r="F4662" s="43">
        <f>IF($E4662=0,0,YEAR($E4662))</f>
      </c>
      <c r="G4662" s="43">
        <f>IF(INDEX(DarlBindung,10)="",1,IF($E4662&lt;=INDEX(DarlBindung,10),1,0))</f>
      </c>
      <c r="H4662" s="43">
        <f>IF($G4662=1,INDEX(DarlSollzins,10),INDEX(DarlAnschluss,10))</f>
      </c>
      <c r="I4662" s="43">
        <f>IF(INDEX(DarlBelegt,10)=0,0,IF(INDEX(DarlOhneTilgung,10)=1,IF(INDEX(DarlBindung,10)="",1,$G4662),IF($J4662&gt;0.005,1,0)))</f>
      </c>
      <c r="J4662" s="43">
        <f>IF($I4661=0,0,$R4661)</f>
      </c>
      <c r="K4662" s="43">
        <f>IF($I4662=0,0,IF(INDEX(DarlOhneTilgung,10)=1,0,IF(AND(INDEX(DarlTilgStart,10)&gt;0,$E4662=INDEX(DarlTilgStart,10)),$J4662*($H4662+INDEX(DarlTilgung,10))/100/12,IF(AND($G4662=0,$G4661=1),MAX($K4661,$J4662*($H4662+1)/100/12),$K4661))))</f>
      </c>
      <c r="L4662" s="43">
        <f>IF($I4662=0,0,$J4662*$H4662/100/12)</f>
      </c>
      <c r="M4662" s="43">
        <f>IF($I4662=0,0,IF(OR(INDEX(DarlOhneTilgung,10)=1,AND(INDEX(DarlTilgStart,10)&gt;0,$E4662&lt;INDEX(DarlTilgStart,10))),0,MIN(MAX(0,$K4662-$L4662),$J4662)))</f>
      </c>
      <c r="N4662" s="43">
        <f>IF($I4662=0,0,MIN(SUMIFS(SondBetrag,SondDarl,10,SondDatum,"&gt;="&amp;$E4662,SondDatum,"&lt;="&amp;EOMONTH($E4662,0)),$J4662-$M4662))</f>
      </c>
      <c r="O4662" s="43">
        <f>IF($I4662=0,0,INDEX(DarlErsatzRate,10))</f>
      </c>
      <c r="P4662" s="43">
        <f>IF($I4662=0,0,$Q4661*INDEX(DarlErsatzZins,10))</f>
      </c>
      <c r="Q4662" s="43">
        <f>IF($I4662=0,0,$Q4661+$P4662+$O4662)</f>
      </c>
      <c r="R4662" s="43">
        <f>IF($I4662=0,0,$J4662-$M4662-$N4662)</f>
      </c>
    </row>
    <row r="4663">
      <c r="A4663"/>
      <c r="B4663">
        <v>10</v>
      </c>
      <c r="C4663" s="43">
        <f>INDEX(DarlObj,10)</f>
      </c>
      <c r="D4663">
        <v>340</v>
      </c>
      <c r="E4663" s="51">
        <f>IF(INDEX(DarlBelegt,10)=0,0,EOMONTH(INDEX(DarlAuszahlung,10),339)+1)</f>
      </c>
      <c r="F4663" s="43">
        <f>IF($E4663=0,0,YEAR($E4663))</f>
      </c>
      <c r="G4663" s="43">
        <f>IF(INDEX(DarlBindung,10)="",1,IF($E4663&lt;=INDEX(DarlBindung,10),1,0))</f>
      </c>
      <c r="H4663" s="43">
        <f>IF($G4663=1,INDEX(DarlSollzins,10),INDEX(DarlAnschluss,10))</f>
      </c>
      <c r="I4663" s="43">
        <f>IF(INDEX(DarlBelegt,10)=0,0,IF(INDEX(DarlOhneTilgung,10)=1,IF(INDEX(DarlBindung,10)="",1,$G4663),IF($J4663&gt;0.005,1,0)))</f>
      </c>
      <c r="J4663" s="43">
        <f>IF($I4662=0,0,$R4662)</f>
      </c>
      <c r="K4663" s="43">
        <f>IF($I4663=0,0,IF(INDEX(DarlOhneTilgung,10)=1,0,IF(AND(INDEX(DarlTilgStart,10)&gt;0,$E4663=INDEX(DarlTilgStart,10)),$J4663*($H4663+INDEX(DarlTilgung,10))/100/12,IF(AND($G4663=0,$G4662=1),MAX($K4662,$J4663*($H4663+1)/100/12),$K4662))))</f>
      </c>
      <c r="L4663" s="43">
        <f>IF($I4663=0,0,$J4663*$H4663/100/12)</f>
      </c>
      <c r="M4663" s="43">
        <f>IF($I4663=0,0,IF(OR(INDEX(DarlOhneTilgung,10)=1,AND(INDEX(DarlTilgStart,10)&gt;0,$E4663&lt;INDEX(DarlTilgStart,10))),0,MIN(MAX(0,$K4663-$L4663),$J4663)))</f>
      </c>
      <c r="N4663" s="43">
        <f>IF($I4663=0,0,MIN(SUMIFS(SondBetrag,SondDarl,10,SondDatum,"&gt;="&amp;$E4663,SondDatum,"&lt;="&amp;EOMONTH($E4663,0)),$J4663-$M4663))</f>
      </c>
      <c r="O4663" s="43">
        <f>IF($I4663=0,0,INDEX(DarlErsatzRate,10))</f>
      </c>
      <c r="P4663" s="43">
        <f>IF($I4663=0,0,$Q4662*INDEX(DarlErsatzZins,10))</f>
      </c>
      <c r="Q4663" s="43">
        <f>IF($I4663=0,0,$Q4662+$P4663+$O4663)</f>
      </c>
      <c r="R4663" s="43">
        <f>IF($I4663=0,0,$J4663-$M4663-$N4663)</f>
      </c>
    </row>
    <row r="4664">
      <c r="A4664"/>
      <c r="B4664">
        <v>10</v>
      </c>
      <c r="C4664" s="43">
        <f>INDEX(DarlObj,10)</f>
      </c>
      <c r="D4664">
        <v>341</v>
      </c>
      <c r="E4664" s="51">
        <f>IF(INDEX(DarlBelegt,10)=0,0,EOMONTH(INDEX(DarlAuszahlung,10),340)+1)</f>
      </c>
      <c r="F4664" s="43">
        <f>IF($E4664=0,0,YEAR($E4664))</f>
      </c>
      <c r="G4664" s="43">
        <f>IF(INDEX(DarlBindung,10)="",1,IF($E4664&lt;=INDEX(DarlBindung,10),1,0))</f>
      </c>
      <c r="H4664" s="43">
        <f>IF($G4664=1,INDEX(DarlSollzins,10),INDEX(DarlAnschluss,10))</f>
      </c>
      <c r="I4664" s="43">
        <f>IF(INDEX(DarlBelegt,10)=0,0,IF(INDEX(DarlOhneTilgung,10)=1,IF(INDEX(DarlBindung,10)="",1,$G4664),IF($J4664&gt;0.005,1,0)))</f>
      </c>
      <c r="J4664" s="43">
        <f>IF($I4663=0,0,$R4663)</f>
      </c>
      <c r="K4664" s="43">
        <f>IF($I4664=0,0,IF(INDEX(DarlOhneTilgung,10)=1,0,IF(AND(INDEX(DarlTilgStart,10)&gt;0,$E4664=INDEX(DarlTilgStart,10)),$J4664*($H4664+INDEX(DarlTilgung,10))/100/12,IF(AND($G4664=0,$G4663=1),MAX($K4663,$J4664*($H4664+1)/100/12),$K4663))))</f>
      </c>
      <c r="L4664" s="43">
        <f>IF($I4664=0,0,$J4664*$H4664/100/12)</f>
      </c>
      <c r="M4664" s="43">
        <f>IF($I4664=0,0,IF(OR(INDEX(DarlOhneTilgung,10)=1,AND(INDEX(DarlTilgStart,10)&gt;0,$E4664&lt;INDEX(DarlTilgStart,10))),0,MIN(MAX(0,$K4664-$L4664),$J4664)))</f>
      </c>
      <c r="N4664" s="43">
        <f>IF($I4664=0,0,MIN(SUMIFS(SondBetrag,SondDarl,10,SondDatum,"&gt;="&amp;$E4664,SondDatum,"&lt;="&amp;EOMONTH($E4664,0)),$J4664-$M4664))</f>
      </c>
      <c r="O4664" s="43">
        <f>IF($I4664=0,0,INDEX(DarlErsatzRate,10))</f>
      </c>
      <c r="P4664" s="43">
        <f>IF($I4664=0,0,$Q4663*INDEX(DarlErsatzZins,10))</f>
      </c>
      <c r="Q4664" s="43">
        <f>IF($I4664=0,0,$Q4663+$P4664+$O4664)</f>
      </c>
      <c r="R4664" s="43">
        <f>IF($I4664=0,0,$J4664-$M4664-$N4664)</f>
      </c>
    </row>
    <row r="4665">
      <c r="A4665"/>
      <c r="B4665">
        <v>10</v>
      </c>
      <c r="C4665" s="43">
        <f>INDEX(DarlObj,10)</f>
      </c>
      <c r="D4665">
        <v>342</v>
      </c>
      <c r="E4665" s="51">
        <f>IF(INDEX(DarlBelegt,10)=0,0,EOMONTH(INDEX(DarlAuszahlung,10),341)+1)</f>
      </c>
      <c r="F4665" s="43">
        <f>IF($E4665=0,0,YEAR($E4665))</f>
      </c>
      <c r="G4665" s="43">
        <f>IF(INDEX(DarlBindung,10)="",1,IF($E4665&lt;=INDEX(DarlBindung,10),1,0))</f>
      </c>
      <c r="H4665" s="43">
        <f>IF($G4665=1,INDEX(DarlSollzins,10),INDEX(DarlAnschluss,10))</f>
      </c>
      <c r="I4665" s="43">
        <f>IF(INDEX(DarlBelegt,10)=0,0,IF(INDEX(DarlOhneTilgung,10)=1,IF(INDEX(DarlBindung,10)="",1,$G4665),IF($J4665&gt;0.005,1,0)))</f>
      </c>
      <c r="J4665" s="43">
        <f>IF($I4664=0,0,$R4664)</f>
      </c>
      <c r="K4665" s="43">
        <f>IF($I4665=0,0,IF(INDEX(DarlOhneTilgung,10)=1,0,IF(AND(INDEX(DarlTilgStart,10)&gt;0,$E4665=INDEX(DarlTilgStart,10)),$J4665*($H4665+INDEX(DarlTilgung,10))/100/12,IF(AND($G4665=0,$G4664=1),MAX($K4664,$J4665*($H4665+1)/100/12),$K4664))))</f>
      </c>
      <c r="L4665" s="43">
        <f>IF($I4665=0,0,$J4665*$H4665/100/12)</f>
      </c>
      <c r="M4665" s="43">
        <f>IF($I4665=0,0,IF(OR(INDEX(DarlOhneTilgung,10)=1,AND(INDEX(DarlTilgStart,10)&gt;0,$E4665&lt;INDEX(DarlTilgStart,10))),0,MIN(MAX(0,$K4665-$L4665),$J4665)))</f>
      </c>
      <c r="N4665" s="43">
        <f>IF($I4665=0,0,MIN(SUMIFS(SondBetrag,SondDarl,10,SondDatum,"&gt;="&amp;$E4665,SondDatum,"&lt;="&amp;EOMONTH($E4665,0)),$J4665-$M4665))</f>
      </c>
      <c r="O4665" s="43">
        <f>IF($I4665=0,0,INDEX(DarlErsatzRate,10))</f>
      </c>
      <c r="P4665" s="43">
        <f>IF($I4665=0,0,$Q4664*INDEX(DarlErsatzZins,10))</f>
      </c>
      <c r="Q4665" s="43">
        <f>IF($I4665=0,0,$Q4664+$P4665+$O4665)</f>
      </c>
      <c r="R4665" s="43">
        <f>IF($I4665=0,0,$J4665-$M4665-$N4665)</f>
      </c>
    </row>
    <row r="4666">
      <c r="A4666"/>
      <c r="B4666">
        <v>10</v>
      </c>
      <c r="C4666" s="43">
        <f>INDEX(DarlObj,10)</f>
      </c>
      <c r="D4666">
        <v>343</v>
      </c>
      <c r="E4666" s="51">
        <f>IF(INDEX(DarlBelegt,10)=0,0,EOMONTH(INDEX(DarlAuszahlung,10),342)+1)</f>
      </c>
      <c r="F4666" s="43">
        <f>IF($E4666=0,0,YEAR($E4666))</f>
      </c>
      <c r="G4666" s="43">
        <f>IF(INDEX(DarlBindung,10)="",1,IF($E4666&lt;=INDEX(DarlBindung,10),1,0))</f>
      </c>
      <c r="H4666" s="43">
        <f>IF($G4666=1,INDEX(DarlSollzins,10),INDEX(DarlAnschluss,10))</f>
      </c>
      <c r="I4666" s="43">
        <f>IF(INDEX(DarlBelegt,10)=0,0,IF(INDEX(DarlOhneTilgung,10)=1,IF(INDEX(DarlBindung,10)="",1,$G4666),IF($J4666&gt;0.005,1,0)))</f>
      </c>
      <c r="J4666" s="43">
        <f>IF($I4665=0,0,$R4665)</f>
      </c>
      <c r="K4666" s="43">
        <f>IF($I4666=0,0,IF(INDEX(DarlOhneTilgung,10)=1,0,IF(AND(INDEX(DarlTilgStart,10)&gt;0,$E4666=INDEX(DarlTilgStart,10)),$J4666*($H4666+INDEX(DarlTilgung,10))/100/12,IF(AND($G4666=0,$G4665=1),MAX($K4665,$J4666*($H4666+1)/100/12),$K4665))))</f>
      </c>
      <c r="L4666" s="43">
        <f>IF($I4666=0,0,$J4666*$H4666/100/12)</f>
      </c>
      <c r="M4666" s="43">
        <f>IF($I4666=0,0,IF(OR(INDEX(DarlOhneTilgung,10)=1,AND(INDEX(DarlTilgStart,10)&gt;0,$E4666&lt;INDEX(DarlTilgStart,10))),0,MIN(MAX(0,$K4666-$L4666),$J4666)))</f>
      </c>
      <c r="N4666" s="43">
        <f>IF($I4666=0,0,MIN(SUMIFS(SondBetrag,SondDarl,10,SondDatum,"&gt;="&amp;$E4666,SondDatum,"&lt;="&amp;EOMONTH($E4666,0)),$J4666-$M4666))</f>
      </c>
      <c r="O4666" s="43">
        <f>IF($I4666=0,0,INDEX(DarlErsatzRate,10))</f>
      </c>
      <c r="P4666" s="43">
        <f>IF($I4666=0,0,$Q4665*INDEX(DarlErsatzZins,10))</f>
      </c>
      <c r="Q4666" s="43">
        <f>IF($I4666=0,0,$Q4665+$P4666+$O4666)</f>
      </c>
      <c r="R4666" s="43">
        <f>IF($I4666=0,0,$J4666-$M4666-$N4666)</f>
      </c>
    </row>
    <row r="4667">
      <c r="A4667"/>
      <c r="B4667">
        <v>10</v>
      </c>
      <c r="C4667" s="43">
        <f>INDEX(DarlObj,10)</f>
      </c>
      <c r="D4667">
        <v>344</v>
      </c>
      <c r="E4667" s="51">
        <f>IF(INDEX(DarlBelegt,10)=0,0,EOMONTH(INDEX(DarlAuszahlung,10),343)+1)</f>
      </c>
      <c r="F4667" s="43">
        <f>IF($E4667=0,0,YEAR($E4667))</f>
      </c>
      <c r="G4667" s="43">
        <f>IF(INDEX(DarlBindung,10)="",1,IF($E4667&lt;=INDEX(DarlBindung,10),1,0))</f>
      </c>
      <c r="H4667" s="43">
        <f>IF($G4667=1,INDEX(DarlSollzins,10),INDEX(DarlAnschluss,10))</f>
      </c>
      <c r="I4667" s="43">
        <f>IF(INDEX(DarlBelegt,10)=0,0,IF(INDEX(DarlOhneTilgung,10)=1,IF(INDEX(DarlBindung,10)="",1,$G4667),IF($J4667&gt;0.005,1,0)))</f>
      </c>
      <c r="J4667" s="43">
        <f>IF($I4666=0,0,$R4666)</f>
      </c>
      <c r="K4667" s="43">
        <f>IF($I4667=0,0,IF(INDEX(DarlOhneTilgung,10)=1,0,IF(AND(INDEX(DarlTilgStart,10)&gt;0,$E4667=INDEX(DarlTilgStart,10)),$J4667*($H4667+INDEX(DarlTilgung,10))/100/12,IF(AND($G4667=0,$G4666=1),MAX($K4666,$J4667*($H4667+1)/100/12),$K4666))))</f>
      </c>
      <c r="L4667" s="43">
        <f>IF($I4667=0,0,$J4667*$H4667/100/12)</f>
      </c>
      <c r="M4667" s="43">
        <f>IF($I4667=0,0,IF(OR(INDEX(DarlOhneTilgung,10)=1,AND(INDEX(DarlTilgStart,10)&gt;0,$E4667&lt;INDEX(DarlTilgStart,10))),0,MIN(MAX(0,$K4667-$L4667),$J4667)))</f>
      </c>
      <c r="N4667" s="43">
        <f>IF($I4667=0,0,MIN(SUMIFS(SondBetrag,SondDarl,10,SondDatum,"&gt;="&amp;$E4667,SondDatum,"&lt;="&amp;EOMONTH($E4667,0)),$J4667-$M4667))</f>
      </c>
      <c r="O4667" s="43">
        <f>IF($I4667=0,0,INDEX(DarlErsatzRate,10))</f>
      </c>
      <c r="P4667" s="43">
        <f>IF($I4667=0,0,$Q4666*INDEX(DarlErsatzZins,10))</f>
      </c>
      <c r="Q4667" s="43">
        <f>IF($I4667=0,0,$Q4666+$P4667+$O4667)</f>
      </c>
      <c r="R4667" s="43">
        <f>IF($I4667=0,0,$J4667-$M4667-$N4667)</f>
      </c>
    </row>
    <row r="4668">
      <c r="A4668"/>
      <c r="B4668">
        <v>10</v>
      </c>
      <c r="C4668" s="43">
        <f>INDEX(DarlObj,10)</f>
      </c>
      <c r="D4668">
        <v>345</v>
      </c>
      <c r="E4668" s="51">
        <f>IF(INDEX(DarlBelegt,10)=0,0,EOMONTH(INDEX(DarlAuszahlung,10),344)+1)</f>
      </c>
      <c r="F4668" s="43">
        <f>IF($E4668=0,0,YEAR($E4668))</f>
      </c>
      <c r="G4668" s="43">
        <f>IF(INDEX(DarlBindung,10)="",1,IF($E4668&lt;=INDEX(DarlBindung,10),1,0))</f>
      </c>
      <c r="H4668" s="43">
        <f>IF($G4668=1,INDEX(DarlSollzins,10),INDEX(DarlAnschluss,10))</f>
      </c>
      <c r="I4668" s="43">
        <f>IF(INDEX(DarlBelegt,10)=0,0,IF(INDEX(DarlOhneTilgung,10)=1,IF(INDEX(DarlBindung,10)="",1,$G4668),IF($J4668&gt;0.005,1,0)))</f>
      </c>
      <c r="J4668" s="43">
        <f>IF($I4667=0,0,$R4667)</f>
      </c>
      <c r="K4668" s="43">
        <f>IF($I4668=0,0,IF(INDEX(DarlOhneTilgung,10)=1,0,IF(AND(INDEX(DarlTilgStart,10)&gt;0,$E4668=INDEX(DarlTilgStart,10)),$J4668*($H4668+INDEX(DarlTilgung,10))/100/12,IF(AND($G4668=0,$G4667=1),MAX($K4667,$J4668*($H4668+1)/100/12),$K4667))))</f>
      </c>
      <c r="L4668" s="43">
        <f>IF($I4668=0,0,$J4668*$H4668/100/12)</f>
      </c>
      <c r="M4668" s="43">
        <f>IF($I4668=0,0,IF(OR(INDEX(DarlOhneTilgung,10)=1,AND(INDEX(DarlTilgStart,10)&gt;0,$E4668&lt;INDEX(DarlTilgStart,10))),0,MIN(MAX(0,$K4668-$L4668),$J4668)))</f>
      </c>
      <c r="N4668" s="43">
        <f>IF($I4668=0,0,MIN(SUMIFS(SondBetrag,SondDarl,10,SondDatum,"&gt;="&amp;$E4668,SondDatum,"&lt;="&amp;EOMONTH($E4668,0)),$J4668-$M4668))</f>
      </c>
      <c r="O4668" s="43">
        <f>IF($I4668=0,0,INDEX(DarlErsatzRate,10))</f>
      </c>
      <c r="P4668" s="43">
        <f>IF($I4668=0,0,$Q4667*INDEX(DarlErsatzZins,10))</f>
      </c>
      <c r="Q4668" s="43">
        <f>IF($I4668=0,0,$Q4667+$P4668+$O4668)</f>
      </c>
      <c r="R4668" s="43">
        <f>IF($I4668=0,0,$J4668-$M4668-$N4668)</f>
      </c>
    </row>
    <row r="4669">
      <c r="A4669"/>
      <c r="B4669">
        <v>10</v>
      </c>
      <c r="C4669" s="43">
        <f>INDEX(DarlObj,10)</f>
      </c>
      <c r="D4669">
        <v>346</v>
      </c>
      <c r="E4669" s="51">
        <f>IF(INDEX(DarlBelegt,10)=0,0,EOMONTH(INDEX(DarlAuszahlung,10),345)+1)</f>
      </c>
      <c r="F4669" s="43">
        <f>IF($E4669=0,0,YEAR($E4669))</f>
      </c>
      <c r="G4669" s="43">
        <f>IF(INDEX(DarlBindung,10)="",1,IF($E4669&lt;=INDEX(DarlBindung,10),1,0))</f>
      </c>
      <c r="H4669" s="43">
        <f>IF($G4669=1,INDEX(DarlSollzins,10),INDEX(DarlAnschluss,10))</f>
      </c>
      <c r="I4669" s="43">
        <f>IF(INDEX(DarlBelegt,10)=0,0,IF(INDEX(DarlOhneTilgung,10)=1,IF(INDEX(DarlBindung,10)="",1,$G4669),IF($J4669&gt;0.005,1,0)))</f>
      </c>
      <c r="J4669" s="43">
        <f>IF($I4668=0,0,$R4668)</f>
      </c>
      <c r="K4669" s="43">
        <f>IF($I4669=0,0,IF(INDEX(DarlOhneTilgung,10)=1,0,IF(AND(INDEX(DarlTilgStart,10)&gt;0,$E4669=INDEX(DarlTilgStart,10)),$J4669*($H4669+INDEX(DarlTilgung,10))/100/12,IF(AND($G4669=0,$G4668=1),MAX($K4668,$J4669*($H4669+1)/100/12),$K4668))))</f>
      </c>
      <c r="L4669" s="43">
        <f>IF($I4669=0,0,$J4669*$H4669/100/12)</f>
      </c>
      <c r="M4669" s="43">
        <f>IF($I4669=0,0,IF(OR(INDEX(DarlOhneTilgung,10)=1,AND(INDEX(DarlTilgStart,10)&gt;0,$E4669&lt;INDEX(DarlTilgStart,10))),0,MIN(MAX(0,$K4669-$L4669),$J4669)))</f>
      </c>
      <c r="N4669" s="43">
        <f>IF($I4669=0,0,MIN(SUMIFS(SondBetrag,SondDarl,10,SondDatum,"&gt;="&amp;$E4669,SondDatum,"&lt;="&amp;EOMONTH($E4669,0)),$J4669-$M4669))</f>
      </c>
      <c r="O4669" s="43">
        <f>IF($I4669=0,0,INDEX(DarlErsatzRate,10))</f>
      </c>
      <c r="P4669" s="43">
        <f>IF($I4669=0,0,$Q4668*INDEX(DarlErsatzZins,10))</f>
      </c>
      <c r="Q4669" s="43">
        <f>IF($I4669=0,0,$Q4668+$P4669+$O4669)</f>
      </c>
      <c r="R4669" s="43">
        <f>IF($I4669=0,0,$J4669-$M4669-$N4669)</f>
      </c>
    </row>
    <row r="4670">
      <c r="A4670"/>
      <c r="B4670">
        <v>10</v>
      </c>
      <c r="C4670" s="43">
        <f>INDEX(DarlObj,10)</f>
      </c>
      <c r="D4670">
        <v>347</v>
      </c>
      <c r="E4670" s="51">
        <f>IF(INDEX(DarlBelegt,10)=0,0,EOMONTH(INDEX(DarlAuszahlung,10),346)+1)</f>
      </c>
      <c r="F4670" s="43">
        <f>IF($E4670=0,0,YEAR($E4670))</f>
      </c>
      <c r="G4670" s="43">
        <f>IF(INDEX(DarlBindung,10)="",1,IF($E4670&lt;=INDEX(DarlBindung,10),1,0))</f>
      </c>
      <c r="H4670" s="43">
        <f>IF($G4670=1,INDEX(DarlSollzins,10),INDEX(DarlAnschluss,10))</f>
      </c>
      <c r="I4670" s="43">
        <f>IF(INDEX(DarlBelegt,10)=0,0,IF(INDEX(DarlOhneTilgung,10)=1,IF(INDEX(DarlBindung,10)="",1,$G4670),IF($J4670&gt;0.005,1,0)))</f>
      </c>
      <c r="J4670" s="43">
        <f>IF($I4669=0,0,$R4669)</f>
      </c>
      <c r="K4670" s="43">
        <f>IF($I4670=0,0,IF(INDEX(DarlOhneTilgung,10)=1,0,IF(AND(INDEX(DarlTilgStart,10)&gt;0,$E4670=INDEX(DarlTilgStart,10)),$J4670*($H4670+INDEX(DarlTilgung,10))/100/12,IF(AND($G4670=0,$G4669=1),MAX($K4669,$J4670*($H4670+1)/100/12),$K4669))))</f>
      </c>
      <c r="L4670" s="43">
        <f>IF($I4670=0,0,$J4670*$H4670/100/12)</f>
      </c>
      <c r="M4670" s="43">
        <f>IF($I4670=0,0,IF(OR(INDEX(DarlOhneTilgung,10)=1,AND(INDEX(DarlTilgStart,10)&gt;0,$E4670&lt;INDEX(DarlTilgStart,10))),0,MIN(MAX(0,$K4670-$L4670),$J4670)))</f>
      </c>
      <c r="N4670" s="43">
        <f>IF($I4670=0,0,MIN(SUMIFS(SondBetrag,SondDarl,10,SondDatum,"&gt;="&amp;$E4670,SondDatum,"&lt;="&amp;EOMONTH($E4670,0)),$J4670-$M4670))</f>
      </c>
      <c r="O4670" s="43">
        <f>IF($I4670=0,0,INDEX(DarlErsatzRate,10))</f>
      </c>
      <c r="P4670" s="43">
        <f>IF($I4670=0,0,$Q4669*INDEX(DarlErsatzZins,10))</f>
      </c>
      <c r="Q4670" s="43">
        <f>IF($I4670=0,0,$Q4669+$P4670+$O4670)</f>
      </c>
      <c r="R4670" s="43">
        <f>IF($I4670=0,0,$J4670-$M4670-$N4670)</f>
      </c>
    </row>
    <row r="4671">
      <c r="A4671"/>
      <c r="B4671">
        <v>10</v>
      </c>
      <c r="C4671" s="43">
        <f>INDEX(DarlObj,10)</f>
      </c>
      <c r="D4671">
        <v>348</v>
      </c>
      <c r="E4671" s="51">
        <f>IF(INDEX(DarlBelegt,10)=0,0,EOMONTH(INDEX(DarlAuszahlung,10),347)+1)</f>
      </c>
      <c r="F4671" s="43">
        <f>IF($E4671=0,0,YEAR($E4671))</f>
      </c>
      <c r="G4671" s="43">
        <f>IF(INDEX(DarlBindung,10)="",1,IF($E4671&lt;=INDEX(DarlBindung,10),1,0))</f>
      </c>
      <c r="H4671" s="43">
        <f>IF($G4671=1,INDEX(DarlSollzins,10),INDEX(DarlAnschluss,10))</f>
      </c>
      <c r="I4671" s="43">
        <f>IF(INDEX(DarlBelegt,10)=0,0,IF(INDEX(DarlOhneTilgung,10)=1,IF(INDEX(DarlBindung,10)="",1,$G4671),IF($J4671&gt;0.005,1,0)))</f>
      </c>
      <c r="J4671" s="43">
        <f>IF($I4670=0,0,$R4670)</f>
      </c>
      <c r="K4671" s="43">
        <f>IF($I4671=0,0,IF(INDEX(DarlOhneTilgung,10)=1,0,IF(AND(INDEX(DarlTilgStart,10)&gt;0,$E4671=INDEX(DarlTilgStart,10)),$J4671*($H4671+INDEX(DarlTilgung,10))/100/12,IF(AND($G4671=0,$G4670=1),MAX($K4670,$J4671*($H4671+1)/100/12),$K4670))))</f>
      </c>
      <c r="L4671" s="43">
        <f>IF($I4671=0,0,$J4671*$H4671/100/12)</f>
      </c>
      <c r="M4671" s="43">
        <f>IF($I4671=0,0,IF(OR(INDEX(DarlOhneTilgung,10)=1,AND(INDEX(DarlTilgStart,10)&gt;0,$E4671&lt;INDEX(DarlTilgStart,10))),0,MIN(MAX(0,$K4671-$L4671),$J4671)))</f>
      </c>
      <c r="N4671" s="43">
        <f>IF($I4671=0,0,MIN(SUMIFS(SondBetrag,SondDarl,10,SondDatum,"&gt;="&amp;$E4671,SondDatum,"&lt;="&amp;EOMONTH($E4671,0)),$J4671-$M4671))</f>
      </c>
      <c r="O4671" s="43">
        <f>IF($I4671=0,0,INDEX(DarlErsatzRate,10))</f>
      </c>
      <c r="P4671" s="43">
        <f>IF($I4671=0,0,$Q4670*INDEX(DarlErsatzZins,10))</f>
      </c>
      <c r="Q4671" s="43">
        <f>IF($I4671=0,0,$Q4670+$P4671+$O4671)</f>
      </c>
      <c r="R4671" s="43">
        <f>IF($I4671=0,0,$J4671-$M4671-$N4671)</f>
      </c>
    </row>
    <row r="4672">
      <c r="A4672"/>
      <c r="B4672">
        <v>10</v>
      </c>
      <c r="C4672" s="43">
        <f>INDEX(DarlObj,10)</f>
      </c>
      <c r="D4672">
        <v>349</v>
      </c>
      <c r="E4672" s="51">
        <f>IF(INDEX(DarlBelegt,10)=0,0,EOMONTH(INDEX(DarlAuszahlung,10),348)+1)</f>
      </c>
      <c r="F4672" s="43">
        <f>IF($E4672=0,0,YEAR($E4672))</f>
      </c>
      <c r="G4672" s="43">
        <f>IF(INDEX(DarlBindung,10)="",1,IF($E4672&lt;=INDEX(DarlBindung,10),1,0))</f>
      </c>
      <c r="H4672" s="43">
        <f>IF($G4672=1,INDEX(DarlSollzins,10),INDEX(DarlAnschluss,10))</f>
      </c>
      <c r="I4672" s="43">
        <f>IF(INDEX(DarlBelegt,10)=0,0,IF(INDEX(DarlOhneTilgung,10)=1,IF(INDEX(DarlBindung,10)="",1,$G4672),IF($J4672&gt;0.005,1,0)))</f>
      </c>
      <c r="J4672" s="43">
        <f>IF($I4671=0,0,$R4671)</f>
      </c>
      <c r="K4672" s="43">
        <f>IF($I4672=0,0,IF(INDEX(DarlOhneTilgung,10)=1,0,IF(AND(INDEX(DarlTilgStart,10)&gt;0,$E4672=INDEX(DarlTilgStart,10)),$J4672*($H4672+INDEX(DarlTilgung,10))/100/12,IF(AND($G4672=0,$G4671=1),MAX($K4671,$J4672*($H4672+1)/100/12),$K4671))))</f>
      </c>
      <c r="L4672" s="43">
        <f>IF($I4672=0,0,$J4672*$H4672/100/12)</f>
      </c>
      <c r="M4672" s="43">
        <f>IF($I4672=0,0,IF(OR(INDEX(DarlOhneTilgung,10)=1,AND(INDEX(DarlTilgStart,10)&gt;0,$E4672&lt;INDEX(DarlTilgStart,10))),0,MIN(MAX(0,$K4672-$L4672),$J4672)))</f>
      </c>
      <c r="N4672" s="43">
        <f>IF($I4672=0,0,MIN(SUMIFS(SondBetrag,SondDarl,10,SondDatum,"&gt;="&amp;$E4672,SondDatum,"&lt;="&amp;EOMONTH($E4672,0)),$J4672-$M4672))</f>
      </c>
      <c r="O4672" s="43">
        <f>IF($I4672=0,0,INDEX(DarlErsatzRate,10))</f>
      </c>
      <c r="P4672" s="43">
        <f>IF($I4672=0,0,$Q4671*INDEX(DarlErsatzZins,10))</f>
      </c>
      <c r="Q4672" s="43">
        <f>IF($I4672=0,0,$Q4671+$P4672+$O4672)</f>
      </c>
      <c r="R4672" s="43">
        <f>IF($I4672=0,0,$J4672-$M4672-$N4672)</f>
      </c>
    </row>
    <row r="4673">
      <c r="A4673"/>
      <c r="B4673">
        <v>10</v>
      </c>
      <c r="C4673" s="43">
        <f>INDEX(DarlObj,10)</f>
      </c>
      <c r="D4673">
        <v>350</v>
      </c>
      <c r="E4673" s="51">
        <f>IF(INDEX(DarlBelegt,10)=0,0,EOMONTH(INDEX(DarlAuszahlung,10),349)+1)</f>
      </c>
      <c r="F4673" s="43">
        <f>IF($E4673=0,0,YEAR($E4673))</f>
      </c>
      <c r="G4673" s="43">
        <f>IF(INDEX(DarlBindung,10)="",1,IF($E4673&lt;=INDEX(DarlBindung,10),1,0))</f>
      </c>
      <c r="H4673" s="43">
        <f>IF($G4673=1,INDEX(DarlSollzins,10),INDEX(DarlAnschluss,10))</f>
      </c>
      <c r="I4673" s="43">
        <f>IF(INDEX(DarlBelegt,10)=0,0,IF(INDEX(DarlOhneTilgung,10)=1,IF(INDEX(DarlBindung,10)="",1,$G4673),IF($J4673&gt;0.005,1,0)))</f>
      </c>
      <c r="J4673" s="43">
        <f>IF($I4672=0,0,$R4672)</f>
      </c>
      <c r="K4673" s="43">
        <f>IF($I4673=0,0,IF(INDEX(DarlOhneTilgung,10)=1,0,IF(AND(INDEX(DarlTilgStart,10)&gt;0,$E4673=INDEX(DarlTilgStart,10)),$J4673*($H4673+INDEX(DarlTilgung,10))/100/12,IF(AND($G4673=0,$G4672=1),MAX($K4672,$J4673*($H4673+1)/100/12),$K4672))))</f>
      </c>
      <c r="L4673" s="43">
        <f>IF($I4673=0,0,$J4673*$H4673/100/12)</f>
      </c>
      <c r="M4673" s="43">
        <f>IF($I4673=0,0,IF(OR(INDEX(DarlOhneTilgung,10)=1,AND(INDEX(DarlTilgStart,10)&gt;0,$E4673&lt;INDEX(DarlTilgStart,10))),0,MIN(MAX(0,$K4673-$L4673),$J4673)))</f>
      </c>
      <c r="N4673" s="43">
        <f>IF($I4673=0,0,MIN(SUMIFS(SondBetrag,SondDarl,10,SondDatum,"&gt;="&amp;$E4673,SondDatum,"&lt;="&amp;EOMONTH($E4673,0)),$J4673-$M4673))</f>
      </c>
      <c r="O4673" s="43">
        <f>IF($I4673=0,0,INDEX(DarlErsatzRate,10))</f>
      </c>
      <c r="P4673" s="43">
        <f>IF($I4673=0,0,$Q4672*INDEX(DarlErsatzZins,10))</f>
      </c>
      <c r="Q4673" s="43">
        <f>IF($I4673=0,0,$Q4672+$P4673+$O4673)</f>
      </c>
      <c r="R4673" s="43">
        <f>IF($I4673=0,0,$J4673-$M4673-$N4673)</f>
      </c>
    </row>
    <row r="4674">
      <c r="A4674"/>
      <c r="B4674">
        <v>10</v>
      </c>
      <c r="C4674" s="43">
        <f>INDEX(DarlObj,10)</f>
      </c>
      <c r="D4674">
        <v>351</v>
      </c>
      <c r="E4674" s="51">
        <f>IF(INDEX(DarlBelegt,10)=0,0,EOMONTH(INDEX(DarlAuszahlung,10),350)+1)</f>
      </c>
      <c r="F4674" s="43">
        <f>IF($E4674=0,0,YEAR($E4674))</f>
      </c>
      <c r="G4674" s="43">
        <f>IF(INDEX(DarlBindung,10)="",1,IF($E4674&lt;=INDEX(DarlBindung,10),1,0))</f>
      </c>
      <c r="H4674" s="43">
        <f>IF($G4674=1,INDEX(DarlSollzins,10),INDEX(DarlAnschluss,10))</f>
      </c>
      <c r="I4674" s="43">
        <f>IF(INDEX(DarlBelegt,10)=0,0,IF(INDEX(DarlOhneTilgung,10)=1,IF(INDEX(DarlBindung,10)="",1,$G4674),IF($J4674&gt;0.005,1,0)))</f>
      </c>
      <c r="J4674" s="43">
        <f>IF($I4673=0,0,$R4673)</f>
      </c>
      <c r="K4674" s="43">
        <f>IF($I4674=0,0,IF(INDEX(DarlOhneTilgung,10)=1,0,IF(AND(INDEX(DarlTilgStart,10)&gt;0,$E4674=INDEX(DarlTilgStart,10)),$J4674*($H4674+INDEX(DarlTilgung,10))/100/12,IF(AND($G4674=0,$G4673=1),MAX($K4673,$J4674*($H4674+1)/100/12),$K4673))))</f>
      </c>
      <c r="L4674" s="43">
        <f>IF($I4674=0,0,$J4674*$H4674/100/12)</f>
      </c>
      <c r="M4674" s="43">
        <f>IF($I4674=0,0,IF(OR(INDEX(DarlOhneTilgung,10)=1,AND(INDEX(DarlTilgStart,10)&gt;0,$E4674&lt;INDEX(DarlTilgStart,10))),0,MIN(MAX(0,$K4674-$L4674),$J4674)))</f>
      </c>
      <c r="N4674" s="43">
        <f>IF($I4674=0,0,MIN(SUMIFS(SondBetrag,SondDarl,10,SondDatum,"&gt;="&amp;$E4674,SondDatum,"&lt;="&amp;EOMONTH($E4674,0)),$J4674-$M4674))</f>
      </c>
      <c r="O4674" s="43">
        <f>IF($I4674=0,0,INDEX(DarlErsatzRate,10))</f>
      </c>
      <c r="P4674" s="43">
        <f>IF($I4674=0,0,$Q4673*INDEX(DarlErsatzZins,10))</f>
      </c>
      <c r="Q4674" s="43">
        <f>IF($I4674=0,0,$Q4673+$P4674+$O4674)</f>
      </c>
      <c r="R4674" s="43">
        <f>IF($I4674=0,0,$J4674-$M4674-$N4674)</f>
      </c>
    </row>
    <row r="4675">
      <c r="A4675"/>
      <c r="B4675">
        <v>10</v>
      </c>
      <c r="C4675" s="43">
        <f>INDEX(DarlObj,10)</f>
      </c>
      <c r="D4675">
        <v>352</v>
      </c>
      <c r="E4675" s="51">
        <f>IF(INDEX(DarlBelegt,10)=0,0,EOMONTH(INDEX(DarlAuszahlung,10),351)+1)</f>
      </c>
      <c r="F4675" s="43">
        <f>IF($E4675=0,0,YEAR($E4675))</f>
      </c>
      <c r="G4675" s="43">
        <f>IF(INDEX(DarlBindung,10)="",1,IF($E4675&lt;=INDEX(DarlBindung,10),1,0))</f>
      </c>
      <c r="H4675" s="43">
        <f>IF($G4675=1,INDEX(DarlSollzins,10),INDEX(DarlAnschluss,10))</f>
      </c>
      <c r="I4675" s="43">
        <f>IF(INDEX(DarlBelegt,10)=0,0,IF(INDEX(DarlOhneTilgung,10)=1,IF(INDEX(DarlBindung,10)="",1,$G4675),IF($J4675&gt;0.005,1,0)))</f>
      </c>
      <c r="J4675" s="43">
        <f>IF($I4674=0,0,$R4674)</f>
      </c>
      <c r="K4675" s="43">
        <f>IF($I4675=0,0,IF(INDEX(DarlOhneTilgung,10)=1,0,IF(AND(INDEX(DarlTilgStart,10)&gt;0,$E4675=INDEX(DarlTilgStart,10)),$J4675*($H4675+INDEX(DarlTilgung,10))/100/12,IF(AND($G4675=0,$G4674=1),MAX($K4674,$J4675*($H4675+1)/100/12),$K4674))))</f>
      </c>
      <c r="L4675" s="43">
        <f>IF($I4675=0,0,$J4675*$H4675/100/12)</f>
      </c>
      <c r="M4675" s="43">
        <f>IF($I4675=0,0,IF(OR(INDEX(DarlOhneTilgung,10)=1,AND(INDEX(DarlTilgStart,10)&gt;0,$E4675&lt;INDEX(DarlTilgStart,10))),0,MIN(MAX(0,$K4675-$L4675),$J4675)))</f>
      </c>
      <c r="N4675" s="43">
        <f>IF($I4675=0,0,MIN(SUMIFS(SondBetrag,SondDarl,10,SondDatum,"&gt;="&amp;$E4675,SondDatum,"&lt;="&amp;EOMONTH($E4675,0)),$J4675-$M4675))</f>
      </c>
      <c r="O4675" s="43">
        <f>IF($I4675=0,0,INDEX(DarlErsatzRate,10))</f>
      </c>
      <c r="P4675" s="43">
        <f>IF($I4675=0,0,$Q4674*INDEX(DarlErsatzZins,10))</f>
      </c>
      <c r="Q4675" s="43">
        <f>IF($I4675=0,0,$Q4674+$P4675+$O4675)</f>
      </c>
      <c r="R4675" s="43">
        <f>IF($I4675=0,0,$J4675-$M4675-$N4675)</f>
      </c>
    </row>
    <row r="4676">
      <c r="A4676"/>
      <c r="B4676">
        <v>10</v>
      </c>
      <c r="C4676" s="43">
        <f>INDEX(DarlObj,10)</f>
      </c>
      <c r="D4676">
        <v>353</v>
      </c>
      <c r="E4676" s="51">
        <f>IF(INDEX(DarlBelegt,10)=0,0,EOMONTH(INDEX(DarlAuszahlung,10),352)+1)</f>
      </c>
      <c r="F4676" s="43">
        <f>IF($E4676=0,0,YEAR($E4676))</f>
      </c>
      <c r="G4676" s="43">
        <f>IF(INDEX(DarlBindung,10)="",1,IF($E4676&lt;=INDEX(DarlBindung,10),1,0))</f>
      </c>
      <c r="H4676" s="43">
        <f>IF($G4676=1,INDEX(DarlSollzins,10),INDEX(DarlAnschluss,10))</f>
      </c>
      <c r="I4676" s="43">
        <f>IF(INDEX(DarlBelegt,10)=0,0,IF(INDEX(DarlOhneTilgung,10)=1,IF(INDEX(DarlBindung,10)="",1,$G4676),IF($J4676&gt;0.005,1,0)))</f>
      </c>
      <c r="J4676" s="43">
        <f>IF($I4675=0,0,$R4675)</f>
      </c>
      <c r="K4676" s="43">
        <f>IF($I4676=0,0,IF(INDEX(DarlOhneTilgung,10)=1,0,IF(AND(INDEX(DarlTilgStart,10)&gt;0,$E4676=INDEX(DarlTilgStart,10)),$J4676*($H4676+INDEX(DarlTilgung,10))/100/12,IF(AND($G4676=0,$G4675=1),MAX($K4675,$J4676*($H4676+1)/100/12),$K4675))))</f>
      </c>
      <c r="L4676" s="43">
        <f>IF($I4676=0,0,$J4676*$H4676/100/12)</f>
      </c>
      <c r="M4676" s="43">
        <f>IF($I4676=0,0,IF(OR(INDEX(DarlOhneTilgung,10)=1,AND(INDEX(DarlTilgStart,10)&gt;0,$E4676&lt;INDEX(DarlTilgStart,10))),0,MIN(MAX(0,$K4676-$L4676),$J4676)))</f>
      </c>
      <c r="N4676" s="43">
        <f>IF($I4676=0,0,MIN(SUMIFS(SondBetrag,SondDarl,10,SondDatum,"&gt;="&amp;$E4676,SondDatum,"&lt;="&amp;EOMONTH($E4676,0)),$J4676-$M4676))</f>
      </c>
      <c r="O4676" s="43">
        <f>IF($I4676=0,0,INDEX(DarlErsatzRate,10))</f>
      </c>
      <c r="P4676" s="43">
        <f>IF($I4676=0,0,$Q4675*INDEX(DarlErsatzZins,10))</f>
      </c>
      <c r="Q4676" s="43">
        <f>IF($I4676=0,0,$Q4675+$P4676+$O4676)</f>
      </c>
      <c r="R4676" s="43">
        <f>IF($I4676=0,0,$J4676-$M4676-$N4676)</f>
      </c>
    </row>
    <row r="4677">
      <c r="A4677"/>
      <c r="B4677">
        <v>10</v>
      </c>
      <c r="C4677" s="43">
        <f>INDEX(DarlObj,10)</f>
      </c>
      <c r="D4677">
        <v>354</v>
      </c>
      <c r="E4677" s="51">
        <f>IF(INDEX(DarlBelegt,10)=0,0,EOMONTH(INDEX(DarlAuszahlung,10),353)+1)</f>
      </c>
      <c r="F4677" s="43">
        <f>IF($E4677=0,0,YEAR($E4677))</f>
      </c>
      <c r="G4677" s="43">
        <f>IF(INDEX(DarlBindung,10)="",1,IF($E4677&lt;=INDEX(DarlBindung,10),1,0))</f>
      </c>
      <c r="H4677" s="43">
        <f>IF($G4677=1,INDEX(DarlSollzins,10),INDEX(DarlAnschluss,10))</f>
      </c>
      <c r="I4677" s="43">
        <f>IF(INDEX(DarlBelegt,10)=0,0,IF(INDEX(DarlOhneTilgung,10)=1,IF(INDEX(DarlBindung,10)="",1,$G4677),IF($J4677&gt;0.005,1,0)))</f>
      </c>
      <c r="J4677" s="43">
        <f>IF($I4676=0,0,$R4676)</f>
      </c>
      <c r="K4677" s="43">
        <f>IF($I4677=0,0,IF(INDEX(DarlOhneTilgung,10)=1,0,IF(AND(INDEX(DarlTilgStart,10)&gt;0,$E4677=INDEX(DarlTilgStart,10)),$J4677*($H4677+INDEX(DarlTilgung,10))/100/12,IF(AND($G4677=0,$G4676=1),MAX($K4676,$J4677*($H4677+1)/100/12),$K4676))))</f>
      </c>
      <c r="L4677" s="43">
        <f>IF($I4677=0,0,$J4677*$H4677/100/12)</f>
      </c>
      <c r="M4677" s="43">
        <f>IF($I4677=0,0,IF(OR(INDEX(DarlOhneTilgung,10)=1,AND(INDEX(DarlTilgStart,10)&gt;0,$E4677&lt;INDEX(DarlTilgStart,10))),0,MIN(MAX(0,$K4677-$L4677),$J4677)))</f>
      </c>
      <c r="N4677" s="43">
        <f>IF($I4677=0,0,MIN(SUMIFS(SondBetrag,SondDarl,10,SondDatum,"&gt;="&amp;$E4677,SondDatum,"&lt;="&amp;EOMONTH($E4677,0)),$J4677-$M4677))</f>
      </c>
      <c r="O4677" s="43">
        <f>IF($I4677=0,0,INDEX(DarlErsatzRate,10))</f>
      </c>
      <c r="P4677" s="43">
        <f>IF($I4677=0,0,$Q4676*INDEX(DarlErsatzZins,10))</f>
      </c>
      <c r="Q4677" s="43">
        <f>IF($I4677=0,0,$Q4676+$P4677+$O4677)</f>
      </c>
      <c r="R4677" s="43">
        <f>IF($I4677=0,0,$J4677-$M4677-$N4677)</f>
      </c>
    </row>
    <row r="4678">
      <c r="A4678"/>
      <c r="B4678">
        <v>10</v>
      </c>
      <c r="C4678" s="43">
        <f>INDEX(DarlObj,10)</f>
      </c>
      <c r="D4678">
        <v>355</v>
      </c>
      <c r="E4678" s="51">
        <f>IF(INDEX(DarlBelegt,10)=0,0,EOMONTH(INDEX(DarlAuszahlung,10),354)+1)</f>
      </c>
      <c r="F4678" s="43">
        <f>IF($E4678=0,0,YEAR($E4678))</f>
      </c>
      <c r="G4678" s="43">
        <f>IF(INDEX(DarlBindung,10)="",1,IF($E4678&lt;=INDEX(DarlBindung,10),1,0))</f>
      </c>
      <c r="H4678" s="43">
        <f>IF($G4678=1,INDEX(DarlSollzins,10),INDEX(DarlAnschluss,10))</f>
      </c>
      <c r="I4678" s="43">
        <f>IF(INDEX(DarlBelegt,10)=0,0,IF(INDEX(DarlOhneTilgung,10)=1,IF(INDEX(DarlBindung,10)="",1,$G4678),IF($J4678&gt;0.005,1,0)))</f>
      </c>
      <c r="J4678" s="43">
        <f>IF($I4677=0,0,$R4677)</f>
      </c>
      <c r="K4678" s="43">
        <f>IF($I4678=0,0,IF(INDEX(DarlOhneTilgung,10)=1,0,IF(AND(INDEX(DarlTilgStart,10)&gt;0,$E4678=INDEX(DarlTilgStart,10)),$J4678*($H4678+INDEX(DarlTilgung,10))/100/12,IF(AND($G4678=0,$G4677=1),MAX($K4677,$J4678*($H4678+1)/100/12),$K4677))))</f>
      </c>
      <c r="L4678" s="43">
        <f>IF($I4678=0,0,$J4678*$H4678/100/12)</f>
      </c>
      <c r="M4678" s="43">
        <f>IF($I4678=0,0,IF(OR(INDEX(DarlOhneTilgung,10)=1,AND(INDEX(DarlTilgStart,10)&gt;0,$E4678&lt;INDEX(DarlTilgStart,10))),0,MIN(MAX(0,$K4678-$L4678),$J4678)))</f>
      </c>
      <c r="N4678" s="43">
        <f>IF($I4678=0,0,MIN(SUMIFS(SondBetrag,SondDarl,10,SondDatum,"&gt;="&amp;$E4678,SondDatum,"&lt;="&amp;EOMONTH($E4678,0)),$J4678-$M4678))</f>
      </c>
      <c r="O4678" s="43">
        <f>IF($I4678=0,0,INDEX(DarlErsatzRate,10))</f>
      </c>
      <c r="P4678" s="43">
        <f>IF($I4678=0,0,$Q4677*INDEX(DarlErsatzZins,10))</f>
      </c>
      <c r="Q4678" s="43">
        <f>IF($I4678=0,0,$Q4677+$P4678+$O4678)</f>
      </c>
      <c r="R4678" s="43">
        <f>IF($I4678=0,0,$J4678-$M4678-$N4678)</f>
      </c>
    </row>
    <row r="4679">
      <c r="A4679"/>
      <c r="B4679">
        <v>10</v>
      </c>
      <c r="C4679" s="43">
        <f>INDEX(DarlObj,10)</f>
      </c>
      <c r="D4679">
        <v>356</v>
      </c>
      <c r="E4679" s="51">
        <f>IF(INDEX(DarlBelegt,10)=0,0,EOMONTH(INDEX(DarlAuszahlung,10),355)+1)</f>
      </c>
      <c r="F4679" s="43">
        <f>IF($E4679=0,0,YEAR($E4679))</f>
      </c>
      <c r="G4679" s="43">
        <f>IF(INDEX(DarlBindung,10)="",1,IF($E4679&lt;=INDEX(DarlBindung,10),1,0))</f>
      </c>
      <c r="H4679" s="43">
        <f>IF($G4679=1,INDEX(DarlSollzins,10),INDEX(DarlAnschluss,10))</f>
      </c>
      <c r="I4679" s="43">
        <f>IF(INDEX(DarlBelegt,10)=0,0,IF(INDEX(DarlOhneTilgung,10)=1,IF(INDEX(DarlBindung,10)="",1,$G4679),IF($J4679&gt;0.005,1,0)))</f>
      </c>
      <c r="J4679" s="43">
        <f>IF($I4678=0,0,$R4678)</f>
      </c>
      <c r="K4679" s="43">
        <f>IF($I4679=0,0,IF(INDEX(DarlOhneTilgung,10)=1,0,IF(AND(INDEX(DarlTilgStart,10)&gt;0,$E4679=INDEX(DarlTilgStart,10)),$J4679*($H4679+INDEX(DarlTilgung,10))/100/12,IF(AND($G4679=0,$G4678=1),MAX($K4678,$J4679*($H4679+1)/100/12),$K4678))))</f>
      </c>
      <c r="L4679" s="43">
        <f>IF($I4679=0,0,$J4679*$H4679/100/12)</f>
      </c>
      <c r="M4679" s="43">
        <f>IF($I4679=0,0,IF(OR(INDEX(DarlOhneTilgung,10)=1,AND(INDEX(DarlTilgStart,10)&gt;0,$E4679&lt;INDEX(DarlTilgStart,10))),0,MIN(MAX(0,$K4679-$L4679),$J4679)))</f>
      </c>
      <c r="N4679" s="43">
        <f>IF($I4679=0,0,MIN(SUMIFS(SondBetrag,SondDarl,10,SondDatum,"&gt;="&amp;$E4679,SondDatum,"&lt;="&amp;EOMONTH($E4679,0)),$J4679-$M4679))</f>
      </c>
      <c r="O4679" s="43">
        <f>IF($I4679=0,0,INDEX(DarlErsatzRate,10))</f>
      </c>
      <c r="P4679" s="43">
        <f>IF($I4679=0,0,$Q4678*INDEX(DarlErsatzZins,10))</f>
      </c>
      <c r="Q4679" s="43">
        <f>IF($I4679=0,0,$Q4678+$P4679+$O4679)</f>
      </c>
      <c r="R4679" s="43">
        <f>IF($I4679=0,0,$J4679-$M4679-$N4679)</f>
      </c>
    </row>
    <row r="4680">
      <c r="A4680"/>
      <c r="B4680">
        <v>10</v>
      </c>
      <c r="C4680" s="43">
        <f>INDEX(DarlObj,10)</f>
      </c>
      <c r="D4680">
        <v>357</v>
      </c>
      <c r="E4680" s="51">
        <f>IF(INDEX(DarlBelegt,10)=0,0,EOMONTH(INDEX(DarlAuszahlung,10),356)+1)</f>
      </c>
      <c r="F4680" s="43">
        <f>IF($E4680=0,0,YEAR($E4680))</f>
      </c>
      <c r="G4680" s="43">
        <f>IF(INDEX(DarlBindung,10)="",1,IF($E4680&lt;=INDEX(DarlBindung,10),1,0))</f>
      </c>
      <c r="H4680" s="43">
        <f>IF($G4680=1,INDEX(DarlSollzins,10),INDEX(DarlAnschluss,10))</f>
      </c>
      <c r="I4680" s="43">
        <f>IF(INDEX(DarlBelegt,10)=0,0,IF(INDEX(DarlOhneTilgung,10)=1,IF(INDEX(DarlBindung,10)="",1,$G4680),IF($J4680&gt;0.005,1,0)))</f>
      </c>
      <c r="J4680" s="43">
        <f>IF($I4679=0,0,$R4679)</f>
      </c>
      <c r="K4680" s="43">
        <f>IF($I4680=0,0,IF(INDEX(DarlOhneTilgung,10)=1,0,IF(AND(INDEX(DarlTilgStart,10)&gt;0,$E4680=INDEX(DarlTilgStart,10)),$J4680*($H4680+INDEX(DarlTilgung,10))/100/12,IF(AND($G4680=0,$G4679=1),MAX($K4679,$J4680*($H4680+1)/100/12),$K4679))))</f>
      </c>
      <c r="L4680" s="43">
        <f>IF($I4680=0,0,$J4680*$H4680/100/12)</f>
      </c>
      <c r="M4680" s="43">
        <f>IF($I4680=0,0,IF(OR(INDEX(DarlOhneTilgung,10)=1,AND(INDEX(DarlTilgStart,10)&gt;0,$E4680&lt;INDEX(DarlTilgStart,10))),0,MIN(MAX(0,$K4680-$L4680),$J4680)))</f>
      </c>
      <c r="N4680" s="43">
        <f>IF($I4680=0,0,MIN(SUMIFS(SondBetrag,SondDarl,10,SondDatum,"&gt;="&amp;$E4680,SondDatum,"&lt;="&amp;EOMONTH($E4680,0)),$J4680-$M4680))</f>
      </c>
      <c r="O4680" s="43">
        <f>IF($I4680=0,0,INDEX(DarlErsatzRate,10))</f>
      </c>
      <c r="P4680" s="43">
        <f>IF($I4680=0,0,$Q4679*INDEX(DarlErsatzZins,10))</f>
      </c>
      <c r="Q4680" s="43">
        <f>IF($I4680=0,0,$Q4679+$P4680+$O4680)</f>
      </c>
      <c r="R4680" s="43">
        <f>IF($I4680=0,0,$J4680-$M4680-$N4680)</f>
      </c>
    </row>
    <row r="4681">
      <c r="A4681"/>
      <c r="B4681">
        <v>10</v>
      </c>
      <c r="C4681" s="43">
        <f>INDEX(DarlObj,10)</f>
      </c>
      <c r="D4681">
        <v>358</v>
      </c>
      <c r="E4681" s="51">
        <f>IF(INDEX(DarlBelegt,10)=0,0,EOMONTH(INDEX(DarlAuszahlung,10),357)+1)</f>
      </c>
      <c r="F4681" s="43">
        <f>IF($E4681=0,0,YEAR($E4681))</f>
      </c>
      <c r="G4681" s="43">
        <f>IF(INDEX(DarlBindung,10)="",1,IF($E4681&lt;=INDEX(DarlBindung,10),1,0))</f>
      </c>
      <c r="H4681" s="43">
        <f>IF($G4681=1,INDEX(DarlSollzins,10),INDEX(DarlAnschluss,10))</f>
      </c>
      <c r="I4681" s="43">
        <f>IF(INDEX(DarlBelegt,10)=0,0,IF(INDEX(DarlOhneTilgung,10)=1,IF(INDEX(DarlBindung,10)="",1,$G4681),IF($J4681&gt;0.005,1,0)))</f>
      </c>
      <c r="J4681" s="43">
        <f>IF($I4680=0,0,$R4680)</f>
      </c>
      <c r="K4681" s="43">
        <f>IF($I4681=0,0,IF(INDEX(DarlOhneTilgung,10)=1,0,IF(AND(INDEX(DarlTilgStart,10)&gt;0,$E4681=INDEX(DarlTilgStart,10)),$J4681*($H4681+INDEX(DarlTilgung,10))/100/12,IF(AND($G4681=0,$G4680=1),MAX($K4680,$J4681*($H4681+1)/100/12),$K4680))))</f>
      </c>
      <c r="L4681" s="43">
        <f>IF($I4681=0,0,$J4681*$H4681/100/12)</f>
      </c>
      <c r="M4681" s="43">
        <f>IF($I4681=0,0,IF(OR(INDEX(DarlOhneTilgung,10)=1,AND(INDEX(DarlTilgStart,10)&gt;0,$E4681&lt;INDEX(DarlTilgStart,10))),0,MIN(MAX(0,$K4681-$L4681),$J4681)))</f>
      </c>
      <c r="N4681" s="43">
        <f>IF($I4681=0,0,MIN(SUMIFS(SondBetrag,SondDarl,10,SondDatum,"&gt;="&amp;$E4681,SondDatum,"&lt;="&amp;EOMONTH($E4681,0)),$J4681-$M4681))</f>
      </c>
      <c r="O4681" s="43">
        <f>IF($I4681=0,0,INDEX(DarlErsatzRate,10))</f>
      </c>
      <c r="P4681" s="43">
        <f>IF($I4681=0,0,$Q4680*INDEX(DarlErsatzZins,10))</f>
      </c>
      <c r="Q4681" s="43">
        <f>IF($I4681=0,0,$Q4680+$P4681+$O4681)</f>
      </c>
      <c r="R4681" s="43">
        <f>IF($I4681=0,0,$J4681-$M4681-$N4681)</f>
      </c>
    </row>
    <row r="4682">
      <c r="A4682"/>
      <c r="B4682">
        <v>10</v>
      </c>
      <c r="C4682" s="43">
        <f>INDEX(DarlObj,10)</f>
      </c>
      <c r="D4682">
        <v>359</v>
      </c>
      <c r="E4682" s="51">
        <f>IF(INDEX(DarlBelegt,10)=0,0,EOMONTH(INDEX(DarlAuszahlung,10),358)+1)</f>
      </c>
      <c r="F4682" s="43">
        <f>IF($E4682=0,0,YEAR($E4682))</f>
      </c>
      <c r="G4682" s="43">
        <f>IF(INDEX(DarlBindung,10)="",1,IF($E4682&lt;=INDEX(DarlBindung,10),1,0))</f>
      </c>
      <c r="H4682" s="43">
        <f>IF($G4682=1,INDEX(DarlSollzins,10),INDEX(DarlAnschluss,10))</f>
      </c>
      <c r="I4682" s="43">
        <f>IF(INDEX(DarlBelegt,10)=0,0,IF(INDEX(DarlOhneTilgung,10)=1,IF(INDEX(DarlBindung,10)="",1,$G4682),IF($J4682&gt;0.005,1,0)))</f>
      </c>
      <c r="J4682" s="43">
        <f>IF($I4681=0,0,$R4681)</f>
      </c>
      <c r="K4682" s="43">
        <f>IF($I4682=0,0,IF(INDEX(DarlOhneTilgung,10)=1,0,IF(AND(INDEX(DarlTilgStart,10)&gt;0,$E4682=INDEX(DarlTilgStart,10)),$J4682*($H4682+INDEX(DarlTilgung,10))/100/12,IF(AND($G4682=0,$G4681=1),MAX($K4681,$J4682*($H4682+1)/100/12),$K4681))))</f>
      </c>
      <c r="L4682" s="43">
        <f>IF($I4682=0,0,$J4682*$H4682/100/12)</f>
      </c>
      <c r="M4682" s="43">
        <f>IF($I4682=0,0,IF(OR(INDEX(DarlOhneTilgung,10)=1,AND(INDEX(DarlTilgStart,10)&gt;0,$E4682&lt;INDEX(DarlTilgStart,10))),0,MIN(MAX(0,$K4682-$L4682),$J4682)))</f>
      </c>
      <c r="N4682" s="43">
        <f>IF($I4682=0,0,MIN(SUMIFS(SondBetrag,SondDarl,10,SondDatum,"&gt;="&amp;$E4682,SondDatum,"&lt;="&amp;EOMONTH($E4682,0)),$J4682-$M4682))</f>
      </c>
      <c r="O4682" s="43">
        <f>IF($I4682=0,0,INDEX(DarlErsatzRate,10))</f>
      </c>
      <c r="P4682" s="43">
        <f>IF($I4682=0,0,$Q4681*INDEX(DarlErsatzZins,10))</f>
      </c>
      <c r="Q4682" s="43">
        <f>IF($I4682=0,0,$Q4681+$P4682+$O4682)</f>
      </c>
      <c r="R4682" s="43">
        <f>IF($I4682=0,0,$J4682-$M4682-$N4682)</f>
      </c>
    </row>
    <row r="4683">
      <c r="A4683"/>
      <c r="B4683">
        <v>10</v>
      </c>
      <c r="C4683" s="43">
        <f>INDEX(DarlObj,10)</f>
      </c>
      <c r="D4683">
        <v>360</v>
      </c>
      <c r="E4683" s="51">
        <f>IF(INDEX(DarlBelegt,10)=0,0,EOMONTH(INDEX(DarlAuszahlung,10),359)+1)</f>
      </c>
      <c r="F4683" s="43">
        <f>IF($E4683=0,0,YEAR($E4683))</f>
      </c>
      <c r="G4683" s="43">
        <f>IF(INDEX(DarlBindung,10)="",1,IF($E4683&lt;=INDEX(DarlBindung,10),1,0))</f>
      </c>
      <c r="H4683" s="43">
        <f>IF($G4683=1,INDEX(DarlSollzins,10),INDEX(DarlAnschluss,10))</f>
      </c>
      <c r="I4683" s="43">
        <f>IF(INDEX(DarlBelegt,10)=0,0,IF(INDEX(DarlOhneTilgung,10)=1,IF(INDEX(DarlBindung,10)="",1,$G4683),IF($J4683&gt;0.005,1,0)))</f>
      </c>
      <c r="J4683" s="43">
        <f>IF($I4682=0,0,$R4682)</f>
      </c>
      <c r="K4683" s="43">
        <f>IF($I4683=0,0,IF(INDEX(DarlOhneTilgung,10)=1,0,IF(AND(INDEX(DarlTilgStart,10)&gt;0,$E4683=INDEX(DarlTilgStart,10)),$J4683*($H4683+INDEX(DarlTilgung,10))/100/12,IF(AND($G4683=0,$G4682=1),MAX($K4682,$J4683*($H4683+1)/100/12),$K4682))))</f>
      </c>
      <c r="L4683" s="43">
        <f>IF($I4683=0,0,$J4683*$H4683/100/12)</f>
      </c>
      <c r="M4683" s="43">
        <f>IF($I4683=0,0,IF(OR(INDEX(DarlOhneTilgung,10)=1,AND(INDEX(DarlTilgStart,10)&gt;0,$E4683&lt;INDEX(DarlTilgStart,10))),0,MIN(MAX(0,$K4683-$L4683),$J4683)))</f>
      </c>
      <c r="N4683" s="43">
        <f>IF($I4683=0,0,MIN(SUMIFS(SondBetrag,SondDarl,10,SondDatum,"&gt;="&amp;$E4683,SondDatum,"&lt;="&amp;EOMONTH($E4683,0)),$J4683-$M4683))</f>
      </c>
      <c r="O4683" s="43">
        <f>IF($I4683=0,0,INDEX(DarlErsatzRate,10))</f>
      </c>
      <c r="P4683" s="43">
        <f>IF($I4683=0,0,$Q4682*INDEX(DarlErsatzZins,10))</f>
      </c>
      <c r="Q4683" s="43">
        <f>IF($I4683=0,0,$Q4682+$P4683+$O4683)</f>
      </c>
      <c r="R4683" s="43">
        <f>IF($I4683=0,0,$J4683-$M4683-$N4683)</f>
      </c>
    </row>
    <row r="4684">
      <c r="A4684"/>
      <c r="B4684">
        <v>10</v>
      </c>
      <c r="C4684" s="43">
        <f>INDEX(DarlObj,10)</f>
      </c>
      <c r="D4684">
        <v>361</v>
      </c>
      <c r="E4684" s="51">
        <f>IF(INDEX(DarlBelegt,10)=0,0,EOMONTH(INDEX(DarlAuszahlung,10),360)+1)</f>
      </c>
      <c r="F4684" s="43">
        <f>IF($E4684=0,0,YEAR($E4684))</f>
      </c>
      <c r="G4684" s="43">
        <f>IF(INDEX(DarlBindung,10)="",1,IF($E4684&lt;=INDEX(DarlBindung,10),1,0))</f>
      </c>
      <c r="H4684" s="43">
        <f>IF($G4684=1,INDEX(DarlSollzins,10),INDEX(DarlAnschluss,10))</f>
      </c>
      <c r="I4684" s="43">
        <f>IF(INDEX(DarlBelegt,10)=0,0,IF(INDEX(DarlOhneTilgung,10)=1,IF(INDEX(DarlBindung,10)="",1,$G4684),IF($J4684&gt;0.005,1,0)))</f>
      </c>
      <c r="J4684" s="43">
        <f>IF($I4683=0,0,$R4683)</f>
      </c>
      <c r="K4684" s="43">
        <f>IF($I4684=0,0,IF(INDEX(DarlOhneTilgung,10)=1,0,IF(AND(INDEX(DarlTilgStart,10)&gt;0,$E4684=INDEX(DarlTilgStart,10)),$J4684*($H4684+INDEX(DarlTilgung,10))/100/12,IF(AND($G4684=0,$G4683=1),MAX($K4683,$J4684*($H4684+1)/100/12),$K4683))))</f>
      </c>
      <c r="L4684" s="43">
        <f>IF($I4684=0,0,$J4684*$H4684/100/12)</f>
      </c>
      <c r="M4684" s="43">
        <f>IF($I4684=0,0,IF(OR(INDEX(DarlOhneTilgung,10)=1,AND(INDEX(DarlTilgStart,10)&gt;0,$E4684&lt;INDEX(DarlTilgStart,10))),0,MIN(MAX(0,$K4684-$L4684),$J4684)))</f>
      </c>
      <c r="N4684" s="43">
        <f>IF($I4684=0,0,MIN(SUMIFS(SondBetrag,SondDarl,10,SondDatum,"&gt;="&amp;$E4684,SondDatum,"&lt;="&amp;EOMONTH($E4684,0)),$J4684-$M4684))</f>
      </c>
      <c r="O4684" s="43">
        <f>IF($I4684=0,0,INDEX(DarlErsatzRate,10))</f>
      </c>
      <c r="P4684" s="43">
        <f>IF($I4684=0,0,$Q4683*INDEX(DarlErsatzZins,10))</f>
      </c>
      <c r="Q4684" s="43">
        <f>IF($I4684=0,0,$Q4683+$P4684+$O4684)</f>
      </c>
      <c r="R4684" s="43">
        <f>IF($I4684=0,0,$J4684-$M4684-$N4684)</f>
      </c>
    </row>
    <row r="4685">
      <c r="A4685"/>
      <c r="B4685">
        <v>10</v>
      </c>
      <c r="C4685" s="43">
        <f>INDEX(DarlObj,10)</f>
      </c>
      <c r="D4685">
        <v>362</v>
      </c>
      <c r="E4685" s="51">
        <f>IF(INDEX(DarlBelegt,10)=0,0,EOMONTH(INDEX(DarlAuszahlung,10),361)+1)</f>
      </c>
      <c r="F4685" s="43">
        <f>IF($E4685=0,0,YEAR($E4685))</f>
      </c>
      <c r="G4685" s="43">
        <f>IF(INDEX(DarlBindung,10)="",1,IF($E4685&lt;=INDEX(DarlBindung,10),1,0))</f>
      </c>
      <c r="H4685" s="43">
        <f>IF($G4685=1,INDEX(DarlSollzins,10),INDEX(DarlAnschluss,10))</f>
      </c>
      <c r="I4685" s="43">
        <f>IF(INDEX(DarlBelegt,10)=0,0,IF(INDEX(DarlOhneTilgung,10)=1,IF(INDEX(DarlBindung,10)="",1,$G4685),IF($J4685&gt;0.005,1,0)))</f>
      </c>
      <c r="J4685" s="43">
        <f>IF($I4684=0,0,$R4684)</f>
      </c>
      <c r="K4685" s="43">
        <f>IF($I4685=0,0,IF(INDEX(DarlOhneTilgung,10)=1,0,IF(AND(INDEX(DarlTilgStart,10)&gt;0,$E4685=INDEX(DarlTilgStart,10)),$J4685*($H4685+INDEX(DarlTilgung,10))/100/12,IF(AND($G4685=0,$G4684=1),MAX($K4684,$J4685*($H4685+1)/100/12),$K4684))))</f>
      </c>
      <c r="L4685" s="43">
        <f>IF($I4685=0,0,$J4685*$H4685/100/12)</f>
      </c>
      <c r="M4685" s="43">
        <f>IF($I4685=0,0,IF(OR(INDEX(DarlOhneTilgung,10)=1,AND(INDEX(DarlTilgStart,10)&gt;0,$E4685&lt;INDEX(DarlTilgStart,10))),0,MIN(MAX(0,$K4685-$L4685),$J4685)))</f>
      </c>
      <c r="N4685" s="43">
        <f>IF($I4685=0,0,MIN(SUMIFS(SondBetrag,SondDarl,10,SondDatum,"&gt;="&amp;$E4685,SondDatum,"&lt;="&amp;EOMONTH($E4685,0)),$J4685-$M4685))</f>
      </c>
      <c r="O4685" s="43">
        <f>IF($I4685=0,0,INDEX(DarlErsatzRate,10))</f>
      </c>
      <c r="P4685" s="43">
        <f>IF($I4685=0,0,$Q4684*INDEX(DarlErsatzZins,10))</f>
      </c>
      <c r="Q4685" s="43">
        <f>IF($I4685=0,0,$Q4684+$P4685+$O4685)</f>
      </c>
      <c r="R4685" s="43">
        <f>IF($I4685=0,0,$J4685-$M4685-$N4685)</f>
      </c>
    </row>
    <row r="4686">
      <c r="A4686"/>
      <c r="B4686">
        <v>10</v>
      </c>
      <c r="C4686" s="43">
        <f>INDEX(DarlObj,10)</f>
      </c>
      <c r="D4686">
        <v>363</v>
      </c>
      <c r="E4686" s="51">
        <f>IF(INDEX(DarlBelegt,10)=0,0,EOMONTH(INDEX(DarlAuszahlung,10),362)+1)</f>
      </c>
      <c r="F4686" s="43">
        <f>IF($E4686=0,0,YEAR($E4686))</f>
      </c>
      <c r="G4686" s="43">
        <f>IF(INDEX(DarlBindung,10)="",1,IF($E4686&lt;=INDEX(DarlBindung,10),1,0))</f>
      </c>
      <c r="H4686" s="43">
        <f>IF($G4686=1,INDEX(DarlSollzins,10),INDEX(DarlAnschluss,10))</f>
      </c>
      <c r="I4686" s="43">
        <f>IF(INDEX(DarlBelegt,10)=0,0,IF(INDEX(DarlOhneTilgung,10)=1,IF(INDEX(DarlBindung,10)="",1,$G4686),IF($J4686&gt;0.005,1,0)))</f>
      </c>
      <c r="J4686" s="43">
        <f>IF($I4685=0,0,$R4685)</f>
      </c>
      <c r="K4686" s="43">
        <f>IF($I4686=0,0,IF(INDEX(DarlOhneTilgung,10)=1,0,IF(AND(INDEX(DarlTilgStart,10)&gt;0,$E4686=INDEX(DarlTilgStart,10)),$J4686*($H4686+INDEX(DarlTilgung,10))/100/12,IF(AND($G4686=0,$G4685=1),MAX($K4685,$J4686*($H4686+1)/100/12),$K4685))))</f>
      </c>
      <c r="L4686" s="43">
        <f>IF($I4686=0,0,$J4686*$H4686/100/12)</f>
      </c>
      <c r="M4686" s="43">
        <f>IF($I4686=0,0,IF(OR(INDEX(DarlOhneTilgung,10)=1,AND(INDEX(DarlTilgStart,10)&gt;0,$E4686&lt;INDEX(DarlTilgStart,10))),0,MIN(MAX(0,$K4686-$L4686),$J4686)))</f>
      </c>
      <c r="N4686" s="43">
        <f>IF($I4686=0,0,MIN(SUMIFS(SondBetrag,SondDarl,10,SondDatum,"&gt;="&amp;$E4686,SondDatum,"&lt;="&amp;EOMONTH($E4686,0)),$J4686-$M4686))</f>
      </c>
      <c r="O4686" s="43">
        <f>IF($I4686=0,0,INDEX(DarlErsatzRate,10))</f>
      </c>
      <c r="P4686" s="43">
        <f>IF($I4686=0,0,$Q4685*INDEX(DarlErsatzZins,10))</f>
      </c>
      <c r="Q4686" s="43">
        <f>IF($I4686=0,0,$Q4685+$P4686+$O4686)</f>
      </c>
      <c r="R4686" s="43">
        <f>IF($I4686=0,0,$J4686-$M4686-$N4686)</f>
      </c>
    </row>
    <row r="4687">
      <c r="A4687"/>
      <c r="B4687">
        <v>10</v>
      </c>
      <c r="C4687" s="43">
        <f>INDEX(DarlObj,10)</f>
      </c>
      <c r="D4687">
        <v>364</v>
      </c>
      <c r="E4687" s="51">
        <f>IF(INDEX(DarlBelegt,10)=0,0,EOMONTH(INDEX(DarlAuszahlung,10),363)+1)</f>
      </c>
      <c r="F4687" s="43">
        <f>IF($E4687=0,0,YEAR($E4687))</f>
      </c>
      <c r="G4687" s="43">
        <f>IF(INDEX(DarlBindung,10)="",1,IF($E4687&lt;=INDEX(DarlBindung,10),1,0))</f>
      </c>
      <c r="H4687" s="43">
        <f>IF($G4687=1,INDEX(DarlSollzins,10),INDEX(DarlAnschluss,10))</f>
      </c>
      <c r="I4687" s="43">
        <f>IF(INDEX(DarlBelegt,10)=0,0,IF(INDEX(DarlOhneTilgung,10)=1,IF(INDEX(DarlBindung,10)="",1,$G4687),IF($J4687&gt;0.005,1,0)))</f>
      </c>
      <c r="J4687" s="43">
        <f>IF($I4686=0,0,$R4686)</f>
      </c>
      <c r="K4687" s="43">
        <f>IF($I4687=0,0,IF(INDEX(DarlOhneTilgung,10)=1,0,IF(AND(INDEX(DarlTilgStart,10)&gt;0,$E4687=INDEX(DarlTilgStart,10)),$J4687*($H4687+INDEX(DarlTilgung,10))/100/12,IF(AND($G4687=0,$G4686=1),MAX($K4686,$J4687*($H4687+1)/100/12),$K4686))))</f>
      </c>
      <c r="L4687" s="43">
        <f>IF($I4687=0,0,$J4687*$H4687/100/12)</f>
      </c>
      <c r="M4687" s="43">
        <f>IF($I4687=0,0,IF(OR(INDEX(DarlOhneTilgung,10)=1,AND(INDEX(DarlTilgStart,10)&gt;0,$E4687&lt;INDEX(DarlTilgStart,10))),0,MIN(MAX(0,$K4687-$L4687),$J4687)))</f>
      </c>
      <c r="N4687" s="43">
        <f>IF($I4687=0,0,MIN(SUMIFS(SondBetrag,SondDarl,10,SondDatum,"&gt;="&amp;$E4687,SondDatum,"&lt;="&amp;EOMONTH($E4687,0)),$J4687-$M4687))</f>
      </c>
      <c r="O4687" s="43">
        <f>IF($I4687=0,0,INDEX(DarlErsatzRate,10))</f>
      </c>
      <c r="P4687" s="43">
        <f>IF($I4687=0,0,$Q4686*INDEX(DarlErsatzZins,10))</f>
      </c>
      <c r="Q4687" s="43">
        <f>IF($I4687=0,0,$Q4686+$P4687+$O4687)</f>
      </c>
      <c r="R4687" s="43">
        <f>IF($I4687=0,0,$J4687-$M4687-$N4687)</f>
      </c>
    </row>
    <row r="4688">
      <c r="A4688"/>
      <c r="B4688">
        <v>10</v>
      </c>
      <c r="C4688" s="43">
        <f>INDEX(DarlObj,10)</f>
      </c>
      <c r="D4688">
        <v>365</v>
      </c>
      <c r="E4688" s="51">
        <f>IF(INDEX(DarlBelegt,10)=0,0,EOMONTH(INDEX(DarlAuszahlung,10),364)+1)</f>
      </c>
      <c r="F4688" s="43">
        <f>IF($E4688=0,0,YEAR($E4688))</f>
      </c>
      <c r="G4688" s="43">
        <f>IF(INDEX(DarlBindung,10)="",1,IF($E4688&lt;=INDEX(DarlBindung,10),1,0))</f>
      </c>
      <c r="H4688" s="43">
        <f>IF($G4688=1,INDEX(DarlSollzins,10),INDEX(DarlAnschluss,10))</f>
      </c>
      <c r="I4688" s="43">
        <f>IF(INDEX(DarlBelegt,10)=0,0,IF(INDEX(DarlOhneTilgung,10)=1,IF(INDEX(DarlBindung,10)="",1,$G4688),IF($J4688&gt;0.005,1,0)))</f>
      </c>
      <c r="J4688" s="43">
        <f>IF($I4687=0,0,$R4687)</f>
      </c>
      <c r="K4688" s="43">
        <f>IF($I4688=0,0,IF(INDEX(DarlOhneTilgung,10)=1,0,IF(AND(INDEX(DarlTilgStart,10)&gt;0,$E4688=INDEX(DarlTilgStart,10)),$J4688*($H4688+INDEX(DarlTilgung,10))/100/12,IF(AND($G4688=0,$G4687=1),MAX($K4687,$J4688*($H4688+1)/100/12),$K4687))))</f>
      </c>
      <c r="L4688" s="43">
        <f>IF($I4688=0,0,$J4688*$H4688/100/12)</f>
      </c>
      <c r="M4688" s="43">
        <f>IF($I4688=0,0,IF(OR(INDEX(DarlOhneTilgung,10)=1,AND(INDEX(DarlTilgStart,10)&gt;0,$E4688&lt;INDEX(DarlTilgStart,10))),0,MIN(MAX(0,$K4688-$L4688),$J4688)))</f>
      </c>
      <c r="N4688" s="43">
        <f>IF($I4688=0,0,MIN(SUMIFS(SondBetrag,SondDarl,10,SondDatum,"&gt;="&amp;$E4688,SondDatum,"&lt;="&amp;EOMONTH($E4688,0)),$J4688-$M4688))</f>
      </c>
      <c r="O4688" s="43">
        <f>IF($I4688=0,0,INDEX(DarlErsatzRate,10))</f>
      </c>
      <c r="P4688" s="43">
        <f>IF($I4688=0,0,$Q4687*INDEX(DarlErsatzZins,10))</f>
      </c>
      <c r="Q4688" s="43">
        <f>IF($I4688=0,0,$Q4687+$P4688+$O4688)</f>
      </c>
      <c r="R4688" s="43">
        <f>IF($I4688=0,0,$J4688-$M4688-$N4688)</f>
      </c>
    </row>
    <row r="4689">
      <c r="A4689"/>
      <c r="B4689">
        <v>10</v>
      </c>
      <c r="C4689" s="43">
        <f>INDEX(DarlObj,10)</f>
      </c>
      <c r="D4689">
        <v>366</v>
      </c>
      <c r="E4689" s="51">
        <f>IF(INDEX(DarlBelegt,10)=0,0,EOMONTH(INDEX(DarlAuszahlung,10),365)+1)</f>
      </c>
      <c r="F4689" s="43">
        <f>IF($E4689=0,0,YEAR($E4689))</f>
      </c>
      <c r="G4689" s="43">
        <f>IF(INDEX(DarlBindung,10)="",1,IF($E4689&lt;=INDEX(DarlBindung,10),1,0))</f>
      </c>
      <c r="H4689" s="43">
        <f>IF($G4689=1,INDEX(DarlSollzins,10),INDEX(DarlAnschluss,10))</f>
      </c>
      <c r="I4689" s="43">
        <f>IF(INDEX(DarlBelegt,10)=0,0,IF(INDEX(DarlOhneTilgung,10)=1,IF(INDEX(DarlBindung,10)="",1,$G4689),IF($J4689&gt;0.005,1,0)))</f>
      </c>
      <c r="J4689" s="43">
        <f>IF($I4688=0,0,$R4688)</f>
      </c>
      <c r="K4689" s="43">
        <f>IF($I4689=0,0,IF(INDEX(DarlOhneTilgung,10)=1,0,IF(AND(INDEX(DarlTilgStart,10)&gt;0,$E4689=INDEX(DarlTilgStart,10)),$J4689*($H4689+INDEX(DarlTilgung,10))/100/12,IF(AND($G4689=0,$G4688=1),MAX($K4688,$J4689*($H4689+1)/100/12),$K4688))))</f>
      </c>
      <c r="L4689" s="43">
        <f>IF($I4689=0,0,$J4689*$H4689/100/12)</f>
      </c>
      <c r="M4689" s="43">
        <f>IF($I4689=0,0,IF(OR(INDEX(DarlOhneTilgung,10)=1,AND(INDEX(DarlTilgStart,10)&gt;0,$E4689&lt;INDEX(DarlTilgStart,10))),0,MIN(MAX(0,$K4689-$L4689),$J4689)))</f>
      </c>
      <c r="N4689" s="43">
        <f>IF($I4689=0,0,MIN(SUMIFS(SondBetrag,SondDarl,10,SondDatum,"&gt;="&amp;$E4689,SondDatum,"&lt;="&amp;EOMONTH($E4689,0)),$J4689-$M4689))</f>
      </c>
      <c r="O4689" s="43">
        <f>IF($I4689=0,0,INDEX(DarlErsatzRate,10))</f>
      </c>
      <c r="P4689" s="43">
        <f>IF($I4689=0,0,$Q4688*INDEX(DarlErsatzZins,10))</f>
      </c>
      <c r="Q4689" s="43">
        <f>IF($I4689=0,0,$Q4688+$P4689+$O4689)</f>
      </c>
      <c r="R4689" s="43">
        <f>IF($I4689=0,0,$J4689-$M4689-$N4689)</f>
      </c>
    </row>
    <row r="4690">
      <c r="A4690"/>
      <c r="B4690">
        <v>10</v>
      </c>
      <c r="C4690" s="43">
        <f>INDEX(DarlObj,10)</f>
      </c>
      <c r="D4690">
        <v>367</v>
      </c>
      <c r="E4690" s="51">
        <f>IF(INDEX(DarlBelegt,10)=0,0,EOMONTH(INDEX(DarlAuszahlung,10),366)+1)</f>
      </c>
      <c r="F4690" s="43">
        <f>IF($E4690=0,0,YEAR($E4690))</f>
      </c>
      <c r="G4690" s="43">
        <f>IF(INDEX(DarlBindung,10)="",1,IF($E4690&lt;=INDEX(DarlBindung,10),1,0))</f>
      </c>
      <c r="H4690" s="43">
        <f>IF($G4690=1,INDEX(DarlSollzins,10),INDEX(DarlAnschluss,10))</f>
      </c>
      <c r="I4690" s="43">
        <f>IF(INDEX(DarlBelegt,10)=0,0,IF(INDEX(DarlOhneTilgung,10)=1,IF(INDEX(DarlBindung,10)="",1,$G4690),IF($J4690&gt;0.005,1,0)))</f>
      </c>
      <c r="J4690" s="43">
        <f>IF($I4689=0,0,$R4689)</f>
      </c>
      <c r="K4690" s="43">
        <f>IF($I4690=0,0,IF(INDEX(DarlOhneTilgung,10)=1,0,IF(AND(INDEX(DarlTilgStart,10)&gt;0,$E4690=INDEX(DarlTilgStart,10)),$J4690*($H4690+INDEX(DarlTilgung,10))/100/12,IF(AND($G4690=0,$G4689=1),MAX($K4689,$J4690*($H4690+1)/100/12),$K4689))))</f>
      </c>
      <c r="L4690" s="43">
        <f>IF($I4690=0,0,$J4690*$H4690/100/12)</f>
      </c>
      <c r="M4690" s="43">
        <f>IF($I4690=0,0,IF(OR(INDEX(DarlOhneTilgung,10)=1,AND(INDEX(DarlTilgStart,10)&gt;0,$E4690&lt;INDEX(DarlTilgStart,10))),0,MIN(MAX(0,$K4690-$L4690),$J4690)))</f>
      </c>
      <c r="N4690" s="43">
        <f>IF($I4690=0,0,MIN(SUMIFS(SondBetrag,SondDarl,10,SondDatum,"&gt;="&amp;$E4690,SondDatum,"&lt;="&amp;EOMONTH($E4690,0)),$J4690-$M4690))</f>
      </c>
      <c r="O4690" s="43">
        <f>IF($I4690=0,0,INDEX(DarlErsatzRate,10))</f>
      </c>
      <c r="P4690" s="43">
        <f>IF($I4690=0,0,$Q4689*INDEX(DarlErsatzZins,10))</f>
      </c>
      <c r="Q4690" s="43">
        <f>IF($I4690=0,0,$Q4689+$P4690+$O4690)</f>
      </c>
      <c r="R4690" s="43">
        <f>IF($I4690=0,0,$J4690-$M4690-$N4690)</f>
      </c>
    </row>
    <row r="4691">
      <c r="A4691"/>
      <c r="B4691">
        <v>10</v>
      </c>
      <c r="C4691" s="43">
        <f>INDEX(DarlObj,10)</f>
      </c>
      <c r="D4691">
        <v>368</v>
      </c>
      <c r="E4691" s="51">
        <f>IF(INDEX(DarlBelegt,10)=0,0,EOMONTH(INDEX(DarlAuszahlung,10),367)+1)</f>
      </c>
      <c r="F4691" s="43">
        <f>IF($E4691=0,0,YEAR($E4691))</f>
      </c>
      <c r="G4691" s="43">
        <f>IF(INDEX(DarlBindung,10)="",1,IF($E4691&lt;=INDEX(DarlBindung,10),1,0))</f>
      </c>
      <c r="H4691" s="43">
        <f>IF($G4691=1,INDEX(DarlSollzins,10),INDEX(DarlAnschluss,10))</f>
      </c>
      <c r="I4691" s="43">
        <f>IF(INDEX(DarlBelegt,10)=0,0,IF(INDEX(DarlOhneTilgung,10)=1,IF(INDEX(DarlBindung,10)="",1,$G4691),IF($J4691&gt;0.005,1,0)))</f>
      </c>
      <c r="J4691" s="43">
        <f>IF($I4690=0,0,$R4690)</f>
      </c>
      <c r="K4691" s="43">
        <f>IF($I4691=0,0,IF(INDEX(DarlOhneTilgung,10)=1,0,IF(AND(INDEX(DarlTilgStart,10)&gt;0,$E4691=INDEX(DarlTilgStart,10)),$J4691*($H4691+INDEX(DarlTilgung,10))/100/12,IF(AND($G4691=0,$G4690=1),MAX($K4690,$J4691*($H4691+1)/100/12),$K4690))))</f>
      </c>
      <c r="L4691" s="43">
        <f>IF($I4691=0,0,$J4691*$H4691/100/12)</f>
      </c>
      <c r="M4691" s="43">
        <f>IF($I4691=0,0,IF(OR(INDEX(DarlOhneTilgung,10)=1,AND(INDEX(DarlTilgStart,10)&gt;0,$E4691&lt;INDEX(DarlTilgStart,10))),0,MIN(MAX(0,$K4691-$L4691),$J4691)))</f>
      </c>
      <c r="N4691" s="43">
        <f>IF($I4691=0,0,MIN(SUMIFS(SondBetrag,SondDarl,10,SondDatum,"&gt;="&amp;$E4691,SondDatum,"&lt;="&amp;EOMONTH($E4691,0)),$J4691-$M4691))</f>
      </c>
      <c r="O4691" s="43">
        <f>IF($I4691=0,0,INDEX(DarlErsatzRate,10))</f>
      </c>
      <c r="P4691" s="43">
        <f>IF($I4691=0,0,$Q4690*INDEX(DarlErsatzZins,10))</f>
      </c>
      <c r="Q4691" s="43">
        <f>IF($I4691=0,0,$Q4690+$P4691+$O4691)</f>
      </c>
      <c r="R4691" s="43">
        <f>IF($I4691=0,0,$J4691-$M4691-$N4691)</f>
      </c>
    </row>
    <row r="4692">
      <c r="A4692"/>
      <c r="B4692">
        <v>10</v>
      </c>
      <c r="C4692" s="43">
        <f>INDEX(DarlObj,10)</f>
      </c>
      <c r="D4692">
        <v>369</v>
      </c>
      <c r="E4692" s="51">
        <f>IF(INDEX(DarlBelegt,10)=0,0,EOMONTH(INDEX(DarlAuszahlung,10),368)+1)</f>
      </c>
      <c r="F4692" s="43">
        <f>IF($E4692=0,0,YEAR($E4692))</f>
      </c>
      <c r="G4692" s="43">
        <f>IF(INDEX(DarlBindung,10)="",1,IF($E4692&lt;=INDEX(DarlBindung,10),1,0))</f>
      </c>
      <c r="H4692" s="43">
        <f>IF($G4692=1,INDEX(DarlSollzins,10),INDEX(DarlAnschluss,10))</f>
      </c>
      <c r="I4692" s="43">
        <f>IF(INDEX(DarlBelegt,10)=0,0,IF(INDEX(DarlOhneTilgung,10)=1,IF(INDEX(DarlBindung,10)="",1,$G4692),IF($J4692&gt;0.005,1,0)))</f>
      </c>
      <c r="J4692" s="43">
        <f>IF($I4691=0,0,$R4691)</f>
      </c>
      <c r="K4692" s="43">
        <f>IF($I4692=0,0,IF(INDEX(DarlOhneTilgung,10)=1,0,IF(AND(INDEX(DarlTilgStart,10)&gt;0,$E4692=INDEX(DarlTilgStart,10)),$J4692*($H4692+INDEX(DarlTilgung,10))/100/12,IF(AND($G4692=0,$G4691=1),MAX($K4691,$J4692*($H4692+1)/100/12),$K4691))))</f>
      </c>
      <c r="L4692" s="43">
        <f>IF($I4692=0,0,$J4692*$H4692/100/12)</f>
      </c>
      <c r="M4692" s="43">
        <f>IF($I4692=0,0,IF(OR(INDEX(DarlOhneTilgung,10)=1,AND(INDEX(DarlTilgStart,10)&gt;0,$E4692&lt;INDEX(DarlTilgStart,10))),0,MIN(MAX(0,$K4692-$L4692),$J4692)))</f>
      </c>
      <c r="N4692" s="43">
        <f>IF($I4692=0,0,MIN(SUMIFS(SondBetrag,SondDarl,10,SondDatum,"&gt;="&amp;$E4692,SondDatum,"&lt;="&amp;EOMONTH($E4692,0)),$J4692-$M4692))</f>
      </c>
      <c r="O4692" s="43">
        <f>IF($I4692=0,0,INDEX(DarlErsatzRate,10))</f>
      </c>
      <c r="P4692" s="43">
        <f>IF($I4692=0,0,$Q4691*INDEX(DarlErsatzZins,10))</f>
      </c>
      <c r="Q4692" s="43">
        <f>IF($I4692=0,0,$Q4691+$P4692+$O4692)</f>
      </c>
      <c r="R4692" s="43">
        <f>IF($I4692=0,0,$J4692-$M4692-$N4692)</f>
      </c>
    </row>
    <row r="4693">
      <c r="A4693"/>
      <c r="B4693">
        <v>10</v>
      </c>
      <c r="C4693" s="43">
        <f>INDEX(DarlObj,10)</f>
      </c>
      <c r="D4693">
        <v>370</v>
      </c>
      <c r="E4693" s="51">
        <f>IF(INDEX(DarlBelegt,10)=0,0,EOMONTH(INDEX(DarlAuszahlung,10),369)+1)</f>
      </c>
      <c r="F4693" s="43">
        <f>IF($E4693=0,0,YEAR($E4693))</f>
      </c>
      <c r="G4693" s="43">
        <f>IF(INDEX(DarlBindung,10)="",1,IF($E4693&lt;=INDEX(DarlBindung,10),1,0))</f>
      </c>
      <c r="H4693" s="43">
        <f>IF($G4693=1,INDEX(DarlSollzins,10),INDEX(DarlAnschluss,10))</f>
      </c>
      <c r="I4693" s="43">
        <f>IF(INDEX(DarlBelegt,10)=0,0,IF(INDEX(DarlOhneTilgung,10)=1,IF(INDEX(DarlBindung,10)="",1,$G4693),IF($J4693&gt;0.005,1,0)))</f>
      </c>
      <c r="J4693" s="43">
        <f>IF($I4692=0,0,$R4692)</f>
      </c>
      <c r="K4693" s="43">
        <f>IF($I4693=0,0,IF(INDEX(DarlOhneTilgung,10)=1,0,IF(AND(INDEX(DarlTilgStart,10)&gt;0,$E4693=INDEX(DarlTilgStart,10)),$J4693*($H4693+INDEX(DarlTilgung,10))/100/12,IF(AND($G4693=0,$G4692=1),MAX($K4692,$J4693*($H4693+1)/100/12),$K4692))))</f>
      </c>
      <c r="L4693" s="43">
        <f>IF($I4693=0,0,$J4693*$H4693/100/12)</f>
      </c>
      <c r="M4693" s="43">
        <f>IF($I4693=0,0,IF(OR(INDEX(DarlOhneTilgung,10)=1,AND(INDEX(DarlTilgStart,10)&gt;0,$E4693&lt;INDEX(DarlTilgStart,10))),0,MIN(MAX(0,$K4693-$L4693),$J4693)))</f>
      </c>
      <c r="N4693" s="43">
        <f>IF($I4693=0,0,MIN(SUMIFS(SondBetrag,SondDarl,10,SondDatum,"&gt;="&amp;$E4693,SondDatum,"&lt;="&amp;EOMONTH($E4693,0)),$J4693-$M4693))</f>
      </c>
      <c r="O4693" s="43">
        <f>IF($I4693=0,0,INDEX(DarlErsatzRate,10))</f>
      </c>
      <c r="P4693" s="43">
        <f>IF($I4693=0,0,$Q4692*INDEX(DarlErsatzZins,10))</f>
      </c>
      <c r="Q4693" s="43">
        <f>IF($I4693=0,0,$Q4692+$P4693+$O4693)</f>
      </c>
      <c r="R4693" s="43">
        <f>IF($I4693=0,0,$J4693-$M4693-$N4693)</f>
      </c>
    </row>
    <row r="4694">
      <c r="A4694"/>
      <c r="B4694">
        <v>10</v>
      </c>
      <c r="C4694" s="43">
        <f>INDEX(DarlObj,10)</f>
      </c>
      <c r="D4694">
        <v>371</v>
      </c>
      <c r="E4694" s="51">
        <f>IF(INDEX(DarlBelegt,10)=0,0,EOMONTH(INDEX(DarlAuszahlung,10),370)+1)</f>
      </c>
      <c r="F4694" s="43">
        <f>IF($E4694=0,0,YEAR($E4694))</f>
      </c>
      <c r="G4694" s="43">
        <f>IF(INDEX(DarlBindung,10)="",1,IF($E4694&lt;=INDEX(DarlBindung,10),1,0))</f>
      </c>
      <c r="H4694" s="43">
        <f>IF($G4694=1,INDEX(DarlSollzins,10),INDEX(DarlAnschluss,10))</f>
      </c>
      <c r="I4694" s="43">
        <f>IF(INDEX(DarlBelegt,10)=0,0,IF(INDEX(DarlOhneTilgung,10)=1,IF(INDEX(DarlBindung,10)="",1,$G4694),IF($J4694&gt;0.005,1,0)))</f>
      </c>
      <c r="J4694" s="43">
        <f>IF($I4693=0,0,$R4693)</f>
      </c>
      <c r="K4694" s="43">
        <f>IF($I4694=0,0,IF(INDEX(DarlOhneTilgung,10)=1,0,IF(AND(INDEX(DarlTilgStart,10)&gt;0,$E4694=INDEX(DarlTilgStart,10)),$J4694*($H4694+INDEX(DarlTilgung,10))/100/12,IF(AND($G4694=0,$G4693=1),MAX($K4693,$J4694*($H4694+1)/100/12),$K4693))))</f>
      </c>
      <c r="L4694" s="43">
        <f>IF($I4694=0,0,$J4694*$H4694/100/12)</f>
      </c>
      <c r="M4694" s="43">
        <f>IF($I4694=0,0,IF(OR(INDEX(DarlOhneTilgung,10)=1,AND(INDEX(DarlTilgStart,10)&gt;0,$E4694&lt;INDEX(DarlTilgStart,10))),0,MIN(MAX(0,$K4694-$L4694),$J4694)))</f>
      </c>
      <c r="N4694" s="43">
        <f>IF($I4694=0,0,MIN(SUMIFS(SondBetrag,SondDarl,10,SondDatum,"&gt;="&amp;$E4694,SondDatum,"&lt;="&amp;EOMONTH($E4694,0)),$J4694-$M4694))</f>
      </c>
      <c r="O4694" s="43">
        <f>IF($I4694=0,0,INDEX(DarlErsatzRate,10))</f>
      </c>
      <c r="P4694" s="43">
        <f>IF($I4694=0,0,$Q4693*INDEX(DarlErsatzZins,10))</f>
      </c>
      <c r="Q4694" s="43">
        <f>IF($I4694=0,0,$Q4693+$P4694+$O4694)</f>
      </c>
      <c r="R4694" s="43">
        <f>IF($I4694=0,0,$J4694-$M4694-$N4694)</f>
      </c>
    </row>
    <row r="4695">
      <c r="A4695"/>
      <c r="B4695">
        <v>10</v>
      </c>
      <c r="C4695" s="43">
        <f>INDEX(DarlObj,10)</f>
      </c>
      <c r="D4695">
        <v>372</v>
      </c>
      <c r="E4695" s="51">
        <f>IF(INDEX(DarlBelegt,10)=0,0,EOMONTH(INDEX(DarlAuszahlung,10),371)+1)</f>
      </c>
      <c r="F4695" s="43">
        <f>IF($E4695=0,0,YEAR($E4695))</f>
      </c>
      <c r="G4695" s="43">
        <f>IF(INDEX(DarlBindung,10)="",1,IF($E4695&lt;=INDEX(DarlBindung,10),1,0))</f>
      </c>
      <c r="H4695" s="43">
        <f>IF($G4695=1,INDEX(DarlSollzins,10),INDEX(DarlAnschluss,10))</f>
      </c>
      <c r="I4695" s="43">
        <f>IF(INDEX(DarlBelegt,10)=0,0,IF(INDEX(DarlOhneTilgung,10)=1,IF(INDEX(DarlBindung,10)="",1,$G4695),IF($J4695&gt;0.005,1,0)))</f>
      </c>
      <c r="J4695" s="43">
        <f>IF($I4694=0,0,$R4694)</f>
      </c>
      <c r="K4695" s="43">
        <f>IF($I4695=0,0,IF(INDEX(DarlOhneTilgung,10)=1,0,IF(AND(INDEX(DarlTilgStart,10)&gt;0,$E4695=INDEX(DarlTilgStart,10)),$J4695*($H4695+INDEX(DarlTilgung,10))/100/12,IF(AND($G4695=0,$G4694=1),MAX($K4694,$J4695*($H4695+1)/100/12),$K4694))))</f>
      </c>
      <c r="L4695" s="43">
        <f>IF($I4695=0,0,$J4695*$H4695/100/12)</f>
      </c>
      <c r="M4695" s="43">
        <f>IF($I4695=0,0,IF(OR(INDEX(DarlOhneTilgung,10)=1,AND(INDEX(DarlTilgStart,10)&gt;0,$E4695&lt;INDEX(DarlTilgStart,10))),0,MIN(MAX(0,$K4695-$L4695),$J4695)))</f>
      </c>
      <c r="N4695" s="43">
        <f>IF($I4695=0,0,MIN(SUMIFS(SondBetrag,SondDarl,10,SondDatum,"&gt;="&amp;$E4695,SondDatum,"&lt;="&amp;EOMONTH($E4695,0)),$J4695-$M4695))</f>
      </c>
      <c r="O4695" s="43">
        <f>IF($I4695=0,0,INDEX(DarlErsatzRate,10))</f>
      </c>
      <c r="P4695" s="43">
        <f>IF($I4695=0,0,$Q4694*INDEX(DarlErsatzZins,10))</f>
      </c>
      <c r="Q4695" s="43">
        <f>IF($I4695=0,0,$Q4694+$P4695+$O4695)</f>
      </c>
      <c r="R4695" s="43">
        <f>IF($I4695=0,0,$J4695-$M4695-$N4695)</f>
      </c>
    </row>
    <row r="4696">
      <c r="A4696"/>
      <c r="B4696">
        <v>10</v>
      </c>
      <c r="C4696" s="43">
        <f>INDEX(DarlObj,10)</f>
      </c>
      <c r="D4696">
        <v>373</v>
      </c>
      <c r="E4696" s="51">
        <f>IF(INDEX(DarlBelegt,10)=0,0,EOMONTH(INDEX(DarlAuszahlung,10),372)+1)</f>
      </c>
      <c r="F4696" s="43">
        <f>IF($E4696=0,0,YEAR($E4696))</f>
      </c>
      <c r="G4696" s="43">
        <f>IF(INDEX(DarlBindung,10)="",1,IF($E4696&lt;=INDEX(DarlBindung,10),1,0))</f>
      </c>
      <c r="H4696" s="43">
        <f>IF($G4696=1,INDEX(DarlSollzins,10),INDEX(DarlAnschluss,10))</f>
      </c>
      <c r="I4696" s="43">
        <f>IF(INDEX(DarlBelegt,10)=0,0,IF(INDEX(DarlOhneTilgung,10)=1,IF(INDEX(DarlBindung,10)="",1,$G4696),IF($J4696&gt;0.005,1,0)))</f>
      </c>
      <c r="J4696" s="43">
        <f>IF($I4695=0,0,$R4695)</f>
      </c>
      <c r="K4696" s="43">
        <f>IF($I4696=0,0,IF(INDEX(DarlOhneTilgung,10)=1,0,IF(AND(INDEX(DarlTilgStart,10)&gt;0,$E4696=INDEX(DarlTilgStart,10)),$J4696*($H4696+INDEX(DarlTilgung,10))/100/12,IF(AND($G4696=0,$G4695=1),MAX($K4695,$J4696*($H4696+1)/100/12),$K4695))))</f>
      </c>
      <c r="L4696" s="43">
        <f>IF($I4696=0,0,$J4696*$H4696/100/12)</f>
      </c>
      <c r="M4696" s="43">
        <f>IF($I4696=0,0,IF(OR(INDEX(DarlOhneTilgung,10)=1,AND(INDEX(DarlTilgStart,10)&gt;0,$E4696&lt;INDEX(DarlTilgStart,10))),0,MIN(MAX(0,$K4696-$L4696),$J4696)))</f>
      </c>
      <c r="N4696" s="43">
        <f>IF($I4696=0,0,MIN(SUMIFS(SondBetrag,SondDarl,10,SondDatum,"&gt;="&amp;$E4696,SondDatum,"&lt;="&amp;EOMONTH($E4696,0)),$J4696-$M4696))</f>
      </c>
      <c r="O4696" s="43">
        <f>IF($I4696=0,0,INDEX(DarlErsatzRate,10))</f>
      </c>
      <c r="P4696" s="43">
        <f>IF($I4696=0,0,$Q4695*INDEX(DarlErsatzZins,10))</f>
      </c>
      <c r="Q4696" s="43">
        <f>IF($I4696=0,0,$Q4695+$P4696+$O4696)</f>
      </c>
      <c r="R4696" s="43">
        <f>IF($I4696=0,0,$J4696-$M4696-$N4696)</f>
      </c>
    </row>
    <row r="4697">
      <c r="A4697"/>
      <c r="B4697">
        <v>10</v>
      </c>
      <c r="C4697" s="43">
        <f>INDEX(DarlObj,10)</f>
      </c>
      <c r="D4697">
        <v>374</v>
      </c>
      <c r="E4697" s="51">
        <f>IF(INDEX(DarlBelegt,10)=0,0,EOMONTH(INDEX(DarlAuszahlung,10),373)+1)</f>
      </c>
      <c r="F4697" s="43">
        <f>IF($E4697=0,0,YEAR($E4697))</f>
      </c>
      <c r="G4697" s="43">
        <f>IF(INDEX(DarlBindung,10)="",1,IF($E4697&lt;=INDEX(DarlBindung,10),1,0))</f>
      </c>
      <c r="H4697" s="43">
        <f>IF($G4697=1,INDEX(DarlSollzins,10),INDEX(DarlAnschluss,10))</f>
      </c>
      <c r="I4697" s="43">
        <f>IF(INDEX(DarlBelegt,10)=0,0,IF(INDEX(DarlOhneTilgung,10)=1,IF(INDEX(DarlBindung,10)="",1,$G4697),IF($J4697&gt;0.005,1,0)))</f>
      </c>
      <c r="J4697" s="43">
        <f>IF($I4696=0,0,$R4696)</f>
      </c>
      <c r="K4697" s="43">
        <f>IF($I4697=0,0,IF(INDEX(DarlOhneTilgung,10)=1,0,IF(AND(INDEX(DarlTilgStart,10)&gt;0,$E4697=INDEX(DarlTilgStart,10)),$J4697*($H4697+INDEX(DarlTilgung,10))/100/12,IF(AND($G4697=0,$G4696=1),MAX($K4696,$J4697*($H4697+1)/100/12),$K4696))))</f>
      </c>
      <c r="L4697" s="43">
        <f>IF($I4697=0,0,$J4697*$H4697/100/12)</f>
      </c>
      <c r="M4697" s="43">
        <f>IF($I4697=0,0,IF(OR(INDEX(DarlOhneTilgung,10)=1,AND(INDEX(DarlTilgStart,10)&gt;0,$E4697&lt;INDEX(DarlTilgStart,10))),0,MIN(MAX(0,$K4697-$L4697),$J4697)))</f>
      </c>
      <c r="N4697" s="43">
        <f>IF($I4697=0,0,MIN(SUMIFS(SondBetrag,SondDarl,10,SondDatum,"&gt;="&amp;$E4697,SondDatum,"&lt;="&amp;EOMONTH($E4697,0)),$J4697-$M4697))</f>
      </c>
      <c r="O4697" s="43">
        <f>IF($I4697=0,0,INDEX(DarlErsatzRate,10))</f>
      </c>
      <c r="P4697" s="43">
        <f>IF($I4697=0,0,$Q4696*INDEX(DarlErsatzZins,10))</f>
      </c>
      <c r="Q4697" s="43">
        <f>IF($I4697=0,0,$Q4696+$P4697+$O4697)</f>
      </c>
      <c r="R4697" s="43">
        <f>IF($I4697=0,0,$J4697-$M4697-$N4697)</f>
      </c>
    </row>
    <row r="4698">
      <c r="A4698"/>
      <c r="B4698">
        <v>10</v>
      </c>
      <c r="C4698" s="43">
        <f>INDEX(DarlObj,10)</f>
      </c>
      <c r="D4698">
        <v>375</v>
      </c>
      <c r="E4698" s="51">
        <f>IF(INDEX(DarlBelegt,10)=0,0,EOMONTH(INDEX(DarlAuszahlung,10),374)+1)</f>
      </c>
      <c r="F4698" s="43">
        <f>IF($E4698=0,0,YEAR($E4698))</f>
      </c>
      <c r="G4698" s="43">
        <f>IF(INDEX(DarlBindung,10)="",1,IF($E4698&lt;=INDEX(DarlBindung,10),1,0))</f>
      </c>
      <c r="H4698" s="43">
        <f>IF($G4698=1,INDEX(DarlSollzins,10),INDEX(DarlAnschluss,10))</f>
      </c>
      <c r="I4698" s="43">
        <f>IF(INDEX(DarlBelegt,10)=0,0,IF(INDEX(DarlOhneTilgung,10)=1,IF(INDEX(DarlBindung,10)="",1,$G4698),IF($J4698&gt;0.005,1,0)))</f>
      </c>
      <c r="J4698" s="43">
        <f>IF($I4697=0,0,$R4697)</f>
      </c>
      <c r="K4698" s="43">
        <f>IF($I4698=0,0,IF(INDEX(DarlOhneTilgung,10)=1,0,IF(AND(INDEX(DarlTilgStart,10)&gt;0,$E4698=INDEX(DarlTilgStart,10)),$J4698*($H4698+INDEX(DarlTilgung,10))/100/12,IF(AND($G4698=0,$G4697=1),MAX($K4697,$J4698*($H4698+1)/100/12),$K4697))))</f>
      </c>
      <c r="L4698" s="43">
        <f>IF($I4698=0,0,$J4698*$H4698/100/12)</f>
      </c>
      <c r="M4698" s="43">
        <f>IF($I4698=0,0,IF(OR(INDEX(DarlOhneTilgung,10)=1,AND(INDEX(DarlTilgStart,10)&gt;0,$E4698&lt;INDEX(DarlTilgStart,10))),0,MIN(MAX(0,$K4698-$L4698),$J4698)))</f>
      </c>
      <c r="N4698" s="43">
        <f>IF($I4698=0,0,MIN(SUMIFS(SondBetrag,SondDarl,10,SondDatum,"&gt;="&amp;$E4698,SondDatum,"&lt;="&amp;EOMONTH($E4698,0)),$J4698-$M4698))</f>
      </c>
      <c r="O4698" s="43">
        <f>IF($I4698=0,0,INDEX(DarlErsatzRate,10))</f>
      </c>
      <c r="P4698" s="43">
        <f>IF($I4698=0,0,$Q4697*INDEX(DarlErsatzZins,10))</f>
      </c>
      <c r="Q4698" s="43">
        <f>IF($I4698=0,0,$Q4697+$P4698+$O4698)</f>
      </c>
      <c r="R4698" s="43">
        <f>IF($I4698=0,0,$J4698-$M4698-$N4698)</f>
      </c>
    </row>
    <row r="4699">
      <c r="A4699"/>
      <c r="B4699">
        <v>10</v>
      </c>
      <c r="C4699" s="43">
        <f>INDEX(DarlObj,10)</f>
      </c>
      <c r="D4699">
        <v>376</v>
      </c>
      <c r="E4699" s="51">
        <f>IF(INDEX(DarlBelegt,10)=0,0,EOMONTH(INDEX(DarlAuszahlung,10),375)+1)</f>
      </c>
      <c r="F4699" s="43">
        <f>IF($E4699=0,0,YEAR($E4699))</f>
      </c>
      <c r="G4699" s="43">
        <f>IF(INDEX(DarlBindung,10)="",1,IF($E4699&lt;=INDEX(DarlBindung,10),1,0))</f>
      </c>
      <c r="H4699" s="43">
        <f>IF($G4699=1,INDEX(DarlSollzins,10),INDEX(DarlAnschluss,10))</f>
      </c>
      <c r="I4699" s="43">
        <f>IF(INDEX(DarlBelegt,10)=0,0,IF(INDEX(DarlOhneTilgung,10)=1,IF(INDEX(DarlBindung,10)="",1,$G4699),IF($J4699&gt;0.005,1,0)))</f>
      </c>
      <c r="J4699" s="43">
        <f>IF($I4698=0,0,$R4698)</f>
      </c>
      <c r="K4699" s="43">
        <f>IF($I4699=0,0,IF(INDEX(DarlOhneTilgung,10)=1,0,IF(AND(INDEX(DarlTilgStart,10)&gt;0,$E4699=INDEX(DarlTilgStart,10)),$J4699*($H4699+INDEX(DarlTilgung,10))/100/12,IF(AND($G4699=0,$G4698=1),MAX($K4698,$J4699*($H4699+1)/100/12),$K4698))))</f>
      </c>
      <c r="L4699" s="43">
        <f>IF($I4699=0,0,$J4699*$H4699/100/12)</f>
      </c>
      <c r="M4699" s="43">
        <f>IF($I4699=0,0,IF(OR(INDEX(DarlOhneTilgung,10)=1,AND(INDEX(DarlTilgStart,10)&gt;0,$E4699&lt;INDEX(DarlTilgStart,10))),0,MIN(MAX(0,$K4699-$L4699),$J4699)))</f>
      </c>
      <c r="N4699" s="43">
        <f>IF($I4699=0,0,MIN(SUMIFS(SondBetrag,SondDarl,10,SondDatum,"&gt;="&amp;$E4699,SondDatum,"&lt;="&amp;EOMONTH($E4699,0)),$J4699-$M4699))</f>
      </c>
      <c r="O4699" s="43">
        <f>IF($I4699=0,0,INDEX(DarlErsatzRate,10))</f>
      </c>
      <c r="P4699" s="43">
        <f>IF($I4699=0,0,$Q4698*INDEX(DarlErsatzZins,10))</f>
      </c>
      <c r="Q4699" s="43">
        <f>IF($I4699=0,0,$Q4698+$P4699+$O4699)</f>
      </c>
      <c r="R4699" s="43">
        <f>IF($I4699=0,0,$J4699-$M4699-$N4699)</f>
      </c>
    </row>
    <row r="4700">
      <c r="A4700"/>
      <c r="B4700">
        <v>10</v>
      </c>
      <c r="C4700" s="43">
        <f>INDEX(DarlObj,10)</f>
      </c>
      <c r="D4700">
        <v>377</v>
      </c>
      <c r="E4700" s="51">
        <f>IF(INDEX(DarlBelegt,10)=0,0,EOMONTH(INDEX(DarlAuszahlung,10),376)+1)</f>
      </c>
      <c r="F4700" s="43">
        <f>IF($E4700=0,0,YEAR($E4700))</f>
      </c>
      <c r="G4700" s="43">
        <f>IF(INDEX(DarlBindung,10)="",1,IF($E4700&lt;=INDEX(DarlBindung,10),1,0))</f>
      </c>
      <c r="H4700" s="43">
        <f>IF($G4700=1,INDEX(DarlSollzins,10),INDEX(DarlAnschluss,10))</f>
      </c>
      <c r="I4700" s="43">
        <f>IF(INDEX(DarlBelegt,10)=0,0,IF(INDEX(DarlOhneTilgung,10)=1,IF(INDEX(DarlBindung,10)="",1,$G4700),IF($J4700&gt;0.005,1,0)))</f>
      </c>
      <c r="J4700" s="43">
        <f>IF($I4699=0,0,$R4699)</f>
      </c>
      <c r="K4700" s="43">
        <f>IF($I4700=0,0,IF(INDEX(DarlOhneTilgung,10)=1,0,IF(AND(INDEX(DarlTilgStart,10)&gt;0,$E4700=INDEX(DarlTilgStart,10)),$J4700*($H4700+INDEX(DarlTilgung,10))/100/12,IF(AND($G4700=0,$G4699=1),MAX($K4699,$J4700*($H4700+1)/100/12),$K4699))))</f>
      </c>
      <c r="L4700" s="43">
        <f>IF($I4700=0,0,$J4700*$H4700/100/12)</f>
      </c>
      <c r="M4700" s="43">
        <f>IF($I4700=0,0,IF(OR(INDEX(DarlOhneTilgung,10)=1,AND(INDEX(DarlTilgStart,10)&gt;0,$E4700&lt;INDEX(DarlTilgStart,10))),0,MIN(MAX(0,$K4700-$L4700),$J4700)))</f>
      </c>
      <c r="N4700" s="43">
        <f>IF($I4700=0,0,MIN(SUMIFS(SondBetrag,SondDarl,10,SondDatum,"&gt;="&amp;$E4700,SondDatum,"&lt;="&amp;EOMONTH($E4700,0)),$J4700-$M4700))</f>
      </c>
      <c r="O4700" s="43">
        <f>IF($I4700=0,0,INDEX(DarlErsatzRate,10))</f>
      </c>
      <c r="P4700" s="43">
        <f>IF($I4700=0,0,$Q4699*INDEX(DarlErsatzZins,10))</f>
      </c>
      <c r="Q4700" s="43">
        <f>IF($I4700=0,0,$Q4699+$P4700+$O4700)</f>
      </c>
      <c r="R4700" s="43">
        <f>IF($I4700=0,0,$J4700-$M4700-$N4700)</f>
      </c>
    </row>
    <row r="4701">
      <c r="A4701"/>
      <c r="B4701">
        <v>10</v>
      </c>
      <c r="C4701" s="43">
        <f>INDEX(DarlObj,10)</f>
      </c>
      <c r="D4701">
        <v>378</v>
      </c>
      <c r="E4701" s="51">
        <f>IF(INDEX(DarlBelegt,10)=0,0,EOMONTH(INDEX(DarlAuszahlung,10),377)+1)</f>
      </c>
      <c r="F4701" s="43">
        <f>IF($E4701=0,0,YEAR($E4701))</f>
      </c>
      <c r="G4701" s="43">
        <f>IF(INDEX(DarlBindung,10)="",1,IF($E4701&lt;=INDEX(DarlBindung,10),1,0))</f>
      </c>
      <c r="H4701" s="43">
        <f>IF($G4701=1,INDEX(DarlSollzins,10),INDEX(DarlAnschluss,10))</f>
      </c>
      <c r="I4701" s="43">
        <f>IF(INDEX(DarlBelegt,10)=0,0,IF(INDEX(DarlOhneTilgung,10)=1,IF(INDEX(DarlBindung,10)="",1,$G4701),IF($J4701&gt;0.005,1,0)))</f>
      </c>
      <c r="J4701" s="43">
        <f>IF($I4700=0,0,$R4700)</f>
      </c>
      <c r="K4701" s="43">
        <f>IF($I4701=0,0,IF(INDEX(DarlOhneTilgung,10)=1,0,IF(AND(INDEX(DarlTilgStart,10)&gt;0,$E4701=INDEX(DarlTilgStart,10)),$J4701*($H4701+INDEX(DarlTilgung,10))/100/12,IF(AND($G4701=0,$G4700=1),MAX($K4700,$J4701*($H4701+1)/100/12),$K4700))))</f>
      </c>
      <c r="L4701" s="43">
        <f>IF($I4701=0,0,$J4701*$H4701/100/12)</f>
      </c>
      <c r="M4701" s="43">
        <f>IF($I4701=0,0,IF(OR(INDEX(DarlOhneTilgung,10)=1,AND(INDEX(DarlTilgStart,10)&gt;0,$E4701&lt;INDEX(DarlTilgStart,10))),0,MIN(MAX(0,$K4701-$L4701),$J4701)))</f>
      </c>
      <c r="N4701" s="43">
        <f>IF($I4701=0,0,MIN(SUMIFS(SondBetrag,SondDarl,10,SondDatum,"&gt;="&amp;$E4701,SondDatum,"&lt;="&amp;EOMONTH($E4701,0)),$J4701-$M4701))</f>
      </c>
      <c r="O4701" s="43">
        <f>IF($I4701=0,0,INDEX(DarlErsatzRate,10))</f>
      </c>
      <c r="P4701" s="43">
        <f>IF($I4701=0,0,$Q4700*INDEX(DarlErsatzZins,10))</f>
      </c>
      <c r="Q4701" s="43">
        <f>IF($I4701=0,0,$Q4700+$P4701+$O4701)</f>
      </c>
      <c r="R4701" s="43">
        <f>IF($I4701=0,0,$J4701-$M4701-$N4701)</f>
      </c>
    </row>
    <row r="4702">
      <c r="A4702"/>
      <c r="B4702">
        <v>10</v>
      </c>
      <c r="C4702" s="43">
        <f>INDEX(DarlObj,10)</f>
      </c>
      <c r="D4702">
        <v>379</v>
      </c>
      <c r="E4702" s="51">
        <f>IF(INDEX(DarlBelegt,10)=0,0,EOMONTH(INDEX(DarlAuszahlung,10),378)+1)</f>
      </c>
      <c r="F4702" s="43">
        <f>IF($E4702=0,0,YEAR($E4702))</f>
      </c>
      <c r="G4702" s="43">
        <f>IF(INDEX(DarlBindung,10)="",1,IF($E4702&lt;=INDEX(DarlBindung,10),1,0))</f>
      </c>
      <c r="H4702" s="43">
        <f>IF($G4702=1,INDEX(DarlSollzins,10),INDEX(DarlAnschluss,10))</f>
      </c>
      <c r="I4702" s="43">
        <f>IF(INDEX(DarlBelegt,10)=0,0,IF(INDEX(DarlOhneTilgung,10)=1,IF(INDEX(DarlBindung,10)="",1,$G4702),IF($J4702&gt;0.005,1,0)))</f>
      </c>
      <c r="J4702" s="43">
        <f>IF($I4701=0,0,$R4701)</f>
      </c>
      <c r="K4702" s="43">
        <f>IF($I4702=0,0,IF(INDEX(DarlOhneTilgung,10)=1,0,IF(AND(INDEX(DarlTilgStart,10)&gt;0,$E4702=INDEX(DarlTilgStart,10)),$J4702*($H4702+INDEX(DarlTilgung,10))/100/12,IF(AND($G4702=0,$G4701=1),MAX($K4701,$J4702*($H4702+1)/100/12),$K4701))))</f>
      </c>
      <c r="L4702" s="43">
        <f>IF($I4702=0,0,$J4702*$H4702/100/12)</f>
      </c>
      <c r="M4702" s="43">
        <f>IF($I4702=0,0,IF(OR(INDEX(DarlOhneTilgung,10)=1,AND(INDEX(DarlTilgStart,10)&gt;0,$E4702&lt;INDEX(DarlTilgStart,10))),0,MIN(MAX(0,$K4702-$L4702),$J4702)))</f>
      </c>
      <c r="N4702" s="43">
        <f>IF($I4702=0,0,MIN(SUMIFS(SondBetrag,SondDarl,10,SondDatum,"&gt;="&amp;$E4702,SondDatum,"&lt;="&amp;EOMONTH($E4702,0)),$J4702-$M4702))</f>
      </c>
      <c r="O4702" s="43">
        <f>IF($I4702=0,0,INDEX(DarlErsatzRate,10))</f>
      </c>
      <c r="P4702" s="43">
        <f>IF($I4702=0,0,$Q4701*INDEX(DarlErsatzZins,10))</f>
      </c>
      <c r="Q4702" s="43">
        <f>IF($I4702=0,0,$Q4701+$P4702+$O4702)</f>
      </c>
      <c r="R4702" s="43">
        <f>IF($I4702=0,0,$J4702-$M4702-$N4702)</f>
      </c>
    </row>
    <row r="4703">
      <c r="A4703"/>
      <c r="B4703">
        <v>10</v>
      </c>
      <c r="C4703" s="43">
        <f>INDEX(DarlObj,10)</f>
      </c>
      <c r="D4703">
        <v>380</v>
      </c>
      <c r="E4703" s="51">
        <f>IF(INDEX(DarlBelegt,10)=0,0,EOMONTH(INDEX(DarlAuszahlung,10),379)+1)</f>
      </c>
      <c r="F4703" s="43">
        <f>IF($E4703=0,0,YEAR($E4703))</f>
      </c>
      <c r="G4703" s="43">
        <f>IF(INDEX(DarlBindung,10)="",1,IF($E4703&lt;=INDEX(DarlBindung,10),1,0))</f>
      </c>
      <c r="H4703" s="43">
        <f>IF($G4703=1,INDEX(DarlSollzins,10),INDEX(DarlAnschluss,10))</f>
      </c>
      <c r="I4703" s="43">
        <f>IF(INDEX(DarlBelegt,10)=0,0,IF(INDEX(DarlOhneTilgung,10)=1,IF(INDEX(DarlBindung,10)="",1,$G4703),IF($J4703&gt;0.005,1,0)))</f>
      </c>
      <c r="J4703" s="43">
        <f>IF($I4702=0,0,$R4702)</f>
      </c>
      <c r="K4703" s="43">
        <f>IF($I4703=0,0,IF(INDEX(DarlOhneTilgung,10)=1,0,IF(AND(INDEX(DarlTilgStart,10)&gt;0,$E4703=INDEX(DarlTilgStart,10)),$J4703*($H4703+INDEX(DarlTilgung,10))/100/12,IF(AND($G4703=0,$G4702=1),MAX($K4702,$J4703*($H4703+1)/100/12),$K4702))))</f>
      </c>
      <c r="L4703" s="43">
        <f>IF($I4703=0,0,$J4703*$H4703/100/12)</f>
      </c>
      <c r="M4703" s="43">
        <f>IF($I4703=0,0,IF(OR(INDEX(DarlOhneTilgung,10)=1,AND(INDEX(DarlTilgStart,10)&gt;0,$E4703&lt;INDEX(DarlTilgStart,10))),0,MIN(MAX(0,$K4703-$L4703),$J4703)))</f>
      </c>
      <c r="N4703" s="43">
        <f>IF($I4703=0,0,MIN(SUMIFS(SondBetrag,SondDarl,10,SondDatum,"&gt;="&amp;$E4703,SondDatum,"&lt;="&amp;EOMONTH($E4703,0)),$J4703-$M4703))</f>
      </c>
      <c r="O4703" s="43">
        <f>IF($I4703=0,0,INDEX(DarlErsatzRate,10))</f>
      </c>
      <c r="P4703" s="43">
        <f>IF($I4703=0,0,$Q4702*INDEX(DarlErsatzZins,10))</f>
      </c>
      <c r="Q4703" s="43">
        <f>IF($I4703=0,0,$Q4702+$P4703+$O4703)</f>
      </c>
      <c r="R4703" s="43">
        <f>IF($I4703=0,0,$J4703-$M4703-$N4703)</f>
      </c>
    </row>
    <row r="4704">
      <c r="A4704"/>
      <c r="B4704">
        <v>10</v>
      </c>
      <c r="C4704" s="43">
        <f>INDEX(DarlObj,10)</f>
      </c>
      <c r="D4704">
        <v>381</v>
      </c>
      <c r="E4704" s="51">
        <f>IF(INDEX(DarlBelegt,10)=0,0,EOMONTH(INDEX(DarlAuszahlung,10),380)+1)</f>
      </c>
      <c r="F4704" s="43">
        <f>IF($E4704=0,0,YEAR($E4704))</f>
      </c>
      <c r="G4704" s="43">
        <f>IF(INDEX(DarlBindung,10)="",1,IF($E4704&lt;=INDEX(DarlBindung,10),1,0))</f>
      </c>
      <c r="H4704" s="43">
        <f>IF($G4704=1,INDEX(DarlSollzins,10),INDEX(DarlAnschluss,10))</f>
      </c>
      <c r="I4704" s="43">
        <f>IF(INDEX(DarlBelegt,10)=0,0,IF(INDEX(DarlOhneTilgung,10)=1,IF(INDEX(DarlBindung,10)="",1,$G4704),IF($J4704&gt;0.005,1,0)))</f>
      </c>
      <c r="J4704" s="43">
        <f>IF($I4703=0,0,$R4703)</f>
      </c>
      <c r="K4704" s="43">
        <f>IF($I4704=0,0,IF(INDEX(DarlOhneTilgung,10)=1,0,IF(AND(INDEX(DarlTilgStart,10)&gt;0,$E4704=INDEX(DarlTilgStart,10)),$J4704*($H4704+INDEX(DarlTilgung,10))/100/12,IF(AND($G4704=0,$G4703=1),MAX($K4703,$J4704*($H4704+1)/100/12),$K4703))))</f>
      </c>
      <c r="L4704" s="43">
        <f>IF($I4704=0,0,$J4704*$H4704/100/12)</f>
      </c>
      <c r="M4704" s="43">
        <f>IF($I4704=0,0,IF(OR(INDEX(DarlOhneTilgung,10)=1,AND(INDEX(DarlTilgStart,10)&gt;0,$E4704&lt;INDEX(DarlTilgStart,10))),0,MIN(MAX(0,$K4704-$L4704),$J4704)))</f>
      </c>
      <c r="N4704" s="43">
        <f>IF($I4704=0,0,MIN(SUMIFS(SondBetrag,SondDarl,10,SondDatum,"&gt;="&amp;$E4704,SondDatum,"&lt;="&amp;EOMONTH($E4704,0)),$J4704-$M4704))</f>
      </c>
      <c r="O4704" s="43">
        <f>IF($I4704=0,0,INDEX(DarlErsatzRate,10))</f>
      </c>
      <c r="P4704" s="43">
        <f>IF($I4704=0,0,$Q4703*INDEX(DarlErsatzZins,10))</f>
      </c>
      <c r="Q4704" s="43">
        <f>IF($I4704=0,0,$Q4703+$P4704+$O4704)</f>
      </c>
      <c r="R4704" s="43">
        <f>IF($I4704=0,0,$J4704-$M4704-$N4704)</f>
      </c>
    </row>
    <row r="4705">
      <c r="A4705"/>
      <c r="B4705">
        <v>10</v>
      </c>
      <c r="C4705" s="43">
        <f>INDEX(DarlObj,10)</f>
      </c>
      <c r="D4705">
        <v>382</v>
      </c>
      <c r="E4705" s="51">
        <f>IF(INDEX(DarlBelegt,10)=0,0,EOMONTH(INDEX(DarlAuszahlung,10),381)+1)</f>
      </c>
      <c r="F4705" s="43">
        <f>IF($E4705=0,0,YEAR($E4705))</f>
      </c>
      <c r="G4705" s="43">
        <f>IF(INDEX(DarlBindung,10)="",1,IF($E4705&lt;=INDEX(DarlBindung,10),1,0))</f>
      </c>
      <c r="H4705" s="43">
        <f>IF($G4705=1,INDEX(DarlSollzins,10),INDEX(DarlAnschluss,10))</f>
      </c>
      <c r="I4705" s="43">
        <f>IF(INDEX(DarlBelegt,10)=0,0,IF(INDEX(DarlOhneTilgung,10)=1,IF(INDEX(DarlBindung,10)="",1,$G4705),IF($J4705&gt;0.005,1,0)))</f>
      </c>
      <c r="J4705" s="43">
        <f>IF($I4704=0,0,$R4704)</f>
      </c>
      <c r="K4705" s="43">
        <f>IF($I4705=0,0,IF(INDEX(DarlOhneTilgung,10)=1,0,IF(AND(INDEX(DarlTilgStart,10)&gt;0,$E4705=INDEX(DarlTilgStart,10)),$J4705*($H4705+INDEX(DarlTilgung,10))/100/12,IF(AND($G4705=0,$G4704=1),MAX($K4704,$J4705*($H4705+1)/100/12),$K4704))))</f>
      </c>
      <c r="L4705" s="43">
        <f>IF($I4705=0,0,$J4705*$H4705/100/12)</f>
      </c>
      <c r="M4705" s="43">
        <f>IF($I4705=0,0,IF(OR(INDEX(DarlOhneTilgung,10)=1,AND(INDEX(DarlTilgStart,10)&gt;0,$E4705&lt;INDEX(DarlTilgStart,10))),0,MIN(MAX(0,$K4705-$L4705),$J4705)))</f>
      </c>
      <c r="N4705" s="43">
        <f>IF($I4705=0,0,MIN(SUMIFS(SondBetrag,SondDarl,10,SondDatum,"&gt;="&amp;$E4705,SondDatum,"&lt;="&amp;EOMONTH($E4705,0)),$J4705-$M4705))</f>
      </c>
      <c r="O4705" s="43">
        <f>IF($I4705=0,0,INDEX(DarlErsatzRate,10))</f>
      </c>
      <c r="P4705" s="43">
        <f>IF($I4705=0,0,$Q4704*INDEX(DarlErsatzZins,10))</f>
      </c>
      <c r="Q4705" s="43">
        <f>IF($I4705=0,0,$Q4704+$P4705+$O4705)</f>
      </c>
      <c r="R4705" s="43">
        <f>IF($I4705=0,0,$J4705-$M4705-$N4705)</f>
      </c>
    </row>
    <row r="4706">
      <c r="A4706"/>
      <c r="B4706">
        <v>10</v>
      </c>
      <c r="C4706" s="43">
        <f>INDEX(DarlObj,10)</f>
      </c>
      <c r="D4706">
        <v>383</v>
      </c>
      <c r="E4706" s="51">
        <f>IF(INDEX(DarlBelegt,10)=0,0,EOMONTH(INDEX(DarlAuszahlung,10),382)+1)</f>
      </c>
      <c r="F4706" s="43">
        <f>IF($E4706=0,0,YEAR($E4706))</f>
      </c>
      <c r="G4706" s="43">
        <f>IF(INDEX(DarlBindung,10)="",1,IF($E4706&lt;=INDEX(DarlBindung,10),1,0))</f>
      </c>
      <c r="H4706" s="43">
        <f>IF($G4706=1,INDEX(DarlSollzins,10),INDEX(DarlAnschluss,10))</f>
      </c>
      <c r="I4706" s="43">
        <f>IF(INDEX(DarlBelegt,10)=0,0,IF(INDEX(DarlOhneTilgung,10)=1,IF(INDEX(DarlBindung,10)="",1,$G4706),IF($J4706&gt;0.005,1,0)))</f>
      </c>
      <c r="J4706" s="43">
        <f>IF($I4705=0,0,$R4705)</f>
      </c>
      <c r="K4706" s="43">
        <f>IF($I4706=0,0,IF(INDEX(DarlOhneTilgung,10)=1,0,IF(AND(INDEX(DarlTilgStart,10)&gt;0,$E4706=INDEX(DarlTilgStart,10)),$J4706*($H4706+INDEX(DarlTilgung,10))/100/12,IF(AND($G4706=0,$G4705=1),MAX($K4705,$J4706*($H4706+1)/100/12),$K4705))))</f>
      </c>
      <c r="L4706" s="43">
        <f>IF($I4706=0,0,$J4706*$H4706/100/12)</f>
      </c>
      <c r="M4706" s="43">
        <f>IF($I4706=0,0,IF(OR(INDEX(DarlOhneTilgung,10)=1,AND(INDEX(DarlTilgStart,10)&gt;0,$E4706&lt;INDEX(DarlTilgStart,10))),0,MIN(MAX(0,$K4706-$L4706),$J4706)))</f>
      </c>
      <c r="N4706" s="43">
        <f>IF($I4706=0,0,MIN(SUMIFS(SondBetrag,SondDarl,10,SondDatum,"&gt;="&amp;$E4706,SondDatum,"&lt;="&amp;EOMONTH($E4706,0)),$J4706-$M4706))</f>
      </c>
      <c r="O4706" s="43">
        <f>IF($I4706=0,0,INDEX(DarlErsatzRate,10))</f>
      </c>
      <c r="P4706" s="43">
        <f>IF($I4706=0,0,$Q4705*INDEX(DarlErsatzZins,10))</f>
      </c>
      <c r="Q4706" s="43">
        <f>IF($I4706=0,0,$Q4705+$P4706+$O4706)</f>
      </c>
      <c r="R4706" s="43">
        <f>IF($I4706=0,0,$J4706-$M4706-$N4706)</f>
      </c>
    </row>
    <row r="4707">
      <c r="A4707"/>
      <c r="B4707">
        <v>10</v>
      </c>
      <c r="C4707" s="43">
        <f>INDEX(DarlObj,10)</f>
      </c>
      <c r="D4707">
        <v>384</v>
      </c>
      <c r="E4707" s="51">
        <f>IF(INDEX(DarlBelegt,10)=0,0,EOMONTH(INDEX(DarlAuszahlung,10),383)+1)</f>
      </c>
      <c r="F4707" s="43">
        <f>IF($E4707=0,0,YEAR($E4707))</f>
      </c>
      <c r="G4707" s="43">
        <f>IF(INDEX(DarlBindung,10)="",1,IF($E4707&lt;=INDEX(DarlBindung,10),1,0))</f>
      </c>
      <c r="H4707" s="43">
        <f>IF($G4707=1,INDEX(DarlSollzins,10),INDEX(DarlAnschluss,10))</f>
      </c>
      <c r="I4707" s="43">
        <f>IF(INDEX(DarlBelegt,10)=0,0,IF(INDEX(DarlOhneTilgung,10)=1,IF(INDEX(DarlBindung,10)="",1,$G4707),IF($J4707&gt;0.005,1,0)))</f>
      </c>
      <c r="J4707" s="43">
        <f>IF($I4706=0,0,$R4706)</f>
      </c>
      <c r="K4707" s="43">
        <f>IF($I4707=0,0,IF(INDEX(DarlOhneTilgung,10)=1,0,IF(AND(INDEX(DarlTilgStart,10)&gt;0,$E4707=INDEX(DarlTilgStart,10)),$J4707*($H4707+INDEX(DarlTilgung,10))/100/12,IF(AND($G4707=0,$G4706=1),MAX($K4706,$J4707*($H4707+1)/100/12),$K4706))))</f>
      </c>
      <c r="L4707" s="43">
        <f>IF($I4707=0,0,$J4707*$H4707/100/12)</f>
      </c>
      <c r="M4707" s="43">
        <f>IF($I4707=0,0,IF(OR(INDEX(DarlOhneTilgung,10)=1,AND(INDEX(DarlTilgStart,10)&gt;0,$E4707&lt;INDEX(DarlTilgStart,10))),0,MIN(MAX(0,$K4707-$L4707),$J4707)))</f>
      </c>
      <c r="N4707" s="43">
        <f>IF($I4707=0,0,MIN(SUMIFS(SondBetrag,SondDarl,10,SondDatum,"&gt;="&amp;$E4707,SondDatum,"&lt;="&amp;EOMONTH($E4707,0)),$J4707-$M4707))</f>
      </c>
      <c r="O4707" s="43">
        <f>IF($I4707=0,0,INDEX(DarlErsatzRate,10))</f>
      </c>
      <c r="P4707" s="43">
        <f>IF($I4707=0,0,$Q4706*INDEX(DarlErsatzZins,10))</f>
      </c>
      <c r="Q4707" s="43">
        <f>IF($I4707=0,0,$Q4706+$P4707+$O4707)</f>
      </c>
      <c r="R4707" s="43">
        <f>IF($I4707=0,0,$J4707-$M4707-$N4707)</f>
      </c>
    </row>
    <row r="4708">
      <c r="A4708"/>
      <c r="B4708">
        <v>10</v>
      </c>
      <c r="C4708" s="43">
        <f>INDEX(DarlObj,10)</f>
      </c>
      <c r="D4708">
        <v>385</v>
      </c>
      <c r="E4708" s="51">
        <f>IF(INDEX(DarlBelegt,10)=0,0,EOMONTH(INDEX(DarlAuszahlung,10),384)+1)</f>
      </c>
      <c r="F4708" s="43">
        <f>IF($E4708=0,0,YEAR($E4708))</f>
      </c>
      <c r="G4708" s="43">
        <f>IF(INDEX(DarlBindung,10)="",1,IF($E4708&lt;=INDEX(DarlBindung,10),1,0))</f>
      </c>
      <c r="H4708" s="43">
        <f>IF($G4708=1,INDEX(DarlSollzins,10),INDEX(DarlAnschluss,10))</f>
      </c>
      <c r="I4708" s="43">
        <f>IF(INDEX(DarlBelegt,10)=0,0,IF(INDEX(DarlOhneTilgung,10)=1,IF(INDEX(DarlBindung,10)="",1,$G4708),IF($J4708&gt;0.005,1,0)))</f>
      </c>
      <c r="J4708" s="43">
        <f>IF($I4707=0,0,$R4707)</f>
      </c>
      <c r="K4708" s="43">
        <f>IF($I4708=0,0,IF(INDEX(DarlOhneTilgung,10)=1,0,IF(AND(INDEX(DarlTilgStart,10)&gt;0,$E4708=INDEX(DarlTilgStart,10)),$J4708*($H4708+INDEX(DarlTilgung,10))/100/12,IF(AND($G4708=0,$G4707=1),MAX($K4707,$J4708*($H4708+1)/100/12),$K4707))))</f>
      </c>
      <c r="L4708" s="43">
        <f>IF($I4708=0,0,$J4708*$H4708/100/12)</f>
      </c>
      <c r="M4708" s="43">
        <f>IF($I4708=0,0,IF(OR(INDEX(DarlOhneTilgung,10)=1,AND(INDEX(DarlTilgStart,10)&gt;0,$E4708&lt;INDEX(DarlTilgStart,10))),0,MIN(MAX(0,$K4708-$L4708),$J4708)))</f>
      </c>
      <c r="N4708" s="43">
        <f>IF($I4708=0,0,MIN(SUMIFS(SondBetrag,SondDarl,10,SondDatum,"&gt;="&amp;$E4708,SondDatum,"&lt;="&amp;EOMONTH($E4708,0)),$J4708-$M4708))</f>
      </c>
      <c r="O4708" s="43">
        <f>IF($I4708=0,0,INDEX(DarlErsatzRate,10))</f>
      </c>
      <c r="P4708" s="43">
        <f>IF($I4708=0,0,$Q4707*INDEX(DarlErsatzZins,10))</f>
      </c>
      <c r="Q4708" s="43">
        <f>IF($I4708=0,0,$Q4707+$P4708+$O4708)</f>
      </c>
      <c r="R4708" s="43">
        <f>IF($I4708=0,0,$J4708-$M4708-$N4708)</f>
      </c>
    </row>
    <row r="4709">
      <c r="A4709"/>
      <c r="B4709">
        <v>10</v>
      </c>
      <c r="C4709" s="43">
        <f>INDEX(DarlObj,10)</f>
      </c>
      <c r="D4709">
        <v>386</v>
      </c>
      <c r="E4709" s="51">
        <f>IF(INDEX(DarlBelegt,10)=0,0,EOMONTH(INDEX(DarlAuszahlung,10),385)+1)</f>
      </c>
      <c r="F4709" s="43">
        <f>IF($E4709=0,0,YEAR($E4709))</f>
      </c>
      <c r="G4709" s="43">
        <f>IF(INDEX(DarlBindung,10)="",1,IF($E4709&lt;=INDEX(DarlBindung,10),1,0))</f>
      </c>
      <c r="H4709" s="43">
        <f>IF($G4709=1,INDEX(DarlSollzins,10),INDEX(DarlAnschluss,10))</f>
      </c>
      <c r="I4709" s="43">
        <f>IF(INDEX(DarlBelegt,10)=0,0,IF(INDEX(DarlOhneTilgung,10)=1,IF(INDEX(DarlBindung,10)="",1,$G4709),IF($J4709&gt;0.005,1,0)))</f>
      </c>
      <c r="J4709" s="43">
        <f>IF($I4708=0,0,$R4708)</f>
      </c>
      <c r="K4709" s="43">
        <f>IF($I4709=0,0,IF(INDEX(DarlOhneTilgung,10)=1,0,IF(AND(INDEX(DarlTilgStart,10)&gt;0,$E4709=INDEX(DarlTilgStart,10)),$J4709*($H4709+INDEX(DarlTilgung,10))/100/12,IF(AND($G4709=0,$G4708=1),MAX($K4708,$J4709*($H4709+1)/100/12),$K4708))))</f>
      </c>
      <c r="L4709" s="43">
        <f>IF($I4709=0,0,$J4709*$H4709/100/12)</f>
      </c>
      <c r="M4709" s="43">
        <f>IF($I4709=0,0,IF(OR(INDEX(DarlOhneTilgung,10)=1,AND(INDEX(DarlTilgStart,10)&gt;0,$E4709&lt;INDEX(DarlTilgStart,10))),0,MIN(MAX(0,$K4709-$L4709),$J4709)))</f>
      </c>
      <c r="N4709" s="43">
        <f>IF($I4709=0,0,MIN(SUMIFS(SondBetrag,SondDarl,10,SondDatum,"&gt;="&amp;$E4709,SondDatum,"&lt;="&amp;EOMONTH($E4709,0)),$J4709-$M4709))</f>
      </c>
      <c r="O4709" s="43">
        <f>IF($I4709=0,0,INDEX(DarlErsatzRate,10))</f>
      </c>
      <c r="P4709" s="43">
        <f>IF($I4709=0,0,$Q4708*INDEX(DarlErsatzZins,10))</f>
      </c>
      <c r="Q4709" s="43">
        <f>IF($I4709=0,0,$Q4708+$P4709+$O4709)</f>
      </c>
      <c r="R4709" s="43">
        <f>IF($I4709=0,0,$J4709-$M4709-$N4709)</f>
      </c>
    </row>
    <row r="4710">
      <c r="A4710"/>
      <c r="B4710">
        <v>10</v>
      </c>
      <c r="C4710" s="43">
        <f>INDEX(DarlObj,10)</f>
      </c>
      <c r="D4710">
        <v>387</v>
      </c>
      <c r="E4710" s="51">
        <f>IF(INDEX(DarlBelegt,10)=0,0,EOMONTH(INDEX(DarlAuszahlung,10),386)+1)</f>
      </c>
      <c r="F4710" s="43">
        <f>IF($E4710=0,0,YEAR($E4710))</f>
      </c>
      <c r="G4710" s="43">
        <f>IF(INDEX(DarlBindung,10)="",1,IF($E4710&lt;=INDEX(DarlBindung,10),1,0))</f>
      </c>
      <c r="H4710" s="43">
        <f>IF($G4710=1,INDEX(DarlSollzins,10),INDEX(DarlAnschluss,10))</f>
      </c>
      <c r="I4710" s="43">
        <f>IF(INDEX(DarlBelegt,10)=0,0,IF(INDEX(DarlOhneTilgung,10)=1,IF(INDEX(DarlBindung,10)="",1,$G4710),IF($J4710&gt;0.005,1,0)))</f>
      </c>
      <c r="J4710" s="43">
        <f>IF($I4709=0,0,$R4709)</f>
      </c>
      <c r="K4710" s="43">
        <f>IF($I4710=0,0,IF(INDEX(DarlOhneTilgung,10)=1,0,IF(AND(INDEX(DarlTilgStart,10)&gt;0,$E4710=INDEX(DarlTilgStart,10)),$J4710*($H4710+INDEX(DarlTilgung,10))/100/12,IF(AND($G4710=0,$G4709=1),MAX($K4709,$J4710*($H4710+1)/100/12),$K4709))))</f>
      </c>
      <c r="L4710" s="43">
        <f>IF($I4710=0,0,$J4710*$H4710/100/12)</f>
      </c>
      <c r="M4710" s="43">
        <f>IF($I4710=0,0,IF(OR(INDEX(DarlOhneTilgung,10)=1,AND(INDEX(DarlTilgStart,10)&gt;0,$E4710&lt;INDEX(DarlTilgStart,10))),0,MIN(MAX(0,$K4710-$L4710),$J4710)))</f>
      </c>
      <c r="N4710" s="43">
        <f>IF($I4710=0,0,MIN(SUMIFS(SondBetrag,SondDarl,10,SondDatum,"&gt;="&amp;$E4710,SondDatum,"&lt;="&amp;EOMONTH($E4710,0)),$J4710-$M4710))</f>
      </c>
      <c r="O4710" s="43">
        <f>IF($I4710=0,0,INDEX(DarlErsatzRate,10))</f>
      </c>
      <c r="P4710" s="43">
        <f>IF($I4710=0,0,$Q4709*INDEX(DarlErsatzZins,10))</f>
      </c>
      <c r="Q4710" s="43">
        <f>IF($I4710=0,0,$Q4709+$P4710+$O4710)</f>
      </c>
      <c r="R4710" s="43">
        <f>IF($I4710=0,0,$J4710-$M4710-$N4710)</f>
      </c>
    </row>
    <row r="4711">
      <c r="A4711"/>
      <c r="B4711">
        <v>10</v>
      </c>
      <c r="C4711" s="43">
        <f>INDEX(DarlObj,10)</f>
      </c>
      <c r="D4711">
        <v>388</v>
      </c>
      <c r="E4711" s="51">
        <f>IF(INDEX(DarlBelegt,10)=0,0,EOMONTH(INDEX(DarlAuszahlung,10),387)+1)</f>
      </c>
      <c r="F4711" s="43">
        <f>IF($E4711=0,0,YEAR($E4711))</f>
      </c>
      <c r="G4711" s="43">
        <f>IF(INDEX(DarlBindung,10)="",1,IF($E4711&lt;=INDEX(DarlBindung,10),1,0))</f>
      </c>
      <c r="H4711" s="43">
        <f>IF($G4711=1,INDEX(DarlSollzins,10),INDEX(DarlAnschluss,10))</f>
      </c>
      <c r="I4711" s="43">
        <f>IF(INDEX(DarlBelegt,10)=0,0,IF(INDEX(DarlOhneTilgung,10)=1,IF(INDEX(DarlBindung,10)="",1,$G4711),IF($J4711&gt;0.005,1,0)))</f>
      </c>
      <c r="J4711" s="43">
        <f>IF($I4710=0,0,$R4710)</f>
      </c>
      <c r="K4711" s="43">
        <f>IF($I4711=0,0,IF(INDEX(DarlOhneTilgung,10)=1,0,IF(AND(INDEX(DarlTilgStart,10)&gt;0,$E4711=INDEX(DarlTilgStart,10)),$J4711*($H4711+INDEX(DarlTilgung,10))/100/12,IF(AND($G4711=0,$G4710=1),MAX($K4710,$J4711*($H4711+1)/100/12),$K4710))))</f>
      </c>
      <c r="L4711" s="43">
        <f>IF($I4711=0,0,$J4711*$H4711/100/12)</f>
      </c>
      <c r="M4711" s="43">
        <f>IF($I4711=0,0,IF(OR(INDEX(DarlOhneTilgung,10)=1,AND(INDEX(DarlTilgStart,10)&gt;0,$E4711&lt;INDEX(DarlTilgStart,10))),0,MIN(MAX(0,$K4711-$L4711),$J4711)))</f>
      </c>
      <c r="N4711" s="43">
        <f>IF($I4711=0,0,MIN(SUMIFS(SondBetrag,SondDarl,10,SondDatum,"&gt;="&amp;$E4711,SondDatum,"&lt;="&amp;EOMONTH($E4711,0)),$J4711-$M4711))</f>
      </c>
      <c r="O4711" s="43">
        <f>IF($I4711=0,0,INDEX(DarlErsatzRate,10))</f>
      </c>
      <c r="P4711" s="43">
        <f>IF($I4711=0,0,$Q4710*INDEX(DarlErsatzZins,10))</f>
      </c>
      <c r="Q4711" s="43">
        <f>IF($I4711=0,0,$Q4710+$P4711+$O4711)</f>
      </c>
      <c r="R4711" s="43">
        <f>IF($I4711=0,0,$J4711-$M4711-$N4711)</f>
      </c>
    </row>
    <row r="4712">
      <c r="A4712"/>
      <c r="B4712">
        <v>10</v>
      </c>
      <c r="C4712" s="43">
        <f>INDEX(DarlObj,10)</f>
      </c>
      <c r="D4712">
        <v>389</v>
      </c>
      <c r="E4712" s="51">
        <f>IF(INDEX(DarlBelegt,10)=0,0,EOMONTH(INDEX(DarlAuszahlung,10),388)+1)</f>
      </c>
      <c r="F4712" s="43">
        <f>IF($E4712=0,0,YEAR($E4712))</f>
      </c>
      <c r="G4712" s="43">
        <f>IF(INDEX(DarlBindung,10)="",1,IF($E4712&lt;=INDEX(DarlBindung,10),1,0))</f>
      </c>
      <c r="H4712" s="43">
        <f>IF($G4712=1,INDEX(DarlSollzins,10),INDEX(DarlAnschluss,10))</f>
      </c>
      <c r="I4712" s="43">
        <f>IF(INDEX(DarlBelegt,10)=0,0,IF(INDEX(DarlOhneTilgung,10)=1,IF(INDEX(DarlBindung,10)="",1,$G4712),IF($J4712&gt;0.005,1,0)))</f>
      </c>
      <c r="J4712" s="43">
        <f>IF($I4711=0,0,$R4711)</f>
      </c>
      <c r="K4712" s="43">
        <f>IF($I4712=0,0,IF(INDEX(DarlOhneTilgung,10)=1,0,IF(AND(INDEX(DarlTilgStart,10)&gt;0,$E4712=INDEX(DarlTilgStart,10)),$J4712*($H4712+INDEX(DarlTilgung,10))/100/12,IF(AND($G4712=0,$G4711=1),MAX($K4711,$J4712*($H4712+1)/100/12),$K4711))))</f>
      </c>
      <c r="L4712" s="43">
        <f>IF($I4712=0,0,$J4712*$H4712/100/12)</f>
      </c>
      <c r="M4712" s="43">
        <f>IF($I4712=0,0,IF(OR(INDEX(DarlOhneTilgung,10)=1,AND(INDEX(DarlTilgStart,10)&gt;0,$E4712&lt;INDEX(DarlTilgStart,10))),0,MIN(MAX(0,$K4712-$L4712),$J4712)))</f>
      </c>
      <c r="N4712" s="43">
        <f>IF($I4712=0,0,MIN(SUMIFS(SondBetrag,SondDarl,10,SondDatum,"&gt;="&amp;$E4712,SondDatum,"&lt;="&amp;EOMONTH($E4712,0)),$J4712-$M4712))</f>
      </c>
      <c r="O4712" s="43">
        <f>IF($I4712=0,0,INDEX(DarlErsatzRate,10))</f>
      </c>
      <c r="P4712" s="43">
        <f>IF($I4712=0,0,$Q4711*INDEX(DarlErsatzZins,10))</f>
      </c>
      <c r="Q4712" s="43">
        <f>IF($I4712=0,0,$Q4711+$P4712+$O4712)</f>
      </c>
      <c r="R4712" s="43">
        <f>IF($I4712=0,0,$J4712-$M4712-$N4712)</f>
      </c>
    </row>
    <row r="4713">
      <c r="A4713"/>
      <c r="B4713">
        <v>10</v>
      </c>
      <c r="C4713" s="43">
        <f>INDEX(DarlObj,10)</f>
      </c>
      <c r="D4713">
        <v>390</v>
      </c>
      <c r="E4713" s="51">
        <f>IF(INDEX(DarlBelegt,10)=0,0,EOMONTH(INDEX(DarlAuszahlung,10),389)+1)</f>
      </c>
      <c r="F4713" s="43">
        <f>IF($E4713=0,0,YEAR($E4713))</f>
      </c>
      <c r="G4713" s="43">
        <f>IF(INDEX(DarlBindung,10)="",1,IF($E4713&lt;=INDEX(DarlBindung,10),1,0))</f>
      </c>
      <c r="H4713" s="43">
        <f>IF($G4713=1,INDEX(DarlSollzins,10),INDEX(DarlAnschluss,10))</f>
      </c>
      <c r="I4713" s="43">
        <f>IF(INDEX(DarlBelegt,10)=0,0,IF(INDEX(DarlOhneTilgung,10)=1,IF(INDEX(DarlBindung,10)="",1,$G4713),IF($J4713&gt;0.005,1,0)))</f>
      </c>
      <c r="J4713" s="43">
        <f>IF($I4712=0,0,$R4712)</f>
      </c>
      <c r="K4713" s="43">
        <f>IF($I4713=0,0,IF(INDEX(DarlOhneTilgung,10)=1,0,IF(AND(INDEX(DarlTilgStart,10)&gt;0,$E4713=INDEX(DarlTilgStart,10)),$J4713*($H4713+INDEX(DarlTilgung,10))/100/12,IF(AND($G4713=0,$G4712=1),MAX($K4712,$J4713*($H4713+1)/100/12),$K4712))))</f>
      </c>
      <c r="L4713" s="43">
        <f>IF($I4713=0,0,$J4713*$H4713/100/12)</f>
      </c>
      <c r="M4713" s="43">
        <f>IF($I4713=0,0,IF(OR(INDEX(DarlOhneTilgung,10)=1,AND(INDEX(DarlTilgStart,10)&gt;0,$E4713&lt;INDEX(DarlTilgStart,10))),0,MIN(MAX(0,$K4713-$L4713),$J4713)))</f>
      </c>
      <c r="N4713" s="43">
        <f>IF($I4713=0,0,MIN(SUMIFS(SondBetrag,SondDarl,10,SondDatum,"&gt;="&amp;$E4713,SondDatum,"&lt;="&amp;EOMONTH($E4713,0)),$J4713-$M4713))</f>
      </c>
      <c r="O4713" s="43">
        <f>IF($I4713=0,0,INDEX(DarlErsatzRate,10))</f>
      </c>
      <c r="P4713" s="43">
        <f>IF($I4713=0,0,$Q4712*INDEX(DarlErsatzZins,10))</f>
      </c>
      <c r="Q4713" s="43">
        <f>IF($I4713=0,0,$Q4712+$P4713+$O4713)</f>
      </c>
      <c r="R4713" s="43">
        <f>IF($I4713=0,0,$J4713-$M4713-$N4713)</f>
      </c>
    </row>
    <row r="4714">
      <c r="A4714"/>
      <c r="B4714">
        <v>10</v>
      </c>
      <c r="C4714" s="43">
        <f>INDEX(DarlObj,10)</f>
      </c>
      <c r="D4714">
        <v>391</v>
      </c>
      <c r="E4714" s="51">
        <f>IF(INDEX(DarlBelegt,10)=0,0,EOMONTH(INDEX(DarlAuszahlung,10),390)+1)</f>
      </c>
      <c r="F4714" s="43">
        <f>IF($E4714=0,0,YEAR($E4714))</f>
      </c>
      <c r="G4714" s="43">
        <f>IF(INDEX(DarlBindung,10)="",1,IF($E4714&lt;=INDEX(DarlBindung,10),1,0))</f>
      </c>
      <c r="H4714" s="43">
        <f>IF($G4714=1,INDEX(DarlSollzins,10),INDEX(DarlAnschluss,10))</f>
      </c>
      <c r="I4714" s="43">
        <f>IF(INDEX(DarlBelegt,10)=0,0,IF(INDEX(DarlOhneTilgung,10)=1,IF(INDEX(DarlBindung,10)="",1,$G4714),IF($J4714&gt;0.005,1,0)))</f>
      </c>
      <c r="J4714" s="43">
        <f>IF($I4713=0,0,$R4713)</f>
      </c>
      <c r="K4714" s="43">
        <f>IF($I4714=0,0,IF(INDEX(DarlOhneTilgung,10)=1,0,IF(AND(INDEX(DarlTilgStart,10)&gt;0,$E4714=INDEX(DarlTilgStart,10)),$J4714*($H4714+INDEX(DarlTilgung,10))/100/12,IF(AND($G4714=0,$G4713=1),MAX($K4713,$J4714*($H4714+1)/100/12),$K4713))))</f>
      </c>
      <c r="L4714" s="43">
        <f>IF($I4714=0,0,$J4714*$H4714/100/12)</f>
      </c>
      <c r="M4714" s="43">
        <f>IF($I4714=0,0,IF(OR(INDEX(DarlOhneTilgung,10)=1,AND(INDEX(DarlTilgStart,10)&gt;0,$E4714&lt;INDEX(DarlTilgStart,10))),0,MIN(MAX(0,$K4714-$L4714),$J4714)))</f>
      </c>
      <c r="N4714" s="43">
        <f>IF($I4714=0,0,MIN(SUMIFS(SondBetrag,SondDarl,10,SondDatum,"&gt;="&amp;$E4714,SondDatum,"&lt;="&amp;EOMONTH($E4714,0)),$J4714-$M4714))</f>
      </c>
      <c r="O4714" s="43">
        <f>IF($I4714=0,0,INDEX(DarlErsatzRate,10))</f>
      </c>
      <c r="P4714" s="43">
        <f>IF($I4714=0,0,$Q4713*INDEX(DarlErsatzZins,10))</f>
      </c>
      <c r="Q4714" s="43">
        <f>IF($I4714=0,0,$Q4713+$P4714+$O4714)</f>
      </c>
      <c r="R4714" s="43">
        <f>IF($I4714=0,0,$J4714-$M4714-$N4714)</f>
      </c>
    </row>
    <row r="4715">
      <c r="A4715"/>
      <c r="B4715">
        <v>10</v>
      </c>
      <c r="C4715" s="43">
        <f>INDEX(DarlObj,10)</f>
      </c>
      <c r="D4715">
        <v>392</v>
      </c>
      <c r="E4715" s="51">
        <f>IF(INDEX(DarlBelegt,10)=0,0,EOMONTH(INDEX(DarlAuszahlung,10),391)+1)</f>
      </c>
      <c r="F4715" s="43">
        <f>IF($E4715=0,0,YEAR($E4715))</f>
      </c>
      <c r="G4715" s="43">
        <f>IF(INDEX(DarlBindung,10)="",1,IF($E4715&lt;=INDEX(DarlBindung,10),1,0))</f>
      </c>
      <c r="H4715" s="43">
        <f>IF($G4715=1,INDEX(DarlSollzins,10),INDEX(DarlAnschluss,10))</f>
      </c>
      <c r="I4715" s="43">
        <f>IF(INDEX(DarlBelegt,10)=0,0,IF(INDEX(DarlOhneTilgung,10)=1,IF(INDEX(DarlBindung,10)="",1,$G4715),IF($J4715&gt;0.005,1,0)))</f>
      </c>
      <c r="J4715" s="43">
        <f>IF($I4714=0,0,$R4714)</f>
      </c>
      <c r="K4715" s="43">
        <f>IF($I4715=0,0,IF(INDEX(DarlOhneTilgung,10)=1,0,IF(AND(INDEX(DarlTilgStart,10)&gt;0,$E4715=INDEX(DarlTilgStart,10)),$J4715*($H4715+INDEX(DarlTilgung,10))/100/12,IF(AND($G4715=0,$G4714=1),MAX($K4714,$J4715*($H4715+1)/100/12),$K4714))))</f>
      </c>
      <c r="L4715" s="43">
        <f>IF($I4715=0,0,$J4715*$H4715/100/12)</f>
      </c>
      <c r="M4715" s="43">
        <f>IF($I4715=0,0,IF(OR(INDEX(DarlOhneTilgung,10)=1,AND(INDEX(DarlTilgStart,10)&gt;0,$E4715&lt;INDEX(DarlTilgStart,10))),0,MIN(MAX(0,$K4715-$L4715),$J4715)))</f>
      </c>
      <c r="N4715" s="43">
        <f>IF($I4715=0,0,MIN(SUMIFS(SondBetrag,SondDarl,10,SondDatum,"&gt;="&amp;$E4715,SondDatum,"&lt;="&amp;EOMONTH($E4715,0)),$J4715-$M4715))</f>
      </c>
      <c r="O4715" s="43">
        <f>IF($I4715=0,0,INDEX(DarlErsatzRate,10))</f>
      </c>
      <c r="P4715" s="43">
        <f>IF($I4715=0,0,$Q4714*INDEX(DarlErsatzZins,10))</f>
      </c>
      <c r="Q4715" s="43">
        <f>IF($I4715=0,0,$Q4714+$P4715+$O4715)</f>
      </c>
      <c r="R4715" s="43">
        <f>IF($I4715=0,0,$J4715-$M4715-$N4715)</f>
      </c>
    </row>
    <row r="4716">
      <c r="A4716"/>
      <c r="B4716">
        <v>10</v>
      </c>
      <c r="C4716" s="43">
        <f>INDEX(DarlObj,10)</f>
      </c>
      <c r="D4716">
        <v>393</v>
      </c>
      <c r="E4716" s="51">
        <f>IF(INDEX(DarlBelegt,10)=0,0,EOMONTH(INDEX(DarlAuszahlung,10),392)+1)</f>
      </c>
      <c r="F4716" s="43">
        <f>IF($E4716=0,0,YEAR($E4716))</f>
      </c>
      <c r="G4716" s="43">
        <f>IF(INDEX(DarlBindung,10)="",1,IF($E4716&lt;=INDEX(DarlBindung,10),1,0))</f>
      </c>
      <c r="H4716" s="43">
        <f>IF($G4716=1,INDEX(DarlSollzins,10),INDEX(DarlAnschluss,10))</f>
      </c>
      <c r="I4716" s="43">
        <f>IF(INDEX(DarlBelegt,10)=0,0,IF(INDEX(DarlOhneTilgung,10)=1,IF(INDEX(DarlBindung,10)="",1,$G4716),IF($J4716&gt;0.005,1,0)))</f>
      </c>
      <c r="J4716" s="43">
        <f>IF($I4715=0,0,$R4715)</f>
      </c>
      <c r="K4716" s="43">
        <f>IF($I4716=0,0,IF(INDEX(DarlOhneTilgung,10)=1,0,IF(AND(INDEX(DarlTilgStart,10)&gt;0,$E4716=INDEX(DarlTilgStart,10)),$J4716*($H4716+INDEX(DarlTilgung,10))/100/12,IF(AND($G4716=0,$G4715=1),MAX($K4715,$J4716*($H4716+1)/100/12),$K4715))))</f>
      </c>
      <c r="L4716" s="43">
        <f>IF($I4716=0,0,$J4716*$H4716/100/12)</f>
      </c>
      <c r="M4716" s="43">
        <f>IF($I4716=0,0,IF(OR(INDEX(DarlOhneTilgung,10)=1,AND(INDEX(DarlTilgStart,10)&gt;0,$E4716&lt;INDEX(DarlTilgStart,10))),0,MIN(MAX(0,$K4716-$L4716),$J4716)))</f>
      </c>
      <c r="N4716" s="43">
        <f>IF($I4716=0,0,MIN(SUMIFS(SondBetrag,SondDarl,10,SondDatum,"&gt;="&amp;$E4716,SondDatum,"&lt;="&amp;EOMONTH($E4716,0)),$J4716-$M4716))</f>
      </c>
      <c r="O4716" s="43">
        <f>IF($I4716=0,0,INDEX(DarlErsatzRate,10))</f>
      </c>
      <c r="P4716" s="43">
        <f>IF($I4716=0,0,$Q4715*INDEX(DarlErsatzZins,10))</f>
      </c>
      <c r="Q4716" s="43">
        <f>IF($I4716=0,0,$Q4715+$P4716+$O4716)</f>
      </c>
      <c r="R4716" s="43">
        <f>IF($I4716=0,0,$J4716-$M4716-$N4716)</f>
      </c>
    </row>
    <row r="4717">
      <c r="A4717"/>
      <c r="B4717">
        <v>10</v>
      </c>
      <c r="C4717" s="43">
        <f>INDEX(DarlObj,10)</f>
      </c>
      <c r="D4717">
        <v>394</v>
      </c>
      <c r="E4717" s="51">
        <f>IF(INDEX(DarlBelegt,10)=0,0,EOMONTH(INDEX(DarlAuszahlung,10),393)+1)</f>
      </c>
      <c r="F4717" s="43">
        <f>IF($E4717=0,0,YEAR($E4717))</f>
      </c>
      <c r="G4717" s="43">
        <f>IF(INDEX(DarlBindung,10)="",1,IF($E4717&lt;=INDEX(DarlBindung,10),1,0))</f>
      </c>
      <c r="H4717" s="43">
        <f>IF($G4717=1,INDEX(DarlSollzins,10),INDEX(DarlAnschluss,10))</f>
      </c>
      <c r="I4717" s="43">
        <f>IF(INDEX(DarlBelegt,10)=0,0,IF(INDEX(DarlOhneTilgung,10)=1,IF(INDEX(DarlBindung,10)="",1,$G4717),IF($J4717&gt;0.005,1,0)))</f>
      </c>
      <c r="J4717" s="43">
        <f>IF($I4716=0,0,$R4716)</f>
      </c>
      <c r="K4717" s="43">
        <f>IF($I4717=0,0,IF(INDEX(DarlOhneTilgung,10)=1,0,IF(AND(INDEX(DarlTilgStart,10)&gt;0,$E4717=INDEX(DarlTilgStart,10)),$J4717*($H4717+INDEX(DarlTilgung,10))/100/12,IF(AND($G4717=0,$G4716=1),MAX($K4716,$J4717*($H4717+1)/100/12),$K4716))))</f>
      </c>
      <c r="L4717" s="43">
        <f>IF($I4717=0,0,$J4717*$H4717/100/12)</f>
      </c>
      <c r="M4717" s="43">
        <f>IF($I4717=0,0,IF(OR(INDEX(DarlOhneTilgung,10)=1,AND(INDEX(DarlTilgStart,10)&gt;0,$E4717&lt;INDEX(DarlTilgStart,10))),0,MIN(MAX(0,$K4717-$L4717),$J4717)))</f>
      </c>
      <c r="N4717" s="43">
        <f>IF($I4717=0,0,MIN(SUMIFS(SondBetrag,SondDarl,10,SondDatum,"&gt;="&amp;$E4717,SondDatum,"&lt;="&amp;EOMONTH($E4717,0)),$J4717-$M4717))</f>
      </c>
      <c r="O4717" s="43">
        <f>IF($I4717=0,0,INDEX(DarlErsatzRate,10))</f>
      </c>
      <c r="P4717" s="43">
        <f>IF($I4717=0,0,$Q4716*INDEX(DarlErsatzZins,10))</f>
      </c>
      <c r="Q4717" s="43">
        <f>IF($I4717=0,0,$Q4716+$P4717+$O4717)</f>
      </c>
      <c r="R4717" s="43">
        <f>IF($I4717=0,0,$J4717-$M4717-$N4717)</f>
      </c>
    </row>
    <row r="4718">
      <c r="A4718"/>
      <c r="B4718">
        <v>10</v>
      </c>
      <c r="C4718" s="43">
        <f>INDEX(DarlObj,10)</f>
      </c>
      <c r="D4718">
        <v>395</v>
      </c>
      <c r="E4718" s="51">
        <f>IF(INDEX(DarlBelegt,10)=0,0,EOMONTH(INDEX(DarlAuszahlung,10),394)+1)</f>
      </c>
      <c r="F4718" s="43">
        <f>IF($E4718=0,0,YEAR($E4718))</f>
      </c>
      <c r="G4718" s="43">
        <f>IF(INDEX(DarlBindung,10)="",1,IF($E4718&lt;=INDEX(DarlBindung,10),1,0))</f>
      </c>
      <c r="H4718" s="43">
        <f>IF($G4718=1,INDEX(DarlSollzins,10),INDEX(DarlAnschluss,10))</f>
      </c>
      <c r="I4718" s="43">
        <f>IF(INDEX(DarlBelegt,10)=0,0,IF(INDEX(DarlOhneTilgung,10)=1,IF(INDEX(DarlBindung,10)="",1,$G4718),IF($J4718&gt;0.005,1,0)))</f>
      </c>
      <c r="J4718" s="43">
        <f>IF($I4717=0,0,$R4717)</f>
      </c>
      <c r="K4718" s="43">
        <f>IF($I4718=0,0,IF(INDEX(DarlOhneTilgung,10)=1,0,IF(AND(INDEX(DarlTilgStart,10)&gt;0,$E4718=INDEX(DarlTilgStart,10)),$J4718*($H4718+INDEX(DarlTilgung,10))/100/12,IF(AND($G4718=0,$G4717=1),MAX($K4717,$J4718*($H4718+1)/100/12),$K4717))))</f>
      </c>
      <c r="L4718" s="43">
        <f>IF($I4718=0,0,$J4718*$H4718/100/12)</f>
      </c>
      <c r="M4718" s="43">
        <f>IF($I4718=0,0,IF(OR(INDEX(DarlOhneTilgung,10)=1,AND(INDEX(DarlTilgStart,10)&gt;0,$E4718&lt;INDEX(DarlTilgStart,10))),0,MIN(MAX(0,$K4718-$L4718),$J4718)))</f>
      </c>
      <c r="N4718" s="43">
        <f>IF($I4718=0,0,MIN(SUMIFS(SondBetrag,SondDarl,10,SondDatum,"&gt;="&amp;$E4718,SondDatum,"&lt;="&amp;EOMONTH($E4718,0)),$J4718-$M4718))</f>
      </c>
      <c r="O4718" s="43">
        <f>IF($I4718=0,0,INDEX(DarlErsatzRate,10))</f>
      </c>
      <c r="P4718" s="43">
        <f>IF($I4718=0,0,$Q4717*INDEX(DarlErsatzZins,10))</f>
      </c>
      <c r="Q4718" s="43">
        <f>IF($I4718=0,0,$Q4717+$P4718+$O4718)</f>
      </c>
      <c r="R4718" s="43">
        <f>IF($I4718=0,0,$J4718-$M4718-$N4718)</f>
      </c>
    </row>
    <row r="4719">
      <c r="A4719"/>
      <c r="B4719">
        <v>10</v>
      </c>
      <c r="C4719" s="43">
        <f>INDEX(DarlObj,10)</f>
      </c>
      <c r="D4719">
        <v>396</v>
      </c>
      <c r="E4719" s="51">
        <f>IF(INDEX(DarlBelegt,10)=0,0,EOMONTH(INDEX(DarlAuszahlung,10),395)+1)</f>
      </c>
      <c r="F4719" s="43">
        <f>IF($E4719=0,0,YEAR($E4719))</f>
      </c>
      <c r="G4719" s="43">
        <f>IF(INDEX(DarlBindung,10)="",1,IF($E4719&lt;=INDEX(DarlBindung,10),1,0))</f>
      </c>
      <c r="H4719" s="43">
        <f>IF($G4719=1,INDEX(DarlSollzins,10),INDEX(DarlAnschluss,10))</f>
      </c>
      <c r="I4719" s="43">
        <f>IF(INDEX(DarlBelegt,10)=0,0,IF(INDEX(DarlOhneTilgung,10)=1,IF(INDEX(DarlBindung,10)="",1,$G4719),IF($J4719&gt;0.005,1,0)))</f>
      </c>
      <c r="J4719" s="43">
        <f>IF($I4718=0,0,$R4718)</f>
      </c>
      <c r="K4719" s="43">
        <f>IF($I4719=0,0,IF(INDEX(DarlOhneTilgung,10)=1,0,IF(AND(INDEX(DarlTilgStart,10)&gt;0,$E4719=INDEX(DarlTilgStart,10)),$J4719*($H4719+INDEX(DarlTilgung,10))/100/12,IF(AND($G4719=0,$G4718=1),MAX($K4718,$J4719*($H4719+1)/100/12),$K4718))))</f>
      </c>
      <c r="L4719" s="43">
        <f>IF($I4719=0,0,$J4719*$H4719/100/12)</f>
      </c>
      <c r="M4719" s="43">
        <f>IF($I4719=0,0,IF(OR(INDEX(DarlOhneTilgung,10)=1,AND(INDEX(DarlTilgStart,10)&gt;0,$E4719&lt;INDEX(DarlTilgStart,10))),0,MIN(MAX(0,$K4719-$L4719),$J4719)))</f>
      </c>
      <c r="N4719" s="43">
        <f>IF($I4719=0,0,MIN(SUMIFS(SondBetrag,SondDarl,10,SondDatum,"&gt;="&amp;$E4719,SondDatum,"&lt;="&amp;EOMONTH($E4719,0)),$J4719-$M4719))</f>
      </c>
      <c r="O4719" s="43">
        <f>IF($I4719=0,0,INDEX(DarlErsatzRate,10))</f>
      </c>
      <c r="P4719" s="43">
        <f>IF($I4719=0,0,$Q4718*INDEX(DarlErsatzZins,10))</f>
      </c>
      <c r="Q4719" s="43">
        <f>IF($I4719=0,0,$Q4718+$P4719+$O4719)</f>
      </c>
      <c r="R4719" s="43">
        <f>IF($I4719=0,0,$J4719-$M4719-$N4719)</f>
      </c>
    </row>
    <row r="4720">
      <c r="A4720"/>
      <c r="B4720">
        <v>10</v>
      </c>
      <c r="C4720" s="43">
        <f>INDEX(DarlObj,10)</f>
      </c>
      <c r="D4720">
        <v>397</v>
      </c>
      <c r="E4720" s="51">
        <f>IF(INDEX(DarlBelegt,10)=0,0,EOMONTH(INDEX(DarlAuszahlung,10),396)+1)</f>
      </c>
      <c r="F4720" s="43">
        <f>IF($E4720=0,0,YEAR($E4720))</f>
      </c>
      <c r="G4720" s="43">
        <f>IF(INDEX(DarlBindung,10)="",1,IF($E4720&lt;=INDEX(DarlBindung,10),1,0))</f>
      </c>
      <c r="H4720" s="43">
        <f>IF($G4720=1,INDEX(DarlSollzins,10),INDEX(DarlAnschluss,10))</f>
      </c>
      <c r="I4720" s="43">
        <f>IF(INDEX(DarlBelegt,10)=0,0,IF(INDEX(DarlOhneTilgung,10)=1,IF(INDEX(DarlBindung,10)="",1,$G4720),IF($J4720&gt;0.005,1,0)))</f>
      </c>
      <c r="J4720" s="43">
        <f>IF($I4719=0,0,$R4719)</f>
      </c>
      <c r="K4720" s="43">
        <f>IF($I4720=0,0,IF(INDEX(DarlOhneTilgung,10)=1,0,IF(AND(INDEX(DarlTilgStart,10)&gt;0,$E4720=INDEX(DarlTilgStart,10)),$J4720*($H4720+INDEX(DarlTilgung,10))/100/12,IF(AND($G4720=0,$G4719=1),MAX($K4719,$J4720*($H4720+1)/100/12),$K4719))))</f>
      </c>
      <c r="L4720" s="43">
        <f>IF($I4720=0,0,$J4720*$H4720/100/12)</f>
      </c>
      <c r="M4720" s="43">
        <f>IF($I4720=0,0,IF(OR(INDEX(DarlOhneTilgung,10)=1,AND(INDEX(DarlTilgStart,10)&gt;0,$E4720&lt;INDEX(DarlTilgStart,10))),0,MIN(MAX(0,$K4720-$L4720),$J4720)))</f>
      </c>
      <c r="N4720" s="43">
        <f>IF($I4720=0,0,MIN(SUMIFS(SondBetrag,SondDarl,10,SondDatum,"&gt;="&amp;$E4720,SondDatum,"&lt;="&amp;EOMONTH($E4720,0)),$J4720-$M4720))</f>
      </c>
      <c r="O4720" s="43">
        <f>IF($I4720=0,0,INDEX(DarlErsatzRate,10))</f>
      </c>
      <c r="P4720" s="43">
        <f>IF($I4720=0,0,$Q4719*INDEX(DarlErsatzZins,10))</f>
      </c>
      <c r="Q4720" s="43">
        <f>IF($I4720=0,0,$Q4719+$P4720+$O4720)</f>
      </c>
      <c r="R4720" s="43">
        <f>IF($I4720=0,0,$J4720-$M4720-$N4720)</f>
      </c>
    </row>
    <row r="4721">
      <c r="A4721"/>
      <c r="B4721">
        <v>10</v>
      </c>
      <c r="C4721" s="43">
        <f>INDEX(DarlObj,10)</f>
      </c>
      <c r="D4721">
        <v>398</v>
      </c>
      <c r="E4721" s="51">
        <f>IF(INDEX(DarlBelegt,10)=0,0,EOMONTH(INDEX(DarlAuszahlung,10),397)+1)</f>
      </c>
      <c r="F4721" s="43">
        <f>IF($E4721=0,0,YEAR($E4721))</f>
      </c>
      <c r="G4721" s="43">
        <f>IF(INDEX(DarlBindung,10)="",1,IF($E4721&lt;=INDEX(DarlBindung,10),1,0))</f>
      </c>
      <c r="H4721" s="43">
        <f>IF($G4721=1,INDEX(DarlSollzins,10),INDEX(DarlAnschluss,10))</f>
      </c>
      <c r="I4721" s="43">
        <f>IF(INDEX(DarlBelegt,10)=0,0,IF(INDEX(DarlOhneTilgung,10)=1,IF(INDEX(DarlBindung,10)="",1,$G4721),IF($J4721&gt;0.005,1,0)))</f>
      </c>
      <c r="J4721" s="43">
        <f>IF($I4720=0,0,$R4720)</f>
      </c>
      <c r="K4721" s="43">
        <f>IF($I4721=0,0,IF(INDEX(DarlOhneTilgung,10)=1,0,IF(AND(INDEX(DarlTilgStart,10)&gt;0,$E4721=INDEX(DarlTilgStart,10)),$J4721*($H4721+INDEX(DarlTilgung,10))/100/12,IF(AND($G4721=0,$G4720=1),MAX($K4720,$J4721*($H4721+1)/100/12),$K4720))))</f>
      </c>
      <c r="L4721" s="43">
        <f>IF($I4721=0,0,$J4721*$H4721/100/12)</f>
      </c>
      <c r="M4721" s="43">
        <f>IF($I4721=0,0,IF(OR(INDEX(DarlOhneTilgung,10)=1,AND(INDEX(DarlTilgStart,10)&gt;0,$E4721&lt;INDEX(DarlTilgStart,10))),0,MIN(MAX(0,$K4721-$L4721),$J4721)))</f>
      </c>
      <c r="N4721" s="43">
        <f>IF($I4721=0,0,MIN(SUMIFS(SondBetrag,SondDarl,10,SondDatum,"&gt;="&amp;$E4721,SondDatum,"&lt;="&amp;EOMONTH($E4721,0)),$J4721-$M4721))</f>
      </c>
      <c r="O4721" s="43">
        <f>IF($I4721=0,0,INDEX(DarlErsatzRate,10))</f>
      </c>
      <c r="P4721" s="43">
        <f>IF($I4721=0,0,$Q4720*INDEX(DarlErsatzZins,10))</f>
      </c>
      <c r="Q4721" s="43">
        <f>IF($I4721=0,0,$Q4720+$P4721+$O4721)</f>
      </c>
      <c r="R4721" s="43">
        <f>IF($I4721=0,0,$J4721-$M4721-$N4721)</f>
      </c>
    </row>
    <row r="4722">
      <c r="A4722"/>
      <c r="B4722">
        <v>10</v>
      </c>
      <c r="C4722" s="43">
        <f>INDEX(DarlObj,10)</f>
      </c>
      <c r="D4722">
        <v>399</v>
      </c>
      <c r="E4722" s="51">
        <f>IF(INDEX(DarlBelegt,10)=0,0,EOMONTH(INDEX(DarlAuszahlung,10),398)+1)</f>
      </c>
      <c r="F4722" s="43">
        <f>IF($E4722=0,0,YEAR($E4722))</f>
      </c>
      <c r="G4722" s="43">
        <f>IF(INDEX(DarlBindung,10)="",1,IF($E4722&lt;=INDEX(DarlBindung,10),1,0))</f>
      </c>
      <c r="H4722" s="43">
        <f>IF($G4722=1,INDEX(DarlSollzins,10),INDEX(DarlAnschluss,10))</f>
      </c>
      <c r="I4722" s="43">
        <f>IF(INDEX(DarlBelegt,10)=0,0,IF(INDEX(DarlOhneTilgung,10)=1,IF(INDEX(DarlBindung,10)="",1,$G4722),IF($J4722&gt;0.005,1,0)))</f>
      </c>
      <c r="J4722" s="43">
        <f>IF($I4721=0,0,$R4721)</f>
      </c>
      <c r="K4722" s="43">
        <f>IF($I4722=0,0,IF(INDEX(DarlOhneTilgung,10)=1,0,IF(AND(INDEX(DarlTilgStart,10)&gt;0,$E4722=INDEX(DarlTilgStart,10)),$J4722*($H4722+INDEX(DarlTilgung,10))/100/12,IF(AND($G4722=0,$G4721=1),MAX($K4721,$J4722*($H4722+1)/100/12),$K4721))))</f>
      </c>
      <c r="L4722" s="43">
        <f>IF($I4722=0,0,$J4722*$H4722/100/12)</f>
      </c>
      <c r="M4722" s="43">
        <f>IF($I4722=0,0,IF(OR(INDEX(DarlOhneTilgung,10)=1,AND(INDEX(DarlTilgStart,10)&gt;0,$E4722&lt;INDEX(DarlTilgStart,10))),0,MIN(MAX(0,$K4722-$L4722),$J4722)))</f>
      </c>
      <c r="N4722" s="43">
        <f>IF($I4722=0,0,MIN(SUMIFS(SondBetrag,SondDarl,10,SondDatum,"&gt;="&amp;$E4722,SondDatum,"&lt;="&amp;EOMONTH($E4722,0)),$J4722-$M4722))</f>
      </c>
      <c r="O4722" s="43">
        <f>IF($I4722=0,0,INDEX(DarlErsatzRate,10))</f>
      </c>
      <c r="P4722" s="43">
        <f>IF($I4722=0,0,$Q4721*INDEX(DarlErsatzZins,10))</f>
      </c>
      <c r="Q4722" s="43">
        <f>IF($I4722=0,0,$Q4721+$P4722+$O4722)</f>
      </c>
      <c r="R4722" s="43">
        <f>IF($I4722=0,0,$J4722-$M4722-$N4722)</f>
      </c>
    </row>
    <row r="4723">
      <c r="A4723"/>
      <c r="B4723">
        <v>10</v>
      </c>
      <c r="C4723" s="43">
        <f>INDEX(DarlObj,10)</f>
      </c>
      <c r="D4723">
        <v>400</v>
      </c>
      <c r="E4723" s="51">
        <f>IF(INDEX(DarlBelegt,10)=0,0,EOMONTH(INDEX(DarlAuszahlung,10),399)+1)</f>
      </c>
      <c r="F4723" s="43">
        <f>IF($E4723=0,0,YEAR($E4723))</f>
      </c>
      <c r="G4723" s="43">
        <f>IF(INDEX(DarlBindung,10)="",1,IF($E4723&lt;=INDEX(DarlBindung,10),1,0))</f>
      </c>
      <c r="H4723" s="43">
        <f>IF($G4723=1,INDEX(DarlSollzins,10),INDEX(DarlAnschluss,10))</f>
      </c>
      <c r="I4723" s="43">
        <f>IF(INDEX(DarlBelegt,10)=0,0,IF(INDEX(DarlOhneTilgung,10)=1,IF(INDEX(DarlBindung,10)="",1,$G4723),IF($J4723&gt;0.005,1,0)))</f>
      </c>
      <c r="J4723" s="43">
        <f>IF($I4722=0,0,$R4722)</f>
      </c>
      <c r="K4723" s="43">
        <f>IF($I4723=0,0,IF(INDEX(DarlOhneTilgung,10)=1,0,IF(AND(INDEX(DarlTilgStart,10)&gt;0,$E4723=INDEX(DarlTilgStart,10)),$J4723*($H4723+INDEX(DarlTilgung,10))/100/12,IF(AND($G4723=0,$G4722=1),MAX($K4722,$J4723*($H4723+1)/100/12),$K4722))))</f>
      </c>
      <c r="L4723" s="43">
        <f>IF($I4723=0,0,$J4723*$H4723/100/12)</f>
      </c>
      <c r="M4723" s="43">
        <f>IF($I4723=0,0,IF(OR(INDEX(DarlOhneTilgung,10)=1,AND(INDEX(DarlTilgStart,10)&gt;0,$E4723&lt;INDEX(DarlTilgStart,10))),0,MIN(MAX(0,$K4723-$L4723),$J4723)))</f>
      </c>
      <c r="N4723" s="43">
        <f>IF($I4723=0,0,MIN(SUMIFS(SondBetrag,SondDarl,10,SondDatum,"&gt;="&amp;$E4723,SondDatum,"&lt;="&amp;EOMONTH($E4723,0)),$J4723-$M4723))</f>
      </c>
      <c r="O4723" s="43">
        <f>IF($I4723=0,0,INDEX(DarlErsatzRate,10))</f>
      </c>
      <c r="P4723" s="43">
        <f>IF($I4723=0,0,$Q4722*INDEX(DarlErsatzZins,10))</f>
      </c>
      <c r="Q4723" s="43">
        <f>IF($I4723=0,0,$Q4722+$P4723+$O4723)</f>
      </c>
      <c r="R4723" s="43">
        <f>IF($I4723=0,0,$J4723-$M4723-$N4723)</f>
      </c>
    </row>
    <row r="4724">
      <c r="A4724"/>
      <c r="B4724">
        <v>10</v>
      </c>
      <c r="C4724" s="43">
        <f>INDEX(DarlObj,10)</f>
      </c>
      <c r="D4724">
        <v>401</v>
      </c>
      <c r="E4724" s="51">
        <f>IF(INDEX(DarlBelegt,10)=0,0,EOMONTH(INDEX(DarlAuszahlung,10),400)+1)</f>
      </c>
      <c r="F4724" s="43">
        <f>IF($E4724=0,0,YEAR($E4724))</f>
      </c>
      <c r="G4724" s="43">
        <f>IF(INDEX(DarlBindung,10)="",1,IF($E4724&lt;=INDEX(DarlBindung,10),1,0))</f>
      </c>
      <c r="H4724" s="43">
        <f>IF($G4724=1,INDEX(DarlSollzins,10),INDEX(DarlAnschluss,10))</f>
      </c>
      <c r="I4724" s="43">
        <f>IF(INDEX(DarlBelegt,10)=0,0,IF(INDEX(DarlOhneTilgung,10)=1,IF(INDEX(DarlBindung,10)="",1,$G4724),IF($J4724&gt;0.005,1,0)))</f>
      </c>
      <c r="J4724" s="43">
        <f>IF($I4723=0,0,$R4723)</f>
      </c>
      <c r="K4724" s="43">
        <f>IF($I4724=0,0,IF(INDEX(DarlOhneTilgung,10)=1,0,IF(AND(INDEX(DarlTilgStart,10)&gt;0,$E4724=INDEX(DarlTilgStart,10)),$J4724*($H4724+INDEX(DarlTilgung,10))/100/12,IF(AND($G4724=0,$G4723=1),MAX($K4723,$J4724*($H4724+1)/100/12),$K4723))))</f>
      </c>
      <c r="L4724" s="43">
        <f>IF($I4724=0,0,$J4724*$H4724/100/12)</f>
      </c>
      <c r="M4724" s="43">
        <f>IF($I4724=0,0,IF(OR(INDEX(DarlOhneTilgung,10)=1,AND(INDEX(DarlTilgStart,10)&gt;0,$E4724&lt;INDEX(DarlTilgStart,10))),0,MIN(MAX(0,$K4724-$L4724),$J4724)))</f>
      </c>
      <c r="N4724" s="43">
        <f>IF($I4724=0,0,MIN(SUMIFS(SondBetrag,SondDarl,10,SondDatum,"&gt;="&amp;$E4724,SondDatum,"&lt;="&amp;EOMONTH($E4724,0)),$J4724-$M4724))</f>
      </c>
      <c r="O4724" s="43">
        <f>IF($I4724=0,0,INDEX(DarlErsatzRate,10))</f>
      </c>
      <c r="P4724" s="43">
        <f>IF($I4724=0,0,$Q4723*INDEX(DarlErsatzZins,10))</f>
      </c>
      <c r="Q4724" s="43">
        <f>IF($I4724=0,0,$Q4723+$P4724+$O4724)</f>
      </c>
      <c r="R4724" s="43">
        <f>IF($I4724=0,0,$J4724-$M4724-$N4724)</f>
      </c>
    </row>
    <row r="4725">
      <c r="A4725"/>
      <c r="B4725">
        <v>10</v>
      </c>
      <c r="C4725" s="43">
        <f>INDEX(DarlObj,10)</f>
      </c>
      <c r="D4725">
        <v>402</v>
      </c>
      <c r="E4725" s="51">
        <f>IF(INDEX(DarlBelegt,10)=0,0,EOMONTH(INDEX(DarlAuszahlung,10),401)+1)</f>
      </c>
      <c r="F4725" s="43">
        <f>IF($E4725=0,0,YEAR($E4725))</f>
      </c>
      <c r="G4725" s="43">
        <f>IF(INDEX(DarlBindung,10)="",1,IF($E4725&lt;=INDEX(DarlBindung,10),1,0))</f>
      </c>
      <c r="H4725" s="43">
        <f>IF($G4725=1,INDEX(DarlSollzins,10),INDEX(DarlAnschluss,10))</f>
      </c>
      <c r="I4725" s="43">
        <f>IF(INDEX(DarlBelegt,10)=0,0,IF(INDEX(DarlOhneTilgung,10)=1,IF(INDEX(DarlBindung,10)="",1,$G4725),IF($J4725&gt;0.005,1,0)))</f>
      </c>
      <c r="J4725" s="43">
        <f>IF($I4724=0,0,$R4724)</f>
      </c>
      <c r="K4725" s="43">
        <f>IF($I4725=0,0,IF(INDEX(DarlOhneTilgung,10)=1,0,IF(AND(INDEX(DarlTilgStart,10)&gt;0,$E4725=INDEX(DarlTilgStart,10)),$J4725*($H4725+INDEX(DarlTilgung,10))/100/12,IF(AND($G4725=0,$G4724=1),MAX($K4724,$J4725*($H4725+1)/100/12),$K4724))))</f>
      </c>
      <c r="L4725" s="43">
        <f>IF($I4725=0,0,$J4725*$H4725/100/12)</f>
      </c>
      <c r="M4725" s="43">
        <f>IF($I4725=0,0,IF(OR(INDEX(DarlOhneTilgung,10)=1,AND(INDEX(DarlTilgStart,10)&gt;0,$E4725&lt;INDEX(DarlTilgStart,10))),0,MIN(MAX(0,$K4725-$L4725),$J4725)))</f>
      </c>
      <c r="N4725" s="43">
        <f>IF($I4725=0,0,MIN(SUMIFS(SondBetrag,SondDarl,10,SondDatum,"&gt;="&amp;$E4725,SondDatum,"&lt;="&amp;EOMONTH($E4725,0)),$J4725-$M4725))</f>
      </c>
      <c r="O4725" s="43">
        <f>IF($I4725=0,0,INDEX(DarlErsatzRate,10))</f>
      </c>
      <c r="P4725" s="43">
        <f>IF($I4725=0,0,$Q4724*INDEX(DarlErsatzZins,10))</f>
      </c>
      <c r="Q4725" s="43">
        <f>IF($I4725=0,0,$Q4724+$P4725+$O4725)</f>
      </c>
      <c r="R4725" s="43">
        <f>IF($I4725=0,0,$J4725-$M4725-$N4725)</f>
      </c>
    </row>
    <row r="4726">
      <c r="A4726"/>
      <c r="B4726">
        <v>10</v>
      </c>
      <c r="C4726" s="43">
        <f>INDEX(DarlObj,10)</f>
      </c>
      <c r="D4726">
        <v>403</v>
      </c>
      <c r="E4726" s="51">
        <f>IF(INDEX(DarlBelegt,10)=0,0,EOMONTH(INDEX(DarlAuszahlung,10),402)+1)</f>
      </c>
      <c r="F4726" s="43">
        <f>IF($E4726=0,0,YEAR($E4726))</f>
      </c>
      <c r="G4726" s="43">
        <f>IF(INDEX(DarlBindung,10)="",1,IF($E4726&lt;=INDEX(DarlBindung,10),1,0))</f>
      </c>
      <c r="H4726" s="43">
        <f>IF($G4726=1,INDEX(DarlSollzins,10),INDEX(DarlAnschluss,10))</f>
      </c>
      <c r="I4726" s="43">
        <f>IF(INDEX(DarlBelegt,10)=0,0,IF(INDEX(DarlOhneTilgung,10)=1,IF(INDEX(DarlBindung,10)="",1,$G4726),IF($J4726&gt;0.005,1,0)))</f>
      </c>
      <c r="J4726" s="43">
        <f>IF($I4725=0,0,$R4725)</f>
      </c>
      <c r="K4726" s="43">
        <f>IF($I4726=0,0,IF(INDEX(DarlOhneTilgung,10)=1,0,IF(AND(INDEX(DarlTilgStart,10)&gt;0,$E4726=INDEX(DarlTilgStart,10)),$J4726*($H4726+INDEX(DarlTilgung,10))/100/12,IF(AND($G4726=0,$G4725=1),MAX($K4725,$J4726*($H4726+1)/100/12),$K4725))))</f>
      </c>
      <c r="L4726" s="43">
        <f>IF($I4726=0,0,$J4726*$H4726/100/12)</f>
      </c>
      <c r="M4726" s="43">
        <f>IF($I4726=0,0,IF(OR(INDEX(DarlOhneTilgung,10)=1,AND(INDEX(DarlTilgStart,10)&gt;0,$E4726&lt;INDEX(DarlTilgStart,10))),0,MIN(MAX(0,$K4726-$L4726),$J4726)))</f>
      </c>
      <c r="N4726" s="43">
        <f>IF($I4726=0,0,MIN(SUMIFS(SondBetrag,SondDarl,10,SondDatum,"&gt;="&amp;$E4726,SondDatum,"&lt;="&amp;EOMONTH($E4726,0)),$J4726-$M4726))</f>
      </c>
      <c r="O4726" s="43">
        <f>IF($I4726=0,0,INDEX(DarlErsatzRate,10))</f>
      </c>
      <c r="P4726" s="43">
        <f>IF($I4726=0,0,$Q4725*INDEX(DarlErsatzZins,10))</f>
      </c>
      <c r="Q4726" s="43">
        <f>IF($I4726=0,0,$Q4725+$P4726+$O4726)</f>
      </c>
      <c r="R4726" s="43">
        <f>IF($I4726=0,0,$J4726-$M4726-$N4726)</f>
      </c>
    </row>
    <row r="4727">
      <c r="A4727"/>
      <c r="B4727">
        <v>10</v>
      </c>
      <c r="C4727" s="43">
        <f>INDEX(DarlObj,10)</f>
      </c>
      <c r="D4727">
        <v>404</v>
      </c>
      <c r="E4727" s="51">
        <f>IF(INDEX(DarlBelegt,10)=0,0,EOMONTH(INDEX(DarlAuszahlung,10),403)+1)</f>
      </c>
      <c r="F4727" s="43">
        <f>IF($E4727=0,0,YEAR($E4727))</f>
      </c>
      <c r="G4727" s="43">
        <f>IF(INDEX(DarlBindung,10)="",1,IF($E4727&lt;=INDEX(DarlBindung,10),1,0))</f>
      </c>
      <c r="H4727" s="43">
        <f>IF($G4727=1,INDEX(DarlSollzins,10),INDEX(DarlAnschluss,10))</f>
      </c>
      <c r="I4727" s="43">
        <f>IF(INDEX(DarlBelegt,10)=0,0,IF(INDEX(DarlOhneTilgung,10)=1,IF(INDEX(DarlBindung,10)="",1,$G4727),IF($J4727&gt;0.005,1,0)))</f>
      </c>
      <c r="J4727" s="43">
        <f>IF($I4726=0,0,$R4726)</f>
      </c>
      <c r="K4727" s="43">
        <f>IF($I4727=0,0,IF(INDEX(DarlOhneTilgung,10)=1,0,IF(AND(INDEX(DarlTilgStart,10)&gt;0,$E4727=INDEX(DarlTilgStart,10)),$J4727*($H4727+INDEX(DarlTilgung,10))/100/12,IF(AND($G4727=0,$G4726=1),MAX($K4726,$J4727*($H4727+1)/100/12),$K4726))))</f>
      </c>
      <c r="L4727" s="43">
        <f>IF($I4727=0,0,$J4727*$H4727/100/12)</f>
      </c>
      <c r="M4727" s="43">
        <f>IF($I4727=0,0,IF(OR(INDEX(DarlOhneTilgung,10)=1,AND(INDEX(DarlTilgStart,10)&gt;0,$E4727&lt;INDEX(DarlTilgStart,10))),0,MIN(MAX(0,$K4727-$L4727),$J4727)))</f>
      </c>
      <c r="N4727" s="43">
        <f>IF($I4727=0,0,MIN(SUMIFS(SondBetrag,SondDarl,10,SondDatum,"&gt;="&amp;$E4727,SondDatum,"&lt;="&amp;EOMONTH($E4727,0)),$J4727-$M4727))</f>
      </c>
      <c r="O4727" s="43">
        <f>IF($I4727=0,0,INDEX(DarlErsatzRate,10))</f>
      </c>
      <c r="P4727" s="43">
        <f>IF($I4727=0,0,$Q4726*INDEX(DarlErsatzZins,10))</f>
      </c>
      <c r="Q4727" s="43">
        <f>IF($I4727=0,0,$Q4726+$P4727+$O4727)</f>
      </c>
      <c r="R4727" s="43">
        <f>IF($I4727=0,0,$J4727-$M4727-$N4727)</f>
      </c>
    </row>
    <row r="4728">
      <c r="A4728"/>
      <c r="B4728">
        <v>10</v>
      </c>
      <c r="C4728" s="43">
        <f>INDEX(DarlObj,10)</f>
      </c>
      <c r="D4728">
        <v>405</v>
      </c>
      <c r="E4728" s="51">
        <f>IF(INDEX(DarlBelegt,10)=0,0,EOMONTH(INDEX(DarlAuszahlung,10),404)+1)</f>
      </c>
      <c r="F4728" s="43">
        <f>IF($E4728=0,0,YEAR($E4728))</f>
      </c>
      <c r="G4728" s="43">
        <f>IF(INDEX(DarlBindung,10)="",1,IF($E4728&lt;=INDEX(DarlBindung,10),1,0))</f>
      </c>
      <c r="H4728" s="43">
        <f>IF($G4728=1,INDEX(DarlSollzins,10),INDEX(DarlAnschluss,10))</f>
      </c>
      <c r="I4728" s="43">
        <f>IF(INDEX(DarlBelegt,10)=0,0,IF(INDEX(DarlOhneTilgung,10)=1,IF(INDEX(DarlBindung,10)="",1,$G4728),IF($J4728&gt;0.005,1,0)))</f>
      </c>
      <c r="J4728" s="43">
        <f>IF($I4727=0,0,$R4727)</f>
      </c>
      <c r="K4728" s="43">
        <f>IF($I4728=0,0,IF(INDEX(DarlOhneTilgung,10)=1,0,IF(AND(INDEX(DarlTilgStart,10)&gt;0,$E4728=INDEX(DarlTilgStart,10)),$J4728*($H4728+INDEX(DarlTilgung,10))/100/12,IF(AND($G4728=0,$G4727=1),MAX($K4727,$J4728*($H4728+1)/100/12),$K4727))))</f>
      </c>
      <c r="L4728" s="43">
        <f>IF($I4728=0,0,$J4728*$H4728/100/12)</f>
      </c>
      <c r="M4728" s="43">
        <f>IF($I4728=0,0,IF(OR(INDEX(DarlOhneTilgung,10)=1,AND(INDEX(DarlTilgStart,10)&gt;0,$E4728&lt;INDEX(DarlTilgStart,10))),0,MIN(MAX(0,$K4728-$L4728),$J4728)))</f>
      </c>
      <c r="N4728" s="43">
        <f>IF($I4728=0,0,MIN(SUMIFS(SondBetrag,SondDarl,10,SondDatum,"&gt;="&amp;$E4728,SondDatum,"&lt;="&amp;EOMONTH($E4728,0)),$J4728-$M4728))</f>
      </c>
      <c r="O4728" s="43">
        <f>IF($I4728=0,0,INDEX(DarlErsatzRate,10))</f>
      </c>
      <c r="P4728" s="43">
        <f>IF($I4728=0,0,$Q4727*INDEX(DarlErsatzZins,10))</f>
      </c>
      <c r="Q4728" s="43">
        <f>IF($I4728=0,0,$Q4727+$P4728+$O4728)</f>
      </c>
      <c r="R4728" s="43">
        <f>IF($I4728=0,0,$J4728-$M4728-$N4728)</f>
      </c>
    </row>
    <row r="4729">
      <c r="A4729"/>
      <c r="B4729">
        <v>10</v>
      </c>
      <c r="C4729" s="43">
        <f>INDEX(DarlObj,10)</f>
      </c>
      <c r="D4729">
        <v>406</v>
      </c>
      <c r="E4729" s="51">
        <f>IF(INDEX(DarlBelegt,10)=0,0,EOMONTH(INDEX(DarlAuszahlung,10),405)+1)</f>
      </c>
      <c r="F4729" s="43">
        <f>IF($E4729=0,0,YEAR($E4729))</f>
      </c>
      <c r="G4729" s="43">
        <f>IF(INDEX(DarlBindung,10)="",1,IF($E4729&lt;=INDEX(DarlBindung,10),1,0))</f>
      </c>
      <c r="H4729" s="43">
        <f>IF($G4729=1,INDEX(DarlSollzins,10),INDEX(DarlAnschluss,10))</f>
      </c>
      <c r="I4729" s="43">
        <f>IF(INDEX(DarlBelegt,10)=0,0,IF(INDEX(DarlOhneTilgung,10)=1,IF(INDEX(DarlBindung,10)="",1,$G4729),IF($J4729&gt;0.005,1,0)))</f>
      </c>
      <c r="J4729" s="43">
        <f>IF($I4728=0,0,$R4728)</f>
      </c>
      <c r="K4729" s="43">
        <f>IF($I4729=0,0,IF(INDEX(DarlOhneTilgung,10)=1,0,IF(AND(INDEX(DarlTilgStart,10)&gt;0,$E4729=INDEX(DarlTilgStart,10)),$J4729*($H4729+INDEX(DarlTilgung,10))/100/12,IF(AND($G4729=0,$G4728=1),MAX($K4728,$J4729*($H4729+1)/100/12),$K4728))))</f>
      </c>
      <c r="L4729" s="43">
        <f>IF($I4729=0,0,$J4729*$H4729/100/12)</f>
      </c>
      <c r="M4729" s="43">
        <f>IF($I4729=0,0,IF(OR(INDEX(DarlOhneTilgung,10)=1,AND(INDEX(DarlTilgStart,10)&gt;0,$E4729&lt;INDEX(DarlTilgStart,10))),0,MIN(MAX(0,$K4729-$L4729),$J4729)))</f>
      </c>
      <c r="N4729" s="43">
        <f>IF($I4729=0,0,MIN(SUMIFS(SondBetrag,SondDarl,10,SondDatum,"&gt;="&amp;$E4729,SondDatum,"&lt;="&amp;EOMONTH($E4729,0)),$J4729-$M4729))</f>
      </c>
      <c r="O4729" s="43">
        <f>IF($I4729=0,0,INDEX(DarlErsatzRate,10))</f>
      </c>
      <c r="P4729" s="43">
        <f>IF($I4729=0,0,$Q4728*INDEX(DarlErsatzZins,10))</f>
      </c>
      <c r="Q4729" s="43">
        <f>IF($I4729=0,0,$Q4728+$P4729+$O4729)</f>
      </c>
      <c r="R4729" s="43">
        <f>IF($I4729=0,0,$J4729-$M4729-$N4729)</f>
      </c>
    </row>
    <row r="4730">
      <c r="A4730"/>
      <c r="B4730">
        <v>10</v>
      </c>
      <c r="C4730" s="43">
        <f>INDEX(DarlObj,10)</f>
      </c>
      <c r="D4730">
        <v>407</v>
      </c>
      <c r="E4730" s="51">
        <f>IF(INDEX(DarlBelegt,10)=0,0,EOMONTH(INDEX(DarlAuszahlung,10),406)+1)</f>
      </c>
      <c r="F4730" s="43">
        <f>IF($E4730=0,0,YEAR($E4730))</f>
      </c>
      <c r="G4730" s="43">
        <f>IF(INDEX(DarlBindung,10)="",1,IF($E4730&lt;=INDEX(DarlBindung,10),1,0))</f>
      </c>
      <c r="H4730" s="43">
        <f>IF($G4730=1,INDEX(DarlSollzins,10),INDEX(DarlAnschluss,10))</f>
      </c>
      <c r="I4730" s="43">
        <f>IF(INDEX(DarlBelegt,10)=0,0,IF(INDEX(DarlOhneTilgung,10)=1,IF(INDEX(DarlBindung,10)="",1,$G4730),IF($J4730&gt;0.005,1,0)))</f>
      </c>
      <c r="J4730" s="43">
        <f>IF($I4729=0,0,$R4729)</f>
      </c>
      <c r="K4730" s="43">
        <f>IF($I4730=0,0,IF(INDEX(DarlOhneTilgung,10)=1,0,IF(AND(INDEX(DarlTilgStart,10)&gt;0,$E4730=INDEX(DarlTilgStart,10)),$J4730*($H4730+INDEX(DarlTilgung,10))/100/12,IF(AND($G4730=0,$G4729=1),MAX($K4729,$J4730*($H4730+1)/100/12),$K4729))))</f>
      </c>
      <c r="L4730" s="43">
        <f>IF($I4730=0,0,$J4730*$H4730/100/12)</f>
      </c>
      <c r="M4730" s="43">
        <f>IF($I4730=0,0,IF(OR(INDEX(DarlOhneTilgung,10)=1,AND(INDEX(DarlTilgStart,10)&gt;0,$E4730&lt;INDEX(DarlTilgStart,10))),0,MIN(MAX(0,$K4730-$L4730),$J4730)))</f>
      </c>
      <c r="N4730" s="43">
        <f>IF($I4730=0,0,MIN(SUMIFS(SondBetrag,SondDarl,10,SondDatum,"&gt;="&amp;$E4730,SondDatum,"&lt;="&amp;EOMONTH($E4730,0)),$J4730-$M4730))</f>
      </c>
      <c r="O4730" s="43">
        <f>IF($I4730=0,0,INDEX(DarlErsatzRate,10))</f>
      </c>
      <c r="P4730" s="43">
        <f>IF($I4730=0,0,$Q4729*INDEX(DarlErsatzZins,10))</f>
      </c>
      <c r="Q4730" s="43">
        <f>IF($I4730=0,0,$Q4729+$P4730+$O4730)</f>
      </c>
      <c r="R4730" s="43">
        <f>IF($I4730=0,0,$J4730-$M4730-$N4730)</f>
      </c>
    </row>
    <row r="4731">
      <c r="A4731"/>
      <c r="B4731">
        <v>10</v>
      </c>
      <c r="C4731" s="43">
        <f>INDEX(DarlObj,10)</f>
      </c>
      <c r="D4731">
        <v>408</v>
      </c>
      <c r="E4731" s="51">
        <f>IF(INDEX(DarlBelegt,10)=0,0,EOMONTH(INDEX(DarlAuszahlung,10),407)+1)</f>
      </c>
      <c r="F4731" s="43">
        <f>IF($E4731=0,0,YEAR($E4731))</f>
      </c>
      <c r="G4731" s="43">
        <f>IF(INDEX(DarlBindung,10)="",1,IF($E4731&lt;=INDEX(DarlBindung,10),1,0))</f>
      </c>
      <c r="H4731" s="43">
        <f>IF($G4731=1,INDEX(DarlSollzins,10),INDEX(DarlAnschluss,10))</f>
      </c>
      <c r="I4731" s="43">
        <f>IF(INDEX(DarlBelegt,10)=0,0,IF(INDEX(DarlOhneTilgung,10)=1,IF(INDEX(DarlBindung,10)="",1,$G4731),IF($J4731&gt;0.005,1,0)))</f>
      </c>
      <c r="J4731" s="43">
        <f>IF($I4730=0,0,$R4730)</f>
      </c>
      <c r="K4731" s="43">
        <f>IF($I4731=0,0,IF(INDEX(DarlOhneTilgung,10)=1,0,IF(AND(INDEX(DarlTilgStart,10)&gt;0,$E4731=INDEX(DarlTilgStart,10)),$J4731*($H4731+INDEX(DarlTilgung,10))/100/12,IF(AND($G4731=0,$G4730=1),MAX($K4730,$J4731*($H4731+1)/100/12),$K4730))))</f>
      </c>
      <c r="L4731" s="43">
        <f>IF($I4731=0,0,$J4731*$H4731/100/12)</f>
      </c>
      <c r="M4731" s="43">
        <f>IF($I4731=0,0,IF(OR(INDEX(DarlOhneTilgung,10)=1,AND(INDEX(DarlTilgStart,10)&gt;0,$E4731&lt;INDEX(DarlTilgStart,10))),0,MIN(MAX(0,$K4731-$L4731),$J4731)))</f>
      </c>
      <c r="N4731" s="43">
        <f>IF($I4731=0,0,MIN(SUMIFS(SondBetrag,SondDarl,10,SondDatum,"&gt;="&amp;$E4731,SondDatum,"&lt;="&amp;EOMONTH($E4731,0)),$J4731-$M4731))</f>
      </c>
      <c r="O4731" s="43">
        <f>IF($I4731=0,0,INDEX(DarlErsatzRate,10))</f>
      </c>
      <c r="P4731" s="43">
        <f>IF($I4731=0,0,$Q4730*INDEX(DarlErsatzZins,10))</f>
      </c>
      <c r="Q4731" s="43">
        <f>IF($I4731=0,0,$Q4730+$P4731+$O4731)</f>
      </c>
      <c r="R4731" s="43">
        <f>IF($I4731=0,0,$J4731-$M4731-$N4731)</f>
      </c>
    </row>
    <row r="4732">
      <c r="A4732"/>
      <c r="B4732">
        <v>10</v>
      </c>
      <c r="C4732" s="43">
        <f>INDEX(DarlObj,10)</f>
      </c>
      <c r="D4732">
        <v>409</v>
      </c>
      <c r="E4732" s="51">
        <f>IF(INDEX(DarlBelegt,10)=0,0,EOMONTH(INDEX(DarlAuszahlung,10),408)+1)</f>
      </c>
      <c r="F4732" s="43">
        <f>IF($E4732=0,0,YEAR($E4732))</f>
      </c>
      <c r="G4732" s="43">
        <f>IF(INDEX(DarlBindung,10)="",1,IF($E4732&lt;=INDEX(DarlBindung,10),1,0))</f>
      </c>
      <c r="H4732" s="43">
        <f>IF($G4732=1,INDEX(DarlSollzins,10),INDEX(DarlAnschluss,10))</f>
      </c>
      <c r="I4732" s="43">
        <f>IF(INDEX(DarlBelegt,10)=0,0,IF(INDEX(DarlOhneTilgung,10)=1,IF(INDEX(DarlBindung,10)="",1,$G4732),IF($J4732&gt;0.005,1,0)))</f>
      </c>
      <c r="J4732" s="43">
        <f>IF($I4731=0,0,$R4731)</f>
      </c>
      <c r="K4732" s="43">
        <f>IF($I4732=0,0,IF(INDEX(DarlOhneTilgung,10)=1,0,IF(AND(INDEX(DarlTilgStart,10)&gt;0,$E4732=INDEX(DarlTilgStart,10)),$J4732*($H4732+INDEX(DarlTilgung,10))/100/12,IF(AND($G4732=0,$G4731=1),MAX($K4731,$J4732*($H4732+1)/100/12),$K4731))))</f>
      </c>
      <c r="L4732" s="43">
        <f>IF($I4732=0,0,$J4732*$H4732/100/12)</f>
      </c>
      <c r="M4732" s="43">
        <f>IF($I4732=0,0,IF(OR(INDEX(DarlOhneTilgung,10)=1,AND(INDEX(DarlTilgStart,10)&gt;0,$E4732&lt;INDEX(DarlTilgStart,10))),0,MIN(MAX(0,$K4732-$L4732),$J4732)))</f>
      </c>
      <c r="N4732" s="43">
        <f>IF($I4732=0,0,MIN(SUMIFS(SondBetrag,SondDarl,10,SondDatum,"&gt;="&amp;$E4732,SondDatum,"&lt;="&amp;EOMONTH($E4732,0)),$J4732-$M4732))</f>
      </c>
      <c r="O4732" s="43">
        <f>IF($I4732=0,0,INDEX(DarlErsatzRate,10))</f>
      </c>
      <c r="P4732" s="43">
        <f>IF($I4732=0,0,$Q4731*INDEX(DarlErsatzZins,10))</f>
      </c>
      <c r="Q4732" s="43">
        <f>IF($I4732=0,0,$Q4731+$P4732+$O4732)</f>
      </c>
      <c r="R4732" s="43">
        <f>IF($I4732=0,0,$J4732-$M4732-$N4732)</f>
      </c>
    </row>
    <row r="4733">
      <c r="A4733"/>
      <c r="B4733">
        <v>10</v>
      </c>
      <c r="C4733" s="43">
        <f>INDEX(DarlObj,10)</f>
      </c>
      <c r="D4733">
        <v>410</v>
      </c>
      <c r="E4733" s="51">
        <f>IF(INDEX(DarlBelegt,10)=0,0,EOMONTH(INDEX(DarlAuszahlung,10),409)+1)</f>
      </c>
      <c r="F4733" s="43">
        <f>IF($E4733=0,0,YEAR($E4733))</f>
      </c>
      <c r="G4733" s="43">
        <f>IF(INDEX(DarlBindung,10)="",1,IF($E4733&lt;=INDEX(DarlBindung,10),1,0))</f>
      </c>
      <c r="H4733" s="43">
        <f>IF($G4733=1,INDEX(DarlSollzins,10),INDEX(DarlAnschluss,10))</f>
      </c>
      <c r="I4733" s="43">
        <f>IF(INDEX(DarlBelegt,10)=0,0,IF(INDEX(DarlOhneTilgung,10)=1,IF(INDEX(DarlBindung,10)="",1,$G4733),IF($J4733&gt;0.005,1,0)))</f>
      </c>
      <c r="J4733" s="43">
        <f>IF($I4732=0,0,$R4732)</f>
      </c>
      <c r="K4733" s="43">
        <f>IF($I4733=0,0,IF(INDEX(DarlOhneTilgung,10)=1,0,IF(AND(INDEX(DarlTilgStart,10)&gt;0,$E4733=INDEX(DarlTilgStart,10)),$J4733*($H4733+INDEX(DarlTilgung,10))/100/12,IF(AND($G4733=0,$G4732=1),MAX($K4732,$J4733*($H4733+1)/100/12),$K4732))))</f>
      </c>
      <c r="L4733" s="43">
        <f>IF($I4733=0,0,$J4733*$H4733/100/12)</f>
      </c>
      <c r="M4733" s="43">
        <f>IF($I4733=0,0,IF(OR(INDEX(DarlOhneTilgung,10)=1,AND(INDEX(DarlTilgStart,10)&gt;0,$E4733&lt;INDEX(DarlTilgStart,10))),0,MIN(MAX(0,$K4733-$L4733),$J4733)))</f>
      </c>
      <c r="N4733" s="43">
        <f>IF($I4733=0,0,MIN(SUMIFS(SondBetrag,SondDarl,10,SondDatum,"&gt;="&amp;$E4733,SondDatum,"&lt;="&amp;EOMONTH($E4733,0)),$J4733-$M4733))</f>
      </c>
      <c r="O4733" s="43">
        <f>IF($I4733=0,0,INDEX(DarlErsatzRate,10))</f>
      </c>
      <c r="P4733" s="43">
        <f>IF($I4733=0,0,$Q4732*INDEX(DarlErsatzZins,10))</f>
      </c>
      <c r="Q4733" s="43">
        <f>IF($I4733=0,0,$Q4732+$P4733+$O4733)</f>
      </c>
      <c r="R4733" s="43">
        <f>IF($I4733=0,0,$J4733-$M4733-$N4733)</f>
      </c>
    </row>
    <row r="4734">
      <c r="A4734"/>
      <c r="B4734">
        <v>10</v>
      </c>
      <c r="C4734" s="43">
        <f>INDEX(DarlObj,10)</f>
      </c>
      <c r="D4734">
        <v>411</v>
      </c>
      <c r="E4734" s="51">
        <f>IF(INDEX(DarlBelegt,10)=0,0,EOMONTH(INDEX(DarlAuszahlung,10),410)+1)</f>
      </c>
      <c r="F4734" s="43">
        <f>IF($E4734=0,0,YEAR($E4734))</f>
      </c>
      <c r="G4734" s="43">
        <f>IF(INDEX(DarlBindung,10)="",1,IF($E4734&lt;=INDEX(DarlBindung,10),1,0))</f>
      </c>
      <c r="H4734" s="43">
        <f>IF($G4734=1,INDEX(DarlSollzins,10),INDEX(DarlAnschluss,10))</f>
      </c>
      <c r="I4734" s="43">
        <f>IF(INDEX(DarlBelegt,10)=0,0,IF(INDEX(DarlOhneTilgung,10)=1,IF(INDEX(DarlBindung,10)="",1,$G4734),IF($J4734&gt;0.005,1,0)))</f>
      </c>
      <c r="J4734" s="43">
        <f>IF($I4733=0,0,$R4733)</f>
      </c>
      <c r="K4734" s="43">
        <f>IF($I4734=0,0,IF(INDEX(DarlOhneTilgung,10)=1,0,IF(AND(INDEX(DarlTilgStart,10)&gt;0,$E4734=INDEX(DarlTilgStart,10)),$J4734*($H4734+INDEX(DarlTilgung,10))/100/12,IF(AND($G4734=0,$G4733=1),MAX($K4733,$J4734*($H4734+1)/100/12),$K4733))))</f>
      </c>
      <c r="L4734" s="43">
        <f>IF($I4734=0,0,$J4734*$H4734/100/12)</f>
      </c>
      <c r="M4734" s="43">
        <f>IF($I4734=0,0,IF(OR(INDEX(DarlOhneTilgung,10)=1,AND(INDEX(DarlTilgStart,10)&gt;0,$E4734&lt;INDEX(DarlTilgStart,10))),0,MIN(MAX(0,$K4734-$L4734),$J4734)))</f>
      </c>
      <c r="N4734" s="43">
        <f>IF($I4734=0,0,MIN(SUMIFS(SondBetrag,SondDarl,10,SondDatum,"&gt;="&amp;$E4734,SondDatum,"&lt;="&amp;EOMONTH($E4734,0)),$J4734-$M4734))</f>
      </c>
      <c r="O4734" s="43">
        <f>IF($I4734=0,0,INDEX(DarlErsatzRate,10))</f>
      </c>
      <c r="P4734" s="43">
        <f>IF($I4734=0,0,$Q4733*INDEX(DarlErsatzZins,10))</f>
      </c>
      <c r="Q4734" s="43">
        <f>IF($I4734=0,0,$Q4733+$P4734+$O4734)</f>
      </c>
      <c r="R4734" s="43">
        <f>IF($I4734=0,0,$J4734-$M4734-$N4734)</f>
      </c>
    </row>
    <row r="4735">
      <c r="A4735"/>
      <c r="B4735">
        <v>10</v>
      </c>
      <c r="C4735" s="43">
        <f>INDEX(DarlObj,10)</f>
      </c>
      <c r="D4735">
        <v>412</v>
      </c>
      <c r="E4735" s="51">
        <f>IF(INDEX(DarlBelegt,10)=0,0,EOMONTH(INDEX(DarlAuszahlung,10),411)+1)</f>
      </c>
      <c r="F4735" s="43">
        <f>IF($E4735=0,0,YEAR($E4735))</f>
      </c>
      <c r="G4735" s="43">
        <f>IF(INDEX(DarlBindung,10)="",1,IF($E4735&lt;=INDEX(DarlBindung,10),1,0))</f>
      </c>
      <c r="H4735" s="43">
        <f>IF($G4735=1,INDEX(DarlSollzins,10),INDEX(DarlAnschluss,10))</f>
      </c>
      <c r="I4735" s="43">
        <f>IF(INDEX(DarlBelegt,10)=0,0,IF(INDEX(DarlOhneTilgung,10)=1,IF(INDEX(DarlBindung,10)="",1,$G4735),IF($J4735&gt;0.005,1,0)))</f>
      </c>
      <c r="J4735" s="43">
        <f>IF($I4734=0,0,$R4734)</f>
      </c>
      <c r="K4735" s="43">
        <f>IF($I4735=0,0,IF(INDEX(DarlOhneTilgung,10)=1,0,IF(AND(INDEX(DarlTilgStart,10)&gt;0,$E4735=INDEX(DarlTilgStart,10)),$J4735*($H4735+INDEX(DarlTilgung,10))/100/12,IF(AND($G4735=0,$G4734=1),MAX($K4734,$J4735*($H4735+1)/100/12),$K4734))))</f>
      </c>
      <c r="L4735" s="43">
        <f>IF($I4735=0,0,$J4735*$H4735/100/12)</f>
      </c>
      <c r="M4735" s="43">
        <f>IF($I4735=0,0,IF(OR(INDEX(DarlOhneTilgung,10)=1,AND(INDEX(DarlTilgStart,10)&gt;0,$E4735&lt;INDEX(DarlTilgStart,10))),0,MIN(MAX(0,$K4735-$L4735),$J4735)))</f>
      </c>
      <c r="N4735" s="43">
        <f>IF($I4735=0,0,MIN(SUMIFS(SondBetrag,SondDarl,10,SondDatum,"&gt;="&amp;$E4735,SondDatum,"&lt;="&amp;EOMONTH($E4735,0)),$J4735-$M4735))</f>
      </c>
      <c r="O4735" s="43">
        <f>IF($I4735=0,0,INDEX(DarlErsatzRate,10))</f>
      </c>
      <c r="P4735" s="43">
        <f>IF($I4735=0,0,$Q4734*INDEX(DarlErsatzZins,10))</f>
      </c>
      <c r="Q4735" s="43">
        <f>IF($I4735=0,0,$Q4734+$P4735+$O4735)</f>
      </c>
      <c r="R4735" s="43">
        <f>IF($I4735=0,0,$J4735-$M4735-$N4735)</f>
      </c>
    </row>
    <row r="4736">
      <c r="A4736"/>
      <c r="B4736">
        <v>10</v>
      </c>
      <c r="C4736" s="43">
        <f>INDEX(DarlObj,10)</f>
      </c>
      <c r="D4736">
        <v>413</v>
      </c>
      <c r="E4736" s="51">
        <f>IF(INDEX(DarlBelegt,10)=0,0,EOMONTH(INDEX(DarlAuszahlung,10),412)+1)</f>
      </c>
      <c r="F4736" s="43">
        <f>IF($E4736=0,0,YEAR($E4736))</f>
      </c>
      <c r="G4736" s="43">
        <f>IF(INDEX(DarlBindung,10)="",1,IF($E4736&lt;=INDEX(DarlBindung,10),1,0))</f>
      </c>
      <c r="H4736" s="43">
        <f>IF($G4736=1,INDEX(DarlSollzins,10),INDEX(DarlAnschluss,10))</f>
      </c>
      <c r="I4736" s="43">
        <f>IF(INDEX(DarlBelegt,10)=0,0,IF(INDEX(DarlOhneTilgung,10)=1,IF(INDEX(DarlBindung,10)="",1,$G4736),IF($J4736&gt;0.005,1,0)))</f>
      </c>
      <c r="J4736" s="43">
        <f>IF($I4735=0,0,$R4735)</f>
      </c>
      <c r="K4736" s="43">
        <f>IF($I4736=0,0,IF(INDEX(DarlOhneTilgung,10)=1,0,IF(AND(INDEX(DarlTilgStart,10)&gt;0,$E4736=INDEX(DarlTilgStart,10)),$J4736*($H4736+INDEX(DarlTilgung,10))/100/12,IF(AND($G4736=0,$G4735=1),MAX($K4735,$J4736*($H4736+1)/100/12),$K4735))))</f>
      </c>
      <c r="L4736" s="43">
        <f>IF($I4736=0,0,$J4736*$H4736/100/12)</f>
      </c>
      <c r="M4736" s="43">
        <f>IF($I4736=0,0,IF(OR(INDEX(DarlOhneTilgung,10)=1,AND(INDEX(DarlTilgStart,10)&gt;0,$E4736&lt;INDEX(DarlTilgStart,10))),0,MIN(MAX(0,$K4736-$L4736),$J4736)))</f>
      </c>
      <c r="N4736" s="43">
        <f>IF($I4736=0,0,MIN(SUMIFS(SondBetrag,SondDarl,10,SondDatum,"&gt;="&amp;$E4736,SondDatum,"&lt;="&amp;EOMONTH($E4736,0)),$J4736-$M4736))</f>
      </c>
      <c r="O4736" s="43">
        <f>IF($I4736=0,0,INDEX(DarlErsatzRate,10))</f>
      </c>
      <c r="P4736" s="43">
        <f>IF($I4736=0,0,$Q4735*INDEX(DarlErsatzZins,10))</f>
      </c>
      <c r="Q4736" s="43">
        <f>IF($I4736=0,0,$Q4735+$P4736+$O4736)</f>
      </c>
      <c r="R4736" s="43">
        <f>IF($I4736=0,0,$J4736-$M4736-$N4736)</f>
      </c>
    </row>
    <row r="4737">
      <c r="A4737"/>
      <c r="B4737">
        <v>10</v>
      </c>
      <c r="C4737" s="43">
        <f>INDEX(DarlObj,10)</f>
      </c>
      <c r="D4737">
        <v>414</v>
      </c>
      <c r="E4737" s="51">
        <f>IF(INDEX(DarlBelegt,10)=0,0,EOMONTH(INDEX(DarlAuszahlung,10),413)+1)</f>
      </c>
      <c r="F4737" s="43">
        <f>IF($E4737=0,0,YEAR($E4737))</f>
      </c>
      <c r="G4737" s="43">
        <f>IF(INDEX(DarlBindung,10)="",1,IF($E4737&lt;=INDEX(DarlBindung,10),1,0))</f>
      </c>
      <c r="H4737" s="43">
        <f>IF($G4737=1,INDEX(DarlSollzins,10),INDEX(DarlAnschluss,10))</f>
      </c>
      <c r="I4737" s="43">
        <f>IF(INDEX(DarlBelegt,10)=0,0,IF(INDEX(DarlOhneTilgung,10)=1,IF(INDEX(DarlBindung,10)="",1,$G4737),IF($J4737&gt;0.005,1,0)))</f>
      </c>
      <c r="J4737" s="43">
        <f>IF($I4736=0,0,$R4736)</f>
      </c>
      <c r="K4737" s="43">
        <f>IF($I4737=0,0,IF(INDEX(DarlOhneTilgung,10)=1,0,IF(AND(INDEX(DarlTilgStart,10)&gt;0,$E4737=INDEX(DarlTilgStart,10)),$J4737*($H4737+INDEX(DarlTilgung,10))/100/12,IF(AND($G4737=0,$G4736=1),MAX($K4736,$J4737*($H4737+1)/100/12),$K4736))))</f>
      </c>
      <c r="L4737" s="43">
        <f>IF($I4737=0,0,$J4737*$H4737/100/12)</f>
      </c>
      <c r="M4737" s="43">
        <f>IF($I4737=0,0,IF(OR(INDEX(DarlOhneTilgung,10)=1,AND(INDEX(DarlTilgStart,10)&gt;0,$E4737&lt;INDEX(DarlTilgStart,10))),0,MIN(MAX(0,$K4737-$L4737),$J4737)))</f>
      </c>
      <c r="N4737" s="43">
        <f>IF($I4737=0,0,MIN(SUMIFS(SondBetrag,SondDarl,10,SondDatum,"&gt;="&amp;$E4737,SondDatum,"&lt;="&amp;EOMONTH($E4737,0)),$J4737-$M4737))</f>
      </c>
      <c r="O4737" s="43">
        <f>IF($I4737=0,0,INDEX(DarlErsatzRate,10))</f>
      </c>
      <c r="P4737" s="43">
        <f>IF($I4737=0,0,$Q4736*INDEX(DarlErsatzZins,10))</f>
      </c>
      <c r="Q4737" s="43">
        <f>IF($I4737=0,0,$Q4736+$P4737+$O4737)</f>
      </c>
      <c r="R4737" s="43">
        <f>IF($I4737=0,0,$J4737-$M4737-$N4737)</f>
      </c>
    </row>
    <row r="4738">
      <c r="A4738"/>
      <c r="B4738">
        <v>10</v>
      </c>
      <c r="C4738" s="43">
        <f>INDEX(DarlObj,10)</f>
      </c>
      <c r="D4738">
        <v>415</v>
      </c>
      <c r="E4738" s="51">
        <f>IF(INDEX(DarlBelegt,10)=0,0,EOMONTH(INDEX(DarlAuszahlung,10),414)+1)</f>
      </c>
      <c r="F4738" s="43">
        <f>IF($E4738=0,0,YEAR($E4738))</f>
      </c>
      <c r="G4738" s="43">
        <f>IF(INDEX(DarlBindung,10)="",1,IF($E4738&lt;=INDEX(DarlBindung,10),1,0))</f>
      </c>
      <c r="H4738" s="43">
        <f>IF($G4738=1,INDEX(DarlSollzins,10),INDEX(DarlAnschluss,10))</f>
      </c>
      <c r="I4738" s="43">
        <f>IF(INDEX(DarlBelegt,10)=0,0,IF(INDEX(DarlOhneTilgung,10)=1,IF(INDEX(DarlBindung,10)="",1,$G4738),IF($J4738&gt;0.005,1,0)))</f>
      </c>
      <c r="J4738" s="43">
        <f>IF($I4737=0,0,$R4737)</f>
      </c>
      <c r="K4738" s="43">
        <f>IF($I4738=0,0,IF(INDEX(DarlOhneTilgung,10)=1,0,IF(AND(INDEX(DarlTilgStart,10)&gt;0,$E4738=INDEX(DarlTilgStart,10)),$J4738*($H4738+INDEX(DarlTilgung,10))/100/12,IF(AND($G4738=0,$G4737=1),MAX($K4737,$J4738*($H4738+1)/100/12),$K4737))))</f>
      </c>
      <c r="L4738" s="43">
        <f>IF($I4738=0,0,$J4738*$H4738/100/12)</f>
      </c>
      <c r="M4738" s="43">
        <f>IF($I4738=0,0,IF(OR(INDEX(DarlOhneTilgung,10)=1,AND(INDEX(DarlTilgStart,10)&gt;0,$E4738&lt;INDEX(DarlTilgStart,10))),0,MIN(MAX(0,$K4738-$L4738),$J4738)))</f>
      </c>
      <c r="N4738" s="43">
        <f>IF($I4738=0,0,MIN(SUMIFS(SondBetrag,SondDarl,10,SondDatum,"&gt;="&amp;$E4738,SondDatum,"&lt;="&amp;EOMONTH($E4738,0)),$J4738-$M4738))</f>
      </c>
      <c r="O4738" s="43">
        <f>IF($I4738=0,0,INDEX(DarlErsatzRate,10))</f>
      </c>
      <c r="P4738" s="43">
        <f>IF($I4738=0,0,$Q4737*INDEX(DarlErsatzZins,10))</f>
      </c>
      <c r="Q4738" s="43">
        <f>IF($I4738=0,0,$Q4737+$P4738+$O4738)</f>
      </c>
      <c r="R4738" s="43">
        <f>IF($I4738=0,0,$J4738-$M4738-$N4738)</f>
      </c>
    </row>
    <row r="4739">
      <c r="A4739"/>
      <c r="B4739">
        <v>10</v>
      </c>
      <c r="C4739" s="43">
        <f>INDEX(DarlObj,10)</f>
      </c>
      <c r="D4739">
        <v>416</v>
      </c>
      <c r="E4739" s="51">
        <f>IF(INDEX(DarlBelegt,10)=0,0,EOMONTH(INDEX(DarlAuszahlung,10),415)+1)</f>
      </c>
      <c r="F4739" s="43">
        <f>IF($E4739=0,0,YEAR($E4739))</f>
      </c>
      <c r="G4739" s="43">
        <f>IF(INDEX(DarlBindung,10)="",1,IF($E4739&lt;=INDEX(DarlBindung,10),1,0))</f>
      </c>
      <c r="H4739" s="43">
        <f>IF($G4739=1,INDEX(DarlSollzins,10),INDEX(DarlAnschluss,10))</f>
      </c>
      <c r="I4739" s="43">
        <f>IF(INDEX(DarlBelegt,10)=0,0,IF(INDEX(DarlOhneTilgung,10)=1,IF(INDEX(DarlBindung,10)="",1,$G4739),IF($J4739&gt;0.005,1,0)))</f>
      </c>
      <c r="J4739" s="43">
        <f>IF($I4738=0,0,$R4738)</f>
      </c>
      <c r="K4739" s="43">
        <f>IF($I4739=0,0,IF(INDEX(DarlOhneTilgung,10)=1,0,IF(AND(INDEX(DarlTilgStart,10)&gt;0,$E4739=INDEX(DarlTilgStart,10)),$J4739*($H4739+INDEX(DarlTilgung,10))/100/12,IF(AND($G4739=0,$G4738=1),MAX($K4738,$J4739*($H4739+1)/100/12),$K4738))))</f>
      </c>
      <c r="L4739" s="43">
        <f>IF($I4739=0,0,$J4739*$H4739/100/12)</f>
      </c>
      <c r="M4739" s="43">
        <f>IF($I4739=0,0,IF(OR(INDEX(DarlOhneTilgung,10)=1,AND(INDEX(DarlTilgStart,10)&gt;0,$E4739&lt;INDEX(DarlTilgStart,10))),0,MIN(MAX(0,$K4739-$L4739),$J4739)))</f>
      </c>
      <c r="N4739" s="43">
        <f>IF($I4739=0,0,MIN(SUMIFS(SondBetrag,SondDarl,10,SondDatum,"&gt;="&amp;$E4739,SondDatum,"&lt;="&amp;EOMONTH($E4739,0)),$J4739-$M4739))</f>
      </c>
      <c r="O4739" s="43">
        <f>IF($I4739=0,0,INDEX(DarlErsatzRate,10))</f>
      </c>
      <c r="P4739" s="43">
        <f>IF($I4739=0,0,$Q4738*INDEX(DarlErsatzZins,10))</f>
      </c>
      <c r="Q4739" s="43">
        <f>IF($I4739=0,0,$Q4738+$P4739+$O4739)</f>
      </c>
      <c r="R4739" s="43">
        <f>IF($I4739=0,0,$J4739-$M4739-$N4739)</f>
      </c>
    </row>
    <row r="4740">
      <c r="A4740"/>
      <c r="B4740">
        <v>10</v>
      </c>
      <c r="C4740" s="43">
        <f>INDEX(DarlObj,10)</f>
      </c>
      <c r="D4740">
        <v>417</v>
      </c>
      <c r="E4740" s="51">
        <f>IF(INDEX(DarlBelegt,10)=0,0,EOMONTH(INDEX(DarlAuszahlung,10),416)+1)</f>
      </c>
      <c r="F4740" s="43">
        <f>IF($E4740=0,0,YEAR($E4740))</f>
      </c>
      <c r="G4740" s="43">
        <f>IF(INDEX(DarlBindung,10)="",1,IF($E4740&lt;=INDEX(DarlBindung,10),1,0))</f>
      </c>
      <c r="H4740" s="43">
        <f>IF($G4740=1,INDEX(DarlSollzins,10),INDEX(DarlAnschluss,10))</f>
      </c>
      <c r="I4740" s="43">
        <f>IF(INDEX(DarlBelegt,10)=0,0,IF(INDEX(DarlOhneTilgung,10)=1,IF(INDEX(DarlBindung,10)="",1,$G4740),IF($J4740&gt;0.005,1,0)))</f>
      </c>
      <c r="J4740" s="43">
        <f>IF($I4739=0,0,$R4739)</f>
      </c>
      <c r="K4740" s="43">
        <f>IF($I4740=0,0,IF(INDEX(DarlOhneTilgung,10)=1,0,IF(AND(INDEX(DarlTilgStart,10)&gt;0,$E4740=INDEX(DarlTilgStart,10)),$J4740*($H4740+INDEX(DarlTilgung,10))/100/12,IF(AND($G4740=0,$G4739=1),MAX($K4739,$J4740*($H4740+1)/100/12),$K4739))))</f>
      </c>
      <c r="L4740" s="43">
        <f>IF($I4740=0,0,$J4740*$H4740/100/12)</f>
      </c>
      <c r="M4740" s="43">
        <f>IF($I4740=0,0,IF(OR(INDEX(DarlOhneTilgung,10)=1,AND(INDEX(DarlTilgStart,10)&gt;0,$E4740&lt;INDEX(DarlTilgStart,10))),0,MIN(MAX(0,$K4740-$L4740),$J4740)))</f>
      </c>
      <c r="N4740" s="43">
        <f>IF($I4740=0,0,MIN(SUMIFS(SondBetrag,SondDarl,10,SondDatum,"&gt;="&amp;$E4740,SondDatum,"&lt;="&amp;EOMONTH($E4740,0)),$J4740-$M4740))</f>
      </c>
      <c r="O4740" s="43">
        <f>IF($I4740=0,0,INDEX(DarlErsatzRate,10))</f>
      </c>
      <c r="P4740" s="43">
        <f>IF($I4740=0,0,$Q4739*INDEX(DarlErsatzZins,10))</f>
      </c>
      <c r="Q4740" s="43">
        <f>IF($I4740=0,0,$Q4739+$P4740+$O4740)</f>
      </c>
      <c r="R4740" s="43">
        <f>IF($I4740=0,0,$J4740-$M4740-$N4740)</f>
      </c>
    </row>
    <row r="4741">
      <c r="A4741"/>
      <c r="B4741">
        <v>10</v>
      </c>
      <c r="C4741" s="43">
        <f>INDEX(DarlObj,10)</f>
      </c>
      <c r="D4741">
        <v>418</v>
      </c>
      <c r="E4741" s="51">
        <f>IF(INDEX(DarlBelegt,10)=0,0,EOMONTH(INDEX(DarlAuszahlung,10),417)+1)</f>
      </c>
      <c r="F4741" s="43">
        <f>IF($E4741=0,0,YEAR($E4741))</f>
      </c>
      <c r="G4741" s="43">
        <f>IF(INDEX(DarlBindung,10)="",1,IF($E4741&lt;=INDEX(DarlBindung,10),1,0))</f>
      </c>
      <c r="H4741" s="43">
        <f>IF($G4741=1,INDEX(DarlSollzins,10),INDEX(DarlAnschluss,10))</f>
      </c>
      <c r="I4741" s="43">
        <f>IF(INDEX(DarlBelegt,10)=0,0,IF(INDEX(DarlOhneTilgung,10)=1,IF(INDEX(DarlBindung,10)="",1,$G4741),IF($J4741&gt;0.005,1,0)))</f>
      </c>
      <c r="J4741" s="43">
        <f>IF($I4740=0,0,$R4740)</f>
      </c>
      <c r="K4741" s="43">
        <f>IF($I4741=0,0,IF(INDEX(DarlOhneTilgung,10)=1,0,IF(AND(INDEX(DarlTilgStart,10)&gt;0,$E4741=INDEX(DarlTilgStart,10)),$J4741*($H4741+INDEX(DarlTilgung,10))/100/12,IF(AND($G4741=0,$G4740=1),MAX($K4740,$J4741*($H4741+1)/100/12),$K4740))))</f>
      </c>
      <c r="L4741" s="43">
        <f>IF($I4741=0,0,$J4741*$H4741/100/12)</f>
      </c>
      <c r="M4741" s="43">
        <f>IF($I4741=0,0,IF(OR(INDEX(DarlOhneTilgung,10)=1,AND(INDEX(DarlTilgStart,10)&gt;0,$E4741&lt;INDEX(DarlTilgStart,10))),0,MIN(MAX(0,$K4741-$L4741),$J4741)))</f>
      </c>
      <c r="N4741" s="43">
        <f>IF($I4741=0,0,MIN(SUMIFS(SondBetrag,SondDarl,10,SondDatum,"&gt;="&amp;$E4741,SondDatum,"&lt;="&amp;EOMONTH($E4741,0)),$J4741-$M4741))</f>
      </c>
      <c r="O4741" s="43">
        <f>IF($I4741=0,0,INDEX(DarlErsatzRate,10))</f>
      </c>
      <c r="P4741" s="43">
        <f>IF($I4741=0,0,$Q4740*INDEX(DarlErsatzZins,10))</f>
      </c>
      <c r="Q4741" s="43">
        <f>IF($I4741=0,0,$Q4740+$P4741+$O4741)</f>
      </c>
      <c r="R4741" s="43">
        <f>IF($I4741=0,0,$J4741-$M4741-$N4741)</f>
      </c>
    </row>
    <row r="4742">
      <c r="A4742"/>
      <c r="B4742">
        <v>10</v>
      </c>
      <c r="C4742" s="43">
        <f>INDEX(DarlObj,10)</f>
      </c>
      <c r="D4742">
        <v>419</v>
      </c>
      <c r="E4742" s="51">
        <f>IF(INDEX(DarlBelegt,10)=0,0,EOMONTH(INDEX(DarlAuszahlung,10),418)+1)</f>
      </c>
      <c r="F4742" s="43">
        <f>IF($E4742=0,0,YEAR($E4742))</f>
      </c>
      <c r="G4742" s="43">
        <f>IF(INDEX(DarlBindung,10)="",1,IF($E4742&lt;=INDEX(DarlBindung,10),1,0))</f>
      </c>
      <c r="H4742" s="43">
        <f>IF($G4742=1,INDEX(DarlSollzins,10),INDEX(DarlAnschluss,10))</f>
      </c>
      <c r="I4742" s="43">
        <f>IF(INDEX(DarlBelegt,10)=0,0,IF(INDEX(DarlOhneTilgung,10)=1,IF(INDEX(DarlBindung,10)="",1,$G4742),IF($J4742&gt;0.005,1,0)))</f>
      </c>
      <c r="J4742" s="43">
        <f>IF($I4741=0,0,$R4741)</f>
      </c>
      <c r="K4742" s="43">
        <f>IF($I4742=0,0,IF(INDEX(DarlOhneTilgung,10)=1,0,IF(AND(INDEX(DarlTilgStart,10)&gt;0,$E4742=INDEX(DarlTilgStart,10)),$J4742*($H4742+INDEX(DarlTilgung,10))/100/12,IF(AND($G4742=0,$G4741=1),MAX($K4741,$J4742*($H4742+1)/100/12),$K4741))))</f>
      </c>
      <c r="L4742" s="43">
        <f>IF($I4742=0,0,$J4742*$H4742/100/12)</f>
      </c>
      <c r="M4742" s="43">
        <f>IF($I4742=0,0,IF(OR(INDEX(DarlOhneTilgung,10)=1,AND(INDEX(DarlTilgStart,10)&gt;0,$E4742&lt;INDEX(DarlTilgStart,10))),0,MIN(MAX(0,$K4742-$L4742),$J4742)))</f>
      </c>
      <c r="N4742" s="43">
        <f>IF($I4742=0,0,MIN(SUMIFS(SondBetrag,SondDarl,10,SondDatum,"&gt;="&amp;$E4742,SondDatum,"&lt;="&amp;EOMONTH($E4742,0)),$J4742-$M4742))</f>
      </c>
      <c r="O4742" s="43">
        <f>IF($I4742=0,0,INDEX(DarlErsatzRate,10))</f>
      </c>
      <c r="P4742" s="43">
        <f>IF($I4742=0,0,$Q4741*INDEX(DarlErsatzZins,10))</f>
      </c>
      <c r="Q4742" s="43">
        <f>IF($I4742=0,0,$Q4741+$P4742+$O4742)</f>
      </c>
      <c r="R4742" s="43">
        <f>IF($I4742=0,0,$J4742-$M4742-$N4742)</f>
      </c>
    </row>
    <row r="4743">
      <c r="A4743"/>
      <c r="B4743">
        <v>10</v>
      </c>
      <c r="C4743" s="43">
        <f>INDEX(DarlObj,10)</f>
      </c>
      <c r="D4743">
        <v>420</v>
      </c>
      <c r="E4743" s="51">
        <f>IF(INDEX(DarlBelegt,10)=0,0,EOMONTH(INDEX(DarlAuszahlung,10),419)+1)</f>
      </c>
      <c r="F4743" s="43">
        <f>IF($E4743=0,0,YEAR($E4743))</f>
      </c>
      <c r="G4743" s="43">
        <f>IF(INDEX(DarlBindung,10)="",1,IF($E4743&lt;=INDEX(DarlBindung,10),1,0))</f>
      </c>
      <c r="H4743" s="43">
        <f>IF($G4743=1,INDEX(DarlSollzins,10),INDEX(DarlAnschluss,10))</f>
      </c>
      <c r="I4743" s="43">
        <f>IF(INDEX(DarlBelegt,10)=0,0,IF(INDEX(DarlOhneTilgung,10)=1,IF(INDEX(DarlBindung,10)="",1,$G4743),IF($J4743&gt;0.005,1,0)))</f>
      </c>
      <c r="J4743" s="43">
        <f>IF($I4742=0,0,$R4742)</f>
      </c>
      <c r="K4743" s="43">
        <f>IF($I4743=0,0,IF(INDEX(DarlOhneTilgung,10)=1,0,IF(AND(INDEX(DarlTilgStart,10)&gt;0,$E4743=INDEX(DarlTilgStart,10)),$J4743*($H4743+INDEX(DarlTilgung,10))/100/12,IF(AND($G4743=0,$G4742=1),MAX($K4742,$J4743*($H4743+1)/100/12),$K4742))))</f>
      </c>
      <c r="L4743" s="43">
        <f>IF($I4743=0,0,$J4743*$H4743/100/12)</f>
      </c>
      <c r="M4743" s="43">
        <f>IF($I4743=0,0,IF(OR(INDEX(DarlOhneTilgung,10)=1,AND(INDEX(DarlTilgStart,10)&gt;0,$E4743&lt;INDEX(DarlTilgStart,10))),0,MIN(MAX(0,$K4743-$L4743),$J4743)))</f>
      </c>
      <c r="N4743" s="43">
        <f>IF($I4743=0,0,MIN(SUMIFS(SondBetrag,SondDarl,10,SondDatum,"&gt;="&amp;$E4743,SondDatum,"&lt;="&amp;EOMONTH($E4743,0)),$J4743-$M4743))</f>
      </c>
      <c r="O4743" s="43">
        <f>IF($I4743=0,0,INDEX(DarlErsatzRate,10))</f>
      </c>
      <c r="P4743" s="43">
        <f>IF($I4743=0,0,$Q4742*INDEX(DarlErsatzZins,10))</f>
      </c>
      <c r="Q4743" s="43">
        <f>IF($I4743=0,0,$Q4742+$P4743+$O4743)</f>
      </c>
      <c r="R4743" s="43">
        <f>IF($I4743=0,0,$J4743-$M4743-$N4743)</f>
      </c>
    </row>
    <row r="4744">
      <c r="A4744"/>
      <c r="B4744">
        <v>10</v>
      </c>
      <c r="C4744" s="43">
        <f>INDEX(DarlObj,10)</f>
      </c>
      <c r="D4744">
        <v>421</v>
      </c>
      <c r="E4744" s="51">
        <f>IF(INDEX(DarlBelegt,10)=0,0,EOMONTH(INDEX(DarlAuszahlung,10),420)+1)</f>
      </c>
      <c r="F4744" s="43">
        <f>IF($E4744=0,0,YEAR($E4744))</f>
      </c>
      <c r="G4744" s="43">
        <f>IF(INDEX(DarlBindung,10)="",1,IF($E4744&lt;=INDEX(DarlBindung,10),1,0))</f>
      </c>
      <c r="H4744" s="43">
        <f>IF($G4744=1,INDEX(DarlSollzins,10),INDEX(DarlAnschluss,10))</f>
      </c>
      <c r="I4744" s="43">
        <f>IF(INDEX(DarlBelegt,10)=0,0,IF(INDEX(DarlOhneTilgung,10)=1,IF(INDEX(DarlBindung,10)="",1,$G4744),IF($J4744&gt;0.005,1,0)))</f>
      </c>
      <c r="J4744" s="43">
        <f>IF($I4743=0,0,$R4743)</f>
      </c>
      <c r="K4744" s="43">
        <f>IF($I4744=0,0,IF(INDEX(DarlOhneTilgung,10)=1,0,IF(AND(INDEX(DarlTilgStart,10)&gt;0,$E4744=INDEX(DarlTilgStart,10)),$J4744*($H4744+INDEX(DarlTilgung,10))/100/12,IF(AND($G4744=0,$G4743=1),MAX($K4743,$J4744*($H4744+1)/100/12),$K4743))))</f>
      </c>
      <c r="L4744" s="43">
        <f>IF($I4744=0,0,$J4744*$H4744/100/12)</f>
      </c>
      <c r="M4744" s="43">
        <f>IF($I4744=0,0,IF(OR(INDEX(DarlOhneTilgung,10)=1,AND(INDEX(DarlTilgStart,10)&gt;0,$E4744&lt;INDEX(DarlTilgStart,10))),0,MIN(MAX(0,$K4744-$L4744),$J4744)))</f>
      </c>
      <c r="N4744" s="43">
        <f>IF($I4744=0,0,MIN(SUMIFS(SondBetrag,SondDarl,10,SondDatum,"&gt;="&amp;$E4744,SondDatum,"&lt;="&amp;EOMONTH($E4744,0)),$J4744-$M4744))</f>
      </c>
      <c r="O4744" s="43">
        <f>IF($I4744=0,0,INDEX(DarlErsatzRate,10))</f>
      </c>
      <c r="P4744" s="43">
        <f>IF($I4744=0,0,$Q4743*INDEX(DarlErsatzZins,10))</f>
      </c>
      <c r="Q4744" s="43">
        <f>IF($I4744=0,0,$Q4743+$P4744+$O4744)</f>
      </c>
      <c r="R4744" s="43">
        <f>IF($I4744=0,0,$J4744-$M4744-$N4744)</f>
      </c>
    </row>
    <row r="4745">
      <c r="A4745"/>
      <c r="B4745">
        <v>10</v>
      </c>
      <c r="C4745" s="43">
        <f>INDEX(DarlObj,10)</f>
      </c>
      <c r="D4745">
        <v>422</v>
      </c>
      <c r="E4745" s="51">
        <f>IF(INDEX(DarlBelegt,10)=0,0,EOMONTH(INDEX(DarlAuszahlung,10),421)+1)</f>
      </c>
      <c r="F4745" s="43">
        <f>IF($E4745=0,0,YEAR($E4745))</f>
      </c>
      <c r="G4745" s="43">
        <f>IF(INDEX(DarlBindung,10)="",1,IF($E4745&lt;=INDEX(DarlBindung,10),1,0))</f>
      </c>
      <c r="H4745" s="43">
        <f>IF($G4745=1,INDEX(DarlSollzins,10),INDEX(DarlAnschluss,10))</f>
      </c>
      <c r="I4745" s="43">
        <f>IF(INDEX(DarlBelegt,10)=0,0,IF(INDEX(DarlOhneTilgung,10)=1,IF(INDEX(DarlBindung,10)="",1,$G4745),IF($J4745&gt;0.005,1,0)))</f>
      </c>
      <c r="J4745" s="43">
        <f>IF($I4744=0,0,$R4744)</f>
      </c>
      <c r="K4745" s="43">
        <f>IF($I4745=0,0,IF(INDEX(DarlOhneTilgung,10)=1,0,IF(AND(INDEX(DarlTilgStart,10)&gt;0,$E4745=INDEX(DarlTilgStart,10)),$J4745*($H4745+INDEX(DarlTilgung,10))/100/12,IF(AND($G4745=0,$G4744=1),MAX($K4744,$J4745*($H4745+1)/100/12),$K4744))))</f>
      </c>
      <c r="L4745" s="43">
        <f>IF($I4745=0,0,$J4745*$H4745/100/12)</f>
      </c>
      <c r="M4745" s="43">
        <f>IF($I4745=0,0,IF(OR(INDEX(DarlOhneTilgung,10)=1,AND(INDEX(DarlTilgStart,10)&gt;0,$E4745&lt;INDEX(DarlTilgStart,10))),0,MIN(MAX(0,$K4745-$L4745),$J4745)))</f>
      </c>
      <c r="N4745" s="43">
        <f>IF($I4745=0,0,MIN(SUMIFS(SondBetrag,SondDarl,10,SondDatum,"&gt;="&amp;$E4745,SondDatum,"&lt;="&amp;EOMONTH($E4745,0)),$J4745-$M4745))</f>
      </c>
      <c r="O4745" s="43">
        <f>IF($I4745=0,0,INDEX(DarlErsatzRate,10))</f>
      </c>
      <c r="P4745" s="43">
        <f>IF($I4745=0,0,$Q4744*INDEX(DarlErsatzZins,10))</f>
      </c>
      <c r="Q4745" s="43">
        <f>IF($I4745=0,0,$Q4744+$P4745+$O4745)</f>
      </c>
      <c r="R4745" s="43">
        <f>IF($I4745=0,0,$J4745-$M4745-$N4745)</f>
      </c>
    </row>
    <row r="4746">
      <c r="A4746"/>
      <c r="B4746">
        <v>10</v>
      </c>
      <c r="C4746" s="43">
        <f>INDEX(DarlObj,10)</f>
      </c>
      <c r="D4746">
        <v>423</v>
      </c>
      <c r="E4746" s="51">
        <f>IF(INDEX(DarlBelegt,10)=0,0,EOMONTH(INDEX(DarlAuszahlung,10),422)+1)</f>
      </c>
      <c r="F4746" s="43">
        <f>IF($E4746=0,0,YEAR($E4746))</f>
      </c>
      <c r="G4746" s="43">
        <f>IF(INDEX(DarlBindung,10)="",1,IF($E4746&lt;=INDEX(DarlBindung,10),1,0))</f>
      </c>
      <c r="H4746" s="43">
        <f>IF($G4746=1,INDEX(DarlSollzins,10),INDEX(DarlAnschluss,10))</f>
      </c>
      <c r="I4746" s="43">
        <f>IF(INDEX(DarlBelegt,10)=0,0,IF(INDEX(DarlOhneTilgung,10)=1,IF(INDEX(DarlBindung,10)="",1,$G4746),IF($J4746&gt;0.005,1,0)))</f>
      </c>
      <c r="J4746" s="43">
        <f>IF($I4745=0,0,$R4745)</f>
      </c>
      <c r="K4746" s="43">
        <f>IF($I4746=0,0,IF(INDEX(DarlOhneTilgung,10)=1,0,IF(AND(INDEX(DarlTilgStart,10)&gt;0,$E4746=INDEX(DarlTilgStart,10)),$J4746*($H4746+INDEX(DarlTilgung,10))/100/12,IF(AND($G4746=0,$G4745=1),MAX($K4745,$J4746*($H4746+1)/100/12),$K4745))))</f>
      </c>
      <c r="L4746" s="43">
        <f>IF($I4746=0,0,$J4746*$H4746/100/12)</f>
      </c>
      <c r="M4746" s="43">
        <f>IF($I4746=0,0,IF(OR(INDEX(DarlOhneTilgung,10)=1,AND(INDEX(DarlTilgStart,10)&gt;0,$E4746&lt;INDEX(DarlTilgStart,10))),0,MIN(MAX(0,$K4746-$L4746),$J4746)))</f>
      </c>
      <c r="N4746" s="43">
        <f>IF($I4746=0,0,MIN(SUMIFS(SondBetrag,SondDarl,10,SondDatum,"&gt;="&amp;$E4746,SondDatum,"&lt;="&amp;EOMONTH($E4746,0)),$J4746-$M4746))</f>
      </c>
      <c r="O4746" s="43">
        <f>IF($I4746=0,0,INDEX(DarlErsatzRate,10))</f>
      </c>
      <c r="P4746" s="43">
        <f>IF($I4746=0,0,$Q4745*INDEX(DarlErsatzZins,10))</f>
      </c>
      <c r="Q4746" s="43">
        <f>IF($I4746=0,0,$Q4745+$P4746+$O4746)</f>
      </c>
      <c r="R4746" s="43">
        <f>IF($I4746=0,0,$J4746-$M4746-$N4746)</f>
      </c>
    </row>
    <row r="4747">
      <c r="A4747"/>
      <c r="B4747">
        <v>10</v>
      </c>
      <c r="C4747" s="43">
        <f>INDEX(DarlObj,10)</f>
      </c>
      <c r="D4747">
        <v>424</v>
      </c>
      <c r="E4747" s="51">
        <f>IF(INDEX(DarlBelegt,10)=0,0,EOMONTH(INDEX(DarlAuszahlung,10),423)+1)</f>
      </c>
      <c r="F4747" s="43">
        <f>IF($E4747=0,0,YEAR($E4747))</f>
      </c>
      <c r="G4747" s="43">
        <f>IF(INDEX(DarlBindung,10)="",1,IF($E4747&lt;=INDEX(DarlBindung,10),1,0))</f>
      </c>
      <c r="H4747" s="43">
        <f>IF($G4747=1,INDEX(DarlSollzins,10),INDEX(DarlAnschluss,10))</f>
      </c>
      <c r="I4747" s="43">
        <f>IF(INDEX(DarlBelegt,10)=0,0,IF(INDEX(DarlOhneTilgung,10)=1,IF(INDEX(DarlBindung,10)="",1,$G4747),IF($J4747&gt;0.005,1,0)))</f>
      </c>
      <c r="J4747" s="43">
        <f>IF($I4746=0,0,$R4746)</f>
      </c>
      <c r="K4747" s="43">
        <f>IF($I4747=0,0,IF(INDEX(DarlOhneTilgung,10)=1,0,IF(AND(INDEX(DarlTilgStart,10)&gt;0,$E4747=INDEX(DarlTilgStart,10)),$J4747*($H4747+INDEX(DarlTilgung,10))/100/12,IF(AND($G4747=0,$G4746=1),MAX($K4746,$J4747*($H4747+1)/100/12),$K4746))))</f>
      </c>
      <c r="L4747" s="43">
        <f>IF($I4747=0,0,$J4747*$H4747/100/12)</f>
      </c>
      <c r="M4747" s="43">
        <f>IF($I4747=0,0,IF(OR(INDEX(DarlOhneTilgung,10)=1,AND(INDEX(DarlTilgStart,10)&gt;0,$E4747&lt;INDEX(DarlTilgStart,10))),0,MIN(MAX(0,$K4747-$L4747),$J4747)))</f>
      </c>
      <c r="N4747" s="43">
        <f>IF($I4747=0,0,MIN(SUMIFS(SondBetrag,SondDarl,10,SondDatum,"&gt;="&amp;$E4747,SondDatum,"&lt;="&amp;EOMONTH($E4747,0)),$J4747-$M4747))</f>
      </c>
      <c r="O4747" s="43">
        <f>IF($I4747=0,0,INDEX(DarlErsatzRate,10))</f>
      </c>
      <c r="P4747" s="43">
        <f>IF($I4747=0,0,$Q4746*INDEX(DarlErsatzZins,10))</f>
      </c>
      <c r="Q4747" s="43">
        <f>IF($I4747=0,0,$Q4746+$P4747+$O4747)</f>
      </c>
      <c r="R4747" s="43">
        <f>IF($I4747=0,0,$J4747-$M4747-$N4747)</f>
      </c>
    </row>
    <row r="4748">
      <c r="A4748"/>
      <c r="B4748">
        <v>10</v>
      </c>
      <c r="C4748" s="43">
        <f>INDEX(DarlObj,10)</f>
      </c>
      <c r="D4748">
        <v>425</v>
      </c>
      <c r="E4748" s="51">
        <f>IF(INDEX(DarlBelegt,10)=0,0,EOMONTH(INDEX(DarlAuszahlung,10),424)+1)</f>
      </c>
      <c r="F4748" s="43">
        <f>IF($E4748=0,0,YEAR($E4748))</f>
      </c>
      <c r="G4748" s="43">
        <f>IF(INDEX(DarlBindung,10)="",1,IF($E4748&lt;=INDEX(DarlBindung,10),1,0))</f>
      </c>
      <c r="H4748" s="43">
        <f>IF($G4748=1,INDEX(DarlSollzins,10),INDEX(DarlAnschluss,10))</f>
      </c>
      <c r="I4748" s="43">
        <f>IF(INDEX(DarlBelegt,10)=0,0,IF(INDEX(DarlOhneTilgung,10)=1,IF(INDEX(DarlBindung,10)="",1,$G4748),IF($J4748&gt;0.005,1,0)))</f>
      </c>
      <c r="J4748" s="43">
        <f>IF($I4747=0,0,$R4747)</f>
      </c>
      <c r="K4748" s="43">
        <f>IF($I4748=0,0,IF(INDEX(DarlOhneTilgung,10)=1,0,IF(AND(INDEX(DarlTilgStart,10)&gt;0,$E4748=INDEX(DarlTilgStart,10)),$J4748*($H4748+INDEX(DarlTilgung,10))/100/12,IF(AND($G4748=0,$G4747=1),MAX($K4747,$J4748*($H4748+1)/100/12),$K4747))))</f>
      </c>
      <c r="L4748" s="43">
        <f>IF($I4748=0,0,$J4748*$H4748/100/12)</f>
      </c>
      <c r="M4748" s="43">
        <f>IF($I4748=0,0,IF(OR(INDEX(DarlOhneTilgung,10)=1,AND(INDEX(DarlTilgStart,10)&gt;0,$E4748&lt;INDEX(DarlTilgStart,10))),0,MIN(MAX(0,$K4748-$L4748),$J4748)))</f>
      </c>
      <c r="N4748" s="43">
        <f>IF($I4748=0,0,MIN(SUMIFS(SondBetrag,SondDarl,10,SondDatum,"&gt;="&amp;$E4748,SondDatum,"&lt;="&amp;EOMONTH($E4748,0)),$J4748-$M4748))</f>
      </c>
      <c r="O4748" s="43">
        <f>IF($I4748=0,0,INDEX(DarlErsatzRate,10))</f>
      </c>
      <c r="P4748" s="43">
        <f>IF($I4748=0,0,$Q4747*INDEX(DarlErsatzZins,10))</f>
      </c>
      <c r="Q4748" s="43">
        <f>IF($I4748=0,0,$Q4747+$P4748+$O4748)</f>
      </c>
      <c r="R4748" s="43">
        <f>IF($I4748=0,0,$J4748-$M4748-$N4748)</f>
      </c>
    </row>
    <row r="4749">
      <c r="A4749"/>
      <c r="B4749">
        <v>10</v>
      </c>
      <c r="C4749" s="43">
        <f>INDEX(DarlObj,10)</f>
      </c>
      <c r="D4749">
        <v>426</v>
      </c>
      <c r="E4749" s="51">
        <f>IF(INDEX(DarlBelegt,10)=0,0,EOMONTH(INDEX(DarlAuszahlung,10),425)+1)</f>
      </c>
      <c r="F4749" s="43">
        <f>IF($E4749=0,0,YEAR($E4749))</f>
      </c>
      <c r="G4749" s="43">
        <f>IF(INDEX(DarlBindung,10)="",1,IF($E4749&lt;=INDEX(DarlBindung,10),1,0))</f>
      </c>
      <c r="H4749" s="43">
        <f>IF($G4749=1,INDEX(DarlSollzins,10),INDEX(DarlAnschluss,10))</f>
      </c>
      <c r="I4749" s="43">
        <f>IF(INDEX(DarlBelegt,10)=0,0,IF(INDEX(DarlOhneTilgung,10)=1,IF(INDEX(DarlBindung,10)="",1,$G4749),IF($J4749&gt;0.005,1,0)))</f>
      </c>
      <c r="J4749" s="43">
        <f>IF($I4748=0,0,$R4748)</f>
      </c>
      <c r="K4749" s="43">
        <f>IF($I4749=0,0,IF(INDEX(DarlOhneTilgung,10)=1,0,IF(AND(INDEX(DarlTilgStart,10)&gt;0,$E4749=INDEX(DarlTilgStart,10)),$J4749*($H4749+INDEX(DarlTilgung,10))/100/12,IF(AND($G4749=0,$G4748=1),MAX($K4748,$J4749*($H4749+1)/100/12),$K4748))))</f>
      </c>
      <c r="L4749" s="43">
        <f>IF($I4749=0,0,$J4749*$H4749/100/12)</f>
      </c>
      <c r="M4749" s="43">
        <f>IF($I4749=0,0,IF(OR(INDEX(DarlOhneTilgung,10)=1,AND(INDEX(DarlTilgStart,10)&gt;0,$E4749&lt;INDEX(DarlTilgStart,10))),0,MIN(MAX(0,$K4749-$L4749),$J4749)))</f>
      </c>
      <c r="N4749" s="43">
        <f>IF($I4749=0,0,MIN(SUMIFS(SondBetrag,SondDarl,10,SondDatum,"&gt;="&amp;$E4749,SondDatum,"&lt;="&amp;EOMONTH($E4749,0)),$J4749-$M4749))</f>
      </c>
      <c r="O4749" s="43">
        <f>IF($I4749=0,0,INDEX(DarlErsatzRate,10))</f>
      </c>
      <c r="P4749" s="43">
        <f>IF($I4749=0,0,$Q4748*INDEX(DarlErsatzZins,10))</f>
      </c>
      <c r="Q4749" s="43">
        <f>IF($I4749=0,0,$Q4748+$P4749+$O4749)</f>
      </c>
      <c r="R4749" s="43">
        <f>IF($I4749=0,0,$J4749-$M4749-$N4749)</f>
      </c>
    </row>
    <row r="4750">
      <c r="A4750"/>
      <c r="B4750">
        <v>10</v>
      </c>
      <c r="C4750" s="43">
        <f>INDEX(DarlObj,10)</f>
      </c>
      <c r="D4750">
        <v>427</v>
      </c>
      <c r="E4750" s="51">
        <f>IF(INDEX(DarlBelegt,10)=0,0,EOMONTH(INDEX(DarlAuszahlung,10),426)+1)</f>
      </c>
      <c r="F4750" s="43">
        <f>IF($E4750=0,0,YEAR($E4750))</f>
      </c>
      <c r="G4750" s="43">
        <f>IF(INDEX(DarlBindung,10)="",1,IF($E4750&lt;=INDEX(DarlBindung,10),1,0))</f>
      </c>
      <c r="H4750" s="43">
        <f>IF($G4750=1,INDEX(DarlSollzins,10),INDEX(DarlAnschluss,10))</f>
      </c>
      <c r="I4750" s="43">
        <f>IF(INDEX(DarlBelegt,10)=0,0,IF(INDEX(DarlOhneTilgung,10)=1,IF(INDEX(DarlBindung,10)="",1,$G4750),IF($J4750&gt;0.005,1,0)))</f>
      </c>
      <c r="J4750" s="43">
        <f>IF($I4749=0,0,$R4749)</f>
      </c>
      <c r="K4750" s="43">
        <f>IF($I4750=0,0,IF(INDEX(DarlOhneTilgung,10)=1,0,IF(AND(INDEX(DarlTilgStart,10)&gt;0,$E4750=INDEX(DarlTilgStart,10)),$J4750*($H4750+INDEX(DarlTilgung,10))/100/12,IF(AND($G4750=0,$G4749=1),MAX($K4749,$J4750*($H4750+1)/100/12),$K4749))))</f>
      </c>
      <c r="L4750" s="43">
        <f>IF($I4750=0,0,$J4750*$H4750/100/12)</f>
      </c>
      <c r="M4750" s="43">
        <f>IF($I4750=0,0,IF(OR(INDEX(DarlOhneTilgung,10)=1,AND(INDEX(DarlTilgStart,10)&gt;0,$E4750&lt;INDEX(DarlTilgStart,10))),0,MIN(MAX(0,$K4750-$L4750),$J4750)))</f>
      </c>
      <c r="N4750" s="43">
        <f>IF($I4750=0,0,MIN(SUMIFS(SondBetrag,SondDarl,10,SondDatum,"&gt;="&amp;$E4750,SondDatum,"&lt;="&amp;EOMONTH($E4750,0)),$J4750-$M4750))</f>
      </c>
      <c r="O4750" s="43">
        <f>IF($I4750=0,0,INDEX(DarlErsatzRate,10))</f>
      </c>
      <c r="P4750" s="43">
        <f>IF($I4750=0,0,$Q4749*INDEX(DarlErsatzZins,10))</f>
      </c>
      <c r="Q4750" s="43">
        <f>IF($I4750=0,0,$Q4749+$P4750+$O4750)</f>
      </c>
      <c r="R4750" s="43">
        <f>IF($I4750=0,0,$J4750-$M4750-$N4750)</f>
      </c>
    </row>
    <row r="4751">
      <c r="A4751"/>
      <c r="B4751">
        <v>10</v>
      </c>
      <c r="C4751" s="43">
        <f>INDEX(DarlObj,10)</f>
      </c>
      <c r="D4751">
        <v>428</v>
      </c>
      <c r="E4751" s="51">
        <f>IF(INDEX(DarlBelegt,10)=0,0,EOMONTH(INDEX(DarlAuszahlung,10),427)+1)</f>
      </c>
      <c r="F4751" s="43">
        <f>IF($E4751=0,0,YEAR($E4751))</f>
      </c>
      <c r="G4751" s="43">
        <f>IF(INDEX(DarlBindung,10)="",1,IF($E4751&lt;=INDEX(DarlBindung,10),1,0))</f>
      </c>
      <c r="H4751" s="43">
        <f>IF($G4751=1,INDEX(DarlSollzins,10),INDEX(DarlAnschluss,10))</f>
      </c>
      <c r="I4751" s="43">
        <f>IF(INDEX(DarlBelegt,10)=0,0,IF(INDEX(DarlOhneTilgung,10)=1,IF(INDEX(DarlBindung,10)="",1,$G4751),IF($J4751&gt;0.005,1,0)))</f>
      </c>
      <c r="J4751" s="43">
        <f>IF($I4750=0,0,$R4750)</f>
      </c>
      <c r="K4751" s="43">
        <f>IF($I4751=0,0,IF(INDEX(DarlOhneTilgung,10)=1,0,IF(AND(INDEX(DarlTilgStart,10)&gt;0,$E4751=INDEX(DarlTilgStart,10)),$J4751*($H4751+INDEX(DarlTilgung,10))/100/12,IF(AND($G4751=0,$G4750=1),MAX($K4750,$J4751*($H4751+1)/100/12),$K4750))))</f>
      </c>
      <c r="L4751" s="43">
        <f>IF($I4751=0,0,$J4751*$H4751/100/12)</f>
      </c>
      <c r="M4751" s="43">
        <f>IF($I4751=0,0,IF(OR(INDEX(DarlOhneTilgung,10)=1,AND(INDEX(DarlTilgStart,10)&gt;0,$E4751&lt;INDEX(DarlTilgStart,10))),0,MIN(MAX(0,$K4751-$L4751),$J4751)))</f>
      </c>
      <c r="N4751" s="43">
        <f>IF($I4751=0,0,MIN(SUMIFS(SondBetrag,SondDarl,10,SondDatum,"&gt;="&amp;$E4751,SondDatum,"&lt;="&amp;EOMONTH($E4751,0)),$J4751-$M4751))</f>
      </c>
      <c r="O4751" s="43">
        <f>IF($I4751=0,0,INDEX(DarlErsatzRate,10))</f>
      </c>
      <c r="P4751" s="43">
        <f>IF($I4751=0,0,$Q4750*INDEX(DarlErsatzZins,10))</f>
      </c>
      <c r="Q4751" s="43">
        <f>IF($I4751=0,0,$Q4750+$P4751+$O4751)</f>
      </c>
      <c r="R4751" s="43">
        <f>IF($I4751=0,0,$J4751-$M4751-$N4751)</f>
      </c>
    </row>
    <row r="4752">
      <c r="A4752"/>
      <c r="B4752">
        <v>10</v>
      </c>
      <c r="C4752" s="43">
        <f>INDEX(DarlObj,10)</f>
      </c>
      <c r="D4752">
        <v>429</v>
      </c>
      <c r="E4752" s="51">
        <f>IF(INDEX(DarlBelegt,10)=0,0,EOMONTH(INDEX(DarlAuszahlung,10),428)+1)</f>
      </c>
      <c r="F4752" s="43">
        <f>IF($E4752=0,0,YEAR($E4752))</f>
      </c>
      <c r="G4752" s="43">
        <f>IF(INDEX(DarlBindung,10)="",1,IF($E4752&lt;=INDEX(DarlBindung,10),1,0))</f>
      </c>
      <c r="H4752" s="43">
        <f>IF($G4752=1,INDEX(DarlSollzins,10),INDEX(DarlAnschluss,10))</f>
      </c>
      <c r="I4752" s="43">
        <f>IF(INDEX(DarlBelegt,10)=0,0,IF(INDEX(DarlOhneTilgung,10)=1,IF(INDEX(DarlBindung,10)="",1,$G4752),IF($J4752&gt;0.005,1,0)))</f>
      </c>
      <c r="J4752" s="43">
        <f>IF($I4751=0,0,$R4751)</f>
      </c>
      <c r="K4752" s="43">
        <f>IF($I4752=0,0,IF(INDEX(DarlOhneTilgung,10)=1,0,IF(AND(INDEX(DarlTilgStart,10)&gt;0,$E4752=INDEX(DarlTilgStart,10)),$J4752*($H4752+INDEX(DarlTilgung,10))/100/12,IF(AND($G4752=0,$G4751=1),MAX($K4751,$J4752*($H4752+1)/100/12),$K4751))))</f>
      </c>
      <c r="L4752" s="43">
        <f>IF($I4752=0,0,$J4752*$H4752/100/12)</f>
      </c>
      <c r="M4752" s="43">
        <f>IF($I4752=0,0,IF(OR(INDEX(DarlOhneTilgung,10)=1,AND(INDEX(DarlTilgStart,10)&gt;0,$E4752&lt;INDEX(DarlTilgStart,10))),0,MIN(MAX(0,$K4752-$L4752),$J4752)))</f>
      </c>
      <c r="N4752" s="43">
        <f>IF($I4752=0,0,MIN(SUMIFS(SondBetrag,SondDarl,10,SondDatum,"&gt;="&amp;$E4752,SondDatum,"&lt;="&amp;EOMONTH($E4752,0)),$J4752-$M4752))</f>
      </c>
      <c r="O4752" s="43">
        <f>IF($I4752=0,0,INDEX(DarlErsatzRate,10))</f>
      </c>
      <c r="P4752" s="43">
        <f>IF($I4752=0,0,$Q4751*INDEX(DarlErsatzZins,10))</f>
      </c>
      <c r="Q4752" s="43">
        <f>IF($I4752=0,0,$Q4751+$P4752+$O4752)</f>
      </c>
      <c r="R4752" s="43">
        <f>IF($I4752=0,0,$J4752-$M4752-$N4752)</f>
      </c>
    </row>
    <row r="4753">
      <c r="A4753"/>
      <c r="B4753">
        <v>10</v>
      </c>
      <c r="C4753" s="43">
        <f>INDEX(DarlObj,10)</f>
      </c>
      <c r="D4753">
        <v>430</v>
      </c>
      <c r="E4753" s="51">
        <f>IF(INDEX(DarlBelegt,10)=0,0,EOMONTH(INDEX(DarlAuszahlung,10),429)+1)</f>
      </c>
      <c r="F4753" s="43">
        <f>IF($E4753=0,0,YEAR($E4753))</f>
      </c>
      <c r="G4753" s="43">
        <f>IF(INDEX(DarlBindung,10)="",1,IF($E4753&lt;=INDEX(DarlBindung,10),1,0))</f>
      </c>
      <c r="H4753" s="43">
        <f>IF($G4753=1,INDEX(DarlSollzins,10),INDEX(DarlAnschluss,10))</f>
      </c>
      <c r="I4753" s="43">
        <f>IF(INDEX(DarlBelegt,10)=0,0,IF(INDEX(DarlOhneTilgung,10)=1,IF(INDEX(DarlBindung,10)="",1,$G4753),IF($J4753&gt;0.005,1,0)))</f>
      </c>
      <c r="J4753" s="43">
        <f>IF($I4752=0,0,$R4752)</f>
      </c>
      <c r="K4753" s="43">
        <f>IF($I4753=0,0,IF(INDEX(DarlOhneTilgung,10)=1,0,IF(AND(INDEX(DarlTilgStart,10)&gt;0,$E4753=INDEX(DarlTilgStart,10)),$J4753*($H4753+INDEX(DarlTilgung,10))/100/12,IF(AND($G4753=0,$G4752=1),MAX($K4752,$J4753*($H4753+1)/100/12),$K4752))))</f>
      </c>
      <c r="L4753" s="43">
        <f>IF($I4753=0,0,$J4753*$H4753/100/12)</f>
      </c>
      <c r="M4753" s="43">
        <f>IF($I4753=0,0,IF(OR(INDEX(DarlOhneTilgung,10)=1,AND(INDEX(DarlTilgStart,10)&gt;0,$E4753&lt;INDEX(DarlTilgStart,10))),0,MIN(MAX(0,$K4753-$L4753),$J4753)))</f>
      </c>
      <c r="N4753" s="43">
        <f>IF($I4753=0,0,MIN(SUMIFS(SondBetrag,SondDarl,10,SondDatum,"&gt;="&amp;$E4753,SondDatum,"&lt;="&amp;EOMONTH($E4753,0)),$J4753-$M4753))</f>
      </c>
      <c r="O4753" s="43">
        <f>IF($I4753=0,0,INDEX(DarlErsatzRate,10))</f>
      </c>
      <c r="P4753" s="43">
        <f>IF($I4753=0,0,$Q4752*INDEX(DarlErsatzZins,10))</f>
      </c>
      <c r="Q4753" s="43">
        <f>IF($I4753=0,0,$Q4752+$P4753+$O4753)</f>
      </c>
      <c r="R4753" s="43">
        <f>IF($I4753=0,0,$J4753-$M4753-$N4753)</f>
      </c>
    </row>
    <row r="4754">
      <c r="A4754"/>
      <c r="B4754">
        <v>10</v>
      </c>
      <c r="C4754" s="43">
        <f>INDEX(DarlObj,10)</f>
      </c>
      <c r="D4754">
        <v>431</v>
      </c>
      <c r="E4754" s="51">
        <f>IF(INDEX(DarlBelegt,10)=0,0,EOMONTH(INDEX(DarlAuszahlung,10),430)+1)</f>
      </c>
      <c r="F4754" s="43">
        <f>IF($E4754=0,0,YEAR($E4754))</f>
      </c>
      <c r="G4754" s="43">
        <f>IF(INDEX(DarlBindung,10)="",1,IF($E4754&lt;=INDEX(DarlBindung,10),1,0))</f>
      </c>
      <c r="H4754" s="43">
        <f>IF($G4754=1,INDEX(DarlSollzins,10),INDEX(DarlAnschluss,10))</f>
      </c>
      <c r="I4754" s="43">
        <f>IF(INDEX(DarlBelegt,10)=0,0,IF(INDEX(DarlOhneTilgung,10)=1,IF(INDEX(DarlBindung,10)="",1,$G4754),IF($J4754&gt;0.005,1,0)))</f>
      </c>
      <c r="J4754" s="43">
        <f>IF($I4753=0,0,$R4753)</f>
      </c>
      <c r="K4754" s="43">
        <f>IF($I4754=0,0,IF(INDEX(DarlOhneTilgung,10)=1,0,IF(AND(INDEX(DarlTilgStart,10)&gt;0,$E4754=INDEX(DarlTilgStart,10)),$J4754*($H4754+INDEX(DarlTilgung,10))/100/12,IF(AND($G4754=0,$G4753=1),MAX($K4753,$J4754*($H4754+1)/100/12),$K4753))))</f>
      </c>
      <c r="L4754" s="43">
        <f>IF($I4754=0,0,$J4754*$H4754/100/12)</f>
      </c>
      <c r="M4754" s="43">
        <f>IF($I4754=0,0,IF(OR(INDEX(DarlOhneTilgung,10)=1,AND(INDEX(DarlTilgStart,10)&gt;0,$E4754&lt;INDEX(DarlTilgStart,10))),0,MIN(MAX(0,$K4754-$L4754),$J4754)))</f>
      </c>
      <c r="N4754" s="43">
        <f>IF($I4754=0,0,MIN(SUMIFS(SondBetrag,SondDarl,10,SondDatum,"&gt;="&amp;$E4754,SondDatum,"&lt;="&amp;EOMONTH($E4754,0)),$J4754-$M4754))</f>
      </c>
      <c r="O4754" s="43">
        <f>IF($I4754=0,0,INDEX(DarlErsatzRate,10))</f>
      </c>
      <c r="P4754" s="43">
        <f>IF($I4754=0,0,$Q4753*INDEX(DarlErsatzZins,10))</f>
      </c>
      <c r="Q4754" s="43">
        <f>IF($I4754=0,0,$Q4753+$P4754+$O4754)</f>
      </c>
      <c r="R4754" s="43">
        <f>IF($I4754=0,0,$J4754-$M4754-$N4754)</f>
      </c>
    </row>
    <row r="4755">
      <c r="A4755"/>
      <c r="B4755">
        <v>10</v>
      </c>
      <c r="C4755" s="43">
        <f>INDEX(DarlObj,10)</f>
      </c>
      <c r="D4755">
        <v>432</v>
      </c>
      <c r="E4755" s="51">
        <f>IF(INDEX(DarlBelegt,10)=0,0,EOMONTH(INDEX(DarlAuszahlung,10),431)+1)</f>
      </c>
      <c r="F4755" s="43">
        <f>IF($E4755=0,0,YEAR($E4755))</f>
      </c>
      <c r="G4755" s="43">
        <f>IF(INDEX(DarlBindung,10)="",1,IF($E4755&lt;=INDEX(DarlBindung,10),1,0))</f>
      </c>
      <c r="H4755" s="43">
        <f>IF($G4755=1,INDEX(DarlSollzins,10),INDEX(DarlAnschluss,10))</f>
      </c>
      <c r="I4755" s="43">
        <f>IF(INDEX(DarlBelegt,10)=0,0,IF(INDEX(DarlOhneTilgung,10)=1,IF(INDEX(DarlBindung,10)="",1,$G4755),IF($J4755&gt;0.005,1,0)))</f>
      </c>
      <c r="J4755" s="43">
        <f>IF($I4754=0,0,$R4754)</f>
      </c>
      <c r="K4755" s="43">
        <f>IF($I4755=0,0,IF(INDEX(DarlOhneTilgung,10)=1,0,IF(AND(INDEX(DarlTilgStart,10)&gt;0,$E4755=INDEX(DarlTilgStart,10)),$J4755*($H4755+INDEX(DarlTilgung,10))/100/12,IF(AND($G4755=0,$G4754=1),MAX($K4754,$J4755*($H4755+1)/100/12),$K4754))))</f>
      </c>
      <c r="L4755" s="43">
        <f>IF($I4755=0,0,$J4755*$H4755/100/12)</f>
      </c>
      <c r="M4755" s="43">
        <f>IF($I4755=0,0,IF(OR(INDEX(DarlOhneTilgung,10)=1,AND(INDEX(DarlTilgStart,10)&gt;0,$E4755&lt;INDEX(DarlTilgStart,10))),0,MIN(MAX(0,$K4755-$L4755),$J4755)))</f>
      </c>
      <c r="N4755" s="43">
        <f>IF($I4755=0,0,MIN(SUMIFS(SondBetrag,SondDarl,10,SondDatum,"&gt;="&amp;$E4755,SondDatum,"&lt;="&amp;EOMONTH($E4755,0)),$J4755-$M4755))</f>
      </c>
      <c r="O4755" s="43">
        <f>IF($I4755=0,0,INDEX(DarlErsatzRate,10))</f>
      </c>
      <c r="P4755" s="43">
        <f>IF($I4755=0,0,$Q4754*INDEX(DarlErsatzZins,10))</f>
      </c>
      <c r="Q4755" s="43">
        <f>IF($I4755=0,0,$Q4754+$P4755+$O4755)</f>
      </c>
      <c r="R4755" s="43">
        <f>IF($I4755=0,0,$J4755-$M4755-$N4755)</f>
      </c>
    </row>
    <row r="4756">
      <c r="A4756"/>
      <c r="B4756">
        <v>10</v>
      </c>
      <c r="C4756" s="43">
        <f>INDEX(DarlObj,10)</f>
      </c>
      <c r="D4756">
        <v>433</v>
      </c>
      <c r="E4756" s="51">
        <f>IF(INDEX(DarlBelegt,10)=0,0,EOMONTH(INDEX(DarlAuszahlung,10),432)+1)</f>
      </c>
      <c r="F4756" s="43">
        <f>IF($E4756=0,0,YEAR($E4756))</f>
      </c>
      <c r="G4756" s="43">
        <f>IF(INDEX(DarlBindung,10)="",1,IF($E4756&lt;=INDEX(DarlBindung,10),1,0))</f>
      </c>
      <c r="H4756" s="43">
        <f>IF($G4756=1,INDEX(DarlSollzins,10),INDEX(DarlAnschluss,10))</f>
      </c>
      <c r="I4756" s="43">
        <f>IF(INDEX(DarlBelegt,10)=0,0,IF(INDEX(DarlOhneTilgung,10)=1,IF(INDEX(DarlBindung,10)="",1,$G4756),IF($J4756&gt;0.005,1,0)))</f>
      </c>
      <c r="J4756" s="43">
        <f>IF($I4755=0,0,$R4755)</f>
      </c>
      <c r="K4756" s="43">
        <f>IF($I4756=0,0,IF(INDEX(DarlOhneTilgung,10)=1,0,IF(AND(INDEX(DarlTilgStart,10)&gt;0,$E4756=INDEX(DarlTilgStart,10)),$J4756*($H4756+INDEX(DarlTilgung,10))/100/12,IF(AND($G4756=0,$G4755=1),MAX($K4755,$J4756*($H4756+1)/100/12),$K4755))))</f>
      </c>
      <c r="L4756" s="43">
        <f>IF($I4756=0,0,$J4756*$H4756/100/12)</f>
      </c>
      <c r="M4756" s="43">
        <f>IF($I4756=0,0,IF(OR(INDEX(DarlOhneTilgung,10)=1,AND(INDEX(DarlTilgStart,10)&gt;0,$E4756&lt;INDEX(DarlTilgStart,10))),0,MIN(MAX(0,$K4756-$L4756),$J4756)))</f>
      </c>
      <c r="N4756" s="43">
        <f>IF($I4756=0,0,MIN(SUMIFS(SondBetrag,SondDarl,10,SondDatum,"&gt;="&amp;$E4756,SondDatum,"&lt;="&amp;EOMONTH($E4756,0)),$J4756-$M4756))</f>
      </c>
      <c r="O4756" s="43">
        <f>IF($I4756=0,0,INDEX(DarlErsatzRate,10))</f>
      </c>
      <c r="P4756" s="43">
        <f>IF($I4756=0,0,$Q4755*INDEX(DarlErsatzZins,10))</f>
      </c>
      <c r="Q4756" s="43">
        <f>IF($I4756=0,0,$Q4755+$P4756+$O4756)</f>
      </c>
      <c r="R4756" s="43">
        <f>IF($I4756=0,0,$J4756-$M4756-$N4756)</f>
      </c>
    </row>
    <row r="4757">
      <c r="A4757"/>
      <c r="B4757">
        <v>10</v>
      </c>
      <c r="C4757" s="43">
        <f>INDEX(DarlObj,10)</f>
      </c>
      <c r="D4757">
        <v>434</v>
      </c>
      <c r="E4757" s="51">
        <f>IF(INDEX(DarlBelegt,10)=0,0,EOMONTH(INDEX(DarlAuszahlung,10),433)+1)</f>
      </c>
      <c r="F4757" s="43">
        <f>IF($E4757=0,0,YEAR($E4757))</f>
      </c>
      <c r="G4757" s="43">
        <f>IF(INDEX(DarlBindung,10)="",1,IF($E4757&lt;=INDEX(DarlBindung,10),1,0))</f>
      </c>
      <c r="H4757" s="43">
        <f>IF($G4757=1,INDEX(DarlSollzins,10),INDEX(DarlAnschluss,10))</f>
      </c>
      <c r="I4757" s="43">
        <f>IF(INDEX(DarlBelegt,10)=0,0,IF(INDEX(DarlOhneTilgung,10)=1,IF(INDEX(DarlBindung,10)="",1,$G4757),IF($J4757&gt;0.005,1,0)))</f>
      </c>
      <c r="J4757" s="43">
        <f>IF($I4756=0,0,$R4756)</f>
      </c>
      <c r="K4757" s="43">
        <f>IF($I4757=0,0,IF(INDEX(DarlOhneTilgung,10)=1,0,IF(AND(INDEX(DarlTilgStart,10)&gt;0,$E4757=INDEX(DarlTilgStart,10)),$J4757*($H4757+INDEX(DarlTilgung,10))/100/12,IF(AND($G4757=0,$G4756=1),MAX($K4756,$J4757*($H4757+1)/100/12),$K4756))))</f>
      </c>
      <c r="L4757" s="43">
        <f>IF($I4757=0,0,$J4757*$H4757/100/12)</f>
      </c>
      <c r="M4757" s="43">
        <f>IF($I4757=0,0,IF(OR(INDEX(DarlOhneTilgung,10)=1,AND(INDEX(DarlTilgStart,10)&gt;0,$E4757&lt;INDEX(DarlTilgStart,10))),0,MIN(MAX(0,$K4757-$L4757),$J4757)))</f>
      </c>
      <c r="N4757" s="43">
        <f>IF($I4757=0,0,MIN(SUMIFS(SondBetrag,SondDarl,10,SondDatum,"&gt;="&amp;$E4757,SondDatum,"&lt;="&amp;EOMONTH($E4757,0)),$J4757-$M4757))</f>
      </c>
      <c r="O4757" s="43">
        <f>IF($I4757=0,0,INDEX(DarlErsatzRate,10))</f>
      </c>
      <c r="P4757" s="43">
        <f>IF($I4757=0,0,$Q4756*INDEX(DarlErsatzZins,10))</f>
      </c>
      <c r="Q4757" s="43">
        <f>IF($I4757=0,0,$Q4756+$P4757+$O4757)</f>
      </c>
      <c r="R4757" s="43">
        <f>IF($I4757=0,0,$J4757-$M4757-$N4757)</f>
      </c>
    </row>
    <row r="4758">
      <c r="A4758"/>
      <c r="B4758">
        <v>10</v>
      </c>
      <c r="C4758" s="43">
        <f>INDEX(DarlObj,10)</f>
      </c>
      <c r="D4758">
        <v>435</v>
      </c>
      <c r="E4758" s="51">
        <f>IF(INDEX(DarlBelegt,10)=0,0,EOMONTH(INDEX(DarlAuszahlung,10),434)+1)</f>
      </c>
      <c r="F4758" s="43">
        <f>IF($E4758=0,0,YEAR($E4758))</f>
      </c>
      <c r="G4758" s="43">
        <f>IF(INDEX(DarlBindung,10)="",1,IF($E4758&lt;=INDEX(DarlBindung,10),1,0))</f>
      </c>
      <c r="H4758" s="43">
        <f>IF($G4758=1,INDEX(DarlSollzins,10),INDEX(DarlAnschluss,10))</f>
      </c>
      <c r="I4758" s="43">
        <f>IF(INDEX(DarlBelegt,10)=0,0,IF(INDEX(DarlOhneTilgung,10)=1,IF(INDEX(DarlBindung,10)="",1,$G4758),IF($J4758&gt;0.005,1,0)))</f>
      </c>
      <c r="J4758" s="43">
        <f>IF($I4757=0,0,$R4757)</f>
      </c>
      <c r="K4758" s="43">
        <f>IF($I4758=0,0,IF(INDEX(DarlOhneTilgung,10)=1,0,IF(AND(INDEX(DarlTilgStart,10)&gt;0,$E4758=INDEX(DarlTilgStart,10)),$J4758*($H4758+INDEX(DarlTilgung,10))/100/12,IF(AND($G4758=0,$G4757=1),MAX($K4757,$J4758*($H4758+1)/100/12),$K4757))))</f>
      </c>
      <c r="L4758" s="43">
        <f>IF($I4758=0,0,$J4758*$H4758/100/12)</f>
      </c>
      <c r="M4758" s="43">
        <f>IF($I4758=0,0,IF(OR(INDEX(DarlOhneTilgung,10)=1,AND(INDEX(DarlTilgStart,10)&gt;0,$E4758&lt;INDEX(DarlTilgStart,10))),0,MIN(MAX(0,$K4758-$L4758),$J4758)))</f>
      </c>
      <c r="N4758" s="43">
        <f>IF($I4758=0,0,MIN(SUMIFS(SondBetrag,SondDarl,10,SondDatum,"&gt;="&amp;$E4758,SondDatum,"&lt;="&amp;EOMONTH($E4758,0)),$J4758-$M4758))</f>
      </c>
      <c r="O4758" s="43">
        <f>IF($I4758=0,0,INDEX(DarlErsatzRate,10))</f>
      </c>
      <c r="P4758" s="43">
        <f>IF($I4758=0,0,$Q4757*INDEX(DarlErsatzZins,10))</f>
      </c>
      <c r="Q4758" s="43">
        <f>IF($I4758=0,0,$Q4757+$P4758+$O4758)</f>
      </c>
      <c r="R4758" s="43">
        <f>IF($I4758=0,0,$J4758-$M4758-$N4758)</f>
      </c>
    </row>
    <row r="4759">
      <c r="A4759"/>
      <c r="B4759">
        <v>10</v>
      </c>
      <c r="C4759" s="43">
        <f>INDEX(DarlObj,10)</f>
      </c>
      <c r="D4759">
        <v>436</v>
      </c>
      <c r="E4759" s="51">
        <f>IF(INDEX(DarlBelegt,10)=0,0,EOMONTH(INDEX(DarlAuszahlung,10),435)+1)</f>
      </c>
      <c r="F4759" s="43">
        <f>IF($E4759=0,0,YEAR($E4759))</f>
      </c>
      <c r="G4759" s="43">
        <f>IF(INDEX(DarlBindung,10)="",1,IF($E4759&lt;=INDEX(DarlBindung,10),1,0))</f>
      </c>
      <c r="H4759" s="43">
        <f>IF($G4759=1,INDEX(DarlSollzins,10),INDEX(DarlAnschluss,10))</f>
      </c>
      <c r="I4759" s="43">
        <f>IF(INDEX(DarlBelegt,10)=0,0,IF(INDEX(DarlOhneTilgung,10)=1,IF(INDEX(DarlBindung,10)="",1,$G4759),IF($J4759&gt;0.005,1,0)))</f>
      </c>
      <c r="J4759" s="43">
        <f>IF($I4758=0,0,$R4758)</f>
      </c>
      <c r="K4759" s="43">
        <f>IF($I4759=0,0,IF(INDEX(DarlOhneTilgung,10)=1,0,IF(AND(INDEX(DarlTilgStart,10)&gt;0,$E4759=INDEX(DarlTilgStart,10)),$J4759*($H4759+INDEX(DarlTilgung,10))/100/12,IF(AND($G4759=0,$G4758=1),MAX($K4758,$J4759*($H4759+1)/100/12),$K4758))))</f>
      </c>
      <c r="L4759" s="43">
        <f>IF($I4759=0,0,$J4759*$H4759/100/12)</f>
      </c>
      <c r="M4759" s="43">
        <f>IF($I4759=0,0,IF(OR(INDEX(DarlOhneTilgung,10)=1,AND(INDEX(DarlTilgStart,10)&gt;0,$E4759&lt;INDEX(DarlTilgStart,10))),0,MIN(MAX(0,$K4759-$L4759),$J4759)))</f>
      </c>
      <c r="N4759" s="43">
        <f>IF($I4759=0,0,MIN(SUMIFS(SondBetrag,SondDarl,10,SondDatum,"&gt;="&amp;$E4759,SondDatum,"&lt;="&amp;EOMONTH($E4759,0)),$J4759-$M4759))</f>
      </c>
      <c r="O4759" s="43">
        <f>IF($I4759=0,0,INDEX(DarlErsatzRate,10))</f>
      </c>
      <c r="P4759" s="43">
        <f>IF($I4759=0,0,$Q4758*INDEX(DarlErsatzZins,10))</f>
      </c>
      <c r="Q4759" s="43">
        <f>IF($I4759=0,0,$Q4758+$P4759+$O4759)</f>
      </c>
      <c r="R4759" s="43">
        <f>IF($I4759=0,0,$J4759-$M4759-$N4759)</f>
      </c>
    </row>
    <row r="4760">
      <c r="A4760"/>
      <c r="B4760">
        <v>10</v>
      </c>
      <c r="C4760" s="43">
        <f>INDEX(DarlObj,10)</f>
      </c>
      <c r="D4760">
        <v>437</v>
      </c>
      <c r="E4760" s="51">
        <f>IF(INDEX(DarlBelegt,10)=0,0,EOMONTH(INDEX(DarlAuszahlung,10),436)+1)</f>
      </c>
      <c r="F4760" s="43">
        <f>IF($E4760=0,0,YEAR($E4760))</f>
      </c>
      <c r="G4760" s="43">
        <f>IF(INDEX(DarlBindung,10)="",1,IF($E4760&lt;=INDEX(DarlBindung,10),1,0))</f>
      </c>
      <c r="H4760" s="43">
        <f>IF($G4760=1,INDEX(DarlSollzins,10),INDEX(DarlAnschluss,10))</f>
      </c>
      <c r="I4760" s="43">
        <f>IF(INDEX(DarlBelegt,10)=0,0,IF(INDEX(DarlOhneTilgung,10)=1,IF(INDEX(DarlBindung,10)="",1,$G4760),IF($J4760&gt;0.005,1,0)))</f>
      </c>
      <c r="J4760" s="43">
        <f>IF($I4759=0,0,$R4759)</f>
      </c>
      <c r="K4760" s="43">
        <f>IF($I4760=0,0,IF(INDEX(DarlOhneTilgung,10)=1,0,IF(AND(INDEX(DarlTilgStart,10)&gt;0,$E4760=INDEX(DarlTilgStart,10)),$J4760*($H4760+INDEX(DarlTilgung,10))/100/12,IF(AND($G4760=0,$G4759=1),MAX($K4759,$J4760*($H4760+1)/100/12),$K4759))))</f>
      </c>
      <c r="L4760" s="43">
        <f>IF($I4760=0,0,$J4760*$H4760/100/12)</f>
      </c>
      <c r="M4760" s="43">
        <f>IF($I4760=0,0,IF(OR(INDEX(DarlOhneTilgung,10)=1,AND(INDEX(DarlTilgStart,10)&gt;0,$E4760&lt;INDEX(DarlTilgStart,10))),0,MIN(MAX(0,$K4760-$L4760),$J4760)))</f>
      </c>
      <c r="N4760" s="43">
        <f>IF($I4760=0,0,MIN(SUMIFS(SondBetrag,SondDarl,10,SondDatum,"&gt;="&amp;$E4760,SondDatum,"&lt;="&amp;EOMONTH($E4760,0)),$J4760-$M4760))</f>
      </c>
      <c r="O4760" s="43">
        <f>IF($I4760=0,0,INDEX(DarlErsatzRate,10))</f>
      </c>
      <c r="P4760" s="43">
        <f>IF($I4760=0,0,$Q4759*INDEX(DarlErsatzZins,10))</f>
      </c>
      <c r="Q4760" s="43">
        <f>IF($I4760=0,0,$Q4759+$P4760+$O4760)</f>
      </c>
      <c r="R4760" s="43">
        <f>IF($I4760=0,0,$J4760-$M4760-$N4760)</f>
      </c>
    </row>
    <row r="4761">
      <c r="A4761"/>
      <c r="B4761">
        <v>10</v>
      </c>
      <c r="C4761" s="43">
        <f>INDEX(DarlObj,10)</f>
      </c>
      <c r="D4761">
        <v>438</v>
      </c>
      <c r="E4761" s="51">
        <f>IF(INDEX(DarlBelegt,10)=0,0,EOMONTH(INDEX(DarlAuszahlung,10),437)+1)</f>
      </c>
      <c r="F4761" s="43">
        <f>IF($E4761=0,0,YEAR($E4761))</f>
      </c>
      <c r="G4761" s="43">
        <f>IF(INDEX(DarlBindung,10)="",1,IF($E4761&lt;=INDEX(DarlBindung,10),1,0))</f>
      </c>
      <c r="H4761" s="43">
        <f>IF($G4761=1,INDEX(DarlSollzins,10),INDEX(DarlAnschluss,10))</f>
      </c>
      <c r="I4761" s="43">
        <f>IF(INDEX(DarlBelegt,10)=0,0,IF(INDEX(DarlOhneTilgung,10)=1,IF(INDEX(DarlBindung,10)="",1,$G4761),IF($J4761&gt;0.005,1,0)))</f>
      </c>
      <c r="J4761" s="43">
        <f>IF($I4760=0,0,$R4760)</f>
      </c>
      <c r="K4761" s="43">
        <f>IF($I4761=0,0,IF(INDEX(DarlOhneTilgung,10)=1,0,IF(AND(INDEX(DarlTilgStart,10)&gt;0,$E4761=INDEX(DarlTilgStart,10)),$J4761*($H4761+INDEX(DarlTilgung,10))/100/12,IF(AND($G4761=0,$G4760=1),MAX($K4760,$J4761*($H4761+1)/100/12),$K4760))))</f>
      </c>
      <c r="L4761" s="43">
        <f>IF($I4761=0,0,$J4761*$H4761/100/12)</f>
      </c>
      <c r="M4761" s="43">
        <f>IF($I4761=0,0,IF(OR(INDEX(DarlOhneTilgung,10)=1,AND(INDEX(DarlTilgStart,10)&gt;0,$E4761&lt;INDEX(DarlTilgStart,10))),0,MIN(MAX(0,$K4761-$L4761),$J4761)))</f>
      </c>
      <c r="N4761" s="43">
        <f>IF($I4761=0,0,MIN(SUMIFS(SondBetrag,SondDarl,10,SondDatum,"&gt;="&amp;$E4761,SondDatum,"&lt;="&amp;EOMONTH($E4761,0)),$J4761-$M4761))</f>
      </c>
      <c r="O4761" s="43">
        <f>IF($I4761=0,0,INDEX(DarlErsatzRate,10))</f>
      </c>
      <c r="P4761" s="43">
        <f>IF($I4761=0,0,$Q4760*INDEX(DarlErsatzZins,10))</f>
      </c>
      <c r="Q4761" s="43">
        <f>IF($I4761=0,0,$Q4760+$P4761+$O4761)</f>
      </c>
      <c r="R4761" s="43">
        <f>IF($I4761=0,0,$J4761-$M4761-$N4761)</f>
      </c>
    </row>
    <row r="4762">
      <c r="A4762"/>
      <c r="B4762">
        <v>10</v>
      </c>
      <c r="C4762" s="43">
        <f>INDEX(DarlObj,10)</f>
      </c>
      <c r="D4762">
        <v>439</v>
      </c>
      <c r="E4762" s="51">
        <f>IF(INDEX(DarlBelegt,10)=0,0,EOMONTH(INDEX(DarlAuszahlung,10),438)+1)</f>
      </c>
      <c r="F4762" s="43">
        <f>IF($E4762=0,0,YEAR($E4762))</f>
      </c>
      <c r="G4762" s="43">
        <f>IF(INDEX(DarlBindung,10)="",1,IF($E4762&lt;=INDEX(DarlBindung,10),1,0))</f>
      </c>
      <c r="H4762" s="43">
        <f>IF($G4762=1,INDEX(DarlSollzins,10),INDEX(DarlAnschluss,10))</f>
      </c>
      <c r="I4762" s="43">
        <f>IF(INDEX(DarlBelegt,10)=0,0,IF(INDEX(DarlOhneTilgung,10)=1,IF(INDEX(DarlBindung,10)="",1,$G4762),IF($J4762&gt;0.005,1,0)))</f>
      </c>
      <c r="J4762" s="43">
        <f>IF($I4761=0,0,$R4761)</f>
      </c>
      <c r="K4762" s="43">
        <f>IF($I4762=0,0,IF(INDEX(DarlOhneTilgung,10)=1,0,IF(AND(INDEX(DarlTilgStart,10)&gt;0,$E4762=INDEX(DarlTilgStart,10)),$J4762*($H4762+INDEX(DarlTilgung,10))/100/12,IF(AND($G4762=0,$G4761=1),MAX($K4761,$J4762*($H4762+1)/100/12),$K4761))))</f>
      </c>
      <c r="L4762" s="43">
        <f>IF($I4762=0,0,$J4762*$H4762/100/12)</f>
      </c>
      <c r="M4762" s="43">
        <f>IF($I4762=0,0,IF(OR(INDEX(DarlOhneTilgung,10)=1,AND(INDEX(DarlTilgStart,10)&gt;0,$E4762&lt;INDEX(DarlTilgStart,10))),0,MIN(MAX(0,$K4762-$L4762),$J4762)))</f>
      </c>
      <c r="N4762" s="43">
        <f>IF($I4762=0,0,MIN(SUMIFS(SondBetrag,SondDarl,10,SondDatum,"&gt;="&amp;$E4762,SondDatum,"&lt;="&amp;EOMONTH($E4762,0)),$J4762-$M4762))</f>
      </c>
      <c r="O4762" s="43">
        <f>IF($I4762=0,0,INDEX(DarlErsatzRate,10))</f>
      </c>
      <c r="P4762" s="43">
        <f>IF($I4762=0,0,$Q4761*INDEX(DarlErsatzZins,10))</f>
      </c>
      <c r="Q4762" s="43">
        <f>IF($I4762=0,0,$Q4761+$P4762+$O4762)</f>
      </c>
      <c r="R4762" s="43">
        <f>IF($I4762=0,0,$J4762-$M4762-$N4762)</f>
      </c>
    </row>
    <row r="4763">
      <c r="A4763"/>
      <c r="B4763">
        <v>10</v>
      </c>
      <c r="C4763" s="43">
        <f>INDEX(DarlObj,10)</f>
      </c>
      <c r="D4763">
        <v>440</v>
      </c>
      <c r="E4763" s="51">
        <f>IF(INDEX(DarlBelegt,10)=0,0,EOMONTH(INDEX(DarlAuszahlung,10),439)+1)</f>
      </c>
      <c r="F4763" s="43">
        <f>IF($E4763=0,0,YEAR($E4763))</f>
      </c>
      <c r="G4763" s="43">
        <f>IF(INDEX(DarlBindung,10)="",1,IF($E4763&lt;=INDEX(DarlBindung,10),1,0))</f>
      </c>
      <c r="H4763" s="43">
        <f>IF($G4763=1,INDEX(DarlSollzins,10),INDEX(DarlAnschluss,10))</f>
      </c>
      <c r="I4763" s="43">
        <f>IF(INDEX(DarlBelegt,10)=0,0,IF(INDEX(DarlOhneTilgung,10)=1,IF(INDEX(DarlBindung,10)="",1,$G4763),IF($J4763&gt;0.005,1,0)))</f>
      </c>
      <c r="J4763" s="43">
        <f>IF($I4762=0,0,$R4762)</f>
      </c>
      <c r="K4763" s="43">
        <f>IF($I4763=0,0,IF(INDEX(DarlOhneTilgung,10)=1,0,IF(AND(INDEX(DarlTilgStart,10)&gt;0,$E4763=INDEX(DarlTilgStart,10)),$J4763*($H4763+INDEX(DarlTilgung,10))/100/12,IF(AND($G4763=0,$G4762=1),MAX($K4762,$J4763*($H4763+1)/100/12),$K4762))))</f>
      </c>
      <c r="L4763" s="43">
        <f>IF($I4763=0,0,$J4763*$H4763/100/12)</f>
      </c>
      <c r="M4763" s="43">
        <f>IF($I4763=0,0,IF(OR(INDEX(DarlOhneTilgung,10)=1,AND(INDEX(DarlTilgStart,10)&gt;0,$E4763&lt;INDEX(DarlTilgStart,10))),0,MIN(MAX(0,$K4763-$L4763),$J4763)))</f>
      </c>
      <c r="N4763" s="43">
        <f>IF($I4763=0,0,MIN(SUMIFS(SondBetrag,SondDarl,10,SondDatum,"&gt;="&amp;$E4763,SondDatum,"&lt;="&amp;EOMONTH($E4763,0)),$J4763-$M4763))</f>
      </c>
      <c r="O4763" s="43">
        <f>IF($I4763=0,0,INDEX(DarlErsatzRate,10))</f>
      </c>
      <c r="P4763" s="43">
        <f>IF($I4763=0,0,$Q4762*INDEX(DarlErsatzZins,10))</f>
      </c>
      <c r="Q4763" s="43">
        <f>IF($I4763=0,0,$Q4762+$P4763+$O4763)</f>
      </c>
      <c r="R4763" s="43">
        <f>IF($I4763=0,0,$J4763-$M4763-$N4763)</f>
      </c>
    </row>
    <row r="4764">
      <c r="A4764"/>
      <c r="B4764">
        <v>10</v>
      </c>
      <c r="C4764" s="43">
        <f>INDEX(DarlObj,10)</f>
      </c>
      <c r="D4764">
        <v>441</v>
      </c>
      <c r="E4764" s="51">
        <f>IF(INDEX(DarlBelegt,10)=0,0,EOMONTH(INDEX(DarlAuszahlung,10),440)+1)</f>
      </c>
      <c r="F4764" s="43">
        <f>IF($E4764=0,0,YEAR($E4764))</f>
      </c>
      <c r="G4764" s="43">
        <f>IF(INDEX(DarlBindung,10)="",1,IF($E4764&lt;=INDEX(DarlBindung,10),1,0))</f>
      </c>
      <c r="H4764" s="43">
        <f>IF($G4764=1,INDEX(DarlSollzins,10),INDEX(DarlAnschluss,10))</f>
      </c>
      <c r="I4764" s="43">
        <f>IF(INDEX(DarlBelegt,10)=0,0,IF(INDEX(DarlOhneTilgung,10)=1,IF(INDEX(DarlBindung,10)="",1,$G4764),IF($J4764&gt;0.005,1,0)))</f>
      </c>
      <c r="J4764" s="43">
        <f>IF($I4763=0,0,$R4763)</f>
      </c>
      <c r="K4764" s="43">
        <f>IF($I4764=0,0,IF(INDEX(DarlOhneTilgung,10)=1,0,IF(AND(INDEX(DarlTilgStart,10)&gt;0,$E4764=INDEX(DarlTilgStart,10)),$J4764*($H4764+INDEX(DarlTilgung,10))/100/12,IF(AND($G4764=0,$G4763=1),MAX($K4763,$J4764*($H4764+1)/100/12),$K4763))))</f>
      </c>
      <c r="L4764" s="43">
        <f>IF($I4764=0,0,$J4764*$H4764/100/12)</f>
      </c>
      <c r="M4764" s="43">
        <f>IF($I4764=0,0,IF(OR(INDEX(DarlOhneTilgung,10)=1,AND(INDEX(DarlTilgStart,10)&gt;0,$E4764&lt;INDEX(DarlTilgStart,10))),0,MIN(MAX(0,$K4764-$L4764),$J4764)))</f>
      </c>
      <c r="N4764" s="43">
        <f>IF($I4764=0,0,MIN(SUMIFS(SondBetrag,SondDarl,10,SondDatum,"&gt;="&amp;$E4764,SondDatum,"&lt;="&amp;EOMONTH($E4764,0)),$J4764-$M4764))</f>
      </c>
      <c r="O4764" s="43">
        <f>IF($I4764=0,0,INDEX(DarlErsatzRate,10))</f>
      </c>
      <c r="P4764" s="43">
        <f>IF($I4764=0,0,$Q4763*INDEX(DarlErsatzZins,10))</f>
      </c>
      <c r="Q4764" s="43">
        <f>IF($I4764=0,0,$Q4763+$P4764+$O4764)</f>
      </c>
      <c r="R4764" s="43">
        <f>IF($I4764=0,0,$J4764-$M4764-$N4764)</f>
      </c>
    </row>
    <row r="4765">
      <c r="A4765"/>
      <c r="B4765">
        <v>10</v>
      </c>
      <c r="C4765" s="43">
        <f>INDEX(DarlObj,10)</f>
      </c>
      <c r="D4765">
        <v>442</v>
      </c>
      <c r="E4765" s="51">
        <f>IF(INDEX(DarlBelegt,10)=0,0,EOMONTH(INDEX(DarlAuszahlung,10),441)+1)</f>
      </c>
      <c r="F4765" s="43">
        <f>IF($E4765=0,0,YEAR($E4765))</f>
      </c>
      <c r="G4765" s="43">
        <f>IF(INDEX(DarlBindung,10)="",1,IF($E4765&lt;=INDEX(DarlBindung,10),1,0))</f>
      </c>
      <c r="H4765" s="43">
        <f>IF($G4765=1,INDEX(DarlSollzins,10),INDEX(DarlAnschluss,10))</f>
      </c>
      <c r="I4765" s="43">
        <f>IF(INDEX(DarlBelegt,10)=0,0,IF(INDEX(DarlOhneTilgung,10)=1,IF(INDEX(DarlBindung,10)="",1,$G4765),IF($J4765&gt;0.005,1,0)))</f>
      </c>
      <c r="J4765" s="43">
        <f>IF($I4764=0,0,$R4764)</f>
      </c>
      <c r="K4765" s="43">
        <f>IF($I4765=0,0,IF(INDEX(DarlOhneTilgung,10)=1,0,IF(AND(INDEX(DarlTilgStart,10)&gt;0,$E4765=INDEX(DarlTilgStart,10)),$J4765*($H4765+INDEX(DarlTilgung,10))/100/12,IF(AND($G4765=0,$G4764=1),MAX($K4764,$J4765*($H4765+1)/100/12),$K4764))))</f>
      </c>
      <c r="L4765" s="43">
        <f>IF($I4765=0,0,$J4765*$H4765/100/12)</f>
      </c>
      <c r="M4765" s="43">
        <f>IF($I4765=0,0,IF(OR(INDEX(DarlOhneTilgung,10)=1,AND(INDEX(DarlTilgStart,10)&gt;0,$E4765&lt;INDEX(DarlTilgStart,10))),0,MIN(MAX(0,$K4765-$L4765),$J4765)))</f>
      </c>
      <c r="N4765" s="43">
        <f>IF($I4765=0,0,MIN(SUMIFS(SondBetrag,SondDarl,10,SondDatum,"&gt;="&amp;$E4765,SondDatum,"&lt;="&amp;EOMONTH($E4765,0)),$J4765-$M4765))</f>
      </c>
      <c r="O4765" s="43">
        <f>IF($I4765=0,0,INDEX(DarlErsatzRate,10))</f>
      </c>
      <c r="P4765" s="43">
        <f>IF($I4765=0,0,$Q4764*INDEX(DarlErsatzZins,10))</f>
      </c>
      <c r="Q4765" s="43">
        <f>IF($I4765=0,0,$Q4764+$P4765+$O4765)</f>
      </c>
      <c r="R4765" s="43">
        <f>IF($I4765=0,0,$J4765-$M4765-$N4765)</f>
      </c>
    </row>
    <row r="4766">
      <c r="A4766"/>
      <c r="B4766">
        <v>10</v>
      </c>
      <c r="C4766" s="43">
        <f>INDEX(DarlObj,10)</f>
      </c>
      <c r="D4766">
        <v>443</v>
      </c>
      <c r="E4766" s="51">
        <f>IF(INDEX(DarlBelegt,10)=0,0,EOMONTH(INDEX(DarlAuszahlung,10),442)+1)</f>
      </c>
      <c r="F4766" s="43">
        <f>IF($E4766=0,0,YEAR($E4766))</f>
      </c>
      <c r="G4766" s="43">
        <f>IF(INDEX(DarlBindung,10)="",1,IF($E4766&lt;=INDEX(DarlBindung,10),1,0))</f>
      </c>
      <c r="H4766" s="43">
        <f>IF($G4766=1,INDEX(DarlSollzins,10),INDEX(DarlAnschluss,10))</f>
      </c>
      <c r="I4766" s="43">
        <f>IF(INDEX(DarlBelegt,10)=0,0,IF(INDEX(DarlOhneTilgung,10)=1,IF(INDEX(DarlBindung,10)="",1,$G4766),IF($J4766&gt;0.005,1,0)))</f>
      </c>
      <c r="J4766" s="43">
        <f>IF($I4765=0,0,$R4765)</f>
      </c>
      <c r="K4766" s="43">
        <f>IF($I4766=0,0,IF(INDEX(DarlOhneTilgung,10)=1,0,IF(AND(INDEX(DarlTilgStart,10)&gt;0,$E4766=INDEX(DarlTilgStart,10)),$J4766*($H4766+INDEX(DarlTilgung,10))/100/12,IF(AND($G4766=0,$G4765=1),MAX($K4765,$J4766*($H4766+1)/100/12),$K4765))))</f>
      </c>
      <c r="L4766" s="43">
        <f>IF($I4766=0,0,$J4766*$H4766/100/12)</f>
      </c>
      <c r="M4766" s="43">
        <f>IF($I4766=0,0,IF(OR(INDEX(DarlOhneTilgung,10)=1,AND(INDEX(DarlTilgStart,10)&gt;0,$E4766&lt;INDEX(DarlTilgStart,10))),0,MIN(MAX(0,$K4766-$L4766),$J4766)))</f>
      </c>
      <c r="N4766" s="43">
        <f>IF($I4766=0,0,MIN(SUMIFS(SondBetrag,SondDarl,10,SondDatum,"&gt;="&amp;$E4766,SondDatum,"&lt;="&amp;EOMONTH($E4766,0)),$J4766-$M4766))</f>
      </c>
      <c r="O4766" s="43">
        <f>IF($I4766=0,0,INDEX(DarlErsatzRate,10))</f>
      </c>
      <c r="P4766" s="43">
        <f>IF($I4766=0,0,$Q4765*INDEX(DarlErsatzZins,10))</f>
      </c>
      <c r="Q4766" s="43">
        <f>IF($I4766=0,0,$Q4765+$P4766+$O4766)</f>
      </c>
      <c r="R4766" s="43">
        <f>IF($I4766=0,0,$J4766-$M4766-$N4766)</f>
      </c>
    </row>
    <row r="4767">
      <c r="A4767"/>
      <c r="B4767">
        <v>10</v>
      </c>
      <c r="C4767" s="43">
        <f>INDEX(DarlObj,10)</f>
      </c>
      <c r="D4767">
        <v>444</v>
      </c>
      <c r="E4767" s="51">
        <f>IF(INDEX(DarlBelegt,10)=0,0,EOMONTH(INDEX(DarlAuszahlung,10),443)+1)</f>
      </c>
      <c r="F4767" s="43">
        <f>IF($E4767=0,0,YEAR($E4767))</f>
      </c>
      <c r="G4767" s="43">
        <f>IF(INDEX(DarlBindung,10)="",1,IF($E4767&lt;=INDEX(DarlBindung,10),1,0))</f>
      </c>
      <c r="H4767" s="43">
        <f>IF($G4767=1,INDEX(DarlSollzins,10),INDEX(DarlAnschluss,10))</f>
      </c>
      <c r="I4767" s="43">
        <f>IF(INDEX(DarlBelegt,10)=0,0,IF(INDEX(DarlOhneTilgung,10)=1,IF(INDEX(DarlBindung,10)="",1,$G4767),IF($J4767&gt;0.005,1,0)))</f>
      </c>
      <c r="J4767" s="43">
        <f>IF($I4766=0,0,$R4766)</f>
      </c>
      <c r="K4767" s="43">
        <f>IF($I4767=0,0,IF(INDEX(DarlOhneTilgung,10)=1,0,IF(AND(INDEX(DarlTilgStart,10)&gt;0,$E4767=INDEX(DarlTilgStart,10)),$J4767*($H4767+INDEX(DarlTilgung,10))/100/12,IF(AND($G4767=0,$G4766=1),MAX($K4766,$J4767*($H4767+1)/100/12),$K4766))))</f>
      </c>
      <c r="L4767" s="43">
        <f>IF($I4767=0,0,$J4767*$H4767/100/12)</f>
      </c>
      <c r="M4767" s="43">
        <f>IF($I4767=0,0,IF(OR(INDEX(DarlOhneTilgung,10)=1,AND(INDEX(DarlTilgStart,10)&gt;0,$E4767&lt;INDEX(DarlTilgStart,10))),0,MIN(MAX(0,$K4767-$L4767),$J4767)))</f>
      </c>
      <c r="N4767" s="43">
        <f>IF($I4767=0,0,MIN(SUMIFS(SondBetrag,SondDarl,10,SondDatum,"&gt;="&amp;$E4767,SondDatum,"&lt;="&amp;EOMONTH($E4767,0)),$J4767-$M4767))</f>
      </c>
      <c r="O4767" s="43">
        <f>IF($I4767=0,0,INDEX(DarlErsatzRate,10))</f>
      </c>
      <c r="P4767" s="43">
        <f>IF($I4767=0,0,$Q4766*INDEX(DarlErsatzZins,10))</f>
      </c>
      <c r="Q4767" s="43">
        <f>IF($I4767=0,0,$Q4766+$P4767+$O4767)</f>
      </c>
      <c r="R4767" s="43">
        <f>IF($I4767=0,0,$J4767-$M4767-$N4767)</f>
      </c>
    </row>
    <row r="4768">
      <c r="A4768"/>
      <c r="B4768">
        <v>10</v>
      </c>
      <c r="C4768" s="43">
        <f>INDEX(DarlObj,10)</f>
      </c>
      <c r="D4768">
        <v>445</v>
      </c>
      <c r="E4768" s="51">
        <f>IF(INDEX(DarlBelegt,10)=0,0,EOMONTH(INDEX(DarlAuszahlung,10),444)+1)</f>
      </c>
      <c r="F4768" s="43">
        <f>IF($E4768=0,0,YEAR($E4768))</f>
      </c>
      <c r="G4768" s="43">
        <f>IF(INDEX(DarlBindung,10)="",1,IF($E4768&lt;=INDEX(DarlBindung,10),1,0))</f>
      </c>
      <c r="H4768" s="43">
        <f>IF($G4768=1,INDEX(DarlSollzins,10),INDEX(DarlAnschluss,10))</f>
      </c>
      <c r="I4768" s="43">
        <f>IF(INDEX(DarlBelegt,10)=0,0,IF(INDEX(DarlOhneTilgung,10)=1,IF(INDEX(DarlBindung,10)="",1,$G4768),IF($J4768&gt;0.005,1,0)))</f>
      </c>
      <c r="J4768" s="43">
        <f>IF($I4767=0,0,$R4767)</f>
      </c>
      <c r="K4768" s="43">
        <f>IF($I4768=0,0,IF(INDEX(DarlOhneTilgung,10)=1,0,IF(AND(INDEX(DarlTilgStart,10)&gt;0,$E4768=INDEX(DarlTilgStart,10)),$J4768*($H4768+INDEX(DarlTilgung,10))/100/12,IF(AND($G4768=0,$G4767=1),MAX($K4767,$J4768*($H4768+1)/100/12),$K4767))))</f>
      </c>
      <c r="L4768" s="43">
        <f>IF($I4768=0,0,$J4768*$H4768/100/12)</f>
      </c>
      <c r="M4768" s="43">
        <f>IF($I4768=0,0,IF(OR(INDEX(DarlOhneTilgung,10)=1,AND(INDEX(DarlTilgStart,10)&gt;0,$E4768&lt;INDEX(DarlTilgStart,10))),0,MIN(MAX(0,$K4768-$L4768),$J4768)))</f>
      </c>
      <c r="N4768" s="43">
        <f>IF($I4768=0,0,MIN(SUMIFS(SondBetrag,SondDarl,10,SondDatum,"&gt;="&amp;$E4768,SondDatum,"&lt;="&amp;EOMONTH($E4768,0)),$J4768-$M4768))</f>
      </c>
      <c r="O4768" s="43">
        <f>IF($I4768=0,0,INDEX(DarlErsatzRate,10))</f>
      </c>
      <c r="P4768" s="43">
        <f>IF($I4768=0,0,$Q4767*INDEX(DarlErsatzZins,10))</f>
      </c>
      <c r="Q4768" s="43">
        <f>IF($I4768=0,0,$Q4767+$P4768+$O4768)</f>
      </c>
      <c r="R4768" s="43">
        <f>IF($I4768=0,0,$J4768-$M4768-$N4768)</f>
      </c>
    </row>
    <row r="4769">
      <c r="A4769"/>
      <c r="B4769">
        <v>10</v>
      </c>
      <c r="C4769" s="43">
        <f>INDEX(DarlObj,10)</f>
      </c>
      <c r="D4769">
        <v>446</v>
      </c>
      <c r="E4769" s="51">
        <f>IF(INDEX(DarlBelegt,10)=0,0,EOMONTH(INDEX(DarlAuszahlung,10),445)+1)</f>
      </c>
      <c r="F4769" s="43">
        <f>IF($E4769=0,0,YEAR($E4769))</f>
      </c>
      <c r="G4769" s="43">
        <f>IF(INDEX(DarlBindung,10)="",1,IF($E4769&lt;=INDEX(DarlBindung,10),1,0))</f>
      </c>
      <c r="H4769" s="43">
        <f>IF($G4769=1,INDEX(DarlSollzins,10),INDEX(DarlAnschluss,10))</f>
      </c>
      <c r="I4769" s="43">
        <f>IF(INDEX(DarlBelegt,10)=0,0,IF(INDEX(DarlOhneTilgung,10)=1,IF(INDEX(DarlBindung,10)="",1,$G4769),IF($J4769&gt;0.005,1,0)))</f>
      </c>
      <c r="J4769" s="43">
        <f>IF($I4768=0,0,$R4768)</f>
      </c>
      <c r="K4769" s="43">
        <f>IF($I4769=0,0,IF(INDEX(DarlOhneTilgung,10)=1,0,IF(AND(INDEX(DarlTilgStart,10)&gt;0,$E4769=INDEX(DarlTilgStart,10)),$J4769*($H4769+INDEX(DarlTilgung,10))/100/12,IF(AND($G4769=0,$G4768=1),MAX($K4768,$J4769*($H4769+1)/100/12),$K4768))))</f>
      </c>
      <c r="L4769" s="43">
        <f>IF($I4769=0,0,$J4769*$H4769/100/12)</f>
      </c>
      <c r="M4769" s="43">
        <f>IF($I4769=0,0,IF(OR(INDEX(DarlOhneTilgung,10)=1,AND(INDEX(DarlTilgStart,10)&gt;0,$E4769&lt;INDEX(DarlTilgStart,10))),0,MIN(MAX(0,$K4769-$L4769),$J4769)))</f>
      </c>
      <c r="N4769" s="43">
        <f>IF($I4769=0,0,MIN(SUMIFS(SondBetrag,SondDarl,10,SondDatum,"&gt;="&amp;$E4769,SondDatum,"&lt;="&amp;EOMONTH($E4769,0)),$J4769-$M4769))</f>
      </c>
      <c r="O4769" s="43">
        <f>IF($I4769=0,0,INDEX(DarlErsatzRate,10))</f>
      </c>
      <c r="P4769" s="43">
        <f>IF($I4769=0,0,$Q4768*INDEX(DarlErsatzZins,10))</f>
      </c>
      <c r="Q4769" s="43">
        <f>IF($I4769=0,0,$Q4768+$P4769+$O4769)</f>
      </c>
      <c r="R4769" s="43">
        <f>IF($I4769=0,0,$J4769-$M4769-$N4769)</f>
      </c>
    </row>
    <row r="4770">
      <c r="A4770"/>
      <c r="B4770">
        <v>10</v>
      </c>
      <c r="C4770" s="43">
        <f>INDEX(DarlObj,10)</f>
      </c>
      <c r="D4770">
        <v>447</v>
      </c>
      <c r="E4770" s="51">
        <f>IF(INDEX(DarlBelegt,10)=0,0,EOMONTH(INDEX(DarlAuszahlung,10),446)+1)</f>
      </c>
      <c r="F4770" s="43">
        <f>IF($E4770=0,0,YEAR($E4770))</f>
      </c>
      <c r="G4770" s="43">
        <f>IF(INDEX(DarlBindung,10)="",1,IF($E4770&lt;=INDEX(DarlBindung,10),1,0))</f>
      </c>
      <c r="H4770" s="43">
        <f>IF($G4770=1,INDEX(DarlSollzins,10),INDEX(DarlAnschluss,10))</f>
      </c>
      <c r="I4770" s="43">
        <f>IF(INDEX(DarlBelegt,10)=0,0,IF(INDEX(DarlOhneTilgung,10)=1,IF(INDEX(DarlBindung,10)="",1,$G4770),IF($J4770&gt;0.005,1,0)))</f>
      </c>
      <c r="J4770" s="43">
        <f>IF($I4769=0,0,$R4769)</f>
      </c>
      <c r="K4770" s="43">
        <f>IF($I4770=0,0,IF(INDEX(DarlOhneTilgung,10)=1,0,IF(AND(INDEX(DarlTilgStart,10)&gt;0,$E4770=INDEX(DarlTilgStart,10)),$J4770*($H4770+INDEX(DarlTilgung,10))/100/12,IF(AND($G4770=0,$G4769=1),MAX($K4769,$J4770*($H4770+1)/100/12),$K4769))))</f>
      </c>
      <c r="L4770" s="43">
        <f>IF($I4770=0,0,$J4770*$H4770/100/12)</f>
      </c>
      <c r="M4770" s="43">
        <f>IF($I4770=0,0,IF(OR(INDEX(DarlOhneTilgung,10)=1,AND(INDEX(DarlTilgStart,10)&gt;0,$E4770&lt;INDEX(DarlTilgStart,10))),0,MIN(MAX(0,$K4770-$L4770),$J4770)))</f>
      </c>
      <c r="N4770" s="43">
        <f>IF($I4770=0,0,MIN(SUMIFS(SondBetrag,SondDarl,10,SondDatum,"&gt;="&amp;$E4770,SondDatum,"&lt;="&amp;EOMONTH($E4770,0)),$J4770-$M4770))</f>
      </c>
      <c r="O4770" s="43">
        <f>IF($I4770=0,0,INDEX(DarlErsatzRate,10))</f>
      </c>
      <c r="P4770" s="43">
        <f>IF($I4770=0,0,$Q4769*INDEX(DarlErsatzZins,10))</f>
      </c>
      <c r="Q4770" s="43">
        <f>IF($I4770=0,0,$Q4769+$P4770+$O4770)</f>
      </c>
      <c r="R4770" s="43">
        <f>IF($I4770=0,0,$J4770-$M4770-$N4770)</f>
      </c>
    </row>
    <row r="4771">
      <c r="A4771"/>
      <c r="B4771">
        <v>10</v>
      </c>
      <c r="C4771" s="43">
        <f>INDEX(DarlObj,10)</f>
      </c>
      <c r="D4771">
        <v>448</v>
      </c>
      <c r="E4771" s="51">
        <f>IF(INDEX(DarlBelegt,10)=0,0,EOMONTH(INDEX(DarlAuszahlung,10),447)+1)</f>
      </c>
      <c r="F4771" s="43">
        <f>IF($E4771=0,0,YEAR($E4771))</f>
      </c>
      <c r="G4771" s="43">
        <f>IF(INDEX(DarlBindung,10)="",1,IF($E4771&lt;=INDEX(DarlBindung,10),1,0))</f>
      </c>
      <c r="H4771" s="43">
        <f>IF($G4771=1,INDEX(DarlSollzins,10),INDEX(DarlAnschluss,10))</f>
      </c>
      <c r="I4771" s="43">
        <f>IF(INDEX(DarlBelegt,10)=0,0,IF(INDEX(DarlOhneTilgung,10)=1,IF(INDEX(DarlBindung,10)="",1,$G4771),IF($J4771&gt;0.005,1,0)))</f>
      </c>
      <c r="J4771" s="43">
        <f>IF($I4770=0,0,$R4770)</f>
      </c>
      <c r="K4771" s="43">
        <f>IF($I4771=0,0,IF(INDEX(DarlOhneTilgung,10)=1,0,IF(AND(INDEX(DarlTilgStart,10)&gt;0,$E4771=INDEX(DarlTilgStart,10)),$J4771*($H4771+INDEX(DarlTilgung,10))/100/12,IF(AND($G4771=0,$G4770=1),MAX($K4770,$J4771*($H4771+1)/100/12),$K4770))))</f>
      </c>
      <c r="L4771" s="43">
        <f>IF($I4771=0,0,$J4771*$H4771/100/12)</f>
      </c>
      <c r="M4771" s="43">
        <f>IF($I4771=0,0,IF(OR(INDEX(DarlOhneTilgung,10)=1,AND(INDEX(DarlTilgStart,10)&gt;0,$E4771&lt;INDEX(DarlTilgStart,10))),0,MIN(MAX(0,$K4771-$L4771),$J4771)))</f>
      </c>
      <c r="N4771" s="43">
        <f>IF($I4771=0,0,MIN(SUMIFS(SondBetrag,SondDarl,10,SondDatum,"&gt;="&amp;$E4771,SondDatum,"&lt;="&amp;EOMONTH($E4771,0)),$J4771-$M4771))</f>
      </c>
      <c r="O4771" s="43">
        <f>IF($I4771=0,0,INDEX(DarlErsatzRate,10))</f>
      </c>
      <c r="P4771" s="43">
        <f>IF($I4771=0,0,$Q4770*INDEX(DarlErsatzZins,10))</f>
      </c>
      <c r="Q4771" s="43">
        <f>IF($I4771=0,0,$Q4770+$P4771+$O4771)</f>
      </c>
      <c r="R4771" s="43">
        <f>IF($I4771=0,0,$J4771-$M4771-$N4771)</f>
      </c>
    </row>
    <row r="4772">
      <c r="A4772"/>
      <c r="B4772">
        <v>10</v>
      </c>
      <c r="C4772" s="43">
        <f>INDEX(DarlObj,10)</f>
      </c>
      <c r="D4772">
        <v>449</v>
      </c>
      <c r="E4772" s="51">
        <f>IF(INDEX(DarlBelegt,10)=0,0,EOMONTH(INDEX(DarlAuszahlung,10),448)+1)</f>
      </c>
      <c r="F4772" s="43">
        <f>IF($E4772=0,0,YEAR($E4772))</f>
      </c>
      <c r="G4772" s="43">
        <f>IF(INDEX(DarlBindung,10)="",1,IF($E4772&lt;=INDEX(DarlBindung,10),1,0))</f>
      </c>
      <c r="H4772" s="43">
        <f>IF($G4772=1,INDEX(DarlSollzins,10),INDEX(DarlAnschluss,10))</f>
      </c>
      <c r="I4772" s="43">
        <f>IF(INDEX(DarlBelegt,10)=0,0,IF(INDEX(DarlOhneTilgung,10)=1,IF(INDEX(DarlBindung,10)="",1,$G4772),IF($J4772&gt;0.005,1,0)))</f>
      </c>
      <c r="J4772" s="43">
        <f>IF($I4771=0,0,$R4771)</f>
      </c>
      <c r="K4772" s="43">
        <f>IF($I4772=0,0,IF(INDEX(DarlOhneTilgung,10)=1,0,IF(AND(INDEX(DarlTilgStart,10)&gt;0,$E4772=INDEX(DarlTilgStart,10)),$J4772*($H4772+INDEX(DarlTilgung,10))/100/12,IF(AND($G4772=0,$G4771=1),MAX($K4771,$J4772*($H4772+1)/100/12),$K4771))))</f>
      </c>
      <c r="L4772" s="43">
        <f>IF($I4772=0,0,$J4772*$H4772/100/12)</f>
      </c>
      <c r="M4772" s="43">
        <f>IF($I4772=0,0,IF(OR(INDEX(DarlOhneTilgung,10)=1,AND(INDEX(DarlTilgStart,10)&gt;0,$E4772&lt;INDEX(DarlTilgStart,10))),0,MIN(MAX(0,$K4772-$L4772),$J4772)))</f>
      </c>
      <c r="N4772" s="43">
        <f>IF($I4772=0,0,MIN(SUMIFS(SondBetrag,SondDarl,10,SondDatum,"&gt;="&amp;$E4772,SondDatum,"&lt;="&amp;EOMONTH($E4772,0)),$J4772-$M4772))</f>
      </c>
      <c r="O4772" s="43">
        <f>IF($I4772=0,0,INDEX(DarlErsatzRate,10))</f>
      </c>
      <c r="P4772" s="43">
        <f>IF($I4772=0,0,$Q4771*INDEX(DarlErsatzZins,10))</f>
      </c>
      <c r="Q4772" s="43">
        <f>IF($I4772=0,0,$Q4771+$P4772+$O4772)</f>
      </c>
      <c r="R4772" s="43">
        <f>IF($I4772=0,0,$J4772-$M4772-$N4772)</f>
      </c>
    </row>
    <row r="4773">
      <c r="A4773"/>
      <c r="B4773">
        <v>10</v>
      </c>
      <c r="C4773" s="43">
        <f>INDEX(DarlObj,10)</f>
      </c>
      <c r="D4773">
        <v>450</v>
      </c>
      <c r="E4773" s="51">
        <f>IF(INDEX(DarlBelegt,10)=0,0,EOMONTH(INDEX(DarlAuszahlung,10),449)+1)</f>
      </c>
      <c r="F4773" s="43">
        <f>IF($E4773=0,0,YEAR($E4773))</f>
      </c>
      <c r="G4773" s="43">
        <f>IF(INDEX(DarlBindung,10)="",1,IF($E4773&lt;=INDEX(DarlBindung,10),1,0))</f>
      </c>
      <c r="H4773" s="43">
        <f>IF($G4773=1,INDEX(DarlSollzins,10),INDEX(DarlAnschluss,10))</f>
      </c>
      <c r="I4773" s="43">
        <f>IF(INDEX(DarlBelegt,10)=0,0,IF(INDEX(DarlOhneTilgung,10)=1,IF(INDEX(DarlBindung,10)="",1,$G4773),IF($J4773&gt;0.005,1,0)))</f>
      </c>
      <c r="J4773" s="43">
        <f>IF($I4772=0,0,$R4772)</f>
      </c>
      <c r="K4773" s="43">
        <f>IF($I4773=0,0,IF(INDEX(DarlOhneTilgung,10)=1,0,IF(AND(INDEX(DarlTilgStart,10)&gt;0,$E4773=INDEX(DarlTilgStart,10)),$J4773*($H4773+INDEX(DarlTilgung,10))/100/12,IF(AND($G4773=0,$G4772=1),MAX($K4772,$J4773*($H4773+1)/100/12),$K4772))))</f>
      </c>
      <c r="L4773" s="43">
        <f>IF($I4773=0,0,$J4773*$H4773/100/12)</f>
      </c>
      <c r="M4773" s="43">
        <f>IF($I4773=0,0,IF(OR(INDEX(DarlOhneTilgung,10)=1,AND(INDEX(DarlTilgStart,10)&gt;0,$E4773&lt;INDEX(DarlTilgStart,10))),0,MIN(MAX(0,$K4773-$L4773),$J4773)))</f>
      </c>
      <c r="N4773" s="43">
        <f>IF($I4773=0,0,MIN(SUMIFS(SondBetrag,SondDarl,10,SondDatum,"&gt;="&amp;$E4773,SondDatum,"&lt;="&amp;EOMONTH($E4773,0)),$J4773-$M4773))</f>
      </c>
      <c r="O4773" s="43">
        <f>IF($I4773=0,0,INDEX(DarlErsatzRate,10))</f>
      </c>
      <c r="P4773" s="43">
        <f>IF($I4773=0,0,$Q4772*INDEX(DarlErsatzZins,10))</f>
      </c>
      <c r="Q4773" s="43">
        <f>IF($I4773=0,0,$Q4772+$P4773+$O4773)</f>
      </c>
      <c r="R4773" s="43">
        <f>IF($I4773=0,0,$J4773-$M4773-$N4773)</f>
      </c>
    </row>
    <row r="4774">
      <c r="A4774"/>
      <c r="B4774">
        <v>10</v>
      </c>
      <c r="C4774" s="43">
        <f>INDEX(DarlObj,10)</f>
      </c>
      <c r="D4774">
        <v>451</v>
      </c>
      <c r="E4774" s="51">
        <f>IF(INDEX(DarlBelegt,10)=0,0,EOMONTH(INDEX(DarlAuszahlung,10),450)+1)</f>
      </c>
      <c r="F4774" s="43">
        <f>IF($E4774=0,0,YEAR($E4774))</f>
      </c>
      <c r="G4774" s="43">
        <f>IF(INDEX(DarlBindung,10)="",1,IF($E4774&lt;=INDEX(DarlBindung,10),1,0))</f>
      </c>
      <c r="H4774" s="43">
        <f>IF($G4774=1,INDEX(DarlSollzins,10),INDEX(DarlAnschluss,10))</f>
      </c>
      <c r="I4774" s="43">
        <f>IF(INDEX(DarlBelegt,10)=0,0,IF(INDEX(DarlOhneTilgung,10)=1,IF(INDEX(DarlBindung,10)="",1,$G4774),IF($J4774&gt;0.005,1,0)))</f>
      </c>
      <c r="J4774" s="43">
        <f>IF($I4773=0,0,$R4773)</f>
      </c>
      <c r="K4774" s="43">
        <f>IF($I4774=0,0,IF(INDEX(DarlOhneTilgung,10)=1,0,IF(AND(INDEX(DarlTilgStart,10)&gt;0,$E4774=INDEX(DarlTilgStart,10)),$J4774*($H4774+INDEX(DarlTilgung,10))/100/12,IF(AND($G4774=0,$G4773=1),MAX($K4773,$J4774*($H4774+1)/100/12),$K4773))))</f>
      </c>
      <c r="L4774" s="43">
        <f>IF($I4774=0,0,$J4774*$H4774/100/12)</f>
      </c>
      <c r="M4774" s="43">
        <f>IF($I4774=0,0,IF(OR(INDEX(DarlOhneTilgung,10)=1,AND(INDEX(DarlTilgStart,10)&gt;0,$E4774&lt;INDEX(DarlTilgStart,10))),0,MIN(MAX(0,$K4774-$L4774),$J4774)))</f>
      </c>
      <c r="N4774" s="43">
        <f>IF($I4774=0,0,MIN(SUMIFS(SondBetrag,SondDarl,10,SondDatum,"&gt;="&amp;$E4774,SondDatum,"&lt;="&amp;EOMONTH($E4774,0)),$J4774-$M4774))</f>
      </c>
      <c r="O4774" s="43">
        <f>IF($I4774=0,0,INDEX(DarlErsatzRate,10))</f>
      </c>
      <c r="P4774" s="43">
        <f>IF($I4774=0,0,$Q4773*INDEX(DarlErsatzZins,10))</f>
      </c>
      <c r="Q4774" s="43">
        <f>IF($I4774=0,0,$Q4773+$P4774+$O4774)</f>
      </c>
      <c r="R4774" s="43">
        <f>IF($I4774=0,0,$J4774-$M4774-$N4774)</f>
      </c>
    </row>
    <row r="4775">
      <c r="A4775"/>
      <c r="B4775">
        <v>10</v>
      </c>
      <c r="C4775" s="43">
        <f>INDEX(DarlObj,10)</f>
      </c>
      <c r="D4775">
        <v>452</v>
      </c>
      <c r="E4775" s="51">
        <f>IF(INDEX(DarlBelegt,10)=0,0,EOMONTH(INDEX(DarlAuszahlung,10),451)+1)</f>
      </c>
      <c r="F4775" s="43">
        <f>IF($E4775=0,0,YEAR($E4775))</f>
      </c>
      <c r="G4775" s="43">
        <f>IF(INDEX(DarlBindung,10)="",1,IF($E4775&lt;=INDEX(DarlBindung,10),1,0))</f>
      </c>
      <c r="H4775" s="43">
        <f>IF($G4775=1,INDEX(DarlSollzins,10),INDEX(DarlAnschluss,10))</f>
      </c>
      <c r="I4775" s="43">
        <f>IF(INDEX(DarlBelegt,10)=0,0,IF(INDEX(DarlOhneTilgung,10)=1,IF(INDEX(DarlBindung,10)="",1,$G4775),IF($J4775&gt;0.005,1,0)))</f>
      </c>
      <c r="J4775" s="43">
        <f>IF($I4774=0,0,$R4774)</f>
      </c>
      <c r="K4775" s="43">
        <f>IF($I4775=0,0,IF(INDEX(DarlOhneTilgung,10)=1,0,IF(AND(INDEX(DarlTilgStart,10)&gt;0,$E4775=INDEX(DarlTilgStart,10)),$J4775*($H4775+INDEX(DarlTilgung,10))/100/12,IF(AND($G4775=0,$G4774=1),MAX($K4774,$J4775*($H4775+1)/100/12),$K4774))))</f>
      </c>
      <c r="L4775" s="43">
        <f>IF($I4775=0,0,$J4775*$H4775/100/12)</f>
      </c>
      <c r="M4775" s="43">
        <f>IF($I4775=0,0,IF(OR(INDEX(DarlOhneTilgung,10)=1,AND(INDEX(DarlTilgStart,10)&gt;0,$E4775&lt;INDEX(DarlTilgStart,10))),0,MIN(MAX(0,$K4775-$L4775),$J4775)))</f>
      </c>
      <c r="N4775" s="43">
        <f>IF($I4775=0,0,MIN(SUMIFS(SondBetrag,SondDarl,10,SondDatum,"&gt;="&amp;$E4775,SondDatum,"&lt;="&amp;EOMONTH($E4775,0)),$J4775-$M4775))</f>
      </c>
      <c r="O4775" s="43">
        <f>IF($I4775=0,0,INDEX(DarlErsatzRate,10))</f>
      </c>
      <c r="P4775" s="43">
        <f>IF($I4775=0,0,$Q4774*INDEX(DarlErsatzZins,10))</f>
      </c>
      <c r="Q4775" s="43">
        <f>IF($I4775=0,0,$Q4774+$P4775+$O4775)</f>
      </c>
      <c r="R4775" s="43">
        <f>IF($I4775=0,0,$J4775-$M4775-$N4775)</f>
      </c>
    </row>
    <row r="4776">
      <c r="A4776"/>
      <c r="B4776">
        <v>10</v>
      </c>
      <c r="C4776" s="43">
        <f>INDEX(DarlObj,10)</f>
      </c>
      <c r="D4776">
        <v>453</v>
      </c>
      <c r="E4776" s="51">
        <f>IF(INDEX(DarlBelegt,10)=0,0,EOMONTH(INDEX(DarlAuszahlung,10),452)+1)</f>
      </c>
      <c r="F4776" s="43">
        <f>IF($E4776=0,0,YEAR($E4776))</f>
      </c>
      <c r="G4776" s="43">
        <f>IF(INDEX(DarlBindung,10)="",1,IF($E4776&lt;=INDEX(DarlBindung,10),1,0))</f>
      </c>
      <c r="H4776" s="43">
        <f>IF($G4776=1,INDEX(DarlSollzins,10),INDEX(DarlAnschluss,10))</f>
      </c>
      <c r="I4776" s="43">
        <f>IF(INDEX(DarlBelegt,10)=0,0,IF(INDEX(DarlOhneTilgung,10)=1,IF(INDEX(DarlBindung,10)="",1,$G4776),IF($J4776&gt;0.005,1,0)))</f>
      </c>
      <c r="J4776" s="43">
        <f>IF($I4775=0,0,$R4775)</f>
      </c>
      <c r="K4776" s="43">
        <f>IF($I4776=0,0,IF(INDEX(DarlOhneTilgung,10)=1,0,IF(AND(INDEX(DarlTilgStart,10)&gt;0,$E4776=INDEX(DarlTilgStart,10)),$J4776*($H4776+INDEX(DarlTilgung,10))/100/12,IF(AND($G4776=0,$G4775=1),MAX($K4775,$J4776*($H4776+1)/100/12),$K4775))))</f>
      </c>
      <c r="L4776" s="43">
        <f>IF($I4776=0,0,$J4776*$H4776/100/12)</f>
      </c>
      <c r="M4776" s="43">
        <f>IF($I4776=0,0,IF(OR(INDEX(DarlOhneTilgung,10)=1,AND(INDEX(DarlTilgStart,10)&gt;0,$E4776&lt;INDEX(DarlTilgStart,10))),0,MIN(MAX(0,$K4776-$L4776),$J4776)))</f>
      </c>
      <c r="N4776" s="43">
        <f>IF($I4776=0,0,MIN(SUMIFS(SondBetrag,SondDarl,10,SondDatum,"&gt;="&amp;$E4776,SondDatum,"&lt;="&amp;EOMONTH($E4776,0)),$J4776-$M4776))</f>
      </c>
      <c r="O4776" s="43">
        <f>IF($I4776=0,0,INDEX(DarlErsatzRate,10))</f>
      </c>
      <c r="P4776" s="43">
        <f>IF($I4776=0,0,$Q4775*INDEX(DarlErsatzZins,10))</f>
      </c>
      <c r="Q4776" s="43">
        <f>IF($I4776=0,0,$Q4775+$P4776+$O4776)</f>
      </c>
      <c r="R4776" s="43">
        <f>IF($I4776=0,0,$J4776-$M4776-$N4776)</f>
      </c>
    </row>
    <row r="4777">
      <c r="A4777"/>
      <c r="B4777">
        <v>10</v>
      </c>
      <c r="C4777" s="43">
        <f>INDEX(DarlObj,10)</f>
      </c>
      <c r="D4777">
        <v>454</v>
      </c>
      <c r="E4777" s="51">
        <f>IF(INDEX(DarlBelegt,10)=0,0,EOMONTH(INDEX(DarlAuszahlung,10),453)+1)</f>
      </c>
      <c r="F4777" s="43">
        <f>IF($E4777=0,0,YEAR($E4777))</f>
      </c>
      <c r="G4777" s="43">
        <f>IF(INDEX(DarlBindung,10)="",1,IF($E4777&lt;=INDEX(DarlBindung,10),1,0))</f>
      </c>
      <c r="H4777" s="43">
        <f>IF($G4777=1,INDEX(DarlSollzins,10),INDEX(DarlAnschluss,10))</f>
      </c>
      <c r="I4777" s="43">
        <f>IF(INDEX(DarlBelegt,10)=0,0,IF(INDEX(DarlOhneTilgung,10)=1,IF(INDEX(DarlBindung,10)="",1,$G4777),IF($J4777&gt;0.005,1,0)))</f>
      </c>
      <c r="J4777" s="43">
        <f>IF($I4776=0,0,$R4776)</f>
      </c>
      <c r="K4777" s="43">
        <f>IF($I4777=0,0,IF(INDEX(DarlOhneTilgung,10)=1,0,IF(AND(INDEX(DarlTilgStart,10)&gt;0,$E4777=INDEX(DarlTilgStart,10)),$J4777*($H4777+INDEX(DarlTilgung,10))/100/12,IF(AND($G4777=0,$G4776=1),MAX($K4776,$J4777*($H4777+1)/100/12),$K4776))))</f>
      </c>
      <c r="L4777" s="43">
        <f>IF($I4777=0,0,$J4777*$H4777/100/12)</f>
      </c>
      <c r="M4777" s="43">
        <f>IF($I4777=0,0,IF(OR(INDEX(DarlOhneTilgung,10)=1,AND(INDEX(DarlTilgStart,10)&gt;0,$E4777&lt;INDEX(DarlTilgStart,10))),0,MIN(MAX(0,$K4777-$L4777),$J4777)))</f>
      </c>
      <c r="N4777" s="43">
        <f>IF($I4777=0,0,MIN(SUMIFS(SondBetrag,SondDarl,10,SondDatum,"&gt;="&amp;$E4777,SondDatum,"&lt;="&amp;EOMONTH($E4777,0)),$J4777-$M4777))</f>
      </c>
      <c r="O4777" s="43">
        <f>IF($I4777=0,0,INDEX(DarlErsatzRate,10))</f>
      </c>
      <c r="P4777" s="43">
        <f>IF($I4777=0,0,$Q4776*INDEX(DarlErsatzZins,10))</f>
      </c>
      <c r="Q4777" s="43">
        <f>IF($I4777=0,0,$Q4776+$P4777+$O4777)</f>
      </c>
      <c r="R4777" s="43">
        <f>IF($I4777=0,0,$J4777-$M4777-$N4777)</f>
      </c>
    </row>
    <row r="4778">
      <c r="A4778"/>
      <c r="B4778">
        <v>10</v>
      </c>
      <c r="C4778" s="43">
        <f>INDEX(DarlObj,10)</f>
      </c>
      <c r="D4778">
        <v>455</v>
      </c>
      <c r="E4778" s="51">
        <f>IF(INDEX(DarlBelegt,10)=0,0,EOMONTH(INDEX(DarlAuszahlung,10),454)+1)</f>
      </c>
      <c r="F4778" s="43">
        <f>IF($E4778=0,0,YEAR($E4778))</f>
      </c>
      <c r="G4778" s="43">
        <f>IF(INDEX(DarlBindung,10)="",1,IF($E4778&lt;=INDEX(DarlBindung,10),1,0))</f>
      </c>
      <c r="H4778" s="43">
        <f>IF($G4778=1,INDEX(DarlSollzins,10),INDEX(DarlAnschluss,10))</f>
      </c>
      <c r="I4778" s="43">
        <f>IF(INDEX(DarlBelegt,10)=0,0,IF(INDEX(DarlOhneTilgung,10)=1,IF(INDEX(DarlBindung,10)="",1,$G4778),IF($J4778&gt;0.005,1,0)))</f>
      </c>
      <c r="J4778" s="43">
        <f>IF($I4777=0,0,$R4777)</f>
      </c>
      <c r="K4778" s="43">
        <f>IF($I4778=0,0,IF(INDEX(DarlOhneTilgung,10)=1,0,IF(AND(INDEX(DarlTilgStart,10)&gt;0,$E4778=INDEX(DarlTilgStart,10)),$J4778*($H4778+INDEX(DarlTilgung,10))/100/12,IF(AND($G4778=0,$G4777=1),MAX($K4777,$J4778*($H4778+1)/100/12),$K4777))))</f>
      </c>
      <c r="L4778" s="43">
        <f>IF($I4778=0,0,$J4778*$H4778/100/12)</f>
      </c>
      <c r="M4778" s="43">
        <f>IF($I4778=0,0,IF(OR(INDEX(DarlOhneTilgung,10)=1,AND(INDEX(DarlTilgStart,10)&gt;0,$E4778&lt;INDEX(DarlTilgStart,10))),0,MIN(MAX(0,$K4778-$L4778),$J4778)))</f>
      </c>
      <c r="N4778" s="43">
        <f>IF($I4778=0,0,MIN(SUMIFS(SondBetrag,SondDarl,10,SondDatum,"&gt;="&amp;$E4778,SondDatum,"&lt;="&amp;EOMONTH($E4778,0)),$J4778-$M4778))</f>
      </c>
      <c r="O4778" s="43">
        <f>IF($I4778=0,0,INDEX(DarlErsatzRate,10))</f>
      </c>
      <c r="P4778" s="43">
        <f>IF($I4778=0,0,$Q4777*INDEX(DarlErsatzZins,10))</f>
      </c>
      <c r="Q4778" s="43">
        <f>IF($I4778=0,0,$Q4777+$P4778+$O4778)</f>
      </c>
      <c r="R4778" s="43">
        <f>IF($I4778=0,0,$J4778-$M4778-$N4778)</f>
      </c>
    </row>
    <row r="4779">
      <c r="A4779"/>
      <c r="B4779">
        <v>10</v>
      </c>
      <c r="C4779" s="43">
        <f>INDEX(DarlObj,10)</f>
      </c>
      <c r="D4779">
        <v>456</v>
      </c>
      <c r="E4779" s="51">
        <f>IF(INDEX(DarlBelegt,10)=0,0,EOMONTH(INDEX(DarlAuszahlung,10),455)+1)</f>
      </c>
      <c r="F4779" s="43">
        <f>IF($E4779=0,0,YEAR($E4779))</f>
      </c>
      <c r="G4779" s="43">
        <f>IF(INDEX(DarlBindung,10)="",1,IF($E4779&lt;=INDEX(DarlBindung,10),1,0))</f>
      </c>
      <c r="H4779" s="43">
        <f>IF($G4779=1,INDEX(DarlSollzins,10),INDEX(DarlAnschluss,10))</f>
      </c>
      <c r="I4779" s="43">
        <f>IF(INDEX(DarlBelegt,10)=0,0,IF(INDEX(DarlOhneTilgung,10)=1,IF(INDEX(DarlBindung,10)="",1,$G4779),IF($J4779&gt;0.005,1,0)))</f>
      </c>
      <c r="J4779" s="43">
        <f>IF($I4778=0,0,$R4778)</f>
      </c>
      <c r="K4779" s="43">
        <f>IF($I4779=0,0,IF(INDEX(DarlOhneTilgung,10)=1,0,IF(AND(INDEX(DarlTilgStart,10)&gt;0,$E4779=INDEX(DarlTilgStart,10)),$J4779*($H4779+INDEX(DarlTilgung,10))/100/12,IF(AND($G4779=0,$G4778=1),MAX($K4778,$J4779*($H4779+1)/100/12),$K4778))))</f>
      </c>
      <c r="L4779" s="43">
        <f>IF($I4779=0,0,$J4779*$H4779/100/12)</f>
      </c>
      <c r="M4779" s="43">
        <f>IF($I4779=0,0,IF(OR(INDEX(DarlOhneTilgung,10)=1,AND(INDEX(DarlTilgStart,10)&gt;0,$E4779&lt;INDEX(DarlTilgStart,10))),0,MIN(MAX(0,$K4779-$L4779),$J4779)))</f>
      </c>
      <c r="N4779" s="43">
        <f>IF($I4779=0,0,MIN(SUMIFS(SondBetrag,SondDarl,10,SondDatum,"&gt;="&amp;$E4779,SondDatum,"&lt;="&amp;EOMONTH($E4779,0)),$J4779-$M4779))</f>
      </c>
      <c r="O4779" s="43">
        <f>IF($I4779=0,0,INDEX(DarlErsatzRate,10))</f>
      </c>
      <c r="P4779" s="43">
        <f>IF($I4779=0,0,$Q4778*INDEX(DarlErsatzZins,10))</f>
      </c>
      <c r="Q4779" s="43">
        <f>IF($I4779=0,0,$Q4778+$P4779+$O4779)</f>
      </c>
      <c r="R4779" s="43">
        <f>IF($I4779=0,0,$J4779-$M4779-$N4779)</f>
      </c>
    </row>
    <row r="4780">
      <c r="A4780"/>
      <c r="B4780">
        <v>10</v>
      </c>
      <c r="C4780" s="43">
        <f>INDEX(DarlObj,10)</f>
      </c>
      <c r="D4780">
        <v>457</v>
      </c>
      <c r="E4780" s="51">
        <f>IF(INDEX(DarlBelegt,10)=0,0,EOMONTH(INDEX(DarlAuszahlung,10),456)+1)</f>
      </c>
      <c r="F4780" s="43">
        <f>IF($E4780=0,0,YEAR($E4780))</f>
      </c>
      <c r="G4780" s="43">
        <f>IF(INDEX(DarlBindung,10)="",1,IF($E4780&lt;=INDEX(DarlBindung,10),1,0))</f>
      </c>
      <c r="H4780" s="43">
        <f>IF($G4780=1,INDEX(DarlSollzins,10),INDEX(DarlAnschluss,10))</f>
      </c>
      <c r="I4780" s="43">
        <f>IF(INDEX(DarlBelegt,10)=0,0,IF(INDEX(DarlOhneTilgung,10)=1,IF(INDEX(DarlBindung,10)="",1,$G4780),IF($J4780&gt;0.005,1,0)))</f>
      </c>
      <c r="J4780" s="43">
        <f>IF($I4779=0,0,$R4779)</f>
      </c>
      <c r="K4780" s="43">
        <f>IF($I4780=0,0,IF(INDEX(DarlOhneTilgung,10)=1,0,IF(AND(INDEX(DarlTilgStart,10)&gt;0,$E4780=INDEX(DarlTilgStart,10)),$J4780*($H4780+INDEX(DarlTilgung,10))/100/12,IF(AND($G4780=0,$G4779=1),MAX($K4779,$J4780*($H4780+1)/100/12),$K4779))))</f>
      </c>
      <c r="L4780" s="43">
        <f>IF($I4780=0,0,$J4780*$H4780/100/12)</f>
      </c>
      <c r="M4780" s="43">
        <f>IF($I4780=0,0,IF(OR(INDEX(DarlOhneTilgung,10)=1,AND(INDEX(DarlTilgStart,10)&gt;0,$E4780&lt;INDEX(DarlTilgStart,10))),0,MIN(MAX(0,$K4780-$L4780),$J4780)))</f>
      </c>
      <c r="N4780" s="43">
        <f>IF($I4780=0,0,MIN(SUMIFS(SondBetrag,SondDarl,10,SondDatum,"&gt;="&amp;$E4780,SondDatum,"&lt;="&amp;EOMONTH($E4780,0)),$J4780-$M4780))</f>
      </c>
      <c r="O4780" s="43">
        <f>IF($I4780=0,0,INDEX(DarlErsatzRate,10))</f>
      </c>
      <c r="P4780" s="43">
        <f>IF($I4780=0,0,$Q4779*INDEX(DarlErsatzZins,10))</f>
      </c>
      <c r="Q4780" s="43">
        <f>IF($I4780=0,0,$Q4779+$P4780+$O4780)</f>
      </c>
      <c r="R4780" s="43">
        <f>IF($I4780=0,0,$J4780-$M4780-$N4780)</f>
      </c>
    </row>
    <row r="4781">
      <c r="A4781"/>
      <c r="B4781">
        <v>10</v>
      </c>
      <c r="C4781" s="43">
        <f>INDEX(DarlObj,10)</f>
      </c>
      <c r="D4781">
        <v>458</v>
      </c>
      <c r="E4781" s="51">
        <f>IF(INDEX(DarlBelegt,10)=0,0,EOMONTH(INDEX(DarlAuszahlung,10),457)+1)</f>
      </c>
      <c r="F4781" s="43">
        <f>IF($E4781=0,0,YEAR($E4781))</f>
      </c>
      <c r="G4781" s="43">
        <f>IF(INDEX(DarlBindung,10)="",1,IF($E4781&lt;=INDEX(DarlBindung,10),1,0))</f>
      </c>
      <c r="H4781" s="43">
        <f>IF($G4781=1,INDEX(DarlSollzins,10),INDEX(DarlAnschluss,10))</f>
      </c>
      <c r="I4781" s="43">
        <f>IF(INDEX(DarlBelegt,10)=0,0,IF(INDEX(DarlOhneTilgung,10)=1,IF(INDEX(DarlBindung,10)="",1,$G4781),IF($J4781&gt;0.005,1,0)))</f>
      </c>
      <c r="J4781" s="43">
        <f>IF($I4780=0,0,$R4780)</f>
      </c>
      <c r="K4781" s="43">
        <f>IF($I4781=0,0,IF(INDEX(DarlOhneTilgung,10)=1,0,IF(AND(INDEX(DarlTilgStart,10)&gt;0,$E4781=INDEX(DarlTilgStart,10)),$J4781*($H4781+INDEX(DarlTilgung,10))/100/12,IF(AND($G4781=0,$G4780=1),MAX($K4780,$J4781*($H4781+1)/100/12),$K4780))))</f>
      </c>
      <c r="L4781" s="43">
        <f>IF($I4781=0,0,$J4781*$H4781/100/12)</f>
      </c>
      <c r="M4781" s="43">
        <f>IF($I4781=0,0,IF(OR(INDEX(DarlOhneTilgung,10)=1,AND(INDEX(DarlTilgStart,10)&gt;0,$E4781&lt;INDEX(DarlTilgStart,10))),0,MIN(MAX(0,$K4781-$L4781),$J4781)))</f>
      </c>
      <c r="N4781" s="43">
        <f>IF($I4781=0,0,MIN(SUMIFS(SondBetrag,SondDarl,10,SondDatum,"&gt;="&amp;$E4781,SondDatum,"&lt;="&amp;EOMONTH($E4781,0)),$J4781-$M4781))</f>
      </c>
      <c r="O4781" s="43">
        <f>IF($I4781=0,0,INDEX(DarlErsatzRate,10))</f>
      </c>
      <c r="P4781" s="43">
        <f>IF($I4781=0,0,$Q4780*INDEX(DarlErsatzZins,10))</f>
      </c>
      <c r="Q4781" s="43">
        <f>IF($I4781=0,0,$Q4780+$P4781+$O4781)</f>
      </c>
      <c r="R4781" s="43">
        <f>IF($I4781=0,0,$J4781-$M4781-$N4781)</f>
      </c>
    </row>
    <row r="4782">
      <c r="A4782"/>
      <c r="B4782">
        <v>10</v>
      </c>
      <c r="C4782" s="43">
        <f>INDEX(DarlObj,10)</f>
      </c>
      <c r="D4782">
        <v>459</v>
      </c>
      <c r="E4782" s="51">
        <f>IF(INDEX(DarlBelegt,10)=0,0,EOMONTH(INDEX(DarlAuszahlung,10),458)+1)</f>
      </c>
      <c r="F4782" s="43">
        <f>IF($E4782=0,0,YEAR($E4782))</f>
      </c>
      <c r="G4782" s="43">
        <f>IF(INDEX(DarlBindung,10)="",1,IF($E4782&lt;=INDEX(DarlBindung,10),1,0))</f>
      </c>
      <c r="H4782" s="43">
        <f>IF($G4782=1,INDEX(DarlSollzins,10),INDEX(DarlAnschluss,10))</f>
      </c>
      <c r="I4782" s="43">
        <f>IF(INDEX(DarlBelegt,10)=0,0,IF(INDEX(DarlOhneTilgung,10)=1,IF(INDEX(DarlBindung,10)="",1,$G4782),IF($J4782&gt;0.005,1,0)))</f>
      </c>
      <c r="J4782" s="43">
        <f>IF($I4781=0,0,$R4781)</f>
      </c>
      <c r="K4782" s="43">
        <f>IF($I4782=0,0,IF(INDEX(DarlOhneTilgung,10)=1,0,IF(AND(INDEX(DarlTilgStart,10)&gt;0,$E4782=INDEX(DarlTilgStart,10)),$J4782*($H4782+INDEX(DarlTilgung,10))/100/12,IF(AND($G4782=0,$G4781=1),MAX($K4781,$J4782*($H4782+1)/100/12),$K4781))))</f>
      </c>
      <c r="L4782" s="43">
        <f>IF($I4782=0,0,$J4782*$H4782/100/12)</f>
      </c>
      <c r="M4782" s="43">
        <f>IF($I4782=0,0,IF(OR(INDEX(DarlOhneTilgung,10)=1,AND(INDEX(DarlTilgStart,10)&gt;0,$E4782&lt;INDEX(DarlTilgStart,10))),0,MIN(MAX(0,$K4782-$L4782),$J4782)))</f>
      </c>
      <c r="N4782" s="43">
        <f>IF($I4782=0,0,MIN(SUMIFS(SondBetrag,SondDarl,10,SondDatum,"&gt;="&amp;$E4782,SondDatum,"&lt;="&amp;EOMONTH($E4782,0)),$J4782-$M4782))</f>
      </c>
      <c r="O4782" s="43">
        <f>IF($I4782=0,0,INDEX(DarlErsatzRate,10))</f>
      </c>
      <c r="P4782" s="43">
        <f>IF($I4782=0,0,$Q4781*INDEX(DarlErsatzZins,10))</f>
      </c>
      <c r="Q4782" s="43">
        <f>IF($I4782=0,0,$Q4781+$P4782+$O4782)</f>
      </c>
      <c r="R4782" s="43">
        <f>IF($I4782=0,0,$J4782-$M4782-$N4782)</f>
      </c>
    </row>
    <row r="4783">
      <c r="A4783"/>
      <c r="B4783">
        <v>10</v>
      </c>
      <c r="C4783" s="43">
        <f>INDEX(DarlObj,10)</f>
      </c>
      <c r="D4783">
        <v>460</v>
      </c>
      <c r="E4783" s="51">
        <f>IF(INDEX(DarlBelegt,10)=0,0,EOMONTH(INDEX(DarlAuszahlung,10),459)+1)</f>
      </c>
      <c r="F4783" s="43">
        <f>IF($E4783=0,0,YEAR($E4783))</f>
      </c>
      <c r="G4783" s="43">
        <f>IF(INDEX(DarlBindung,10)="",1,IF($E4783&lt;=INDEX(DarlBindung,10),1,0))</f>
      </c>
      <c r="H4783" s="43">
        <f>IF($G4783=1,INDEX(DarlSollzins,10),INDEX(DarlAnschluss,10))</f>
      </c>
      <c r="I4783" s="43">
        <f>IF(INDEX(DarlBelegt,10)=0,0,IF(INDEX(DarlOhneTilgung,10)=1,IF(INDEX(DarlBindung,10)="",1,$G4783),IF($J4783&gt;0.005,1,0)))</f>
      </c>
      <c r="J4783" s="43">
        <f>IF($I4782=0,0,$R4782)</f>
      </c>
      <c r="K4783" s="43">
        <f>IF($I4783=0,0,IF(INDEX(DarlOhneTilgung,10)=1,0,IF(AND(INDEX(DarlTilgStart,10)&gt;0,$E4783=INDEX(DarlTilgStart,10)),$J4783*($H4783+INDEX(DarlTilgung,10))/100/12,IF(AND($G4783=0,$G4782=1),MAX($K4782,$J4783*($H4783+1)/100/12),$K4782))))</f>
      </c>
      <c r="L4783" s="43">
        <f>IF($I4783=0,0,$J4783*$H4783/100/12)</f>
      </c>
      <c r="M4783" s="43">
        <f>IF($I4783=0,0,IF(OR(INDEX(DarlOhneTilgung,10)=1,AND(INDEX(DarlTilgStart,10)&gt;0,$E4783&lt;INDEX(DarlTilgStart,10))),0,MIN(MAX(0,$K4783-$L4783),$J4783)))</f>
      </c>
      <c r="N4783" s="43">
        <f>IF($I4783=0,0,MIN(SUMIFS(SondBetrag,SondDarl,10,SondDatum,"&gt;="&amp;$E4783,SondDatum,"&lt;="&amp;EOMONTH($E4783,0)),$J4783-$M4783))</f>
      </c>
      <c r="O4783" s="43">
        <f>IF($I4783=0,0,INDEX(DarlErsatzRate,10))</f>
      </c>
      <c r="P4783" s="43">
        <f>IF($I4783=0,0,$Q4782*INDEX(DarlErsatzZins,10))</f>
      </c>
      <c r="Q4783" s="43">
        <f>IF($I4783=0,0,$Q4782+$P4783+$O4783)</f>
      </c>
      <c r="R4783" s="43">
        <f>IF($I4783=0,0,$J4783-$M4783-$N4783)</f>
      </c>
    </row>
    <row r="4784">
      <c r="A4784"/>
      <c r="B4784">
        <v>10</v>
      </c>
      <c r="C4784" s="43">
        <f>INDEX(DarlObj,10)</f>
      </c>
      <c r="D4784">
        <v>461</v>
      </c>
      <c r="E4784" s="51">
        <f>IF(INDEX(DarlBelegt,10)=0,0,EOMONTH(INDEX(DarlAuszahlung,10),460)+1)</f>
      </c>
      <c r="F4784" s="43">
        <f>IF($E4784=0,0,YEAR($E4784))</f>
      </c>
      <c r="G4784" s="43">
        <f>IF(INDEX(DarlBindung,10)="",1,IF($E4784&lt;=INDEX(DarlBindung,10),1,0))</f>
      </c>
      <c r="H4784" s="43">
        <f>IF($G4784=1,INDEX(DarlSollzins,10),INDEX(DarlAnschluss,10))</f>
      </c>
      <c r="I4784" s="43">
        <f>IF(INDEX(DarlBelegt,10)=0,0,IF(INDEX(DarlOhneTilgung,10)=1,IF(INDEX(DarlBindung,10)="",1,$G4784),IF($J4784&gt;0.005,1,0)))</f>
      </c>
      <c r="J4784" s="43">
        <f>IF($I4783=0,0,$R4783)</f>
      </c>
      <c r="K4784" s="43">
        <f>IF($I4784=0,0,IF(INDEX(DarlOhneTilgung,10)=1,0,IF(AND(INDEX(DarlTilgStart,10)&gt;0,$E4784=INDEX(DarlTilgStart,10)),$J4784*($H4784+INDEX(DarlTilgung,10))/100/12,IF(AND($G4784=0,$G4783=1),MAX($K4783,$J4784*($H4784+1)/100/12),$K4783))))</f>
      </c>
      <c r="L4784" s="43">
        <f>IF($I4784=0,0,$J4784*$H4784/100/12)</f>
      </c>
      <c r="M4784" s="43">
        <f>IF($I4784=0,0,IF(OR(INDEX(DarlOhneTilgung,10)=1,AND(INDEX(DarlTilgStart,10)&gt;0,$E4784&lt;INDEX(DarlTilgStart,10))),0,MIN(MAX(0,$K4784-$L4784),$J4784)))</f>
      </c>
      <c r="N4784" s="43">
        <f>IF($I4784=0,0,MIN(SUMIFS(SondBetrag,SondDarl,10,SondDatum,"&gt;="&amp;$E4784,SondDatum,"&lt;="&amp;EOMONTH($E4784,0)),$J4784-$M4784))</f>
      </c>
      <c r="O4784" s="43">
        <f>IF($I4784=0,0,INDEX(DarlErsatzRate,10))</f>
      </c>
      <c r="P4784" s="43">
        <f>IF($I4784=0,0,$Q4783*INDEX(DarlErsatzZins,10))</f>
      </c>
      <c r="Q4784" s="43">
        <f>IF($I4784=0,0,$Q4783+$P4784+$O4784)</f>
      </c>
      <c r="R4784" s="43">
        <f>IF($I4784=0,0,$J4784-$M4784-$N4784)</f>
      </c>
    </row>
    <row r="4785">
      <c r="A4785"/>
      <c r="B4785">
        <v>10</v>
      </c>
      <c r="C4785" s="43">
        <f>INDEX(DarlObj,10)</f>
      </c>
      <c r="D4785">
        <v>462</v>
      </c>
      <c r="E4785" s="51">
        <f>IF(INDEX(DarlBelegt,10)=0,0,EOMONTH(INDEX(DarlAuszahlung,10),461)+1)</f>
      </c>
      <c r="F4785" s="43">
        <f>IF($E4785=0,0,YEAR($E4785))</f>
      </c>
      <c r="G4785" s="43">
        <f>IF(INDEX(DarlBindung,10)="",1,IF($E4785&lt;=INDEX(DarlBindung,10),1,0))</f>
      </c>
      <c r="H4785" s="43">
        <f>IF($G4785=1,INDEX(DarlSollzins,10),INDEX(DarlAnschluss,10))</f>
      </c>
      <c r="I4785" s="43">
        <f>IF(INDEX(DarlBelegt,10)=0,0,IF(INDEX(DarlOhneTilgung,10)=1,IF(INDEX(DarlBindung,10)="",1,$G4785),IF($J4785&gt;0.005,1,0)))</f>
      </c>
      <c r="J4785" s="43">
        <f>IF($I4784=0,0,$R4784)</f>
      </c>
      <c r="K4785" s="43">
        <f>IF($I4785=0,0,IF(INDEX(DarlOhneTilgung,10)=1,0,IF(AND(INDEX(DarlTilgStart,10)&gt;0,$E4785=INDEX(DarlTilgStart,10)),$J4785*($H4785+INDEX(DarlTilgung,10))/100/12,IF(AND($G4785=0,$G4784=1),MAX($K4784,$J4785*($H4785+1)/100/12),$K4784))))</f>
      </c>
      <c r="L4785" s="43">
        <f>IF($I4785=0,0,$J4785*$H4785/100/12)</f>
      </c>
      <c r="M4785" s="43">
        <f>IF($I4785=0,0,IF(OR(INDEX(DarlOhneTilgung,10)=1,AND(INDEX(DarlTilgStart,10)&gt;0,$E4785&lt;INDEX(DarlTilgStart,10))),0,MIN(MAX(0,$K4785-$L4785),$J4785)))</f>
      </c>
      <c r="N4785" s="43">
        <f>IF($I4785=0,0,MIN(SUMIFS(SondBetrag,SondDarl,10,SondDatum,"&gt;="&amp;$E4785,SondDatum,"&lt;="&amp;EOMONTH($E4785,0)),$J4785-$M4785))</f>
      </c>
      <c r="O4785" s="43">
        <f>IF($I4785=0,0,INDEX(DarlErsatzRate,10))</f>
      </c>
      <c r="P4785" s="43">
        <f>IF($I4785=0,0,$Q4784*INDEX(DarlErsatzZins,10))</f>
      </c>
      <c r="Q4785" s="43">
        <f>IF($I4785=0,0,$Q4784+$P4785+$O4785)</f>
      </c>
      <c r="R4785" s="43">
        <f>IF($I4785=0,0,$J4785-$M4785-$N4785)</f>
      </c>
    </row>
    <row r="4786">
      <c r="A4786"/>
      <c r="B4786">
        <v>10</v>
      </c>
      <c r="C4786" s="43">
        <f>INDEX(DarlObj,10)</f>
      </c>
      <c r="D4786">
        <v>463</v>
      </c>
      <c r="E4786" s="51">
        <f>IF(INDEX(DarlBelegt,10)=0,0,EOMONTH(INDEX(DarlAuszahlung,10),462)+1)</f>
      </c>
      <c r="F4786" s="43">
        <f>IF($E4786=0,0,YEAR($E4786))</f>
      </c>
      <c r="G4786" s="43">
        <f>IF(INDEX(DarlBindung,10)="",1,IF($E4786&lt;=INDEX(DarlBindung,10),1,0))</f>
      </c>
      <c r="H4786" s="43">
        <f>IF($G4786=1,INDEX(DarlSollzins,10),INDEX(DarlAnschluss,10))</f>
      </c>
      <c r="I4786" s="43">
        <f>IF(INDEX(DarlBelegt,10)=0,0,IF(INDEX(DarlOhneTilgung,10)=1,IF(INDEX(DarlBindung,10)="",1,$G4786),IF($J4786&gt;0.005,1,0)))</f>
      </c>
      <c r="J4786" s="43">
        <f>IF($I4785=0,0,$R4785)</f>
      </c>
      <c r="K4786" s="43">
        <f>IF($I4786=0,0,IF(INDEX(DarlOhneTilgung,10)=1,0,IF(AND(INDEX(DarlTilgStart,10)&gt;0,$E4786=INDEX(DarlTilgStart,10)),$J4786*($H4786+INDEX(DarlTilgung,10))/100/12,IF(AND($G4786=0,$G4785=1),MAX($K4785,$J4786*($H4786+1)/100/12),$K4785))))</f>
      </c>
      <c r="L4786" s="43">
        <f>IF($I4786=0,0,$J4786*$H4786/100/12)</f>
      </c>
      <c r="M4786" s="43">
        <f>IF($I4786=0,0,IF(OR(INDEX(DarlOhneTilgung,10)=1,AND(INDEX(DarlTilgStart,10)&gt;0,$E4786&lt;INDEX(DarlTilgStart,10))),0,MIN(MAX(0,$K4786-$L4786),$J4786)))</f>
      </c>
      <c r="N4786" s="43">
        <f>IF($I4786=0,0,MIN(SUMIFS(SondBetrag,SondDarl,10,SondDatum,"&gt;="&amp;$E4786,SondDatum,"&lt;="&amp;EOMONTH($E4786,0)),$J4786-$M4786))</f>
      </c>
      <c r="O4786" s="43">
        <f>IF($I4786=0,0,INDEX(DarlErsatzRate,10))</f>
      </c>
      <c r="P4786" s="43">
        <f>IF($I4786=0,0,$Q4785*INDEX(DarlErsatzZins,10))</f>
      </c>
      <c r="Q4786" s="43">
        <f>IF($I4786=0,0,$Q4785+$P4786+$O4786)</f>
      </c>
      <c r="R4786" s="43">
        <f>IF($I4786=0,0,$J4786-$M4786-$N4786)</f>
      </c>
    </row>
    <row r="4787">
      <c r="A4787"/>
      <c r="B4787">
        <v>10</v>
      </c>
      <c r="C4787" s="43">
        <f>INDEX(DarlObj,10)</f>
      </c>
      <c r="D4787">
        <v>464</v>
      </c>
      <c r="E4787" s="51">
        <f>IF(INDEX(DarlBelegt,10)=0,0,EOMONTH(INDEX(DarlAuszahlung,10),463)+1)</f>
      </c>
      <c r="F4787" s="43">
        <f>IF($E4787=0,0,YEAR($E4787))</f>
      </c>
      <c r="G4787" s="43">
        <f>IF(INDEX(DarlBindung,10)="",1,IF($E4787&lt;=INDEX(DarlBindung,10),1,0))</f>
      </c>
      <c r="H4787" s="43">
        <f>IF($G4787=1,INDEX(DarlSollzins,10),INDEX(DarlAnschluss,10))</f>
      </c>
      <c r="I4787" s="43">
        <f>IF(INDEX(DarlBelegt,10)=0,0,IF(INDEX(DarlOhneTilgung,10)=1,IF(INDEX(DarlBindung,10)="",1,$G4787),IF($J4787&gt;0.005,1,0)))</f>
      </c>
      <c r="J4787" s="43">
        <f>IF($I4786=0,0,$R4786)</f>
      </c>
      <c r="K4787" s="43">
        <f>IF($I4787=0,0,IF(INDEX(DarlOhneTilgung,10)=1,0,IF(AND(INDEX(DarlTilgStart,10)&gt;0,$E4787=INDEX(DarlTilgStart,10)),$J4787*($H4787+INDEX(DarlTilgung,10))/100/12,IF(AND($G4787=0,$G4786=1),MAX($K4786,$J4787*($H4787+1)/100/12),$K4786))))</f>
      </c>
      <c r="L4787" s="43">
        <f>IF($I4787=0,0,$J4787*$H4787/100/12)</f>
      </c>
      <c r="M4787" s="43">
        <f>IF($I4787=0,0,IF(OR(INDEX(DarlOhneTilgung,10)=1,AND(INDEX(DarlTilgStart,10)&gt;0,$E4787&lt;INDEX(DarlTilgStart,10))),0,MIN(MAX(0,$K4787-$L4787),$J4787)))</f>
      </c>
      <c r="N4787" s="43">
        <f>IF($I4787=0,0,MIN(SUMIFS(SondBetrag,SondDarl,10,SondDatum,"&gt;="&amp;$E4787,SondDatum,"&lt;="&amp;EOMONTH($E4787,0)),$J4787-$M4787))</f>
      </c>
      <c r="O4787" s="43">
        <f>IF($I4787=0,0,INDEX(DarlErsatzRate,10))</f>
      </c>
      <c r="P4787" s="43">
        <f>IF($I4787=0,0,$Q4786*INDEX(DarlErsatzZins,10))</f>
      </c>
      <c r="Q4787" s="43">
        <f>IF($I4787=0,0,$Q4786+$P4787+$O4787)</f>
      </c>
      <c r="R4787" s="43">
        <f>IF($I4787=0,0,$J4787-$M4787-$N4787)</f>
      </c>
    </row>
    <row r="4788">
      <c r="A4788"/>
      <c r="B4788">
        <v>10</v>
      </c>
      <c r="C4788" s="43">
        <f>INDEX(DarlObj,10)</f>
      </c>
      <c r="D4788">
        <v>465</v>
      </c>
      <c r="E4788" s="51">
        <f>IF(INDEX(DarlBelegt,10)=0,0,EOMONTH(INDEX(DarlAuszahlung,10),464)+1)</f>
      </c>
      <c r="F4788" s="43">
        <f>IF($E4788=0,0,YEAR($E4788))</f>
      </c>
      <c r="G4788" s="43">
        <f>IF(INDEX(DarlBindung,10)="",1,IF($E4788&lt;=INDEX(DarlBindung,10),1,0))</f>
      </c>
      <c r="H4788" s="43">
        <f>IF($G4788=1,INDEX(DarlSollzins,10),INDEX(DarlAnschluss,10))</f>
      </c>
      <c r="I4788" s="43">
        <f>IF(INDEX(DarlBelegt,10)=0,0,IF(INDEX(DarlOhneTilgung,10)=1,IF(INDEX(DarlBindung,10)="",1,$G4788),IF($J4788&gt;0.005,1,0)))</f>
      </c>
      <c r="J4788" s="43">
        <f>IF($I4787=0,0,$R4787)</f>
      </c>
      <c r="K4788" s="43">
        <f>IF($I4788=0,0,IF(INDEX(DarlOhneTilgung,10)=1,0,IF(AND(INDEX(DarlTilgStart,10)&gt;0,$E4788=INDEX(DarlTilgStart,10)),$J4788*($H4788+INDEX(DarlTilgung,10))/100/12,IF(AND($G4788=0,$G4787=1),MAX($K4787,$J4788*($H4788+1)/100/12),$K4787))))</f>
      </c>
      <c r="L4788" s="43">
        <f>IF($I4788=0,0,$J4788*$H4788/100/12)</f>
      </c>
      <c r="M4788" s="43">
        <f>IF($I4788=0,0,IF(OR(INDEX(DarlOhneTilgung,10)=1,AND(INDEX(DarlTilgStart,10)&gt;0,$E4788&lt;INDEX(DarlTilgStart,10))),0,MIN(MAX(0,$K4788-$L4788),$J4788)))</f>
      </c>
      <c r="N4788" s="43">
        <f>IF($I4788=0,0,MIN(SUMIFS(SondBetrag,SondDarl,10,SondDatum,"&gt;="&amp;$E4788,SondDatum,"&lt;="&amp;EOMONTH($E4788,0)),$J4788-$M4788))</f>
      </c>
      <c r="O4788" s="43">
        <f>IF($I4788=0,0,INDEX(DarlErsatzRate,10))</f>
      </c>
      <c r="P4788" s="43">
        <f>IF($I4788=0,0,$Q4787*INDEX(DarlErsatzZins,10))</f>
      </c>
      <c r="Q4788" s="43">
        <f>IF($I4788=0,0,$Q4787+$P4788+$O4788)</f>
      </c>
      <c r="R4788" s="43">
        <f>IF($I4788=0,0,$J4788-$M4788-$N4788)</f>
      </c>
    </row>
    <row r="4789">
      <c r="A4789"/>
      <c r="B4789">
        <v>10</v>
      </c>
      <c r="C4789" s="43">
        <f>INDEX(DarlObj,10)</f>
      </c>
      <c r="D4789">
        <v>466</v>
      </c>
      <c r="E4789" s="51">
        <f>IF(INDEX(DarlBelegt,10)=0,0,EOMONTH(INDEX(DarlAuszahlung,10),465)+1)</f>
      </c>
      <c r="F4789" s="43">
        <f>IF($E4789=0,0,YEAR($E4789))</f>
      </c>
      <c r="G4789" s="43">
        <f>IF(INDEX(DarlBindung,10)="",1,IF($E4789&lt;=INDEX(DarlBindung,10),1,0))</f>
      </c>
      <c r="H4789" s="43">
        <f>IF($G4789=1,INDEX(DarlSollzins,10),INDEX(DarlAnschluss,10))</f>
      </c>
      <c r="I4789" s="43">
        <f>IF(INDEX(DarlBelegt,10)=0,0,IF(INDEX(DarlOhneTilgung,10)=1,IF(INDEX(DarlBindung,10)="",1,$G4789),IF($J4789&gt;0.005,1,0)))</f>
      </c>
      <c r="J4789" s="43">
        <f>IF($I4788=0,0,$R4788)</f>
      </c>
      <c r="K4789" s="43">
        <f>IF($I4789=0,0,IF(INDEX(DarlOhneTilgung,10)=1,0,IF(AND(INDEX(DarlTilgStart,10)&gt;0,$E4789=INDEX(DarlTilgStart,10)),$J4789*($H4789+INDEX(DarlTilgung,10))/100/12,IF(AND($G4789=0,$G4788=1),MAX($K4788,$J4789*($H4789+1)/100/12),$K4788))))</f>
      </c>
      <c r="L4789" s="43">
        <f>IF($I4789=0,0,$J4789*$H4789/100/12)</f>
      </c>
      <c r="M4789" s="43">
        <f>IF($I4789=0,0,IF(OR(INDEX(DarlOhneTilgung,10)=1,AND(INDEX(DarlTilgStart,10)&gt;0,$E4789&lt;INDEX(DarlTilgStart,10))),0,MIN(MAX(0,$K4789-$L4789),$J4789)))</f>
      </c>
      <c r="N4789" s="43">
        <f>IF($I4789=0,0,MIN(SUMIFS(SondBetrag,SondDarl,10,SondDatum,"&gt;="&amp;$E4789,SondDatum,"&lt;="&amp;EOMONTH($E4789,0)),$J4789-$M4789))</f>
      </c>
      <c r="O4789" s="43">
        <f>IF($I4789=0,0,INDEX(DarlErsatzRate,10))</f>
      </c>
      <c r="P4789" s="43">
        <f>IF($I4789=0,0,$Q4788*INDEX(DarlErsatzZins,10))</f>
      </c>
      <c r="Q4789" s="43">
        <f>IF($I4789=0,0,$Q4788+$P4789+$O4789)</f>
      </c>
      <c r="R4789" s="43">
        <f>IF($I4789=0,0,$J4789-$M4789-$N4789)</f>
      </c>
    </row>
    <row r="4790">
      <c r="A4790"/>
      <c r="B4790">
        <v>10</v>
      </c>
      <c r="C4790" s="43">
        <f>INDEX(DarlObj,10)</f>
      </c>
      <c r="D4790">
        <v>467</v>
      </c>
      <c r="E4790" s="51">
        <f>IF(INDEX(DarlBelegt,10)=0,0,EOMONTH(INDEX(DarlAuszahlung,10),466)+1)</f>
      </c>
      <c r="F4790" s="43">
        <f>IF($E4790=0,0,YEAR($E4790))</f>
      </c>
      <c r="G4790" s="43">
        <f>IF(INDEX(DarlBindung,10)="",1,IF($E4790&lt;=INDEX(DarlBindung,10),1,0))</f>
      </c>
      <c r="H4790" s="43">
        <f>IF($G4790=1,INDEX(DarlSollzins,10),INDEX(DarlAnschluss,10))</f>
      </c>
      <c r="I4790" s="43">
        <f>IF(INDEX(DarlBelegt,10)=0,0,IF(INDEX(DarlOhneTilgung,10)=1,IF(INDEX(DarlBindung,10)="",1,$G4790),IF($J4790&gt;0.005,1,0)))</f>
      </c>
      <c r="J4790" s="43">
        <f>IF($I4789=0,0,$R4789)</f>
      </c>
      <c r="K4790" s="43">
        <f>IF($I4790=0,0,IF(INDEX(DarlOhneTilgung,10)=1,0,IF(AND(INDEX(DarlTilgStart,10)&gt;0,$E4790=INDEX(DarlTilgStart,10)),$J4790*($H4790+INDEX(DarlTilgung,10))/100/12,IF(AND($G4790=0,$G4789=1),MAX($K4789,$J4790*($H4790+1)/100/12),$K4789))))</f>
      </c>
      <c r="L4790" s="43">
        <f>IF($I4790=0,0,$J4790*$H4790/100/12)</f>
      </c>
      <c r="M4790" s="43">
        <f>IF($I4790=0,0,IF(OR(INDEX(DarlOhneTilgung,10)=1,AND(INDEX(DarlTilgStart,10)&gt;0,$E4790&lt;INDEX(DarlTilgStart,10))),0,MIN(MAX(0,$K4790-$L4790),$J4790)))</f>
      </c>
      <c r="N4790" s="43">
        <f>IF($I4790=0,0,MIN(SUMIFS(SondBetrag,SondDarl,10,SondDatum,"&gt;="&amp;$E4790,SondDatum,"&lt;="&amp;EOMONTH($E4790,0)),$J4790-$M4790))</f>
      </c>
      <c r="O4790" s="43">
        <f>IF($I4790=0,0,INDEX(DarlErsatzRate,10))</f>
      </c>
      <c r="P4790" s="43">
        <f>IF($I4790=0,0,$Q4789*INDEX(DarlErsatzZins,10))</f>
      </c>
      <c r="Q4790" s="43">
        <f>IF($I4790=0,0,$Q4789+$P4790+$O4790)</f>
      </c>
      <c r="R4790" s="43">
        <f>IF($I4790=0,0,$J4790-$M4790-$N4790)</f>
      </c>
    </row>
    <row r="4791">
      <c r="A4791"/>
      <c r="B4791">
        <v>10</v>
      </c>
      <c r="C4791" s="43">
        <f>INDEX(DarlObj,10)</f>
      </c>
      <c r="D4791">
        <v>468</v>
      </c>
      <c r="E4791" s="51">
        <f>IF(INDEX(DarlBelegt,10)=0,0,EOMONTH(INDEX(DarlAuszahlung,10),467)+1)</f>
      </c>
      <c r="F4791" s="43">
        <f>IF($E4791=0,0,YEAR($E4791))</f>
      </c>
      <c r="G4791" s="43">
        <f>IF(INDEX(DarlBindung,10)="",1,IF($E4791&lt;=INDEX(DarlBindung,10),1,0))</f>
      </c>
      <c r="H4791" s="43">
        <f>IF($G4791=1,INDEX(DarlSollzins,10),INDEX(DarlAnschluss,10))</f>
      </c>
      <c r="I4791" s="43">
        <f>IF(INDEX(DarlBelegt,10)=0,0,IF(INDEX(DarlOhneTilgung,10)=1,IF(INDEX(DarlBindung,10)="",1,$G4791),IF($J4791&gt;0.005,1,0)))</f>
      </c>
      <c r="J4791" s="43">
        <f>IF($I4790=0,0,$R4790)</f>
      </c>
      <c r="K4791" s="43">
        <f>IF($I4791=0,0,IF(INDEX(DarlOhneTilgung,10)=1,0,IF(AND(INDEX(DarlTilgStart,10)&gt;0,$E4791=INDEX(DarlTilgStart,10)),$J4791*($H4791+INDEX(DarlTilgung,10))/100/12,IF(AND($G4791=0,$G4790=1),MAX($K4790,$J4791*($H4791+1)/100/12),$K4790))))</f>
      </c>
      <c r="L4791" s="43">
        <f>IF($I4791=0,0,$J4791*$H4791/100/12)</f>
      </c>
      <c r="M4791" s="43">
        <f>IF($I4791=0,0,IF(OR(INDEX(DarlOhneTilgung,10)=1,AND(INDEX(DarlTilgStart,10)&gt;0,$E4791&lt;INDEX(DarlTilgStart,10))),0,MIN(MAX(0,$K4791-$L4791),$J4791)))</f>
      </c>
      <c r="N4791" s="43">
        <f>IF($I4791=0,0,MIN(SUMIFS(SondBetrag,SondDarl,10,SondDatum,"&gt;="&amp;$E4791,SondDatum,"&lt;="&amp;EOMONTH($E4791,0)),$J4791-$M4791))</f>
      </c>
      <c r="O4791" s="43">
        <f>IF($I4791=0,0,INDEX(DarlErsatzRate,10))</f>
      </c>
      <c r="P4791" s="43">
        <f>IF($I4791=0,0,$Q4790*INDEX(DarlErsatzZins,10))</f>
      </c>
      <c r="Q4791" s="43">
        <f>IF($I4791=0,0,$Q4790+$P4791+$O4791)</f>
      </c>
      <c r="R4791" s="43">
        <f>IF($I4791=0,0,$J4791-$M4791-$N4791)</f>
      </c>
    </row>
    <row r="4792">
      <c r="A4792"/>
      <c r="B4792">
        <v>10</v>
      </c>
      <c r="C4792" s="43">
        <f>INDEX(DarlObj,10)</f>
      </c>
      <c r="D4792">
        <v>469</v>
      </c>
      <c r="E4792" s="51">
        <f>IF(INDEX(DarlBelegt,10)=0,0,EOMONTH(INDEX(DarlAuszahlung,10),468)+1)</f>
      </c>
      <c r="F4792" s="43">
        <f>IF($E4792=0,0,YEAR($E4792))</f>
      </c>
      <c r="G4792" s="43">
        <f>IF(INDEX(DarlBindung,10)="",1,IF($E4792&lt;=INDEX(DarlBindung,10),1,0))</f>
      </c>
      <c r="H4792" s="43">
        <f>IF($G4792=1,INDEX(DarlSollzins,10),INDEX(DarlAnschluss,10))</f>
      </c>
      <c r="I4792" s="43">
        <f>IF(INDEX(DarlBelegt,10)=0,0,IF(INDEX(DarlOhneTilgung,10)=1,IF(INDEX(DarlBindung,10)="",1,$G4792),IF($J4792&gt;0.005,1,0)))</f>
      </c>
      <c r="J4792" s="43">
        <f>IF($I4791=0,0,$R4791)</f>
      </c>
      <c r="K4792" s="43">
        <f>IF($I4792=0,0,IF(INDEX(DarlOhneTilgung,10)=1,0,IF(AND(INDEX(DarlTilgStart,10)&gt;0,$E4792=INDEX(DarlTilgStart,10)),$J4792*($H4792+INDEX(DarlTilgung,10))/100/12,IF(AND($G4792=0,$G4791=1),MAX($K4791,$J4792*($H4792+1)/100/12),$K4791))))</f>
      </c>
      <c r="L4792" s="43">
        <f>IF($I4792=0,0,$J4792*$H4792/100/12)</f>
      </c>
      <c r="M4792" s="43">
        <f>IF($I4792=0,0,IF(OR(INDEX(DarlOhneTilgung,10)=1,AND(INDEX(DarlTilgStart,10)&gt;0,$E4792&lt;INDEX(DarlTilgStart,10))),0,MIN(MAX(0,$K4792-$L4792),$J4792)))</f>
      </c>
      <c r="N4792" s="43">
        <f>IF($I4792=0,0,MIN(SUMIFS(SondBetrag,SondDarl,10,SondDatum,"&gt;="&amp;$E4792,SondDatum,"&lt;="&amp;EOMONTH($E4792,0)),$J4792-$M4792))</f>
      </c>
      <c r="O4792" s="43">
        <f>IF($I4792=0,0,INDEX(DarlErsatzRate,10))</f>
      </c>
      <c r="P4792" s="43">
        <f>IF($I4792=0,0,$Q4791*INDEX(DarlErsatzZins,10))</f>
      </c>
      <c r="Q4792" s="43">
        <f>IF($I4792=0,0,$Q4791+$P4792+$O4792)</f>
      </c>
      <c r="R4792" s="43">
        <f>IF($I4792=0,0,$J4792-$M4792-$N4792)</f>
      </c>
    </row>
    <row r="4793">
      <c r="A4793"/>
      <c r="B4793">
        <v>10</v>
      </c>
      <c r="C4793" s="43">
        <f>INDEX(DarlObj,10)</f>
      </c>
      <c r="D4793">
        <v>470</v>
      </c>
      <c r="E4793" s="51">
        <f>IF(INDEX(DarlBelegt,10)=0,0,EOMONTH(INDEX(DarlAuszahlung,10),469)+1)</f>
      </c>
      <c r="F4793" s="43">
        <f>IF($E4793=0,0,YEAR($E4793))</f>
      </c>
      <c r="G4793" s="43">
        <f>IF(INDEX(DarlBindung,10)="",1,IF($E4793&lt;=INDEX(DarlBindung,10),1,0))</f>
      </c>
      <c r="H4793" s="43">
        <f>IF($G4793=1,INDEX(DarlSollzins,10),INDEX(DarlAnschluss,10))</f>
      </c>
      <c r="I4793" s="43">
        <f>IF(INDEX(DarlBelegt,10)=0,0,IF(INDEX(DarlOhneTilgung,10)=1,IF(INDEX(DarlBindung,10)="",1,$G4793),IF($J4793&gt;0.005,1,0)))</f>
      </c>
      <c r="J4793" s="43">
        <f>IF($I4792=0,0,$R4792)</f>
      </c>
      <c r="K4793" s="43">
        <f>IF($I4793=0,0,IF(INDEX(DarlOhneTilgung,10)=1,0,IF(AND(INDEX(DarlTilgStart,10)&gt;0,$E4793=INDEX(DarlTilgStart,10)),$J4793*($H4793+INDEX(DarlTilgung,10))/100/12,IF(AND($G4793=0,$G4792=1),MAX($K4792,$J4793*($H4793+1)/100/12),$K4792))))</f>
      </c>
      <c r="L4793" s="43">
        <f>IF($I4793=0,0,$J4793*$H4793/100/12)</f>
      </c>
      <c r="M4793" s="43">
        <f>IF($I4793=0,0,IF(OR(INDEX(DarlOhneTilgung,10)=1,AND(INDEX(DarlTilgStart,10)&gt;0,$E4793&lt;INDEX(DarlTilgStart,10))),0,MIN(MAX(0,$K4793-$L4793),$J4793)))</f>
      </c>
      <c r="N4793" s="43">
        <f>IF($I4793=0,0,MIN(SUMIFS(SondBetrag,SondDarl,10,SondDatum,"&gt;="&amp;$E4793,SondDatum,"&lt;="&amp;EOMONTH($E4793,0)),$J4793-$M4793))</f>
      </c>
      <c r="O4793" s="43">
        <f>IF($I4793=0,0,INDEX(DarlErsatzRate,10))</f>
      </c>
      <c r="P4793" s="43">
        <f>IF($I4793=0,0,$Q4792*INDEX(DarlErsatzZins,10))</f>
      </c>
      <c r="Q4793" s="43">
        <f>IF($I4793=0,0,$Q4792+$P4793+$O4793)</f>
      </c>
      <c r="R4793" s="43">
        <f>IF($I4793=0,0,$J4793-$M4793-$N4793)</f>
      </c>
    </row>
    <row r="4794">
      <c r="A4794"/>
      <c r="B4794">
        <v>10</v>
      </c>
      <c r="C4794" s="43">
        <f>INDEX(DarlObj,10)</f>
      </c>
      <c r="D4794">
        <v>471</v>
      </c>
      <c r="E4794" s="51">
        <f>IF(INDEX(DarlBelegt,10)=0,0,EOMONTH(INDEX(DarlAuszahlung,10),470)+1)</f>
      </c>
      <c r="F4794" s="43">
        <f>IF($E4794=0,0,YEAR($E4794))</f>
      </c>
      <c r="G4794" s="43">
        <f>IF(INDEX(DarlBindung,10)="",1,IF($E4794&lt;=INDEX(DarlBindung,10),1,0))</f>
      </c>
      <c r="H4794" s="43">
        <f>IF($G4794=1,INDEX(DarlSollzins,10),INDEX(DarlAnschluss,10))</f>
      </c>
      <c r="I4794" s="43">
        <f>IF(INDEX(DarlBelegt,10)=0,0,IF(INDEX(DarlOhneTilgung,10)=1,IF(INDEX(DarlBindung,10)="",1,$G4794),IF($J4794&gt;0.005,1,0)))</f>
      </c>
      <c r="J4794" s="43">
        <f>IF($I4793=0,0,$R4793)</f>
      </c>
      <c r="K4794" s="43">
        <f>IF($I4794=0,0,IF(INDEX(DarlOhneTilgung,10)=1,0,IF(AND(INDEX(DarlTilgStart,10)&gt;0,$E4794=INDEX(DarlTilgStart,10)),$J4794*($H4794+INDEX(DarlTilgung,10))/100/12,IF(AND($G4794=0,$G4793=1),MAX($K4793,$J4794*($H4794+1)/100/12),$K4793))))</f>
      </c>
      <c r="L4794" s="43">
        <f>IF($I4794=0,0,$J4794*$H4794/100/12)</f>
      </c>
      <c r="M4794" s="43">
        <f>IF($I4794=0,0,IF(OR(INDEX(DarlOhneTilgung,10)=1,AND(INDEX(DarlTilgStart,10)&gt;0,$E4794&lt;INDEX(DarlTilgStart,10))),0,MIN(MAX(0,$K4794-$L4794),$J4794)))</f>
      </c>
      <c r="N4794" s="43">
        <f>IF($I4794=0,0,MIN(SUMIFS(SondBetrag,SondDarl,10,SondDatum,"&gt;="&amp;$E4794,SondDatum,"&lt;="&amp;EOMONTH($E4794,0)),$J4794-$M4794))</f>
      </c>
      <c r="O4794" s="43">
        <f>IF($I4794=0,0,INDEX(DarlErsatzRate,10))</f>
      </c>
      <c r="P4794" s="43">
        <f>IF($I4794=0,0,$Q4793*INDEX(DarlErsatzZins,10))</f>
      </c>
      <c r="Q4794" s="43">
        <f>IF($I4794=0,0,$Q4793+$P4794+$O4794)</f>
      </c>
      <c r="R4794" s="43">
        <f>IF($I4794=0,0,$J4794-$M4794-$N4794)</f>
      </c>
    </row>
    <row r="4795">
      <c r="A4795"/>
      <c r="B4795">
        <v>10</v>
      </c>
      <c r="C4795" s="43">
        <f>INDEX(DarlObj,10)</f>
      </c>
      <c r="D4795">
        <v>472</v>
      </c>
      <c r="E4795" s="51">
        <f>IF(INDEX(DarlBelegt,10)=0,0,EOMONTH(INDEX(DarlAuszahlung,10),471)+1)</f>
      </c>
      <c r="F4795" s="43">
        <f>IF($E4795=0,0,YEAR($E4795))</f>
      </c>
      <c r="G4795" s="43">
        <f>IF(INDEX(DarlBindung,10)="",1,IF($E4795&lt;=INDEX(DarlBindung,10),1,0))</f>
      </c>
      <c r="H4795" s="43">
        <f>IF($G4795=1,INDEX(DarlSollzins,10),INDEX(DarlAnschluss,10))</f>
      </c>
      <c r="I4795" s="43">
        <f>IF(INDEX(DarlBelegt,10)=0,0,IF(INDEX(DarlOhneTilgung,10)=1,IF(INDEX(DarlBindung,10)="",1,$G4795),IF($J4795&gt;0.005,1,0)))</f>
      </c>
      <c r="J4795" s="43">
        <f>IF($I4794=0,0,$R4794)</f>
      </c>
      <c r="K4795" s="43">
        <f>IF($I4795=0,0,IF(INDEX(DarlOhneTilgung,10)=1,0,IF(AND(INDEX(DarlTilgStart,10)&gt;0,$E4795=INDEX(DarlTilgStart,10)),$J4795*($H4795+INDEX(DarlTilgung,10))/100/12,IF(AND($G4795=0,$G4794=1),MAX($K4794,$J4795*($H4795+1)/100/12),$K4794))))</f>
      </c>
      <c r="L4795" s="43">
        <f>IF($I4795=0,0,$J4795*$H4795/100/12)</f>
      </c>
      <c r="M4795" s="43">
        <f>IF($I4795=0,0,IF(OR(INDEX(DarlOhneTilgung,10)=1,AND(INDEX(DarlTilgStart,10)&gt;0,$E4795&lt;INDEX(DarlTilgStart,10))),0,MIN(MAX(0,$K4795-$L4795),$J4795)))</f>
      </c>
      <c r="N4795" s="43">
        <f>IF($I4795=0,0,MIN(SUMIFS(SondBetrag,SondDarl,10,SondDatum,"&gt;="&amp;$E4795,SondDatum,"&lt;="&amp;EOMONTH($E4795,0)),$J4795-$M4795))</f>
      </c>
      <c r="O4795" s="43">
        <f>IF($I4795=0,0,INDEX(DarlErsatzRate,10))</f>
      </c>
      <c r="P4795" s="43">
        <f>IF($I4795=0,0,$Q4794*INDEX(DarlErsatzZins,10))</f>
      </c>
      <c r="Q4795" s="43">
        <f>IF($I4795=0,0,$Q4794+$P4795+$O4795)</f>
      </c>
      <c r="R4795" s="43">
        <f>IF($I4795=0,0,$J4795-$M4795-$N4795)</f>
      </c>
    </row>
    <row r="4796">
      <c r="A4796"/>
      <c r="B4796">
        <v>10</v>
      </c>
      <c r="C4796" s="43">
        <f>INDEX(DarlObj,10)</f>
      </c>
      <c r="D4796">
        <v>473</v>
      </c>
      <c r="E4796" s="51">
        <f>IF(INDEX(DarlBelegt,10)=0,0,EOMONTH(INDEX(DarlAuszahlung,10),472)+1)</f>
      </c>
      <c r="F4796" s="43">
        <f>IF($E4796=0,0,YEAR($E4796))</f>
      </c>
      <c r="G4796" s="43">
        <f>IF(INDEX(DarlBindung,10)="",1,IF($E4796&lt;=INDEX(DarlBindung,10),1,0))</f>
      </c>
      <c r="H4796" s="43">
        <f>IF($G4796=1,INDEX(DarlSollzins,10),INDEX(DarlAnschluss,10))</f>
      </c>
      <c r="I4796" s="43">
        <f>IF(INDEX(DarlBelegt,10)=0,0,IF(INDEX(DarlOhneTilgung,10)=1,IF(INDEX(DarlBindung,10)="",1,$G4796),IF($J4796&gt;0.005,1,0)))</f>
      </c>
      <c r="J4796" s="43">
        <f>IF($I4795=0,0,$R4795)</f>
      </c>
      <c r="K4796" s="43">
        <f>IF($I4796=0,0,IF(INDEX(DarlOhneTilgung,10)=1,0,IF(AND(INDEX(DarlTilgStart,10)&gt;0,$E4796=INDEX(DarlTilgStart,10)),$J4796*($H4796+INDEX(DarlTilgung,10))/100/12,IF(AND($G4796=0,$G4795=1),MAX($K4795,$J4796*($H4796+1)/100/12),$K4795))))</f>
      </c>
      <c r="L4796" s="43">
        <f>IF($I4796=0,0,$J4796*$H4796/100/12)</f>
      </c>
      <c r="M4796" s="43">
        <f>IF($I4796=0,0,IF(OR(INDEX(DarlOhneTilgung,10)=1,AND(INDEX(DarlTilgStart,10)&gt;0,$E4796&lt;INDEX(DarlTilgStart,10))),0,MIN(MAX(0,$K4796-$L4796),$J4796)))</f>
      </c>
      <c r="N4796" s="43">
        <f>IF($I4796=0,0,MIN(SUMIFS(SondBetrag,SondDarl,10,SondDatum,"&gt;="&amp;$E4796,SondDatum,"&lt;="&amp;EOMONTH($E4796,0)),$J4796-$M4796))</f>
      </c>
      <c r="O4796" s="43">
        <f>IF($I4796=0,0,INDEX(DarlErsatzRate,10))</f>
      </c>
      <c r="P4796" s="43">
        <f>IF($I4796=0,0,$Q4795*INDEX(DarlErsatzZins,10))</f>
      </c>
      <c r="Q4796" s="43">
        <f>IF($I4796=0,0,$Q4795+$P4796+$O4796)</f>
      </c>
      <c r="R4796" s="43">
        <f>IF($I4796=0,0,$J4796-$M4796-$N4796)</f>
      </c>
    </row>
    <row r="4797">
      <c r="A4797"/>
      <c r="B4797">
        <v>10</v>
      </c>
      <c r="C4797" s="43">
        <f>INDEX(DarlObj,10)</f>
      </c>
      <c r="D4797">
        <v>474</v>
      </c>
      <c r="E4797" s="51">
        <f>IF(INDEX(DarlBelegt,10)=0,0,EOMONTH(INDEX(DarlAuszahlung,10),473)+1)</f>
      </c>
      <c r="F4797" s="43">
        <f>IF($E4797=0,0,YEAR($E4797))</f>
      </c>
      <c r="G4797" s="43">
        <f>IF(INDEX(DarlBindung,10)="",1,IF($E4797&lt;=INDEX(DarlBindung,10),1,0))</f>
      </c>
      <c r="H4797" s="43">
        <f>IF($G4797=1,INDEX(DarlSollzins,10),INDEX(DarlAnschluss,10))</f>
      </c>
      <c r="I4797" s="43">
        <f>IF(INDEX(DarlBelegt,10)=0,0,IF(INDEX(DarlOhneTilgung,10)=1,IF(INDEX(DarlBindung,10)="",1,$G4797),IF($J4797&gt;0.005,1,0)))</f>
      </c>
      <c r="J4797" s="43">
        <f>IF($I4796=0,0,$R4796)</f>
      </c>
      <c r="K4797" s="43">
        <f>IF($I4797=0,0,IF(INDEX(DarlOhneTilgung,10)=1,0,IF(AND(INDEX(DarlTilgStart,10)&gt;0,$E4797=INDEX(DarlTilgStart,10)),$J4797*($H4797+INDEX(DarlTilgung,10))/100/12,IF(AND($G4797=0,$G4796=1),MAX($K4796,$J4797*($H4797+1)/100/12),$K4796))))</f>
      </c>
      <c r="L4797" s="43">
        <f>IF($I4797=0,0,$J4797*$H4797/100/12)</f>
      </c>
      <c r="M4797" s="43">
        <f>IF($I4797=0,0,IF(OR(INDEX(DarlOhneTilgung,10)=1,AND(INDEX(DarlTilgStart,10)&gt;0,$E4797&lt;INDEX(DarlTilgStart,10))),0,MIN(MAX(0,$K4797-$L4797),$J4797)))</f>
      </c>
      <c r="N4797" s="43">
        <f>IF($I4797=0,0,MIN(SUMIFS(SondBetrag,SondDarl,10,SondDatum,"&gt;="&amp;$E4797,SondDatum,"&lt;="&amp;EOMONTH($E4797,0)),$J4797-$M4797))</f>
      </c>
      <c r="O4797" s="43">
        <f>IF($I4797=0,0,INDEX(DarlErsatzRate,10))</f>
      </c>
      <c r="P4797" s="43">
        <f>IF($I4797=0,0,$Q4796*INDEX(DarlErsatzZins,10))</f>
      </c>
      <c r="Q4797" s="43">
        <f>IF($I4797=0,0,$Q4796+$P4797+$O4797)</f>
      </c>
      <c r="R4797" s="43">
        <f>IF($I4797=0,0,$J4797-$M4797-$N4797)</f>
      </c>
    </row>
    <row r="4798">
      <c r="A4798"/>
      <c r="B4798">
        <v>10</v>
      </c>
      <c r="C4798" s="43">
        <f>INDEX(DarlObj,10)</f>
      </c>
      <c r="D4798">
        <v>475</v>
      </c>
      <c r="E4798" s="51">
        <f>IF(INDEX(DarlBelegt,10)=0,0,EOMONTH(INDEX(DarlAuszahlung,10),474)+1)</f>
      </c>
      <c r="F4798" s="43">
        <f>IF($E4798=0,0,YEAR($E4798))</f>
      </c>
      <c r="G4798" s="43">
        <f>IF(INDEX(DarlBindung,10)="",1,IF($E4798&lt;=INDEX(DarlBindung,10),1,0))</f>
      </c>
      <c r="H4798" s="43">
        <f>IF($G4798=1,INDEX(DarlSollzins,10),INDEX(DarlAnschluss,10))</f>
      </c>
      <c r="I4798" s="43">
        <f>IF(INDEX(DarlBelegt,10)=0,0,IF(INDEX(DarlOhneTilgung,10)=1,IF(INDEX(DarlBindung,10)="",1,$G4798),IF($J4798&gt;0.005,1,0)))</f>
      </c>
      <c r="J4798" s="43">
        <f>IF($I4797=0,0,$R4797)</f>
      </c>
      <c r="K4798" s="43">
        <f>IF($I4798=0,0,IF(INDEX(DarlOhneTilgung,10)=1,0,IF(AND(INDEX(DarlTilgStart,10)&gt;0,$E4798=INDEX(DarlTilgStart,10)),$J4798*($H4798+INDEX(DarlTilgung,10))/100/12,IF(AND($G4798=0,$G4797=1),MAX($K4797,$J4798*($H4798+1)/100/12),$K4797))))</f>
      </c>
      <c r="L4798" s="43">
        <f>IF($I4798=0,0,$J4798*$H4798/100/12)</f>
      </c>
      <c r="M4798" s="43">
        <f>IF($I4798=0,0,IF(OR(INDEX(DarlOhneTilgung,10)=1,AND(INDEX(DarlTilgStart,10)&gt;0,$E4798&lt;INDEX(DarlTilgStart,10))),0,MIN(MAX(0,$K4798-$L4798),$J4798)))</f>
      </c>
      <c r="N4798" s="43">
        <f>IF($I4798=0,0,MIN(SUMIFS(SondBetrag,SondDarl,10,SondDatum,"&gt;="&amp;$E4798,SondDatum,"&lt;="&amp;EOMONTH($E4798,0)),$J4798-$M4798))</f>
      </c>
      <c r="O4798" s="43">
        <f>IF($I4798=0,0,INDEX(DarlErsatzRate,10))</f>
      </c>
      <c r="P4798" s="43">
        <f>IF($I4798=0,0,$Q4797*INDEX(DarlErsatzZins,10))</f>
      </c>
      <c r="Q4798" s="43">
        <f>IF($I4798=0,0,$Q4797+$P4798+$O4798)</f>
      </c>
      <c r="R4798" s="43">
        <f>IF($I4798=0,0,$J4798-$M4798-$N4798)</f>
      </c>
    </row>
    <row r="4799">
      <c r="A4799"/>
      <c r="B4799">
        <v>10</v>
      </c>
      <c r="C4799" s="43">
        <f>INDEX(DarlObj,10)</f>
      </c>
      <c r="D4799">
        <v>476</v>
      </c>
      <c r="E4799" s="51">
        <f>IF(INDEX(DarlBelegt,10)=0,0,EOMONTH(INDEX(DarlAuszahlung,10),475)+1)</f>
      </c>
      <c r="F4799" s="43">
        <f>IF($E4799=0,0,YEAR($E4799))</f>
      </c>
      <c r="G4799" s="43">
        <f>IF(INDEX(DarlBindung,10)="",1,IF($E4799&lt;=INDEX(DarlBindung,10),1,0))</f>
      </c>
      <c r="H4799" s="43">
        <f>IF($G4799=1,INDEX(DarlSollzins,10),INDEX(DarlAnschluss,10))</f>
      </c>
      <c r="I4799" s="43">
        <f>IF(INDEX(DarlBelegt,10)=0,0,IF(INDEX(DarlOhneTilgung,10)=1,IF(INDEX(DarlBindung,10)="",1,$G4799),IF($J4799&gt;0.005,1,0)))</f>
      </c>
      <c r="J4799" s="43">
        <f>IF($I4798=0,0,$R4798)</f>
      </c>
      <c r="K4799" s="43">
        <f>IF($I4799=0,0,IF(INDEX(DarlOhneTilgung,10)=1,0,IF(AND(INDEX(DarlTilgStart,10)&gt;0,$E4799=INDEX(DarlTilgStart,10)),$J4799*($H4799+INDEX(DarlTilgung,10))/100/12,IF(AND($G4799=0,$G4798=1),MAX($K4798,$J4799*($H4799+1)/100/12),$K4798))))</f>
      </c>
      <c r="L4799" s="43">
        <f>IF($I4799=0,0,$J4799*$H4799/100/12)</f>
      </c>
      <c r="M4799" s="43">
        <f>IF($I4799=0,0,IF(OR(INDEX(DarlOhneTilgung,10)=1,AND(INDEX(DarlTilgStart,10)&gt;0,$E4799&lt;INDEX(DarlTilgStart,10))),0,MIN(MAX(0,$K4799-$L4799),$J4799)))</f>
      </c>
      <c r="N4799" s="43">
        <f>IF($I4799=0,0,MIN(SUMIFS(SondBetrag,SondDarl,10,SondDatum,"&gt;="&amp;$E4799,SondDatum,"&lt;="&amp;EOMONTH($E4799,0)),$J4799-$M4799))</f>
      </c>
      <c r="O4799" s="43">
        <f>IF($I4799=0,0,INDEX(DarlErsatzRate,10))</f>
      </c>
      <c r="P4799" s="43">
        <f>IF($I4799=0,0,$Q4798*INDEX(DarlErsatzZins,10))</f>
      </c>
      <c r="Q4799" s="43">
        <f>IF($I4799=0,0,$Q4798+$P4799+$O4799)</f>
      </c>
      <c r="R4799" s="43">
        <f>IF($I4799=0,0,$J4799-$M4799-$N4799)</f>
      </c>
    </row>
    <row r="4800">
      <c r="A4800"/>
      <c r="B4800">
        <v>10</v>
      </c>
      <c r="C4800" s="43">
        <f>INDEX(DarlObj,10)</f>
      </c>
      <c r="D4800">
        <v>477</v>
      </c>
      <c r="E4800" s="51">
        <f>IF(INDEX(DarlBelegt,10)=0,0,EOMONTH(INDEX(DarlAuszahlung,10),476)+1)</f>
      </c>
      <c r="F4800" s="43">
        <f>IF($E4800=0,0,YEAR($E4800))</f>
      </c>
      <c r="G4800" s="43">
        <f>IF(INDEX(DarlBindung,10)="",1,IF($E4800&lt;=INDEX(DarlBindung,10),1,0))</f>
      </c>
      <c r="H4800" s="43">
        <f>IF($G4800=1,INDEX(DarlSollzins,10),INDEX(DarlAnschluss,10))</f>
      </c>
      <c r="I4800" s="43">
        <f>IF(INDEX(DarlBelegt,10)=0,0,IF(INDEX(DarlOhneTilgung,10)=1,IF(INDEX(DarlBindung,10)="",1,$G4800),IF($J4800&gt;0.005,1,0)))</f>
      </c>
      <c r="J4800" s="43">
        <f>IF($I4799=0,0,$R4799)</f>
      </c>
      <c r="K4800" s="43">
        <f>IF($I4800=0,0,IF(INDEX(DarlOhneTilgung,10)=1,0,IF(AND(INDEX(DarlTilgStart,10)&gt;0,$E4800=INDEX(DarlTilgStart,10)),$J4800*($H4800+INDEX(DarlTilgung,10))/100/12,IF(AND($G4800=0,$G4799=1),MAX($K4799,$J4800*($H4800+1)/100/12),$K4799))))</f>
      </c>
      <c r="L4800" s="43">
        <f>IF($I4800=0,0,$J4800*$H4800/100/12)</f>
      </c>
      <c r="M4800" s="43">
        <f>IF($I4800=0,0,IF(OR(INDEX(DarlOhneTilgung,10)=1,AND(INDEX(DarlTilgStart,10)&gt;0,$E4800&lt;INDEX(DarlTilgStart,10))),0,MIN(MAX(0,$K4800-$L4800),$J4800)))</f>
      </c>
      <c r="N4800" s="43">
        <f>IF($I4800=0,0,MIN(SUMIFS(SondBetrag,SondDarl,10,SondDatum,"&gt;="&amp;$E4800,SondDatum,"&lt;="&amp;EOMONTH($E4800,0)),$J4800-$M4800))</f>
      </c>
      <c r="O4800" s="43">
        <f>IF($I4800=0,0,INDEX(DarlErsatzRate,10))</f>
      </c>
      <c r="P4800" s="43">
        <f>IF($I4800=0,0,$Q4799*INDEX(DarlErsatzZins,10))</f>
      </c>
      <c r="Q4800" s="43">
        <f>IF($I4800=0,0,$Q4799+$P4800+$O4800)</f>
      </c>
      <c r="R4800" s="43">
        <f>IF($I4800=0,0,$J4800-$M4800-$N4800)</f>
      </c>
    </row>
    <row r="4801">
      <c r="A4801"/>
      <c r="B4801">
        <v>10</v>
      </c>
      <c r="C4801" s="43">
        <f>INDEX(DarlObj,10)</f>
      </c>
      <c r="D4801">
        <v>478</v>
      </c>
      <c r="E4801" s="51">
        <f>IF(INDEX(DarlBelegt,10)=0,0,EOMONTH(INDEX(DarlAuszahlung,10),477)+1)</f>
      </c>
      <c r="F4801" s="43">
        <f>IF($E4801=0,0,YEAR($E4801))</f>
      </c>
      <c r="G4801" s="43">
        <f>IF(INDEX(DarlBindung,10)="",1,IF($E4801&lt;=INDEX(DarlBindung,10),1,0))</f>
      </c>
      <c r="H4801" s="43">
        <f>IF($G4801=1,INDEX(DarlSollzins,10),INDEX(DarlAnschluss,10))</f>
      </c>
      <c r="I4801" s="43">
        <f>IF(INDEX(DarlBelegt,10)=0,0,IF(INDEX(DarlOhneTilgung,10)=1,IF(INDEX(DarlBindung,10)="",1,$G4801),IF($J4801&gt;0.005,1,0)))</f>
      </c>
      <c r="J4801" s="43">
        <f>IF($I4800=0,0,$R4800)</f>
      </c>
      <c r="K4801" s="43">
        <f>IF($I4801=0,0,IF(INDEX(DarlOhneTilgung,10)=1,0,IF(AND(INDEX(DarlTilgStart,10)&gt;0,$E4801=INDEX(DarlTilgStart,10)),$J4801*($H4801+INDEX(DarlTilgung,10))/100/12,IF(AND($G4801=0,$G4800=1),MAX($K4800,$J4801*($H4801+1)/100/12),$K4800))))</f>
      </c>
      <c r="L4801" s="43">
        <f>IF($I4801=0,0,$J4801*$H4801/100/12)</f>
      </c>
      <c r="M4801" s="43">
        <f>IF($I4801=0,0,IF(OR(INDEX(DarlOhneTilgung,10)=1,AND(INDEX(DarlTilgStart,10)&gt;0,$E4801&lt;INDEX(DarlTilgStart,10))),0,MIN(MAX(0,$K4801-$L4801),$J4801)))</f>
      </c>
      <c r="N4801" s="43">
        <f>IF($I4801=0,0,MIN(SUMIFS(SondBetrag,SondDarl,10,SondDatum,"&gt;="&amp;$E4801,SondDatum,"&lt;="&amp;EOMONTH($E4801,0)),$J4801-$M4801))</f>
      </c>
      <c r="O4801" s="43">
        <f>IF($I4801=0,0,INDEX(DarlErsatzRate,10))</f>
      </c>
      <c r="P4801" s="43">
        <f>IF($I4801=0,0,$Q4800*INDEX(DarlErsatzZins,10))</f>
      </c>
      <c r="Q4801" s="43">
        <f>IF($I4801=0,0,$Q4800+$P4801+$O4801)</f>
      </c>
      <c r="R4801" s="43">
        <f>IF($I4801=0,0,$J4801-$M4801-$N4801)</f>
      </c>
    </row>
    <row r="4802">
      <c r="A4802"/>
      <c r="B4802">
        <v>10</v>
      </c>
      <c r="C4802" s="43">
        <f>INDEX(DarlObj,10)</f>
      </c>
      <c r="D4802">
        <v>479</v>
      </c>
      <c r="E4802" s="51">
        <f>IF(INDEX(DarlBelegt,10)=0,0,EOMONTH(INDEX(DarlAuszahlung,10),478)+1)</f>
      </c>
      <c r="F4802" s="43">
        <f>IF($E4802=0,0,YEAR($E4802))</f>
      </c>
      <c r="G4802" s="43">
        <f>IF(INDEX(DarlBindung,10)="",1,IF($E4802&lt;=INDEX(DarlBindung,10),1,0))</f>
      </c>
      <c r="H4802" s="43">
        <f>IF($G4802=1,INDEX(DarlSollzins,10),INDEX(DarlAnschluss,10))</f>
      </c>
      <c r="I4802" s="43">
        <f>IF(INDEX(DarlBelegt,10)=0,0,IF(INDEX(DarlOhneTilgung,10)=1,IF(INDEX(DarlBindung,10)="",1,$G4802),IF($J4802&gt;0.005,1,0)))</f>
      </c>
      <c r="J4802" s="43">
        <f>IF($I4801=0,0,$R4801)</f>
      </c>
      <c r="K4802" s="43">
        <f>IF($I4802=0,0,IF(INDEX(DarlOhneTilgung,10)=1,0,IF(AND(INDEX(DarlTilgStart,10)&gt;0,$E4802=INDEX(DarlTilgStart,10)),$J4802*($H4802+INDEX(DarlTilgung,10))/100/12,IF(AND($G4802=0,$G4801=1),MAX($K4801,$J4802*($H4802+1)/100/12),$K4801))))</f>
      </c>
      <c r="L4802" s="43">
        <f>IF($I4802=0,0,$J4802*$H4802/100/12)</f>
      </c>
      <c r="M4802" s="43">
        <f>IF($I4802=0,0,IF(OR(INDEX(DarlOhneTilgung,10)=1,AND(INDEX(DarlTilgStart,10)&gt;0,$E4802&lt;INDEX(DarlTilgStart,10))),0,MIN(MAX(0,$K4802-$L4802),$J4802)))</f>
      </c>
      <c r="N4802" s="43">
        <f>IF($I4802=0,0,MIN(SUMIFS(SondBetrag,SondDarl,10,SondDatum,"&gt;="&amp;$E4802,SondDatum,"&lt;="&amp;EOMONTH($E4802,0)),$J4802-$M4802))</f>
      </c>
      <c r="O4802" s="43">
        <f>IF($I4802=0,0,INDEX(DarlErsatzRate,10))</f>
      </c>
      <c r="P4802" s="43">
        <f>IF($I4802=0,0,$Q4801*INDEX(DarlErsatzZins,10))</f>
      </c>
      <c r="Q4802" s="43">
        <f>IF($I4802=0,0,$Q4801+$P4802+$O4802)</f>
      </c>
      <c r="R4802" s="43">
        <f>IF($I4802=0,0,$J4802-$M4802-$N4802)</f>
      </c>
    </row>
    <row r="4803">
      <c r="A4803"/>
      <c r="B4803">
        <v>10</v>
      </c>
      <c r="C4803" s="43">
        <f>INDEX(DarlObj,10)</f>
      </c>
      <c r="D4803">
        <v>480</v>
      </c>
      <c r="E4803" s="51">
        <f>IF(INDEX(DarlBelegt,10)=0,0,EOMONTH(INDEX(DarlAuszahlung,10),479)+1)</f>
      </c>
      <c r="F4803" s="43">
        <f>IF($E4803=0,0,YEAR($E4803))</f>
      </c>
      <c r="G4803" s="43">
        <f>IF(INDEX(DarlBindung,10)="",1,IF($E4803&lt;=INDEX(DarlBindung,10),1,0))</f>
      </c>
      <c r="H4803" s="43">
        <f>IF($G4803=1,INDEX(DarlSollzins,10),INDEX(DarlAnschluss,10))</f>
      </c>
      <c r="I4803" s="43">
        <f>IF(INDEX(DarlBelegt,10)=0,0,IF(INDEX(DarlOhneTilgung,10)=1,IF(INDEX(DarlBindung,10)="",1,$G4803),IF($J4803&gt;0.005,1,0)))</f>
      </c>
      <c r="J4803" s="43">
        <f>IF($I4802=0,0,$R4802)</f>
      </c>
      <c r="K4803" s="43">
        <f>IF($I4803=0,0,IF(INDEX(DarlOhneTilgung,10)=1,0,IF(AND(INDEX(DarlTilgStart,10)&gt;0,$E4803=INDEX(DarlTilgStart,10)),$J4803*($H4803+INDEX(DarlTilgung,10))/100/12,IF(AND($G4803=0,$G4802=1),MAX($K4802,$J4803*($H4803+1)/100/12),$K4802))))</f>
      </c>
      <c r="L4803" s="43">
        <f>IF($I4803=0,0,$J4803*$H4803/100/12)</f>
      </c>
      <c r="M4803" s="43">
        <f>IF($I4803=0,0,IF(OR(INDEX(DarlOhneTilgung,10)=1,AND(INDEX(DarlTilgStart,10)&gt;0,$E4803&lt;INDEX(DarlTilgStart,10))),0,MIN(MAX(0,$K4803-$L4803),$J4803)))</f>
      </c>
      <c r="N4803" s="43">
        <f>IF($I4803=0,0,MIN(SUMIFS(SondBetrag,SondDarl,10,SondDatum,"&gt;="&amp;$E4803,SondDatum,"&lt;="&amp;EOMONTH($E4803,0)),$J4803-$M4803))</f>
      </c>
      <c r="O4803" s="43">
        <f>IF($I4803=0,0,INDEX(DarlErsatzRate,10))</f>
      </c>
      <c r="P4803" s="43">
        <f>IF($I4803=0,0,$Q4802*INDEX(DarlErsatzZins,10))</f>
      </c>
      <c r="Q4803" s="43">
        <f>IF($I4803=0,0,$Q4802+$P4803+$O4803)</f>
      </c>
      <c r="R4803" s="43">
        <f>IF($I4803=0,0,$J4803-$M4803-$N4803)</f>
      </c>
    </row>
    <row r="4804">
      <c r="A4804"/>
      <c r="B4804">
        <v>11</v>
      </c>
      <c r="C4804" s="43">
        <f>INDEX(DarlObj,11)</f>
      </c>
      <c r="D4804">
        <v>1</v>
      </c>
      <c r="E4804" s="51">
        <f>IF(INDEX(DarlBelegt,11)=0,0,EOMONTH(INDEX(DarlAuszahlung,11),0)+1)</f>
      </c>
      <c r="F4804" s="43">
        <f>IF($E4804=0,0,YEAR($E4804))</f>
      </c>
      <c r="G4804" s="43">
        <f>IF(INDEX(DarlBindung,11)="",1,IF($E4804&lt;=INDEX(DarlBindung,11),1,0))</f>
      </c>
      <c r="H4804" s="43">
        <f>IF($G4804=1,INDEX(DarlSollzins,11),INDEX(DarlAnschluss,11))</f>
      </c>
      <c r="I4804" s="43">
        <f>IF(INDEX(DarlBelegt,11)=0,0,IF(INDEX(DarlOhneTilgung,11)=1,IF(INDEX(DarlBindung,11)="",1,$G4804),IF($J4804&gt;0.005,1,0)))</f>
      </c>
      <c r="J4804" s="43">
        <f>IF(INDEX(DarlBelegt,11)=0,0,INDEX(DarlBetrag,11))</f>
      </c>
      <c r="K4804" s="43">
        <f>IF($I4804=0,0,IF(INDEX(DarlOhneTilgung,11)=1,0,INDEX(DarlRate1,11)))</f>
      </c>
      <c r="L4804" s="43">
        <f>IF($I4804=0,0,$J4804*$H4804/100/12)</f>
      </c>
      <c r="M4804" s="43">
        <f>IF($I4804=0,0,IF(OR(INDEX(DarlOhneTilgung,11)=1,AND(INDEX(DarlTilgStart,11)&gt;0,$E4804&lt;INDEX(DarlTilgStart,11))),0,MIN(MAX(0,$K4804-$L4804),$J4804)))</f>
      </c>
      <c r="N4804" s="43">
        <f>IF($I4804=0,0,MIN(SUMIFS(SondBetrag,SondDarl,11,SondDatum,"&gt;="&amp;$E4804,SondDatum,"&lt;="&amp;EOMONTH($E4804,0)),$J4804-$M4804))</f>
      </c>
      <c r="O4804" s="43">
        <f>IF($I4804=0,0,INDEX(DarlErsatzRate,11))</f>
      </c>
      <c r="P4804" s="43">
        <f>0</f>
      </c>
      <c r="Q4804" s="43">
        <f>IF($I4804=0,0,$P4804+$O4804)</f>
      </c>
      <c r="R4804" s="43">
        <f>IF($I4804=0,0,$J4804-$M4804-$N4804)</f>
      </c>
    </row>
    <row r="4805">
      <c r="A4805"/>
      <c r="B4805">
        <v>11</v>
      </c>
      <c r="C4805" s="43">
        <f>INDEX(DarlObj,11)</f>
      </c>
      <c r="D4805">
        <v>2</v>
      </c>
      <c r="E4805" s="51">
        <f>IF(INDEX(DarlBelegt,11)=0,0,EOMONTH(INDEX(DarlAuszahlung,11),1)+1)</f>
      </c>
      <c r="F4805" s="43">
        <f>IF($E4805=0,0,YEAR($E4805))</f>
      </c>
      <c r="G4805" s="43">
        <f>IF(INDEX(DarlBindung,11)="",1,IF($E4805&lt;=INDEX(DarlBindung,11),1,0))</f>
      </c>
      <c r="H4805" s="43">
        <f>IF($G4805=1,INDEX(DarlSollzins,11),INDEX(DarlAnschluss,11))</f>
      </c>
      <c r="I4805" s="43">
        <f>IF(INDEX(DarlBelegt,11)=0,0,IF(INDEX(DarlOhneTilgung,11)=1,IF(INDEX(DarlBindung,11)="",1,$G4805),IF($J4805&gt;0.005,1,0)))</f>
      </c>
      <c r="J4805" s="43">
        <f>IF($I4804=0,0,$R4804)</f>
      </c>
      <c r="K4805" s="43">
        <f>IF($I4805=0,0,IF(INDEX(DarlOhneTilgung,11)=1,0,IF(AND(INDEX(DarlTilgStart,11)&gt;0,$E4805=INDEX(DarlTilgStart,11)),$J4805*($H4805+INDEX(DarlTilgung,11))/100/12,IF(AND($G4805=0,$G4804=1),MAX($K4804,$J4805*($H4805+1)/100/12),$K4804))))</f>
      </c>
      <c r="L4805" s="43">
        <f>IF($I4805=0,0,$J4805*$H4805/100/12)</f>
      </c>
      <c r="M4805" s="43">
        <f>IF($I4805=0,0,IF(OR(INDEX(DarlOhneTilgung,11)=1,AND(INDEX(DarlTilgStart,11)&gt;0,$E4805&lt;INDEX(DarlTilgStart,11))),0,MIN(MAX(0,$K4805-$L4805),$J4805)))</f>
      </c>
      <c r="N4805" s="43">
        <f>IF($I4805=0,0,MIN(SUMIFS(SondBetrag,SondDarl,11,SondDatum,"&gt;="&amp;$E4805,SondDatum,"&lt;="&amp;EOMONTH($E4805,0)),$J4805-$M4805))</f>
      </c>
      <c r="O4805" s="43">
        <f>IF($I4805=0,0,INDEX(DarlErsatzRate,11))</f>
      </c>
      <c r="P4805" s="43">
        <f>IF($I4805=0,0,$Q4804*INDEX(DarlErsatzZins,11))</f>
      </c>
      <c r="Q4805" s="43">
        <f>IF($I4805=0,0,$Q4804+$P4805+$O4805)</f>
      </c>
      <c r="R4805" s="43">
        <f>IF($I4805=0,0,$J4805-$M4805-$N4805)</f>
      </c>
    </row>
    <row r="4806">
      <c r="A4806"/>
      <c r="B4806">
        <v>11</v>
      </c>
      <c r="C4806" s="43">
        <f>INDEX(DarlObj,11)</f>
      </c>
      <c r="D4806">
        <v>3</v>
      </c>
      <c r="E4806" s="51">
        <f>IF(INDEX(DarlBelegt,11)=0,0,EOMONTH(INDEX(DarlAuszahlung,11),2)+1)</f>
      </c>
      <c r="F4806" s="43">
        <f>IF($E4806=0,0,YEAR($E4806))</f>
      </c>
      <c r="G4806" s="43">
        <f>IF(INDEX(DarlBindung,11)="",1,IF($E4806&lt;=INDEX(DarlBindung,11),1,0))</f>
      </c>
      <c r="H4806" s="43">
        <f>IF($G4806=1,INDEX(DarlSollzins,11),INDEX(DarlAnschluss,11))</f>
      </c>
      <c r="I4806" s="43">
        <f>IF(INDEX(DarlBelegt,11)=0,0,IF(INDEX(DarlOhneTilgung,11)=1,IF(INDEX(DarlBindung,11)="",1,$G4806),IF($J4806&gt;0.005,1,0)))</f>
      </c>
      <c r="J4806" s="43">
        <f>IF($I4805=0,0,$R4805)</f>
      </c>
      <c r="K4806" s="43">
        <f>IF($I4806=0,0,IF(INDEX(DarlOhneTilgung,11)=1,0,IF(AND(INDEX(DarlTilgStart,11)&gt;0,$E4806=INDEX(DarlTilgStart,11)),$J4806*($H4806+INDEX(DarlTilgung,11))/100/12,IF(AND($G4806=0,$G4805=1),MAX($K4805,$J4806*($H4806+1)/100/12),$K4805))))</f>
      </c>
      <c r="L4806" s="43">
        <f>IF($I4806=0,0,$J4806*$H4806/100/12)</f>
      </c>
      <c r="M4806" s="43">
        <f>IF($I4806=0,0,IF(OR(INDEX(DarlOhneTilgung,11)=1,AND(INDEX(DarlTilgStart,11)&gt;0,$E4806&lt;INDEX(DarlTilgStart,11))),0,MIN(MAX(0,$K4806-$L4806),$J4806)))</f>
      </c>
      <c r="N4806" s="43">
        <f>IF($I4806=0,0,MIN(SUMIFS(SondBetrag,SondDarl,11,SondDatum,"&gt;="&amp;$E4806,SondDatum,"&lt;="&amp;EOMONTH($E4806,0)),$J4806-$M4806))</f>
      </c>
      <c r="O4806" s="43">
        <f>IF($I4806=0,0,INDEX(DarlErsatzRate,11))</f>
      </c>
      <c r="P4806" s="43">
        <f>IF($I4806=0,0,$Q4805*INDEX(DarlErsatzZins,11))</f>
      </c>
      <c r="Q4806" s="43">
        <f>IF($I4806=0,0,$Q4805+$P4806+$O4806)</f>
      </c>
      <c r="R4806" s="43">
        <f>IF($I4806=0,0,$J4806-$M4806-$N4806)</f>
      </c>
    </row>
    <row r="4807">
      <c r="A4807"/>
      <c r="B4807">
        <v>11</v>
      </c>
      <c r="C4807" s="43">
        <f>INDEX(DarlObj,11)</f>
      </c>
      <c r="D4807">
        <v>4</v>
      </c>
      <c r="E4807" s="51">
        <f>IF(INDEX(DarlBelegt,11)=0,0,EOMONTH(INDEX(DarlAuszahlung,11),3)+1)</f>
      </c>
      <c r="F4807" s="43">
        <f>IF($E4807=0,0,YEAR($E4807))</f>
      </c>
      <c r="G4807" s="43">
        <f>IF(INDEX(DarlBindung,11)="",1,IF($E4807&lt;=INDEX(DarlBindung,11),1,0))</f>
      </c>
      <c r="H4807" s="43">
        <f>IF($G4807=1,INDEX(DarlSollzins,11),INDEX(DarlAnschluss,11))</f>
      </c>
      <c r="I4807" s="43">
        <f>IF(INDEX(DarlBelegt,11)=0,0,IF(INDEX(DarlOhneTilgung,11)=1,IF(INDEX(DarlBindung,11)="",1,$G4807),IF($J4807&gt;0.005,1,0)))</f>
      </c>
      <c r="J4807" s="43">
        <f>IF($I4806=0,0,$R4806)</f>
      </c>
      <c r="K4807" s="43">
        <f>IF($I4807=0,0,IF(INDEX(DarlOhneTilgung,11)=1,0,IF(AND(INDEX(DarlTilgStart,11)&gt;0,$E4807=INDEX(DarlTilgStart,11)),$J4807*($H4807+INDEX(DarlTilgung,11))/100/12,IF(AND($G4807=0,$G4806=1),MAX($K4806,$J4807*($H4807+1)/100/12),$K4806))))</f>
      </c>
      <c r="L4807" s="43">
        <f>IF($I4807=0,0,$J4807*$H4807/100/12)</f>
      </c>
      <c r="M4807" s="43">
        <f>IF($I4807=0,0,IF(OR(INDEX(DarlOhneTilgung,11)=1,AND(INDEX(DarlTilgStart,11)&gt;0,$E4807&lt;INDEX(DarlTilgStart,11))),0,MIN(MAX(0,$K4807-$L4807),$J4807)))</f>
      </c>
      <c r="N4807" s="43">
        <f>IF($I4807=0,0,MIN(SUMIFS(SondBetrag,SondDarl,11,SondDatum,"&gt;="&amp;$E4807,SondDatum,"&lt;="&amp;EOMONTH($E4807,0)),$J4807-$M4807))</f>
      </c>
      <c r="O4807" s="43">
        <f>IF($I4807=0,0,INDEX(DarlErsatzRate,11))</f>
      </c>
      <c r="P4807" s="43">
        <f>IF($I4807=0,0,$Q4806*INDEX(DarlErsatzZins,11))</f>
      </c>
      <c r="Q4807" s="43">
        <f>IF($I4807=0,0,$Q4806+$P4807+$O4807)</f>
      </c>
      <c r="R4807" s="43">
        <f>IF($I4807=0,0,$J4807-$M4807-$N4807)</f>
      </c>
    </row>
    <row r="4808">
      <c r="A4808"/>
      <c r="B4808">
        <v>11</v>
      </c>
      <c r="C4808" s="43">
        <f>INDEX(DarlObj,11)</f>
      </c>
      <c r="D4808">
        <v>5</v>
      </c>
      <c r="E4808" s="51">
        <f>IF(INDEX(DarlBelegt,11)=0,0,EOMONTH(INDEX(DarlAuszahlung,11),4)+1)</f>
      </c>
      <c r="F4808" s="43">
        <f>IF($E4808=0,0,YEAR($E4808))</f>
      </c>
      <c r="G4808" s="43">
        <f>IF(INDEX(DarlBindung,11)="",1,IF($E4808&lt;=INDEX(DarlBindung,11),1,0))</f>
      </c>
      <c r="H4808" s="43">
        <f>IF($G4808=1,INDEX(DarlSollzins,11),INDEX(DarlAnschluss,11))</f>
      </c>
      <c r="I4808" s="43">
        <f>IF(INDEX(DarlBelegt,11)=0,0,IF(INDEX(DarlOhneTilgung,11)=1,IF(INDEX(DarlBindung,11)="",1,$G4808),IF($J4808&gt;0.005,1,0)))</f>
      </c>
      <c r="J4808" s="43">
        <f>IF($I4807=0,0,$R4807)</f>
      </c>
      <c r="K4808" s="43">
        <f>IF($I4808=0,0,IF(INDEX(DarlOhneTilgung,11)=1,0,IF(AND(INDEX(DarlTilgStart,11)&gt;0,$E4808=INDEX(DarlTilgStart,11)),$J4808*($H4808+INDEX(DarlTilgung,11))/100/12,IF(AND($G4808=0,$G4807=1),MAX($K4807,$J4808*($H4808+1)/100/12),$K4807))))</f>
      </c>
      <c r="L4808" s="43">
        <f>IF($I4808=0,0,$J4808*$H4808/100/12)</f>
      </c>
      <c r="M4808" s="43">
        <f>IF($I4808=0,0,IF(OR(INDEX(DarlOhneTilgung,11)=1,AND(INDEX(DarlTilgStart,11)&gt;0,$E4808&lt;INDEX(DarlTilgStart,11))),0,MIN(MAX(0,$K4808-$L4808),$J4808)))</f>
      </c>
      <c r="N4808" s="43">
        <f>IF($I4808=0,0,MIN(SUMIFS(SondBetrag,SondDarl,11,SondDatum,"&gt;="&amp;$E4808,SondDatum,"&lt;="&amp;EOMONTH($E4808,0)),$J4808-$M4808))</f>
      </c>
      <c r="O4808" s="43">
        <f>IF($I4808=0,0,INDEX(DarlErsatzRate,11))</f>
      </c>
      <c r="P4808" s="43">
        <f>IF($I4808=0,0,$Q4807*INDEX(DarlErsatzZins,11))</f>
      </c>
      <c r="Q4808" s="43">
        <f>IF($I4808=0,0,$Q4807+$P4808+$O4808)</f>
      </c>
      <c r="R4808" s="43">
        <f>IF($I4808=0,0,$J4808-$M4808-$N4808)</f>
      </c>
    </row>
    <row r="4809">
      <c r="A4809"/>
      <c r="B4809">
        <v>11</v>
      </c>
      <c r="C4809" s="43">
        <f>INDEX(DarlObj,11)</f>
      </c>
      <c r="D4809">
        <v>6</v>
      </c>
      <c r="E4809" s="51">
        <f>IF(INDEX(DarlBelegt,11)=0,0,EOMONTH(INDEX(DarlAuszahlung,11),5)+1)</f>
      </c>
      <c r="F4809" s="43">
        <f>IF($E4809=0,0,YEAR($E4809))</f>
      </c>
      <c r="G4809" s="43">
        <f>IF(INDEX(DarlBindung,11)="",1,IF($E4809&lt;=INDEX(DarlBindung,11),1,0))</f>
      </c>
      <c r="H4809" s="43">
        <f>IF($G4809=1,INDEX(DarlSollzins,11),INDEX(DarlAnschluss,11))</f>
      </c>
      <c r="I4809" s="43">
        <f>IF(INDEX(DarlBelegt,11)=0,0,IF(INDEX(DarlOhneTilgung,11)=1,IF(INDEX(DarlBindung,11)="",1,$G4809),IF($J4809&gt;0.005,1,0)))</f>
      </c>
      <c r="J4809" s="43">
        <f>IF($I4808=0,0,$R4808)</f>
      </c>
      <c r="K4809" s="43">
        <f>IF($I4809=0,0,IF(INDEX(DarlOhneTilgung,11)=1,0,IF(AND(INDEX(DarlTilgStart,11)&gt;0,$E4809=INDEX(DarlTilgStart,11)),$J4809*($H4809+INDEX(DarlTilgung,11))/100/12,IF(AND($G4809=0,$G4808=1),MAX($K4808,$J4809*($H4809+1)/100/12),$K4808))))</f>
      </c>
      <c r="L4809" s="43">
        <f>IF($I4809=0,0,$J4809*$H4809/100/12)</f>
      </c>
      <c r="M4809" s="43">
        <f>IF($I4809=0,0,IF(OR(INDEX(DarlOhneTilgung,11)=1,AND(INDEX(DarlTilgStart,11)&gt;0,$E4809&lt;INDEX(DarlTilgStart,11))),0,MIN(MAX(0,$K4809-$L4809),$J4809)))</f>
      </c>
      <c r="N4809" s="43">
        <f>IF($I4809=0,0,MIN(SUMIFS(SondBetrag,SondDarl,11,SondDatum,"&gt;="&amp;$E4809,SondDatum,"&lt;="&amp;EOMONTH($E4809,0)),$J4809-$M4809))</f>
      </c>
      <c r="O4809" s="43">
        <f>IF($I4809=0,0,INDEX(DarlErsatzRate,11))</f>
      </c>
      <c r="P4809" s="43">
        <f>IF($I4809=0,0,$Q4808*INDEX(DarlErsatzZins,11))</f>
      </c>
      <c r="Q4809" s="43">
        <f>IF($I4809=0,0,$Q4808+$P4809+$O4809)</f>
      </c>
      <c r="R4809" s="43">
        <f>IF($I4809=0,0,$J4809-$M4809-$N4809)</f>
      </c>
    </row>
    <row r="4810">
      <c r="A4810"/>
      <c r="B4810">
        <v>11</v>
      </c>
      <c r="C4810" s="43">
        <f>INDEX(DarlObj,11)</f>
      </c>
      <c r="D4810">
        <v>7</v>
      </c>
      <c r="E4810" s="51">
        <f>IF(INDEX(DarlBelegt,11)=0,0,EOMONTH(INDEX(DarlAuszahlung,11),6)+1)</f>
      </c>
      <c r="F4810" s="43">
        <f>IF($E4810=0,0,YEAR($E4810))</f>
      </c>
      <c r="G4810" s="43">
        <f>IF(INDEX(DarlBindung,11)="",1,IF($E4810&lt;=INDEX(DarlBindung,11),1,0))</f>
      </c>
      <c r="H4810" s="43">
        <f>IF($G4810=1,INDEX(DarlSollzins,11),INDEX(DarlAnschluss,11))</f>
      </c>
      <c r="I4810" s="43">
        <f>IF(INDEX(DarlBelegt,11)=0,0,IF(INDEX(DarlOhneTilgung,11)=1,IF(INDEX(DarlBindung,11)="",1,$G4810),IF($J4810&gt;0.005,1,0)))</f>
      </c>
      <c r="J4810" s="43">
        <f>IF($I4809=0,0,$R4809)</f>
      </c>
      <c r="K4810" s="43">
        <f>IF($I4810=0,0,IF(INDEX(DarlOhneTilgung,11)=1,0,IF(AND(INDEX(DarlTilgStart,11)&gt;0,$E4810=INDEX(DarlTilgStart,11)),$J4810*($H4810+INDEX(DarlTilgung,11))/100/12,IF(AND($G4810=0,$G4809=1),MAX($K4809,$J4810*($H4810+1)/100/12),$K4809))))</f>
      </c>
      <c r="L4810" s="43">
        <f>IF($I4810=0,0,$J4810*$H4810/100/12)</f>
      </c>
      <c r="M4810" s="43">
        <f>IF($I4810=0,0,IF(OR(INDEX(DarlOhneTilgung,11)=1,AND(INDEX(DarlTilgStart,11)&gt;0,$E4810&lt;INDEX(DarlTilgStart,11))),0,MIN(MAX(0,$K4810-$L4810),$J4810)))</f>
      </c>
      <c r="N4810" s="43">
        <f>IF($I4810=0,0,MIN(SUMIFS(SondBetrag,SondDarl,11,SondDatum,"&gt;="&amp;$E4810,SondDatum,"&lt;="&amp;EOMONTH($E4810,0)),$J4810-$M4810))</f>
      </c>
      <c r="O4810" s="43">
        <f>IF($I4810=0,0,INDEX(DarlErsatzRate,11))</f>
      </c>
      <c r="P4810" s="43">
        <f>IF($I4810=0,0,$Q4809*INDEX(DarlErsatzZins,11))</f>
      </c>
      <c r="Q4810" s="43">
        <f>IF($I4810=0,0,$Q4809+$P4810+$O4810)</f>
      </c>
      <c r="R4810" s="43">
        <f>IF($I4810=0,0,$J4810-$M4810-$N4810)</f>
      </c>
    </row>
    <row r="4811">
      <c r="A4811"/>
      <c r="B4811">
        <v>11</v>
      </c>
      <c r="C4811" s="43">
        <f>INDEX(DarlObj,11)</f>
      </c>
      <c r="D4811">
        <v>8</v>
      </c>
      <c r="E4811" s="51">
        <f>IF(INDEX(DarlBelegt,11)=0,0,EOMONTH(INDEX(DarlAuszahlung,11),7)+1)</f>
      </c>
      <c r="F4811" s="43">
        <f>IF($E4811=0,0,YEAR($E4811))</f>
      </c>
      <c r="G4811" s="43">
        <f>IF(INDEX(DarlBindung,11)="",1,IF($E4811&lt;=INDEX(DarlBindung,11),1,0))</f>
      </c>
      <c r="H4811" s="43">
        <f>IF($G4811=1,INDEX(DarlSollzins,11),INDEX(DarlAnschluss,11))</f>
      </c>
      <c r="I4811" s="43">
        <f>IF(INDEX(DarlBelegt,11)=0,0,IF(INDEX(DarlOhneTilgung,11)=1,IF(INDEX(DarlBindung,11)="",1,$G4811),IF($J4811&gt;0.005,1,0)))</f>
      </c>
      <c r="J4811" s="43">
        <f>IF($I4810=0,0,$R4810)</f>
      </c>
      <c r="K4811" s="43">
        <f>IF($I4811=0,0,IF(INDEX(DarlOhneTilgung,11)=1,0,IF(AND(INDEX(DarlTilgStart,11)&gt;0,$E4811=INDEX(DarlTilgStart,11)),$J4811*($H4811+INDEX(DarlTilgung,11))/100/12,IF(AND($G4811=0,$G4810=1),MAX($K4810,$J4811*($H4811+1)/100/12),$K4810))))</f>
      </c>
      <c r="L4811" s="43">
        <f>IF($I4811=0,0,$J4811*$H4811/100/12)</f>
      </c>
      <c r="M4811" s="43">
        <f>IF($I4811=0,0,IF(OR(INDEX(DarlOhneTilgung,11)=1,AND(INDEX(DarlTilgStart,11)&gt;0,$E4811&lt;INDEX(DarlTilgStart,11))),0,MIN(MAX(0,$K4811-$L4811),$J4811)))</f>
      </c>
      <c r="N4811" s="43">
        <f>IF($I4811=0,0,MIN(SUMIFS(SondBetrag,SondDarl,11,SondDatum,"&gt;="&amp;$E4811,SondDatum,"&lt;="&amp;EOMONTH($E4811,0)),$J4811-$M4811))</f>
      </c>
      <c r="O4811" s="43">
        <f>IF($I4811=0,0,INDEX(DarlErsatzRate,11))</f>
      </c>
      <c r="P4811" s="43">
        <f>IF($I4811=0,0,$Q4810*INDEX(DarlErsatzZins,11))</f>
      </c>
      <c r="Q4811" s="43">
        <f>IF($I4811=0,0,$Q4810+$P4811+$O4811)</f>
      </c>
      <c r="R4811" s="43">
        <f>IF($I4811=0,0,$J4811-$M4811-$N4811)</f>
      </c>
    </row>
    <row r="4812">
      <c r="A4812"/>
      <c r="B4812">
        <v>11</v>
      </c>
      <c r="C4812" s="43">
        <f>INDEX(DarlObj,11)</f>
      </c>
      <c r="D4812">
        <v>9</v>
      </c>
      <c r="E4812" s="51">
        <f>IF(INDEX(DarlBelegt,11)=0,0,EOMONTH(INDEX(DarlAuszahlung,11),8)+1)</f>
      </c>
      <c r="F4812" s="43">
        <f>IF($E4812=0,0,YEAR($E4812))</f>
      </c>
      <c r="G4812" s="43">
        <f>IF(INDEX(DarlBindung,11)="",1,IF($E4812&lt;=INDEX(DarlBindung,11),1,0))</f>
      </c>
      <c r="H4812" s="43">
        <f>IF($G4812=1,INDEX(DarlSollzins,11),INDEX(DarlAnschluss,11))</f>
      </c>
      <c r="I4812" s="43">
        <f>IF(INDEX(DarlBelegt,11)=0,0,IF(INDEX(DarlOhneTilgung,11)=1,IF(INDEX(DarlBindung,11)="",1,$G4812),IF($J4812&gt;0.005,1,0)))</f>
      </c>
      <c r="J4812" s="43">
        <f>IF($I4811=0,0,$R4811)</f>
      </c>
      <c r="K4812" s="43">
        <f>IF($I4812=0,0,IF(INDEX(DarlOhneTilgung,11)=1,0,IF(AND(INDEX(DarlTilgStart,11)&gt;0,$E4812=INDEX(DarlTilgStart,11)),$J4812*($H4812+INDEX(DarlTilgung,11))/100/12,IF(AND($G4812=0,$G4811=1),MAX($K4811,$J4812*($H4812+1)/100/12),$K4811))))</f>
      </c>
      <c r="L4812" s="43">
        <f>IF($I4812=0,0,$J4812*$H4812/100/12)</f>
      </c>
      <c r="M4812" s="43">
        <f>IF($I4812=0,0,IF(OR(INDEX(DarlOhneTilgung,11)=1,AND(INDEX(DarlTilgStart,11)&gt;0,$E4812&lt;INDEX(DarlTilgStart,11))),0,MIN(MAX(0,$K4812-$L4812),$J4812)))</f>
      </c>
      <c r="N4812" s="43">
        <f>IF($I4812=0,0,MIN(SUMIFS(SondBetrag,SondDarl,11,SondDatum,"&gt;="&amp;$E4812,SondDatum,"&lt;="&amp;EOMONTH($E4812,0)),$J4812-$M4812))</f>
      </c>
      <c r="O4812" s="43">
        <f>IF($I4812=0,0,INDEX(DarlErsatzRate,11))</f>
      </c>
      <c r="P4812" s="43">
        <f>IF($I4812=0,0,$Q4811*INDEX(DarlErsatzZins,11))</f>
      </c>
      <c r="Q4812" s="43">
        <f>IF($I4812=0,0,$Q4811+$P4812+$O4812)</f>
      </c>
      <c r="R4812" s="43">
        <f>IF($I4812=0,0,$J4812-$M4812-$N4812)</f>
      </c>
    </row>
    <row r="4813">
      <c r="A4813"/>
      <c r="B4813">
        <v>11</v>
      </c>
      <c r="C4813" s="43">
        <f>INDEX(DarlObj,11)</f>
      </c>
      <c r="D4813">
        <v>10</v>
      </c>
      <c r="E4813" s="51">
        <f>IF(INDEX(DarlBelegt,11)=0,0,EOMONTH(INDEX(DarlAuszahlung,11),9)+1)</f>
      </c>
      <c r="F4813" s="43">
        <f>IF($E4813=0,0,YEAR($E4813))</f>
      </c>
      <c r="G4813" s="43">
        <f>IF(INDEX(DarlBindung,11)="",1,IF($E4813&lt;=INDEX(DarlBindung,11),1,0))</f>
      </c>
      <c r="H4813" s="43">
        <f>IF($G4813=1,INDEX(DarlSollzins,11),INDEX(DarlAnschluss,11))</f>
      </c>
      <c r="I4813" s="43">
        <f>IF(INDEX(DarlBelegt,11)=0,0,IF(INDEX(DarlOhneTilgung,11)=1,IF(INDEX(DarlBindung,11)="",1,$G4813),IF($J4813&gt;0.005,1,0)))</f>
      </c>
      <c r="J4813" s="43">
        <f>IF($I4812=0,0,$R4812)</f>
      </c>
      <c r="K4813" s="43">
        <f>IF($I4813=0,0,IF(INDEX(DarlOhneTilgung,11)=1,0,IF(AND(INDEX(DarlTilgStart,11)&gt;0,$E4813=INDEX(DarlTilgStart,11)),$J4813*($H4813+INDEX(DarlTilgung,11))/100/12,IF(AND($G4813=0,$G4812=1),MAX($K4812,$J4813*($H4813+1)/100/12),$K4812))))</f>
      </c>
      <c r="L4813" s="43">
        <f>IF($I4813=0,0,$J4813*$H4813/100/12)</f>
      </c>
      <c r="M4813" s="43">
        <f>IF($I4813=0,0,IF(OR(INDEX(DarlOhneTilgung,11)=1,AND(INDEX(DarlTilgStart,11)&gt;0,$E4813&lt;INDEX(DarlTilgStart,11))),0,MIN(MAX(0,$K4813-$L4813),$J4813)))</f>
      </c>
      <c r="N4813" s="43">
        <f>IF($I4813=0,0,MIN(SUMIFS(SondBetrag,SondDarl,11,SondDatum,"&gt;="&amp;$E4813,SondDatum,"&lt;="&amp;EOMONTH($E4813,0)),$J4813-$M4813))</f>
      </c>
      <c r="O4813" s="43">
        <f>IF($I4813=0,0,INDEX(DarlErsatzRate,11))</f>
      </c>
      <c r="P4813" s="43">
        <f>IF($I4813=0,0,$Q4812*INDEX(DarlErsatzZins,11))</f>
      </c>
      <c r="Q4813" s="43">
        <f>IF($I4813=0,0,$Q4812+$P4813+$O4813)</f>
      </c>
      <c r="R4813" s="43">
        <f>IF($I4813=0,0,$J4813-$M4813-$N4813)</f>
      </c>
    </row>
    <row r="4814">
      <c r="A4814"/>
      <c r="B4814">
        <v>11</v>
      </c>
      <c r="C4814" s="43">
        <f>INDEX(DarlObj,11)</f>
      </c>
      <c r="D4814">
        <v>11</v>
      </c>
      <c r="E4814" s="51">
        <f>IF(INDEX(DarlBelegt,11)=0,0,EOMONTH(INDEX(DarlAuszahlung,11),10)+1)</f>
      </c>
      <c r="F4814" s="43">
        <f>IF($E4814=0,0,YEAR($E4814))</f>
      </c>
      <c r="G4814" s="43">
        <f>IF(INDEX(DarlBindung,11)="",1,IF($E4814&lt;=INDEX(DarlBindung,11),1,0))</f>
      </c>
      <c r="H4814" s="43">
        <f>IF($G4814=1,INDEX(DarlSollzins,11),INDEX(DarlAnschluss,11))</f>
      </c>
      <c r="I4814" s="43">
        <f>IF(INDEX(DarlBelegt,11)=0,0,IF(INDEX(DarlOhneTilgung,11)=1,IF(INDEX(DarlBindung,11)="",1,$G4814),IF($J4814&gt;0.005,1,0)))</f>
      </c>
      <c r="J4814" s="43">
        <f>IF($I4813=0,0,$R4813)</f>
      </c>
      <c r="K4814" s="43">
        <f>IF($I4814=0,0,IF(INDEX(DarlOhneTilgung,11)=1,0,IF(AND(INDEX(DarlTilgStart,11)&gt;0,$E4814=INDEX(DarlTilgStart,11)),$J4814*($H4814+INDEX(DarlTilgung,11))/100/12,IF(AND($G4814=0,$G4813=1),MAX($K4813,$J4814*($H4814+1)/100/12),$K4813))))</f>
      </c>
      <c r="L4814" s="43">
        <f>IF($I4814=0,0,$J4814*$H4814/100/12)</f>
      </c>
      <c r="M4814" s="43">
        <f>IF($I4814=0,0,IF(OR(INDEX(DarlOhneTilgung,11)=1,AND(INDEX(DarlTilgStart,11)&gt;0,$E4814&lt;INDEX(DarlTilgStart,11))),0,MIN(MAX(0,$K4814-$L4814),$J4814)))</f>
      </c>
      <c r="N4814" s="43">
        <f>IF($I4814=0,0,MIN(SUMIFS(SondBetrag,SondDarl,11,SondDatum,"&gt;="&amp;$E4814,SondDatum,"&lt;="&amp;EOMONTH($E4814,0)),$J4814-$M4814))</f>
      </c>
      <c r="O4814" s="43">
        <f>IF($I4814=0,0,INDEX(DarlErsatzRate,11))</f>
      </c>
      <c r="P4814" s="43">
        <f>IF($I4814=0,0,$Q4813*INDEX(DarlErsatzZins,11))</f>
      </c>
      <c r="Q4814" s="43">
        <f>IF($I4814=0,0,$Q4813+$P4814+$O4814)</f>
      </c>
      <c r="R4814" s="43">
        <f>IF($I4814=0,0,$J4814-$M4814-$N4814)</f>
      </c>
    </row>
    <row r="4815">
      <c r="A4815"/>
      <c r="B4815">
        <v>11</v>
      </c>
      <c r="C4815" s="43">
        <f>INDEX(DarlObj,11)</f>
      </c>
      <c r="D4815">
        <v>12</v>
      </c>
      <c r="E4815" s="51">
        <f>IF(INDEX(DarlBelegt,11)=0,0,EOMONTH(INDEX(DarlAuszahlung,11),11)+1)</f>
      </c>
      <c r="F4815" s="43">
        <f>IF($E4815=0,0,YEAR($E4815))</f>
      </c>
      <c r="G4815" s="43">
        <f>IF(INDEX(DarlBindung,11)="",1,IF($E4815&lt;=INDEX(DarlBindung,11),1,0))</f>
      </c>
      <c r="H4815" s="43">
        <f>IF($G4815=1,INDEX(DarlSollzins,11),INDEX(DarlAnschluss,11))</f>
      </c>
      <c r="I4815" s="43">
        <f>IF(INDEX(DarlBelegt,11)=0,0,IF(INDEX(DarlOhneTilgung,11)=1,IF(INDEX(DarlBindung,11)="",1,$G4815),IF($J4815&gt;0.005,1,0)))</f>
      </c>
      <c r="J4815" s="43">
        <f>IF($I4814=0,0,$R4814)</f>
      </c>
      <c r="K4815" s="43">
        <f>IF($I4815=0,0,IF(INDEX(DarlOhneTilgung,11)=1,0,IF(AND(INDEX(DarlTilgStart,11)&gt;0,$E4815=INDEX(DarlTilgStart,11)),$J4815*($H4815+INDEX(DarlTilgung,11))/100/12,IF(AND($G4815=0,$G4814=1),MAX($K4814,$J4815*($H4815+1)/100/12),$K4814))))</f>
      </c>
      <c r="L4815" s="43">
        <f>IF($I4815=0,0,$J4815*$H4815/100/12)</f>
      </c>
      <c r="M4815" s="43">
        <f>IF($I4815=0,0,IF(OR(INDEX(DarlOhneTilgung,11)=1,AND(INDEX(DarlTilgStart,11)&gt;0,$E4815&lt;INDEX(DarlTilgStart,11))),0,MIN(MAX(0,$K4815-$L4815),$J4815)))</f>
      </c>
      <c r="N4815" s="43">
        <f>IF($I4815=0,0,MIN(SUMIFS(SondBetrag,SondDarl,11,SondDatum,"&gt;="&amp;$E4815,SondDatum,"&lt;="&amp;EOMONTH($E4815,0)),$J4815-$M4815))</f>
      </c>
      <c r="O4815" s="43">
        <f>IF($I4815=0,0,INDEX(DarlErsatzRate,11))</f>
      </c>
      <c r="P4815" s="43">
        <f>IF($I4815=0,0,$Q4814*INDEX(DarlErsatzZins,11))</f>
      </c>
      <c r="Q4815" s="43">
        <f>IF($I4815=0,0,$Q4814+$P4815+$O4815)</f>
      </c>
      <c r="R4815" s="43">
        <f>IF($I4815=0,0,$J4815-$M4815-$N4815)</f>
      </c>
    </row>
    <row r="4816">
      <c r="A4816"/>
      <c r="B4816">
        <v>11</v>
      </c>
      <c r="C4816" s="43">
        <f>INDEX(DarlObj,11)</f>
      </c>
      <c r="D4816">
        <v>13</v>
      </c>
      <c r="E4816" s="51">
        <f>IF(INDEX(DarlBelegt,11)=0,0,EOMONTH(INDEX(DarlAuszahlung,11),12)+1)</f>
      </c>
      <c r="F4816" s="43">
        <f>IF($E4816=0,0,YEAR($E4816))</f>
      </c>
      <c r="G4816" s="43">
        <f>IF(INDEX(DarlBindung,11)="",1,IF($E4816&lt;=INDEX(DarlBindung,11),1,0))</f>
      </c>
      <c r="H4816" s="43">
        <f>IF($G4816=1,INDEX(DarlSollzins,11),INDEX(DarlAnschluss,11))</f>
      </c>
      <c r="I4816" s="43">
        <f>IF(INDEX(DarlBelegt,11)=0,0,IF(INDEX(DarlOhneTilgung,11)=1,IF(INDEX(DarlBindung,11)="",1,$G4816),IF($J4816&gt;0.005,1,0)))</f>
      </c>
      <c r="J4816" s="43">
        <f>IF($I4815=0,0,$R4815)</f>
      </c>
      <c r="K4816" s="43">
        <f>IF($I4816=0,0,IF(INDEX(DarlOhneTilgung,11)=1,0,IF(AND(INDEX(DarlTilgStart,11)&gt;0,$E4816=INDEX(DarlTilgStart,11)),$J4816*($H4816+INDEX(DarlTilgung,11))/100/12,IF(AND($G4816=0,$G4815=1),MAX($K4815,$J4816*($H4816+1)/100/12),$K4815))))</f>
      </c>
      <c r="L4816" s="43">
        <f>IF($I4816=0,0,$J4816*$H4816/100/12)</f>
      </c>
      <c r="M4816" s="43">
        <f>IF($I4816=0,0,IF(OR(INDEX(DarlOhneTilgung,11)=1,AND(INDEX(DarlTilgStart,11)&gt;0,$E4816&lt;INDEX(DarlTilgStart,11))),0,MIN(MAX(0,$K4816-$L4816),$J4816)))</f>
      </c>
      <c r="N4816" s="43">
        <f>IF($I4816=0,0,MIN(SUMIFS(SondBetrag,SondDarl,11,SondDatum,"&gt;="&amp;$E4816,SondDatum,"&lt;="&amp;EOMONTH($E4816,0)),$J4816-$M4816))</f>
      </c>
      <c r="O4816" s="43">
        <f>IF($I4816=0,0,INDEX(DarlErsatzRate,11))</f>
      </c>
      <c r="P4816" s="43">
        <f>IF($I4816=0,0,$Q4815*INDEX(DarlErsatzZins,11))</f>
      </c>
      <c r="Q4816" s="43">
        <f>IF($I4816=0,0,$Q4815+$P4816+$O4816)</f>
      </c>
      <c r="R4816" s="43">
        <f>IF($I4816=0,0,$J4816-$M4816-$N4816)</f>
      </c>
    </row>
    <row r="4817">
      <c r="A4817"/>
      <c r="B4817">
        <v>11</v>
      </c>
      <c r="C4817" s="43">
        <f>INDEX(DarlObj,11)</f>
      </c>
      <c r="D4817">
        <v>14</v>
      </c>
      <c r="E4817" s="51">
        <f>IF(INDEX(DarlBelegt,11)=0,0,EOMONTH(INDEX(DarlAuszahlung,11),13)+1)</f>
      </c>
      <c r="F4817" s="43">
        <f>IF($E4817=0,0,YEAR($E4817))</f>
      </c>
      <c r="G4817" s="43">
        <f>IF(INDEX(DarlBindung,11)="",1,IF($E4817&lt;=INDEX(DarlBindung,11),1,0))</f>
      </c>
      <c r="H4817" s="43">
        <f>IF($G4817=1,INDEX(DarlSollzins,11),INDEX(DarlAnschluss,11))</f>
      </c>
      <c r="I4817" s="43">
        <f>IF(INDEX(DarlBelegt,11)=0,0,IF(INDEX(DarlOhneTilgung,11)=1,IF(INDEX(DarlBindung,11)="",1,$G4817),IF($J4817&gt;0.005,1,0)))</f>
      </c>
      <c r="J4817" s="43">
        <f>IF($I4816=0,0,$R4816)</f>
      </c>
      <c r="K4817" s="43">
        <f>IF($I4817=0,0,IF(INDEX(DarlOhneTilgung,11)=1,0,IF(AND(INDEX(DarlTilgStart,11)&gt;0,$E4817=INDEX(DarlTilgStart,11)),$J4817*($H4817+INDEX(DarlTilgung,11))/100/12,IF(AND($G4817=0,$G4816=1),MAX($K4816,$J4817*($H4817+1)/100/12),$K4816))))</f>
      </c>
      <c r="L4817" s="43">
        <f>IF($I4817=0,0,$J4817*$H4817/100/12)</f>
      </c>
      <c r="M4817" s="43">
        <f>IF($I4817=0,0,IF(OR(INDEX(DarlOhneTilgung,11)=1,AND(INDEX(DarlTilgStart,11)&gt;0,$E4817&lt;INDEX(DarlTilgStart,11))),0,MIN(MAX(0,$K4817-$L4817),$J4817)))</f>
      </c>
      <c r="N4817" s="43">
        <f>IF($I4817=0,0,MIN(SUMIFS(SondBetrag,SondDarl,11,SondDatum,"&gt;="&amp;$E4817,SondDatum,"&lt;="&amp;EOMONTH($E4817,0)),$J4817-$M4817))</f>
      </c>
      <c r="O4817" s="43">
        <f>IF($I4817=0,0,INDEX(DarlErsatzRate,11))</f>
      </c>
      <c r="P4817" s="43">
        <f>IF($I4817=0,0,$Q4816*INDEX(DarlErsatzZins,11))</f>
      </c>
      <c r="Q4817" s="43">
        <f>IF($I4817=0,0,$Q4816+$P4817+$O4817)</f>
      </c>
      <c r="R4817" s="43">
        <f>IF($I4817=0,0,$J4817-$M4817-$N4817)</f>
      </c>
    </row>
    <row r="4818">
      <c r="A4818"/>
      <c r="B4818">
        <v>11</v>
      </c>
      <c r="C4818" s="43">
        <f>INDEX(DarlObj,11)</f>
      </c>
      <c r="D4818">
        <v>15</v>
      </c>
      <c r="E4818" s="51">
        <f>IF(INDEX(DarlBelegt,11)=0,0,EOMONTH(INDEX(DarlAuszahlung,11),14)+1)</f>
      </c>
      <c r="F4818" s="43">
        <f>IF($E4818=0,0,YEAR($E4818))</f>
      </c>
      <c r="G4818" s="43">
        <f>IF(INDEX(DarlBindung,11)="",1,IF($E4818&lt;=INDEX(DarlBindung,11),1,0))</f>
      </c>
      <c r="H4818" s="43">
        <f>IF($G4818=1,INDEX(DarlSollzins,11),INDEX(DarlAnschluss,11))</f>
      </c>
      <c r="I4818" s="43">
        <f>IF(INDEX(DarlBelegt,11)=0,0,IF(INDEX(DarlOhneTilgung,11)=1,IF(INDEX(DarlBindung,11)="",1,$G4818),IF($J4818&gt;0.005,1,0)))</f>
      </c>
      <c r="J4818" s="43">
        <f>IF($I4817=0,0,$R4817)</f>
      </c>
      <c r="K4818" s="43">
        <f>IF($I4818=0,0,IF(INDEX(DarlOhneTilgung,11)=1,0,IF(AND(INDEX(DarlTilgStart,11)&gt;0,$E4818=INDEX(DarlTilgStart,11)),$J4818*($H4818+INDEX(DarlTilgung,11))/100/12,IF(AND($G4818=0,$G4817=1),MAX($K4817,$J4818*($H4818+1)/100/12),$K4817))))</f>
      </c>
      <c r="L4818" s="43">
        <f>IF($I4818=0,0,$J4818*$H4818/100/12)</f>
      </c>
      <c r="M4818" s="43">
        <f>IF($I4818=0,0,IF(OR(INDEX(DarlOhneTilgung,11)=1,AND(INDEX(DarlTilgStart,11)&gt;0,$E4818&lt;INDEX(DarlTilgStart,11))),0,MIN(MAX(0,$K4818-$L4818),$J4818)))</f>
      </c>
      <c r="N4818" s="43">
        <f>IF($I4818=0,0,MIN(SUMIFS(SondBetrag,SondDarl,11,SondDatum,"&gt;="&amp;$E4818,SondDatum,"&lt;="&amp;EOMONTH($E4818,0)),$J4818-$M4818))</f>
      </c>
      <c r="O4818" s="43">
        <f>IF($I4818=0,0,INDEX(DarlErsatzRate,11))</f>
      </c>
      <c r="P4818" s="43">
        <f>IF($I4818=0,0,$Q4817*INDEX(DarlErsatzZins,11))</f>
      </c>
      <c r="Q4818" s="43">
        <f>IF($I4818=0,0,$Q4817+$P4818+$O4818)</f>
      </c>
      <c r="R4818" s="43">
        <f>IF($I4818=0,0,$J4818-$M4818-$N4818)</f>
      </c>
    </row>
    <row r="4819">
      <c r="A4819"/>
      <c r="B4819">
        <v>11</v>
      </c>
      <c r="C4819" s="43">
        <f>INDEX(DarlObj,11)</f>
      </c>
      <c r="D4819">
        <v>16</v>
      </c>
      <c r="E4819" s="51">
        <f>IF(INDEX(DarlBelegt,11)=0,0,EOMONTH(INDEX(DarlAuszahlung,11),15)+1)</f>
      </c>
      <c r="F4819" s="43">
        <f>IF($E4819=0,0,YEAR($E4819))</f>
      </c>
      <c r="G4819" s="43">
        <f>IF(INDEX(DarlBindung,11)="",1,IF($E4819&lt;=INDEX(DarlBindung,11),1,0))</f>
      </c>
      <c r="H4819" s="43">
        <f>IF($G4819=1,INDEX(DarlSollzins,11),INDEX(DarlAnschluss,11))</f>
      </c>
      <c r="I4819" s="43">
        <f>IF(INDEX(DarlBelegt,11)=0,0,IF(INDEX(DarlOhneTilgung,11)=1,IF(INDEX(DarlBindung,11)="",1,$G4819),IF($J4819&gt;0.005,1,0)))</f>
      </c>
      <c r="J4819" s="43">
        <f>IF($I4818=0,0,$R4818)</f>
      </c>
      <c r="K4819" s="43">
        <f>IF($I4819=0,0,IF(INDEX(DarlOhneTilgung,11)=1,0,IF(AND(INDEX(DarlTilgStart,11)&gt;0,$E4819=INDEX(DarlTilgStart,11)),$J4819*($H4819+INDEX(DarlTilgung,11))/100/12,IF(AND($G4819=0,$G4818=1),MAX($K4818,$J4819*($H4819+1)/100/12),$K4818))))</f>
      </c>
      <c r="L4819" s="43">
        <f>IF($I4819=0,0,$J4819*$H4819/100/12)</f>
      </c>
      <c r="M4819" s="43">
        <f>IF($I4819=0,0,IF(OR(INDEX(DarlOhneTilgung,11)=1,AND(INDEX(DarlTilgStart,11)&gt;0,$E4819&lt;INDEX(DarlTilgStart,11))),0,MIN(MAX(0,$K4819-$L4819),$J4819)))</f>
      </c>
      <c r="N4819" s="43">
        <f>IF($I4819=0,0,MIN(SUMIFS(SondBetrag,SondDarl,11,SondDatum,"&gt;="&amp;$E4819,SondDatum,"&lt;="&amp;EOMONTH($E4819,0)),$J4819-$M4819))</f>
      </c>
      <c r="O4819" s="43">
        <f>IF($I4819=0,0,INDEX(DarlErsatzRate,11))</f>
      </c>
      <c r="P4819" s="43">
        <f>IF($I4819=0,0,$Q4818*INDEX(DarlErsatzZins,11))</f>
      </c>
      <c r="Q4819" s="43">
        <f>IF($I4819=0,0,$Q4818+$P4819+$O4819)</f>
      </c>
      <c r="R4819" s="43">
        <f>IF($I4819=0,0,$J4819-$M4819-$N4819)</f>
      </c>
    </row>
    <row r="4820">
      <c r="A4820"/>
      <c r="B4820">
        <v>11</v>
      </c>
      <c r="C4820" s="43">
        <f>INDEX(DarlObj,11)</f>
      </c>
      <c r="D4820">
        <v>17</v>
      </c>
      <c r="E4820" s="51">
        <f>IF(INDEX(DarlBelegt,11)=0,0,EOMONTH(INDEX(DarlAuszahlung,11),16)+1)</f>
      </c>
      <c r="F4820" s="43">
        <f>IF($E4820=0,0,YEAR($E4820))</f>
      </c>
      <c r="G4820" s="43">
        <f>IF(INDEX(DarlBindung,11)="",1,IF($E4820&lt;=INDEX(DarlBindung,11),1,0))</f>
      </c>
      <c r="H4820" s="43">
        <f>IF($G4820=1,INDEX(DarlSollzins,11),INDEX(DarlAnschluss,11))</f>
      </c>
      <c r="I4820" s="43">
        <f>IF(INDEX(DarlBelegt,11)=0,0,IF(INDEX(DarlOhneTilgung,11)=1,IF(INDEX(DarlBindung,11)="",1,$G4820),IF($J4820&gt;0.005,1,0)))</f>
      </c>
      <c r="J4820" s="43">
        <f>IF($I4819=0,0,$R4819)</f>
      </c>
      <c r="K4820" s="43">
        <f>IF($I4820=0,0,IF(INDEX(DarlOhneTilgung,11)=1,0,IF(AND(INDEX(DarlTilgStart,11)&gt;0,$E4820=INDEX(DarlTilgStart,11)),$J4820*($H4820+INDEX(DarlTilgung,11))/100/12,IF(AND($G4820=0,$G4819=1),MAX($K4819,$J4820*($H4820+1)/100/12),$K4819))))</f>
      </c>
      <c r="L4820" s="43">
        <f>IF($I4820=0,0,$J4820*$H4820/100/12)</f>
      </c>
      <c r="M4820" s="43">
        <f>IF($I4820=0,0,IF(OR(INDEX(DarlOhneTilgung,11)=1,AND(INDEX(DarlTilgStart,11)&gt;0,$E4820&lt;INDEX(DarlTilgStart,11))),0,MIN(MAX(0,$K4820-$L4820),$J4820)))</f>
      </c>
      <c r="N4820" s="43">
        <f>IF($I4820=0,0,MIN(SUMIFS(SondBetrag,SondDarl,11,SondDatum,"&gt;="&amp;$E4820,SondDatum,"&lt;="&amp;EOMONTH($E4820,0)),$J4820-$M4820))</f>
      </c>
      <c r="O4820" s="43">
        <f>IF($I4820=0,0,INDEX(DarlErsatzRate,11))</f>
      </c>
      <c r="P4820" s="43">
        <f>IF($I4820=0,0,$Q4819*INDEX(DarlErsatzZins,11))</f>
      </c>
      <c r="Q4820" s="43">
        <f>IF($I4820=0,0,$Q4819+$P4820+$O4820)</f>
      </c>
      <c r="R4820" s="43">
        <f>IF($I4820=0,0,$J4820-$M4820-$N4820)</f>
      </c>
    </row>
    <row r="4821">
      <c r="A4821"/>
      <c r="B4821">
        <v>11</v>
      </c>
      <c r="C4821" s="43">
        <f>INDEX(DarlObj,11)</f>
      </c>
      <c r="D4821">
        <v>18</v>
      </c>
      <c r="E4821" s="51">
        <f>IF(INDEX(DarlBelegt,11)=0,0,EOMONTH(INDEX(DarlAuszahlung,11),17)+1)</f>
      </c>
      <c r="F4821" s="43">
        <f>IF($E4821=0,0,YEAR($E4821))</f>
      </c>
      <c r="G4821" s="43">
        <f>IF(INDEX(DarlBindung,11)="",1,IF($E4821&lt;=INDEX(DarlBindung,11),1,0))</f>
      </c>
      <c r="H4821" s="43">
        <f>IF($G4821=1,INDEX(DarlSollzins,11),INDEX(DarlAnschluss,11))</f>
      </c>
      <c r="I4821" s="43">
        <f>IF(INDEX(DarlBelegt,11)=0,0,IF(INDEX(DarlOhneTilgung,11)=1,IF(INDEX(DarlBindung,11)="",1,$G4821),IF($J4821&gt;0.005,1,0)))</f>
      </c>
      <c r="J4821" s="43">
        <f>IF($I4820=0,0,$R4820)</f>
      </c>
      <c r="K4821" s="43">
        <f>IF($I4821=0,0,IF(INDEX(DarlOhneTilgung,11)=1,0,IF(AND(INDEX(DarlTilgStart,11)&gt;0,$E4821=INDEX(DarlTilgStart,11)),$J4821*($H4821+INDEX(DarlTilgung,11))/100/12,IF(AND($G4821=0,$G4820=1),MAX($K4820,$J4821*($H4821+1)/100/12),$K4820))))</f>
      </c>
      <c r="L4821" s="43">
        <f>IF($I4821=0,0,$J4821*$H4821/100/12)</f>
      </c>
      <c r="M4821" s="43">
        <f>IF($I4821=0,0,IF(OR(INDEX(DarlOhneTilgung,11)=1,AND(INDEX(DarlTilgStart,11)&gt;0,$E4821&lt;INDEX(DarlTilgStart,11))),0,MIN(MAX(0,$K4821-$L4821),$J4821)))</f>
      </c>
      <c r="N4821" s="43">
        <f>IF($I4821=0,0,MIN(SUMIFS(SondBetrag,SondDarl,11,SondDatum,"&gt;="&amp;$E4821,SondDatum,"&lt;="&amp;EOMONTH($E4821,0)),$J4821-$M4821))</f>
      </c>
      <c r="O4821" s="43">
        <f>IF($I4821=0,0,INDEX(DarlErsatzRate,11))</f>
      </c>
      <c r="P4821" s="43">
        <f>IF($I4821=0,0,$Q4820*INDEX(DarlErsatzZins,11))</f>
      </c>
      <c r="Q4821" s="43">
        <f>IF($I4821=0,0,$Q4820+$P4821+$O4821)</f>
      </c>
      <c r="R4821" s="43">
        <f>IF($I4821=0,0,$J4821-$M4821-$N4821)</f>
      </c>
    </row>
    <row r="4822">
      <c r="A4822"/>
      <c r="B4822">
        <v>11</v>
      </c>
      <c r="C4822" s="43">
        <f>INDEX(DarlObj,11)</f>
      </c>
      <c r="D4822">
        <v>19</v>
      </c>
      <c r="E4822" s="51">
        <f>IF(INDEX(DarlBelegt,11)=0,0,EOMONTH(INDEX(DarlAuszahlung,11),18)+1)</f>
      </c>
      <c r="F4822" s="43">
        <f>IF($E4822=0,0,YEAR($E4822))</f>
      </c>
      <c r="G4822" s="43">
        <f>IF(INDEX(DarlBindung,11)="",1,IF($E4822&lt;=INDEX(DarlBindung,11),1,0))</f>
      </c>
      <c r="H4822" s="43">
        <f>IF($G4822=1,INDEX(DarlSollzins,11),INDEX(DarlAnschluss,11))</f>
      </c>
      <c r="I4822" s="43">
        <f>IF(INDEX(DarlBelegt,11)=0,0,IF(INDEX(DarlOhneTilgung,11)=1,IF(INDEX(DarlBindung,11)="",1,$G4822),IF($J4822&gt;0.005,1,0)))</f>
      </c>
      <c r="J4822" s="43">
        <f>IF($I4821=0,0,$R4821)</f>
      </c>
      <c r="K4822" s="43">
        <f>IF($I4822=0,0,IF(INDEX(DarlOhneTilgung,11)=1,0,IF(AND(INDEX(DarlTilgStart,11)&gt;0,$E4822=INDEX(DarlTilgStart,11)),$J4822*($H4822+INDEX(DarlTilgung,11))/100/12,IF(AND($G4822=0,$G4821=1),MAX($K4821,$J4822*($H4822+1)/100/12),$K4821))))</f>
      </c>
      <c r="L4822" s="43">
        <f>IF($I4822=0,0,$J4822*$H4822/100/12)</f>
      </c>
      <c r="M4822" s="43">
        <f>IF($I4822=0,0,IF(OR(INDEX(DarlOhneTilgung,11)=1,AND(INDEX(DarlTilgStart,11)&gt;0,$E4822&lt;INDEX(DarlTilgStart,11))),0,MIN(MAX(0,$K4822-$L4822),$J4822)))</f>
      </c>
      <c r="N4822" s="43">
        <f>IF($I4822=0,0,MIN(SUMIFS(SondBetrag,SondDarl,11,SondDatum,"&gt;="&amp;$E4822,SondDatum,"&lt;="&amp;EOMONTH($E4822,0)),$J4822-$M4822))</f>
      </c>
      <c r="O4822" s="43">
        <f>IF($I4822=0,0,INDEX(DarlErsatzRate,11))</f>
      </c>
      <c r="P4822" s="43">
        <f>IF($I4822=0,0,$Q4821*INDEX(DarlErsatzZins,11))</f>
      </c>
      <c r="Q4822" s="43">
        <f>IF($I4822=0,0,$Q4821+$P4822+$O4822)</f>
      </c>
      <c r="R4822" s="43">
        <f>IF($I4822=0,0,$J4822-$M4822-$N4822)</f>
      </c>
    </row>
    <row r="4823">
      <c r="A4823"/>
      <c r="B4823">
        <v>11</v>
      </c>
      <c r="C4823" s="43">
        <f>INDEX(DarlObj,11)</f>
      </c>
      <c r="D4823">
        <v>20</v>
      </c>
      <c r="E4823" s="51">
        <f>IF(INDEX(DarlBelegt,11)=0,0,EOMONTH(INDEX(DarlAuszahlung,11),19)+1)</f>
      </c>
      <c r="F4823" s="43">
        <f>IF($E4823=0,0,YEAR($E4823))</f>
      </c>
      <c r="G4823" s="43">
        <f>IF(INDEX(DarlBindung,11)="",1,IF($E4823&lt;=INDEX(DarlBindung,11),1,0))</f>
      </c>
      <c r="H4823" s="43">
        <f>IF($G4823=1,INDEX(DarlSollzins,11),INDEX(DarlAnschluss,11))</f>
      </c>
      <c r="I4823" s="43">
        <f>IF(INDEX(DarlBelegt,11)=0,0,IF(INDEX(DarlOhneTilgung,11)=1,IF(INDEX(DarlBindung,11)="",1,$G4823),IF($J4823&gt;0.005,1,0)))</f>
      </c>
      <c r="J4823" s="43">
        <f>IF($I4822=0,0,$R4822)</f>
      </c>
      <c r="K4823" s="43">
        <f>IF($I4823=0,0,IF(INDEX(DarlOhneTilgung,11)=1,0,IF(AND(INDEX(DarlTilgStart,11)&gt;0,$E4823=INDEX(DarlTilgStart,11)),$J4823*($H4823+INDEX(DarlTilgung,11))/100/12,IF(AND($G4823=0,$G4822=1),MAX($K4822,$J4823*($H4823+1)/100/12),$K4822))))</f>
      </c>
      <c r="L4823" s="43">
        <f>IF($I4823=0,0,$J4823*$H4823/100/12)</f>
      </c>
      <c r="M4823" s="43">
        <f>IF($I4823=0,0,IF(OR(INDEX(DarlOhneTilgung,11)=1,AND(INDEX(DarlTilgStart,11)&gt;0,$E4823&lt;INDEX(DarlTilgStart,11))),0,MIN(MAX(0,$K4823-$L4823),$J4823)))</f>
      </c>
      <c r="N4823" s="43">
        <f>IF($I4823=0,0,MIN(SUMIFS(SondBetrag,SondDarl,11,SondDatum,"&gt;="&amp;$E4823,SondDatum,"&lt;="&amp;EOMONTH($E4823,0)),$J4823-$M4823))</f>
      </c>
      <c r="O4823" s="43">
        <f>IF($I4823=0,0,INDEX(DarlErsatzRate,11))</f>
      </c>
      <c r="P4823" s="43">
        <f>IF($I4823=0,0,$Q4822*INDEX(DarlErsatzZins,11))</f>
      </c>
      <c r="Q4823" s="43">
        <f>IF($I4823=0,0,$Q4822+$P4823+$O4823)</f>
      </c>
      <c r="R4823" s="43">
        <f>IF($I4823=0,0,$J4823-$M4823-$N4823)</f>
      </c>
    </row>
    <row r="4824">
      <c r="A4824"/>
      <c r="B4824">
        <v>11</v>
      </c>
      <c r="C4824" s="43">
        <f>INDEX(DarlObj,11)</f>
      </c>
      <c r="D4824">
        <v>21</v>
      </c>
      <c r="E4824" s="51">
        <f>IF(INDEX(DarlBelegt,11)=0,0,EOMONTH(INDEX(DarlAuszahlung,11),20)+1)</f>
      </c>
      <c r="F4824" s="43">
        <f>IF($E4824=0,0,YEAR($E4824))</f>
      </c>
      <c r="G4824" s="43">
        <f>IF(INDEX(DarlBindung,11)="",1,IF($E4824&lt;=INDEX(DarlBindung,11),1,0))</f>
      </c>
      <c r="H4824" s="43">
        <f>IF($G4824=1,INDEX(DarlSollzins,11),INDEX(DarlAnschluss,11))</f>
      </c>
      <c r="I4824" s="43">
        <f>IF(INDEX(DarlBelegt,11)=0,0,IF(INDEX(DarlOhneTilgung,11)=1,IF(INDEX(DarlBindung,11)="",1,$G4824),IF($J4824&gt;0.005,1,0)))</f>
      </c>
      <c r="J4824" s="43">
        <f>IF($I4823=0,0,$R4823)</f>
      </c>
      <c r="K4824" s="43">
        <f>IF($I4824=0,0,IF(INDEX(DarlOhneTilgung,11)=1,0,IF(AND(INDEX(DarlTilgStart,11)&gt;0,$E4824=INDEX(DarlTilgStart,11)),$J4824*($H4824+INDEX(DarlTilgung,11))/100/12,IF(AND($G4824=0,$G4823=1),MAX($K4823,$J4824*($H4824+1)/100/12),$K4823))))</f>
      </c>
      <c r="L4824" s="43">
        <f>IF($I4824=0,0,$J4824*$H4824/100/12)</f>
      </c>
      <c r="M4824" s="43">
        <f>IF($I4824=0,0,IF(OR(INDEX(DarlOhneTilgung,11)=1,AND(INDEX(DarlTilgStart,11)&gt;0,$E4824&lt;INDEX(DarlTilgStart,11))),0,MIN(MAX(0,$K4824-$L4824),$J4824)))</f>
      </c>
      <c r="N4824" s="43">
        <f>IF($I4824=0,0,MIN(SUMIFS(SondBetrag,SondDarl,11,SondDatum,"&gt;="&amp;$E4824,SondDatum,"&lt;="&amp;EOMONTH($E4824,0)),$J4824-$M4824))</f>
      </c>
      <c r="O4824" s="43">
        <f>IF($I4824=0,0,INDEX(DarlErsatzRate,11))</f>
      </c>
      <c r="P4824" s="43">
        <f>IF($I4824=0,0,$Q4823*INDEX(DarlErsatzZins,11))</f>
      </c>
      <c r="Q4824" s="43">
        <f>IF($I4824=0,0,$Q4823+$P4824+$O4824)</f>
      </c>
      <c r="R4824" s="43">
        <f>IF($I4824=0,0,$J4824-$M4824-$N4824)</f>
      </c>
    </row>
    <row r="4825">
      <c r="A4825"/>
      <c r="B4825">
        <v>11</v>
      </c>
      <c r="C4825" s="43">
        <f>INDEX(DarlObj,11)</f>
      </c>
      <c r="D4825">
        <v>22</v>
      </c>
      <c r="E4825" s="51">
        <f>IF(INDEX(DarlBelegt,11)=0,0,EOMONTH(INDEX(DarlAuszahlung,11),21)+1)</f>
      </c>
      <c r="F4825" s="43">
        <f>IF($E4825=0,0,YEAR($E4825))</f>
      </c>
      <c r="G4825" s="43">
        <f>IF(INDEX(DarlBindung,11)="",1,IF($E4825&lt;=INDEX(DarlBindung,11),1,0))</f>
      </c>
      <c r="H4825" s="43">
        <f>IF($G4825=1,INDEX(DarlSollzins,11),INDEX(DarlAnschluss,11))</f>
      </c>
      <c r="I4825" s="43">
        <f>IF(INDEX(DarlBelegt,11)=0,0,IF(INDEX(DarlOhneTilgung,11)=1,IF(INDEX(DarlBindung,11)="",1,$G4825),IF($J4825&gt;0.005,1,0)))</f>
      </c>
      <c r="J4825" s="43">
        <f>IF($I4824=0,0,$R4824)</f>
      </c>
      <c r="K4825" s="43">
        <f>IF($I4825=0,0,IF(INDEX(DarlOhneTilgung,11)=1,0,IF(AND(INDEX(DarlTilgStart,11)&gt;0,$E4825=INDEX(DarlTilgStart,11)),$J4825*($H4825+INDEX(DarlTilgung,11))/100/12,IF(AND($G4825=0,$G4824=1),MAX($K4824,$J4825*($H4825+1)/100/12),$K4824))))</f>
      </c>
      <c r="L4825" s="43">
        <f>IF($I4825=0,0,$J4825*$H4825/100/12)</f>
      </c>
      <c r="M4825" s="43">
        <f>IF($I4825=0,0,IF(OR(INDEX(DarlOhneTilgung,11)=1,AND(INDEX(DarlTilgStart,11)&gt;0,$E4825&lt;INDEX(DarlTilgStart,11))),0,MIN(MAX(0,$K4825-$L4825),$J4825)))</f>
      </c>
      <c r="N4825" s="43">
        <f>IF($I4825=0,0,MIN(SUMIFS(SondBetrag,SondDarl,11,SondDatum,"&gt;="&amp;$E4825,SondDatum,"&lt;="&amp;EOMONTH($E4825,0)),$J4825-$M4825))</f>
      </c>
      <c r="O4825" s="43">
        <f>IF($I4825=0,0,INDEX(DarlErsatzRate,11))</f>
      </c>
      <c r="P4825" s="43">
        <f>IF($I4825=0,0,$Q4824*INDEX(DarlErsatzZins,11))</f>
      </c>
      <c r="Q4825" s="43">
        <f>IF($I4825=0,0,$Q4824+$P4825+$O4825)</f>
      </c>
      <c r="R4825" s="43">
        <f>IF($I4825=0,0,$J4825-$M4825-$N4825)</f>
      </c>
    </row>
    <row r="4826">
      <c r="A4826"/>
      <c r="B4826">
        <v>11</v>
      </c>
      <c r="C4826" s="43">
        <f>INDEX(DarlObj,11)</f>
      </c>
      <c r="D4826">
        <v>23</v>
      </c>
      <c r="E4826" s="51">
        <f>IF(INDEX(DarlBelegt,11)=0,0,EOMONTH(INDEX(DarlAuszahlung,11),22)+1)</f>
      </c>
      <c r="F4826" s="43">
        <f>IF($E4826=0,0,YEAR($E4826))</f>
      </c>
      <c r="G4826" s="43">
        <f>IF(INDEX(DarlBindung,11)="",1,IF($E4826&lt;=INDEX(DarlBindung,11),1,0))</f>
      </c>
      <c r="H4826" s="43">
        <f>IF($G4826=1,INDEX(DarlSollzins,11),INDEX(DarlAnschluss,11))</f>
      </c>
      <c r="I4826" s="43">
        <f>IF(INDEX(DarlBelegt,11)=0,0,IF(INDEX(DarlOhneTilgung,11)=1,IF(INDEX(DarlBindung,11)="",1,$G4826),IF($J4826&gt;0.005,1,0)))</f>
      </c>
      <c r="J4826" s="43">
        <f>IF($I4825=0,0,$R4825)</f>
      </c>
      <c r="K4826" s="43">
        <f>IF($I4826=0,0,IF(INDEX(DarlOhneTilgung,11)=1,0,IF(AND(INDEX(DarlTilgStart,11)&gt;0,$E4826=INDEX(DarlTilgStart,11)),$J4826*($H4826+INDEX(DarlTilgung,11))/100/12,IF(AND($G4826=0,$G4825=1),MAX($K4825,$J4826*($H4826+1)/100/12),$K4825))))</f>
      </c>
      <c r="L4826" s="43">
        <f>IF($I4826=0,0,$J4826*$H4826/100/12)</f>
      </c>
      <c r="M4826" s="43">
        <f>IF($I4826=0,0,IF(OR(INDEX(DarlOhneTilgung,11)=1,AND(INDEX(DarlTilgStart,11)&gt;0,$E4826&lt;INDEX(DarlTilgStart,11))),0,MIN(MAX(0,$K4826-$L4826),$J4826)))</f>
      </c>
      <c r="N4826" s="43">
        <f>IF($I4826=0,0,MIN(SUMIFS(SondBetrag,SondDarl,11,SondDatum,"&gt;="&amp;$E4826,SondDatum,"&lt;="&amp;EOMONTH($E4826,0)),$J4826-$M4826))</f>
      </c>
      <c r="O4826" s="43">
        <f>IF($I4826=0,0,INDEX(DarlErsatzRate,11))</f>
      </c>
      <c r="P4826" s="43">
        <f>IF($I4826=0,0,$Q4825*INDEX(DarlErsatzZins,11))</f>
      </c>
      <c r="Q4826" s="43">
        <f>IF($I4826=0,0,$Q4825+$P4826+$O4826)</f>
      </c>
      <c r="R4826" s="43">
        <f>IF($I4826=0,0,$J4826-$M4826-$N4826)</f>
      </c>
    </row>
    <row r="4827">
      <c r="A4827"/>
      <c r="B4827">
        <v>11</v>
      </c>
      <c r="C4827" s="43">
        <f>INDEX(DarlObj,11)</f>
      </c>
      <c r="D4827">
        <v>24</v>
      </c>
      <c r="E4827" s="51">
        <f>IF(INDEX(DarlBelegt,11)=0,0,EOMONTH(INDEX(DarlAuszahlung,11),23)+1)</f>
      </c>
      <c r="F4827" s="43">
        <f>IF($E4827=0,0,YEAR($E4827))</f>
      </c>
      <c r="G4827" s="43">
        <f>IF(INDEX(DarlBindung,11)="",1,IF($E4827&lt;=INDEX(DarlBindung,11),1,0))</f>
      </c>
      <c r="H4827" s="43">
        <f>IF($G4827=1,INDEX(DarlSollzins,11),INDEX(DarlAnschluss,11))</f>
      </c>
      <c r="I4827" s="43">
        <f>IF(INDEX(DarlBelegt,11)=0,0,IF(INDEX(DarlOhneTilgung,11)=1,IF(INDEX(DarlBindung,11)="",1,$G4827),IF($J4827&gt;0.005,1,0)))</f>
      </c>
      <c r="J4827" s="43">
        <f>IF($I4826=0,0,$R4826)</f>
      </c>
      <c r="K4827" s="43">
        <f>IF($I4827=0,0,IF(INDEX(DarlOhneTilgung,11)=1,0,IF(AND(INDEX(DarlTilgStart,11)&gt;0,$E4827=INDEX(DarlTilgStart,11)),$J4827*($H4827+INDEX(DarlTilgung,11))/100/12,IF(AND($G4827=0,$G4826=1),MAX($K4826,$J4827*($H4827+1)/100/12),$K4826))))</f>
      </c>
      <c r="L4827" s="43">
        <f>IF($I4827=0,0,$J4827*$H4827/100/12)</f>
      </c>
      <c r="M4827" s="43">
        <f>IF($I4827=0,0,IF(OR(INDEX(DarlOhneTilgung,11)=1,AND(INDEX(DarlTilgStart,11)&gt;0,$E4827&lt;INDEX(DarlTilgStart,11))),0,MIN(MAX(0,$K4827-$L4827),$J4827)))</f>
      </c>
      <c r="N4827" s="43">
        <f>IF($I4827=0,0,MIN(SUMIFS(SondBetrag,SondDarl,11,SondDatum,"&gt;="&amp;$E4827,SondDatum,"&lt;="&amp;EOMONTH($E4827,0)),$J4827-$M4827))</f>
      </c>
      <c r="O4827" s="43">
        <f>IF($I4827=0,0,INDEX(DarlErsatzRate,11))</f>
      </c>
      <c r="P4827" s="43">
        <f>IF($I4827=0,0,$Q4826*INDEX(DarlErsatzZins,11))</f>
      </c>
      <c r="Q4827" s="43">
        <f>IF($I4827=0,0,$Q4826+$P4827+$O4827)</f>
      </c>
      <c r="R4827" s="43">
        <f>IF($I4827=0,0,$J4827-$M4827-$N4827)</f>
      </c>
    </row>
    <row r="4828">
      <c r="A4828"/>
      <c r="B4828">
        <v>11</v>
      </c>
      <c r="C4828" s="43">
        <f>INDEX(DarlObj,11)</f>
      </c>
      <c r="D4828">
        <v>25</v>
      </c>
      <c r="E4828" s="51">
        <f>IF(INDEX(DarlBelegt,11)=0,0,EOMONTH(INDEX(DarlAuszahlung,11),24)+1)</f>
      </c>
      <c r="F4828" s="43">
        <f>IF($E4828=0,0,YEAR($E4828))</f>
      </c>
      <c r="G4828" s="43">
        <f>IF(INDEX(DarlBindung,11)="",1,IF($E4828&lt;=INDEX(DarlBindung,11),1,0))</f>
      </c>
      <c r="H4828" s="43">
        <f>IF($G4828=1,INDEX(DarlSollzins,11),INDEX(DarlAnschluss,11))</f>
      </c>
      <c r="I4828" s="43">
        <f>IF(INDEX(DarlBelegt,11)=0,0,IF(INDEX(DarlOhneTilgung,11)=1,IF(INDEX(DarlBindung,11)="",1,$G4828),IF($J4828&gt;0.005,1,0)))</f>
      </c>
      <c r="J4828" s="43">
        <f>IF($I4827=0,0,$R4827)</f>
      </c>
      <c r="K4828" s="43">
        <f>IF($I4828=0,0,IF(INDEX(DarlOhneTilgung,11)=1,0,IF(AND(INDEX(DarlTilgStart,11)&gt;0,$E4828=INDEX(DarlTilgStart,11)),$J4828*($H4828+INDEX(DarlTilgung,11))/100/12,IF(AND($G4828=0,$G4827=1),MAX($K4827,$J4828*($H4828+1)/100/12),$K4827))))</f>
      </c>
      <c r="L4828" s="43">
        <f>IF($I4828=0,0,$J4828*$H4828/100/12)</f>
      </c>
      <c r="M4828" s="43">
        <f>IF($I4828=0,0,IF(OR(INDEX(DarlOhneTilgung,11)=1,AND(INDEX(DarlTilgStart,11)&gt;0,$E4828&lt;INDEX(DarlTilgStart,11))),0,MIN(MAX(0,$K4828-$L4828),$J4828)))</f>
      </c>
      <c r="N4828" s="43">
        <f>IF($I4828=0,0,MIN(SUMIFS(SondBetrag,SondDarl,11,SondDatum,"&gt;="&amp;$E4828,SondDatum,"&lt;="&amp;EOMONTH($E4828,0)),$J4828-$M4828))</f>
      </c>
      <c r="O4828" s="43">
        <f>IF($I4828=0,0,INDEX(DarlErsatzRate,11))</f>
      </c>
      <c r="P4828" s="43">
        <f>IF($I4828=0,0,$Q4827*INDEX(DarlErsatzZins,11))</f>
      </c>
      <c r="Q4828" s="43">
        <f>IF($I4828=0,0,$Q4827+$P4828+$O4828)</f>
      </c>
      <c r="R4828" s="43">
        <f>IF($I4828=0,0,$J4828-$M4828-$N4828)</f>
      </c>
    </row>
    <row r="4829">
      <c r="A4829"/>
      <c r="B4829">
        <v>11</v>
      </c>
      <c r="C4829" s="43">
        <f>INDEX(DarlObj,11)</f>
      </c>
      <c r="D4829">
        <v>26</v>
      </c>
      <c r="E4829" s="51">
        <f>IF(INDEX(DarlBelegt,11)=0,0,EOMONTH(INDEX(DarlAuszahlung,11),25)+1)</f>
      </c>
      <c r="F4829" s="43">
        <f>IF($E4829=0,0,YEAR($E4829))</f>
      </c>
      <c r="G4829" s="43">
        <f>IF(INDEX(DarlBindung,11)="",1,IF($E4829&lt;=INDEX(DarlBindung,11),1,0))</f>
      </c>
      <c r="H4829" s="43">
        <f>IF($G4829=1,INDEX(DarlSollzins,11),INDEX(DarlAnschluss,11))</f>
      </c>
      <c r="I4829" s="43">
        <f>IF(INDEX(DarlBelegt,11)=0,0,IF(INDEX(DarlOhneTilgung,11)=1,IF(INDEX(DarlBindung,11)="",1,$G4829),IF($J4829&gt;0.005,1,0)))</f>
      </c>
      <c r="J4829" s="43">
        <f>IF($I4828=0,0,$R4828)</f>
      </c>
      <c r="K4829" s="43">
        <f>IF($I4829=0,0,IF(INDEX(DarlOhneTilgung,11)=1,0,IF(AND(INDEX(DarlTilgStart,11)&gt;0,$E4829=INDEX(DarlTilgStart,11)),$J4829*($H4829+INDEX(DarlTilgung,11))/100/12,IF(AND($G4829=0,$G4828=1),MAX($K4828,$J4829*($H4829+1)/100/12),$K4828))))</f>
      </c>
      <c r="L4829" s="43">
        <f>IF($I4829=0,0,$J4829*$H4829/100/12)</f>
      </c>
      <c r="M4829" s="43">
        <f>IF($I4829=0,0,IF(OR(INDEX(DarlOhneTilgung,11)=1,AND(INDEX(DarlTilgStart,11)&gt;0,$E4829&lt;INDEX(DarlTilgStart,11))),0,MIN(MAX(0,$K4829-$L4829),$J4829)))</f>
      </c>
      <c r="N4829" s="43">
        <f>IF($I4829=0,0,MIN(SUMIFS(SondBetrag,SondDarl,11,SondDatum,"&gt;="&amp;$E4829,SondDatum,"&lt;="&amp;EOMONTH($E4829,0)),$J4829-$M4829))</f>
      </c>
      <c r="O4829" s="43">
        <f>IF($I4829=0,0,INDEX(DarlErsatzRate,11))</f>
      </c>
      <c r="P4829" s="43">
        <f>IF($I4829=0,0,$Q4828*INDEX(DarlErsatzZins,11))</f>
      </c>
      <c r="Q4829" s="43">
        <f>IF($I4829=0,0,$Q4828+$P4829+$O4829)</f>
      </c>
      <c r="R4829" s="43">
        <f>IF($I4829=0,0,$J4829-$M4829-$N4829)</f>
      </c>
    </row>
    <row r="4830">
      <c r="A4830"/>
      <c r="B4830">
        <v>11</v>
      </c>
      <c r="C4830" s="43">
        <f>INDEX(DarlObj,11)</f>
      </c>
      <c r="D4830">
        <v>27</v>
      </c>
      <c r="E4830" s="51">
        <f>IF(INDEX(DarlBelegt,11)=0,0,EOMONTH(INDEX(DarlAuszahlung,11),26)+1)</f>
      </c>
      <c r="F4830" s="43">
        <f>IF($E4830=0,0,YEAR($E4830))</f>
      </c>
      <c r="G4830" s="43">
        <f>IF(INDEX(DarlBindung,11)="",1,IF($E4830&lt;=INDEX(DarlBindung,11),1,0))</f>
      </c>
      <c r="H4830" s="43">
        <f>IF($G4830=1,INDEX(DarlSollzins,11),INDEX(DarlAnschluss,11))</f>
      </c>
      <c r="I4830" s="43">
        <f>IF(INDEX(DarlBelegt,11)=0,0,IF(INDEX(DarlOhneTilgung,11)=1,IF(INDEX(DarlBindung,11)="",1,$G4830),IF($J4830&gt;0.005,1,0)))</f>
      </c>
      <c r="J4830" s="43">
        <f>IF($I4829=0,0,$R4829)</f>
      </c>
      <c r="K4830" s="43">
        <f>IF($I4830=0,0,IF(INDEX(DarlOhneTilgung,11)=1,0,IF(AND(INDEX(DarlTilgStart,11)&gt;0,$E4830=INDEX(DarlTilgStart,11)),$J4830*($H4830+INDEX(DarlTilgung,11))/100/12,IF(AND($G4830=0,$G4829=1),MAX($K4829,$J4830*($H4830+1)/100/12),$K4829))))</f>
      </c>
      <c r="L4830" s="43">
        <f>IF($I4830=0,0,$J4830*$H4830/100/12)</f>
      </c>
      <c r="M4830" s="43">
        <f>IF($I4830=0,0,IF(OR(INDEX(DarlOhneTilgung,11)=1,AND(INDEX(DarlTilgStart,11)&gt;0,$E4830&lt;INDEX(DarlTilgStart,11))),0,MIN(MAX(0,$K4830-$L4830),$J4830)))</f>
      </c>
      <c r="N4830" s="43">
        <f>IF($I4830=0,0,MIN(SUMIFS(SondBetrag,SondDarl,11,SondDatum,"&gt;="&amp;$E4830,SondDatum,"&lt;="&amp;EOMONTH($E4830,0)),$J4830-$M4830))</f>
      </c>
      <c r="O4830" s="43">
        <f>IF($I4830=0,0,INDEX(DarlErsatzRate,11))</f>
      </c>
      <c r="P4830" s="43">
        <f>IF($I4830=0,0,$Q4829*INDEX(DarlErsatzZins,11))</f>
      </c>
      <c r="Q4830" s="43">
        <f>IF($I4830=0,0,$Q4829+$P4830+$O4830)</f>
      </c>
      <c r="R4830" s="43">
        <f>IF($I4830=0,0,$J4830-$M4830-$N4830)</f>
      </c>
    </row>
    <row r="4831">
      <c r="A4831"/>
      <c r="B4831">
        <v>11</v>
      </c>
      <c r="C4831" s="43">
        <f>INDEX(DarlObj,11)</f>
      </c>
      <c r="D4831">
        <v>28</v>
      </c>
      <c r="E4831" s="51">
        <f>IF(INDEX(DarlBelegt,11)=0,0,EOMONTH(INDEX(DarlAuszahlung,11),27)+1)</f>
      </c>
      <c r="F4831" s="43">
        <f>IF($E4831=0,0,YEAR($E4831))</f>
      </c>
      <c r="G4831" s="43">
        <f>IF(INDEX(DarlBindung,11)="",1,IF($E4831&lt;=INDEX(DarlBindung,11),1,0))</f>
      </c>
      <c r="H4831" s="43">
        <f>IF($G4831=1,INDEX(DarlSollzins,11),INDEX(DarlAnschluss,11))</f>
      </c>
      <c r="I4831" s="43">
        <f>IF(INDEX(DarlBelegt,11)=0,0,IF(INDEX(DarlOhneTilgung,11)=1,IF(INDEX(DarlBindung,11)="",1,$G4831),IF($J4831&gt;0.005,1,0)))</f>
      </c>
      <c r="J4831" s="43">
        <f>IF($I4830=0,0,$R4830)</f>
      </c>
      <c r="K4831" s="43">
        <f>IF($I4831=0,0,IF(INDEX(DarlOhneTilgung,11)=1,0,IF(AND(INDEX(DarlTilgStart,11)&gt;0,$E4831=INDEX(DarlTilgStart,11)),$J4831*($H4831+INDEX(DarlTilgung,11))/100/12,IF(AND($G4831=0,$G4830=1),MAX($K4830,$J4831*($H4831+1)/100/12),$K4830))))</f>
      </c>
      <c r="L4831" s="43">
        <f>IF($I4831=0,0,$J4831*$H4831/100/12)</f>
      </c>
      <c r="M4831" s="43">
        <f>IF($I4831=0,0,IF(OR(INDEX(DarlOhneTilgung,11)=1,AND(INDEX(DarlTilgStart,11)&gt;0,$E4831&lt;INDEX(DarlTilgStart,11))),0,MIN(MAX(0,$K4831-$L4831),$J4831)))</f>
      </c>
      <c r="N4831" s="43">
        <f>IF($I4831=0,0,MIN(SUMIFS(SondBetrag,SondDarl,11,SondDatum,"&gt;="&amp;$E4831,SondDatum,"&lt;="&amp;EOMONTH($E4831,0)),$J4831-$M4831))</f>
      </c>
      <c r="O4831" s="43">
        <f>IF($I4831=0,0,INDEX(DarlErsatzRate,11))</f>
      </c>
      <c r="P4831" s="43">
        <f>IF($I4831=0,0,$Q4830*INDEX(DarlErsatzZins,11))</f>
      </c>
      <c r="Q4831" s="43">
        <f>IF($I4831=0,0,$Q4830+$P4831+$O4831)</f>
      </c>
      <c r="R4831" s="43">
        <f>IF($I4831=0,0,$J4831-$M4831-$N4831)</f>
      </c>
    </row>
    <row r="4832">
      <c r="A4832"/>
      <c r="B4832">
        <v>11</v>
      </c>
      <c r="C4832" s="43">
        <f>INDEX(DarlObj,11)</f>
      </c>
      <c r="D4832">
        <v>29</v>
      </c>
      <c r="E4832" s="51">
        <f>IF(INDEX(DarlBelegt,11)=0,0,EOMONTH(INDEX(DarlAuszahlung,11),28)+1)</f>
      </c>
      <c r="F4832" s="43">
        <f>IF($E4832=0,0,YEAR($E4832))</f>
      </c>
      <c r="G4832" s="43">
        <f>IF(INDEX(DarlBindung,11)="",1,IF($E4832&lt;=INDEX(DarlBindung,11),1,0))</f>
      </c>
      <c r="H4832" s="43">
        <f>IF($G4832=1,INDEX(DarlSollzins,11),INDEX(DarlAnschluss,11))</f>
      </c>
      <c r="I4832" s="43">
        <f>IF(INDEX(DarlBelegt,11)=0,0,IF(INDEX(DarlOhneTilgung,11)=1,IF(INDEX(DarlBindung,11)="",1,$G4832),IF($J4832&gt;0.005,1,0)))</f>
      </c>
      <c r="J4832" s="43">
        <f>IF($I4831=0,0,$R4831)</f>
      </c>
      <c r="K4832" s="43">
        <f>IF($I4832=0,0,IF(INDEX(DarlOhneTilgung,11)=1,0,IF(AND(INDEX(DarlTilgStart,11)&gt;0,$E4832=INDEX(DarlTilgStart,11)),$J4832*($H4832+INDEX(DarlTilgung,11))/100/12,IF(AND($G4832=0,$G4831=1),MAX($K4831,$J4832*($H4832+1)/100/12),$K4831))))</f>
      </c>
      <c r="L4832" s="43">
        <f>IF($I4832=0,0,$J4832*$H4832/100/12)</f>
      </c>
      <c r="M4832" s="43">
        <f>IF($I4832=0,0,IF(OR(INDEX(DarlOhneTilgung,11)=1,AND(INDEX(DarlTilgStart,11)&gt;0,$E4832&lt;INDEX(DarlTilgStart,11))),0,MIN(MAX(0,$K4832-$L4832),$J4832)))</f>
      </c>
      <c r="N4832" s="43">
        <f>IF($I4832=0,0,MIN(SUMIFS(SondBetrag,SondDarl,11,SondDatum,"&gt;="&amp;$E4832,SondDatum,"&lt;="&amp;EOMONTH($E4832,0)),$J4832-$M4832))</f>
      </c>
      <c r="O4832" s="43">
        <f>IF($I4832=0,0,INDEX(DarlErsatzRate,11))</f>
      </c>
      <c r="P4832" s="43">
        <f>IF($I4832=0,0,$Q4831*INDEX(DarlErsatzZins,11))</f>
      </c>
      <c r="Q4832" s="43">
        <f>IF($I4832=0,0,$Q4831+$P4832+$O4832)</f>
      </c>
      <c r="R4832" s="43">
        <f>IF($I4832=0,0,$J4832-$M4832-$N4832)</f>
      </c>
    </row>
    <row r="4833">
      <c r="A4833"/>
      <c r="B4833">
        <v>11</v>
      </c>
      <c r="C4833" s="43">
        <f>INDEX(DarlObj,11)</f>
      </c>
      <c r="D4833">
        <v>30</v>
      </c>
      <c r="E4833" s="51">
        <f>IF(INDEX(DarlBelegt,11)=0,0,EOMONTH(INDEX(DarlAuszahlung,11),29)+1)</f>
      </c>
      <c r="F4833" s="43">
        <f>IF($E4833=0,0,YEAR($E4833))</f>
      </c>
      <c r="G4833" s="43">
        <f>IF(INDEX(DarlBindung,11)="",1,IF($E4833&lt;=INDEX(DarlBindung,11),1,0))</f>
      </c>
      <c r="H4833" s="43">
        <f>IF($G4833=1,INDEX(DarlSollzins,11),INDEX(DarlAnschluss,11))</f>
      </c>
      <c r="I4833" s="43">
        <f>IF(INDEX(DarlBelegt,11)=0,0,IF(INDEX(DarlOhneTilgung,11)=1,IF(INDEX(DarlBindung,11)="",1,$G4833),IF($J4833&gt;0.005,1,0)))</f>
      </c>
      <c r="J4833" s="43">
        <f>IF($I4832=0,0,$R4832)</f>
      </c>
      <c r="K4833" s="43">
        <f>IF($I4833=0,0,IF(INDEX(DarlOhneTilgung,11)=1,0,IF(AND(INDEX(DarlTilgStart,11)&gt;0,$E4833=INDEX(DarlTilgStart,11)),$J4833*($H4833+INDEX(DarlTilgung,11))/100/12,IF(AND($G4833=0,$G4832=1),MAX($K4832,$J4833*($H4833+1)/100/12),$K4832))))</f>
      </c>
      <c r="L4833" s="43">
        <f>IF($I4833=0,0,$J4833*$H4833/100/12)</f>
      </c>
      <c r="M4833" s="43">
        <f>IF($I4833=0,0,IF(OR(INDEX(DarlOhneTilgung,11)=1,AND(INDEX(DarlTilgStart,11)&gt;0,$E4833&lt;INDEX(DarlTilgStart,11))),0,MIN(MAX(0,$K4833-$L4833),$J4833)))</f>
      </c>
      <c r="N4833" s="43">
        <f>IF($I4833=0,0,MIN(SUMIFS(SondBetrag,SondDarl,11,SondDatum,"&gt;="&amp;$E4833,SondDatum,"&lt;="&amp;EOMONTH($E4833,0)),$J4833-$M4833))</f>
      </c>
      <c r="O4833" s="43">
        <f>IF($I4833=0,0,INDEX(DarlErsatzRate,11))</f>
      </c>
      <c r="P4833" s="43">
        <f>IF($I4833=0,0,$Q4832*INDEX(DarlErsatzZins,11))</f>
      </c>
      <c r="Q4833" s="43">
        <f>IF($I4833=0,0,$Q4832+$P4833+$O4833)</f>
      </c>
      <c r="R4833" s="43">
        <f>IF($I4833=0,0,$J4833-$M4833-$N4833)</f>
      </c>
    </row>
    <row r="4834">
      <c r="A4834"/>
      <c r="B4834">
        <v>11</v>
      </c>
      <c r="C4834" s="43">
        <f>INDEX(DarlObj,11)</f>
      </c>
      <c r="D4834">
        <v>31</v>
      </c>
      <c r="E4834" s="51">
        <f>IF(INDEX(DarlBelegt,11)=0,0,EOMONTH(INDEX(DarlAuszahlung,11),30)+1)</f>
      </c>
      <c r="F4834" s="43">
        <f>IF($E4834=0,0,YEAR($E4834))</f>
      </c>
      <c r="G4834" s="43">
        <f>IF(INDEX(DarlBindung,11)="",1,IF($E4834&lt;=INDEX(DarlBindung,11),1,0))</f>
      </c>
      <c r="H4834" s="43">
        <f>IF($G4834=1,INDEX(DarlSollzins,11),INDEX(DarlAnschluss,11))</f>
      </c>
      <c r="I4834" s="43">
        <f>IF(INDEX(DarlBelegt,11)=0,0,IF(INDEX(DarlOhneTilgung,11)=1,IF(INDEX(DarlBindung,11)="",1,$G4834),IF($J4834&gt;0.005,1,0)))</f>
      </c>
      <c r="J4834" s="43">
        <f>IF($I4833=0,0,$R4833)</f>
      </c>
      <c r="K4834" s="43">
        <f>IF($I4834=0,0,IF(INDEX(DarlOhneTilgung,11)=1,0,IF(AND(INDEX(DarlTilgStart,11)&gt;0,$E4834=INDEX(DarlTilgStart,11)),$J4834*($H4834+INDEX(DarlTilgung,11))/100/12,IF(AND($G4834=0,$G4833=1),MAX($K4833,$J4834*($H4834+1)/100/12),$K4833))))</f>
      </c>
      <c r="L4834" s="43">
        <f>IF($I4834=0,0,$J4834*$H4834/100/12)</f>
      </c>
      <c r="M4834" s="43">
        <f>IF($I4834=0,0,IF(OR(INDEX(DarlOhneTilgung,11)=1,AND(INDEX(DarlTilgStart,11)&gt;0,$E4834&lt;INDEX(DarlTilgStart,11))),0,MIN(MAX(0,$K4834-$L4834),$J4834)))</f>
      </c>
      <c r="N4834" s="43">
        <f>IF($I4834=0,0,MIN(SUMIFS(SondBetrag,SondDarl,11,SondDatum,"&gt;="&amp;$E4834,SondDatum,"&lt;="&amp;EOMONTH($E4834,0)),$J4834-$M4834))</f>
      </c>
      <c r="O4834" s="43">
        <f>IF($I4834=0,0,INDEX(DarlErsatzRate,11))</f>
      </c>
      <c r="P4834" s="43">
        <f>IF($I4834=0,0,$Q4833*INDEX(DarlErsatzZins,11))</f>
      </c>
      <c r="Q4834" s="43">
        <f>IF($I4834=0,0,$Q4833+$P4834+$O4834)</f>
      </c>
      <c r="R4834" s="43">
        <f>IF($I4834=0,0,$J4834-$M4834-$N4834)</f>
      </c>
    </row>
    <row r="4835">
      <c r="A4835"/>
      <c r="B4835">
        <v>11</v>
      </c>
      <c r="C4835" s="43">
        <f>INDEX(DarlObj,11)</f>
      </c>
      <c r="D4835">
        <v>32</v>
      </c>
      <c r="E4835" s="51">
        <f>IF(INDEX(DarlBelegt,11)=0,0,EOMONTH(INDEX(DarlAuszahlung,11),31)+1)</f>
      </c>
      <c r="F4835" s="43">
        <f>IF($E4835=0,0,YEAR($E4835))</f>
      </c>
      <c r="G4835" s="43">
        <f>IF(INDEX(DarlBindung,11)="",1,IF($E4835&lt;=INDEX(DarlBindung,11),1,0))</f>
      </c>
      <c r="H4835" s="43">
        <f>IF($G4835=1,INDEX(DarlSollzins,11),INDEX(DarlAnschluss,11))</f>
      </c>
      <c r="I4835" s="43">
        <f>IF(INDEX(DarlBelegt,11)=0,0,IF(INDEX(DarlOhneTilgung,11)=1,IF(INDEX(DarlBindung,11)="",1,$G4835),IF($J4835&gt;0.005,1,0)))</f>
      </c>
      <c r="J4835" s="43">
        <f>IF($I4834=0,0,$R4834)</f>
      </c>
      <c r="K4835" s="43">
        <f>IF($I4835=0,0,IF(INDEX(DarlOhneTilgung,11)=1,0,IF(AND(INDEX(DarlTilgStart,11)&gt;0,$E4835=INDEX(DarlTilgStart,11)),$J4835*($H4835+INDEX(DarlTilgung,11))/100/12,IF(AND($G4835=0,$G4834=1),MAX($K4834,$J4835*($H4835+1)/100/12),$K4834))))</f>
      </c>
      <c r="L4835" s="43">
        <f>IF($I4835=0,0,$J4835*$H4835/100/12)</f>
      </c>
      <c r="M4835" s="43">
        <f>IF($I4835=0,0,IF(OR(INDEX(DarlOhneTilgung,11)=1,AND(INDEX(DarlTilgStart,11)&gt;0,$E4835&lt;INDEX(DarlTilgStart,11))),0,MIN(MAX(0,$K4835-$L4835),$J4835)))</f>
      </c>
      <c r="N4835" s="43">
        <f>IF($I4835=0,0,MIN(SUMIFS(SondBetrag,SondDarl,11,SondDatum,"&gt;="&amp;$E4835,SondDatum,"&lt;="&amp;EOMONTH($E4835,0)),$J4835-$M4835))</f>
      </c>
      <c r="O4835" s="43">
        <f>IF($I4835=0,0,INDEX(DarlErsatzRate,11))</f>
      </c>
      <c r="P4835" s="43">
        <f>IF($I4835=0,0,$Q4834*INDEX(DarlErsatzZins,11))</f>
      </c>
      <c r="Q4835" s="43">
        <f>IF($I4835=0,0,$Q4834+$P4835+$O4835)</f>
      </c>
      <c r="R4835" s="43">
        <f>IF($I4835=0,0,$J4835-$M4835-$N4835)</f>
      </c>
    </row>
    <row r="4836">
      <c r="A4836"/>
      <c r="B4836">
        <v>11</v>
      </c>
      <c r="C4836" s="43">
        <f>INDEX(DarlObj,11)</f>
      </c>
      <c r="D4836">
        <v>33</v>
      </c>
      <c r="E4836" s="51">
        <f>IF(INDEX(DarlBelegt,11)=0,0,EOMONTH(INDEX(DarlAuszahlung,11),32)+1)</f>
      </c>
      <c r="F4836" s="43">
        <f>IF($E4836=0,0,YEAR($E4836))</f>
      </c>
      <c r="G4836" s="43">
        <f>IF(INDEX(DarlBindung,11)="",1,IF($E4836&lt;=INDEX(DarlBindung,11),1,0))</f>
      </c>
      <c r="H4836" s="43">
        <f>IF($G4836=1,INDEX(DarlSollzins,11),INDEX(DarlAnschluss,11))</f>
      </c>
      <c r="I4836" s="43">
        <f>IF(INDEX(DarlBelegt,11)=0,0,IF(INDEX(DarlOhneTilgung,11)=1,IF(INDEX(DarlBindung,11)="",1,$G4836),IF($J4836&gt;0.005,1,0)))</f>
      </c>
      <c r="J4836" s="43">
        <f>IF($I4835=0,0,$R4835)</f>
      </c>
      <c r="K4836" s="43">
        <f>IF($I4836=0,0,IF(INDEX(DarlOhneTilgung,11)=1,0,IF(AND(INDEX(DarlTilgStart,11)&gt;0,$E4836=INDEX(DarlTilgStart,11)),$J4836*($H4836+INDEX(DarlTilgung,11))/100/12,IF(AND($G4836=0,$G4835=1),MAX($K4835,$J4836*($H4836+1)/100/12),$K4835))))</f>
      </c>
      <c r="L4836" s="43">
        <f>IF($I4836=0,0,$J4836*$H4836/100/12)</f>
      </c>
      <c r="M4836" s="43">
        <f>IF($I4836=0,0,IF(OR(INDEX(DarlOhneTilgung,11)=1,AND(INDEX(DarlTilgStart,11)&gt;0,$E4836&lt;INDEX(DarlTilgStart,11))),0,MIN(MAX(0,$K4836-$L4836),$J4836)))</f>
      </c>
      <c r="N4836" s="43">
        <f>IF($I4836=0,0,MIN(SUMIFS(SondBetrag,SondDarl,11,SondDatum,"&gt;="&amp;$E4836,SondDatum,"&lt;="&amp;EOMONTH($E4836,0)),$J4836-$M4836))</f>
      </c>
      <c r="O4836" s="43">
        <f>IF($I4836=0,0,INDEX(DarlErsatzRate,11))</f>
      </c>
      <c r="P4836" s="43">
        <f>IF($I4836=0,0,$Q4835*INDEX(DarlErsatzZins,11))</f>
      </c>
      <c r="Q4836" s="43">
        <f>IF($I4836=0,0,$Q4835+$P4836+$O4836)</f>
      </c>
      <c r="R4836" s="43">
        <f>IF($I4836=0,0,$J4836-$M4836-$N4836)</f>
      </c>
    </row>
    <row r="4837">
      <c r="A4837"/>
      <c r="B4837">
        <v>11</v>
      </c>
      <c r="C4837" s="43">
        <f>INDEX(DarlObj,11)</f>
      </c>
      <c r="D4837">
        <v>34</v>
      </c>
      <c r="E4837" s="51">
        <f>IF(INDEX(DarlBelegt,11)=0,0,EOMONTH(INDEX(DarlAuszahlung,11),33)+1)</f>
      </c>
      <c r="F4837" s="43">
        <f>IF($E4837=0,0,YEAR($E4837))</f>
      </c>
      <c r="G4837" s="43">
        <f>IF(INDEX(DarlBindung,11)="",1,IF($E4837&lt;=INDEX(DarlBindung,11),1,0))</f>
      </c>
      <c r="H4837" s="43">
        <f>IF($G4837=1,INDEX(DarlSollzins,11),INDEX(DarlAnschluss,11))</f>
      </c>
      <c r="I4837" s="43">
        <f>IF(INDEX(DarlBelegt,11)=0,0,IF(INDEX(DarlOhneTilgung,11)=1,IF(INDEX(DarlBindung,11)="",1,$G4837),IF($J4837&gt;0.005,1,0)))</f>
      </c>
      <c r="J4837" s="43">
        <f>IF($I4836=0,0,$R4836)</f>
      </c>
      <c r="K4837" s="43">
        <f>IF($I4837=0,0,IF(INDEX(DarlOhneTilgung,11)=1,0,IF(AND(INDEX(DarlTilgStart,11)&gt;0,$E4837=INDEX(DarlTilgStart,11)),$J4837*($H4837+INDEX(DarlTilgung,11))/100/12,IF(AND($G4837=0,$G4836=1),MAX($K4836,$J4837*($H4837+1)/100/12),$K4836))))</f>
      </c>
      <c r="L4837" s="43">
        <f>IF($I4837=0,0,$J4837*$H4837/100/12)</f>
      </c>
      <c r="M4837" s="43">
        <f>IF($I4837=0,0,IF(OR(INDEX(DarlOhneTilgung,11)=1,AND(INDEX(DarlTilgStart,11)&gt;0,$E4837&lt;INDEX(DarlTilgStart,11))),0,MIN(MAX(0,$K4837-$L4837),$J4837)))</f>
      </c>
      <c r="N4837" s="43">
        <f>IF($I4837=0,0,MIN(SUMIFS(SondBetrag,SondDarl,11,SondDatum,"&gt;="&amp;$E4837,SondDatum,"&lt;="&amp;EOMONTH($E4837,0)),$J4837-$M4837))</f>
      </c>
      <c r="O4837" s="43">
        <f>IF($I4837=0,0,INDEX(DarlErsatzRate,11))</f>
      </c>
      <c r="P4837" s="43">
        <f>IF($I4837=0,0,$Q4836*INDEX(DarlErsatzZins,11))</f>
      </c>
      <c r="Q4837" s="43">
        <f>IF($I4837=0,0,$Q4836+$P4837+$O4837)</f>
      </c>
      <c r="R4837" s="43">
        <f>IF($I4837=0,0,$J4837-$M4837-$N4837)</f>
      </c>
    </row>
    <row r="4838">
      <c r="A4838"/>
      <c r="B4838">
        <v>11</v>
      </c>
      <c r="C4838" s="43">
        <f>INDEX(DarlObj,11)</f>
      </c>
      <c r="D4838">
        <v>35</v>
      </c>
      <c r="E4838" s="51">
        <f>IF(INDEX(DarlBelegt,11)=0,0,EOMONTH(INDEX(DarlAuszahlung,11),34)+1)</f>
      </c>
      <c r="F4838" s="43">
        <f>IF($E4838=0,0,YEAR($E4838))</f>
      </c>
      <c r="G4838" s="43">
        <f>IF(INDEX(DarlBindung,11)="",1,IF($E4838&lt;=INDEX(DarlBindung,11),1,0))</f>
      </c>
      <c r="H4838" s="43">
        <f>IF($G4838=1,INDEX(DarlSollzins,11),INDEX(DarlAnschluss,11))</f>
      </c>
      <c r="I4838" s="43">
        <f>IF(INDEX(DarlBelegt,11)=0,0,IF(INDEX(DarlOhneTilgung,11)=1,IF(INDEX(DarlBindung,11)="",1,$G4838),IF($J4838&gt;0.005,1,0)))</f>
      </c>
      <c r="J4838" s="43">
        <f>IF($I4837=0,0,$R4837)</f>
      </c>
      <c r="K4838" s="43">
        <f>IF($I4838=0,0,IF(INDEX(DarlOhneTilgung,11)=1,0,IF(AND(INDEX(DarlTilgStart,11)&gt;0,$E4838=INDEX(DarlTilgStart,11)),$J4838*($H4838+INDEX(DarlTilgung,11))/100/12,IF(AND($G4838=0,$G4837=1),MAX($K4837,$J4838*($H4838+1)/100/12),$K4837))))</f>
      </c>
      <c r="L4838" s="43">
        <f>IF($I4838=0,0,$J4838*$H4838/100/12)</f>
      </c>
      <c r="M4838" s="43">
        <f>IF($I4838=0,0,IF(OR(INDEX(DarlOhneTilgung,11)=1,AND(INDEX(DarlTilgStart,11)&gt;0,$E4838&lt;INDEX(DarlTilgStart,11))),0,MIN(MAX(0,$K4838-$L4838),$J4838)))</f>
      </c>
      <c r="N4838" s="43">
        <f>IF($I4838=0,0,MIN(SUMIFS(SondBetrag,SondDarl,11,SondDatum,"&gt;="&amp;$E4838,SondDatum,"&lt;="&amp;EOMONTH($E4838,0)),$J4838-$M4838))</f>
      </c>
      <c r="O4838" s="43">
        <f>IF($I4838=0,0,INDEX(DarlErsatzRate,11))</f>
      </c>
      <c r="P4838" s="43">
        <f>IF($I4838=0,0,$Q4837*INDEX(DarlErsatzZins,11))</f>
      </c>
      <c r="Q4838" s="43">
        <f>IF($I4838=0,0,$Q4837+$P4838+$O4838)</f>
      </c>
      <c r="R4838" s="43">
        <f>IF($I4838=0,0,$J4838-$M4838-$N4838)</f>
      </c>
    </row>
    <row r="4839">
      <c r="A4839"/>
      <c r="B4839">
        <v>11</v>
      </c>
      <c r="C4839" s="43">
        <f>INDEX(DarlObj,11)</f>
      </c>
      <c r="D4839">
        <v>36</v>
      </c>
      <c r="E4839" s="51">
        <f>IF(INDEX(DarlBelegt,11)=0,0,EOMONTH(INDEX(DarlAuszahlung,11),35)+1)</f>
      </c>
      <c r="F4839" s="43">
        <f>IF($E4839=0,0,YEAR($E4839))</f>
      </c>
      <c r="G4839" s="43">
        <f>IF(INDEX(DarlBindung,11)="",1,IF($E4839&lt;=INDEX(DarlBindung,11),1,0))</f>
      </c>
      <c r="H4839" s="43">
        <f>IF($G4839=1,INDEX(DarlSollzins,11),INDEX(DarlAnschluss,11))</f>
      </c>
      <c r="I4839" s="43">
        <f>IF(INDEX(DarlBelegt,11)=0,0,IF(INDEX(DarlOhneTilgung,11)=1,IF(INDEX(DarlBindung,11)="",1,$G4839),IF($J4839&gt;0.005,1,0)))</f>
      </c>
      <c r="J4839" s="43">
        <f>IF($I4838=0,0,$R4838)</f>
      </c>
      <c r="K4839" s="43">
        <f>IF($I4839=0,0,IF(INDEX(DarlOhneTilgung,11)=1,0,IF(AND(INDEX(DarlTilgStart,11)&gt;0,$E4839=INDEX(DarlTilgStart,11)),$J4839*($H4839+INDEX(DarlTilgung,11))/100/12,IF(AND($G4839=0,$G4838=1),MAX($K4838,$J4839*($H4839+1)/100/12),$K4838))))</f>
      </c>
      <c r="L4839" s="43">
        <f>IF($I4839=0,0,$J4839*$H4839/100/12)</f>
      </c>
      <c r="M4839" s="43">
        <f>IF($I4839=0,0,IF(OR(INDEX(DarlOhneTilgung,11)=1,AND(INDEX(DarlTilgStart,11)&gt;0,$E4839&lt;INDEX(DarlTilgStart,11))),0,MIN(MAX(0,$K4839-$L4839),$J4839)))</f>
      </c>
      <c r="N4839" s="43">
        <f>IF($I4839=0,0,MIN(SUMIFS(SondBetrag,SondDarl,11,SondDatum,"&gt;="&amp;$E4839,SondDatum,"&lt;="&amp;EOMONTH($E4839,0)),$J4839-$M4839))</f>
      </c>
      <c r="O4839" s="43">
        <f>IF($I4839=0,0,INDEX(DarlErsatzRate,11))</f>
      </c>
      <c r="P4839" s="43">
        <f>IF($I4839=0,0,$Q4838*INDEX(DarlErsatzZins,11))</f>
      </c>
      <c r="Q4839" s="43">
        <f>IF($I4839=0,0,$Q4838+$P4839+$O4839)</f>
      </c>
      <c r="R4839" s="43">
        <f>IF($I4839=0,0,$J4839-$M4839-$N4839)</f>
      </c>
    </row>
    <row r="4840">
      <c r="A4840"/>
      <c r="B4840">
        <v>11</v>
      </c>
      <c r="C4840" s="43">
        <f>INDEX(DarlObj,11)</f>
      </c>
      <c r="D4840">
        <v>37</v>
      </c>
      <c r="E4840" s="51">
        <f>IF(INDEX(DarlBelegt,11)=0,0,EOMONTH(INDEX(DarlAuszahlung,11),36)+1)</f>
      </c>
      <c r="F4840" s="43">
        <f>IF($E4840=0,0,YEAR($E4840))</f>
      </c>
      <c r="G4840" s="43">
        <f>IF(INDEX(DarlBindung,11)="",1,IF($E4840&lt;=INDEX(DarlBindung,11),1,0))</f>
      </c>
      <c r="H4840" s="43">
        <f>IF($G4840=1,INDEX(DarlSollzins,11),INDEX(DarlAnschluss,11))</f>
      </c>
      <c r="I4840" s="43">
        <f>IF(INDEX(DarlBelegt,11)=0,0,IF(INDEX(DarlOhneTilgung,11)=1,IF(INDEX(DarlBindung,11)="",1,$G4840),IF($J4840&gt;0.005,1,0)))</f>
      </c>
      <c r="J4840" s="43">
        <f>IF($I4839=0,0,$R4839)</f>
      </c>
      <c r="K4840" s="43">
        <f>IF($I4840=0,0,IF(INDEX(DarlOhneTilgung,11)=1,0,IF(AND(INDEX(DarlTilgStart,11)&gt;0,$E4840=INDEX(DarlTilgStart,11)),$J4840*($H4840+INDEX(DarlTilgung,11))/100/12,IF(AND($G4840=0,$G4839=1),MAX($K4839,$J4840*($H4840+1)/100/12),$K4839))))</f>
      </c>
      <c r="L4840" s="43">
        <f>IF($I4840=0,0,$J4840*$H4840/100/12)</f>
      </c>
      <c r="M4840" s="43">
        <f>IF($I4840=0,0,IF(OR(INDEX(DarlOhneTilgung,11)=1,AND(INDEX(DarlTilgStart,11)&gt;0,$E4840&lt;INDEX(DarlTilgStart,11))),0,MIN(MAX(0,$K4840-$L4840),$J4840)))</f>
      </c>
      <c r="N4840" s="43">
        <f>IF($I4840=0,0,MIN(SUMIFS(SondBetrag,SondDarl,11,SondDatum,"&gt;="&amp;$E4840,SondDatum,"&lt;="&amp;EOMONTH($E4840,0)),$J4840-$M4840))</f>
      </c>
      <c r="O4840" s="43">
        <f>IF($I4840=0,0,INDEX(DarlErsatzRate,11))</f>
      </c>
      <c r="P4840" s="43">
        <f>IF($I4840=0,0,$Q4839*INDEX(DarlErsatzZins,11))</f>
      </c>
      <c r="Q4840" s="43">
        <f>IF($I4840=0,0,$Q4839+$P4840+$O4840)</f>
      </c>
      <c r="R4840" s="43">
        <f>IF($I4840=0,0,$J4840-$M4840-$N4840)</f>
      </c>
    </row>
    <row r="4841">
      <c r="A4841"/>
      <c r="B4841">
        <v>11</v>
      </c>
      <c r="C4841" s="43">
        <f>INDEX(DarlObj,11)</f>
      </c>
      <c r="D4841">
        <v>38</v>
      </c>
      <c r="E4841" s="51">
        <f>IF(INDEX(DarlBelegt,11)=0,0,EOMONTH(INDEX(DarlAuszahlung,11),37)+1)</f>
      </c>
      <c r="F4841" s="43">
        <f>IF($E4841=0,0,YEAR($E4841))</f>
      </c>
      <c r="G4841" s="43">
        <f>IF(INDEX(DarlBindung,11)="",1,IF($E4841&lt;=INDEX(DarlBindung,11),1,0))</f>
      </c>
      <c r="H4841" s="43">
        <f>IF($G4841=1,INDEX(DarlSollzins,11),INDEX(DarlAnschluss,11))</f>
      </c>
      <c r="I4841" s="43">
        <f>IF(INDEX(DarlBelegt,11)=0,0,IF(INDEX(DarlOhneTilgung,11)=1,IF(INDEX(DarlBindung,11)="",1,$G4841),IF($J4841&gt;0.005,1,0)))</f>
      </c>
      <c r="J4841" s="43">
        <f>IF($I4840=0,0,$R4840)</f>
      </c>
      <c r="K4841" s="43">
        <f>IF($I4841=0,0,IF(INDEX(DarlOhneTilgung,11)=1,0,IF(AND(INDEX(DarlTilgStart,11)&gt;0,$E4841=INDEX(DarlTilgStart,11)),$J4841*($H4841+INDEX(DarlTilgung,11))/100/12,IF(AND($G4841=0,$G4840=1),MAX($K4840,$J4841*($H4841+1)/100/12),$K4840))))</f>
      </c>
      <c r="L4841" s="43">
        <f>IF($I4841=0,0,$J4841*$H4841/100/12)</f>
      </c>
      <c r="M4841" s="43">
        <f>IF($I4841=0,0,IF(OR(INDEX(DarlOhneTilgung,11)=1,AND(INDEX(DarlTilgStart,11)&gt;0,$E4841&lt;INDEX(DarlTilgStart,11))),0,MIN(MAX(0,$K4841-$L4841),$J4841)))</f>
      </c>
      <c r="N4841" s="43">
        <f>IF($I4841=0,0,MIN(SUMIFS(SondBetrag,SondDarl,11,SondDatum,"&gt;="&amp;$E4841,SondDatum,"&lt;="&amp;EOMONTH($E4841,0)),$J4841-$M4841))</f>
      </c>
      <c r="O4841" s="43">
        <f>IF($I4841=0,0,INDEX(DarlErsatzRate,11))</f>
      </c>
      <c r="P4841" s="43">
        <f>IF($I4841=0,0,$Q4840*INDEX(DarlErsatzZins,11))</f>
      </c>
      <c r="Q4841" s="43">
        <f>IF($I4841=0,0,$Q4840+$P4841+$O4841)</f>
      </c>
      <c r="R4841" s="43">
        <f>IF($I4841=0,0,$J4841-$M4841-$N4841)</f>
      </c>
    </row>
    <row r="4842">
      <c r="A4842"/>
      <c r="B4842">
        <v>11</v>
      </c>
      <c r="C4842" s="43">
        <f>INDEX(DarlObj,11)</f>
      </c>
      <c r="D4842">
        <v>39</v>
      </c>
      <c r="E4842" s="51">
        <f>IF(INDEX(DarlBelegt,11)=0,0,EOMONTH(INDEX(DarlAuszahlung,11),38)+1)</f>
      </c>
      <c r="F4842" s="43">
        <f>IF($E4842=0,0,YEAR($E4842))</f>
      </c>
      <c r="G4842" s="43">
        <f>IF(INDEX(DarlBindung,11)="",1,IF($E4842&lt;=INDEX(DarlBindung,11),1,0))</f>
      </c>
      <c r="H4842" s="43">
        <f>IF($G4842=1,INDEX(DarlSollzins,11),INDEX(DarlAnschluss,11))</f>
      </c>
      <c r="I4842" s="43">
        <f>IF(INDEX(DarlBelegt,11)=0,0,IF(INDEX(DarlOhneTilgung,11)=1,IF(INDEX(DarlBindung,11)="",1,$G4842),IF($J4842&gt;0.005,1,0)))</f>
      </c>
      <c r="J4842" s="43">
        <f>IF($I4841=0,0,$R4841)</f>
      </c>
      <c r="K4842" s="43">
        <f>IF($I4842=0,0,IF(INDEX(DarlOhneTilgung,11)=1,0,IF(AND(INDEX(DarlTilgStart,11)&gt;0,$E4842=INDEX(DarlTilgStart,11)),$J4842*($H4842+INDEX(DarlTilgung,11))/100/12,IF(AND($G4842=0,$G4841=1),MAX($K4841,$J4842*($H4842+1)/100/12),$K4841))))</f>
      </c>
      <c r="L4842" s="43">
        <f>IF($I4842=0,0,$J4842*$H4842/100/12)</f>
      </c>
      <c r="M4842" s="43">
        <f>IF($I4842=0,0,IF(OR(INDEX(DarlOhneTilgung,11)=1,AND(INDEX(DarlTilgStart,11)&gt;0,$E4842&lt;INDEX(DarlTilgStart,11))),0,MIN(MAX(0,$K4842-$L4842),$J4842)))</f>
      </c>
      <c r="N4842" s="43">
        <f>IF($I4842=0,0,MIN(SUMIFS(SondBetrag,SondDarl,11,SondDatum,"&gt;="&amp;$E4842,SondDatum,"&lt;="&amp;EOMONTH($E4842,0)),$J4842-$M4842))</f>
      </c>
      <c r="O4842" s="43">
        <f>IF($I4842=0,0,INDEX(DarlErsatzRate,11))</f>
      </c>
      <c r="P4842" s="43">
        <f>IF($I4842=0,0,$Q4841*INDEX(DarlErsatzZins,11))</f>
      </c>
      <c r="Q4842" s="43">
        <f>IF($I4842=0,0,$Q4841+$P4842+$O4842)</f>
      </c>
      <c r="R4842" s="43">
        <f>IF($I4842=0,0,$J4842-$M4842-$N4842)</f>
      </c>
    </row>
    <row r="4843">
      <c r="A4843"/>
      <c r="B4843">
        <v>11</v>
      </c>
      <c r="C4843" s="43">
        <f>INDEX(DarlObj,11)</f>
      </c>
      <c r="D4843">
        <v>40</v>
      </c>
      <c r="E4843" s="51">
        <f>IF(INDEX(DarlBelegt,11)=0,0,EOMONTH(INDEX(DarlAuszahlung,11),39)+1)</f>
      </c>
      <c r="F4843" s="43">
        <f>IF($E4843=0,0,YEAR($E4843))</f>
      </c>
      <c r="G4843" s="43">
        <f>IF(INDEX(DarlBindung,11)="",1,IF($E4843&lt;=INDEX(DarlBindung,11),1,0))</f>
      </c>
      <c r="H4843" s="43">
        <f>IF($G4843=1,INDEX(DarlSollzins,11),INDEX(DarlAnschluss,11))</f>
      </c>
      <c r="I4843" s="43">
        <f>IF(INDEX(DarlBelegt,11)=0,0,IF(INDEX(DarlOhneTilgung,11)=1,IF(INDEX(DarlBindung,11)="",1,$G4843),IF($J4843&gt;0.005,1,0)))</f>
      </c>
      <c r="J4843" s="43">
        <f>IF($I4842=0,0,$R4842)</f>
      </c>
      <c r="K4843" s="43">
        <f>IF($I4843=0,0,IF(INDEX(DarlOhneTilgung,11)=1,0,IF(AND(INDEX(DarlTilgStart,11)&gt;0,$E4843=INDEX(DarlTilgStart,11)),$J4843*($H4843+INDEX(DarlTilgung,11))/100/12,IF(AND($G4843=0,$G4842=1),MAX($K4842,$J4843*($H4843+1)/100/12),$K4842))))</f>
      </c>
      <c r="L4843" s="43">
        <f>IF($I4843=0,0,$J4843*$H4843/100/12)</f>
      </c>
      <c r="M4843" s="43">
        <f>IF($I4843=0,0,IF(OR(INDEX(DarlOhneTilgung,11)=1,AND(INDEX(DarlTilgStart,11)&gt;0,$E4843&lt;INDEX(DarlTilgStart,11))),0,MIN(MAX(0,$K4843-$L4843),$J4843)))</f>
      </c>
      <c r="N4843" s="43">
        <f>IF($I4843=0,0,MIN(SUMIFS(SondBetrag,SondDarl,11,SondDatum,"&gt;="&amp;$E4843,SondDatum,"&lt;="&amp;EOMONTH($E4843,0)),$J4843-$M4843))</f>
      </c>
      <c r="O4843" s="43">
        <f>IF($I4843=0,0,INDEX(DarlErsatzRate,11))</f>
      </c>
      <c r="P4843" s="43">
        <f>IF($I4843=0,0,$Q4842*INDEX(DarlErsatzZins,11))</f>
      </c>
      <c r="Q4843" s="43">
        <f>IF($I4843=0,0,$Q4842+$P4843+$O4843)</f>
      </c>
      <c r="R4843" s="43">
        <f>IF($I4843=0,0,$J4843-$M4843-$N4843)</f>
      </c>
    </row>
    <row r="4844">
      <c r="A4844"/>
      <c r="B4844">
        <v>11</v>
      </c>
      <c r="C4844" s="43">
        <f>INDEX(DarlObj,11)</f>
      </c>
      <c r="D4844">
        <v>41</v>
      </c>
      <c r="E4844" s="51">
        <f>IF(INDEX(DarlBelegt,11)=0,0,EOMONTH(INDEX(DarlAuszahlung,11),40)+1)</f>
      </c>
      <c r="F4844" s="43">
        <f>IF($E4844=0,0,YEAR($E4844))</f>
      </c>
      <c r="G4844" s="43">
        <f>IF(INDEX(DarlBindung,11)="",1,IF($E4844&lt;=INDEX(DarlBindung,11),1,0))</f>
      </c>
      <c r="H4844" s="43">
        <f>IF($G4844=1,INDEX(DarlSollzins,11),INDEX(DarlAnschluss,11))</f>
      </c>
      <c r="I4844" s="43">
        <f>IF(INDEX(DarlBelegt,11)=0,0,IF(INDEX(DarlOhneTilgung,11)=1,IF(INDEX(DarlBindung,11)="",1,$G4844),IF($J4844&gt;0.005,1,0)))</f>
      </c>
      <c r="J4844" s="43">
        <f>IF($I4843=0,0,$R4843)</f>
      </c>
      <c r="K4844" s="43">
        <f>IF($I4844=0,0,IF(INDEX(DarlOhneTilgung,11)=1,0,IF(AND(INDEX(DarlTilgStart,11)&gt;0,$E4844=INDEX(DarlTilgStart,11)),$J4844*($H4844+INDEX(DarlTilgung,11))/100/12,IF(AND($G4844=0,$G4843=1),MAX($K4843,$J4844*($H4844+1)/100/12),$K4843))))</f>
      </c>
      <c r="L4844" s="43">
        <f>IF($I4844=0,0,$J4844*$H4844/100/12)</f>
      </c>
      <c r="M4844" s="43">
        <f>IF($I4844=0,0,IF(OR(INDEX(DarlOhneTilgung,11)=1,AND(INDEX(DarlTilgStart,11)&gt;0,$E4844&lt;INDEX(DarlTilgStart,11))),0,MIN(MAX(0,$K4844-$L4844),$J4844)))</f>
      </c>
      <c r="N4844" s="43">
        <f>IF($I4844=0,0,MIN(SUMIFS(SondBetrag,SondDarl,11,SondDatum,"&gt;="&amp;$E4844,SondDatum,"&lt;="&amp;EOMONTH($E4844,0)),$J4844-$M4844))</f>
      </c>
      <c r="O4844" s="43">
        <f>IF($I4844=0,0,INDEX(DarlErsatzRate,11))</f>
      </c>
      <c r="P4844" s="43">
        <f>IF($I4844=0,0,$Q4843*INDEX(DarlErsatzZins,11))</f>
      </c>
      <c r="Q4844" s="43">
        <f>IF($I4844=0,0,$Q4843+$P4844+$O4844)</f>
      </c>
      <c r="R4844" s="43">
        <f>IF($I4844=0,0,$J4844-$M4844-$N4844)</f>
      </c>
    </row>
    <row r="4845">
      <c r="A4845"/>
      <c r="B4845">
        <v>11</v>
      </c>
      <c r="C4845" s="43">
        <f>INDEX(DarlObj,11)</f>
      </c>
      <c r="D4845">
        <v>42</v>
      </c>
      <c r="E4845" s="51">
        <f>IF(INDEX(DarlBelegt,11)=0,0,EOMONTH(INDEX(DarlAuszahlung,11),41)+1)</f>
      </c>
      <c r="F4845" s="43">
        <f>IF($E4845=0,0,YEAR($E4845))</f>
      </c>
      <c r="G4845" s="43">
        <f>IF(INDEX(DarlBindung,11)="",1,IF($E4845&lt;=INDEX(DarlBindung,11),1,0))</f>
      </c>
      <c r="H4845" s="43">
        <f>IF($G4845=1,INDEX(DarlSollzins,11),INDEX(DarlAnschluss,11))</f>
      </c>
      <c r="I4845" s="43">
        <f>IF(INDEX(DarlBelegt,11)=0,0,IF(INDEX(DarlOhneTilgung,11)=1,IF(INDEX(DarlBindung,11)="",1,$G4845),IF($J4845&gt;0.005,1,0)))</f>
      </c>
      <c r="J4845" s="43">
        <f>IF($I4844=0,0,$R4844)</f>
      </c>
      <c r="K4845" s="43">
        <f>IF($I4845=0,0,IF(INDEX(DarlOhneTilgung,11)=1,0,IF(AND(INDEX(DarlTilgStart,11)&gt;0,$E4845=INDEX(DarlTilgStart,11)),$J4845*($H4845+INDEX(DarlTilgung,11))/100/12,IF(AND($G4845=0,$G4844=1),MAX($K4844,$J4845*($H4845+1)/100/12),$K4844))))</f>
      </c>
      <c r="L4845" s="43">
        <f>IF($I4845=0,0,$J4845*$H4845/100/12)</f>
      </c>
      <c r="M4845" s="43">
        <f>IF($I4845=0,0,IF(OR(INDEX(DarlOhneTilgung,11)=1,AND(INDEX(DarlTilgStart,11)&gt;0,$E4845&lt;INDEX(DarlTilgStart,11))),0,MIN(MAX(0,$K4845-$L4845),$J4845)))</f>
      </c>
      <c r="N4845" s="43">
        <f>IF($I4845=0,0,MIN(SUMIFS(SondBetrag,SondDarl,11,SondDatum,"&gt;="&amp;$E4845,SondDatum,"&lt;="&amp;EOMONTH($E4845,0)),$J4845-$M4845))</f>
      </c>
      <c r="O4845" s="43">
        <f>IF($I4845=0,0,INDEX(DarlErsatzRate,11))</f>
      </c>
      <c r="P4845" s="43">
        <f>IF($I4845=0,0,$Q4844*INDEX(DarlErsatzZins,11))</f>
      </c>
      <c r="Q4845" s="43">
        <f>IF($I4845=0,0,$Q4844+$P4845+$O4845)</f>
      </c>
      <c r="R4845" s="43">
        <f>IF($I4845=0,0,$J4845-$M4845-$N4845)</f>
      </c>
    </row>
    <row r="4846">
      <c r="A4846"/>
      <c r="B4846">
        <v>11</v>
      </c>
      <c r="C4846" s="43">
        <f>INDEX(DarlObj,11)</f>
      </c>
      <c r="D4846">
        <v>43</v>
      </c>
      <c r="E4846" s="51">
        <f>IF(INDEX(DarlBelegt,11)=0,0,EOMONTH(INDEX(DarlAuszahlung,11),42)+1)</f>
      </c>
      <c r="F4846" s="43">
        <f>IF($E4846=0,0,YEAR($E4846))</f>
      </c>
      <c r="G4846" s="43">
        <f>IF(INDEX(DarlBindung,11)="",1,IF($E4846&lt;=INDEX(DarlBindung,11),1,0))</f>
      </c>
      <c r="H4846" s="43">
        <f>IF($G4846=1,INDEX(DarlSollzins,11),INDEX(DarlAnschluss,11))</f>
      </c>
      <c r="I4846" s="43">
        <f>IF(INDEX(DarlBelegt,11)=0,0,IF(INDEX(DarlOhneTilgung,11)=1,IF(INDEX(DarlBindung,11)="",1,$G4846),IF($J4846&gt;0.005,1,0)))</f>
      </c>
      <c r="J4846" s="43">
        <f>IF($I4845=0,0,$R4845)</f>
      </c>
      <c r="K4846" s="43">
        <f>IF($I4846=0,0,IF(INDEX(DarlOhneTilgung,11)=1,0,IF(AND(INDEX(DarlTilgStart,11)&gt;0,$E4846=INDEX(DarlTilgStart,11)),$J4846*($H4846+INDEX(DarlTilgung,11))/100/12,IF(AND($G4846=0,$G4845=1),MAX($K4845,$J4846*($H4846+1)/100/12),$K4845))))</f>
      </c>
      <c r="L4846" s="43">
        <f>IF($I4846=0,0,$J4846*$H4846/100/12)</f>
      </c>
      <c r="M4846" s="43">
        <f>IF($I4846=0,0,IF(OR(INDEX(DarlOhneTilgung,11)=1,AND(INDEX(DarlTilgStart,11)&gt;0,$E4846&lt;INDEX(DarlTilgStart,11))),0,MIN(MAX(0,$K4846-$L4846),$J4846)))</f>
      </c>
      <c r="N4846" s="43">
        <f>IF($I4846=0,0,MIN(SUMIFS(SondBetrag,SondDarl,11,SondDatum,"&gt;="&amp;$E4846,SondDatum,"&lt;="&amp;EOMONTH($E4846,0)),$J4846-$M4846))</f>
      </c>
      <c r="O4846" s="43">
        <f>IF($I4846=0,0,INDEX(DarlErsatzRate,11))</f>
      </c>
      <c r="P4846" s="43">
        <f>IF($I4846=0,0,$Q4845*INDEX(DarlErsatzZins,11))</f>
      </c>
      <c r="Q4846" s="43">
        <f>IF($I4846=0,0,$Q4845+$P4846+$O4846)</f>
      </c>
      <c r="R4846" s="43">
        <f>IF($I4846=0,0,$J4846-$M4846-$N4846)</f>
      </c>
    </row>
    <row r="4847">
      <c r="A4847"/>
      <c r="B4847">
        <v>11</v>
      </c>
      <c r="C4847" s="43">
        <f>INDEX(DarlObj,11)</f>
      </c>
      <c r="D4847">
        <v>44</v>
      </c>
      <c r="E4847" s="51">
        <f>IF(INDEX(DarlBelegt,11)=0,0,EOMONTH(INDEX(DarlAuszahlung,11),43)+1)</f>
      </c>
      <c r="F4847" s="43">
        <f>IF($E4847=0,0,YEAR($E4847))</f>
      </c>
      <c r="G4847" s="43">
        <f>IF(INDEX(DarlBindung,11)="",1,IF($E4847&lt;=INDEX(DarlBindung,11),1,0))</f>
      </c>
      <c r="H4847" s="43">
        <f>IF($G4847=1,INDEX(DarlSollzins,11),INDEX(DarlAnschluss,11))</f>
      </c>
      <c r="I4847" s="43">
        <f>IF(INDEX(DarlBelegt,11)=0,0,IF(INDEX(DarlOhneTilgung,11)=1,IF(INDEX(DarlBindung,11)="",1,$G4847),IF($J4847&gt;0.005,1,0)))</f>
      </c>
      <c r="J4847" s="43">
        <f>IF($I4846=0,0,$R4846)</f>
      </c>
      <c r="K4847" s="43">
        <f>IF($I4847=0,0,IF(INDEX(DarlOhneTilgung,11)=1,0,IF(AND(INDEX(DarlTilgStart,11)&gt;0,$E4847=INDEX(DarlTilgStart,11)),$J4847*($H4847+INDEX(DarlTilgung,11))/100/12,IF(AND($G4847=0,$G4846=1),MAX($K4846,$J4847*($H4847+1)/100/12),$K4846))))</f>
      </c>
      <c r="L4847" s="43">
        <f>IF($I4847=0,0,$J4847*$H4847/100/12)</f>
      </c>
      <c r="M4847" s="43">
        <f>IF($I4847=0,0,IF(OR(INDEX(DarlOhneTilgung,11)=1,AND(INDEX(DarlTilgStart,11)&gt;0,$E4847&lt;INDEX(DarlTilgStart,11))),0,MIN(MAX(0,$K4847-$L4847),$J4847)))</f>
      </c>
      <c r="N4847" s="43">
        <f>IF($I4847=0,0,MIN(SUMIFS(SondBetrag,SondDarl,11,SondDatum,"&gt;="&amp;$E4847,SondDatum,"&lt;="&amp;EOMONTH($E4847,0)),$J4847-$M4847))</f>
      </c>
      <c r="O4847" s="43">
        <f>IF($I4847=0,0,INDEX(DarlErsatzRate,11))</f>
      </c>
      <c r="P4847" s="43">
        <f>IF($I4847=0,0,$Q4846*INDEX(DarlErsatzZins,11))</f>
      </c>
      <c r="Q4847" s="43">
        <f>IF($I4847=0,0,$Q4846+$P4847+$O4847)</f>
      </c>
      <c r="R4847" s="43">
        <f>IF($I4847=0,0,$J4847-$M4847-$N4847)</f>
      </c>
    </row>
    <row r="4848">
      <c r="A4848"/>
      <c r="B4848">
        <v>11</v>
      </c>
      <c r="C4848" s="43">
        <f>INDEX(DarlObj,11)</f>
      </c>
      <c r="D4848">
        <v>45</v>
      </c>
      <c r="E4848" s="51">
        <f>IF(INDEX(DarlBelegt,11)=0,0,EOMONTH(INDEX(DarlAuszahlung,11),44)+1)</f>
      </c>
      <c r="F4848" s="43">
        <f>IF($E4848=0,0,YEAR($E4848))</f>
      </c>
      <c r="G4848" s="43">
        <f>IF(INDEX(DarlBindung,11)="",1,IF($E4848&lt;=INDEX(DarlBindung,11),1,0))</f>
      </c>
      <c r="H4848" s="43">
        <f>IF($G4848=1,INDEX(DarlSollzins,11),INDEX(DarlAnschluss,11))</f>
      </c>
      <c r="I4848" s="43">
        <f>IF(INDEX(DarlBelegt,11)=0,0,IF(INDEX(DarlOhneTilgung,11)=1,IF(INDEX(DarlBindung,11)="",1,$G4848),IF($J4848&gt;0.005,1,0)))</f>
      </c>
      <c r="J4848" s="43">
        <f>IF($I4847=0,0,$R4847)</f>
      </c>
      <c r="K4848" s="43">
        <f>IF($I4848=0,0,IF(INDEX(DarlOhneTilgung,11)=1,0,IF(AND(INDEX(DarlTilgStart,11)&gt;0,$E4848=INDEX(DarlTilgStart,11)),$J4848*($H4848+INDEX(DarlTilgung,11))/100/12,IF(AND($G4848=0,$G4847=1),MAX($K4847,$J4848*($H4848+1)/100/12),$K4847))))</f>
      </c>
      <c r="L4848" s="43">
        <f>IF($I4848=0,0,$J4848*$H4848/100/12)</f>
      </c>
      <c r="M4848" s="43">
        <f>IF($I4848=0,0,IF(OR(INDEX(DarlOhneTilgung,11)=1,AND(INDEX(DarlTilgStart,11)&gt;0,$E4848&lt;INDEX(DarlTilgStart,11))),0,MIN(MAX(0,$K4848-$L4848),$J4848)))</f>
      </c>
      <c r="N4848" s="43">
        <f>IF($I4848=0,0,MIN(SUMIFS(SondBetrag,SondDarl,11,SondDatum,"&gt;="&amp;$E4848,SondDatum,"&lt;="&amp;EOMONTH($E4848,0)),$J4848-$M4848))</f>
      </c>
      <c r="O4848" s="43">
        <f>IF($I4848=0,0,INDEX(DarlErsatzRate,11))</f>
      </c>
      <c r="P4848" s="43">
        <f>IF($I4848=0,0,$Q4847*INDEX(DarlErsatzZins,11))</f>
      </c>
      <c r="Q4848" s="43">
        <f>IF($I4848=0,0,$Q4847+$P4848+$O4848)</f>
      </c>
      <c r="R4848" s="43">
        <f>IF($I4848=0,0,$J4848-$M4848-$N4848)</f>
      </c>
    </row>
    <row r="4849">
      <c r="A4849"/>
      <c r="B4849">
        <v>11</v>
      </c>
      <c r="C4849" s="43">
        <f>INDEX(DarlObj,11)</f>
      </c>
      <c r="D4849">
        <v>46</v>
      </c>
      <c r="E4849" s="51">
        <f>IF(INDEX(DarlBelegt,11)=0,0,EOMONTH(INDEX(DarlAuszahlung,11),45)+1)</f>
      </c>
      <c r="F4849" s="43">
        <f>IF($E4849=0,0,YEAR($E4849))</f>
      </c>
      <c r="G4849" s="43">
        <f>IF(INDEX(DarlBindung,11)="",1,IF($E4849&lt;=INDEX(DarlBindung,11),1,0))</f>
      </c>
      <c r="H4849" s="43">
        <f>IF($G4849=1,INDEX(DarlSollzins,11),INDEX(DarlAnschluss,11))</f>
      </c>
      <c r="I4849" s="43">
        <f>IF(INDEX(DarlBelegt,11)=0,0,IF(INDEX(DarlOhneTilgung,11)=1,IF(INDEX(DarlBindung,11)="",1,$G4849),IF($J4849&gt;0.005,1,0)))</f>
      </c>
      <c r="J4849" s="43">
        <f>IF($I4848=0,0,$R4848)</f>
      </c>
      <c r="K4849" s="43">
        <f>IF($I4849=0,0,IF(INDEX(DarlOhneTilgung,11)=1,0,IF(AND(INDEX(DarlTilgStart,11)&gt;0,$E4849=INDEX(DarlTilgStart,11)),$J4849*($H4849+INDEX(DarlTilgung,11))/100/12,IF(AND($G4849=0,$G4848=1),MAX($K4848,$J4849*($H4849+1)/100/12),$K4848))))</f>
      </c>
      <c r="L4849" s="43">
        <f>IF($I4849=0,0,$J4849*$H4849/100/12)</f>
      </c>
      <c r="M4849" s="43">
        <f>IF($I4849=0,0,IF(OR(INDEX(DarlOhneTilgung,11)=1,AND(INDEX(DarlTilgStart,11)&gt;0,$E4849&lt;INDEX(DarlTilgStart,11))),0,MIN(MAX(0,$K4849-$L4849),$J4849)))</f>
      </c>
      <c r="N4849" s="43">
        <f>IF($I4849=0,0,MIN(SUMIFS(SondBetrag,SondDarl,11,SondDatum,"&gt;="&amp;$E4849,SondDatum,"&lt;="&amp;EOMONTH($E4849,0)),$J4849-$M4849))</f>
      </c>
      <c r="O4849" s="43">
        <f>IF($I4849=0,0,INDEX(DarlErsatzRate,11))</f>
      </c>
      <c r="P4849" s="43">
        <f>IF($I4849=0,0,$Q4848*INDEX(DarlErsatzZins,11))</f>
      </c>
      <c r="Q4849" s="43">
        <f>IF($I4849=0,0,$Q4848+$P4849+$O4849)</f>
      </c>
      <c r="R4849" s="43">
        <f>IF($I4849=0,0,$J4849-$M4849-$N4849)</f>
      </c>
    </row>
    <row r="4850">
      <c r="A4850"/>
      <c r="B4850">
        <v>11</v>
      </c>
      <c r="C4850" s="43">
        <f>INDEX(DarlObj,11)</f>
      </c>
      <c r="D4850">
        <v>47</v>
      </c>
      <c r="E4850" s="51">
        <f>IF(INDEX(DarlBelegt,11)=0,0,EOMONTH(INDEX(DarlAuszahlung,11),46)+1)</f>
      </c>
      <c r="F4850" s="43">
        <f>IF($E4850=0,0,YEAR($E4850))</f>
      </c>
      <c r="G4850" s="43">
        <f>IF(INDEX(DarlBindung,11)="",1,IF($E4850&lt;=INDEX(DarlBindung,11),1,0))</f>
      </c>
      <c r="H4850" s="43">
        <f>IF($G4850=1,INDEX(DarlSollzins,11),INDEX(DarlAnschluss,11))</f>
      </c>
      <c r="I4850" s="43">
        <f>IF(INDEX(DarlBelegt,11)=0,0,IF(INDEX(DarlOhneTilgung,11)=1,IF(INDEX(DarlBindung,11)="",1,$G4850),IF($J4850&gt;0.005,1,0)))</f>
      </c>
      <c r="J4850" s="43">
        <f>IF($I4849=0,0,$R4849)</f>
      </c>
      <c r="K4850" s="43">
        <f>IF($I4850=0,0,IF(INDEX(DarlOhneTilgung,11)=1,0,IF(AND(INDEX(DarlTilgStart,11)&gt;0,$E4850=INDEX(DarlTilgStart,11)),$J4850*($H4850+INDEX(DarlTilgung,11))/100/12,IF(AND($G4850=0,$G4849=1),MAX($K4849,$J4850*($H4850+1)/100/12),$K4849))))</f>
      </c>
      <c r="L4850" s="43">
        <f>IF($I4850=0,0,$J4850*$H4850/100/12)</f>
      </c>
      <c r="M4850" s="43">
        <f>IF($I4850=0,0,IF(OR(INDEX(DarlOhneTilgung,11)=1,AND(INDEX(DarlTilgStart,11)&gt;0,$E4850&lt;INDEX(DarlTilgStart,11))),0,MIN(MAX(0,$K4850-$L4850),$J4850)))</f>
      </c>
      <c r="N4850" s="43">
        <f>IF($I4850=0,0,MIN(SUMIFS(SondBetrag,SondDarl,11,SondDatum,"&gt;="&amp;$E4850,SondDatum,"&lt;="&amp;EOMONTH($E4850,0)),$J4850-$M4850))</f>
      </c>
      <c r="O4850" s="43">
        <f>IF($I4850=0,0,INDEX(DarlErsatzRate,11))</f>
      </c>
      <c r="P4850" s="43">
        <f>IF($I4850=0,0,$Q4849*INDEX(DarlErsatzZins,11))</f>
      </c>
      <c r="Q4850" s="43">
        <f>IF($I4850=0,0,$Q4849+$P4850+$O4850)</f>
      </c>
      <c r="R4850" s="43">
        <f>IF($I4850=0,0,$J4850-$M4850-$N4850)</f>
      </c>
    </row>
    <row r="4851">
      <c r="A4851"/>
      <c r="B4851">
        <v>11</v>
      </c>
      <c r="C4851" s="43">
        <f>INDEX(DarlObj,11)</f>
      </c>
      <c r="D4851">
        <v>48</v>
      </c>
      <c r="E4851" s="51">
        <f>IF(INDEX(DarlBelegt,11)=0,0,EOMONTH(INDEX(DarlAuszahlung,11),47)+1)</f>
      </c>
      <c r="F4851" s="43">
        <f>IF($E4851=0,0,YEAR($E4851))</f>
      </c>
      <c r="G4851" s="43">
        <f>IF(INDEX(DarlBindung,11)="",1,IF($E4851&lt;=INDEX(DarlBindung,11),1,0))</f>
      </c>
      <c r="H4851" s="43">
        <f>IF($G4851=1,INDEX(DarlSollzins,11),INDEX(DarlAnschluss,11))</f>
      </c>
      <c r="I4851" s="43">
        <f>IF(INDEX(DarlBelegt,11)=0,0,IF(INDEX(DarlOhneTilgung,11)=1,IF(INDEX(DarlBindung,11)="",1,$G4851),IF($J4851&gt;0.005,1,0)))</f>
      </c>
      <c r="J4851" s="43">
        <f>IF($I4850=0,0,$R4850)</f>
      </c>
      <c r="K4851" s="43">
        <f>IF($I4851=0,0,IF(INDEX(DarlOhneTilgung,11)=1,0,IF(AND(INDEX(DarlTilgStart,11)&gt;0,$E4851=INDEX(DarlTilgStart,11)),$J4851*($H4851+INDEX(DarlTilgung,11))/100/12,IF(AND($G4851=0,$G4850=1),MAX($K4850,$J4851*($H4851+1)/100/12),$K4850))))</f>
      </c>
      <c r="L4851" s="43">
        <f>IF($I4851=0,0,$J4851*$H4851/100/12)</f>
      </c>
      <c r="M4851" s="43">
        <f>IF($I4851=0,0,IF(OR(INDEX(DarlOhneTilgung,11)=1,AND(INDEX(DarlTilgStart,11)&gt;0,$E4851&lt;INDEX(DarlTilgStart,11))),0,MIN(MAX(0,$K4851-$L4851),$J4851)))</f>
      </c>
      <c r="N4851" s="43">
        <f>IF($I4851=0,0,MIN(SUMIFS(SondBetrag,SondDarl,11,SondDatum,"&gt;="&amp;$E4851,SondDatum,"&lt;="&amp;EOMONTH($E4851,0)),$J4851-$M4851))</f>
      </c>
      <c r="O4851" s="43">
        <f>IF($I4851=0,0,INDEX(DarlErsatzRate,11))</f>
      </c>
      <c r="P4851" s="43">
        <f>IF($I4851=0,0,$Q4850*INDEX(DarlErsatzZins,11))</f>
      </c>
      <c r="Q4851" s="43">
        <f>IF($I4851=0,0,$Q4850+$P4851+$O4851)</f>
      </c>
      <c r="R4851" s="43">
        <f>IF($I4851=0,0,$J4851-$M4851-$N4851)</f>
      </c>
    </row>
    <row r="4852">
      <c r="A4852"/>
      <c r="B4852">
        <v>11</v>
      </c>
      <c r="C4852" s="43">
        <f>INDEX(DarlObj,11)</f>
      </c>
      <c r="D4852">
        <v>49</v>
      </c>
      <c r="E4852" s="51">
        <f>IF(INDEX(DarlBelegt,11)=0,0,EOMONTH(INDEX(DarlAuszahlung,11),48)+1)</f>
      </c>
      <c r="F4852" s="43">
        <f>IF($E4852=0,0,YEAR($E4852))</f>
      </c>
      <c r="G4852" s="43">
        <f>IF(INDEX(DarlBindung,11)="",1,IF($E4852&lt;=INDEX(DarlBindung,11),1,0))</f>
      </c>
      <c r="H4852" s="43">
        <f>IF($G4852=1,INDEX(DarlSollzins,11),INDEX(DarlAnschluss,11))</f>
      </c>
      <c r="I4852" s="43">
        <f>IF(INDEX(DarlBelegt,11)=0,0,IF(INDEX(DarlOhneTilgung,11)=1,IF(INDEX(DarlBindung,11)="",1,$G4852),IF($J4852&gt;0.005,1,0)))</f>
      </c>
      <c r="J4852" s="43">
        <f>IF($I4851=0,0,$R4851)</f>
      </c>
      <c r="K4852" s="43">
        <f>IF($I4852=0,0,IF(INDEX(DarlOhneTilgung,11)=1,0,IF(AND(INDEX(DarlTilgStart,11)&gt;0,$E4852=INDEX(DarlTilgStart,11)),$J4852*($H4852+INDEX(DarlTilgung,11))/100/12,IF(AND($G4852=0,$G4851=1),MAX($K4851,$J4852*($H4852+1)/100/12),$K4851))))</f>
      </c>
      <c r="L4852" s="43">
        <f>IF($I4852=0,0,$J4852*$H4852/100/12)</f>
      </c>
      <c r="M4852" s="43">
        <f>IF($I4852=0,0,IF(OR(INDEX(DarlOhneTilgung,11)=1,AND(INDEX(DarlTilgStart,11)&gt;0,$E4852&lt;INDEX(DarlTilgStart,11))),0,MIN(MAX(0,$K4852-$L4852),$J4852)))</f>
      </c>
      <c r="N4852" s="43">
        <f>IF($I4852=0,0,MIN(SUMIFS(SondBetrag,SondDarl,11,SondDatum,"&gt;="&amp;$E4852,SondDatum,"&lt;="&amp;EOMONTH($E4852,0)),$J4852-$M4852))</f>
      </c>
      <c r="O4852" s="43">
        <f>IF($I4852=0,0,INDEX(DarlErsatzRate,11))</f>
      </c>
      <c r="P4852" s="43">
        <f>IF($I4852=0,0,$Q4851*INDEX(DarlErsatzZins,11))</f>
      </c>
      <c r="Q4852" s="43">
        <f>IF($I4852=0,0,$Q4851+$P4852+$O4852)</f>
      </c>
      <c r="R4852" s="43">
        <f>IF($I4852=0,0,$J4852-$M4852-$N4852)</f>
      </c>
    </row>
    <row r="4853">
      <c r="A4853"/>
      <c r="B4853">
        <v>11</v>
      </c>
      <c r="C4853" s="43">
        <f>INDEX(DarlObj,11)</f>
      </c>
      <c r="D4853">
        <v>50</v>
      </c>
      <c r="E4853" s="51">
        <f>IF(INDEX(DarlBelegt,11)=0,0,EOMONTH(INDEX(DarlAuszahlung,11),49)+1)</f>
      </c>
      <c r="F4853" s="43">
        <f>IF($E4853=0,0,YEAR($E4853))</f>
      </c>
      <c r="G4853" s="43">
        <f>IF(INDEX(DarlBindung,11)="",1,IF($E4853&lt;=INDEX(DarlBindung,11),1,0))</f>
      </c>
      <c r="H4853" s="43">
        <f>IF($G4853=1,INDEX(DarlSollzins,11),INDEX(DarlAnschluss,11))</f>
      </c>
      <c r="I4853" s="43">
        <f>IF(INDEX(DarlBelegt,11)=0,0,IF(INDEX(DarlOhneTilgung,11)=1,IF(INDEX(DarlBindung,11)="",1,$G4853),IF($J4853&gt;0.005,1,0)))</f>
      </c>
      <c r="J4853" s="43">
        <f>IF($I4852=0,0,$R4852)</f>
      </c>
      <c r="K4853" s="43">
        <f>IF($I4853=0,0,IF(INDEX(DarlOhneTilgung,11)=1,0,IF(AND(INDEX(DarlTilgStart,11)&gt;0,$E4853=INDEX(DarlTilgStart,11)),$J4853*($H4853+INDEX(DarlTilgung,11))/100/12,IF(AND($G4853=0,$G4852=1),MAX($K4852,$J4853*($H4853+1)/100/12),$K4852))))</f>
      </c>
      <c r="L4853" s="43">
        <f>IF($I4853=0,0,$J4853*$H4853/100/12)</f>
      </c>
      <c r="M4853" s="43">
        <f>IF($I4853=0,0,IF(OR(INDEX(DarlOhneTilgung,11)=1,AND(INDEX(DarlTilgStart,11)&gt;0,$E4853&lt;INDEX(DarlTilgStart,11))),0,MIN(MAX(0,$K4853-$L4853),$J4853)))</f>
      </c>
      <c r="N4853" s="43">
        <f>IF($I4853=0,0,MIN(SUMIFS(SondBetrag,SondDarl,11,SondDatum,"&gt;="&amp;$E4853,SondDatum,"&lt;="&amp;EOMONTH($E4853,0)),$J4853-$M4853))</f>
      </c>
      <c r="O4853" s="43">
        <f>IF($I4853=0,0,INDEX(DarlErsatzRate,11))</f>
      </c>
      <c r="P4853" s="43">
        <f>IF($I4853=0,0,$Q4852*INDEX(DarlErsatzZins,11))</f>
      </c>
      <c r="Q4853" s="43">
        <f>IF($I4853=0,0,$Q4852+$P4853+$O4853)</f>
      </c>
      <c r="R4853" s="43">
        <f>IF($I4853=0,0,$J4853-$M4853-$N4853)</f>
      </c>
    </row>
    <row r="4854">
      <c r="A4854"/>
      <c r="B4854">
        <v>11</v>
      </c>
      <c r="C4854" s="43">
        <f>INDEX(DarlObj,11)</f>
      </c>
      <c r="D4854">
        <v>51</v>
      </c>
      <c r="E4854" s="51">
        <f>IF(INDEX(DarlBelegt,11)=0,0,EOMONTH(INDEX(DarlAuszahlung,11),50)+1)</f>
      </c>
      <c r="F4854" s="43">
        <f>IF($E4854=0,0,YEAR($E4854))</f>
      </c>
      <c r="G4854" s="43">
        <f>IF(INDEX(DarlBindung,11)="",1,IF($E4854&lt;=INDEX(DarlBindung,11),1,0))</f>
      </c>
      <c r="H4854" s="43">
        <f>IF($G4854=1,INDEX(DarlSollzins,11),INDEX(DarlAnschluss,11))</f>
      </c>
      <c r="I4854" s="43">
        <f>IF(INDEX(DarlBelegt,11)=0,0,IF(INDEX(DarlOhneTilgung,11)=1,IF(INDEX(DarlBindung,11)="",1,$G4854),IF($J4854&gt;0.005,1,0)))</f>
      </c>
      <c r="J4854" s="43">
        <f>IF($I4853=0,0,$R4853)</f>
      </c>
      <c r="K4854" s="43">
        <f>IF($I4854=0,0,IF(INDEX(DarlOhneTilgung,11)=1,0,IF(AND(INDEX(DarlTilgStart,11)&gt;0,$E4854=INDEX(DarlTilgStart,11)),$J4854*($H4854+INDEX(DarlTilgung,11))/100/12,IF(AND($G4854=0,$G4853=1),MAX($K4853,$J4854*($H4854+1)/100/12),$K4853))))</f>
      </c>
      <c r="L4854" s="43">
        <f>IF($I4854=0,0,$J4854*$H4854/100/12)</f>
      </c>
      <c r="M4854" s="43">
        <f>IF($I4854=0,0,IF(OR(INDEX(DarlOhneTilgung,11)=1,AND(INDEX(DarlTilgStart,11)&gt;0,$E4854&lt;INDEX(DarlTilgStart,11))),0,MIN(MAX(0,$K4854-$L4854),$J4854)))</f>
      </c>
      <c r="N4854" s="43">
        <f>IF($I4854=0,0,MIN(SUMIFS(SondBetrag,SondDarl,11,SondDatum,"&gt;="&amp;$E4854,SondDatum,"&lt;="&amp;EOMONTH($E4854,0)),$J4854-$M4854))</f>
      </c>
      <c r="O4854" s="43">
        <f>IF($I4854=0,0,INDEX(DarlErsatzRate,11))</f>
      </c>
      <c r="P4854" s="43">
        <f>IF($I4854=0,0,$Q4853*INDEX(DarlErsatzZins,11))</f>
      </c>
      <c r="Q4854" s="43">
        <f>IF($I4854=0,0,$Q4853+$P4854+$O4854)</f>
      </c>
      <c r="R4854" s="43">
        <f>IF($I4854=0,0,$J4854-$M4854-$N4854)</f>
      </c>
    </row>
    <row r="4855">
      <c r="A4855"/>
      <c r="B4855">
        <v>11</v>
      </c>
      <c r="C4855" s="43">
        <f>INDEX(DarlObj,11)</f>
      </c>
      <c r="D4855">
        <v>52</v>
      </c>
      <c r="E4855" s="51">
        <f>IF(INDEX(DarlBelegt,11)=0,0,EOMONTH(INDEX(DarlAuszahlung,11),51)+1)</f>
      </c>
      <c r="F4855" s="43">
        <f>IF($E4855=0,0,YEAR($E4855))</f>
      </c>
      <c r="G4855" s="43">
        <f>IF(INDEX(DarlBindung,11)="",1,IF($E4855&lt;=INDEX(DarlBindung,11),1,0))</f>
      </c>
      <c r="H4855" s="43">
        <f>IF($G4855=1,INDEX(DarlSollzins,11),INDEX(DarlAnschluss,11))</f>
      </c>
      <c r="I4855" s="43">
        <f>IF(INDEX(DarlBelegt,11)=0,0,IF(INDEX(DarlOhneTilgung,11)=1,IF(INDEX(DarlBindung,11)="",1,$G4855),IF($J4855&gt;0.005,1,0)))</f>
      </c>
      <c r="J4855" s="43">
        <f>IF($I4854=0,0,$R4854)</f>
      </c>
      <c r="K4855" s="43">
        <f>IF($I4855=0,0,IF(INDEX(DarlOhneTilgung,11)=1,0,IF(AND(INDEX(DarlTilgStart,11)&gt;0,$E4855=INDEX(DarlTilgStart,11)),$J4855*($H4855+INDEX(DarlTilgung,11))/100/12,IF(AND($G4855=0,$G4854=1),MAX($K4854,$J4855*($H4855+1)/100/12),$K4854))))</f>
      </c>
      <c r="L4855" s="43">
        <f>IF($I4855=0,0,$J4855*$H4855/100/12)</f>
      </c>
      <c r="M4855" s="43">
        <f>IF($I4855=0,0,IF(OR(INDEX(DarlOhneTilgung,11)=1,AND(INDEX(DarlTilgStart,11)&gt;0,$E4855&lt;INDEX(DarlTilgStart,11))),0,MIN(MAX(0,$K4855-$L4855),$J4855)))</f>
      </c>
      <c r="N4855" s="43">
        <f>IF($I4855=0,0,MIN(SUMIFS(SondBetrag,SondDarl,11,SondDatum,"&gt;="&amp;$E4855,SondDatum,"&lt;="&amp;EOMONTH($E4855,0)),$J4855-$M4855))</f>
      </c>
      <c r="O4855" s="43">
        <f>IF($I4855=0,0,INDEX(DarlErsatzRate,11))</f>
      </c>
      <c r="P4855" s="43">
        <f>IF($I4855=0,0,$Q4854*INDEX(DarlErsatzZins,11))</f>
      </c>
      <c r="Q4855" s="43">
        <f>IF($I4855=0,0,$Q4854+$P4855+$O4855)</f>
      </c>
      <c r="R4855" s="43">
        <f>IF($I4855=0,0,$J4855-$M4855-$N4855)</f>
      </c>
    </row>
    <row r="4856">
      <c r="A4856"/>
      <c r="B4856">
        <v>11</v>
      </c>
      <c r="C4856" s="43">
        <f>INDEX(DarlObj,11)</f>
      </c>
      <c r="D4856">
        <v>53</v>
      </c>
      <c r="E4856" s="51">
        <f>IF(INDEX(DarlBelegt,11)=0,0,EOMONTH(INDEX(DarlAuszahlung,11),52)+1)</f>
      </c>
      <c r="F4856" s="43">
        <f>IF($E4856=0,0,YEAR($E4856))</f>
      </c>
      <c r="G4856" s="43">
        <f>IF(INDEX(DarlBindung,11)="",1,IF($E4856&lt;=INDEX(DarlBindung,11),1,0))</f>
      </c>
      <c r="H4856" s="43">
        <f>IF($G4856=1,INDEX(DarlSollzins,11),INDEX(DarlAnschluss,11))</f>
      </c>
      <c r="I4856" s="43">
        <f>IF(INDEX(DarlBelegt,11)=0,0,IF(INDEX(DarlOhneTilgung,11)=1,IF(INDEX(DarlBindung,11)="",1,$G4856),IF($J4856&gt;0.005,1,0)))</f>
      </c>
      <c r="J4856" s="43">
        <f>IF($I4855=0,0,$R4855)</f>
      </c>
      <c r="K4856" s="43">
        <f>IF($I4856=0,0,IF(INDEX(DarlOhneTilgung,11)=1,0,IF(AND(INDEX(DarlTilgStart,11)&gt;0,$E4856=INDEX(DarlTilgStart,11)),$J4856*($H4856+INDEX(DarlTilgung,11))/100/12,IF(AND($G4856=0,$G4855=1),MAX($K4855,$J4856*($H4856+1)/100/12),$K4855))))</f>
      </c>
      <c r="L4856" s="43">
        <f>IF($I4856=0,0,$J4856*$H4856/100/12)</f>
      </c>
      <c r="M4856" s="43">
        <f>IF($I4856=0,0,IF(OR(INDEX(DarlOhneTilgung,11)=1,AND(INDEX(DarlTilgStart,11)&gt;0,$E4856&lt;INDEX(DarlTilgStart,11))),0,MIN(MAX(0,$K4856-$L4856),$J4856)))</f>
      </c>
      <c r="N4856" s="43">
        <f>IF($I4856=0,0,MIN(SUMIFS(SondBetrag,SondDarl,11,SondDatum,"&gt;="&amp;$E4856,SondDatum,"&lt;="&amp;EOMONTH($E4856,0)),$J4856-$M4856))</f>
      </c>
      <c r="O4856" s="43">
        <f>IF($I4856=0,0,INDEX(DarlErsatzRate,11))</f>
      </c>
      <c r="P4856" s="43">
        <f>IF($I4856=0,0,$Q4855*INDEX(DarlErsatzZins,11))</f>
      </c>
      <c r="Q4856" s="43">
        <f>IF($I4856=0,0,$Q4855+$P4856+$O4856)</f>
      </c>
      <c r="R4856" s="43">
        <f>IF($I4856=0,0,$J4856-$M4856-$N4856)</f>
      </c>
    </row>
    <row r="4857">
      <c r="A4857"/>
      <c r="B4857">
        <v>11</v>
      </c>
      <c r="C4857" s="43">
        <f>INDEX(DarlObj,11)</f>
      </c>
      <c r="D4857">
        <v>54</v>
      </c>
      <c r="E4857" s="51">
        <f>IF(INDEX(DarlBelegt,11)=0,0,EOMONTH(INDEX(DarlAuszahlung,11),53)+1)</f>
      </c>
      <c r="F4857" s="43">
        <f>IF($E4857=0,0,YEAR($E4857))</f>
      </c>
      <c r="G4857" s="43">
        <f>IF(INDEX(DarlBindung,11)="",1,IF($E4857&lt;=INDEX(DarlBindung,11),1,0))</f>
      </c>
      <c r="H4857" s="43">
        <f>IF($G4857=1,INDEX(DarlSollzins,11),INDEX(DarlAnschluss,11))</f>
      </c>
      <c r="I4857" s="43">
        <f>IF(INDEX(DarlBelegt,11)=0,0,IF(INDEX(DarlOhneTilgung,11)=1,IF(INDEX(DarlBindung,11)="",1,$G4857),IF($J4857&gt;0.005,1,0)))</f>
      </c>
      <c r="J4857" s="43">
        <f>IF($I4856=0,0,$R4856)</f>
      </c>
      <c r="K4857" s="43">
        <f>IF($I4857=0,0,IF(INDEX(DarlOhneTilgung,11)=1,0,IF(AND(INDEX(DarlTilgStart,11)&gt;0,$E4857=INDEX(DarlTilgStart,11)),$J4857*($H4857+INDEX(DarlTilgung,11))/100/12,IF(AND($G4857=0,$G4856=1),MAX($K4856,$J4857*($H4857+1)/100/12),$K4856))))</f>
      </c>
      <c r="L4857" s="43">
        <f>IF($I4857=0,0,$J4857*$H4857/100/12)</f>
      </c>
      <c r="M4857" s="43">
        <f>IF($I4857=0,0,IF(OR(INDEX(DarlOhneTilgung,11)=1,AND(INDEX(DarlTilgStart,11)&gt;0,$E4857&lt;INDEX(DarlTilgStart,11))),0,MIN(MAX(0,$K4857-$L4857),$J4857)))</f>
      </c>
      <c r="N4857" s="43">
        <f>IF($I4857=0,0,MIN(SUMIFS(SondBetrag,SondDarl,11,SondDatum,"&gt;="&amp;$E4857,SondDatum,"&lt;="&amp;EOMONTH($E4857,0)),$J4857-$M4857))</f>
      </c>
      <c r="O4857" s="43">
        <f>IF($I4857=0,0,INDEX(DarlErsatzRate,11))</f>
      </c>
      <c r="P4857" s="43">
        <f>IF($I4857=0,0,$Q4856*INDEX(DarlErsatzZins,11))</f>
      </c>
      <c r="Q4857" s="43">
        <f>IF($I4857=0,0,$Q4856+$P4857+$O4857)</f>
      </c>
      <c r="R4857" s="43">
        <f>IF($I4857=0,0,$J4857-$M4857-$N4857)</f>
      </c>
    </row>
    <row r="4858">
      <c r="A4858"/>
      <c r="B4858">
        <v>11</v>
      </c>
      <c r="C4858" s="43">
        <f>INDEX(DarlObj,11)</f>
      </c>
      <c r="D4858">
        <v>55</v>
      </c>
      <c r="E4858" s="51">
        <f>IF(INDEX(DarlBelegt,11)=0,0,EOMONTH(INDEX(DarlAuszahlung,11),54)+1)</f>
      </c>
      <c r="F4858" s="43">
        <f>IF($E4858=0,0,YEAR($E4858))</f>
      </c>
      <c r="G4858" s="43">
        <f>IF(INDEX(DarlBindung,11)="",1,IF($E4858&lt;=INDEX(DarlBindung,11),1,0))</f>
      </c>
      <c r="H4858" s="43">
        <f>IF($G4858=1,INDEX(DarlSollzins,11),INDEX(DarlAnschluss,11))</f>
      </c>
      <c r="I4858" s="43">
        <f>IF(INDEX(DarlBelegt,11)=0,0,IF(INDEX(DarlOhneTilgung,11)=1,IF(INDEX(DarlBindung,11)="",1,$G4858),IF($J4858&gt;0.005,1,0)))</f>
      </c>
      <c r="J4858" s="43">
        <f>IF($I4857=0,0,$R4857)</f>
      </c>
      <c r="K4858" s="43">
        <f>IF($I4858=0,0,IF(INDEX(DarlOhneTilgung,11)=1,0,IF(AND(INDEX(DarlTilgStart,11)&gt;0,$E4858=INDEX(DarlTilgStart,11)),$J4858*($H4858+INDEX(DarlTilgung,11))/100/12,IF(AND($G4858=0,$G4857=1),MAX($K4857,$J4858*($H4858+1)/100/12),$K4857))))</f>
      </c>
      <c r="L4858" s="43">
        <f>IF($I4858=0,0,$J4858*$H4858/100/12)</f>
      </c>
      <c r="M4858" s="43">
        <f>IF($I4858=0,0,IF(OR(INDEX(DarlOhneTilgung,11)=1,AND(INDEX(DarlTilgStart,11)&gt;0,$E4858&lt;INDEX(DarlTilgStart,11))),0,MIN(MAX(0,$K4858-$L4858),$J4858)))</f>
      </c>
      <c r="N4858" s="43">
        <f>IF($I4858=0,0,MIN(SUMIFS(SondBetrag,SondDarl,11,SondDatum,"&gt;="&amp;$E4858,SondDatum,"&lt;="&amp;EOMONTH($E4858,0)),$J4858-$M4858))</f>
      </c>
      <c r="O4858" s="43">
        <f>IF($I4858=0,0,INDEX(DarlErsatzRate,11))</f>
      </c>
      <c r="P4858" s="43">
        <f>IF($I4858=0,0,$Q4857*INDEX(DarlErsatzZins,11))</f>
      </c>
      <c r="Q4858" s="43">
        <f>IF($I4858=0,0,$Q4857+$P4858+$O4858)</f>
      </c>
      <c r="R4858" s="43">
        <f>IF($I4858=0,0,$J4858-$M4858-$N4858)</f>
      </c>
    </row>
    <row r="4859">
      <c r="A4859"/>
      <c r="B4859">
        <v>11</v>
      </c>
      <c r="C4859" s="43">
        <f>INDEX(DarlObj,11)</f>
      </c>
      <c r="D4859">
        <v>56</v>
      </c>
      <c r="E4859" s="51">
        <f>IF(INDEX(DarlBelegt,11)=0,0,EOMONTH(INDEX(DarlAuszahlung,11),55)+1)</f>
      </c>
      <c r="F4859" s="43">
        <f>IF($E4859=0,0,YEAR($E4859))</f>
      </c>
      <c r="G4859" s="43">
        <f>IF(INDEX(DarlBindung,11)="",1,IF($E4859&lt;=INDEX(DarlBindung,11),1,0))</f>
      </c>
      <c r="H4859" s="43">
        <f>IF($G4859=1,INDEX(DarlSollzins,11),INDEX(DarlAnschluss,11))</f>
      </c>
      <c r="I4859" s="43">
        <f>IF(INDEX(DarlBelegt,11)=0,0,IF(INDEX(DarlOhneTilgung,11)=1,IF(INDEX(DarlBindung,11)="",1,$G4859),IF($J4859&gt;0.005,1,0)))</f>
      </c>
      <c r="J4859" s="43">
        <f>IF($I4858=0,0,$R4858)</f>
      </c>
      <c r="K4859" s="43">
        <f>IF($I4859=0,0,IF(INDEX(DarlOhneTilgung,11)=1,0,IF(AND(INDEX(DarlTilgStart,11)&gt;0,$E4859=INDEX(DarlTilgStart,11)),$J4859*($H4859+INDEX(DarlTilgung,11))/100/12,IF(AND($G4859=0,$G4858=1),MAX($K4858,$J4859*($H4859+1)/100/12),$K4858))))</f>
      </c>
      <c r="L4859" s="43">
        <f>IF($I4859=0,0,$J4859*$H4859/100/12)</f>
      </c>
      <c r="M4859" s="43">
        <f>IF($I4859=0,0,IF(OR(INDEX(DarlOhneTilgung,11)=1,AND(INDEX(DarlTilgStart,11)&gt;0,$E4859&lt;INDEX(DarlTilgStart,11))),0,MIN(MAX(0,$K4859-$L4859),$J4859)))</f>
      </c>
      <c r="N4859" s="43">
        <f>IF($I4859=0,0,MIN(SUMIFS(SondBetrag,SondDarl,11,SondDatum,"&gt;="&amp;$E4859,SondDatum,"&lt;="&amp;EOMONTH($E4859,0)),$J4859-$M4859))</f>
      </c>
      <c r="O4859" s="43">
        <f>IF($I4859=0,0,INDEX(DarlErsatzRate,11))</f>
      </c>
      <c r="P4859" s="43">
        <f>IF($I4859=0,0,$Q4858*INDEX(DarlErsatzZins,11))</f>
      </c>
      <c r="Q4859" s="43">
        <f>IF($I4859=0,0,$Q4858+$P4859+$O4859)</f>
      </c>
      <c r="R4859" s="43">
        <f>IF($I4859=0,0,$J4859-$M4859-$N4859)</f>
      </c>
    </row>
    <row r="4860">
      <c r="A4860"/>
      <c r="B4860">
        <v>11</v>
      </c>
      <c r="C4860" s="43">
        <f>INDEX(DarlObj,11)</f>
      </c>
      <c r="D4860">
        <v>57</v>
      </c>
      <c r="E4860" s="51">
        <f>IF(INDEX(DarlBelegt,11)=0,0,EOMONTH(INDEX(DarlAuszahlung,11),56)+1)</f>
      </c>
      <c r="F4860" s="43">
        <f>IF($E4860=0,0,YEAR($E4860))</f>
      </c>
      <c r="G4860" s="43">
        <f>IF(INDEX(DarlBindung,11)="",1,IF($E4860&lt;=INDEX(DarlBindung,11),1,0))</f>
      </c>
      <c r="H4860" s="43">
        <f>IF($G4860=1,INDEX(DarlSollzins,11),INDEX(DarlAnschluss,11))</f>
      </c>
      <c r="I4860" s="43">
        <f>IF(INDEX(DarlBelegt,11)=0,0,IF(INDEX(DarlOhneTilgung,11)=1,IF(INDEX(DarlBindung,11)="",1,$G4860),IF($J4860&gt;0.005,1,0)))</f>
      </c>
      <c r="J4860" s="43">
        <f>IF($I4859=0,0,$R4859)</f>
      </c>
      <c r="K4860" s="43">
        <f>IF($I4860=0,0,IF(INDEX(DarlOhneTilgung,11)=1,0,IF(AND(INDEX(DarlTilgStart,11)&gt;0,$E4860=INDEX(DarlTilgStart,11)),$J4860*($H4860+INDEX(DarlTilgung,11))/100/12,IF(AND($G4860=0,$G4859=1),MAX($K4859,$J4860*($H4860+1)/100/12),$K4859))))</f>
      </c>
      <c r="L4860" s="43">
        <f>IF($I4860=0,0,$J4860*$H4860/100/12)</f>
      </c>
      <c r="M4860" s="43">
        <f>IF($I4860=0,0,IF(OR(INDEX(DarlOhneTilgung,11)=1,AND(INDEX(DarlTilgStart,11)&gt;0,$E4860&lt;INDEX(DarlTilgStart,11))),0,MIN(MAX(0,$K4860-$L4860),$J4860)))</f>
      </c>
      <c r="N4860" s="43">
        <f>IF($I4860=0,0,MIN(SUMIFS(SondBetrag,SondDarl,11,SondDatum,"&gt;="&amp;$E4860,SondDatum,"&lt;="&amp;EOMONTH($E4860,0)),$J4860-$M4860))</f>
      </c>
      <c r="O4860" s="43">
        <f>IF($I4860=0,0,INDEX(DarlErsatzRate,11))</f>
      </c>
      <c r="P4860" s="43">
        <f>IF($I4860=0,0,$Q4859*INDEX(DarlErsatzZins,11))</f>
      </c>
      <c r="Q4860" s="43">
        <f>IF($I4860=0,0,$Q4859+$P4860+$O4860)</f>
      </c>
      <c r="R4860" s="43">
        <f>IF($I4860=0,0,$J4860-$M4860-$N4860)</f>
      </c>
    </row>
    <row r="4861">
      <c r="A4861"/>
      <c r="B4861">
        <v>11</v>
      </c>
      <c r="C4861" s="43">
        <f>INDEX(DarlObj,11)</f>
      </c>
      <c r="D4861">
        <v>58</v>
      </c>
      <c r="E4861" s="51">
        <f>IF(INDEX(DarlBelegt,11)=0,0,EOMONTH(INDEX(DarlAuszahlung,11),57)+1)</f>
      </c>
      <c r="F4861" s="43">
        <f>IF($E4861=0,0,YEAR($E4861))</f>
      </c>
      <c r="G4861" s="43">
        <f>IF(INDEX(DarlBindung,11)="",1,IF($E4861&lt;=INDEX(DarlBindung,11),1,0))</f>
      </c>
      <c r="H4861" s="43">
        <f>IF($G4861=1,INDEX(DarlSollzins,11),INDEX(DarlAnschluss,11))</f>
      </c>
      <c r="I4861" s="43">
        <f>IF(INDEX(DarlBelegt,11)=0,0,IF(INDEX(DarlOhneTilgung,11)=1,IF(INDEX(DarlBindung,11)="",1,$G4861),IF($J4861&gt;0.005,1,0)))</f>
      </c>
      <c r="J4861" s="43">
        <f>IF($I4860=0,0,$R4860)</f>
      </c>
      <c r="K4861" s="43">
        <f>IF($I4861=0,0,IF(INDEX(DarlOhneTilgung,11)=1,0,IF(AND(INDEX(DarlTilgStart,11)&gt;0,$E4861=INDEX(DarlTilgStart,11)),$J4861*($H4861+INDEX(DarlTilgung,11))/100/12,IF(AND($G4861=0,$G4860=1),MAX($K4860,$J4861*($H4861+1)/100/12),$K4860))))</f>
      </c>
      <c r="L4861" s="43">
        <f>IF($I4861=0,0,$J4861*$H4861/100/12)</f>
      </c>
      <c r="M4861" s="43">
        <f>IF($I4861=0,0,IF(OR(INDEX(DarlOhneTilgung,11)=1,AND(INDEX(DarlTilgStart,11)&gt;0,$E4861&lt;INDEX(DarlTilgStart,11))),0,MIN(MAX(0,$K4861-$L4861),$J4861)))</f>
      </c>
      <c r="N4861" s="43">
        <f>IF($I4861=0,0,MIN(SUMIFS(SondBetrag,SondDarl,11,SondDatum,"&gt;="&amp;$E4861,SondDatum,"&lt;="&amp;EOMONTH($E4861,0)),$J4861-$M4861))</f>
      </c>
      <c r="O4861" s="43">
        <f>IF($I4861=0,0,INDEX(DarlErsatzRate,11))</f>
      </c>
      <c r="P4861" s="43">
        <f>IF($I4861=0,0,$Q4860*INDEX(DarlErsatzZins,11))</f>
      </c>
      <c r="Q4861" s="43">
        <f>IF($I4861=0,0,$Q4860+$P4861+$O4861)</f>
      </c>
      <c r="R4861" s="43">
        <f>IF($I4861=0,0,$J4861-$M4861-$N4861)</f>
      </c>
    </row>
    <row r="4862">
      <c r="A4862"/>
      <c r="B4862">
        <v>11</v>
      </c>
      <c r="C4862" s="43">
        <f>INDEX(DarlObj,11)</f>
      </c>
      <c r="D4862">
        <v>59</v>
      </c>
      <c r="E4862" s="51">
        <f>IF(INDEX(DarlBelegt,11)=0,0,EOMONTH(INDEX(DarlAuszahlung,11),58)+1)</f>
      </c>
      <c r="F4862" s="43">
        <f>IF($E4862=0,0,YEAR($E4862))</f>
      </c>
      <c r="G4862" s="43">
        <f>IF(INDEX(DarlBindung,11)="",1,IF($E4862&lt;=INDEX(DarlBindung,11),1,0))</f>
      </c>
      <c r="H4862" s="43">
        <f>IF($G4862=1,INDEX(DarlSollzins,11),INDEX(DarlAnschluss,11))</f>
      </c>
      <c r="I4862" s="43">
        <f>IF(INDEX(DarlBelegt,11)=0,0,IF(INDEX(DarlOhneTilgung,11)=1,IF(INDEX(DarlBindung,11)="",1,$G4862),IF($J4862&gt;0.005,1,0)))</f>
      </c>
      <c r="J4862" s="43">
        <f>IF($I4861=0,0,$R4861)</f>
      </c>
      <c r="K4862" s="43">
        <f>IF($I4862=0,0,IF(INDEX(DarlOhneTilgung,11)=1,0,IF(AND(INDEX(DarlTilgStart,11)&gt;0,$E4862=INDEX(DarlTilgStart,11)),$J4862*($H4862+INDEX(DarlTilgung,11))/100/12,IF(AND($G4862=0,$G4861=1),MAX($K4861,$J4862*($H4862+1)/100/12),$K4861))))</f>
      </c>
      <c r="L4862" s="43">
        <f>IF($I4862=0,0,$J4862*$H4862/100/12)</f>
      </c>
      <c r="M4862" s="43">
        <f>IF($I4862=0,0,IF(OR(INDEX(DarlOhneTilgung,11)=1,AND(INDEX(DarlTilgStart,11)&gt;0,$E4862&lt;INDEX(DarlTilgStart,11))),0,MIN(MAX(0,$K4862-$L4862),$J4862)))</f>
      </c>
      <c r="N4862" s="43">
        <f>IF($I4862=0,0,MIN(SUMIFS(SondBetrag,SondDarl,11,SondDatum,"&gt;="&amp;$E4862,SondDatum,"&lt;="&amp;EOMONTH($E4862,0)),$J4862-$M4862))</f>
      </c>
      <c r="O4862" s="43">
        <f>IF($I4862=0,0,INDEX(DarlErsatzRate,11))</f>
      </c>
      <c r="P4862" s="43">
        <f>IF($I4862=0,0,$Q4861*INDEX(DarlErsatzZins,11))</f>
      </c>
      <c r="Q4862" s="43">
        <f>IF($I4862=0,0,$Q4861+$P4862+$O4862)</f>
      </c>
      <c r="R4862" s="43">
        <f>IF($I4862=0,0,$J4862-$M4862-$N4862)</f>
      </c>
    </row>
    <row r="4863">
      <c r="A4863"/>
      <c r="B4863">
        <v>11</v>
      </c>
      <c r="C4863" s="43">
        <f>INDEX(DarlObj,11)</f>
      </c>
      <c r="D4863">
        <v>60</v>
      </c>
      <c r="E4863" s="51">
        <f>IF(INDEX(DarlBelegt,11)=0,0,EOMONTH(INDEX(DarlAuszahlung,11),59)+1)</f>
      </c>
      <c r="F4863" s="43">
        <f>IF($E4863=0,0,YEAR($E4863))</f>
      </c>
      <c r="G4863" s="43">
        <f>IF(INDEX(DarlBindung,11)="",1,IF($E4863&lt;=INDEX(DarlBindung,11),1,0))</f>
      </c>
      <c r="H4863" s="43">
        <f>IF($G4863=1,INDEX(DarlSollzins,11),INDEX(DarlAnschluss,11))</f>
      </c>
      <c r="I4863" s="43">
        <f>IF(INDEX(DarlBelegt,11)=0,0,IF(INDEX(DarlOhneTilgung,11)=1,IF(INDEX(DarlBindung,11)="",1,$G4863),IF($J4863&gt;0.005,1,0)))</f>
      </c>
      <c r="J4863" s="43">
        <f>IF($I4862=0,0,$R4862)</f>
      </c>
      <c r="K4863" s="43">
        <f>IF($I4863=0,0,IF(INDEX(DarlOhneTilgung,11)=1,0,IF(AND(INDEX(DarlTilgStart,11)&gt;0,$E4863=INDEX(DarlTilgStart,11)),$J4863*($H4863+INDEX(DarlTilgung,11))/100/12,IF(AND($G4863=0,$G4862=1),MAX($K4862,$J4863*($H4863+1)/100/12),$K4862))))</f>
      </c>
      <c r="L4863" s="43">
        <f>IF($I4863=0,0,$J4863*$H4863/100/12)</f>
      </c>
      <c r="M4863" s="43">
        <f>IF($I4863=0,0,IF(OR(INDEX(DarlOhneTilgung,11)=1,AND(INDEX(DarlTilgStart,11)&gt;0,$E4863&lt;INDEX(DarlTilgStart,11))),0,MIN(MAX(0,$K4863-$L4863),$J4863)))</f>
      </c>
      <c r="N4863" s="43">
        <f>IF($I4863=0,0,MIN(SUMIFS(SondBetrag,SondDarl,11,SondDatum,"&gt;="&amp;$E4863,SondDatum,"&lt;="&amp;EOMONTH($E4863,0)),$J4863-$M4863))</f>
      </c>
      <c r="O4863" s="43">
        <f>IF($I4863=0,0,INDEX(DarlErsatzRate,11))</f>
      </c>
      <c r="P4863" s="43">
        <f>IF($I4863=0,0,$Q4862*INDEX(DarlErsatzZins,11))</f>
      </c>
      <c r="Q4863" s="43">
        <f>IF($I4863=0,0,$Q4862+$P4863+$O4863)</f>
      </c>
      <c r="R4863" s="43">
        <f>IF($I4863=0,0,$J4863-$M4863-$N4863)</f>
      </c>
    </row>
    <row r="4864">
      <c r="A4864"/>
      <c r="B4864">
        <v>11</v>
      </c>
      <c r="C4864" s="43">
        <f>INDEX(DarlObj,11)</f>
      </c>
      <c r="D4864">
        <v>61</v>
      </c>
      <c r="E4864" s="51">
        <f>IF(INDEX(DarlBelegt,11)=0,0,EOMONTH(INDEX(DarlAuszahlung,11),60)+1)</f>
      </c>
      <c r="F4864" s="43">
        <f>IF($E4864=0,0,YEAR($E4864))</f>
      </c>
      <c r="G4864" s="43">
        <f>IF(INDEX(DarlBindung,11)="",1,IF($E4864&lt;=INDEX(DarlBindung,11),1,0))</f>
      </c>
      <c r="H4864" s="43">
        <f>IF($G4864=1,INDEX(DarlSollzins,11),INDEX(DarlAnschluss,11))</f>
      </c>
      <c r="I4864" s="43">
        <f>IF(INDEX(DarlBelegt,11)=0,0,IF(INDEX(DarlOhneTilgung,11)=1,IF(INDEX(DarlBindung,11)="",1,$G4864),IF($J4864&gt;0.005,1,0)))</f>
      </c>
      <c r="J4864" s="43">
        <f>IF($I4863=0,0,$R4863)</f>
      </c>
      <c r="K4864" s="43">
        <f>IF($I4864=0,0,IF(INDEX(DarlOhneTilgung,11)=1,0,IF(AND(INDEX(DarlTilgStart,11)&gt;0,$E4864=INDEX(DarlTilgStart,11)),$J4864*($H4864+INDEX(DarlTilgung,11))/100/12,IF(AND($G4864=0,$G4863=1),MAX($K4863,$J4864*($H4864+1)/100/12),$K4863))))</f>
      </c>
      <c r="L4864" s="43">
        <f>IF($I4864=0,0,$J4864*$H4864/100/12)</f>
      </c>
      <c r="M4864" s="43">
        <f>IF($I4864=0,0,IF(OR(INDEX(DarlOhneTilgung,11)=1,AND(INDEX(DarlTilgStart,11)&gt;0,$E4864&lt;INDEX(DarlTilgStart,11))),0,MIN(MAX(0,$K4864-$L4864),$J4864)))</f>
      </c>
      <c r="N4864" s="43">
        <f>IF($I4864=0,0,MIN(SUMIFS(SondBetrag,SondDarl,11,SondDatum,"&gt;="&amp;$E4864,SondDatum,"&lt;="&amp;EOMONTH($E4864,0)),$J4864-$M4864))</f>
      </c>
      <c r="O4864" s="43">
        <f>IF($I4864=0,0,INDEX(DarlErsatzRate,11))</f>
      </c>
      <c r="P4864" s="43">
        <f>IF($I4864=0,0,$Q4863*INDEX(DarlErsatzZins,11))</f>
      </c>
      <c r="Q4864" s="43">
        <f>IF($I4864=0,0,$Q4863+$P4864+$O4864)</f>
      </c>
      <c r="R4864" s="43">
        <f>IF($I4864=0,0,$J4864-$M4864-$N4864)</f>
      </c>
    </row>
    <row r="4865">
      <c r="A4865"/>
      <c r="B4865">
        <v>11</v>
      </c>
      <c r="C4865" s="43">
        <f>INDEX(DarlObj,11)</f>
      </c>
      <c r="D4865">
        <v>62</v>
      </c>
      <c r="E4865" s="51">
        <f>IF(INDEX(DarlBelegt,11)=0,0,EOMONTH(INDEX(DarlAuszahlung,11),61)+1)</f>
      </c>
      <c r="F4865" s="43">
        <f>IF($E4865=0,0,YEAR($E4865))</f>
      </c>
      <c r="G4865" s="43">
        <f>IF(INDEX(DarlBindung,11)="",1,IF($E4865&lt;=INDEX(DarlBindung,11),1,0))</f>
      </c>
      <c r="H4865" s="43">
        <f>IF($G4865=1,INDEX(DarlSollzins,11),INDEX(DarlAnschluss,11))</f>
      </c>
      <c r="I4865" s="43">
        <f>IF(INDEX(DarlBelegt,11)=0,0,IF(INDEX(DarlOhneTilgung,11)=1,IF(INDEX(DarlBindung,11)="",1,$G4865),IF($J4865&gt;0.005,1,0)))</f>
      </c>
      <c r="J4865" s="43">
        <f>IF($I4864=0,0,$R4864)</f>
      </c>
      <c r="K4865" s="43">
        <f>IF($I4865=0,0,IF(INDEX(DarlOhneTilgung,11)=1,0,IF(AND(INDEX(DarlTilgStart,11)&gt;0,$E4865=INDEX(DarlTilgStart,11)),$J4865*($H4865+INDEX(DarlTilgung,11))/100/12,IF(AND($G4865=0,$G4864=1),MAX($K4864,$J4865*($H4865+1)/100/12),$K4864))))</f>
      </c>
      <c r="L4865" s="43">
        <f>IF($I4865=0,0,$J4865*$H4865/100/12)</f>
      </c>
      <c r="M4865" s="43">
        <f>IF($I4865=0,0,IF(OR(INDEX(DarlOhneTilgung,11)=1,AND(INDEX(DarlTilgStart,11)&gt;0,$E4865&lt;INDEX(DarlTilgStart,11))),0,MIN(MAX(0,$K4865-$L4865),$J4865)))</f>
      </c>
      <c r="N4865" s="43">
        <f>IF($I4865=0,0,MIN(SUMIFS(SondBetrag,SondDarl,11,SondDatum,"&gt;="&amp;$E4865,SondDatum,"&lt;="&amp;EOMONTH($E4865,0)),$J4865-$M4865))</f>
      </c>
      <c r="O4865" s="43">
        <f>IF($I4865=0,0,INDEX(DarlErsatzRate,11))</f>
      </c>
      <c r="P4865" s="43">
        <f>IF($I4865=0,0,$Q4864*INDEX(DarlErsatzZins,11))</f>
      </c>
      <c r="Q4865" s="43">
        <f>IF($I4865=0,0,$Q4864+$P4865+$O4865)</f>
      </c>
      <c r="R4865" s="43">
        <f>IF($I4865=0,0,$J4865-$M4865-$N4865)</f>
      </c>
    </row>
    <row r="4866">
      <c r="A4866"/>
      <c r="B4866">
        <v>11</v>
      </c>
      <c r="C4866" s="43">
        <f>INDEX(DarlObj,11)</f>
      </c>
      <c r="D4866">
        <v>63</v>
      </c>
      <c r="E4866" s="51">
        <f>IF(INDEX(DarlBelegt,11)=0,0,EOMONTH(INDEX(DarlAuszahlung,11),62)+1)</f>
      </c>
      <c r="F4866" s="43">
        <f>IF($E4866=0,0,YEAR($E4866))</f>
      </c>
      <c r="G4866" s="43">
        <f>IF(INDEX(DarlBindung,11)="",1,IF($E4866&lt;=INDEX(DarlBindung,11),1,0))</f>
      </c>
      <c r="H4866" s="43">
        <f>IF($G4866=1,INDEX(DarlSollzins,11),INDEX(DarlAnschluss,11))</f>
      </c>
      <c r="I4866" s="43">
        <f>IF(INDEX(DarlBelegt,11)=0,0,IF(INDEX(DarlOhneTilgung,11)=1,IF(INDEX(DarlBindung,11)="",1,$G4866),IF($J4866&gt;0.005,1,0)))</f>
      </c>
      <c r="J4866" s="43">
        <f>IF($I4865=0,0,$R4865)</f>
      </c>
      <c r="K4866" s="43">
        <f>IF($I4866=0,0,IF(INDEX(DarlOhneTilgung,11)=1,0,IF(AND(INDEX(DarlTilgStart,11)&gt;0,$E4866=INDEX(DarlTilgStart,11)),$J4866*($H4866+INDEX(DarlTilgung,11))/100/12,IF(AND($G4866=0,$G4865=1),MAX($K4865,$J4866*($H4866+1)/100/12),$K4865))))</f>
      </c>
      <c r="L4866" s="43">
        <f>IF($I4866=0,0,$J4866*$H4866/100/12)</f>
      </c>
      <c r="M4866" s="43">
        <f>IF($I4866=0,0,IF(OR(INDEX(DarlOhneTilgung,11)=1,AND(INDEX(DarlTilgStart,11)&gt;0,$E4866&lt;INDEX(DarlTilgStart,11))),0,MIN(MAX(0,$K4866-$L4866),$J4866)))</f>
      </c>
      <c r="N4866" s="43">
        <f>IF($I4866=0,0,MIN(SUMIFS(SondBetrag,SondDarl,11,SondDatum,"&gt;="&amp;$E4866,SondDatum,"&lt;="&amp;EOMONTH($E4866,0)),$J4866-$M4866))</f>
      </c>
      <c r="O4866" s="43">
        <f>IF($I4866=0,0,INDEX(DarlErsatzRate,11))</f>
      </c>
      <c r="P4866" s="43">
        <f>IF($I4866=0,0,$Q4865*INDEX(DarlErsatzZins,11))</f>
      </c>
      <c r="Q4866" s="43">
        <f>IF($I4866=0,0,$Q4865+$P4866+$O4866)</f>
      </c>
      <c r="R4866" s="43">
        <f>IF($I4866=0,0,$J4866-$M4866-$N4866)</f>
      </c>
    </row>
    <row r="4867">
      <c r="A4867"/>
      <c r="B4867">
        <v>11</v>
      </c>
      <c r="C4867" s="43">
        <f>INDEX(DarlObj,11)</f>
      </c>
      <c r="D4867">
        <v>64</v>
      </c>
      <c r="E4867" s="51">
        <f>IF(INDEX(DarlBelegt,11)=0,0,EOMONTH(INDEX(DarlAuszahlung,11),63)+1)</f>
      </c>
      <c r="F4867" s="43">
        <f>IF($E4867=0,0,YEAR($E4867))</f>
      </c>
      <c r="G4867" s="43">
        <f>IF(INDEX(DarlBindung,11)="",1,IF($E4867&lt;=INDEX(DarlBindung,11),1,0))</f>
      </c>
      <c r="H4867" s="43">
        <f>IF($G4867=1,INDEX(DarlSollzins,11),INDEX(DarlAnschluss,11))</f>
      </c>
      <c r="I4867" s="43">
        <f>IF(INDEX(DarlBelegt,11)=0,0,IF(INDEX(DarlOhneTilgung,11)=1,IF(INDEX(DarlBindung,11)="",1,$G4867),IF($J4867&gt;0.005,1,0)))</f>
      </c>
      <c r="J4867" s="43">
        <f>IF($I4866=0,0,$R4866)</f>
      </c>
      <c r="K4867" s="43">
        <f>IF($I4867=0,0,IF(INDEX(DarlOhneTilgung,11)=1,0,IF(AND(INDEX(DarlTilgStart,11)&gt;0,$E4867=INDEX(DarlTilgStart,11)),$J4867*($H4867+INDEX(DarlTilgung,11))/100/12,IF(AND($G4867=0,$G4866=1),MAX($K4866,$J4867*($H4867+1)/100/12),$K4866))))</f>
      </c>
      <c r="L4867" s="43">
        <f>IF($I4867=0,0,$J4867*$H4867/100/12)</f>
      </c>
      <c r="M4867" s="43">
        <f>IF($I4867=0,0,IF(OR(INDEX(DarlOhneTilgung,11)=1,AND(INDEX(DarlTilgStart,11)&gt;0,$E4867&lt;INDEX(DarlTilgStart,11))),0,MIN(MAX(0,$K4867-$L4867),$J4867)))</f>
      </c>
      <c r="N4867" s="43">
        <f>IF($I4867=0,0,MIN(SUMIFS(SondBetrag,SondDarl,11,SondDatum,"&gt;="&amp;$E4867,SondDatum,"&lt;="&amp;EOMONTH($E4867,0)),$J4867-$M4867))</f>
      </c>
      <c r="O4867" s="43">
        <f>IF($I4867=0,0,INDEX(DarlErsatzRate,11))</f>
      </c>
      <c r="P4867" s="43">
        <f>IF($I4867=0,0,$Q4866*INDEX(DarlErsatzZins,11))</f>
      </c>
      <c r="Q4867" s="43">
        <f>IF($I4867=0,0,$Q4866+$P4867+$O4867)</f>
      </c>
      <c r="R4867" s="43">
        <f>IF($I4867=0,0,$J4867-$M4867-$N4867)</f>
      </c>
    </row>
    <row r="4868">
      <c r="A4868"/>
      <c r="B4868">
        <v>11</v>
      </c>
      <c r="C4868" s="43">
        <f>INDEX(DarlObj,11)</f>
      </c>
      <c r="D4868">
        <v>65</v>
      </c>
      <c r="E4868" s="51">
        <f>IF(INDEX(DarlBelegt,11)=0,0,EOMONTH(INDEX(DarlAuszahlung,11),64)+1)</f>
      </c>
      <c r="F4868" s="43">
        <f>IF($E4868=0,0,YEAR($E4868))</f>
      </c>
      <c r="G4868" s="43">
        <f>IF(INDEX(DarlBindung,11)="",1,IF($E4868&lt;=INDEX(DarlBindung,11),1,0))</f>
      </c>
      <c r="H4868" s="43">
        <f>IF($G4868=1,INDEX(DarlSollzins,11),INDEX(DarlAnschluss,11))</f>
      </c>
      <c r="I4868" s="43">
        <f>IF(INDEX(DarlBelegt,11)=0,0,IF(INDEX(DarlOhneTilgung,11)=1,IF(INDEX(DarlBindung,11)="",1,$G4868),IF($J4868&gt;0.005,1,0)))</f>
      </c>
      <c r="J4868" s="43">
        <f>IF($I4867=0,0,$R4867)</f>
      </c>
      <c r="K4868" s="43">
        <f>IF($I4868=0,0,IF(INDEX(DarlOhneTilgung,11)=1,0,IF(AND(INDEX(DarlTilgStart,11)&gt;0,$E4868=INDEX(DarlTilgStart,11)),$J4868*($H4868+INDEX(DarlTilgung,11))/100/12,IF(AND($G4868=0,$G4867=1),MAX($K4867,$J4868*($H4868+1)/100/12),$K4867))))</f>
      </c>
      <c r="L4868" s="43">
        <f>IF($I4868=0,0,$J4868*$H4868/100/12)</f>
      </c>
      <c r="M4868" s="43">
        <f>IF($I4868=0,0,IF(OR(INDEX(DarlOhneTilgung,11)=1,AND(INDEX(DarlTilgStart,11)&gt;0,$E4868&lt;INDEX(DarlTilgStart,11))),0,MIN(MAX(0,$K4868-$L4868),$J4868)))</f>
      </c>
      <c r="N4868" s="43">
        <f>IF($I4868=0,0,MIN(SUMIFS(SondBetrag,SondDarl,11,SondDatum,"&gt;="&amp;$E4868,SondDatum,"&lt;="&amp;EOMONTH($E4868,0)),$J4868-$M4868))</f>
      </c>
      <c r="O4868" s="43">
        <f>IF($I4868=0,0,INDEX(DarlErsatzRate,11))</f>
      </c>
      <c r="P4868" s="43">
        <f>IF($I4868=0,0,$Q4867*INDEX(DarlErsatzZins,11))</f>
      </c>
      <c r="Q4868" s="43">
        <f>IF($I4868=0,0,$Q4867+$P4868+$O4868)</f>
      </c>
      <c r="R4868" s="43">
        <f>IF($I4868=0,0,$J4868-$M4868-$N4868)</f>
      </c>
    </row>
    <row r="4869">
      <c r="A4869"/>
      <c r="B4869">
        <v>11</v>
      </c>
      <c r="C4869" s="43">
        <f>INDEX(DarlObj,11)</f>
      </c>
      <c r="D4869">
        <v>66</v>
      </c>
      <c r="E4869" s="51">
        <f>IF(INDEX(DarlBelegt,11)=0,0,EOMONTH(INDEX(DarlAuszahlung,11),65)+1)</f>
      </c>
      <c r="F4869" s="43">
        <f>IF($E4869=0,0,YEAR($E4869))</f>
      </c>
      <c r="G4869" s="43">
        <f>IF(INDEX(DarlBindung,11)="",1,IF($E4869&lt;=INDEX(DarlBindung,11),1,0))</f>
      </c>
      <c r="H4869" s="43">
        <f>IF($G4869=1,INDEX(DarlSollzins,11),INDEX(DarlAnschluss,11))</f>
      </c>
      <c r="I4869" s="43">
        <f>IF(INDEX(DarlBelegt,11)=0,0,IF(INDEX(DarlOhneTilgung,11)=1,IF(INDEX(DarlBindung,11)="",1,$G4869),IF($J4869&gt;0.005,1,0)))</f>
      </c>
      <c r="J4869" s="43">
        <f>IF($I4868=0,0,$R4868)</f>
      </c>
      <c r="K4869" s="43">
        <f>IF($I4869=0,0,IF(INDEX(DarlOhneTilgung,11)=1,0,IF(AND(INDEX(DarlTilgStart,11)&gt;0,$E4869=INDEX(DarlTilgStart,11)),$J4869*($H4869+INDEX(DarlTilgung,11))/100/12,IF(AND($G4869=0,$G4868=1),MAX($K4868,$J4869*($H4869+1)/100/12),$K4868))))</f>
      </c>
      <c r="L4869" s="43">
        <f>IF($I4869=0,0,$J4869*$H4869/100/12)</f>
      </c>
      <c r="M4869" s="43">
        <f>IF($I4869=0,0,IF(OR(INDEX(DarlOhneTilgung,11)=1,AND(INDEX(DarlTilgStart,11)&gt;0,$E4869&lt;INDEX(DarlTilgStart,11))),0,MIN(MAX(0,$K4869-$L4869),$J4869)))</f>
      </c>
      <c r="N4869" s="43">
        <f>IF($I4869=0,0,MIN(SUMIFS(SondBetrag,SondDarl,11,SondDatum,"&gt;="&amp;$E4869,SondDatum,"&lt;="&amp;EOMONTH($E4869,0)),$J4869-$M4869))</f>
      </c>
      <c r="O4869" s="43">
        <f>IF($I4869=0,0,INDEX(DarlErsatzRate,11))</f>
      </c>
      <c r="P4869" s="43">
        <f>IF($I4869=0,0,$Q4868*INDEX(DarlErsatzZins,11))</f>
      </c>
      <c r="Q4869" s="43">
        <f>IF($I4869=0,0,$Q4868+$P4869+$O4869)</f>
      </c>
      <c r="R4869" s="43">
        <f>IF($I4869=0,0,$J4869-$M4869-$N4869)</f>
      </c>
    </row>
    <row r="4870">
      <c r="A4870"/>
      <c r="B4870">
        <v>11</v>
      </c>
      <c r="C4870" s="43">
        <f>INDEX(DarlObj,11)</f>
      </c>
      <c r="D4870">
        <v>67</v>
      </c>
      <c r="E4870" s="51">
        <f>IF(INDEX(DarlBelegt,11)=0,0,EOMONTH(INDEX(DarlAuszahlung,11),66)+1)</f>
      </c>
      <c r="F4870" s="43">
        <f>IF($E4870=0,0,YEAR($E4870))</f>
      </c>
      <c r="G4870" s="43">
        <f>IF(INDEX(DarlBindung,11)="",1,IF($E4870&lt;=INDEX(DarlBindung,11),1,0))</f>
      </c>
      <c r="H4870" s="43">
        <f>IF($G4870=1,INDEX(DarlSollzins,11),INDEX(DarlAnschluss,11))</f>
      </c>
      <c r="I4870" s="43">
        <f>IF(INDEX(DarlBelegt,11)=0,0,IF(INDEX(DarlOhneTilgung,11)=1,IF(INDEX(DarlBindung,11)="",1,$G4870),IF($J4870&gt;0.005,1,0)))</f>
      </c>
      <c r="J4870" s="43">
        <f>IF($I4869=0,0,$R4869)</f>
      </c>
      <c r="K4870" s="43">
        <f>IF($I4870=0,0,IF(INDEX(DarlOhneTilgung,11)=1,0,IF(AND(INDEX(DarlTilgStart,11)&gt;0,$E4870=INDEX(DarlTilgStart,11)),$J4870*($H4870+INDEX(DarlTilgung,11))/100/12,IF(AND($G4870=0,$G4869=1),MAX($K4869,$J4870*($H4870+1)/100/12),$K4869))))</f>
      </c>
      <c r="L4870" s="43">
        <f>IF($I4870=0,0,$J4870*$H4870/100/12)</f>
      </c>
      <c r="M4870" s="43">
        <f>IF($I4870=0,0,IF(OR(INDEX(DarlOhneTilgung,11)=1,AND(INDEX(DarlTilgStart,11)&gt;0,$E4870&lt;INDEX(DarlTilgStart,11))),0,MIN(MAX(0,$K4870-$L4870),$J4870)))</f>
      </c>
      <c r="N4870" s="43">
        <f>IF($I4870=0,0,MIN(SUMIFS(SondBetrag,SondDarl,11,SondDatum,"&gt;="&amp;$E4870,SondDatum,"&lt;="&amp;EOMONTH($E4870,0)),$J4870-$M4870))</f>
      </c>
      <c r="O4870" s="43">
        <f>IF($I4870=0,0,INDEX(DarlErsatzRate,11))</f>
      </c>
      <c r="P4870" s="43">
        <f>IF($I4870=0,0,$Q4869*INDEX(DarlErsatzZins,11))</f>
      </c>
      <c r="Q4870" s="43">
        <f>IF($I4870=0,0,$Q4869+$P4870+$O4870)</f>
      </c>
      <c r="R4870" s="43">
        <f>IF($I4870=0,0,$J4870-$M4870-$N4870)</f>
      </c>
    </row>
    <row r="4871">
      <c r="A4871"/>
      <c r="B4871">
        <v>11</v>
      </c>
      <c r="C4871" s="43">
        <f>INDEX(DarlObj,11)</f>
      </c>
      <c r="D4871">
        <v>68</v>
      </c>
      <c r="E4871" s="51">
        <f>IF(INDEX(DarlBelegt,11)=0,0,EOMONTH(INDEX(DarlAuszahlung,11),67)+1)</f>
      </c>
      <c r="F4871" s="43">
        <f>IF($E4871=0,0,YEAR($E4871))</f>
      </c>
      <c r="G4871" s="43">
        <f>IF(INDEX(DarlBindung,11)="",1,IF($E4871&lt;=INDEX(DarlBindung,11),1,0))</f>
      </c>
      <c r="H4871" s="43">
        <f>IF($G4871=1,INDEX(DarlSollzins,11),INDEX(DarlAnschluss,11))</f>
      </c>
      <c r="I4871" s="43">
        <f>IF(INDEX(DarlBelegt,11)=0,0,IF(INDEX(DarlOhneTilgung,11)=1,IF(INDEX(DarlBindung,11)="",1,$G4871),IF($J4871&gt;0.005,1,0)))</f>
      </c>
      <c r="J4871" s="43">
        <f>IF($I4870=0,0,$R4870)</f>
      </c>
      <c r="K4871" s="43">
        <f>IF($I4871=0,0,IF(INDEX(DarlOhneTilgung,11)=1,0,IF(AND(INDEX(DarlTilgStart,11)&gt;0,$E4871=INDEX(DarlTilgStart,11)),$J4871*($H4871+INDEX(DarlTilgung,11))/100/12,IF(AND($G4871=0,$G4870=1),MAX($K4870,$J4871*($H4871+1)/100/12),$K4870))))</f>
      </c>
      <c r="L4871" s="43">
        <f>IF($I4871=0,0,$J4871*$H4871/100/12)</f>
      </c>
      <c r="M4871" s="43">
        <f>IF($I4871=0,0,IF(OR(INDEX(DarlOhneTilgung,11)=1,AND(INDEX(DarlTilgStart,11)&gt;0,$E4871&lt;INDEX(DarlTilgStart,11))),0,MIN(MAX(0,$K4871-$L4871),$J4871)))</f>
      </c>
      <c r="N4871" s="43">
        <f>IF($I4871=0,0,MIN(SUMIFS(SondBetrag,SondDarl,11,SondDatum,"&gt;="&amp;$E4871,SondDatum,"&lt;="&amp;EOMONTH($E4871,0)),$J4871-$M4871))</f>
      </c>
      <c r="O4871" s="43">
        <f>IF($I4871=0,0,INDEX(DarlErsatzRate,11))</f>
      </c>
      <c r="P4871" s="43">
        <f>IF($I4871=0,0,$Q4870*INDEX(DarlErsatzZins,11))</f>
      </c>
      <c r="Q4871" s="43">
        <f>IF($I4871=0,0,$Q4870+$P4871+$O4871)</f>
      </c>
      <c r="R4871" s="43">
        <f>IF($I4871=0,0,$J4871-$M4871-$N4871)</f>
      </c>
    </row>
    <row r="4872">
      <c r="A4872"/>
      <c r="B4872">
        <v>11</v>
      </c>
      <c r="C4872" s="43">
        <f>INDEX(DarlObj,11)</f>
      </c>
      <c r="D4872">
        <v>69</v>
      </c>
      <c r="E4872" s="51">
        <f>IF(INDEX(DarlBelegt,11)=0,0,EOMONTH(INDEX(DarlAuszahlung,11),68)+1)</f>
      </c>
      <c r="F4872" s="43">
        <f>IF($E4872=0,0,YEAR($E4872))</f>
      </c>
      <c r="G4872" s="43">
        <f>IF(INDEX(DarlBindung,11)="",1,IF($E4872&lt;=INDEX(DarlBindung,11),1,0))</f>
      </c>
      <c r="H4872" s="43">
        <f>IF($G4872=1,INDEX(DarlSollzins,11),INDEX(DarlAnschluss,11))</f>
      </c>
      <c r="I4872" s="43">
        <f>IF(INDEX(DarlBelegt,11)=0,0,IF(INDEX(DarlOhneTilgung,11)=1,IF(INDEX(DarlBindung,11)="",1,$G4872),IF($J4872&gt;0.005,1,0)))</f>
      </c>
      <c r="J4872" s="43">
        <f>IF($I4871=0,0,$R4871)</f>
      </c>
      <c r="K4872" s="43">
        <f>IF($I4872=0,0,IF(INDEX(DarlOhneTilgung,11)=1,0,IF(AND(INDEX(DarlTilgStart,11)&gt;0,$E4872=INDEX(DarlTilgStart,11)),$J4872*($H4872+INDEX(DarlTilgung,11))/100/12,IF(AND($G4872=0,$G4871=1),MAX($K4871,$J4872*($H4872+1)/100/12),$K4871))))</f>
      </c>
      <c r="L4872" s="43">
        <f>IF($I4872=0,0,$J4872*$H4872/100/12)</f>
      </c>
      <c r="M4872" s="43">
        <f>IF($I4872=0,0,IF(OR(INDEX(DarlOhneTilgung,11)=1,AND(INDEX(DarlTilgStart,11)&gt;0,$E4872&lt;INDEX(DarlTilgStart,11))),0,MIN(MAX(0,$K4872-$L4872),$J4872)))</f>
      </c>
      <c r="N4872" s="43">
        <f>IF($I4872=0,0,MIN(SUMIFS(SondBetrag,SondDarl,11,SondDatum,"&gt;="&amp;$E4872,SondDatum,"&lt;="&amp;EOMONTH($E4872,0)),$J4872-$M4872))</f>
      </c>
      <c r="O4872" s="43">
        <f>IF($I4872=0,0,INDEX(DarlErsatzRate,11))</f>
      </c>
      <c r="P4872" s="43">
        <f>IF($I4872=0,0,$Q4871*INDEX(DarlErsatzZins,11))</f>
      </c>
      <c r="Q4872" s="43">
        <f>IF($I4872=0,0,$Q4871+$P4872+$O4872)</f>
      </c>
      <c r="R4872" s="43">
        <f>IF($I4872=0,0,$J4872-$M4872-$N4872)</f>
      </c>
    </row>
    <row r="4873">
      <c r="A4873"/>
      <c r="B4873">
        <v>11</v>
      </c>
      <c r="C4873" s="43">
        <f>INDEX(DarlObj,11)</f>
      </c>
      <c r="D4873">
        <v>70</v>
      </c>
      <c r="E4873" s="51">
        <f>IF(INDEX(DarlBelegt,11)=0,0,EOMONTH(INDEX(DarlAuszahlung,11),69)+1)</f>
      </c>
      <c r="F4873" s="43">
        <f>IF($E4873=0,0,YEAR($E4873))</f>
      </c>
      <c r="G4873" s="43">
        <f>IF(INDEX(DarlBindung,11)="",1,IF($E4873&lt;=INDEX(DarlBindung,11),1,0))</f>
      </c>
      <c r="H4873" s="43">
        <f>IF($G4873=1,INDEX(DarlSollzins,11),INDEX(DarlAnschluss,11))</f>
      </c>
      <c r="I4873" s="43">
        <f>IF(INDEX(DarlBelegt,11)=0,0,IF(INDEX(DarlOhneTilgung,11)=1,IF(INDEX(DarlBindung,11)="",1,$G4873),IF($J4873&gt;0.005,1,0)))</f>
      </c>
      <c r="J4873" s="43">
        <f>IF($I4872=0,0,$R4872)</f>
      </c>
      <c r="K4873" s="43">
        <f>IF($I4873=0,0,IF(INDEX(DarlOhneTilgung,11)=1,0,IF(AND(INDEX(DarlTilgStart,11)&gt;0,$E4873=INDEX(DarlTilgStart,11)),$J4873*($H4873+INDEX(DarlTilgung,11))/100/12,IF(AND($G4873=0,$G4872=1),MAX($K4872,$J4873*($H4873+1)/100/12),$K4872))))</f>
      </c>
      <c r="L4873" s="43">
        <f>IF($I4873=0,0,$J4873*$H4873/100/12)</f>
      </c>
      <c r="M4873" s="43">
        <f>IF($I4873=0,0,IF(OR(INDEX(DarlOhneTilgung,11)=1,AND(INDEX(DarlTilgStart,11)&gt;0,$E4873&lt;INDEX(DarlTilgStart,11))),0,MIN(MAX(0,$K4873-$L4873),$J4873)))</f>
      </c>
      <c r="N4873" s="43">
        <f>IF($I4873=0,0,MIN(SUMIFS(SondBetrag,SondDarl,11,SondDatum,"&gt;="&amp;$E4873,SondDatum,"&lt;="&amp;EOMONTH($E4873,0)),$J4873-$M4873))</f>
      </c>
      <c r="O4873" s="43">
        <f>IF($I4873=0,0,INDEX(DarlErsatzRate,11))</f>
      </c>
      <c r="P4873" s="43">
        <f>IF($I4873=0,0,$Q4872*INDEX(DarlErsatzZins,11))</f>
      </c>
      <c r="Q4873" s="43">
        <f>IF($I4873=0,0,$Q4872+$P4873+$O4873)</f>
      </c>
      <c r="R4873" s="43">
        <f>IF($I4873=0,0,$J4873-$M4873-$N4873)</f>
      </c>
    </row>
    <row r="4874">
      <c r="A4874"/>
      <c r="B4874">
        <v>11</v>
      </c>
      <c r="C4874" s="43">
        <f>INDEX(DarlObj,11)</f>
      </c>
      <c r="D4874">
        <v>71</v>
      </c>
      <c r="E4874" s="51">
        <f>IF(INDEX(DarlBelegt,11)=0,0,EOMONTH(INDEX(DarlAuszahlung,11),70)+1)</f>
      </c>
      <c r="F4874" s="43">
        <f>IF($E4874=0,0,YEAR($E4874))</f>
      </c>
      <c r="G4874" s="43">
        <f>IF(INDEX(DarlBindung,11)="",1,IF($E4874&lt;=INDEX(DarlBindung,11),1,0))</f>
      </c>
      <c r="H4874" s="43">
        <f>IF($G4874=1,INDEX(DarlSollzins,11),INDEX(DarlAnschluss,11))</f>
      </c>
      <c r="I4874" s="43">
        <f>IF(INDEX(DarlBelegt,11)=0,0,IF(INDEX(DarlOhneTilgung,11)=1,IF(INDEX(DarlBindung,11)="",1,$G4874),IF($J4874&gt;0.005,1,0)))</f>
      </c>
      <c r="J4874" s="43">
        <f>IF($I4873=0,0,$R4873)</f>
      </c>
      <c r="K4874" s="43">
        <f>IF($I4874=0,0,IF(INDEX(DarlOhneTilgung,11)=1,0,IF(AND(INDEX(DarlTilgStart,11)&gt;0,$E4874=INDEX(DarlTilgStart,11)),$J4874*($H4874+INDEX(DarlTilgung,11))/100/12,IF(AND($G4874=0,$G4873=1),MAX($K4873,$J4874*($H4874+1)/100/12),$K4873))))</f>
      </c>
      <c r="L4874" s="43">
        <f>IF($I4874=0,0,$J4874*$H4874/100/12)</f>
      </c>
      <c r="M4874" s="43">
        <f>IF($I4874=0,0,IF(OR(INDEX(DarlOhneTilgung,11)=1,AND(INDEX(DarlTilgStart,11)&gt;0,$E4874&lt;INDEX(DarlTilgStart,11))),0,MIN(MAX(0,$K4874-$L4874),$J4874)))</f>
      </c>
      <c r="N4874" s="43">
        <f>IF($I4874=0,0,MIN(SUMIFS(SondBetrag,SondDarl,11,SondDatum,"&gt;="&amp;$E4874,SondDatum,"&lt;="&amp;EOMONTH($E4874,0)),$J4874-$M4874))</f>
      </c>
      <c r="O4874" s="43">
        <f>IF($I4874=0,0,INDEX(DarlErsatzRate,11))</f>
      </c>
      <c r="P4874" s="43">
        <f>IF($I4874=0,0,$Q4873*INDEX(DarlErsatzZins,11))</f>
      </c>
      <c r="Q4874" s="43">
        <f>IF($I4874=0,0,$Q4873+$P4874+$O4874)</f>
      </c>
      <c r="R4874" s="43">
        <f>IF($I4874=0,0,$J4874-$M4874-$N4874)</f>
      </c>
    </row>
    <row r="4875">
      <c r="A4875"/>
      <c r="B4875">
        <v>11</v>
      </c>
      <c r="C4875" s="43">
        <f>INDEX(DarlObj,11)</f>
      </c>
      <c r="D4875">
        <v>72</v>
      </c>
      <c r="E4875" s="51">
        <f>IF(INDEX(DarlBelegt,11)=0,0,EOMONTH(INDEX(DarlAuszahlung,11),71)+1)</f>
      </c>
      <c r="F4875" s="43">
        <f>IF($E4875=0,0,YEAR($E4875))</f>
      </c>
      <c r="G4875" s="43">
        <f>IF(INDEX(DarlBindung,11)="",1,IF($E4875&lt;=INDEX(DarlBindung,11),1,0))</f>
      </c>
      <c r="H4875" s="43">
        <f>IF($G4875=1,INDEX(DarlSollzins,11),INDEX(DarlAnschluss,11))</f>
      </c>
      <c r="I4875" s="43">
        <f>IF(INDEX(DarlBelegt,11)=0,0,IF(INDEX(DarlOhneTilgung,11)=1,IF(INDEX(DarlBindung,11)="",1,$G4875),IF($J4875&gt;0.005,1,0)))</f>
      </c>
      <c r="J4875" s="43">
        <f>IF($I4874=0,0,$R4874)</f>
      </c>
      <c r="K4875" s="43">
        <f>IF($I4875=0,0,IF(INDEX(DarlOhneTilgung,11)=1,0,IF(AND(INDEX(DarlTilgStart,11)&gt;0,$E4875=INDEX(DarlTilgStart,11)),$J4875*($H4875+INDEX(DarlTilgung,11))/100/12,IF(AND($G4875=0,$G4874=1),MAX($K4874,$J4875*($H4875+1)/100/12),$K4874))))</f>
      </c>
      <c r="L4875" s="43">
        <f>IF($I4875=0,0,$J4875*$H4875/100/12)</f>
      </c>
      <c r="M4875" s="43">
        <f>IF($I4875=0,0,IF(OR(INDEX(DarlOhneTilgung,11)=1,AND(INDEX(DarlTilgStart,11)&gt;0,$E4875&lt;INDEX(DarlTilgStart,11))),0,MIN(MAX(0,$K4875-$L4875),$J4875)))</f>
      </c>
      <c r="N4875" s="43">
        <f>IF($I4875=0,0,MIN(SUMIFS(SondBetrag,SondDarl,11,SondDatum,"&gt;="&amp;$E4875,SondDatum,"&lt;="&amp;EOMONTH($E4875,0)),$J4875-$M4875))</f>
      </c>
      <c r="O4875" s="43">
        <f>IF($I4875=0,0,INDEX(DarlErsatzRate,11))</f>
      </c>
      <c r="P4875" s="43">
        <f>IF($I4875=0,0,$Q4874*INDEX(DarlErsatzZins,11))</f>
      </c>
      <c r="Q4875" s="43">
        <f>IF($I4875=0,0,$Q4874+$P4875+$O4875)</f>
      </c>
      <c r="R4875" s="43">
        <f>IF($I4875=0,0,$J4875-$M4875-$N4875)</f>
      </c>
    </row>
    <row r="4876">
      <c r="A4876"/>
      <c r="B4876">
        <v>11</v>
      </c>
      <c r="C4876" s="43">
        <f>INDEX(DarlObj,11)</f>
      </c>
      <c r="D4876">
        <v>73</v>
      </c>
      <c r="E4876" s="51">
        <f>IF(INDEX(DarlBelegt,11)=0,0,EOMONTH(INDEX(DarlAuszahlung,11),72)+1)</f>
      </c>
      <c r="F4876" s="43">
        <f>IF($E4876=0,0,YEAR($E4876))</f>
      </c>
      <c r="G4876" s="43">
        <f>IF(INDEX(DarlBindung,11)="",1,IF($E4876&lt;=INDEX(DarlBindung,11),1,0))</f>
      </c>
      <c r="H4876" s="43">
        <f>IF($G4876=1,INDEX(DarlSollzins,11),INDEX(DarlAnschluss,11))</f>
      </c>
      <c r="I4876" s="43">
        <f>IF(INDEX(DarlBelegt,11)=0,0,IF(INDEX(DarlOhneTilgung,11)=1,IF(INDEX(DarlBindung,11)="",1,$G4876),IF($J4876&gt;0.005,1,0)))</f>
      </c>
      <c r="J4876" s="43">
        <f>IF($I4875=0,0,$R4875)</f>
      </c>
      <c r="K4876" s="43">
        <f>IF($I4876=0,0,IF(INDEX(DarlOhneTilgung,11)=1,0,IF(AND(INDEX(DarlTilgStart,11)&gt;0,$E4876=INDEX(DarlTilgStart,11)),$J4876*($H4876+INDEX(DarlTilgung,11))/100/12,IF(AND($G4876=0,$G4875=1),MAX($K4875,$J4876*($H4876+1)/100/12),$K4875))))</f>
      </c>
      <c r="L4876" s="43">
        <f>IF($I4876=0,0,$J4876*$H4876/100/12)</f>
      </c>
      <c r="M4876" s="43">
        <f>IF($I4876=0,0,IF(OR(INDEX(DarlOhneTilgung,11)=1,AND(INDEX(DarlTilgStart,11)&gt;0,$E4876&lt;INDEX(DarlTilgStart,11))),0,MIN(MAX(0,$K4876-$L4876),$J4876)))</f>
      </c>
      <c r="N4876" s="43">
        <f>IF($I4876=0,0,MIN(SUMIFS(SondBetrag,SondDarl,11,SondDatum,"&gt;="&amp;$E4876,SondDatum,"&lt;="&amp;EOMONTH($E4876,0)),$J4876-$M4876))</f>
      </c>
      <c r="O4876" s="43">
        <f>IF($I4876=0,0,INDEX(DarlErsatzRate,11))</f>
      </c>
      <c r="P4876" s="43">
        <f>IF($I4876=0,0,$Q4875*INDEX(DarlErsatzZins,11))</f>
      </c>
      <c r="Q4876" s="43">
        <f>IF($I4876=0,0,$Q4875+$P4876+$O4876)</f>
      </c>
      <c r="R4876" s="43">
        <f>IF($I4876=0,0,$J4876-$M4876-$N4876)</f>
      </c>
    </row>
    <row r="4877">
      <c r="A4877"/>
      <c r="B4877">
        <v>11</v>
      </c>
      <c r="C4877" s="43">
        <f>INDEX(DarlObj,11)</f>
      </c>
      <c r="D4877">
        <v>74</v>
      </c>
      <c r="E4877" s="51">
        <f>IF(INDEX(DarlBelegt,11)=0,0,EOMONTH(INDEX(DarlAuszahlung,11),73)+1)</f>
      </c>
      <c r="F4877" s="43">
        <f>IF($E4877=0,0,YEAR($E4877))</f>
      </c>
      <c r="G4877" s="43">
        <f>IF(INDEX(DarlBindung,11)="",1,IF($E4877&lt;=INDEX(DarlBindung,11),1,0))</f>
      </c>
      <c r="H4877" s="43">
        <f>IF($G4877=1,INDEX(DarlSollzins,11),INDEX(DarlAnschluss,11))</f>
      </c>
      <c r="I4877" s="43">
        <f>IF(INDEX(DarlBelegt,11)=0,0,IF(INDEX(DarlOhneTilgung,11)=1,IF(INDEX(DarlBindung,11)="",1,$G4877),IF($J4877&gt;0.005,1,0)))</f>
      </c>
      <c r="J4877" s="43">
        <f>IF($I4876=0,0,$R4876)</f>
      </c>
      <c r="K4877" s="43">
        <f>IF($I4877=0,0,IF(INDEX(DarlOhneTilgung,11)=1,0,IF(AND(INDEX(DarlTilgStart,11)&gt;0,$E4877=INDEX(DarlTilgStart,11)),$J4877*($H4877+INDEX(DarlTilgung,11))/100/12,IF(AND($G4877=0,$G4876=1),MAX($K4876,$J4877*($H4877+1)/100/12),$K4876))))</f>
      </c>
      <c r="L4877" s="43">
        <f>IF($I4877=0,0,$J4877*$H4877/100/12)</f>
      </c>
      <c r="M4877" s="43">
        <f>IF($I4877=0,0,IF(OR(INDEX(DarlOhneTilgung,11)=1,AND(INDEX(DarlTilgStart,11)&gt;0,$E4877&lt;INDEX(DarlTilgStart,11))),0,MIN(MAX(0,$K4877-$L4877),$J4877)))</f>
      </c>
      <c r="N4877" s="43">
        <f>IF($I4877=0,0,MIN(SUMIFS(SondBetrag,SondDarl,11,SondDatum,"&gt;="&amp;$E4877,SondDatum,"&lt;="&amp;EOMONTH($E4877,0)),$J4877-$M4877))</f>
      </c>
      <c r="O4877" s="43">
        <f>IF($I4877=0,0,INDEX(DarlErsatzRate,11))</f>
      </c>
      <c r="P4877" s="43">
        <f>IF($I4877=0,0,$Q4876*INDEX(DarlErsatzZins,11))</f>
      </c>
      <c r="Q4877" s="43">
        <f>IF($I4877=0,0,$Q4876+$P4877+$O4877)</f>
      </c>
      <c r="R4877" s="43">
        <f>IF($I4877=0,0,$J4877-$M4877-$N4877)</f>
      </c>
    </row>
    <row r="4878">
      <c r="A4878"/>
      <c r="B4878">
        <v>11</v>
      </c>
      <c r="C4878" s="43">
        <f>INDEX(DarlObj,11)</f>
      </c>
      <c r="D4878">
        <v>75</v>
      </c>
      <c r="E4878" s="51">
        <f>IF(INDEX(DarlBelegt,11)=0,0,EOMONTH(INDEX(DarlAuszahlung,11),74)+1)</f>
      </c>
      <c r="F4878" s="43">
        <f>IF($E4878=0,0,YEAR($E4878))</f>
      </c>
      <c r="G4878" s="43">
        <f>IF(INDEX(DarlBindung,11)="",1,IF($E4878&lt;=INDEX(DarlBindung,11),1,0))</f>
      </c>
      <c r="H4878" s="43">
        <f>IF($G4878=1,INDEX(DarlSollzins,11),INDEX(DarlAnschluss,11))</f>
      </c>
      <c r="I4878" s="43">
        <f>IF(INDEX(DarlBelegt,11)=0,0,IF(INDEX(DarlOhneTilgung,11)=1,IF(INDEX(DarlBindung,11)="",1,$G4878),IF($J4878&gt;0.005,1,0)))</f>
      </c>
      <c r="J4878" s="43">
        <f>IF($I4877=0,0,$R4877)</f>
      </c>
      <c r="K4878" s="43">
        <f>IF($I4878=0,0,IF(INDEX(DarlOhneTilgung,11)=1,0,IF(AND(INDEX(DarlTilgStart,11)&gt;0,$E4878=INDEX(DarlTilgStart,11)),$J4878*($H4878+INDEX(DarlTilgung,11))/100/12,IF(AND($G4878=0,$G4877=1),MAX($K4877,$J4878*($H4878+1)/100/12),$K4877))))</f>
      </c>
      <c r="L4878" s="43">
        <f>IF($I4878=0,0,$J4878*$H4878/100/12)</f>
      </c>
      <c r="M4878" s="43">
        <f>IF($I4878=0,0,IF(OR(INDEX(DarlOhneTilgung,11)=1,AND(INDEX(DarlTilgStart,11)&gt;0,$E4878&lt;INDEX(DarlTilgStart,11))),0,MIN(MAX(0,$K4878-$L4878),$J4878)))</f>
      </c>
      <c r="N4878" s="43">
        <f>IF($I4878=0,0,MIN(SUMIFS(SondBetrag,SondDarl,11,SondDatum,"&gt;="&amp;$E4878,SondDatum,"&lt;="&amp;EOMONTH($E4878,0)),$J4878-$M4878))</f>
      </c>
      <c r="O4878" s="43">
        <f>IF($I4878=0,0,INDEX(DarlErsatzRate,11))</f>
      </c>
      <c r="P4878" s="43">
        <f>IF($I4878=0,0,$Q4877*INDEX(DarlErsatzZins,11))</f>
      </c>
      <c r="Q4878" s="43">
        <f>IF($I4878=0,0,$Q4877+$P4878+$O4878)</f>
      </c>
      <c r="R4878" s="43">
        <f>IF($I4878=0,0,$J4878-$M4878-$N4878)</f>
      </c>
    </row>
    <row r="4879">
      <c r="A4879"/>
      <c r="B4879">
        <v>11</v>
      </c>
      <c r="C4879" s="43">
        <f>INDEX(DarlObj,11)</f>
      </c>
      <c r="D4879">
        <v>76</v>
      </c>
      <c r="E4879" s="51">
        <f>IF(INDEX(DarlBelegt,11)=0,0,EOMONTH(INDEX(DarlAuszahlung,11),75)+1)</f>
      </c>
      <c r="F4879" s="43">
        <f>IF($E4879=0,0,YEAR($E4879))</f>
      </c>
      <c r="G4879" s="43">
        <f>IF(INDEX(DarlBindung,11)="",1,IF($E4879&lt;=INDEX(DarlBindung,11),1,0))</f>
      </c>
      <c r="H4879" s="43">
        <f>IF($G4879=1,INDEX(DarlSollzins,11),INDEX(DarlAnschluss,11))</f>
      </c>
      <c r="I4879" s="43">
        <f>IF(INDEX(DarlBelegt,11)=0,0,IF(INDEX(DarlOhneTilgung,11)=1,IF(INDEX(DarlBindung,11)="",1,$G4879),IF($J4879&gt;0.005,1,0)))</f>
      </c>
      <c r="J4879" s="43">
        <f>IF($I4878=0,0,$R4878)</f>
      </c>
      <c r="K4879" s="43">
        <f>IF($I4879=0,0,IF(INDEX(DarlOhneTilgung,11)=1,0,IF(AND(INDEX(DarlTilgStart,11)&gt;0,$E4879=INDEX(DarlTilgStart,11)),$J4879*($H4879+INDEX(DarlTilgung,11))/100/12,IF(AND($G4879=0,$G4878=1),MAX($K4878,$J4879*($H4879+1)/100/12),$K4878))))</f>
      </c>
      <c r="L4879" s="43">
        <f>IF($I4879=0,0,$J4879*$H4879/100/12)</f>
      </c>
      <c r="M4879" s="43">
        <f>IF($I4879=0,0,IF(OR(INDEX(DarlOhneTilgung,11)=1,AND(INDEX(DarlTilgStart,11)&gt;0,$E4879&lt;INDEX(DarlTilgStart,11))),0,MIN(MAX(0,$K4879-$L4879),$J4879)))</f>
      </c>
      <c r="N4879" s="43">
        <f>IF($I4879=0,0,MIN(SUMIFS(SondBetrag,SondDarl,11,SondDatum,"&gt;="&amp;$E4879,SondDatum,"&lt;="&amp;EOMONTH($E4879,0)),$J4879-$M4879))</f>
      </c>
      <c r="O4879" s="43">
        <f>IF($I4879=0,0,INDEX(DarlErsatzRate,11))</f>
      </c>
      <c r="P4879" s="43">
        <f>IF($I4879=0,0,$Q4878*INDEX(DarlErsatzZins,11))</f>
      </c>
      <c r="Q4879" s="43">
        <f>IF($I4879=0,0,$Q4878+$P4879+$O4879)</f>
      </c>
      <c r="R4879" s="43">
        <f>IF($I4879=0,0,$J4879-$M4879-$N4879)</f>
      </c>
    </row>
    <row r="4880">
      <c r="A4880"/>
      <c r="B4880">
        <v>11</v>
      </c>
      <c r="C4880" s="43">
        <f>INDEX(DarlObj,11)</f>
      </c>
      <c r="D4880">
        <v>77</v>
      </c>
      <c r="E4880" s="51">
        <f>IF(INDEX(DarlBelegt,11)=0,0,EOMONTH(INDEX(DarlAuszahlung,11),76)+1)</f>
      </c>
      <c r="F4880" s="43">
        <f>IF($E4880=0,0,YEAR($E4880))</f>
      </c>
      <c r="G4880" s="43">
        <f>IF(INDEX(DarlBindung,11)="",1,IF($E4880&lt;=INDEX(DarlBindung,11),1,0))</f>
      </c>
      <c r="H4880" s="43">
        <f>IF($G4880=1,INDEX(DarlSollzins,11),INDEX(DarlAnschluss,11))</f>
      </c>
      <c r="I4880" s="43">
        <f>IF(INDEX(DarlBelegt,11)=0,0,IF(INDEX(DarlOhneTilgung,11)=1,IF(INDEX(DarlBindung,11)="",1,$G4880),IF($J4880&gt;0.005,1,0)))</f>
      </c>
      <c r="J4880" s="43">
        <f>IF($I4879=0,0,$R4879)</f>
      </c>
      <c r="K4880" s="43">
        <f>IF($I4880=0,0,IF(INDEX(DarlOhneTilgung,11)=1,0,IF(AND(INDEX(DarlTilgStart,11)&gt;0,$E4880=INDEX(DarlTilgStart,11)),$J4880*($H4880+INDEX(DarlTilgung,11))/100/12,IF(AND($G4880=0,$G4879=1),MAX($K4879,$J4880*($H4880+1)/100/12),$K4879))))</f>
      </c>
      <c r="L4880" s="43">
        <f>IF($I4880=0,0,$J4880*$H4880/100/12)</f>
      </c>
      <c r="M4880" s="43">
        <f>IF($I4880=0,0,IF(OR(INDEX(DarlOhneTilgung,11)=1,AND(INDEX(DarlTilgStart,11)&gt;0,$E4880&lt;INDEX(DarlTilgStart,11))),0,MIN(MAX(0,$K4880-$L4880),$J4880)))</f>
      </c>
      <c r="N4880" s="43">
        <f>IF($I4880=0,0,MIN(SUMIFS(SondBetrag,SondDarl,11,SondDatum,"&gt;="&amp;$E4880,SondDatum,"&lt;="&amp;EOMONTH($E4880,0)),$J4880-$M4880))</f>
      </c>
      <c r="O4880" s="43">
        <f>IF($I4880=0,0,INDEX(DarlErsatzRate,11))</f>
      </c>
      <c r="P4880" s="43">
        <f>IF($I4880=0,0,$Q4879*INDEX(DarlErsatzZins,11))</f>
      </c>
      <c r="Q4880" s="43">
        <f>IF($I4880=0,0,$Q4879+$P4880+$O4880)</f>
      </c>
      <c r="R4880" s="43">
        <f>IF($I4880=0,0,$J4880-$M4880-$N4880)</f>
      </c>
    </row>
    <row r="4881">
      <c r="A4881"/>
      <c r="B4881">
        <v>11</v>
      </c>
      <c r="C4881" s="43">
        <f>INDEX(DarlObj,11)</f>
      </c>
      <c r="D4881">
        <v>78</v>
      </c>
      <c r="E4881" s="51">
        <f>IF(INDEX(DarlBelegt,11)=0,0,EOMONTH(INDEX(DarlAuszahlung,11),77)+1)</f>
      </c>
      <c r="F4881" s="43">
        <f>IF($E4881=0,0,YEAR($E4881))</f>
      </c>
      <c r="G4881" s="43">
        <f>IF(INDEX(DarlBindung,11)="",1,IF($E4881&lt;=INDEX(DarlBindung,11),1,0))</f>
      </c>
      <c r="H4881" s="43">
        <f>IF($G4881=1,INDEX(DarlSollzins,11),INDEX(DarlAnschluss,11))</f>
      </c>
      <c r="I4881" s="43">
        <f>IF(INDEX(DarlBelegt,11)=0,0,IF(INDEX(DarlOhneTilgung,11)=1,IF(INDEX(DarlBindung,11)="",1,$G4881),IF($J4881&gt;0.005,1,0)))</f>
      </c>
      <c r="J4881" s="43">
        <f>IF($I4880=0,0,$R4880)</f>
      </c>
      <c r="K4881" s="43">
        <f>IF($I4881=0,0,IF(INDEX(DarlOhneTilgung,11)=1,0,IF(AND(INDEX(DarlTilgStart,11)&gt;0,$E4881=INDEX(DarlTilgStart,11)),$J4881*($H4881+INDEX(DarlTilgung,11))/100/12,IF(AND($G4881=0,$G4880=1),MAX($K4880,$J4881*($H4881+1)/100/12),$K4880))))</f>
      </c>
      <c r="L4881" s="43">
        <f>IF($I4881=0,0,$J4881*$H4881/100/12)</f>
      </c>
      <c r="M4881" s="43">
        <f>IF($I4881=0,0,IF(OR(INDEX(DarlOhneTilgung,11)=1,AND(INDEX(DarlTilgStart,11)&gt;0,$E4881&lt;INDEX(DarlTilgStart,11))),0,MIN(MAX(0,$K4881-$L4881),$J4881)))</f>
      </c>
      <c r="N4881" s="43">
        <f>IF($I4881=0,0,MIN(SUMIFS(SondBetrag,SondDarl,11,SondDatum,"&gt;="&amp;$E4881,SondDatum,"&lt;="&amp;EOMONTH($E4881,0)),$J4881-$M4881))</f>
      </c>
      <c r="O4881" s="43">
        <f>IF($I4881=0,0,INDEX(DarlErsatzRate,11))</f>
      </c>
      <c r="P4881" s="43">
        <f>IF($I4881=0,0,$Q4880*INDEX(DarlErsatzZins,11))</f>
      </c>
      <c r="Q4881" s="43">
        <f>IF($I4881=0,0,$Q4880+$P4881+$O4881)</f>
      </c>
      <c r="R4881" s="43">
        <f>IF($I4881=0,0,$J4881-$M4881-$N4881)</f>
      </c>
    </row>
    <row r="4882">
      <c r="A4882"/>
      <c r="B4882">
        <v>11</v>
      </c>
      <c r="C4882" s="43">
        <f>INDEX(DarlObj,11)</f>
      </c>
      <c r="D4882">
        <v>79</v>
      </c>
      <c r="E4882" s="51">
        <f>IF(INDEX(DarlBelegt,11)=0,0,EOMONTH(INDEX(DarlAuszahlung,11),78)+1)</f>
      </c>
      <c r="F4882" s="43">
        <f>IF($E4882=0,0,YEAR($E4882))</f>
      </c>
      <c r="G4882" s="43">
        <f>IF(INDEX(DarlBindung,11)="",1,IF($E4882&lt;=INDEX(DarlBindung,11),1,0))</f>
      </c>
      <c r="H4882" s="43">
        <f>IF($G4882=1,INDEX(DarlSollzins,11),INDEX(DarlAnschluss,11))</f>
      </c>
      <c r="I4882" s="43">
        <f>IF(INDEX(DarlBelegt,11)=0,0,IF(INDEX(DarlOhneTilgung,11)=1,IF(INDEX(DarlBindung,11)="",1,$G4882),IF($J4882&gt;0.005,1,0)))</f>
      </c>
      <c r="J4882" s="43">
        <f>IF($I4881=0,0,$R4881)</f>
      </c>
      <c r="K4882" s="43">
        <f>IF($I4882=0,0,IF(INDEX(DarlOhneTilgung,11)=1,0,IF(AND(INDEX(DarlTilgStart,11)&gt;0,$E4882=INDEX(DarlTilgStart,11)),$J4882*($H4882+INDEX(DarlTilgung,11))/100/12,IF(AND($G4882=0,$G4881=1),MAX($K4881,$J4882*($H4882+1)/100/12),$K4881))))</f>
      </c>
      <c r="L4882" s="43">
        <f>IF($I4882=0,0,$J4882*$H4882/100/12)</f>
      </c>
      <c r="M4882" s="43">
        <f>IF($I4882=0,0,IF(OR(INDEX(DarlOhneTilgung,11)=1,AND(INDEX(DarlTilgStart,11)&gt;0,$E4882&lt;INDEX(DarlTilgStart,11))),0,MIN(MAX(0,$K4882-$L4882),$J4882)))</f>
      </c>
      <c r="N4882" s="43">
        <f>IF($I4882=0,0,MIN(SUMIFS(SondBetrag,SondDarl,11,SondDatum,"&gt;="&amp;$E4882,SondDatum,"&lt;="&amp;EOMONTH($E4882,0)),$J4882-$M4882))</f>
      </c>
      <c r="O4882" s="43">
        <f>IF($I4882=0,0,INDEX(DarlErsatzRate,11))</f>
      </c>
      <c r="P4882" s="43">
        <f>IF($I4882=0,0,$Q4881*INDEX(DarlErsatzZins,11))</f>
      </c>
      <c r="Q4882" s="43">
        <f>IF($I4882=0,0,$Q4881+$P4882+$O4882)</f>
      </c>
      <c r="R4882" s="43">
        <f>IF($I4882=0,0,$J4882-$M4882-$N4882)</f>
      </c>
    </row>
    <row r="4883">
      <c r="A4883"/>
      <c r="B4883">
        <v>11</v>
      </c>
      <c r="C4883" s="43">
        <f>INDEX(DarlObj,11)</f>
      </c>
      <c r="D4883">
        <v>80</v>
      </c>
      <c r="E4883" s="51">
        <f>IF(INDEX(DarlBelegt,11)=0,0,EOMONTH(INDEX(DarlAuszahlung,11),79)+1)</f>
      </c>
      <c r="F4883" s="43">
        <f>IF($E4883=0,0,YEAR($E4883))</f>
      </c>
      <c r="G4883" s="43">
        <f>IF(INDEX(DarlBindung,11)="",1,IF($E4883&lt;=INDEX(DarlBindung,11),1,0))</f>
      </c>
      <c r="H4883" s="43">
        <f>IF($G4883=1,INDEX(DarlSollzins,11),INDEX(DarlAnschluss,11))</f>
      </c>
      <c r="I4883" s="43">
        <f>IF(INDEX(DarlBelegt,11)=0,0,IF(INDEX(DarlOhneTilgung,11)=1,IF(INDEX(DarlBindung,11)="",1,$G4883),IF($J4883&gt;0.005,1,0)))</f>
      </c>
      <c r="J4883" s="43">
        <f>IF($I4882=0,0,$R4882)</f>
      </c>
      <c r="K4883" s="43">
        <f>IF($I4883=0,0,IF(INDEX(DarlOhneTilgung,11)=1,0,IF(AND(INDEX(DarlTilgStart,11)&gt;0,$E4883=INDEX(DarlTilgStart,11)),$J4883*($H4883+INDEX(DarlTilgung,11))/100/12,IF(AND($G4883=0,$G4882=1),MAX($K4882,$J4883*($H4883+1)/100/12),$K4882))))</f>
      </c>
      <c r="L4883" s="43">
        <f>IF($I4883=0,0,$J4883*$H4883/100/12)</f>
      </c>
      <c r="M4883" s="43">
        <f>IF($I4883=0,0,IF(OR(INDEX(DarlOhneTilgung,11)=1,AND(INDEX(DarlTilgStart,11)&gt;0,$E4883&lt;INDEX(DarlTilgStart,11))),0,MIN(MAX(0,$K4883-$L4883),$J4883)))</f>
      </c>
      <c r="N4883" s="43">
        <f>IF($I4883=0,0,MIN(SUMIFS(SondBetrag,SondDarl,11,SondDatum,"&gt;="&amp;$E4883,SondDatum,"&lt;="&amp;EOMONTH($E4883,0)),$J4883-$M4883))</f>
      </c>
      <c r="O4883" s="43">
        <f>IF($I4883=0,0,INDEX(DarlErsatzRate,11))</f>
      </c>
      <c r="P4883" s="43">
        <f>IF($I4883=0,0,$Q4882*INDEX(DarlErsatzZins,11))</f>
      </c>
      <c r="Q4883" s="43">
        <f>IF($I4883=0,0,$Q4882+$P4883+$O4883)</f>
      </c>
      <c r="R4883" s="43">
        <f>IF($I4883=0,0,$J4883-$M4883-$N4883)</f>
      </c>
    </row>
    <row r="4884">
      <c r="A4884"/>
      <c r="B4884">
        <v>11</v>
      </c>
      <c r="C4884" s="43">
        <f>INDEX(DarlObj,11)</f>
      </c>
      <c r="D4884">
        <v>81</v>
      </c>
      <c r="E4884" s="51">
        <f>IF(INDEX(DarlBelegt,11)=0,0,EOMONTH(INDEX(DarlAuszahlung,11),80)+1)</f>
      </c>
      <c r="F4884" s="43">
        <f>IF($E4884=0,0,YEAR($E4884))</f>
      </c>
      <c r="G4884" s="43">
        <f>IF(INDEX(DarlBindung,11)="",1,IF($E4884&lt;=INDEX(DarlBindung,11),1,0))</f>
      </c>
      <c r="H4884" s="43">
        <f>IF($G4884=1,INDEX(DarlSollzins,11),INDEX(DarlAnschluss,11))</f>
      </c>
      <c r="I4884" s="43">
        <f>IF(INDEX(DarlBelegt,11)=0,0,IF(INDEX(DarlOhneTilgung,11)=1,IF(INDEX(DarlBindung,11)="",1,$G4884),IF($J4884&gt;0.005,1,0)))</f>
      </c>
      <c r="J4884" s="43">
        <f>IF($I4883=0,0,$R4883)</f>
      </c>
      <c r="K4884" s="43">
        <f>IF($I4884=0,0,IF(INDEX(DarlOhneTilgung,11)=1,0,IF(AND(INDEX(DarlTilgStart,11)&gt;0,$E4884=INDEX(DarlTilgStart,11)),$J4884*($H4884+INDEX(DarlTilgung,11))/100/12,IF(AND($G4884=0,$G4883=1),MAX($K4883,$J4884*($H4884+1)/100/12),$K4883))))</f>
      </c>
      <c r="L4884" s="43">
        <f>IF($I4884=0,0,$J4884*$H4884/100/12)</f>
      </c>
      <c r="M4884" s="43">
        <f>IF($I4884=0,0,IF(OR(INDEX(DarlOhneTilgung,11)=1,AND(INDEX(DarlTilgStart,11)&gt;0,$E4884&lt;INDEX(DarlTilgStart,11))),0,MIN(MAX(0,$K4884-$L4884),$J4884)))</f>
      </c>
      <c r="N4884" s="43">
        <f>IF($I4884=0,0,MIN(SUMIFS(SondBetrag,SondDarl,11,SondDatum,"&gt;="&amp;$E4884,SondDatum,"&lt;="&amp;EOMONTH($E4884,0)),$J4884-$M4884))</f>
      </c>
      <c r="O4884" s="43">
        <f>IF($I4884=0,0,INDEX(DarlErsatzRate,11))</f>
      </c>
      <c r="P4884" s="43">
        <f>IF($I4884=0,0,$Q4883*INDEX(DarlErsatzZins,11))</f>
      </c>
      <c r="Q4884" s="43">
        <f>IF($I4884=0,0,$Q4883+$P4884+$O4884)</f>
      </c>
      <c r="R4884" s="43">
        <f>IF($I4884=0,0,$J4884-$M4884-$N4884)</f>
      </c>
    </row>
    <row r="4885">
      <c r="A4885"/>
      <c r="B4885">
        <v>11</v>
      </c>
      <c r="C4885" s="43">
        <f>INDEX(DarlObj,11)</f>
      </c>
      <c r="D4885">
        <v>82</v>
      </c>
      <c r="E4885" s="51">
        <f>IF(INDEX(DarlBelegt,11)=0,0,EOMONTH(INDEX(DarlAuszahlung,11),81)+1)</f>
      </c>
      <c r="F4885" s="43">
        <f>IF($E4885=0,0,YEAR($E4885))</f>
      </c>
      <c r="G4885" s="43">
        <f>IF(INDEX(DarlBindung,11)="",1,IF($E4885&lt;=INDEX(DarlBindung,11),1,0))</f>
      </c>
      <c r="H4885" s="43">
        <f>IF($G4885=1,INDEX(DarlSollzins,11),INDEX(DarlAnschluss,11))</f>
      </c>
      <c r="I4885" s="43">
        <f>IF(INDEX(DarlBelegt,11)=0,0,IF(INDEX(DarlOhneTilgung,11)=1,IF(INDEX(DarlBindung,11)="",1,$G4885),IF($J4885&gt;0.005,1,0)))</f>
      </c>
      <c r="J4885" s="43">
        <f>IF($I4884=0,0,$R4884)</f>
      </c>
      <c r="K4885" s="43">
        <f>IF($I4885=0,0,IF(INDEX(DarlOhneTilgung,11)=1,0,IF(AND(INDEX(DarlTilgStart,11)&gt;0,$E4885=INDEX(DarlTilgStart,11)),$J4885*($H4885+INDEX(DarlTilgung,11))/100/12,IF(AND($G4885=0,$G4884=1),MAX($K4884,$J4885*($H4885+1)/100/12),$K4884))))</f>
      </c>
      <c r="L4885" s="43">
        <f>IF($I4885=0,0,$J4885*$H4885/100/12)</f>
      </c>
      <c r="M4885" s="43">
        <f>IF($I4885=0,0,IF(OR(INDEX(DarlOhneTilgung,11)=1,AND(INDEX(DarlTilgStart,11)&gt;0,$E4885&lt;INDEX(DarlTilgStart,11))),0,MIN(MAX(0,$K4885-$L4885),$J4885)))</f>
      </c>
      <c r="N4885" s="43">
        <f>IF($I4885=0,0,MIN(SUMIFS(SondBetrag,SondDarl,11,SondDatum,"&gt;="&amp;$E4885,SondDatum,"&lt;="&amp;EOMONTH($E4885,0)),$J4885-$M4885))</f>
      </c>
      <c r="O4885" s="43">
        <f>IF($I4885=0,0,INDEX(DarlErsatzRate,11))</f>
      </c>
      <c r="P4885" s="43">
        <f>IF($I4885=0,0,$Q4884*INDEX(DarlErsatzZins,11))</f>
      </c>
      <c r="Q4885" s="43">
        <f>IF($I4885=0,0,$Q4884+$P4885+$O4885)</f>
      </c>
      <c r="R4885" s="43">
        <f>IF($I4885=0,0,$J4885-$M4885-$N4885)</f>
      </c>
    </row>
    <row r="4886">
      <c r="A4886"/>
      <c r="B4886">
        <v>11</v>
      </c>
      <c r="C4886" s="43">
        <f>INDEX(DarlObj,11)</f>
      </c>
      <c r="D4886">
        <v>83</v>
      </c>
      <c r="E4886" s="51">
        <f>IF(INDEX(DarlBelegt,11)=0,0,EOMONTH(INDEX(DarlAuszahlung,11),82)+1)</f>
      </c>
      <c r="F4886" s="43">
        <f>IF($E4886=0,0,YEAR($E4886))</f>
      </c>
      <c r="G4886" s="43">
        <f>IF(INDEX(DarlBindung,11)="",1,IF($E4886&lt;=INDEX(DarlBindung,11),1,0))</f>
      </c>
      <c r="H4886" s="43">
        <f>IF($G4886=1,INDEX(DarlSollzins,11),INDEX(DarlAnschluss,11))</f>
      </c>
      <c r="I4886" s="43">
        <f>IF(INDEX(DarlBelegt,11)=0,0,IF(INDEX(DarlOhneTilgung,11)=1,IF(INDEX(DarlBindung,11)="",1,$G4886),IF($J4886&gt;0.005,1,0)))</f>
      </c>
      <c r="J4886" s="43">
        <f>IF($I4885=0,0,$R4885)</f>
      </c>
      <c r="K4886" s="43">
        <f>IF($I4886=0,0,IF(INDEX(DarlOhneTilgung,11)=1,0,IF(AND(INDEX(DarlTilgStart,11)&gt;0,$E4886=INDEX(DarlTilgStart,11)),$J4886*($H4886+INDEX(DarlTilgung,11))/100/12,IF(AND($G4886=0,$G4885=1),MAX($K4885,$J4886*($H4886+1)/100/12),$K4885))))</f>
      </c>
      <c r="L4886" s="43">
        <f>IF($I4886=0,0,$J4886*$H4886/100/12)</f>
      </c>
      <c r="M4886" s="43">
        <f>IF($I4886=0,0,IF(OR(INDEX(DarlOhneTilgung,11)=1,AND(INDEX(DarlTilgStart,11)&gt;0,$E4886&lt;INDEX(DarlTilgStart,11))),0,MIN(MAX(0,$K4886-$L4886),$J4886)))</f>
      </c>
      <c r="N4886" s="43">
        <f>IF($I4886=0,0,MIN(SUMIFS(SondBetrag,SondDarl,11,SondDatum,"&gt;="&amp;$E4886,SondDatum,"&lt;="&amp;EOMONTH($E4886,0)),$J4886-$M4886))</f>
      </c>
      <c r="O4886" s="43">
        <f>IF($I4886=0,0,INDEX(DarlErsatzRate,11))</f>
      </c>
      <c r="P4886" s="43">
        <f>IF($I4886=0,0,$Q4885*INDEX(DarlErsatzZins,11))</f>
      </c>
      <c r="Q4886" s="43">
        <f>IF($I4886=0,0,$Q4885+$P4886+$O4886)</f>
      </c>
      <c r="R4886" s="43">
        <f>IF($I4886=0,0,$J4886-$M4886-$N4886)</f>
      </c>
    </row>
    <row r="4887">
      <c r="A4887"/>
      <c r="B4887">
        <v>11</v>
      </c>
      <c r="C4887" s="43">
        <f>INDEX(DarlObj,11)</f>
      </c>
      <c r="D4887">
        <v>84</v>
      </c>
      <c r="E4887" s="51">
        <f>IF(INDEX(DarlBelegt,11)=0,0,EOMONTH(INDEX(DarlAuszahlung,11),83)+1)</f>
      </c>
      <c r="F4887" s="43">
        <f>IF($E4887=0,0,YEAR($E4887))</f>
      </c>
      <c r="G4887" s="43">
        <f>IF(INDEX(DarlBindung,11)="",1,IF($E4887&lt;=INDEX(DarlBindung,11),1,0))</f>
      </c>
      <c r="H4887" s="43">
        <f>IF($G4887=1,INDEX(DarlSollzins,11),INDEX(DarlAnschluss,11))</f>
      </c>
      <c r="I4887" s="43">
        <f>IF(INDEX(DarlBelegt,11)=0,0,IF(INDEX(DarlOhneTilgung,11)=1,IF(INDEX(DarlBindung,11)="",1,$G4887),IF($J4887&gt;0.005,1,0)))</f>
      </c>
      <c r="J4887" s="43">
        <f>IF($I4886=0,0,$R4886)</f>
      </c>
      <c r="K4887" s="43">
        <f>IF($I4887=0,0,IF(INDEX(DarlOhneTilgung,11)=1,0,IF(AND(INDEX(DarlTilgStart,11)&gt;0,$E4887=INDEX(DarlTilgStart,11)),$J4887*($H4887+INDEX(DarlTilgung,11))/100/12,IF(AND($G4887=0,$G4886=1),MAX($K4886,$J4887*($H4887+1)/100/12),$K4886))))</f>
      </c>
      <c r="L4887" s="43">
        <f>IF($I4887=0,0,$J4887*$H4887/100/12)</f>
      </c>
      <c r="M4887" s="43">
        <f>IF($I4887=0,0,IF(OR(INDEX(DarlOhneTilgung,11)=1,AND(INDEX(DarlTilgStart,11)&gt;0,$E4887&lt;INDEX(DarlTilgStart,11))),0,MIN(MAX(0,$K4887-$L4887),$J4887)))</f>
      </c>
      <c r="N4887" s="43">
        <f>IF($I4887=0,0,MIN(SUMIFS(SondBetrag,SondDarl,11,SondDatum,"&gt;="&amp;$E4887,SondDatum,"&lt;="&amp;EOMONTH($E4887,0)),$J4887-$M4887))</f>
      </c>
      <c r="O4887" s="43">
        <f>IF($I4887=0,0,INDEX(DarlErsatzRate,11))</f>
      </c>
      <c r="P4887" s="43">
        <f>IF($I4887=0,0,$Q4886*INDEX(DarlErsatzZins,11))</f>
      </c>
      <c r="Q4887" s="43">
        <f>IF($I4887=0,0,$Q4886+$P4887+$O4887)</f>
      </c>
      <c r="R4887" s="43">
        <f>IF($I4887=0,0,$J4887-$M4887-$N4887)</f>
      </c>
    </row>
    <row r="4888">
      <c r="A4888"/>
      <c r="B4888">
        <v>11</v>
      </c>
      <c r="C4888" s="43">
        <f>INDEX(DarlObj,11)</f>
      </c>
      <c r="D4888">
        <v>85</v>
      </c>
      <c r="E4888" s="51">
        <f>IF(INDEX(DarlBelegt,11)=0,0,EOMONTH(INDEX(DarlAuszahlung,11),84)+1)</f>
      </c>
      <c r="F4888" s="43">
        <f>IF($E4888=0,0,YEAR($E4888))</f>
      </c>
      <c r="G4888" s="43">
        <f>IF(INDEX(DarlBindung,11)="",1,IF($E4888&lt;=INDEX(DarlBindung,11),1,0))</f>
      </c>
      <c r="H4888" s="43">
        <f>IF($G4888=1,INDEX(DarlSollzins,11),INDEX(DarlAnschluss,11))</f>
      </c>
      <c r="I4888" s="43">
        <f>IF(INDEX(DarlBelegt,11)=0,0,IF(INDEX(DarlOhneTilgung,11)=1,IF(INDEX(DarlBindung,11)="",1,$G4888),IF($J4888&gt;0.005,1,0)))</f>
      </c>
      <c r="J4888" s="43">
        <f>IF($I4887=0,0,$R4887)</f>
      </c>
      <c r="K4888" s="43">
        <f>IF($I4888=0,0,IF(INDEX(DarlOhneTilgung,11)=1,0,IF(AND(INDEX(DarlTilgStart,11)&gt;0,$E4888=INDEX(DarlTilgStart,11)),$J4888*($H4888+INDEX(DarlTilgung,11))/100/12,IF(AND($G4888=0,$G4887=1),MAX($K4887,$J4888*($H4888+1)/100/12),$K4887))))</f>
      </c>
      <c r="L4888" s="43">
        <f>IF($I4888=0,0,$J4888*$H4888/100/12)</f>
      </c>
      <c r="M4888" s="43">
        <f>IF($I4888=0,0,IF(OR(INDEX(DarlOhneTilgung,11)=1,AND(INDEX(DarlTilgStart,11)&gt;0,$E4888&lt;INDEX(DarlTilgStart,11))),0,MIN(MAX(0,$K4888-$L4888),$J4888)))</f>
      </c>
      <c r="N4888" s="43">
        <f>IF($I4888=0,0,MIN(SUMIFS(SondBetrag,SondDarl,11,SondDatum,"&gt;="&amp;$E4888,SondDatum,"&lt;="&amp;EOMONTH($E4888,0)),$J4888-$M4888))</f>
      </c>
      <c r="O4888" s="43">
        <f>IF($I4888=0,0,INDEX(DarlErsatzRate,11))</f>
      </c>
      <c r="P4888" s="43">
        <f>IF($I4888=0,0,$Q4887*INDEX(DarlErsatzZins,11))</f>
      </c>
      <c r="Q4888" s="43">
        <f>IF($I4888=0,0,$Q4887+$P4888+$O4888)</f>
      </c>
      <c r="R4888" s="43">
        <f>IF($I4888=0,0,$J4888-$M4888-$N4888)</f>
      </c>
    </row>
    <row r="4889">
      <c r="A4889"/>
      <c r="B4889">
        <v>11</v>
      </c>
      <c r="C4889" s="43">
        <f>INDEX(DarlObj,11)</f>
      </c>
      <c r="D4889">
        <v>86</v>
      </c>
      <c r="E4889" s="51">
        <f>IF(INDEX(DarlBelegt,11)=0,0,EOMONTH(INDEX(DarlAuszahlung,11),85)+1)</f>
      </c>
      <c r="F4889" s="43">
        <f>IF($E4889=0,0,YEAR($E4889))</f>
      </c>
      <c r="G4889" s="43">
        <f>IF(INDEX(DarlBindung,11)="",1,IF($E4889&lt;=INDEX(DarlBindung,11),1,0))</f>
      </c>
      <c r="H4889" s="43">
        <f>IF($G4889=1,INDEX(DarlSollzins,11),INDEX(DarlAnschluss,11))</f>
      </c>
      <c r="I4889" s="43">
        <f>IF(INDEX(DarlBelegt,11)=0,0,IF(INDEX(DarlOhneTilgung,11)=1,IF(INDEX(DarlBindung,11)="",1,$G4889),IF($J4889&gt;0.005,1,0)))</f>
      </c>
      <c r="J4889" s="43">
        <f>IF($I4888=0,0,$R4888)</f>
      </c>
      <c r="K4889" s="43">
        <f>IF($I4889=0,0,IF(INDEX(DarlOhneTilgung,11)=1,0,IF(AND(INDEX(DarlTilgStart,11)&gt;0,$E4889=INDEX(DarlTilgStart,11)),$J4889*($H4889+INDEX(DarlTilgung,11))/100/12,IF(AND($G4889=0,$G4888=1),MAX($K4888,$J4889*($H4889+1)/100/12),$K4888))))</f>
      </c>
      <c r="L4889" s="43">
        <f>IF($I4889=0,0,$J4889*$H4889/100/12)</f>
      </c>
      <c r="M4889" s="43">
        <f>IF($I4889=0,0,IF(OR(INDEX(DarlOhneTilgung,11)=1,AND(INDEX(DarlTilgStart,11)&gt;0,$E4889&lt;INDEX(DarlTilgStart,11))),0,MIN(MAX(0,$K4889-$L4889),$J4889)))</f>
      </c>
      <c r="N4889" s="43">
        <f>IF($I4889=0,0,MIN(SUMIFS(SondBetrag,SondDarl,11,SondDatum,"&gt;="&amp;$E4889,SondDatum,"&lt;="&amp;EOMONTH($E4889,0)),$J4889-$M4889))</f>
      </c>
      <c r="O4889" s="43">
        <f>IF($I4889=0,0,INDEX(DarlErsatzRate,11))</f>
      </c>
      <c r="P4889" s="43">
        <f>IF($I4889=0,0,$Q4888*INDEX(DarlErsatzZins,11))</f>
      </c>
      <c r="Q4889" s="43">
        <f>IF($I4889=0,0,$Q4888+$P4889+$O4889)</f>
      </c>
      <c r="R4889" s="43">
        <f>IF($I4889=0,0,$J4889-$M4889-$N4889)</f>
      </c>
    </row>
    <row r="4890">
      <c r="A4890"/>
      <c r="B4890">
        <v>11</v>
      </c>
      <c r="C4890" s="43">
        <f>INDEX(DarlObj,11)</f>
      </c>
      <c r="D4890">
        <v>87</v>
      </c>
      <c r="E4890" s="51">
        <f>IF(INDEX(DarlBelegt,11)=0,0,EOMONTH(INDEX(DarlAuszahlung,11),86)+1)</f>
      </c>
      <c r="F4890" s="43">
        <f>IF($E4890=0,0,YEAR($E4890))</f>
      </c>
      <c r="G4890" s="43">
        <f>IF(INDEX(DarlBindung,11)="",1,IF($E4890&lt;=INDEX(DarlBindung,11),1,0))</f>
      </c>
      <c r="H4890" s="43">
        <f>IF($G4890=1,INDEX(DarlSollzins,11),INDEX(DarlAnschluss,11))</f>
      </c>
      <c r="I4890" s="43">
        <f>IF(INDEX(DarlBelegt,11)=0,0,IF(INDEX(DarlOhneTilgung,11)=1,IF(INDEX(DarlBindung,11)="",1,$G4890),IF($J4890&gt;0.005,1,0)))</f>
      </c>
      <c r="J4890" s="43">
        <f>IF($I4889=0,0,$R4889)</f>
      </c>
      <c r="K4890" s="43">
        <f>IF($I4890=0,0,IF(INDEX(DarlOhneTilgung,11)=1,0,IF(AND(INDEX(DarlTilgStart,11)&gt;0,$E4890=INDEX(DarlTilgStart,11)),$J4890*($H4890+INDEX(DarlTilgung,11))/100/12,IF(AND($G4890=0,$G4889=1),MAX($K4889,$J4890*($H4890+1)/100/12),$K4889))))</f>
      </c>
      <c r="L4890" s="43">
        <f>IF($I4890=0,0,$J4890*$H4890/100/12)</f>
      </c>
      <c r="M4890" s="43">
        <f>IF($I4890=0,0,IF(OR(INDEX(DarlOhneTilgung,11)=1,AND(INDEX(DarlTilgStart,11)&gt;0,$E4890&lt;INDEX(DarlTilgStart,11))),0,MIN(MAX(0,$K4890-$L4890),$J4890)))</f>
      </c>
      <c r="N4890" s="43">
        <f>IF($I4890=0,0,MIN(SUMIFS(SondBetrag,SondDarl,11,SondDatum,"&gt;="&amp;$E4890,SondDatum,"&lt;="&amp;EOMONTH($E4890,0)),$J4890-$M4890))</f>
      </c>
      <c r="O4890" s="43">
        <f>IF($I4890=0,0,INDEX(DarlErsatzRate,11))</f>
      </c>
      <c r="P4890" s="43">
        <f>IF($I4890=0,0,$Q4889*INDEX(DarlErsatzZins,11))</f>
      </c>
      <c r="Q4890" s="43">
        <f>IF($I4890=0,0,$Q4889+$P4890+$O4890)</f>
      </c>
      <c r="R4890" s="43">
        <f>IF($I4890=0,0,$J4890-$M4890-$N4890)</f>
      </c>
    </row>
    <row r="4891">
      <c r="A4891"/>
      <c r="B4891">
        <v>11</v>
      </c>
      <c r="C4891" s="43">
        <f>INDEX(DarlObj,11)</f>
      </c>
      <c r="D4891">
        <v>88</v>
      </c>
      <c r="E4891" s="51">
        <f>IF(INDEX(DarlBelegt,11)=0,0,EOMONTH(INDEX(DarlAuszahlung,11),87)+1)</f>
      </c>
      <c r="F4891" s="43">
        <f>IF($E4891=0,0,YEAR($E4891))</f>
      </c>
      <c r="G4891" s="43">
        <f>IF(INDEX(DarlBindung,11)="",1,IF($E4891&lt;=INDEX(DarlBindung,11),1,0))</f>
      </c>
      <c r="H4891" s="43">
        <f>IF($G4891=1,INDEX(DarlSollzins,11),INDEX(DarlAnschluss,11))</f>
      </c>
      <c r="I4891" s="43">
        <f>IF(INDEX(DarlBelegt,11)=0,0,IF(INDEX(DarlOhneTilgung,11)=1,IF(INDEX(DarlBindung,11)="",1,$G4891),IF($J4891&gt;0.005,1,0)))</f>
      </c>
      <c r="J4891" s="43">
        <f>IF($I4890=0,0,$R4890)</f>
      </c>
      <c r="K4891" s="43">
        <f>IF($I4891=0,0,IF(INDEX(DarlOhneTilgung,11)=1,0,IF(AND(INDEX(DarlTilgStart,11)&gt;0,$E4891=INDEX(DarlTilgStart,11)),$J4891*($H4891+INDEX(DarlTilgung,11))/100/12,IF(AND($G4891=0,$G4890=1),MAX($K4890,$J4891*($H4891+1)/100/12),$K4890))))</f>
      </c>
      <c r="L4891" s="43">
        <f>IF($I4891=0,0,$J4891*$H4891/100/12)</f>
      </c>
      <c r="M4891" s="43">
        <f>IF($I4891=0,0,IF(OR(INDEX(DarlOhneTilgung,11)=1,AND(INDEX(DarlTilgStart,11)&gt;0,$E4891&lt;INDEX(DarlTilgStart,11))),0,MIN(MAX(0,$K4891-$L4891),$J4891)))</f>
      </c>
      <c r="N4891" s="43">
        <f>IF($I4891=0,0,MIN(SUMIFS(SondBetrag,SondDarl,11,SondDatum,"&gt;="&amp;$E4891,SondDatum,"&lt;="&amp;EOMONTH($E4891,0)),$J4891-$M4891))</f>
      </c>
      <c r="O4891" s="43">
        <f>IF($I4891=0,0,INDEX(DarlErsatzRate,11))</f>
      </c>
      <c r="P4891" s="43">
        <f>IF($I4891=0,0,$Q4890*INDEX(DarlErsatzZins,11))</f>
      </c>
      <c r="Q4891" s="43">
        <f>IF($I4891=0,0,$Q4890+$P4891+$O4891)</f>
      </c>
      <c r="R4891" s="43">
        <f>IF($I4891=0,0,$J4891-$M4891-$N4891)</f>
      </c>
    </row>
    <row r="4892">
      <c r="A4892"/>
      <c r="B4892">
        <v>11</v>
      </c>
      <c r="C4892" s="43">
        <f>INDEX(DarlObj,11)</f>
      </c>
      <c r="D4892">
        <v>89</v>
      </c>
      <c r="E4892" s="51">
        <f>IF(INDEX(DarlBelegt,11)=0,0,EOMONTH(INDEX(DarlAuszahlung,11),88)+1)</f>
      </c>
      <c r="F4892" s="43">
        <f>IF($E4892=0,0,YEAR($E4892))</f>
      </c>
      <c r="G4892" s="43">
        <f>IF(INDEX(DarlBindung,11)="",1,IF($E4892&lt;=INDEX(DarlBindung,11),1,0))</f>
      </c>
      <c r="H4892" s="43">
        <f>IF($G4892=1,INDEX(DarlSollzins,11),INDEX(DarlAnschluss,11))</f>
      </c>
      <c r="I4892" s="43">
        <f>IF(INDEX(DarlBelegt,11)=0,0,IF(INDEX(DarlOhneTilgung,11)=1,IF(INDEX(DarlBindung,11)="",1,$G4892),IF($J4892&gt;0.005,1,0)))</f>
      </c>
      <c r="J4892" s="43">
        <f>IF($I4891=0,0,$R4891)</f>
      </c>
      <c r="K4892" s="43">
        <f>IF($I4892=0,0,IF(INDEX(DarlOhneTilgung,11)=1,0,IF(AND(INDEX(DarlTilgStart,11)&gt;0,$E4892=INDEX(DarlTilgStart,11)),$J4892*($H4892+INDEX(DarlTilgung,11))/100/12,IF(AND($G4892=0,$G4891=1),MAX($K4891,$J4892*($H4892+1)/100/12),$K4891))))</f>
      </c>
      <c r="L4892" s="43">
        <f>IF($I4892=0,0,$J4892*$H4892/100/12)</f>
      </c>
      <c r="M4892" s="43">
        <f>IF($I4892=0,0,IF(OR(INDEX(DarlOhneTilgung,11)=1,AND(INDEX(DarlTilgStart,11)&gt;0,$E4892&lt;INDEX(DarlTilgStart,11))),0,MIN(MAX(0,$K4892-$L4892),$J4892)))</f>
      </c>
      <c r="N4892" s="43">
        <f>IF($I4892=0,0,MIN(SUMIFS(SondBetrag,SondDarl,11,SondDatum,"&gt;="&amp;$E4892,SondDatum,"&lt;="&amp;EOMONTH($E4892,0)),$J4892-$M4892))</f>
      </c>
      <c r="O4892" s="43">
        <f>IF($I4892=0,0,INDEX(DarlErsatzRate,11))</f>
      </c>
      <c r="P4892" s="43">
        <f>IF($I4892=0,0,$Q4891*INDEX(DarlErsatzZins,11))</f>
      </c>
      <c r="Q4892" s="43">
        <f>IF($I4892=0,0,$Q4891+$P4892+$O4892)</f>
      </c>
      <c r="R4892" s="43">
        <f>IF($I4892=0,0,$J4892-$M4892-$N4892)</f>
      </c>
    </row>
    <row r="4893">
      <c r="A4893"/>
      <c r="B4893">
        <v>11</v>
      </c>
      <c r="C4893" s="43">
        <f>INDEX(DarlObj,11)</f>
      </c>
      <c r="D4893">
        <v>90</v>
      </c>
      <c r="E4893" s="51">
        <f>IF(INDEX(DarlBelegt,11)=0,0,EOMONTH(INDEX(DarlAuszahlung,11),89)+1)</f>
      </c>
      <c r="F4893" s="43">
        <f>IF($E4893=0,0,YEAR($E4893))</f>
      </c>
      <c r="G4893" s="43">
        <f>IF(INDEX(DarlBindung,11)="",1,IF($E4893&lt;=INDEX(DarlBindung,11),1,0))</f>
      </c>
      <c r="H4893" s="43">
        <f>IF($G4893=1,INDEX(DarlSollzins,11),INDEX(DarlAnschluss,11))</f>
      </c>
      <c r="I4893" s="43">
        <f>IF(INDEX(DarlBelegt,11)=0,0,IF(INDEX(DarlOhneTilgung,11)=1,IF(INDEX(DarlBindung,11)="",1,$G4893),IF($J4893&gt;0.005,1,0)))</f>
      </c>
      <c r="J4893" s="43">
        <f>IF($I4892=0,0,$R4892)</f>
      </c>
      <c r="K4893" s="43">
        <f>IF($I4893=0,0,IF(INDEX(DarlOhneTilgung,11)=1,0,IF(AND(INDEX(DarlTilgStart,11)&gt;0,$E4893=INDEX(DarlTilgStart,11)),$J4893*($H4893+INDEX(DarlTilgung,11))/100/12,IF(AND($G4893=0,$G4892=1),MAX($K4892,$J4893*($H4893+1)/100/12),$K4892))))</f>
      </c>
      <c r="L4893" s="43">
        <f>IF($I4893=0,0,$J4893*$H4893/100/12)</f>
      </c>
      <c r="M4893" s="43">
        <f>IF($I4893=0,0,IF(OR(INDEX(DarlOhneTilgung,11)=1,AND(INDEX(DarlTilgStart,11)&gt;0,$E4893&lt;INDEX(DarlTilgStart,11))),0,MIN(MAX(0,$K4893-$L4893),$J4893)))</f>
      </c>
      <c r="N4893" s="43">
        <f>IF($I4893=0,0,MIN(SUMIFS(SondBetrag,SondDarl,11,SondDatum,"&gt;="&amp;$E4893,SondDatum,"&lt;="&amp;EOMONTH($E4893,0)),$J4893-$M4893))</f>
      </c>
      <c r="O4893" s="43">
        <f>IF($I4893=0,0,INDEX(DarlErsatzRate,11))</f>
      </c>
      <c r="P4893" s="43">
        <f>IF($I4893=0,0,$Q4892*INDEX(DarlErsatzZins,11))</f>
      </c>
      <c r="Q4893" s="43">
        <f>IF($I4893=0,0,$Q4892+$P4893+$O4893)</f>
      </c>
      <c r="R4893" s="43">
        <f>IF($I4893=0,0,$J4893-$M4893-$N4893)</f>
      </c>
    </row>
    <row r="4894">
      <c r="A4894"/>
      <c r="B4894">
        <v>11</v>
      </c>
      <c r="C4894" s="43">
        <f>INDEX(DarlObj,11)</f>
      </c>
      <c r="D4894">
        <v>91</v>
      </c>
      <c r="E4894" s="51">
        <f>IF(INDEX(DarlBelegt,11)=0,0,EOMONTH(INDEX(DarlAuszahlung,11),90)+1)</f>
      </c>
      <c r="F4894" s="43">
        <f>IF($E4894=0,0,YEAR($E4894))</f>
      </c>
      <c r="G4894" s="43">
        <f>IF(INDEX(DarlBindung,11)="",1,IF($E4894&lt;=INDEX(DarlBindung,11),1,0))</f>
      </c>
      <c r="H4894" s="43">
        <f>IF($G4894=1,INDEX(DarlSollzins,11),INDEX(DarlAnschluss,11))</f>
      </c>
      <c r="I4894" s="43">
        <f>IF(INDEX(DarlBelegt,11)=0,0,IF(INDEX(DarlOhneTilgung,11)=1,IF(INDEX(DarlBindung,11)="",1,$G4894),IF($J4894&gt;0.005,1,0)))</f>
      </c>
      <c r="J4894" s="43">
        <f>IF($I4893=0,0,$R4893)</f>
      </c>
      <c r="K4894" s="43">
        <f>IF($I4894=0,0,IF(INDEX(DarlOhneTilgung,11)=1,0,IF(AND(INDEX(DarlTilgStart,11)&gt;0,$E4894=INDEX(DarlTilgStart,11)),$J4894*($H4894+INDEX(DarlTilgung,11))/100/12,IF(AND($G4894=0,$G4893=1),MAX($K4893,$J4894*($H4894+1)/100/12),$K4893))))</f>
      </c>
      <c r="L4894" s="43">
        <f>IF($I4894=0,0,$J4894*$H4894/100/12)</f>
      </c>
      <c r="M4894" s="43">
        <f>IF($I4894=0,0,IF(OR(INDEX(DarlOhneTilgung,11)=1,AND(INDEX(DarlTilgStart,11)&gt;0,$E4894&lt;INDEX(DarlTilgStart,11))),0,MIN(MAX(0,$K4894-$L4894),$J4894)))</f>
      </c>
      <c r="N4894" s="43">
        <f>IF($I4894=0,0,MIN(SUMIFS(SondBetrag,SondDarl,11,SondDatum,"&gt;="&amp;$E4894,SondDatum,"&lt;="&amp;EOMONTH($E4894,0)),$J4894-$M4894))</f>
      </c>
      <c r="O4894" s="43">
        <f>IF($I4894=0,0,INDEX(DarlErsatzRate,11))</f>
      </c>
      <c r="P4894" s="43">
        <f>IF($I4894=0,0,$Q4893*INDEX(DarlErsatzZins,11))</f>
      </c>
      <c r="Q4894" s="43">
        <f>IF($I4894=0,0,$Q4893+$P4894+$O4894)</f>
      </c>
      <c r="R4894" s="43">
        <f>IF($I4894=0,0,$J4894-$M4894-$N4894)</f>
      </c>
    </row>
    <row r="4895">
      <c r="A4895"/>
      <c r="B4895">
        <v>11</v>
      </c>
      <c r="C4895" s="43">
        <f>INDEX(DarlObj,11)</f>
      </c>
      <c r="D4895">
        <v>92</v>
      </c>
      <c r="E4895" s="51">
        <f>IF(INDEX(DarlBelegt,11)=0,0,EOMONTH(INDEX(DarlAuszahlung,11),91)+1)</f>
      </c>
      <c r="F4895" s="43">
        <f>IF($E4895=0,0,YEAR($E4895))</f>
      </c>
      <c r="G4895" s="43">
        <f>IF(INDEX(DarlBindung,11)="",1,IF($E4895&lt;=INDEX(DarlBindung,11),1,0))</f>
      </c>
      <c r="H4895" s="43">
        <f>IF($G4895=1,INDEX(DarlSollzins,11),INDEX(DarlAnschluss,11))</f>
      </c>
      <c r="I4895" s="43">
        <f>IF(INDEX(DarlBelegt,11)=0,0,IF(INDEX(DarlOhneTilgung,11)=1,IF(INDEX(DarlBindung,11)="",1,$G4895),IF($J4895&gt;0.005,1,0)))</f>
      </c>
      <c r="J4895" s="43">
        <f>IF($I4894=0,0,$R4894)</f>
      </c>
      <c r="K4895" s="43">
        <f>IF($I4895=0,0,IF(INDEX(DarlOhneTilgung,11)=1,0,IF(AND(INDEX(DarlTilgStart,11)&gt;0,$E4895=INDEX(DarlTilgStart,11)),$J4895*($H4895+INDEX(DarlTilgung,11))/100/12,IF(AND($G4895=0,$G4894=1),MAX($K4894,$J4895*($H4895+1)/100/12),$K4894))))</f>
      </c>
      <c r="L4895" s="43">
        <f>IF($I4895=0,0,$J4895*$H4895/100/12)</f>
      </c>
      <c r="M4895" s="43">
        <f>IF($I4895=0,0,IF(OR(INDEX(DarlOhneTilgung,11)=1,AND(INDEX(DarlTilgStart,11)&gt;0,$E4895&lt;INDEX(DarlTilgStart,11))),0,MIN(MAX(0,$K4895-$L4895),$J4895)))</f>
      </c>
      <c r="N4895" s="43">
        <f>IF($I4895=0,0,MIN(SUMIFS(SondBetrag,SondDarl,11,SondDatum,"&gt;="&amp;$E4895,SondDatum,"&lt;="&amp;EOMONTH($E4895,0)),$J4895-$M4895))</f>
      </c>
      <c r="O4895" s="43">
        <f>IF($I4895=0,0,INDEX(DarlErsatzRate,11))</f>
      </c>
      <c r="P4895" s="43">
        <f>IF($I4895=0,0,$Q4894*INDEX(DarlErsatzZins,11))</f>
      </c>
      <c r="Q4895" s="43">
        <f>IF($I4895=0,0,$Q4894+$P4895+$O4895)</f>
      </c>
      <c r="R4895" s="43">
        <f>IF($I4895=0,0,$J4895-$M4895-$N4895)</f>
      </c>
    </row>
    <row r="4896">
      <c r="A4896"/>
      <c r="B4896">
        <v>11</v>
      </c>
      <c r="C4896" s="43">
        <f>INDEX(DarlObj,11)</f>
      </c>
      <c r="D4896">
        <v>93</v>
      </c>
      <c r="E4896" s="51">
        <f>IF(INDEX(DarlBelegt,11)=0,0,EOMONTH(INDEX(DarlAuszahlung,11),92)+1)</f>
      </c>
      <c r="F4896" s="43">
        <f>IF($E4896=0,0,YEAR($E4896))</f>
      </c>
      <c r="G4896" s="43">
        <f>IF(INDEX(DarlBindung,11)="",1,IF($E4896&lt;=INDEX(DarlBindung,11),1,0))</f>
      </c>
      <c r="H4896" s="43">
        <f>IF($G4896=1,INDEX(DarlSollzins,11),INDEX(DarlAnschluss,11))</f>
      </c>
      <c r="I4896" s="43">
        <f>IF(INDEX(DarlBelegt,11)=0,0,IF(INDEX(DarlOhneTilgung,11)=1,IF(INDEX(DarlBindung,11)="",1,$G4896),IF($J4896&gt;0.005,1,0)))</f>
      </c>
      <c r="J4896" s="43">
        <f>IF($I4895=0,0,$R4895)</f>
      </c>
      <c r="K4896" s="43">
        <f>IF($I4896=0,0,IF(INDEX(DarlOhneTilgung,11)=1,0,IF(AND(INDEX(DarlTilgStart,11)&gt;0,$E4896=INDEX(DarlTilgStart,11)),$J4896*($H4896+INDEX(DarlTilgung,11))/100/12,IF(AND($G4896=0,$G4895=1),MAX($K4895,$J4896*($H4896+1)/100/12),$K4895))))</f>
      </c>
      <c r="L4896" s="43">
        <f>IF($I4896=0,0,$J4896*$H4896/100/12)</f>
      </c>
      <c r="M4896" s="43">
        <f>IF($I4896=0,0,IF(OR(INDEX(DarlOhneTilgung,11)=1,AND(INDEX(DarlTilgStart,11)&gt;0,$E4896&lt;INDEX(DarlTilgStart,11))),0,MIN(MAX(0,$K4896-$L4896),$J4896)))</f>
      </c>
      <c r="N4896" s="43">
        <f>IF($I4896=0,0,MIN(SUMIFS(SondBetrag,SondDarl,11,SondDatum,"&gt;="&amp;$E4896,SondDatum,"&lt;="&amp;EOMONTH($E4896,0)),$J4896-$M4896))</f>
      </c>
      <c r="O4896" s="43">
        <f>IF($I4896=0,0,INDEX(DarlErsatzRate,11))</f>
      </c>
      <c r="P4896" s="43">
        <f>IF($I4896=0,0,$Q4895*INDEX(DarlErsatzZins,11))</f>
      </c>
      <c r="Q4896" s="43">
        <f>IF($I4896=0,0,$Q4895+$P4896+$O4896)</f>
      </c>
      <c r="R4896" s="43">
        <f>IF($I4896=0,0,$J4896-$M4896-$N4896)</f>
      </c>
    </row>
    <row r="4897">
      <c r="A4897"/>
      <c r="B4897">
        <v>11</v>
      </c>
      <c r="C4897" s="43">
        <f>INDEX(DarlObj,11)</f>
      </c>
      <c r="D4897">
        <v>94</v>
      </c>
      <c r="E4897" s="51">
        <f>IF(INDEX(DarlBelegt,11)=0,0,EOMONTH(INDEX(DarlAuszahlung,11),93)+1)</f>
      </c>
      <c r="F4897" s="43">
        <f>IF($E4897=0,0,YEAR($E4897))</f>
      </c>
      <c r="G4897" s="43">
        <f>IF(INDEX(DarlBindung,11)="",1,IF($E4897&lt;=INDEX(DarlBindung,11),1,0))</f>
      </c>
      <c r="H4897" s="43">
        <f>IF($G4897=1,INDEX(DarlSollzins,11),INDEX(DarlAnschluss,11))</f>
      </c>
      <c r="I4897" s="43">
        <f>IF(INDEX(DarlBelegt,11)=0,0,IF(INDEX(DarlOhneTilgung,11)=1,IF(INDEX(DarlBindung,11)="",1,$G4897),IF($J4897&gt;0.005,1,0)))</f>
      </c>
      <c r="J4897" s="43">
        <f>IF($I4896=0,0,$R4896)</f>
      </c>
      <c r="K4897" s="43">
        <f>IF($I4897=0,0,IF(INDEX(DarlOhneTilgung,11)=1,0,IF(AND(INDEX(DarlTilgStart,11)&gt;0,$E4897=INDEX(DarlTilgStart,11)),$J4897*($H4897+INDEX(DarlTilgung,11))/100/12,IF(AND($G4897=0,$G4896=1),MAX($K4896,$J4897*($H4897+1)/100/12),$K4896))))</f>
      </c>
      <c r="L4897" s="43">
        <f>IF($I4897=0,0,$J4897*$H4897/100/12)</f>
      </c>
      <c r="M4897" s="43">
        <f>IF($I4897=0,0,IF(OR(INDEX(DarlOhneTilgung,11)=1,AND(INDEX(DarlTilgStart,11)&gt;0,$E4897&lt;INDEX(DarlTilgStart,11))),0,MIN(MAX(0,$K4897-$L4897),$J4897)))</f>
      </c>
      <c r="N4897" s="43">
        <f>IF($I4897=0,0,MIN(SUMIFS(SondBetrag,SondDarl,11,SondDatum,"&gt;="&amp;$E4897,SondDatum,"&lt;="&amp;EOMONTH($E4897,0)),$J4897-$M4897))</f>
      </c>
      <c r="O4897" s="43">
        <f>IF($I4897=0,0,INDEX(DarlErsatzRate,11))</f>
      </c>
      <c r="P4897" s="43">
        <f>IF($I4897=0,0,$Q4896*INDEX(DarlErsatzZins,11))</f>
      </c>
      <c r="Q4897" s="43">
        <f>IF($I4897=0,0,$Q4896+$P4897+$O4897)</f>
      </c>
      <c r="R4897" s="43">
        <f>IF($I4897=0,0,$J4897-$M4897-$N4897)</f>
      </c>
    </row>
    <row r="4898">
      <c r="A4898"/>
      <c r="B4898">
        <v>11</v>
      </c>
      <c r="C4898" s="43">
        <f>INDEX(DarlObj,11)</f>
      </c>
      <c r="D4898">
        <v>95</v>
      </c>
      <c r="E4898" s="51">
        <f>IF(INDEX(DarlBelegt,11)=0,0,EOMONTH(INDEX(DarlAuszahlung,11),94)+1)</f>
      </c>
      <c r="F4898" s="43">
        <f>IF($E4898=0,0,YEAR($E4898))</f>
      </c>
      <c r="G4898" s="43">
        <f>IF(INDEX(DarlBindung,11)="",1,IF($E4898&lt;=INDEX(DarlBindung,11),1,0))</f>
      </c>
      <c r="H4898" s="43">
        <f>IF($G4898=1,INDEX(DarlSollzins,11),INDEX(DarlAnschluss,11))</f>
      </c>
      <c r="I4898" s="43">
        <f>IF(INDEX(DarlBelegt,11)=0,0,IF(INDEX(DarlOhneTilgung,11)=1,IF(INDEX(DarlBindung,11)="",1,$G4898),IF($J4898&gt;0.005,1,0)))</f>
      </c>
      <c r="J4898" s="43">
        <f>IF($I4897=0,0,$R4897)</f>
      </c>
      <c r="K4898" s="43">
        <f>IF($I4898=0,0,IF(INDEX(DarlOhneTilgung,11)=1,0,IF(AND(INDEX(DarlTilgStart,11)&gt;0,$E4898=INDEX(DarlTilgStart,11)),$J4898*($H4898+INDEX(DarlTilgung,11))/100/12,IF(AND($G4898=0,$G4897=1),MAX($K4897,$J4898*($H4898+1)/100/12),$K4897))))</f>
      </c>
      <c r="L4898" s="43">
        <f>IF($I4898=0,0,$J4898*$H4898/100/12)</f>
      </c>
      <c r="M4898" s="43">
        <f>IF($I4898=0,0,IF(OR(INDEX(DarlOhneTilgung,11)=1,AND(INDEX(DarlTilgStart,11)&gt;0,$E4898&lt;INDEX(DarlTilgStart,11))),0,MIN(MAX(0,$K4898-$L4898),$J4898)))</f>
      </c>
      <c r="N4898" s="43">
        <f>IF($I4898=0,0,MIN(SUMIFS(SondBetrag,SondDarl,11,SondDatum,"&gt;="&amp;$E4898,SondDatum,"&lt;="&amp;EOMONTH($E4898,0)),$J4898-$M4898))</f>
      </c>
      <c r="O4898" s="43">
        <f>IF($I4898=0,0,INDEX(DarlErsatzRate,11))</f>
      </c>
      <c r="P4898" s="43">
        <f>IF($I4898=0,0,$Q4897*INDEX(DarlErsatzZins,11))</f>
      </c>
      <c r="Q4898" s="43">
        <f>IF($I4898=0,0,$Q4897+$P4898+$O4898)</f>
      </c>
      <c r="R4898" s="43">
        <f>IF($I4898=0,0,$J4898-$M4898-$N4898)</f>
      </c>
    </row>
    <row r="4899">
      <c r="A4899"/>
      <c r="B4899">
        <v>11</v>
      </c>
      <c r="C4899" s="43">
        <f>INDEX(DarlObj,11)</f>
      </c>
      <c r="D4899">
        <v>96</v>
      </c>
      <c r="E4899" s="51">
        <f>IF(INDEX(DarlBelegt,11)=0,0,EOMONTH(INDEX(DarlAuszahlung,11),95)+1)</f>
      </c>
      <c r="F4899" s="43">
        <f>IF($E4899=0,0,YEAR($E4899))</f>
      </c>
      <c r="G4899" s="43">
        <f>IF(INDEX(DarlBindung,11)="",1,IF($E4899&lt;=INDEX(DarlBindung,11),1,0))</f>
      </c>
      <c r="H4899" s="43">
        <f>IF($G4899=1,INDEX(DarlSollzins,11),INDEX(DarlAnschluss,11))</f>
      </c>
      <c r="I4899" s="43">
        <f>IF(INDEX(DarlBelegt,11)=0,0,IF(INDEX(DarlOhneTilgung,11)=1,IF(INDEX(DarlBindung,11)="",1,$G4899),IF($J4899&gt;0.005,1,0)))</f>
      </c>
      <c r="J4899" s="43">
        <f>IF($I4898=0,0,$R4898)</f>
      </c>
      <c r="K4899" s="43">
        <f>IF($I4899=0,0,IF(INDEX(DarlOhneTilgung,11)=1,0,IF(AND(INDEX(DarlTilgStart,11)&gt;0,$E4899=INDEX(DarlTilgStart,11)),$J4899*($H4899+INDEX(DarlTilgung,11))/100/12,IF(AND($G4899=0,$G4898=1),MAX($K4898,$J4899*($H4899+1)/100/12),$K4898))))</f>
      </c>
      <c r="L4899" s="43">
        <f>IF($I4899=0,0,$J4899*$H4899/100/12)</f>
      </c>
      <c r="M4899" s="43">
        <f>IF($I4899=0,0,IF(OR(INDEX(DarlOhneTilgung,11)=1,AND(INDEX(DarlTilgStart,11)&gt;0,$E4899&lt;INDEX(DarlTilgStart,11))),0,MIN(MAX(0,$K4899-$L4899),$J4899)))</f>
      </c>
      <c r="N4899" s="43">
        <f>IF($I4899=0,0,MIN(SUMIFS(SondBetrag,SondDarl,11,SondDatum,"&gt;="&amp;$E4899,SondDatum,"&lt;="&amp;EOMONTH($E4899,0)),$J4899-$M4899))</f>
      </c>
      <c r="O4899" s="43">
        <f>IF($I4899=0,0,INDEX(DarlErsatzRate,11))</f>
      </c>
      <c r="P4899" s="43">
        <f>IF($I4899=0,0,$Q4898*INDEX(DarlErsatzZins,11))</f>
      </c>
      <c r="Q4899" s="43">
        <f>IF($I4899=0,0,$Q4898+$P4899+$O4899)</f>
      </c>
      <c r="R4899" s="43">
        <f>IF($I4899=0,0,$J4899-$M4899-$N4899)</f>
      </c>
    </row>
    <row r="4900">
      <c r="A4900"/>
      <c r="B4900">
        <v>11</v>
      </c>
      <c r="C4900" s="43">
        <f>INDEX(DarlObj,11)</f>
      </c>
      <c r="D4900">
        <v>97</v>
      </c>
      <c r="E4900" s="51">
        <f>IF(INDEX(DarlBelegt,11)=0,0,EOMONTH(INDEX(DarlAuszahlung,11),96)+1)</f>
      </c>
      <c r="F4900" s="43">
        <f>IF($E4900=0,0,YEAR($E4900))</f>
      </c>
      <c r="G4900" s="43">
        <f>IF(INDEX(DarlBindung,11)="",1,IF($E4900&lt;=INDEX(DarlBindung,11),1,0))</f>
      </c>
      <c r="H4900" s="43">
        <f>IF($G4900=1,INDEX(DarlSollzins,11),INDEX(DarlAnschluss,11))</f>
      </c>
      <c r="I4900" s="43">
        <f>IF(INDEX(DarlBelegt,11)=0,0,IF(INDEX(DarlOhneTilgung,11)=1,IF(INDEX(DarlBindung,11)="",1,$G4900),IF($J4900&gt;0.005,1,0)))</f>
      </c>
      <c r="J4900" s="43">
        <f>IF($I4899=0,0,$R4899)</f>
      </c>
      <c r="K4900" s="43">
        <f>IF($I4900=0,0,IF(INDEX(DarlOhneTilgung,11)=1,0,IF(AND(INDEX(DarlTilgStart,11)&gt;0,$E4900=INDEX(DarlTilgStart,11)),$J4900*($H4900+INDEX(DarlTilgung,11))/100/12,IF(AND($G4900=0,$G4899=1),MAX($K4899,$J4900*($H4900+1)/100/12),$K4899))))</f>
      </c>
      <c r="L4900" s="43">
        <f>IF($I4900=0,0,$J4900*$H4900/100/12)</f>
      </c>
      <c r="M4900" s="43">
        <f>IF($I4900=0,0,IF(OR(INDEX(DarlOhneTilgung,11)=1,AND(INDEX(DarlTilgStart,11)&gt;0,$E4900&lt;INDEX(DarlTilgStart,11))),0,MIN(MAX(0,$K4900-$L4900),$J4900)))</f>
      </c>
      <c r="N4900" s="43">
        <f>IF($I4900=0,0,MIN(SUMIFS(SondBetrag,SondDarl,11,SondDatum,"&gt;="&amp;$E4900,SondDatum,"&lt;="&amp;EOMONTH($E4900,0)),$J4900-$M4900))</f>
      </c>
      <c r="O4900" s="43">
        <f>IF($I4900=0,0,INDEX(DarlErsatzRate,11))</f>
      </c>
      <c r="P4900" s="43">
        <f>IF($I4900=0,0,$Q4899*INDEX(DarlErsatzZins,11))</f>
      </c>
      <c r="Q4900" s="43">
        <f>IF($I4900=0,0,$Q4899+$P4900+$O4900)</f>
      </c>
      <c r="R4900" s="43">
        <f>IF($I4900=0,0,$J4900-$M4900-$N4900)</f>
      </c>
    </row>
    <row r="4901">
      <c r="A4901"/>
      <c r="B4901">
        <v>11</v>
      </c>
      <c r="C4901" s="43">
        <f>INDEX(DarlObj,11)</f>
      </c>
      <c r="D4901">
        <v>98</v>
      </c>
      <c r="E4901" s="51">
        <f>IF(INDEX(DarlBelegt,11)=0,0,EOMONTH(INDEX(DarlAuszahlung,11),97)+1)</f>
      </c>
      <c r="F4901" s="43">
        <f>IF($E4901=0,0,YEAR($E4901))</f>
      </c>
      <c r="G4901" s="43">
        <f>IF(INDEX(DarlBindung,11)="",1,IF($E4901&lt;=INDEX(DarlBindung,11),1,0))</f>
      </c>
      <c r="H4901" s="43">
        <f>IF($G4901=1,INDEX(DarlSollzins,11),INDEX(DarlAnschluss,11))</f>
      </c>
      <c r="I4901" s="43">
        <f>IF(INDEX(DarlBelegt,11)=0,0,IF(INDEX(DarlOhneTilgung,11)=1,IF(INDEX(DarlBindung,11)="",1,$G4901),IF($J4901&gt;0.005,1,0)))</f>
      </c>
      <c r="J4901" s="43">
        <f>IF($I4900=0,0,$R4900)</f>
      </c>
      <c r="K4901" s="43">
        <f>IF($I4901=0,0,IF(INDEX(DarlOhneTilgung,11)=1,0,IF(AND(INDEX(DarlTilgStart,11)&gt;0,$E4901=INDEX(DarlTilgStart,11)),$J4901*($H4901+INDEX(DarlTilgung,11))/100/12,IF(AND($G4901=0,$G4900=1),MAX($K4900,$J4901*($H4901+1)/100/12),$K4900))))</f>
      </c>
      <c r="L4901" s="43">
        <f>IF($I4901=0,0,$J4901*$H4901/100/12)</f>
      </c>
      <c r="M4901" s="43">
        <f>IF($I4901=0,0,IF(OR(INDEX(DarlOhneTilgung,11)=1,AND(INDEX(DarlTilgStart,11)&gt;0,$E4901&lt;INDEX(DarlTilgStart,11))),0,MIN(MAX(0,$K4901-$L4901),$J4901)))</f>
      </c>
      <c r="N4901" s="43">
        <f>IF($I4901=0,0,MIN(SUMIFS(SondBetrag,SondDarl,11,SondDatum,"&gt;="&amp;$E4901,SondDatum,"&lt;="&amp;EOMONTH($E4901,0)),$J4901-$M4901))</f>
      </c>
      <c r="O4901" s="43">
        <f>IF($I4901=0,0,INDEX(DarlErsatzRate,11))</f>
      </c>
      <c r="P4901" s="43">
        <f>IF($I4901=0,0,$Q4900*INDEX(DarlErsatzZins,11))</f>
      </c>
      <c r="Q4901" s="43">
        <f>IF($I4901=0,0,$Q4900+$P4901+$O4901)</f>
      </c>
      <c r="R4901" s="43">
        <f>IF($I4901=0,0,$J4901-$M4901-$N4901)</f>
      </c>
    </row>
    <row r="4902">
      <c r="A4902"/>
      <c r="B4902">
        <v>11</v>
      </c>
      <c r="C4902" s="43">
        <f>INDEX(DarlObj,11)</f>
      </c>
      <c r="D4902">
        <v>99</v>
      </c>
      <c r="E4902" s="51">
        <f>IF(INDEX(DarlBelegt,11)=0,0,EOMONTH(INDEX(DarlAuszahlung,11),98)+1)</f>
      </c>
      <c r="F4902" s="43">
        <f>IF($E4902=0,0,YEAR($E4902))</f>
      </c>
      <c r="G4902" s="43">
        <f>IF(INDEX(DarlBindung,11)="",1,IF($E4902&lt;=INDEX(DarlBindung,11),1,0))</f>
      </c>
      <c r="H4902" s="43">
        <f>IF($G4902=1,INDEX(DarlSollzins,11),INDEX(DarlAnschluss,11))</f>
      </c>
      <c r="I4902" s="43">
        <f>IF(INDEX(DarlBelegt,11)=0,0,IF(INDEX(DarlOhneTilgung,11)=1,IF(INDEX(DarlBindung,11)="",1,$G4902),IF($J4902&gt;0.005,1,0)))</f>
      </c>
      <c r="J4902" s="43">
        <f>IF($I4901=0,0,$R4901)</f>
      </c>
      <c r="K4902" s="43">
        <f>IF($I4902=0,0,IF(INDEX(DarlOhneTilgung,11)=1,0,IF(AND(INDEX(DarlTilgStart,11)&gt;0,$E4902=INDEX(DarlTilgStart,11)),$J4902*($H4902+INDEX(DarlTilgung,11))/100/12,IF(AND($G4902=0,$G4901=1),MAX($K4901,$J4902*($H4902+1)/100/12),$K4901))))</f>
      </c>
      <c r="L4902" s="43">
        <f>IF($I4902=0,0,$J4902*$H4902/100/12)</f>
      </c>
      <c r="M4902" s="43">
        <f>IF($I4902=0,0,IF(OR(INDEX(DarlOhneTilgung,11)=1,AND(INDEX(DarlTilgStart,11)&gt;0,$E4902&lt;INDEX(DarlTilgStart,11))),0,MIN(MAX(0,$K4902-$L4902),$J4902)))</f>
      </c>
      <c r="N4902" s="43">
        <f>IF($I4902=0,0,MIN(SUMIFS(SondBetrag,SondDarl,11,SondDatum,"&gt;="&amp;$E4902,SondDatum,"&lt;="&amp;EOMONTH($E4902,0)),$J4902-$M4902))</f>
      </c>
      <c r="O4902" s="43">
        <f>IF($I4902=0,0,INDEX(DarlErsatzRate,11))</f>
      </c>
      <c r="P4902" s="43">
        <f>IF($I4902=0,0,$Q4901*INDEX(DarlErsatzZins,11))</f>
      </c>
      <c r="Q4902" s="43">
        <f>IF($I4902=0,0,$Q4901+$P4902+$O4902)</f>
      </c>
      <c r="R4902" s="43">
        <f>IF($I4902=0,0,$J4902-$M4902-$N4902)</f>
      </c>
    </row>
    <row r="4903">
      <c r="A4903"/>
      <c r="B4903">
        <v>11</v>
      </c>
      <c r="C4903" s="43">
        <f>INDEX(DarlObj,11)</f>
      </c>
      <c r="D4903">
        <v>100</v>
      </c>
      <c r="E4903" s="51">
        <f>IF(INDEX(DarlBelegt,11)=0,0,EOMONTH(INDEX(DarlAuszahlung,11),99)+1)</f>
      </c>
      <c r="F4903" s="43">
        <f>IF($E4903=0,0,YEAR($E4903))</f>
      </c>
      <c r="G4903" s="43">
        <f>IF(INDEX(DarlBindung,11)="",1,IF($E4903&lt;=INDEX(DarlBindung,11),1,0))</f>
      </c>
      <c r="H4903" s="43">
        <f>IF($G4903=1,INDEX(DarlSollzins,11),INDEX(DarlAnschluss,11))</f>
      </c>
      <c r="I4903" s="43">
        <f>IF(INDEX(DarlBelegt,11)=0,0,IF(INDEX(DarlOhneTilgung,11)=1,IF(INDEX(DarlBindung,11)="",1,$G4903),IF($J4903&gt;0.005,1,0)))</f>
      </c>
      <c r="J4903" s="43">
        <f>IF($I4902=0,0,$R4902)</f>
      </c>
      <c r="K4903" s="43">
        <f>IF($I4903=0,0,IF(INDEX(DarlOhneTilgung,11)=1,0,IF(AND(INDEX(DarlTilgStart,11)&gt;0,$E4903=INDEX(DarlTilgStart,11)),$J4903*($H4903+INDEX(DarlTilgung,11))/100/12,IF(AND($G4903=0,$G4902=1),MAX($K4902,$J4903*($H4903+1)/100/12),$K4902))))</f>
      </c>
      <c r="L4903" s="43">
        <f>IF($I4903=0,0,$J4903*$H4903/100/12)</f>
      </c>
      <c r="M4903" s="43">
        <f>IF($I4903=0,0,IF(OR(INDEX(DarlOhneTilgung,11)=1,AND(INDEX(DarlTilgStart,11)&gt;0,$E4903&lt;INDEX(DarlTilgStart,11))),0,MIN(MAX(0,$K4903-$L4903),$J4903)))</f>
      </c>
      <c r="N4903" s="43">
        <f>IF($I4903=0,0,MIN(SUMIFS(SondBetrag,SondDarl,11,SondDatum,"&gt;="&amp;$E4903,SondDatum,"&lt;="&amp;EOMONTH($E4903,0)),$J4903-$M4903))</f>
      </c>
      <c r="O4903" s="43">
        <f>IF($I4903=0,0,INDEX(DarlErsatzRate,11))</f>
      </c>
      <c r="P4903" s="43">
        <f>IF($I4903=0,0,$Q4902*INDEX(DarlErsatzZins,11))</f>
      </c>
      <c r="Q4903" s="43">
        <f>IF($I4903=0,0,$Q4902+$P4903+$O4903)</f>
      </c>
      <c r="R4903" s="43">
        <f>IF($I4903=0,0,$J4903-$M4903-$N4903)</f>
      </c>
    </row>
    <row r="4904">
      <c r="A4904"/>
      <c r="B4904">
        <v>11</v>
      </c>
      <c r="C4904" s="43">
        <f>INDEX(DarlObj,11)</f>
      </c>
      <c r="D4904">
        <v>101</v>
      </c>
      <c r="E4904" s="51">
        <f>IF(INDEX(DarlBelegt,11)=0,0,EOMONTH(INDEX(DarlAuszahlung,11),100)+1)</f>
      </c>
      <c r="F4904" s="43">
        <f>IF($E4904=0,0,YEAR($E4904))</f>
      </c>
      <c r="G4904" s="43">
        <f>IF(INDEX(DarlBindung,11)="",1,IF($E4904&lt;=INDEX(DarlBindung,11),1,0))</f>
      </c>
      <c r="H4904" s="43">
        <f>IF($G4904=1,INDEX(DarlSollzins,11),INDEX(DarlAnschluss,11))</f>
      </c>
      <c r="I4904" s="43">
        <f>IF(INDEX(DarlBelegt,11)=0,0,IF(INDEX(DarlOhneTilgung,11)=1,IF(INDEX(DarlBindung,11)="",1,$G4904),IF($J4904&gt;0.005,1,0)))</f>
      </c>
      <c r="J4904" s="43">
        <f>IF($I4903=0,0,$R4903)</f>
      </c>
      <c r="K4904" s="43">
        <f>IF($I4904=0,0,IF(INDEX(DarlOhneTilgung,11)=1,0,IF(AND(INDEX(DarlTilgStart,11)&gt;0,$E4904=INDEX(DarlTilgStart,11)),$J4904*($H4904+INDEX(DarlTilgung,11))/100/12,IF(AND($G4904=0,$G4903=1),MAX($K4903,$J4904*($H4904+1)/100/12),$K4903))))</f>
      </c>
      <c r="L4904" s="43">
        <f>IF($I4904=0,0,$J4904*$H4904/100/12)</f>
      </c>
      <c r="M4904" s="43">
        <f>IF($I4904=0,0,IF(OR(INDEX(DarlOhneTilgung,11)=1,AND(INDEX(DarlTilgStart,11)&gt;0,$E4904&lt;INDEX(DarlTilgStart,11))),0,MIN(MAX(0,$K4904-$L4904),$J4904)))</f>
      </c>
      <c r="N4904" s="43">
        <f>IF($I4904=0,0,MIN(SUMIFS(SondBetrag,SondDarl,11,SondDatum,"&gt;="&amp;$E4904,SondDatum,"&lt;="&amp;EOMONTH($E4904,0)),$J4904-$M4904))</f>
      </c>
      <c r="O4904" s="43">
        <f>IF($I4904=0,0,INDEX(DarlErsatzRate,11))</f>
      </c>
      <c r="P4904" s="43">
        <f>IF($I4904=0,0,$Q4903*INDEX(DarlErsatzZins,11))</f>
      </c>
      <c r="Q4904" s="43">
        <f>IF($I4904=0,0,$Q4903+$P4904+$O4904)</f>
      </c>
      <c r="R4904" s="43">
        <f>IF($I4904=0,0,$J4904-$M4904-$N4904)</f>
      </c>
    </row>
    <row r="4905">
      <c r="A4905"/>
      <c r="B4905">
        <v>11</v>
      </c>
      <c r="C4905" s="43">
        <f>INDEX(DarlObj,11)</f>
      </c>
      <c r="D4905">
        <v>102</v>
      </c>
      <c r="E4905" s="51">
        <f>IF(INDEX(DarlBelegt,11)=0,0,EOMONTH(INDEX(DarlAuszahlung,11),101)+1)</f>
      </c>
      <c r="F4905" s="43">
        <f>IF($E4905=0,0,YEAR($E4905))</f>
      </c>
      <c r="G4905" s="43">
        <f>IF(INDEX(DarlBindung,11)="",1,IF($E4905&lt;=INDEX(DarlBindung,11),1,0))</f>
      </c>
      <c r="H4905" s="43">
        <f>IF($G4905=1,INDEX(DarlSollzins,11),INDEX(DarlAnschluss,11))</f>
      </c>
      <c r="I4905" s="43">
        <f>IF(INDEX(DarlBelegt,11)=0,0,IF(INDEX(DarlOhneTilgung,11)=1,IF(INDEX(DarlBindung,11)="",1,$G4905),IF($J4905&gt;0.005,1,0)))</f>
      </c>
      <c r="J4905" s="43">
        <f>IF($I4904=0,0,$R4904)</f>
      </c>
      <c r="K4905" s="43">
        <f>IF($I4905=0,0,IF(INDEX(DarlOhneTilgung,11)=1,0,IF(AND(INDEX(DarlTilgStart,11)&gt;0,$E4905=INDEX(DarlTilgStart,11)),$J4905*($H4905+INDEX(DarlTilgung,11))/100/12,IF(AND($G4905=0,$G4904=1),MAX($K4904,$J4905*($H4905+1)/100/12),$K4904))))</f>
      </c>
      <c r="L4905" s="43">
        <f>IF($I4905=0,0,$J4905*$H4905/100/12)</f>
      </c>
      <c r="M4905" s="43">
        <f>IF($I4905=0,0,IF(OR(INDEX(DarlOhneTilgung,11)=1,AND(INDEX(DarlTilgStart,11)&gt;0,$E4905&lt;INDEX(DarlTilgStart,11))),0,MIN(MAX(0,$K4905-$L4905),$J4905)))</f>
      </c>
      <c r="N4905" s="43">
        <f>IF($I4905=0,0,MIN(SUMIFS(SondBetrag,SondDarl,11,SondDatum,"&gt;="&amp;$E4905,SondDatum,"&lt;="&amp;EOMONTH($E4905,0)),$J4905-$M4905))</f>
      </c>
      <c r="O4905" s="43">
        <f>IF($I4905=0,0,INDEX(DarlErsatzRate,11))</f>
      </c>
      <c r="P4905" s="43">
        <f>IF($I4905=0,0,$Q4904*INDEX(DarlErsatzZins,11))</f>
      </c>
      <c r="Q4905" s="43">
        <f>IF($I4905=0,0,$Q4904+$P4905+$O4905)</f>
      </c>
      <c r="R4905" s="43">
        <f>IF($I4905=0,0,$J4905-$M4905-$N4905)</f>
      </c>
    </row>
    <row r="4906">
      <c r="A4906"/>
      <c r="B4906">
        <v>11</v>
      </c>
      <c r="C4906" s="43">
        <f>INDEX(DarlObj,11)</f>
      </c>
      <c r="D4906">
        <v>103</v>
      </c>
      <c r="E4906" s="51">
        <f>IF(INDEX(DarlBelegt,11)=0,0,EOMONTH(INDEX(DarlAuszahlung,11),102)+1)</f>
      </c>
      <c r="F4906" s="43">
        <f>IF($E4906=0,0,YEAR($E4906))</f>
      </c>
      <c r="G4906" s="43">
        <f>IF(INDEX(DarlBindung,11)="",1,IF($E4906&lt;=INDEX(DarlBindung,11),1,0))</f>
      </c>
      <c r="H4906" s="43">
        <f>IF($G4906=1,INDEX(DarlSollzins,11),INDEX(DarlAnschluss,11))</f>
      </c>
      <c r="I4906" s="43">
        <f>IF(INDEX(DarlBelegt,11)=0,0,IF(INDEX(DarlOhneTilgung,11)=1,IF(INDEX(DarlBindung,11)="",1,$G4906),IF($J4906&gt;0.005,1,0)))</f>
      </c>
      <c r="J4906" s="43">
        <f>IF($I4905=0,0,$R4905)</f>
      </c>
      <c r="K4906" s="43">
        <f>IF($I4906=0,0,IF(INDEX(DarlOhneTilgung,11)=1,0,IF(AND(INDEX(DarlTilgStart,11)&gt;0,$E4906=INDEX(DarlTilgStart,11)),$J4906*($H4906+INDEX(DarlTilgung,11))/100/12,IF(AND($G4906=0,$G4905=1),MAX($K4905,$J4906*($H4906+1)/100/12),$K4905))))</f>
      </c>
      <c r="L4906" s="43">
        <f>IF($I4906=0,0,$J4906*$H4906/100/12)</f>
      </c>
      <c r="M4906" s="43">
        <f>IF($I4906=0,0,IF(OR(INDEX(DarlOhneTilgung,11)=1,AND(INDEX(DarlTilgStart,11)&gt;0,$E4906&lt;INDEX(DarlTilgStart,11))),0,MIN(MAX(0,$K4906-$L4906),$J4906)))</f>
      </c>
      <c r="N4906" s="43">
        <f>IF($I4906=0,0,MIN(SUMIFS(SondBetrag,SondDarl,11,SondDatum,"&gt;="&amp;$E4906,SondDatum,"&lt;="&amp;EOMONTH($E4906,0)),$J4906-$M4906))</f>
      </c>
      <c r="O4906" s="43">
        <f>IF($I4906=0,0,INDEX(DarlErsatzRate,11))</f>
      </c>
      <c r="P4906" s="43">
        <f>IF($I4906=0,0,$Q4905*INDEX(DarlErsatzZins,11))</f>
      </c>
      <c r="Q4906" s="43">
        <f>IF($I4906=0,0,$Q4905+$P4906+$O4906)</f>
      </c>
      <c r="R4906" s="43">
        <f>IF($I4906=0,0,$J4906-$M4906-$N4906)</f>
      </c>
    </row>
    <row r="4907">
      <c r="A4907"/>
      <c r="B4907">
        <v>11</v>
      </c>
      <c r="C4907" s="43">
        <f>INDEX(DarlObj,11)</f>
      </c>
      <c r="D4907">
        <v>104</v>
      </c>
      <c r="E4907" s="51">
        <f>IF(INDEX(DarlBelegt,11)=0,0,EOMONTH(INDEX(DarlAuszahlung,11),103)+1)</f>
      </c>
      <c r="F4907" s="43">
        <f>IF($E4907=0,0,YEAR($E4907))</f>
      </c>
      <c r="G4907" s="43">
        <f>IF(INDEX(DarlBindung,11)="",1,IF($E4907&lt;=INDEX(DarlBindung,11),1,0))</f>
      </c>
      <c r="H4907" s="43">
        <f>IF($G4907=1,INDEX(DarlSollzins,11),INDEX(DarlAnschluss,11))</f>
      </c>
      <c r="I4907" s="43">
        <f>IF(INDEX(DarlBelegt,11)=0,0,IF(INDEX(DarlOhneTilgung,11)=1,IF(INDEX(DarlBindung,11)="",1,$G4907),IF($J4907&gt;0.005,1,0)))</f>
      </c>
      <c r="J4907" s="43">
        <f>IF($I4906=0,0,$R4906)</f>
      </c>
      <c r="K4907" s="43">
        <f>IF($I4907=0,0,IF(INDEX(DarlOhneTilgung,11)=1,0,IF(AND(INDEX(DarlTilgStart,11)&gt;0,$E4907=INDEX(DarlTilgStart,11)),$J4907*($H4907+INDEX(DarlTilgung,11))/100/12,IF(AND($G4907=0,$G4906=1),MAX($K4906,$J4907*($H4907+1)/100/12),$K4906))))</f>
      </c>
      <c r="L4907" s="43">
        <f>IF($I4907=0,0,$J4907*$H4907/100/12)</f>
      </c>
      <c r="M4907" s="43">
        <f>IF($I4907=0,0,IF(OR(INDEX(DarlOhneTilgung,11)=1,AND(INDEX(DarlTilgStart,11)&gt;0,$E4907&lt;INDEX(DarlTilgStart,11))),0,MIN(MAX(0,$K4907-$L4907),$J4907)))</f>
      </c>
      <c r="N4907" s="43">
        <f>IF($I4907=0,0,MIN(SUMIFS(SondBetrag,SondDarl,11,SondDatum,"&gt;="&amp;$E4907,SondDatum,"&lt;="&amp;EOMONTH($E4907,0)),$J4907-$M4907))</f>
      </c>
      <c r="O4907" s="43">
        <f>IF($I4907=0,0,INDEX(DarlErsatzRate,11))</f>
      </c>
      <c r="P4907" s="43">
        <f>IF($I4907=0,0,$Q4906*INDEX(DarlErsatzZins,11))</f>
      </c>
      <c r="Q4907" s="43">
        <f>IF($I4907=0,0,$Q4906+$P4907+$O4907)</f>
      </c>
      <c r="R4907" s="43">
        <f>IF($I4907=0,0,$J4907-$M4907-$N4907)</f>
      </c>
    </row>
    <row r="4908">
      <c r="A4908"/>
      <c r="B4908">
        <v>11</v>
      </c>
      <c r="C4908" s="43">
        <f>INDEX(DarlObj,11)</f>
      </c>
      <c r="D4908">
        <v>105</v>
      </c>
      <c r="E4908" s="51">
        <f>IF(INDEX(DarlBelegt,11)=0,0,EOMONTH(INDEX(DarlAuszahlung,11),104)+1)</f>
      </c>
      <c r="F4908" s="43">
        <f>IF($E4908=0,0,YEAR($E4908))</f>
      </c>
      <c r="G4908" s="43">
        <f>IF(INDEX(DarlBindung,11)="",1,IF($E4908&lt;=INDEX(DarlBindung,11),1,0))</f>
      </c>
      <c r="H4908" s="43">
        <f>IF($G4908=1,INDEX(DarlSollzins,11),INDEX(DarlAnschluss,11))</f>
      </c>
      <c r="I4908" s="43">
        <f>IF(INDEX(DarlBelegt,11)=0,0,IF(INDEX(DarlOhneTilgung,11)=1,IF(INDEX(DarlBindung,11)="",1,$G4908),IF($J4908&gt;0.005,1,0)))</f>
      </c>
      <c r="J4908" s="43">
        <f>IF($I4907=0,0,$R4907)</f>
      </c>
      <c r="K4908" s="43">
        <f>IF($I4908=0,0,IF(INDEX(DarlOhneTilgung,11)=1,0,IF(AND(INDEX(DarlTilgStart,11)&gt;0,$E4908=INDEX(DarlTilgStart,11)),$J4908*($H4908+INDEX(DarlTilgung,11))/100/12,IF(AND($G4908=0,$G4907=1),MAX($K4907,$J4908*($H4908+1)/100/12),$K4907))))</f>
      </c>
      <c r="L4908" s="43">
        <f>IF($I4908=0,0,$J4908*$H4908/100/12)</f>
      </c>
      <c r="M4908" s="43">
        <f>IF($I4908=0,0,IF(OR(INDEX(DarlOhneTilgung,11)=1,AND(INDEX(DarlTilgStart,11)&gt;0,$E4908&lt;INDEX(DarlTilgStart,11))),0,MIN(MAX(0,$K4908-$L4908),$J4908)))</f>
      </c>
      <c r="N4908" s="43">
        <f>IF($I4908=0,0,MIN(SUMIFS(SondBetrag,SondDarl,11,SondDatum,"&gt;="&amp;$E4908,SondDatum,"&lt;="&amp;EOMONTH($E4908,0)),$J4908-$M4908))</f>
      </c>
      <c r="O4908" s="43">
        <f>IF($I4908=0,0,INDEX(DarlErsatzRate,11))</f>
      </c>
      <c r="P4908" s="43">
        <f>IF($I4908=0,0,$Q4907*INDEX(DarlErsatzZins,11))</f>
      </c>
      <c r="Q4908" s="43">
        <f>IF($I4908=0,0,$Q4907+$P4908+$O4908)</f>
      </c>
      <c r="R4908" s="43">
        <f>IF($I4908=0,0,$J4908-$M4908-$N4908)</f>
      </c>
    </row>
    <row r="4909">
      <c r="A4909"/>
      <c r="B4909">
        <v>11</v>
      </c>
      <c r="C4909" s="43">
        <f>INDEX(DarlObj,11)</f>
      </c>
      <c r="D4909">
        <v>106</v>
      </c>
      <c r="E4909" s="51">
        <f>IF(INDEX(DarlBelegt,11)=0,0,EOMONTH(INDEX(DarlAuszahlung,11),105)+1)</f>
      </c>
      <c r="F4909" s="43">
        <f>IF($E4909=0,0,YEAR($E4909))</f>
      </c>
      <c r="G4909" s="43">
        <f>IF(INDEX(DarlBindung,11)="",1,IF($E4909&lt;=INDEX(DarlBindung,11),1,0))</f>
      </c>
      <c r="H4909" s="43">
        <f>IF($G4909=1,INDEX(DarlSollzins,11),INDEX(DarlAnschluss,11))</f>
      </c>
      <c r="I4909" s="43">
        <f>IF(INDEX(DarlBelegt,11)=0,0,IF(INDEX(DarlOhneTilgung,11)=1,IF(INDEX(DarlBindung,11)="",1,$G4909),IF($J4909&gt;0.005,1,0)))</f>
      </c>
      <c r="J4909" s="43">
        <f>IF($I4908=0,0,$R4908)</f>
      </c>
      <c r="K4909" s="43">
        <f>IF($I4909=0,0,IF(INDEX(DarlOhneTilgung,11)=1,0,IF(AND(INDEX(DarlTilgStart,11)&gt;0,$E4909=INDEX(DarlTilgStart,11)),$J4909*($H4909+INDEX(DarlTilgung,11))/100/12,IF(AND($G4909=0,$G4908=1),MAX($K4908,$J4909*($H4909+1)/100/12),$K4908))))</f>
      </c>
      <c r="L4909" s="43">
        <f>IF($I4909=0,0,$J4909*$H4909/100/12)</f>
      </c>
      <c r="M4909" s="43">
        <f>IF($I4909=0,0,IF(OR(INDEX(DarlOhneTilgung,11)=1,AND(INDEX(DarlTilgStart,11)&gt;0,$E4909&lt;INDEX(DarlTilgStart,11))),0,MIN(MAX(0,$K4909-$L4909),$J4909)))</f>
      </c>
      <c r="N4909" s="43">
        <f>IF($I4909=0,0,MIN(SUMIFS(SondBetrag,SondDarl,11,SondDatum,"&gt;="&amp;$E4909,SondDatum,"&lt;="&amp;EOMONTH($E4909,0)),$J4909-$M4909))</f>
      </c>
      <c r="O4909" s="43">
        <f>IF($I4909=0,0,INDEX(DarlErsatzRate,11))</f>
      </c>
      <c r="P4909" s="43">
        <f>IF($I4909=0,0,$Q4908*INDEX(DarlErsatzZins,11))</f>
      </c>
      <c r="Q4909" s="43">
        <f>IF($I4909=0,0,$Q4908+$P4909+$O4909)</f>
      </c>
      <c r="R4909" s="43">
        <f>IF($I4909=0,0,$J4909-$M4909-$N4909)</f>
      </c>
    </row>
    <row r="4910">
      <c r="A4910"/>
      <c r="B4910">
        <v>11</v>
      </c>
      <c r="C4910" s="43">
        <f>INDEX(DarlObj,11)</f>
      </c>
      <c r="D4910">
        <v>107</v>
      </c>
      <c r="E4910" s="51">
        <f>IF(INDEX(DarlBelegt,11)=0,0,EOMONTH(INDEX(DarlAuszahlung,11),106)+1)</f>
      </c>
      <c r="F4910" s="43">
        <f>IF($E4910=0,0,YEAR($E4910))</f>
      </c>
      <c r="G4910" s="43">
        <f>IF(INDEX(DarlBindung,11)="",1,IF($E4910&lt;=INDEX(DarlBindung,11),1,0))</f>
      </c>
      <c r="H4910" s="43">
        <f>IF($G4910=1,INDEX(DarlSollzins,11),INDEX(DarlAnschluss,11))</f>
      </c>
      <c r="I4910" s="43">
        <f>IF(INDEX(DarlBelegt,11)=0,0,IF(INDEX(DarlOhneTilgung,11)=1,IF(INDEX(DarlBindung,11)="",1,$G4910),IF($J4910&gt;0.005,1,0)))</f>
      </c>
      <c r="J4910" s="43">
        <f>IF($I4909=0,0,$R4909)</f>
      </c>
      <c r="K4910" s="43">
        <f>IF($I4910=0,0,IF(INDEX(DarlOhneTilgung,11)=1,0,IF(AND(INDEX(DarlTilgStart,11)&gt;0,$E4910=INDEX(DarlTilgStart,11)),$J4910*($H4910+INDEX(DarlTilgung,11))/100/12,IF(AND($G4910=0,$G4909=1),MAX($K4909,$J4910*($H4910+1)/100/12),$K4909))))</f>
      </c>
      <c r="L4910" s="43">
        <f>IF($I4910=0,0,$J4910*$H4910/100/12)</f>
      </c>
      <c r="M4910" s="43">
        <f>IF($I4910=0,0,IF(OR(INDEX(DarlOhneTilgung,11)=1,AND(INDEX(DarlTilgStart,11)&gt;0,$E4910&lt;INDEX(DarlTilgStart,11))),0,MIN(MAX(0,$K4910-$L4910),$J4910)))</f>
      </c>
      <c r="N4910" s="43">
        <f>IF($I4910=0,0,MIN(SUMIFS(SondBetrag,SondDarl,11,SondDatum,"&gt;="&amp;$E4910,SondDatum,"&lt;="&amp;EOMONTH($E4910,0)),$J4910-$M4910))</f>
      </c>
      <c r="O4910" s="43">
        <f>IF($I4910=0,0,INDEX(DarlErsatzRate,11))</f>
      </c>
      <c r="P4910" s="43">
        <f>IF($I4910=0,0,$Q4909*INDEX(DarlErsatzZins,11))</f>
      </c>
      <c r="Q4910" s="43">
        <f>IF($I4910=0,0,$Q4909+$P4910+$O4910)</f>
      </c>
      <c r="R4910" s="43">
        <f>IF($I4910=0,0,$J4910-$M4910-$N4910)</f>
      </c>
    </row>
    <row r="4911">
      <c r="A4911"/>
      <c r="B4911">
        <v>11</v>
      </c>
      <c r="C4911" s="43">
        <f>INDEX(DarlObj,11)</f>
      </c>
      <c r="D4911">
        <v>108</v>
      </c>
      <c r="E4911" s="51">
        <f>IF(INDEX(DarlBelegt,11)=0,0,EOMONTH(INDEX(DarlAuszahlung,11),107)+1)</f>
      </c>
      <c r="F4911" s="43">
        <f>IF($E4911=0,0,YEAR($E4911))</f>
      </c>
      <c r="G4911" s="43">
        <f>IF(INDEX(DarlBindung,11)="",1,IF($E4911&lt;=INDEX(DarlBindung,11),1,0))</f>
      </c>
      <c r="H4911" s="43">
        <f>IF($G4911=1,INDEX(DarlSollzins,11),INDEX(DarlAnschluss,11))</f>
      </c>
      <c r="I4911" s="43">
        <f>IF(INDEX(DarlBelegt,11)=0,0,IF(INDEX(DarlOhneTilgung,11)=1,IF(INDEX(DarlBindung,11)="",1,$G4911),IF($J4911&gt;0.005,1,0)))</f>
      </c>
      <c r="J4911" s="43">
        <f>IF($I4910=0,0,$R4910)</f>
      </c>
      <c r="K4911" s="43">
        <f>IF($I4911=0,0,IF(INDEX(DarlOhneTilgung,11)=1,0,IF(AND(INDEX(DarlTilgStart,11)&gt;0,$E4911=INDEX(DarlTilgStart,11)),$J4911*($H4911+INDEX(DarlTilgung,11))/100/12,IF(AND($G4911=0,$G4910=1),MAX($K4910,$J4911*($H4911+1)/100/12),$K4910))))</f>
      </c>
      <c r="L4911" s="43">
        <f>IF($I4911=0,0,$J4911*$H4911/100/12)</f>
      </c>
      <c r="M4911" s="43">
        <f>IF($I4911=0,0,IF(OR(INDEX(DarlOhneTilgung,11)=1,AND(INDEX(DarlTilgStart,11)&gt;0,$E4911&lt;INDEX(DarlTilgStart,11))),0,MIN(MAX(0,$K4911-$L4911),$J4911)))</f>
      </c>
      <c r="N4911" s="43">
        <f>IF($I4911=0,0,MIN(SUMIFS(SondBetrag,SondDarl,11,SondDatum,"&gt;="&amp;$E4911,SondDatum,"&lt;="&amp;EOMONTH($E4911,0)),$J4911-$M4911))</f>
      </c>
      <c r="O4911" s="43">
        <f>IF($I4911=0,0,INDEX(DarlErsatzRate,11))</f>
      </c>
      <c r="P4911" s="43">
        <f>IF($I4911=0,0,$Q4910*INDEX(DarlErsatzZins,11))</f>
      </c>
      <c r="Q4911" s="43">
        <f>IF($I4911=0,0,$Q4910+$P4911+$O4911)</f>
      </c>
      <c r="R4911" s="43">
        <f>IF($I4911=0,0,$J4911-$M4911-$N4911)</f>
      </c>
    </row>
    <row r="4912">
      <c r="A4912"/>
      <c r="B4912">
        <v>11</v>
      </c>
      <c r="C4912" s="43">
        <f>INDEX(DarlObj,11)</f>
      </c>
      <c r="D4912">
        <v>109</v>
      </c>
      <c r="E4912" s="51">
        <f>IF(INDEX(DarlBelegt,11)=0,0,EOMONTH(INDEX(DarlAuszahlung,11),108)+1)</f>
      </c>
      <c r="F4912" s="43">
        <f>IF($E4912=0,0,YEAR($E4912))</f>
      </c>
      <c r="G4912" s="43">
        <f>IF(INDEX(DarlBindung,11)="",1,IF($E4912&lt;=INDEX(DarlBindung,11),1,0))</f>
      </c>
      <c r="H4912" s="43">
        <f>IF($G4912=1,INDEX(DarlSollzins,11),INDEX(DarlAnschluss,11))</f>
      </c>
      <c r="I4912" s="43">
        <f>IF(INDEX(DarlBelegt,11)=0,0,IF(INDEX(DarlOhneTilgung,11)=1,IF(INDEX(DarlBindung,11)="",1,$G4912),IF($J4912&gt;0.005,1,0)))</f>
      </c>
      <c r="J4912" s="43">
        <f>IF($I4911=0,0,$R4911)</f>
      </c>
      <c r="K4912" s="43">
        <f>IF($I4912=0,0,IF(INDEX(DarlOhneTilgung,11)=1,0,IF(AND(INDEX(DarlTilgStart,11)&gt;0,$E4912=INDEX(DarlTilgStart,11)),$J4912*($H4912+INDEX(DarlTilgung,11))/100/12,IF(AND($G4912=0,$G4911=1),MAX($K4911,$J4912*($H4912+1)/100/12),$K4911))))</f>
      </c>
      <c r="L4912" s="43">
        <f>IF($I4912=0,0,$J4912*$H4912/100/12)</f>
      </c>
      <c r="M4912" s="43">
        <f>IF($I4912=0,0,IF(OR(INDEX(DarlOhneTilgung,11)=1,AND(INDEX(DarlTilgStart,11)&gt;0,$E4912&lt;INDEX(DarlTilgStart,11))),0,MIN(MAX(0,$K4912-$L4912),$J4912)))</f>
      </c>
      <c r="N4912" s="43">
        <f>IF($I4912=0,0,MIN(SUMIFS(SondBetrag,SondDarl,11,SondDatum,"&gt;="&amp;$E4912,SondDatum,"&lt;="&amp;EOMONTH($E4912,0)),$J4912-$M4912))</f>
      </c>
      <c r="O4912" s="43">
        <f>IF($I4912=0,0,INDEX(DarlErsatzRate,11))</f>
      </c>
      <c r="P4912" s="43">
        <f>IF($I4912=0,0,$Q4911*INDEX(DarlErsatzZins,11))</f>
      </c>
      <c r="Q4912" s="43">
        <f>IF($I4912=0,0,$Q4911+$P4912+$O4912)</f>
      </c>
      <c r="R4912" s="43">
        <f>IF($I4912=0,0,$J4912-$M4912-$N4912)</f>
      </c>
    </row>
    <row r="4913">
      <c r="A4913"/>
      <c r="B4913">
        <v>11</v>
      </c>
      <c r="C4913" s="43">
        <f>INDEX(DarlObj,11)</f>
      </c>
      <c r="D4913">
        <v>110</v>
      </c>
      <c r="E4913" s="51">
        <f>IF(INDEX(DarlBelegt,11)=0,0,EOMONTH(INDEX(DarlAuszahlung,11),109)+1)</f>
      </c>
      <c r="F4913" s="43">
        <f>IF($E4913=0,0,YEAR($E4913))</f>
      </c>
      <c r="G4913" s="43">
        <f>IF(INDEX(DarlBindung,11)="",1,IF($E4913&lt;=INDEX(DarlBindung,11),1,0))</f>
      </c>
      <c r="H4913" s="43">
        <f>IF($G4913=1,INDEX(DarlSollzins,11),INDEX(DarlAnschluss,11))</f>
      </c>
      <c r="I4913" s="43">
        <f>IF(INDEX(DarlBelegt,11)=0,0,IF(INDEX(DarlOhneTilgung,11)=1,IF(INDEX(DarlBindung,11)="",1,$G4913),IF($J4913&gt;0.005,1,0)))</f>
      </c>
      <c r="J4913" s="43">
        <f>IF($I4912=0,0,$R4912)</f>
      </c>
      <c r="K4913" s="43">
        <f>IF($I4913=0,0,IF(INDEX(DarlOhneTilgung,11)=1,0,IF(AND(INDEX(DarlTilgStart,11)&gt;0,$E4913=INDEX(DarlTilgStart,11)),$J4913*($H4913+INDEX(DarlTilgung,11))/100/12,IF(AND($G4913=0,$G4912=1),MAX($K4912,$J4913*($H4913+1)/100/12),$K4912))))</f>
      </c>
      <c r="L4913" s="43">
        <f>IF($I4913=0,0,$J4913*$H4913/100/12)</f>
      </c>
      <c r="M4913" s="43">
        <f>IF($I4913=0,0,IF(OR(INDEX(DarlOhneTilgung,11)=1,AND(INDEX(DarlTilgStart,11)&gt;0,$E4913&lt;INDEX(DarlTilgStart,11))),0,MIN(MAX(0,$K4913-$L4913),$J4913)))</f>
      </c>
      <c r="N4913" s="43">
        <f>IF($I4913=0,0,MIN(SUMIFS(SondBetrag,SondDarl,11,SondDatum,"&gt;="&amp;$E4913,SondDatum,"&lt;="&amp;EOMONTH($E4913,0)),$J4913-$M4913))</f>
      </c>
      <c r="O4913" s="43">
        <f>IF($I4913=0,0,INDEX(DarlErsatzRate,11))</f>
      </c>
      <c r="P4913" s="43">
        <f>IF($I4913=0,0,$Q4912*INDEX(DarlErsatzZins,11))</f>
      </c>
      <c r="Q4913" s="43">
        <f>IF($I4913=0,0,$Q4912+$P4913+$O4913)</f>
      </c>
      <c r="R4913" s="43">
        <f>IF($I4913=0,0,$J4913-$M4913-$N4913)</f>
      </c>
    </row>
    <row r="4914">
      <c r="A4914"/>
      <c r="B4914">
        <v>11</v>
      </c>
      <c r="C4914" s="43">
        <f>INDEX(DarlObj,11)</f>
      </c>
      <c r="D4914">
        <v>111</v>
      </c>
      <c r="E4914" s="51">
        <f>IF(INDEX(DarlBelegt,11)=0,0,EOMONTH(INDEX(DarlAuszahlung,11),110)+1)</f>
      </c>
      <c r="F4914" s="43">
        <f>IF($E4914=0,0,YEAR($E4914))</f>
      </c>
      <c r="G4914" s="43">
        <f>IF(INDEX(DarlBindung,11)="",1,IF($E4914&lt;=INDEX(DarlBindung,11),1,0))</f>
      </c>
      <c r="H4914" s="43">
        <f>IF($G4914=1,INDEX(DarlSollzins,11),INDEX(DarlAnschluss,11))</f>
      </c>
      <c r="I4914" s="43">
        <f>IF(INDEX(DarlBelegt,11)=0,0,IF(INDEX(DarlOhneTilgung,11)=1,IF(INDEX(DarlBindung,11)="",1,$G4914),IF($J4914&gt;0.005,1,0)))</f>
      </c>
      <c r="J4914" s="43">
        <f>IF($I4913=0,0,$R4913)</f>
      </c>
      <c r="K4914" s="43">
        <f>IF($I4914=0,0,IF(INDEX(DarlOhneTilgung,11)=1,0,IF(AND(INDEX(DarlTilgStart,11)&gt;0,$E4914=INDEX(DarlTilgStart,11)),$J4914*($H4914+INDEX(DarlTilgung,11))/100/12,IF(AND($G4914=0,$G4913=1),MAX($K4913,$J4914*($H4914+1)/100/12),$K4913))))</f>
      </c>
      <c r="L4914" s="43">
        <f>IF($I4914=0,0,$J4914*$H4914/100/12)</f>
      </c>
      <c r="M4914" s="43">
        <f>IF($I4914=0,0,IF(OR(INDEX(DarlOhneTilgung,11)=1,AND(INDEX(DarlTilgStart,11)&gt;0,$E4914&lt;INDEX(DarlTilgStart,11))),0,MIN(MAX(0,$K4914-$L4914),$J4914)))</f>
      </c>
      <c r="N4914" s="43">
        <f>IF($I4914=0,0,MIN(SUMIFS(SondBetrag,SondDarl,11,SondDatum,"&gt;="&amp;$E4914,SondDatum,"&lt;="&amp;EOMONTH($E4914,0)),$J4914-$M4914))</f>
      </c>
      <c r="O4914" s="43">
        <f>IF($I4914=0,0,INDEX(DarlErsatzRate,11))</f>
      </c>
      <c r="P4914" s="43">
        <f>IF($I4914=0,0,$Q4913*INDEX(DarlErsatzZins,11))</f>
      </c>
      <c r="Q4914" s="43">
        <f>IF($I4914=0,0,$Q4913+$P4914+$O4914)</f>
      </c>
      <c r="R4914" s="43">
        <f>IF($I4914=0,0,$J4914-$M4914-$N4914)</f>
      </c>
    </row>
    <row r="4915">
      <c r="A4915"/>
      <c r="B4915">
        <v>11</v>
      </c>
      <c r="C4915" s="43">
        <f>INDEX(DarlObj,11)</f>
      </c>
      <c r="D4915">
        <v>112</v>
      </c>
      <c r="E4915" s="51">
        <f>IF(INDEX(DarlBelegt,11)=0,0,EOMONTH(INDEX(DarlAuszahlung,11),111)+1)</f>
      </c>
      <c r="F4915" s="43">
        <f>IF($E4915=0,0,YEAR($E4915))</f>
      </c>
      <c r="G4915" s="43">
        <f>IF(INDEX(DarlBindung,11)="",1,IF($E4915&lt;=INDEX(DarlBindung,11),1,0))</f>
      </c>
      <c r="H4915" s="43">
        <f>IF($G4915=1,INDEX(DarlSollzins,11),INDEX(DarlAnschluss,11))</f>
      </c>
      <c r="I4915" s="43">
        <f>IF(INDEX(DarlBelegt,11)=0,0,IF(INDEX(DarlOhneTilgung,11)=1,IF(INDEX(DarlBindung,11)="",1,$G4915),IF($J4915&gt;0.005,1,0)))</f>
      </c>
      <c r="J4915" s="43">
        <f>IF($I4914=0,0,$R4914)</f>
      </c>
      <c r="K4915" s="43">
        <f>IF($I4915=0,0,IF(INDEX(DarlOhneTilgung,11)=1,0,IF(AND(INDEX(DarlTilgStart,11)&gt;0,$E4915=INDEX(DarlTilgStart,11)),$J4915*($H4915+INDEX(DarlTilgung,11))/100/12,IF(AND($G4915=0,$G4914=1),MAX($K4914,$J4915*($H4915+1)/100/12),$K4914))))</f>
      </c>
      <c r="L4915" s="43">
        <f>IF($I4915=0,0,$J4915*$H4915/100/12)</f>
      </c>
      <c r="M4915" s="43">
        <f>IF($I4915=0,0,IF(OR(INDEX(DarlOhneTilgung,11)=1,AND(INDEX(DarlTilgStart,11)&gt;0,$E4915&lt;INDEX(DarlTilgStart,11))),0,MIN(MAX(0,$K4915-$L4915),$J4915)))</f>
      </c>
      <c r="N4915" s="43">
        <f>IF($I4915=0,0,MIN(SUMIFS(SondBetrag,SondDarl,11,SondDatum,"&gt;="&amp;$E4915,SondDatum,"&lt;="&amp;EOMONTH($E4915,0)),$J4915-$M4915))</f>
      </c>
      <c r="O4915" s="43">
        <f>IF($I4915=0,0,INDEX(DarlErsatzRate,11))</f>
      </c>
      <c r="P4915" s="43">
        <f>IF($I4915=0,0,$Q4914*INDEX(DarlErsatzZins,11))</f>
      </c>
      <c r="Q4915" s="43">
        <f>IF($I4915=0,0,$Q4914+$P4915+$O4915)</f>
      </c>
      <c r="R4915" s="43">
        <f>IF($I4915=0,0,$J4915-$M4915-$N4915)</f>
      </c>
    </row>
    <row r="4916">
      <c r="A4916"/>
      <c r="B4916">
        <v>11</v>
      </c>
      <c r="C4916" s="43">
        <f>INDEX(DarlObj,11)</f>
      </c>
      <c r="D4916">
        <v>113</v>
      </c>
      <c r="E4916" s="51">
        <f>IF(INDEX(DarlBelegt,11)=0,0,EOMONTH(INDEX(DarlAuszahlung,11),112)+1)</f>
      </c>
      <c r="F4916" s="43">
        <f>IF($E4916=0,0,YEAR($E4916))</f>
      </c>
      <c r="G4916" s="43">
        <f>IF(INDEX(DarlBindung,11)="",1,IF($E4916&lt;=INDEX(DarlBindung,11),1,0))</f>
      </c>
      <c r="H4916" s="43">
        <f>IF($G4916=1,INDEX(DarlSollzins,11),INDEX(DarlAnschluss,11))</f>
      </c>
      <c r="I4916" s="43">
        <f>IF(INDEX(DarlBelegt,11)=0,0,IF(INDEX(DarlOhneTilgung,11)=1,IF(INDEX(DarlBindung,11)="",1,$G4916),IF($J4916&gt;0.005,1,0)))</f>
      </c>
      <c r="J4916" s="43">
        <f>IF($I4915=0,0,$R4915)</f>
      </c>
      <c r="K4916" s="43">
        <f>IF($I4916=0,0,IF(INDEX(DarlOhneTilgung,11)=1,0,IF(AND(INDEX(DarlTilgStart,11)&gt;0,$E4916=INDEX(DarlTilgStart,11)),$J4916*($H4916+INDEX(DarlTilgung,11))/100/12,IF(AND($G4916=0,$G4915=1),MAX($K4915,$J4916*($H4916+1)/100/12),$K4915))))</f>
      </c>
      <c r="L4916" s="43">
        <f>IF($I4916=0,0,$J4916*$H4916/100/12)</f>
      </c>
      <c r="M4916" s="43">
        <f>IF($I4916=0,0,IF(OR(INDEX(DarlOhneTilgung,11)=1,AND(INDEX(DarlTilgStart,11)&gt;0,$E4916&lt;INDEX(DarlTilgStart,11))),0,MIN(MAX(0,$K4916-$L4916),$J4916)))</f>
      </c>
      <c r="N4916" s="43">
        <f>IF($I4916=0,0,MIN(SUMIFS(SondBetrag,SondDarl,11,SondDatum,"&gt;="&amp;$E4916,SondDatum,"&lt;="&amp;EOMONTH($E4916,0)),$J4916-$M4916))</f>
      </c>
      <c r="O4916" s="43">
        <f>IF($I4916=0,0,INDEX(DarlErsatzRate,11))</f>
      </c>
      <c r="P4916" s="43">
        <f>IF($I4916=0,0,$Q4915*INDEX(DarlErsatzZins,11))</f>
      </c>
      <c r="Q4916" s="43">
        <f>IF($I4916=0,0,$Q4915+$P4916+$O4916)</f>
      </c>
      <c r="R4916" s="43">
        <f>IF($I4916=0,0,$J4916-$M4916-$N4916)</f>
      </c>
    </row>
    <row r="4917">
      <c r="A4917"/>
      <c r="B4917">
        <v>11</v>
      </c>
      <c r="C4917" s="43">
        <f>INDEX(DarlObj,11)</f>
      </c>
      <c r="D4917">
        <v>114</v>
      </c>
      <c r="E4917" s="51">
        <f>IF(INDEX(DarlBelegt,11)=0,0,EOMONTH(INDEX(DarlAuszahlung,11),113)+1)</f>
      </c>
      <c r="F4917" s="43">
        <f>IF($E4917=0,0,YEAR($E4917))</f>
      </c>
      <c r="G4917" s="43">
        <f>IF(INDEX(DarlBindung,11)="",1,IF($E4917&lt;=INDEX(DarlBindung,11),1,0))</f>
      </c>
      <c r="H4917" s="43">
        <f>IF($G4917=1,INDEX(DarlSollzins,11),INDEX(DarlAnschluss,11))</f>
      </c>
      <c r="I4917" s="43">
        <f>IF(INDEX(DarlBelegt,11)=0,0,IF(INDEX(DarlOhneTilgung,11)=1,IF(INDEX(DarlBindung,11)="",1,$G4917),IF($J4917&gt;0.005,1,0)))</f>
      </c>
      <c r="J4917" s="43">
        <f>IF($I4916=0,0,$R4916)</f>
      </c>
      <c r="K4917" s="43">
        <f>IF($I4917=0,0,IF(INDEX(DarlOhneTilgung,11)=1,0,IF(AND(INDEX(DarlTilgStart,11)&gt;0,$E4917=INDEX(DarlTilgStart,11)),$J4917*($H4917+INDEX(DarlTilgung,11))/100/12,IF(AND($G4917=0,$G4916=1),MAX($K4916,$J4917*($H4917+1)/100/12),$K4916))))</f>
      </c>
      <c r="L4917" s="43">
        <f>IF($I4917=0,0,$J4917*$H4917/100/12)</f>
      </c>
      <c r="M4917" s="43">
        <f>IF($I4917=0,0,IF(OR(INDEX(DarlOhneTilgung,11)=1,AND(INDEX(DarlTilgStart,11)&gt;0,$E4917&lt;INDEX(DarlTilgStart,11))),0,MIN(MAX(0,$K4917-$L4917),$J4917)))</f>
      </c>
      <c r="N4917" s="43">
        <f>IF($I4917=0,0,MIN(SUMIFS(SondBetrag,SondDarl,11,SondDatum,"&gt;="&amp;$E4917,SondDatum,"&lt;="&amp;EOMONTH($E4917,0)),$J4917-$M4917))</f>
      </c>
      <c r="O4917" s="43">
        <f>IF($I4917=0,0,INDEX(DarlErsatzRate,11))</f>
      </c>
      <c r="P4917" s="43">
        <f>IF($I4917=0,0,$Q4916*INDEX(DarlErsatzZins,11))</f>
      </c>
      <c r="Q4917" s="43">
        <f>IF($I4917=0,0,$Q4916+$P4917+$O4917)</f>
      </c>
      <c r="R4917" s="43">
        <f>IF($I4917=0,0,$J4917-$M4917-$N4917)</f>
      </c>
    </row>
    <row r="4918">
      <c r="A4918"/>
      <c r="B4918">
        <v>11</v>
      </c>
      <c r="C4918" s="43">
        <f>INDEX(DarlObj,11)</f>
      </c>
      <c r="D4918">
        <v>115</v>
      </c>
      <c r="E4918" s="51">
        <f>IF(INDEX(DarlBelegt,11)=0,0,EOMONTH(INDEX(DarlAuszahlung,11),114)+1)</f>
      </c>
      <c r="F4918" s="43">
        <f>IF($E4918=0,0,YEAR($E4918))</f>
      </c>
      <c r="G4918" s="43">
        <f>IF(INDEX(DarlBindung,11)="",1,IF($E4918&lt;=INDEX(DarlBindung,11),1,0))</f>
      </c>
      <c r="H4918" s="43">
        <f>IF($G4918=1,INDEX(DarlSollzins,11),INDEX(DarlAnschluss,11))</f>
      </c>
      <c r="I4918" s="43">
        <f>IF(INDEX(DarlBelegt,11)=0,0,IF(INDEX(DarlOhneTilgung,11)=1,IF(INDEX(DarlBindung,11)="",1,$G4918),IF($J4918&gt;0.005,1,0)))</f>
      </c>
      <c r="J4918" s="43">
        <f>IF($I4917=0,0,$R4917)</f>
      </c>
      <c r="K4918" s="43">
        <f>IF($I4918=0,0,IF(INDEX(DarlOhneTilgung,11)=1,0,IF(AND(INDEX(DarlTilgStart,11)&gt;0,$E4918=INDEX(DarlTilgStart,11)),$J4918*($H4918+INDEX(DarlTilgung,11))/100/12,IF(AND($G4918=0,$G4917=1),MAX($K4917,$J4918*($H4918+1)/100/12),$K4917))))</f>
      </c>
      <c r="L4918" s="43">
        <f>IF($I4918=0,0,$J4918*$H4918/100/12)</f>
      </c>
      <c r="M4918" s="43">
        <f>IF($I4918=0,0,IF(OR(INDEX(DarlOhneTilgung,11)=1,AND(INDEX(DarlTilgStart,11)&gt;0,$E4918&lt;INDEX(DarlTilgStart,11))),0,MIN(MAX(0,$K4918-$L4918),$J4918)))</f>
      </c>
      <c r="N4918" s="43">
        <f>IF($I4918=0,0,MIN(SUMIFS(SondBetrag,SondDarl,11,SondDatum,"&gt;="&amp;$E4918,SondDatum,"&lt;="&amp;EOMONTH($E4918,0)),$J4918-$M4918))</f>
      </c>
      <c r="O4918" s="43">
        <f>IF($I4918=0,0,INDEX(DarlErsatzRate,11))</f>
      </c>
      <c r="P4918" s="43">
        <f>IF($I4918=0,0,$Q4917*INDEX(DarlErsatzZins,11))</f>
      </c>
      <c r="Q4918" s="43">
        <f>IF($I4918=0,0,$Q4917+$P4918+$O4918)</f>
      </c>
      <c r="R4918" s="43">
        <f>IF($I4918=0,0,$J4918-$M4918-$N4918)</f>
      </c>
    </row>
    <row r="4919">
      <c r="A4919"/>
      <c r="B4919">
        <v>11</v>
      </c>
      <c r="C4919" s="43">
        <f>INDEX(DarlObj,11)</f>
      </c>
      <c r="D4919">
        <v>116</v>
      </c>
      <c r="E4919" s="51">
        <f>IF(INDEX(DarlBelegt,11)=0,0,EOMONTH(INDEX(DarlAuszahlung,11),115)+1)</f>
      </c>
      <c r="F4919" s="43">
        <f>IF($E4919=0,0,YEAR($E4919))</f>
      </c>
      <c r="G4919" s="43">
        <f>IF(INDEX(DarlBindung,11)="",1,IF($E4919&lt;=INDEX(DarlBindung,11),1,0))</f>
      </c>
      <c r="H4919" s="43">
        <f>IF($G4919=1,INDEX(DarlSollzins,11),INDEX(DarlAnschluss,11))</f>
      </c>
      <c r="I4919" s="43">
        <f>IF(INDEX(DarlBelegt,11)=0,0,IF(INDEX(DarlOhneTilgung,11)=1,IF(INDEX(DarlBindung,11)="",1,$G4919),IF($J4919&gt;0.005,1,0)))</f>
      </c>
      <c r="J4919" s="43">
        <f>IF($I4918=0,0,$R4918)</f>
      </c>
      <c r="K4919" s="43">
        <f>IF($I4919=0,0,IF(INDEX(DarlOhneTilgung,11)=1,0,IF(AND(INDEX(DarlTilgStart,11)&gt;0,$E4919=INDEX(DarlTilgStart,11)),$J4919*($H4919+INDEX(DarlTilgung,11))/100/12,IF(AND($G4919=0,$G4918=1),MAX($K4918,$J4919*($H4919+1)/100/12),$K4918))))</f>
      </c>
      <c r="L4919" s="43">
        <f>IF($I4919=0,0,$J4919*$H4919/100/12)</f>
      </c>
      <c r="M4919" s="43">
        <f>IF($I4919=0,0,IF(OR(INDEX(DarlOhneTilgung,11)=1,AND(INDEX(DarlTilgStart,11)&gt;0,$E4919&lt;INDEX(DarlTilgStart,11))),0,MIN(MAX(0,$K4919-$L4919),$J4919)))</f>
      </c>
      <c r="N4919" s="43">
        <f>IF($I4919=0,0,MIN(SUMIFS(SondBetrag,SondDarl,11,SondDatum,"&gt;="&amp;$E4919,SondDatum,"&lt;="&amp;EOMONTH($E4919,0)),$J4919-$M4919))</f>
      </c>
      <c r="O4919" s="43">
        <f>IF($I4919=0,0,INDEX(DarlErsatzRate,11))</f>
      </c>
      <c r="P4919" s="43">
        <f>IF($I4919=0,0,$Q4918*INDEX(DarlErsatzZins,11))</f>
      </c>
      <c r="Q4919" s="43">
        <f>IF($I4919=0,0,$Q4918+$P4919+$O4919)</f>
      </c>
      <c r="R4919" s="43">
        <f>IF($I4919=0,0,$J4919-$M4919-$N4919)</f>
      </c>
    </row>
    <row r="4920">
      <c r="A4920"/>
      <c r="B4920">
        <v>11</v>
      </c>
      <c r="C4920" s="43">
        <f>INDEX(DarlObj,11)</f>
      </c>
      <c r="D4920">
        <v>117</v>
      </c>
      <c r="E4920" s="51">
        <f>IF(INDEX(DarlBelegt,11)=0,0,EOMONTH(INDEX(DarlAuszahlung,11),116)+1)</f>
      </c>
      <c r="F4920" s="43">
        <f>IF($E4920=0,0,YEAR($E4920))</f>
      </c>
      <c r="G4920" s="43">
        <f>IF(INDEX(DarlBindung,11)="",1,IF($E4920&lt;=INDEX(DarlBindung,11),1,0))</f>
      </c>
      <c r="H4920" s="43">
        <f>IF($G4920=1,INDEX(DarlSollzins,11),INDEX(DarlAnschluss,11))</f>
      </c>
      <c r="I4920" s="43">
        <f>IF(INDEX(DarlBelegt,11)=0,0,IF(INDEX(DarlOhneTilgung,11)=1,IF(INDEX(DarlBindung,11)="",1,$G4920),IF($J4920&gt;0.005,1,0)))</f>
      </c>
      <c r="J4920" s="43">
        <f>IF($I4919=0,0,$R4919)</f>
      </c>
      <c r="K4920" s="43">
        <f>IF($I4920=0,0,IF(INDEX(DarlOhneTilgung,11)=1,0,IF(AND(INDEX(DarlTilgStart,11)&gt;0,$E4920=INDEX(DarlTilgStart,11)),$J4920*($H4920+INDEX(DarlTilgung,11))/100/12,IF(AND($G4920=0,$G4919=1),MAX($K4919,$J4920*($H4920+1)/100/12),$K4919))))</f>
      </c>
      <c r="L4920" s="43">
        <f>IF($I4920=0,0,$J4920*$H4920/100/12)</f>
      </c>
      <c r="M4920" s="43">
        <f>IF($I4920=0,0,IF(OR(INDEX(DarlOhneTilgung,11)=1,AND(INDEX(DarlTilgStart,11)&gt;0,$E4920&lt;INDEX(DarlTilgStart,11))),0,MIN(MAX(0,$K4920-$L4920),$J4920)))</f>
      </c>
      <c r="N4920" s="43">
        <f>IF($I4920=0,0,MIN(SUMIFS(SondBetrag,SondDarl,11,SondDatum,"&gt;="&amp;$E4920,SondDatum,"&lt;="&amp;EOMONTH($E4920,0)),$J4920-$M4920))</f>
      </c>
      <c r="O4920" s="43">
        <f>IF($I4920=0,0,INDEX(DarlErsatzRate,11))</f>
      </c>
      <c r="P4920" s="43">
        <f>IF($I4920=0,0,$Q4919*INDEX(DarlErsatzZins,11))</f>
      </c>
      <c r="Q4920" s="43">
        <f>IF($I4920=0,0,$Q4919+$P4920+$O4920)</f>
      </c>
      <c r="R4920" s="43">
        <f>IF($I4920=0,0,$J4920-$M4920-$N4920)</f>
      </c>
    </row>
    <row r="4921">
      <c r="A4921"/>
      <c r="B4921">
        <v>11</v>
      </c>
      <c r="C4921" s="43">
        <f>INDEX(DarlObj,11)</f>
      </c>
      <c r="D4921">
        <v>118</v>
      </c>
      <c r="E4921" s="51">
        <f>IF(INDEX(DarlBelegt,11)=0,0,EOMONTH(INDEX(DarlAuszahlung,11),117)+1)</f>
      </c>
      <c r="F4921" s="43">
        <f>IF($E4921=0,0,YEAR($E4921))</f>
      </c>
      <c r="G4921" s="43">
        <f>IF(INDEX(DarlBindung,11)="",1,IF($E4921&lt;=INDEX(DarlBindung,11),1,0))</f>
      </c>
      <c r="H4921" s="43">
        <f>IF($G4921=1,INDEX(DarlSollzins,11),INDEX(DarlAnschluss,11))</f>
      </c>
      <c r="I4921" s="43">
        <f>IF(INDEX(DarlBelegt,11)=0,0,IF(INDEX(DarlOhneTilgung,11)=1,IF(INDEX(DarlBindung,11)="",1,$G4921),IF($J4921&gt;0.005,1,0)))</f>
      </c>
      <c r="J4921" s="43">
        <f>IF($I4920=0,0,$R4920)</f>
      </c>
      <c r="K4921" s="43">
        <f>IF($I4921=0,0,IF(INDEX(DarlOhneTilgung,11)=1,0,IF(AND(INDEX(DarlTilgStart,11)&gt;0,$E4921=INDEX(DarlTilgStart,11)),$J4921*($H4921+INDEX(DarlTilgung,11))/100/12,IF(AND($G4921=0,$G4920=1),MAX($K4920,$J4921*($H4921+1)/100/12),$K4920))))</f>
      </c>
      <c r="L4921" s="43">
        <f>IF($I4921=0,0,$J4921*$H4921/100/12)</f>
      </c>
      <c r="M4921" s="43">
        <f>IF($I4921=0,0,IF(OR(INDEX(DarlOhneTilgung,11)=1,AND(INDEX(DarlTilgStart,11)&gt;0,$E4921&lt;INDEX(DarlTilgStart,11))),0,MIN(MAX(0,$K4921-$L4921),$J4921)))</f>
      </c>
      <c r="N4921" s="43">
        <f>IF($I4921=0,0,MIN(SUMIFS(SondBetrag,SondDarl,11,SondDatum,"&gt;="&amp;$E4921,SondDatum,"&lt;="&amp;EOMONTH($E4921,0)),$J4921-$M4921))</f>
      </c>
      <c r="O4921" s="43">
        <f>IF($I4921=0,0,INDEX(DarlErsatzRate,11))</f>
      </c>
      <c r="P4921" s="43">
        <f>IF($I4921=0,0,$Q4920*INDEX(DarlErsatzZins,11))</f>
      </c>
      <c r="Q4921" s="43">
        <f>IF($I4921=0,0,$Q4920+$P4921+$O4921)</f>
      </c>
      <c r="R4921" s="43">
        <f>IF($I4921=0,0,$J4921-$M4921-$N4921)</f>
      </c>
    </row>
    <row r="4922">
      <c r="A4922"/>
      <c r="B4922">
        <v>11</v>
      </c>
      <c r="C4922" s="43">
        <f>INDEX(DarlObj,11)</f>
      </c>
      <c r="D4922">
        <v>119</v>
      </c>
      <c r="E4922" s="51">
        <f>IF(INDEX(DarlBelegt,11)=0,0,EOMONTH(INDEX(DarlAuszahlung,11),118)+1)</f>
      </c>
      <c r="F4922" s="43">
        <f>IF($E4922=0,0,YEAR($E4922))</f>
      </c>
      <c r="G4922" s="43">
        <f>IF(INDEX(DarlBindung,11)="",1,IF($E4922&lt;=INDEX(DarlBindung,11),1,0))</f>
      </c>
      <c r="H4922" s="43">
        <f>IF($G4922=1,INDEX(DarlSollzins,11),INDEX(DarlAnschluss,11))</f>
      </c>
      <c r="I4922" s="43">
        <f>IF(INDEX(DarlBelegt,11)=0,0,IF(INDEX(DarlOhneTilgung,11)=1,IF(INDEX(DarlBindung,11)="",1,$G4922),IF($J4922&gt;0.005,1,0)))</f>
      </c>
      <c r="J4922" s="43">
        <f>IF($I4921=0,0,$R4921)</f>
      </c>
      <c r="K4922" s="43">
        <f>IF($I4922=0,0,IF(INDEX(DarlOhneTilgung,11)=1,0,IF(AND(INDEX(DarlTilgStart,11)&gt;0,$E4922=INDEX(DarlTilgStart,11)),$J4922*($H4922+INDEX(DarlTilgung,11))/100/12,IF(AND($G4922=0,$G4921=1),MAX($K4921,$J4922*($H4922+1)/100/12),$K4921))))</f>
      </c>
      <c r="L4922" s="43">
        <f>IF($I4922=0,0,$J4922*$H4922/100/12)</f>
      </c>
      <c r="M4922" s="43">
        <f>IF($I4922=0,0,IF(OR(INDEX(DarlOhneTilgung,11)=1,AND(INDEX(DarlTilgStart,11)&gt;0,$E4922&lt;INDEX(DarlTilgStart,11))),0,MIN(MAX(0,$K4922-$L4922),$J4922)))</f>
      </c>
      <c r="N4922" s="43">
        <f>IF($I4922=0,0,MIN(SUMIFS(SondBetrag,SondDarl,11,SondDatum,"&gt;="&amp;$E4922,SondDatum,"&lt;="&amp;EOMONTH($E4922,0)),$J4922-$M4922))</f>
      </c>
      <c r="O4922" s="43">
        <f>IF($I4922=0,0,INDEX(DarlErsatzRate,11))</f>
      </c>
      <c r="P4922" s="43">
        <f>IF($I4922=0,0,$Q4921*INDEX(DarlErsatzZins,11))</f>
      </c>
      <c r="Q4922" s="43">
        <f>IF($I4922=0,0,$Q4921+$P4922+$O4922)</f>
      </c>
      <c r="R4922" s="43">
        <f>IF($I4922=0,0,$J4922-$M4922-$N4922)</f>
      </c>
    </row>
    <row r="4923">
      <c r="A4923"/>
      <c r="B4923">
        <v>11</v>
      </c>
      <c r="C4923" s="43">
        <f>INDEX(DarlObj,11)</f>
      </c>
      <c r="D4923">
        <v>120</v>
      </c>
      <c r="E4923" s="51">
        <f>IF(INDEX(DarlBelegt,11)=0,0,EOMONTH(INDEX(DarlAuszahlung,11),119)+1)</f>
      </c>
      <c r="F4923" s="43">
        <f>IF($E4923=0,0,YEAR($E4923))</f>
      </c>
      <c r="G4923" s="43">
        <f>IF(INDEX(DarlBindung,11)="",1,IF($E4923&lt;=INDEX(DarlBindung,11),1,0))</f>
      </c>
      <c r="H4923" s="43">
        <f>IF($G4923=1,INDEX(DarlSollzins,11),INDEX(DarlAnschluss,11))</f>
      </c>
      <c r="I4923" s="43">
        <f>IF(INDEX(DarlBelegt,11)=0,0,IF(INDEX(DarlOhneTilgung,11)=1,IF(INDEX(DarlBindung,11)="",1,$G4923),IF($J4923&gt;0.005,1,0)))</f>
      </c>
      <c r="J4923" s="43">
        <f>IF($I4922=0,0,$R4922)</f>
      </c>
      <c r="K4923" s="43">
        <f>IF($I4923=0,0,IF(INDEX(DarlOhneTilgung,11)=1,0,IF(AND(INDEX(DarlTilgStart,11)&gt;0,$E4923=INDEX(DarlTilgStart,11)),$J4923*($H4923+INDEX(DarlTilgung,11))/100/12,IF(AND($G4923=0,$G4922=1),MAX($K4922,$J4923*($H4923+1)/100/12),$K4922))))</f>
      </c>
      <c r="L4923" s="43">
        <f>IF($I4923=0,0,$J4923*$H4923/100/12)</f>
      </c>
      <c r="M4923" s="43">
        <f>IF($I4923=0,0,IF(OR(INDEX(DarlOhneTilgung,11)=1,AND(INDEX(DarlTilgStart,11)&gt;0,$E4923&lt;INDEX(DarlTilgStart,11))),0,MIN(MAX(0,$K4923-$L4923),$J4923)))</f>
      </c>
      <c r="N4923" s="43">
        <f>IF($I4923=0,0,MIN(SUMIFS(SondBetrag,SondDarl,11,SondDatum,"&gt;="&amp;$E4923,SondDatum,"&lt;="&amp;EOMONTH($E4923,0)),$J4923-$M4923))</f>
      </c>
      <c r="O4923" s="43">
        <f>IF($I4923=0,0,INDEX(DarlErsatzRate,11))</f>
      </c>
      <c r="P4923" s="43">
        <f>IF($I4923=0,0,$Q4922*INDEX(DarlErsatzZins,11))</f>
      </c>
      <c r="Q4923" s="43">
        <f>IF($I4923=0,0,$Q4922+$P4923+$O4923)</f>
      </c>
      <c r="R4923" s="43">
        <f>IF($I4923=0,0,$J4923-$M4923-$N4923)</f>
      </c>
    </row>
    <row r="4924">
      <c r="A4924"/>
      <c r="B4924">
        <v>11</v>
      </c>
      <c r="C4924" s="43">
        <f>INDEX(DarlObj,11)</f>
      </c>
      <c r="D4924">
        <v>121</v>
      </c>
      <c r="E4924" s="51">
        <f>IF(INDEX(DarlBelegt,11)=0,0,EOMONTH(INDEX(DarlAuszahlung,11),120)+1)</f>
      </c>
      <c r="F4924" s="43">
        <f>IF($E4924=0,0,YEAR($E4924))</f>
      </c>
      <c r="G4924" s="43">
        <f>IF(INDEX(DarlBindung,11)="",1,IF($E4924&lt;=INDEX(DarlBindung,11),1,0))</f>
      </c>
      <c r="H4924" s="43">
        <f>IF($G4924=1,INDEX(DarlSollzins,11),INDEX(DarlAnschluss,11))</f>
      </c>
      <c r="I4924" s="43">
        <f>IF(INDEX(DarlBelegt,11)=0,0,IF(INDEX(DarlOhneTilgung,11)=1,IF(INDEX(DarlBindung,11)="",1,$G4924),IF($J4924&gt;0.005,1,0)))</f>
      </c>
      <c r="J4924" s="43">
        <f>IF($I4923=0,0,$R4923)</f>
      </c>
      <c r="K4924" s="43">
        <f>IF($I4924=0,0,IF(INDEX(DarlOhneTilgung,11)=1,0,IF(AND(INDEX(DarlTilgStart,11)&gt;0,$E4924=INDEX(DarlTilgStart,11)),$J4924*($H4924+INDEX(DarlTilgung,11))/100/12,IF(AND($G4924=0,$G4923=1),MAX($K4923,$J4924*($H4924+1)/100/12),$K4923))))</f>
      </c>
      <c r="L4924" s="43">
        <f>IF($I4924=0,0,$J4924*$H4924/100/12)</f>
      </c>
      <c r="M4924" s="43">
        <f>IF($I4924=0,0,IF(OR(INDEX(DarlOhneTilgung,11)=1,AND(INDEX(DarlTilgStart,11)&gt;0,$E4924&lt;INDEX(DarlTilgStart,11))),0,MIN(MAX(0,$K4924-$L4924),$J4924)))</f>
      </c>
      <c r="N4924" s="43">
        <f>IF($I4924=0,0,MIN(SUMIFS(SondBetrag,SondDarl,11,SondDatum,"&gt;="&amp;$E4924,SondDatum,"&lt;="&amp;EOMONTH($E4924,0)),$J4924-$M4924))</f>
      </c>
      <c r="O4924" s="43">
        <f>IF($I4924=0,0,INDEX(DarlErsatzRate,11))</f>
      </c>
      <c r="P4924" s="43">
        <f>IF($I4924=0,0,$Q4923*INDEX(DarlErsatzZins,11))</f>
      </c>
      <c r="Q4924" s="43">
        <f>IF($I4924=0,0,$Q4923+$P4924+$O4924)</f>
      </c>
      <c r="R4924" s="43">
        <f>IF($I4924=0,0,$J4924-$M4924-$N4924)</f>
      </c>
    </row>
    <row r="4925">
      <c r="A4925"/>
      <c r="B4925">
        <v>11</v>
      </c>
      <c r="C4925" s="43">
        <f>INDEX(DarlObj,11)</f>
      </c>
      <c r="D4925">
        <v>122</v>
      </c>
      <c r="E4925" s="51">
        <f>IF(INDEX(DarlBelegt,11)=0,0,EOMONTH(INDEX(DarlAuszahlung,11),121)+1)</f>
      </c>
      <c r="F4925" s="43">
        <f>IF($E4925=0,0,YEAR($E4925))</f>
      </c>
      <c r="G4925" s="43">
        <f>IF(INDEX(DarlBindung,11)="",1,IF($E4925&lt;=INDEX(DarlBindung,11),1,0))</f>
      </c>
      <c r="H4925" s="43">
        <f>IF($G4925=1,INDEX(DarlSollzins,11),INDEX(DarlAnschluss,11))</f>
      </c>
      <c r="I4925" s="43">
        <f>IF(INDEX(DarlBelegt,11)=0,0,IF(INDEX(DarlOhneTilgung,11)=1,IF(INDEX(DarlBindung,11)="",1,$G4925),IF($J4925&gt;0.005,1,0)))</f>
      </c>
      <c r="J4925" s="43">
        <f>IF($I4924=0,0,$R4924)</f>
      </c>
      <c r="K4925" s="43">
        <f>IF($I4925=0,0,IF(INDEX(DarlOhneTilgung,11)=1,0,IF(AND(INDEX(DarlTilgStart,11)&gt;0,$E4925=INDEX(DarlTilgStart,11)),$J4925*($H4925+INDEX(DarlTilgung,11))/100/12,IF(AND($G4925=0,$G4924=1),MAX($K4924,$J4925*($H4925+1)/100/12),$K4924))))</f>
      </c>
      <c r="L4925" s="43">
        <f>IF($I4925=0,0,$J4925*$H4925/100/12)</f>
      </c>
      <c r="M4925" s="43">
        <f>IF($I4925=0,0,IF(OR(INDEX(DarlOhneTilgung,11)=1,AND(INDEX(DarlTilgStart,11)&gt;0,$E4925&lt;INDEX(DarlTilgStart,11))),0,MIN(MAX(0,$K4925-$L4925),$J4925)))</f>
      </c>
      <c r="N4925" s="43">
        <f>IF($I4925=0,0,MIN(SUMIFS(SondBetrag,SondDarl,11,SondDatum,"&gt;="&amp;$E4925,SondDatum,"&lt;="&amp;EOMONTH($E4925,0)),$J4925-$M4925))</f>
      </c>
      <c r="O4925" s="43">
        <f>IF($I4925=0,0,INDEX(DarlErsatzRate,11))</f>
      </c>
      <c r="P4925" s="43">
        <f>IF($I4925=0,0,$Q4924*INDEX(DarlErsatzZins,11))</f>
      </c>
      <c r="Q4925" s="43">
        <f>IF($I4925=0,0,$Q4924+$P4925+$O4925)</f>
      </c>
      <c r="R4925" s="43">
        <f>IF($I4925=0,0,$J4925-$M4925-$N4925)</f>
      </c>
    </row>
    <row r="4926">
      <c r="A4926"/>
      <c r="B4926">
        <v>11</v>
      </c>
      <c r="C4926" s="43">
        <f>INDEX(DarlObj,11)</f>
      </c>
      <c r="D4926">
        <v>123</v>
      </c>
      <c r="E4926" s="51">
        <f>IF(INDEX(DarlBelegt,11)=0,0,EOMONTH(INDEX(DarlAuszahlung,11),122)+1)</f>
      </c>
      <c r="F4926" s="43">
        <f>IF($E4926=0,0,YEAR($E4926))</f>
      </c>
      <c r="G4926" s="43">
        <f>IF(INDEX(DarlBindung,11)="",1,IF($E4926&lt;=INDEX(DarlBindung,11),1,0))</f>
      </c>
      <c r="H4926" s="43">
        <f>IF($G4926=1,INDEX(DarlSollzins,11),INDEX(DarlAnschluss,11))</f>
      </c>
      <c r="I4926" s="43">
        <f>IF(INDEX(DarlBelegt,11)=0,0,IF(INDEX(DarlOhneTilgung,11)=1,IF(INDEX(DarlBindung,11)="",1,$G4926),IF($J4926&gt;0.005,1,0)))</f>
      </c>
      <c r="J4926" s="43">
        <f>IF($I4925=0,0,$R4925)</f>
      </c>
      <c r="K4926" s="43">
        <f>IF($I4926=0,0,IF(INDEX(DarlOhneTilgung,11)=1,0,IF(AND(INDEX(DarlTilgStart,11)&gt;0,$E4926=INDEX(DarlTilgStart,11)),$J4926*($H4926+INDEX(DarlTilgung,11))/100/12,IF(AND($G4926=0,$G4925=1),MAX($K4925,$J4926*($H4926+1)/100/12),$K4925))))</f>
      </c>
      <c r="L4926" s="43">
        <f>IF($I4926=0,0,$J4926*$H4926/100/12)</f>
      </c>
      <c r="M4926" s="43">
        <f>IF($I4926=0,0,IF(OR(INDEX(DarlOhneTilgung,11)=1,AND(INDEX(DarlTilgStart,11)&gt;0,$E4926&lt;INDEX(DarlTilgStart,11))),0,MIN(MAX(0,$K4926-$L4926),$J4926)))</f>
      </c>
      <c r="N4926" s="43">
        <f>IF($I4926=0,0,MIN(SUMIFS(SondBetrag,SondDarl,11,SondDatum,"&gt;="&amp;$E4926,SondDatum,"&lt;="&amp;EOMONTH($E4926,0)),$J4926-$M4926))</f>
      </c>
      <c r="O4926" s="43">
        <f>IF($I4926=0,0,INDEX(DarlErsatzRate,11))</f>
      </c>
      <c r="P4926" s="43">
        <f>IF($I4926=0,0,$Q4925*INDEX(DarlErsatzZins,11))</f>
      </c>
      <c r="Q4926" s="43">
        <f>IF($I4926=0,0,$Q4925+$P4926+$O4926)</f>
      </c>
      <c r="R4926" s="43">
        <f>IF($I4926=0,0,$J4926-$M4926-$N4926)</f>
      </c>
    </row>
    <row r="4927">
      <c r="A4927"/>
      <c r="B4927">
        <v>11</v>
      </c>
      <c r="C4927" s="43">
        <f>INDEX(DarlObj,11)</f>
      </c>
      <c r="D4927">
        <v>124</v>
      </c>
      <c r="E4927" s="51">
        <f>IF(INDEX(DarlBelegt,11)=0,0,EOMONTH(INDEX(DarlAuszahlung,11),123)+1)</f>
      </c>
      <c r="F4927" s="43">
        <f>IF($E4927=0,0,YEAR($E4927))</f>
      </c>
      <c r="G4927" s="43">
        <f>IF(INDEX(DarlBindung,11)="",1,IF($E4927&lt;=INDEX(DarlBindung,11),1,0))</f>
      </c>
      <c r="H4927" s="43">
        <f>IF($G4927=1,INDEX(DarlSollzins,11),INDEX(DarlAnschluss,11))</f>
      </c>
      <c r="I4927" s="43">
        <f>IF(INDEX(DarlBelegt,11)=0,0,IF(INDEX(DarlOhneTilgung,11)=1,IF(INDEX(DarlBindung,11)="",1,$G4927),IF($J4927&gt;0.005,1,0)))</f>
      </c>
      <c r="J4927" s="43">
        <f>IF($I4926=0,0,$R4926)</f>
      </c>
      <c r="K4927" s="43">
        <f>IF($I4927=0,0,IF(INDEX(DarlOhneTilgung,11)=1,0,IF(AND(INDEX(DarlTilgStart,11)&gt;0,$E4927=INDEX(DarlTilgStart,11)),$J4927*($H4927+INDEX(DarlTilgung,11))/100/12,IF(AND($G4927=0,$G4926=1),MAX($K4926,$J4927*($H4927+1)/100/12),$K4926))))</f>
      </c>
      <c r="L4927" s="43">
        <f>IF($I4927=0,0,$J4927*$H4927/100/12)</f>
      </c>
      <c r="M4927" s="43">
        <f>IF($I4927=0,0,IF(OR(INDEX(DarlOhneTilgung,11)=1,AND(INDEX(DarlTilgStart,11)&gt;0,$E4927&lt;INDEX(DarlTilgStart,11))),0,MIN(MAX(0,$K4927-$L4927),$J4927)))</f>
      </c>
      <c r="N4927" s="43">
        <f>IF($I4927=0,0,MIN(SUMIFS(SondBetrag,SondDarl,11,SondDatum,"&gt;="&amp;$E4927,SondDatum,"&lt;="&amp;EOMONTH($E4927,0)),$J4927-$M4927))</f>
      </c>
      <c r="O4927" s="43">
        <f>IF($I4927=0,0,INDEX(DarlErsatzRate,11))</f>
      </c>
      <c r="P4927" s="43">
        <f>IF($I4927=0,0,$Q4926*INDEX(DarlErsatzZins,11))</f>
      </c>
      <c r="Q4927" s="43">
        <f>IF($I4927=0,0,$Q4926+$P4927+$O4927)</f>
      </c>
      <c r="R4927" s="43">
        <f>IF($I4927=0,0,$J4927-$M4927-$N4927)</f>
      </c>
    </row>
    <row r="4928">
      <c r="A4928"/>
      <c r="B4928">
        <v>11</v>
      </c>
      <c r="C4928" s="43">
        <f>INDEX(DarlObj,11)</f>
      </c>
      <c r="D4928">
        <v>125</v>
      </c>
      <c r="E4928" s="51">
        <f>IF(INDEX(DarlBelegt,11)=0,0,EOMONTH(INDEX(DarlAuszahlung,11),124)+1)</f>
      </c>
      <c r="F4928" s="43">
        <f>IF($E4928=0,0,YEAR($E4928))</f>
      </c>
      <c r="G4928" s="43">
        <f>IF(INDEX(DarlBindung,11)="",1,IF($E4928&lt;=INDEX(DarlBindung,11),1,0))</f>
      </c>
      <c r="H4928" s="43">
        <f>IF($G4928=1,INDEX(DarlSollzins,11),INDEX(DarlAnschluss,11))</f>
      </c>
      <c r="I4928" s="43">
        <f>IF(INDEX(DarlBelegt,11)=0,0,IF(INDEX(DarlOhneTilgung,11)=1,IF(INDEX(DarlBindung,11)="",1,$G4928),IF($J4928&gt;0.005,1,0)))</f>
      </c>
      <c r="J4928" s="43">
        <f>IF($I4927=0,0,$R4927)</f>
      </c>
      <c r="K4928" s="43">
        <f>IF($I4928=0,0,IF(INDEX(DarlOhneTilgung,11)=1,0,IF(AND(INDEX(DarlTilgStart,11)&gt;0,$E4928=INDEX(DarlTilgStart,11)),$J4928*($H4928+INDEX(DarlTilgung,11))/100/12,IF(AND($G4928=0,$G4927=1),MAX($K4927,$J4928*($H4928+1)/100/12),$K4927))))</f>
      </c>
      <c r="L4928" s="43">
        <f>IF($I4928=0,0,$J4928*$H4928/100/12)</f>
      </c>
      <c r="M4928" s="43">
        <f>IF($I4928=0,0,IF(OR(INDEX(DarlOhneTilgung,11)=1,AND(INDEX(DarlTilgStart,11)&gt;0,$E4928&lt;INDEX(DarlTilgStart,11))),0,MIN(MAX(0,$K4928-$L4928),$J4928)))</f>
      </c>
      <c r="N4928" s="43">
        <f>IF($I4928=0,0,MIN(SUMIFS(SondBetrag,SondDarl,11,SondDatum,"&gt;="&amp;$E4928,SondDatum,"&lt;="&amp;EOMONTH($E4928,0)),$J4928-$M4928))</f>
      </c>
      <c r="O4928" s="43">
        <f>IF($I4928=0,0,INDEX(DarlErsatzRate,11))</f>
      </c>
      <c r="P4928" s="43">
        <f>IF($I4928=0,0,$Q4927*INDEX(DarlErsatzZins,11))</f>
      </c>
      <c r="Q4928" s="43">
        <f>IF($I4928=0,0,$Q4927+$P4928+$O4928)</f>
      </c>
      <c r="R4928" s="43">
        <f>IF($I4928=0,0,$J4928-$M4928-$N4928)</f>
      </c>
    </row>
    <row r="4929">
      <c r="A4929"/>
      <c r="B4929">
        <v>11</v>
      </c>
      <c r="C4929" s="43">
        <f>INDEX(DarlObj,11)</f>
      </c>
      <c r="D4929">
        <v>126</v>
      </c>
      <c r="E4929" s="51">
        <f>IF(INDEX(DarlBelegt,11)=0,0,EOMONTH(INDEX(DarlAuszahlung,11),125)+1)</f>
      </c>
      <c r="F4929" s="43">
        <f>IF($E4929=0,0,YEAR($E4929))</f>
      </c>
      <c r="G4929" s="43">
        <f>IF(INDEX(DarlBindung,11)="",1,IF($E4929&lt;=INDEX(DarlBindung,11),1,0))</f>
      </c>
      <c r="H4929" s="43">
        <f>IF($G4929=1,INDEX(DarlSollzins,11),INDEX(DarlAnschluss,11))</f>
      </c>
      <c r="I4929" s="43">
        <f>IF(INDEX(DarlBelegt,11)=0,0,IF(INDEX(DarlOhneTilgung,11)=1,IF(INDEX(DarlBindung,11)="",1,$G4929),IF($J4929&gt;0.005,1,0)))</f>
      </c>
      <c r="J4929" s="43">
        <f>IF($I4928=0,0,$R4928)</f>
      </c>
      <c r="K4929" s="43">
        <f>IF($I4929=0,0,IF(INDEX(DarlOhneTilgung,11)=1,0,IF(AND(INDEX(DarlTilgStart,11)&gt;0,$E4929=INDEX(DarlTilgStart,11)),$J4929*($H4929+INDEX(DarlTilgung,11))/100/12,IF(AND($G4929=0,$G4928=1),MAX($K4928,$J4929*($H4929+1)/100/12),$K4928))))</f>
      </c>
      <c r="L4929" s="43">
        <f>IF($I4929=0,0,$J4929*$H4929/100/12)</f>
      </c>
      <c r="M4929" s="43">
        <f>IF($I4929=0,0,IF(OR(INDEX(DarlOhneTilgung,11)=1,AND(INDEX(DarlTilgStart,11)&gt;0,$E4929&lt;INDEX(DarlTilgStart,11))),0,MIN(MAX(0,$K4929-$L4929),$J4929)))</f>
      </c>
      <c r="N4929" s="43">
        <f>IF($I4929=0,0,MIN(SUMIFS(SondBetrag,SondDarl,11,SondDatum,"&gt;="&amp;$E4929,SondDatum,"&lt;="&amp;EOMONTH($E4929,0)),$J4929-$M4929))</f>
      </c>
      <c r="O4929" s="43">
        <f>IF($I4929=0,0,INDEX(DarlErsatzRate,11))</f>
      </c>
      <c r="P4929" s="43">
        <f>IF($I4929=0,0,$Q4928*INDEX(DarlErsatzZins,11))</f>
      </c>
      <c r="Q4929" s="43">
        <f>IF($I4929=0,0,$Q4928+$P4929+$O4929)</f>
      </c>
      <c r="R4929" s="43">
        <f>IF($I4929=0,0,$J4929-$M4929-$N4929)</f>
      </c>
    </row>
    <row r="4930">
      <c r="A4930"/>
      <c r="B4930">
        <v>11</v>
      </c>
      <c r="C4930" s="43">
        <f>INDEX(DarlObj,11)</f>
      </c>
      <c r="D4930">
        <v>127</v>
      </c>
      <c r="E4930" s="51">
        <f>IF(INDEX(DarlBelegt,11)=0,0,EOMONTH(INDEX(DarlAuszahlung,11),126)+1)</f>
      </c>
      <c r="F4930" s="43">
        <f>IF($E4930=0,0,YEAR($E4930))</f>
      </c>
      <c r="G4930" s="43">
        <f>IF(INDEX(DarlBindung,11)="",1,IF($E4930&lt;=INDEX(DarlBindung,11),1,0))</f>
      </c>
      <c r="H4930" s="43">
        <f>IF($G4930=1,INDEX(DarlSollzins,11),INDEX(DarlAnschluss,11))</f>
      </c>
      <c r="I4930" s="43">
        <f>IF(INDEX(DarlBelegt,11)=0,0,IF(INDEX(DarlOhneTilgung,11)=1,IF(INDEX(DarlBindung,11)="",1,$G4930),IF($J4930&gt;0.005,1,0)))</f>
      </c>
      <c r="J4930" s="43">
        <f>IF($I4929=0,0,$R4929)</f>
      </c>
      <c r="K4930" s="43">
        <f>IF($I4930=0,0,IF(INDEX(DarlOhneTilgung,11)=1,0,IF(AND(INDEX(DarlTilgStart,11)&gt;0,$E4930=INDEX(DarlTilgStart,11)),$J4930*($H4930+INDEX(DarlTilgung,11))/100/12,IF(AND($G4930=0,$G4929=1),MAX($K4929,$J4930*($H4930+1)/100/12),$K4929))))</f>
      </c>
      <c r="L4930" s="43">
        <f>IF($I4930=0,0,$J4930*$H4930/100/12)</f>
      </c>
      <c r="M4930" s="43">
        <f>IF($I4930=0,0,IF(OR(INDEX(DarlOhneTilgung,11)=1,AND(INDEX(DarlTilgStart,11)&gt;0,$E4930&lt;INDEX(DarlTilgStart,11))),0,MIN(MAX(0,$K4930-$L4930),$J4930)))</f>
      </c>
      <c r="N4930" s="43">
        <f>IF($I4930=0,0,MIN(SUMIFS(SondBetrag,SondDarl,11,SondDatum,"&gt;="&amp;$E4930,SondDatum,"&lt;="&amp;EOMONTH($E4930,0)),$J4930-$M4930))</f>
      </c>
      <c r="O4930" s="43">
        <f>IF($I4930=0,0,INDEX(DarlErsatzRate,11))</f>
      </c>
      <c r="P4930" s="43">
        <f>IF($I4930=0,0,$Q4929*INDEX(DarlErsatzZins,11))</f>
      </c>
      <c r="Q4930" s="43">
        <f>IF($I4930=0,0,$Q4929+$P4930+$O4930)</f>
      </c>
      <c r="R4930" s="43">
        <f>IF($I4930=0,0,$J4930-$M4930-$N4930)</f>
      </c>
    </row>
    <row r="4931">
      <c r="A4931"/>
      <c r="B4931">
        <v>11</v>
      </c>
      <c r="C4931" s="43">
        <f>INDEX(DarlObj,11)</f>
      </c>
      <c r="D4931">
        <v>128</v>
      </c>
      <c r="E4931" s="51">
        <f>IF(INDEX(DarlBelegt,11)=0,0,EOMONTH(INDEX(DarlAuszahlung,11),127)+1)</f>
      </c>
      <c r="F4931" s="43">
        <f>IF($E4931=0,0,YEAR($E4931))</f>
      </c>
      <c r="G4931" s="43">
        <f>IF(INDEX(DarlBindung,11)="",1,IF($E4931&lt;=INDEX(DarlBindung,11),1,0))</f>
      </c>
      <c r="H4931" s="43">
        <f>IF($G4931=1,INDEX(DarlSollzins,11),INDEX(DarlAnschluss,11))</f>
      </c>
      <c r="I4931" s="43">
        <f>IF(INDEX(DarlBelegt,11)=0,0,IF(INDEX(DarlOhneTilgung,11)=1,IF(INDEX(DarlBindung,11)="",1,$G4931),IF($J4931&gt;0.005,1,0)))</f>
      </c>
      <c r="J4931" s="43">
        <f>IF($I4930=0,0,$R4930)</f>
      </c>
      <c r="K4931" s="43">
        <f>IF($I4931=0,0,IF(INDEX(DarlOhneTilgung,11)=1,0,IF(AND(INDEX(DarlTilgStart,11)&gt;0,$E4931=INDEX(DarlTilgStart,11)),$J4931*($H4931+INDEX(DarlTilgung,11))/100/12,IF(AND($G4931=0,$G4930=1),MAX($K4930,$J4931*($H4931+1)/100/12),$K4930))))</f>
      </c>
      <c r="L4931" s="43">
        <f>IF($I4931=0,0,$J4931*$H4931/100/12)</f>
      </c>
      <c r="M4931" s="43">
        <f>IF($I4931=0,0,IF(OR(INDEX(DarlOhneTilgung,11)=1,AND(INDEX(DarlTilgStart,11)&gt;0,$E4931&lt;INDEX(DarlTilgStart,11))),0,MIN(MAX(0,$K4931-$L4931),$J4931)))</f>
      </c>
      <c r="N4931" s="43">
        <f>IF($I4931=0,0,MIN(SUMIFS(SondBetrag,SondDarl,11,SondDatum,"&gt;="&amp;$E4931,SondDatum,"&lt;="&amp;EOMONTH($E4931,0)),$J4931-$M4931))</f>
      </c>
      <c r="O4931" s="43">
        <f>IF($I4931=0,0,INDEX(DarlErsatzRate,11))</f>
      </c>
      <c r="P4931" s="43">
        <f>IF($I4931=0,0,$Q4930*INDEX(DarlErsatzZins,11))</f>
      </c>
      <c r="Q4931" s="43">
        <f>IF($I4931=0,0,$Q4930+$P4931+$O4931)</f>
      </c>
      <c r="R4931" s="43">
        <f>IF($I4931=0,0,$J4931-$M4931-$N4931)</f>
      </c>
    </row>
    <row r="4932">
      <c r="A4932"/>
      <c r="B4932">
        <v>11</v>
      </c>
      <c r="C4932" s="43">
        <f>INDEX(DarlObj,11)</f>
      </c>
      <c r="D4932">
        <v>129</v>
      </c>
      <c r="E4932" s="51">
        <f>IF(INDEX(DarlBelegt,11)=0,0,EOMONTH(INDEX(DarlAuszahlung,11),128)+1)</f>
      </c>
      <c r="F4932" s="43">
        <f>IF($E4932=0,0,YEAR($E4932))</f>
      </c>
      <c r="G4932" s="43">
        <f>IF(INDEX(DarlBindung,11)="",1,IF($E4932&lt;=INDEX(DarlBindung,11),1,0))</f>
      </c>
      <c r="H4932" s="43">
        <f>IF($G4932=1,INDEX(DarlSollzins,11),INDEX(DarlAnschluss,11))</f>
      </c>
      <c r="I4932" s="43">
        <f>IF(INDEX(DarlBelegt,11)=0,0,IF(INDEX(DarlOhneTilgung,11)=1,IF(INDEX(DarlBindung,11)="",1,$G4932),IF($J4932&gt;0.005,1,0)))</f>
      </c>
      <c r="J4932" s="43">
        <f>IF($I4931=0,0,$R4931)</f>
      </c>
      <c r="K4932" s="43">
        <f>IF($I4932=0,0,IF(INDEX(DarlOhneTilgung,11)=1,0,IF(AND(INDEX(DarlTilgStart,11)&gt;0,$E4932=INDEX(DarlTilgStart,11)),$J4932*($H4932+INDEX(DarlTilgung,11))/100/12,IF(AND($G4932=0,$G4931=1),MAX($K4931,$J4932*($H4932+1)/100/12),$K4931))))</f>
      </c>
      <c r="L4932" s="43">
        <f>IF($I4932=0,0,$J4932*$H4932/100/12)</f>
      </c>
      <c r="M4932" s="43">
        <f>IF($I4932=0,0,IF(OR(INDEX(DarlOhneTilgung,11)=1,AND(INDEX(DarlTilgStart,11)&gt;0,$E4932&lt;INDEX(DarlTilgStart,11))),0,MIN(MAX(0,$K4932-$L4932),$J4932)))</f>
      </c>
      <c r="N4932" s="43">
        <f>IF($I4932=0,0,MIN(SUMIFS(SondBetrag,SondDarl,11,SondDatum,"&gt;="&amp;$E4932,SondDatum,"&lt;="&amp;EOMONTH($E4932,0)),$J4932-$M4932))</f>
      </c>
      <c r="O4932" s="43">
        <f>IF($I4932=0,0,INDEX(DarlErsatzRate,11))</f>
      </c>
      <c r="P4932" s="43">
        <f>IF($I4932=0,0,$Q4931*INDEX(DarlErsatzZins,11))</f>
      </c>
      <c r="Q4932" s="43">
        <f>IF($I4932=0,0,$Q4931+$P4932+$O4932)</f>
      </c>
      <c r="R4932" s="43">
        <f>IF($I4932=0,0,$J4932-$M4932-$N4932)</f>
      </c>
    </row>
    <row r="4933">
      <c r="A4933"/>
      <c r="B4933">
        <v>11</v>
      </c>
      <c r="C4933" s="43">
        <f>INDEX(DarlObj,11)</f>
      </c>
      <c r="D4933">
        <v>130</v>
      </c>
      <c r="E4933" s="51">
        <f>IF(INDEX(DarlBelegt,11)=0,0,EOMONTH(INDEX(DarlAuszahlung,11),129)+1)</f>
      </c>
      <c r="F4933" s="43">
        <f>IF($E4933=0,0,YEAR($E4933))</f>
      </c>
      <c r="G4933" s="43">
        <f>IF(INDEX(DarlBindung,11)="",1,IF($E4933&lt;=INDEX(DarlBindung,11),1,0))</f>
      </c>
      <c r="H4933" s="43">
        <f>IF($G4933=1,INDEX(DarlSollzins,11),INDEX(DarlAnschluss,11))</f>
      </c>
      <c r="I4933" s="43">
        <f>IF(INDEX(DarlBelegt,11)=0,0,IF(INDEX(DarlOhneTilgung,11)=1,IF(INDEX(DarlBindung,11)="",1,$G4933),IF($J4933&gt;0.005,1,0)))</f>
      </c>
      <c r="J4933" s="43">
        <f>IF($I4932=0,0,$R4932)</f>
      </c>
      <c r="K4933" s="43">
        <f>IF($I4933=0,0,IF(INDEX(DarlOhneTilgung,11)=1,0,IF(AND(INDEX(DarlTilgStart,11)&gt;0,$E4933=INDEX(DarlTilgStart,11)),$J4933*($H4933+INDEX(DarlTilgung,11))/100/12,IF(AND($G4933=0,$G4932=1),MAX($K4932,$J4933*($H4933+1)/100/12),$K4932))))</f>
      </c>
      <c r="L4933" s="43">
        <f>IF($I4933=0,0,$J4933*$H4933/100/12)</f>
      </c>
      <c r="M4933" s="43">
        <f>IF($I4933=0,0,IF(OR(INDEX(DarlOhneTilgung,11)=1,AND(INDEX(DarlTilgStart,11)&gt;0,$E4933&lt;INDEX(DarlTilgStart,11))),0,MIN(MAX(0,$K4933-$L4933),$J4933)))</f>
      </c>
      <c r="N4933" s="43">
        <f>IF($I4933=0,0,MIN(SUMIFS(SondBetrag,SondDarl,11,SondDatum,"&gt;="&amp;$E4933,SondDatum,"&lt;="&amp;EOMONTH($E4933,0)),$J4933-$M4933))</f>
      </c>
      <c r="O4933" s="43">
        <f>IF($I4933=0,0,INDEX(DarlErsatzRate,11))</f>
      </c>
      <c r="P4933" s="43">
        <f>IF($I4933=0,0,$Q4932*INDEX(DarlErsatzZins,11))</f>
      </c>
      <c r="Q4933" s="43">
        <f>IF($I4933=0,0,$Q4932+$P4933+$O4933)</f>
      </c>
      <c r="R4933" s="43">
        <f>IF($I4933=0,0,$J4933-$M4933-$N4933)</f>
      </c>
    </row>
    <row r="4934">
      <c r="A4934"/>
      <c r="B4934">
        <v>11</v>
      </c>
      <c r="C4934" s="43">
        <f>INDEX(DarlObj,11)</f>
      </c>
      <c r="D4934">
        <v>131</v>
      </c>
      <c r="E4934" s="51">
        <f>IF(INDEX(DarlBelegt,11)=0,0,EOMONTH(INDEX(DarlAuszahlung,11),130)+1)</f>
      </c>
      <c r="F4934" s="43">
        <f>IF($E4934=0,0,YEAR($E4934))</f>
      </c>
      <c r="G4934" s="43">
        <f>IF(INDEX(DarlBindung,11)="",1,IF($E4934&lt;=INDEX(DarlBindung,11),1,0))</f>
      </c>
      <c r="H4934" s="43">
        <f>IF($G4934=1,INDEX(DarlSollzins,11),INDEX(DarlAnschluss,11))</f>
      </c>
      <c r="I4934" s="43">
        <f>IF(INDEX(DarlBelegt,11)=0,0,IF(INDEX(DarlOhneTilgung,11)=1,IF(INDEX(DarlBindung,11)="",1,$G4934),IF($J4934&gt;0.005,1,0)))</f>
      </c>
      <c r="J4934" s="43">
        <f>IF($I4933=0,0,$R4933)</f>
      </c>
      <c r="K4934" s="43">
        <f>IF($I4934=0,0,IF(INDEX(DarlOhneTilgung,11)=1,0,IF(AND(INDEX(DarlTilgStart,11)&gt;0,$E4934=INDEX(DarlTilgStart,11)),$J4934*($H4934+INDEX(DarlTilgung,11))/100/12,IF(AND($G4934=0,$G4933=1),MAX($K4933,$J4934*($H4934+1)/100/12),$K4933))))</f>
      </c>
      <c r="L4934" s="43">
        <f>IF($I4934=0,0,$J4934*$H4934/100/12)</f>
      </c>
      <c r="M4934" s="43">
        <f>IF($I4934=0,0,IF(OR(INDEX(DarlOhneTilgung,11)=1,AND(INDEX(DarlTilgStart,11)&gt;0,$E4934&lt;INDEX(DarlTilgStart,11))),0,MIN(MAX(0,$K4934-$L4934),$J4934)))</f>
      </c>
      <c r="N4934" s="43">
        <f>IF($I4934=0,0,MIN(SUMIFS(SondBetrag,SondDarl,11,SondDatum,"&gt;="&amp;$E4934,SondDatum,"&lt;="&amp;EOMONTH($E4934,0)),$J4934-$M4934))</f>
      </c>
      <c r="O4934" s="43">
        <f>IF($I4934=0,0,INDEX(DarlErsatzRate,11))</f>
      </c>
      <c r="P4934" s="43">
        <f>IF($I4934=0,0,$Q4933*INDEX(DarlErsatzZins,11))</f>
      </c>
      <c r="Q4934" s="43">
        <f>IF($I4934=0,0,$Q4933+$P4934+$O4934)</f>
      </c>
      <c r="R4934" s="43">
        <f>IF($I4934=0,0,$J4934-$M4934-$N4934)</f>
      </c>
    </row>
    <row r="4935">
      <c r="A4935"/>
      <c r="B4935">
        <v>11</v>
      </c>
      <c r="C4935" s="43">
        <f>INDEX(DarlObj,11)</f>
      </c>
      <c r="D4935">
        <v>132</v>
      </c>
      <c r="E4935" s="51">
        <f>IF(INDEX(DarlBelegt,11)=0,0,EOMONTH(INDEX(DarlAuszahlung,11),131)+1)</f>
      </c>
      <c r="F4935" s="43">
        <f>IF($E4935=0,0,YEAR($E4935))</f>
      </c>
      <c r="G4935" s="43">
        <f>IF(INDEX(DarlBindung,11)="",1,IF($E4935&lt;=INDEX(DarlBindung,11),1,0))</f>
      </c>
      <c r="H4935" s="43">
        <f>IF($G4935=1,INDEX(DarlSollzins,11),INDEX(DarlAnschluss,11))</f>
      </c>
      <c r="I4935" s="43">
        <f>IF(INDEX(DarlBelegt,11)=0,0,IF(INDEX(DarlOhneTilgung,11)=1,IF(INDEX(DarlBindung,11)="",1,$G4935),IF($J4935&gt;0.005,1,0)))</f>
      </c>
      <c r="J4935" s="43">
        <f>IF($I4934=0,0,$R4934)</f>
      </c>
      <c r="K4935" s="43">
        <f>IF($I4935=0,0,IF(INDEX(DarlOhneTilgung,11)=1,0,IF(AND(INDEX(DarlTilgStart,11)&gt;0,$E4935=INDEX(DarlTilgStart,11)),$J4935*($H4935+INDEX(DarlTilgung,11))/100/12,IF(AND($G4935=0,$G4934=1),MAX($K4934,$J4935*($H4935+1)/100/12),$K4934))))</f>
      </c>
      <c r="L4935" s="43">
        <f>IF($I4935=0,0,$J4935*$H4935/100/12)</f>
      </c>
      <c r="M4935" s="43">
        <f>IF($I4935=0,0,IF(OR(INDEX(DarlOhneTilgung,11)=1,AND(INDEX(DarlTilgStart,11)&gt;0,$E4935&lt;INDEX(DarlTilgStart,11))),0,MIN(MAX(0,$K4935-$L4935),$J4935)))</f>
      </c>
      <c r="N4935" s="43">
        <f>IF($I4935=0,0,MIN(SUMIFS(SondBetrag,SondDarl,11,SondDatum,"&gt;="&amp;$E4935,SondDatum,"&lt;="&amp;EOMONTH($E4935,0)),$J4935-$M4935))</f>
      </c>
      <c r="O4935" s="43">
        <f>IF($I4935=0,0,INDEX(DarlErsatzRate,11))</f>
      </c>
      <c r="P4935" s="43">
        <f>IF($I4935=0,0,$Q4934*INDEX(DarlErsatzZins,11))</f>
      </c>
      <c r="Q4935" s="43">
        <f>IF($I4935=0,0,$Q4934+$P4935+$O4935)</f>
      </c>
      <c r="R4935" s="43">
        <f>IF($I4935=0,0,$J4935-$M4935-$N4935)</f>
      </c>
    </row>
    <row r="4936">
      <c r="A4936"/>
      <c r="B4936">
        <v>11</v>
      </c>
      <c r="C4936" s="43">
        <f>INDEX(DarlObj,11)</f>
      </c>
      <c r="D4936">
        <v>133</v>
      </c>
      <c r="E4936" s="51">
        <f>IF(INDEX(DarlBelegt,11)=0,0,EOMONTH(INDEX(DarlAuszahlung,11),132)+1)</f>
      </c>
      <c r="F4936" s="43">
        <f>IF($E4936=0,0,YEAR($E4936))</f>
      </c>
      <c r="G4936" s="43">
        <f>IF(INDEX(DarlBindung,11)="",1,IF($E4936&lt;=INDEX(DarlBindung,11),1,0))</f>
      </c>
      <c r="H4936" s="43">
        <f>IF($G4936=1,INDEX(DarlSollzins,11),INDEX(DarlAnschluss,11))</f>
      </c>
      <c r="I4936" s="43">
        <f>IF(INDEX(DarlBelegt,11)=0,0,IF(INDEX(DarlOhneTilgung,11)=1,IF(INDEX(DarlBindung,11)="",1,$G4936),IF($J4936&gt;0.005,1,0)))</f>
      </c>
      <c r="J4936" s="43">
        <f>IF($I4935=0,0,$R4935)</f>
      </c>
      <c r="K4936" s="43">
        <f>IF($I4936=0,0,IF(INDEX(DarlOhneTilgung,11)=1,0,IF(AND(INDEX(DarlTilgStart,11)&gt;0,$E4936=INDEX(DarlTilgStart,11)),$J4936*($H4936+INDEX(DarlTilgung,11))/100/12,IF(AND($G4936=0,$G4935=1),MAX($K4935,$J4936*($H4936+1)/100/12),$K4935))))</f>
      </c>
      <c r="L4936" s="43">
        <f>IF($I4936=0,0,$J4936*$H4936/100/12)</f>
      </c>
      <c r="M4936" s="43">
        <f>IF($I4936=0,0,IF(OR(INDEX(DarlOhneTilgung,11)=1,AND(INDEX(DarlTilgStart,11)&gt;0,$E4936&lt;INDEX(DarlTilgStart,11))),0,MIN(MAX(0,$K4936-$L4936),$J4936)))</f>
      </c>
      <c r="N4936" s="43">
        <f>IF($I4936=0,0,MIN(SUMIFS(SondBetrag,SondDarl,11,SondDatum,"&gt;="&amp;$E4936,SondDatum,"&lt;="&amp;EOMONTH($E4936,0)),$J4936-$M4936))</f>
      </c>
      <c r="O4936" s="43">
        <f>IF($I4936=0,0,INDEX(DarlErsatzRate,11))</f>
      </c>
      <c r="P4936" s="43">
        <f>IF($I4936=0,0,$Q4935*INDEX(DarlErsatzZins,11))</f>
      </c>
      <c r="Q4936" s="43">
        <f>IF($I4936=0,0,$Q4935+$P4936+$O4936)</f>
      </c>
      <c r="R4936" s="43">
        <f>IF($I4936=0,0,$J4936-$M4936-$N4936)</f>
      </c>
    </row>
    <row r="4937">
      <c r="A4937"/>
      <c r="B4937">
        <v>11</v>
      </c>
      <c r="C4937" s="43">
        <f>INDEX(DarlObj,11)</f>
      </c>
      <c r="D4937">
        <v>134</v>
      </c>
      <c r="E4937" s="51">
        <f>IF(INDEX(DarlBelegt,11)=0,0,EOMONTH(INDEX(DarlAuszahlung,11),133)+1)</f>
      </c>
      <c r="F4937" s="43">
        <f>IF($E4937=0,0,YEAR($E4937))</f>
      </c>
      <c r="G4937" s="43">
        <f>IF(INDEX(DarlBindung,11)="",1,IF($E4937&lt;=INDEX(DarlBindung,11),1,0))</f>
      </c>
      <c r="H4937" s="43">
        <f>IF($G4937=1,INDEX(DarlSollzins,11),INDEX(DarlAnschluss,11))</f>
      </c>
      <c r="I4937" s="43">
        <f>IF(INDEX(DarlBelegt,11)=0,0,IF(INDEX(DarlOhneTilgung,11)=1,IF(INDEX(DarlBindung,11)="",1,$G4937),IF($J4937&gt;0.005,1,0)))</f>
      </c>
      <c r="J4937" s="43">
        <f>IF($I4936=0,0,$R4936)</f>
      </c>
      <c r="K4937" s="43">
        <f>IF($I4937=0,0,IF(INDEX(DarlOhneTilgung,11)=1,0,IF(AND(INDEX(DarlTilgStart,11)&gt;0,$E4937=INDEX(DarlTilgStart,11)),$J4937*($H4937+INDEX(DarlTilgung,11))/100/12,IF(AND($G4937=0,$G4936=1),MAX($K4936,$J4937*($H4937+1)/100/12),$K4936))))</f>
      </c>
      <c r="L4937" s="43">
        <f>IF($I4937=0,0,$J4937*$H4937/100/12)</f>
      </c>
      <c r="M4937" s="43">
        <f>IF($I4937=0,0,IF(OR(INDEX(DarlOhneTilgung,11)=1,AND(INDEX(DarlTilgStart,11)&gt;0,$E4937&lt;INDEX(DarlTilgStart,11))),0,MIN(MAX(0,$K4937-$L4937),$J4937)))</f>
      </c>
      <c r="N4937" s="43">
        <f>IF($I4937=0,0,MIN(SUMIFS(SondBetrag,SondDarl,11,SondDatum,"&gt;="&amp;$E4937,SondDatum,"&lt;="&amp;EOMONTH($E4937,0)),$J4937-$M4937))</f>
      </c>
      <c r="O4937" s="43">
        <f>IF($I4937=0,0,INDEX(DarlErsatzRate,11))</f>
      </c>
      <c r="P4937" s="43">
        <f>IF($I4937=0,0,$Q4936*INDEX(DarlErsatzZins,11))</f>
      </c>
      <c r="Q4937" s="43">
        <f>IF($I4937=0,0,$Q4936+$P4937+$O4937)</f>
      </c>
      <c r="R4937" s="43">
        <f>IF($I4937=0,0,$J4937-$M4937-$N4937)</f>
      </c>
    </row>
    <row r="4938">
      <c r="A4938"/>
      <c r="B4938">
        <v>11</v>
      </c>
      <c r="C4938" s="43">
        <f>INDEX(DarlObj,11)</f>
      </c>
      <c r="D4938">
        <v>135</v>
      </c>
      <c r="E4938" s="51">
        <f>IF(INDEX(DarlBelegt,11)=0,0,EOMONTH(INDEX(DarlAuszahlung,11),134)+1)</f>
      </c>
      <c r="F4938" s="43">
        <f>IF($E4938=0,0,YEAR($E4938))</f>
      </c>
      <c r="G4938" s="43">
        <f>IF(INDEX(DarlBindung,11)="",1,IF($E4938&lt;=INDEX(DarlBindung,11),1,0))</f>
      </c>
      <c r="H4938" s="43">
        <f>IF($G4938=1,INDEX(DarlSollzins,11),INDEX(DarlAnschluss,11))</f>
      </c>
      <c r="I4938" s="43">
        <f>IF(INDEX(DarlBelegt,11)=0,0,IF(INDEX(DarlOhneTilgung,11)=1,IF(INDEX(DarlBindung,11)="",1,$G4938),IF($J4938&gt;0.005,1,0)))</f>
      </c>
      <c r="J4938" s="43">
        <f>IF($I4937=0,0,$R4937)</f>
      </c>
      <c r="K4938" s="43">
        <f>IF($I4938=0,0,IF(INDEX(DarlOhneTilgung,11)=1,0,IF(AND(INDEX(DarlTilgStart,11)&gt;0,$E4938=INDEX(DarlTilgStart,11)),$J4938*($H4938+INDEX(DarlTilgung,11))/100/12,IF(AND($G4938=0,$G4937=1),MAX($K4937,$J4938*($H4938+1)/100/12),$K4937))))</f>
      </c>
      <c r="L4938" s="43">
        <f>IF($I4938=0,0,$J4938*$H4938/100/12)</f>
      </c>
      <c r="M4938" s="43">
        <f>IF($I4938=0,0,IF(OR(INDEX(DarlOhneTilgung,11)=1,AND(INDEX(DarlTilgStart,11)&gt;0,$E4938&lt;INDEX(DarlTilgStart,11))),0,MIN(MAX(0,$K4938-$L4938),$J4938)))</f>
      </c>
      <c r="N4938" s="43">
        <f>IF($I4938=0,0,MIN(SUMIFS(SondBetrag,SondDarl,11,SondDatum,"&gt;="&amp;$E4938,SondDatum,"&lt;="&amp;EOMONTH($E4938,0)),$J4938-$M4938))</f>
      </c>
      <c r="O4938" s="43">
        <f>IF($I4938=0,0,INDEX(DarlErsatzRate,11))</f>
      </c>
      <c r="P4938" s="43">
        <f>IF($I4938=0,0,$Q4937*INDEX(DarlErsatzZins,11))</f>
      </c>
      <c r="Q4938" s="43">
        <f>IF($I4938=0,0,$Q4937+$P4938+$O4938)</f>
      </c>
      <c r="R4938" s="43">
        <f>IF($I4938=0,0,$J4938-$M4938-$N4938)</f>
      </c>
    </row>
    <row r="4939">
      <c r="A4939"/>
      <c r="B4939">
        <v>11</v>
      </c>
      <c r="C4939" s="43">
        <f>INDEX(DarlObj,11)</f>
      </c>
      <c r="D4939">
        <v>136</v>
      </c>
      <c r="E4939" s="51">
        <f>IF(INDEX(DarlBelegt,11)=0,0,EOMONTH(INDEX(DarlAuszahlung,11),135)+1)</f>
      </c>
      <c r="F4939" s="43">
        <f>IF($E4939=0,0,YEAR($E4939))</f>
      </c>
      <c r="G4939" s="43">
        <f>IF(INDEX(DarlBindung,11)="",1,IF($E4939&lt;=INDEX(DarlBindung,11),1,0))</f>
      </c>
      <c r="H4939" s="43">
        <f>IF($G4939=1,INDEX(DarlSollzins,11),INDEX(DarlAnschluss,11))</f>
      </c>
      <c r="I4939" s="43">
        <f>IF(INDEX(DarlBelegt,11)=0,0,IF(INDEX(DarlOhneTilgung,11)=1,IF(INDEX(DarlBindung,11)="",1,$G4939),IF($J4939&gt;0.005,1,0)))</f>
      </c>
      <c r="J4939" s="43">
        <f>IF($I4938=0,0,$R4938)</f>
      </c>
      <c r="K4939" s="43">
        <f>IF($I4939=0,0,IF(INDEX(DarlOhneTilgung,11)=1,0,IF(AND(INDEX(DarlTilgStart,11)&gt;0,$E4939=INDEX(DarlTilgStart,11)),$J4939*($H4939+INDEX(DarlTilgung,11))/100/12,IF(AND($G4939=0,$G4938=1),MAX($K4938,$J4939*($H4939+1)/100/12),$K4938))))</f>
      </c>
      <c r="L4939" s="43">
        <f>IF($I4939=0,0,$J4939*$H4939/100/12)</f>
      </c>
      <c r="M4939" s="43">
        <f>IF($I4939=0,0,IF(OR(INDEX(DarlOhneTilgung,11)=1,AND(INDEX(DarlTilgStart,11)&gt;0,$E4939&lt;INDEX(DarlTilgStart,11))),0,MIN(MAX(0,$K4939-$L4939),$J4939)))</f>
      </c>
      <c r="N4939" s="43">
        <f>IF($I4939=0,0,MIN(SUMIFS(SondBetrag,SondDarl,11,SondDatum,"&gt;="&amp;$E4939,SondDatum,"&lt;="&amp;EOMONTH($E4939,0)),$J4939-$M4939))</f>
      </c>
      <c r="O4939" s="43">
        <f>IF($I4939=0,0,INDEX(DarlErsatzRate,11))</f>
      </c>
      <c r="P4939" s="43">
        <f>IF($I4939=0,0,$Q4938*INDEX(DarlErsatzZins,11))</f>
      </c>
      <c r="Q4939" s="43">
        <f>IF($I4939=0,0,$Q4938+$P4939+$O4939)</f>
      </c>
      <c r="R4939" s="43">
        <f>IF($I4939=0,0,$J4939-$M4939-$N4939)</f>
      </c>
    </row>
    <row r="4940">
      <c r="A4940"/>
      <c r="B4940">
        <v>11</v>
      </c>
      <c r="C4940" s="43">
        <f>INDEX(DarlObj,11)</f>
      </c>
      <c r="D4940">
        <v>137</v>
      </c>
      <c r="E4940" s="51">
        <f>IF(INDEX(DarlBelegt,11)=0,0,EOMONTH(INDEX(DarlAuszahlung,11),136)+1)</f>
      </c>
      <c r="F4940" s="43">
        <f>IF($E4940=0,0,YEAR($E4940))</f>
      </c>
      <c r="G4940" s="43">
        <f>IF(INDEX(DarlBindung,11)="",1,IF($E4940&lt;=INDEX(DarlBindung,11),1,0))</f>
      </c>
      <c r="H4940" s="43">
        <f>IF($G4940=1,INDEX(DarlSollzins,11),INDEX(DarlAnschluss,11))</f>
      </c>
      <c r="I4940" s="43">
        <f>IF(INDEX(DarlBelegt,11)=0,0,IF(INDEX(DarlOhneTilgung,11)=1,IF(INDEX(DarlBindung,11)="",1,$G4940),IF($J4940&gt;0.005,1,0)))</f>
      </c>
      <c r="J4940" s="43">
        <f>IF($I4939=0,0,$R4939)</f>
      </c>
      <c r="K4940" s="43">
        <f>IF($I4940=0,0,IF(INDEX(DarlOhneTilgung,11)=1,0,IF(AND(INDEX(DarlTilgStart,11)&gt;0,$E4940=INDEX(DarlTilgStart,11)),$J4940*($H4940+INDEX(DarlTilgung,11))/100/12,IF(AND($G4940=0,$G4939=1),MAX($K4939,$J4940*($H4940+1)/100/12),$K4939))))</f>
      </c>
      <c r="L4940" s="43">
        <f>IF($I4940=0,0,$J4940*$H4940/100/12)</f>
      </c>
      <c r="M4940" s="43">
        <f>IF($I4940=0,0,IF(OR(INDEX(DarlOhneTilgung,11)=1,AND(INDEX(DarlTilgStart,11)&gt;0,$E4940&lt;INDEX(DarlTilgStart,11))),0,MIN(MAX(0,$K4940-$L4940),$J4940)))</f>
      </c>
      <c r="N4940" s="43">
        <f>IF($I4940=0,0,MIN(SUMIFS(SondBetrag,SondDarl,11,SondDatum,"&gt;="&amp;$E4940,SondDatum,"&lt;="&amp;EOMONTH($E4940,0)),$J4940-$M4940))</f>
      </c>
      <c r="O4940" s="43">
        <f>IF($I4940=0,0,INDEX(DarlErsatzRate,11))</f>
      </c>
      <c r="P4940" s="43">
        <f>IF($I4940=0,0,$Q4939*INDEX(DarlErsatzZins,11))</f>
      </c>
      <c r="Q4940" s="43">
        <f>IF($I4940=0,0,$Q4939+$P4940+$O4940)</f>
      </c>
      <c r="R4940" s="43">
        <f>IF($I4940=0,0,$J4940-$M4940-$N4940)</f>
      </c>
    </row>
    <row r="4941">
      <c r="A4941"/>
      <c r="B4941">
        <v>11</v>
      </c>
      <c r="C4941" s="43">
        <f>INDEX(DarlObj,11)</f>
      </c>
      <c r="D4941">
        <v>138</v>
      </c>
      <c r="E4941" s="51">
        <f>IF(INDEX(DarlBelegt,11)=0,0,EOMONTH(INDEX(DarlAuszahlung,11),137)+1)</f>
      </c>
      <c r="F4941" s="43">
        <f>IF($E4941=0,0,YEAR($E4941))</f>
      </c>
      <c r="G4941" s="43">
        <f>IF(INDEX(DarlBindung,11)="",1,IF($E4941&lt;=INDEX(DarlBindung,11),1,0))</f>
      </c>
      <c r="H4941" s="43">
        <f>IF($G4941=1,INDEX(DarlSollzins,11),INDEX(DarlAnschluss,11))</f>
      </c>
      <c r="I4941" s="43">
        <f>IF(INDEX(DarlBelegt,11)=0,0,IF(INDEX(DarlOhneTilgung,11)=1,IF(INDEX(DarlBindung,11)="",1,$G4941),IF($J4941&gt;0.005,1,0)))</f>
      </c>
      <c r="J4941" s="43">
        <f>IF($I4940=0,0,$R4940)</f>
      </c>
      <c r="K4941" s="43">
        <f>IF($I4941=0,0,IF(INDEX(DarlOhneTilgung,11)=1,0,IF(AND(INDEX(DarlTilgStart,11)&gt;0,$E4941=INDEX(DarlTilgStart,11)),$J4941*($H4941+INDEX(DarlTilgung,11))/100/12,IF(AND($G4941=0,$G4940=1),MAX($K4940,$J4941*($H4941+1)/100/12),$K4940))))</f>
      </c>
      <c r="L4941" s="43">
        <f>IF($I4941=0,0,$J4941*$H4941/100/12)</f>
      </c>
      <c r="M4941" s="43">
        <f>IF($I4941=0,0,IF(OR(INDEX(DarlOhneTilgung,11)=1,AND(INDEX(DarlTilgStart,11)&gt;0,$E4941&lt;INDEX(DarlTilgStart,11))),0,MIN(MAX(0,$K4941-$L4941),$J4941)))</f>
      </c>
      <c r="N4941" s="43">
        <f>IF($I4941=0,0,MIN(SUMIFS(SondBetrag,SondDarl,11,SondDatum,"&gt;="&amp;$E4941,SondDatum,"&lt;="&amp;EOMONTH($E4941,0)),$J4941-$M4941))</f>
      </c>
      <c r="O4941" s="43">
        <f>IF($I4941=0,0,INDEX(DarlErsatzRate,11))</f>
      </c>
      <c r="P4941" s="43">
        <f>IF($I4941=0,0,$Q4940*INDEX(DarlErsatzZins,11))</f>
      </c>
      <c r="Q4941" s="43">
        <f>IF($I4941=0,0,$Q4940+$P4941+$O4941)</f>
      </c>
      <c r="R4941" s="43">
        <f>IF($I4941=0,0,$J4941-$M4941-$N4941)</f>
      </c>
    </row>
    <row r="4942">
      <c r="A4942"/>
      <c r="B4942">
        <v>11</v>
      </c>
      <c r="C4942" s="43">
        <f>INDEX(DarlObj,11)</f>
      </c>
      <c r="D4942">
        <v>139</v>
      </c>
      <c r="E4942" s="51">
        <f>IF(INDEX(DarlBelegt,11)=0,0,EOMONTH(INDEX(DarlAuszahlung,11),138)+1)</f>
      </c>
      <c r="F4942" s="43">
        <f>IF($E4942=0,0,YEAR($E4942))</f>
      </c>
      <c r="G4942" s="43">
        <f>IF(INDEX(DarlBindung,11)="",1,IF($E4942&lt;=INDEX(DarlBindung,11),1,0))</f>
      </c>
      <c r="H4942" s="43">
        <f>IF($G4942=1,INDEX(DarlSollzins,11),INDEX(DarlAnschluss,11))</f>
      </c>
      <c r="I4942" s="43">
        <f>IF(INDEX(DarlBelegt,11)=0,0,IF(INDEX(DarlOhneTilgung,11)=1,IF(INDEX(DarlBindung,11)="",1,$G4942),IF($J4942&gt;0.005,1,0)))</f>
      </c>
      <c r="J4942" s="43">
        <f>IF($I4941=0,0,$R4941)</f>
      </c>
      <c r="K4942" s="43">
        <f>IF($I4942=0,0,IF(INDEX(DarlOhneTilgung,11)=1,0,IF(AND(INDEX(DarlTilgStart,11)&gt;0,$E4942=INDEX(DarlTilgStart,11)),$J4942*($H4942+INDEX(DarlTilgung,11))/100/12,IF(AND($G4942=0,$G4941=1),MAX($K4941,$J4942*($H4942+1)/100/12),$K4941))))</f>
      </c>
      <c r="L4942" s="43">
        <f>IF($I4942=0,0,$J4942*$H4942/100/12)</f>
      </c>
      <c r="M4942" s="43">
        <f>IF($I4942=0,0,IF(OR(INDEX(DarlOhneTilgung,11)=1,AND(INDEX(DarlTilgStart,11)&gt;0,$E4942&lt;INDEX(DarlTilgStart,11))),0,MIN(MAX(0,$K4942-$L4942),$J4942)))</f>
      </c>
      <c r="N4942" s="43">
        <f>IF($I4942=0,0,MIN(SUMIFS(SondBetrag,SondDarl,11,SondDatum,"&gt;="&amp;$E4942,SondDatum,"&lt;="&amp;EOMONTH($E4942,0)),$J4942-$M4942))</f>
      </c>
      <c r="O4942" s="43">
        <f>IF($I4942=0,0,INDEX(DarlErsatzRate,11))</f>
      </c>
      <c r="P4942" s="43">
        <f>IF($I4942=0,0,$Q4941*INDEX(DarlErsatzZins,11))</f>
      </c>
      <c r="Q4942" s="43">
        <f>IF($I4942=0,0,$Q4941+$P4942+$O4942)</f>
      </c>
      <c r="R4942" s="43">
        <f>IF($I4942=0,0,$J4942-$M4942-$N4942)</f>
      </c>
    </row>
    <row r="4943">
      <c r="A4943"/>
      <c r="B4943">
        <v>11</v>
      </c>
      <c r="C4943" s="43">
        <f>INDEX(DarlObj,11)</f>
      </c>
      <c r="D4943">
        <v>140</v>
      </c>
      <c r="E4943" s="51">
        <f>IF(INDEX(DarlBelegt,11)=0,0,EOMONTH(INDEX(DarlAuszahlung,11),139)+1)</f>
      </c>
      <c r="F4943" s="43">
        <f>IF($E4943=0,0,YEAR($E4943))</f>
      </c>
      <c r="G4943" s="43">
        <f>IF(INDEX(DarlBindung,11)="",1,IF($E4943&lt;=INDEX(DarlBindung,11),1,0))</f>
      </c>
      <c r="H4943" s="43">
        <f>IF($G4943=1,INDEX(DarlSollzins,11),INDEX(DarlAnschluss,11))</f>
      </c>
      <c r="I4943" s="43">
        <f>IF(INDEX(DarlBelegt,11)=0,0,IF(INDEX(DarlOhneTilgung,11)=1,IF(INDEX(DarlBindung,11)="",1,$G4943),IF($J4943&gt;0.005,1,0)))</f>
      </c>
      <c r="J4943" s="43">
        <f>IF($I4942=0,0,$R4942)</f>
      </c>
      <c r="K4943" s="43">
        <f>IF($I4943=0,0,IF(INDEX(DarlOhneTilgung,11)=1,0,IF(AND(INDEX(DarlTilgStart,11)&gt;0,$E4943=INDEX(DarlTilgStart,11)),$J4943*($H4943+INDEX(DarlTilgung,11))/100/12,IF(AND($G4943=0,$G4942=1),MAX($K4942,$J4943*($H4943+1)/100/12),$K4942))))</f>
      </c>
      <c r="L4943" s="43">
        <f>IF($I4943=0,0,$J4943*$H4943/100/12)</f>
      </c>
      <c r="M4943" s="43">
        <f>IF($I4943=0,0,IF(OR(INDEX(DarlOhneTilgung,11)=1,AND(INDEX(DarlTilgStart,11)&gt;0,$E4943&lt;INDEX(DarlTilgStart,11))),0,MIN(MAX(0,$K4943-$L4943),$J4943)))</f>
      </c>
      <c r="N4943" s="43">
        <f>IF($I4943=0,0,MIN(SUMIFS(SondBetrag,SondDarl,11,SondDatum,"&gt;="&amp;$E4943,SondDatum,"&lt;="&amp;EOMONTH($E4943,0)),$J4943-$M4943))</f>
      </c>
      <c r="O4943" s="43">
        <f>IF($I4943=0,0,INDEX(DarlErsatzRate,11))</f>
      </c>
      <c r="P4943" s="43">
        <f>IF($I4943=0,0,$Q4942*INDEX(DarlErsatzZins,11))</f>
      </c>
      <c r="Q4943" s="43">
        <f>IF($I4943=0,0,$Q4942+$P4943+$O4943)</f>
      </c>
      <c r="R4943" s="43">
        <f>IF($I4943=0,0,$J4943-$M4943-$N4943)</f>
      </c>
    </row>
    <row r="4944">
      <c r="A4944"/>
      <c r="B4944">
        <v>11</v>
      </c>
      <c r="C4944" s="43">
        <f>INDEX(DarlObj,11)</f>
      </c>
      <c r="D4944">
        <v>141</v>
      </c>
      <c r="E4944" s="51">
        <f>IF(INDEX(DarlBelegt,11)=0,0,EOMONTH(INDEX(DarlAuszahlung,11),140)+1)</f>
      </c>
      <c r="F4944" s="43">
        <f>IF($E4944=0,0,YEAR($E4944))</f>
      </c>
      <c r="G4944" s="43">
        <f>IF(INDEX(DarlBindung,11)="",1,IF($E4944&lt;=INDEX(DarlBindung,11),1,0))</f>
      </c>
      <c r="H4944" s="43">
        <f>IF($G4944=1,INDEX(DarlSollzins,11),INDEX(DarlAnschluss,11))</f>
      </c>
      <c r="I4944" s="43">
        <f>IF(INDEX(DarlBelegt,11)=0,0,IF(INDEX(DarlOhneTilgung,11)=1,IF(INDEX(DarlBindung,11)="",1,$G4944),IF($J4944&gt;0.005,1,0)))</f>
      </c>
      <c r="J4944" s="43">
        <f>IF($I4943=0,0,$R4943)</f>
      </c>
      <c r="K4944" s="43">
        <f>IF($I4944=0,0,IF(INDEX(DarlOhneTilgung,11)=1,0,IF(AND(INDEX(DarlTilgStart,11)&gt;0,$E4944=INDEX(DarlTilgStart,11)),$J4944*($H4944+INDEX(DarlTilgung,11))/100/12,IF(AND($G4944=0,$G4943=1),MAX($K4943,$J4944*($H4944+1)/100/12),$K4943))))</f>
      </c>
      <c r="L4944" s="43">
        <f>IF($I4944=0,0,$J4944*$H4944/100/12)</f>
      </c>
      <c r="M4944" s="43">
        <f>IF($I4944=0,0,IF(OR(INDEX(DarlOhneTilgung,11)=1,AND(INDEX(DarlTilgStart,11)&gt;0,$E4944&lt;INDEX(DarlTilgStart,11))),0,MIN(MAX(0,$K4944-$L4944),$J4944)))</f>
      </c>
      <c r="N4944" s="43">
        <f>IF($I4944=0,0,MIN(SUMIFS(SondBetrag,SondDarl,11,SondDatum,"&gt;="&amp;$E4944,SondDatum,"&lt;="&amp;EOMONTH($E4944,0)),$J4944-$M4944))</f>
      </c>
      <c r="O4944" s="43">
        <f>IF($I4944=0,0,INDEX(DarlErsatzRate,11))</f>
      </c>
      <c r="P4944" s="43">
        <f>IF($I4944=0,0,$Q4943*INDEX(DarlErsatzZins,11))</f>
      </c>
      <c r="Q4944" s="43">
        <f>IF($I4944=0,0,$Q4943+$P4944+$O4944)</f>
      </c>
      <c r="R4944" s="43">
        <f>IF($I4944=0,0,$J4944-$M4944-$N4944)</f>
      </c>
    </row>
    <row r="4945">
      <c r="A4945"/>
      <c r="B4945">
        <v>11</v>
      </c>
      <c r="C4945" s="43">
        <f>INDEX(DarlObj,11)</f>
      </c>
      <c r="D4945">
        <v>142</v>
      </c>
      <c r="E4945" s="51">
        <f>IF(INDEX(DarlBelegt,11)=0,0,EOMONTH(INDEX(DarlAuszahlung,11),141)+1)</f>
      </c>
      <c r="F4945" s="43">
        <f>IF($E4945=0,0,YEAR($E4945))</f>
      </c>
      <c r="G4945" s="43">
        <f>IF(INDEX(DarlBindung,11)="",1,IF($E4945&lt;=INDEX(DarlBindung,11),1,0))</f>
      </c>
      <c r="H4945" s="43">
        <f>IF($G4945=1,INDEX(DarlSollzins,11),INDEX(DarlAnschluss,11))</f>
      </c>
      <c r="I4945" s="43">
        <f>IF(INDEX(DarlBelegt,11)=0,0,IF(INDEX(DarlOhneTilgung,11)=1,IF(INDEX(DarlBindung,11)="",1,$G4945),IF($J4945&gt;0.005,1,0)))</f>
      </c>
      <c r="J4945" s="43">
        <f>IF($I4944=0,0,$R4944)</f>
      </c>
      <c r="K4945" s="43">
        <f>IF($I4945=0,0,IF(INDEX(DarlOhneTilgung,11)=1,0,IF(AND(INDEX(DarlTilgStart,11)&gt;0,$E4945=INDEX(DarlTilgStart,11)),$J4945*($H4945+INDEX(DarlTilgung,11))/100/12,IF(AND($G4945=0,$G4944=1),MAX($K4944,$J4945*($H4945+1)/100/12),$K4944))))</f>
      </c>
      <c r="L4945" s="43">
        <f>IF($I4945=0,0,$J4945*$H4945/100/12)</f>
      </c>
      <c r="M4945" s="43">
        <f>IF($I4945=0,0,IF(OR(INDEX(DarlOhneTilgung,11)=1,AND(INDEX(DarlTilgStart,11)&gt;0,$E4945&lt;INDEX(DarlTilgStart,11))),0,MIN(MAX(0,$K4945-$L4945),$J4945)))</f>
      </c>
      <c r="N4945" s="43">
        <f>IF($I4945=0,0,MIN(SUMIFS(SondBetrag,SondDarl,11,SondDatum,"&gt;="&amp;$E4945,SondDatum,"&lt;="&amp;EOMONTH($E4945,0)),$J4945-$M4945))</f>
      </c>
      <c r="O4945" s="43">
        <f>IF($I4945=0,0,INDEX(DarlErsatzRate,11))</f>
      </c>
      <c r="P4945" s="43">
        <f>IF($I4945=0,0,$Q4944*INDEX(DarlErsatzZins,11))</f>
      </c>
      <c r="Q4945" s="43">
        <f>IF($I4945=0,0,$Q4944+$P4945+$O4945)</f>
      </c>
      <c r="R4945" s="43">
        <f>IF($I4945=0,0,$J4945-$M4945-$N4945)</f>
      </c>
    </row>
    <row r="4946">
      <c r="A4946"/>
      <c r="B4946">
        <v>11</v>
      </c>
      <c r="C4946" s="43">
        <f>INDEX(DarlObj,11)</f>
      </c>
      <c r="D4946">
        <v>143</v>
      </c>
      <c r="E4946" s="51">
        <f>IF(INDEX(DarlBelegt,11)=0,0,EOMONTH(INDEX(DarlAuszahlung,11),142)+1)</f>
      </c>
      <c r="F4946" s="43">
        <f>IF($E4946=0,0,YEAR($E4946))</f>
      </c>
      <c r="G4946" s="43">
        <f>IF(INDEX(DarlBindung,11)="",1,IF($E4946&lt;=INDEX(DarlBindung,11),1,0))</f>
      </c>
      <c r="H4946" s="43">
        <f>IF($G4946=1,INDEX(DarlSollzins,11),INDEX(DarlAnschluss,11))</f>
      </c>
      <c r="I4946" s="43">
        <f>IF(INDEX(DarlBelegt,11)=0,0,IF(INDEX(DarlOhneTilgung,11)=1,IF(INDEX(DarlBindung,11)="",1,$G4946),IF($J4946&gt;0.005,1,0)))</f>
      </c>
      <c r="J4946" s="43">
        <f>IF($I4945=0,0,$R4945)</f>
      </c>
      <c r="K4946" s="43">
        <f>IF($I4946=0,0,IF(INDEX(DarlOhneTilgung,11)=1,0,IF(AND(INDEX(DarlTilgStart,11)&gt;0,$E4946=INDEX(DarlTilgStart,11)),$J4946*($H4946+INDEX(DarlTilgung,11))/100/12,IF(AND($G4946=0,$G4945=1),MAX($K4945,$J4946*($H4946+1)/100/12),$K4945))))</f>
      </c>
      <c r="L4946" s="43">
        <f>IF($I4946=0,0,$J4946*$H4946/100/12)</f>
      </c>
      <c r="M4946" s="43">
        <f>IF($I4946=0,0,IF(OR(INDEX(DarlOhneTilgung,11)=1,AND(INDEX(DarlTilgStart,11)&gt;0,$E4946&lt;INDEX(DarlTilgStart,11))),0,MIN(MAX(0,$K4946-$L4946),$J4946)))</f>
      </c>
      <c r="N4946" s="43">
        <f>IF($I4946=0,0,MIN(SUMIFS(SondBetrag,SondDarl,11,SondDatum,"&gt;="&amp;$E4946,SondDatum,"&lt;="&amp;EOMONTH($E4946,0)),$J4946-$M4946))</f>
      </c>
      <c r="O4946" s="43">
        <f>IF($I4946=0,0,INDEX(DarlErsatzRate,11))</f>
      </c>
      <c r="P4946" s="43">
        <f>IF($I4946=0,0,$Q4945*INDEX(DarlErsatzZins,11))</f>
      </c>
      <c r="Q4946" s="43">
        <f>IF($I4946=0,0,$Q4945+$P4946+$O4946)</f>
      </c>
      <c r="R4946" s="43">
        <f>IF($I4946=0,0,$J4946-$M4946-$N4946)</f>
      </c>
    </row>
    <row r="4947">
      <c r="A4947"/>
      <c r="B4947">
        <v>11</v>
      </c>
      <c r="C4947" s="43">
        <f>INDEX(DarlObj,11)</f>
      </c>
      <c r="D4947">
        <v>144</v>
      </c>
      <c r="E4947" s="51">
        <f>IF(INDEX(DarlBelegt,11)=0,0,EOMONTH(INDEX(DarlAuszahlung,11),143)+1)</f>
      </c>
      <c r="F4947" s="43">
        <f>IF($E4947=0,0,YEAR($E4947))</f>
      </c>
      <c r="G4947" s="43">
        <f>IF(INDEX(DarlBindung,11)="",1,IF($E4947&lt;=INDEX(DarlBindung,11),1,0))</f>
      </c>
      <c r="H4947" s="43">
        <f>IF($G4947=1,INDEX(DarlSollzins,11),INDEX(DarlAnschluss,11))</f>
      </c>
      <c r="I4947" s="43">
        <f>IF(INDEX(DarlBelegt,11)=0,0,IF(INDEX(DarlOhneTilgung,11)=1,IF(INDEX(DarlBindung,11)="",1,$G4947),IF($J4947&gt;0.005,1,0)))</f>
      </c>
      <c r="J4947" s="43">
        <f>IF($I4946=0,0,$R4946)</f>
      </c>
      <c r="K4947" s="43">
        <f>IF($I4947=0,0,IF(INDEX(DarlOhneTilgung,11)=1,0,IF(AND(INDEX(DarlTilgStart,11)&gt;0,$E4947=INDEX(DarlTilgStart,11)),$J4947*($H4947+INDEX(DarlTilgung,11))/100/12,IF(AND($G4947=0,$G4946=1),MAX($K4946,$J4947*($H4947+1)/100/12),$K4946))))</f>
      </c>
      <c r="L4947" s="43">
        <f>IF($I4947=0,0,$J4947*$H4947/100/12)</f>
      </c>
      <c r="M4947" s="43">
        <f>IF($I4947=0,0,IF(OR(INDEX(DarlOhneTilgung,11)=1,AND(INDEX(DarlTilgStart,11)&gt;0,$E4947&lt;INDEX(DarlTilgStart,11))),0,MIN(MAX(0,$K4947-$L4947),$J4947)))</f>
      </c>
      <c r="N4947" s="43">
        <f>IF($I4947=0,0,MIN(SUMIFS(SondBetrag,SondDarl,11,SondDatum,"&gt;="&amp;$E4947,SondDatum,"&lt;="&amp;EOMONTH($E4947,0)),$J4947-$M4947))</f>
      </c>
      <c r="O4947" s="43">
        <f>IF($I4947=0,0,INDEX(DarlErsatzRate,11))</f>
      </c>
      <c r="P4947" s="43">
        <f>IF($I4947=0,0,$Q4946*INDEX(DarlErsatzZins,11))</f>
      </c>
      <c r="Q4947" s="43">
        <f>IF($I4947=0,0,$Q4946+$P4947+$O4947)</f>
      </c>
      <c r="R4947" s="43">
        <f>IF($I4947=0,0,$J4947-$M4947-$N4947)</f>
      </c>
    </row>
    <row r="4948">
      <c r="A4948"/>
      <c r="B4948">
        <v>11</v>
      </c>
      <c r="C4948" s="43">
        <f>INDEX(DarlObj,11)</f>
      </c>
      <c r="D4948">
        <v>145</v>
      </c>
      <c r="E4948" s="51">
        <f>IF(INDEX(DarlBelegt,11)=0,0,EOMONTH(INDEX(DarlAuszahlung,11),144)+1)</f>
      </c>
      <c r="F4948" s="43">
        <f>IF($E4948=0,0,YEAR($E4948))</f>
      </c>
      <c r="G4948" s="43">
        <f>IF(INDEX(DarlBindung,11)="",1,IF($E4948&lt;=INDEX(DarlBindung,11),1,0))</f>
      </c>
      <c r="H4948" s="43">
        <f>IF($G4948=1,INDEX(DarlSollzins,11),INDEX(DarlAnschluss,11))</f>
      </c>
      <c r="I4948" s="43">
        <f>IF(INDEX(DarlBelegt,11)=0,0,IF(INDEX(DarlOhneTilgung,11)=1,IF(INDEX(DarlBindung,11)="",1,$G4948),IF($J4948&gt;0.005,1,0)))</f>
      </c>
      <c r="J4948" s="43">
        <f>IF($I4947=0,0,$R4947)</f>
      </c>
      <c r="K4948" s="43">
        <f>IF($I4948=0,0,IF(INDEX(DarlOhneTilgung,11)=1,0,IF(AND(INDEX(DarlTilgStart,11)&gt;0,$E4948=INDEX(DarlTilgStart,11)),$J4948*($H4948+INDEX(DarlTilgung,11))/100/12,IF(AND($G4948=0,$G4947=1),MAX($K4947,$J4948*($H4948+1)/100/12),$K4947))))</f>
      </c>
      <c r="L4948" s="43">
        <f>IF($I4948=0,0,$J4948*$H4948/100/12)</f>
      </c>
      <c r="M4948" s="43">
        <f>IF($I4948=0,0,IF(OR(INDEX(DarlOhneTilgung,11)=1,AND(INDEX(DarlTilgStart,11)&gt;0,$E4948&lt;INDEX(DarlTilgStart,11))),0,MIN(MAX(0,$K4948-$L4948),$J4948)))</f>
      </c>
      <c r="N4948" s="43">
        <f>IF($I4948=0,0,MIN(SUMIFS(SondBetrag,SondDarl,11,SondDatum,"&gt;="&amp;$E4948,SondDatum,"&lt;="&amp;EOMONTH($E4948,0)),$J4948-$M4948))</f>
      </c>
      <c r="O4948" s="43">
        <f>IF($I4948=0,0,INDEX(DarlErsatzRate,11))</f>
      </c>
      <c r="P4948" s="43">
        <f>IF($I4948=0,0,$Q4947*INDEX(DarlErsatzZins,11))</f>
      </c>
      <c r="Q4948" s="43">
        <f>IF($I4948=0,0,$Q4947+$P4948+$O4948)</f>
      </c>
      <c r="R4948" s="43">
        <f>IF($I4948=0,0,$J4948-$M4948-$N4948)</f>
      </c>
    </row>
    <row r="4949">
      <c r="A4949"/>
      <c r="B4949">
        <v>11</v>
      </c>
      <c r="C4949" s="43">
        <f>INDEX(DarlObj,11)</f>
      </c>
      <c r="D4949">
        <v>146</v>
      </c>
      <c r="E4949" s="51">
        <f>IF(INDEX(DarlBelegt,11)=0,0,EOMONTH(INDEX(DarlAuszahlung,11),145)+1)</f>
      </c>
      <c r="F4949" s="43">
        <f>IF($E4949=0,0,YEAR($E4949))</f>
      </c>
      <c r="G4949" s="43">
        <f>IF(INDEX(DarlBindung,11)="",1,IF($E4949&lt;=INDEX(DarlBindung,11),1,0))</f>
      </c>
      <c r="H4949" s="43">
        <f>IF($G4949=1,INDEX(DarlSollzins,11),INDEX(DarlAnschluss,11))</f>
      </c>
      <c r="I4949" s="43">
        <f>IF(INDEX(DarlBelegt,11)=0,0,IF(INDEX(DarlOhneTilgung,11)=1,IF(INDEX(DarlBindung,11)="",1,$G4949),IF($J4949&gt;0.005,1,0)))</f>
      </c>
      <c r="J4949" s="43">
        <f>IF($I4948=0,0,$R4948)</f>
      </c>
      <c r="K4949" s="43">
        <f>IF($I4949=0,0,IF(INDEX(DarlOhneTilgung,11)=1,0,IF(AND(INDEX(DarlTilgStart,11)&gt;0,$E4949=INDEX(DarlTilgStart,11)),$J4949*($H4949+INDEX(DarlTilgung,11))/100/12,IF(AND($G4949=0,$G4948=1),MAX($K4948,$J4949*($H4949+1)/100/12),$K4948))))</f>
      </c>
      <c r="L4949" s="43">
        <f>IF($I4949=0,0,$J4949*$H4949/100/12)</f>
      </c>
      <c r="M4949" s="43">
        <f>IF($I4949=0,0,IF(OR(INDEX(DarlOhneTilgung,11)=1,AND(INDEX(DarlTilgStart,11)&gt;0,$E4949&lt;INDEX(DarlTilgStart,11))),0,MIN(MAX(0,$K4949-$L4949),$J4949)))</f>
      </c>
      <c r="N4949" s="43">
        <f>IF($I4949=0,0,MIN(SUMIFS(SondBetrag,SondDarl,11,SondDatum,"&gt;="&amp;$E4949,SondDatum,"&lt;="&amp;EOMONTH($E4949,0)),$J4949-$M4949))</f>
      </c>
      <c r="O4949" s="43">
        <f>IF($I4949=0,0,INDEX(DarlErsatzRate,11))</f>
      </c>
      <c r="P4949" s="43">
        <f>IF($I4949=0,0,$Q4948*INDEX(DarlErsatzZins,11))</f>
      </c>
      <c r="Q4949" s="43">
        <f>IF($I4949=0,0,$Q4948+$P4949+$O4949)</f>
      </c>
      <c r="R4949" s="43">
        <f>IF($I4949=0,0,$J4949-$M4949-$N4949)</f>
      </c>
    </row>
    <row r="4950">
      <c r="A4950"/>
      <c r="B4950">
        <v>11</v>
      </c>
      <c r="C4950" s="43">
        <f>INDEX(DarlObj,11)</f>
      </c>
      <c r="D4950">
        <v>147</v>
      </c>
      <c r="E4950" s="51">
        <f>IF(INDEX(DarlBelegt,11)=0,0,EOMONTH(INDEX(DarlAuszahlung,11),146)+1)</f>
      </c>
      <c r="F4950" s="43">
        <f>IF($E4950=0,0,YEAR($E4950))</f>
      </c>
      <c r="G4950" s="43">
        <f>IF(INDEX(DarlBindung,11)="",1,IF($E4950&lt;=INDEX(DarlBindung,11),1,0))</f>
      </c>
      <c r="H4950" s="43">
        <f>IF($G4950=1,INDEX(DarlSollzins,11),INDEX(DarlAnschluss,11))</f>
      </c>
      <c r="I4950" s="43">
        <f>IF(INDEX(DarlBelegt,11)=0,0,IF(INDEX(DarlOhneTilgung,11)=1,IF(INDEX(DarlBindung,11)="",1,$G4950),IF($J4950&gt;0.005,1,0)))</f>
      </c>
      <c r="J4950" s="43">
        <f>IF($I4949=0,0,$R4949)</f>
      </c>
      <c r="K4950" s="43">
        <f>IF($I4950=0,0,IF(INDEX(DarlOhneTilgung,11)=1,0,IF(AND(INDEX(DarlTilgStart,11)&gt;0,$E4950=INDEX(DarlTilgStart,11)),$J4950*($H4950+INDEX(DarlTilgung,11))/100/12,IF(AND($G4950=0,$G4949=1),MAX($K4949,$J4950*($H4950+1)/100/12),$K4949))))</f>
      </c>
      <c r="L4950" s="43">
        <f>IF($I4950=0,0,$J4950*$H4950/100/12)</f>
      </c>
      <c r="M4950" s="43">
        <f>IF($I4950=0,0,IF(OR(INDEX(DarlOhneTilgung,11)=1,AND(INDEX(DarlTilgStart,11)&gt;0,$E4950&lt;INDEX(DarlTilgStart,11))),0,MIN(MAX(0,$K4950-$L4950),$J4950)))</f>
      </c>
      <c r="N4950" s="43">
        <f>IF($I4950=0,0,MIN(SUMIFS(SondBetrag,SondDarl,11,SondDatum,"&gt;="&amp;$E4950,SondDatum,"&lt;="&amp;EOMONTH($E4950,0)),$J4950-$M4950))</f>
      </c>
      <c r="O4950" s="43">
        <f>IF($I4950=0,0,INDEX(DarlErsatzRate,11))</f>
      </c>
      <c r="P4950" s="43">
        <f>IF($I4950=0,0,$Q4949*INDEX(DarlErsatzZins,11))</f>
      </c>
      <c r="Q4950" s="43">
        <f>IF($I4950=0,0,$Q4949+$P4950+$O4950)</f>
      </c>
      <c r="R4950" s="43">
        <f>IF($I4950=0,0,$J4950-$M4950-$N4950)</f>
      </c>
    </row>
    <row r="4951">
      <c r="A4951"/>
      <c r="B4951">
        <v>11</v>
      </c>
      <c r="C4951" s="43">
        <f>INDEX(DarlObj,11)</f>
      </c>
      <c r="D4951">
        <v>148</v>
      </c>
      <c r="E4951" s="51">
        <f>IF(INDEX(DarlBelegt,11)=0,0,EOMONTH(INDEX(DarlAuszahlung,11),147)+1)</f>
      </c>
      <c r="F4951" s="43">
        <f>IF($E4951=0,0,YEAR($E4951))</f>
      </c>
      <c r="G4951" s="43">
        <f>IF(INDEX(DarlBindung,11)="",1,IF($E4951&lt;=INDEX(DarlBindung,11),1,0))</f>
      </c>
      <c r="H4951" s="43">
        <f>IF($G4951=1,INDEX(DarlSollzins,11),INDEX(DarlAnschluss,11))</f>
      </c>
      <c r="I4951" s="43">
        <f>IF(INDEX(DarlBelegt,11)=0,0,IF(INDEX(DarlOhneTilgung,11)=1,IF(INDEX(DarlBindung,11)="",1,$G4951),IF($J4951&gt;0.005,1,0)))</f>
      </c>
      <c r="J4951" s="43">
        <f>IF($I4950=0,0,$R4950)</f>
      </c>
      <c r="K4951" s="43">
        <f>IF($I4951=0,0,IF(INDEX(DarlOhneTilgung,11)=1,0,IF(AND(INDEX(DarlTilgStart,11)&gt;0,$E4951=INDEX(DarlTilgStart,11)),$J4951*($H4951+INDEX(DarlTilgung,11))/100/12,IF(AND($G4951=0,$G4950=1),MAX($K4950,$J4951*($H4951+1)/100/12),$K4950))))</f>
      </c>
      <c r="L4951" s="43">
        <f>IF($I4951=0,0,$J4951*$H4951/100/12)</f>
      </c>
      <c r="M4951" s="43">
        <f>IF($I4951=0,0,IF(OR(INDEX(DarlOhneTilgung,11)=1,AND(INDEX(DarlTilgStart,11)&gt;0,$E4951&lt;INDEX(DarlTilgStart,11))),0,MIN(MAX(0,$K4951-$L4951),$J4951)))</f>
      </c>
      <c r="N4951" s="43">
        <f>IF($I4951=0,0,MIN(SUMIFS(SondBetrag,SondDarl,11,SondDatum,"&gt;="&amp;$E4951,SondDatum,"&lt;="&amp;EOMONTH($E4951,0)),$J4951-$M4951))</f>
      </c>
      <c r="O4951" s="43">
        <f>IF($I4951=0,0,INDEX(DarlErsatzRate,11))</f>
      </c>
      <c r="P4951" s="43">
        <f>IF($I4951=0,0,$Q4950*INDEX(DarlErsatzZins,11))</f>
      </c>
      <c r="Q4951" s="43">
        <f>IF($I4951=0,0,$Q4950+$P4951+$O4951)</f>
      </c>
      <c r="R4951" s="43">
        <f>IF($I4951=0,0,$J4951-$M4951-$N4951)</f>
      </c>
    </row>
    <row r="4952">
      <c r="A4952"/>
      <c r="B4952">
        <v>11</v>
      </c>
      <c r="C4952" s="43">
        <f>INDEX(DarlObj,11)</f>
      </c>
      <c r="D4952">
        <v>149</v>
      </c>
      <c r="E4952" s="51">
        <f>IF(INDEX(DarlBelegt,11)=0,0,EOMONTH(INDEX(DarlAuszahlung,11),148)+1)</f>
      </c>
      <c r="F4952" s="43">
        <f>IF($E4952=0,0,YEAR($E4952))</f>
      </c>
      <c r="G4952" s="43">
        <f>IF(INDEX(DarlBindung,11)="",1,IF($E4952&lt;=INDEX(DarlBindung,11),1,0))</f>
      </c>
      <c r="H4952" s="43">
        <f>IF($G4952=1,INDEX(DarlSollzins,11),INDEX(DarlAnschluss,11))</f>
      </c>
      <c r="I4952" s="43">
        <f>IF(INDEX(DarlBelegt,11)=0,0,IF(INDEX(DarlOhneTilgung,11)=1,IF(INDEX(DarlBindung,11)="",1,$G4952),IF($J4952&gt;0.005,1,0)))</f>
      </c>
      <c r="J4952" s="43">
        <f>IF($I4951=0,0,$R4951)</f>
      </c>
      <c r="K4952" s="43">
        <f>IF($I4952=0,0,IF(INDEX(DarlOhneTilgung,11)=1,0,IF(AND(INDEX(DarlTilgStart,11)&gt;0,$E4952=INDEX(DarlTilgStart,11)),$J4952*($H4952+INDEX(DarlTilgung,11))/100/12,IF(AND($G4952=0,$G4951=1),MAX($K4951,$J4952*($H4952+1)/100/12),$K4951))))</f>
      </c>
      <c r="L4952" s="43">
        <f>IF($I4952=0,0,$J4952*$H4952/100/12)</f>
      </c>
      <c r="M4952" s="43">
        <f>IF($I4952=0,0,IF(OR(INDEX(DarlOhneTilgung,11)=1,AND(INDEX(DarlTilgStart,11)&gt;0,$E4952&lt;INDEX(DarlTilgStart,11))),0,MIN(MAX(0,$K4952-$L4952),$J4952)))</f>
      </c>
      <c r="N4952" s="43">
        <f>IF($I4952=0,0,MIN(SUMIFS(SondBetrag,SondDarl,11,SondDatum,"&gt;="&amp;$E4952,SondDatum,"&lt;="&amp;EOMONTH($E4952,0)),$J4952-$M4952))</f>
      </c>
      <c r="O4952" s="43">
        <f>IF($I4952=0,0,INDEX(DarlErsatzRate,11))</f>
      </c>
      <c r="P4952" s="43">
        <f>IF($I4952=0,0,$Q4951*INDEX(DarlErsatzZins,11))</f>
      </c>
      <c r="Q4952" s="43">
        <f>IF($I4952=0,0,$Q4951+$P4952+$O4952)</f>
      </c>
      <c r="R4952" s="43">
        <f>IF($I4952=0,0,$J4952-$M4952-$N4952)</f>
      </c>
    </row>
    <row r="4953">
      <c r="A4953"/>
      <c r="B4953">
        <v>11</v>
      </c>
      <c r="C4953" s="43">
        <f>INDEX(DarlObj,11)</f>
      </c>
      <c r="D4953">
        <v>150</v>
      </c>
      <c r="E4953" s="51">
        <f>IF(INDEX(DarlBelegt,11)=0,0,EOMONTH(INDEX(DarlAuszahlung,11),149)+1)</f>
      </c>
      <c r="F4953" s="43">
        <f>IF($E4953=0,0,YEAR($E4953))</f>
      </c>
      <c r="G4953" s="43">
        <f>IF(INDEX(DarlBindung,11)="",1,IF($E4953&lt;=INDEX(DarlBindung,11),1,0))</f>
      </c>
      <c r="H4953" s="43">
        <f>IF($G4953=1,INDEX(DarlSollzins,11),INDEX(DarlAnschluss,11))</f>
      </c>
      <c r="I4953" s="43">
        <f>IF(INDEX(DarlBelegt,11)=0,0,IF(INDEX(DarlOhneTilgung,11)=1,IF(INDEX(DarlBindung,11)="",1,$G4953),IF($J4953&gt;0.005,1,0)))</f>
      </c>
      <c r="J4953" s="43">
        <f>IF($I4952=0,0,$R4952)</f>
      </c>
      <c r="K4953" s="43">
        <f>IF($I4953=0,0,IF(INDEX(DarlOhneTilgung,11)=1,0,IF(AND(INDEX(DarlTilgStart,11)&gt;0,$E4953=INDEX(DarlTilgStart,11)),$J4953*($H4953+INDEX(DarlTilgung,11))/100/12,IF(AND($G4953=0,$G4952=1),MAX($K4952,$J4953*($H4953+1)/100/12),$K4952))))</f>
      </c>
      <c r="L4953" s="43">
        <f>IF($I4953=0,0,$J4953*$H4953/100/12)</f>
      </c>
      <c r="M4953" s="43">
        <f>IF($I4953=0,0,IF(OR(INDEX(DarlOhneTilgung,11)=1,AND(INDEX(DarlTilgStart,11)&gt;0,$E4953&lt;INDEX(DarlTilgStart,11))),0,MIN(MAX(0,$K4953-$L4953),$J4953)))</f>
      </c>
      <c r="N4953" s="43">
        <f>IF($I4953=0,0,MIN(SUMIFS(SondBetrag,SondDarl,11,SondDatum,"&gt;="&amp;$E4953,SondDatum,"&lt;="&amp;EOMONTH($E4953,0)),$J4953-$M4953))</f>
      </c>
      <c r="O4953" s="43">
        <f>IF($I4953=0,0,INDEX(DarlErsatzRate,11))</f>
      </c>
      <c r="P4953" s="43">
        <f>IF($I4953=0,0,$Q4952*INDEX(DarlErsatzZins,11))</f>
      </c>
      <c r="Q4953" s="43">
        <f>IF($I4953=0,0,$Q4952+$P4953+$O4953)</f>
      </c>
      <c r="R4953" s="43">
        <f>IF($I4953=0,0,$J4953-$M4953-$N4953)</f>
      </c>
    </row>
    <row r="4954">
      <c r="A4954"/>
      <c r="B4954">
        <v>11</v>
      </c>
      <c r="C4954" s="43">
        <f>INDEX(DarlObj,11)</f>
      </c>
      <c r="D4954">
        <v>151</v>
      </c>
      <c r="E4954" s="51">
        <f>IF(INDEX(DarlBelegt,11)=0,0,EOMONTH(INDEX(DarlAuszahlung,11),150)+1)</f>
      </c>
      <c r="F4954" s="43">
        <f>IF($E4954=0,0,YEAR($E4954))</f>
      </c>
      <c r="G4954" s="43">
        <f>IF(INDEX(DarlBindung,11)="",1,IF($E4954&lt;=INDEX(DarlBindung,11),1,0))</f>
      </c>
      <c r="H4954" s="43">
        <f>IF($G4954=1,INDEX(DarlSollzins,11),INDEX(DarlAnschluss,11))</f>
      </c>
      <c r="I4954" s="43">
        <f>IF(INDEX(DarlBelegt,11)=0,0,IF(INDEX(DarlOhneTilgung,11)=1,IF(INDEX(DarlBindung,11)="",1,$G4954),IF($J4954&gt;0.005,1,0)))</f>
      </c>
      <c r="J4954" s="43">
        <f>IF($I4953=0,0,$R4953)</f>
      </c>
      <c r="K4954" s="43">
        <f>IF($I4954=0,0,IF(INDEX(DarlOhneTilgung,11)=1,0,IF(AND(INDEX(DarlTilgStart,11)&gt;0,$E4954=INDEX(DarlTilgStart,11)),$J4954*($H4954+INDEX(DarlTilgung,11))/100/12,IF(AND($G4954=0,$G4953=1),MAX($K4953,$J4954*($H4954+1)/100/12),$K4953))))</f>
      </c>
      <c r="L4954" s="43">
        <f>IF($I4954=0,0,$J4954*$H4954/100/12)</f>
      </c>
      <c r="M4954" s="43">
        <f>IF($I4954=0,0,IF(OR(INDEX(DarlOhneTilgung,11)=1,AND(INDEX(DarlTilgStart,11)&gt;0,$E4954&lt;INDEX(DarlTilgStart,11))),0,MIN(MAX(0,$K4954-$L4954),$J4954)))</f>
      </c>
      <c r="N4954" s="43">
        <f>IF($I4954=0,0,MIN(SUMIFS(SondBetrag,SondDarl,11,SondDatum,"&gt;="&amp;$E4954,SondDatum,"&lt;="&amp;EOMONTH($E4954,0)),$J4954-$M4954))</f>
      </c>
      <c r="O4954" s="43">
        <f>IF($I4954=0,0,INDEX(DarlErsatzRate,11))</f>
      </c>
      <c r="P4954" s="43">
        <f>IF($I4954=0,0,$Q4953*INDEX(DarlErsatzZins,11))</f>
      </c>
      <c r="Q4954" s="43">
        <f>IF($I4954=0,0,$Q4953+$P4954+$O4954)</f>
      </c>
      <c r="R4954" s="43">
        <f>IF($I4954=0,0,$J4954-$M4954-$N4954)</f>
      </c>
    </row>
    <row r="4955">
      <c r="A4955"/>
      <c r="B4955">
        <v>11</v>
      </c>
      <c r="C4955" s="43">
        <f>INDEX(DarlObj,11)</f>
      </c>
      <c r="D4955">
        <v>152</v>
      </c>
      <c r="E4955" s="51">
        <f>IF(INDEX(DarlBelegt,11)=0,0,EOMONTH(INDEX(DarlAuszahlung,11),151)+1)</f>
      </c>
      <c r="F4955" s="43">
        <f>IF($E4955=0,0,YEAR($E4955))</f>
      </c>
      <c r="G4955" s="43">
        <f>IF(INDEX(DarlBindung,11)="",1,IF($E4955&lt;=INDEX(DarlBindung,11),1,0))</f>
      </c>
      <c r="H4955" s="43">
        <f>IF($G4955=1,INDEX(DarlSollzins,11),INDEX(DarlAnschluss,11))</f>
      </c>
      <c r="I4955" s="43">
        <f>IF(INDEX(DarlBelegt,11)=0,0,IF(INDEX(DarlOhneTilgung,11)=1,IF(INDEX(DarlBindung,11)="",1,$G4955),IF($J4955&gt;0.005,1,0)))</f>
      </c>
      <c r="J4955" s="43">
        <f>IF($I4954=0,0,$R4954)</f>
      </c>
      <c r="K4955" s="43">
        <f>IF($I4955=0,0,IF(INDEX(DarlOhneTilgung,11)=1,0,IF(AND(INDEX(DarlTilgStart,11)&gt;0,$E4955=INDEX(DarlTilgStart,11)),$J4955*($H4955+INDEX(DarlTilgung,11))/100/12,IF(AND($G4955=0,$G4954=1),MAX($K4954,$J4955*($H4955+1)/100/12),$K4954))))</f>
      </c>
      <c r="L4955" s="43">
        <f>IF($I4955=0,0,$J4955*$H4955/100/12)</f>
      </c>
      <c r="M4955" s="43">
        <f>IF($I4955=0,0,IF(OR(INDEX(DarlOhneTilgung,11)=1,AND(INDEX(DarlTilgStart,11)&gt;0,$E4955&lt;INDEX(DarlTilgStart,11))),0,MIN(MAX(0,$K4955-$L4955),$J4955)))</f>
      </c>
      <c r="N4955" s="43">
        <f>IF($I4955=0,0,MIN(SUMIFS(SondBetrag,SondDarl,11,SondDatum,"&gt;="&amp;$E4955,SondDatum,"&lt;="&amp;EOMONTH($E4955,0)),$J4955-$M4955))</f>
      </c>
      <c r="O4955" s="43">
        <f>IF($I4955=0,0,INDEX(DarlErsatzRate,11))</f>
      </c>
      <c r="P4955" s="43">
        <f>IF($I4955=0,0,$Q4954*INDEX(DarlErsatzZins,11))</f>
      </c>
      <c r="Q4955" s="43">
        <f>IF($I4955=0,0,$Q4954+$P4955+$O4955)</f>
      </c>
      <c r="R4955" s="43">
        <f>IF($I4955=0,0,$J4955-$M4955-$N4955)</f>
      </c>
    </row>
    <row r="4956">
      <c r="A4956"/>
      <c r="B4956">
        <v>11</v>
      </c>
      <c r="C4956" s="43">
        <f>INDEX(DarlObj,11)</f>
      </c>
      <c r="D4956">
        <v>153</v>
      </c>
      <c r="E4956" s="51">
        <f>IF(INDEX(DarlBelegt,11)=0,0,EOMONTH(INDEX(DarlAuszahlung,11),152)+1)</f>
      </c>
      <c r="F4956" s="43">
        <f>IF($E4956=0,0,YEAR($E4956))</f>
      </c>
      <c r="G4956" s="43">
        <f>IF(INDEX(DarlBindung,11)="",1,IF($E4956&lt;=INDEX(DarlBindung,11),1,0))</f>
      </c>
      <c r="H4956" s="43">
        <f>IF($G4956=1,INDEX(DarlSollzins,11),INDEX(DarlAnschluss,11))</f>
      </c>
      <c r="I4956" s="43">
        <f>IF(INDEX(DarlBelegt,11)=0,0,IF(INDEX(DarlOhneTilgung,11)=1,IF(INDEX(DarlBindung,11)="",1,$G4956),IF($J4956&gt;0.005,1,0)))</f>
      </c>
      <c r="J4956" s="43">
        <f>IF($I4955=0,0,$R4955)</f>
      </c>
      <c r="K4956" s="43">
        <f>IF($I4956=0,0,IF(INDEX(DarlOhneTilgung,11)=1,0,IF(AND(INDEX(DarlTilgStart,11)&gt;0,$E4956=INDEX(DarlTilgStart,11)),$J4956*($H4956+INDEX(DarlTilgung,11))/100/12,IF(AND($G4956=0,$G4955=1),MAX($K4955,$J4956*($H4956+1)/100/12),$K4955))))</f>
      </c>
      <c r="L4956" s="43">
        <f>IF($I4956=0,0,$J4956*$H4956/100/12)</f>
      </c>
      <c r="M4956" s="43">
        <f>IF($I4956=0,0,IF(OR(INDEX(DarlOhneTilgung,11)=1,AND(INDEX(DarlTilgStart,11)&gt;0,$E4956&lt;INDEX(DarlTilgStart,11))),0,MIN(MAX(0,$K4956-$L4956),$J4956)))</f>
      </c>
      <c r="N4956" s="43">
        <f>IF($I4956=0,0,MIN(SUMIFS(SondBetrag,SondDarl,11,SondDatum,"&gt;="&amp;$E4956,SondDatum,"&lt;="&amp;EOMONTH($E4956,0)),$J4956-$M4956))</f>
      </c>
      <c r="O4956" s="43">
        <f>IF($I4956=0,0,INDEX(DarlErsatzRate,11))</f>
      </c>
      <c r="P4956" s="43">
        <f>IF($I4956=0,0,$Q4955*INDEX(DarlErsatzZins,11))</f>
      </c>
      <c r="Q4956" s="43">
        <f>IF($I4956=0,0,$Q4955+$P4956+$O4956)</f>
      </c>
      <c r="R4956" s="43">
        <f>IF($I4956=0,0,$J4956-$M4956-$N4956)</f>
      </c>
    </row>
    <row r="4957">
      <c r="A4957"/>
      <c r="B4957">
        <v>11</v>
      </c>
      <c r="C4957" s="43">
        <f>INDEX(DarlObj,11)</f>
      </c>
      <c r="D4957">
        <v>154</v>
      </c>
      <c r="E4957" s="51">
        <f>IF(INDEX(DarlBelegt,11)=0,0,EOMONTH(INDEX(DarlAuszahlung,11),153)+1)</f>
      </c>
      <c r="F4957" s="43">
        <f>IF($E4957=0,0,YEAR($E4957))</f>
      </c>
      <c r="G4957" s="43">
        <f>IF(INDEX(DarlBindung,11)="",1,IF($E4957&lt;=INDEX(DarlBindung,11),1,0))</f>
      </c>
      <c r="H4957" s="43">
        <f>IF($G4957=1,INDEX(DarlSollzins,11),INDEX(DarlAnschluss,11))</f>
      </c>
      <c r="I4957" s="43">
        <f>IF(INDEX(DarlBelegt,11)=0,0,IF(INDEX(DarlOhneTilgung,11)=1,IF(INDEX(DarlBindung,11)="",1,$G4957),IF($J4957&gt;0.005,1,0)))</f>
      </c>
      <c r="J4957" s="43">
        <f>IF($I4956=0,0,$R4956)</f>
      </c>
      <c r="K4957" s="43">
        <f>IF($I4957=0,0,IF(INDEX(DarlOhneTilgung,11)=1,0,IF(AND(INDEX(DarlTilgStart,11)&gt;0,$E4957=INDEX(DarlTilgStart,11)),$J4957*($H4957+INDEX(DarlTilgung,11))/100/12,IF(AND($G4957=0,$G4956=1),MAX($K4956,$J4957*($H4957+1)/100/12),$K4956))))</f>
      </c>
      <c r="L4957" s="43">
        <f>IF($I4957=0,0,$J4957*$H4957/100/12)</f>
      </c>
      <c r="M4957" s="43">
        <f>IF($I4957=0,0,IF(OR(INDEX(DarlOhneTilgung,11)=1,AND(INDEX(DarlTilgStart,11)&gt;0,$E4957&lt;INDEX(DarlTilgStart,11))),0,MIN(MAX(0,$K4957-$L4957),$J4957)))</f>
      </c>
      <c r="N4957" s="43">
        <f>IF($I4957=0,0,MIN(SUMIFS(SondBetrag,SondDarl,11,SondDatum,"&gt;="&amp;$E4957,SondDatum,"&lt;="&amp;EOMONTH($E4957,0)),$J4957-$M4957))</f>
      </c>
      <c r="O4957" s="43">
        <f>IF($I4957=0,0,INDEX(DarlErsatzRate,11))</f>
      </c>
      <c r="P4957" s="43">
        <f>IF($I4957=0,0,$Q4956*INDEX(DarlErsatzZins,11))</f>
      </c>
      <c r="Q4957" s="43">
        <f>IF($I4957=0,0,$Q4956+$P4957+$O4957)</f>
      </c>
      <c r="R4957" s="43">
        <f>IF($I4957=0,0,$J4957-$M4957-$N4957)</f>
      </c>
    </row>
    <row r="4958">
      <c r="A4958"/>
      <c r="B4958">
        <v>11</v>
      </c>
      <c r="C4958" s="43">
        <f>INDEX(DarlObj,11)</f>
      </c>
      <c r="D4958">
        <v>155</v>
      </c>
      <c r="E4958" s="51">
        <f>IF(INDEX(DarlBelegt,11)=0,0,EOMONTH(INDEX(DarlAuszahlung,11),154)+1)</f>
      </c>
      <c r="F4958" s="43">
        <f>IF($E4958=0,0,YEAR($E4958))</f>
      </c>
      <c r="G4958" s="43">
        <f>IF(INDEX(DarlBindung,11)="",1,IF($E4958&lt;=INDEX(DarlBindung,11),1,0))</f>
      </c>
      <c r="H4958" s="43">
        <f>IF($G4958=1,INDEX(DarlSollzins,11),INDEX(DarlAnschluss,11))</f>
      </c>
      <c r="I4958" s="43">
        <f>IF(INDEX(DarlBelegt,11)=0,0,IF(INDEX(DarlOhneTilgung,11)=1,IF(INDEX(DarlBindung,11)="",1,$G4958),IF($J4958&gt;0.005,1,0)))</f>
      </c>
      <c r="J4958" s="43">
        <f>IF($I4957=0,0,$R4957)</f>
      </c>
      <c r="K4958" s="43">
        <f>IF($I4958=0,0,IF(INDEX(DarlOhneTilgung,11)=1,0,IF(AND(INDEX(DarlTilgStart,11)&gt;0,$E4958=INDEX(DarlTilgStart,11)),$J4958*($H4958+INDEX(DarlTilgung,11))/100/12,IF(AND($G4958=0,$G4957=1),MAX($K4957,$J4958*($H4958+1)/100/12),$K4957))))</f>
      </c>
      <c r="L4958" s="43">
        <f>IF($I4958=0,0,$J4958*$H4958/100/12)</f>
      </c>
      <c r="M4958" s="43">
        <f>IF($I4958=0,0,IF(OR(INDEX(DarlOhneTilgung,11)=1,AND(INDEX(DarlTilgStart,11)&gt;0,$E4958&lt;INDEX(DarlTilgStart,11))),0,MIN(MAX(0,$K4958-$L4958),$J4958)))</f>
      </c>
      <c r="N4958" s="43">
        <f>IF($I4958=0,0,MIN(SUMIFS(SondBetrag,SondDarl,11,SondDatum,"&gt;="&amp;$E4958,SondDatum,"&lt;="&amp;EOMONTH($E4958,0)),$J4958-$M4958))</f>
      </c>
      <c r="O4958" s="43">
        <f>IF($I4958=0,0,INDEX(DarlErsatzRate,11))</f>
      </c>
      <c r="P4958" s="43">
        <f>IF($I4958=0,0,$Q4957*INDEX(DarlErsatzZins,11))</f>
      </c>
      <c r="Q4958" s="43">
        <f>IF($I4958=0,0,$Q4957+$P4958+$O4958)</f>
      </c>
      <c r="R4958" s="43">
        <f>IF($I4958=0,0,$J4958-$M4958-$N4958)</f>
      </c>
    </row>
    <row r="4959">
      <c r="A4959"/>
      <c r="B4959">
        <v>11</v>
      </c>
      <c r="C4959" s="43">
        <f>INDEX(DarlObj,11)</f>
      </c>
      <c r="D4959">
        <v>156</v>
      </c>
      <c r="E4959" s="51">
        <f>IF(INDEX(DarlBelegt,11)=0,0,EOMONTH(INDEX(DarlAuszahlung,11),155)+1)</f>
      </c>
      <c r="F4959" s="43">
        <f>IF($E4959=0,0,YEAR($E4959))</f>
      </c>
      <c r="G4959" s="43">
        <f>IF(INDEX(DarlBindung,11)="",1,IF($E4959&lt;=INDEX(DarlBindung,11),1,0))</f>
      </c>
      <c r="H4959" s="43">
        <f>IF($G4959=1,INDEX(DarlSollzins,11),INDEX(DarlAnschluss,11))</f>
      </c>
      <c r="I4959" s="43">
        <f>IF(INDEX(DarlBelegt,11)=0,0,IF(INDEX(DarlOhneTilgung,11)=1,IF(INDEX(DarlBindung,11)="",1,$G4959),IF($J4959&gt;0.005,1,0)))</f>
      </c>
      <c r="J4959" s="43">
        <f>IF($I4958=0,0,$R4958)</f>
      </c>
      <c r="K4959" s="43">
        <f>IF($I4959=0,0,IF(INDEX(DarlOhneTilgung,11)=1,0,IF(AND(INDEX(DarlTilgStart,11)&gt;0,$E4959=INDEX(DarlTilgStart,11)),$J4959*($H4959+INDEX(DarlTilgung,11))/100/12,IF(AND($G4959=0,$G4958=1),MAX($K4958,$J4959*($H4959+1)/100/12),$K4958))))</f>
      </c>
      <c r="L4959" s="43">
        <f>IF($I4959=0,0,$J4959*$H4959/100/12)</f>
      </c>
      <c r="M4959" s="43">
        <f>IF($I4959=0,0,IF(OR(INDEX(DarlOhneTilgung,11)=1,AND(INDEX(DarlTilgStart,11)&gt;0,$E4959&lt;INDEX(DarlTilgStart,11))),0,MIN(MAX(0,$K4959-$L4959),$J4959)))</f>
      </c>
      <c r="N4959" s="43">
        <f>IF($I4959=0,0,MIN(SUMIFS(SondBetrag,SondDarl,11,SondDatum,"&gt;="&amp;$E4959,SondDatum,"&lt;="&amp;EOMONTH($E4959,0)),$J4959-$M4959))</f>
      </c>
      <c r="O4959" s="43">
        <f>IF($I4959=0,0,INDEX(DarlErsatzRate,11))</f>
      </c>
      <c r="P4959" s="43">
        <f>IF($I4959=0,0,$Q4958*INDEX(DarlErsatzZins,11))</f>
      </c>
      <c r="Q4959" s="43">
        <f>IF($I4959=0,0,$Q4958+$P4959+$O4959)</f>
      </c>
      <c r="R4959" s="43">
        <f>IF($I4959=0,0,$J4959-$M4959-$N4959)</f>
      </c>
    </row>
    <row r="4960">
      <c r="A4960"/>
      <c r="B4960">
        <v>11</v>
      </c>
      <c r="C4960" s="43">
        <f>INDEX(DarlObj,11)</f>
      </c>
      <c r="D4960">
        <v>157</v>
      </c>
      <c r="E4960" s="51">
        <f>IF(INDEX(DarlBelegt,11)=0,0,EOMONTH(INDEX(DarlAuszahlung,11),156)+1)</f>
      </c>
      <c r="F4960" s="43">
        <f>IF($E4960=0,0,YEAR($E4960))</f>
      </c>
      <c r="G4960" s="43">
        <f>IF(INDEX(DarlBindung,11)="",1,IF($E4960&lt;=INDEX(DarlBindung,11),1,0))</f>
      </c>
      <c r="H4960" s="43">
        <f>IF($G4960=1,INDEX(DarlSollzins,11),INDEX(DarlAnschluss,11))</f>
      </c>
      <c r="I4960" s="43">
        <f>IF(INDEX(DarlBelegt,11)=0,0,IF(INDEX(DarlOhneTilgung,11)=1,IF(INDEX(DarlBindung,11)="",1,$G4960),IF($J4960&gt;0.005,1,0)))</f>
      </c>
      <c r="J4960" s="43">
        <f>IF($I4959=0,0,$R4959)</f>
      </c>
      <c r="K4960" s="43">
        <f>IF($I4960=0,0,IF(INDEX(DarlOhneTilgung,11)=1,0,IF(AND(INDEX(DarlTilgStart,11)&gt;0,$E4960=INDEX(DarlTilgStart,11)),$J4960*($H4960+INDEX(DarlTilgung,11))/100/12,IF(AND($G4960=0,$G4959=1),MAX($K4959,$J4960*($H4960+1)/100/12),$K4959))))</f>
      </c>
      <c r="L4960" s="43">
        <f>IF($I4960=0,0,$J4960*$H4960/100/12)</f>
      </c>
      <c r="M4960" s="43">
        <f>IF($I4960=0,0,IF(OR(INDEX(DarlOhneTilgung,11)=1,AND(INDEX(DarlTilgStart,11)&gt;0,$E4960&lt;INDEX(DarlTilgStart,11))),0,MIN(MAX(0,$K4960-$L4960),$J4960)))</f>
      </c>
      <c r="N4960" s="43">
        <f>IF($I4960=0,0,MIN(SUMIFS(SondBetrag,SondDarl,11,SondDatum,"&gt;="&amp;$E4960,SondDatum,"&lt;="&amp;EOMONTH($E4960,0)),$J4960-$M4960))</f>
      </c>
      <c r="O4960" s="43">
        <f>IF($I4960=0,0,INDEX(DarlErsatzRate,11))</f>
      </c>
      <c r="P4960" s="43">
        <f>IF($I4960=0,0,$Q4959*INDEX(DarlErsatzZins,11))</f>
      </c>
      <c r="Q4960" s="43">
        <f>IF($I4960=0,0,$Q4959+$P4960+$O4960)</f>
      </c>
      <c r="R4960" s="43">
        <f>IF($I4960=0,0,$J4960-$M4960-$N4960)</f>
      </c>
    </row>
    <row r="4961">
      <c r="A4961"/>
      <c r="B4961">
        <v>11</v>
      </c>
      <c r="C4961" s="43">
        <f>INDEX(DarlObj,11)</f>
      </c>
      <c r="D4961">
        <v>158</v>
      </c>
      <c r="E4961" s="51">
        <f>IF(INDEX(DarlBelegt,11)=0,0,EOMONTH(INDEX(DarlAuszahlung,11),157)+1)</f>
      </c>
      <c r="F4961" s="43">
        <f>IF($E4961=0,0,YEAR($E4961))</f>
      </c>
      <c r="G4961" s="43">
        <f>IF(INDEX(DarlBindung,11)="",1,IF($E4961&lt;=INDEX(DarlBindung,11),1,0))</f>
      </c>
      <c r="H4961" s="43">
        <f>IF($G4961=1,INDEX(DarlSollzins,11),INDEX(DarlAnschluss,11))</f>
      </c>
      <c r="I4961" s="43">
        <f>IF(INDEX(DarlBelegt,11)=0,0,IF(INDEX(DarlOhneTilgung,11)=1,IF(INDEX(DarlBindung,11)="",1,$G4961),IF($J4961&gt;0.005,1,0)))</f>
      </c>
      <c r="J4961" s="43">
        <f>IF($I4960=0,0,$R4960)</f>
      </c>
      <c r="K4961" s="43">
        <f>IF($I4961=0,0,IF(INDEX(DarlOhneTilgung,11)=1,0,IF(AND(INDEX(DarlTilgStart,11)&gt;0,$E4961=INDEX(DarlTilgStart,11)),$J4961*($H4961+INDEX(DarlTilgung,11))/100/12,IF(AND($G4961=0,$G4960=1),MAX($K4960,$J4961*($H4961+1)/100/12),$K4960))))</f>
      </c>
      <c r="L4961" s="43">
        <f>IF($I4961=0,0,$J4961*$H4961/100/12)</f>
      </c>
      <c r="M4961" s="43">
        <f>IF($I4961=0,0,IF(OR(INDEX(DarlOhneTilgung,11)=1,AND(INDEX(DarlTilgStart,11)&gt;0,$E4961&lt;INDEX(DarlTilgStart,11))),0,MIN(MAX(0,$K4961-$L4961),$J4961)))</f>
      </c>
      <c r="N4961" s="43">
        <f>IF($I4961=0,0,MIN(SUMIFS(SondBetrag,SondDarl,11,SondDatum,"&gt;="&amp;$E4961,SondDatum,"&lt;="&amp;EOMONTH($E4961,0)),$J4961-$M4961))</f>
      </c>
      <c r="O4961" s="43">
        <f>IF($I4961=0,0,INDEX(DarlErsatzRate,11))</f>
      </c>
      <c r="P4961" s="43">
        <f>IF($I4961=0,0,$Q4960*INDEX(DarlErsatzZins,11))</f>
      </c>
      <c r="Q4961" s="43">
        <f>IF($I4961=0,0,$Q4960+$P4961+$O4961)</f>
      </c>
      <c r="R4961" s="43">
        <f>IF($I4961=0,0,$J4961-$M4961-$N4961)</f>
      </c>
    </row>
    <row r="4962">
      <c r="A4962"/>
      <c r="B4962">
        <v>11</v>
      </c>
      <c r="C4962" s="43">
        <f>INDEX(DarlObj,11)</f>
      </c>
      <c r="D4962">
        <v>159</v>
      </c>
      <c r="E4962" s="51">
        <f>IF(INDEX(DarlBelegt,11)=0,0,EOMONTH(INDEX(DarlAuszahlung,11),158)+1)</f>
      </c>
      <c r="F4962" s="43">
        <f>IF($E4962=0,0,YEAR($E4962))</f>
      </c>
      <c r="G4962" s="43">
        <f>IF(INDEX(DarlBindung,11)="",1,IF($E4962&lt;=INDEX(DarlBindung,11),1,0))</f>
      </c>
      <c r="H4962" s="43">
        <f>IF($G4962=1,INDEX(DarlSollzins,11),INDEX(DarlAnschluss,11))</f>
      </c>
      <c r="I4962" s="43">
        <f>IF(INDEX(DarlBelegt,11)=0,0,IF(INDEX(DarlOhneTilgung,11)=1,IF(INDEX(DarlBindung,11)="",1,$G4962),IF($J4962&gt;0.005,1,0)))</f>
      </c>
      <c r="J4962" s="43">
        <f>IF($I4961=0,0,$R4961)</f>
      </c>
      <c r="K4962" s="43">
        <f>IF($I4962=0,0,IF(INDEX(DarlOhneTilgung,11)=1,0,IF(AND(INDEX(DarlTilgStart,11)&gt;0,$E4962=INDEX(DarlTilgStart,11)),$J4962*($H4962+INDEX(DarlTilgung,11))/100/12,IF(AND($G4962=0,$G4961=1),MAX($K4961,$J4962*($H4962+1)/100/12),$K4961))))</f>
      </c>
      <c r="L4962" s="43">
        <f>IF($I4962=0,0,$J4962*$H4962/100/12)</f>
      </c>
      <c r="M4962" s="43">
        <f>IF($I4962=0,0,IF(OR(INDEX(DarlOhneTilgung,11)=1,AND(INDEX(DarlTilgStart,11)&gt;0,$E4962&lt;INDEX(DarlTilgStart,11))),0,MIN(MAX(0,$K4962-$L4962),$J4962)))</f>
      </c>
      <c r="N4962" s="43">
        <f>IF($I4962=0,0,MIN(SUMIFS(SondBetrag,SondDarl,11,SondDatum,"&gt;="&amp;$E4962,SondDatum,"&lt;="&amp;EOMONTH($E4962,0)),$J4962-$M4962))</f>
      </c>
      <c r="O4962" s="43">
        <f>IF($I4962=0,0,INDEX(DarlErsatzRate,11))</f>
      </c>
      <c r="P4962" s="43">
        <f>IF($I4962=0,0,$Q4961*INDEX(DarlErsatzZins,11))</f>
      </c>
      <c r="Q4962" s="43">
        <f>IF($I4962=0,0,$Q4961+$P4962+$O4962)</f>
      </c>
      <c r="R4962" s="43">
        <f>IF($I4962=0,0,$J4962-$M4962-$N4962)</f>
      </c>
    </row>
    <row r="4963">
      <c r="A4963"/>
      <c r="B4963">
        <v>11</v>
      </c>
      <c r="C4963" s="43">
        <f>INDEX(DarlObj,11)</f>
      </c>
      <c r="D4963">
        <v>160</v>
      </c>
      <c r="E4963" s="51">
        <f>IF(INDEX(DarlBelegt,11)=0,0,EOMONTH(INDEX(DarlAuszahlung,11),159)+1)</f>
      </c>
      <c r="F4963" s="43">
        <f>IF($E4963=0,0,YEAR($E4963))</f>
      </c>
      <c r="G4963" s="43">
        <f>IF(INDEX(DarlBindung,11)="",1,IF($E4963&lt;=INDEX(DarlBindung,11),1,0))</f>
      </c>
      <c r="H4963" s="43">
        <f>IF($G4963=1,INDEX(DarlSollzins,11),INDEX(DarlAnschluss,11))</f>
      </c>
      <c r="I4963" s="43">
        <f>IF(INDEX(DarlBelegt,11)=0,0,IF(INDEX(DarlOhneTilgung,11)=1,IF(INDEX(DarlBindung,11)="",1,$G4963),IF($J4963&gt;0.005,1,0)))</f>
      </c>
      <c r="J4963" s="43">
        <f>IF($I4962=0,0,$R4962)</f>
      </c>
      <c r="K4963" s="43">
        <f>IF($I4963=0,0,IF(INDEX(DarlOhneTilgung,11)=1,0,IF(AND(INDEX(DarlTilgStart,11)&gt;0,$E4963=INDEX(DarlTilgStart,11)),$J4963*($H4963+INDEX(DarlTilgung,11))/100/12,IF(AND($G4963=0,$G4962=1),MAX($K4962,$J4963*($H4963+1)/100/12),$K4962))))</f>
      </c>
      <c r="L4963" s="43">
        <f>IF($I4963=0,0,$J4963*$H4963/100/12)</f>
      </c>
      <c r="M4963" s="43">
        <f>IF($I4963=0,0,IF(OR(INDEX(DarlOhneTilgung,11)=1,AND(INDEX(DarlTilgStart,11)&gt;0,$E4963&lt;INDEX(DarlTilgStart,11))),0,MIN(MAX(0,$K4963-$L4963),$J4963)))</f>
      </c>
      <c r="N4963" s="43">
        <f>IF($I4963=0,0,MIN(SUMIFS(SondBetrag,SondDarl,11,SondDatum,"&gt;="&amp;$E4963,SondDatum,"&lt;="&amp;EOMONTH($E4963,0)),$J4963-$M4963))</f>
      </c>
      <c r="O4963" s="43">
        <f>IF($I4963=0,0,INDEX(DarlErsatzRate,11))</f>
      </c>
      <c r="P4963" s="43">
        <f>IF($I4963=0,0,$Q4962*INDEX(DarlErsatzZins,11))</f>
      </c>
      <c r="Q4963" s="43">
        <f>IF($I4963=0,0,$Q4962+$P4963+$O4963)</f>
      </c>
      <c r="R4963" s="43">
        <f>IF($I4963=0,0,$J4963-$M4963-$N4963)</f>
      </c>
    </row>
    <row r="4964">
      <c r="A4964"/>
      <c r="B4964">
        <v>11</v>
      </c>
      <c r="C4964" s="43">
        <f>INDEX(DarlObj,11)</f>
      </c>
      <c r="D4964">
        <v>161</v>
      </c>
      <c r="E4964" s="51">
        <f>IF(INDEX(DarlBelegt,11)=0,0,EOMONTH(INDEX(DarlAuszahlung,11),160)+1)</f>
      </c>
      <c r="F4964" s="43">
        <f>IF($E4964=0,0,YEAR($E4964))</f>
      </c>
      <c r="G4964" s="43">
        <f>IF(INDEX(DarlBindung,11)="",1,IF($E4964&lt;=INDEX(DarlBindung,11),1,0))</f>
      </c>
      <c r="H4964" s="43">
        <f>IF($G4964=1,INDEX(DarlSollzins,11),INDEX(DarlAnschluss,11))</f>
      </c>
      <c r="I4964" s="43">
        <f>IF(INDEX(DarlBelegt,11)=0,0,IF(INDEX(DarlOhneTilgung,11)=1,IF(INDEX(DarlBindung,11)="",1,$G4964),IF($J4964&gt;0.005,1,0)))</f>
      </c>
      <c r="J4964" s="43">
        <f>IF($I4963=0,0,$R4963)</f>
      </c>
      <c r="K4964" s="43">
        <f>IF($I4964=0,0,IF(INDEX(DarlOhneTilgung,11)=1,0,IF(AND(INDEX(DarlTilgStart,11)&gt;0,$E4964=INDEX(DarlTilgStart,11)),$J4964*($H4964+INDEX(DarlTilgung,11))/100/12,IF(AND($G4964=0,$G4963=1),MAX($K4963,$J4964*($H4964+1)/100/12),$K4963))))</f>
      </c>
      <c r="L4964" s="43">
        <f>IF($I4964=0,0,$J4964*$H4964/100/12)</f>
      </c>
      <c r="M4964" s="43">
        <f>IF($I4964=0,0,IF(OR(INDEX(DarlOhneTilgung,11)=1,AND(INDEX(DarlTilgStart,11)&gt;0,$E4964&lt;INDEX(DarlTilgStart,11))),0,MIN(MAX(0,$K4964-$L4964),$J4964)))</f>
      </c>
      <c r="N4964" s="43">
        <f>IF($I4964=0,0,MIN(SUMIFS(SondBetrag,SondDarl,11,SondDatum,"&gt;="&amp;$E4964,SondDatum,"&lt;="&amp;EOMONTH($E4964,0)),$J4964-$M4964))</f>
      </c>
      <c r="O4964" s="43">
        <f>IF($I4964=0,0,INDEX(DarlErsatzRate,11))</f>
      </c>
      <c r="P4964" s="43">
        <f>IF($I4964=0,0,$Q4963*INDEX(DarlErsatzZins,11))</f>
      </c>
      <c r="Q4964" s="43">
        <f>IF($I4964=0,0,$Q4963+$P4964+$O4964)</f>
      </c>
      <c r="R4964" s="43">
        <f>IF($I4964=0,0,$J4964-$M4964-$N4964)</f>
      </c>
    </row>
    <row r="4965">
      <c r="A4965"/>
      <c r="B4965">
        <v>11</v>
      </c>
      <c r="C4965" s="43">
        <f>INDEX(DarlObj,11)</f>
      </c>
      <c r="D4965">
        <v>162</v>
      </c>
      <c r="E4965" s="51">
        <f>IF(INDEX(DarlBelegt,11)=0,0,EOMONTH(INDEX(DarlAuszahlung,11),161)+1)</f>
      </c>
      <c r="F4965" s="43">
        <f>IF($E4965=0,0,YEAR($E4965))</f>
      </c>
      <c r="G4965" s="43">
        <f>IF(INDEX(DarlBindung,11)="",1,IF($E4965&lt;=INDEX(DarlBindung,11),1,0))</f>
      </c>
      <c r="H4965" s="43">
        <f>IF($G4965=1,INDEX(DarlSollzins,11),INDEX(DarlAnschluss,11))</f>
      </c>
      <c r="I4965" s="43">
        <f>IF(INDEX(DarlBelegt,11)=0,0,IF(INDEX(DarlOhneTilgung,11)=1,IF(INDEX(DarlBindung,11)="",1,$G4965),IF($J4965&gt;0.005,1,0)))</f>
      </c>
      <c r="J4965" s="43">
        <f>IF($I4964=0,0,$R4964)</f>
      </c>
      <c r="K4965" s="43">
        <f>IF($I4965=0,0,IF(INDEX(DarlOhneTilgung,11)=1,0,IF(AND(INDEX(DarlTilgStart,11)&gt;0,$E4965=INDEX(DarlTilgStart,11)),$J4965*($H4965+INDEX(DarlTilgung,11))/100/12,IF(AND($G4965=0,$G4964=1),MAX($K4964,$J4965*($H4965+1)/100/12),$K4964))))</f>
      </c>
      <c r="L4965" s="43">
        <f>IF($I4965=0,0,$J4965*$H4965/100/12)</f>
      </c>
      <c r="M4965" s="43">
        <f>IF($I4965=0,0,IF(OR(INDEX(DarlOhneTilgung,11)=1,AND(INDEX(DarlTilgStart,11)&gt;0,$E4965&lt;INDEX(DarlTilgStart,11))),0,MIN(MAX(0,$K4965-$L4965),$J4965)))</f>
      </c>
      <c r="N4965" s="43">
        <f>IF($I4965=0,0,MIN(SUMIFS(SondBetrag,SondDarl,11,SondDatum,"&gt;="&amp;$E4965,SondDatum,"&lt;="&amp;EOMONTH($E4965,0)),$J4965-$M4965))</f>
      </c>
      <c r="O4965" s="43">
        <f>IF($I4965=0,0,INDEX(DarlErsatzRate,11))</f>
      </c>
      <c r="P4965" s="43">
        <f>IF($I4965=0,0,$Q4964*INDEX(DarlErsatzZins,11))</f>
      </c>
      <c r="Q4965" s="43">
        <f>IF($I4965=0,0,$Q4964+$P4965+$O4965)</f>
      </c>
      <c r="R4965" s="43">
        <f>IF($I4965=0,0,$J4965-$M4965-$N4965)</f>
      </c>
    </row>
    <row r="4966">
      <c r="A4966"/>
      <c r="B4966">
        <v>11</v>
      </c>
      <c r="C4966" s="43">
        <f>INDEX(DarlObj,11)</f>
      </c>
      <c r="D4966">
        <v>163</v>
      </c>
      <c r="E4966" s="51">
        <f>IF(INDEX(DarlBelegt,11)=0,0,EOMONTH(INDEX(DarlAuszahlung,11),162)+1)</f>
      </c>
      <c r="F4966" s="43">
        <f>IF($E4966=0,0,YEAR($E4966))</f>
      </c>
      <c r="G4966" s="43">
        <f>IF(INDEX(DarlBindung,11)="",1,IF($E4966&lt;=INDEX(DarlBindung,11),1,0))</f>
      </c>
      <c r="H4966" s="43">
        <f>IF($G4966=1,INDEX(DarlSollzins,11),INDEX(DarlAnschluss,11))</f>
      </c>
      <c r="I4966" s="43">
        <f>IF(INDEX(DarlBelegt,11)=0,0,IF(INDEX(DarlOhneTilgung,11)=1,IF(INDEX(DarlBindung,11)="",1,$G4966),IF($J4966&gt;0.005,1,0)))</f>
      </c>
      <c r="J4966" s="43">
        <f>IF($I4965=0,0,$R4965)</f>
      </c>
      <c r="K4966" s="43">
        <f>IF($I4966=0,0,IF(INDEX(DarlOhneTilgung,11)=1,0,IF(AND(INDEX(DarlTilgStart,11)&gt;0,$E4966=INDEX(DarlTilgStart,11)),$J4966*($H4966+INDEX(DarlTilgung,11))/100/12,IF(AND($G4966=0,$G4965=1),MAX($K4965,$J4966*($H4966+1)/100/12),$K4965))))</f>
      </c>
      <c r="L4966" s="43">
        <f>IF($I4966=0,0,$J4966*$H4966/100/12)</f>
      </c>
      <c r="M4966" s="43">
        <f>IF($I4966=0,0,IF(OR(INDEX(DarlOhneTilgung,11)=1,AND(INDEX(DarlTilgStart,11)&gt;0,$E4966&lt;INDEX(DarlTilgStart,11))),0,MIN(MAX(0,$K4966-$L4966),$J4966)))</f>
      </c>
      <c r="N4966" s="43">
        <f>IF($I4966=0,0,MIN(SUMIFS(SondBetrag,SondDarl,11,SondDatum,"&gt;="&amp;$E4966,SondDatum,"&lt;="&amp;EOMONTH($E4966,0)),$J4966-$M4966))</f>
      </c>
      <c r="O4966" s="43">
        <f>IF($I4966=0,0,INDEX(DarlErsatzRate,11))</f>
      </c>
      <c r="P4966" s="43">
        <f>IF($I4966=0,0,$Q4965*INDEX(DarlErsatzZins,11))</f>
      </c>
      <c r="Q4966" s="43">
        <f>IF($I4966=0,0,$Q4965+$P4966+$O4966)</f>
      </c>
      <c r="R4966" s="43">
        <f>IF($I4966=0,0,$J4966-$M4966-$N4966)</f>
      </c>
    </row>
    <row r="4967">
      <c r="A4967"/>
      <c r="B4967">
        <v>11</v>
      </c>
      <c r="C4967" s="43">
        <f>INDEX(DarlObj,11)</f>
      </c>
      <c r="D4967">
        <v>164</v>
      </c>
      <c r="E4967" s="51">
        <f>IF(INDEX(DarlBelegt,11)=0,0,EOMONTH(INDEX(DarlAuszahlung,11),163)+1)</f>
      </c>
      <c r="F4967" s="43">
        <f>IF($E4967=0,0,YEAR($E4967))</f>
      </c>
      <c r="G4967" s="43">
        <f>IF(INDEX(DarlBindung,11)="",1,IF($E4967&lt;=INDEX(DarlBindung,11),1,0))</f>
      </c>
      <c r="H4967" s="43">
        <f>IF($G4967=1,INDEX(DarlSollzins,11),INDEX(DarlAnschluss,11))</f>
      </c>
      <c r="I4967" s="43">
        <f>IF(INDEX(DarlBelegt,11)=0,0,IF(INDEX(DarlOhneTilgung,11)=1,IF(INDEX(DarlBindung,11)="",1,$G4967),IF($J4967&gt;0.005,1,0)))</f>
      </c>
      <c r="J4967" s="43">
        <f>IF($I4966=0,0,$R4966)</f>
      </c>
      <c r="K4967" s="43">
        <f>IF($I4967=0,0,IF(INDEX(DarlOhneTilgung,11)=1,0,IF(AND(INDEX(DarlTilgStart,11)&gt;0,$E4967=INDEX(DarlTilgStart,11)),$J4967*($H4967+INDEX(DarlTilgung,11))/100/12,IF(AND($G4967=0,$G4966=1),MAX($K4966,$J4967*($H4967+1)/100/12),$K4966))))</f>
      </c>
      <c r="L4967" s="43">
        <f>IF($I4967=0,0,$J4967*$H4967/100/12)</f>
      </c>
      <c r="M4967" s="43">
        <f>IF($I4967=0,0,IF(OR(INDEX(DarlOhneTilgung,11)=1,AND(INDEX(DarlTilgStart,11)&gt;0,$E4967&lt;INDEX(DarlTilgStart,11))),0,MIN(MAX(0,$K4967-$L4967),$J4967)))</f>
      </c>
      <c r="N4967" s="43">
        <f>IF($I4967=0,0,MIN(SUMIFS(SondBetrag,SondDarl,11,SondDatum,"&gt;="&amp;$E4967,SondDatum,"&lt;="&amp;EOMONTH($E4967,0)),$J4967-$M4967))</f>
      </c>
      <c r="O4967" s="43">
        <f>IF($I4967=0,0,INDEX(DarlErsatzRate,11))</f>
      </c>
      <c r="P4967" s="43">
        <f>IF($I4967=0,0,$Q4966*INDEX(DarlErsatzZins,11))</f>
      </c>
      <c r="Q4967" s="43">
        <f>IF($I4967=0,0,$Q4966+$P4967+$O4967)</f>
      </c>
      <c r="R4967" s="43">
        <f>IF($I4967=0,0,$J4967-$M4967-$N4967)</f>
      </c>
    </row>
    <row r="4968">
      <c r="A4968"/>
      <c r="B4968">
        <v>11</v>
      </c>
      <c r="C4968" s="43">
        <f>INDEX(DarlObj,11)</f>
      </c>
      <c r="D4968">
        <v>165</v>
      </c>
      <c r="E4968" s="51">
        <f>IF(INDEX(DarlBelegt,11)=0,0,EOMONTH(INDEX(DarlAuszahlung,11),164)+1)</f>
      </c>
      <c r="F4968" s="43">
        <f>IF($E4968=0,0,YEAR($E4968))</f>
      </c>
      <c r="G4968" s="43">
        <f>IF(INDEX(DarlBindung,11)="",1,IF($E4968&lt;=INDEX(DarlBindung,11),1,0))</f>
      </c>
      <c r="H4968" s="43">
        <f>IF($G4968=1,INDEX(DarlSollzins,11),INDEX(DarlAnschluss,11))</f>
      </c>
      <c r="I4968" s="43">
        <f>IF(INDEX(DarlBelegt,11)=0,0,IF(INDEX(DarlOhneTilgung,11)=1,IF(INDEX(DarlBindung,11)="",1,$G4968),IF($J4968&gt;0.005,1,0)))</f>
      </c>
      <c r="J4968" s="43">
        <f>IF($I4967=0,0,$R4967)</f>
      </c>
      <c r="K4968" s="43">
        <f>IF($I4968=0,0,IF(INDEX(DarlOhneTilgung,11)=1,0,IF(AND(INDEX(DarlTilgStart,11)&gt;0,$E4968=INDEX(DarlTilgStart,11)),$J4968*($H4968+INDEX(DarlTilgung,11))/100/12,IF(AND($G4968=0,$G4967=1),MAX($K4967,$J4968*($H4968+1)/100/12),$K4967))))</f>
      </c>
      <c r="L4968" s="43">
        <f>IF($I4968=0,0,$J4968*$H4968/100/12)</f>
      </c>
      <c r="M4968" s="43">
        <f>IF($I4968=0,0,IF(OR(INDEX(DarlOhneTilgung,11)=1,AND(INDEX(DarlTilgStart,11)&gt;0,$E4968&lt;INDEX(DarlTilgStart,11))),0,MIN(MAX(0,$K4968-$L4968),$J4968)))</f>
      </c>
      <c r="N4968" s="43">
        <f>IF($I4968=0,0,MIN(SUMIFS(SondBetrag,SondDarl,11,SondDatum,"&gt;="&amp;$E4968,SondDatum,"&lt;="&amp;EOMONTH($E4968,0)),$J4968-$M4968))</f>
      </c>
      <c r="O4968" s="43">
        <f>IF($I4968=0,0,INDEX(DarlErsatzRate,11))</f>
      </c>
      <c r="P4968" s="43">
        <f>IF($I4968=0,0,$Q4967*INDEX(DarlErsatzZins,11))</f>
      </c>
      <c r="Q4968" s="43">
        <f>IF($I4968=0,0,$Q4967+$P4968+$O4968)</f>
      </c>
      <c r="R4968" s="43">
        <f>IF($I4968=0,0,$J4968-$M4968-$N4968)</f>
      </c>
    </row>
    <row r="4969">
      <c r="A4969"/>
      <c r="B4969">
        <v>11</v>
      </c>
      <c r="C4969" s="43">
        <f>INDEX(DarlObj,11)</f>
      </c>
      <c r="D4969">
        <v>166</v>
      </c>
      <c r="E4969" s="51">
        <f>IF(INDEX(DarlBelegt,11)=0,0,EOMONTH(INDEX(DarlAuszahlung,11),165)+1)</f>
      </c>
      <c r="F4969" s="43">
        <f>IF($E4969=0,0,YEAR($E4969))</f>
      </c>
      <c r="G4969" s="43">
        <f>IF(INDEX(DarlBindung,11)="",1,IF($E4969&lt;=INDEX(DarlBindung,11),1,0))</f>
      </c>
      <c r="H4969" s="43">
        <f>IF($G4969=1,INDEX(DarlSollzins,11),INDEX(DarlAnschluss,11))</f>
      </c>
      <c r="I4969" s="43">
        <f>IF(INDEX(DarlBelegt,11)=0,0,IF(INDEX(DarlOhneTilgung,11)=1,IF(INDEX(DarlBindung,11)="",1,$G4969),IF($J4969&gt;0.005,1,0)))</f>
      </c>
      <c r="J4969" s="43">
        <f>IF($I4968=0,0,$R4968)</f>
      </c>
      <c r="K4969" s="43">
        <f>IF($I4969=0,0,IF(INDEX(DarlOhneTilgung,11)=1,0,IF(AND(INDEX(DarlTilgStart,11)&gt;0,$E4969=INDEX(DarlTilgStart,11)),$J4969*($H4969+INDEX(DarlTilgung,11))/100/12,IF(AND($G4969=0,$G4968=1),MAX($K4968,$J4969*($H4969+1)/100/12),$K4968))))</f>
      </c>
      <c r="L4969" s="43">
        <f>IF($I4969=0,0,$J4969*$H4969/100/12)</f>
      </c>
      <c r="M4969" s="43">
        <f>IF($I4969=0,0,IF(OR(INDEX(DarlOhneTilgung,11)=1,AND(INDEX(DarlTilgStart,11)&gt;0,$E4969&lt;INDEX(DarlTilgStart,11))),0,MIN(MAX(0,$K4969-$L4969),$J4969)))</f>
      </c>
      <c r="N4969" s="43">
        <f>IF($I4969=0,0,MIN(SUMIFS(SondBetrag,SondDarl,11,SondDatum,"&gt;="&amp;$E4969,SondDatum,"&lt;="&amp;EOMONTH($E4969,0)),$J4969-$M4969))</f>
      </c>
      <c r="O4969" s="43">
        <f>IF($I4969=0,0,INDEX(DarlErsatzRate,11))</f>
      </c>
      <c r="P4969" s="43">
        <f>IF($I4969=0,0,$Q4968*INDEX(DarlErsatzZins,11))</f>
      </c>
      <c r="Q4969" s="43">
        <f>IF($I4969=0,0,$Q4968+$P4969+$O4969)</f>
      </c>
      <c r="R4969" s="43">
        <f>IF($I4969=0,0,$J4969-$M4969-$N4969)</f>
      </c>
    </row>
    <row r="4970">
      <c r="A4970"/>
      <c r="B4970">
        <v>11</v>
      </c>
      <c r="C4970" s="43">
        <f>INDEX(DarlObj,11)</f>
      </c>
      <c r="D4970">
        <v>167</v>
      </c>
      <c r="E4970" s="51">
        <f>IF(INDEX(DarlBelegt,11)=0,0,EOMONTH(INDEX(DarlAuszahlung,11),166)+1)</f>
      </c>
      <c r="F4970" s="43">
        <f>IF($E4970=0,0,YEAR($E4970))</f>
      </c>
      <c r="G4970" s="43">
        <f>IF(INDEX(DarlBindung,11)="",1,IF($E4970&lt;=INDEX(DarlBindung,11),1,0))</f>
      </c>
      <c r="H4970" s="43">
        <f>IF($G4970=1,INDEX(DarlSollzins,11),INDEX(DarlAnschluss,11))</f>
      </c>
      <c r="I4970" s="43">
        <f>IF(INDEX(DarlBelegt,11)=0,0,IF(INDEX(DarlOhneTilgung,11)=1,IF(INDEX(DarlBindung,11)="",1,$G4970),IF($J4970&gt;0.005,1,0)))</f>
      </c>
      <c r="J4970" s="43">
        <f>IF($I4969=0,0,$R4969)</f>
      </c>
      <c r="K4970" s="43">
        <f>IF($I4970=0,0,IF(INDEX(DarlOhneTilgung,11)=1,0,IF(AND(INDEX(DarlTilgStart,11)&gt;0,$E4970=INDEX(DarlTilgStart,11)),$J4970*($H4970+INDEX(DarlTilgung,11))/100/12,IF(AND($G4970=0,$G4969=1),MAX($K4969,$J4970*($H4970+1)/100/12),$K4969))))</f>
      </c>
      <c r="L4970" s="43">
        <f>IF($I4970=0,0,$J4970*$H4970/100/12)</f>
      </c>
      <c r="M4970" s="43">
        <f>IF($I4970=0,0,IF(OR(INDEX(DarlOhneTilgung,11)=1,AND(INDEX(DarlTilgStart,11)&gt;0,$E4970&lt;INDEX(DarlTilgStart,11))),0,MIN(MAX(0,$K4970-$L4970),$J4970)))</f>
      </c>
      <c r="N4970" s="43">
        <f>IF($I4970=0,0,MIN(SUMIFS(SondBetrag,SondDarl,11,SondDatum,"&gt;="&amp;$E4970,SondDatum,"&lt;="&amp;EOMONTH($E4970,0)),$J4970-$M4970))</f>
      </c>
      <c r="O4970" s="43">
        <f>IF($I4970=0,0,INDEX(DarlErsatzRate,11))</f>
      </c>
      <c r="P4970" s="43">
        <f>IF($I4970=0,0,$Q4969*INDEX(DarlErsatzZins,11))</f>
      </c>
      <c r="Q4970" s="43">
        <f>IF($I4970=0,0,$Q4969+$P4970+$O4970)</f>
      </c>
      <c r="R4970" s="43">
        <f>IF($I4970=0,0,$J4970-$M4970-$N4970)</f>
      </c>
    </row>
    <row r="4971">
      <c r="A4971"/>
      <c r="B4971">
        <v>11</v>
      </c>
      <c r="C4971" s="43">
        <f>INDEX(DarlObj,11)</f>
      </c>
      <c r="D4971">
        <v>168</v>
      </c>
      <c r="E4971" s="51">
        <f>IF(INDEX(DarlBelegt,11)=0,0,EOMONTH(INDEX(DarlAuszahlung,11),167)+1)</f>
      </c>
      <c r="F4971" s="43">
        <f>IF($E4971=0,0,YEAR($E4971))</f>
      </c>
      <c r="G4971" s="43">
        <f>IF(INDEX(DarlBindung,11)="",1,IF($E4971&lt;=INDEX(DarlBindung,11),1,0))</f>
      </c>
      <c r="H4971" s="43">
        <f>IF($G4971=1,INDEX(DarlSollzins,11),INDEX(DarlAnschluss,11))</f>
      </c>
      <c r="I4971" s="43">
        <f>IF(INDEX(DarlBelegt,11)=0,0,IF(INDEX(DarlOhneTilgung,11)=1,IF(INDEX(DarlBindung,11)="",1,$G4971),IF($J4971&gt;0.005,1,0)))</f>
      </c>
      <c r="J4971" s="43">
        <f>IF($I4970=0,0,$R4970)</f>
      </c>
      <c r="K4971" s="43">
        <f>IF($I4971=0,0,IF(INDEX(DarlOhneTilgung,11)=1,0,IF(AND(INDEX(DarlTilgStart,11)&gt;0,$E4971=INDEX(DarlTilgStart,11)),$J4971*($H4971+INDEX(DarlTilgung,11))/100/12,IF(AND($G4971=0,$G4970=1),MAX($K4970,$J4971*($H4971+1)/100/12),$K4970))))</f>
      </c>
      <c r="L4971" s="43">
        <f>IF($I4971=0,0,$J4971*$H4971/100/12)</f>
      </c>
      <c r="M4971" s="43">
        <f>IF($I4971=0,0,IF(OR(INDEX(DarlOhneTilgung,11)=1,AND(INDEX(DarlTilgStart,11)&gt;0,$E4971&lt;INDEX(DarlTilgStart,11))),0,MIN(MAX(0,$K4971-$L4971),$J4971)))</f>
      </c>
      <c r="N4971" s="43">
        <f>IF($I4971=0,0,MIN(SUMIFS(SondBetrag,SondDarl,11,SondDatum,"&gt;="&amp;$E4971,SondDatum,"&lt;="&amp;EOMONTH($E4971,0)),$J4971-$M4971))</f>
      </c>
      <c r="O4971" s="43">
        <f>IF($I4971=0,0,INDEX(DarlErsatzRate,11))</f>
      </c>
      <c r="P4971" s="43">
        <f>IF($I4971=0,0,$Q4970*INDEX(DarlErsatzZins,11))</f>
      </c>
      <c r="Q4971" s="43">
        <f>IF($I4971=0,0,$Q4970+$P4971+$O4971)</f>
      </c>
      <c r="R4971" s="43">
        <f>IF($I4971=0,0,$J4971-$M4971-$N4971)</f>
      </c>
    </row>
    <row r="4972">
      <c r="A4972"/>
      <c r="B4972">
        <v>11</v>
      </c>
      <c r="C4972" s="43">
        <f>INDEX(DarlObj,11)</f>
      </c>
      <c r="D4972">
        <v>169</v>
      </c>
      <c r="E4972" s="51">
        <f>IF(INDEX(DarlBelegt,11)=0,0,EOMONTH(INDEX(DarlAuszahlung,11),168)+1)</f>
      </c>
      <c r="F4972" s="43">
        <f>IF($E4972=0,0,YEAR($E4972))</f>
      </c>
      <c r="G4972" s="43">
        <f>IF(INDEX(DarlBindung,11)="",1,IF($E4972&lt;=INDEX(DarlBindung,11),1,0))</f>
      </c>
      <c r="H4972" s="43">
        <f>IF($G4972=1,INDEX(DarlSollzins,11),INDEX(DarlAnschluss,11))</f>
      </c>
      <c r="I4972" s="43">
        <f>IF(INDEX(DarlBelegt,11)=0,0,IF(INDEX(DarlOhneTilgung,11)=1,IF(INDEX(DarlBindung,11)="",1,$G4972),IF($J4972&gt;0.005,1,0)))</f>
      </c>
      <c r="J4972" s="43">
        <f>IF($I4971=0,0,$R4971)</f>
      </c>
      <c r="K4972" s="43">
        <f>IF($I4972=0,0,IF(INDEX(DarlOhneTilgung,11)=1,0,IF(AND(INDEX(DarlTilgStart,11)&gt;0,$E4972=INDEX(DarlTilgStart,11)),$J4972*($H4972+INDEX(DarlTilgung,11))/100/12,IF(AND($G4972=0,$G4971=1),MAX($K4971,$J4972*($H4972+1)/100/12),$K4971))))</f>
      </c>
      <c r="L4972" s="43">
        <f>IF($I4972=0,0,$J4972*$H4972/100/12)</f>
      </c>
      <c r="M4972" s="43">
        <f>IF($I4972=0,0,IF(OR(INDEX(DarlOhneTilgung,11)=1,AND(INDEX(DarlTilgStart,11)&gt;0,$E4972&lt;INDEX(DarlTilgStart,11))),0,MIN(MAX(0,$K4972-$L4972),$J4972)))</f>
      </c>
      <c r="N4972" s="43">
        <f>IF($I4972=0,0,MIN(SUMIFS(SondBetrag,SondDarl,11,SondDatum,"&gt;="&amp;$E4972,SondDatum,"&lt;="&amp;EOMONTH($E4972,0)),$J4972-$M4972))</f>
      </c>
      <c r="O4972" s="43">
        <f>IF($I4972=0,0,INDEX(DarlErsatzRate,11))</f>
      </c>
      <c r="P4972" s="43">
        <f>IF($I4972=0,0,$Q4971*INDEX(DarlErsatzZins,11))</f>
      </c>
      <c r="Q4972" s="43">
        <f>IF($I4972=0,0,$Q4971+$P4972+$O4972)</f>
      </c>
      <c r="R4972" s="43">
        <f>IF($I4972=0,0,$J4972-$M4972-$N4972)</f>
      </c>
    </row>
    <row r="4973">
      <c r="A4973"/>
      <c r="B4973">
        <v>11</v>
      </c>
      <c r="C4973" s="43">
        <f>INDEX(DarlObj,11)</f>
      </c>
      <c r="D4973">
        <v>170</v>
      </c>
      <c r="E4973" s="51">
        <f>IF(INDEX(DarlBelegt,11)=0,0,EOMONTH(INDEX(DarlAuszahlung,11),169)+1)</f>
      </c>
      <c r="F4973" s="43">
        <f>IF($E4973=0,0,YEAR($E4973))</f>
      </c>
      <c r="G4973" s="43">
        <f>IF(INDEX(DarlBindung,11)="",1,IF($E4973&lt;=INDEX(DarlBindung,11),1,0))</f>
      </c>
      <c r="H4973" s="43">
        <f>IF($G4973=1,INDEX(DarlSollzins,11),INDEX(DarlAnschluss,11))</f>
      </c>
      <c r="I4973" s="43">
        <f>IF(INDEX(DarlBelegt,11)=0,0,IF(INDEX(DarlOhneTilgung,11)=1,IF(INDEX(DarlBindung,11)="",1,$G4973),IF($J4973&gt;0.005,1,0)))</f>
      </c>
      <c r="J4973" s="43">
        <f>IF($I4972=0,0,$R4972)</f>
      </c>
      <c r="K4973" s="43">
        <f>IF($I4973=0,0,IF(INDEX(DarlOhneTilgung,11)=1,0,IF(AND(INDEX(DarlTilgStart,11)&gt;0,$E4973=INDEX(DarlTilgStart,11)),$J4973*($H4973+INDEX(DarlTilgung,11))/100/12,IF(AND($G4973=0,$G4972=1),MAX($K4972,$J4973*($H4973+1)/100/12),$K4972))))</f>
      </c>
      <c r="L4973" s="43">
        <f>IF($I4973=0,0,$J4973*$H4973/100/12)</f>
      </c>
      <c r="M4973" s="43">
        <f>IF($I4973=0,0,IF(OR(INDEX(DarlOhneTilgung,11)=1,AND(INDEX(DarlTilgStart,11)&gt;0,$E4973&lt;INDEX(DarlTilgStart,11))),0,MIN(MAX(0,$K4973-$L4973),$J4973)))</f>
      </c>
      <c r="N4973" s="43">
        <f>IF($I4973=0,0,MIN(SUMIFS(SondBetrag,SondDarl,11,SondDatum,"&gt;="&amp;$E4973,SondDatum,"&lt;="&amp;EOMONTH($E4973,0)),$J4973-$M4973))</f>
      </c>
      <c r="O4973" s="43">
        <f>IF($I4973=0,0,INDEX(DarlErsatzRate,11))</f>
      </c>
      <c r="P4973" s="43">
        <f>IF($I4973=0,0,$Q4972*INDEX(DarlErsatzZins,11))</f>
      </c>
      <c r="Q4973" s="43">
        <f>IF($I4973=0,0,$Q4972+$P4973+$O4973)</f>
      </c>
      <c r="R4973" s="43">
        <f>IF($I4973=0,0,$J4973-$M4973-$N4973)</f>
      </c>
    </row>
    <row r="4974">
      <c r="A4974"/>
      <c r="B4974">
        <v>11</v>
      </c>
      <c r="C4974" s="43">
        <f>INDEX(DarlObj,11)</f>
      </c>
      <c r="D4974">
        <v>171</v>
      </c>
      <c r="E4974" s="51">
        <f>IF(INDEX(DarlBelegt,11)=0,0,EOMONTH(INDEX(DarlAuszahlung,11),170)+1)</f>
      </c>
      <c r="F4974" s="43">
        <f>IF($E4974=0,0,YEAR($E4974))</f>
      </c>
      <c r="G4974" s="43">
        <f>IF(INDEX(DarlBindung,11)="",1,IF($E4974&lt;=INDEX(DarlBindung,11),1,0))</f>
      </c>
      <c r="H4974" s="43">
        <f>IF($G4974=1,INDEX(DarlSollzins,11),INDEX(DarlAnschluss,11))</f>
      </c>
      <c r="I4974" s="43">
        <f>IF(INDEX(DarlBelegt,11)=0,0,IF(INDEX(DarlOhneTilgung,11)=1,IF(INDEX(DarlBindung,11)="",1,$G4974),IF($J4974&gt;0.005,1,0)))</f>
      </c>
      <c r="J4974" s="43">
        <f>IF($I4973=0,0,$R4973)</f>
      </c>
      <c r="K4974" s="43">
        <f>IF($I4974=0,0,IF(INDEX(DarlOhneTilgung,11)=1,0,IF(AND(INDEX(DarlTilgStart,11)&gt;0,$E4974=INDEX(DarlTilgStart,11)),$J4974*($H4974+INDEX(DarlTilgung,11))/100/12,IF(AND($G4974=0,$G4973=1),MAX($K4973,$J4974*($H4974+1)/100/12),$K4973))))</f>
      </c>
      <c r="L4974" s="43">
        <f>IF($I4974=0,0,$J4974*$H4974/100/12)</f>
      </c>
      <c r="M4974" s="43">
        <f>IF($I4974=0,0,IF(OR(INDEX(DarlOhneTilgung,11)=1,AND(INDEX(DarlTilgStart,11)&gt;0,$E4974&lt;INDEX(DarlTilgStart,11))),0,MIN(MAX(0,$K4974-$L4974),$J4974)))</f>
      </c>
      <c r="N4974" s="43">
        <f>IF($I4974=0,0,MIN(SUMIFS(SondBetrag,SondDarl,11,SondDatum,"&gt;="&amp;$E4974,SondDatum,"&lt;="&amp;EOMONTH($E4974,0)),$J4974-$M4974))</f>
      </c>
      <c r="O4974" s="43">
        <f>IF($I4974=0,0,INDEX(DarlErsatzRate,11))</f>
      </c>
      <c r="P4974" s="43">
        <f>IF($I4974=0,0,$Q4973*INDEX(DarlErsatzZins,11))</f>
      </c>
      <c r="Q4974" s="43">
        <f>IF($I4974=0,0,$Q4973+$P4974+$O4974)</f>
      </c>
      <c r="R4974" s="43">
        <f>IF($I4974=0,0,$J4974-$M4974-$N4974)</f>
      </c>
    </row>
    <row r="4975">
      <c r="A4975"/>
      <c r="B4975">
        <v>11</v>
      </c>
      <c r="C4975" s="43">
        <f>INDEX(DarlObj,11)</f>
      </c>
      <c r="D4975">
        <v>172</v>
      </c>
      <c r="E4975" s="51">
        <f>IF(INDEX(DarlBelegt,11)=0,0,EOMONTH(INDEX(DarlAuszahlung,11),171)+1)</f>
      </c>
      <c r="F4975" s="43">
        <f>IF($E4975=0,0,YEAR($E4975))</f>
      </c>
      <c r="G4975" s="43">
        <f>IF(INDEX(DarlBindung,11)="",1,IF($E4975&lt;=INDEX(DarlBindung,11),1,0))</f>
      </c>
      <c r="H4975" s="43">
        <f>IF($G4975=1,INDEX(DarlSollzins,11),INDEX(DarlAnschluss,11))</f>
      </c>
      <c r="I4975" s="43">
        <f>IF(INDEX(DarlBelegt,11)=0,0,IF(INDEX(DarlOhneTilgung,11)=1,IF(INDEX(DarlBindung,11)="",1,$G4975),IF($J4975&gt;0.005,1,0)))</f>
      </c>
      <c r="J4975" s="43">
        <f>IF($I4974=0,0,$R4974)</f>
      </c>
      <c r="K4975" s="43">
        <f>IF($I4975=0,0,IF(INDEX(DarlOhneTilgung,11)=1,0,IF(AND(INDEX(DarlTilgStart,11)&gt;0,$E4975=INDEX(DarlTilgStart,11)),$J4975*($H4975+INDEX(DarlTilgung,11))/100/12,IF(AND($G4975=0,$G4974=1),MAX($K4974,$J4975*($H4975+1)/100/12),$K4974))))</f>
      </c>
      <c r="L4975" s="43">
        <f>IF($I4975=0,0,$J4975*$H4975/100/12)</f>
      </c>
      <c r="M4975" s="43">
        <f>IF($I4975=0,0,IF(OR(INDEX(DarlOhneTilgung,11)=1,AND(INDEX(DarlTilgStart,11)&gt;0,$E4975&lt;INDEX(DarlTilgStart,11))),0,MIN(MAX(0,$K4975-$L4975),$J4975)))</f>
      </c>
      <c r="N4975" s="43">
        <f>IF($I4975=0,0,MIN(SUMIFS(SondBetrag,SondDarl,11,SondDatum,"&gt;="&amp;$E4975,SondDatum,"&lt;="&amp;EOMONTH($E4975,0)),$J4975-$M4975))</f>
      </c>
      <c r="O4975" s="43">
        <f>IF($I4975=0,0,INDEX(DarlErsatzRate,11))</f>
      </c>
      <c r="P4975" s="43">
        <f>IF($I4975=0,0,$Q4974*INDEX(DarlErsatzZins,11))</f>
      </c>
      <c r="Q4975" s="43">
        <f>IF($I4975=0,0,$Q4974+$P4975+$O4975)</f>
      </c>
      <c r="R4975" s="43">
        <f>IF($I4975=0,0,$J4975-$M4975-$N4975)</f>
      </c>
    </row>
    <row r="4976">
      <c r="A4976"/>
      <c r="B4976">
        <v>11</v>
      </c>
      <c r="C4976" s="43">
        <f>INDEX(DarlObj,11)</f>
      </c>
      <c r="D4976">
        <v>173</v>
      </c>
      <c r="E4976" s="51">
        <f>IF(INDEX(DarlBelegt,11)=0,0,EOMONTH(INDEX(DarlAuszahlung,11),172)+1)</f>
      </c>
      <c r="F4976" s="43">
        <f>IF($E4976=0,0,YEAR($E4976))</f>
      </c>
      <c r="G4976" s="43">
        <f>IF(INDEX(DarlBindung,11)="",1,IF($E4976&lt;=INDEX(DarlBindung,11),1,0))</f>
      </c>
      <c r="H4976" s="43">
        <f>IF($G4976=1,INDEX(DarlSollzins,11),INDEX(DarlAnschluss,11))</f>
      </c>
      <c r="I4976" s="43">
        <f>IF(INDEX(DarlBelegt,11)=0,0,IF(INDEX(DarlOhneTilgung,11)=1,IF(INDEX(DarlBindung,11)="",1,$G4976),IF($J4976&gt;0.005,1,0)))</f>
      </c>
      <c r="J4976" s="43">
        <f>IF($I4975=0,0,$R4975)</f>
      </c>
      <c r="K4976" s="43">
        <f>IF($I4976=0,0,IF(INDEX(DarlOhneTilgung,11)=1,0,IF(AND(INDEX(DarlTilgStart,11)&gt;0,$E4976=INDEX(DarlTilgStart,11)),$J4976*($H4976+INDEX(DarlTilgung,11))/100/12,IF(AND($G4976=0,$G4975=1),MAX($K4975,$J4976*($H4976+1)/100/12),$K4975))))</f>
      </c>
      <c r="L4976" s="43">
        <f>IF($I4976=0,0,$J4976*$H4976/100/12)</f>
      </c>
      <c r="M4976" s="43">
        <f>IF($I4976=0,0,IF(OR(INDEX(DarlOhneTilgung,11)=1,AND(INDEX(DarlTilgStart,11)&gt;0,$E4976&lt;INDEX(DarlTilgStart,11))),0,MIN(MAX(0,$K4976-$L4976),$J4976)))</f>
      </c>
      <c r="N4976" s="43">
        <f>IF($I4976=0,0,MIN(SUMIFS(SondBetrag,SondDarl,11,SondDatum,"&gt;="&amp;$E4976,SondDatum,"&lt;="&amp;EOMONTH($E4976,0)),$J4976-$M4976))</f>
      </c>
      <c r="O4976" s="43">
        <f>IF($I4976=0,0,INDEX(DarlErsatzRate,11))</f>
      </c>
      <c r="P4976" s="43">
        <f>IF($I4976=0,0,$Q4975*INDEX(DarlErsatzZins,11))</f>
      </c>
      <c r="Q4976" s="43">
        <f>IF($I4976=0,0,$Q4975+$P4976+$O4976)</f>
      </c>
      <c r="R4976" s="43">
        <f>IF($I4976=0,0,$J4976-$M4976-$N4976)</f>
      </c>
    </row>
    <row r="4977">
      <c r="A4977"/>
      <c r="B4977">
        <v>11</v>
      </c>
      <c r="C4977" s="43">
        <f>INDEX(DarlObj,11)</f>
      </c>
      <c r="D4977">
        <v>174</v>
      </c>
      <c r="E4977" s="51">
        <f>IF(INDEX(DarlBelegt,11)=0,0,EOMONTH(INDEX(DarlAuszahlung,11),173)+1)</f>
      </c>
      <c r="F4977" s="43">
        <f>IF($E4977=0,0,YEAR($E4977))</f>
      </c>
      <c r="G4977" s="43">
        <f>IF(INDEX(DarlBindung,11)="",1,IF($E4977&lt;=INDEX(DarlBindung,11),1,0))</f>
      </c>
      <c r="H4977" s="43">
        <f>IF($G4977=1,INDEX(DarlSollzins,11),INDEX(DarlAnschluss,11))</f>
      </c>
      <c r="I4977" s="43">
        <f>IF(INDEX(DarlBelegt,11)=0,0,IF(INDEX(DarlOhneTilgung,11)=1,IF(INDEX(DarlBindung,11)="",1,$G4977),IF($J4977&gt;0.005,1,0)))</f>
      </c>
      <c r="J4977" s="43">
        <f>IF($I4976=0,0,$R4976)</f>
      </c>
      <c r="K4977" s="43">
        <f>IF($I4977=0,0,IF(INDEX(DarlOhneTilgung,11)=1,0,IF(AND(INDEX(DarlTilgStart,11)&gt;0,$E4977=INDEX(DarlTilgStart,11)),$J4977*($H4977+INDEX(DarlTilgung,11))/100/12,IF(AND($G4977=0,$G4976=1),MAX($K4976,$J4977*($H4977+1)/100/12),$K4976))))</f>
      </c>
      <c r="L4977" s="43">
        <f>IF($I4977=0,0,$J4977*$H4977/100/12)</f>
      </c>
      <c r="M4977" s="43">
        <f>IF($I4977=0,0,IF(OR(INDEX(DarlOhneTilgung,11)=1,AND(INDEX(DarlTilgStart,11)&gt;0,$E4977&lt;INDEX(DarlTilgStart,11))),0,MIN(MAX(0,$K4977-$L4977),$J4977)))</f>
      </c>
      <c r="N4977" s="43">
        <f>IF($I4977=0,0,MIN(SUMIFS(SondBetrag,SondDarl,11,SondDatum,"&gt;="&amp;$E4977,SondDatum,"&lt;="&amp;EOMONTH($E4977,0)),$J4977-$M4977))</f>
      </c>
      <c r="O4977" s="43">
        <f>IF($I4977=0,0,INDEX(DarlErsatzRate,11))</f>
      </c>
      <c r="P4977" s="43">
        <f>IF($I4977=0,0,$Q4976*INDEX(DarlErsatzZins,11))</f>
      </c>
      <c r="Q4977" s="43">
        <f>IF($I4977=0,0,$Q4976+$P4977+$O4977)</f>
      </c>
      <c r="R4977" s="43">
        <f>IF($I4977=0,0,$J4977-$M4977-$N4977)</f>
      </c>
    </row>
    <row r="4978">
      <c r="A4978"/>
      <c r="B4978">
        <v>11</v>
      </c>
      <c r="C4978" s="43">
        <f>INDEX(DarlObj,11)</f>
      </c>
      <c r="D4978">
        <v>175</v>
      </c>
      <c r="E4978" s="51">
        <f>IF(INDEX(DarlBelegt,11)=0,0,EOMONTH(INDEX(DarlAuszahlung,11),174)+1)</f>
      </c>
      <c r="F4978" s="43">
        <f>IF($E4978=0,0,YEAR($E4978))</f>
      </c>
      <c r="G4978" s="43">
        <f>IF(INDEX(DarlBindung,11)="",1,IF($E4978&lt;=INDEX(DarlBindung,11),1,0))</f>
      </c>
      <c r="H4978" s="43">
        <f>IF($G4978=1,INDEX(DarlSollzins,11),INDEX(DarlAnschluss,11))</f>
      </c>
      <c r="I4978" s="43">
        <f>IF(INDEX(DarlBelegt,11)=0,0,IF(INDEX(DarlOhneTilgung,11)=1,IF(INDEX(DarlBindung,11)="",1,$G4978),IF($J4978&gt;0.005,1,0)))</f>
      </c>
      <c r="J4978" s="43">
        <f>IF($I4977=0,0,$R4977)</f>
      </c>
      <c r="K4978" s="43">
        <f>IF($I4978=0,0,IF(INDEX(DarlOhneTilgung,11)=1,0,IF(AND(INDEX(DarlTilgStart,11)&gt;0,$E4978=INDEX(DarlTilgStart,11)),$J4978*($H4978+INDEX(DarlTilgung,11))/100/12,IF(AND($G4978=0,$G4977=1),MAX($K4977,$J4978*($H4978+1)/100/12),$K4977))))</f>
      </c>
      <c r="L4978" s="43">
        <f>IF($I4978=0,0,$J4978*$H4978/100/12)</f>
      </c>
      <c r="M4978" s="43">
        <f>IF($I4978=0,0,IF(OR(INDEX(DarlOhneTilgung,11)=1,AND(INDEX(DarlTilgStart,11)&gt;0,$E4978&lt;INDEX(DarlTilgStart,11))),0,MIN(MAX(0,$K4978-$L4978),$J4978)))</f>
      </c>
      <c r="N4978" s="43">
        <f>IF($I4978=0,0,MIN(SUMIFS(SondBetrag,SondDarl,11,SondDatum,"&gt;="&amp;$E4978,SondDatum,"&lt;="&amp;EOMONTH($E4978,0)),$J4978-$M4978))</f>
      </c>
      <c r="O4978" s="43">
        <f>IF($I4978=0,0,INDEX(DarlErsatzRate,11))</f>
      </c>
      <c r="P4978" s="43">
        <f>IF($I4978=0,0,$Q4977*INDEX(DarlErsatzZins,11))</f>
      </c>
      <c r="Q4978" s="43">
        <f>IF($I4978=0,0,$Q4977+$P4978+$O4978)</f>
      </c>
      <c r="R4978" s="43">
        <f>IF($I4978=0,0,$J4978-$M4978-$N4978)</f>
      </c>
    </row>
    <row r="4979">
      <c r="A4979"/>
      <c r="B4979">
        <v>11</v>
      </c>
      <c r="C4979" s="43">
        <f>INDEX(DarlObj,11)</f>
      </c>
      <c r="D4979">
        <v>176</v>
      </c>
      <c r="E4979" s="51">
        <f>IF(INDEX(DarlBelegt,11)=0,0,EOMONTH(INDEX(DarlAuszahlung,11),175)+1)</f>
      </c>
      <c r="F4979" s="43">
        <f>IF($E4979=0,0,YEAR($E4979))</f>
      </c>
      <c r="G4979" s="43">
        <f>IF(INDEX(DarlBindung,11)="",1,IF($E4979&lt;=INDEX(DarlBindung,11),1,0))</f>
      </c>
      <c r="H4979" s="43">
        <f>IF($G4979=1,INDEX(DarlSollzins,11),INDEX(DarlAnschluss,11))</f>
      </c>
      <c r="I4979" s="43">
        <f>IF(INDEX(DarlBelegt,11)=0,0,IF(INDEX(DarlOhneTilgung,11)=1,IF(INDEX(DarlBindung,11)="",1,$G4979),IF($J4979&gt;0.005,1,0)))</f>
      </c>
      <c r="J4979" s="43">
        <f>IF($I4978=0,0,$R4978)</f>
      </c>
      <c r="K4979" s="43">
        <f>IF($I4979=0,0,IF(INDEX(DarlOhneTilgung,11)=1,0,IF(AND(INDEX(DarlTilgStart,11)&gt;0,$E4979=INDEX(DarlTilgStart,11)),$J4979*($H4979+INDEX(DarlTilgung,11))/100/12,IF(AND($G4979=0,$G4978=1),MAX($K4978,$J4979*($H4979+1)/100/12),$K4978))))</f>
      </c>
      <c r="L4979" s="43">
        <f>IF($I4979=0,0,$J4979*$H4979/100/12)</f>
      </c>
      <c r="M4979" s="43">
        <f>IF($I4979=0,0,IF(OR(INDEX(DarlOhneTilgung,11)=1,AND(INDEX(DarlTilgStart,11)&gt;0,$E4979&lt;INDEX(DarlTilgStart,11))),0,MIN(MAX(0,$K4979-$L4979),$J4979)))</f>
      </c>
      <c r="N4979" s="43">
        <f>IF($I4979=0,0,MIN(SUMIFS(SondBetrag,SondDarl,11,SondDatum,"&gt;="&amp;$E4979,SondDatum,"&lt;="&amp;EOMONTH($E4979,0)),$J4979-$M4979))</f>
      </c>
      <c r="O4979" s="43">
        <f>IF($I4979=0,0,INDEX(DarlErsatzRate,11))</f>
      </c>
      <c r="P4979" s="43">
        <f>IF($I4979=0,0,$Q4978*INDEX(DarlErsatzZins,11))</f>
      </c>
      <c r="Q4979" s="43">
        <f>IF($I4979=0,0,$Q4978+$P4979+$O4979)</f>
      </c>
      <c r="R4979" s="43">
        <f>IF($I4979=0,0,$J4979-$M4979-$N4979)</f>
      </c>
    </row>
    <row r="4980">
      <c r="A4980"/>
      <c r="B4980">
        <v>11</v>
      </c>
      <c r="C4980" s="43">
        <f>INDEX(DarlObj,11)</f>
      </c>
      <c r="D4980">
        <v>177</v>
      </c>
      <c r="E4980" s="51">
        <f>IF(INDEX(DarlBelegt,11)=0,0,EOMONTH(INDEX(DarlAuszahlung,11),176)+1)</f>
      </c>
      <c r="F4980" s="43">
        <f>IF($E4980=0,0,YEAR($E4980))</f>
      </c>
      <c r="G4980" s="43">
        <f>IF(INDEX(DarlBindung,11)="",1,IF($E4980&lt;=INDEX(DarlBindung,11),1,0))</f>
      </c>
      <c r="H4980" s="43">
        <f>IF($G4980=1,INDEX(DarlSollzins,11),INDEX(DarlAnschluss,11))</f>
      </c>
      <c r="I4980" s="43">
        <f>IF(INDEX(DarlBelegt,11)=0,0,IF(INDEX(DarlOhneTilgung,11)=1,IF(INDEX(DarlBindung,11)="",1,$G4980),IF($J4980&gt;0.005,1,0)))</f>
      </c>
      <c r="J4980" s="43">
        <f>IF($I4979=0,0,$R4979)</f>
      </c>
      <c r="K4980" s="43">
        <f>IF($I4980=0,0,IF(INDEX(DarlOhneTilgung,11)=1,0,IF(AND(INDEX(DarlTilgStart,11)&gt;0,$E4980=INDEX(DarlTilgStart,11)),$J4980*($H4980+INDEX(DarlTilgung,11))/100/12,IF(AND($G4980=0,$G4979=1),MAX($K4979,$J4980*($H4980+1)/100/12),$K4979))))</f>
      </c>
      <c r="L4980" s="43">
        <f>IF($I4980=0,0,$J4980*$H4980/100/12)</f>
      </c>
      <c r="M4980" s="43">
        <f>IF($I4980=0,0,IF(OR(INDEX(DarlOhneTilgung,11)=1,AND(INDEX(DarlTilgStart,11)&gt;0,$E4980&lt;INDEX(DarlTilgStart,11))),0,MIN(MAX(0,$K4980-$L4980),$J4980)))</f>
      </c>
      <c r="N4980" s="43">
        <f>IF($I4980=0,0,MIN(SUMIFS(SondBetrag,SondDarl,11,SondDatum,"&gt;="&amp;$E4980,SondDatum,"&lt;="&amp;EOMONTH($E4980,0)),$J4980-$M4980))</f>
      </c>
      <c r="O4980" s="43">
        <f>IF($I4980=0,0,INDEX(DarlErsatzRate,11))</f>
      </c>
      <c r="P4980" s="43">
        <f>IF($I4980=0,0,$Q4979*INDEX(DarlErsatzZins,11))</f>
      </c>
      <c r="Q4980" s="43">
        <f>IF($I4980=0,0,$Q4979+$P4980+$O4980)</f>
      </c>
      <c r="R4980" s="43">
        <f>IF($I4980=0,0,$J4980-$M4980-$N4980)</f>
      </c>
    </row>
    <row r="4981">
      <c r="A4981"/>
      <c r="B4981">
        <v>11</v>
      </c>
      <c r="C4981" s="43">
        <f>INDEX(DarlObj,11)</f>
      </c>
      <c r="D4981">
        <v>178</v>
      </c>
      <c r="E4981" s="51">
        <f>IF(INDEX(DarlBelegt,11)=0,0,EOMONTH(INDEX(DarlAuszahlung,11),177)+1)</f>
      </c>
      <c r="F4981" s="43">
        <f>IF($E4981=0,0,YEAR($E4981))</f>
      </c>
      <c r="G4981" s="43">
        <f>IF(INDEX(DarlBindung,11)="",1,IF($E4981&lt;=INDEX(DarlBindung,11),1,0))</f>
      </c>
      <c r="H4981" s="43">
        <f>IF($G4981=1,INDEX(DarlSollzins,11),INDEX(DarlAnschluss,11))</f>
      </c>
      <c r="I4981" s="43">
        <f>IF(INDEX(DarlBelegt,11)=0,0,IF(INDEX(DarlOhneTilgung,11)=1,IF(INDEX(DarlBindung,11)="",1,$G4981),IF($J4981&gt;0.005,1,0)))</f>
      </c>
      <c r="J4981" s="43">
        <f>IF($I4980=0,0,$R4980)</f>
      </c>
      <c r="K4981" s="43">
        <f>IF($I4981=0,0,IF(INDEX(DarlOhneTilgung,11)=1,0,IF(AND(INDEX(DarlTilgStart,11)&gt;0,$E4981=INDEX(DarlTilgStart,11)),$J4981*($H4981+INDEX(DarlTilgung,11))/100/12,IF(AND($G4981=0,$G4980=1),MAX($K4980,$J4981*($H4981+1)/100/12),$K4980))))</f>
      </c>
      <c r="L4981" s="43">
        <f>IF($I4981=0,0,$J4981*$H4981/100/12)</f>
      </c>
      <c r="M4981" s="43">
        <f>IF($I4981=0,0,IF(OR(INDEX(DarlOhneTilgung,11)=1,AND(INDEX(DarlTilgStart,11)&gt;0,$E4981&lt;INDEX(DarlTilgStart,11))),0,MIN(MAX(0,$K4981-$L4981),$J4981)))</f>
      </c>
      <c r="N4981" s="43">
        <f>IF($I4981=0,0,MIN(SUMIFS(SondBetrag,SondDarl,11,SondDatum,"&gt;="&amp;$E4981,SondDatum,"&lt;="&amp;EOMONTH($E4981,0)),$J4981-$M4981))</f>
      </c>
      <c r="O4981" s="43">
        <f>IF($I4981=0,0,INDEX(DarlErsatzRate,11))</f>
      </c>
      <c r="P4981" s="43">
        <f>IF($I4981=0,0,$Q4980*INDEX(DarlErsatzZins,11))</f>
      </c>
      <c r="Q4981" s="43">
        <f>IF($I4981=0,0,$Q4980+$P4981+$O4981)</f>
      </c>
      <c r="R4981" s="43">
        <f>IF($I4981=0,0,$J4981-$M4981-$N4981)</f>
      </c>
    </row>
    <row r="4982">
      <c r="A4982"/>
      <c r="B4982">
        <v>11</v>
      </c>
      <c r="C4982" s="43">
        <f>INDEX(DarlObj,11)</f>
      </c>
      <c r="D4982">
        <v>179</v>
      </c>
      <c r="E4982" s="51">
        <f>IF(INDEX(DarlBelegt,11)=0,0,EOMONTH(INDEX(DarlAuszahlung,11),178)+1)</f>
      </c>
      <c r="F4982" s="43">
        <f>IF($E4982=0,0,YEAR($E4982))</f>
      </c>
      <c r="G4982" s="43">
        <f>IF(INDEX(DarlBindung,11)="",1,IF($E4982&lt;=INDEX(DarlBindung,11),1,0))</f>
      </c>
      <c r="H4982" s="43">
        <f>IF($G4982=1,INDEX(DarlSollzins,11),INDEX(DarlAnschluss,11))</f>
      </c>
      <c r="I4982" s="43">
        <f>IF(INDEX(DarlBelegt,11)=0,0,IF(INDEX(DarlOhneTilgung,11)=1,IF(INDEX(DarlBindung,11)="",1,$G4982),IF($J4982&gt;0.005,1,0)))</f>
      </c>
      <c r="J4982" s="43">
        <f>IF($I4981=0,0,$R4981)</f>
      </c>
      <c r="K4982" s="43">
        <f>IF($I4982=0,0,IF(INDEX(DarlOhneTilgung,11)=1,0,IF(AND(INDEX(DarlTilgStart,11)&gt;0,$E4982=INDEX(DarlTilgStart,11)),$J4982*($H4982+INDEX(DarlTilgung,11))/100/12,IF(AND($G4982=0,$G4981=1),MAX($K4981,$J4982*($H4982+1)/100/12),$K4981))))</f>
      </c>
      <c r="L4982" s="43">
        <f>IF($I4982=0,0,$J4982*$H4982/100/12)</f>
      </c>
      <c r="M4982" s="43">
        <f>IF($I4982=0,0,IF(OR(INDEX(DarlOhneTilgung,11)=1,AND(INDEX(DarlTilgStart,11)&gt;0,$E4982&lt;INDEX(DarlTilgStart,11))),0,MIN(MAX(0,$K4982-$L4982),$J4982)))</f>
      </c>
      <c r="N4982" s="43">
        <f>IF($I4982=0,0,MIN(SUMIFS(SondBetrag,SondDarl,11,SondDatum,"&gt;="&amp;$E4982,SondDatum,"&lt;="&amp;EOMONTH($E4982,0)),$J4982-$M4982))</f>
      </c>
      <c r="O4982" s="43">
        <f>IF($I4982=0,0,INDEX(DarlErsatzRate,11))</f>
      </c>
      <c r="P4982" s="43">
        <f>IF($I4982=0,0,$Q4981*INDEX(DarlErsatzZins,11))</f>
      </c>
      <c r="Q4982" s="43">
        <f>IF($I4982=0,0,$Q4981+$P4982+$O4982)</f>
      </c>
      <c r="R4982" s="43">
        <f>IF($I4982=0,0,$J4982-$M4982-$N4982)</f>
      </c>
    </row>
    <row r="4983">
      <c r="A4983"/>
      <c r="B4983">
        <v>11</v>
      </c>
      <c r="C4983" s="43">
        <f>INDEX(DarlObj,11)</f>
      </c>
      <c r="D4983">
        <v>180</v>
      </c>
      <c r="E4983" s="51">
        <f>IF(INDEX(DarlBelegt,11)=0,0,EOMONTH(INDEX(DarlAuszahlung,11),179)+1)</f>
      </c>
      <c r="F4983" s="43">
        <f>IF($E4983=0,0,YEAR($E4983))</f>
      </c>
      <c r="G4983" s="43">
        <f>IF(INDEX(DarlBindung,11)="",1,IF($E4983&lt;=INDEX(DarlBindung,11),1,0))</f>
      </c>
      <c r="H4983" s="43">
        <f>IF($G4983=1,INDEX(DarlSollzins,11),INDEX(DarlAnschluss,11))</f>
      </c>
      <c r="I4983" s="43">
        <f>IF(INDEX(DarlBelegt,11)=0,0,IF(INDEX(DarlOhneTilgung,11)=1,IF(INDEX(DarlBindung,11)="",1,$G4983),IF($J4983&gt;0.005,1,0)))</f>
      </c>
      <c r="J4983" s="43">
        <f>IF($I4982=0,0,$R4982)</f>
      </c>
      <c r="K4983" s="43">
        <f>IF($I4983=0,0,IF(INDEX(DarlOhneTilgung,11)=1,0,IF(AND(INDEX(DarlTilgStart,11)&gt;0,$E4983=INDEX(DarlTilgStart,11)),$J4983*($H4983+INDEX(DarlTilgung,11))/100/12,IF(AND($G4983=0,$G4982=1),MAX($K4982,$J4983*($H4983+1)/100/12),$K4982))))</f>
      </c>
      <c r="L4983" s="43">
        <f>IF($I4983=0,0,$J4983*$H4983/100/12)</f>
      </c>
      <c r="M4983" s="43">
        <f>IF($I4983=0,0,IF(OR(INDEX(DarlOhneTilgung,11)=1,AND(INDEX(DarlTilgStart,11)&gt;0,$E4983&lt;INDEX(DarlTilgStart,11))),0,MIN(MAX(0,$K4983-$L4983),$J4983)))</f>
      </c>
      <c r="N4983" s="43">
        <f>IF($I4983=0,0,MIN(SUMIFS(SondBetrag,SondDarl,11,SondDatum,"&gt;="&amp;$E4983,SondDatum,"&lt;="&amp;EOMONTH($E4983,0)),$J4983-$M4983))</f>
      </c>
      <c r="O4983" s="43">
        <f>IF($I4983=0,0,INDEX(DarlErsatzRate,11))</f>
      </c>
      <c r="P4983" s="43">
        <f>IF($I4983=0,0,$Q4982*INDEX(DarlErsatzZins,11))</f>
      </c>
      <c r="Q4983" s="43">
        <f>IF($I4983=0,0,$Q4982+$P4983+$O4983)</f>
      </c>
      <c r="R4983" s="43">
        <f>IF($I4983=0,0,$J4983-$M4983-$N4983)</f>
      </c>
    </row>
    <row r="4984">
      <c r="A4984"/>
      <c r="B4984">
        <v>11</v>
      </c>
      <c r="C4984" s="43">
        <f>INDEX(DarlObj,11)</f>
      </c>
      <c r="D4984">
        <v>181</v>
      </c>
      <c r="E4984" s="51">
        <f>IF(INDEX(DarlBelegt,11)=0,0,EOMONTH(INDEX(DarlAuszahlung,11),180)+1)</f>
      </c>
      <c r="F4984" s="43">
        <f>IF($E4984=0,0,YEAR($E4984))</f>
      </c>
      <c r="G4984" s="43">
        <f>IF(INDEX(DarlBindung,11)="",1,IF($E4984&lt;=INDEX(DarlBindung,11),1,0))</f>
      </c>
      <c r="H4984" s="43">
        <f>IF($G4984=1,INDEX(DarlSollzins,11),INDEX(DarlAnschluss,11))</f>
      </c>
      <c r="I4984" s="43">
        <f>IF(INDEX(DarlBelegt,11)=0,0,IF(INDEX(DarlOhneTilgung,11)=1,IF(INDEX(DarlBindung,11)="",1,$G4984),IF($J4984&gt;0.005,1,0)))</f>
      </c>
      <c r="J4984" s="43">
        <f>IF($I4983=0,0,$R4983)</f>
      </c>
      <c r="K4984" s="43">
        <f>IF($I4984=0,0,IF(INDEX(DarlOhneTilgung,11)=1,0,IF(AND(INDEX(DarlTilgStart,11)&gt;0,$E4984=INDEX(DarlTilgStart,11)),$J4984*($H4984+INDEX(DarlTilgung,11))/100/12,IF(AND($G4984=0,$G4983=1),MAX($K4983,$J4984*($H4984+1)/100/12),$K4983))))</f>
      </c>
      <c r="L4984" s="43">
        <f>IF($I4984=0,0,$J4984*$H4984/100/12)</f>
      </c>
      <c r="M4984" s="43">
        <f>IF($I4984=0,0,IF(OR(INDEX(DarlOhneTilgung,11)=1,AND(INDEX(DarlTilgStart,11)&gt;0,$E4984&lt;INDEX(DarlTilgStart,11))),0,MIN(MAX(0,$K4984-$L4984),$J4984)))</f>
      </c>
      <c r="N4984" s="43">
        <f>IF($I4984=0,0,MIN(SUMIFS(SondBetrag,SondDarl,11,SondDatum,"&gt;="&amp;$E4984,SondDatum,"&lt;="&amp;EOMONTH($E4984,0)),$J4984-$M4984))</f>
      </c>
      <c r="O4984" s="43">
        <f>IF($I4984=0,0,INDEX(DarlErsatzRate,11))</f>
      </c>
      <c r="P4984" s="43">
        <f>IF($I4984=0,0,$Q4983*INDEX(DarlErsatzZins,11))</f>
      </c>
      <c r="Q4984" s="43">
        <f>IF($I4984=0,0,$Q4983+$P4984+$O4984)</f>
      </c>
      <c r="R4984" s="43">
        <f>IF($I4984=0,0,$J4984-$M4984-$N4984)</f>
      </c>
    </row>
    <row r="4985">
      <c r="A4985"/>
      <c r="B4985">
        <v>11</v>
      </c>
      <c r="C4985" s="43">
        <f>INDEX(DarlObj,11)</f>
      </c>
      <c r="D4985">
        <v>182</v>
      </c>
      <c r="E4985" s="51">
        <f>IF(INDEX(DarlBelegt,11)=0,0,EOMONTH(INDEX(DarlAuszahlung,11),181)+1)</f>
      </c>
      <c r="F4985" s="43">
        <f>IF($E4985=0,0,YEAR($E4985))</f>
      </c>
      <c r="G4985" s="43">
        <f>IF(INDEX(DarlBindung,11)="",1,IF($E4985&lt;=INDEX(DarlBindung,11),1,0))</f>
      </c>
      <c r="H4985" s="43">
        <f>IF($G4985=1,INDEX(DarlSollzins,11),INDEX(DarlAnschluss,11))</f>
      </c>
      <c r="I4985" s="43">
        <f>IF(INDEX(DarlBelegt,11)=0,0,IF(INDEX(DarlOhneTilgung,11)=1,IF(INDEX(DarlBindung,11)="",1,$G4985),IF($J4985&gt;0.005,1,0)))</f>
      </c>
      <c r="J4985" s="43">
        <f>IF($I4984=0,0,$R4984)</f>
      </c>
      <c r="K4985" s="43">
        <f>IF($I4985=0,0,IF(INDEX(DarlOhneTilgung,11)=1,0,IF(AND(INDEX(DarlTilgStart,11)&gt;0,$E4985=INDEX(DarlTilgStart,11)),$J4985*($H4985+INDEX(DarlTilgung,11))/100/12,IF(AND($G4985=0,$G4984=1),MAX($K4984,$J4985*($H4985+1)/100/12),$K4984))))</f>
      </c>
      <c r="L4985" s="43">
        <f>IF($I4985=0,0,$J4985*$H4985/100/12)</f>
      </c>
      <c r="M4985" s="43">
        <f>IF($I4985=0,0,IF(OR(INDEX(DarlOhneTilgung,11)=1,AND(INDEX(DarlTilgStart,11)&gt;0,$E4985&lt;INDEX(DarlTilgStart,11))),0,MIN(MAX(0,$K4985-$L4985),$J4985)))</f>
      </c>
      <c r="N4985" s="43">
        <f>IF($I4985=0,0,MIN(SUMIFS(SondBetrag,SondDarl,11,SondDatum,"&gt;="&amp;$E4985,SondDatum,"&lt;="&amp;EOMONTH($E4985,0)),$J4985-$M4985))</f>
      </c>
      <c r="O4985" s="43">
        <f>IF($I4985=0,0,INDEX(DarlErsatzRate,11))</f>
      </c>
      <c r="P4985" s="43">
        <f>IF($I4985=0,0,$Q4984*INDEX(DarlErsatzZins,11))</f>
      </c>
      <c r="Q4985" s="43">
        <f>IF($I4985=0,0,$Q4984+$P4985+$O4985)</f>
      </c>
      <c r="R4985" s="43">
        <f>IF($I4985=0,0,$J4985-$M4985-$N4985)</f>
      </c>
    </row>
    <row r="4986">
      <c r="A4986"/>
      <c r="B4986">
        <v>11</v>
      </c>
      <c r="C4986" s="43">
        <f>INDEX(DarlObj,11)</f>
      </c>
      <c r="D4986">
        <v>183</v>
      </c>
      <c r="E4986" s="51">
        <f>IF(INDEX(DarlBelegt,11)=0,0,EOMONTH(INDEX(DarlAuszahlung,11),182)+1)</f>
      </c>
      <c r="F4986" s="43">
        <f>IF($E4986=0,0,YEAR($E4986))</f>
      </c>
      <c r="G4986" s="43">
        <f>IF(INDEX(DarlBindung,11)="",1,IF($E4986&lt;=INDEX(DarlBindung,11),1,0))</f>
      </c>
      <c r="H4986" s="43">
        <f>IF($G4986=1,INDEX(DarlSollzins,11),INDEX(DarlAnschluss,11))</f>
      </c>
      <c r="I4986" s="43">
        <f>IF(INDEX(DarlBelegt,11)=0,0,IF(INDEX(DarlOhneTilgung,11)=1,IF(INDEX(DarlBindung,11)="",1,$G4986),IF($J4986&gt;0.005,1,0)))</f>
      </c>
      <c r="J4986" s="43">
        <f>IF($I4985=0,0,$R4985)</f>
      </c>
      <c r="K4986" s="43">
        <f>IF($I4986=0,0,IF(INDEX(DarlOhneTilgung,11)=1,0,IF(AND(INDEX(DarlTilgStart,11)&gt;0,$E4986=INDEX(DarlTilgStart,11)),$J4986*($H4986+INDEX(DarlTilgung,11))/100/12,IF(AND($G4986=0,$G4985=1),MAX($K4985,$J4986*($H4986+1)/100/12),$K4985))))</f>
      </c>
      <c r="L4986" s="43">
        <f>IF($I4986=0,0,$J4986*$H4986/100/12)</f>
      </c>
      <c r="M4986" s="43">
        <f>IF($I4986=0,0,IF(OR(INDEX(DarlOhneTilgung,11)=1,AND(INDEX(DarlTilgStart,11)&gt;0,$E4986&lt;INDEX(DarlTilgStart,11))),0,MIN(MAX(0,$K4986-$L4986),$J4986)))</f>
      </c>
      <c r="N4986" s="43">
        <f>IF($I4986=0,0,MIN(SUMIFS(SondBetrag,SondDarl,11,SondDatum,"&gt;="&amp;$E4986,SondDatum,"&lt;="&amp;EOMONTH($E4986,0)),$J4986-$M4986))</f>
      </c>
      <c r="O4986" s="43">
        <f>IF($I4986=0,0,INDEX(DarlErsatzRate,11))</f>
      </c>
      <c r="P4986" s="43">
        <f>IF($I4986=0,0,$Q4985*INDEX(DarlErsatzZins,11))</f>
      </c>
      <c r="Q4986" s="43">
        <f>IF($I4986=0,0,$Q4985+$P4986+$O4986)</f>
      </c>
      <c r="R4986" s="43">
        <f>IF($I4986=0,0,$J4986-$M4986-$N4986)</f>
      </c>
    </row>
    <row r="4987">
      <c r="A4987"/>
      <c r="B4987">
        <v>11</v>
      </c>
      <c r="C4987" s="43">
        <f>INDEX(DarlObj,11)</f>
      </c>
      <c r="D4987">
        <v>184</v>
      </c>
      <c r="E4987" s="51">
        <f>IF(INDEX(DarlBelegt,11)=0,0,EOMONTH(INDEX(DarlAuszahlung,11),183)+1)</f>
      </c>
      <c r="F4987" s="43">
        <f>IF($E4987=0,0,YEAR($E4987))</f>
      </c>
      <c r="G4987" s="43">
        <f>IF(INDEX(DarlBindung,11)="",1,IF($E4987&lt;=INDEX(DarlBindung,11),1,0))</f>
      </c>
      <c r="H4987" s="43">
        <f>IF($G4987=1,INDEX(DarlSollzins,11),INDEX(DarlAnschluss,11))</f>
      </c>
      <c r="I4987" s="43">
        <f>IF(INDEX(DarlBelegt,11)=0,0,IF(INDEX(DarlOhneTilgung,11)=1,IF(INDEX(DarlBindung,11)="",1,$G4987),IF($J4987&gt;0.005,1,0)))</f>
      </c>
      <c r="J4987" s="43">
        <f>IF($I4986=0,0,$R4986)</f>
      </c>
      <c r="K4987" s="43">
        <f>IF($I4987=0,0,IF(INDEX(DarlOhneTilgung,11)=1,0,IF(AND(INDEX(DarlTilgStart,11)&gt;0,$E4987=INDEX(DarlTilgStart,11)),$J4987*($H4987+INDEX(DarlTilgung,11))/100/12,IF(AND($G4987=0,$G4986=1),MAX($K4986,$J4987*($H4987+1)/100/12),$K4986))))</f>
      </c>
      <c r="L4987" s="43">
        <f>IF($I4987=0,0,$J4987*$H4987/100/12)</f>
      </c>
      <c r="M4987" s="43">
        <f>IF($I4987=0,0,IF(OR(INDEX(DarlOhneTilgung,11)=1,AND(INDEX(DarlTilgStart,11)&gt;0,$E4987&lt;INDEX(DarlTilgStart,11))),0,MIN(MAX(0,$K4987-$L4987),$J4987)))</f>
      </c>
      <c r="N4987" s="43">
        <f>IF($I4987=0,0,MIN(SUMIFS(SondBetrag,SondDarl,11,SondDatum,"&gt;="&amp;$E4987,SondDatum,"&lt;="&amp;EOMONTH($E4987,0)),$J4987-$M4987))</f>
      </c>
      <c r="O4987" s="43">
        <f>IF($I4987=0,0,INDEX(DarlErsatzRate,11))</f>
      </c>
      <c r="P4987" s="43">
        <f>IF($I4987=0,0,$Q4986*INDEX(DarlErsatzZins,11))</f>
      </c>
      <c r="Q4987" s="43">
        <f>IF($I4987=0,0,$Q4986+$P4987+$O4987)</f>
      </c>
      <c r="R4987" s="43">
        <f>IF($I4987=0,0,$J4987-$M4987-$N4987)</f>
      </c>
    </row>
    <row r="4988">
      <c r="A4988"/>
      <c r="B4988">
        <v>11</v>
      </c>
      <c r="C4988" s="43">
        <f>INDEX(DarlObj,11)</f>
      </c>
      <c r="D4988">
        <v>185</v>
      </c>
      <c r="E4988" s="51">
        <f>IF(INDEX(DarlBelegt,11)=0,0,EOMONTH(INDEX(DarlAuszahlung,11),184)+1)</f>
      </c>
      <c r="F4988" s="43">
        <f>IF($E4988=0,0,YEAR($E4988))</f>
      </c>
      <c r="G4988" s="43">
        <f>IF(INDEX(DarlBindung,11)="",1,IF($E4988&lt;=INDEX(DarlBindung,11),1,0))</f>
      </c>
      <c r="H4988" s="43">
        <f>IF($G4988=1,INDEX(DarlSollzins,11),INDEX(DarlAnschluss,11))</f>
      </c>
      <c r="I4988" s="43">
        <f>IF(INDEX(DarlBelegt,11)=0,0,IF(INDEX(DarlOhneTilgung,11)=1,IF(INDEX(DarlBindung,11)="",1,$G4988),IF($J4988&gt;0.005,1,0)))</f>
      </c>
      <c r="J4988" s="43">
        <f>IF($I4987=0,0,$R4987)</f>
      </c>
      <c r="K4988" s="43">
        <f>IF($I4988=0,0,IF(INDEX(DarlOhneTilgung,11)=1,0,IF(AND(INDEX(DarlTilgStart,11)&gt;0,$E4988=INDEX(DarlTilgStart,11)),$J4988*($H4988+INDEX(DarlTilgung,11))/100/12,IF(AND($G4988=0,$G4987=1),MAX($K4987,$J4988*($H4988+1)/100/12),$K4987))))</f>
      </c>
      <c r="L4988" s="43">
        <f>IF($I4988=0,0,$J4988*$H4988/100/12)</f>
      </c>
      <c r="M4988" s="43">
        <f>IF($I4988=0,0,IF(OR(INDEX(DarlOhneTilgung,11)=1,AND(INDEX(DarlTilgStart,11)&gt;0,$E4988&lt;INDEX(DarlTilgStart,11))),0,MIN(MAX(0,$K4988-$L4988),$J4988)))</f>
      </c>
      <c r="N4988" s="43">
        <f>IF($I4988=0,0,MIN(SUMIFS(SondBetrag,SondDarl,11,SondDatum,"&gt;="&amp;$E4988,SondDatum,"&lt;="&amp;EOMONTH($E4988,0)),$J4988-$M4988))</f>
      </c>
      <c r="O4988" s="43">
        <f>IF($I4988=0,0,INDEX(DarlErsatzRate,11))</f>
      </c>
      <c r="P4988" s="43">
        <f>IF($I4988=0,0,$Q4987*INDEX(DarlErsatzZins,11))</f>
      </c>
      <c r="Q4988" s="43">
        <f>IF($I4988=0,0,$Q4987+$P4988+$O4988)</f>
      </c>
      <c r="R4988" s="43">
        <f>IF($I4988=0,0,$J4988-$M4988-$N4988)</f>
      </c>
    </row>
    <row r="4989">
      <c r="A4989"/>
      <c r="B4989">
        <v>11</v>
      </c>
      <c r="C4989" s="43">
        <f>INDEX(DarlObj,11)</f>
      </c>
      <c r="D4989">
        <v>186</v>
      </c>
      <c r="E4989" s="51">
        <f>IF(INDEX(DarlBelegt,11)=0,0,EOMONTH(INDEX(DarlAuszahlung,11),185)+1)</f>
      </c>
      <c r="F4989" s="43">
        <f>IF($E4989=0,0,YEAR($E4989))</f>
      </c>
      <c r="G4989" s="43">
        <f>IF(INDEX(DarlBindung,11)="",1,IF($E4989&lt;=INDEX(DarlBindung,11),1,0))</f>
      </c>
      <c r="H4989" s="43">
        <f>IF($G4989=1,INDEX(DarlSollzins,11),INDEX(DarlAnschluss,11))</f>
      </c>
      <c r="I4989" s="43">
        <f>IF(INDEX(DarlBelegt,11)=0,0,IF(INDEX(DarlOhneTilgung,11)=1,IF(INDEX(DarlBindung,11)="",1,$G4989),IF($J4989&gt;0.005,1,0)))</f>
      </c>
      <c r="J4989" s="43">
        <f>IF($I4988=0,0,$R4988)</f>
      </c>
      <c r="K4989" s="43">
        <f>IF($I4989=0,0,IF(INDEX(DarlOhneTilgung,11)=1,0,IF(AND(INDEX(DarlTilgStart,11)&gt;0,$E4989=INDEX(DarlTilgStart,11)),$J4989*($H4989+INDEX(DarlTilgung,11))/100/12,IF(AND($G4989=0,$G4988=1),MAX($K4988,$J4989*($H4989+1)/100/12),$K4988))))</f>
      </c>
      <c r="L4989" s="43">
        <f>IF($I4989=0,0,$J4989*$H4989/100/12)</f>
      </c>
      <c r="M4989" s="43">
        <f>IF($I4989=0,0,IF(OR(INDEX(DarlOhneTilgung,11)=1,AND(INDEX(DarlTilgStart,11)&gt;0,$E4989&lt;INDEX(DarlTilgStart,11))),0,MIN(MAX(0,$K4989-$L4989),$J4989)))</f>
      </c>
      <c r="N4989" s="43">
        <f>IF($I4989=0,0,MIN(SUMIFS(SondBetrag,SondDarl,11,SondDatum,"&gt;="&amp;$E4989,SondDatum,"&lt;="&amp;EOMONTH($E4989,0)),$J4989-$M4989))</f>
      </c>
      <c r="O4989" s="43">
        <f>IF($I4989=0,0,INDEX(DarlErsatzRate,11))</f>
      </c>
      <c r="P4989" s="43">
        <f>IF($I4989=0,0,$Q4988*INDEX(DarlErsatzZins,11))</f>
      </c>
      <c r="Q4989" s="43">
        <f>IF($I4989=0,0,$Q4988+$P4989+$O4989)</f>
      </c>
      <c r="R4989" s="43">
        <f>IF($I4989=0,0,$J4989-$M4989-$N4989)</f>
      </c>
    </row>
    <row r="4990">
      <c r="A4990"/>
      <c r="B4990">
        <v>11</v>
      </c>
      <c r="C4990" s="43">
        <f>INDEX(DarlObj,11)</f>
      </c>
      <c r="D4990">
        <v>187</v>
      </c>
      <c r="E4990" s="51">
        <f>IF(INDEX(DarlBelegt,11)=0,0,EOMONTH(INDEX(DarlAuszahlung,11),186)+1)</f>
      </c>
      <c r="F4990" s="43">
        <f>IF($E4990=0,0,YEAR($E4990))</f>
      </c>
      <c r="G4990" s="43">
        <f>IF(INDEX(DarlBindung,11)="",1,IF($E4990&lt;=INDEX(DarlBindung,11),1,0))</f>
      </c>
      <c r="H4990" s="43">
        <f>IF($G4990=1,INDEX(DarlSollzins,11),INDEX(DarlAnschluss,11))</f>
      </c>
      <c r="I4990" s="43">
        <f>IF(INDEX(DarlBelegt,11)=0,0,IF(INDEX(DarlOhneTilgung,11)=1,IF(INDEX(DarlBindung,11)="",1,$G4990),IF($J4990&gt;0.005,1,0)))</f>
      </c>
      <c r="J4990" s="43">
        <f>IF($I4989=0,0,$R4989)</f>
      </c>
      <c r="K4990" s="43">
        <f>IF($I4990=0,0,IF(INDEX(DarlOhneTilgung,11)=1,0,IF(AND(INDEX(DarlTilgStart,11)&gt;0,$E4990=INDEX(DarlTilgStart,11)),$J4990*($H4990+INDEX(DarlTilgung,11))/100/12,IF(AND($G4990=0,$G4989=1),MAX($K4989,$J4990*($H4990+1)/100/12),$K4989))))</f>
      </c>
      <c r="L4990" s="43">
        <f>IF($I4990=0,0,$J4990*$H4990/100/12)</f>
      </c>
      <c r="M4990" s="43">
        <f>IF($I4990=0,0,IF(OR(INDEX(DarlOhneTilgung,11)=1,AND(INDEX(DarlTilgStart,11)&gt;0,$E4990&lt;INDEX(DarlTilgStart,11))),0,MIN(MAX(0,$K4990-$L4990),$J4990)))</f>
      </c>
      <c r="N4990" s="43">
        <f>IF($I4990=0,0,MIN(SUMIFS(SondBetrag,SondDarl,11,SondDatum,"&gt;="&amp;$E4990,SondDatum,"&lt;="&amp;EOMONTH($E4990,0)),$J4990-$M4990))</f>
      </c>
      <c r="O4990" s="43">
        <f>IF($I4990=0,0,INDEX(DarlErsatzRate,11))</f>
      </c>
      <c r="P4990" s="43">
        <f>IF($I4990=0,0,$Q4989*INDEX(DarlErsatzZins,11))</f>
      </c>
      <c r="Q4990" s="43">
        <f>IF($I4990=0,0,$Q4989+$P4990+$O4990)</f>
      </c>
      <c r="R4990" s="43">
        <f>IF($I4990=0,0,$J4990-$M4990-$N4990)</f>
      </c>
    </row>
    <row r="4991">
      <c r="A4991"/>
      <c r="B4991">
        <v>11</v>
      </c>
      <c r="C4991" s="43">
        <f>INDEX(DarlObj,11)</f>
      </c>
      <c r="D4991">
        <v>188</v>
      </c>
      <c r="E4991" s="51">
        <f>IF(INDEX(DarlBelegt,11)=0,0,EOMONTH(INDEX(DarlAuszahlung,11),187)+1)</f>
      </c>
      <c r="F4991" s="43">
        <f>IF($E4991=0,0,YEAR($E4991))</f>
      </c>
      <c r="G4991" s="43">
        <f>IF(INDEX(DarlBindung,11)="",1,IF($E4991&lt;=INDEX(DarlBindung,11),1,0))</f>
      </c>
      <c r="H4991" s="43">
        <f>IF($G4991=1,INDEX(DarlSollzins,11),INDEX(DarlAnschluss,11))</f>
      </c>
      <c r="I4991" s="43">
        <f>IF(INDEX(DarlBelegt,11)=0,0,IF(INDEX(DarlOhneTilgung,11)=1,IF(INDEX(DarlBindung,11)="",1,$G4991),IF($J4991&gt;0.005,1,0)))</f>
      </c>
      <c r="J4991" s="43">
        <f>IF($I4990=0,0,$R4990)</f>
      </c>
      <c r="K4991" s="43">
        <f>IF($I4991=0,0,IF(INDEX(DarlOhneTilgung,11)=1,0,IF(AND(INDEX(DarlTilgStart,11)&gt;0,$E4991=INDEX(DarlTilgStart,11)),$J4991*($H4991+INDEX(DarlTilgung,11))/100/12,IF(AND($G4991=0,$G4990=1),MAX($K4990,$J4991*($H4991+1)/100/12),$K4990))))</f>
      </c>
      <c r="L4991" s="43">
        <f>IF($I4991=0,0,$J4991*$H4991/100/12)</f>
      </c>
      <c r="M4991" s="43">
        <f>IF($I4991=0,0,IF(OR(INDEX(DarlOhneTilgung,11)=1,AND(INDEX(DarlTilgStart,11)&gt;0,$E4991&lt;INDEX(DarlTilgStart,11))),0,MIN(MAX(0,$K4991-$L4991),$J4991)))</f>
      </c>
      <c r="N4991" s="43">
        <f>IF($I4991=0,0,MIN(SUMIFS(SondBetrag,SondDarl,11,SondDatum,"&gt;="&amp;$E4991,SondDatum,"&lt;="&amp;EOMONTH($E4991,0)),$J4991-$M4991))</f>
      </c>
      <c r="O4991" s="43">
        <f>IF($I4991=0,0,INDEX(DarlErsatzRate,11))</f>
      </c>
      <c r="P4991" s="43">
        <f>IF($I4991=0,0,$Q4990*INDEX(DarlErsatzZins,11))</f>
      </c>
      <c r="Q4991" s="43">
        <f>IF($I4991=0,0,$Q4990+$P4991+$O4991)</f>
      </c>
      <c r="R4991" s="43">
        <f>IF($I4991=0,0,$J4991-$M4991-$N4991)</f>
      </c>
    </row>
    <row r="4992">
      <c r="A4992"/>
      <c r="B4992">
        <v>11</v>
      </c>
      <c r="C4992" s="43">
        <f>INDEX(DarlObj,11)</f>
      </c>
      <c r="D4992">
        <v>189</v>
      </c>
      <c r="E4992" s="51">
        <f>IF(INDEX(DarlBelegt,11)=0,0,EOMONTH(INDEX(DarlAuszahlung,11),188)+1)</f>
      </c>
      <c r="F4992" s="43">
        <f>IF($E4992=0,0,YEAR($E4992))</f>
      </c>
      <c r="G4992" s="43">
        <f>IF(INDEX(DarlBindung,11)="",1,IF($E4992&lt;=INDEX(DarlBindung,11),1,0))</f>
      </c>
      <c r="H4992" s="43">
        <f>IF($G4992=1,INDEX(DarlSollzins,11),INDEX(DarlAnschluss,11))</f>
      </c>
      <c r="I4992" s="43">
        <f>IF(INDEX(DarlBelegt,11)=0,0,IF(INDEX(DarlOhneTilgung,11)=1,IF(INDEX(DarlBindung,11)="",1,$G4992),IF($J4992&gt;0.005,1,0)))</f>
      </c>
      <c r="J4992" s="43">
        <f>IF($I4991=0,0,$R4991)</f>
      </c>
      <c r="K4992" s="43">
        <f>IF($I4992=0,0,IF(INDEX(DarlOhneTilgung,11)=1,0,IF(AND(INDEX(DarlTilgStart,11)&gt;0,$E4992=INDEX(DarlTilgStart,11)),$J4992*($H4992+INDEX(DarlTilgung,11))/100/12,IF(AND($G4992=0,$G4991=1),MAX($K4991,$J4992*($H4992+1)/100/12),$K4991))))</f>
      </c>
      <c r="L4992" s="43">
        <f>IF($I4992=0,0,$J4992*$H4992/100/12)</f>
      </c>
      <c r="M4992" s="43">
        <f>IF($I4992=0,0,IF(OR(INDEX(DarlOhneTilgung,11)=1,AND(INDEX(DarlTilgStart,11)&gt;0,$E4992&lt;INDEX(DarlTilgStart,11))),0,MIN(MAX(0,$K4992-$L4992),$J4992)))</f>
      </c>
      <c r="N4992" s="43">
        <f>IF($I4992=0,0,MIN(SUMIFS(SondBetrag,SondDarl,11,SondDatum,"&gt;="&amp;$E4992,SondDatum,"&lt;="&amp;EOMONTH($E4992,0)),$J4992-$M4992))</f>
      </c>
      <c r="O4992" s="43">
        <f>IF($I4992=0,0,INDEX(DarlErsatzRate,11))</f>
      </c>
      <c r="P4992" s="43">
        <f>IF($I4992=0,0,$Q4991*INDEX(DarlErsatzZins,11))</f>
      </c>
      <c r="Q4992" s="43">
        <f>IF($I4992=0,0,$Q4991+$P4992+$O4992)</f>
      </c>
      <c r="R4992" s="43">
        <f>IF($I4992=0,0,$J4992-$M4992-$N4992)</f>
      </c>
    </row>
    <row r="4993">
      <c r="A4993"/>
      <c r="B4993">
        <v>11</v>
      </c>
      <c r="C4993" s="43">
        <f>INDEX(DarlObj,11)</f>
      </c>
      <c r="D4993">
        <v>190</v>
      </c>
      <c r="E4993" s="51">
        <f>IF(INDEX(DarlBelegt,11)=0,0,EOMONTH(INDEX(DarlAuszahlung,11),189)+1)</f>
      </c>
      <c r="F4993" s="43">
        <f>IF($E4993=0,0,YEAR($E4993))</f>
      </c>
      <c r="G4993" s="43">
        <f>IF(INDEX(DarlBindung,11)="",1,IF($E4993&lt;=INDEX(DarlBindung,11),1,0))</f>
      </c>
      <c r="H4993" s="43">
        <f>IF($G4993=1,INDEX(DarlSollzins,11),INDEX(DarlAnschluss,11))</f>
      </c>
      <c r="I4993" s="43">
        <f>IF(INDEX(DarlBelegt,11)=0,0,IF(INDEX(DarlOhneTilgung,11)=1,IF(INDEX(DarlBindung,11)="",1,$G4993),IF($J4993&gt;0.005,1,0)))</f>
      </c>
      <c r="J4993" s="43">
        <f>IF($I4992=0,0,$R4992)</f>
      </c>
      <c r="K4993" s="43">
        <f>IF($I4993=0,0,IF(INDEX(DarlOhneTilgung,11)=1,0,IF(AND(INDEX(DarlTilgStart,11)&gt;0,$E4993=INDEX(DarlTilgStart,11)),$J4993*($H4993+INDEX(DarlTilgung,11))/100/12,IF(AND($G4993=0,$G4992=1),MAX($K4992,$J4993*($H4993+1)/100/12),$K4992))))</f>
      </c>
      <c r="L4993" s="43">
        <f>IF($I4993=0,0,$J4993*$H4993/100/12)</f>
      </c>
      <c r="M4993" s="43">
        <f>IF($I4993=0,0,IF(OR(INDEX(DarlOhneTilgung,11)=1,AND(INDEX(DarlTilgStart,11)&gt;0,$E4993&lt;INDEX(DarlTilgStart,11))),0,MIN(MAX(0,$K4993-$L4993),$J4993)))</f>
      </c>
      <c r="N4993" s="43">
        <f>IF($I4993=0,0,MIN(SUMIFS(SondBetrag,SondDarl,11,SondDatum,"&gt;="&amp;$E4993,SondDatum,"&lt;="&amp;EOMONTH($E4993,0)),$J4993-$M4993))</f>
      </c>
      <c r="O4993" s="43">
        <f>IF($I4993=0,0,INDEX(DarlErsatzRate,11))</f>
      </c>
      <c r="P4993" s="43">
        <f>IF($I4993=0,0,$Q4992*INDEX(DarlErsatzZins,11))</f>
      </c>
      <c r="Q4993" s="43">
        <f>IF($I4993=0,0,$Q4992+$P4993+$O4993)</f>
      </c>
      <c r="R4993" s="43">
        <f>IF($I4993=0,0,$J4993-$M4993-$N4993)</f>
      </c>
    </row>
    <row r="4994">
      <c r="A4994"/>
      <c r="B4994">
        <v>11</v>
      </c>
      <c r="C4994" s="43">
        <f>INDEX(DarlObj,11)</f>
      </c>
      <c r="D4994">
        <v>191</v>
      </c>
      <c r="E4994" s="51">
        <f>IF(INDEX(DarlBelegt,11)=0,0,EOMONTH(INDEX(DarlAuszahlung,11),190)+1)</f>
      </c>
      <c r="F4994" s="43">
        <f>IF($E4994=0,0,YEAR($E4994))</f>
      </c>
      <c r="G4994" s="43">
        <f>IF(INDEX(DarlBindung,11)="",1,IF($E4994&lt;=INDEX(DarlBindung,11),1,0))</f>
      </c>
      <c r="H4994" s="43">
        <f>IF($G4994=1,INDEX(DarlSollzins,11),INDEX(DarlAnschluss,11))</f>
      </c>
      <c r="I4994" s="43">
        <f>IF(INDEX(DarlBelegt,11)=0,0,IF(INDEX(DarlOhneTilgung,11)=1,IF(INDEX(DarlBindung,11)="",1,$G4994),IF($J4994&gt;0.005,1,0)))</f>
      </c>
      <c r="J4994" s="43">
        <f>IF($I4993=0,0,$R4993)</f>
      </c>
      <c r="K4994" s="43">
        <f>IF($I4994=0,0,IF(INDEX(DarlOhneTilgung,11)=1,0,IF(AND(INDEX(DarlTilgStart,11)&gt;0,$E4994=INDEX(DarlTilgStart,11)),$J4994*($H4994+INDEX(DarlTilgung,11))/100/12,IF(AND($G4994=0,$G4993=1),MAX($K4993,$J4994*($H4994+1)/100/12),$K4993))))</f>
      </c>
      <c r="L4994" s="43">
        <f>IF($I4994=0,0,$J4994*$H4994/100/12)</f>
      </c>
      <c r="M4994" s="43">
        <f>IF($I4994=0,0,IF(OR(INDEX(DarlOhneTilgung,11)=1,AND(INDEX(DarlTilgStart,11)&gt;0,$E4994&lt;INDEX(DarlTilgStart,11))),0,MIN(MAX(0,$K4994-$L4994),$J4994)))</f>
      </c>
      <c r="N4994" s="43">
        <f>IF($I4994=0,0,MIN(SUMIFS(SondBetrag,SondDarl,11,SondDatum,"&gt;="&amp;$E4994,SondDatum,"&lt;="&amp;EOMONTH($E4994,0)),$J4994-$M4994))</f>
      </c>
      <c r="O4994" s="43">
        <f>IF($I4994=0,0,INDEX(DarlErsatzRate,11))</f>
      </c>
      <c r="P4994" s="43">
        <f>IF($I4994=0,0,$Q4993*INDEX(DarlErsatzZins,11))</f>
      </c>
      <c r="Q4994" s="43">
        <f>IF($I4994=0,0,$Q4993+$P4994+$O4994)</f>
      </c>
      <c r="R4994" s="43">
        <f>IF($I4994=0,0,$J4994-$M4994-$N4994)</f>
      </c>
    </row>
    <row r="4995">
      <c r="A4995"/>
      <c r="B4995">
        <v>11</v>
      </c>
      <c r="C4995" s="43">
        <f>INDEX(DarlObj,11)</f>
      </c>
      <c r="D4995">
        <v>192</v>
      </c>
      <c r="E4995" s="51">
        <f>IF(INDEX(DarlBelegt,11)=0,0,EOMONTH(INDEX(DarlAuszahlung,11),191)+1)</f>
      </c>
      <c r="F4995" s="43">
        <f>IF($E4995=0,0,YEAR($E4995))</f>
      </c>
      <c r="G4995" s="43">
        <f>IF(INDEX(DarlBindung,11)="",1,IF($E4995&lt;=INDEX(DarlBindung,11),1,0))</f>
      </c>
      <c r="H4995" s="43">
        <f>IF($G4995=1,INDEX(DarlSollzins,11),INDEX(DarlAnschluss,11))</f>
      </c>
      <c r="I4995" s="43">
        <f>IF(INDEX(DarlBelegt,11)=0,0,IF(INDEX(DarlOhneTilgung,11)=1,IF(INDEX(DarlBindung,11)="",1,$G4995),IF($J4995&gt;0.005,1,0)))</f>
      </c>
      <c r="J4995" s="43">
        <f>IF($I4994=0,0,$R4994)</f>
      </c>
      <c r="K4995" s="43">
        <f>IF($I4995=0,0,IF(INDEX(DarlOhneTilgung,11)=1,0,IF(AND(INDEX(DarlTilgStart,11)&gt;0,$E4995=INDEX(DarlTilgStart,11)),$J4995*($H4995+INDEX(DarlTilgung,11))/100/12,IF(AND($G4995=0,$G4994=1),MAX($K4994,$J4995*($H4995+1)/100/12),$K4994))))</f>
      </c>
      <c r="L4995" s="43">
        <f>IF($I4995=0,0,$J4995*$H4995/100/12)</f>
      </c>
      <c r="M4995" s="43">
        <f>IF($I4995=0,0,IF(OR(INDEX(DarlOhneTilgung,11)=1,AND(INDEX(DarlTilgStart,11)&gt;0,$E4995&lt;INDEX(DarlTilgStart,11))),0,MIN(MAX(0,$K4995-$L4995),$J4995)))</f>
      </c>
      <c r="N4995" s="43">
        <f>IF($I4995=0,0,MIN(SUMIFS(SondBetrag,SondDarl,11,SondDatum,"&gt;="&amp;$E4995,SondDatum,"&lt;="&amp;EOMONTH($E4995,0)),$J4995-$M4995))</f>
      </c>
      <c r="O4995" s="43">
        <f>IF($I4995=0,0,INDEX(DarlErsatzRate,11))</f>
      </c>
      <c r="P4995" s="43">
        <f>IF($I4995=0,0,$Q4994*INDEX(DarlErsatzZins,11))</f>
      </c>
      <c r="Q4995" s="43">
        <f>IF($I4995=0,0,$Q4994+$P4995+$O4995)</f>
      </c>
      <c r="R4995" s="43">
        <f>IF($I4995=0,0,$J4995-$M4995-$N4995)</f>
      </c>
    </row>
    <row r="4996">
      <c r="A4996"/>
      <c r="B4996">
        <v>11</v>
      </c>
      <c r="C4996" s="43">
        <f>INDEX(DarlObj,11)</f>
      </c>
      <c r="D4996">
        <v>193</v>
      </c>
      <c r="E4996" s="51">
        <f>IF(INDEX(DarlBelegt,11)=0,0,EOMONTH(INDEX(DarlAuszahlung,11),192)+1)</f>
      </c>
      <c r="F4996" s="43">
        <f>IF($E4996=0,0,YEAR($E4996))</f>
      </c>
      <c r="G4996" s="43">
        <f>IF(INDEX(DarlBindung,11)="",1,IF($E4996&lt;=INDEX(DarlBindung,11),1,0))</f>
      </c>
      <c r="H4996" s="43">
        <f>IF($G4996=1,INDEX(DarlSollzins,11),INDEX(DarlAnschluss,11))</f>
      </c>
      <c r="I4996" s="43">
        <f>IF(INDEX(DarlBelegt,11)=0,0,IF(INDEX(DarlOhneTilgung,11)=1,IF(INDEX(DarlBindung,11)="",1,$G4996),IF($J4996&gt;0.005,1,0)))</f>
      </c>
      <c r="J4996" s="43">
        <f>IF($I4995=0,0,$R4995)</f>
      </c>
      <c r="K4996" s="43">
        <f>IF($I4996=0,0,IF(INDEX(DarlOhneTilgung,11)=1,0,IF(AND(INDEX(DarlTilgStart,11)&gt;0,$E4996=INDEX(DarlTilgStart,11)),$J4996*($H4996+INDEX(DarlTilgung,11))/100/12,IF(AND($G4996=0,$G4995=1),MAX($K4995,$J4996*($H4996+1)/100/12),$K4995))))</f>
      </c>
      <c r="L4996" s="43">
        <f>IF($I4996=0,0,$J4996*$H4996/100/12)</f>
      </c>
      <c r="M4996" s="43">
        <f>IF($I4996=0,0,IF(OR(INDEX(DarlOhneTilgung,11)=1,AND(INDEX(DarlTilgStart,11)&gt;0,$E4996&lt;INDEX(DarlTilgStart,11))),0,MIN(MAX(0,$K4996-$L4996),$J4996)))</f>
      </c>
      <c r="N4996" s="43">
        <f>IF($I4996=0,0,MIN(SUMIFS(SondBetrag,SondDarl,11,SondDatum,"&gt;="&amp;$E4996,SondDatum,"&lt;="&amp;EOMONTH($E4996,0)),$J4996-$M4996))</f>
      </c>
      <c r="O4996" s="43">
        <f>IF($I4996=0,0,INDEX(DarlErsatzRate,11))</f>
      </c>
      <c r="P4996" s="43">
        <f>IF($I4996=0,0,$Q4995*INDEX(DarlErsatzZins,11))</f>
      </c>
      <c r="Q4996" s="43">
        <f>IF($I4996=0,0,$Q4995+$P4996+$O4996)</f>
      </c>
      <c r="R4996" s="43">
        <f>IF($I4996=0,0,$J4996-$M4996-$N4996)</f>
      </c>
    </row>
    <row r="4997">
      <c r="A4997"/>
      <c r="B4997">
        <v>11</v>
      </c>
      <c r="C4997" s="43">
        <f>INDEX(DarlObj,11)</f>
      </c>
      <c r="D4997">
        <v>194</v>
      </c>
      <c r="E4997" s="51">
        <f>IF(INDEX(DarlBelegt,11)=0,0,EOMONTH(INDEX(DarlAuszahlung,11),193)+1)</f>
      </c>
      <c r="F4997" s="43">
        <f>IF($E4997=0,0,YEAR($E4997))</f>
      </c>
      <c r="G4997" s="43">
        <f>IF(INDEX(DarlBindung,11)="",1,IF($E4997&lt;=INDEX(DarlBindung,11),1,0))</f>
      </c>
      <c r="H4997" s="43">
        <f>IF($G4997=1,INDEX(DarlSollzins,11),INDEX(DarlAnschluss,11))</f>
      </c>
      <c r="I4997" s="43">
        <f>IF(INDEX(DarlBelegt,11)=0,0,IF(INDEX(DarlOhneTilgung,11)=1,IF(INDEX(DarlBindung,11)="",1,$G4997),IF($J4997&gt;0.005,1,0)))</f>
      </c>
      <c r="J4997" s="43">
        <f>IF($I4996=0,0,$R4996)</f>
      </c>
      <c r="K4997" s="43">
        <f>IF($I4997=0,0,IF(INDEX(DarlOhneTilgung,11)=1,0,IF(AND(INDEX(DarlTilgStart,11)&gt;0,$E4997=INDEX(DarlTilgStart,11)),$J4997*($H4997+INDEX(DarlTilgung,11))/100/12,IF(AND($G4997=0,$G4996=1),MAX($K4996,$J4997*($H4997+1)/100/12),$K4996))))</f>
      </c>
      <c r="L4997" s="43">
        <f>IF($I4997=0,0,$J4997*$H4997/100/12)</f>
      </c>
      <c r="M4997" s="43">
        <f>IF($I4997=0,0,IF(OR(INDEX(DarlOhneTilgung,11)=1,AND(INDEX(DarlTilgStart,11)&gt;0,$E4997&lt;INDEX(DarlTilgStart,11))),0,MIN(MAX(0,$K4997-$L4997),$J4997)))</f>
      </c>
      <c r="N4997" s="43">
        <f>IF($I4997=0,0,MIN(SUMIFS(SondBetrag,SondDarl,11,SondDatum,"&gt;="&amp;$E4997,SondDatum,"&lt;="&amp;EOMONTH($E4997,0)),$J4997-$M4997))</f>
      </c>
      <c r="O4997" s="43">
        <f>IF($I4997=0,0,INDEX(DarlErsatzRate,11))</f>
      </c>
      <c r="P4997" s="43">
        <f>IF($I4997=0,0,$Q4996*INDEX(DarlErsatzZins,11))</f>
      </c>
      <c r="Q4997" s="43">
        <f>IF($I4997=0,0,$Q4996+$P4997+$O4997)</f>
      </c>
      <c r="R4997" s="43">
        <f>IF($I4997=0,0,$J4997-$M4997-$N4997)</f>
      </c>
    </row>
    <row r="4998">
      <c r="A4998"/>
      <c r="B4998">
        <v>11</v>
      </c>
      <c r="C4998" s="43">
        <f>INDEX(DarlObj,11)</f>
      </c>
      <c r="D4998">
        <v>195</v>
      </c>
      <c r="E4998" s="51">
        <f>IF(INDEX(DarlBelegt,11)=0,0,EOMONTH(INDEX(DarlAuszahlung,11),194)+1)</f>
      </c>
      <c r="F4998" s="43">
        <f>IF($E4998=0,0,YEAR($E4998))</f>
      </c>
      <c r="G4998" s="43">
        <f>IF(INDEX(DarlBindung,11)="",1,IF($E4998&lt;=INDEX(DarlBindung,11),1,0))</f>
      </c>
      <c r="H4998" s="43">
        <f>IF($G4998=1,INDEX(DarlSollzins,11),INDEX(DarlAnschluss,11))</f>
      </c>
      <c r="I4998" s="43">
        <f>IF(INDEX(DarlBelegt,11)=0,0,IF(INDEX(DarlOhneTilgung,11)=1,IF(INDEX(DarlBindung,11)="",1,$G4998),IF($J4998&gt;0.005,1,0)))</f>
      </c>
      <c r="J4998" s="43">
        <f>IF($I4997=0,0,$R4997)</f>
      </c>
      <c r="K4998" s="43">
        <f>IF($I4998=0,0,IF(INDEX(DarlOhneTilgung,11)=1,0,IF(AND(INDEX(DarlTilgStart,11)&gt;0,$E4998=INDEX(DarlTilgStart,11)),$J4998*($H4998+INDEX(DarlTilgung,11))/100/12,IF(AND($G4998=0,$G4997=1),MAX($K4997,$J4998*($H4998+1)/100/12),$K4997))))</f>
      </c>
      <c r="L4998" s="43">
        <f>IF($I4998=0,0,$J4998*$H4998/100/12)</f>
      </c>
      <c r="M4998" s="43">
        <f>IF($I4998=0,0,IF(OR(INDEX(DarlOhneTilgung,11)=1,AND(INDEX(DarlTilgStart,11)&gt;0,$E4998&lt;INDEX(DarlTilgStart,11))),0,MIN(MAX(0,$K4998-$L4998),$J4998)))</f>
      </c>
      <c r="N4998" s="43">
        <f>IF($I4998=0,0,MIN(SUMIFS(SondBetrag,SondDarl,11,SondDatum,"&gt;="&amp;$E4998,SondDatum,"&lt;="&amp;EOMONTH($E4998,0)),$J4998-$M4998))</f>
      </c>
      <c r="O4998" s="43">
        <f>IF($I4998=0,0,INDEX(DarlErsatzRate,11))</f>
      </c>
      <c r="P4998" s="43">
        <f>IF($I4998=0,0,$Q4997*INDEX(DarlErsatzZins,11))</f>
      </c>
      <c r="Q4998" s="43">
        <f>IF($I4998=0,0,$Q4997+$P4998+$O4998)</f>
      </c>
      <c r="R4998" s="43">
        <f>IF($I4998=0,0,$J4998-$M4998-$N4998)</f>
      </c>
    </row>
    <row r="4999">
      <c r="A4999"/>
      <c r="B4999">
        <v>11</v>
      </c>
      <c r="C4999" s="43">
        <f>INDEX(DarlObj,11)</f>
      </c>
      <c r="D4999">
        <v>196</v>
      </c>
      <c r="E4999" s="51">
        <f>IF(INDEX(DarlBelegt,11)=0,0,EOMONTH(INDEX(DarlAuszahlung,11),195)+1)</f>
      </c>
      <c r="F4999" s="43">
        <f>IF($E4999=0,0,YEAR($E4999))</f>
      </c>
      <c r="G4999" s="43">
        <f>IF(INDEX(DarlBindung,11)="",1,IF($E4999&lt;=INDEX(DarlBindung,11),1,0))</f>
      </c>
      <c r="H4999" s="43">
        <f>IF($G4999=1,INDEX(DarlSollzins,11),INDEX(DarlAnschluss,11))</f>
      </c>
      <c r="I4999" s="43">
        <f>IF(INDEX(DarlBelegt,11)=0,0,IF(INDEX(DarlOhneTilgung,11)=1,IF(INDEX(DarlBindung,11)="",1,$G4999),IF($J4999&gt;0.005,1,0)))</f>
      </c>
      <c r="J4999" s="43">
        <f>IF($I4998=0,0,$R4998)</f>
      </c>
      <c r="K4999" s="43">
        <f>IF($I4999=0,0,IF(INDEX(DarlOhneTilgung,11)=1,0,IF(AND(INDEX(DarlTilgStart,11)&gt;0,$E4999=INDEX(DarlTilgStart,11)),$J4999*($H4999+INDEX(DarlTilgung,11))/100/12,IF(AND($G4999=0,$G4998=1),MAX($K4998,$J4999*($H4999+1)/100/12),$K4998))))</f>
      </c>
      <c r="L4999" s="43">
        <f>IF($I4999=0,0,$J4999*$H4999/100/12)</f>
      </c>
      <c r="M4999" s="43">
        <f>IF($I4999=0,0,IF(OR(INDEX(DarlOhneTilgung,11)=1,AND(INDEX(DarlTilgStart,11)&gt;0,$E4999&lt;INDEX(DarlTilgStart,11))),0,MIN(MAX(0,$K4999-$L4999),$J4999)))</f>
      </c>
      <c r="N4999" s="43">
        <f>IF($I4999=0,0,MIN(SUMIFS(SondBetrag,SondDarl,11,SondDatum,"&gt;="&amp;$E4999,SondDatum,"&lt;="&amp;EOMONTH($E4999,0)),$J4999-$M4999))</f>
      </c>
      <c r="O4999" s="43">
        <f>IF($I4999=0,0,INDEX(DarlErsatzRate,11))</f>
      </c>
      <c r="P4999" s="43">
        <f>IF($I4999=0,0,$Q4998*INDEX(DarlErsatzZins,11))</f>
      </c>
      <c r="Q4999" s="43">
        <f>IF($I4999=0,0,$Q4998+$P4999+$O4999)</f>
      </c>
      <c r="R4999" s="43">
        <f>IF($I4999=0,0,$J4999-$M4999-$N4999)</f>
      </c>
    </row>
    <row r="5000">
      <c r="A5000"/>
      <c r="B5000">
        <v>11</v>
      </c>
      <c r="C5000" s="43">
        <f>INDEX(DarlObj,11)</f>
      </c>
      <c r="D5000">
        <v>197</v>
      </c>
      <c r="E5000" s="51">
        <f>IF(INDEX(DarlBelegt,11)=0,0,EOMONTH(INDEX(DarlAuszahlung,11),196)+1)</f>
      </c>
      <c r="F5000" s="43">
        <f>IF($E5000=0,0,YEAR($E5000))</f>
      </c>
      <c r="G5000" s="43">
        <f>IF(INDEX(DarlBindung,11)="",1,IF($E5000&lt;=INDEX(DarlBindung,11),1,0))</f>
      </c>
      <c r="H5000" s="43">
        <f>IF($G5000=1,INDEX(DarlSollzins,11),INDEX(DarlAnschluss,11))</f>
      </c>
      <c r="I5000" s="43">
        <f>IF(INDEX(DarlBelegt,11)=0,0,IF(INDEX(DarlOhneTilgung,11)=1,IF(INDEX(DarlBindung,11)="",1,$G5000),IF($J5000&gt;0.005,1,0)))</f>
      </c>
      <c r="J5000" s="43">
        <f>IF($I4999=0,0,$R4999)</f>
      </c>
      <c r="K5000" s="43">
        <f>IF($I5000=0,0,IF(INDEX(DarlOhneTilgung,11)=1,0,IF(AND(INDEX(DarlTilgStart,11)&gt;0,$E5000=INDEX(DarlTilgStart,11)),$J5000*($H5000+INDEX(DarlTilgung,11))/100/12,IF(AND($G5000=0,$G4999=1),MAX($K4999,$J5000*($H5000+1)/100/12),$K4999))))</f>
      </c>
      <c r="L5000" s="43">
        <f>IF($I5000=0,0,$J5000*$H5000/100/12)</f>
      </c>
      <c r="M5000" s="43">
        <f>IF($I5000=0,0,IF(OR(INDEX(DarlOhneTilgung,11)=1,AND(INDEX(DarlTilgStart,11)&gt;0,$E5000&lt;INDEX(DarlTilgStart,11))),0,MIN(MAX(0,$K5000-$L5000),$J5000)))</f>
      </c>
      <c r="N5000" s="43">
        <f>IF($I5000=0,0,MIN(SUMIFS(SondBetrag,SondDarl,11,SondDatum,"&gt;="&amp;$E5000,SondDatum,"&lt;="&amp;EOMONTH($E5000,0)),$J5000-$M5000))</f>
      </c>
      <c r="O5000" s="43">
        <f>IF($I5000=0,0,INDEX(DarlErsatzRate,11))</f>
      </c>
      <c r="P5000" s="43">
        <f>IF($I5000=0,0,$Q4999*INDEX(DarlErsatzZins,11))</f>
      </c>
      <c r="Q5000" s="43">
        <f>IF($I5000=0,0,$Q4999+$P5000+$O5000)</f>
      </c>
      <c r="R5000" s="43">
        <f>IF($I5000=0,0,$J5000-$M5000-$N5000)</f>
      </c>
    </row>
    <row r="5001">
      <c r="A5001"/>
      <c r="B5001">
        <v>11</v>
      </c>
      <c r="C5001" s="43">
        <f>INDEX(DarlObj,11)</f>
      </c>
      <c r="D5001">
        <v>198</v>
      </c>
      <c r="E5001" s="51">
        <f>IF(INDEX(DarlBelegt,11)=0,0,EOMONTH(INDEX(DarlAuszahlung,11),197)+1)</f>
      </c>
      <c r="F5001" s="43">
        <f>IF($E5001=0,0,YEAR($E5001))</f>
      </c>
      <c r="G5001" s="43">
        <f>IF(INDEX(DarlBindung,11)="",1,IF($E5001&lt;=INDEX(DarlBindung,11),1,0))</f>
      </c>
      <c r="H5001" s="43">
        <f>IF($G5001=1,INDEX(DarlSollzins,11),INDEX(DarlAnschluss,11))</f>
      </c>
      <c r="I5001" s="43">
        <f>IF(INDEX(DarlBelegt,11)=0,0,IF(INDEX(DarlOhneTilgung,11)=1,IF(INDEX(DarlBindung,11)="",1,$G5001),IF($J5001&gt;0.005,1,0)))</f>
      </c>
      <c r="J5001" s="43">
        <f>IF($I5000=0,0,$R5000)</f>
      </c>
      <c r="K5001" s="43">
        <f>IF($I5001=0,0,IF(INDEX(DarlOhneTilgung,11)=1,0,IF(AND(INDEX(DarlTilgStart,11)&gt;0,$E5001=INDEX(DarlTilgStart,11)),$J5001*($H5001+INDEX(DarlTilgung,11))/100/12,IF(AND($G5001=0,$G5000=1),MAX($K5000,$J5001*($H5001+1)/100/12),$K5000))))</f>
      </c>
      <c r="L5001" s="43">
        <f>IF($I5001=0,0,$J5001*$H5001/100/12)</f>
      </c>
      <c r="M5001" s="43">
        <f>IF($I5001=0,0,IF(OR(INDEX(DarlOhneTilgung,11)=1,AND(INDEX(DarlTilgStart,11)&gt;0,$E5001&lt;INDEX(DarlTilgStart,11))),0,MIN(MAX(0,$K5001-$L5001),$J5001)))</f>
      </c>
      <c r="N5001" s="43">
        <f>IF($I5001=0,0,MIN(SUMIFS(SondBetrag,SondDarl,11,SondDatum,"&gt;="&amp;$E5001,SondDatum,"&lt;="&amp;EOMONTH($E5001,0)),$J5001-$M5001))</f>
      </c>
      <c r="O5001" s="43">
        <f>IF($I5001=0,0,INDEX(DarlErsatzRate,11))</f>
      </c>
      <c r="P5001" s="43">
        <f>IF($I5001=0,0,$Q5000*INDEX(DarlErsatzZins,11))</f>
      </c>
      <c r="Q5001" s="43">
        <f>IF($I5001=0,0,$Q5000+$P5001+$O5001)</f>
      </c>
      <c r="R5001" s="43">
        <f>IF($I5001=0,0,$J5001-$M5001-$N5001)</f>
      </c>
    </row>
    <row r="5002">
      <c r="A5002"/>
      <c r="B5002">
        <v>11</v>
      </c>
      <c r="C5002" s="43">
        <f>INDEX(DarlObj,11)</f>
      </c>
      <c r="D5002">
        <v>199</v>
      </c>
      <c r="E5002" s="51">
        <f>IF(INDEX(DarlBelegt,11)=0,0,EOMONTH(INDEX(DarlAuszahlung,11),198)+1)</f>
      </c>
      <c r="F5002" s="43">
        <f>IF($E5002=0,0,YEAR($E5002))</f>
      </c>
      <c r="G5002" s="43">
        <f>IF(INDEX(DarlBindung,11)="",1,IF($E5002&lt;=INDEX(DarlBindung,11),1,0))</f>
      </c>
      <c r="H5002" s="43">
        <f>IF($G5002=1,INDEX(DarlSollzins,11),INDEX(DarlAnschluss,11))</f>
      </c>
      <c r="I5002" s="43">
        <f>IF(INDEX(DarlBelegt,11)=0,0,IF(INDEX(DarlOhneTilgung,11)=1,IF(INDEX(DarlBindung,11)="",1,$G5002),IF($J5002&gt;0.005,1,0)))</f>
      </c>
      <c r="J5002" s="43">
        <f>IF($I5001=0,0,$R5001)</f>
      </c>
      <c r="K5002" s="43">
        <f>IF($I5002=0,0,IF(INDEX(DarlOhneTilgung,11)=1,0,IF(AND(INDEX(DarlTilgStart,11)&gt;0,$E5002=INDEX(DarlTilgStart,11)),$J5002*($H5002+INDEX(DarlTilgung,11))/100/12,IF(AND($G5002=0,$G5001=1),MAX($K5001,$J5002*($H5002+1)/100/12),$K5001))))</f>
      </c>
      <c r="L5002" s="43">
        <f>IF($I5002=0,0,$J5002*$H5002/100/12)</f>
      </c>
      <c r="M5002" s="43">
        <f>IF($I5002=0,0,IF(OR(INDEX(DarlOhneTilgung,11)=1,AND(INDEX(DarlTilgStart,11)&gt;0,$E5002&lt;INDEX(DarlTilgStart,11))),0,MIN(MAX(0,$K5002-$L5002),$J5002)))</f>
      </c>
      <c r="N5002" s="43">
        <f>IF($I5002=0,0,MIN(SUMIFS(SondBetrag,SondDarl,11,SondDatum,"&gt;="&amp;$E5002,SondDatum,"&lt;="&amp;EOMONTH($E5002,0)),$J5002-$M5002))</f>
      </c>
      <c r="O5002" s="43">
        <f>IF($I5002=0,0,INDEX(DarlErsatzRate,11))</f>
      </c>
      <c r="P5002" s="43">
        <f>IF($I5002=0,0,$Q5001*INDEX(DarlErsatzZins,11))</f>
      </c>
      <c r="Q5002" s="43">
        <f>IF($I5002=0,0,$Q5001+$P5002+$O5002)</f>
      </c>
      <c r="R5002" s="43">
        <f>IF($I5002=0,0,$J5002-$M5002-$N5002)</f>
      </c>
    </row>
    <row r="5003">
      <c r="A5003"/>
      <c r="B5003">
        <v>11</v>
      </c>
      <c r="C5003" s="43">
        <f>INDEX(DarlObj,11)</f>
      </c>
      <c r="D5003">
        <v>200</v>
      </c>
      <c r="E5003" s="51">
        <f>IF(INDEX(DarlBelegt,11)=0,0,EOMONTH(INDEX(DarlAuszahlung,11),199)+1)</f>
      </c>
      <c r="F5003" s="43">
        <f>IF($E5003=0,0,YEAR($E5003))</f>
      </c>
      <c r="G5003" s="43">
        <f>IF(INDEX(DarlBindung,11)="",1,IF($E5003&lt;=INDEX(DarlBindung,11),1,0))</f>
      </c>
      <c r="H5003" s="43">
        <f>IF($G5003=1,INDEX(DarlSollzins,11),INDEX(DarlAnschluss,11))</f>
      </c>
      <c r="I5003" s="43">
        <f>IF(INDEX(DarlBelegt,11)=0,0,IF(INDEX(DarlOhneTilgung,11)=1,IF(INDEX(DarlBindung,11)="",1,$G5003),IF($J5003&gt;0.005,1,0)))</f>
      </c>
      <c r="J5003" s="43">
        <f>IF($I5002=0,0,$R5002)</f>
      </c>
      <c r="K5003" s="43">
        <f>IF($I5003=0,0,IF(INDEX(DarlOhneTilgung,11)=1,0,IF(AND(INDEX(DarlTilgStart,11)&gt;0,$E5003=INDEX(DarlTilgStart,11)),$J5003*($H5003+INDEX(DarlTilgung,11))/100/12,IF(AND($G5003=0,$G5002=1),MAX($K5002,$J5003*($H5003+1)/100/12),$K5002))))</f>
      </c>
      <c r="L5003" s="43">
        <f>IF($I5003=0,0,$J5003*$H5003/100/12)</f>
      </c>
      <c r="M5003" s="43">
        <f>IF($I5003=0,0,IF(OR(INDEX(DarlOhneTilgung,11)=1,AND(INDEX(DarlTilgStart,11)&gt;0,$E5003&lt;INDEX(DarlTilgStart,11))),0,MIN(MAX(0,$K5003-$L5003),$J5003)))</f>
      </c>
      <c r="N5003" s="43">
        <f>IF($I5003=0,0,MIN(SUMIFS(SondBetrag,SondDarl,11,SondDatum,"&gt;="&amp;$E5003,SondDatum,"&lt;="&amp;EOMONTH($E5003,0)),$J5003-$M5003))</f>
      </c>
      <c r="O5003" s="43">
        <f>IF($I5003=0,0,INDEX(DarlErsatzRate,11))</f>
      </c>
      <c r="P5003" s="43">
        <f>IF($I5003=0,0,$Q5002*INDEX(DarlErsatzZins,11))</f>
      </c>
      <c r="Q5003" s="43">
        <f>IF($I5003=0,0,$Q5002+$P5003+$O5003)</f>
      </c>
      <c r="R5003" s="43">
        <f>IF($I5003=0,0,$J5003-$M5003-$N5003)</f>
      </c>
    </row>
    <row r="5004">
      <c r="A5004"/>
      <c r="B5004">
        <v>11</v>
      </c>
      <c r="C5004" s="43">
        <f>INDEX(DarlObj,11)</f>
      </c>
      <c r="D5004">
        <v>201</v>
      </c>
      <c r="E5004" s="51">
        <f>IF(INDEX(DarlBelegt,11)=0,0,EOMONTH(INDEX(DarlAuszahlung,11),200)+1)</f>
      </c>
      <c r="F5004" s="43">
        <f>IF($E5004=0,0,YEAR($E5004))</f>
      </c>
      <c r="G5004" s="43">
        <f>IF(INDEX(DarlBindung,11)="",1,IF($E5004&lt;=INDEX(DarlBindung,11),1,0))</f>
      </c>
      <c r="H5004" s="43">
        <f>IF($G5004=1,INDEX(DarlSollzins,11),INDEX(DarlAnschluss,11))</f>
      </c>
      <c r="I5004" s="43">
        <f>IF(INDEX(DarlBelegt,11)=0,0,IF(INDEX(DarlOhneTilgung,11)=1,IF(INDEX(DarlBindung,11)="",1,$G5004),IF($J5004&gt;0.005,1,0)))</f>
      </c>
      <c r="J5004" s="43">
        <f>IF($I5003=0,0,$R5003)</f>
      </c>
      <c r="K5004" s="43">
        <f>IF($I5004=0,0,IF(INDEX(DarlOhneTilgung,11)=1,0,IF(AND(INDEX(DarlTilgStart,11)&gt;0,$E5004=INDEX(DarlTilgStart,11)),$J5004*($H5004+INDEX(DarlTilgung,11))/100/12,IF(AND($G5004=0,$G5003=1),MAX($K5003,$J5004*($H5004+1)/100/12),$K5003))))</f>
      </c>
      <c r="L5004" s="43">
        <f>IF($I5004=0,0,$J5004*$H5004/100/12)</f>
      </c>
      <c r="M5004" s="43">
        <f>IF($I5004=0,0,IF(OR(INDEX(DarlOhneTilgung,11)=1,AND(INDEX(DarlTilgStart,11)&gt;0,$E5004&lt;INDEX(DarlTilgStart,11))),0,MIN(MAX(0,$K5004-$L5004),$J5004)))</f>
      </c>
      <c r="N5004" s="43">
        <f>IF($I5004=0,0,MIN(SUMIFS(SondBetrag,SondDarl,11,SondDatum,"&gt;="&amp;$E5004,SondDatum,"&lt;="&amp;EOMONTH($E5004,0)),$J5004-$M5004))</f>
      </c>
      <c r="O5004" s="43">
        <f>IF($I5004=0,0,INDEX(DarlErsatzRate,11))</f>
      </c>
      <c r="P5004" s="43">
        <f>IF($I5004=0,0,$Q5003*INDEX(DarlErsatzZins,11))</f>
      </c>
      <c r="Q5004" s="43">
        <f>IF($I5004=0,0,$Q5003+$P5004+$O5004)</f>
      </c>
      <c r="R5004" s="43">
        <f>IF($I5004=0,0,$J5004-$M5004-$N5004)</f>
      </c>
    </row>
    <row r="5005">
      <c r="A5005"/>
      <c r="B5005">
        <v>11</v>
      </c>
      <c r="C5005" s="43">
        <f>INDEX(DarlObj,11)</f>
      </c>
      <c r="D5005">
        <v>202</v>
      </c>
      <c r="E5005" s="51">
        <f>IF(INDEX(DarlBelegt,11)=0,0,EOMONTH(INDEX(DarlAuszahlung,11),201)+1)</f>
      </c>
      <c r="F5005" s="43">
        <f>IF($E5005=0,0,YEAR($E5005))</f>
      </c>
      <c r="G5005" s="43">
        <f>IF(INDEX(DarlBindung,11)="",1,IF($E5005&lt;=INDEX(DarlBindung,11),1,0))</f>
      </c>
      <c r="H5005" s="43">
        <f>IF($G5005=1,INDEX(DarlSollzins,11),INDEX(DarlAnschluss,11))</f>
      </c>
      <c r="I5005" s="43">
        <f>IF(INDEX(DarlBelegt,11)=0,0,IF(INDEX(DarlOhneTilgung,11)=1,IF(INDEX(DarlBindung,11)="",1,$G5005),IF($J5005&gt;0.005,1,0)))</f>
      </c>
      <c r="J5005" s="43">
        <f>IF($I5004=0,0,$R5004)</f>
      </c>
      <c r="K5005" s="43">
        <f>IF($I5005=0,0,IF(INDEX(DarlOhneTilgung,11)=1,0,IF(AND(INDEX(DarlTilgStart,11)&gt;0,$E5005=INDEX(DarlTilgStart,11)),$J5005*($H5005+INDEX(DarlTilgung,11))/100/12,IF(AND($G5005=0,$G5004=1),MAX($K5004,$J5005*($H5005+1)/100/12),$K5004))))</f>
      </c>
      <c r="L5005" s="43">
        <f>IF($I5005=0,0,$J5005*$H5005/100/12)</f>
      </c>
      <c r="M5005" s="43">
        <f>IF($I5005=0,0,IF(OR(INDEX(DarlOhneTilgung,11)=1,AND(INDEX(DarlTilgStart,11)&gt;0,$E5005&lt;INDEX(DarlTilgStart,11))),0,MIN(MAX(0,$K5005-$L5005),$J5005)))</f>
      </c>
      <c r="N5005" s="43">
        <f>IF($I5005=0,0,MIN(SUMIFS(SondBetrag,SondDarl,11,SondDatum,"&gt;="&amp;$E5005,SondDatum,"&lt;="&amp;EOMONTH($E5005,0)),$J5005-$M5005))</f>
      </c>
      <c r="O5005" s="43">
        <f>IF($I5005=0,0,INDEX(DarlErsatzRate,11))</f>
      </c>
      <c r="P5005" s="43">
        <f>IF($I5005=0,0,$Q5004*INDEX(DarlErsatzZins,11))</f>
      </c>
      <c r="Q5005" s="43">
        <f>IF($I5005=0,0,$Q5004+$P5005+$O5005)</f>
      </c>
      <c r="R5005" s="43">
        <f>IF($I5005=0,0,$J5005-$M5005-$N5005)</f>
      </c>
    </row>
    <row r="5006">
      <c r="A5006"/>
      <c r="B5006">
        <v>11</v>
      </c>
      <c r="C5006" s="43">
        <f>INDEX(DarlObj,11)</f>
      </c>
      <c r="D5006">
        <v>203</v>
      </c>
      <c r="E5006" s="51">
        <f>IF(INDEX(DarlBelegt,11)=0,0,EOMONTH(INDEX(DarlAuszahlung,11),202)+1)</f>
      </c>
      <c r="F5006" s="43">
        <f>IF($E5006=0,0,YEAR($E5006))</f>
      </c>
      <c r="G5006" s="43">
        <f>IF(INDEX(DarlBindung,11)="",1,IF($E5006&lt;=INDEX(DarlBindung,11),1,0))</f>
      </c>
      <c r="H5006" s="43">
        <f>IF($G5006=1,INDEX(DarlSollzins,11),INDEX(DarlAnschluss,11))</f>
      </c>
      <c r="I5006" s="43">
        <f>IF(INDEX(DarlBelegt,11)=0,0,IF(INDEX(DarlOhneTilgung,11)=1,IF(INDEX(DarlBindung,11)="",1,$G5006),IF($J5006&gt;0.005,1,0)))</f>
      </c>
      <c r="J5006" s="43">
        <f>IF($I5005=0,0,$R5005)</f>
      </c>
      <c r="K5006" s="43">
        <f>IF($I5006=0,0,IF(INDEX(DarlOhneTilgung,11)=1,0,IF(AND(INDEX(DarlTilgStart,11)&gt;0,$E5006=INDEX(DarlTilgStart,11)),$J5006*($H5006+INDEX(DarlTilgung,11))/100/12,IF(AND($G5006=0,$G5005=1),MAX($K5005,$J5006*($H5006+1)/100/12),$K5005))))</f>
      </c>
      <c r="L5006" s="43">
        <f>IF($I5006=0,0,$J5006*$H5006/100/12)</f>
      </c>
      <c r="M5006" s="43">
        <f>IF($I5006=0,0,IF(OR(INDEX(DarlOhneTilgung,11)=1,AND(INDEX(DarlTilgStart,11)&gt;0,$E5006&lt;INDEX(DarlTilgStart,11))),0,MIN(MAX(0,$K5006-$L5006),$J5006)))</f>
      </c>
      <c r="N5006" s="43">
        <f>IF($I5006=0,0,MIN(SUMIFS(SondBetrag,SondDarl,11,SondDatum,"&gt;="&amp;$E5006,SondDatum,"&lt;="&amp;EOMONTH($E5006,0)),$J5006-$M5006))</f>
      </c>
      <c r="O5006" s="43">
        <f>IF($I5006=0,0,INDEX(DarlErsatzRate,11))</f>
      </c>
      <c r="P5006" s="43">
        <f>IF($I5006=0,0,$Q5005*INDEX(DarlErsatzZins,11))</f>
      </c>
      <c r="Q5006" s="43">
        <f>IF($I5006=0,0,$Q5005+$P5006+$O5006)</f>
      </c>
      <c r="R5006" s="43">
        <f>IF($I5006=0,0,$J5006-$M5006-$N5006)</f>
      </c>
    </row>
    <row r="5007">
      <c r="A5007"/>
      <c r="B5007">
        <v>11</v>
      </c>
      <c r="C5007" s="43">
        <f>INDEX(DarlObj,11)</f>
      </c>
      <c r="D5007">
        <v>204</v>
      </c>
      <c r="E5007" s="51">
        <f>IF(INDEX(DarlBelegt,11)=0,0,EOMONTH(INDEX(DarlAuszahlung,11),203)+1)</f>
      </c>
      <c r="F5007" s="43">
        <f>IF($E5007=0,0,YEAR($E5007))</f>
      </c>
      <c r="G5007" s="43">
        <f>IF(INDEX(DarlBindung,11)="",1,IF($E5007&lt;=INDEX(DarlBindung,11),1,0))</f>
      </c>
      <c r="H5007" s="43">
        <f>IF($G5007=1,INDEX(DarlSollzins,11),INDEX(DarlAnschluss,11))</f>
      </c>
      <c r="I5007" s="43">
        <f>IF(INDEX(DarlBelegt,11)=0,0,IF(INDEX(DarlOhneTilgung,11)=1,IF(INDEX(DarlBindung,11)="",1,$G5007),IF($J5007&gt;0.005,1,0)))</f>
      </c>
      <c r="J5007" s="43">
        <f>IF($I5006=0,0,$R5006)</f>
      </c>
      <c r="K5007" s="43">
        <f>IF($I5007=0,0,IF(INDEX(DarlOhneTilgung,11)=1,0,IF(AND(INDEX(DarlTilgStart,11)&gt;0,$E5007=INDEX(DarlTilgStart,11)),$J5007*($H5007+INDEX(DarlTilgung,11))/100/12,IF(AND($G5007=0,$G5006=1),MAX($K5006,$J5007*($H5007+1)/100/12),$K5006))))</f>
      </c>
      <c r="L5007" s="43">
        <f>IF($I5007=0,0,$J5007*$H5007/100/12)</f>
      </c>
      <c r="M5007" s="43">
        <f>IF($I5007=0,0,IF(OR(INDEX(DarlOhneTilgung,11)=1,AND(INDEX(DarlTilgStart,11)&gt;0,$E5007&lt;INDEX(DarlTilgStart,11))),0,MIN(MAX(0,$K5007-$L5007),$J5007)))</f>
      </c>
      <c r="N5007" s="43">
        <f>IF($I5007=0,0,MIN(SUMIFS(SondBetrag,SondDarl,11,SondDatum,"&gt;="&amp;$E5007,SondDatum,"&lt;="&amp;EOMONTH($E5007,0)),$J5007-$M5007))</f>
      </c>
      <c r="O5007" s="43">
        <f>IF($I5007=0,0,INDEX(DarlErsatzRate,11))</f>
      </c>
      <c r="P5007" s="43">
        <f>IF($I5007=0,0,$Q5006*INDEX(DarlErsatzZins,11))</f>
      </c>
      <c r="Q5007" s="43">
        <f>IF($I5007=0,0,$Q5006+$P5007+$O5007)</f>
      </c>
      <c r="R5007" s="43">
        <f>IF($I5007=0,0,$J5007-$M5007-$N5007)</f>
      </c>
    </row>
    <row r="5008">
      <c r="A5008"/>
      <c r="B5008">
        <v>11</v>
      </c>
      <c r="C5008" s="43">
        <f>INDEX(DarlObj,11)</f>
      </c>
      <c r="D5008">
        <v>205</v>
      </c>
      <c r="E5008" s="51">
        <f>IF(INDEX(DarlBelegt,11)=0,0,EOMONTH(INDEX(DarlAuszahlung,11),204)+1)</f>
      </c>
      <c r="F5008" s="43">
        <f>IF($E5008=0,0,YEAR($E5008))</f>
      </c>
      <c r="G5008" s="43">
        <f>IF(INDEX(DarlBindung,11)="",1,IF($E5008&lt;=INDEX(DarlBindung,11),1,0))</f>
      </c>
      <c r="H5008" s="43">
        <f>IF($G5008=1,INDEX(DarlSollzins,11),INDEX(DarlAnschluss,11))</f>
      </c>
      <c r="I5008" s="43">
        <f>IF(INDEX(DarlBelegt,11)=0,0,IF(INDEX(DarlOhneTilgung,11)=1,IF(INDEX(DarlBindung,11)="",1,$G5008),IF($J5008&gt;0.005,1,0)))</f>
      </c>
      <c r="J5008" s="43">
        <f>IF($I5007=0,0,$R5007)</f>
      </c>
      <c r="K5008" s="43">
        <f>IF($I5008=0,0,IF(INDEX(DarlOhneTilgung,11)=1,0,IF(AND(INDEX(DarlTilgStart,11)&gt;0,$E5008=INDEX(DarlTilgStart,11)),$J5008*($H5008+INDEX(DarlTilgung,11))/100/12,IF(AND($G5008=0,$G5007=1),MAX($K5007,$J5008*($H5008+1)/100/12),$K5007))))</f>
      </c>
      <c r="L5008" s="43">
        <f>IF($I5008=0,0,$J5008*$H5008/100/12)</f>
      </c>
      <c r="M5008" s="43">
        <f>IF($I5008=0,0,IF(OR(INDEX(DarlOhneTilgung,11)=1,AND(INDEX(DarlTilgStart,11)&gt;0,$E5008&lt;INDEX(DarlTilgStart,11))),0,MIN(MAX(0,$K5008-$L5008),$J5008)))</f>
      </c>
      <c r="N5008" s="43">
        <f>IF($I5008=0,0,MIN(SUMIFS(SondBetrag,SondDarl,11,SondDatum,"&gt;="&amp;$E5008,SondDatum,"&lt;="&amp;EOMONTH($E5008,0)),$J5008-$M5008))</f>
      </c>
      <c r="O5008" s="43">
        <f>IF($I5008=0,0,INDEX(DarlErsatzRate,11))</f>
      </c>
      <c r="P5008" s="43">
        <f>IF($I5008=0,0,$Q5007*INDEX(DarlErsatzZins,11))</f>
      </c>
      <c r="Q5008" s="43">
        <f>IF($I5008=0,0,$Q5007+$P5008+$O5008)</f>
      </c>
      <c r="R5008" s="43">
        <f>IF($I5008=0,0,$J5008-$M5008-$N5008)</f>
      </c>
    </row>
    <row r="5009">
      <c r="A5009"/>
      <c r="B5009">
        <v>11</v>
      </c>
      <c r="C5009" s="43">
        <f>INDEX(DarlObj,11)</f>
      </c>
      <c r="D5009">
        <v>206</v>
      </c>
      <c r="E5009" s="51">
        <f>IF(INDEX(DarlBelegt,11)=0,0,EOMONTH(INDEX(DarlAuszahlung,11),205)+1)</f>
      </c>
      <c r="F5009" s="43">
        <f>IF($E5009=0,0,YEAR($E5009))</f>
      </c>
      <c r="G5009" s="43">
        <f>IF(INDEX(DarlBindung,11)="",1,IF($E5009&lt;=INDEX(DarlBindung,11),1,0))</f>
      </c>
      <c r="H5009" s="43">
        <f>IF($G5009=1,INDEX(DarlSollzins,11),INDEX(DarlAnschluss,11))</f>
      </c>
      <c r="I5009" s="43">
        <f>IF(INDEX(DarlBelegt,11)=0,0,IF(INDEX(DarlOhneTilgung,11)=1,IF(INDEX(DarlBindung,11)="",1,$G5009),IF($J5009&gt;0.005,1,0)))</f>
      </c>
      <c r="J5009" s="43">
        <f>IF($I5008=0,0,$R5008)</f>
      </c>
      <c r="K5009" s="43">
        <f>IF($I5009=0,0,IF(INDEX(DarlOhneTilgung,11)=1,0,IF(AND(INDEX(DarlTilgStart,11)&gt;0,$E5009=INDEX(DarlTilgStart,11)),$J5009*($H5009+INDEX(DarlTilgung,11))/100/12,IF(AND($G5009=0,$G5008=1),MAX($K5008,$J5009*($H5009+1)/100/12),$K5008))))</f>
      </c>
      <c r="L5009" s="43">
        <f>IF($I5009=0,0,$J5009*$H5009/100/12)</f>
      </c>
      <c r="M5009" s="43">
        <f>IF($I5009=0,0,IF(OR(INDEX(DarlOhneTilgung,11)=1,AND(INDEX(DarlTilgStart,11)&gt;0,$E5009&lt;INDEX(DarlTilgStart,11))),0,MIN(MAX(0,$K5009-$L5009),$J5009)))</f>
      </c>
      <c r="N5009" s="43">
        <f>IF($I5009=0,0,MIN(SUMIFS(SondBetrag,SondDarl,11,SondDatum,"&gt;="&amp;$E5009,SondDatum,"&lt;="&amp;EOMONTH($E5009,0)),$J5009-$M5009))</f>
      </c>
      <c r="O5009" s="43">
        <f>IF($I5009=0,0,INDEX(DarlErsatzRate,11))</f>
      </c>
      <c r="P5009" s="43">
        <f>IF($I5009=0,0,$Q5008*INDEX(DarlErsatzZins,11))</f>
      </c>
      <c r="Q5009" s="43">
        <f>IF($I5009=0,0,$Q5008+$P5009+$O5009)</f>
      </c>
      <c r="R5009" s="43">
        <f>IF($I5009=0,0,$J5009-$M5009-$N5009)</f>
      </c>
    </row>
    <row r="5010">
      <c r="A5010"/>
      <c r="B5010">
        <v>11</v>
      </c>
      <c r="C5010" s="43">
        <f>INDEX(DarlObj,11)</f>
      </c>
      <c r="D5010">
        <v>207</v>
      </c>
      <c r="E5010" s="51">
        <f>IF(INDEX(DarlBelegt,11)=0,0,EOMONTH(INDEX(DarlAuszahlung,11),206)+1)</f>
      </c>
      <c r="F5010" s="43">
        <f>IF($E5010=0,0,YEAR($E5010))</f>
      </c>
      <c r="G5010" s="43">
        <f>IF(INDEX(DarlBindung,11)="",1,IF($E5010&lt;=INDEX(DarlBindung,11),1,0))</f>
      </c>
      <c r="H5010" s="43">
        <f>IF($G5010=1,INDEX(DarlSollzins,11),INDEX(DarlAnschluss,11))</f>
      </c>
      <c r="I5010" s="43">
        <f>IF(INDEX(DarlBelegt,11)=0,0,IF(INDEX(DarlOhneTilgung,11)=1,IF(INDEX(DarlBindung,11)="",1,$G5010),IF($J5010&gt;0.005,1,0)))</f>
      </c>
      <c r="J5010" s="43">
        <f>IF($I5009=0,0,$R5009)</f>
      </c>
      <c r="K5010" s="43">
        <f>IF($I5010=0,0,IF(INDEX(DarlOhneTilgung,11)=1,0,IF(AND(INDEX(DarlTilgStart,11)&gt;0,$E5010=INDEX(DarlTilgStart,11)),$J5010*($H5010+INDEX(DarlTilgung,11))/100/12,IF(AND($G5010=0,$G5009=1),MAX($K5009,$J5010*($H5010+1)/100/12),$K5009))))</f>
      </c>
      <c r="L5010" s="43">
        <f>IF($I5010=0,0,$J5010*$H5010/100/12)</f>
      </c>
      <c r="M5010" s="43">
        <f>IF($I5010=0,0,IF(OR(INDEX(DarlOhneTilgung,11)=1,AND(INDEX(DarlTilgStart,11)&gt;0,$E5010&lt;INDEX(DarlTilgStart,11))),0,MIN(MAX(0,$K5010-$L5010),$J5010)))</f>
      </c>
      <c r="N5010" s="43">
        <f>IF($I5010=0,0,MIN(SUMIFS(SondBetrag,SondDarl,11,SondDatum,"&gt;="&amp;$E5010,SondDatum,"&lt;="&amp;EOMONTH($E5010,0)),$J5010-$M5010))</f>
      </c>
      <c r="O5010" s="43">
        <f>IF($I5010=0,0,INDEX(DarlErsatzRate,11))</f>
      </c>
      <c r="P5010" s="43">
        <f>IF($I5010=0,0,$Q5009*INDEX(DarlErsatzZins,11))</f>
      </c>
      <c r="Q5010" s="43">
        <f>IF($I5010=0,0,$Q5009+$P5010+$O5010)</f>
      </c>
      <c r="R5010" s="43">
        <f>IF($I5010=0,0,$J5010-$M5010-$N5010)</f>
      </c>
    </row>
    <row r="5011">
      <c r="A5011"/>
      <c r="B5011">
        <v>11</v>
      </c>
      <c r="C5011" s="43">
        <f>INDEX(DarlObj,11)</f>
      </c>
      <c r="D5011">
        <v>208</v>
      </c>
      <c r="E5011" s="51">
        <f>IF(INDEX(DarlBelegt,11)=0,0,EOMONTH(INDEX(DarlAuszahlung,11),207)+1)</f>
      </c>
      <c r="F5011" s="43">
        <f>IF($E5011=0,0,YEAR($E5011))</f>
      </c>
      <c r="G5011" s="43">
        <f>IF(INDEX(DarlBindung,11)="",1,IF($E5011&lt;=INDEX(DarlBindung,11),1,0))</f>
      </c>
      <c r="H5011" s="43">
        <f>IF($G5011=1,INDEX(DarlSollzins,11),INDEX(DarlAnschluss,11))</f>
      </c>
      <c r="I5011" s="43">
        <f>IF(INDEX(DarlBelegt,11)=0,0,IF(INDEX(DarlOhneTilgung,11)=1,IF(INDEX(DarlBindung,11)="",1,$G5011),IF($J5011&gt;0.005,1,0)))</f>
      </c>
      <c r="J5011" s="43">
        <f>IF($I5010=0,0,$R5010)</f>
      </c>
      <c r="K5011" s="43">
        <f>IF($I5011=0,0,IF(INDEX(DarlOhneTilgung,11)=1,0,IF(AND(INDEX(DarlTilgStart,11)&gt;0,$E5011=INDEX(DarlTilgStart,11)),$J5011*($H5011+INDEX(DarlTilgung,11))/100/12,IF(AND($G5011=0,$G5010=1),MAX($K5010,$J5011*($H5011+1)/100/12),$K5010))))</f>
      </c>
      <c r="L5011" s="43">
        <f>IF($I5011=0,0,$J5011*$H5011/100/12)</f>
      </c>
      <c r="M5011" s="43">
        <f>IF($I5011=0,0,IF(OR(INDEX(DarlOhneTilgung,11)=1,AND(INDEX(DarlTilgStart,11)&gt;0,$E5011&lt;INDEX(DarlTilgStart,11))),0,MIN(MAX(0,$K5011-$L5011),$J5011)))</f>
      </c>
      <c r="N5011" s="43">
        <f>IF($I5011=0,0,MIN(SUMIFS(SondBetrag,SondDarl,11,SondDatum,"&gt;="&amp;$E5011,SondDatum,"&lt;="&amp;EOMONTH($E5011,0)),$J5011-$M5011))</f>
      </c>
      <c r="O5011" s="43">
        <f>IF($I5011=0,0,INDEX(DarlErsatzRate,11))</f>
      </c>
      <c r="P5011" s="43">
        <f>IF($I5011=0,0,$Q5010*INDEX(DarlErsatzZins,11))</f>
      </c>
      <c r="Q5011" s="43">
        <f>IF($I5011=0,0,$Q5010+$P5011+$O5011)</f>
      </c>
      <c r="R5011" s="43">
        <f>IF($I5011=0,0,$J5011-$M5011-$N5011)</f>
      </c>
    </row>
    <row r="5012">
      <c r="A5012"/>
      <c r="B5012">
        <v>11</v>
      </c>
      <c r="C5012" s="43">
        <f>INDEX(DarlObj,11)</f>
      </c>
      <c r="D5012">
        <v>209</v>
      </c>
      <c r="E5012" s="51">
        <f>IF(INDEX(DarlBelegt,11)=0,0,EOMONTH(INDEX(DarlAuszahlung,11),208)+1)</f>
      </c>
      <c r="F5012" s="43">
        <f>IF($E5012=0,0,YEAR($E5012))</f>
      </c>
      <c r="G5012" s="43">
        <f>IF(INDEX(DarlBindung,11)="",1,IF($E5012&lt;=INDEX(DarlBindung,11),1,0))</f>
      </c>
      <c r="H5012" s="43">
        <f>IF($G5012=1,INDEX(DarlSollzins,11),INDEX(DarlAnschluss,11))</f>
      </c>
      <c r="I5012" s="43">
        <f>IF(INDEX(DarlBelegt,11)=0,0,IF(INDEX(DarlOhneTilgung,11)=1,IF(INDEX(DarlBindung,11)="",1,$G5012),IF($J5012&gt;0.005,1,0)))</f>
      </c>
      <c r="J5012" s="43">
        <f>IF($I5011=0,0,$R5011)</f>
      </c>
      <c r="K5012" s="43">
        <f>IF($I5012=0,0,IF(INDEX(DarlOhneTilgung,11)=1,0,IF(AND(INDEX(DarlTilgStart,11)&gt;0,$E5012=INDEX(DarlTilgStart,11)),$J5012*($H5012+INDEX(DarlTilgung,11))/100/12,IF(AND($G5012=0,$G5011=1),MAX($K5011,$J5012*($H5012+1)/100/12),$K5011))))</f>
      </c>
      <c r="L5012" s="43">
        <f>IF($I5012=0,0,$J5012*$H5012/100/12)</f>
      </c>
      <c r="M5012" s="43">
        <f>IF($I5012=0,0,IF(OR(INDEX(DarlOhneTilgung,11)=1,AND(INDEX(DarlTilgStart,11)&gt;0,$E5012&lt;INDEX(DarlTilgStart,11))),0,MIN(MAX(0,$K5012-$L5012),$J5012)))</f>
      </c>
      <c r="N5012" s="43">
        <f>IF($I5012=0,0,MIN(SUMIFS(SondBetrag,SondDarl,11,SondDatum,"&gt;="&amp;$E5012,SondDatum,"&lt;="&amp;EOMONTH($E5012,0)),$J5012-$M5012))</f>
      </c>
      <c r="O5012" s="43">
        <f>IF($I5012=0,0,INDEX(DarlErsatzRate,11))</f>
      </c>
      <c r="P5012" s="43">
        <f>IF($I5012=0,0,$Q5011*INDEX(DarlErsatzZins,11))</f>
      </c>
      <c r="Q5012" s="43">
        <f>IF($I5012=0,0,$Q5011+$P5012+$O5012)</f>
      </c>
      <c r="R5012" s="43">
        <f>IF($I5012=0,0,$J5012-$M5012-$N5012)</f>
      </c>
    </row>
    <row r="5013">
      <c r="A5013"/>
      <c r="B5013">
        <v>11</v>
      </c>
      <c r="C5013" s="43">
        <f>INDEX(DarlObj,11)</f>
      </c>
      <c r="D5013">
        <v>210</v>
      </c>
      <c r="E5013" s="51">
        <f>IF(INDEX(DarlBelegt,11)=0,0,EOMONTH(INDEX(DarlAuszahlung,11),209)+1)</f>
      </c>
      <c r="F5013" s="43">
        <f>IF($E5013=0,0,YEAR($E5013))</f>
      </c>
      <c r="G5013" s="43">
        <f>IF(INDEX(DarlBindung,11)="",1,IF($E5013&lt;=INDEX(DarlBindung,11),1,0))</f>
      </c>
      <c r="H5013" s="43">
        <f>IF($G5013=1,INDEX(DarlSollzins,11),INDEX(DarlAnschluss,11))</f>
      </c>
      <c r="I5013" s="43">
        <f>IF(INDEX(DarlBelegt,11)=0,0,IF(INDEX(DarlOhneTilgung,11)=1,IF(INDEX(DarlBindung,11)="",1,$G5013),IF($J5013&gt;0.005,1,0)))</f>
      </c>
      <c r="J5013" s="43">
        <f>IF($I5012=0,0,$R5012)</f>
      </c>
      <c r="K5013" s="43">
        <f>IF($I5013=0,0,IF(INDEX(DarlOhneTilgung,11)=1,0,IF(AND(INDEX(DarlTilgStart,11)&gt;0,$E5013=INDEX(DarlTilgStart,11)),$J5013*($H5013+INDEX(DarlTilgung,11))/100/12,IF(AND($G5013=0,$G5012=1),MAX($K5012,$J5013*($H5013+1)/100/12),$K5012))))</f>
      </c>
      <c r="L5013" s="43">
        <f>IF($I5013=0,0,$J5013*$H5013/100/12)</f>
      </c>
      <c r="M5013" s="43">
        <f>IF($I5013=0,0,IF(OR(INDEX(DarlOhneTilgung,11)=1,AND(INDEX(DarlTilgStart,11)&gt;0,$E5013&lt;INDEX(DarlTilgStart,11))),0,MIN(MAX(0,$K5013-$L5013),$J5013)))</f>
      </c>
      <c r="N5013" s="43">
        <f>IF($I5013=0,0,MIN(SUMIFS(SondBetrag,SondDarl,11,SondDatum,"&gt;="&amp;$E5013,SondDatum,"&lt;="&amp;EOMONTH($E5013,0)),$J5013-$M5013))</f>
      </c>
      <c r="O5013" s="43">
        <f>IF($I5013=0,0,INDEX(DarlErsatzRate,11))</f>
      </c>
      <c r="P5013" s="43">
        <f>IF($I5013=0,0,$Q5012*INDEX(DarlErsatzZins,11))</f>
      </c>
      <c r="Q5013" s="43">
        <f>IF($I5013=0,0,$Q5012+$P5013+$O5013)</f>
      </c>
      <c r="R5013" s="43">
        <f>IF($I5013=0,0,$J5013-$M5013-$N5013)</f>
      </c>
    </row>
    <row r="5014">
      <c r="A5014"/>
      <c r="B5014">
        <v>11</v>
      </c>
      <c r="C5014" s="43">
        <f>INDEX(DarlObj,11)</f>
      </c>
      <c r="D5014">
        <v>211</v>
      </c>
      <c r="E5014" s="51">
        <f>IF(INDEX(DarlBelegt,11)=0,0,EOMONTH(INDEX(DarlAuszahlung,11),210)+1)</f>
      </c>
      <c r="F5014" s="43">
        <f>IF($E5014=0,0,YEAR($E5014))</f>
      </c>
      <c r="G5014" s="43">
        <f>IF(INDEX(DarlBindung,11)="",1,IF($E5014&lt;=INDEX(DarlBindung,11),1,0))</f>
      </c>
      <c r="H5014" s="43">
        <f>IF($G5014=1,INDEX(DarlSollzins,11),INDEX(DarlAnschluss,11))</f>
      </c>
      <c r="I5014" s="43">
        <f>IF(INDEX(DarlBelegt,11)=0,0,IF(INDEX(DarlOhneTilgung,11)=1,IF(INDEX(DarlBindung,11)="",1,$G5014),IF($J5014&gt;0.005,1,0)))</f>
      </c>
      <c r="J5014" s="43">
        <f>IF($I5013=0,0,$R5013)</f>
      </c>
      <c r="K5014" s="43">
        <f>IF($I5014=0,0,IF(INDEX(DarlOhneTilgung,11)=1,0,IF(AND(INDEX(DarlTilgStart,11)&gt;0,$E5014=INDEX(DarlTilgStart,11)),$J5014*($H5014+INDEX(DarlTilgung,11))/100/12,IF(AND($G5014=0,$G5013=1),MAX($K5013,$J5014*($H5014+1)/100/12),$K5013))))</f>
      </c>
      <c r="L5014" s="43">
        <f>IF($I5014=0,0,$J5014*$H5014/100/12)</f>
      </c>
      <c r="M5014" s="43">
        <f>IF($I5014=0,0,IF(OR(INDEX(DarlOhneTilgung,11)=1,AND(INDEX(DarlTilgStart,11)&gt;0,$E5014&lt;INDEX(DarlTilgStart,11))),0,MIN(MAX(0,$K5014-$L5014),$J5014)))</f>
      </c>
      <c r="N5014" s="43">
        <f>IF($I5014=0,0,MIN(SUMIFS(SondBetrag,SondDarl,11,SondDatum,"&gt;="&amp;$E5014,SondDatum,"&lt;="&amp;EOMONTH($E5014,0)),$J5014-$M5014))</f>
      </c>
      <c r="O5014" s="43">
        <f>IF($I5014=0,0,INDEX(DarlErsatzRate,11))</f>
      </c>
      <c r="P5014" s="43">
        <f>IF($I5014=0,0,$Q5013*INDEX(DarlErsatzZins,11))</f>
      </c>
      <c r="Q5014" s="43">
        <f>IF($I5014=0,0,$Q5013+$P5014+$O5014)</f>
      </c>
      <c r="R5014" s="43">
        <f>IF($I5014=0,0,$J5014-$M5014-$N5014)</f>
      </c>
    </row>
    <row r="5015">
      <c r="A5015"/>
      <c r="B5015">
        <v>11</v>
      </c>
      <c r="C5015" s="43">
        <f>INDEX(DarlObj,11)</f>
      </c>
      <c r="D5015">
        <v>212</v>
      </c>
      <c r="E5015" s="51">
        <f>IF(INDEX(DarlBelegt,11)=0,0,EOMONTH(INDEX(DarlAuszahlung,11),211)+1)</f>
      </c>
      <c r="F5015" s="43">
        <f>IF($E5015=0,0,YEAR($E5015))</f>
      </c>
      <c r="G5015" s="43">
        <f>IF(INDEX(DarlBindung,11)="",1,IF($E5015&lt;=INDEX(DarlBindung,11),1,0))</f>
      </c>
      <c r="H5015" s="43">
        <f>IF($G5015=1,INDEX(DarlSollzins,11),INDEX(DarlAnschluss,11))</f>
      </c>
      <c r="I5015" s="43">
        <f>IF(INDEX(DarlBelegt,11)=0,0,IF(INDEX(DarlOhneTilgung,11)=1,IF(INDEX(DarlBindung,11)="",1,$G5015),IF($J5015&gt;0.005,1,0)))</f>
      </c>
      <c r="J5015" s="43">
        <f>IF($I5014=0,0,$R5014)</f>
      </c>
      <c r="K5015" s="43">
        <f>IF($I5015=0,0,IF(INDEX(DarlOhneTilgung,11)=1,0,IF(AND(INDEX(DarlTilgStart,11)&gt;0,$E5015=INDEX(DarlTilgStart,11)),$J5015*($H5015+INDEX(DarlTilgung,11))/100/12,IF(AND($G5015=0,$G5014=1),MAX($K5014,$J5015*($H5015+1)/100/12),$K5014))))</f>
      </c>
      <c r="L5015" s="43">
        <f>IF($I5015=0,0,$J5015*$H5015/100/12)</f>
      </c>
      <c r="M5015" s="43">
        <f>IF($I5015=0,0,IF(OR(INDEX(DarlOhneTilgung,11)=1,AND(INDEX(DarlTilgStart,11)&gt;0,$E5015&lt;INDEX(DarlTilgStart,11))),0,MIN(MAX(0,$K5015-$L5015),$J5015)))</f>
      </c>
      <c r="N5015" s="43">
        <f>IF($I5015=0,0,MIN(SUMIFS(SondBetrag,SondDarl,11,SondDatum,"&gt;="&amp;$E5015,SondDatum,"&lt;="&amp;EOMONTH($E5015,0)),$J5015-$M5015))</f>
      </c>
      <c r="O5015" s="43">
        <f>IF($I5015=0,0,INDEX(DarlErsatzRate,11))</f>
      </c>
      <c r="P5015" s="43">
        <f>IF($I5015=0,0,$Q5014*INDEX(DarlErsatzZins,11))</f>
      </c>
      <c r="Q5015" s="43">
        <f>IF($I5015=0,0,$Q5014+$P5015+$O5015)</f>
      </c>
      <c r="R5015" s="43">
        <f>IF($I5015=0,0,$J5015-$M5015-$N5015)</f>
      </c>
    </row>
    <row r="5016">
      <c r="A5016"/>
      <c r="B5016">
        <v>11</v>
      </c>
      <c r="C5016" s="43">
        <f>INDEX(DarlObj,11)</f>
      </c>
      <c r="D5016">
        <v>213</v>
      </c>
      <c r="E5016" s="51">
        <f>IF(INDEX(DarlBelegt,11)=0,0,EOMONTH(INDEX(DarlAuszahlung,11),212)+1)</f>
      </c>
      <c r="F5016" s="43">
        <f>IF($E5016=0,0,YEAR($E5016))</f>
      </c>
      <c r="G5016" s="43">
        <f>IF(INDEX(DarlBindung,11)="",1,IF($E5016&lt;=INDEX(DarlBindung,11),1,0))</f>
      </c>
      <c r="H5016" s="43">
        <f>IF($G5016=1,INDEX(DarlSollzins,11),INDEX(DarlAnschluss,11))</f>
      </c>
      <c r="I5016" s="43">
        <f>IF(INDEX(DarlBelegt,11)=0,0,IF(INDEX(DarlOhneTilgung,11)=1,IF(INDEX(DarlBindung,11)="",1,$G5016),IF($J5016&gt;0.005,1,0)))</f>
      </c>
      <c r="J5016" s="43">
        <f>IF($I5015=0,0,$R5015)</f>
      </c>
      <c r="K5016" s="43">
        <f>IF($I5016=0,0,IF(INDEX(DarlOhneTilgung,11)=1,0,IF(AND(INDEX(DarlTilgStart,11)&gt;0,$E5016=INDEX(DarlTilgStart,11)),$J5016*($H5016+INDEX(DarlTilgung,11))/100/12,IF(AND($G5016=0,$G5015=1),MAX($K5015,$J5016*($H5016+1)/100/12),$K5015))))</f>
      </c>
      <c r="L5016" s="43">
        <f>IF($I5016=0,0,$J5016*$H5016/100/12)</f>
      </c>
      <c r="M5016" s="43">
        <f>IF($I5016=0,0,IF(OR(INDEX(DarlOhneTilgung,11)=1,AND(INDEX(DarlTilgStart,11)&gt;0,$E5016&lt;INDEX(DarlTilgStart,11))),0,MIN(MAX(0,$K5016-$L5016),$J5016)))</f>
      </c>
      <c r="N5016" s="43">
        <f>IF($I5016=0,0,MIN(SUMIFS(SondBetrag,SondDarl,11,SondDatum,"&gt;="&amp;$E5016,SondDatum,"&lt;="&amp;EOMONTH($E5016,0)),$J5016-$M5016))</f>
      </c>
      <c r="O5016" s="43">
        <f>IF($I5016=0,0,INDEX(DarlErsatzRate,11))</f>
      </c>
      <c r="P5016" s="43">
        <f>IF($I5016=0,0,$Q5015*INDEX(DarlErsatzZins,11))</f>
      </c>
      <c r="Q5016" s="43">
        <f>IF($I5016=0,0,$Q5015+$P5016+$O5016)</f>
      </c>
      <c r="R5016" s="43">
        <f>IF($I5016=0,0,$J5016-$M5016-$N5016)</f>
      </c>
    </row>
    <row r="5017">
      <c r="A5017"/>
      <c r="B5017">
        <v>11</v>
      </c>
      <c r="C5017" s="43">
        <f>INDEX(DarlObj,11)</f>
      </c>
      <c r="D5017">
        <v>214</v>
      </c>
      <c r="E5017" s="51">
        <f>IF(INDEX(DarlBelegt,11)=0,0,EOMONTH(INDEX(DarlAuszahlung,11),213)+1)</f>
      </c>
      <c r="F5017" s="43">
        <f>IF($E5017=0,0,YEAR($E5017))</f>
      </c>
      <c r="G5017" s="43">
        <f>IF(INDEX(DarlBindung,11)="",1,IF($E5017&lt;=INDEX(DarlBindung,11),1,0))</f>
      </c>
      <c r="H5017" s="43">
        <f>IF($G5017=1,INDEX(DarlSollzins,11),INDEX(DarlAnschluss,11))</f>
      </c>
      <c r="I5017" s="43">
        <f>IF(INDEX(DarlBelegt,11)=0,0,IF(INDEX(DarlOhneTilgung,11)=1,IF(INDEX(DarlBindung,11)="",1,$G5017),IF($J5017&gt;0.005,1,0)))</f>
      </c>
      <c r="J5017" s="43">
        <f>IF($I5016=0,0,$R5016)</f>
      </c>
      <c r="K5017" s="43">
        <f>IF($I5017=0,0,IF(INDEX(DarlOhneTilgung,11)=1,0,IF(AND(INDEX(DarlTilgStart,11)&gt;0,$E5017=INDEX(DarlTilgStart,11)),$J5017*($H5017+INDEX(DarlTilgung,11))/100/12,IF(AND($G5017=0,$G5016=1),MAX($K5016,$J5017*($H5017+1)/100/12),$K5016))))</f>
      </c>
      <c r="L5017" s="43">
        <f>IF($I5017=0,0,$J5017*$H5017/100/12)</f>
      </c>
      <c r="M5017" s="43">
        <f>IF($I5017=0,0,IF(OR(INDEX(DarlOhneTilgung,11)=1,AND(INDEX(DarlTilgStart,11)&gt;0,$E5017&lt;INDEX(DarlTilgStart,11))),0,MIN(MAX(0,$K5017-$L5017),$J5017)))</f>
      </c>
      <c r="N5017" s="43">
        <f>IF($I5017=0,0,MIN(SUMIFS(SondBetrag,SondDarl,11,SondDatum,"&gt;="&amp;$E5017,SondDatum,"&lt;="&amp;EOMONTH($E5017,0)),$J5017-$M5017))</f>
      </c>
      <c r="O5017" s="43">
        <f>IF($I5017=0,0,INDEX(DarlErsatzRate,11))</f>
      </c>
      <c r="P5017" s="43">
        <f>IF($I5017=0,0,$Q5016*INDEX(DarlErsatzZins,11))</f>
      </c>
      <c r="Q5017" s="43">
        <f>IF($I5017=0,0,$Q5016+$P5017+$O5017)</f>
      </c>
      <c r="R5017" s="43">
        <f>IF($I5017=0,0,$J5017-$M5017-$N5017)</f>
      </c>
    </row>
    <row r="5018">
      <c r="A5018"/>
      <c r="B5018">
        <v>11</v>
      </c>
      <c r="C5018" s="43">
        <f>INDEX(DarlObj,11)</f>
      </c>
      <c r="D5018">
        <v>215</v>
      </c>
      <c r="E5018" s="51">
        <f>IF(INDEX(DarlBelegt,11)=0,0,EOMONTH(INDEX(DarlAuszahlung,11),214)+1)</f>
      </c>
      <c r="F5018" s="43">
        <f>IF($E5018=0,0,YEAR($E5018))</f>
      </c>
      <c r="G5018" s="43">
        <f>IF(INDEX(DarlBindung,11)="",1,IF($E5018&lt;=INDEX(DarlBindung,11),1,0))</f>
      </c>
      <c r="H5018" s="43">
        <f>IF($G5018=1,INDEX(DarlSollzins,11),INDEX(DarlAnschluss,11))</f>
      </c>
      <c r="I5018" s="43">
        <f>IF(INDEX(DarlBelegt,11)=0,0,IF(INDEX(DarlOhneTilgung,11)=1,IF(INDEX(DarlBindung,11)="",1,$G5018),IF($J5018&gt;0.005,1,0)))</f>
      </c>
      <c r="J5018" s="43">
        <f>IF($I5017=0,0,$R5017)</f>
      </c>
      <c r="K5018" s="43">
        <f>IF($I5018=0,0,IF(INDEX(DarlOhneTilgung,11)=1,0,IF(AND(INDEX(DarlTilgStart,11)&gt;0,$E5018=INDEX(DarlTilgStart,11)),$J5018*($H5018+INDEX(DarlTilgung,11))/100/12,IF(AND($G5018=0,$G5017=1),MAX($K5017,$J5018*($H5018+1)/100/12),$K5017))))</f>
      </c>
      <c r="L5018" s="43">
        <f>IF($I5018=0,0,$J5018*$H5018/100/12)</f>
      </c>
      <c r="M5018" s="43">
        <f>IF($I5018=0,0,IF(OR(INDEX(DarlOhneTilgung,11)=1,AND(INDEX(DarlTilgStart,11)&gt;0,$E5018&lt;INDEX(DarlTilgStart,11))),0,MIN(MAX(0,$K5018-$L5018),$J5018)))</f>
      </c>
      <c r="N5018" s="43">
        <f>IF($I5018=0,0,MIN(SUMIFS(SondBetrag,SondDarl,11,SondDatum,"&gt;="&amp;$E5018,SondDatum,"&lt;="&amp;EOMONTH($E5018,0)),$J5018-$M5018))</f>
      </c>
      <c r="O5018" s="43">
        <f>IF($I5018=0,0,INDEX(DarlErsatzRate,11))</f>
      </c>
      <c r="P5018" s="43">
        <f>IF($I5018=0,0,$Q5017*INDEX(DarlErsatzZins,11))</f>
      </c>
      <c r="Q5018" s="43">
        <f>IF($I5018=0,0,$Q5017+$P5018+$O5018)</f>
      </c>
      <c r="R5018" s="43">
        <f>IF($I5018=0,0,$J5018-$M5018-$N5018)</f>
      </c>
    </row>
    <row r="5019">
      <c r="A5019"/>
      <c r="B5019">
        <v>11</v>
      </c>
      <c r="C5019" s="43">
        <f>INDEX(DarlObj,11)</f>
      </c>
      <c r="D5019">
        <v>216</v>
      </c>
      <c r="E5019" s="51">
        <f>IF(INDEX(DarlBelegt,11)=0,0,EOMONTH(INDEX(DarlAuszahlung,11),215)+1)</f>
      </c>
      <c r="F5019" s="43">
        <f>IF($E5019=0,0,YEAR($E5019))</f>
      </c>
      <c r="G5019" s="43">
        <f>IF(INDEX(DarlBindung,11)="",1,IF($E5019&lt;=INDEX(DarlBindung,11),1,0))</f>
      </c>
      <c r="H5019" s="43">
        <f>IF($G5019=1,INDEX(DarlSollzins,11),INDEX(DarlAnschluss,11))</f>
      </c>
      <c r="I5019" s="43">
        <f>IF(INDEX(DarlBelegt,11)=0,0,IF(INDEX(DarlOhneTilgung,11)=1,IF(INDEX(DarlBindung,11)="",1,$G5019),IF($J5019&gt;0.005,1,0)))</f>
      </c>
      <c r="J5019" s="43">
        <f>IF($I5018=0,0,$R5018)</f>
      </c>
      <c r="K5019" s="43">
        <f>IF($I5019=0,0,IF(INDEX(DarlOhneTilgung,11)=1,0,IF(AND(INDEX(DarlTilgStart,11)&gt;0,$E5019=INDEX(DarlTilgStart,11)),$J5019*($H5019+INDEX(DarlTilgung,11))/100/12,IF(AND($G5019=0,$G5018=1),MAX($K5018,$J5019*($H5019+1)/100/12),$K5018))))</f>
      </c>
      <c r="L5019" s="43">
        <f>IF($I5019=0,0,$J5019*$H5019/100/12)</f>
      </c>
      <c r="M5019" s="43">
        <f>IF($I5019=0,0,IF(OR(INDEX(DarlOhneTilgung,11)=1,AND(INDEX(DarlTilgStart,11)&gt;0,$E5019&lt;INDEX(DarlTilgStart,11))),0,MIN(MAX(0,$K5019-$L5019),$J5019)))</f>
      </c>
      <c r="N5019" s="43">
        <f>IF($I5019=0,0,MIN(SUMIFS(SondBetrag,SondDarl,11,SondDatum,"&gt;="&amp;$E5019,SondDatum,"&lt;="&amp;EOMONTH($E5019,0)),$J5019-$M5019))</f>
      </c>
      <c r="O5019" s="43">
        <f>IF($I5019=0,0,INDEX(DarlErsatzRate,11))</f>
      </c>
      <c r="P5019" s="43">
        <f>IF($I5019=0,0,$Q5018*INDEX(DarlErsatzZins,11))</f>
      </c>
      <c r="Q5019" s="43">
        <f>IF($I5019=0,0,$Q5018+$P5019+$O5019)</f>
      </c>
      <c r="R5019" s="43">
        <f>IF($I5019=0,0,$J5019-$M5019-$N5019)</f>
      </c>
    </row>
    <row r="5020">
      <c r="A5020"/>
      <c r="B5020">
        <v>11</v>
      </c>
      <c r="C5020" s="43">
        <f>INDEX(DarlObj,11)</f>
      </c>
      <c r="D5020">
        <v>217</v>
      </c>
      <c r="E5020" s="51">
        <f>IF(INDEX(DarlBelegt,11)=0,0,EOMONTH(INDEX(DarlAuszahlung,11),216)+1)</f>
      </c>
      <c r="F5020" s="43">
        <f>IF($E5020=0,0,YEAR($E5020))</f>
      </c>
      <c r="G5020" s="43">
        <f>IF(INDEX(DarlBindung,11)="",1,IF($E5020&lt;=INDEX(DarlBindung,11),1,0))</f>
      </c>
      <c r="H5020" s="43">
        <f>IF($G5020=1,INDEX(DarlSollzins,11),INDEX(DarlAnschluss,11))</f>
      </c>
      <c r="I5020" s="43">
        <f>IF(INDEX(DarlBelegt,11)=0,0,IF(INDEX(DarlOhneTilgung,11)=1,IF(INDEX(DarlBindung,11)="",1,$G5020),IF($J5020&gt;0.005,1,0)))</f>
      </c>
      <c r="J5020" s="43">
        <f>IF($I5019=0,0,$R5019)</f>
      </c>
      <c r="K5020" s="43">
        <f>IF($I5020=0,0,IF(INDEX(DarlOhneTilgung,11)=1,0,IF(AND(INDEX(DarlTilgStart,11)&gt;0,$E5020=INDEX(DarlTilgStart,11)),$J5020*($H5020+INDEX(DarlTilgung,11))/100/12,IF(AND($G5020=0,$G5019=1),MAX($K5019,$J5020*($H5020+1)/100/12),$K5019))))</f>
      </c>
      <c r="L5020" s="43">
        <f>IF($I5020=0,0,$J5020*$H5020/100/12)</f>
      </c>
      <c r="M5020" s="43">
        <f>IF($I5020=0,0,IF(OR(INDEX(DarlOhneTilgung,11)=1,AND(INDEX(DarlTilgStart,11)&gt;0,$E5020&lt;INDEX(DarlTilgStart,11))),0,MIN(MAX(0,$K5020-$L5020),$J5020)))</f>
      </c>
      <c r="N5020" s="43">
        <f>IF($I5020=0,0,MIN(SUMIFS(SondBetrag,SondDarl,11,SondDatum,"&gt;="&amp;$E5020,SondDatum,"&lt;="&amp;EOMONTH($E5020,0)),$J5020-$M5020))</f>
      </c>
      <c r="O5020" s="43">
        <f>IF($I5020=0,0,INDEX(DarlErsatzRate,11))</f>
      </c>
      <c r="P5020" s="43">
        <f>IF($I5020=0,0,$Q5019*INDEX(DarlErsatzZins,11))</f>
      </c>
      <c r="Q5020" s="43">
        <f>IF($I5020=0,0,$Q5019+$P5020+$O5020)</f>
      </c>
      <c r="R5020" s="43">
        <f>IF($I5020=0,0,$J5020-$M5020-$N5020)</f>
      </c>
    </row>
    <row r="5021">
      <c r="A5021"/>
      <c r="B5021">
        <v>11</v>
      </c>
      <c r="C5021" s="43">
        <f>INDEX(DarlObj,11)</f>
      </c>
      <c r="D5021">
        <v>218</v>
      </c>
      <c r="E5021" s="51">
        <f>IF(INDEX(DarlBelegt,11)=0,0,EOMONTH(INDEX(DarlAuszahlung,11),217)+1)</f>
      </c>
      <c r="F5021" s="43">
        <f>IF($E5021=0,0,YEAR($E5021))</f>
      </c>
      <c r="G5021" s="43">
        <f>IF(INDEX(DarlBindung,11)="",1,IF($E5021&lt;=INDEX(DarlBindung,11),1,0))</f>
      </c>
      <c r="H5021" s="43">
        <f>IF($G5021=1,INDEX(DarlSollzins,11),INDEX(DarlAnschluss,11))</f>
      </c>
      <c r="I5021" s="43">
        <f>IF(INDEX(DarlBelegt,11)=0,0,IF(INDEX(DarlOhneTilgung,11)=1,IF(INDEX(DarlBindung,11)="",1,$G5021),IF($J5021&gt;0.005,1,0)))</f>
      </c>
      <c r="J5021" s="43">
        <f>IF($I5020=0,0,$R5020)</f>
      </c>
      <c r="K5021" s="43">
        <f>IF($I5021=0,0,IF(INDEX(DarlOhneTilgung,11)=1,0,IF(AND(INDEX(DarlTilgStart,11)&gt;0,$E5021=INDEX(DarlTilgStart,11)),$J5021*($H5021+INDEX(DarlTilgung,11))/100/12,IF(AND($G5021=0,$G5020=1),MAX($K5020,$J5021*($H5021+1)/100/12),$K5020))))</f>
      </c>
      <c r="L5021" s="43">
        <f>IF($I5021=0,0,$J5021*$H5021/100/12)</f>
      </c>
      <c r="M5021" s="43">
        <f>IF($I5021=0,0,IF(OR(INDEX(DarlOhneTilgung,11)=1,AND(INDEX(DarlTilgStart,11)&gt;0,$E5021&lt;INDEX(DarlTilgStart,11))),0,MIN(MAX(0,$K5021-$L5021),$J5021)))</f>
      </c>
      <c r="N5021" s="43">
        <f>IF($I5021=0,0,MIN(SUMIFS(SondBetrag,SondDarl,11,SondDatum,"&gt;="&amp;$E5021,SondDatum,"&lt;="&amp;EOMONTH($E5021,0)),$J5021-$M5021))</f>
      </c>
      <c r="O5021" s="43">
        <f>IF($I5021=0,0,INDEX(DarlErsatzRate,11))</f>
      </c>
      <c r="P5021" s="43">
        <f>IF($I5021=0,0,$Q5020*INDEX(DarlErsatzZins,11))</f>
      </c>
      <c r="Q5021" s="43">
        <f>IF($I5021=0,0,$Q5020+$P5021+$O5021)</f>
      </c>
      <c r="R5021" s="43">
        <f>IF($I5021=0,0,$J5021-$M5021-$N5021)</f>
      </c>
    </row>
    <row r="5022">
      <c r="A5022"/>
      <c r="B5022">
        <v>11</v>
      </c>
      <c r="C5022" s="43">
        <f>INDEX(DarlObj,11)</f>
      </c>
      <c r="D5022">
        <v>219</v>
      </c>
      <c r="E5022" s="51">
        <f>IF(INDEX(DarlBelegt,11)=0,0,EOMONTH(INDEX(DarlAuszahlung,11),218)+1)</f>
      </c>
      <c r="F5022" s="43">
        <f>IF($E5022=0,0,YEAR($E5022))</f>
      </c>
      <c r="G5022" s="43">
        <f>IF(INDEX(DarlBindung,11)="",1,IF($E5022&lt;=INDEX(DarlBindung,11),1,0))</f>
      </c>
      <c r="H5022" s="43">
        <f>IF($G5022=1,INDEX(DarlSollzins,11),INDEX(DarlAnschluss,11))</f>
      </c>
      <c r="I5022" s="43">
        <f>IF(INDEX(DarlBelegt,11)=0,0,IF(INDEX(DarlOhneTilgung,11)=1,IF(INDEX(DarlBindung,11)="",1,$G5022),IF($J5022&gt;0.005,1,0)))</f>
      </c>
      <c r="J5022" s="43">
        <f>IF($I5021=0,0,$R5021)</f>
      </c>
      <c r="K5022" s="43">
        <f>IF($I5022=0,0,IF(INDEX(DarlOhneTilgung,11)=1,0,IF(AND(INDEX(DarlTilgStart,11)&gt;0,$E5022=INDEX(DarlTilgStart,11)),$J5022*($H5022+INDEX(DarlTilgung,11))/100/12,IF(AND($G5022=0,$G5021=1),MAX($K5021,$J5022*($H5022+1)/100/12),$K5021))))</f>
      </c>
      <c r="L5022" s="43">
        <f>IF($I5022=0,0,$J5022*$H5022/100/12)</f>
      </c>
      <c r="M5022" s="43">
        <f>IF($I5022=0,0,IF(OR(INDEX(DarlOhneTilgung,11)=1,AND(INDEX(DarlTilgStart,11)&gt;0,$E5022&lt;INDEX(DarlTilgStart,11))),0,MIN(MAX(0,$K5022-$L5022),$J5022)))</f>
      </c>
      <c r="N5022" s="43">
        <f>IF($I5022=0,0,MIN(SUMIFS(SondBetrag,SondDarl,11,SondDatum,"&gt;="&amp;$E5022,SondDatum,"&lt;="&amp;EOMONTH($E5022,0)),$J5022-$M5022))</f>
      </c>
      <c r="O5022" s="43">
        <f>IF($I5022=0,0,INDEX(DarlErsatzRate,11))</f>
      </c>
      <c r="P5022" s="43">
        <f>IF($I5022=0,0,$Q5021*INDEX(DarlErsatzZins,11))</f>
      </c>
      <c r="Q5022" s="43">
        <f>IF($I5022=0,0,$Q5021+$P5022+$O5022)</f>
      </c>
      <c r="R5022" s="43">
        <f>IF($I5022=0,0,$J5022-$M5022-$N5022)</f>
      </c>
    </row>
    <row r="5023">
      <c r="A5023"/>
      <c r="B5023">
        <v>11</v>
      </c>
      <c r="C5023" s="43">
        <f>INDEX(DarlObj,11)</f>
      </c>
      <c r="D5023">
        <v>220</v>
      </c>
      <c r="E5023" s="51">
        <f>IF(INDEX(DarlBelegt,11)=0,0,EOMONTH(INDEX(DarlAuszahlung,11),219)+1)</f>
      </c>
      <c r="F5023" s="43">
        <f>IF($E5023=0,0,YEAR($E5023))</f>
      </c>
      <c r="G5023" s="43">
        <f>IF(INDEX(DarlBindung,11)="",1,IF($E5023&lt;=INDEX(DarlBindung,11),1,0))</f>
      </c>
      <c r="H5023" s="43">
        <f>IF($G5023=1,INDEX(DarlSollzins,11),INDEX(DarlAnschluss,11))</f>
      </c>
      <c r="I5023" s="43">
        <f>IF(INDEX(DarlBelegt,11)=0,0,IF(INDEX(DarlOhneTilgung,11)=1,IF(INDEX(DarlBindung,11)="",1,$G5023),IF($J5023&gt;0.005,1,0)))</f>
      </c>
      <c r="J5023" s="43">
        <f>IF($I5022=0,0,$R5022)</f>
      </c>
      <c r="K5023" s="43">
        <f>IF($I5023=0,0,IF(INDEX(DarlOhneTilgung,11)=1,0,IF(AND(INDEX(DarlTilgStart,11)&gt;0,$E5023=INDEX(DarlTilgStart,11)),$J5023*($H5023+INDEX(DarlTilgung,11))/100/12,IF(AND($G5023=0,$G5022=1),MAX($K5022,$J5023*($H5023+1)/100/12),$K5022))))</f>
      </c>
      <c r="L5023" s="43">
        <f>IF($I5023=0,0,$J5023*$H5023/100/12)</f>
      </c>
      <c r="M5023" s="43">
        <f>IF($I5023=0,0,IF(OR(INDEX(DarlOhneTilgung,11)=1,AND(INDEX(DarlTilgStart,11)&gt;0,$E5023&lt;INDEX(DarlTilgStart,11))),0,MIN(MAX(0,$K5023-$L5023),$J5023)))</f>
      </c>
      <c r="N5023" s="43">
        <f>IF($I5023=0,0,MIN(SUMIFS(SondBetrag,SondDarl,11,SondDatum,"&gt;="&amp;$E5023,SondDatum,"&lt;="&amp;EOMONTH($E5023,0)),$J5023-$M5023))</f>
      </c>
      <c r="O5023" s="43">
        <f>IF($I5023=0,0,INDEX(DarlErsatzRate,11))</f>
      </c>
      <c r="P5023" s="43">
        <f>IF($I5023=0,0,$Q5022*INDEX(DarlErsatzZins,11))</f>
      </c>
      <c r="Q5023" s="43">
        <f>IF($I5023=0,0,$Q5022+$P5023+$O5023)</f>
      </c>
      <c r="R5023" s="43">
        <f>IF($I5023=0,0,$J5023-$M5023-$N5023)</f>
      </c>
    </row>
    <row r="5024">
      <c r="A5024"/>
      <c r="B5024">
        <v>11</v>
      </c>
      <c r="C5024" s="43">
        <f>INDEX(DarlObj,11)</f>
      </c>
      <c r="D5024">
        <v>221</v>
      </c>
      <c r="E5024" s="51">
        <f>IF(INDEX(DarlBelegt,11)=0,0,EOMONTH(INDEX(DarlAuszahlung,11),220)+1)</f>
      </c>
      <c r="F5024" s="43">
        <f>IF($E5024=0,0,YEAR($E5024))</f>
      </c>
      <c r="G5024" s="43">
        <f>IF(INDEX(DarlBindung,11)="",1,IF($E5024&lt;=INDEX(DarlBindung,11),1,0))</f>
      </c>
      <c r="H5024" s="43">
        <f>IF($G5024=1,INDEX(DarlSollzins,11),INDEX(DarlAnschluss,11))</f>
      </c>
      <c r="I5024" s="43">
        <f>IF(INDEX(DarlBelegt,11)=0,0,IF(INDEX(DarlOhneTilgung,11)=1,IF(INDEX(DarlBindung,11)="",1,$G5024),IF($J5024&gt;0.005,1,0)))</f>
      </c>
      <c r="J5024" s="43">
        <f>IF($I5023=0,0,$R5023)</f>
      </c>
      <c r="K5024" s="43">
        <f>IF($I5024=0,0,IF(INDEX(DarlOhneTilgung,11)=1,0,IF(AND(INDEX(DarlTilgStart,11)&gt;0,$E5024=INDEX(DarlTilgStart,11)),$J5024*($H5024+INDEX(DarlTilgung,11))/100/12,IF(AND($G5024=0,$G5023=1),MAX($K5023,$J5024*($H5024+1)/100/12),$K5023))))</f>
      </c>
      <c r="L5024" s="43">
        <f>IF($I5024=0,0,$J5024*$H5024/100/12)</f>
      </c>
      <c r="M5024" s="43">
        <f>IF($I5024=0,0,IF(OR(INDEX(DarlOhneTilgung,11)=1,AND(INDEX(DarlTilgStart,11)&gt;0,$E5024&lt;INDEX(DarlTilgStart,11))),0,MIN(MAX(0,$K5024-$L5024),$J5024)))</f>
      </c>
      <c r="N5024" s="43">
        <f>IF($I5024=0,0,MIN(SUMIFS(SondBetrag,SondDarl,11,SondDatum,"&gt;="&amp;$E5024,SondDatum,"&lt;="&amp;EOMONTH($E5024,0)),$J5024-$M5024))</f>
      </c>
      <c r="O5024" s="43">
        <f>IF($I5024=0,0,INDEX(DarlErsatzRate,11))</f>
      </c>
      <c r="P5024" s="43">
        <f>IF($I5024=0,0,$Q5023*INDEX(DarlErsatzZins,11))</f>
      </c>
      <c r="Q5024" s="43">
        <f>IF($I5024=0,0,$Q5023+$P5024+$O5024)</f>
      </c>
      <c r="R5024" s="43">
        <f>IF($I5024=0,0,$J5024-$M5024-$N5024)</f>
      </c>
    </row>
    <row r="5025">
      <c r="A5025"/>
      <c r="B5025">
        <v>11</v>
      </c>
      <c r="C5025" s="43">
        <f>INDEX(DarlObj,11)</f>
      </c>
      <c r="D5025">
        <v>222</v>
      </c>
      <c r="E5025" s="51">
        <f>IF(INDEX(DarlBelegt,11)=0,0,EOMONTH(INDEX(DarlAuszahlung,11),221)+1)</f>
      </c>
      <c r="F5025" s="43">
        <f>IF($E5025=0,0,YEAR($E5025))</f>
      </c>
      <c r="G5025" s="43">
        <f>IF(INDEX(DarlBindung,11)="",1,IF($E5025&lt;=INDEX(DarlBindung,11),1,0))</f>
      </c>
      <c r="H5025" s="43">
        <f>IF($G5025=1,INDEX(DarlSollzins,11),INDEX(DarlAnschluss,11))</f>
      </c>
      <c r="I5025" s="43">
        <f>IF(INDEX(DarlBelegt,11)=0,0,IF(INDEX(DarlOhneTilgung,11)=1,IF(INDEX(DarlBindung,11)="",1,$G5025),IF($J5025&gt;0.005,1,0)))</f>
      </c>
      <c r="J5025" s="43">
        <f>IF($I5024=0,0,$R5024)</f>
      </c>
      <c r="K5025" s="43">
        <f>IF($I5025=0,0,IF(INDEX(DarlOhneTilgung,11)=1,0,IF(AND(INDEX(DarlTilgStart,11)&gt;0,$E5025=INDEX(DarlTilgStart,11)),$J5025*($H5025+INDEX(DarlTilgung,11))/100/12,IF(AND($G5025=0,$G5024=1),MAX($K5024,$J5025*($H5025+1)/100/12),$K5024))))</f>
      </c>
      <c r="L5025" s="43">
        <f>IF($I5025=0,0,$J5025*$H5025/100/12)</f>
      </c>
      <c r="M5025" s="43">
        <f>IF($I5025=0,0,IF(OR(INDEX(DarlOhneTilgung,11)=1,AND(INDEX(DarlTilgStart,11)&gt;0,$E5025&lt;INDEX(DarlTilgStart,11))),0,MIN(MAX(0,$K5025-$L5025),$J5025)))</f>
      </c>
      <c r="N5025" s="43">
        <f>IF($I5025=0,0,MIN(SUMIFS(SondBetrag,SondDarl,11,SondDatum,"&gt;="&amp;$E5025,SondDatum,"&lt;="&amp;EOMONTH($E5025,0)),$J5025-$M5025))</f>
      </c>
      <c r="O5025" s="43">
        <f>IF($I5025=0,0,INDEX(DarlErsatzRate,11))</f>
      </c>
      <c r="P5025" s="43">
        <f>IF($I5025=0,0,$Q5024*INDEX(DarlErsatzZins,11))</f>
      </c>
      <c r="Q5025" s="43">
        <f>IF($I5025=0,0,$Q5024+$P5025+$O5025)</f>
      </c>
      <c r="R5025" s="43">
        <f>IF($I5025=0,0,$J5025-$M5025-$N5025)</f>
      </c>
    </row>
    <row r="5026">
      <c r="A5026"/>
      <c r="B5026">
        <v>11</v>
      </c>
      <c r="C5026" s="43">
        <f>INDEX(DarlObj,11)</f>
      </c>
      <c r="D5026">
        <v>223</v>
      </c>
      <c r="E5026" s="51">
        <f>IF(INDEX(DarlBelegt,11)=0,0,EOMONTH(INDEX(DarlAuszahlung,11),222)+1)</f>
      </c>
      <c r="F5026" s="43">
        <f>IF($E5026=0,0,YEAR($E5026))</f>
      </c>
      <c r="G5026" s="43">
        <f>IF(INDEX(DarlBindung,11)="",1,IF($E5026&lt;=INDEX(DarlBindung,11),1,0))</f>
      </c>
      <c r="H5026" s="43">
        <f>IF($G5026=1,INDEX(DarlSollzins,11),INDEX(DarlAnschluss,11))</f>
      </c>
      <c r="I5026" s="43">
        <f>IF(INDEX(DarlBelegt,11)=0,0,IF(INDEX(DarlOhneTilgung,11)=1,IF(INDEX(DarlBindung,11)="",1,$G5026),IF($J5026&gt;0.005,1,0)))</f>
      </c>
      <c r="J5026" s="43">
        <f>IF($I5025=0,0,$R5025)</f>
      </c>
      <c r="K5026" s="43">
        <f>IF($I5026=0,0,IF(INDEX(DarlOhneTilgung,11)=1,0,IF(AND(INDEX(DarlTilgStart,11)&gt;0,$E5026=INDEX(DarlTilgStart,11)),$J5026*($H5026+INDEX(DarlTilgung,11))/100/12,IF(AND($G5026=0,$G5025=1),MAX($K5025,$J5026*($H5026+1)/100/12),$K5025))))</f>
      </c>
      <c r="L5026" s="43">
        <f>IF($I5026=0,0,$J5026*$H5026/100/12)</f>
      </c>
      <c r="M5026" s="43">
        <f>IF($I5026=0,0,IF(OR(INDEX(DarlOhneTilgung,11)=1,AND(INDEX(DarlTilgStart,11)&gt;0,$E5026&lt;INDEX(DarlTilgStart,11))),0,MIN(MAX(0,$K5026-$L5026),$J5026)))</f>
      </c>
      <c r="N5026" s="43">
        <f>IF($I5026=0,0,MIN(SUMIFS(SondBetrag,SondDarl,11,SondDatum,"&gt;="&amp;$E5026,SondDatum,"&lt;="&amp;EOMONTH($E5026,0)),$J5026-$M5026))</f>
      </c>
      <c r="O5026" s="43">
        <f>IF($I5026=0,0,INDEX(DarlErsatzRate,11))</f>
      </c>
      <c r="P5026" s="43">
        <f>IF($I5026=0,0,$Q5025*INDEX(DarlErsatzZins,11))</f>
      </c>
      <c r="Q5026" s="43">
        <f>IF($I5026=0,0,$Q5025+$P5026+$O5026)</f>
      </c>
      <c r="R5026" s="43">
        <f>IF($I5026=0,0,$J5026-$M5026-$N5026)</f>
      </c>
    </row>
    <row r="5027">
      <c r="A5027"/>
      <c r="B5027">
        <v>11</v>
      </c>
      <c r="C5027" s="43">
        <f>INDEX(DarlObj,11)</f>
      </c>
      <c r="D5027">
        <v>224</v>
      </c>
      <c r="E5027" s="51">
        <f>IF(INDEX(DarlBelegt,11)=0,0,EOMONTH(INDEX(DarlAuszahlung,11),223)+1)</f>
      </c>
      <c r="F5027" s="43">
        <f>IF($E5027=0,0,YEAR($E5027))</f>
      </c>
      <c r="G5027" s="43">
        <f>IF(INDEX(DarlBindung,11)="",1,IF($E5027&lt;=INDEX(DarlBindung,11),1,0))</f>
      </c>
      <c r="H5027" s="43">
        <f>IF($G5027=1,INDEX(DarlSollzins,11),INDEX(DarlAnschluss,11))</f>
      </c>
      <c r="I5027" s="43">
        <f>IF(INDEX(DarlBelegt,11)=0,0,IF(INDEX(DarlOhneTilgung,11)=1,IF(INDEX(DarlBindung,11)="",1,$G5027),IF($J5027&gt;0.005,1,0)))</f>
      </c>
      <c r="J5027" s="43">
        <f>IF($I5026=0,0,$R5026)</f>
      </c>
      <c r="K5027" s="43">
        <f>IF($I5027=0,0,IF(INDEX(DarlOhneTilgung,11)=1,0,IF(AND(INDEX(DarlTilgStart,11)&gt;0,$E5027=INDEX(DarlTilgStart,11)),$J5027*($H5027+INDEX(DarlTilgung,11))/100/12,IF(AND($G5027=0,$G5026=1),MAX($K5026,$J5027*($H5027+1)/100/12),$K5026))))</f>
      </c>
      <c r="L5027" s="43">
        <f>IF($I5027=0,0,$J5027*$H5027/100/12)</f>
      </c>
      <c r="M5027" s="43">
        <f>IF($I5027=0,0,IF(OR(INDEX(DarlOhneTilgung,11)=1,AND(INDEX(DarlTilgStart,11)&gt;0,$E5027&lt;INDEX(DarlTilgStart,11))),0,MIN(MAX(0,$K5027-$L5027),$J5027)))</f>
      </c>
      <c r="N5027" s="43">
        <f>IF($I5027=0,0,MIN(SUMIFS(SondBetrag,SondDarl,11,SondDatum,"&gt;="&amp;$E5027,SondDatum,"&lt;="&amp;EOMONTH($E5027,0)),$J5027-$M5027))</f>
      </c>
      <c r="O5027" s="43">
        <f>IF($I5027=0,0,INDEX(DarlErsatzRate,11))</f>
      </c>
      <c r="P5027" s="43">
        <f>IF($I5027=0,0,$Q5026*INDEX(DarlErsatzZins,11))</f>
      </c>
      <c r="Q5027" s="43">
        <f>IF($I5027=0,0,$Q5026+$P5027+$O5027)</f>
      </c>
      <c r="R5027" s="43">
        <f>IF($I5027=0,0,$J5027-$M5027-$N5027)</f>
      </c>
    </row>
    <row r="5028">
      <c r="A5028"/>
      <c r="B5028">
        <v>11</v>
      </c>
      <c r="C5028" s="43">
        <f>INDEX(DarlObj,11)</f>
      </c>
      <c r="D5028">
        <v>225</v>
      </c>
      <c r="E5028" s="51">
        <f>IF(INDEX(DarlBelegt,11)=0,0,EOMONTH(INDEX(DarlAuszahlung,11),224)+1)</f>
      </c>
      <c r="F5028" s="43">
        <f>IF($E5028=0,0,YEAR($E5028))</f>
      </c>
      <c r="G5028" s="43">
        <f>IF(INDEX(DarlBindung,11)="",1,IF($E5028&lt;=INDEX(DarlBindung,11),1,0))</f>
      </c>
      <c r="H5028" s="43">
        <f>IF($G5028=1,INDEX(DarlSollzins,11),INDEX(DarlAnschluss,11))</f>
      </c>
      <c r="I5028" s="43">
        <f>IF(INDEX(DarlBelegt,11)=0,0,IF(INDEX(DarlOhneTilgung,11)=1,IF(INDEX(DarlBindung,11)="",1,$G5028),IF($J5028&gt;0.005,1,0)))</f>
      </c>
      <c r="J5028" s="43">
        <f>IF($I5027=0,0,$R5027)</f>
      </c>
      <c r="K5028" s="43">
        <f>IF($I5028=0,0,IF(INDEX(DarlOhneTilgung,11)=1,0,IF(AND(INDEX(DarlTilgStart,11)&gt;0,$E5028=INDEX(DarlTilgStart,11)),$J5028*($H5028+INDEX(DarlTilgung,11))/100/12,IF(AND($G5028=0,$G5027=1),MAX($K5027,$J5028*($H5028+1)/100/12),$K5027))))</f>
      </c>
      <c r="L5028" s="43">
        <f>IF($I5028=0,0,$J5028*$H5028/100/12)</f>
      </c>
      <c r="M5028" s="43">
        <f>IF($I5028=0,0,IF(OR(INDEX(DarlOhneTilgung,11)=1,AND(INDEX(DarlTilgStart,11)&gt;0,$E5028&lt;INDEX(DarlTilgStart,11))),0,MIN(MAX(0,$K5028-$L5028),$J5028)))</f>
      </c>
      <c r="N5028" s="43">
        <f>IF($I5028=0,0,MIN(SUMIFS(SondBetrag,SondDarl,11,SondDatum,"&gt;="&amp;$E5028,SondDatum,"&lt;="&amp;EOMONTH($E5028,0)),$J5028-$M5028))</f>
      </c>
      <c r="O5028" s="43">
        <f>IF($I5028=0,0,INDEX(DarlErsatzRate,11))</f>
      </c>
      <c r="P5028" s="43">
        <f>IF($I5028=0,0,$Q5027*INDEX(DarlErsatzZins,11))</f>
      </c>
      <c r="Q5028" s="43">
        <f>IF($I5028=0,0,$Q5027+$P5028+$O5028)</f>
      </c>
      <c r="R5028" s="43">
        <f>IF($I5028=0,0,$J5028-$M5028-$N5028)</f>
      </c>
    </row>
    <row r="5029">
      <c r="A5029"/>
      <c r="B5029">
        <v>11</v>
      </c>
      <c r="C5029" s="43">
        <f>INDEX(DarlObj,11)</f>
      </c>
      <c r="D5029">
        <v>226</v>
      </c>
      <c r="E5029" s="51">
        <f>IF(INDEX(DarlBelegt,11)=0,0,EOMONTH(INDEX(DarlAuszahlung,11),225)+1)</f>
      </c>
      <c r="F5029" s="43">
        <f>IF($E5029=0,0,YEAR($E5029))</f>
      </c>
      <c r="G5029" s="43">
        <f>IF(INDEX(DarlBindung,11)="",1,IF($E5029&lt;=INDEX(DarlBindung,11),1,0))</f>
      </c>
      <c r="H5029" s="43">
        <f>IF($G5029=1,INDEX(DarlSollzins,11),INDEX(DarlAnschluss,11))</f>
      </c>
      <c r="I5029" s="43">
        <f>IF(INDEX(DarlBelegt,11)=0,0,IF(INDEX(DarlOhneTilgung,11)=1,IF(INDEX(DarlBindung,11)="",1,$G5029),IF($J5029&gt;0.005,1,0)))</f>
      </c>
      <c r="J5029" s="43">
        <f>IF($I5028=0,0,$R5028)</f>
      </c>
      <c r="K5029" s="43">
        <f>IF($I5029=0,0,IF(INDEX(DarlOhneTilgung,11)=1,0,IF(AND(INDEX(DarlTilgStart,11)&gt;0,$E5029=INDEX(DarlTilgStart,11)),$J5029*($H5029+INDEX(DarlTilgung,11))/100/12,IF(AND($G5029=0,$G5028=1),MAX($K5028,$J5029*($H5029+1)/100/12),$K5028))))</f>
      </c>
      <c r="L5029" s="43">
        <f>IF($I5029=0,0,$J5029*$H5029/100/12)</f>
      </c>
      <c r="M5029" s="43">
        <f>IF($I5029=0,0,IF(OR(INDEX(DarlOhneTilgung,11)=1,AND(INDEX(DarlTilgStart,11)&gt;0,$E5029&lt;INDEX(DarlTilgStart,11))),0,MIN(MAX(0,$K5029-$L5029),$J5029)))</f>
      </c>
      <c r="N5029" s="43">
        <f>IF($I5029=0,0,MIN(SUMIFS(SondBetrag,SondDarl,11,SondDatum,"&gt;="&amp;$E5029,SondDatum,"&lt;="&amp;EOMONTH($E5029,0)),$J5029-$M5029))</f>
      </c>
      <c r="O5029" s="43">
        <f>IF($I5029=0,0,INDEX(DarlErsatzRate,11))</f>
      </c>
      <c r="P5029" s="43">
        <f>IF($I5029=0,0,$Q5028*INDEX(DarlErsatzZins,11))</f>
      </c>
      <c r="Q5029" s="43">
        <f>IF($I5029=0,0,$Q5028+$P5029+$O5029)</f>
      </c>
      <c r="R5029" s="43">
        <f>IF($I5029=0,0,$J5029-$M5029-$N5029)</f>
      </c>
    </row>
    <row r="5030">
      <c r="A5030"/>
      <c r="B5030">
        <v>11</v>
      </c>
      <c r="C5030" s="43">
        <f>INDEX(DarlObj,11)</f>
      </c>
      <c r="D5030">
        <v>227</v>
      </c>
      <c r="E5030" s="51">
        <f>IF(INDEX(DarlBelegt,11)=0,0,EOMONTH(INDEX(DarlAuszahlung,11),226)+1)</f>
      </c>
      <c r="F5030" s="43">
        <f>IF($E5030=0,0,YEAR($E5030))</f>
      </c>
      <c r="G5030" s="43">
        <f>IF(INDEX(DarlBindung,11)="",1,IF($E5030&lt;=INDEX(DarlBindung,11),1,0))</f>
      </c>
      <c r="H5030" s="43">
        <f>IF($G5030=1,INDEX(DarlSollzins,11),INDEX(DarlAnschluss,11))</f>
      </c>
      <c r="I5030" s="43">
        <f>IF(INDEX(DarlBelegt,11)=0,0,IF(INDEX(DarlOhneTilgung,11)=1,IF(INDEX(DarlBindung,11)="",1,$G5030),IF($J5030&gt;0.005,1,0)))</f>
      </c>
      <c r="J5030" s="43">
        <f>IF($I5029=0,0,$R5029)</f>
      </c>
      <c r="K5030" s="43">
        <f>IF($I5030=0,0,IF(INDEX(DarlOhneTilgung,11)=1,0,IF(AND(INDEX(DarlTilgStart,11)&gt;0,$E5030=INDEX(DarlTilgStart,11)),$J5030*($H5030+INDEX(DarlTilgung,11))/100/12,IF(AND($G5030=0,$G5029=1),MAX($K5029,$J5030*($H5030+1)/100/12),$K5029))))</f>
      </c>
      <c r="L5030" s="43">
        <f>IF($I5030=0,0,$J5030*$H5030/100/12)</f>
      </c>
      <c r="M5030" s="43">
        <f>IF($I5030=0,0,IF(OR(INDEX(DarlOhneTilgung,11)=1,AND(INDEX(DarlTilgStart,11)&gt;0,$E5030&lt;INDEX(DarlTilgStart,11))),0,MIN(MAX(0,$K5030-$L5030),$J5030)))</f>
      </c>
      <c r="N5030" s="43">
        <f>IF($I5030=0,0,MIN(SUMIFS(SondBetrag,SondDarl,11,SondDatum,"&gt;="&amp;$E5030,SondDatum,"&lt;="&amp;EOMONTH($E5030,0)),$J5030-$M5030))</f>
      </c>
      <c r="O5030" s="43">
        <f>IF($I5030=0,0,INDEX(DarlErsatzRate,11))</f>
      </c>
      <c r="P5030" s="43">
        <f>IF($I5030=0,0,$Q5029*INDEX(DarlErsatzZins,11))</f>
      </c>
      <c r="Q5030" s="43">
        <f>IF($I5030=0,0,$Q5029+$P5030+$O5030)</f>
      </c>
      <c r="R5030" s="43">
        <f>IF($I5030=0,0,$J5030-$M5030-$N5030)</f>
      </c>
    </row>
    <row r="5031">
      <c r="A5031"/>
      <c r="B5031">
        <v>11</v>
      </c>
      <c r="C5031" s="43">
        <f>INDEX(DarlObj,11)</f>
      </c>
      <c r="D5031">
        <v>228</v>
      </c>
      <c r="E5031" s="51">
        <f>IF(INDEX(DarlBelegt,11)=0,0,EOMONTH(INDEX(DarlAuszahlung,11),227)+1)</f>
      </c>
      <c r="F5031" s="43">
        <f>IF($E5031=0,0,YEAR($E5031))</f>
      </c>
      <c r="G5031" s="43">
        <f>IF(INDEX(DarlBindung,11)="",1,IF($E5031&lt;=INDEX(DarlBindung,11),1,0))</f>
      </c>
      <c r="H5031" s="43">
        <f>IF($G5031=1,INDEX(DarlSollzins,11),INDEX(DarlAnschluss,11))</f>
      </c>
      <c r="I5031" s="43">
        <f>IF(INDEX(DarlBelegt,11)=0,0,IF(INDEX(DarlOhneTilgung,11)=1,IF(INDEX(DarlBindung,11)="",1,$G5031),IF($J5031&gt;0.005,1,0)))</f>
      </c>
      <c r="J5031" s="43">
        <f>IF($I5030=0,0,$R5030)</f>
      </c>
      <c r="K5031" s="43">
        <f>IF($I5031=0,0,IF(INDEX(DarlOhneTilgung,11)=1,0,IF(AND(INDEX(DarlTilgStart,11)&gt;0,$E5031=INDEX(DarlTilgStart,11)),$J5031*($H5031+INDEX(DarlTilgung,11))/100/12,IF(AND($G5031=0,$G5030=1),MAX($K5030,$J5031*($H5031+1)/100/12),$K5030))))</f>
      </c>
      <c r="L5031" s="43">
        <f>IF($I5031=0,0,$J5031*$H5031/100/12)</f>
      </c>
      <c r="M5031" s="43">
        <f>IF($I5031=0,0,IF(OR(INDEX(DarlOhneTilgung,11)=1,AND(INDEX(DarlTilgStart,11)&gt;0,$E5031&lt;INDEX(DarlTilgStart,11))),0,MIN(MAX(0,$K5031-$L5031),$J5031)))</f>
      </c>
      <c r="N5031" s="43">
        <f>IF($I5031=0,0,MIN(SUMIFS(SondBetrag,SondDarl,11,SondDatum,"&gt;="&amp;$E5031,SondDatum,"&lt;="&amp;EOMONTH($E5031,0)),$J5031-$M5031))</f>
      </c>
      <c r="O5031" s="43">
        <f>IF($I5031=0,0,INDEX(DarlErsatzRate,11))</f>
      </c>
      <c r="P5031" s="43">
        <f>IF($I5031=0,0,$Q5030*INDEX(DarlErsatzZins,11))</f>
      </c>
      <c r="Q5031" s="43">
        <f>IF($I5031=0,0,$Q5030+$P5031+$O5031)</f>
      </c>
      <c r="R5031" s="43">
        <f>IF($I5031=0,0,$J5031-$M5031-$N5031)</f>
      </c>
    </row>
    <row r="5032">
      <c r="A5032"/>
      <c r="B5032">
        <v>11</v>
      </c>
      <c r="C5032" s="43">
        <f>INDEX(DarlObj,11)</f>
      </c>
      <c r="D5032">
        <v>229</v>
      </c>
      <c r="E5032" s="51">
        <f>IF(INDEX(DarlBelegt,11)=0,0,EOMONTH(INDEX(DarlAuszahlung,11),228)+1)</f>
      </c>
      <c r="F5032" s="43">
        <f>IF($E5032=0,0,YEAR($E5032))</f>
      </c>
      <c r="G5032" s="43">
        <f>IF(INDEX(DarlBindung,11)="",1,IF($E5032&lt;=INDEX(DarlBindung,11),1,0))</f>
      </c>
      <c r="H5032" s="43">
        <f>IF($G5032=1,INDEX(DarlSollzins,11),INDEX(DarlAnschluss,11))</f>
      </c>
      <c r="I5032" s="43">
        <f>IF(INDEX(DarlBelegt,11)=0,0,IF(INDEX(DarlOhneTilgung,11)=1,IF(INDEX(DarlBindung,11)="",1,$G5032),IF($J5032&gt;0.005,1,0)))</f>
      </c>
      <c r="J5032" s="43">
        <f>IF($I5031=0,0,$R5031)</f>
      </c>
      <c r="K5032" s="43">
        <f>IF($I5032=0,0,IF(INDEX(DarlOhneTilgung,11)=1,0,IF(AND(INDEX(DarlTilgStart,11)&gt;0,$E5032=INDEX(DarlTilgStart,11)),$J5032*($H5032+INDEX(DarlTilgung,11))/100/12,IF(AND($G5032=0,$G5031=1),MAX($K5031,$J5032*($H5032+1)/100/12),$K5031))))</f>
      </c>
      <c r="L5032" s="43">
        <f>IF($I5032=0,0,$J5032*$H5032/100/12)</f>
      </c>
      <c r="M5032" s="43">
        <f>IF($I5032=0,0,IF(OR(INDEX(DarlOhneTilgung,11)=1,AND(INDEX(DarlTilgStart,11)&gt;0,$E5032&lt;INDEX(DarlTilgStart,11))),0,MIN(MAX(0,$K5032-$L5032),$J5032)))</f>
      </c>
      <c r="N5032" s="43">
        <f>IF($I5032=0,0,MIN(SUMIFS(SondBetrag,SondDarl,11,SondDatum,"&gt;="&amp;$E5032,SondDatum,"&lt;="&amp;EOMONTH($E5032,0)),$J5032-$M5032))</f>
      </c>
      <c r="O5032" s="43">
        <f>IF($I5032=0,0,INDEX(DarlErsatzRate,11))</f>
      </c>
      <c r="P5032" s="43">
        <f>IF($I5032=0,0,$Q5031*INDEX(DarlErsatzZins,11))</f>
      </c>
      <c r="Q5032" s="43">
        <f>IF($I5032=0,0,$Q5031+$P5032+$O5032)</f>
      </c>
      <c r="R5032" s="43">
        <f>IF($I5032=0,0,$J5032-$M5032-$N5032)</f>
      </c>
    </row>
    <row r="5033">
      <c r="A5033"/>
      <c r="B5033">
        <v>11</v>
      </c>
      <c r="C5033" s="43">
        <f>INDEX(DarlObj,11)</f>
      </c>
      <c r="D5033">
        <v>230</v>
      </c>
      <c r="E5033" s="51">
        <f>IF(INDEX(DarlBelegt,11)=0,0,EOMONTH(INDEX(DarlAuszahlung,11),229)+1)</f>
      </c>
      <c r="F5033" s="43">
        <f>IF($E5033=0,0,YEAR($E5033))</f>
      </c>
      <c r="G5033" s="43">
        <f>IF(INDEX(DarlBindung,11)="",1,IF($E5033&lt;=INDEX(DarlBindung,11),1,0))</f>
      </c>
      <c r="H5033" s="43">
        <f>IF($G5033=1,INDEX(DarlSollzins,11),INDEX(DarlAnschluss,11))</f>
      </c>
      <c r="I5033" s="43">
        <f>IF(INDEX(DarlBelegt,11)=0,0,IF(INDEX(DarlOhneTilgung,11)=1,IF(INDEX(DarlBindung,11)="",1,$G5033),IF($J5033&gt;0.005,1,0)))</f>
      </c>
      <c r="J5033" s="43">
        <f>IF($I5032=0,0,$R5032)</f>
      </c>
      <c r="K5033" s="43">
        <f>IF($I5033=0,0,IF(INDEX(DarlOhneTilgung,11)=1,0,IF(AND(INDEX(DarlTilgStart,11)&gt;0,$E5033=INDEX(DarlTilgStart,11)),$J5033*($H5033+INDEX(DarlTilgung,11))/100/12,IF(AND($G5033=0,$G5032=1),MAX($K5032,$J5033*($H5033+1)/100/12),$K5032))))</f>
      </c>
      <c r="L5033" s="43">
        <f>IF($I5033=0,0,$J5033*$H5033/100/12)</f>
      </c>
      <c r="M5033" s="43">
        <f>IF($I5033=0,0,IF(OR(INDEX(DarlOhneTilgung,11)=1,AND(INDEX(DarlTilgStart,11)&gt;0,$E5033&lt;INDEX(DarlTilgStart,11))),0,MIN(MAX(0,$K5033-$L5033),$J5033)))</f>
      </c>
      <c r="N5033" s="43">
        <f>IF($I5033=0,0,MIN(SUMIFS(SondBetrag,SondDarl,11,SondDatum,"&gt;="&amp;$E5033,SondDatum,"&lt;="&amp;EOMONTH($E5033,0)),$J5033-$M5033))</f>
      </c>
      <c r="O5033" s="43">
        <f>IF($I5033=0,0,INDEX(DarlErsatzRate,11))</f>
      </c>
      <c r="P5033" s="43">
        <f>IF($I5033=0,0,$Q5032*INDEX(DarlErsatzZins,11))</f>
      </c>
      <c r="Q5033" s="43">
        <f>IF($I5033=0,0,$Q5032+$P5033+$O5033)</f>
      </c>
      <c r="R5033" s="43">
        <f>IF($I5033=0,0,$J5033-$M5033-$N5033)</f>
      </c>
    </row>
    <row r="5034">
      <c r="A5034"/>
      <c r="B5034">
        <v>11</v>
      </c>
      <c r="C5034" s="43">
        <f>INDEX(DarlObj,11)</f>
      </c>
      <c r="D5034">
        <v>231</v>
      </c>
      <c r="E5034" s="51">
        <f>IF(INDEX(DarlBelegt,11)=0,0,EOMONTH(INDEX(DarlAuszahlung,11),230)+1)</f>
      </c>
      <c r="F5034" s="43">
        <f>IF($E5034=0,0,YEAR($E5034))</f>
      </c>
      <c r="G5034" s="43">
        <f>IF(INDEX(DarlBindung,11)="",1,IF($E5034&lt;=INDEX(DarlBindung,11),1,0))</f>
      </c>
      <c r="H5034" s="43">
        <f>IF($G5034=1,INDEX(DarlSollzins,11),INDEX(DarlAnschluss,11))</f>
      </c>
      <c r="I5034" s="43">
        <f>IF(INDEX(DarlBelegt,11)=0,0,IF(INDEX(DarlOhneTilgung,11)=1,IF(INDEX(DarlBindung,11)="",1,$G5034),IF($J5034&gt;0.005,1,0)))</f>
      </c>
      <c r="J5034" s="43">
        <f>IF($I5033=0,0,$R5033)</f>
      </c>
      <c r="K5034" s="43">
        <f>IF($I5034=0,0,IF(INDEX(DarlOhneTilgung,11)=1,0,IF(AND(INDEX(DarlTilgStart,11)&gt;0,$E5034=INDEX(DarlTilgStart,11)),$J5034*($H5034+INDEX(DarlTilgung,11))/100/12,IF(AND($G5034=0,$G5033=1),MAX($K5033,$J5034*($H5034+1)/100/12),$K5033))))</f>
      </c>
      <c r="L5034" s="43">
        <f>IF($I5034=0,0,$J5034*$H5034/100/12)</f>
      </c>
      <c r="M5034" s="43">
        <f>IF($I5034=0,0,IF(OR(INDEX(DarlOhneTilgung,11)=1,AND(INDEX(DarlTilgStart,11)&gt;0,$E5034&lt;INDEX(DarlTilgStart,11))),0,MIN(MAX(0,$K5034-$L5034),$J5034)))</f>
      </c>
      <c r="N5034" s="43">
        <f>IF($I5034=0,0,MIN(SUMIFS(SondBetrag,SondDarl,11,SondDatum,"&gt;="&amp;$E5034,SondDatum,"&lt;="&amp;EOMONTH($E5034,0)),$J5034-$M5034))</f>
      </c>
      <c r="O5034" s="43">
        <f>IF($I5034=0,0,INDEX(DarlErsatzRate,11))</f>
      </c>
      <c r="P5034" s="43">
        <f>IF($I5034=0,0,$Q5033*INDEX(DarlErsatzZins,11))</f>
      </c>
      <c r="Q5034" s="43">
        <f>IF($I5034=0,0,$Q5033+$P5034+$O5034)</f>
      </c>
      <c r="R5034" s="43">
        <f>IF($I5034=0,0,$J5034-$M5034-$N5034)</f>
      </c>
    </row>
    <row r="5035">
      <c r="A5035"/>
      <c r="B5035">
        <v>11</v>
      </c>
      <c r="C5035" s="43">
        <f>INDEX(DarlObj,11)</f>
      </c>
      <c r="D5035">
        <v>232</v>
      </c>
      <c r="E5035" s="51">
        <f>IF(INDEX(DarlBelegt,11)=0,0,EOMONTH(INDEX(DarlAuszahlung,11),231)+1)</f>
      </c>
      <c r="F5035" s="43">
        <f>IF($E5035=0,0,YEAR($E5035))</f>
      </c>
      <c r="G5035" s="43">
        <f>IF(INDEX(DarlBindung,11)="",1,IF($E5035&lt;=INDEX(DarlBindung,11),1,0))</f>
      </c>
      <c r="H5035" s="43">
        <f>IF($G5035=1,INDEX(DarlSollzins,11),INDEX(DarlAnschluss,11))</f>
      </c>
      <c r="I5035" s="43">
        <f>IF(INDEX(DarlBelegt,11)=0,0,IF(INDEX(DarlOhneTilgung,11)=1,IF(INDEX(DarlBindung,11)="",1,$G5035),IF($J5035&gt;0.005,1,0)))</f>
      </c>
      <c r="J5035" s="43">
        <f>IF($I5034=0,0,$R5034)</f>
      </c>
      <c r="K5035" s="43">
        <f>IF($I5035=0,0,IF(INDEX(DarlOhneTilgung,11)=1,0,IF(AND(INDEX(DarlTilgStart,11)&gt;0,$E5035=INDEX(DarlTilgStart,11)),$J5035*($H5035+INDEX(DarlTilgung,11))/100/12,IF(AND($G5035=0,$G5034=1),MAX($K5034,$J5035*($H5035+1)/100/12),$K5034))))</f>
      </c>
      <c r="L5035" s="43">
        <f>IF($I5035=0,0,$J5035*$H5035/100/12)</f>
      </c>
      <c r="M5035" s="43">
        <f>IF($I5035=0,0,IF(OR(INDEX(DarlOhneTilgung,11)=1,AND(INDEX(DarlTilgStart,11)&gt;0,$E5035&lt;INDEX(DarlTilgStart,11))),0,MIN(MAX(0,$K5035-$L5035),$J5035)))</f>
      </c>
      <c r="N5035" s="43">
        <f>IF($I5035=0,0,MIN(SUMIFS(SondBetrag,SondDarl,11,SondDatum,"&gt;="&amp;$E5035,SondDatum,"&lt;="&amp;EOMONTH($E5035,0)),$J5035-$M5035))</f>
      </c>
      <c r="O5035" s="43">
        <f>IF($I5035=0,0,INDEX(DarlErsatzRate,11))</f>
      </c>
      <c r="P5035" s="43">
        <f>IF($I5035=0,0,$Q5034*INDEX(DarlErsatzZins,11))</f>
      </c>
      <c r="Q5035" s="43">
        <f>IF($I5035=0,0,$Q5034+$P5035+$O5035)</f>
      </c>
      <c r="R5035" s="43">
        <f>IF($I5035=0,0,$J5035-$M5035-$N5035)</f>
      </c>
    </row>
    <row r="5036">
      <c r="A5036"/>
      <c r="B5036">
        <v>11</v>
      </c>
      <c r="C5036" s="43">
        <f>INDEX(DarlObj,11)</f>
      </c>
      <c r="D5036">
        <v>233</v>
      </c>
      <c r="E5036" s="51">
        <f>IF(INDEX(DarlBelegt,11)=0,0,EOMONTH(INDEX(DarlAuszahlung,11),232)+1)</f>
      </c>
      <c r="F5036" s="43">
        <f>IF($E5036=0,0,YEAR($E5036))</f>
      </c>
      <c r="G5036" s="43">
        <f>IF(INDEX(DarlBindung,11)="",1,IF($E5036&lt;=INDEX(DarlBindung,11),1,0))</f>
      </c>
      <c r="H5036" s="43">
        <f>IF($G5036=1,INDEX(DarlSollzins,11),INDEX(DarlAnschluss,11))</f>
      </c>
      <c r="I5036" s="43">
        <f>IF(INDEX(DarlBelegt,11)=0,0,IF(INDEX(DarlOhneTilgung,11)=1,IF(INDEX(DarlBindung,11)="",1,$G5036),IF($J5036&gt;0.005,1,0)))</f>
      </c>
      <c r="J5036" s="43">
        <f>IF($I5035=0,0,$R5035)</f>
      </c>
      <c r="K5036" s="43">
        <f>IF($I5036=0,0,IF(INDEX(DarlOhneTilgung,11)=1,0,IF(AND(INDEX(DarlTilgStart,11)&gt;0,$E5036=INDEX(DarlTilgStart,11)),$J5036*($H5036+INDEX(DarlTilgung,11))/100/12,IF(AND($G5036=0,$G5035=1),MAX($K5035,$J5036*($H5036+1)/100/12),$K5035))))</f>
      </c>
      <c r="L5036" s="43">
        <f>IF($I5036=0,0,$J5036*$H5036/100/12)</f>
      </c>
      <c r="M5036" s="43">
        <f>IF($I5036=0,0,IF(OR(INDEX(DarlOhneTilgung,11)=1,AND(INDEX(DarlTilgStart,11)&gt;0,$E5036&lt;INDEX(DarlTilgStart,11))),0,MIN(MAX(0,$K5036-$L5036),$J5036)))</f>
      </c>
      <c r="N5036" s="43">
        <f>IF($I5036=0,0,MIN(SUMIFS(SondBetrag,SondDarl,11,SondDatum,"&gt;="&amp;$E5036,SondDatum,"&lt;="&amp;EOMONTH($E5036,0)),$J5036-$M5036))</f>
      </c>
      <c r="O5036" s="43">
        <f>IF($I5036=0,0,INDEX(DarlErsatzRate,11))</f>
      </c>
      <c r="P5036" s="43">
        <f>IF($I5036=0,0,$Q5035*INDEX(DarlErsatzZins,11))</f>
      </c>
      <c r="Q5036" s="43">
        <f>IF($I5036=0,0,$Q5035+$P5036+$O5036)</f>
      </c>
      <c r="R5036" s="43">
        <f>IF($I5036=0,0,$J5036-$M5036-$N5036)</f>
      </c>
    </row>
    <row r="5037">
      <c r="A5037"/>
      <c r="B5037">
        <v>11</v>
      </c>
      <c r="C5037" s="43">
        <f>INDEX(DarlObj,11)</f>
      </c>
      <c r="D5037">
        <v>234</v>
      </c>
      <c r="E5037" s="51">
        <f>IF(INDEX(DarlBelegt,11)=0,0,EOMONTH(INDEX(DarlAuszahlung,11),233)+1)</f>
      </c>
      <c r="F5037" s="43">
        <f>IF($E5037=0,0,YEAR($E5037))</f>
      </c>
      <c r="G5037" s="43">
        <f>IF(INDEX(DarlBindung,11)="",1,IF($E5037&lt;=INDEX(DarlBindung,11),1,0))</f>
      </c>
      <c r="H5037" s="43">
        <f>IF($G5037=1,INDEX(DarlSollzins,11),INDEX(DarlAnschluss,11))</f>
      </c>
      <c r="I5037" s="43">
        <f>IF(INDEX(DarlBelegt,11)=0,0,IF(INDEX(DarlOhneTilgung,11)=1,IF(INDEX(DarlBindung,11)="",1,$G5037),IF($J5037&gt;0.005,1,0)))</f>
      </c>
      <c r="J5037" s="43">
        <f>IF($I5036=0,0,$R5036)</f>
      </c>
      <c r="K5037" s="43">
        <f>IF($I5037=0,0,IF(INDEX(DarlOhneTilgung,11)=1,0,IF(AND(INDEX(DarlTilgStart,11)&gt;0,$E5037=INDEX(DarlTilgStart,11)),$J5037*($H5037+INDEX(DarlTilgung,11))/100/12,IF(AND($G5037=0,$G5036=1),MAX($K5036,$J5037*($H5037+1)/100/12),$K5036))))</f>
      </c>
      <c r="L5037" s="43">
        <f>IF($I5037=0,0,$J5037*$H5037/100/12)</f>
      </c>
      <c r="M5037" s="43">
        <f>IF($I5037=0,0,IF(OR(INDEX(DarlOhneTilgung,11)=1,AND(INDEX(DarlTilgStart,11)&gt;0,$E5037&lt;INDEX(DarlTilgStart,11))),0,MIN(MAX(0,$K5037-$L5037),$J5037)))</f>
      </c>
      <c r="N5037" s="43">
        <f>IF($I5037=0,0,MIN(SUMIFS(SondBetrag,SondDarl,11,SondDatum,"&gt;="&amp;$E5037,SondDatum,"&lt;="&amp;EOMONTH($E5037,0)),$J5037-$M5037))</f>
      </c>
      <c r="O5037" s="43">
        <f>IF($I5037=0,0,INDEX(DarlErsatzRate,11))</f>
      </c>
      <c r="P5037" s="43">
        <f>IF($I5037=0,0,$Q5036*INDEX(DarlErsatzZins,11))</f>
      </c>
      <c r="Q5037" s="43">
        <f>IF($I5037=0,0,$Q5036+$P5037+$O5037)</f>
      </c>
      <c r="R5037" s="43">
        <f>IF($I5037=0,0,$J5037-$M5037-$N5037)</f>
      </c>
    </row>
    <row r="5038">
      <c r="A5038"/>
      <c r="B5038">
        <v>11</v>
      </c>
      <c r="C5038" s="43">
        <f>INDEX(DarlObj,11)</f>
      </c>
      <c r="D5038">
        <v>235</v>
      </c>
      <c r="E5038" s="51">
        <f>IF(INDEX(DarlBelegt,11)=0,0,EOMONTH(INDEX(DarlAuszahlung,11),234)+1)</f>
      </c>
      <c r="F5038" s="43">
        <f>IF($E5038=0,0,YEAR($E5038))</f>
      </c>
      <c r="G5038" s="43">
        <f>IF(INDEX(DarlBindung,11)="",1,IF($E5038&lt;=INDEX(DarlBindung,11),1,0))</f>
      </c>
      <c r="H5038" s="43">
        <f>IF($G5038=1,INDEX(DarlSollzins,11),INDEX(DarlAnschluss,11))</f>
      </c>
      <c r="I5038" s="43">
        <f>IF(INDEX(DarlBelegt,11)=0,0,IF(INDEX(DarlOhneTilgung,11)=1,IF(INDEX(DarlBindung,11)="",1,$G5038),IF($J5038&gt;0.005,1,0)))</f>
      </c>
      <c r="J5038" s="43">
        <f>IF($I5037=0,0,$R5037)</f>
      </c>
      <c r="K5038" s="43">
        <f>IF($I5038=0,0,IF(INDEX(DarlOhneTilgung,11)=1,0,IF(AND(INDEX(DarlTilgStart,11)&gt;0,$E5038=INDEX(DarlTilgStart,11)),$J5038*($H5038+INDEX(DarlTilgung,11))/100/12,IF(AND($G5038=0,$G5037=1),MAX($K5037,$J5038*($H5038+1)/100/12),$K5037))))</f>
      </c>
      <c r="L5038" s="43">
        <f>IF($I5038=0,0,$J5038*$H5038/100/12)</f>
      </c>
      <c r="M5038" s="43">
        <f>IF($I5038=0,0,IF(OR(INDEX(DarlOhneTilgung,11)=1,AND(INDEX(DarlTilgStart,11)&gt;0,$E5038&lt;INDEX(DarlTilgStart,11))),0,MIN(MAX(0,$K5038-$L5038),$J5038)))</f>
      </c>
      <c r="N5038" s="43">
        <f>IF($I5038=0,0,MIN(SUMIFS(SondBetrag,SondDarl,11,SondDatum,"&gt;="&amp;$E5038,SondDatum,"&lt;="&amp;EOMONTH($E5038,0)),$J5038-$M5038))</f>
      </c>
      <c r="O5038" s="43">
        <f>IF($I5038=0,0,INDEX(DarlErsatzRate,11))</f>
      </c>
      <c r="P5038" s="43">
        <f>IF($I5038=0,0,$Q5037*INDEX(DarlErsatzZins,11))</f>
      </c>
      <c r="Q5038" s="43">
        <f>IF($I5038=0,0,$Q5037+$P5038+$O5038)</f>
      </c>
      <c r="R5038" s="43">
        <f>IF($I5038=0,0,$J5038-$M5038-$N5038)</f>
      </c>
    </row>
    <row r="5039">
      <c r="A5039"/>
      <c r="B5039">
        <v>11</v>
      </c>
      <c r="C5039" s="43">
        <f>INDEX(DarlObj,11)</f>
      </c>
      <c r="D5039">
        <v>236</v>
      </c>
      <c r="E5039" s="51">
        <f>IF(INDEX(DarlBelegt,11)=0,0,EOMONTH(INDEX(DarlAuszahlung,11),235)+1)</f>
      </c>
      <c r="F5039" s="43">
        <f>IF($E5039=0,0,YEAR($E5039))</f>
      </c>
      <c r="G5039" s="43">
        <f>IF(INDEX(DarlBindung,11)="",1,IF($E5039&lt;=INDEX(DarlBindung,11),1,0))</f>
      </c>
      <c r="H5039" s="43">
        <f>IF($G5039=1,INDEX(DarlSollzins,11),INDEX(DarlAnschluss,11))</f>
      </c>
      <c r="I5039" s="43">
        <f>IF(INDEX(DarlBelegt,11)=0,0,IF(INDEX(DarlOhneTilgung,11)=1,IF(INDEX(DarlBindung,11)="",1,$G5039),IF($J5039&gt;0.005,1,0)))</f>
      </c>
      <c r="J5039" s="43">
        <f>IF($I5038=0,0,$R5038)</f>
      </c>
      <c r="K5039" s="43">
        <f>IF($I5039=0,0,IF(INDEX(DarlOhneTilgung,11)=1,0,IF(AND(INDEX(DarlTilgStart,11)&gt;0,$E5039=INDEX(DarlTilgStart,11)),$J5039*($H5039+INDEX(DarlTilgung,11))/100/12,IF(AND($G5039=0,$G5038=1),MAX($K5038,$J5039*($H5039+1)/100/12),$K5038))))</f>
      </c>
      <c r="L5039" s="43">
        <f>IF($I5039=0,0,$J5039*$H5039/100/12)</f>
      </c>
      <c r="M5039" s="43">
        <f>IF($I5039=0,0,IF(OR(INDEX(DarlOhneTilgung,11)=1,AND(INDEX(DarlTilgStart,11)&gt;0,$E5039&lt;INDEX(DarlTilgStart,11))),0,MIN(MAX(0,$K5039-$L5039),$J5039)))</f>
      </c>
      <c r="N5039" s="43">
        <f>IF($I5039=0,0,MIN(SUMIFS(SondBetrag,SondDarl,11,SondDatum,"&gt;="&amp;$E5039,SondDatum,"&lt;="&amp;EOMONTH($E5039,0)),$J5039-$M5039))</f>
      </c>
      <c r="O5039" s="43">
        <f>IF($I5039=0,0,INDEX(DarlErsatzRate,11))</f>
      </c>
      <c r="P5039" s="43">
        <f>IF($I5039=0,0,$Q5038*INDEX(DarlErsatzZins,11))</f>
      </c>
      <c r="Q5039" s="43">
        <f>IF($I5039=0,0,$Q5038+$P5039+$O5039)</f>
      </c>
      <c r="R5039" s="43">
        <f>IF($I5039=0,0,$J5039-$M5039-$N5039)</f>
      </c>
    </row>
    <row r="5040">
      <c r="A5040"/>
      <c r="B5040">
        <v>11</v>
      </c>
      <c r="C5040" s="43">
        <f>INDEX(DarlObj,11)</f>
      </c>
      <c r="D5040">
        <v>237</v>
      </c>
      <c r="E5040" s="51">
        <f>IF(INDEX(DarlBelegt,11)=0,0,EOMONTH(INDEX(DarlAuszahlung,11),236)+1)</f>
      </c>
      <c r="F5040" s="43">
        <f>IF($E5040=0,0,YEAR($E5040))</f>
      </c>
      <c r="G5040" s="43">
        <f>IF(INDEX(DarlBindung,11)="",1,IF($E5040&lt;=INDEX(DarlBindung,11),1,0))</f>
      </c>
      <c r="H5040" s="43">
        <f>IF($G5040=1,INDEX(DarlSollzins,11),INDEX(DarlAnschluss,11))</f>
      </c>
      <c r="I5040" s="43">
        <f>IF(INDEX(DarlBelegt,11)=0,0,IF(INDEX(DarlOhneTilgung,11)=1,IF(INDEX(DarlBindung,11)="",1,$G5040),IF($J5040&gt;0.005,1,0)))</f>
      </c>
      <c r="J5040" s="43">
        <f>IF($I5039=0,0,$R5039)</f>
      </c>
      <c r="K5040" s="43">
        <f>IF($I5040=0,0,IF(INDEX(DarlOhneTilgung,11)=1,0,IF(AND(INDEX(DarlTilgStart,11)&gt;0,$E5040=INDEX(DarlTilgStart,11)),$J5040*($H5040+INDEX(DarlTilgung,11))/100/12,IF(AND($G5040=0,$G5039=1),MAX($K5039,$J5040*($H5040+1)/100/12),$K5039))))</f>
      </c>
      <c r="L5040" s="43">
        <f>IF($I5040=0,0,$J5040*$H5040/100/12)</f>
      </c>
      <c r="M5040" s="43">
        <f>IF($I5040=0,0,IF(OR(INDEX(DarlOhneTilgung,11)=1,AND(INDEX(DarlTilgStart,11)&gt;0,$E5040&lt;INDEX(DarlTilgStart,11))),0,MIN(MAX(0,$K5040-$L5040),$J5040)))</f>
      </c>
      <c r="N5040" s="43">
        <f>IF($I5040=0,0,MIN(SUMIFS(SondBetrag,SondDarl,11,SondDatum,"&gt;="&amp;$E5040,SondDatum,"&lt;="&amp;EOMONTH($E5040,0)),$J5040-$M5040))</f>
      </c>
      <c r="O5040" s="43">
        <f>IF($I5040=0,0,INDEX(DarlErsatzRate,11))</f>
      </c>
      <c r="P5040" s="43">
        <f>IF($I5040=0,0,$Q5039*INDEX(DarlErsatzZins,11))</f>
      </c>
      <c r="Q5040" s="43">
        <f>IF($I5040=0,0,$Q5039+$P5040+$O5040)</f>
      </c>
      <c r="R5040" s="43">
        <f>IF($I5040=0,0,$J5040-$M5040-$N5040)</f>
      </c>
    </row>
    <row r="5041">
      <c r="A5041"/>
      <c r="B5041">
        <v>11</v>
      </c>
      <c r="C5041" s="43">
        <f>INDEX(DarlObj,11)</f>
      </c>
      <c r="D5041">
        <v>238</v>
      </c>
      <c r="E5041" s="51">
        <f>IF(INDEX(DarlBelegt,11)=0,0,EOMONTH(INDEX(DarlAuszahlung,11),237)+1)</f>
      </c>
      <c r="F5041" s="43">
        <f>IF($E5041=0,0,YEAR($E5041))</f>
      </c>
      <c r="G5041" s="43">
        <f>IF(INDEX(DarlBindung,11)="",1,IF($E5041&lt;=INDEX(DarlBindung,11),1,0))</f>
      </c>
      <c r="H5041" s="43">
        <f>IF($G5041=1,INDEX(DarlSollzins,11),INDEX(DarlAnschluss,11))</f>
      </c>
      <c r="I5041" s="43">
        <f>IF(INDEX(DarlBelegt,11)=0,0,IF(INDEX(DarlOhneTilgung,11)=1,IF(INDEX(DarlBindung,11)="",1,$G5041),IF($J5041&gt;0.005,1,0)))</f>
      </c>
      <c r="J5041" s="43">
        <f>IF($I5040=0,0,$R5040)</f>
      </c>
      <c r="K5041" s="43">
        <f>IF($I5041=0,0,IF(INDEX(DarlOhneTilgung,11)=1,0,IF(AND(INDEX(DarlTilgStart,11)&gt;0,$E5041=INDEX(DarlTilgStart,11)),$J5041*($H5041+INDEX(DarlTilgung,11))/100/12,IF(AND($G5041=0,$G5040=1),MAX($K5040,$J5041*($H5041+1)/100/12),$K5040))))</f>
      </c>
      <c r="L5041" s="43">
        <f>IF($I5041=0,0,$J5041*$H5041/100/12)</f>
      </c>
      <c r="M5041" s="43">
        <f>IF($I5041=0,0,IF(OR(INDEX(DarlOhneTilgung,11)=1,AND(INDEX(DarlTilgStart,11)&gt;0,$E5041&lt;INDEX(DarlTilgStart,11))),0,MIN(MAX(0,$K5041-$L5041),$J5041)))</f>
      </c>
      <c r="N5041" s="43">
        <f>IF($I5041=0,0,MIN(SUMIFS(SondBetrag,SondDarl,11,SondDatum,"&gt;="&amp;$E5041,SondDatum,"&lt;="&amp;EOMONTH($E5041,0)),$J5041-$M5041))</f>
      </c>
      <c r="O5041" s="43">
        <f>IF($I5041=0,0,INDEX(DarlErsatzRate,11))</f>
      </c>
      <c r="P5041" s="43">
        <f>IF($I5041=0,0,$Q5040*INDEX(DarlErsatzZins,11))</f>
      </c>
      <c r="Q5041" s="43">
        <f>IF($I5041=0,0,$Q5040+$P5041+$O5041)</f>
      </c>
      <c r="R5041" s="43">
        <f>IF($I5041=0,0,$J5041-$M5041-$N5041)</f>
      </c>
    </row>
    <row r="5042">
      <c r="A5042"/>
      <c r="B5042">
        <v>11</v>
      </c>
      <c r="C5042" s="43">
        <f>INDEX(DarlObj,11)</f>
      </c>
      <c r="D5042">
        <v>239</v>
      </c>
      <c r="E5042" s="51">
        <f>IF(INDEX(DarlBelegt,11)=0,0,EOMONTH(INDEX(DarlAuszahlung,11),238)+1)</f>
      </c>
      <c r="F5042" s="43">
        <f>IF($E5042=0,0,YEAR($E5042))</f>
      </c>
      <c r="G5042" s="43">
        <f>IF(INDEX(DarlBindung,11)="",1,IF($E5042&lt;=INDEX(DarlBindung,11),1,0))</f>
      </c>
      <c r="H5042" s="43">
        <f>IF($G5042=1,INDEX(DarlSollzins,11),INDEX(DarlAnschluss,11))</f>
      </c>
      <c r="I5042" s="43">
        <f>IF(INDEX(DarlBelegt,11)=0,0,IF(INDEX(DarlOhneTilgung,11)=1,IF(INDEX(DarlBindung,11)="",1,$G5042),IF($J5042&gt;0.005,1,0)))</f>
      </c>
      <c r="J5042" s="43">
        <f>IF($I5041=0,0,$R5041)</f>
      </c>
      <c r="K5042" s="43">
        <f>IF($I5042=0,0,IF(INDEX(DarlOhneTilgung,11)=1,0,IF(AND(INDEX(DarlTilgStart,11)&gt;0,$E5042=INDEX(DarlTilgStart,11)),$J5042*($H5042+INDEX(DarlTilgung,11))/100/12,IF(AND($G5042=0,$G5041=1),MAX($K5041,$J5042*($H5042+1)/100/12),$K5041))))</f>
      </c>
      <c r="L5042" s="43">
        <f>IF($I5042=0,0,$J5042*$H5042/100/12)</f>
      </c>
      <c r="M5042" s="43">
        <f>IF($I5042=0,0,IF(OR(INDEX(DarlOhneTilgung,11)=1,AND(INDEX(DarlTilgStart,11)&gt;0,$E5042&lt;INDEX(DarlTilgStart,11))),0,MIN(MAX(0,$K5042-$L5042),$J5042)))</f>
      </c>
      <c r="N5042" s="43">
        <f>IF($I5042=0,0,MIN(SUMIFS(SondBetrag,SondDarl,11,SondDatum,"&gt;="&amp;$E5042,SondDatum,"&lt;="&amp;EOMONTH($E5042,0)),$J5042-$M5042))</f>
      </c>
      <c r="O5042" s="43">
        <f>IF($I5042=0,0,INDEX(DarlErsatzRate,11))</f>
      </c>
      <c r="P5042" s="43">
        <f>IF($I5042=0,0,$Q5041*INDEX(DarlErsatzZins,11))</f>
      </c>
      <c r="Q5042" s="43">
        <f>IF($I5042=0,0,$Q5041+$P5042+$O5042)</f>
      </c>
      <c r="R5042" s="43">
        <f>IF($I5042=0,0,$J5042-$M5042-$N5042)</f>
      </c>
    </row>
    <row r="5043">
      <c r="A5043"/>
      <c r="B5043">
        <v>11</v>
      </c>
      <c r="C5043" s="43">
        <f>INDEX(DarlObj,11)</f>
      </c>
      <c r="D5043">
        <v>240</v>
      </c>
      <c r="E5043" s="51">
        <f>IF(INDEX(DarlBelegt,11)=0,0,EOMONTH(INDEX(DarlAuszahlung,11),239)+1)</f>
      </c>
      <c r="F5043" s="43">
        <f>IF($E5043=0,0,YEAR($E5043))</f>
      </c>
      <c r="G5043" s="43">
        <f>IF(INDEX(DarlBindung,11)="",1,IF($E5043&lt;=INDEX(DarlBindung,11),1,0))</f>
      </c>
      <c r="H5043" s="43">
        <f>IF($G5043=1,INDEX(DarlSollzins,11),INDEX(DarlAnschluss,11))</f>
      </c>
      <c r="I5043" s="43">
        <f>IF(INDEX(DarlBelegt,11)=0,0,IF(INDEX(DarlOhneTilgung,11)=1,IF(INDEX(DarlBindung,11)="",1,$G5043),IF($J5043&gt;0.005,1,0)))</f>
      </c>
      <c r="J5043" s="43">
        <f>IF($I5042=0,0,$R5042)</f>
      </c>
      <c r="K5043" s="43">
        <f>IF($I5043=0,0,IF(INDEX(DarlOhneTilgung,11)=1,0,IF(AND(INDEX(DarlTilgStart,11)&gt;0,$E5043=INDEX(DarlTilgStart,11)),$J5043*($H5043+INDEX(DarlTilgung,11))/100/12,IF(AND($G5043=0,$G5042=1),MAX($K5042,$J5043*($H5043+1)/100/12),$K5042))))</f>
      </c>
      <c r="L5043" s="43">
        <f>IF($I5043=0,0,$J5043*$H5043/100/12)</f>
      </c>
      <c r="M5043" s="43">
        <f>IF($I5043=0,0,IF(OR(INDEX(DarlOhneTilgung,11)=1,AND(INDEX(DarlTilgStart,11)&gt;0,$E5043&lt;INDEX(DarlTilgStart,11))),0,MIN(MAX(0,$K5043-$L5043),$J5043)))</f>
      </c>
      <c r="N5043" s="43">
        <f>IF($I5043=0,0,MIN(SUMIFS(SondBetrag,SondDarl,11,SondDatum,"&gt;="&amp;$E5043,SondDatum,"&lt;="&amp;EOMONTH($E5043,0)),$J5043-$M5043))</f>
      </c>
      <c r="O5043" s="43">
        <f>IF($I5043=0,0,INDEX(DarlErsatzRate,11))</f>
      </c>
      <c r="P5043" s="43">
        <f>IF($I5043=0,0,$Q5042*INDEX(DarlErsatzZins,11))</f>
      </c>
      <c r="Q5043" s="43">
        <f>IF($I5043=0,0,$Q5042+$P5043+$O5043)</f>
      </c>
      <c r="R5043" s="43">
        <f>IF($I5043=0,0,$J5043-$M5043-$N5043)</f>
      </c>
    </row>
    <row r="5044">
      <c r="A5044"/>
      <c r="B5044">
        <v>11</v>
      </c>
      <c r="C5044" s="43">
        <f>INDEX(DarlObj,11)</f>
      </c>
      <c r="D5044">
        <v>241</v>
      </c>
      <c r="E5044" s="51">
        <f>IF(INDEX(DarlBelegt,11)=0,0,EOMONTH(INDEX(DarlAuszahlung,11),240)+1)</f>
      </c>
      <c r="F5044" s="43">
        <f>IF($E5044=0,0,YEAR($E5044))</f>
      </c>
      <c r="G5044" s="43">
        <f>IF(INDEX(DarlBindung,11)="",1,IF($E5044&lt;=INDEX(DarlBindung,11),1,0))</f>
      </c>
      <c r="H5044" s="43">
        <f>IF($G5044=1,INDEX(DarlSollzins,11),INDEX(DarlAnschluss,11))</f>
      </c>
      <c r="I5044" s="43">
        <f>IF(INDEX(DarlBelegt,11)=0,0,IF(INDEX(DarlOhneTilgung,11)=1,IF(INDEX(DarlBindung,11)="",1,$G5044),IF($J5044&gt;0.005,1,0)))</f>
      </c>
      <c r="J5044" s="43">
        <f>IF($I5043=0,0,$R5043)</f>
      </c>
      <c r="K5044" s="43">
        <f>IF($I5044=0,0,IF(INDEX(DarlOhneTilgung,11)=1,0,IF(AND(INDEX(DarlTilgStart,11)&gt;0,$E5044=INDEX(DarlTilgStart,11)),$J5044*($H5044+INDEX(DarlTilgung,11))/100/12,IF(AND($G5044=0,$G5043=1),MAX($K5043,$J5044*($H5044+1)/100/12),$K5043))))</f>
      </c>
      <c r="L5044" s="43">
        <f>IF($I5044=0,0,$J5044*$H5044/100/12)</f>
      </c>
      <c r="M5044" s="43">
        <f>IF($I5044=0,0,IF(OR(INDEX(DarlOhneTilgung,11)=1,AND(INDEX(DarlTilgStart,11)&gt;0,$E5044&lt;INDEX(DarlTilgStart,11))),0,MIN(MAX(0,$K5044-$L5044),$J5044)))</f>
      </c>
      <c r="N5044" s="43">
        <f>IF($I5044=0,0,MIN(SUMIFS(SondBetrag,SondDarl,11,SondDatum,"&gt;="&amp;$E5044,SondDatum,"&lt;="&amp;EOMONTH($E5044,0)),$J5044-$M5044))</f>
      </c>
      <c r="O5044" s="43">
        <f>IF($I5044=0,0,INDEX(DarlErsatzRate,11))</f>
      </c>
      <c r="P5044" s="43">
        <f>IF($I5044=0,0,$Q5043*INDEX(DarlErsatzZins,11))</f>
      </c>
      <c r="Q5044" s="43">
        <f>IF($I5044=0,0,$Q5043+$P5044+$O5044)</f>
      </c>
      <c r="R5044" s="43">
        <f>IF($I5044=0,0,$J5044-$M5044-$N5044)</f>
      </c>
    </row>
    <row r="5045">
      <c r="A5045"/>
      <c r="B5045">
        <v>11</v>
      </c>
      <c r="C5045" s="43">
        <f>INDEX(DarlObj,11)</f>
      </c>
      <c r="D5045">
        <v>242</v>
      </c>
      <c r="E5045" s="51">
        <f>IF(INDEX(DarlBelegt,11)=0,0,EOMONTH(INDEX(DarlAuszahlung,11),241)+1)</f>
      </c>
      <c r="F5045" s="43">
        <f>IF($E5045=0,0,YEAR($E5045))</f>
      </c>
      <c r="G5045" s="43">
        <f>IF(INDEX(DarlBindung,11)="",1,IF($E5045&lt;=INDEX(DarlBindung,11),1,0))</f>
      </c>
      <c r="H5045" s="43">
        <f>IF($G5045=1,INDEX(DarlSollzins,11),INDEX(DarlAnschluss,11))</f>
      </c>
      <c r="I5045" s="43">
        <f>IF(INDEX(DarlBelegt,11)=0,0,IF(INDEX(DarlOhneTilgung,11)=1,IF(INDEX(DarlBindung,11)="",1,$G5045),IF($J5045&gt;0.005,1,0)))</f>
      </c>
      <c r="J5045" s="43">
        <f>IF($I5044=0,0,$R5044)</f>
      </c>
      <c r="K5045" s="43">
        <f>IF($I5045=0,0,IF(INDEX(DarlOhneTilgung,11)=1,0,IF(AND(INDEX(DarlTilgStart,11)&gt;0,$E5045=INDEX(DarlTilgStart,11)),$J5045*($H5045+INDEX(DarlTilgung,11))/100/12,IF(AND($G5045=0,$G5044=1),MAX($K5044,$J5045*($H5045+1)/100/12),$K5044))))</f>
      </c>
      <c r="L5045" s="43">
        <f>IF($I5045=0,0,$J5045*$H5045/100/12)</f>
      </c>
      <c r="M5045" s="43">
        <f>IF($I5045=0,0,IF(OR(INDEX(DarlOhneTilgung,11)=1,AND(INDEX(DarlTilgStart,11)&gt;0,$E5045&lt;INDEX(DarlTilgStart,11))),0,MIN(MAX(0,$K5045-$L5045),$J5045)))</f>
      </c>
      <c r="N5045" s="43">
        <f>IF($I5045=0,0,MIN(SUMIFS(SondBetrag,SondDarl,11,SondDatum,"&gt;="&amp;$E5045,SondDatum,"&lt;="&amp;EOMONTH($E5045,0)),$J5045-$M5045))</f>
      </c>
      <c r="O5045" s="43">
        <f>IF($I5045=0,0,INDEX(DarlErsatzRate,11))</f>
      </c>
      <c r="P5045" s="43">
        <f>IF($I5045=0,0,$Q5044*INDEX(DarlErsatzZins,11))</f>
      </c>
      <c r="Q5045" s="43">
        <f>IF($I5045=0,0,$Q5044+$P5045+$O5045)</f>
      </c>
      <c r="R5045" s="43">
        <f>IF($I5045=0,0,$J5045-$M5045-$N5045)</f>
      </c>
    </row>
    <row r="5046">
      <c r="A5046"/>
      <c r="B5046">
        <v>11</v>
      </c>
      <c r="C5046" s="43">
        <f>INDEX(DarlObj,11)</f>
      </c>
      <c r="D5046">
        <v>243</v>
      </c>
      <c r="E5046" s="51">
        <f>IF(INDEX(DarlBelegt,11)=0,0,EOMONTH(INDEX(DarlAuszahlung,11),242)+1)</f>
      </c>
      <c r="F5046" s="43">
        <f>IF($E5046=0,0,YEAR($E5046))</f>
      </c>
      <c r="G5046" s="43">
        <f>IF(INDEX(DarlBindung,11)="",1,IF($E5046&lt;=INDEX(DarlBindung,11),1,0))</f>
      </c>
      <c r="H5046" s="43">
        <f>IF($G5046=1,INDEX(DarlSollzins,11),INDEX(DarlAnschluss,11))</f>
      </c>
      <c r="I5046" s="43">
        <f>IF(INDEX(DarlBelegt,11)=0,0,IF(INDEX(DarlOhneTilgung,11)=1,IF(INDEX(DarlBindung,11)="",1,$G5046),IF($J5046&gt;0.005,1,0)))</f>
      </c>
      <c r="J5046" s="43">
        <f>IF($I5045=0,0,$R5045)</f>
      </c>
      <c r="K5046" s="43">
        <f>IF($I5046=0,0,IF(INDEX(DarlOhneTilgung,11)=1,0,IF(AND(INDEX(DarlTilgStart,11)&gt;0,$E5046=INDEX(DarlTilgStart,11)),$J5046*($H5046+INDEX(DarlTilgung,11))/100/12,IF(AND($G5046=0,$G5045=1),MAX($K5045,$J5046*($H5046+1)/100/12),$K5045))))</f>
      </c>
      <c r="L5046" s="43">
        <f>IF($I5046=0,0,$J5046*$H5046/100/12)</f>
      </c>
      <c r="M5046" s="43">
        <f>IF($I5046=0,0,IF(OR(INDEX(DarlOhneTilgung,11)=1,AND(INDEX(DarlTilgStart,11)&gt;0,$E5046&lt;INDEX(DarlTilgStart,11))),0,MIN(MAX(0,$K5046-$L5046),$J5046)))</f>
      </c>
      <c r="N5046" s="43">
        <f>IF($I5046=0,0,MIN(SUMIFS(SondBetrag,SondDarl,11,SondDatum,"&gt;="&amp;$E5046,SondDatum,"&lt;="&amp;EOMONTH($E5046,0)),$J5046-$M5046))</f>
      </c>
      <c r="O5046" s="43">
        <f>IF($I5046=0,0,INDEX(DarlErsatzRate,11))</f>
      </c>
      <c r="P5046" s="43">
        <f>IF($I5046=0,0,$Q5045*INDEX(DarlErsatzZins,11))</f>
      </c>
      <c r="Q5046" s="43">
        <f>IF($I5046=0,0,$Q5045+$P5046+$O5046)</f>
      </c>
      <c r="R5046" s="43">
        <f>IF($I5046=0,0,$J5046-$M5046-$N5046)</f>
      </c>
    </row>
    <row r="5047">
      <c r="A5047"/>
      <c r="B5047">
        <v>11</v>
      </c>
      <c r="C5047" s="43">
        <f>INDEX(DarlObj,11)</f>
      </c>
      <c r="D5047">
        <v>244</v>
      </c>
      <c r="E5047" s="51">
        <f>IF(INDEX(DarlBelegt,11)=0,0,EOMONTH(INDEX(DarlAuszahlung,11),243)+1)</f>
      </c>
      <c r="F5047" s="43">
        <f>IF($E5047=0,0,YEAR($E5047))</f>
      </c>
      <c r="G5047" s="43">
        <f>IF(INDEX(DarlBindung,11)="",1,IF($E5047&lt;=INDEX(DarlBindung,11),1,0))</f>
      </c>
      <c r="H5047" s="43">
        <f>IF($G5047=1,INDEX(DarlSollzins,11),INDEX(DarlAnschluss,11))</f>
      </c>
      <c r="I5047" s="43">
        <f>IF(INDEX(DarlBelegt,11)=0,0,IF(INDEX(DarlOhneTilgung,11)=1,IF(INDEX(DarlBindung,11)="",1,$G5047),IF($J5047&gt;0.005,1,0)))</f>
      </c>
      <c r="J5047" s="43">
        <f>IF($I5046=0,0,$R5046)</f>
      </c>
      <c r="K5047" s="43">
        <f>IF($I5047=0,0,IF(INDEX(DarlOhneTilgung,11)=1,0,IF(AND(INDEX(DarlTilgStart,11)&gt;0,$E5047=INDEX(DarlTilgStart,11)),$J5047*($H5047+INDEX(DarlTilgung,11))/100/12,IF(AND($G5047=0,$G5046=1),MAX($K5046,$J5047*($H5047+1)/100/12),$K5046))))</f>
      </c>
      <c r="L5047" s="43">
        <f>IF($I5047=0,0,$J5047*$H5047/100/12)</f>
      </c>
      <c r="M5047" s="43">
        <f>IF($I5047=0,0,IF(OR(INDEX(DarlOhneTilgung,11)=1,AND(INDEX(DarlTilgStart,11)&gt;0,$E5047&lt;INDEX(DarlTilgStart,11))),0,MIN(MAX(0,$K5047-$L5047),$J5047)))</f>
      </c>
      <c r="N5047" s="43">
        <f>IF($I5047=0,0,MIN(SUMIFS(SondBetrag,SondDarl,11,SondDatum,"&gt;="&amp;$E5047,SondDatum,"&lt;="&amp;EOMONTH($E5047,0)),$J5047-$M5047))</f>
      </c>
      <c r="O5047" s="43">
        <f>IF($I5047=0,0,INDEX(DarlErsatzRate,11))</f>
      </c>
      <c r="P5047" s="43">
        <f>IF($I5047=0,0,$Q5046*INDEX(DarlErsatzZins,11))</f>
      </c>
      <c r="Q5047" s="43">
        <f>IF($I5047=0,0,$Q5046+$P5047+$O5047)</f>
      </c>
      <c r="R5047" s="43">
        <f>IF($I5047=0,0,$J5047-$M5047-$N5047)</f>
      </c>
    </row>
    <row r="5048">
      <c r="A5048"/>
      <c r="B5048">
        <v>11</v>
      </c>
      <c r="C5048" s="43">
        <f>INDEX(DarlObj,11)</f>
      </c>
      <c r="D5048">
        <v>245</v>
      </c>
      <c r="E5048" s="51">
        <f>IF(INDEX(DarlBelegt,11)=0,0,EOMONTH(INDEX(DarlAuszahlung,11),244)+1)</f>
      </c>
      <c r="F5048" s="43">
        <f>IF($E5048=0,0,YEAR($E5048))</f>
      </c>
      <c r="G5048" s="43">
        <f>IF(INDEX(DarlBindung,11)="",1,IF($E5048&lt;=INDEX(DarlBindung,11),1,0))</f>
      </c>
      <c r="H5048" s="43">
        <f>IF($G5048=1,INDEX(DarlSollzins,11),INDEX(DarlAnschluss,11))</f>
      </c>
      <c r="I5048" s="43">
        <f>IF(INDEX(DarlBelegt,11)=0,0,IF(INDEX(DarlOhneTilgung,11)=1,IF(INDEX(DarlBindung,11)="",1,$G5048),IF($J5048&gt;0.005,1,0)))</f>
      </c>
      <c r="J5048" s="43">
        <f>IF($I5047=0,0,$R5047)</f>
      </c>
      <c r="K5048" s="43">
        <f>IF($I5048=0,0,IF(INDEX(DarlOhneTilgung,11)=1,0,IF(AND(INDEX(DarlTilgStart,11)&gt;0,$E5048=INDEX(DarlTilgStart,11)),$J5048*($H5048+INDEX(DarlTilgung,11))/100/12,IF(AND($G5048=0,$G5047=1),MAX($K5047,$J5048*($H5048+1)/100/12),$K5047))))</f>
      </c>
      <c r="L5048" s="43">
        <f>IF($I5048=0,0,$J5048*$H5048/100/12)</f>
      </c>
      <c r="M5048" s="43">
        <f>IF($I5048=0,0,IF(OR(INDEX(DarlOhneTilgung,11)=1,AND(INDEX(DarlTilgStart,11)&gt;0,$E5048&lt;INDEX(DarlTilgStart,11))),0,MIN(MAX(0,$K5048-$L5048),$J5048)))</f>
      </c>
      <c r="N5048" s="43">
        <f>IF($I5048=0,0,MIN(SUMIFS(SondBetrag,SondDarl,11,SondDatum,"&gt;="&amp;$E5048,SondDatum,"&lt;="&amp;EOMONTH($E5048,0)),$J5048-$M5048))</f>
      </c>
      <c r="O5048" s="43">
        <f>IF($I5048=0,0,INDEX(DarlErsatzRate,11))</f>
      </c>
      <c r="P5048" s="43">
        <f>IF($I5048=0,0,$Q5047*INDEX(DarlErsatzZins,11))</f>
      </c>
      <c r="Q5048" s="43">
        <f>IF($I5048=0,0,$Q5047+$P5048+$O5048)</f>
      </c>
      <c r="R5048" s="43">
        <f>IF($I5048=0,0,$J5048-$M5048-$N5048)</f>
      </c>
    </row>
    <row r="5049">
      <c r="A5049"/>
      <c r="B5049">
        <v>11</v>
      </c>
      <c r="C5049" s="43">
        <f>INDEX(DarlObj,11)</f>
      </c>
      <c r="D5049">
        <v>246</v>
      </c>
      <c r="E5049" s="51">
        <f>IF(INDEX(DarlBelegt,11)=0,0,EOMONTH(INDEX(DarlAuszahlung,11),245)+1)</f>
      </c>
      <c r="F5049" s="43">
        <f>IF($E5049=0,0,YEAR($E5049))</f>
      </c>
      <c r="G5049" s="43">
        <f>IF(INDEX(DarlBindung,11)="",1,IF($E5049&lt;=INDEX(DarlBindung,11),1,0))</f>
      </c>
      <c r="H5049" s="43">
        <f>IF($G5049=1,INDEX(DarlSollzins,11),INDEX(DarlAnschluss,11))</f>
      </c>
      <c r="I5049" s="43">
        <f>IF(INDEX(DarlBelegt,11)=0,0,IF(INDEX(DarlOhneTilgung,11)=1,IF(INDEX(DarlBindung,11)="",1,$G5049),IF($J5049&gt;0.005,1,0)))</f>
      </c>
      <c r="J5049" s="43">
        <f>IF($I5048=0,0,$R5048)</f>
      </c>
      <c r="K5049" s="43">
        <f>IF($I5049=0,0,IF(INDEX(DarlOhneTilgung,11)=1,0,IF(AND(INDEX(DarlTilgStart,11)&gt;0,$E5049=INDEX(DarlTilgStart,11)),$J5049*($H5049+INDEX(DarlTilgung,11))/100/12,IF(AND($G5049=0,$G5048=1),MAX($K5048,$J5049*($H5049+1)/100/12),$K5048))))</f>
      </c>
      <c r="L5049" s="43">
        <f>IF($I5049=0,0,$J5049*$H5049/100/12)</f>
      </c>
      <c r="M5049" s="43">
        <f>IF($I5049=0,0,IF(OR(INDEX(DarlOhneTilgung,11)=1,AND(INDEX(DarlTilgStart,11)&gt;0,$E5049&lt;INDEX(DarlTilgStart,11))),0,MIN(MAX(0,$K5049-$L5049),$J5049)))</f>
      </c>
      <c r="N5049" s="43">
        <f>IF($I5049=0,0,MIN(SUMIFS(SondBetrag,SondDarl,11,SondDatum,"&gt;="&amp;$E5049,SondDatum,"&lt;="&amp;EOMONTH($E5049,0)),$J5049-$M5049))</f>
      </c>
      <c r="O5049" s="43">
        <f>IF($I5049=0,0,INDEX(DarlErsatzRate,11))</f>
      </c>
      <c r="P5049" s="43">
        <f>IF($I5049=0,0,$Q5048*INDEX(DarlErsatzZins,11))</f>
      </c>
      <c r="Q5049" s="43">
        <f>IF($I5049=0,0,$Q5048+$P5049+$O5049)</f>
      </c>
      <c r="R5049" s="43">
        <f>IF($I5049=0,0,$J5049-$M5049-$N5049)</f>
      </c>
    </row>
    <row r="5050">
      <c r="A5050"/>
      <c r="B5050">
        <v>11</v>
      </c>
      <c r="C5050" s="43">
        <f>INDEX(DarlObj,11)</f>
      </c>
      <c r="D5050">
        <v>247</v>
      </c>
      <c r="E5050" s="51">
        <f>IF(INDEX(DarlBelegt,11)=0,0,EOMONTH(INDEX(DarlAuszahlung,11),246)+1)</f>
      </c>
      <c r="F5050" s="43">
        <f>IF($E5050=0,0,YEAR($E5050))</f>
      </c>
      <c r="G5050" s="43">
        <f>IF(INDEX(DarlBindung,11)="",1,IF($E5050&lt;=INDEX(DarlBindung,11),1,0))</f>
      </c>
      <c r="H5050" s="43">
        <f>IF($G5050=1,INDEX(DarlSollzins,11),INDEX(DarlAnschluss,11))</f>
      </c>
      <c r="I5050" s="43">
        <f>IF(INDEX(DarlBelegt,11)=0,0,IF(INDEX(DarlOhneTilgung,11)=1,IF(INDEX(DarlBindung,11)="",1,$G5050),IF($J5050&gt;0.005,1,0)))</f>
      </c>
      <c r="J5050" s="43">
        <f>IF($I5049=0,0,$R5049)</f>
      </c>
      <c r="K5050" s="43">
        <f>IF($I5050=0,0,IF(INDEX(DarlOhneTilgung,11)=1,0,IF(AND(INDEX(DarlTilgStart,11)&gt;0,$E5050=INDEX(DarlTilgStart,11)),$J5050*($H5050+INDEX(DarlTilgung,11))/100/12,IF(AND($G5050=0,$G5049=1),MAX($K5049,$J5050*($H5050+1)/100/12),$K5049))))</f>
      </c>
      <c r="L5050" s="43">
        <f>IF($I5050=0,0,$J5050*$H5050/100/12)</f>
      </c>
      <c r="M5050" s="43">
        <f>IF($I5050=0,0,IF(OR(INDEX(DarlOhneTilgung,11)=1,AND(INDEX(DarlTilgStart,11)&gt;0,$E5050&lt;INDEX(DarlTilgStart,11))),0,MIN(MAX(0,$K5050-$L5050),$J5050)))</f>
      </c>
      <c r="N5050" s="43">
        <f>IF($I5050=0,0,MIN(SUMIFS(SondBetrag,SondDarl,11,SondDatum,"&gt;="&amp;$E5050,SondDatum,"&lt;="&amp;EOMONTH($E5050,0)),$J5050-$M5050))</f>
      </c>
      <c r="O5050" s="43">
        <f>IF($I5050=0,0,INDEX(DarlErsatzRate,11))</f>
      </c>
      <c r="P5050" s="43">
        <f>IF($I5050=0,0,$Q5049*INDEX(DarlErsatzZins,11))</f>
      </c>
      <c r="Q5050" s="43">
        <f>IF($I5050=0,0,$Q5049+$P5050+$O5050)</f>
      </c>
      <c r="R5050" s="43">
        <f>IF($I5050=0,0,$J5050-$M5050-$N5050)</f>
      </c>
    </row>
    <row r="5051">
      <c r="A5051"/>
      <c r="B5051">
        <v>11</v>
      </c>
      <c r="C5051" s="43">
        <f>INDEX(DarlObj,11)</f>
      </c>
      <c r="D5051">
        <v>248</v>
      </c>
      <c r="E5051" s="51">
        <f>IF(INDEX(DarlBelegt,11)=0,0,EOMONTH(INDEX(DarlAuszahlung,11),247)+1)</f>
      </c>
      <c r="F5051" s="43">
        <f>IF($E5051=0,0,YEAR($E5051))</f>
      </c>
      <c r="G5051" s="43">
        <f>IF(INDEX(DarlBindung,11)="",1,IF($E5051&lt;=INDEX(DarlBindung,11),1,0))</f>
      </c>
      <c r="H5051" s="43">
        <f>IF($G5051=1,INDEX(DarlSollzins,11),INDEX(DarlAnschluss,11))</f>
      </c>
      <c r="I5051" s="43">
        <f>IF(INDEX(DarlBelegt,11)=0,0,IF(INDEX(DarlOhneTilgung,11)=1,IF(INDEX(DarlBindung,11)="",1,$G5051),IF($J5051&gt;0.005,1,0)))</f>
      </c>
      <c r="J5051" s="43">
        <f>IF($I5050=0,0,$R5050)</f>
      </c>
      <c r="K5051" s="43">
        <f>IF($I5051=0,0,IF(INDEX(DarlOhneTilgung,11)=1,0,IF(AND(INDEX(DarlTilgStart,11)&gt;0,$E5051=INDEX(DarlTilgStart,11)),$J5051*($H5051+INDEX(DarlTilgung,11))/100/12,IF(AND($G5051=0,$G5050=1),MAX($K5050,$J5051*($H5051+1)/100/12),$K5050))))</f>
      </c>
      <c r="L5051" s="43">
        <f>IF($I5051=0,0,$J5051*$H5051/100/12)</f>
      </c>
      <c r="M5051" s="43">
        <f>IF($I5051=0,0,IF(OR(INDEX(DarlOhneTilgung,11)=1,AND(INDEX(DarlTilgStart,11)&gt;0,$E5051&lt;INDEX(DarlTilgStart,11))),0,MIN(MAX(0,$K5051-$L5051),$J5051)))</f>
      </c>
      <c r="N5051" s="43">
        <f>IF($I5051=0,0,MIN(SUMIFS(SondBetrag,SondDarl,11,SondDatum,"&gt;="&amp;$E5051,SondDatum,"&lt;="&amp;EOMONTH($E5051,0)),$J5051-$M5051))</f>
      </c>
      <c r="O5051" s="43">
        <f>IF($I5051=0,0,INDEX(DarlErsatzRate,11))</f>
      </c>
      <c r="P5051" s="43">
        <f>IF($I5051=0,0,$Q5050*INDEX(DarlErsatzZins,11))</f>
      </c>
      <c r="Q5051" s="43">
        <f>IF($I5051=0,0,$Q5050+$P5051+$O5051)</f>
      </c>
      <c r="R5051" s="43">
        <f>IF($I5051=0,0,$J5051-$M5051-$N5051)</f>
      </c>
    </row>
    <row r="5052">
      <c r="A5052"/>
      <c r="B5052">
        <v>11</v>
      </c>
      <c r="C5052" s="43">
        <f>INDEX(DarlObj,11)</f>
      </c>
      <c r="D5052">
        <v>249</v>
      </c>
      <c r="E5052" s="51">
        <f>IF(INDEX(DarlBelegt,11)=0,0,EOMONTH(INDEX(DarlAuszahlung,11),248)+1)</f>
      </c>
      <c r="F5052" s="43">
        <f>IF($E5052=0,0,YEAR($E5052))</f>
      </c>
      <c r="G5052" s="43">
        <f>IF(INDEX(DarlBindung,11)="",1,IF($E5052&lt;=INDEX(DarlBindung,11),1,0))</f>
      </c>
      <c r="H5052" s="43">
        <f>IF($G5052=1,INDEX(DarlSollzins,11),INDEX(DarlAnschluss,11))</f>
      </c>
      <c r="I5052" s="43">
        <f>IF(INDEX(DarlBelegt,11)=0,0,IF(INDEX(DarlOhneTilgung,11)=1,IF(INDEX(DarlBindung,11)="",1,$G5052),IF($J5052&gt;0.005,1,0)))</f>
      </c>
      <c r="J5052" s="43">
        <f>IF($I5051=0,0,$R5051)</f>
      </c>
      <c r="K5052" s="43">
        <f>IF($I5052=0,0,IF(INDEX(DarlOhneTilgung,11)=1,0,IF(AND(INDEX(DarlTilgStart,11)&gt;0,$E5052=INDEX(DarlTilgStart,11)),$J5052*($H5052+INDEX(DarlTilgung,11))/100/12,IF(AND($G5052=0,$G5051=1),MAX($K5051,$J5052*($H5052+1)/100/12),$K5051))))</f>
      </c>
      <c r="L5052" s="43">
        <f>IF($I5052=0,0,$J5052*$H5052/100/12)</f>
      </c>
      <c r="M5052" s="43">
        <f>IF($I5052=0,0,IF(OR(INDEX(DarlOhneTilgung,11)=1,AND(INDEX(DarlTilgStart,11)&gt;0,$E5052&lt;INDEX(DarlTilgStart,11))),0,MIN(MAX(0,$K5052-$L5052),$J5052)))</f>
      </c>
      <c r="N5052" s="43">
        <f>IF($I5052=0,0,MIN(SUMIFS(SondBetrag,SondDarl,11,SondDatum,"&gt;="&amp;$E5052,SondDatum,"&lt;="&amp;EOMONTH($E5052,0)),$J5052-$M5052))</f>
      </c>
      <c r="O5052" s="43">
        <f>IF($I5052=0,0,INDEX(DarlErsatzRate,11))</f>
      </c>
      <c r="P5052" s="43">
        <f>IF($I5052=0,0,$Q5051*INDEX(DarlErsatzZins,11))</f>
      </c>
      <c r="Q5052" s="43">
        <f>IF($I5052=0,0,$Q5051+$P5052+$O5052)</f>
      </c>
      <c r="R5052" s="43">
        <f>IF($I5052=0,0,$J5052-$M5052-$N5052)</f>
      </c>
    </row>
    <row r="5053">
      <c r="A5053"/>
      <c r="B5053">
        <v>11</v>
      </c>
      <c r="C5053" s="43">
        <f>INDEX(DarlObj,11)</f>
      </c>
      <c r="D5053">
        <v>250</v>
      </c>
      <c r="E5053" s="51">
        <f>IF(INDEX(DarlBelegt,11)=0,0,EOMONTH(INDEX(DarlAuszahlung,11),249)+1)</f>
      </c>
      <c r="F5053" s="43">
        <f>IF($E5053=0,0,YEAR($E5053))</f>
      </c>
      <c r="G5053" s="43">
        <f>IF(INDEX(DarlBindung,11)="",1,IF($E5053&lt;=INDEX(DarlBindung,11),1,0))</f>
      </c>
      <c r="H5053" s="43">
        <f>IF($G5053=1,INDEX(DarlSollzins,11),INDEX(DarlAnschluss,11))</f>
      </c>
      <c r="I5053" s="43">
        <f>IF(INDEX(DarlBelegt,11)=0,0,IF(INDEX(DarlOhneTilgung,11)=1,IF(INDEX(DarlBindung,11)="",1,$G5053),IF($J5053&gt;0.005,1,0)))</f>
      </c>
      <c r="J5053" s="43">
        <f>IF($I5052=0,0,$R5052)</f>
      </c>
      <c r="K5053" s="43">
        <f>IF($I5053=0,0,IF(INDEX(DarlOhneTilgung,11)=1,0,IF(AND(INDEX(DarlTilgStart,11)&gt;0,$E5053=INDEX(DarlTilgStart,11)),$J5053*($H5053+INDEX(DarlTilgung,11))/100/12,IF(AND($G5053=0,$G5052=1),MAX($K5052,$J5053*($H5053+1)/100/12),$K5052))))</f>
      </c>
      <c r="L5053" s="43">
        <f>IF($I5053=0,0,$J5053*$H5053/100/12)</f>
      </c>
      <c r="M5053" s="43">
        <f>IF($I5053=0,0,IF(OR(INDEX(DarlOhneTilgung,11)=1,AND(INDEX(DarlTilgStart,11)&gt;0,$E5053&lt;INDEX(DarlTilgStart,11))),0,MIN(MAX(0,$K5053-$L5053),$J5053)))</f>
      </c>
      <c r="N5053" s="43">
        <f>IF($I5053=0,0,MIN(SUMIFS(SondBetrag,SondDarl,11,SondDatum,"&gt;="&amp;$E5053,SondDatum,"&lt;="&amp;EOMONTH($E5053,0)),$J5053-$M5053))</f>
      </c>
      <c r="O5053" s="43">
        <f>IF($I5053=0,0,INDEX(DarlErsatzRate,11))</f>
      </c>
      <c r="P5053" s="43">
        <f>IF($I5053=0,0,$Q5052*INDEX(DarlErsatzZins,11))</f>
      </c>
      <c r="Q5053" s="43">
        <f>IF($I5053=0,0,$Q5052+$P5053+$O5053)</f>
      </c>
      <c r="R5053" s="43">
        <f>IF($I5053=0,0,$J5053-$M5053-$N5053)</f>
      </c>
    </row>
    <row r="5054">
      <c r="A5054"/>
      <c r="B5054">
        <v>11</v>
      </c>
      <c r="C5054" s="43">
        <f>INDEX(DarlObj,11)</f>
      </c>
      <c r="D5054">
        <v>251</v>
      </c>
      <c r="E5054" s="51">
        <f>IF(INDEX(DarlBelegt,11)=0,0,EOMONTH(INDEX(DarlAuszahlung,11),250)+1)</f>
      </c>
      <c r="F5054" s="43">
        <f>IF($E5054=0,0,YEAR($E5054))</f>
      </c>
      <c r="G5054" s="43">
        <f>IF(INDEX(DarlBindung,11)="",1,IF($E5054&lt;=INDEX(DarlBindung,11),1,0))</f>
      </c>
      <c r="H5054" s="43">
        <f>IF($G5054=1,INDEX(DarlSollzins,11),INDEX(DarlAnschluss,11))</f>
      </c>
      <c r="I5054" s="43">
        <f>IF(INDEX(DarlBelegt,11)=0,0,IF(INDEX(DarlOhneTilgung,11)=1,IF(INDEX(DarlBindung,11)="",1,$G5054),IF($J5054&gt;0.005,1,0)))</f>
      </c>
      <c r="J5054" s="43">
        <f>IF($I5053=0,0,$R5053)</f>
      </c>
      <c r="K5054" s="43">
        <f>IF($I5054=0,0,IF(INDEX(DarlOhneTilgung,11)=1,0,IF(AND(INDEX(DarlTilgStart,11)&gt;0,$E5054=INDEX(DarlTilgStart,11)),$J5054*($H5054+INDEX(DarlTilgung,11))/100/12,IF(AND($G5054=0,$G5053=1),MAX($K5053,$J5054*($H5054+1)/100/12),$K5053))))</f>
      </c>
      <c r="L5054" s="43">
        <f>IF($I5054=0,0,$J5054*$H5054/100/12)</f>
      </c>
      <c r="M5054" s="43">
        <f>IF($I5054=0,0,IF(OR(INDEX(DarlOhneTilgung,11)=1,AND(INDEX(DarlTilgStart,11)&gt;0,$E5054&lt;INDEX(DarlTilgStart,11))),0,MIN(MAX(0,$K5054-$L5054),$J5054)))</f>
      </c>
      <c r="N5054" s="43">
        <f>IF($I5054=0,0,MIN(SUMIFS(SondBetrag,SondDarl,11,SondDatum,"&gt;="&amp;$E5054,SondDatum,"&lt;="&amp;EOMONTH($E5054,0)),$J5054-$M5054))</f>
      </c>
      <c r="O5054" s="43">
        <f>IF($I5054=0,0,INDEX(DarlErsatzRate,11))</f>
      </c>
      <c r="P5054" s="43">
        <f>IF($I5054=0,0,$Q5053*INDEX(DarlErsatzZins,11))</f>
      </c>
      <c r="Q5054" s="43">
        <f>IF($I5054=0,0,$Q5053+$P5054+$O5054)</f>
      </c>
      <c r="R5054" s="43">
        <f>IF($I5054=0,0,$J5054-$M5054-$N5054)</f>
      </c>
    </row>
    <row r="5055">
      <c r="A5055"/>
      <c r="B5055">
        <v>11</v>
      </c>
      <c r="C5055" s="43">
        <f>INDEX(DarlObj,11)</f>
      </c>
      <c r="D5055">
        <v>252</v>
      </c>
      <c r="E5055" s="51">
        <f>IF(INDEX(DarlBelegt,11)=0,0,EOMONTH(INDEX(DarlAuszahlung,11),251)+1)</f>
      </c>
      <c r="F5055" s="43">
        <f>IF($E5055=0,0,YEAR($E5055))</f>
      </c>
      <c r="G5055" s="43">
        <f>IF(INDEX(DarlBindung,11)="",1,IF($E5055&lt;=INDEX(DarlBindung,11),1,0))</f>
      </c>
      <c r="H5055" s="43">
        <f>IF($G5055=1,INDEX(DarlSollzins,11),INDEX(DarlAnschluss,11))</f>
      </c>
      <c r="I5055" s="43">
        <f>IF(INDEX(DarlBelegt,11)=0,0,IF(INDEX(DarlOhneTilgung,11)=1,IF(INDEX(DarlBindung,11)="",1,$G5055),IF($J5055&gt;0.005,1,0)))</f>
      </c>
      <c r="J5055" s="43">
        <f>IF($I5054=0,0,$R5054)</f>
      </c>
      <c r="K5055" s="43">
        <f>IF($I5055=0,0,IF(INDEX(DarlOhneTilgung,11)=1,0,IF(AND(INDEX(DarlTilgStart,11)&gt;0,$E5055=INDEX(DarlTilgStart,11)),$J5055*($H5055+INDEX(DarlTilgung,11))/100/12,IF(AND($G5055=0,$G5054=1),MAX($K5054,$J5055*($H5055+1)/100/12),$K5054))))</f>
      </c>
      <c r="L5055" s="43">
        <f>IF($I5055=0,0,$J5055*$H5055/100/12)</f>
      </c>
      <c r="M5055" s="43">
        <f>IF($I5055=0,0,IF(OR(INDEX(DarlOhneTilgung,11)=1,AND(INDEX(DarlTilgStart,11)&gt;0,$E5055&lt;INDEX(DarlTilgStart,11))),0,MIN(MAX(0,$K5055-$L5055),$J5055)))</f>
      </c>
      <c r="N5055" s="43">
        <f>IF($I5055=0,0,MIN(SUMIFS(SondBetrag,SondDarl,11,SondDatum,"&gt;="&amp;$E5055,SondDatum,"&lt;="&amp;EOMONTH($E5055,0)),$J5055-$M5055))</f>
      </c>
      <c r="O5055" s="43">
        <f>IF($I5055=0,0,INDEX(DarlErsatzRate,11))</f>
      </c>
      <c r="P5055" s="43">
        <f>IF($I5055=0,0,$Q5054*INDEX(DarlErsatzZins,11))</f>
      </c>
      <c r="Q5055" s="43">
        <f>IF($I5055=0,0,$Q5054+$P5055+$O5055)</f>
      </c>
      <c r="R5055" s="43">
        <f>IF($I5055=0,0,$J5055-$M5055-$N5055)</f>
      </c>
    </row>
    <row r="5056">
      <c r="A5056"/>
      <c r="B5056">
        <v>11</v>
      </c>
      <c r="C5056" s="43">
        <f>INDEX(DarlObj,11)</f>
      </c>
      <c r="D5056">
        <v>253</v>
      </c>
      <c r="E5056" s="51">
        <f>IF(INDEX(DarlBelegt,11)=0,0,EOMONTH(INDEX(DarlAuszahlung,11),252)+1)</f>
      </c>
      <c r="F5056" s="43">
        <f>IF($E5056=0,0,YEAR($E5056))</f>
      </c>
      <c r="G5056" s="43">
        <f>IF(INDEX(DarlBindung,11)="",1,IF($E5056&lt;=INDEX(DarlBindung,11),1,0))</f>
      </c>
      <c r="H5056" s="43">
        <f>IF($G5056=1,INDEX(DarlSollzins,11),INDEX(DarlAnschluss,11))</f>
      </c>
      <c r="I5056" s="43">
        <f>IF(INDEX(DarlBelegt,11)=0,0,IF(INDEX(DarlOhneTilgung,11)=1,IF(INDEX(DarlBindung,11)="",1,$G5056),IF($J5056&gt;0.005,1,0)))</f>
      </c>
      <c r="J5056" s="43">
        <f>IF($I5055=0,0,$R5055)</f>
      </c>
      <c r="K5056" s="43">
        <f>IF($I5056=0,0,IF(INDEX(DarlOhneTilgung,11)=1,0,IF(AND(INDEX(DarlTilgStart,11)&gt;0,$E5056=INDEX(DarlTilgStart,11)),$J5056*($H5056+INDEX(DarlTilgung,11))/100/12,IF(AND($G5056=0,$G5055=1),MAX($K5055,$J5056*($H5056+1)/100/12),$K5055))))</f>
      </c>
      <c r="L5056" s="43">
        <f>IF($I5056=0,0,$J5056*$H5056/100/12)</f>
      </c>
      <c r="M5056" s="43">
        <f>IF($I5056=0,0,IF(OR(INDEX(DarlOhneTilgung,11)=1,AND(INDEX(DarlTilgStart,11)&gt;0,$E5056&lt;INDEX(DarlTilgStart,11))),0,MIN(MAX(0,$K5056-$L5056),$J5056)))</f>
      </c>
      <c r="N5056" s="43">
        <f>IF($I5056=0,0,MIN(SUMIFS(SondBetrag,SondDarl,11,SondDatum,"&gt;="&amp;$E5056,SondDatum,"&lt;="&amp;EOMONTH($E5056,0)),$J5056-$M5056))</f>
      </c>
      <c r="O5056" s="43">
        <f>IF($I5056=0,0,INDEX(DarlErsatzRate,11))</f>
      </c>
      <c r="P5056" s="43">
        <f>IF($I5056=0,0,$Q5055*INDEX(DarlErsatzZins,11))</f>
      </c>
      <c r="Q5056" s="43">
        <f>IF($I5056=0,0,$Q5055+$P5056+$O5056)</f>
      </c>
      <c r="R5056" s="43">
        <f>IF($I5056=0,0,$J5056-$M5056-$N5056)</f>
      </c>
    </row>
    <row r="5057">
      <c r="A5057"/>
      <c r="B5057">
        <v>11</v>
      </c>
      <c r="C5057" s="43">
        <f>INDEX(DarlObj,11)</f>
      </c>
      <c r="D5057">
        <v>254</v>
      </c>
      <c r="E5057" s="51">
        <f>IF(INDEX(DarlBelegt,11)=0,0,EOMONTH(INDEX(DarlAuszahlung,11),253)+1)</f>
      </c>
      <c r="F5057" s="43">
        <f>IF($E5057=0,0,YEAR($E5057))</f>
      </c>
      <c r="G5057" s="43">
        <f>IF(INDEX(DarlBindung,11)="",1,IF($E5057&lt;=INDEX(DarlBindung,11),1,0))</f>
      </c>
      <c r="H5057" s="43">
        <f>IF($G5057=1,INDEX(DarlSollzins,11),INDEX(DarlAnschluss,11))</f>
      </c>
      <c r="I5057" s="43">
        <f>IF(INDEX(DarlBelegt,11)=0,0,IF(INDEX(DarlOhneTilgung,11)=1,IF(INDEX(DarlBindung,11)="",1,$G5057),IF($J5057&gt;0.005,1,0)))</f>
      </c>
      <c r="J5057" s="43">
        <f>IF($I5056=0,0,$R5056)</f>
      </c>
      <c r="K5057" s="43">
        <f>IF($I5057=0,0,IF(INDEX(DarlOhneTilgung,11)=1,0,IF(AND(INDEX(DarlTilgStart,11)&gt;0,$E5057=INDEX(DarlTilgStart,11)),$J5057*($H5057+INDEX(DarlTilgung,11))/100/12,IF(AND($G5057=0,$G5056=1),MAX($K5056,$J5057*($H5057+1)/100/12),$K5056))))</f>
      </c>
      <c r="L5057" s="43">
        <f>IF($I5057=0,0,$J5057*$H5057/100/12)</f>
      </c>
      <c r="M5057" s="43">
        <f>IF($I5057=0,0,IF(OR(INDEX(DarlOhneTilgung,11)=1,AND(INDEX(DarlTilgStart,11)&gt;0,$E5057&lt;INDEX(DarlTilgStart,11))),0,MIN(MAX(0,$K5057-$L5057),$J5057)))</f>
      </c>
      <c r="N5057" s="43">
        <f>IF($I5057=0,0,MIN(SUMIFS(SondBetrag,SondDarl,11,SondDatum,"&gt;="&amp;$E5057,SondDatum,"&lt;="&amp;EOMONTH($E5057,0)),$J5057-$M5057))</f>
      </c>
      <c r="O5057" s="43">
        <f>IF($I5057=0,0,INDEX(DarlErsatzRate,11))</f>
      </c>
      <c r="P5057" s="43">
        <f>IF($I5057=0,0,$Q5056*INDEX(DarlErsatzZins,11))</f>
      </c>
      <c r="Q5057" s="43">
        <f>IF($I5057=0,0,$Q5056+$P5057+$O5057)</f>
      </c>
      <c r="R5057" s="43">
        <f>IF($I5057=0,0,$J5057-$M5057-$N5057)</f>
      </c>
    </row>
    <row r="5058">
      <c r="A5058"/>
      <c r="B5058">
        <v>11</v>
      </c>
      <c r="C5058" s="43">
        <f>INDEX(DarlObj,11)</f>
      </c>
      <c r="D5058">
        <v>255</v>
      </c>
      <c r="E5058" s="51">
        <f>IF(INDEX(DarlBelegt,11)=0,0,EOMONTH(INDEX(DarlAuszahlung,11),254)+1)</f>
      </c>
      <c r="F5058" s="43">
        <f>IF($E5058=0,0,YEAR($E5058))</f>
      </c>
      <c r="G5058" s="43">
        <f>IF(INDEX(DarlBindung,11)="",1,IF($E5058&lt;=INDEX(DarlBindung,11),1,0))</f>
      </c>
      <c r="H5058" s="43">
        <f>IF($G5058=1,INDEX(DarlSollzins,11),INDEX(DarlAnschluss,11))</f>
      </c>
      <c r="I5058" s="43">
        <f>IF(INDEX(DarlBelegt,11)=0,0,IF(INDEX(DarlOhneTilgung,11)=1,IF(INDEX(DarlBindung,11)="",1,$G5058),IF($J5058&gt;0.005,1,0)))</f>
      </c>
      <c r="J5058" s="43">
        <f>IF($I5057=0,0,$R5057)</f>
      </c>
      <c r="K5058" s="43">
        <f>IF($I5058=0,0,IF(INDEX(DarlOhneTilgung,11)=1,0,IF(AND(INDEX(DarlTilgStart,11)&gt;0,$E5058=INDEX(DarlTilgStart,11)),$J5058*($H5058+INDEX(DarlTilgung,11))/100/12,IF(AND($G5058=0,$G5057=1),MAX($K5057,$J5058*($H5058+1)/100/12),$K5057))))</f>
      </c>
      <c r="L5058" s="43">
        <f>IF($I5058=0,0,$J5058*$H5058/100/12)</f>
      </c>
      <c r="M5058" s="43">
        <f>IF($I5058=0,0,IF(OR(INDEX(DarlOhneTilgung,11)=1,AND(INDEX(DarlTilgStart,11)&gt;0,$E5058&lt;INDEX(DarlTilgStart,11))),0,MIN(MAX(0,$K5058-$L5058),$J5058)))</f>
      </c>
      <c r="N5058" s="43">
        <f>IF($I5058=0,0,MIN(SUMIFS(SondBetrag,SondDarl,11,SondDatum,"&gt;="&amp;$E5058,SondDatum,"&lt;="&amp;EOMONTH($E5058,0)),$J5058-$M5058))</f>
      </c>
      <c r="O5058" s="43">
        <f>IF($I5058=0,0,INDEX(DarlErsatzRate,11))</f>
      </c>
      <c r="P5058" s="43">
        <f>IF($I5058=0,0,$Q5057*INDEX(DarlErsatzZins,11))</f>
      </c>
      <c r="Q5058" s="43">
        <f>IF($I5058=0,0,$Q5057+$P5058+$O5058)</f>
      </c>
      <c r="R5058" s="43">
        <f>IF($I5058=0,0,$J5058-$M5058-$N5058)</f>
      </c>
    </row>
    <row r="5059">
      <c r="A5059"/>
      <c r="B5059">
        <v>11</v>
      </c>
      <c r="C5059" s="43">
        <f>INDEX(DarlObj,11)</f>
      </c>
      <c r="D5059">
        <v>256</v>
      </c>
      <c r="E5059" s="51">
        <f>IF(INDEX(DarlBelegt,11)=0,0,EOMONTH(INDEX(DarlAuszahlung,11),255)+1)</f>
      </c>
      <c r="F5059" s="43">
        <f>IF($E5059=0,0,YEAR($E5059))</f>
      </c>
      <c r="G5059" s="43">
        <f>IF(INDEX(DarlBindung,11)="",1,IF($E5059&lt;=INDEX(DarlBindung,11),1,0))</f>
      </c>
      <c r="H5059" s="43">
        <f>IF($G5059=1,INDEX(DarlSollzins,11),INDEX(DarlAnschluss,11))</f>
      </c>
      <c r="I5059" s="43">
        <f>IF(INDEX(DarlBelegt,11)=0,0,IF(INDEX(DarlOhneTilgung,11)=1,IF(INDEX(DarlBindung,11)="",1,$G5059),IF($J5059&gt;0.005,1,0)))</f>
      </c>
      <c r="J5059" s="43">
        <f>IF($I5058=0,0,$R5058)</f>
      </c>
      <c r="K5059" s="43">
        <f>IF($I5059=0,0,IF(INDEX(DarlOhneTilgung,11)=1,0,IF(AND(INDEX(DarlTilgStart,11)&gt;0,$E5059=INDEX(DarlTilgStart,11)),$J5059*($H5059+INDEX(DarlTilgung,11))/100/12,IF(AND($G5059=0,$G5058=1),MAX($K5058,$J5059*($H5059+1)/100/12),$K5058))))</f>
      </c>
      <c r="L5059" s="43">
        <f>IF($I5059=0,0,$J5059*$H5059/100/12)</f>
      </c>
      <c r="M5059" s="43">
        <f>IF($I5059=0,0,IF(OR(INDEX(DarlOhneTilgung,11)=1,AND(INDEX(DarlTilgStart,11)&gt;0,$E5059&lt;INDEX(DarlTilgStart,11))),0,MIN(MAX(0,$K5059-$L5059),$J5059)))</f>
      </c>
      <c r="N5059" s="43">
        <f>IF($I5059=0,0,MIN(SUMIFS(SondBetrag,SondDarl,11,SondDatum,"&gt;="&amp;$E5059,SondDatum,"&lt;="&amp;EOMONTH($E5059,0)),$J5059-$M5059))</f>
      </c>
      <c r="O5059" s="43">
        <f>IF($I5059=0,0,INDEX(DarlErsatzRate,11))</f>
      </c>
      <c r="P5059" s="43">
        <f>IF($I5059=0,0,$Q5058*INDEX(DarlErsatzZins,11))</f>
      </c>
      <c r="Q5059" s="43">
        <f>IF($I5059=0,0,$Q5058+$P5059+$O5059)</f>
      </c>
      <c r="R5059" s="43">
        <f>IF($I5059=0,0,$J5059-$M5059-$N5059)</f>
      </c>
    </row>
    <row r="5060">
      <c r="A5060"/>
      <c r="B5060">
        <v>11</v>
      </c>
      <c r="C5060" s="43">
        <f>INDEX(DarlObj,11)</f>
      </c>
      <c r="D5060">
        <v>257</v>
      </c>
      <c r="E5060" s="51">
        <f>IF(INDEX(DarlBelegt,11)=0,0,EOMONTH(INDEX(DarlAuszahlung,11),256)+1)</f>
      </c>
      <c r="F5060" s="43">
        <f>IF($E5060=0,0,YEAR($E5060))</f>
      </c>
      <c r="G5060" s="43">
        <f>IF(INDEX(DarlBindung,11)="",1,IF($E5060&lt;=INDEX(DarlBindung,11),1,0))</f>
      </c>
      <c r="H5060" s="43">
        <f>IF($G5060=1,INDEX(DarlSollzins,11),INDEX(DarlAnschluss,11))</f>
      </c>
      <c r="I5060" s="43">
        <f>IF(INDEX(DarlBelegt,11)=0,0,IF(INDEX(DarlOhneTilgung,11)=1,IF(INDEX(DarlBindung,11)="",1,$G5060),IF($J5060&gt;0.005,1,0)))</f>
      </c>
      <c r="J5060" s="43">
        <f>IF($I5059=0,0,$R5059)</f>
      </c>
      <c r="K5060" s="43">
        <f>IF($I5060=0,0,IF(INDEX(DarlOhneTilgung,11)=1,0,IF(AND(INDEX(DarlTilgStart,11)&gt;0,$E5060=INDEX(DarlTilgStart,11)),$J5060*($H5060+INDEX(DarlTilgung,11))/100/12,IF(AND($G5060=0,$G5059=1),MAX($K5059,$J5060*($H5060+1)/100/12),$K5059))))</f>
      </c>
      <c r="L5060" s="43">
        <f>IF($I5060=0,0,$J5060*$H5060/100/12)</f>
      </c>
      <c r="M5060" s="43">
        <f>IF($I5060=0,0,IF(OR(INDEX(DarlOhneTilgung,11)=1,AND(INDEX(DarlTilgStart,11)&gt;0,$E5060&lt;INDEX(DarlTilgStart,11))),0,MIN(MAX(0,$K5060-$L5060),$J5060)))</f>
      </c>
      <c r="N5060" s="43">
        <f>IF($I5060=0,0,MIN(SUMIFS(SondBetrag,SondDarl,11,SondDatum,"&gt;="&amp;$E5060,SondDatum,"&lt;="&amp;EOMONTH($E5060,0)),$J5060-$M5060))</f>
      </c>
      <c r="O5060" s="43">
        <f>IF($I5060=0,0,INDEX(DarlErsatzRate,11))</f>
      </c>
      <c r="P5060" s="43">
        <f>IF($I5060=0,0,$Q5059*INDEX(DarlErsatzZins,11))</f>
      </c>
      <c r="Q5060" s="43">
        <f>IF($I5060=0,0,$Q5059+$P5060+$O5060)</f>
      </c>
      <c r="R5060" s="43">
        <f>IF($I5060=0,0,$J5060-$M5060-$N5060)</f>
      </c>
    </row>
    <row r="5061">
      <c r="A5061"/>
      <c r="B5061">
        <v>11</v>
      </c>
      <c r="C5061" s="43">
        <f>INDEX(DarlObj,11)</f>
      </c>
      <c r="D5061">
        <v>258</v>
      </c>
      <c r="E5061" s="51">
        <f>IF(INDEX(DarlBelegt,11)=0,0,EOMONTH(INDEX(DarlAuszahlung,11),257)+1)</f>
      </c>
      <c r="F5061" s="43">
        <f>IF($E5061=0,0,YEAR($E5061))</f>
      </c>
      <c r="G5061" s="43">
        <f>IF(INDEX(DarlBindung,11)="",1,IF($E5061&lt;=INDEX(DarlBindung,11),1,0))</f>
      </c>
      <c r="H5061" s="43">
        <f>IF($G5061=1,INDEX(DarlSollzins,11),INDEX(DarlAnschluss,11))</f>
      </c>
      <c r="I5061" s="43">
        <f>IF(INDEX(DarlBelegt,11)=0,0,IF(INDEX(DarlOhneTilgung,11)=1,IF(INDEX(DarlBindung,11)="",1,$G5061),IF($J5061&gt;0.005,1,0)))</f>
      </c>
      <c r="J5061" s="43">
        <f>IF($I5060=0,0,$R5060)</f>
      </c>
      <c r="K5061" s="43">
        <f>IF($I5061=0,0,IF(INDEX(DarlOhneTilgung,11)=1,0,IF(AND(INDEX(DarlTilgStart,11)&gt;0,$E5061=INDEX(DarlTilgStart,11)),$J5061*($H5061+INDEX(DarlTilgung,11))/100/12,IF(AND($G5061=0,$G5060=1),MAX($K5060,$J5061*($H5061+1)/100/12),$K5060))))</f>
      </c>
      <c r="L5061" s="43">
        <f>IF($I5061=0,0,$J5061*$H5061/100/12)</f>
      </c>
      <c r="M5061" s="43">
        <f>IF($I5061=0,0,IF(OR(INDEX(DarlOhneTilgung,11)=1,AND(INDEX(DarlTilgStart,11)&gt;0,$E5061&lt;INDEX(DarlTilgStart,11))),0,MIN(MAX(0,$K5061-$L5061),$J5061)))</f>
      </c>
      <c r="N5061" s="43">
        <f>IF($I5061=0,0,MIN(SUMIFS(SondBetrag,SondDarl,11,SondDatum,"&gt;="&amp;$E5061,SondDatum,"&lt;="&amp;EOMONTH($E5061,0)),$J5061-$M5061))</f>
      </c>
      <c r="O5061" s="43">
        <f>IF($I5061=0,0,INDEX(DarlErsatzRate,11))</f>
      </c>
      <c r="P5061" s="43">
        <f>IF($I5061=0,0,$Q5060*INDEX(DarlErsatzZins,11))</f>
      </c>
      <c r="Q5061" s="43">
        <f>IF($I5061=0,0,$Q5060+$P5061+$O5061)</f>
      </c>
      <c r="R5061" s="43">
        <f>IF($I5061=0,0,$J5061-$M5061-$N5061)</f>
      </c>
    </row>
    <row r="5062">
      <c r="A5062"/>
      <c r="B5062">
        <v>11</v>
      </c>
      <c r="C5062" s="43">
        <f>INDEX(DarlObj,11)</f>
      </c>
      <c r="D5062">
        <v>259</v>
      </c>
      <c r="E5062" s="51">
        <f>IF(INDEX(DarlBelegt,11)=0,0,EOMONTH(INDEX(DarlAuszahlung,11),258)+1)</f>
      </c>
      <c r="F5062" s="43">
        <f>IF($E5062=0,0,YEAR($E5062))</f>
      </c>
      <c r="G5062" s="43">
        <f>IF(INDEX(DarlBindung,11)="",1,IF($E5062&lt;=INDEX(DarlBindung,11),1,0))</f>
      </c>
      <c r="H5062" s="43">
        <f>IF($G5062=1,INDEX(DarlSollzins,11),INDEX(DarlAnschluss,11))</f>
      </c>
      <c r="I5062" s="43">
        <f>IF(INDEX(DarlBelegt,11)=0,0,IF(INDEX(DarlOhneTilgung,11)=1,IF(INDEX(DarlBindung,11)="",1,$G5062),IF($J5062&gt;0.005,1,0)))</f>
      </c>
      <c r="J5062" s="43">
        <f>IF($I5061=0,0,$R5061)</f>
      </c>
      <c r="K5062" s="43">
        <f>IF($I5062=0,0,IF(INDEX(DarlOhneTilgung,11)=1,0,IF(AND(INDEX(DarlTilgStart,11)&gt;0,$E5062=INDEX(DarlTilgStart,11)),$J5062*($H5062+INDEX(DarlTilgung,11))/100/12,IF(AND($G5062=0,$G5061=1),MAX($K5061,$J5062*($H5062+1)/100/12),$K5061))))</f>
      </c>
      <c r="L5062" s="43">
        <f>IF($I5062=0,0,$J5062*$H5062/100/12)</f>
      </c>
      <c r="M5062" s="43">
        <f>IF($I5062=0,0,IF(OR(INDEX(DarlOhneTilgung,11)=1,AND(INDEX(DarlTilgStart,11)&gt;0,$E5062&lt;INDEX(DarlTilgStart,11))),0,MIN(MAX(0,$K5062-$L5062),$J5062)))</f>
      </c>
      <c r="N5062" s="43">
        <f>IF($I5062=0,0,MIN(SUMIFS(SondBetrag,SondDarl,11,SondDatum,"&gt;="&amp;$E5062,SondDatum,"&lt;="&amp;EOMONTH($E5062,0)),$J5062-$M5062))</f>
      </c>
      <c r="O5062" s="43">
        <f>IF($I5062=0,0,INDEX(DarlErsatzRate,11))</f>
      </c>
      <c r="P5062" s="43">
        <f>IF($I5062=0,0,$Q5061*INDEX(DarlErsatzZins,11))</f>
      </c>
      <c r="Q5062" s="43">
        <f>IF($I5062=0,0,$Q5061+$P5062+$O5062)</f>
      </c>
      <c r="R5062" s="43">
        <f>IF($I5062=0,0,$J5062-$M5062-$N5062)</f>
      </c>
    </row>
    <row r="5063">
      <c r="A5063"/>
      <c r="B5063">
        <v>11</v>
      </c>
      <c r="C5063" s="43">
        <f>INDEX(DarlObj,11)</f>
      </c>
      <c r="D5063">
        <v>260</v>
      </c>
      <c r="E5063" s="51">
        <f>IF(INDEX(DarlBelegt,11)=0,0,EOMONTH(INDEX(DarlAuszahlung,11),259)+1)</f>
      </c>
      <c r="F5063" s="43">
        <f>IF($E5063=0,0,YEAR($E5063))</f>
      </c>
      <c r="G5063" s="43">
        <f>IF(INDEX(DarlBindung,11)="",1,IF($E5063&lt;=INDEX(DarlBindung,11),1,0))</f>
      </c>
      <c r="H5063" s="43">
        <f>IF($G5063=1,INDEX(DarlSollzins,11),INDEX(DarlAnschluss,11))</f>
      </c>
      <c r="I5063" s="43">
        <f>IF(INDEX(DarlBelegt,11)=0,0,IF(INDEX(DarlOhneTilgung,11)=1,IF(INDEX(DarlBindung,11)="",1,$G5063),IF($J5063&gt;0.005,1,0)))</f>
      </c>
      <c r="J5063" s="43">
        <f>IF($I5062=0,0,$R5062)</f>
      </c>
      <c r="K5063" s="43">
        <f>IF($I5063=0,0,IF(INDEX(DarlOhneTilgung,11)=1,0,IF(AND(INDEX(DarlTilgStart,11)&gt;0,$E5063=INDEX(DarlTilgStart,11)),$J5063*($H5063+INDEX(DarlTilgung,11))/100/12,IF(AND($G5063=0,$G5062=1),MAX($K5062,$J5063*($H5063+1)/100/12),$K5062))))</f>
      </c>
      <c r="L5063" s="43">
        <f>IF($I5063=0,0,$J5063*$H5063/100/12)</f>
      </c>
      <c r="M5063" s="43">
        <f>IF($I5063=0,0,IF(OR(INDEX(DarlOhneTilgung,11)=1,AND(INDEX(DarlTilgStart,11)&gt;0,$E5063&lt;INDEX(DarlTilgStart,11))),0,MIN(MAX(0,$K5063-$L5063),$J5063)))</f>
      </c>
      <c r="N5063" s="43">
        <f>IF($I5063=0,0,MIN(SUMIFS(SondBetrag,SondDarl,11,SondDatum,"&gt;="&amp;$E5063,SondDatum,"&lt;="&amp;EOMONTH($E5063,0)),$J5063-$M5063))</f>
      </c>
      <c r="O5063" s="43">
        <f>IF($I5063=0,0,INDEX(DarlErsatzRate,11))</f>
      </c>
      <c r="P5063" s="43">
        <f>IF($I5063=0,0,$Q5062*INDEX(DarlErsatzZins,11))</f>
      </c>
      <c r="Q5063" s="43">
        <f>IF($I5063=0,0,$Q5062+$P5063+$O5063)</f>
      </c>
      <c r="R5063" s="43">
        <f>IF($I5063=0,0,$J5063-$M5063-$N5063)</f>
      </c>
    </row>
    <row r="5064">
      <c r="A5064"/>
      <c r="B5064">
        <v>11</v>
      </c>
      <c r="C5064" s="43">
        <f>INDEX(DarlObj,11)</f>
      </c>
      <c r="D5064">
        <v>261</v>
      </c>
      <c r="E5064" s="51">
        <f>IF(INDEX(DarlBelegt,11)=0,0,EOMONTH(INDEX(DarlAuszahlung,11),260)+1)</f>
      </c>
      <c r="F5064" s="43">
        <f>IF($E5064=0,0,YEAR($E5064))</f>
      </c>
      <c r="G5064" s="43">
        <f>IF(INDEX(DarlBindung,11)="",1,IF($E5064&lt;=INDEX(DarlBindung,11),1,0))</f>
      </c>
      <c r="H5064" s="43">
        <f>IF($G5064=1,INDEX(DarlSollzins,11),INDEX(DarlAnschluss,11))</f>
      </c>
      <c r="I5064" s="43">
        <f>IF(INDEX(DarlBelegt,11)=0,0,IF(INDEX(DarlOhneTilgung,11)=1,IF(INDEX(DarlBindung,11)="",1,$G5064),IF($J5064&gt;0.005,1,0)))</f>
      </c>
      <c r="J5064" s="43">
        <f>IF($I5063=0,0,$R5063)</f>
      </c>
      <c r="K5064" s="43">
        <f>IF($I5064=0,0,IF(INDEX(DarlOhneTilgung,11)=1,0,IF(AND(INDEX(DarlTilgStart,11)&gt;0,$E5064=INDEX(DarlTilgStart,11)),$J5064*($H5064+INDEX(DarlTilgung,11))/100/12,IF(AND($G5064=0,$G5063=1),MAX($K5063,$J5064*($H5064+1)/100/12),$K5063))))</f>
      </c>
      <c r="L5064" s="43">
        <f>IF($I5064=0,0,$J5064*$H5064/100/12)</f>
      </c>
      <c r="M5064" s="43">
        <f>IF($I5064=0,0,IF(OR(INDEX(DarlOhneTilgung,11)=1,AND(INDEX(DarlTilgStart,11)&gt;0,$E5064&lt;INDEX(DarlTilgStart,11))),0,MIN(MAX(0,$K5064-$L5064),$J5064)))</f>
      </c>
      <c r="N5064" s="43">
        <f>IF($I5064=0,0,MIN(SUMIFS(SondBetrag,SondDarl,11,SondDatum,"&gt;="&amp;$E5064,SondDatum,"&lt;="&amp;EOMONTH($E5064,0)),$J5064-$M5064))</f>
      </c>
      <c r="O5064" s="43">
        <f>IF($I5064=0,0,INDEX(DarlErsatzRate,11))</f>
      </c>
      <c r="P5064" s="43">
        <f>IF($I5064=0,0,$Q5063*INDEX(DarlErsatzZins,11))</f>
      </c>
      <c r="Q5064" s="43">
        <f>IF($I5064=0,0,$Q5063+$P5064+$O5064)</f>
      </c>
      <c r="R5064" s="43">
        <f>IF($I5064=0,0,$J5064-$M5064-$N5064)</f>
      </c>
    </row>
    <row r="5065">
      <c r="A5065"/>
      <c r="B5065">
        <v>11</v>
      </c>
      <c r="C5065" s="43">
        <f>INDEX(DarlObj,11)</f>
      </c>
      <c r="D5065">
        <v>262</v>
      </c>
      <c r="E5065" s="51">
        <f>IF(INDEX(DarlBelegt,11)=0,0,EOMONTH(INDEX(DarlAuszahlung,11),261)+1)</f>
      </c>
      <c r="F5065" s="43">
        <f>IF($E5065=0,0,YEAR($E5065))</f>
      </c>
      <c r="G5065" s="43">
        <f>IF(INDEX(DarlBindung,11)="",1,IF($E5065&lt;=INDEX(DarlBindung,11),1,0))</f>
      </c>
      <c r="H5065" s="43">
        <f>IF($G5065=1,INDEX(DarlSollzins,11),INDEX(DarlAnschluss,11))</f>
      </c>
      <c r="I5065" s="43">
        <f>IF(INDEX(DarlBelegt,11)=0,0,IF(INDEX(DarlOhneTilgung,11)=1,IF(INDEX(DarlBindung,11)="",1,$G5065),IF($J5065&gt;0.005,1,0)))</f>
      </c>
      <c r="J5065" s="43">
        <f>IF($I5064=0,0,$R5064)</f>
      </c>
      <c r="K5065" s="43">
        <f>IF($I5065=0,0,IF(INDEX(DarlOhneTilgung,11)=1,0,IF(AND(INDEX(DarlTilgStart,11)&gt;0,$E5065=INDEX(DarlTilgStart,11)),$J5065*($H5065+INDEX(DarlTilgung,11))/100/12,IF(AND($G5065=0,$G5064=1),MAX($K5064,$J5065*($H5065+1)/100/12),$K5064))))</f>
      </c>
      <c r="L5065" s="43">
        <f>IF($I5065=0,0,$J5065*$H5065/100/12)</f>
      </c>
      <c r="M5065" s="43">
        <f>IF($I5065=0,0,IF(OR(INDEX(DarlOhneTilgung,11)=1,AND(INDEX(DarlTilgStart,11)&gt;0,$E5065&lt;INDEX(DarlTilgStart,11))),0,MIN(MAX(0,$K5065-$L5065),$J5065)))</f>
      </c>
      <c r="N5065" s="43">
        <f>IF($I5065=0,0,MIN(SUMIFS(SondBetrag,SondDarl,11,SondDatum,"&gt;="&amp;$E5065,SondDatum,"&lt;="&amp;EOMONTH($E5065,0)),$J5065-$M5065))</f>
      </c>
      <c r="O5065" s="43">
        <f>IF($I5065=0,0,INDEX(DarlErsatzRate,11))</f>
      </c>
      <c r="P5065" s="43">
        <f>IF($I5065=0,0,$Q5064*INDEX(DarlErsatzZins,11))</f>
      </c>
      <c r="Q5065" s="43">
        <f>IF($I5065=0,0,$Q5064+$P5065+$O5065)</f>
      </c>
      <c r="R5065" s="43">
        <f>IF($I5065=0,0,$J5065-$M5065-$N5065)</f>
      </c>
    </row>
    <row r="5066">
      <c r="A5066"/>
      <c r="B5066">
        <v>11</v>
      </c>
      <c r="C5066" s="43">
        <f>INDEX(DarlObj,11)</f>
      </c>
      <c r="D5066">
        <v>263</v>
      </c>
      <c r="E5066" s="51">
        <f>IF(INDEX(DarlBelegt,11)=0,0,EOMONTH(INDEX(DarlAuszahlung,11),262)+1)</f>
      </c>
      <c r="F5066" s="43">
        <f>IF($E5066=0,0,YEAR($E5066))</f>
      </c>
      <c r="G5066" s="43">
        <f>IF(INDEX(DarlBindung,11)="",1,IF($E5066&lt;=INDEX(DarlBindung,11),1,0))</f>
      </c>
      <c r="H5066" s="43">
        <f>IF($G5066=1,INDEX(DarlSollzins,11),INDEX(DarlAnschluss,11))</f>
      </c>
      <c r="I5066" s="43">
        <f>IF(INDEX(DarlBelegt,11)=0,0,IF(INDEX(DarlOhneTilgung,11)=1,IF(INDEX(DarlBindung,11)="",1,$G5066),IF($J5066&gt;0.005,1,0)))</f>
      </c>
      <c r="J5066" s="43">
        <f>IF($I5065=0,0,$R5065)</f>
      </c>
      <c r="K5066" s="43">
        <f>IF($I5066=0,0,IF(INDEX(DarlOhneTilgung,11)=1,0,IF(AND(INDEX(DarlTilgStart,11)&gt;0,$E5066=INDEX(DarlTilgStart,11)),$J5066*($H5066+INDEX(DarlTilgung,11))/100/12,IF(AND($G5066=0,$G5065=1),MAX($K5065,$J5066*($H5066+1)/100/12),$K5065))))</f>
      </c>
      <c r="L5066" s="43">
        <f>IF($I5066=0,0,$J5066*$H5066/100/12)</f>
      </c>
      <c r="M5066" s="43">
        <f>IF($I5066=0,0,IF(OR(INDEX(DarlOhneTilgung,11)=1,AND(INDEX(DarlTilgStart,11)&gt;0,$E5066&lt;INDEX(DarlTilgStart,11))),0,MIN(MAX(0,$K5066-$L5066),$J5066)))</f>
      </c>
      <c r="N5066" s="43">
        <f>IF($I5066=0,0,MIN(SUMIFS(SondBetrag,SondDarl,11,SondDatum,"&gt;="&amp;$E5066,SondDatum,"&lt;="&amp;EOMONTH($E5066,0)),$J5066-$M5066))</f>
      </c>
      <c r="O5066" s="43">
        <f>IF($I5066=0,0,INDEX(DarlErsatzRate,11))</f>
      </c>
      <c r="P5066" s="43">
        <f>IF($I5066=0,0,$Q5065*INDEX(DarlErsatzZins,11))</f>
      </c>
      <c r="Q5066" s="43">
        <f>IF($I5066=0,0,$Q5065+$P5066+$O5066)</f>
      </c>
      <c r="R5066" s="43">
        <f>IF($I5066=0,0,$J5066-$M5066-$N5066)</f>
      </c>
    </row>
    <row r="5067">
      <c r="A5067"/>
      <c r="B5067">
        <v>11</v>
      </c>
      <c r="C5067" s="43">
        <f>INDEX(DarlObj,11)</f>
      </c>
      <c r="D5067">
        <v>264</v>
      </c>
      <c r="E5067" s="51">
        <f>IF(INDEX(DarlBelegt,11)=0,0,EOMONTH(INDEX(DarlAuszahlung,11),263)+1)</f>
      </c>
      <c r="F5067" s="43">
        <f>IF($E5067=0,0,YEAR($E5067))</f>
      </c>
      <c r="G5067" s="43">
        <f>IF(INDEX(DarlBindung,11)="",1,IF($E5067&lt;=INDEX(DarlBindung,11),1,0))</f>
      </c>
      <c r="H5067" s="43">
        <f>IF($G5067=1,INDEX(DarlSollzins,11),INDEX(DarlAnschluss,11))</f>
      </c>
      <c r="I5067" s="43">
        <f>IF(INDEX(DarlBelegt,11)=0,0,IF(INDEX(DarlOhneTilgung,11)=1,IF(INDEX(DarlBindung,11)="",1,$G5067),IF($J5067&gt;0.005,1,0)))</f>
      </c>
      <c r="J5067" s="43">
        <f>IF($I5066=0,0,$R5066)</f>
      </c>
      <c r="K5067" s="43">
        <f>IF($I5067=0,0,IF(INDEX(DarlOhneTilgung,11)=1,0,IF(AND(INDEX(DarlTilgStart,11)&gt;0,$E5067=INDEX(DarlTilgStart,11)),$J5067*($H5067+INDEX(DarlTilgung,11))/100/12,IF(AND($G5067=0,$G5066=1),MAX($K5066,$J5067*($H5067+1)/100/12),$K5066))))</f>
      </c>
      <c r="L5067" s="43">
        <f>IF($I5067=0,0,$J5067*$H5067/100/12)</f>
      </c>
      <c r="M5067" s="43">
        <f>IF($I5067=0,0,IF(OR(INDEX(DarlOhneTilgung,11)=1,AND(INDEX(DarlTilgStart,11)&gt;0,$E5067&lt;INDEX(DarlTilgStart,11))),0,MIN(MAX(0,$K5067-$L5067),$J5067)))</f>
      </c>
      <c r="N5067" s="43">
        <f>IF($I5067=0,0,MIN(SUMIFS(SondBetrag,SondDarl,11,SondDatum,"&gt;="&amp;$E5067,SondDatum,"&lt;="&amp;EOMONTH($E5067,0)),$J5067-$M5067))</f>
      </c>
      <c r="O5067" s="43">
        <f>IF($I5067=0,0,INDEX(DarlErsatzRate,11))</f>
      </c>
      <c r="P5067" s="43">
        <f>IF($I5067=0,0,$Q5066*INDEX(DarlErsatzZins,11))</f>
      </c>
      <c r="Q5067" s="43">
        <f>IF($I5067=0,0,$Q5066+$P5067+$O5067)</f>
      </c>
      <c r="R5067" s="43">
        <f>IF($I5067=0,0,$J5067-$M5067-$N5067)</f>
      </c>
    </row>
    <row r="5068">
      <c r="A5068"/>
      <c r="B5068">
        <v>11</v>
      </c>
      <c r="C5068" s="43">
        <f>INDEX(DarlObj,11)</f>
      </c>
      <c r="D5068">
        <v>265</v>
      </c>
      <c r="E5068" s="51">
        <f>IF(INDEX(DarlBelegt,11)=0,0,EOMONTH(INDEX(DarlAuszahlung,11),264)+1)</f>
      </c>
      <c r="F5068" s="43">
        <f>IF($E5068=0,0,YEAR($E5068))</f>
      </c>
      <c r="G5068" s="43">
        <f>IF(INDEX(DarlBindung,11)="",1,IF($E5068&lt;=INDEX(DarlBindung,11),1,0))</f>
      </c>
      <c r="H5068" s="43">
        <f>IF($G5068=1,INDEX(DarlSollzins,11),INDEX(DarlAnschluss,11))</f>
      </c>
      <c r="I5068" s="43">
        <f>IF(INDEX(DarlBelegt,11)=0,0,IF(INDEX(DarlOhneTilgung,11)=1,IF(INDEX(DarlBindung,11)="",1,$G5068),IF($J5068&gt;0.005,1,0)))</f>
      </c>
      <c r="J5068" s="43">
        <f>IF($I5067=0,0,$R5067)</f>
      </c>
      <c r="K5068" s="43">
        <f>IF($I5068=0,0,IF(INDEX(DarlOhneTilgung,11)=1,0,IF(AND(INDEX(DarlTilgStart,11)&gt;0,$E5068=INDEX(DarlTilgStart,11)),$J5068*($H5068+INDEX(DarlTilgung,11))/100/12,IF(AND($G5068=0,$G5067=1),MAX($K5067,$J5068*($H5068+1)/100/12),$K5067))))</f>
      </c>
      <c r="L5068" s="43">
        <f>IF($I5068=0,0,$J5068*$H5068/100/12)</f>
      </c>
      <c r="M5068" s="43">
        <f>IF($I5068=0,0,IF(OR(INDEX(DarlOhneTilgung,11)=1,AND(INDEX(DarlTilgStart,11)&gt;0,$E5068&lt;INDEX(DarlTilgStart,11))),0,MIN(MAX(0,$K5068-$L5068),$J5068)))</f>
      </c>
      <c r="N5068" s="43">
        <f>IF($I5068=0,0,MIN(SUMIFS(SondBetrag,SondDarl,11,SondDatum,"&gt;="&amp;$E5068,SondDatum,"&lt;="&amp;EOMONTH($E5068,0)),$J5068-$M5068))</f>
      </c>
      <c r="O5068" s="43">
        <f>IF($I5068=0,0,INDEX(DarlErsatzRate,11))</f>
      </c>
      <c r="P5068" s="43">
        <f>IF($I5068=0,0,$Q5067*INDEX(DarlErsatzZins,11))</f>
      </c>
      <c r="Q5068" s="43">
        <f>IF($I5068=0,0,$Q5067+$P5068+$O5068)</f>
      </c>
      <c r="R5068" s="43">
        <f>IF($I5068=0,0,$J5068-$M5068-$N5068)</f>
      </c>
    </row>
    <row r="5069">
      <c r="A5069"/>
      <c r="B5069">
        <v>11</v>
      </c>
      <c r="C5069" s="43">
        <f>INDEX(DarlObj,11)</f>
      </c>
      <c r="D5069">
        <v>266</v>
      </c>
      <c r="E5069" s="51">
        <f>IF(INDEX(DarlBelegt,11)=0,0,EOMONTH(INDEX(DarlAuszahlung,11),265)+1)</f>
      </c>
      <c r="F5069" s="43">
        <f>IF($E5069=0,0,YEAR($E5069))</f>
      </c>
      <c r="G5069" s="43">
        <f>IF(INDEX(DarlBindung,11)="",1,IF($E5069&lt;=INDEX(DarlBindung,11),1,0))</f>
      </c>
      <c r="H5069" s="43">
        <f>IF($G5069=1,INDEX(DarlSollzins,11),INDEX(DarlAnschluss,11))</f>
      </c>
      <c r="I5069" s="43">
        <f>IF(INDEX(DarlBelegt,11)=0,0,IF(INDEX(DarlOhneTilgung,11)=1,IF(INDEX(DarlBindung,11)="",1,$G5069),IF($J5069&gt;0.005,1,0)))</f>
      </c>
      <c r="J5069" s="43">
        <f>IF($I5068=0,0,$R5068)</f>
      </c>
      <c r="K5069" s="43">
        <f>IF($I5069=0,0,IF(INDEX(DarlOhneTilgung,11)=1,0,IF(AND(INDEX(DarlTilgStart,11)&gt;0,$E5069=INDEX(DarlTilgStart,11)),$J5069*($H5069+INDEX(DarlTilgung,11))/100/12,IF(AND($G5069=0,$G5068=1),MAX($K5068,$J5069*($H5069+1)/100/12),$K5068))))</f>
      </c>
      <c r="L5069" s="43">
        <f>IF($I5069=0,0,$J5069*$H5069/100/12)</f>
      </c>
      <c r="M5069" s="43">
        <f>IF($I5069=0,0,IF(OR(INDEX(DarlOhneTilgung,11)=1,AND(INDEX(DarlTilgStart,11)&gt;0,$E5069&lt;INDEX(DarlTilgStart,11))),0,MIN(MAX(0,$K5069-$L5069),$J5069)))</f>
      </c>
      <c r="N5069" s="43">
        <f>IF($I5069=0,0,MIN(SUMIFS(SondBetrag,SondDarl,11,SondDatum,"&gt;="&amp;$E5069,SondDatum,"&lt;="&amp;EOMONTH($E5069,0)),$J5069-$M5069))</f>
      </c>
      <c r="O5069" s="43">
        <f>IF($I5069=0,0,INDEX(DarlErsatzRate,11))</f>
      </c>
      <c r="P5069" s="43">
        <f>IF($I5069=0,0,$Q5068*INDEX(DarlErsatzZins,11))</f>
      </c>
      <c r="Q5069" s="43">
        <f>IF($I5069=0,0,$Q5068+$P5069+$O5069)</f>
      </c>
      <c r="R5069" s="43">
        <f>IF($I5069=0,0,$J5069-$M5069-$N5069)</f>
      </c>
    </row>
    <row r="5070">
      <c r="A5070"/>
      <c r="B5070">
        <v>11</v>
      </c>
      <c r="C5070" s="43">
        <f>INDEX(DarlObj,11)</f>
      </c>
      <c r="D5070">
        <v>267</v>
      </c>
      <c r="E5070" s="51">
        <f>IF(INDEX(DarlBelegt,11)=0,0,EOMONTH(INDEX(DarlAuszahlung,11),266)+1)</f>
      </c>
      <c r="F5070" s="43">
        <f>IF($E5070=0,0,YEAR($E5070))</f>
      </c>
      <c r="G5070" s="43">
        <f>IF(INDEX(DarlBindung,11)="",1,IF($E5070&lt;=INDEX(DarlBindung,11),1,0))</f>
      </c>
      <c r="H5070" s="43">
        <f>IF($G5070=1,INDEX(DarlSollzins,11),INDEX(DarlAnschluss,11))</f>
      </c>
      <c r="I5070" s="43">
        <f>IF(INDEX(DarlBelegt,11)=0,0,IF(INDEX(DarlOhneTilgung,11)=1,IF(INDEX(DarlBindung,11)="",1,$G5070),IF($J5070&gt;0.005,1,0)))</f>
      </c>
      <c r="J5070" s="43">
        <f>IF($I5069=0,0,$R5069)</f>
      </c>
      <c r="K5070" s="43">
        <f>IF($I5070=0,0,IF(INDEX(DarlOhneTilgung,11)=1,0,IF(AND(INDEX(DarlTilgStart,11)&gt;0,$E5070=INDEX(DarlTilgStart,11)),$J5070*($H5070+INDEX(DarlTilgung,11))/100/12,IF(AND($G5070=0,$G5069=1),MAX($K5069,$J5070*($H5070+1)/100/12),$K5069))))</f>
      </c>
      <c r="L5070" s="43">
        <f>IF($I5070=0,0,$J5070*$H5070/100/12)</f>
      </c>
      <c r="M5070" s="43">
        <f>IF($I5070=0,0,IF(OR(INDEX(DarlOhneTilgung,11)=1,AND(INDEX(DarlTilgStart,11)&gt;0,$E5070&lt;INDEX(DarlTilgStart,11))),0,MIN(MAX(0,$K5070-$L5070),$J5070)))</f>
      </c>
      <c r="N5070" s="43">
        <f>IF($I5070=0,0,MIN(SUMIFS(SondBetrag,SondDarl,11,SondDatum,"&gt;="&amp;$E5070,SondDatum,"&lt;="&amp;EOMONTH($E5070,0)),$J5070-$M5070))</f>
      </c>
      <c r="O5070" s="43">
        <f>IF($I5070=0,0,INDEX(DarlErsatzRate,11))</f>
      </c>
      <c r="P5070" s="43">
        <f>IF($I5070=0,0,$Q5069*INDEX(DarlErsatzZins,11))</f>
      </c>
      <c r="Q5070" s="43">
        <f>IF($I5070=0,0,$Q5069+$P5070+$O5070)</f>
      </c>
      <c r="R5070" s="43">
        <f>IF($I5070=0,0,$J5070-$M5070-$N5070)</f>
      </c>
    </row>
    <row r="5071">
      <c r="A5071"/>
      <c r="B5071">
        <v>11</v>
      </c>
      <c r="C5071" s="43">
        <f>INDEX(DarlObj,11)</f>
      </c>
      <c r="D5071">
        <v>268</v>
      </c>
      <c r="E5071" s="51">
        <f>IF(INDEX(DarlBelegt,11)=0,0,EOMONTH(INDEX(DarlAuszahlung,11),267)+1)</f>
      </c>
      <c r="F5071" s="43">
        <f>IF($E5071=0,0,YEAR($E5071))</f>
      </c>
      <c r="G5071" s="43">
        <f>IF(INDEX(DarlBindung,11)="",1,IF($E5071&lt;=INDEX(DarlBindung,11),1,0))</f>
      </c>
      <c r="H5071" s="43">
        <f>IF($G5071=1,INDEX(DarlSollzins,11),INDEX(DarlAnschluss,11))</f>
      </c>
      <c r="I5071" s="43">
        <f>IF(INDEX(DarlBelegt,11)=0,0,IF(INDEX(DarlOhneTilgung,11)=1,IF(INDEX(DarlBindung,11)="",1,$G5071),IF($J5071&gt;0.005,1,0)))</f>
      </c>
      <c r="J5071" s="43">
        <f>IF($I5070=0,0,$R5070)</f>
      </c>
      <c r="K5071" s="43">
        <f>IF($I5071=0,0,IF(INDEX(DarlOhneTilgung,11)=1,0,IF(AND(INDEX(DarlTilgStart,11)&gt;0,$E5071=INDEX(DarlTilgStart,11)),$J5071*($H5071+INDEX(DarlTilgung,11))/100/12,IF(AND($G5071=0,$G5070=1),MAX($K5070,$J5071*($H5071+1)/100/12),$K5070))))</f>
      </c>
      <c r="L5071" s="43">
        <f>IF($I5071=0,0,$J5071*$H5071/100/12)</f>
      </c>
      <c r="M5071" s="43">
        <f>IF($I5071=0,0,IF(OR(INDEX(DarlOhneTilgung,11)=1,AND(INDEX(DarlTilgStart,11)&gt;0,$E5071&lt;INDEX(DarlTilgStart,11))),0,MIN(MAX(0,$K5071-$L5071),$J5071)))</f>
      </c>
      <c r="N5071" s="43">
        <f>IF($I5071=0,0,MIN(SUMIFS(SondBetrag,SondDarl,11,SondDatum,"&gt;="&amp;$E5071,SondDatum,"&lt;="&amp;EOMONTH($E5071,0)),$J5071-$M5071))</f>
      </c>
      <c r="O5071" s="43">
        <f>IF($I5071=0,0,INDEX(DarlErsatzRate,11))</f>
      </c>
      <c r="P5071" s="43">
        <f>IF($I5071=0,0,$Q5070*INDEX(DarlErsatzZins,11))</f>
      </c>
      <c r="Q5071" s="43">
        <f>IF($I5071=0,0,$Q5070+$P5071+$O5071)</f>
      </c>
      <c r="R5071" s="43">
        <f>IF($I5071=0,0,$J5071-$M5071-$N5071)</f>
      </c>
    </row>
    <row r="5072">
      <c r="A5072"/>
      <c r="B5072">
        <v>11</v>
      </c>
      <c r="C5072" s="43">
        <f>INDEX(DarlObj,11)</f>
      </c>
      <c r="D5072">
        <v>269</v>
      </c>
      <c r="E5072" s="51">
        <f>IF(INDEX(DarlBelegt,11)=0,0,EOMONTH(INDEX(DarlAuszahlung,11),268)+1)</f>
      </c>
      <c r="F5072" s="43">
        <f>IF($E5072=0,0,YEAR($E5072))</f>
      </c>
      <c r="G5072" s="43">
        <f>IF(INDEX(DarlBindung,11)="",1,IF($E5072&lt;=INDEX(DarlBindung,11),1,0))</f>
      </c>
      <c r="H5072" s="43">
        <f>IF($G5072=1,INDEX(DarlSollzins,11),INDEX(DarlAnschluss,11))</f>
      </c>
      <c r="I5072" s="43">
        <f>IF(INDEX(DarlBelegt,11)=0,0,IF(INDEX(DarlOhneTilgung,11)=1,IF(INDEX(DarlBindung,11)="",1,$G5072),IF($J5072&gt;0.005,1,0)))</f>
      </c>
      <c r="J5072" s="43">
        <f>IF($I5071=0,0,$R5071)</f>
      </c>
      <c r="K5072" s="43">
        <f>IF($I5072=0,0,IF(INDEX(DarlOhneTilgung,11)=1,0,IF(AND(INDEX(DarlTilgStart,11)&gt;0,$E5072=INDEX(DarlTilgStart,11)),$J5072*($H5072+INDEX(DarlTilgung,11))/100/12,IF(AND($G5072=0,$G5071=1),MAX($K5071,$J5072*($H5072+1)/100/12),$K5071))))</f>
      </c>
      <c r="L5072" s="43">
        <f>IF($I5072=0,0,$J5072*$H5072/100/12)</f>
      </c>
      <c r="M5072" s="43">
        <f>IF($I5072=0,0,IF(OR(INDEX(DarlOhneTilgung,11)=1,AND(INDEX(DarlTilgStart,11)&gt;0,$E5072&lt;INDEX(DarlTilgStart,11))),0,MIN(MAX(0,$K5072-$L5072),$J5072)))</f>
      </c>
      <c r="N5072" s="43">
        <f>IF($I5072=0,0,MIN(SUMIFS(SondBetrag,SondDarl,11,SondDatum,"&gt;="&amp;$E5072,SondDatum,"&lt;="&amp;EOMONTH($E5072,0)),$J5072-$M5072))</f>
      </c>
      <c r="O5072" s="43">
        <f>IF($I5072=0,0,INDEX(DarlErsatzRate,11))</f>
      </c>
      <c r="P5072" s="43">
        <f>IF($I5072=0,0,$Q5071*INDEX(DarlErsatzZins,11))</f>
      </c>
      <c r="Q5072" s="43">
        <f>IF($I5072=0,0,$Q5071+$P5072+$O5072)</f>
      </c>
      <c r="R5072" s="43">
        <f>IF($I5072=0,0,$J5072-$M5072-$N5072)</f>
      </c>
    </row>
    <row r="5073">
      <c r="A5073"/>
      <c r="B5073">
        <v>11</v>
      </c>
      <c r="C5073" s="43">
        <f>INDEX(DarlObj,11)</f>
      </c>
      <c r="D5073">
        <v>270</v>
      </c>
      <c r="E5073" s="51">
        <f>IF(INDEX(DarlBelegt,11)=0,0,EOMONTH(INDEX(DarlAuszahlung,11),269)+1)</f>
      </c>
      <c r="F5073" s="43">
        <f>IF($E5073=0,0,YEAR($E5073))</f>
      </c>
      <c r="G5073" s="43">
        <f>IF(INDEX(DarlBindung,11)="",1,IF($E5073&lt;=INDEX(DarlBindung,11),1,0))</f>
      </c>
      <c r="H5073" s="43">
        <f>IF($G5073=1,INDEX(DarlSollzins,11),INDEX(DarlAnschluss,11))</f>
      </c>
      <c r="I5073" s="43">
        <f>IF(INDEX(DarlBelegt,11)=0,0,IF(INDEX(DarlOhneTilgung,11)=1,IF(INDEX(DarlBindung,11)="",1,$G5073),IF($J5073&gt;0.005,1,0)))</f>
      </c>
      <c r="J5073" s="43">
        <f>IF($I5072=0,0,$R5072)</f>
      </c>
      <c r="K5073" s="43">
        <f>IF($I5073=0,0,IF(INDEX(DarlOhneTilgung,11)=1,0,IF(AND(INDEX(DarlTilgStart,11)&gt;0,$E5073=INDEX(DarlTilgStart,11)),$J5073*($H5073+INDEX(DarlTilgung,11))/100/12,IF(AND($G5073=0,$G5072=1),MAX($K5072,$J5073*($H5073+1)/100/12),$K5072))))</f>
      </c>
      <c r="L5073" s="43">
        <f>IF($I5073=0,0,$J5073*$H5073/100/12)</f>
      </c>
      <c r="M5073" s="43">
        <f>IF($I5073=0,0,IF(OR(INDEX(DarlOhneTilgung,11)=1,AND(INDEX(DarlTilgStart,11)&gt;0,$E5073&lt;INDEX(DarlTilgStart,11))),0,MIN(MAX(0,$K5073-$L5073),$J5073)))</f>
      </c>
      <c r="N5073" s="43">
        <f>IF($I5073=0,0,MIN(SUMIFS(SondBetrag,SondDarl,11,SondDatum,"&gt;="&amp;$E5073,SondDatum,"&lt;="&amp;EOMONTH($E5073,0)),$J5073-$M5073))</f>
      </c>
      <c r="O5073" s="43">
        <f>IF($I5073=0,0,INDEX(DarlErsatzRate,11))</f>
      </c>
      <c r="P5073" s="43">
        <f>IF($I5073=0,0,$Q5072*INDEX(DarlErsatzZins,11))</f>
      </c>
      <c r="Q5073" s="43">
        <f>IF($I5073=0,0,$Q5072+$P5073+$O5073)</f>
      </c>
      <c r="R5073" s="43">
        <f>IF($I5073=0,0,$J5073-$M5073-$N5073)</f>
      </c>
    </row>
    <row r="5074">
      <c r="A5074"/>
      <c r="B5074">
        <v>11</v>
      </c>
      <c r="C5074" s="43">
        <f>INDEX(DarlObj,11)</f>
      </c>
      <c r="D5074">
        <v>271</v>
      </c>
      <c r="E5074" s="51">
        <f>IF(INDEX(DarlBelegt,11)=0,0,EOMONTH(INDEX(DarlAuszahlung,11),270)+1)</f>
      </c>
      <c r="F5074" s="43">
        <f>IF($E5074=0,0,YEAR($E5074))</f>
      </c>
      <c r="G5074" s="43">
        <f>IF(INDEX(DarlBindung,11)="",1,IF($E5074&lt;=INDEX(DarlBindung,11),1,0))</f>
      </c>
      <c r="H5074" s="43">
        <f>IF($G5074=1,INDEX(DarlSollzins,11),INDEX(DarlAnschluss,11))</f>
      </c>
      <c r="I5074" s="43">
        <f>IF(INDEX(DarlBelegt,11)=0,0,IF(INDEX(DarlOhneTilgung,11)=1,IF(INDEX(DarlBindung,11)="",1,$G5074),IF($J5074&gt;0.005,1,0)))</f>
      </c>
      <c r="J5074" s="43">
        <f>IF($I5073=0,0,$R5073)</f>
      </c>
      <c r="K5074" s="43">
        <f>IF($I5074=0,0,IF(INDEX(DarlOhneTilgung,11)=1,0,IF(AND(INDEX(DarlTilgStart,11)&gt;0,$E5074=INDEX(DarlTilgStart,11)),$J5074*($H5074+INDEX(DarlTilgung,11))/100/12,IF(AND($G5074=0,$G5073=1),MAX($K5073,$J5074*($H5074+1)/100/12),$K5073))))</f>
      </c>
      <c r="L5074" s="43">
        <f>IF($I5074=0,0,$J5074*$H5074/100/12)</f>
      </c>
      <c r="M5074" s="43">
        <f>IF($I5074=0,0,IF(OR(INDEX(DarlOhneTilgung,11)=1,AND(INDEX(DarlTilgStart,11)&gt;0,$E5074&lt;INDEX(DarlTilgStart,11))),0,MIN(MAX(0,$K5074-$L5074),$J5074)))</f>
      </c>
      <c r="N5074" s="43">
        <f>IF($I5074=0,0,MIN(SUMIFS(SondBetrag,SondDarl,11,SondDatum,"&gt;="&amp;$E5074,SondDatum,"&lt;="&amp;EOMONTH($E5074,0)),$J5074-$M5074))</f>
      </c>
      <c r="O5074" s="43">
        <f>IF($I5074=0,0,INDEX(DarlErsatzRate,11))</f>
      </c>
      <c r="P5074" s="43">
        <f>IF($I5074=0,0,$Q5073*INDEX(DarlErsatzZins,11))</f>
      </c>
      <c r="Q5074" s="43">
        <f>IF($I5074=0,0,$Q5073+$P5074+$O5074)</f>
      </c>
      <c r="R5074" s="43">
        <f>IF($I5074=0,0,$J5074-$M5074-$N5074)</f>
      </c>
    </row>
    <row r="5075">
      <c r="A5075"/>
      <c r="B5075">
        <v>11</v>
      </c>
      <c r="C5075" s="43">
        <f>INDEX(DarlObj,11)</f>
      </c>
      <c r="D5075">
        <v>272</v>
      </c>
      <c r="E5075" s="51">
        <f>IF(INDEX(DarlBelegt,11)=0,0,EOMONTH(INDEX(DarlAuszahlung,11),271)+1)</f>
      </c>
      <c r="F5075" s="43">
        <f>IF($E5075=0,0,YEAR($E5075))</f>
      </c>
      <c r="G5075" s="43">
        <f>IF(INDEX(DarlBindung,11)="",1,IF($E5075&lt;=INDEX(DarlBindung,11),1,0))</f>
      </c>
      <c r="H5075" s="43">
        <f>IF($G5075=1,INDEX(DarlSollzins,11),INDEX(DarlAnschluss,11))</f>
      </c>
      <c r="I5075" s="43">
        <f>IF(INDEX(DarlBelegt,11)=0,0,IF(INDEX(DarlOhneTilgung,11)=1,IF(INDEX(DarlBindung,11)="",1,$G5075),IF($J5075&gt;0.005,1,0)))</f>
      </c>
      <c r="J5075" s="43">
        <f>IF($I5074=0,0,$R5074)</f>
      </c>
      <c r="K5075" s="43">
        <f>IF($I5075=0,0,IF(INDEX(DarlOhneTilgung,11)=1,0,IF(AND(INDEX(DarlTilgStart,11)&gt;0,$E5075=INDEX(DarlTilgStart,11)),$J5075*($H5075+INDEX(DarlTilgung,11))/100/12,IF(AND($G5075=0,$G5074=1),MAX($K5074,$J5075*($H5075+1)/100/12),$K5074))))</f>
      </c>
      <c r="L5075" s="43">
        <f>IF($I5075=0,0,$J5075*$H5075/100/12)</f>
      </c>
      <c r="M5075" s="43">
        <f>IF($I5075=0,0,IF(OR(INDEX(DarlOhneTilgung,11)=1,AND(INDEX(DarlTilgStart,11)&gt;0,$E5075&lt;INDEX(DarlTilgStart,11))),0,MIN(MAX(0,$K5075-$L5075),$J5075)))</f>
      </c>
      <c r="N5075" s="43">
        <f>IF($I5075=0,0,MIN(SUMIFS(SondBetrag,SondDarl,11,SondDatum,"&gt;="&amp;$E5075,SondDatum,"&lt;="&amp;EOMONTH($E5075,0)),$J5075-$M5075))</f>
      </c>
      <c r="O5075" s="43">
        <f>IF($I5075=0,0,INDEX(DarlErsatzRate,11))</f>
      </c>
      <c r="P5075" s="43">
        <f>IF($I5075=0,0,$Q5074*INDEX(DarlErsatzZins,11))</f>
      </c>
      <c r="Q5075" s="43">
        <f>IF($I5075=0,0,$Q5074+$P5075+$O5075)</f>
      </c>
      <c r="R5075" s="43">
        <f>IF($I5075=0,0,$J5075-$M5075-$N5075)</f>
      </c>
    </row>
    <row r="5076">
      <c r="A5076"/>
      <c r="B5076">
        <v>11</v>
      </c>
      <c r="C5076" s="43">
        <f>INDEX(DarlObj,11)</f>
      </c>
      <c r="D5076">
        <v>273</v>
      </c>
      <c r="E5076" s="51">
        <f>IF(INDEX(DarlBelegt,11)=0,0,EOMONTH(INDEX(DarlAuszahlung,11),272)+1)</f>
      </c>
      <c r="F5076" s="43">
        <f>IF($E5076=0,0,YEAR($E5076))</f>
      </c>
      <c r="G5076" s="43">
        <f>IF(INDEX(DarlBindung,11)="",1,IF($E5076&lt;=INDEX(DarlBindung,11),1,0))</f>
      </c>
      <c r="H5076" s="43">
        <f>IF($G5076=1,INDEX(DarlSollzins,11),INDEX(DarlAnschluss,11))</f>
      </c>
      <c r="I5076" s="43">
        <f>IF(INDEX(DarlBelegt,11)=0,0,IF(INDEX(DarlOhneTilgung,11)=1,IF(INDEX(DarlBindung,11)="",1,$G5076),IF($J5076&gt;0.005,1,0)))</f>
      </c>
      <c r="J5076" s="43">
        <f>IF($I5075=0,0,$R5075)</f>
      </c>
      <c r="K5076" s="43">
        <f>IF($I5076=0,0,IF(INDEX(DarlOhneTilgung,11)=1,0,IF(AND(INDEX(DarlTilgStart,11)&gt;0,$E5076=INDEX(DarlTilgStart,11)),$J5076*($H5076+INDEX(DarlTilgung,11))/100/12,IF(AND($G5076=0,$G5075=1),MAX($K5075,$J5076*($H5076+1)/100/12),$K5075))))</f>
      </c>
      <c r="L5076" s="43">
        <f>IF($I5076=0,0,$J5076*$H5076/100/12)</f>
      </c>
      <c r="M5076" s="43">
        <f>IF($I5076=0,0,IF(OR(INDEX(DarlOhneTilgung,11)=1,AND(INDEX(DarlTilgStart,11)&gt;0,$E5076&lt;INDEX(DarlTilgStart,11))),0,MIN(MAX(0,$K5076-$L5076),$J5076)))</f>
      </c>
      <c r="N5076" s="43">
        <f>IF($I5076=0,0,MIN(SUMIFS(SondBetrag,SondDarl,11,SondDatum,"&gt;="&amp;$E5076,SondDatum,"&lt;="&amp;EOMONTH($E5076,0)),$J5076-$M5076))</f>
      </c>
      <c r="O5076" s="43">
        <f>IF($I5076=0,0,INDEX(DarlErsatzRate,11))</f>
      </c>
      <c r="P5076" s="43">
        <f>IF($I5076=0,0,$Q5075*INDEX(DarlErsatzZins,11))</f>
      </c>
      <c r="Q5076" s="43">
        <f>IF($I5076=0,0,$Q5075+$P5076+$O5076)</f>
      </c>
      <c r="R5076" s="43">
        <f>IF($I5076=0,0,$J5076-$M5076-$N5076)</f>
      </c>
    </row>
    <row r="5077">
      <c r="A5077"/>
      <c r="B5077">
        <v>11</v>
      </c>
      <c r="C5077" s="43">
        <f>INDEX(DarlObj,11)</f>
      </c>
      <c r="D5077">
        <v>274</v>
      </c>
      <c r="E5077" s="51">
        <f>IF(INDEX(DarlBelegt,11)=0,0,EOMONTH(INDEX(DarlAuszahlung,11),273)+1)</f>
      </c>
      <c r="F5077" s="43">
        <f>IF($E5077=0,0,YEAR($E5077))</f>
      </c>
      <c r="G5077" s="43">
        <f>IF(INDEX(DarlBindung,11)="",1,IF($E5077&lt;=INDEX(DarlBindung,11),1,0))</f>
      </c>
      <c r="H5077" s="43">
        <f>IF($G5077=1,INDEX(DarlSollzins,11),INDEX(DarlAnschluss,11))</f>
      </c>
      <c r="I5077" s="43">
        <f>IF(INDEX(DarlBelegt,11)=0,0,IF(INDEX(DarlOhneTilgung,11)=1,IF(INDEX(DarlBindung,11)="",1,$G5077),IF($J5077&gt;0.005,1,0)))</f>
      </c>
      <c r="J5077" s="43">
        <f>IF($I5076=0,0,$R5076)</f>
      </c>
      <c r="K5077" s="43">
        <f>IF($I5077=0,0,IF(INDEX(DarlOhneTilgung,11)=1,0,IF(AND(INDEX(DarlTilgStart,11)&gt;0,$E5077=INDEX(DarlTilgStart,11)),$J5077*($H5077+INDEX(DarlTilgung,11))/100/12,IF(AND($G5077=0,$G5076=1),MAX($K5076,$J5077*($H5077+1)/100/12),$K5076))))</f>
      </c>
      <c r="L5077" s="43">
        <f>IF($I5077=0,0,$J5077*$H5077/100/12)</f>
      </c>
      <c r="M5077" s="43">
        <f>IF($I5077=0,0,IF(OR(INDEX(DarlOhneTilgung,11)=1,AND(INDEX(DarlTilgStart,11)&gt;0,$E5077&lt;INDEX(DarlTilgStart,11))),0,MIN(MAX(0,$K5077-$L5077),$J5077)))</f>
      </c>
      <c r="N5077" s="43">
        <f>IF($I5077=0,0,MIN(SUMIFS(SondBetrag,SondDarl,11,SondDatum,"&gt;="&amp;$E5077,SondDatum,"&lt;="&amp;EOMONTH($E5077,0)),$J5077-$M5077))</f>
      </c>
      <c r="O5077" s="43">
        <f>IF($I5077=0,0,INDEX(DarlErsatzRate,11))</f>
      </c>
      <c r="P5077" s="43">
        <f>IF($I5077=0,0,$Q5076*INDEX(DarlErsatzZins,11))</f>
      </c>
      <c r="Q5077" s="43">
        <f>IF($I5077=0,0,$Q5076+$P5077+$O5077)</f>
      </c>
      <c r="R5077" s="43">
        <f>IF($I5077=0,0,$J5077-$M5077-$N5077)</f>
      </c>
    </row>
    <row r="5078">
      <c r="A5078"/>
      <c r="B5078">
        <v>11</v>
      </c>
      <c r="C5078" s="43">
        <f>INDEX(DarlObj,11)</f>
      </c>
      <c r="D5078">
        <v>275</v>
      </c>
      <c r="E5078" s="51">
        <f>IF(INDEX(DarlBelegt,11)=0,0,EOMONTH(INDEX(DarlAuszahlung,11),274)+1)</f>
      </c>
      <c r="F5078" s="43">
        <f>IF($E5078=0,0,YEAR($E5078))</f>
      </c>
      <c r="G5078" s="43">
        <f>IF(INDEX(DarlBindung,11)="",1,IF($E5078&lt;=INDEX(DarlBindung,11),1,0))</f>
      </c>
      <c r="H5078" s="43">
        <f>IF($G5078=1,INDEX(DarlSollzins,11),INDEX(DarlAnschluss,11))</f>
      </c>
      <c r="I5078" s="43">
        <f>IF(INDEX(DarlBelegt,11)=0,0,IF(INDEX(DarlOhneTilgung,11)=1,IF(INDEX(DarlBindung,11)="",1,$G5078),IF($J5078&gt;0.005,1,0)))</f>
      </c>
      <c r="J5078" s="43">
        <f>IF($I5077=0,0,$R5077)</f>
      </c>
      <c r="K5078" s="43">
        <f>IF($I5078=0,0,IF(INDEX(DarlOhneTilgung,11)=1,0,IF(AND(INDEX(DarlTilgStart,11)&gt;0,$E5078=INDEX(DarlTilgStart,11)),$J5078*($H5078+INDEX(DarlTilgung,11))/100/12,IF(AND($G5078=0,$G5077=1),MAX($K5077,$J5078*($H5078+1)/100/12),$K5077))))</f>
      </c>
      <c r="L5078" s="43">
        <f>IF($I5078=0,0,$J5078*$H5078/100/12)</f>
      </c>
      <c r="M5078" s="43">
        <f>IF($I5078=0,0,IF(OR(INDEX(DarlOhneTilgung,11)=1,AND(INDEX(DarlTilgStart,11)&gt;0,$E5078&lt;INDEX(DarlTilgStart,11))),0,MIN(MAX(0,$K5078-$L5078),$J5078)))</f>
      </c>
      <c r="N5078" s="43">
        <f>IF($I5078=0,0,MIN(SUMIFS(SondBetrag,SondDarl,11,SondDatum,"&gt;="&amp;$E5078,SondDatum,"&lt;="&amp;EOMONTH($E5078,0)),$J5078-$M5078))</f>
      </c>
      <c r="O5078" s="43">
        <f>IF($I5078=0,0,INDEX(DarlErsatzRate,11))</f>
      </c>
      <c r="P5078" s="43">
        <f>IF($I5078=0,0,$Q5077*INDEX(DarlErsatzZins,11))</f>
      </c>
      <c r="Q5078" s="43">
        <f>IF($I5078=0,0,$Q5077+$P5078+$O5078)</f>
      </c>
      <c r="R5078" s="43">
        <f>IF($I5078=0,0,$J5078-$M5078-$N5078)</f>
      </c>
    </row>
    <row r="5079">
      <c r="A5079"/>
      <c r="B5079">
        <v>11</v>
      </c>
      <c r="C5079" s="43">
        <f>INDEX(DarlObj,11)</f>
      </c>
      <c r="D5079">
        <v>276</v>
      </c>
      <c r="E5079" s="51">
        <f>IF(INDEX(DarlBelegt,11)=0,0,EOMONTH(INDEX(DarlAuszahlung,11),275)+1)</f>
      </c>
      <c r="F5079" s="43">
        <f>IF($E5079=0,0,YEAR($E5079))</f>
      </c>
      <c r="G5079" s="43">
        <f>IF(INDEX(DarlBindung,11)="",1,IF($E5079&lt;=INDEX(DarlBindung,11),1,0))</f>
      </c>
      <c r="H5079" s="43">
        <f>IF($G5079=1,INDEX(DarlSollzins,11),INDEX(DarlAnschluss,11))</f>
      </c>
      <c r="I5079" s="43">
        <f>IF(INDEX(DarlBelegt,11)=0,0,IF(INDEX(DarlOhneTilgung,11)=1,IF(INDEX(DarlBindung,11)="",1,$G5079),IF($J5079&gt;0.005,1,0)))</f>
      </c>
      <c r="J5079" s="43">
        <f>IF($I5078=0,0,$R5078)</f>
      </c>
      <c r="K5079" s="43">
        <f>IF($I5079=0,0,IF(INDEX(DarlOhneTilgung,11)=1,0,IF(AND(INDEX(DarlTilgStart,11)&gt;0,$E5079=INDEX(DarlTilgStart,11)),$J5079*($H5079+INDEX(DarlTilgung,11))/100/12,IF(AND($G5079=0,$G5078=1),MAX($K5078,$J5079*($H5079+1)/100/12),$K5078))))</f>
      </c>
      <c r="L5079" s="43">
        <f>IF($I5079=0,0,$J5079*$H5079/100/12)</f>
      </c>
      <c r="M5079" s="43">
        <f>IF($I5079=0,0,IF(OR(INDEX(DarlOhneTilgung,11)=1,AND(INDEX(DarlTilgStart,11)&gt;0,$E5079&lt;INDEX(DarlTilgStart,11))),0,MIN(MAX(0,$K5079-$L5079),$J5079)))</f>
      </c>
      <c r="N5079" s="43">
        <f>IF($I5079=0,0,MIN(SUMIFS(SondBetrag,SondDarl,11,SondDatum,"&gt;="&amp;$E5079,SondDatum,"&lt;="&amp;EOMONTH($E5079,0)),$J5079-$M5079))</f>
      </c>
      <c r="O5079" s="43">
        <f>IF($I5079=0,0,INDEX(DarlErsatzRate,11))</f>
      </c>
      <c r="P5079" s="43">
        <f>IF($I5079=0,0,$Q5078*INDEX(DarlErsatzZins,11))</f>
      </c>
      <c r="Q5079" s="43">
        <f>IF($I5079=0,0,$Q5078+$P5079+$O5079)</f>
      </c>
      <c r="R5079" s="43">
        <f>IF($I5079=0,0,$J5079-$M5079-$N5079)</f>
      </c>
    </row>
    <row r="5080">
      <c r="A5080"/>
      <c r="B5080">
        <v>11</v>
      </c>
      <c r="C5080" s="43">
        <f>INDEX(DarlObj,11)</f>
      </c>
      <c r="D5080">
        <v>277</v>
      </c>
      <c r="E5080" s="51">
        <f>IF(INDEX(DarlBelegt,11)=0,0,EOMONTH(INDEX(DarlAuszahlung,11),276)+1)</f>
      </c>
      <c r="F5080" s="43">
        <f>IF($E5080=0,0,YEAR($E5080))</f>
      </c>
      <c r="G5080" s="43">
        <f>IF(INDEX(DarlBindung,11)="",1,IF($E5080&lt;=INDEX(DarlBindung,11),1,0))</f>
      </c>
      <c r="H5080" s="43">
        <f>IF($G5080=1,INDEX(DarlSollzins,11),INDEX(DarlAnschluss,11))</f>
      </c>
      <c r="I5080" s="43">
        <f>IF(INDEX(DarlBelegt,11)=0,0,IF(INDEX(DarlOhneTilgung,11)=1,IF(INDEX(DarlBindung,11)="",1,$G5080),IF($J5080&gt;0.005,1,0)))</f>
      </c>
      <c r="J5080" s="43">
        <f>IF($I5079=0,0,$R5079)</f>
      </c>
      <c r="K5080" s="43">
        <f>IF($I5080=0,0,IF(INDEX(DarlOhneTilgung,11)=1,0,IF(AND(INDEX(DarlTilgStart,11)&gt;0,$E5080=INDEX(DarlTilgStart,11)),$J5080*($H5080+INDEX(DarlTilgung,11))/100/12,IF(AND($G5080=0,$G5079=1),MAX($K5079,$J5080*($H5080+1)/100/12),$K5079))))</f>
      </c>
      <c r="L5080" s="43">
        <f>IF($I5080=0,0,$J5080*$H5080/100/12)</f>
      </c>
      <c r="M5080" s="43">
        <f>IF($I5080=0,0,IF(OR(INDEX(DarlOhneTilgung,11)=1,AND(INDEX(DarlTilgStart,11)&gt;0,$E5080&lt;INDEX(DarlTilgStart,11))),0,MIN(MAX(0,$K5080-$L5080),$J5080)))</f>
      </c>
      <c r="N5080" s="43">
        <f>IF($I5080=0,0,MIN(SUMIFS(SondBetrag,SondDarl,11,SondDatum,"&gt;="&amp;$E5080,SondDatum,"&lt;="&amp;EOMONTH($E5080,0)),$J5080-$M5080))</f>
      </c>
      <c r="O5080" s="43">
        <f>IF($I5080=0,0,INDEX(DarlErsatzRate,11))</f>
      </c>
      <c r="P5080" s="43">
        <f>IF($I5080=0,0,$Q5079*INDEX(DarlErsatzZins,11))</f>
      </c>
      <c r="Q5080" s="43">
        <f>IF($I5080=0,0,$Q5079+$P5080+$O5080)</f>
      </c>
      <c r="R5080" s="43">
        <f>IF($I5080=0,0,$J5080-$M5080-$N5080)</f>
      </c>
    </row>
    <row r="5081">
      <c r="A5081"/>
      <c r="B5081">
        <v>11</v>
      </c>
      <c r="C5081" s="43">
        <f>INDEX(DarlObj,11)</f>
      </c>
      <c r="D5081">
        <v>278</v>
      </c>
      <c r="E5081" s="51">
        <f>IF(INDEX(DarlBelegt,11)=0,0,EOMONTH(INDEX(DarlAuszahlung,11),277)+1)</f>
      </c>
      <c r="F5081" s="43">
        <f>IF($E5081=0,0,YEAR($E5081))</f>
      </c>
      <c r="G5081" s="43">
        <f>IF(INDEX(DarlBindung,11)="",1,IF($E5081&lt;=INDEX(DarlBindung,11),1,0))</f>
      </c>
      <c r="H5081" s="43">
        <f>IF($G5081=1,INDEX(DarlSollzins,11),INDEX(DarlAnschluss,11))</f>
      </c>
      <c r="I5081" s="43">
        <f>IF(INDEX(DarlBelegt,11)=0,0,IF(INDEX(DarlOhneTilgung,11)=1,IF(INDEX(DarlBindung,11)="",1,$G5081),IF($J5081&gt;0.005,1,0)))</f>
      </c>
      <c r="J5081" s="43">
        <f>IF($I5080=0,0,$R5080)</f>
      </c>
      <c r="K5081" s="43">
        <f>IF($I5081=0,0,IF(INDEX(DarlOhneTilgung,11)=1,0,IF(AND(INDEX(DarlTilgStart,11)&gt;0,$E5081=INDEX(DarlTilgStart,11)),$J5081*($H5081+INDEX(DarlTilgung,11))/100/12,IF(AND($G5081=0,$G5080=1),MAX($K5080,$J5081*($H5081+1)/100/12),$K5080))))</f>
      </c>
      <c r="L5081" s="43">
        <f>IF($I5081=0,0,$J5081*$H5081/100/12)</f>
      </c>
      <c r="M5081" s="43">
        <f>IF($I5081=0,0,IF(OR(INDEX(DarlOhneTilgung,11)=1,AND(INDEX(DarlTilgStart,11)&gt;0,$E5081&lt;INDEX(DarlTilgStart,11))),0,MIN(MAX(0,$K5081-$L5081),$J5081)))</f>
      </c>
      <c r="N5081" s="43">
        <f>IF($I5081=0,0,MIN(SUMIFS(SondBetrag,SondDarl,11,SondDatum,"&gt;="&amp;$E5081,SondDatum,"&lt;="&amp;EOMONTH($E5081,0)),$J5081-$M5081))</f>
      </c>
      <c r="O5081" s="43">
        <f>IF($I5081=0,0,INDEX(DarlErsatzRate,11))</f>
      </c>
      <c r="P5081" s="43">
        <f>IF($I5081=0,0,$Q5080*INDEX(DarlErsatzZins,11))</f>
      </c>
      <c r="Q5081" s="43">
        <f>IF($I5081=0,0,$Q5080+$P5081+$O5081)</f>
      </c>
      <c r="R5081" s="43">
        <f>IF($I5081=0,0,$J5081-$M5081-$N5081)</f>
      </c>
    </row>
    <row r="5082">
      <c r="A5082"/>
      <c r="B5082">
        <v>11</v>
      </c>
      <c r="C5082" s="43">
        <f>INDEX(DarlObj,11)</f>
      </c>
      <c r="D5082">
        <v>279</v>
      </c>
      <c r="E5082" s="51">
        <f>IF(INDEX(DarlBelegt,11)=0,0,EOMONTH(INDEX(DarlAuszahlung,11),278)+1)</f>
      </c>
      <c r="F5082" s="43">
        <f>IF($E5082=0,0,YEAR($E5082))</f>
      </c>
      <c r="G5082" s="43">
        <f>IF(INDEX(DarlBindung,11)="",1,IF($E5082&lt;=INDEX(DarlBindung,11),1,0))</f>
      </c>
      <c r="H5082" s="43">
        <f>IF($G5082=1,INDEX(DarlSollzins,11),INDEX(DarlAnschluss,11))</f>
      </c>
      <c r="I5082" s="43">
        <f>IF(INDEX(DarlBelegt,11)=0,0,IF(INDEX(DarlOhneTilgung,11)=1,IF(INDEX(DarlBindung,11)="",1,$G5082),IF($J5082&gt;0.005,1,0)))</f>
      </c>
      <c r="J5082" s="43">
        <f>IF($I5081=0,0,$R5081)</f>
      </c>
      <c r="K5082" s="43">
        <f>IF($I5082=0,0,IF(INDEX(DarlOhneTilgung,11)=1,0,IF(AND(INDEX(DarlTilgStart,11)&gt;0,$E5082=INDEX(DarlTilgStart,11)),$J5082*($H5082+INDEX(DarlTilgung,11))/100/12,IF(AND($G5082=0,$G5081=1),MAX($K5081,$J5082*($H5082+1)/100/12),$K5081))))</f>
      </c>
      <c r="L5082" s="43">
        <f>IF($I5082=0,0,$J5082*$H5082/100/12)</f>
      </c>
      <c r="M5082" s="43">
        <f>IF($I5082=0,0,IF(OR(INDEX(DarlOhneTilgung,11)=1,AND(INDEX(DarlTilgStart,11)&gt;0,$E5082&lt;INDEX(DarlTilgStart,11))),0,MIN(MAX(0,$K5082-$L5082),$J5082)))</f>
      </c>
      <c r="N5082" s="43">
        <f>IF($I5082=0,0,MIN(SUMIFS(SondBetrag,SondDarl,11,SondDatum,"&gt;="&amp;$E5082,SondDatum,"&lt;="&amp;EOMONTH($E5082,0)),$J5082-$M5082))</f>
      </c>
      <c r="O5082" s="43">
        <f>IF($I5082=0,0,INDEX(DarlErsatzRate,11))</f>
      </c>
      <c r="P5082" s="43">
        <f>IF($I5082=0,0,$Q5081*INDEX(DarlErsatzZins,11))</f>
      </c>
      <c r="Q5082" s="43">
        <f>IF($I5082=0,0,$Q5081+$P5082+$O5082)</f>
      </c>
      <c r="R5082" s="43">
        <f>IF($I5082=0,0,$J5082-$M5082-$N5082)</f>
      </c>
    </row>
    <row r="5083">
      <c r="A5083"/>
      <c r="B5083">
        <v>11</v>
      </c>
      <c r="C5083" s="43">
        <f>INDEX(DarlObj,11)</f>
      </c>
      <c r="D5083">
        <v>280</v>
      </c>
      <c r="E5083" s="51">
        <f>IF(INDEX(DarlBelegt,11)=0,0,EOMONTH(INDEX(DarlAuszahlung,11),279)+1)</f>
      </c>
      <c r="F5083" s="43">
        <f>IF($E5083=0,0,YEAR($E5083))</f>
      </c>
      <c r="G5083" s="43">
        <f>IF(INDEX(DarlBindung,11)="",1,IF($E5083&lt;=INDEX(DarlBindung,11),1,0))</f>
      </c>
      <c r="H5083" s="43">
        <f>IF($G5083=1,INDEX(DarlSollzins,11),INDEX(DarlAnschluss,11))</f>
      </c>
      <c r="I5083" s="43">
        <f>IF(INDEX(DarlBelegt,11)=0,0,IF(INDEX(DarlOhneTilgung,11)=1,IF(INDEX(DarlBindung,11)="",1,$G5083),IF($J5083&gt;0.005,1,0)))</f>
      </c>
      <c r="J5083" s="43">
        <f>IF($I5082=0,0,$R5082)</f>
      </c>
      <c r="K5083" s="43">
        <f>IF($I5083=0,0,IF(INDEX(DarlOhneTilgung,11)=1,0,IF(AND(INDEX(DarlTilgStart,11)&gt;0,$E5083=INDEX(DarlTilgStart,11)),$J5083*($H5083+INDEX(DarlTilgung,11))/100/12,IF(AND($G5083=0,$G5082=1),MAX($K5082,$J5083*($H5083+1)/100/12),$K5082))))</f>
      </c>
      <c r="L5083" s="43">
        <f>IF($I5083=0,0,$J5083*$H5083/100/12)</f>
      </c>
      <c r="M5083" s="43">
        <f>IF($I5083=0,0,IF(OR(INDEX(DarlOhneTilgung,11)=1,AND(INDEX(DarlTilgStart,11)&gt;0,$E5083&lt;INDEX(DarlTilgStart,11))),0,MIN(MAX(0,$K5083-$L5083),$J5083)))</f>
      </c>
      <c r="N5083" s="43">
        <f>IF($I5083=0,0,MIN(SUMIFS(SondBetrag,SondDarl,11,SondDatum,"&gt;="&amp;$E5083,SondDatum,"&lt;="&amp;EOMONTH($E5083,0)),$J5083-$M5083))</f>
      </c>
      <c r="O5083" s="43">
        <f>IF($I5083=0,0,INDEX(DarlErsatzRate,11))</f>
      </c>
      <c r="P5083" s="43">
        <f>IF($I5083=0,0,$Q5082*INDEX(DarlErsatzZins,11))</f>
      </c>
      <c r="Q5083" s="43">
        <f>IF($I5083=0,0,$Q5082+$P5083+$O5083)</f>
      </c>
      <c r="R5083" s="43">
        <f>IF($I5083=0,0,$J5083-$M5083-$N5083)</f>
      </c>
    </row>
    <row r="5084">
      <c r="A5084"/>
      <c r="B5084">
        <v>11</v>
      </c>
      <c r="C5084" s="43">
        <f>INDEX(DarlObj,11)</f>
      </c>
      <c r="D5084">
        <v>281</v>
      </c>
      <c r="E5084" s="51">
        <f>IF(INDEX(DarlBelegt,11)=0,0,EOMONTH(INDEX(DarlAuszahlung,11),280)+1)</f>
      </c>
      <c r="F5084" s="43">
        <f>IF($E5084=0,0,YEAR($E5084))</f>
      </c>
      <c r="G5084" s="43">
        <f>IF(INDEX(DarlBindung,11)="",1,IF($E5084&lt;=INDEX(DarlBindung,11),1,0))</f>
      </c>
      <c r="H5084" s="43">
        <f>IF($G5084=1,INDEX(DarlSollzins,11),INDEX(DarlAnschluss,11))</f>
      </c>
      <c r="I5084" s="43">
        <f>IF(INDEX(DarlBelegt,11)=0,0,IF(INDEX(DarlOhneTilgung,11)=1,IF(INDEX(DarlBindung,11)="",1,$G5084),IF($J5084&gt;0.005,1,0)))</f>
      </c>
      <c r="J5084" s="43">
        <f>IF($I5083=0,0,$R5083)</f>
      </c>
      <c r="K5084" s="43">
        <f>IF($I5084=0,0,IF(INDEX(DarlOhneTilgung,11)=1,0,IF(AND(INDEX(DarlTilgStart,11)&gt;0,$E5084=INDEX(DarlTilgStart,11)),$J5084*($H5084+INDEX(DarlTilgung,11))/100/12,IF(AND($G5084=0,$G5083=1),MAX($K5083,$J5084*($H5084+1)/100/12),$K5083))))</f>
      </c>
      <c r="L5084" s="43">
        <f>IF($I5084=0,0,$J5084*$H5084/100/12)</f>
      </c>
      <c r="M5084" s="43">
        <f>IF($I5084=0,0,IF(OR(INDEX(DarlOhneTilgung,11)=1,AND(INDEX(DarlTilgStart,11)&gt;0,$E5084&lt;INDEX(DarlTilgStart,11))),0,MIN(MAX(0,$K5084-$L5084),$J5084)))</f>
      </c>
      <c r="N5084" s="43">
        <f>IF($I5084=0,0,MIN(SUMIFS(SondBetrag,SondDarl,11,SondDatum,"&gt;="&amp;$E5084,SondDatum,"&lt;="&amp;EOMONTH($E5084,0)),$J5084-$M5084))</f>
      </c>
      <c r="O5084" s="43">
        <f>IF($I5084=0,0,INDEX(DarlErsatzRate,11))</f>
      </c>
      <c r="P5084" s="43">
        <f>IF($I5084=0,0,$Q5083*INDEX(DarlErsatzZins,11))</f>
      </c>
      <c r="Q5084" s="43">
        <f>IF($I5084=0,0,$Q5083+$P5084+$O5084)</f>
      </c>
      <c r="R5084" s="43">
        <f>IF($I5084=0,0,$J5084-$M5084-$N5084)</f>
      </c>
    </row>
    <row r="5085">
      <c r="A5085"/>
      <c r="B5085">
        <v>11</v>
      </c>
      <c r="C5085" s="43">
        <f>INDEX(DarlObj,11)</f>
      </c>
      <c r="D5085">
        <v>282</v>
      </c>
      <c r="E5085" s="51">
        <f>IF(INDEX(DarlBelegt,11)=0,0,EOMONTH(INDEX(DarlAuszahlung,11),281)+1)</f>
      </c>
      <c r="F5085" s="43">
        <f>IF($E5085=0,0,YEAR($E5085))</f>
      </c>
      <c r="G5085" s="43">
        <f>IF(INDEX(DarlBindung,11)="",1,IF($E5085&lt;=INDEX(DarlBindung,11),1,0))</f>
      </c>
      <c r="H5085" s="43">
        <f>IF($G5085=1,INDEX(DarlSollzins,11),INDEX(DarlAnschluss,11))</f>
      </c>
      <c r="I5085" s="43">
        <f>IF(INDEX(DarlBelegt,11)=0,0,IF(INDEX(DarlOhneTilgung,11)=1,IF(INDEX(DarlBindung,11)="",1,$G5085),IF($J5085&gt;0.005,1,0)))</f>
      </c>
      <c r="J5085" s="43">
        <f>IF($I5084=0,0,$R5084)</f>
      </c>
      <c r="K5085" s="43">
        <f>IF($I5085=0,0,IF(INDEX(DarlOhneTilgung,11)=1,0,IF(AND(INDEX(DarlTilgStart,11)&gt;0,$E5085=INDEX(DarlTilgStart,11)),$J5085*($H5085+INDEX(DarlTilgung,11))/100/12,IF(AND($G5085=0,$G5084=1),MAX($K5084,$J5085*($H5085+1)/100/12),$K5084))))</f>
      </c>
      <c r="L5085" s="43">
        <f>IF($I5085=0,0,$J5085*$H5085/100/12)</f>
      </c>
      <c r="M5085" s="43">
        <f>IF($I5085=0,0,IF(OR(INDEX(DarlOhneTilgung,11)=1,AND(INDEX(DarlTilgStart,11)&gt;0,$E5085&lt;INDEX(DarlTilgStart,11))),0,MIN(MAX(0,$K5085-$L5085),$J5085)))</f>
      </c>
      <c r="N5085" s="43">
        <f>IF($I5085=0,0,MIN(SUMIFS(SondBetrag,SondDarl,11,SondDatum,"&gt;="&amp;$E5085,SondDatum,"&lt;="&amp;EOMONTH($E5085,0)),$J5085-$M5085))</f>
      </c>
      <c r="O5085" s="43">
        <f>IF($I5085=0,0,INDEX(DarlErsatzRate,11))</f>
      </c>
      <c r="P5085" s="43">
        <f>IF($I5085=0,0,$Q5084*INDEX(DarlErsatzZins,11))</f>
      </c>
      <c r="Q5085" s="43">
        <f>IF($I5085=0,0,$Q5084+$P5085+$O5085)</f>
      </c>
      <c r="R5085" s="43">
        <f>IF($I5085=0,0,$J5085-$M5085-$N5085)</f>
      </c>
    </row>
    <row r="5086">
      <c r="A5086"/>
      <c r="B5086">
        <v>11</v>
      </c>
      <c r="C5086" s="43">
        <f>INDEX(DarlObj,11)</f>
      </c>
      <c r="D5086">
        <v>283</v>
      </c>
      <c r="E5086" s="51">
        <f>IF(INDEX(DarlBelegt,11)=0,0,EOMONTH(INDEX(DarlAuszahlung,11),282)+1)</f>
      </c>
      <c r="F5086" s="43">
        <f>IF($E5086=0,0,YEAR($E5086))</f>
      </c>
      <c r="G5086" s="43">
        <f>IF(INDEX(DarlBindung,11)="",1,IF($E5086&lt;=INDEX(DarlBindung,11),1,0))</f>
      </c>
      <c r="H5086" s="43">
        <f>IF($G5086=1,INDEX(DarlSollzins,11),INDEX(DarlAnschluss,11))</f>
      </c>
      <c r="I5086" s="43">
        <f>IF(INDEX(DarlBelegt,11)=0,0,IF(INDEX(DarlOhneTilgung,11)=1,IF(INDEX(DarlBindung,11)="",1,$G5086),IF($J5086&gt;0.005,1,0)))</f>
      </c>
      <c r="J5086" s="43">
        <f>IF($I5085=0,0,$R5085)</f>
      </c>
      <c r="K5086" s="43">
        <f>IF($I5086=0,0,IF(INDEX(DarlOhneTilgung,11)=1,0,IF(AND(INDEX(DarlTilgStart,11)&gt;0,$E5086=INDEX(DarlTilgStart,11)),$J5086*($H5086+INDEX(DarlTilgung,11))/100/12,IF(AND($G5086=0,$G5085=1),MAX($K5085,$J5086*($H5086+1)/100/12),$K5085))))</f>
      </c>
      <c r="L5086" s="43">
        <f>IF($I5086=0,0,$J5086*$H5086/100/12)</f>
      </c>
      <c r="M5086" s="43">
        <f>IF($I5086=0,0,IF(OR(INDEX(DarlOhneTilgung,11)=1,AND(INDEX(DarlTilgStart,11)&gt;0,$E5086&lt;INDEX(DarlTilgStart,11))),0,MIN(MAX(0,$K5086-$L5086),$J5086)))</f>
      </c>
      <c r="N5086" s="43">
        <f>IF($I5086=0,0,MIN(SUMIFS(SondBetrag,SondDarl,11,SondDatum,"&gt;="&amp;$E5086,SondDatum,"&lt;="&amp;EOMONTH($E5086,0)),$J5086-$M5086))</f>
      </c>
      <c r="O5086" s="43">
        <f>IF($I5086=0,0,INDEX(DarlErsatzRate,11))</f>
      </c>
      <c r="P5086" s="43">
        <f>IF($I5086=0,0,$Q5085*INDEX(DarlErsatzZins,11))</f>
      </c>
      <c r="Q5086" s="43">
        <f>IF($I5086=0,0,$Q5085+$P5086+$O5086)</f>
      </c>
      <c r="R5086" s="43">
        <f>IF($I5086=0,0,$J5086-$M5086-$N5086)</f>
      </c>
    </row>
    <row r="5087">
      <c r="A5087"/>
      <c r="B5087">
        <v>11</v>
      </c>
      <c r="C5087" s="43">
        <f>INDEX(DarlObj,11)</f>
      </c>
      <c r="D5087">
        <v>284</v>
      </c>
      <c r="E5087" s="51">
        <f>IF(INDEX(DarlBelegt,11)=0,0,EOMONTH(INDEX(DarlAuszahlung,11),283)+1)</f>
      </c>
      <c r="F5087" s="43">
        <f>IF($E5087=0,0,YEAR($E5087))</f>
      </c>
      <c r="G5087" s="43">
        <f>IF(INDEX(DarlBindung,11)="",1,IF($E5087&lt;=INDEX(DarlBindung,11),1,0))</f>
      </c>
      <c r="H5087" s="43">
        <f>IF($G5087=1,INDEX(DarlSollzins,11),INDEX(DarlAnschluss,11))</f>
      </c>
      <c r="I5087" s="43">
        <f>IF(INDEX(DarlBelegt,11)=0,0,IF(INDEX(DarlOhneTilgung,11)=1,IF(INDEX(DarlBindung,11)="",1,$G5087),IF($J5087&gt;0.005,1,0)))</f>
      </c>
      <c r="J5087" s="43">
        <f>IF($I5086=0,0,$R5086)</f>
      </c>
      <c r="K5087" s="43">
        <f>IF($I5087=0,0,IF(INDEX(DarlOhneTilgung,11)=1,0,IF(AND(INDEX(DarlTilgStart,11)&gt;0,$E5087=INDEX(DarlTilgStart,11)),$J5087*($H5087+INDEX(DarlTilgung,11))/100/12,IF(AND($G5087=0,$G5086=1),MAX($K5086,$J5087*($H5087+1)/100/12),$K5086))))</f>
      </c>
      <c r="L5087" s="43">
        <f>IF($I5087=0,0,$J5087*$H5087/100/12)</f>
      </c>
      <c r="M5087" s="43">
        <f>IF($I5087=0,0,IF(OR(INDEX(DarlOhneTilgung,11)=1,AND(INDEX(DarlTilgStart,11)&gt;0,$E5087&lt;INDEX(DarlTilgStart,11))),0,MIN(MAX(0,$K5087-$L5087),$J5087)))</f>
      </c>
      <c r="N5087" s="43">
        <f>IF($I5087=0,0,MIN(SUMIFS(SondBetrag,SondDarl,11,SondDatum,"&gt;="&amp;$E5087,SondDatum,"&lt;="&amp;EOMONTH($E5087,0)),$J5087-$M5087))</f>
      </c>
      <c r="O5087" s="43">
        <f>IF($I5087=0,0,INDEX(DarlErsatzRate,11))</f>
      </c>
      <c r="P5087" s="43">
        <f>IF($I5087=0,0,$Q5086*INDEX(DarlErsatzZins,11))</f>
      </c>
      <c r="Q5087" s="43">
        <f>IF($I5087=0,0,$Q5086+$P5087+$O5087)</f>
      </c>
      <c r="R5087" s="43">
        <f>IF($I5087=0,0,$J5087-$M5087-$N5087)</f>
      </c>
    </row>
    <row r="5088">
      <c r="A5088"/>
      <c r="B5088">
        <v>11</v>
      </c>
      <c r="C5088" s="43">
        <f>INDEX(DarlObj,11)</f>
      </c>
      <c r="D5088">
        <v>285</v>
      </c>
      <c r="E5088" s="51">
        <f>IF(INDEX(DarlBelegt,11)=0,0,EOMONTH(INDEX(DarlAuszahlung,11),284)+1)</f>
      </c>
      <c r="F5088" s="43">
        <f>IF($E5088=0,0,YEAR($E5088))</f>
      </c>
      <c r="G5088" s="43">
        <f>IF(INDEX(DarlBindung,11)="",1,IF($E5088&lt;=INDEX(DarlBindung,11),1,0))</f>
      </c>
      <c r="H5088" s="43">
        <f>IF($G5088=1,INDEX(DarlSollzins,11),INDEX(DarlAnschluss,11))</f>
      </c>
      <c r="I5088" s="43">
        <f>IF(INDEX(DarlBelegt,11)=0,0,IF(INDEX(DarlOhneTilgung,11)=1,IF(INDEX(DarlBindung,11)="",1,$G5088),IF($J5088&gt;0.005,1,0)))</f>
      </c>
      <c r="J5088" s="43">
        <f>IF($I5087=0,0,$R5087)</f>
      </c>
      <c r="K5088" s="43">
        <f>IF($I5088=0,0,IF(INDEX(DarlOhneTilgung,11)=1,0,IF(AND(INDEX(DarlTilgStart,11)&gt;0,$E5088=INDEX(DarlTilgStart,11)),$J5088*($H5088+INDEX(DarlTilgung,11))/100/12,IF(AND($G5088=0,$G5087=1),MAX($K5087,$J5088*($H5088+1)/100/12),$K5087))))</f>
      </c>
      <c r="L5088" s="43">
        <f>IF($I5088=0,0,$J5088*$H5088/100/12)</f>
      </c>
      <c r="M5088" s="43">
        <f>IF($I5088=0,0,IF(OR(INDEX(DarlOhneTilgung,11)=1,AND(INDEX(DarlTilgStart,11)&gt;0,$E5088&lt;INDEX(DarlTilgStart,11))),0,MIN(MAX(0,$K5088-$L5088),$J5088)))</f>
      </c>
      <c r="N5088" s="43">
        <f>IF($I5088=0,0,MIN(SUMIFS(SondBetrag,SondDarl,11,SondDatum,"&gt;="&amp;$E5088,SondDatum,"&lt;="&amp;EOMONTH($E5088,0)),$J5088-$M5088))</f>
      </c>
      <c r="O5088" s="43">
        <f>IF($I5088=0,0,INDEX(DarlErsatzRate,11))</f>
      </c>
      <c r="P5088" s="43">
        <f>IF($I5088=0,0,$Q5087*INDEX(DarlErsatzZins,11))</f>
      </c>
      <c r="Q5088" s="43">
        <f>IF($I5088=0,0,$Q5087+$P5088+$O5088)</f>
      </c>
      <c r="R5088" s="43">
        <f>IF($I5088=0,0,$J5088-$M5088-$N5088)</f>
      </c>
    </row>
    <row r="5089">
      <c r="A5089"/>
      <c r="B5089">
        <v>11</v>
      </c>
      <c r="C5089" s="43">
        <f>INDEX(DarlObj,11)</f>
      </c>
      <c r="D5089">
        <v>286</v>
      </c>
      <c r="E5089" s="51">
        <f>IF(INDEX(DarlBelegt,11)=0,0,EOMONTH(INDEX(DarlAuszahlung,11),285)+1)</f>
      </c>
      <c r="F5089" s="43">
        <f>IF($E5089=0,0,YEAR($E5089))</f>
      </c>
      <c r="G5089" s="43">
        <f>IF(INDEX(DarlBindung,11)="",1,IF($E5089&lt;=INDEX(DarlBindung,11),1,0))</f>
      </c>
      <c r="H5089" s="43">
        <f>IF($G5089=1,INDEX(DarlSollzins,11),INDEX(DarlAnschluss,11))</f>
      </c>
      <c r="I5089" s="43">
        <f>IF(INDEX(DarlBelegt,11)=0,0,IF(INDEX(DarlOhneTilgung,11)=1,IF(INDEX(DarlBindung,11)="",1,$G5089),IF($J5089&gt;0.005,1,0)))</f>
      </c>
      <c r="J5089" s="43">
        <f>IF($I5088=0,0,$R5088)</f>
      </c>
      <c r="K5089" s="43">
        <f>IF($I5089=0,0,IF(INDEX(DarlOhneTilgung,11)=1,0,IF(AND(INDEX(DarlTilgStart,11)&gt;0,$E5089=INDEX(DarlTilgStart,11)),$J5089*($H5089+INDEX(DarlTilgung,11))/100/12,IF(AND($G5089=0,$G5088=1),MAX($K5088,$J5089*($H5089+1)/100/12),$K5088))))</f>
      </c>
      <c r="L5089" s="43">
        <f>IF($I5089=0,0,$J5089*$H5089/100/12)</f>
      </c>
      <c r="M5089" s="43">
        <f>IF($I5089=0,0,IF(OR(INDEX(DarlOhneTilgung,11)=1,AND(INDEX(DarlTilgStart,11)&gt;0,$E5089&lt;INDEX(DarlTilgStart,11))),0,MIN(MAX(0,$K5089-$L5089),$J5089)))</f>
      </c>
      <c r="N5089" s="43">
        <f>IF($I5089=0,0,MIN(SUMIFS(SondBetrag,SondDarl,11,SondDatum,"&gt;="&amp;$E5089,SondDatum,"&lt;="&amp;EOMONTH($E5089,0)),$J5089-$M5089))</f>
      </c>
      <c r="O5089" s="43">
        <f>IF($I5089=0,0,INDEX(DarlErsatzRate,11))</f>
      </c>
      <c r="P5089" s="43">
        <f>IF($I5089=0,0,$Q5088*INDEX(DarlErsatzZins,11))</f>
      </c>
      <c r="Q5089" s="43">
        <f>IF($I5089=0,0,$Q5088+$P5089+$O5089)</f>
      </c>
      <c r="R5089" s="43">
        <f>IF($I5089=0,0,$J5089-$M5089-$N5089)</f>
      </c>
    </row>
    <row r="5090">
      <c r="A5090"/>
      <c r="B5090">
        <v>11</v>
      </c>
      <c r="C5090" s="43">
        <f>INDEX(DarlObj,11)</f>
      </c>
      <c r="D5090">
        <v>287</v>
      </c>
      <c r="E5090" s="51">
        <f>IF(INDEX(DarlBelegt,11)=0,0,EOMONTH(INDEX(DarlAuszahlung,11),286)+1)</f>
      </c>
      <c r="F5090" s="43">
        <f>IF($E5090=0,0,YEAR($E5090))</f>
      </c>
      <c r="G5090" s="43">
        <f>IF(INDEX(DarlBindung,11)="",1,IF($E5090&lt;=INDEX(DarlBindung,11),1,0))</f>
      </c>
      <c r="H5090" s="43">
        <f>IF($G5090=1,INDEX(DarlSollzins,11),INDEX(DarlAnschluss,11))</f>
      </c>
      <c r="I5090" s="43">
        <f>IF(INDEX(DarlBelegt,11)=0,0,IF(INDEX(DarlOhneTilgung,11)=1,IF(INDEX(DarlBindung,11)="",1,$G5090),IF($J5090&gt;0.005,1,0)))</f>
      </c>
      <c r="J5090" s="43">
        <f>IF($I5089=0,0,$R5089)</f>
      </c>
      <c r="K5090" s="43">
        <f>IF($I5090=0,0,IF(INDEX(DarlOhneTilgung,11)=1,0,IF(AND(INDEX(DarlTilgStart,11)&gt;0,$E5090=INDEX(DarlTilgStart,11)),$J5090*($H5090+INDEX(DarlTilgung,11))/100/12,IF(AND($G5090=0,$G5089=1),MAX($K5089,$J5090*($H5090+1)/100/12),$K5089))))</f>
      </c>
      <c r="L5090" s="43">
        <f>IF($I5090=0,0,$J5090*$H5090/100/12)</f>
      </c>
      <c r="M5090" s="43">
        <f>IF($I5090=0,0,IF(OR(INDEX(DarlOhneTilgung,11)=1,AND(INDEX(DarlTilgStart,11)&gt;0,$E5090&lt;INDEX(DarlTilgStart,11))),0,MIN(MAX(0,$K5090-$L5090),$J5090)))</f>
      </c>
      <c r="N5090" s="43">
        <f>IF($I5090=0,0,MIN(SUMIFS(SondBetrag,SondDarl,11,SondDatum,"&gt;="&amp;$E5090,SondDatum,"&lt;="&amp;EOMONTH($E5090,0)),$J5090-$M5090))</f>
      </c>
      <c r="O5090" s="43">
        <f>IF($I5090=0,0,INDEX(DarlErsatzRate,11))</f>
      </c>
      <c r="P5090" s="43">
        <f>IF($I5090=0,0,$Q5089*INDEX(DarlErsatzZins,11))</f>
      </c>
      <c r="Q5090" s="43">
        <f>IF($I5090=0,0,$Q5089+$P5090+$O5090)</f>
      </c>
      <c r="R5090" s="43">
        <f>IF($I5090=0,0,$J5090-$M5090-$N5090)</f>
      </c>
    </row>
    <row r="5091">
      <c r="A5091"/>
      <c r="B5091">
        <v>11</v>
      </c>
      <c r="C5091" s="43">
        <f>INDEX(DarlObj,11)</f>
      </c>
      <c r="D5091">
        <v>288</v>
      </c>
      <c r="E5091" s="51">
        <f>IF(INDEX(DarlBelegt,11)=0,0,EOMONTH(INDEX(DarlAuszahlung,11),287)+1)</f>
      </c>
      <c r="F5091" s="43">
        <f>IF($E5091=0,0,YEAR($E5091))</f>
      </c>
      <c r="G5091" s="43">
        <f>IF(INDEX(DarlBindung,11)="",1,IF($E5091&lt;=INDEX(DarlBindung,11),1,0))</f>
      </c>
      <c r="H5091" s="43">
        <f>IF($G5091=1,INDEX(DarlSollzins,11),INDEX(DarlAnschluss,11))</f>
      </c>
      <c r="I5091" s="43">
        <f>IF(INDEX(DarlBelegt,11)=0,0,IF(INDEX(DarlOhneTilgung,11)=1,IF(INDEX(DarlBindung,11)="",1,$G5091),IF($J5091&gt;0.005,1,0)))</f>
      </c>
      <c r="J5091" s="43">
        <f>IF($I5090=0,0,$R5090)</f>
      </c>
      <c r="K5091" s="43">
        <f>IF($I5091=0,0,IF(INDEX(DarlOhneTilgung,11)=1,0,IF(AND(INDEX(DarlTilgStart,11)&gt;0,$E5091=INDEX(DarlTilgStart,11)),$J5091*($H5091+INDEX(DarlTilgung,11))/100/12,IF(AND($G5091=0,$G5090=1),MAX($K5090,$J5091*($H5091+1)/100/12),$K5090))))</f>
      </c>
      <c r="L5091" s="43">
        <f>IF($I5091=0,0,$J5091*$H5091/100/12)</f>
      </c>
      <c r="M5091" s="43">
        <f>IF($I5091=0,0,IF(OR(INDEX(DarlOhneTilgung,11)=1,AND(INDEX(DarlTilgStart,11)&gt;0,$E5091&lt;INDEX(DarlTilgStart,11))),0,MIN(MAX(0,$K5091-$L5091),$J5091)))</f>
      </c>
      <c r="N5091" s="43">
        <f>IF($I5091=0,0,MIN(SUMIFS(SondBetrag,SondDarl,11,SondDatum,"&gt;="&amp;$E5091,SondDatum,"&lt;="&amp;EOMONTH($E5091,0)),$J5091-$M5091))</f>
      </c>
      <c r="O5091" s="43">
        <f>IF($I5091=0,0,INDEX(DarlErsatzRate,11))</f>
      </c>
      <c r="P5091" s="43">
        <f>IF($I5091=0,0,$Q5090*INDEX(DarlErsatzZins,11))</f>
      </c>
      <c r="Q5091" s="43">
        <f>IF($I5091=0,0,$Q5090+$P5091+$O5091)</f>
      </c>
      <c r="R5091" s="43">
        <f>IF($I5091=0,0,$J5091-$M5091-$N5091)</f>
      </c>
    </row>
    <row r="5092">
      <c r="A5092"/>
      <c r="B5092">
        <v>11</v>
      </c>
      <c r="C5092" s="43">
        <f>INDEX(DarlObj,11)</f>
      </c>
      <c r="D5092">
        <v>289</v>
      </c>
      <c r="E5092" s="51">
        <f>IF(INDEX(DarlBelegt,11)=0,0,EOMONTH(INDEX(DarlAuszahlung,11),288)+1)</f>
      </c>
      <c r="F5092" s="43">
        <f>IF($E5092=0,0,YEAR($E5092))</f>
      </c>
      <c r="G5092" s="43">
        <f>IF(INDEX(DarlBindung,11)="",1,IF($E5092&lt;=INDEX(DarlBindung,11),1,0))</f>
      </c>
      <c r="H5092" s="43">
        <f>IF($G5092=1,INDEX(DarlSollzins,11),INDEX(DarlAnschluss,11))</f>
      </c>
      <c r="I5092" s="43">
        <f>IF(INDEX(DarlBelegt,11)=0,0,IF(INDEX(DarlOhneTilgung,11)=1,IF(INDEX(DarlBindung,11)="",1,$G5092),IF($J5092&gt;0.005,1,0)))</f>
      </c>
      <c r="J5092" s="43">
        <f>IF($I5091=0,0,$R5091)</f>
      </c>
      <c r="K5092" s="43">
        <f>IF($I5092=0,0,IF(INDEX(DarlOhneTilgung,11)=1,0,IF(AND(INDEX(DarlTilgStart,11)&gt;0,$E5092=INDEX(DarlTilgStart,11)),$J5092*($H5092+INDEX(DarlTilgung,11))/100/12,IF(AND($G5092=0,$G5091=1),MAX($K5091,$J5092*($H5092+1)/100/12),$K5091))))</f>
      </c>
      <c r="L5092" s="43">
        <f>IF($I5092=0,0,$J5092*$H5092/100/12)</f>
      </c>
      <c r="M5092" s="43">
        <f>IF($I5092=0,0,IF(OR(INDEX(DarlOhneTilgung,11)=1,AND(INDEX(DarlTilgStart,11)&gt;0,$E5092&lt;INDEX(DarlTilgStart,11))),0,MIN(MAX(0,$K5092-$L5092),$J5092)))</f>
      </c>
      <c r="N5092" s="43">
        <f>IF($I5092=0,0,MIN(SUMIFS(SondBetrag,SondDarl,11,SondDatum,"&gt;="&amp;$E5092,SondDatum,"&lt;="&amp;EOMONTH($E5092,0)),$J5092-$M5092))</f>
      </c>
      <c r="O5092" s="43">
        <f>IF($I5092=0,0,INDEX(DarlErsatzRate,11))</f>
      </c>
      <c r="P5092" s="43">
        <f>IF($I5092=0,0,$Q5091*INDEX(DarlErsatzZins,11))</f>
      </c>
      <c r="Q5092" s="43">
        <f>IF($I5092=0,0,$Q5091+$P5092+$O5092)</f>
      </c>
      <c r="R5092" s="43">
        <f>IF($I5092=0,0,$J5092-$M5092-$N5092)</f>
      </c>
    </row>
    <row r="5093">
      <c r="A5093"/>
      <c r="B5093">
        <v>11</v>
      </c>
      <c r="C5093" s="43">
        <f>INDEX(DarlObj,11)</f>
      </c>
      <c r="D5093">
        <v>290</v>
      </c>
      <c r="E5093" s="51">
        <f>IF(INDEX(DarlBelegt,11)=0,0,EOMONTH(INDEX(DarlAuszahlung,11),289)+1)</f>
      </c>
      <c r="F5093" s="43">
        <f>IF($E5093=0,0,YEAR($E5093))</f>
      </c>
      <c r="G5093" s="43">
        <f>IF(INDEX(DarlBindung,11)="",1,IF($E5093&lt;=INDEX(DarlBindung,11),1,0))</f>
      </c>
      <c r="H5093" s="43">
        <f>IF($G5093=1,INDEX(DarlSollzins,11),INDEX(DarlAnschluss,11))</f>
      </c>
      <c r="I5093" s="43">
        <f>IF(INDEX(DarlBelegt,11)=0,0,IF(INDEX(DarlOhneTilgung,11)=1,IF(INDEX(DarlBindung,11)="",1,$G5093),IF($J5093&gt;0.005,1,0)))</f>
      </c>
      <c r="J5093" s="43">
        <f>IF($I5092=0,0,$R5092)</f>
      </c>
      <c r="K5093" s="43">
        <f>IF($I5093=0,0,IF(INDEX(DarlOhneTilgung,11)=1,0,IF(AND(INDEX(DarlTilgStart,11)&gt;0,$E5093=INDEX(DarlTilgStart,11)),$J5093*($H5093+INDEX(DarlTilgung,11))/100/12,IF(AND($G5093=0,$G5092=1),MAX($K5092,$J5093*($H5093+1)/100/12),$K5092))))</f>
      </c>
      <c r="L5093" s="43">
        <f>IF($I5093=0,0,$J5093*$H5093/100/12)</f>
      </c>
      <c r="M5093" s="43">
        <f>IF($I5093=0,0,IF(OR(INDEX(DarlOhneTilgung,11)=1,AND(INDEX(DarlTilgStart,11)&gt;0,$E5093&lt;INDEX(DarlTilgStart,11))),0,MIN(MAX(0,$K5093-$L5093),$J5093)))</f>
      </c>
      <c r="N5093" s="43">
        <f>IF($I5093=0,0,MIN(SUMIFS(SondBetrag,SondDarl,11,SondDatum,"&gt;="&amp;$E5093,SondDatum,"&lt;="&amp;EOMONTH($E5093,0)),$J5093-$M5093))</f>
      </c>
      <c r="O5093" s="43">
        <f>IF($I5093=0,0,INDEX(DarlErsatzRate,11))</f>
      </c>
      <c r="P5093" s="43">
        <f>IF($I5093=0,0,$Q5092*INDEX(DarlErsatzZins,11))</f>
      </c>
      <c r="Q5093" s="43">
        <f>IF($I5093=0,0,$Q5092+$P5093+$O5093)</f>
      </c>
      <c r="R5093" s="43">
        <f>IF($I5093=0,0,$J5093-$M5093-$N5093)</f>
      </c>
    </row>
    <row r="5094">
      <c r="A5094"/>
      <c r="B5094">
        <v>11</v>
      </c>
      <c r="C5094" s="43">
        <f>INDEX(DarlObj,11)</f>
      </c>
      <c r="D5094">
        <v>291</v>
      </c>
      <c r="E5094" s="51">
        <f>IF(INDEX(DarlBelegt,11)=0,0,EOMONTH(INDEX(DarlAuszahlung,11),290)+1)</f>
      </c>
      <c r="F5094" s="43">
        <f>IF($E5094=0,0,YEAR($E5094))</f>
      </c>
      <c r="G5094" s="43">
        <f>IF(INDEX(DarlBindung,11)="",1,IF($E5094&lt;=INDEX(DarlBindung,11),1,0))</f>
      </c>
      <c r="H5094" s="43">
        <f>IF($G5094=1,INDEX(DarlSollzins,11),INDEX(DarlAnschluss,11))</f>
      </c>
      <c r="I5094" s="43">
        <f>IF(INDEX(DarlBelegt,11)=0,0,IF(INDEX(DarlOhneTilgung,11)=1,IF(INDEX(DarlBindung,11)="",1,$G5094),IF($J5094&gt;0.005,1,0)))</f>
      </c>
      <c r="J5094" s="43">
        <f>IF($I5093=0,0,$R5093)</f>
      </c>
      <c r="K5094" s="43">
        <f>IF($I5094=0,0,IF(INDEX(DarlOhneTilgung,11)=1,0,IF(AND(INDEX(DarlTilgStart,11)&gt;0,$E5094=INDEX(DarlTilgStart,11)),$J5094*($H5094+INDEX(DarlTilgung,11))/100/12,IF(AND($G5094=0,$G5093=1),MAX($K5093,$J5094*($H5094+1)/100/12),$K5093))))</f>
      </c>
      <c r="L5094" s="43">
        <f>IF($I5094=0,0,$J5094*$H5094/100/12)</f>
      </c>
      <c r="M5094" s="43">
        <f>IF($I5094=0,0,IF(OR(INDEX(DarlOhneTilgung,11)=1,AND(INDEX(DarlTilgStart,11)&gt;0,$E5094&lt;INDEX(DarlTilgStart,11))),0,MIN(MAX(0,$K5094-$L5094),$J5094)))</f>
      </c>
      <c r="N5094" s="43">
        <f>IF($I5094=0,0,MIN(SUMIFS(SondBetrag,SondDarl,11,SondDatum,"&gt;="&amp;$E5094,SondDatum,"&lt;="&amp;EOMONTH($E5094,0)),$J5094-$M5094))</f>
      </c>
      <c r="O5094" s="43">
        <f>IF($I5094=0,0,INDEX(DarlErsatzRate,11))</f>
      </c>
      <c r="P5094" s="43">
        <f>IF($I5094=0,0,$Q5093*INDEX(DarlErsatzZins,11))</f>
      </c>
      <c r="Q5094" s="43">
        <f>IF($I5094=0,0,$Q5093+$P5094+$O5094)</f>
      </c>
      <c r="R5094" s="43">
        <f>IF($I5094=0,0,$J5094-$M5094-$N5094)</f>
      </c>
    </row>
    <row r="5095">
      <c r="A5095"/>
      <c r="B5095">
        <v>11</v>
      </c>
      <c r="C5095" s="43">
        <f>INDEX(DarlObj,11)</f>
      </c>
      <c r="D5095">
        <v>292</v>
      </c>
      <c r="E5095" s="51">
        <f>IF(INDEX(DarlBelegt,11)=0,0,EOMONTH(INDEX(DarlAuszahlung,11),291)+1)</f>
      </c>
      <c r="F5095" s="43">
        <f>IF($E5095=0,0,YEAR($E5095))</f>
      </c>
      <c r="G5095" s="43">
        <f>IF(INDEX(DarlBindung,11)="",1,IF($E5095&lt;=INDEX(DarlBindung,11),1,0))</f>
      </c>
      <c r="H5095" s="43">
        <f>IF($G5095=1,INDEX(DarlSollzins,11),INDEX(DarlAnschluss,11))</f>
      </c>
      <c r="I5095" s="43">
        <f>IF(INDEX(DarlBelegt,11)=0,0,IF(INDEX(DarlOhneTilgung,11)=1,IF(INDEX(DarlBindung,11)="",1,$G5095),IF($J5095&gt;0.005,1,0)))</f>
      </c>
      <c r="J5095" s="43">
        <f>IF($I5094=0,0,$R5094)</f>
      </c>
      <c r="K5095" s="43">
        <f>IF($I5095=0,0,IF(INDEX(DarlOhneTilgung,11)=1,0,IF(AND(INDEX(DarlTilgStart,11)&gt;0,$E5095=INDEX(DarlTilgStart,11)),$J5095*($H5095+INDEX(DarlTilgung,11))/100/12,IF(AND($G5095=0,$G5094=1),MAX($K5094,$J5095*($H5095+1)/100/12),$K5094))))</f>
      </c>
      <c r="L5095" s="43">
        <f>IF($I5095=0,0,$J5095*$H5095/100/12)</f>
      </c>
      <c r="M5095" s="43">
        <f>IF($I5095=0,0,IF(OR(INDEX(DarlOhneTilgung,11)=1,AND(INDEX(DarlTilgStart,11)&gt;0,$E5095&lt;INDEX(DarlTilgStart,11))),0,MIN(MAX(0,$K5095-$L5095),$J5095)))</f>
      </c>
      <c r="N5095" s="43">
        <f>IF($I5095=0,0,MIN(SUMIFS(SondBetrag,SondDarl,11,SondDatum,"&gt;="&amp;$E5095,SondDatum,"&lt;="&amp;EOMONTH($E5095,0)),$J5095-$M5095))</f>
      </c>
      <c r="O5095" s="43">
        <f>IF($I5095=0,0,INDEX(DarlErsatzRate,11))</f>
      </c>
      <c r="P5095" s="43">
        <f>IF($I5095=0,0,$Q5094*INDEX(DarlErsatzZins,11))</f>
      </c>
      <c r="Q5095" s="43">
        <f>IF($I5095=0,0,$Q5094+$P5095+$O5095)</f>
      </c>
      <c r="R5095" s="43">
        <f>IF($I5095=0,0,$J5095-$M5095-$N5095)</f>
      </c>
    </row>
    <row r="5096">
      <c r="A5096"/>
      <c r="B5096">
        <v>11</v>
      </c>
      <c r="C5096" s="43">
        <f>INDEX(DarlObj,11)</f>
      </c>
      <c r="D5096">
        <v>293</v>
      </c>
      <c r="E5096" s="51">
        <f>IF(INDEX(DarlBelegt,11)=0,0,EOMONTH(INDEX(DarlAuszahlung,11),292)+1)</f>
      </c>
      <c r="F5096" s="43">
        <f>IF($E5096=0,0,YEAR($E5096))</f>
      </c>
      <c r="G5096" s="43">
        <f>IF(INDEX(DarlBindung,11)="",1,IF($E5096&lt;=INDEX(DarlBindung,11),1,0))</f>
      </c>
      <c r="H5096" s="43">
        <f>IF($G5096=1,INDEX(DarlSollzins,11),INDEX(DarlAnschluss,11))</f>
      </c>
      <c r="I5096" s="43">
        <f>IF(INDEX(DarlBelegt,11)=0,0,IF(INDEX(DarlOhneTilgung,11)=1,IF(INDEX(DarlBindung,11)="",1,$G5096),IF($J5096&gt;0.005,1,0)))</f>
      </c>
      <c r="J5096" s="43">
        <f>IF($I5095=0,0,$R5095)</f>
      </c>
      <c r="K5096" s="43">
        <f>IF($I5096=0,0,IF(INDEX(DarlOhneTilgung,11)=1,0,IF(AND(INDEX(DarlTilgStart,11)&gt;0,$E5096=INDEX(DarlTilgStart,11)),$J5096*($H5096+INDEX(DarlTilgung,11))/100/12,IF(AND($G5096=0,$G5095=1),MAX($K5095,$J5096*($H5096+1)/100/12),$K5095))))</f>
      </c>
      <c r="L5096" s="43">
        <f>IF($I5096=0,0,$J5096*$H5096/100/12)</f>
      </c>
      <c r="M5096" s="43">
        <f>IF($I5096=0,0,IF(OR(INDEX(DarlOhneTilgung,11)=1,AND(INDEX(DarlTilgStart,11)&gt;0,$E5096&lt;INDEX(DarlTilgStart,11))),0,MIN(MAX(0,$K5096-$L5096),$J5096)))</f>
      </c>
      <c r="N5096" s="43">
        <f>IF($I5096=0,0,MIN(SUMIFS(SondBetrag,SondDarl,11,SondDatum,"&gt;="&amp;$E5096,SondDatum,"&lt;="&amp;EOMONTH($E5096,0)),$J5096-$M5096))</f>
      </c>
      <c r="O5096" s="43">
        <f>IF($I5096=0,0,INDEX(DarlErsatzRate,11))</f>
      </c>
      <c r="P5096" s="43">
        <f>IF($I5096=0,0,$Q5095*INDEX(DarlErsatzZins,11))</f>
      </c>
      <c r="Q5096" s="43">
        <f>IF($I5096=0,0,$Q5095+$P5096+$O5096)</f>
      </c>
      <c r="R5096" s="43">
        <f>IF($I5096=0,0,$J5096-$M5096-$N5096)</f>
      </c>
    </row>
    <row r="5097">
      <c r="A5097"/>
      <c r="B5097">
        <v>11</v>
      </c>
      <c r="C5097" s="43">
        <f>INDEX(DarlObj,11)</f>
      </c>
      <c r="D5097">
        <v>294</v>
      </c>
      <c r="E5097" s="51">
        <f>IF(INDEX(DarlBelegt,11)=0,0,EOMONTH(INDEX(DarlAuszahlung,11),293)+1)</f>
      </c>
      <c r="F5097" s="43">
        <f>IF($E5097=0,0,YEAR($E5097))</f>
      </c>
      <c r="G5097" s="43">
        <f>IF(INDEX(DarlBindung,11)="",1,IF($E5097&lt;=INDEX(DarlBindung,11),1,0))</f>
      </c>
      <c r="H5097" s="43">
        <f>IF($G5097=1,INDEX(DarlSollzins,11),INDEX(DarlAnschluss,11))</f>
      </c>
      <c r="I5097" s="43">
        <f>IF(INDEX(DarlBelegt,11)=0,0,IF(INDEX(DarlOhneTilgung,11)=1,IF(INDEX(DarlBindung,11)="",1,$G5097),IF($J5097&gt;0.005,1,0)))</f>
      </c>
      <c r="J5097" s="43">
        <f>IF($I5096=0,0,$R5096)</f>
      </c>
      <c r="K5097" s="43">
        <f>IF($I5097=0,0,IF(INDEX(DarlOhneTilgung,11)=1,0,IF(AND(INDEX(DarlTilgStart,11)&gt;0,$E5097=INDEX(DarlTilgStart,11)),$J5097*($H5097+INDEX(DarlTilgung,11))/100/12,IF(AND($G5097=0,$G5096=1),MAX($K5096,$J5097*($H5097+1)/100/12),$K5096))))</f>
      </c>
      <c r="L5097" s="43">
        <f>IF($I5097=0,0,$J5097*$H5097/100/12)</f>
      </c>
      <c r="M5097" s="43">
        <f>IF($I5097=0,0,IF(OR(INDEX(DarlOhneTilgung,11)=1,AND(INDEX(DarlTilgStart,11)&gt;0,$E5097&lt;INDEX(DarlTilgStart,11))),0,MIN(MAX(0,$K5097-$L5097),$J5097)))</f>
      </c>
      <c r="N5097" s="43">
        <f>IF($I5097=0,0,MIN(SUMIFS(SondBetrag,SondDarl,11,SondDatum,"&gt;="&amp;$E5097,SondDatum,"&lt;="&amp;EOMONTH($E5097,0)),$J5097-$M5097))</f>
      </c>
      <c r="O5097" s="43">
        <f>IF($I5097=0,0,INDEX(DarlErsatzRate,11))</f>
      </c>
      <c r="P5097" s="43">
        <f>IF($I5097=0,0,$Q5096*INDEX(DarlErsatzZins,11))</f>
      </c>
      <c r="Q5097" s="43">
        <f>IF($I5097=0,0,$Q5096+$P5097+$O5097)</f>
      </c>
      <c r="R5097" s="43">
        <f>IF($I5097=0,0,$J5097-$M5097-$N5097)</f>
      </c>
    </row>
    <row r="5098">
      <c r="A5098"/>
      <c r="B5098">
        <v>11</v>
      </c>
      <c r="C5098" s="43">
        <f>INDEX(DarlObj,11)</f>
      </c>
      <c r="D5098">
        <v>295</v>
      </c>
      <c r="E5098" s="51">
        <f>IF(INDEX(DarlBelegt,11)=0,0,EOMONTH(INDEX(DarlAuszahlung,11),294)+1)</f>
      </c>
      <c r="F5098" s="43">
        <f>IF($E5098=0,0,YEAR($E5098))</f>
      </c>
      <c r="G5098" s="43">
        <f>IF(INDEX(DarlBindung,11)="",1,IF($E5098&lt;=INDEX(DarlBindung,11),1,0))</f>
      </c>
      <c r="H5098" s="43">
        <f>IF($G5098=1,INDEX(DarlSollzins,11),INDEX(DarlAnschluss,11))</f>
      </c>
      <c r="I5098" s="43">
        <f>IF(INDEX(DarlBelegt,11)=0,0,IF(INDEX(DarlOhneTilgung,11)=1,IF(INDEX(DarlBindung,11)="",1,$G5098),IF($J5098&gt;0.005,1,0)))</f>
      </c>
      <c r="J5098" s="43">
        <f>IF($I5097=0,0,$R5097)</f>
      </c>
      <c r="K5098" s="43">
        <f>IF($I5098=0,0,IF(INDEX(DarlOhneTilgung,11)=1,0,IF(AND(INDEX(DarlTilgStart,11)&gt;0,$E5098=INDEX(DarlTilgStart,11)),$J5098*($H5098+INDEX(DarlTilgung,11))/100/12,IF(AND($G5098=0,$G5097=1),MAX($K5097,$J5098*($H5098+1)/100/12),$K5097))))</f>
      </c>
      <c r="L5098" s="43">
        <f>IF($I5098=0,0,$J5098*$H5098/100/12)</f>
      </c>
      <c r="M5098" s="43">
        <f>IF($I5098=0,0,IF(OR(INDEX(DarlOhneTilgung,11)=1,AND(INDEX(DarlTilgStart,11)&gt;0,$E5098&lt;INDEX(DarlTilgStart,11))),0,MIN(MAX(0,$K5098-$L5098),$J5098)))</f>
      </c>
      <c r="N5098" s="43">
        <f>IF($I5098=0,0,MIN(SUMIFS(SondBetrag,SondDarl,11,SondDatum,"&gt;="&amp;$E5098,SondDatum,"&lt;="&amp;EOMONTH($E5098,0)),$J5098-$M5098))</f>
      </c>
      <c r="O5098" s="43">
        <f>IF($I5098=0,0,INDEX(DarlErsatzRate,11))</f>
      </c>
      <c r="P5098" s="43">
        <f>IF($I5098=0,0,$Q5097*INDEX(DarlErsatzZins,11))</f>
      </c>
      <c r="Q5098" s="43">
        <f>IF($I5098=0,0,$Q5097+$P5098+$O5098)</f>
      </c>
      <c r="R5098" s="43">
        <f>IF($I5098=0,0,$J5098-$M5098-$N5098)</f>
      </c>
    </row>
    <row r="5099">
      <c r="A5099"/>
      <c r="B5099">
        <v>11</v>
      </c>
      <c r="C5099" s="43">
        <f>INDEX(DarlObj,11)</f>
      </c>
      <c r="D5099">
        <v>296</v>
      </c>
      <c r="E5099" s="51">
        <f>IF(INDEX(DarlBelegt,11)=0,0,EOMONTH(INDEX(DarlAuszahlung,11),295)+1)</f>
      </c>
      <c r="F5099" s="43">
        <f>IF($E5099=0,0,YEAR($E5099))</f>
      </c>
      <c r="G5099" s="43">
        <f>IF(INDEX(DarlBindung,11)="",1,IF($E5099&lt;=INDEX(DarlBindung,11),1,0))</f>
      </c>
      <c r="H5099" s="43">
        <f>IF($G5099=1,INDEX(DarlSollzins,11),INDEX(DarlAnschluss,11))</f>
      </c>
      <c r="I5099" s="43">
        <f>IF(INDEX(DarlBelegt,11)=0,0,IF(INDEX(DarlOhneTilgung,11)=1,IF(INDEX(DarlBindung,11)="",1,$G5099),IF($J5099&gt;0.005,1,0)))</f>
      </c>
      <c r="J5099" s="43">
        <f>IF($I5098=0,0,$R5098)</f>
      </c>
      <c r="K5099" s="43">
        <f>IF($I5099=0,0,IF(INDEX(DarlOhneTilgung,11)=1,0,IF(AND(INDEX(DarlTilgStart,11)&gt;0,$E5099=INDEX(DarlTilgStart,11)),$J5099*($H5099+INDEX(DarlTilgung,11))/100/12,IF(AND($G5099=0,$G5098=1),MAX($K5098,$J5099*($H5099+1)/100/12),$K5098))))</f>
      </c>
      <c r="L5099" s="43">
        <f>IF($I5099=0,0,$J5099*$H5099/100/12)</f>
      </c>
      <c r="M5099" s="43">
        <f>IF($I5099=0,0,IF(OR(INDEX(DarlOhneTilgung,11)=1,AND(INDEX(DarlTilgStart,11)&gt;0,$E5099&lt;INDEX(DarlTilgStart,11))),0,MIN(MAX(0,$K5099-$L5099),$J5099)))</f>
      </c>
      <c r="N5099" s="43">
        <f>IF($I5099=0,0,MIN(SUMIFS(SondBetrag,SondDarl,11,SondDatum,"&gt;="&amp;$E5099,SondDatum,"&lt;="&amp;EOMONTH($E5099,0)),$J5099-$M5099))</f>
      </c>
      <c r="O5099" s="43">
        <f>IF($I5099=0,0,INDEX(DarlErsatzRate,11))</f>
      </c>
      <c r="P5099" s="43">
        <f>IF($I5099=0,0,$Q5098*INDEX(DarlErsatzZins,11))</f>
      </c>
      <c r="Q5099" s="43">
        <f>IF($I5099=0,0,$Q5098+$P5099+$O5099)</f>
      </c>
      <c r="R5099" s="43">
        <f>IF($I5099=0,0,$J5099-$M5099-$N5099)</f>
      </c>
    </row>
    <row r="5100">
      <c r="A5100"/>
      <c r="B5100">
        <v>11</v>
      </c>
      <c r="C5100" s="43">
        <f>INDEX(DarlObj,11)</f>
      </c>
      <c r="D5100">
        <v>297</v>
      </c>
      <c r="E5100" s="51">
        <f>IF(INDEX(DarlBelegt,11)=0,0,EOMONTH(INDEX(DarlAuszahlung,11),296)+1)</f>
      </c>
      <c r="F5100" s="43">
        <f>IF($E5100=0,0,YEAR($E5100))</f>
      </c>
      <c r="G5100" s="43">
        <f>IF(INDEX(DarlBindung,11)="",1,IF($E5100&lt;=INDEX(DarlBindung,11),1,0))</f>
      </c>
      <c r="H5100" s="43">
        <f>IF($G5100=1,INDEX(DarlSollzins,11),INDEX(DarlAnschluss,11))</f>
      </c>
      <c r="I5100" s="43">
        <f>IF(INDEX(DarlBelegt,11)=0,0,IF(INDEX(DarlOhneTilgung,11)=1,IF(INDEX(DarlBindung,11)="",1,$G5100),IF($J5100&gt;0.005,1,0)))</f>
      </c>
      <c r="J5100" s="43">
        <f>IF($I5099=0,0,$R5099)</f>
      </c>
      <c r="K5100" s="43">
        <f>IF($I5100=0,0,IF(INDEX(DarlOhneTilgung,11)=1,0,IF(AND(INDEX(DarlTilgStart,11)&gt;0,$E5100=INDEX(DarlTilgStart,11)),$J5100*($H5100+INDEX(DarlTilgung,11))/100/12,IF(AND($G5100=0,$G5099=1),MAX($K5099,$J5100*($H5100+1)/100/12),$K5099))))</f>
      </c>
      <c r="L5100" s="43">
        <f>IF($I5100=0,0,$J5100*$H5100/100/12)</f>
      </c>
      <c r="M5100" s="43">
        <f>IF($I5100=0,0,IF(OR(INDEX(DarlOhneTilgung,11)=1,AND(INDEX(DarlTilgStart,11)&gt;0,$E5100&lt;INDEX(DarlTilgStart,11))),0,MIN(MAX(0,$K5100-$L5100),$J5100)))</f>
      </c>
      <c r="N5100" s="43">
        <f>IF($I5100=0,0,MIN(SUMIFS(SondBetrag,SondDarl,11,SondDatum,"&gt;="&amp;$E5100,SondDatum,"&lt;="&amp;EOMONTH($E5100,0)),$J5100-$M5100))</f>
      </c>
      <c r="O5100" s="43">
        <f>IF($I5100=0,0,INDEX(DarlErsatzRate,11))</f>
      </c>
      <c r="P5100" s="43">
        <f>IF($I5100=0,0,$Q5099*INDEX(DarlErsatzZins,11))</f>
      </c>
      <c r="Q5100" s="43">
        <f>IF($I5100=0,0,$Q5099+$P5100+$O5100)</f>
      </c>
      <c r="R5100" s="43">
        <f>IF($I5100=0,0,$J5100-$M5100-$N5100)</f>
      </c>
    </row>
    <row r="5101">
      <c r="A5101"/>
      <c r="B5101">
        <v>11</v>
      </c>
      <c r="C5101" s="43">
        <f>INDEX(DarlObj,11)</f>
      </c>
      <c r="D5101">
        <v>298</v>
      </c>
      <c r="E5101" s="51">
        <f>IF(INDEX(DarlBelegt,11)=0,0,EOMONTH(INDEX(DarlAuszahlung,11),297)+1)</f>
      </c>
      <c r="F5101" s="43">
        <f>IF($E5101=0,0,YEAR($E5101))</f>
      </c>
      <c r="G5101" s="43">
        <f>IF(INDEX(DarlBindung,11)="",1,IF($E5101&lt;=INDEX(DarlBindung,11),1,0))</f>
      </c>
      <c r="H5101" s="43">
        <f>IF($G5101=1,INDEX(DarlSollzins,11),INDEX(DarlAnschluss,11))</f>
      </c>
      <c r="I5101" s="43">
        <f>IF(INDEX(DarlBelegt,11)=0,0,IF(INDEX(DarlOhneTilgung,11)=1,IF(INDEX(DarlBindung,11)="",1,$G5101),IF($J5101&gt;0.005,1,0)))</f>
      </c>
      <c r="J5101" s="43">
        <f>IF($I5100=0,0,$R5100)</f>
      </c>
      <c r="K5101" s="43">
        <f>IF($I5101=0,0,IF(INDEX(DarlOhneTilgung,11)=1,0,IF(AND(INDEX(DarlTilgStart,11)&gt;0,$E5101=INDEX(DarlTilgStart,11)),$J5101*($H5101+INDEX(DarlTilgung,11))/100/12,IF(AND($G5101=0,$G5100=1),MAX($K5100,$J5101*($H5101+1)/100/12),$K5100))))</f>
      </c>
      <c r="L5101" s="43">
        <f>IF($I5101=0,0,$J5101*$H5101/100/12)</f>
      </c>
      <c r="M5101" s="43">
        <f>IF($I5101=0,0,IF(OR(INDEX(DarlOhneTilgung,11)=1,AND(INDEX(DarlTilgStart,11)&gt;0,$E5101&lt;INDEX(DarlTilgStart,11))),0,MIN(MAX(0,$K5101-$L5101),$J5101)))</f>
      </c>
      <c r="N5101" s="43">
        <f>IF($I5101=0,0,MIN(SUMIFS(SondBetrag,SondDarl,11,SondDatum,"&gt;="&amp;$E5101,SondDatum,"&lt;="&amp;EOMONTH($E5101,0)),$J5101-$M5101))</f>
      </c>
      <c r="O5101" s="43">
        <f>IF($I5101=0,0,INDEX(DarlErsatzRate,11))</f>
      </c>
      <c r="P5101" s="43">
        <f>IF($I5101=0,0,$Q5100*INDEX(DarlErsatzZins,11))</f>
      </c>
      <c r="Q5101" s="43">
        <f>IF($I5101=0,0,$Q5100+$P5101+$O5101)</f>
      </c>
      <c r="R5101" s="43">
        <f>IF($I5101=0,0,$J5101-$M5101-$N5101)</f>
      </c>
    </row>
    <row r="5102">
      <c r="A5102"/>
      <c r="B5102">
        <v>11</v>
      </c>
      <c r="C5102" s="43">
        <f>INDEX(DarlObj,11)</f>
      </c>
      <c r="D5102">
        <v>299</v>
      </c>
      <c r="E5102" s="51">
        <f>IF(INDEX(DarlBelegt,11)=0,0,EOMONTH(INDEX(DarlAuszahlung,11),298)+1)</f>
      </c>
      <c r="F5102" s="43">
        <f>IF($E5102=0,0,YEAR($E5102))</f>
      </c>
      <c r="G5102" s="43">
        <f>IF(INDEX(DarlBindung,11)="",1,IF($E5102&lt;=INDEX(DarlBindung,11),1,0))</f>
      </c>
      <c r="H5102" s="43">
        <f>IF($G5102=1,INDEX(DarlSollzins,11),INDEX(DarlAnschluss,11))</f>
      </c>
      <c r="I5102" s="43">
        <f>IF(INDEX(DarlBelegt,11)=0,0,IF(INDEX(DarlOhneTilgung,11)=1,IF(INDEX(DarlBindung,11)="",1,$G5102),IF($J5102&gt;0.005,1,0)))</f>
      </c>
      <c r="J5102" s="43">
        <f>IF($I5101=0,0,$R5101)</f>
      </c>
      <c r="K5102" s="43">
        <f>IF($I5102=0,0,IF(INDEX(DarlOhneTilgung,11)=1,0,IF(AND(INDEX(DarlTilgStart,11)&gt;0,$E5102=INDEX(DarlTilgStart,11)),$J5102*($H5102+INDEX(DarlTilgung,11))/100/12,IF(AND($G5102=0,$G5101=1),MAX($K5101,$J5102*($H5102+1)/100/12),$K5101))))</f>
      </c>
      <c r="L5102" s="43">
        <f>IF($I5102=0,0,$J5102*$H5102/100/12)</f>
      </c>
      <c r="M5102" s="43">
        <f>IF($I5102=0,0,IF(OR(INDEX(DarlOhneTilgung,11)=1,AND(INDEX(DarlTilgStart,11)&gt;0,$E5102&lt;INDEX(DarlTilgStart,11))),0,MIN(MAX(0,$K5102-$L5102),$J5102)))</f>
      </c>
      <c r="N5102" s="43">
        <f>IF($I5102=0,0,MIN(SUMIFS(SondBetrag,SondDarl,11,SondDatum,"&gt;="&amp;$E5102,SondDatum,"&lt;="&amp;EOMONTH($E5102,0)),$J5102-$M5102))</f>
      </c>
      <c r="O5102" s="43">
        <f>IF($I5102=0,0,INDEX(DarlErsatzRate,11))</f>
      </c>
      <c r="P5102" s="43">
        <f>IF($I5102=0,0,$Q5101*INDEX(DarlErsatzZins,11))</f>
      </c>
      <c r="Q5102" s="43">
        <f>IF($I5102=0,0,$Q5101+$P5102+$O5102)</f>
      </c>
      <c r="R5102" s="43">
        <f>IF($I5102=0,0,$J5102-$M5102-$N5102)</f>
      </c>
    </row>
    <row r="5103">
      <c r="A5103"/>
      <c r="B5103">
        <v>11</v>
      </c>
      <c r="C5103" s="43">
        <f>INDEX(DarlObj,11)</f>
      </c>
      <c r="D5103">
        <v>300</v>
      </c>
      <c r="E5103" s="51">
        <f>IF(INDEX(DarlBelegt,11)=0,0,EOMONTH(INDEX(DarlAuszahlung,11),299)+1)</f>
      </c>
      <c r="F5103" s="43">
        <f>IF($E5103=0,0,YEAR($E5103))</f>
      </c>
      <c r="G5103" s="43">
        <f>IF(INDEX(DarlBindung,11)="",1,IF($E5103&lt;=INDEX(DarlBindung,11),1,0))</f>
      </c>
      <c r="H5103" s="43">
        <f>IF($G5103=1,INDEX(DarlSollzins,11),INDEX(DarlAnschluss,11))</f>
      </c>
      <c r="I5103" s="43">
        <f>IF(INDEX(DarlBelegt,11)=0,0,IF(INDEX(DarlOhneTilgung,11)=1,IF(INDEX(DarlBindung,11)="",1,$G5103),IF($J5103&gt;0.005,1,0)))</f>
      </c>
      <c r="J5103" s="43">
        <f>IF($I5102=0,0,$R5102)</f>
      </c>
      <c r="K5103" s="43">
        <f>IF($I5103=0,0,IF(INDEX(DarlOhneTilgung,11)=1,0,IF(AND(INDEX(DarlTilgStart,11)&gt;0,$E5103=INDEX(DarlTilgStart,11)),$J5103*($H5103+INDEX(DarlTilgung,11))/100/12,IF(AND($G5103=0,$G5102=1),MAX($K5102,$J5103*($H5103+1)/100/12),$K5102))))</f>
      </c>
      <c r="L5103" s="43">
        <f>IF($I5103=0,0,$J5103*$H5103/100/12)</f>
      </c>
      <c r="M5103" s="43">
        <f>IF($I5103=0,0,IF(OR(INDEX(DarlOhneTilgung,11)=1,AND(INDEX(DarlTilgStart,11)&gt;0,$E5103&lt;INDEX(DarlTilgStart,11))),0,MIN(MAX(0,$K5103-$L5103),$J5103)))</f>
      </c>
      <c r="N5103" s="43">
        <f>IF($I5103=0,0,MIN(SUMIFS(SondBetrag,SondDarl,11,SondDatum,"&gt;="&amp;$E5103,SondDatum,"&lt;="&amp;EOMONTH($E5103,0)),$J5103-$M5103))</f>
      </c>
      <c r="O5103" s="43">
        <f>IF($I5103=0,0,INDEX(DarlErsatzRate,11))</f>
      </c>
      <c r="P5103" s="43">
        <f>IF($I5103=0,0,$Q5102*INDEX(DarlErsatzZins,11))</f>
      </c>
      <c r="Q5103" s="43">
        <f>IF($I5103=0,0,$Q5102+$P5103+$O5103)</f>
      </c>
      <c r="R5103" s="43">
        <f>IF($I5103=0,0,$J5103-$M5103-$N5103)</f>
      </c>
    </row>
    <row r="5104">
      <c r="A5104"/>
      <c r="B5104">
        <v>11</v>
      </c>
      <c r="C5104" s="43">
        <f>INDEX(DarlObj,11)</f>
      </c>
      <c r="D5104">
        <v>301</v>
      </c>
      <c r="E5104" s="51">
        <f>IF(INDEX(DarlBelegt,11)=0,0,EOMONTH(INDEX(DarlAuszahlung,11),300)+1)</f>
      </c>
      <c r="F5104" s="43">
        <f>IF($E5104=0,0,YEAR($E5104))</f>
      </c>
      <c r="G5104" s="43">
        <f>IF(INDEX(DarlBindung,11)="",1,IF($E5104&lt;=INDEX(DarlBindung,11),1,0))</f>
      </c>
      <c r="H5104" s="43">
        <f>IF($G5104=1,INDEX(DarlSollzins,11),INDEX(DarlAnschluss,11))</f>
      </c>
      <c r="I5104" s="43">
        <f>IF(INDEX(DarlBelegt,11)=0,0,IF(INDEX(DarlOhneTilgung,11)=1,IF(INDEX(DarlBindung,11)="",1,$G5104),IF($J5104&gt;0.005,1,0)))</f>
      </c>
      <c r="J5104" s="43">
        <f>IF($I5103=0,0,$R5103)</f>
      </c>
      <c r="K5104" s="43">
        <f>IF($I5104=0,0,IF(INDEX(DarlOhneTilgung,11)=1,0,IF(AND(INDEX(DarlTilgStart,11)&gt;0,$E5104=INDEX(DarlTilgStart,11)),$J5104*($H5104+INDEX(DarlTilgung,11))/100/12,IF(AND($G5104=0,$G5103=1),MAX($K5103,$J5104*($H5104+1)/100/12),$K5103))))</f>
      </c>
      <c r="L5104" s="43">
        <f>IF($I5104=0,0,$J5104*$H5104/100/12)</f>
      </c>
      <c r="M5104" s="43">
        <f>IF($I5104=0,0,IF(OR(INDEX(DarlOhneTilgung,11)=1,AND(INDEX(DarlTilgStart,11)&gt;0,$E5104&lt;INDEX(DarlTilgStart,11))),0,MIN(MAX(0,$K5104-$L5104),$J5104)))</f>
      </c>
      <c r="N5104" s="43">
        <f>IF($I5104=0,0,MIN(SUMIFS(SondBetrag,SondDarl,11,SondDatum,"&gt;="&amp;$E5104,SondDatum,"&lt;="&amp;EOMONTH($E5104,0)),$J5104-$M5104))</f>
      </c>
      <c r="O5104" s="43">
        <f>IF($I5104=0,0,INDEX(DarlErsatzRate,11))</f>
      </c>
      <c r="P5104" s="43">
        <f>IF($I5104=0,0,$Q5103*INDEX(DarlErsatzZins,11))</f>
      </c>
      <c r="Q5104" s="43">
        <f>IF($I5104=0,0,$Q5103+$P5104+$O5104)</f>
      </c>
      <c r="R5104" s="43">
        <f>IF($I5104=0,0,$J5104-$M5104-$N5104)</f>
      </c>
    </row>
    <row r="5105">
      <c r="A5105"/>
      <c r="B5105">
        <v>11</v>
      </c>
      <c r="C5105" s="43">
        <f>INDEX(DarlObj,11)</f>
      </c>
      <c r="D5105">
        <v>302</v>
      </c>
      <c r="E5105" s="51">
        <f>IF(INDEX(DarlBelegt,11)=0,0,EOMONTH(INDEX(DarlAuszahlung,11),301)+1)</f>
      </c>
      <c r="F5105" s="43">
        <f>IF($E5105=0,0,YEAR($E5105))</f>
      </c>
      <c r="G5105" s="43">
        <f>IF(INDEX(DarlBindung,11)="",1,IF($E5105&lt;=INDEX(DarlBindung,11),1,0))</f>
      </c>
      <c r="H5105" s="43">
        <f>IF($G5105=1,INDEX(DarlSollzins,11),INDEX(DarlAnschluss,11))</f>
      </c>
      <c r="I5105" s="43">
        <f>IF(INDEX(DarlBelegt,11)=0,0,IF(INDEX(DarlOhneTilgung,11)=1,IF(INDEX(DarlBindung,11)="",1,$G5105),IF($J5105&gt;0.005,1,0)))</f>
      </c>
      <c r="J5105" s="43">
        <f>IF($I5104=0,0,$R5104)</f>
      </c>
      <c r="K5105" s="43">
        <f>IF($I5105=0,0,IF(INDEX(DarlOhneTilgung,11)=1,0,IF(AND(INDEX(DarlTilgStart,11)&gt;0,$E5105=INDEX(DarlTilgStart,11)),$J5105*($H5105+INDEX(DarlTilgung,11))/100/12,IF(AND($G5105=0,$G5104=1),MAX($K5104,$J5105*($H5105+1)/100/12),$K5104))))</f>
      </c>
      <c r="L5105" s="43">
        <f>IF($I5105=0,0,$J5105*$H5105/100/12)</f>
      </c>
      <c r="M5105" s="43">
        <f>IF($I5105=0,0,IF(OR(INDEX(DarlOhneTilgung,11)=1,AND(INDEX(DarlTilgStart,11)&gt;0,$E5105&lt;INDEX(DarlTilgStart,11))),0,MIN(MAX(0,$K5105-$L5105),$J5105)))</f>
      </c>
      <c r="N5105" s="43">
        <f>IF($I5105=0,0,MIN(SUMIFS(SondBetrag,SondDarl,11,SondDatum,"&gt;="&amp;$E5105,SondDatum,"&lt;="&amp;EOMONTH($E5105,0)),$J5105-$M5105))</f>
      </c>
      <c r="O5105" s="43">
        <f>IF($I5105=0,0,INDEX(DarlErsatzRate,11))</f>
      </c>
      <c r="P5105" s="43">
        <f>IF($I5105=0,0,$Q5104*INDEX(DarlErsatzZins,11))</f>
      </c>
      <c r="Q5105" s="43">
        <f>IF($I5105=0,0,$Q5104+$P5105+$O5105)</f>
      </c>
      <c r="R5105" s="43">
        <f>IF($I5105=0,0,$J5105-$M5105-$N5105)</f>
      </c>
    </row>
    <row r="5106">
      <c r="A5106"/>
      <c r="B5106">
        <v>11</v>
      </c>
      <c r="C5106" s="43">
        <f>INDEX(DarlObj,11)</f>
      </c>
      <c r="D5106">
        <v>303</v>
      </c>
      <c r="E5106" s="51">
        <f>IF(INDEX(DarlBelegt,11)=0,0,EOMONTH(INDEX(DarlAuszahlung,11),302)+1)</f>
      </c>
      <c r="F5106" s="43">
        <f>IF($E5106=0,0,YEAR($E5106))</f>
      </c>
      <c r="G5106" s="43">
        <f>IF(INDEX(DarlBindung,11)="",1,IF($E5106&lt;=INDEX(DarlBindung,11),1,0))</f>
      </c>
      <c r="H5106" s="43">
        <f>IF($G5106=1,INDEX(DarlSollzins,11),INDEX(DarlAnschluss,11))</f>
      </c>
      <c r="I5106" s="43">
        <f>IF(INDEX(DarlBelegt,11)=0,0,IF(INDEX(DarlOhneTilgung,11)=1,IF(INDEX(DarlBindung,11)="",1,$G5106),IF($J5106&gt;0.005,1,0)))</f>
      </c>
      <c r="J5106" s="43">
        <f>IF($I5105=0,0,$R5105)</f>
      </c>
      <c r="K5106" s="43">
        <f>IF($I5106=0,0,IF(INDEX(DarlOhneTilgung,11)=1,0,IF(AND(INDEX(DarlTilgStart,11)&gt;0,$E5106=INDEX(DarlTilgStart,11)),$J5106*($H5106+INDEX(DarlTilgung,11))/100/12,IF(AND($G5106=0,$G5105=1),MAX($K5105,$J5106*($H5106+1)/100/12),$K5105))))</f>
      </c>
      <c r="L5106" s="43">
        <f>IF($I5106=0,0,$J5106*$H5106/100/12)</f>
      </c>
      <c r="M5106" s="43">
        <f>IF($I5106=0,0,IF(OR(INDEX(DarlOhneTilgung,11)=1,AND(INDEX(DarlTilgStart,11)&gt;0,$E5106&lt;INDEX(DarlTilgStart,11))),0,MIN(MAX(0,$K5106-$L5106),$J5106)))</f>
      </c>
      <c r="N5106" s="43">
        <f>IF($I5106=0,0,MIN(SUMIFS(SondBetrag,SondDarl,11,SondDatum,"&gt;="&amp;$E5106,SondDatum,"&lt;="&amp;EOMONTH($E5106,0)),$J5106-$M5106))</f>
      </c>
      <c r="O5106" s="43">
        <f>IF($I5106=0,0,INDEX(DarlErsatzRate,11))</f>
      </c>
      <c r="P5106" s="43">
        <f>IF($I5106=0,0,$Q5105*INDEX(DarlErsatzZins,11))</f>
      </c>
      <c r="Q5106" s="43">
        <f>IF($I5106=0,0,$Q5105+$P5106+$O5106)</f>
      </c>
      <c r="R5106" s="43">
        <f>IF($I5106=0,0,$J5106-$M5106-$N5106)</f>
      </c>
    </row>
    <row r="5107">
      <c r="A5107"/>
      <c r="B5107">
        <v>11</v>
      </c>
      <c r="C5107" s="43">
        <f>INDEX(DarlObj,11)</f>
      </c>
      <c r="D5107">
        <v>304</v>
      </c>
      <c r="E5107" s="51">
        <f>IF(INDEX(DarlBelegt,11)=0,0,EOMONTH(INDEX(DarlAuszahlung,11),303)+1)</f>
      </c>
      <c r="F5107" s="43">
        <f>IF($E5107=0,0,YEAR($E5107))</f>
      </c>
      <c r="G5107" s="43">
        <f>IF(INDEX(DarlBindung,11)="",1,IF($E5107&lt;=INDEX(DarlBindung,11),1,0))</f>
      </c>
      <c r="H5107" s="43">
        <f>IF($G5107=1,INDEX(DarlSollzins,11),INDEX(DarlAnschluss,11))</f>
      </c>
      <c r="I5107" s="43">
        <f>IF(INDEX(DarlBelegt,11)=0,0,IF(INDEX(DarlOhneTilgung,11)=1,IF(INDEX(DarlBindung,11)="",1,$G5107),IF($J5107&gt;0.005,1,0)))</f>
      </c>
      <c r="J5107" s="43">
        <f>IF($I5106=0,0,$R5106)</f>
      </c>
      <c r="K5107" s="43">
        <f>IF($I5107=0,0,IF(INDEX(DarlOhneTilgung,11)=1,0,IF(AND(INDEX(DarlTilgStart,11)&gt;0,$E5107=INDEX(DarlTilgStart,11)),$J5107*($H5107+INDEX(DarlTilgung,11))/100/12,IF(AND($G5107=0,$G5106=1),MAX($K5106,$J5107*($H5107+1)/100/12),$K5106))))</f>
      </c>
      <c r="L5107" s="43">
        <f>IF($I5107=0,0,$J5107*$H5107/100/12)</f>
      </c>
      <c r="M5107" s="43">
        <f>IF($I5107=0,0,IF(OR(INDEX(DarlOhneTilgung,11)=1,AND(INDEX(DarlTilgStart,11)&gt;0,$E5107&lt;INDEX(DarlTilgStart,11))),0,MIN(MAX(0,$K5107-$L5107),$J5107)))</f>
      </c>
      <c r="N5107" s="43">
        <f>IF($I5107=0,0,MIN(SUMIFS(SondBetrag,SondDarl,11,SondDatum,"&gt;="&amp;$E5107,SondDatum,"&lt;="&amp;EOMONTH($E5107,0)),$J5107-$M5107))</f>
      </c>
      <c r="O5107" s="43">
        <f>IF($I5107=0,0,INDEX(DarlErsatzRate,11))</f>
      </c>
      <c r="P5107" s="43">
        <f>IF($I5107=0,0,$Q5106*INDEX(DarlErsatzZins,11))</f>
      </c>
      <c r="Q5107" s="43">
        <f>IF($I5107=0,0,$Q5106+$P5107+$O5107)</f>
      </c>
      <c r="R5107" s="43">
        <f>IF($I5107=0,0,$J5107-$M5107-$N5107)</f>
      </c>
    </row>
    <row r="5108">
      <c r="A5108"/>
      <c r="B5108">
        <v>11</v>
      </c>
      <c r="C5108" s="43">
        <f>INDEX(DarlObj,11)</f>
      </c>
      <c r="D5108">
        <v>305</v>
      </c>
      <c r="E5108" s="51">
        <f>IF(INDEX(DarlBelegt,11)=0,0,EOMONTH(INDEX(DarlAuszahlung,11),304)+1)</f>
      </c>
      <c r="F5108" s="43">
        <f>IF($E5108=0,0,YEAR($E5108))</f>
      </c>
      <c r="G5108" s="43">
        <f>IF(INDEX(DarlBindung,11)="",1,IF($E5108&lt;=INDEX(DarlBindung,11),1,0))</f>
      </c>
      <c r="H5108" s="43">
        <f>IF($G5108=1,INDEX(DarlSollzins,11),INDEX(DarlAnschluss,11))</f>
      </c>
      <c r="I5108" s="43">
        <f>IF(INDEX(DarlBelegt,11)=0,0,IF(INDEX(DarlOhneTilgung,11)=1,IF(INDEX(DarlBindung,11)="",1,$G5108),IF($J5108&gt;0.005,1,0)))</f>
      </c>
      <c r="J5108" s="43">
        <f>IF($I5107=0,0,$R5107)</f>
      </c>
      <c r="K5108" s="43">
        <f>IF($I5108=0,0,IF(INDEX(DarlOhneTilgung,11)=1,0,IF(AND(INDEX(DarlTilgStart,11)&gt;0,$E5108=INDEX(DarlTilgStart,11)),$J5108*($H5108+INDEX(DarlTilgung,11))/100/12,IF(AND($G5108=0,$G5107=1),MAX($K5107,$J5108*($H5108+1)/100/12),$K5107))))</f>
      </c>
      <c r="L5108" s="43">
        <f>IF($I5108=0,0,$J5108*$H5108/100/12)</f>
      </c>
      <c r="M5108" s="43">
        <f>IF($I5108=0,0,IF(OR(INDEX(DarlOhneTilgung,11)=1,AND(INDEX(DarlTilgStart,11)&gt;0,$E5108&lt;INDEX(DarlTilgStart,11))),0,MIN(MAX(0,$K5108-$L5108),$J5108)))</f>
      </c>
      <c r="N5108" s="43">
        <f>IF($I5108=0,0,MIN(SUMIFS(SondBetrag,SondDarl,11,SondDatum,"&gt;="&amp;$E5108,SondDatum,"&lt;="&amp;EOMONTH($E5108,0)),$J5108-$M5108))</f>
      </c>
      <c r="O5108" s="43">
        <f>IF($I5108=0,0,INDEX(DarlErsatzRate,11))</f>
      </c>
      <c r="P5108" s="43">
        <f>IF($I5108=0,0,$Q5107*INDEX(DarlErsatzZins,11))</f>
      </c>
      <c r="Q5108" s="43">
        <f>IF($I5108=0,0,$Q5107+$P5108+$O5108)</f>
      </c>
      <c r="R5108" s="43">
        <f>IF($I5108=0,0,$J5108-$M5108-$N5108)</f>
      </c>
    </row>
    <row r="5109">
      <c r="A5109"/>
      <c r="B5109">
        <v>11</v>
      </c>
      <c r="C5109" s="43">
        <f>INDEX(DarlObj,11)</f>
      </c>
      <c r="D5109">
        <v>306</v>
      </c>
      <c r="E5109" s="51">
        <f>IF(INDEX(DarlBelegt,11)=0,0,EOMONTH(INDEX(DarlAuszahlung,11),305)+1)</f>
      </c>
      <c r="F5109" s="43">
        <f>IF($E5109=0,0,YEAR($E5109))</f>
      </c>
      <c r="G5109" s="43">
        <f>IF(INDEX(DarlBindung,11)="",1,IF($E5109&lt;=INDEX(DarlBindung,11),1,0))</f>
      </c>
      <c r="H5109" s="43">
        <f>IF($G5109=1,INDEX(DarlSollzins,11),INDEX(DarlAnschluss,11))</f>
      </c>
      <c r="I5109" s="43">
        <f>IF(INDEX(DarlBelegt,11)=0,0,IF(INDEX(DarlOhneTilgung,11)=1,IF(INDEX(DarlBindung,11)="",1,$G5109),IF($J5109&gt;0.005,1,0)))</f>
      </c>
      <c r="J5109" s="43">
        <f>IF($I5108=0,0,$R5108)</f>
      </c>
      <c r="K5109" s="43">
        <f>IF($I5109=0,0,IF(INDEX(DarlOhneTilgung,11)=1,0,IF(AND(INDEX(DarlTilgStart,11)&gt;0,$E5109=INDEX(DarlTilgStart,11)),$J5109*($H5109+INDEX(DarlTilgung,11))/100/12,IF(AND($G5109=0,$G5108=1),MAX($K5108,$J5109*($H5109+1)/100/12),$K5108))))</f>
      </c>
      <c r="L5109" s="43">
        <f>IF($I5109=0,0,$J5109*$H5109/100/12)</f>
      </c>
      <c r="M5109" s="43">
        <f>IF($I5109=0,0,IF(OR(INDEX(DarlOhneTilgung,11)=1,AND(INDEX(DarlTilgStart,11)&gt;0,$E5109&lt;INDEX(DarlTilgStart,11))),0,MIN(MAX(0,$K5109-$L5109),$J5109)))</f>
      </c>
      <c r="N5109" s="43">
        <f>IF($I5109=0,0,MIN(SUMIFS(SondBetrag,SondDarl,11,SondDatum,"&gt;="&amp;$E5109,SondDatum,"&lt;="&amp;EOMONTH($E5109,0)),$J5109-$M5109))</f>
      </c>
      <c r="O5109" s="43">
        <f>IF($I5109=0,0,INDEX(DarlErsatzRate,11))</f>
      </c>
      <c r="P5109" s="43">
        <f>IF($I5109=0,0,$Q5108*INDEX(DarlErsatzZins,11))</f>
      </c>
      <c r="Q5109" s="43">
        <f>IF($I5109=0,0,$Q5108+$P5109+$O5109)</f>
      </c>
      <c r="R5109" s="43">
        <f>IF($I5109=0,0,$J5109-$M5109-$N5109)</f>
      </c>
    </row>
    <row r="5110">
      <c r="A5110"/>
      <c r="B5110">
        <v>11</v>
      </c>
      <c r="C5110" s="43">
        <f>INDEX(DarlObj,11)</f>
      </c>
      <c r="D5110">
        <v>307</v>
      </c>
      <c r="E5110" s="51">
        <f>IF(INDEX(DarlBelegt,11)=0,0,EOMONTH(INDEX(DarlAuszahlung,11),306)+1)</f>
      </c>
      <c r="F5110" s="43">
        <f>IF($E5110=0,0,YEAR($E5110))</f>
      </c>
      <c r="G5110" s="43">
        <f>IF(INDEX(DarlBindung,11)="",1,IF($E5110&lt;=INDEX(DarlBindung,11),1,0))</f>
      </c>
      <c r="H5110" s="43">
        <f>IF($G5110=1,INDEX(DarlSollzins,11),INDEX(DarlAnschluss,11))</f>
      </c>
      <c r="I5110" s="43">
        <f>IF(INDEX(DarlBelegt,11)=0,0,IF(INDEX(DarlOhneTilgung,11)=1,IF(INDEX(DarlBindung,11)="",1,$G5110),IF($J5110&gt;0.005,1,0)))</f>
      </c>
      <c r="J5110" s="43">
        <f>IF($I5109=0,0,$R5109)</f>
      </c>
      <c r="K5110" s="43">
        <f>IF($I5110=0,0,IF(INDEX(DarlOhneTilgung,11)=1,0,IF(AND(INDEX(DarlTilgStart,11)&gt;0,$E5110=INDEX(DarlTilgStart,11)),$J5110*($H5110+INDEX(DarlTilgung,11))/100/12,IF(AND($G5110=0,$G5109=1),MAX($K5109,$J5110*($H5110+1)/100/12),$K5109))))</f>
      </c>
      <c r="L5110" s="43">
        <f>IF($I5110=0,0,$J5110*$H5110/100/12)</f>
      </c>
      <c r="M5110" s="43">
        <f>IF($I5110=0,0,IF(OR(INDEX(DarlOhneTilgung,11)=1,AND(INDEX(DarlTilgStart,11)&gt;0,$E5110&lt;INDEX(DarlTilgStart,11))),0,MIN(MAX(0,$K5110-$L5110),$J5110)))</f>
      </c>
      <c r="N5110" s="43">
        <f>IF($I5110=0,0,MIN(SUMIFS(SondBetrag,SondDarl,11,SondDatum,"&gt;="&amp;$E5110,SondDatum,"&lt;="&amp;EOMONTH($E5110,0)),$J5110-$M5110))</f>
      </c>
      <c r="O5110" s="43">
        <f>IF($I5110=0,0,INDEX(DarlErsatzRate,11))</f>
      </c>
      <c r="P5110" s="43">
        <f>IF($I5110=0,0,$Q5109*INDEX(DarlErsatzZins,11))</f>
      </c>
      <c r="Q5110" s="43">
        <f>IF($I5110=0,0,$Q5109+$P5110+$O5110)</f>
      </c>
      <c r="R5110" s="43">
        <f>IF($I5110=0,0,$J5110-$M5110-$N5110)</f>
      </c>
    </row>
    <row r="5111">
      <c r="A5111"/>
      <c r="B5111">
        <v>11</v>
      </c>
      <c r="C5111" s="43">
        <f>INDEX(DarlObj,11)</f>
      </c>
      <c r="D5111">
        <v>308</v>
      </c>
      <c r="E5111" s="51">
        <f>IF(INDEX(DarlBelegt,11)=0,0,EOMONTH(INDEX(DarlAuszahlung,11),307)+1)</f>
      </c>
      <c r="F5111" s="43">
        <f>IF($E5111=0,0,YEAR($E5111))</f>
      </c>
      <c r="G5111" s="43">
        <f>IF(INDEX(DarlBindung,11)="",1,IF($E5111&lt;=INDEX(DarlBindung,11),1,0))</f>
      </c>
      <c r="H5111" s="43">
        <f>IF($G5111=1,INDEX(DarlSollzins,11),INDEX(DarlAnschluss,11))</f>
      </c>
      <c r="I5111" s="43">
        <f>IF(INDEX(DarlBelegt,11)=0,0,IF(INDEX(DarlOhneTilgung,11)=1,IF(INDEX(DarlBindung,11)="",1,$G5111),IF($J5111&gt;0.005,1,0)))</f>
      </c>
      <c r="J5111" s="43">
        <f>IF($I5110=0,0,$R5110)</f>
      </c>
      <c r="K5111" s="43">
        <f>IF($I5111=0,0,IF(INDEX(DarlOhneTilgung,11)=1,0,IF(AND(INDEX(DarlTilgStart,11)&gt;0,$E5111=INDEX(DarlTilgStart,11)),$J5111*($H5111+INDEX(DarlTilgung,11))/100/12,IF(AND($G5111=0,$G5110=1),MAX($K5110,$J5111*($H5111+1)/100/12),$K5110))))</f>
      </c>
      <c r="L5111" s="43">
        <f>IF($I5111=0,0,$J5111*$H5111/100/12)</f>
      </c>
      <c r="M5111" s="43">
        <f>IF($I5111=0,0,IF(OR(INDEX(DarlOhneTilgung,11)=1,AND(INDEX(DarlTilgStart,11)&gt;0,$E5111&lt;INDEX(DarlTilgStart,11))),0,MIN(MAX(0,$K5111-$L5111),$J5111)))</f>
      </c>
      <c r="N5111" s="43">
        <f>IF($I5111=0,0,MIN(SUMIFS(SondBetrag,SondDarl,11,SondDatum,"&gt;="&amp;$E5111,SondDatum,"&lt;="&amp;EOMONTH($E5111,0)),$J5111-$M5111))</f>
      </c>
      <c r="O5111" s="43">
        <f>IF($I5111=0,0,INDEX(DarlErsatzRate,11))</f>
      </c>
      <c r="P5111" s="43">
        <f>IF($I5111=0,0,$Q5110*INDEX(DarlErsatzZins,11))</f>
      </c>
      <c r="Q5111" s="43">
        <f>IF($I5111=0,0,$Q5110+$P5111+$O5111)</f>
      </c>
      <c r="R5111" s="43">
        <f>IF($I5111=0,0,$J5111-$M5111-$N5111)</f>
      </c>
    </row>
    <row r="5112">
      <c r="A5112"/>
      <c r="B5112">
        <v>11</v>
      </c>
      <c r="C5112" s="43">
        <f>INDEX(DarlObj,11)</f>
      </c>
      <c r="D5112">
        <v>309</v>
      </c>
      <c r="E5112" s="51">
        <f>IF(INDEX(DarlBelegt,11)=0,0,EOMONTH(INDEX(DarlAuszahlung,11),308)+1)</f>
      </c>
      <c r="F5112" s="43">
        <f>IF($E5112=0,0,YEAR($E5112))</f>
      </c>
      <c r="G5112" s="43">
        <f>IF(INDEX(DarlBindung,11)="",1,IF($E5112&lt;=INDEX(DarlBindung,11),1,0))</f>
      </c>
      <c r="H5112" s="43">
        <f>IF($G5112=1,INDEX(DarlSollzins,11),INDEX(DarlAnschluss,11))</f>
      </c>
      <c r="I5112" s="43">
        <f>IF(INDEX(DarlBelegt,11)=0,0,IF(INDEX(DarlOhneTilgung,11)=1,IF(INDEX(DarlBindung,11)="",1,$G5112),IF($J5112&gt;0.005,1,0)))</f>
      </c>
      <c r="J5112" s="43">
        <f>IF($I5111=0,0,$R5111)</f>
      </c>
      <c r="K5112" s="43">
        <f>IF($I5112=0,0,IF(INDEX(DarlOhneTilgung,11)=1,0,IF(AND(INDEX(DarlTilgStart,11)&gt;0,$E5112=INDEX(DarlTilgStart,11)),$J5112*($H5112+INDEX(DarlTilgung,11))/100/12,IF(AND($G5112=0,$G5111=1),MAX($K5111,$J5112*($H5112+1)/100/12),$K5111))))</f>
      </c>
      <c r="L5112" s="43">
        <f>IF($I5112=0,0,$J5112*$H5112/100/12)</f>
      </c>
      <c r="M5112" s="43">
        <f>IF($I5112=0,0,IF(OR(INDEX(DarlOhneTilgung,11)=1,AND(INDEX(DarlTilgStart,11)&gt;0,$E5112&lt;INDEX(DarlTilgStart,11))),0,MIN(MAX(0,$K5112-$L5112),$J5112)))</f>
      </c>
      <c r="N5112" s="43">
        <f>IF($I5112=0,0,MIN(SUMIFS(SondBetrag,SondDarl,11,SondDatum,"&gt;="&amp;$E5112,SondDatum,"&lt;="&amp;EOMONTH($E5112,0)),$J5112-$M5112))</f>
      </c>
      <c r="O5112" s="43">
        <f>IF($I5112=0,0,INDEX(DarlErsatzRate,11))</f>
      </c>
      <c r="P5112" s="43">
        <f>IF($I5112=0,0,$Q5111*INDEX(DarlErsatzZins,11))</f>
      </c>
      <c r="Q5112" s="43">
        <f>IF($I5112=0,0,$Q5111+$P5112+$O5112)</f>
      </c>
      <c r="R5112" s="43">
        <f>IF($I5112=0,0,$J5112-$M5112-$N5112)</f>
      </c>
    </row>
    <row r="5113">
      <c r="A5113"/>
      <c r="B5113">
        <v>11</v>
      </c>
      <c r="C5113" s="43">
        <f>INDEX(DarlObj,11)</f>
      </c>
      <c r="D5113">
        <v>310</v>
      </c>
      <c r="E5113" s="51">
        <f>IF(INDEX(DarlBelegt,11)=0,0,EOMONTH(INDEX(DarlAuszahlung,11),309)+1)</f>
      </c>
      <c r="F5113" s="43">
        <f>IF($E5113=0,0,YEAR($E5113))</f>
      </c>
      <c r="G5113" s="43">
        <f>IF(INDEX(DarlBindung,11)="",1,IF($E5113&lt;=INDEX(DarlBindung,11),1,0))</f>
      </c>
      <c r="H5113" s="43">
        <f>IF($G5113=1,INDEX(DarlSollzins,11),INDEX(DarlAnschluss,11))</f>
      </c>
      <c r="I5113" s="43">
        <f>IF(INDEX(DarlBelegt,11)=0,0,IF(INDEX(DarlOhneTilgung,11)=1,IF(INDEX(DarlBindung,11)="",1,$G5113),IF($J5113&gt;0.005,1,0)))</f>
      </c>
      <c r="J5113" s="43">
        <f>IF($I5112=0,0,$R5112)</f>
      </c>
      <c r="K5113" s="43">
        <f>IF($I5113=0,0,IF(INDEX(DarlOhneTilgung,11)=1,0,IF(AND(INDEX(DarlTilgStart,11)&gt;0,$E5113=INDEX(DarlTilgStart,11)),$J5113*($H5113+INDEX(DarlTilgung,11))/100/12,IF(AND($G5113=0,$G5112=1),MAX($K5112,$J5113*($H5113+1)/100/12),$K5112))))</f>
      </c>
      <c r="L5113" s="43">
        <f>IF($I5113=0,0,$J5113*$H5113/100/12)</f>
      </c>
      <c r="M5113" s="43">
        <f>IF($I5113=0,0,IF(OR(INDEX(DarlOhneTilgung,11)=1,AND(INDEX(DarlTilgStart,11)&gt;0,$E5113&lt;INDEX(DarlTilgStart,11))),0,MIN(MAX(0,$K5113-$L5113),$J5113)))</f>
      </c>
      <c r="N5113" s="43">
        <f>IF($I5113=0,0,MIN(SUMIFS(SondBetrag,SondDarl,11,SondDatum,"&gt;="&amp;$E5113,SondDatum,"&lt;="&amp;EOMONTH($E5113,0)),$J5113-$M5113))</f>
      </c>
      <c r="O5113" s="43">
        <f>IF($I5113=0,0,INDEX(DarlErsatzRate,11))</f>
      </c>
      <c r="P5113" s="43">
        <f>IF($I5113=0,0,$Q5112*INDEX(DarlErsatzZins,11))</f>
      </c>
      <c r="Q5113" s="43">
        <f>IF($I5113=0,0,$Q5112+$P5113+$O5113)</f>
      </c>
      <c r="R5113" s="43">
        <f>IF($I5113=0,0,$J5113-$M5113-$N5113)</f>
      </c>
    </row>
    <row r="5114">
      <c r="A5114"/>
      <c r="B5114">
        <v>11</v>
      </c>
      <c r="C5114" s="43">
        <f>INDEX(DarlObj,11)</f>
      </c>
      <c r="D5114">
        <v>311</v>
      </c>
      <c r="E5114" s="51">
        <f>IF(INDEX(DarlBelegt,11)=0,0,EOMONTH(INDEX(DarlAuszahlung,11),310)+1)</f>
      </c>
      <c r="F5114" s="43">
        <f>IF($E5114=0,0,YEAR($E5114))</f>
      </c>
      <c r="G5114" s="43">
        <f>IF(INDEX(DarlBindung,11)="",1,IF($E5114&lt;=INDEX(DarlBindung,11),1,0))</f>
      </c>
      <c r="H5114" s="43">
        <f>IF($G5114=1,INDEX(DarlSollzins,11),INDEX(DarlAnschluss,11))</f>
      </c>
      <c r="I5114" s="43">
        <f>IF(INDEX(DarlBelegt,11)=0,0,IF(INDEX(DarlOhneTilgung,11)=1,IF(INDEX(DarlBindung,11)="",1,$G5114),IF($J5114&gt;0.005,1,0)))</f>
      </c>
      <c r="J5114" s="43">
        <f>IF($I5113=0,0,$R5113)</f>
      </c>
      <c r="K5114" s="43">
        <f>IF($I5114=0,0,IF(INDEX(DarlOhneTilgung,11)=1,0,IF(AND(INDEX(DarlTilgStart,11)&gt;0,$E5114=INDEX(DarlTilgStart,11)),$J5114*($H5114+INDEX(DarlTilgung,11))/100/12,IF(AND($G5114=0,$G5113=1),MAX($K5113,$J5114*($H5114+1)/100/12),$K5113))))</f>
      </c>
      <c r="L5114" s="43">
        <f>IF($I5114=0,0,$J5114*$H5114/100/12)</f>
      </c>
      <c r="M5114" s="43">
        <f>IF($I5114=0,0,IF(OR(INDEX(DarlOhneTilgung,11)=1,AND(INDEX(DarlTilgStart,11)&gt;0,$E5114&lt;INDEX(DarlTilgStart,11))),0,MIN(MAX(0,$K5114-$L5114),$J5114)))</f>
      </c>
      <c r="N5114" s="43">
        <f>IF($I5114=0,0,MIN(SUMIFS(SondBetrag,SondDarl,11,SondDatum,"&gt;="&amp;$E5114,SondDatum,"&lt;="&amp;EOMONTH($E5114,0)),$J5114-$M5114))</f>
      </c>
      <c r="O5114" s="43">
        <f>IF($I5114=0,0,INDEX(DarlErsatzRate,11))</f>
      </c>
      <c r="P5114" s="43">
        <f>IF($I5114=0,0,$Q5113*INDEX(DarlErsatzZins,11))</f>
      </c>
      <c r="Q5114" s="43">
        <f>IF($I5114=0,0,$Q5113+$P5114+$O5114)</f>
      </c>
      <c r="R5114" s="43">
        <f>IF($I5114=0,0,$J5114-$M5114-$N5114)</f>
      </c>
    </row>
    <row r="5115">
      <c r="A5115"/>
      <c r="B5115">
        <v>11</v>
      </c>
      <c r="C5115" s="43">
        <f>INDEX(DarlObj,11)</f>
      </c>
      <c r="D5115">
        <v>312</v>
      </c>
      <c r="E5115" s="51">
        <f>IF(INDEX(DarlBelegt,11)=0,0,EOMONTH(INDEX(DarlAuszahlung,11),311)+1)</f>
      </c>
      <c r="F5115" s="43">
        <f>IF($E5115=0,0,YEAR($E5115))</f>
      </c>
      <c r="G5115" s="43">
        <f>IF(INDEX(DarlBindung,11)="",1,IF($E5115&lt;=INDEX(DarlBindung,11),1,0))</f>
      </c>
      <c r="H5115" s="43">
        <f>IF($G5115=1,INDEX(DarlSollzins,11),INDEX(DarlAnschluss,11))</f>
      </c>
      <c r="I5115" s="43">
        <f>IF(INDEX(DarlBelegt,11)=0,0,IF(INDEX(DarlOhneTilgung,11)=1,IF(INDEX(DarlBindung,11)="",1,$G5115),IF($J5115&gt;0.005,1,0)))</f>
      </c>
      <c r="J5115" s="43">
        <f>IF($I5114=0,0,$R5114)</f>
      </c>
      <c r="K5115" s="43">
        <f>IF($I5115=0,0,IF(INDEX(DarlOhneTilgung,11)=1,0,IF(AND(INDEX(DarlTilgStart,11)&gt;0,$E5115=INDEX(DarlTilgStart,11)),$J5115*($H5115+INDEX(DarlTilgung,11))/100/12,IF(AND($G5115=0,$G5114=1),MAX($K5114,$J5115*($H5115+1)/100/12),$K5114))))</f>
      </c>
      <c r="L5115" s="43">
        <f>IF($I5115=0,0,$J5115*$H5115/100/12)</f>
      </c>
      <c r="M5115" s="43">
        <f>IF($I5115=0,0,IF(OR(INDEX(DarlOhneTilgung,11)=1,AND(INDEX(DarlTilgStart,11)&gt;0,$E5115&lt;INDEX(DarlTilgStart,11))),0,MIN(MAX(0,$K5115-$L5115),$J5115)))</f>
      </c>
      <c r="N5115" s="43">
        <f>IF($I5115=0,0,MIN(SUMIFS(SondBetrag,SondDarl,11,SondDatum,"&gt;="&amp;$E5115,SondDatum,"&lt;="&amp;EOMONTH($E5115,0)),$J5115-$M5115))</f>
      </c>
      <c r="O5115" s="43">
        <f>IF($I5115=0,0,INDEX(DarlErsatzRate,11))</f>
      </c>
      <c r="P5115" s="43">
        <f>IF($I5115=0,0,$Q5114*INDEX(DarlErsatzZins,11))</f>
      </c>
      <c r="Q5115" s="43">
        <f>IF($I5115=0,0,$Q5114+$P5115+$O5115)</f>
      </c>
      <c r="R5115" s="43">
        <f>IF($I5115=0,0,$J5115-$M5115-$N5115)</f>
      </c>
    </row>
    <row r="5116">
      <c r="A5116"/>
      <c r="B5116">
        <v>11</v>
      </c>
      <c r="C5116" s="43">
        <f>INDEX(DarlObj,11)</f>
      </c>
      <c r="D5116">
        <v>313</v>
      </c>
      <c r="E5116" s="51">
        <f>IF(INDEX(DarlBelegt,11)=0,0,EOMONTH(INDEX(DarlAuszahlung,11),312)+1)</f>
      </c>
      <c r="F5116" s="43">
        <f>IF($E5116=0,0,YEAR($E5116))</f>
      </c>
      <c r="G5116" s="43">
        <f>IF(INDEX(DarlBindung,11)="",1,IF($E5116&lt;=INDEX(DarlBindung,11),1,0))</f>
      </c>
      <c r="H5116" s="43">
        <f>IF($G5116=1,INDEX(DarlSollzins,11),INDEX(DarlAnschluss,11))</f>
      </c>
      <c r="I5116" s="43">
        <f>IF(INDEX(DarlBelegt,11)=0,0,IF(INDEX(DarlOhneTilgung,11)=1,IF(INDEX(DarlBindung,11)="",1,$G5116),IF($J5116&gt;0.005,1,0)))</f>
      </c>
      <c r="J5116" s="43">
        <f>IF($I5115=0,0,$R5115)</f>
      </c>
      <c r="K5116" s="43">
        <f>IF($I5116=0,0,IF(INDEX(DarlOhneTilgung,11)=1,0,IF(AND(INDEX(DarlTilgStart,11)&gt;0,$E5116=INDEX(DarlTilgStart,11)),$J5116*($H5116+INDEX(DarlTilgung,11))/100/12,IF(AND($G5116=0,$G5115=1),MAX($K5115,$J5116*($H5116+1)/100/12),$K5115))))</f>
      </c>
      <c r="L5116" s="43">
        <f>IF($I5116=0,0,$J5116*$H5116/100/12)</f>
      </c>
      <c r="M5116" s="43">
        <f>IF($I5116=0,0,IF(OR(INDEX(DarlOhneTilgung,11)=1,AND(INDEX(DarlTilgStart,11)&gt;0,$E5116&lt;INDEX(DarlTilgStart,11))),0,MIN(MAX(0,$K5116-$L5116),$J5116)))</f>
      </c>
      <c r="N5116" s="43">
        <f>IF($I5116=0,0,MIN(SUMIFS(SondBetrag,SondDarl,11,SondDatum,"&gt;="&amp;$E5116,SondDatum,"&lt;="&amp;EOMONTH($E5116,0)),$J5116-$M5116))</f>
      </c>
      <c r="O5116" s="43">
        <f>IF($I5116=0,0,INDEX(DarlErsatzRate,11))</f>
      </c>
      <c r="P5116" s="43">
        <f>IF($I5116=0,0,$Q5115*INDEX(DarlErsatzZins,11))</f>
      </c>
      <c r="Q5116" s="43">
        <f>IF($I5116=0,0,$Q5115+$P5116+$O5116)</f>
      </c>
      <c r="R5116" s="43">
        <f>IF($I5116=0,0,$J5116-$M5116-$N5116)</f>
      </c>
    </row>
    <row r="5117">
      <c r="A5117"/>
      <c r="B5117">
        <v>11</v>
      </c>
      <c r="C5117" s="43">
        <f>INDEX(DarlObj,11)</f>
      </c>
      <c r="D5117">
        <v>314</v>
      </c>
      <c r="E5117" s="51">
        <f>IF(INDEX(DarlBelegt,11)=0,0,EOMONTH(INDEX(DarlAuszahlung,11),313)+1)</f>
      </c>
      <c r="F5117" s="43">
        <f>IF($E5117=0,0,YEAR($E5117))</f>
      </c>
      <c r="G5117" s="43">
        <f>IF(INDEX(DarlBindung,11)="",1,IF($E5117&lt;=INDEX(DarlBindung,11),1,0))</f>
      </c>
      <c r="H5117" s="43">
        <f>IF($G5117=1,INDEX(DarlSollzins,11),INDEX(DarlAnschluss,11))</f>
      </c>
      <c r="I5117" s="43">
        <f>IF(INDEX(DarlBelegt,11)=0,0,IF(INDEX(DarlOhneTilgung,11)=1,IF(INDEX(DarlBindung,11)="",1,$G5117),IF($J5117&gt;0.005,1,0)))</f>
      </c>
      <c r="J5117" s="43">
        <f>IF($I5116=0,0,$R5116)</f>
      </c>
      <c r="K5117" s="43">
        <f>IF($I5117=0,0,IF(INDEX(DarlOhneTilgung,11)=1,0,IF(AND(INDEX(DarlTilgStart,11)&gt;0,$E5117=INDEX(DarlTilgStart,11)),$J5117*($H5117+INDEX(DarlTilgung,11))/100/12,IF(AND($G5117=0,$G5116=1),MAX($K5116,$J5117*($H5117+1)/100/12),$K5116))))</f>
      </c>
      <c r="L5117" s="43">
        <f>IF($I5117=0,0,$J5117*$H5117/100/12)</f>
      </c>
      <c r="M5117" s="43">
        <f>IF($I5117=0,0,IF(OR(INDEX(DarlOhneTilgung,11)=1,AND(INDEX(DarlTilgStart,11)&gt;0,$E5117&lt;INDEX(DarlTilgStart,11))),0,MIN(MAX(0,$K5117-$L5117),$J5117)))</f>
      </c>
      <c r="N5117" s="43">
        <f>IF($I5117=0,0,MIN(SUMIFS(SondBetrag,SondDarl,11,SondDatum,"&gt;="&amp;$E5117,SondDatum,"&lt;="&amp;EOMONTH($E5117,0)),$J5117-$M5117))</f>
      </c>
      <c r="O5117" s="43">
        <f>IF($I5117=0,0,INDEX(DarlErsatzRate,11))</f>
      </c>
      <c r="P5117" s="43">
        <f>IF($I5117=0,0,$Q5116*INDEX(DarlErsatzZins,11))</f>
      </c>
      <c r="Q5117" s="43">
        <f>IF($I5117=0,0,$Q5116+$P5117+$O5117)</f>
      </c>
      <c r="R5117" s="43">
        <f>IF($I5117=0,0,$J5117-$M5117-$N5117)</f>
      </c>
    </row>
    <row r="5118">
      <c r="A5118"/>
      <c r="B5118">
        <v>11</v>
      </c>
      <c r="C5118" s="43">
        <f>INDEX(DarlObj,11)</f>
      </c>
      <c r="D5118">
        <v>315</v>
      </c>
      <c r="E5118" s="51">
        <f>IF(INDEX(DarlBelegt,11)=0,0,EOMONTH(INDEX(DarlAuszahlung,11),314)+1)</f>
      </c>
      <c r="F5118" s="43">
        <f>IF($E5118=0,0,YEAR($E5118))</f>
      </c>
      <c r="G5118" s="43">
        <f>IF(INDEX(DarlBindung,11)="",1,IF($E5118&lt;=INDEX(DarlBindung,11),1,0))</f>
      </c>
      <c r="H5118" s="43">
        <f>IF($G5118=1,INDEX(DarlSollzins,11),INDEX(DarlAnschluss,11))</f>
      </c>
      <c r="I5118" s="43">
        <f>IF(INDEX(DarlBelegt,11)=0,0,IF(INDEX(DarlOhneTilgung,11)=1,IF(INDEX(DarlBindung,11)="",1,$G5118),IF($J5118&gt;0.005,1,0)))</f>
      </c>
      <c r="J5118" s="43">
        <f>IF($I5117=0,0,$R5117)</f>
      </c>
      <c r="K5118" s="43">
        <f>IF($I5118=0,0,IF(INDEX(DarlOhneTilgung,11)=1,0,IF(AND(INDEX(DarlTilgStart,11)&gt;0,$E5118=INDEX(DarlTilgStart,11)),$J5118*($H5118+INDEX(DarlTilgung,11))/100/12,IF(AND($G5118=0,$G5117=1),MAX($K5117,$J5118*($H5118+1)/100/12),$K5117))))</f>
      </c>
      <c r="L5118" s="43">
        <f>IF($I5118=0,0,$J5118*$H5118/100/12)</f>
      </c>
      <c r="M5118" s="43">
        <f>IF($I5118=0,0,IF(OR(INDEX(DarlOhneTilgung,11)=1,AND(INDEX(DarlTilgStart,11)&gt;0,$E5118&lt;INDEX(DarlTilgStart,11))),0,MIN(MAX(0,$K5118-$L5118),$J5118)))</f>
      </c>
      <c r="N5118" s="43">
        <f>IF($I5118=0,0,MIN(SUMIFS(SondBetrag,SondDarl,11,SondDatum,"&gt;="&amp;$E5118,SondDatum,"&lt;="&amp;EOMONTH($E5118,0)),$J5118-$M5118))</f>
      </c>
      <c r="O5118" s="43">
        <f>IF($I5118=0,0,INDEX(DarlErsatzRate,11))</f>
      </c>
      <c r="P5118" s="43">
        <f>IF($I5118=0,0,$Q5117*INDEX(DarlErsatzZins,11))</f>
      </c>
      <c r="Q5118" s="43">
        <f>IF($I5118=0,0,$Q5117+$P5118+$O5118)</f>
      </c>
      <c r="R5118" s="43">
        <f>IF($I5118=0,0,$J5118-$M5118-$N5118)</f>
      </c>
    </row>
    <row r="5119">
      <c r="A5119"/>
      <c r="B5119">
        <v>11</v>
      </c>
      <c r="C5119" s="43">
        <f>INDEX(DarlObj,11)</f>
      </c>
      <c r="D5119">
        <v>316</v>
      </c>
      <c r="E5119" s="51">
        <f>IF(INDEX(DarlBelegt,11)=0,0,EOMONTH(INDEX(DarlAuszahlung,11),315)+1)</f>
      </c>
      <c r="F5119" s="43">
        <f>IF($E5119=0,0,YEAR($E5119))</f>
      </c>
      <c r="G5119" s="43">
        <f>IF(INDEX(DarlBindung,11)="",1,IF($E5119&lt;=INDEX(DarlBindung,11),1,0))</f>
      </c>
      <c r="H5119" s="43">
        <f>IF($G5119=1,INDEX(DarlSollzins,11),INDEX(DarlAnschluss,11))</f>
      </c>
      <c r="I5119" s="43">
        <f>IF(INDEX(DarlBelegt,11)=0,0,IF(INDEX(DarlOhneTilgung,11)=1,IF(INDEX(DarlBindung,11)="",1,$G5119),IF($J5119&gt;0.005,1,0)))</f>
      </c>
      <c r="J5119" s="43">
        <f>IF($I5118=0,0,$R5118)</f>
      </c>
      <c r="K5119" s="43">
        <f>IF($I5119=0,0,IF(INDEX(DarlOhneTilgung,11)=1,0,IF(AND(INDEX(DarlTilgStart,11)&gt;0,$E5119=INDEX(DarlTilgStart,11)),$J5119*($H5119+INDEX(DarlTilgung,11))/100/12,IF(AND($G5119=0,$G5118=1),MAX($K5118,$J5119*($H5119+1)/100/12),$K5118))))</f>
      </c>
      <c r="L5119" s="43">
        <f>IF($I5119=0,0,$J5119*$H5119/100/12)</f>
      </c>
      <c r="M5119" s="43">
        <f>IF($I5119=0,0,IF(OR(INDEX(DarlOhneTilgung,11)=1,AND(INDEX(DarlTilgStart,11)&gt;0,$E5119&lt;INDEX(DarlTilgStart,11))),0,MIN(MAX(0,$K5119-$L5119),$J5119)))</f>
      </c>
      <c r="N5119" s="43">
        <f>IF($I5119=0,0,MIN(SUMIFS(SondBetrag,SondDarl,11,SondDatum,"&gt;="&amp;$E5119,SondDatum,"&lt;="&amp;EOMONTH($E5119,0)),$J5119-$M5119))</f>
      </c>
      <c r="O5119" s="43">
        <f>IF($I5119=0,0,INDEX(DarlErsatzRate,11))</f>
      </c>
      <c r="P5119" s="43">
        <f>IF($I5119=0,0,$Q5118*INDEX(DarlErsatzZins,11))</f>
      </c>
      <c r="Q5119" s="43">
        <f>IF($I5119=0,0,$Q5118+$P5119+$O5119)</f>
      </c>
      <c r="R5119" s="43">
        <f>IF($I5119=0,0,$J5119-$M5119-$N5119)</f>
      </c>
    </row>
    <row r="5120">
      <c r="A5120"/>
      <c r="B5120">
        <v>11</v>
      </c>
      <c r="C5120" s="43">
        <f>INDEX(DarlObj,11)</f>
      </c>
      <c r="D5120">
        <v>317</v>
      </c>
      <c r="E5120" s="51">
        <f>IF(INDEX(DarlBelegt,11)=0,0,EOMONTH(INDEX(DarlAuszahlung,11),316)+1)</f>
      </c>
      <c r="F5120" s="43">
        <f>IF($E5120=0,0,YEAR($E5120))</f>
      </c>
      <c r="G5120" s="43">
        <f>IF(INDEX(DarlBindung,11)="",1,IF($E5120&lt;=INDEX(DarlBindung,11),1,0))</f>
      </c>
      <c r="H5120" s="43">
        <f>IF($G5120=1,INDEX(DarlSollzins,11),INDEX(DarlAnschluss,11))</f>
      </c>
      <c r="I5120" s="43">
        <f>IF(INDEX(DarlBelegt,11)=0,0,IF(INDEX(DarlOhneTilgung,11)=1,IF(INDEX(DarlBindung,11)="",1,$G5120),IF($J5120&gt;0.005,1,0)))</f>
      </c>
      <c r="J5120" s="43">
        <f>IF($I5119=0,0,$R5119)</f>
      </c>
      <c r="K5120" s="43">
        <f>IF($I5120=0,0,IF(INDEX(DarlOhneTilgung,11)=1,0,IF(AND(INDEX(DarlTilgStart,11)&gt;0,$E5120=INDEX(DarlTilgStart,11)),$J5120*($H5120+INDEX(DarlTilgung,11))/100/12,IF(AND($G5120=0,$G5119=1),MAX($K5119,$J5120*($H5120+1)/100/12),$K5119))))</f>
      </c>
      <c r="L5120" s="43">
        <f>IF($I5120=0,0,$J5120*$H5120/100/12)</f>
      </c>
      <c r="M5120" s="43">
        <f>IF($I5120=0,0,IF(OR(INDEX(DarlOhneTilgung,11)=1,AND(INDEX(DarlTilgStart,11)&gt;0,$E5120&lt;INDEX(DarlTilgStart,11))),0,MIN(MAX(0,$K5120-$L5120),$J5120)))</f>
      </c>
      <c r="N5120" s="43">
        <f>IF($I5120=0,0,MIN(SUMIFS(SondBetrag,SondDarl,11,SondDatum,"&gt;="&amp;$E5120,SondDatum,"&lt;="&amp;EOMONTH($E5120,0)),$J5120-$M5120))</f>
      </c>
      <c r="O5120" s="43">
        <f>IF($I5120=0,0,INDEX(DarlErsatzRate,11))</f>
      </c>
      <c r="P5120" s="43">
        <f>IF($I5120=0,0,$Q5119*INDEX(DarlErsatzZins,11))</f>
      </c>
      <c r="Q5120" s="43">
        <f>IF($I5120=0,0,$Q5119+$P5120+$O5120)</f>
      </c>
      <c r="R5120" s="43">
        <f>IF($I5120=0,0,$J5120-$M5120-$N5120)</f>
      </c>
    </row>
    <row r="5121">
      <c r="A5121"/>
      <c r="B5121">
        <v>11</v>
      </c>
      <c r="C5121" s="43">
        <f>INDEX(DarlObj,11)</f>
      </c>
      <c r="D5121">
        <v>318</v>
      </c>
      <c r="E5121" s="51">
        <f>IF(INDEX(DarlBelegt,11)=0,0,EOMONTH(INDEX(DarlAuszahlung,11),317)+1)</f>
      </c>
      <c r="F5121" s="43">
        <f>IF($E5121=0,0,YEAR($E5121))</f>
      </c>
      <c r="G5121" s="43">
        <f>IF(INDEX(DarlBindung,11)="",1,IF($E5121&lt;=INDEX(DarlBindung,11),1,0))</f>
      </c>
      <c r="H5121" s="43">
        <f>IF($G5121=1,INDEX(DarlSollzins,11),INDEX(DarlAnschluss,11))</f>
      </c>
      <c r="I5121" s="43">
        <f>IF(INDEX(DarlBelegt,11)=0,0,IF(INDEX(DarlOhneTilgung,11)=1,IF(INDEX(DarlBindung,11)="",1,$G5121),IF($J5121&gt;0.005,1,0)))</f>
      </c>
      <c r="J5121" s="43">
        <f>IF($I5120=0,0,$R5120)</f>
      </c>
      <c r="K5121" s="43">
        <f>IF($I5121=0,0,IF(INDEX(DarlOhneTilgung,11)=1,0,IF(AND(INDEX(DarlTilgStart,11)&gt;0,$E5121=INDEX(DarlTilgStart,11)),$J5121*($H5121+INDEX(DarlTilgung,11))/100/12,IF(AND($G5121=0,$G5120=1),MAX($K5120,$J5121*($H5121+1)/100/12),$K5120))))</f>
      </c>
      <c r="L5121" s="43">
        <f>IF($I5121=0,0,$J5121*$H5121/100/12)</f>
      </c>
      <c r="M5121" s="43">
        <f>IF($I5121=0,0,IF(OR(INDEX(DarlOhneTilgung,11)=1,AND(INDEX(DarlTilgStart,11)&gt;0,$E5121&lt;INDEX(DarlTilgStart,11))),0,MIN(MAX(0,$K5121-$L5121),$J5121)))</f>
      </c>
      <c r="N5121" s="43">
        <f>IF($I5121=0,0,MIN(SUMIFS(SondBetrag,SondDarl,11,SondDatum,"&gt;="&amp;$E5121,SondDatum,"&lt;="&amp;EOMONTH($E5121,0)),$J5121-$M5121))</f>
      </c>
      <c r="O5121" s="43">
        <f>IF($I5121=0,0,INDEX(DarlErsatzRate,11))</f>
      </c>
      <c r="P5121" s="43">
        <f>IF($I5121=0,0,$Q5120*INDEX(DarlErsatzZins,11))</f>
      </c>
      <c r="Q5121" s="43">
        <f>IF($I5121=0,0,$Q5120+$P5121+$O5121)</f>
      </c>
      <c r="R5121" s="43">
        <f>IF($I5121=0,0,$J5121-$M5121-$N5121)</f>
      </c>
    </row>
    <row r="5122">
      <c r="A5122"/>
      <c r="B5122">
        <v>11</v>
      </c>
      <c r="C5122" s="43">
        <f>INDEX(DarlObj,11)</f>
      </c>
      <c r="D5122">
        <v>319</v>
      </c>
      <c r="E5122" s="51">
        <f>IF(INDEX(DarlBelegt,11)=0,0,EOMONTH(INDEX(DarlAuszahlung,11),318)+1)</f>
      </c>
      <c r="F5122" s="43">
        <f>IF($E5122=0,0,YEAR($E5122))</f>
      </c>
      <c r="G5122" s="43">
        <f>IF(INDEX(DarlBindung,11)="",1,IF($E5122&lt;=INDEX(DarlBindung,11),1,0))</f>
      </c>
      <c r="H5122" s="43">
        <f>IF($G5122=1,INDEX(DarlSollzins,11),INDEX(DarlAnschluss,11))</f>
      </c>
      <c r="I5122" s="43">
        <f>IF(INDEX(DarlBelegt,11)=0,0,IF(INDEX(DarlOhneTilgung,11)=1,IF(INDEX(DarlBindung,11)="",1,$G5122),IF($J5122&gt;0.005,1,0)))</f>
      </c>
      <c r="J5122" s="43">
        <f>IF($I5121=0,0,$R5121)</f>
      </c>
      <c r="K5122" s="43">
        <f>IF($I5122=0,0,IF(INDEX(DarlOhneTilgung,11)=1,0,IF(AND(INDEX(DarlTilgStart,11)&gt;0,$E5122=INDEX(DarlTilgStart,11)),$J5122*($H5122+INDEX(DarlTilgung,11))/100/12,IF(AND($G5122=0,$G5121=1),MAX($K5121,$J5122*($H5122+1)/100/12),$K5121))))</f>
      </c>
      <c r="L5122" s="43">
        <f>IF($I5122=0,0,$J5122*$H5122/100/12)</f>
      </c>
      <c r="M5122" s="43">
        <f>IF($I5122=0,0,IF(OR(INDEX(DarlOhneTilgung,11)=1,AND(INDEX(DarlTilgStart,11)&gt;0,$E5122&lt;INDEX(DarlTilgStart,11))),0,MIN(MAX(0,$K5122-$L5122),$J5122)))</f>
      </c>
      <c r="N5122" s="43">
        <f>IF($I5122=0,0,MIN(SUMIFS(SondBetrag,SondDarl,11,SondDatum,"&gt;="&amp;$E5122,SondDatum,"&lt;="&amp;EOMONTH($E5122,0)),$J5122-$M5122))</f>
      </c>
      <c r="O5122" s="43">
        <f>IF($I5122=0,0,INDEX(DarlErsatzRate,11))</f>
      </c>
      <c r="P5122" s="43">
        <f>IF($I5122=0,0,$Q5121*INDEX(DarlErsatzZins,11))</f>
      </c>
      <c r="Q5122" s="43">
        <f>IF($I5122=0,0,$Q5121+$P5122+$O5122)</f>
      </c>
      <c r="R5122" s="43">
        <f>IF($I5122=0,0,$J5122-$M5122-$N5122)</f>
      </c>
    </row>
    <row r="5123">
      <c r="A5123"/>
      <c r="B5123">
        <v>11</v>
      </c>
      <c r="C5123" s="43">
        <f>INDEX(DarlObj,11)</f>
      </c>
      <c r="D5123">
        <v>320</v>
      </c>
      <c r="E5123" s="51">
        <f>IF(INDEX(DarlBelegt,11)=0,0,EOMONTH(INDEX(DarlAuszahlung,11),319)+1)</f>
      </c>
      <c r="F5123" s="43">
        <f>IF($E5123=0,0,YEAR($E5123))</f>
      </c>
      <c r="G5123" s="43">
        <f>IF(INDEX(DarlBindung,11)="",1,IF($E5123&lt;=INDEX(DarlBindung,11),1,0))</f>
      </c>
      <c r="H5123" s="43">
        <f>IF($G5123=1,INDEX(DarlSollzins,11),INDEX(DarlAnschluss,11))</f>
      </c>
      <c r="I5123" s="43">
        <f>IF(INDEX(DarlBelegt,11)=0,0,IF(INDEX(DarlOhneTilgung,11)=1,IF(INDEX(DarlBindung,11)="",1,$G5123),IF($J5123&gt;0.005,1,0)))</f>
      </c>
      <c r="J5123" s="43">
        <f>IF($I5122=0,0,$R5122)</f>
      </c>
      <c r="K5123" s="43">
        <f>IF($I5123=0,0,IF(INDEX(DarlOhneTilgung,11)=1,0,IF(AND(INDEX(DarlTilgStart,11)&gt;0,$E5123=INDEX(DarlTilgStart,11)),$J5123*($H5123+INDEX(DarlTilgung,11))/100/12,IF(AND($G5123=0,$G5122=1),MAX($K5122,$J5123*($H5123+1)/100/12),$K5122))))</f>
      </c>
      <c r="L5123" s="43">
        <f>IF($I5123=0,0,$J5123*$H5123/100/12)</f>
      </c>
      <c r="M5123" s="43">
        <f>IF($I5123=0,0,IF(OR(INDEX(DarlOhneTilgung,11)=1,AND(INDEX(DarlTilgStart,11)&gt;0,$E5123&lt;INDEX(DarlTilgStart,11))),0,MIN(MAX(0,$K5123-$L5123),$J5123)))</f>
      </c>
      <c r="N5123" s="43">
        <f>IF($I5123=0,0,MIN(SUMIFS(SondBetrag,SondDarl,11,SondDatum,"&gt;="&amp;$E5123,SondDatum,"&lt;="&amp;EOMONTH($E5123,0)),$J5123-$M5123))</f>
      </c>
      <c r="O5123" s="43">
        <f>IF($I5123=0,0,INDEX(DarlErsatzRate,11))</f>
      </c>
      <c r="P5123" s="43">
        <f>IF($I5123=0,0,$Q5122*INDEX(DarlErsatzZins,11))</f>
      </c>
      <c r="Q5123" s="43">
        <f>IF($I5123=0,0,$Q5122+$P5123+$O5123)</f>
      </c>
      <c r="R5123" s="43">
        <f>IF($I5123=0,0,$J5123-$M5123-$N5123)</f>
      </c>
    </row>
    <row r="5124">
      <c r="A5124"/>
      <c r="B5124">
        <v>11</v>
      </c>
      <c r="C5124" s="43">
        <f>INDEX(DarlObj,11)</f>
      </c>
      <c r="D5124">
        <v>321</v>
      </c>
      <c r="E5124" s="51">
        <f>IF(INDEX(DarlBelegt,11)=0,0,EOMONTH(INDEX(DarlAuszahlung,11),320)+1)</f>
      </c>
      <c r="F5124" s="43">
        <f>IF($E5124=0,0,YEAR($E5124))</f>
      </c>
      <c r="G5124" s="43">
        <f>IF(INDEX(DarlBindung,11)="",1,IF($E5124&lt;=INDEX(DarlBindung,11),1,0))</f>
      </c>
      <c r="H5124" s="43">
        <f>IF($G5124=1,INDEX(DarlSollzins,11),INDEX(DarlAnschluss,11))</f>
      </c>
      <c r="I5124" s="43">
        <f>IF(INDEX(DarlBelegt,11)=0,0,IF(INDEX(DarlOhneTilgung,11)=1,IF(INDEX(DarlBindung,11)="",1,$G5124),IF($J5124&gt;0.005,1,0)))</f>
      </c>
      <c r="J5124" s="43">
        <f>IF($I5123=0,0,$R5123)</f>
      </c>
      <c r="K5124" s="43">
        <f>IF($I5124=0,0,IF(INDEX(DarlOhneTilgung,11)=1,0,IF(AND(INDEX(DarlTilgStart,11)&gt;0,$E5124=INDEX(DarlTilgStart,11)),$J5124*($H5124+INDEX(DarlTilgung,11))/100/12,IF(AND($G5124=0,$G5123=1),MAX($K5123,$J5124*($H5124+1)/100/12),$K5123))))</f>
      </c>
      <c r="L5124" s="43">
        <f>IF($I5124=0,0,$J5124*$H5124/100/12)</f>
      </c>
      <c r="M5124" s="43">
        <f>IF($I5124=0,0,IF(OR(INDEX(DarlOhneTilgung,11)=1,AND(INDEX(DarlTilgStart,11)&gt;0,$E5124&lt;INDEX(DarlTilgStart,11))),0,MIN(MAX(0,$K5124-$L5124),$J5124)))</f>
      </c>
      <c r="N5124" s="43">
        <f>IF($I5124=0,0,MIN(SUMIFS(SondBetrag,SondDarl,11,SondDatum,"&gt;="&amp;$E5124,SondDatum,"&lt;="&amp;EOMONTH($E5124,0)),$J5124-$M5124))</f>
      </c>
      <c r="O5124" s="43">
        <f>IF($I5124=0,0,INDEX(DarlErsatzRate,11))</f>
      </c>
      <c r="P5124" s="43">
        <f>IF($I5124=0,0,$Q5123*INDEX(DarlErsatzZins,11))</f>
      </c>
      <c r="Q5124" s="43">
        <f>IF($I5124=0,0,$Q5123+$P5124+$O5124)</f>
      </c>
      <c r="R5124" s="43">
        <f>IF($I5124=0,0,$J5124-$M5124-$N5124)</f>
      </c>
    </row>
    <row r="5125">
      <c r="A5125"/>
      <c r="B5125">
        <v>11</v>
      </c>
      <c r="C5125" s="43">
        <f>INDEX(DarlObj,11)</f>
      </c>
      <c r="D5125">
        <v>322</v>
      </c>
      <c r="E5125" s="51">
        <f>IF(INDEX(DarlBelegt,11)=0,0,EOMONTH(INDEX(DarlAuszahlung,11),321)+1)</f>
      </c>
      <c r="F5125" s="43">
        <f>IF($E5125=0,0,YEAR($E5125))</f>
      </c>
      <c r="G5125" s="43">
        <f>IF(INDEX(DarlBindung,11)="",1,IF($E5125&lt;=INDEX(DarlBindung,11),1,0))</f>
      </c>
      <c r="H5125" s="43">
        <f>IF($G5125=1,INDEX(DarlSollzins,11),INDEX(DarlAnschluss,11))</f>
      </c>
      <c r="I5125" s="43">
        <f>IF(INDEX(DarlBelegt,11)=0,0,IF(INDEX(DarlOhneTilgung,11)=1,IF(INDEX(DarlBindung,11)="",1,$G5125),IF($J5125&gt;0.005,1,0)))</f>
      </c>
      <c r="J5125" s="43">
        <f>IF($I5124=0,0,$R5124)</f>
      </c>
      <c r="K5125" s="43">
        <f>IF($I5125=0,0,IF(INDEX(DarlOhneTilgung,11)=1,0,IF(AND(INDEX(DarlTilgStart,11)&gt;0,$E5125=INDEX(DarlTilgStart,11)),$J5125*($H5125+INDEX(DarlTilgung,11))/100/12,IF(AND($G5125=0,$G5124=1),MAX($K5124,$J5125*($H5125+1)/100/12),$K5124))))</f>
      </c>
      <c r="L5125" s="43">
        <f>IF($I5125=0,0,$J5125*$H5125/100/12)</f>
      </c>
      <c r="M5125" s="43">
        <f>IF($I5125=0,0,IF(OR(INDEX(DarlOhneTilgung,11)=1,AND(INDEX(DarlTilgStart,11)&gt;0,$E5125&lt;INDEX(DarlTilgStart,11))),0,MIN(MAX(0,$K5125-$L5125),$J5125)))</f>
      </c>
      <c r="N5125" s="43">
        <f>IF($I5125=0,0,MIN(SUMIFS(SondBetrag,SondDarl,11,SondDatum,"&gt;="&amp;$E5125,SondDatum,"&lt;="&amp;EOMONTH($E5125,0)),$J5125-$M5125))</f>
      </c>
      <c r="O5125" s="43">
        <f>IF($I5125=0,0,INDEX(DarlErsatzRate,11))</f>
      </c>
      <c r="P5125" s="43">
        <f>IF($I5125=0,0,$Q5124*INDEX(DarlErsatzZins,11))</f>
      </c>
      <c r="Q5125" s="43">
        <f>IF($I5125=0,0,$Q5124+$P5125+$O5125)</f>
      </c>
      <c r="R5125" s="43">
        <f>IF($I5125=0,0,$J5125-$M5125-$N5125)</f>
      </c>
    </row>
    <row r="5126">
      <c r="A5126"/>
      <c r="B5126">
        <v>11</v>
      </c>
      <c r="C5126" s="43">
        <f>INDEX(DarlObj,11)</f>
      </c>
      <c r="D5126">
        <v>323</v>
      </c>
      <c r="E5126" s="51">
        <f>IF(INDEX(DarlBelegt,11)=0,0,EOMONTH(INDEX(DarlAuszahlung,11),322)+1)</f>
      </c>
      <c r="F5126" s="43">
        <f>IF($E5126=0,0,YEAR($E5126))</f>
      </c>
      <c r="G5126" s="43">
        <f>IF(INDEX(DarlBindung,11)="",1,IF($E5126&lt;=INDEX(DarlBindung,11),1,0))</f>
      </c>
      <c r="H5126" s="43">
        <f>IF($G5126=1,INDEX(DarlSollzins,11),INDEX(DarlAnschluss,11))</f>
      </c>
      <c r="I5126" s="43">
        <f>IF(INDEX(DarlBelegt,11)=0,0,IF(INDEX(DarlOhneTilgung,11)=1,IF(INDEX(DarlBindung,11)="",1,$G5126),IF($J5126&gt;0.005,1,0)))</f>
      </c>
      <c r="J5126" s="43">
        <f>IF($I5125=0,0,$R5125)</f>
      </c>
      <c r="K5126" s="43">
        <f>IF($I5126=0,0,IF(INDEX(DarlOhneTilgung,11)=1,0,IF(AND(INDEX(DarlTilgStart,11)&gt;0,$E5126=INDEX(DarlTilgStart,11)),$J5126*($H5126+INDEX(DarlTilgung,11))/100/12,IF(AND($G5126=0,$G5125=1),MAX($K5125,$J5126*($H5126+1)/100/12),$K5125))))</f>
      </c>
      <c r="L5126" s="43">
        <f>IF($I5126=0,0,$J5126*$H5126/100/12)</f>
      </c>
      <c r="M5126" s="43">
        <f>IF($I5126=0,0,IF(OR(INDEX(DarlOhneTilgung,11)=1,AND(INDEX(DarlTilgStart,11)&gt;0,$E5126&lt;INDEX(DarlTilgStart,11))),0,MIN(MAX(0,$K5126-$L5126),$J5126)))</f>
      </c>
      <c r="N5126" s="43">
        <f>IF($I5126=0,0,MIN(SUMIFS(SondBetrag,SondDarl,11,SondDatum,"&gt;="&amp;$E5126,SondDatum,"&lt;="&amp;EOMONTH($E5126,0)),$J5126-$M5126))</f>
      </c>
      <c r="O5126" s="43">
        <f>IF($I5126=0,0,INDEX(DarlErsatzRate,11))</f>
      </c>
      <c r="P5126" s="43">
        <f>IF($I5126=0,0,$Q5125*INDEX(DarlErsatzZins,11))</f>
      </c>
      <c r="Q5126" s="43">
        <f>IF($I5126=0,0,$Q5125+$P5126+$O5126)</f>
      </c>
      <c r="R5126" s="43">
        <f>IF($I5126=0,0,$J5126-$M5126-$N5126)</f>
      </c>
    </row>
    <row r="5127">
      <c r="A5127"/>
      <c r="B5127">
        <v>11</v>
      </c>
      <c r="C5127" s="43">
        <f>INDEX(DarlObj,11)</f>
      </c>
      <c r="D5127">
        <v>324</v>
      </c>
      <c r="E5127" s="51">
        <f>IF(INDEX(DarlBelegt,11)=0,0,EOMONTH(INDEX(DarlAuszahlung,11),323)+1)</f>
      </c>
      <c r="F5127" s="43">
        <f>IF($E5127=0,0,YEAR($E5127))</f>
      </c>
      <c r="G5127" s="43">
        <f>IF(INDEX(DarlBindung,11)="",1,IF($E5127&lt;=INDEX(DarlBindung,11),1,0))</f>
      </c>
      <c r="H5127" s="43">
        <f>IF($G5127=1,INDEX(DarlSollzins,11),INDEX(DarlAnschluss,11))</f>
      </c>
      <c r="I5127" s="43">
        <f>IF(INDEX(DarlBelegt,11)=0,0,IF(INDEX(DarlOhneTilgung,11)=1,IF(INDEX(DarlBindung,11)="",1,$G5127),IF($J5127&gt;0.005,1,0)))</f>
      </c>
      <c r="J5127" s="43">
        <f>IF($I5126=0,0,$R5126)</f>
      </c>
      <c r="K5127" s="43">
        <f>IF($I5127=0,0,IF(INDEX(DarlOhneTilgung,11)=1,0,IF(AND(INDEX(DarlTilgStart,11)&gt;0,$E5127=INDEX(DarlTilgStart,11)),$J5127*($H5127+INDEX(DarlTilgung,11))/100/12,IF(AND($G5127=0,$G5126=1),MAX($K5126,$J5127*($H5127+1)/100/12),$K5126))))</f>
      </c>
      <c r="L5127" s="43">
        <f>IF($I5127=0,0,$J5127*$H5127/100/12)</f>
      </c>
      <c r="M5127" s="43">
        <f>IF($I5127=0,0,IF(OR(INDEX(DarlOhneTilgung,11)=1,AND(INDEX(DarlTilgStart,11)&gt;0,$E5127&lt;INDEX(DarlTilgStart,11))),0,MIN(MAX(0,$K5127-$L5127),$J5127)))</f>
      </c>
      <c r="N5127" s="43">
        <f>IF($I5127=0,0,MIN(SUMIFS(SondBetrag,SondDarl,11,SondDatum,"&gt;="&amp;$E5127,SondDatum,"&lt;="&amp;EOMONTH($E5127,0)),$J5127-$M5127))</f>
      </c>
      <c r="O5127" s="43">
        <f>IF($I5127=0,0,INDEX(DarlErsatzRate,11))</f>
      </c>
      <c r="P5127" s="43">
        <f>IF($I5127=0,0,$Q5126*INDEX(DarlErsatzZins,11))</f>
      </c>
      <c r="Q5127" s="43">
        <f>IF($I5127=0,0,$Q5126+$P5127+$O5127)</f>
      </c>
      <c r="R5127" s="43">
        <f>IF($I5127=0,0,$J5127-$M5127-$N5127)</f>
      </c>
    </row>
    <row r="5128">
      <c r="A5128"/>
      <c r="B5128">
        <v>11</v>
      </c>
      <c r="C5128" s="43">
        <f>INDEX(DarlObj,11)</f>
      </c>
      <c r="D5128">
        <v>325</v>
      </c>
      <c r="E5128" s="51">
        <f>IF(INDEX(DarlBelegt,11)=0,0,EOMONTH(INDEX(DarlAuszahlung,11),324)+1)</f>
      </c>
      <c r="F5128" s="43">
        <f>IF($E5128=0,0,YEAR($E5128))</f>
      </c>
      <c r="G5128" s="43">
        <f>IF(INDEX(DarlBindung,11)="",1,IF($E5128&lt;=INDEX(DarlBindung,11),1,0))</f>
      </c>
      <c r="H5128" s="43">
        <f>IF($G5128=1,INDEX(DarlSollzins,11),INDEX(DarlAnschluss,11))</f>
      </c>
      <c r="I5128" s="43">
        <f>IF(INDEX(DarlBelegt,11)=0,0,IF(INDEX(DarlOhneTilgung,11)=1,IF(INDEX(DarlBindung,11)="",1,$G5128),IF($J5128&gt;0.005,1,0)))</f>
      </c>
      <c r="J5128" s="43">
        <f>IF($I5127=0,0,$R5127)</f>
      </c>
      <c r="K5128" s="43">
        <f>IF($I5128=0,0,IF(INDEX(DarlOhneTilgung,11)=1,0,IF(AND(INDEX(DarlTilgStart,11)&gt;0,$E5128=INDEX(DarlTilgStart,11)),$J5128*($H5128+INDEX(DarlTilgung,11))/100/12,IF(AND($G5128=0,$G5127=1),MAX($K5127,$J5128*($H5128+1)/100/12),$K5127))))</f>
      </c>
      <c r="L5128" s="43">
        <f>IF($I5128=0,0,$J5128*$H5128/100/12)</f>
      </c>
      <c r="M5128" s="43">
        <f>IF($I5128=0,0,IF(OR(INDEX(DarlOhneTilgung,11)=1,AND(INDEX(DarlTilgStart,11)&gt;0,$E5128&lt;INDEX(DarlTilgStart,11))),0,MIN(MAX(0,$K5128-$L5128),$J5128)))</f>
      </c>
      <c r="N5128" s="43">
        <f>IF($I5128=0,0,MIN(SUMIFS(SondBetrag,SondDarl,11,SondDatum,"&gt;="&amp;$E5128,SondDatum,"&lt;="&amp;EOMONTH($E5128,0)),$J5128-$M5128))</f>
      </c>
      <c r="O5128" s="43">
        <f>IF($I5128=0,0,INDEX(DarlErsatzRate,11))</f>
      </c>
      <c r="P5128" s="43">
        <f>IF($I5128=0,0,$Q5127*INDEX(DarlErsatzZins,11))</f>
      </c>
      <c r="Q5128" s="43">
        <f>IF($I5128=0,0,$Q5127+$P5128+$O5128)</f>
      </c>
      <c r="R5128" s="43">
        <f>IF($I5128=0,0,$J5128-$M5128-$N5128)</f>
      </c>
    </row>
    <row r="5129">
      <c r="A5129"/>
      <c r="B5129">
        <v>11</v>
      </c>
      <c r="C5129" s="43">
        <f>INDEX(DarlObj,11)</f>
      </c>
      <c r="D5129">
        <v>326</v>
      </c>
      <c r="E5129" s="51">
        <f>IF(INDEX(DarlBelegt,11)=0,0,EOMONTH(INDEX(DarlAuszahlung,11),325)+1)</f>
      </c>
      <c r="F5129" s="43">
        <f>IF($E5129=0,0,YEAR($E5129))</f>
      </c>
      <c r="G5129" s="43">
        <f>IF(INDEX(DarlBindung,11)="",1,IF($E5129&lt;=INDEX(DarlBindung,11),1,0))</f>
      </c>
      <c r="H5129" s="43">
        <f>IF($G5129=1,INDEX(DarlSollzins,11),INDEX(DarlAnschluss,11))</f>
      </c>
      <c r="I5129" s="43">
        <f>IF(INDEX(DarlBelegt,11)=0,0,IF(INDEX(DarlOhneTilgung,11)=1,IF(INDEX(DarlBindung,11)="",1,$G5129),IF($J5129&gt;0.005,1,0)))</f>
      </c>
      <c r="J5129" s="43">
        <f>IF($I5128=0,0,$R5128)</f>
      </c>
      <c r="K5129" s="43">
        <f>IF($I5129=0,0,IF(INDEX(DarlOhneTilgung,11)=1,0,IF(AND(INDEX(DarlTilgStart,11)&gt;0,$E5129=INDEX(DarlTilgStart,11)),$J5129*($H5129+INDEX(DarlTilgung,11))/100/12,IF(AND($G5129=0,$G5128=1),MAX($K5128,$J5129*($H5129+1)/100/12),$K5128))))</f>
      </c>
      <c r="L5129" s="43">
        <f>IF($I5129=0,0,$J5129*$H5129/100/12)</f>
      </c>
      <c r="M5129" s="43">
        <f>IF($I5129=0,0,IF(OR(INDEX(DarlOhneTilgung,11)=1,AND(INDEX(DarlTilgStart,11)&gt;0,$E5129&lt;INDEX(DarlTilgStart,11))),0,MIN(MAX(0,$K5129-$L5129),$J5129)))</f>
      </c>
      <c r="N5129" s="43">
        <f>IF($I5129=0,0,MIN(SUMIFS(SondBetrag,SondDarl,11,SondDatum,"&gt;="&amp;$E5129,SondDatum,"&lt;="&amp;EOMONTH($E5129,0)),$J5129-$M5129))</f>
      </c>
      <c r="O5129" s="43">
        <f>IF($I5129=0,0,INDEX(DarlErsatzRate,11))</f>
      </c>
      <c r="P5129" s="43">
        <f>IF($I5129=0,0,$Q5128*INDEX(DarlErsatzZins,11))</f>
      </c>
      <c r="Q5129" s="43">
        <f>IF($I5129=0,0,$Q5128+$P5129+$O5129)</f>
      </c>
      <c r="R5129" s="43">
        <f>IF($I5129=0,0,$J5129-$M5129-$N5129)</f>
      </c>
    </row>
    <row r="5130">
      <c r="A5130"/>
      <c r="B5130">
        <v>11</v>
      </c>
      <c r="C5130" s="43">
        <f>INDEX(DarlObj,11)</f>
      </c>
      <c r="D5130">
        <v>327</v>
      </c>
      <c r="E5130" s="51">
        <f>IF(INDEX(DarlBelegt,11)=0,0,EOMONTH(INDEX(DarlAuszahlung,11),326)+1)</f>
      </c>
      <c r="F5130" s="43">
        <f>IF($E5130=0,0,YEAR($E5130))</f>
      </c>
      <c r="G5130" s="43">
        <f>IF(INDEX(DarlBindung,11)="",1,IF($E5130&lt;=INDEX(DarlBindung,11),1,0))</f>
      </c>
      <c r="H5130" s="43">
        <f>IF($G5130=1,INDEX(DarlSollzins,11),INDEX(DarlAnschluss,11))</f>
      </c>
      <c r="I5130" s="43">
        <f>IF(INDEX(DarlBelegt,11)=0,0,IF(INDEX(DarlOhneTilgung,11)=1,IF(INDEX(DarlBindung,11)="",1,$G5130),IF($J5130&gt;0.005,1,0)))</f>
      </c>
      <c r="J5130" s="43">
        <f>IF($I5129=0,0,$R5129)</f>
      </c>
      <c r="K5130" s="43">
        <f>IF($I5130=0,0,IF(INDEX(DarlOhneTilgung,11)=1,0,IF(AND(INDEX(DarlTilgStart,11)&gt;0,$E5130=INDEX(DarlTilgStart,11)),$J5130*($H5130+INDEX(DarlTilgung,11))/100/12,IF(AND($G5130=0,$G5129=1),MAX($K5129,$J5130*($H5130+1)/100/12),$K5129))))</f>
      </c>
      <c r="L5130" s="43">
        <f>IF($I5130=0,0,$J5130*$H5130/100/12)</f>
      </c>
      <c r="M5130" s="43">
        <f>IF($I5130=0,0,IF(OR(INDEX(DarlOhneTilgung,11)=1,AND(INDEX(DarlTilgStart,11)&gt;0,$E5130&lt;INDEX(DarlTilgStart,11))),0,MIN(MAX(0,$K5130-$L5130),$J5130)))</f>
      </c>
      <c r="N5130" s="43">
        <f>IF($I5130=0,0,MIN(SUMIFS(SondBetrag,SondDarl,11,SondDatum,"&gt;="&amp;$E5130,SondDatum,"&lt;="&amp;EOMONTH($E5130,0)),$J5130-$M5130))</f>
      </c>
      <c r="O5130" s="43">
        <f>IF($I5130=0,0,INDEX(DarlErsatzRate,11))</f>
      </c>
      <c r="P5130" s="43">
        <f>IF($I5130=0,0,$Q5129*INDEX(DarlErsatzZins,11))</f>
      </c>
      <c r="Q5130" s="43">
        <f>IF($I5130=0,0,$Q5129+$P5130+$O5130)</f>
      </c>
      <c r="R5130" s="43">
        <f>IF($I5130=0,0,$J5130-$M5130-$N5130)</f>
      </c>
    </row>
    <row r="5131">
      <c r="A5131"/>
      <c r="B5131">
        <v>11</v>
      </c>
      <c r="C5131" s="43">
        <f>INDEX(DarlObj,11)</f>
      </c>
      <c r="D5131">
        <v>328</v>
      </c>
      <c r="E5131" s="51">
        <f>IF(INDEX(DarlBelegt,11)=0,0,EOMONTH(INDEX(DarlAuszahlung,11),327)+1)</f>
      </c>
      <c r="F5131" s="43">
        <f>IF($E5131=0,0,YEAR($E5131))</f>
      </c>
      <c r="G5131" s="43">
        <f>IF(INDEX(DarlBindung,11)="",1,IF($E5131&lt;=INDEX(DarlBindung,11),1,0))</f>
      </c>
      <c r="H5131" s="43">
        <f>IF($G5131=1,INDEX(DarlSollzins,11),INDEX(DarlAnschluss,11))</f>
      </c>
      <c r="I5131" s="43">
        <f>IF(INDEX(DarlBelegt,11)=0,0,IF(INDEX(DarlOhneTilgung,11)=1,IF(INDEX(DarlBindung,11)="",1,$G5131),IF($J5131&gt;0.005,1,0)))</f>
      </c>
      <c r="J5131" s="43">
        <f>IF($I5130=0,0,$R5130)</f>
      </c>
      <c r="K5131" s="43">
        <f>IF($I5131=0,0,IF(INDEX(DarlOhneTilgung,11)=1,0,IF(AND(INDEX(DarlTilgStart,11)&gt;0,$E5131=INDEX(DarlTilgStart,11)),$J5131*($H5131+INDEX(DarlTilgung,11))/100/12,IF(AND($G5131=0,$G5130=1),MAX($K5130,$J5131*($H5131+1)/100/12),$K5130))))</f>
      </c>
      <c r="L5131" s="43">
        <f>IF($I5131=0,0,$J5131*$H5131/100/12)</f>
      </c>
      <c r="M5131" s="43">
        <f>IF($I5131=0,0,IF(OR(INDEX(DarlOhneTilgung,11)=1,AND(INDEX(DarlTilgStart,11)&gt;0,$E5131&lt;INDEX(DarlTilgStart,11))),0,MIN(MAX(0,$K5131-$L5131),$J5131)))</f>
      </c>
      <c r="N5131" s="43">
        <f>IF($I5131=0,0,MIN(SUMIFS(SondBetrag,SondDarl,11,SondDatum,"&gt;="&amp;$E5131,SondDatum,"&lt;="&amp;EOMONTH($E5131,0)),$J5131-$M5131))</f>
      </c>
      <c r="O5131" s="43">
        <f>IF($I5131=0,0,INDEX(DarlErsatzRate,11))</f>
      </c>
      <c r="P5131" s="43">
        <f>IF($I5131=0,0,$Q5130*INDEX(DarlErsatzZins,11))</f>
      </c>
      <c r="Q5131" s="43">
        <f>IF($I5131=0,0,$Q5130+$P5131+$O5131)</f>
      </c>
      <c r="R5131" s="43">
        <f>IF($I5131=0,0,$J5131-$M5131-$N5131)</f>
      </c>
    </row>
    <row r="5132">
      <c r="A5132"/>
      <c r="B5132">
        <v>11</v>
      </c>
      <c r="C5132" s="43">
        <f>INDEX(DarlObj,11)</f>
      </c>
      <c r="D5132">
        <v>329</v>
      </c>
      <c r="E5132" s="51">
        <f>IF(INDEX(DarlBelegt,11)=0,0,EOMONTH(INDEX(DarlAuszahlung,11),328)+1)</f>
      </c>
      <c r="F5132" s="43">
        <f>IF($E5132=0,0,YEAR($E5132))</f>
      </c>
      <c r="G5132" s="43">
        <f>IF(INDEX(DarlBindung,11)="",1,IF($E5132&lt;=INDEX(DarlBindung,11),1,0))</f>
      </c>
      <c r="H5132" s="43">
        <f>IF($G5132=1,INDEX(DarlSollzins,11),INDEX(DarlAnschluss,11))</f>
      </c>
      <c r="I5132" s="43">
        <f>IF(INDEX(DarlBelegt,11)=0,0,IF(INDEX(DarlOhneTilgung,11)=1,IF(INDEX(DarlBindung,11)="",1,$G5132),IF($J5132&gt;0.005,1,0)))</f>
      </c>
      <c r="J5132" s="43">
        <f>IF($I5131=0,0,$R5131)</f>
      </c>
      <c r="K5132" s="43">
        <f>IF($I5132=0,0,IF(INDEX(DarlOhneTilgung,11)=1,0,IF(AND(INDEX(DarlTilgStart,11)&gt;0,$E5132=INDEX(DarlTilgStart,11)),$J5132*($H5132+INDEX(DarlTilgung,11))/100/12,IF(AND($G5132=0,$G5131=1),MAX($K5131,$J5132*($H5132+1)/100/12),$K5131))))</f>
      </c>
      <c r="L5132" s="43">
        <f>IF($I5132=0,0,$J5132*$H5132/100/12)</f>
      </c>
      <c r="M5132" s="43">
        <f>IF($I5132=0,0,IF(OR(INDEX(DarlOhneTilgung,11)=1,AND(INDEX(DarlTilgStart,11)&gt;0,$E5132&lt;INDEX(DarlTilgStart,11))),0,MIN(MAX(0,$K5132-$L5132),$J5132)))</f>
      </c>
      <c r="N5132" s="43">
        <f>IF($I5132=0,0,MIN(SUMIFS(SondBetrag,SondDarl,11,SondDatum,"&gt;="&amp;$E5132,SondDatum,"&lt;="&amp;EOMONTH($E5132,0)),$J5132-$M5132))</f>
      </c>
      <c r="O5132" s="43">
        <f>IF($I5132=0,0,INDEX(DarlErsatzRate,11))</f>
      </c>
      <c r="P5132" s="43">
        <f>IF($I5132=0,0,$Q5131*INDEX(DarlErsatzZins,11))</f>
      </c>
      <c r="Q5132" s="43">
        <f>IF($I5132=0,0,$Q5131+$P5132+$O5132)</f>
      </c>
      <c r="R5132" s="43">
        <f>IF($I5132=0,0,$J5132-$M5132-$N5132)</f>
      </c>
    </row>
    <row r="5133">
      <c r="A5133"/>
      <c r="B5133">
        <v>11</v>
      </c>
      <c r="C5133" s="43">
        <f>INDEX(DarlObj,11)</f>
      </c>
      <c r="D5133">
        <v>330</v>
      </c>
      <c r="E5133" s="51">
        <f>IF(INDEX(DarlBelegt,11)=0,0,EOMONTH(INDEX(DarlAuszahlung,11),329)+1)</f>
      </c>
      <c r="F5133" s="43">
        <f>IF($E5133=0,0,YEAR($E5133))</f>
      </c>
      <c r="G5133" s="43">
        <f>IF(INDEX(DarlBindung,11)="",1,IF($E5133&lt;=INDEX(DarlBindung,11),1,0))</f>
      </c>
      <c r="H5133" s="43">
        <f>IF($G5133=1,INDEX(DarlSollzins,11),INDEX(DarlAnschluss,11))</f>
      </c>
      <c r="I5133" s="43">
        <f>IF(INDEX(DarlBelegt,11)=0,0,IF(INDEX(DarlOhneTilgung,11)=1,IF(INDEX(DarlBindung,11)="",1,$G5133),IF($J5133&gt;0.005,1,0)))</f>
      </c>
      <c r="J5133" s="43">
        <f>IF($I5132=0,0,$R5132)</f>
      </c>
      <c r="K5133" s="43">
        <f>IF($I5133=0,0,IF(INDEX(DarlOhneTilgung,11)=1,0,IF(AND(INDEX(DarlTilgStart,11)&gt;0,$E5133=INDEX(DarlTilgStart,11)),$J5133*($H5133+INDEX(DarlTilgung,11))/100/12,IF(AND($G5133=0,$G5132=1),MAX($K5132,$J5133*($H5133+1)/100/12),$K5132))))</f>
      </c>
      <c r="L5133" s="43">
        <f>IF($I5133=0,0,$J5133*$H5133/100/12)</f>
      </c>
      <c r="M5133" s="43">
        <f>IF($I5133=0,0,IF(OR(INDEX(DarlOhneTilgung,11)=1,AND(INDEX(DarlTilgStart,11)&gt;0,$E5133&lt;INDEX(DarlTilgStart,11))),0,MIN(MAX(0,$K5133-$L5133),$J5133)))</f>
      </c>
      <c r="N5133" s="43">
        <f>IF($I5133=0,0,MIN(SUMIFS(SondBetrag,SondDarl,11,SondDatum,"&gt;="&amp;$E5133,SondDatum,"&lt;="&amp;EOMONTH($E5133,0)),$J5133-$M5133))</f>
      </c>
      <c r="O5133" s="43">
        <f>IF($I5133=0,0,INDEX(DarlErsatzRate,11))</f>
      </c>
      <c r="P5133" s="43">
        <f>IF($I5133=0,0,$Q5132*INDEX(DarlErsatzZins,11))</f>
      </c>
      <c r="Q5133" s="43">
        <f>IF($I5133=0,0,$Q5132+$P5133+$O5133)</f>
      </c>
      <c r="R5133" s="43">
        <f>IF($I5133=0,0,$J5133-$M5133-$N5133)</f>
      </c>
    </row>
    <row r="5134">
      <c r="A5134"/>
      <c r="B5134">
        <v>11</v>
      </c>
      <c r="C5134" s="43">
        <f>INDEX(DarlObj,11)</f>
      </c>
      <c r="D5134">
        <v>331</v>
      </c>
      <c r="E5134" s="51">
        <f>IF(INDEX(DarlBelegt,11)=0,0,EOMONTH(INDEX(DarlAuszahlung,11),330)+1)</f>
      </c>
      <c r="F5134" s="43">
        <f>IF($E5134=0,0,YEAR($E5134))</f>
      </c>
      <c r="G5134" s="43">
        <f>IF(INDEX(DarlBindung,11)="",1,IF($E5134&lt;=INDEX(DarlBindung,11),1,0))</f>
      </c>
      <c r="H5134" s="43">
        <f>IF($G5134=1,INDEX(DarlSollzins,11),INDEX(DarlAnschluss,11))</f>
      </c>
      <c r="I5134" s="43">
        <f>IF(INDEX(DarlBelegt,11)=0,0,IF(INDEX(DarlOhneTilgung,11)=1,IF(INDEX(DarlBindung,11)="",1,$G5134),IF($J5134&gt;0.005,1,0)))</f>
      </c>
      <c r="J5134" s="43">
        <f>IF($I5133=0,0,$R5133)</f>
      </c>
      <c r="K5134" s="43">
        <f>IF($I5134=0,0,IF(INDEX(DarlOhneTilgung,11)=1,0,IF(AND(INDEX(DarlTilgStart,11)&gt;0,$E5134=INDEX(DarlTilgStart,11)),$J5134*($H5134+INDEX(DarlTilgung,11))/100/12,IF(AND($G5134=0,$G5133=1),MAX($K5133,$J5134*($H5134+1)/100/12),$K5133))))</f>
      </c>
      <c r="L5134" s="43">
        <f>IF($I5134=0,0,$J5134*$H5134/100/12)</f>
      </c>
      <c r="M5134" s="43">
        <f>IF($I5134=0,0,IF(OR(INDEX(DarlOhneTilgung,11)=1,AND(INDEX(DarlTilgStart,11)&gt;0,$E5134&lt;INDEX(DarlTilgStart,11))),0,MIN(MAX(0,$K5134-$L5134),$J5134)))</f>
      </c>
      <c r="N5134" s="43">
        <f>IF($I5134=0,0,MIN(SUMIFS(SondBetrag,SondDarl,11,SondDatum,"&gt;="&amp;$E5134,SondDatum,"&lt;="&amp;EOMONTH($E5134,0)),$J5134-$M5134))</f>
      </c>
      <c r="O5134" s="43">
        <f>IF($I5134=0,0,INDEX(DarlErsatzRate,11))</f>
      </c>
      <c r="P5134" s="43">
        <f>IF($I5134=0,0,$Q5133*INDEX(DarlErsatzZins,11))</f>
      </c>
      <c r="Q5134" s="43">
        <f>IF($I5134=0,0,$Q5133+$P5134+$O5134)</f>
      </c>
      <c r="R5134" s="43">
        <f>IF($I5134=0,0,$J5134-$M5134-$N5134)</f>
      </c>
    </row>
    <row r="5135">
      <c r="A5135"/>
      <c r="B5135">
        <v>11</v>
      </c>
      <c r="C5135" s="43">
        <f>INDEX(DarlObj,11)</f>
      </c>
      <c r="D5135">
        <v>332</v>
      </c>
      <c r="E5135" s="51">
        <f>IF(INDEX(DarlBelegt,11)=0,0,EOMONTH(INDEX(DarlAuszahlung,11),331)+1)</f>
      </c>
      <c r="F5135" s="43">
        <f>IF($E5135=0,0,YEAR($E5135))</f>
      </c>
      <c r="G5135" s="43">
        <f>IF(INDEX(DarlBindung,11)="",1,IF($E5135&lt;=INDEX(DarlBindung,11),1,0))</f>
      </c>
      <c r="H5135" s="43">
        <f>IF($G5135=1,INDEX(DarlSollzins,11),INDEX(DarlAnschluss,11))</f>
      </c>
      <c r="I5135" s="43">
        <f>IF(INDEX(DarlBelegt,11)=0,0,IF(INDEX(DarlOhneTilgung,11)=1,IF(INDEX(DarlBindung,11)="",1,$G5135),IF($J5135&gt;0.005,1,0)))</f>
      </c>
      <c r="J5135" s="43">
        <f>IF($I5134=0,0,$R5134)</f>
      </c>
      <c r="K5135" s="43">
        <f>IF($I5135=0,0,IF(INDEX(DarlOhneTilgung,11)=1,0,IF(AND(INDEX(DarlTilgStart,11)&gt;0,$E5135=INDEX(DarlTilgStart,11)),$J5135*($H5135+INDEX(DarlTilgung,11))/100/12,IF(AND($G5135=0,$G5134=1),MAX($K5134,$J5135*($H5135+1)/100/12),$K5134))))</f>
      </c>
      <c r="L5135" s="43">
        <f>IF($I5135=0,0,$J5135*$H5135/100/12)</f>
      </c>
      <c r="M5135" s="43">
        <f>IF($I5135=0,0,IF(OR(INDEX(DarlOhneTilgung,11)=1,AND(INDEX(DarlTilgStart,11)&gt;0,$E5135&lt;INDEX(DarlTilgStart,11))),0,MIN(MAX(0,$K5135-$L5135),$J5135)))</f>
      </c>
      <c r="N5135" s="43">
        <f>IF($I5135=0,0,MIN(SUMIFS(SondBetrag,SondDarl,11,SondDatum,"&gt;="&amp;$E5135,SondDatum,"&lt;="&amp;EOMONTH($E5135,0)),$J5135-$M5135))</f>
      </c>
      <c r="O5135" s="43">
        <f>IF($I5135=0,0,INDEX(DarlErsatzRate,11))</f>
      </c>
      <c r="P5135" s="43">
        <f>IF($I5135=0,0,$Q5134*INDEX(DarlErsatzZins,11))</f>
      </c>
      <c r="Q5135" s="43">
        <f>IF($I5135=0,0,$Q5134+$P5135+$O5135)</f>
      </c>
      <c r="R5135" s="43">
        <f>IF($I5135=0,0,$J5135-$M5135-$N5135)</f>
      </c>
    </row>
    <row r="5136">
      <c r="A5136"/>
      <c r="B5136">
        <v>11</v>
      </c>
      <c r="C5136" s="43">
        <f>INDEX(DarlObj,11)</f>
      </c>
      <c r="D5136">
        <v>333</v>
      </c>
      <c r="E5136" s="51">
        <f>IF(INDEX(DarlBelegt,11)=0,0,EOMONTH(INDEX(DarlAuszahlung,11),332)+1)</f>
      </c>
      <c r="F5136" s="43">
        <f>IF($E5136=0,0,YEAR($E5136))</f>
      </c>
      <c r="G5136" s="43">
        <f>IF(INDEX(DarlBindung,11)="",1,IF($E5136&lt;=INDEX(DarlBindung,11),1,0))</f>
      </c>
      <c r="H5136" s="43">
        <f>IF($G5136=1,INDEX(DarlSollzins,11),INDEX(DarlAnschluss,11))</f>
      </c>
      <c r="I5136" s="43">
        <f>IF(INDEX(DarlBelegt,11)=0,0,IF(INDEX(DarlOhneTilgung,11)=1,IF(INDEX(DarlBindung,11)="",1,$G5136),IF($J5136&gt;0.005,1,0)))</f>
      </c>
      <c r="J5136" s="43">
        <f>IF($I5135=0,0,$R5135)</f>
      </c>
      <c r="K5136" s="43">
        <f>IF($I5136=0,0,IF(INDEX(DarlOhneTilgung,11)=1,0,IF(AND(INDEX(DarlTilgStart,11)&gt;0,$E5136=INDEX(DarlTilgStart,11)),$J5136*($H5136+INDEX(DarlTilgung,11))/100/12,IF(AND($G5136=0,$G5135=1),MAX($K5135,$J5136*($H5136+1)/100/12),$K5135))))</f>
      </c>
      <c r="L5136" s="43">
        <f>IF($I5136=0,0,$J5136*$H5136/100/12)</f>
      </c>
      <c r="M5136" s="43">
        <f>IF($I5136=0,0,IF(OR(INDEX(DarlOhneTilgung,11)=1,AND(INDEX(DarlTilgStart,11)&gt;0,$E5136&lt;INDEX(DarlTilgStart,11))),0,MIN(MAX(0,$K5136-$L5136),$J5136)))</f>
      </c>
      <c r="N5136" s="43">
        <f>IF($I5136=0,0,MIN(SUMIFS(SondBetrag,SondDarl,11,SondDatum,"&gt;="&amp;$E5136,SondDatum,"&lt;="&amp;EOMONTH($E5136,0)),$J5136-$M5136))</f>
      </c>
      <c r="O5136" s="43">
        <f>IF($I5136=0,0,INDEX(DarlErsatzRate,11))</f>
      </c>
      <c r="P5136" s="43">
        <f>IF($I5136=0,0,$Q5135*INDEX(DarlErsatzZins,11))</f>
      </c>
      <c r="Q5136" s="43">
        <f>IF($I5136=0,0,$Q5135+$P5136+$O5136)</f>
      </c>
      <c r="R5136" s="43">
        <f>IF($I5136=0,0,$J5136-$M5136-$N5136)</f>
      </c>
    </row>
    <row r="5137">
      <c r="A5137"/>
      <c r="B5137">
        <v>11</v>
      </c>
      <c r="C5137" s="43">
        <f>INDEX(DarlObj,11)</f>
      </c>
      <c r="D5137">
        <v>334</v>
      </c>
      <c r="E5137" s="51">
        <f>IF(INDEX(DarlBelegt,11)=0,0,EOMONTH(INDEX(DarlAuszahlung,11),333)+1)</f>
      </c>
      <c r="F5137" s="43">
        <f>IF($E5137=0,0,YEAR($E5137))</f>
      </c>
      <c r="G5137" s="43">
        <f>IF(INDEX(DarlBindung,11)="",1,IF($E5137&lt;=INDEX(DarlBindung,11),1,0))</f>
      </c>
      <c r="H5137" s="43">
        <f>IF($G5137=1,INDEX(DarlSollzins,11),INDEX(DarlAnschluss,11))</f>
      </c>
      <c r="I5137" s="43">
        <f>IF(INDEX(DarlBelegt,11)=0,0,IF(INDEX(DarlOhneTilgung,11)=1,IF(INDEX(DarlBindung,11)="",1,$G5137),IF($J5137&gt;0.005,1,0)))</f>
      </c>
      <c r="J5137" s="43">
        <f>IF($I5136=0,0,$R5136)</f>
      </c>
      <c r="K5137" s="43">
        <f>IF($I5137=0,0,IF(INDEX(DarlOhneTilgung,11)=1,0,IF(AND(INDEX(DarlTilgStart,11)&gt;0,$E5137=INDEX(DarlTilgStart,11)),$J5137*($H5137+INDEX(DarlTilgung,11))/100/12,IF(AND($G5137=0,$G5136=1),MAX($K5136,$J5137*($H5137+1)/100/12),$K5136))))</f>
      </c>
      <c r="L5137" s="43">
        <f>IF($I5137=0,0,$J5137*$H5137/100/12)</f>
      </c>
      <c r="M5137" s="43">
        <f>IF($I5137=0,0,IF(OR(INDEX(DarlOhneTilgung,11)=1,AND(INDEX(DarlTilgStart,11)&gt;0,$E5137&lt;INDEX(DarlTilgStart,11))),0,MIN(MAX(0,$K5137-$L5137),$J5137)))</f>
      </c>
      <c r="N5137" s="43">
        <f>IF($I5137=0,0,MIN(SUMIFS(SondBetrag,SondDarl,11,SondDatum,"&gt;="&amp;$E5137,SondDatum,"&lt;="&amp;EOMONTH($E5137,0)),$J5137-$M5137))</f>
      </c>
      <c r="O5137" s="43">
        <f>IF($I5137=0,0,INDEX(DarlErsatzRate,11))</f>
      </c>
      <c r="P5137" s="43">
        <f>IF($I5137=0,0,$Q5136*INDEX(DarlErsatzZins,11))</f>
      </c>
      <c r="Q5137" s="43">
        <f>IF($I5137=0,0,$Q5136+$P5137+$O5137)</f>
      </c>
      <c r="R5137" s="43">
        <f>IF($I5137=0,0,$J5137-$M5137-$N5137)</f>
      </c>
    </row>
    <row r="5138">
      <c r="A5138"/>
      <c r="B5138">
        <v>11</v>
      </c>
      <c r="C5138" s="43">
        <f>INDEX(DarlObj,11)</f>
      </c>
      <c r="D5138">
        <v>335</v>
      </c>
      <c r="E5138" s="51">
        <f>IF(INDEX(DarlBelegt,11)=0,0,EOMONTH(INDEX(DarlAuszahlung,11),334)+1)</f>
      </c>
      <c r="F5138" s="43">
        <f>IF($E5138=0,0,YEAR($E5138))</f>
      </c>
      <c r="G5138" s="43">
        <f>IF(INDEX(DarlBindung,11)="",1,IF($E5138&lt;=INDEX(DarlBindung,11),1,0))</f>
      </c>
      <c r="H5138" s="43">
        <f>IF($G5138=1,INDEX(DarlSollzins,11),INDEX(DarlAnschluss,11))</f>
      </c>
      <c r="I5138" s="43">
        <f>IF(INDEX(DarlBelegt,11)=0,0,IF(INDEX(DarlOhneTilgung,11)=1,IF(INDEX(DarlBindung,11)="",1,$G5138),IF($J5138&gt;0.005,1,0)))</f>
      </c>
      <c r="J5138" s="43">
        <f>IF($I5137=0,0,$R5137)</f>
      </c>
      <c r="K5138" s="43">
        <f>IF($I5138=0,0,IF(INDEX(DarlOhneTilgung,11)=1,0,IF(AND(INDEX(DarlTilgStart,11)&gt;0,$E5138=INDEX(DarlTilgStart,11)),$J5138*($H5138+INDEX(DarlTilgung,11))/100/12,IF(AND($G5138=0,$G5137=1),MAX($K5137,$J5138*($H5138+1)/100/12),$K5137))))</f>
      </c>
      <c r="L5138" s="43">
        <f>IF($I5138=0,0,$J5138*$H5138/100/12)</f>
      </c>
      <c r="M5138" s="43">
        <f>IF($I5138=0,0,IF(OR(INDEX(DarlOhneTilgung,11)=1,AND(INDEX(DarlTilgStart,11)&gt;0,$E5138&lt;INDEX(DarlTilgStart,11))),0,MIN(MAX(0,$K5138-$L5138),$J5138)))</f>
      </c>
      <c r="N5138" s="43">
        <f>IF($I5138=0,0,MIN(SUMIFS(SondBetrag,SondDarl,11,SondDatum,"&gt;="&amp;$E5138,SondDatum,"&lt;="&amp;EOMONTH($E5138,0)),$J5138-$M5138))</f>
      </c>
      <c r="O5138" s="43">
        <f>IF($I5138=0,0,INDEX(DarlErsatzRate,11))</f>
      </c>
      <c r="P5138" s="43">
        <f>IF($I5138=0,0,$Q5137*INDEX(DarlErsatzZins,11))</f>
      </c>
      <c r="Q5138" s="43">
        <f>IF($I5138=0,0,$Q5137+$P5138+$O5138)</f>
      </c>
      <c r="R5138" s="43">
        <f>IF($I5138=0,0,$J5138-$M5138-$N5138)</f>
      </c>
    </row>
    <row r="5139">
      <c r="A5139"/>
      <c r="B5139">
        <v>11</v>
      </c>
      <c r="C5139" s="43">
        <f>INDEX(DarlObj,11)</f>
      </c>
      <c r="D5139">
        <v>336</v>
      </c>
      <c r="E5139" s="51">
        <f>IF(INDEX(DarlBelegt,11)=0,0,EOMONTH(INDEX(DarlAuszahlung,11),335)+1)</f>
      </c>
      <c r="F5139" s="43">
        <f>IF($E5139=0,0,YEAR($E5139))</f>
      </c>
      <c r="G5139" s="43">
        <f>IF(INDEX(DarlBindung,11)="",1,IF($E5139&lt;=INDEX(DarlBindung,11),1,0))</f>
      </c>
      <c r="H5139" s="43">
        <f>IF($G5139=1,INDEX(DarlSollzins,11),INDEX(DarlAnschluss,11))</f>
      </c>
      <c r="I5139" s="43">
        <f>IF(INDEX(DarlBelegt,11)=0,0,IF(INDEX(DarlOhneTilgung,11)=1,IF(INDEX(DarlBindung,11)="",1,$G5139),IF($J5139&gt;0.005,1,0)))</f>
      </c>
      <c r="J5139" s="43">
        <f>IF($I5138=0,0,$R5138)</f>
      </c>
      <c r="K5139" s="43">
        <f>IF($I5139=0,0,IF(INDEX(DarlOhneTilgung,11)=1,0,IF(AND(INDEX(DarlTilgStart,11)&gt;0,$E5139=INDEX(DarlTilgStart,11)),$J5139*($H5139+INDEX(DarlTilgung,11))/100/12,IF(AND($G5139=0,$G5138=1),MAX($K5138,$J5139*($H5139+1)/100/12),$K5138))))</f>
      </c>
      <c r="L5139" s="43">
        <f>IF($I5139=0,0,$J5139*$H5139/100/12)</f>
      </c>
      <c r="M5139" s="43">
        <f>IF($I5139=0,0,IF(OR(INDEX(DarlOhneTilgung,11)=1,AND(INDEX(DarlTilgStart,11)&gt;0,$E5139&lt;INDEX(DarlTilgStart,11))),0,MIN(MAX(0,$K5139-$L5139),$J5139)))</f>
      </c>
      <c r="N5139" s="43">
        <f>IF($I5139=0,0,MIN(SUMIFS(SondBetrag,SondDarl,11,SondDatum,"&gt;="&amp;$E5139,SondDatum,"&lt;="&amp;EOMONTH($E5139,0)),$J5139-$M5139))</f>
      </c>
      <c r="O5139" s="43">
        <f>IF($I5139=0,0,INDEX(DarlErsatzRate,11))</f>
      </c>
      <c r="P5139" s="43">
        <f>IF($I5139=0,0,$Q5138*INDEX(DarlErsatzZins,11))</f>
      </c>
      <c r="Q5139" s="43">
        <f>IF($I5139=0,0,$Q5138+$P5139+$O5139)</f>
      </c>
      <c r="R5139" s="43">
        <f>IF($I5139=0,0,$J5139-$M5139-$N5139)</f>
      </c>
    </row>
    <row r="5140">
      <c r="A5140"/>
      <c r="B5140">
        <v>11</v>
      </c>
      <c r="C5140" s="43">
        <f>INDEX(DarlObj,11)</f>
      </c>
      <c r="D5140">
        <v>337</v>
      </c>
      <c r="E5140" s="51">
        <f>IF(INDEX(DarlBelegt,11)=0,0,EOMONTH(INDEX(DarlAuszahlung,11),336)+1)</f>
      </c>
      <c r="F5140" s="43">
        <f>IF($E5140=0,0,YEAR($E5140))</f>
      </c>
      <c r="G5140" s="43">
        <f>IF(INDEX(DarlBindung,11)="",1,IF($E5140&lt;=INDEX(DarlBindung,11),1,0))</f>
      </c>
      <c r="H5140" s="43">
        <f>IF($G5140=1,INDEX(DarlSollzins,11),INDEX(DarlAnschluss,11))</f>
      </c>
      <c r="I5140" s="43">
        <f>IF(INDEX(DarlBelegt,11)=0,0,IF(INDEX(DarlOhneTilgung,11)=1,IF(INDEX(DarlBindung,11)="",1,$G5140),IF($J5140&gt;0.005,1,0)))</f>
      </c>
      <c r="J5140" s="43">
        <f>IF($I5139=0,0,$R5139)</f>
      </c>
      <c r="K5140" s="43">
        <f>IF($I5140=0,0,IF(INDEX(DarlOhneTilgung,11)=1,0,IF(AND(INDEX(DarlTilgStart,11)&gt;0,$E5140=INDEX(DarlTilgStart,11)),$J5140*($H5140+INDEX(DarlTilgung,11))/100/12,IF(AND($G5140=0,$G5139=1),MAX($K5139,$J5140*($H5140+1)/100/12),$K5139))))</f>
      </c>
      <c r="L5140" s="43">
        <f>IF($I5140=0,0,$J5140*$H5140/100/12)</f>
      </c>
      <c r="M5140" s="43">
        <f>IF($I5140=0,0,IF(OR(INDEX(DarlOhneTilgung,11)=1,AND(INDEX(DarlTilgStart,11)&gt;0,$E5140&lt;INDEX(DarlTilgStart,11))),0,MIN(MAX(0,$K5140-$L5140),$J5140)))</f>
      </c>
      <c r="N5140" s="43">
        <f>IF($I5140=0,0,MIN(SUMIFS(SondBetrag,SondDarl,11,SondDatum,"&gt;="&amp;$E5140,SondDatum,"&lt;="&amp;EOMONTH($E5140,0)),$J5140-$M5140))</f>
      </c>
      <c r="O5140" s="43">
        <f>IF($I5140=0,0,INDEX(DarlErsatzRate,11))</f>
      </c>
      <c r="P5140" s="43">
        <f>IF($I5140=0,0,$Q5139*INDEX(DarlErsatzZins,11))</f>
      </c>
      <c r="Q5140" s="43">
        <f>IF($I5140=0,0,$Q5139+$P5140+$O5140)</f>
      </c>
      <c r="R5140" s="43">
        <f>IF($I5140=0,0,$J5140-$M5140-$N5140)</f>
      </c>
    </row>
    <row r="5141">
      <c r="A5141"/>
      <c r="B5141">
        <v>11</v>
      </c>
      <c r="C5141" s="43">
        <f>INDEX(DarlObj,11)</f>
      </c>
      <c r="D5141">
        <v>338</v>
      </c>
      <c r="E5141" s="51">
        <f>IF(INDEX(DarlBelegt,11)=0,0,EOMONTH(INDEX(DarlAuszahlung,11),337)+1)</f>
      </c>
      <c r="F5141" s="43">
        <f>IF($E5141=0,0,YEAR($E5141))</f>
      </c>
      <c r="G5141" s="43">
        <f>IF(INDEX(DarlBindung,11)="",1,IF($E5141&lt;=INDEX(DarlBindung,11),1,0))</f>
      </c>
      <c r="H5141" s="43">
        <f>IF($G5141=1,INDEX(DarlSollzins,11),INDEX(DarlAnschluss,11))</f>
      </c>
      <c r="I5141" s="43">
        <f>IF(INDEX(DarlBelegt,11)=0,0,IF(INDEX(DarlOhneTilgung,11)=1,IF(INDEX(DarlBindung,11)="",1,$G5141),IF($J5141&gt;0.005,1,0)))</f>
      </c>
      <c r="J5141" s="43">
        <f>IF($I5140=0,0,$R5140)</f>
      </c>
      <c r="K5141" s="43">
        <f>IF($I5141=0,0,IF(INDEX(DarlOhneTilgung,11)=1,0,IF(AND(INDEX(DarlTilgStart,11)&gt;0,$E5141=INDEX(DarlTilgStart,11)),$J5141*($H5141+INDEX(DarlTilgung,11))/100/12,IF(AND($G5141=0,$G5140=1),MAX($K5140,$J5141*($H5141+1)/100/12),$K5140))))</f>
      </c>
      <c r="L5141" s="43">
        <f>IF($I5141=0,0,$J5141*$H5141/100/12)</f>
      </c>
      <c r="M5141" s="43">
        <f>IF($I5141=0,0,IF(OR(INDEX(DarlOhneTilgung,11)=1,AND(INDEX(DarlTilgStart,11)&gt;0,$E5141&lt;INDEX(DarlTilgStart,11))),0,MIN(MAX(0,$K5141-$L5141),$J5141)))</f>
      </c>
      <c r="N5141" s="43">
        <f>IF($I5141=0,0,MIN(SUMIFS(SondBetrag,SondDarl,11,SondDatum,"&gt;="&amp;$E5141,SondDatum,"&lt;="&amp;EOMONTH($E5141,0)),$J5141-$M5141))</f>
      </c>
      <c r="O5141" s="43">
        <f>IF($I5141=0,0,INDEX(DarlErsatzRate,11))</f>
      </c>
      <c r="P5141" s="43">
        <f>IF($I5141=0,0,$Q5140*INDEX(DarlErsatzZins,11))</f>
      </c>
      <c r="Q5141" s="43">
        <f>IF($I5141=0,0,$Q5140+$P5141+$O5141)</f>
      </c>
      <c r="R5141" s="43">
        <f>IF($I5141=0,0,$J5141-$M5141-$N5141)</f>
      </c>
    </row>
    <row r="5142">
      <c r="A5142"/>
      <c r="B5142">
        <v>11</v>
      </c>
      <c r="C5142" s="43">
        <f>INDEX(DarlObj,11)</f>
      </c>
      <c r="D5142">
        <v>339</v>
      </c>
      <c r="E5142" s="51">
        <f>IF(INDEX(DarlBelegt,11)=0,0,EOMONTH(INDEX(DarlAuszahlung,11),338)+1)</f>
      </c>
      <c r="F5142" s="43">
        <f>IF($E5142=0,0,YEAR($E5142))</f>
      </c>
      <c r="G5142" s="43">
        <f>IF(INDEX(DarlBindung,11)="",1,IF($E5142&lt;=INDEX(DarlBindung,11),1,0))</f>
      </c>
      <c r="H5142" s="43">
        <f>IF($G5142=1,INDEX(DarlSollzins,11),INDEX(DarlAnschluss,11))</f>
      </c>
      <c r="I5142" s="43">
        <f>IF(INDEX(DarlBelegt,11)=0,0,IF(INDEX(DarlOhneTilgung,11)=1,IF(INDEX(DarlBindung,11)="",1,$G5142),IF($J5142&gt;0.005,1,0)))</f>
      </c>
      <c r="J5142" s="43">
        <f>IF($I5141=0,0,$R5141)</f>
      </c>
      <c r="K5142" s="43">
        <f>IF($I5142=0,0,IF(INDEX(DarlOhneTilgung,11)=1,0,IF(AND(INDEX(DarlTilgStart,11)&gt;0,$E5142=INDEX(DarlTilgStart,11)),$J5142*($H5142+INDEX(DarlTilgung,11))/100/12,IF(AND($G5142=0,$G5141=1),MAX($K5141,$J5142*($H5142+1)/100/12),$K5141))))</f>
      </c>
      <c r="L5142" s="43">
        <f>IF($I5142=0,0,$J5142*$H5142/100/12)</f>
      </c>
      <c r="M5142" s="43">
        <f>IF($I5142=0,0,IF(OR(INDEX(DarlOhneTilgung,11)=1,AND(INDEX(DarlTilgStart,11)&gt;0,$E5142&lt;INDEX(DarlTilgStart,11))),0,MIN(MAX(0,$K5142-$L5142),$J5142)))</f>
      </c>
      <c r="N5142" s="43">
        <f>IF($I5142=0,0,MIN(SUMIFS(SondBetrag,SondDarl,11,SondDatum,"&gt;="&amp;$E5142,SondDatum,"&lt;="&amp;EOMONTH($E5142,0)),$J5142-$M5142))</f>
      </c>
      <c r="O5142" s="43">
        <f>IF($I5142=0,0,INDEX(DarlErsatzRate,11))</f>
      </c>
      <c r="P5142" s="43">
        <f>IF($I5142=0,0,$Q5141*INDEX(DarlErsatzZins,11))</f>
      </c>
      <c r="Q5142" s="43">
        <f>IF($I5142=0,0,$Q5141+$P5142+$O5142)</f>
      </c>
      <c r="R5142" s="43">
        <f>IF($I5142=0,0,$J5142-$M5142-$N5142)</f>
      </c>
    </row>
    <row r="5143">
      <c r="A5143"/>
      <c r="B5143">
        <v>11</v>
      </c>
      <c r="C5143" s="43">
        <f>INDEX(DarlObj,11)</f>
      </c>
      <c r="D5143">
        <v>340</v>
      </c>
      <c r="E5143" s="51">
        <f>IF(INDEX(DarlBelegt,11)=0,0,EOMONTH(INDEX(DarlAuszahlung,11),339)+1)</f>
      </c>
      <c r="F5143" s="43">
        <f>IF($E5143=0,0,YEAR($E5143))</f>
      </c>
      <c r="G5143" s="43">
        <f>IF(INDEX(DarlBindung,11)="",1,IF($E5143&lt;=INDEX(DarlBindung,11),1,0))</f>
      </c>
      <c r="H5143" s="43">
        <f>IF($G5143=1,INDEX(DarlSollzins,11),INDEX(DarlAnschluss,11))</f>
      </c>
      <c r="I5143" s="43">
        <f>IF(INDEX(DarlBelegt,11)=0,0,IF(INDEX(DarlOhneTilgung,11)=1,IF(INDEX(DarlBindung,11)="",1,$G5143),IF($J5143&gt;0.005,1,0)))</f>
      </c>
      <c r="J5143" s="43">
        <f>IF($I5142=0,0,$R5142)</f>
      </c>
      <c r="K5143" s="43">
        <f>IF($I5143=0,0,IF(INDEX(DarlOhneTilgung,11)=1,0,IF(AND(INDEX(DarlTilgStart,11)&gt;0,$E5143=INDEX(DarlTilgStart,11)),$J5143*($H5143+INDEX(DarlTilgung,11))/100/12,IF(AND($G5143=0,$G5142=1),MAX($K5142,$J5143*($H5143+1)/100/12),$K5142))))</f>
      </c>
      <c r="L5143" s="43">
        <f>IF($I5143=0,0,$J5143*$H5143/100/12)</f>
      </c>
      <c r="M5143" s="43">
        <f>IF($I5143=0,0,IF(OR(INDEX(DarlOhneTilgung,11)=1,AND(INDEX(DarlTilgStart,11)&gt;0,$E5143&lt;INDEX(DarlTilgStart,11))),0,MIN(MAX(0,$K5143-$L5143),$J5143)))</f>
      </c>
      <c r="N5143" s="43">
        <f>IF($I5143=0,0,MIN(SUMIFS(SondBetrag,SondDarl,11,SondDatum,"&gt;="&amp;$E5143,SondDatum,"&lt;="&amp;EOMONTH($E5143,0)),$J5143-$M5143))</f>
      </c>
      <c r="O5143" s="43">
        <f>IF($I5143=0,0,INDEX(DarlErsatzRate,11))</f>
      </c>
      <c r="P5143" s="43">
        <f>IF($I5143=0,0,$Q5142*INDEX(DarlErsatzZins,11))</f>
      </c>
      <c r="Q5143" s="43">
        <f>IF($I5143=0,0,$Q5142+$P5143+$O5143)</f>
      </c>
      <c r="R5143" s="43">
        <f>IF($I5143=0,0,$J5143-$M5143-$N5143)</f>
      </c>
    </row>
    <row r="5144">
      <c r="A5144"/>
      <c r="B5144">
        <v>11</v>
      </c>
      <c r="C5144" s="43">
        <f>INDEX(DarlObj,11)</f>
      </c>
      <c r="D5144">
        <v>341</v>
      </c>
      <c r="E5144" s="51">
        <f>IF(INDEX(DarlBelegt,11)=0,0,EOMONTH(INDEX(DarlAuszahlung,11),340)+1)</f>
      </c>
      <c r="F5144" s="43">
        <f>IF($E5144=0,0,YEAR($E5144))</f>
      </c>
      <c r="G5144" s="43">
        <f>IF(INDEX(DarlBindung,11)="",1,IF($E5144&lt;=INDEX(DarlBindung,11),1,0))</f>
      </c>
      <c r="H5144" s="43">
        <f>IF($G5144=1,INDEX(DarlSollzins,11),INDEX(DarlAnschluss,11))</f>
      </c>
      <c r="I5144" s="43">
        <f>IF(INDEX(DarlBelegt,11)=0,0,IF(INDEX(DarlOhneTilgung,11)=1,IF(INDEX(DarlBindung,11)="",1,$G5144),IF($J5144&gt;0.005,1,0)))</f>
      </c>
      <c r="J5144" s="43">
        <f>IF($I5143=0,0,$R5143)</f>
      </c>
      <c r="K5144" s="43">
        <f>IF($I5144=0,0,IF(INDEX(DarlOhneTilgung,11)=1,0,IF(AND(INDEX(DarlTilgStart,11)&gt;0,$E5144=INDEX(DarlTilgStart,11)),$J5144*($H5144+INDEX(DarlTilgung,11))/100/12,IF(AND($G5144=0,$G5143=1),MAX($K5143,$J5144*($H5144+1)/100/12),$K5143))))</f>
      </c>
      <c r="L5144" s="43">
        <f>IF($I5144=0,0,$J5144*$H5144/100/12)</f>
      </c>
      <c r="M5144" s="43">
        <f>IF($I5144=0,0,IF(OR(INDEX(DarlOhneTilgung,11)=1,AND(INDEX(DarlTilgStart,11)&gt;0,$E5144&lt;INDEX(DarlTilgStart,11))),0,MIN(MAX(0,$K5144-$L5144),$J5144)))</f>
      </c>
      <c r="N5144" s="43">
        <f>IF($I5144=0,0,MIN(SUMIFS(SondBetrag,SondDarl,11,SondDatum,"&gt;="&amp;$E5144,SondDatum,"&lt;="&amp;EOMONTH($E5144,0)),$J5144-$M5144))</f>
      </c>
      <c r="O5144" s="43">
        <f>IF($I5144=0,0,INDEX(DarlErsatzRate,11))</f>
      </c>
      <c r="P5144" s="43">
        <f>IF($I5144=0,0,$Q5143*INDEX(DarlErsatzZins,11))</f>
      </c>
      <c r="Q5144" s="43">
        <f>IF($I5144=0,0,$Q5143+$P5144+$O5144)</f>
      </c>
      <c r="R5144" s="43">
        <f>IF($I5144=0,0,$J5144-$M5144-$N5144)</f>
      </c>
    </row>
    <row r="5145">
      <c r="A5145"/>
      <c r="B5145">
        <v>11</v>
      </c>
      <c r="C5145" s="43">
        <f>INDEX(DarlObj,11)</f>
      </c>
      <c r="D5145">
        <v>342</v>
      </c>
      <c r="E5145" s="51">
        <f>IF(INDEX(DarlBelegt,11)=0,0,EOMONTH(INDEX(DarlAuszahlung,11),341)+1)</f>
      </c>
      <c r="F5145" s="43">
        <f>IF($E5145=0,0,YEAR($E5145))</f>
      </c>
      <c r="G5145" s="43">
        <f>IF(INDEX(DarlBindung,11)="",1,IF($E5145&lt;=INDEX(DarlBindung,11),1,0))</f>
      </c>
      <c r="H5145" s="43">
        <f>IF($G5145=1,INDEX(DarlSollzins,11),INDEX(DarlAnschluss,11))</f>
      </c>
      <c r="I5145" s="43">
        <f>IF(INDEX(DarlBelegt,11)=0,0,IF(INDEX(DarlOhneTilgung,11)=1,IF(INDEX(DarlBindung,11)="",1,$G5145),IF($J5145&gt;0.005,1,0)))</f>
      </c>
      <c r="J5145" s="43">
        <f>IF($I5144=0,0,$R5144)</f>
      </c>
      <c r="K5145" s="43">
        <f>IF($I5145=0,0,IF(INDEX(DarlOhneTilgung,11)=1,0,IF(AND(INDEX(DarlTilgStart,11)&gt;0,$E5145=INDEX(DarlTilgStart,11)),$J5145*($H5145+INDEX(DarlTilgung,11))/100/12,IF(AND($G5145=0,$G5144=1),MAX($K5144,$J5145*($H5145+1)/100/12),$K5144))))</f>
      </c>
      <c r="L5145" s="43">
        <f>IF($I5145=0,0,$J5145*$H5145/100/12)</f>
      </c>
      <c r="M5145" s="43">
        <f>IF($I5145=0,0,IF(OR(INDEX(DarlOhneTilgung,11)=1,AND(INDEX(DarlTilgStart,11)&gt;0,$E5145&lt;INDEX(DarlTilgStart,11))),0,MIN(MAX(0,$K5145-$L5145),$J5145)))</f>
      </c>
      <c r="N5145" s="43">
        <f>IF($I5145=0,0,MIN(SUMIFS(SondBetrag,SondDarl,11,SondDatum,"&gt;="&amp;$E5145,SondDatum,"&lt;="&amp;EOMONTH($E5145,0)),$J5145-$M5145))</f>
      </c>
      <c r="O5145" s="43">
        <f>IF($I5145=0,0,INDEX(DarlErsatzRate,11))</f>
      </c>
      <c r="P5145" s="43">
        <f>IF($I5145=0,0,$Q5144*INDEX(DarlErsatzZins,11))</f>
      </c>
      <c r="Q5145" s="43">
        <f>IF($I5145=0,0,$Q5144+$P5145+$O5145)</f>
      </c>
      <c r="R5145" s="43">
        <f>IF($I5145=0,0,$J5145-$M5145-$N5145)</f>
      </c>
    </row>
    <row r="5146">
      <c r="A5146"/>
      <c r="B5146">
        <v>11</v>
      </c>
      <c r="C5146" s="43">
        <f>INDEX(DarlObj,11)</f>
      </c>
      <c r="D5146">
        <v>343</v>
      </c>
      <c r="E5146" s="51">
        <f>IF(INDEX(DarlBelegt,11)=0,0,EOMONTH(INDEX(DarlAuszahlung,11),342)+1)</f>
      </c>
      <c r="F5146" s="43">
        <f>IF($E5146=0,0,YEAR($E5146))</f>
      </c>
      <c r="G5146" s="43">
        <f>IF(INDEX(DarlBindung,11)="",1,IF($E5146&lt;=INDEX(DarlBindung,11),1,0))</f>
      </c>
      <c r="H5146" s="43">
        <f>IF($G5146=1,INDEX(DarlSollzins,11),INDEX(DarlAnschluss,11))</f>
      </c>
      <c r="I5146" s="43">
        <f>IF(INDEX(DarlBelegt,11)=0,0,IF(INDEX(DarlOhneTilgung,11)=1,IF(INDEX(DarlBindung,11)="",1,$G5146),IF($J5146&gt;0.005,1,0)))</f>
      </c>
      <c r="J5146" s="43">
        <f>IF($I5145=0,0,$R5145)</f>
      </c>
      <c r="K5146" s="43">
        <f>IF($I5146=0,0,IF(INDEX(DarlOhneTilgung,11)=1,0,IF(AND(INDEX(DarlTilgStart,11)&gt;0,$E5146=INDEX(DarlTilgStart,11)),$J5146*($H5146+INDEX(DarlTilgung,11))/100/12,IF(AND($G5146=0,$G5145=1),MAX($K5145,$J5146*($H5146+1)/100/12),$K5145))))</f>
      </c>
      <c r="L5146" s="43">
        <f>IF($I5146=0,0,$J5146*$H5146/100/12)</f>
      </c>
      <c r="M5146" s="43">
        <f>IF($I5146=0,0,IF(OR(INDEX(DarlOhneTilgung,11)=1,AND(INDEX(DarlTilgStart,11)&gt;0,$E5146&lt;INDEX(DarlTilgStart,11))),0,MIN(MAX(0,$K5146-$L5146),$J5146)))</f>
      </c>
      <c r="N5146" s="43">
        <f>IF($I5146=0,0,MIN(SUMIFS(SondBetrag,SondDarl,11,SondDatum,"&gt;="&amp;$E5146,SondDatum,"&lt;="&amp;EOMONTH($E5146,0)),$J5146-$M5146))</f>
      </c>
      <c r="O5146" s="43">
        <f>IF($I5146=0,0,INDEX(DarlErsatzRate,11))</f>
      </c>
      <c r="P5146" s="43">
        <f>IF($I5146=0,0,$Q5145*INDEX(DarlErsatzZins,11))</f>
      </c>
      <c r="Q5146" s="43">
        <f>IF($I5146=0,0,$Q5145+$P5146+$O5146)</f>
      </c>
      <c r="R5146" s="43">
        <f>IF($I5146=0,0,$J5146-$M5146-$N5146)</f>
      </c>
    </row>
    <row r="5147">
      <c r="A5147"/>
      <c r="B5147">
        <v>11</v>
      </c>
      <c r="C5147" s="43">
        <f>INDEX(DarlObj,11)</f>
      </c>
      <c r="D5147">
        <v>344</v>
      </c>
      <c r="E5147" s="51">
        <f>IF(INDEX(DarlBelegt,11)=0,0,EOMONTH(INDEX(DarlAuszahlung,11),343)+1)</f>
      </c>
      <c r="F5147" s="43">
        <f>IF($E5147=0,0,YEAR($E5147))</f>
      </c>
      <c r="G5147" s="43">
        <f>IF(INDEX(DarlBindung,11)="",1,IF($E5147&lt;=INDEX(DarlBindung,11),1,0))</f>
      </c>
      <c r="H5147" s="43">
        <f>IF($G5147=1,INDEX(DarlSollzins,11),INDEX(DarlAnschluss,11))</f>
      </c>
      <c r="I5147" s="43">
        <f>IF(INDEX(DarlBelegt,11)=0,0,IF(INDEX(DarlOhneTilgung,11)=1,IF(INDEX(DarlBindung,11)="",1,$G5147),IF($J5147&gt;0.005,1,0)))</f>
      </c>
      <c r="J5147" s="43">
        <f>IF($I5146=0,0,$R5146)</f>
      </c>
      <c r="K5147" s="43">
        <f>IF($I5147=0,0,IF(INDEX(DarlOhneTilgung,11)=1,0,IF(AND(INDEX(DarlTilgStart,11)&gt;0,$E5147=INDEX(DarlTilgStart,11)),$J5147*($H5147+INDEX(DarlTilgung,11))/100/12,IF(AND($G5147=0,$G5146=1),MAX($K5146,$J5147*($H5147+1)/100/12),$K5146))))</f>
      </c>
      <c r="L5147" s="43">
        <f>IF($I5147=0,0,$J5147*$H5147/100/12)</f>
      </c>
      <c r="M5147" s="43">
        <f>IF($I5147=0,0,IF(OR(INDEX(DarlOhneTilgung,11)=1,AND(INDEX(DarlTilgStart,11)&gt;0,$E5147&lt;INDEX(DarlTilgStart,11))),0,MIN(MAX(0,$K5147-$L5147),$J5147)))</f>
      </c>
      <c r="N5147" s="43">
        <f>IF($I5147=0,0,MIN(SUMIFS(SondBetrag,SondDarl,11,SondDatum,"&gt;="&amp;$E5147,SondDatum,"&lt;="&amp;EOMONTH($E5147,0)),$J5147-$M5147))</f>
      </c>
      <c r="O5147" s="43">
        <f>IF($I5147=0,0,INDEX(DarlErsatzRate,11))</f>
      </c>
      <c r="P5147" s="43">
        <f>IF($I5147=0,0,$Q5146*INDEX(DarlErsatzZins,11))</f>
      </c>
      <c r="Q5147" s="43">
        <f>IF($I5147=0,0,$Q5146+$P5147+$O5147)</f>
      </c>
      <c r="R5147" s="43">
        <f>IF($I5147=0,0,$J5147-$M5147-$N5147)</f>
      </c>
    </row>
    <row r="5148">
      <c r="A5148"/>
      <c r="B5148">
        <v>11</v>
      </c>
      <c r="C5148" s="43">
        <f>INDEX(DarlObj,11)</f>
      </c>
      <c r="D5148">
        <v>345</v>
      </c>
      <c r="E5148" s="51">
        <f>IF(INDEX(DarlBelegt,11)=0,0,EOMONTH(INDEX(DarlAuszahlung,11),344)+1)</f>
      </c>
      <c r="F5148" s="43">
        <f>IF($E5148=0,0,YEAR($E5148))</f>
      </c>
      <c r="G5148" s="43">
        <f>IF(INDEX(DarlBindung,11)="",1,IF($E5148&lt;=INDEX(DarlBindung,11),1,0))</f>
      </c>
      <c r="H5148" s="43">
        <f>IF($G5148=1,INDEX(DarlSollzins,11),INDEX(DarlAnschluss,11))</f>
      </c>
      <c r="I5148" s="43">
        <f>IF(INDEX(DarlBelegt,11)=0,0,IF(INDEX(DarlOhneTilgung,11)=1,IF(INDEX(DarlBindung,11)="",1,$G5148),IF($J5148&gt;0.005,1,0)))</f>
      </c>
      <c r="J5148" s="43">
        <f>IF($I5147=0,0,$R5147)</f>
      </c>
      <c r="K5148" s="43">
        <f>IF($I5148=0,0,IF(INDEX(DarlOhneTilgung,11)=1,0,IF(AND(INDEX(DarlTilgStart,11)&gt;0,$E5148=INDEX(DarlTilgStart,11)),$J5148*($H5148+INDEX(DarlTilgung,11))/100/12,IF(AND($G5148=0,$G5147=1),MAX($K5147,$J5148*($H5148+1)/100/12),$K5147))))</f>
      </c>
      <c r="L5148" s="43">
        <f>IF($I5148=0,0,$J5148*$H5148/100/12)</f>
      </c>
      <c r="M5148" s="43">
        <f>IF($I5148=0,0,IF(OR(INDEX(DarlOhneTilgung,11)=1,AND(INDEX(DarlTilgStart,11)&gt;0,$E5148&lt;INDEX(DarlTilgStart,11))),0,MIN(MAX(0,$K5148-$L5148),$J5148)))</f>
      </c>
      <c r="N5148" s="43">
        <f>IF($I5148=0,0,MIN(SUMIFS(SondBetrag,SondDarl,11,SondDatum,"&gt;="&amp;$E5148,SondDatum,"&lt;="&amp;EOMONTH($E5148,0)),$J5148-$M5148))</f>
      </c>
      <c r="O5148" s="43">
        <f>IF($I5148=0,0,INDEX(DarlErsatzRate,11))</f>
      </c>
      <c r="P5148" s="43">
        <f>IF($I5148=0,0,$Q5147*INDEX(DarlErsatzZins,11))</f>
      </c>
      <c r="Q5148" s="43">
        <f>IF($I5148=0,0,$Q5147+$P5148+$O5148)</f>
      </c>
      <c r="R5148" s="43">
        <f>IF($I5148=0,0,$J5148-$M5148-$N5148)</f>
      </c>
    </row>
    <row r="5149">
      <c r="A5149"/>
      <c r="B5149">
        <v>11</v>
      </c>
      <c r="C5149" s="43">
        <f>INDEX(DarlObj,11)</f>
      </c>
      <c r="D5149">
        <v>346</v>
      </c>
      <c r="E5149" s="51">
        <f>IF(INDEX(DarlBelegt,11)=0,0,EOMONTH(INDEX(DarlAuszahlung,11),345)+1)</f>
      </c>
      <c r="F5149" s="43">
        <f>IF($E5149=0,0,YEAR($E5149))</f>
      </c>
      <c r="G5149" s="43">
        <f>IF(INDEX(DarlBindung,11)="",1,IF($E5149&lt;=INDEX(DarlBindung,11),1,0))</f>
      </c>
      <c r="H5149" s="43">
        <f>IF($G5149=1,INDEX(DarlSollzins,11),INDEX(DarlAnschluss,11))</f>
      </c>
      <c r="I5149" s="43">
        <f>IF(INDEX(DarlBelegt,11)=0,0,IF(INDEX(DarlOhneTilgung,11)=1,IF(INDEX(DarlBindung,11)="",1,$G5149),IF($J5149&gt;0.005,1,0)))</f>
      </c>
      <c r="J5149" s="43">
        <f>IF($I5148=0,0,$R5148)</f>
      </c>
      <c r="K5149" s="43">
        <f>IF($I5149=0,0,IF(INDEX(DarlOhneTilgung,11)=1,0,IF(AND(INDEX(DarlTilgStart,11)&gt;0,$E5149=INDEX(DarlTilgStart,11)),$J5149*($H5149+INDEX(DarlTilgung,11))/100/12,IF(AND($G5149=0,$G5148=1),MAX($K5148,$J5149*($H5149+1)/100/12),$K5148))))</f>
      </c>
      <c r="L5149" s="43">
        <f>IF($I5149=0,0,$J5149*$H5149/100/12)</f>
      </c>
      <c r="M5149" s="43">
        <f>IF($I5149=0,0,IF(OR(INDEX(DarlOhneTilgung,11)=1,AND(INDEX(DarlTilgStart,11)&gt;0,$E5149&lt;INDEX(DarlTilgStart,11))),0,MIN(MAX(0,$K5149-$L5149),$J5149)))</f>
      </c>
      <c r="N5149" s="43">
        <f>IF($I5149=0,0,MIN(SUMIFS(SondBetrag,SondDarl,11,SondDatum,"&gt;="&amp;$E5149,SondDatum,"&lt;="&amp;EOMONTH($E5149,0)),$J5149-$M5149))</f>
      </c>
      <c r="O5149" s="43">
        <f>IF($I5149=0,0,INDEX(DarlErsatzRate,11))</f>
      </c>
      <c r="P5149" s="43">
        <f>IF($I5149=0,0,$Q5148*INDEX(DarlErsatzZins,11))</f>
      </c>
      <c r="Q5149" s="43">
        <f>IF($I5149=0,0,$Q5148+$P5149+$O5149)</f>
      </c>
      <c r="R5149" s="43">
        <f>IF($I5149=0,0,$J5149-$M5149-$N5149)</f>
      </c>
    </row>
    <row r="5150">
      <c r="A5150"/>
      <c r="B5150">
        <v>11</v>
      </c>
      <c r="C5150" s="43">
        <f>INDEX(DarlObj,11)</f>
      </c>
      <c r="D5150">
        <v>347</v>
      </c>
      <c r="E5150" s="51">
        <f>IF(INDEX(DarlBelegt,11)=0,0,EOMONTH(INDEX(DarlAuszahlung,11),346)+1)</f>
      </c>
      <c r="F5150" s="43">
        <f>IF($E5150=0,0,YEAR($E5150))</f>
      </c>
      <c r="G5150" s="43">
        <f>IF(INDEX(DarlBindung,11)="",1,IF($E5150&lt;=INDEX(DarlBindung,11),1,0))</f>
      </c>
      <c r="H5150" s="43">
        <f>IF($G5150=1,INDEX(DarlSollzins,11),INDEX(DarlAnschluss,11))</f>
      </c>
      <c r="I5150" s="43">
        <f>IF(INDEX(DarlBelegt,11)=0,0,IF(INDEX(DarlOhneTilgung,11)=1,IF(INDEX(DarlBindung,11)="",1,$G5150),IF($J5150&gt;0.005,1,0)))</f>
      </c>
      <c r="J5150" s="43">
        <f>IF($I5149=0,0,$R5149)</f>
      </c>
      <c r="K5150" s="43">
        <f>IF($I5150=0,0,IF(INDEX(DarlOhneTilgung,11)=1,0,IF(AND(INDEX(DarlTilgStart,11)&gt;0,$E5150=INDEX(DarlTilgStart,11)),$J5150*($H5150+INDEX(DarlTilgung,11))/100/12,IF(AND($G5150=0,$G5149=1),MAX($K5149,$J5150*($H5150+1)/100/12),$K5149))))</f>
      </c>
      <c r="L5150" s="43">
        <f>IF($I5150=0,0,$J5150*$H5150/100/12)</f>
      </c>
      <c r="M5150" s="43">
        <f>IF($I5150=0,0,IF(OR(INDEX(DarlOhneTilgung,11)=1,AND(INDEX(DarlTilgStart,11)&gt;0,$E5150&lt;INDEX(DarlTilgStart,11))),0,MIN(MAX(0,$K5150-$L5150),$J5150)))</f>
      </c>
      <c r="N5150" s="43">
        <f>IF($I5150=0,0,MIN(SUMIFS(SondBetrag,SondDarl,11,SondDatum,"&gt;="&amp;$E5150,SondDatum,"&lt;="&amp;EOMONTH($E5150,0)),$J5150-$M5150))</f>
      </c>
      <c r="O5150" s="43">
        <f>IF($I5150=0,0,INDEX(DarlErsatzRate,11))</f>
      </c>
      <c r="P5150" s="43">
        <f>IF($I5150=0,0,$Q5149*INDEX(DarlErsatzZins,11))</f>
      </c>
      <c r="Q5150" s="43">
        <f>IF($I5150=0,0,$Q5149+$P5150+$O5150)</f>
      </c>
      <c r="R5150" s="43">
        <f>IF($I5150=0,0,$J5150-$M5150-$N5150)</f>
      </c>
    </row>
    <row r="5151">
      <c r="A5151"/>
      <c r="B5151">
        <v>11</v>
      </c>
      <c r="C5151" s="43">
        <f>INDEX(DarlObj,11)</f>
      </c>
      <c r="D5151">
        <v>348</v>
      </c>
      <c r="E5151" s="51">
        <f>IF(INDEX(DarlBelegt,11)=0,0,EOMONTH(INDEX(DarlAuszahlung,11),347)+1)</f>
      </c>
      <c r="F5151" s="43">
        <f>IF($E5151=0,0,YEAR($E5151))</f>
      </c>
      <c r="G5151" s="43">
        <f>IF(INDEX(DarlBindung,11)="",1,IF($E5151&lt;=INDEX(DarlBindung,11),1,0))</f>
      </c>
      <c r="H5151" s="43">
        <f>IF($G5151=1,INDEX(DarlSollzins,11),INDEX(DarlAnschluss,11))</f>
      </c>
      <c r="I5151" s="43">
        <f>IF(INDEX(DarlBelegt,11)=0,0,IF(INDEX(DarlOhneTilgung,11)=1,IF(INDEX(DarlBindung,11)="",1,$G5151),IF($J5151&gt;0.005,1,0)))</f>
      </c>
      <c r="J5151" s="43">
        <f>IF($I5150=0,0,$R5150)</f>
      </c>
      <c r="K5151" s="43">
        <f>IF($I5151=0,0,IF(INDEX(DarlOhneTilgung,11)=1,0,IF(AND(INDEX(DarlTilgStart,11)&gt;0,$E5151=INDEX(DarlTilgStart,11)),$J5151*($H5151+INDEX(DarlTilgung,11))/100/12,IF(AND($G5151=0,$G5150=1),MAX($K5150,$J5151*($H5151+1)/100/12),$K5150))))</f>
      </c>
      <c r="L5151" s="43">
        <f>IF($I5151=0,0,$J5151*$H5151/100/12)</f>
      </c>
      <c r="M5151" s="43">
        <f>IF($I5151=0,0,IF(OR(INDEX(DarlOhneTilgung,11)=1,AND(INDEX(DarlTilgStart,11)&gt;0,$E5151&lt;INDEX(DarlTilgStart,11))),0,MIN(MAX(0,$K5151-$L5151),$J5151)))</f>
      </c>
      <c r="N5151" s="43">
        <f>IF($I5151=0,0,MIN(SUMIFS(SondBetrag,SondDarl,11,SondDatum,"&gt;="&amp;$E5151,SondDatum,"&lt;="&amp;EOMONTH($E5151,0)),$J5151-$M5151))</f>
      </c>
      <c r="O5151" s="43">
        <f>IF($I5151=0,0,INDEX(DarlErsatzRate,11))</f>
      </c>
      <c r="P5151" s="43">
        <f>IF($I5151=0,0,$Q5150*INDEX(DarlErsatzZins,11))</f>
      </c>
      <c r="Q5151" s="43">
        <f>IF($I5151=0,0,$Q5150+$P5151+$O5151)</f>
      </c>
      <c r="R5151" s="43">
        <f>IF($I5151=0,0,$J5151-$M5151-$N5151)</f>
      </c>
    </row>
    <row r="5152">
      <c r="A5152"/>
      <c r="B5152">
        <v>11</v>
      </c>
      <c r="C5152" s="43">
        <f>INDEX(DarlObj,11)</f>
      </c>
      <c r="D5152">
        <v>349</v>
      </c>
      <c r="E5152" s="51">
        <f>IF(INDEX(DarlBelegt,11)=0,0,EOMONTH(INDEX(DarlAuszahlung,11),348)+1)</f>
      </c>
      <c r="F5152" s="43">
        <f>IF($E5152=0,0,YEAR($E5152))</f>
      </c>
      <c r="G5152" s="43">
        <f>IF(INDEX(DarlBindung,11)="",1,IF($E5152&lt;=INDEX(DarlBindung,11),1,0))</f>
      </c>
      <c r="H5152" s="43">
        <f>IF($G5152=1,INDEX(DarlSollzins,11),INDEX(DarlAnschluss,11))</f>
      </c>
      <c r="I5152" s="43">
        <f>IF(INDEX(DarlBelegt,11)=0,0,IF(INDEX(DarlOhneTilgung,11)=1,IF(INDEX(DarlBindung,11)="",1,$G5152),IF($J5152&gt;0.005,1,0)))</f>
      </c>
      <c r="J5152" s="43">
        <f>IF($I5151=0,0,$R5151)</f>
      </c>
      <c r="K5152" s="43">
        <f>IF($I5152=0,0,IF(INDEX(DarlOhneTilgung,11)=1,0,IF(AND(INDEX(DarlTilgStart,11)&gt;0,$E5152=INDEX(DarlTilgStart,11)),$J5152*($H5152+INDEX(DarlTilgung,11))/100/12,IF(AND($G5152=0,$G5151=1),MAX($K5151,$J5152*($H5152+1)/100/12),$K5151))))</f>
      </c>
      <c r="L5152" s="43">
        <f>IF($I5152=0,0,$J5152*$H5152/100/12)</f>
      </c>
      <c r="M5152" s="43">
        <f>IF($I5152=0,0,IF(OR(INDEX(DarlOhneTilgung,11)=1,AND(INDEX(DarlTilgStart,11)&gt;0,$E5152&lt;INDEX(DarlTilgStart,11))),0,MIN(MAX(0,$K5152-$L5152),$J5152)))</f>
      </c>
      <c r="N5152" s="43">
        <f>IF($I5152=0,0,MIN(SUMIFS(SondBetrag,SondDarl,11,SondDatum,"&gt;="&amp;$E5152,SondDatum,"&lt;="&amp;EOMONTH($E5152,0)),$J5152-$M5152))</f>
      </c>
      <c r="O5152" s="43">
        <f>IF($I5152=0,0,INDEX(DarlErsatzRate,11))</f>
      </c>
      <c r="P5152" s="43">
        <f>IF($I5152=0,0,$Q5151*INDEX(DarlErsatzZins,11))</f>
      </c>
      <c r="Q5152" s="43">
        <f>IF($I5152=0,0,$Q5151+$P5152+$O5152)</f>
      </c>
      <c r="R5152" s="43">
        <f>IF($I5152=0,0,$J5152-$M5152-$N5152)</f>
      </c>
    </row>
    <row r="5153">
      <c r="A5153"/>
      <c r="B5153">
        <v>11</v>
      </c>
      <c r="C5153" s="43">
        <f>INDEX(DarlObj,11)</f>
      </c>
      <c r="D5153">
        <v>350</v>
      </c>
      <c r="E5153" s="51">
        <f>IF(INDEX(DarlBelegt,11)=0,0,EOMONTH(INDEX(DarlAuszahlung,11),349)+1)</f>
      </c>
      <c r="F5153" s="43">
        <f>IF($E5153=0,0,YEAR($E5153))</f>
      </c>
      <c r="G5153" s="43">
        <f>IF(INDEX(DarlBindung,11)="",1,IF($E5153&lt;=INDEX(DarlBindung,11),1,0))</f>
      </c>
      <c r="H5153" s="43">
        <f>IF($G5153=1,INDEX(DarlSollzins,11),INDEX(DarlAnschluss,11))</f>
      </c>
      <c r="I5153" s="43">
        <f>IF(INDEX(DarlBelegt,11)=0,0,IF(INDEX(DarlOhneTilgung,11)=1,IF(INDEX(DarlBindung,11)="",1,$G5153),IF($J5153&gt;0.005,1,0)))</f>
      </c>
      <c r="J5153" s="43">
        <f>IF($I5152=0,0,$R5152)</f>
      </c>
      <c r="K5153" s="43">
        <f>IF($I5153=0,0,IF(INDEX(DarlOhneTilgung,11)=1,0,IF(AND(INDEX(DarlTilgStart,11)&gt;0,$E5153=INDEX(DarlTilgStart,11)),$J5153*($H5153+INDEX(DarlTilgung,11))/100/12,IF(AND($G5153=0,$G5152=1),MAX($K5152,$J5153*($H5153+1)/100/12),$K5152))))</f>
      </c>
      <c r="L5153" s="43">
        <f>IF($I5153=0,0,$J5153*$H5153/100/12)</f>
      </c>
      <c r="M5153" s="43">
        <f>IF($I5153=0,0,IF(OR(INDEX(DarlOhneTilgung,11)=1,AND(INDEX(DarlTilgStart,11)&gt;0,$E5153&lt;INDEX(DarlTilgStart,11))),0,MIN(MAX(0,$K5153-$L5153),$J5153)))</f>
      </c>
      <c r="N5153" s="43">
        <f>IF($I5153=0,0,MIN(SUMIFS(SondBetrag,SondDarl,11,SondDatum,"&gt;="&amp;$E5153,SondDatum,"&lt;="&amp;EOMONTH($E5153,0)),$J5153-$M5153))</f>
      </c>
      <c r="O5153" s="43">
        <f>IF($I5153=0,0,INDEX(DarlErsatzRate,11))</f>
      </c>
      <c r="P5153" s="43">
        <f>IF($I5153=0,0,$Q5152*INDEX(DarlErsatzZins,11))</f>
      </c>
      <c r="Q5153" s="43">
        <f>IF($I5153=0,0,$Q5152+$P5153+$O5153)</f>
      </c>
      <c r="R5153" s="43">
        <f>IF($I5153=0,0,$J5153-$M5153-$N5153)</f>
      </c>
    </row>
    <row r="5154">
      <c r="A5154"/>
      <c r="B5154">
        <v>11</v>
      </c>
      <c r="C5154" s="43">
        <f>INDEX(DarlObj,11)</f>
      </c>
      <c r="D5154">
        <v>351</v>
      </c>
      <c r="E5154" s="51">
        <f>IF(INDEX(DarlBelegt,11)=0,0,EOMONTH(INDEX(DarlAuszahlung,11),350)+1)</f>
      </c>
      <c r="F5154" s="43">
        <f>IF($E5154=0,0,YEAR($E5154))</f>
      </c>
      <c r="G5154" s="43">
        <f>IF(INDEX(DarlBindung,11)="",1,IF($E5154&lt;=INDEX(DarlBindung,11),1,0))</f>
      </c>
      <c r="H5154" s="43">
        <f>IF($G5154=1,INDEX(DarlSollzins,11),INDEX(DarlAnschluss,11))</f>
      </c>
      <c r="I5154" s="43">
        <f>IF(INDEX(DarlBelegt,11)=0,0,IF(INDEX(DarlOhneTilgung,11)=1,IF(INDEX(DarlBindung,11)="",1,$G5154),IF($J5154&gt;0.005,1,0)))</f>
      </c>
      <c r="J5154" s="43">
        <f>IF($I5153=0,0,$R5153)</f>
      </c>
      <c r="K5154" s="43">
        <f>IF($I5154=0,0,IF(INDEX(DarlOhneTilgung,11)=1,0,IF(AND(INDEX(DarlTilgStart,11)&gt;0,$E5154=INDEX(DarlTilgStart,11)),$J5154*($H5154+INDEX(DarlTilgung,11))/100/12,IF(AND($G5154=0,$G5153=1),MAX($K5153,$J5154*($H5154+1)/100/12),$K5153))))</f>
      </c>
      <c r="L5154" s="43">
        <f>IF($I5154=0,0,$J5154*$H5154/100/12)</f>
      </c>
      <c r="M5154" s="43">
        <f>IF($I5154=0,0,IF(OR(INDEX(DarlOhneTilgung,11)=1,AND(INDEX(DarlTilgStart,11)&gt;0,$E5154&lt;INDEX(DarlTilgStart,11))),0,MIN(MAX(0,$K5154-$L5154),$J5154)))</f>
      </c>
      <c r="N5154" s="43">
        <f>IF($I5154=0,0,MIN(SUMIFS(SondBetrag,SondDarl,11,SondDatum,"&gt;="&amp;$E5154,SondDatum,"&lt;="&amp;EOMONTH($E5154,0)),$J5154-$M5154))</f>
      </c>
      <c r="O5154" s="43">
        <f>IF($I5154=0,0,INDEX(DarlErsatzRate,11))</f>
      </c>
      <c r="P5154" s="43">
        <f>IF($I5154=0,0,$Q5153*INDEX(DarlErsatzZins,11))</f>
      </c>
      <c r="Q5154" s="43">
        <f>IF($I5154=0,0,$Q5153+$P5154+$O5154)</f>
      </c>
      <c r="R5154" s="43">
        <f>IF($I5154=0,0,$J5154-$M5154-$N5154)</f>
      </c>
    </row>
    <row r="5155">
      <c r="A5155"/>
      <c r="B5155">
        <v>11</v>
      </c>
      <c r="C5155" s="43">
        <f>INDEX(DarlObj,11)</f>
      </c>
      <c r="D5155">
        <v>352</v>
      </c>
      <c r="E5155" s="51">
        <f>IF(INDEX(DarlBelegt,11)=0,0,EOMONTH(INDEX(DarlAuszahlung,11),351)+1)</f>
      </c>
      <c r="F5155" s="43">
        <f>IF($E5155=0,0,YEAR($E5155))</f>
      </c>
      <c r="G5155" s="43">
        <f>IF(INDEX(DarlBindung,11)="",1,IF($E5155&lt;=INDEX(DarlBindung,11),1,0))</f>
      </c>
      <c r="H5155" s="43">
        <f>IF($G5155=1,INDEX(DarlSollzins,11),INDEX(DarlAnschluss,11))</f>
      </c>
      <c r="I5155" s="43">
        <f>IF(INDEX(DarlBelegt,11)=0,0,IF(INDEX(DarlOhneTilgung,11)=1,IF(INDEX(DarlBindung,11)="",1,$G5155),IF($J5155&gt;0.005,1,0)))</f>
      </c>
      <c r="J5155" s="43">
        <f>IF($I5154=0,0,$R5154)</f>
      </c>
      <c r="K5155" s="43">
        <f>IF($I5155=0,0,IF(INDEX(DarlOhneTilgung,11)=1,0,IF(AND(INDEX(DarlTilgStart,11)&gt;0,$E5155=INDEX(DarlTilgStart,11)),$J5155*($H5155+INDEX(DarlTilgung,11))/100/12,IF(AND($G5155=0,$G5154=1),MAX($K5154,$J5155*($H5155+1)/100/12),$K5154))))</f>
      </c>
      <c r="L5155" s="43">
        <f>IF($I5155=0,0,$J5155*$H5155/100/12)</f>
      </c>
      <c r="M5155" s="43">
        <f>IF($I5155=0,0,IF(OR(INDEX(DarlOhneTilgung,11)=1,AND(INDEX(DarlTilgStart,11)&gt;0,$E5155&lt;INDEX(DarlTilgStart,11))),0,MIN(MAX(0,$K5155-$L5155),$J5155)))</f>
      </c>
      <c r="N5155" s="43">
        <f>IF($I5155=0,0,MIN(SUMIFS(SondBetrag,SondDarl,11,SondDatum,"&gt;="&amp;$E5155,SondDatum,"&lt;="&amp;EOMONTH($E5155,0)),$J5155-$M5155))</f>
      </c>
      <c r="O5155" s="43">
        <f>IF($I5155=0,0,INDEX(DarlErsatzRate,11))</f>
      </c>
      <c r="P5155" s="43">
        <f>IF($I5155=0,0,$Q5154*INDEX(DarlErsatzZins,11))</f>
      </c>
      <c r="Q5155" s="43">
        <f>IF($I5155=0,0,$Q5154+$P5155+$O5155)</f>
      </c>
      <c r="R5155" s="43">
        <f>IF($I5155=0,0,$J5155-$M5155-$N5155)</f>
      </c>
    </row>
    <row r="5156">
      <c r="A5156"/>
      <c r="B5156">
        <v>11</v>
      </c>
      <c r="C5156" s="43">
        <f>INDEX(DarlObj,11)</f>
      </c>
      <c r="D5156">
        <v>353</v>
      </c>
      <c r="E5156" s="51">
        <f>IF(INDEX(DarlBelegt,11)=0,0,EOMONTH(INDEX(DarlAuszahlung,11),352)+1)</f>
      </c>
      <c r="F5156" s="43">
        <f>IF($E5156=0,0,YEAR($E5156))</f>
      </c>
      <c r="G5156" s="43">
        <f>IF(INDEX(DarlBindung,11)="",1,IF($E5156&lt;=INDEX(DarlBindung,11),1,0))</f>
      </c>
      <c r="H5156" s="43">
        <f>IF($G5156=1,INDEX(DarlSollzins,11),INDEX(DarlAnschluss,11))</f>
      </c>
      <c r="I5156" s="43">
        <f>IF(INDEX(DarlBelegt,11)=0,0,IF(INDEX(DarlOhneTilgung,11)=1,IF(INDEX(DarlBindung,11)="",1,$G5156),IF($J5156&gt;0.005,1,0)))</f>
      </c>
      <c r="J5156" s="43">
        <f>IF($I5155=0,0,$R5155)</f>
      </c>
      <c r="K5156" s="43">
        <f>IF($I5156=0,0,IF(INDEX(DarlOhneTilgung,11)=1,0,IF(AND(INDEX(DarlTilgStart,11)&gt;0,$E5156=INDEX(DarlTilgStart,11)),$J5156*($H5156+INDEX(DarlTilgung,11))/100/12,IF(AND($G5156=0,$G5155=1),MAX($K5155,$J5156*($H5156+1)/100/12),$K5155))))</f>
      </c>
      <c r="L5156" s="43">
        <f>IF($I5156=0,0,$J5156*$H5156/100/12)</f>
      </c>
      <c r="M5156" s="43">
        <f>IF($I5156=0,0,IF(OR(INDEX(DarlOhneTilgung,11)=1,AND(INDEX(DarlTilgStart,11)&gt;0,$E5156&lt;INDEX(DarlTilgStart,11))),0,MIN(MAX(0,$K5156-$L5156),$J5156)))</f>
      </c>
      <c r="N5156" s="43">
        <f>IF($I5156=0,0,MIN(SUMIFS(SondBetrag,SondDarl,11,SondDatum,"&gt;="&amp;$E5156,SondDatum,"&lt;="&amp;EOMONTH($E5156,0)),$J5156-$M5156))</f>
      </c>
      <c r="O5156" s="43">
        <f>IF($I5156=0,0,INDEX(DarlErsatzRate,11))</f>
      </c>
      <c r="P5156" s="43">
        <f>IF($I5156=0,0,$Q5155*INDEX(DarlErsatzZins,11))</f>
      </c>
      <c r="Q5156" s="43">
        <f>IF($I5156=0,0,$Q5155+$P5156+$O5156)</f>
      </c>
      <c r="R5156" s="43">
        <f>IF($I5156=0,0,$J5156-$M5156-$N5156)</f>
      </c>
    </row>
    <row r="5157">
      <c r="A5157"/>
      <c r="B5157">
        <v>11</v>
      </c>
      <c r="C5157" s="43">
        <f>INDEX(DarlObj,11)</f>
      </c>
      <c r="D5157">
        <v>354</v>
      </c>
      <c r="E5157" s="51">
        <f>IF(INDEX(DarlBelegt,11)=0,0,EOMONTH(INDEX(DarlAuszahlung,11),353)+1)</f>
      </c>
      <c r="F5157" s="43">
        <f>IF($E5157=0,0,YEAR($E5157))</f>
      </c>
      <c r="G5157" s="43">
        <f>IF(INDEX(DarlBindung,11)="",1,IF($E5157&lt;=INDEX(DarlBindung,11),1,0))</f>
      </c>
      <c r="H5157" s="43">
        <f>IF($G5157=1,INDEX(DarlSollzins,11),INDEX(DarlAnschluss,11))</f>
      </c>
      <c r="I5157" s="43">
        <f>IF(INDEX(DarlBelegt,11)=0,0,IF(INDEX(DarlOhneTilgung,11)=1,IF(INDEX(DarlBindung,11)="",1,$G5157),IF($J5157&gt;0.005,1,0)))</f>
      </c>
      <c r="J5157" s="43">
        <f>IF($I5156=0,0,$R5156)</f>
      </c>
      <c r="K5157" s="43">
        <f>IF($I5157=0,0,IF(INDEX(DarlOhneTilgung,11)=1,0,IF(AND(INDEX(DarlTilgStart,11)&gt;0,$E5157=INDEX(DarlTilgStart,11)),$J5157*($H5157+INDEX(DarlTilgung,11))/100/12,IF(AND($G5157=0,$G5156=1),MAX($K5156,$J5157*($H5157+1)/100/12),$K5156))))</f>
      </c>
      <c r="L5157" s="43">
        <f>IF($I5157=0,0,$J5157*$H5157/100/12)</f>
      </c>
      <c r="M5157" s="43">
        <f>IF($I5157=0,0,IF(OR(INDEX(DarlOhneTilgung,11)=1,AND(INDEX(DarlTilgStart,11)&gt;0,$E5157&lt;INDEX(DarlTilgStart,11))),0,MIN(MAX(0,$K5157-$L5157),$J5157)))</f>
      </c>
      <c r="N5157" s="43">
        <f>IF($I5157=0,0,MIN(SUMIFS(SondBetrag,SondDarl,11,SondDatum,"&gt;="&amp;$E5157,SondDatum,"&lt;="&amp;EOMONTH($E5157,0)),$J5157-$M5157))</f>
      </c>
      <c r="O5157" s="43">
        <f>IF($I5157=0,0,INDEX(DarlErsatzRate,11))</f>
      </c>
      <c r="P5157" s="43">
        <f>IF($I5157=0,0,$Q5156*INDEX(DarlErsatzZins,11))</f>
      </c>
      <c r="Q5157" s="43">
        <f>IF($I5157=0,0,$Q5156+$P5157+$O5157)</f>
      </c>
      <c r="R5157" s="43">
        <f>IF($I5157=0,0,$J5157-$M5157-$N5157)</f>
      </c>
    </row>
    <row r="5158">
      <c r="A5158"/>
      <c r="B5158">
        <v>11</v>
      </c>
      <c r="C5158" s="43">
        <f>INDEX(DarlObj,11)</f>
      </c>
      <c r="D5158">
        <v>355</v>
      </c>
      <c r="E5158" s="51">
        <f>IF(INDEX(DarlBelegt,11)=0,0,EOMONTH(INDEX(DarlAuszahlung,11),354)+1)</f>
      </c>
      <c r="F5158" s="43">
        <f>IF($E5158=0,0,YEAR($E5158))</f>
      </c>
      <c r="G5158" s="43">
        <f>IF(INDEX(DarlBindung,11)="",1,IF($E5158&lt;=INDEX(DarlBindung,11),1,0))</f>
      </c>
      <c r="H5158" s="43">
        <f>IF($G5158=1,INDEX(DarlSollzins,11),INDEX(DarlAnschluss,11))</f>
      </c>
      <c r="I5158" s="43">
        <f>IF(INDEX(DarlBelegt,11)=0,0,IF(INDEX(DarlOhneTilgung,11)=1,IF(INDEX(DarlBindung,11)="",1,$G5158),IF($J5158&gt;0.005,1,0)))</f>
      </c>
      <c r="J5158" s="43">
        <f>IF($I5157=0,0,$R5157)</f>
      </c>
      <c r="K5158" s="43">
        <f>IF($I5158=0,0,IF(INDEX(DarlOhneTilgung,11)=1,0,IF(AND(INDEX(DarlTilgStart,11)&gt;0,$E5158=INDEX(DarlTilgStart,11)),$J5158*($H5158+INDEX(DarlTilgung,11))/100/12,IF(AND($G5158=0,$G5157=1),MAX($K5157,$J5158*($H5158+1)/100/12),$K5157))))</f>
      </c>
      <c r="L5158" s="43">
        <f>IF($I5158=0,0,$J5158*$H5158/100/12)</f>
      </c>
      <c r="M5158" s="43">
        <f>IF($I5158=0,0,IF(OR(INDEX(DarlOhneTilgung,11)=1,AND(INDEX(DarlTilgStart,11)&gt;0,$E5158&lt;INDEX(DarlTilgStart,11))),0,MIN(MAX(0,$K5158-$L5158),$J5158)))</f>
      </c>
      <c r="N5158" s="43">
        <f>IF($I5158=0,0,MIN(SUMIFS(SondBetrag,SondDarl,11,SondDatum,"&gt;="&amp;$E5158,SondDatum,"&lt;="&amp;EOMONTH($E5158,0)),$J5158-$M5158))</f>
      </c>
      <c r="O5158" s="43">
        <f>IF($I5158=0,0,INDEX(DarlErsatzRate,11))</f>
      </c>
      <c r="P5158" s="43">
        <f>IF($I5158=0,0,$Q5157*INDEX(DarlErsatzZins,11))</f>
      </c>
      <c r="Q5158" s="43">
        <f>IF($I5158=0,0,$Q5157+$P5158+$O5158)</f>
      </c>
      <c r="R5158" s="43">
        <f>IF($I5158=0,0,$J5158-$M5158-$N5158)</f>
      </c>
    </row>
    <row r="5159">
      <c r="A5159"/>
      <c r="B5159">
        <v>11</v>
      </c>
      <c r="C5159" s="43">
        <f>INDEX(DarlObj,11)</f>
      </c>
      <c r="D5159">
        <v>356</v>
      </c>
      <c r="E5159" s="51">
        <f>IF(INDEX(DarlBelegt,11)=0,0,EOMONTH(INDEX(DarlAuszahlung,11),355)+1)</f>
      </c>
      <c r="F5159" s="43">
        <f>IF($E5159=0,0,YEAR($E5159))</f>
      </c>
      <c r="G5159" s="43">
        <f>IF(INDEX(DarlBindung,11)="",1,IF($E5159&lt;=INDEX(DarlBindung,11),1,0))</f>
      </c>
      <c r="H5159" s="43">
        <f>IF($G5159=1,INDEX(DarlSollzins,11),INDEX(DarlAnschluss,11))</f>
      </c>
      <c r="I5159" s="43">
        <f>IF(INDEX(DarlBelegt,11)=0,0,IF(INDEX(DarlOhneTilgung,11)=1,IF(INDEX(DarlBindung,11)="",1,$G5159),IF($J5159&gt;0.005,1,0)))</f>
      </c>
      <c r="J5159" s="43">
        <f>IF($I5158=0,0,$R5158)</f>
      </c>
      <c r="K5159" s="43">
        <f>IF($I5159=0,0,IF(INDEX(DarlOhneTilgung,11)=1,0,IF(AND(INDEX(DarlTilgStart,11)&gt;0,$E5159=INDEX(DarlTilgStart,11)),$J5159*($H5159+INDEX(DarlTilgung,11))/100/12,IF(AND($G5159=0,$G5158=1),MAX($K5158,$J5159*($H5159+1)/100/12),$K5158))))</f>
      </c>
      <c r="L5159" s="43">
        <f>IF($I5159=0,0,$J5159*$H5159/100/12)</f>
      </c>
      <c r="M5159" s="43">
        <f>IF($I5159=0,0,IF(OR(INDEX(DarlOhneTilgung,11)=1,AND(INDEX(DarlTilgStart,11)&gt;0,$E5159&lt;INDEX(DarlTilgStart,11))),0,MIN(MAX(0,$K5159-$L5159),$J5159)))</f>
      </c>
      <c r="N5159" s="43">
        <f>IF($I5159=0,0,MIN(SUMIFS(SondBetrag,SondDarl,11,SondDatum,"&gt;="&amp;$E5159,SondDatum,"&lt;="&amp;EOMONTH($E5159,0)),$J5159-$M5159))</f>
      </c>
      <c r="O5159" s="43">
        <f>IF($I5159=0,0,INDEX(DarlErsatzRate,11))</f>
      </c>
      <c r="P5159" s="43">
        <f>IF($I5159=0,0,$Q5158*INDEX(DarlErsatzZins,11))</f>
      </c>
      <c r="Q5159" s="43">
        <f>IF($I5159=0,0,$Q5158+$P5159+$O5159)</f>
      </c>
      <c r="R5159" s="43">
        <f>IF($I5159=0,0,$J5159-$M5159-$N5159)</f>
      </c>
    </row>
    <row r="5160">
      <c r="A5160"/>
      <c r="B5160">
        <v>11</v>
      </c>
      <c r="C5160" s="43">
        <f>INDEX(DarlObj,11)</f>
      </c>
      <c r="D5160">
        <v>357</v>
      </c>
      <c r="E5160" s="51">
        <f>IF(INDEX(DarlBelegt,11)=0,0,EOMONTH(INDEX(DarlAuszahlung,11),356)+1)</f>
      </c>
      <c r="F5160" s="43">
        <f>IF($E5160=0,0,YEAR($E5160))</f>
      </c>
      <c r="G5160" s="43">
        <f>IF(INDEX(DarlBindung,11)="",1,IF($E5160&lt;=INDEX(DarlBindung,11),1,0))</f>
      </c>
      <c r="H5160" s="43">
        <f>IF($G5160=1,INDEX(DarlSollzins,11),INDEX(DarlAnschluss,11))</f>
      </c>
      <c r="I5160" s="43">
        <f>IF(INDEX(DarlBelegt,11)=0,0,IF(INDEX(DarlOhneTilgung,11)=1,IF(INDEX(DarlBindung,11)="",1,$G5160),IF($J5160&gt;0.005,1,0)))</f>
      </c>
      <c r="J5160" s="43">
        <f>IF($I5159=0,0,$R5159)</f>
      </c>
      <c r="K5160" s="43">
        <f>IF($I5160=0,0,IF(INDEX(DarlOhneTilgung,11)=1,0,IF(AND(INDEX(DarlTilgStart,11)&gt;0,$E5160=INDEX(DarlTilgStart,11)),$J5160*($H5160+INDEX(DarlTilgung,11))/100/12,IF(AND($G5160=0,$G5159=1),MAX($K5159,$J5160*($H5160+1)/100/12),$K5159))))</f>
      </c>
      <c r="L5160" s="43">
        <f>IF($I5160=0,0,$J5160*$H5160/100/12)</f>
      </c>
      <c r="M5160" s="43">
        <f>IF($I5160=0,0,IF(OR(INDEX(DarlOhneTilgung,11)=1,AND(INDEX(DarlTilgStart,11)&gt;0,$E5160&lt;INDEX(DarlTilgStart,11))),0,MIN(MAX(0,$K5160-$L5160),$J5160)))</f>
      </c>
      <c r="N5160" s="43">
        <f>IF($I5160=0,0,MIN(SUMIFS(SondBetrag,SondDarl,11,SondDatum,"&gt;="&amp;$E5160,SondDatum,"&lt;="&amp;EOMONTH($E5160,0)),$J5160-$M5160))</f>
      </c>
      <c r="O5160" s="43">
        <f>IF($I5160=0,0,INDEX(DarlErsatzRate,11))</f>
      </c>
      <c r="P5160" s="43">
        <f>IF($I5160=0,0,$Q5159*INDEX(DarlErsatzZins,11))</f>
      </c>
      <c r="Q5160" s="43">
        <f>IF($I5160=0,0,$Q5159+$P5160+$O5160)</f>
      </c>
      <c r="R5160" s="43">
        <f>IF($I5160=0,0,$J5160-$M5160-$N5160)</f>
      </c>
    </row>
    <row r="5161">
      <c r="A5161"/>
      <c r="B5161">
        <v>11</v>
      </c>
      <c r="C5161" s="43">
        <f>INDEX(DarlObj,11)</f>
      </c>
      <c r="D5161">
        <v>358</v>
      </c>
      <c r="E5161" s="51">
        <f>IF(INDEX(DarlBelegt,11)=0,0,EOMONTH(INDEX(DarlAuszahlung,11),357)+1)</f>
      </c>
      <c r="F5161" s="43">
        <f>IF($E5161=0,0,YEAR($E5161))</f>
      </c>
      <c r="G5161" s="43">
        <f>IF(INDEX(DarlBindung,11)="",1,IF($E5161&lt;=INDEX(DarlBindung,11),1,0))</f>
      </c>
      <c r="H5161" s="43">
        <f>IF($G5161=1,INDEX(DarlSollzins,11),INDEX(DarlAnschluss,11))</f>
      </c>
      <c r="I5161" s="43">
        <f>IF(INDEX(DarlBelegt,11)=0,0,IF(INDEX(DarlOhneTilgung,11)=1,IF(INDEX(DarlBindung,11)="",1,$G5161),IF($J5161&gt;0.005,1,0)))</f>
      </c>
      <c r="J5161" s="43">
        <f>IF($I5160=0,0,$R5160)</f>
      </c>
      <c r="K5161" s="43">
        <f>IF($I5161=0,0,IF(INDEX(DarlOhneTilgung,11)=1,0,IF(AND(INDEX(DarlTilgStart,11)&gt;0,$E5161=INDEX(DarlTilgStart,11)),$J5161*($H5161+INDEX(DarlTilgung,11))/100/12,IF(AND($G5161=0,$G5160=1),MAX($K5160,$J5161*($H5161+1)/100/12),$K5160))))</f>
      </c>
      <c r="L5161" s="43">
        <f>IF($I5161=0,0,$J5161*$H5161/100/12)</f>
      </c>
      <c r="M5161" s="43">
        <f>IF($I5161=0,0,IF(OR(INDEX(DarlOhneTilgung,11)=1,AND(INDEX(DarlTilgStart,11)&gt;0,$E5161&lt;INDEX(DarlTilgStart,11))),0,MIN(MAX(0,$K5161-$L5161),$J5161)))</f>
      </c>
      <c r="N5161" s="43">
        <f>IF($I5161=0,0,MIN(SUMIFS(SondBetrag,SondDarl,11,SondDatum,"&gt;="&amp;$E5161,SondDatum,"&lt;="&amp;EOMONTH($E5161,0)),$J5161-$M5161))</f>
      </c>
      <c r="O5161" s="43">
        <f>IF($I5161=0,0,INDEX(DarlErsatzRate,11))</f>
      </c>
      <c r="P5161" s="43">
        <f>IF($I5161=0,0,$Q5160*INDEX(DarlErsatzZins,11))</f>
      </c>
      <c r="Q5161" s="43">
        <f>IF($I5161=0,0,$Q5160+$P5161+$O5161)</f>
      </c>
      <c r="R5161" s="43">
        <f>IF($I5161=0,0,$J5161-$M5161-$N5161)</f>
      </c>
    </row>
    <row r="5162">
      <c r="A5162"/>
      <c r="B5162">
        <v>11</v>
      </c>
      <c r="C5162" s="43">
        <f>INDEX(DarlObj,11)</f>
      </c>
      <c r="D5162">
        <v>359</v>
      </c>
      <c r="E5162" s="51">
        <f>IF(INDEX(DarlBelegt,11)=0,0,EOMONTH(INDEX(DarlAuszahlung,11),358)+1)</f>
      </c>
      <c r="F5162" s="43">
        <f>IF($E5162=0,0,YEAR($E5162))</f>
      </c>
      <c r="G5162" s="43">
        <f>IF(INDEX(DarlBindung,11)="",1,IF($E5162&lt;=INDEX(DarlBindung,11),1,0))</f>
      </c>
      <c r="H5162" s="43">
        <f>IF($G5162=1,INDEX(DarlSollzins,11),INDEX(DarlAnschluss,11))</f>
      </c>
      <c r="I5162" s="43">
        <f>IF(INDEX(DarlBelegt,11)=0,0,IF(INDEX(DarlOhneTilgung,11)=1,IF(INDEX(DarlBindung,11)="",1,$G5162),IF($J5162&gt;0.005,1,0)))</f>
      </c>
      <c r="J5162" s="43">
        <f>IF($I5161=0,0,$R5161)</f>
      </c>
      <c r="K5162" s="43">
        <f>IF($I5162=0,0,IF(INDEX(DarlOhneTilgung,11)=1,0,IF(AND(INDEX(DarlTilgStart,11)&gt;0,$E5162=INDEX(DarlTilgStart,11)),$J5162*($H5162+INDEX(DarlTilgung,11))/100/12,IF(AND($G5162=0,$G5161=1),MAX($K5161,$J5162*($H5162+1)/100/12),$K5161))))</f>
      </c>
      <c r="L5162" s="43">
        <f>IF($I5162=0,0,$J5162*$H5162/100/12)</f>
      </c>
      <c r="M5162" s="43">
        <f>IF($I5162=0,0,IF(OR(INDEX(DarlOhneTilgung,11)=1,AND(INDEX(DarlTilgStart,11)&gt;0,$E5162&lt;INDEX(DarlTilgStart,11))),0,MIN(MAX(0,$K5162-$L5162),$J5162)))</f>
      </c>
      <c r="N5162" s="43">
        <f>IF($I5162=0,0,MIN(SUMIFS(SondBetrag,SondDarl,11,SondDatum,"&gt;="&amp;$E5162,SondDatum,"&lt;="&amp;EOMONTH($E5162,0)),$J5162-$M5162))</f>
      </c>
      <c r="O5162" s="43">
        <f>IF($I5162=0,0,INDEX(DarlErsatzRate,11))</f>
      </c>
      <c r="P5162" s="43">
        <f>IF($I5162=0,0,$Q5161*INDEX(DarlErsatzZins,11))</f>
      </c>
      <c r="Q5162" s="43">
        <f>IF($I5162=0,0,$Q5161+$P5162+$O5162)</f>
      </c>
      <c r="R5162" s="43">
        <f>IF($I5162=0,0,$J5162-$M5162-$N5162)</f>
      </c>
    </row>
    <row r="5163">
      <c r="A5163"/>
      <c r="B5163">
        <v>11</v>
      </c>
      <c r="C5163" s="43">
        <f>INDEX(DarlObj,11)</f>
      </c>
      <c r="D5163">
        <v>360</v>
      </c>
      <c r="E5163" s="51">
        <f>IF(INDEX(DarlBelegt,11)=0,0,EOMONTH(INDEX(DarlAuszahlung,11),359)+1)</f>
      </c>
      <c r="F5163" s="43">
        <f>IF($E5163=0,0,YEAR($E5163))</f>
      </c>
      <c r="G5163" s="43">
        <f>IF(INDEX(DarlBindung,11)="",1,IF($E5163&lt;=INDEX(DarlBindung,11),1,0))</f>
      </c>
      <c r="H5163" s="43">
        <f>IF($G5163=1,INDEX(DarlSollzins,11),INDEX(DarlAnschluss,11))</f>
      </c>
      <c r="I5163" s="43">
        <f>IF(INDEX(DarlBelegt,11)=0,0,IF(INDEX(DarlOhneTilgung,11)=1,IF(INDEX(DarlBindung,11)="",1,$G5163),IF($J5163&gt;0.005,1,0)))</f>
      </c>
      <c r="J5163" s="43">
        <f>IF($I5162=0,0,$R5162)</f>
      </c>
      <c r="K5163" s="43">
        <f>IF($I5163=0,0,IF(INDEX(DarlOhneTilgung,11)=1,0,IF(AND(INDEX(DarlTilgStart,11)&gt;0,$E5163=INDEX(DarlTilgStart,11)),$J5163*($H5163+INDEX(DarlTilgung,11))/100/12,IF(AND($G5163=0,$G5162=1),MAX($K5162,$J5163*($H5163+1)/100/12),$K5162))))</f>
      </c>
      <c r="L5163" s="43">
        <f>IF($I5163=0,0,$J5163*$H5163/100/12)</f>
      </c>
      <c r="M5163" s="43">
        <f>IF($I5163=0,0,IF(OR(INDEX(DarlOhneTilgung,11)=1,AND(INDEX(DarlTilgStart,11)&gt;0,$E5163&lt;INDEX(DarlTilgStart,11))),0,MIN(MAX(0,$K5163-$L5163),$J5163)))</f>
      </c>
      <c r="N5163" s="43">
        <f>IF($I5163=0,0,MIN(SUMIFS(SondBetrag,SondDarl,11,SondDatum,"&gt;="&amp;$E5163,SondDatum,"&lt;="&amp;EOMONTH($E5163,0)),$J5163-$M5163))</f>
      </c>
      <c r="O5163" s="43">
        <f>IF($I5163=0,0,INDEX(DarlErsatzRate,11))</f>
      </c>
      <c r="P5163" s="43">
        <f>IF($I5163=0,0,$Q5162*INDEX(DarlErsatzZins,11))</f>
      </c>
      <c r="Q5163" s="43">
        <f>IF($I5163=0,0,$Q5162+$P5163+$O5163)</f>
      </c>
      <c r="R5163" s="43">
        <f>IF($I5163=0,0,$J5163-$M5163-$N5163)</f>
      </c>
    </row>
    <row r="5164">
      <c r="A5164"/>
      <c r="B5164">
        <v>11</v>
      </c>
      <c r="C5164" s="43">
        <f>INDEX(DarlObj,11)</f>
      </c>
      <c r="D5164">
        <v>361</v>
      </c>
      <c r="E5164" s="51">
        <f>IF(INDEX(DarlBelegt,11)=0,0,EOMONTH(INDEX(DarlAuszahlung,11),360)+1)</f>
      </c>
      <c r="F5164" s="43">
        <f>IF($E5164=0,0,YEAR($E5164))</f>
      </c>
      <c r="G5164" s="43">
        <f>IF(INDEX(DarlBindung,11)="",1,IF($E5164&lt;=INDEX(DarlBindung,11),1,0))</f>
      </c>
      <c r="H5164" s="43">
        <f>IF($G5164=1,INDEX(DarlSollzins,11),INDEX(DarlAnschluss,11))</f>
      </c>
      <c r="I5164" s="43">
        <f>IF(INDEX(DarlBelegt,11)=0,0,IF(INDEX(DarlOhneTilgung,11)=1,IF(INDEX(DarlBindung,11)="",1,$G5164),IF($J5164&gt;0.005,1,0)))</f>
      </c>
      <c r="J5164" s="43">
        <f>IF($I5163=0,0,$R5163)</f>
      </c>
      <c r="K5164" s="43">
        <f>IF($I5164=0,0,IF(INDEX(DarlOhneTilgung,11)=1,0,IF(AND(INDEX(DarlTilgStart,11)&gt;0,$E5164=INDEX(DarlTilgStart,11)),$J5164*($H5164+INDEX(DarlTilgung,11))/100/12,IF(AND($G5164=0,$G5163=1),MAX($K5163,$J5164*($H5164+1)/100/12),$K5163))))</f>
      </c>
      <c r="L5164" s="43">
        <f>IF($I5164=0,0,$J5164*$H5164/100/12)</f>
      </c>
      <c r="M5164" s="43">
        <f>IF($I5164=0,0,IF(OR(INDEX(DarlOhneTilgung,11)=1,AND(INDEX(DarlTilgStart,11)&gt;0,$E5164&lt;INDEX(DarlTilgStart,11))),0,MIN(MAX(0,$K5164-$L5164),$J5164)))</f>
      </c>
      <c r="N5164" s="43">
        <f>IF($I5164=0,0,MIN(SUMIFS(SondBetrag,SondDarl,11,SondDatum,"&gt;="&amp;$E5164,SondDatum,"&lt;="&amp;EOMONTH($E5164,0)),$J5164-$M5164))</f>
      </c>
      <c r="O5164" s="43">
        <f>IF($I5164=0,0,INDEX(DarlErsatzRate,11))</f>
      </c>
      <c r="P5164" s="43">
        <f>IF($I5164=0,0,$Q5163*INDEX(DarlErsatzZins,11))</f>
      </c>
      <c r="Q5164" s="43">
        <f>IF($I5164=0,0,$Q5163+$P5164+$O5164)</f>
      </c>
      <c r="R5164" s="43">
        <f>IF($I5164=0,0,$J5164-$M5164-$N5164)</f>
      </c>
    </row>
    <row r="5165">
      <c r="A5165"/>
      <c r="B5165">
        <v>11</v>
      </c>
      <c r="C5165" s="43">
        <f>INDEX(DarlObj,11)</f>
      </c>
      <c r="D5165">
        <v>362</v>
      </c>
      <c r="E5165" s="51">
        <f>IF(INDEX(DarlBelegt,11)=0,0,EOMONTH(INDEX(DarlAuszahlung,11),361)+1)</f>
      </c>
      <c r="F5165" s="43">
        <f>IF($E5165=0,0,YEAR($E5165))</f>
      </c>
      <c r="G5165" s="43">
        <f>IF(INDEX(DarlBindung,11)="",1,IF($E5165&lt;=INDEX(DarlBindung,11),1,0))</f>
      </c>
      <c r="H5165" s="43">
        <f>IF($G5165=1,INDEX(DarlSollzins,11),INDEX(DarlAnschluss,11))</f>
      </c>
      <c r="I5165" s="43">
        <f>IF(INDEX(DarlBelegt,11)=0,0,IF(INDEX(DarlOhneTilgung,11)=1,IF(INDEX(DarlBindung,11)="",1,$G5165),IF($J5165&gt;0.005,1,0)))</f>
      </c>
      <c r="J5165" s="43">
        <f>IF($I5164=0,0,$R5164)</f>
      </c>
      <c r="K5165" s="43">
        <f>IF($I5165=0,0,IF(INDEX(DarlOhneTilgung,11)=1,0,IF(AND(INDEX(DarlTilgStart,11)&gt;0,$E5165=INDEX(DarlTilgStart,11)),$J5165*($H5165+INDEX(DarlTilgung,11))/100/12,IF(AND($G5165=0,$G5164=1),MAX($K5164,$J5165*($H5165+1)/100/12),$K5164))))</f>
      </c>
      <c r="L5165" s="43">
        <f>IF($I5165=0,0,$J5165*$H5165/100/12)</f>
      </c>
      <c r="M5165" s="43">
        <f>IF($I5165=0,0,IF(OR(INDEX(DarlOhneTilgung,11)=1,AND(INDEX(DarlTilgStart,11)&gt;0,$E5165&lt;INDEX(DarlTilgStart,11))),0,MIN(MAX(0,$K5165-$L5165),$J5165)))</f>
      </c>
      <c r="N5165" s="43">
        <f>IF($I5165=0,0,MIN(SUMIFS(SondBetrag,SondDarl,11,SondDatum,"&gt;="&amp;$E5165,SondDatum,"&lt;="&amp;EOMONTH($E5165,0)),$J5165-$M5165))</f>
      </c>
      <c r="O5165" s="43">
        <f>IF($I5165=0,0,INDEX(DarlErsatzRate,11))</f>
      </c>
      <c r="P5165" s="43">
        <f>IF($I5165=0,0,$Q5164*INDEX(DarlErsatzZins,11))</f>
      </c>
      <c r="Q5165" s="43">
        <f>IF($I5165=0,0,$Q5164+$P5165+$O5165)</f>
      </c>
      <c r="R5165" s="43">
        <f>IF($I5165=0,0,$J5165-$M5165-$N5165)</f>
      </c>
    </row>
    <row r="5166">
      <c r="A5166"/>
      <c r="B5166">
        <v>11</v>
      </c>
      <c r="C5166" s="43">
        <f>INDEX(DarlObj,11)</f>
      </c>
      <c r="D5166">
        <v>363</v>
      </c>
      <c r="E5166" s="51">
        <f>IF(INDEX(DarlBelegt,11)=0,0,EOMONTH(INDEX(DarlAuszahlung,11),362)+1)</f>
      </c>
      <c r="F5166" s="43">
        <f>IF($E5166=0,0,YEAR($E5166))</f>
      </c>
      <c r="G5166" s="43">
        <f>IF(INDEX(DarlBindung,11)="",1,IF($E5166&lt;=INDEX(DarlBindung,11),1,0))</f>
      </c>
      <c r="H5166" s="43">
        <f>IF($G5166=1,INDEX(DarlSollzins,11),INDEX(DarlAnschluss,11))</f>
      </c>
      <c r="I5166" s="43">
        <f>IF(INDEX(DarlBelegt,11)=0,0,IF(INDEX(DarlOhneTilgung,11)=1,IF(INDEX(DarlBindung,11)="",1,$G5166),IF($J5166&gt;0.005,1,0)))</f>
      </c>
      <c r="J5166" s="43">
        <f>IF($I5165=0,0,$R5165)</f>
      </c>
      <c r="K5166" s="43">
        <f>IF($I5166=0,0,IF(INDEX(DarlOhneTilgung,11)=1,0,IF(AND(INDEX(DarlTilgStart,11)&gt;0,$E5166=INDEX(DarlTilgStart,11)),$J5166*($H5166+INDEX(DarlTilgung,11))/100/12,IF(AND($G5166=0,$G5165=1),MAX($K5165,$J5166*($H5166+1)/100/12),$K5165))))</f>
      </c>
      <c r="L5166" s="43">
        <f>IF($I5166=0,0,$J5166*$H5166/100/12)</f>
      </c>
      <c r="M5166" s="43">
        <f>IF($I5166=0,0,IF(OR(INDEX(DarlOhneTilgung,11)=1,AND(INDEX(DarlTilgStart,11)&gt;0,$E5166&lt;INDEX(DarlTilgStart,11))),0,MIN(MAX(0,$K5166-$L5166),$J5166)))</f>
      </c>
      <c r="N5166" s="43">
        <f>IF($I5166=0,0,MIN(SUMIFS(SondBetrag,SondDarl,11,SondDatum,"&gt;="&amp;$E5166,SondDatum,"&lt;="&amp;EOMONTH($E5166,0)),$J5166-$M5166))</f>
      </c>
      <c r="O5166" s="43">
        <f>IF($I5166=0,0,INDEX(DarlErsatzRate,11))</f>
      </c>
      <c r="P5166" s="43">
        <f>IF($I5166=0,0,$Q5165*INDEX(DarlErsatzZins,11))</f>
      </c>
      <c r="Q5166" s="43">
        <f>IF($I5166=0,0,$Q5165+$P5166+$O5166)</f>
      </c>
      <c r="R5166" s="43">
        <f>IF($I5166=0,0,$J5166-$M5166-$N5166)</f>
      </c>
    </row>
    <row r="5167">
      <c r="A5167"/>
      <c r="B5167">
        <v>11</v>
      </c>
      <c r="C5167" s="43">
        <f>INDEX(DarlObj,11)</f>
      </c>
      <c r="D5167">
        <v>364</v>
      </c>
      <c r="E5167" s="51">
        <f>IF(INDEX(DarlBelegt,11)=0,0,EOMONTH(INDEX(DarlAuszahlung,11),363)+1)</f>
      </c>
      <c r="F5167" s="43">
        <f>IF($E5167=0,0,YEAR($E5167))</f>
      </c>
      <c r="G5167" s="43">
        <f>IF(INDEX(DarlBindung,11)="",1,IF($E5167&lt;=INDEX(DarlBindung,11),1,0))</f>
      </c>
      <c r="H5167" s="43">
        <f>IF($G5167=1,INDEX(DarlSollzins,11),INDEX(DarlAnschluss,11))</f>
      </c>
      <c r="I5167" s="43">
        <f>IF(INDEX(DarlBelegt,11)=0,0,IF(INDEX(DarlOhneTilgung,11)=1,IF(INDEX(DarlBindung,11)="",1,$G5167),IF($J5167&gt;0.005,1,0)))</f>
      </c>
      <c r="J5167" s="43">
        <f>IF($I5166=0,0,$R5166)</f>
      </c>
      <c r="K5167" s="43">
        <f>IF($I5167=0,0,IF(INDEX(DarlOhneTilgung,11)=1,0,IF(AND(INDEX(DarlTilgStart,11)&gt;0,$E5167=INDEX(DarlTilgStart,11)),$J5167*($H5167+INDEX(DarlTilgung,11))/100/12,IF(AND($G5167=0,$G5166=1),MAX($K5166,$J5167*($H5167+1)/100/12),$K5166))))</f>
      </c>
      <c r="L5167" s="43">
        <f>IF($I5167=0,0,$J5167*$H5167/100/12)</f>
      </c>
      <c r="M5167" s="43">
        <f>IF($I5167=0,0,IF(OR(INDEX(DarlOhneTilgung,11)=1,AND(INDEX(DarlTilgStart,11)&gt;0,$E5167&lt;INDEX(DarlTilgStart,11))),0,MIN(MAX(0,$K5167-$L5167),$J5167)))</f>
      </c>
      <c r="N5167" s="43">
        <f>IF($I5167=0,0,MIN(SUMIFS(SondBetrag,SondDarl,11,SondDatum,"&gt;="&amp;$E5167,SondDatum,"&lt;="&amp;EOMONTH($E5167,0)),$J5167-$M5167))</f>
      </c>
      <c r="O5167" s="43">
        <f>IF($I5167=0,0,INDEX(DarlErsatzRate,11))</f>
      </c>
      <c r="P5167" s="43">
        <f>IF($I5167=0,0,$Q5166*INDEX(DarlErsatzZins,11))</f>
      </c>
      <c r="Q5167" s="43">
        <f>IF($I5167=0,0,$Q5166+$P5167+$O5167)</f>
      </c>
      <c r="R5167" s="43">
        <f>IF($I5167=0,0,$J5167-$M5167-$N5167)</f>
      </c>
    </row>
    <row r="5168">
      <c r="A5168"/>
      <c r="B5168">
        <v>11</v>
      </c>
      <c r="C5168" s="43">
        <f>INDEX(DarlObj,11)</f>
      </c>
      <c r="D5168">
        <v>365</v>
      </c>
      <c r="E5168" s="51">
        <f>IF(INDEX(DarlBelegt,11)=0,0,EOMONTH(INDEX(DarlAuszahlung,11),364)+1)</f>
      </c>
      <c r="F5168" s="43">
        <f>IF($E5168=0,0,YEAR($E5168))</f>
      </c>
      <c r="G5168" s="43">
        <f>IF(INDEX(DarlBindung,11)="",1,IF($E5168&lt;=INDEX(DarlBindung,11),1,0))</f>
      </c>
      <c r="H5168" s="43">
        <f>IF($G5168=1,INDEX(DarlSollzins,11),INDEX(DarlAnschluss,11))</f>
      </c>
      <c r="I5168" s="43">
        <f>IF(INDEX(DarlBelegt,11)=0,0,IF(INDEX(DarlOhneTilgung,11)=1,IF(INDEX(DarlBindung,11)="",1,$G5168),IF($J5168&gt;0.005,1,0)))</f>
      </c>
      <c r="J5168" s="43">
        <f>IF($I5167=0,0,$R5167)</f>
      </c>
      <c r="K5168" s="43">
        <f>IF($I5168=0,0,IF(INDEX(DarlOhneTilgung,11)=1,0,IF(AND(INDEX(DarlTilgStart,11)&gt;0,$E5168=INDEX(DarlTilgStart,11)),$J5168*($H5168+INDEX(DarlTilgung,11))/100/12,IF(AND($G5168=0,$G5167=1),MAX($K5167,$J5168*($H5168+1)/100/12),$K5167))))</f>
      </c>
      <c r="L5168" s="43">
        <f>IF($I5168=0,0,$J5168*$H5168/100/12)</f>
      </c>
      <c r="M5168" s="43">
        <f>IF($I5168=0,0,IF(OR(INDEX(DarlOhneTilgung,11)=1,AND(INDEX(DarlTilgStart,11)&gt;0,$E5168&lt;INDEX(DarlTilgStart,11))),0,MIN(MAX(0,$K5168-$L5168),$J5168)))</f>
      </c>
      <c r="N5168" s="43">
        <f>IF($I5168=0,0,MIN(SUMIFS(SondBetrag,SondDarl,11,SondDatum,"&gt;="&amp;$E5168,SondDatum,"&lt;="&amp;EOMONTH($E5168,0)),$J5168-$M5168))</f>
      </c>
      <c r="O5168" s="43">
        <f>IF($I5168=0,0,INDEX(DarlErsatzRate,11))</f>
      </c>
      <c r="P5168" s="43">
        <f>IF($I5168=0,0,$Q5167*INDEX(DarlErsatzZins,11))</f>
      </c>
      <c r="Q5168" s="43">
        <f>IF($I5168=0,0,$Q5167+$P5168+$O5168)</f>
      </c>
      <c r="R5168" s="43">
        <f>IF($I5168=0,0,$J5168-$M5168-$N5168)</f>
      </c>
    </row>
    <row r="5169">
      <c r="A5169"/>
      <c r="B5169">
        <v>11</v>
      </c>
      <c r="C5169" s="43">
        <f>INDEX(DarlObj,11)</f>
      </c>
      <c r="D5169">
        <v>366</v>
      </c>
      <c r="E5169" s="51">
        <f>IF(INDEX(DarlBelegt,11)=0,0,EOMONTH(INDEX(DarlAuszahlung,11),365)+1)</f>
      </c>
      <c r="F5169" s="43">
        <f>IF($E5169=0,0,YEAR($E5169))</f>
      </c>
      <c r="G5169" s="43">
        <f>IF(INDEX(DarlBindung,11)="",1,IF($E5169&lt;=INDEX(DarlBindung,11),1,0))</f>
      </c>
      <c r="H5169" s="43">
        <f>IF($G5169=1,INDEX(DarlSollzins,11),INDEX(DarlAnschluss,11))</f>
      </c>
      <c r="I5169" s="43">
        <f>IF(INDEX(DarlBelegt,11)=0,0,IF(INDEX(DarlOhneTilgung,11)=1,IF(INDEX(DarlBindung,11)="",1,$G5169),IF($J5169&gt;0.005,1,0)))</f>
      </c>
      <c r="J5169" s="43">
        <f>IF($I5168=0,0,$R5168)</f>
      </c>
      <c r="K5169" s="43">
        <f>IF($I5169=0,0,IF(INDEX(DarlOhneTilgung,11)=1,0,IF(AND(INDEX(DarlTilgStart,11)&gt;0,$E5169=INDEX(DarlTilgStart,11)),$J5169*($H5169+INDEX(DarlTilgung,11))/100/12,IF(AND($G5169=0,$G5168=1),MAX($K5168,$J5169*($H5169+1)/100/12),$K5168))))</f>
      </c>
      <c r="L5169" s="43">
        <f>IF($I5169=0,0,$J5169*$H5169/100/12)</f>
      </c>
      <c r="M5169" s="43">
        <f>IF($I5169=0,0,IF(OR(INDEX(DarlOhneTilgung,11)=1,AND(INDEX(DarlTilgStart,11)&gt;0,$E5169&lt;INDEX(DarlTilgStart,11))),0,MIN(MAX(0,$K5169-$L5169),$J5169)))</f>
      </c>
      <c r="N5169" s="43">
        <f>IF($I5169=0,0,MIN(SUMIFS(SondBetrag,SondDarl,11,SondDatum,"&gt;="&amp;$E5169,SondDatum,"&lt;="&amp;EOMONTH($E5169,0)),$J5169-$M5169))</f>
      </c>
      <c r="O5169" s="43">
        <f>IF($I5169=0,0,INDEX(DarlErsatzRate,11))</f>
      </c>
      <c r="P5169" s="43">
        <f>IF($I5169=0,0,$Q5168*INDEX(DarlErsatzZins,11))</f>
      </c>
      <c r="Q5169" s="43">
        <f>IF($I5169=0,0,$Q5168+$P5169+$O5169)</f>
      </c>
      <c r="R5169" s="43">
        <f>IF($I5169=0,0,$J5169-$M5169-$N5169)</f>
      </c>
    </row>
    <row r="5170">
      <c r="A5170"/>
      <c r="B5170">
        <v>11</v>
      </c>
      <c r="C5170" s="43">
        <f>INDEX(DarlObj,11)</f>
      </c>
      <c r="D5170">
        <v>367</v>
      </c>
      <c r="E5170" s="51">
        <f>IF(INDEX(DarlBelegt,11)=0,0,EOMONTH(INDEX(DarlAuszahlung,11),366)+1)</f>
      </c>
      <c r="F5170" s="43">
        <f>IF($E5170=0,0,YEAR($E5170))</f>
      </c>
      <c r="G5170" s="43">
        <f>IF(INDEX(DarlBindung,11)="",1,IF($E5170&lt;=INDEX(DarlBindung,11),1,0))</f>
      </c>
      <c r="H5170" s="43">
        <f>IF($G5170=1,INDEX(DarlSollzins,11),INDEX(DarlAnschluss,11))</f>
      </c>
      <c r="I5170" s="43">
        <f>IF(INDEX(DarlBelegt,11)=0,0,IF(INDEX(DarlOhneTilgung,11)=1,IF(INDEX(DarlBindung,11)="",1,$G5170),IF($J5170&gt;0.005,1,0)))</f>
      </c>
      <c r="J5170" s="43">
        <f>IF($I5169=0,0,$R5169)</f>
      </c>
      <c r="K5170" s="43">
        <f>IF($I5170=0,0,IF(INDEX(DarlOhneTilgung,11)=1,0,IF(AND(INDEX(DarlTilgStart,11)&gt;0,$E5170=INDEX(DarlTilgStart,11)),$J5170*($H5170+INDEX(DarlTilgung,11))/100/12,IF(AND($G5170=0,$G5169=1),MAX($K5169,$J5170*($H5170+1)/100/12),$K5169))))</f>
      </c>
      <c r="L5170" s="43">
        <f>IF($I5170=0,0,$J5170*$H5170/100/12)</f>
      </c>
      <c r="M5170" s="43">
        <f>IF($I5170=0,0,IF(OR(INDEX(DarlOhneTilgung,11)=1,AND(INDEX(DarlTilgStart,11)&gt;0,$E5170&lt;INDEX(DarlTilgStart,11))),0,MIN(MAX(0,$K5170-$L5170),$J5170)))</f>
      </c>
      <c r="N5170" s="43">
        <f>IF($I5170=0,0,MIN(SUMIFS(SondBetrag,SondDarl,11,SondDatum,"&gt;="&amp;$E5170,SondDatum,"&lt;="&amp;EOMONTH($E5170,0)),$J5170-$M5170))</f>
      </c>
      <c r="O5170" s="43">
        <f>IF($I5170=0,0,INDEX(DarlErsatzRate,11))</f>
      </c>
      <c r="P5170" s="43">
        <f>IF($I5170=0,0,$Q5169*INDEX(DarlErsatzZins,11))</f>
      </c>
      <c r="Q5170" s="43">
        <f>IF($I5170=0,0,$Q5169+$P5170+$O5170)</f>
      </c>
      <c r="R5170" s="43">
        <f>IF($I5170=0,0,$J5170-$M5170-$N5170)</f>
      </c>
    </row>
    <row r="5171">
      <c r="A5171"/>
      <c r="B5171">
        <v>11</v>
      </c>
      <c r="C5171" s="43">
        <f>INDEX(DarlObj,11)</f>
      </c>
      <c r="D5171">
        <v>368</v>
      </c>
      <c r="E5171" s="51">
        <f>IF(INDEX(DarlBelegt,11)=0,0,EOMONTH(INDEX(DarlAuszahlung,11),367)+1)</f>
      </c>
      <c r="F5171" s="43">
        <f>IF($E5171=0,0,YEAR($E5171))</f>
      </c>
      <c r="G5171" s="43">
        <f>IF(INDEX(DarlBindung,11)="",1,IF($E5171&lt;=INDEX(DarlBindung,11),1,0))</f>
      </c>
      <c r="H5171" s="43">
        <f>IF($G5171=1,INDEX(DarlSollzins,11),INDEX(DarlAnschluss,11))</f>
      </c>
      <c r="I5171" s="43">
        <f>IF(INDEX(DarlBelegt,11)=0,0,IF(INDEX(DarlOhneTilgung,11)=1,IF(INDEX(DarlBindung,11)="",1,$G5171),IF($J5171&gt;0.005,1,0)))</f>
      </c>
      <c r="J5171" s="43">
        <f>IF($I5170=0,0,$R5170)</f>
      </c>
      <c r="K5171" s="43">
        <f>IF($I5171=0,0,IF(INDEX(DarlOhneTilgung,11)=1,0,IF(AND(INDEX(DarlTilgStart,11)&gt;0,$E5171=INDEX(DarlTilgStart,11)),$J5171*($H5171+INDEX(DarlTilgung,11))/100/12,IF(AND($G5171=0,$G5170=1),MAX($K5170,$J5171*($H5171+1)/100/12),$K5170))))</f>
      </c>
      <c r="L5171" s="43">
        <f>IF($I5171=0,0,$J5171*$H5171/100/12)</f>
      </c>
      <c r="M5171" s="43">
        <f>IF($I5171=0,0,IF(OR(INDEX(DarlOhneTilgung,11)=1,AND(INDEX(DarlTilgStart,11)&gt;0,$E5171&lt;INDEX(DarlTilgStart,11))),0,MIN(MAX(0,$K5171-$L5171),$J5171)))</f>
      </c>
      <c r="N5171" s="43">
        <f>IF($I5171=0,0,MIN(SUMIFS(SondBetrag,SondDarl,11,SondDatum,"&gt;="&amp;$E5171,SondDatum,"&lt;="&amp;EOMONTH($E5171,0)),$J5171-$M5171))</f>
      </c>
      <c r="O5171" s="43">
        <f>IF($I5171=0,0,INDEX(DarlErsatzRate,11))</f>
      </c>
      <c r="P5171" s="43">
        <f>IF($I5171=0,0,$Q5170*INDEX(DarlErsatzZins,11))</f>
      </c>
      <c r="Q5171" s="43">
        <f>IF($I5171=0,0,$Q5170+$P5171+$O5171)</f>
      </c>
      <c r="R5171" s="43">
        <f>IF($I5171=0,0,$J5171-$M5171-$N5171)</f>
      </c>
    </row>
    <row r="5172">
      <c r="A5172"/>
      <c r="B5172">
        <v>11</v>
      </c>
      <c r="C5172" s="43">
        <f>INDEX(DarlObj,11)</f>
      </c>
      <c r="D5172">
        <v>369</v>
      </c>
      <c r="E5172" s="51">
        <f>IF(INDEX(DarlBelegt,11)=0,0,EOMONTH(INDEX(DarlAuszahlung,11),368)+1)</f>
      </c>
      <c r="F5172" s="43">
        <f>IF($E5172=0,0,YEAR($E5172))</f>
      </c>
      <c r="G5172" s="43">
        <f>IF(INDEX(DarlBindung,11)="",1,IF($E5172&lt;=INDEX(DarlBindung,11),1,0))</f>
      </c>
      <c r="H5172" s="43">
        <f>IF($G5172=1,INDEX(DarlSollzins,11),INDEX(DarlAnschluss,11))</f>
      </c>
      <c r="I5172" s="43">
        <f>IF(INDEX(DarlBelegt,11)=0,0,IF(INDEX(DarlOhneTilgung,11)=1,IF(INDEX(DarlBindung,11)="",1,$G5172),IF($J5172&gt;0.005,1,0)))</f>
      </c>
      <c r="J5172" s="43">
        <f>IF($I5171=0,0,$R5171)</f>
      </c>
      <c r="K5172" s="43">
        <f>IF($I5172=0,0,IF(INDEX(DarlOhneTilgung,11)=1,0,IF(AND(INDEX(DarlTilgStart,11)&gt;0,$E5172=INDEX(DarlTilgStart,11)),$J5172*($H5172+INDEX(DarlTilgung,11))/100/12,IF(AND($G5172=0,$G5171=1),MAX($K5171,$J5172*($H5172+1)/100/12),$K5171))))</f>
      </c>
      <c r="L5172" s="43">
        <f>IF($I5172=0,0,$J5172*$H5172/100/12)</f>
      </c>
      <c r="M5172" s="43">
        <f>IF($I5172=0,0,IF(OR(INDEX(DarlOhneTilgung,11)=1,AND(INDEX(DarlTilgStart,11)&gt;0,$E5172&lt;INDEX(DarlTilgStart,11))),0,MIN(MAX(0,$K5172-$L5172),$J5172)))</f>
      </c>
      <c r="N5172" s="43">
        <f>IF($I5172=0,0,MIN(SUMIFS(SondBetrag,SondDarl,11,SondDatum,"&gt;="&amp;$E5172,SondDatum,"&lt;="&amp;EOMONTH($E5172,0)),$J5172-$M5172))</f>
      </c>
      <c r="O5172" s="43">
        <f>IF($I5172=0,0,INDEX(DarlErsatzRate,11))</f>
      </c>
      <c r="P5172" s="43">
        <f>IF($I5172=0,0,$Q5171*INDEX(DarlErsatzZins,11))</f>
      </c>
      <c r="Q5172" s="43">
        <f>IF($I5172=0,0,$Q5171+$P5172+$O5172)</f>
      </c>
      <c r="R5172" s="43">
        <f>IF($I5172=0,0,$J5172-$M5172-$N5172)</f>
      </c>
    </row>
    <row r="5173">
      <c r="A5173"/>
      <c r="B5173">
        <v>11</v>
      </c>
      <c r="C5173" s="43">
        <f>INDEX(DarlObj,11)</f>
      </c>
      <c r="D5173">
        <v>370</v>
      </c>
      <c r="E5173" s="51">
        <f>IF(INDEX(DarlBelegt,11)=0,0,EOMONTH(INDEX(DarlAuszahlung,11),369)+1)</f>
      </c>
      <c r="F5173" s="43">
        <f>IF($E5173=0,0,YEAR($E5173))</f>
      </c>
      <c r="G5173" s="43">
        <f>IF(INDEX(DarlBindung,11)="",1,IF($E5173&lt;=INDEX(DarlBindung,11),1,0))</f>
      </c>
      <c r="H5173" s="43">
        <f>IF($G5173=1,INDEX(DarlSollzins,11),INDEX(DarlAnschluss,11))</f>
      </c>
      <c r="I5173" s="43">
        <f>IF(INDEX(DarlBelegt,11)=0,0,IF(INDEX(DarlOhneTilgung,11)=1,IF(INDEX(DarlBindung,11)="",1,$G5173),IF($J5173&gt;0.005,1,0)))</f>
      </c>
      <c r="J5173" s="43">
        <f>IF($I5172=0,0,$R5172)</f>
      </c>
      <c r="K5173" s="43">
        <f>IF($I5173=0,0,IF(INDEX(DarlOhneTilgung,11)=1,0,IF(AND(INDEX(DarlTilgStart,11)&gt;0,$E5173=INDEX(DarlTilgStart,11)),$J5173*($H5173+INDEX(DarlTilgung,11))/100/12,IF(AND($G5173=0,$G5172=1),MAX($K5172,$J5173*($H5173+1)/100/12),$K5172))))</f>
      </c>
      <c r="L5173" s="43">
        <f>IF($I5173=0,0,$J5173*$H5173/100/12)</f>
      </c>
      <c r="M5173" s="43">
        <f>IF($I5173=0,0,IF(OR(INDEX(DarlOhneTilgung,11)=1,AND(INDEX(DarlTilgStart,11)&gt;0,$E5173&lt;INDEX(DarlTilgStart,11))),0,MIN(MAX(0,$K5173-$L5173),$J5173)))</f>
      </c>
      <c r="N5173" s="43">
        <f>IF($I5173=0,0,MIN(SUMIFS(SondBetrag,SondDarl,11,SondDatum,"&gt;="&amp;$E5173,SondDatum,"&lt;="&amp;EOMONTH($E5173,0)),$J5173-$M5173))</f>
      </c>
      <c r="O5173" s="43">
        <f>IF($I5173=0,0,INDEX(DarlErsatzRate,11))</f>
      </c>
      <c r="P5173" s="43">
        <f>IF($I5173=0,0,$Q5172*INDEX(DarlErsatzZins,11))</f>
      </c>
      <c r="Q5173" s="43">
        <f>IF($I5173=0,0,$Q5172+$P5173+$O5173)</f>
      </c>
      <c r="R5173" s="43">
        <f>IF($I5173=0,0,$J5173-$M5173-$N5173)</f>
      </c>
    </row>
    <row r="5174">
      <c r="A5174"/>
      <c r="B5174">
        <v>11</v>
      </c>
      <c r="C5174" s="43">
        <f>INDEX(DarlObj,11)</f>
      </c>
      <c r="D5174">
        <v>371</v>
      </c>
      <c r="E5174" s="51">
        <f>IF(INDEX(DarlBelegt,11)=0,0,EOMONTH(INDEX(DarlAuszahlung,11),370)+1)</f>
      </c>
      <c r="F5174" s="43">
        <f>IF($E5174=0,0,YEAR($E5174))</f>
      </c>
      <c r="G5174" s="43">
        <f>IF(INDEX(DarlBindung,11)="",1,IF($E5174&lt;=INDEX(DarlBindung,11),1,0))</f>
      </c>
      <c r="H5174" s="43">
        <f>IF($G5174=1,INDEX(DarlSollzins,11),INDEX(DarlAnschluss,11))</f>
      </c>
      <c r="I5174" s="43">
        <f>IF(INDEX(DarlBelegt,11)=0,0,IF(INDEX(DarlOhneTilgung,11)=1,IF(INDEX(DarlBindung,11)="",1,$G5174),IF($J5174&gt;0.005,1,0)))</f>
      </c>
      <c r="J5174" s="43">
        <f>IF($I5173=0,0,$R5173)</f>
      </c>
      <c r="K5174" s="43">
        <f>IF($I5174=0,0,IF(INDEX(DarlOhneTilgung,11)=1,0,IF(AND(INDEX(DarlTilgStart,11)&gt;0,$E5174=INDEX(DarlTilgStart,11)),$J5174*($H5174+INDEX(DarlTilgung,11))/100/12,IF(AND($G5174=0,$G5173=1),MAX($K5173,$J5174*($H5174+1)/100/12),$K5173))))</f>
      </c>
      <c r="L5174" s="43">
        <f>IF($I5174=0,0,$J5174*$H5174/100/12)</f>
      </c>
      <c r="M5174" s="43">
        <f>IF($I5174=0,0,IF(OR(INDEX(DarlOhneTilgung,11)=1,AND(INDEX(DarlTilgStart,11)&gt;0,$E5174&lt;INDEX(DarlTilgStart,11))),0,MIN(MAX(0,$K5174-$L5174),$J5174)))</f>
      </c>
      <c r="N5174" s="43">
        <f>IF($I5174=0,0,MIN(SUMIFS(SondBetrag,SondDarl,11,SondDatum,"&gt;="&amp;$E5174,SondDatum,"&lt;="&amp;EOMONTH($E5174,0)),$J5174-$M5174))</f>
      </c>
      <c r="O5174" s="43">
        <f>IF($I5174=0,0,INDEX(DarlErsatzRate,11))</f>
      </c>
      <c r="P5174" s="43">
        <f>IF($I5174=0,0,$Q5173*INDEX(DarlErsatzZins,11))</f>
      </c>
      <c r="Q5174" s="43">
        <f>IF($I5174=0,0,$Q5173+$P5174+$O5174)</f>
      </c>
      <c r="R5174" s="43">
        <f>IF($I5174=0,0,$J5174-$M5174-$N5174)</f>
      </c>
    </row>
    <row r="5175">
      <c r="A5175"/>
      <c r="B5175">
        <v>11</v>
      </c>
      <c r="C5175" s="43">
        <f>INDEX(DarlObj,11)</f>
      </c>
      <c r="D5175">
        <v>372</v>
      </c>
      <c r="E5175" s="51">
        <f>IF(INDEX(DarlBelegt,11)=0,0,EOMONTH(INDEX(DarlAuszahlung,11),371)+1)</f>
      </c>
      <c r="F5175" s="43">
        <f>IF($E5175=0,0,YEAR($E5175))</f>
      </c>
      <c r="G5175" s="43">
        <f>IF(INDEX(DarlBindung,11)="",1,IF($E5175&lt;=INDEX(DarlBindung,11),1,0))</f>
      </c>
      <c r="H5175" s="43">
        <f>IF($G5175=1,INDEX(DarlSollzins,11),INDEX(DarlAnschluss,11))</f>
      </c>
      <c r="I5175" s="43">
        <f>IF(INDEX(DarlBelegt,11)=0,0,IF(INDEX(DarlOhneTilgung,11)=1,IF(INDEX(DarlBindung,11)="",1,$G5175),IF($J5175&gt;0.005,1,0)))</f>
      </c>
      <c r="J5175" s="43">
        <f>IF($I5174=0,0,$R5174)</f>
      </c>
      <c r="K5175" s="43">
        <f>IF($I5175=0,0,IF(INDEX(DarlOhneTilgung,11)=1,0,IF(AND(INDEX(DarlTilgStart,11)&gt;0,$E5175=INDEX(DarlTilgStart,11)),$J5175*($H5175+INDEX(DarlTilgung,11))/100/12,IF(AND($G5175=0,$G5174=1),MAX($K5174,$J5175*($H5175+1)/100/12),$K5174))))</f>
      </c>
      <c r="L5175" s="43">
        <f>IF($I5175=0,0,$J5175*$H5175/100/12)</f>
      </c>
      <c r="M5175" s="43">
        <f>IF($I5175=0,0,IF(OR(INDEX(DarlOhneTilgung,11)=1,AND(INDEX(DarlTilgStart,11)&gt;0,$E5175&lt;INDEX(DarlTilgStart,11))),0,MIN(MAX(0,$K5175-$L5175),$J5175)))</f>
      </c>
      <c r="N5175" s="43">
        <f>IF($I5175=0,0,MIN(SUMIFS(SondBetrag,SondDarl,11,SondDatum,"&gt;="&amp;$E5175,SondDatum,"&lt;="&amp;EOMONTH($E5175,0)),$J5175-$M5175))</f>
      </c>
      <c r="O5175" s="43">
        <f>IF($I5175=0,0,INDEX(DarlErsatzRate,11))</f>
      </c>
      <c r="P5175" s="43">
        <f>IF($I5175=0,0,$Q5174*INDEX(DarlErsatzZins,11))</f>
      </c>
      <c r="Q5175" s="43">
        <f>IF($I5175=0,0,$Q5174+$P5175+$O5175)</f>
      </c>
      <c r="R5175" s="43">
        <f>IF($I5175=0,0,$J5175-$M5175-$N5175)</f>
      </c>
    </row>
    <row r="5176">
      <c r="A5176"/>
      <c r="B5176">
        <v>11</v>
      </c>
      <c r="C5176" s="43">
        <f>INDEX(DarlObj,11)</f>
      </c>
      <c r="D5176">
        <v>373</v>
      </c>
      <c r="E5176" s="51">
        <f>IF(INDEX(DarlBelegt,11)=0,0,EOMONTH(INDEX(DarlAuszahlung,11),372)+1)</f>
      </c>
      <c r="F5176" s="43">
        <f>IF($E5176=0,0,YEAR($E5176))</f>
      </c>
      <c r="G5176" s="43">
        <f>IF(INDEX(DarlBindung,11)="",1,IF($E5176&lt;=INDEX(DarlBindung,11),1,0))</f>
      </c>
      <c r="H5176" s="43">
        <f>IF($G5176=1,INDEX(DarlSollzins,11),INDEX(DarlAnschluss,11))</f>
      </c>
      <c r="I5176" s="43">
        <f>IF(INDEX(DarlBelegt,11)=0,0,IF(INDEX(DarlOhneTilgung,11)=1,IF(INDEX(DarlBindung,11)="",1,$G5176),IF($J5176&gt;0.005,1,0)))</f>
      </c>
      <c r="J5176" s="43">
        <f>IF($I5175=0,0,$R5175)</f>
      </c>
      <c r="K5176" s="43">
        <f>IF($I5176=0,0,IF(INDEX(DarlOhneTilgung,11)=1,0,IF(AND(INDEX(DarlTilgStart,11)&gt;0,$E5176=INDEX(DarlTilgStart,11)),$J5176*($H5176+INDEX(DarlTilgung,11))/100/12,IF(AND($G5176=0,$G5175=1),MAX($K5175,$J5176*($H5176+1)/100/12),$K5175))))</f>
      </c>
      <c r="L5176" s="43">
        <f>IF($I5176=0,0,$J5176*$H5176/100/12)</f>
      </c>
      <c r="M5176" s="43">
        <f>IF($I5176=0,0,IF(OR(INDEX(DarlOhneTilgung,11)=1,AND(INDEX(DarlTilgStart,11)&gt;0,$E5176&lt;INDEX(DarlTilgStart,11))),0,MIN(MAX(0,$K5176-$L5176),$J5176)))</f>
      </c>
      <c r="N5176" s="43">
        <f>IF($I5176=0,0,MIN(SUMIFS(SondBetrag,SondDarl,11,SondDatum,"&gt;="&amp;$E5176,SondDatum,"&lt;="&amp;EOMONTH($E5176,0)),$J5176-$M5176))</f>
      </c>
      <c r="O5176" s="43">
        <f>IF($I5176=0,0,INDEX(DarlErsatzRate,11))</f>
      </c>
      <c r="P5176" s="43">
        <f>IF($I5176=0,0,$Q5175*INDEX(DarlErsatzZins,11))</f>
      </c>
      <c r="Q5176" s="43">
        <f>IF($I5176=0,0,$Q5175+$P5176+$O5176)</f>
      </c>
      <c r="R5176" s="43">
        <f>IF($I5176=0,0,$J5176-$M5176-$N5176)</f>
      </c>
    </row>
    <row r="5177">
      <c r="A5177"/>
      <c r="B5177">
        <v>11</v>
      </c>
      <c r="C5177" s="43">
        <f>INDEX(DarlObj,11)</f>
      </c>
      <c r="D5177">
        <v>374</v>
      </c>
      <c r="E5177" s="51">
        <f>IF(INDEX(DarlBelegt,11)=0,0,EOMONTH(INDEX(DarlAuszahlung,11),373)+1)</f>
      </c>
      <c r="F5177" s="43">
        <f>IF($E5177=0,0,YEAR($E5177))</f>
      </c>
      <c r="G5177" s="43">
        <f>IF(INDEX(DarlBindung,11)="",1,IF($E5177&lt;=INDEX(DarlBindung,11),1,0))</f>
      </c>
      <c r="H5177" s="43">
        <f>IF($G5177=1,INDEX(DarlSollzins,11),INDEX(DarlAnschluss,11))</f>
      </c>
      <c r="I5177" s="43">
        <f>IF(INDEX(DarlBelegt,11)=0,0,IF(INDEX(DarlOhneTilgung,11)=1,IF(INDEX(DarlBindung,11)="",1,$G5177),IF($J5177&gt;0.005,1,0)))</f>
      </c>
      <c r="J5177" s="43">
        <f>IF($I5176=0,0,$R5176)</f>
      </c>
      <c r="K5177" s="43">
        <f>IF($I5177=0,0,IF(INDEX(DarlOhneTilgung,11)=1,0,IF(AND(INDEX(DarlTilgStart,11)&gt;0,$E5177=INDEX(DarlTilgStart,11)),$J5177*($H5177+INDEX(DarlTilgung,11))/100/12,IF(AND($G5177=0,$G5176=1),MAX($K5176,$J5177*($H5177+1)/100/12),$K5176))))</f>
      </c>
      <c r="L5177" s="43">
        <f>IF($I5177=0,0,$J5177*$H5177/100/12)</f>
      </c>
      <c r="M5177" s="43">
        <f>IF($I5177=0,0,IF(OR(INDEX(DarlOhneTilgung,11)=1,AND(INDEX(DarlTilgStart,11)&gt;0,$E5177&lt;INDEX(DarlTilgStart,11))),0,MIN(MAX(0,$K5177-$L5177),$J5177)))</f>
      </c>
      <c r="N5177" s="43">
        <f>IF($I5177=0,0,MIN(SUMIFS(SondBetrag,SondDarl,11,SondDatum,"&gt;="&amp;$E5177,SondDatum,"&lt;="&amp;EOMONTH($E5177,0)),$J5177-$M5177))</f>
      </c>
      <c r="O5177" s="43">
        <f>IF($I5177=0,0,INDEX(DarlErsatzRate,11))</f>
      </c>
      <c r="P5177" s="43">
        <f>IF($I5177=0,0,$Q5176*INDEX(DarlErsatzZins,11))</f>
      </c>
      <c r="Q5177" s="43">
        <f>IF($I5177=0,0,$Q5176+$P5177+$O5177)</f>
      </c>
      <c r="R5177" s="43">
        <f>IF($I5177=0,0,$J5177-$M5177-$N5177)</f>
      </c>
    </row>
    <row r="5178">
      <c r="A5178"/>
      <c r="B5178">
        <v>11</v>
      </c>
      <c r="C5178" s="43">
        <f>INDEX(DarlObj,11)</f>
      </c>
      <c r="D5178">
        <v>375</v>
      </c>
      <c r="E5178" s="51">
        <f>IF(INDEX(DarlBelegt,11)=0,0,EOMONTH(INDEX(DarlAuszahlung,11),374)+1)</f>
      </c>
      <c r="F5178" s="43">
        <f>IF($E5178=0,0,YEAR($E5178))</f>
      </c>
      <c r="G5178" s="43">
        <f>IF(INDEX(DarlBindung,11)="",1,IF($E5178&lt;=INDEX(DarlBindung,11),1,0))</f>
      </c>
      <c r="H5178" s="43">
        <f>IF($G5178=1,INDEX(DarlSollzins,11),INDEX(DarlAnschluss,11))</f>
      </c>
      <c r="I5178" s="43">
        <f>IF(INDEX(DarlBelegt,11)=0,0,IF(INDEX(DarlOhneTilgung,11)=1,IF(INDEX(DarlBindung,11)="",1,$G5178),IF($J5178&gt;0.005,1,0)))</f>
      </c>
      <c r="J5178" s="43">
        <f>IF($I5177=0,0,$R5177)</f>
      </c>
      <c r="K5178" s="43">
        <f>IF($I5178=0,0,IF(INDEX(DarlOhneTilgung,11)=1,0,IF(AND(INDEX(DarlTilgStart,11)&gt;0,$E5178=INDEX(DarlTilgStart,11)),$J5178*($H5178+INDEX(DarlTilgung,11))/100/12,IF(AND($G5178=0,$G5177=1),MAX($K5177,$J5178*($H5178+1)/100/12),$K5177))))</f>
      </c>
      <c r="L5178" s="43">
        <f>IF($I5178=0,0,$J5178*$H5178/100/12)</f>
      </c>
      <c r="M5178" s="43">
        <f>IF($I5178=0,0,IF(OR(INDEX(DarlOhneTilgung,11)=1,AND(INDEX(DarlTilgStart,11)&gt;0,$E5178&lt;INDEX(DarlTilgStart,11))),0,MIN(MAX(0,$K5178-$L5178),$J5178)))</f>
      </c>
      <c r="N5178" s="43">
        <f>IF($I5178=0,0,MIN(SUMIFS(SondBetrag,SondDarl,11,SondDatum,"&gt;="&amp;$E5178,SondDatum,"&lt;="&amp;EOMONTH($E5178,0)),$J5178-$M5178))</f>
      </c>
      <c r="O5178" s="43">
        <f>IF($I5178=0,0,INDEX(DarlErsatzRate,11))</f>
      </c>
      <c r="P5178" s="43">
        <f>IF($I5178=0,0,$Q5177*INDEX(DarlErsatzZins,11))</f>
      </c>
      <c r="Q5178" s="43">
        <f>IF($I5178=0,0,$Q5177+$P5178+$O5178)</f>
      </c>
      <c r="R5178" s="43">
        <f>IF($I5178=0,0,$J5178-$M5178-$N5178)</f>
      </c>
    </row>
    <row r="5179">
      <c r="A5179"/>
      <c r="B5179">
        <v>11</v>
      </c>
      <c r="C5179" s="43">
        <f>INDEX(DarlObj,11)</f>
      </c>
      <c r="D5179">
        <v>376</v>
      </c>
      <c r="E5179" s="51">
        <f>IF(INDEX(DarlBelegt,11)=0,0,EOMONTH(INDEX(DarlAuszahlung,11),375)+1)</f>
      </c>
      <c r="F5179" s="43">
        <f>IF($E5179=0,0,YEAR($E5179))</f>
      </c>
      <c r="G5179" s="43">
        <f>IF(INDEX(DarlBindung,11)="",1,IF($E5179&lt;=INDEX(DarlBindung,11),1,0))</f>
      </c>
      <c r="H5179" s="43">
        <f>IF($G5179=1,INDEX(DarlSollzins,11),INDEX(DarlAnschluss,11))</f>
      </c>
      <c r="I5179" s="43">
        <f>IF(INDEX(DarlBelegt,11)=0,0,IF(INDEX(DarlOhneTilgung,11)=1,IF(INDEX(DarlBindung,11)="",1,$G5179),IF($J5179&gt;0.005,1,0)))</f>
      </c>
      <c r="J5179" s="43">
        <f>IF($I5178=0,0,$R5178)</f>
      </c>
      <c r="K5179" s="43">
        <f>IF($I5179=0,0,IF(INDEX(DarlOhneTilgung,11)=1,0,IF(AND(INDEX(DarlTilgStart,11)&gt;0,$E5179=INDEX(DarlTilgStart,11)),$J5179*($H5179+INDEX(DarlTilgung,11))/100/12,IF(AND($G5179=0,$G5178=1),MAX($K5178,$J5179*($H5179+1)/100/12),$K5178))))</f>
      </c>
      <c r="L5179" s="43">
        <f>IF($I5179=0,0,$J5179*$H5179/100/12)</f>
      </c>
      <c r="M5179" s="43">
        <f>IF($I5179=0,0,IF(OR(INDEX(DarlOhneTilgung,11)=1,AND(INDEX(DarlTilgStart,11)&gt;0,$E5179&lt;INDEX(DarlTilgStart,11))),0,MIN(MAX(0,$K5179-$L5179),$J5179)))</f>
      </c>
      <c r="N5179" s="43">
        <f>IF($I5179=0,0,MIN(SUMIFS(SondBetrag,SondDarl,11,SondDatum,"&gt;="&amp;$E5179,SondDatum,"&lt;="&amp;EOMONTH($E5179,0)),$J5179-$M5179))</f>
      </c>
      <c r="O5179" s="43">
        <f>IF($I5179=0,0,INDEX(DarlErsatzRate,11))</f>
      </c>
      <c r="P5179" s="43">
        <f>IF($I5179=0,0,$Q5178*INDEX(DarlErsatzZins,11))</f>
      </c>
      <c r="Q5179" s="43">
        <f>IF($I5179=0,0,$Q5178+$P5179+$O5179)</f>
      </c>
      <c r="R5179" s="43">
        <f>IF($I5179=0,0,$J5179-$M5179-$N5179)</f>
      </c>
    </row>
    <row r="5180">
      <c r="A5180"/>
      <c r="B5180">
        <v>11</v>
      </c>
      <c r="C5180" s="43">
        <f>INDEX(DarlObj,11)</f>
      </c>
      <c r="D5180">
        <v>377</v>
      </c>
      <c r="E5180" s="51">
        <f>IF(INDEX(DarlBelegt,11)=0,0,EOMONTH(INDEX(DarlAuszahlung,11),376)+1)</f>
      </c>
      <c r="F5180" s="43">
        <f>IF($E5180=0,0,YEAR($E5180))</f>
      </c>
      <c r="G5180" s="43">
        <f>IF(INDEX(DarlBindung,11)="",1,IF($E5180&lt;=INDEX(DarlBindung,11),1,0))</f>
      </c>
      <c r="H5180" s="43">
        <f>IF($G5180=1,INDEX(DarlSollzins,11),INDEX(DarlAnschluss,11))</f>
      </c>
      <c r="I5180" s="43">
        <f>IF(INDEX(DarlBelegt,11)=0,0,IF(INDEX(DarlOhneTilgung,11)=1,IF(INDEX(DarlBindung,11)="",1,$G5180),IF($J5180&gt;0.005,1,0)))</f>
      </c>
      <c r="J5180" s="43">
        <f>IF($I5179=0,0,$R5179)</f>
      </c>
      <c r="K5180" s="43">
        <f>IF($I5180=0,0,IF(INDEX(DarlOhneTilgung,11)=1,0,IF(AND(INDEX(DarlTilgStart,11)&gt;0,$E5180=INDEX(DarlTilgStart,11)),$J5180*($H5180+INDEX(DarlTilgung,11))/100/12,IF(AND($G5180=0,$G5179=1),MAX($K5179,$J5180*($H5180+1)/100/12),$K5179))))</f>
      </c>
      <c r="L5180" s="43">
        <f>IF($I5180=0,0,$J5180*$H5180/100/12)</f>
      </c>
      <c r="M5180" s="43">
        <f>IF($I5180=0,0,IF(OR(INDEX(DarlOhneTilgung,11)=1,AND(INDEX(DarlTilgStart,11)&gt;0,$E5180&lt;INDEX(DarlTilgStart,11))),0,MIN(MAX(0,$K5180-$L5180),$J5180)))</f>
      </c>
      <c r="N5180" s="43">
        <f>IF($I5180=0,0,MIN(SUMIFS(SondBetrag,SondDarl,11,SondDatum,"&gt;="&amp;$E5180,SondDatum,"&lt;="&amp;EOMONTH($E5180,0)),$J5180-$M5180))</f>
      </c>
      <c r="O5180" s="43">
        <f>IF($I5180=0,0,INDEX(DarlErsatzRate,11))</f>
      </c>
      <c r="P5180" s="43">
        <f>IF($I5180=0,0,$Q5179*INDEX(DarlErsatzZins,11))</f>
      </c>
      <c r="Q5180" s="43">
        <f>IF($I5180=0,0,$Q5179+$P5180+$O5180)</f>
      </c>
      <c r="R5180" s="43">
        <f>IF($I5180=0,0,$J5180-$M5180-$N5180)</f>
      </c>
    </row>
    <row r="5181">
      <c r="A5181"/>
      <c r="B5181">
        <v>11</v>
      </c>
      <c r="C5181" s="43">
        <f>INDEX(DarlObj,11)</f>
      </c>
      <c r="D5181">
        <v>378</v>
      </c>
      <c r="E5181" s="51">
        <f>IF(INDEX(DarlBelegt,11)=0,0,EOMONTH(INDEX(DarlAuszahlung,11),377)+1)</f>
      </c>
      <c r="F5181" s="43">
        <f>IF($E5181=0,0,YEAR($E5181))</f>
      </c>
      <c r="G5181" s="43">
        <f>IF(INDEX(DarlBindung,11)="",1,IF($E5181&lt;=INDEX(DarlBindung,11),1,0))</f>
      </c>
      <c r="H5181" s="43">
        <f>IF($G5181=1,INDEX(DarlSollzins,11),INDEX(DarlAnschluss,11))</f>
      </c>
      <c r="I5181" s="43">
        <f>IF(INDEX(DarlBelegt,11)=0,0,IF(INDEX(DarlOhneTilgung,11)=1,IF(INDEX(DarlBindung,11)="",1,$G5181),IF($J5181&gt;0.005,1,0)))</f>
      </c>
      <c r="J5181" s="43">
        <f>IF($I5180=0,0,$R5180)</f>
      </c>
      <c r="K5181" s="43">
        <f>IF($I5181=0,0,IF(INDEX(DarlOhneTilgung,11)=1,0,IF(AND(INDEX(DarlTilgStart,11)&gt;0,$E5181=INDEX(DarlTilgStart,11)),$J5181*($H5181+INDEX(DarlTilgung,11))/100/12,IF(AND($G5181=0,$G5180=1),MAX($K5180,$J5181*($H5181+1)/100/12),$K5180))))</f>
      </c>
      <c r="L5181" s="43">
        <f>IF($I5181=0,0,$J5181*$H5181/100/12)</f>
      </c>
      <c r="M5181" s="43">
        <f>IF($I5181=0,0,IF(OR(INDEX(DarlOhneTilgung,11)=1,AND(INDEX(DarlTilgStart,11)&gt;0,$E5181&lt;INDEX(DarlTilgStart,11))),0,MIN(MAX(0,$K5181-$L5181),$J5181)))</f>
      </c>
      <c r="N5181" s="43">
        <f>IF($I5181=0,0,MIN(SUMIFS(SondBetrag,SondDarl,11,SondDatum,"&gt;="&amp;$E5181,SondDatum,"&lt;="&amp;EOMONTH($E5181,0)),$J5181-$M5181))</f>
      </c>
      <c r="O5181" s="43">
        <f>IF($I5181=0,0,INDEX(DarlErsatzRate,11))</f>
      </c>
      <c r="P5181" s="43">
        <f>IF($I5181=0,0,$Q5180*INDEX(DarlErsatzZins,11))</f>
      </c>
      <c r="Q5181" s="43">
        <f>IF($I5181=0,0,$Q5180+$P5181+$O5181)</f>
      </c>
      <c r="R5181" s="43">
        <f>IF($I5181=0,0,$J5181-$M5181-$N5181)</f>
      </c>
    </row>
    <row r="5182">
      <c r="A5182"/>
      <c r="B5182">
        <v>11</v>
      </c>
      <c r="C5182" s="43">
        <f>INDEX(DarlObj,11)</f>
      </c>
      <c r="D5182">
        <v>379</v>
      </c>
      <c r="E5182" s="51">
        <f>IF(INDEX(DarlBelegt,11)=0,0,EOMONTH(INDEX(DarlAuszahlung,11),378)+1)</f>
      </c>
      <c r="F5182" s="43">
        <f>IF($E5182=0,0,YEAR($E5182))</f>
      </c>
      <c r="G5182" s="43">
        <f>IF(INDEX(DarlBindung,11)="",1,IF($E5182&lt;=INDEX(DarlBindung,11),1,0))</f>
      </c>
      <c r="H5182" s="43">
        <f>IF($G5182=1,INDEX(DarlSollzins,11),INDEX(DarlAnschluss,11))</f>
      </c>
      <c r="I5182" s="43">
        <f>IF(INDEX(DarlBelegt,11)=0,0,IF(INDEX(DarlOhneTilgung,11)=1,IF(INDEX(DarlBindung,11)="",1,$G5182),IF($J5182&gt;0.005,1,0)))</f>
      </c>
      <c r="J5182" s="43">
        <f>IF($I5181=0,0,$R5181)</f>
      </c>
      <c r="K5182" s="43">
        <f>IF($I5182=0,0,IF(INDEX(DarlOhneTilgung,11)=1,0,IF(AND(INDEX(DarlTilgStart,11)&gt;0,$E5182=INDEX(DarlTilgStart,11)),$J5182*($H5182+INDEX(DarlTilgung,11))/100/12,IF(AND($G5182=0,$G5181=1),MAX($K5181,$J5182*($H5182+1)/100/12),$K5181))))</f>
      </c>
      <c r="L5182" s="43">
        <f>IF($I5182=0,0,$J5182*$H5182/100/12)</f>
      </c>
      <c r="M5182" s="43">
        <f>IF($I5182=0,0,IF(OR(INDEX(DarlOhneTilgung,11)=1,AND(INDEX(DarlTilgStart,11)&gt;0,$E5182&lt;INDEX(DarlTilgStart,11))),0,MIN(MAX(0,$K5182-$L5182),$J5182)))</f>
      </c>
      <c r="N5182" s="43">
        <f>IF($I5182=0,0,MIN(SUMIFS(SondBetrag,SondDarl,11,SondDatum,"&gt;="&amp;$E5182,SondDatum,"&lt;="&amp;EOMONTH($E5182,0)),$J5182-$M5182))</f>
      </c>
      <c r="O5182" s="43">
        <f>IF($I5182=0,0,INDEX(DarlErsatzRate,11))</f>
      </c>
      <c r="P5182" s="43">
        <f>IF($I5182=0,0,$Q5181*INDEX(DarlErsatzZins,11))</f>
      </c>
      <c r="Q5182" s="43">
        <f>IF($I5182=0,0,$Q5181+$P5182+$O5182)</f>
      </c>
      <c r="R5182" s="43">
        <f>IF($I5182=0,0,$J5182-$M5182-$N5182)</f>
      </c>
    </row>
    <row r="5183">
      <c r="A5183"/>
      <c r="B5183">
        <v>11</v>
      </c>
      <c r="C5183" s="43">
        <f>INDEX(DarlObj,11)</f>
      </c>
      <c r="D5183">
        <v>380</v>
      </c>
      <c r="E5183" s="51">
        <f>IF(INDEX(DarlBelegt,11)=0,0,EOMONTH(INDEX(DarlAuszahlung,11),379)+1)</f>
      </c>
      <c r="F5183" s="43">
        <f>IF($E5183=0,0,YEAR($E5183))</f>
      </c>
      <c r="G5183" s="43">
        <f>IF(INDEX(DarlBindung,11)="",1,IF($E5183&lt;=INDEX(DarlBindung,11),1,0))</f>
      </c>
      <c r="H5183" s="43">
        <f>IF($G5183=1,INDEX(DarlSollzins,11),INDEX(DarlAnschluss,11))</f>
      </c>
      <c r="I5183" s="43">
        <f>IF(INDEX(DarlBelegt,11)=0,0,IF(INDEX(DarlOhneTilgung,11)=1,IF(INDEX(DarlBindung,11)="",1,$G5183),IF($J5183&gt;0.005,1,0)))</f>
      </c>
      <c r="J5183" s="43">
        <f>IF($I5182=0,0,$R5182)</f>
      </c>
      <c r="K5183" s="43">
        <f>IF($I5183=0,0,IF(INDEX(DarlOhneTilgung,11)=1,0,IF(AND(INDEX(DarlTilgStart,11)&gt;0,$E5183=INDEX(DarlTilgStart,11)),$J5183*($H5183+INDEX(DarlTilgung,11))/100/12,IF(AND($G5183=0,$G5182=1),MAX($K5182,$J5183*($H5183+1)/100/12),$K5182))))</f>
      </c>
      <c r="L5183" s="43">
        <f>IF($I5183=0,0,$J5183*$H5183/100/12)</f>
      </c>
      <c r="M5183" s="43">
        <f>IF($I5183=0,0,IF(OR(INDEX(DarlOhneTilgung,11)=1,AND(INDEX(DarlTilgStart,11)&gt;0,$E5183&lt;INDEX(DarlTilgStart,11))),0,MIN(MAX(0,$K5183-$L5183),$J5183)))</f>
      </c>
      <c r="N5183" s="43">
        <f>IF($I5183=0,0,MIN(SUMIFS(SondBetrag,SondDarl,11,SondDatum,"&gt;="&amp;$E5183,SondDatum,"&lt;="&amp;EOMONTH($E5183,0)),$J5183-$M5183))</f>
      </c>
      <c r="O5183" s="43">
        <f>IF($I5183=0,0,INDEX(DarlErsatzRate,11))</f>
      </c>
      <c r="P5183" s="43">
        <f>IF($I5183=0,0,$Q5182*INDEX(DarlErsatzZins,11))</f>
      </c>
      <c r="Q5183" s="43">
        <f>IF($I5183=0,0,$Q5182+$P5183+$O5183)</f>
      </c>
      <c r="R5183" s="43">
        <f>IF($I5183=0,0,$J5183-$M5183-$N5183)</f>
      </c>
    </row>
    <row r="5184">
      <c r="A5184"/>
      <c r="B5184">
        <v>11</v>
      </c>
      <c r="C5184" s="43">
        <f>INDEX(DarlObj,11)</f>
      </c>
      <c r="D5184">
        <v>381</v>
      </c>
      <c r="E5184" s="51">
        <f>IF(INDEX(DarlBelegt,11)=0,0,EOMONTH(INDEX(DarlAuszahlung,11),380)+1)</f>
      </c>
      <c r="F5184" s="43">
        <f>IF($E5184=0,0,YEAR($E5184))</f>
      </c>
      <c r="G5184" s="43">
        <f>IF(INDEX(DarlBindung,11)="",1,IF($E5184&lt;=INDEX(DarlBindung,11),1,0))</f>
      </c>
      <c r="H5184" s="43">
        <f>IF($G5184=1,INDEX(DarlSollzins,11),INDEX(DarlAnschluss,11))</f>
      </c>
      <c r="I5184" s="43">
        <f>IF(INDEX(DarlBelegt,11)=0,0,IF(INDEX(DarlOhneTilgung,11)=1,IF(INDEX(DarlBindung,11)="",1,$G5184),IF($J5184&gt;0.005,1,0)))</f>
      </c>
      <c r="J5184" s="43">
        <f>IF($I5183=0,0,$R5183)</f>
      </c>
      <c r="K5184" s="43">
        <f>IF($I5184=0,0,IF(INDEX(DarlOhneTilgung,11)=1,0,IF(AND(INDEX(DarlTilgStart,11)&gt;0,$E5184=INDEX(DarlTilgStart,11)),$J5184*($H5184+INDEX(DarlTilgung,11))/100/12,IF(AND($G5184=0,$G5183=1),MAX($K5183,$J5184*($H5184+1)/100/12),$K5183))))</f>
      </c>
      <c r="L5184" s="43">
        <f>IF($I5184=0,0,$J5184*$H5184/100/12)</f>
      </c>
      <c r="M5184" s="43">
        <f>IF($I5184=0,0,IF(OR(INDEX(DarlOhneTilgung,11)=1,AND(INDEX(DarlTilgStart,11)&gt;0,$E5184&lt;INDEX(DarlTilgStart,11))),0,MIN(MAX(0,$K5184-$L5184),$J5184)))</f>
      </c>
      <c r="N5184" s="43">
        <f>IF($I5184=0,0,MIN(SUMIFS(SondBetrag,SondDarl,11,SondDatum,"&gt;="&amp;$E5184,SondDatum,"&lt;="&amp;EOMONTH($E5184,0)),$J5184-$M5184))</f>
      </c>
      <c r="O5184" s="43">
        <f>IF($I5184=0,0,INDEX(DarlErsatzRate,11))</f>
      </c>
      <c r="P5184" s="43">
        <f>IF($I5184=0,0,$Q5183*INDEX(DarlErsatzZins,11))</f>
      </c>
      <c r="Q5184" s="43">
        <f>IF($I5184=0,0,$Q5183+$P5184+$O5184)</f>
      </c>
      <c r="R5184" s="43">
        <f>IF($I5184=0,0,$J5184-$M5184-$N5184)</f>
      </c>
    </row>
    <row r="5185">
      <c r="A5185"/>
      <c r="B5185">
        <v>11</v>
      </c>
      <c r="C5185" s="43">
        <f>INDEX(DarlObj,11)</f>
      </c>
      <c r="D5185">
        <v>382</v>
      </c>
      <c r="E5185" s="51">
        <f>IF(INDEX(DarlBelegt,11)=0,0,EOMONTH(INDEX(DarlAuszahlung,11),381)+1)</f>
      </c>
      <c r="F5185" s="43">
        <f>IF($E5185=0,0,YEAR($E5185))</f>
      </c>
      <c r="G5185" s="43">
        <f>IF(INDEX(DarlBindung,11)="",1,IF($E5185&lt;=INDEX(DarlBindung,11),1,0))</f>
      </c>
      <c r="H5185" s="43">
        <f>IF($G5185=1,INDEX(DarlSollzins,11),INDEX(DarlAnschluss,11))</f>
      </c>
      <c r="I5185" s="43">
        <f>IF(INDEX(DarlBelegt,11)=0,0,IF(INDEX(DarlOhneTilgung,11)=1,IF(INDEX(DarlBindung,11)="",1,$G5185),IF($J5185&gt;0.005,1,0)))</f>
      </c>
      <c r="J5185" s="43">
        <f>IF($I5184=0,0,$R5184)</f>
      </c>
      <c r="K5185" s="43">
        <f>IF($I5185=0,0,IF(INDEX(DarlOhneTilgung,11)=1,0,IF(AND(INDEX(DarlTilgStart,11)&gt;0,$E5185=INDEX(DarlTilgStart,11)),$J5185*($H5185+INDEX(DarlTilgung,11))/100/12,IF(AND($G5185=0,$G5184=1),MAX($K5184,$J5185*($H5185+1)/100/12),$K5184))))</f>
      </c>
      <c r="L5185" s="43">
        <f>IF($I5185=0,0,$J5185*$H5185/100/12)</f>
      </c>
      <c r="M5185" s="43">
        <f>IF($I5185=0,0,IF(OR(INDEX(DarlOhneTilgung,11)=1,AND(INDEX(DarlTilgStart,11)&gt;0,$E5185&lt;INDEX(DarlTilgStart,11))),0,MIN(MAX(0,$K5185-$L5185),$J5185)))</f>
      </c>
      <c r="N5185" s="43">
        <f>IF($I5185=0,0,MIN(SUMIFS(SondBetrag,SondDarl,11,SondDatum,"&gt;="&amp;$E5185,SondDatum,"&lt;="&amp;EOMONTH($E5185,0)),$J5185-$M5185))</f>
      </c>
      <c r="O5185" s="43">
        <f>IF($I5185=0,0,INDEX(DarlErsatzRate,11))</f>
      </c>
      <c r="P5185" s="43">
        <f>IF($I5185=0,0,$Q5184*INDEX(DarlErsatzZins,11))</f>
      </c>
      <c r="Q5185" s="43">
        <f>IF($I5185=0,0,$Q5184+$P5185+$O5185)</f>
      </c>
      <c r="R5185" s="43">
        <f>IF($I5185=0,0,$J5185-$M5185-$N5185)</f>
      </c>
    </row>
    <row r="5186">
      <c r="A5186"/>
      <c r="B5186">
        <v>11</v>
      </c>
      <c r="C5186" s="43">
        <f>INDEX(DarlObj,11)</f>
      </c>
      <c r="D5186">
        <v>383</v>
      </c>
      <c r="E5186" s="51">
        <f>IF(INDEX(DarlBelegt,11)=0,0,EOMONTH(INDEX(DarlAuszahlung,11),382)+1)</f>
      </c>
      <c r="F5186" s="43">
        <f>IF($E5186=0,0,YEAR($E5186))</f>
      </c>
      <c r="G5186" s="43">
        <f>IF(INDEX(DarlBindung,11)="",1,IF($E5186&lt;=INDEX(DarlBindung,11),1,0))</f>
      </c>
      <c r="H5186" s="43">
        <f>IF($G5186=1,INDEX(DarlSollzins,11),INDEX(DarlAnschluss,11))</f>
      </c>
      <c r="I5186" s="43">
        <f>IF(INDEX(DarlBelegt,11)=0,0,IF(INDEX(DarlOhneTilgung,11)=1,IF(INDEX(DarlBindung,11)="",1,$G5186),IF($J5186&gt;0.005,1,0)))</f>
      </c>
      <c r="J5186" s="43">
        <f>IF($I5185=0,0,$R5185)</f>
      </c>
      <c r="K5186" s="43">
        <f>IF($I5186=0,0,IF(INDEX(DarlOhneTilgung,11)=1,0,IF(AND(INDEX(DarlTilgStart,11)&gt;0,$E5186=INDEX(DarlTilgStart,11)),$J5186*($H5186+INDEX(DarlTilgung,11))/100/12,IF(AND($G5186=0,$G5185=1),MAX($K5185,$J5186*($H5186+1)/100/12),$K5185))))</f>
      </c>
      <c r="L5186" s="43">
        <f>IF($I5186=0,0,$J5186*$H5186/100/12)</f>
      </c>
      <c r="M5186" s="43">
        <f>IF($I5186=0,0,IF(OR(INDEX(DarlOhneTilgung,11)=1,AND(INDEX(DarlTilgStart,11)&gt;0,$E5186&lt;INDEX(DarlTilgStart,11))),0,MIN(MAX(0,$K5186-$L5186),$J5186)))</f>
      </c>
      <c r="N5186" s="43">
        <f>IF($I5186=0,0,MIN(SUMIFS(SondBetrag,SondDarl,11,SondDatum,"&gt;="&amp;$E5186,SondDatum,"&lt;="&amp;EOMONTH($E5186,0)),$J5186-$M5186))</f>
      </c>
      <c r="O5186" s="43">
        <f>IF($I5186=0,0,INDEX(DarlErsatzRate,11))</f>
      </c>
      <c r="P5186" s="43">
        <f>IF($I5186=0,0,$Q5185*INDEX(DarlErsatzZins,11))</f>
      </c>
      <c r="Q5186" s="43">
        <f>IF($I5186=0,0,$Q5185+$P5186+$O5186)</f>
      </c>
      <c r="R5186" s="43">
        <f>IF($I5186=0,0,$J5186-$M5186-$N5186)</f>
      </c>
    </row>
    <row r="5187">
      <c r="A5187"/>
      <c r="B5187">
        <v>11</v>
      </c>
      <c r="C5187" s="43">
        <f>INDEX(DarlObj,11)</f>
      </c>
      <c r="D5187">
        <v>384</v>
      </c>
      <c r="E5187" s="51">
        <f>IF(INDEX(DarlBelegt,11)=0,0,EOMONTH(INDEX(DarlAuszahlung,11),383)+1)</f>
      </c>
      <c r="F5187" s="43">
        <f>IF($E5187=0,0,YEAR($E5187))</f>
      </c>
      <c r="G5187" s="43">
        <f>IF(INDEX(DarlBindung,11)="",1,IF($E5187&lt;=INDEX(DarlBindung,11),1,0))</f>
      </c>
      <c r="H5187" s="43">
        <f>IF($G5187=1,INDEX(DarlSollzins,11),INDEX(DarlAnschluss,11))</f>
      </c>
      <c r="I5187" s="43">
        <f>IF(INDEX(DarlBelegt,11)=0,0,IF(INDEX(DarlOhneTilgung,11)=1,IF(INDEX(DarlBindung,11)="",1,$G5187),IF($J5187&gt;0.005,1,0)))</f>
      </c>
      <c r="J5187" s="43">
        <f>IF($I5186=0,0,$R5186)</f>
      </c>
      <c r="K5187" s="43">
        <f>IF($I5187=0,0,IF(INDEX(DarlOhneTilgung,11)=1,0,IF(AND(INDEX(DarlTilgStart,11)&gt;0,$E5187=INDEX(DarlTilgStart,11)),$J5187*($H5187+INDEX(DarlTilgung,11))/100/12,IF(AND($G5187=0,$G5186=1),MAX($K5186,$J5187*($H5187+1)/100/12),$K5186))))</f>
      </c>
      <c r="L5187" s="43">
        <f>IF($I5187=0,0,$J5187*$H5187/100/12)</f>
      </c>
      <c r="M5187" s="43">
        <f>IF($I5187=0,0,IF(OR(INDEX(DarlOhneTilgung,11)=1,AND(INDEX(DarlTilgStart,11)&gt;0,$E5187&lt;INDEX(DarlTilgStart,11))),0,MIN(MAX(0,$K5187-$L5187),$J5187)))</f>
      </c>
      <c r="N5187" s="43">
        <f>IF($I5187=0,0,MIN(SUMIFS(SondBetrag,SondDarl,11,SondDatum,"&gt;="&amp;$E5187,SondDatum,"&lt;="&amp;EOMONTH($E5187,0)),$J5187-$M5187))</f>
      </c>
      <c r="O5187" s="43">
        <f>IF($I5187=0,0,INDEX(DarlErsatzRate,11))</f>
      </c>
      <c r="P5187" s="43">
        <f>IF($I5187=0,0,$Q5186*INDEX(DarlErsatzZins,11))</f>
      </c>
      <c r="Q5187" s="43">
        <f>IF($I5187=0,0,$Q5186+$P5187+$O5187)</f>
      </c>
      <c r="R5187" s="43">
        <f>IF($I5187=0,0,$J5187-$M5187-$N5187)</f>
      </c>
    </row>
    <row r="5188">
      <c r="A5188"/>
      <c r="B5188">
        <v>11</v>
      </c>
      <c r="C5188" s="43">
        <f>INDEX(DarlObj,11)</f>
      </c>
      <c r="D5188">
        <v>385</v>
      </c>
      <c r="E5188" s="51">
        <f>IF(INDEX(DarlBelegt,11)=0,0,EOMONTH(INDEX(DarlAuszahlung,11),384)+1)</f>
      </c>
      <c r="F5188" s="43">
        <f>IF($E5188=0,0,YEAR($E5188))</f>
      </c>
      <c r="G5188" s="43">
        <f>IF(INDEX(DarlBindung,11)="",1,IF($E5188&lt;=INDEX(DarlBindung,11),1,0))</f>
      </c>
      <c r="H5188" s="43">
        <f>IF($G5188=1,INDEX(DarlSollzins,11),INDEX(DarlAnschluss,11))</f>
      </c>
      <c r="I5188" s="43">
        <f>IF(INDEX(DarlBelegt,11)=0,0,IF(INDEX(DarlOhneTilgung,11)=1,IF(INDEX(DarlBindung,11)="",1,$G5188),IF($J5188&gt;0.005,1,0)))</f>
      </c>
      <c r="J5188" s="43">
        <f>IF($I5187=0,0,$R5187)</f>
      </c>
      <c r="K5188" s="43">
        <f>IF($I5188=0,0,IF(INDEX(DarlOhneTilgung,11)=1,0,IF(AND(INDEX(DarlTilgStart,11)&gt;0,$E5188=INDEX(DarlTilgStart,11)),$J5188*($H5188+INDEX(DarlTilgung,11))/100/12,IF(AND($G5188=0,$G5187=1),MAX($K5187,$J5188*($H5188+1)/100/12),$K5187))))</f>
      </c>
      <c r="L5188" s="43">
        <f>IF($I5188=0,0,$J5188*$H5188/100/12)</f>
      </c>
      <c r="M5188" s="43">
        <f>IF($I5188=0,0,IF(OR(INDEX(DarlOhneTilgung,11)=1,AND(INDEX(DarlTilgStart,11)&gt;0,$E5188&lt;INDEX(DarlTilgStart,11))),0,MIN(MAX(0,$K5188-$L5188),$J5188)))</f>
      </c>
      <c r="N5188" s="43">
        <f>IF($I5188=0,0,MIN(SUMIFS(SondBetrag,SondDarl,11,SondDatum,"&gt;="&amp;$E5188,SondDatum,"&lt;="&amp;EOMONTH($E5188,0)),$J5188-$M5188))</f>
      </c>
      <c r="O5188" s="43">
        <f>IF($I5188=0,0,INDEX(DarlErsatzRate,11))</f>
      </c>
      <c r="P5188" s="43">
        <f>IF($I5188=0,0,$Q5187*INDEX(DarlErsatzZins,11))</f>
      </c>
      <c r="Q5188" s="43">
        <f>IF($I5188=0,0,$Q5187+$P5188+$O5188)</f>
      </c>
      <c r="R5188" s="43">
        <f>IF($I5188=0,0,$J5188-$M5188-$N5188)</f>
      </c>
    </row>
    <row r="5189">
      <c r="A5189"/>
      <c r="B5189">
        <v>11</v>
      </c>
      <c r="C5189" s="43">
        <f>INDEX(DarlObj,11)</f>
      </c>
      <c r="D5189">
        <v>386</v>
      </c>
      <c r="E5189" s="51">
        <f>IF(INDEX(DarlBelegt,11)=0,0,EOMONTH(INDEX(DarlAuszahlung,11),385)+1)</f>
      </c>
      <c r="F5189" s="43">
        <f>IF($E5189=0,0,YEAR($E5189))</f>
      </c>
      <c r="G5189" s="43">
        <f>IF(INDEX(DarlBindung,11)="",1,IF($E5189&lt;=INDEX(DarlBindung,11),1,0))</f>
      </c>
      <c r="H5189" s="43">
        <f>IF($G5189=1,INDEX(DarlSollzins,11),INDEX(DarlAnschluss,11))</f>
      </c>
      <c r="I5189" s="43">
        <f>IF(INDEX(DarlBelegt,11)=0,0,IF(INDEX(DarlOhneTilgung,11)=1,IF(INDEX(DarlBindung,11)="",1,$G5189),IF($J5189&gt;0.005,1,0)))</f>
      </c>
      <c r="J5189" s="43">
        <f>IF($I5188=0,0,$R5188)</f>
      </c>
      <c r="K5189" s="43">
        <f>IF($I5189=0,0,IF(INDEX(DarlOhneTilgung,11)=1,0,IF(AND(INDEX(DarlTilgStart,11)&gt;0,$E5189=INDEX(DarlTilgStart,11)),$J5189*($H5189+INDEX(DarlTilgung,11))/100/12,IF(AND($G5189=0,$G5188=1),MAX($K5188,$J5189*($H5189+1)/100/12),$K5188))))</f>
      </c>
      <c r="L5189" s="43">
        <f>IF($I5189=0,0,$J5189*$H5189/100/12)</f>
      </c>
      <c r="M5189" s="43">
        <f>IF($I5189=0,0,IF(OR(INDEX(DarlOhneTilgung,11)=1,AND(INDEX(DarlTilgStart,11)&gt;0,$E5189&lt;INDEX(DarlTilgStart,11))),0,MIN(MAX(0,$K5189-$L5189),$J5189)))</f>
      </c>
      <c r="N5189" s="43">
        <f>IF($I5189=0,0,MIN(SUMIFS(SondBetrag,SondDarl,11,SondDatum,"&gt;="&amp;$E5189,SondDatum,"&lt;="&amp;EOMONTH($E5189,0)),$J5189-$M5189))</f>
      </c>
      <c r="O5189" s="43">
        <f>IF($I5189=0,0,INDEX(DarlErsatzRate,11))</f>
      </c>
      <c r="P5189" s="43">
        <f>IF($I5189=0,0,$Q5188*INDEX(DarlErsatzZins,11))</f>
      </c>
      <c r="Q5189" s="43">
        <f>IF($I5189=0,0,$Q5188+$P5189+$O5189)</f>
      </c>
      <c r="R5189" s="43">
        <f>IF($I5189=0,0,$J5189-$M5189-$N5189)</f>
      </c>
    </row>
    <row r="5190">
      <c r="A5190"/>
      <c r="B5190">
        <v>11</v>
      </c>
      <c r="C5190" s="43">
        <f>INDEX(DarlObj,11)</f>
      </c>
      <c r="D5190">
        <v>387</v>
      </c>
      <c r="E5190" s="51">
        <f>IF(INDEX(DarlBelegt,11)=0,0,EOMONTH(INDEX(DarlAuszahlung,11),386)+1)</f>
      </c>
      <c r="F5190" s="43">
        <f>IF($E5190=0,0,YEAR($E5190))</f>
      </c>
      <c r="G5190" s="43">
        <f>IF(INDEX(DarlBindung,11)="",1,IF($E5190&lt;=INDEX(DarlBindung,11),1,0))</f>
      </c>
      <c r="H5190" s="43">
        <f>IF($G5190=1,INDEX(DarlSollzins,11),INDEX(DarlAnschluss,11))</f>
      </c>
      <c r="I5190" s="43">
        <f>IF(INDEX(DarlBelegt,11)=0,0,IF(INDEX(DarlOhneTilgung,11)=1,IF(INDEX(DarlBindung,11)="",1,$G5190),IF($J5190&gt;0.005,1,0)))</f>
      </c>
      <c r="J5190" s="43">
        <f>IF($I5189=0,0,$R5189)</f>
      </c>
      <c r="K5190" s="43">
        <f>IF($I5190=0,0,IF(INDEX(DarlOhneTilgung,11)=1,0,IF(AND(INDEX(DarlTilgStart,11)&gt;0,$E5190=INDEX(DarlTilgStart,11)),$J5190*($H5190+INDEX(DarlTilgung,11))/100/12,IF(AND($G5190=0,$G5189=1),MAX($K5189,$J5190*($H5190+1)/100/12),$K5189))))</f>
      </c>
      <c r="L5190" s="43">
        <f>IF($I5190=0,0,$J5190*$H5190/100/12)</f>
      </c>
      <c r="M5190" s="43">
        <f>IF($I5190=0,0,IF(OR(INDEX(DarlOhneTilgung,11)=1,AND(INDEX(DarlTilgStart,11)&gt;0,$E5190&lt;INDEX(DarlTilgStart,11))),0,MIN(MAX(0,$K5190-$L5190),$J5190)))</f>
      </c>
      <c r="N5190" s="43">
        <f>IF($I5190=0,0,MIN(SUMIFS(SondBetrag,SondDarl,11,SondDatum,"&gt;="&amp;$E5190,SondDatum,"&lt;="&amp;EOMONTH($E5190,0)),$J5190-$M5190))</f>
      </c>
      <c r="O5190" s="43">
        <f>IF($I5190=0,0,INDEX(DarlErsatzRate,11))</f>
      </c>
      <c r="P5190" s="43">
        <f>IF($I5190=0,0,$Q5189*INDEX(DarlErsatzZins,11))</f>
      </c>
      <c r="Q5190" s="43">
        <f>IF($I5190=0,0,$Q5189+$P5190+$O5190)</f>
      </c>
      <c r="R5190" s="43">
        <f>IF($I5190=0,0,$J5190-$M5190-$N5190)</f>
      </c>
    </row>
    <row r="5191">
      <c r="A5191"/>
      <c r="B5191">
        <v>11</v>
      </c>
      <c r="C5191" s="43">
        <f>INDEX(DarlObj,11)</f>
      </c>
      <c r="D5191">
        <v>388</v>
      </c>
      <c r="E5191" s="51">
        <f>IF(INDEX(DarlBelegt,11)=0,0,EOMONTH(INDEX(DarlAuszahlung,11),387)+1)</f>
      </c>
      <c r="F5191" s="43">
        <f>IF($E5191=0,0,YEAR($E5191))</f>
      </c>
      <c r="G5191" s="43">
        <f>IF(INDEX(DarlBindung,11)="",1,IF($E5191&lt;=INDEX(DarlBindung,11),1,0))</f>
      </c>
      <c r="H5191" s="43">
        <f>IF($G5191=1,INDEX(DarlSollzins,11),INDEX(DarlAnschluss,11))</f>
      </c>
      <c r="I5191" s="43">
        <f>IF(INDEX(DarlBelegt,11)=0,0,IF(INDEX(DarlOhneTilgung,11)=1,IF(INDEX(DarlBindung,11)="",1,$G5191),IF($J5191&gt;0.005,1,0)))</f>
      </c>
      <c r="J5191" s="43">
        <f>IF($I5190=0,0,$R5190)</f>
      </c>
      <c r="K5191" s="43">
        <f>IF($I5191=0,0,IF(INDEX(DarlOhneTilgung,11)=1,0,IF(AND(INDEX(DarlTilgStart,11)&gt;0,$E5191=INDEX(DarlTilgStart,11)),$J5191*($H5191+INDEX(DarlTilgung,11))/100/12,IF(AND($G5191=0,$G5190=1),MAX($K5190,$J5191*($H5191+1)/100/12),$K5190))))</f>
      </c>
      <c r="L5191" s="43">
        <f>IF($I5191=0,0,$J5191*$H5191/100/12)</f>
      </c>
      <c r="M5191" s="43">
        <f>IF($I5191=0,0,IF(OR(INDEX(DarlOhneTilgung,11)=1,AND(INDEX(DarlTilgStart,11)&gt;0,$E5191&lt;INDEX(DarlTilgStart,11))),0,MIN(MAX(0,$K5191-$L5191),$J5191)))</f>
      </c>
      <c r="N5191" s="43">
        <f>IF($I5191=0,0,MIN(SUMIFS(SondBetrag,SondDarl,11,SondDatum,"&gt;="&amp;$E5191,SondDatum,"&lt;="&amp;EOMONTH($E5191,0)),$J5191-$M5191))</f>
      </c>
      <c r="O5191" s="43">
        <f>IF($I5191=0,0,INDEX(DarlErsatzRate,11))</f>
      </c>
      <c r="P5191" s="43">
        <f>IF($I5191=0,0,$Q5190*INDEX(DarlErsatzZins,11))</f>
      </c>
      <c r="Q5191" s="43">
        <f>IF($I5191=0,0,$Q5190+$P5191+$O5191)</f>
      </c>
      <c r="R5191" s="43">
        <f>IF($I5191=0,0,$J5191-$M5191-$N5191)</f>
      </c>
    </row>
    <row r="5192">
      <c r="A5192"/>
      <c r="B5192">
        <v>11</v>
      </c>
      <c r="C5192" s="43">
        <f>INDEX(DarlObj,11)</f>
      </c>
      <c r="D5192">
        <v>389</v>
      </c>
      <c r="E5192" s="51">
        <f>IF(INDEX(DarlBelegt,11)=0,0,EOMONTH(INDEX(DarlAuszahlung,11),388)+1)</f>
      </c>
      <c r="F5192" s="43">
        <f>IF($E5192=0,0,YEAR($E5192))</f>
      </c>
      <c r="G5192" s="43">
        <f>IF(INDEX(DarlBindung,11)="",1,IF($E5192&lt;=INDEX(DarlBindung,11),1,0))</f>
      </c>
      <c r="H5192" s="43">
        <f>IF($G5192=1,INDEX(DarlSollzins,11),INDEX(DarlAnschluss,11))</f>
      </c>
      <c r="I5192" s="43">
        <f>IF(INDEX(DarlBelegt,11)=0,0,IF(INDEX(DarlOhneTilgung,11)=1,IF(INDEX(DarlBindung,11)="",1,$G5192),IF($J5192&gt;0.005,1,0)))</f>
      </c>
      <c r="J5192" s="43">
        <f>IF($I5191=0,0,$R5191)</f>
      </c>
      <c r="K5192" s="43">
        <f>IF($I5192=0,0,IF(INDEX(DarlOhneTilgung,11)=1,0,IF(AND(INDEX(DarlTilgStart,11)&gt;0,$E5192=INDEX(DarlTilgStart,11)),$J5192*($H5192+INDEX(DarlTilgung,11))/100/12,IF(AND($G5192=0,$G5191=1),MAX($K5191,$J5192*($H5192+1)/100/12),$K5191))))</f>
      </c>
      <c r="L5192" s="43">
        <f>IF($I5192=0,0,$J5192*$H5192/100/12)</f>
      </c>
      <c r="M5192" s="43">
        <f>IF($I5192=0,0,IF(OR(INDEX(DarlOhneTilgung,11)=1,AND(INDEX(DarlTilgStart,11)&gt;0,$E5192&lt;INDEX(DarlTilgStart,11))),0,MIN(MAX(0,$K5192-$L5192),$J5192)))</f>
      </c>
      <c r="N5192" s="43">
        <f>IF($I5192=0,0,MIN(SUMIFS(SondBetrag,SondDarl,11,SondDatum,"&gt;="&amp;$E5192,SondDatum,"&lt;="&amp;EOMONTH($E5192,0)),$J5192-$M5192))</f>
      </c>
      <c r="O5192" s="43">
        <f>IF($I5192=0,0,INDEX(DarlErsatzRate,11))</f>
      </c>
      <c r="P5192" s="43">
        <f>IF($I5192=0,0,$Q5191*INDEX(DarlErsatzZins,11))</f>
      </c>
      <c r="Q5192" s="43">
        <f>IF($I5192=0,0,$Q5191+$P5192+$O5192)</f>
      </c>
      <c r="R5192" s="43">
        <f>IF($I5192=0,0,$J5192-$M5192-$N5192)</f>
      </c>
    </row>
    <row r="5193">
      <c r="A5193"/>
      <c r="B5193">
        <v>11</v>
      </c>
      <c r="C5193" s="43">
        <f>INDEX(DarlObj,11)</f>
      </c>
      <c r="D5193">
        <v>390</v>
      </c>
      <c r="E5193" s="51">
        <f>IF(INDEX(DarlBelegt,11)=0,0,EOMONTH(INDEX(DarlAuszahlung,11),389)+1)</f>
      </c>
      <c r="F5193" s="43">
        <f>IF($E5193=0,0,YEAR($E5193))</f>
      </c>
      <c r="G5193" s="43">
        <f>IF(INDEX(DarlBindung,11)="",1,IF($E5193&lt;=INDEX(DarlBindung,11),1,0))</f>
      </c>
      <c r="H5193" s="43">
        <f>IF($G5193=1,INDEX(DarlSollzins,11),INDEX(DarlAnschluss,11))</f>
      </c>
      <c r="I5193" s="43">
        <f>IF(INDEX(DarlBelegt,11)=0,0,IF(INDEX(DarlOhneTilgung,11)=1,IF(INDEX(DarlBindung,11)="",1,$G5193),IF($J5193&gt;0.005,1,0)))</f>
      </c>
      <c r="J5193" s="43">
        <f>IF($I5192=0,0,$R5192)</f>
      </c>
      <c r="K5193" s="43">
        <f>IF($I5193=0,0,IF(INDEX(DarlOhneTilgung,11)=1,0,IF(AND(INDEX(DarlTilgStart,11)&gt;0,$E5193=INDEX(DarlTilgStart,11)),$J5193*($H5193+INDEX(DarlTilgung,11))/100/12,IF(AND($G5193=0,$G5192=1),MAX($K5192,$J5193*($H5193+1)/100/12),$K5192))))</f>
      </c>
      <c r="L5193" s="43">
        <f>IF($I5193=0,0,$J5193*$H5193/100/12)</f>
      </c>
      <c r="M5193" s="43">
        <f>IF($I5193=0,0,IF(OR(INDEX(DarlOhneTilgung,11)=1,AND(INDEX(DarlTilgStart,11)&gt;0,$E5193&lt;INDEX(DarlTilgStart,11))),0,MIN(MAX(0,$K5193-$L5193),$J5193)))</f>
      </c>
      <c r="N5193" s="43">
        <f>IF($I5193=0,0,MIN(SUMIFS(SondBetrag,SondDarl,11,SondDatum,"&gt;="&amp;$E5193,SondDatum,"&lt;="&amp;EOMONTH($E5193,0)),$J5193-$M5193))</f>
      </c>
      <c r="O5193" s="43">
        <f>IF($I5193=0,0,INDEX(DarlErsatzRate,11))</f>
      </c>
      <c r="P5193" s="43">
        <f>IF($I5193=0,0,$Q5192*INDEX(DarlErsatzZins,11))</f>
      </c>
      <c r="Q5193" s="43">
        <f>IF($I5193=0,0,$Q5192+$P5193+$O5193)</f>
      </c>
      <c r="R5193" s="43">
        <f>IF($I5193=0,0,$J5193-$M5193-$N5193)</f>
      </c>
    </row>
    <row r="5194">
      <c r="A5194"/>
      <c r="B5194">
        <v>11</v>
      </c>
      <c r="C5194" s="43">
        <f>INDEX(DarlObj,11)</f>
      </c>
      <c r="D5194">
        <v>391</v>
      </c>
      <c r="E5194" s="51">
        <f>IF(INDEX(DarlBelegt,11)=0,0,EOMONTH(INDEX(DarlAuszahlung,11),390)+1)</f>
      </c>
      <c r="F5194" s="43">
        <f>IF($E5194=0,0,YEAR($E5194))</f>
      </c>
      <c r="G5194" s="43">
        <f>IF(INDEX(DarlBindung,11)="",1,IF($E5194&lt;=INDEX(DarlBindung,11),1,0))</f>
      </c>
      <c r="H5194" s="43">
        <f>IF($G5194=1,INDEX(DarlSollzins,11),INDEX(DarlAnschluss,11))</f>
      </c>
      <c r="I5194" s="43">
        <f>IF(INDEX(DarlBelegt,11)=0,0,IF(INDEX(DarlOhneTilgung,11)=1,IF(INDEX(DarlBindung,11)="",1,$G5194),IF($J5194&gt;0.005,1,0)))</f>
      </c>
      <c r="J5194" s="43">
        <f>IF($I5193=0,0,$R5193)</f>
      </c>
      <c r="K5194" s="43">
        <f>IF($I5194=0,0,IF(INDEX(DarlOhneTilgung,11)=1,0,IF(AND(INDEX(DarlTilgStart,11)&gt;0,$E5194=INDEX(DarlTilgStart,11)),$J5194*($H5194+INDEX(DarlTilgung,11))/100/12,IF(AND($G5194=0,$G5193=1),MAX($K5193,$J5194*($H5194+1)/100/12),$K5193))))</f>
      </c>
      <c r="L5194" s="43">
        <f>IF($I5194=0,0,$J5194*$H5194/100/12)</f>
      </c>
      <c r="M5194" s="43">
        <f>IF($I5194=0,0,IF(OR(INDEX(DarlOhneTilgung,11)=1,AND(INDEX(DarlTilgStart,11)&gt;0,$E5194&lt;INDEX(DarlTilgStart,11))),0,MIN(MAX(0,$K5194-$L5194),$J5194)))</f>
      </c>
      <c r="N5194" s="43">
        <f>IF($I5194=0,0,MIN(SUMIFS(SondBetrag,SondDarl,11,SondDatum,"&gt;="&amp;$E5194,SondDatum,"&lt;="&amp;EOMONTH($E5194,0)),$J5194-$M5194))</f>
      </c>
      <c r="O5194" s="43">
        <f>IF($I5194=0,0,INDEX(DarlErsatzRate,11))</f>
      </c>
      <c r="P5194" s="43">
        <f>IF($I5194=0,0,$Q5193*INDEX(DarlErsatzZins,11))</f>
      </c>
      <c r="Q5194" s="43">
        <f>IF($I5194=0,0,$Q5193+$P5194+$O5194)</f>
      </c>
      <c r="R5194" s="43">
        <f>IF($I5194=0,0,$J5194-$M5194-$N5194)</f>
      </c>
    </row>
    <row r="5195">
      <c r="A5195"/>
      <c r="B5195">
        <v>11</v>
      </c>
      <c r="C5195" s="43">
        <f>INDEX(DarlObj,11)</f>
      </c>
      <c r="D5195">
        <v>392</v>
      </c>
      <c r="E5195" s="51">
        <f>IF(INDEX(DarlBelegt,11)=0,0,EOMONTH(INDEX(DarlAuszahlung,11),391)+1)</f>
      </c>
      <c r="F5195" s="43">
        <f>IF($E5195=0,0,YEAR($E5195))</f>
      </c>
      <c r="G5195" s="43">
        <f>IF(INDEX(DarlBindung,11)="",1,IF($E5195&lt;=INDEX(DarlBindung,11),1,0))</f>
      </c>
      <c r="H5195" s="43">
        <f>IF($G5195=1,INDEX(DarlSollzins,11),INDEX(DarlAnschluss,11))</f>
      </c>
      <c r="I5195" s="43">
        <f>IF(INDEX(DarlBelegt,11)=0,0,IF(INDEX(DarlOhneTilgung,11)=1,IF(INDEX(DarlBindung,11)="",1,$G5195),IF($J5195&gt;0.005,1,0)))</f>
      </c>
      <c r="J5195" s="43">
        <f>IF($I5194=0,0,$R5194)</f>
      </c>
      <c r="K5195" s="43">
        <f>IF($I5195=0,0,IF(INDEX(DarlOhneTilgung,11)=1,0,IF(AND(INDEX(DarlTilgStart,11)&gt;0,$E5195=INDEX(DarlTilgStart,11)),$J5195*($H5195+INDEX(DarlTilgung,11))/100/12,IF(AND($G5195=0,$G5194=1),MAX($K5194,$J5195*($H5195+1)/100/12),$K5194))))</f>
      </c>
      <c r="L5195" s="43">
        <f>IF($I5195=0,0,$J5195*$H5195/100/12)</f>
      </c>
      <c r="M5195" s="43">
        <f>IF($I5195=0,0,IF(OR(INDEX(DarlOhneTilgung,11)=1,AND(INDEX(DarlTilgStart,11)&gt;0,$E5195&lt;INDEX(DarlTilgStart,11))),0,MIN(MAX(0,$K5195-$L5195),$J5195)))</f>
      </c>
      <c r="N5195" s="43">
        <f>IF($I5195=0,0,MIN(SUMIFS(SondBetrag,SondDarl,11,SondDatum,"&gt;="&amp;$E5195,SondDatum,"&lt;="&amp;EOMONTH($E5195,0)),$J5195-$M5195))</f>
      </c>
      <c r="O5195" s="43">
        <f>IF($I5195=0,0,INDEX(DarlErsatzRate,11))</f>
      </c>
      <c r="P5195" s="43">
        <f>IF($I5195=0,0,$Q5194*INDEX(DarlErsatzZins,11))</f>
      </c>
      <c r="Q5195" s="43">
        <f>IF($I5195=0,0,$Q5194+$P5195+$O5195)</f>
      </c>
      <c r="R5195" s="43">
        <f>IF($I5195=0,0,$J5195-$M5195-$N5195)</f>
      </c>
    </row>
    <row r="5196">
      <c r="A5196"/>
      <c r="B5196">
        <v>11</v>
      </c>
      <c r="C5196" s="43">
        <f>INDEX(DarlObj,11)</f>
      </c>
      <c r="D5196">
        <v>393</v>
      </c>
      <c r="E5196" s="51">
        <f>IF(INDEX(DarlBelegt,11)=0,0,EOMONTH(INDEX(DarlAuszahlung,11),392)+1)</f>
      </c>
      <c r="F5196" s="43">
        <f>IF($E5196=0,0,YEAR($E5196))</f>
      </c>
      <c r="G5196" s="43">
        <f>IF(INDEX(DarlBindung,11)="",1,IF($E5196&lt;=INDEX(DarlBindung,11),1,0))</f>
      </c>
      <c r="H5196" s="43">
        <f>IF($G5196=1,INDEX(DarlSollzins,11),INDEX(DarlAnschluss,11))</f>
      </c>
      <c r="I5196" s="43">
        <f>IF(INDEX(DarlBelegt,11)=0,0,IF(INDEX(DarlOhneTilgung,11)=1,IF(INDEX(DarlBindung,11)="",1,$G5196),IF($J5196&gt;0.005,1,0)))</f>
      </c>
      <c r="J5196" s="43">
        <f>IF($I5195=0,0,$R5195)</f>
      </c>
      <c r="K5196" s="43">
        <f>IF($I5196=0,0,IF(INDEX(DarlOhneTilgung,11)=1,0,IF(AND(INDEX(DarlTilgStart,11)&gt;0,$E5196=INDEX(DarlTilgStart,11)),$J5196*($H5196+INDEX(DarlTilgung,11))/100/12,IF(AND($G5196=0,$G5195=1),MAX($K5195,$J5196*($H5196+1)/100/12),$K5195))))</f>
      </c>
      <c r="L5196" s="43">
        <f>IF($I5196=0,0,$J5196*$H5196/100/12)</f>
      </c>
      <c r="M5196" s="43">
        <f>IF($I5196=0,0,IF(OR(INDEX(DarlOhneTilgung,11)=1,AND(INDEX(DarlTilgStart,11)&gt;0,$E5196&lt;INDEX(DarlTilgStart,11))),0,MIN(MAX(0,$K5196-$L5196),$J5196)))</f>
      </c>
      <c r="N5196" s="43">
        <f>IF($I5196=0,0,MIN(SUMIFS(SondBetrag,SondDarl,11,SondDatum,"&gt;="&amp;$E5196,SondDatum,"&lt;="&amp;EOMONTH($E5196,0)),$J5196-$M5196))</f>
      </c>
      <c r="O5196" s="43">
        <f>IF($I5196=0,0,INDEX(DarlErsatzRate,11))</f>
      </c>
      <c r="P5196" s="43">
        <f>IF($I5196=0,0,$Q5195*INDEX(DarlErsatzZins,11))</f>
      </c>
      <c r="Q5196" s="43">
        <f>IF($I5196=0,0,$Q5195+$P5196+$O5196)</f>
      </c>
      <c r="R5196" s="43">
        <f>IF($I5196=0,0,$J5196-$M5196-$N5196)</f>
      </c>
    </row>
    <row r="5197">
      <c r="A5197"/>
      <c r="B5197">
        <v>11</v>
      </c>
      <c r="C5197" s="43">
        <f>INDEX(DarlObj,11)</f>
      </c>
      <c r="D5197">
        <v>394</v>
      </c>
      <c r="E5197" s="51">
        <f>IF(INDEX(DarlBelegt,11)=0,0,EOMONTH(INDEX(DarlAuszahlung,11),393)+1)</f>
      </c>
      <c r="F5197" s="43">
        <f>IF($E5197=0,0,YEAR($E5197))</f>
      </c>
      <c r="G5197" s="43">
        <f>IF(INDEX(DarlBindung,11)="",1,IF($E5197&lt;=INDEX(DarlBindung,11),1,0))</f>
      </c>
      <c r="H5197" s="43">
        <f>IF($G5197=1,INDEX(DarlSollzins,11),INDEX(DarlAnschluss,11))</f>
      </c>
      <c r="I5197" s="43">
        <f>IF(INDEX(DarlBelegt,11)=0,0,IF(INDEX(DarlOhneTilgung,11)=1,IF(INDEX(DarlBindung,11)="",1,$G5197),IF($J5197&gt;0.005,1,0)))</f>
      </c>
      <c r="J5197" s="43">
        <f>IF($I5196=0,0,$R5196)</f>
      </c>
      <c r="K5197" s="43">
        <f>IF($I5197=0,0,IF(INDEX(DarlOhneTilgung,11)=1,0,IF(AND(INDEX(DarlTilgStart,11)&gt;0,$E5197=INDEX(DarlTilgStart,11)),$J5197*($H5197+INDEX(DarlTilgung,11))/100/12,IF(AND($G5197=0,$G5196=1),MAX($K5196,$J5197*($H5197+1)/100/12),$K5196))))</f>
      </c>
      <c r="L5197" s="43">
        <f>IF($I5197=0,0,$J5197*$H5197/100/12)</f>
      </c>
      <c r="M5197" s="43">
        <f>IF($I5197=0,0,IF(OR(INDEX(DarlOhneTilgung,11)=1,AND(INDEX(DarlTilgStart,11)&gt;0,$E5197&lt;INDEX(DarlTilgStart,11))),0,MIN(MAX(0,$K5197-$L5197),$J5197)))</f>
      </c>
      <c r="N5197" s="43">
        <f>IF($I5197=0,0,MIN(SUMIFS(SondBetrag,SondDarl,11,SondDatum,"&gt;="&amp;$E5197,SondDatum,"&lt;="&amp;EOMONTH($E5197,0)),$J5197-$M5197))</f>
      </c>
      <c r="O5197" s="43">
        <f>IF($I5197=0,0,INDEX(DarlErsatzRate,11))</f>
      </c>
      <c r="P5197" s="43">
        <f>IF($I5197=0,0,$Q5196*INDEX(DarlErsatzZins,11))</f>
      </c>
      <c r="Q5197" s="43">
        <f>IF($I5197=0,0,$Q5196+$P5197+$O5197)</f>
      </c>
      <c r="R5197" s="43">
        <f>IF($I5197=0,0,$J5197-$M5197-$N5197)</f>
      </c>
    </row>
    <row r="5198">
      <c r="A5198"/>
      <c r="B5198">
        <v>11</v>
      </c>
      <c r="C5198" s="43">
        <f>INDEX(DarlObj,11)</f>
      </c>
      <c r="D5198">
        <v>395</v>
      </c>
      <c r="E5198" s="51">
        <f>IF(INDEX(DarlBelegt,11)=0,0,EOMONTH(INDEX(DarlAuszahlung,11),394)+1)</f>
      </c>
      <c r="F5198" s="43">
        <f>IF($E5198=0,0,YEAR($E5198))</f>
      </c>
      <c r="G5198" s="43">
        <f>IF(INDEX(DarlBindung,11)="",1,IF($E5198&lt;=INDEX(DarlBindung,11),1,0))</f>
      </c>
      <c r="H5198" s="43">
        <f>IF($G5198=1,INDEX(DarlSollzins,11),INDEX(DarlAnschluss,11))</f>
      </c>
      <c r="I5198" s="43">
        <f>IF(INDEX(DarlBelegt,11)=0,0,IF(INDEX(DarlOhneTilgung,11)=1,IF(INDEX(DarlBindung,11)="",1,$G5198),IF($J5198&gt;0.005,1,0)))</f>
      </c>
      <c r="J5198" s="43">
        <f>IF($I5197=0,0,$R5197)</f>
      </c>
      <c r="K5198" s="43">
        <f>IF($I5198=0,0,IF(INDEX(DarlOhneTilgung,11)=1,0,IF(AND(INDEX(DarlTilgStart,11)&gt;0,$E5198=INDEX(DarlTilgStart,11)),$J5198*($H5198+INDEX(DarlTilgung,11))/100/12,IF(AND($G5198=0,$G5197=1),MAX($K5197,$J5198*($H5198+1)/100/12),$K5197))))</f>
      </c>
      <c r="L5198" s="43">
        <f>IF($I5198=0,0,$J5198*$H5198/100/12)</f>
      </c>
      <c r="M5198" s="43">
        <f>IF($I5198=0,0,IF(OR(INDEX(DarlOhneTilgung,11)=1,AND(INDEX(DarlTilgStart,11)&gt;0,$E5198&lt;INDEX(DarlTilgStart,11))),0,MIN(MAX(0,$K5198-$L5198),$J5198)))</f>
      </c>
      <c r="N5198" s="43">
        <f>IF($I5198=0,0,MIN(SUMIFS(SondBetrag,SondDarl,11,SondDatum,"&gt;="&amp;$E5198,SondDatum,"&lt;="&amp;EOMONTH($E5198,0)),$J5198-$M5198))</f>
      </c>
      <c r="O5198" s="43">
        <f>IF($I5198=0,0,INDEX(DarlErsatzRate,11))</f>
      </c>
      <c r="P5198" s="43">
        <f>IF($I5198=0,0,$Q5197*INDEX(DarlErsatzZins,11))</f>
      </c>
      <c r="Q5198" s="43">
        <f>IF($I5198=0,0,$Q5197+$P5198+$O5198)</f>
      </c>
      <c r="R5198" s="43">
        <f>IF($I5198=0,0,$J5198-$M5198-$N5198)</f>
      </c>
    </row>
    <row r="5199">
      <c r="A5199"/>
      <c r="B5199">
        <v>11</v>
      </c>
      <c r="C5199" s="43">
        <f>INDEX(DarlObj,11)</f>
      </c>
      <c r="D5199">
        <v>396</v>
      </c>
      <c r="E5199" s="51">
        <f>IF(INDEX(DarlBelegt,11)=0,0,EOMONTH(INDEX(DarlAuszahlung,11),395)+1)</f>
      </c>
      <c r="F5199" s="43">
        <f>IF($E5199=0,0,YEAR($E5199))</f>
      </c>
      <c r="G5199" s="43">
        <f>IF(INDEX(DarlBindung,11)="",1,IF($E5199&lt;=INDEX(DarlBindung,11),1,0))</f>
      </c>
      <c r="H5199" s="43">
        <f>IF($G5199=1,INDEX(DarlSollzins,11),INDEX(DarlAnschluss,11))</f>
      </c>
      <c r="I5199" s="43">
        <f>IF(INDEX(DarlBelegt,11)=0,0,IF(INDEX(DarlOhneTilgung,11)=1,IF(INDEX(DarlBindung,11)="",1,$G5199),IF($J5199&gt;0.005,1,0)))</f>
      </c>
      <c r="J5199" s="43">
        <f>IF($I5198=0,0,$R5198)</f>
      </c>
      <c r="K5199" s="43">
        <f>IF($I5199=0,0,IF(INDEX(DarlOhneTilgung,11)=1,0,IF(AND(INDEX(DarlTilgStart,11)&gt;0,$E5199=INDEX(DarlTilgStart,11)),$J5199*($H5199+INDEX(DarlTilgung,11))/100/12,IF(AND($G5199=0,$G5198=1),MAX($K5198,$J5199*($H5199+1)/100/12),$K5198))))</f>
      </c>
      <c r="L5199" s="43">
        <f>IF($I5199=0,0,$J5199*$H5199/100/12)</f>
      </c>
      <c r="M5199" s="43">
        <f>IF($I5199=0,0,IF(OR(INDEX(DarlOhneTilgung,11)=1,AND(INDEX(DarlTilgStart,11)&gt;0,$E5199&lt;INDEX(DarlTilgStart,11))),0,MIN(MAX(0,$K5199-$L5199),$J5199)))</f>
      </c>
      <c r="N5199" s="43">
        <f>IF($I5199=0,0,MIN(SUMIFS(SondBetrag,SondDarl,11,SondDatum,"&gt;="&amp;$E5199,SondDatum,"&lt;="&amp;EOMONTH($E5199,0)),$J5199-$M5199))</f>
      </c>
      <c r="O5199" s="43">
        <f>IF($I5199=0,0,INDEX(DarlErsatzRate,11))</f>
      </c>
      <c r="P5199" s="43">
        <f>IF($I5199=0,0,$Q5198*INDEX(DarlErsatzZins,11))</f>
      </c>
      <c r="Q5199" s="43">
        <f>IF($I5199=0,0,$Q5198+$P5199+$O5199)</f>
      </c>
      <c r="R5199" s="43">
        <f>IF($I5199=0,0,$J5199-$M5199-$N5199)</f>
      </c>
    </row>
    <row r="5200">
      <c r="A5200"/>
      <c r="B5200">
        <v>11</v>
      </c>
      <c r="C5200" s="43">
        <f>INDEX(DarlObj,11)</f>
      </c>
      <c r="D5200">
        <v>397</v>
      </c>
      <c r="E5200" s="51">
        <f>IF(INDEX(DarlBelegt,11)=0,0,EOMONTH(INDEX(DarlAuszahlung,11),396)+1)</f>
      </c>
      <c r="F5200" s="43">
        <f>IF($E5200=0,0,YEAR($E5200))</f>
      </c>
      <c r="G5200" s="43">
        <f>IF(INDEX(DarlBindung,11)="",1,IF($E5200&lt;=INDEX(DarlBindung,11),1,0))</f>
      </c>
      <c r="H5200" s="43">
        <f>IF($G5200=1,INDEX(DarlSollzins,11),INDEX(DarlAnschluss,11))</f>
      </c>
      <c r="I5200" s="43">
        <f>IF(INDEX(DarlBelegt,11)=0,0,IF(INDEX(DarlOhneTilgung,11)=1,IF(INDEX(DarlBindung,11)="",1,$G5200),IF($J5200&gt;0.005,1,0)))</f>
      </c>
      <c r="J5200" s="43">
        <f>IF($I5199=0,0,$R5199)</f>
      </c>
      <c r="K5200" s="43">
        <f>IF($I5200=0,0,IF(INDEX(DarlOhneTilgung,11)=1,0,IF(AND(INDEX(DarlTilgStart,11)&gt;0,$E5200=INDEX(DarlTilgStart,11)),$J5200*($H5200+INDEX(DarlTilgung,11))/100/12,IF(AND($G5200=0,$G5199=1),MAX($K5199,$J5200*($H5200+1)/100/12),$K5199))))</f>
      </c>
      <c r="L5200" s="43">
        <f>IF($I5200=0,0,$J5200*$H5200/100/12)</f>
      </c>
      <c r="M5200" s="43">
        <f>IF($I5200=0,0,IF(OR(INDEX(DarlOhneTilgung,11)=1,AND(INDEX(DarlTilgStart,11)&gt;0,$E5200&lt;INDEX(DarlTilgStart,11))),0,MIN(MAX(0,$K5200-$L5200),$J5200)))</f>
      </c>
      <c r="N5200" s="43">
        <f>IF($I5200=0,0,MIN(SUMIFS(SondBetrag,SondDarl,11,SondDatum,"&gt;="&amp;$E5200,SondDatum,"&lt;="&amp;EOMONTH($E5200,0)),$J5200-$M5200))</f>
      </c>
      <c r="O5200" s="43">
        <f>IF($I5200=0,0,INDEX(DarlErsatzRate,11))</f>
      </c>
      <c r="P5200" s="43">
        <f>IF($I5200=0,0,$Q5199*INDEX(DarlErsatzZins,11))</f>
      </c>
      <c r="Q5200" s="43">
        <f>IF($I5200=0,0,$Q5199+$P5200+$O5200)</f>
      </c>
      <c r="R5200" s="43">
        <f>IF($I5200=0,0,$J5200-$M5200-$N5200)</f>
      </c>
    </row>
    <row r="5201">
      <c r="A5201"/>
      <c r="B5201">
        <v>11</v>
      </c>
      <c r="C5201" s="43">
        <f>INDEX(DarlObj,11)</f>
      </c>
      <c r="D5201">
        <v>398</v>
      </c>
      <c r="E5201" s="51">
        <f>IF(INDEX(DarlBelegt,11)=0,0,EOMONTH(INDEX(DarlAuszahlung,11),397)+1)</f>
      </c>
      <c r="F5201" s="43">
        <f>IF($E5201=0,0,YEAR($E5201))</f>
      </c>
      <c r="G5201" s="43">
        <f>IF(INDEX(DarlBindung,11)="",1,IF($E5201&lt;=INDEX(DarlBindung,11),1,0))</f>
      </c>
      <c r="H5201" s="43">
        <f>IF($G5201=1,INDEX(DarlSollzins,11),INDEX(DarlAnschluss,11))</f>
      </c>
      <c r="I5201" s="43">
        <f>IF(INDEX(DarlBelegt,11)=0,0,IF(INDEX(DarlOhneTilgung,11)=1,IF(INDEX(DarlBindung,11)="",1,$G5201),IF($J5201&gt;0.005,1,0)))</f>
      </c>
      <c r="J5201" s="43">
        <f>IF($I5200=0,0,$R5200)</f>
      </c>
      <c r="K5201" s="43">
        <f>IF($I5201=0,0,IF(INDEX(DarlOhneTilgung,11)=1,0,IF(AND(INDEX(DarlTilgStart,11)&gt;0,$E5201=INDEX(DarlTilgStart,11)),$J5201*($H5201+INDEX(DarlTilgung,11))/100/12,IF(AND($G5201=0,$G5200=1),MAX($K5200,$J5201*($H5201+1)/100/12),$K5200))))</f>
      </c>
      <c r="L5201" s="43">
        <f>IF($I5201=0,0,$J5201*$H5201/100/12)</f>
      </c>
      <c r="M5201" s="43">
        <f>IF($I5201=0,0,IF(OR(INDEX(DarlOhneTilgung,11)=1,AND(INDEX(DarlTilgStart,11)&gt;0,$E5201&lt;INDEX(DarlTilgStart,11))),0,MIN(MAX(0,$K5201-$L5201),$J5201)))</f>
      </c>
      <c r="N5201" s="43">
        <f>IF($I5201=0,0,MIN(SUMIFS(SondBetrag,SondDarl,11,SondDatum,"&gt;="&amp;$E5201,SondDatum,"&lt;="&amp;EOMONTH($E5201,0)),$J5201-$M5201))</f>
      </c>
      <c r="O5201" s="43">
        <f>IF($I5201=0,0,INDEX(DarlErsatzRate,11))</f>
      </c>
      <c r="P5201" s="43">
        <f>IF($I5201=0,0,$Q5200*INDEX(DarlErsatzZins,11))</f>
      </c>
      <c r="Q5201" s="43">
        <f>IF($I5201=0,0,$Q5200+$P5201+$O5201)</f>
      </c>
      <c r="R5201" s="43">
        <f>IF($I5201=0,0,$J5201-$M5201-$N5201)</f>
      </c>
    </row>
    <row r="5202">
      <c r="A5202"/>
      <c r="B5202">
        <v>11</v>
      </c>
      <c r="C5202" s="43">
        <f>INDEX(DarlObj,11)</f>
      </c>
      <c r="D5202">
        <v>399</v>
      </c>
      <c r="E5202" s="51">
        <f>IF(INDEX(DarlBelegt,11)=0,0,EOMONTH(INDEX(DarlAuszahlung,11),398)+1)</f>
      </c>
      <c r="F5202" s="43">
        <f>IF($E5202=0,0,YEAR($E5202))</f>
      </c>
      <c r="G5202" s="43">
        <f>IF(INDEX(DarlBindung,11)="",1,IF($E5202&lt;=INDEX(DarlBindung,11),1,0))</f>
      </c>
      <c r="H5202" s="43">
        <f>IF($G5202=1,INDEX(DarlSollzins,11),INDEX(DarlAnschluss,11))</f>
      </c>
      <c r="I5202" s="43">
        <f>IF(INDEX(DarlBelegt,11)=0,0,IF(INDEX(DarlOhneTilgung,11)=1,IF(INDEX(DarlBindung,11)="",1,$G5202),IF($J5202&gt;0.005,1,0)))</f>
      </c>
      <c r="J5202" s="43">
        <f>IF($I5201=0,0,$R5201)</f>
      </c>
      <c r="K5202" s="43">
        <f>IF($I5202=0,0,IF(INDEX(DarlOhneTilgung,11)=1,0,IF(AND(INDEX(DarlTilgStart,11)&gt;0,$E5202=INDEX(DarlTilgStart,11)),$J5202*($H5202+INDEX(DarlTilgung,11))/100/12,IF(AND($G5202=0,$G5201=1),MAX($K5201,$J5202*($H5202+1)/100/12),$K5201))))</f>
      </c>
      <c r="L5202" s="43">
        <f>IF($I5202=0,0,$J5202*$H5202/100/12)</f>
      </c>
      <c r="M5202" s="43">
        <f>IF($I5202=0,0,IF(OR(INDEX(DarlOhneTilgung,11)=1,AND(INDEX(DarlTilgStart,11)&gt;0,$E5202&lt;INDEX(DarlTilgStart,11))),0,MIN(MAX(0,$K5202-$L5202),$J5202)))</f>
      </c>
      <c r="N5202" s="43">
        <f>IF($I5202=0,0,MIN(SUMIFS(SondBetrag,SondDarl,11,SondDatum,"&gt;="&amp;$E5202,SondDatum,"&lt;="&amp;EOMONTH($E5202,0)),$J5202-$M5202))</f>
      </c>
      <c r="O5202" s="43">
        <f>IF($I5202=0,0,INDEX(DarlErsatzRate,11))</f>
      </c>
      <c r="P5202" s="43">
        <f>IF($I5202=0,0,$Q5201*INDEX(DarlErsatzZins,11))</f>
      </c>
      <c r="Q5202" s="43">
        <f>IF($I5202=0,0,$Q5201+$P5202+$O5202)</f>
      </c>
      <c r="R5202" s="43">
        <f>IF($I5202=0,0,$J5202-$M5202-$N5202)</f>
      </c>
    </row>
    <row r="5203">
      <c r="A5203"/>
      <c r="B5203">
        <v>11</v>
      </c>
      <c r="C5203" s="43">
        <f>INDEX(DarlObj,11)</f>
      </c>
      <c r="D5203">
        <v>400</v>
      </c>
      <c r="E5203" s="51">
        <f>IF(INDEX(DarlBelegt,11)=0,0,EOMONTH(INDEX(DarlAuszahlung,11),399)+1)</f>
      </c>
      <c r="F5203" s="43">
        <f>IF($E5203=0,0,YEAR($E5203))</f>
      </c>
      <c r="G5203" s="43">
        <f>IF(INDEX(DarlBindung,11)="",1,IF($E5203&lt;=INDEX(DarlBindung,11),1,0))</f>
      </c>
      <c r="H5203" s="43">
        <f>IF($G5203=1,INDEX(DarlSollzins,11),INDEX(DarlAnschluss,11))</f>
      </c>
      <c r="I5203" s="43">
        <f>IF(INDEX(DarlBelegt,11)=0,0,IF(INDEX(DarlOhneTilgung,11)=1,IF(INDEX(DarlBindung,11)="",1,$G5203),IF($J5203&gt;0.005,1,0)))</f>
      </c>
      <c r="J5203" s="43">
        <f>IF($I5202=0,0,$R5202)</f>
      </c>
      <c r="K5203" s="43">
        <f>IF($I5203=0,0,IF(INDEX(DarlOhneTilgung,11)=1,0,IF(AND(INDEX(DarlTilgStart,11)&gt;0,$E5203=INDEX(DarlTilgStart,11)),$J5203*($H5203+INDEX(DarlTilgung,11))/100/12,IF(AND($G5203=0,$G5202=1),MAX($K5202,$J5203*($H5203+1)/100/12),$K5202))))</f>
      </c>
      <c r="L5203" s="43">
        <f>IF($I5203=0,0,$J5203*$H5203/100/12)</f>
      </c>
      <c r="M5203" s="43">
        <f>IF($I5203=0,0,IF(OR(INDEX(DarlOhneTilgung,11)=1,AND(INDEX(DarlTilgStart,11)&gt;0,$E5203&lt;INDEX(DarlTilgStart,11))),0,MIN(MAX(0,$K5203-$L5203),$J5203)))</f>
      </c>
      <c r="N5203" s="43">
        <f>IF($I5203=0,0,MIN(SUMIFS(SondBetrag,SondDarl,11,SondDatum,"&gt;="&amp;$E5203,SondDatum,"&lt;="&amp;EOMONTH($E5203,0)),$J5203-$M5203))</f>
      </c>
      <c r="O5203" s="43">
        <f>IF($I5203=0,0,INDEX(DarlErsatzRate,11))</f>
      </c>
      <c r="P5203" s="43">
        <f>IF($I5203=0,0,$Q5202*INDEX(DarlErsatzZins,11))</f>
      </c>
      <c r="Q5203" s="43">
        <f>IF($I5203=0,0,$Q5202+$P5203+$O5203)</f>
      </c>
      <c r="R5203" s="43">
        <f>IF($I5203=0,0,$J5203-$M5203-$N5203)</f>
      </c>
    </row>
    <row r="5204">
      <c r="A5204"/>
      <c r="B5204">
        <v>11</v>
      </c>
      <c r="C5204" s="43">
        <f>INDEX(DarlObj,11)</f>
      </c>
      <c r="D5204">
        <v>401</v>
      </c>
      <c r="E5204" s="51">
        <f>IF(INDEX(DarlBelegt,11)=0,0,EOMONTH(INDEX(DarlAuszahlung,11),400)+1)</f>
      </c>
      <c r="F5204" s="43">
        <f>IF($E5204=0,0,YEAR($E5204))</f>
      </c>
      <c r="G5204" s="43">
        <f>IF(INDEX(DarlBindung,11)="",1,IF($E5204&lt;=INDEX(DarlBindung,11),1,0))</f>
      </c>
      <c r="H5204" s="43">
        <f>IF($G5204=1,INDEX(DarlSollzins,11),INDEX(DarlAnschluss,11))</f>
      </c>
      <c r="I5204" s="43">
        <f>IF(INDEX(DarlBelegt,11)=0,0,IF(INDEX(DarlOhneTilgung,11)=1,IF(INDEX(DarlBindung,11)="",1,$G5204),IF($J5204&gt;0.005,1,0)))</f>
      </c>
      <c r="J5204" s="43">
        <f>IF($I5203=0,0,$R5203)</f>
      </c>
      <c r="K5204" s="43">
        <f>IF($I5204=0,0,IF(INDEX(DarlOhneTilgung,11)=1,0,IF(AND(INDEX(DarlTilgStart,11)&gt;0,$E5204=INDEX(DarlTilgStart,11)),$J5204*($H5204+INDEX(DarlTilgung,11))/100/12,IF(AND($G5204=0,$G5203=1),MAX($K5203,$J5204*($H5204+1)/100/12),$K5203))))</f>
      </c>
      <c r="L5204" s="43">
        <f>IF($I5204=0,0,$J5204*$H5204/100/12)</f>
      </c>
      <c r="M5204" s="43">
        <f>IF($I5204=0,0,IF(OR(INDEX(DarlOhneTilgung,11)=1,AND(INDEX(DarlTilgStart,11)&gt;0,$E5204&lt;INDEX(DarlTilgStart,11))),0,MIN(MAX(0,$K5204-$L5204),$J5204)))</f>
      </c>
      <c r="N5204" s="43">
        <f>IF($I5204=0,0,MIN(SUMIFS(SondBetrag,SondDarl,11,SondDatum,"&gt;="&amp;$E5204,SondDatum,"&lt;="&amp;EOMONTH($E5204,0)),$J5204-$M5204))</f>
      </c>
      <c r="O5204" s="43">
        <f>IF($I5204=0,0,INDEX(DarlErsatzRate,11))</f>
      </c>
      <c r="P5204" s="43">
        <f>IF($I5204=0,0,$Q5203*INDEX(DarlErsatzZins,11))</f>
      </c>
      <c r="Q5204" s="43">
        <f>IF($I5204=0,0,$Q5203+$P5204+$O5204)</f>
      </c>
      <c r="R5204" s="43">
        <f>IF($I5204=0,0,$J5204-$M5204-$N5204)</f>
      </c>
    </row>
    <row r="5205">
      <c r="A5205"/>
      <c r="B5205">
        <v>11</v>
      </c>
      <c r="C5205" s="43">
        <f>INDEX(DarlObj,11)</f>
      </c>
      <c r="D5205">
        <v>402</v>
      </c>
      <c r="E5205" s="51">
        <f>IF(INDEX(DarlBelegt,11)=0,0,EOMONTH(INDEX(DarlAuszahlung,11),401)+1)</f>
      </c>
      <c r="F5205" s="43">
        <f>IF($E5205=0,0,YEAR($E5205))</f>
      </c>
      <c r="G5205" s="43">
        <f>IF(INDEX(DarlBindung,11)="",1,IF($E5205&lt;=INDEX(DarlBindung,11),1,0))</f>
      </c>
      <c r="H5205" s="43">
        <f>IF($G5205=1,INDEX(DarlSollzins,11),INDEX(DarlAnschluss,11))</f>
      </c>
      <c r="I5205" s="43">
        <f>IF(INDEX(DarlBelegt,11)=0,0,IF(INDEX(DarlOhneTilgung,11)=1,IF(INDEX(DarlBindung,11)="",1,$G5205),IF($J5205&gt;0.005,1,0)))</f>
      </c>
      <c r="J5205" s="43">
        <f>IF($I5204=0,0,$R5204)</f>
      </c>
      <c r="K5205" s="43">
        <f>IF($I5205=0,0,IF(INDEX(DarlOhneTilgung,11)=1,0,IF(AND(INDEX(DarlTilgStart,11)&gt;0,$E5205=INDEX(DarlTilgStart,11)),$J5205*($H5205+INDEX(DarlTilgung,11))/100/12,IF(AND($G5205=0,$G5204=1),MAX($K5204,$J5205*($H5205+1)/100/12),$K5204))))</f>
      </c>
      <c r="L5205" s="43">
        <f>IF($I5205=0,0,$J5205*$H5205/100/12)</f>
      </c>
      <c r="M5205" s="43">
        <f>IF($I5205=0,0,IF(OR(INDEX(DarlOhneTilgung,11)=1,AND(INDEX(DarlTilgStart,11)&gt;0,$E5205&lt;INDEX(DarlTilgStart,11))),0,MIN(MAX(0,$K5205-$L5205),$J5205)))</f>
      </c>
      <c r="N5205" s="43">
        <f>IF($I5205=0,0,MIN(SUMIFS(SondBetrag,SondDarl,11,SondDatum,"&gt;="&amp;$E5205,SondDatum,"&lt;="&amp;EOMONTH($E5205,0)),$J5205-$M5205))</f>
      </c>
      <c r="O5205" s="43">
        <f>IF($I5205=0,0,INDEX(DarlErsatzRate,11))</f>
      </c>
      <c r="P5205" s="43">
        <f>IF($I5205=0,0,$Q5204*INDEX(DarlErsatzZins,11))</f>
      </c>
      <c r="Q5205" s="43">
        <f>IF($I5205=0,0,$Q5204+$P5205+$O5205)</f>
      </c>
      <c r="R5205" s="43">
        <f>IF($I5205=0,0,$J5205-$M5205-$N5205)</f>
      </c>
    </row>
    <row r="5206">
      <c r="A5206"/>
      <c r="B5206">
        <v>11</v>
      </c>
      <c r="C5206" s="43">
        <f>INDEX(DarlObj,11)</f>
      </c>
      <c r="D5206">
        <v>403</v>
      </c>
      <c r="E5206" s="51">
        <f>IF(INDEX(DarlBelegt,11)=0,0,EOMONTH(INDEX(DarlAuszahlung,11),402)+1)</f>
      </c>
      <c r="F5206" s="43">
        <f>IF($E5206=0,0,YEAR($E5206))</f>
      </c>
      <c r="G5206" s="43">
        <f>IF(INDEX(DarlBindung,11)="",1,IF($E5206&lt;=INDEX(DarlBindung,11),1,0))</f>
      </c>
      <c r="H5206" s="43">
        <f>IF($G5206=1,INDEX(DarlSollzins,11),INDEX(DarlAnschluss,11))</f>
      </c>
      <c r="I5206" s="43">
        <f>IF(INDEX(DarlBelegt,11)=0,0,IF(INDEX(DarlOhneTilgung,11)=1,IF(INDEX(DarlBindung,11)="",1,$G5206),IF($J5206&gt;0.005,1,0)))</f>
      </c>
      <c r="J5206" s="43">
        <f>IF($I5205=0,0,$R5205)</f>
      </c>
      <c r="K5206" s="43">
        <f>IF($I5206=0,0,IF(INDEX(DarlOhneTilgung,11)=1,0,IF(AND(INDEX(DarlTilgStart,11)&gt;0,$E5206=INDEX(DarlTilgStart,11)),$J5206*($H5206+INDEX(DarlTilgung,11))/100/12,IF(AND($G5206=0,$G5205=1),MAX($K5205,$J5206*($H5206+1)/100/12),$K5205))))</f>
      </c>
      <c r="L5206" s="43">
        <f>IF($I5206=0,0,$J5206*$H5206/100/12)</f>
      </c>
      <c r="M5206" s="43">
        <f>IF($I5206=0,0,IF(OR(INDEX(DarlOhneTilgung,11)=1,AND(INDEX(DarlTilgStart,11)&gt;0,$E5206&lt;INDEX(DarlTilgStart,11))),0,MIN(MAX(0,$K5206-$L5206),$J5206)))</f>
      </c>
      <c r="N5206" s="43">
        <f>IF($I5206=0,0,MIN(SUMIFS(SondBetrag,SondDarl,11,SondDatum,"&gt;="&amp;$E5206,SondDatum,"&lt;="&amp;EOMONTH($E5206,0)),$J5206-$M5206))</f>
      </c>
      <c r="O5206" s="43">
        <f>IF($I5206=0,0,INDEX(DarlErsatzRate,11))</f>
      </c>
      <c r="P5206" s="43">
        <f>IF($I5206=0,0,$Q5205*INDEX(DarlErsatzZins,11))</f>
      </c>
      <c r="Q5206" s="43">
        <f>IF($I5206=0,0,$Q5205+$P5206+$O5206)</f>
      </c>
      <c r="R5206" s="43">
        <f>IF($I5206=0,0,$J5206-$M5206-$N5206)</f>
      </c>
    </row>
    <row r="5207">
      <c r="A5207"/>
      <c r="B5207">
        <v>11</v>
      </c>
      <c r="C5207" s="43">
        <f>INDEX(DarlObj,11)</f>
      </c>
      <c r="D5207">
        <v>404</v>
      </c>
      <c r="E5207" s="51">
        <f>IF(INDEX(DarlBelegt,11)=0,0,EOMONTH(INDEX(DarlAuszahlung,11),403)+1)</f>
      </c>
      <c r="F5207" s="43">
        <f>IF($E5207=0,0,YEAR($E5207))</f>
      </c>
      <c r="G5207" s="43">
        <f>IF(INDEX(DarlBindung,11)="",1,IF($E5207&lt;=INDEX(DarlBindung,11),1,0))</f>
      </c>
      <c r="H5207" s="43">
        <f>IF($G5207=1,INDEX(DarlSollzins,11),INDEX(DarlAnschluss,11))</f>
      </c>
      <c r="I5207" s="43">
        <f>IF(INDEX(DarlBelegt,11)=0,0,IF(INDEX(DarlOhneTilgung,11)=1,IF(INDEX(DarlBindung,11)="",1,$G5207),IF($J5207&gt;0.005,1,0)))</f>
      </c>
      <c r="J5207" s="43">
        <f>IF($I5206=0,0,$R5206)</f>
      </c>
      <c r="K5207" s="43">
        <f>IF($I5207=0,0,IF(INDEX(DarlOhneTilgung,11)=1,0,IF(AND(INDEX(DarlTilgStart,11)&gt;0,$E5207=INDEX(DarlTilgStart,11)),$J5207*($H5207+INDEX(DarlTilgung,11))/100/12,IF(AND($G5207=0,$G5206=1),MAX($K5206,$J5207*($H5207+1)/100/12),$K5206))))</f>
      </c>
      <c r="L5207" s="43">
        <f>IF($I5207=0,0,$J5207*$H5207/100/12)</f>
      </c>
      <c r="M5207" s="43">
        <f>IF($I5207=0,0,IF(OR(INDEX(DarlOhneTilgung,11)=1,AND(INDEX(DarlTilgStart,11)&gt;0,$E5207&lt;INDEX(DarlTilgStart,11))),0,MIN(MAX(0,$K5207-$L5207),$J5207)))</f>
      </c>
      <c r="N5207" s="43">
        <f>IF($I5207=0,0,MIN(SUMIFS(SondBetrag,SondDarl,11,SondDatum,"&gt;="&amp;$E5207,SondDatum,"&lt;="&amp;EOMONTH($E5207,0)),$J5207-$M5207))</f>
      </c>
      <c r="O5207" s="43">
        <f>IF($I5207=0,0,INDEX(DarlErsatzRate,11))</f>
      </c>
      <c r="P5207" s="43">
        <f>IF($I5207=0,0,$Q5206*INDEX(DarlErsatzZins,11))</f>
      </c>
      <c r="Q5207" s="43">
        <f>IF($I5207=0,0,$Q5206+$P5207+$O5207)</f>
      </c>
      <c r="R5207" s="43">
        <f>IF($I5207=0,0,$J5207-$M5207-$N5207)</f>
      </c>
    </row>
    <row r="5208">
      <c r="A5208"/>
      <c r="B5208">
        <v>11</v>
      </c>
      <c r="C5208" s="43">
        <f>INDEX(DarlObj,11)</f>
      </c>
      <c r="D5208">
        <v>405</v>
      </c>
      <c r="E5208" s="51">
        <f>IF(INDEX(DarlBelegt,11)=0,0,EOMONTH(INDEX(DarlAuszahlung,11),404)+1)</f>
      </c>
      <c r="F5208" s="43">
        <f>IF($E5208=0,0,YEAR($E5208))</f>
      </c>
      <c r="G5208" s="43">
        <f>IF(INDEX(DarlBindung,11)="",1,IF($E5208&lt;=INDEX(DarlBindung,11),1,0))</f>
      </c>
      <c r="H5208" s="43">
        <f>IF($G5208=1,INDEX(DarlSollzins,11),INDEX(DarlAnschluss,11))</f>
      </c>
      <c r="I5208" s="43">
        <f>IF(INDEX(DarlBelegt,11)=0,0,IF(INDEX(DarlOhneTilgung,11)=1,IF(INDEX(DarlBindung,11)="",1,$G5208),IF($J5208&gt;0.005,1,0)))</f>
      </c>
      <c r="J5208" s="43">
        <f>IF($I5207=0,0,$R5207)</f>
      </c>
      <c r="K5208" s="43">
        <f>IF($I5208=0,0,IF(INDEX(DarlOhneTilgung,11)=1,0,IF(AND(INDEX(DarlTilgStart,11)&gt;0,$E5208=INDEX(DarlTilgStart,11)),$J5208*($H5208+INDEX(DarlTilgung,11))/100/12,IF(AND($G5208=0,$G5207=1),MAX($K5207,$J5208*($H5208+1)/100/12),$K5207))))</f>
      </c>
      <c r="L5208" s="43">
        <f>IF($I5208=0,0,$J5208*$H5208/100/12)</f>
      </c>
      <c r="M5208" s="43">
        <f>IF($I5208=0,0,IF(OR(INDEX(DarlOhneTilgung,11)=1,AND(INDEX(DarlTilgStart,11)&gt;0,$E5208&lt;INDEX(DarlTilgStart,11))),0,MIN(MAX(0,$K5208-$L5208),$J5208)))</f>
      </c>
      <c r="N5208" s="43">
        <f>IF($I5208=0,0,MIN(SUMIFS(SondBetrag,SondDarl,11,SondDatum,"&gt;="&amp;$E5208,SondDatum,"&lt;="&amp;EOMONTH($E5208,0)),$J5208-$M5208))</f>
      </c>
      <c r="O5208" s="43">
        <f>IF($I5208=0,0,INDEX(DarlErsatzRate,11))</f>
      </c>
      <c r="P5208" s="43">
        <f>IF($I5208=0,0,$Q5207*INDEX(DarlErsatzZins,11))</f>
      </c>
      <c r="Q5208" s="43">
        <f>IF($I5208=0,0,$Q5207+$P5208+$O5208)</f>
      </c>
      <c r="R5208" s="43">
        <f>IF($I5208=0,0,$J5208-$M5208-$N5208)</f>
      </c>
    </row>
    <row r="5209">
      <c r="A5209"/>
      <c r="B5209">
        <v>11</v>
      </c>
      <c r="C5209" s="43">
        <f>INDEX(DarlObj,11)</f>
      </c>
      <c r="D5209">
        <v>406</v>
      </c>
      <c r="E5209" s="51">
        <f>IF(INDEX(DarlBelegt,11)=0,0,EOMONTH(INDEX(DarlAuszahlung,11),405)+1)</f>
      </c>
      <c r="F5209" s="43">
        <f>IF($E5209=0,0,YEAR($E5209))</f>
      </c>
      <c r="G5209" s="43">
        <f>IF(INDEX(DarlBindung,11)="",1,IF($E5209&lt;=INDEX(DarlBindung,11),1,0))</f>
      </c>
      <c r="H5209" s="43">
        <f>IF($G5209=1,INDEX(DarlSollzins,11),INDEX(DarlAnschluss,11))</f>
      </c>
      <c r="I5209" s="43">
        <f>IF(INDEX(DarlBelegt,11)=0,0,IF(INDEX(DarlOhneTilgung,11)=1,IF(INDEX(DarlBindung,11)="",1,$G5209),IF($J5209&gt;0.005,1,0)))</f>
      </c>
      <c r="J5209" s="43">
        <f>IF($I5208=0,0,$R5208)</f>
      </c>
      <c r="K5209" s="43">
        <f>IF($I5209=0,0,IF(INDEX(DarlOhneTilgung,11)=1,0,IF(AND(INDEX(DarlTilgStart,11)&gt;0,$E5209=INDEX(DarlTilgStart,11)),$J5209*($H5209+INDEX(DarlTilgung,11))/100/12,IF(AND($G5209=0,$G5208=1),MAX($K5208,$J5209*($H5209+1)/100/12),$K5208))))</f>
      </c>
      <c r="L5209" s="43">
        <f>IF($I5209=0,0,$J5209*$H5209/100/12)</f>
      </c>
      <c r="M5209" s="43">
        <f>IF($I5209=0,0,IF(OR(INDEX(DarlOhneTilgung,11)=1,AND(INDEX(DarlTilgStart,11)&gt;0,$E5209&lt;INDEX(DarlTilgStart,11))),0,MIN(MAX(0,$K5209-$L5209),$J5209)))</f>
      </c>
      <c r="N5209" s="43">
        <f>IF($I5209=0,0,MIN(SUMIFS(SondBetrag,SondDarl,11,SondDatum,"&gt;="&amp;$E5209,SondDatum,"&lt;="&amp;EOMONTH($E5209,0)),$J5209-$M5209))</f>
      </c>
      <c r="O5209" s="43">
        <f>IF($I5209=0,0,INDEX(DarlErsatzRate,11))</f>
      </c>
      <c r="P5209" s="43">
        <f>IF($I5209=0,0,$Q5208*INDEX(DarlErsatzZins,11))</f>
      </c>
      <c r="Q5209" s="43">
        <f>IF($I5209=0,0,$Q5208+$P5209+$O5209)</f>
      </c>
      <c r="R5209" s="43">
        <f>IF($I5209=0,0,$J5209-$M5209-$N5209)</f>
      </c>
    </row>
    <row r="5210">
      <c r="A5210"/>
      <c r="B5210">
        <v>11</v>
      </c>
      <c r="C5210" s="43">
        <f>INDEX(DarlObj,11)</f>
      </c>
      <c r="D5210">
        <v>407</v>
      </c>
      <c r="E5210" s="51">
        <f>IF(INDEX(DarlBelegt,11)=0,0,EOMONTH(INDEX(DarlAuszahlung,11),406)+1)</f>
      </c>
      <c r="F5210" s="43">
        <f>IF($E5210=0,0,YEAR($E5210))</f>
      </c>
      <c r="G5210" s="43">
        <f>IF(INDEX(DarlBindung,11)="",1,IF($E5210&lt;=INDEX(DarlBindung,11),1,0))</f>
      </c>
      <c r="H5210" s="43">
        <f>IF($G5210=1,INDEX(DarlSollzins,11),INDEX(DarlAnschluss,11))</f>
      </c>
      <c r="I5210" s="43">
        <f>IF(INDEX(DarlBelegt,11)=0,0,IF(INDEX(DarlOhneTilgung,11)=1,IF(INDEX(DarlBindung,11)="",1,$G5210),IF($J5210&gt;0.005,1,0)))</f>
      </c>
      <c r="J5210" s="43">
        <f>IF($I5209=0,0,$R5209)</f>
      </c>
      <c r="K5210" s="43">
        <f>IF($I5210=0,0,IF(INDEX(DarlOhneTilgung,11)=1,0,IF(AND(INDEX(DarlTilgStart,11)&gt;0,$E5210=INDEX(DarlTilgStart,11)),$J5210*($H5210+INDEX(DarlTilgung,11))/100/12,IF(AND($G5210=0,$G5209=1),MAX($K5209,$J5210*($H5210+1)/100/12),$K5209))))</f>
      </c>
      <c r="L5210" s="43">
        <f>IF($I5210=0,0,$J5210*$H5210/100/12)</f>
      </c>
      <c r="M5210" s="43">
        <f>IF($I5210=0,0,IF(OR(INDEX(DarlOhneTilgung,11)=1,AND(INDEX(DarlTilgStart,11)&gt;0,$E5210&lt;INDEX(DarlTilgStart,11))),0,MIN(MAX(0,$K5210-$L5210),$J5210)))</f>
      </c>
      <c r="N5210" s="43">
        <f>IF($I5210=0,0,MIN(SUMIFS(SondBetrag,SondDarl,11,SondDatum,"&gt;="&amp;$E5210,SondDatum,"&lt;="&amp;EOMONTH($E5210,0)),$J5210-$M5210))</f>
      </c>
      <c r="O5210" s="43">
        <f>IF($I5210=0,0,INDEX(DarlErsatzRate,11))</f>
      </c>
      <c r="P5210" s="43">
        <f>IF($I5210=0,0,$Q5209*INDEX(DarlErsatzZins,11))</f>
      </c>
      <c r="Q5210" s="43">
        <f>IF($I5210=0,0,$Q5209+$P5210+$O5210)</f>
      </c>
      <c r="R5210" s="43">
        <f>IF($I5210=0,0,$J5210-$M5210-$N5210)</f>
      </c>
    </row>
    <row r="5211">
      <c r="A5211"/>
      <c r="B5211">
        <v>11</v>
      </c>
      <c r="C5211" s="43">
        <f>INDEX(DarlObj,11)</f>
      </c>
      <c r="D5211">
        <v>408</v>
      </c>
      <c r="E5211" s="51">
        <f>IF(INDEX(DarlBelegt,11)=0,0,EOMONTH(INDEX(DarlAuszahlung,11),407)+1)</f>
      </c>
      <c r="F5211" s="43">
        <f>IF($E5211=0,0,YEAR($E5211))</f>
      </c>
      <c r="G5211" s="43">
        <f>IF(INDEX(DarlBindung,11)="",1,IF($E5211&lt;=INDEX(DarlBindung,11),1,0))</f>
      </c>
      <c r="H5211" s="43">
        <f>IF($G5211=1,INDEX(DarlSollzins,11),INDEX(DarlAnschluss,11))</f>
      </c>
      <c r="I5211" s="43">
        <f>IF(INDEX(DarlBelegt,11)=0,0,IF(INDEX(DarlOhneTilgung,11)=1,IF(INDEX(DarlBindung,11)="",1,$G5211),IF($J5211&gt;0.005,1,0)))</f>
      </c>
      <c r="J5211" s="43">
        <f>IF($I5210=0,0,$R5210)</f>
      </c>
      <c r="K5211" s="43">
        <f>IF($I5211=0,0,IF(INDEX(DarlOhneTilgung,11)=1,0,IF(AND(INDEX(DarlTilgStart,11)&gt;0,$E5211=INDEX(DarlTilgStart,11)),$J5211*($H5211+INDEX(DarlTilgung,11))/100/12,IF(AND($G5211=0,$G5210=1),MAX($K5210,$J5211*($H5211+1)/100/12),$K5210))))</f>
      </c>
      <c r="L5211" s="43">
        <f>IF($I5211=0,0,$J5211*$H5211/100/12)</f>
      </c>
      <c r="M5211" s="43">
        <f>IF($I5211=0,0,IF(OR(INDEX(DarlOhneTilgung,11)=1,AND(INDEX(DarlTilgStart,11)&gt;0,$E5211&lt;INDEX(DarlTilgStart,11))),0,MIN(MAX(0,$K5211-$L5211),$J5211)))</f>
      </c>
      <c r="N5211" s="43">
        <f>IF($I5211=0,0,MIN(SUMIFS(SondBetrag,SondDarl,11,SondDatum,"&gt;="&amp;$E5211,SondDatum,"&lt;="&amp;EOMONTH($E5211,0)),$J5211-$M5211))</f>
      </c>
      <c r="O5211" s="43">
        <f>IF($I5211=0,0,INDEX(DarlErsatzRate,11))</f>
      </c>
      <c r="P5211" s="43">
        <f>IF($I5211=0,0,$Q5210*INDEX(DarlErsatzZins,11))</f>
      </c>
      <c r="Q5211" s="43">
        <f>IF($I5211=0,0,$Q5210+$P5211+$O5211)</f>
      </c>
      <c r="R5211" s="43">
        <f>IF($I5211=0,0,$J5211-$M5211-$N5211)</f>
      </c>
    </row>
    <row r="5212">
      <c r="A5212"/>
      <c r="B5212">
        <v>11</v>
      </c>
      <c r="C5212" s="43">
        <f>INDEX(DarlObj,11)</f>
      </c>
      <c r="D5212">
        <v>409</v>
      </c>
      <c r="E5212" s="51">
        <f>IF(INDEX(DarlBelegt,11)=0,0,EOMONTH(INDEX(DarlAuszahlung,11),408)+1)</f>
      </c>
      <c r="F5212" s="43">
        <f>IF($E5212=0,0,YEAR($E5212))</f>
      </c>
      <c r="G5212" s="43">
        <f>IF(INDEX(DarlBindung,11)="",1,IF($E5212&lt;=INDEX(DarlBindung,11),1,0))</f>
      </c>
      <c r="H5212" s="43">
        <f>IF($G5212=1,INDEX(DarlSollzins,11),INDEX(DarlAnschluss,11))</f>
      </c>
      <c r="I5212" s="43">
        <f>IF(INDEX(DarlBelegt,11)=0,0,IF(INDEX(DarlOhneTilgung,11)=1,IF(INDEX(DarlBindung,11)="",1,$G5212),IF($J5212&gt;0.005,1,0)))</f>
      </c>
      <c r="J5212" s="43">
        <f>IF($I5211=0,0,$R5211)</f>
      </c>
      <c r="K5212" s="43">
        <f>IF($I5212=0,0,IF(INDEX(DarlOhneTilgung,11)=1,0,IF(AND(INDEX(DarlTilgStart,11)&gt;0,$E5212=INDEX(DarlTilgStart,11)),$J5212*($H5212+INDEX(DarlTilgung,11))/100/12,IF(AND($G5212=0,$G5211=1),MAX($K5211,$J5212*($H5212+1)/100/12),$K5211))))</f>
      </c>
      <c r="L5212" s="43">
        <f>IF($I5212=0,0,$J5212*$H5212/100/12)</f>
      </c>
      <c r="M5212" s="43">
        <f>IF($I5212=0,0,IF(OR(INDEX(DarlOhneTilgung,11)=1,AND(INDEX(DarlTilgStart,11)&gt;0,$E5212&lt;INDEX(DarlTilgStart,11))),0,MIN(MAX(0,$K5212-$L5212),$J5212)))</f>
      </c>
      <c r="N5212" s="43">
        <f>IF($I5212=0,0,MIN(SUMIFS(SondBetrag,SondDarl,11,SondDatum,"&gt;="&amp;$E5212,SondDatum,"&lt;="&amp;EOMONTH($E5212,0)),$J5212-$M5212))</f>
      </c>
      <c r="O5212" s="43">
        <f>IF($I5212=0,0,INDEX(DarlErsatzRate,11))</f>
      </c>
      <c r="P5212" s="43">
        <f>IF($I5212=0,0,$Q5211*INDEX(DarlErsatzZins,11))</f>
      </c>
      <c r="Q5212" s="43">
        <f>IF($I5212=0,0,$Q5211+$P5212+$O5212)</f>
      </c>
      <c r="R5212" s="43">
        <f>IF($I5212=0,0,$J5212-$M5212-$N5212)</f>
      </c>
    </row>
    <row r="5213">
      <c r="A5213"/>
      <c r="B5213">
        <v>11</v>
      </c>
      <c r="C5213" s="43">
        <f>INDEX(DarlObj,11)</f>
      </c>
      <c r="D5213">
        <v>410</v>
      </c>
      <c r="E5213" s="51">
        <f>IF(INDEX(DarlBelegt,11)=0,0,EOMONTH(INDEX(DarlAuszahlung,11),409)+1)</f>
      </c>
      <c r="F5213" s="43">
        <f>IF($E5213=0,0,YEAR($E5213))</f>
      </c>
      <c r="G5213" s="43">
        <f>IF(INDEX(DarlBindung,11)="",1,IF($E5213&lt;=INDEX(DarlBindung,11),1,0))</f>
      </c>
      <c r="H5213" s="43">
        <f>IF($G5213=1,INDEX(DarlSollzins,11),INDEX(DarlAnschluss,11))</f>
      </c>
      <c r="I5213" s="43">
        <f>IF(INDEX(DarlBelegt,11)=0,0,IF(INDEX(DarlOhneTilgung,11)=1,IF(INDEX(DarlBindung,11)="",1,$G5213),IF($J5213&gt;0.005,1,0)))</f>
      </c>
      <c r="J5213" s="43">
        <f>IF($I5212=0,0,$R5212)</f>
      </c>
      <c r="K5213" s="43">
        <f>IF($I5213=0,0,IF(INDEX(DarlOhneTilgung,11)=1,0,IF(AND(INDEX(DarlTilgStart,11)&gt;0,$E5213=INDEX(DarlTilgStart,11)),$J5213*($H5213+INDEX(DarlTilgung,11))/100/12,IF(AND($G5213=0,$G5212=1),MAX($K5212,$J5213*($H5213+1)/100/12),$K5212))))</f>
      </c>
      <c r="L5213" s="43">
        <f>IF($I5213=0,0,$J5213*$H5213/100/12)</f>
      </c>
      <c r="M5213" s="43">
        <f>IF($I5213=0,0,IF(OR(INDEX(DarlOhneTilgung,11)=1,AND(INDEX(DarlTilgStart,11)&gt;0,$E5213&lt;INDEX(DarlTilgStart,11))),0,MIN(MAX(0,$K5213-$L5213),$J5213)))</f>
      </c>
      <c r="N5213" s="43">
        <f>IF($I5213=0,0,MIN(SUMIFS(SondBetrag,SondDarl,11,SondDatum,"&gt;="&amp;$E5213,SondDatum,"&lt;="&amp;EOMONTH($E5213,0)),$J5213-$M5213))</f>
      </c>
      <c r="O5213" s="43">
        <f>IF($I5213=0,0,INDEX(DarlErsatzRate,11))</f>
      </c>
      <c r="P5213" s="43">
        <f>IF($I5213=0,0,$Q5212*INDEX(DarlErsatzZins,11))</f>
      </c>
      <c r="Q5213" s="43">
        <f>IF($I5213=0,0,$Q5212+$P5213+$O5213)</f>
      </c>
      <c r="R5213" s="43">
        <f>IF($I5213=0,0,$J5213-$M5213-$N5213)</f>
      </c>
    </row>
    <row r="5214">
      <c r="A5214"/>
      <c r="B5214">
        <v>11</v>
      </c>
      <c r="C5214" s="43">
        <f>INDEX(DarlObj,11)</f>
      </c>
      <c r="D5214">
        <v>411</v>
      </c>
      <c r="E5214" s="51">
        <f>IF(INDEX(DarlBelegt,11)=0,0,EOMONTH(INDEX(DarlAuszahlung,11),410)+1)</f>
      </c>
      <c r="F5214" s="43">
        <f>IF($E5214=0,0,YEAR($E5214))</f>
      </c>
      <c r="G5214" s="43">
        <f>IF(INDEX(DarlBindung,11)="",1,IF($E5214&lt;=INDEX(DarlBindung,11),1,0))</f>
      </c>
      <c r="H5214" s="43">
        <f>IF($G5214=1,INDEX(DarlSollzins,11),INDEX(DarlAnschluss,11))</f>
      </c>
      <c r="I5214" s="43">
        <f>IF(INDEX(DarlBelegt,11)=0,0,IF(INDEX(DarlOhneTilgung,11)=1,IF(INDEX(DarlBindung,11)="",1,$G5214),IF($J5214&gt;0.005,1,0)))</f>
      </c>
      <c r="J5214" s="43">
        <f>IF($I5213=0,0,$R5213)</f>
      </c>
      <c r="K5214" s="43">
        <f>IF($I5214=0,0,IF(INDEX(DarlOhneTilgung,11)=1,0,IF(AND(INDEX(DarlTilgStart,11)&gt;0,$E5214=INDEX(DarlTilgStart,11)),$J5214*($H5214+INDEX(DarlTilgung,11))/100/12,IF(AND($G5214=0,$G5213=1),MAX($K5213,$J5214*($H5214+1)/100/12),$K5213))))</f>
      </c>
      <c r="L5214" s="43">
        <f>IF($I5214=0,0,$J5214*$H5214/100/12)</f>
      </c>
      <c r="M5214" s="43">
        <f>IF($I5214=0,0,IF(OR(INDEX(DarlOhneTilgung,11)=1,AND(INDEX(DarlTilgStart,11)&gt;0,$E5214&lt;INDEX(DarlTilgStart,11))),0,MIN(MAX(0,$K5214-$L5214),$J5214)))</f>
      </c>
      <c r="N5214" s="43">
        <f>IF($I5214=0,0,MIN(SUMIFS(SondBetrag,SondDarl,11,SondDatum,"&gt;="&amp;$E5214,SondDatum,"&lt;="&amp;EOMONTH($E5214,0)),$J5214-$M5214))</f>
      </c>
      <c r="O5214" s="43">
        <f>IF($I5214=0,0,INDEX(DarlErsatzRate,11))</f>
      </c>
      <c r="P5214" s="43">
        <f>IF($I5214=0,0,$Q5213*INDEX(DarlErsatzZins,11))</f>
      </c>
      <c r="Q5214" s="43">
        <f>IF($I5214=0,0,$Q5213+$P5214+$O5214)</f>
      </c>
      <c r="R5214" s="43">
        <f>IF($I5214=0,0,$J5214-$M5214-$N5214)</f>
      </c>
    </row>
    <row r="5215">
      <c r="A5215"/>
      <c r="B5215">
        <v>11</v>
      </c>
      <c r="C5215" s="43">
        <f>INDEX(DarlObj,11)</f>
      </c>
      <c r="D5215">
        <v>412</v>
      </c>
      <c r="E5215" s="51">
        <f>IF(INDEX(DarlBelegt,11)=0,0,EOMONTH(INDEX(DarlAuszahlung,11),411)+1)</f>
      </c>
      <c r="F5215" s="43">
        <f>IF($E5215=0,0,YEAR($E5215))</f>
      </c>
      <c r="G5215" s="43">
        <f>IF(INDEX(DarlBindung,11)="",1,IF($E5215&lt;=INDEX(DarlBindung,11),1,0))</f>
      </c>
      <c r="H5215" s="43">
        <f>IF($G5215=1,INDEX(DarlSollzins,11),INDEX(DarlAnschluss,11))</f>
      </c>
      <c r="I5215" s="43">
        <f>IF(INDEX(DarlBelegt,11)=0,0,IF(INDEX(DarlOhneTilgung,11)=1,IF(INDEX(DarlBindung,11)="",1,$G5215),IF($J5215&gt;0.005,1,0)))</f>
      </c>
      <c r="J5215" s="43">
        <f>IF($I5214=0,0,$R5214)</f>
      </c>
      <c r="K5215" s="43">
        <f>IF($I5215=0,0,IF(INDEX(DarlOhneTilgung,11)=1,0,IF(AND(INDEX(DarlTilgStart,11)&gt;0,$E5215=INDEX(DarlTilgStart,11)),$J5215*($H5215+INDEX(DarlTilgung,11))/100/12,IF(AND($G5215=0,$G5214=1),MAX($K5214,$J5215*($H5215+1)/100/12),$K5214))))</f>
      </c>
      <c r="L5215" s="43">
        <f>IF($I5215=0,0,$J5215*$H5215/100/12)</f>
      </c>
      <c r="M5215" s="43">
        <f>IF($I5215=0,0,IF(OR(INDEX(DarlOhneTilgung,11)=1,AND(INDEX(DarlTilgStart,11)&gt;0,$E5215&lt;INDEX(DarlTilgStart,11))),0,MIN(MAX(0,$K5215-$L5215),$J5215)))</f>
      </c>
      <c r="N5215" s="43">
        <f>IF($I5215=0,0,MIN(SUMIFS(SondBetrag,SondDarl,11,SondDatum,"&gt;="&amp;$E5215,SondDatum,"&lt;="&amp;EOMONTH($E5215,0)),$J5215-$M5215))</f>
      </c>
      <c r="O5215" s="43">
        <f>IF($I5215=0,0,INDEX(DarlErsatzRate,11))</f>
      </c>
      <c r="P5215" s="43">
        <f>IF($I5215=0,0,$Q5214*INDEX(DarlErsatzZins,11))</f>
      </c>
      <c r="Q5215" s="43">
        <f>IF($I5215=0,0,$Q5214+$P5215+$O5215)</f>
      </c>
      <c r="R5215" s="43">
        <f>IF($I5215=0,0,$J5215-$M5215-$N5215)</f>
      </c>
    </row>
    <row r="5216">
      <c r="A5216"/>
      <c r="B5216">
        <v>11</v>
      </c>
      <c r="C5216" s="43">
        <f>INDEX(DarlObj,11)</f>
      </c>
      <c r="D5216">
        <v>413</v>
      </c>
      <c r="E5216" s="51">
        <f>IF(INDEX(DarlBelegt,11)=0,0,EOMONTH(INDEX(DarlAuszahlung,11),412)+1)</f>
      </c>
      <c r="F5216" s="43">
        <f>IF($E5216=0,0,YEAR($E5216))</f>
      </c>
      <c r="G5216" s="43">
        <f>IF(INDEX(DarlBindung,11)="",1,IF($E5216&lt;=INDEX(DarlBindung,11),1,0))</f>
      </c>
      <c r="H5216" s="43">
        <f>IF($G5216=1,INDEX(DarlSollzins,11),INDEX(DarlAnschluss,11))</f>
      </c>
      <c r="I5216" s="43">
        <f>IF(INDEX(DarlBelegt,11)=0,0,IF(INDEX(DarlOhneTilgung,11)=1,IF(INDEX(DarlBindung,11)="",1,$G5216),IF($J5216&gt;0.005,1,0)))</f>
      </c>
      <c r="J5216" s="43">
        <f>IF($I5215=0,0,$R5215)</f>
      </c>
      <c r="K5216" s="43">
        <f>IF($I5216=0,0,IF(INDEX(DarlOhneTilgung,11)=1,0,IF(AND(INDEX(DarlTilgStart,11)&gt;0,$E5216=INDEX(DarlTilgStart,11)),$J5216*($H5216+INDEX(DarlTilgung,11))/100/12,IF(AND($G5216=0,$G5215=1),MAX($K5215,$J5216*($H5216+1)/100/12),$K5215))))</f>
      </c>
      <c r="L5216" s="43">
        <f>IF($I5216=0,0,$J5216*$H5216/100/12)</f>
      </c>
      <c r="M5216" s="43">
        <f>IF($I5216=0,0,IF(OR(INDEX(DarlOhneTilgung,11)=1,AND(INDEX(DarlTilgStart,11)&gt;0,$E5216&lt;INDEX(DarlTilgStart,11))),0,MIN(MAX(0,$K5216-$L5216),$J5216)))</f>
      </c>
      <c r="N5216" s="43">
        <f>IF($I5216=0,0,MIN(SUMIFS(SondBetrag,SondDarl,11,SondDatum,"&gt;="&amp;$E5216,SondDatum,"&lt;="&amp;EOMONTH($E5216,0)),$J5216-$M5216))</f>
      </c>
      <c r="O5216" s="43">
        <f>IF($I5216=0,0,INDEX(DarlErsatzRate,11))</f>
      </c>
      <c r="P5216" s="43">
        <f>IF($I5216=0,0,$Q5215*INDEX(DarlErsatzZins,11))</f>
      </c>
      <c r="Q5216" s="43">
        <f>IF($I5216=0,0,$Q5215+$P5216+$O5216)</f>
      </c>
      <c r="R5216" s="43">
        <f>IF($I5216=0,0,$J5216-$M5216-$N5216)</f>
      </c>
    </row>
    <row r="5217">
      <c r="A5217"/>
      <c r="B5217">
        <v>11</v>
      </c>
      <c r="C5217" s="43">
        <f>INDEX(DarlObj,11)</f>
      </c>
      <c r="D5217">
        <v>414</v>
      </c>
      <c r="E5217" s="51">
        <f>IF(INDEX(DarlBelegt,11)=0,0,EOMONTH(INDEX(DarlAuszahlung,11),413)+1)</f>
      </c>
      <c r="F5217" s="43">
        <f>IF($E5217=0,0,YEAR($E5217))</f>
      </c>
      <c r="G5217" s="43">
        <f>IF(INDEX(DarlBindung,11)="",1,IF($E5217&lt;=INDEX(DarlBindung,11),1,0))</f>
      </c>
      <c r="H5217" s="43">
        <f>IF($G5217=1,INDEX(DarlSollzins,11),INDEX(DarlAnschluss,11))</f>
      </c>
      <c r="I5217" s="43">
        <f>IF(INDEX(DarlBelegt,11)=0,0,IF(INDEX(DarlOhneTilgung,11)=1,IF(INDEX(DarlBindung,11)="",1,$G5217),IF($J5217&gt;0.005,1,0)))</f>
      </c>
      <c r="J5217" s="43">
        <f>IF($I5216=0,0,$R5216)</f>
      </c>
      <c r="K5217" s="43">
        <f>IF($I5217=0,0,IF(INDEX(DarlOhneTilgung,11)=1,0,IF(AND(INDEX(DarlTilgStart,11)&gt;0,$E5217=INDEX(DarlTilgStart,11)),$J5217*($H5217+INDEX(DarlTilgung,11))/100/12,IF(AND($G5217=0,$G5216=1),MAX($K5216,$J5217*($H5217+1)/100/12),$K5216))))</f>
      </c>
      <c r="L5217" s="43">
        <f>IF($I5217=0,0,$J5217*$H5217/100/12)</f>
      </c>
      <c r="M5217" s="43">
        <f>IF($I5217=0,0,IF(OR(INDEX(DarlOhneTilgung,11)=1,AND(INDEX(DarlTilgStart,11)&gt;0,$E5217&lt;INDEX(DarlTilgStart,11))),0,MIN(MAX(0,$K5217-$L5217),$J5217)))</f>
      </c>
      <c r="N5217" s="43">
        <f>IF($I5217=0,0,MIN(SUMIFS(SondBetrag,SondDarl,11,SondDatum,"&gt;="&amp;$E5217,SondDatum,"&lt;="&amp;EOMONTH($E5217,0)),$J5217-$M5217))</f>
      </c>
      <c r="O5217" s="43">
        <f>IF($I5217=0,0,INDEX(DarlErsatzRate,11))</f>
      </c>
      <c r="P5217" s="43">
        <f>IF($I5217=0,0,$Q5216*INDEX(DarlErsatzZins,11))</f>
      </c>
      <c r="Q5217" s="43">
        <f>IF($I5217=0,0,$Q5216+$P5217+$O5217)</f>
      </c>
      <c r="R5217" s="43">
        <f>IF($I5217=0,0,$J5217-$M5217-$N5217)</f>
      </c>
    </row>
    <row r="5218">
      <c r="A5218"/>
      <c r="B5218">
        <v>11</v>
      </c>
      <c r="C5218" s="43">
        <f>INDEX(DarlObj,11)</f>
      </c>
      <c r="D5218">
        <v>415</v>
      </c>
      <c r="E5218" s="51">
        <f>IF(INDEX(DarlBelegt,11)=0,0,EOMONTH(INDEX(DarlAuszahlung,11),414)+1)</f>
      </c>
      <c r="F5218" s="43">
        <f>IF($E5218=0,0,YEAR($E5218))</f>
      </c>
      <c r="G5218" s="43">
        <f>IF(INDEX(DarlBindung,11)="",1,IF($E5218&lt;=INDEX(DarlBindung,11),1,0))</f>
      </c>
      <c r="H5218" s="43">
        <f>IF($G5218=1,INDEX(DarlSollzins,11),INDEX(DarlAnschluss,11))</f>
      </c>
      <c r="I5218" s="43">
        <f>IF(INDEX(DarlBelegt,11)=0,0,IF(INDEX(DarlOhneTilgung,11)=1,IF(INDEX(DarlBindung,11)="",1,$G5218),IF($J5218&gt;0.005,1,0)))</f>
      </c>
      <c r="J5218" s="43">
        <f>IF($I5217=0,0,$R5217)</f>
      </c>
      <c r="K5218" s="43">
        <f>IF($I5218=0,0,IF(INDEX(DarlOhneTilgung,11)=1,0,IF(AND(INDEX(DarlTilgStart,11)&gt;0,$E5218=INDEX(DarlTilgStart,11)),$J5218*($H5218+INDEX(DarlTilgung,11))/100/12,IF(AND($G5218=0,$G5217=1),MAX($K5217,$J5218*($H5218+1)/100/12),$K5217))))</f>
      </c>
      <c r="L5218" s="43">
        <f>IF($I5218=0,0,$J5218*$H5218/100/12)</f>
      </c>
      <c r="M5218" s="43">
        <f>IF($I5218=0,0,IF(OR(INDEX(DarlOhneTilgung,11)=1,AND(INDEX(DarlTilgStart,11)&gt;0,$E5218&lt;INDEX(DarlTilgStart,11))),0,MIN(MAX(0,$K5218-$L5218),$J5218)))</f>
      </c>
      <c r="N5218" s="43">
        <f>IF($I5218=0,0,MIN(SUMIFS(SondBetrag,SondDarl,11,SondDatum,"&gt;="&amp;$E5218,SondDatum,"&lt;="&amp;EOMONTH($E5218,0)),$J5218-$M5218))</f>
      </c>
      <c r="O5218" s="43">
        <f>IF($I5218=0,0,INDEX(DarlErsatzRate,11))</f>
      </c>
      <c r="P5218" s="43">
        <f>IF($I5218=0,0,$Q5217*INDEX(DarlErsatzZins,11))</f>
      </c>
      <c r="Q5218" s="43">
        <f>IF($I5218=0,0,$Q5217+$P5218+$O5218)</f>
      </c>
      <c r="R5218" s="43">
        <f>IF($I5218=0,0,$J5218-$M5218-$N5218)</f>
      </c>
    </row>
    <row r="5219">
      <c r="A5219"/>
      <c r="B5219">
        <v>11</v>
      </c>
      <c r="C5219" s="43">
        <f>INDEX(DarlObj,11)</f>
      </c>
      <c r="D5219">
        <v>416</v>
      </c>
      <c r="E5219" s="51">
        <f>IF(INDEX(DarlBelegt,11)=0,0,EOMONTH(INDEX(DarlAuszahlung,11),415)+1)</f>
      </c>
      <c r="F5219" s="43">
        <f>IF($E5219=0,0,YEAR($E5219))</f>
      </c>
      <c r="G5219" s="43">
        <f>IF(INDEX(DarlBindung,11)="",1,IF($E5219&lt;=INDEX(DarlBindung,11),1,0))</f>
      </c>
      <c r="H5219" s="43">
        <f>IF($G5219=1,INDEX(DarlSollzins,11),INDEX(DarlAnschluss,11))</f>
      </c>
      <c r="I5219" s="43">
        <f>IF(INDEX(DarlBelegt,11)=0,0,IF(INDEX(DarlOhneTilgung,11)=1,IF(INDEX(DarlBindung,11)="",1,$G5219),IF($J5219&gt;0.005,1,0)))</f>
      </c>
      <c r="J5219" s="43">
        <f>IF($I5218=0,0,$R5218)</f>
      </c>
      <c r="K5219" s="43">
        <f>IF($I5219=0,0,IF(INDEX(DarlOhneTilgung,11)=1,0,IF(AND(INDEX(DarlTilgStart,11)&gt;0,$E5219=INDEX(DarlTilgStart,11)),$J5219*($H5219+INDEX(DarlTilgung,11))/100/12,IF(AND($G5219=0,$G5218=1),MAX($K5218,$J5219*($H5219+1)/100/12),$K5218))))</f>
      </c>
      <c r="L5219" s="43">
        <f>IF($I5219=0,0,$J5219*$H5219/100/12)</f>
      </c>
      <c r="M5219" s="43">
        <f>IF($I5219=0,0,IF(OR(INDEX(DarlOhneTilgung,11)=1,AND(INDEX(DarlTilgStart,11)&gt;0,$E5219&lt;INDEX(DarlTilgStart,11))),0,MIN(MAX(0,$K5219-$L5219),$J5219)))</f>
      </c>
      <c r="N5219" s="43">
        <f>IF($I5219=0,0,MIN(SUMIFS(SondBetrag,SondDarl,11,SondDatum,"&gt;="&amp;$E5219,SondDatum,"&lt;="&amp;EOMONTH($E5219,0)),$J5219-$M5219))</f>
      </c>
      <c r="O5219" s="43">
        <f>IF($I5219=0,0,INDEX(DarlErsatzRate,11))</f>
      </c>
      <c r="P5219" s="43">
        <f>IF($I5219=0,0,$Q5218*INDEX(DarlErsatzZins,11))</f>
      </c>
      <c r="Q5219" s="43">
        <f>IF($I5219=0,0,$Q5218+$P5219+$O5219)</f>
      </c>
      <c r="R5219" s="43">
        <f>IF($I5219=0,0,$J5219-$M5219-$N5219)</f>
      </c>
    </row>
    <row r="5220">
      <c r="A5220"/>
      <c r="B5220">
        <v>11</v>
      </c>
      <c r="C5220" s="43">
        <f>INDEX(DarlObj,11)</f>
      </c>
      <c r="D5220">
        <v>417</v>
      </c>
      <c r="E5220" s="51">
        <f>IF(INDEX(DarlBelegt,11)=0,0,EOMONTH(INDEX(DarlAuszahlung,11),416)+1)</f>
      </c>
      <c r="F5220" s="43">
        <f>IF($E5220=0,0,YEAR($E5220))</f>
      </c>
      <c r="G5220" s="43">
        <f>IF(INDEX(DarlBindung,11)="",1,IF($E5220&lt;=INDEX(DarlBindung,11),1,0))</f>
      </c>
      <c r="H5220" s="43">
        <f>IF($G5220=1,INDEX(DarlSollzins,11),INDEX(DarlAnschluss,11))</f>
      </c>
      <c r="I5220" s="43">
        <f>IF(INDEX(DarlBelegt,11)=0,0,IF(INDEX(DarlOhneTilgung,11)=1,IF(INDEX(DarlBindung,11)="",1,$G5220),IF($J5220&gt;0.005,1,0)))</f>
      </c>
      <c r="J5220" s="43">
        <f>IF($I5219=0,0,$R5219)</f>
      </c>
      <c r="K5220" s="43">
        <f>IF($I5220=0,0,IF(INDEX(DarlOhneTilgung,11)=1,0,IF(AND(INDEX(DarlTilgStart,11)&gt;0,$E5220=INDEX(DarlTilgStart,11)),$J5220*($H5220+INDEX(DarlTilgung,11))/100/12,IF(AND($G5220=0,$G5219=1),MAX($K5219,$J5220*($H5220+1)/100/12),$K5219))))</f>
      </c>
      <c r="L5220" s="43">
        <f>IF($I5220=0,0,$J5220*$H5220/100/12)</f>
      </c>
      <c r="M5220" s="43">
        <f>IF($I5220=0,0,IF(OR(INDEX(DarlOhneTilgung,11)=1,AND(INDEX(DarlTilgStart,11)&gt;0,$E5220&lt;INDEX(DarlTilgStart,11))),0,MIN(MAX(0,$K5220-$L5220),$J5220)))</f>
      </c>
      <c r="N5220" s="43">
        <f>IF($I5220=0,0,MIN(SUMIFS(SondBetrag,SondDarl,11,SondDatum,"&gt;="&amp;$E5220,SondDatum,"&lt;="&amp;EOMONTH($E5220,0)),$J5220-$M5220))</f>
      </c>
      <c r="O5220" s="43">
        <f>IF($I5220=0,0,INDEX(DarlErsatzRate,11))</f>
      </c>
      <c r="P5220" s="43">
        <f>IF($I5220=0,0,$Q5219*INDEX(DarlErsatzZins,11))</f>
      </c>
      <c r="Q5220" s="43">
        <f>IF($I5220=0,0,$Q5219+$P5220+$O5220)</f>
      </c>
      <c r="R5220" s="43">
        <f>IF($I5220=0,0,$J5220-$M5220-$N5220)</f>
      </c>
    </row>
    <row r="5221">
      <c r="A5221"/>
      <c r="B5221">
        <v>11</v>
      </c>
      <c r="C5221" s="43">
        <f>INDEX(DarlObj,11)</f>
      </c>
      <c r="D5221">
        <v>418</v>
      </c>
      <c r="E5221" s="51">
        <f>IF(INDEX(DarlBelegt,11)=0,0,EOMONTH(INDEX(DarlAuszahlung,11),417)+1)</f>
      </c>
      <c r="F5221" s="43">
        <f>IF($E5221=0,0,YEAR($E5221))</f>
      </c>
      <c r="G5221" s="43">
        <f>IF(INDEX(DarlBindung,11)="",1,IF($E5221&lt;=INDEX(DarlBindung,11),1,0))</f>
      </c>
      <c r="H5221" s="43">
        <f>IF($G5221=1,INDEX(DarlSollzins,11),INDEX(DarlAnschluss,11))</f>
      </c>
      <c r="I5221" s="43">
        <f>IF(INDEX(DarlBelegt,11)=0,0,IF(INDEX(DarlOhneTilgung,11)=1,IF(INDEX(DarlBindung,11)="",1,$G5221),IF($J5221&gt;0.005,1,0)))</f>
      </c>
      <c r="J5221" s="43">
        <f>IF($I5220=0,0,$R5220)</f>
      </c>
      <c r="K5221" s="43">
        <f>IF($I5221=0,0,IF(INDEX(DarlOhneTilgung,11)=1,0,IF(AND(INDEX(DarlTilgStart,11)&gt;0,$E5221=INDEX(DarlTilgStart,11)),$J5221*($H5221+INDEX(DarlTilgung,11))/100/12,IF(AND($G5221=0,$G5220=1),MAX($K5220,$J5221*($H5221+1)/100/12),$K5220))))</f>
      </c>
      <c r="L5221" s="43">
        <f>IF($I5221=0,0,$J5221*$H5221/100/12)</f>
      </c>
      <c r="M5221" s="43">
        <f>IF($I5221=0,0,IF(OR(INDEX(DarlOhneTilgung,11)=1,AND(INDEX(DarlTilgStart,11)&gt;0,$E5221&lt;INDEX(DarlTilgStart,11))),0,MIN(MAX(0,$K5221-$L5221),$J5221)))</f>
      </c>
      <c r="N5221" s="43">
        <f>IF($I5221=0,0,MIN(SUMIFS(SondBetrag,SondDarl,11,SondDatum,"&gt;="&amp;$E5221,SondDatum,"&lt;="&amp;EOMONTH($E5221,0)),$J5221-$M5221))</f>
      </c>
      <c r="O5221" s="43">
        <f>IF($I5221=0,0,INDEX(DarlErsatzRate,11))</f>
      </c>
      <c r="P5221" s="43">
        <f>IF($I5221=0,0,$Q5220*INDEX(DarlErsatzZins,11))</f>
      </c>
      <c r="Q5221" s="43">
        <f>IF($I5221=0,0,$Q5220+$P5221+$O5221)</f>
      </c>
      <c r="R5221" s="43">
        <f>IF($I5221=0,0,$J5221-$M5221-$N5221)</f>
      </c>
    </row>
    <row r="5222">
      <c r="A5222"/>
      <c r="B5222">
        <v>11</v>
      </c>
      <c r="C5222" s="43">
        <f>INDEX(DarlObj,11)</f>
      </c>
      <c r="D5222">
        <v>419</v>
      </c>
      <c r="E5222" s="51">
        <f>IF(INDEX(DarlBelegt,11)=0,0,EOMONTH(INDEX(DarlAuszahlung,11),418)+1)</f>
      </c>
      <c r="F5222" s="43">
        <f>IF($E5222=0,0,YEAR($E5222))</f>
      </c>
      <c r="G5222" s="43">
        <f>IF(INDEX(DarlBindung,11)="",1,IF($E5222&lt;=INDEX(DarlBindung,11),1,0))</f>
      </c>
      <c r="H5222" s="43">
        <f>IF($G5222=1,INDEX(DarlSollzins,11),INDEX(DarlAnschluss,11))</f>
      </c>
      <c r="I5222" s="43">
        <f>IF(INDEX(DarlBelegt,11)=0,0,IF(INDEX(DarlOhneTilgung,11)=1,IF(INDEX(DarlBindung,11)="",1,$G5222),IF($J5222&gt;0.005,1,0)))</f>
      </c>
      <c r="J5222" s="43">
        <f>IF($I5221=0,0,$R5221)</f>
      </c>
      <c r="K5222" s="43">
        <f>IF($I5222=0,0,IF(INDEX(DarlOhneTilgung,11)=1,0,IF(AND(INDEX(DarlTilgStart,11)&gt;0,$E5222=INDEX(DarlTilgStart,11)),$J5222*($H5222+INDEX(DarlTilgung,11))/100/12,IF(AND($G5222=0,$G5221=1),MAX($K5221,$J5222*($H5222+1)/100/12),$K5221))))</f>
      </c>
      <c r="L5222" s="43">
        <f>IF($I5222=0,0,$J5222*$H5222/100/12)</f>
      </c>
      <c r="M5222" s="43">
        <f>IF($I5222=0,0,IF(OR(INDEX(DarlOhneTilgung,11)=1,AND(INDEX(DarlTilgStart,11)&gt;0,$E5222&lt;INDEX(DarlTilgStart,11))),0,MIN(MAX(0,$K5222-$L5222),$J5222)))</f>
      </c>
      <c r="N5222" s="43">
        <f>IF($I5222=0,0,MIN(SUMIFS(SondBetrag,SondDarl,11,SondDatum,"&gt;="&amp;$E5222,SondDatum,"&lt;="&amp;EOMONTH($E5222,0)),$J5222-$M5222))</f>
      </c>
      <c r="O5222" s="43">
        <f>IF($I5222=0,0,INDEX(DarlErsatzRate,11))</f>
      </c>
      <c r="P5222" s="43">
        <f>IF($I5222=0,0,$Q5221*INDEX(DarlErsatzZins,11))</f>
      </c>
      <c r="Q5222" s="43">
        <f>IF($I5222=0,0,$Q5221+$P5222+$O5222)</f>
      </c>
      <c r="R5222" s="43">
        <f>IF($I5222=0,0,$J5222-$M5222-$N5222)</f>
      </c>
    </row>
    <row r="5223">
      <c r="A5223"/>
      <c r="B5223">
        <v>11</v>
      </c>
      <c r="C5223" s="43">
        <f>INDEX(DarlObj,11)</f>
      </c>
      <c r="D5223">
        <v>420</v>
      </c>
      <c r="E5223" s="51">
        <f>IF(INDEX(DarlBelegt,11)=0,0,EOMONTH(INDEX(DarlAuszahlung,11),419)+1)</f>
      </c>
      <c r="F5223" s="43">
        <f>IF($E5223=0,0,YEAR($E5223))</f>
      </c>
      <c r="G5223" s="43">
        <f>IF(INDEX(DarlBindung,11)="",1,IF($E5223&lt;=INDEX(DarlBindung,11),1,0))</f>
      </c>
      <c r="H5223" s="43">
        <f>IF($G5223=1,INDEX(DarlSollzins,11),INDEX(DarlAnschluss,11))</f>
      </c>
      <c r="I5223" s="43">
        <f>IF(INDEX(DarlBelegt,11)=0,0,IF(INDEX(DarlOhneTilgung,11)=1,IF(INDEX(DarlBindung,11)="",1,$G5223),IF($J5223&gt;0.005,1,0)))</f>
      </c>
      <c r="J5223" s="43">
        <f>IF($I5222=0,0,$R5222)</f>
      </c>
      <c r="K5223" s="43">
        <f>IF($I5223=0,0,IF(INDEX(DarlOhneTilgung,11)=1,0,IF(AND(INDEX(DarlTilgStart,11)&gt;0,$E5223=INDEX(DarlTilgStart,11)),$J5223*($H5223+INDEX(DarlTilgung,11))/100/12,IF(AND($G5223=0,$G5222=1),MAX($K5222,$J5223*($H5223+1)/100/12),$K5222))))</f>
      </c>
      <c r="L5223" s="43">
        <f>IF($I5223=0,0,$J5223*$H5223/100/12)</f>
      </c>
      <c r="M5223" s="43">
        <f>IF($I5223=0,0,IF(OR(INDEX(DarlOhneTilgung,11)=1,AND(INDEX(DarlTilgStart,11)&gt;0,$E5223&lt;INDEX(DarlTilgStart,11))),0,MIN(MAX(0,$K5223-$L5223),$J5223)))</f>
      </c>
      <c r="N5223" s="43">
        <f>IF($I5223=0,0,MIN(SUMIFS(SondBetrag,SondDarl,11,SondDatum,"&gt;="&amp;$E5223,SondDatum,"&lt;="&amp;EOMONTH($E5223,0)),$J5223-$M5223))</f>
      </c>
      <c r="O5223" s="43">
        <f>IF($I5223=0,0,INDEX(DarlErsatzRate,11))</f>
      </c>
      <c r="P5223" s="43">
        <f>IF($I5223=0,0,$Q5222*INDEX(DarlErsatzZins,11))</f>
      </c>
      <c r="Q5223" s="43">
        <f>IF($I5223=0,0,$Q5222+$P5223+$O5223)</f>
      </c>
      <c r="R5223" s="43">
        <f>IF($I5223=0,0,$J5223-$M5223-$N5223)</f>
      </c>
    </row>
    <row r="5224">
      <c r="A5224"/>
      <c r="B5224">
        <v>11</v>
      </c>
      <c r="C5224" s="43">
        <f>INDEX(DarlObj,11)</f>
      </c>
      <c r="D5224">
        <v>421</v>
      </c>
      <c r="E5224" s="51">
        <f>IF(INDEX(DarlBelegt,11)=0,0,EOMONTH(INDEX(DarlAuszahlung,11),420)+1)</f>
      </c>
      <c r="F5224" s="43">
        <f>IF($E5224=0,0,YEAR($E5224))</f>
      </c>
      <c r="G5224" s="43">
        <f>IF(INDEX(DarlBindung,11)="",1,IF($E5224&lt;=INDEX(DarlBindung,11),1,0))</f>
      </c>
      <c r="H5224" s="43">
        <f>IF($G5224=1,INDEX(DarlSollzins,11),INDEX(DarlAnschluss,11))</f>
      </c>
      <c r="I5224" s="43">
        <f>IF(INDEX(DarlBelegt,11)=0,0,IF(INDEX(DarlOhneTilgung,11)=1,IF(INDEX(DarlBindung,11)="",1,$G5224),IF($J5224&gt;0.005,1,0)))</f>
      </c>
      <c r="J5224" s="43">
        <f>IF($I5223=0,0,$R5223)</f>
      </c>
      <c r="K5224" s="43">
        <f>IF($I5224=0,0,IF(INDEX(DarlOhneTilgung,11)=1,0,IF(AND(INDEX(DarlTilgStart,11)&gt;0,$E5224=INDEX(DarlTilgStart,11)),$J5224*($H5224+INDEX(DarlTilgung,11))/100/12,IF(AND($G5224=0,$G5223=1),MAX($K5223,$J5224*($H5224+1)/100/12),$K5223))))</f>
      </c>
      <c r="L5224" s="43">
        <f>IF($I5224=0,0,$J5224*$H5224/100/12)</f>
      </c>
      <c r="M5224" s="43">
        <f>IF($I5224=0,0,IF(OR(INDEX(DarlOhneTilgung,11)=1,AND(INDEX(DarlTilgStart,11)&gt;0,$E5224&lt;INDEX(DarlTilgStart,11))),0,MIN(MAX(0,$K5224-$L5224),$J5224)))</f>
      </c>
      <c r="N5224" s="43">
        <f>IF($I5224=0,0,MIN(SUMIFS(SondBetrag,SondDarl,11,SondDatum,"&gt;="&amp;$E5224,SondDatum,"&lt;="&amp;EOMONTH($E5224,0)),$J5224-$M5224))</f>
      </c>
      <c r="O5224" s="43">
        <f>IF($I5224=0,0,INDEX(DarlErsatzRate,11))</f>
      </c>
      <c r="P5224" s="43">
        <f>IF($I5224=0,0,$Q5223*INDEX(DarlErsatzZins,11))</f>
      </c>
      <c r="Q5224" s="43">
        <f>IF($I5224=0,0,$Q5223+$P5224+$O5224)</f>
      </c>
      <c r="R5224" s="43">
        <f>IF($I5224=0,0,$J5224-$M5224-$N5224)</f>
      </c>
    </row>
    <row r="5225">
      <c r="A5225"/>
      <c r="B5225">
        <v>11</v>
      </c>
      <c r="C5225" s="43">
        <f>INDEX(DarlObj,11)</f>
      </c>
      <c r="D5225">
        <v>422</v>
      </c>
      <c r="E5225" s="51">
        <f>IF(INDEX(DarlBelegt,11)=0,0,EOMONTH(INDEX(DarlAuszahlung,11),421)+1)</f>
      </c>
      <c r="F5225" s="43">
        <f>IF($E5225=0,0,YEAR($E5225))</f>
      </c>
      <c r="G5225" s="43">
        <f>IF(INDEX(DarlBindung,11)="",1,IF($E5225&lt;=INDEX(DarlBindung,11),1,0))</f>
      </c>
      <c r="H5225" s="43">
        <f>IF($G5225=1,INDEX(DarlSollzins,11),INDEX(DarlAnschluss,11))</f>
      </c>
      <c r="I5225" s="43">
        <f>IF(INDEX(DarlBelegt,11)=0,0,IF(INDEX(DarlOhneTilgung,11)=1,IF(INDEX(DarlBindung,11)="",1,$G5225),IF($J5225&gt;0.005,1,0)))</f>
      </c>
      <c r="J5225" s="43">
        <f>IF($I5224=0,0,$R5224)</f>
      </c>
      <c r="K5225" s="43">
        <f>IF($I5225=0,0,IF(INDEX(DarlOhneTilgung,11)=1,0,IF(AND(INDEX(DarlTilgStart,11)&gt;0,$E5225=INDEX(DarlTilgStart,11)),$J5225*($H5225+INDEX(DarlTilgung,11))/100/12,IF(AND($G5225=0,$G5224=1),MAX($K5224,$J5225*($H5225+1)/100/12),$K5224))))</f>
      </c>
      <c r="L5225" s="43">
        <f>IF($I5225=0,0,$J5225*$H5225/100/12)</f>
      </c>
      <c r="M5225" s="43">
        <f>IF($I5225=0,0,IF(OR(INDEX(DarlOhneTilgung,11)=1,AND(INDEX(DarlTilgStart,11)&gt;0,$E5225&lt;INDEX(DarlTilgStart,11))),0,MIN(MAX(0,$K5225-$L5225),$J5225)))</f>
      </c>
      <c r="N5225" s="43">
        <f>IF($I5225=0,0,MIN(SUMIFS(SondBetrag,SondDarl,11,SondDatum,"&gt;="&amp;$E5225,SondDatum,"&lt;="&amp;EOMONTH($E5225,0)),$J5225-$M5225))</f>
      </c>
      <c r="O5225" s="43">
        <f>IF($I5225=0,0,INDEX(DarlErsatzRate,11))</f>
      </c>
      <c r="P5225" s="43">
        <f>IF($I5225=0,0,$Q5224*INDEX(DarlErsatzZins,11))</f>
      </c>
      <c r="Q5225" s="43">
        <f>IF($I5225=0,0,$Q5224+$P5225+$O5225)</f>
      </c>
      <c r="R5225" s="43">
        <f>IF($I5225=0,0,$J5225-$M5225-$N5225)</f>
      </c>
    </row>
    <row r="5226">
      <c r="A5226"/>
      <c r="B5226">
        <v>11</v>
      </c>
      <c r="C5226" s="43">
        <f>INDEX(DarlObj,11)</f>
      </c>
      <c r="D5226">
        <v>423</v>
      </c>
      <c r="E5226" s="51">
        <f>IF(INDEX(DarlBelegt,11)=0,0,EOMONTH(INDEX(DarlAuszahlung,11),422)+1)</f>
      </c>
      <c r="F5226" s="43">
        <f>IF($E5226=0,0,YEAR($E5226))</f>
      </c>
      <c r="G5226" s="43">
        <f>IF(INDEX(DarlBindung,11)="",1,IF($E5226&lt;=INDEX(DarlBindung,11),1,0))</f>
      </c>
      <c r="H5226" s="43">
        <f>IF($G5226=1,INDEX(DarlSollzins,11),INDEX(DarlAnschluss,11))</f>
      </c>
      <c r="I5226" s="43">
        <f>IF(INDEX(DarlBelegt,11)=0,0,IF(INDEX(DarlOhneTilgung,11)=1,IF(INDEX(DarlBindung,11)="",1,$G5226),IF($J5226&gt;0.005,1,0)))</f>
      </c>
      <c r="J5226" s="43">
        <f>IF($I5225=0,0,$R5225)</f>
      </c>
      <c r="K5226" s="43">
        <f>IF($I5226=0,0,IF(INDEX(DarlOhneTilgung,11)=1,0,IF(AND(INDEX(DarlTilgStart,11)&gt;0,$E5226=INDEX(DarlTilgStart,11)),$J5226*($H5226+INDEX(DarlTilgung,11))/100/12,IF(AND($G5226=0,$G5225=1),MAX($K5225,$J5226*($H5226+1)/100/12),$K5225))))</f>
      </c>
      <c r="L5226" s="43">
        <f>IF($I5226=0,0,$J5226*$H5226/100/12)</f>
      </c>
      <c r="M5226" s="43">
        <f>IF($I5226=0,0,IF(OR(INDEX(DarlOhneTilgung,11)=1,AND(INDEX(DarlTilgStart,11)&gt;0,$E5226&lt;INDEX(DarlTilgStart,11))),0,MIN(MAX(0,$K5226-$L5226),$J5226)))</f>
      </c>
      <c r="N5226" s="43">
        <f>IF($I5226=0,0,MIN(SUMIFS(SondBetrag,SondDarl,11,SondDatum,"&gt;="&amp;$E5226,SondDatum,"&lt;="&amp;EOMONTH($E5226,0)),$J5226-$M5226))</f>
      </c>
      <c r="O5226" s="43">
        <f>IF($I5226=0,0,INDEX(DarlErsatzRate,11))</f>
      </c>
      <c r="P5226" s="43">
        <f>IF($I5226=0,0,$Q5225*INDEX(DarlErsatzZins,11))</f>
      </c>
      <c r="Q5226" s="43">
        <f>IF($I5226=0,0,$Q5225+$P5226+$O5226)</f>
      </c>
      <c r="R5226" s="43">
        <f>IF($I5226=0,0,$J5226-$M5226-$N5226)</f>
      </c>
    </row>
    <row r="5227">
      <c r="A5227"/>
      <c r="B5227">
        <v>11</v>
      </c>
      <c r="C5227" s="43">
        <f>INDEX(DarlObj,11)</f>
      </c>
      <c r="D5227">
        <v>424</v>
      </c>
      <c r="E5227" s="51">
        <f>IF(INDEX(DarlBelegt,11)=0,0,EOMONTH(INDEX(DarlAuszahlung,11),423)+1)</f>
      </c>
      <c r="F5227" s="43">
        <f>IF($E5227=0,0,YEAR($E5227))</f>
      </c>
      <c r="G5227" s="43">
        <f>IF(INDEX(DarlBindung,11)="",1,IF($E5227&lt;=INDEX(DarlBindung,11),1,0))</f>
      </c>
      <c r="H5227" s="43">
        <f>IF($G5227=1,INDEX(DarlSollzins,11),INDEX(DarlAnschluss,11))</f>
      </c>
      <c r="I5227" s="43">
        <f>IF(INDEX(DarlBelegt,11)=0,0,IF(INDEX(DarlOhneTilgung,11)=1,IF(INDEX(DarlBindung,11)="",1,$G5227),IF($J5227&gt;0.005,1,0)))</f>
      </c>
      <c r="J5227" s="43">
        <f>IF($I5226=0,0,$R5226)</f>
      </c>
      <c r="K5227" s="43">
        <f>IF($I5227=0,0,IF(INDEX(DarlOhneTilgung,11)=1,0,IF(AND(INDEX(DarlTilgStart,11)&gt;0,$E5227=INDEX(DarlTilgStart,11)),$J5227*($H5227+INDEX(DarlTilgung,11))/100/12,IF(AND($G5227=0,$G5226=1),MAX($K5226,$J5227*($H5227+1)/100/12),$K5226))))</f>
      </c>
      <c r="L5227" s="43">
        <f>IF($I5227=0,0,$J5227*$H5227/100/12)</f>
      </c>
      <c r="M5227" s="43">
        <f>IF($I5227=0,0,IF(OR(INDEX(DarlOhneTilgung,11)=1,AND(INDEX(DarlTilgStart,11)&gt;0,$E5227&lt;INDEX(DarlTilgStart,11))),0,MIN(MAX(0,$K5227-$L5227),$J5227)))</f>
      </c>
      <c r="N5227" s="43">
        <f>IF($I5227=0,0,MIN(SUMIFS(SondBetrag,SondDarl,11,SondDatum,"&gt;="&amp;$E5227,SondDatum,"&lt;="&amp;EOMONTH($E5227,0)),$J5227-$M5227))</f>
      </c>
      <c r="O5227" s="43">
        <f>IF($I5227=0,0,INDEX(DarlErsatzRate,11))</f>
      </c>
      <c r="P5227" s="43">
        <f>IF($I5227=0,0,$Q5226*INDEX(DarlErsatzZins,11))</f>
      </c>
      <c r="Q5227" s="43">
        <f>IF($I5227=0,0,$Q5226+$P5227+$O5227)</f>
      </c>
      <c r="R5227" s="43">
        <f>IF($I5227=0,0,$J5227-$M5227-$N5227)</f>
      </c>
    </row>
    <row r="5228">
      <c r="A5228"/>
      <c r="B5228">
        <v>11</v>
      </c>
      <c r="C5228" s="43">
        <f>INDEX(DarlObj,11)</f>
      </c>
      <c r="D5228">
        <v>425</v>
      </c>
      <c r="E5228" s="51">
        <f>IF(INDEX(DarlBelegt,11)=0,0,EOMONTH(INDEX(DarlAuszahlung,11),424)+1)</f>
      </c>
      <c r="F5228" s="43">
        <f>IF($E5228=0,0,YEAR($E5228))</f>
      </c>
      <c r="G5228" s="43">
        <f>IF(INDEX(DarlBindung,11)="",1,IF($E5228&lt;=INDEX(DarlBindung,11),1,0))</f>
      </c>
      <c r="H5228" s="43">
        <f>IF($G5228=1,INDEX(DarlSollzins,11),INDEX(DarlAnschluss,11))</f>
      </c>
      <c r="I5228" s="43">
        <f>IF(INDEX(DarlBelegt,11)=0,0,IF(INDEX(DarlOhneTilgung,11)=1,IF(INDEX(DarlBindung,11)="",1,$G5228),IF($J5228&gt;0.005,1,0)))</f>
      </c>
      <c r="J5228" s="43">
        <f>IF($I5227=0,0,$R5227)</f>
      </c>
      <c r="K5228" s="43">
        <f>IF($I5228=0,0,IF(INDEX(DarlOhneTilgung,11)=1,0,IF(AND(INDEX(DarlTilgStart,11)&gt;0,$E5228=INDEX(DarlTilgStart,11)),$J5228*($H5228+INDEX(DarlTilgung,11))/100/12,IF(AND($G5228=0,$G5227=1),MAX($K5227,$J5228*($H5228+1)/100/12),$K5227))))</f>
      </c>
      <c r="L5228" s="43">
        <f>IF($I5228=0,0,$J5228*$H5228/100/12)</f>
      </c>
      <c r="M5228" s="43">
        <f>IF($I5228=0,0,IF(OR(INDEX(DarlOhneTilgung,11)=1,AND(INDEX(DarlTilgStart,11)&gt;0,$E5228&lt;INDEX(DarlTilgStart,11))),0,MIN(MAX(0,$K5228-$L5228),$J5228)))</f>
      </c>
      <c r="N5228" s="43">
        <f>IF($I5228=0,0,MIN(SUMIFS(SondBetrag,SondDarl,11,SondDatum,"&gt;="&amp;$E5228,SondDatum,"&lt;="&amp;EOMONTH($E5228,0)),$J5228-$M5228))</f>
      </c>
      <c r="O5228" s="43">
        <f>IF($I5228=0,0,INDEX(DarlErsatzRate,11))</f>
      </c>
      <c r="P5228" s="43">
        <f>IF($I5228=0,0,$Q5227*INDEX(DarlErsatzZins,11))</f>
      </c>
      <c r="Q5228" s="43">
        <f>IF($I5228=0,0,$Q5227+$P5228+$O5228)</f>
      </c>
      <c r="R5228" s="43">
        <f>IF($I5228=0,0,$J5228-$M5228-$N5228)</f>
      </c>
    </row>
    <row r="5229">
      <c r="A5229"/>
      <c r="B5229">
        <v>11</v>
      </c>
      <c r="C5229" s="43">
        <f>INDEX(DarlObj,11)</f>
      </c>
      <c r="D5229">
        <v>426</v>
      </c>
      <c r="E5229" s="51">
        <f>IF(INDEX(DarlBelegt,11)=0,0,EOMONTH(INDEX(DarlAuszahlung,11),425)+1)</f>
      </c>
      <c r="F5229" s="43">
        <f>IF($E5229=0,0,YEAR($E5229))</f>
      </c>
      <c r="G5229" s="43">
        <f>IF(INDEX(DarlBindung,11)="",1,IF($E5229&lt;=INDEX(DarlBindung,11),1,0))</f>
      </c>
      <c r="H5229" s="43">
        <f>IF($G5229=1,INDEX(DarlSollzins,11),INDEX(DarlAnschluss,11))</f>
      </c>
      <c r="I5229" s="43">
        <f>IF(INDEX(DarlBelegt,11)=0,0,IF(INDEX(DarlOhneTilgung,11)=1,IF(INDEX(DarlBindung,11)="",1,$G5229),IF($J5229&gt;0.005,1,0)))</f>
      </c>
      <c r="J5229" s="43">
        <f>IF($I5228=0,0,$R5228)</f>
      </c>
      <c r="K5229" s="43">
        <f>IF($I5229=0,0,IF(INDEX(DarlOhneTilgung,11)=1,0,IF(AND(INDEX(DarlTilgStart,11)&gt;0,$E5229=INDEX(DarlTilgStart,11)),$J5229*($H5229+INDEX(DarlTilgung,11))/100/12,IF(AND($G5229=0,$G5228=1),MAX($K5228,$J5229*($H5229+1)/100/12),$K5228))))</f>
      </c>
      <c r="L5229" s="43">
        <f>IF($I5229=0,0,$J5229*$H5229/100/12)</f>
      </c>
      <c r="M5229" s="43">
        <f>IF($I5229=0,0,IF(OR(INDEX(DarlOhneTilgung,11)=1,AND(INDEX(DarlTilgStart,11)&gt;0,$E5229&lt;INDEX(DarlTilgStart,11))),0,MIN(MAX(0,$K5229-$L5229),$J5229)))</f>
      </c>
      <c r="N5229" s="43">
        <f>IF($I5229=0,0,MIN(SUMIFS(SondBetrag,SondDarl,11,SondDatum,"&gt;="&amp;$E5229,SondDatum,"&lt;="&amp;EOMONTH($E5229,0)),$J5229-$M5229))</f>
      </c>
      <c r="O5229" s="43">
        <f>IF($I5229=0,0,INDEX(DarlErsatzRate,11))</f>
      </c>
      <c r="P5229" s="43">
        <f>IF($I5229=0,0,$Q5228*INDEX(DarlErsatzZins,11))</f>
      </c>
      <c r="Q5229" s="43">
        <f>IF($I5229=0,0,$Q5228+$P5229+$O5229)</f>
      </c>
      <c r="R5229" s="43">
        <f>IF($I5229=0,0,$J5229-$M5229-$N5229)</f>
      </c>
    </row>
    <row r="5230">
      <c r="A5230"/>
      <c r="B5230">
        <v>11</v>
      </c>
      <c r="C5230" s="43">
        <f>INDEX(DarlObj,11)</f>
      </c>
      <c r="D5230">
        <v>427</v>
      </c>
      <c r="E5230" s="51">
        <f>IF(INDEX(DarlBelegt,11)=0,0,EOMONTH(INDEX(DarlAuszahlung,11),426)+1)</f>
      </c>
      <c r="F5230" s="43">
        <f>IF($E5230=0,0,YEAR($E5230))</f>
      </c>
      <c r="G5230" s="43">
        <f>IF(INDEX(DarlBindung,11)="",1,IF($E5230&lt;=INDEX(DarlBindung,11),1,0))</f>
      </c>
      <c r="H5230" s="43">
        <f>IF($G5230=1,INDEX(DarlSollzins,11),INDEX(DarlAnschluss,11))</f>
      </c>
      <c r="I5230" s="43">
        <f>IF(INDEX(DarlBelegt,11)=0,0,IF(INDEX(DarlOhneTilgung,11)=1,IF(INDEX(DarlBindung,11)="",1,$G5230),IF($J5230&gt;0.005,1,0)))</f>
      </c>
      <c r="J5230" s="43">
        <f>IF($I5229=0,0,$R5229)</f>
      </c>
      <c r="K5230" s="43">
        <f>IF($I5230=0,0,IF(INDEX(DarlOhneTilgung,11)=1,0,IF(AND(INDEX(DarlTilgStart,11)&gt;0,$E5230=INDEX(DarlTilgStart,11)),$J5230*($H5230+INDEX(DarlTilgung,11))/100/12,IF(AND($G5230=0,$G5229=1),MAX($K5229,$J5230*($H5230+1)/100/12),$K5229))))</f>
      </c>
      <c r="L5230" s="43">
        <f>IF($I5230=0,0,$J5230*$H5230/100/12)</f>
      </c>
      <c r="M5230" s="43">
        <f>IF($I5230=0,0,IF(OR(INDEX(DarlOhneTilgung,11)=1,AND(INDEX(DarlTilgStart,11)&gt;0,$E5230&lt;INDEX(DarlTilgStart,11))),0,MIN(MAX(0,$K5230-$L5230),$J5230)))</f>
      </c>
      <c r="N5230" s="43">
        <f>IF($I5230=0,0,MIN(SUMIFS(SondBetrag,SondDarl,11,SondDatum,"&gt;="&amp;$E5230,SondDatum,"&lt;="&amp;EOMONTH($E5230,0)),$J5230-$M5230))</f>
      </c>
      <c r="O5230" s="43">
        <f>IF($I5230=0,0,INDEX(DarlErsatzRate,11))</f>
      </c>
      <c r="P5230" s="43">
        <f>IF($I5230=0,0,$Q5229*INDEX(DarlErsatzZins,11))</f>
      </c>
      <c r="Q5230" s="43">
        <f>IF($I5230=0,0,$Q5229+$P5230+$O5230)</f>
      </c>
      <c r="R5230" s="43">
        <f>IF($I5230=0,0,$J5230-$M5230-$N5230)</f>
      </c>
    </row>
    <row r="5231">
      <c r="A5231"/>
      <c r="B5231">
        <v>11</v>
      </c>
      <c r="C5231" s="43">
        <f>INDEX(DarlObj,11)</f>
      </c>
      <c r="D5231">
        <v>428</v>
      </c>
      <c r="E5231" s="51">
        <f>IF(INDEX(DarlBelegt,11)=0,0,EOMONTH(INDEX(DarlAuszahlung,11),427)+1)</f>
      </c>
      <c r="F5231" s="43">
        <f>IF($E5231=0,0,YEAR($E5231))</f>
      </c>
      <c r="G5231" s="43">
        <f>IF(INDEX(DarlBindung,11)="",1,IF($E5231&lt;=INDEX(DarlBindung,11),1,0))</f>
      </c>
      <c r="H5231" s="43">
        <f>IF($G5231=1,INDEX(DarlSollzins,11),INDEX(DarlAnschluss,11))</f>
      </c>
      <c r="I5231" s="43">
        <f>IF(INDEX(DarlBelegt,11)=0,0,IF(INDEX(DarlOhneTilgung,11)=1,IF(INDEX(DarlBindung,11)="",1,$G5231),IF($J5231&gt;0.005,1,0)))</f>
      </c>
      <c r="J5231" s="43">
        <f>IF($I5230=0,0,$R5230)</f>
      </c>
      <c r="K5231" s="43">
        <f>IF($I5231=0,0,IF(INDEX(DarlOhneTilgung,11)=1,0,IF(AND(INDEX(DarlTilgStart,11)&gt;0,$E5231=INDEX(DarlTilgStart,11)),$J5231*($H5231+INDEX(DarlTilgung,11))/100/12,IF(AND($G5231=0,$G5230=1),MAX($K5230,$J5231*($H5231+1)/100/12),$K5230))))</f>
      </c>
      <c r="L5231" s="43">
        <f>IF($I5231=0,0,$J5231*$H5231/100/12)</f>
      </c>
      <c r="M5231" s="43">
        <f>IF($I5231=0,0,IF(OR(INDEX(DarlOhneTilgung,11)=1,AND(INDEX(DarlTilgStart,11)&gt;0,$E5231&lt;INDEX(DarlTilgStart,11))),0,MIN(MAX(0,$K5231-$L5231),$J5231)))</f>
      </c>
      <c r="N5231" s="43">
        <f>IF($I5231=0,0,MIN(SUMIFS(SondBetrag,SondDarl,11,SondDatum,"&gt;="&amp;$E5231,SondDatum,"&lt;="&amp;EOMONTH($E5231,0)),$J5231-$M5231))</f>
      </c>
      <c r="O5231" s="43">
        <f>IF($I5231=0,0,INDEX(DarlErsatzRate,11))</f>
      </c>
      <c r="P5231" s="43">
        <f>IF($I5231=0,0,$Q5230*INDEX(DarlErsatzZins,11))</f>
      </c>
      <c r="Q5231" s="43">
        <f>IF($I5231=0,0,$Q5230+$P5231+$O5231)</f>
      </c>
      <c r="R5231" s="43">
        <f>IF($I5231=0,0,$J5231-$M5231-$N5231)</f>
      </c>
    </row>
    <row r="5232">
      <c r="A5232"/>
      <c r="B5232">
        <v>11</v>
      </c>
      <c r="C5232" s="43">
        <f>INDEX(DarlObj,11)</f>
      </c>
      <c r="D5232">
        <v>429</v>
      </c>
      <c r="E5232" s="51">
        <f>IF(INDEX(DarlBelegt,11)=0,0,EOMONTH(INDEX(DarlAuszahlung,11),428)+1)</f>
      </c>
      <c r="F5232" s="43">
        <f>IF($E5232=0,0,YEAR($E5232))</f>
      </c>
      <c r="G5232" s="43">
        <f>IF(INDEX(DarlBindung,11)="",1,IF($E5232&lt;=INDEX(DarlBindung,11),1,0))</f>
      </c>
      <c r="H5232" s="43">
        <f>IF($G5232=1,INDEX(DarlSollzins,11),INDEX(DarlAnschluss,11))</f>
      </c>
      <c r="I5232" s="43">
        <f>IF(INDEX(DarlBelegt,11)=0,0,IF(INDEX(DarlOhneTilgung,11)=1,IF(INDEX(DarlBindung,11)="",1,$G5232),IF($J5232&gt;0.005,1,0)))</f>
      </c>
      <c r="J5232" s="43">
        <f>IF($I5231=0,0,$R5231)</f>
      </c>
      <c r="K5232" s="43">
        <f>IF($I5232=0,0,IF(INDEX(DarlOhneTilgung,11)=1,0,IF(AND(INDEX(DarlTilgStart,11)&gt;0,$E5232=INDEX(DarlTilgStart,11)),$J5232*($H5232+INDEX(DarlTilgung,11))/100/12,IF(AND($G5232=0,$G5231=1),MAX($K5231,$J5232*($H5232+1)/100/12),$K5231))))</f>
      </c>
      <c r="L5232" s="43">
        <f>IF($I5232=0,0,$J5232*$H5232/100/12)</f>
      </c>
      <c r="M5232" s="43">
        <f>IF($I5232=0,0,IF(OR(INDEX(DarlOhneTilgung,11)=1,AND(INDEX(DarlTilgStart,11)&gt;0,$E5232&lt;INDEX(DarlTilgStart,11))),0,MIN(MAX(0,$K5232-$L5232),$J5232)))</f>
      </c>
      <c r="N5232" s="43">
        <f>IF($I5232=0,0,MIN(SUMIFS(SondBetrag,SondDarl,11,SondDatum,"&gt;="&amp;$E5232,SondDatum,"&lt;="&amp;EOMONTH($E5232,0)),$J5232-$M5232))</f>
      </c>
      <c r="O5232" s="43">
        <f>IF($I5232=0,0,INDEX(DarlErsatzRate,11))</f>
      </c>
      <c r="P5232" s="43">
        <f>IF($I5232=0,0,$Q5231*INDEX(DarlErsatzZins,11))</f>
      </c>
      <c r="Q5232" s="43">
        <f>IF($I5232=0,0,$Q5231+$P5232+$O5232)</f>
      </c>
      <c r="R5232" s="43">
        <f>IF($I5232=0,0,$J5232-$M5232-$N5232)</f>
      </c>
    </row>
    <row r="5233">
      <c r="A5233"/>
      <c r="B5233">
        <v>11</v>
      </c>
      <c r="C5233" s="43">
        <f>INDEX(DarlObj,11)</f>
      </c>
      <c r="D5233">
        <v>430</v>
      </c>
      <c r="E5233" s="51">
        <f>IF(INDEX(DarlBelegt,11)=0,0,EOMONTH(INDEX(DarlAuszahlung,11),429)+1)</f>
      </c>
      <c r="F5233" s="43">
        <f>IF($E5233=0,0,YEAR($E5233))</f>
      </c>
      <c r="G5233" s="43">
        <f>IF(INDEX(DarlBindung,11)="",1,IF($E5233&lt;=INDEX(DarlBindung,11),1,0))</f>
      </c>
      <c r="H5233" s="43">
        <f>IF($G5233=1,INDEX(DarlSollzins,11),INDEX(DarlAnschluss,11))</f>
      </c>
      <c r="I5233" s="43">
        <f>IF(INDEX(DarlBelegt,11)=0,0,IF(INDEX(DarlOhneTilgung,11)=1,IF(INDEX(DarlBindung,11)="",1,$G5233),IF($J5233&gt;0.005,1,0)))</f>
      </c>
      <c r="J5233" s="43">
        <f>IF($I5232=0,0,$R5232)</f>
      </c>
      <c r="K5233" s="43">
        <f>IF($I5233=0,0,IF(INDEX(DarlOhneTilgung,11)=1,0,IF(AND(INDEX(DarlTilgStart,11)&gt;0,$E5233=INDEX(DarlTilgStart,11)),$J5233*($H5233+INDEX(DarlTilgung,11))/100/12,IF(AND($G5233=0,$G5232=1),MAX($K5232,$J5233*($H5233+1)/100/12),$K5232))))</f>
      </c>
      <c r="L5233" s="43">
        <f>IF($I5233=0,0,$J5233*$H5233/100/12)</f>
      </c>
      <c r="M5233" s="43">
        <f>IF($I5233=0,0,IF(OR(INDEX(DarlOhneTilgung,11)=1,AND(INDEX(DarlTilgStart,11)&gt;0,$E5233&lt;INDEX(DarlTilgStart,11))),0,MIN(MAX(0,$K5233-$L5233),$J5233)))</f>
      </c>
      <c r="N5233" s="43">
        <f>IF($I5233=0,0,MIN(SUMIFS(SondBetrag,SondDarl,11,SondDatum,"&gt;="&amp;$E5233,SondDatum,"&lt;="&amp;EOMONTH($E5233,0)),$J5233-$M5233))</f>
      </c>
      <c r="O5233" s="43">
        <f>IF($I5233=0,0,INDEX(DarlErsatzRate,11))</f>
      </c>
      <c r="P5233" s="43">
        <f>IF($I5233=0,0,$Q5232*INDEX(DarlErsatzZins,11))</f>
      </c>
      <c r="Q5233" s="43">
        <f>IF($I5233=0,0,$Q5232+$P5233+$O5233)</f>
      </c>
      <c r="R5233" s="43">
        <f>IF($I5233=0,0,$J5233-$M5233-$N5233)</f>
      </c>
    </row>
    <row r="5234">
      <c r="A5234"/>
      <c r="B5234">
        <v>11</v>
      </c>
      <c r="C5234" s="43">
        <f>INDEX(DarlObj,11)</f>
      </c>
      <c r="D5234">
        <v>431</v>
      </c>
      <c r="E5234" s="51">
        <f>IF(INDEX(DarlBelegt,11)=0,0,EOMONTH(INDEX(DarlAuszahlung,11),430)+1)</f>
      </c>
      <c r="F5234" s="43">
        <f>IF($E5234=0,0,YEAR($E5234))</f>
      </c>
      <c r="G5234" s="43">
        <f>IF(INDEX(DarlBindung,11)="",1,IF($E5234&lt;=INDEX(DarlBindung,11),1,0))</f>
      </c>
      <c r="H5234" s="43">
        <f>IF($G5234=1,INDEX(DarlSollzins,11),INDEX(DarlAnschluss,11))</f>
      </c>
      <c r="I5234" s="43">
        <f>IF(INDEX(DarlBelegt,11)=0,0,IF(INDEX(DarlOhneTilgung,11)=1,IF(INDEX(DarlBindung,11)="",1,$G5234),IF($J5234&gt;0.005,1,0)))</f>
      </c>
      <c r="J5234" s="43">
        <f>IF($I5233=0,0,$R5233)</f>
      </c>
      <c r="K5234" s="43">
        <f>IF($I5234=0,0,IF(INDEX(DarlOhneTilgung,11)=1,0,IF(AND(INDEX(DarlTilgStart,11)&gt;0,$E5234=INDEX(DarlTilgStart,11)),$J5234*($H5234+INDEX(DarlTilgung,11))/100/12,IF(AND($G5234=0,$G5233=1),MAX($K5233,$J5234*($H5234+1)/100/12),$K5233))))</f>
      </c>
      <c r="L5234" s="43">
        <f>IF($I5234=0,0,$J5234*$H5234/100/12)</f>
      </c>
      <c r="M5234" s="43">
        <f>IF($I5234=0,0,IF(OR(INDEX(DarlOhneTilgung,11)=1,AND(INDEX(DarlTilgStart,11)&gt;0,$E5234&lt;INDEX(DarlTilgStart,11))),0,MIN(MAX(0,$K5234-$L5234),$J5234)))</f>
      </c>
      <c r="N5234" s="43">
        <f>IF($I5234=0,0,MIN(SUMIFS(SondBetrag,SondDarl,11,SondDatum,"&gt;="&amp;$E5234,SondDatum,"&lt;="&amp;EOMONTH($E5234,0)),$J5234-$M5234))</f>
      </c>
      <c r="O5234" s="43">
        <f>IF($I5234=0,0,INDEX(DarlErsatzRate,11))</f>
      </c>
      <c r="P5234" s="43">
        <f>IF($I5234=0,0,$Q5233*INDEX(DarlErsatzZins,11))</f>
      </c>
      <c r="Q5234" s="43">
        <f>IF($I5234=0,0,$Q5233+$P5234+$O5234)</f>
      </c>
      <c r="R5234" s="43">
        <f>IF($I5234=0,0,$J5234-$M5234-$N5234)</f>
      </c>
    </row>
    <row r="5235">
      <c r="A5235"/>
      <c r="B5235">
        <v>11</v>
      </c>
      <c r="C5235" s="43">
        <f>INDEX(DarlObj,11)</f>
      </c>
      <c r="D5235">
        <v>432</v>
      </c>
      <c r="E5235" s="51">
        <f>IF(INDEX(DarlBelegt,11)=0,0,EOMONTH(INDEX(DarlAuszahlung,11),431)+1)</f>
      </c>
      <c r="F5235" s="43">
        <f>IF($E5235=0,0,YEAR($E5235))</f>
      </c>
      <c r="G5235" s="43">
        <f>IF(INDEX(DarlBindung,11)="",1,IF($E5235&lt;=INDEX(DarlBindung,11),1,0))</f>
      </c>
      <c r="H5235" s="43">
        <f>IF($G5235=1,INDEX(DarlSollzins,11),INDEX(DarlAnschluss,11))</f>
      </c>
      <c r="I5235" s="43">
        <f>IF(INDEX(DarlBelegt,11)=0,0,IF(INDEX(DarlOhneTilgung,11)=1,IF(INDEX(DarlBindung,11)="",1,$G5235),IF($J5235&gt;0.005,1,0)))</f>
      </c>
      <c r="J5235" s="43">
        <f>IF($I5234=0,0,$R5234)</f>
      </c>
      <c r="K5235" s="43">
        <f>IF($I5235=0,0,IF(INDEX(DarlOhneTilgung,11)=1,0,IF(AND(INDEX(DarlTilgStart,11)&gt;0,$E5235=INDEX(DarlTilgStart,11)),$J5235*($H5235+INDEX(DarlTilgung,11))/100/12,IF(AND($G5235=0,$G5234=1),MAX($K5234,$J5235*($H5235+1)/100/12),$K5234))))</f>
      </c>
      <c r="L5235" s="43">
        <f>IF($I5235=0,0,$J5235*$H5235/100/12)</f>
      </c>
      <c r="M5235" s="43">
        <f>IF($I5235=0,0,IF(OR(INDEX(DarlOhneTilgung,11)=1,AND(INDEX(DarlTilgStart,11)&gt;0,$E5235&lt;INDEX(DarlTilgStart,11))),0,MIN(MAX(0,$K5235-$L5235),$J5235)))</f>
      </c>
      <c r="N5235" s="43">
        <f>IF($I5235=0,0,MIN(SUMIFS(SondBetrag,SondDarl,11,SondDatum,"&gt;="&amp;$E5235,SondDatum,"&lt;="&amp;EOMONTH($E5235,0)),$J5235-$M5235))</f>
      </c>
      <c r="O5235" s="43">
        <f>IF($I5235=0,0,INDEX(DarlErsatzRate,11))</f>
      </c>
      <c r="P5235" s="43">
        <f>IF($I5235=0,0,$Q5234*INDEX(DarlErsatzZins,11))</f>
      </c>
      <c r="Q5235" s="43">
        <f>IF($I5235=0,0,$Q5234+$P5235+$O5235)</f>
      </c>
      <c r="R5235" s="43">
        <f>IF($I5235=0,0,$J5235-$M5235-$N5235)</f>
      </c>
    </row>
    <row r="5236">
      <c r="A5236"/>
      <c r="B5236">
        <v>11</v>
      </c>
      <c r="C5236" s="43">
        <f>INDEX(DarlObj,11)</f>
      </c>
      <c r="D5236">
        <v>433</v>
      </c>
      <c r="E5236" s="51">
        <f>IF(INDEX(DarlBelegt,11)=0,0,EOMONTH(INDEX(DarlAuszahlung,11),432)+1)</f>
      </c>
      <c r="F5236" s="43">
        <f>IF($E5236=0,0,YEAR($E5236))</f>
      </c>
      <c r="G5236" s="43">
        <f>IF(INDEX(DarlBindung,11)="",1,IF($E5236&lt;=INDEX(DarlBindung,11),1,0))</f>
      </c>
      <c r="H5236" s="43">
        <f>IF($G5236=1,INDEX(DarlSollzins,11),INDEX(DarlAnschluss,11))</f>
      </c>
      <c r="I5236" s="43">
        <f>IF(INDEX(DarlBelegt,11)=0,0,IF(INDEX(DarlOhneTilgung,11)=1,IF(INDEX(DarlBindung,11)="",1,$G5236),IF($J5236&gt;0.005,1,0)))</f>
      </c>
      <c r="J5236" s="43">
        <f>IF($I5235=0,0,$R5235)</f>
      </c>
      <c r="K5236" s="43">
        <f>IF($I5236=0,0,IF(INDEX(DarlOhneTilgung,11)=1,0,IF(AND(INDEX(DarlTilgStart,11)&gt;0,$E5236=INDEX(DarlTilgStart,11)),$J5236*($H5236+INDEX(DarlTilgung,11))/100/12,IF(AND($G5236=0,$G5235=1),MAX($K5235,$J5236*($H5236+1)/100/12),$K5235))))</f>
      </c>
      <c r="L5236" s="43">
        <f>IF($I5236=0,0,$J5236*$H5236/100/12)</f>
      </c>
      <c r="M5236" s="43">
        <f>IF($I5236=0,0,IF(OR(INDEX(DarlOhneTilgung,11)=1,AND(INDEX(DarlTilgStart,11)&gt;0,$E5236&lt;INDEX(DarlTilgStart,11))),0,MIN(MAX(0,$K5236-$L5236),$J5236)))</f>
      </c>
      <c r="N5236" s="43">
        <f>IF($I5236=0,0,MIN(SUMIFS(SondBetrag,SondDarl,11,SondDatum,"&gt;="&amp;$E5236,SondDatum,"&lt;="&amp;EOMONTH($E5236,0)),$J5236-$M5236))</f>
      </c>
      <c r="O5236" s="43">
        <f>IF($I5236=0,0,INDEX(DarlErsatzRate,11))</f>
      </c>
      <c r="P5236" s="43">
        <f>IF($I5236=0,0,$Q5235*INDEX(DarlErsatzZins,11))</f>
      </c>
      <c r="Q5236" s="43">
        <f>IF($I5236=0,0,$Q5235+$P5236+$O5236)</f>
      </c>
      <c r="R5236" s="43">
        <f>IF($I5236=0,0,$J5236-$M5236-$N5236)</f>
      </c>
    </row>
    <row r="5237">
      <c r="A5237"/>
      <c r="B5237">
        <v>11</v>
      </c>
      <c r="C5237" s="43">
        <f>INDEX(DarlObj,11)</f>
      </c>
      <c r="D5237">
        <v>434</v>
      </c>
      <c r="E5237" s="51">
        <f>IF(INDEX(DarlBelegt,11)=0,0,EOMONTH(INDEX(DarlAuszahlung,11),433)+1)</f>
      </c>
      <c r="F5237" s="43">
        <f>IF($E5237=0,0,YEAR($E5237))</f>
      </c>
      <c r="G5237" s="43">
        <f>IF(INDEX(DarlBindung,11)="",1,IF($E5237&lt;=INDEX(DarlBindung,11),1,0))</f>
      </c>
      <c r="H5237" s="43">
        <f>IF($G5237=1,INDEX(DarlSollzins,11),INDEX(DarlAnschluss,11))</f>
      </c>
      <c r="I5237" s="43">
        <f>IF(INDEX(DarlBelegt,11)=0,0,IF(INDEX(DarlOhneTilgung,11)=1,IF(INDEX(DarlBindung,11)="",1,$G5237),IF($J5237&gt;0.005,1,0)))</f>
      </c>
      <c r="J5237" s="43">
        <f>IF($I5236=0,0,$R5236)</f>
      </c>
      <c r="K5237" s="43">
        <f>IF($I5237=0,0,IF(INDEX(DarlOhneTilgung,11)=1,0,IF(AND(INDEX(DarlTilgStart,11)&gt;0,$E5237=INDEX(DarlTilgStart,11)),$J5237*($H5237+INDEX(DarlTilgung,11))/100/12,IF(AND($G5237=0,$G5236=1),MAX($K5236,$J5237*($H5237+1)/100/12),$K5236))))</f>
      </c>
      <c r="L5237" s="43">
        <f>IF($I5237=0,0,$J5237*$H5237/100/12)</f>
      </c>
      <c r="M5237" s="43">
        <f>IF($I5237=0,0,IF(OR(INDEX(DarlOhneTilgung,11)=1,AND(INDEX(DarlTilgStart,11)&gt;0,$E5237&lt;INDEX(DarlTilgStart,11))),0,MIN(MAX(0,$K5237-$L5237),$J5237)))</f>
      </c>
      <c r="N5237" s="43">
        <f>IF($I5237=0,0,MIN(SUMIFS(SondBetrag,SondDarl,11,SondDatum,"&gt;="&amp;$E5237,SondDatum,"&lt;="&amp;EOMONTH($E5237,0)),$J5237-$M5237))</f>
      </c>
      <c r="O5237" s="43">
        <f>IF($I5237=0,0,INDEX(DarlErsatzRate,11))</f>
      </c>
      <c r="P5237" s="43">
        <f>IF($I5237=0,0,$Q5236*INDEX(DarlErsatzZins,11))</f>
      </c>
      <c r="Q5237" s="43">
        <f>IF($I5237=0,0,$Q5236+$P5237+$O5237)</f>
      </c>
      <c r="R5237" s="43">
        <f>IF($I5237=0,0,$J5237-$M5237-$N5237)</f>
      </c>
    </row>
    <row r="5238">
      <c r="A5238"/>
      <c r="B5238">
        <v>11</v>
      </c>
      <c r="C5238" s="43">
        <f>INDEX(DarlObj,11)</f>
      </c>
      <c r="D5238">
        <v>435</v>
      </c>
      <c r="E5238" s="51">
        <f>IF(INDEX(DarlBelegt,11)=0,0,EOMONTH(INDEX(DarlAuszahlung,11),434)+1)</f>
      </c>
      <c r="F5238" s="43">
        <f>IF($E5238=0,0,YEAR($E5238))</f>
      </c>
      <c r="G5238" s="43">
        <f>IF(INDEX(DarlBindung,11)="",1,IF($E5238&lt;=INDEX(DarlBindung,11),1,0))</f>
      </c>
      <c r="H5238" s="43">
        <f>IF($G5238=1,INDEX(DarlSollzins,11),INDEX(DarlAnschluss,11))</f>
      </c>
      <c r="I5238" s="43">
        <f>IF(INDEX(DarlBelegt,11)=0,0,IF(INDEX(DarlOhneTilgung,11)=1,IF(INDEX(DarlBindung,11)="",1,$G5238),IF($J5238&gt;0.005,1,0)))</f>
      </c>
      <c r="J5238" s="43">
        <f>IF($I5237=0,0,$R5237)</f>
      </c>
      <c r="K5238" s="43">
        <f>IF($I5238=0,0,IF(INDEX(DarlOhneTilgung,11)=1,0,IF(AND(INDEX(DarlTilgStart,11)&gt;0,$E5238=INDEX(DarlTilgStart,11)),$J5238*($H5238+INDEX(DarlTilgung,11))/100/12,IF(AND($G5238=0,$G5237=1),MAX($K5237,$J5238*($H5238+1)/100/12),$K5237))))</f>
      </c>
      <c r="L5238" s="43">
        <f>IF($I5238=0,0,$J5238*$H5238/100/12)</f>
      </c>
      <c r="M5238" s="43">
        <f>IF($I5238=0,0,IF(OR(INDEX(DarlOhneTilgung,11)=1,AND(INDEX(DarlTilgStart,11)&gt;0,$E5238&lt;INDEX(DarlTilgStart,11))),0,MIN(MAX(0,$K5238-$L5238),$J5238)))</f>
      </c>
      <c r="N5238" s="43">
        <f>IF($I5238=0,0,MIN(SUMIFS(SondBetrag,SondDarl,11,SondDatum,"&gt;="&amp;$E5238,SondDatum,"&lt;="&amp;EOMONTH($E5238,0)),$J5238-$M5238))</f>
      </c>
      <c r="O5238" s="43">
        <f>IF($I5238=0,0,INDEX(DarlErsatzRate,11))</f>
      </c>
      <c r="P5238" s="43">
        <f>IF($I5238=0,0,$Q5237*INDEX(DarlErsatzZins,11))</f>
      </c>
      <c r="Q5238" s="43">
        <f>IF($I5238=0,0,$Q5237+$P5238+$O5238)</f>
      </c>
      <c r="R5238" s="43">
        <f>IF($I5238=0,0,$J5238-$M5238-$N5238)</f>
      </c>
    </row>
    <row r="5239">
      <c r="A5239"/>
      <c r="B5239">
        <v>11</v>
      </c>
      <c r="C5239" s="43">
        <f>INDEX(DarlObj,11)</f>
      </c>
      <c r="D5239">
        <v>436</v>
      </c>
      <c r="E5239" s="51">
        <f>IF(INDEX(DarlBelegt,11)=0,0,EOMONTH(INDEX(DarlAuszahlung,11),435)+1)</f>
      </c>
      <c r="F5239" s="43">
        <f>IF($E5239=0,0,YEAR($E5239))</f>
      </c>
      <c r="G5239" s="43">
        <f>IF(INDEX(DarlBindung,11)="",1,IF($E5239&lt;=INDEX(DarlBindung,11),1,0))</f>
      </c>
      <c r="H5239" s="43">
        <f>IF($G5239=1,INDEX(DarlSollzins,11),INDEX(DarlAnschluss,11))</f>
      </c>
      <c r="I5239" s="43">
        <f>IF(INDEX(DarlBelegt,11)=0,0,IF(INDEX(DarlOhneTilgung,11)=1,IF(INDEX(DarlBindung,11)="",1,$G5239),IF($J5239&gt;0.005,1,0)))</f>
      </c>
      <c r="J5239" s="43">
        <f>IF($I5238=0,0,$R5238)</f>
      </c>
      <c r="K5239" s="43">
        <f>IF($I5239=0,0,IF(INDEX(DarlOhneTilgung,11)=1,0,IF(AND(INDEX(DarlTilgStart,11)&gt;0,$E5239=INDEX(DarlTilgStart,11)),$J5239*($H5239+INDEX(DarlTilgung,11))/100/12,IF(AND($G5239=0,$G5238=1),MAX($K5238,$J5239*($H5239+1)/100/12),$K5238))))</f>
      </c>
      <c r="L5239" s="43">
        <f>IF($I5239=0,0,$J5239*$H5239/100/12)</f>
      </c>
      <c r="M5239" s="43">
        <f>IF($I5239=0,0,IF(OR(INDEX(DarlOhneTilgung,11)=1,AND(INDEX(DarlTilgStart,11)&gt;0,$E5239&lt;INDEX(DarlTilgStart,11))),0,MIN(MAX(0,$K5239-$L5239),$J5239)))</f>
      </c>
      <c r="N5239" s="43">
        <f>IF($I5239=0,0,MIN(SUMIFS(SondBetrag,SondDarl,11,SondDatum,"&gt;="&amp;$E5239,SondDatum,"&lt;="&amp;EOMONTH($E5239,0)),$J5239-$M5239))</f>
      </c>
      <c r="O5239" s="43">
        <f>IF($I5239=0,0,INDEX(DarlErsatzRate,11))</f>
      </c>
      <c r="P5239" s="43">
        <f>IF($I5239=0,0,$Q5238*INDEX(DarlErsatzZins,11))</f>
      </c>
      <c r="Q5239" s="43">
        <f>IF($I5239=0,0,$Q5238+$P5239+$O5239)</f>
      </c>
      <c r="R5239" s="43">
        <f>IF($I5239=0,0,$J5239-$M5239-$N5239)</f>
      </c>
    </row>
    <row r="5240">
      <c r="A5240"/>
      <c r="B5240">
        <v>11</v>
      </c>
      <c r="C5240" s="43">
        <f>INDEX(DarlObj,11)</f>
      </c>
      <c r="D5240">
        <v>437</v>
      </c>
      <c r="E5240" s="51">
        <f>IF(INDEX(DarlBelegt,11)=0,0,EOMONTH(INDEX(DarlAuszahlung,11),436)+1)</f>
      </c>
      <c r="F5240" s="43">
        <f>IF($E5240=0,0,YEAR($E5240))</f>
      </c>
      <c r="G5240" s="43">
        <f>IF(INDEX(DarlBindung,11)="",1,IF($E5240&lt;=INDEX(DarlBindung,11),1,0))</f>
      </c>
      <c r="H5240" s="43">
        <f>IF($G5240=1,INDEX(DarlSollzins,11),INDEX(DarlAnschluss,11))</f>
      </c>
      <c r="I5240" s="43">
        <f>IF(INDEX(DarlBelegt,11)=0,0,IF(INDEX(DarlOhneTilgung,11)=1,IF(INDEX(DarlBindung,11)="",1,$G5240),IF($J5240&gt;0.005,1,0)))</f>
      </c>
      <c r="J5240" s="43">
        <f>IF($I5239=0,0,$R5239)</f>
      </c>
      <c r="K5240" s="43">
        <f>IF($I5240=0,0,IF(INDEX(DarlOhneTilgung,11)=1,0,IF(AND(INDEX(DarlTilgStart,11)&gt;0,$E5240=INDEX(DarlTilgStart,11)),$J5240*($H5240+INDEX(DarlTilgung,11))/100/12,IF(AND($G5240=0,$G5239=1),MAX($K5239,$J5240*($H5240+1)/100/12),$K5239))))</f>
      </c>
      <c r="L5240" s="43">
        <f>IF($I5240=0,0,$J5240*$H5240/100/12)</f>
      </c>
      <c r="M5240" s="43">
        <f>IF($I5240=0,0,IF(OR(INDEX(DarlOhneTilgung,11)=1,AND(INDEX(DarlTilgStart,11)&gt;0,$E5240&lt;INDEX(DarlTilgStart,11))),0,MIN(MAX(0,$K5240-$L5240),$J5240)))</f>
      </c>
      <c r="N5240" s="43">
        <f>IF($I5240=0,0,MIN(SUMIFS(SondBetrag,SondDarl,11,SondDatum,"&gt;="&amp;$E5240,SondDatum,"&lt;="&amp;EOMONTH($E5240,0)),$J5240-$M5240))</f>
      </c>
      <c r="O5240" s="43">
        <f>IF($I5240=0,0,INDEX(DarlErsatzRate,11))</f>
      </c>
      <c r="P5240" s="43">
        <f>IF($I5240=0,0,$Q5239*INDEX(DarlErsatzZins,11))</f>
      </c>
      <c r="Q5240" s="43">
        <f>IF($I5240=0,0,$Q5239+$P5240+$O5240)</f>
      </c>
      <c r="R5240" s="43">
        <f>IF($I5240=0,0,$J5240-$M5240-$N5240)</f>
      </c>
    </row>
    <row r="5241">
      <c r="A5241"/>
      <c r="B5241">
        <v>11</v>
      </c>
      <c r="C5241" s="43">
        <f>INDEX(DarlObj,11)</f>
      </c>
      <c r="D5241">
        <v>438</v>
      </c>
      <c r="E5241" s="51">
        <f>IF(INDEX(DarlBelegt,11)=0,0,EOMONTH(INDEX(DarlAuszahlung,11),437)+1)</f>
      </c>
      <c r="F5241" s="43">
        <f>IF($E5241=0,0,YEAR($E5241))</f>
      </c>
      <c r="G5241" s="43">
        <f>IF(INDEX(DarlBindung,11)="",1,IF($E5241&lt;=INDEX(DarlBindung,11),1,0))</f>
      </c>
      <c r="H5241" s="43">
        <f>IF($G5241=1,INDEX(DarlSollzins,11),INDEX(DarlAnschluss,11))</f>
      </c>
      <c r="I5241" s="43">
        <f>IF(INDEX(DarlBelegt,11)=0,0,IF(INDEX(DarlOhneTilgung,11)=1,IF(INDEX(DarlBindung,11)="",1,$G5241),IF($J5241&gt;0.005,1,0)))</f>
      </c>
      <c r="J5241" s="43">
        <f>IF($I5240=0,0,$R5240)</f>
      </c>
      <c r="K5241" s="43">
        <f>IF($I5241=0,0,IF(INDEX(DarlOhneTilgung,11)=1,0,IF(AND(INDEX(DarlTilgStart,11)&gt;0,$E5241=INDEX(DarlTilgStart,11)),$J5241*($H5241+INDEX(DarlTilgung,11))/100/12,IF(AND($G5241=0,$G5240=1),MAX($K5240,$J5241*($H5241+1)/100/12),$K5240))))</f>
      </c>
      <c r="L5241" s="43">
        <f>IF($I5241=0,0,$J5241*$H5241/100/12)</f>
      </c>
      <c r="M5241" s="43">
        <f>IF($I5241=0,0,IF(OR(INDEX(DarlOhneTilgung,11)=1,AND(INDEX(DarlTilgStart,11)&gt;0,$E5241&lt;INDEX(DarlTilgStart,11))),0,MIN(MAX(0,$K5241-$L5241),$J5241)))</f>
      </c>
      <c r="N5241" s="43">
        <f>IF($I5241=0,0,MIN(SUMIFS(SondBetrag,SondDarl,11,SondDatum,"&gt;="&amp;$E5241,SondDatum,"&lt;="&amp;EOMONTH($E5241,0)),$J5241-$M5241))</f>
      </c>
      <c r="O5241" s="43">
        <f>IF($I5241=0,0,INDEX(DarlErsatzRate,11))</f>
      </c>
      <c r="P5241" s="43">
        <f>IF($I5241=0,0,$Q5240*INDEX(DarlErsatzZins,11))</f>
      </c>
      <c r="Q5241" s="43">
        <f>IF($I5241=0,0,$Q5240+$P5241+$O5241)</f>
      </c>
      <c r="R5241" s="43">
        <f>IF($I5241=0,0,$J5241-$M5241-$N5241)</f>
      </c>
    </row>
    <row r="5242">
      <c r="A5242"/>
      <c r="B5242">
        <v>11</v>
      </c>
      <c r="C5242" s="43">
        <f>INDEX(DarlObj,11)</f>
      </c>
      <c r="D5242">
        <v>439</v>
      </c>
      <c r="E5242" s="51">
        <f>IF(INDEX(DarlBelegt,11)=0,0,EOMONTH(INDEX(DarlAuszahlung,11),438)+1)</f>
      </c>
      <c r="F5242" s="43">
        <f>IF($E5242=0,0,YEAR($E5242))</f>
      </c>
      <c r="G5242" s="43">
        <f>IF(INDEX(DarlBindung,11)="",1,IF($E5242&lt;=INDEX(DarlBindung,11),1,0))</f>
      </c>
      <c r="H5242" s="43">
        <f>IF($G5242=1,INDEX(DarlSollzins,11),INDEX(DarlAnschluss,11))</f>
      </c>
      <c r="I5242" s="43">
        <f>IF(INDEX(DarlBelegt,11)=0,0,IF(INDEX(DarlOhneTilgung,11)=1,IF(INDEX(DarlBindung,11)="",1,$G5242),IF($J5242&gt;0.005,1,0)))</f>
      </c>
      <c r="J5242" s="43">
        <f>IF($I5241=0,0,$R5241)</f>
      </c>
      <c r="K5242" s="43">
        <f>IF($I5242=0,0,IF(INDEX(DarlOhneTilgung,11)=1,0,IF(AND(INDEX(DarlTilgStart,11)&gt;0,$E5242=INDEX(DarlTilgStart,11)),$J5242*($H5242+INDEX(DarlTilgung,11))/100/12,IF(AND($G5242=0,$G5241=1),MAX($K5241,$J5242*($H5242+1)/100/12),$K5241))))</f>
      </c>
      <c r="L5242" s="43">
        <f>IF($I5242=0,0,$J5242*$H5242/100/12)</f>
      </c>
      <c r="M5242" s="43">
        <f>IF($I5242=0,0,IF(OR(INDEX(DarlOhneTilgung,11)=1,AND(INDEX(DarlTilgStart,11)&gt;0,$E5242&lt;INDEX(DarlTilgStart,11))),0,MIN(MAX(0,$K5242-$L5242),$J5242)))</f>
      </c>
      <c r="N5242" s="43">
        <f>IF($I5242=0,0,MIN(SUMIFS(SondBetrag,SondDarl,11,SondDatum,"&gt;="&amp;$E5242,SondDatum,"&lt;="&amp;EOMONTH($E5242,0)),$J5242-$M5242))</f>
      </c>
      <c r="O5242" s="43">
        <f>IF($I5242=0,0,INDEX(DarlErsatzRate,11))</f>
      </c>
      <c r="P5242" s="43">
        <f>IF($I5242=0,0,$Q5241*INDEX(DarlErsatzZins,11))</f>
      </c>
      <c r="Q5242" s="43">
        <f>IF($I5242=0,0,$Q5241+$P5242+$O5242)</f>
      </c>
      <c r="R5242" s="43">
        <f>IF($I5242=0,0,$J5242-$M5242-$N5242)</f>
      </c>
    </row>
    <row r="5243">
      <c r="A5243"/>
      <c r="B5243">
        <v>11</v>
      </c>
      <c r="C5243" s="43">
        <f>INDEX(DarlObj,11)</f>
      </c>
      <c r="D5243">
        <v>440</v>
      </c>
      <c r="E5243" s="51">
        <f>IF(INDEX(DarlBelegt,11)=0,0,EOMONTH(INDEX(DarlAuszahlung,11),439)+1)</f>
      </c>
      <c r="F5243" s="43">
        <f>IF($E5243=0,0,YEAR($E5243))</f>
      </c>
      <c r="G5243" s="43">
        <f>IF(INDEX(DarlBindung,11)="",1,IF($E5243&lt;=INDEX(DarlBindung,11),1,0))</f>
      </c>
      <c r="H5243" s="43">
        <f>IF($G5243=1,INDEX(DarlSollzins,11),INDEX(DarlAnschluss,11))</f>
      </c>
      <c r="I5243" s="43">
        <f>IF(INDEX(DarlBelegt,11)=0,0,IF(INDEX(DarlOhneTilgung,11)=1,IF(INDEX(DarlBindung,11)="",1,$G5243),IF($J5243&gt;0.005,1,0)))</f>
      </c>
      <c r="J5243" s="43">
        <f>IF($I5242=0,0,$R5242)</f>
      </c>
      <c r="K5243" s="43">
        <f>IF($I5243=0,0,IF(INDEX(DarlOhneTilgung,11)=1,0,IF(AND(INDEX(DarlTilgStart,11)&gt;0,$E5243=INDEX(DarlTilgStart,11)),$J5243*($H5243+INDEX(DarlTilgung,11))/100/12,IF(AND($G5243=0,$G5242=1),MAX($K5242,$J5243*($H5243+1)/100/12),$K5242))))</f>
      </c>
      <c r="L5243" s="43">
        <f>IF($I5243=0,0,$J5243*$H5243/100/12)</f>
      </c>
      <c r="M5243" s="43">
        <f>IF($I5243=0,0,IF(OR(INDEX(DarlOhneTilgung,11)=1,AND(INDEX(DarlTilgStart,11)&gt;0,$E5243&lt;INDEX(DarlTilgStart,11))),0,MIN(MAX(0,$K5243-$L5243),$J5243)))</f>
      </c>
      <c r="N5243" s="43">
        <f>IF($I5243=0,0,MIN(SUMIFS(SondBetrag,SondDarl,11,SondDatum,"&gt;="&amp;$E5243,SondDatum,"&lt;="&amp;EOMONTH($E5243,0)),$J5243-$M5243))</f>
      </c>
      <c r="O5243" s="43">
        <f>IF($I5243=0,0,INDEX(DarlErsatzRate,11))</f>
      </c>
      <c r="P5243" s="43">
        <f>IF($I5243=0,0,$Q5242*INDEX(DarlErsatzZins,11))</f>
      </c>
      <c r="Q5243" s="43">
        <f>IF($I5243=0,0,$Q5242+$P5243+$O5243)</f>
      </c>
      <c r="R5243" s="43">
        <f>IF($I5243=0,0,$J5243-$M5243-$N5243)</f>
      </c>
    </row>
    <row r="5244">
      <c r="A5244"/>
      <c r="B5244">
        <v>11</v>
      </c>
      <c r="C5244" s="43">
        <f>INDEX(DarlObj,11)</f>
      </c>
      <c r="D5244">
        <v>441</v>
      </c>
      <c r="E5244" s="51">
        <f>IF(INDEX(DarlBelegt,11)=0,0,EOMONTH(INDEX(DarlAuszahlung,11),440)+1)</f>
      </c>
      <c r="F5244" s="43">
        <f>IF($E5244=0,0,YEAR($E5244))</f>
      </c>
      <c r="G5244" s="43">
        <f>IF(INDEX(DarlBindung,11)="",1,IF($E5244&lt;=INDEX(DarlBindung,11),1,0))</f>
      </c>
      <c r="H5244" s="43">
        <f>IF($G5244=1,INDEX(DarlSollzins,11),INDEX(DarlAnschluss,11))</f>
      </c>
      <c r="I5244" s="43">
        <f>IF(INDEX(DarlBelegt,11)=0,0,IF(INDEX(DarlOhneTilgung,11)=1,IF(INDEX(DarlBindung,11)="",1,$G5244),IF($J5244&gt;0.005,1,0)))</f>
      </c>
      <c r="J5244" s="43">
        <f>IF($I5243=0,0,$R5243)</f>
      </c>
      <c r="K5244" s="43">
        <f>IF($I5244=0,0,IF(INDEX(DarlOhneTilgung,11)=1,0,IF(AND(INDEX(DarlTilgStart,11)&gt;0,$E5244=INDEX(DarlTilgStart,11)),$J5244*($H5244+INDEX(DarlTilgung,11))/100/12,IF(AND($G5244=0,$G5243=1),MAX($K5243,$J5244*($H5244+1)/100/12),$K5243))))</f>
      </c>
      <c r="L5244" s="43">
        <f>IF($I5244=0,0,$J5244*$H5244/100/12)</f>
      </c>
      <c r="M5244" s="43">
        <f>IF($I5244=0,0,IF(OR(INDEX(DarlOhneTilgung,11)=1,AND(INDEX(DarlTilgStart,11)&gt;0,$E5244&lt;INDEX(DarlTilgStart,11))),0,MIN(MAX(0,$K5244-$L5244),$J5244)))</f>
      </c>
      <c r="N5244" s="43">
        <f>IF($I5244=0,0,MIN(SUMIFS(SondBetrag,SondDarl,11,SondDatum,"&gt;="&amp;$E5244,SondDatum,"&lt;="&amp;EOMONTH($E5244,0)),$J5244-$M5244))</f>
      </c>
      <c r="O5244" s="43">
        <f>IF($I5244=0,0,INDEX(DarlErsatzRate,11))</f>
      </c>
      <c r="P5244" s="43">
        <f>IF($I5244=0,0,$Q5243*INDEX(DarlErsatzZins,11))</f>
      </c>
      <c r="Q5244" s="43">
        <f>IF($I5244=0,0,$Q5243+$P5244+$O5244)</f>
      </c>
      <c r="R5244" s="43">
        <f>IF($I5244=0,0,$J5244-$M5244-$N5244)</f>
      </c>
    </row>
    <row r="5245">
      <c r="A5245"/>
      <c r="B5245">
        <v>11</v>
      </c>
      <c r="C5245" s="43">
        <f>INDEX(DarlObj,11)</f>
      </c>
      <c r="D5245">
        <v>442</v>
      </c>
      <c r="E5245" s="51">
        <f>IF(INDEX(DarlBelegt,11)=0,0,EOMONTH(INDEX(DarlAuszahlung,11),441)+1)</f>
      </c>
      <c r="F5245" s="43">
        <f>IF($E5245=0,0,YEAR($E5245))</f>
      </c>
      <c r="G5245" s="43">
        <f>IF(INDEX(DarlBindung,11)="",1,IF($E5245&lt;=INDEX(DarlBindung,11),1,0))</f>
      </c>
      <c r="H5245" s="43">
        <f>IF($G5245=1,INDEX(DarlSollzins,11),INDEX(DarlAnschluss,11))</f>
      </c>
      <c r="I5245" s="43">
        <f>IF(INDEX(DarlBelegt,11)=0,0,IF(INDEX(DarlOhneTilgung,11)=1,IF(INDEX(DarlBindung,11)="",1,$G5245),IF($J5245&gt;0.005,1,0)))</f>
      </c>
      <c r="J5245" s="43">
        <f>IF($I5244=0,0,$R5244)</f>
      </c>
      <c r="K5245" s="43">
        <f>IF($I5245=0,0,IF(INDEX(DarlOhneTilgung,11)=1,0,IF(AND(INDEX(DarlTilgStart,11)&gt;0,$E5245=INDEX(DarlTilgStart,11)),$J5245*($H5245+INDEX(DarlTilgung,11))/100/12,IF(AND($G5245=0,$G5244=1),MAX($K5244,$J5245*($H5245+1)/100/12),$K5244))))</f>
      </c>
      <c r="L5245" s="43">
        <f>IF($I5245=0,0,$J5245*$H5245/100/12)</f>
      </c>
      <c r="M5245" s="43">
        <f>IF($I5245=0,0,IF(OR(INDEX(DarlOhneTilgung,11)=1,AND(INDEX(DarlTilgStart,11)&gt;0,$E5245&lt;INDEX(DarlTilgStart,11))),0,MIN(MAX(0,$K5245-$L5245),$J5245)))</f>
      </c>
      <c r="N5245" s="43">
        <f>IF($I5245=0,0,MIN(SUMIFS(SondBetrag,SondDarl,11,SondDatum,"&gt;="&amp;$E5245,SondDatum,"&lt;="&amp;EOMONTH($E5245,0)),$J5245-$M5245))</f>
      </c>
      <c r="O5245" s="43">
        <f>IF($I5245=0,0,INDEX(DarlErsatzRate,11))</f>
      </c>
      <c r="P5245" s="43">
        <f>IF($I5245=0,0,$Q5244*INDEX(DarlErsatzZins,11))</f>
      </c>
      <c r="Q5245" s="43">
        <f>IF($I5245=0,0,$Q5244+$P5245+$O5245)</f>
      </c>
      <c r="R5245" s="43">
        <f>IF($I5245=0,0,$J5245-$M5245-$N5245)</f>
      </c>
    </row>
    <row r="5246">
      <c r="A5246"/>
      <c r="B5246">
        <v>11</v>
      </c>
      <c r="C5246" s="43">
        <f>INDEX(DarlObj,11)</f>
      </c>
      <c r="D5246">
        <v>443</v>
      </c>
      <c r="E5246" s="51">
        <f>IF(INDEX(DarlBelegt,11)=0,0,EOMONTH(INDEX(DarlAuszahlung,11),442)+1)</f>
      </c>
      <c r="F5246" s="43">
        <f>IF($E5246=0,0,YEAR($E5246))</f>
      </c>
      <c r="G5246" s="43">
        <f>IF(INDEX(DarlBindung,11)="",1,IF($E5246&lt;=INDEX(DarlBindung,11),1,0))</f>
      </c>
      <c r="H5246" s="43">
        <f>IF($G5246=1,INDEX(DarlSollzins,11),INDEX(DarlAnschluss,11))</f>
      </c>
      <c r="I5246" s="43">
        <f>IF(INDEX(DarlBelegt,11)=0,0,IF(INDEX(DarlOhneTilgung,11)=1,IF(INDEX(DarlBindung,11)="",1,$G5246),IF($J5246&gt;0.005,1,0)))</f>
      </c>
      <c r="J5246" s="43">
        <f>IF($I5245=0,0,$R5245)</f>
      </c>
      <c r="K5246" s="43">
        <f>IF($I5246=0,0,IF(INDEX(DarlOhneTilgung,11)=1,0,IF(AND(INDEX(DarlTilgStart,11)&gt;0,$E5246=INDEX(DarlTilgStart,11)),$J5246*($H5246+INDEX(DarlTilgung,11))/100/12,IF(AND($G5246=0,$G5245=1),MAX($K5245,$J5246*($H5246+1)/100/12),$K5245))))</f>
      </c>
      <c r="L5246" s="43">
        <f>IF($I5246=0,0,$J5246*$H5246/100/12)</f>
      </c>
      <c r="M5246" s="43">
        <f>IF($I5246=0,0,IF(OR(INDEX(DarlOhneTilgung,11)=1,AND(INDEX(DarlTilgStart,11)&gt;0,$E5246&lt;INDEX(DarlTilgStart,11))),0,MIN(MAX(0,$K5246-$L5246),$J5246)))</f>
      </c>
      <c r="N5246" s="43">
        <f>IF($I5246=0,0,MIN(SUMIFS(SondBetrag,SondDarl,11,SondDatum,"&gt;="&amp;$E5246,SondDatum,"&lt;="&amp;EOMONTH($E5246,0)),$J5246-$M5246))</f>
      </c>
      <c r="O5246" s="43">
        <f>IF($I5246=0,0,INDEX(DarlErsatzRate,11))</f>
      </c>
      <c r="P5246" s="43">
        <f>IF($I5246=0,0,$Q5245*INDEX(DarlErsatzZins,11))</f>
      </c>
      <c r="Q5246" s="43">
        <f>IF($I5246=0,0,$Q5245+$P5246+$O5246)</f>
      </c>
      <c r="R5246" s="43">
        <f>IF($I5246=0,0,$J5246-$M5246-$N5246)</f>
      </c>
    </row>
    <row r="5247">
      <c r="A5247"/>
      <c r="B5247">
        <v>11</v>
      </c>
      <c r="C5247" s="43">
        <f>INDEX(DarlObj,11)</f>
      </c>
      <c r="D5247">
        <v>444</v>
      </c>
      <c r="E5247" s="51">
        <f>IF(INDEX(DarlBelegt,11)=0,0,EOMONTH(INDEX(DarlAuszahlung,11),443)+1)</f>
      </c>
      <c r="F5247" s="43">
        <f>IF($E5247=0,0,YEAR($E5247))</f>
      </c>
      <c r="G5247" s="43">
        <f>IF(INDEX(DarlBindung,11)="",1,IF($E5247&lt;=INDEX(DarlBindung,11),1,0))</f>
      </c>
      <c r="H5247" s="43">
        <f>IF($G5247=1,INDEX(DarlSollzins,11),INDEX(DarlAnschluss,11))</f>
      </c>
      <c r="I5247" s="43">
        <f>IF(INDEX(DarlBelegt,11)=0,0,IF(INDEX(DarlOhneTilgung,11)=1,IF(INDEX(DarlBindung,11)="",1,$G5247),IF($J5247&gt;0.005,1,0)))</f>
      </c>
      <c r="J5247" s="43">
        <f>IF($I5246=0,0,$R5246)</f>
      </c>
      <c r="K5247" s="43">
        <f>IF($I5247=0,0,IF(INDEX(DarlOhneTilgung,11)=1,0,IF(AND(INDEX(DarlTilgStart,11)&gt;0,$E5247=INDEX(DarlTilgStart,11)),$J5247*($H5247+INDEX(DarlTilgung,11))/100/12,IF(AND($G5247=0,$G5246=1),MAX($K5246,$J5247*($H5247+1)/100/12),$K5246))))</f>
      </c>
      <c r="L5247" s="43">
        <f>IF($I5247=0,0,$J5247*$H5247/100/12)</f>
      </c>
      <c r="M5247" s="43">
        <f>IF($I5247=0,0,IF(OR(INDEX(DarlOhneTilgung,11)=1,AND(INDEX(DarlTilgStart,11)&gt;0,$E5247&lt;INDEX(DarlTilgStart,11))),0,MIN(MAX(0,$K5247-$L5247),$J5247)))</f>
      </c>
      <c r="N5247" s="43">
        <f>IF($I5247=0,0,MIN(SUMIFS(SondBetrag,SondDarl,11,SondDatum,"&gt;="&amp;$E5247,SondDatum,"&lt;="&amp;EOMONTH($E5247,0)),$J5247-$M5247))</f>
      </c>
      <c r="O5247" s="43">
        <f>IF($I5247=0,0,INDEX(DarlErsatzRate,11))</f>
      </c>
      <c r="P5247" s="43">
        <f>IF($I5247=0,0,$Q5246*INDEX(DarlErsatzZins,11))</f>
      </c>
      <c r="Q5247" s="43">
        <f>IF($I5247=0,0,$Q5246+$P5247+$O5247)</f>
      </c>
      <c r="R5247" s="43">
        <f>IF($I5247=0,0,$J5247-$M5247-$N5247)</f>
      </c>
    </row>
    <row r="5248">
      <c r="A5248"/>
      <c r="B5248">
        <v>11</v>
      </c>
      <c r="C5248" s="43">
        <f>INDEX(DarlObj,11)</f>
      </c>
      <c r="D5248">
        <v>445</v>
      </c>
      <c r="E5248" s="51">
        <f>IF(INDEX(DarlBelegt,11)=0,0,EOMONTH(INDEX(DarlAuszahlung,11),444)+1)</f>
      </c>
      <c r="F5248" s="43">
        <f>IF($E5248=0,0,YEAR($E5248))</f>
      </c>
      <c r="G5248" s="43">
        <f>IF(INDEX(DarlBindung,11)="",1,IF($E5248&lt;=INDEX(DarlBindung,11),1,0))</f>
      </c>
      <c r="H5248" s="43">
        <f>IF($G5248=1,INDEX(DarlSollzins,11),INDEX(DarlAnschluss,11))</f>
      </c>
      <c r="I5248" s="43">
        <f>IF(INDEX(DarlBelegt,11)=0,0,IF(INDEX(DarlOhneTilgung,11)=1,IF(INDEX(DarlBindung,11)="",1,$G5248),IF($J5248&gt;0.005,1,0)))</f>
      </c>
      <c r="J5248" s="43">
        <f>IF($I5247=0,0,$R5247)</f>
      </c>
      <c r="K5248" s="43">
        <f>IF($I5248=0,0,IF(INDEX(DarlOhneTilgung,11)=1,0,IF(AND(INDEX(DarlTilgStart,11)&gt;0,$E5248=INDEX(DarlTilgStart,11)),$J5248*($H5248+INDEX(DarlTilgung,11))/100/12,IF(AND($G5248=0,$G5247=1),MAX($K5247,$J5248*($H5248+1)/100/12),$K5247))))</f>
      </c>
      <c r="L5248" s="43">
        <f>IF($I5248=0,0,$J5248*$H5248/100/12)</f>
      </c>
      <c r="M5248" s="43">
        <f>IF($I5248=0,0,IF(OR(INDEX(DarlOhneTilgung,11)=1,AND(INDEX(DarlTilgStart,11)&gt;0,$E5248&lt;INDEX(DarlTilgStart,11))),0,MIN(MAX(0,$K5248-$L5248),$J5248)))</f>
      </c>
      <c r="N5248" s="43">
        <f>IF($I5248=0,0,MIN(SUMIFS(SondBetrag,SondDarl,11,SondDatum,"&gt;="&amp;$E5248,SondDatum,"&lt;="&amp;EOMONTH($E5248,0)),$J5248-$M5248))</f>
      </c>
      <c r="O5248" s="43">
        <f>IF($I5248=0,0,INDEX(DarlErsatzRate,11))</f>
      </c>
      <c r="P5248" s="43">
        <f>IF($I5248=0,0,$Q5247*INDEX(DarlErsatzZins,11))</f>
      </c>
      <c r="Q5248" s="43">
        <f>IF($I5248=0,0,$Q5247+$P5248+$O5248)</f>
      </c>
      <c r="R5248" s="43">
        <f>IF($I5248=0,0,$J5248-$M5248-$N5248)</f>
      </c>
    </row>
    <row r="5249">
      <c r="A5249"/>
      <c r="B5249">
        <v>11</v>
      </c>
      <c r="C5249" s="43">
        <f>INDEX(DarlObj,11)</f>
      </c>
      <c r="D5249">
        <v>446</v>
      </c>
      <c r="E5249" s="51">
        <f>IF(INDEX(DarlBelegt,11)=0,0,EOMONTH(INDEX(DarlAuszahlung,11),445)+1)</f>
      </c>
      <c r="F5249" s="43">
        <f>IF($E5249=0,0,YEAR($E5249))</f>
      </c>
      <c r="G5249" s="43">
        <f>IF(INDEX(DarlBindung,11)="",1,IF($E5249&lt;=INDEX(DarlBindung,11),1,0))</f>
      </c>
      <c r="H5249" s="43">
        <f>IF($G5249=1,INDEX(DarlSollzins,11),INDEX(DarlAnschluss,11))</f>
      </c>
      <c r="I5249" s="43">
        <f>IF(INDEX(DarlBelegt,11)=0,0,IF(INDEX(DarlOhneTilgung,11)=1,IF(INDEX(DarlBindung,11)="",1,$G5249),IF($J5249&gt;0.005,1,0)))</f>
      </c>
      <c r="J5249" s="43">
        <f>IF($I5248=0,0,$R5248)</f>
      </c>
      <c r="K5249" s="43">
        <f>IF($I5249=0,0,IF(INDEX(DarlOhneTilgung,11)=1,0,IF(AND(INDEX(DarlTilgStart,11)&gt;0,$E5249=INDEX(DarlTilgStart,11)),$J5249*($H5249+INDEX(DarlTilgung,11))/100/12,IF(AND($G5249=0,$G5248=1),MAX($K5248,$J5249*($H5249+1)/100/12),$K5248))))</f>
      </c>
      <c r="L5249" s="43">
        <f>IF($I5249=0,0,$J5249*$H5249/100/12)</f>
      </c>
      <c r="M5249" s="43">
        <f>IF($I5249=0,0,IF(OR(INDEX(DarlOhneTilgung,11)=1,AND(INDEX(DarlTilgStart,11)&gt;0,$E5249&lt;INDEX(DarlTilgStart,11))),0,MIN(MAX(0,$K5249-$L5249),$J5249)))</f>
      </c>
      <c r="N5249" s="43">
        <f>IF($I5249=0,0,MIN(SUMIFS(SondBetrag,SondDarl,11,SondDatum,"&gt;="&amp;$E5249,SondDatum,"&lt;="&amp;EOMONTH($E5249,0)),$J5249-$M5249))</f>
      </c>
      <c r="O5249" s="43">
        <f>IF($I5249=0,0,INDEX(DarlErsatzRate,11))</f>
      </c>
      <c r="P5249" s="43">
        <f>IF($I5249=0,0,$Q5248*INDEX(DarlErsatzZins,11))</f>
      </c>
      <c r="Q5249" s="43">
        <f>IF($I5249=0,0,$Q5248+$P5249+$O5249)</f>
      </c>
      <c r="R5249" s="43">
        <f>IF($I5249=0,0,$J5249-$M5249-$N5249)</f>
      </c>
    </row>
    <row r="5250">
      <c r="A5250"/>
      <c r="B5250">
        <v>11</v>
      </c>
      <c r="C5250" s="43">
        <f>INDEX(DarlObj,11)</f>
      </c>
      <c r="D5250">
        <v>447</v>
      </c>
      <c r="E5250" s="51">
        <f>IF(INDEX(DarlBelegt,11)=0,0,EOMONTH(INDEX(DarlAuszahlung,11),446)+1)</f>
      </c>
      <c r="F5250" s="43">
        <f>IF($E5250=0,0,YEAR($E5250))</f>
      </c>
      <c r="G5250" s="43">
        <f>IF(INDEX(DarlBindung,11)="",1,IF($E5250&lt;=INDEX(DarlBindung,11),1,0))</f>
      </c>
      <c r="H5250" s="43">
        <f>IF($G5250=1,INDEX(DarlSollzins,11),INDEX(DarlAnschluss,11))</f>
      </c>
      <c r="I5250" s="43">
        <f>IF(INDEX(DarlBelegt,11)=0,0,IF(INDEX(DarlOhneTilgung,11)=1,IF(INDEX(DarlBindung,11)="",1,$G5250),IF($J5250&gt;0.005,1,0)))</f>
      </c>
      <c r="J5250" s="43">
        <f>IF($I5249=0,0,$R5249)</f>
      </c>
      <c r="K5250" s="43">
        <f>IF($I5250=0,0,IF(INDEX(DarlOhneTilgung,11)=1,0,IF(AND(INDEX(DarlTilgStart,11)&gt;0,$E5250=INDEX(DarlTilgStart,11)),$J5250*($H5250+INDEX(DarlTilgung,11))/100/12,IF(AND($G5250=0,$G5249=1),MAX($K5249,$J5250*($H5250+1)/100/12),$K5249))))</f>
      </c>
      <c r="L5250" s="43">
        <f>IF($I5250=0,0,$J5250*$H5250/100/12)</f>
      </c>
      <c r="M5250" s="43">
        <f>IF($I5250=0,0,IF(OR(INDEX(DarlOhneTilgung,11)=1,AND(INDEX(DarlTilgStart,11)&gt;0,$E5250&lt;INDEX(DarlTilgStart,11))),0,MIN(MAX(0,$K5250-$L5250),$J5250)))</f>
      </c>
      <c r="N5250" s="43">
        <f>IF($I5250=0,0,MIN(SUMIFS(SondBetrag,SondDarl,11,SondDatum,"&gt;="&amp;$E5250,SondDatum,"&lt;="&amp;EOMONTH($E5250,0)),$J5250-$M5250))</f>
      </c>
      <c r="O5250" s="43">
        <f>IF($I5250=0,0,INDEX(DarlErsatzRate,11))</f>
      </c>
      <c r="P5250" s="43">
        <f>IF($I5250=0,0,$Q5249*INDEX(DarlErsatzZins,11))</f>
      </c>
      <c r="Q5250" s="43">
        <f>IF($I5250=0,0,$Q5249+$P5250+$O5250)</f>
      </c>
      <c r="R5250" s="43">
        <f>IF($I5250=0,0,$J5250-$M5250-$N5250)</f>
      </c>
    </row>
    <row r="5251">
      <c r="A5251"/>
      <c r="B5251">
        <v>11</v>
      </c>
      <c r="C5251" s="43">
        <f>INDEX(DarlObj,11)</f>
      </c>
      <c r="D5251">
        <v>448</v>
      </c>
      <c r="E5251" s="51">
        <f>IF(INDEX(DarlBelegt,11)=0,0,EOMONTH(INDEX(DarlAuszahlung,11),447)+1)</f>
      </c>
      <c r="F5251" s="43">
        <f>IF($E5251=0,0,YEAR($E5251))</f>
      </c>
      <c r="G5251" s="43">
        <f>IF(INDEX(DarlBindung,11)="",1,IF($E5251&lt;=INDEX(DarlBindung,11),1,0))</f>
      </c>
      <c r="H5251" s="43">
        <f>IF($G5251=1,INDEX(DarlSollzins,11),INDEX(DarlAnschluss,11))</f>
      </c>
      <c r="I5251" s="43">
        <f>IF(INDEX(DarlBelegt,11)=0,0,IF(INDEX(DarlOhneTilgung,11)=1,IF(INDEX(DarlBindung,11)="",1,$G5251),IF($J5251&gt;0.005,1,0)))</f>
      </c>
      <c r="J5251" s="43">
        <f>IF($I5250=0,0,$R5250)</f>
      </c>
      <c r="K5251" s="43">
        <f>IF($I5251=0,0,IF(INDEX(DarlOhneTilgung,11)=1,0,IF(AND(INDEX(DarlTilgStart,11)&gt;0,$E5251=INDEX(DarlTilgStart,11)),$J5251*($H5251+INDEX(DarlTilgung,11))/100/12,IF(AND($G5251=0,$G5250=1),MAX($K5250,$J5251*($H5251+1)/100/12),$K5250))))</f>
      </c>
      <c r="L5251" s="43">
        <f>IF($I5251=0,0,$J5251*$H5251/100/12)</f>
      </c>
      <c r="M5251" s="43">
        <f>IF($I5251=0,0,IF(OR(INDEX(DarlOhneTilgung,11)=1,AND(INDEX(DarlTilgStart,11)&gt;0,$E5251&lt;INDEX(DarlTilgStart,11))),0,MIN(MAX(0,$K5251-$L5251),$J5251)))</f>
      </c>
      <c r="N5251" s="43">
        <f>IF($I5251=0,0,MIN(SUMIFS(SondBetrag,SondDarl,11,SondDatum,"&gt;="&amp;$E5251,SondDatum,"&lt;="&amp;EOMONTH($E5251,0)),$J5251-$M5251))</f>
      </c>
      <c r="O5251" s="43">
        <f>IF($I5251=0,0,INDEX(DarlErsatzRate,11))</f>
      </c>
      <c r="P5251" s="43">
        <f>IF($I5251=0,0,$Q5250*INDEX(DarlErsatzZins,11))</f>
      </c>
      <c r="Q5251" s="43">
        <f>IF($I5251=0,0,$Q5250+$P5251+$O5251)</f>
      </c>
      <c r="R5251" s="43">
        <f>IF($I5251=0,0,$J5251-$M5251-$N5251)</f>
      </c>
    </row>
    <row r="5252">
      <c r="A5252"/>
      <c r="B5252">
        <v>11</v>
      </c>
      <c r="C5252" s="43">
        <f>INDEX(DarlObj,11)</f>
      </c>
      <c r="D5252">
        <v>449</v>
      </c>
      <c r="E5252" s="51">
        <f>IF(INDEX(DarlBelegt,11)=0,0,EOMONTH(INDEX(DarlAuszahlung,11),448)+1)</f>
      </c>
      <c r="F5252" s="43">
        <f>IF($E5252=0,0,YEAR($E5252))</f>
      </c>
      <c r="G5252" s="43">
        <f>IF(INDEX(DarlBindung,11)="",1,IF($E5252&lt;=INDEX(DarlBindung,11),1,0))</f>
      </c>
      <c r="H5252" s="43">
        <f>IF($G5252=1,INDEX(DarlSollzins,11),INDEX(DarlAnschluss,11))</f>
      </c>
      <c r="I5252" s="43">
        <f>IF(INDEX(DarlBelegt,11)=0,0,IF(INDEX(DarlOhneTilgung,11)=1,IF(INDEX(DarlBindung,11)="",1,$G5252),IF($J5252&gt;0.005,1,0)))</f>
      </c>
      <c r="J5252" s="43">
        <f>IF($I5251=0,0,$R5251)</f>
      </c>
      <c r="K5252" s="43">
        <f>IF($I5252=0,0,IF(INDEX(DarlOhneTilgung,11)=1,0,IF(AND(INDEX(DarlTilgStart,11)&gt;0,$E5252=INDEX(DarlTilgStart,11)),$J5252*($H5252+INDEX(DarlTilgung,11))/100/12,IF(AND($G5252=0,$G5251=1),MAX($K5251,$J5252*($H5252+1)/100/12),$K5251))))</f>
      </c>
      <c r="L5252" s="43">
        <f>IF($I5252=0,0,$J5252*$H5252/100/12)</f>
      </c>
      <c r="M5252" s="43">
        <f>IF($I5252=0,0,IF(OR(INDEX(DarlOhneTilgung,11)=1,AND(INDEX(DarlTilgStart,11)&gt;0,$E5252&lt;INDEX(DarlTilgStart,11))),0,MIN(MAX(0,$K5252-$L5252),$J5252)))</f>
      </c>
      <c r="N5252" s="43">
        <f>IF($I5252=0,0,MIN(SUMIFS(SondBetrag,SondDarl,11,SondDatum,"&gt;="&amp;$E5252,SondDatum,"&lt;="&amp;EOMONTH($E5252,0)),$J5252-$M5252))</f>
      </c>
      <c r="O5252" s="43">
        <f>IF($I5252=0,0,INDEX(DarlErsatzRate,11))</f>
      </c>
      <c r="P5252" s="43">
        <f>IF($I5252=0,0,$Q5251*INDEX(DarlErsatzZins,11))</f>
      </c>
      <c r="Q5252" s="43">
        <f>IF($I5252=0,0,$Q5251+$P5252+$O5252)</f>
      </c>
      <c r="R5252" s="43">
        <f>IF($I5252=0,0,$J5252-$M5252-$N5252)</f>
      </c>
    </row>
    <row r="5253">
      <c r="A5253"/>
      <c r="B5253">
        <v>11</v>
      </c>
      <c r="C5253" s="43">
        <f>INDEX(DarlObj,11)</f>
      </c>
      <c r="D5253">
        <v>450</v>
      </c>
      <c r="E5253" s="51">
        <f>IF(INDEX(DarlBelegt,11)=0,0,EOMONTH(INDEX(DarlAuszahlung,11),449)+1)</f>
      </c>
      <c r="F5253" s="43">
        <f>IF($E5253=0,0,YEAR($E5253))</f>
      </c>
      <c r="G5253" s="43">
        <f>IF(INDEX(DarlBindung,11)="",1,IF($E5253&lt;=INDEX(DarlBindung,11),1,0))</f>
      </c>
      <c r="H5253" s="43">
        <f>IF($G5253=1,INDEX(DarlSollzins,11),INDEX(DarlAnschluss,11))</f>
      </c>
      <c r="I5253" s="43">
        <f>IF(INDEX(DarlBelegt,11)=0,0,IF(INDEX(DarlOhneTilgung,11)=1,IF(INDEX(DarlBindung,11)="",1,$G5253),IF($J5253&gt;0.005,1,0)))</f>
      </c>
      <c r="J5253" s="43">
        <f>IF($I5252=0,0,$R5252)</f>
      </c>
      <c r="K5253" s="43">
        <f>IF($I5253=0,0,IF(INDEX(DarlOhneTilgung,11)=1,0,IF(AND(INDEX(DarlTilgStart,11)&gt;0,$E5253=INDEX(DarlTilgStart,11)),$J5253*($H5253+INDEX(DarlTilgung,11))/100/12,IF(AND($G5253=0,$G5252=1),MAX($K5252,$J5253*($H5253+1)/100/12),$K5252))))</f>
      </c>
      <c r="L5253" s="43">
        <f>IF($I5253=0,0,$J5253*$H5253/100/12)</f>
      </c>
      <c r="M5253" s="43">
        <f>IF($I5253=0,0,IF(OR(INDEX(DarlOhneTilgung,11)=1,AND(INDEX(DarlTilgStart,11)&gt;0,$E5253&lt;INDEX(DarlTilgStart,11))),0,MIN(MAX(0,$K5253-$L5253),$J5253)))</f>
      </c>
      <c r="N5253" s="43">
        <f>IF($I5253=0,0,MIN(SUMIFS(SondBetrag,SondDarl,11,SondDatum,"&gt;="&amp;$E5253,SondDatum,"&lt;="&amp;EOMONTH($E5253,0)),$J5253-$M5253))</f>
      </c>
      <c r="O5253" s="43">
        <f>IF($I5253=0,0,INDEX(DarlErsatzRate,11))</f>
      </c>
      <c r="P5253" s="43">
        <f>IF($I5253=0,0,$Q5252*INDEX(DarlErsatzZins,11))</f>
      </c>
      <c r="Q5253" s="43">
        <f>IF($I5253=0,0,$Q5252+$P5253+$O5253)</f>
      </c>
      <c r="R5253" s="43">
        <f>IF($I5253=0,0,$J5253-$M5253-$N5253)</f>
      </c>
    </row>
    <row r="5254">
      <c r="A5254"/>
      <c r="B5254">
        <v>11</v>
      </c>
      <c r="C5254" s="43">
        <f>INDEX(DarlObj,11)</f>
      </c>
      <c r="D5254">
        <v>451</v>
      </c>
      <c r="E5254" s="51">
        <f>IF(INDEX(DarlBelegt,11)=0,0,EOMONTH(INDEX(DarlAuszahlung,11),450)+1)</f>
      </c>
      <c r="F5254" s="43">
        <f>IF($E5254=0,0,YEAR($E5254))</f>
      </c>
      <c r="G5254" s="43">
        <f>IF(INDEX(DarlBindung,11)="",1,IF($E5254&lt;=INDEX(DarlBindung,11),1,0))</f>
      </c>
      <c r="H5254" s="43">
        <f>IF($G5254=1,INDEX(DarlSollzins,11),INDEX(DarlAnschluss,11))</f>
      </c>
      <c r="I5254" s="43">
        <f>IF(INDEX(DarlBelegt,11)=0,0,IF(INDEX(DarlOhneTilgung,11)=1,IF(INDEX(DarlBindung,11)="",1,$G5254),IF($J5254&gt;0.005,1,0)))</f>
      </c>
      <c r="J5254" s="43">
        <f>IF($I5253=0,0,$R5253)</f>
      </c>
      <c r="K5254" s="43">
        <f>IF($I5254=0,0,IF(INDEX(DarlOhneTilgung,11)=1,0,IF(AND(INDEX(DarlTilgStart,11)&gt;0,$E5254=INDEX(DarlTilgStart,11)),$J5254*($H5254+INDEX(DarlTilgung,11))/100/12,IF(AND($G5254=0,$G5253=1),MAX($K5253,$J5254*($H5254+1)/100/12),$K5253))))</f>
      </c>
      <c r="L5254" s="43">
        <f>IF($I5254=0,0,$J5254*$H5254/100/12)</f>
      </c>
      <c r="M5254" s="43">
        <f>IF($I5254=0,0,IF(OR(INDEX(DarlOhneTilgung,11)=1,AND(INDEX(DarlTilgStart,11)&gt;0,$E5254&lt;INDEX(DarlTilgStart,11))),0,MIN(MAX(0,$K5254-$L5254),$J5254)))</f>
      </c>
      <c r="N5254" s="43">
        <f>IF($I5254=0,0,MIN(SUMIFS(SondBetrag,SondDarl,11,SondDatum,"&gt;="&amp;$E5254,SondDatum,"&lt;="&amp;EOMONTH($E5254,0)),$J5254-$M5254))</f>
      </c>
      <c r="O5254" s="43">
        <f>IF($I5254=0,0,INDEX(DarlErsatzRate,11))</f>
      </c>
      <c r="P5254" s="43">
        <f>IF($I5254=0,0,$Q5253*INDEX(DarlErsatzZins,11))</f>
      </c>
      <c r="Q5254" s="43">
        <f>IF($I5254=0,0,$Q5253+$P5254+$O5254)</f>
      </c>
      <c r="R5254" s="43">
        <f>IF($I5254=0,0,$J5254-$M5254-$N5254)</f>
      </c>
    </row>
    <row r="5255">
      <c r="A5255"/>
      <c r="B5255">
        <v>11</v>
      </c>
      <c r="C5255" s="43">
        <f>INDEX(DarlObj,11)</f>
      </c>
      <c r="D5255">
        <v>452</v>
      </c>
      <c r="E5255" s="51">
        <f>IF(INDEX(DarlBelegt,11)=0,0,EOMONTH(INDEX(DarlAuszahlung,11),451)+1)</f>
      </c>
      <c r="F5255" s="43">
        <f>IF($E5255=0,0,YEAR($E5255))</f>
      </c>
      <c r="G5255" s="43">
        <f>IF(INDEX(DarlBindung,11)="",1,IF($E5255&lt;=INDEX(DarlBindung,11),1,0))</f>
      </c>
      <c r="H5255" s="43">
        <f>IF($G5255=1,INDEX(DarlSollzins,11),INDEX(DarlAnschluss,11))</f>
      </c>
      <c r="I5255" s="43">
        <f>IF(INDEX(DarlBelegt,11)=0,0,IF(INDEX(DarlOhneTilgung,11)=1,IF(INDEX(DarlBindung,11)="",1,$G5255),IF($J5255&gt;0.005,1,0)))</f>
      </c>
      <c r="J5255" s="43">
        <f>IF($I5254=0,0,$R5254)</f>
      </c>
      <c r="K5255" s="43">
        <f>IF($I5255=0,0,IF(INDEX(DarlOhneTilgung,11)=1,0,IF(AND(INDEX(DarlTilgStart,11)&gt;0,$E5255=INDEX(DarlTilgStart,11)),$J5255*($H5255+INDEX(DarlTilgung,11))/100/12,IF(AND($G5255=0,$G5254=1),MAX($K5254,$J5255*($H5255+1)/100/12),$K5254))))</f>
      </c>
      <c r="L5255" s="43">
        <f>IF($I5255=0,0,$J5255*$H5255/100/12)</f>
      </c>
      <c r="M5255" s="43">
        <f>IF($I5255=0,0,IF(OR(INDEX(DarlOhneTilgung,11)=1,AND(INDEX(DarlTilgStart,11)&gt;0,$E5255&lt;INDEX(DarlTilgStart,11))),0,MIN(MAX(0,$K5255-$L5255),$J5255)))</f>
      </c>
      <c r="N5255" s="43">
        <f>IF($I5255=0,0,MIN(SUMIFS(SondBetrag,SondDarl,11,SondDatum,"&gt;="&amp;$E5255,SondDatum,"&lt;="&amp;EOMONTH($E5255,0)),$J5255-$M5255))</f>
      </c>
      <c r="O5255" s="43">
        <f>IF($I5255=0,0,INDEX(DarlErsatzRate,11))</f>
      </c>
      <c r="P5255" s="43">
        <f>IF($I5255=0,0,$Q5254*INDEX(DarlErsatzZins,11))</f>
      </c>
      <c r="Q5255" s="43">
        <f>IF($I5255=0,0,$Q5254+$P5255+$O5255)</f>
      </c>
      <c r="R5255" s="43">
        <f>IF($I5255=0,0,$J5255-$M5255-$N5255)</f>
      </c>
    </row>
    <row r="5256">
      <c r="A5256"/>
      <c r="B5256">
        <v>11</v>
      </c>
      <c r="C5256" s="43">
        <f>INDEX(DarlObj,11)</f>
      </c>
      <c r="D5256">
        <v>453</v>
      </c>
      <c r="E5256" s="51">
        <f>IF(INDEX(DarlBelegt,11)=0,0,EOMONTH(INDEX(DarlAuszahlung,11),452)+1)</f>
      </c>
      <c r="F5256" s="43">
        <f>IF($E5256=0,0,YEAR($E5256))</f>
      </c>
      <c r="G5256" s="43">
        <f>IF(INDEX(DarlBindung,11)="",1,IF($E5256&lt;=INDEX(DarlBindung,11),1,0))</f>
      </c>
      <c r="H5256" s="43">
        <f>IF($G5256=1,INDEX(DarlSollzins,11),INDEX(DarlAnschluss,11))</f>
      </c>
      <c r="I5256" s="43">
        <f>IF(INDEX(DarlBelegt,11)=0,0,IF(INDEX(DarlOhneTilgung,11)=1,IF(INDEX(DarlBindung,11)="",1,$G5256),IF($J5256&gt;0.005,1,0)))</f>
      </c>
      <c r="J5256" s="43">
        <f>IF($I5255=0,0,$R5255)</f>
      </c>
      <c r="K5256" s="43">
        <f>IF($I5256=0,0,IF(INDEX(DarlOhneTilgung,11)=1,0,IF(AND(INDEX(DarlTilgStart,11)&gt;0,$E5256=INDEX(DarlTilgStart,11)),$J5256*($H5256+INDEX(DarlTilgung,11))/100/12,IF(AND($G5256=0,$G5255=1),MAX($K5255,$J5256*($H5256+1)/100/12),$K5255))))</f>
      </c>
      <c r="L5256" s="43">
        <f>IF($I5256=0,0,$J5256*$H5256/100/12)</f>
      </c>
      <c r="M5256" s="43">
        <f>IF($I5256=0,0,IF(OR(INDEX(DarlOhneTilgung,11)=1,AND(INDEX(DarlTilgStart,11)&gt;0,$E5256&lt;INDEX(DarlTilgStart,11))),0,MIN(MAX(0,$K5256-$L5256),$J5256)))</f>
      </c>
      <c r="N5256" s="43">
        <f>IF($I5256=0,0,MIN(SUMIFS(SondBetrag,SondDarl,11,SondDatum,"&gt;="&amp;$E5256,SondDatum,"&lt;="&amp;EOMONTH($E5256,0)),$J5256-$M5256))</f>
      </c>
      <c r="O5256" s="43">
        <f>IF($I5256=0,0,INDEX(DarlErsatzRate,11))</f>
      </c>
      <c r="P5256" s="43">
        <f>IF($I5256=0,0,$Q5255*INDEX(DarlErsatzZins,11))</f>
      </c>
      <c r="Q5256" s="43">
        <f>IF($I5256=0,0,$Q5255+$P5256+$O5256)</f>
      </c>
      <c r="R5256" s="43">
        <f>IF($I5256=0,0,$J5256-$M5256-$N5256)</f>
      </c>
    </row>
    <row r="5257">
      <c r="A5257"/>
      <c r="B5257">
        <v>11</v>
      </c>
      <c r="C5257" s="43">
        <f>INDEX(DarlObj,11)</f>
      </c>
      <c r="D5257">
        <v>454</v>
      </c>
      <c r="E5257" s="51">
        <f>IF(INDEX(DarlBelegt,11)=0,0,EOMONTH(INDEX(DarlAuszahlung,11),453)+1)</f>
      </c>
      <c r="F5257" s="43">
        <f>IF($E5257=0,0,YEAR($E5257))</f>
      </c>
      <c r="G5257" s="43">
        <f>IF(INDEX(DarlBindung,11)="",1,IF($E5257&lt;=INDEX(DarlBindung,11),1,0))</f>
      </c>
      <c r="H5257" s="43">
        <f>IF($G5257=1,INDEX(DarlSollzins,11),INDEX(DarlAnschluss,11))</f>
      </c>
      <c r="I5257" s="43">
        <f>IF(INDEX(DarlBelegt,11)=0,0,IF(INDEX(DarlOhneTilgung,11)=1,IF(INDEX(DarlBindung,11)="",1,$G5257),IF($J5257&gt;0.005,1,0)))</f>
      </c>
      <c r="J5257" s="43">
        <f>IF($I5256=0,0,$R5256)</f>
      </c>
      <c r="K5257" s="43">
        <f>IF($I5257=0,0,IF(INDEX(DarlOhneTilgung,11)=1,0,IF(AND(INDEX(DarlTilgStart,11)&gt;0,$E5257=INDEX(DarlTilgStart,11)),$J5257*($H5257+INDEX(DarlTilgung,11))/100/12,IF(AND($G5257=0,$G5256=1),MAX($K5256,$J5257*($H5257+1)/100/12),$K5256))))</f>
      </c>
      <c r="L5257" s="43">
        <f>IF($I5257=0,0,$J5257*$H5257/100/12)</f>
      </c>
      <c r="M5257" s="43">
        <f>IF($I5257=0,0,IF(OR(INDEX(DarlOhneTilgung,11)=1,AND(INDEX(DarlTilgStart,11)&gt;0,$E5257&lt;INDEX(DarlTilgStart,11))),0,MIN(MAX(0,$K5257-$L5257),$J5257)))</f>
      </c>
      <c r="N5257" s="43">
        <f>IF($I5257=0,0,MIN(SUMIFS(SondBetrag,SondDarl,11,SondDatum,"&gt;="&amp;$E5257,SondDatum,"&lt;="&amp;EOMONTH($E5257,0)),$J5257-$M5257))</f>
      </c>
      <c r="O5257" s="43">
        <f>IF($I5257=0,0,INDEX(DarlErsatzRate,11))</f>
      </c>
      <c r="P5257" s="43">
        <f>IF($I5257=0,0,$Q5256*INDEX(DarlErsatzZins,11))</f>
      </c>
      <c r="Q5257" s="43">
        <f>IF($I5257=0,0,$Q5256+$P5257+$O5257)</f>
      </c>
      <c r="R5257" s="43">
        <f>IF($I5257=0,0,$J5257-$M5257-$N5257)</f>
      </c>
    </row>
    <row r="5258">
      <c r="A5258"/>
      <c r="B5258">
        <v>11</v>
      </c>
      <c r="C5258" s="43">
        <f>INDEX(DarlObj,11)</f>
      </c>
      <c r="D5258">
        <v>455</v>
      </c>
      <c r="E5258" s="51">
        <f>IF(INDEX(DarlBelegt,11)=0,0,EOMONTH(INDEX(DarlAuszahlung,11),454)+1)</f>
      </c>
      <c r="F5258" s="43">
        <f>IF($E5258=0,0,YEAR($E5258))</f>
      </c>
      <c r="G5258" s="43">
        <f>IF(INDEX(DarlBindung,11)="",1,IF($E5258&lt;=INDEX(DarlBindung,11),1,0))</f>
      </c>
      <c r="H5258" s="43">
        <f>IF($G5258=1,INDEX(DarlSollzins,11),INDEX(DarlAnschluss,11))</f>
      </c>
      <c r="I5258" s="43">
        <f>IF(INDEX(DarlBelegt,11)=0,0,IF(INDEX(DarlOhneTilgung,11)=1,IF(INDEX(DarlBindung,11)="",1,$G5258),IF($J5258&gt;0.005,1,0)))</f>
      </c>
      <c r="J5258" s="43">
        <f>IF($I5257=0,0,$R5257)</f>
      </c>
      <c r="K5258" s="43">
        <f>IF($I5258=0,0,IF(INDEX(DarlOhneTilgung,11)=1,0,IF(AND(INDEX(DarlTilgStart,11)&gt;0,$E5258=INDEX(DarlTilgStart,11)),$J5258*($H5258+INDEX(DarlTilgung,11))/100/12,IF(AND($G5258=0,$G5257=1),MAX($K5257,$J5258*($H5258+1)/100/12),$K5257))))</f>
      </c>
      <c r="L5258" s="43">
        <f>IF($I5258=0,0,$J5258*$H5258/100/12)</f>
      </c>
      <c r="M5258" s="43">
        <f>IF($I5258=0,0,IF(OR(INDEX(DarlOhneTilgung,11)=1,AND(INDEX(DarlTilgStart,11)&gt;0,$E5258&lt;INDEX(DarlTilgStart,11))),0,MIN(MAX(0,$K5258-$L5258),$J5258)))</f>
      </c>
      <c r="N5258" s="43">
        <f>IF($I5258=0,0,MIN(SUMIFS(SondBetrag,SondDarl,11,SondDatum,"&gt;="&amp;$E5258,SondDatum,"&lt;="&amp;EOMONTH($E5258,0)),$J5258-$M5258))</f>
      </c>
      <c r="O5258" s="43">
        <f>IF($I5258=0,0,INDEX(DarlErsatzRate,11))</f>
      </c>
      <c r="P5258" s="43">
        <f>IF($I5258=0,0,$Q5257*INDEX(DarlErsatzZins,11))</f>
      </c>
      <c r="Q5258" s="43">
        <f>IF($I5258=0,0,$Q5257+$P5258+$O5258)</f>
      </c>
      <c r="R5258" s="43">
        <f>IF($I5258=0,0,$J5258-$M5258-$N5258)</f>
      </c>
    </row>
    <row r="5259">
      <c r="A5259"/>
      <c r="B5259">
        <v>11</v>
      </c>
      <c r="C5259" s="43">
        <f>INDEX(DarlObj,11)</f>
      </c>
      <c r="D5259">
        <v>456</v>
      </c>
      <c r="E5259" s="51">
        <f>IF(INDEX(DarlBelegt,11)=0,0,EOMONTH(INDEX(DarlAuszahlung,11),455)+1)</f>
      </c>
      <c r="F5259" s="43">
        <f>IF($E5259=0,0,YEAR($E5259))</f>
      </c>
      <c r="G5259" s="43">
        <f>IF(INDEX(DarlBindung,11)="",1,IF($E5259&lt;=INDEX(DarlBindung,11),1,0))</f>
      </c>
      <c r="H5259" s="43">
        <f>IF($G5259=1,INDEX(DarlSollzins,11),INDEX(DarlAnschluss,11))</f>
      </c>
      <c r="I5259" s="43">
        <f>IF(INDEX(DarlBelegt,11)=0,0,IF(INDEX(DarlOhneTilgung,11)=1,IF(INDEX(DarlBindung,11)="",1,$G5259),IF($J5259&gt;0.005,1,0)))</f>
      </c>
      <c r="J5259" s="43">
        <f>IF($I5258=0,0,$R5258)</f>
      </c>
      <c r="K5259" s="43">
        <f>IF($I5259=0,0,IF(INDEX(DarlOhneTilgung,11)=1,0,IF(AND(INDEX(DarlTilgStart,11)&gt;0,$E5259=INDEX(DarlTilgStart,11)),$J5259*($H5259+INDEX(DarlTilgung,11))/100/12,IF(AND($G5259=0,$G5258=1),MAX($K5258,$J5259*($H5259+1)/100/12),$K5258))))</f>
      </c>
      <c r="L5259" s="43">
        <f>IF($I5259=0,0,$J5259*$H5259/100/12)</f>
      </c>
      <c r="M5259" s="43">
        <f>IF($I5259=0,0,IF(OR(INDEX(DarlOhneTilgung,11)=1,AND(INDEX(DarlTilgStart,11)&gt;0,$E5259&lt;INDEX(DarlTilgStart,11))),0,MIN(MAX(0,$K5259-$L5259),$J5259)))</f>
      </c>
      <c r="N5259" s="43">
        <f>IF($I5259=0,0,MIN(SUMIFS(SondBetrag,SondDarl,11,SondDatum,"&gt;="&amp;$E5259,SondDatum,"&lt;="&amp;EOMONTH($E5259,0)),$J5259-$M5259))</f>
      </c>
      <c r="O5259" s="43">
        <f>IF($I5259=0,0,INDEX(DarlErsatzRate,11))</f>
      </c>
      <c r="P5259" s="43">
        <f>IF($I5259=0,0,$Q5258*INDEX(DarlErsatzZins,11))</f>
      </c>
      <c r="Q5259" s="43">
        <f>IF($I5259=0,0,$Q5258+$P5259+$O5259)</f>
      </c>
      <c r="R5259" s="43">
        <f>IF($I5259=0,0,$J5259-$M5259-$N5259)</f>
      </c>
    </row>
    <row r="5260">
      <c r="A5260"/>
      <c r="B5260">
        <v>11</v>
      </c>
      <c r="C5260" s="43">
        <f>INDEX(DarlObj,11)</f>
      </c>
      <c r="D5260">
        <v>457</v>
      </c>
      <c r="E5260" s="51">
        <f>IF(INDEX(DarlBelegt,11)=0,0,EOMONTH(INDEX(DarlAuszahlung,11),456)+1)</f>
      </c>
      <c r="F5260" s="43">
        <f>IF($E5260=0,0,YEAR($E5260))</f>
      </c>
      <c r="G5260" s="43">
        <f>IF(INDEX(DarlBindung,11)="",1,IF($E5260&lt;=INDEX(DarlBindung,11),1,0))</f>
      </c>
      <c r="H5260" s="43">
        <f>IF($G5260=1,INDEX(DarlSollzins,11),INDEX(DarlAnschluss,11))</f>
      </c>
      <c r="I5260" s="43">
        <f>IF(INDEX(DarlBelegt,11)=0,0,IF(INDEX(DarlOhneTilgung,11)=1,IF(INDEX(DarlBindung,11)="",1,$G5260),IF($J5260&gt;0.005,1,0)))</f>
      </c>
      <c r="J5260" s="43">
        <f>IF($I5259=0,0,$R5259)</f>
      </c>
      <c r="K5260" s="43">
        <f>IF($I5260=0,0,IF(INDEX(DarlOhneTilgung,11)=1,0,IF(AND(INDEX(DarlTilgStart,11)&gt;0,$E5260=INDEX(DarlTilgStart,11)),$J5260*($H5260+INDEX(DarlTilgung,11))/100/12,IF(AND($G5260=0,$G5259=1),MAX($K5259,$J5260*($H5260+1)/100/12),$K5259))))</f>
      </c>
      <c r="L5260" s="43">
        <f>IF($I5260=0,0,$J5260*$H5260/100/12)</f>
      </c>
      <c r="M5260" s="43">
        <f>IF($I5260=0,0,IF(OR(INDEX(DarlOhneTilgung,11)=1,AND(INDEX(DarlTilgStart,11)&gt;0,$E5260&lt;INDEX(DarlTilgStart,11))),0,MIN(MAX(0,$K5260-$L5260),$J5260)))</f>
      </c>
      <c r="N5260" s="43">
        <f>IF($I5260=0,0,MIN(SUMIFS(SondBetrag,SondDarl,11,SondDatum,"&gt;="&amp;$E5260,SondDatum,"&lt;="&amp;EOMONTH($E5260,0)),$J5260-$M5260))</f>
      </c>
      <c r="O5260" s="43">
        <f>IF($I5260=0,0,INDEX(DarlErsatzRate,11))</f>
      </c>
      <c r="P5260" s="43">
        <f>IF($I5260=0,0,$Q5259*INDEX(DarlErsatzZins,11))</f>
      </c>
      <c r="Q5260" s="43">
        <f>IF($I5260=0,0,$Q5259+$P5260+$O5260)</f>
      </c>
      <c r="R5260" s="43">
        <f>IF($I5260=0,0,$J5260-$M5260-$N5260)</f>
      </c>
    </row>
    <row r="5261">
      <c r="A5261"/>
      <c r="B5261">
        <v>11</v>
      </c>
      <c r="C5261" s="43">
        <f>INDEX(DarlObj,11)</f>
      </c>
      <c r="D5261">
        <v>458</v>
      </c>
      <c r="E5261" s="51">
        <f>IF(INDEX(DarlBelegt,11)=0,0,EOMONTH(INDEX(DarlAuszahlung,11),457)+1)</f>
      </c>
      <c r="F5261" s="43">
        <f>IF($E5261=0,0,YEAR($E5261))</f>
      </c>
      <c r="G5261" s="43">
        <f>IF(INDEX(DarlBindung,11)="",1,IF($E5261&lt;=INDEX(DarlBindung,11),1,0))</f>
      </c>
      <c r="H5261" s="43">
        <f>IF($G5261=1,INDEX(DarlSollzins,11),INDEX(DarlAnschluss,11))</f>
      </c>
      <c r="I5261" s="43">
        <f>IF(INDEX(DarlBelegt,11)=0,0,IF(INDEX(DarlOhneTilgung,11)=1,IF(INDEX(DarlBindung,11)="",1,$G5261),IF($J5261&gt;0.005,1,0)))</f>
      </c>
      <c r="J5261" s="43">
        <f>IF($I5260=0,0,$R5260)</f>
      </c>
      <c r="K5261" s="43">
        <f>IF($I5261=0,0,IF(INDEX(DarlOhneTilgung,11)=1,0,IF(AND(INDEX(DarlTilgStart,11)&gt;0,$E5261=INDEX(DarlTilgStart,11)),$J5261*($H5261+INDEX(DarlTilgung,11))/100/12,IF(AND($G5261=0,$G5260=1),MAX($K5260,$J5261*($H5261+1)/100/12),$K5260))))</f>
      </c>
      <c r="L5261" s="43">
        <f>IF($I5261=0,0,$J5261*$H5261/100/12)</f>
      </c>
      <c r="M5261" s="43">
        <f>IF($I5261=0,0,IF(OR(INDEX(DarlOhneTilgung,11)=1,AND(INDEX(DarlTilgStart,11)&gt;0,$E5261&lt;INDEX(DarlTilgStart,11))),0,MIN(MAX(0,$K5261-$L5261),$J5261)))</f>
      </c>
      <c r="N5261" s="43">
        <f>IF($I5261=0,0,MIN(SUMIFS(SondBetrag,SondDarl,11,SondDatum,"&gt;="&amp;$E5261,SondDatum,"&lt;="&amp;EOMONTH($E5261,0)),$J5261-$M5261))</f>
      </c>
      <c r="O5261" s="43">
        <f>IF($I5261=0,0,INDEX(DarlErsatzRate,11))</f>
      </c>
      <c r="P5261" s="43">
        <f>IF($I5261=0,0,$Q5260*INDEX(DarlErsatzZins,11))</f>
      </c>
      <c r="Q5261" s="43">
        <f>IF($I5261=0,0,$Q5260+$P5261+$O5261)</f>
      </c>
      <c r="R5261" s="43">
        <f>IF($I5261=0,0,$J5261-$M5261-$N5261)</f>
      </c>
    </row>
    <row r="5262">
      <c r="A5262"/>
      <c r="B5262">
        <v>11</v>
      </c>
      <c r="C5262" s="43">
        <f>INDEX(DarlObj,11)</f>
      </c>
      <c r="D5262">
        <v>459</v>
      </c>
      <c r="E5262" s="51">
        <f>IF(INDEX(DarlBelegt,11)=0,0,EOMONTH(INDEX(DarlAuszahlung,11),458)+1)</f>
      </c>
      <c r="F5262" s="43">
        <f>IF($E5262=0,0,YEAR($E5262))</f>
      </c>
      <c r="G5262" s="43">
        <f>IF(INDEX(DarlBindung,11)="",1,IF($E5262&lt;=INDEX(DarlBindung,11),1,0))</f>
      </c>
      <c r="H5262" s="43">
        <f>IF($G5262=1,INDEX(DarlSollzins,11),INDEX(DarlAnschluss,11))</f>
      </c>
      <c r="I5262" s="43">
        <f>IF(INDEX(DarlBelegt,11)=0,0,IF(INDEX(DarlOhneTilgung,11)=1,IF(INDEX(DarlBindung,11)="",1,$G5262),IF($J5262&gt;0.005,1,0)))</f>
      </c>
      <c r="J5262" s="43">
        <f>IF($I5261=0,0,$R5261)</f>
      </c>
      <c r="K5262" s="43">
        <f>IF($I5262=0,0,IF(INDEX(DarlOhneTilgung,11)=1,0,IF(AND(INDEX(DarlTilgStart,11)&gt;0,$E5262=INDEX(DarlTilgStart,11)),$J5262*($H5262+INDEX(DarlTilgung,11))/100/12,IF(AND($G5262=0,$G5261=1),MAX($K5261,$J5262*($H5262+1)/100/12),$K5261))))</f>
      </c>
      <c r="L5262" s="43">
        <f>IF($I5262=0,0,$J5262*$H5262/100/12)</f>
      </c>
      <c r="M5262" s="43">
        <f>IF($I5262=0,0,IF(OR(INDEX(DarlOhneTilgung,11)=1,AND(INDEX(DarlTilgStart,11)&gt;0,$E5262&lt;INDEX(DarlTilgStart,11))),0,MIN(MAX(0,$K5262-$L5262),$J5262)))</f>
      </c>
      <c r="N5262" s="43">
        <f>IF($I5262=0,0,MIN(SUMIFS(SondBetrag,SondDarl,11,SondDatum,"&gt;="&amp;$E5262,SondDatum,"&lt;="&amp;EOMONTH($E5262,0)),$J5262-$M5262))</f>
      </c>
      <c r="O5262" s="43">
        <f>IF($I5262=0,0,INDEX(DarlErsatzRate,11))</f>
      </c>
      <c r="P5262" s="43">
        <f>IF($I5262=0,0,$Q5261*INDEX(DarlErsatzZins,11))</f>
      </c>
      <c r="Q5262" s="43">
        <f>IF($I5262=0,0,$Q5261+$P5262+$O5262)</f>
      </c>
      <c r="R5262" s="43">
        <f>IF($I5262=0,0,$J5262-$M5262-$N5262)</f>
      </c>
    </row>
    <row r="5263">
      <c r="A5263"/>
      <c r="B5263">
        <v>11</v>
      </c>
      <c r="C5263" s="43">
        <f>INDEX(DarlObj,11)</f>
      </c>
      <c r="D5263">
        <v>460</v>
      </c>
      <c r="E5263" s="51">
        <f>IF(INDEX(DarlBelegt,11)=0,0,EOMONTH(INDEX(DarlAuszahlung,11),459)+1)</f>
      </c>
      <c r="F5263" s="43">
        <f>IF($E5263=0,0,YEAR($E5263))</f>
      </c>
      <c r="G5263" s="43">
        <f>IF(INDEX(DarlBindung,11)="",1,IF($E5263&lt;=INDEX(DarlBindung,11),1,0))</f>
      </c>
      <c r="H5263" s="43">
        <f>IF($G5263=1,INDEX(DarlSollzins,11),INDEX(DarlAnschluss,11))</f>
      </c>
      <c r="I5263" s="43">
        <f>IF(INDEX(DarlBelegt,11)=0,0,IF(INDEX(DarlOhneTilgung,11)=1,IF(INDEX(DarlBindung,11)="",1,$G5263),IF($J5263&gt;0.005,1,0)))</f>
      </c>
      <c r="J5263" s="43">
        <f>IF($I5262=0,0,$R5262)</f>
      </c>
      <c r="K5263" s="43">
        <f>IF($I5263=0,0,IF(INDEX(DarlOhneTilgung,11)=1,0,IF(AND(INDEX(DarlTilgStart,11)&gt;0,$E5263=INDEX(DarlTilgStart,11)),$J5263*($H5263+INDEX(DarlTilgung,11))/100/12,IF(AND($G5263=0,$G5262=1),MAX($K5262,$J5263*($H5263+1)/100/12),$K5262))))</f>
      </c>
      <c r="L5263" s="43">
        <f>IF($I5263=0,0,$J5263*$H5263/100/12)</f>
      </c>
      <c r="M5263" s="43">
        <f>IF($I5263=0,0,IF(OR(INDEX(DarlOhneTilgung,11)=1,AND(INDEX(DarlTilgStart,11)&gt;0,$E5263&lt;INDEX(DarlTilgStart,11))),0,MIN(MAX(0,$K5263-$L5263),$J5263)))</f>
      </c>
      <c r="N5263" s="43">
        <f>IF($I5263=0,0,MIN(SUMIFS(SondBetrag,SondDarl,11,SondDatum,"&gt;="&amp;$E5263,SondDatum,"&lt;="&amp;EOMONTH($E5263,0)),$J5263-$M5263))</f>
      </c>
      <c r="O5263" s="43">
        <f>IF($I5263=0,0,INDEX(DarlErsatzRate,11))</f>
      </c>
      <c r="P5263" s="43">
        <f>IF($I5263=0,0,$Q5262*INDEX(DarlErsatzZins,11))</f>
      </c>
      <c r="Q5263" s="43">
        <f>IF($I5263=0,0,$Q5262+$P5263+$O5263)</f>
      </c>
      <c r="R5263" s="43">
        <f>IF($I5263=0,0,$J5263-$M5263-$N5263)</f>
      </c>
    </row>
    <row r="5264">
      <c r="A5264"/>
      <c r="B5264">
        <v>11</v>
      </c>
      <c r="C5264" s="43">
        <f>INDEX(DarlObj,11)</f>
      </c>
      <c r="D5264">
        <v>461</v>
      </c>
      <c r="E5264" s="51">
        <f>IF(INDEX(DarlBelegt,11)=0,0,EOMONTH(INDEX(DarlAuszahlung,11),460)+1)</f>
      </c>
      <c r="F5264" s="43">
        <f>IF($E5264=0,0,YEAR($E5264))</f>
      </c>
      <c r="G5264" s="43">
        <f>IF(INDEX(DarlBindung,11)="",1,IF($E5264&lt;=INDEX(DarlBindung,11),1,0))</f>
      </c>
      <c r="H5264" s="43">
        <f>IF($G5264=1,INDEX(DarlSollzins,11),INDEX(DarlAnschluss,11))</f>
      </c>
      <c r="I5264" s="43">
        <f>IF(INDEX(DarlBelegt,11)=0,0,IF(INDEX(DarlOhneTilgung,11)=1,IF(INDEX(DarlBindung,11)="",1,$G5264),IF($J5264&gt;0.005,1,0)))</f>
      </c>
      <c r="J5264" s="43">
        <f>IF($I5263=0,0,$R5263)</f>
      </c>
      <c r="K5264" s="43">
        <f>IF($I5264=0,0,IF(INDEX(DarlOhneTilgung,11)=1,0,IF(AND(INDEX(DarlTilgStart,11)&gt;0,$E5264=INDEX(DarlTilgStart,11)),$J5264*($H5264+INDEX(DarlTilgung,11))/100/12,IF(AND($G5264=0,$G5263=1),MAX($K5263,$J5264*($H5264+1)/100/12),$K5263))))</f>
      </c>
      <c r="L5264" s="43">
        <f>IF($I5264=0,0,$J5264*$H5264/100/12)</f>
      </c>
      <c r="M5264" s="43">
        <f>IF($I5264=0,0,IF(OR(INDEX(DarlOhneTilgung,11)=1,AND(INDEX(DarlTilgStart,11)&gt;0,$E5264&lt;INDEX(DarlTilgStart,11))),0,MIN(MAX(0,$K5264-$L5264),$J5264)))</f>
      </c>
      <c r="N5264" s="43">
        <f>IF($I5264=0,0,MIN(SUMIFS(SondBetrag,SondDarl,11,SondDatum,"&gt;="&amp;$E5264,SondDatum,"&lt;="&amp;EOMONTH($E5264,0)),$J5264-$M5264))</f>
      </c>
      <c r="O5264" s="43">
        <f>IF($I5264=0,0,INDEX(DarlErsatzRate,11))</f>
      </c>
      <c r="P5264" s="43">
        <f>IF($I5264=0,0,$Q5263*INDEX(DarlErsatzZins,11))</f>
      </c>
      <c r="Q5264" s="43">
        <f>IF($I5264=0,0,$Q5263+$P5264+$O5264)</f>
      </c>
      <c r="R5264" s="43">
        <f>IF($I5264=0,0,$J5264-$M5264-$N5264)</f>
      </c>
    </row>
    <row r="5265">
      <c r="A5265"/>
      <c r="B5265">
        <v>11</v>
      </c>
      <c r="C5265" s="43">
        <f>INDEX(DarlObj,11)</f>
      </c>
      <c r="D5265">
        <v>462</v>
      </c>
      <c r="E5265" s="51">
        <f>IF(INDEX(DarlBelegt,11)=0,0,EOMONTH(INDEX(DarlAuszahlung,11),461)+1)</f>
      </c>
      <c r="F5265" s="43">
        <f>IF($E5265=0,0,YEAR($E5265))</f>
      </c>
      <c r="G5265" s="43">
        <f>IF(INDEX(DarlBindung,11)="",1,IF($E5265&lt;=INDEX(DarlBindung,11),1,0))</f>
      </c>
      <c r="H5265" s="43">
        <f>IF($G5265=1,INDEX(DarlSollzins,11),INDEX(DarlAnschluss,11))</f>
      </c>
      <c r="I5265" s="43">
        <f>IF(INDEX(DarlBelegt,11)=0,0,IF(INDEX(DarlOhneTilgung,11)=1,IF(INDEX(DarlBindung,11)="",1,$G5265),IF($J5265&gt;0.005,1,0)))</f>
      </c>
      <c r="J5265" s="43">
        <f>IF($I5264=0,0,$R5264)</f>
      </c>
      <c r="K5265" s="43">
        <f>IF($I5265=0,0,IF(INDEX(DarlOhneTilgung,11)=1,0,IF(AND(INDEX(DarlTilgStart,11)&gt;0,$E5265=INDEX(DarlTilgStart,11)),$J5265*($H5265+INDEX(DarlTilgung,11))/100/12,IF(AND($G5265=0,$G5264=1),MAX($K5264,$J5265*($H5265+1)/100/12),$K5264))))</f>
      </c>
      <c r="L5265" s="43">
        <f>IF($I5265=0,0,$J5265*$H5265/100/12)</f>
      </c>
      <c r="M5265" s="43">
        <f>IF($I5265=0,0,IF(OR(INDEX(DarlOhneTilgung,11)=1,AND(INDEX(DarlTilgStart,11)&gt;0,$E5265&lt;INDEX(DarlTilgStart,11))),0,MIN(MAX(0,$K5265-$L5265),$J5265)))</f>
      </c>
      <c r="N5265" s="43">
        <f>IF($I5265=0,0,MIN(SUMIFS(SondBetrag,SondDarl,11,SondDatum,"&gt;="&amp;$E5265,SondDatum,"&lt;="&amp;EOMONTH($E5265,0)),$J5265-$M5265))</f>
      </c>
      <c r="O5265" s="43">
        <f>IF($I5265=0,0,INDEX(DarlErsatzRate,11))</f>
      </c>
      <c r="P5265" s="43">
        <f>IF($I5265=0,0,$Q5264*INDEX(DarlErsatzZins,11))</f>
      </c>
      <c r="Q5265" s="43">
        <f>IF($I5265=0,0,$Q5264+$P5265+$O5265)</f>
      </c>
      <c r="R5265" s="43">
        <f>IF($I5265=0,0,$J5265-$M5265-$N5265)</f>
      </c>
    </row>
    <row r="5266">
      <c r="A5266"/>
      <c r="B5266">
        <v>11</v>
      </c>
      <c r="C5266" s="43">
        <f>INDEX(DarlObj,11)</f>
      </c>
      <c r="D5266">
        <v>463</v>
      </c>
      <c r="E5266" s="51">
        <f>IF(INDEX(DarlBelegt,11)=0,0,EOMONTH(INDEX(DarlAuszahlung,11),462)+1)</f>
      </c>
      <c r="F5266" s="43">
        <f>IF($E5266=0,0,YEAR($E5266))</f>
      </c>
      <c r="G5266" s="43">
        <f>IF(INDEX(DarlBindung,11)="",1,IF($E5266&lt;=INDEX(DarlBindung,11),1,0))</f>
      </c>
      <c r="H5266" s="43">
        <f>IF($G5266=1,INDEX(DarlSollzins,11),INDEX(DarlAnschluss,11))</f>
      </c>
      <c r="I5266" s="43">
        <f>IF(INDEX(DarlBelegt,11)=0,0,IF(INDEX(DarlOhneTilgung,11)=1,IF(INDEX(DarlBindung,11)="",1,$G5266),IF($J5266&gt;0.005,1,0)))</f>
      </c>
      <c r="J5266" s="43">
        <f>IF($I5265=0,0,$R5265)</f>
      </c>
      <c r="K5266" s="43">
        <f>IF($I5266=0,0,IF(INDEX(DarlOhneTilgung,11)=1,0,IF(AND(INDEX(DarlTilgStart,11)&gt;0,$E5266=INDEX(DarlTilgStart,11)),$J5266*($H5266+INDEX(DarlTilgung,11))/100/12,IF(AND($G5266=0,$G5265=1),MAX($K5265,$J5266*($H5266+1)/100/12),$K5265))))</f>
      </c>
      <c r="L5266" s="43">
        <f>IF($I5266=0,0,$J5266*$H5266/100/12)</f>
      </c>
      <c r="M5266" s="43">
        <f>IF($I5266=0,0,IF(OR(INDEX(DarlOhneTilgung,11)=1,AND(INDEX(DarlTilgStart,11)&gt;0,$E5266&lt;INDEX(DarlTilgStart,11))),0,MIN(MAX(0,$K5266-$L5266),$J5266)))</f>
      </c>
      <c r="N5266" s="43">
        <f>IF($I5266=0,0,MIN(SUMIFS(SondBetrag,SondDarl,11,SondDatum,"&gt;="&amp;$E5266,SondDatum,"&lt;="&amp;EOMONTH($E5266,0)),$J5266-$M5266))</f>
      </c>
      <c r="O5266" s="43">
        <f>IF($I5266=0,0,INDEX(DarlErsatzRate,11))</f>
      </c>
      <c r="P5266" s="43">
        <f>IF($I5266=0,0,$Q5265*INDEX(DarlErsatzZins,11))</f>
      </c>
      <c r="Q5266" s="43">
        <f>IF($I5266=0,0,$Q5265+$P5266+$O5266)</f>
      </c>
      <c r="R5266" s="43">
        <f>IF($I5266=0,0,$J5266-$M5266-$N5266)</f>
      </c>
    </row>
    <row r="5267">
      <c r="A5267"/>
      <c r="B5267">
        <v>11</v>
      </c>
      <c r="C5267" s="43">
        <f>INDEX(DarlObj,11)</f>
      </c>
      <c r="D5267">
        <v>464</v>
      </c>
      <c r="E5267" s="51">
        <f>IF(INDEX(DarlBelegt,11)=0,0,EOMONTH(INDEX(DarlAuszahlung,11),463)+1)</f>
      </c>
      <c r="F5267" s="43">
        <f>IF($E5267=0,0,YEAR($E5267))</f>
      </c>
      <c r="G5267" s="43">
        <f>IF(INDEX(DarlBindung,11)="",1,IF($E5267&lt;=INDEX(DarlBindung,11),1,0))</f>
      </c>
      <c r="H5267" s="43">
        <f>IF($G5267=1,INDEX(DarlSollzins,11),INDEX(DarlAnschluss,11))</f>
      </c>
      <c r="I5267" s="43">
        <f>IF(INDEX(DarlBelegt,11)=0,0,IF(INDEX(DarlOhneTilgung,11)=1,IF(INDEX(DarlBindung,11)="",1,$G5267),IF($J5267&gt;0.005,1,0)))</f>
      </c>
      <c r="J5267" s="43">
        <f>IF($I5266=0,0,$R5266)</f>
      </c>
      <c r="K5267" s="43">
        <f>IF($I5267=0,0,IF(INDEX(DarlOhneTilgung,11)=1,0,IF(AND(INDEX(DarlTilgStart,11)&gt;0,$E5267=INDEX(DarlTilgStart,11)),$J5267*($H5267+INDEX(DarlTilgung,11))/100/12,IF(AND($G5267=0,$G5266=1),MAX($K5266,$J5267*($H5267+1)/100/12),$K5266))))</f>
      </c>
      <c r="L5267" s="43">
        <f>IF($I5267=0,0,$J5267*$H5267/100/12)</f>
      </c>
      <c r="M5267" s="43">
        <f>IF($I5267=0,0,IF(OR(INDEX(DarlOhneTilgung,11)=1,AND(INDEX(DarlTilgStart,11)&gt;0,$E5267&lt;INDEX(DarlTilgStart,11))),0,MIN(MAX(0,$K5267-$L5267),$J5267)))</f>
      </c>
      <c r="N5267" s="43">
        <f>IF($I5267=0,0,MIN(SUMIFS(SondBetrag,SondDarl,11,SondDatum,"&gt;="&amp;$E5267,SondDatum,"&lt;="&amp;EOMONTH($E5267,0)),$J5267-$M5267))</f>
      </c>
      <c r="O5267" s="43">
        <f>IF($I5267=0,0,INDEX(DarlErsatzRate,11))</f>
      </c>
      <c r="P5267" s="43">
        <f>IF($I5267=0,0,$Q5266*INDEX(DarlErsatzZins,11))</f>
      </c>
      <c r="Q5267" s="43">
        <f>IF($I5267=0,0,$Q5266+$P5267+$O5267)</f>
      </c>
      <c r="R5267" s="43">
        <f>IF($I5267=0,0,$J5267-$M5267-$N5267)</f>
      </c>
    </row>
    <row r="5268">
      <c r="A5268"/>
      <c r="B5268">
        <v>11</v>
      </c>
      <c r="C5268" s="43">
        <f>INDEX(DarlObj,11)</f>
      </c>
      <c r="D5268">
        <v>465</v>
      </c>
      <c r="E5268" s="51">
        <f>IF(INDEX(DarlBelegt,11)=0,0,EOMONTH(INDEX(DarlAuszahlung,11),464)+1)</f>
      </c>
      <c r="F5268" s="43">
        <f>IF($E5268=0,0,YEAR($E5268))</f>
      </c>
      <c r="G5268" s="43">
        <f>IF(INDEX(DarlBindung,11)="",1,IF($E5268&lt;=INDEX(DarlBindung,11),1,0))</f>
      </c>
      <c r="H5268" s="43">
        <f>IF($G5268=1,INDEX(DarlSollzins,11),INDEX(DarlAnschluss,11))</f>
      </c>
      <c r="I5268" s="43">
        <f>IF(INDEX(DarlBelegt,11)=0,0,IF(INDEX(DarlOhneTilgung,11)=1,IF(INDEX(DarlBindung,11)="",1,$G5268),IF($J5268&gt;0.005,1,0)))</f>
      </c>
      <c r="J5268" s="43">
        <f>IF($I5267=0,0,$R5267)</f>
      </c>
      <c r="K5268" s="43">
        <f>IF($I5268=0,0,IF(INDEX(DarlOhneTilgung,11)=1,0,IF(AND(INDEX(DarlTilgStart,11)&gt;0,$E5268=INDEX(DarlTilgStart,11)),$J5268*($H5268+INDEX(DarlTilgung,11))/100/12,IF(AND($G5268=0,$G5267=1),MAX($K5267,$J5268*($H5268+1)/100/12),$K5267))))</f>
      </c>
      <c r="L5268" s="43">
        <f>IF($I5268=0,0,$J5268*$H5268/100/12)</f>
      </c>
      <c r="M5268" s="43">
        <f>IF($I5268=0,0,IF(OR(INDEX(DarlOhneTilgung,11)=1,AND(INDEX(DarlTilgStart,11)&gt;0,$E5268&lt;INDEX(DarlTilgStart,11))),0,MIN(MAX(0,$K5268-$L5268),$J5268)))</f>
      </c>
      <c r="N5268" s="43">
        <f>IF($I5268=0,0,MIN(SUMIFS(SondBetrag,SondDarl,11,SondDatum,"&gt;="&amp;$E5268,SondDatum,"&lt;="&amp;EOMONTH($E5268,0)),$J5268-$M5268))</f>
      </c>
      <c r="O5268" s="43">
        <f>IF($I5268=0,0,INDEX(DarlErsatzRate,11))</f>
      </c>
      <c r="P5268" s="43">
        <f>IF($I5268=0,0,$Q5267*INDEX(DarlErsatzZins,11))</f>
      </c>
      <c r="Q5268" s="43">
        <f>IF($I5268=0,0,$Q5267+$P5268+$O5268)</f>
      </c>
      <c r="R5268" s="43">
        <f>IF($I5268=0,0,$J5268-$M5268-$N5268)</f>
      </c>
    </row>
    <row r="5269">
      <c r="A5269"/>
      <c r="B5269">
        <v>11</v>
      </c>
      <c r="C5269" s="43">
        <f>INDEX(DarlObj,11)</f>
      </c>
      <c r="D5269">
        <v>466</v>
      </c>
      <c r="E5269" s="51">
        <f>IF(INDEX(DarlBelegt,11)=0,0,EOMONTH(INDEX(DarlAuszahlung,11),465)+1)</f>
      </c>
      <c r="F5269" s="43">
        <f>IF($E5269=0,0,YEAR($E5269))</f>
      </c>
      <c r="G5269" s="43">
        <f>IF(INDEX(DarlBindung,11)="",1,IF($E5269&lt;=INDEX(DarlBindung,11),1,0))</f>
      </c>
      <c r="H5269" s="43">
        <f>IF($G5269=1,INDEX(DarlSollzins,11),INDEX(DarlAnschluss,11))</f>
      </c>
      <c r="I5269" s="43">
        <f>IF(INDEX(DarlBelegt,11)=0,0,IF(INDEX(DarlOhneTilgung,11)=1,IF(INDEX(DarlBindung,11)="",1,$G5269),IF($J5269&gt;0.005,1,0)))</f>
      </c>
      <c r="J5269" s="43">
        <f>IF($I5268=0,0,$R5268)</f>
      </c>
      <c r="K5269" s="43">
        <f>IF($I5269=0,0,IF(INDEX(DarlOhneTilgung,11)=1,0,IF(AND(INDEX(DarlTilgStart,11)&gt;0,$E5269=INDEX(DarlTilgStart,11)),$J5269*($H5269+INDEX(DarlTilgung,11))/100/12,IF(AND($G5269=0,$G5268=1),MAX($K5268,$J5269*($H5269+1)/100/12),$K5268))))</f>
      </c>
      <c r="L5269" s="43">
        <f>IF($I5269=0,0,$J5269*$H5269/100/12)</f>
      </c>
      <c r="M5269" s="43">
        <f>IF($I5269=0,0,IF(OR(INDEX(DarlOhneTilgung,11)=1,AND(INDEX(DarlTilgStart,11)&gt;0,$E5269&lt;INDEX(DarlTilgStart,11))),0,MIN(MAX(0,$K5269-$L5269),$J5269)))</f>
      </c>
      <c r="N5269" s="43">
        <f>IF($I5269=0,0,MIN(SUMIFS(SondBetrag,SondDarl,11,SondDatum,"&gt;="&amp;$E5269,SondDatum,"&lt;="&amp;EOMONTH($E5269,0)),$J5269-$M5269))</f>
      </c>
      <c r="O5269" s="43">
        <f>IF($I5269=0,0,INDEX(DarlErsatzRate,11))</f>
      </c>
      <c r="P5269" s="43">
        <f>IF($I5269=0,0,$Q5268*INDEX(DarlErsatzZins,11))</f>
      </c>
      <c r="Q5269" s="43">
        <f>IF($I5269=0,0,$Q5268+$P5269+$O5269)</f>
      </c>
      <c r="R5269" s="43">
        <f>IF($I5269=0,0,$J5269-$M5269-$N5269)</f>
      </c>
    </row>
    <row r="5270">
      <c r="A5270"/>
      <c r="B5270">
        <v>11</v>
      </c>
      <c r="C5270" s="43">
        <f>INDEX(DarlObj,11)</f>
      </c>
      <c r="D5270">
        <v>467</v>
      </c>
      <c r="E5270" s="51">
        <f>IF(INDEX(DarlBelegt,11)=0,0,EOMONTH(INDEX(DarlAuszahlung,11),466)+1)</f>
      </c>
      <c r="F5270" s="43">
        <f>IF($E5270=0,0,YEAR($E5270))</f>
      </c>
      <c r="G5270" s="43">
        <f>IF(INDEX(DarlBindung,11)="",1,IF($E5270&lt;=INDEX(DarlBindung,11),1,0))</f>
      </c>
      <c r="H5270" s="43">
        <f>IF($G5270=1,INDEX(DarlSollzins,11),INDEX(DarlAnschluss,11))</f>
      </c>
      <c r="I5270" s="43">
        <f>IF(INDEX(DarlBelegt,11)=0,0,IF(INDEX(DarlOhneTilgung,11)=1,IF(INDEX(DarlBindung,11)="",1,$G5270),IF($J5270&gt;0.005,1,0)))</f>
      </c>
      <c r="J5270" s="43">
        <f>IF($I5269=0,0,$R5269)</f>
      </c>
      <c r="K5270" s="43">
        <f>IF($I5270=0,0,IF(INDEX(DarlOhneTilgung,11)=1,0,IF(AND(INDEX(DarlTilgStart,11)&gt;0,$E5270=INDEX(DarlTilgStart,11)),$J5270*($H5270+INDEX(DarlTilgung,11))/100/12,IF(AND($G5270=0,$G5269=1),MAX($K5269,$J5270*($H5270+1)/100/12),$K5269))))</f>
      </c>
      <c r="L5270" s="43">
        <f>IF($I5270=0,0,$J5270*$H5270/100/12)</f>
      </c>
      <c r="M5270" s="43">
        <f>IF($I5270=0,0,IF(OR(INDEX(DarlOhneTilgung,11)=1,AND(INDEX(DarlTilgStart,11)&gt;0,$E5270&lt;INDEX(DarlTilgStart,11))),0,MIN(MAX(0,$K5270-$L5270),$J5270)))</f>
      </c>
      <c r="N5270" s="43">
        <f>IF($I5270=0,0,MIN(SUMIFS(SondBetrag,SondDarl,11,SondDatum,"&gt;="&amp;$E5270,SondDatum,"&lt;="&amp;EOMONTH($E5270,0)),$J5270-$M5270))</f>
      </c>
      <c r="O5270" s="43">
        <f>IF($I5270=0,0,INDEX(DarlErsatzRate,11))</f>
      </c>
      <c r="P5270" s="43">
        <f>IF($I5270=0,0,$Q5269*INDEX(DarlErsatzZins,11))</f>
      </c>
      <c r="Q5270" s="43">
        <f>IF($I5270=0,0,$Q5269+$P5270+$O5270)</f>
      </c>
      <c r="R5270" s="43">
        <f>IF($I5270=0,0,$J5270-$M5270-$N5270)</f>
      </c>
    </row>
    <row r="5271">
      <c r="A5271"/>
      <c r="B5271">
        <v>11</v>
      </c>
      <c r="C5271" s="43">
        <f>INDEX(DarlObj,11)</f>
      </c>
      <c r="D5271">
        <v>468</v>
      </c>
      <c r="E5271" s="51">
        <f>IF(INDEX(DarlBelegt,11)=0,0,EOMONTH(INDEX(DarlAuszahlung,11),467)+1)</f>
      </c>
      <c r="F5271" s="43">
        <f>IF($E5271=0,0,YEAR($E5271))</f>
      </c>
      <c r="G5271" s="43">
        <f>IF(INDEX(DarlBindung,11)="",1,IF($E5271&lt;=INDEX(DarlBindung,11),1,0))</f>
      </c>
      <c r="H5271" s="43">
        <f>IF($G5271=1,INDEX(DarlSollzins,11),INDEX(DarlAnschluss,11))</f>
      </c>
      <c r="I5271" s="43">
        <f>IF(INDEX(DarlBelegt,11)=0,0,IF(INDEX(DarlOhneTilgung,11)=1,IF(INDEX(DarlBindung,11)="",1,$G5271),IF($J5271&gt;0.005,1,0)))</f>
      </c>
      <c r="J5271" s="43">
        <f>IF($I5270=0,0,$R5270)</f>
      </c>
      <c r="K5271" s="43">
        <f>IF($I5271=0,0,IF(INDEX(DarlOhneTilgung,11)=1,0,IF(AND(INDEX(DarlTilgStart,11)&gt;0,$E5271=INDEX(DarlTilgStart,11)),$J5271*($H5271+INDEX(DarlTilgung,11))/100/12,IF(AND($G5271=0,$G5270=1),MAX($K5270,$J5271*($H5271+1)/100/12),$K5270))))</f>
      </c>
      <c r="L5271" s="43">
        <f>IF($I5271=0,0,$J5271*$H5271/100/12)</f>
      </c>
      <c r="M5271" s="43">
        <f>IF($I5271=0,0,IF(OR(INDEX(DarlOhneTilgung,11)=1,AND(INDEX(DarlTilgStart,11)&gt;0,$E5271&lt;INDEX(DarlTilgStart,11))),0,MIN(MAX(0,$K5271-$L5271),$J5271)))</f>
      </c>
      <c r="N5271" s="43">
        <f>IF($I5271=0,0,MIN(SUMIFS(SondBetrag,SondDarl,11,SondDatum,"&gt;="&amp;$E5271,SondDatum,"&lt;="&amp;EOMONTH($E5271,0)),$J5271-$M5271))</f>
      </c>
      <c r="O5271" s="43">
        <f>IF($I5271=0,0,INDEX(DarlErsatzRate,11))</f>
      </c>
      <c r="P5271" s="43">
        <f>IF($I5271=0,0,$Q5270*INDEX(DarlErsatzZins,11))</f>
      </c>
      <c r="Q5271" s="43">
        <f>IF($I5271=0,0,$Q5270+$P5271+$O5271)</f>
      </c>
      <c r="R5271" s="43">
        <f>IF($I5271=0,0,$J5271-$M5271-$N5271)</f>
      </c>
    </row>
    <row r="5272">
      <c r="A5272"/>
      <c r="B5272">
        <v>11</v>
      </c>
      <c r="C5272" s="43">
        <f>INDEX(DarlObj,11)</f>
      </c>
      <c r="D5272">
        <v>469</v>
      </c>
      <c r="E5272" s="51">
        <f>IF(INDEX(DarlBelegt,11)=0,0,EOMONTH(INDEX(DarlAuszahlung,11),468)+1)</f>
      </c>
      <c r="F5272" s="43">
        <f>IF($E5272=0,0,YEAR($E5272))</f>
      </c>
      <c r="G5272" s="43">
        <f>IF(INDEX(DarlBindung,11)="",1,IF($E5272&lt;=INDEX(DarlBindung,11),1,0))</f>
      </c>
      <c r="H5272" s="43">
        <f>IF($G5272=1,INDEX(DarlSollzins,11),INDEX(DarlAnschluss,11))</f>
      </c>
      <c r="I5272" s="43">
        <f>IF(INDEX(DarlBelegt,11)=0,0,IF(INDEX(DarlOhneTilgung,11)=1,IF(INDEX(DarlBindung,11)="",1,$G5272),IF($J5272&gt;0.005,1,0)))</f>
      </c>
      <c r="J5272" s="43">
        <f>IF($I5271=0,0,$R5271)</f>
      </c>
      <c r="K5272" s="43">
        <f>IF($I5272=0,0,IF(INDEX(DarlOhneTilgung,11)=1,0,IF(AND(INDEX(DarlTilgStart,11)&gt;0,$E5272=INDEX(DarlTilgStart,11)),$J5272*($H5272+INDEX(DarlTilgung,11))/100/12,IF(AND($G5272=0,$G5271=1),MAX($K5271,$J5272*($H5272+1)/100/12),$K5271))))</f>
      </c>
      <c r="L5272" s="43">
        <f>IF($I5272=0,0,$J5272*$H5272/100/12)</f>
      </c>
      <c r="M5272" s="43">
        <f>IF($I5272=0,0,IF(OR(INDEX(DarlOhneTilgung,11)=1,AND(INDEX(DarlTilgStart,11)&gt;0,$E5272&lt;INDEX(DarlTilgStart,11))),0,MIN(MAX(0,$K5272-$L5272),$J5272)))</f>
      </c>
      <c r="N5272" s="43">
        <f>IF($I5272=0,0,MIN(SUMIFS(SondBetrag,SondDarl,11,SondDatum,"&gt;="&amp;$E5272,SondDatum,"&lt;="&amp;EOMONTH($E5272,0)),$J5272-$M5272))</f>
      </c>
      <c r="O5272" s="43">
        <f>IF($I5272=0,0,INDEX(DarlErsatzRate,11))</f>
      </c>
      <c r="P5272" s="43">
        <f>IF($I5272=0,0,$Q5271*INDEX(DarlErsatzZins,11))</f>
      </c>
      <c r="Q5272" s="43">
        <f>IF($I5272=0,0,$Q5271+$P5272+$O5272)</f>
      </c>
      <c r="R5272" s="43">
        <f>IF($I5272=0,0,$J5272-$M5272-$N5272)</f>
      </c>
    </row>
    <row r="5273">
      <c r="A5273"/>
      <c r="B5273">
        <v>11</v>
      </c>
      <c r="C5273" s="43">
        <f>INDEX(DarlObj,11)</f>
      </c>
      <c r="D5273">
        <v>470</v>
      </c>
      <c r="E5273" s="51">
        <f>IF(INDEX(DarlBelegt,11)=0,0,EOMONTH(INDEX(DarlAuszahlung,11),469)+1)</f>
      </c>
      <c r="F5273" s="43">
        <f>IF($E5273=0,0,YEAR($E5273))</f>
      </c>
      <c r="G5273" s="43">
        <f>IF(INDEX(DarlBindung,11)="",1,IF($E5273&lt;=INDEX(DarlBindung,11),1,0))</f>
      </c>
      <c r="H5273" s="43">
        <f>IF($G5273=1,INDEX(DarlSollzins,11),INDEX(DarlAnschluss,11))</f>
      </c>
      <c r="I5273" s="43">
        <f>IF(INDEX(DarlBelegt,11)=0,0,IF(INDEX(DarlOhneTilgung,11)=1,IF(INDEX(DarlBindung,11)="",1,$G5273),IF($J5273&gt;0.005,1,0)))</f>
      </c>
      <c r="J5273" s="43">
        <f>IF($I5272=0,0,$R5272)</f>
      </c>
      <c r="K5273" s="43">
        <f>IF($I5273=0,0,IF(INDEX(DarlOhneTilgung,11)=1,0,IF(AND(INDEX(DarlTilgStart,11)&gt;0,$E5273=INDEX(DarlTilgStart,11)),$J5273*($H5273+INDEX(DarlTilgung,11))/100/12,IF(AND($G5273=0,$G5272=1),MAX($K5272,$J5273*($H5273+1)/100/12),$K5272))))</f>
      </c>
      <c r="L5273" s="43">
        <f>IF($I5273=0,0,$J5273*$H5273/100/12)</f>
      </c>
      <c r="M5273" s="43">
        <f>IF($I5273=0,0,IF(OR(INDEX(DarlOhneTilgung,11)=1,AND(INDEX(DarlTilgStart,11)&gt;0,$E5273&lt;INDEX(DarlTilgStart,11))),0,MIN(MAX(0,$K5273-$L5273),$J5273)))</f>
      </c>
      <c r="N5273" s="43">
        <f>IF($I5273=0,0,MIN(SUMIFS(SondBetrag,SondDarl,11,SondDatum,"&gt;="&amp;$E5273,SondDatum,"&lt;="&amp;EOMONTH($E5273,0)),$J5273-$M5273))</f>
      </c>
      <c r="O5273" s="43">
        <f>IF($I5273=0,0,INDEX(DarlErsatzRate,11))</f>
      </c>
      <c r="P5273" s="43">
        <f>IF($I5273=0,0,$Q5272*INDEX(DarlErsatzZins,11))</f>
      </c>
      <c r="Q5273" s="43">
        <f>IF($I5273=0,0,$Q5272+$P5273+$O5273)</f>
      </c>
      <c r="R5273" s="43">
        <f>IF($I5273=0,0,$J5273-$M5273-$N5273)</f>
      </c>
    </row>
    <row r="5274">
      <c r="A5274"/>
      <c r="B5274">
        <v>11</v>
      </c>
      <c r="C5274" s="43">
        <f>INDEX(DarlObj,11)</f>
      </c>
      <c r="D5274">
        <v>471</v>
      </c>
      <c r="E5274" s="51">
        <f>IF(INDEX(DarlBelegt,11)=0,0,EOMONTH(INDEX(DarlAuszahlung,11),470)+1)</f>
      </c>
      <c r="F5274" s="43">
        <f>IF($E5274=0,0,YEAR($E5274))</f>
      </c>
      <c r="G5274" s="43">
        <f>IF(INDEX(DarlBindung,11)="",1,IF($E5274&lt;=INDEX(DarlBindung,11),1,0))</f>
      </c>
      <c r="H5274" s="43">
        <f>IF($G5274=1,INDEX(DarlSollzins,11),INDEX(DarlAnschluss,11))</f>
      </c>
      <c r="I5274" s="43">
        <f>IF(INDEX(DarlBelegt,11)=0,0,IF(INDEX(DarlOhneTilgung,11)=1,IF(INDEX(DarlBindung,11)="",1,$G5274),IF($J5274&gt;0.005,1,0)))</f>
      </c>
      <c r="J5274" s="43">
        <f>IF($I5273=0,0,$R5273)</f>
      </c>
      <c r="K5274" s="43">
        <f>IF($I5274=0,0,IF(INDEX(DarlOhneTilgung,11)=1,0,IF(AND(INDEX(DarlTilgStart,11)&gt;0,$E5274=INDEX(DarlTilgStart,11)),$J5274*($H5274+INDEX(DarlTilgung,11))/100/12,IF(AND($G5274=0,$G5273=1),MAX($K5273,$J5274*($H5274+1)/100/12),$K5273))))</f>
      </c>
      <c r="L5274" s="43">
        <f>IF($I5274=0,0,$J5274*$H5274/100/12)</f>
      </c>
      <c r="M5274" s="43">
        <f>IF($I5274=0,0,IF(OR(INDEX(DarlOhneTilgung,11)=1,AND(INDEX(DarlTilgStart,11)&gt;0,$E5274&lt;INDEX(DarlTilgStart,11))),0,MIN(MAX(0,$K5274-$L5274),$J5274)))</f>
      </c>
      <c r="N5274" s="43">
        <f>IF($I5274=0,0,MIN(SUMIFS(SondBetrag,SondDarl,11,SondDatum,"&gt;="&amp;$E5274,SondDatum,"&lt;="&amp;EOMONTH($E5274,0)),$J5274-$M5274))</f>
      </c>
      <c r="O5274" s="43">
        <f>IF($I5274=0,0,INDEX(DarlErsatzRate,11))</f>
      </c>
      <c r="P5274" s="43">
        <f>IF($I5274=0,0,$Q5273*INDEX(DarlErsatzZins,11))</f>
      </c>
      <c r="Q5274" s="43">
        <f>IF($I5274=0,0,$Q5273+$P5274+$O5274)</f>
      </c>
      <c r="R5274" s="43">
        <f>IF($I5274=0,0,$J5274-$M5274-$N5274)</f>
      </c>
    </row>
    <row r="5275">
      <c r="A5275"/>
      <c r="B5275">
        <v>11</v>
      </c>
      <c r="C5275" s="43">
        <f>INDEX(DarlObj,11)</f>
      </c>
      <c r="D5275">
        <v>472</v>
      </c>
      <c r="E5275" s="51">
        <f>IF(INDEX(DarlBelegt,11)=0,0,EOMONTH(INDEX(DarlAuszahlung,11),471)+1)</f>
      </c>
      <c r="F5275" s="43">
        <f>IF($E5275=0,0,YEAR($E5275))</f>
      </c>
      <c r="G5275" s="43">
        <f>IF(INDEX(DarlBindung,11)="",1,IF($E5275&lt;=INDEX(DarlBindung,11),1,0))</f>
      </c>
      <c r="H5275" s="43">
        <f>IF($G5275=1,INDEX(DarlSollzins,11),INDEX(DarlAnschluss,11))</f>
      </c>
      <c r="I5275" s="43">
        <f>IF(INDEX(DarlBelegt,11)=0,0,IF(INDEX(DarlOhneTilgung,11)=1,IF(INDEX(DarlBindung,11)="",1,$G5275),IF($J5275&gt;0.005,1,0)))</f>
      </c>
      <c r="J5275" s="43">
        <f>IF($I5274=0,0,$R5274)</f>
      </c>
      <c r="K5275" s="43">
        <f>IF($I5275=0,0,IF(INDEX(DarlOhneTilgung,11)=1,0,IF(AND(INDEX(DarlTilgStart,11)&gt;0,$E5275=INDEX(DarlTilgStart,11)),$J5275*($H5275+INDEX(DarlTilgung,11))/100/12,IF(AND($G5275=0,$G5274=1),MAX($K5274,$J5275*($H5275+1)/100/12),$K5274))))</f>
      </c>
      <c r="L5275" s="43">
        <f>IF($I5275=0,0,$J5275*$H5275/100/12)</f>
      </c>
      <c r="M5275" s="43">
        <f>IF($I5275=0,0,IF(OR(INDEX(DarlOhneTilgung,11)=1,AND(INDEX(DarlTilgStart,11)&gt;0,$E5275&lt;INDEX(DarlTilgStart,11))),0,MIN(MAX(0,$K5275-$L5275),$J5275)))</f>
      </c>
      <c r="N5275" s="43">
        <f>IF($I5275=0,0,MIN(SUMIFS(SondBetrag,SondDarl,11,SondDatum,"&gt;="&amp;$E5275,SondDatum,"&lt;="&amp;EOMONTH($E5275,0)),$J5275-$M5275))</f>
      </c>
      <c r="O5275" s="43">
        <f>IF($I5275=0,0,INDEX(DarlErsatzRate,11))</f>
      </c>
      <c r="P5275" s="43">
        <f>IF($I5275=0,0,$Q5274*INDEX(DarlErsatzZins,11))</f>
      </c>
      <c r="Q5275" s="43">
        <f>IF($I5275=0,0,$Q5274+$P5275+$O5275)</f>
      </c>
      <c r="R5275" s="43">
        <f>IF($I5275=0,0,$J5275-$M5275-$N5275)</f>
      </c>
    </row>
    <row r="5276">
      <c r="A5276"/>
      <c r="B5276">
        <v>11</v>
      </c>
      <c r="C5276" s="43">
        <f>INDEX(DarlObj,11)</f>
      </c>
      <c r="D5276">
        <v>473</v>
      </c>
      <c r="E5276" s="51">
        <f>IF(INDEX(DarlBelegt,11)=0,0,EOMONTH(INDEX(DarlAuszahlung,11),472)+1)</f>
      </c>
      <c r="F5276" s="43">
        <f>IF($E5276=0,0,YEAR($E5276))</f>
      </c>
      <c r="G5276" s="43">
        <f>IF(INDEX(DarlBindung,11)="",1,IF($E5276&lt;=INDEX(DarlBindung,11),1,0))</f>
      </c>
      <c r="H5276" s="43">
        <f>IF($G5276=1,INDEX(DarlSollzins,11),INDEX(DarlAnschluss,11))</f>
      </c>
      <c r="I5276" s="43">
        <f>IF(INDEX(DarlBelegt,11)=0,0,IF(INDEX(DarlOhneTilgung,11)=1,IF(INDEX(DarlBindung,11)="",1,$G5276),IF($J5276&gt;0.005,1,0)))</f>
      </c>
      <c r="J5276" s="43">
        <f>IF($I5275=0,0,$R5275)</f>
      </c>
      <c r="K5276" s="43">
        <f>IF($I5276=0,0,IF(INDEX(DarlOhneTilgung,11)=1,0,IF(AND(INDEX(DarlTilgStart,11)&gt;0,$E5276=INDEX(DarlTilgStart,11)),$J5276*($H5276+INDEX(DarlTilgung,11))/100/12,IF(AND($G5276=0,$G5275=1),MAX($K5275,$J5276*($H5276+1)/100/12),$K5275))))</f>
      </c>
      <c r="L5276" s="43">
        <f>IF($I5276=0,0,$J5276*$H5276/100/12)</f>
      </c>
      <c r="M5276" s="43">
        <f>IF($I5276=0,0,IF(OR(INDEX(DarlOhneTilgung,11)=1,AND(INDEX(DarlTilgStart,11)&gt;0,$E5276&lt;INDEX(DarlTilgStart,11))),0,MIN(MAX(0,$K5276-$L5276),$J5276)))</f>
      </c>
      <c r="N5276" s="43">
        <f>IF($I5276=0,0,MIN(SUMIFS(SondBetrag,SondDarl,11,SondDatum,"&gt;="&amp;$E5276,SondDatum,"&lt;="&amp;EOMONTH($E5276,0)),$J5276-$M5276))</f>
      </c>
      <c r="O5276" s="43">
        <f>IF($I5276=0,0,INDEX(DarlErsatzRate,11))</f>
      </c>
      <c r="P5276" s="43">
        <f>IF($I5276=0,0,$Q5275*INDEX(DarlErsatzZins,11))</f>
      </c>
      <c r="Q5276" s="43">
        <f>IF($I5276=0,0,$Q5275+$P5276+$O5276)</f>
      </c>
      <c r="R5276" s="43">
        <f>IF($I5276=0,0,$J5276-$M5276-$N5276)</f>
      </c>
    </row>
    <row r="5277">
      <c r="A5277"/>
      <c r="B5277">
        <v>11</v>
      </c>
      <c r="C5277" s="43">
        <f>INDEX(DarlObj,11)</f>
      </c>
      <c r="D5277">
        <v>474</v>
      </c>
      <c r="E5277" s="51">
        <f>IF(INDEX(DarlBelegt,11)=0,0,EOMONTH(INDEX(DarlAuszahlung,11),473)+1)</f>
      </c>
      <c r="F5277" s="43">
        <f>IF($E5277=0,0,YEAR($E5277))</f>
      </c>
      <c r="G5277" s="43">
        <f>IF(INDEX(DarlBindung,11)="",1,IF($E5277&lt;=INDEX(DarlBindung,11),1,0))</f>
      </c>
      <c r="H5277" s="43">
        <f>IF($G5277=1,INDEX(DarlSollzins,11),INDEX(DarlAnschluss,11))</f>
      </c>
      <c r="I5277" s="43">
        <f>IF(INDEX(DarlBelegt,11)=0,0,IF(INDEX(DarlOhneTilgung,11)=1,IF(INDEX(DarlBindung,11)="",1,$G5277),IF($J5277&gt;0.005,1,0)))</f>
      </c>
      <c r="J5277" s="43">
        <f>IF($I5276=0,0,$R5276)</f>
      </c>
      <c r="K5277" s="43">
        <f>IF($I5277=0,0,IF(INDEX(DarlOhneTilgung,11)=1,0,IF(AND(INDEX(DarlTilgStart,11)&gt;0,$E5277=INDEX(DarlTilgStart,11)),$J5277*($H5277+INDEX(DarlTilgung,11))/100/12,IF(AND($G5277=0,$G5276=1),MAX($K5276,$J5277*($H5277+1)/100/12),$K5276))))</f>
      </c>
      <c r="L5277" s="43">
        <f>IF($I5277=0,0,$J5277*$H5277/100/12)</f>
      </c>
      <c r="M5277" s="43">
        <f>IF($I5277=0,0,IF(OR(INDEX(DarlOhneTilgung,11)=1,AND(INDEX(DarlTilgStart,11)&gt;0,$E5277&lt;INDEX(DarlTilgStart,11))),0,MIN(MAX(0,$K5277-$L5277),$J5277)))</f>
      </c>
      <c r="N5277" s="43">
        <f>IF($I5277=0,0,MIN(SUMIFS(SondBetrag,SondDarl,11,SondDatum,"&gt;="&amp;$E5277,SondDatum,"&lt;="&amp;EOMONTH($E5277,0)),$J5277-$M5277))</f>
      </c>
      <c r="O5277" s="43">
        <f>IF($I5277=0,0,INDEX(DarlErsatzRate,11))</f>
      </c>
      <c r="P5277" s="43">
        <f>IF($I5277=0,0,$Q5276*INDEX(DarlErsatzZins,11))</f>
      </c>
      <c r="Q5277" s="43">
        <f>IF($I5277=0,0,$Q5276+$P5277+$O5277)</f>
      </c>
      <c r="R5277" s="43">
        <f>IF($I5277=0,0,$J5277-$M5277-$N5277)</f>
      </c>
    </row>
    <row r="5278">
      <c r="A5278"/>
      <c r="B5278">
        <v>11</v>
      </c>
      <c r="C5278" s="43">
        <f>INDEX(DarlObj,11)</f>
      </c>
      <c r="D5278">
        <v>475</v>
      </c>
      <c r="E5278" s="51">
        <f>IF(INDEX(DarlBelegt,11)=0,0,EOMONTH(INDEX(DarlAuszahlung,11),474)+1)</f>
      </c>
      <c r="F5278" s="43">
        <f>IF($E5278=0,0,YEAR($E5278))</f>
      </c>
      <c r="G5278" s="43">
        <f>IF(INDEX(DarlBindung,11)="",1,IF($E5278&lt;=INDEX(DarlBindung,11),1,0))</f>
      </c>
      <c r="H5278" s="43">
        <f>IF($G5278=1,INDEX(DarlSollzins,11),INDEX(DarlAnschluss,11))</f>
      </c>
      <c r="I5278" s="43">
        <f>IF(INDEX(DarlBelegt,11)=0,0,IF(INDEX(DarlOhneTilgung,11)=1,IF(INDEX(DarlBindung,11)="",1,$G5278),IF($J5278&gt;0.005,1,0)))</f>
      </c>
      <c r="J5278" s="43">
        <f>IF($I5277=0,0,$R5277)</f>
      </c>
      <c r="K5278" s="43">
        <f>IF($I5278=0,0,IF(INDEX(DarlOhneTilgung,11)=1,0,IF(AND(INDEX(DarlTilgStart,11)&gt;0,$E5278=INDEX(DarlTilgStart,11)),$J5278*($H5278+INDEX(DarlTilgung,11))/100/12,IF(AND($G5278=0,$G5277=1),MAX($K5277,$J5278*($H5278+1)/100/12),$K5277))))</f>
      </c>
      <c r="L5278" s="43">
        <f>IF($I5278=0,0,$J5278*$H5278/100/12)</f>
      </c>
      <c r="M5278" s="43">
        <f>IF($I5278=0,0,IF(OR(INDEX(DarlOhneTilgung,11)=1,AND(INDEX(DarlTilgStart,11)&gt;0,$E5278&lt;INDEX(DarlTilgStart,11))),0,MIN(MAX(0,$K5278-$L5278),$J5278)))</f>
      </c>
      <c r="N5278" s="43">
        <f>IF($I5278=0,0,MIN(SUMIFS(SondBetrag,SondDarl,11,SondDatum,"&gt;="&amp;$E5278,SondDatum,"&lt;="&amp;EOMONTH($E5278,0)),$J5278-$M5278))</f>
      </c>
      <c r="O5278" s="43">
        <f>IF($I5278=0,0,INDEX(DarlErsatzRate,11))</f>
      </c>
      <c r="P5278" s="43">
        <f>IF($I5278=0,0,$Q5277*INDEX(DarlErsatzZins,11))</f>
      </c>
      <c r="Q5278" s="43">
        <f>IF($I5278=0,0,$Q5277+$P5278+$O5278)</f>
      </c>
      <c r="R5278" s="43">
        <f>IF($I5278=0,0,$J5278-$M5278-$N5278)</f>
      </c>
    </row>
    <row r="5279">
      <c r="A5279"/>
      <c r="B5279">
        <v>11</v>
      </c>
      <c r="C5279" s="43">
        <f>INDEX(DarlObj,11)</f>
      </c>
      <c r="D5279">
        <v>476</v>
      </c>
      <c r="E5279" s="51">
        <f>IF(INDEX(DarlBelegt,11)=0,0,EOMONTH(INDEX(DarlAuszahlung,11),475)+1)</f>
      </c>
      <c r="F5279" s="43">
        <f>IF($E5279=0,0,YEAR($E5279))</f>
      </c>
      <c r="G5279" s="43">
        <f>IF(INDEX(DarlBindung,11)="",1,IF($E5279&lt;=INDEX(DarlBindung,11),1,0))</f>
      </c>
      <c r="H5279" s="43">
        <f>IF($G5279=1,INDEX(DarlSollzins,11),INDEX(DarlAnschluss,11))</f>
      </c>
      <c r="I5279" s="43">
        <f>IF(INDEX(DarlBelegt,11)=0,0,IF(INDEX(DarlOhneTilgung,11)=1,IF(INDEX(DarlBindung,11)="",1,$G5279),IF($J5279&gt;0.005,1,0)))</f>
      </c>
      <c r="J5279" s="43">
        <f>IF($I5278=0,0,$R5278)</f>
      </c>
      <c r="K5279" s="43">
        <f>IF($I5279=0,0,IF(INDEX(DarlOhneTilgung,11)=1,0,IF(AND(INDEX(DarlTilgStart,11)&gt;0,$E5279=INDEX(DarlTilgStart,11)),$J5279*($H5279+INDEX(DarlTilgung,11))/100/12,IF(AND($G5279=0,$G5278=1),MAX($K5278,$J5279*($H5279+1)/100/12),$K5278))))</f>
      </c>
      <c r="L5279" s="43">
        <f>IF($I5279=0,0,$J5279*$H5279/100/12)</f>
      </c>
      <c r="M5279" s="43">
        <f>IF($I5279=0,0,IF(OR(INDEX(DarlOhneTilgung,11)=1,AND(INDEX(DarlTilgStart,11)&gt;0,$E5279&lt;INDEX(DarlTilgStart,11))),0,MIN(MAX(0,$K5279-$L5279),$J5279)))</f>
      </c>
      <c r="N5279" s="43">
        <f>IF($I5279=0,0,MIN(SUMIFS(SondBetrag,SondDarl,11,SondDatum,"&gt;="&amp;$E5279,SondDatum,"&lt;="&amp;EOMONTH($E5279,0)),$J5279-$M5279))</f>
      </c>
      <c r="O5279" s="43">
        <f>IF($I5279=0,0,INDEX(DarlErsatzRate,11))</f>
      </c>
      <c r="P5279" s="43">
        <f>IF($I5279=0,0,$Q5278*INDEX(DarlErsatzZins,11))</f>
      </c>
      <c r="Q5279" s="43">
        <f>IF($I5279=0,0,$Q5278+$P5279+$O5279)</f>
      </c>
      <c r="R5279" s="43">
        <f>IF($I5279=0,0,$J5279-$M5279-$N5279)</f>
      </c>
    </row>
    <row r="5280">
      <c r="A5280"/>
      <c r="B5280">
        <v>11</v>
      </c>
      <c r="C5280" s="43">
        <f>INDEX(DarlObj,11)</f>
      </c>
      <c r="D5280">
        <v>477</v>
      </c>
      <c r="E5280" s="51">
        <f>IF(INDEX(DarlBelegt,11)=0,0,EOMONTH(INDEX(DarlAuszahlung,11),476)+1)</f>
      </c>
      <c r="F5280" s="43">
        <f>IF($E5280=0,0,YEAR($E5280))</f>
      </c>
      <c r="G5280" s="43">
        <f>IF(INDEX(DarlBindung,11)="",1,IF($E5280&lt;=INDEX(DarlBindung,11),1,0))</f>
      </c>
      <c r="H5280" s="43">
        <f>IF($G5280=1,INDEX(DarlSollzins,11),INDEX(DarlAnschluss,11))</f>
      </c>
      <c r="I5280" s="43">
        <f>IF(INDEX(DarlBelegt,11)=0,0,IF(INDEX(DarlOhneTilgung,11)=1,IF(INDEX(DarlBindung,11)="",1,$G5280),IF($J5280&gt;0.005,1,0)))</f>
      </c>
      <c r="J5280" s="43">
        <f>IF($I5279=0,0,$R5279)</f>
      </c>
      <c r="K5280" s="43">
        <f>IF($I5280=0,0,IF(INDEX(DarlOhneTilgung,11)=1,0,IF(AND(INDEX(DarlTilgStart,11)&gt;0,$E5280=INDEX(DarlTilgStart,11)),$J5280*($H5280+INDEX(DarlTilgung,11))/100/12,IF(AND($G5280=0,$G5279=1),MAX($K5279,$J5280*($H5280+1)/100/12),$K5279))))</f>
      </c>
      <c r="L5280" s="43">
        <f>IF($I5280=0,0,$J5280*$H5280/100/12)</f>
      </c>
      <c r="M5280" s="43">
        <f>IF($I5280=0,0,IF(OR(INDEX(DarlOhneTilgung,11)=1,AND(INDEX(DarlTilgStart,11)&gt;0,$E5280&lt;INDEX(DarlTilgStart,11))),0,MIN(MAX(0,$K5280-$L5280),$J5280)))</f>
      </c>
      <c r="N5280" s="43">
        <f>IF($I5280=0,0,MIN(SUMIFS(SondBetrag,SondDarl,11,SondDatum,"&gt;="&amp;$E5280,SondDatum,"&lt;="&amp;EOMONTH($E5280,0)),$J5280-$M5280))</f>
      </c>
      <c r="O5280" s="43">
        <f>IF($I5280=0,0,INDEX(DarlErsatzRate,11))</f>
      </c>
      <c r="P5280" s="43">
        <f>IF($I5280=0,0,$Q5279*INDEX(DarlErsatzZins,11))</f>
      </c>
      <c r="Q5280" s="43">
        <f>IF($I5280=0,0,$Q5279+$P5280+$O5280)</f>
      </c>
      <c r="R5280" s="43">
        <f>IF($I5280=0,0,$J5280-$M5280-$N5280)</f>
      </c>
    </row>
    <row r="5281">
      <c r="A5281"/>
      <c r="B5281">
        <v>11</v>
      </c>
      <c r="C5281" s="43">
        <f>INDEX(DarlObj,11)</f>
      </c>
      <c r="D5281">
        <v>478</v>
      </c>
      <c r="E5281" s="51">
        <f>IF(INDEX(DarlBelegt,11)=0,0,EOMONTH(INDEX(DarlAuszahlung,11),477)+1)</f>
      </c>
      <c r="F5281" s="43">
        <f>IF($E5281=0,0,YEAR($E5281))</f>
      </c>
      <c r="G5281" s="43">
        <f>IF(INDEX(DarlBindung,11)="",1,IF($E5281&lt;=INDEX(DarlBindung,11),1,0))</f>
      </c>
      <c r="H5281" s="43">
        <f>IF($G5281=1,INDEX(DarlSollzins,11),INDEX(DarlAnschluss,11))</f>
      </c>
      <c r="I5281" s="43">
        <f>IF(INDEX(DarlBelegt,11)=0,0,IF(INDEX(DarlOhneTilgung,11)=1,IF(INDEX(DarlBindung,11)="",1,$G5281),IF($J5281&gt;0.005,1,0)))</f>
      </c>
      <c r="J5281" s="43">
        <f>IF($I5280=0,0,$R5280)</f>
      </c>
      <c r="K5281" s="43">
        <f>IF($I5281=0,0,IF(INDEX(DarlOhneTilgung,11)=1,0,IF(AND(INDEX(DarlTilgStart,11)&gt;0,$E5281=INDEX(DarlTilgStart,11)),$J5281*($H5281+INDEX(DarlTilgung,11))/100/12,IF(AND($G5281=0,$G5280=1),MAX($K5280,$J5281*($H5281+1)/100/12),$K5280))))</f>
      </c>
      <c r="L5281" s="43">
        <f>IF($I5281=0,0,$J5281*$H5281/100/12)</f>
      </c>
      <c r="M5281" s="43">
        <f>IF($I5281=0,0,IF(OR(INDEX(DarlOhneTilgung,11)=1,AND(INDEX(DarlTilgStart,11)&gt;0,$E5281&lt;INDEX(DarlTilgStart,11))),0,MIN(MAX(0,$K5281-$L5281),$J5281)))</f>
      </c>
      <c r="N5281" s="43">
        <f>IF($I5281=0,0,MIN(SUMIFS(SondBetrag,SondDarl,11,SondDatum,"&gt;="&amp;$E5281,SondDatum,"&lt;="&amp;EOMONTH($E5281,0)),$J5281-$M5281))</f>
      </c>
      <c r="O5281" s="43">
        <f>IF($I5281=0,0,INDEX(DarlErsatzRate,11))</f>
      </c>
      <c r="P5281" s="43">
        <f>IF($I5281=0,0,$Q5280*INDEX(DarlErsatzZins,11))</f>
      </c>
      <c r="Q5281" s="43">
        <f>IF($I5281=0,0,$Q5280+$P5281+$O5281)</f>
      </c>
      <c r="R5281" s="43">
        <f>IF($I5281=0,0,$J5281-$M5281-$N5281)</f>
      </c>
    </row>
    <row r="5282">
      <c r="A5282"/>
      <c r="B5282">
        <v>11</v>
      </c>
      <c r="C5282" s="43">
        <f>INDEX(DarlObj,11)</f>
      </c>
      <c r="D5282">
        <v>479</v>
      </c>
      <c r="E5282" s="51">
        <f>IF(INDEX(DarlBelegt,11)=0,0,EOMONTH(INDEX(DarlAuszahlung,11),478)+1)</f>
      </c>
      <c r="F5282" s="43">
        <f>IF($E5282=0,0,YEAR($E5282))</f>
      </c>
      <c r="G5282" s="43">
        <f>IF(INDEX(DarlBindung,11)="",1,IF($E5282&lt;=INDEX(DarlBindung,11),1,0))</f>
      </c>
      <c r="H5282" s="43">
        <f>IF($G5282=1,INDEX(DarlSollzins,11),INDEX(DarlAnschluss,11))</f>
      </c>
      <c r="I5282" s="43">
        <f>IF(INDEX(DarlBelegt,11)=0,0,IF(INDEX(DarlOhneTilgung,11)=1,IF(INDEX(DarlBindung,11)="",1,$G5282),IF($J5282&gt;0.005,1,0)))</f>
      </c>
      <c r="J5282" s="43">
        <f>IF($I5281=0,0,$R5281)</f>
      </c>
      <c r="K5282" s="43">
        <f>IF($I5282=0,0,IF(INDEX(DarlOhneTilgung,11)=1,0,IF(AND(INDEX(DarlTilgStart,11)&gt;0,$E5282=INDEX(DarlTilgStart,11)),$J5282*($H5282+INDEX(DarlTilgung,11))/100/12,IF(AND($G5282=0,$G5281=1),MAX($K5281,$J5282*($H5282+1)/100/12),$K5281))))</f>
      </c>
      <c r="L5282" s="43">
        <f>IF($I5282=0,0,$J5282*$H5282/100/12)</f>
      </c>
      <c r="M5282" s="43">
        <f>IF($I5282=0,0,IF(OR(INDEX(DarlOhneTilgung,11)=1,AND(INDEX(DarlTilgStart,11)&gt;0,$E5282&lt;INDEX(DarlTilgStart,11))),0,MIN(MAX(0,$K5282-$L5282),$J5282)))</f>
      </c>
      <c r="N5282" s="43">
        <f>IF($I5282=0,0,MIN(SUMIFS(SondBetrag,SondDarl,11,SondDatum,"&gt;="&amp;$E5282,SondDatum,"&lt;="&amp;EOMONTH($E5282,0)),$J5282-$M5282))</f>
      </c>
      <c r="O5282" s="43">
        <f>IF($I5282=0,0,INDEX(DarlErsatzRate,11))</f>
      </c>
      <c r="P5282" s="43">
        <f>IF($I5282=0,0,$Q5281*INDEX(DarlErsatzZins,11))</f>
      </c>
      <c r="Q5282" s="43">
        <f>IF($I5282=0,0,$Q5281+$P5282+$O5282)</f>
      </c>
      <c r="R5282" s="43">
        <f>IF($I5282=0,0,$J5282-$M5282-$N5282)</f>
      </c>
    </row>
    <row r="5283">
      <c r="A5283"/>
      <c r="B5283">
        <v>11</v>
      </c>
      <c r="C5283" s="43">
        <f>INDEX(DarlObj,11)</f>
      </c>
      <c r="D5283">
        <v>480</v>
      </c>
      <c r="E5283" s="51">
        <f>IF(INDEX(DarlBelegt,11)=0,0,EOMONTH(INDEX(DarlAuszahlung,11),479)+1)</f>
      </c>
      <c r="F5283" s="43">
        <f>IF($E5283=0,0,YEAR($E5283))</f>
      </c>
      <c r="G5283" s="43">
        <f>IF(INDEX(DarlBindung,11)="",1,IF($E5283&lt;=INDEX(DarlBindung,11),1,0))</f>
      </c>
      <c r="H5283" s="43">
        <f>IF($G5283=1,INDEX(DarlSollzins,11),INDEX(DarlAnschluss,11))</f>
      </c>
      <c r="I5283" s="43">
        <f>IF(INDEX(DarlBelegt,11)=0,0,IF(INDEX(DarlOhneTilgung,11)=1,IF(INDEX(DarlBindung,11)="",1,$G5283),IF($J5283&gt;0.005,1,0)))</f>
      </c>
      <c r="J5283" s="43">
        <f>IF($I5282=0,0,$R5282)</f>
      </c>
      <c r="K5283" s="43">
        <f>IF($I5283=0,0,IF(INDEX(DarlOhneTilgung,11)=1,0,IF(AND(INDEX(DarlTilgStart,11)&gt;0,$E5283=INDEX(DarlTilgStart,11)),$J5283*($H5283+INDEX(DarlTilgung,11))/100/12,IF(AND($G5283=0,$G5282=1),MAX($K5282,$J5283*($H5283+1)/100/12),$K5282))))</f>
      </c>
      <c r="L5283" s="43">
        <f>IF($I5283=0,0,$J5283*$H5283/100/12)</f>
      </c>
      <c r="M5283" s="43">
        <f>IF($I5283=0,0,IF(OR(INDEX(DarlOhneTilgung,11)=1,AND(INDEX(DarlTilgStart,11)&gt;0,$E5283&lt;INDEX(DarlTilgStart,11))),0,MIN(MAX(0,$K5283-$L5283),$J5283)))</f>
      </c>
      <c r="N5283" s="43">
        <f>IF($I5283=0,0,MIN(SUMIFS(SondBetrag,SondDarl,11,SondDatum,"&gt;="&amp;$E5283,SondDatum,"&lt;="&amp;EOMONTH($E5283,0)),$J5283-$M5283))</f>
      </c>
      <c r="O5283" s="43">
        <f>IF($I5283=0,0,INDEX(DarlErsatzRate,11))</f>
      </c>
      <c r="P5283" s="43">
        <f>IF($I5283=0,0,$Q5282*INDEX(DarlErsatzZins,11))</f>
      </c>
      <c r="Q5283" s="43">
        <f>IF($I5283=0,0,$Q5282+$P5283+$O5283)</f>
      </c>
      <c r="R5283" s="43">
        <f>IF($I5283=0,0,$J5283-$M5283-$N5283)</f>
      </c>
    </row>
    <row r="5284">
      <c r="A5284"/>
      <c r="B5284">
        <v>12</v>
      </c>
      <c r="C5284" s="43">
        <f>INDEX(DarlObj,12)</f>
      </c>
      <c r="D5284">
        <v>1</v>
      </c>
      <c r="E5284" s="51">
        <f>IF(INDEX(DarlBelegt,12)=0,0,EOMONTH(INDEX(DarlAuszahlung,12),0)+1)</f>
      </c>
      <c r="F5284" s="43">
        <f>IF($E5284=0,0,YEAR($E5284))</f>
      </c>
      <c r="G5284" s="43">
        <f>IF(INDEX(DarlBindung,12)="",1,IF($E5284&lt;=INDEX(DarlBindung,12),1,0))</f>
      </c>
      <c r="H5284" s="43">
        <f>IF($G5284=1,INDEX(DarlSollzins,12),INDEX(DarlAnschluss,12))</f>
      </c>
      <c r="I5284" s="43">
        <f>IF(INDEX(DarlBelegt,12)=0,0,IF(INDEX(DarlOhneTilgung,12)=1,IF(INDEX(DarlBindung,12)="",1,$G5284),IF($J5284&gt;0.005,1,0)))</f>
      </c>
      <c r="J5284" s="43">
        <f>IF(INDEX(DarlBelegt,12)=0,0,INDEX(DarlBetrag,12))</f>
      </c>
      <c r="K5284" s="43">
        <f>IF($I5284=0,0,IF(INDEX(DarlOhneTilgung,12)=1,0,INDEX(DarlRate1,12)))</f>
      </c>
      <c r="L5284" s="43">
        <f>IF($I5284=0,0,$J5284*$H5284/100/12)</f>
      </c>
      <c r="M5284" s="43">
        <f>IF($I5284=0,0,IF(OR(INDEX(DarlOhneTilgung,12)=1,AND(INDEX(DarlTilgStart,12)&gt;0,$E5284&lt;INDEX(DarlTilgStart,12))),0,MIN(MAX(0,$K5284-$L5284),$J5284)))</f>
      </c>
      <c r="N5284" s="43">
        <f>IF($I5284=0,0,MIN(SUMIFS(SondBetrag,SondDarl,12,SondDatum,"&gt;="&amp;$E5284,SondDatum,"&lt;="&amp;EOMONTH($E5284,0)),$J5284-$M5284))</f>
      </c>
      <c r="O5284" s="43">
        <f>IF($I5284=0,0,INDEX(DarlErsatzRate,12))</f>
      </c>
      <c r="P5284" s="43">
        <f>0</f>
      </c>
      <c r="Q5284" s="43">
        <f>IF($I5284=0,0,$P5284+$O5284)</f>
      </c>
      <c r="R5284" s="43">
        <f>IF($I5284=0,0,$J5284-$M5284-$N5284)</f>
      </c>
    </row>
    <row r="5285">
      <c r="A5285"/>
      <c r="B5285">
        <v>12</v>
      </c>
      <c r="C5285" s="43">
        <f>INDEX(DarlObj,12)</f>
      </c>
      <c r="D5285">
        <v>2</v>
      </c>
      <c r="E5285" s="51">
        <f>IF(INDEX(DarlBelegt,12)=0,0,EOMONTH(INDEX(DarlAuszahlung,12),1)+1)</f>
      </c>
      <c r="F5285" s="43">
        <f>IF($E5285=0,0,YEAR($E5285))</f>
      </c>
      <c r="G5285" s="43">
        <f>IF(INDEX(DarlBindung,12)="",1,IF($E5285&lt;=INDEX(DarlBindung,12),1,0))</f>
      </c>
      <c r="H5285" s="43">
        <f>IF($G5285=1,INDEX(DarlSollzins,12),INDEX(DarlAnschluss,12))</f>
      </c>
      <c r="I5285" s="43">
        <f>IF(INDEX(DarlBelegt,12)=0,0,IF(INDEX(DarlOhneTilgung,12)=1,IF(INDEX(DarlBindung,12)="",1,$G5285),IF($J5285&gt;0.005,1,0)))</f>
      </c>
      <c r="J5285" s="43">
        <f>IF($I5284=0,0,$R5284)</f>
      </c>
      <c r="K5285" s="43">
        <f>IF($I5285=0,0,IF(INDEX(DarlOhneTilgung,12)=1,0,IF(AND(INDEX(DarlTilgStart,12)&gt;0,$E5285=INDEX(DarlTilgStart,12)),$J5285*($H5285+INDEX(DarlTilgung,12))/100/12,IF(AND($G5285=0,$G5284=1),MAX($K5284,$J5285*($H5285+1)/100/12),$K5284))))</f>
      </c>
      <c r="L5285" s="43">
        <f>IF($I5285=0,0,$J5285*$H5285/100/12)</f>
      </c>
      <c r="M5285" s="43">
        <f>IF($I5285=0,0,IF(OR(INDEX(DarlOhneTilgung,12)=1,AND(INDEX(DarlTilgStart,12)&gt;0,$E5285&lt;INDEX(DarlTilgStart,12))),0,MIN(MAX(0,$K5285-$L5285),$J5285)))</f>
      </c>
      <c r="N5285" s="43">
        <f>IF($I5285=0,0,MIN(SUMIFS(SondBetrag,SondDarl,12,SondDatum,"&gt;="&amp;$E5285,SondDatum,"&lt;="&amp;EOMONTH($E5285,0)),$J5285-$M5285))</f>
      </c>
      <c r="O5285" s="43">
        <f>IF($I5285=0,0,INDEX(DarlErsatzRate,12))</f>
      </c>
      <c r="P5285" s="43">
        <f>IF($I5285=0,0,$Q5284*INDEX(DarlErsatzZins,12))</f>
      </c>
      <c r="Q5285" s="43">
        <f>IF($I5285=0,0,$Q5284+$P5285+$O5285)</f>
      </c>
      <c r="R5285" s="43">
        <f>IF($I5285=0,0,$J5285-$M5285-$N5285)</f>
      </c>
    </row>
    <row r="5286">
      <c r="A5286"/>
      <c r="B5286">
        <v>12</v>
      </c>
      <c r="C5286" s="43">
        <f>INDEX(DarlObj,12)</f>
      </c>
      <c r="D5286">
        <v>3</v>
      </c>
      <c r="E5286" s="51">
        <f>IF(INDEX(DarlBelegt,12)=0,0,EOMONTH(INDEX(DarlAuszahlung,12),2)+1)</f>
      </c>
      <c r="F5286" s="43">
        <f>IF($E5286=0,0,YEAR($E5286))</f>
      </c>
      <c r="G5286" s="43">
        <f>IF(INDEX(DarlBindung,12)="",1,IF($E5286&lt;=INDEX(DarlBindung,12),1,0))</f>
      </c>
      <c r="H5286" s="43">
        <f>IF($G5286=1,INDEX(DarlSollzins,12),INDEX(DarlAnschluss,12))</f>
      </c>
      <c r="I5286" s="43">
        <f>IF(INDEX(DarlBelegt,12)=0,0,IF(INDEX(DarlOhneTilgung,12)=1,IF(INDEX(DarlBindung,12)="",1,$G5286),IF($J5286&gt;0.005,1,0)))</f>
      </c>
      <c r="J5286" s="43">
        <f>IF($I5285=0,0,$R5285)</f>
      </c>
      <c r="K5286" s="43">
        <f>IF($I5286=0,0,IF(INDEX(DarlOhneTilgung,12)=1,0,IF(AND(INDEX(DarlTilgStart,12)&gt;0,$E5286=INDEX(DarlTilgStart,12)),$J5286*($H5286+INDEX(DarlTilgung,12))/100/12,IF(AND($G5286=0,$G5285=1),MAX($K5285,$J5286*($H5286+1)/100/12),$K5285))))</f>
      </c>
      <c r="L5286" s="43">
        <f>IF($I5286=0,0,$J5286*$H5286/100/12)</f>
      </c>
      <c r="M5286" s="43">
        <f>IF($I5286=0,0,IF(OR(INDEX(DarlOhneTilgung,12)=1,AND(INDEX(DarlTilgStart,12)&gt;0,$E5286&lt;INDEX(DarlTilgStart,12))),0,MIN(MAX(0,$K5286-$L5286),$J5286)))</f>
      </c>
      <c r="N5286" s="43">
        <f>IF($I5286=0,0,MIN(SUMIFS(SondBetrag,SondDarl,12,SondDatum,"&gt;="&amp;$E5286,SondDatum,"&lt;="&amp;EOMONTH($E5286,0)),$J5286-$M5286))</f>
      </c>
      <c r="O5286" s="43">
        <f>IF($I5286=0,0,INDEX(DarlErsatzRate,12))</f>
      </c>
      <c r="P5286" s="43">
        <f>IF($I5286=0,0,$Q5285*INDEX(DarlErsatzZins,12))</f>
      </c>
      <c r="Q5286" s="43">
        <f>IF($I5286=0,0,$Q5285+$P5286+$O5286)</f>
      </c>
      <c r="R5286" s="43">
        <f>IF($I5286=0,0,$J5286-$M5286-$N5286)</f>
      </c>
    </row>
    <row r="5287">
      <c r="A5287"/>
      <c r="B5287">
        <v>12</v>
      </c>
      <c r="C5287" s="43">
        <f>INDEX(DarlObj,12)</f>
      </c>
      <c r="D5287">
        <v>4</v>
      </c>
      <c r="E5287" s="51">
        <f>IF(INDEX(DarlBelegt,12)=0,0,EOMONTH(INDEX(DarlAuszahlung,12),3)+1)</f>
      </c>
      <c r="F5287" s="43">
        <f>IF($E5287=0,0,YEAR($E5287))</f>
      </c>
      <c r="G5287" s="43">
        <f>IF(INDEX(DarlBindung,12)="",1,IF($E5287&lt;=INDEX(DarlBindung,12),1,0))</f>
      </c>
      <c r="H5287" s="43">
        <f>IF($G5287=1,INDEX(DarlSollzins,12),INDEX(DarlAnschluss,12))</f>
      </c>
      <c r="I5287" s="43">
        <f>IF(INDEX(DarlBelegt,12)=0,0,IF(INDEX(DarlOhneTilgung,12)=1,IF(INDEX(DarlBindung,12)="",1,$G5287),IF($J5287&gt;0.005,1,0)))</f>
      </c>
      <c r="J5287" s="43">
        <f>IF($I5286=0,0,$R5286)</f>
      </c>
      <c r="K5287" s="43">
        <f>IF($I5287=0,0,IF(INDEX(DarlOhneTilgung,12)=1,0,IF(AND(INDEX(DarlTilgStart,12)&gt;0,$E5287=INDEX(DarlTilgStart,12)),$J5287*($H5287+INDEX(DarlTilgung,12))/100/12,IF(AND($G5287=0,$G5286=1),MAX($K5286,$J5287*($H5287+1)/100/12),$K5286))))</f>
      </c>
      <c r="L5287" s="43">
        <f>IF($I5287=0,0,$J5287*$H5287/100/12)</f>
      </c>
      <c r="M5287" s="43">
        <f>IF($I5287=0,0,IF(OR(INDEX(DarlOhneTilgung,12)=1,AND(INDEX(DarlTilgStart,12)&gt;0,$E5287&lt;INDEX(DarlTilgStart,12))),0,MIN(MAX(0,$K5287-$L5287),$J5287)))</f>
      </c>
      <c r="N5287" s="43">
        <f>IF($I5287=0,0,MIN(SUMIFS(SondBetrag,SondDarl,12,SondDatum,"&gt;="&amp;$E5287,SondDatum,"&lt;="&amp;EOMONTH($E5287,0)),$J5287-$M5287))</f>
      </c>
      <c r="O5287" s="43">
        <f>IF($I5287=0,0,INDEX(DarlErsatzRate,12))</f>
      </c>
      <c r="P5287" s="43">
        <f>IF($I5287=0,0,$Q5286*INDEX(DarlErsatzZins,12))</f>
      </c>
      <c r="Q5287" s="43">
        <f>IF($I5287=0,0,$Q5286+$P5287+$O5287)</f>
      </c>
      <c r="R5287" s="43">
        <f>IF($I5287=0,0,$J5287-$M5287-$N5287)</f>
      </c>
    </row>
    <row r="5288">
      <c r="A5288"/>
      <c r="B5288">
        <v>12</v>
      </c>
      <c r="C5288" s="43">
        <f>INDEX(DarlObj,12)</f>
      </c>
      <c r="D5288">
        <v>5</v>
      </c>
      <c r="E5288" s="51">
        <f>IF(INDEX(DarlBelegt,12)=0,0,EOMONTH(INDEX(DarlAuszahlung,12),4)+1)</f>
      </c>
      <c r="F5288" s="43">
        <f>IF($E5288=0,0,YEAR($E5288))</f>
      </c>
      <c r="G5288" s="43">
        <f>IF(INDEX(DarlBindung,12)="",1,IF($E5288&lt;=INDEX(DarlBindung,12),1,0))</f>
      </c>
      <c r="H5288" s="43">
        <f>IF($G5288=1,INDEX(DarlSollzins,12),INDEX(DarlAnschluss,12))</f>
      </c>
      <c r="I5288" s="43">
        <f>IF(INDEX(DarlBelegt,12)=0,0,IF(INDEX(DarlOhneTilgung,12)=1,IF(INDEX(DarlBindung,12)="",1,$G5288),IF($J5288&gt;0.005,1,0)))</f>
      </c>
      <c r="J5288" s="43">
        <f>IF($I5287=0,0,$R5287)</f>
      </c>
      <c r="K5288" s="43">
        <f>IF($I5288=0,0,IF(INDEX(DarlOhneTilgung,12)=1,0,IF(AND(INDEX(DarlTilgStart,12)&gt;0,$E5288=INDEX(DarlTilgStart,12)),$J5288*($H5288+INDEX(DarlTilgung,12))/100/12,IF(AND($G5288=0,$G5287=1),MAX($K5287,$J5288*($H5288+1)/100/12),$K5287))))</f>
      </c>
      <c r="L5288" s="43">
        <f>IF($I5288=0,0,$J5288*$H5288/100/12)</f>
      </c>
      <c r="M5288" s="43">
        <f>IF($I5288=0,0,IF(OR(INDEX(DarlOhneTilgung,12)=1,AND(INDEX(DarlTilgStart,12)&gt;0,$E5288&lt;INDEX(DarlTilgStart,12))),0,MIN(MAX(0,$K5288-$L5288),$J5288)))</f>
      </c>
      <c r="N5288" s="43">
        <f>IF($I5288=0,0,MIN(SUMIFS(SondBetrag,SondDarl,12,SondDatum,"&gt;="&amp;$E5288,SondDatum,"&lt;="&amp;EOMONTH($E5288,0)),$J5288-$M5288))</f>
      </c>
      <c r="O5288" s="43">
        <f>IF($I5288=0,0,INDEX(DarlErsatzRate,12))</f>
      </c>
      <c r="P5288" s="43">
        <f>IF($I5288=0,0,$Q5287*INDEX(DarlErsatzZins,12))</f>
      </c>
      <c r="Q5288" s="43">
        <f>IF($I5288=0,0,$Q5287+$P5288+$O5288)</f>
      </c>
      <c r="R5288" s="43">
        <f>IF($I5288=0,0,$J5288-$M5288-$N5288)</f>
      </c>
    </row>
    <row r="5289">
      <c r="A5289"/>
      <c r="B5289">
        <v>12</v>
      </c>
      <c r="C5289" s="43">
        <f>INDEX(DarlObj,12)</f>
      </c>
      <c r="D5289">
        <v>6</v>
      </c>
      <c r="E5289" s="51">
        <f>IF(INDEX(DarlBelegt,12)=0,0,EOMONTH(INDEX(DarlAuszahlung,12),5)+1)</f>
      </c>
      <c r="F5289" s="43">
        <f>IF($E5289=0,0,YEAR($E5289))</f>
      </c>
      <c r="G5289" s="43">
        <f>IF(INDEX(DarlBindung,12)="",1,IF($E5289&lt;=INDEX(DarlBindung,12),1,0))</f>
      </c>
      <c r="H5289" s="43">
        <f>IF($G5289=1,INDEX(DarlSollzins,12),INDEX(DarlAnschluss,12))</f>
      </c>
      <c r="I5289" s="43">
        <f>IF(INDEX(DarlBelegt,12)=0,0,IF(INDEX(DarlOhneTilgung,12)=1,IF(INDEX(DarlBindung,12)="",1,$G5289),IF($J5289&gt;0.005,1,0)))</f>
      </c>
      <c r="J5289" s="43">
        <f>IF($I5288=0,0,$R5288)</f>
      </c>
      <c r="K5289" s="43">
        <f>IF($I5289=0,0,IF(INDEX(DarlOhneTilgung,12)=1,0,IF(AND(INDEX(DarlTilgStart,12)&gt;0,$E5289=INDEX(DarlTilgStart,12)),$J5289*($H5289+INDEX(DarlTilgung,12))/100/12,IF(AND($G5289=0,$G5288=1),MAX($K5288,$J5289*($H5289+1)/100/12),$K5288))))</f>
      </c>
      <c r="L5289" s="43">
        <f>IF($I5289=0,0,$J5289*$H5289/100/12)</f>
      </c>
      <c r="M5289" s="43">
        <f>IF($I5289=0,0,IF(OR(INDEX(DarlOhneTilgung,12)=1,AND(INDEX(DarlTilgStart,12)&gt;0,$E5289&lt;INDEX(DarlTilgStart,12))),0,MIN(MAX(0,$K5289-$L5289),$J5289)))</f>
      </c>
      <c r="N5289" s="43">
        <f>IF($I5289=0,0,MIN(SUMIFS(SondBetrag,SondDarl,12,SondDatum,"&gt;="&amp;$E5289,SondDatum,"&lt;="&amp;EOMONTH($E5289,0)),$J5289-$M5289))</f>
      </c>
      <c r="O5289" s="43">
        <f>IF($I5289=0,0,INDEX(DarlErsatzRate,12))</f>
      </c>
      <c r="P5289" s="43">
        <f>IF($I5289=0,0,$Q5288*INDEX(DarlErsatzZins,12))</f>
      </c>
      <c r="Q5289" s="43">
        <f>IF($I5289=0,0,$Q5288+$P5289+$O5289)</f>
      </c>
      <c r="R5289" s="43">
        <f>IF($I5289=0,0,$J5289-$M5289-$N5289)</f>
      </c>
    </row>
    <row r="5290">
      <c r="A5290"/>
      <c r="B5290">
        <v>12</v>
      </c>
      <c r="C5290" s="43">
        <f>INDEX(DarlObj,12)</f>
      </c>
      <c r="D5290">
        <v>7</v>
      </c>
      <c r="E5290" s="51">
        <f>IF(INDEX(DarlBelegt,12)=0,0,EOMONTH(INDEX(DarlAuszahlung,12),6)+1)</f>
      </c>
      <c r="F5290" s="43">
        <f>IF($E5290=0,0,YEAR($E5290))</f>
      </c>
      <c r="G5290" s="43">
        <f>IF(INDEX(DarlBindung,12)="",1,IF($E5290&lt;=INDEX(DarlBindung,12),1,0))</f>
      </c>
      <c r="H5290" s="43">
        <f>IF($G5290=1,INDEX(DarlSollzins,12),INDEX(DarlAnschluss,12))</f>
      </c>
      <c r="I5290" s="43">
        <f>IF(INDEX(DarlBelegt,12)=0,0,IF(INDEX(DarlOhneTilgung,12)=1,IF(INDEX(DarlBindung,12)="",1,$G5290),IF($J5290&gt;0.005,1,0)))</f>
      </c>
      <c r="J5290" s="43">
        <f>IF($I5289=0,0,$R5289)</f>
      </c>
      <c r="K5290" s="43">
        <f>IF($I5290=0,0,IF(INDEX(DarlOhneTilgung,12)=1,0,IF(AND(INDEX(DarlTilgStart,12)&gt;0,$E5290=INDEX(DarlTilgStart,12)),$J5290*($H5290+INDEX(DarlTilgung,12))/100/12,IF(AND($G5290=0,$G5289=1),MAX($K5289,$J5290*($H5290+1)/100/12),$K5289))))</f>
      </c>
      <c r="L5290" s="43">
        <f>IF($I5290=0,0,$J5290*$H5290/100/12)</f>
      </c>
      <c r="M5290" s="43">
        <f>IF($I5290=0,0,IF(OR(INDEX(DarlOhneTilgung,12)=1,AND(INDEX(DarlTilgStart,12)&gt;0,$E5290&lt;INDEX(DarlTilgStart,12))),0,MIN(MAX(0,$K5290-$L5290),$J5290)))</f>
      </c>
      <c r="N5290" s="43">
        <f>IF($I5290=0,0,MIN(SUMIFS(SondBetrag,SondDarl,12,SondDatum,"&gt;="&amp;$E5290,SondDatum,"&lt;="&amp;EOMONTH($E5290,0)),$J5290-$M5290))</f>
      </c>
      <c r="O5290" s="43">
        <f>IF($I5290=0,0,INDEX(DarlErsatzRate,12))</f>
      </c>
      <c r="P5290" s="43">
        <f>IF($I5290=0,0,$Q5289*INDEX(DarlErsatzZins,12))</f>
      </c>
      <c r="Q5290" s="43">
        <f>IF($I5290=0,0,$Q5289+$P5290+$O5290)</f>
      </c>
      <c r="R5290" s="43">
        <f>IF($I5290=0,0,$J5290-$M5290-$N5290)</f>
      </c>
    </row>
    <row r="5291">
      <c r="A5291"/>
      <c r="B5291">
        <v>12</v>
      </c>
      <c r="C5291" s="43">
        <f>INDEX(DarlObj,12)</f>
      </c>
      <c r="D5291">
        <v>8</v>
      </c>
      <c r="E5291" s="51">
        <f>IF(INDEX(DarlBelegt,12)=0,0,EOMONTH(INDEX(DarlAuszahlung,12),7)+1)</f>
      </c>
      <c r="F5291" s="43">
        <f>IF($E5291=0,0,YEAR($E5291))</f>
      </c>
      <c r="G5291" s="43">
        <f>IF(INDEX(DarlBindung,12)="",1,IF($E5291&lt;=INDEX(DarlBindung,12),1,0))</f>
      </c>
      <c r="H5291" s="43">
        <f>IF($G5291=1,INDEX(DarlSollzins,12),INDEX(DarlAnschluss,12))</f>
      </c>
      <c r="I5291" s="43">
        <f>IF(INDEX(DarlBelegt,12)=0,0,IF(INDEX(DarlOhneTilgung,12)=1,IF(INDEX(DarlBindung,12)="",1,$G5291),IF($J5291&gt;0.005,1,0)))</f>
      </c>
      <c r="J5291" s="43">
        <f>IF($I5290=0,0,$R5290)</f>
      </c>
      <c r="K5291" s="43">
        <f>IF($I5291=0,0,IF(INDEX(DarlOhneTilgung,12)=1,0,IF(AND(INDEX(DarlTilgStart,12)&gt;0,$E5291=INDEX(DarlTilgStart,12)),$J5291*($H5291+INDEX(DarlTilgung,12))/100/12,IF(AND($G5291=0,$G5290=1),MAX($K5290,$J5291*($H5291+1)/100/12),$K5290))))</f>
      </c>
      <c r="L5291" s="43">
        <f>IF($I5291=0,0,$J5291*$H5291/100/12)</f>
      </c>
      <c r="M5291" s="43">
        <f>IF($I5291=0,0,IF(OR(INDEX(DarlOhneTilgung,12)=1,AND(INDEX(DarlTilgStart,12)&gt;0,$E5291&lt;INDEX(DarlTilgStart,12))),0,MIN(MAX(0,$K5291-$L5291),$J5291)))</f>
      </c>
      <c r="N5291" s="43">
        <f>IF($I5291=0,0,MIN(SUMIFS(SondBetrag,SondDarl,12,SondDatum,"&gt;="&amp;$E5291,SondDatum,"&lt;="&amp;EOMONTH($E5291,0)),$J5291-$M5291))</f>
      </c>
      <c r="O5291" s="43">
        <f>IF($I5291=0,0,INDEX(DarlErsatzRate,12))</f>
      </c>
      <c r="P5291" s="43">
        <f>IF($I5291=0,0,$Q5290*INDEX(DarlErsatzZins,12))</f>
      </c>
      <c r="Q5291" s="43">
        <f>IF($I5291=0,0,$Q5290+$P5291+$O5291)</f>
      </c>
      <c r="R5291" s="43">
        <f>IF($I5291=0,0,$J5291-$M5291-$N5291)</f>
      </c>
    </row>
    <row r="5292">
      <c r="A5292"/>
      <c r="B5292">
        <v>12</v>
      </c>
      <c r="C5292" s="43">
        <f>INDEX(DarlObj,12)</f>
      </c>
      <c r="D5292">
        <v>9</v>
      </c>
      <c r="E5292" s="51">
        <f>IF(INDEX(DarlBelegt,12)=0,0,EOMONTH(INDEX(DarlAuszahlung,12),8)+1)</f>
      </c>
      <c r="F5292" s="43">
        <f>IF($E5292=0,0,YEAR($E5292))</f>
      </c>
      <c r="G5292" s="43">
        <f>IF(INDEX(DarlBindung,12)="",1,IF($E5292&lt;=INDEX(DarlBindung,12),1,0))</f>
      </c>
      <c r="H5292" s="43">
        <f>IF($G5292=1,INDEX(DarlSollzins,12),INDEX(DarlAnschluss,12))</f>
      </c>
      <c r="I5292" s="43">
        <f>IF(INDEX(DarlBelegt,12)=0,0,IF(INDEX(DarlOhneTilgung,12)=1,IF(INDEX(DarlBindung,12)="",1,$G5292),IF($J5292&gt;0.005,1,0)))</f>
      </c>
      <c r="J5292" s="43">
        <f>IF($I5291=0,0,$R5291)</f>
      </c>
      <c r="K5292" s="43">
        <f>IF($I5292=0,0,IF(INDEX(DarlOhneTilgung,12)=1,0,IF(AND(INDEX(DarlTilgStart,12)&gt;0,$E5292=INDEX(DarlTilgStart,12)),$J5292*($H5292+INDEX(DarlTilgung,12))/100/12,IF(AND($G5292=0,$G5291=1),MAX($K5291,$J5292*($H5292+1)/100/12),$K5291))))</f>
      </c>
      <c r="L5292" s="43">
        <f>IF($I5292=0,0,$J5292*$H5292/100/12)</f>
      </c>
      <c r="M5292" s="43">
        <f>IF($I5292=0,0,IF(OR(INDEX(DarlOhneTilgung,12)=1,AND(INDEX(DarlTilgStart,12)&gt;0,$E5292&lt;INDEX(DarlTilgStart,12))),0,MIN(MAX(0,$K5292-$L5292),$J5292)))</f>
      </c>
      <c r="N5292" s="43">
        <f>IF($I5292=0,0,MIN(SUMIFS(SondBetrag,SondDarl,12,SondDatum,"&gt;="&amp;$E5292,SondDatum,"&lt;="&amp;EOMONTH($E5292,0)),$J5292-$M5292))</f>
      </c>
      <c r="O5292" s="43">
        <f>IF($I5292=0,0,INDEX(DarlErsatzRate,12))</f>
      </c>
      <c r="P5292" s="43">
        <f>IF($I5292=0,0,$Q5291*INDEX(DarlErsatzZins,12))</f>
      </c>
      <c r="Q5292" s="43">
        <f>IF($I5292=0,0,$Q5291+$P5292+$O5292)</f>
      </c>
      <c r="R5292" s="43">
        <f>IF($I5292=0,0,$J5292-$M5292-$N5292)</f>
      </c>
    </row>
    <row r="5293">
      <c r="A5293"/>
      <c r="B5293">
        <v>12</v>
      </c>
      <c r="C5293" s="43">
        <f>INDEX(DarlObj,12)</f>
      </c>
      <c r="D5293">
        <v>10</v>
      </c>
      <c r="E5293" s="51">
        <f>IF(INDEX(DarlBelegt,12)=0,0,EOMONTH(INDEX(DarlAuszahlung,12),9)+1)</f>
      </c>
      <c r="F5293" s="43">
        <f>IF($E5293=0,0,YEAR($E5293))</f>
      </c>
      <c r="G5293" s="43">
        <f>IF(INDEX(DarlBindung,12)="",1,IF($E5293&lt;=INDEX(DarlBindung,12),1,0))</f>
      </c>
      <c r="H5293" s="43">
        <f>IF($G5293=1,INDEX(DarlSollzins,12),INDEX(DarlAnschluss,12))</f>
      </c>
      <c r="I5293" s="43">
        <f>IF(INDEX(DarlBelegt,12)=0,0,IF(INDEX(DarlOhneTilgung,12)=1,IF(INDEX(DarlBindung,12)="",1,$G5293),IF($J5293&gt;0.005,1,0)))</f>
      </c>
      <c r="J5293" s="43">
        <f>IF($I5292=0,0,$R5292)</f>
      </c>
      <c r="K5293" s="43">
        <f>IF($I5293=0,0,IF(INDEX(DarlOhneTilgung,12)=1,0,IF(AND(INDEX(DarlTilgStart,12)&gt;0,$E5293=INDEX(DarlTilgStart,12)),$J5293*($H5293+INDEX(DarlTilgung,12))/100/12,IF(AND($G5293=0,$G5292=1),MAX($K5292,$J5293*($H5293+1)/100/12),$K5292))))</f>
      </c>
      <c r="L5293" s="43">
        <f>IF($I5293=0,0,$J5293*$H5293/100/12)</f>
      </c>
      <c r="M5293" s="43">
        <f>IF($I5293=0,0,IF(OR(INDEX(DarlOhneTilgung,12)=1,AND(INDEX(DarlTilgStart,12)&gt;0,$E5293&lt;INDEX(DarlTilgStart,12))),0,MIN(MAX(0,$K5293-$L5293),$J5293)))</f>
      </c>
      <c r="N5293" s="43">
        <f>IF($I5293=0,0,MIN(SUMIFS(SondBetrag,SondDarl,12,SondDatum,"&gt;="&amp;$E5293,SondDatum,"&lt;="&amp;EOMONTH($E5293,0)),$J5293-$M5293))</f>
      </c>
      <c r="O5293" s="43">
        <f>IF($I5293=0,0,INDEX(DarlErsatzRate,12))</f>
      </c>
      <c r="P5293" s="43">
        <f>IF($I5293=0,0,$Q5292*INDEX(DarlErsatzZins,12))</f>
      </c>
      <c r="Q5293" s="43">
        <f>IF($I5293=0,0,$Q5292+$P5293+$O5293)</f>
      </c>
      <c r="R5293" s="43">
        <f>IF($I5293=0,0,$J5293-$M5293-$N5293)</f>
      </c>
    </row>
    <row r="5294">
      <c r="A5294"/>
      <c r="B5294">
        <v>12</v>
      </c>
      <c r="C5294" s="43">
        <f>INDEX(DarlObj,12)</f>
      </c>
      <c r="D5294">
        <v>11</v>
      </c>
      <c r="E5294" s="51">
        <f>IF(INDEX(DarlBelegt,12)=0,0,EOMONTH(INDEX(DarlAuszahlung,12),10)+1)</f>
      </c>
      <c r="F5294" s="43">
        <f>IF($E5294=0,0,YEAR($E5294))</f>
      </c>
      <c r="G5294" s="43">
        <f>IF(INDEX(DarlBindung,12)="",1,IF($E5294&lt;=INDEX(DarlBindung,12),1,0))</f>
      </c>
      <c r="H5294" s="43">
        <f>IF($G5294=1,INDEX(DarlSollzins,12),INDEX(DarlAnschluss,12))</f>
      </c>
      <c r="I5294" s="43">
        <f>IF(INDEX(DarlBelegt,12)=0,0,IF(INDEX(DarlOhneTilgung,12)=1,IF(INDEX(DarlBindung,12)="",1,$G5294),IF($J5294&gt;0.005,1,0)))</f>
      </c>
      <c r="J5294" s="43">
        <f>IF($I5293=0,0,$R5293)</f>
      </c>
      <c r="K5294" s="43">
        <f>IF($I5294=0,0,IF(INDEX(DarlOhneTilgung,12)=1,0,IF(AND(INDEX(DarlTilgStart,12)&gt;0,$E5294=INDEX(DarlTilgStart,12)),$J5294*($H5294+INDEX(DarlTilgung,12))/100/12,IF(AND($G5294=0,$G5293=1),MAX($K5293,$J5294*($H5294+1)/100/12),$K5293))))</f>
      </c>
      <c r="L5294" s="43">
        <f>IF($I5294=0,0,$J5294*$H5294/100/12)</f>
      </c>
      <c r="M5294" s="43">
        <f>IF($I5294=0,0,IF(OR(INDEX(DarlOhneTilgung,12)=1,AND(INDEX(DarlTilgStart,12)&gt;0,$E5294&lt;INDEX(DarlTilgStart,12))),0,MIN(MAX(0,$K5294-$L5294),$J5294)))</f>
      </c>
      <c r="N5294" s="43">
        <f>IF($I5294=0,0,MIN(SUMIFS(SondBetrag,SondDarl,12,SondDatum,"&gt;="&amp;$E5294,SondDatum,"&lt;="&amp;EOMONTH($E5294,0)),$J5294-$M5294))</f>
      </c>
      <c r="O5294" s="43">
        <f>IF($I5294=0,0,INDEX(DarlErsatzRate,12))</f>
      </c>
      <c r="P5294" s="43">
        <f>IF($I5294=0,0,$Q5293*INDEX(DarlErsatzZins,12))</f>
      </c>
      <c r="Q5294" s="43">
        <f>IF($I5294=0,0,$Q5293+$P5294+$O5294)</f>
      </c>
      <c r="R5294" s="43">
        <f>IF($I5294=0,0,$J5294-$M5294-$N5294)</f>
      </c>
    </row>
    <row r="5295">
      <c r="A5295"/>
      <c r="B5295">
        <v>12</v>
      </c>
      <c r="C5295" s="43">
        <f>INDEX(DarlObj,12)</f>
      </c>
      <c r="D5295">
        <v>12</v>
      </c>
      <c r="E5295" s="51">
        <f>IF(INDEX(DarlBelegt,12)=0,0,EOMONTH(INDEX(DarlAuszahlung,12),11)+1)</f>
      </c>
      <c r="F5295" s="43">
        <f>IF($E5295=0,0,YEAR($E5295))</f>
      </c>
      <c r="G5295" s="43">
        <f>IF(INDEX(DarlBindung,12)="",1,IF($E5295&lt;=INDEX(DarlBindung,12),1,0))</f>
      </c>
      <c r="H5295" s="43">
        <f>IF($G5295=1,INDEX(DarlSollzins,12),INDEX(DarlAnschluss,12))</f>
      </c>
      <c r="I5295" s="43">
        <f>IF(INDEX(DarlBelegt,12)=0,0,IF(INDEX(DarlOhneTilgung,12)=1,IF(INDEX(DarlBindung,12)="",1,$G5295),IF($J5295&gt;0.005,1,0)))</f>
      </c>
      <c r="J5295" s="43">
        <f>IF($I5294=0,0,$R5294)</f>
      </c>
      <c r="K5295" s="43">
        <f>IF($I5295=0,0,IF(INDEX(DarlOhneTilgung,12)=1,0,IF(AND(INDEX(DarlTilgStart,12)&gt;0,$E5295=INDEX(DarlTilgStart,12)),$J5295*($H5295+INDEX(DarlTilgung,12))/100/12,IF(AND($G5295=0,$G5294=1),MAX($K5294,$J5295*($H5295+1)/100/12),$K5294))))</f>
      </c>
      <c r="L5295" s="43">
        <f>IF($I5295=0,0,$J5295*$H5295/100/12)</f>
      </c>
      <c r="M5295" s="43">
        <f>IF($I5295=0,0,IF(OR(INDEX(DarlOhneTilgung,12)=1,AND(INDEX(DarlTilgStart,12)&gt;0,$E5295&lt;INDEX(DarlTilgStart,12))),0,MIN(MAX(0,$K5295-$L5295),$J5295)))</f>
      </c>
      <c r="N5295" s="43">
        <f>IF($I5295=0,0,MIN(SUMIFS(SondBetrag,SondDarl,12,SondDatum,"&gt;="&amp;$E5295,SondDatum,"&lt;="&amp;EOMONTH($E5295,0)),$J5295-$M5295))</f>
      </c>
      <c r="O5295" s="43">
        <f>IF($I5295=0,0,INDEX(DarlErsatzRate,12))</f>
      </c>
      <c r="P5295" s="43">
        <f>IF($I5295=0,0,$Q5294*INDEX(DarlErsatzZins,12))</f>
      </c>
      <c r="Q5295" s="43">
        <f>IF($I5295=0,0,$Q5294+$P5295+$O5295)</f>
      </c>
      <c r="R5295" s="43">
        <f>IF($I5295=0,0,$J5295-$M5295-$N5295)</f>
      </c>
    </row>
    <row r="5296">
      <c r="A5296"/>
      <c r="B5296">
        <v>12</v>
      </c>
      <c r="C5296" s="43">
        <f>INDEX(DarlObj,12)</f>
      </c>
      <c r="D5296">
        <v>13</v>
      </c>
      <c r="E5296" s="51">
        <f>IF(INDEX(DarlBelegt,12)=0,0,EOMONTH(INDEX(DarlAuszahlung,12),12)+1)</f>
      </c>
      <c r="F5296" s="43">
        <f>IF($E5296=0,0,YEAR($E5296))</f>
      </c>
      <c r="G5296" s="43">
        <f>IF(INDEX(DarlBindung,12)="",1,IF($E5296&lt;=INDEX(DarlBindung,12),1,0))</f>
      </c>
      <c r="H5296" s="43">
        <f>IF($G5296=1,INDEX(DarlSollzins,12),INDEX(DarlAnschluss,12))</f>
      </c>
      <c r="I5296" s="43">
        <f>IF(INDEX(DarlBelegt,12)=0,0,IF(INDEX(DarlOhneTilgung,12)=1,IF(INDEX(DarlBindung,12)="",1,$G5296),IF($J5296&gt;0.005,1,0)))</f>
      </c>
      <c r="J5296" s="43">
        <f>IF($I5295=0,0,$R5295)</f>
      </c>
      <c r="K5296" s="43">
        <f>IF($I5296=0,0,IF(INDEX(DarlOhneTilgung,12)=1,0,IF(AND(INDEX(DarlTilgStart,12)&gt;0,$E5296=INDEX(DarlTilgStart,12)),$J5296*($H5296+INDEX(DarlTilgung,12))/100/12,IF(AND($G5296=0,$G5295=1),MAX($K5295,$J5296*($H5296+1)/100/12),$K5295))))</f>
      </c>
      <c r="L5296" s="43">
        <f>IF($I5296=0,0,$J5296*$H5296/100/12)</f>
      </c>
      <c r="M5296" s="43">
        <f>IF($I5296=0,0,IF(OR(INDEX(DarlOhneTilgung,12)=1,AND(INDEX(DarlTilgStart,12)&gt;0,$E5296&lt;INDEX(DarlTilgStart,12))),0,MIN(MAX(0,$K5296-$L5296),$J5296)))</f>
      </c>
      <c r="N5296" s="43">
        <f>IF($I5296=0,0,MIN(SUMIFS(SondBetrag,SondDarl,12,SondDatum,"&gt;="&amp;$E5296,SondDatum,"&lt;="&amp;EOMONTH($E5296,0)),$J5296-$M5296))</f>
      </c>
      <c r="O5296" s="43">
        <f>IF($I5296=0,0,INDEX(DarlErsatzRate,12))</f>
      </c>
      <c r="P5296" s="43">
        <f>IF($I5296=0,0,$Q5295*INDEX(DarlErsatzZins,12))</f>
      </c>
      <c r="Q5296" s="43">
        <f>IF($I5296=0,0,$Q5295+$P5296+$O5296)</f>
      </c>
      <c r="R5296" s="43">
        <f>IF($I5296=0,0,$J5296-$M5296-$N5296)</f>
      </c>
    </row>
    <row r="5297">
      <c r="A5297"/>
      <c r="B5297">
        <v>12</v>
      </c>
      <c r="C5297" s="43">
        <f>INDEX(DarlObj,12)</f>
      </c>
      <c r="D5297">
        <v>14</v>
      </c>
      <c r="E5297" s="51">
        <f>IF(INDEX(DarlBelegt,12)=0,0,EOMONTH(INDEX(DarlAuszahlung,12),13)+1)</f>
      </c>
      <c r="F5297" s="43">
        <f>IF($E5297=0,0,YEAR($E5297))</f>
      </c>
      <c r="G5297" s="43">
        <f>IF(INDEX(DarlBindung,12)="",1,IF($E5297&lt;=INDEX(DarlBindung,12),1,0))</f>
      </c>
      <c r="H5297" s="43">
        <f>IF($G5297=1,INDEX(DarlSollzins,12),INDEX(DarlAnschluss,12))</f>
      </c>
      <c r="I5297" s="43">
        <f>IF(INDEX(DarlBelegt,12)=0,0,IF(INDEX(DarlOhneTilgung,12)=1,IF(INDEX(DarlBindung,12)="",1,$G5297),IF($J5297&gt;0.005,1,0)))</f>
      </c>
      <c r="J5297" s="43">
        <f>IF($I5296=0,0,$R5296)</f>
      </c>
      <c r="K5297" s="43">
        <f>IF($I5297=0,0,IF(INDEX(DarlOhneTilgung,12)=1,0,IF(AND(INDEX(DarlTilgStart,12)&gt;0,$E5297=INDEX(DarlTilgStart,12)),$J5297*($H5297+INDEX(DarlTilgung,12))/100/12,IF(AND($G5297=0,$G5296=1),MAX($K5296,$J5297*($H5297+1)/100/12),$K5296))))</f>
      </c>
      <c r="L5297" s="43">
        <f>IF($I5297=0,0,$J5297*$H5297/100/12)</f>
      </c>
      <c r="M5297" s="43">
        <f>IF($I5297=0,0,IF(OR(INDEX(DarlOhneTilgung,12)=1,AND(INDEX(DarlTilgStart,12)&gt;0,$E5297&lt;INDEX(DarlTilgStart,12))),0,MIN(MAX(0,$K5297-$L5297),$J5297)))</f>
      </c>
      <c r="N5297" s="43">
        <f>IF($I5297=0,0,MIN(SUMIFS(SondBetrag,SondDarl,12,SondDatum,"&gt;="&amp;$E5297,SondDatum,"&lt;="&amp;EOMONTH($E5297,0)),$J5297-$M5297))</f>
      </c>
      <c r="O5297" s="43">
        <f>IF($I5297=0,0,INDEX(DarlErsatzRate,12))</f>
      </c>
      <c r="P5297" s="43">
        <f>IF($I5297=0,0,$Q5296*INDEX(DarlErsatzZins,12))</f>
      </c>
      <c r="Q5297" s="43">
        <f>IF($I5297=0,0,$Q5296+$P5297+$O5297)</f>
      </c>
      <c r="R5297" s="43">
        <f>IF($I5297=0,0,$J5297-$M5297-$N5297)</f>
      </c>
    </row>
    <row r="5298">
      <c r="A5298"/>
      <c r="B5298">
        <v>12</v>
      </c>
      <c r="C5298" s="43">
        <f>INDEX(DarlObj,12)</f>
      </c>
      <c r="D5298">
        <v>15</v>
      </c>
      <c r="E5298" s="51">
        <f>IF(INDEX(DarlBelegt,12)=0,0,EOMONTH(INDEX(DarlAuszahlung,12),14)+1)</f>
      </c>
      <c r="F5298" s="43">
        <f>IF($E5298=0,0,YEAR($E5298))</f>
      </c>
      <c r="G5298" s="43">
        <f>IF(INDEX(DarlBindung,12)="",1,IF($E5298&lt;=INDEX(DarlBindung,12),1,0))</f>
      </c>
      <c r="H5298" s="43">
        <f>IF($G5298=1,INDEX(DarlSollzins,12),INDEX(DarlAnschluss,12))</f>
      </c>
      <c r="I5298" s="43">
        <f>IF(INDEX(DarlBelegt,12)=0,0,IF(INDEX(DarlOhneTilgung,12)=1,IF(INDEX(DarlBindung,12)="",1,$G5298),IF($J5298&gt;0.005,1,0)))</f>
      </c>
      <c r="J5298" s="43">
        <f>IF($I5297=0,0,$R5297)</f>
      </c>
      <c r="K5298" s="43">
        <f>IF($I5298=0,0,IF(INDEX(DarlOhneTilgung,12)=1,0,IF(AND(INDEX(DarlTilgStart,12)&gt;0,$E5298=INDEX(DarlTilgStart,12)),$J5298*($H5298+INDEX(DarlTilgung,12))/100/12,IF(AND($G5298=0,$G5297=1),MAX($K5297,$J5298*($H5298+1)/100/12),$K5297))))</f>
      </c>
      <c r="L5298" s="43">
        <f>IF($I5298=0,0,$J5298*$H5298/100/12)</f>
      </c>
      <c r="M5298" s="43">
        <f>IF($I5298=0,0,IF(OR(INDEX(DarlOhneTilgung,12)=1,AND(INDEX(DarlTilgStart,12)&gt;0,$E5298&lt;INDEX(DarlTilgStart,12))),0,MIN(MAX(0,$K5298-$L5298),$J5298)))</f>
      </c>
      <c r="N5298" s="43">
        <f>IF($I5298=0,0,MIN(SUMIFS(SondBetrag,SondDarl,12,SondDatum,"&gt;="&amp;$E5298,SondDatum,"&lt;="&amp;EOMONTH($E5298,0)),$J5298-$M5298))</f>
      </c>
      <c r="O5298" s="43">
        <f>IF($I5298=0,0,INDEX(DarlErsatzRate,12))</f>
      </c>
      <c r="P5298" s="43">
        <f>IF($I5298=0,0,$Q5297*INDEX(DarlErsatzZins,12))</f>
      </c>
      <c r="Q5298" s="43">
        <f>IF($I5298=0,0,$Q5297+$P5298+$O5298)</f>
      </c>
      <c r="R5298" s="43">
        <f>IF($I5298=0,0,$J5298-$M5298-$N5298)</f>
      </c>
    </row>
    <row r="5299">
      <c r="A5299"/>
      <c r="B5299">
        <v>12</v>
      </c>
      <c r="C5299" s="43">
        <f>INDEX(DarlObj,12)</f>
      </c>
      <c r="D5299">
        <v>16</v>
      </c>
      <c r="E5299" s="51">
        <f>IF(INDEX(DarlBelegt,12)=0,0,EOMONTH(INDEX(DarlAuszahlung,12),15)+1)</f>
      </c>
      <c r="F5299" s="43">
        <f>IF($E5299=0,0,YEAR($E5299))</f>
      </c>
      <c r="G5299" s="43">
        <f>IF(INDEX(DarlBindung,12)="",1,IF($E5299&lt;=INDEX(DarlBindung,12),1,0))</f>
      </c>
      <c r="H5299" s="43">
        <f>IF($G5299=1,INDEX(DarlSollzins,12),INDEX(DarlAnschluss,12))</f>
      </c>
      <c r="I5299" s="43">
        <f>IF(INDEX(DarlBelegt,12)=0,0,IF(INDEX(DarlOhneTilgung,12)=1,IF(INDEX(DarlBindung,12)="",1,$G5299),IF($J5299&gt;0.005,1,0)))</f>
      </c>
      <c r="J5299" s="43">
        <f>IF($I5298=0,0,$R5298)</f>
      </c>
      <c r="K5299" s="43">
        <f>IF($I5299=0,0,IF(INDEX(DarlOhneTilgung,12)=1,0,IF(AND(INDEX(DarlTilgStart,12)&gt;0,$E5299=INDEX(DarlTilgStart,12)),$J5299*($H5299+INDEX(DarlTilgung,12))/100/12,IF(AND($G5299=0,$G5298=1),MAX($K5298,$J5299*($H5299+1)/100/12),$K5298))))</f>
      </c>
      <c r="L5299" s="43">
        <f>IF($I5299=0,0,$J5299*$H5299/100/12)</f>
      </c>
      <c r="M5299" s="43">
        <f>IF($I5299=0,0,IF(OR(INDEX(DarlOhneTilgung,12)=1,AND(INDEX(DarlTilgStart,12)&gt;0,$E5299&lt;INDEX(DarlTilgStart,12))),0,MIN(MAX(0,$K5299-$L5299),$J5299)))</f>
      </c>
      <c r="N5299" s="43">
        <f>IF($I5299=0,0,MIN(SUMIFS(SondBetrag,SondDarl,12,SondDatum,"&gt;="&amp;$E5299,SondDatum,"&lt;="&amp;EOMONTH($E5299,0)),$J5299-$M5299))</f>
      </c>
      <c r="O5299" s="43">
        <f>IF($I5299=0,0,INDEX(DarlErsatzRate,12))</f>
      </c>
      <c r="P5299" s="43">
        <f>IF($I5299=0,0,$Q5298*INDEX(DarlErsatzZins,12))</f>
      </c>
      <c r="Q5299" s="43">
        <f>IF($I5299=0,0,$Q5298+$P5299+$O5299)</f>
      </c>
      <c r="R5299" s="43">
        <f>IF($I5299=0,0,$J5299-$M5299-$N5299)</f>
      </c>
    </row>
    <row r="5300">
      <c r="A5300"/>
      <c r="B5300">
        <v>12</v>
      </c>
      <c r="C5300" s="43">
        <f>INDEX(DarlObj,12)</f>
      </c>
      <c r="D5300">
        <v>17</v>
      </c>
      <c r="E5300" s="51">
        <f>IF(INDEX(DarlBelegt,12)=0,0,EOMONTH(INDEX(DarlAuszahlung,12),16)+1)</f>
      </c>
      <c r="F5300" s="43">
        <f>IF($E5300=0,0,YEAR($E5300))</f>
      </c>
      <c r="G5300" s="43">
        <f>IF(INDEX(DarlBindung,12)="",1,IF($E5300&lt;=INDEX(DarlBindung,12),1,0))</f>
      </c>
      <c r="H5300" s="43">
        <f>IF($G5300=1,INDEX(DarlSollzins,12),INDEX(DarlAnschluss,12))</f>
      </c>
      <c r="I5300" s="43">
        <f>IF(INDEX(DarlBelegt,12)=0,0,IF(INDEX(DarlOhneTilgung,12)=1,IF(INDEX(DarlBindung,12)="",1,$G5300),IF($J5300&gt;0.005,1,0)))</f>
      </c>
      <c r="J5300" s="43">
        <f>IF($I5299=0,0,$R5299)</f>
      </c>
      <c r="K5300" s="43">
        <f>IF($I5300=0,0,IF(INDEX(DarlOhneTilgung,12)=1,0,IF(AND(INDEX(DarlTilgStart,12)&gt;0,$E5300=INDEX(DarlTilgStart,12)),$J5300*($H5300+INDEX(DarlTilgung,12))/100/12,IF(AND($G5300=0,$G5299=1),MAX($K5299,$J5300*($H5300+1)/100/12),$K5299))))</f>
      </c>
      <c r="L5300" s="43">
        <f>IF($I5300=0,0,$J5300*$H5300/100/12)</f>
      </c>
      <c r="M5300" s="43">
        <f>IF($I5300=0,0,IF(OR(INDEX(DarlOhneTilgung,12)=1,AND(INDEX(DarlTilgStart,12)&gt;0,$E5300&lt;INDEX(DarlTilgStart,12))),0,MIN(MAX(0,$K5300-$L5300),$J5300)))</f>
      </c>
      <c r="N5300" s="43">
        <f>IF($I5300=0,0,MIN(SUMIFS(SondBetrag,SondDarl,12,SondDatum,"&gt;="&amp;$E5300,SondDatum,"&lt;="&amp;EOMONTH($E5300,0)),$J5300-$M5300))</f>
      </c>
      <c r="O5300" s="43">
        <f>IF($I5300=0,0,INDEX(DarlErsatzRate,12))</f>
      </c>
      <c r="P5300" s="43">
        <f>IF($I5300=0,0,$Q5299*INDEX(DarlErsatzZins,12))</f>
      </c>
      <c r="Q5300" s="43">
        <f>IF($I5300=0,0,$Q5299+$P5300+$O5300)</f>
      </c>
      <c r="R5300" s="43">
        <f>IF($I5300=0,0,$J5300-$M5300-$N5300)</f>
      </c>
    </row>
    <row r="5301">
      <c r="A5301"/>
      <c r="B5301">
        <v>12</v>
      </c>
      <c r="C5301" s="43">
        <f>INDEX(DarlObj,12)</f>
      </c>
      <c r="D5301">
        <v>18</v>
      </c>
      <c r="E5301" s="51">
        <f>IF(INDEX(DarlBelegt,12)=0,0,EOMONTH(INDEX(DarlAuszahlung,12),17)+1)</f>
      </c>
      <c r="F5301" s="43">
        <f>IF($E5301=0,0,YEAR($E5301))</f>
      </c>
      <c r="G5301" s="43">
        <f>IF(INDEX(DarlBindung,12)="",1,IF($E5301&lt;=INDEX(DarlBindung,12),1,0))</f>
      </c>
      <c r="H5301" s="43">
        <f>IF($G5301=1,INDEX(DarlSollzins,12),INDEX(DarlAnschluss,12))</f>
      </c>
      <c r="I5301" s="43">
        <f>IF(INDEX(DarlBelegt,12)=0,0,IF(INDEX(DarlOhneTilgung,12)=1,IF(INDEX(DarlBindung,12)="",1,$G5301),IF($J5301&gt;0.005,1,0)))</f>
      </c>
      <c r="J5301" s="43">
        <f>IF($I5300=0,0,$R5300)</f>
      </c>
      <c r="K5301" s="43">
        <f>IF($I5301=0,0,IF(INDEX(DarlOhneTilgung,12)=1,0,IF(AND(INDEX(DarlTilgStart,12)&gt;0,$E5301=INDEX(DarlTilgStart,12)),$J5301*($H5301+INDEX(DarlTilgung,12))/100/12,IF(AND($G5301=0,$G5300=1),MAX($K5300,$J5301*($H5301+1)/100/12),$K5300))))</f>
      </c>
      <c r="L5301" s="43">
        <f>IF($I5301=0,0,$J5301*$H5301/100/12)</f>
      </c>
      <c r="M5301" s="43">
        <f>IF($I5301=0,0,IF(OR(INDEX(DarlOhneTilgung,12)=1,AND(INDEX(DarlTilgStart,12)&gt;0,$E5301&lt;INDEX(DarlTilgStart,12))),0,MIN(MAX(0,$K5301-$L5301),$J5301)))</f>
      </c>
      <c r="N5301" s="43">
        <f>IF($I5301=0,0,MIN(SUMIFS(SondBetrag,SondDarl,12,SondDatum,"&gt;="&amp;$E5301,SondDatum,"&lt;="&amp;EOMONTH($E5301,0)),$J5301-$M5301))</f>
      </c>
      <c r="O5301" s="43">
        <f>IF($I5301=0,0,INDEX(DarlErsatzRate,12))</f>
      </c>
      <c r="P5301" s="43">
        <f>IF($I5301=0,0,$Q5300*INDEX(DarlErsatzZins,12))</f>
      </c>
      <c r="Q5301" s="43">
        <f>IF($I5301=0,0,$Q5300+$P5301+$O5301)</f>
      </c>
      <c r="R5301" s="43">
        <f>IF($I5301=0,0,$J5301-$M5301-$N5301)</f>
      </c>
    </row>
    <row r="5302">
      <c r="A5302"/>
      <c r="B5302">
        <v>12</v>
      </c>
      <c r="C5302" s="43">
        <f>INDEX(DarlObj,12)</f>
      </c>
      <c r="D5302">
        <v>19</v>
      </c>
      <c r="E5302" s="51">
        <f>IF(INDEX(DarlBelegt,12)=0,0,EOMONTH(INDEX(DarlAuszahlung,12),18)+1)</f>
      </c>
      <c r="F5302" s="43">
        <f>IF($E5302=0,0,YEAR($E5302))</f>
      </c>
      <c r="G5302" s="43">
        <f>IF(INDEX(DarlBindung,12)="",1,IF($E5302&lt;=INDEX(DarlBindung,12),1,0))</f>
      </c>
      <c r="H5302" s="43">
        <f>IF($G5302=1,INDEX(DarlSollzins,12),INDEX(DarlAnschluss,12))</f>
      </c>
      <c r="I5302" s="43">
        <f>IF(INDEX(DarlBelegt,12)=0,0,IF(INDEX(DarlOhneTilgung,12)=1,IF(INDEX(DarlBindung,12)="",1,$G5302),IF($J5302&gt;0.005,1,0)))</f>
      </c>
      <c r="J5302" s="43">
        <f>IF($I5301=0,0,$R5301)</f>
      </c>
      <c r="K5302" s="43">
        <f>IF($I5302=0,0,IF(INDEX(DarlOhneTilgung,12)=1,0,IF(AND(INDEX(DarlTilgStart,12)&gt;0,$E5302=INDEX(DarlTilgStart,12)),$J5302*($H5302+INDEX(DarlTilgung,12))/100/12,IF(AND($G5302=0,$G5301=1),MAX($K5301,$J5302*($H5302+1)/100/12),$K5301))))</f>
      </c>
      <c r="L5302" s="43">
        <f>IF($I5302=0,0,$J5302*$H5302/100/12)</f>
      </c>
      <c r="M5302" s="43">
        <f>IF($I5302=0,0,IF(OR(INDEX(DarlOhneTilgung,12)=1,AND(INDEX(DarlTilgStart,12)&gt;0,$E5302&lt;INDEX(DarlTilgStart,12))),0,MIN(MAX(0,$K5302-$L5302),$J5302)))</f>
      </c>
      <c r="N5302" s="43">
        <f>IF($I5302=0,0,MIN(SUMIFS(SondBetrag,SondDarl,12,SondDatum,"&gt;="&amp;$E5302,SondDatum,"&lt;="&amp;EOMONTH($E5302,0)),$J5302-$M5302))</f>
      </c>
      <c r="O5302" s="43">
        <f>IF($I5302=0,0,INDEX(DarlErsatzRate,12))</f>
      </c>
      <c r="P5302" s="43">
        <f>IF($I5302=0,0,$Q5301*INDEX(DarlErsatzZins,12))</f>
      </c>
      <c r="Q5302" s="43">
        <f>IF($I5302=0,0,$Q5301+$P5302+$O5302)</f>
      </c>
      <c r="R5302" s="43">
        <f>IF($I5302=0,0,$J5302-$M5302-$N5302)</f>
      </c>
    </row>
    <row r="5303">
      <c r="A5303"/>
      <c r="B5303">
        <v>12</v>
      </c>
      <c r="C5303" s="43">
        <f>INDEX(DarlObj,12)</f>
      </c>
      <c r="D5303">
        <v>20</v>
      </c>
      <c r="E5303" s="51">
        <f>IF(INDEX(DarlBelegt,12)=0,0,EOMONTH(INDEX(DarlAuszahlung,12),19)+1)</f>
      </c>
      <c r="F5303" s="43">
        <f>IF($E5303=0,0,YEAR($E5303))</f>
      </c>
      <c r="G5303" s="43">
        <f>IF(INDEX(DarlBindung,12)="",1,IF($E5303&lt;=INDEX(DarlBindung,12),1,0))</f>
      </c>
      <c r="H5303" s="43">
        <f>IF($G5303=1,INDEX(DarlSollzins,12),INDEX(DarlAnschluss,12))</f>
      </c>
      <c r="I5303" s="43">
        <f>IF(INDEX(DarlBelegt,12)=0,0,IF(INDEX(DarlOhneTilgung,12)=1,IF(INDEX(DarlBindung,12)="",1,$G5303),IF($J5303&gt;0.005,1,0)))</f>
      </c>
      <c r="J5303" s="43">
        <f>IF($I5302=0,0,$R5302)</f>
      </c>
      <c r="K5303" s="43">
        <f>IF($I5303=0,0,IF(INDEX(DarlOhneTilgung,12)=1,0,IF(AND(INDEX(DarlTilgStart,12)&gt;0,$E5303=INDEX(DarlTilgStart,12)),$J5303*($H5303+INDEX(DarlTilgung,12))/100/12,IF(AND($G5303=0,$G5302=1),MAX($K5302,$J5303*($H5303+1)/100/12),$K5302))))</f>
      </c>
      <c r="L5303" s="43">
        <f>IF($I5303=0,0,$J5303*$H5303/100/12)</f>
      </c>
      <c r="M5303" s="43">
        <f>IF($I5303=0,0,IF(OR(INDEX(DarlOhneTilgung,12)=1,AND(INDEX(DarlTilgStart,12)&gt;0,$E5303&lt;INDEX(DarlTilgStart,12))),0,MIN(MAX(0,$K5303-$L5303),$J5303)))</f>
      </c>
      <c r="N5303" s="43">
        <f>IF($I5303=0,0,MIN(SUMIFS(SondBetrag,SondDarl,12,SondDatum,"&gt;="&amp;$E5303,SondDatum,"&lt;="&amp;EOMONTH($E5303,0)),$J5303-$M5303))</f>
      </c>
      <c r="O5303" s="43">
        <f>IF($I5303=0,0,INDEX(DarlErsatzRate,12))</f>
      </c>
      <c r="P5303" s="43">
        <f>IF($I5303=0,0,$Q5302*INDEX(DarlErsatzZins,12))</f>
      </c>
      <c r="Q5303" s="43">
        <f>IF($I5303=0,0,$Q5302+$P5303+$O5303)</f>
      </c>
      <c r="R5303" s="43">
        <f>IF($I5303=0,0,$J5303-$M5303-$N5303)</f>
      </c>
    </row>
    <row r="5304">
      <c r="A5304"/>
      <c r="B5304">
        <v>12</v>
      </c>
      <c r="C5304" s="43">
        <f>INDEX(DarlObj,12)</f>
      </c>
      <c r="D5304">
        <v>21</v>
      </c>
      <c r="E5304" s="51">
        <f>IF(INDEX(DarlBelegt,12)=0,0,EOMONTH(INDEX(DarlAuszahlung,12),20)+1)</f>
      </c>
      <c r="F5304" s="43">
        <f>IF($E5304=0,0,YEAR($E5304))</f>
      </c>
      <c r="G5304" s="43">
        <f>IF(INDEX(DarlBindung,12)="",1,IF($E5304&lt;=INDEX(DarlBindung,12),1,0))</f>
      </c>
      <c r="H5304" s="43">
        <f>IF($G5304=1,INDEX(DarlSollzins,12),INDEX(DarlAnschluss,12))</f>
      </c>
      <c r="I5304" s="43">
        <f>IF(INDEX(DarlBelegt,12)=0,0,IF(INDEX(DarlOhneTilgung,12)=1,IF(INDEX(DarlBindung,12)="",1,$G5304),IF($J5304&gt;0.005,1,0)))</f>
      </c>
      <c r="J5304" s="43">
        <f>IF($I5303=0,0,$R5303)</f>
      </c>
      <c r="K5304" s="43">
        <f>IF($I5304=0,0,IF(INDEX(DarlOhneTilgung,12)=1,0,IF(AND(INDEX(DarlTilgStart,12)&gt;0,$E5304=INDEX(DarlTilgStart,12)),$J5304*($H5304+INDEX(DarlTilgung,12))/100/12,IF(AND($G5304=0,$G5303=1),MAX($K5303,$J5304*($H5304+1)/100/12),$K5303))))</f>
      </c>
      <c r="L5304" s="43">
        <f>IF($I5304=0,0,$J5304*$H5304/100/12)</f>
      </c>
      <c r="M5304" s="43">
        <f>IF($I5304=0,0,IF(OR(INDEX(DarlOhneTilgung,12)=1,AND(INDEX(DarlTilgStart,12)&gt;0,$E5304&lt;INDEX(DarlTilgStart,12))),0,MIN(MAX(0,$K5304-$L5304),$J5304)))</f>
      </c>
      <c r="N5304" s="43">
        <f>IF($I5304=0,0,MIN(SUMIFS(SondBetrag,SondDarl,12,SondDatum,"&gt;="&amp;$E5304,SondDatum,"&lt;="&amp;EOMONTH($E5304,0)),$J5304-$M5304))</f>
      </c>
      <c r="O5304" s="43">
        <f>IF($I5304=0,0,INDEX(DarlErsatzRate,12))</f>
      </c>
      <c r="P5304" s="43">
        <f>IF($I5304=0,0,$Q5303*INDEX(DarlErsatzZins,12))</f>
      </c>
      <c r="Q5304" s="43">
        <f>IF($I5304=0,0,$Q5303+$P5304+$O5304)</f>
      </c>
      <c r="R5304" s="43">
        <f>IF($I5304=0,0,$J5304-$M5304-$N5304)</f>
      </c>
    </row>
    <row r="5305">
      <c r="A5305"/>
      <c r="B5305">
        <v>12</v>
      </c>
      <c r="C5305" s="43">
        <f>INDEX(DarlObj,12)</f>
      </c>
      <c r="D5305">
        <v>22</v>
      </c>
      <c r="E5305" s="51">
        <f>IF(INDEX(DarlBelegt,12)=0,0,EOMONTH(INDEX(DarlAuszahlung,12),21)+1)</f>
      </c>
      <c r="F5305" s="43">
        <f>IF($E5305=0,0,YEAR($E5305))</f>
      </c>
      <c r="G5305" s="43">
        <f>IF(INDEX(DarlBindung,12)="",1,IF($E5305&lt;=INDEX(DarlBindung,12),1,0))</f>
      </c>
      <c r="H5305" s="43">
        <f>IF($G5305=1,INDEX(DarlSollzins,12),INDEX(DarlAnschluss,12))</f>
      </c>
      <c r="I5305" s="43">
        <f>IF(INDEX(DarlBelegt,12)=0,0,IF(INDEX(DarlOhneTilgung,12)=1,IF(INDEX(DarlBindung,12)="",1,$G5305),IF($J5305&gt;0.005,1,0)))</f>
      </c>
      <c r="J5305" s="43">
        <f>IF($I5304=0,0,$R5304)</f>
      </c>
      <c r="K5305" s="43">
        <f>IF($I5305=0,0,IF(INDEX(DarlOhneTilgung,12)=1,0,IF(AND(INDEX(DarlTilgStart,12)&gt;0,$E5305=INDEX(DarlTilgStart,12)),$J5305*($H5305+INDEX(DarlTilgung,12))/100/12,IF(AND($G5305=0,$G5304=1),MAX($K5304,$J5305*($H5305+1)/100/12),$K5304))))</f>
      </c>
      <c r="L5305" s="43">
        <f>IF($I5305=0,0,$J5305*$H5305/100/12)</f>
      </c>
      <c r="M5305" s="43">
        <f>IF($I5305=0,0,IF(OR(INDEX(DarlOhneTilgung,12)=1,AND(INDEX(DarlTilgStart,12)&gt;0,$E5305&lt;INDEX(DarlTilgStart,12))),0,MIN(MAX(0,$K5305-$L5305),$J5305)))</f>
      </c>
      <c r="N5305" s="43">
        <f>IF($I5305=0,0,MIN(SUMIFS(SondBetrag,SondDarl,12,SondDatum,"&gt;="&amp;$E5305,SondDatum,"&lt;="&amp;EOMONTH($E5305,0)),$J5305-$M5305))</f>
      </c>
      <c r="O5305" s="43">
        <f>IF($I5305=0,0,INDEX(DarlErsatzRate,12))</f>
      </c>
      <c r="P5305" s="43">
        <f>IF($I5305=0,0,$Q5304*INDEX(DarlErsatzZins,12))</f>
      </c>
      <c r="Q5305" s="43">
        <f>IF($I5305=0,0,$Q5304+$P5305+$O5305)</f>
      </c>
      <c r="R5305" s="43">
        <f>IF($I5305=0,0,$J5305-$M5305-$N5305)</f>
      </c>
    </row>
    <row r="5306">
      <c r="A5306"/>
      <c r="B5306">
        <v>12</v>
      </c>
      <c r="C5306" s="43">
        <f>INDEX(DarlObj,12)</f>
      </c>
      <c r="D5306">
        <v>23</v>
      </c>
      <c r="E5306" s="51">
        <f>IF(INDEX(DarlBelegt,12)=0,0,EOMONTH(INDEX(DarlAuszahlung,12),22)+1)</f>
      </c>
      <c r="F5306" s="43">
        <f>IF($E5306=0,0,YEAR($E5306))</f>
      </c>
      <c r="G5306" s="43">
        <f>IF(INDEX(DarlBindung,12)="",1,IF($E5306&lt;=INDEX(DarlBindung,12),1,0))</f>
      </c>
      <c r="H5306" s="43">
        <f>IF($G5306=1,INDEX(DarlSollzins,12),INDEX(DarlAnschluss,12))</f>
      </c>
      <c r="I5306" s="43">
        <f>IF(INDEX(DarlBelegt,12)=0,0,IF(INDEX(DarlOhneTilgung,12)=1,IF(INDEX(DarlBindung,12)="",1,$G5306),IF($J5306&gt;0.005,1,0)))</f>
      </c>
      <c r="J5306" s="43">
        <f>IF($I5305=0,0,$R5305)</f>
      </c>
      <c r="K5306" s="43">
        <f>IF($I5306=0,0,IF(INDEX(DarlOhneTilgung,12)=1,0,IF(AND(INDEX(DarlTilgStart,12)&gt;0,$E5306=INDEX(DarlTilgStart,12)),$J5306*($H5306+INDEX(DarlTilgung,12))/100/12,IF(AND($G5306=0,$G5305=1),MAX($K5305,$J5306*($H5306+1)/100/12),$K5305))))</f>
      </c>
      <c r="L5306" s="43">
        <f>IF($I5306=0,0,$J5306*$H5306/100/12)</f>
      </c>
      <c r="M5306" s="43">
        <f>IF($I5306=0,0,IF(OR(INDEX(DarlOhneTilgung,12)=1,AND(INDEX(DarlTilgStart,12)&gt;0,$E5306&lt;INDEX(DarlTilgStart,12))),0,MIN(MAX(0,$K5306-$L5306),$J5306)))</f>
      </c>
      <c r="N5306" s="43">
        <f>IF($I5306=0,0,MIN(SUMIFS(SondBetrag,SondDarl,12,SondDatum,"&gt;="&amp;$E5306,SondDatum,"&lt;="&amp;EOMONTH($E5306,0)),$J5306-$M5306))</f>
      </c>
      <c r="O5306" s="43">
        <f>IF($I5306=0,0,INDEX(DarlErsatzRate,12))</f>
      </c>
      <c r="P5306" s="43">
        <f>IF($I5306=0,0,$Q5305*INDEX(DarlErsatzZins,12))</f>
      </c>
      <c r="Q5306" s="43">
        <f>IF($I5306=0,0,$Q5305+$P5306+$O5306)</f>
      </c>
      <c r="R5306" s="43">
        <f>IF($I5306=0,0,$J5306-$M5306-$N5306)</f>
      </c>
    </row>
    <row r="5307">
      <c r="A5307"/>
      <c r="B5307">
        <v>12</v>
      </c>
      <c r="C5307" s="43">
        <f>INDEX(DarlObj,12)</f>
      </c>
      <c r="D5307">
        <v>24</v>
      </c>
      <c r="E5307" s="51">
        <f>IF(INDEX(DarlBelegt,12)=0,0,EOMONTH(INDEX(DarlAuszahlung,12),23)+1)</f>
      </c>
      <c r="F5307" s="43">
        <f>IF($E5307=0,0,YEAR($E5307))</f>
      </c>
      <c r="G5307" s="43">
        <f>IF(INDEX(DarlBindung,12)="",1,IF($E5307&lt;=INDEX(DarlBindung,12),1,0))</f>
      </c>
      <c r="H5307" s="43">
        <f>IF($G5307=1,INDEX(DarlSollzins,12),INDEX(DarlAnschluss,12))</f>
      </c>
      <c r="I5307" s="43">
        <f>IF(INDEX(DarlBelegt,12)=0,0,IF(INDEX(DarlOhneTilgung,12)=1,IF(INDEX(DarlBindung,12)="",1,$G5307),IF($J5307&gt;0.005,1,0)))</f>
      </c>
      <c r="J5307" s="43">
        <f>IF($I5306=0,0,$R5306)</f>
      </c>
      <c r="K5307" s="43">
        <f>IF($I5307=0,0,IF(INDEX(DarlOhneTilgung,12)=1,0,IF(AND(INDEX(DarlTilgStart,12)&gt;0,$E5307=INDEX(DarlTilgStart,12)),$J5307*($H5307+INDEX(DarlTilgung,12))/100/12,IF(AND($G5307=0,$G5306=1),MAX($K5306,$J5307*($H5307+1)/100/12),$K5306))))</f>
      </c>
      <c r="L5307" s="43">
        <f>IF($I5307=0,0,$J5307*$H5307/100/12)</f>
      </c>
      <c r="M5307" s="43">
        <f>IF($I5307=0,0,IF(OR(INDEX(DarlOhneTilgung,12)=1,AND(INDEX(DarlTilgStart,12)&gt;0,$E5307&lt;INDEX(DarlTilgStart,12))),0,MIN(MAX(0,$K5307-$L5307),$J5307)))</f>
      </c>
      <c r="N5307" s="43">
        <f>IF($I5307=0,0,MIN(SUMIFS(SondBetrag,SondDarl,12,SondDatum,"&gt;="&amp;$E5307,SondDatum,"&lt;="&amp;EOMONTH($E5307,0)),$J5307-$M5307))</f>
      </c>
      <c r="O5307" s="43">
        <f>IF($I5307=0,0,INDEX(DarlErsatzRate,12))</f>
      </c>
      <c r="P5307" s="43">
        <f>IF($I5307=0,0,$Q5306*INDEX(DarlErsatzZins,12))</f>
      </c>
      <c r="Q5307" s="43">
        <f>IF($I5307=0,0,$Q5306+$P5307+$O5307)</f>
      </c>
      <c r="R5307" s="43">
        <f>IF($I5307=0,0,$J5307-$M5307-$N5307)</f>
      </c>
    </row>
    <row r="5308">
      <c r="A5308"/>
      <c r="B5308">
        <v>12</v>
      </c>
      <c r="C5308" s="43">
        <f>INDEX(DarlObj,12)</f>
      </c>
      <c r="D5308">
        <v>25</v>
      </c>
      <c r="E5308" s="51">
        <f>IF(INDEX(DarlBelegt,12)=0,0,EOMONTH(INDEX(DarlAuszahlung,12),24)+1)</f>
      </c>
      <c r="F5308" s="43">
        <f>IF($E5308=0,0,YEAR($E5308))</f>
      </c>
      <c r="G5308" s="43">
        <f>IF(INDEX(DarlBindung,12)="",1,IF($E5308&lt;=INDEX(DarlBindung,12),1,0))</f>
      </c>
      <c r="H5308" s="43">
        <f>IF($G5308=1,INDEX(DarlSollzins,12),INDEX(DarlAnschluss,12))</f>
      </c>
      <c r="I5308" s="43">
        <f>IF(INDEX(DarlBelegt,12)=0,0,IF(INDEX(DarlOhneTilgung,12)=1,IF(INDEX(DarlBindung,12)="",1,$G5308),IF($J5308&gt;0.005,1,0)))</f>
      </c>
      <c r="J5308" s="43">
        <f>IF($I5307=0,0,$R5307)</f>
      </c>
      <c r="K5308" s="43">
        <f>IF($I5308=0,0,IF(INDEX(DarlOhneTilgung,12)=1,0,IF(AND(INDEX(DarlTilgStart,12)&gt;0,$E5308=INDEX(DarlTilgStart,12)),$J5308*($H5308+INDEX(DarlTilgung,12))/100/12,IF(AND($G5308=0,$G5307=1),MAX($K5307,$J5308*($H5308+1)/100/12),$K5307))))</f>
      </c>
      <c r="L5308" s="43">
        <f>IF($I5308=0,0,$J5308*$H5308/100/12)</f>
      </c>
      <c r="M5308" s="43">
        <f>IF($I5308=0,0,IF(OR(INDEX(DarlOhneTilgung,12)=1,AND(INDEX(DarlTilgStart,12)&gt;0,$E5308&lt;INDEX(DarlTilgStart,12))),0,MIN(MAX(0,$K5308-$L5308),$J5308)))</f>
      </c>
      <c r="N5308" s="43">
        <f>IF($I5308=0,0,MIN(SUMIFS(SondBetrag,SondDarl,12,SondDatum,"&gt;="&amp;$E5308,SondDatum,"&lt;="&amp;EOMONTH($E5308,0)),$J5308-$M5308))</f>
      </c>
      <c r="O5308" s="43">
        <f>IF($I5308=0,0,INDEX(DarlErsatzRate,12))</f>
      </c>
      <c r="P5308" s="43">
        <f>IF($I5308=0,0,$Q5307*INDEX(DarlErsatzZins,12))</f>
      </c>
      <c r="Q5308" s="43">
        <f>IF($I5308=0,0,$Q5307+$P5308+$O5308)</f>
      </c>
      <c r="R5308" s="43">
        <f>IF($I5308=0,0,$J5308-$M5308-$N5308)</f>
      </c>
    </row>
    <row r="5309">
      <c r="A5309"/>
      <c r="B5309">
        <v>12</v>
      </c>
      <c r="C5309" s="43">
        <f>INDEX(DarlObj,12)</f>
      </c>
      <c r="D5309">
        <v>26</v>
      </c>
      <c r="E5309" s="51">
        <f>IF(INDEX(DarlBelegt,12)=0,0,EOMONTH(INDEX(DarlAuszahlung,12),25)+1)</f>
      </c>
      <c r="F5309" s="43">
        <f>IF($E5309=0,0,YEAR($E5309))</f>
      </c>
      <c r="G5309" s="43">
        <f>IF(INDEX(DarlBindung,12)="",1,IF($E5309&lt;=INDEX(DarlBindung,12),1,0))</f>
      </c>
      <c r="H5309" s="43">
        <f>IF($G5309=1,INDEX(DarlSollzins,12),INDEX(DarlAnschluss,12))</f>
      </c>
      <c r="I5309" s="43">
        <f>IF(INDEX(DarlBelegt,12)=0,0,IF(INDEX(DarlOhneTilgung,12)=1,IF(INDEX(DarlBindung,12)="",1,$G5309),IF($J5309&gt;0.005,1,0)))</f>
      </c>
      <c r="J5309" s="43">
        <f>IF($I5308=0,0,$R5308)</f>
      </c>
      <c r="K5309" s="43">
        <f>IF($I5309=0,0,IF(INDEX(DarlOhneTilgung,12)=1,0,IF(AND(INDEX(DarlTilgStart,12)&gt;0,$E5309=INDEX(DarlTilgStart,12)),$J5309*($H5309+INDEX(DarlTilgung,12))/100/12,IF(AND($G5309=0,$G5308=1),MAX($K5308,$J5309*($H5309+1)/100/12),$K5308))))</f>
      </c>
      <c r="L5309" s="43">
        <f>IF($I5309=0,0,$J5309*$H5309/100/12)</f>
      </c>
      <c r="M5309" s="43">
        <f>IF($I5309=0,0,IF(OR(INDEX(DarlOhneTilgung,12)=1,AND(INDEX(DarlTilgStart,12)&gt;0,$E5309&lt;INDEX(DarlTilgStart,12))),0,MIN(MAX(0,$K5309-$L5309),$J5309)))</f>
      </c>
      <c r="N5309" s="43">
        <f>IF($I5309=0,0,MIN(SUMIFS(SondBetrag,SondDarl,12,SondDatum,"&gt;="&amp;$E5309,SondDatum,"&lt;="&amp;EOMONTH($E5309,0)),$J5309-$M5309))</f>
      </c>
      <c r="O5309" s="43">
        <f>IF($I5309=0,0,INDEX(DarlErsatzRate,12))</f>
      </c>
      <c r="P5309" s="43">
        <f>IF($I5309=0,0,$Q5308*INDEX(DarlErsatzZins,12))</f>
      </c>
      <c r="Q5309" s="43">
        <f>IF($I5309=0,0,$Q5308+$P5309+$O5309)</f>
      </c>
      <c r="R5309" s="43">
        <f>IF($I5309=0,0,$J5309-$M5309-$N5309)</f>
      </c>
    </row>
    <row r="5310">
      <c r="A5310"/>
      <c r="B5310">
        <v>12</v>
      </c>
      <c r="C5310" s="43">
        <f>INDEX(DarlObj,12)</f>
      </c>
      <c r="D5310">
        <v>27</v>
      </c>
      <c r="E5310" s="51">
        <f>IF(INDEX(DarlBelegt,12)=0,0,EOMONTH(INDEX(DarlAuszahlung,12),26)+1)</f>
      </c>
      <c r="F5310" s="43">
        <f>IF($E5310=0,0,YEAR($E5310))</f>
      </c>
      <c r="G5310" s="43">
        <f>IF(INDEX(DarlBindung,12)="",1,IF($E5310&lt;=INDEX(DarlBindung,12),1,0))</f>
      </c>
      <c r="H5310" s="43">
        <f>IF($G5310=1,INDEX(DarlSollzins,12),INDEX(DarlAnschluss,12))</f>
      </c>
      <c r="I5310" s="43">
        <f>IF(INDEX(DarlBelegt,12)=0,0,IF(INDEX(DarlOhneTilgung,12)=1,IF(INDEX(DarlBindung,12)="",1,$G5310),IF($J5310&gt;0.005,1,0)))</f>
      </c>
      <c r="J5310" s="43">
        <f>IF($I5309=0,0,$R5309)</f>
      </c>
      <c r="K5310" s="43">
        <f>IF($I5310=0,0,IF(INDEX(DarlOhneTilgung,12)=1,0,IF(AND(INDEX(DarlTilgStart,12)&gt;0,$E5310=INDEX(DarlTilgStart,12)),$J5310*($H5310+INDEX(DarlTilgung,12))/100/12,IF(AND($G5310=0,$G5309=1),MAX($K5309,$J5310*($H5310+1)/100/12),$K5309))))</f>
      </c>
      <c r="L5310" s="43">
        <f>IF($I5310=0,0,$J5310*$H5310/100/12)</f>
      </c>
      <c r="M5310" s="43">
        <f>IF($I5310=0,0,IF(OR(INDEX(DarlOhneTilgung,12)=1,AND(INDEX(DarlTilgStart,12)&gt;0,$E5310&lt;INDEX(DarlTilgStart,12))),0,MIN(MAX(0,$K5310-$L5310),$J5310)))</f>
      </c>
      <c r="N5310" s="43">
        <f>IF($I5310=0,0,MIN(SUMIFS(SondBetrag,SondDarl,12,SondDatum,"&gt;="&amp;$E5310,SondDatum,"&lt;="&amp;EOMONTH($E5310,0)),$J5310-$M5310))</f>
      </c>
      <c r="O5310" s="43">
        <f>IF($I5310=0,0,INDEX(DarlErsatzRate,12))</f>
      </c>
      <c r="P5310" s="43">
        <f>IF($I5310=0,0,$Q5309*INDEX(DarlErsatzZins,12))</f>
      </c>
      <c r="Q5310" s="43">
        <f>IF($I5310=0,0,$Q5309+$P5310+$O5310)</f>
      </c>
      <c r="R5310" s="43">
        <f>IF($I5310=0,0,$J5310-$M5310-$N5310)</f>
      </c>
    </row>
    <row r="5311">
      <c r="A5311"/>
      <c r="B5311">
        <v>12</v>
      </c>
      <c r="C5311" s="43">
        <f>INDEX(DarlObj,12)</f>
      </c>
      <c r="D5311">
        <v>28</v>
      </c>
      <c r="E5311" s="51">
        <f>IF(INDEX(DarlBelegt,12)=0,0,EOMONTH(INDEX(DarlAuszahlung,12),27)+1)</f>
      </c>
      <c r="F5311" s="43">
        <f>IF($E5311=0,0,YEAR($E5311))</f>
      </c>
      <c r="G5311" s="43">
        <f>IF(INDEX(DarlBindung,12)="",1,IF($E5311&lt;=INDEX(DarlBindung,12),1,0))</f>
      </c>
      <c r="H5311" s="43">
        <f>IF($G5311=1,INDEX(DarlSollzins,12),INDEX(DarlAnschluss,12))</f>
      </c>
      <c r="I5311" s="43">
        <f>IF(INDEX(DarlBelegt,12)=0,0,IF(INDEX(DarlOhneTilgung,12)=1,IF(INDEX(DarlBindung,12)="",1,$G5311),IF($J5311&gt;0.005,1,0)))</f>
      </c>
      <c r="J5311" s="43">
        <f>IF($I5310=0,0,$R5310)</f>
      </c>
      <c r="K5311" s="43">
        <f>IF($I5311=0,0,IF(INDEX(DarlOhneTilgung,12)=1,0,IF(AND(INDEX(DarlTilgStart,12)&gt;0,$E5311=INDEX(DarlTilgStart,12)),$J5311*($H5311+INDEX(DarlTilgung,12))/100/12,IF(AND($G5311=0,$G5310=1),MAX($K5310,$J5311*($H5311+1)/100/12),$K5310))))</f>
      </c>
      <c r="L5311" s="43">
        <f>IF($I5311=0,0,$J5311*$H5311/100/12)</f>
      </c>
      <c r="M5311" s="43">
        <f>IF($I5311=0,0,IF(OR(INDEX(DarlOhneTilgung,12)=1,AND(INDEX(DarlTilgStart,12)&gt;0,$E5311&lt;INDEX(DarlTilgStart,12))),0,MIN(MAX(0,$K5311-$L5311),$J5311)))</f>
      </c>
      <c r="N5311" s="43">
        <f>IF($I5311=0,0,MIN(SUMIFS(SondBetrag,SondDarl,12,SondDatum,"&gt;="&amp;$E5311,SondDatum,"&lt;="&amp;EOMONTH($E5311,0)),$J5311-$M5311))</f>
      </c>
      <c r="O5311" s="43">
        <f>IF($I5311=0,0,INDEX(DarlErsatzRate,12))</f>
      </c>
      <c r="P5311" s="43">
        <f>IF($I5311=0,0,$Q5310*INDEX(DarlErsatzZins,12))</f>
      </c>
      <c r="Q5311" s="43">
        <f>IF($I5311=0,0,$Q5310+$P5311+$O5311)</f>
      </c>
      <c r="R5311" s="43">
        <f>IF($I5311=0,0,$J5311-$M5311-$N5311)</f>
      </c>
    </row>
    <row r="5312">
      <c r="A5312"/>
      <c r="B5312">
        <v>12</v>
      </c>
      <c r="C5312" s="43">
        <f>INDEX(DarlObj,12)</f>
      </c>
      <c r="D5312">
        <v>29</v>
      </c>
      <c r="E5312" s="51">
        <f>IF(INDEX(DarlBelegt,12)=0,0,EOMONTH(INDEX(DarlAuszahlung,12),28)+1)</f>
      </c>
      <c r="F5312" s="43">
        <f>IF($E5312=0,0,YEAR($E5312))</f>
      </c>
      <c r="G5312" s="43">
        <f>IF(INDEX(DarlBindung,12)="",1,IF($E5312&lt;=INDEX(DarlBindung,12),1,0))</f>
      </c>
      <c r="H5312" s="43">
        <f>IF($G5312=1,INDEX(DarlSollzins,12),INDEX(DarlAnschluss,12))</f>
      </c>
      <c r="I5312" s="43">
        <f>IF(INDEX(DarlBelegt,12)=0,0,IF(INDEX(DarlOhneTilgung,12)=1,IF(INDEX(DarlBindung,12)="",1,$G5312),IF($J5312&gt;0.005,1,0)))</f>
      </c>
      <c r="J5312" s="43">
        <f>IF($I5311=0,0,$R5311)</f>
      </c>
      <c r="K5312" s="43">
        <f>IF($I5312=0,0,IF(INDEX(DarlOhneTilgung,12)=1,0,IF(AND(INDEX(DarlTilgStart,12)&gt;0,$E5312=INDEX(DarlTilgStart,12)),$J5312*($H5312+INDEX(DarlTilgung,12))/100/12,IF(AND($G5312=0,$G5311=1),MAX($K5311,$J5312*($H5312+1)/100/12),$K5311))))</f>
      </c>
      <c r="L5312" s="43">
        <f>IF($I5312=0,0,$J5312*$H5312/100/12)</f>
      </c>
      <c r="M5312" s="43">
        <f>IF($I5312=0,0,IF(OR(INDEX(DarlOhneTilgung,12)=1,AND(INDEX(DarlTilgStart,12)&gt;0,$E5312&lt;INDEX(DarlTilgStart,12))),0,MIN(MAX(0,$K5312-$L5312),$J5312)))</f>
      </c>
      <c r="N5312" s="43">
        <f>IF($I5312=0,0,MIN(SUMIFS(SondBetrag,SondDarl,12,SondDatum,"&gt;="&amp;$E5312,SondDatum,"&lt;="&amp;EOMONTH($E5312,0)),$J5312-$M5312))</f>
      </c>
      <c r="O5312" s="43">
        <f>IF($I5312=0,0,INDEX(DarlErsatzRate,12))</f>
      </c>
      <c r="P5312" s="43">
        <f>IF($I5312=0,0,$Q5311*INDEX(DarlErsatzZins,12))</f>
      </c>
      <c r="Q5312" s="43">
        <f>IF($I5312=0,0,$Q5311+$P5312+$O5312)</f>
      </c>
      <c r="R5312" s="43">
        <f>IF($I5312=0,0,$J5312-$M5312-$N5312)</f>
      </c>
    </row>
    <row r="5313">
      <c r="A5313"/>
      <c r="B5313">
        <v>12</v>
      </c>
      <c r="C5313" s="43">
        <f>INDEX(DarlObj,12)</f>
      </c>
      <c r="D5313">
        <v>30</v>
      </c>
      <c r="E5313" s="51">
        <f>IF(INDEX(DarlBelegt,12)=0,0,EOMONTH(INDEX(DarlAuszahlung,12),29)+1)</f>
      </c>
      <c r="F5313" s="43">
        <f>IF($E5313=0,0,YEAR($E5313))</f>
      </c>
      <c r="G5313" s="43">
        <f>IF(INDEX(DarlBindung,12)="",1,IF($E5313&lt;=INDEX(DarlBindung,12),1,0))</f>
      </c>
      <c r="H5313" s="43">
        <f>IF($G5313=1,INDEX(DarlSollzins,12),INDEX(DarlAnschluss,12))</f>
      </c>
      <c r="I5313" s="43">
        <f>IF(INDEX(DarlBelegt,12)=0,0,IF(INDEX(DarlOhneTilgung,12)=1,IF(INDEX(DarlBindung,12)="",1,$G5313),IF($J5313&gt;0.005,1,0)))</f>
      </c>
      <c r="J5313" s="43">
        <f>IF($I5312=0,0,$R5312)</f>
      </c>
      <c r="K5313" s="43">
        <f>IF($I5313=0,0,IF(INDEX(DarlOhneTilgung,12)=1,0,IF(AND(INDEX(DarlTilgStart,12)&gt;0,$E5313=INDEX(DarlTilgStart,12)),$J5313*($H5313+INDEX(DarlTilgung,12))/100/12,IF(AND($G5313=0,$G5312=1),MAX($K5312,$J5313*($H5313+1)/100/12),$K5312))))</f>
      </c>
      <c r="L5313" s="43">
        <f>IF($I5313=0,0,$J5313*$H5313/100/12)</f>
      </c>
      <c r="M5313" s="43">
        <f>IF($I5313=0,0,IF(OR(INDEX(DarlOhneTilgung,12)=1,AND(INDEX(DarlTilgStart,12)&gt;0,$E5313&lt;INDEX(DarlTilgStart,12))),0,MIN(MAX(0,$K5313-$L5313),$J5313)))</f>
      </c>
      <c r="N5313" s="43">
        <f>IF($I5313=0,0,MIN(SUMIFS(SondBetrag,SondDarl,12,SondDatum,"&gt;="&amp;$E5313,SondDatum,"&lt;="&amp;EOMONTH($E5313,0)),$J5313-$M5313))</f>
      </c>
      <c r="O5313" s="43">
        <f>IF($I5313=0,0,INDEX(DarlErsatzRate,12))</f>
      </c>
      <c r="P5313" s="43">
        <f>IF($I5313=0,0,$Q5312*INDEX(DarlErsatzZins,12))</f>
      </c>
      <c r="Q5313" s="43">
        <f>IF($I5313=0,0,$Q5312+$P5313+$O5313)</f>
      </c>
      <c r="R5313" s="43">
        <f>IF($I5313=0,0,$J5313-$M5313-$N5313)</f>
      </c>
    </row>
    <row r="5314">
      <c r="A5314"/>
      <c r="B5314">
        <v>12</v>
      </c>
      <c r="C5314" s="43">
        <f>INDEX(DarlObj,12)</f>
      </c>
      <c r="D5314">
        <v>31</v>
      </c>
      <c r="E5314" s="51">
        <f>IF(INDEX(DarlBelegt,12)=0,0,EOMONTH(INDEX(DarlAuszahlung,12),30)+1)</f>
      </c>
      <c r="F5314" s="43">
        <f>IF($E5314=0,0,YEAR($E5314))</f>
      </c>
      <c r="G5314" s="43">
        <f>IF(INDEX(DarlBindung,12)="",1,IF($E5314&lt;=INDEX(DarlBindung,12),1,0))</f>
      </c>
      <c r="H5314" s="43">
        <f>IF($G5314=1,INDEX(DarlSollzins,12),INDEX(DarlAnschluss,12))</f>
      </c>
      <c r="I5314" s="43">
        <f>IF(INDEX(DarlBelegt,12)=0,0,IF(INDEX(DarlOhneTilgung,12)=1,IF(INDEX(DarlBindung,12)="",1,$G5314),IF($J5314&gt;0.005,1,0)))</f>
      </c>
      <c r="J5314" s="43">
        <f>IF($I5313=0,0,$R5313)</f>
      </c>
      <c r="K5314" s="43">
        <f>IF($I5314=0,0,IF(INDEX(DarlOhneTilgung,12)=1,0,IF(AND(INDEX(DarlTilgStart,12)&gt;0,$E5314=INDEX(DarlTilgStart,12)),$J5314*($H5314+INDEX(DarlTilgung,12))/100/12,IF(AND($G5314=0,$G5313=1),MAX($K5313,$J5314*($H5314+1)/100/12),$K5313))))</f>
      </c>
      <c r="L5314" s="43">
        <f>IF($I5314=0,0,$J5314*$H5314/100/12)</f>
      </c>
      <c r="M5314" s="43">
        <f>IF($I5314=0,0,IF(OR(INDEX(DarlOhneTilgung,12)=1,AND(INDEX(DarlTilgStart,12)&gt;0,$E5314&lt;INDEX(DarlTilgStart,12))),0,MIN(MAX(0,$K5314-$L5314),$J5314)))</f>
      </c>
      <c r="N5314" s="43">
        <f>IF($I5314=0,0,MIN(SUMIFS(SondBetrag,SondDarl,12,SondDatum,"&gt;="&amp;$E5314,SondDatum,"&lt;="&amp;EOMONTH($E5314,0)),$J5314-$M5314))</f>
      </c>
      <c r="O5314" s="43">
        <f>IF($I5314=0,0,INDEX(DarlErsatzRate,12))</f>
      </c>
      <c r="P5314" s="43">
        <f>IF($I5314=0,0,$Q5313*INDEX(DarlErsatzZins,12))</f>
      </c>
      <c r="Q5314" s="43">
        <f>IF($I5314=0,0,$Q5313+$P5314+$O5314)</f>
      </c>
      <c r="R5314" s="43">
        <f>IF($I5314=0,0,$J5314-$M5314-$N5314)</f>
      </c>
    </row>
    <row r="5315">
      <c r="A5315"/>
      <c r="B5315">
        <v>12</v>
      </c>
      <c r="C5315" s="43">
        <f>INDEX(DarlObj,12)</f>
      </c>
      <c r="D5315">
        <v>32</v>
      </c>
      <c r="E5315" s="51">
        <f>IF(INDEX(DarlBelegt,12)=0,0,EOMONTH(INDEX(DarlAuszahlung,12),31)+1)</f>
      </c>
      <c r="F5315" s="43">
        <f>IF($E5315=0,0,YEAR($E5315))</f>
      </c>
      <c r="G5315" s="43">
        <f>IF(INDEX(DarlBindung,12)="",1,IF($E5315&lt;=INDEX(DarlBindung,12),1,0))</f>
      </c>
      <c r="H5315" s="43">
        <f>IF($G5315=1,INDEX(DarlSollzins,12),INDEX(DarlAnschluss,12))</f>
      </c>
      <c r="I5315" s="43">
        <f>IF(INDEX(DarlBelegt,12)=0,0,IF(INDEX(DarlOhneTilgung,12)=1,IF(INDEX(DarlBindung,12)="",1,$G5315),IF($J5315&gt;0.005,1,0)))</f>
      </c>
      <c r="J5315" s="43">
        <f>IF($I5314=0,0,$R5314)</f>
      </c>
      <c r="K5315" s="43">
        <f>IF($I5315=0,0,IF(INDEX(DarlOhneTilgung,12)=1,0,IF(AND(INDEX(DarlTilgStart,12)&gt;0,$E5315=INDEX(DarlTilgStart,12)),$J5315*($H5315+INDEX(DarlTilgung,12))/100/12,IF(AND($G5315=0,$G5314=1),MAX($K5314,$J5315*($H5315+1)/100/12),$K5314))))</f>
      </c>
      <c r="L5315" s="43">
        <f>IF($I5315=0,0,$J5315*$H5315/100/12)</f>
      </c>
      <c r="M5315" s="43">
        <f>IF($I5315=0,0,IF(OR(INDEX(DarlOhneTilgung,12)=1,AND(INDEX(DarlTilgStart,12)&gt;0,$E5315&lt;INDEX(DarlTilgStart,12))),0,MIN(MAX(0,$K5315-$L5315),$J5315)))</f>
      </c>
      <c r="N5315" s="43">
        <f>IF($I5315=0,0,MIN(SUMIFS(SondBetrag,SondDarl,12,SondDatum,"&gt;="&amp;$E5315,SondDatum,"&lt;="&amp;EOMONTH($E5315,0)),$J5315-$M5315))</f>
      </c>
      <c r="O5315" s="43">
        <f>IF($I5315=0,0,INDEX(DarlErsatzRate,12))</f>
      </c>
      <c r="P5315" s="43">
        <f>IF($I5315=0,0,$Q5314*INDEX(DarlErsatzZins,12))</f>
      </c>
      <c r="Q5315" s="43">
        <f>IF($I5315=0,0,$Q5314+$P5315+$O5315)</f>
      </c>
      <c r="R5315" s="43">
        <f>IF($I5315=0,0,$J5315-$M5315-$N5315)</f>
      </c>
    </row>
    <row r="5316">
      <c r="A5316"/>
      <c r="B5316">
        <v>12</v>
      </c>
      <c r="C5316" s="43">
        <f>INDEX(DarlObj,12)</f>
      </c>
      <c r="D5316">
        <v>33</v>
      </c>
      <c r="E5316" s="51">
        <f>IF(INDEX(DarlBelegt,12)=0,0,EOMONTH(INDEX(DarlAuszahlung,12),32)+1)</f>
      </c>
      <c r="F5316" s="43">
        <f>IF($E5316=0,0,YEAR($E5316))</f>
      </c>
      <c r="G5316" s="43">
        <f>IF(INDEX(DarlBindung,12)="",1,IF($E5316&lt;=INDEX(DarlBindung,12),1,0))</f>
      </c>
      <c r="H5316" s="43">
        <f>IF($G5316=1,INDEX(DarlSollzins,12),INDEX(DarlAnschluss,12))</f>
      </c>
      <c r="I5316" s="43">
        <f>IF(INDEX(DarlBelegt,12)=0,0,IF(INDEX(DarlOhneTilgung,12)=1,IF(INDEX(DarlBindung,12)="",1,$G5316),IF($J5316&gt;0.005,1,0)))</f>
      </c>
      <c r="J5316" s="43">
        <f>IF($I5315=0,0,$R5315)</f>
      </c>
      <c r="K5316" s="43">
        <f>IF($I5316=0,0,IF(INDEX(DarlOhneTilgung,12)=1,0,IF(AND(INDEX(DarlTilgStart,12)&gt;0,$E5316=INDEX(DarlTilgStart,12)),$J5316*($H5316+INDEX(DarlTilgung,12))/100/12,IF(AND($G5316=0,$G5315=1),MAX($K5315,$J5316*($H5316+1)/100/12),$K5315))))</f>
      </c>
      <c r="L5316" s="43">
        <f>IF($I5316=0,0,$J5316*$H5316/100/12)</f>
      </c>
      <c r="M5316" s="43">
        <f>IF($I5316=0,0,IF(OR(INDEX(DarlOhneTilgung,12)=1,AND(INDEX(DarlTilgStart,12)&gt;0,$E5316&lt;INDEX(DarlTilgStart,12))),0,MIN(MAX(0,$K5316-$L5316),$J5316)))</f>
      </c>
      <c r="N5316" s="43">
        <f>IF($I5316=0,0,MIN(SUMIFS(SondBetrag,SondDarl,12,SondDatum,"&gt;="&amp;$E5316,SondDatum,"&lt;="&amp;EOMONTH($E5316,0)),$J5316-$M5316))</f>
      </c>
      <c r="O5316" s="43">
        <f>IF($I5316=0,0,INDEX(DarlErsatzRate,12))</f>
      </c>
      <c r="P5316" s="43">
        <f>IF($I5316=0,0,$Q5315*INDEX(DarlErsatzZins,12))</f>
      </c>
      <c r="Q5316" s="43">
        <f>IF($I5316=0,0,$Q5315+$P5316+$O5316)</f>
      </c>
      <c r="R5316" s="43">
        <f>IF($I5316=0,0,$J5316-$M5316-$N5316)</f>
      </c>
    </row>
    <row r="5317">
      <c r="A5317"/>
      <c r="B5317">
        <v>12</v>
      </c>
      <c r="C5317" s="43">
        <f>INDEX(DarlObj,12)</f>
      </c>
      <c r="D5317">
        <v>34</v>
      </c>
      <c r="E5317" s="51">
        <f>IF(INDEX(DarlBelegt,12)=0,0,EOMONTH(INDEX(DarlAuszahlung,12),33)+1)</f>
      </c>
      <c r="F5317" s="43">
        <f>IF($E5317=0,0,YEAR($E5317))</f>
      </c>
      <c r="G5317" s="43">
        <f>IF(INDEX(DarlBindung,12)="",1,IF($E5317&lt;=INDEX(DarlBindung,12),1,0))</f>
      </c>
      <c r="H5317" s="43">
        <f>IF($G5317=1,INDEX(DarlSollzins,12),INDEX(DarlAnschluss,12))</f>
      </c>
      <c r="I5317" s="43">
        <f>IF(INDEX(DarlBelegt,12)=0,0,IF(INDEX(DarlOhneTilgung,12)=1,IF(INDEX(DarlBindung,12)="",1,$G5317),IF($J5317&gt;0.005,1,0)))</f>
      </c>
      <c r="J5317" s="43">
        <f>IF($I5316=0,0,$R5316)</f>
      </c>
      <c r="K5317" s="43">
        <f>IF($I5317=0,0,IF(INDEX(DarlOhneTilgung,12)=1,0,IF(AND(INDEX(DarlTilgStart,12)&gt;0,$E5317=INDEX(DarlTilgStart,12)),$J5317*($H5317+INDEX(DarlTilgung,12))/100/12,IF(AND($G5317=0,$G5316=1),MAX($K5316,$J5317*($H5317+1)/100/12),$K5316))))</f>
      </c>
      <c r="L5317" s="43">
        <f>IF($I5317=0,0,$J5317*$H5317/100/12)</f>
      </c>
      <c r="M5317" s="43">
        <f>IF($I5317=0,0,IF(OR(INDEX(DarlOhneTilgung,12)=1,AND(INDEX(DarlTilgStart,12)&gt;0,$E5317&lt;INDEX(DarlTilgStart,12))),0,MIN(MAX(0,$K5317-$L5317),$J5317)))</f>
      </c>
      <c r="N5317" s="43">
        <f>IF($I5317=0,0,MIN(SUMIFS(SondBetrag,SondDarl,12,SondDatum,"&gt;="&amp;$E5317,SondDatum,"&lt;="&amp;EOMONTH($E5317,0)),$J5317-$M5317))</f>
      </c>
      <c r="O5317" s="43">
        <f>IF($I5317=0,0,INDEX(DarlErsatzRate,12))</f>
      </c>
      <c r="P5317" s="43">
        <f>IF($I5317=0,0,$Q5316*INDEX(DarlErsatzZins,12))</f>
      </c>
      <c r="Q5317" s="43">
        <f>IF($I5317=0,0,$Q5316+$P5317+$O5317)</f>
      </c>
      <c r="R5317" s="43">
        <f>IF($I5317=0,0,$J5317-$M5317-$N5317)</f>
      </c>
    </row>
    <row r="5318">
      <c r="A5318"/>
      <c r="B5318">
        <v>12</v>
      </c>
      <c r="C5318" s="43">
        <f>INDEX(DarlObj,12)</f>
      </c>
      <c r="D5318">
        <v>35</v>
      </c>
      <c r="E5318" s="51">
        <f>IF(INDEX(DarlBelegt,12)=0,0,EOMONTH(INDEX(DarlAuszahlung,12),34)+1)</f>
      </c>
      <c r="F5318" s="43">
        <f>IF($E5318=0,0,YEAR($E5318))</f>
      </c>
      <c r="G5318" s="43">
        <f>IF(INDEX(DarlBindung,12)="",1,IF($E5318&lt;=INDEX(DarlBindung,12),1,0))</f>
      </c>
      <c r="H5318" s="43">
        <f>IF($G5318=1,INDEX(DarlSollzins,12),INDEX(DarlAnschluss,12))</f>
      </c>
      <c r="I5318" s="43">
        <f>IF(INDEX(DarlBelegt,12)=0,0,IF(INDEX(DarlOhneTilgung,12)=1,IF(INDEX(DarlBindung,12)="",1,$G5318),IF($J5318&gt;0.005,1,0)))</f>
      </c>
      <c r="J5318" s="43">
        <f>IF($I5317=0,0,$R5317)</f>
      </c>
      <c r="K5318" s="43">
        <f>IF($I5318=0,0,IF(INDEX(DarlOhneTilgung,12)=1,0,IF(AND(INDEX(DarlTilgStart,12)&gt;0,$E5318=INDEX(DarlTilgStart,12)),$J5318*($H5318+INDEX(DarlTilgung,12))/100/12,IF(AND($G5318=0,$G5317=1),MAX($K5317,$J5318*($H5318+1)/100/12),$K5317))))</f>
      </c>
      <c r="L5318" s="43">
        <f>IF($I5318=0,0,$J5318*$H5318/100/12)</f>
      </c>
      <c r="M5318" s="43">
        <f>IF($I5318=0,0,IF(OR(INDEX(DarlOhneTilgung,12)=1,AND(INDEX(DarlTilgStart,12)&gt;0,$E5318&lt;INDEX(DarlTilgStart,12))),0,MIN(MAX(0,$K5318-$L5318),$J5318)))</f>
      </c>
      <c r="N5318" s="43">
        <f>IF($I5318=0,0,MIN(SUMIFS(SondBetrag,SondDarl,12,SondDatum,"&gt;="&amp;$E5318,SondDatum,"&lt;="&amp;EOMONTH($E5318,0)),$J5318-$M5318))</f>
      </c>
      <c r="O5318" s="43">
        <f>IF($I5318=0,0,INDEX(DarlErsatzRate,12))</f>
      </c>
      <c r="P5318" s="43">
        <f>IF($I5318=0,0,$Q5317*INDEX(DarlErsatzZins,12))</f>
      </c>
      <c r="Q5318" s="43">
        <f>IF($I5318=0,0,$Q5317+$P5318+$O5318)</f>
      </c>
      <c r="R5318" s="43">
        <f>IF($I5318=0,0,$J5318-$M5318-$N5318)</f>
      </c>
    </row>
    <row r="5319">
      <c r="A5319"/>
      <c r="B5319">
        <v>12</v>
      </c>
      <c r="C5319" s="43">
        <f>INDEX(DarlObj,12)</f>
      </c>
      <c r="D5319">
        <v>36</v>
      </c>
      <c r="E5319" s="51">
        <f>IF(INDEX(DarlBelegt,12)=0,0,EOMONTH(INDEX(DarlAuszahlung,12),35)+1)</f>
      </c>
      <c r="F5319" s="43">
        <f>IF($E5319=0,0,YEAR($E5319))</f>
      </c>
      <c r="G5319" s="43">
        <f>IF(INDEX(DarlBindung,12)="",1,IF($E5319&lt;=INDEX(DarlBindung,12),1,0))</f>
      </c>
      <c r="H5319" s="43">
        <f>IF($G5319=1,INDEX(DarlSollzins,12),INDEX(DarlAnschluss,12))</f>
      </c>
      <c r="I5319" s="43">
        <f>IF(INDEX(DarlBelegt,12)=0,0,IF(INDEX(DarlOhneTilgung,12)=1,IF(INDEX(DarlBindung,12)="",1,$G5319),IF($J5319&gt;0.005,1,0)))</f>
      </c>
      <c r="J5319" s="43">
        <f>IF($I5318=0,0,$R5318)</f>
      </c>
      <c r="K5319" s="43">
        <f>IF($I5319=0,0,IF(INDEX(DarlOhneTilgung,12)=1,0,IF(AND(INDEX(DarlTilgStart,12)&gt;0,$E5319=INDEX(DarlTilgStart,12)),$J5319*($H5319+INDEX(DarlTilgung,12))/100/12,IF(AND($G5319=0,$G5318=1),MAX($K5318,$J5319*($H5319+1)/100/12),$K5318))))</f>
      </c>
      <c r="L5319" s="43">
        <f>IF($I5319=0,0,$J5319*$H5319/100/12)</f>
      </c>
      <c r="M5319" s="43">
        <f>IF($I5319=0,0,IF(OR(INDEX(DarlOhneTilgung,12)=1,AND(INDEX(DarlTilgStart,12)&gt;0,$E5319&lt;INDEX(DarlTilgStart,12))),0,MIN(MAX(0,$K5319-$L5319),$J5319)))</f>
      </c>
      <c r="N5319" s="43">
        <f>IF($I5319=0,0,MIN(SUMIFS(SondBetrag,SondDarl,12,SondDatum,"&gt;="&amp;$E5319,SondDatum,"&lt;="&amp;EOMONTH($E5319,0)),$J5319-$M5319))</f>
      </c>
      <c r="O5319" s="43">
        <f>IF($I5319=0,0,INDEX(DarlErsatzRate,12))</f>
      </c>
      <c r="P5319" s="43">
        <f>IF($I5319=0,0,$Q5318*INDEX(DarlErsatzZins,12))</f>
      </c>
      <c r="Q5319" s="43">
        <f>IF($I5319=0,0,$Q5318+$P5319+$O5319)</f>
      </c>
      <c r="R5319" s="43">
        <f>IF($I5319=0,0,$J5319-$M5319-$N5319)</f>
      </c>
    </row>
    <row r="5320">
      <c r="A5320"/>
      <c r="B5320">
        <v>12</v>
      </c>
      <c r="C5320" s="43">
        <f>INDEX(DarlObj,12)</f>
      </c>
      <c r="D5320">
        <v>37</v>
      </c>
      <c r="E5320" s="51">
        <f>IF(INDEX(DarlBelegt,12)=0,0,EOMONTH(INDEX(DarlAuszahlung,12),36)+1)</f>
      </c>
      <c r="F5320" s="43">
        <f>IF($E5320=0,0,YEAR($E5320))</f>
      </c>
      <c r="G5320" s="43">
        <f>IF(INDEX(DarlBindung,12)="",1,IF($E5320&lt;=INDEX(DarlBindung,12),1,0))</f>
      </c>
      <c r="H5320" s="43">
        <f>IF($G5320=1,INDEX(DarlSollzins,12),INDEX(DarlAnschluss,12))</f>
      </c>
      <c r="I5320" s="43">
        <f>IF(INDEX(DarlBelegt,12)=0,0,IF(INDEX(DarlOhneTilgung,12)=1,IF(INDEX(DarlBindung,12)="",1,$G5320),IF($J5320&gt;0.005,1,0)))</f>
      </c>
      <c r="J5320" s="43">
        <f>IF($I5319=0,0,$R5319)</f>
      </c>
      <c r="K5320" s="43">
        <f>IF($I5320=0,0,IF(INDEX(DarlOhneTilgung,12)=1,0,IF(AND(INDEX(DarlTilgStart,12)&gt;0,$E5320=INDEX(DarlTilgStart,12)),$J5320*($H5320+INDEX(DarlTilgung,12))/100/12,IF(AND($G5320=0,$G5319=1),MAX($K5319,$J5320*($H5320+1)/100/12),$K5319))))</f>
      </c>
      <c r="L5320" s="43">
        <f>IF($I5320=0,0,$J5320*$H5320/100/12)</f>
      </c>
      <c r="M5320" s="43">
        <f>IF($I5320=0,0,IF(OR(INDEX(DarlOhneTilgung,12)=1,AND(INDEX(DarlTilgStart,12)&gt;0,$E5320&lt;INDEX(DarlTilgStart,12))),0,MIN(MAX(0,$K5320-$L5320),$J5320)))</f>
      </c>
      <c r="N5320" s="43">
        <f>IF($I5320=0,0,MIN(SUMIFS(SondBetrag,SondDarl,12,SondDatum,"&gt;="&amp;$E5320,SondDatum,"&lt;="&amp;EOMONTH($E5320,0)),$J5320-$M5320))</f>
      </c>
      <c r="O5320" s="43">
        <f>IF($I5320=0,0,INDEX(DarlErsatzRate,12))</f>
      </c>
      <c r="P5320" s="43">
        <f>IF($I5320=0,0,$Q5319*INDEX(DarlErsatzZins,12))</f>
      </c>
      <c r="Q5320" s="43">
        <f>IF($I5320=0,0,$Q5319+$P5320+$O5320)</f>
      </c>
      <c r="R5320" s="43">
        <f>IF($I5320=0,0,$J5320-$M5320-$N5320)</f>
      </c>
    </row>
    <row r="5321">
      <c r="A5321"/>
      <c r="B5321">
        <v>12</v>
      </c>
      <c r="C5321" s="43">
        <f>INDEX(DarlObj,12)</f>
      </c>
      <c r="D5321">
        <v>38</v>
      </c>
      <c r="E5321" s="51">
        <f>IF(INDEX(DarlBelegt,12)=0,0,EOMONTH(INDEX(DarlAuszahlung,12),37)+1)</f>
      </c>
      <c r="F5321" s="43">
        <f>IF($E5321=0,0,YEAR($E5321))</f>
      </c>
      <c r="G5321" s="43">
        <f>IF(INDEX(DarlBindung,12)="",1,IF($E5321&lt;=INDEX(DarlBindung,12),1,0))</f>
      </c>
      <c r="H5321" s="43">
        <f>IF($G5321=1,INDEX(DarlSollzins,12),INDEX(DarlAnschluss,12))</f>
      </c>
      <c r="I5321" s="43">
        <f>IF(INDEX(DarlBelegt,12)=0,0,IF(INDEX(DarlOhneTilgung,12)=1,IF(INDEX(DarlBindung,12)="",1,$G5321),IF($J5321&gt;0.005,1,0)))</f>
      </c>
      <c r="J5321" s="43">
        <f>IF($I5320=0,0,$R5320)</f>
      </c>
      <c r="K5321" s="43">
        <f>IF($I5321=0,0,IF(INDEX(DarlOhneTilgung,12)=1,0,IF(AND(INDEX(DarlTilgStart,12)&gt;0,$E5321=INDEX(DarlTilgStart,12)),$J5321*($H5321+INDEX(DarlTilgung,12))/100/12,IF(AND($G5321=0,$G5320=1),MAX($K5320,$J5321*($H5321+1)/100/12),$K5320))))</f>
      </c>
      <c r="L5321" s="43">
        <f>IF($I5321=0,0,$J5321*$H5321/100/12)</f>
      </c>
      <c r="M5321" s="43">
        <f>IF($I5321=0,0,IF(OR(INDEX(DarlOhneTilgung,12)=1,AND(INDEX(DarlTilgStart,12)&gt;0,$E5321&lt;INDEX(DarlTilgStart,12))),0,MIN(MAX(0,$K5321-$L5321),$J5321)))</f>
      </c>
      <c r="N5321" s="43">
        <f>IF($I5321=0,0,MIN(SUMIFS(SondBetrag,SondDarl,12,SondDatum,"&gt;="&amp;$E5321,SondDatum,"&lt;="&amp;EOMONTH($E5321,0)),$J5321-$M5321))</f>
      </c>
      <c r="O5321" s="43">
        <f>IF($I5321=0,0,INDEX(DarlErsatzRate,12))</f>
      </c>
      <c r="P5321" s="43">
        <f>IF($I5321=0,0,$Q5320*INDEX(DarlErsatzZins,12))</f>
      </c>
      <c r="Q5321" s="43">
        <f>IF($I5321=0,0,$Q5320+$P5321+$O5321)</f>
      </c>
      <c r="R5321" s="43">
        <f>IF($I5321=0,0,$J5321-$M5321-$N5321)</f>
      </c>
    </row>
    <row r="5322">
      <c r="A5322"/>
      <c r="B5322">
        <v>12</v>
      </c>
      <c r="C5322" s="43">
        <f>INDEX(DarlObj,12)</f>
      </c>
      <c r="D5322">
        <v>39</v>
      </c>
      <c r="E5322" s="51">
        <f>IF(INDEX(DarlBelegt,12)=0,0,EOMONTH(INDEX(DarlAuszahlung,12),38)+1)</f>
      </c>
      <c r="F5322" s="43">
        <f>IF($E5322=0,0,YEAR($E5322))</f>
      </c>
      <c r="G5322" s="43">
        <f>IF(INDEX(DarlBindung,12)="",1,IF($E5322&lt;=INDEX(DarlBindung,12),1,0))</f>
      </c>
      <c r="H5322" s="43">
        <f>IF($G5322=1,INDEX(DarlSollzins,12),INDEX(DarlAnschluss,12))</f>
      </c>
      <c r="I5322" s="43">
        <f>IF(INDEX(DarlBelegt,12)=0,0,IF(INDEX(DarlOhneTilgung,12)=1,IF(INDEX(DarlBindung,12)="",1,$G5322),IF($J5322&gt;0.005,1,0)))</f>
      </c>
      <c r="J5322" s="43">
        <f>IF($I5321=0,0,$R5321)</f>
      </c>
      <c r="K5322" s="43">
        <f>IF($I5322=0,0,IF(INDEX(DarlOhneTilgung,12)=1,0,IF(AND(INDEX(DarlTilgStart,12)&gt;0,$E5322=INDEX(DarlTilgStart,12)),$J5322*($H5322+INDEX(DarlTilgung,12))/100/12,IF(AND($G5322=0,$G5321=1),MAX($K5321,$J5322*($H5322+1)/100/12),$K5321))))</f>
      </c>
      <c r="L5322" s="43">
        <f>IF($I5322=0,0,$J5322*$H5322/100/12)</f>
      </c>
      <c r="M5322" s="43">
        <f>IF($I5322=0,0,IF(OR(INDEX(DarlOhneTilgung,12)=1,AND(INDEX(DarlTilgStart,12)&gt;0,$E5322&lt;INDEX(DarlTilgStart,12))),0,MIN(MAX(0,$K5322-$L5322),$J5322)))</f>
      </c>
      <c r="N5322" s="43">
        <f>IF($I5322=0,0,MIN(SUMIFS(SondBetrag,SondDarl,12,SondDatum,"&gt;="&amp;$E5322,SondDatum,"&lt;="&amp;EOMONTH($E5322,0)),$J5322-$M5322))</f>
      </c>
      <c r="O5322" s="43">
        <f>IF($I5322=0,0,INDEX(DarlErsatzRate,12))</f>
      </c>
      <c r="P5322" s="43">
        <f>IF($I5322=0,0,$Q5321*INDEX(DarlErsatzZins,12))</f>
      </c>
      <c r="Q5322" s="43">
        <f>IF($I5322=0,0,$Q5321+$P5322+$O5322)</f>
      </c>
      <c r="R5322" s="43">
        <f>IF($I5322=0,0,$J5322-$M5322-$N5322)</f>
      </c>
    </row>
    <row r="5323">
      <c r="A5323"/>
      <c r="B5323">
        <v>12</v>
      </c>
      <c r="C5323" s="43">
        <f>INDEX(DarlObj,12)</f>
      </c>
      <c r="D5323">
        <v>40</v>
      </c>
      <c r="E5323" s="51">
        <f>IF(INDEX(DarlBelegt,12)=0,0,EOMONTH(INDEX(DarlAuszahlung,12),39)+1)</f>
      </c>
      <c r="F5323" s="43">
        <f>IF($E5323=0,0,YEAR($E5323))</f>
      </c>
      <c r="G5323" s="43">
        <f>IF(INDEX(DarlBindung,12)="",1,IF($E5323&lt;=INDEX(DarlBindung,12),1,0))</f>
      </c>
      <c r="H5323" s="43">
        <f>IF($G5323=1,INDEX(DarlSollzins,12),INDEX(DarlAnschluss,12))</f>
      </c>
      <c r="I5323" s="43">
        <f>IF(INDEX(DarlBelegt,12)=0,0,IF(INDEX(DarlOhneTilgung,12)=1,IF(INDEX(DarlBindung,12)="",1,$G5323),IF($J5323&gt;0.005,1,0)))</f>
      </c>
      <c r="J5323" s="43">
        <f>IF($I5322=0,0,$R5322)</f>
      </c>
      <c r="K5323" s="43">
        <f>IF($I5323=0,0,IF(INDEX(DarlOhneTilgung,12)=1,0,IF(AND(INDEX(DarlTilgStart,12)&gt;0,$E5323=INDEX(DarlTilgStart,12)),$J5323*($H5323+INDEX(DarlTilgung,12))/100/12,IF(AND($G5323=0,$G5322=1),MAX($K5322,$J5323*($H5323+1)/100/12),$K5322))))</f>
      </c>
      <c r="L5323" s="43">
        <f>IF($I5323=0,0,$J5323*$H5323/100/12)</f>
      </c>
      <c r="M5323" s="43">
        <f>IF($I5323=0,0,IF(OR(INDEX(DarlOhneTilgung,12)=1,AND(INDEX(DarlTilgStart,12)&gt;0,$E5323&lt;INDEX(DarlTilgStart,12))),0,MIN(MAX(0,$K5323-$L5323),$J5323)))</f>
      </c>
      <c r="N5323" s="43">
        <f>IF($I5323=0,0,MIN(SUMIFS(SondBetrag,SondDarl,12,SondDatum,"&gt;="&amp;$E5323,SondDatum,"&lt;="&amp;EOMONTH($E5323,0)),$J5323-$M5323))</f>
      </c>
      <c r="O5323" s="43">
        <f>IF($I5323=0,0,INDEX(DarlErsatzRate,12))</f>
      </c>
      <c r="P5323" s="43">
        <f>IF($I5323=0,0,$Q5322*INDEX(DarlErsatzZins,12))</f>
      </c>
      <c r="Q5323" s="43">
        <f>IF($I5323=0,0,$Q5322+$P5323+$O5323)</f>
      </c>
      <c r="R5323" s="43">
        <f>IF($I5323=0,0,$J5323-$M5323-$N5323)</f>
      </c>
    </row>
    <row r="5324">
      <c r="A5324"/>
      <c r="B5324">
        <v>12</v>
      </c>
      <c r="C5324" s="43">
        <f>INDEX(DarlObj,12)</f>
      </c>
      <c r="D5324">
        <v>41</v>
      </c>
      <c r="E5324" s="51">
        <f>IF(INDEX(DarlBelegt,12)=0,0,EOMONTH(INDEX(DarlAuszahlung,12),40)+1)</f>
      </c>
      <c r="F5324" s="43">
        <f>IF($E5324=0,0,YEAR($E5324))</f>
      </c>
      <c r="G5324" s="43">
        <f>IF(INDEX(DarlBindung,12)="",1,IF($E5324&lt;=INDEX(DarlBindung,12),1,0))</f>
      </c>
      <c r="H5324" s="43">
        <f>IF($G5324=1,INDEX(DarlSollzins,12),INDEX(DarlAnschluss,12))</f>
      </c>
      <c r="I5324" s="43">
        <f>IF(INDEX(DarlBelegt,12)=0,0,IF(INDEX(DarlOhneTilgung,12)=1,IF(INDEX(DarlBindung,12)="",1,$G5324),IF($J5324&gt;0.005,1,0)))</f>
      </c>
      <c r="J5324" s="43">
        <f>IF($I5323=0,0,$R5323)</f>
      </c>
      <c r="K5324" s="43">
        <f>IF($I5324=0,0,IF(INDEX(DarlOhneTilgung,12)=1,0,IF(AND(INDEX(DarlTilgStart,12)&gt;0,$E5324=INDEX(DarlTilgStart,12)),$J5324*($H5324+INDEX(DarlTilgung,12))/100/12,IF(AND($G5324=0,$G5323=1),MAX($K5323,$J5324*($H5324+1)/100/12),$K5323))))</f>
      </c>
      <c r="L5324" s="43">
        <f>IF($I5324=0,0,$J5324*$H5324/100/12)</f>
      </c>
      <c r="M5324" s="43">
        <f>IF($I5324=0,0,IF(OR(INDEX(DarlOhneTilgung,12)=1,AND(INDEX(DarlTilgStart,12)&gt;0,$E5324&lt;INDEX(DarlTilgStart,12))),0,MIN(MAX(0,$K5324-$L5324),$J5324)))</f>
      </c>
      <c r="N5324" s="43">
        <f>IF($I5324=0,0,MIN(SUMIFS(SondBetrag,SondDarl,12,SondDatum,"&gt;="&amp;$E5324,SondDatum,"&lt;="&amp;EOMONTH($E5324,0)),$J5324-$M5324))</f>
      </c>
      <c r="O5324" s="43">
        <f>IF($I5324=0,0,INDEX(DarlErsatzRate,12))</f>
      </c>
      <c r="P5324" s="43">
        <f>IF($I5324=0,0,$Q5323*INDEX(DarlErsatzZins,12))</f>
      </c>
      <c r="Q5324" s="43">
        <f>IF($I5324=0,0,$Q5323+$P5324+$O5324)</f>
      </c>
      <c r="R5324" s="43">
        <f>IF($I5324=0,0,$J5324-$M5324-$N5324)</f>
      </c>
    </row>
    <row r="5325">
      <c r="A5325"/>
      <c r="B5325">
        <v>12</v>
      </c>
      <c r="C5325" s="43">
        <f>INDEX(DarlObj,12)</f>
      </c>
      <c r="D5325">
        <v>42</v>
      </c>
      <c r="E5325" s="51">
        <f>IF(INDEX(DarlBelegt,12)=0,0,EOMONTH(INDEX(DarlAuszahlung,12),41)+1)</f>
      </c>
      <c r="F5325" s="43">
        <f>IF($E5325=0,0,YEAR($E5325))</f>
      </c>
      <c r="G5325" s="43">
        <f>IF(INDEX(DarlBindung,12)="",1,IF($E5325&lt;=INDEX(DarlBindung,12),1,0))</f>
      </c>
      <c r="H5325" s="43">
        <f>IF($G5325=1,INDEX(DarlSollzins,12),INDEX(DarlAnschluss,12))</f>
      </c>
      <c r="I5325" s="43">
        <f>IF(INDEX(DarlBelegt,12)=0,0,IF(INDEX(DarlOhneTilgung,12)=1,IF(INDEX(DarlBindung,12)="",1,$G5325),IF($J5325&gt;0.005,1,0)))</f>
      </c>
      <c r="J5325" s="43">
        <f>IF($I5324=0,0,$R5324)</f>
      </c>
      <c r="K5325" s="43">
        <f>IF($I5325=0,0,IF(INDEX(DarlOhneTilgung,12)=1,0,IF(AND(INDEX(DarlTilgStart,12)&gt;0,$E5325=INDEX(DarlTilgStart,12)),$J5325*($H5325+INDEX(DarlTilgung,12))/100/12,IF(AND($G5325=0,$G5324=1),MAX($K5324,$J5325*($H5325+1)/100/12),$K5324))))</f>
      </c>
      <c r="L5325" s="43">
        <f>IF($I5325=0,0,$J5325*$H5325/100/12)</f>
      </c>
      <c r="M5325" s="43">
        <f>IF($I5325=0,0,IF(OR(INDEX(DarlOhneTilgung,12)=1,AND(INDEX(DarlTilgStart,12)&gt;0,$E5325&lt;INDEX(DarlTilgStart,12))),0,MIN(MAX(0,$K5325-$L5325),$J5325)))</f>
      </c>
      <c r="N5325" s="43">
        <f>IF($I5325=0,0,MIN(SUMIFS(SondBetrag,SondDarl,12,SondDatum,"&gt;="&amp;$E5325,SondDatum,"&lt;="&amp;EOMONTH($E5325,0)),$J5325-$M5325))</f>
      </c>
      <c r="O5325" s="43">
        <f>IF($I5325=0,0,INDEX(DarlErsatzRate,12))</f>
      </c>
      <c r="P5325" s="43">
        <f>IF($I5325=0,0,$Q5324*INDEX(DarlErsatzZins,12))</f>
      </c>
      <c r="Q5325" s="43">
        <f>IF($I5325=0,0,$Q5324+$P5325+$O5325)</f>
      </c>
      <c r="R5325" s="43">
        <f>IF($I5325=0,0,$J5325-$M5325-$N5325)</f>
      </c>
    </row>
    <row r="5326">
      <c r="A5326"/>
      <c r="B5326">
        <v>12</v>
      </c>
      <c r="C5326" s="43">
        <f>INDEX(DarlObj,12)</f>
      </c>
      <c r="D5326">
        <v>43</v>
      </c>
      <c r="E5326" s="51">
        <f>IF(INDEX(DarlBelegt,12)=0,0,EOMONTH(INDEX(DarlAuszahlung,12),42)+1)</f>
      </c>
      <c r="F5326" s="43">
        <f>IF($E5326=0,0,YEAR($E5326))</f>
      </c>
      <c r="G5326" s="43">
        <f>IF(INDEX(DarlBindung,12)="",1,IF($E5326&lt;=INDEX(DarlBindung,12),1,0))</f>
      </c>
      <c r="H5326" s="43">
        <f>IF($G5326=1,INDEX(DarlSollzins,12),INDEX(DarlAnschluss,12))</f>
      </c>
      <c r="I5326" s="43">
        <f>IF(INDEX(DarlBelegt,12)=0,0,IF(INDEX(DarlOhneTilgung,12)=1,IF(INDEX(DarlBindung,12)="",1,$G5326),IF($J5326&gt;0.005,1,0)))</f>
      </c>
      <c r="J5326" s="43">
        <f>IF($I5325=0,0,$R5325)</f>
      </c>
      <c r="K5326" s="43">
        <f>IF($I5326=0,0,IF(INDEX(DarlOhneTilgung,12)=1,0,IF(AND(INDEX(DarlTilgStart,12)&gt;0,$E5326=INDEX(DarlTilgStart,12)),$J5326*($H5326+INDEX(DarlTilgung,12))/100/12,IF(AND($G5326=0,$G5325=1),MAX($K5325,$J5326*($H5326+1)/100/12),$K5325))))</f>
      </c>
      <c r="L5326" s="43">
        <f>IF($I5326=0,0,$J5326*$H5326/100/12)</f>
      </c>
      <c r="M5326" s="43">
        <f>IF($I5326=0,0,IF(OR(INDEX(DarlOhneTilgung,12)=1,AND(INDEX(DarlTilgStart,12)&gt;0,$E5326&lt;INDEX(DarlTilgStart,12))),0,MIN(MAX(0,$K5326-$L5326),$J5326)))</f>
      </c>
      <c r="N5326" s="43">
        <f>IF($I5326=0,0,MIN(SUMIFS(SondBetrag,SondDarl,12,SondDatum,"&gt;="&amp;$E5326,SondDatum,"&lt;="&amp;EOMONTH($E5326,0)),$J5326-$M5326))</f>
      </c>
      <c r="O5326" s="43">
        <f>IF($I5326=0,0,INDEX(DarlErsatzRate,12))</f>
      </c>
      <c r="P5326" s="43">
        <f>IF($I5326=0,0,$Q5325*INDEX(DarlErsatzZins,12))</f>
      </c>
      <c r="Q5326" s="43">
        <f>IF($I5326=0,0,$Q5325+$P5326+$O5326)</f>
      </c>
      <c r="R5326" s="43">
        <f>IF($I5326=0,0,$J5326-$M5326-$N5326)</f>
      </c>
    </row>
    <row r="5327">
      <c r="A5327"/>
      <c r="B5327">
        <v>12</v>
      </c>
      <c r="C5327" s="43">
        <f>INDEX(DarlObj,12)</f>
      </c>
      <c r="D5327">
        <v>44</v>
      </c>
      <c r="E5327" s="51">
        <f>IF(INDEX(DarlBelegt,12)=0,0,EOMONTH(INDEX(DarlAuszahlung,12),43)+1)</f>
      </c>
      <c r="F5327" s="43">
        <f>IF($E5327=0,0,YEAR($E5327))</f>
      </c>
      <c r="G5327" s="43">
        <f>IF(INDEX(DarlBindung,12)="",1,IF($E5327&lt;=INDEX(DarlBindung,12),1,0))</f>
      </c>
      <c r="H5327" s="43">
        <f>IF($G5327=1,INDEX(DarlSollzins,12),INDEX(DarlAnschluss,12))</f>
      </c>
      <c r="I5327" s="43">
        <f>IF(INDEX(DarlBelegt,12)=0,0,IF(INDEX(DarlOhneTilgung,12)=1,IF(INDEX(DarlBindung,12)="",1,$G5327),IF($J5327&gt;0.005,1,0)))</f>
      </c>
      <c r="J5327" s="43">
        <f>IF($I5326=0,0,$R5326)</f>
      </c>
      <c r="K5327" s="43">
        <f>IF($I5327=0,0,IF(INDEX(DarlOhneTilgung,12)=1,0,IF(AND(INDEX(DarlTilgStart,12)&gt;0,$E5327=INDEX(DarlTilgStart,12)),$J5327*($H5327+INDEX(DarlTilgung,12))/100/12,IF(AND($G5327=0,$G5326=1),MAX($K5326,$J5327*($H5327+1)/100/12),$K5326))))</f>
      </c>
      <c r="L5327" s="43">
        <f>IF($I5327=0,0,$J5327*$H5327/100/12)</f>
      </c>
      <c r="M5327" s="43">
        <f>IF($I5327=0,0,IF(OR(INDEX(DarlOhneTilgung,12)=1,AND(INDEX(DarlTilgStart,12)&gt;0,$E5327&lt;INDEX(DarlTilgStart,12))),0,MIN(MAX(0,$K5327-$L5327),$J5327)))</f>
      </c>
      <c r="N5327" s="43">
        <f>IF($I5327=0,0,MIN(SUMIFS(SondBetrag,SondDarl,12,SondDatum,"&gt;="&amp;$E5327,SondDatum,"&lt;="&amp;EOMONTH($E5327,0)),$J5327-$M5327))</f>
      </c>
      <c r="O5327" s="43">
        <f>IF($I5327=0,0,INDEX(DarlErsatzRate,12))</f>
      </c>
      <c r="P5327" s="43">
        <f>IF($I5327=0,0,$Q5326*INDEX(DarlErsatzZins,12))</f>
      </c>
      <c r="Q5327" s="43">
        <f>IF($I5327=0,0,$Q5326+$P5327+$O5327)</f>
      </c>
      <c r="R5327" s="43">
        <f>IF($I5327=0,0,$J5327-$M5327-$N5327)</f>
      </c>
    </row>
    <row r="5328">
      <c r="A5328"/>
      <c r="B5328">
        <v>12</v>
      </c>
      <c r="C5328" s="43">
        <f>INDEX(DarlObj,12)</f>
      </c>
      <c r="D5328">
        <v>45</v>
      </c>
      <c r="E5328" s="51">
        <f>IF(INDEX(DarlBelegt,12)=0,0,EOMONTH(INDEX(DarlAuszahlung,12),44)+1)</f>
      </c>
      <c r="F5328" s="43">
        <f>IF($E5328=0,0,YEAR($E5328))</f>
      </c>
      <c r="G5328" s="43">
        <f>IF(INDEX(DarlBindung,12)="",1,IF($E5328&lt;=INDEX(DarlBindung,12),1,0))</f>
      </c>
      <c r="H5328" s="43">
        <f>IF($G5328=1,INDEX(DarlSollzins,12),INDEX(DarlAnschluss,12))</f>
      </c>
      <c r="I5328" s="43">
        <f>IF(INDEX(DarlBelegt,12)=0,0,IF(INDEX(DarlOhneTilgung,12)=1,IF(INDEX(DarlBindung,12)="",1,$G5328),IF($J5328&gt;0.005,1,0)))</f>
      </c>
      <c r="J5328" s="43">
        <f>IF($I5327=0,0,$R5327)</f>
      </c>
      <c r="K5328" s="43">
        <f>IF($I5328=0,0,IF(INDEX(DarlOhneTilgung,12)=1,0,IF(AND(INDEX(DarlTilgStart,12)&gt;0,$E5328=INDEX(DarlTilgStart,12)),$J5328*($H5328+INDEX(DarlTilgung,12))/100/12,IF(AND($G5328=0,$G5327=1),MAX($K5327,$J5328*($H5328+1)/100/12),$K5327))))</f>
      </c>
      <c r="L5328" s="43">
        <f>IF($I5328=0,0,$J5328*$H5328/100/12)</f>
      </c>
      <c r="M5328" s="43">
        <f>IF($I5328=0,0,IF(OR(INDEX(DarlOhneTilgung,12)=1,AND(INDEX(DarlTilgStart,12)&gt;0,$E5328&lt;INDEX(DarlTilgStart,12))),0,MIN(MAX(0,$K5328-$L5328),$J5328)))</f>
      </c>
      <c r="N5328" s="43">
        <f>IF($I5328=0,0,MIN(SUMIFS(SondBetrag,SondDarl,12,SondDatum,"&gt;="&amp;$E5328,SondDatum,"&lt;="&amp;EOMONTH($E5328,0)),$J5328-$M5328))</f>
      </c>
      <c r="O5328" s="43">
        <f>IF($I5328=0,0,INDEX(DarlErsatzRate,12))</f>
      </c>
      <c r="P5328" s="43">
        <f>IF($I5328=0,0,$Q5327*INDEX(DarlErsatzZins,12))</f>
      </c>
      <c r="Q5328" s="43">
        <f>IF($I5328=0,0,$Q5327+$P5328+$O5328)</f>
      </c>
      <c r="R5328" s="43">
        <f>IF($I5328=0,0,$J5328-$M5328-$N5328)</f>
      </c>
    </row>
    <row r="5329">
      <c r="A5329"/>
      <c r="B5329">
        <v>12</v>
      </c>
      <c r="C5329" s="43">
        <f>INDEX(DarlObj,12)</f>
      </c>
      <c r="D5329">
        <v>46</v>
      </c>
      <c r="E5329" s="51">
        <f>IF(INDEX(DarlBelegt,12)=0,0,EOMONTH(INDEX(DarlAuszahlung,12),45)+1)</f>
      </c>
      <c r="F5329" s="43">
        <f>IF($E5329=0,0,YEAR($E5329))</f>
      </c>
      <c r="G5329" s="43">
        <f>IF(INDEX(DarlBindung,12)="",1,IF($E5329&lt;=INDEX(DarlBindung,12),1,0))</f>
      </c>
      <c r="H5329" s="43">
        <f>IF($G5329=1,INDEX(DarlSollzins,12),INDEX(DarlAnschluss,12))</f>
      </c>
      <c r="I5329" s="43">
        <f>IF(INDEX(DarlBelegt,12)=0,0,IF(INDEX(DarlOhneTilgung,12)=1,IF(INDEX(DarlBindung,12)="",1,$G5329),IF($J5329&gt;0.005,1,0)))</f>
      </c>
      <c r="J5329" s="43">
        <f>IF($I5328=0,0,$R5328)</f>
      </c>
      <c r="K5329" s="43">
        <f>IF($I5329=0,0,IF(INDEX(DarlOhneTilgung,12)=1,0,IF(AND(INDEX(DarlTilgStart,12)&gt;0,$E5329=INDEX(DarlTilgStart,12)),$J5329*($H5329+INDEX(DarlTilgung,12))/100/12,IF(AND($G5329=0,$G5328=1),MAX($K5328,$J5329*($H5329+1)/100/12),$K5328))))</f>
      </c>
      <c r="L5329" s="43">
        <f>IF($I5329=0,0,$J5329*$H5329/100/12)</f>
      </c>
      <c r="M5329" s="43">
        <f>IF($I5329=0,0,IF(OR(INDEX(DarlOhneTilgung,12)=1,AND(INDEX(DarlTilgStart,12)&gt;0,$E5329&lt;INDEX(DarlTilgStart,12))),0,MIN(MAX(0,$K5329-$L5329),$J5329)))</f>
      </c>
      <c r="N5329" s="43">
        <f>IF($I5329=0,0,MIN(SUMIFS(SondBetrag,SondDarl,12,SondDatum,"&gt;="&amp;$E5329,SondDatum,"&lt;="&amp;EOMONTH($E5329,0)),$J5329-$M5329))</f>
      </c>
      <c r="O5329" s="43">
        <f>IF($I5329=0,0,INDEX(DarlErsatzRate,12))</f>
      </c>
      <c r="P5329" s="43">
        <f>IF($I5329=0,0,$Q5328*INDEX(DarlErsatzZins,12))</f>
      </c>
      <c r="Q5329" s="43">
        <f>IF($I5329=0,0,$Q5328+$P5329+$O5329)</f>
      </c>
      <c r="R5329" s="43">
        <f>IF($I5329=0,0,$J5329-$M5329-$N5329)</f>
      </c>
    </row>
    <row r="5330">
      <c r="A5330"/>
      <c r="B5330">
        <v>12</v>
      </c>
      <c r="C5330" s="43">
        <f>INDEX(DarlObj,12)</f>
      </c>
      <c r="D5330">
        <v>47</v>
      </c>
      <c r="E5330" s="51">
        <f>IF(INDEX(DarlBelegt,12)=0,0,EOMONTH(INDEX(DarlAuszahlung,12),46)+1)</f>
      </c>
      <c r="F5330" s="43">
        <f>IF($E5330=0,0,YEAR($E5330))</f>
      </c>
      <c r="G5330" s="43">
        <f>IF(INDEX(DarlBindung,12)="",1,IF($E5330&lt;=INDEX(DarlBindung,12),1,0))</f>
      </c>
      <c r="H5330" s="43">
        <f>IF($G5330=1,INDEX(DarlSollzins,12),INDEX(DarlAnschluss,12))</f>
      </c>
      <c r="I5330" s="43">
        <f>IF(INDEX(DarlBelegt,12)=0,0,IF(INDEX(DarlOhneTilgung,12)=1,IF(INDEX(DarlBindung,12)="",1,$G5330),IF($J5330&gt;0.005,1,0)))</f>
      </c>
      <c r="J5330" s="43">
        <f>IF($I5329=0,0,$R5329)</f>
      </c>
      <c r="K5330" s="43">
        <f>IF($I5330=0,0,IF(INDEX(DarlOhneTilgung,12)=1,0,IF(AND(INDEX(DarlTilgStart,12)&gt;0,$E5330=INDEX(DarlTilgStart,12)),$J5330*($H5330+INDEX(DarlTilgung,12))/100/12,IF(AND($G5330=0,$G5329=1),MAX($K5329,$J5330*($H5330+1)/100/12),$K5329))))</f>
      </c>
      <c r="L5330" s="43">
        <f>IF($I5330=0,0,$J5330*$H5330/100/12)</f>
      </c>
      <c r="M5330" s="43">
        <f>IF($I5330=0,0,IF(OR(INDEX(DarlOhneTilgung,12)=1,AND(INDEX(DarlTilgStart,12)&gt;0,$E5330&lt;INDEX(DarlTilgStart,12))),0,MIN(MAX(0,$K5330-$L5330),$J5330)))</f>
      </c>
      <c r="N5330" s="43">
        <f>IF($I5330=0,0,MIN(SUMIFS(SondBetrag,SondDarl,12,SondDatum,"&gt;="&amp;$E5330,SondDatum,"&lt;="&amp;EOMONTH($E5330,0)),$J5330-$M5330))</f>
      </c>
      <c r="O5330" s="43">
        <f>IF($I5330=0,0,INDEX(DarlErsatzRate,12))</f>
      </c>
      <c r="P5330" s="43">
        <f>IF($I5330=0,0,$Q5329*INDEX(DarlErsatzZins,12))</f>
      </c>
      <c r="Q5330" s="43">
        <f>IF($I5330=0,0,$Q5329+$P5330+$O5330)</f>
      </c>
      <c r="R5330" s="43">
        <f>IF($I5330=0,0,$J5330-$M5330-$N5330)</f>
      </c>
    </row>
    <row r="5331">
      <c r="A5331"/>
      <c r="B5331">
        <v>12</v>
      </c>
      <c r="C5331" s="43">
        <f>INDEX(DarlObj,12)</f>
      </c>
      <c r="D5331">
        <v>48</v>
      </c>
      <c r="E5331" s="51">
        <f>IF(INDEX(DarlBelegt,12)=0,0,EOMONTH(INDEX(DarlAuszahlung,12),47)+1)</f>
      </c>
      <c r="F5331" s="43">
        <f>IF($E5331=0,0,YEAR($E5331))</f>
      </c>
      <c r="G5331" s="43">
        <f>IF(INDEX(DarlBindung,12)="",1,IF($E5331&lt;=INDEX(DarlBindung,12),1,0))</f>
      </c>
      <c r="H5331" s="43">
        <f>IF($G5331=1,INDEX(DarlSollzins,12),INDEX(DarlAnschluss,12))</f>
      </c>
      <c r="I5331" s="43">
        <f>IF(INDEX(DarlBelegt,12)=0,0,IF(INDEX(DarlOhneTilgung,12)=1,IF(INDEX(DarlBindung,12)="",1,$G5331),IF($J5331&gt;0.005,1,0)))</f>
      </c>
      <c r="J5331" s="43">
        <f>IF($I5330=0,0,$R5330)</f>
      </c>
      <c r="K5331" s="43">
        <f>IF($I5331=0,0,IF(INDEX(DarlOhneTilgung,12)=1,0,IF(AND(INDEX(DarlTilgStart,12)&gt;0,$E5331=INDEX(DarlTilgStart,12)),$J5331*($H5331+INDEX(DarlTilgung,12))/100/12,IF(AND($G5331=0,$G5330=1),MAX($K5330,$J5331*($H5331+1)/100/12),$K5330))))</f>
      </c>
      <c r="L5331" s="43">
        <f>IF($I5331=0,0,$J5331*$H5331/100/12)</f>
      </c>
      <c r="M5331" s="43">
        <f>IF($I5331=0,0,IF(OR(INDEX(DarlOhneTilgung,12)=1,AND(INDEX(DarlTilgStart,12)&gt;0,$E5331&lt;INDEX(DarlTilgStart,12))),0,MIN(MAX(0,$K5331-$L5331),$J5331)))</f>
      </c>
      <c r="N5331" s="43">
        <f>IF($I5331=0,0,MIN(SUMIFS(SondBetrag,SondDarl,12,SondDatum,"&gt;="&amp;$E5331,SondDatum,"&lt;="&amp;EOMONTH($E5331,0)),$J5331-$M5331))</f>
      </c>
      <c r="O5331" s="43">
        <f>IF($I5331=0,0,INDEX(DarlErsatzRate,12))</f>
      </c>
      <c r="P5331" s="43">
        <f>IF($I5331=0,0,$Q5330*INDEX(DarlErsatzZins,12))</f>
      </c>
      <c r="Q5331" s="43">
        <f>IF($I5331=0,0,$Q5330+$P5331+$O5331)</f>
      </c>
      <c r="R5331" s="43">
        <f>IF($I5331=0,0,$J5331-$M5331-$N5331)</f>
      </c>
    </row>
    <row r="5332">
      <c r="A5332"/>
      <c r="B5332">
        <v>12</v>
      </c>
      <c r="C5332" s="43">
        <f>INDEX(DarlObj,12)</f>
      </c>
      <c r="D5332">
        <v>49</v>
      </c>
      <c r="E5332" s="51">
        <f>IF(INDEX(DarlBelegt,12)=0,0,EOMONTH(INDEX(DarlAuszahlung,12),48)+1)</f>
      </c>
      <c r="F5332" s="43">
        <f>IF($E5332=0,0,YEAR($E5332))</f>
      </c>
      <c r="G5332" s="43">
        <f>IF(INDEX(DarlBindung,12)="",1,IF($E5332&lt;=INDEX(DarlBindung,12),1,0))</f>
      </c>
      <c r="H5332" s="43">
        <f>IF($G5332=1,INDEX(DarlSollzins,12),INDEX(DarlAnschluss,12))</f>
      </c>
      <c r="I5332" s="43">
        <f>IF(INDEX(DarlBelegt,12)=0,0,IF(INDEX(DarlOhneTilgung,12)=1,IF(INDEX(DarlBindung,12)="",1,$G5332),IF($J5332&gt;0.005,1,0)))</f>
      </c>
      <c r="J5332" s="43">
        <f>IF($I5331=0,0,$R5331)</f>
      </c>
      <c r="K5332" s="43">
        <f>IF($I5332=0,0,IF(INDEX(DarlOhneTilgung,12)=1,0,IF(AND(INDEX(DarlTilgStart,12)&gt;0,$E5332=INDEX(DarlTilgStart,12)),$J5332*($H5332+INDEX(DarlTilgung,12))/100/12,IF(AND($G5332=0,$G5331=1),MAX($K5331,$J5332*($H5332+1)/100/12),$K5331))))</f>
      </c>
      <c r="L5332" s="43">
        <f>IF($I5332=0,0,$J5332*$H5332/100/12)</f>
      </c>
      <c r="M5332" s="43">
        <f>IF($I5332=0,0,IF(OR(INDEX(DarlOhneTilgung,12)=1,AND(INDEX(DarlTilgStart,12)&gt;0,$E5332&lt;INDEX(DarlTilgStart,12))),0,MIN(MAX(0,$K5332-$L5332),$J5332)))</f>
      </c>
      <c r="N5332" s="43">
        <f>IF($I5332=0,0,MIN(SUMIFS(SondBetrag,SondDarl,12,SondDatum,"&gt;="&amp;$E5332,SondDatum,"&lt;="&amp;EOMONTH($E5332,0)),$J5332-$M5332))</f>
      </c>
      <c r="O5332" s="43">
        <f>IF($I5332=0,0,INDEX(DarlErsatzRate,12))</f>
      </c>
      <c r="P5332" s="43">
        <f>IF($I5332=0,0,$Q5331*INDEX(DarlErsatzZins,12))</f>
      </c>
      <c r="Q5332" s="43">
        <f>IF($I5332=0,0,$Q5331+$P5332+$O5332)</f>
      </c>
      <c r="R5332" s="43">
        <f>IF($I5332=0,0,$J5332-$M5332-$N5332)</f>
      </c>
    </row>
    <row r="5333">
      <c r="A5333"/>
      <c r="B5333">
        <v>12</v>
      </c>
      <c r="C5333" s="43">
        <f>INDEX(DarlObj,12)</f>
      </c>
      <c r="D5333">
        <v>50</v>
      </c>
      <c r="E5333" s="51">
        <f>IF(INDEX(DarlBelegt,12)=0,0,EOMONTH(INDEX(DarlAuszahlung,12),49)+1)</f>
      </c>
      <c r="F5333" s="43">
        <f>IF($E5333=0,0,YEAR($E5333))</f>
      </c>
      <c r="G5333" s="43">
        <f>IF(INDEX(DarlBindung,12)="",1,IF($E5333&lt;=INDEX(DarlBindung,12),1,0))</f>
      </c>
      <c r="H5333" s="43">
        <f>IF($G5333=1,INDEX(DarlSollzins,12),INDEX(DarlAnschluss,12))</f>
      </c>
      <c r="I5333" s="43">
        <f>IF(INDEX(DarlBelegt,12)=0,0,IF(INDEX(DarlOhneTilgung,12)=1,IF(INDEX(DarlBindung,12)="",1,$G5333),IF($J5333&gt;0.005,1,0)))</f>
      </c>
      <c r="J5333" s="43">
        <f>IF($I5332=0,0,$R5332)</f>
      </c>
      <c r="K5333" s="43">
        <f>IF($I5333=0,0,IF(INDEX(DarlOhneTilgung,12)=1,0,IF(AND(INDEX(DarlTilgStart,12)&gt;0,$E5333=INDEX(DarlTilgStart,12)),$J5333*($H5333+INDEX(DarlTilgung,12))/100/12,IF(AND($G5333=0,$G5332=1),MAX($K5332,$J5333*($H5333+1)/100/12),$K5332))))</f>
      </c>
      <c r="L5333" s="43">
        <f>IF($I5333=0,0,$J5333*$H5333/100/12)</f>
      </c>
      <c r="M5333" s="43">
        <f>IF($I5333=0,0,IF(OR(INDEX(DarlOhneTilgung,12)=1,AND(INDEX(DarlTilgStart,12)&gt;0,$E5333&lt;INDEX(DarlTilgStart,12))),0,MIN(MAX(0,$K5333-$L5333),$J5333)))</f>
      </c>
      <c r="N5333" s="43">
        <f>IF($I5333=0,0,MIN(SUMIFS(SondBetrag,SondDarl,12,SondDatum,"&gt;="&amp;$E5333,SondDatum,"&lt;="&amp;EOMONTH($E5333,0)),$J5333-$M5333))</f>
      </c>
      <c r="O5333" s="43">
        <f>IF($I5333=0,0,INDEX(DarlErsatzRate,12))</f>
      </c>
      <c r="P5333" s="43">
        <f>IF($I5333=0,0,$Q5332*INDEX(DarlErsatzZins,12))</f>
      </c>
      <c r="Q5333" s="43">
        <f>IF($I5333=0,0,$Q5332+$P5333+$O5333)</f>
      </c>
      <c r="R5333" s="43">
        <f>IF($I5333=0,0,$J5333-$M5333-$N5333)</f>
      </c>
    </row>
    <row r="5334">
      <c r="A5334"/>
      <c r="B5334">
        <v>12</v>
      </c>
      <c r="C5334" s="43">
        <f>INDEX(DarlObj,12)</f>
      </c>
      <c r="D5334">
        <v>51</v>
      </c>
      <c r="E5334" s="51">
        <f>IF(INDEX(DarlBelegt,12)=0,0,EOMONTH(INDEX(DarlAuszahlung,12),50)+1)</f>
      </c>
      <c r="F5334" s="43">
        <f>IF($E5334=0,0,YEAR($E5334))</f>
      </c>
      <c r="G5334" s="43">
        <f>IF(INDEX(DarlBindung,12)="",1,IF($E5334&lt;=INDEX(DarlBindung,12),1,0))</f>
      </c>
      <c r="H5334" s="43">
        <f>IF($G5334=1,INDEX(DarlSollzins,12),INDEX(DarlAnschluss,12))</f>
      </c>
      <c r="I5334" s="43">
        <f>IF(INDEX(DarlBelegt,12)=0,0,IF(INDEX(DarlOhneTilgung,12)=1,IF(INDEX(DarlBindung,12)="",1,$G5334),IF($J5334&gt;0.005,1,0)))</f>
      </c>
      <c r="J5334" s="43">
        <f>IF($I5333=0,0,$R5333)</f>
      </c>
      <c r="K5334" s="43">
        <f>IF($I5334=0,0,IF(INDEX(DarlOhneTilgung,12)=1,0,IF(AND(INDEX(DarlTilgStart,12)&gt;0,$E5334=INDEX(DarlTilgStart,12)),$J5334*($H5334+INDEX(DarlTilgung,12))/100/12,IF(AND($G5334=0,$G5333=1),MAX($K5333,$J5334*($H5334+1)/100/12),$K5333))))</f>
      </c>
      <c r="L5334" s="43">
        <f>IF($I5334=0,0,$J5334*$H5334/100/12)</f>
      </c>
      <c r="M5334" s="43">
        <f>IF($I5334=0,0,IF(OR(INDEX(DarlOhneTilgung,12)=1,AND(INDEX(DarlTilgStart,12)&gt;0,$E5334&lt;INDEX(DarlTilgStart,12))),0,MIN(MAX(0,$K5334-$L5334),$J5334)))</f>
      </c>
      <c r="N5334" s="43">
        <f>IF($I5334=0,0,MIN(SUMIFS(SondBetrag,SondDarl,12,SondDatum,"&gt;="&amp;$E5334,SondDatum,"&lt;="&amp;EOMONTH($E5334,0)),$J5334-$M5334))</f>
      </c>
      <c r="O5334" s="43">
        <f>IF($I5334=0,0,INDEX(DarlErsatzRate,12))</f>
      </c>
      <c r="P5334" s="43">
        <f>IF($I5334=0,0,$Q5333*INDEX(DarlErsatzZins,12))</f>
      </c>
      <c r="Q5334" s="43">
        <f>IF($I5334=0,0,$Q5333+$P5334+$O5334)</f>
      </c>
      <c r="R5334" s="43">
        <f>IF($I5334=0,0,$J5334-$M5334-$N5334)</f>
      </c>
    </row>
    <row r="5335">
      <c r="A5335"/>
      <c r="B5335">
        <v>12</v>
      </c>
      <c r="C5335" s="43">
        <f>INDEX(DarlObj,12)</f>
      </c>
      <c r="D5335">
        <v>52</v>
      </c>
      <c r="E5335" s="51">
        <f>IF(INDEX(DarlBelegt,12)=0,0,EOMONTH(INDEX(DarlAuszahlung,12),51)+1)</f>
      </c>
      <c r="F5335" s="43">
        <f>IF($E5335=0,0,YEAR($E5335))</f>
      </c>
      <c r="G5335" s="43">
        <f>IF(INDEX(DarlBindung,12)="",1,IF($E5335&lt;=INDEX(DarlBindung,12),1,0))</f>
      </c>
      <c r="H5335" s="43">
        <f>IF($G5335=1,INDEX(DarlSollzins,12),INDEX(DarlAnschluss,12))</f>
      </c>
      <c r="I5335" s="43">
        <f>IF(INDEX(DarlBelegt,12)=0,0,IF(INDEX(DarlOhneTilgung,12)=1,IF(INDEX(DarlBindung,12)="",1,$G5335),IF($J5335&gt;0.005,1,0)))</f>
      </c>
      <c r="J5335" s="43">
        <f>IF($I5334=0,0,$R5334)</f>
      </c>
      <c r="K5335" s="43">
        <f>IF($I5335=0,0,IF(INDEX(DarlOhneTilgung,12)=1,0,IF(AND(INDEX(DarlTilgStart,12)&gt;0,$E5335=INDEX(DarlTilgStart,12)),$J5335*($H5335+INDEX(DarlTilgung,12))/100/12,IF(AND($G5335=0,$G5334=1),MAX($K5334,$J5335*($H5335+1)/100/12),$K5334))))</f>
      </c>
      <c r="L5335" s="43">
        <f>IF($I5335=0,0,$J5335*$H5335/100/12)</f>
      </c>
      <c r="M5335" s="43">
        <f>IF($I5335=0,0,IF(OR(INDEX(DarlOhneTilgung,12)=1,AND(INDEX(DarlTilgStart,12)&gt;0,$E5335&lt;INDEX(DarlTilgStart,12))),0,MIN(MAX(0,$K5335-$L5335),$J5335)))</f>
      </c>
      <c r="N5335" s="43">
        <f>IF($I5335=0,0,MIN(SUMIFS(SondBetrag,SondDarl,12,SondDatum,"&gt;="&amp;$E5335,SondDatum,"&lt;="&amp;EOMONTH($E5335,0)),$J5335-$M5335))</f>
      </c>
      <c r="O5335" s="43">
        <f>IF($I5335=0,0,INDEX(DarlErsatzRate,12))</f>
      </c>
      <c r="P5335" s="43">
        <f>IF($I5335=0,0,$Q5334*INDEX(DarlErsatzZins,12))</f>
      </c>
      <c r="Q5335" s="43">
        <f>IF($I5335=0,0,$Q5334+$P5335+$O5335)</f>
      </c>
      <c r="R5335" s="43">
        <f>IF($I5335=0,0,$J5335-$M5335-$N5335)</f>
      </c>
    </row>
    <row r="5336">
      <c r="A5336"/>
      <c r="B5336">
        <v>12</v>
      </c>
      <c r="C5336" s="43">
        <f>INDEX(DarlObj,12)</f>
      </c>
      <c r="D5336">
        <v>53</v>
      </c>
      <c r="E5336" s="51">
        <f>IF(INDEX(DarlBelegt,12)=0,0,EOMONTH(INDEX(DarlAuszahlung,12),52)+1)</f>
      </c>
      <c r="F5336" s="43">
        <f>IF($E5336=0,0,YEAR($E5336))</f>
      </c>
      <c r="G5336" s="43">
        <f>IF(INDEX(DarlBindung,12)="",1,IF($E5336&lt;=INDEX(DarlBindung,12),1,0))</f>
      </c>
      <c r="H5336" s="43">
        <f>IF($G5336=1,INDEX(DarlSollzins,12),INDEX(DarlAnschluss,12))</f>
      </c>
      <c r="I5336" s="43">
        <f>IF(INDEX(DarlBelegt,12)=0,0,IF(INDEX(DarlOhneTilgung,12)=1,IF(INDEX(DarlBindung,12)="",1,$G5336),IF($J5336&gt;0.005,1,0)))</f>
      </c>
      <c r="J5336" s="43">
        <f>IF($I5335=0,0,$R5335)</f>
      </c>
      <c r="K5336" s="43">
        <f>IF($I5336=0,0,IF(INDEX(DarlOhneTilgung,12)=1,0,IF(AND(INDEX(DarlTilgStart,12)&gt;0,$E5336=INDEX(DarlTilgStart,12)),$J5336*($H5336+INDEX(DarlTilgung,12))/100/12,IF(AND($G5336=0,$G5335=1),MAX($K5335,$J5336*($H5336+1)/100/12),$K5335))))</f>
      </c>
      <c r="L5336" s="43">
        <f>IF($I5336=0,0,$J5336*$H5336/100/12)</f>
      </c>
      <c r="M5336" s="43">
        <f>IF($I5336=0,0,IF(OR(INDEX(DarlOhneTilgung,12)=1,AND(INDEX(DarlTilgStart,12)&gt;0,$E5336&lt;INDEX(DarlTilgStart,12))),0,MIN(MAX(0,$K5336-$L5336),$J5336)))</f>
      </c>
      <c r="N5336" s="43">
        <f>IF($I5336=0,0,MIN(SUMIFS(SondBetrag,SondDarl,12,SondDatum,"&gt;="&amp;$E5336,SondDatum,"&lt;="&amp;EOMONTH($E5336,0)),$J5336-$M5336))</f>
      </c>
      <c r="O5336" s="43">
        <f>IF($I5336=0,0,INDEX(DarlErsatzRate,12))</f>
      </c>
      <c r="P5336" s="43">
        <f>IF($I5336=0,0,$Q5335*INDEX(DarlErsatzZins,12))</f>
      </c>
      <c r="Q5336" s="43">
        <f>IF($I5336=0,0,$Q5335+$P5336+$O5336)</f>
      </c>
      <c r="R5336" s="43">
        <f>IF($I5336=0,0,$J5336-$M5336-$N5336)</f>
      </c>
    </row>
    <row r="5337">
      <c r="A5337"/>
      <c r="B5337">
        <v>12</v>
      </c>
      <c r="C5337" s="43">
        <f>INDEX(DarlObj,12)</f>
      </c>
      <c r="D5337">
        <v>54</v>
      </c>
      <c r="E5337" s="51">
        <f>IF(INDEX(DarlBelegt,12)=0,0,EOMONTH(INDEX(DarlAuszahlung,12),53)+1)</f>
      </c>
      <c r="F5337" s="43">
        <f>IF($E5337=0,0,YEAR($E5337))</f>
      </c>
      <c r="G5337" s="43">
        <f>IF(INDEX(DarlBindung,12)="",1,IF($E5337&lt;=INDEX(DarlBindung,12),1,0))</f>
      </c>
      <c r="H5337" s="43">
        <f>IF($G5337=1,INDEX(DarlSollzins,12),INDEX(DarlAnschluss,12))</f>
      </c>
      <c r="I5337" s="43">
        <f>IF(INDEX(DarlBelegt,12)=0,0,IF(INDEX(DarlOhneTilgung,12)=1,IF(INDEX(DarlBindung,12)="",1,$G5337),IF($J5337&gt;0.005,1,0)))</f>
      </c>
      <c r="J5337" s="43">
        <f>IF($I5336=0,0,$R5336)</f>
      </c>
      <c r="K5337" s="43">
        <f>IF($I5337=0,0,IF(INDEX(DarlOhneTilgung,12)=1,0,IF(AND(INDEX(DarlTilgStart,12)&gt;0,$E5337=INDEX(DarlTilgStart,12)),$J5337*($H5337+INDEX(DarlTilgung,12))/100/12,IF(AND($G5337=0,$G5336=1),MAX($K5336,$J5337*($H5337+1)/100/12),$K5336))))</f>
      </c>
      <c r="L5337" s="43">
        <f>IF($I5337=0,0,$J5337*$H5337/100/12)</f>
      </c>
      <c r="M5337" s="43">
        <f>IF($I5337=0,0,IF(OR(INDEX(DarlOhneTilgung,12)=1,AND(INDEX(DarlTilgStart,12)&gt;0,$E5337&lt;INDEX(DarlTilgStart,12))),0,MIN(MAX(0,$K5337-$L5337),$J5337)))</f>
      </c>
      <c r="N5337" s="43">
        <f>IF($I5337=0,0,MIN(SUMIFS(SondBetrag,SondDarl,12,SondDatum,"&gt;="&amp;$E5337,SondDatum,"&lt;="&amp;EOMONTH($E5337,0)),$J5337-$M5337))</f>
      </c>
      <c r="O5337" s="43">
        <f>IF($I5337=0,0,INDEX(DarlErsatzRate,12))</f>
      </c>
      <c r="P5337" s="43">
        <f>IF($I5337=0,0,$Q5336*INDEX(DarlErsatzZins,12))</f>
      </c>
      <c r="Q5337" s="43">
        <f>IF($I5337=0,0,$Q5336+$P5337+$O5337)</f>
      </c>
      <c r="R5337" s="43">
        <f>IF($I5337=0,0,$J5337-$M5337-$N5337)</f>
      </c>
    </row>
    <row r="5338">
      <c r="A5338"/>
      <c r="B5338">
        <v>12</v>
      </c>
      <c r="C5338" s="43">
        <f>INDEX(DarlObj,12)</f>
      </c>
      <c r="D5338">
        <v>55</v>
      </c>
      <c r="E5338" s="51">
        <f>IF(INDEX(DarlBelegt,12)=0,0,EOMONTH(INDEX(DarlAuszahlung,12),54)+1)</f>
      </c>
      <c r="F5338" s="43">
        <f>IF($E5338=0,0,YEAR($E5338))</f>
      </c>
      <c r="G5338" s="43">
        <f>IF(INDEX(DarlBindung,12)="",1,IF($E5338&lt;=INDEX(DarlBindung,12),1,0))</f>
      </c>
      <c r="H5338" s="43">
        <f>IF($G5338=1,INDEX(DarlSollzins,12),INDEX(DarlAnschluss,12))</f>
      </c>
      <c r="I5338" s="43">
        <f>IF(INDEX(DarlBelegt,12)=0,0,IF(INDEX(DarlOhneTilgung,12)=1,IF(INDEX(DarlBindung,12)="",1,$G5338),IF($J5338&gt;0.005,1,0)))</f>
      </c>
      <c r="J5338" s="43">
        <f>IF($I5337=0,0,$R5337)</f>
      </c>
      <c r="K5338" s="43">
        <f>IF($I5338=0,0,IF(INDEX(DarlOhneTilgung,12)=1,0,IF(AND(INDEX(DarlTilgStart,12)&gt;0,$E5338=INDEX(DarlTilgStart,12)),$J5338*($H5338+INDEX(DarlTilgung,12))/100/12,IF(AND($G5338=0,$G5337=1),MAX($K5337,$J5338*($H5338+1)/100/12),$K5337))))</f>
      </c>
      <c r="L5338" s="43">
        <f>IF($I5338=0,0,$J5338*$H5338/100/12)</f>
      </c>
      <c r="M5338" s="43">
        <f>IF($I5338=0,0,IF(OR(INDEX(DarlOhneTilgung,12)=1,AND(INDEX(DarlTilgStart,12)&gt;0,$E5338&lt;INDEX(DarlTilgStart,12))),0,MIN(MAX(0,$K5338-$L5338),$J5338)))</f>
      </c>
      <c r="N5338" s="43">
        <f>IF($I5338=0,0,MIN(SUMIFS(SondBetrag,SondDarl,12,SondDatum,"&gt;="&amp;$E5338,SondDatum,"&lt;="&amp;EOMONTH($E5338,0)),$J5338-$M5338))</f>
      </c>
      <c r="O5338" s="43">
        <f>IF($I5338=0,0,INDEX(DarlErsatzRate,12))</f>
      </c>
      <c r="P5338" s="43">
        <f>IF($I5338=0,0,$Q5337*INDEX(DarlErsatzZins,12))</f>
      </c>
      <c r="Q5338" s="43">
        <f>IF($I5338=0,0,$Q5337+$P5338+$O5338)</f>
      </c>
      <c r="R5338" s="43">
        <f>IF($I5338=0,0,$J5338-$M5338-$N5338)</f>
      </c>
    </row>
    <row r="5339">
      <c r="A5339"/>
      <c r="B5339">
        <v>12</v>
      </c>
      <c r="C5339" s="43">
        <f>INDEX(DarlObj,12)</f>
      </c>
      <c r="D5339">
        <v>56</v>
      </c>
      <c r="E5339" s="51">
        <f>IF(INDEX(DarlBelegt,12)=0,0,EOMONTH(INDEX(DarlAuszahlung,12),55)+1)</f>
      </c>
      <c r="F5339" s="43">
        <f>IF($E5339=0,0,YEAR($E5339))</f>
      </c>
      <c r="G5339" s="43">
        <f>IF(INDEX(DarlBindung,12)="",1,IF($E5339&lt;=INDEX(DarlBindung,12),1,0))</f>
      </c>
      <c r="H5339" s="43">
        <f>IF($G5339=1,INDEX(DarlSollzins,12),INDEX(DarlAnschluss,12))</f>
      </c>
      <c r="I5339" s="43">
        <f>IF(INDEX(DarlBelegt,12)=0,0,IF(INDEX(DarlOhneTilgung,12)=1,IF(INDEX(DarlBindung,12)="",1,$G5339),IF($J5339&gt;0.005,1,0)))</f>
      </c>
      <c r="J5339" s="43">
        <f>IF($I5338=0,0,$R5338)</f>
      </c>
      <c r="K5339" s="43">
        <f>IF($I5339=0,0,IF(INDEX(DarlOhneTilgung,12)=1,0,IF(AND(INDEX(DarlTilgStart,12)&gt;0,$E5339=INDEX(DarlTilgStart,12)),$J5339*($H5339+INDEX(DarlTilgung,12))/100/12,IF(AND($G5339=0,$G5338=1),MAX($K5338,$J5339*($H5339+1)/100/12),$K5338))))</f>
      </c>
      <c r="L5339" s="43">
        <f>IF($I5339=0,0,$J5339*$H5339/100/12)</f>
      </c>
      <c r="M5339" s="43">
        <f>IF($I5339=0,0,IF(OR(INDEX(DarlOhneTilgung,12)=1,AND(INDEX(DarlTilgStart,12)&gt;0,$E5339&lt;INDEX(DarlTilgStart,12))),0,MIN(MAX(0,$K5339-$L5339),$J5339)))</f>
      </c>
      <c r="N5339" s="43">
        <f>IF($I5339=0,0,MIN(SUMIFS(SondBetrag,SondDarl,12,SondDatum,"&gt;="&amp;$E5339,SondDatum,"&lt;="&amp;EOMONTH($E5339,0)),$J5339-$M5339))</f>
      </c>
      <c r="O5339" s="43">
        <f>IF($I5339=0,0,INDEX(DarlErsatzRate,12))</f>
      </c>
      <c r="P5339" s="43">
        <f>IF($I5339=0,0,$Q5338*INDEX(DarlErsatzZins,12))</f>
      </c>
      <c r="Q5339" s="43">
        <f>IF($I5339=0,0,$Q5338+$P5339+$O5339)</f>
      </c>
      <c r="R5339" s="43">
        <f>IF($I5339=0,0,$J5339-$M5339-$N5339)</f>
      </c>
    </row>
    <row r="5340">
      <c r="A5340"/>
      <c r="B5340">
        <v>12</v>
      </c>
      <c r="C5340" s="43">
        <f>INDEX(DarlObj,12)</f>
      </c>
      <c r="D5340">
        <v>57</v>
      </c>
      <c r="E5340" s="51">
        <f>IF(INDEX(DarlBelegt,12)=0,0,EOMONTH(INDEX(DarlAuszahlung,12),56)+1)</f>
      </c>
      <c r="F5340" s="43">
        <f>IF($E5340=0,0,YEAR($E5340))</f>
      </c>
      <c r="G5340" s="43">
        <f>IF(INDEX(DarlBindung,12)="",1,IF($E5340&lt;=INDEX(DarlBindung,12),1,0))</f>
      </c>
      <c r="H5340" s="43">
        <f>IF($G5340=1,INDEX(DarlSollzins,12),INDEX(DarlAnschluss,12))</f>
      </c>
      <c r="I5340" s="43">
        <f>IF(INDEX(DarlBelegt,12)=0,0,IF(INDEX(DarlOhneTilgung,12)=1,IF(INDEX(DarlBindung,12)="",1,$G5340),IF($J5340&gt;0.005,1,0)))</f>
      </c>
      <c r="J5340" s="43">
        <f>IF($I5339=0,0,$R5339)</f>
      </c>
      <c r="K5340" s="43">
        <f>IF($I5340=0,0,IF(INDEX(DarlOhneTilgung,12)=1,0,IF(AND(INDEX(DarlTilgStart,12)&gt;0,$E5340=INDEX(DarlTilgStart,12)),$J5340*($H5340+INDEX(DarlTilgung,12))/100/12,IF(AND($G5340=0,$G5339=1),MAX($K5339,$J5340*($H5340+1)/100/12),$K5339))))</f>
      </c>
      <c r="L5340" s="43">
        <f>IF($I5340=0,0,$J5340*$H5340/100/12)</f>
      </c>
      <c r="M5340" s="43">
        <f>IF($I5340=0,0,IF(OR(INDEX(DarlOhneTilgung,12)=1,AND(INDEX(DarlTilgStart,12)&gt;0,$E5340&lt;INDEX(DarlTilgStart,12))),0,MIN(MAX(0,$K5340-$L5340),$J5340)))</f>
      </c>
      <c r="N5340" s="43">
        <f>IF($I5340=0,0,MIN(SUMIFS(SondBetrag,SondDarl,12,SondDatum,"&gt;="&amp;$E5340,SondDatum,"&lt;="&amp;EOMONTH($E5340,0)),$J5340-$M5340))</f>
      </c>
      <c r="O5340" s="43">
        <f>IF($I5340=0,0,INDEX(DarlErsatzRate,12))</f>
      </c>
      <c r="P5340" s="43">
        <f>IF($I5340=0,0,$Q5339*INDEX(DarlErsatzZins,12))</f>
      </c>
      <c r="Q5340" s="43">
        <f>IF($I5340=0,0,$Q5339+$P5340+$O5340)</f>
      </c>
      <c r="R5340" s="43">
        <f>IF($I5340=0,0,$J5340-$M5340-$N5340)</f>
      </c>
    </row>
    <row r="5341">
      <c r="A5341"/>
      <c r="B5341">
        <v>12</v>
      </c>
      <c r="C5341" s="43">
        <f>INDEX(DarlObj,12)</f>
      </c>
      <c r="D5341">
        <v>58</v>
      </c>
      <c r="E5341" s="51">
        <f>IF(INDEX(DarlBelegt,12)=0,0,EOMONTH(INDEX(DarlAuszahlung,12),57)+1)</f>
      </c>
      <c r="F5341" s="43">
        <f>IF($E5341=0,0,YEAR($E5341))</f>
      </c>
      <c r="G5341" s="43">
        <f>IF(INDEX(DarlBindung,12)="",1,IF($E5341&lt;=INDEX(DarlBindung,12),1,0))</f>
      </c>
      <c r="H5341" s="43">
        <f>IF($G5341=1,INDEX(DarlSollzins,12),INDEX(DarlAnschluss,12))</f>
      </c>
      <c r="I5341" s="43">
        <f>IF(INDEX(DarlBelegt,12)=0,0,IF(INDEX(DarlOhneTilgung,12)=1,IF(INDEX(DarlBindung,12)="",1,$G5341),IF($J5341&gt;0.005,1,0)))</f>
      </c>
      <c r="J5341" s="43">
        <f>IF($I5340=0,0,$R5340)</f>
      </c>
      <c r="K5341" s="43">
        <f>IF($I5341=0,0,IF(INDEX(DarlOhneTilgung,12)=1,0,IF(AND(INDEX(DarlTilgStart,12)&gt;0,$E5341=INDEX(DarlTilgStart,12)),$J5341*($H5341+INDEX(DarlTilgung,12))/100/12,IF(AND($G5341=0,$G5340=1),MAX($K5340,$J5341*($H5341+1)/100/12),$K5340))))</f>
      </c>
      <c r="L5341" s="43">
        <f>IF($I5341=0,0,$J5341*$H5341/100/12)</f>
      </c>
      <c r="M5341" s="43">
        <f>IF($I5341=0,0,IF(OR(INDEX(DarlOhneTilgung,12)=1,AND(INDEX(DarlTilgStart,12)&gt;0,$E5341&lt;INDEX(DarlTilgStart,12))),0,MIN(MAX(0,$K5341-$L5341),$J5341)))</f>
      </c>
      <c r="N5341" s="43">
        <f>IF($I5341=0,0,MIN(SUMIFS(SondBetrag,SondDarl,12,SondDatum,"&gt;="&amp;$E5341,SondDatum,"&lt;="&amp;EOMONTH($E5341,0)),$J5341-$M5341))</f>
      </c>
      <c r="O5341" s="43">
        <f>IF($I5341=0,0,INDEX(DarlErsatzRate,12))</f>
      </c>
      <c r="P5341" s="43">
        <f>IF($I5341=0,0,$Q5340*INDEX(DarlErsatzZins,12))</f>
      </c>
      <c r="Q5341" s="43">
        <f>IF($I5341=0,0,$Q5340+$P5341+$O5341)</f>
      </c>
      <c r="R5341" s="43">
        <f>IF($I5341=0,0,$J5341-$M5341-$N5341)</f>
      </c>
    </row>
    <row r="5342">
      <c r="A5342"/>
      <c r="B5342">
        <v>12</v>
      </c>
      <c r="C5342" s="43">
        <f>INDEX(DarlObj,12)</f>
      </c>
      <c r="D5342">
        <v>59</v>
      </c>
      <c r="E5342" s="51">
        <f>IF(INDEX(DarlBelegt,12)=0,0,EOMONTH(INDEX(DarlAuszahlung,12),58)+1)</f>
      </c>
      <c r="F5342" s="43">
        <f>IF($E5342=0,0,YEAR($E5342))</f>
      </c>
      <c r="G5342" s="43">
        <f>IF(INDEX(DarlBindung,12)="",1,IF($E5342&lt;=INDEX(DarlBindung,12),1,0))</f>
      </c>
      <c r="H5342" s="43">
        <f>IF($G5342=1,INDEX(DarlSollzins,12),INDEX(DarlAnschluss,12))</f>
      </c>
      <c r="I5342" s="43">
        <f>IF(INDEX(DarlBelegt,12)=0,0,IF(INDEX(DarlOhneTilgung,12)=1,IF(INDEX(DarlBindung,12)="",1,$G5342),IF($J5342&gt;0.005,1,0)))</f>
      </c>
      <c r="J5342" s="43">
        <f>IF($I5341=0,0,$R5341)</f>
      </c>
      <c r="K5342" s="43">
        <f>IF($I5342=0,0,IF(INDEX(DarlOhneTilgung,12)=1,0,IF(AND(INDEX(DarlTilgStart,12)&gt;0,$E5342=INDEX(DarlTilgStart,12)),$J5342*($H5342+INDEX(DarlTilgung,12))/100/12,IF(AND($G5342=0,$G5341=1),MAX($K5341,$J5342*($H5342+1)/100/12),$K5341))))</f>
      </c>
      <c r="L5342" s="43">
        <f>IF($I5342=0,0,$J5342*$H5342/100/12)</f>
      </c>
      <c r="M5342" s="43">
        <f>IF($I5342=0,0,IF(OR(INDEX(DarlOhneTilgung,12)=1,AND(INDEX(DarlTilgStart,12)&gt;0,$E5342&lt;INDEX(DarlTilgStart,12))),0,MIN(MAX(0,$K5342-$L5342),$J5342)))</f>
      </c>
      <c r="N5342" s="43">
        <f>IF($I5342=0,0,MIN(SUMIFS(SondBetrag,SondDarl,12,SondDatum,"&gt;="&amp;$E5342,SondDatum,"&lt;="&amp;EOMONTH($E5342,0)),$J5342-$M5342))</f>
      </c>
      <c r="O5342" s="43">
        <f>IF($I5342=0,0,INDEX(DarlErsatzRate,12))</f>
      </c>
      <c r="P5342" s="43">
        <f>IF($I5342=0,0,$Q5341*INDEX(DarlErsatzZins,12))</f>
      </c>
      <c r="Q5342" s="43">
        <f>IF($I5342=0,0,$Q5341+$P5342+$O5342)</f>
      </c>
      <c r="R5342" s="43">
        <f>IF($I5342=0,0,$J5342-$M5342-$N5342)</f>
      </c>
    </row>
    <row r="5343">
      <c r="A5343"/>
      <c r="B5343">
        <v>12</v>
      </c>
      <c r="C5343" s="43">
        <f>INDEX(DarlObj,12)</f>
      </c>
      <c r="D5343">
        <v>60</v>
      </c>
      <c r="E5343" s="51">
        <f>IF(INDEX(DarlBelegt,12)=0,0,EOMONTH(INDEX(DarlAuszahlung,12),59)+1)</f>
      </c>
      <c r="F5343" s="43">
        <f>IF($E5343=0,0,YEAR($E5343))</f>
      </c>
      <c r="G5343" s="43">
        <f>IF(INDEX(DarlBindung,12)="",1,IF($E5343&lt;=INDEX(DarlBindung,12),1,0))</f>
      </c>
      <c r="H5343" s="43">
        <f>IF($G5343=1,INDEX(DarlSollzins,12),INDEX(DarlAnschluss,12))</f>
      </c>
      <c r="I5343" s="43">
        <f>IF(INDEX(DarlBelegt,12)=0,0,IF(INDEX(DarlOhneTilgung,12)=1,IF(INDEX(DarlBindung,12)="",1,$G5343),IF($J5343&gt;0.005,1,0)))</f>
      </c>
      <c r="J5343" s="43">
        <f>IF($I5342=0,0,$R5342)</f>
      </c>
      <c r="K5343" s="43">
        <f>IF($I5343=0,0,IF(INDEX(DarlOhneTilgung,12)=1,0,IF(AND(INDEX(DarlTilgStart,12)&gt;0,$E5343=INDEX(DarlTilgStart,12)),$J5343*($H5343+INDEX(DarlTilgung,12))/100/12,IF(AND($G5343=0,$G5342=1),MAX($K5342,$J5343*($H5343+1)/100/12),$K5342))))</f>
      </c>
      <c r="L5343" s="43">
        <f>IF($I5343=0,0,$J5343*$H5343/100/12)</f>
      </c>
      <c r="M5343" s="43">
        <f>IF($I5343=0,0,IF(OR(INDEX(DarlOhneTilgung,12)=1,AND(INDEX(DarlTilgStart,12)&gt;0,$E5343&lt;INDEX(DarlTilgStart,12))),0,MIN(MAX(0,$K5343-$L5343),$J5343)))</f>
      </c>
      <c r="N5343" s="43">
        <f>IF($I5343=0,0,MIN(SUMIFS(SondBetrag,SondDarl,12,SondDatum,"&gt;="&amp;$E5343,SondDatum,"&lt;="&amp;EOMONTH($E5343,0)),$J5343-$M5343))</f>
      </c>
      <c r="O5343" s="43">
        <f>IF($I5343=0,0,INDEX(DarlErsatzRate,12))</f>
      </c>
      <c r="P5343" s="43">
        <f>IF($I5343=0,0,$Q5342*INDEX(DarlErsatzZins,12))</f>
      </c>
      <c r="Q5343" s="43">
        <f>IF($I5343=0,0,$Q5342+$P5343+$O5343)</f>
      </c>
      <c r="R5343" s="43">
        <f>IF($I5343=0,0,$J5343-$M5343-$N5343)</f>
      </c>
    </row>
    <row r="5344">
      <c r="A5344"/>
      <c r="B5344">
        <v>12</v>
      </c>
      <c r="C5344" s="43">
        <f>INDEX(DarlObj,12)</f>
      </c>
      <c r="D5344">
        <v>61</v>
      </c>
      <c r="E5344" s="51">
        <f>IF(INDEX(DarlBelegt,12)=0,0,EOMONTH(INDEX(DarlAuszahlung,12),60)+1)</f>
      </c>
      <c r="F5344" s="43">
        <f>IF($E5344=0,0,YEAR($E5344))</f>
      </c>
      <c r="G5344" s="43">
        <f>IF(INDEX(DarlBindung,12)="",1,IF($E5344&lt;=INDEX(DarlBindung,12),1,0))</f>
      </c>
      <c r="H5344" s="43">
        <f>IF($G5344=1,INDEX(DarlSollzins,12),INDEX(DarlAnschluss,12))</f>
      </c>
      <c r="I5344" s="43">
        <f>IF(INDEX(DarlBelegt,12)=0,0,IF(INDEX(DarlOhneTilgung,12)=1,IF(INDEX(DarlBindung,12)="",1,$G5344),IF($J5344&gt;0.005,1,0)))</f>
      </c>
      <c r="J5344" s="43">
        <f>IF($I5343=0,0,$R5343)</f>
      </c>
      <c r="K5344" s="43">
        <f>IF($I5344=0,0,IF(INDEX(DarlOhneTilgung,12)=1,0,IF(AND(INDEX(DarlTilgStart,12)&gt;0,$E5344=INDEX(DarlTilgStart,12)),$J5344*($H5344+INDEX(DarlTilgung,12))/100/12,IF(AND($G5344=0,$G5343=1),MAX($K5343,$J5344*($H5344+1)/100/12),$K5343))))</f>
      </c>
      <c r="L5344" s="43">
        <f>IF($I5344=0,0,$J5344*$H5344/100/12)</f>
      </c>
      <c r="M5344" s="43">
        <f>IF($I5344=0,0,IF(OR(INDEX(DarlOhneTilgung,12)=1,AND(INDEX(DarlTilgStart,12)&gt;0,$E5344&lt;INDEX(DarlTilgStart,12))),0,MIN(MAX(0,$K5344-$L5344),$J5344)))</f>
      </c>
      <c r="N5344" s="43">
        <f>IF($I5344=0,0,MIN(SUMIFS(SondBetrag,SondDarl,12,SondDatum,"&gt;="&amp;$E5344,SondDatum,"&lt;="&amp;EOMONTH($E5344,0)),$J5344-$M5344))</f>
      </c>
      <c r="O5344" s="43">
        <f>IF($I5344=0,0,INDEX(DarlErsatzRate,12))</f>
      </c>
      <c r="P5344" s="43">
        <f>IF($I5344=0,0,$Q5343*INDEX(DarlErsatzZins,12))</f>
      </c>
      <c r="Q5344" s="43">
        <f>IF($I5344=0,0,$Q5343+$P5344+$O5344)</f>
      </c>
      <c r="R5344" s="43">
        <f>IF($I5344=0,0,$J5344-$M5344-$N5344)</f>
      </c>
    </row>
    <row r="5345">
      <c r="A5345"/>
      <c r="B5345">
        <v>12</v>
      </c>
      <c r="C5345" s="43">
        <f>INDEX(DarlObj,12)</f>
      </c>
      <c r="D5345">
        <v>62</v>
      </c>
      <c r="E5345" s="51">
        <f>IF(INDEX(DarlBelegt,12)=0,0,EOMONTH(INDEX(DarlAuszahlung,12),61)+1)</f>
      </c>
      <c r="F5345" s="43">
        <f>IF($E5345=0,0,YEAR($E5345))</f>
      </c>
      <c r="G5345" s="43">
        <f>IF(INDEX(DarlBindung,12)="",1,IF($E5345&lt;=INDEX(DarlBindung,12),1,0))</f>
      </c>
      <c r="H5345" s="43">
        <f>IF($G5345=1,INDEX(DarlSollzins,12),INDEX(DarlAnschluss,12))</f>
      </c>
      <c r="I5345" s="43">
        <f>IF(INDEX(DarlBelegt,12)=0,0,IF(INDEX(DarlOhneTilgung,12)=1,IF(INDEX(DarlBindung,12)="",1,$G5345),IF($J5345&gt;0.005,1,0)))</f>
      </c>
      <c r="J5345" s="43">
        <f>IF($I5344=0,0,$R5344)</f>
      </c>
      <c r="K5345" s="43">
        <f>IF($I5345=0,0,IF(INDEX(DarlOhneTilgung,12)=1,0,IF(AND(INDEX(DarlTilgStart,12)&gt;0,$E5345=INDEX(DarlTilgStart,12)),$J5345*($H5345+INDEX(DarlTilgung,12))/100/12,IF(AND($G5345=0,$G5344=1),MAX($K5344,$J5345*($H5345+1)/100/12),$K5344))))</f>
      </c>
      <c r="L5345" s="43">
        <f>IF($I5345=0,0,$J5345*$H5345/100/12)</f>
      </c>
      <c r="M5345" s="43">
        <f>IF($I5345=0,0,IF(OR(INDEX(DarlOhneTilgung,12)=1,AND(INDEX(DarlTilgStart,12)&gt;0,$E5345&lt;INDEX(DarlTilgStart,12))),0,MIN(MAX(0,$K5345-$L5345),$J5345)))</f>
      </c>
      <c r="N5345" s="43">
        <f>IF($I5345=0,0,MIN(SUMIFS(SondBetrag,SondDarl,12,SondDatum,"&gt;="&amp;$E5345,SondDatum,"&lt;="&amp;EOMONTH($E5345,0)),$J5345-$M5345))</f>
      </c>
      <c r="O5345" s="43">
        <f>IF($I5345=0,0,INDEX(DarlErsatzRate,12))</f>
      </c>
      <c r="P5345" s="43">
        <f>IF($I5345=0,0,$Q5344*INDEX(DarlErsatzZins,12))</f>
      </c>
      <c r="Q5345" s="43">
        <f>IF($I5345=0,0,$Q5344+$P5345+$O5345)</f>
      </c>
      <c r="R5345" s="43">
        <f>IF($I5345=0,0,$J5345-$M5345-$N5345)</f>
      </c>
    </row>
    <row r="5346">
      <c r="A5346"/>
      <c r="B5346">
        <v>12</v>
      </c>
      <c r="C5346" s="43">
        <f>INDEX(DarlObj,12)</f>
      </c>
      <c r="D5346">
        <v>63</v>
      </c>
      <c r="E5346" s="51">
        <f>IF(INDEX(DarlBelegt,12)=0,0,EOMONTH(INDEX(DarlAuszahlung,12),62)+1)</f>
      </c>
      <c r="F5346" s="43">
        <f>IF($E5346=0,0,YEAR($E5346))</f>
      </c>
      <c r="G5346" s="43">
        <f>IF(INDEX(DarlBindung,12)="",1,IF($E5346&lt;=INDEX(DarlBindung,12),1,0))</f>
      </c>
      <c r="H5346" s="43">
        <f>IF($G5346=1,INDEX(DarlSollzins,12),INDEX(DarlAnschluss,12))</f>
      </c>
      <c r="I5346" s="43">
        <f>IF(INDEX(DarlBelegt,12)=0,0,IF(INDEX(DarlOhneTilgung,12)=1,IF(INDEX(DarlBindung,12)="",1,$G5346),IF($J5346&gt;0.005,1,0)))</f>
      </c>
      <c r="J5346" s="43">
        <f>IF($I5345=0,0,$R5345)</f>
      </c>
      <c r="K5346" s="43">
        <f>IF($I5346=0,0,IF(INDEX(DarlOhneTilgung,12)=1,0,IF(AND(INDEX(DarlTilgStart,12)&gt;0,$E5346=INDEX(DarlTilgStart,12)),$J5346*($H5346+INDEX(DarlTilgung,12))/100/12,IF(AND($G5346=0,$G5345=1),MAX($K5345,$J5346*($H5346+1)/100/12),$K5345))))</f>
      </c>
      <c r="L5346" s="43">
        <f>IF($I5346=0,0,$J5346*$H5346/100/12)</f>
      </c>
      <c r="M5346" s="43">
        <f>IF($I5346=0,0,IF(OR(INDEX(DarlOhneTilgung,12)=1,AND(INDEX(DarlTilgStart,12)&gt;0,$E5346&lt;INDEX(DarlTilgStart,12))),0,MIN(MAX(0,$K5346-$L5346),$J5346)))</f>
      </c>
      <c r="N5346" s="43">
        <f>IF($I5346=0,0,MIN(SUMIFS(SondBetrag,SondDarl,12,SondDatum,"&gt;="&amp;$E5346,SondDatum,"&lt;="&amp;EOMONTH($E5346,0)),$J5346-$M5346))</f>
      </c>
      <c r="O5346" s="43">
        <f>IF($I5346=0,0,INDEX(DarlErsatzRate,12))</f>
      </c>
      <c r="P5346" s="43">
        <f>IF($I5346=0,0,$Q5345*INDEX(DarlErsatzZins,12))</f>
      </c>
      <c r="Q5346" s="43">
        <f>IF($I5346=0,0,$Q5345+$P5346+$O5346)</f>
      </c>
      <c r="R5346" s="43">
        <f>IF($I5346=0,0,$J5346-$M5346-$N5346)</f>
      </c>
    </row>
    <row r="5347">
      <c r="A5347"/>
      <c r="B5347">
        <v>12</v>
      </c>
      <c r="C5347" s="43">
        <f>INDEX(DarlObj,12)</f>
      </c>
      <c r="D5347">
        <v>64</v>
      </c>
      <c r="E5347" s="51">
        <f>IF(INDEX(DarlBelegt,12)=0,0,EOMONTH(INDEX(DarlAuszahlung,12),63)+1)</f>
      </c>
      <c r="F5347" s="43">
        <f>IF($E5347=0,0,YEAR($E5347))</f>
      </c>
      <c r="G5347" s="43">
        <f>IF(INDEX(DarlBindung,12)="",1,IF($E5347&lt;=INDEX(DarlBindung,12),1,0))</f>
      </c>
      <c r="H5347" s="43">
        <f>IF($G5347=1,INDEX(DarlSollzins,12),INDEX(DarlAnschluss,12))</f>
      </c>
      <c r="I5347" s="43">
        <f>IF(INDEX(DarlBelegt,12)=0,0,IF(INDEX(DarlOhneTilgung,12)=1,IF(INDEX(DarlBindung,12)="",1,$G5347),IF($J5347&gt;0.005,1,0)))</f>
      </c>
      <c r="J5347" s="43">
        <f>IF($I5346=0,0,$R5346)</f>
      </c>
      <c r="K5347" s="43">
        <f>IF($I5347=0,0,IF(INDEX(DarlOhneTilgung,12)=1,0,IF(AND(INDEX(DarlTilgStart,12)&gt;0,$E5347=INDEX(DarlTilgStart,12)),$J5347*($H5347+INDEX(DarlTilgung,12))/100/12,IF(AND($G5347=0,$G5346=1),MAX($K5346,$J5347*($H5347+1)/100/12),$K5346))))</f>
      </c>
      <c r="L5347" s="43">
        <f>IF($I5347=0,0,$J5347*$H5347/100/12)</f>
      </c>
      <c r="M5347" s="43">
        <f>IF($I5347=0,0,IF(OR(INDEX(DarlOhneTilgung,12)=1,AND(INDEX(DarlTilgStart,12)&gt;0,$E5347&lt;INDEX(DarlTilgStart,12))),0,MIN(MAX(0,$K5347-$L5347),$J5347)))</f>
      </c>
      <c r="N5347" s="43">
        <f>IF($I5347=0,0,MIN(SUMIFS(SondBetrag,SondDarl,12,SondDatum,"&gt;="&amp;$E5347,SondDatum,"&lt;="&amp;EOMONTH($E5347,0)),$J5347-$M5347))</f>
      </c>
      <c r="O5347" s="43">
        <f>IF($I5347=0,0,INDEX(DarlErsatzRate,12))</f>
      </c>
      <c r="P5347" s="43">
        <f>IF($I5347=0,0,$Q5346*INDEX(DarlErsatzZins,12))</f>
      </c>
      <c r="Q5347" s="43">
        <f>IF($I5347=0,0,$Q5346+$P5347+$O5347)</f>
      </c>
      <c r="R5347" s="43">
        <f>IF($I5347=0,0,$J5347-$M5347-$N5347)</f>
      </c>
    </row>
    <row r="5348">
      <c r="A5348"/>
      <c r="B5348">
        <v>12</v>
      </c>
      <c r="C5348" s="43">
        <f>INDEX(DarlObj,12)</f>
      </c>
      <c r="D5348">
        <v>65</v>
      </c>
      <c r="E5348" s="51">
        <f>IF(INDEX(DarlBelegt,12)=0,0,EOMONTH(INDEX(DarlAuszahlung,12),64)+1)</f>
      </c>
      <c r="F5348" s="43">
        <f>IF($E5348=0,0,YEAR($E5348))</f>
      </c>
      <c r="G5348" s="43">
        <f>IF(INDEX(DarlBindung,12)="",1,IF($E5348&lt;=INDEX(DarlBindung,12),1,0))</f>
      </c>
      <c r="H5348" s="43">
        <f>IF($G5348=1,INDEX(DarlSollzins,12),INDEX(DarlAnschluss,12))</f>
      </c>
      <c r="I5348" s="43">
        <f>IF(INDEX(DarlBelegt,12)=0,0,IF(INDEX(DarlOhneTilgung,12)=1,IF(INDEX(DarlBindung,12)="",1,$G5348),IF($J5348&gt;0.005,1,0)))</f>
      </c>
      <c r="J5348" s="43">
        <f>IF($I5347=0,0,$R5347)</f>
      </c>
      <c r="K5348" s="43">
        <f>IF($I5348=0,0,IF(INDEX(DarlOhneTilgung,12)=1,0,IF(AND(INDEX(DarlTilgStart,12)&gt;0,$E5348=INDEX(DarlTilgStart,12)),$J5348*($H5348+INDEX(DarlTilgung,12))/100/12,IF(AND($G5348=0,$G5347=1),MAX($K5347,$J5348*($H5348+1)/100/12),$K5347))))</f>
      </c>
      <c r="L5348" s="43">
        <f>IF($I5348=0,0,$J5348*$H5348/100/12)</f>
      </c>
      <c r="M5348" s="43">
        <f>IF($I5348=0,0,IF(OR(INDEX(DarlOhneTilgung,12)=1,AND(INDEX(DarlTilgStart,12)&gt;0,$E5348&lt;INDEX(DarlTilgStart,12))),0,MIN(MAX(0,$K5348-$L5348),$J5348)))</f>
      </c>
      <c r="N5348" s="43">
        <f>IF($I5348=0,0,MIN(SUMIFS(SondBetrag,SondDarl,12,SondDatum,"&gt;="&amp;$E5348,SondDatum,"&lt;="&amp;EOMONTH($E5348,0)),$J5348-$M5348))</f>
      </c>
      <c r="O5348" s="43">
        <f>IF($I5348=0,0,INDEX(DarlErsatzRate,12))</f>
      </c>
      <c r="P5348" s="43">
        <f>IF($I5348=0,0,$Q5347*INDEX(DarlErsatzZins,12))</f>
      </c>
      <c r="Q5348" s="43">
        <f>IF($I5348=0,0,$Q5347+$P5348+$O5348)</f>
      </c>
      <c r="R5348" s="43">
        <f>IF($I5348=0,0,$J5348-$M5348-$N5348)</f>
      </c>
    </row>
    <row r="5349">
      <c r="A5349"/>
      <c r="B5349">
        <v>12</v>
      </c>
      <c r="C5349" s="43">
        <f>INDEX(DarlObj,12)</f>
      </c>
      <c r="D5349">
        <v>66</v>
      </c>
      <c r="E5349" s="51">
        <f>IF(INDEX(DarlBelegt,12)=0,0,EOMONTH(INDEX(DarlAuszahlung,12),65)+1)</f>
      </c>
      <c r="F5349" s="43">
        <f>IF($E5349=0,0,YEAR($E5349))</f>
      </c>
      <c r="G5349" s="43">
        <f>IF(INDEX(DarlBindung,12)="",1,IF($E5349&lt;=INDEX(DarlBindung,12),1,0))</f>
      </c>
      <c r="H5349" s="43">
        <f>IF($G5349=1,INDEX(DarlSollzins,12),INDEX(DarlAnschluss,12))</f>
      </c>
      <c r="I5349" s="43">
        <f>IF(INDEX(DarlBelegt,12)=0,0,IF(INDEX(DarlOhneTilgung,12)=1,IF(INDEX(DarlBindung,12)="",1,$G5349),IF($J5349&gt;0.005,1,0)))</f>
      </c>
      <c r="J5349" s="43">
        <f>IF($I5348=0,0,$R5348)</f>
      </c>
      <c r="K5349" s="43">
        <f>IF($I5349=0,0,IF(INDEX(DarlOhneTilgung,12)=1,0,IF(AND(INDEX(DarlTilgStart,12)&gt;0,$E5349=INDEX(DarlTilgStart,12)),$J5349*($H5349+INDEX(DarlTilgung,12))/100/12,IF(AND($G5349=0,$G5348=1),MAX($K5348,$J5349*($H5349+1)/100/12),$K5348))))</f>
      </c>
      <c r="L5349" s="43">
        <f>IF($I5349=0,0,$J5349*$H5349/100/12)</f>
      </c>
      <c r="M5349" s="43">
        <f>IF($I5349=0,0,IF(OR(INDEX(DarlOhneTilgung,12)=1,AND(INDEX(DarlTilgStart,12)&gt;0,$E5349&lt;INDEX(DarlTilgStart,12))),0,MIN(MAX(0,$K5349-$L5349),$J5349)))</f>
      </c>
      <c r="N5349" s="43">
        <f>IF($I5349=0,0,MIN(SUMIFS(SondBetrag,SondDarl,12,SondDatum,"&gt;="&amp;$E5349,SondDatum,"&lt;="&amp;EOMONTH($E5349,0)),$J5349-$M5349))</f>
      </c>
      <c r="O5349" s="43">
        <f>IF($I5349=0,0,INDEX(DarlErsatzRate,12))</f>
      </c>
      <c r="P5349" s="43">
        <f>IF($I5349=0,0,$Q5348*INDEX(DarlErsatzZins,12))</f>
      </c>
      <c r="Q5349" s="43">
        <f>IF($I5349=0,0,$Q5348+$P5349+$O5349)</f>
      </c>
      <c r="R5349" s="43">
        <f>IF($I5349=0,0,$J5349-$M5349-$N5349)</f>
      </c>
    </row>
    <row r="5350">
      <c r="A5350"/>
      <c r="B5350">
        <v>12</v>
      </c>
      <c r="C5350" s="43">
        <f>INDEX(DarlObj,12)</f>
      </c>
      <c r="D5350">
        <v>67</v>
      </c>
      <c r="E5350" s="51">
        <f>IF(INDEX(DarlBelegt,12)=0,0,EOMONTH(INDEX(DarlAuszahlung,12),66)+1)</f>
      </c>
      <c r="F5350" s="43">
        <f>IF($E5350=0,0,YEAR($E5350))</f>
      </c>
      <c r="G5350" s="43">
        <f>IF(INDEX(DarlBindung,12)="",1,IF($E5350&lt;=INDEX(DarlBindung,12),1,0))</f>
      </c>
      <c r="H5350" s="43">
        <f>IF($G5350=1,INDEX(DarlSollzins,12),INDEX(DarlAnschluss,12))</f>
      </c>
      <c r="I5350" s="43">
        <f>IF(INDEX(DarlBelegt,12)=0,0,IF(INDEX(DarlOhneTilgung,12)=1,IF(INDEX(DarlBindung,12)="",1,$G5350),IF($J5350&gt;0.005,1,0)))</f>
      </c>
      <c r="J5350" s="43">
        <f>IF($I5349=0,0,$R5349)</f>
      </c>
      <c r="K5350" s="43">
        <f>IF($I5350=0,0,IF(INDEX(DarlOhneTilgung,12)=1,0,IF(AND(INDEX(DarlTilgStart,12)&gt;0,$E5350=INDEX(DarlTilgStart,12)),$J5350*($H5350+INDEX(DarlTilgung,12))/100/12,IF(AND($G5350=0,$G5349=1),MAX($K5349,$J5350*($H5350+1)/100/12),$K5349))))</f>
      </c>
      <c r="L5350" s="43">
        <f>IF($I5350=0,0,$J5350*$H5350/100/12)</f>
      </c>
      <c r="M5350" s="43">
        <f>IF($I5350=0,0,IF(OR(INDEX(DarlOhneTilgung,12)=1,AND(INDEX(DarlTilgStart,12)&gt;0,$E5350&lt;INDEX(DarlTilgStart,12))),0,MIN(MAX(0,$K5350-$L5350),$J5350)))</f>
      </c>
      <c r="N5350" s="43">
        <f>IF($I5350=0,0,MIN(SUMIFS(SondBetrag,SondDarl,12,SondDatum,"&gt;="&amp;$E5350,SondDatum,"&lt;="&amp;EOMONTH($E5350,0)),$J5350-$M5350))</f>
      </c>
      <c r="O5350" s="43">
        <f>IF($I5350=0,0,INDEX(DarlErsatzRate,12))</f>
      </c>
      <c r="P5350" s="43">
        <f>IF($I5350=0,0,$Q5349*INDEX(DarlErsatzZins,12))</f>
      </c>
      <c r="Q5350" s="43">
        <f>IF($I5350=0,0,$Q5349+$P5350+$O5350)</f>
      </c>
      <c r="R5350" s="43">
        <f>IF($I5350=0,0,$J5350-$M5350-$N5350)</f>
      </c>
    </row>
    <row r="5351">
      <c r="A5351"/>
      <c r="B5351">
        <v>12</v>
      </c>
      <c r="C5351" s="43">
        <f>INDEX(DarlObj,12)</f>
      </c>
      <c r="D5351">
        <v>68</v>
      </c>
      <c r="E5351" s="51">
        <f>IF(INDEX(DarlBelegt,12)=0,0,EOMONTH(INDEX(DarlAuszahlung,12),67)+1)</f>
      </c>
      <c r="F5351" s="43">
        <f>IF($E5351=0,0,YEAR($E5351))</f>
      </c>
      <c r="G5351" s="43">
        <f>IF(INDEX(DarlBindung,12)="",1,IF($E5351&lt;=INDEX(DarlBindung,12),1,0))</f>
      </c>
      <c r="H5351" s="43">
        <f>IF($G5351=1,INDEX(DarlSollzins,12),INDEX(DarlAnschluss,12))</f>
      </c>
      <c r="I5351" s="43">
        <f>IF(INDEX(DarlBelegt,12)=0,0,IF(INDEX(DarlOhneTilgung,12)=1,IF(INDEX(DarlBindung,12)="",1,$G5351),IF($J5351&gt;0.005,1,0)))</f>
      </c>
      <c r="J5351" s="43">
        <f>IF($I5350=0,0,$R5350)</f>
      </c>
      <c r="K5351" s="43">
        <f>IF($I5351=0,0,IF(INDEX(DarlOhneTilgung,12)=1,0,IF(AND(INDEX(DarlTilgStart,12)&gt;0,$E5351=INDEX(DarlTilgStart,12)),$J5351*($H5351+INDEX(DarlTilgung,12))/100/12,IF(AND($G5351=0,$G5350=1),MAX($K5350,$J5351*($H5351+1)/100/12),$K5350))))</f>
      </c>
      <c r="L5351" s="43">
        <f>IF($I5351=0,0,$J5351*$H5351/100/12)</f>
      </c>
      <c r="M5351" s="43">
        <f>IF($I5351=0,0,IF(OR(INDEX(DarlOhneTilgung,12)=1,AND(INDEX(DarlTilgStart,12)&gt;0,$E5351&lt;INDEX(DarlTilgStart,12))),0,MIN(MAX(0,$K5351-$L5351),$J5351)))</f>
      </c>
      <c r="N5351" s="43">
        <f>IF($I5351=0,0,MIN(SUMIFS(SondBetrag,SondDarl,12,SondDatum,"&gt;="&amp;$E5351,SondDatum,"&lt;="&amp;EOMONTH($E5351,0)),$J5351-$M5351))</f>
      </c>
      <c r="O5351" s="43">
        <f>IF($I5351=0,0,INDEX(DarlErsatzRate,12))</f>
      </c>
      <c r="P5351" s="43">
        <f>IF($I5351=0,0,$Q5350*INDEX(DarlErsatzZins,12))</f>
      </c>
      <c r="Q5351" s="43">
        <f>IF($I5351=0,0,$Q5350+$P5351+$O5351)</f>
      </c>
      <c r="R5351" s="43">
        <f>IF($I5351=0,0,$J5351-$M5351-$N5351)</f>
      </c>
    </row>
    <row r="5352">
      <c r="A5352"/>
      <c r="B5352">
        <v>12</v>
      </c>
      <c r="C5352" s="43">
        <f>INDEX(DarlObj,12)</f>
      </c>
      <c r="D5352">
        <v>69</v>
      </c>
      <c r="E5352" s="51">
        <f>IF(INDEX(DarlBelegt,12)=0,0,EOMONTH(INDEX(DarlAuszahlung,12),68)+1)</f>
      </c>
      <c r="F5352" s="43">
        <f>IF($E5352=0,0,YEAR($E5352))</f>
      </c>
      <c r="G5352" s="43">
        <f>IF(INDEX(DarlBindung,12)="",1,IF($E5352&lt;=INDEX(DarlBindung,12),1,0))</f>
      </c>
      <c r="H5352" s="43">
        <f>IF($G5352=1,INDEX(DarlSollzins,12),INDEX(DarlAnschluss,12))</f>
      </c>
      <c r="I5352" s="43">
        <f>IF(INDEX(DarlBelegt,12)=0,0,IF(INDEX(DarlOhneTilgung,12)=1,IF(INDEX(DarlBindung,12)="",1,$G5352),IF($J5352&gt;0.005,1,0)))</f>
      </c>
      <c r="J5352" s="43">
        <f>IF($I5351=0,0,$R5351)</f>
      </c>
      <c r="K5352" s="43">
        <f>IF($I5352=0,0,IF(INDEX(DarlOhneTilgung,12)=1,0,IF(AND(INDEX(DarlTilgStart,12)&gt;0,$E5352=INDEX(DarlTilgStart,12)),$J5352*($H5352+INDEX(DarlTilgung,12))/100/12,IF(AND($G5352=0,$G5351=1),MAX($K5351,$J5352*($H5352+1)/100/12),$K5351))))</f>
      </c>
      <c r="L5352" s="43">
        <f>IF($I5352=0,0,$J5352*$H5352/100/12)</f>
      </c>
      <c r="M5352" s="43">
        <f>IF($I5352=0,0,IF(OR(INDEX(DarlOhneTilgung,12)=1,AND(INDEX(DarlTilgStart,12)&gt;0,$E5352&lt;INDEX(DarlTilgStart,12))),0,MIN(MAX(0,$K5352-$L5352),$J5352)))</f>
      </c>
      <c r="N5352" s="43">
        <f>IF($I5352=0,0,MIN(SUMIFS(SondBetrag,SondDarl,12,SondDatum,"&gt;="&amp;$E5352,SondDatum,"&lt;="&amp;EOMONTH($E5352,0)),$J5352-$M5352))</f>
      </c>
      <c r="O5352" s="43">
        <f>IF($I5352=0,0,INDEX(DarlErsatzRate,12))</f>
      </c>
      <c r="P5352" s="43">
        <f>IF($I5352=0,0,$Q5351*INDEX(DarlErsatzZins,12))</f>
      </c>
      <c r="Q5352" s="43">
        <f>IF($I5352=0,0,$Q5351+$P5352+$O5352)</f>
      </c>
      <c r="R5352" s="43">
        <f>IF($I5352=0,0,$J5352-$M5352-$N5352)</f>
      </c>
    </row>
    <row r="5353">
      <c r="A5353"/>
      <c r="B5353">
        <v>12</v>
      </c>
      <c r="C5353" s="43">
        <f>INDEX(DarlObj,12)</f>
      </c>
      <c r="D5353">
        <v>70</v>
      </c>
      <c r="E5353" s="51">
        <f>IF(INDEX(DarlBelegt,12)=0,0,EOMONTH(INDEX(DarlAuszahlung,12),69)+1)</f>
      </c>
      <c r="F5353" s="43">
        <f>IF($E5353=0,0,YEAR($E5353))</f>
      </c>
      <c r="G5353" s="43">
        <f>IF(INDEX(DarlBindung,12)="",1,IF($E5353&lt;=INDEX(DarlBindung,12),1,0))</f>
      </c>
      <c r="H5353" s="43">
        <f>IF($G5353=1,INDEX(DarlSollzins,12),INDEX(DarlAnschluss,12))</f>
      </c>
      <c r="I5353" s="43">
        <f>IF(INDEX(DarlBelegt,12)=0,0,IF(INDEX(DarlOhneTilgung,12)=1,IF(INDEX(DarlBindung,12)="",1,$G5353),IF($J5353&gt;0.005,1,0)))</f>
      </c>
      <c r="J5353" s="43">
        <f>IF($I5352=0,0,$R5352)</f>
      </c>
      <c r="K5353" s="43">
        <f>IF($I5353=0,0,IF(INDEX(DarlOhneTilgung,12)=1,0,IF(AND(INDEX(DarlTilgStart,12)&gt;0,$E5353=INDEX(DarlTilgStart,12)),$J5353*($H5353+INDEX(DarlTilgung,12))/100/12,IF(AND($G5353=0,$G5352=1),MAX($K5352,$J5353*($H5353+1)/100/12),$K5352))))</f>
      </c>
      <c r="L5353" s="43">
        <f>IF($I5353=0,0,$J5353*$H5353/100/12)</f>
      </c>
      <c r="M5353" s="43">
        <f>IF($I5353=0,0,IF(OR(INDEX(DarlOhneTilgung,12)=1,AND(INDEX(DarlTilgStart,12)&gt;0,$E5353&lt;INDEX(DarlTilgStart,12))),0,MIN(MAX(0,$K5353-$L5353),$J5353)))</f>
      </c>
      <c r="N5353" s="43">
        <f>IF($I5353=0,0,MIN(SUMIFS(SondBetrag,SondDarl,12,SondDatum,"&gt;="&amp;$E5353,SondDatum,"&lt;="&amp;EOMONTH($E5353,0)),$J5353-$M5353))</f>
      </c>
      <c r="O5353" s="43">
        <f>IF($I5353=0,0,INDEX(DarlErsatzRate,12))</f>
      </c>
      <c r="P5353" s="43">
        <f>IF($I5353=0,0,$Q5352*INDEX(DarlErsatzZins,12))</f>
      </c>
      <c r="Q5353" s="43">
        <f>IF($I5353=0,0,$Q5352+$P5353+$O5353)</f>
      </c>
      <c r="R5353" s="43">
        <f>IF($I5353=0,0,$J5353-$M5353-$N5353)</f>
      </c>
    </row>
    <row r="5354">
      <c r="A5354"/>
      <c r="B5354">
        <v>12</v>
      </c>
      <c r="C5354" s="43">
        <f>INDEX(DarlObj,12)</f>
      </c>
      <c r="D5354">
        <v>71</v>
      </c>
      <c r="E5354" s="51">
        <f>IF(INDEX(DarlBelegt,12)=0,0,EOMONTH(INDEX(DarlAuszahlung,12),70)+1)</f>
      </c>
      <c r="F5354" s="43">
        <f>IF($E5354=0,0,YEAR($E5354))</f>
      </c>
      <c r="G5354" s="43">
        <f>IF(INDEX(DarlBindung,12)="",1,IF($E5354&lt;=INDEX(DarlBindung,12),1,0))</f>
      </c>
      <c r="H5354" s="43">
        <f>IF($G5354=1,INDEX(DarlSollzins,12),INDEX(DarlAnschluss,12))</f>
      </c>
      <c r="I5354" s="43">
        <f>IF(INDEX(DarlBelegt,12)=0,0,IF(INDEX(DarlOhneTilgung,12)=1,IF(INDEX(DarlBindung,12)="",1,$G5354),IF($J5354&gt;0.005,1,0)))</f>
      </c>
      <c r="J5354" s="43">
        <f>IF($I5353=0,0,$R5353)</f>
      </c>
      <c r="K5354" s="43">
        <f>IF($I5354=0,0,IF(INDEX(DarlOhneTilgung,12)=1,0,IF(AND(INDEX(DarlTilgStart,12)&gt;0,$E5354=INDEX(DarlTilgStart,12)),$J5354*($H5354+INDEX(DarlTilgung,12))/100/12,IF(AND($G5354=0,$G5353=1),MAX($K5353,$J5354*($H5354+1)/100/12),$K5353))))</f>
      </c>
      <c r="L5354" s="43">
        <f>IF($I5354=0,0,$J5354*$H5354/100/12)</f>
      </c>
      <c r="M5354" s="43">
        <f>IF($I5354=0,0,IF(OR(INDEX(DarlOhneTilgung,12)=1,AND(INDEX(DarlTilgStart,12)&gt;0,$E5354&lt;INDEX(DarlTilgStart,12))),0,MIN(MAX(0,$K5354-$L5354),$J5354)))</f>
      </c>
      <c r="N5354" s="43">
        <f>IF($I5354=0,0,MIN(SUMIFS(SondBetrag,SondDarl,12,SondDatum,"&gt;="&amp;$E5354,SondDatum,"&lt;="&amp;EOMONTH($E5354,0)),$J5354-$M5354))</f>
      </c>
      <c r="O5354" s="43">
        <f>IF($I5354=0,0,INDEX(DarlErsatzRate,12))</f>
      </c>
      <c r="P5354" s="43">
        <f>IF($I5354=0,0,$Q5353*INDEX(DarlErsatzZins,12))</f>
      </c>
      <c r="Q5354" s="43">
        <f>IF($I5354=0,0,$Q5353+$P5354+$O5354)</f>
      </c>
      <c r="R5354" s="43">
        <f>IF($I5354=0,0,$J5354-$M5354-$N5354)</f>
      </c>
    </row>
    <row r="5355">
      <c r="A5355"/>
      <c r="B5355">
        <v>12</v>
      </c>
      <c r="C5355" s="43">
        <f>INDEX(DarlObj,12)</f>
      </c>
      <c r="D5355">
        <v>72</v>
      </c>
      <c r="E5355" s="51">
        <f>IF(INDEX(DarlBelegt,12)=0,0,EOMONTH(INDEX(DarlAuszahlung,12),71)+1)</f>
      </c>
      <c r="F5355" s="43">
        <f>IF($E5355=0,0,YEAR($E5355))</f>
      </c>
      <c r="G5355" s="43">
        <f>IF(INDEX(DarlBindung,12)="",1,IF($E5355&lt;=INDEX(DarlBindung,12),1,0))</f>
      </c>
      <c r="H5355" s="43">
        <f>IF($G5355=1,INDEX(DarlSollzins,12),INDEX(DarlAnschluss,12))</f>
      </c>
      <c r="I5355" s="43">
        <f>IF(INDEX(DarlBelegt,12)=0,0,IF(INDEX(DarlOhneTilgung,12)=1,IF(INDEX(DarlBindung,12)="",1,$G5355),IF($J5355&gt;0.005,1,0)))</f>
      </c>
      <c r="J5355" s="43">
        <f>IF($I5354=0,0,$R5354)</f>
      </c>
      <c r="K5355" s="43">
        <f>IF($I5355=0,0,IF(INDEX(DarlOhneTilgung,12)=1,0,IF(AND(INDEX(DarlTilgStart,12)&gt;0,$E5355=INDEX(DarlTilgStart,12)),$J5355*($H5355+INDEX(DarlTilgung,12))/100/12,IF(AND($G5355=0,$G5354=1),MAX($K5354,$J5355*($H5355+1)/100/12),$K5354))))</f>
      </c>
      <c r="L5355" s="43">
        <f>IF($I5355=0,0,$J5355*$H5355/100/12)</f>
      </c>
      <c r="M5355" s="43">
        <f>IF($I5355=0,0,IF(OR(INDEX(DarlOhneTilgung,12)=1,AND(INDEX(DarlTilgStart,12)&gt;0,$E5355&lt;INDEX(DarlTilgStart,12))),0,MIN(MAX(0,$K5355-$L5355),$J5355)))</f>
      </c>
      <c r="N5355" s="43">
        <f>IF($I5355=0,0,MIN(SUMIFS(SondBetrag,SondDarl,12,SondDatum,"&gt;="&amp;$E5355,SondDatum,"&lt;="&amp;EOMONTH($E5355,0)),$J5355-$M5355))</f>
      </c>
      <c r="O5355" s="43">
        <f>IF($I5355=0,0,INDEX(DarlErsatzRate,12))</f>
      </c>
      <c r="P5355" s="43">
        <f>IF($I5355=0,0,$Q5354*INDEX(DarlErsatzZins,12))</f>
      </c>
      <c r="Q5355" s="43">
        <f>IF($I5355=0,0,$Q5354+$P5355+$O5355)</f>
      </c>
      <c r="R5355" s="43">
        <f>IF($I5355=0,0,$J5355-$M5355-$N5355)</f>
      </c>
    </row>
    <row r="5356">
      <c r="A5356"/>
      <c r="B5356">
        <v>12</v>
      </c>
      <c r="C5356" s="43">
        <f>INDEX(DarlObj,12)</f>
      </c>
      <c r="D5356">
        <v>73</v>
      </c>
      <c r="E5356" s="51">
        <f>IF(INDEX(DarlBelegt,12)=0,0,EOMONTH(INDEX(DarlAuszahlung,12),72)+1)</f>
      </c>
      <c r="F5356" s="43">
        <f>IF($E5356=0,0,YEAR($E5356))</f>
      </c>
      <c r="G5356" s="43">
        <f>IF(INDEX(DarlBindung,12)="",1,IF($E5356&lt;=INDEX(DarlBindung,12),1,0))</f>
      </c>
      <c r="H5356" s="43">
        <f>IF($G5356=1,INDEX(DarlSollzins,12),INDEX(DarlAnschluss,12))</f>
      </c>
      <c r="I5356" s="43">
        <f>IF(INDEX(DarlBelegt,12)=0,0,IF(INDEX(DarlOhneTilgung,12)=1,IF(INDEX(DarlBindung,12)="",1,$G5356),IF($J5356&gt;0.005,1,0)))</f>
      </c>
      <c r="J5356" s="43">
        <f>IF($I5355=0,0,$R5355)</f>
      </c>
      <c r="K5356" s="43">
        <f>IF($I5356=0,0,IF(INDEX(DarlOhneTilgung,12)=1,0,IF(AND(INDEX(DarlTilgStart,12)&gt;0,$E5356=INDEX(DarlTilgStart,12)),$J5356*($H5356+INDEX(DarlTilgung,12))/100/12,IF(AND($G5356=0,$G5355=1),MAX($K5355,$J5356*($H5356+1)/100/12),$K5355))))</f>
      </c>
      <c r="L5356" s="43">
        <f>IF($I5356=0,0,$J5356*$H5356/100/12)</f>
      </c>
      <c r="M5356" s="43">
        <f>IF($I5356=0,0,IF(OR(INDEX(DarlOhneTilgung,12)=1,AND(INDEX(DarlTilgStart,12)&gt;0,$E5356&lt;INDEX(DarlTilgStart,12))),0,MIN(MAX(0,$K5356-$L5356),$J5356)))</f>
      </c>
      <c r="N5356" s="43">
        <f>IF($I5356=0,0,MIN(SUMIFS(SondBetrag,SondDarl,12,SondDatum,"&gt;="&amp;$E5356,SondDatum,"&lt;="&amp;EOMONTH($E5356,0)),$J5356-$M5356))</f>
      </c>
      <c r="O5356" s="43">
        <f>IF($I5356=0,0,INDEX(DarlErsatzRate,12))</f>
      </c>
      <c r="P5356" s="43">
        <f>IF($I5356=0,0,$Q5355*INDEX(DarlErsatzZins,12))</f>
      </c>
      <c r="Q5356" s="43">
        <f>IF($I5356=0,0,$Q5355+$P5356+$O5356)</f>
      </c>
      <c r="R5356" s="43">
        <f>IF($I5356=0,0,$J5356-$M5356-$N5356)</f>
      </c>
    </row>
    <row r="5357">
      <c r="A5357"/>
      <c r="B5357">
        <v>12</v>
      </c>
      <c r="C5357" s="43">
        <f>INDEX(DarlObj,12)</f>
      </c>
      <c r="D5357">
        <v>74</v>
      </c>
      <c r="E5357" s="51">
        <f>IF(INDEX(DarlBelegt,12)=0,0,EOMONTH(INDEX(DarlAuszahlung,12),73)+1)</f>
      </c>
      <c r="F5357" s="43">
        <f>IF($E5357=0,0,YEAR($E5357))</f>
      </c>
      <c r="G5357" s="43">
        <f>IF(INDEX(DarlBindung,12)="",1,IF($E5357&lt;=INDEX(DarlBindung,12),1,0))</f>
      </c>
      <c r="H5357" s="43">
        <f>IF($G5357=1,INDEX(DarlSollzins,12),INDEX(DarlAnschluss,12))</f>
      </c>
      <c r="I5357" s="43">
        <f>IF(INDEX(DarlBelegt,12)=0,0,IF(INDEX(DarlOhneTilgung,12)=1,IF(INDEX(DarlBindung,12)="",1,$G5357),IF($J5357&gt;0.005,1,0)))</f>
      </c>
      <c r="J5357" s="43">
        <f>IF($I5356=0,0,$R5356)</f>
      </c>
      <c r="K5357" s="43">
        <f>IF($I5357=0,0,IF(INDEX(DarlOhneTilgung,12)=1,0,IF(AND(INDEX(DarlTilgStart,12)&gt;0,$E5357=INDEX(DarlTilgStart,12)),$J5357*($H5357+INDEX(DarlTilgung,12))/100/12,IF(AND($G5357=0,$G5356=1),MAX($K5356,$J5357*($H5357+1)/100/12),$K5356))))</f>
      </c>
      <c r="L5357" s="43">
        <f>IF($I5357=0,0,$J5357*$H5357/100/12)</f>
      </c>
      <c r="M5357" s="43">
        <f>IF($I5357=0,0,IF(OR(INDEX(DarlOhneTilgung,12)=1,AND(INDEX(DarlTilgStart,12)&gt;0,$E5357&lt;INDEX(DarlTilgStart,12))),0,MIN(MAX(0,$K5357-$L5357),$J5357)))</f>
      </c>
      <c r="N5357" s="43">
        <f>IF($I5357=0,0,MIN(SUMIFS(SondBetrag,SondDarl,12,SondDatum,"&gt;="&amp;$E5357,SondDatum,"&lt;="&amp;EOMONTH($E5357,0)),$J5357-$M5357))</f>
      </c>
      <c r="O5357" s="43">
        <f>IF($I5357=0,0,INDEX(DarlErsatzRate,12))</f>
      </c>
      <c r="P5357" s="43">
        <f>IF($I5357=0,0,$Q5356*INDEX(DarlErsatzZins,12))</f>
      </c>
      <c r="Q5357" s="43">
        <f>IF($I5357=0,0,$Q5356+$P5357+$O5357)</f>
      </c>
      <c r="R5357" s="43">
        <f>IF($I5357=0,0,$J5357-$M5357-$N5357)</f>
      </c>
    </row>
    <row r="5358">
      <c r="A5358"/>
      <c r="B5358">
        <v>12</v>
      </c>
      <c r="C5358" s="43">
        <f>INDEX(DarlObj,12)</f>
      </c>
      <c r="D5358">
        <v>75</v>
      </c>
      <c r="E5358" s="51">
        <f>IF(INDEX(DarlBelegt,12)=0,0,EOMONTH(INDEX(DarlAuszahlung,12),74)+1)</f>
      </c>
      <c r="F5358" s="43">
        <f>IF($E5358=0,0,YEAR($E5358))</f>
      </c>
      <c r="G5358" s="43">
        <f>IF(INDEX(DarlBindung,12)="",1,IF($E5358&lt;=INDEX(DarlBindung,12),1,0))</f>
      </c>
      <c r="H5358" s="43">
        <f>IF($G5358=1,INDEX(DarlSollzins,12),INDEX(DarlAnschluss,12))</f>
      </c>
      <c r="I5358" s="43">
        <f>IF(INDEX(DarlBelegt,12)=0,0,IF(INDEX(DarlOhneTilgung,12)=1,IF(INDEX(DarlBindung,12)="",1,$G5358),IF($J5358&gt;0.005,1,0)))</f>
      </c>
      <c r="J5358" s="43">
        <f>IF($I5357=0,0,$R5357)</f>
      </c>
      <c r="K5358" s="43">
        <f>IF($I5358=0,0,IF(INDEX(DarlOhneTilgung,12)=1,0,IF(AND(INDEX(DarlTilgStart,12)&gt;0,$E5358=INDEX(DarlTilgStart,12)),$J5358*($H5358+INDEX(DarlTilgung,12))/100/12,IF(AND($G5358=0,$G5357=1),MAX($K5357,$J5358*($H5358+1)/100/12),$K5357))))</f>
      </c>
      <c r="L5358" s="43">
        <f>IF($I5358=0,0,$J5358*$H5358/100/12)</f>
      </c>
      <c r="M5358" s="43">
        <f>IF($I5358=0,0,IF(OR(INDEX(DarlOhneTilgung,12)=1,AND(INDEX(DarlTilgStart,12)&gt;0,$E5358&lt;INDEX(DarlTilgStart,12))),0,MIN(MAX(0,$K5358-$L5358),$J5358)))</f>
      </c>
      <c r="N5358" s="43">
        <f>IF($I5358=0,0,MIN(SUMIFS(SondBetrag,SondDarl,12,SondDatum,"&gt;="&amp;$E5358,SondDatum,"&lt;="&amp;EOMONTH($E5358,0)),$J5358-$M5358))</f>
      </c>
      <c r="O5358" s="43">
        <f>IF($I5358=0,0,INDEX(DarlErsatzRate,12))</f>
      </c>
      <c r="P5358" s="43">
        <f>IF($I5358=0,0,$Q5357*INDEX(DarlErsatzZins,12))</f>
      </c>
      <c r="Q5358" s="43">
        <f>IF($I5358=0,0,$Q5357+$P5358+$O5358)</f>
      </c>
      <c r="R5358" s="43">
        <f>IF($I5358=0,0,$J5358-$M5358-$N5358)</f>
      </c>
    </row>
    <row r="5359">
      <c r="A5359"/>
      <c r="B5359">
        <v>12</v>
      </c>
      <c r="C5359" s="43">
        <f>INDEX(DarlObj,12)</f>
      </c>
      <c r="D5359">
        <v>76</v>
      </c>
      <c r="E5359" s="51">
        <f>IF(INDEX(DarlBelegt,12)=0,0,EOMONTH(INDEX(DarlAuszahlung,12),75)+1)</f>
      </c>
      <c r="F5359" s="43">
        <f>IF($E5359=0,0,YEAR($E5359))</f>
      </c>
      <c r="G5359" s="43">
        <f>IF(INDEX(DarlBindung,12)="",1,IF($E5359&lt;=INDEX(DarlBindung,12),1,0))</f>
      </c>
      <c r="H5359" s="43">
        <f>IF($G5359=1,INDEX(DarlSollzins,12),INDEX(DarlAnschluss,12))</f>
      </c>
      <c r="I5359" s="43">
        <f>IF(INDEX(DarlBelegt,12)=0,0,IF(INDEX(DarlOhneTilgung,12)=1,IF(INDEX(DarlBindung,12)="",1,$G5359),IF($J5359&gt;0.005,1,0)))</f>
      </c>
      <c r="J5359" s="43">
        <f>IF($I5358=0,0,$R5358)</f>
      </c>
      <c r="K5359" s="43">
        <f>IF($I5359=0,0,IF(INDEX(DarlOhneTilgung,12)=1,0,IF(AND(INDEX(DarlTilgStart,12)&gt;0,$E5359=INDEX(DarlTilgStart,12)),$J5359*($H5359+INDEX(DarlTilgung,12))/100/12,IF(AND($G5359=0,$G5358=1),MAX($K5358,$J5359*($H5359+1)/100/12),$K5358))))</f>
      </c>
      <c r="L5359" s="43">
        <f>IF($I5359=0,0,$J5359*$H5359/100/12)</f>
      </c>
      <c r="M5359" s="43">
        <f>IF($I5359=0,0,IF(OR(INDEX(DarlOhneTilgung,12)=1,AND(INDEX(DarlTilgStart,12)&gt;0,$E5359&lt;INDEX(DarlTilgStart,12))),0,MIN(MAX(0,$K5359-$L5359),$J5359)))</f>
      </c>
      <c r="N5359" s="43">
        <f>IF($I5359=0,0,MIN(SUMIFS(SondBetrag,SondDarl,12,SondDatum,"&gt;="&amp;$E5359,SondDatum,"&lt;="&amp;EOMONTH($E5359,0)),$J5359-$M5359))</f>
      </c>
      <c r="O5359" s="43">
        <f>IF($I5359=0,0,INDEX(DarlErsatzRate,12))</f>
      </c>
      <c r="P5359" s="43">
        <f>IF($I5359=0,0,$Q5358*INDEX(DarlErsatzZins,12))</f>
      </c>
      <c r="Q5359" s="43">
        <f>IF($I5359=0,0,$Q5358+$P5359+$O5359)</f>
      </c>
      <c r="R5359" s="43">
        <f>IF($I5359=0,0,$J5359-$M5359-$N5359)</f>
      </c>
    </row>
    <row r="5360">
      <c r="A5360"/>
      <c r="B5360">
        <v>12</v>
      </c>
      <c r="C5360" s="43">
        <f>INDEX(DarlObj,12)</f>
      </c>
      <c r="D5360">
        <v>77</v>
      </c>
      <c r="E5360" s="51">
        <f>IF(INDEX(DarlBelegt,12)=0,0,EOMONTH(INDEX(DarlAuszahlung,12),76)+1)</f>
      </c>
      <c r="F5360" s="43">
        <f>IF($E5360=0,0,YEAR($E5360))</f>
      </c>
      <c r="G5360" s="43">
        <f>IF(INDEX(DarlBindung,12)="",1,IF($E5360&lt;=INDEX(DarlBindung,12),1,0))</f>
      </c>
      <c r="H5360" s="43">
        <f>IF($G5360=1,INDEX(DarlSollzins,12),INDEX(DarlAnschluss,12))</f>
      </c>
      <c r="I5360" s="43">
        <f>IF(INDEX(DarlBelegt,12)=0,0,IF(INDEX(DarlOhneTilgung,12)=1,IF(INDEX(DarlBindung,12)="",1,$G5360),IF($J5360&gt;0.005,1,0)))</f>
      </c>
      <c r="J5360" s="43">
        <f>IF($I5359=0,0,$R5359)</f>
      </c>
      <c r="K5360" s="43">
        <f>IF($I5360=0,0,IF(INDEX(DarlOhneTilgung,12)=1,0,IF(AND(INDEX(DarlTilgStart,12)&gt;0,$E5360=INDEX(DarlTilgStart,12)),$J5360*($H5360+INDEX(DarlTilgung,12))/100/12,IF(AND($G5360=0,$G5359=1),MAX($K5359,$J5360*($H5360+1)/100/12),$K5359))))</f>
      </c>
      <c r="L5360" s="43">
        <f>IF($I5360=0,0,$J5360*$H5360/100/12)</f>
      </c>
      <c r="M5360" s="43">
        <f>IF($I5360=0,0,IF(OR(INDEX(DarlOhneTilgung,12)=1,AND(INDEX(DarlTilgStart,12)&gt;0,$E5360&lt;INDEX(DarlTilgStart,12))),0,MIN(MAX(0,$K5360-$L5360),$J5360)))</f>
      </c>
      <c r="N5360" s="43">
        <f>IF($I5360=0,0,MIN(SUMIFS(SondBetrag,SondDarl,12,SondDatum,"&gt;="&amp;$E5360,SondDatum,"&lt;="&amp;EOMONTH($E5360,0)),$J5360-$M5360))</f>
      </c>
      <c r="O5360" s="43">
        <f>IF($I5360=0,0,INDEX(DarlErsatzRate,12))</f>
      </c>
      <c r="P5360" s="43">
        <f>IF($I5360=0,0,$Q5359*INDEX(DarlErsatzZins,12))</f>
      </c>
      <c r="Q5360" s="43">
        <f>IF($I5360=0,0,$Q5359+$P5360+$O5360)</f>
      </c>
      <c r="R5360" s="43">
        <f>IF($I5360=0,0,$J5360-$M5360-$N5360)</f>
      </c>
    </row>
    <row r="5361">
      <c r="A5361"/>
      <c r="B5361">
        <v>12</v>
      </c>
      <c r="C5361" s="43">
        <f>INDEX(DarlObj,12)</f>
      </c>
      <c r="D5361">
        <v>78</v>
      </c>
      <c r="E5361" s="51">
        <f>IF(INDEX(DarlBelegt,12)=0,0,EOMONTH(INDEX(DarlAuszahlung,12),77)+1)</f>
      </c>
      <c r="F5361" s="43">
        <f>IF($E5361=0,0,YEAR($E5361))</f>
      </c>
      <c r="G5361" s="43">
        <f>IF(INDEX(DarlBindung,12)="",1,IF($E5361&lt;=INDEX(DarlBindung,12),1,0))</f>
      </c>
      <c r="H5361" s="43">
        <f>IF($G5361=1,INDEX(DarlSollzins,12),INDEX(DarlAnschluss,12))</f>
      </c>
      <c r="I5361" s="43">
        <f>IF(INDEX(DarlBelegt,12)=0,0,IF(INDEX(DarlOhneTilgung,12)=1,IF(INDEX(DarlBindung,12)="",1,$G5361),IF($J5361&gt;0.005,1,0)))</f>
      </c>
      <c r="J5361" s="43">
        <f>IF($I5360=0,0,$R5360)</f>
      </c>
      <c r="K5361" s="43">
        <f>IF($I5361=0,0,IF(INDEX(DarlOhneTilgung,12)=1,0,IF(AND(INDEX(DarlTilgStart,12)&gt;0,$E5361=INDEX(DarlTilgStart,12)),$J5361*($H5361+INDEX(DarlTilgung,12))/100/12,IF(AND($G5361=0,$G5360=1),MAX($K5360,$J5361*($H5361+1)/100/12),$K5360))))</f>
      </c>
      <c r="L5361" s="43">
        <f>IF($I5361=0,0,$J5361*$H5361/100/12)</f>
      </c>
      <c r="M5361" s="43">
        <f>IF($I5361=0,0,IF(OR(INDEX(DarlOhneTilgung,12)=1,AND(INDEX(DarlTilgStart,12)&gt;0,$E5361&lt;INDEX(DarlTilgStart,12))),0,MIN(MAX(0,$K5361-$L5361),$J5361)))</f>
      </c>
      <c r="N5361" s="43">
        <f>IF($I5361=0,0,MIN(SUMIFS(SondBetrag,SondDarl,12,SondDatum,"&gt;="&amp;$E5361,SondDatum,"&lt;="&amp;EOMONTH($E5361,0)),$J5361-$M5361))</f>
      </c>
      <c r="O5361" s="43">
        <f>IF($I5361=0,0,INDEX(DarlErsatzRate,12))</f>
      </c>
      <c r="P5361" s="43">
        <f>IF($I5361=0,0,$Q5360*INDEX(DarlErsatzZins,12))</f>
      </c>
      <c r="Q5361" s="43">
        <f>IF($I5361=0,0,$Q5360+$P5361+$O5361)</f>
      </c>
      <c r="R5361" s="43">
        <f>IF($I5361=0,0,$J5361-$M5361-$N5361)</f>
      </c>
    </row>
    <row r="5362">
      <c r="A5362"/>
      <c r="B5362">
        <v>12</v>
      </c>
      <c r="C5362" s="43">
        <f>INDEX(DarlObj,12)</f>
      </c>
      <c r="D5362">
        <v>79</v>
      </c>
      <c r="E5362" s="51">
        <f>IF(INDEX(DarlBelegt,12)=0,0,EOMONTH(INDEX(DarlAuszahlung,12),78)+1)</f>
      </c>
      <c r="F5362" s="43">
        <f>IF($E5362=0,0,YEAR($E5362))</f>
      </c>
      <c r="G5362" s="43">
        <f>IF(INDEX(DarlBindung,12)="",1,IF($E5362&lt;=INDEX(DarlBindung,12),1,0))</f>
      </c>
      <c r="H5362" s="43">
        <f>IF($G5362=1,INDEX(DarlSollzins,12),INDEX(DarlAnschluss,12))</f>
      </c>
      <c r="I5362" s="43">
        <f>IF(INDEX(DarlBelegt,12)=0,0,IF(INDEX(DarlOhneTilgung,12)=1,IF(INDEX(DarlBindung,12)="",1,$G5362),IF($J5362&gt;0.005,1,0)))</f>
      </c>
      <c r="J5362" s="43">
        <f>IF($I5361=0,0,$R5361)</f>
      </c>
      <c r="K5362" s="43">
        <f>IF($I5362=0,0,IF(INDEX(DarlOhneTilgung,12)=1,0,IF(AND(INDEX(DarlTilgStart,12)&gt;0,$E5362=INDEX(DarlTilgStart,12)),$J5362*($H5362+INDEX(DarlTilgung,12))/100/12,IF(AND($G5362=0,$G5361=1),MAX($K5361,$J5362*($H5362+1)/100/12),$K5361))))</f>
      </c>
      <c r="L5362" s="43">
        <f>IF($I5362=0,0,$J5362*$H5362/100/12)</f>
      </c>
      <c r="M5362" s="43">
        <f>IF($I5362=0,0,IF(OR(INDEX(DarlOhneTilgung,12)=1,AND(INDEX(DarlTilgStart,12)&gt;0,$E5362&lt;INDEX(DarlTilgStart,12))),0,MIN(MAX(0,$K5362-$L5362),$J5362)))</f>
      </c>
      <c r="N5362" s="43">
        <f>IF($I5362=0,0,MIN(SUMIFS(SondBetrag,SondDarl,12,SondDatum,"&gt;="&amp;$E5362,SondDatum,"&lt;="&amp;EOMONTH($E5362,0)),$J5362-$M5362))</f>
      </c>
      <c r="O5362" s="43">
        <f>IF($I5362=0,0,INDEX(DarlErsatzRate,12))</f>
      </c>
      <c r="P5362" s="43">
        <f>IF($I5362=0,0,$Q5361*INDEX(DarlErsatzZins,12))</f>
      </c>
      <c r="Q5362" s="43">
        <f>IF($I5362=0,0,$Q5361+$P5362+$O5362)</f>
      </c>
      <c r="R5362" s="43">
        <f>IF($I5362=0,0,$J5362-$M5362-$N5362)</f>
      </c>
    </row>
    <row r="5363">
      <c r="A5363"/>
      <c r="B5363">
        <v>12</v>
      </c>
      <c r="C5363" s="43">
        <f>INDEX(DarlObj,12)</f>
      </c>
      <c r="D5363">
        <v>80</v>
      </c>
      <c r="E5363" s="51">
        <f>IF(INDEX(DarlBelegt,12)=0,0,EOMONTH(INDEX(DarlAuszahlung,12),79)+1)</f>
      </c>
      <c r="F5363" s="43">
        <f>IF($E5363=0,0,YEAR($E5363))</f>
      </c>
      <c r="G5363" s="43">
        <f>IF(INDEX(DarlBindung,12)="",1,IF($E5363&lt;=INDEX(DarlBindung,12),1,0))</f>
      </c>
      <c r="H5363" s="43">
        <f>IF($G5363=1,INDEX(DarlSollzins,12),INDEX(DarlAnschluss,12))</f>
      </c>
      <c r="I5363" s="43">
        <f>IF(INDEX(DarlBelegt,12)=0,0,IF(INDEX(DarlOhneTilgung,12)=1,IF(INDEX(DarlBindung,12)="",1,$G5363),IF($J5363&gt;0.005,1,0)))</f>
      </c>
      <c r="J5363" s="43">
        <f>IF($I5362=0,0,$R5362)</f>
      </c>
      <c r="K5363" s="43">
        <f>IF($I5363=0,0,IF(INDEX(DarlOhneTilgung,12)=1,0,IF(AND(INDEX(DarlTilgStart,12)&gt;0,$E5363=INDEX(DarlTilgStart,12)),$J5363*($H5363+INDEX(DarlTilgung,12))/100/12,IF(AND($G5363=0,$G5362=1),MAX($K5362,$J5363*($H5363+1)/100/12),$K5362))))</f>
      </c>
      <c r="L5363" s="43">
        <f>IF($I5363=0,0,$J5363*$H5363/100/12)</f>
      </c>
      <c r="M5363" s="43">
        <f>IF($I5363=0,0,IF(OR(INDEX(DarlOhneTilgung,12)=1,AND(INDEX(DarlTilgStart,12)&gt;0,$E5363&lt;INDEX(DarlTilgStart,12))),0,MIN(MAX(0,$K5363-$L5363),$J5363)))</f>
      </c>
      <c r="N5363" s="43">
        <f>IF($I5363=0,0,MIN(SUMIFS(SondBetrag,SondDarl,12,SondDatum,"&gt;="&amp;$E5363,SondDatum,"&lt;="&amp;EOMONTH($E5363,0)),$J5363-$M5363))</f>
      </c>
      <c r="O5363" s="43">
        <f>IF($I5363=0,0,INDEX(DarlErsatzRate,12))</f>
      </c>
      <c r="P5363" s="43">
        <f>IF($I5363=0,0,$Q5362*INDEX(DarlErsatzZins,12))</f>
      </c>
      <c r="Q5363" s="43">
        <f>IF($I5363=0,0,$Q5362+$P5363+$O5363)</f>
      </c>
      <c r="R5363" s="43">
        <f>IF($I5363=0,0,$J5363-$M5363-$N5363)</f>
      </c>
    </row>
    <row r="5364">
      <c r="A5364"/>
      <c r="B5364">
        <v>12</v>
      </c>
      <c r="C5364" s="43">
        <f>INDEX(DarlObj,12)</f>
      </c>
      <c r="D5364">
        <v>81</v>
      </c>
      <c r="E5364" s="51">
        <f>IF(INDEX(DarlBelegt,12)=0,0,EOMONTH(INDEX(DarlAuszahlung,12),80)+1)</f>
      </c>
      <c r="F5364" s="43">
        <f>IF($E5364=0,0,YEAR($E5364))</f>
      </c>
      <c r="G5364" s="43">
        <f>IF(INDEX(DarlBindung,12)="",1,IF($E5364&lt;=INDEX(DarlBindung,12),1,0))</f>
      </c>
      <c r="H5364" s="43">
        <f>IF($G5364=1,INDEX(DarlSollzins,12),INDEX(DarlAnschluss,12))</f>
      </c>
      <c r="I5364" s="43">
        <f>IF(INDEX(DarlBelegt,12)=0,0,IF(INDEX(DarlOhneTilgung,12)=1,IF(INDEX(DarlBindung,12)="",1,$G5364),IF($J5364&gt;0.005,1,0)))</f>
      </c>
      <c r="J5364" s="43">
        <f>IF($I5363=0,0,$R5363)</f>
      </c>
      <c r="K5364" s="43">
        <f>IF($I5364=0,0,IF(INDEX(DarlOhneTilgung,12)=1,0,IF(AND(INDEX(DarlTilgStart,12)&gt;0,$E5364=INDEX(DarlTilgStart,12)),$J5364*($H5364+INDEX(DarlTilgung,12))/100/12,IF(AND($G5364=0,$G5363=1),MAX($K5363,$J5364*($H5364+1)/100/12),$K5363))))</f>
      </c>
      <c r="L5364" s="43">
        <f>IF($I5364=0,0,$J5364*$H5364/100/12)</f>
      </c>
      <c r="M5364" s="43">
        <f>IF($I5364=0,0,IF(OR(INDEX(DarlOhneTilgung,12)=1,AND(INDEX(DarlTilgStart,12)&gt;0,$E5364&lt;INDEX(DarlTilgStart,12))),0,MIN(MAX(0,$K5364-$L5364),$J5364)))</f>
      </c>
      <c r="N5364" s="43">
        <f>IF($I5364=0,0,MIN(SUMIFS(SondBetrag,SondDarl,12,SondDatum,"&gt;="&amp;$E5364,SondDatum,"&lt;="&amp;EOMONTH($E5364,0)),$J5364-$M5364))</f>
      </c>
      <c r="O5364" s="43">
        <f>IF($I5364=0,0,INDEX(DarlErsatzRate,12))</f>
      </c>
      <c r="P5364" s="43">
        <f>IF($I5364=0,0,$Q5363*INDEX(DarlErsatzZins,12))</f>
      </c>
      <c r="Q5364" s="43">
        <f>IF($I5364=0,0,$Q5363+$P5364+$O5364)</f>
      </c>
      <c r="R5364" s="43">
        <f>IF($I5364=0,0,$J5364-$M5364-$N5364)</f>
      </c>
    </row>
    <row r="5365">
      <c r="A5365"/>
      <c r="B5365">
        <v>12</v>
      </c>
      <c r="C5365" s="43">
        <f>INDEX(DarlObj,12)</f>
      </c>
      <c r="D5365">
        <v>82</v>
      </c>
      <c r="E5365" s="51">
        <f>IF(INDEX(DarlBelegt,12)=0,0,EOMONTH(INDEX(DarlAuszahlung,12),81)+1)</f>
      </c>
      <c r="F5365" s="43">
        <f>IF($E5365=0,0,YEAR($E5365))</f>
      </c>
      <c r="G5365" s="43">
        <f>IF(INDEX(DarlBindung,12)="",1,IF($E5365&lt;=INDEX(DarlBindung,12),1,0))</f>
      </c>
      <c r="H5365" s="43">
        <f>IF($G5365=1,INDEX(DarlSollzins,12),INDEX(DarlAnschluss,12))</f>
      </c>
      <c r="I5365" s="43">
        <f>IF(INDEX(DarlBelegt,12)=0,0,IF(INDEX(DarlOhneTilgung,12)=1,IF(INDEX(DarlBindung,12)="",1,$G5365),IF($J5365&gt;0.005,1,0)))</f>
      </c>
      <c r="J5365" s="43">
        <f>IF($I5364=0,0,$R5364)</f>
      </c>
      <c r="K5365" s="43">
        <f>IF($I5365=0,0,IF(INDEX(DarlOhneTilgung,12)=1,0,IF(AND(INDEX(DarlTilgStart,12)&gt;0,$E5365=INDEX(DarlTilgStart,12)),$J5365*($H5365+INDEX(DarlTilgung,12))/100/12,IF(AND($G5365=0,$G5364=1),MAX($K5364,$J5365*($H5365+1)/100/12),$K5364))))</f>
      </c>
      <c r="L5365" s="43">
        <f>IF($I5365=0,0,$J5365*$H5365/100/12)</f>
      </c>
      <c r="M5365" s="43">
        <f>IF($I5365=0,0,IF(OR(INDEX(DarlOhneTilgung,12)=1,AND(INDEX(DarlTilgStart,12)&gt;0,$E5365&lt;INDEX(DarlTilgStart,12))),0,MIN(MAX(0,$K5365-$L5365),$J5365)))</f>
      </c>
      <c r="N5365" s="43">
        <f>IF($I5365=0,0,MIN(SUMIFS(SondBetrag,SondDarl,12,SondDatum,"&gt;="&amp;$E5365,SondDatum,"&lt;="&amp;EOMONTH($E5365,0)),$J5365-$M5365))</f>
      </c>
      <c r="O5365" s="43">
        <f>IF($I5365=0,0,INDEX(DarlErsatzRate,12))</f>
      </c>
      <c r="P5365" s="43">
        <f>IF($I5365=0,0,$Q5364*INDEX(DarlErsatzZins,12))</f>
      </c>
      <c r="Q5365" s="43">
        <f>IF($I5365=0,0,$Q5364+$P5365+$O5365)</f>
      </c>
      <c r="R5365" s="43">
        <f>IF($I5365=0,0,$J5365-$M5365-$N5365)</f>
      </c>
    </row>
    <row r="5366">
      <c r="A5366"/>
      <c r="B5366">
        <v>12</v>
      </c>
      <c r="C5366" s="43">
        <f>INDEX(DarlObj,12)</f>
      </c>
      <c r="D5366">
        <v>83</v>
      </c>
      <c r="E5366" s="51">
        <f>IF(INDEX(DarlBelegt,12)=0,0,EOMONTH(INDEX(DarlAuszahlung,12),82)+1)</f>
      </c>
      <c r="F5366" s="43">
        <f>IF($E5366=0,0,YEAR($E5366))</f>
      </c>
      <c r="G5366" s="43">
        <f>IF(INDEX(DarlBindung,12)="",1,IF($E5366&lt;=INDEX(DarlBindung,12),1,0))</f>
      </c>
      <c r="H5366" s="43">
        <f>IF($G5366=1,INDEX(DarlSollzins,12),INDEX(DarlAnschluss,12))</f>
      </c>
      <c r="I5366" s="43">
        <f>IF(INDEX(DarlBelegt,12)=0,0,IF(INDEX(DarlOhneTilgung,12)=1,IF(INDEX(DarlBindung,12)="",1,$G5366),IF($J5366&gt;0.005,1,0)))</f>
      </c>
      <c r="J5366" s="43">
        <f>IF($I5365=0,0,$R5365)</f>
      </c>
      <c r="K5366" s="43">
        <f>IF($I5366=0,0,IF(INDEX(DarlOhneTilgung,12)=1,0,IF(AND(INDEX(DarlTilgStart,12)&gt;0,$E5366=INDEX(DarlTilgStart,12)),$J5366*($H5366+INDEX(DarlTilgung,12))/100/12,IF(AND($G5366=0,$G5365=1),MAX($K5365,$J5366*($H5366+1)/100/12),$K5365))))</f>
      </c>
      <c r="L5366" s="43">
        <f>IF($I5366=0,0,$J5366*$H5366/100/12)</f>
      </c>
      <c r="M5366" s="43">
        <f>IF($I5366=0,0,IF(OR(INDEX(DarlOhneTilgung,12)=1,AND(INDEX(DarlTilgStart,12)&gt;0,$E5366&lt;INDEX(DarlTilgStart,12))),0,MIN(MAX(0,$K5366-$L5366),$J5366)))</f>
      </c>
      <c r="N5366" s="43">
        <f>IF($I5366=0,0,MIN(SUMIFS(SondBetrag,SondDarl,12,SondDatum,"&gt;="&amp;$E5366,SondDatum,"&lt;="&amp;EOMONTH($E5366,0)),$J5366-$M5366))</f>
      </c>
      <c r="O5366" s="43">
        <f>IF($I5366=0,0,INDEX(DarlErsatzRate,12))</f>
      </c>
      <c r="P5366" s="43">
        <f>IF($I5366=0,0,$Q5365*INDEX(DarlErsatzZins,12))</f>
      </c>
      <c r="Q5366" s="43">
        <f>IF($I5366=0,0,$Q5365+$P5366+$O5366)</f>
      </c>
      <c r="R5366" s="43">
        <f>IF($I5366=0,0,$J5366-$M5366-$N5366)</f>
      </c>
    </row>
    <row r="5367">
      <c r="A5367"/>
      <c r="B5367">
        <v>12</v>
      </c>
      <c r="C5367" s="43">
        <f>INDEX(DarlObj,12)</f>
      </c>
      <c r="D5367">
        <v>84</v>
      </c>
      <c r="E5367" s="51">
        <f>IF(INDEX(DarlBelegt,12)=0,0,EOMONTH(INDEX(DarlAuszahlung,12),83)+1)</f>
      </c>
      <c r="F5367" s="43">
        <f>IF($E5367=0,0,YEAR($E5367))</f>
      </c>
      <c r="G5367" s="43">
        <f>IF(INDEX(DarlBindung,12)="",1,IF($E5367&lt;=INDEX(DarlBindung,12),1,0))</f>
      </c>
      <c r="H5367" s="43">
        <f>IF($G5367=1,INDEX(DarlSollzins,12),INDEX(DarlAnschluss,12))</f>
      </c>
      <c r="I5367" s="43">
        <f>IF(INDEX(DarlBelegt,12)=0,0,IF(INDEX(DarlOhneTilgung,12)=1,IF(INDEX(DarlBindung,12)="",1,$G5367),IF($J5367&gt;0.005,1,0)))</f>
      </c>
      <c r="J5367" s="43">
        <f>IF($I5366=0,0,$R5366)</f>
      </c>
      <c r="K5367" s="43">
        <f>IF($I5367=0,0,IF(INDEX(DarlOhneTilgung,12)=1,0,IF(AND(INDEX(DarlTilgStart,12)&gt;0,$E5367=INDEX(DarlTilgStart,12)),$J5367*($H5367+INDEX(DarlTilgung,12))/100/12,IF(AND($G5367=0,$G5366=1),MAX($K5366,$J5367*($H5367+1)/100/12),$K5366))))</f>
      </c>
      <c r="L5367" s="43">
        <f>IF($I5367=0,0,$J5367*$H5367/100/12)</f>
      </c>
      <c r="M5367" s="43">
        <f>IF($I5367=0,0,IF(OR(INDEX(DarlOhneTilgung,12)=1,AND(INDEX(DarlTilgStart,12)&gt;0,$E5367&lt;INDEX(DarlTilgStart,12))),0,MIN(MAX(0,$K5367-$L5367),$J5367)))</f>
      </c>
      <c r="N5367" s="43">
        <f>IF($I5367=0,0,MIN(SUMIFS(SondBetrag,SondDarl,12,SondDatum,"&gt;="&amp;$E5367,SondDatum,"&lt;="&amp;EOMONTH($E5367,0)),$J5367-$M5367))</f>
      </c>
      <c r="O5367" s="43">
        <f>IF($I5367=0,0,INDEX(DarlErsatzRate,12))</f>
      </c>
      <c r="P5367" s="43">
        <f>IF($I5367=0,0,$Q5366*INDEX(DarlErsatzZins,12))</f>
      </c>
      <c r="Q5367" s="43">
        <f>IF($I5367=0,0,$Q5366+$P5367+$O5367)</f>
      </c>
      <c r="R5367" s="43">
        <f>IF($I5367=0,0,$J5367-$M5367-$N5367)</f>
      </c>
    </row>
    <row r="5368">
      <c r="A5368"/>
      <c r="B5368">
        <v>12</v>
      </c>
      <c r="C5368" s="43">
        <f>INDEX(DarlObj,12)</f>
      </c>
      <c r="D5368">
        <v>85</v>
      </c>
      <c r="E5368" s="51">
        <f>IF(INDEX(DarlBelegt,12)=0,0,EOMONTH(INDEX(DarlAuszahlung,12),84)+1)</f>
      </c>
      <c r="F5368" s="43">
        <f>IF($E5368=0,0,YEAR($E5368))</f>
      </c>
      <c r="G5368" s="43">
        <f>IF(INDEX(DarlBindung,12)="",1,IF($E5368&lt;=INDEX(DarlBindung,12),1,0))</f>
      </c>
      <c r="H5368" s="43">
        <f>IF($G5368=1,INDEX(DarlSollzins,12),INDEX(DarlAnschluss,12))</f>
      </c>
      <c r="I5368" s="43">
        <f>IF(INDEX(DarlBelegt,12)=0,0,IF(INDEX(DarlOhneTilgung,12)=1,IF(INDEX(DarlBindung,12)="",1,$G5368),IF($J5368&gt;0.005,1,0)))</f>
      </c>
      <c r="J5368" s="43">
        <f>IF($I5367=0,0,$R5367)</f>
      </c>
      <c r="K5368" s="43">
        <f>IF($I5368=0,0,IF(INDEX(DarlOhneTilgung,12)=1,0,IF(AND(INDEX(DarlTilgStart,12)&gt;0,$E5368=INDEX(DarlTilgStart,12)),$J5368*($H5368+INDEX(DarlTilgung,12))/100/12,IF(AND($G5368=0,$G5367=1),MAX($K5367,$J5368*($H5368+1)/100/12),$K5367))))</f>
      </c>
      <c r="L5368" s="43">
        <f>IF($I5368=0,0,$J5368*$H5368/100/12)</f>
      </c>
      <c r="M5368" s="43">
        <f>IF($I5368=0,0,IF(OR(INDEX(DarlOhneTilgung,12)=1,AND(INDEX(DarlTilgStart,12)&gt;0,$E5368&lt;INDEX(DarlTilgStart,12))),0,MIN(MAX(0,$K5368-$L5368),$J5368)))</f>
      </c>
      <c r="N5368" s="43">
        <f>IF($I5368=0,0,MIN(SUMIFS(SondBetrag,SondDarl,12,SondDatum,"&gt;="&amp;$E5368,SondDatum,"&lt;="&amp;EOMONTH($E5368,0)),$J5368-$M5368))</f>
      </c>
      <c r="O5368" s="43">
        <f>IF($I5368=0,0,INDEX(DarlErsatzRate,12))</f>
      </c>
      <c r="P5368" s="43">
        <f>IF($I5368=0,0,$Q5367*INDEX(DarlErsatzZins,12))</f>
      </c>
      <c r="Q5368" s="43">
        <f>IF($I5368=0,0,$Q5367+$P5368+$O5368)</f>
      </c>
      <c r="R5368" s="43">
        <f>IF($I5368=0,0,$J5368-$M5368-$N5368)</f>
      </c>
    </row>
    <row r="5369">
      <c r="A5369"/>
      <c r="B5369">
        <v>12</v>
      </c>
      <c r="C5369" s="43">
        <f>INDEX(DarlObj,12)</f>
      </c>
      <c r="D5369">
        <v>86</v>
      </c>
      <c r="E5369" s="51">
        <f>IF(INDEX(DarlBelegt,12)=0,0,EOMONTH(INDEX(DarlAuszahlung,12),85)+1)</f>
      </c>
      <c r="F5369" s="43">
        <f>IF($E5369=0,0,YEAR($E5369))</f>
      </c>
      <c r="G5369" s="43">
        <f>IF(INDEX(DarlBindung,12)="",1,IF($E5369&lt;=INDEX(DarlBindung,12),1,0))</f>
      </c>
      <c r="H5369" s="43">
        <f>IF($G5369=1,INDEX(DarlSollzins,12),INDEX(DarlAnschluss,12))</f>
      </c>
      <c r="I5369" s="43">
        <f>IF(INDEX(DarlBelegt,12)=0,0,IF(INDEX(DarlOhneTilgung,12)=1,IF(INDEX(DarlBindung,12)="",1,$G5369),IF($J5369&gt;0.005,1,0)))</f>
      </c>
      <c r="J5369" s="43">
        <f>IF($I5368=0,0,$R5368)</f>
      </c>
      <c r="K5369" s="43">
        <f>IF($I5369=0,0,IF(INDEX(DarlOhneTilgung,12)=1,0,IF(AND(INDEX(DarlTilgStart,12)&gt;0,$E5369=INDEX(DarlTilgStart,12)),$J5369*($H5369+INDEX(DarlTilgung,12))/100/12,IF(AND($G5369=0,$G5368=1),MAX($K5368,$J5369*($H5369+1)/100/12),$K5368))))</f>
      </c>
      <c r="L5369" s="43">
        <f>IF($I5369=0,0,$J5369*$H5369/100/12)</f>
      </c>
      <c r="M5369" s="43">
        <f>IF($I5369=0,0,IF(OR(INDEX(DarlOhneTilgung,12)=1,AND(INDEX(DarlTilgStart,12)&gt;0,$E5369&lt;INDEX(DarlTilgStart,12))),0,MIN(MAX(0,$K5369-$L5369),$J5369)))</f>
      </c>
      <c r="N5369" s="43">
        <f>IF($I5369=0,0,MIN(SUMIFS(SondBetrag,SondDarl,12,SondDatum,"&gt;="&amp;$E5369,SondDatum,"&lt;="&amp;EOMONTH($E5369,0)),$J5369-$M5369))</f>
      </c>
      <c r="O5369" s="43">
        <f>IF($I5369=0,0,INDEX(DarlErsatzRate,12))</f>
      </c>
      <c r="P5369" s="43">
        <f>IF($I5369=0,0,$Q5368*INDEX(DarlErsatzZins,12))</f>
      </c>
      <c r="Q5369" s="43">
        <f>IF($I5369=0,0,$Q5368+$P5369+$O5369)</f>
      </c>
      <c r="R5369" s="43">
        <f>IF($I5369=0,0,$J5369-$M5369-$N5369)</f>
      </c>
    </row>
    <row r="5370">
      <c r="A5370"/>
      <c r="B5370">
        <v>12</v>
      </c>
      <c r="C5370" s="43">
        <f>INDEX(DarlObj,12)</f>
      </c>
      <c r="D5370">
        <v>87</v>
      </c>
      <c r="E5370" s="51">
        <f>IF(INDEX(DarlBelegt,12)=0,0,EOMONTH(INDEX(DarlAuszahlung,12),86)+1)</f>
      </c>
      <c r="F5370" s="43">
        <f>IF($E5370=0,0,YEAR($E5370))</f>
      </c>
      <c r="G5370" s="43">
        <f>IF(INDEX(DarlBindung,12)="",1,IF($E5370&lt;=INDEX(DarlBindung,12),1,0))</f>
      </c>
      <c r="H5370" s="43">
        <f>IF($G5370=1,INDEX(DarlSollzins,12),INDEX(DarlAnschluss,12))</f>
      </c>
      <c r="I5370" s="43">
        <f>IF(INDEX(DarlBelegt,12)=0,0,IF(INDEX(DarlOhneTilgung,12)=1,IF(INDEX(DarlBindung,12)="",1,$G5370),IF($J5370&gt;0.005,1,0)))</f>
      </c>
      <c r="J5370" s="43">
        <f>IF($I5369=0,0,$R5369)</f>
      </c>
      <c r="K5370" s="43">
        <f>IF($I5370=0,0,IF(INDEX(DarlOhneTilgung,12)=1,0,IF(AND(INDEX(DarlTilgStart,12)&gt;0,$E5370=INDEX(DarlTilgStart,12)),$J5370*($H5370+INDEX(DarlTilgung,12))/100/12,IF(AND($G5370=0,$G5369=1),MAX($K5369,$J5370*($H5370+1)/100/12),$K5369))))</f>
      </c>
      <c r="L5370" s="43">
        <f>IF($I5370=0,0,$J5370*$H5370/100/12)</f>
      </c>
      <c r="M5370" s="43">
        <f>IF($I5370=0,0,IF(OR(INDEX(DarlOhneTilgung,12)=1,AND(INDEX(DarlTilgStart,12)&gt;0,$E5370&lt;INDEX(DarlTilgStart,12))),0,MIN(MAX(0,$K5370-$L5370),$J5370)))</f>
      </c>
      <c r="N5370" s="43">
        <f>IF($I5370=0,0,MIN(SUMIFS(SondBetrag,SondDarl,12,SondDatum,"&gt;="&amp;$E5370,SondDatum,"&lt;="&amp;EOMONTH($E5370,0)),$J5370-$M5370))</f>
      </c>
      <c r="O5370" s="43">
        <f>IF($I5370=0,0,INDEX(DarlErsatzRate,12))</f>
      </c>
      <c r="P5370" s="43">
        <f>IF($I5370=0,0,$Q5369*INDEX(DarlErsatzZins,12))</f>
      </c>
      <c r="Q5370" s="43">
        <f>IF($I5370=0,0,$Q5369+$P5370+$O5370)</f>
      </c>
      <c r="R5370" s="43">
        <f>IF($I5370=0,0,$J5370-$M5370-$N5370)</f>
      </c>
    </row>
    <row r="5371">
      <c r="A5371"/>
      <c r="B5371">
        <v>12</v>
      </c>
      <c r="C5371" s="43">
        <f>INDEX(DarlObj,12)</f>
      </c>
      <c r="D5371">
        <v>88</v>
      </c>
      <c r="E5371" s="51">
        <f>IF(INDEX(DarlBelegt,12)=0,0,EOMONTH(INDEX(DarlAuszahlung,12),87)+1)</f>
      </c>
      <c r="F5371" s="43">
        <f>IF($E5371=0,0,YEAR($E5371))</f>
      </c>
      <c r="G5371" s="43">
        <f>IF(INDEX(DarlBindung,12)="",1,IF($E5371&lt;=INDEX(DarlBindung,12),1,0))</f>
      </c>
      <c r="H5371" s="43">
        <f>IF($G5371=1,INDEX(DarlSollzins,12),INDEX(DarlAnschluss,12))</f>
      </c>
      <c r="I5371" s="43">
        <f>IF(INDEX(DarlBelegt,12)=0,0,IF(INDEX(DarlOhneTilgung,12)=1,IF(INDEX(DarlBindung,12)="",1,$G5371),IF($J5371&gt;0.005,1,0)))</f>
      </c>
      <c r="J5371" s="43">
        <f>IF($I5370=0,0,$R5370)</f>
      </c>
      <c r="K5371" s="43">
        <f>IF($I5371=0,0,IF(INDEX(DarlOhneTilgung,12)=1,0,IF(AND(INDEX(DarlTilgStart,12)&gt;0,$E5371=INDEX(DarlTilgStart,12)),$J5371*($H5371+INDEX(DarlTilgung,12))/100/12,IF(AND($G5371=0,$G5370=1),MAX($K5370,$J5371*($H5371+1)/100/12),$K5370))))</f>
      </c>
      <c r="L5371" s="43">
        <f>IF($I5371=0,0,$J5371*$H5371/100/12)</f>
      </c>
      <c r="M5371" s="43">
        <f>IF($I5371=0,0,IF(OR(INDEX(DarlOhneTilgung,12)=1,AND(INDEX(DarlTilgStart,12)&gt;0,$E5371&lt;INDEX(DarlTilgStart,12))),0,MIN(MAX(0,$K5371-$L5371),$J5371)))</f>
      </c>
      <c r="N5371" s="43">
        <f>IF($I5371=0,0,MIN(SUMIFS(SondBetrag,SondDarl,12,SondDatum,"&gt;="&amp;$E5371,SondDatum,"&lt;="&amp;EOMONTH($E5371,0)),$J5371-$M5371))</f>
      </c>
      <c r="O5371" s="43">
        <f>IF($I5371=0,0,INDEX(DarlErsatzRate,12))</f>
      </c>
      <c r="P5371" s="43">
        <f>IF($I5371=0,0,$Q5370*INDEX(DarlErsatzZins,12))</f>
      </c>
      <c r="Q5371" s="43">
        <f>IF($I5371=0,0,$Q5370+$P5371+$O5371)</f>
      </c>
      <c r="R5371" s="43">
        <f>IF($I5371=0,0,$J5371-$M5371-$N5371)</f>
      </c>
    </row>
    <row r="5372">
      <c r="A5372"/>
      <c r="B5372">
        <v>12</v>
      </c>
      <c r="C5372" s="43">
        <f>INDEX(DarlObj,12)</f>
      </c>
      <c r="D5372">
        <v>89</v>
      </c>
      <c r="E5372" s="51">
        <f>IF(INDEX(DarlBelegt,12)=0,0,EOMONTH(INDEX(DarlAuszahlung,12),88)+1)</f>
      </c>
      <c r="F5372" s="43">
        <f>IF($E5372=0,0,YEAR($E5372))</f>
      </c>
      <c r="G5372" s="43">
        <f>IF(INDEX(DarlBindung,12)="",1,IF($E5372&lt;=INDEX(DarlBindung,12),1,0))</f>
      </c>
      <c r="H5372" s="43">
        <f>IF($G5372=1,INDEX(DarlSollzins,12),INDEX(DarlAnschluss,12))</f>
      </c>
      <c r="I5372" s="43">
        <f>IF(INDEX(DarlBelegt,12)=0,0,IF(INDEX(DarlOhneTilgung,12)=1,IF(INDEX(DarlBindung,12)="",1,$G5372),IF($J5372&gt;0.005,1,0)))</f>
      </c>
      <c r="J5372" s="43">
        <f>IF($I5371=0,0,$R5371)</f>
      </c>
      <c r="K5372" s="43">
        <f>IF($I5372=0,0,IF(INDEX(DarlOhneTilgung,12)=1,0,IF(AND(INDEX(DarlTilgStart,12)&gt;0,$E5372=INDEX(DarlTilgStart,12)),$J5372*($H5372+INDEX(DarlTilgung,12))/100/12,IF(AND($G5372=0,$G5371=1),MAX($K5371,$J5372*($H5372+1)/100/12),$K5371))))</f>
      </c>
      <c r="L5372" s="43">
        <f>IF($I5372=0,0,$J5372*$H5372/100/12)</f>
      </c>
      <c r="M5372" s="43">
        <f>IF($I5372=0,0,IF(OR(INDEX(DarlOhneTilgung,12)=1,AND(INDEX(DarlTilgStart,12)&gt;0,$E5372&lt;INDEX(DarlTilgStart,12))),0,MIN(MAX(0,$K5372-$L5372),$J5372)))</f>
      </c>
      <c r="N5372" s="43">
        <f>IF($I5372=0,0,MIN(SUMIFS(SondBetrag,SondDarl,12,SondDatum,"&gt;="&amp;$E5372,SondDatum,"&lt;="&amp;EOMONTH($E5372,0)),$J5372-$M5372))</f>
      </c>
      <c r="O5372" s="43">
        <f>IF($I5372=0,0,INDEX(DarlErsatzRate,12))</f>
      </c>
      <c r="P5372" s="43">
        <f>IF($I5372=0,0,$Q5371*INDEX(DarlErsatzZins,12))</f>
      </c>
      <c r="Q5372" s="43">
        <f>IF($I5372=0,0,$Q5371+$P5372+$O5372)</f>
      </c>
      <c r="R5372" s="43">
        <f>IF($I5372=0,0,$J5372-$M5372-$N5372)</f>
      </c>
    </row>
    <row r="5373">
      <c r="A5373"/>
      <c r="B5373">
        <v>12</v>
      </c>
      <c r="C5373" s="43">
        <f>INDEX(DarlObj,12)</f>
      </c>
      <c r="D5373">
        <v>90</v>
      </c>
      <c r="E5373" s="51">
        <f>IF(INDEX(DarlBelegt,12)=0,0,EOMONTH(INDEX(DarlAuszahlung,12),89)+1)</f>
      </c>
      <c r="F5373" s="43">
        <f>IF($E5373=0,0,YEAR($E5373))</f>
      </c>
      <c r="G5373" s="43">
        <f>IF(INDEX(DarlBindung,12)="",1,IF($E5373&lt;=INDEX(DarlBindung,12),1,0))</f>
      </c>
      <c r="H5373" s="43">
        <f>IF($G5373=1,INDEX(DarlSollzins,12),INDEX(DarlAnschluss,12))</f>
      </c>
      <c r="I5373" s="43">
        <f>IF(INDEX(DarlBelegt,12)=0,0,IF(INDEX(DarlOhneTilgung,12)=1,IF(INDEX(DarlBindung,12)="",1,$G5373),IF($J5373&gt;0.005,1,0)))</f>
      </c>
      <c r="J5373" s="43">
        <f>IF($I5372=0,0,$R5372)</f>
      </c>
      <c r="K5373" s="43">
        <f>IF($I5373=0,0,IF(INDEX(DarlOhneTilgung,12)=1,0,IF(AND(INDEX(DarlTilgStart,12)&gt;0,$E5373=INDEX(DarlTilgStart,12)),$J5373*($H5373+INDEX(DarlTilgung,12))/100/12,IF(AND($G5373=0,$G5372=1),MAX($K5372,$J5373*($H5373+1)/100/12),$K5372))))</f>
      </c>
      <c r="L5373" s="43">
        <f>IF($I5373=0,0,$J5373*$H5373/100/12)</f>
      </c>
      <c r="M5373" s="43">
        <f>IF($I5373=0,0,IF(OR(INDEX(DarlOhneTilgung,12)=1,AND(INDEX(DarlTilgStart,12)&gt;0,$E5373&lt;INDEX(DarlTilgStart,12))),0,MIN(MAX(0,$K5373-$L5373),$J5373)))</f>
      </c>
      <c r="N5373" s="43">
        <f>IF($I5373=0,0,MIN(SUMIFS(SondBetrag,SondDarl,12,SondDatum,"&gt;="&amp;$E5373,SondDatum,"&lt;="&amp;EOMONTH($E5373,0)),$J5373-$M5373))</f>
      </c>
      <c r="O5373" s="43">
        <f>IF($I5373=0,0,INDEX(DarlErsatzRate,12))</f>
      </c>
      <c r="P5373" s="43">
        <f>IF($I5373=0,0,$Q5372*INDEX(DarlErsatzZins,12))</f>
      </c>
      <c r="Q5373" s="43">
        <f>IF($I5373=0,0,$Q5372+$P5373+$O5373)</f>
      </c>
      <c r="R5373" s="43">
        <f>IF($I5373=0,0,$J5373-$M5373-$N5373)</f>
      </c>
    </row>
    <row r="5374">
      <c r="A5374"/>
      <c r="B5374">
        <v>12</v>
      </c>
      <c r="C5374" s="43">
        <f>INDEX(DarlObj,12)</f>
      </c>
      <c r="D5374">
        <v>91</v>
      </c>
      <c r="E5374" s="51">
        <f>IF(INDEX(DarlBelegt,12)=0,0,EOMONTH(INDEX(DarlAuszahlung,12),90)+1)</f>
      </c>
      <c r="F5374" s="43">
        <f>IF($E5374=0,0,YEAR($E5374))</f>
      </c>
      <c r="G5374" s="43">
        <f>IF(INDEX(DarlBindung,12)="",1,IF($E5374&lt;=INDEX(DarlBindung,12),1,0))</f>
      </c>
      <c r="H5374" s="43">
        <f>IF($G5374=1,INDEX(DarlSollzins,12),INDEX(DarlAnschluss,12))</f>
      </c>
      <c r="I5374" s="43">
        <f>IF(INDEX(DarlBelegt,12)=0,0,IF(INDEX(DarlOhneTilgung,12)=1,IF(INDEX(DarlBindung,12)="",1,$G5374),IF($J5374&gt;0.005,1,0)))</f>
      </c>
      <c r="J5374" s="43">
        <f>IF($I5373=0,0,$R5373)</f>
      </c>
      <c r="K5374" s="43">
        <f>IF($I5374=0,0,IF(INDEX(DarlOhneTilgung,12)=1,0,IF(AND(INDEX(DarlTilgStart,12)&gt;0,$E5374=INDEX(DarlTilgStart,12)),$J5374*($H5374+INDEX(DarlTilgung,12))/100/12,IF(AND($G5374=0,$G5373=1),MAX($K5373,$J5374*($H5374+1)/100/12),$K5373))))</f>
      </c>
      <c r="L5374" s="43">
        <f>IF($I5374=0,0,$J5374*$H5374/100/12)</f>
      </c>
      <c r="M5374" s="43">
        <f>IF($I5374=0,0,IF(OR(INDEX(DarlOhneTilgung,12)=1,AND(INDEX(DarlTilgStart,12)&gt;0,$E5374&lt;INDEX(DarlTilgStart,12))),0,MIN(MAX(0,$K5374-$L5374),$J5374)))</f>
      </c>
      <c r="N5374" s="43">
        <f>IF($I5374=0,0,MIN(SUMIFS(SondBetrag,SondDarl,12,SondDatum,"&gt;="&amp;$E5374,SondDatum,"&lt;="&amp;EOMONTH($E5374,0)),$J5374-$M5374))</f>
      </c>
      <c r="O5374" s="43">
        <f>IF($I5374=0,0,INDEX(DarlErsatzRate,12))</f>
      </c>
      <c r="P5374" s="43">
        <f>IF($I5374=0,0,$Q5373*INDEX(DarlErsatzZins,12))</f>
      </c>
      <c r="Q5374" s="43">
        <f>IF($I5374=0,0,$Q5373+$P5374+$O5374)</f>
      </c>
      <c r="R5374" s="43">
        <f>IF($I5374=0,0,$J5374-$M5374-$N5374)</f>
      </c>
    </row>
    <row r="5375">
      <c r="A5375"/>
      <c r="B5375">
        <v>12</v>
      </c>
      <c r="C5375" s="43">
        <f>INDEX(DarlObj,12)</f>
      </c>
      <c r="D5375">
        <v>92</v>
      </c>
      <c r="E5375" s="51">
        <f>IF(INDEX(DarlBelegt,12)=0,0,EOMONTH(INDEX(DarlAuszahlung,12),91)+1)</f>
      </c>
      <c r="F5375" s="43">
        <f>IF($E5375=0,0,YEAR($E5375))</f>
      </c>
      <c r="G5375" s="43">
        <f>IF(INDEX(DarlBindung,12)="",1,IF($E5375&lt;=INDEX(DarlBindung,12),1,0))</f>
      </c>
      <c r="H5375" s="43">
        <f>IF($G5375=1,INDEX(DarlSollzins,12),INDEX(DarlAnschluss,12))</f>
      </c>
      <c r="I5375" s="43">
        <f>IF(INDEX(DarlBelegt,12)=0,0,IF(INDEX(DarlOhneTilgung,12)=1,IF(INDEX(DarlBindung,12)="",1,$G5375),IF($J5375&gt;0.005,1,0)))</f>
      </c>
      <c r="J5375" s="43">
        <f>IF($I5374=0,0,$R5374)</f>
      </c>
      <c r="K5375" s="43">
        <f>IF($I5375=0,0,IF(INDEX(DarlOhneTilgung,12)=1,0,IF(AND(INDEX(DarlTilgStart,12)&gt;0,$E5375=INDEX(DarlTilgStart,12)),$J5375*($H5375+INDEX(DarlTilgung,12))/100/12,IF(AND($G5375=0,$G5374=1),MAX($K5374,$J5375*($H5375+1)/100/12),$K5374))))</f>
      </c>
      <c r="L5375" s="43">
        <f>IF($I5375=0,0,$J5375*$H5375/100/12)</f>
      </c>
      <c r="M5375" s="43">
        <f>IF($I5375=0,0,IF(OR(INDEX(DarlOhneTilgung,12)=1,AND(INDEX(DarlTilgStart,12)&gt;0,$E5375&lt;INDEX(DarlTilgStart,12))),0,MIN(MAX(0,$K5375-$L5375),$J5375)))</f>
      </c>
      <c r="N5375" s="43">
        <f>IF($I5375=0,0,MIN(SUMIFS(SondBetrag,SondDarl,12,SondDatum,"&gt;="&amp;$E5375,SondDatum,"&lt;="&amp;EOMONTH($E5375,0)),$J5375-$M5375))</f>
      </c>
      <c r="O5375" s="43">
        <f>IF($I5375=0,0,INDEX(DarlErsatzRate,12))</f>
      </c>
      <c r="P5375" s="43">
        <f>IF($I5375=0,0,$Q5374*INDEX(DarlErsatzZins,12))</f>
      </c>
      <c r="Q5375" s="43">
        <f>IF($I5375=0,0,$Q5374+$P5375+$O5375)</f>
      </c>
      <c r="R5375" s="43">
        <f>IF($I5375=0,0,$J5375-$M5375-$N5375)</f>
      </c>
    </row>
    <row r="5376">
      <c r="A5376"/>
      <c r="B5376">
        <v>12</v>
      </c>
      <c r="C5376" s="43">
        <f>INDEX(DarlObj,12)</f>
      </c>
      <c r="D5376">
        <v>93</v>
      </c>
      <c r="E5376" s="51">
        <f>IF(INDEX(DarlBelegt,12)=0,0,EOMONTH(INDEX(DarlAuszahlung,12),92)+1)</f>
      </c>
      <c r="F5376" s="43">
        <f>IF($E5376=0,0,YEAR($E5376))</f>
      </c>
      <c r="G5376" s="43">
        <f>IF(INDEX(DarlBindung,12)="",1,IF($E5376&lt;=INDEX(DarlBindung,12),1,0))</f>
      </c>
      <c r="H5376" s="43">
        <f>IF($G5376=1,INDEX(DarlSollzins,12),INDEX(DarlAnschluss,12))</f>
      </c>
      <c r="I5376" s="43">
        <f>IF(INDEX(DarlBelegt,12)=0,0,IF(INDEX(DarlOhneTilgung,12)=1,IF(INDEX(DarlBindung,12)="",1,$G5376),IF($J5376&gt;0.005,1,0)))</f>
      </c>
      <c r="J5376" s="43">
        <f>IF($I5375=0,0,$R5375)</f>
      </c>
      <c r="K5376" s="43">
        <f>IF($I5376=0,0,IF(INDEX(DarlOhneTilgung,12)=1,0,IF(AND(INDEX(DarlTilgStart,12)&gt;0,$E5376=INDEX(DarlTilgStart,12)),$J5376*($H5376+INDEX(DarlTilgung,12))/100/12,IF(AND($G5376=0,$G5375=1),MAX($K5375,$J5376*($H5376+1)/100/12),$K5375))))</f>
      </c>
      <c r="L5376" s="43">
        <f>IF($I5376=0,0,$J5376*$H5376/100/12)</f>
      </c>
      <c r="M5376" s="43">
        <f>IF($I5376=0,0,IF(OR(INDEX(DarlOhneTilgung,12)=1,AND(INDEX(DarlTilgStart,12)&gt;0,$E5376&lt;INDEX(DarlTilgStart,12))),0,MIN(MAX(0,$K5376-$L5376),$J5376)))</f>
      </c>
      <c r="N5376" s="43">
        <f>IF($I5376=0,0,MIN(SUMIFS(SondBetrag,SondDarl,12,SondDatum,"&gt;="&amp;$E5376,SondDatum,"&lt;="&amp;EOMONTH($E5376,0)),$J5376-$M5376))</f>
      </c>
      <c r="O5376" s="43">
        <f>IF($I5376=0,0,INDEX(DarlErsatzRate,12))</f>
      </c>
      <c r="P5376" s="43">
        <f>IF($I5376=0,0,$Q5375*INDEX(DarlErsatzZins,12))</f>
      </c>
      <c r="Q5376" s="43">
        <f>IF($I5376=0,0,$Q5375+$P5376+$O5376)</f>
      </c>
      <c r="R5376" s="43">
        <f>IF($I5376=0,0,$J5376-$M5376-$N5376)</f>
      </c>
    </row>
    <row r="5377">
      <c r="A5377"/>
      <c r="B5377">
        <v>12</v>
      </c>
      <c r="C5377" s="43">
        <f>INDEX(DarlObj,12)</f>
      </c>
      <c r="D5377">
        <v>94</v>
      </c>
      <c r="E5377" s="51">
        <f>IF(INDEX(DarlBelegt,12)=0,0,EOMONTH(INDEX(DarlAuszahlung,12),93)+1)</f>
      </c>
      <c r="F5377" s="43">
        <f>IF($E5377=0,0,YEAR($E5377))</f>
      </c>
      <c r="G5377" s="43">
        <f>IF(INDEX(DarlBindung,12)="",1,IF($E5377&lt;=INDEX(DarlBindung,12),1,0))</f>
      </c>
      <c r="H5377" s="43">
        <f>IF($G5377=1,INDEX(DarlSollzins,12),INDEX(DarlAnschluss,12))</f>
      </c>
      <c r="I5377" s="43">
        <f>IF(INDEX(DarlBelegt,12)=0,0,IF(INDEX(DarlOhneTilgung,12)=1,IF(INDEX(DarlBindung,12)="",1,$G5377),IF($J5377&gt;0.005,1,0)))</f>
      </c>
      <c r="J5377" s="43">
        <f>IF($I5376=0,0,$R5376)</f>
      </c>
      <c r="K5377" s="43">
        <f>IF($I5377=0,0,IF(INDEX(DarlOhneTilgung,12)=1,0,IF(AND(INDEX(DarlTilgStart,12)&gt;0,$E5377=INDEX(DarlTilgStart,12)),$J5377*($H5377+INDEX(DarlTilgung,12))/100/12,IF(AND($G5377=0,$G5376=1),MAX($K5376,$J5377*($H5377+1)/100/12),$K5376))))</f>
      </c>
      <c r="L5377" s="43">
        <f>IF($I5377=0,0,$J5377*$H5377/100/12)</f>
      </c>
      <c r="M5377" s="43">
        <f>IF($I5377=0,0,IF(OR(INDEX(DarlOhneTilgung,12)=1,AND(INDEX(DarlTilgStart,12)&gt;0,$E5377&lt;INDEX(DarlTilgStart,12))),0,MIN(MAX(0,$K5377-$L5377),$J5377)))</f>
      </c>
      <c r="N5377" s="43">
        <f>IF($I5377=0,0,MIN(SUMIFS(SondBetrag,SondDarl,12,SondDatum,"&gt;="&amp;$E5377,SondDatum,"&lt;="&amp;EOMONTH($E5377,0)),$J5377-$M5377))</f>
      </c>
      <c r="O5377" s="43">
        <f>IF($I5377=0,0,INDEX(DarlErsatzRate,12))</f>
      </c>
      <c r="P5377" s="43">
        <f>IF($I5377=0,0,$Q5376*INDEX(DarlErsatzZins,12))</f>
      </c>
      <c r="Q5377" s="43">
        <f>IF($I5377=0,0,$Q5376+$P5377+$O5377)</f>
      </c>
      <c r="R5377" s="43">
        <f>IF($I5377=0,0,$J5377-$M5377-$N5377)</f>
      </c>
    </row>
    <row r="5378">
      <c r="A5378"/>
      <c r="B5378">
        <v>12</v>
      </c>
      <c r="C5378" s="43">
        <f>INDEX(DarlObj,12)</f>
      </c>
      <c r="D5378">
        <v>95</v>
      </c>
      <c r="E5378" s="51">
        <f>IF(INDEX(DarlBelegt,12)=0,0,EOMONTH(INDEX(DarlAuszahlung,12),94)+1)</f>
      </c>
      <c r="F5378" s="43">
        <f>IF($E5378=0,0,YEAR($E5378))</f>
      </c>
      <c r="G5378" s="43">
        <f>IF(INDEX(DarlBindung,12)="",1,IF($E5378&lt;=INDEX(DarlBindung,12),1,0))</f>
      </c>
      <c r="H5378" s="43">
        <f>IF($G5378=1,INDEX(DarlSollzins,12),INDEX(DarlAnschluss,12))</f>
      </c>
      <c r="I5378" s="43">
        <f>IF(INDEX(DarlBelegt,12)=0,0,IF(INDEX(DarlOhneTilgung,12)=1,IF(INDEX(DarlBindung,12)="",1,$G5378),IF($J5378&gt;0.005,1,0)))</f>
      </c>
      <c r="J5378" s="43">
        <f>IF($I5377=0,0,$R5377)</f>
      </c>
      <c r="K5378" s="43">
        <f>IF($I5378=0,0,IF(INDEX(DarlOhneTilgung,12)=1,0,IF(AND(INDEX(DarlTilgStart,12)&gt;0,$E5378=INDEX(DarlTilgStart,12)),$J5378*($H5378+INDEX(DarlTilgung,12))/100/12,IF(AND($G5378=0,$G5377=1),MAX($K5377,$J5378*($H5378+1)/100/12),$K5377))))</f>
      </c>
      <c r="L5378" s="43">
        <f>IF($I5378=0,0,$J5378*$H5378/100/12)</f>
      </c>
      <c r="M5378" s="43">
        <f>IF($I5378=0,0,IF(OR(INDEX(DarlOhneTilgung,12)=1,AND(INDEX(DarlTilgStart,12)&gt;0,$E5378&lt;INDEX(DarlTilgStart,12))),0,MIN(MAX(0,$K5378-$L5378),$J5378)))</f>
      </c>
      <c r="N5378" s="43">
        <f>IF($I5378=0,0,MIN(SUMIFS(SondBetrag,SondDarl,12,SondDatum,"&gt;="&amp;$E5378,SondDatum,"&lt;="&amp;EOMONTH($E5378,0)),$J5378-$M5378))</f>
      </c>
      <c r="O5378" s="43">
        <f>IF($I5378=0,0,INDEX(DarlErsatzRate,12))</f>
      </c>
      <c r="P5378" s="43">
        <f>IF($I5378=0,0,$Q5377*INDEX(DarlErsatzZins,12))</f>
      </c>
      <c r="Q5378" s="43">
        <f>IF($I5378=0,0,$Q5377+$P5378+$O5378)</f>
      </c>
      <c r="R5378" s="43">
        <f>IF($I5378=0,0,$J5378-$M5378-$N5378)</f>
      </c>
    </row>
    <row r="5379">
      <c r="A5379"/>
      <c r="B5379">
        <v>12</v>
      </c>
      <c r="C5379" s="43">
        <f>INDEX(DarlObj,12)</f>
      </c>
      <c r="D5379">
        <v>96</v>
      </c>
      <c r="E5379" s="51">
        <f>IF(INDEX(DarlBelegt,12)=0,0,EOMONTH(INDEX(DarlAuszahlung,12),95)+1)</f>
      </c>
      <c r="F5379" s="43">
        <f>IF($E5379=0,0,YEAR($E5379))</f>
      </c>
      <c r="G5379" s="43">
        <f>IF(INDEX(DarlBindung,12)="",1,IF($E5379&lt;=INDEX(DarlBindung,12),1,0))</f>
      </c>
      <c r="H5379" s="43">
        <f>IF($G5379=1,INDEX(DarlSollzins,12),INDEX(DarlAnschluss,12))</f>
      </c>
      <c r="I5379" s="43">
        <f>IF(INDEX(DarlBelegt,12)=0,0,IF(INDEX(DarlOhneTilgung,12)=1,IF(INDEX(DarlBindung,12)="",1,$G5379),IF($J5379&gt;0.005,1,0)))</f>
      </c>
      <c r="J5379" s="43">
        <f>IF($I5378=0,0,$R5378)</f>
      </c>
      <c r="K5379" s="43">
        <f>IF($I5379=0,0,IF(INDEX(DarlOhneTilgung,12)=1,0,IF(AND(INDEX(DarlTilgStart,12)&gt;0,$E5379=INDEX(DarlTilgStart,12)),$J5379*($H5379+INDEX(DarlTilgung,12))/100/12,IF(AND($G5379=0,$G5378=1),MAX($K5378,$J5379*($H5379+1)/100/12),$K5378))))</f>
      </c>
      <c r="L5379" s="43">
        <f>IF($I5379=0,0,$J5379*$H5379/100/12)</f>
      </c>
      <c r="M5379" s="43">
        <f>IF($I5379=0,0,IF(OR(INDEX(DarlOhneTilgung,12)=1,AND(INDEX(DarlTilgStart,12)&gt;0,$E5379&lt;INDEX(DarlTilgStart,12))),0,MIN(MAX(0,$K5379-$L5379),$J5379)))</f>
      </c>
      <c r="N5379" s="43">
        <f>IF($I5379=0,0,MIN(SUMIFS(SondBetrag,SondDarl,12,SondDatum,"&gt;="&amp;$E5379,SondDatum,"&lt;="&amp;EOMONTH($E5379,0)),$J5379-$M5379))</f>
      </c>
      <c r="O5379" s="43">
        <f>IF($I5379=0,0,INDEX(DarlErsatzRate,12))</f>
      </c>
      <c r="P5379" s="43">
        <f>IF($I5379=0,0,$Q5378*INDEX(DarlErsatzZins,12))</f>
      </c>
      <c r="Q5379" s="43">
        <f>IF($I5379=0,0,$Q5378+$P5379+$O5379)</f>
      </c>
      <c r="R5379" s="43">
        <f>IF($I5379=0,0,$J5379-$M5379-$N5379)</f>
      </c>
    </row>
    <row r="5380">
      <c r="A5380"/>
      <c r="B5380">
        <v>12</v>
      </c>
      <c r="C5380" s="43">
        <f>INDEX(DarlObj,12)</f>
      </c>
      <c r="D5380">
        <v>97</v>
      </c>
      <c r="E5380" s="51">
        <f>IF(INDEX(DarlBelegt,12)=0,0,EOMONTH(INDEX(DarlAuszahlung,12),96)+1)</f>
      </c>
      <c r="F5380" s="43">
        <f>IF($E5380=0,0,YEAR($E5380))</f>
      </c>
      <c r="G5380" s="43">
        <f>IF(INDEX(DarlBindung,12)="",1,IF($E5380&lt;=INDEX(DarlBindung,12),1,0))</f>
      </c>
      <c r="H5380" s="43">
        <f>IF($G5380=1,INDEX(DarlSollzins,12),INDEX(DarlAnschluss,12))</f>
      </c>
      <c r="I5380" s="43">
        <f>IF(INDEX(DarlBelegt,12)=0,0,IF(INDEX(DarlOhneTilgung,12)=1,IF(INDEX(DarlBindung,12)="",1,$G5380),IF($J5380&gt;0.005,1,0)))</f>
      </c>
      <c r="J5380" s="43">
        <f>IF($I5379=0,0,$R5379)</f>
      </c>
      <c r="K5380" s="43">
        <f>IF($I5380=0,0,IF(INDEX(DarlOhneTilgung,12)=1,0,IF(AND(INDEX(DarlTilgStart,12)&gt;0,$E5380=INDEX(DarlTilgStart,12)),$J5380*($H5380+INDEX(DarlTilgung,12))/100/12,IF(AND($G5380=0,$G5379=1),MAX($K5379,$J5380*($H5380+1)/100/12),$K5379))))</f>
      </c>
      <c r="L5380" s="43">
        <f>IF($I5380=0,0,$J5380*$H5380/100/12)</f>
      </c>
      <c r="M5380" s="43">
        <f>IF($I5380=0,0,IF(OR(INDEX(DarlOhneTilgung,12)=1,AND(INDEX(DarlTilgStart,12)&gt;0,$E5380&lt;INDEX(DarlTilgStart,12))),0,MIN(MAX(0,$K5380-$L5380),$J5380)))</f>
      </c>
      <c r="N5380" s="43">
        <f>IF($I5380=0,0,MIN(SUMIFS(SondBetrag,SondDarl,12,SondDatum,"&gt;="&amp;$E5380,SondDatum,"&lt;="&amp;EOMONTH($E5380,0)),$J5380-$M5380))</f>
      </c>
      <c r="O5380" s="43">
        <f>IF($I5380=0,0,INDEX(DarlErsatzRate,12))</f>
      </c>
      <c r="P5380" s="43">
        <f>IF($I5380=0,0,$Q5379*INDEX(DarlErsatzZins,12))</f>
      </c>
      <c r="Q5380" s="43">
        <f>IF($I5380=0,0,$Q5379+$P5380+$O5380)</f>
      </c>
      <c r="R5380" s="43">
        <f>IF($I5380=0,0,$J5380-$M5380-$N5380)</f>
      </c>
    </row>
    <row r="5381">
      <c r="A5381"/>
      <c r="B5381">
        <v>12</v>
      </c>
      <c r="C5381" s="43">
        <f>INDEX(DarlObj,12)</f>
      </c>
      <c r="D5381">
        <v>98</v>
      </c>
      <c r="E5381" s="51">
        <f>IF(INDEX(DarlBelegt,12)=0,0,EOMONTH(INDEX(DarlAuszahlung,12),97)+1)</f>
      </c>
      <c r="F5381" s="43">
        <f>IF($E5381=0,0,YEAR($E5381))</f>
      </c>
      <c r="G5381" s="43">
        <f>IF(INDEX(DarlBindung,12)="",1,IF($E5381&lt;=INDEX(DarlBindung,12),1,0))</f>
      </c>
      <c r="H5381" s="43">
        <f>IF($G5381=1,INDEX(DarlSollzins,12),INDEX(DarlAnschluss,12))</f>
      </c>
      <c r="I5381" s="43">
        <f>IF(INDEX(DarlBelegt,12)=0,0,IF(INDEX(DarlOhneTilgung,12)=1,IF(INDEX(DarlBindung,12)="",1,$G5381),IF($J5381&gt;0.005,1,0)))</f>
      </c>
      <c r="J5381" s="43">
        <f>IF($I5380=0,0,$R5380)</f>
      </c>
      <c r="K5381" s="43">
        <f>IF($I5381=0,0,IF(INDEX(DarlOhneTilgung,12)=1,0,IF(AND(INDEX(DarlTilgStart,12)&gt;0,$E5381=INDEX(DarlTilgStart,12)),$J5381*($H5381+INDEX(DarlTilgung,12))/100/12,IF(AND($G5381=0,$G5380=1),MAX($K5380,$J5381*($H5381+1)/100/12),$K5380))))</f>
      </c>
      <c r="L5381" s="43">
        <f>IF($I5381=0,0,$J5381*$H5381/100/12)</f>
      </c>
      <c r="M5381" s="43">
        <f>IF($I5381=0,0,IF(OR(INDEX(DarlOhneTilgung,12)=1,AND(INDEX(DarlTilgStart,12)&gt;0,$E5381&lt;INDEX(DarlTilgStart,12))),0,MIN(MAX(0,$K5381-$L5381),$J5381)))</f>
      </c>
      <c r="N5381" s="43">
        <f>IF($I5381=0,0,MIN(SUMIFS(SondBetrag,SondDarl,12,SondDatum,"&gt;="&amp;$E5381,SondDatum,"&lt;="&amp;EOMONTH($E5381,0)),$J5381-$M5381))</f>
      </c>
      <c r="O5381" s="43">
        <f>IF($I5381=0,0,INDEX(DarlErsatzRate,12))</f>
      </c>
      <c r="P5381" s="43">
        <f>IF($I5381=0,0,$Q5380*INDEX(DarlErsatzZins,12))</f>
      </c>
      <c r="Q5381" s="43">
        <f>IF($I5381=0,0,$Q5380+$P5381+$O5381)</f>
      </c>
      <c r="R5381" s="43">
        <f>IF($I5381=0,0,$J5381-$M5381-$N5381)</f>
      </c>
    </row>
    <row r="5382">
      <c r="A5382"/>
      <c r="B5382">
        <v>12</v>
      </c>
      <c r="C5382" s="43">
        <f>INDEX(DarlObj,12)</f>
      </c>
      <c r="D5382">
        <v>99</v>
      </c>
      <c r="E5382" s="51">
        <f>IF(INDEX(DarlBelegt,12)=0,0,EOMONTH(INDEX(DarlAuszahlung,12),98)+1)</f>
      </c>
      <c r="F5382" s="43">
        <f>IF($E5382=0,0,YEAR($E5382))</f>
      </c>
      <c r="G5382" s="43">
        <f>IF(INDEX(DarlBindung,12)="",1,IF($E5382&lt;=INDEX(DarlBindung,12),1,0))</f>
      </c>
      <c r="H5382" s="43">
        <f>IF($G5382=1,INDEX(DarlSollzins,12),INDEX(DarlAnschluss,12))</f>
      </c>
      <c r="I5382" s="43">
        <f>IF(INDEX(DarlBelegt,12)=0,0,IF(INDEX(DarlOhneTilgung,12)=1,IF(INDEX(DarlBindung,12)="",1,$G5382),IF($J5382&gt;0.005,1,0)))</f>
      </c>
      <c r="J5382" s="43">
        <f>IF($I5381=0,0,$R5381)</f>
      </c>
      <c r="K5382" s="43">
        <f>IF($I5382=0,0,IF(INDEX(DarlOhneTilgung,12)=1,0,IF(AND(INDEX(DarlTilgStart,12)&gt;0,$E5382=INDEX(DarlTilgStart,12)),$J5382*($H5382+INDEX(DarlTilgung,12))/100/12,IF(AND($G5382=0,$G5381=1),MAX($K5381,$J5382*($H5382+1)/100/12),$K5381))))</f>
      </c>
      <c r="L5382" s="43">
        <f>IF($I5382=0,0,$J5382*$H5382/100/12)</f>
      </c>
      <c r="M5382" s="43">
        <f>IF($I5382=0,0,IF(OR(INDEX(DarlOhneTilgung,12)=1,AND(INDEX(DarlTilgStart,12)&gt;0,$E5382&lt;INDEX(DarlTilgStart,12))),0,MIN(MAX(0,$K5382-$L5382),$J5382)))</f>
      </c>
      <c r="N5382" s="43">
        <f>IF($I5382=0,0,MIN(SUMIFS(SondBetrag,SondDarl,12,SondDatum,"&gt;="&amp;$E5382,SondDatum,"&lt;="&amp;EOMONTH($E5382,0)),$J5382-$M5382))</f>
      </c>
      <c r="O5382" s="43">
        <f>IF($I5382=0,0,INDEX(DarlErsatzRate,12))</f>
      </c>
      <c r="P5382" s="43">
        <f>IF($I5382=0,0,$Q5381*INDEX(DarlErsatzZins,12))</f>
      </c>
      <c r="Q5382" s="43">
        <f>IF($I5382=0,0,$Q5381+$P5382+$O5382)</f>
      </c>
      <c r="R5382" s="43">
        <f>IF($I5382=0,0,$J5382-$M5382-$N5382)</f>
      </c>
    </row>
    <row r="5383">
      <c r="A5383"/>
      <c r="B5383">
        <v>12</v>
      </c>
      <c r="C5383" s="43">
        <f>INDEX(DarlObj,12)</f>
      </c>
      <c r="D5383">
        <v>100</v>
      </c>
      <c r="E5383" s="51">
        <f>IF(INDEX(DarlBelegt,12)=0,0,EOMONTH(INDEX(DarlAuszahlung,12),99)+1)</f>
      </c>
      <c r="F5383" s="43">
        <f>IF($E5383=0,0,YEAR($E5383))</f>
      </c>
      <c r="G5383" s="43">
        <f>IF(INDEX(DarlBindung,12)="",1,IF($E5383&lt;=INDEX(DarlBindung,12),1,0))</f>
      </c>
      <c r="H5383" s="43">
        <f>IF($G5383=1,INDEX(DarlSollzins,12),INDEX(DarlAnschluss,12))</f>
      </c>
      <c r="I5383" s="43">
        <f>IF(INDEX(DarlBelegt,12)=0,0,IF(INDEX(DarlOhneTilgung,12)=1,IF(INDEX(DarlBindung,12)="",1,$G5383),IF($J5383&gt;0.005,1,0)))</f>
      </c>
      <c r="J5383" s="43">
        <f>IF($I5382=0,0,$R5382)</f>
      </c>
      <c r="K5383" s="43">
        <f>IF($I5383=0,0,IF(INDEX(DarlOhneTilgung,12)=1,0,IF(AND(INDEX(DarlTilgStart,12)&gt;0,$E5383=INDEX(DarlTilgStart,12)),$J5383*($H5383+INDEX(DarlTilgung,12))/100/12,IF(AND($G5383=0,$G5382=1),MAX($K5382,$J5383*($H5383+1)/100/12),$K5382))))</f>
      </c>
      <c r="L5383" s="43">
        <f>IF($I5383=0,0,$J5383*$H5383/100/12)</f>
      </c>
      <c r="M5383" s="43">
        <f>IF($I5383=0,0,IF(OR(INDEX(DarlOhneTilgung,12)=1,AND(INDEX(DarlTilgStart,12)&gt;0,$E5383&lt;INDEX(DarlTilgStart,12))),0,MIN(MAX(0,$K5383-$L5383),$J5383)))</f>
      </c>
      <c r="N5383" s="43">
        <f>IF($I5383=0,0,MIN(SUMIFS(SondBetrag,SondDarl,12,SondDatum,"&gt;="&amp;$E5383,SondDatum,"&lt;="&amp;EOMONTH($E5383,0)),$J5383-$M5383))</f>
      </c>
      <c r="O5383" s="43">
        <f>IF($I5383=0,0,INDEX(DarlErsatzRate,12))</f>
      </c>
      <c r="P5383" s="43">
        <f>IF($I5383=0,0,$Q5382*INDEX(DarlErsatzZins,12))</f>
      </c>
      <c r="Q5383" s="43">
        <f>IF($I5383=0,0,$Q5382+$P5383+$O5383)</f>
      </c>
      <c r="R5383" s="43">
        <f>IF($I5383=0,0,$J5383-$M5383-$N5383)</f>
      </c>
    </row>
    <row r="5384">
      <c r="A5384"/>
      <c r="B5384">
        <v>12</v>
      </c>
      <c r="C5384" s="43">
        <f>INDEX(DarlObj,12)</f>
      </c>
      <c r="D5384">
        <v>101</v>
      </c>
      <c r="E5384" s="51">
        <f>IF(INDEX(DarlBelegt,12)=0,0,EOMONTH(INDEX(DarlAuszahlung,12),100)+1)</f>
      </c>
      <c r="F5384" s="43">
        <f>IF($E5384=0,0,YEAR($E5384))</f>
      </c>
      <c r="G5384" s="43">
        <f>IF(INDEX(DarlBindung,12)="",1,IF($E5384&lt;=INDEX(DarlBindung,12),1,0))</f>
      </c>
      <c r="H5384" s="43">
        <f>IF($G5384=1,INDEX(DarlSollzins,12),INDEX(DarlAnschluss,12))</f>
      </c>
      <c r="I5384" s="43">
        <f>IF(INDEX(DarlBelegt,12)=0,0,IF(INDEX(DarlOhneTilgung,12)=1,IF(INDEX(DarlBindung,12)="",1,$G5384),IF($J5384&gt;0.005,1,0)))</f>
      </c>
      <c r="J5384" s="43">
        <f>IF($I5383=0,0,$R5383)</f>
      </c>
      <c r="K5384" s="43">
        <f>IF($I5384=0,0,IF(INDEX(DarlOhneTilgung,12)=1,0,IF(AND(INDEX(DarlTilgStart,12)&gt;0,$E5384=INDEX(DarlTilgStart,12)),$J5384*($H5384+INDEX(DarlTilgung,12))/100/12,IF(AND($G5384=0,$G5383=1),MAX($K5383,$J5384*($H5384+1)/100/12),$K5383))))</f>
      </c>
      <c r="L5384" s="43">
        <f>IF($I5384=0,0,$J5384*$H5384/100/12)</f>
      </c>
      <c r="M5384" s="43">
        <f>IF($I5384=0,0,IF(OR(INDEX(DarlOhneTilgung,12)=1,AND(INDEX(DarlTilgStart,12)&gt;0,$E5384&lt;INDEX(DarlTilgStart,12))),0,MIN(MAX(0,$K5384-$L5384),$J5384)))</f>
      </c>
      <c r="N5384" s="43">
        <f>IF($I5384=0,0,MIN(SUMIFS(SondBetrag,SondDarl,12,SondDatum,"&gt;="&amp;$E5384,SondDatum,"&lt;="&amp;EOMONTH($E5384,0)),$J5384-$M5384))</f>
      </c>
      <c r="O5384" s="43">
        <f>IF($I5384=0,0,INDEX(DarlErsatzRate,12))</f>
      </c>
      <c r="P5384" s="43">
        <f>IF($I5384=0,0,$Q5383*INDEX(DarlErsatzZins,12))</f>
      </c>
      <c r="Q5384" s="43">
        <f>IF($I5384=0,0,$Q5383+$P5384+$O5384)</f>
      </c>
      <c r="R5384" s="43">
        <f>IF($I5384=0,0,$J5384-$M5384-$N5384)</f>
      </c>
    </row>
    <row r="5385">
      <c r="A5385"/>
      <c r="B5385">
        <v>12</v>
      </c>
      <c r="C5385" s="43">
        <f>INDEX(DarlObj,12)</f>
      </c>
      <c r="D5385">
        <v>102</v>
      </c>
      <c r="E5385" s="51">
        <f>IF(INDEX(DarlBelegt,12)=0,0,EOMONTH(INDEX(DarlAuszahlung,12),101)+1)</f>
      </c>
      <c r="F5385" s="43">
        <f>IF($E5385=0,0,YEAR($E5385))</f>
      </c>
      <c r="G5385" s="43">
        <f>IF(INDEX(DarlBindung,12)="",1,IF($E5385&lt;=INDEX(DarlBindung,12),1,0))</f>
      </c>
      <c r="H5385" s="43">
        <f>IF($G5385=1,INDEX(DarlSollzins,12),INDEX(DarlAnschluss,12))</f>
      </c>
      <c r="I5385" s="43">
        <f>IF(INDEX(DarlBelegt,12)=0,0,IF(INDEX(DarlOhneTilgung,12)=1,IF(INDEX(DarlBindung,12)="",1,$G5385),IF($J5385&gt;0.005,1,0)))</f>
      </c>
      <c r="J5385" s="43">
        <f>IF($I5384=0,0,$R5384)</f>
      </c>
      <c r="K5385" s="43">
        <f>IF($I5385=0,0,IF(INDEX(DarlOhneTilgung,12)=1,0,IF(AND(INDEX(DarlTilgStart,12)&gt;0,$E5385=INDEX(DarlTilgStart,12)),$J5385*($H5385+INDEX(DarlTilgung,12))/100/12,IF(AND($G5385=0,$G5384=1),MAX($K5384,$J5385*($H5385+1)/100/12),$K5384))))</f>
      </c>
      <c r="L5385" s="43">
        <f>IF($I5385=0,0,$J5385*$H5385/100/12)</f>
      </c>
      <c r="M5385" s="43">
        <f>IF($I5385=0,0,IF(OR(INDEX(DarlOhneTilgung,12)=1,AND(INDEX(DarlTilgStart,12)&gt;0,$E5385&lt;INDEX(DarlTilgStart,12))),0,MIN(MAX(0,$K5385-$L5385),$J5385)))</f>
      </c>
      <c r="N5385" s="43">
        <f>IF($I5385=0,0,MIN(SUMIFS(SondBetrag,SondDarl,12,SondDatum,"&gt;="&amp;$E5385,SondDatum,"&lt;="&amp;EOMONTH($E5385,0)),$J5385-$M5385))</f>
      </c>
      <c r="O5385" s="43">
        <f>IF($I5385=0,0,INDEX(DarlErsatzRate,12))</f>
      </c>
      <c r="P5385" s="43">
        <f>IF($I5385=0,0,$Q5384*INDEX(DarlErsatzZins,12))</f>
      </c>
      <c r="Q5385" s="43">
        <f>IF($I5385=0,0,$Q5384+$P5385+$O5385)</f>
      </c>
      <c r="R5385" s="43">
        <f>IF($I5385=0,0,$J5385-$M5385-$N5385)</f>
      </c>
    </row>
    <row r="5386">
      <c r="A5386"/>
      <c r="B5386">
        <v>12</v>
      </c>
      <c r="C5386" s="43">
        <f>INDEX(DarlObj,12)</f>
      </c>
      <c r="D5386">
        <v>103</v>
      </c>
      <c r="E5386" s="51">
        <f>IF(INDEX(DarlBelegt,12)=0,0,EOMONTH(INDEX(DarlAuszahlung,12),102)+1)</f>
      </c>
      <c r="F5386" s="43">
        <f>IF($E5386=0,0,YEAR($E5386))</f>
      </c>
      <c r="G5386" s="43">
        <f>IF(INDEX(DarlBindung,12)="",1,IF($E5386&lt;=INDEX(DarlBindung,12),1,0))</f>
      </c>
      <c r="H5386" s="43">
        <f>IF($G5386=1,INDEX(DarlSollzins,12),INDEX(DarlAnschluss,12))</f>
      </c>
      <c r="I5386" s="43">
        <f>IF(INDEX(DarlBelegt,12)=0,0,IF(INDEX(DarlOhneTilgung,12)=1,IF(INDEX(DarlBindung,12)="",1,$G5386),IF($J5386&gt;0.005,1,0)))</f>
      </c>
      <c r="J5386" s="43">
        <f>IF($I5385=0,0,$R5385)</f>
      </c>
      <c r="K5386" s="43">
        <f>IF($I5386=0,0,IF(INDEX(DarlOhneTilgung,12)=1,0,IF(AND(INDEX(DarlTilgStart,12)&gt;0,$E5386=INDEX(DarlTilgStart,12)),$J5386*($H5386+INDEX(DarlTilgung,12))/100/12,IF(AND($G5386=0,$G5385=1),MAX($K5385,$J5386*($H5386+1)/100/12),$K5385))))</f>
      </c>
      <c r="L5386" s="43">
        <f>IF($I5386=0,0,$J5386*$H5386/100/12)</f>
      </c>
      <c r="M5386" s="43">
        <f>IF($I5386=0,0,IF(OR(INDEX(DarlOhneTilgung,12)=1,AND(INDEX(DarlTilgStart,12)&gt;0,$E5386&lt;INDEX(DarlTilgStart,12))),0,MIN(MAX(0,$K5386-$L5386),$J5386)))</f>
      </c>
      <c r="N5386" s="43">
        <f>IF($I5386=0,0,MIN(SUMIFS(SondBetrag,SondDarl,12,SondDatum,"&gt;="&amp;$E5386,SondDatum,"&lt;="&amp;EOMONTH($E5386,0)),$J5386-$M5386))</f>
      </c>
      <c r="O5386" s="43">
        <f>IF($I5386=0,0,INDEX(DarlErsatzRate,12))</f>
      </c>
      <c r="P5386" s="43">
        <f>IF($I5386=0,0,$Q5385*INDEX(DarlErsatzZins,12))</f>
      </c>
      <c r="Q5386" s="43">
        <f>IF($I5386=0,0,$Q5385+$P5386+$O5386)</f>
      </c>
      <c r="R5386" s="43">
        <f>IF($I5386=0,0,$J5386-$M5386-$N5386)</f>
      </c>
    </row>
    <row r="5387">
      <c r="A5387"/>
      <c r="B5387">
        <v>12</v>
      </c>
      <c r="C5387" s="43">
        <f>INDEX(DarlObj,12)</f>
      </c>
      <c r="D5387">
        <v>104</v>
      </c>
      <c r="E5387" s="51">
        <f>IF(INDEX(DarlBelegt,12)=0,0,EOMONTH(INDEX(DarlAuszahlung,12),103)+1)</f>
      </c>
      <c r="F5387" s="43">
        <f>IF($E5387=0,0,YEAR($E5387))</f>
      </c>
      <c r="G5387" s="43">
        <f>IF(INDEX(DarlBindung,12)="",1,IF($E5387&lt;=INDEX(DarlBindung,12),1,0))</f>
      </c>
      <c r="H5387" s="43">
        <f>IF($G5387=1,INDEX(DarlSollzins,12),INDEX(DarlAnschluss,12))</f>
      </c>
      <c r="I5387" s="43">
        <f>IF(INDEX(DarlBelegt,12)=0,0,IF(INDEX(DarlOhneTilgung,12)=1,IF(INDEX(DarlBindung,12)="",1,$G5387),IF($J5387&gt;0.005,1,0)))</f>
      </c>
      <c r="J5387" s="43">
        <f>IF($I5386=0,0,$R5386)</f>
      </c>
      <c r="K5387" s="43">
        <f>IF($I5387=0,0,IF(INDEX(DarlOhneTilgung,12)=1,0,IF(AND(INDEX(DarlTilgStart,12)&gt;0,$E5387=INDEX(DarlTilgStart,12)),$J5387*($H5387+INDEX(DarlTilgung,12))/100/12,IF(AND($G5387=0,$G5386=1),MAX($K5386,$J5387*($H5387+1)/100/12),$K5386))))</f>
      </c>
      <c r="L5387" s="43">
        <f>IF($I5387=0,0,$J5387*$H5387/100/12)</f>
      </c>
      <c r="M5387" s="43">
        <f>IF($I5387=0,0,IF(OR(INDEX(DarlOhneTilgung,12)=1,AND(INDEX(DarlTilgStart,12)&gt;0,$E5387&lt;INDEX(DarlTilgStart,12))),0,MIN(MAX(0,$K5387-$L5387),$J5387)))</f>
      </c>
      <c r="N5387" s="43">
        <f>IF($I5387=0,0,MIN(SUMIFS(SondBetrag,SondDarl,12,SondDatum,"&gt;="&amp;$E5387,SondDatum,"&lt;="&amp;EOMONTH($E5387,0)),$J5387-$M5387))</f>
      </c>
      <c r="O5387" s="43">
        <f>IF($I5387=0,0,INDEX(DarlErsatzRate,12))</f>
      </c>
      <c r="P5387" s="43">
        <f>IF($I5387=0,0,$Q5386*INDEX(DarlErsatzZins,12))</f>
      </c>
      <c r="Q5387" s="43">
        <f>IF($I5387=0,0,$Q5386+$P5387+$O5387)</f>
      </c>
      <c r="R5387" s="43">
        <f>IF($I5387=0,0,$J5387-$M5387-$N5387)</f>
      </c>
    </row>
    <row r="5388">
      <c r="A5388"/>
      <c r="B5388">
        <v>12</v>
      </c>
      <c r="C5388" s="43">
        <f>INDEX(DarlObj,12)</f>
      </c>
      <c r="D5388">
        <v>105</v>
      </c>
      <c r="E5388" s="51">
        <f>IF(INDEX(DarlBelegt,12)=0,0,EOMONTH(INDEX(DarlAuszahlung,12),104)+1)</f>
      </c>
      <c r="F5388" s="43">
        <f>IF($E5388=0,0,YEAR($E5388))</f>
      </c>
      <c r="G5388" s="43">
        <f>IF(INDEX(DarlBindung,12)="",1,IF($E5388&lt;=INDEX(DarlBindung,12),1,0))</f>
      </c>
      <c r="H5388" s="43">
        <f>IF($G5388=1,INDEX(DarlSollzins,12),INDEX(DarlAnschluss,12))</f>
      </c>
      <c r="I5388" s="43">
        <f>IF(INDEX(DarlBelegt,12)=0,0,IF(INDEX(DarlOhneTilgung,12)=1,IF(INDEX(DarlBindung,12)="",1,$G5388),IF($J5388&gt;0.005,1,0)))</f>
      </c>
      <c r="J5388" s="43">
        <f>IF($I5387=0,0,$R5387)</f>
      </c>
      <c r="K5388" s="43">
        <f>IF($I5388=0,0,IF(INDEX(DarlOhneTilgung,12)=1,0,IF(AND(INDEX(DarlTilgStart,12)&gt;0,$E5388=INDEX(DarlTilgStart,12)),$J5388*($H5388+INDEX(DarlTilgung,12))/100/12,IF(AND($G5388=0,$G5387=1),MAX($K5387,$J5388*($H5388+1)/100/12),$K5387))))</f>
      </c>
      <c r="L5388" s="43">
        <f>IF($I5388=0,0,$J5388*$H5388/100/12)</f>
      </c>
      <c r="M5388" s="43">
        <f>IF($I5388=0,0,IF(OR(INDEX(DarlOhneTilgung,12)=1,AND(INDEX(DarlTilgStart,12)&gt;0,$E5388&lt;INDEX(DarlTilgStart,12))),0,MIN(MAX(0,$K5388-$L5388),$J5388)))</f>
      </c>
      <c r="N5388" s="43">
        <f>IF($I5388=0,0,MIN(SUMIFS(SondBetrag,SondDarl,12,SondDatum,"&gt;="&amp;$E5388,SondDatum,"&lt;="&amp;EOMONTH($E5388,0)),$J5388-$M5388))</f>
      </c>
      <c r="O5388" s="43">
        <f>IF($I5388=0,0,INDEX(DarlErsatzRate,12))</f>
      </c>
      <c r="P5388" s="43">
        <f>IF($I5388=0,0,$Q5387*INDEX(DarlErsatzZins,12))</f>
      </c>
      <c r="Q5388" s="43">
        <f>IF($I5388=0,0,$Q5387+$P5388+$O5388)</f>
      </c>
      <c r="R5388" s="43">
        <f>IF($I5388=0,0,$J5388-$M5388-$N5388)</f>
      </c>
    </row>
    <row r="5389">
      <c r="A5389"/>
      <c r="B5389">
        <v>12</v>
      </c>
      <c r="C5389" s="43">
        <f>INDEX(DarlObj,12)</f>
      </c>
      <c r="D5389">
        <v>106</v>
      </c>
      <c r="E5389" s="51">
        <f>IF(INDEX(DarlBelegt,12)=0,0,EOMONTH(INDEX(DarlAuszahlung,12),105)+1)</f>
      </c>
      <c r="F5389" s="43">
        <f>IF($E5389=0,0,YEAR($E5389))</f>
      </c>
      <c r="G5389" s="43">
        <f>IF(INDEX(DarlBindung,12)="",1,IF($E5389&lt;=INDEX(DarlBindung,12),1,0))</f>
      </c>
      <c r="H5389" s="43">
        <f>IF($G5389=1,INDEX(DarlSollzins,12),INDEX(DarlAnschluss,12))</f>
      </c>
      <c r="I5389" s="43">
        <f>IF(INDEX(DarlBelegt,12)=0,0,IF(INDEX(DarlOhneTilgung,12)=1,IF(INDEX(DarlBindung,12)="",1,$G5389),IF($J5389&gt;0.005,1,0)))</f>
      </c>
      <c r="J5389" s="43">
        <f>IF($I5388=0,0,$R5388)</f>
      </c>
      <c r="K5389" s="43">
        <f>IF($I5389=0,0,IF(INDEX(DarlOhneTilgung,12)=1,0,IF(AND(INDEX(DarlTilgStart,12)&gt;0,$E5389=INDEX(DarlTilgStart,12)),$J5389*($H5389+INDEX(DarlTilgung,12))/100/12,IF(AND($G5389=0,$G5388=1),MAX($K5388,$J5389*($H5389+1)/100/12),$K5388))))</f>
      </c>
      <c r="L5389" s="43">
        <f>IF($I5389=0,0,$J5389*$H5389/100/12)</f>
      </c>
      <c r="M5389" s="43">
        <f>IF($I5389=0,0,IF(OR(INDEX(DarlOhneTilgung,12)=1,AND(INDEX(DarlTilgStart,12)&gt;0,$E5389&lt;INDEX(DarlTilgStart,12))),0,MIN(MAX(0,$K5389-$L5389),$J5389)))</f>
      </c>
      <c r="N5389" s="43">
        <f>IF($I5389=0,0,MIN(SUMIFS(SondBetrag,SondDarl,12,SondDatum,"&gt;="&amp;$E5389,SondDatum,"&lt;="&amp;EOMONTH($E5389,0)),$J5389-$M5389))</f>
      </c>
      <c r="O5389" s="43">
        <f>IF($I5389=0,0,INDEX(DarlErsatzRate,12))</f>
      </c>
      <c r="P5389" s="43">
        <f>IF($I5389=0,0,$Q5388*INDEX(DarlErsatzZins,12))</f>
      </c>
      <c r="Q5389" s="43">
        <f>IF($I5389=0,0,$Q5388+$P5389+$O5389)</f>
      </c>
      <c r="R5389" s="43">
        <f>IF($I5389=0,0,$J5389-$M5389-$N5389)</f>
      </c>
    </row>
    <row r="5390">
      <c r="A5390"/>
      <c r="B5390">
        <v>12</v>
      </c>
      <c r="C5390" s="43">
        <f>INDEX(DarlObj,12)</f>
      </c>
      <c r="D5390">
        <v>107</v>
      </c>
      <c r="E5390" s="51">
        <f>IF(INDEX(DarlBelegt,12)=0,0,EOMONTH(INDEX(DarlAuszahlung,12),106)+1)</f>
      </c>
      <c r="F5390" s="43">
        <f>IF($E5390=0,0,YEAR($E5390))</f>
      </c>
      <c r="G5390" s="43">
        <f>IF(INDEX(DarlBindung,12)="",1,IF($E5390&lt;=INDEX(DarlBindung,12),1,0))</f>
      </c>
      <c r="H5390" s="43">
        <f>IF($G5390=1,INDEX(DarlSollzins,12),INDEX(DarlAnschluss,12))</f>
      </c>
      <c r="I5390" s="43">
        <f>IF(INDEX(DarlBelegt,12)=0,0,IF(INDEX(DarlOhneTilgung,12)=1,IF(INDEX(DarlBindung,12)="",1,$G5390),IF($J5390&gt;0.005,1,0)))</f>
      </c>
      <c r="J5390" s="43">
        <f>IF($I5389=0,0,$R5389)</f>
      </c>
      <c r="K5390" s="43">
        <f>IF($I5390=0,0,IF(INDEX(DarlOhneTilgung,12)=1,0,IF(AND(INDEX(DarlTilgStart,12)&gt;0,$E5390=INDEX(DarlTilgStart,12)),$J5390*($H5390+INDEX(DarlTilgung,12))/100/12,IF(AND($G5390=0,$G5389=1),MAX($K5389,$J5390*($H5390+1)/100/12),$K5389))))</f>
      </c>
      <c r="L5390" s="43">
        <f>IF($I5390=0,0,$J5390*$H5390/100/12)</f>
      </c>
      <c r="M5390" s="43">
        <f>IF($I5390=0,0,IF(OR(INDEX(DarlOhneTilgung,12)=1,AND(INDEX(DarlTilgStart,12)&gt;0,$E5390&lt;INDEX(DarlTilgStart,12))),0,MIN(MAX(0,$K5390-$L5390),$J5390)))</f>
      </c>
      <c r="N5390" s="43">
        <f>IF($I5390=0,0,MIN(SUMIFS(SondBetrag,SondDarl,12,SondDatum,"&gt;="&amp;$E5390,SondDatum,"&lt;="&amp;EOMONTH($E5390,0)),$J5390-$M5390))</f>
      </c>
      <c r="O5390" s="43">
        <f>IF($I5390=0,0,INDEX(DarlErsatzRate,12))</f>
      </c>
      <c r="P5390" s="43">
        <f>IF($I5390=0,0,$Q5389*INDEX(DarlErsatzZins,12))</f>
      </c>
      <c r="Q5390" s="43">
        <f>IF($I5390=0,0,$Q5389+$P5390+$O5390)</f>
      </c>
      <c r="R5390" s="43">
        <f>IF($I5390=0,0,$J5390-$M5390-$N5390)</f>
      </c>
    </row>
    <row r="5391">
      <c r="A5391"/>
      <c r="B5391">
        <v>12</v>
      </c>
      <c r="C5391" s="43">
        <f>INDEX(DarlObj,12)</f>
      </c>
      <c r="D5391">
        <v>108</v>
      </c>
      <c r="E5391" s="51">
        <f>IF(INDEX(DarlBelegt,12)=0,0,EOMONTH(INDEX(DarlAuszahlung,12),107)+1)</f>
      </c>
      <c r="F5391" s="43">
        <f>IF($E5391=0,0,YEAR($E5391))</f>
      </c>
      <c r="G5391" s="43">
        <f>IF(INDEX(DarlBindung,12)="",1,IF($E5391&lt;=INDEX(DarlBindung,12),1,0))</f>
      </c>
      <c r="H5391" s="43">
        <f>IF($G5391=1,INDEX(DarlSollzins,12),INDEX(DarlAnschluss,12))</f>
      </c>
      <c r="I5391" s="43">
        <f>IF(INDEX(DarlBelegt,12)=0,0,IF(INDEX(DarlOhneTilgung,12)=1,IF(INDEX(DarlBindung,12)="",1,$G5391),IF($J5391&gt;0.005,1,0)))</f>
      </c>
      <c r="J5391" s="43">
        <f>IF($I5390=0,0,$R5390)</f>
      </c>
      <c r="K5391" s="43">
        <f>IF($I5391=0,0,IF(INDEX(DarlOhneTilgung,12)=1,0,IF(AND(INDEX(DarlTilgStart,12)&gt;0,$E5391=INDEX(DarlTilgStart,12)),$J5391*($H5391+INDEX(DarlTilgung,12))/100/12,IF(AND($G5391=0,$G5390=1),MAX($K5390,$J5391*($H5391+1)/100/12),$K5390))))</f>
      </c>
      <c r="L5391" s="43">
        <f>IF($I5391=0,0,$J5391*$H5391/100/12)</f>
      </c>
      <c r="M5391" s="43">
        <f>IF($I5391=0,0,IF(OR(INDEX(DarlOhneTilgung,12)=1,AND(INDEX(DarlTilgStart,12)&gt;0,$E5391&lt;INDEX(DarlTilgStart,12))),0,MIN(MAX(0,$K5391-$L5391),$J5391)))</f>
      </c>
      <c r="N5391" s="43">
        <f>IF($I5391=0,0,MIN(SUMIFS(SondBetrag,SondDarl,12,SondDatum,"&gt;="&amp;$E5391,SondDatum,"&lt;="&amp;EOMONTH($E5391,0)),$J5391-$M5391))</f>
      </c>
      <c r="O5391" s="43">
        <f>IF($I5391=0,0,INDEX(DarlErsatzRate,12))</f>
      </c>
      <c r="P5391" s="43">
        <f>IF($I5391=0,0,$Q5390*INDEX(DarlErsatzZins,12))</f>
      </c>
      <c r="Q5391" s="43">
        <f>IF($I5391=0,0,$Q5390+$P5391+$O5391)</f>
      </c>
      <c r="R5391" s="43">
        <f>IF($I5391=0,0,$J5391-$M5391-$N5391)</f>
      </c>
    </row>
    <row r="5392">
      <c r="A5392"/>
      <c r="B5392">
        <v>12</v>
      </c>
      <c r="C5392" s="43">
        <f>INDEX(DarlObj,12)</f>
      </c>
      <c r="D5392">
        <v>109</v>
      </c>
      <c r="E5392" s="51">
        <f>IF(INDEX(DarlBelegt,12)=0,0,EOMONTH(INDEX(DarlAuszahlung,12),108)+1)</f>
      </c>
      <c r="F5392" s="43">
        <f>IF($E5392=0,0,YEAR($E5392))</f>
      </c>
      <c r="G5392" s="43">
        <f>IF(INDEX(DarlBindung,12)="",1,IF($E5392&lt;=INDEX(DarlBindung,12),1,0))</f>
      </c>
      <c r="H5392" s="43">
        <f>IF($G5392=1,INDEX(DarlSollzins,12),INDEX(DarlAnschluss,12))</f>
      </c>
      <c r="I5392" s="43">
        <f>IF(INDEX(DarlBelegt,12)=0,0,IF(INDEX(DarlOhneTilgung,12)=1,IF(INDEX(DarlBindung,12)="",1,$G5392),IF($J5392&gt;0.005,1,0)))</f>
      </c>
      <c r="J5392" s="43">
        <f>IF($I5391=0,0,$R5391)</f>
      </c>
      <c r="K5392" s="43">
        <f>IF($I5392=0,0,IF(INDEX(DarlOhneTilgung,12)=1,0,IF(AND(INDEX(DarlTilgStart,12)&gt;0,$E5392=INDEX(DarlTilgStart,12)),$J5392*($H5392+INDEX(DarlTilgung,12))/100/12,IF(AND($G5392=0,$G5391=1),MAX($K5391,$J5392*($H5392+1)/100/12),$K5391))))</f>
      </c>
      <c r="L5392" s="43">
        <f>IF($I5392=0,0,$J5392*$H5392/100/12)</f>
      </c>
      <c r="M5392" s="43">
        <f>IF($I5392=0,0,IF(OR(INDEX(DarlOhneTilgung,12)=1,AND(INDEX(DarlTilgStart,12)&gt;0,$E5392&lt;INDEX(DarlTilgStart,12))),0,MIN(MAX(0,$K5392-$L5392),$J5392)))</f>
      </c>
      <c r="N5392" s="43">
        <f>IF($I5392=0,0,MIN(SUMIFS(SondBetrag,SondDarl,12,SondDatum,"&gt;="&amp;$E5392,SondDatum,"&lt;="&amp;EOMONTH($E5392,0)),$J5392-$M5392))</f>
      </c>
      <c r="O5392" s="43">
        <f>IF($I5392=0,0,INDEX(DarlErsatzRate,12))</f>
      </c>
      <c r="P5392" s="43">
        <f>IF($I5392=0,0,$Q5391*INDEX(DarlErsatzZins,12))</f>
      </c>
      <c r="Q5392" s="43">
        <f>IF($I5392=0,0,$Q5391+$P5392+$O5392)</f>
      </c>
      <c r="R5392" s="43">
        <f>IF($I5392=0,0,$J5392-$M5392-$N5392)</f>
      </c>
    </row>
    <row r="5393">
      <c r="A5393"/>
      <c r="B5393">
        <v>12</v>
      </c>
      <c r="C5393" s="43">
        <f>INDEX(DarlObj,12)</f>
      </c>
      <c r="D5393">
        <v>110</v>
      </c>
      <c r="E5393" s="51">
        <f>IF(INDEX(DarlBelegt,12)=0,0,EOMONTH(INDEX(DarlAuszahlung,12),109)+1)</f>
      </c>
      <c r="F5393" s="43">
        <f>IF($E5393=0,0,YEAR($E5393))</f>
      </c>
      <c r="G5393" s="43">
        <f>IF(INDEX(DarlBindung,12)="",1,IF($E5393&lt;=INDEX(DarlBindung,12),1,0))</f>
      </c>
      <c r="H5393" s="43">
        <f>IF($G5393=1,INDEX(DarlSollzins,12),INDEX(DarlAnschluss,12))</f>
      </c>
      <c r="I5393" s="43">
        <f>IF(INDEX(DarlBelegt,12)=0,0,IF(INDEX(DarlOhneTilgung,12)=1,IF(INDEX(DarlBindung,12)="",1,$G5393),IF($J5393&gt;0.005,1,0)))</f>
      </c>
      <c r="J5393" s="43">
        <f>IF($I5392=0,0,$R5392)</f>
      </c>
      <c r="K5393" s="43">
        <f>IF($I5393=0,0,IF(INDEX(DarlOhneTilgung,12)=1,0,IF(AND(INDEX(DarlTilgStart,12)&gt;0,$E5393=INDEX(DarlTilgStart,12)),$J5393*($H5393+INDEX(DarlTilgung,12))/100/12,IF(AND($G5393=0,$G5392=1),MAX($K5392,$J5393*($H5393+1)/100/12),$K5392))))</f>
      </c>
      <c r="L5393" s="43">
        <f>IF($I5393=0,0,$J5393*$H5393/100/12)</f>
      </c>
      <c r="M5393" s="43">
        <f>IF($I5393=0,0,IF(OR(INDEX(DarlOhneTilgung,12)=1,AND(INDEX(DarlTilgStart,12)&gt;0,$E5393&lt;INDEX(DarlTilgStart,12))),0,MIN(MAX(0,$K5393-$L5393),$J5393)))</f>
      </c>
      <c r="N5393" s="43">
        <f>IF($I5393=0,0,MIN(SUMIFS(SondBetrag,SondDarl,12,SondDatum,"&gt;="&amp;$E5393,SondDatum,"&lt;="&amp;EOMONTH($E5393,0)),$J5393-$M5393))</f>
      </c>
      <c r="O5393" s="43">
        <f>IF($I5393=0,0,INDEX(DarlErsatzRate,12))</f>
      </c>
      <c r="P5393" s="43">
        <f>IF($I5393=0,0,$Q5392*INDEX(DarlErsatzZins,12))</f>
      </c>
      <c r="Q5393" s="43">
        <f>IF($I5393=0,0,$Q5392+$P5393+$O5393)</f>
      </c>
      <c r="R5393" s="43">
        <f>IF($I5393=0,0,$J5393-$M5393-$N5393)</f>
      </c>
    </row>
    <row r="5394">
      <c r="A5394"/>
      <c r="B5394">
        <v>12</v>
      </c>
      <c r="C5394" s="43">
        <f>INDEX(DarlObj,12)</f>
      </c>
      <c r="D5394">
        <v>111</v>
      </c>
      <c r="E5394" s="51">
        <f>IF(INDEX(DarlBelegt,12)=0,0,EOMONTH(INDEX(DarlAuszahlung,12),110)+1)</f>
      </c>
      <c r="F5394" s="43">
        <f>IF($E5394=0,0,YEAR($E5394))</f>
      </c>
      <c r="G5394" s="43">
        <f>IF(INDEX(DarlBindung,12)="",1,IF($E5394&lt;=INDEX(DarlBindung,12),1,0))</f>
      </c>
      <c r="H5394" s="43">
        <f>IF($G5394=1,INDEX(DarlSollzins,12),INDEX(DarlAnschluss,12))</f>
      </c>
      <c r="I5394" s="43">
        <f>IF(INDEX(DarlBelegt,12)=0,0,IF(INDEX(DarlOhneTilgung,12)=1,IF(INDEX(DarlBindung,12)="",1,$G5394),IF($J5394&gt;0.005,1,0)))</f>
      </c>
      <c r="J5394" s="43">
        <f>IF($I5393=0,0,$R5393)</f>
      </c>
      <c r="K5394" s="43">
        <f>IF($I5394=0,0,IF(INDEX(DarlOhneTilgung,12)=1,0,IF(AND(INDEX(DarlTilgStart,12)&gt;0,$E5394=INDEX(DarlTilgStart,12)),$J5394*($H5394+INDEX(DarlTilgung,12))/100/12,IF(AND($G5394=0,$G5393=1),MAX($K5393,$J5394*($H5394+1)/100/12),$K5393))))</f>
      </c>
      <c r="L5394" s="43">
        <f>IF($I5394=0,0,$J5394*$H5394/100/12)</f>
      </c>
      <c r="M5394" s="43">
        <f>IF($I5394=0,0,IF(OR(INDEX(DarlOhneTilgung,12)=1,AND(INDEX(DarlTilgStart,12)&gt;0,$E5394&lt;INDEX(DarlTilgStart,12))),0,MIN(MAX(0,$K5394-$L5394),$J5394)))</f>
      </c>
      <c r="N5394" s="43">
        <f>IF($I5394=0,0,MIN(SUMIFS(SondBetrag,SondDarl,12,SondDatum,"&gt;="&amp;$E5394,SondDatum,"&lt;="&amp;EOMONTH($E5394,0)),$J5394-$M5394))</f>
      </c>
      <c r="O5394" s="43">
        <f>IF($I5394=0,0,INDEX(DarlErsatzRate,12))</f>
      </c>
      <c r="P5394" s="43">
        <f>IF($I5394=0,0,$Q5393*INDEX(DarlErsatzZins,12))</f>
      </c>
      <c r="Q5394" s="43">
        <f>IF($I5394=0,0,$Q5393+$P5394+$O5394)</f>
      </c>
      <c r="R5394" s="43">
        <f>IF($I5394=0,0,$J5394-$M5394-$N5394)</f>
      </c>
    </row>
    <row r="5395">
      <c r="A5395"/>
      <c r="B5395">
        <v>12</v>
      </c>
      <c r="C5395" s="43">
        <f>INDEX(DarlObj,12)</f>
      </c>
      <c r="D5395">
        <v>112</v>
      </c>
      <c r="E5395" s="51">
        <f>IF(INDEX(DarlBelegt,12)=0,0,EOMONTH(INDEX(DarlAuszahlung,12),111)+1)</f>
      </c>
      <c r="F5395" s="43">
        <f>IF($E5395=0,0,YEAR($E5395))</f>
      </c>
      <c r="G5395" s="43">
        <f>IF(INDEX(DarlBindung,12)="",1,IF($E5395&lt;=INDEX(DarlBindung,12),1,0))</f>
      </c>
      <c r="H5395" s="43">
        <f>IF($G5395=1,INDEX(DarlSollzins,12),INDEX(DarlAnschluss,12))</f>
      </c>
      <c r="I5395" s="43">
        <f>IF(INDEX(DarlBelegt,12)=0,0,IF(INDEX(DarlOhneTilgung,12)=1,IF(INDEX(DarlBindung,12)="",1,$G5395),IF($J5395&gt;0.005,1,0)))</f>
      </c>
      <c r="J5395" s="43">
        <f>IF($I5394=0,0,$R5394)</f>
      </c>
      <c r="K5395" s="43">
        <f>IF($I5395=0,0,IF(INDEX(DarlOhneTilgung,12)=1,0,IF(AND(INDEX(DarlTilgStart,12)&gt;0,$E5395=INDEX(DarlTilgStart,12)),$J5395*($H5395+INDEX(DarlTilgung,12))/100/12,IF(AND($G5395=0,$G5394=1),MAX($K5394,$J5395*($H5395+1)/100/12),$K5394))))</f>
      </c>
      <c r="L5395" s="43">
        <f>IF($I5395=0,0,$J5395*$H5395/100/12)</f>
      </c>
      <c r="M5395" s="43">
        <f>IF($I5395=0,0,IF(OR(INDEX(DarlOhneTilgung,12)=1,AND(INDEX(DarlTilgStart,12)&gt;0,$E5395&lt;INDEX(DarlTilgStart,12))),0,MIN(MAX(0,$K5395-$L5395),$J5395)))</f>
      </c>
      <c r="N5395" s="43">
        <f>IF($I5395=0,0,MIN(SUMIFS(SondBetrag,SondDarl,12,SondDatum,"&gt;="&amp;$E5395,SondDatum,"&lt;="&amp;EOMONTH($E5395,0)),$J5395-$M5395))</f>
      </c>
      <c r="O5395" s="43">
        <f>IF($I5395=0,0,INDEX(DarlErsatzRate,12))</f>
      </c>
      <c r="P5395" s="43">
        <f>IF($I5395=0,0,$Q5394*INDEX(DarlErsatzZins,12))</f>
      </c>
      <c r="Q5395" s="43">
        <f>IF($I5395=0,0,$Q5394+$P5395+$O5395)</f>
      </c>
      <c r="R5395" s="43">
        <f>IF($I5395=0,0,$J5395-$M5395-$N5395)</f>
      </c>
    </row>
    <row r="5396">
      <c r="A5396"/>
      <c r="B5396">
        <v>12</v>
      </c>
      <c r="C5396" s="43">
        <f>INDEX(DarlObj,12)</f>
      </c>
      <c r="D5396">
        <v>113</v>
      </c>
      <c r="E5396" s="51">
        <f>IF(INDEX(DarlBelegt,12)=0,0,EOMONTH(INDEX(DarlAuszahlung,12),112)+1)</f>
      </c>
      <c r="F5396" s="43">
        <f>IF($E5396=0,0,YEAR($E5396))</f>
      </c>
      <c r="G5396" s="43">
        <f>IF(INDEX(DarlBindung,12)="",1,IF($E5396&lt;=INDEX(DarlBindung,12),1,0))</f>
      </c>
      <c r="H5396" s="43">
        <f>IF($G5396=1,INDEX(DarlSollzins,12),INDEX(DarlAnschluss,12))</f>
      </c>
      <c r="I5396" s="43">
        <f>IF(INDEX(DarlBelegt,12)=0,0,IF(INDEX(DarlOhneTilgung,12)=1,IF(INDEX(DarlBindung,12)="",1,$G5396),IF($J5396&gt;0.005,1,0)))</f>
      </c>
      <c r="J5396" s="43">
        <f>IF($I5395=0,0,$R5395)</f>
      </c>
      <c r="K5396" s="43">
        <f>IF($I5396=0,0,IF(INDEX(DarlOhneTilgung,12)=1,0,IF(AND(INDEX(DarlTilgStart,12)&gt;0,$E5396=INDEX(DarlTilgStart,12)),$J5396*($H5396+INDEX(DarlTilgung,12))/100/12,IF(AND($G5396=0,$G5395=1),MAX($K5395,$J5396*($H5396+1)/100/12),$K5395))))</f>
      </c>
      <c r="L5396" s="43">
        <f>IF($I5396=0,0,$J5396*$H5396/100/12)</f>
      </c>
      <c r="M5396" s="43">
        <f>IF($I5396=0,0,IF(OR(INDEX(DarlOhneTilgung,12)=1,AND(INDEX(DarlTilgStart,12)&gt;0,$E5396&lt;INDEX(DarlTilgStart,12))),0,MIN(MAX(0,$K5396-$L5396),$J5396)))</f>
      </c>
      <c r="N5396" s="43">
        <f>IF($I5396=0,0,MIN(SUMIFS(SondBetrag,SondDarl,12,SondDatum,"&gt;="&amp;$E5396,SondDatum,"&lt;="&amp;EOMONTH($E5396,0)),$J5396-$M5396))</f>
      </c>
      <c r="O5396" s="43">
        <f>IF($I5396=0,0,INDEX(DarlErsatzRate,12))</f>
      </c>
      <c r="P5396" s="43">
        <f>IF($I5396=0,0,$Q5395*INDEX(DarlErsatzZins,12))</f>
      </c>
      <c r="Q5396" s="43">
        <f>IF($I5396=0,0,$Q5395+$P5396+$O5396)</f>
      </c>
      <c r="R5396" s="43">
        <f>IF($I5396=0,0,$J5396-$M5396-$N5396)</f>
      </c>
    </row>
    <row r="5397">
      <c r="A5397"/>
      <c r="B5397">
        <v>12</v>
      </c>
      <c r="C5397" s="43">
        <f>INDEX(DarlObj,12)</f>
      </c>
      <c r="D5397">
        <v>114</v>
      </c>
      <c r="E5397" s="51">
        <f>IF(INDEX(DarlBelegt,12)=0,0,EOMONTH(INDEX(DarlAuszahlung,12),113)+1)</f>
      </c>
      <c r="F5397" s="43">
        <f>IF($E5397=0,0,YEAR($E5397))</f>
      </c>
      <c r="G5397" s="43">
        <f>IF(INDEX(DarlBindung,12)="",1,IF($E5397&lt;=INDEX(DarlBindung,12),1,0))</f>
      </c>
      <c r="H5397" s="43">
        <f>IF($G5397=1,INDEX(DarlSollzins,12),INDEX(DarlAnschluss,12))</f>
      </c>
      <c r="I5397" s="43">
        <f>IF(INDEX(DarlBelegt,12)=0,0,IF(INDEX(DarlOhneTilgung,12)=1,IF(INDEX(DarlBindung,12)="",1,$G5397),IF($J5397&gt;0.005,1,0)))</f>
      </c>
      <c r="J5397" s="43">
        <f>IF($I5396=0,0,$R5396)</f>
      </c>
      <c r="K5397" s="43">
        <f>IF($I5397=0,0,IF(INDEX(DarlOhneTilgung,12)=1,0,IF(AND(INDEX(DarlTilgStart,12)&gt;0,$E5397=INDEX(DarlTilgStart,12)),$J5397*($H5397+INDEX(DarlTilgung,12))/100/12,IF(AND($G5397=0,$G5396=1),MAX($K5396,$J5397*($H5397+1)/100/12),$K5396))))</f>
      </c>
      <c r="L5397" s="43">
        <f>IF($I5397=0,0,$J5397*$H5397/100/12)</f>
      </c>
      <c r="M5397" s="43">
        <f>IF($I5397=0,0,IF(OR(INDEX(DarlOhneTilgung,12)=1,AND(INDEX(DarlTilgStart,12)&gt;0,$E5397&lt;INDEX(DarlTilgStart,12))),0,MIN(MAX(0,$K5397-$L5397),$J5397)))</f>
      </c>
      <c r="N5397" s="43">
        <f>IF($I5397=0,0,MIN(SUMIFS(SondBetrag,SondDarl,12,SondDatum,"&gt;="&amp;$E5397,SondDatum,"&lt;="&amp;EOMONTH($E5397,0)),$J5397-$M5397))</f>
      </c>
      <c r="O5397" s="43">
        <f>IF($I5397=0,0,INDEX(DarlErsatzRate,12))</f>
      </c>
      <c r="P5397" s="43">
        <f>IF($I5397=0,0,$Q5396*INDEX(DarlErsatzZins,12))</f>
      </c>
      <c r="Q5397" s="43">
        <f>IF($I5397=0,0,$Q5396+$P5397+$O5397)</f>
      </c>
      <c r="R5397" s="43">
        <f>IF($I5397=0,0,$J5397-$M5397-$N5397)</f>
      </c>
    </row>
    <row r="5398">
      <c r="A5398"/>
      <c r="B5398">
        <v>12</v>
      </c>
      <c r="C5398" s="43">
        <f>INDEX(DarlObj,12)</f>
      </c>
      <c r="D5398">
        <v>115</v>
      </c>
      <c r="E5398" s="51">
        <f>IF(INDEX(DarlBelegt,12)=0,0,EOMONTH(INDEX(DarlAuszahlung,12),114)+1)</f>
      </c>
      <c r="F5398" s="43">
        <f>IF($E5398=0,0,YEAR($E5398))</f>
      </c>
      <c r="G5398" s="43">
        <f>IF(INDEX(DarlBindung,12)="",1,IF($E5398&lt;=INDEX(DarlBindung,12),1,0))</f>
      </c>
      <c r="H5398" s="43">
        <f>IF($G5398=1,INDEX(DarlSollzins,12),INDEX(DarlAnschluss,12))</f>
      </c>
      <c r="I5398" s="43">
        <f>IF(INDEX(DarlBelegt,12)=0,0,IF(INDEX(DarlOhneTilgung,12)=1,IF(INDEX(DarlBindung,12)="",1,$G5398),IF($J5398&gt;0.005,1,0)))</f>
      </c>
      <c r="J5398" s="43">
        <f>IF($I5397=0,0,$R5397)</f>
      </c>
      <c r="K5398" s="43">
        <f>IF($I5398=0,0,IF(INDEX(DarlOhneTilgung,12)=1,0,IF(AND(INDEX(DarlTilgStart,12)&gt;0,$E5398=INDEX(DarlTilgStart,12)),$J5398*($H5398+INDEX(DarlTilgung,12))/100/12,IF(AND($G5398=0,$G5397=1),MAX($K5397,$J5398*($H5398+1)/100/12),$K5397))))</f>
      </c>
      <c r="L5398" s="43">
        <f>IF($I5398=0,0,$J5398*$H5398/100/12)</f>
      </c>
      <c r="M5398" s="43">
        <f>IF($I5398=0,0,IF(OR(INDEX(DarlOhneTilgung,12)=1,AND(INDEX(DarlTilgStart,12)&gt;0,$E5398&lt;INDEX(DarlTilgStart,12))),0,MIN(MAX(0,$K5398-$L5398),$J5398)))</f>
      </c>
      <c r="N5398" s="43">
        <f>IF($I5398=0,0,MIN(SUMIFS(SondBetrag,SondDarl,12,SondDatum,"&gt;="&amp;$E5398,SondDatum,"&lt;="&amp;EOMONTH($E5398,0)),$J5398-$M5398))</f>
      </c>
      <c r="O5398" s="43">
        <f>IF($I5398=0,0,INDEX(DarlErsatzRate,12))</f>
      </c>
      <c r="P5398" s="43">
        <f>IF($I5398=0,0,$Q5397*INDEX(DarlErsatzZins,12))</f>
      </c>
      <c r="Q5398" s="43">
        <f>IF($I5398=0,0,$Q5397+$P5398+$O5398)</f>
      </c>
      <c r="R5398" s="43">
        <f>IF($I5398=0,0,$J5398-$M5398-$N5398)</f>
      </c>
    </row>
    <row r="5399">
      <c r="A5399"/>
      <c r="B5399">
        <v>12</v>
      </c>
      <c r="C5399" s="43">
        <f>INDEX(DarlObj,12)</f>
      </c>
      <c r="D5399">
        <v>116</v>
      </c>
      <c r="E5399" s="51">
        <f>IF(INDEX(DarlBelegt,12)=0,0,EOMONTH(INDEX(DarlAuszahlung,12),115)+1)</f>
      </c>
      <c r="F5399" s="43">
        <f>IF($E5399=0,0,YEAR($E5399))</f>
      </c>
      <c r="G5399" s="43">
        <f>IF(INDEX(DarlBindung,12)="",1,IF($E5399&lt;=INDEX(DarlBindung,12),1,0))</f>
      </c>
      <c r="H5399" s="43">
        <f>IF($G5399=1,INDEX(DarlSollzins,12),INDEX(DarlAnschluss,12))</f>
      </c>
      <c r="I5399" s="43">
        <f>IF(INDEX(DarlBelegt,12)=0,0,IF(INDEX(DarlOhneTilgung,12)=1,IF(INDEX(DarlBindung,12)="",1,$G5399),IF($J5399&gt;0.005,1,0)))</f>
      </c>
      <c r="J5399" s="43">
        <f>IF($I5398=0,0,$R5398)</f>
      </c>
      <c r="K5399" s="43">
        <f>IF($I5399=0,0,IF(INDEX(DarlOhneTilgung,12)=1,0,IF(AND(INDEX(DarlTilgStart,12)&gt;0,$E5399=INDEX(DarlTilgStart,12)),$J5399*($H5399+INDEX(DarlTilgung,12))/100/12,IF(AND($G5399=0,$G5398=1),MAX($K5398,$J5399*($H5399+1)/100/12),$K5398))))</f>
      </c>
      <c r="L5399" s="43">
        <f>IF($I5399=0,0,$J5399*$H5399/100/12)</f>
      </c>
      <c r="M5399" s="43">
        <f>IF($I5399=0,0,IF(OR(INDEX(DarlOhneTilgung,12)=1,AND(INDEX(DarlTilgStart,12)&gt;0,$E5399&lt;INDEX(DarlTilgStart,12))),0,MIN(MAX(0,$K5399-$L5399),$J5399)))</f>
      </c>
      <c r="N5399" s="43">
        <f>IF($I5399=0,0,MIN(SUMIFS(SondBetrag,SondDarl,12,SondDatum,"&gt;="&amp;$E5399,SondDatum,"&lt;="&amp;EOMONTH($E5399,0)),$J5399-$M5399))</f>
      </c>
      <c r="O5399" s="43">
        <f>IF($I5399=0,0,INDEX(DarlErsatzRate,12))</f>
      </c>
      <c r="P5399" s="43">
        <f>IF($I5399=0,0,$Q5398*INDEX(DarlErsatzZins,12))</f>
      </c>
      <c r="Q5399" s="43">
        <f>IF($I5399=0,0,$Q5398+$P5399+$O5399)</f>
      </c>
      <c r="R5399" s="43">
        <f>IF($I5399=0,0,$J5399-$M5399-$N5399)</f>
      </c>
    </row>
    <row r="5400">
      <c r="A5400"/>
      <c r="B5400">
        <v>12</v>
      </c>
      <c r="C5400" s="43">
        <f>INDEX(DarlObj,12)</f>
      </c>
      <c r="D5400">
        <v>117</v>
      </c>
      <c r="E5400" s="51">
        <f>IF(INDEX(DarlBelegt,12)=0,0,EOMONTH(INDEX(DarlAuszahlung,12),116)+1)</f>
      </c>
      <c r="F5400" s="43">
        <f>IF($E5400=0,0,YEAR($E5400))</f>
      </c>
      <c r="G5400" s="43">
        <f>IF(INDEX(DarlBindung,12)="",1,IF($E5400&lt;=INDEX(DarlBindung,12),1,0))</f>
      </c>
      <c r="H5400" s="43">
        <f>IF($G5400=1,INDEX(DarlSollzins,12),INDEX(DarlAnschluss,12))</f>
      </c>
      <c r="I5400" s="43">
        <f>IF(INDEX(DarlBelegt,12)=0,0,IF(INDEX(DarlOhneTilgung,12)=1,IF(INDEX(DarlBindung,12)="",1,$G5400),IF($J5400&gt;0.005,1,0)))</f>
      </c>
      <c r="J5400" s="43">
        <f>IF($I5399=0,0,$R5399)</f>
      </c>
      <c r="K5400" s="43">
        <f>IF($I5400=0,0,IF(INDEX(DarlOhneTilgung,12)=1,0,IF(AND(INDEX(DarlTilgStart,12)&gt;0,$E5400=INDEX(DarlTilgStart,12)),$J5400*($H5400+INDEX(DarlTilgung,12))/100/12,IF(AND($G5400=0,$G5399=1),MAX($K5399,$J5400*($H5400+1)/100/12),$K5399))))</f>
      </c>
      <c r="L5400" s="43">
        <f>IF($I5400=0,0,$J5400*$H5400/100/12)</f>
      </c>
      <c r="M5400" s="43">
        <f>IF($I5400=0,0,IF(OR(INDEX(DarlOhneTilgung,12)=1,AND(INDEX(DarlTilgStart,12)&gt;0,$E5400&lt;INDEX(DarlTilgStart,12))),0,MIN(MAX(0,$K5400-$L5400),$J5400)))</f>
      </c>
      <c r="N5400" s="43">
        <f>IF($I5400=0,0,MIN(SUMIFS(SondBetrag,SondDarl,12,SondDatum,"&gt;="&amp;$E5400,SondDatum,"&lt;="&amp;EOMONTH($E5400,0)),$J5400-$M5400))</f>
      </c>
      <c r="O5400" s="43">
        <f>IF($I5400=0,0,INDEX(DarlErsatzRate,12))</f>
      </c>
      <c r="P5400" s="43">
        <f>IF($I5400=0,0,$Q5399*INDEX(DarlErsatzZins,12))</f>
      </c>
      <c r="Q5400" s="43">
        <f>IF($I5400=0,0,$Q5399+$P5400+$O5400)</f>
      </c>
      <c r="R5400" s="43">
        <f>IF($I5400=0,0,$J5400-$M5400-$N5400)</f>
      </c>
    </row>
    <row r="5401">
      <c r="A5401"/>
      <c r="B5401">
        <v>12</v>
      </c>
      <c r="C5401" s="43">
        <f>INDEX(DarlObj,12)</f>
      </c>
      <c r="D5401">
        <v>118</v>
      </c>
      <c r="E5401" s="51">
        <f>IF(INDEX(DarlBelegt,12)=0,0,EOMONTH(INDEX(DarlAuszahlung,12),117)+1)</f>
      </c>
      <c r="F5401" s="43">
        <f>IF($E5401=0,0,YEAR($E5401))</f>
      </c>
      <c r="G5401" s="43">
        <f>IF(INDEX(DarlBindung,12)="",1,IF($E5401&lt;=INDEX(DarlBindung,12),1,0))</f>
      </c>
      <c r="H5401" s="43">
        <f>IF($G5401=1,INDEX(DarlSollzins,12),INDEX(DarlAnschluss,12))</f>
      </c>
      <c r="I5401" s="43">
        <f>IF(INDEX(DarlBelegt,12)=0,0,IF(INDEX(DarlOhneTilgung,12)=1,IF(INDEX(DarlBindung,12)="",1,$G5401),IF($J5401&gt;0.005,1,0)))</f>
      </c>
      <c r="J5401" s="43">
        <f>IF($I5400=0,0,$R5400)</f>
      </c>
      <c r="K5401" s="43">
        <f>IF($I5401=0,0,IF(INDEX(DarlOhneTilgung,12)=1,0,IF(AND(INDEX(DarlTilgStart,12)&gt;0,$E5401=INDEX(DarlTilgStart,12)),$J5401*($H5401+INDEX(DarlTilgung,12))/100/12,IF(AND($G5401=0,$G5400=1),MAX($K5400,$J5401*($H5401+1)/100/12),$K5400))))</f>
      </c>
      <c r="L5401" s="43">
        <f>IF($I5401=0,0,$J5401*$H5401/100/12)</f>
      </c>
      <c r="M5401" s="43">
        <f>IF($I5401=0,0,IF(OR(INDEX(DarlOhneTilgung,12)=1,AND(INDEX(DarlTilgStart,12)&gt;0,$E5401&lt;INDEX(DarlTilgStart,12))),0,MIN(MAX(0,$K5401-$L5401),$J5401)))</f>
      </c>
      <c r="N5401" s="43">
        <f>IF($I5401=0,0,MIN(SUMIFS(SondBetrag,SondDarl,12,SondDatum,"&gt;="&amp;$E5401,SondDatum,"&lt;="&amp;EOMONTH($E5401,0)),$J5401-$M5401))</f>
      </c>
      <c r="O5401" s="43">
        <f>IF($I5401=0,0,INDEX(DarlErsatzRate,12))</f>
      </c>
      <c r="P5401" s="43">
        <f>IF($I5401=0,0,$Q5400*INDEX(DarlErsatzZins,12))</f>
      </c>
      <c r="Q5401" s="43">
        <f>IF($I5401=0,0,$Q5400+$P5401+$O5401)</f>
      </c>
      <c r="R5401" s="43">
        <f>IF($I5401=0,0,$J5401-$M5401-$N5401)</f>
      </c>
    </row>
    <row r="5402">
      <c r="A5402"/>
      <c r="B5402">
        <v>12</v>
      </c>
      <c r="C5402" s="43">
        <f>INDEX(DarlObj,12)</f>
      </c>
      <c r="D5402">
        <v>119</v>
      </c>
      <c r="E5402" s="51">
        <f>IF(INDEX(DarlBelegt,12)=0,0,EOMONTH(INDEX(DarlAuszahlung,12),118)+1)</f>
      </c>
      <c r="F5402" s="43">
        <f>IF($E5402=0,0,YEAR($E5402))</f>
      </c>
      <c r="G5402" s="43">
        <f>IF(INDEX(DarlBindung,12)="",1,IF($E5402&lt;=INDEX(DarlBindung,12),1,0))</f>
      </c>
      <c r="H5402" s="43">
        <f>IF($G5402=1,INDEX(DarlSollzins,12),INDEX(DarlAnschluss,12))</f>
      </c>
      <c r="I5402" s="43">
        <f>IF(INDEX(DarlBelegt,12)=0,0,IF(INDEX(DarlOhneTilgung,12)=1,IF(INDEX(DarlBindung,12)="",1,$G5402),IF($J5402&gt;0.005,1,0)))</f>
      </c>
      <c r="J5402" s="43">
        <f>IF($I5401=0,0,$R5401)</f>
      </c>
      <c r="K5402" s="43">
        <f>IF($I5402=0,0,IF(INDEX(DarlOhneTilgung,12)=1,0,IF(AND(INDEX(DarlTilgStart,12)&gt;0,$E5402=INDEX(DarlTilgStart,12)),$J5402*($H5402+INDEX(DarlTilgung,12))/100/12,IF(AND($G5402=0,$G5401=1),MAX($K5401,$J5402*($H5402+1)/100/12),$K5401))))</f>
      </c>
      <c r="L5402" s="43">
        <f>IF($I5402=0,0,$J5402*$H5402/100/12)</f>
      </c>
      <c r="M5402" s="43">
        <f>IF($I5402=0,0,IF(OR(INDEX(DarlOhneTilgung,12)=1,AND(INDEX(DarlTilgStart,12)&gt;0,$E5402&lt;INDEX(DarlTilgStart,12))),0,MIN(MAX(0,$K5402-$L5402),$J5402)))</f>
      </c>
      <c r="N5402" s="43">
        <f>IF($I5402=0,0,MIN(SUMIFS(SondBetrag,SondDarl,12,SondDatum,"&gt;="&amp;$E5402,SondDatum,"&lt;="&amp;EOMONTH($E5402,0)),$J5402-$M5402))</f>
      </c>
      <c r="O5402" s="43">
        <f>IF($I5402=0,0,INDEX(DarlErsatzRate,12))</f>
      </c>
      <c r="P5402" s="43">
        <f>IF($I5402=0,0,$Q5401*INDEX(DarlErsatzZins,12))</f>
      </c>
      <c r="Q5402" s="43">
        <f>IF($I5402=0,0,$Q5401+$P5402+$O5402)</f>
      </c>
      <c r="R5402" s="43">
        <f>IF($I5402=0,0,$J5402-$M5402-$N5402)</f>
      </c>
    </row>
    <row r="5403">
      <c r="A5403"/>
      <c r="B5403">
        <v>12</v>
      </c>
      <c r="C5403" s="43">
        <f>INDEX(DarlObj,12)</f>
      </c>
      <c r="D5403">
        <v>120</v>
      </c>
      <c r="E5403" s="51">
        <f>IF(INDEX(DarlBelegt,12)=0,0,EOMONTH(INDEX(DarlAuszahlung,12),119)+1)</f>
      </c>
      <c r="F5403" s="43">
        <f>IF($E5403=0,0,YEAR($E5403))</f>
      </c>
      <c r="G5403" s="43">
        <f>IF(INDEX(DarlBindung,12)="",1,IF($E5403&lt;=INDEX(DarlBindung,12),1,0))</f>
      </c>
      <c r="H5403" s="43">
        <f>IF($G5403=1,INDEX(DarlSollzins,12),INDEX(DarlAnschluss,12))</f>
      </c>
      <c r="I5403" s="43">
        <f>IF(INDEX(DarlBelegt,12)=0,0,IF(INDEX(DarlOhneTilgung,12)=1,IF(INDEX(DarlBindung,12)="",1,$G5403),IF($J5403&gt;0.005,1,0)))</f>
      </c>
      <c r="J5403" s="43">
        <f>IF($I5402=0,0,$R5402)</f>
      </c>
      <c r="K5403" s="43">
        <f>IF($I5403=0,0,IF(INDEX(DarlOhneTilgung,12)=1,0,IF(AND(INDEX(DarlTilgStart,12)&gt;0,$E5403=INDEX(DarlTilgStart,12)),$J5403*($H5403+INDEX(DarlTilgung,12))/100/12,IF(AND($G5403=0,$G5402=1),MAX($K5402,$J5403*($H5403+1)/100/12),$K5402))))</f>
      </c>
      <c r="L5403" s="43">
        <f>IF($I5403=0,0,$J5403*$H5403/100/12)</f>
      </c>
      <c r="M5403" s="43">
        <f>IF($I5403=0,0,IF(OR(INDEX(DarlOhneTilgung,12)=1,AND(INDEX(DarlTilgStart,12)&gt;0,$E5403&lt;INDEX(DarlTilgStart,12))),0,MIN(MAX(0,$K5403-$L5403),$J5403)))</f>
      </c>
      <c r="N5403" s="43">
        <f>IF($I5403=0,0,MIN(SUMIFS(SondBetrag,SondDarl,12,SondDatum,"&gt;="&amp;$E5403,SondDatum,"&lt;="&amp;EOMONTH($E5403,0)),$J5403-$M5403))</f>
      </c>
      <c r="O5403" s="43">
        <f>IF($I5403=0,0,INDEX(DarlErsatzRate,12))</f>
      </c>
      <c r="P5403" s="43">
        <f>IF($I5403=0,0,$Q5402*INDEX(DarlErsatzZins,12))</f>
      </c>
      <c r="Q5403" s="43">
        <f>IF($I5403=0,0,$Q5402+$P5403+$O5403)</f>
      </c>
      <c r="R5403" s="43">
        <f>IF($I5403=0,0,$J5403-$M5403-$N5403)</f>
      </c>
    </row>
    <row r="5404">
      <c r="A5404"/>
      <c r="B5404">
        <v>12</v>
      </c>
      <c r="C5404" s="43">
        <f>INDEX(DarlObj,12)</f>
      </c>
      <c r="D5404">
        <v>121</v>
      </c>
      <c r="E5404" s="51">
        <f>IF(INDEX(DarlBelegt,12)=0,0,EOMONTH(INDEX(DarlAuszahlung,12),120)+1)</f>
      </c>
      <c r="F5404" s="43">
        <f>IF($E5404=0,0,YEAR($E5404))</f>
      </c>
      <c r="G5404" s="43">
        <f>IF(INDEX(DarlBindung,12)="",1,IF($E5404&lt;=INDEX(DarlBindung,12),1,0))</f>
      </c>
      <c r="H5404" s="43">
        <f>IF($G5404=1,INDEX(DarlSollzins,12),INDEX(DarlAnschluss,12))</f>
      </c>
      <c r="I5404" s="43">
        <f>IF(INDEX(DarlBelegt,12)=0,0,IF(INDEX(DarlOhneTilgung,12)=1,IF(INDEX(DarlBindung,12)="",1,$G5404),IF($J5404&gt;0.005,1,0)))</f>
      </c>
      <c r="J5404" s="43">
        <f>IF($I5403=0,0,$R5403)</f>
      </c>
      <c r="K5404" s="43">
        <f>IF($I5404=0,0,IF(INDEX(DarlOhneTilgung,12)=1,0,IF(AND(INDEX(DarlTilgStart,12)&gt;0,$E5404=INDEX(DarlTilgStart,12)),$J5404*($H5404+INDEX(DarlTilgung,12))/100/12,IF(AND($G5404=0,$G5403=1),MAX($K5403,$J5404*($H5404+1)/100/12),$K5403))))</f>
      </c>
      <c r="L5404" s="43">
        <f>IF($I5404=0,0,$J5404*$H5404/100/12)</f>
      </c>
      <c r="M5404" s="43">
        <f>IF($I5404=0,0,IF(OR(INDEX(DarlOhneTilgung,12)=1,AND(INDEX(DarlTilgStart,12)&gt;0,$E5404&lt;INDEX(DarlTilgStart,12))),0,MIN(MAX(0,$K5404-$L5404),$J5404)))</f>
      </c>
      <c r="N5404" s="43">
        <f>IF($I5404=0,0,MIN(SUMIFS(SondBetrag,SondDarl,12,SondDatum,"&gt;="&amp;$E5404,SondDatum,"&lt;="&amp;EOMONTH($E5404,0)),$J5404-$M5404))</f>
      </c>
      <c r="O5404" s="43">
        <f>IF($I5404=0,0,INDEX(DarlErsatzRate,12))</f>
      </c>
      <c r="P5404" s="43">
        <f>IF($I5404=0,0,$Q5403*INDEX(DarlErsatzZins,12))</f>
      </c>
      <c r="Q5404" s="43">
        <f>IF($I5404=0,0,$Q5403+$P5404+$O5404)</f>
      </c>
      <c r="R5404" s="43">
        <f>IF($I5404=0,0,$J5404-$M5404-$N5404)</f>
      </c>
    </row>
    <row r="5405">
      <c r="A5405"/>
      <c r="B5405">
        <v>12</v>
      </c>
      <c r="C5405" s="43">
        <f>INDEX(DarlObj,12)</f>
      </c>
      <c r="D5405">
        <v>122</v>
      </c>
      <c r="E5405" s="51">
        <f>IF(INDEX(DarlBelegt,12)=0,0,EOMONTH(INDEX(DarlAuszahlung,12),121)+1)</f>
      </c>
      <c r="F5405" s="43">
        <f>IF($E5405=0,0,YEAR($E5405))</f>
      </c>
      <c r="G5405" s="43">
        <f>IF(INDEX(DarlBindung,12)="",1,IF($E5405&lt;=INDEX(DarlBindung,12),1,0))</f>
      </c>
      <c r="H5405" s="43">
        <f>IF($G5405=1,INDEX(DarlSollzins,12),INDEX(DarlAnschluss,12))</f>
      </c>
      <c r="I5405" s="43">
        <f>IF(INDEX(DarlBelegt,12)=0,0,IF(INDEX(DarlOhneTilgung,12)=1,IF(INDEX(DarlBindung,12)="",1,$G5405),IF($J5405&gt;0.005,1,0)))</f>
      </c>
      <c r="J5405" s="43">
        <f>IF($I5404=0,0,$R5404)</f>
      </c>
      <c r="K5405" s="43">
        <f>IF($I5405=0,0,IF(INDEX(DarlOhneTilgung,12)=1,0,IF(AND(INDEX(DarlTilgStart,12)&gt;0,$E5405=INDEX(DarlTilgStart,12)),$J5405*($H5405+INDEX(DarlTilgung,12))/100/12,IF(AND($G5405=0,$G5404=1),MAX($K5404,$J5405*($H5405+1)/100/12),$K5404))))</f>
      </c>
      <c r="L5405" s="43">
        <f>IF($I5405=0,0,$J5405*$H5405/100/12)</f>
      </c>
      <c r="M5405" s="43">
        <f>IF($I5405=0,0,IF(OR(INDEX(DarlOhneTilgung,12)=1,AND(INDEX(DarlTilgStart,12)&gt;0,$E5405&lt;INDEX(DarlTilgStart,12))),0,MIN(MAX(0,$K5405-$L5405),$J5405)))</f>
      </c>
      <c r="N5405" s="43">
        <f>IF($I5405=0,0,MIN(SUMIFS(SondBetrag,SondDarl,12,SondDatum,"&gt;="&amp;$E5405,SondDatum,"&lt;="&amp;EOMONTH($E5405,0)),$J5405-$M5405))</f>
      </c>
      <c r="O5405" s="43">
        <f>IF($I5405=0,0,INDEX(DarlErsatzRate,12))</f>
      </c>
      <c r="P5405" s="43">
        <f>IF($I5405=0,0,$Q5404*INDEX(DarlErsatzZins,12))</f>
      </c>
      <c r="Q5405" s="43">
        <f>IF($I5405=0,0,$Q5404+$P5405+$O5405)</f>
      </c>
      <c r="R5405" s="43">
        <f>IF($I5405=0,0,$J5405-$M5405-$N5405)</f>
      </c>
    </row>
    <row r="5406">
      <c r="A5406"/>
      <c r="B5406">
        <v>12</v>
      </c>
      <c r="C5406" s="43">
        <f>INDEX(DarlObj,12)</f>
      </c>
      <c r="D5406">
        <v>123</v>
      </c>
      <c r="E5406" s="51">
        <f>IF(INDEX(DarlBelegt,12)=0,0,EOMONTH(INDEX(DarlAuszahlung,12),122)+1)</f>
      </c>
      <c r="F5406" s="43">
        <f>IF($E5406=0,0,YEAR($E5406))</f>
      </c>
      <c r="G5406" s="43">
        <f>IF(INDEX(DarlBindung,12)="",1,IF($E5406&lt;=INDEX(DarlBindung,12),1,0))</f>
      </c>
      <c r="H5406" s="43">
        <f>IF($G5406=1,INDEX(DarlSollzins,12),INDEX(DarlAnschluss,12))</f>
      </c>
      <c r="I5406" s="43">
        <f>IF(INDEX(DarlBelegt,12)=0,0,IF(INDEX(DarlOhneTilgung,12)=1,IF(INDEX(DarlBindung,12)="",1,$G5406),IF($J5406&gt;0.005,1,0)))</f>
      </c>
      <c r="J5406" s="43">
        <f>IF($I5405=0,0,$R5405)</f>
      </c>
      <c r="K5406" s="43">
        <f>IF($I5406=0,0,IF(INDEX(DarlOhneTilgung,12)=1,0,IF(AND(INDEX(DarlTilgStart,12)&gt;0,$E5406=INDEX(DarlTilgStart,12)),$J5406*($H5406+INDEX(DarlTilgung,12))/100/12,IF(AND($G5406=0,$G5405=1),MAX($K5405,$J5406*($H5406+1)/100/12),$K5405))))</f>
      </c>
      <c r="L5406" s="43">
        <f>IF($I5406=0,0,$J5406*$H5406/100/12)</f>
      </c>
      <c r="M5406" s="43">
        <f>IF($I5406=0,0,IF(OR(INDEX(DarlOhneTilgung,12)=1,AND(INDEX(DarlTilgStart,12)&gt;0,$E5406&lt;INDEX(DarlTilgStart,12))),0,MIN(MAX(0,$K5406-$L5406),$J5406)))</f>
      </c>
      <c r="N5406" s="43">
        <f>IF($I5406=0,0,MIN(SUMIFS(SondBetrag,SondDarl,12,SondDatum,"&gt;="&amp;$E5406,SondDatum,"&lt;="&amp;EOMONTH($E5406,0)),$J5406-$M5406))</f>
      </c>
      <c r="O5406" s="43">
        <f>IF($I5406=0,0,INDEX(DarlErsatzRate,12))</f>
      </c>
      <c r="P5406" s="43">
        <f>IF($I5406=0,0,$Q5405*INDEX(DarlErsatzZins,12))</f>
      </c>
      <c r="Q5406" s="43">
        <f>IF($I5406=0,0,$Q5405+$P5406+$O5406)</f>
      </c>
      <c r="R5406" s="43">
        <f>IF($I5406=0,0,$J5406-$M5406-$N5406)</f>
      </c>
    </row>
    <row r="5407">
      <c r="A5407"/>
      <c r="B5407">
        <v>12</v>
      </c>
      <c r="C5407" s="43">
        <f>INDEX(DarlObj,12)</f>
      </c>
      <c r="D5407">
        <v>124</v>
      </c>
      <c r="E5407" s="51">
        <f>IF(INDEX(DarlBelegt,12)=0,0,EOMONTH(INDEX(DarlAuszahlung,12),123)+1)</f>
      </c>
      <c r="F5407" s="43">
        <f>IF($E5407=0,0,YEAR($E5407))</f>
      </c>
      <c r="G5407" s="43">
        <f>IF(INDEX(DarlBindung,12)="",1,IF($E5407&lt;=INDEX(DarlBindung,12),1,0))</f>
      </c>
      <c r="H5407" s="43">
        <f>IF($G5407=1,INDEX(DarlSollzins,12),INDEX(DarlAnschluss,12))</f>
      </c>
      <c r="I5407" s="43">
        <f>IF(INDEX(DarlBelegt,12)=0,0,IF(INDEX(DarlOhneTilgung,12)=1,IF(INDEX(DarlBindung,12)="",1,$G5407),IF($J5407&gt;0.005,1,0)))</f>
      </c>
      <c r="J5407" s="43">
        <f>IF($I5406=0,0,$R5406)</f>
      </c>
      <c r="K5407" s="43">
        <f>IF($I5407=0,0,IF(INDEX(DarlOhneTilgung,12)=1,0,IF(AND(INDEX(DarlTilgStart,12)&gt;0,$E5407=INDEX(DarlTilgStart,12)),$J5407*($H5407+INDEX(DarlTilgung,12))/100/12,IF(AND($G5407=0,$G5406=1),MAX($K5406,$J5407*($H5407+1)/100/12),$K5406))))</f>
      </c>
      <c r="L5407" s="43">
        <f>IF($I5407=0,0,$J5407*$H5407/100/12)</f>
      </c>
      <c r="M5407" s="43">
        <f>IF($I5407=0,0,IF(OR(INDEX(DarlOhneTilgung,12)=1,AND(INDEX(DarlTilgStart,12)&gt;0,$E5407&lt;INDEX(DarlTilgStart,12))),0,MIN(MAX(0,$K5407-$L5407),$J5407)))</f>
      </c>
      <c r="N5407" s="43">
        <f>IF($I5407=0,0,MIN(SUMIFS(SondBetrag,SondDarl,12,SondDatum,"&gt;="&amp;$E5407,SondDatum,"&lt;="&amp;EOMONTH($E5407,0)),$J5407-$M5407))</f>
      </c>
      <c r="O5407" s="43">
        <f>IF($I5407=0,0,INDEX(DarlErsatzRate,12))</f>
      </c>
      <c r="P5407" s="43">
        <f>IF($I5407=0,0,$Q5406*INDEX(DarlErsatzZins,12))</f>
      </c>
      <c r="Q5407" s="43">
        <f>IF($I5407=0,0,$Q5406+$P5407+$O5407)</f>
      </c>
      <c r="R5407" s="43">
        <f>IF($I5407=0,0,$J5407-$M5407-$N5407)</f>
      </c>
    </row>
    <row r="5408">
      <c r="A5408"/>
      <c r="B5408">
        <v>12</v>
      </c>
      <c r="C5408" s="43">
        <f>INDEX(DarlObj,12)</f>
      </c>
      <c r="D5408">
        <v>125</v>
      </c>
      <c r="E5408" s="51">
        <f>IF(INDEX(DarlBelegt,12)=0,0,EOMONTH(INDEX(DarlAuszahlung,12),124)+1)</f>
      </c>
      <c r="F5408" s="43">
        <f>IF($E5408=0,0,YEAR($E5408))</f>
      </c>
      <c r="G5408" s="43">
        <f>IF(INDEX(DarlBindung,12)="",1,IF($E5408&lt;=INDEX(DarlBindung,12),1,0))</f>
      </c>
      <c r="H5408" s="43">
        <f>IF($G5408=1,INDEX(DarlSollzins,12),INDEX(DarlAnschluss,12))</f>
      </c>
      <c r="I5408" s="43">
        <f>IF(INDEX(DarlBelegt,12)=0,0,IF(INDEX(DarlOhneTilgung,12)=1,IF(INDEX(DarlBindung,12)="",1,$G5408),IF($J5408&gt;0.005,1,0)))</f>
      </c>
      <c r="J5408" s="43">
        <f>IF($I5407=0,0,$R5407)</f>
      </c>
      <c r="K5408" s="43">
        <f>IF($I5408=0,0,IF(INDEX(DarlOhneTilgung,12)=1,0,IF(AND(INDEX(DarlTilgStart,12)&gt;0,$E5408=INDEX(DarlTilgStart,12)),$J5408*($H5408+INDEX(DarlTilgung,12))/100/12,IF(AND($G5408=0,$G5407=1),MAX($K5407,$J5408*($H5408+1)/100/12),$K5407))))</f>
      </c>
      <c r="L5408" s="43">
        <f>IF($I5408=0,0,$J5408*$H5408/100/12)</f>
      </c>
      <c r="M5408" s="43">
        <f>IF($I5408=0,0,IF(OR(INDEX(DarlOhneTilgung,12)=1,AND(INDEX(DarlTilgStart,12)&gt;0,$E5408&lt;INDEX(DarlTilgStart,12))),0,MIN(MAX(0,$K5408-$L5408),$J5408)))</f>
      </c>
      <c r="N5408" s="43">
        <f>IF($I5408=0,0,MIN(SUMIFS(SondBetrag,SondDarl,12,SondDatum,"&gt;="&amp;$E5408,SondDatum,"&lt;="&amp;EOMONTH($E5408,0)),$J5408-$M5408))</f>
      </c>
      <c r="O5408" s="43">
        <f>IF($I5408=0,0,INDEX(DarlErsatzRate,12))</f>
      </c>
      <c r="P5408" s="43">
        <f>IF($I5408=0,0,$Q5407*INDEX(DarlErsatzZins,12))</f>
      </c>
      <c r="Q5408" s="43">
        <f>IF($I5408=0,0,$Q5407+$P5408+$O5408)</f>
      </c>
      <c r="R5408" s="43">
        <f>IF($I5408=0,0,$J5408-$M5408-$N5408)</f>
      </c>
    </row>
    <row r="5409">
      <c r="A5409"/>
      <c r="B5409">
        <v>12</v>
      </c>
      <c r="C5409" s="43">
        <f>INDEX(DarlObj,12)</f>
      </c>
      <c r="D5409">
        <v>126</v>
      </c>
      <c r="E5409" s="51">
        <f>IF(INDEX(DarlBelegt,12)=0,0,EOMONTH(INDEX(DarlAuszahlung,12),125)+1)</f>
      </c>
      <c r="F5409" s="43">
        <f>IF($E5409=0,0,YEAR($E5409))</f>
      </c>
      <c r="G5409" s="43">
        <f>IF(INDEX(DarlBindung,12)="",1,IF($E5409&lt;=INDEX(DarlBindung,12),1,0))</f>
      </c>
      <c r="H5409" s="43">
        <f>IF($G5409=1,INDEX(DarlSollzins,12),INDEX(DarlAnschluss,12))</f>
      </c>
      <c r="I5409" s="43">
        <f>IF(INDEX(DarlBelegt,12)=0,0,IF(INDEX(DarlOhneTilgung,12)=1,IF(INDEX(DarlBindung,12)="",1,$G5409),IF($J5409&gt;0.005,1,0)))</f>
      </c>
      <c r="J5409" s="43">
        <f>IF($I5408=0,0,$R5408)</f>
      </c>
      <c r="K5409" s="43">
        <f>IF($I5409=0,0,IF(INDEX(DarlOhneTilgung,12)=1,0,IF(AND(INDEX(DarlTilgStart,12)&gt;0,$E5409=INDEX(DarlTilgStart,12)),$J5409*($H5409+INDEX(DarlTilgung,12))/100/12,IF(AND($G5409=0,$G5408=1),MAX($K5408,$J5409*($H5409+1)/100/12),$K5408))))</f>
      </c>
      <c r="L5409" s="43">
        <f>IF($I5409=0,0,$J5409*$H5409/100/12)</f>
      </c>
      <c r="M5409" s="43">
        <f>IF($I5409=0,0,IF(OR(INDEX(DarlOhneTilgung,12)=1,AND(INDEX(DarlTilgStart,12)&gt;0,$E5409&lt;INDEX(DarlTilgStart,12))),0,MIN(MAX(0,$K5409-$L5409),$J5409)))</f>
      </c>
      <c r="N5409" s="43">
        <f>IF($I5409=0,0,MIN(SUMIFS(SondBetrag,SondDarl,12,SondDatum,"&gt;="&amp;$E5409,SondDatum,"&lt;="&amp;EOMONTH($E5409,0)),$J5409-$M5409))</f>
      </c>
      <c r="O5409" s="43">
        <f>IF($I5409=0,0,INDEX(DarlErsatzRate,12))</f>
      </c>
      <c r="P5409" s="43">
        <f>IF($I5409=0,0,$Q5408*INDEX(DarlErsatzZins,12))</f>
      </c>
      <c r="Q5409" s="43">
        <f>IF($I5409=0,0,$Q5408+$P5409+$O5409)</f>
      </c>
      <c r="R5409" s="43">
        <f>IF($I5409=0,0,$J5409-$M5409-$N5409)</f>
      </c>
    </row>
    <row r="5410">
      <c r="A5410"/>
      <c r="B5410">
        <v>12</v>
      </c>
      <c r="C5410" s="43">
        <f>INDEX(DarlObj,12)</f>
      </c>
      <c r="D5410">
        <v>127</v>
      </c>
      <c r="E5410" s="51">
        <f>IF(INDEX(DarlBelegt,12)=0,0,EOMONTH(INDEX(DarlAuszahlung,12),126)+1)</f>
      </c>
      <c r="F5410" s="43">
        <f>IF($E5410=0,0,YEAR($E5410))</f>
      </c>
      <c r="G5410" s="43">
        <f>IF(INDEX(DarlBindung,12)="",1,IF($E5410&lt;=INDEX(DarlBindung,12),1,0))</f>
      </c>
      <c r="H5410" s="43">
        <f>IF($G5410=1,INDEX(DarlSollzins,12),INDEX(DarlAnschluss,12))</f>
      </c>
      <c r="I5410" s="43">
        <f>IF(INDEX(DarlBelegt,12)=0,0,IF(INDEX(DarlOhneTilgung,12)=1,IF(INDEX(DarlBindung,12)="",1,$G5410),IF($J5410&gt;0.005,1,0)))</f>
      </c>
      <c r="J5410" s="43">
        <f>IF($I5409=0,0,$R5409)</f>
      </c>
      <c r="K5410" s="43">
        <f>IF($I5410=0,0,IF(INDEX(DarlOhneTilgung,12)=1,0,IF(AND(INDEX(DarlTilgStart,12)&gt;0,$E5410=INDEX(DarlTilgStart,12)),$J5410*($H5410+INDEX(DarlTilgung,12))/100/12,IF(AND($G5410=0,$G5409=1),MAX($K5409,$J5410*($H5410+1)/100/12),$K5409))))</f>
      </c>
      <c r="L5410" s="43">
        <f>IF($I5410=0,0,$J5410*$H5410/100/12)</f>
      </c>
      <c r="M5410" s="43">
        <f>IF($I5410=0,0,IF(OR(INDEX(DarlOhneTilgung,12)=1,AND(INDEX(DarlTilgStart,12)&gt;0,$E5410&lt;INDEX(DarlTilgStart,12))),0,MIN(MAX(0,$K5410-$L5410),$J5410)))</f>
      </c>
      <c r="N5410" s="43">
        <f>IF($I5410=0,0,MIN(SUMIFS(SondBetrag,SondDarl,12,SondDatum,"&gt;="&amp;$E5410,SondDatum,"&lt;="&amp;EOMONTH($E5410,0)),$J5410-$M5410))</f>
      </c>
      <c r="O5410" s="43">
        <f>IF($I5410=0,0,INDEX(DarlErsatzRate,12))</f>
      </c>
      <c r="P5410" s="43">
        <f>IF($I5410=0,0,$Q5409*INDEX(DarlErsatzZins,12))</f>
      </c>
      <c r="Q5410" s="43">
        <f>IF($I5410=0,0,$Q5409+$P5410+$O5410)</f>
      </c>
      <c r="R5410" s="43">
        <f>IF($I5410=0,0,$J5410-$M5410-$N5410)</f>
      </c>
    </row>
    <row r="5411">
      <c r="A5411"/>
      <c r="B5411">
        <v>12</v>
      </c>
      <c r="C5411" s="43">
        <f>INDEX(DarlObj,12)</f>
      </c>
      <c r="D5411">
        <v>128</v>
      </c>
      <c r="E5411" s="51">
        <f>IF(INDEX(DarlBelegt,12)=0,0,EOMONTH(INDEX(DarlAuszahlung,12),127)+1)</f>
      </c>
      <c r="F5411" s="43">
        <f>IF($E5411=0,0,YEAR($E5411))</f>
      </c>
      <c r="G5411" s="43">
        <f>IF(INDEX(DarlBindung,12)="",1,IF($E5411&lt;=INDEX(DarlBindung,12),1,0))</f>
      </c>
      <c r="H5411" s="43">
        <f>IF($G5411=1,INDEX(DarlSollzins,12),INDEX(DarlAnschluss,12))</f>
      </c>
      <c r="I5411" s="43">
        <f>IF(INDEX(DarlBelegt,12)=0,0,IF(INDEX(DarlOhneTilgung,12)=1,IF(INDEX(DarlBindung,12)="",1,$G5411),IF($J5411&gt;0.005,1,0)))</f>
      </c>
      <c r="J5411" s="43">
        <f>IF($I5410=0,0,$R5410)</f>
      </c>
      <c r="K5411" s="43">
        <f>IF($I5411=0,0,IF(INDEX(DarlOhneTilgung,12)=1,0,IF(AND(INDEX(DarlTilgStart,12)&gt;0,$E5411=INDEX(DarlTilgStart,12)),$J5411*($H5411+INDEX(DarlTilgung,12))/100/12,IF(AND($G5411=0,$G5410=1),MAX($K5410,$J5411*($H5411+1)/100/12),$K5410))))</f>
      </c>
      <c r="L5411" s="43">
        <f>IF($I5411=0,0,$J5411*$H5411/100/12)</f>
      </c>
      <c r="M5411" s="43">
        <f>IF($I5411=0,0,IF(OR(INDEX(DarlOhneTilgung,12)=1,AND(INDEX(DarlTilgStart,12)&gt;0,$E5411&lt;INDEX(DarlTilgStart,12))),0,MIN(MAX(0,$K5411-$L5411),$J5411)))</f>
      </c>
      <c r="N5411" s="43">
        <f>IF($I5411=0,0,MIN(SUMIFS(SondBetrag,SondDarl,12,SondDatum,"&gt;="&amp;$E5411,SondDatum,"&lt;="&amp;EOMONTH($E5411,0)),$J5411-$M5411))</f>
      </c>
      <c r="O5411" s="43">
        <f>IF($I5411=0,0,INDEX(DarlErsatzRate,12))</f>
      </c>
      <c r="P5411" s="43">
        <f>IF($I5411=0,0,$Q5410*INDEX(DarlErsatzZins,12))</f>
      </c>
      <c r="Q5411" s="43">
        <f>IF($I5411=0,0,$Q5410+$P5411+$O5411)</f>
      </c>
      <c r="R5411" s="43">
        <f>IF($I5411=0,0,$J5411-$M5411-$N5411)</f>
      </c>
    </row>
    <row r="5412">
      <c r="A5412"/>
      <c r="B5412">
        <v>12</v>
      </c>
      <c r="C5412" s="43">
        <f>INDEX(DarlObj,12)</f>
      </c>
      <c r="D5412">
        <v>129</v>
      </c>
      <c r="E5412" s="51">
        <f>IF(INDEX(DarlBelegt,12)=0,0,EOMONTH(INDEX(DarlAuszahlung,12),128)+1)</f>
      </c>
      <c r="F5412" s="43">
        <f>IF($E5412=0,0,YEAR($E5412))</f>
      </c>
      <c r="G5412" s="43">
        <f>IF(INDEX(DarlBindung,12)="",1,IF($E5412&lt;=INDEX(DarlBindung,12),1,0))</f>
      </c>
      <c r="H5412" s="43">
        <f>IF($G5412=1,INDEX(DarlSollzins,12),INDEX(DarlAnschluss,12))</f>
      </c>
      <c r="I5412" s="43">
        <f>IF(INDEX(DarlBelegt,12)=0,0,IF(INDEX(DarlOhneTilgung,12)=1,IF(INDEX(DarlBindung,12)="",1,$G5412),IF($J5412&gt;0.005,1,0)))</f>
      </c>
      <c r="J5412" s="43">
        <f>IF($I5411=0,0,$R5411)</f>
      </c>
      <c r="K5412" s="43">
        <f>IF($I5412=0,0,IF(INDEX(DarlOhneTilgung,12)=1,0,IF(AND(INDEX(DarlTilgStart,12)&gt;0,$E5412=INDEX(DarlTilgStart,12)),$J5412*($H5412+INDEX(DarlTilgung,12))/100/12,IF(AND($G5412=0,$G5411=1),MAX($K5411,$J5412*($H5412+1)/100/12),$K5411))))</f>
      </c>
      <c r="L5412" s="43">
        <f>IF($I5412=0,0,$J5412*$H5412/100/12)</f>
      </c>
      <c r="M5412" s="43">
        <f>IF($I5412=0,0,IF(OR(INDEX(DarlOhneTilgung,12)=1,AND(INDEX(DarlTilgStart,12)&gt;0,$E5412&lt;INDEX(DarlTilgStart,12))),0,MIN(MAX(0,$K5412-$L5412),$J5412)))</f>
      </c>
      <c r="N5412" s="43">
        <f>IF($I5412=0,0,MIN(SUMIFS(SondBetrag,SondDarl,12,SondDatum,"&gt;="&amp;$E5412,SondDatum,"&lt;="&amp;EOMONTH($E5412,0)),$J5412-$M5412))</f>
      </c>
      <c r="O5412" s="43">
        <f>IF($I5412=0,0,INDEX(DarlErsatzRate,12))</f>
      </c>
      <c r="P5412" s="43">
        <f>IF($I5412=0,0,$Q5411*INDEX(DarlErsatzZins,12))</f>
      </c>
      <c r="Q5412" s="43">
        <f>IF($I5412=0,0,$Q5411+$P5412+$O5412)</f>
      </c>
      <c r="R5412" s="43">
        <f>IF($I5412=0,0,$J5412-$M5412-$N5412)</f>
      </c>
    </row>
    <row r="5413">
      <c r="A5413"/>
      <c r="B5413">
        <v>12</v>
      </c>
      <c r="C5413" s="43">
        <f>INDEX(DarlObj,12)</f>
      </c>
      <c r="D5413">
        <v>130</v>
      </c>
      <c r="E5413" s="51">
        <f>IF(INDEX(DarlBelegt,12)=0,0,EOMONTH(INDEX(DarlAuszahlung,12),129)+1)</f>
      </c>
      <c r="F5413" s="43">
        <f>IF($E5413=0,0,YEAR($E5413))</f>
      </c>
      <c r="G5413" s="43">
        <f>IF(INDEX(DarlBindung,12)="",1,IF($E5413&lt;=INDEX(DarlBindung,12),1,0))</f>
      </c>
      <c r="H5413" s="43">
        <f>IF($G5413=1,INDEX(DarlSollzins,12),INDEX(DarlAnschluss,12))</f>
      </c>
      <c r="I5413" s="43">
        <f>IF(INDEX(DarlBelegt,12)=0,0,IF(INDEX(DarlOhneTilgung,12)=1,IF(INDEX(DarlBindung,12)="",1,$G5413),IF($J5413&gt;0.005,1,0)))</f>
      </c>
      <c r="J5413" s="43">
        <f>IF($I5412=0,0,$R5412)</f>
      </c>
      <c r="K5413" s="43">
        <f>IF($I5413=0,0,IF(INDEX(DarlOhneTilgung,12)=1,0,IF(AND(INDEX(DarlTilgStart,12)&gt;0,$E5413=INDEX(DarlTilgStart,12)),$J5413*($H5413+INDEX(DarlTilgung,12))/100/12,IF(AND($G5413=0,$G5412=1),MAX($K5412,$J5413*($H5413+1)/100/12),$K5412))))</f>
      </c>
      <c r="L5413" s="43">
        <f>IF($I5413=0,0,$J5413*$H5413/100/12)</f>
      </c>
      <c r="M5413" s="43">
        <f>IF($I5413=0,0,IF(OR(INDEX(DarlOhneTilgung,12)=1,AND(INDEX(DarlTilgStart,12)&gt;0,$E5413&lt;INDEX(DarlTilgStart,12))),0,MIN(MAX(0,$K5413-$L5413),$J5413)))</f>
      </c>
      <c r="N5413" s="43">
        <f>IF($I5413=0,0,MIN(SUMIFS(SondBetrag,SondDarl,12,SondDatum,"&gt;="&amp;$E5413,SondDatum,"&lt;="&amp;EOMONTH($E5413,0)),$J5413-$M5413))</f>
      </c>
      <c r="O5413" s="43">
        <f>IF($I5413=0,0,INDEX(DarlErsatzRate,12))</f>
      </c>
      <c r="P5413" s="43">
        <f>IF($I5413=0,0,$Q5412*INDEX(DarlErsatzZins,12))</f>
      </c>
      <c r="Q5413" s="43">
        <f>IF($I5413=0,0,$Q5412+$P5413+$O5413)</f>
      </c>
      <c r="R5413" s="43">
        <f>IF($I5413=0,0,$J5413-$M5413-$N5413)</f>
      </c>
    </row>
    <row r="5414">
      <c r="A5414"/>
      <c r="B5414">
        <v>12</v>
      </c>
      <c r="C5414" s="43">
        <f>INDEX(DarlObj,12)</f>
      </c>
      <c r="D5414">
        <v>131</v>
      </c>
      <c r="E5414" s="51">
        <f>IF(INDEX(DarlBelegt,12)=0,0,EOMONTH(INDEX(DarlAuszahlung,12),130)+1)</f>
      </c>
      <c r="F5414" s="43">
        <f>IF($E5414=0,0,YEAR($E5414))</f>
      </c>
      <c r="G5414" s="43">
        <f>IF(INDEX(DarlBindung,12)="",1,IF($E5414&lt;=INDEX(DarlBindung,12),1,0))</f>
      </c>
      <c r="H5414" s="43">
        <f>IF($G5414=1,INDEX(DarlSollzins,12),INDEX(DarlAnschluss,12))</f>
      </c>
      <c r="I5414" s="43">
        <f>IF(INDEX(DarlBelegt,12)=0,0,IF(INDEX(DarlOhneTilgung,12)=1,IF(INDEX(DarlBindung,12)="",1,$G5414),IF($J5414&gt;0.005,1,0)))</f>
      </c>
      <c r="J5414" s="43">
        <f>IF($I5413=0,0,$R5413)</f>
      </c>
      <c r="K5414" s="43">
        <f>IF($I5414=0,0,IF(INDEX(DarlOhneTilgung,12)=1,0,IF(AND(INDEX(DarlTilgStart,12)&gt;0,$E5414=INDEX(DarlTilgStart,12)),$J5414*($H5414+INDEX(DarlTilgung,12))/100/12,IF(AND($G5414=0,$G5413=1),MAX($K5413,$J5414*($H5414+1)/100/12),$K5413))))</f>
      </c>
      <c r="L5414" s="43">
        <f>IF($I5414=0,0,$J5414*$H5414/100/12)</f>
      </c>
      <c r="M5414" s="43">
        <f>IF($I5414=0,0,IF(OR(INDEX(DarlOhneTilgung,12)=1,AND(INDEX(DarlTilgStart,12)&gt;0,$E5414&lt;INDEX(DarlTilgStart,12))),0,MIN(MAX(0,$K5414-$L5414),$J5414)))</f>
      </c>
      <c r="N5414" s="43">
        <f>IF($I5414=0,0,MIN(SUMIFS(SondBetrag,SondDarl,12,SondDatum,"&gt;="&amp;$E5414,SondDatum,"&lt;="&amp;EOMONTH($E5414,0)),$J5414-$M5414))</f>
      </c>
      <c r="O5414" s="43">
        <f>IF($I5414=0,0,INDEX(DarlErsatzRate,12))</f>
      </c>
      <c r="P5414" s="43">
        <f>IF($I5414=0,0,$Q5413*INDEX(DarlErsatzZins,12))</f>
      </c>
      <c r="Q5414" s="43">
        <f>IF($I5414=0,0,$Q5413+$P5414+$O5414)</f>
      </c>
      <c r="R5414" s="43">
        <f>IF($I5414=0,0,$J5414-$M5414-$N5414)</f>
      </c>
    </row>
    <row r="5415">
      <c r="A5415"/>
      <c r="B5415">
        <v>12</v>
      </c>
      <c r="C5415" s="43">
        <f>INDEX(DarlObj,12)</f>
      </c>
      <c r="D5415">
        <v>132</v>
      </c>
      <c r="E5415" s="51">
        <f>IF(INDEX(DarlBelegt,12)=0,0,EOMONTH(INDEX(DarlAuszahlung,12),131)+1)</f>
      </c>
      <c r="F5415" s="43">
        <f>IF($E5415=0,0,YEAR($E5415))</f>
      </c>
      <c r="G5415" s="43">
        <f>IF(INDEX(DarlBindung,12)="",1,IF($E5415&lt;=INDEX(DarlBindung,12),1,0))</f>
      </c>
      <c r="H5415" s="43">
        <f>IF($G5415=1,INDEX(DarlSollzins,12),INDEX(DarlAnschluss,12))</f>
      </c>
      <c r="I5415" s="43">
        <f>IF(INDEX(DarlBelegt,12)=0,0,IF(INDEX(DarlOhneTilgung,12)=1,IF(INDEX(DarlBindung,12)="",1,$G5415),IF($J5415&gt;0.005,1,0)))</f>
      </c>
      <c r="J5415" s="43">
        <f>IF($I5414=0,0,$R5414)</f>
      </c>
      <c r="K5415" s="43">
        <f>IF($I5415=0,0,IF(INDEX(DarlOhneTilgung,12)=1,0,IF(AND(INDEX(DarlTilgStart,12)&gt;0,$E5415=INDEX(DarlTilgStart,12)),$J5415*($H5415+INDEX(DarlTilgung,12))/100/12,IF(AND($G5415=0,$G5414=1),MAX($K5414,$J5415*($H5415+1)/100/12),$K5414))))</f>
      </c>
      <c r="L5415" s="43">
        <f>IF($I5415=0,0,$J5415*$H5415/100/12)</f>
      </c>
      <c r="M5415" s="43">
        <f>IF($I5415=0,0,IF(OR(INDEX(DarlOhneTilgung,12)=1,AND(INDEX(DarlTilgStart,12)&gt;0,$E5415&lt;INDEX(DarlTilgStart,12))),0,MIN(MAX(0,$K5415-$L5415),$J5415)))</f>
      </c>
      <c r="N5415" s="43">
        <f>IF($I5415=0,0,MIN(SUMIFS(SondBetrag,SondDarl,12,SondDatum,"&gt;="&amp;$E5415,SondDatum,"&lt;="&amp;EOMONTH($E5415,0)),$J5415-$M5415))</f>
      </c>
      <c r="O5415" s="43">
        <f>IF($I5415=0,0,INDEX(DarlErsatzRate,12))</f>
      </c>
      <c r="P5415" s="43">
        <f>IF($I5415=0,0,$Q5414*INDEX(DarlErsatzZins,12))</f>
      </c>
      <c r="Q5415" s="43">
        <f>IF($I5415=0,0,$Q5414+$P5415+$O5415)</f>
      </c>
      <c r="R5415" s="43">
        <f>IF($I5415=0,0,$J5415-$M5415-$N5415)</f>
      </c>
    </row>
    <row r="5416">
      <c r="A5416"/>
      <c r="B5416">
        <v>12</v>
      </c>
      <c r="C5416" s="43">
        <f>INDEX(DarlObj,12)</f>
      </c>
      <c r="D5416">
        <v>133</v>
      </c>
      <c r="E5416" s="51">
        <f>IF(INDEX(DarlBelegt,12)=0,0,EOMONTH(INDEX(DarlAuszahlung,12),132)+1)</f>
      </c>
      <c r="F5416" s="43">
        <f>IF($E5416=0,0,YEAR($E5416))</f>
      </c>
      <c r="G5416" s="43">
        <f>IF(INDEX(DarlBindung,12)="",1,IF($E5416&lt;=INDEX(DarlBindung,12),1,0))</f>
      </c>
      <c r="H5416" s="43">
        <f>IF($G5416=1,INDEX(DarlSollzins,12),INDEX(DarlAnschluss,12))</f>
      </c>
      <c r="I5416" s="43">
        <f>IF(INDEX(DarlBelegt,12)=0,0,IF(INDEX(DarlOhneTilgung,12)=1,IF(INDEX(DarlBindung,12)="",1,$G5416),IF($J5416&gt;0.005,1,0)))</f>
      </c>
      <c r="J5416" s="43">
        <f>IF($I5415=0,0,$R5415)</f>
      </c>
      <c r="K5416" s="43">
        <f>IF($I5416=0,0,IF(INDEX(DarlOhneTilgung,12)=1,0,IF(AND(INDEX(DarlTilgStart,12)&gt;0,$E5416=INDEX(DarlTilgStart,12)),$J5416*($H5416+INDEX(DarlTilgung,12))/100/12,IF(AND($G5416=0,$G5415=1),MAX($K5415,$J5416*($H5416+1)/100/12),$K5415))))</f>
      </c>
      <c r="L5416" s="43">
        <f>IF($I5416=0,0,$J5416*$H5416/100/12)</f>
      </c>
      <c r="M5416" s="43">
        <f>IF($I5416=0,0,IF(OR(INDEX(DarlOhneTilgung,12)=1,AND(INDEX(DarlTilgStart,12)&gt;0,$E5416&lt;INDEX(DarlTilgStart,12))),0,MIN(MAX(0,$K5416-$L5416),$J5416)))</f>
      </c>
      <c r="N5416" s="43">
        <f>IF($I5416=0,0,MIN(SUMIFS(SondBetrag,SondDarl,12,SondDatum,"&gt;="&amp;$E5416,SondDatum,"&lt;="&amp;EOMONTH($E5416,0)),$J5416-$M5416))</f>
      </c>
      <c r="O5416" s="43">
        <f>IF($I5416=0,0,INDEX(DarlErsatzRate,12))</f>
      </c>
      <c r="P5416" s="43">
        <f>IF($I5416=0,0,$Q5415*INDEX(DarlErsatzZins,12))</f>
      </c>
      <c r="Q5416" s="43">
        <f>IF($I5416=0,0,$Q5415+$P5416+$O5416)</f>
      </c>
      <c r="R5416" s="43">
        <f>IF($I5416=0,0,$J5416-$M5416-$N5416)</f>
      </c>
    </row>
    <row r="5417">
      <c r="A5417"/>
      <c r="B5417">
        <v>12</v>
      </c>
      <c r="C5417" s="43">
        <f>INDEX(DarlObj,12)</f>
      </c>
      <c r="D5417">
        <v>134</v>
      </c>
      <c r="E5417" s="51">
        <f>IF(INDEX(DarlBelegt,12)=0,0,EOMONTH(INDEX(DarlAuszahlung,12),133)+1)</f>
      </c>
      <c r="F5417" s="43">
        <f>IF($E5417=0,0,YEAR($E5417))</f>
      </c>
      <c r="G5417" s="43">
        <f>IF(INDEX(DarlBindung,12)="",1,IF($E5417&lt;=INDEX(DarlBindung,12),1,0))</f>
      </c>
      <c r="H5417" s="43">
        <f>IF($G5417=1,INDEX(DarlSollzins,12),INDEX(DarlAnschluss,12))</f>
      </c>
      <c r="I5417" s="43">
        <f>IF(INDEX(DarlBelegt,12)=0,0,IF(INDEX(DarlOhneTilgung,12)=1,IF(INDEX(DarlBindung,12)="",1,$G5417),IF($J5417&gt;0.005,1,0)))</f>
      </c>
      <c r="J5417" s="43">
        <f>IF($I5416=0,0,$R5416)</f>
      </c>
      <c r="K5417" s="43">
        <f>IF($I5417=0,0,IF(INDEX(DarlOhneTilgung,12)=1,0,IF(AND(INDEX(DarlTilgStart,12)&gt;0,$E5417=INDEX(DarlTilgStart,12)),$J5417*($H5417+INDEX(DarlTilgung,12))/100/12,IF(AND($G5417=0,$G5416=1),MAX($K5416,$J5417*($H5417+1)/100/12),$K5416))))</f>
      </c>
      <c r="L5417" s="43">
        <f>IF($I5417=0,0,$J5417*$H5417/100/12)</f>
      </c>
      <c r="M5417" s="43">
        <f>IF($I5417=0,0,IF(OR(INDEX(DarlOhneTilgung,12)=1,AND(INDEX(DarlTilgStart,12)&gt;0,$E5417&lt;INDEX(DarlTilgStart,12))),0,MIN(MAX(0,$K5417-$L5417),$J5417)))</f>
      </c>
      <c r="N5417" s="43">
        <f>IF($I5417=0,0,MIN(SUMIFS(SondBetrag,SondDarl,12,SondDatum,"&gt;="&amp;$E5417,SondDatum,"&lt;="&amp;EOMONTH($E5417,0)),$J5417-$M5417))</f>
      </c>
      <c r="O5417" s="43">
        <f>IF($I5417=0,0,INDEX(DarlErsatzRate,12))</f>
      </c>
      <c r="P5417" s="43">
        <f>IF($I5417=0,0,$Q5416*INDEX(DarlErsatzZins,12))</f>
      </c>
      <c r="Q5417" s="43">
        <f>IF($I5417=0,0,$Q5416+$P5417+$O5417)</f>
      </c>
      <c r="R5417" s="43">
        <f>IF($I5417=0,0,$J5417-$M5417-$N5417)</f>
      </c>
    </row>
    <row r="5418">
      <c r="A5418"/>
      <c r="B5418">
        <v>12</v>
      </c>
      <c r="C5418" s="43">
        <f>INDEX(DarlObj,12)</f>
      </c>
      <c r="D5418">
        <v>135</v>
      </c>
      <c r="E5418" s="51">
        <f>IF(INDEX(DarlBelegt,12)=0,0,EOMONTH(INDEX(DarlAuszahlung,12),134)+1)</f>
      </c>
      <c r="F5418" s="43">
        <f>IF($E5418=0,0,YEAR($E5418))</f>
      </c>
      <c r="G5418" s="43">
        <f>IF(INDEX(DarlBindung,12)="",1,IF($E5418&lt;=INDEX(DarlBindung,12),1,0))</f>
      </c>
      <c r="H5418" s="43">
        <f>IF($G5418=1,INDEX(DarlSollzins,12),INDEX(DarlAnschluss,12))</f>
      </c>
      <c r="I5418" s="43">
        <f>IF(INDEX(DarlBelegt,12)=0,0,IF(INDEX(DarlOhneTilgung,12)=1,IF(INDEX(DarlBindung,12)="",1,$G5418),IF($J5418&gt;0.005,1,0)))</f>
      </c>
      <c r="J5418" s="43">
        <f>IF($I5417=0,0,$R5417)</f>
      </c>
      <c r="K5418" s="43">
        <f>IF($I5418=0,0,IF(INDEX(DarlOhneTilgung,12)=1,0,IF(AND(INDEX(DarlTilgStart,12)&gt;0,$E5418=INDEX(DarlTilgStart,12)),$J5418*($H5418+INDEX(DarlTilgung,12))/100/12,IF(AND($G5418=0,$G5417=1),MAX($K5417,$J5418*($H5418+1)/100/12),$K5417))))</f>
      </c>
      <c r="L5418" s="43">
        <f>IF($I5418=0,0,$J5418*$H5418/100/12)</f>
      </c>
      <c r="M5418" s="43">
        <f>IF($I5418=0,0,IF(OR(INDEX(DarlOhneTilgung,12)=1,AND(INDEX(DarlTilgStart,12)&gt;0,$E5418&lt;INDEX(DarlTilgStart,12))),0,MIN(MAX(0,$K5418-$L5418),$J5418)))</f>
      </c>
      <c r="N5418" s="43">
        <f>IF($I5418=0,0,MIN(SUMIFS(SondBetrag,SondDarl,12,SondDatum,"&gt;="&amp;$E5418,SondDatum,"&lt;="&amp;EOMONTH($E5418,0)),$J5418-$M5418))</f>
      </c>
      <c r="O5418" s="43">
        <f>IF($I5418=0,0,INDEX(DarlErsatzRate,12))</f>
      </c>
      <c r="P5418" s="43">
        <f>IF($I5418=0,0,$Q5417*INDEX(DarlErsatzZins,12))</f>
      </c>
      <c r="Q5418" s="43">
        <f>IF($I5418=0,0,$Q5417+$P5418+$O5418)</f>
      </c>
      <c r="R5418" s="43">
        <f>IF($I5418=0,0,$J5418-$M5418-$N5418)</f>
      </c>
    </row>
    <row r="5419">
      <c r="A5419"/>
      <c r="B5419">
        <v>12</v>
      </c>
      <c r="C5419" s="43">
        <f>INDEX(DarlObj,12)</f>
      </c>
      <c r="D5419">
        <v>136</v>
      </c>
      <c r="E5419" s="51">
        <f>IF(INDEX(DarlBelegt,12)=0,0,EOMONTH(INDEX(DarlAuszahlung,12),135)+1)</f>
      </c>
      <c r="F5419" s="43">
        <f>IF($E5419=0,0,YEAR($E5419))</f>
      </c>
      <c r="G5419" s="43">
        <f>IF(INDEX(DarlBindung,12)="",1,IF($E5419&lt;=INDEX(DarlBindung,12),1,0))</f>
      </c>
      <c r="H5419" s="43">
        <f>IF($G5419=1,INDEX(DarlSollzins,12),INDEX(DarlAnschluss,12))</f>
      </c>
      <c r="I5419" s="43">
        <f>IF(INDEX(DarlBelegt,12)=0,0,IF(INDEX(DarlOhneTilgung,12)=1,IF(INDEX(DarlBindung,12)="",1,$G5419),IF($J5419&gt;0.005,1,0)))</f>
      </c>
      <c r="J5419" s="43">
        <f>IF($I5418=0,0,$R5418)</f>
      </c>
      <c r="K5419" s="43">
        <f>IF($I5419=0,0,IF(INDEX(DarlOhneTilgung,12)=1,0,IF(AND(INDEX(DarlTilgStart,12)&gt;0,$E5419=INDEX(DarlTilgStart,12)),$J5419*($H5419+INDEX(DarlTilgung,12))/100/12,IF(AND($G5419=0,$G5418=1),MAX($K5418,$J5419*($H5419+1)/100/12),$K5418))))</f>
      </c>
      <c r="L5419" s="43">
        <f>IF($I5419=0,0,$J5419*$H5419/100/12)</f>
      </c>
      <c r="M5419" s="43">
        <f>IF($I5419=0,0,IF(OR(INDEX(DarlOhneTilgung,12)=1,AND(INDEX(DarlTilgStart,12)&gt;0,$E5419&lt;INDEX(DarlTilgStart,12))),0,MIN(MAX(0,$K5419-$L5419),$J5419)))</f>
      </c>
      <c r="N5419" s="43">
        <f>IF($I5419=0,0,MIN(SUMIFS(SondBetrag,SondDarl,12,SondDatum,"&gt;="&amp;$E5419,SondDatum,"&lt;="&amp;EOMONTH($E5419,0)),$J5419-$M5419))</f>
      </c>
      <c r="O5419" s="43">
        <f>IF($I5419=0,0,INDEX(DarlErsatzRate,12))</f>
      </c>
      <c r="P5419" s="43">
        <f>IF($I5419=0,0,$Q5418*INDEX(DarlErsatzZins,12))</f>
      </c>
      <c r="Q5419" s="43">
        <f>IF($I5419=0,0,$Q5418+$P5419+$O5419)</f>
      </c>
      <c r="R5419" s="43">
        <f>IF($I5419=0,0,$J5419-$M5419-$N5419)</f>
      </c>
    </row>
    <row r="5420">
      <c r="A5420"/>
      <c r="B5420">
        <v>12</v>
      </c>
      <c r="C5420" s="43">
        <f>INDEX(DarlObj,12)</f>
      </c>
      <c r="D5420">
        <v>137</v>
      </c>
      <c r="E5420" s="51">
        <f>IF(INDEX(DarlBelegt,12)=0,0,EOMONTH(INDEX(DarlAuszahlung,12),136)+1)</f>
      </c>
      <c r="F5420" s="43">
        <f>IF($E5420=0,0,YEAR($E5420))</f>
      </c>
      <c r="G5420" s="43">
        <f>IF(INDEX(DarlBindung,12)="",1,IF($E5420&lt;=INDEX(DarlBindung,12),1,0))</f>
      </c>
      <c r="H5420" s="43">
        <f>IF($G5420=1,INDEX(DarlSollzins,12),INDEX(DarlAnschluss,12))</f>
      </c>
      <c r="I5420" s="43">
        <f>IF(INDEX(DarlBelegt,12)=0,0,IF(INDEX(DarlOhneTilgung,12)=1,IF(INDEX(DarlBindung,12)="",1,$G5420),IF($J5420&gt;0.005,1,0)))</f>
      </c>
      <c r="J5420" s="43">
        <f>IF($I5419=0,0,$R5419)</f>
      </c>
      <c r="K5420" s="43">
        <f>IF($I5420=0,0,IF(INDEX(DarlOhneTilgung,12)=1,0,IF(AND(INDEX(DarlTilgStart,12)&gt;0,$E5420=INDEX(DarlTilgStart,12)),$J5420*($H5420+INDEX(DarlTilgung,12))/100/12,IF(AND($G5420=0,$G5419=1),MAX($K5419,$J5420*($H5420+1)/100/12),$K5419))))</f>
      </c>
      <c r="L5420" s="43">
        <f>IF($I5420=0,0,$J5420*$H5420/100/12)</f>
      </c>
      <c r="M5420" s="43">
        <f>IF($I5420=0,0,IF(OR(INDEX(DarlOhneTilgung,12)=1,AND(INDEX(DarlTilgStart,12)&gt;0,$E5420&lt;INDEX(DarlTilgStart,12))),0,MIN(MAX(0,$K5420-$L5420),$J5420)))</f>
      </c>
      <c r="N5420" s="43">
        <f>IF($I5420=0,0,MIN(SUMIFS(SondBetrag,SondDarl,12,SondDatum,"&gt;="&amp;$E5420,SondDatum,"&lt;="&amp;EOMONTH($E5420,0)),$J5420-$M5420))</f>
      </c>
      <c r="O5420" s="43">
        <f>IF($I5420=0,0,INDEX(DarlErsatzRate,12))</f>
      </c>
      <c r="P5420" s="43">
        <f>IF($I5420=0,0,$Q5419*INDEX(DarlErsatzZins,12))</f>
      </c>
      <c r="Q5420" s="43">
        <f>IF($I5420=0,0,$Q5419+$P5420+$O5420)</f>
      </c>
      <c r="R5420" s="43">
        <f>IF($I5420=0,0,$J5420-$M5420-$N5420)</f>
      </c>
    </row>
    <row r="5421">
      <c r="A5421"/>
      <c r="B5421">
        <v>12</v>
      </c>
      <c r="C5421" s="43">
        <f>INDEX(DarlObj,12)</f>
      </c>
      <c r="D5421">
        <v>138</v>
      </c>
      <c r="E5421" s="51">
        <f>IF(INDEX(DarlBelegt,12)=0,0,EOMONTH(INDEX(DarlAuszahlung,12),137)+1)</f>
      </c>
      <c r="F5421" s="43">
        <f>IF($E5421=0,0,YEAR($E5421))</f>
      </c>
      <c r="G5421" s="43">
        <f>IF(INDEX(DarlBindung,12)="",1,IF($E5421&lt;=INDEX(DarlBindung,12),1,0))</f>
      </c>
      <c r="H5421" s="43">
        <f>IF($G5421=1,INDEX(DarlSollzins,12),INDEX(DarlAnschluss,12))</f>
      </c>
      <c r="I5421" s="43">
        <f>IF(INDEX(DarlBelegt,12)=0,0,IF(INDEX(DarlOhneTilgung,12)=1,IF(INDEX(DarlBindung,12)="",1,$G5421),IF($J5421&gt;0.005,1,0)))</f>
      </c>
      <c r="J5421" s="43">
        <f>IF($I5420=0,0,$R5420)</f>
      </c>
      <c r="K5421" s="43">
        <f>IF($I5421=0,0,IF(INDEX(DarlOhneTilgung,12)=1,0,IF(AND(INDEX(DarlTilgStart,12)&gt;0,$E5421=INDEX(DarlTilgStart,12)),$J5421*($H5421+INDEX(DarlTilgung,12))/100/12,IF(AND($G5421=0,$G5420=1),MAX($K5420,$J5421*($H5421+1)/100/12),$K5420))))</f>
      </c>
      <c r="L5421" s="43">
        <f>IF($I5421=0,0,$J5421*$H5421/100/12)</f>
      </c>
      <c r="M5421" s="43">
        <f>IF($I5421=0,0,IF(OR(INDEX(DarlOhneTilgung,12)=1,AND(INDEX(DarlTilgStart,12)&gt;0,$E5421&lt;INDEX(DarlTilgStart,12))),0,MIN(MAX(0,$K5421-$L5421),$J5421)))</f>
      </c>
      <c r="N5421" s="43">
        <f>IF($I5421=0,0,MIN(SUMIFS(SondBetrag,SondDarl,12,SondDatum,"&gt;="&amp;$E5421,SondDatum,"&lt;="&amp;EOMONTH($E5421,0)),$J5421-$M5421))</f>
      </c>
      <c r="O5421" s="43">
        <f>IF($I5421=0,0,INDEX(DarlErsatzRate,12))</f>
      </c>
      <c r="P5421" s="43">
        <f>IF($I5421=0,0,$Q5420*INDEX(DarlErsatzZins,12))</f>
      </c>
      <c r="Q5421" s="43">
        <f>IF($I5421=0,0,$Q5420+$P5421+$O5421)</f>
      </c>
      <c r="R5421" s="43">
        <f>IF($I5421=0,0,$J5421-$M5421-$N5421)</f>
      </c>
    </row>
    <row r="5422">
      <c r="A5422"/>
      <c r="B5422">
        <v>12</v>
      </c>
      <c r="C5422" s="43">
        <f>INDEX(DarlObj,12)</f>
      </c>
      <c r="D5422">
        <v>139</v>
      </c>
      <c r="E5422" s="51">
        <f>IF(INDEX(DarlBelegt,12)=0,0,EOMONTH(INDEX(DarlAuszahlung,12),138)+1)</f>
      </c>
      <c r="F5422" s="43">
        <f>IF($E5422=0,0,YEAR($E5422))</f>
      </c>
      <c r="G5422" s="43">
        <f>IF(INDEX(DarlBindung,12)="",1,IF($E5422&lt;=INDEX(DarlBindung,12),1,0))</f>
      </c>
      <c r="H5422" s="43">
        <f>IF($G5422=1,INDEX(DarlSollzins,12),INDEX(DarlAnschluss,12))</f>
      </c>
      <c r="I5422" s="43">
        <f>IF(INDEX(DarlBelegt,12)=0,0,IF(INDEX(DarlOhneTilgung,12)=1,IF(INDEX(DarlBindung,12)="",1,$G5422),IF($J5422&gt;0.005,1,0)))</f>
      </c>
      <c r="J5422" s="43">
        <f>IF($I5421=0,0,$R5421)</f>
      </c>
      <c r="K5422" s="43">
        <f>IF($I5422=0,0,IF(INDEX(DarlOhneTilgung,12)=1,0,IF(AND(INDEX(DarlTilgStart,12)&gt;0,$E5422=INDEX(DarlTilgStart,12)),$J5422*($H5422+INDEX(DarlTilgung,12))/100/12,IF(AND($G5422=0,$G5421=1),MAX($K5421,$J5422*($H5422+1)/100/12),$K5421))))</f>
      </c>
      <c r="L5422" s="43">
        <f>IF($I5422=0,0,$J5422*$H5422/100/12)</f>
      </c>
      <c r="M5422" s="43">
        <f>IF($I5422=0,0,IF(OR(INDEX(DarlOhneTilgung,12)=1,AND(INDEX(DarlTilgStart,12)&gt;0,$E5422&lt;INDEX(DarlTilgStart,12))),0,MIN(MAX(0,$K5422-$L5422),$J5422)))</f>
      </c>
      <c r="N5422" s="43">
        <f>IF($I5422=0,0,MIN(SUMIFS(SondBetrag,SondDarl,12,SondDatum,"&gt;="&amp;$E5422,SondDatum,"&lt;="&amp;EOMONTH($E5422,0)),$J5422-$M5422))</f>
      </c>
      <c r="O5422" s="43">
        <f>IF($I5422=0,0,INDEX(DarlErsatzRate,12))</f>
      </c>
      <c r="P5422" s="43">
        <f>IF($I5422=0,0,$Q5421*INDEX(DarlErsatzZins,12))</f>
      </c>
      <c r="Q5422" s="43">
        <f>IF($I5422=0,0,$Q5421+$P5422+$O5422)</f>
      </c>
      <c r="R5422" s="43">
        <f>IF($I5422=0,0,$J5422-$M5422-$N5422)</f>
      </c>
    </row>
    <row r="5423">
      <c r="A5423"/>
      <c r="B5423">
        <v>12</v>
      </c>
      <c r="C5423" s="43">
        <f>INDEX(DarlObj,12)</f>
      </c>
      <c r="D5423">
        <v>140</v>
      </c>
      <c r="E5423" s="51">
        <f>IF(INDEX(DarlBelegt,12)=0,0,EOMONTH(INDEX(DarlAuszahlung,12),139)+1)</f>
      </c>
      <c r="F5423" s="43">
        <f>IF($E5423=0,0,YEAR($E5423))</f>
      </c>
      <c r="G5423" s="43">
        <f>IF(INDEX(DarlBindung,12)="",1,IF($E5423&lt;=INDEX(DarlBindung,12),1,0))</f>
      </c>
      <c r="H5423" s="43">
        <f>IF($G5423=1,INDEX(DarlSollzins,12),INDEX(DarlAnschluss,12))</f>
      </c>
      <c r="I5423" s="43">
        <f>IF(INDEX(DarlBelegt,12)=0,0,IF(INDEX(DarlOhneTilgung,12)=1,IF(INDEX(DarlBindung,12)="",1,$G5423),IF($J5423&gt;0.005,1,0)))</f>
      </c>
      <c r="J5423" s="43">
        <f>IF($I5422=0,0,$R5422)</f>
      </c>
      <c r="K5423" s="43">
        <f>IF($I5423=0,0,IF(INDEX(DarlOhneTilgung,12)=1,0,IF(AND(INDEX(DarlTilgStart,12)&gt;0,$E5423=INDEX(DarlTilgStart,12)),$J5423*($H5423+INDEX(DarlTilgung,12))/100/12,IF(AND($G5423=0,$G5422=1),MAX($K5422,$J5423*($H5423+1)/100/12),$K5422))))</f>
      </c>
      <c r="L5423" s="43">
        <f>IF($I5423=0,0,$J5423*$H5423/100/12)</f>
      </c>
      <c r="M5423" s="43">
        <f>IF($I5423=0,0,IF(OR(INDEX(DarlOhneTilgung,12)=1,AND(INDEX(DarlTilgStart,12)&gt;0,$E5423&lt;INDEX(DarlTilgStart,12))),0,MIN(MAX(0,$K5423-$L5423),$J5423)))</f>
      </c>
      <c r="N5423" s="43">
        <f>IF($I5423=0,0,MIN(SUMIFS(SondBetrag,SondDarl,12,SondDatum,"&gt;="&amp;$E5423,SondDatum,"&lt;="&amp;EOMONTH($E5423,0)),$J5423-$M5423))</f>
      </c>
      <c r="O5423" s="43">
        <f>IF($I5423=0,0,INDEX(DarlErsatzRate,12))</f>
      </c>
      <c r="P5423" s="43">
        <f>IF($I5423=0,0,$Q5422*INDEX(DarlErsatzZins,12))</f>
      </c>
      <c r="Q5423" s="43">
        <f>IF($I5423=0,0,$Q5422+$P5423+$O5423)</f>
      </c>
      <c r="R5423" s="43">
        <f>IF($I5423=0,0,$J5423-$M5423-$N5423)</f>
      </c>
    </row>
    <row r="5424">
      <c r="A5424"/>
      <c r="B5424">
        <v>12</v>
      </c>
      <c r="C5424" s="43">
        <f>INDEX(DarlObj,12)</f>
      </c>
      <c r="D5424">
        <v>141</v>
      </c>
      <c r="E5424" s="51">
        <f>IF(INDEX(DarlBelegt,12)=0,0,EOMONTH(INDEX(DarlAuszahlung,12),140)+1)</f>
      </c>
      <c r="F5424" s="43">
        <f>IF($E5424=0,0,YEAR($E5424))</f>
      </c>
      <c r="G5424" s="43">
        <f>IF(INDEX(DarlBindung,12)="",1,IF($E5424&lt;=INDEX(DarlBindung,12),1,0))</f>
      </c>
      <c r="H5424" s="43">
        <f>IF($G5424=1,INDEX(DarlSollzins,12),INDEX(DarlAnschluss,12))</f>
      </c>
      <c r="I5424" s="43">
        <f>IF(INDEX(DarlBelegt,12)=0,0,IF(INDEX(DarlOhneTilgung,12)=1,IF(INDEX(DarlBindung,12)="",1,$G5424),IF($J5424&gt;0.005,1,0)))</f>
      </c>
      <c r="J5424" s="43">
        <f>IF($I5423=0,0,$R5423)</f>
      </c>
      <c r="K5424" s="43">
        <f>IF($I5424=0,0,IF(INDEX(DarlOhneTilgung,12)=1,0,IF(AND(INDEX(DarlTilgStart,12)&gt;0,$E5424=INDEX(DarlTilgStart,12)),$J5424*($H5424+INDEX(DarlTilgung,12))/100/12,IF(AND($G5424=0,$G5423=1),MAX($K5423,$J5424*($H5424+1)/100/12),$K5423))))</f>
      </c>
      <c r="L5424" s="43">
        <f>IF($I5424=0,0,$J5424*$H5424/100/12)</f>
      </c>
      <c r="M5424" s="43">
        <f>IF($I5424=0,0,IF(OR(INDEX(DarlOhneTilgung,12)=1,AND(INDEX(DarlTilgStart,12)&gt;0,$E5424&lt;INDEX(DarlTilgStart,12))),0,MIN(MAX(0,$K5424-$L5424),$J5424)))</f>
      </c>
      <c r="N5424" s="43">
        <f>IF($I5424=0,0,MIN(SUMIFS(SondBetrag,SondDarl,12,SondDatum,"&gt;="&amp;$E5424,SondDatum,"&lt;="&amp;EOMONTH($E5424,0)),$J5424-$M5424))</f>
      </c>
      <c r="O5424" s="43">
        <f>IF($I5424=0,0,INDEX(DarlErsatzRate,12))</f>
      </c>
      <c r="P5424" s="43">
        <f>IF($I5424=0,0,$Q5423*INDEX(DarlErsatzZins,12))</f>
      </c>
      <c r="Q5424" s="43">
        <f>IF($I5424=0,0,$Q5423+$P5424+$O5424)</f>
      </c>
      <c r="R5424" s="43">
        <f>IF($I5424=0,0,$J5424-$M5424-$N5424)</f>
      </c>
    </row>
    <row r="5425">
      <c r="A5425"/>
      <c r="B5425">
        <v>12</v>
      </c>
      <c r="C5425" s="43">
        <f>INDEX(DarlObj,12)</f>
      </c>
      <c r="D5425">
        <v>142</v>
      </c>
      <c r="E5425" s="51">
        <f>IF(INDEX(DarlBelegt,12)=0,0,EOMONTH(INDEX(DarlAuszahlung,12),141)+1)</f>
      </c>
      <c r="F5425" s="43">
        <f>IF($E5425=0,0,YEAR($E5425))</f>
      </c>
      <c r="G5425" s="43">
        <f>IF(INDEX(DarlBindung,12)="",1,IF($E5425&lt;=INDEX(DarlBindung,12),1,0))</f>
      </c>
      <c r="H5425" s="43">
        <f>IF($G5425=1,INDEX(DarlSollzins,12),INDEX(DarlAnschluss,12))</f>
      </c>
      <c r="I5425" s="43">
        <f>IF(INDEX(DarlBelegt,12)=0,0,IF(INDEX(DarlOhneTilgung,12)=1,IF(INDEX(DarlBindung,12)="",1,$G5425),IF($J5425&gt;0.005,1,0)))</f>
      </c>
      <c r="J5425" s="43">
        <f>IF($I5424=0,0,$R5424)</f>
      </c>
      <c r="K5425" s="43">
        <f>IF($I5425=0,0,IF(INDEX(DarlOhneTilgung,12)=1,0,IF(AND(INDEX(DarlTilgStart,12)&gt;0,$E5425=INDEX(DarlTilgStart,12)),$J5425*($H5425+INDEX(DarlTilgung,12))/100/12,IF(AND($G5425=0,$G5424=1),MAX($K5424,$J5425*($H5425+1)/100/12),$K5424))))</f>
      </c>
      <c r="L5425" s="43">
        <f>IF($I5425=0,0,$J5425*$H5425/100/12)</f>
      </c>
      <c r="M5425" s="43">
        <f>IF($I5425=0,0,IF(OR(INDEX(DarlOhneTilgung,12)=1,AND(INDEX(DarlTilgStart,12)&gt;0,$E5425&lt;INDEX(DarlTilgStart,12))),0,MIN(MAX(0,$K5425-$L5425),$J5425)))</f>
      </c>
      <c r="N5425" s="43">
        <f>IF($I5425=0,0,MIN(SUMIFS(SondBetrag,SondDarl,12,SondDatum,"&gt;="&amp;$E5425,SondDatum,"&lt;="&amp;EOMONTH($E5425,0)),$J5425-$M5425))</f>
      </c>
      <c r="O5425" s="43">
        <f>IF($I5425=0,0,INDEX(DarlErsatzRate,12))</f>
      </c>
      <c r="P5425" s="43">
        <f>IF($I5425=0,0,$Q5424*INDEX(DarlErsatzZins,12))</f>
      </c>
      <c r="Q5425" s="43">
        <f>IF($I5425=0,0,$Q5424+$P5425+$O5425)</f>
      </c>
      <c r="R5425" s="43">
        <f>IF($I5425=0,0,$J5425-$M5425-$N5425)</f>
      </c>
    </row>
    <row r="5426">
      <c r="A5426"/>
      <c r="B5426">
        <v>12</v>
      </c>
      <c r="C5426" s="43">
        <f>INDEX(DarlObj,12)</f>
      </c>
      <c r="D5426">
        <v>143</v>
      </c>
      <c r="E5426" s="51">
        <f>IF(INDEX(DarlBelegt,12)=0,0,EOMONTH(INDEX(DarlAuszahlung,12),142)+1)</f>
      </c>
      <c r="F5426" s="43">
        <f>IF($E5426=0,0,YEAR($E5426))</f>
      </c>
      <c r="G5426" s="43">
        <f>IF(INDEX(DarlBindung,12)="",1,IF($E5426&lt;=INDEX(DarlBindung,12),1,0))</f>
      </c>
      <c r="H5426" s="43">
        <f>IF($G5426=1,INDEX(DarlSollzins,12),INDEX(DarlAnschluss,12))</f>
      </c>
      <c r="I5426" s="43">
        <f>IF(INDEX(DarlBelegt,12)=0,0,IF(INDEX(DarlOhneTilgung,12)=1,IF(INDEX(DarlBindung,12)="",1,$G5426),IF($J5426&gt;0.005,1,0)))</f>
      </c>
      <c r="J5426" s="43">
        <f>IF($I5425=0,0,$R5425)</f>
      </c>
      <c r="K5426" s="43">
        <f>IF($I5426=0,0,IF(INDEX(DarlOhneTilgung,12)=1,0,IF(AND(INDEX(DarlTilgStart,12)&gt;0,$E5426=INDEX(DarlTilgStart,12)),$J5426*($H5426+INDEX(DarlTilgung,12))/100/12,IF(AND($G5426=0,$G5425=1),MAX($K5425,$J5426*($H5426+1)/100/12),$K5425))))</f>
      </c>
      <c r="L5426" s="43">
        <f>IF($I5426=0,0,$J5426*$H5426/100/12)</f>
      </c>
      <c r="M5426" s="43">
        <f>IF($I5426=0,0,IF(OR(INDEX(DarlOhneTilgung,12)=1,AND(INDEX(DarlTilgStart,12)&gt;0,$E5426&lt;INDEX(DarlTilgStart,12))),0,MIN(MAX(0,$K5426-$L5426),$J5426)))</f>
      </c>
      <c r="N5426" s="43">
        <f>IF($I5426=0,0,MIN(SUMIFS(SondBetrag,SondDarl,12,SondDatum,"&gt;="&amp;$E5426,SondDatum,"&lt;="&amp;EOMONTH($E5426,0)),$J5426-$M5426))</f>
      </c>
      <c r="O5426" s="43">
        <f>IF($I5426=0,0,INDEX(DarlErsatzRate,12))</f>
      </c>
      <c r="P5426" s="43">
        <f>IF($I5426=0,0,$Q5425*INDEX(DarlErsatzZins,12))</f>
      </c>
      <c r="Q5426" s="43">
        <f>IF($I5426=0,0,$Q5425+$P5426+$O5426)</f>
      </c>
      <c r="R5426" s="43">
        <f>IF($I5426=0,0,$J5426-$M5426-$N5426)</f>
      </c>
    </row>
    <row r="5427">
      <c r="A5427"/>
      <c r="B5427">
        <v>12</v>
      </c>
      <c r="C5427" s="43">
        <f>INDEX(DarlObj,12)</f>
      </c>
      <c r="D5427">
        <v>144</v>
      </c>
      <c r="E5427" s="51">
        <f>IF(INDEX(DarlBelegt,12)=0,0,EOMONTH(INDEX(DarlAuszahlung,12),143)+1)</f>
      </c>
      <c r="F5427" s="43">
        <f>IF($E5427=0,0,YEAR($E5427))</f>
      </c>
      <c r="G5427" s="43">
        <f>IF(INDEX(DarlBindung,12)="",1,IF($E5427&lt;=INDEX(DarlBindung,12),1,0))</f>
      </c>
      <c r="H5427" s="43">
        <f>IF($G5427=1,INDEX(DarlSollzins,12),INDEX(DarlAnschluss,12))</f>
      </c>
      <c r="I5427" s="43">
        <f>IF(INDEX(DarlBelegt,12)=0,0,IF(INDEX(DarlOhneTilgung,12)=1,IF(INDEX(DarlBindung,12)="",1,$G5427),IF($J5427&gt;0.005,1,0)))</f>
      </c>
      <c r="J5427" s="43">
        <f>IF($I5426=0,0,$R5426)</f>
      </c>
      <c r="K5427" s="43">
        <f>IF($I5427=0,0,IF(INDEX(DarlOhneTilgung,12)=1,0,IF(AND(INDEX(DarlTilgStart,12)&gt;0,$E5427=INDEX(DarlTilgStart,12)),$J5427*($H5427+INDEX(DarlTilgung,12))/100/12,IF(AND($G5427=0,$G5426=1),MAX($K5426,$J5427*($H5427+1)/100/12),$K5426))))</f>
      </c>
      <c r="L5427" s="43">
        <f>IF($I5427=0,0,$J5427*$H5427/100/12)</f>
      </c>
      <c r="M5427" s="43">
        <f>IF($I5427=0,0,IF(OR(INDEX(DarlOhneTilgung,12)=1,AND(INDEX(DarlTilgStart,12)&gt;0,$E5427&lt;INDEX(DarlTilgStart,12))),0,MIN(MAX(0,$K5427-$L5427),$J5427)))</f>
      </c>
      <c r="N5427" s="43">
        <f>IF($I5427=0,0,MIN(SUMIFS(SondBetrag,SondDarl,12,SondDatum,"&gt;="&amp;$E5427,SondDatum,"&lt;="&amp;EOMONTH($E5427,0)),$J5427-$M5427))</f>
      </c>
      <c r="O5427" s="43">
        <f>IF($I5427=0,0,INDEX(DarlErsatzRate,12))</f>
      </c>
      <c r="P5427" s="43">
        <f>IF($I5427=0,0,$Q5426*INDEX(DarlErsatzZins,12))</f>
      </c>
      <c r="Q5427" s="43">
        <f>IF($I5427=0,0,$Q5426+$P5427+$O5427)</f>
      </c>
      <c r="R5427" s="43">
        <f>IF($I5427=0,0,$J5427-$M5427-$N5427)</f>
      </c>
    </row>
    <row r="5428">
      <c r="A5428"/>
      <c r="B5428">
        <v>12</v>
      </c>
      <c r="C5428" s="43">
        <f>INDEX(DarlObj,12)</f>
      </c>
      <c r="D5428">
        <v>145</v>
      </c>
      <c r="E5428" s="51">
        <f>IF(INDEX(DarlBelegt,12)=0,0,EOMONTH(INDEX(DarlAuszahlung,12),144)+1)</f>
      </c>
      <c r="F5428" s="43">
        <f>IF($E5428=0,0,YEAR($E5428))</f>
      </c>
      <c r="G5428" s="43">
        <f>IF(INDEX(DarlBindung,12)="",1,IF($E5428&lt;=INDEX(DarlBindung,12),1,0))</f>
      </c>
      <c r="H5428" s="43">
        <f>IF($G5428=1,INDEX(DarlSollzins,12),INDEX(DarlAnschluss,12))</f>
      </c>
      <c r="I5428" s="43">
        <f>IF(INDEX(DarlBelegt,12)=0,0,IF(INDEX(DarlOhneTilgung,12)=1,IF(INDEX(DarlBindung,12)="",1,$G5428),IF($J5428&gt;0.005,1,0)))</f>
      </c>
      <c r="J5428" s="43">
        <f>IF($I5427=0,0,$R5427)</f>
      </c>
      <c r="K5428" s="43">
        <f>IF($I5428=0,0,IF(INDEX(DarlOhneTilgung,12)=1,0,IF(AND(INDEX(DarlTilgStart,12)&gt;0,$E5428=INDEX(DarlTilgStart,12)),$J5428*($H5428+INDEX(DarlTilgung,12))/100/12,IF(AND($G5428=0,$G5427=1),MAX($K5427,$J5428*($H5428+1)/100/12),$K5427))))</f>
      </c>
      <c r="L5428" s="43">
        <f>IF($I5428=0,0,$J5428*$H5428/100/12)</f>
      </c>
      <c r="M5428" s="43">
        <f>IF($I5428=0,0,IF(OR(INDEX(DarlOhneTilgung,12)=1,AND(INDEX(DarlTilgStart,12)&gt;0,$E5428&lt;INDEX(DarlTilgStart,12))),0,MIN(MAX(0,$K5428-$L5428),$J5428)))</f>
      </c>
      <c r="N5428" s="43">
        <f>IF($I5428=0,0,MIN(SUMIFS(SondBetrag,SondDarl,12,SondDatum,"&gt;="&amp;$E5428,SondDatum,"&lt;="&amp;EOMONTH($E5428,0)),$J5428-$M5428))</f>
      </c>
      <c r="O5428" s="43">
        <f>IF($I5428=0,0,INDEX(DarlErsatzRate,12))</f>
      </c>
      <c r="P5428" s="43">
        <f>IF($I5428=0,0,$Q5427*INDEX(DarlErsatzZins,12))</f>
      </c>
      <c r="Q5428" s="43">
        <f>IF($I5428=0,0,$Q5427+$P5428+$O5428)</f>
      </c>
      <c r="R5428" s="43">
        <f>IF($I5428=0,0,$J5428-$M5428-$N5428)</f>
      </c>
    </row>
    <row r="5429">
      <c r="A5429"/>
      <c r="B5429">
        <v>12</v>
      </c>
      <c r="C5429" s="43">
        <f>INDEX(DarlObj,12)</f>
      </c>
      <c r="D5429">
        <v>146</v>
      </c>
      <c r="E5429" s="51">
        <f>IF(INDEX(DarlBelegt,12)=0,0,EOMONTH(INDEX(DarlAuszahlung,12),145)+1)</f>
      </c>
      <c r="F5429" s="43">
        <f>IF($E5429=0,0,YEAR($E5429))</f>
      </c>
      <c r="G5429" s="43">
        <f>IF(INDEX(DarlBindung,12)="",1,IF($E5429&lt;=INDEX(DarlBindung,12),1,0))</f>
      </c>
      <c r="H5429" s="43">
        <f>IF($G5429=1,INDEX(DarlSollzins,12),INDEX(DarlAnschluss,12))</f>
      </c>
      <c r="I5429" s="43">
        <f>IF(INDEX(DarlBelegt,12)=0,0,IF(INDEX(DarlOhneTilgung,12)=1,IF(INDEX(DarlBindung,12)="",1,$G5429),IF($J5429&gt;0.005,1,0)))</f>
      </c>
      <c r="J5429" s="43">
        <f>IF($I5428=0,0,$R5428)</f>
      </c>
      <c r="K5429" s="43">
        <f>IF($I5429=0,0,IF(INDEX(DarlOhneTilgung,12)=1,0,IF(AND(INDEX(DarlTilgStart,12)&gt;0,$E5429=INDEX(DarlTilgStart,12)),$J5429*($H5429+INDEX(DarlTilgung,12))/100/12,IF(AND($G5429=0,$G5428=1),MAX($K5428,$J5429*($H5429+1)/100/12),$K5428))))</f>
      </c>
      <c r="L5429" s="43">
        <f>IF($I5429=0,0,$J5429*$H5429/100/12)</f>
      </c>
      <c r="M5429" s="43">
        <f>IF($I5429=0,0,IF(OR(INDEX(DarlOhneTilgung,12)=1,AND(INDEX(DarlTilgStart,12)&gt;0,$E5429&lt;INDEX(DarlTilgStart,12))),0,MIN(MAX(0,$K5429-$L5429),$J5429)))</f>
      </c>
      <c r="N5429" s="43">
        <f>IF($I5429=0,0,MIN(SUMIFS(SondBetrag,SondDarl,12,SondDatum,"&gt;="&amp;$E5429,SondDatum,"&lt;="&amp;EOMONTH($E5429,0)),$J5429-$M5429))</f>
      </c>
      <c r="O5429" s="43">
        <f>IF($I5429=0,0,INDEX(DarlErsatzRate,12))</f>
      </c>
      <c r="P5429" s="43">
        <f>IF($I5429=0,0,$Q5428*INDEX(DarlErsatzZins,12))</f>
      </c>
      <c r="Q5429" s="43">
        <f>IF($I5429=0,0,$Q5428+$P5429+$O5429)</f>
      </c>
      <c r="R5429" s="43">
        <f>IF($I5429=0,0,$J5429-$M5429-$N5429)</f>
      </c>
    </row>
    <row r="5430">
      <c r="A5430"/>
      <c r="B5430">
        <v>12</v>
      </c>
      <c r="C5430" s="43">
        <f>INDEX(DarlObj,12)</f>
      </c>
      <c r="D5430">
        <v>147</v>
      </c>
      <c r="E5430" s="51">
        <f>IF(INDEX(DarlBelegt,12)=0,0,EOMONTH(INDEX(DarlAuszahlung,12),146)+1)</f>
      </c>
      <c r="F5430" s="43">
        <f>IF($E5430=0,0,YEAR($E5430))</f>
      </c>
      <c r="G5430" s="43">
        <f>IF(INDEX(DarlBindung,12)="",1,IF($E5430&lt;=INDEX(DarlBindung,12),1,0))</f>
      </c>
      <c r="H5430" s="43">
        <f>IF($G5430=1,INDEX(DarlSollzins,12),INDEX(DarlAnschluss,12))</f>
      </c>
      <c r="I5430" s="43">
        <f>IF(INDEX(DarlBelegt,12)=0,0,IF(INDEX(DarlOhneTilgung,12)=1,IF(INDEX(DarlBindung,12)="",1,$G5430),IF($J5430&gt;0.005,1,0)))</f>
      </c>
      <c r="J5430" s="43">
        <f>IF($I5429=0,0,$R5429)</f>
      </c>
      <c r="K5430" s="43">
        <f>IF($I5430=0,0,IF(INDEX(DarlOhneTilgung,12)=1,0,IF(AND(INDEX(DarlTilgStart,12)&gt;0,$E5430=INDEX(DarlTilgStart,12)),$J5430*($H5430+INDEX(DarlTilgung,12))/100/12,IF(AND($G5430=0,$G5429=1),MAX($K5429,$J5430*($H5430+1)/100/12),$K5429))))</f>
      </c>
      <c r="L5430" s="43">
        <f>IF($I5430=0,0,$J5430*$H5430/100/12)</f>
      </c>
      <c r="M5430" s="43">
        <f>IF($I5430=0,0,IF(OR(INDEX(DarlOhneTilgung,12)=1,AND(INDEX(DarlTilgStart,12)&gt;0,$E5430&lt;INDEX(DarlTilgStart,12))),0,MIN(MAX(0,$K5430-$L5430),$J5430)))</f>
      </c>
      <c r="N5430" s="43">
        <f>IF($I5430=0,0,MIN(SUMIFS(SondBetrag,SondDarl,12,SondDatum,"&gt;="&amp;$E5430,SondDatum,"&lt;="&amp;EOMONTH($E5430,0)),$J5430-$M5430))</f>
      </c>
      <c r="O5430" s="43">
        <f>IF($I5430=0,0,INDEX(DarlErsatzRate,12))</f>
      </c>
      <c r="P5430" s="43">
        <f>IF($I5430=0,0,$Q5429*INDEX(DarlErsatzZins,12))</f>
      </c>
      <c r="Q5430" s="43">
        <f>IF($I5430=0,0,$Q5429+$P5430+$O5430)</f>
      </c>
      <c r="R5430" s="43">
        <f>IF($I5430=0,0,$J5430-$M5430-$N5430)</f>
      </c>
    </row>
    <row r="5431">
      <c r="A5431"/>
      <c r="B5431">
        <v>12</v>
      </c>
      <c r="C5431" s="43">
        <f>INDEX(DarlObj,12)</f>
      </c>
      <c r="D5431">
        <v>148</v>
      </c>
      <c r="E5431" s="51">
        <f>IF(INDEX(DarlBelegt,12)=0,0,EOMONTH(INDEX(DarlAuszahlung,12),147)+1)</f>
      </c>
      <c r="F5431" s="43">
        <f>IF($E5431=0,0,YEAR($E5431))</f>
      </c>
      <c r="G5431" s="43">
        <f>IF(INDEX(DarlBindung,12)="",1,IF($E5431&lt;=INDEX(DarlBindung,12),1,0))</f>
      </c>
      <c r="H5431" s="43">
        <f>IF($G5431=1,INDEX(DarlSollzins,12),INDEX(DarlAnschluss,12))</f>
      </c>
      <c r="I5431" s="43">
        <f>IF(INDEX(DarlBelegt,12)=0,0,IF(INDEX(DarlOhneTilgung,12)=1,IF(INDEX(DarlBindung,12)="",1,$G5431),IF($J5431&gt;0.005,1,0)))</f>
      </c>
      <c r="J5431" s="43">
        <f>IF($I5430=0,0,$R5430)</f>
      </c>
      <c r="K5431" s="43">
        <f>IF($I5431=0,0,IF(INDEX(DarlOhneTilgung,12)=1,0,IF(AND(INDEX(DarlTilgStart,12)&gt;0,$E5431=INDEX(DarlTilgStart,12)),$J5431*($H5431+INDEX(DarlTilgung,12))/100/12,IF(AND($G5431=0,$G5430=1),MAX($K5430,$J5431*($H5431+1)/100/12),$K5430))))</f>
      </c>
      <c r="L5431" s="43">
        <f>IF($I5431=0,0,$J5431*$H5431/100/12)</f>
      </c>
      <c r="M5431" s="43">
        <f>IF($I5431=0,0,IF(OR(INDEX(DarlOhneTilgung,12)=1,AND(INDEX(DarlTilgStart,12)&gt;0,$E5431&lt;INDEX(DarlTilgStart,12))),0,MIN(MAX(0,$K5431-$L5431),$J5431)))</f>
      </c>
      <c r="N5431" s="43">
        <f>IF($I5431=0,0,MIN(SUMIFS(SondBetrag,SondDarl,12,SondDatum,"&gt;="&amp;$E5431,SondDatum,"&lt;="&amp;EOMONTH($E5431,0)),$J5431-$M5431))</f>
      </c>
      <c r="O5431" s="43">
        <f>IF($I5431=0,0,INDEX(DarlErsatzRate,12))</f>
      </c>
      <c r="P5431" s="43">
        <f>IF($I5431=0,0,$Q5430*INDEX(DarlErsatzZins,12))</f>
      </c>
      <c r="Q5431" s="43">
        <f>IF($I5431=0,0,$Q5430+$P5431+$O5431)</f>
      </c>
      <c r="R5431" s="43">
        <f>IF($I5431=0,0,$J5431-$M5431-$N5431)</f>
      </c>
    </row>
    <row r="5432">
      <c r="A5432"/>
      <c r="B5432">
        <v>12</v>
      </c>
      <c r="C5432" s="43">
        <f>INDEX(DarlObj,12)</f>
      </c>
      <c r="D5432">
        <v>149</v>
      </c>
      <c r="E5432" s="51">
        <f>IF(INDEX(DarlBelegt,12)=0,0,EOMONTH(INDEX(DarlAuszahlung,12),148)+1)</f>
      </c>
      <c r="F5432" s="43">
        <f>IF($E5432=0,0,YEAR($E5432))</f>
      </c>
      <c r="G5432" s="43">
        <f>IF(INDEX(DarlBindung,12)="",1,IF($E5432&lt;=INDEX(DarlBindung,12),1,0))</f>
      </c>
      <c r="H5432" s="43">
        <f>IF($G5432=1,INDEX(DarlSollzins,12),INDEX(DarlAnschluss,12))</f>
      </c>
      <c r="I5432" s="43">
        <f>IF(INDEX(DarlBelegt,12)=0,0,IF(INDEX(DarlOhneTilgung,12)=1,IF(INDEX(DarlBindung,12)="",1,$G5432),IF($J5432&gt;0.005,1,0)))</f>
      </c>
      <c r="J5432" s="43">
        <f>IF($I5431=0,0,$R5431)</f>
      </c>
      <c r="K5432" s="43">
        <f>IF($I5432=0,0,IF(INDEX(DarlOhneTilgung,12)=1,0,IF(AND(INDEX(DarlTilgStart,12)&gt;0,$E5432=INDEX(DarlTilgStart,12)),$J5432*($H5432+INDEX(DarlTilgung,12))/100/12,IF(AND($G5432=0,$G5431=1),MAX($K5431,$J5432*($H5432+1)/100/12),$K5431))))</f>
      </c>
      <c r="L5432" s="43">
        <f>IF($I5432=0,0,$J5432*$H5432/100/12)</f>
      </c>
      <c r="M5432" s="43">
        <f>IF($I5432=0,0,IF(OR(INDEX(DarlOhneTilgung,12)=1,AND(INDEX(DarlTilgStart,12)&gt;0,$E5432&lt;INDEX(DarlTilgStart,12))),0,MIN(MAX(0,$K5432-$L5432),$J5432)))</f>
      </c>
      <c r="N5432" s="43">
        <f>IF($I5432=0,0,MIN(SUMIFS(SondBetrag,SondDarl,12,SondDatum,"&gt;="&amp;$E5432,SondDatum,"&lt;="&amp;EOMONTH($E5432,0)),$J5432-$M5432))</f>
      </c>
      <c r="O5432" s="43">
        <f>IF($I5432=0,0,INDEX(DarlErsatzRate,12))</f>
      </c>
      <c r="P5432" s="43">
        <f>IF($I5432=0,0,$Q5431*INDEX(DarlErsatzZins,12))</f>
      </c>
      <c r="Q5432" s="43">
        <f>IF($I5432=0,0,$Q5431+$P5432+$O5432)</f>
      </c>
      <c r="R5432" s="43">
        <f>IF($I5432=0,0,$J5432-$M5432-$N5432)</f>
      </c>
    </row>
    <row r="5433">
      <c r="A5433"/>
      <c r="B5433">
        <v>12</v>
      </c>
      <c r="C5433" s="43">
        <f>INDEX(DarlObj,12)</f>
      </c>
      <c r="D5433">
        <v>150</v>
      </c>
      <c r="E5433" s="51">
        <f>IF(INDEX(DarlBelegt,12)=0,0,EOMONTH(INDEX(DarlAuszahlung,12),149)+1)</f>
      </c>
      <c r="F5433" s="43">
        <f>IF($E5433=0,0,YEAR($E5433))</f>
      </c>
      <c r="G5433" s="43">
        <f>IF(INDEX(DarlBindung,12)="",1,IF($E5433&lt;=INDEX(DarlBindung,12),1,0))</f>
      </c>
      <c r="H5433" s="43">
        <f>IF($G5433=1,INDEX(DarlSollzins,12),INDEX(DarlAnschluss,12))</f>
      </c>
      <c r="I5433" s="43">
        <f>IF(INDEX(DarlBelegt,12)=0,0,IF(INDEX(DarlOhneTilgung,12)=1,IF(INDEX(DarlBindung,12)="",1,$G5433),IF($J5433&gt;0.005,1,0)))</f>
      </c>
      <c r="J5433" s="43">
        <f>IF($I5432=0,0,$R5432)</f>
      </c>
      <c r="K5433" s="43">
        <f>IF($I5433=0,0,IF(INDEX(DarlOhneTilgung,12)=1,0,IF(AND(INDEX(DarlTilgStart,12)&gt;0,$E5433=INDEX(DarlTilgStart,12)),$J5433*($H5433+INDEX(DarlTilgung,12))/100/12,IF(AND($G5433=0,$G5432=1),MAX($K5432,$J5433*($H5433+1)/100/12),$K5432))))</f>
      </c>
      <c r="L5433" s="43">
        <f>IF($I5433=0,0,$J5433*$H5433/100/12)</f>
      </c>
      <c r="M5433" s="43">
        <f>IF($I5433=0,0,IF(OR(INDEX(DarlOhneTilgung,12)=1,AND(INDEX(DarlTilgStart,12)&gt;0,$E5433&lt;INDEX(DarlTilgStart,12))),0,MIN(MAX(0,$K5433-$L5433),$J5433)))</f>
      </c>
      <c r="N5433" s="43">
        <f>IF($I5433=0,0,MIN(SUMIFS(SondBetrag,SondDarl,12,SondDatum,"&gt;="&amp;$E5433,SondDatum,"&lt;="&amp;EOMONTH($E5433,0)),$J5433-$M5433))</f>
      </c>
      <c r="O5433" s="43">
        <f>IF($I5433=0,0,INDEX(DarlErsatzRate,12))</f>
      </c>
      <c r="P5433" s="43">
        <f>IF($I5433=0,0,$Q5432*INDEX(DarlErsatzZins,12))</f>
      </c>
      <c r="Q5433" s="43">
        <f>IF($I5433=0,0,$Q5432+$P5433+$O5433)</f>
      </c>
      <c r="R5433" s="43">
        <f>IF($I5433=0,0,$J5433-$M5433-$N5433)</f>
      </c>
    </row>
    <row r="5434">
      <c r="A5434"/>
      <c r="B5434">
        <v>12</v>
      </c>
      <c r="C5434" s="43">
        <f>INDEX(DarlObj,12)</f>
      </c>
      <c r="D5434">
        <v>151</v>
      </c>
      <c r="E5434" s="51">
        <f>IF(INDEX(DarlBelegt,12)=0,0,EOMONTH(INDEX(DarlAuszahlung,12),150)+1)</f>
      </c>
      <c r="F5434" s="43">
        <f>IF($E5434=0,0,YEAR($E5434))</f>
      </c>
      <c r="G5434" s="43">
        <f>IF(INDEX(DarlBindung,12)="",1,IF($E5434&lt;=INDEX(DarlBindung,12),1,0))</f>
      </c>
      <c r="H5434" s="43">
        <f>IF($G5434=1,INDEX(DarlSollzins,12),INDEX(DarlAnschluss,12))</f>
      </c>
      <c r="I5434" s="43">
        <f>IF(INDEX(DarlBelegt,12)=0,0,IF(INDEX(DarlOhneTilgung,12)=1,IF(INDEX(DarlBindung,12)="",1,$G5434),IF($J5434&gt;0.005,1,0)))</f>
      </c>
      <c r="J5434" s="43">
        <f>IF($I5433=0,0,$R5433)</f>
      </c>
      <c r="K5434" s="43">
        <f>IF($I5434=0,0,IF(INDEX(DarlOhneTilgung,12)=1,0,IF(AND(INDEX(DarlTilgStart,12)&gt;0,$E5434=INDEX(DarlTilgStart,12)),$J5434*($H5434+INDEX(DarlTilgung,12))/100/12,IF(AND($G5434=0,$G5433=1),MAX($K5433,$J5434*($H5434+1)/100/12),$K5433))))</f>
      </c>
      <c r="L5434" s="43">
        <f>IF($I5434=0,0,$J5434*$H5434/100/12)</f>
      </c>
      <c r="M5434" s="43">
        <f>IF($I5434=0,0,IF(OR(INDEX(DarlOhneTilgung,12)=1,AND(INDEX(DarlTilgStart,12)&gt;0,$E5434&lt;INDEX(DarlTilgStart,12))),0,MIN(MAX(0,$K5434-$L5434),$J5434)))</f>
      </c>
      <c r="N5434" s="43">
        <f>IF($I5434=0,0,MIN(SUMIFS(SondBetrag,SondDarl,12,SondDatum,"&gt;="&amp;$E5434,SondDatum,"&lt;="&amp;EOMONTH($E5434,0)),$J5434-$M5434))</f>
      </c>
      <c r="O5434" s="43">
        <f>IF($I5434=0,0,INDEX(DarlErsatzRate,12))</f>
      </c>
      <c r="P5434" s="43">
        <f>IF($I5434=0,0,$Q5433*INDEX(DarlErsatzZins,12))</f>
      </c>
      <c r="Q5434" s="43">
        <f>IF($I5434=0,0,$Q5433+$P5434+$O5434)</f>
      </c>
      <c r="R5434" s="43">
        <f>IF($I5434=0,0,$J5434-$M5434-$N5434)</f>
      </c>
    </row>
    <row r="5435">
      <c r="A5435"/>
      <c r="B5435">
        <v>12</v>
      </c>
      <c r="C5435" s="43">
        <f>INDEX(DarlObj,12)</f>
      </c>
      <c r="D5435">
        <v>152</v>
      </c>
      <c r="E5435" s="51">
        <f>IF(INDEX(DarlBelegt,12)=0,0,EOMONTH(INDEX(DarlAuszahlung,12),151)+1)</f>
      </c>
      <c r="F5435" s="43">
        <f>IF($E5435=0,0,YEAR($E5435))</f>
      </c>
      <c r="G5435" s="43">
        <f>IF(INDEX(DarlBindung,12)="",1,IF($E5435&lt;=INDEX(DarlBindung,12),1,0))</f>
      </c>
      <c r="H5435" s="43">
        <f>IF($G5435=1,INDEX(DarlSollzins,12),INDEX(DarlAnschluss,12))</f>
      </c>
      <c r="I5435" s="43">
        <f>IF(INDEX(DarlBelegt,12)=0,0,IF(INDEX(DarlOhneTilgung,12)=1,IF(INDEX(DarlBindung,12)="",1,$G5435),IF($J5435&gt;0.005,1,0)))</f>
      </c>
      <c r="J5435" s="43">
        <f>IF($I5434=0,0,$R5434)</f>
      </c>
      <c r="K5435" s="43">
        <f>IF($I5435=0,0,IF(INDEX(DarlOhneTilgung,12)=1,0,IF(AND(INDEX(DarlTilgStart,12)&gt;0,$E5435=INDEX(DarlTilgStart,12)),$J5435*($H5435+INDEX(DarlTilgung,12))/100/12,IF(AND($G5435=0,$G5434=1),MAX($K5434,$J5435*($H5435+1)/100/12),$K5434))))</f>
      </c>
      <c r="L5435" s="43">
        <f>IF($I5435=0,0,$J5435*$H5435/100/12)</f>
      </c>
      <c r="M5435" s="43">
        <f>IF($I5435=0,0,IF(OR(INDEX(DarlOhneTilgung,12)=1,AND(INDEX(DarlTilgStart,12)&gt;0,$E5435&lt;INDEX(DarlTilgStart,12))),0,MIN(MAX(0,$K5435-$L5435),$J5435)))</f>
      </c>
      <c r="N5435" s="43">
        <f>IF($I5435=0,0,MIN(SUMIFS(SondBetrag,SondDarl,12,SondDatum,"&gt;="&amp;$E5435,SondDatum,"&lt;="&amp;EOMONTH($E5435,0)),$J5435-$M5435))</f>
      </c>
      <c r="O5435" s="43">
        <f>IF($I5435=0,0,INDEX(DarlErsatzRate,12))</f>
      </c>
      <c r="P5435" s="43">
        <f>IF($I5435=0,0,$Q5434*INDEX(DarlErsatzZins,12))</f>
      </c>
      <c r="Q5435" s="43">
        <f>IF($I5435=0,0,$Q5434+$P5435+$O5435)</f>
      </c>
      <c r="R5435" s="43">
        <f>IF($I5435=0,0,$J5435-$M5435-$N5435)</f>
      </c>
    </row>
    <row r="5436">
      <c r="A5436"/>
      <c r="B5436">
        <v>12</v>
      </c>
      <c r="C5436" s="43">
        <f>INDEX(DarlObj,12)</f>
      </c>
      <c r="D5436">
        <v>153</v>
      </c>
      <c r="E5436" s="51">
        <f>IF(INDEX(DarlBelegt,12)=0,0,EOMONTH(INDEX(DarlAuszahlung,12),152)+1)</f>
      </c>
      <c r="F5436" s="43">
        <f>IF($E5436=0,0,YEAR($E5436))</f>
      </c>
      <c r="G5436" s="43">
        <f>IF(INDEX(DarlBindung,12)="",1,IF($E5436&lt;=INDEX(DarlBindung,12),1,0))</f>
      </c>
      <c r="H5436" s="43">
        <f>IF($G5436=1,INDEX(DarlSollzins,12),INDEX(DarlAnschluss,12))</f>
      </c>
      <c r="I5436" s="43">
        <f>IF(INDEX(DarlBelegt,12)=0,0,IF(INDEX(DarlOhneTilgung,12)=1,IF(INDEX(DarlBindung,12)="",1,$G5436),IF($J5436&gt;0.005,1,0)))</f>
      </c>
      <c r="J5436" s="43">
        <f>IF($I5435=0,0,$R5435)</f>
      </c>
      <c r="K5436" s="43">
        <f>IF($I5436=0,0,IF(INDEX(DarlOhneTilgung,12)=1,0,IF(AND(INDEX(DarlTilgStart,12)&gt;0,$E5436=INDEX(DarlTilgStart,12)),$J5436*($H5436+INDEX(DarlTilgung,12))/100/12,IF(AND($G5436=0,$G5435=1),MAX($K5435,$J5436*($H5436+1)/100/12),$K5435))))</f>
      </c>
      <c r="L5436" s="43">
        <f>IF($I5436=0,0,$J5436*$H5436/100/12)</f>
      </c>
      <c r="M5436" s="43">
        <f>IF($I5436=0,0,IF(OR(INDEX(DarlOhneTilgung,12)=1,AND(INDEX(DarlTilgStart,12)&gt;0,$E5436&lt;INDEX(DarlTilgStart,12))),0,MIN(MAX(0,$K5436-$L5436),$J5436)))</f>
      </c>
      <c r="N5436" s="43">
        <f>IF($I5436=0,0,MIN(SUMIFS(SondBetrag,SondDarl,12,SondDatum,"&gt;="&amp;$E5436,SondDatum,"&lt;="&amp;EOMONTH($E5436,0)),$J5436-$M5436))</f>
      </c>
      <c r="O5436" s="43">
        <f>IF($I5436=0,0,INDEX(DarlErsatzRate,12))</f>
      </c>
      <c r="P5436" s="43">
        <f>IF($I5436=0,0,$Q5435*INDEX(DarlErsatzZins,12))</f>
      </c>
      <c r="Q5436" s="43">
        <f>IF($I5436=0,0,$Q5435+$P5436+$O5436)</f>
      </c>
      <c r="R5436" s="43">
        <f>IF($I5436=0,0,$J5436-$M5436-$N5436)</f>
      </c>
    </row>
    <row r="5437">
      <c r="A5437"/>
      <c r="B5437">
        <v>12</v>
      </c>
      <c r="C5437" s="43">
        <f>INDEX(DarlObj,12)</f>
      </c>
      <c r="D5437">
        <v>154</v>
      </c>
      <c r="E5437" s="51">
        <f>IF(INDEX(DarlBelegt,12)=0,0,EOMONTH(INDEX(DarlAuszahlung,12),153)+1)</f>
      </c>
      <c r="F5437" s="43">
        <f>IF($E5437=0,0,YEAR($E5437))</f>
      </c>
      <c r="G5437" s="43">
        <f>IF(INDEX(DarlBindung,12)="",1,IF($E5437&lt;=INDEX(DarlBindung,12),1,0))</f>
      </c>
      <c r="H5437" s="43">
        <f>IF($G5437=1,INDEX(DarlSollzins,12),INDEX(DarlAnschluss,12))</f>
      </c>
      <c r="I5437" s="43">
        <f>IF(INDEX(DarlBelegt,12)=0,0,IF(INDEX(DarlOhneTilgung,12)=1,IF(INDEX(DarlBindung,12)="",1,$G5437),IF($J5437&gt;0.005,1,0)))</f>
      </c>
      <c r="J5437" s="43">
        <f>IF($I5436=0,0,$R5436)</f>
      </c>
      <c r="K5437" s="43">
        <f>IF($I5437=0,0,IF(INDEX(DarlOhneTilgung,12)=1,0,IF(AND(INDEX(DarlTilgStart,12)&gt;0,$E5437=INDEX(DarlTilgStart,12)),$J5437*($H5437+INDEX(DarlTilgung,12))/100/12,IF(AND($G5437=0,$G5436=1),MAX($K5436,$J5437*($H5437+1)/100/12),$K5436))))</f>
      </c>
      <c r="L5437" s="43">
        <f>IF($I5437=0,0,$J5437*$H5437/100/12)</f>
      </c>
      <c r="M5437" s="43">
        <f>IF($I5437=0,0,IF(OR(INDEX(DarlOhneTilgung,12)=1,AND(INDEX(DarlTilgStart,12)&gt;0,$E5437&lt;INDEX(DarlTilgStart,12))),0,MIN(MAX(0,$K5437-$L5437),$J5437)))</f>
      </c>
      <c r="N5437" s="43">
        <f>IF($I5437=0,0,MIN(SUMIFS(SondBetrag,SondDarl,12,SondDatum,"&gt;="&amp;$E5437,SondDatum,"&lt;="&amp;EOMONTH($E5437,0)),$J5437-$M5437))</f>
      </c>
      <c r="O5437" s="43">
        <f>IF($I5437=0,0,INDEX(DarlErsatzRate,12))</f>
      </c>
      <c r="P5437" s="43">
        <f>IF($I5437=0,0,$Q5436*INDEX(DarlErsatzZins,12))</f>
      </c>
      <c r="Q5437" s="43">
        <f>IF($I5437=0,0,$Q5436+$P5437+$O5437)</f>
      </c>
      <c r="R5437" s="43">
        <f>IF($I5437=0,0,$J5437-$M5437-$N5437)</f>
      </c>
    </row>
    <row r="5438">
      <c r="A5438"/>
      <c r="B5438">
        <v>12</v>
      </c>
      <c r="C5438" s="43">
        <f>INDEX(DarlObj,12)</f>
      </c>
      <c r="D5438">
        <v>155</v>
      </c>
      <c r="E5438" s="51">
        <f>IF(INDEX(DarlBelegt,12)=0,0,EOMONTH(INDEX(DarlAuszahlung,12),154)+1)</f>
      </c>
      <c r="F5438" s="43">
        <f>IF($E5438=0,0,YEAR($E5438))</f>
      </c>
      <c r="G5438" s="43">
        <f>IF(INDEX(DarlBindung,12)="",1,IF($E5438&lt;=INDEX(DarlBindung,12),1,0))</f>
      </c>
      <c r="H5438" s="43">
        <f>IF($G5438=1,INDEX(DarlSollzins,12),INDEX(DarlAnschluss,12))</f>
      </c>
      <c r="I5438" s="43">
        <f>IF(INDEX(DarlBelegt,12)=0,0,IF(INDEX(DarlOhneTilgung,12)=1,IF(INDEX(DarlBindung,12)="",1,$G5438),IF($J5438&gt;0.005,1,0)))</f>
      </c>
      <c r="J5438" s="43">
        <f>IF($I5437=0,0,$R5437)</f>
      </c>
      <c r="K5438" s="43">
        <f>IF($I5438=0,0,IF(INDEX(DarlOhneTilgung,12)=1,0,IF(AND(INDEX(DarlTilgStart,12)&gt;0,$E5438=INDEX(DarlTilgStart,12)),$J5438*($H5438+INDEX(DarlTilgung,12))/100/12,IF(AND($G5438=0,$G5437=1),MAX($K5437,$J5438*($H5438+1)/100/12),$K5437))))</f>
      </c>
      <c r="L5438" s="43">
        <f>IF($I5438=0,0,$J5438*$H5438/100/12)</f>
      </c>
      <c r="M5438" s="43">
        <f>IF($I5438=0,0,IF(OR(INDEX(DarlOhneTilgung,12)=1,AND(INDEX(DarlTilgStart,12)&gt;0,$E5438&lt;INDEX(DarlTilgStart,12))),0,MIN(MAX(0,$K5438-$L5438),$J5438)))</f>
      </c>
      <c r="N5438" s="43">
        <f>IF($I5438=0,0,MIN(SUMIFS(SondBetrag,SondDarl,12,SondDatum,"&gt;="&amp;$E5438,SondDatum,"&lt;="&amp;EOMONTH($E5438,0)),$J5438-$M5438))</f>
      </c>
      <c r="O5438" s="43">
        <f>IF($I5438=0,0,INDEX(DarlErsatzRate,12))</f>
      </c>
      <c r="P5438" s="43">
        <f>IF($I5438=0,0,$Q5437*INDEX(DarlErsatzZins,12))</f>
      </c>
      <c r="Q5438" s="43">
        <f>IF($I5438=0,0,$Q5437+$P5438+$O5438)</f>
      </c>
      <c r="R5438" s="43">
        <f>IF($I5438=0,0,$J5438-$M5438-$N5438)</f>
      </c>
    </row>
    <row r="5439">
      <c r="A5439"/>
      <c r="B5439">
        <v>12</v>
      </c>
      <c r="C5439" s="43">
        <f>INDEX(DarlObj,12)</f>
      </c>
      <c r="D5439">
        <v>156</v>
      </c>
      <c r="E5439" s="51">
        <f>IF(INDEX(DarlBelegt,12)=0,0,EOMONTH(INDEX(DarlAuszahlung,12),155)+1)</f>
      </c>
      <c r="F5439" s="43">
        <f>IF($E5439=0,0,YEAR($E5439))</f>
      </c>
      <c r="G5439" s="43">
        <f>IF(INDEX(DarlBindung,12)="",1,IF($E5439&lt;=INDEX(DarlBindung,12),1,0))</f>
      </c>
      <c r="H5439" s="43">
        <f>IF($G5439=1,INDEX(DarlSollzins,12),INDEX(DarlAnschluss,12))</f>
      </c>
      <c r="I5439" s="43">
        <f>IF(INDEX(DarlBelegt,12)=0,0,IF(INDEX(DarlOhneTilgung,12)=1,IF(INDEX(DarlBindung,12)="",1,$G5439),IF($J5439&gt;0.005,1,0)))</f>
      </c>
      <c r="J5439" s="43">
        <f>IF($I5438=0,0,$R5438)</f>
      </c>
      <c r="K5439" s="43">
        <f>IF($I5439=0,0,IF(INDEX(DarlOhneTilgung,12)=1,0,IF(AND(INDEX(DarlTilgStart,12)&gt;0,$E5439=INDEX(DarlTilgStart,12)),$J5439*($H5439+INDEX(DarlTilgung,12))/100/12,IF(AND($G5439=0,$G5438=1),MAX($K5438,$J5439*($H5439+1)/100/12),$K5438))))</f>
      </c>
      <c r="L5439" s="43">
        <f>IF($I5439=0,0,$J5439*$H5439/100/12)</f>
      </c>
      <c r="M5439" s="43">
        <f>IF($I5439=0,0,IF(OR(INDEX(DarlOhneTilgung,12)=1,AND(INDEX(DarlTilgStart,12)&gt;0,$E5439&lt;INDEX(DarlTilgStart,12))),0,MIN(MAX(0,$K5439-$L5439),$J5439)))</f>
      </c>
      <c r="N5439" s="43">
        <f>IF($I5439=0,0,MIN(SUMIFS(SondBetrag,SondDarl,12,SondDatum,"&gt;="&amp;$E5439,SondDatum,"&lt;="&amp;EOMONTH($E5439,0)),$J5439-$M5439))</f>
      </c>
      <c r="O5439" s="43">
        <f>IF($I5439=0,0,INDEX(DarlErsatzRate,12))</f>
      </c>
      <c r="P5439" s="43">
        <f>IF($I5439=0,0,$Q5438*INDEX(DarlErsatzZins,12))</f>
      </c>
      <c r="Q5439" s="43">
        <f>IF($I5439=0,0,$Q5438+$P5439+$O5439)</f>
      </c>
      <c r="R5439" s="43">
        <f>IF($I5439=0,0,$J5439-$M5439-$N5439)</f>
      </c>
    </row>
    <row r="5440">
      <c r="A5440"/>
      <c r="B5440">
        <v>12</v>
      </c>
      <c r="C5440" s="43">
        <f>INDEX(DarlObj,12)</f>
      </c>
      <c r="D5440">
        <v>157</v>
      </c>
      <c r="E5440" s="51">
        <f>IF(INDEX(DarlBelegt,12)=0,0,EOMONTH(INDEX(DarlAuszahlung,12),156)+1)</f>
      </c>
      <c r="F5440" s="43">
        <f>IF($E5440=0,0,YEAR($E5440))</f>
      </c>
      <c r="G5440" s="43">
        <f>IF(INDEX(DarlBindung,12)="",1,IF($E5440&lt;=INDEX(DarlBindung,12),1,0))</f>
      </c>
      <c r="H5440" s="43">
        <f>IF($G5440=1,INDEX(DarlSollzins,12),INDEX(DarlAnschluss,12))</f>
      </c>
      <c r="I5440" s="43">
        <f>IF(INDEX(DarlBelegt,12)=0,0,IF(INDEX(DarlOhneTilgung,12)=1,IF(INDEX(DarlBindung,12)="",1,$G5440),IF($J5440&gt;0.005,1,0)))</f>
      </c>
      <c r="J5440" s="43">
        <f>IF($I5439=0,0,$R5439)</f>
      </c>
      <c r="K5440" s="43">
        <f>IF($I5440=0,0,IF(INDEX(DarlOhneTilgung,12)=1,0,IF(AND(INDEX(DarlTilgStart,12)&gt;0,$E5440=INDEX(DarlTilgStart,12)),$J5440*($H5440+INDEX(DarlTilgung,12))/100/12,IF(AND($G5440=0,$G5439=1),MAX($K5439,$J5440*($H5440+1)/100/12),$K5439))))</f>
      </c>
      <c r="L5440" s="43">
        <f>IF($I5440=0,0,$J5440*$H5440/100/12)</f>
      </c>
      <c r="M5440" s="43">
        <f>IF($I5440=0,0,IF(OR(INDEX(DarlOhneTilgung,12)=1,AND(INDEX(DarlTilgStart,12)&gt;0,$E5440&lt;INDEX(DarlTilgStart,12))),0,MIN(MAX(0,$K5440-$L5440),$J5440)))</f>
      </c>
      <c r="N5440" s="43">
        <f>IF($I5440=0,0,MIN(SUMIFS(SondBetrag,SondDarl,12,SondDatum,"&gt;="&amp;$E5440,SondDatum,"&lt;="&amp;EOMONTH($E5440,0)),$J5440-$M5440))</f>
      </c>
      <c r="O5440" s="43">
        <f>IF($I5440=0,0,INDEX(DarlErsatzRate,12))</f>
      </c>
      <c r="P5440" s="43">
        <f>IF($I5440=0,0,$Q5439*INDEX(DarlErsatzZins,12))</f>
      </c>
      <c r="Q5440" s="43">
        <f>IF($I5440=0,0,$Q5439+$P5440+$O5440)</f>
      </c>
      <c r="R5440" s="43">
        <f>IF($I5440=0,0,$J5440-$M5440-$N5440)</f>
      </c>
    </row>
    <row r="5441">
      <c r="A5441"/>
      <c r="B5441">
        <v>12</v>
      </c>
      <c r="C5441" s="43">
        <f>INDEX(DarlObj,12)</f>
      </c>
      <c r="D5441">
        <v>158</v>
      </c>
      <c r="E5441" s="51">
        <f>IF(INDEX(DarlBelegt,12)=0,0,EOMONTH(INDEX(DarlAuszahlung,12),157)+1)</f>
      </c>
      <c r="F5441" s="43">
        <f>IF($E5441=0,0,YEAR($E5441))</f>
      </c>
      <c r="G5441" s="43">
        <f>IF(INDEX(DarlBindung,12)="",1,IF($E5441&lt;=INDEX(DarlBindung,12),1,0))</f>
      </c>
      <c r="H5441" s="43">
        <f>IF($G5441=1,INDEX(DarlSollzins,12),INDEX(DarlAnschluss,12))</f>
      </c>
      <c r="I5441" s="43">
        <f>IF(INDEX(DarlBelegt,12)=0,0,IF(INDEX(DarlOhneTilgung,12)=1,IF(INDEX(DarlBindung,12)="",1,$G5441),IF($J5441&gt;0.005,1,0)))</f>
      </c>
      <c r="J5441" s="43">
        <f>IF($I5440=0,0,$R5440)</f>
      </c>
      <c r="K5441" s="43">
        <f>IF($I5441=0,0,IF(INDEX(DarlOhneTilgung,12)=1,0,IF(AND(INDEX(DarlTilgStart,12)&gt;0,$E5441=INDEX(DarlTilgStart,12)),$J5441*($H5441+INDEX(DarlTilgung,12))/100/12,IF(AND($G5441=0,$G5440=1),MAX($K5440,$J5441*($H5441+1)/100/12),$K5440))))</f>
      </c>
      <c r="L5441" s="43">
        <f>IF($I5441=0,0,$J5441*$H5441/100/12)</f>
      </c>
      <c r="M5441" s="43">
        <f>IF($I5441=0,0,IF(OR(INDEX(DarlOhneTilgung,12)=1,AND(INDEX(DarlTilgStart,12)&gt;0,$E5441&lt;INDEX(DarlTilgStart,12))),0,MIN(MAX(0,$K5441-$L5441),$J5441)))</f>
      </c>
      <c r="N5441" s="43">
        <f>IF($I5441=0,0,MIN(SUMIFS(SondBetrag,SondDarl,12,SondDatum,"&gt;="&amp;$E5441,SondDatum,"&lt;="&amp;EOMONTH($E5441,0)),$J5441-$M5441))</f>
      </c>
      <c r="O5441" s="43">
        <f>IF($I5441=0,0,INDEX(DarlErsatzRate,12))</f>
      </c>
      <c r="P5441" s="43">
        <f>IF($I5441=0,0,$Q5440*INDEX(DarlErsatzZins,12))</f>
      </c>
      <c r="Q5441" s="43">
        <f>IF($I5441=0,0,$Q5440+$P5441+$O5441)</f>
      </c>
      <c r="R5441" s="43">
        <f>IF($I5441=0,0,$J5441-$M5441-$N5441)</f>
      </c>
    </row>
    <row r="5442">
      <c r="A5442"/>
      <c r="B5442">
        <v>12</v>
      </c>
      <c r="C5442" s="43">
        <f>INDEX(DarlObj,12)</f>
      </c>
      <c r="D5442">
        <v>159</v>
      </c>
      <c r="E5442" s="51">
        <f>IF(INDEX(DarlBelegt,12)=0,0,EOMONTH(INDEX(DarlAuszahlung,12),158)+1)</f>
      </c>
      <c r="F5442" s="43">
        <f>IF($E5442=0,0,YEAR($E5442))</f>
      </c>
      <c r="G5442" s="43">
        <f>IF(INDEX(DarlBindung,12)="",1,IF($E5442&lt;=INDEX(DarlBindung,12),1,0))</f>
      </c>
      <c r="H5442" s="43">
        <f>IF($G5442=1,INDEX(DarlSollzins,12),INDEX(DarlAnschluss,12))</f>
      </c>
      <c r="I5442" s="43">
        <f>IF(INDEX(DarlBelegt,12)=0,0,IF(INDEX(DarlOhneTilgung,12)=1,IF(INDEX(DarlBindung,12)="",1,$G5442),IF($J5442&gt;0.005,1,0)))</f>
      </c>
      <c r="J5442" s="43">
        <f>IF($I5441=0,0,$R5441)</f>
      </c>
      <c r="K5442" s="43">
        <f>IF($I5442=0,0,IF(INDEX(DarlOhneTilgung,12)=1,0,IF(AND(INDEX(DarlTilgStart,12)&gt;0,$E5442=INDEX(DarlTilgStart,12)),$J5442*($H5442+INDEX(DarlTilgung,12))/100/12,IF(AND($G5442=0,$G5441=1),MAX($K5441,$J5442*($H5442+1)/100/12),$K5441))))</f>
      </c>
      <c r="L5442" s="43">
        <f>IF($I5442=0,0,$J5442*$H5442/100/12)</f>
      </c>
      <c r="M5442" s="43">
        <f>IF($I5442=0,0,IF(OR(INDEX(DarlOhneTilgung,12)=1,AND(INDEX(DarlTilgStart,12)&gt;0,$E5442&lt;INDEX(DarlTilgStart,12))),0,MIN(MAX(0,$K5442-$L5442),$J5442)))</f>
      </c>
      <c r="N5442" s="43">
        <f>IF($I5442=0,0,MIN(SUMIFS(SondBetrag,SondDarl,12,SondDatum,"&gt;="&amp;$E5442,SondDatum,"&lt;="&amp;EOMONTH($E5442,0)),$J5442-$M5442))</f>
      </c>
      <c r="O5442" s="43">
        <f>IF($I5442=0,0,INDEX(DarlErsatzRate,12))</f>
      </c>
      <c r="P5442" s="43">
        <f>IF($I5442=0,0,$Q5441*INDEX(DarlErsatzZins,12))</f>
      </c>
      <c r="Q5442" s="43">
        <f>IF($I5442=0,0,$Q5441+$P5442+$O5442)</f>
      </c>
      <c r="R5442" s="43">
        <f>IF($I5442=0,0,$J5442-$M5442-$N5442)</f>
      </c>
    </row>
    <row r="5443">
      <c r="A5443"/>
      <c r="B5443">
        <v>12</v>
      </c>
      <c r="C5443" s="43">
        <f>INDEX(DarlObj,12)</f>
      </c>
      <c r="D5443">
        <v>160</v>
      </c>
      <c r="E5443" s="51">
        <f>IF(INDEX(DarlBelegt,12)=0,0,EOMONTH(INDEX(DarlAuszahlung,12),159)+1)</f>
      </c>
      <c r="F5443" s="43">
        <f>IF($E5443=0,0,YEAR($E5443))</f>
      </c>
      <c r="G5443" s="43">
        <f>IF(INDEX(DarlBindung,12)="",1,IF($E5443&lt;=INDEX(DarlBindung,12),1,0))</f>
      </c>
      <c r="H5443" s="43">
        <f>IF($G5443=1,INDEX(DarlSollzins,12),INDEX(DarlAnschluss,12))</f>
      </c>
      <c r="I5443" s="43">
        <f>IF(INDEX(DarlBelegt,12)=0,0,IF(INDEX(DarlOhneTilgung,12)=1,IF(INDEX(DarlBindung,12)="",1,$G5443),IF($J5443&gt;0.005,1,0)))</f>
      </c>
      <c r="J5443" s="43">
        <f>IF($I5442=0,0,$R5442)</f>
      </c>
      <c r="K5443" s="43">
        <f>IF($I5443=0,0,IF(INDEX(DarlOhneTilgung,12)=1,0,IF(AND(INDEX(DarlTilgStart,12)&gt;0,$E5443=INDEX(DarlTilgStart,12)),$J5443*($H5443+INDEX(DarlTilgung,12))/100/12,IF(AND($G5443=0,$G5442=1),MAX($K5442,$J5443*($H5443+1)/100/12),$K5442))))</f>
      </c>
      <c r="L5443" s="43">
        <f>IF($I5443=0,0,$J5443*$H5443/100/12)</f>
      </c>
      <c r="M5443" s="43">
        <f>IF($I5443=0,0,IF(OR(INDEX(DarlOhneTilgung,12)=1,AND(INDEX(DarlTilgStart,12)&gt;0,$E5443&lt;INDEX(DarlTilgStart,12))),0,MIN(MAX(0,$K5443-$L5443),$J5443)))</f>
      </c>
      <c r="N5443" s="43">
        <f>IF($I5443=0,0,MIN(SUMIFS(SondBetrag,SondDarl,12,SondDatum,"&gt;="&amp;$E5443,SondDatum,"&lt;="&amp;EOMONTH($E5443,0)),$J5443-$M5443))</f>
      </c>
      <c r="O5443" s="43">
        <f>IF($I5443=0,0,INDEX(DarlErsatzRate,12))</f>
      </c>
      <c r="P5443" s="43">
        <f>IF($I5443=0,0,$Q5442*INDEX(DarlErsatzZins,12))</f>
      </c>
      <c r="Q5443" s="43">
        <f>IF($I5443=0,0,$Q5442+$P5443+$O5443)</f>
      </c>
      <c r="R5443" s="43">
        <f>IF($I5443=0,0,$J5443-$M5443-$N5443)</f>
      </c>
    </row>
    <row r="5444">
      <c r="A5444"/>
      <c r="B5444">
        <v>12</v>
      </c>
      <c r="C5444" s="43">
        <f>INDEX(DarlObj,12)</f>
      </c>
      <c r="D5444">
        <v>161</v>
      </c>
      <c r="E5444" s="51">
        <f>IF(INDEX(DarlBelegt,12)=0,0,EOMONTH(INDEX(DarlAuszahlung,12),160)+1)</f>
      </c>
      <c r="F5444" s="43">
        <f>IF($E5444=0,0,YEAR($E5444))</f>
      </c>
      <c r="G5444" s="43">
        <f>IF(INDEX(DarlBindung,12)="",1,IF($E5444&lt;=INDEX(DarlBindung,12),1,0))</f>
      </c>
      <c r="H5444" s="43">
        <f>IF($G5444=1,INDEX(DarlSollzins,12),INDEX(DarlAnschluss,12))</f>
      </c>
      <c r="I5444" s="43">
        <f>IF(INDEX(DarlBelegt,12)=0,0,IF(INDEX(DarlOhneTilgung,12)=1,IF(INDEX(DarlBindung,12)="",1,$G5444),IF($J5444&gt;0.005,1,0)))</f>
      </c>
      <c r="J5444" s="43">
        <f>IF($I5443=0,0,$R5443)</f>
      </c>
      <c r="K5444" s="43">
        <f>IF($I5444=0,0,IF(INDEX(DarlOhneTilgung,12)=1,0,IF(AND(INDEX(DarlTilgStart,12)&gt;0,$E5444=INDEX(DarlTilgStart,12)),$J5444*($H5444+INDEX(DarlTilgung,12))/100/12,IF(AND($G5444=0,$G5443=1),MAX($K5443,$J5444*($H5444+1)/100/12),$K5443))))</f>
      </c>
      <c r="L5444" s="43">
        <f>IF($I5444=0,0,$J5444*$H5444/100/12)</f>
      </c>
      <c r="M5444" s="43">
        <f>IF($I5444=0,0,IF(OR(INDEX(DarlOhneTilgung,12)=1,AND(INDEX(DarlTilgStart,12)&gt;0,$E5444&lt;INDEX(DarlTilgStart,12))),0,MIN(MAX(0,$K5444-$L5444),$J5444)))</f>
      </c>
      <c r="N5444" s="43">
        <f>IF($I5444=0,0,MIN(SUMIFS(SondBetrag,SondDarl,12,SondDatum,"&gt;="&amp;$E5444,SondDatum,"&lt;="&amp;EOMONTH($E5444,0)),$J5444-$M5444))</f>
      </c>
      <c r="O5444" s="43">
        <f>IF($I5444=0,0,INDEX(DarlErsatzRate,12))</f>
      </c>
      <c r="P5444" s="43">
        <f>IF($I5444=0,0,$Q5443*INDEX(DarlErsatzZins,12))</f>
      </c>
      <c r="Q5444" s="43">
        <f>IF($I5444=0,0,$Q5443+$P5444+$O5444)</f>
      </c>
      <c r="R5444" s="43">
        <f>IF($I5444=0,0,$J5444-$M5444-$N5444)</f>
      </c>
    </row>
    <row r="5445">
      <c r="A5445"/>
      <c r="B5445">
        <v>12</v>
      </c>
      <c r="C5445" s="43">
        <f>INDEX(DarlObj,12)</f>
      </c>
      <c r="D5445">
        <v>162</v>
      </c>
      <c r="E5445" s="51">
        <f>IF(INDEX(DarlBelegt,12)=0,0,EOMONTH(INDEX(DarlAuszahlung,12),161)+1)</f>
      </c>
      <c r="F5445" s="43">
        <f>IF($E5445=0,0,YEAR($E5445))</f>
      </c>
      <c r="G5445" s="43">
        <f>IF(INDEX(DarlBindung,12)="",1,IF($E5445&lt;=INDEX(DarlBindung,12),1,0))</f>
      </c>
      <c r="H5445" s="43">
        <f>IF($G5445=1,INDEX(DarlSollzins,12),INDEX(DarlAnschluss,12))</f>
      </c>
      <c r="I5445" s="43">
        <f>IF(INDEX(DarlBelegt,12)=0,0,IF(INDEX(DarlOhneTilgung,12)=1,IF(INDEX(DarlBindung,12)="",1,$G5445),IF($J5445&gt;0.005,1,0)))</f>
      </c>
      <c r="J5445" s="43">
        <f>IF($I5444=0,0,$R5444)</f>
      </c>
      <c r="K5445" s="43">
        <f>IF($I5445=0,0,IF(INDEX(DarlOhneTilgung,12)=1,0,IF(AND(INDEX(DarlTilgStart,12)&gt;0,$E5445=INDEX(DarlTilgStart,12)),$J5445*($H5445+INDEX(DarlTilgung,12))/100/12,IF(AND($G5445=0,$G5444=1),MAX($K5444,$J5445*($H5445+1)/100/12),$K5444))))</f>
      </c>
      <c r="L5445" s="43">
        <f>IF($I5445=0,0,$J5445*$H5445/100/12)</f>
      </c>
      <c r="M5445" s="43">
        <f>IF($I5445=0,0,IF(OR(INDEX(DarlOhneTilgung,12)=1,AND(INDEX(DarlTilgStart,12)&gt;0,$E5445&lt;INDEX(DarlTilgStart,12))),0,MIN(MAX(0,$K5445-$L5445),$J5445)))</f>
      </c>
      <c r="N5445" s="43">
        <f>IF($I5445=0,0,MIN(SUMIFS(SondBetrag,SondDarl,12,SondDatum,"&gt;="&amp;$E5445,SondDatum,"&lt;="&amp;EOMONTH($E5445,0)),$J5445-$M5445))</f>
      </c>
      <c r="O5445" s="43">
        <f>IF($I5445=0,0,INDEX(DarlErsatzRate,12))</f>
      </c>
      <c r="P5445" s="43">
        <f>IF($I5445=0,0,$Q5444*INDEX(DarlErsatzZins,12))</f>
      </c>
      <c r="Q5445" s="43">
        <f>IF($I5445=0,0,$Q5444+$P5445+$O5445)</f>
      </c>
      <c r="R5445" s="43">
        <f>IF($I5445=0,0,$J5445-$M5445-$N5445)</f>
      </c>
    </row>
    <row r="5446">
      <c r="A5446"/>
      <c r="B5446">
        <v>12</v>
      </c>
      <c r="C5446" s="43">
        <f>INDEX(DarlObj,12)</f>
      </c>
      <c r="D5446">
        <v>163</v>
      </c>
      <c r="E5446" s="51">
        <f>IF(INDEX(DarlBelegt,12)=0,0,EOMONTH(INDEX(DarlAuszahlung,12),162)+1)</f>
      </c>
      <c r="F5446" s="43">
        <f>IF($E5446=0,0,YEAR($E5446))</f>
      </c>
      <c r="G5446" s="43">
        <f>IF(INDEX(DarlBindung,12)="",1,IF($E5446&lt;=INDEX(DarlBindung,12),1,0))</f>
      </c>
      <c r="H5446" s="43">
        <f>IF($G5446=1,INDEX(DarlSollzins,12),INDEX(DarlAnschluss,12))</f>
      </c>
      <c r="I5446" s="43">
        <f>IF(INDEX(DarlBelegt,12)=0,0,IF(INDEX(DarlOhneTilgung,12)=1,IF(INDEX(DarlBindung,12)="",1,$G5446),IF($J5446&gt;0.005,1,0)))</f>
      </c>
      <c r="J5446" s="43">
        <f>IF($I5445=0,0,$R5445)</f>
      </c>
      <c r="K5446" s="43">
        <f>IF($I5446=0,0,IF(INDEX(DarlOhneTilgung,12)=1,0,IF(AND(INDEX(DarlTilgStart,12)&gt;0,$E5446=INDEX(DarlTilgStart,12)),$J5446*($H5446+INDEX(DarlTilgung,12))/100/12,IF(AND($G5446=0,$G5445=1),MAX($K5445,$J5446*($H5446+1)/100/12),$K5445))))</f>
      </c>
      <c r="L5446" s="43">
        <f>IF($I5446=0,0,$J5446*$H5446/100/12)</f>
      </c>
      <c r="M5446" s="43">
        <f>IF($I5446=0,0,IF(OR(INDEX(DarlOhneTilgung,12)=1,AND(INDEX(DarlTilgStart,12)&gt;0,$E5446&lt;INDEX(DarlTilgStart,12))),0,MIN(MAX(0,$K5446-$L5446),$J5446)))</f>
      </c>
      <c r="N5446" s="43">
        <f>IF($I5446=0,0,MIN(SUMIFS(SondBetrag,SondDarl,12,SondDatum,"&gt;="&amp;$E5446,SondDatum,"&lt;="&amp;EOMONTH($E5446,0)),$J5446-$M5446))</f>
      </c>
      <c r="O5446" s="43">
        <f>IF($I5446=0,0,INDEX(DarlErsatzRate,12))</f>
      </c>
      <c r="P5446" s="43">
        <f>IF($I5446=0,0,$Q5445*INDEX(DarlErsatzZins,12))</f>
      </c>
      <c r="Q5446" s="43">
        <f>IF($I5446=0,0,$Q5445+$P5446+$O5446)</f>
      </c>
      <c r="R5446" s="43">
        <f>IF($I5446=0,0,$J5446-$M5446-$N5446)</f>
      </c>
    </row>
    <row r="5447">
      <c r="A5447"/>
      <c r="B5447">
        <v>12</v>
      </c>
      <c r="C5447" s="43">
        <f>INDEX(DarlObj,12)</f>
      </c>
      <c r="D5447">
        <v>164</v>
      </c>
      <c r="E5447" s="51">
        <f>IF(INDEX(DarlBelegt,12)=0,0,EOMONTH(INDEX(DarlAuszahlung,12),163)+1)</f>
      </c>
      <c r="F5447" s="43">
        <f>IF($E5447=0,0,YEAR($E5447))</f>
      </c>
      <c r="G5447" s="43">
        <f>IF(INDEX(DarlBindung,12)="",1,IF($E5447&lt;=INDEX(DarlBindung,12),1,0))</f>
      </c>
      <c r="H5447" s="43">
        <f>IF($G5447=1,INDEX(DarlSollzins,12),INDEX(DarlAnschluss,12))</f>
      </c>
      <c r="I5447" s="43">
        <f>IF(INDEX(DarlBelegt,12)=0,0,IF(INDEX(DarlOhneTilgung,12)=1,IF(INDEX(DarlBindung,12)="",1,$G5447),IF($J5447&gt;0.005,1,0)))</f>
      </c>
      <c r="J5447" s="43">
        <f>IF($I5446=0,0,$R5446)</f>
      </c>
      <c r="K5447" s="43">
        <f>IF($I5447=0,0,IF(INDEX(DarlOhneTilgung,12)=1,0,IF(AND(INDEX(DarlTilgStart,12)&gt;0,$E5447=INDEX(DarlTilgStart,12)),$J5447*($H5447+INDEX(DarlTilgung,12))/100/12,IF(AND($G5447=0,$G5446=1),MAX($K5446,$J5447*($H5447+1)/100/12),$K5446))))</f>
      </c>
      <c r="L5447" s="43">
        <f>IF($I5447=0,0,$J5447*$H5447/100/12)</f>
      </c>
      <c r="M5447" s="43">
        <f>IF($I5447=0,0,IF(OR(INDEX(DarlOhneTilgung,12)=1,AND(INDEX(DarlTilgStart,12)&gt;0,$E5447&lt;INDEX(DarlTilgStart,12))),0,MIN(MAX(0,$K5447-$L5447),$J5447)))</f>
      </c>
      <c r="N5447" s="43">
        <f>IF($I5447=0,0,MIN(SUMIFS(SondBetrag,SondDarl,12,SondDatum,"&gt;="&amp;$E5447,SondDatum,"&lt;="&amp;EOMONTH($E5447,0)),$J5447-$M5447))</f>
      </c>
      <c r="O5447" s="43">
        <f>IF($I5447=0,0,INDEX(DarlErsatzRate,12))</f>
      </c>
      <c r="P5447" s="43">
        <f>IF($I5447=0,0,$Q5446*INDEX(DarlErsatzZins,12))</f>
      </c>
      <c r="Q5447" s="43">
        <f>IF($I5447=0,0,$Q5446+$P5447+$O5447)</f>
      </c>
      <c r="R5447" s="43">
        <f>IF($I5447=0,0,$J5447-$M5447-$N5447)</f>
      </c>
    </row>
    <row r="5448">
      <c r="A5448"/>
      <c r="B5448">
        <v>12</v>
      </c>
      <c r="C5448" s="43">
        <f>INDEX(DarlObj,12)</f>
      </c>
      <c r="D5448">
        <v>165</v>
      </c>
      <c r="E5448" s="51">
        <f>IF(INDEX(DarlBelegt,12)=0,0,EOMONTH(INDEX(DarlAuszahlung,12),164)+1)</f>
      </c>
      <c r="F5448" s="43">
        <f>IF($E5448=0,0,YEAR($E5448))</f>
      </c>
      <c r="G5448" s="43">
        <f>IF(INDEX(DarlBindung,12)="",1,IF($E5448&lt;=INDEX(DarlBindung,12),1,0))</f>
      </c>
      <c r="H5448" s="43">
        <f>IF($G5448=1,INDEX(DarlSollzins,12),INDEX(DarlAnschluss,12))</f>
      </c>
      <c r="I5448" s="43">
        <f>IF(INDEX(DarlBelegt,12)=0,0,IF(INDEX(DarlOhneTilgung,12)=1,IF(INDEX(DarlBindung,12)="",1,$G5448),IF($J5448&gt;0.005,1,0)))</f>
      </c>
      <c r="J5448" s="43">
        <f>IF($I5447=0,0,$R5447)</f>
      </c>
      <c r="K5448" s="43">
        <f>IF($I5448=0,0,IF(INDEX(DarlOhneTilgung,12)=1,0,IF(AND(INDEX(DarlTilgStart,12)&gt;0,$E5448=INDEX(DarlTilgStart,12)),$J5448*($H5448+INDEX(DarlTilgung,12))/100/12,IF(AND($G5448=0,$G5447=1),MAX($K5447,$J5448*($H5448+1)/100/12),$K5447))))</f>
      </c>
      <c r="L5448" s="43">
        <f>IF($I5448=0,0,$J5448*$H5448/100/12)</f>
      </c>
      <c r="M5448" s="43">
        <f>IF($I5448=0,0,IF(OR(INDEX(DarlOhneTilgung,12)=1,AND(INDEX(DarlTilgStart,12)&gt;0,$E5448&lt;INDEX(DarlTilgStart,12))),0,MIN(MAX(0,$K5448-$L5448),$J5448)))</f>
      </c>
      <c r="N5448" s="43">
        <f>IF($I5448=0,0,MIN(SUMIFS(SondBetrag,SondDarl,12,SondDatum,"&gt;="&amp;$E5448,SondDatum,"&lt;="&amp;EOMONTH($E5448,0)),$J5448-$M5448))</f>
      </c>
      <c r="O5448" s="43">
        <f>IF($I5448=0,0,INDEX(DarlErsatzRate,12))</f>
      </c>
      <c r="P5448" s="43">
        <f>IF($I5448=0,0,$Q5447*INDEX(DarlErsatzZins,12))</f>
      </c>
      <c r="Q5448" s="43">
        <f>IF($I5448=0,0,$Q5447+$P5448+$O5448)</f>
      </c>
      <c r="R5448" s="43">
        <f>IF($I5448=0,0,$J5448-$M5448-$N5448)</f>
      </c>
    </row>
    <row r="5449">
      <c r="A5449"/>
      <c r="B5449">
        <v>12</v>
      </c>
      <c r="C5449" s="43">
        <f>INDEX(DarlObj,12)</f>
      </c>
      <c r="D5449">
        <v>166</v>
      </c>
      <c r="E5449" s="51">
        <f>IF(INDEX(DarlBelegt,12)=0,0,EOMONTH(INDEX(DarlAuszahlung,12),165)+1)</f>
      </c>
      <c r="F5449" s="43">
        <f>IF($E5449=0,0,YEAR($E5449))</f>
      </c>
      <c r="G5449" s="43">
        <f>IF(INDEX(DarlBindung,12)="",1,IF($E5449&lt;=INDEX(DarlBindung,12),1,0))</f>
      </c>
      <c r="H5449" s="43">
        <f>IF($G5449=1,INDEX(DarlSollzins,12),INDEX(DarlAnschluss,12))</f>
      </c>
      <c r="I5449" s="43">
        <f>IF(INDEX(DarlBelegt,12)=0,0,IF(INDEX(DarlOhneTilgung,12)=1,IF(INDEX(DarlBindung,12)="",1,$G5449),IF($J5449&gt;0.005,1,0)))</f>
      </c>
      <c r="J5449" s="43">
        <f>IF($I5448=0,0,$R5448)</f>
      </c>
      <c r="K5449" s="43">
        <f>IF($I5449=0,0,IF(INDEX(DarlOhneTilgung,12)=1,0,IF(AND(INDEX(DarlTilgStart,12)&gt;0,$E5449=INDEX(DarlTilgStart,12)),$J5449*($H5449+INDEX(DarlTilgung,12))/100/12,IF(AND($G5449=0,$G5448=1),MAX($K5448,$J5449*($H5449+1)/100/12),$K5448))))</f>
      </c>
      <c r="L5449" s="43">
        <f>IF($I5449=0,0,$J5449*$H5449/100/12)</f>
      </c>
      <c r="M5449" s="43">
        <f>IF($I5449=0,0,IF(OR(INDEX(DarlOhneTilgung,12)=1,AND(INDEX(DarlTilgStart,12)&gt;0,$E5449&lt;INDEX(DarlTilgStart,12))),0,MIN(MAX(0,$K5449-$L5449),$J5449)))</f>
      </c>
      <c r="N5449" s="43">
        <f>IF($I5449=0,0,MIN(SUMIFS(SondBetrag,SondDarl,12,SondDatum,"&gt;="&amp;$E5449,SondDatum,"&lt;="&amp;EOMONTH($E5449,0)),$J5449-$M5449))</f>
      </c>
      <c r="O5449" s="43">
        <f>IF($I5449=0,0,INDEX(DarlErsatzRate,12))</f>
      </c>
      <c r="P5449" s="43">
        <f>IF($I5449=0,0,$Q5448*INDEX(DarlErsatzZins,12))</f>
      </c>
      <c r="Q5449" s="43">
        <f>IF($I5449=0,0,$Q5448+$P5449+$O5449)</f>
      </c>
      <c r="R5449" s="43">
        <f>IF($I5449=0,0,$J5449-$M5449-$N5449)</f>
      </c>
    </row>
    <row r="5450">
      <c r="A5450"/>
      <c r="B5450">
        <v>12</v>
      </c>
      <c r="C5450" s="43">
        <f>INDEX(DarlObj,12)</f>
      </c>
      <c r="D5450">
        <v>167</v>
      </c>
      <c r="E5450" s="51">
        <f>IF(INDEX(DarlBelegt,12)=0,0,EOMONTH(INDEX(DarlAuszahlung,12),166)+1)</f>
      </c>
      <c r="F5450" s="43">
        <f>IF($E5450=0,0,YEAR($E5450))</f>
      </c>
      <c r="G5450" s="43">
        <f>IF(INDEX(DarlBindung,12)="",1,IF($E5450&lt;=INDEX(DarlBindung,12),1,0))</f>
      </c>
      <c r="H5450" s="43">
        <f>IF($G5450=1,INDEX(DarlSollzins,12),INDEX(DarlAnschluss,12))</f>
      </c>
      <c r="I5450" s="43">
        <f>IF(INDEX(DarlBelegt,12)=0,0,IF(INDEX(DarlOhneTilgung,12)=1,IF(INDEX(DarlBindung,12)="",1,$G5450),IF($J5450&gt;0.005,1,0)))</f>
      </c>
      <c r="J5450" s="43">
        <f>IF($I5449=0,0,$R5449)</f>
      </c>
      <c r="K5450" s="43">
        <f>IF($I5450=0,0,IF(INDEX(DarlOhneTilgung,12)=1,0,IF(AND(INDEX(DarlTilgStart,12)&gt;0,$E5450=INDEX(DarlTilgStart,12)),$J5450*($H5450+INDEX(DarlTilgung,12))/100/12,IF(AND($G5450=0,$G5449=1),MAX($K5449,$J5450*($H5450+1)/100/12),$K5449))))</f>
      </c>
      <c r="L5450" s="43">
        <f>IF($I5450=0,0,$J5450*$H5450/100/12)</f>
      </c>
      <c r="M5450" s="43">
        <f>IF($I5450=0,0,IF(OR(INDEX(DarlOhneTilgung,12)=1,AND(INDEX(DarlTilgStart,12)&gt;0,$E5450&lt;INDEX(DarlTilgStart,12))),0,MIN(MAX(0,$K5450-$L5450),$J5450)))</f>
      </c>
      <c r="N5450" s="43">
        <f>IF($I5450=0,0,MIN(SUMIFS(SondBetrag,SondDarl,12,SondDatum,"&gt;="&amp;$E5450,SondDatum,"&lt;="&amp;EOMONTH($E5450,0)),$J5450-$M5450))</f>
      </c>
      <c r="O5450" s="43">
        <f>IF($I5450=0,0,INDEX(DarlErsatzRate,12))</f>
      </c>
      <c r="P5450" s="43">
        <f>IF($I5450=0,0,$Q5449*INDEX(DarlErsatzZins,12))</f>
      </c>
      <c r="Q5450" s="43">
        <f>IF($I5450=0,0,$Q5449+$P5450+$O5450)</f>
      </c>
      <c r="R5450" s="43">
        <f>IF($I5450=0,0,$J5450-$M5450-$N5450)</f>
      </c>
    </row>
    <row r="5451">
      <c r="A5451"/>
      <c r="B5451">
        <v>12</v>
      </c>
      <c r="C5451" s="43">
        <f>INDEX(DarlObj,12)</f>
      </c>
      <c r="D5451">
        <v>168</v>
      </c>
      <c r="E5451" s="51">
        <f>IF(INDEX(DarlBelegt,12)=0,0,EOMONTH(INDEX(DarlAuszahlung,12),167)+1)</f>
      </c>
      <c r="F5451" s="43">
        <f>IF($E5451=0,0,YEAR($E5451))</f>
      </c>
      <c r="G5451" s="43">
        <f>IF(INDEX(DarlBindung,12)="",1,IF($E5451&lt;=INDEX(DarlBindung,12),1,0))</f>
      </c>
      <c r="H5451" s="43">
        <f>IF($G5451=1,INDEX(DarlSollzins,12),INDEX(DarlAnschluss,12))</f>
      </c>
      <c r="I5451" s="43">
        <f>IF(INDEX(DarlBelegt,12)=0,0,IF(INDEX(DarlOhneTilgung,12)=1,IF(INDEX(DarlBindung,12)="",1,$G5451),IF($J5451&gt;0.005,1,0)))</f>
      </c>
      <c r="J5451" s="43">
        <f>IF($I5450=0,0,$R5450)</f>
      </c>
      <c r="K5451" s="43">
        <f>IF($I5451=0,0,IF(INDEX(DarlOhneTilgung,12)=1,0,IF(AND(INDEX(DarlTilgStart,12)&gt;0,$E5451=INDEX(DarlTilgStart,12)),$J5451*($H5451+INDEX(DarlTilgung,12))/100/12,IF(AND($G5451=0,$G5450=1),MAX($K5450,$J5451*($H5451+1)/100/12),$K5450))))</f>
      </c>
      <c r="L5451" s="43">
        <f>IF($I5451=0,0,$J5451*$H5451/100/12)</f>
      </c>
      <c r="M5451" s="43">
        <f>IF($I5451=0,0,IF(OR(INDEX(DarlOhneTilgung,12)=1,AND(INDEX(DarlTilgStart,12)&gt;0,$E5451&lt;INDEX(DarlTilgStart,12))),0,MIN(MAX(0,$K5451-$L5451),$J5451)))</f>
      </c>
      <c r="N5451" s="43">
        <f>IF($I5451=0,0,MIN(SUMIFS(SondBetrag,SondDarl,12,SondDatum,"&gt;="&amp;$E5451,SondDatum,"&lt;="&amp;EOMONTH($E5451,0)),$J5451-$M5451))</f>
      </c>
      <c r="O5451" s="43">
        <f>IF($I5451=0,0,INDEX(DarlErsatzRate,12))</f>
      </c>
      <c r="P5451" s="43">
        <f>IF($I5451=0,0,$Q5450*INDEX(DarlErsatzZins,12))</f>
      </c>
      <c r="Q5451" s="43">
        <f>IF($I5451=0,0,$Q5450+$P5451+$O5451)</f>
      </c>
      <c r="R5451" s="43">
        <f>IF($I5451=0,0,$J5451-$M5451-$N5451)</f>
      </c>
    </row>
    <row r="5452">
      <c r="A5452"/>
      <c r="B5452">
        <v>12</v>
      </c>
      <c r="C5452" s="43">
        <f>INDEX(DarlObj,12)</f>
      </c>
      <c r="D5452">
        <v>169</v>
      </c>
      <c r="E5452" s="51">
        <f>IF(INDEX(DarlBelegt,12)=0,0,EOMONTH(INDEX(DarlAuszahlung,12),168)+1)</f>
      </c>
      <c r="F5452" s="43">
        <f>IF($E5452=0,0,YEAR($E5452))</f>
      </c>
      <c r="G5452" s="43">
        <f>IF(INDEX(DarlBindung,12)="",1,IF($E5452&lt;=INDEX(DarlBindung,12),1,0))</f>
      </c>
      <c r="H5452" s="43">
        <f>IF($G5452=1,INDEX(DarlSollzins,12),INDEX(DarlAnschluss,12))</f>
      </c>
      <c r="I5452" s="43">
        <f>IF(INDEX(DarlBelegt,12)=0,0,IF(INDEX(DarlOhneTilgung,12)=1,IF(INDEX(DarlBindung,12)="",1,$G5452),IF($J5452&gt;0.005,1,0)))</f>
      </c>
      <c r="J5452" s="43">
        <f>IF($I5451=0,0,$R5451)</f>
      </c>
      <c r="K5452" s="43">
        <f>IF($I5452=0,0,IF(INDEX(DarlOhneTilgung,12)=1,0,IF(AND(INDEX(DarlTilgStart,12)&gt;0,$E5452=INDEX(DarlTilgStart,12)),$J5452*($H5452+INDEX(DarlTilgung,12))/100/12,IF(AND($G5452=0,$G5451=1),MAX($K5451,$J5452*($H5452+1)/100/12),$K5451))))</f>
      </c>
      <c r="L5452" s="43">
        <f>IF($I5452=0,0,$J5452*$H5452/100/12)</f>
      </c>
      <c r="M5452" s="43">
        <f>IF($I5452=0,0,IF(OR(INDEX(DarlOhneTilgung,12)=1,AND(INDEX(DarlTilgStart,12)&gt;0,$E5452&lt;INDEX(DarlTilgStart,12))),0,MIN(MAX(0,$K5452-$L5452),$J5452)))</f>
      </c>
      <c r="N5452" s="43">
        <f>IF($I5452=0,0,MIN(SUMIFS(SondBetrag,SondDarl,12,SondDatum,"&gt;="&amp;$E5452,SondDatum,"&lt;="&amp;EOMONTH($E5452,0)),$J5452-$M5452))</f>
      </c>
      <c r="O5452" s="43">
        <f>IF($I5452=0,0,INDEX(DarlErsatzRate,12))</f>
      </c>
      <c r="P5452" s="43">
        <f>IF($I5452=0,0,$Q5451*INDEX(DarlErsatzZins,12))</f>
      </c>
      <c r="Q5452" s="43">
        <f>IF($I5452=0,0,$Q5451+$P5452+$O5452)</f>
      </c>
      <c r="R5452" s="43">
        <f>IF($I5452=0,0,$J5452-$M5452-$N5452)</f>
      </c>
    </row>
    <row r="5453">
      <c r="A5453"/>
      <c r="B5453">
        <v>12</v>
      </c>
      <c r="C5453" s="43">
        <f>INDEX(DarlObj,12)</f>
      </c>
      <c r="D5453">
        <v>170</v>
      </c>
      <c r="E5453" s="51">
        <f>IF(INDEX(DarlBelegt,12)=0,0,EOMONTH(INDEX(DarlAuszahlung,12),169)+1)</f>
      </c>
      <c r="F5453" s="43">
        <f>IF($E5453=0,0,YEAR($E5453))</f>
      </c>
      <c r="G5453" s="43">
        <f>IF(INDEX(DarlBindung,12)="",1,IF($E5453&lt;=INDEX(DarlBindung,12),1,0))</f>
      </c>
      <c r="H5453" s="43">
        <f>IF($G5453=1,INDEX(DarlSollzins,12),INDEX(DarlAnschluss,12))</f>
      </c>
      <c r="I5453" s="43">
        <f>IF(INDEX(DarlBelegt,12)=0,0,IF(INDEX(DarlOhneTilgung,12)=1,IF(INDEX(DarlBindung,12)="",1,$G5453),IF($J5453&gt;0.005,1,0)))</f>
      </c>
      <c r="J5453" s="43">
        <f>IF($I5452=0,0,$R5452)</f>
      </c>
      <c r="K5453" s="43">
        <f>IF($I5453=0,0,IF(INDEX(DarlOhneTilgung,12)=1,0,IF(AND(INDEX(DarlTilgStart,12)&gt;0,$E5453=INDEX(DarlTilgStart,12)),$J5453*($H5453+INDEX(DarlTilgung,12))/100/12,IF(AND($G5453=0,$G5452=1),MAX($K5452,$J5453*($H5453+1)/100/12),$K5452))))</f>
      </c>
      <c r="L5453" s="43">
        <f>IF($I5453=0,0,$J5453*$H5453/100/12)</f>
      </c>
      <c r="M5453" s="43">
        <f>IF($I5453=0,0,IF(OR(INDEX(DarlOhneTilgung,12)=1,AND(INDEX(DarlTilgStart,12)&gt;0,$E5453&lt;INDEX(DarlTilgStart,12))),0,MIN(MAX(0,$K5453-$L5453),$J5453)))</f>
      </c>
      <c r="N5453" s="43">
        <f>IF($I5453=0,0,MIN(SUMIFS(SondBetrag,SondDarl,12,SondDatum,"&gt;="&amp;$E5453,SondDatum,"&lt;="&amp;EOMONTH($E5453,0)),$J5453-$M5453))</f>
      </c>
      <c r="O5453" s="43">
        <f>IF($I5453=0,0,INDEX(DarlErsatzRate,12))</f>
      </c>
      <c r="P5453" s="43">
        <f>IF($I5453=0,0,$Q5452*INDEX(DarlErsatzZins,12))</f>
      </c>
      <c r="Q5453" s="43">
        <f>IF($I5453=0,0,$Q5452+$P5453+$O5453)</f>
      </c>
      <c r="R5453" s="43">
        <f>IF($I5453=0,0,$J5453-$M5453-$N5453)</f>
      </c>
    </row>
    <row r="5454">
      <c r="A5454"/>
      <c r="B5454">
        <v>12</v>
      </c>
      <c r="C5454" s="43">
        <f>INDEX(DarlObj,12)</f>
      </c>
      <c r="D5454">
        <v>171</v>
      </c>
      <c r="E5454" s="51">
        <f>IF(INDEX(DarlBelegt,12)=0,0,EOMONTH(INDEX(DarlAuszahlung,12),170)+1)</f>
      </c>
      <c r="F5454" s="43">
        <f>IF($E5454=0,0,YEAR($E5454))</f>
      </c>
      <c r="G5454" s="43">
        <f>IF(INDEX(DarlBindung,12)="",1,IF($E5454&lt;=INDEX(DarlBindung,12),1,0))</f>
      </c>
      <c r="H5454" s="43">
        <f>IF($G5454=1,INDEX(DarlSollzins,12),INDEX(DarlAnschluss,12))</f>
      </c>
      <c r="I5454" s="43">
        <f>IF(INDEX(DarlBelegt,12)=0,0,IF(INDEX(DarlOhneTilgung,12)=1,IF(INDEX(DarlBindung,12)="",1,$G5454),IF($J5454&gt;0.005,1,0)))</f>
      </c>
      <c r="J5454" s="43">
        <f>IF($I5453=0,0,$R5453)</f>
      </c>
      <c r="K5454" s="43">
        <f>IF($I5454=0,0,IF(INDEX(DarlOhneTilgung,12)=1,0,IF(AND(INDEX(DarlTilgStart,12)&gt;0,$E5454=INDEX(DarlTilgStart,12)),$J5454*($H5454+INDEX(DarlTilgung,12))/100/12,IF(AND($G5454=0,$G5453=1),MAX($K5453,$J5454*($H5454+1)/100/12),$K5453))))</f>
      </c>
      <c r="L5454" s="43">
        <f>IF($I5454=0,0,$J5454*$H5454/100/12)</f>
      </c>
      <c r="M5454" s="43">
        <f>IF($I5454=0,0,IF(OR(INDEX(DarlOhneTilgung,12)=1,AND(INDEX(DarlTilgStart,12)&gt;0,$E5454&lt;INDEX(DarlTilgStart,12))),0,MIN(MAX(0,$K5454-$L5454),$J5454)))</f>
      </c>
      <c r="N5454" s="43">
        <f>IF($I5454=0,0,MIN(SUMIFS(SondBetrag,SondDarl,12,SondDatum,"&gt;="&amp;$E5454,SondDatum,"&lt;="&amp;EOMONTH($E5454,0)),$J5454-$M5454))</f>
      </c>
      <c r="O5454" s="43">
        <f>IF($I5454=0,0,INDEX(DarlErsatzRate,12))</f>
      </c>
      <c r="P5454" s="43">
        <f>IF($I5454=0,0,$Q5453*INDEX(DarlErsatzZins,12))</f>
      </c>
      <c r="Q5454" s="43">
        <f>IF($I5454=0,0,$Q5453+$P5454+$O5454)</f>
      </c>
      <c r="R5454" s="43">
        <f>IF($I5454=0,0,$J5454-$M5454-$N5454)</f>
      </c>
    </row>
    <row r="5455">
      <c r="A5455"/>
      <c r="B5455">
        <v>12</v>
      </c>
      <c r="C5455" s="43">
        <f>INDEX(DarlObj,12)</f>
      </c>
      <c r="D5455">
        <v>172</v>
      </c>
      <c r="E5455" s="51">
        <f>IF(INDEX(DarlBelegt,12)=0,0,EOMONTH(INDEX(DarlAuszahlung,12),171)+1)</f>
      </c>
      <c r="F5455" s="43">
        <f>IF($E5455=0,0,YEAR($E5455))</f>
      </c>
      <c r="G5455" s="43">
        <f>IF(INDEX(DarlBindung,12)="",1,IF($E5455&lt;=INDEX(DarlBindung,12),1,0))</f>
      </c>
      <c r="H5455" s="43">
        <f>IF($G5455=1,INDEX(DarlSollzins,12),INDEX(DarlAnschluss,12))</f>
      </c>
      <c r="I5455" s="43">
        <f>IF(INDEX(DarlBelegt,12)=0,0,IF(INDEX(DarlOhneTilgung,12)=1,IF(INDEX(DarlBindung,12)="",1,$G5455),IF($J5455&gt;0.005,1,0)))</f>
      </c>
      <c r="J5455" s="43">
        <f>IF($I5454=0,0,$R5454)</f>
      </c>
      <c r="K5455" s="43">
        <f>IF($I5455=0,0,IF(INDEX(DarlOhneTilgung,12)=1,0,IF(AND(INDEX(DarlTilgStart,12)&gt;0,$E5455=INDEX(DarlTilgStart,12)),$J5455*($H5455+INDEX(DarlTilgung,12))/100/12,IF(AND($G5455=0,$G5454=1),MAX($K5454,$J5455*($H5455+1)/100/12),$K5454))))</f>
      </c>
      <c r="L5455" s="43">
        <f>IF($I5455=0,0,$J5455*$H5455/100/12)</f>
      </c>
      <c r="M5455" s="43">
        <f>IF($I5455=0,0,IF(OR(INDEX(DarlOhneTilgung,12)=1,AND(INDEX(DarlTilgStart,12)&gt;0,$E5455&lt;INDEX(DarlTilgStart,12))),0,MIN(MAX(0,$K5455-$L5455),$J5455)))</f>
      </c>
      <c r="N5455" s="43">
        <f>IF($I5455=0,0,MIN(SUMIFS(SondBetrag,SondDarl,12,SondDatum,"&gt;="&amp;$E5455,SondDatum,"&lt;="&amp;EOMONTH($E5455,0)),$J5455-$M5455))</f>
      </c>
      <c r="O5455" s="43">
        <f>IF($I5455=0,0,INDEX(DarlErsatzRate,12))</f>
      </c>
      <c r="P5455" s="43">
        <f>IF($I5455=0,0,$Q5454*INDEX(DarlErsatzZins,12))</f>
      </c>
      <c r="Q5455" s="43">
        <f>IF($I5455=0,0,$Q5454+$P5455+$O5455)</f>
      </c>
      <c r="R5455" s="43">
        <f>IF($I5455=0,0,$J5455-$M5455-$N5455)</f>
      </c>
    </row>
    <row r="5456">
      <c r="A5456"/>
      <c r="B5456">
        <v>12</v>
      </c>
      <c r="C5456" s="43">
        <f>INDEX(DarlObj,12)</f>
      </c>
      <c r="D5456">
        <v>173</v>
      </c>
      <c r="E5456" s="51">
        <f>IF(INDEX(DarlBelegt,12)=0,0,EOMONTH(INDEX(DarlAuszahlung,12),172)+1)</f>
      </c>
      <c r="F5456" s="43">
        <f>IF($E5456=0,0,YEAR($E5456))</f>
      </c>
      <c r="G5456" s="43">
        <f>IF(INDEX(DarlBindung,12)="",1,IF($E5456&lt;=INDEX(DarlBindung,12),1,0))</f>
      </c>
      <c r="H5456" s="43">
        <f>IF($G5456=1,INDEX(DarlSollzins,12),INDEX(DarlAnschluss,12))</f>
      </c>
      <c r="I5456" s="43">
        <f>IF(INDEX(DarlBelegt,12)=0,0,IF(INDEX(DarlOhneTilgung,12)=1,IF(INDEX(DarlBindung,12)="",1,$G5456),IF($J5456&gt;0.005,1,0)))</f>
      </c>
      <c r="J5456" s="43">
        <f>IF($I5455=0,0,$R5455)</f>
      </c>
      <c r="K5456" s="43">
        <f>IF($I5456=0,0,IF(INDEX(DarlOhneTilgung,12)=1,0,IF(AND(INDEX(DarlTilgStart,12)&gt;0,$E5456=INDEX(DarlTilgStart,12)),$J5456*($H5456+INDEX(DarlTilgung,12))/100/12,IF(AND($G5456=0,$G5455=1),MAX($K5455,$J5456*($H5456+1)/100/12),$K5455))))</f>
      </c>
      <c r="L5456" s="43">
        <f>IF($I5456=0,0,$J5456*$H5456/100/12)</f>
      </c>
      <c r="M5456" s="43">
        <f>IF($I5456=0,0,IF(OR(INDEX(DarlOhneTilgung,12)=1,AND(INDEX(DarlTilgStart,12)&gt;0,$E5456&lt;INDEX(DarlTilgStart,12))),0,MIN(MAX(0,$K5456-$L5456),$J5456)))</f>
      </c>
      <c r="N5456" s="43">
        <f>IF($I5456=0,0,MIN(SUMIFS(SondBetrag,SondDarl,12,SondDatum,"&gt;="&amp;$E5456,SondDatum,"&lt;="&amp;EOMONTH($E5456,0)),$J5456-$M5456))</f>
      </c>
      <c r="O5456" s="43">
        <f>IF($I5456=0,0,INDEX(DarlErsatzRate,12))</f>
      </c>
      <c r="P5456" s="43">
        <f>IF($I5456=0,0,$Q5455*INDEX(DarlErsatzZins,12))</f>
      </c>
      <c r="Q5456" s="43">
        <f>IF($I5456=0,0,$Q5455+$P5456+$O5456)</f>
      </c>
      <c r="R5456" s="43">
        <f>IF($I5456=0,0,$J5456-$M5456-$N5456)</f>
      </c>
    </row>
    <row r="5457">
      <c r="A5457"/>
      <c r="B5457">
        <v>12</v>
      </c>
      <c r="C5457" s="43">
        <f>INDEX(DarlObj,12)</f>
      </c>
      <c r="D5457">
        <v>174</v>
      </c>
      <c r="E5457" s="51">
        <f>IF(INDEX(DarlBelegt,12)=0,0,EOMONTH(INDEX(DarlAuszahlung,12),173)+1)</f>
      </c>
      <c r="F5457" s="43">
        <f>IF($E5457=0,0,YEAR($E5457))</f>
      </c>
      <c r="G5457" s="43">
        <f>IF(INDEX(DarlBindung,12)="",1,IF($E5457&lt;=INDEX(DarlBindung,12),1,0))</f>
      </c>
      <c r="H5457" s="43">
        <f>IF($G5457=1,INDEX(DarlSollzins,12),INDEX(DarlAnschluss,12))</f>
      </c>
      <c r="I5457" s="43">
        <f>IF(INDEX(DarlBelegt,12)=0,0,IF(INDEX(DarlOhneTilgung,12)=1,IF(INDEX(DarlBindung,12)="",1,$G5457),IF($J5457&gt;0.005,1,0)))</f>
      </c>
      <c r="J5457" s="43">
        <f>IF($I5456=0,0,$R5456)</f>
      </c>
      <c r="K5457" s="43">
        <f>IF($I5457=0,0,IF(INDEX(DarlOhneTilgung,12)=1,0,IF(AND(INDEX(DarlTilgStart,12)&gt;0,$E5457=INDEX(DarlTilgStart,12)),$J5457*($H5457+INDEX(DarlTilgung,12))/100/12,IF(AND($G5457=0,$G5456=1),MAX($K5456,$J5457*($H5457+1)/100/12),$K5456))))</f>
      </c>
      <c r="L5457" s="43">
        <f>IF($I5457=0,0,$J5457*$H5457/100/12)</f>
      </c>
      <c r="M5457" s="43">
        <f>IF($I5457=0,0,IF(OR(INDEX(DarlOhneTilgung,12)=1,AND(INDEX(DarlTilgStart,12)&gt;0,$E5457&lt;INDEX(DarlTilgStart,12))),0,MIN(MAX(0,$K5457-$L5457),$J5457)))</f>
      </c>
      <c r="N5457" s="43">
        <f>IF($I5457=0,0,MIN(SUMIFS(SondBetrag,SondDarl,12,SondDatum,"&gt;="&amp;$E5457,SondDatum,"&lt;="&amp;EOMONTH($E5457,0)),$J5457-$M5457))</f>
      </c>
      <c r="O5457" s="43">
        <f>IF($I5457=0,0,INDEX(DarlErsatzRate,12))</f>
      </c>
      <c r="P5457" s="43">
        <f>IF($I5457=0,0,$Q5456*INDEX(DarlErsatzZins,12))</f>
      </c>
      <c r="Q5457" s="43">
        <f>IF($I5457=0,0,$Q5456+$P5457+$O5457)</f>
      </c>
      <c r="R5457" s="43">
        <f>IF($I5457=0,0,$J5457-$M5457-$N5457)</f>
      </c>
    </row>
    <row r="5458">
      <c r="A5458"/>
      <c r="B5458">
        <v>12</v>
      </c>
      <c r="C5458" s="43">
        <f>INDEX(DarlObj,12)</f>
      </c>
      <c r="D5458">
        <v>175</v>
      </c>
      <c r="E5458" s="51">
        <f>IF(INDEX(DarlBelegt,12)=0,0,EOMONTH(INDEX(DarlAuszahlung,12),174)+1)</f>
      </c>
      <c r="F5458" s="43">
        <f>IF($E5458=0,0,YEAR($E5458))</f>
      </c>
      <c r="G5458" s="43">
        <f>IF(INDEX(DarlBindung,12)="",1,IF($E5458&lt;=INDEX(DarlBindung,12),1,0))</f>
      </c>
      <c r="H5458" s="43">
        <f>IF($G5458=1,INDEX(DarlSollzins,12),INDEX(DarlAnschluss,12))</f>
      </c>
      <c r="I5458" s="43">
        <f>IF(INDEX(DarlBelegt,12)=0,0,IF(INDEX(DarlOhneTilgung,12)=1,IF(INDEX(DarlBindung,12)="",1,$G5458),IF($J5458&gt;0.005,1,0)))</f>
      </c>
      <c r="J5458" s="43">
        <f>IF($I5457=0,0,$R5457)</f>
      </c>
      <c r="K5458" s="43">
        <f>IF($I5458=0,0,IF(INDEX(DarlOhneTilgung,12)=1,0,IF(AND(INDEX(DarlTilgStart,12)&gt;0,$E5458=INDEX(DarlTilgStart,12)),$J5458*($H5458+INDEX(DarlTilgung,12))/100/12,IF(AND($G5458=0,$G5457=1),MAX($K5457,$J5458*($H5458+1)/100/12),$K5457))))</f>
      </c>
      <c r="L5458" s="43">
        <f>IF($I5458=0,0,$J5458*$H5458/100/12)</f>
      </c>
      <c r="M5458" s="43">
        <f>IF($I5458=0,0,IF(OR(INDEX(DarlOhneTilgung,12)=1,AND(INDEX(DarlTilgStart,12)&gt;0,$E5458&lt;INDEX(DarlTilgStart,12))),0,MIN(MAX(0,$K5458-$L5458),$J5458)))</f>
      </c>
      <c r="N5458" s="43">
        <f>IF($I5458=0,0,MIN(SUMIFS(SondBetrag,SondDarl,12,SondDatum,"&gt;="&amp;$E5458,SondDatum,"&lt;="&amp;EOMONTH($E5458,0)),$J5458-$M5458))</f>
      </c>
      <c r="O5458" s="43">
        <f>IF($I5458=0,0,INDEX(DarlErsatzRate,12))</f>
      </c>
      <c r="P5458" s="43">
        <f>IF($I5458=0,0,$Q5457*INDEX(DarlErsatzZins,12))</f>
      </c>
      <c r="Q5458" s="43">
        <f>IF($I5458=0,0,$Q5457+$P5458+$O5458)</f>
      </c>
      <c r="R5458" s="43">
        <f>IF($I5458=0,0,$J5458-$M5458-$N5458)</f>
      </c>
    </row>
    <row r="5459">
      <c r="A5459"/>
      <c r="B5459">
        <v>12</v>
      </c>
      <c r="C5459" s="43">
        <f>INDEX(DarlObj,12)</f>
      </c>
      <c r="D5459">
        <v>176</v>
      </c>
      <c r="E5459" s="51">
        <f>IF(INDEX(DarlBelegt,12)=0,0,EOMONTH(INDEX(DarlAuszahlung,12),175)+1)</f>
      </c>
      <c r="F5459" s="43">
        <f>IF($E5459=0,0,YEAR($E5459))</f>
      </c>
      <c r="G5459" s="43">
        <f>IF(INDEX(DarlBindung,12)="",1,IF($E5459&lt;=INDEX(DarlBindung,12),1,0))</f>
      </c>
      <c r="H5459" s="43">
        <f>IF($G5459=1,INDEX(DarlSollzins,12),INDEX(DarlAnschluss,12))</f>
      </c>
      <c r="I5459" s="43">
        <f>IF(INDEX(DarlBelegt,12)=0,0,IF(INDEX(DarlOhneTilgung,12)=1,IF(INDEX(DarlBindung,12)="",1,$G5459),IF($J5459&gt;0.005,1,0)))</f>
      </c>
      <c r="J5459" s="43">
        <f>IF($I5458=0,0,$R5458)</f>
      </c>
      <c r="K5459" s="43">
        <f>IF($I5459=0,0,IF(INDEX(DarlOhneTilgung,12)=1,0,IF(AND(INDEX(DarlTilgStart,12)&gt;0,$E5459=INDEX(DarlTilgStart,12)),$J5459*($H5459+INDEX(DarlTilgung,12))/100/12,IF(AND($G5459=0,$G5458=1),MAX($K5458,$J5459*($H5459+1)/100/12),$K5458))))</f>
      </c>
      <c r="L5459" s="43">
        <f>IF($I5459=0,0,$J5459*$H5459/100/12)</f>
      </c>
      <c r="M5459" s="43">
        <f>IF($I5459=0,0,IF(OR(INDEX(DarlOhneTilgung,12)=1,AND(INDEX(DarlTilgStart,12)&gt;0,$E5459&lt;INDEX(DarlTilgStart,12))),0,MIN(MAX(0,$K5459-$L5459),$J5459)))</f>
      </c>
      <c r="N5459" s="43">
        <f>IF($I5459=0,0,MIN(SUMIFS(SondBetrag,SondDarl,12,SondDatum,"&gt;="&amp;$E5459,SondDatum,"&lt;="&amp;EOMONTH($E5459,0)),$J5459-$M5459))</f>
      </c>
      <c r="O5459" s="43">
        <f>IF($I5459=0,0,INDEX(DarlErsatzRate,12))</f>
      </c>
      <c r="P5459" s="43">
        <f>IF($I5459=0,0,$Q5458*INDEX(DarlErsatzZins,12))</f>
      </c>
      <c r="Q5459" s="43">
        <f>IF($I5459=0,0,$Q5458+$P5459+$O5459)</f>
      </c>
      <c r="R5459" s="43">
        <f>IF($I5459=0,0,$J5459-$M5459-$N5459)</f>
      </c>
    </row>
    <row r="5460">
      <c r="A5460"/>
      <c r="B5460">
        <v>12</v>
      </c>
      <c r="C5460" s="43">
        <f>INDEX(DarlObj,12)</f>
      </c>
      <c r="D5460">
        <v>177</v>
      </c>
      <c r="E5460" s="51">
        <f>IF(INDEX(DarlBelegt,12)=0,0,EOMONTH(INDEX(DarlAuszahlung,12),176)+1)</f>
      </c>
      <c r="F5460" s="43">
        <f>IF($E5460=0,0,YEAR($E5460))</f>
      </c>
      <c r="G5460" s="43">
        <f>IF(INDEX(DarlBindung,12)="",1,IF($E5460&lt;=INDEX(DarlBindung,12),1,0))</f>
      </c>
      <c r="H5460" s="43">
        <f>IF($G5460=1,INDEX(DarlSollzins,12),INDEX(DarlAnschluss,12))</f>
      </c>
      <c r="I5460" s="43">
        <f>IF(INDEX(DarlBelegt,12)=0,0,IF(INDEX(DarlOhneTilgung,12)=1,IF(INDEX(DarlBindung,12)="",1,$G5460),IF($J5460&gt;0.005,1,0)))</f>
      </c>
      <c r="J5460" s="43">
        <f>IF($I5459=0,0,$R5459)</f>
      </c>
      <c r="K5460" s="43">
        <f>IF($I5460=0,0,IF(INDEX(DarlOhneTilgung,12)=1,0,IF(AND(INDEX(DarlTilgStart,12)&gt;0,$E5460=INDEX(DarlTilgStart,12)),$J5460*($H5460+INDEX(DarlTilgung,12))/100/12,IF(AND($G5460=0,$G5459=1),MAX($K5459,$J5460*($H5460+1)/100/12),$K5459))))</f>
      </c>
      <c r="L5460" s="43">
        <f>IF($I5460=0,0,$J5460*$H5460/100/12)</f>
      </c>
      <c r="M5460" s="43">
        <f>IF($I5460=0,0,IF(OR(INDEX(DarlOhneTilgung,12)=1,AND(INDEX(DarlTilgStart,12)&gt;0,$E5460&lt;INDEX(DarlTilgStart,12))),0,MIN(MAX(0,$K5460-$L5460),$J5460)))</f>
      </c>
      <c r="N5460" s="43">
        <f>IF($I5460=0,0,MIN(SUMIFS(SondBetrag,SondDarl,12,SondDatum,"&gt;="&amp;$E5460,SondDatum,"&lt;="&amp;EOMONTH($E5460,0)),$J5460-$M5460))</f>
      </c>
      <c r="O5460" s="43">
        <f>IF($I5460=0,0,INDEX(DarlErsatzRate,12))</f>
      </c>
      <c r="P5460" s="43">
        <f>IF($I5460=0,0,$Q5459*INDEX(DarlErsatzZins,12))</f>
      </c>
      <c r="Q5460" s="43">
        <f>IF($I5460=0,0,$Q5459+$P5460+$O5460)</f>
      </c>
      <c r="R5460" s="43">
        <f>IF($I5460=0,0,$J5460-$M5460-$N5460)</f>
      </c>
    </row>
    <row r="5461">
      <c r="A5461"/>
      <c r="B5461">
        <v>12</v>
      </c>
      <c r="C5461" s="43">
        <f>INDEX(DarlObj,12)</f>
      </c>
      <c r="D5461">
        <v>178</v>
      </c>
      <c r="E5461" s="51">
        <f>IF(INDEX(DarlBelegt,12)=0,0,EOMONTH(INDEX(DarlAuszahlung,12),177)+1)</f>
      </c>
      <c r="F5461" s="43">
        <f>IF($E5461=0,0,YEAR($E5461))</f>
      </c>
      <c r="G5461" s="43">
        <f>IF(INDEX(DarlBindung,12)="",1,IF($E5461&lt;=INDEX(DarlBindung,12),1,0))</f>
      </c>
      <c r="H5461" s="43">
        <f>IF($G5461=1,INDEX(DarlSollzins,12),INDEX(DarlAnschluss,12))</f>
      </c>
      <c r="I5461" s="43">
        <f>IF(INDEX(DarlBelegt,12)=0,0,IF(INDEX(DarlOhneTilgung,12)=1,IF(INDEX(DarlBindung,12)="",1,$G5461),IF($J5461&gt;0.005,1,0)))</f>
      </c>
      <c r="J5461" s="43">
        <f>IF($I5460=0,0,$R5460)</f>
      </c>
      <c r="K5461" s="43">
        <f>IF($I5461=0,0,IF(INDEX(DarlOhneTilgung,12)=1,0,IF(AND(INDEX(DarlTilgStart,12)&gt;0,$E5461=INDEX(DarlTilgStart,12)),$J5461*($H5461+INDEX(DarlTilgung,12))/100/12,IF(AND($G5461=0,$G5460=1),MAX($K5460,$J5461*($H5461+1)/100/12),$K5460))))</f>
      </c>
      <c r="L5461" s="43">
        <f>IF($I5461=0,0,$J5461*$H5461/100/12)</f>
      </c>
      <c r="M5461" s="43">
        <f>IF($I5461=0,0,IF(OR(INDEX(DarlOhneTilgung,12)=1,AND(INDEX(DarlTilgStart,12)&gt;0,$E5461&lt;INDEX(DarlTilgStart,12))),0,MIN(MAX(0,$K5461-$L5461),$J5461)))</f>
      </c>
      <c r="N5461" s="43">
        <f>IF($I5461=0,0,MIN(SUMIFS(SondBetrag,SondDarl,12,SondDatum,"&gt;="&amp;$E5461,SondDatum,"&lt;="&amp;EOMONTH($E5461,0)),$J5461-$M5461))</f>
      </c>
      <c r="O5461" s="43">
        <f>IF($I5461=0,0,INDEX(DarlErsatzRate,12))</f>
      </c>
      <c r="P5461" s="43">
        <f>IF($I5461=0,0,$Q5460*INDEX(DarlErsatzZins,12))</f>
      </c>
      <c r="Q5461" s="43">
        <f>IF($I5461=0,0,$Q5460+$P5461+$O5461)</f>
      </c>
      <c r="R5461" s="43">
        <f>IF($I5461=0,0,$J5461-$M5461-$N5461)</f>
      </c>
    </row>
    <row r="5462">
      <c r="A5462"/>
      <c r="B5462">
        <v>12</v>
      </c>
      <c r="C5462" s="43">
        <f>INDEX(DarlObj,12)</f>
      </c>
      <c r="D5462">
        <v>179</v>
      </c>
      <c r="E5462" s="51">
        <f>IF(INDEX(DarlBelegt,12)=0,0,EOMONTH(INDEX(DarlAuszahlung,12),178)+1)</f>
      </c>
      <c r="F5462" s="43">
        <f>IF($E5462=0,0,YEAR($E5462))</f>
      </c>
      <c r="G5462" s="43">
        <f>IF(INDEX(DarlBindung,12)="",1,IF($E5462&lt;=INDEX(DarlBindung,12),1,0))</f>
      </c>
      <c r="H5462" s="43">
        <f>IF($G5462=1,INDEX(DarlSollzins,12),INDEX(DarlAnschluss,12))</f>
      </c>
      <c r="I5462" s="43">
        <f>IF(INDEX(DarlBelegt,12)=0,0,IF(INDEX(DarlOhneTilgung,12)=1,IF(INDEX(DarlBindung,12)="",1,$G5462),IF($J5462&gt;0.005,1,0)))</f>
      </c>
      <c r="J5462" s="43">
        <f>IF($I5461=0,0,$R5461)</f>
      </c>
      <c r="K5462" s="43">
        <f>IF($I5462=0,0,IF(INDEX(DarlOhneTilgung,12)=1,0,IF(AND(INDEX(DarlTilgStart,12)&gt;0,$E5462=INDEX(DarlTilgStart,12)),$J5462*($H5462+INDEX(DarlTilgung,12))/100/12,IF(AND($G5462=0,$G5461=1),MAX($K5461,$J5462*($H5462+1)/100/12),$K5461))))</f>
      </c>
      <c r="L5462" s="43">
        <f>IF($I5462=0,0,$J5462*$H5462/100/12)</f>
      </c>
      <c r="M5462" s="43">
        <f>IF($I5462=0,0,IF(OR(INDEX(DarlOhneTilgung,12)=1,AND(INDEX(DarlTilgStart,12)&gt;0,$E5462&lt;INDEX(DarlTilgStart,12))),0,MIN(MAX(0,$K5462-$L5462),$J5462)))</f>
      </c>
      <c r="N5462" s="43">
        <f>IF($I5462=0,0,MIN(SUMIFS(SondBetrag,SondDarl,12,SondDatum,"&gt;="&amp;$E5462,SondDatum,"&lt;="&amp;EOMONTH($E5462,0)),$J5462-$M5462))</f>
      </c>
      <c r="O5462" s="43">
        <f>IF($I5462=0,0,INDEX(DarlErsatzRate,12))</f>
      </c>
      <c r="P5462" s="43">
        <f>IF($I5462=0,0,$Q5461*INDEX(DarlErsatzZins,12))</f>
      </c>
      <c r="Q5462" s="43">
        <f>IF($I5462=0,0,$Q5461+$P5462+$O5462)</f>
      </c>
      <c r="R5462" s="43">
        <f>IF($I5462=0,0,$J5462-$M5462-$N5462)</f>
      </c>
    </row>
    <row r="5463">
      <c r="A5463"/>
      <c r="B5463">
        <v>12</v>
      </c>
      <c r="C5463" s="43">
        <f>INDEX(DarlObj,12)</f>
      </c>
      <c r="D5463">
        <v>180</v>
      </c>
      <c r="E5463" s="51">
        <f>IF(INDEX(DarlBelegt,12)=0,0,EOMONTH(INDEX(DarlAuszahlung,12),179)+1)</f>
      </c>
      <c r="F5463" s="43">
        <f>IF($E5463=0,0,YEAR($E5463))</f>
      </c>
      <c r="G5463" s="43">
        <f>IF(INDEX(DarlBindung,12)="",1,IF($E5463&lt;=INDEX(DarlBindung,12),1,0))</f>
      </c>
      <c r="H5463" s="43">
        <f>IF($G5463=1,INDEX(DarlSollzins,12),INDEX(DarlAnschluss,12))</f>
      </c>
      <c r="I5463" s="43">
        <f>IF(INDEX(DarlBelegt,12)=0,0,IF(INDEX(DarlOhneTilgung,12)=1,IF(INDEX(DarlBindung,12)="",1,$G5463),IF($J5463&gt;0.005,1,0)))</f>
      </c>
      <c r="J5463" s="43">
        <f>IF($I5462=0,0,$R5462)</f>
      </c>
      <c r="K5463" s="43">
        <f>IF($I5463=0,0,IF(INDEX(DarlOhneTilgung,12)=1,0,IF(AND(INDEX(DarlTilgStart,12)&gt;0,$E5463=INDEX(DarlTilgStart,12)),$J5463*($H5463+INDEX(DarlTilgung,12))/100/12,IF(AND($G5463=0,$G5462=1),MAX($K5462,$J5463*($H5463+1)/100/12),$K5462))))</f>
      </c>
      <c r="L5463" s="43">
        <f>IF($I5463=0,0,$J5463*$H5463/100/12)</f>
      </c>
      <c r="M5463" s="43">
        <f>IF($I5463=0,0,IF(OR(INDEX(DarlOhneTilgung,12)=1,AND(INDEX(DarlTilgStart,12)&gt;0,$E5463&lt;INDEX(DarlTilgStart,12))),0,MIN(MAX(0,$K5463-$L5463),$J5463)))</f>
      </c>
      <c r="N5463" s="43">
        <f>IF($I5463=0,0,MIN(SUMIFS(SondBetrag,SondDarl,12,SondDatum,"&gt;="&amp;$E5463,SondDatum,"&lt;="&amp;EOMONTH($E5463,0)),$J5463-$M5463))</f>
      </c>
      <c r="O5463" s="43">
        <f>IF($I5463=0,0,INDEX(DarlErsatzRate,12))</f>
      </c>
      <c r="P5463" s="43">
        <f>IF($I5463=0,0,$Q5462*INDEX(DarlErsatzZins,12))</f>
      </c>
      <c r="Q5463" s="43">
        <f>IF($I5463=0,0,$Q5462+$P5463+$O5463)</f>
      </c>
      <c r="R5463" s="43">
        <f>IF($I5463=0,0,$J5463-$M5463-$N5463)</f>
      </c>
    </row>
    <row r="5464">
      <c r="A5464"/>
      <c r="B5464">
        <v>12</v>
      </c>
      <c r="C5464" s="43">
        <f>INDEX(DarlObj,12)</f>
      </c>
      <c r="D5464">
        <v>181</v>
      </c>
      <c r="E5464" s="51">
        <f>IF(INDEX(DarlBelegt,12)=0,0,EOMONTH(INDEX(DarlAuszahlung,12),180)+1)</f>
      </c>
      <c r="F5464" s="43">
        <f>IF($E5464=0,0,YEAR($E5464))</f>
      </c>
      <c r="G5464" s="43">
        <f>IF(INDEX(DarlBindung,12)="",1,IF($E5464&lt;=INDEX(DarlBindung,12),1,0))</f>
      </c>
      <c r="H5464" s="43">
        <f>IF($G5464=1,INDEX(DarlSollzins,12),INDEX(DarlAnschluss,12))</f>
      </c>
      <c r="I5464" s="43">
        <f>IF(INDEX(DarlBelegt,12)=0,0,IF(INDEX(DarlOhneTilgung,12)=1,IF(INDEX(DarlBindung,12)="",1,$G5464),IF($J5464&gt;0.005,1,0)))</f>
      </c>
      <c r="J5464" s="43">
        <f>IF($I5463=0,0,$R5463)</f>
      </c>
      <c r="K5464" s="43">
        <f>IF($I5464=0,0,IF(INDEX(DarlOhneTilgung,12)=1,0,IF(AND(INDEX(DarlTilgStart,12)&gt;0,$E5464=INDEX(DarlTilgStart,12)),$J5464*($H5464+INDEX(DarlTilgung,12))/100/12,IF(AND($G5464=0,$G5463=1),MAX($K5463,$J5464*($H5464+1)/100/12),$K5463))))</f>
      </c>
      <c r="L5464" s="43">
        <f>IF($I5464=0,0,$J5464*$H5464/100/12)</f>
      </c>
      <c r="M5464" s="43">
        <f>IF($I5464=0,0,IF(OR(INDEX(DarlOhneTilgung,12)=1,AND(INDEX(DarlTilgStart,12)&gt;0,$E5464&lt;INDEX(DarlTilgStart,12))),0,MIN(MAX(0,$K5464-$L5464),$J5464)))</f>
      </c>
      <c r="N5464" s="43">
        <f>IF($I5464=0,0,MIN(SUMIFS(SondBetrag,SondDarl,12,SondDatum,"&gt;="&amp;$E5464,SondDatum,"&lt;="&amp;EOMONTH($E5464,0)),$J5464-$M5464))</f>
      </c>
      <c r="O5464" s="43">
        <f>IF($I5464=0,0,INDEX(DarlErsatzRate,12))</f>
      </c>
      <c r="P5464" s="43">
        <f>IF($I5464=0,0,$Q5463*INDEX(DarlErsatzZins,12))</f>
      </c>
      <c r="Q5464" s="43">
        <f>IF($I5464=0,0,$Q5463+$P5464+$O5464)</f>
      </c>
      <c r="R5464" s="43">
        <f>IF($I5464=0,0,$J5464-$M5464-$N5464)</f>
      </c>
    </row>
    <row r="5465">
      <c r="A5465"/>
      <c r="B5465">
        <v>12</v>
      </c>
      <c r="C5465" s="43">
        <f>INDEX(DarlObj,12)</f>
      </c>
      <c r="D5465">
        <v>182</v>
      </c>
      <c r="E5465" s="51">
        <f>IF(INDEX(DarlBelegt,12)=0,0,EOMONTH(INDEX(DarlAuszahlung,12),181)+1)</f>
      </c>
      <c r="F5465" s="43">
        <f>IF($E5465=0,0,YEAR($E5465))</f>
      </c>
      <c r="G5465" s="43">
        <f>IF(INDEX(DarlBindung,12)="",1,IF($E5465&lt;=INDEX(DarlBindung,12),1,0))</f>
      </c>
      <c r="H5465" s="43">
        <f>IF($G5465=1,INDEX(DarlSollzins,12),INDEX(DarlAnschluss,12))</f>
      </c>
      <c r="I5465" s="43">
        <f>IF(INDEX(DarlBelegt,12)=0,0,IF(INDEX(DarlOhneTilgung,12)=1,IF(INDEX(DarlBindung,12)="",1,$G5465),IF($J5465&gt;0.005,1,0)))</f>
      </c>
      <c r="J5465" s="43">
        <f>IF($I5464=0,0,$R5464)</f>
      </c>
      <c r="K5465" s="43">
        <f>IF($I5465=0,0,IF(INDEX(DarlOhneTilgung,12)=1,0,IF(AND(INDEX(DarlTilgStart,12)&gt;0,$E5465=INDEX(DarlTilgStart,12)),$J5465*($H5465+INDEX(DarlTilgung,12))/100/12,IF(AND($G5465=0,$G5464=1),MAX($K5464,$J5465*($H5465+1)/100/12),$K5464))))</f>
      </c>
      <c r="L5465" s="43">
        <f>IF($I5465=0,0,$J5465*$H5465/100/12)</f>
      </c>
      <c r="M5465" s="43">
        <f>IF($I5465=0,0,IF(OR(INDEX(DarlOhneTilgung,12)=1,AND(INDEX(DarlTilgStart,12)&gt;0,$E5465&lt;INDEX(DarlTilgStart,12))),0,MIN(MAX(0,$K5465-$L5465),$J5465)))</f>
      </c>
      <c r="N5465" s="43">
        <f>IF($I5465=0,0,MIN(SUMIFS(SondBetrag,SondDarl,12,SondDatum,"&gt;="&amp;$E5465,SondDatum,"&lt;="&amp;EOMONTH($E5465,0)),$J5465-$M5465))</f>
      </c>
      <c r="O5465" s="43">
        <f>IF($I5465=0,0,INDEX(DarlErsatzRate,12))</f>
      </c>
      <c r="P5465" s="43">
        <f>IF($I5465=0,0,$Q5464*INDEX(DarlErsatzZins,12))</f>
      </c>
      <c r="Q5465" s="43">
        <f>IF($I5465=0,0,$Q5464+$P5465+$O5465)</f>
      </c>
      <c r="R5465" s="43">
        <f>IF($I5465=0,0,$J5465-$M5465-$N5465)</f>
      </c>
    </row>
    <row r="5466">
      <c r="A5466"/>
      <c r="B5466">
        <v>12</v>
      </c>
      <c r="C5466" s="43">
        <f>INDEX(DarlObj,12)</f>
      </c>
      <c r="D5466">
        <v>183</v>
      </c>
      <c r="E5466" s="51">
        <f>IF(INDEX(DarlBelegt,12)=0,0,EOMONTH(INDEX(DarlAuszahlung,12),182)+1)</f>
      </c>
      <c r="F5466" s="43">
        <f>IF($E5466=0,0,YEAR($E5466))</f>
      </c>
      <c r="G5466" s="43">
        <f>IF(INDEX(DarlBindung,12)="",1,IF($E5466&lt;=INDEX(DarlBindung,12),1,0))</f>
      </c>
      <c r="H5466" s="43">
        <f>IF($G5466=1,INDEX(DarlSollzins,12),INDEX(DarlAnschluss,12))</f>
      </c>
      <c r="I5466" s="43">
        <f>IF(INDEX(DarlBelegt,12)=0,0,IF(INDEX(DarlOhneTilgung,12)=1,IF(INDEX(DarlBindung,12)="",1,$G5466),IF($J5466&gt;0.005,1,0)))</f>
      </c>
      <c r="J5466" s="43">
        <f>IF($I5465=0,0,$R5465)</f>
      </c>
      <c r="K5466" s="43">
        <f>IF($I5466=0,0,IF(INDEX(DarlOhneTilgung,12)=1,0,IF(AND(INDEX(DarlTilgStart,12)&gt;0,$E5466=INDEX(DarlTilgStart,12)),$J5466*($H5466+INDEX(DarlTilgung,12))/100/12,IF(AND($G5466=0,$G5465=1),MAX($K5465,$J5466*($H5466+1)/100/12),$K5465))))</f>
      </c>
      <c r="L5466" s="43">
        <f>IF($I5466=0,0,$J5466*$H5466/100/12)</f>
      </c>
      <c r="M5466" s="43">
        <f>IF($I5466=0,0,IF(OR(INDEX(DarlOhneTilgung,12)=1,AND(INDEX(DarlTilgStart,12)&gt;0,$E5466&lt;INDEX(DarlTilgStart,12))),0,MIN(MAX(0,$K5466-$L5466),$J5466)))</f>
      </c>
      <c r="N5466" s="43">
        <f>IF($I5466=0,0,MIN(SUMIFS(SondBetrag,SondDarl,12,SondDatum,"&gt;="&amp;$E5466,SondDatum,"&lt;="&amp;EOMONTH($E5466,0)),$J5466-$M5466))</f>
      </c>
      <c r="O5466" s="43">
        <f>IF($I5466=0,0,INDEX(DarlErsatzRate,12))</f>
      </c>
      <c r="P5466" s="43">
        <f>IF($I5466=0,0,$Q5465*INDEX(DarlErsatzZins,12))</f>
      </c>
      <c r="Q5466" s="43">
        <f>IF($I5466=0,0,$Q5465+$P5466+$O5466)</f>
      </c>
      <c r="R5466" s="43">
        <f>IF($I5466=0,0,$J5466-$M5466-$N5466)</f>
      </c>
    </row>
    <row r="5467">
      <c r="A5467"/>
      <c r="B5467">
        <v>12</v>
      </c>
      <c r="C5467" s="43">
        <f>INDEX(DarlObj,12)</f>
      </c>
      <c r="D5467">
        <v>184</v>
      </c>
      <c r="E5467" s="51">
        <f>IF(INDEX(DarlBelegt,12)=0,0,EOMONTH(INDEX(DarlAuszahlung,12),183)+1)</f>
      </c>
      <c r="F5467" s="43">
        <f>IF($E5467=0,0,YEAR($E5467))</f>
      </c>
      <c r="G5467" s="43">
        <f>IF(INDEX(DarlBindung,12)="",1,IF($E5467&lt;=INDEX(DarlBindung,12),1,0))</f>
      </c>
      <c r="H5467" s="43">
        <f>IF($G5467=1,INDEX(DarlSollzins,12),INDEX(DarlAnschluss,12))</f>
      </c>
      <c r="I5467" s="43">
        <f>IF(INDEX(DarlBelegt,12)=0,0,IF(INDEX(DarlOhneTilgung,12)=1,IF(INDEX(DarlBindung,12)="",1,$G5467),IF($J5467&gt;0.005,1,0)))</f>
      </c>
      <c r="J5467" s="43">
        <f>IF($I5466=0,0,$R5466)</f>
      </c>
      <c r="K5467" s="43">
        <f>IF($I5467=0,0,IF(INDEX(DarlOhneTilgung,12)=1,0,IF(AND(INDEX(DarlTilgStart,12)&gt;0,$E5467=INDEX(DarlTilgStart,12)),$J5467*($H5467+INDEX(DarlTilgung,12))/100/12,IF(AND($G5467=0,$G5466=1),MAX($K5466,$J5467*($H5467+1)/100/12),$K5466))))</f>
      </c>
      <c r="L5467" s="43">
        <f>IF($I5467=0,0,$J5467*$H5467/100/12)</f>
      </c>
      <c r="M5467" s="43">
        <f>IF($I5467=0,0,IF(OR(INDEX(DarlOhneTilgung,12)=1,AND(INDEX(DarlTilgStart,12)&gt;0,$E5467&lt;INDEX(DarlTilgStart,12))),0,MIN(MAX(0,$K5467-$L5467),$J5467)))</f>
      </c>
      <c r="N5467" s="43">
        <f>IF($I5467=0,0,MIN(SUMIFS(SondBetrag,SondDarl,12,SondDatum,"&gt;="&amp;$E5467,SondDatum,"&lt;="&amp;EOMONTH($E5467,0)),$J5467-$M5467))</f>
      </c>
      <c r="O5467" s="43">
        <f>IF($I5467=0,0,INDEX(DarlErsatzRate,12))</f>
      </c>
      <c r="P5467" s="43">
        <f>IF($I5467=0,0,$Q5466*INDEX(DarlErsatzZins,12))</f>
      </c>
      <c r="Q5467" s="43">
        <f>IF($I5467=0,0,$Q5466+$P5467+$O5467)</f>
      </c>
      <c r="R5467" s="43">
        <f>IF($I5467=0,0,$J5467-$M5467-$N5467)</f>
      </c>
    </row>
    <row r="5468">
      <c r="A5468"/>
      <c r="B5468">
        <v>12</v>
      </c>
      <c r="C5468" s="43">
        <f>INDEX(DarlObj,12)</f>
      </c>
      <c r="D5468">
        <v>185</v>
      </c>
      <c r="E5468" s="51">
        <f>IF(INDEX(DarlBelegt,12)=0,0,EOMONTH(INDEX(DarlAuszahlung,12),184)+1)</f>
      </c>
      <c r="F5468" s="43">
        <f>IF($E5468=0,0,YEAR($E5468))</f>
      </c>
      <c r="G5468" s="43">
        <f>IF(INDEX(DarlBindung,12)="",1,IF($E5468&lt;=INDEX(DarlBindung,12),1,0))</f>
      </c>
      <c r="H5468" s="43">
        <f>IF($G5468=1,INDEX(DarlSollzins,12),INDEX(DarlAnschluss,12))</f>
      </c>
      <c r="I5468" s="43">
        <f>IF(INDEX(DarlBelegt,12)=0,0,IF(INDEX(DarlOhneTilgung,12)=1,IF(INDEX(DarlBindung,12)="",1,$G5468),IF($J5468&gt;0.005,1,0)))</f>
      </c>
      <c r="J5468" s="43">
        <f>IF($I5467=0,0,$R5467)</f>
      </c>
      <c r="K5468" s="43">
        <f>IF($I5468=0,0,IF(INDEX(DarlOhneTilgung,12)=1,0,IF(AND(INDEX(DarlTilgStart,12)&gt;0,$E5468=INDEX(DarlTilgStart,12)),$J5468*($H5468+INDEX(DarlTilgung,12))/100/12,IF(AND($G5468=0,$G5467=1),MAX($K5467,$J5468*($H5468+1)/100/12),$K5467))))</f>
      </c>
      <c r="L5468" s="43">
        <f>IF($I5468=0,0,$J5468*$H5468/100/12)</f>
      </c>
      <c r="M5468" s="43">
        <f>IF($I5468=0,0,IF(OR(INDEX(DarlOhneTilgung,12)=1,AND(INDEX(DarlTilgStart,12)&gt;0,$E5468&lt;INDEX(DarlTilgStart,12))),0,MIN(MAX(0,$K5468-$L5468),$J5468)))</f>
      </c>
      <c r="N5468" s="43">
        <f>IF($I5468=0,0,MIN(SUMIFS(SondBetrag,SondDarl,12,SondDatum,"&gt;="&amp;$E5468,SondDatum,"&lt;="&amp;EOMONTH($E5468,0)),$J5468-$M5468))</f>
      </c>
      <c r="O5468" s="43">
        <f>IF($I5468=0,0,INDEX(DarlErsatzRate,12))</f>
      </c>
      <c r="P5468" s="43">
        <f>IF($I5468=0,0,$Q5467*INDEX(DarlErsatzZins,12))</f>
      </c>
      <c r="Q5468" s="43">
        <f>IF($I5468=0,0,$Q5467+$P5468+$O5468)</f>
      </c>
      <c r="R5468" s="43">
        <f>IF($I5468=0,0,$J5468-$M5468-$N5468)</f>
      </c>
    </row>
    <row r="5469">
      <c r="A5469"/>
      <c r="B5469">
        <v>12</v>
      </c>
      <c r="C5469" s="43">
        <f>INDEX(DarlObj,12)</f>
      </c>
      <c r="D5469">
        <v>186</v>
      </c>
      <c r="E5469" s="51">
        <f>IF(INDEX(DarlBelegt,12)=0,0,EOMONTH(INDEX(DarlAuszahlung,12),185)+1)</f>
      </c>
      <c r="F5469" s="43">
        <f>IF($E5469=0,0,YEAR($E5469))</f>
      </c>
      <c r="G5469" s="43">
        <f>IF(INDEX(DarlBindung,12)="",1,IF($E5469&lt;=INDEX(DarlBindung,12),1,0))</f>
      </c>
      <c r="H5469" s="43">
        <f>IF($G5469=1,INDEX(DarlSollzins,12),INDEX(DarlAnschluss,12))</f>
      </c>
      <c r="I5469" s="43">
        <f>IF(INDEX(DarlBelegt,12)=0,0,IF(INDEX(DarlOhneTilgung,12)=1,IF(INDEX(DarlBindung,12)="",1,$G5469),IF($J5469&gt;0.005,1,0)))</f>
      </c>
      <c r="J5469" s="43">
        <f>IF($I5468=0,0,$R5468)</f>
      </c>
      <c r="K5469" s="43">
        <f>IF($I5469=0,0,IF(INDEX(DarlOhneTilgung,12)=1,0,IF(AND(INDEX(DarlTilgStart,12)&gt;0,$E5469=INDEX(DarlTilgStart,12)),$J5469*($H5469+INDEX(DarlTilgung,12))/100/12,IF(AND($G5469=0,$G5468=1),MAX($K5468,$J5469*($H5469+1)/100/12),$K5468))))</f>
      </c>
      <c r="L5469" s="43">
        <f>IF($I5469=0,0,$J5469*$H5469/100/12)</f>
      </c>
      <c r="M5469" s="43">
        <f>IF($I5469=0,0,IF(OR(INDEX(DarlOhneTilgung,12)=1,AND(INDEX(DarlTilgStart,12)&gt;0,$E5469&lt;INDEX(DarlTilgStart,12))),0,MIN(MAX(0,$K5469-$L5469),$J5469)))</f>
      </c>
      <c r="N5469" s="43">
        <f>IF($I5469=0,0,MIN(SUMIFS(SondBetrag,SondDarl,12,SondDatum,"&gt;="&amp;$E5469,SondDatum,"&lt;="&amp;EOMONTH($E5469,0)),$J5469-$M5469))</f>
      </c>
      <c r="O5469" s="43">
        <f>IF($I5469=0,0,INDEX(DarlErsatzRate,12))</f>
      </c>
      <c r="P5469" s="43">
        <f>IF($I5469=0,0,$Q5468*INDEX(DarlErsatzZins,12))</f>
      </c>
      <c r="Q5469" s="43">
        <f>IF($I5469=0,0,$Q5468+$P5469+$O5469)</f>
      </c>
      <c r="R5469" s="43">
        <f>IF($I5469=0,0,$J5469-$M5469-$N5469)</f>
      </c>
    </row>
    <row r="5470">
      <c r="A5470"/>
      <c r="B5470">
        <v>12</v>
      </c>
      <c r="C5470" s="43">
        <f>INDEX(DarlObj,12)</f>
      </c>
      <c r="D5470">
        <v>187</v>
      </c>
      <c r="E5470" s="51">
        <f>IF(INDEX(DarlBelegt,12)=0,0,EOMONTH(INDEX(DarlAuszahlung,12),186)+1)</f>
      </c>
      <c r="F5470" s="43">
        <f>IF($E5470=0,0,YEAR($E5470))</f>
      </c>
      <c r="G5470" s="43">
        <f>IF(INDEX(DarlBindung,12)="",1,IF($E5470&lt;=INDEX(DarlBindung,12),1,0))</f>
      </c>
      <c r="H5470" s="43">
        <f>IF($G5470=1,INDEX(DarlSollzins,12),INDEX(DarlAnschluss,12))</f>
      </c>
      <c r="I5470" s="43">
        <f>IF(INDEX(DarlBelegt,12)=0,0,IF(INDEX(DarlOhneTilgung,12)=1,IF(INDEX(DarlBindung,12)="",1,$G5470),IF($J5470&gt;0.005,1,0)))</f>
      </c>
      <c r="J5470" s="43">
        <f>IF($I5469=0,0,$R5469)</f>
      </c>
      <c r="K5470" s="43">
        <f>IF($I5470=0,0,IF(INDEX(DarlOhneTilgung,12)=1,0,IF(AND(INDEX(DarlTilgStart,12)&gt;0,$E5470=INDEX(DarlTilgStart,12)),$J5470*($H5470+INDEX(DarlTilgung,12))/100/12,IF(AND($G5470=0,$G5469=1),MAX($K5469,$J5470*($H5470+1)/100/12),$K5469))))</f>
      </c>
      <c r="L5470" s="43">
        <f>IF($I5470=0,0,$J5470*$H5470/100/12)</f>
      </c>
      <c r="M5470" s="43">
        <f>IF($I5470=0,0,IF(OR(INDEX(DarlOhneTilgung,12)=1,AND(INDEX(DarlTilgStart,12)&gt;0,$E5470&lt;INDEX(DarlTilgStart,12))),0,MIN(MAX(0,$K5470-$L5470),$J5470)))</f>
      </c>
      <c r="N5470" s="43">
        <f>IF($I5470=0,0,MIN(SUMIFS(SondBetrag,SondDarl,12,SondDatum,"&gt;="&amp;$E5470,SondDatum,"&lt;="&amp;EOMONTH($E5470,0)),$J5470-$M5470))</f>
      </c>
      <c r="O5470" s="43">
        <f>IF($I5470=0,0,INDEX(DarlErsatzRate,12))</f>
      </c>
      <c r="P5470" s="43">
        <f>IF($I5470=0,0,$Q5469*INDEX(DarlErsatzZins,12))</f>
      </c>
      <c r="Q5470" s="43">
        <f>IF($I5470=0,0,$Q5469+$P5470+$O5470)</f>
      </c>
      <c r="R5470" s="43">
        <f>IF($I5470=0,0,$J5470-$M5470-$N5470)</f>
      </c>
    </row>
    <row r="5471">
      <c r="A5471"/>
      <c r="B5471">
        <v>12</v>
      </c>
      <c r="C5471" s="43">
        <f>INDEX(DarlObj,12)</f>
      </c>
      <c r="D5471">
        <v>188</v>
      </c>
      <c r="E5471" s="51">
        <f>IF(INDEX(DarlBelegt,12)=0,0,EOMONTH(INDEX(DarlAuszahlung,12),187)+1)</f>
      </c>
      <c r="F5471" s="43">
        <f>IF($E5471=0,0,YEAR($E5471))</f>
      </c>
      <c r="G5471" s="43">
        <f>IF(INDEX(DarlBindung,12)="",1,IF($E5471&lt;=INDEX(DarlBindung,12),1,0))</f>
      </c>
      <c r="H5471" s="43">
        <f>IF($G5471=1,INDEX(DarlSollzins,12),INDEX(DarlAnschluss,12))</f>
      </c>
      <c r="I5471" s="43">
        <f>IF(INDEX(DarlBelegt,12)=0,0,IF(INDEX(DarlOhneTilgung,12)=1,IF(INDEX(DarlBindung,12)="",1,$G5471),IF($J5471&gt;0.005,1,0)))</f>
      </c>
      <c r="J5471" s="43">
        <f>IF($I5470=0,0,$R5470)</f>
      </c>
      <c r="K5471" s="43">
        <f>IF($I5471=0,0,IF(INDEX(DarlOhneTilgung,12)=1,0,IF(AND(INDEX(DarlTilgStart,12)&gt;0,$E5471=INDEX(DarlTilgStart,12)),$J5471*($H5471+INDEX(DarlTilgung,12))/100/12,IF(AND($G5471=0,$G5470=1),MAX($K5470,$J5471*($H5471+1)/100/12),$K5470))))</f>
      </c>
      <c r="L5471" s="43">
        <f>IF($I5471=0,0,$J5471*$H5471/100/12)</f>
      </c>
      <c r="M5471" s="43">
        <f>IF($I5471=0,0,IF(OR(INDEX(DarlOhneTilgung,12)=1,AND(INDEX(DarlTilgStart,12)&gt;0,$E5471&lt;INDEX(DarlTilgStart,12))),0,MIN(MAX(0,$K5471-$L5471),$J5471)))</f>
      </c>
      <c r="N5471" s="43">
        <f>IF($I5471=0,0,MIN(SUMIFS(SondBetrag,SondDarl,12,SondDatum,"&gt;="&amp;$E5471,SondDatum,"&lt;="&amp;EOMONTH($E5471,0)),$J5471-$M5471))</f>
      </c>
      <c r="O5471" s="43">
        <f>IF($I5471=0,0,INDEX(DarlErsatzRate,12))</f>
      </c>
      <c r="P5471" s="43">
        <f>IF($I5471=0,0,$Q5470*INDEX(DarlErsatzZins,12))</f>
      </c>
      <c r="Q5471" s="43">
        <f>IF($I5471=0,0,$Q5470+$P5471+$O5471)</f>
      </c>
      <c r="R5471" s="43">
        <f>IF($I5471=0,0,$J5471-$M5471-$N5471)</f>
      </c>
    </row>
    <row r="5472">
      <c r="A5472"/>
      <c r="B5472">
        <v>12</v>
      </c>
      <c r="C5472" s="43">
        <f>INDEX(DarlObj,12)</f>
      </c>
      <c r="D5472">
        <v>189</v>
      </c>
      <c r="E5472" s="51">
        <f>IF(INDEX(DarlBelegt,12)=0,0,EOMONTH(INDEX(DarlAuszahlung,12),188)+1)</f>
      </c>
      <c r="F5472" s="43">
        <f>IF($E5472=0,0,YEAR($E5472))</f>
      </c>
      <c r="G5472" s="43">
        <f>IF(INDEX(DarlBindung,12)="",1,IF($E5472&lt;=INDEX(DarlBindung,12),1,0))</f>
      </c>
      <c r="H5472" s="43">
        <f>IF($G5472=1,INDEX(DarlSollzins,12),INDEX(DarlAnschluss,12))</f>
      </c>
      <c r="I5472" s="43">
        <f>IF(INDEX(DarlBelegt,12)=0,0,IF(INDEX(DarlOhneTilgung,12)=1,IF(INDEX(DarlBindung,12)="",1,$G5472),IF($J5472&gt;0.005,1,0)))</f>
      </c>
      <c r="J5472" s="43">
        <f>IF($I5471=0,0,$R5471)</f>
      </c>
      <c r="K5472" s="43">
        <f>IF($I5472=0,0,IF(INDEX(DarlOhneTilgung,12)=1,0,IF(AND(INDEX(DarlTilgStart,12)&gt;0,$E5472=INDEX(DarlTilgStart,12)),$J5472*($H5472+INDEX(DarlTilgung,12))/100/12,IF(AND($G5472=0,$G5471=1),MAX($K5471,$J5472*($H5472+1)/100/12),$K5471))))</f>
      </c>
      <c r="L5472" s="43">
        <f>IF($I5472=0,0,$J5472*$H5472/100/12)</f>
      </c>
      <c r="M5472" s="43">
        <f>IF($I5472=0,0,IF(OR(INDEX(DarlOhneTilgung,12)=1,AND(INDEX(DarlTilgStart,12)&gt;0,$E5472&lt;INDEX(DarlTilgStart,12))),0,MIN(MAX(0,$K5472-$L5472),$J5472)))</f>
      </c>
      <c r="N5472" s="43">
        <f>IF($I5472=0,0,MIN(SUMIFS(SondBetrag,SondDarl,12,SondDatum,"&gt;="&amp;$E5472,SondDatum,"&lt;="&amp;EOMONTH($E5472,0)),$J5472-$M5472))</f>
      </c>
      <c r="O5472" s="43">
        <f>IF($I5472=0,0,INDEX(DarlErsatzRate,12))</f>
      </c>
      <c r="P5472" s="43">
        <f>IF($I5472=0,0,$Q5471*INDEX(DarlErsatzZins,12))</f>
      </c>
      <c r="Q5472" s="43">
        <f>IF($I5472=0,0,$Q5471+$P5472+$O5472)</f>
      </c>
      <c r="R5472" s="43">
        <f>IF($I5472=0,0,$J5472-$M5472-$N5472)</f>
      </c>
    </row>
    <row r="5473">
      <c r="A5473"/>
      <c r="B5473">
        <v>12</v>
      </c>
      <c r="C5473" s="43">
        <f>INDEX(DarlObj,12)</f>
      </c>
      <c r="D5473">
        <v>190</v>
      </c>
      <c r="E5473" s="51">
        <f>IF(INDEX(DarlBelegt,12)=0,0,EOMONTH(INDEX(DarlAuszahlung,12),189)+1)</f>
      </c>
      <c r="F5473" s="43">
        <f>IF($E5473=0,0,YEAR($E5473))</f>
      </c>
      <c r="G5473" s="43">
        <f>IF(INDEX(DarlBindung,12)="",1,IF($E5473&lt;=INDEX(DarlBindung,12),1,0))</f>
      </c>
      <c r="H5473" s="43">
        <f>IF($G5473=1,INDEX(DarlSollzins,12),INDEX(DarlAnschluss,12))</f>
      </c>
      <c r="I5473" s="43">
        <f>IF(INDEX(DarlBelegt,12)=0,0,IF(INDEX(DarlOhneTilgung,12)=1,IF(INDEX(DarlBindung,12)="",1,$G5473),IF($J5473&gt;0.005,1,0)))</f>
      </c>
      <c r="J5473" s="43">
        <f>IF($I5472=0,0,$R5472)</f>
      </c>
      <c r="K5473" s="43">
        <f>IF($I5473=0,0,IF(INDEX(DarlOhneTilgung,12)=1,0,IF(AND(INDEX(DarlTilgStart,12)&gt;0,$E5473=INDEX(DarlTilgStart,12)),$J5473*($H5473+INDEX(DarlTilgung,12))/100/12,IF(AND($G5473=0,$G5472=1),MAX($K5472,$J5473*($H5473+1)/100/12),$K5472))))</f>
      </c>
      <c r="L5473" s="43">
        <f>IF($I5473=0,0,$J5473*$H5473/100/12)</f>
      </c>
      <c r="M5473" s="43">
        <f>IF($I5473=0,0,IF(OR(INDEX(DarlOhneTilgung,12)=1,AND(INDEX(DarlTilgStart,12)&gt;0,$E5473&lt;INDEX(DarlTilgStart,12))),0,MIN(MAX(0,$K5473-$L5473),$J5473)))</f>
      </c>
      <c r="N5473" s="43">
        <f>IF($I5473=0,0,MIN(SUMIFS(SondBetrag,SondDarl,12,SondDatum,"&gt;="&amp;$E5473,SondDatum,"&lt;="&amp;EOMONTH($E5473,0)),$J5473-$M5473))</f>
      </c>
      <c r="O5473" s="43">
        <f>IF($I5473=0,0,INDEX(DarlErsatzRate,12))</f>
      </c>
      <c r="P5473" s="43">
        <f>IF($I5473=0,0,$Q5472*INDEX(DarlErsatzZins,12))</f>
      </c>
      <c r="Q5473" s="43">
        <f>IF($I5473=0,0,$Q5472+$P5473+$O5473)</f>
      </c>
      <c r="R5473" s="43">
        <f>IF($I5473=0,0,$J5473-$M5473-$N5473)</f>
      </c>
    </row>
    <row r="5474">
      <c r="A5474"/>
      <c r="B5474">
        <v>12</v>
      </c>
      <c r="C5474" s="43">
        <f>INDEX(DarlObj,12)</f>
      </c>
      <c r="D5474">
        <v>191</v>
      </c>
      <c r="E5474" s="51">
        <f>IF(INDEX(DarlBelegt,12)=0,0,EOMONTH(INDEX(DarlAuszahlung,12),190)+1)</f>
      </c>
      <c r="F5474" s="43">
        <f>IF($E5474=0,0,YEAR($E5474))</f>
      </c>
      <c r="G5474" s="43">
        <f>IF(INDEX(DarlBindung,12)="",1,IF($E5474&lt;=INDEX(DarlBindung,12),1,0))</f>
      </c>
      <c r="H5474" s="43">
        <f>IF($G5474=1,INDEX(DarlSollzins,12),INDEX(DarlAnschluss,12))</f>
      </c>
      <c r="I5474" s="43">
        <f>IF(INDEX(DarlBelegt,12)=0,0,IF(INDEX(DarlOhneTilgung,12)=1,IF(INDEX(DarlBindung,12)="",1,$G5474),IF($J5474&gt;0.005,1,0)))</f>
      </c>
      <c r="J5474" s="43">
        <f>IF($I5473=0,0,$R5473)</f>
      </c>
      <c r="K5474" s="43">
        <f>IF($I5474=0,0,IF(INDEX(DarlOhneTilgung,12)=1,0,IF(AND(INDEX(DarlTilgStart,12)&gt;0,$E5474=INDEX(DarlTilgStart,12)),$J5474*($H5474+INDEX(DarlTilgung,12))/100/12,IF(AND($G5474=0,$G5473=1),MAX($K5473,$J5474*($H5474+1)/100/12),$K5473))))</f>
      </c>
      <c r="L5474" s="43">
        <f>IF($I5474=0,0,$J5474*$H5474/100/12)</f>
      </c>
      <c r="M5474" s="43">
        <f>IF($I5474=0,0,IF(OR(INDEX(DarlOhneTilgung,12)=1,AND(INDEX(DarlTilgStart,12)&gt;0,$E5474&lt;INDEX(DarlTilgStart,12))),0,MIN(MAX(0,$K5474-$L5474),$J5474)))</f>
      </c>
      <c r="N5474" s="43">
        <f>IF($I5474=0,0,MIN(SUMIFS(SondBetrag,SondDarl,12,SondDatum,"&gt;="&amp;$E5474,SondDatum,"&lt;="&amp;EOMONTH($E5474,0)),$J5474-$M5474))</f>
      </c>
      <c r="O5474" s="43">
        <f>IF($I5474=0,0,INDEX(DarlErsatzRate,12))</f>
      </c>
      <c r="P5474" s="43">
        <f>IF($I5474=0,0,$Q5473*INDEX(DarlErsatzZins,12))</f>
      </c>
      <c r="Q5474" s="43">
        <f>IF($I5474=0,0,$Q5473+$P5474+$O5474)</f>
      </c>
      <c r="R5474" s="43">
        <f>IF($I5474=0,0,$J5474-$M5474-$N5474)</f>
      </c>
    </row>
    <row r="5475">
      <c r="A5475"/>
      <c r="B5475">
        <v>12</v>
      </c>
      <c r="C5475" s="43">
        <f>INDEX(DarlObj,12)</f>
      </c>
      <c r="D5475">
        <v>192</v>
      </c>
      <c r="E5475" s="51">
        <f>IF(INDEX(DarlBelegt,12)=0,0,EOMONTH(INDEX(DarlAuszahlung,12),191)+1)</f>
      </c>
      <c r="F5475" s="43">
        <f>IF($E5475=0,0,YEAR($E5475))</f>
      </c>
      <c r="G5475" s="43">
        <f>IF(INDEX(DarlBindung,12)="",1,IF($E5475&lt;=INDEX(DarlBindung,12),1,0))</f>
      </c>
      <c r="H5475" s="43">
        <f>IF($G5475=1,INDEX(DarlSollzins,12),INDEX(DarlAnschluss,12))</f>
      </c>
      <c r="I5475" s="43">
        <f>IF(INDEX(DarlBelegt,12)=0,0,IF(INDEX(DarlOhneTilgung,12)=1,IF(INDEX(DarlBindung,12)="",1,$G5475),IF($J5475&gt;0.005,1,0)))</f>
      </c>
      <c r="J5475" s="43">
        <f>IF($I5474=0,0,$R5474)</f>
      </c>
      <c r="K5475" s="43">
        <f>IF($I5475=0,0,IF(INDEX(DarlOhneTilgung,12)=1,0,IF(AND(INDEX(DarlTilgStart,12)&gt;0,$E5475=INDEX(DarlTilgStart,12)),$J5475*($H5475+INDEX(DarlTilgung,12))/100/12,IF(AND($G5475=0,$G5474=1),MAX($K5474,$J5475*($H5475+1)/100/12),$K5474))))</f>
      </c>
      <c r="L5475" s="43">
        <f>IF($I5475=0,0,$J5475*$H5475/100/12)</f>
      </c>
      <c r="M5475" s="43">
        <f>IF($I5475=0,0,IF(OR(INDEX(DarlOhneTilgung,12)=1,AND(INDEX(DarlTilgStart,12)&gt;0,$E5475&lt;INDEX(DarlTilgStart,12))),0,MIN(MAX(0,$K5475-$L5475),$J5475)))</f>
      </c>
      <c r="N5475" s="43">
        <f>IF($I5475=0,0,MIN(SUMIFS(SondBetrag,SondDarl,12,SondDatum,"&gt;="&amp;$E5475,SondDatum,"&lt;="&amp;EOMONTH($E5475,0)),$J5475-$M5475))</f>
      </c>
      <c r="O5475" s="43">
        <f>IF($I5475=0,0,INDEX(DarlErsatzRate,12))</f>
      </c>
      <c r="P5475" s="43">
        <f>IF($I5475=0,0,$Q5474*INDEX(DarlErsatzZins,12))</f>
      </c>
      <c r="Q5475" s="43">
        <f>IF($I5475=0,0,$Q5474+$P5475+$O5475)</f>
      </c>
      <c r="R5475" s="43">
        <f>IF($I5475=0,0,$J5475-$M5475-$N5475)</f>
      </c>
    </row>
    <row r="5476">
      <c r="A5476"/>
      <c r="B5476">
        <v>12</v>
      </c>
      <c r="C5476" s="43">
        <f>INDEX(DarlObj,12)</f>
      </c>
      <c r="D5476">
        <v>193</v>
      </c>
      <c r="E5476" s="51">
        <f>IF(INDEX(DarlBelegt,12)=0,0,EOMONTH(INDEX(DarlAuszahlung,12),192)+1)</f>
      </c>
      <c r="F5476" s="43">
        <f>IF($E5476=0,0,YEAR($E5476))</f>
      </c>
      <c r="G5476" s="43">
        <f>IF(INDEX(DarlBindung,12)="",1,IF($E5476&lt;=INDEX(DarlBindung,12),1,0))</f>
      </c>
      <c r="H5476" s="43">
        <f>IF($G5476=1,INDEX(DarlSollzins,12),INDEX(DarlAnschluss,12))</f>
      </c>
      <c r="I5476" s="43">
        <f>IF(INDEX(DarlBelegt,12)=0,0,IF(INDEX(DarlOhneTilgung,12)=1,IF(INDEX(DarlBindung,12)="",1,$G5476),IF($J5476&gt;0.005,1,0)))</f>
      </c>
      <c r="J5476" s="43">
        <f>IF($I5475=0,0,$R5475)</f>
      </c>
      <c r="K5476" s="43">
        <f>IF($I5476=0,0,IF(INDEX(DarlOhneTilgung,12)=1,0,IF(AND(INDEX(DarlTilgStart,12)&gt;0,$E5476=INDEX(DarlTilgStart,12)),$J5476*($H5476+INDEX(DarlTilgung,12))/100/12,IF(AND($G5476=0,$G5475=1),MAX($K5475,$J5476*($H5476+1)/100/12),$K5475))))</f>
      </c>
      <c r="L5476" s="43">
        <f>IF($I5476=0,0,$J5476*$H5476/100/12)</f>
      </c>
      <c r="M5476" s="43">
        <f>IF($I5476=0,0,IF(OR(INDEX(DarlOhneTilgung,12)=1,AND(INDEX(DarlTilgStart,12)&gt;0,$E5476&lt;INDEX(DarlTilgStart,12))),0,MIN(MAX(0,$K5476-$L5476),$J5476)))</f>
      </c>
      <c r="N5476" s="43">
        <f>IF($I5476=0,0,MIN(SUMIFS(SondBetrag,SondDarl,12,SondDatum,"&gt;="&amp;$E5476,SondDatum,"&lt;="&amp;EOMONTH($E5476,0)),$J5476-$M5476))</f>
      </c>
      <c r="O5476" s="43">
        <f>IF($I5476=0,0,INDEX(DarlErsatzRate,12))</f>
      </c>
      <c r="P5476" s="43">
        <f>IF($I5476=0,0,$Q5475*INDEX(DarlErsatzZins,12))</f>
      </c>
      <c r="Q5476" s="43">
        <f>IF($I5476=0,0,$Q5475+$P5476+$O5476)</f>
      </c>
      <c r="R5476" s="43">
        <f>IF($I5476=0,0,$J5476-$M5476-$N5476)</f>
      </c>
    </row>
    <row r="5477">
      <c r="A5477"/>
      <c r="B5477">
        <v>12</v>
      </c>
      <c r="C5477" s="43">
        <f>INDEX(DarlObj,12)</f>
      </c>
      <c r="D5477">
        <v>194</v>
      </c>
      <c r="E5477" s="51">
        <f>IF(INDEX(DarlBelegt,12)=0,0,EOMONTH(INDEX(DarlAuszahlung,12),193)+1)</f>
      </c>
      <c r="F5477" s="43">
        <f>IF($E5477=0,0,YEAR($E5477))</f>
      </c>
      <c r="G5477" s="43">
        <f>IF(INDEX(DarlBindung,12)="",1,IF($E5477&lt;=INDEX(DarlBindung,12),1,0))</f>
      </c>
      <c r="H5477" s="43">
        <f>IF($G5477=1,INDEX(DarlSollzins,12),INDEX(DarlAnschluss,12))</f>
      </c>
      <c r="I5477" s="43">
        <f>IF(INDEX(DarlBelegt,12)=0,0,IF(INDEX(DarlOhneTilgung,12)=1,IF(INDEX(DarlBindung,12)="",1,$G5477),IF($J5477&gt;0.005,1,0)))</f>
      </c>
      <c r="J5477" s="43">
        <f>IF($I5476=0,0,$R5476)</f>
      </c>
      <c r="K5477" s="43">
        <f>IF($I5477=0,0,IF(INDEX(DarlOhneTilgung,12)=1,0,IF(AND(INDEX(DarlTilgStart,12)&gt;0,$E5477=INDEX(DarlTilgStart,12)),$J5477*($H5477+INDEX(DarlTilgung,12))/100/12,IF(AND($G5477=0,$G5476=1),MAX($K5476,$J5477*($H5477+1)/100/12),$K5476))))</f>
      </c>
      <c r="L5477" s="43">
        <f>IF($I5477=0,0,$J5477*$H5477/100/12)</f>
      </c>
      <c r="M5477" s="43">
        <f>IF($I5477=0,0,IF(OR(INDEX(DarlOhneTilgung,12)=1,AND(INDEX(DarlTilgStart,12)&gt;0,$E5477&lt;INDEX(DarlTilgStart,12))),0,MIN(MAX(0,$K5477-$L5477),$J5477)))</f>
      </c>
      <c r="N5477" s="43">
        <f>IF($I5477=0,0,MIN(SUMIFS(SondBetrag,SondDarl,12,SondDatum,"&gt;="&amp;$E5477,SondDatum,"&lt;="&amp;EOMONTH($E5477,0)),$J5477-$M5477))</f>
      </c>
      <c r="O5477" s="43">
        <f>IF($I5477=0,0,INDEX(DarlErsatzRate,12))</f>
      </c>
      <c r="P5477" s="43">
        <f>IF($I5477=0,0,$Q5476*INDEX(DarlErsatzZins,12))</f>
      </c>
      <c r="Q5477" s="43">
        <f>IF($I5477=0,0,$Q5476+$P5477+$O5477)</f>
      </c>
      <c r="R5477" s="43">
        <f>IF($I5477=0,0,$J5477-$M5477-$N5477)</f>
      </c>
    </row>
    <row r="5478">
      <c r="A5478"/>
      <c r="B5478">
        <v>12</v>
      </c>
      <c r="C5478" s="43">
        <f>INDEX(DarlObj,12)</f>
      </c>
      <c r="D5478">
        <v>195</v>
      </c>
      <c r="E5478" s="51">
        <f>IF(INDEX(DarlBelegt,12)=0,0,EOMONTH(INDEX(DarlAuszahlung,12),194)+1)</f>
      </c>
      <c r="F5478" s="43">
        <f>IF($E5478=0,0,YEAR($E5478))</f>
      </c>
      <c r="G5478" s="43">
        <f>IF(INDEX(DarlBindung,12)="",1,IF($E5478&lt;=INDEX(DarlBindung,12),1,0))</f>
      </c>
      <c r="H5478" s="43">
        <f>IF($G5478=1,INDEX(DarlSollzins,12),INDEX(DarlAnschluss,12))</f>
      </c>
      <c r="I5478" s="43">
        <f>IF(INDEX(DarlBelegt,12)=0,0,IF(INDEX(DarlOhneTilgung,12)=1,IF(INDEX(DarlBindung,12)="",1,$G5478),IF($J5478&gt;0.005,1,0)))</f>
      </c>
      <c r="J5478" s="43">
        <f>IF($I5477=0,0,$R5477)</f>
      </c>
      <c r="K5478" s="43">
        <f>IF($I5478=0,0,IF(INDEX(DarlOhneTilgung,12)=1,0,IF(AND(INDEX(DarlTilgStart,12)&gt;0,$E5478=INDEX(DarlTilgStart,12)),$J5478*($H5478+INDEX(DarlTilgung,12))/100/12,IF(AND($G5478=0,$G5477=1),MAX($K5477,$J5478*($H5478+1)/100/12),$K5477))))</f>
      </c>
      <c r="L5478" s="43">
        <f>IF($I5478=0,0,$J5478*$H5478/100/12)</f>
      </c>
      <c r="M5478" s="43">
        <f>IF($I5478=0,0,IF(OR(INDEX(DarlOhneTilgung,12)=1,AND(INDEX(DarlTilgStart,12)&gt;0,$E5478&lt;INDEX(DarlTilgStart,12))),0,MIN(MAX(0,$K5478-$L5478),$J5478)))</f>
      </c>
      <c r="N5478" s="43">
        <f>IF($I5478=0,0,MIN(SUMIFS(SondBetrag,SondDarl,12,SondDatum,"&gt;="&amp;$E5478,SondDatum,"&lt;="&amp;EOMONTH($E5478,0)),$J5478-$M5478))</f>
      </c>
      <c r="O5478" s="43">
        <f>IF($I5478=0,0,INDEX(DarlErsatzRate,12))</f>
      </c>
      <c r="P5478" s="43">
        <f>IF($I5478=0,0,$Q5477*INDEX(DarlErsatzZins,12))</f>
      </c>
      <c r="Q5478" s="43">
        <f>IF($I5478=0,0,$Q5477+$P5478+$O5478)</f>
      </c>
      <c r="R5478" s="43">
        <f>IF($I5478=0,0,$J5478-$M5478-$N5478)</f>
      </c>
    </row>
    <row r="5479">
      <c r="A5479"/>
      <c r="B5479">
        <v>12</v>
      </c>
      <c r="C5479" s="43">
        <f>INDEX(DarlObj,12)</f>
      </c>
      <c r="D5479">
        <v>196</v>
      </c>
      <c r="E5479" s="51">
        <f>IF(INDEX(DarlBelegt,12)=0,0,EOMONTH(INDEX(DarlAuszahlung,12),195)+1)</f>
      </c>
      <c r="F5479" s="43">
        <f>IF($E5479=0,0,YEAR($E5479))</f>
      </c>
      <c r="G5479" s="43">
        <f>IF(INDEX(DarlBindung,12)="",1,IF($E5479&lt;=INDEX(DarlBindung,12),1,0))</f>
      </c>
      <c r="H5479" s="43">
        <f>IF($G5479=1,INDEX(DarlSollzins,12),INDEX(DarlAnschluss,12))</f>
      </c>
      <c r="I5479" s="43">
        <f>IF(INDEX(DarlBelegt,12)=0,0,IF(INDEX(DarlOhneTilgung,12)=1,IF(INDEX(DarlBindung,12)="",1,$G5479),IF($J5479&gt;0.005,1,0)))</f>
      </c>
      <c r="J5479" s="43">
        <f>IF($I5478=0,0,$R5478)</f>
      </c>
      <c r="K5479" s="43">
        <f>IF($I5479=0,0,IF(INDEX(DarlOhneTilgung,12)=1,0,IF(AND(INDEX(DarlTilgStart,12)&gt;0,$E5479=INDEX(DarlTilgStart,12)),$J5479*($H5479+INDEX(DarlTilgung,12))/100/12,IF(AND($G5479=0,$G5478=1),MAX($K5478,$J5479*($H5479+1)/100/12),$K5478))))</f>
      </c>
      <c r="L5479" s="43">
        <f>IF($I5479=0,0,$J5479*$H5479/100/12)</f>
      </c>
      <c r="M5479" s="43">
        <f>IF($I5479=0,0,IF(OR(INDEX(DarlOhneTilgung,12)=1,AND(INDEX(DarlTilgStart,12)&gt;0,$E5479&lt;INDEX(DarlTilgStart,12))),0,MIN(MAX(0,$K5479-$L5479),$J5479)))</f>
      </c>
      <c r="N5479" s="43">
        <f>IF($I5479=0,0,MIN(SUMIFS(SondBetrag,SondDarl,12,SondDatum,"&gt;="&amp;$E5479,SondDatum,"&lt;="&amp;EOMONTH($E5479,0)),$J5479-$M5479))</f>
      </c>
      <c r="O5479" s="43">
        <f>IF($I5479=0,0,INDEX(DarlErsatzRate,12))</f>
      </c>
      <c r="P5479" s="43">
        <f>IF($I5479=0,0,$Q5478*INDEX(DarlErsatzZins,12))</f>
      </c>
      <c r="Q5479" s="43">
        <f>IF($I5479=0,0,$Q5478+$P5479+$O5479)</f>
      </c>
      <c r="R5479" s="43">
        <f>IF($I5479=0,0,$J5479-$M5479-$N5479)</f>
      </c>
    </row>
    <row r="5480">
      <c r="A5480"/>
      <c r="B5480">
        <v>12</v>
      </c>
      <c r="C5480" s="43">
        <f>INDEX(DarlObj,12)</f>
      </c>
      <c r="D5480">
        <v>197</v>
      </c>
      <c r="E5480" s="51">
        <f>IF(INDEX(DarlBelegt,12)=0,0,EOMONTH(INDEX(DarlAuszahlung,12),196)+1)</f>
      </c>
      <c r="F5480" s="43">
        <f>IF($E5480=0,0,YEAR($E5480))</f>
      </c>
      <c r="G5480" s="43">
        <f>IF(INDEX(DarlBindung,12)="",1,IF($E5480&lt;=INDEX(DarlBindung,12),1,0))</f>
      </c>
      <c r="H5480" s="43">
        <f>IF($G5480=1,INDEX(DarlSollzins,12),INDEX(DarlAnschluss,12))</f>
      </c>
      <c r="I5480" s="43">
        <f>IF(INDEX(DarlBelegt,12)=0,0,IF(INDEX(DarlOhneTilgung,12)=1,IF(INDEX(DarlBindung,12)="",1,$G5480),IF($J5480&gt;0.005,1,0)))</f>
      </c>
      <c r="J5480" s="43">
        <f>IF($I5479=0,0,$R5479)</f>
      </c>
      <c r="K5480" s="43">
        <f>IF($I5480=0,0,IF(INDEX(DarlOhneTilgung,12)=1,0,IF(AND(INDEX(DarlTilgStart,12)&gt;0,$E5480=INDEX(DarlTilgStart,12)),$J5480*($H5480+INDEX(DarlTilgung,12))/100/12,IF(AND($G5480=0,$G5479=1),MAX($K5479,$J5480*($H5480+1)/100/12),$K5479))))</f>
      </c>
      <c r="L5480" s="43">
        <f>IF($I5480=0,0,$J5480*$H5480/100/12)</f>
      </c>
      <c r="M5480" s="43">
        <f>IF($I5480=0,0,IF(OR(INDEX(DarlOhneTilgung,12)=1,AND(INDEX(DarlTilgStart,12)&gt;0,$E5480&lt;INDEX(DarlTilgStart,12))),0,MIN(MAX(0,$K5480-$L5480),$J5480)))</f>
      </c>
      <c r="N5480" s="43">
        <f>IF($I5480=0,0,MIN(SUMIFS(SondBetrag,SondDarl,12,SondDatum,"&gt;="&amp;$E5480,SondDatum,"&lt;="&amp;EOMONTH($E5480,0)),$J5480-$M5480))</f>
      </c>
      <c r="O5480" s="43">
        <f>IF($I5480=0,0,INDEX(DarlErsatzRate,12))</f>
      </c>
      <c r="P5480" s="43">
        <f>IF($I5480=0,0,$Q5479*INDEX(DarlErsatzZins,12))</f>
      </c>
      <c r="Q5480" s="43">
        <f>IF($I5480=0,0,$Q5479+$P5480+$O5480)</f>
      </c>
      <c r="R5480" s="43">
        <f>IF($I5480=0,0,$J5480-$M5480-$N5480)</f>
      </c>
    </row>
    <row r="5481">
      <c r="A5481"/>
      <c r="B5481">
        <v>12</v>
      </c>
      <c r="C5481" s="43">
        <f>INDEX(DarlObj,12)</f>
      </c>
      <c r="D5481">
        <v>198</v>
      </c>
      <c r="E5481" s="51">
        <f>IF(INDEX(DarlBelegt,12)=0,0,EOMONTH(INDEX(DarlAuszahlung,12),197)+1)</f>
      </c>
      <c r="F5481" s="43">
        <f>IF($E5481=0,0,YEAR($E5481))</f>
      </c>
      <c r="G5481" s="43">
        <f>IF(INDEX(DarlBindung,12)="",1,IF($E5481&lt;=INDEX(DarlBindung,12),1,0))</f>
      </c>
      <c r="H5481" s="43">
        <f>IF($G5481=1,INDEX(DarlSollzins,12),INDEX(DarlAnschluss,12))</f>
      </c>
      <c r="I5481" s="43">
        <f>IF(INDEX(DarlBelegt,12)=0,0,IF(INDEX(DarlOhneTilgung,12)=1,IF(INDEX(DarlBindung,12)="",1,$G5481),IF($J5481&gt;0.005,1,0)))</f>
      </c>
      <c r="J5481" s="43">
        <f>IF($I5480=0,0,$R5480)</f>
      </c>
      <c r="K5481" s="43">
        <f>IF($I5481=0,0,IF(INDEX(DarlOhneTilgung,12)=1,0,IF(AND(INDEX(DarlTilgStart,12)&gt;0,$E5481=INDEX(DarlTilgStart,12)),$J5481*($H5481+INDEX(DarlTilgung,12))/100/12,IF(AND($G5481=0,$G5480=1),MAX($K5480,$J5481*($H5481+1)/100/12),$K5480))))</f>
      </c>
      <c r="L5481" s="43">
        <f>IF($I5481=0,0,$J5481*$H5481/100/12)</f>
      </c>
      <c r="M5481" s="43">
        <f>IF($I5481=0,0,IF(OR(INDEX(DarlOhneTilgung,12)=1,AND(INDEX(DarlTilgStart,12)&gt;0,$E5481&lt;INDEX(DarlTilgStart,12))),0,MIN(MAX(0,$K5481-$L5481),$J5481)))</f>
      </c>
      <c r="N5481" s="43">
        <f>IF($I5481=0,0,MIN(SUMIFS(SondBetrag,SondDarl,12,SondDatum,"&gt;="&amp;$E5481,SondDatum,"&lt;="&amp;EOMONTH($E5481,0)),$J5481-$M5481))</f>
      </c>
      <c r="O5481" s="43">
        <f>IF($I5481=0,0,INDEX(DarlErsatzRate,12))</f>
      </c>
      <c r="P5481" s="43">
        <f>IF($I5481=0,0,$Q5480*INDEX(DarlErsatzZins,12))</f>
      </c>
      <c r="Q5481" s="43">
        <f>IF($I5481=0,0,$Q5480+$P5481+$O5481)</f>
      </c>
      <c r="R5481" s="43">
        <f>IF($I5481=0,0,$J5481-$M5481-$N5481)</f>
      </c>
    </row>
    <row r="5482">
      <c r="A5482"/>
      <c r="B5482">
        <v>12</v>
      </c>
      <c r="C5482" s="43">
        <f>INDEX(DarlObj,12)</f>
      </c>
      <c r="D5482">
        <v>199</v>
      </c>
      <c r="E5482" s="51">
        <f>IF(INDEX(DarlBelegt,12)=0,0,EOMONTH(INDEX(DarlAuszahlung,12),198)+1)</f>
      </c>
      <c r="F5482" s="43">
        <f>IF($E5482=0,0,YEAR($E5482))</f>
      </c>
      <c r="G5482" s="43">
        <f>IF(INDEX(DarlBindung,12)="",1,IF($E5482&lt;=INDEX(DarlBindung,12),1,0))</f>
      </c>
      <c r="H5482" s="43">
        <f>IF($G5482=1,INDEX(DarlSollzins,12),INDEX(DarlAnschluss,12))</f>
      </c>
      <c r="I5482" s="43">
        <f>IF(INDEX(DarlBelegt,12)=0,0,IF(INDEX(DarlOhneTilgung,12)=1,IF(INDEX(DarlBindung,12)="",1,$G5482),IF($J5482&gt;0.005,1,0)))</f>
      </c>
      <c r="J5482" s="43">
        <f>IF($I5481=0,0,$R5481)</f>
      </c>
      <c r="K5482" s="43">
        <f>IF($I5482=0,0,IF(INDEX(DarlOhneTilgung,12)=1,0,IF(AND(INDEX(DarlTilgStart,12)&gt;0,$E5482=INDEX(DarlTilgStart,12)),$J5482*($H5482+INDEX(DarlTilgung,12))/100/12,IF(AND($G5482=0,$G5481=1),MAX($K5481,$J5482*($H5482+1)/100/12),$K5481))))</f>
      </c>
      <c r="L5482" s="43">
        <f>IF($I5482=0,0,$J5482*$H5482/100/12)</f>
      </c>
      <c r="M5482" s="43">
        <f>IF($I5482=0,0,IF(OR(INDEX(DarlOhneTilgung,12)=1,AND(INDEX(DarlTilgStart,12)&gt;0,$E5482&lt;INDEX(DarlTilgStart,12))),0,MIN(MAX(0,$K5482-$L5482),$J5482)))</f>
      </c>
      <c r="N5482" s="43">
        <f>IF($I5482=0,0,MIN(SUMIFS(SondBetrag,SondDarl,12,SondDatum,"&gt;="&amp;$E5482,SondDatum,"&lt;="&amp;EOMONTH($E5482,0)),$J5482-$M5482))</f>
      </c>
      <c r="O5482" s="43">
        <f>IF($I5482=0,0,INDEX(DarlErsatzRate,12))</f>
      </c>
      <c r="P5482" s="43">
        <f>IF($I5482=0,0,$Q5481*INDEX(DarlErsatzZins,12))</f>
      </c>
      <c r="Q5482" s="43">
        <f>IF($I5482=0,0,$Q5481+$P5482+$O5482)</f>
      </c>
      <c r="R5482" s="43">
        <f>IF($I5482=0,0,$J5482-$M5482-$N5482)</f>
      </c>
    </row>
    <row r="5483">
      <c r="A5483"/>
      <c r="B5483">
        <v>12</v>
      </c>
      <c r="C5483" s="43">
        <f>INDEX(DarlObj,12)</f>
      </c>
      <c r="D5483">
        <v>200</v>
      </c>
      <c r="E5483" s="51">
        <f>IF(INDEX(DarlBelegt,12)=0,0,EOMONTH(INDEX(DarlAuszahlung,12),199)+1)</f>
      </c>
      <c r="F5483" s="43">
        <f>IF($E5483=0,0,YEAR($E5483))</f>
      </c>
      <c r="G5483" s="43">
        <f>IF(INDEX(DarlBindung,12)="",1,IF($E5483&lt;=INDEX(DarlBindung,12),1,0))</f>
      </c>
      <c r="H5483" s="43">
        <f>IF($G5483=1,INDEX(DarlSollzins,12),INDEX(DarlAnschluss,12))</f>
      </c>
      <c r="I5483" s="43">
        <f>IF(INDEX(DarlBelegt,12)=0,0,IF(INDEX(DarlOhneTilgung,12)=1,IF(INDEX(DarlBindung,12)="",1,$G5483),IF($J5483&gt;0.005,1,0)))</f>
      </c>
      <c r="J5483" s="43">
        <f>IF($I5482=0,0,$R5482)</f>
      </c>
      <c r="K5483" s="43">
        <f>IF($I5483=0,0,IF(INDEX(DarlOhneTilgung,12)=1,0,IF(AND(INDEX(DarlTilgStart,12)&gt;0,$E5483=INDEX(DarlTilgStart,12)),$J5483*($H5483+INDEX(DarlTilgung,12))/100/12,IF(AND($G5483=0,$G5482=1),MAX($K5482,$J5483*($H5483+1)/100/12),$K5482))))</f>
      </c>
      <c r="L5483" s="43">
        <f>IF($I5483=0,0,$J5483*$H5483/100/12)</f>
      </c>
      <c r="M5483" s="43">
        <f>IF($I5483=0,0,IF(OR(INDEX(DarlOhneTilgung,12)=1,AND(INDEX(DarlTilgStart,12)&gt;0,$E5483&lt;INDEX(DarlTilgStart,12))),0,MIN(MAX(0,$K5483-$L5483),$J5483)))</f>
      </c>
      <c r="N5483" s="43">
        <f>IF($I5483=0,0,MIN(SUMIFS(SondBetrag,SondDarl,12,SondDatum,"&gt;="&amp;$E5483,SondDatum,"&lt;="&amp;EOMONTH($E5483,0)),$J5483-$M5483))</f>
      </c>
      <c r="O5483" s="43">
        <f>IF($I5483=0,0,INDEX(DarlErsatzRate,12))</f>
      </c>
      <c r="P5483" s="43">
        <f>IF($I5483=0,0,$Q5482*INDEX(DarlErsatzZins,12))</f>
      </c>
      <c r="Q5483" s="43">
        <f>IF($I5483=0,0,$Q5482+$P5483+$O5483)</f>
      </c>
      <c r="R5483" s="43">
        <f>IF($I5483=0,0,$J5483-$M5483-$N5483)</f>
      </c>
    </row>
    <row r="5484">
      <c r="A5484"/>
      <c r="B5484">
        <v>12</v>
      </c>
      <c r="C5484" s="43">
        <f>INDEX(DarlObj,12)</f>
      </c>
      <c r="D5484">
        <v>201</v>
      </c>
      <c r="E5484" s="51">
        <f>IF(INDEX(DarlBelegt,12)=0,0,EOMONTH(INDEX(DarlAuszahlung,12),200)+1)</f>
      </c>
      <c r="F5484" s="43">
        <f>IF($E5484=0,0,YEAR($E5484))</f>
      </c>
      <c r="G5484" s="43">
        <f>IF(INDEX(DarlBindung,12)="",1,IF($E5484&lt;=INDEX(DarlBindung,12),1,0))</f>
      </c>
      <c r="H5484" s="43">
        <f>IF($G5484=1,INDEX(DarlSollzins,12),INDEX(DarlAnschluss,12))</f>
      </c>
      <c r="I5484" s="43">
        <f>IF(INDEX(DarlBelegt,12)=0,0,IF(INDEX(DarlOhneTilgung,12)=1,IF(INDEX(DarlBindung,12)="",1,$G5484),IF($J5484&gt;0.005,1,0)))</f>
      </c>
      <c r="J5484" s="43">
        <f>IF($I5483=0,0,$R5483)</f>
      </c>
      <c r="K5484" s="43">
        <f>IF($I5484=0,0,IF(INDEX(DarlOhneTilgung,12)=1,0,IF(AND(INDEX(DarlTilgStart,12)&gt;0,$E5484=INDEX(DarlTilgStart,12)),$J5484*($H5484+INDEX(DarlTilgung,12))/100/12,IF(AND($G5484=0,$G5483=1),MAX($K5483,$J5484*($H5484+1)/100/12),$K5483))))</f>
      </c>
      <c r="L5484" s="43">
        <f>IF($I5484=0,0,$J5484*$H5484/100/12)</f>
      </c>
      <c r="M5484" s="43">
        <f>IF($I5484=0,0,IF(OR(INDEX(DarlOhneTilgung,12)=1,AND(INDEX(DarlTilgStart,12)&gt;0,$E5484&lt;INDEX(DarlTilgStart,12))),0,MIN(MAX(0,$K5484-$L5484),$J5484)))</f>
      </c>
      <c r="N5484" s="43">
        <f>IF($I5484=0,0,MIN(SUMIFS(SondBetrag,SondDarl,12,SondDatum,"&gt;="&amp;$E5484,SondDatum,"&lt;="&amp;EOMONTH($E5484,0)),$J5484-$M5484))</f>
      </c>
      <c r="O5484" s="43">
        <f>IF($I5484=0,0,INDEX(DarlErsatzRate,12))</f>
      </c>
      <c r="P5484" s="43">
        <f>IF($I5484=0,0,$Q5483*INDEX(DarlErsatzZins,12))</f>
      </c>
      <c r="Q5484" s="43">
        <f>IF($I5484=0,0,$Q5483+$P5484+$O5484)</f>
      </c>
      <c r="R5484" s="43">
        <f>IF($I5484=0,0,$J5484-$M5484-$N5484)</f>
      </c>
    </row>
    <row r="5485">
      <c r="A5485"/>
      <c r="B5485">
        <v>12</v>
      </c>
      <c r="C5485" s="43">
        <f>INDEX(DarlObj,12)</f>
      </c>
      <c r="D5485">
        <v>202</v>
      </c>
      <c r="E5485" s="51">
        <f>IF(INDEX(DarlBelegt,12)=0,0,EOMONTH(INDEX(DarlAuszahlung,12),201)+1)</f>
      </c>
      <c r="F5485" s="43">
        <f>IF($E5485=0,0,YEAR($E5485))</f>
      </c>
      <c r="G5485" s="43">
        <f>IF(INDEX(DarlBindung,12)="",1,IF($E5485&lt;=INDEX(DarlBindung,12),1,0))</f>
      </c>
      <c r="H5485" s="43">
        <f>IF($G5485=1,INDEX(DarlSollzins,12),INDEX(DarlAnschluss,12))</f>
      </c>
      <c r="I5485" s="43">
        <f>IF(INDEX(DarlBelegt,12)=0,0,IF(INDEX(DarlOhneTilgung,12)=1,IF(INDEX(DarlBindung,12)="",1,$G5485),IF($J5485&gt;0.005,1,0)))</f>
      </c>
      <c r="J5485" s="43">
        <f>IF($I5484=0,0,$R5484)</f>
      </c>
      <c r="K5485" s="43">
        <f>IF($I5485=0,0,IF(INDEX(DarlOhneTilgung,12)=1,0,IF(AND(INDEX(DarlTilgStart,12)&gt;0,$E5485=INDEX(DarlTilgStart,12)),$J5485*($H5485+INDEX(DarlTilgung,12))/100/12,IF(AND($G5485=0,$G5484=1),MAX($K5484,$J5485*($H5485+1)/100/12),$K5484))))</f>
      </c>
      <c r="L5485" s="43">
        <f>IF($I5485=0,0,$J5485*$H5485/100/12)</f>
      </c>
      <c r="M5485" s="43">
        <f>IF($I5485=0,0,IF(OR(INDEX(DarlOhneTilgung,12)=1,AND(INDEX(DarlTilgStart,12)&gt;0,$E5485&lt;INDEX(DarlTilgStart,12))),0,MIN(MAX(0,$K5485-$L5485),$J5485)))</f>
      </c>
      <c r="N5485" s="43">
        <f>IF($I5485=0,0,MIN(SUMIFS(SondBetrag,SondDarl,12,SondDatum,"&gt;="&amp;$E5485,SondDatum,"&lt;="&amp;EOMONTH($E5485,0)),$J5485-$M5485))</f>
      </c>
      <c r="O5485" s="43">
        <f>IF($I5485=0,0,INDEX(DarlErsatzRate,12))</f>
      </c>
      <c r="P5485" s="43">
        <f>IF($I5485=0,0,$Q5484*INDEX(DarlErsatzZins,12))</f>
      </c>
      <c r="Q5485" s="43">
        <f>IF($I5485=0,0,$Q5484+$P5485+$O5485)</f>
      </c>
      <c r="R5485" s="43">
        <f>IF($I5485=0,0,$J5485-$M5485-$N5485)</f>
      </c>
    </row>
    <row r="5486">
      <c r="A5486"/>
      <c r="B5486">
        <v>12</v>
      </c>
      <c r="C5486" s="43">
        <f>INDEX(DarlObj,12)</f>
      </c>
      <c r="D5486">
        <v>203</v>
      </c>
      <c r="E5486" s="51">
        <f>IF(INDEX(DarlBelegt,12)=0,0,EOMONTH(INDEX(DarlAuszahlung,12),202)+1)</f>
      </c>
      <c r="F5486" s="43">
        <f>IF($E5486=0,0,YEAR($E5486))</f>
      </c>
      <c r="G5486" s="43">
        <f>IF(INDEX(DarlBindung,12)="",1,IF($E5486&lt;=INDEX(DarlBindung,12),1,0))</f>
      </c>
      <c r="H5486" s="43">
        <f>IF($G5486=1,INDEX(DarlSollzins,12),INDEX(DarlAnschluss,12))</f>
      </c>
      <c r="I5486" s="43">
        <f>IF(INDEX(DarlBelegt,12)=0,0,IF(INDEX(DarlOhneTilgung,12)=1,IF(INDEX(DarlBindung,12)="",1,$G5486),IF($J5486&gt;0.005,1,0)))</f>
      </c>
      <c r="J5486" s="43">
        <f>IF($I5485=0,0,$R5485)</f>
      </c>
      <c r="K5486" s="43">
        <f>IF($I5486=0,0,IF(INDEX(DarlOhneTilgung,12)=1,0,IF(AND(INDEX(DarlTilgStart,12)&gt;0,$E5486=INDEX(DarlTilgStart,12)),$J5486*($H5486+INDEX(DarlTilgung,12))/100/12,IF(AND($G5486=0,$G5485=1),MAX($K5485,$J5486*($H5486+1)/100/12),$K5485))))</f>
      </c>
      <c r="L5486" s="43">
        <f>IF($I5486=0,0,$J5486*$H5486/100/12)</f>
      </c>
      <c r="M5486" s="43">
        <f>IF($I5486=0,0,IF(OR(INDEX(DarlOhneTilgung,12)=1,AND(INDEX(DarlTilgStart,12)&gt;0,$E5486&lt;INDEX(DarlTilgStart,12))),0,MIN(MAX(0,$K5486-$L5486),$J5486)))</f>
      </c>
      <c r="N5486" s="43">
        <f>IF($I5486=0,0,MIN(SUMIFS(SondBetrag,SondDarl,12,SondDatum,"&gt;="&amp;$E5486,SondDatum,"&lt;="&amp;EOMONTH($E5486,0)),$J5486-$M5486))</f>
      </c>
      <c r="O5486" s="43">
        <f>IF($I5486=0,0,INDEX(DarlErsatzRate,12))</f>
      </c>
      <c r="P5486" s="43">
        <f>IF($I5486=0,0,$Q5485*INDEX(DarlErsatzZins,12))</f>
      </c>
      <c r="Q5486" s="43">
        <f>IF($I5486=0,0,$Q5485+$P5486+$O5486)</f>
      </c>
      <c r="R5486" s="43">
        <f>IF($I5486=0,0,$J5486-$M5486-$N5486)</f>
      </c>
    </row>
    <row r="5487">
      <c r="A5487"/>
      <c r="B5487">
        <v>12</v>
      </c>
      <c r="C5487" s="43">
        <f>INDEX(DarlObj,12)</f>
      </c>
      <c r="D5487">
        <v>204</v>
      </c>
      <c r="E5487" s="51">
        <f>IF(INDEX(DarlBelegt,12)=0,0,EOMONTH(INDEX(DarlAuszahlung,12),203)+1)</f>
      </c>
      <c r="F5487" s="43">
        <f>IF($E5487=0,0,YEAR($E5487))</f>
      </c>
      <c r="G5487" s="43">
        <f>IF(INDEX(DarlBindung,12)="",1,IF($E5487&lt;=INDEX(DarlBindung,12),1,0))</f>
      </c>
      <c r="H5487" s="43">
        <f>IF($G5487=1,INDEX(DarlSollzins,12),INDEX(DarlAnschluss,12))</f>
      </c>
      <c r="I5487" s="43">
        <f>IF(INDEX(DarlBelegt,12)=0,0,IF(INDEX(DarlOhneTilgung,12)=1,IF(INDEX(DarlBindung,12)="",1,$G5487),IF($J5487&gt;0.005,1,0)))</f>
      </c>
      <c r="J5487" s="43">
        <f>IF($I5486=0,0,$R5486)</f>
      </c>
      <c r="K5487" s="43">
        <f>IF($I5487=0,0,IF(INDEX(DarlOhneTilgung,12)=1,0,IF(AND(INDEX(DarlTilgStart,12)&gt;0,$E5487=INDEX(DarlTilgStart,12)),$J5487*($H5487+INDEX(DarlTilgung,12))/100/12,IF(AND($G5487=0,$G5486=1),MAX($K5486,$J5487*($H5487+1)/100/12),$K5486))))</f>
      </c>
      <c r="L5487" s="43">
        <f>IF($I5487=0,0,$J5487*$H5487/100/12)</f>
      </c>
      <c r="M5487" s="43">
        <f>IF($I5487=0,0,IF(OR(INDEX(DarlOhneTilgung,12)=1,AND(INDEX(DarlTilgStart,12)&gt;0,$E5487&lt;INDEX(DarlTilgStart,12))),0,MIN(MAX(0,$K5487-$L5487),$J5487)))</f>
      </c>
      <c r="N5487" s="43">
        <f>IF($I5487=0,0,MIN(SUMIFS(SondBetrag,SondDarl,12,SondDatum,"&gt;="&amp;$E5487,SondDatum,"&lt;="&amp;EOMONTH($E5487,0)),$J5487-$M5487))</f>
      </c>
      <c r="O5487" s="43">
        <f>IF($I5487=0,0,INDEX(DarlErsatzRate,12))</f>
      </c>
      <c r="P5487" s="43">
        <f>IF($I5487=0,0,$Q5486*INDEX(DarlErsatzZins,12))</f>
      </c>
      <c r="Q5487" s="43">
        <f>IF($I5487=0,0,$Q5486+$P5487+$O5487)</f>
      </c>
      <c r="R5487" s="43">
        <f>IF($I5487=0,0,$J5487-$M5487-$N5487)</f>
      </c>
    </row>
    <row r="5488">
      <c r="A5488"/>
      <c r="B5488">
        <v>12</v>
      </c>
      <c r="C5488" s="43">
        <f>INDEX(DarlObj,12)</f>
      </c>
      <c r="D5488">
        <v>205</v>
      </c>
      <c r="E5488" s="51">
        <f>IF(INDEX(DarlBelegt,12)=0,0,EOMONTH(INDEX(DarlAuszahlung,12),204)+1)</f>
      </c>
      <c r="F5488" s="43">
        <f>IF($E5488=0,0,YEAR($E5488))</f>
      </c>
      <c r="G5488" s="43">
        <f>IF(INDEX(DarlBindung,12)="",1,IF($E5488&lt;=INDEX(DarlBindung,12),1,0))</f>
      </c>
      <c r="H5488" s="43">
        <f>IF($G5488=1,INDEX(DarlSollzins,12),INDEX(DarlAnschluss,12))</f>
      </c>
      <c r="I5488" s="43">
        <f>IF(INDEX(DarlBelegt,12)=0,0,IF(INDEX(DarlOhneTilgung,12)=1,IF(INDEX(DarlBindung,12)="",1,$G5488),IF($J5488&gt;0.005,1,0)))</f>
      </c>
      <c r="J5488" s="43">
        <f>IF($I5487=0,0,$R5487)</f>
      </c>
      <c r="K5488" s="43">
        <f>IF($I5488=0,0,IF(INDEX(DarlOhneTilgung,12)=1,0,IF(AND(INDEX(DarlTilgStart,12)&gt;0,$E5488=INDEX(DarlTilgStart,12)),$J5488*($H5488+INDEX(DarlTilgung,12))/100/12,IF(AND($G5488=0,$G5487=1),MAX($K5487,$J5488*($H5488+1)/100/12),$K5487))))</f>
      </c>
      <c r="L5488" s="43">
        <f>IF($I5488=0,0,$J5488*$H5488/100/12)</f>
      </c>
      <c r="M5488" s="43">
        <f>IF($I5488=0,0,IF(OR(INDEX(DarlOhneTilgung,12)=1,AND(INDEX(DarlTilgStart,12)&gt;0,$E5488&lt;INDEX(DarlTilgStart,12))),0,MIN(MAX(0,$K5488-$L5488),$J5488)))</f>
      </c>
      <c r="N5488" s="43">
        <f>IF($I5488=0,0,MIN(SUMIFS(SondBetrag,SondDarl,12,SondDatum,"&gt;="&amp;$E5488,SondDatum,"&lt;="&amp;EOMONTH($E5488,0)),$J5488-$M5488))</f>
      </c>
      <c r="O5488" s="43">
        <f>IF($I5488=0,0,INDEX(DarlErsatzRate,12))</f>
      </c>
      <c r="P5488" s="43">
        <f>IF($I5488=0,0,$Q5487*INDEX(DarlErsatzZins,12))</f>
      </c>
      <c r="Q5488" s="43">
        <f>IF($I5488=0,0,$Q5487+$P5488+$O5488)</f>
      </c>
      <c r="R5488" s="43">
        <f>IF($I5488=0,0,$J5488-$M5488-$N5488)</f>
      </c>
    </row>
    <row r="5489">
      <c r="A5489"/>
      <c r="B5489">
        <v>12</v>
      </c>
      <c r="C5489" s="43">
        <f>INDEX(DarlObj,12)</f>
      </c>
      <c r="D5489">
        <v>206</v>
      </c>
      <c r="E5489" s="51">
        <f>IF(INDEX(DarlBelegt,12)=0,0,EOMONTH(INDEX(DarlAuszahlung,12),205)+1)</f>
      </c>
      <c r="F5489" s="43">
        <f>IF($E5489=0,0,YEAR($E5489))</f>
      </c>
      <c r="G5489" s="43">
        <f>IF(INDEX(DarlBindung,12)="",1,IF($E5489&lt;=INDEX(DarlBindung,12),1,0))</f>
      </c>
      <c r="H5489" s="43">
        <f>IF($G5489=1,INDEX(DarlSollzins,12),INDEX(DarlAnschluss,12))</f>
      </c>
      <c r="I5489" s="43">
        <f>IF(INDEX(DarlBelegt,12)=0,0,IF(INDEX(DarlOhneTilgung,12)=1,IF(INDEX(DarlBindung,12)="",1,$G5489),IF($J5489&gt;0.005,1,0)))</f>
      </c>
      <c r="J5489" s="43">
        <f>IF($I5488=0,0,$R5488)</f>
      </c>
      <c r="K5489" s="43">
        <f>IF($I5489=0,0,IF(INDEX(DarlOhneTilgung,12)=1,0,IF(AND(INDEX(DarlTilgStart,12)&gt;0,$E5489=INDEX(DarlTilgStart,12)),$J5489*($H5489+INDEX(DarlTilgung,12))/100/12,IF(AND($G5489=0,$G5488=1),MAX($K5488,$J5489*($H5489+1)/100/12),$K5488))))</f>
      </c>
      <c r="L5489" s="43">
        <f>IF($I5489=0,0,$J5489*$H5489/100/12)</f>
      </c>
      <c r="M5489" s="43">
        <f>IF($I5489=0,0,IF(OR(INDEX(DarlOhneTilgung,12)=1,AND(INDEX(DarlTilgStart,12)&gt;0,$E5489&lt;INDEX(DarlTilgStart,12))),0,MIN(MAX(0,$K5489-$L5489),$J5489)))</f>
      </c>
      <c r="N5489" s="43">
        <f>IF($I5489=0,0,MIN(SUMIFS(SondBetrag,SondDarl,12,SondDatum,"&gt;="&amp;$E5489,SondDatum,"&lt;="&amp;EOMONTH($E5489,0)),$J5489-$M5489))</f>
      </c>
      <c r="O5489" s="43">
        <f>IF($I5489=0,0,INDEX(DarlErsatzRate,12))</f>
      </c>
      <c r="P5489" s="43">
        <f>IF($I5489=0,0,$Q5488*INDEX(DarlErsatzZins,12))</f>
      </c>
      <c r="Q5489" s="43">
        <f>IF($I5489=0,0,$Q5488+$P5489+$O5489)</f>
      </c>
      <c r="R5489" s="43">
        <f>IF($I5489=0,0,$J5489-$M5489-$N5489)</f>
      </c>
    </row>
    <row r="5490">
      <c r="A5490"/>
      <c r="B5490">
        <v>12</v>
      </c>
      <c r="C5490" s="43">
        <f>INDEX(DarlObj,12)</f>
      </c>
      <c r="D5490">
        <v>207</v>
      </c>
      <c r="E5490" s="51">
        <f>IF(INDEX(DarlBelegt,12)=0,0,EOMONTH(INDEX(DarlAuszahlung,12),206)+1)</f>
      </c>
      <c r="F5490" s="43">
        <f>IF($E5490=0,0,YEAR($E5490))</f>
      </c>
      <c r="G5490" s="43">
        <f>IF(INDEX(DarlBindung,12)="",1,IF($E5490&lt;=INDEX(DarlBindung,12),1,0))</f>
      </c>
      <c r="H5490" s="43">
        <f>IF($G5490=1,INDEX(DarlSollzins,12),INDEX(DarlAnschluss,12))</f>
      </c>
      <c r="I5490" s="43">
        <f>IF(INDEX(DarlBelegt,12)=0,0,IF(INDEX(DarlOhneTilgung,12)=1,IF(INDEX(DarlBindung,12)="",1,$G5490),IF($J5490&gt;0.005,1,0)))</f>
      </c>
      <c r="J5490" s="43">
        <f>IF($I5489=0,0,$R5489)</f>
      </c>
      <c r="K5490" s="43">
        <f>IF($I5490=0,0,IF(INDEX(DarlOhneTilgung,12)=1,0,IF(AND(INDEX(DarlTilgStart,12)&gt;0,$E5490=INDEX(DarlTilgStart,12)),$J5490*($H5490+INDEX(DarlTilgung,12))/100/12,IF(AND($G5490=0,$G5489=1),MAX($K5489,$J5490*($H5490+1)/100/12),$K5489))))</f>
      </c>
      <c r="L5490" s="43">
        <f>IF($I5490=0,0,$J5490*$H5490/100/12)</f>
      </c>
      <c r="M5490" s="43">
        <f>IF($I5490=0,0,IF(OR(INDEX(DarlOhneTilgung,12)=1,AND(INDEX(DarlTilgStart,12)&gt;0,$E5490&lt;INDEX(DarlTilgStart,12))),0,MIN(MAX(0,$K5490-$L5490),$J5490)))</f>
      </c>
      <c r="N5490" s="43">
        <f>IF($I5490=0,0,MIN(SUMIFS(SondBetrag,SondDarl,12,SondDatum,"&gt;="&amp;$E5490,SondDatum,"&lt;="&amp;EOMONTH($E5490,0)),$J5490-$M5490))</f>
      </c>
      <c r="O5490" s="43">
        <f>IF($I5490=0,0,INDEX(DarlErsatzRate,12))</f>
      </c>
      <c r="P5490" s="43">
        <f>IF($I5490=0,0,$Q5489*INDEX(DarlErsatzZins,12))</f>
      </c>
      <c r="Q5490" s="43">
        <f>IF($I5490=0,0,$Q5489+$P5490+$O5490)</f>
      </c>
      <c r="R5490" s="43">
        <f>IF($I5490=0,0,$J5490-$M5490-$N5490)</f>
      </c>
    </row>
    <row r="5491">
      <c r="A5491"/>
      <c r="B5491">
        <v>12</v>
      </c>
      <c r="C5491" s="43">
        <f>INDEX(DarlObj,12)</f>
      </c>
      <c r="D5491">
        <v>208</v>
      </c>
      <c r="E5491" s="51">
        <f>IF(INDEX(DarlBelegt,12)=0,0,EOMONTH(INDEX(DarlAuszahlung,12),207)+1)</f>
      </c>
      <c r="F5491" s="43">
        <f>IF($E5491=0,0,YEAR($E5491))</f>
      </c>
      <c r="G5491" s="43">
        <f>IF(INDEX(DarlBindung,12)="",1,IF($E5491&lt;=INDEX(DarlBindung,12),1,0))</f>
      </c>
      <c r="H5491" s="43">
        <f>IF($G5491=1,INDEX(DarlSollzins,12),INDEX(DarlAnschluss,12))</f>
      </c>
      <c r="I5491" s="43">
        <f>IF(INDEX(DarlBelegt,12)=0,0,IF(INDEX(DarlOhneTilgung,12)=1,IF(INDEX(DarlBindung,12)="",1,$G5491),IF($J5491&gt;0.005,1,0)))</f>
      </c>
      <c r="J5491" s="43">
        <f>IF($I5490=0,0,$R5490)</f>
      </c>
      <c r="K5491" s="43">
        <f>IF($I5491=0,0,IF(INDEX(DarlOhneTilgung,12)=1,0,IF(AND(INDEX(DarlTilgStart,12)&gt;0,$E5491=INDEX(DarlTilgStart,12)),$J5491*($H5491+INDEX(DarlTilgung,12))/100/12,IF(AND($G5491=0,$G5490=1),MAX($K5490,$J5491*($H5491+1)/100/12),$K5490))))</f>
      </c>
      <c r="L5491" s="43">
        <f>IF($I5491=0,0,$J5491*$H5491/100/12)</f>
      </c>
      <c r="M5491" s="43">
        <f>IF($I5491=0,0,IF(OR(INDEX(DarlOhneTilgung,12)=1,AND(INDEX(DarlTilgStart,12)&gt;0,$E5491&lt;INDEX(DarlTilgStart,12))),0,MIN(MAX(0,$K5491-$L5491),$J5491)))</f>
      </c>
      <c r="N5491" s="43">
        <f>IF($I5491=0,0,MIN(SUMIFS(SondBetrag,SondDarl,12,SondDatum,"&gt;="&amp;$E5491,SondDatum,"&lt;="&amp;EOMONTH($E5491,0)),$J5491-$M5491))</f>
      </c>
      <c r="O5491" s="43">
        <f>IF($I5491=0,0,INDEX(DarlErsatzRate,12))</f>
      </c>
      <c r="P5491" s="43">
        <f>IF($I5491=0,0,$Q5490*INDEX(DarlErsatzZins,12))</f>
      </c>
      <c r="Q5491" s="43">
        <f>IF($I5491=0,0,$Q5490+$P5491+$O5491)</f>
      </c>
      <c r="R5491" s="43">
        <f>IF($I5491=0,0,$J5491-$M5491-$N5491)</f>
      </c>
    </row>
    <row r="5492">
      <c r="A5492"/>
      <c r="B5492">
        <v>12</v>
      </c>
      <c r="C5492" s="43">
        <f>INDEX(DarlObj,12)</f>
      </c>
      <c r="D5492">
        <v>209</v>
      </c>
      <c r="E5492" s="51">
        <f>IF(INDEX(DarlBelegt,12)=0,0,EOMONTH(INDEX(DarlAuszahlung,12),208)+1)</f>
      </c>
      <c r="F5492" s="43">
        <f>IF($E5492=0,0,YEAR($E5492))</f>
      </c>
      <c r="G5492" s="43">
        <f>IF(INDEX(DarlBindung,12)="",1,IF($E5492&lt;=INDEX(DarlBindung,12),1,0))</f>
      </c>
      <c r="H5492" s="43">
        <f>IF($G5492=1,INDEX(DarlSollzins,12),INDEX(DarlAnschluss,12))</f>
      </c>
      <c r="I5492" s="43">
        <f>IF(INDEX(DarlBelegt,12)=0,0,IF(INDEX(DarlOhneTilgung,12)=1,IF(INDEX(DarlBindung,12)="",1,$G5492),IF($J5492&gt;0.005,1,0)))</f>
      </c>
      <c r="J5492" s="43">
        <f>IF($I5491=0,0,$R5491)</f>
      </c>
      <c r="K5492" s="43">
        <f>IF($I5492=0,0,IF(INDEX(DarlOhneTilgung,12)=1,0,IF(AND(INDEX(DarlTilgStart,12)&gt;0,$E5492=INDEX(DarlTilgStart,12)),$J5492*($H5492+INDEX(DarlTilgung,12))/100/12,IF(AND($G5492=0,$G5491=1),MAX($K5491,$J5492*($H5492+1)/100/12),$K5491))))</f>
      </c>
      <c r="L5492" s="43">
        <f>IF($I5492=0,0,$J5492*$H5492/100/12)</f>
      </c>
      <c r="M5492" s="43">
        <f>IF($I5492=0,0,IF(OR(INDEX(DarlOhneTilgung,12)=1,AND(INDEX(DarlTilgStart,12)&gt;0,$E5492&lt;INDEX(DarlTilgStart,12))),0,MIN(MAX(0,$K5492-$L5492),$J5492)))</f>
      </c>
      <c r="N5492" s="43">
        <f>IF($I5492=0,0,MIN(SUMIFS(SondBetrag,SondDarl,12,SondDatum,"&gt;="&amp;$E5492,SondDatum,"&lt;="&amp;EOMONTH($E5492,0)),$J5492-$M5492))</f>
      </c>
      <c r="O5492" s="43">
        <f>IF($I5492=0,0,INDEX(DarlErsatzRate,12))</f>
      </c>
      <c r="P5492" s="43">
        <f>IF($I5492=0,0,$Q5491*INDEX(DarlErsatzZins,12))</f>
      </c>
      <c r="Q5492" s="43">
        <f>IF($I5492=0,0,$Q5491+$P5492+$O5492)</f>
      </c>
      <c r="R5492" s="43">
        <f>IF($I5492=0,0,$J5492-$M5492-$N5492)</f>
      </c>
    </row>
    <row r="5493">
      <c r="A5493"/>
      <c r="B5493">
        <v>12</v>
      </c>
      <c r="C5493" s="43">
        <f>INDEX(DarlObj,12)</f>
      </c>
      <c r="D5493">
        <v>210</v>
      </c>
      <c r="E5493" s="51">
        <f>IF(INDEX(DarlBelegt,12)=0,0,EOMONTH(INDEX(DarlAuszahlung,12),209)+1)</f>
      </c>
      <c r="F5493" s="43">
        <f>IF($E5493=0,0,YEAR($E5493))</f>
      </c>
      <c r="G5493" s="43">
        <f>IF(INDEX(DarlBindung,12)="",1,IF($E5493&lt;=INDEX(DarlBindung,12),1,0))</f>
      </c>
      <c r="H5493" s="43">
        <f>IF($G5493=1,INDEX(DarlSollzins,12),INDEX(DarlAnschluss,12))</f>
      </c>
      <c r="I5493" s="43">
        <f>IF(INDEX(DarlBelegt,12)=0,0,IF(INDEX(DarlOhneTilgung,12)=1,IF(INDEX(DarlBindung,12)="",1,$G5493),IF($J5493&gt;0.005,1,0)))</f>
      </c>
      <c r="J5493" s="43">
        <f>IF($I5492=0,0,$R5492)</f>
      </c>
      <c r="K5493" s="43">
        <f>IF($I5493=0,0,IF(INDEX(DarlOhneTilgung,12)=1,0,IF(AND(INDEX(DarlTilgStart,12)&gt;0,$E5493=INDEX(DarlTilgStart,12)),$J5493*($H5493+INDEX(DarlTilgung,12))/100/12,IF(AND($G5493=0,$G5492=1),MAX($K5492,$J5493*($H5493+1)/100/12),$K5492))))</f>
      </c>
      <c r="L5493" s="43">
        <f>IF($I5493=0,0,$J5493*$H5493/100/12)</f>
      </c>
      <c r="M5493" s="43">
        <f>IF($I5493=0,0,IF(OR(INDEX(DarlOhneTilgung,12)=1,AND(INDEX(DarlTilgStart,12)&gt;0,$E5493&lt;INDEX(DarlTilgStart,12))),0,MIN(MAX(0,$K5493-$L5493),$J5493)))</f>
      </c>
      <c r="N5493" s="43">
        <f>IF($I5493=0,0,MIN(SUMIFS(SondBetrag,SondDarl,12,SondDatum,"&gt;="&amp;$E5493,SondDatum,"&lt;="&amp;EOMONTH($E5493,0)),$J5493-$M5493))</f>
      </c>
      <c r="O5493" s="43">
        <f>IF($I5493=0,0,INDEX(DarlErsatzRate,12))</f>
      </c>
      <c r="P5493" s="43">
        <f>IF($I5493=0,0,$Q5492*INDEX(DarlErsatzZins,12))</f>
      </c>
      <c r="Q5493" s="43">
        <f>IF($I5493=0,0,$Q5492+$P5493+$O5493)</f>
      </c>
      <c r="R5493" s="43">
        <f>IF($I5493=0,0,$J5493-$M5493-$N5493)</f>
      </c>
    </row>
    <row r="5494">
      <c r="A5494"/>
      <c r="B5494">
        <v>12</v>
      </c>
      <c r="C5494" s="43">
        <f>INDEX(DarlObj,12)</f>
      </c>
      <c r="D5494">
        <v>211</v>
      </c>
      <c r="E5494" s="51">
        <f>IF(INDEX(DarlBelegt,12)=0,0,EOMONTH(INDEX(DarlAuszahlung,12),210)+1)</f>
      </c>
      <c r="F5494" s="43">
        <f>IF($E5494=0,0,YEAR($E5494))</f>
      </c>
      <c r="G5494" s="43">
        <f>IF(INDEX(DarlBindung,12)="",1,IF($E5494&lt;=INDEX(DarlBindung,12),1,0))</f>
      </c>
      <c r="H5494" s="43">
        <f>IF($G5494=1,INDEX(DarlSollzins,12),INDEX(DarlAnschluss,12))</f>
      </c>
      <c r="I5494" s="43">
        <f>IF(INDEX(DarlBelegt,12)=0,0,IF(INDEX(DarlOhneTilgung,12)=1,IF(INDEX(DarlBindung,12)="",1,$G5494),IF($J5494&gt;0.005,1,0)))</f>
      </c>
      <c r="J5494" s="43">
        <f>IF($I5493=0,0,$R5493)</f>
      </c>
      <c r="K5494" s="43">
        <f>IF($I5494=0,0,IF(INDEX(DarlOhneTilgung,12)=1,0,IF(AND(INDEX(DarlTilgStart,12)&gt;0,$E5494=INDEX(DarlTilgStart,12)),$J5494*($H5494+INDEX(DarlTilgung,12))/100/12,IF(AND($G5494=0,$G5493=1),MAX($K5493,$J5494*($H5494+1)/100/12),$K5493))))</f>
      </c>
      <c r="L5494" s="43">
        <f>IF($I5494=0,0,$J5494*$H5494/100/12)</f>
      </c>
      <c r="M5494" s="43">
        <f>IF($I5494=0,0,IF(OR(INDEX(DarlOhneTilgung,12)=1,AND(INDEX(DarlTilgStart,12)&gt;0,$E5494&lt;INDEX(DarlTilgStart,12))),0,MIN(MAX(0,$K5494-$L5494),$J5494)))</f>
      </c>
      <c r="N5494" s="43">
        <f>IF($I5494=0,0,MIN(SUMIFS(SondBetrag,SondDarl,12,SondDatum,"&gt;="&amp;$E5494,SondDatum,"&lt;="&amp;EOMONTH($E5494,0)),$J5494-$M5494))</f>
      </c>
      <c r="O5494" s="43">
        <f>IF($I5494=0,0,INDEX(DarlErsatzRate,12))</f>
      </c>
      <c r="P5494" s="43">
        <f>IF($I5494=0,0,$Q5493*INDEX(DarlErsatzZins,12))</f>
      </c>
      <c r="Q5494" s="43">
        <f>IF($I5494=0,0,$Q5493+$P5494+$O5494)</f>
      </c>
      <c r="R5494" s="43">
        <f>IF($I5494=0,0,$J5494-$M5494-$N5494)</f>
      </c>
    </row>
    <row r="5495">
      <c r="A5495"/>
      <c r="B5495">
        <v>12</v>
      </c>
      <c r="C5495" s="43">
        <f>INDEX(DarlObj,12)</f>
      </c>
      <c r="D5495">
        <v>212</v>
      </c>
      <c r="E5495" s="51">
        <f>IF(INDEX(DarlBelegt,12)=0,0,EOMONTH(INDEX(DarlAuszahlung,12),211)+1)</f>
      </c>
      <c r="F5495" s="43">
        <f>IF($E5495=0,0,YEAR($E5495))</f>
      </c>
      <c r="G5495" s="43">
        <f>IF(INDEX(DarlBindung,12)="",1,IF($E5495&lt;=INDEX(DarlBindung,12),1,0))</f>
      </c>
      <c r="H5495" s="43">
        <f>IF($G5495=1,INDEX(DarlSollzins,12),INDEX(DarlAnschluss,12))</f>
      </c>
      <c r="I5495" s="43">
        <f>IF(INDEX(DarlBelegt,12)=0,0,IF(INDEX(DarlOhneTilgung,12)=1,IF(INDEX(DarlBindung,12)="",1,$G5495),IF($J5495&gt;0.005,1,0)))</f>
      </c>
      <c r="J5495" s="43">
        <f>IF($I5494=0,0,$R5494)</f>
      </c>
      <c r="K5495" s="43">
        <f>IF($I5495=0,0,IF(INDEX(DarlOhneTilgung,12)=1,0,IF(AND(INDEX(DarlTilgStart,12)&gt;0,$E5495=INDEX(DarlTilgStart,12)),$J5495*($H5495+INDEX(DarlTilgung,12))/100/12,IF(AND($G5495=0,$G5494=1),MAX($K5494,$J5495*($H5495+1)/100/12),$K5494))))</f>
      </c>
      <c r="L5495" s="43">
        <f>IF($I5495=0,0,$J5495*$H5495/100/12)</f>
      </c>
      <c r="M5495" s="43">
        <f>IF($I5495=0,0,IF(OR(INDEX(DarlOhneTilgung,12)=1,AND(INDEX(DarlTilgStart,12)&gt;0,$E5495&lt;INDEX(DarlTilgStart,12))),0,MIN(MAX(0,$K5495-$L5495),$J5495)))</f>
      </c>
      <c r="N5495" s="43">
        <f>IF($I5495=0,0,MIN(SUMIFS(SondBetrag,SondDarl,12,SondDatum,"&gt;="&amp;$E5495,SondDatum,"&lt;="&amp;EOMONTH($E5495,0)),$J5495-$M5495))</f>
      </c>
      <c r="O5495" s="43">
        <f>IF($I5495=0,0,INDEX(DarlErsatzRate,12))</f>
      </c>
      <c r="P5495" s="43">
        <f>IF($I5495=0,0,$Q5494*INDEX(DarlErsatzZins,12))</f>
      </c>
      <c r="Q5495" s="43">
        <f>IF($I5495=0,0,$Q5494+$P5495+$O5495)</f>
      </c>
      <c r="R5495" s="43">
        <f>IF($I5495=0,0,$J5495-$M5495-$N5495)</f>
      </c>
    </row>
    <row r="5496">
      <c r="A5496"/>
      <c r="B5496">
        <v>12</v>
      </c>
      <c r="C5496" s="43">
        <f>INDEX(DarlObj,12)</f>
      </c>
      <c r="D5496">
        <v>213</v>
      </c>
      <c r="E5496" s="51">
        <f>IF(INDEX(DarlBelegt,12)=0,0,EOMONTH(INDEX(DarlAuszahlung,12),212)+1)</f>
      </c>
      <c r="F5496" s="43">
        <f>IF($E5496=0,0,YEAR($E5496))</f>
      </c>
      <c r="G5496" s="43">
        <f>IF(INDEX(DarlBindung,12)="",1,IF($E5496&lt;=INDEX(DarlBindung,12),1,0))</f>
      </c>
      <c r="H5496" s="43">
        <f>IF($G5496=1,INDEX(DarlSollzins,12),INDEX(DarlAnschluss,12))</f>
      </c>
      <c r="I5496" s="43">
        <f>IF(INDEX(DarlBelegt,12)=0,0,IF(INDEX(DarlOhneTilgung,12)=1,IF(INDEX(DarlBindung,12)="",1,$G5496),IF($J5496&gt;0.005,1,0)))</f>
      </c>
      <c r="J5496" s="43">
        <f>IF($I5495=0,0,$R5495)</f>
      </c>
      <c r="K5496" s="43">
        <f>IF($I5496=0,0,IF(INDEX(DarlOhneTilgung,12)=1,0,IF(AND(INDEX(DarlTilgStart,12)&gt;0,$E5496=INDEX(DarlTilgStart,12)),$J5496*($H5496+INDEX(DarlTilgung,12))/100/12,IF(AND($G5496=0,$G5495=1),MAX($K5495,$J5496*($H5496+1)/100/12),$K5495))))</f>
      </c>
      <c r="L5496" s="43">
        <f>IF($I5496=0,0,$J5496*$H5496/100/12)</f>
      </c>
      <c r="M5496" s="43">
        <f>IF($I5496=0,0,IF(OR(INDEX(DarlOhneTilgung,12)=1,AND(INDEX(DarlTilgStart,12)&gt;0,$E5496&lt;INDEX(DarlTilgStart,12))),0,MIN(MAX(0,$K5496-$L5496),$J5496)))</f>
      </c>
      <c r="N5496" s="43">
        <f>IF($I5496=0,0,MIN(SUMIFS(SondBetrag,SondDarl,12,SondDatum,"&gt;="&amp;$E5496,SondDatum,"&lt;="&amp;EOMONTH($E5496,0)),$J5496-$M5496))</f>
      </c>
      <c r="O5496" s="43">
        <f>IF($I5496=0,0,INDEX(DarlErsatzRate,12))</f>
      </c>
      <c r="P5496" s="43">
        <f>IF($I5496=0,0,$Q5495*INDEX(DarlErsatzZins,12))</f>
      </c>
      <c r="Q5496" s="43">
        <f>IF($I5496=0,0,$Q5495+$P5496+$O5496)</f>
      </c>
      <c r="R5496" s="43">
        <f>IF($I5496=0,0,$J5496-$M5496-$N5496)</f>
      </c>
    </row>
    <row r="5497">
      <c r="A5497"/>
      <c r="B5497">
        <v>12</v>
      </c>
      <c r="C5497" s="43">
        <f>INDEX(DarlObj,12)</f>
      </c>
      <c r="D5497">
        <v>214</v>
      </c>
      <c r="E5497" s="51">
        <f>IF(INDEX(DarlBelegt,12)=0,0,EOMONTH(INDEX(DarlAuszahlung,12),213)+1)</f>
      </c>
      <c r="F5497" s="43">
        <f>IF($E5497=0,0,YEAR($E5497))</f>
      </c>
      <c r="G5497" s="43">
        <f>IF(INDEX(DarlBindung,12)="",1,IF($E5497&lt;=INDEX(DarlBindung,12),1,0))</f>
      </c>
      <c r="H5497" s="43">
        <f>IF($G5497=1,INDEX(DarlSollzins,12),INDEX(DarlAnschluss,12))</f>
      </c>
      <c r="I5497" s="43">
        <f>IF(INDEX(DarlBelegt,12)=0,0,IF(INDEX(DarlOhneTilgung,12)=1,IF(INDEX(DarlBindung,12)="",1,$G5497),IF($J5497&gt;0.005,1,0)))</f>
      </c>
      <c r="J5497" s="43">
        <f>IF($I5496=0,0,$R5496)</f>
      </c>
      <c r="K5497" s="43">
        <f>IF($I5497=0,0,IF(INDEX(DarlOhneTilgung,12)=1,0,IF(AND(INDEX(DarlTilgStart,12)&gt;0,$E5497=INDEX(DarlTilgStart,12)),$J5497*($H5497+INDEX(DarlTilgung,12))/100/12,IF(AND($G5497=0,$G5496=1),MAX($K5496,$J5497*($H5497+1)/100/12),$K5496))))</f>
      </c>
      <c r="L5497" s="43">
        <f>IF($I5497=0,0,$J5497*$H5497/100/12)</f>
      </c>
      <c r="M5497" s="43">
        <f>IF($I5497=0,0,IF(OR(INDEX(DarlOhneTilgung,12)=1,AND(INDEX(DarlTilgStart,12)&gt;0,$E5497&lt;INDEX(DarlTilgStart,12))),0,MIN(MAX(0,$K5497-$L5497),$J5497)))</f>
      </c>
      <c r="N5497" s="43">
        <f>IF($I5497=0,0,MIN(SUMIFS(SondBetrag,SondDarl,12,SondDatum,"&gt;="&amp;$E5497,SondDatum,"&lt;="&amp;EOMONTH($E5497,0)),$J5497-$M5497))</f>
      </c>
      <c r="O5497" s="43">
        <f>IF($I5497=0,0,INDEX(DarlErsatzRate,12))</f>
      </c>
      <c r="P5497" s="43">
        <f>IF($I5497=0,0,$Q5496*INDEX(DarlErsatzZins,12))</f>
      </c>
      <c r="Q5497" s="43">
        <f>IF($I5497=0,0,$Q5496+$P5497+$O5497)</f>
      </c>
      <c r="R5497" s="43">
        <f>IF($I5497=0,0,$J5497-$M5497-$N5497)</f>
      </c>
    </row>
    <row r="5498">
      <c r="A5498"/>
      <c r="B5498">
        <v>12</v>
      </c>
      <c r="C5498" s="43">
        <f>INDEX(DarlObj,12)</f>
      </c>
      <c r="D5498">
        <v>215</v>
      </c>
      <c r="E5498" s="51">
        <f>IF(INDEX(DarlBelegt,12)=0,0,EOMONTH(INDEX(DarlAuszahlung,12),214)+1)</f>
      </c>
      <c r="F5498" s="43">
        <f>IF($E5498=0,0,YEAR($E5498))</f>
      </c>
      <c r="G5498" s="43">
        <f>IF(INDEX(DarlBindung,12)="",1,IF($E5498&lt;=INDEX(DarlBindung,12),1,0))</f>
      </c>
      <c r="H5498" s="43">
        <f>IF($G5498=1,INDEX(DarlSollzins,12),INDEX(DarlAnschluss,12))</f>
      </c>
      <c r="I5498" s="43">
        <f>IF(INDEX(DarlBelegt,12)=0,0,IF(INDEX(DarlOhneTilgung,12)=1,IF(INDEX(DarlBindung,12)="",1,$G5498),IF($J5498&gt;0.005,1,0)))</f>
      </c>
      <c r="J5498" s="43">
        <f>IF($I5497=0,0,$R5497)</f>
      </c>
      <c r="K5498" s="43">
        <f>IF($I5498=0,0,IF(INDEX(DarlOhneTilgung,12)=1,0,IF(AND(INDEX(DarlTilgStart,12)&gt;0,$E5498=INDEX(DarlTilgStart,12)),$J5498*($H5498+INDEX(DarlTilgung,12))/100/12,IF(AND($G5498=0,$G5497=1),MAX($K5497,$J5498*($H5498+1)/100/12),$K5497))))</f>
      </c>
      <c r="L5498" s="43">
        <f>IF($I5498=0,0,$J5498*$H5498/100/12)</f>
      </c>
      <c r="M5498" s="43">
        <f>IF($I5498=0,0,IF(OR(INDEX(DarlOhneTilgung,12)=1,AND(INDEX(DarlTilgStart,12)&gt;0,$E5498&lt;INDEX(DarlTilgStart,12))),0,MIN(MAX(0,$K5498-$L5498),$J5498)))</f>
      </c>
      <c r="N5498" s="43">
        <f>IF($I5498=0,0,MIN(SUMIFS(SondBetrag,SondDarl,12,SondDatum,"&gt;="&amp;$E5498,SondDatum,"&lt;="&amp;EOMONTH($E5498,0)),$J5498-$M5498))</f>
      </c>
      <c r="O5498" s="43">
        <f>IF($I5498=0,0,INDEX(DarlErsatzRate,12))</f>
      </c>
      <c r="P5498" s="43">
        <f>IF($I5498=0,0,$Q5497*INDEX(DarlErsatzZins,12))</f>
      </c>
      <c r="Q5498" s="43">
        <f>IF($I5498=0,0,$Q5497+$P5498+$O5498)</f>
      </c>
      <c r="R5498" s="43">
        <f>IF($I5498=0,0,$J5498-$M5498-$N5498)</f>
      </c>
    </row>
    <row r="5499">
      <c r="A5499"/>
      <c r="B5499">
        <v>12</v>
      </c>
      <c r="C5499" s="43">
        <f>INDEX(DarlObj,12)</f>
      </c>
      <c r="D5499">
        <v>216</v>
      </c>
      <c r="E5499" s="51">
        <f>IF(INDEX(DarlBelegt,12)=0,0,EOMONTH(INDEX(DarlAuszahlung,12),215)+1)</f>
      </c>
      <c r="F5499" s="43">
        <f>IF($E5499=0,0,YEAR($E5499))</f>
      </c>
      <c r="G5499" s="43">
        <f>IF(INDEX(DarlBindung,12)="",1,IF($E5499&lt;=INDEX(DarlBindung,12),1,0))</f>
      </c>
      <c r="H5499" s="43">
        <f>IF($G5499=1,INDEX(DarlSollzins,12),INDEX(DarlAnschluss,12))</f>
      </c>
      <c r="I5499" s="43">
        <f>IF(INDEX(DarlBelegt,12)=0,0,IF(INDEX(DarlOhneTilgung,12)=1,IF(INDEX(DarlBindung,12)="",1,$G5499),IF($J5499&gt;0.005,1,0)))</f>
      </c>
      <c r="J5499" s="43">
        <f>IF($I5498=0,0,$R5498)</f>
      </c>
      <c r="K5499" s="43">
        <f>IF($I5499=0,0,IF(INDEX(DarlOhneTilgung,12)=1,0,IF(AND(INDEX(DarlTilgStart,12)&gt;0,$E5499=INDEX(DarlTilgStart,12)),$J5499*($H5499+INDEX(DarlTilgung,12))/100/12,IF(AND($G5499=0,$G5498=1),MAX($K5498,$J5499*($H5499+1)/100/12),$K5498))))</f>
      </c>
      <c r="L5499" s="43">
        <f>IF($I5499=0,0,$J5499*$H5499/100/12)</f>
      </c>
      <c r="M5499" s="43">
        <f>IF($I5499=0,0,IF(OR(INDEX(DarlOhneTilgung,12)=1,AND(INDEX(DarlTilgStart,12)&gt;0,$E5499&lt;INDEX(DarlTilgStart,12))),0,MIN(MAX(0,$K5499-$L5499),$J5499)))</f>
      </c>
      <c r="N5499" s="43">
        <f>IF($I5499=0,0,MIN(SUMIFS(SondBetrag,SondDarl,12,SondDatum,"&gt;="&amp;$E5499,SondDatum,"&lt;="&amp;EOMONTH($E5499,0)),$J5499-$M5499))</f>
      </c>
      <c r="O5499" s="43">
        <f>IF($I5499=0,0,INDEX(DarlErsatzRate,12))</f>
      </c>
      <c r="P5499" s="43">
        <f>IF($I5499=0,0,$Q5498*INDEX(DarlErsatzZins,12))</f>
      </c>
      <c r="Q5499" s="43">
        <f>IF($I5499=0,0,$Q5498+$P5499+$O5499)</f>
      </c>
      <c r="R5499" s="43">
        <f>IF($I5499=0,0,$J5499-$M5499-$N5499)</f>
      </c>
    </row>
    <row r="5500">
      <c r="A5500"/>
      <c r="B5500">
        <v>12</v>
      </c>
      <c r="C5500" s="43">
        <f>INDEX(DarlObj,12)</f>
      </c>
      <c r="D5500">
        <v>217</v>
      </c>
      <c r="E5500" s="51">
        <f>IF(INDEX(DarlBelegt,12)=0,0,EOMONTH(INDEX(DarlAuszahlung,12),216)+1)</f>
      </c>
      <c r="F5500" s="43">
        <f>IF($E5500=0,0,YEAR($E5500))</f>
      </c>
      <c r="G5500" s="43">
        <f>IF(INDEX(DarlBindung,12)="",1,IF($E5500&lt;=INDEX(DarlBindung,12),1,0))</f>
      </c>
      <c r="H5500" s="43">
        <f>IF($G5500=1,INDEX(DarlSollzins,12),INDEX(DarlAnschluss,12))</f>
      </c>
      <c r="I5500" s="43">
        <f>IF(INDEX(DarlBelegt,12)=0,0,IF(INDEX(DarlOhneTilgung,12)=1,IF(INDEX(DarlBindung,12)="",1,$G5500),IF($J5500&gt;0.005,1,0)))</f>
      </c>
      <c r="J5500" s="43">
        <f>IF($I5499=0,0,$R5499)</f>
      </c>
      <c r="K5500" s="43">
        <f>IF($I5500=0,0,IF(INDEX(DarlOhneTilgung,12)=1,0,IF(AND(INDEX(DarlTilgStart,12)&gt;0,$E5500=INDEX(DarlTilgStart,12)),$J5500*($H5500+INDEX(DarlTilgung,12))/100/12,IF(AND($G5500=0,$G5499=1),MAX($K5499,$J5500*($H5500+1)/100/12),$K5499))))</f>
      </c>
      <c r="L5500" s="43">
        <f>IF($I5500=0,0,$J5500*$H5500/100/12)</f>
      </c>
      <c r="M5500" s="43">
        <f>IF($I5500=0,0,IF(OR(INDEX(DarlOhneTilgung,12)=1,AND(INDEX(DarlTilgStart,12)&gt;0,$E5500&lt;INDEX(DarlTilgStart,12))),0,MIN(MAX(0,$K5500-$L5500),$J5500)))</f>
      </c>
      <c r="N5500" s="43">
        <f>IF($I5500=0,0,MIN(SUMIFS(SondBetrag,SondDarl,12,SondDatum,"&gt;="&amp;$E5500,SondDatum,"&lt;="&amp;EOMONTH($E5500,0)),$J5500-$M5500))</f>
      </c>
      <c r="O5500" s="43">
        <f>IF($I5500=0,0,INDEX(DarlErsatzRate,12))</f>
      </c>
      <c r="P5500" s="43">
        <f>IF($I5500=0,0,$Q5499*INDEX(DarlErsatzZins,12))</f>
      </c>
      <c r="Q5500" s="43">
        <f>IF($I5500=0,0,$Q5499+$P5500+$O5500)</f>
      </c>
      <c r="R5500" s="43">
        <f>IF($I5500=0,0,$J5500-$M5500-$N5500)</f>
      </c>
    </row>
    <row r="5501">
      <c r="A5501"/>
      <c r="B5501">
        <v>12</v>
      </c>
      <c r="C5501" s="43">
        <f>INDEX(DarlObj,12)</f>
      </c>
      <c r="D5501">
        <v>218</v>
      </c>
      <c r="E5501" s="51">
        <f>IF(INDEX(DarlBelegt,12)=0,0,EOMONTH(INDEX(DarlAuszahlung,12),217)+1)</f>
      </c>
      <c r="F5501" s="43">
        <f>IF($E5501=0,0,YEAR($E5501))</f>
      </c>
      <c r="G5501" s="43">
        <f>IF(INDEX(DarlBindung,12)="",1,IF($E5501&lt;=INDEX(DarlBindung,12),1,0))</f>
      </c>
      <c r="H5501" s="43">
        <f>IF($G5501=1,INDEX(DarlSollzins,12),INDEX(DarlAnschluss,12))</f>
      </c>
      <c r="I5501" s="43">
        <f>IF(INDEX(DarlBelegt,12)=0,0,IF(INDEX(DarlOhneTilgung,12)=1,IF(INDEX(DarlBindung,12)="",1,$G5501),IF($J5501&gt;0.005,1,0)))</f>
      </c>
      <c r="J5501" s="43">
        <f>IF($I5500=0,0,$R5500)</f>
      </c>
      <c r="K5501" s="43">
        <f>IF($I5501=0,0,IF(INDEX(DarlOhneTilgung,12)=1,0,IF(AND(INDEX(DarlTilgStart,12)&gt;0,$E5501=INDEX(DarlTilgStart,12)),$J5501*($H5501+INDEX(DarlTilgung,12))/100/12,IF(AND($G5501=0,$G5500=1),MAX($K5500,$J5501*($H5501+1)/100/12),$K5500))))</f>
      </c>
      <c r="L5501" s="43">
        <f>IF($I5501=0,0,$J5501*$H5501/100/12)</f>
      </c>
      <c r="M5501" s="43">
        <f>IF($I5501=0,0,IF(OR(INDEX(DarlOhneTilgung,12)=1,AND(INDEX(DarlTilgStart,12)&gt;0,$E5501&lt;INDEX(DarlTilgStart,12))),0,MIN(MAX(0,$K5501-$L5501),$J5501)))</f>
      </c>
      <c r="N5501" s="43">
        <f>IF($I5501=0,0,MIN(SUMIFS(SondBetrag,SondDarl,12,SondDatum,"&gt;="&amp;$E5501,SondDatum,"&lt;="&amp;EOMONTH($E5501,0)),$J5501-$M5501))</f>
      </c>
      <c r="O5501" s="43">
        <f>IF($I5501=0,0,INDEX(DarlErsatzRate,12))</f>
      </c>
      <c r="P5501" s="43">
        <f>IF($I5501=0,0,$Q5500*INDEX(DarlErsatzZins,12))</f>
      </c>
      <c r="Q5501" s="43">
        <f>IF($I5501=0,0,$Q5500+$P5501+$O5501)</f>
      </c>
      <c r="R5501" s="43">
        <f>IF($I5501=0,0,$J5501-$M5501-$N5501)</f>
      </c>
    </row>
    <row r="5502">
      <c r="A5502"/>
      <c r="B5502">
        <v>12</v>
      </c>
      <c r="C5502" s="43">
        <f>INDEX(DarlObj,12)</f>
      </c>
      <c r="D5502">
        <v>219</v>
      </c>
      <c r="E5502" s="51">
        <f>IF(INDEX(DarlBelegt,12)=0,0,EOMONTH(INDEX(DarlAuszahlung,12),218)+1)</f>
      </c>
      <c r="F5502" s="43">
        <f>IF($E5502=0,0,YEAR($E5502))</f>
      </c>
      <c r="G5502" s="43">
        <f>IF(INDEX(DarlBindung,12)="",1,IF($E5502&lt;=INDEX(DarlBindung,12),1,0))</f>
      </c>
      <c r="H5502" s="43">
        <f>IF($G5502=1,INDEX(DarlSollzins,12),INDEX(DarlAnschluss,12))</f>
      </c>
      <c r="I5502" s="43">
        <f>IF(INDEX(DarlBelegt,12)=0,0,IF(INDEX(DarlOhneTilgung,12)=1,IF(INDEX(DarlBindung,12)="",1,$G5502),IF($J5502&gt;0.005,1,0)))</f>
      </c>
      <c r="J5502" s="43">
        <f>IF($I5501=0,0,$R5501)</f>
      </c>
      <c r="K5502" s="43">
        <f>IF($I5502=0,0,IF(INDEX(DarlOhneTilgung,12)=1,0,IF(AND(INDEX(DarlTilgStart,12)&gt;0,$E5502=INDEX(DarlTilgStart,12)),$J5502*($H5502+INDEX(DarlTilgung,12))/100/12,IF(AND($G5502=0,$G5501=1),MAX($K5501,$J5502*($H5502+1)/100/12),$K5501))))</f>
      </c>
      <c r="L5502" s="43">
        <f>IF($I5502=0,0,$J5502*$H5502/100/12)</f>
      </c>
      <c r="M5502" s="43">
        <f>IF($I5502=0,0,IF(OR(INDEX(DarlOhneTilgung,12)=1,AND(INDEX(DarlTilgStart,12)&gt;0,$E5502&lt;INDEX(DarlTilgStart,12))),0,MIN(MAX(0,$K5502-$L5502),$J5502)))</f>
      </c>
      <c r="N5502" s="43">
        <f>IF($I5502=0,0,MIN(SUMIFS(SondBetrag,SondDarl,12,SondDatum,"&gt;="&amp;$E5502,SondDatum,"&lt;="&amp;EOMONTH($E5502,0)),$J5502-$M5502))</f>
      </c>
      <c r="O5502" s="43">
        <f>IF($I5502=0,0,INDEX(DarlErsatzRate,12))</f>
      </c>
      <c r="P5502" s="43">
        <f>IF($I5502=0,0,$Q5501*INDEX(DarlErsatzZins,12))</f>
      </c>
      <c r="Q5502" s="43">
        <f>IF($I5502=0,0,$Q5501+$P5502+$O5502)</f>
      </c>
      <c r="R5502" s="43">
        <f>IF($I5502=0,0,$J5502-$M5502-$N5502)</f>
      </c>
    </row>
    <row r="5503">
      <c r="A5503"/>
      <c r="B5503">
        <v>12</v>
      </c>
      <c r="C5503" s="43">
        <f>INDEX(DarlObj,12)</f>
      </c>
      <c r="D5503">
        <v>220</v>
      </c>
      <c r="E5503" s="51">
        <f>IF(INDEX(DarlBelegt,12)=0,0,EOMONTH(INDEX(DarlAuszahlung,12),219)+1)</f>
      </c>
      <c r="F5503" s="43">
        <f>IF($E5503=0,0,YEAR($E5503))</f>
      </c>
      <c r="G5503" s="43">
        <f>IF(INDEX(DarlBindung,12)="",1,IF($E5503&lt;=INDEX(DarlBindung,12),1,0))</f>
      </c>
      <c r="H5503" s="43">
        <f>IF($G5503=1,INDEX(DarlSollzins,12),INDEX(DarlAnschluss,12))</f>
      </c>
      <c r="I5503" s="43">
        <f>IF(INDEX(DarlBelegt,12)=0,0,IF(INDEX(DarlOhneTilgung,12)=1,IF(INDEX(DarlBindung,12)="",1,$G5503),IF($J5503&gt;0.005,1,0)))</f>
      </c>
      <c r="J5503" s="43">
        <f>IF($I5502=0,0,$R5502)</f>
      </c>
      <c r="K5503" s="43">
        <f>IF($I5503=0,0,IF(INDEX(DarlOhneTilgung,12)=1,0,IF(AND(INDEX(DarlTilgStart,12)&gt;0,$E5503=INDEX(DarlTilgStart,12)),$J5503*($H5503+INDEX(DarlTilgung,12))/100/12,IF(AND($G5503=0,$G5502=1),MAX($K5502,$J5503*($H5503+1)/100/12),$K5502))))</f>
      </c>
      <c r="L5503" s="43">
        <f>IF($I5503=0,0,$J5503*$H5503/100/12)</f>
      </c>
      <c r="M5503" s="43">
        <f>IF($I5503=0,0,IF(OR(INDEX(DarlOhneTilgung,12)=1,AND(INDEX(DarlTilgStart,12)&gt;0,$E5503&lt;INDEX(DarlTilgStart,12))),0,MIN(MAX(0,$K5503-$L5503),$J5503)))</f>
      </c>
      <c r="N5503" s="43">
        <f>IF($I5503=0,0,MIN(SUMIFS(SondBetrag,SondDarl,12,SondDatum,"&gt;="&amp;$E5503,SondDatum,"&lt;="&amp;EOMONTH($E5503,0)),$J5503-$M5503))</f>
      </c>
      <c r="O5503" s="43">
        <f>IF($I5503=0,0,INDEX(DarlErsatzRate,12))</f>
      </c>
      <c r="P5503" s="43">
        <f>IF($I5503=0,0,$Q5502*INDEX(DarlErsatzZins,12))</f>
      </c>
      <c r="Q5503" s="43">
        <f>IF($I5503=0,0,$Q5502+$P5503+$O5503)</f>
      </c>
      <c r="R5503" s="43">
        <f>IF($I5503=0,0,$J5503-$M5503-$N5503)</f>
      </c>
    </row>
    <row r="5504">
      <c r="A5504"/>
      <c r="B5504">
        <v>12</v>
      </c>
      <c r="C5504" s="43">
        <f>INDEX(DarlObj,12)</f>
      </c>
      <c r="D5504">
        <v>221</v>
      </c>
      <c r="E5504" s="51">
        <f>IF(INDEX(DarlBelegt,12)=0,0,EOMONTH(INDEX(DarlAuszahlung,12),220)+1)</f>
      </c>
      <c r="F5504" s="43">
        <f>IF($E5504=0,0,YEAR($E5504))</f>
      </c>
      <c r="G5504" s="43">
        <f>IF(INDEX(DarlBindung,12)="",1,IF($E5504&lt;=INDEX(DarlBindung,12),1,0))</f>
      </c>
      <c r="H5504" s="43">
        <f>IF($G5504=1,INDEX(DarlSollzins,12),INDEX(DarlAnschluss,12))</f>
      </c>
      <c r="I5504" s="43">
        <f>IF(INDEX(DarlBelegt,12)=0,0,IF(INDEX(DarlOhneTilgung,12)=1,IF(INDEX(DarlBindung,12)="",1,$G5504),IF($J5504&gt;0.005,1,0)))</f>
      </c>
      <c r="J5504" s="43">
        <f>IF($I5503=0,0,$R5503)</f>
      </c>
      <c r="K5504" s="43">
        <f>IF($I5504=0,0,IF(INDEX(DarlOhneTilgung,12)=1,0,IF(AND(INDEX(DarlTilgStart,12)&gt;0,$E5504=INDEX(DarlTilgStart,12)),$J5504*($H5504+INDEX(DarlTilgung,12))/100/12,IF(AND($G5504=0,$G5503=1),MAX($K5503,$J5504*($H5504+1)/100/12),$K5503))))</f>
      </c>
      <c r="L5504" s="43">
        <f>IF($I5504=0,0,$J5504*$H5504/100/12)</f>
      </c>
      <c r="M5504" s="43">
        <f>IF($I5504=0,0,IF(OR(INDEX(DarlOhneTilgung,12)=1,AND(INDEX(DarlTilgStart,12)&gt;0,$E5504&lt;INDEX(DarlTilgStart,12))),0,MIN(MAX(0,$K5504-$L5504),$J5504)))</f>
      </c>
      <c r="N5504" s="43">
        <f>IF($I5504=0,0,MIN(SUMIFS(SondBetrag,SondDarl,12,SondDatum,"&gt;="&amp;$E5504,SondDatum,"&lt;="&amp;EOMONTH($E5504,0)),$J5504-$M5504))</f>
      </c>
      <c r="O5504" s="43">
        <f>IF($I5504=0,0,INDEX(DarlErsatzRate,12))</f>
      </c>
      <c r="P5504" s="43">
        <f>IF($I5504=0,0,$Q5503*INDEX(DarlErsatzZins,12))</f>
      </c>
      <c r="Q5504" s="43">
        <f>IF($I5504=0,0,$Q5503+$P5504+$O5504)</f>
      </c>
      <c r="R5504" s="43">
        <f>IF($I5504=0,0,$J5504-$M5504-$N5504)</f>
      </c>
    </row>
    <row r="5505">
      <c r="A5505"/>
      <c r="B5505">
        <v>12</v>
      </c>
      <c r="C5505" s="43">
        <f>INDEX(DarlObj,12)</f>
      </c>
      <c r="D5505">
        <v>222</v>
      </c>
      <c r="E5505" s="51">
        <f>IF(INDEX(DarlBelegt,12)=0,0,EOMONTH(INDEX(DarlAuszahlung,12),221)+1)</f>
      </c>
      <c r="F5505" s="43">
        <f>IF($E5505=0,0,YEAR($E5505))</f>
      </c>
      <c r="G5505" s="43">
        <f>IF(INDEX(DarlBindung,12)="",1,IF($E5505&lt;=INDEX(DarlBindung,12),1,0))</f>
      </c>
      <c r="H5505" s="43">
        <f>IF($G5505=1,INDEX(DarlSollzins,12),INDEX(DarlAnschluss,12))</f>
      </c>
      <c r="I5505" s="43">
        <f>IF(INDEX(DarlBelegt,12)=0,0,IF(INDEX(DarlOhneTilgung,12)=1,IF(INDEX(DarlBindung,12)="",1,$G5505),IF($J5505&gt;0.005,1,0)))</f>
      </c>
      <c r="J5505" s="43">
        <f>IF($I5504=0,0,$R5504)</f>
      </c>
      <c r="K5505" s="43">
        <f>IF($I5505=0,0,IF(INDEX(DarlOhneTilgung,12)=1,0,IF(AND(INDEX(DarlTilgStart,12)&gt;0,$E5505=INDEX(DarlTilgStart,12)),$J5505*($H5505+INDEX(DarlTilgung,12))/100/12,IF(AND($G5505=0,$G5504=1),MAX($K5504,$J5505*($H5505+1)/100/12),$K5504))))</f>
      </c>
      <c r="L5505" s="43">
        <f>IF($I5505=0,0,$J5505*$H5505/100/12)</f>
      </c>
      <c r="M5505" s="43">
        <f>IF($I5505=0,0,IF(OR(INDEX(DarlOhneTilgung,12)=1,AND(INDEX(DarlTilgStart,12)&gt;0,$E5505&lt;INDEX(DarlTilgStart,12))),0,MIN(MAX(0,$K5505-$L5505),$J5505)))</f>
      </c>
      <c r="N5505" s="43">
        <f>IF($I5505=0,0,MIN(SUMIFS(SondBetrag,SondDarl,12,SondDatum,"&gt;="&amp;$E5505,SondDatum,"&lt;="&amp;EOMONTH($E5505,0)),$J5505-$M5505))</f>
      </c>
      <c r="O5505" s="43">
        <f>IF($I5505=0,0,INDEX(DarlErsatzRate,12))</f>
      </c>
      <c r="P5505" s="43">
        <f>IF($I5505=0,0,$Q5504*INDEX(DarlErsatzZins,12))</f>
      </c>
      <c r="Q5505" s="43">
        <f>IF($I5505=0,0,$Q5504+$P5505+$O5505)</f>
      </c>
      <c r="R5505" s="43">
        <f>IF($I5505=0,0,$J5505-$M5505-$N5505)</f>
      </c>
    </row>
    <row r="5506">
      <c r="A5506"/>
      <c r="B5506">
        <v>12</v>
      </c>
      <c r="C5506" s="43">
        <f>INDEX(DarlObj,12)</f>
      </c>
      <c r="D5506">
        <v>223</v>
      </c>
      <c r="E5506" s="51">
        <f>IF(INDEX(DarlBelegt,12)=0,0,EOMONTH(INDEX(DarlAuszahlung,12),222)+1)</f>
      </c>
      <c r="F5506" s="43">
        <f>IF($E5506=0,0,YEAR($E5506))</f>
      </c>
      <c r="G5506" s="43">
        <f>IF(INDEX(DarlBindung,12)="",1,IF($E5506&lt;=INDEX(DarlBindung,12),1,0))</f>
      </c>
      <c r="H5506" s="43">
        <f>IF($G5506=1,INDEX(DarlSollzins,12),INDEX(DarlAnschluss,12))</f>
      </c>
      <c r="I5506" s="43">
        <f>IF(INDEX(DarlBelegt,12)=0,0,IF(INDEX(DarlOhneTilgung,12)=1,IF(INDEX(DarlBindung,12)="",1,$G5506),IF($J5506&gt;0.005,1,0)))</f>
      </c>
      <c r="J5506" s="43">
        <f>IF($I5505=0,0,$R5505)</f>
      </c>
      <c r="K5506" s="43">
        <f>IF($I5506=0,0,IF(INDEX(DarlOhneTilgung,12)=1,0,IF(AND(INDEX(DarlTilgStart,12)&gt;0,$E5506=INDEX(DarlTilgStart,12)),$J5506*($H5506+INDEX(DarlTilgung,12))/100/12,IF(AND($G5506=0,$G5505=1),MAX($K5505,$J5506*($H5506+1)/100/12),$K5505))))</f>
      </c>
      <c r="L5506" s="43">
        <f>IF($I5506=0,0,$J5506*$H5506/100/12)</f>
      </c>
      <c r="M5506" s="43">
        <f>IF($I5506=0,0,IF(OR(INDEX(DarlOhneTilgung,12)=1,AND(INDEX(DarlTilgStart,12)&gt;0,$E5506&lt;INDEX(DarlTilgStart,12))),0,MIN(MAX(0,$K5506-$L5506),$J5506)))</f>
      </c>
      <c r="N5506" s="43">
        <f>IF($I5506=0,0,MIN(SUMIFS(SondBetrag,SondDarl,12,SondDatum,"&gt;="&amp;$E5506,SondDatum,"&lt;="&amp;EOMONTH($E5506,0)),$J5506-$M5506))</f>
      </c>
      <c r="O5506" s="43">
        <f>IF($I5506=0,0,INDEX(DarlErsatzRate,12))</f>
      </c>
      <c r="P5506" s="43">
        <f>IF($I5506=0,0,$Q5505*INDEX(DarlErsatzZins,12))</f>
      </c>
      <c r="Q5506" s="43">
        <f>IF($I5506=0,0,$Q5505+$P5506+$O5506)</f>
      </c>
      <c r="R5506" s="43">
        <f>IF($I5506=0,0,$J5506-$M5506-$N5506)</f>
      </c>
    </row>
    <row r="5507">
      <c r="A5507"/>
      <c r="B5507">
        <v>12</v>
      </c>
      <c r="C5507" s="43">
        <f>INDEX(DarlObj,12)</f>
      </c>
      <c r="D5507">
        <v>224</v>
      </c>
      <c r="E5507" s="51">
        <f>IF(INDEX(DarlBelegt,12)=0,0,EOMONTH(INDEX(DarlAuszahlung,12),223)+1)</f>
      </c>
      <c r="F5507" s="43">
        <f>IF($E5507=0,0,YEAR($E5507))</f>
      </c>
      <c r="G5507" s="43">
        <f>IF(INDEX(DarlBindung,12)="",1,IF($E5507&lt;=INDEX(DarlBindung,12),1,0))</f>
      </c>
      <c r="H5507" s="43">
        <f>IF($G5507=1,INDEX(DarlSollzins,12),INDEX(DarlAnschluss,12))</f>
      </c>
      <c r="I5507" s="43">
        <f>IF(INDEX(DarlBelegt,12)=0,0,IF(INDEX(DarlOhneTilgung,12)=1,IF(INDEX(DarlBindung,12)="",1,$G5507),IF($J5507&gt;0.005,1,0)))</f>
      </c>
      <c r="J5507" s="43">
        <f>IF($I5506=0,0,$R5506)</f>
      </c>
      <c r="K5507" s="43">
        <f>IF($I5507=0,0,IF(INDEX(DarlOhneTilgung,12)=1,0,IF(AND(INDEX(DarlTilgStart,12)&gt;0,$E5507=INDEX(DarlTilgStart,12)),$J5507*($H5507+INDEX(DarlTilgung,12))/100/12,IF(AND($G5507=0,$G5506=1),MAX($K5506,$J5507*($H5507+1)/100/12),$K5506))))</f>
      </c>
      <c r="L5507" s="43">
        <f>IF($I5507=0,0,$J5507*$H5507/100/12)</f>
      </c>
      <c r="M5507" s="43">
        <f>IF($I5507=0,0,IF(OR(INDEX(DarlOhneTilgung,12)=1,AND(INDEX(DarlTilgStart,12)&gt;0,$E5507&lt;INDEX(DarlTilgStart,12))),0,MIN(MAX(0,$K5507-$L5507),$J5507)))</f>
      </c>
      <c r="N5507" s="43">
        <f>IF($I5507=0,0,MIN(SUMIFS(SondBetrag,SondDarl,12,SondDatum,"&gt;="&amp;$E5507,SondDatum,"&lt;="&amp;EOMONTH($E5507,0)),$J5507-$M5507))</f>
      </c>
      <c r="O5507" s="43">
        <f>IF($I5507=0,0,INDEX(DarlErsatzRate,12))</f>
      </c>
      <c r="P5507" s="43">
        <f>IF($I5507=0,0,$Q5506*INDEX(DarlErsatzZins,12))</f>
      </c>
      <c r="Q5507" s="43">
        <f>IF($I5507=0,0,$Q5506+$P5507+$O5507)</f>
      </c>
      <c r="R5507" s="43">
        <f>IF($I5507=0,0,$J5507-$M5507-$N5507)</f>
      </c>
    </row>
    <row r="5508">
      <c r="A5508"/>
      <c r="B5508">
        <v>12</v>
      </c>
      <c r="C5508" s="43">
        <f>INDEX(DarlObj,12)</f>
      </c>
      <c r="D5508">
        <v>225</v>
      </c>
      <c r="E5508" s="51">
        <f>IF(INDEX(DarlBelegt,12)=0,0,EOMONTH(INDEX(DarlAuszahlung,12),224)+1)</f>
      </c>
      <c r="F5508" s="43">
        <f>IF($E5508=0,0,YEAR($E5508))</f>
      </c>
      <c r="G5508" s="43">
        <f>IF(INDEX(DarlBindung,12)="",1,IF($E5508&lt;=INDEX(DarlBindung,12),1,0))</f>
      </c>
      <c r="H5508" s="43">
        <f>IF($G5508=1,INDEX(DarlSollzins,12),INDEX(DarlAnschluss,12))</f>
      </c>
      <c r="I5508" s="43">
        <f>IF(INDEX(DarlBelegt,12)=0,0,IF(INDEX(DarlOhneTilgung,12)=1,IF(INDEX(DarlBindung,12)="",1,$G5508),IF($J5508&gt;0.005,1,0)))</f>
      </c>
      <c r="J5508" s="43">
        <f>IF($I5507=0,0,$R5507)</f>
      </c>
      <c r="K5508" s="43">
        <f>IF($I5508=0,0,IF(INDEX(DarlOhneTilgung,12)=1,0,IF(AND(INDEX(DarlTilgStart,12)&gt;0,$E5508=INDEX(DarlTilgStart,12)),$J5508*($H5508+INDEX(DarlTilgung,12))/100/12,IF(AND($G5508=0,$G5507=1),MAX($K5507,$J5508*($H5508+1)/100/12),$K5507))))</f>
      </c>
      <c r="L5508" s="43">
        <f>IF($I5508=0,0,$J5508*$H5508/100/12)</f>
      </c>
      <c r="M5508" s="43">
        <f>IF($I5508=0,0,IF(OR(INDEX(DarlOhneTilgung,12)=1,AND(INDEX(DarlTilgStart,12)&gt;0,$E5508&lt;INDEX(DarlTilgStart,12))),0,MIN(MAX(0,$K5508-$L5508),$J5508)))</f>
      </c>
      <c r="N5508" s="43">
        <f>IF($I5508=0,0,MIN(SUMIFS(SondBetrag,SondDarl,12,SondDatum,"&gt;="&amp;$E5508,SondDatum,"&lt;="&amp;EOMONTH($E5508,0)),$J5508-$M5508))</f>
      </c>
      <c r="O5508" s="43">
        <f>IF($I5508=0,0,INDEX(DarlErsatzRate,12))</f>
      </c>
      <c r="P5508" s="43">
        <f>IF($I5508=0,0,$Q5507*INDEX(DarlErsatzZins,12))</f>
      </c>
      <c r="Q5508" s="43">
        <f>IF($I5508=0,0,$Q5507+$P5508+$O5508)</f>
      </c>
      <c r="R5508" s="43">
        <f>IF($I5508=0,0,$J5508-$M5508-$N5508)</f>
      </c>
    </row>
    <row r="5509">
      <c r="A5509"/>
      <c r="B5509">
        <v>12</v>
      </c>
      <c r="C5509" s="43">
        <f>INDEX(DarlObj,12)</f>
      </c>
      <c r="D5509">
        <v>226</v>
      </c>
      <c r="E5509" s="51">
        <f>IF(INDEX(DarlBelegt,12)=0,0,EOMONTH(INDEX(DarlAuszahlung,12),225)+1)</f>
      </c>
      <c r="F5509" s="43">
        <f>IF($E5509=0,0,YEAR($E5509))</f>
      </c>
      <c r="G5509" s="43">
        <f>IF(INDEX(DarlBindung,12)="",1,IF($E5509&lt;=INDEX(DarlBindung,12),1,0))</f>
      </c>
      <c r="H5509" s="43">
        <f>IF($G5509=1,INDEX(DarlSollzins,12),INDEX(DarlAnschluss,12))</f>
      </c>
      <c r="I5509" s="43">
        <f>IF(INDEX(DarlBelegt,12)=0,0,IF(INDEX(DarlOhneTilgung,12)=1,IF(INDEX(DarlBindung,12)="",1,$G5509),IF($J5509&gt;0.005,1,0)))</f>
      </c>
      <c r="J5509" s="43">
        <f>IF($I5508=0,0,$R5508)</f>
      </c>
      <c r="K5509" s="43">
        <f>IF($I5509=0,0,IF(INDEX(DarlOhneTilgung,12)=1,0,IF(AND(INDEX(DarlTilgStart,12)&gt;0,$E5509=INDEX(DarlTilgStart,12)),$J5509*($H5509+INDEX(DarlTilgung,12))/100/12,IF(AND($G5509=0,$G5508=1),MAX($K5508,$J5509*($H5509+1)/100/12),$K5508))))</f>
      </c>
      <c r="L5509" s="43">
        <f>IF($I5509=0,0,$J5509*$H5509/100/12)</f>
      </c>
      <c r="M5509" s="43">
        <f>IF($I5509=0,0,IF(OR(INDEX(DarlOhneTilgung,12)=1,AND(INDEX(DarlTilgStart,12)&gt;0,$E5509&lt;INDEX(DarlTilgStart,12))),0,MIN(MAX(0,$K5509-$L5509),$J5509)))</f>
      </c>
      <c r="N5509" s="43">
        <f>IF($I5509=0,0,MIN(SUMIFS(SondBetrag,SondDarl,12,SondDatum,"&gt;="&amp;$E5509,SondDatum,"&lt;="&amp;EOMONTH($E5509,0)),$J5509-$M5509))</f>
      </c>
      <c r="O5509" s="43">
        <f>IF($I5509=0,0,INDEX(DarlErsatzRate,12))</f>
      </c>
      <c r="P5509" s="43">
        <f>IF($I5509=0,0,$Q5508*INDEX(DarlErsatzZins,12))</f>
      </c>
      <c r="Q5509" s="43">
        <f>IF($I5509=0,0,$Q5508+$P5509+$O5509)</f>
      </c>
      <c r="R5509" s="43">
        <f>IF($I5509=0,0,$J5509-$M5509-$N5509)</f>
      </c>
    </row>
    <row r="5510">
      <c r="A5510"/>
      <c r="B5510">
        <v>12</v>
      </c>
      <c r="C5510" s="43">
        <f>INDEX(DarlObj,12)</f>
      </c>
      <c r="D5510">
        <v>227</v>
      </c>
      <c r="E5510" s="51">
        <f>IF(INDEX(DarlBelegt,12)=0,0,EOMONTH(INDEX(DarlAuszahlung,12),226)+1)</f>
      </c>
      <c r="F5510" s="43">
        <f>IF($E5510=0,0,YEAR($E5510))</f>
      </c>
      <c r="G5510" s="43">
        <f>IF(INDEX(DarlBindung,12)="",1,IF($E5510&lt;=INDEX(DarlBindung,12),1,0))</f>
      </c>
      <c r="H5510" s="43">
        <f>IF($G5510=1,INDEX(DarlSollzins,12),INDEX(DarlAnschluss,12))</f>
      </c>
      <c r="I5510" s="43">
        <f>IF(INDEX(DarlBelegt,12)=0,0,IF(INDEX(DarlOhneTilgung,12)=1,IF(INDEX(DarlBindung,12)="",1,$G5510),IF($J5510&gt;0.005,1,0)))</f>
      </c>
      <c r="J5510" s="43">
        <f>IF($I5509=0,0,$R5509)</f>
      </c>
      <c r="K5510" s="43">
        <f>IF($I5510=0,0,IF(INDEX(DarlOhneTilgung,12)=1,0,IF(AND(INDEX(DarlTilgStart,12)&gt;0,$E5510=INDEX(DarlTilgStart,12)),$J5510*($H5510+INDEX(DarlTilgung,12))/100/12,IF(AND($G5510=0,$G5509=1),MAX($K5509,$J5510*($H5510+1)/100/12),$K5509))))</f>
      </c>
      <c r="L5510" s="43">
        <f>IF($I5510=0,0,$J5510*$H5510/100/12)</f>
      </c>
      <c r="M5510" s="43">
        <f>IF($I5510=0,0,IF(OR(INDEX(DarlOhneTilgung,12)=1,AND(INDEX(DarlTilgStart,12)&gt;0,$E5510&lt;INDEX(DarlTilgStart,12))),0,MIN(MAX(0,$K5510-$L5510),$J5510)))</f>
      </c>
      <c r="N5510" s="43">
        <f>IF($I5510=0,0,MIN(SUMIFS(SondBetrag,SondDarl,12,SondDatum,"&gt;="&amp;$E5510,SondDatum,"&lt;="&amp;EOMONTH($E5510,0)),$J5510-$M5510))</f>
      </c>
      <c r="O5510" s="43">
        <f>IF($I5510=0,0,INDEX(DarlErsatzRate,12))</f>
      </c>
      <c r="P5510" s="43">
        <f>IF($I5510=0,0,$Q5509*INDEX(DarlErsatzZins,12))</f>
      </c>
      <c r="Q5510" s="43">
        <f>IF($I5510=0,0,$Q5509+$P5510+$O5510)</f>
      </c>
      <c r="R5510" s="43">
        <f>IF($I5510=0,0,$J5510-$M5510-$N5510)</f>
      </c>
    </row>
    <row r="5511">
      <c r="A5511"/>
      <c r="B5511">
        <v>12</v>
      </c>
      <c r="C5511" s="43">
        <f>INDEX(DarlObj,12)</f>
      </c>
      <c r="D5511">
        <v>228</v>
      </c>
      <c r="E5511" s="51">
        <f>IF(INDEX(DarlBelegt,12)=0,0,EOMONTH(INDEX(DarlAuszahlung,12),227)+1)</f>
      </c>
      <c r="F5511" s="43">
        <f>IF($E5511=0,0,YEAR($E5511))</f>
      </c>
      <c r="G5511" s="43">
        <f>IF(INDEX(DarlBindung,12)="",1,IF($E5511&lt;=INDEX(DarlBindung,12),1,0))</f>
      </c>
      <c r="H5511" s="43">
        <f>IF($G5511=1,INDEX(DarlSollzins,12),INDEX(DarlAnschluss,12))</f>
      </c>
      <c r="I5511" s="43">
        <f>IF(INDEX(DarlBelegt,12)=0,0,IF(INDEX(DarlOhneTilgung,12)=1,IF(INDEX(DarlBindung,12)="",1,$G5511),IF($J5511&gt;0.005,1,0)))</f>
      </c>
      <c r="J5511" s="43">
        <f>IF($I5510=0,0,$R5510)</f>
      </c>
      <c r="K5511" s="43">
        <f>IF($I5511=0,0,IF(INDEX(DarlOhneTilgung,12)=1,0,IF(AND(INDEX(DarlTilgStart,12)&gt;0,$E5511=INDEX(DarlTilgStart,12)),$J5511*($H5511+INDEX(DarlTilgung,12))/100/12,IF(AND($G5511=0,$G5510=1),MAX($K5510,$J5511*($H5511+1)/100/12),$K5510))))</f>
      </c>
      <c r="L5511" s="43">
        <f>IF($I5511=0,0,$J5511*$H5511/100/12)</f>
      </c>
      <c r="M5511" s="43">
        <f>IF($I5511=0,0,IF(OR(INDEX(DarlOhneTilgung,12)=1,AND(INDEX(DarlTilgStart,12)&gt;0,$E5511&lt;INDEX(DarlTilgStart,12))),0,MIN(MAX(0,$K5511-$L5511),$J5511)))</f>
      </c>
      <c r="N5511" s="43">
        <f>IF($I5511=0,0,MIN(SUMIFS(SondBetrag,SondDarl,12,SondDatum,"&gt;="&amp;$E5511,SondDatum,"&lt;="&amp;EOMONTH($E5511,0)),$J5511-$M5511))</f>
      </c>
      <c r="O5511" s="43">
        <f>IF($I5511=0,0,INDEX(DarlErsatzRate,12))</f>
      </c>
      <c r="P5511" s="43">
        <f>IF($I5511=0,0,$Q5510*INDEX(DarlErsatzZins,12))</f>
      </c>
      <c r="Q5511" s="43">
        <f>IF($I5511=0,0,$Q5510+$P5511+$O5511)</f>
      </c>
      <c r="R5511" s="43">
        <f>IF($I5511=0,0,$J5511-$M5511-$N5511)</f>
      </c>
    </row>
    <row r="5512">
      <c r="A5512"/>
      <c r="B5512">
        <v>12</v>
      </c>
      <c r="C5512" s="43">
        <f>INDEX(DarlObj,12)</f>
      </c>
      <c r="D5512">
        <v>229</v>
      </c>
      <c r="E5512" s="51">
        <f>IF(INDEX(DarlBelegt,12)=0,0,EOMONTH(INDEX(DarlAuszahlung,12),228)+1)</f>
      </c>
      <c r="F5512" s="43">
        <f>IF($E5512=0,0,YEAR($E5512))</f>
      </c>
      <c r="G5512" s="43">
        <f>IF(INDEX(DarlBindung,12)="",1,IF($E5512&lt;=INDEX(DarlBindung,12),1,0))</f>
      </c>
      <c r="H5512" s="43">
        <f>IF($G5512=1,INDEX(DarlSollzins,12),INDEX(DarlAnschluss,12))</f>
      </c>
      <c r="I5512" s="43">
        <f>IF(INDEX(DarlBelegt,12)=0,0,IF(INDEX(DarlOhneTilgung,12)=1,IF(INDEX(DarlBindung,12)="",1,$G5512),IF($J5512&gt;0.005,1,0)))</f>
      </c>
      <c r="J5512" s="43">
        <f>IF($I5511=0,0,$R5511)</f>
      </c>
      <c r="K5512" s="43">
        <f>IF($I5512=0,0,IF(INDEX(DarlOhneTilgung,12)=1,0,IF(AND(INDEX(DarlTilgStart,12)&gt;0,$E5512=INDEX(DarlTilgStart,12)),$J5512*($H5512+INDEX(DarlTilgung,12))/100/12,IF(AND($G5512=0,$G5511=1),MAX($K5511,$J5512*($H5512+1)/100/12),$K5511))))</f>
      </c>
      <c r="L5512" s="43">
        <f>IF($I5512=0,0,$J5512*$H5512/100/12)</f>
      </c>
      <c r="M5512" s="43">
        <f>IF($I5512=0,0,IF(OR(INDEX(DarlOhneTilgung,12)=1,AND(INDEX(DarlTilgStart,12)&gt;0,$E5512&lt;INDEX(DarlTilgStart,12))),0,MIN(MAX(0,$K5512-$L5512),$J5512)))</f>
      </c>
      <c r="N5512" s="43">
        <f>IF($I5512=0,0,MIN(SUMIFS(SondBetrag,SondDarl,12,SondDatum,"&gt;="&amp;$E5512,SondDatum,"&lt;="&amp;EOMONTH($E5512,0)),$J5512-$M5512))</f>
      </c>
      <c r="O5512" s="43">
        <f>IF($I5512=0,0,INDEX(DarlErsatzRate,12))</f>
      </c>
      <c r="P5512" s="43">
        <f>IF($I5512=0,0,$Q5511*INDEX(DarlErsatzZins,12))</f>
      </c>
      <c r="Q5512" s="43">
        <f>IF($I5512=0,0,$Q5511+$P5512+$O5512)</f>
      </c>
      <c r="R5512" s="43">
        <f>IF($I5512=0,0,$J5512-$M5512-$N5512)</f>
      </c>
    </row>
    <row r="5513">
      <c r="A5513"/>
      <c r="B5513">
        <v>12</v>
      </c>
      <c r="C5513" s="43">
        <f>INDEX(DarlObj,12)</f>
      </c>
      <c r="D5513">
        <v>230</v>
      </c>
      <c r="E5513" s="51">
        <f>IF(INDEX(DarlBelegt,12)=0,0,EOMONTH(INDEX(DarlAuszahlung,12),229)+1)</f>
      </c>
      <c r="F5513" s="43">
        <f>IF($E5513=0,0,YEAR($E5513))</f>
      </c>
      <c r="G5513" s="43">
        <f>IF(INDEX(DarlBindung,12)="",1,IF($E5513&lt;=INDEX(DarlBindung,12),1,0))</f>
      </c>
      <c r="H5513" s="43">
        <f>IF($G5513=1,INDEX(DarlSollzins,12),INDEX(DarlAnschluss,12))</f>
      </c>
      <c r="I5513" s="43">
        <f>IF(INDEX(DarlBelegt,12)=0,0,IF(INDEX(DarlOhneTilgung,12)=1,IF(INDEX(DarlBindung,12)="",1,$G5513),IF($J5513&gt;0.005,1,0)))</f>
      </c>
      <c r="J5513" s="43">
        <f>IF($I5512=0,0,$R5512)</f>
      </c>
      <c r="K5513" s="43">
        <f>IF($I5513=0,0,IF(INDEX(DarlOhneTilgung,12)=1,0,IF(AND(INDEX(DarlTilgStart,12)&gt;0,$E5513=INDEX(DarlTilgStart,12)),$J5513*($H5513+INDEX(DarlTilgung,12))/100/12,IF(AND($G5513=0,$G5512=1),MAX($K5512,$J5513*($H5513+1)/100/12),$K5512))))</f>
      </c>
      <c r="L5513" s="43">
        <f>IF($I5513=0,0,$J5513*$H5513/100/12)</f>
      </c>
      <c r="M5513" s="43">
        <f>IF($I5513=0,0,IF(OR(INDEX(DarlOhneTilgung,12)=1,AND(INDEX(DarlTilgStart,12)&gt;0,$E5513&lt;INDEX(DarlTilgStart,12))),0,MIN(MAX(0,$K5513-$L5513),$J5513)))</f>
      </c>
      <c r="N5513" s="43">
        <f>IF($I5513=0,0,MIN(SUMIFS(SondBetrag,SondDarl,12,SondDatum,"&gt;="&amp;$E5513,SondDatum,"&lt;="&amp;EOMONTH($E5513,0)),$J5513-$M5513))</f>
      </c>
      <c r="O5513" s="43">
        <f>IF($I5513=0,0,INDEX(DarlErsatzRate,12))</f>
      </c>
      <c r="P5513" s="43">
        <f>IF($I5513=0,0,$Q5512*INDEX(DarlErsatzZins,12))</f>
      </c>
      <c r="Q5513" s="43">
        <f>IF($I5513=0,0,$Q5512+$P5513+$O5513)</f>
      </c>
      <c r="R5513" s="43">
        <f>IF($I5513=0,0,$J5513-$M5513-$N5513)</f>
      </c>
    </row>
    <row r="5514">
      <c r="A5514"/>
      <c r="B5514">
        <v>12</v>
      </c>
      <c r="C5514" s="43">
        <f>INDEX(DarlObj,12)</f>
      </c>
      <c r="D5514">
        <v>231</v>
      </c>
      <c r="E5514" s="51">
        <f>IF(INDEX(DarlBelegt,12)=0,0,EOMONTH(INDEX(DarlAuszahlung,12),230)+1)</f>
      </c>
      <c r="F5514" s="43">
        <f>IF($E5514=0,0,YEAR($E5514))</f>
      </c>
      <c r="G5514" s="43">
        <f>IF(INDEX(DarlBindung,12)="",1,IF($E5514&lt;=INDEX(DarlBindung,12),1,0))</f>
      </c>
      <c r="H5514" s="43">
        <f>IF($G5514=1,INDEX(DarlSollzins,12),INDEX(DarlAnschluss,12))</f>
      </c>
      <c r="I5514" s="43">
        <f>IF(INDEX(DarlBelegt,12)=0,0,IF(INDEX(DarlOhneTilgung,12)=1,IF(INDEX(DarlBindung,12)="",1,$G5514),IF($J5514&gt;0.005,1,0)))</f>
      </c>
      <c r="J5514" s="43">
        <f>IF($I5513=0,0,$R5513)</f>
      </c>
      <c r="K5514" s="43">
        <f>IF($I5514=0,0,IF(INDEX(DarlOhneTilgung,12)=1,0,IF(AND(INDEX(DarlTilgStart,12)&gt;0,$E5514=INDEX(DarlTilgStart,12)),$J5514*($H5514+INDEX(DarlTilgung,12))/100/12,IF(AND($G5514=0,$G5513=1),MAX($K5513,$J5514*($H5514+1)/100/12),$K5513))))</f>
      </c>
      <c r="L5514" s="43">
        <f>IF($I5514=0,0,$J5514*$H5514/100/12)</f>
      </c>
      <c r="M5514" s="43">
        <f>IF($I5514=0,0,IF(OR(INDEX(DarlOhneTilgung,12)=1,AND(INDEX(DarlTilgStart,12)&gt;0,$E5514&lt;INDEX(DarlTilgStart,12))),0,MIN(MAX(0,$K5514-$L5514),$J5514)))</f>
      </c>
      <c r="N5514" s="43">
        <f>IF($I5514=0,0,MIN(SUMIFS(SondBetrag,SondDarl,12,SondDatum,"&gt;="&amp;$E5514,SondDatum,"&lt;="&amp;EOMONTH($E5514,0)),$J5514-$M5514))</f>
      </c>
      <c r="O5514" s="43">
        <f>IF($I5514=0,0,INDEX(DarlErsatzRate,12))</f>
      </c>
      <c r="P5514" s="43">
        <f>IF($I5514=0,0,$Q5513*INDEX(DarlErsatzZins,12))</f>
      </c>
      <c r="Q5514" s="43">
        <f>IF($I5514=0,0,$Q5513+$P5514+$O5514)</f>
      </c>
      <c r="R5514" s="43">
        <f>IF($I5514=0,0,$J5514-$M5514-$N5514)</f>
      </c>
    </row>
    <row r="5515">
      <c r="A5515"/>
      <c r="B5515">
        <v>12</v>
      </c>
      <c r="C5515" s="43">
        <f>INDEX(DarlObj,12)</f>
      </c>
      <c r="D5515">
        <v>232</v>
      </c>
      <c r="E5515" s="51">
        <f>IF(INDEX(DarlBelegt,12)=0,0,EOMONTH(INDEX(DarlAuszahlung,12),231)+1)</f>
      </c>
      <c r="F5515" s="43">
        <f>IF($E5515=0,0,YEAR($E5515))</f>
      </c>
      <c r="G5515" s="43">
        <f>IF(INDEX(DarlBindung,12)="",1,IF($E5515&lt;=INDEX(DarlBindung,12),1,0))</f>
      </c>
      <c r="H5515" s="43">
        <f>IF($G5515=1,INDEX(DarlSollzins,12),INDEX(DarlAnschluss,12))</f>
      </c>
      <c r="I5515" s="43">
        <f>IF(INDEX(DarlBelegt,12)=0,0,IF(INDEX(DarlOhneTilgung,12)=1,IF(INDEX(DarlBindung,12)="",1,$G5515),IF($J5515&gt;0.005,1,0)))</f>
      </c>
      <c r="J5515" s="43">
        <f>IF($I5514=0,0,$R5514)</f>
      </c>
      <c r="K5515" s="43">
        <f>IF($I5515=0,0,IF(INDEX(DarlOhneTilgung,12)=1,0,IF(AND(INDEX(DarlTilgStart,12)&gt;0,$E5515=INDEX(DarlTilgStart,12)),$J5515*($H5515+INDEX(DarlTilgung,12))/100/12,IF(AND($G5515=0,$G5514=1),MAX($K5514,$J5515*($H5515+1)/100/12),$K5514))))</f>
      </c>
      <c r="L5515" s="43">
        <f>IF($I5515=0,0,$J5515*$H5515/100/12)</f>
      </c>
      <c r="M5515" s="43">
        <f>IF($I5515=0,0,IF(OR(INDEX(DarlOhneTilgung,12)=1,AND(INDEX(DarlTilgStart,12)&gt;0,$E5515&lt;INDEX(DarlTilgStart,12))),0,MIN(MAX(0,$K5515-$L5515),$J5515)))</f>
      </c>
      <c r="N5515" s="43">
        <f>IF($I5515=0,0,MIN(SUMIFS(SondBetrag,SondDarl,12,SondDatum,"&gt;="&amp;$E5515,SondDatum,"&lt;="&amp;EOMONTH($E5515,0)),$J5515-$M5515))</f>
      </c>
      <c r="O5515" s="43">
        <f>IF($I5515=0,0,INDEX(DarlErsatzRate,12))</f>
      </c>
      <c r="P5515" s="43">
        <f>IF($I5515=0,0,$Q5514*INDEX(DarlErsatzZins,12))</f>
      </c>
      <c r="Q5515" s="43">
        <f>IF($I5515=0,0,$Q5514+$P5515+$O5515)</f>
      </c>
      <c r="R5515" s="43">
        <f>IF($I5515=0,0,$J5515-$M5515-$N5515)</f>
      </c>
    </row>
    <row r="5516">
      <c r="A5516"/>
      <c r="B5516">
        <v>12</v>
      </c>
      <c r="C5516" s="43">
        <f>INDEX(DarlObj,12)</f>
      </c>
      <c r="D5516">
        <v>233</v>
      </c>
      <c r="E5516" s="51">
        <f>IF(INDEX(DarlBelegt,12)=0,0,EOMONTH(INDEX(DarlAuszahlung,12),232)+1)</f>
      </c>
      <c r="F5516" s="43">
        <f>IF($E5516=0,0,YEAR($E5516))</f>
      </c>
      <c r="G5516" s="43">
        <f>IF(INDEX(DarlBindung,12)="",1,IF($E5516&lt;=INDEX(DarlBindung,12),1,0))</f>
      </c>
      <c r="H5516" s="43">
        <f>IF($G5516=1,INDEX(DarlSollzins,12),INDEX(DarlAnschluss,12))</f>
      </c>
      <c r="I5516" s="43">
        <f>IF(INDEX(DarlBelegt,12)=0,0,IF(INDEX(DarlOhneTilgung,12)=1,IF(INDEX(DarlBindung,12)="",1,$G5516),IF($J5516&gt;0.005,1,0)))</f>
      </c>
      <c r="J5516" s="43">
        <f>IF($I5515=0,0,$R5515)</f>
      </c>
      <c r="K5516" s="43">
        <f>IF($I5516=0,0,IF(INDEX(DarlOhneTilgung,12)=1,0,IF(AND(INDEX(DarlTilgStart,12)&gt;0,$E5516=INDEX(DarlTilgStart,12)),$J5516*($H5516+INDEX(DarlTilgung,12))/100/12,IF(AND($G5516=0,$G5515=1),MAX($K5515,$J5516*($H5516+1)/100/12),$K5515))))</f>
      </c>
      <c r="L5516" s="43">
        <f>IF($I5516=0,0,$J5516*$H5516/100/12)</f>
      </c>
      <c r="M5516" s="43">
        <f>IF($I5516=0,0,IF(OR(INDEX(DarlOhneTilgung,12)=1,AND(INDEX(DarlTilgStart,12)&gt;0,$E5516&lt;INDEX(DarlTilgStart,12))),0,MIN(MAX(0,$K5516-$L5516),$J5516)))</f>
      </c>
      <c r="N5516" s="43">
        <f>IF($I5516=0,0,MIN(SUMIFS(SondBetrag,SondDarl,12,SondDatum,"&gt;="&amp;$E5516,SondDatum,"&lt;="&amp;EOMONTH($E5516,0)),$J5516-$M5516))</f>
      </c>
      <c r="O5516" s="43">
        <f>IF($I5516=0,0,INDEX(DarlErsatzRate,12))</f>
      </c>
      <c r="P5516" s="43">
        <f>IF($I5516=0,0,$Q5515*INDEX(DarlErsatzZins,12))</f>
      </c>
      <c r="Q5516" s="43">
        <f>IF($I5516=0,0,$Q5515+$P5516+$O5516)</f>
      </c>
      <c r="R5516" s="43">
        <f>IF($I5516=0,0,$J5516-$M5516-$N5516)</f>
      </c>
    </row>
    <row r="5517">
      <c r="A5517"/>
      <c r="B5517">
        <v>12</v>
      </c>
      <c r="C5517" s="43">
        <f>INDEX(DarlObj,12)</f>
      </c>
      <c r="D5517">
        <v>234</v>
      </c>
      <c r="E5517" s="51">
        <f>IF(INDEX(DarlBelegt,12)=0,0,EOMONTH(INDEX(DarlAuszahlung,12),233)+1)</f>
      </c>
      <c r="F5517" s="43">
        <f>IF($E5517=0,0,YEAR($E5517))</f>
      </c>
      <c r="G5517" s="43">
        <f>IF(INDEX(DarlBindung,12)="",1,IF($E5517&lt;=INDEX(DarlBindung,12),1,0))</f>
      </c>
      <c r="H5517" s="43">
        <f>IF($G5517=1,INDEX(DarlSollzins,12),INDEX(DarlAnschluss,12))</f>
      </c>
      <c r="I5517" s="43">
        <f>IF(INDEX(DarlBelegt,12)=0,0,IF(INDEX(DarlOhneTilgung,12)=1,IF(INDEX(DarlBindung,12)="",1,$G5517),IF($J5517&gt;0.005,1,0)))</f>
      </c>
      <c r="J5517" s="43">
        <f>IF($I5516=0,0,$R5516)</f>
      </c>
      <c r="K5517" s="43">
        <f>IF($I5517=0,0,IF(INDEX(DarlOhneTilgung,12)=1,0,IF(AND(INDEX(DarlTilgStart,12)&gt;0,$E5517=INDEX(DarlTilgStart,12)),$J5517*($H5517+INDEX(DarlTilgung,12))/100/12,IF(AND($G5517=0,$G5516=1),MAX($K5516,$J5517*($H5517+1)/100/12),$K5516))))</f>
      </c>
      <c r="L5517" s="43">
        <f>IF($I5517=0,0,$J5517*$H5517/100/12)</f>
      </c>
      <c r="M5517" s="43">
        <f>IF($I5517=0,0,IF(OR(INDEX(DarlOhneTilgung,12)=1,AND(INDEX(DarlTilgStart,12)&gt;0,$E5517&lt;INDEX(DarlTilgStart,12))),0,MIN(MAX(0,$K5517-$L5517),$J5517)))</f>
      </c>
      <c r="N5517" s="43">
        <f>IF($I5517=0,0,MIN(SUMIFS(SondBetrag,SondDarl,12,SondDatum,"&gt;="&amp;$E5517,SondDatum,"&lt;="&amp;EOMONTH($E5517,0)),$J5517-$M5517))</f>
      </c>
      <c r="O5517" s="43">
        <f>IF($I5517=0,0,INDEX(DarlErsatzRate,12))</f>
      </c>
      <c r="P5517" s="43">
        <f>IF($I5517=0,0,$Q5516*INDEX(DarlErsatzZins,12))</f>
      </c>
      <c r="Q5517" s="43">
        <f>IF($I5517=0,0,$Q5516+$P5517+$O5517)</f>
      </c>
      <c r="R5517" s="43">
        <f>IF($I5517=0,0,$J5517-$M5517-$N5517)</f>
      </c>
    </row>
    <row r="5518">
      <c r="A5518"/>
      <c r="B5518">
        <v>12</v>
      </c>
      <c r="C5518" s="43">
        <f>INDEX(DarlObj,12)</f>
      </c>
      <c r="D5518">
        <v>235</v>
      </c>
      <c r="E5518" s="51">
        <f>IF(INDEX(DarlBelegt,12)=0,0,EOMONTH(INDEX(DarlAuszahlung,12),234)+1)</f>
      </c>
      <c r="F5518" s="43">
        <f>IF($E5518=0,0,YEAR($E5518))</f>
      </c>
      <c r="G5518" s="43">
        <f>IF(INDEX(DarlBindung,12)="",1,IF($E5518&lt;=INDEX(DarlBindung,12),1,0))</f>
      </c>
      <c r="H5518" s="43">
        <f>IF($G5518=1,INDEX(DarlSollzins,12),INDEX(DarlAnschluss,12))</f>
      </c>
      <c r="I5518" s="43">
        <f>IF(INDEX(DarlBelegt,12)=0,0,IF(INDEX(DarlOhneTilgung,12)=1,IF(INDEX(DarlBindung,12)="",1,$G5518),IF($J5518&gt;0.005,1,0)))</f>
      </c>
      <c r="J5518" s="43">
        <f>IF($I5517=0,0,$R5517)</f>
      </c>
      <c r="K5518" s="43">
        <f>IF($I5518=0,0,IF(INDEX(DarlOhneTilgung,12)=1,0,IF(AND(INDEX(DarlTilgStart,12)&gt;0,$E5518=INDEX(DarlTilgStart,12)),$J5518*($H5518+INDEX(DarlTilgung,12))/100/12,IF(AND($G5518=0,$G5517=1),MAX($K5517,$J5518*($H5518+1)/100/12),$K5517))))</f>
      </c>
      <c r="L5518" s="43">
        <f>IF($I5518=0,0,$J5518*$H5518/100/12)</f>
      </c>
      <c r="M5518" s="43">
        <f>IF($I5518=0,0,IF(OR(INDEX(DarlOhneTilgung,12)=1,AND(INDEX(DarlTilgStart,12)&gt;0,$E5518&lt;INDEX(DarlTilgStart,12))),0,MIN(MAX(0,$K5518-$L5518),$J5518)))</f>
      </c>
      <c r="N5518" s="43">
        <f>IF($I5518=0,0,MIN(SUMIFS(SondBetrag,SondDarl,12,SondDatum,"&gt;="&amp;$E5518,SondDatum,"&lt;="&amp;EOMONTH($E5518,0)),$J5518-$M5518))</f>
      </c>
      <c r="O5518" s="43">
        <f>IF($I5518=0,0,INDEX(DarlErsatzRate,12))</f>
      </c>
      <c r="P5518" s="43">
        <f>IF($I5518=0,0,$Q5517*INDEX(DarlErsatzZins,12))</f>
      </c>
      <c r="Q5518" s="43">
        <f>IF($I5518=0,0,$Q5517+$P5518+$O5518)</f>
      </c>
      <c r="R5518" s="43">
        <f>IF($I5518=0,0,$J5518-$M5518-$N5518)</f>
      </c>
    </row>
    <row r="5519">
      <c r="A5519"/>
      <c r="B5519">
        <v>12</v>
      </c>
      <c r="C5519" s="43">
        <f>INDEX(DarlObj,12)</f>
      </c>
      <c r="D5519">
        <v>236</v>
      </c>
      <c r="E5519" s="51">
        <f>IF(INDEX(DarlBelegt,12)=0,0,EOMONTH(INDEX(DarlAuszahlung,12),235)+1)</f>
      </c>
      <c r="F5519" s="43">
        <f>IF($E5519=0,0,YEAR($E5519))</f>
      </c>
      <c r="G5519" s="43">
        <f>IF(INDEX(DarlBindung,12)="",1,IF($E5519&lt;=INDEX(DarlBindung,12),1,0))</f>
      </c>
      <c r="H5519" s="43">
        <f>IF($G5519=1,INDEX(DarlSollzins,12),INDEX(DarlAnschluss,12))</f>
      </c>
      <c r="I5519" s="43">
        <f>IF(INDEX(DarlBelegt,12)=0,0,IF(INDEX(DarlOhneTilgung,12)=1,IF(INDEX(DarlBindung,12)="",1,$G5519),IF($J5519&gt;0.005,1,0)))</f>
      </c>
      <c r="J5519" s="43">
        <f>IF($I5518=0,0,$R5518)</f>
      </c>
      <c r="K5519" s="43">
        <f>IF($I5519=0,0,IF(INDEX(DarlOhneTilgung,12)=1,0,IF(AND(INDEX(DarlTilgStart,12)&gt;0,$E5519=INDEX(DarlTilgStart,12)),$J5519*($H5519+INDEX(DarlTilgung,12))/100/12,IF(AND($G5519=0,$G5518=1),MAX($K5518,$J5519*($H5519+1)/100/12),$K5518))))</f>
      </c>
      <c r="L5519" s="43">
        <f>IF($I5519=0,0,$J5519*$H5519/100/12)</f>
      </c>
      <c r="M5519" s="43">
        <f>IF($I5519=0,0,IF(OR(INDEX(DarlOhneTilgung,12)=1,AND(INDEX(DarlTilgStart,12)&gt;0,$E5519&lt;INDEX(DarlTilgStart,12))),0,MIN(MAX(0,$K5519-$L5519),$J5519)))</f>
      </c>
      <c r="N5519" s="43">
        <f>IF($I5519=0,0,MIN(SUMIFS(SondBetrag,SondDarl,12,SondDatum,"&gt;="&amp;$E5519,SondDatum,"&lt;="&amp;EOMONTH($E5519,0)),$J5519-$M5519))</f>
      </c>
      <c r="O5519" s="43">
        <f>IF($I5519=0,0,INDEX(DarlErsatzRate,12))</f>
      </c>
      <c r="P5519" s="43">
        <f>IF($I5519=0,0,$Q5518*INDEX(DarlErsatzZins,12))</f>
      </c>
      <c r="Q5519" s="43">
        <f>IF($I5519=0,0,$Q5518+$P5519+$O5519)</f>
      </c>
      <c r="R5519" s="43">
        <f>IF($I5519=0,0,$J5519-$M5519-$N5519)</f>
      </c>
    </row>
    <row r="5520">
      <c r="A5520"/>
      <c r="B5520">
        <v>12</v>
      </c>
      <c r="C5520" s="43">
        <f>INDEX(DarlObj,12)</f>
      </c>
      <c r="D5520">
        <v>237</v>
      </c>
      <c r="E5520" s="51">
        <f>IF(INDEX(DarlBelegt,12)=0,0,EOMONTH(INDEX(DarlAuszahlung,12),236)+1)</f>
      </c>
      <c r="F5520" s="43">
        <f>IF($E5520=0,0,YEAR($E5520))</f>
      </c>
      <c r="G5520" s="43">
        <f>IF(INDEX(DarlBindung,12)="",1,IF($E5520&lt;=INDEX(DarlBindung,12),1,0))</f>
      </c>
      <c r="H5520" s="43">
        <f>IF($G5520=1,INDEX(DarlSollzins,12),INDEX(DarlAnschluss,12))</f>
      </c>
      <c r="I5520" s="43">
        <f>IF(INDEX(DarlBelegt,12)=0,0,IF(INDEX(DarlOhneTilgung,12)=1,IF(INDEX(DarlBindung,12)="",1,$G5520),IF($J5520&gt;0.005,1,0)))</f>
      </c>
      <c r="J5520" s="43">
        <f>IF($I5519=0,0,$R5519)</f>
      </c>
      <c r="K5520" s="43">
        <f>IF($I5520=0,0,IF(INDEX(DarlOhneTilgung,12)=1,0,IF(AND(INDEX(DarlTilgStart,12)&gt;0,$E5520=INDEX(DarlTilgStart,12)),$J5520*($H5520+INDEX(DarlTilgung,12))/100/12,IF(AND($G5520=0,$G5519=1),MAX($K5519,$J5520*($H5520+1)/100/12),$K5519))))</f>
      </c>
      <c r="L5520" s="43">
        <f>IF($I5520=0,0,$J5520*$H5520/100/12)</f>
      </c>
      <c r="M5520" s="43">
        <f>IF($I5520=0,0,IF(OR(INDEX(DarlOhneTilgung,12)=1,AND(INDEX(DarlTilgStart,12)&gt;0,$E5520&lt;INDEX(DarlTilgStart,12))),0,MIN(MAX(0,$K5520-$L5520),$J5520)))</f>
      </c>
      <c r="N5520" s="43">
        <f>IF($I5520=0,0,MIN(SUMIFS(SondBetrag,SondDarl,12,SondDatum,"&gt;="&amp;$E5520,SondDatum,"&lt;="&amp;EOMONTH($E5520,0)),$J5520-$M5520))</f>
      </c>
      <c r="O5520" s="43">
        <f>IF($I5520=0,0,INDEX(DarlErsatzRate,12))</f>
      </c>
      <c r="P5520" s="43">
        <f>IF($I5520=0,0,$Q5519*INDEX(DarlErsatzZins,12))</f>
      </c>
      <c r="Q5520" s="43">
        <f>IF($I5520=0,0,$Q5519+$P5520+$O5520)</f>
      </c>
      <c r="R5520" s="43">
        <f>IF($I5520=0,0,$J5520-$M5520-$N5520)</f>
      </c>
    </row>
    <row r="5521">
      <c r="A5521"/>
      <c r="B5521">
        <v>12</v>
      </c>
      <c r="C5521" s="43">
        <f>INDEX(DarlObj,12)</f>
      </c>
      <c r="D5521">
        <v>238</v>
      </c>
      <c r="E5521" s="51">
        <f>IF(INDEX(DarlBelegt,12)=0,0,EOMONTH(INDEX(DarlAuszahlung,12),237)+1)</f>
      </c>
      <c r="F5521" s="43">
        <f>IF($E5521=0,0,YEAR($E5521))</f>
      </c>
      <c r="G5521" s="43">
        <f>IF(INDEX(DarlBindung,12)="",1,IF($E5521&lt;=INDEX(DarlBindung,12),1,0))</f>
      </c>
      <c r="H5521" s="43">
        <f>IF($G5521=1,INDEX(DarlSollzins,12),INDEX(DarlAnschluss,12))</f>
      </c>
      <c r="I5521" s="43">
        <f>IF(INDEX(DarlBelegt,12)=0,0,IF(INDEX(DarlOhneTilgung,12)=1,IF(INDEX(DarlBindung,12)="",1,$G5521),IF($J5521&gt;0.005,1,0)))</f>
      </c>
      <c r="J5521" s="43">
        <f>IF($I5520=0,0,$R5520)</f>
      </c>
      <c r="K5521" s="43">
        <f>IF($I5521=0,0,IF(INDEX(DarlOhneTilgung,12)=1,0,IF(AND(INDEX(DarlTilgStart,12)&gt;0,$E5521=INDEX(DarlTilgStart,12)),$J5521*($H5521+INDEX(DarlTilgung,12))/100/12,IF(AND($G5521=0,$G5520=1),MAX($K5520,$J5521*($H5521+1)/100/12),$K5520))))</f>
      </c>
      <c r="L5521" s="43">
        <f>IF($I5521=0,0,$J5521*$H5521/100/12)</f>
      </c>
      <c r="M5521" s="43">
        <f>IF($I5521=0,0,IF(OR(INDEX(DarlOhneTilgung,12)=1,AND(INDEX(DarlTilgStart,12)&gt;0,$E5521&lt;INDEX(DarlTilgStart,12))),0,MIN(MAX(0,$K5521-$L5521),$J5521)))</f>
      </c>
      <c r="N5521" s="43">
        <f>IF($I5521=0,0,MIN(SUMIFS(SondBetrag,SondDarl,12,SondDatum,"&gt;="&amp;$E5521,SondDatum,"&lt;="&amp;EOMONTH($E5521,0)),$J5521-$M5521))</f>
      </c>
      <c r="O5521" s="43">
        <f>IF($I5521=0,0,INDEX(DarlErsatzRate,12))</f>
      </c>
      <c r="P5521" s="43">
        <f>IF($I5521=0,0,$Q5520*INDEX(DarlErsatzZins,12))</f>
      </c>
      <c r="Q5521" s="43">
        <f>IF($I5521=0,0,$Q5520+$P5521+$O5521)</f>
      </c>
      <c r="R5521" s="43">
        <f>IF($I5521=0,0,$J5521-$M5521-$N5521)</f>
      </c>
    </row>
    <row r="5522">
      <c r="A5522"/>
      <c r="B5522">
        <v>12</v>
      </c>
      <c r="C5522" s="43">
        <f>INDEX(DarlObj,12)</f>
      </c>
      <c r="D5522">
        <v>239</v>
      </c>
      <c r="E5522" s="51">
        <f>IF(INDEX(DarlBelegt,12)=0,0,EOMONTH(INDEX(DarlAuszahlung,12),238)+1)</f>
      </c>
      <c r="F5522" s="43">
        <f>IF($E5522=0,0,YEAR($E5522))</f>
      </c>
      <c r="G5522" s="43">
        <f>IF(INDEX(DarlBindung,12)="",1,IF($E5522&lt;=INDEX(DarlBindung,12),1,0))</f>
      </c>
      <c r="H5522" s="43">
        <f>IF($G5522=1,INDEX(DarlSollzins,12),INDEX(DarlAnschluss,12))</f>
      </c>
      <c r="I5522" s="43">
        <f>IF(INDEX(DarlBelegt,12)=0,0,IF(INDEX(DarlOhneTilgung,12)=1,IF(INDEX(DarlBindung,12)="",1,$G5522),IF($J5522&gt;0.005,1,0)))</f>
      </c>
      <c r="J5522" s="43">
        <f>IF($I5521=0,0,$R5521)</f>
      </c>
      <c r="K5522" s="43">
        <f>IF($I5522=0,0,IF(INDEX(DarlOhneTilgung,12)=1,0,IF(AND(INDEX(DarlTilgStart,12)&gt;0,$E5522=INDEX(DarlTilgStart,12)),$J5522*($H5522+INDEX(DarlTilgung,12))/100/12,IF(AND($G5522=0,$G5521=1),MAX($K5521,$J5522*($H5522+1)/100/12),$K5521))))</f>
      </c>
      <c r="L5522" s="43">
        <f>IF($I5522=0,0,$J5522*$H5522/100/12)</f>
      </c>
      <c r="M5522" s="43">
        <f>IF($I5522=0,0,IF(OR(INDEX(DarlOhneTilgung,12)=1,AND(INDEX(DarlTilgStart,12)&gt;0,$E5522&lt;INDEX(DarlTilgStart,12))),0,MIN(MAX(0,$K5522-$L5522),$J5522)))</f>
      </c>
      <c r="N5522" s="43">
        <f>IF($I5522=0,0,MIN(SUMIFS(SondBetrag,SondDarl,12,SondDatum,"&gt;="&amp;$E5522,SondDatum,"&lt;="&amp;EOMONTH($E5522,0)),$J5522-$M5522))</f>
      </c>
      <c r="O5522" s="43">
        <f>IF($I5522=0,0,INDEX(DarlErsatzRate,12))</f>
      </c>
      <c r="P5522" s="43">
        <f>IF($I5522=0,0,$Q5521*INDEX(DarlErsatzZins,12))</f>
      </c>
      <c r="Q5522" s="43">
        <f>IF($I5522=0,0,$Q5521+$P5522+$O5522)</f>
      </c>
      <c r="R5522" s="43">
        <f>IF($I5522=0,0,$J5522-$M5522-$N5522)</f>
      </c>
    </row>
    <row r="5523">
      <c r="A5523"/>
      <c r="B5523">
        <v>12</v>
      </c>
      <c r="C5523" s="43">
        <f>INDEX(DarlObj,12)</f>
      </c>
      <c r="D5523">
        <v>240</v>
      </c>
      <c r="E5523" s="51">
        <f>IF(INDEX(DarlBelegt,12)=0,0,EOMONTH(INDEX(DarlAuszahlung,12),239)+1)</f>
      </c>
      <c r="F5523" s="43">
        <f>IF($E5523=0,0,YEAR($E5523))</f>
      </c>
      <c r="G5523" s="43">
        <f>IF(INDEX(DarlBindung,12)="",1,IF($E5523&lt;=INDEX(DarlBindung,12),1,0))</f>
      </c>
      <c r="H5523" s="43">
        <f>IF($G5523=1,INDEX(DarlSollzins,12),INDEX(DarlAnschluss,12))</f>
      </c>
      <c r="I5523" s="43">
        <f>IF(INDEX(DarlBelegt,12)=0,0,IF(INDEX(DarlOhneTilgung,12)=1,IF(INDEX(DarlBindung,12)="",1,$G5523),IF($J5523&gt;0.005,1,0)))</f>
      </c>
      <c r="J5523" s="43">
        <f>IF($I5522=0,0,$R5522)</f>
      </c>
      <c r="K5523" s="43">
        <f>IF($I5523=0,0,IF(INDEX(DarlOhneTilgung,12)=1,0,IF(AND(INDEX(DarlTilgStart,12)&gt;0,$E5523=INDEX(DarlTilgStart,12)),$J5523*($H5523+INDEX(DarlTilgung,12))/100/12,IF(AND($G5523=0,$G5522=1),MAX($K5522,$J5523*($H5523+1)/100/12),$K5522))))</f>
      </c>
      <c r="L5523" s="43">
        <f>IF($I5523=0,0,$J5523*$H5523/100/12)</f>
      </c>
      <c r="M5523" s="43">
        <f>IF($I5523=0,0,IF(OR(INDEX(DarlOhneTilgung,12)=1,AND(INDEX(DarlTilgStart,12)&gt;0,$E5523&lt;INDEX(DarlTilgStart,12))),0,MIN(MAX(0,$K5523-$L5523),$J5523)))</f>
      </c>
      <c r="N5523" s="43">
        <f>IF($I5523=0,0,MIN(SUMIFS(SondBetrag,SondDarl,12,SondDatum,"&gt;="&amp;$E5523,SondDatum,"&lt;="&amp;EOMONTH($E5523,0)),$J5523-$M5523))</f>
      </c>
      <c r="O5523" s="43">
        <f>IF($I5523=0,0,INDEX(DarlErsatzRate,12))</f>
      </c>
      <c r="P5523" s="43">
        <f>IF($I5523=0,0,$Q5522*INDEX(DarlErsatzZins,12))</f>
      </c>
      <c r="Q5523" s="43">
        <f>IF($I5523=0,0,$Q5522+$P5523+$O5523)</f>
      </c>
      <c r="R5523" s="43">
        <f>IF($I5523=0,0,$J5523-$M5523-$N5523)</f>
      </c>
    </row>
    <row r="5524">
      <c r="A5524"/>
      <c r="B5524">
        <v>12</v>
      </c>
      <c r="C5524" s="43">
        <f>INDEX(DarlObj,12)</f>
      </c>
      <c r="D5524">
        <v>241</v>
      </c>
      <c r="E5524" s="51">
        <f>IF(INDEX(DarlBelegt,12)=0,0,EOMONTH(INDEX(DarlAuszahlung,12),240)+1)</f>
      </c>
      <c r="F5524" s="43">
        <f>IF($E5524=0,0,YEAR($E5524))</f>
      </c>
      <c r="G5524" s="43">
        <f>IF(INDEX(DarlBindung,12)="",1,IF($E5524&lt;=INDEX(DarlBindung,12),1,0))</f>
      </c>
      <c r="H5524" s="43">
        <f>IF($G5524=1,INDEX(DarlSollzins,12),INDEX(DarlAnschluss,12))</f>
      </c>
      <c r="I5524" s="43">
        <f>IF(INDEX(DarlBelegt,12)=0,0,IF(INDEX(DarlOhneTilgung,12)=1,IF(INDEX(DarlBindung,12)="",1,$G5524),IF($J5524&gt;0.005,1,0)))</f>
      </c>
      <c r="J5524" s="43">
        <f>IF($I5523=0,0,$R5523)</f>
      </c>
      <c r="K5524" s="43">
        <f>IF($I5524=0,0,IF(INDEX(DarlOhneTilgung,12)=1,0,IF(AND(INDEX(DarlTilgStart,12)&gt;0,$E5524=INDEX(DarlTilgStart,12)),$J5524*($H5524+INDEX(DarlTilgung,12))/100/12,IF(AND($G5524=0,$G5523=1),MAX($K5523,$J5524*($H5524+1)/100/12),$K5523))))</f>
      </c>
      <c r="L5524" s="43">
        <f>IF($I5524=0,0,$J5524*$H5524/100/12)</f>
      </c>
      <c r="M5524" s="43">
        <f>IF($I5524=0,0,IF(OR(INDEX(DarlOhneTilgung,12)=1,AND(INDEX(DarlTilgStart,12)&gt;0,$E5524&lt;INDEX(DarlTilgStart,12))),0,MIN(MAX(0,$K5524-$L5524),$J5524)))</f>
      </c>
      <c r="N5524" s="43">
        <f>IF($I5524=0,0,MIN(SUMIFS(SondBetrag,SondDarl,12,SondDatum,"&gt;="&amp;$E5524,SondDatum,"&lt;="&amp;EOMONTH($E5524,0)),$J5524-$M5524))</f>
      </c>
      <c r="O5524" s="43">
        <f>IF($I5524=0,0,INDEX(DarlErsatzRate,12))</f>
      </c>
      <c r="P5524" s="43">
        <f>IF($I5524=0,0,$Q5523*INDEX(DarlErsatzZins,12))</f>
      </c>
      <c r="Q5524" s="43">
        <f>IF($I5524=0,0,$Q5523+$P5524+$O5524)</f>
      </c>
      <c r="R5524" s="43">
        <f>IF($I5524=0,0,$J5524-$M5524-$N5524)</f>
      </c>
    </row>
    <row r="5525">
      <c r="A5525"/>
      <c r="B5525">
        <v>12</v>
      </c>
      <c r="C5525" s="43">
        <f>INDEX(DarlObj,12)</f>
      </c>
      <c r="D5525">
        <v>242</v>
      </c>
      <c r="E5525" s="51">
        <f>IF(INDEX(DarlBelegt,12)=0,0,EOMONTH(INDEX(DarlAuszahlung,12),241)+1)</f>
      </c>
      <c r="F5525" s="43">
        <f>IF($E5525=0,0,YEAR($E5525))</f>
      </c>
      <c r="G5525" s="43">
        <f>IF(INDEX(DarlBindung,12)="",1,IF($E5525&lt;=INDEX(DarlBindung,12),1,0))</f>
      </c>
      <c r="H5525" s="43">
        <f>IF($G5525=1,INDEX(DarlSollzins,12),INDEX(DarlAnschluss,12))</f>
      </c>
      <c r="I5525" s="43">
        <f>IF(INDEX(DarlBelegt,12)=0,0,IF(INDEX(DarlOhneTilgung,12)=1,IF(INDEX(DarlBindung,12)="",1,$G5525),IF($J5525&gt;0.005,1,0)))</f>
      </c>
      <c r="J5525" s="43">
        <f>IF($I5524=0,0,$R5524)</f>
      </c>
      <c r="K5525" s="43">
        <f>IF($I5525=0,0,IF(INDEX(DarlOhneTilgung,12)=1,0,IF(AND(INDEX(DarlTilgStart,12)&gt;0,$E5525=INDEX(DarlTilgStart,12)),$J5525*($H5525+INDEX(DarlTilgung,12))/100/12,IF(AND($G5525=0,$G5524=1),MAX($K5524,$J5525*($H5525+1)/100/12),$K5524))))</f>
      </c>
      <c r="L5525" s="43">
        <f>IF($I5525=0,0,$J5525*$H5525/100/12)</f>
      </c>
      <c r="M5525" s="43">
        <f>IF($I5525=0,0,IF(OR(INDEX(DarlOhneTilgung,12)=1,AND(INDEX(DarlTilgStart,12)&gt;0,$E5525&lt;INDEX(DarlTilgStart,12))),0,MIN(MAX(0,$K5525-$L5525),$J5525)))</f>
      </c>
      <c r="N5525" s="43">
        <f>IF($I5525=0,0,MIN(SUMIFS(SondBetrag,SondDarl,12,SondDatum,"&gt;="&amp;$E5525,SondDatum,"&lt;="&amp;EOMONTH($E5525,0)),$J5525-$M5525))</f>
      </c>
      <c r="O5525" s="43">
        <f>IF($I5525=0,0,INDEX(DarlErsatzRate,12))</f>
      </c>
      <c r="P5525" s="43">
        <f>IF($I5525=0,0,$Q5524*INDEX(DarlErsatzZins,12))</f>
      </c>
      <c r="Q5525" s="43">
        <f>IF($I5525=0,0,$Q5524+$P5525+$O5525)</f>
      </c>
      <c r="R5525" s="43">
        <f>IF($I5525=0,0,$J5525-$M5525-$N5525)</f>
      </c>
    </row>
    <row r="5526">
      <c r="A5526"/>
      <c r="B5526">
        <v>12</v>
      </c>
      <c r="C5526" s="43">
        <f>INDEX(DarlObj,12)</f>
      </c>
      <c r="D5526">
        <v>243</v>
      </c>
      <c r="E5526" s="51">
        <f>IF(INDEX(DarlBelegt,12)=0,0,EOMONTH(INDEX(DarlAuszahlung,12),242)+1)</f>
      </c>
      <c r="F5526" s="43">
        <f>IF($E5526=0,0,YEAR($E5526))</f>
      </c>
      <c r="G5526" s="43">
        <f>IF(INDEX(DarlBindung,12)="",1,IF($E5526&lt;=INDEX(DarlBindung,12),1,0))</f>
      </c>
      <c r="H5526" s="43">
        <f>IF($G5526=1,INDEX(DarlSollzins,12),INDEX(DarlAnschluss,12))</f>
      </c>
      <c r="I5526" s="43">
        <f>IF(INDEX(DarlBelegt,12)=0,0,IF(INDEX(DarlOhneTilgung,12)=1,IF(INDEX(DarlBindung,12)="",1,$G5526),IF($J5526&gt;0.005,1,0)))</f>
      </c>
      <c r="J5526" s="43">
        <f>IF($I5525=0,0,$R5525)</f>
      </c>
      <c r="K5526" s="43">
        <f>IF($I5526=0,0,IF(INDEX(DarlOhneTilgung,12)=1,0,IF(AND(INDEX(DarlTilgStart,12)&gt;0,$E5526=INDEX(DarlTilgStart,12)),$J5526*($H5526+INDEX(DarlTilgung,12))/100/12,IF(AND($G5526=0,$G5525=1),MAX($K5525,$J5526*($H5526+1)/100/12),$K5525))))</f>
      </c>
      <c r="L5526" s="43">
        <f>IF($I5526=0,0,$J5526*$H5526/100/12)</f>
      </c>
      <c r="M5526" s="43">
        <f>IF($I5526=0,0,IF(OR(INDEX(DarlOhneTilgung,12)=1,AND(INDEX(DarlTilgStart,12)&gt;0,$E5526&lt;INDEX(DarlTilgStart,12))),0,MIN(MAX(0,$K5526-$L5526),$J5526)))</f>
      </c>
      <c r="N5526" s="43">
        <f>IF($I5526=0,0,MIN(SUMIFS(SondBetrag,SondDarl,12,SondDatum,"&gt;="&amp;$E5526,SondDatum,"&lt;="&amp;EOMONTH($E5526,0)),$J5526-$M5526))</f>
      </c>
      <c r="O5526" s="43">
        <f>IF($I5526=0,0,INDEX(DarlErsatzRate,12))</f>
      </c>
      <c r="P5526" s="43">
        <f>IF($I5526=0,0,$Q5525*INDEX(DarlErsatzZins,12))</f>
      </c>
      <c r="Q5526" s="43">
        <f>IF($I5526=0,0,$Q5525+$P5526+$O5526)</f>
      </c>
      <c r="R5526" s="43">
        <f>IF($I5526=0,0,$J5526-$M5526-$N5526)</f>
      </c>
    </row>
    <row r="5527">
      <c r="A5527"/>
      <c r="B5527">
        <v>12</v>
      </c>
      <c r="C5527" s="43">
        <f>INDEX(DarlObj,12)</f>
      </c>
      <c r="D5527">
        <v>244</v>
      </c>
      <c r="E5527" s="51">
        <f>IF(INDEX(DarlBelegt,12)=0,0,EOMONTH(INDEX(DarlAuszahlung,12),243)+1)</f>
      </c>
      <c r="F5527" s="43">
        <f>IF($E5527=0,0,YEAR($E5527))</f>
      </c>
      <c r="G5527" s="43">
        <f>IF(INDEX(DarlBindung,12)="",1,IF($E5527&lt;=INDEX(DarlBindung,12),1,0))</f>
      </c>
      <c r="H5527" s="43">
        <f>IF($G5527=1,INDEX(DarlSollzins,12),INDEX(DarlAnschluss,12))</f>
      </c>
      <c r="I5527" s="43">
        <f>IF(INDEX(DarlBelegt,12)=0,0,IF(INDEX(DarlOhneTilgung,12)=1,IF(INDEX(DarlBindung,12)="",1,$G5527),IF($J5527&gt;0.005,1,0)))</f>
      </c>
      <c r="J5527" s="43">
        <f>IF($I5526=0,0,$R5526)</f>
      </c>
      <c r="K5527" s="43">
        <f>IF($I5527=0,0,IF(INDEX(DarlOhneTilgung,12)=1,0,IF(AND(INDEX(DarlTilgStart,12)&gt;0,$E5527=INDEX(DarlTilgStart,12)),$J5527*($H5527+INDEX(DarlTilgung,12))/100/12,IF(AND($G5527=0,$G5526=1),MAX($K5526,$J5527*($H5527+1)/100/12),$K5526))))</f>
      </c>
      <c r="L5527" s="43">
        <f>IF($I5527=0,0,$J5527*$H5527/100/12)</f>
      </c>
      <c r="M5527" s="43">
        <f>IF($I5527=0,0,IF(OR(INDEX(DarlOhneTilgung,12)=1,AND(INDEX(DarlTilgStart,12)&gt;0,$E5527&lt;INDEX(DarlTilgStart,12))),0,MIN(MAX(0,$K5527-$L5527),$J5527)))</f>
      </c>
      <c r="N5527" s="43">
        <f>IF($I5527=0,0,MIN(SUMIFS(SondBetrag,SondDarl,12,SondDatum,"&gt;="&amp;$E5527,SondDatum,"&lt;="&amp;EOMONTH($E5527,0)),$J5527-$M5527))</f>
      </c>
      <c r="O5527" s="43">
        <f>IF($I5527=0,0,INDEX(DarlErsatzRate,12))</f>
      </c>
      <c r="P5527" s="43">
        <f>IF($I5527=0,0,$Q5526*INDEX(DarlErsatzZins,12))</f>
      </c>
      <c r="Q5527" s="43">
        <f>IF($I5527=0,0,$Q5526+$P5527+$O5527)</f>
      </c>
      <c r="R5527" s="43">
        <f>IF($I5527=0,0,$J5527-$M5527-$N5527)</f>
      </c>
    </row>
    <row r="5528">
      <c r="A5528"/>
      <c r="B5528">
        <v>12</v>
      </c>
      <c r="C5528" s="43">
        <f>INDEX(DarlObj,12)</f>
      </c>
      <c r="D5528">
        <v>245</v>
      </c>
      <c r="E5528" s="51">
        <f>IF(INDEX(DarlBelegt,12)=0,0,EOMONTH(INDEX(DarlAuszahlung,12),244)+1)</f>
      </c>
      <c r="F5528" s="43">
        <f>IF($E5528=0,0,YEAR($E5528))</f>
      </c>
      <c r="G5528" s="43">
        <f>IF(INDEX(DarlBindung,12)="",1,IF($E5528&lt;=INDEX(DarlBindung,12),1,0))</f>
      </c>
      <c r="H5528" s="43">
        <f>IF($G5528=1,INDEX(DarlSollzins,12),INDEX(DarlAnschluss,12))</f>
      </c>
      <c r="I5528" s="43">
        <f>IF(INDEX(DarlBelegt,12)=0,0,IF(INDEX(DarlOhneTilgung,12)=1,IF(INDEX(DarlBindung,12)="",1,$G5528),IF($J5528&gt;0.005,1,0)))</f>
      </c>
      <c r="J5528" s="43">
        <f>IF($I5527=0,0,$R5527)</f>
      </c>
      <c r="K5528" s="43">
        <f>IF($I5528=0,0,IF(INDEX(DarlOhneTilgung,12)=1,0,IF(AND(INDEX(DarlTilgStart,12)&gt;0,$E5528=INDEX(DarlTilgStart,12)),$J5528*($H5528+INDEX(DarlTilgung,12))/100/12,IF(AND($G5528=0,$G5527=1),MAX($K5527,$J5528*($H5528+1)/100/12),$K5527))))</f>
      </c>
      <c r="L5528" s="43">
        <f>IF($I5528=0,0,$J5528*$H5528/100/12)</f>
      </c>
      <c r="M5528" s="43">
        <f>IF($I5528=0,0,IF(OR(INDEX(DarlOhneTilgung,12)=1,AND(INDEX(DarlTilgStart,12)&gt;0,$E5528&lt;INDEX(DarlTilgStart,12))),0,MIN(MAX(0,$K5528-$L5528),$J5528)))</f>
      </c>
      <c r="N5528" s="43">
        <f>IF($I5528=0,0,MIN(SUMIFS(SondBetrag,SondDarl,12,SondDatum,"&gt;="&amp;$E5528,SondDatum,"&lt;="&amp;EOMONTH($E5528,0)),$J5528-$M5528))</f>
      </c>
      <c r="O5528" s="43">
        <f>IF($I5528=0,0,INDEX(DarlErsatzRate,12))</f>
      </c>
      <c r="P5528" s="43">
        <f>IF($I5528=0,0,$Q5527*INDEX(DarlErsatzZins,12))</f>
      </c>
      <c r="Q5528" s="43">
        <f>IF($I5528=0,0,$Q5527+$P5528+$O5528)</f>
      </c>
      <c r="R5528" s="43">
        <f>IF($I5528=0,0,$J5528-$M5528-$N5528)</f>
      </c>
    </row>
    <row r="5529">
      <c r="A5529"/>
      <c r="B5529">
        <v>12</v>
      </c>
      <c r="C5529" s="43">
        <f>INDEX(DarlObj,12)</f>
      </c>
      <c r="D5529">
        <v>246</v>
      </c>
      <c r="E5529" s="51">
        <f>IF(INDEX(DarlBelegt,12)=0,0,EOMONTH(INDEX(DarlAuszahlung,12),245)+1)</f>
      </c>
      <c r="F5529" s="43">
        <f>IF($E5529=0,0,YEAR($E5529))</f>
      </c>
      <c r="G5529" s="43">
        <f>IF(INDEX(DarlBindung,12)="",1,IF($E5529&lt;=INDEX(DarlBindung,12),1,0))</f>
      </c>
      <c r="H5529" s="43">
        <f>IF($G5529=1,INDEX(DarlSollzins,12),INDEX(DarlAnschluss,12))</f>
      </c>
      <c r="I5529" s="43">
        <f>IF(INDEX(DarlBelegt,12)=0,0,IF(INDEX(DarlOhneTilgung,12)=1,IF(INDEX(DarlBindung,12)="",1,$G5529),IF($J5529&gt;0.005,1,0)))</f>
      </c>
      <c r="J5529" s="43">
        <f>IF($I5528=0,0,$R5528)</f>
      </c>
      <c r="K5529" s="43">
        <f>IF($I5529=0,0,IF(INDEX(DarlOhneTilgung,12)=1,0,IF(AND(INDEX(DarlTilgStart,12)&gt;0,$E5529=INDEX(DarlTilgStart,12)),$J5529*($H5529+INDEX(DarlTilgung,12))/100/12,IF(AND($G5529=0,$G5528=1),MAX($K5528,$J5529*($H5529+1)/100/12),$K5528))))</f>
      </c>
      <c r="L5529" s="43">
        <f>IF($I5529=0,0,$J5529*$H5529/100/12)</f>
      </c>
      <c r="M5529" s="43">
        <f>IF($I5529=0,0,IF(OR(INDEX(DarlOhneTilgung,12)=1,AND(INDEX(DarlTilgStart,12)&gt;0,$E5529&lt;INDEX(DarlTilgStart,12))),0,MIN(MAX(0,$K5529-$L5529),$J5529)))</f>
      </c>
      <c r="N5529" s="43">
        <f>IF($I5529=0,0,MIN(SUMIFS(SondBetrag,SondDarl,12,SondDatum,"&gt;="&amp;$E5529,SondDatum,"&lt;="&amp;EOMONTH($E5529,0)),$J5529-$M5529))</f>
      </c>
      <c r="O5529" s="43">
        <f>IF($I5529=0,0,INDEX(DarlErsatzRate,12))</f>
      </c>
      <c r="P5529" s="43">
        <f>IF($I5529=0,0,$Q5528*INDEX(DarlErsatzZins,12))</f>
      </c>
      <c r="Q5529" s="43">
        <f>IF($I5529=0,0,$Q5528+$P5529+$O5529)</f>
      </c>
      <c r="R5529" s="43">
        <f>IF($I5529=0,0,$J5529-$M5529-$N5529)</f>
      </c>
    </row>
    <row r="5530">
      <c r="A5530"/>
      <c r="B5530">
        <v>12</v>
      </c>
      <c r="C5530" s="43">
        <f>INDEX(DarlObj,12)</f>
      </c>
      <c r="D5530">
        <v>247</v>
      </c>
      <c r="E5530" s="51">
        <f>IF(INDEX(DarlBelegt,12)=0,0,EOMONTH(INDEX(DarlAuszahlung,12),246)+1)</f>
      </c>
      <c r="F5530" s="43">
        <f>IF($E5530=0,0,YEAR($E5530))</f>
      </c>
      <c r="G5530" s="43">
        <f>IF(INDEX(DarlBindung,12)="",1,IF($E5530&lt;=INDEX(DarlBindung,12),1,0))</f>
      </c>
      <c r="H5530" s="43">
        <f>IF($G5530=1,INDEX(DarlSollzins,12),INDEX(DarlAnschluss,12))</f>
      </c>
      <c r="I5530" s="43">
        <f>IF(INDEX(DarlBelegt,12)=0,0,IF(INDEX(DarlOhneTilgung,12)=1,IF(INDEX(DarlBindung,12)="",1,$G5530),IF($J5530&gt;0.005,1,0)))</f>
      </c>
      <c r="J5530" s="43">
        <f>IF($I5529=0,0,$R5529)</f>
      </c>
      <c r="K5530" s="43">
        <f>IF($I5530=0,0,IF(INDEX(DarlOhneTilgung,12)=1,0,IF(AND(INDEX(DarlTilgStart,12)&gt;0,$E5530=INDEX(DarlTilgStart,12)),$J5530*($H5530+INDEX(DarlTilgung,12))/100/12,IF(AND($G5530=0,$G5529=1),MAX($K5529,$J5530*($H5530+1)/100/12),$K5529))))</f>
      </c>
      <c r="L5530" s="43">
        <f>IF($I5530=0,0,$J5530*$H5530/100/12)</f>
      </c>
      <c r="M5530" s="43">
        <f>IF($I5530=0,0,IF(OR(INDEX(DarlOhneTilgung,12)=1,AND(INDEX(DarlTilgStart,12)&gt;0,$E5530&lt;INDEX(DarlTilgStart,12))),0,MIN(MAX(0,$K5530-$L5530),$J5530)))</f>
      </c>
      <c r="N5530" s="43">
        <f>IF($I5530=0,0,MIN(SUMIFS(SondBetrag,SondDarl,12,SondDatum,"&gt;="&amp;$E5530,SondDatum,"&lt;="&amp;EOMONTH($E5530,0)),$J5530-$M5530))</f>
      </c>
      <c r="O5530" s="43">
        <f>IF($I5530=0,0,INDEX(DarlErsatzRate,12))</f>
      </c>
      <c r="P5530" s="43">
        <f>IF($I5530=0,0,$Q5529*INDEX(DarlErsatzZins,12))</f>
      </c>
      <c r="Q5530" s="43">
        <f>IF($I5530=0,0,$Q5529+$P5530+$O5530)</f>
      </c>
      <c r="R5530" s="43">
        <f>IF($I5530=0,0,$J5530-$M5530-$N5530)</f>
      </c>
    </row>
    <row r="5531">
      <c r="A5531"/>
      <c r="B5531">
        <v>12</v>
      </c>
      <c r="C5531" s="43">
        <f>INDEX(DarlObj,12)</f>
      </c>
      <c r="D5531">
        <v>248</v>
      </c>
      <c r="E5531" s="51">
        <f>IF(INDEX(DarlBelegt,12)=0,0,EOMONTH(INDEX(DarlAuszahlung,12),247)+1)</f>
      </c>
      <c r="F5531" s="43">
        <f>IF($E5531=0,0,YEAR($E5531))</f>
      </c>
      <c r="G5531" s="43">
        <f>IF(INDEX(DarlBindung,12)="",1,IF($E5531&lt;=INDEX(DarlBindung,12),1,0))</f>
      </c>
      <c r="H5531" s="43">
        <f>IF($G5531=1,INDEX(DarlSollzins,12),INDEX(DarlAnschluss,12))</f>
      </c>
      <c r="I5531" s="43">
        <f>IF(INDEX(DarlBelegt,12)=0,0,IF(INDEX(DarlOhneTilgung,12)=1,IF(INDEX(DarlBindung,12)="",1,$G5531),IF($J5531&gt;0.005,1,0)))</f>
      </c>
      <c r="J5531" s="43">
        <f>IF($I5530=0,0,$R5530)</f>
      </c>
      <c r="K5531" s="43">
        <f>IF($I5531=0,0,IF(INDEX(DarlOhneTilgung,12)=1,0,IF(AND(INDEX(DarlTilgStart,12)&gt;0,$E5531=INDEX(DarlTilgStart,12)),$J5531*($H5531+INDEX(DarlTilgung,12))/100/12,IF(AND($G5531=0,$G5530=1),MAX($K5530,$J5531*($H5531+1)/100/12),$K5530))))</f>
      </c>
      <c r="L5531" s="43">
        <f>IF($I5531=0,0,$J5531*$H5531/100/12)</f>
      </c>
      <c r="M5531" s="43">
        <f>IF($I5531=0,0,IF(OR(INDEX(DarlOhneTilgung,12)=1,AND(INDEX(DarlTilgStart,12)&gt;0,$E5531&lt;INDEX(DarlTilgStart,12))),0,MIN(MAX(0,$K5531-$L5531),$J5531)))</f>
      </c>
      <c r="N5531" s="43">
        <f>IF($I5531=0,0,MIN(SUMIFS(SondBetrag,SondDarl,12,SondDatum,"&gt;="&amp;$E5531,SondDatum,"&lt;="&amp;EOMONTH($E5531,0)),$J5531-$M5531))</f>
      </c>
      <c r="O5531" s="43">
        <f>IF($I5531=0,0,INDEX(DarlErsatzRate,12))</f>
      </c>
      <c r="P5531" s="43">
        <f>IF($I5531=0,0,$Q5530*INDEX(DarlErsatzZins,12))</f>
      </c>
      <c r="Q5531" s="43">
        <f>IF($I5531=0,0,$Q5530+$P5531+$O5531)</f>
      </c>
      <c r="R5531" s="43">
        <f>IF($I5531=0,0,$J5531-$M5531-$N5531)</f>
      </c>
    </row>
    <row r="5532">
      <c r="A5532"/>
      <c r="B5532">
        <v>12</v>
      </c>
      <c r="C5532" s="43">
        <f>INDEX(DarlObj,12)</f>
      </c>
      <c r="D5532">
        <v>249</v>
      </c>
      <c r="E5532" s="51">
        <f>IF(INDEX(DarlBelegt,12)=0,0,EOMONTH(INDEX(DarlAuszahlung,12),248)+1)</f>
      </c>
      <c r="F5532" s="43">
        <f>IF($E5532=0,0,YEAR($E5532))</f>
      </c>
      <c r="G5532" s="43">
        <f>IF(INDEX(DarlBindung,12)="",1,IF($E5532&lt;=INDEX(DarlBindung,12),1,0))</f>
      </c>
      <c r="H5532" s="43">
        <f>IF($G5532=1,INDEX(DarlSollzins,12),INDEX(DarlAnschluss,12))</f>
      </c>
      <c r="I5532" s="43">
        <f>IF(INDEX(DarlBelegt,12)=0,0,IF(INDEX(DarlOhneTilgung,12)=1,IF(INDEX(DarlBindung,12)="",1,$G5532),IF($J5532&gt;0.005,1,0)))</f>
      </c>
      <c r="J5532" s="43">
        <f>IF($I5531=0,0,$R5531)</f>
      </c>
      <c r="K5532" s="43">
        <f>IF($I5532=0,0,IF(INDEX(DarlOhneTilgung,12)=1,0,IF(AND(INDEX(DarlTilgStart,12)&gt;0,$E5532=INDEX(DarlTilgStart,12)),$J5532*($H5532+INDEX(DarlTilgung,12))/100/12,IF(AND($G5532=0,$G5531=1),MAX($K5531,$J5532*($H5532+1)/100/12),$K5531))))</f>
      </c>
      <c r="L5532" s="43">
        <f>IF($I5532=0,0,$J5532*$H5532/100/12)</f>
      </c>
      <c r="M5532" s="43">
        <f>IF($I5532=0,0,IF(OR(INDEX(DarlOhneTilgung,12)=1,AND(INDEX(DarlTilgStart,12)&gt;0,$E5532&lt;INDEX(DarlTilgStart,12))),0,MIN(MAX(0,$K5532-$L5532),$J5532)))</f>
      </c>
      <c r="N5532" s="43">
        <f>IF($I5532=0,0,MIN(SUMIFS(SondBetrag,SondDarl,12,SondDatum,"&gt;="&amp;$E5532,SondDatum,"&lt;="&amp;EOMONTH($E5532,0)),$J5532-$M5532))</f>
      </c>
      <c r="O5532" s="43">
        <f>IF($I5532=0,0,INDEX(DarlErsatzRate,12))</f>
      </c>
      <c r="P5532" s="43">
        <f>IF($I5532=0,0,$Q5531*INDEX(DarlErsatzZins,12))</f>
      </c>
      <c r="Q5532" s="43">
        <f>IF($I5532=0,0,$Q5531+$P5532+$O5532)</f>
      </c>
      <c r="R5532" s="43">
        <f>IF($I5532=0,0,$J5532-$M5532-$N5532)</f>
      </c>
    </row>
    <row r="5533">
      <c r="A5533"/>
      <c r="B5533">
        <v>12</v>
      </c>
      <c r="C5533" s="43">
        <f>INDEX(DarlObj,12)</f>
      </c>
      <c r="D5533">
        <v>250</v>
      </c>
      <c r="E5533" s="51">
        <f>IF(INDEX(DarlBelegt,12)=0,0,EOMONTH(INDEX(DarlAuszahlung,12),249)+1)</f>
      </c>
      <c r="F5533" s="43">
        <f>IF($E5533=0,0,YEAR($E5533))</f>
      </c>
      <c r="G5533" s="43">
        <f>IF(INDEX(DarlBindung,12)="",1,IF($E5533&lt;=INDEX(DarlBindung,12),1,0))</f>
      </c>
      <c r="H5533" s="43">
        <f>IF($G5533=1,INDEX(DarlSollzins,12),INDEX(DarlAnschluss,12))</f>
      </c>
      <c r="I5533" s="43">
        <f>IF(INDEX(DarlBelegt,12)=0,0,IF(INDEX(DarlOhneTilgung,12)=1,IF(INDEX(DarlBindung,12)="",1,$G5533),IF($J5533&gt;0.005,1,0)))</f>
      </c>
      <c r="J5533" s="43">
        <f>IF($I5532=0,0,$R5532)</f>
      </c>
      <c r="K5533" s="43">
        <f>IF($I5533=0,0,IF(INDEX(DarlOhneTilgung,12)=1,0,IF(AND(INDEX(DarlTilgStart,12)&gt;0,$E5533=INDEX(DarlTilgStart,12)),$J5533*($H5533+INDEX(DarlTilgung,12))/100/12,IF(AND($G5533=0,$G5532=1),MAX($K5532,$J5533*($H5533+1)/100/12),$K5532))))</f>
      </c>
      <c r="L5533" s="43">
        <f>IF($I5533=0,0,$J5533*$H5533/100/12)</f>
      </c>
      <c r="M5533" s="43">
        <f>IF($I5533=0,0,IF(OR(INDEX(DarlOhneTilgung,12)=1,AND(INDEX(DarlTilgStart,12)&gt;0,$E5533&lt;INDEX(DarlTilgStart,12))),0,MIN(MAX(0,$K5533-$L5533),$J5533)))</f>
      </c>
      <c r="N5533" s="43">
        <f>IF($I5533=0,0,MIN(SUMIFS(SondBetrag,SondDarl,12,SondDatum,"&gt;="&amp;$E5533,SondDatum,"&lt;="&amp;EOMONTH($E5533,0)),$J5533-$M5533))</f>
      </c>
      <c r="O5533" s="43">
        <f>IF($I5533=0,0,INDEX(DarlErsatzRate,12))</f>
      </c>
      <c r="P5533" s="43">
        <f>IF($I5533=0,0,$Q5532*INDEX(DarlErsatzZins,12))</f>
      </c>
      <c r="Q5533" s="43">
        <f>IF($I5533=0,0,$Q5532+$P5533+$O5533)</f>
      </c>
      <c r="R5533" s="43">
        <f>IF($I5533=0,0,$J5533-$M5533-$N5533)</f>
      </c>
    </row>
    <row r="5534">
      <c r="A5534"/>
      <c r="B5534">
        <v>12</v>
      </c>
      <c r="C5534" s="43">
        <f>INDEX(DarlObj,12)</f>
      </c>
      <c r="D5534">
        <v>251</v>
      </c>
      <c r="E5534" s="51">
        <f>IF(INDEX(DarlBelegt,12)=0,0,EOMONTH(INDEX(DarlAuszahlung,12),250)+1)</f>
      </c>
      <c r="F5534" s="43">
        <f>IF($E5534=0,0,YEAR($E5534))</f>
      </c>
      <c r="G5534" s="43">
        <f>IF(INDEX(DarlBindung,12)="",1,IF($E5534&lt;=INDEX(DarlBindung,12),1,0))</f>
      </c>
      <c r="H5534" s="43">
        <f>IF($G5534=1,INDEX(DarlSollzins,12),INDEX(DarlAnschluss,12))</f>
      </c>
      <c r="I5534" s="43">
        <f>IF(INDEX(DarlBelegt,12)=0,0,IF(INDEX(DarlOhneTilgung,12)=1,IF(INDEX(DarlBindung,12)="",1,$G5534),IF($J5534&gt;0.005,1,0)))</f>
      </c>
      <c r="J5534" s="43">
        <f>IF($I5533=0,0,$R5533)</f>
      </c>
      <c r="K5534" s="43">
        <f>IF($I5534=0,0,IF(INDEX(DarlOhneTilgung,12)=1,0,IF(AND(INDEX(DarlTilgStart,12)&gt;0,$E5534=INDEX(DarlTilgStart,12)),$J5534*($H5534+INDEX(DarlTilgung,12))/100/12,IF(AND($G5534=0,$G5533=1),MAX($K5533,$J5534*($H5534+1)/100/12),$K5533))))</f>
      </c>
      <c r="L5534" s="43">
        <f>IF($I5534=0,0,$J5534*$H5534/100/12)</f>
      </c>
      <c r="M5534" s="43">
        <f>IF($I5534=0,0,IF(OR(INDEX(DarlOhneTilgung,12)=1,AND(INDEX(DarlTilgStart,12)&gt;0,$E5534&lt;INDEX(DarlTilgStart,12))),0,MIN(MAX(0,$K5534-$L5534),$J5534)))</f>
      </c>
      <c r="N5534" s="43">
        <f>IF($I5534=0,0,MIN(SUMIFS(SondBetrag,SondDarl,12,SondDatum,"&gt;="&amp;$E5534,SondDatum,"&lt;="&amp;EOMONTH($E5534,0)),$J5534-$M5534))</f>
      </c>
      <c r="O5534" s="43">
        <f>IF($I5534=0,0,INDEX(DarlErsatzRate,12))</f>
      </c>
      <c r="P5534" s="43">
        <f>IF($I5534=0,0,$Q5533*INDEX(DarlErsatzZins,12))</f>
      </c>
      <c r="Q5534" s="43">
        <f>IF($I5534=0,0,$Q5533+$P5534+$O5534)</f>
      </c>
      <c r="R5534" s="43">
        <f>IF($I5534=0,0,$J5534-$M5534-$N5534)</f>
      </c>
    </row>
    <row r="5535">
      <c r="A5535"/>
      <c r="B5535">
        <v>12</v>
      </c>
      <c r="C5535" s="43">
        <f>INDEX(DarlObj,12)</f>
      </c>
      <c r="D5535">
        <v>252</v>
      </c>
      <c r="E5535" s="51">
        <f>IF(INDEX(DarlBelegt,12)=0,0,EOMONTH(INDEX(DarlAuszahlung,12),251)+1)</f>
      </c>
      <c r="F5535" s="43">
        <f>IF($E5535=0,0,YEAR($E5535))</f>
      </c>
      <c r="G5535" s="43">
        <f>IF(INDEX(DarlBindung,12)="",1,IF($E5535&lt;=INDEX(DarlBindung,12),1,0))</f>
      </c>
      <c r="H5535" s="43">
        <f>IF($G5535=1,INDEX(DarlSollzins,12),INDEX(DarlAnschluss,12))</f>
      </c>
      <c r="I5535" s="43">
        <f>IF(INDEX(DarlBelegt,12)=0,0,IF(INDEX(DarlOhneTilgung,12)=1,IF(INDEX(DarlBindung,12)="",1,$G5535),IF($J5535&gt;0.005,1,0)))</f>
      </c>
      <c r="J5535" s="43">
        <f>IF($I5534=0,0,$R5534)</f>
      </c>
      <c r="K5535" s="43">
        <f>IF($I5535=0,0,IF(INDEX(DarlOhneTilgung,12)=1,0,IF(AND(INDEX(DarlTilgStart,12)&gt;0,$E5535=INDEX(DarlTilgStart,12)),$J5535*($H5535+INDEX(DarlTilgung,12))/100/12,IF(AND($G5535=0,$G5534=1),MAX($K5534,$J5535*($H5535+1)/100/12),$K5534))))</f>
      </c>
      <c r="L5535" s="43">
        <f>IF($I5535=0,0,$J5535*$H5535/100/12)</f>
      </c>
      <c r="M5535" s="43">
        <f>IF($I5535=0,0,IF(OR(INDEX(DarlOhneTilgung,12)=1,AND(INDEX(DarlTilgStart,12)&gt;0,$E5535&lt;INDEX(DarlTilgStart,12))),0,MIN(MAX(0,$K5535-$L5535),$J5535)))</f>
      </c>
      <c r="N5535" s="43">
        <f>IF($I5535=0,0,MIN(SUMIFS(SondBetrag,SondDarl,12,SondDatum,"&gt;="&amp;$E5535,SondDatum,"&lt;="&amp;EOMONTH($E5535,0)),$J5535-$M5535))</f>
      </c>
      <c r="O5535" s="43">
        <f>IF($I5535=0,0,INDEX(DarlErsatzRate,12))</f>
      </c>
      <c r="P5535" s="43">
        <f>IF($I5535=0,0,$Q5534*INDEX(DarlErsatzZins,12))</f>
      </c>
      <c r="Q5535" s="43">
        <f>IF($I5535=0,0,$Q5534+$P5535+$O5535)</f>
      </c>
      <c r="R5535" s="43">
        <f>IF($I5535=0,0,$J5535-$M5535-$N5535)</f>
      </c>
    </row>
    <row r="5536">
      <c r="A5536"/>
      <c r="B5536">
        <v>12</v>
      </c>
      <c r="C5536" s="43">
        <f>INDEX(DarlObj,12)</f>
      </c>
      <c r="D5536">
        <v>253</v>
      </c>
      <c r="E5536" s="51">
        <f>IF(INDEX(DarlBelegt,12)=0,0,EOMONTH(INDEX(DarlAuszahlung,12),252)+1)</f>
      </c>
      <c r="F5536" s="43">
        <f>IF($E5536=0,0,YEAR($E5536))</f>
      </c>
      <c r="G5536" s="43">
        <f>IF(INDEX(DarlBindung,12)="",1,IF($E5536&lt;=INDEX(DarlBindung,12),1,0))</f>
      </c>
      <c r="H5536" s="43">
        <f>IF($G5536=1,INDEX(DarlSollzins,12),INDEX(DarlAnschluss,12))</f>
      </c>
      <c r="I5536" s="43">
        <f>IF(INDEX(DarlBelegt,12)=0,0,IF(INDEX(DarlOhneTilgung,12)=1,IF(INDEX(DarlBindung,12)="",1,$G5536),IF($J5536&gt;0.005,1,0)))</f>
      </c>
      <c r="J5536" s="43">
        <f>IF($I5535=0,0,$R5535)</f>
      </c>
      <c r="K5536" s="43">
        <f>IF($I5536=0,0,IF(INDEX(DarlOhneTilgung,12)=1,0,IF(AND(INDEX(DarlTilgStart,12)&gt;0,$E5536=INDEX(DarlTilgStart,12)),$J5536*($H5536+INDEX(DarlTilgung,12))/100/12,IF(AND($G5536=0,$G5535=1),MAX($K5535,$J5536*($H5536+1)/100/12),$K5535))))</f>
      </c>
      <c r="L5536" s="43">
        <f>IF($I5536=0,0,$J5536*$H5536/100/12)</f>
      </c>
      <c r="M5536" s="43">
        <f>IF($I5536=0,0,IF(OR(INDEX(DarlOhneTilgung,12)=1,AND(INDEX(DarlTilgStart,12)&gt;0,$E5536&lt;INDEX(DarlTilgStart,12))),0,MIN(MAX(0,$K5536-$L5536),$J5536)))</f>
      </c>
      <c r="N5536" s="43">
        <f>IF($I5536=0,0,MIN(SUMIFS(SondBetrag,SondDarl,12,SondDatum,"&gt;="&amp;$E5536,SondDatum,"&lt;="&amp;EOMONTH($E5536,0)),$J5536-$M5536))</f>
      </c>
      <c r="O5536" s="43">
        <f>IF($I5536=0,0,INDEX(DarlErsatzRate,12))</f>
      </c>
      <c r="P5536" s="43">
        <f>IF($I5536=0,0,$Q5535*INDEX(DarlErsatzZins,12))</f>
      </c>
      <c r="Q5536" s="43">
        <f>IF($I5536=0,0,$Q5535+$P5536+$O5536)</f>
      </c>
      <c r="R5536" s="43">
        <f>IF($I5536=0,0,$J5536-$M5536-$N5536)</f>
      </c>
    </row>
    <row r="5537">
      <c r="A5537"/>
      <c r="B5537">
        <v>12</v>
      </c>
      <c r="C5537" s="43">
        <f>INDEX(DarlObj,12)</f>
      </c>
      <c r="D5537">
        <v>254</v>
      </c>
      <c r="E5537" s="51">
        <f>IF(INDEX(DarlBelegt,12)=0,0,EOMONTH(INDEX(DarlAuszahlung,12),253)+1)</f>
      </c>
      <c r="F5537" s="43">
        <f>IF($E5537=0,0,YEAR($E5537))</f>
      </c>
      <c r="G5537" s="43">
        <f>IF(INDEX(DarlBindung,12)="",1,IF($E5537&lt;=INDEX(DarlBindung,12),1,0))</f>
      </c>
      <c r="H5537" s="43">
        <f>IF($G5537=1,INDEX(DarlSollzins,12),INDEX(DarlAnschluss,12))</f>
      </c>
      <c r="I5537" s="43">
        <f>IF(INDEX(DarlBelegt,12)=0,0,IF(INDEX(DarlOhneTilgung,12)=1,IF(INDEX(DarlBindung,12)="",1,$G5537),IF($J5537&gt;0.005,1,0)))</f>
      </c>
      <c r="J5537" s="43">
        <f>IF($I5536=0,0,$R5536)</f>
      </c>
      <c r="K5537" s="43">
        <f>IF($I5537=0,0,IF(INDEX(DarlOhneTilgung,12)=1,0,IF(AND(INDEX(DarlTilgStart,12)&gt;0,$E5537=INDEX(DarlTilgStart,12)),$J5537*($H5537+INDEX(DarlTilgung,12))/100/12,IF(AND($G5537=0,$G5536=1),MAX($K5536,$J5537*($H5537+1)/100/12),$K5536))))</f>
      </c>
      <c r="L5537" s="43">
        <f>IF($I5537=0,0,$J5537*$H5537/100/12)</f>
      </c>
      <c r="M5537" s="43">
        <f>IF($I5537=0,0,IF(OR(INDEX(DarlOhneTilgung,12)=1,AND(INDEX(DarlTilgStart,12)&gt;0,$E5537&lt;INDEX(DarlTilgStart,12))),0,MIN(MAX(0,$K5537-$L5537),$J5537)))</f>
      </c>
      <c r="N5537" s="43">
        <f>IF($I5537=0,0,MIN(SUMIFS(SondBetrag,SondDarl,12,SondDatum,"&gt;="&amp;$E5537,SondDatum,"&lt;="&amp;EOMONTH($E5537,0)),$J5537-$M5537))</f>
      </c>
      <c r="O5537" s="43">
        <f>IF($I5537=0,0,INDEX(DarlErsatzRate,12))</f>
      </c>
      <c r="P5537" s="43">
        <f>IF($I5537=0,0,$Q5536*INDEX(DarlErsatzZins,12))</f>
      </c>
      <c r="Q5537" s="43">
        <f>IF($I5537=0,0,$Q5536+$P5537+$O5537)</f>
      </c>
      <c r="R5537" s="43">
        <f>IF($I5537=0,0,$J5537-$M5537-$N5537)</f>
      </c>
    </row>
    <row r="5538">
      <c r="A5538"/>
      <c r="B5538">
        <v>12</v>
      </c>
      <c r="C5538" s="43">
        <f>INDEX(DarlObj,12)</f>
      </c>
      <c r="D5538">
        <v>255</v>
      </c>
      <c r="E5538" s="51">
        <f>IF(INDEX(DarlBelegt,12)=0,0,EOMONTH(INDEX(DarlAuszahlung,12),254)+1)</f>
      </c>
      <c r="F5538" s="43">
        <f>IF($E5538=0,0,YEAR($E5538))</f>
      </c>
      <c r="G5538" s="43">
        <f>IF(INDEX(DarlBindung,12)="",1,IF($E5538&lt;=INDEX(DarlBindung,12),1,0))</f>
      </c>
      <c r="H5538" s="43">
        <f>IF($G5538=1,INDEX(DarlSollzins,12),INDEX(DarlAnschluss,12))</f>
      </c>
      <c r="I5538" s="43">
        <f>IF(INDEX(DarlBelegt,12)=0,0,IF(INDEX(DarlOhneTilgung,12)=1,IF(INDEX(DarlBindung,12)="",1,$G5538),IF($J5538&gt;0.005,1,0)))</f>
      </c>
      <c r="J5538" s="43">
        <f>IF($I5537=0,0,$R5537)</f>
      </c>
      <c r="K5538" s="43">
        <f>IF($I5538=0,0,IF(INDEX(DarlOhneTilgung,12)=1,0,IF(AND(INDEX(DarlTilgStart,12)&gt;0,$E5538=INDEX(DarlTilgStart,12)),$J5538*($H5538+INDEX(DarlTilgung,12))/100/12,IF(AND($G5538=0,$G5537=1),MAX($K5537,$J5538*($H5538+1)/100/12),$K5537))))</f>
      </c>
      <c r="L5538" s="43">
        <f>IF($I5538=0,0,$J5538*$H5538/100/12)</f>
      </c>
      <c r="M5538" s="43">
        <f>IF($I5538=0,0,IF(OR(INDEX(DarlOhneTilgung,12)=1,AND(INDEX(DarlTilgStart,12)&gt;0,$E5538&lt;INDEX(DarlTilgStart,12))),0,MIN(MAX(0,$K5538-$L5538),$J5538)))</f>
      </c>
      <c r="N5538" s="43">
        <f>IF($I5538=0,0,MIN(SUMIFS(SondBetrag,SondDarl,12,SondDatum,"&gt;="&amp;$E5538,SondDatum,"&lt;="&amp;EOMONTH($E5538,0)),$J5538-$M5538))</f>
      </c>
      <c r="O5538" s="43">
        <f>IF($I5538=0,0,INDEX(DarlErsatzRate,12))</f>
      </c>
      <c r="P5538" s="43">
        <f>IF($I5538=0,0,$Q5537*INDEX(DarlErsatzZins,12))</f>
      </c>
      <c r="Q5538" s="43">
        <f>IF($I5538=0,0,$Q5537+$P5538+$O5538)</f>
      </c>
      <c r="R5538" s="43">
        <f>IF($I5538=0,0,$J5538-$M5538-$N5538)</f>
      </c>
    </row>
    <row r="5539">
      <c r="A5539"/>
      <c r="B5539">
        <v>12</v>
      </c>
      <c r="C5539" s="43">
        <f>INDEX(DarlObj,12)</f>
      </c>
      <c r="D5539">
        <v>256</v>
      </c>
      <c r="E5539" s="51">
        <f>IF(INDEX(DarlBelegt,12)=0,0,EOMONTH(INDEX(DarlAuszahlung,12),255)+1)</f>
      </c>
      <c r="F5539" s="43">
        <f>IF($E5539=0,0,YEAR($E5539))</f>
      </c>
      <c r="G5539" s="43">
        <f>IF(INDEX(DarlBindung,12)="",1,IF($E5539&lt;=INDEX(DarlBindung,12),1,0))</f>
      </c>
      <c r="H5539" s="43">
        <f>IF($G5539=1,INDEX(DarlSollzins,12),INDEX(DarlAnschluss,12))</f>
      </c>
      <c r="I5539" s="43">
        <f>IF(INDEX(DarlBelegt,12)=0,0,IF(INDEX(DarlOhneTilgung,12)=1,IF(INDEX(DarlBindung,12)="",1,$G5539),IF($J5539&gt;0.005,1,0)))</f>
      </c>
      <c r="J5539" s="43">
        <f>IF($I5538=0,0,$R5538)</f>
      </c>
      <c r="K5539" s="43">
        <f>IF($I5539=0,0,IF(INDEX(DarlOhneTilgung,12)=1,0,IF(AND(INDEX(DarlTilgStart,12)&gt;0,$E5539=INDEX(DarlTilgStart,12)),$J5539*($H5539+INDEX(DarlTilgung,12))/100/12,IF(AND($G5539=0,$G5538=1),MAX($K5538,$J5539*($H5539+1)/100/12),$K5538))))</f>
      </c>
      <c r="L5539" s="43">
        <f>IF($I5539=0,0,$J5539*$H5539/100/12)</f>
      </c>
      <c r="M5539" s="43">
        <f>IF($I5539=0,0,IF(OR(INDEX(DarlOhneTilgung,12)=1,AND(INDEX(DarlTilgStart,12)&gt;0,$E5539&lt;INDEX(DarlTilgStart,12))),0,MIN(MAX(0,$K5539-$L5539),$J5539)))</f>
      </c>
      <c r="N5539" s="43">
        <f>IF($I5539=0,0,MIN(SUMIFS(SondBetrag,SondDarl,12,SondDatum,"&gt;="&amp;$E5539,SondDatum,"&lt;="&amp;EOMONTH($E5539,0)),$J5539-$M5539))</f>
      </c>
      <c r="O5539" s="43">
        <f>IF($I5539=0,0,INDEX(DarlErsatzRate,12))</f>
      </c>
      <c r="P5539" s="43">
        <f>IF($I5539=0,0,$Q5538*INDEX(DarlErsatzZins,12))</f>
      </c>
      <c r="Q5539" s="43">
        <f>IF($I5539=0,0,$Q5538+$P5539+$O5539)</f>
      </c>
      <c r="R5539" s="43">
        <f>IF($I5539=0,0,$J5539-$M5539-$N5539)</f>
      </c>
    </row>
    <row r="5540">
      <c r="A5540"/>
      <c r="B5540">
        <v>12</v>
      </c>
      <c r="C5540" s="43">
        <f>INDEX(DarlObj,12)</f>
      </c>
      <c r="D5540">
        <v>257</v>
      </c>
      <c r="E5540" s="51">
        <f>IF(INDEX(DarlBelegt,12)=0,0,EOMONTH(INDEX(DarlAuszahlung,12),256)+1)</f>
      </c>
      <c r="F5540" s="43">
        <f>IF($E5540=0,0,YEAR($E5540))</f>
      </c>
      <c r="G5540" s="43">
        <f>IF(INDEX(DarlBindung,12)="",1,IF($E5540&lt;=INDEX(DarlBindung,12),1,0))</f>
      </c>
      <c r="H5540" s="43">
        <f>IF($G5540=1,INDEX(DarlSollzins,12),INDEX(DarlAnschluss,12))</f>
      </c>
      <c r="I5540" s="43">
        <f>IF(INDEX(DarlBelegt,12)=0,0,IF(INDEX(DarlOhneTilgung,12)=1,IF(INDEX(DarlBindung,12)="",1,$G5540),IF($J5540&gt;0.005,1,0)))</f>
      </c>
      <c r="J5540" s="43">
        <f>IF($I5539=0,0,$R5539)</f>
      </c>
      <c r="K5540" s="43">
        <f>IF($I5540=0,0,IF(INDEX(DarlOhneTilgung,12)=1,0,IF(AND(INDEX(DarlTilgStart,12)&gt;0,$E5540=INDEX(DarlTilgStart,12)),$J5540*($H5540+INDEX(DarlTilgung,12))/100/12,IF(AND($G5540=0,$G5539=1),MAX($K5539,$J5540*($H5540+1)/100/12),$K5539))))</f>
      </c>
      <c r="L5540" s="43">
        <f>IF($I5540=0,0,$J5540*$H5540/100/12)</f>
      </c>
      <c r="M5540" s="43">
        <f>IF($I5540=0,0,IF(OR(INDEX(DarlOhneTilgung,12)=1,AND(INDEX(DarlTilgStart,12)&gt;0,$E5540&lt;INDEX(DarlTilgStart,12))),0,MIN(MAX(0,$K5540-$L5540),$J5540)))</f>
      </c>
      <c r="N5540" s="43">
        <f>IF($I5540=0,0,MIN(SUMIFS(SondBetrag,SondDarl,12,SondDatum,"&gt;="&amp;$E5540,SondDatum,"&lt;="&amp;EOMONTH($E5540,0)),$J5540-$M5540))</f>
      </c>
      <c r="O5540" s="43">
        <f>IF($I5540=0,0,INDEX(DarlErsatzRate,12))</f>
      </c>
      <c r="P5540" s="43">
        <f>IF($I5540=0,0,$Q5539*INDEX(DarlErsatzZins,12))</f>
      </c>
      <c r="Q5540" s="43">
        <f>IF($I5540=0,0,$Q5539+$P5540+$O5540)</f>
      </c>
      <c r="R5540" s="43">
        <f>IF($I5540=0,0,$J5540-$M5540-$N5540)</f>
      </c>
    </row>
    <row r="5541">
      <c r="A5541"/>
      <c r="B5541">
        <v>12</v>
      </c>
      <c r="C5541" s="43">
        <f>INDEX(DarlObj,12)</f>
      </c>
      <c r="D5541">
        <v>258</v>
      </c>
      <c r="E5541" s="51">
        <f>IF(INDEX(DarlBelegt,12)=0,0,EOMONTH(INDEX(DarlAuszahlung,12),257)+1)</f>
      </c>
      <c r="F5541" s="43">
        <f>IF($E5541=0,0,YEAR($E5541))</f>
      </c>
      <c r="G5541" s="43">
        <f>IF(INDEX(DarlBindung,12)="",1,IF($E5541&lt;=INDEX(DarlBindung,12),1,0))</f>
      </c>
      <c r="H5541" s="43">
        <f>IF($G5541=1,INDEX(DarlSollzins,12),INDEX(DarlAnschluss,12))</f>
      </c>
      <c r="I5541" s="43">
        <f>IF(INDEX(DarlBelegt,12)=0,0,IF(INDEX(DarlOhneTilgung,12)=1,IF(INDEX(DarlBindung,12)="",1,$G5541),IF($J5541&gt;0.005,1,0)))</f>
      </c>
      <c r="J5541" s="43">
        <f>IF($I5540=0,0,$R5540)</f>
      </c>
      <c r="K5541" s="43">
        <f>IF($I5541=0,0,IF(INDEX(DarlOhneTilgung,12)=1,0,IF(AND(INDEX(DarlTilgStart,12)&gt;0,$E5541=INDEX(DarlTilgStart,12)),$J5541*($H5541+INDEX(DarlTilgung,12))/100/12,IF(AND($G5541=0,$G5540=1),MAX($K5540,$J5541*($H5541+1)/100/12),$K5540))))</f>
      </c>
      <c r="L5541" s="43">
        <f>IF($I5541=0,0,$J5541*$H5541/100/12)</f>
      </c>
      <c r="M5541" s="43">
        <f>IF($I5541=0,0,IF(OR(INDEX(DarlOhneTilgung,12)=1,AND(INDEX(DarlTilgStart,12)&gt;0,$E5541&lt;INDEX(DarlTilgStart,12))),0,MIN(MAX(0,$K5541-$L5541),$J5541)))</f>
      </c>
      <c r="N5541" s="43">
        <f>IF($I5541=0,0,MIN(SUMIFS(SondBetrag,SondDarl,12,SondDatum,"&gt;="&amp;$E5541,SondDatum,"&lt;="&amp;EOMONTH($E5541,0)),$J5541-$M5541))</f>
      </c>
      <c r="O5541" s="43">
        <f>IF($I5541=0,0,INDEX(DarlErsatzRate,12))</f>
      </c>
      <c r="P5541" s="43">
        <f>IF($I5541=0,0,$Q5540*INDEX(DarlErsatzZins,12))</f>
      </c>
      <c r="Q5541" s="43">
        <f>IF($I5541=0,0,$Q5540+$P5541+$O5541)</f>
      </c>
      <c r="R5541" s="43">
        <f>IF($I5541=0,0,$J5541-$M5541-$N5541)</f>
      </c>
    </row>
    <row r="5542">
      <c r="A5542"/>
      <c r="B5542">
        <v>12</v>
      </c>
      <c r="C5542" s="43">
        <f>INDEX(DarlObj,12)</f>
      </c>
      <c r="D5542">
        <v>259</v>
      </c>
      <c r="E5542" s="51">
        <f>IF(INDEX(DarlBelegt,12)=0,0,EOMONTH(INDEX(DarlAuszahlung,12),258)+1)</f>
      </c>
      <c r="F5542" s="43">
        <f>IF($E5542=0,0,YEAR($E5542))</f>
      </c>
      <c r="G5542" s="43">
        <f>IF(INDEX(DarlBindung,12)="",1,IF($E5542&lt;=INDEX(DarlBindung,12),1,0))</f>
      </c>
      <c r="H5542" s="43">
        <f>IF($G5542=1,INDEX(DarlSollzins,12),INDEX(DarlAnschluss,12))</f>
      </c>
      <c r="I5542" s="43">
        <f>IF(INDEX(DarlBelegt,12)=0,0,IF(INDEX(DarlOhneTilgung,12)=1,IF(INDEX(DarlBindung,12)="",1,$G5542),IF($J5542&gt;0.005,1,0)))</f>
      </c>
      <c r="J5542" s="43">
        <f>IF($I5541=0,0,$R5541)</f>
      </c>
      <c r="K5542" s="43">
        <f>IF($I5542=0,0,IF(INDEX(DarlOhneTilgung,12)=1,0,IF(AND(INDEX(DarlTilgStart,12)&gt;0,$E5542=INDEX(DarlTilgStart,12)),$J5542*($H5542+INDEX(DarlTilgung,12))/100/12,IF(AND($G5542=0,$G5541=1),MAX($K5541,$J5542*($H5542+1)/100/12),$K5541))))</f>
      </c>
      <c r="L5542" s="43">
        <f>IF($I5542=0,0,$J5542*$H5542/100/12)</f>
      </c>
      <c r="M5542" s="43">
        <f>IF($I5542=0,0,IF(OR(INDEX(DarlOhneTilgung,12)=1,AND(INDEX(DarlTilgStart,12)&gt;0,$E5542&lt;INDEX(DarlTilgStart,12))),0,MIN(MAX(0,$K5542-$L5542),$J5542)))</f>
      </c>
      <c r="N5542" s="43">
        <f>IF($I5542=0,0,MIN(SUMIFS(SondBetrag,SondDarl,12,SondDatum,"&gt;="&amp;$E5542,SondDatum,"&lt;="&amp;EOMONTH($E5542,0)),$J5542-$M5542))</f>
      </c>
      <c r="O5542" s="43">
        <f>IF($I5542=0,0,INDEX(DarlErsatzRate,12))</f>
      </c>
      <c r="P5542" s="43">
        <f>IF($I5542=0,0,$Q5541*INDEX(DarlErsatzZins,12))</f>
      </c>
      <c r="Q5542" s="43">
        <f>IF($I5542=0,0,$Q5541+$P5542+$O5542)</f>
      </c>
      <c r="R5542" s="43">
        <f>IF($I5542=0,0,$J5542-$M5542-$N5542)</f>
      </c>
    </row>
    <row r="5543">
      <c r="A5543"/>
      <c r="B5543">
        <v>12</v>
      </c>
      <c r="C5543" s="43">
        <f>INDEX(DarlObj,12)</f>
      </c>
      <c r="D5543">
        <v>260</v>
      </c>
      <c r="E5543" s="51">
        <f>IF(INDEX(DarlBelegt,12)=0,0,EOMONTH(INDEX(DarlAuszahlung,12),259)+1)</f>
      </c>
      <c r="F5543" s="43">
        <f>IF($E5543=0,0,YEAR($E5543))</f>
      </c>
      <c r="G5543" s="43">
        <f>IF(INDEX(DarlBindung,12)="",1,IF($E5543&lt;=INDEX(DarlBindung,12),1,0))</f>
      </c>
      <c r="H5543" s="43">
        <f>IF($G5543=1,INDEX(DarlSollzins,12),INDEX(DarlAnschluss,12))</f>
      </c>
      <c r="I5543" s="43">
        <f>IF(INDEX(DarlBelegt,12)=0,0,IF(INDEX(DarlOhneTilgung,12)=1,IF(INDEX(DarlBindung,12)="",1,$G5543),IF($J5543&gt;0.005,1,0)))</f>
      </c>
      <c r="J5543" s="43">
        <f>IF($I5542=0,0,$R5542)</f>
      </c>
      <c r="K5543" s="43">
        <f>IF($I5543=0,0,IF(INDEX(DarlOhneTilgung,12)=1,0,IF(AND(INDEX(DarlTilgStart,12)&gt;0,$E5543=INDEX(DarlTilgStart,12)),$J5543*($H5543+INDEX(DarlTilgung,12))/100/12,IF(AND($G5543=0,$G5542=1),MAX($K5542,$J5543*($H5543+1)/100/12),$K5542))))</f>
      </c>
      <c r="L5543" s="43">
        <f>IF($I5543=0,0,$J5543*$H5543/100/12)</f>
      </c>
      <c r="M5543" s="43">
        <f>IF($I5543=0,0,IF(OR(INDEX(DarlOhneTilgung,12)=1,AND(INDEX(DarlTilgStart,12)&gt;0,$E5543&lt;INDEX(DarlTilgStart,12))),0,MIN(MAX(0,$K5543-$L5543),$J5543)))</f>
      </c>
      <c r="N5543" s="43">
        <f>IF($I5543=0,0,MIN(SUMIFS(SondBetrag,SondDarl,12,SondDatum,"&gt;="&amp;$E5543,SondDatum,"&lt;="&amp;EOMONTH($E5543,0)),$J5543-$M5543))</f>
      </c>
      <c r="O5543" s="43">
        <f>IF($I5543=0,0,INDEX(DarlErsatzRate,12))</f>
      </c>
      <c r="P5543" s="43">
        <f>IF($I5543=0,0,$Q5542*INDEX(DarlErsatzZins,12))</f>
      </c>
      <c r="Q5543" s="43">
        <f>IF($I5543=0,0,$Q5542+$P5543+$O5543)</f>
      </c>
      <c r="R5543" s="43">
        <f>IF($I5543=0,0,$J5543-$M5543-$N5543)</f>
      </c>
    </row>
    <row r="5544">
      <c r="A5544"/>
      <c r="B5544">
        <v>12</v>
      </c>
      <c r="C5544" s="43">
        <f>INDEX(DarlObj,12)</f>
      </c>
      <c r="D5544">
        <v>261</v>
      </c>
      <c r="E5544" s="51">
        <f>IF(INDEX(DarlBelegt,12)=0,0,EOMONTH(INDEX(DarlAuszahlung,12),260)+1)</f>
      </c>
      <c r="F5544" s="43">
        <f>IF($E5544=0,0,YEAR($E5544))</f>
      </c>
      <c r="G5544" s="43">
        <f>IF(INDEX(DarlBindung,12)="",1,IF($E5544&lt;=INDEX(DarlBindung,12),1,0))</f>
      </c>
      <c r="H5544" s="43">
        <f>IF($G5544=1,INDEX(DarlSollzins,12),INDEX(DarlAnschluss,12))</f>
      </c>
      <c r="I5544" s="43">
        <f>IF(INDEX(DarlBelegt,12)=0,0,IF(INDEX(DarlOhneTilgung,12)=1,IF(INDEX(DarlBindung,12)="",1,$G5544),IF($J5544&gt;0.005,1,0)))</f>
      </c>
      <c r="J5544" s="43">
        <f>IF($I5543=0,0,$R5543)</f>
      </c>
      <c r="K5544" s="43">
        <f>IF($I5544=0,0,IF(INDEX(DarlOhneTilgung,12)=1,0,IF(AND(INDEX(DarlTilgStart,12)&gt;0,$E5544=INDEX(DarlTilgStart,12)),$J5544*($H5544+INDEX(DarlTilgung,12))/100/12,IF(AND($G5544=0,$G5543=1),MAX($K5543,$J5544*($H5544+1)/100/12),$K5543))))</f>
      </c>
      <c r="L5544" s="43">
        <f>IF($I5544=0,0,$J5544*$H5544/100/12)</f>
      </c>
      <c r="M5544" s="43">
        <f>IF($I5544=0,0,IF(OR(INDEX(DarlOhneTilgung,12)=1,AND(INDEX(DarlTilgStart,12)&gt;0,$E5544&lt;INDEX(DarlTilgStart,12))),0,MIN(MAX(0,$K5544-$L5544),$J5544)))</f>
      </c>
      <c r="N5544" s="43">
        <f>IF($I5544=0,0,MIN(SUMIFS(SondBetrag,SondDarl,12,SondDatum,"&gt;="&amp;$E5544,SondDatum,"&lt;="&amp;EOMONTH($E5544,0)),$J5544-$M5544))</f>
      </c>
      <c r="O5544" s="43">
        <f>IF($I5544=0,0,INDEX(DarlErsatzRate,12))</f>
      </c>
      <c r="P5544" s="43">
        <f>IF($I5544=0,0,$Q5543*INDEX(DarlErsatzZins,12))</f>
      </c>
      <c r="Q5544" s="43">
        <f>IF($I5544=0,0,$Q5543+$P5544+$O5544)</f>
      </c>
      <c r="R5544" s="43">
        <f>IF($I5544=0,0,$J5544-$M5544-$N5544)</f>
      </c>
    </row>
    <row r="5545">
      <c r="A5545"/>
      <c r="B5545">
        <v>12</v>
      </c>
      <c r="C5545" s="43">
        <f>INDEX(DarlObj,12)</f>
      </c>
      <c r="D5545">
        <v>262</v>
      </c>
      <c r="E5545" s="51">
        <f>IF(INDEX(DarlBelegt,12)=0,0,EOMONTH(INDEX(DarlAuszahlung,12),261)+1)</f>
      </c>
      <c r="F5545" s="43">
        <f>IF($E5545=0,0,YEAR($E5545))</f>
      </c>
      <c r="G5545" s="43">
        <f>IF(INDEX(DarlBindung,12)="",1,IF($E5545&lt;=INDEX(DarlBindung,12),1,0))</f>
      </c>
      <c r="H5545" s="43">
        <f>IF($G5545=1,INDEX(DarlSollzins,12),INDEX(DarlAnschluss,12))</f>
      </c>
      <c r="I5545" s="43">
        <f>IF(INDEX(DarlBelegt,12)=0,0,IF(INDEX(DarlOhneTilgung,12)=1,IF(INDEX(DarlBindung,12)="",1,$G5545),IF($J5545&gt;0.005,1,0)))</f>
      </c>
      <c r="J5545" s="43">
        <f>IF($I5544=0,0,$R5544)</f>
      </c>
      <c r="K5545" s="43">
        <f>IF($I5545=0,0,IF(INDEX(DarlOhneTilgung,12)=1,0,IF(AND(INDEX(DarlTilgStart,12)&gt;0,$E5545=INDEX(DarlTilgStart,12)),$J5545*($H5545+INDEX(DarlTilgung,12))/100/12,IF(AND($G5545=0,$G5544=1),MAX($K5544,$J5545*($H5545+1)/100/12),$K5544))))</f>
      </c>
      <c r="L5545" s="43">
        <f>IF($I5545=0,0,$J5545*$H5545/100/12)</f>
      </c>
      <c r="M5545" s="43">
        <f>IF($I5545=0,0,IF(OR(INDEX(DarlOhneTilgung,12)=1,AND(INDEX(DarlTilgStart,12)&gt;0,$E5545&lt;INDEX(DarlTilgStart,12))),0,MIN(MAX(0,$K5545-$L5545),$J5545)))</f>
      </c>
      <c r="N5545" s="43">
        <f>IF($I5545=0,0,MIN(SUMIFS(SondBetrag,SondDarl,12,SondDatum,"&gt;="&amp;$E5545,SondDatum,"&lt;="&amp;EOMONTH($E5545,0)),$J5545-$M5545))</f>
      </c>
      <c r="O5545" s="43">
        <f>IF($I5545=0,0,INDEX(DarlErsatzRate,12))</f>
      </c>
      <c r="P5545" s="43">
        <f>IF($I5545=0,0,$Q5544*INDEX(DarlErsatzZins,12))</f>
      </c>
      <c r="Q5545" s="43">
        <f>IF($I5545=0,0,$Q5544+$P5545+$O5545)</f>
      </c>
      <c r="R5545" s="43">
        <f>IF($I5545=0,0,$J5545-$M5545-$N5545)</f>
      </c>
    </row>
    <row r="5546">
      <c r="A5546"/>
      <c r="B5546">
        <v>12</v>
      </c>
      <c r="C5546" s="43">
        <f>INDEX(DarlObj,12)</f>
      </c>
      <c r="D5546">
        <v>263</v>
      </c>
      <c r="E5546" s="51">
        <f>IF(INDEX(DarlBelegt,12)=0,0,EOMONTH(INDEX(DarlAuszahlung,12),262)+1)</f>
      </c>
      <c r="F5546" s="43">
        <f>IF($E5546=0,0,YEAR($E5546))</f>
      </c>
      <c r="G5546" s="43">
        <f>IF(INDEX(DarlBindung,12)="",1,IF($E5546&lt;=INDEX(DarlBindung,12),1,0))</f>
      </c>
      <c r="H5546" s="43">
        <f>IF($G5546=1,INDEX(DarlSollzins,12),INDEX(DarlAnschluss,12))</f>
      </c>
      <c r="I5546" s="43">
        <f>IF(INDEX(DarlBelegt,12)=0,0,IF(INDEX(DarlOhneTilgung,12)=1,IF(INDEX(DarlBindung,12)="",1,$G5546),IF($J5546&gt;0.005,1,0)))</f>
      </c>
      <c r="J5546" s="43">
        <f>IF($I5545=0,0,$R5545)</f>
      </c>
      <c r="K5546" s="43">
        <f>IF($I5546=0,0,IF(INDEX(DarlOhneTilgung,12)=1,0,IF(AND(INDEX(DarlTilgStart,12)&gt;0,$E5546=INDEX(DarlTilgStart,12)),$J5546*($H5546+INDEX(DarlTilgung,12))/100/12,IF(AND($G5546=0,$G5545=1),MAX($K5545,$J5546*($H5546+1)/100/12),$K5545))))</f>
      </c>
      <c r="L5546" s="43">
        <f>IF($I5546=0,0,$J5546*$H5546/100/12)</f>
      </c>
      <c r="M5546" s="43">
        <f>IF($I5546=0,0,IF(OR(INDEX(DarlOhneTilgung,12)=1,AND(INDEX(DarlTilgStart,12)&gt;0,$E5546&lt;INDEX(DarlTilgStart,12))),0,MIN(MAX(0,$K5546-$L5546),$J5546)))</f>
      </c>
      <c r="N5546" s="43">
        <f>IF($I5546=0,0,MIN(SUMIFS(SondBetrag,SondDarl,12,SondDatum,"&gt;="&amp;$E5546,SondDatum,"&lt;="&amp;EOMONTH($E5546,0)),$J5546-$M5546))</f>
      </c>
      <c r="O5546" s="43">
        <f>IF($I5546=0,0,INDEX(DarlErsatzRate,12))</f>
      </c>
      <c r="P5546" s="43">
        <f>IF($I5546=0,0,$Q5545*INDEX(DarlErsatzZins,12))</f>
      </c>
      <c r="Q5546" s="43">
        <f>IF($I5546=0,0,$Q5545+$P5546+$O5546)</f>
      </c>
      <c r="R5546" s="43">
        <f>IF($I5546=0,0,$J5546-$M5546-$N5546)</f>
      </c>
    </row>
    <row r="5547">
      <c r="A5547"/>
      <c r="B5547">
        <v>12</v>
      </c>
      <c r="C5547" s="43">
        <f>INDEX(DarlObj,12)</f>
      </c>
      <c r="D5547">
        <v>264</v>
      </c>
      <c r="E5547" s="51">
        <f>IF(INDEX(DarlBelegt,12)=0,0,EOMONTH(INDEX(DarlAuszahlung,12),263)+1)</f>
      </c>
      <c r="F5547" s="43">
        <f>IF($E5547=0,0,YEAR($E5547))</f>
      </c>
      <c r="G5547" s="43">
        <f>IF(INDEX(DarlBindung,12)="",1,IF($E5547&lt;=INDEX(DarlBindung,12),1,0))</f>
      </c>
      <c r="H5547" s="43">
        <f>IF($G5547=1,INDEX(DarlSollzins,12),INDEX(DarlAnschluss,12))</f>
      </c>
      <c r="I5547" s="43">
        <f>IF(INDEX(DarlBelegt,12)=0,0,IF(INDEX(DarlOhneTilgung,12)=1,IF(INDEX(DarlBindung,12)="",1,$G5547),IF($J5547&gt;0.005,1,0)))</f>
      </c>
      <c r="J5547" s="43">
        <f>IF($I5546=0,0,$R5546)</f>
      </c>
      <c r="K5547" s="43">
        <f>IF($I5547=0,0,IF(INDEX(DarlOhneTilgung,12)=1,0,IF(AND(INDEX(DarlTilgStart,12)&gt;0,$E5547=INDEX(DarlTilgStart,12)),$J5547*($H5547+INDEX(DarlTilgung,12))/100/12,IF(AND($G5547=0,$G5546=1),MAX($K5546,$J5547*($H5547+1)/100/12),$K5546))))</f>
      </c>
      <c r="L5547" s="43">
        <f>IF($I5547=0,0,$J5547*$H5547/100/12)</f>
      </c>
      <c r="M5547" s="43">
        <f>IF($I5547=0,0,IF(OR(INDEX(DarlOhneTilgung,12)=1,AND(INDEX(DarlTilgStart,12)&gt;0,$E5547&lt;INDEX(DarlTilgStart,12))),0,MIN(MAX(0,$K5547-$L5547),$J5547)))</f>
      </c>
      <c r="N5547" s="43">
        <f>IF($I5547=0,0,MIN(SUMIFS(SondBetrag,SondDarl,12,SondDatum,"&gt;="&amp;$E5547,SondDatum,"&lt;="&amp;EOMONTH($E5547,0)),$J5547-$M5547))</f>
      </c>
      <c r="O5547" s="43">
        <f>IF($I5547=0,0,INDEX(DarlErsatzRate,12))</f>
      </c>
      <c r="P5547" s="43">
        <f>IF($I5547=0,0,$Q5546*INDEX(DarlErsatzZins,12))</f>
      </c>
      <c r="Q5547" s="43">
        <f>IF($I5547=0,0,$Q5546+$P5547+$O5547)</f>
      </c>
      <c r="R5547" s="43">
        <f>IF($I5547=0,0,$J5547-$M5547-$N5547)</f>
      </c>
    </row>
    <row r="5548">
      <c r="A5548"/>
      <c r="B5548">
        <v>12</v>
      </c>
      <c r="C5548" s="43">
        <f>INDEX(DarlObj,12)</f>
      </c>
      <c r="D5548">
        <v>265</v>
      </c>
      <c r="E5548" s="51">
        <f>IF(INDEX(DarlBelegt,12)=0,0,EOMONTH(INDEX(DarlAuszahlung,12),264)+1)</f>
      </c>
      <c r="F5548" s="43">
        <f>IF($E5548=0,0,YEAR($E5548))</f>
      </c>
      <c r="G5548" s="43">
        <f>IF(INDEX(DarlBindung,12)="",1,IF($E5548&lt;=INDEX(DarlBindung,12),1,0))</f>
      </c>
      <c r="H5548" s="43">
        <f>IF($G5548=1,INDEX(DarlSollzins,12),INDEX(DarlAnschluss,12))</f>
      </c>
      <c r="I5548" s="43">
        <f>IF(INDEX(DarlBelegt,12)=0,0,IF(INDEX(DarlOhneTilgung,12)=1,IF(INDEX(DarlBindung,12)="",1,$G5548),IF($J5548&gt;0.005,1,0)))</f>
      </c>
      <c r="J5548" s="43">
        <f>IF($I5547=0,0,$R5547)</f>
      </c>
      <c r="K5548" s="43">
        <f>IF($I5548=0,0,IF(INDEX(DarlOhneTilgung,12)=1,0,IF(AND(INDEX(DarlTilgStart,12)&gt;0,$E5548=INDEX(DarlTilgStart,12)),$J5548*($H5548+INDEX(DarlTilgung,12))/100/12,IF(AND($G5548=0,$G5547=1),MAX($K5547,$J5548*($H5548+1)/100/12),$K5547))))</f>
      </c>
      <c r="L5548" s="43">
        <f>IF($I5548=0,0,$J5548*$H5548/100/12)</f>
      </c>
      <c r="M5548" s="43">
        <f>IF($I5548=0,0,IF(OR(INDEX(DarlOhneTilgung,12)=1,AND(INDEX(DarlTilgStart,12)&gt;0,$E5548&lt;INDEX(DarlTilgStart,12))),0,MIN(MAX(0,$K5548-$L5548),$J5548)))</f>
      </c>
      <c r="N5548" s="43">
        <f>IF($I5548=0,0,MIN(SUMIFS(SondBetrag,SondDarl,12,SondDatum,"&gt;="&amp;$E5548,SondDatum,"&lt;="&amp;EOMONTH($E5548,0)),$J5548-$M5548))</f>
      </c>
      <c r="O5548" s="43">
        <f>IF($I5548=0,0,INDEX(DarlErsatzRate,12))</f>
      </c>
      <c r="P5548" s="43">
        <f>IF($I5548=0,0,$Q5547*INDEX(DarlErsatzZins,12))</f>
      </c>
      <c r="Q5548" s="43">
        <f>IF($I5548=0,0,$Q5547+$P5548+$O5548)</f>
      </c>
      <c r="R5548" s="43">
        <f>IF($I5548=0,0,$J5548-$M5548-$N5548)</f>
      </c>
    </row>
    <row r="5549">
      <c r="A5549"/>
      <c r="B5549">
        <v>12</v>
      </c>
      <c r="C5549" s="43">
        <f>INDEX(DarlObj,12)</f>
      </c>
      <c r="D5549">
        <v>266</v>
      </c>
      <c r="E5549" s="51">
        <f>IF(INDEX(DarlBelegt,12)=0,0,EOMONTH(INDEX(DarlAuszahlung,12),265)+1)</f>
      </c>
      <c r="F5549" s="43">
        <f>IF($E5549=0,0,YEAR($E5549))</f>
      </c>
      <c r="G5549" s="43">
        <f>IF(INDEX(DarlBindung,12)="",1,IF($E5549&lt;=INDEX(DarlBindung,12),1,0))</f>
      </c>
      <c r="H5549" s="43">
        <f>IF($G5549=1,INDEX(DarlSollzins,12),INDEX(DarlAnschluss,12))</f>
      </c>
      <c r="I5549" s="43">
        <f>IF(INDEX(DarlBelegt,12)=0,0,IF(INDEX(DarlOhneTilgung,12)=1,IF(INDEX(DarlBindung,12)="",1,$G5549),IF($J5549&gt;0.005,1,0)))</f>
      </c>
      <c r="J5549" s="43">
        <f>IF($I5548=0,0,$R5548)</f>
      </c>
      <c r="K5549" s="43">
        <f>IF($I5549=0,0,IF(INDEX(DarlOhneTilgung,12)=1,0,IF(AND(INDEX(DarlTilgStart,12)&gt;0,$E5549=INDEX(DarlTilgStart,12)),$J5549*($H5549+INDEX(DarlTilgung,12))/100/12,IF(AND($G5549=0,$G5548=1),MAX($K5548,$J5549*($H5549+1)/100/12),$K5548))))</f>
      </c>
      <c r="L5549" s="43">
        <f>IF($I5549=0,0,$J5549*$H5549/100/12)</f>
      </c>
      <c r="M5549" s="43">
        <f>IF($I5549=0,0,IF(OR(INDEX(DarlOhneTilgung,12)=1,AND(INDEX(DarlTilgStart,12)&gt;0,$E5549&lt;INDEX(DarlTilgStart,12))),0,MIN(MAX(0,$K5549-$L5549),$J5549)))</f>
      </c>
      <c r="N5549" s="43">
        <f>IF($I5549=0,0,MIN(SUMIFS(SondBetrag,SondDarl,12,SondDatum,"&gt;="&amp;$E5549,SondDatum,"&lt;="&amp;EOMONTH($E5549,0)),$J5549-$M5549))</f>
      </c>
      <c r="O5549" s="43">
        <f>IF($I5549=0,0,INDEX(DarlErsatzRate,12))</f>
      </c>
      <c r="P5549" s="43">
        <f>IF($I5549=0,0,$Q5548*INDEX(DarlErsatzZins,12))</f>
      </c>
      <c r="Q5549" s="43">
        <f>IF($I5549=0,0,$Q5548+$P5549+$O5549)</f>
      </c>
      <c r="R5549" s="43">
        <f>IF($I5549=0,0,$J5549-$M5549-$N5549)</f>
      </c>
    </row>
    <row r="5550">
      <c r="A5550"/>
      <c r="B5550">
        <v>12</v>
      </c>
      <c r="C5550" s="43">
        <f>INDEX(DarlObj,12)</f>
      </c>
      <c r="D5550">
        <v>267</v>
      </c>
      <c r="E5550" s="51">
        <f>IF(INDEX(DarlBelegt,12)=0,0,EOMONTH(INDEX(DarlAuszahlung,12),266)+1)</f>
      </c>
      <c r="F5550" s="43">
        <f>IF($E5550=0,0,YEAR($E5550))</f>
      </c>
      <c r="G5550" s="43">
        <f>IF(INDEX(DarlBindung,12)="",1,IF($E5550&lt;=INDEX(DarlBindung,12),1,0))</f>
      </c>
      <c r="H5550" s="43">
        <f>IF($G5550=1,INDEX(DarlSollzins,12),INDEX(DarlAnschluss,12))</f>
      </c>
      <c r="I5550" s="43">
        <f>IF(INDEX(DarlBelegt,12)=0,0,IF(INDEX(DarlOhneTilgung,12)=1,IF(INDEX(DarlBindung,12)="",1,$G5550),IF($J5550&gt;0.005,1,0)))</f>
      </c>
      <c r="J5550" s="43">
        <f>IF($I5549=0,0,$R5549)</f>
      </c>
      <c r="K5550" s="43">
        <f>IF($I5550=0,0,IF(INDEX(DarlOhneTilgung,12)=1,0,IF(AND(INDEX(DarlTilgStart,12)&gt;0,$E5550=INDEX(DarlTilgStart,12)),$J5550*($H5550+INDEX(DarlTilgung,12))/100/12,IF(AND($G5550=0,$G5549=1),MAX($K5549,$J5550*($H5550+1)/100/12),$K5549))))</f>
      </c>
      <c r="L5550" s="43">
        <f>IF($I5550=0,0,$J5550*$H5550/100/12)</f>
      </c>
      <c r="M5550" s="43">
        <f>IF($I5550=0,0,IF(OR(INDEX(DarlOhneTilgung,12)=1,AND(INDEX(DarlTilgStart,12)&gt;0,$E5550&lt;INDEX(DarlTilgStart,12))),0,MIN(MAX(0,$K5550-$L5550),$J5550)))</f>
      </c>
      <c r="N5550" s="43">
        <f>IF($I5550=0,0,MIN(SUMIFS(SondBetrag,SondDarl,12,SondDatum,"&gt;="&amp;$E5550,SondDatum,"&lt;="&amp;EOMONTH($E5550,0)),$J5550-$M5550))</f>
      </c>
      <c r="O5550" s="43">
        <f>IF($I5550=0,0,INDEX(DarlErsatzRate,12))</f>
      </c>
      <c r="P5550" s="43">
        <f>IF($I5550=0,0,$Q5549*INDEX(DarlErsatzZins,12))</f>
      </c>
      <c r="Q5550" s="43">
        <f>IF($I5550=0,0,$Q5549+$P5550+$O5550)</f>
      </c>
      <c r="R5550" s="43">
        <f>IF($I5550=0,0,$J5550-$M5550-$N5550)</f>
      </c>
    </row>
    <row r="5551">
      <c r="A5551"/>
      <c r="B5551">
        <v>12</v>
      </c>
      <c r="C5551" s="43">
        <f>INDEX(DarlObj,12)</f>
      </c>
      <c r="D5551">
        <v>268</v>
      </c>
      <c r="E5551" s="51">
        <f>IF(INDEX(DarlBelegt,12)=0,0,EOMONTH(INDEX(DarlAuszahlung,12),267)+1)</f>
      </c>
      <c r="F5551" s="43">
        <f>IF($E5551=0,0,YEAR($E5551))</f>
      </c>
      <c r="G5551" s="43">
        <f>IF(INDEX(DarlBindung,12)="",1,IF($E5551&lt;=INDEX(DarlBindung,12),1,0))</f>
      </c>
      <c r="H5551" s="43">
        <f>IF($G5551=1,INDEX(DarlSollzins,12),INDEX(DarlAnschluss,12))</f>
      </c>
      <c r="I5551" s="43">
        <f>IF(INDEX(DarlBelegt,12)=0,0,IF(INDEX(DarlOhneTilgung,12)=1,IF(INDEX(DarlBindung,12)="",1,$G5551),IF($J5551&gt;0.005,1,0)))</f>
      </c>
      <c r="J5551" s="43">
        <f>IF($I5550=0,0,$R5550)</f>
      </c>
      <c r="K5551" s="43">
        <f>IF($I5551=0,0,IF(INDEX(DarlOhneTilgung,12)=1,0,IF(AND(INDEX(DarlTilgStart,12)&gt;0,$E5551=INDEX(DarlTilgStart,12)),$J5551*($H5551+INDEX(DarlTilgung,12))/100/12,IF(AND($G5551=0,$G5550=1),MAX($K5550,$J5551*($H5551+1)/100/12),$K5550))))</f>
      </c>
      <c r="L5551" s="43">
        <f>IF($I5551=0,0,$J5551*$H5551/100/12)</f>
      </c>
      <c r="M5551" s="43">
        <f>IF($I5551=0,0,IF(OR(INDEX(DarlOhneTilgung,12)=1,AND(INDEX(DarlTilgStart,12)&gt;0,$E5551&lt;INDEX(DarlTilgStart,12))),0,MIN(MAX(0,$K5551-$L5551),$J5551)))</f>
      </c>
      <c r="N5551" s="43">
        <f>IF($I5551=0,0,MIN(SUMIFS(SondBetrag,SondDarl,12,SondDatum,"&gt;="&amp;$E5551,SondDatum,"&lt;="&amp;EOMONTH($E5551,0)),$J5551-$M5551))</f>
      </c>
      <c r="O5551" s="43">
        <f>IF($I5551=0,0,INDEX(DarlErsatzRate,12))</f>
      </c>
      <c r="P5551" s="43">
        <f>IF($I5551=0,0,$Q5550*INDEX(DarlErsatzZins,12))</f>
      </c>
      <c r="Q5551" s="43">
        <f>IF($I5551=0,0,$Q5550+$P5551+$O5551)</f>
      </c>
      <c r="R5551" s="43">
        <f>IF($I5551=0,0,$J5551-$M5551-$N5551)</f>
      </c>
    </row>
    <row r="5552">
      <c r="A5552"/>
      <c r="B5552">
        <v>12</v>
      </c>
      <c r="C5552" s="43">
        <f>INDEX(DarlObj,12)</f>
      </c>
      <c r="D5552">
        <v>269</v>
      </c>
      <c r="E5552" s="51">
        <f>IF(INDEX(DarlBelegt,12)=0,0,EOMONTH(INDEX(DarlAuszahlung,12),268)+1)</f>
      </c>
      <c r="F5552" s="43">
        <f>IF($E5552=0,0,YEAR($E5552))</f>
      </c>
      <c r="G5552" s="43">
        <f>IF(INDEX(DarlBindung,12)="",1,IF($E5552&lt;=INDEX(DarlBindung,12),1,0))</f>
      </c>
      <c r="H5552" s="43">
        <f>IF($G5552=1,INDEX(DarlSollzins,12),INDEX(DarlAnschluss,12))</f>
      </c>
      <c r="I5552" s="43">
        <f>IF(INDEX(DarlBelegt,12)=0,0,IF(INDEX(DarlOhneTilgung,12)=1,IF(INDEX(DarlBindung,12)="",1,$G5552),IF($J5552&gt;0.005,1,0)))</f>
      </c>
      <c r="J5552" s="43">
        <f>IF($I5551=0,0,$R5551)</f>
      </c>
      <c r="K5552" s="43">
        <f>IF($I5552=0,0,IF(INDEX(DarlOhneTilgung,12)=1,0,IF(AND(INDEX(DarlTilgStart,12)&gt;0,$E5552=INDEX(DarlTilgStart,12)),$J5552*($H5552+INDEX(DarlTilgung,12))/100/12,IF(AND($G5552=0,$G5551=1),MAX($K5551,$J5552*($H5552+1)/100/12),$K5551))))</f>
      </c>
      <c r="L5552" s="43">
        <f>IF($I5552=0,0,$J5552*$H5552/100/12)</f>
      </c>
      <c r="M5552" s="43">
        <f>IF($I5552=0,0,IF(OR(INDEX(DarlOhneTilgung,12)=1,AND(INDEX(DarlTilgStart,12)&gt;0,$E5552&lt;INDEX(DarlTilgStart,12))),0,MIN(MAX(0,$K5552-$L5552),$J5552)))</f>
      </c>
      <c r="N5552" s="43">
        <f>IF($I5552=0,0,MIN(SUMIFS(SondBetrag,SondDarl,12,SondDatum,"&gt;="&amp;$E5552,SondDatum,"&lt;="&amp;EOMONTH($E5552,0)),$J5552-$M5552))</f>
      </c>
      <c r="O5552" s="43">
        <f>IF($I5552=0,0,INDEX(DarlErsatzRate,12))</f>
      </c>
      <c r="P5552" s="43">
        <f>IF($I5552=0,0,$Q5551*INDEX(DarlErsatzZins,12))</f>
      </c>
      <c r="Q5552" s="43">
        <f>IF($I5552=0,0,$Q5551+$P5552+$O5552)</f>
      </c>
      <c r="R5552" s="43">
        <f>IF($I5552=0,0,$J5552-$M5552-$N5552)</f>
      </c>
    </row>
    <row r="5553">
      <c r="A5553"/>
      <c r="B5553">
        <v>12</v>
      </c>
      <c r="C5553" s="43">
        <f>INDEX(DarlObj,12)</f>
      </c>
      <c r="D5553">
        <v>270</v>
      </c>
      <c r="E5553" s="51">
        <f>IF(INDEX(DarlBelegt,12)=0,0,EOMONTH(INDEX(DarlAuszahlung,12),269)+1)</f>
      </c>
      <c r="F5553" s="43">
        <f>IF($E5553=0,0,YEAR($E5553))</f>
      </c>
      <c r="G5553" s="43">
        <f>IF(INDEX(DarlBindung,12)="",1,IF($E5553&lt;=INDEX(DarlBindung,12),1,0))</f>
      </c>
      <c r="H5553" s="43">
        <f>IF($G5553=1,INDEX(DarlSollzins,12),INDEX(DarlAnschluss,12))</f>
      </c>
      <c r="I5553" s="43">
        <f>IF(INDEX(DarlBelegt,12)=0,0,IF(INDEX(DarlOhneTilgung,12)=1,IF(INDEX(DarlBindung,12)="",1,$G5553),IF($J5553&gt;0.005,1,0)))</f>
      </c>
      <c r="J5553" s="43">
        <f>IF($I5552=0,0,$R5552)</f>
      </c>
      <c r="K5553" s="43">
        <f>IF($I5553=0,0,IF(INDEX(DarlOhneTilgung,12)=1,0,IF(AND(INDEX(DarlTilgStart,12)&gt;0,$E5553=INDEX(DarlTilgStart,12)),$J5553*($H5553+INDEX(DarlTilgung,12))/100/12,IF(AND($G5553=0,$G5552=1),MAX($K5552,$J5553*($H5553+1)/100/12),$K5552))))</f>
      </c>
      <c r="L5553" s="43">
        <f>IF($I5553=0,0,$J5553*$H5553/100/12)</f>
      </c>
      <c r="M5553" s="43">
        <f>IF($I5553=0,0,IF(OR(INDEX(DarlOhneTilgung,12)=1,AND(INDEX(DarlTilgStart,12)&gt;0,$E5553&lt;INDEX(DarlTilgStart,12))),0,MIN(MAX(0,$K5553-$L5553),$J5553)))</f>
      </c>
      <c r="N5553" s="43">
        <f>IF($I5553=0,0,MIN(SUMIFS(SondBetrag,SondDarl,12,SondDatum,"&gt;="&amp;$E5553,SondDatum,"&lt;="&amp;EOMONTH($E5553,0)),$J5553-$M5553))</f>
      </c>
      <c r="O5553" s="43">
        <f>IF($I5553=0,0,INDEX(DarlErsatzRate,12))</f>
      </c>
      <c r="P5553" s="43">
        <f>IF($I5553=0,0,$Q5552*INDEX(DarlErsatzZins,12))</f>
      </c>
      <c r="Q5553" s="43">
        <f>IF($I5553=0,0,$Q5552+$P5553+$O5553)</f>
      </c>
      <c r="R5553" s="43">
        <f>IF($I5553=0,0,$J5553-$M5553-$N5553)</f>
      </c>
    </row>
    <row r="5554">
      <c r="A5554"/>
      <c r="B5554">
        <v>12</v>
      </c>
      <c r="C5554" s="43">
        <f>INDEX(DarlObj,12)</f>
      </c>
      <c r="D5554">
        <v>271</v>
      </c>
      <c r="E5554" s="51">
        <f>IF(INDEX(DarlBelegt,12)=0,0,EOMONTH(INDEX(DarlAuszahlung,12),270)+1)</f>
      </c>
      <c r="F5554" s="43">
        <f>IF($E5554=0,0,YEAR($E5554))</f>
      </c>
      <c r="G5554" s="43">
        <f>IF(INDEX(DarlBindung,12)="",1,IF($E5554&lt;=INDEX(DarlBindung,12),1,0))</f>
      </c>
      <c r="H5554" s="43">
        <f>IF($G5554=1,INDEX(DarlSollzins,12),INDEX(DarlAnschluss,12))</f>
      </c>
      <c r="I5554" s="43">
        <f>IF(INDEX(DarlBelegt,12)=0,0,IF(INDEX(DarlOhneTilgung,12)=1,IF(INDEX(DarlBindung,12)="",1,$G5554),IF($J5554&gt;0.005,1,0)))</f>
      </c>
      <c r="J5554" s="43">
        <f>IF($I5553=0,0,$R5553)</f>
      </c>
      <c r="K5554" s="43">
        <f>IF($I5554=0,0,IF(INDEX(DarlOhneTilgung,12)=1,0,IF(AND(INDEX(DarlTilgStart,12)&gt;0,$E5554=INDEX(DarlTilgStart,12)),$J5554*($H5554+INDEX(DarlTilgung,12))/100/12,IF(AND($G5554=0,$G5553=1),MAX($K5553,$J5554*($H5554+1)/100/12),$K5553))))</f>
      </c>
      <c r="L5554" s="43">
        <f>IF($I5554=0,0,$J5554*$H5554/100/12)</f>
      </c>
      <c r="M5554" s="43">
        <f>IF($I5554=0,0,IF(OR(INDEX(DarlOhneTilgung,12)=1,AND(INDEX(DarlTilgStart,12)&gt;0,$E5554&lt;INDEX(DarlTilgStart,12))),0,MIN(MAX(0,$K5554-$L5554),$J5554)))</f>
      </c>
      <c r="N5554" s="43">
        <f>IF($I5554=0,0,MIN(SUMIFS(SondBetrag,SondDarl,12,SondDatum,"&gt;="&amp;$E5554,SondDatum,"&lt;="&amp;EOMONTH($E5554,0)),$J5554-$M5554))</f>
      </c>
      <c r="O5554" s="43">
        <f>IF($I5554=0,0,INDEX(DarlErsatzRate,12))</f>
      </c>
      <c r="P5554" s="43">
        <f>IF($I5554=0,0,$Q5553*INDEX(DarlErsatzZins,12))</f>
      </c>
      <c r="Q5554" s="43">
        <f>IF($I5554=0,0,$Q5553+$P5554+$O5554)</f>
      </c>
      <c r="R5554" s="43">
        <f>IF($I5554=0,0,$J5554-$M5554-$N5554)</f>
      </c>
    </row>
    <row r="5555">
      <c r="A5555"/>
      <c r="B5555">
        <v>12</v>
      </c>
      <c r="C5555" s="43">
        <f>INDEX(DarlObj,12)</f>
      </c>
      <c r="D5555">
        <v>272</v>
      </c>
      <c r="E5555" s="51">
        <f>IF(INDEX(DarlBelegt,12)=0,0,EOMONTH(INDEX(DarlAuszahlung,12),271)+1)</f>
      </c>
      <c r="F5555" s="43">
        <f>IF($E5555=0,0,YEAR($E5555))</f>
      </c>
      <c r="G5555" s="43">
        <f>IF(INDEX(DarlBindung,12)="",1,IF($E5555&lt;=INDEX(DarlBindung,12),1,0))</f>
      </c>
      <c r="H5555" s="43">
        <f>IF($G5555=1,INDEX(DarlSollzins,12),INDEX(DarlAnschluss,12))</f>
      </c>
      <c r="I5555" s="43">
        <f>IF(INDEX(DarlBelegt,12)=0,0,IF(INDEX(DarlOhneTilgung,12)=1,IF(INDEX(DarlBindung,12)="",1,$G5555),IF($J5555&gt;0.005,1,0)))</f>
      </c>
      <c r="J5555" s="43">
        <f>IF($I5554=0,0,$R5554)</f>
      </c>
      <c r="K5555" s="43">
        <f>IF($I5555=0,0,IF(INDEX(DarlOhneTilgung,12)=1,0,IF(AND(INDEX(DarlTilgStart,12)&gt;0,$E5555=INDEX(DarlTilgStart,12)),$J5555*($H5555+INDEX(DarlTilgung,12))/100/12,IF(AND($G5555=0,$G5554=1),MAX($K5554,$J5555*($H5555+1)/100/12),$K5554))))</f>
      </c>
      <c r="L5555" s="43">
        <f>IF($I5555=0,0,$J5555*$H5555/100/12)</f>
      </c>
      <c r="M5555" s="43">
        <f>IF($I5555=0,0,IF(OR(INDEX(DarlOhneTilgung,12)=1,AND(INDEX(DarlTilgStart,12)&gt;0,$E5555&lt;INDEX(DarlTilgStart,12))),0,MIN(MAX(0,$K5555-$L5555),$J5555)))</f>
      </c>
      <c r="N5555" s="43">
        <f>IF($I5555=0,0,MIN(SUMIFS(SondBetrag,SondDarl,12,SondDatum,"&gt;="&amp;$E5555,SondDatum,"&lt;="&amp;EOMONTH($E5555,0)),$J5555-$M5555))</f>
      </c>
      <c r="O5555" s="43">
        <f>IF($I5555=0,0,INDEX(DarlErsatzRate,12))</f>
      </c>
      <c r="P5555" s="43">
        <f>IF($I5555=0,0,$Q5554*INDEX(DarlErsatzZins,12))</f>
      </c>
      <c r="Q5555" s="43">
        <f>IF($I5555=0,0,$Q5554+$P5555+$O5555)</f>
      </c>
      <c r="R5555" s="43">
        <f>IF($I5555=0,0,$J5555-$M5555-$N5555)</f>
      </c>
    </row>
    <row r="5556">
      <c r="A5556"/>
      <c r="B5556">
        <v>12</v>
      </c>
      <c r="C5556" s="43">
        <f>INDEX(DarlObj,12)</f>
      </c>
      <c r="D5556">
        <v>273</v>
      </c>
      <c r="E5556" s="51">
        <f>IF(INDEX(DarlBelegt,12)=0,0,EOMONTH(INDEX(DarlAuszahlung,12),272)+1)</f>
      </c>
      <c r="F5556" s="43">
        <f>IF($E5556=0,0,YEAR($E5556))</f>
      </c>
      <c r="G5556" s="43">
        <f>IF(INDEX(DarlBindung,12)="",1,IF($E5556&lt;=INDEX(DarlBindung,12),1,0))</f>
      </c>
      <c r="H5556" s="43">
        <f>IF($G5556=1,INDEX(DarlSollzins,12),INDEX(DarlAnschluss,12))</f>
      </c>
      <c r="I5556" s="43">
        <f>IF(INDEX(DarlBelegt,12)=0,0,IF(INDEX(DarlOhneTilgung,12)=1,IF(INDEX(DarlBindung,12)="",1,$G5556),IF($J5556&gt;0.005,1,0)))</f>
      </c>
      <c r="J5556" s="43">
        <f>IF($I5555=0,0,$R5555)</f>
      </c>
      <c r="K5556" s="43">
        <f>IF($I5556=0,0,IF(INDEX(DarlOhneTilgung,12)=1,0,IF(AND(INDEX(DarlTilgStart,12)&gt;0,$E5556=INDEX(DarlTilgStart,12)),$J5556*($H5556+INDEX(DarlTilgung,12))/100/12,IF(AND($G5556=0,$G5555=1),MAX($K5555,$J5556*($H5556+1)/100/12),$K5555))))</f>
      </c>
      <c r="L5556" s="43">
        <f>IF($I5556=0,0,$J5556*$H5556/100/12)</f>
      </c>
      <c r="M5556" s="43">
        <f>IF($I5556=0,0,IF(OR(INDEX(DarlOhneTilgung,12)=1,AND(INDEX(DarlTilgStart,12)&gt;0,$E5556&lt;INDEX(DarlTilgStart,12))),0,MIN(MAX(0,$K5556-$L5556),$J5556)))</f>
      </c>
      <c r="N5556" s="43">
        <f>IF($I5556=0,0,MIN(SUMIFS(SondBetrag,SondDarl,12,SondDatum,"&gt;="&amp;$E5556,SondDatum,"&lt;="&amp;EOMONTH($E5556,0)),$J5556-$M5556))</f>
      </c>
      <c r="O5556" s="43">
        <f>IF($I5556=0,0,INDEX(DarlErsatzRate,12))</f>
      </c>
      <c r="P5556" s="43">
        <f>IF($I5556=0,0,$Q5555*INDEX(DarlErsatzZins,12))</f>
      </c>
      <c r="Q5556" s="43">
        <f>IF($I5556=0,0,$Q5555+$P5556+$O5556)</f>
      </c>
      <c r="R5556" s="43">
        <f>IF($I5556=0,0,$J5556-$M5556-$N5556)</f>
      </c>
    </row>
    <row r="5557">
      <c r="A5557"/>
      <c r="B5557">
        <v>12</v>
      </c>
      <c r="C5557" s="43">
        <f>INDEX(DarlObj,12)</f>
      </c>
      <c r="D5557">
        <v>274</v>
      </c>
      <c r="E5557" s="51">
        <f>IF(INDEX(DarlBelegt,12)=0,0,EOMONTH(INDEX(DarlAuszahlung,12),273)+1)</f>
      </c>
      <c r="F5557" s="43">
        <f>IF($E5557=0,0,YEAR($E5557))</f>
      </c>
      <c r="G5557" s="43">
        <f>IF(INDEX(DarlBindung,12)="",1,IF($E5557&lt;=INDEX(DarlBindung,12),1,0))</f>
      </c>
      <c r="H5557" s="43">
        <f>IF($G5557=1,INDEX(DarlSollzins,12),INDEX(DarlAnschluss,12))</f>
      </c>
      <c r="I5557" s="43">
        <f>IF(INDEX(DarlBelegt,12)=0,0,IF(INDEX(DarlOhneTilgung,12)=1,IF(INDEX(DarlBindung,12)="",1,$G5557),IF($J5557&gt;0.005,1,0)))</f>
      </c>
      <c r="J5557" s="43">
        <f>IF($I5556=0,0,$R5556)</f>
      </c>
      <c r="K5557" s="43">
        <f>IF($I5557=0,0,IF(INDEX(DarlOhneTilgung,12)=1,0,IF(AND(INDEX(DarlTilgStart,12)&gt;0,$E5557=INDEX(DarlTilgStart,12)),$J5557*($H5557+INDEX(DarlTilgung,12))/100/12,IF(AND($G5557=0,$G5556=1),MAX($K5556,$J5557*($H5557+1)/100/12),$K5556))))</f>
      </c>
      <c r="L5557" s="43">
        <f>IF($I5557=0,0,$J5557*$H5557/100/12)</f>
      </c>
      <c r="M5557" s="43">
        <f>IF($I5557=0,0,IF(OR(INDEX(DarlOhneTilgung,12)=1,AND(INDEX(DarlTilgStart,12)&gt;0,$E5557&lt;INDEX(DarlTilgStart,12))),0,MIN(MAX(0,$K5557-$L5557),$J5557)))</f>
      </c>
      <c r="N5557" s="43">
        <f>IF($I5557=0,0,MIN(SUMIFS(SondBetrag,SondDarl,12,SondDatum,"&gt;="&amp;$E5557,SondDatum,"&lt;="&amp;EOMONTH($E5557,0)),$J5557-$M5557))</f>
      </c>
      <c r="O5557" s="43">
        <f>IF($I5557=0,0,INDEX(DarlErsatzRate,12))</f>
      </c>
      <c r="P5557" s="43">
        <f>IF($I5557=0,0,$Q5556*INDEX(DarlErsatzZins,12))</f>
      </c>
      <c r="Q5557" s="43">
        <f>IF($I5557=0,0,$Q5556+$P5557+$O5557)</f>
      </c>
      <c r="R5557" s="43">
        <f>IF($I5557=0,0,$J5557-$M5557-$N5557)</f>
      </c>
    </row>
    <row r="5558">
      <c r="A5558"/>
      <c r="B5558">
        <v>12</v>
      </c>
      <c r="C5558" s="43">
        <f>INDEX(DarlObj,12)</f>
      </c>
      <c r="D5558">
        <v>275</v>
      </c>
      <c r="E5558" s="51">
        <f>IF(INDEX(DarlBelegt,12)=0,0,EOMONTH(INDEX(DarlAuszahlung,12),274)+1)</f>
      </c>
      <c r="F5558" s="43">
        <f>IF($E5558=0,0,YEAR($E5558))</f>
      </c>
      <c r="G5558" s="43">
        <f>IF(INDEX(DarlBindung,12)="",1,IF($E5558&lt;=INDEX(DarlBindung,12),1,0))</f>
      </c>
      <c r="H5558" s="43">
        <f>IF($G5558=1,INDEX(DarlSollzins,12),INDEX(DarlAnschluss,12))</f>
      </c>
      <c r="I5558" s="43">
        <f>IF(INDEX(DarlBelegt,12)=0,0,IF(INDEX(DarlOhneTilgung,12)=1,IF(INDEX(DarlBindung,12)="",1,$G5558),IF($J5558&gt;0.005,1,0)))</f>
      </c>
      <c r="J5558" s="43">
        <f>IF($I5557=0,0,$R5557)</f>
      </c>
      <c r="K5558" s="43">
        <f>IF($I5558=0,0,IF(INDEX(DarlOhneTilgung,12)=1,0,IF(AND(INDEX(DarlTilgStart,12)&gt;0,$E5558=INDEX(DarlTilgStart,12)),$J5558*($H5558+INDEX(DarlTilgung,12))/100/12,IF(AND($G5558=0,$G5557=1),MAX($K5557,$J5558*($H5558+1)/100/12),$K5557))))</f>
      </c>
      <c r="L5558" s="43">
        <f>IF($I5558=0,0,$J5558*$H5558/100/12)</f>
      </c>
      <c r="M5558" s="43">
        <f>IF($I5558=0,0,IF(OR(INDEX(DarlOhneTilgung,12)=1,AND(INDEX(DarlTilgStart,12)&gt;0,$E5558&lt;INDEX(DarlTilgStart,12))),0,MIN(MAX(0,$K5558-$L5558),$J5558)))</f>
      </c>
      <c r="N5558" s="43">
        <f>IF($I5558=0,0,MIN(SUMIFS(SondBetrag,SondDarl,12,SondDatum,"&gt;="&amp;$E5558,SondDatum,"&lt;="&amp;EOMONTH($E5558,0)),$J5558-$M5558))</f>
      </c>
      <c r="O5558" s="43">
        <f>IF($I5558=0,0,INDEX(DarlErsatzRate,12))</f>
      </c>
      <c r="P5558" s="43">
        <f>IF($I5558=0,0,$Q5557*INDEX(DarlErsatzZins,12))</f>
      </c>
      <c r="Q5558" s="43">
        <f>IF($I5558=0,0,$Q5557+$P5558+$O5558)</f>
      </c>
      <c r="R5558" s="43">
        <f>IF($I5558=0,0,$J5558-$M5558-$N5558)</f>
      </c>
    </row>
    <row r="5559">
      <c r="A5559"/>
      <c r="B5559">
        <v>12</v>
      </c>
      <c r="C5559" s="43">
        <f>INDEX(DarlObj,12)</f>
      </c>
      <c r="D5559">
        <v>276</v>
      </c>
      <c r="E5559" s="51">
        <f>IF(INDEX(DarlBelegt,12)=0,0,EOMONTH(INDEX(DarlAuszahlung,12),275)+1)</f>
      </c>
      <c r="F5559" s="43">
        <f>IF($E5559=0,0,YEAR($E5559))</f>
      </c>
      <c r="G5559" s="43">
        <f>IF(INDEX(DarlBindung,12)="",1,IF($E5559&lt;=INDEX(DarlBindung,12),1,0))</f>
      </c>
      <c r="H5559" s="43">
        <f>IF($G5559=1,INDEX(DarlSollzins,12),INDEX(DarlAnschluss,12))</f>
      </c>
      <c r="I5559" s="43">
        <f>IF(INDEX(DarlBelegt,12)=0,0,IF(INDEX(DarlOhneTilgung,12)=1,IF(INDEX(DarlBindung,12)="",1,$G5559),IF($J5559&gt;0.005,1,0)))</f>
      </c>
      <c r="J5559" s="43">
        <f>IF($I5558=0,0,$R5558)</f>
      </c>
      <c r="K5559" s="43">
        <f>IF($I5559=0,0,IF(INDEX(DarlOhneTilgung,12)=1,0,IF(AND(INDEX(DarlTilgStart,12)&gt;0,$E5559=INDEX(DarlTilgStart,12)),$J5559*($H5559+INDEX(DarlTilgung,12))/100/12,IF(AND($G5559=0,$G5558=1),MAX($K5558,$J5559*($H5559+1)/100/12),$K5558))))</f>
      </c>
      <c r="L5559" s="43">
        <f>IF($I5559=0,0,$J5559*$H5559/100/12)</f>
      </c>
      <c r="M5559" s="43">
        <f>IF($I5559=0,0,IF(OR(INDEX(DarlOhneTilgung,12)=1,AND(INDEX(DarlTilgStart,12)&gt;0,$E5559&lt;INDEX(DarlTilgStart,12))),0,MIN(MAX(0,$K5559-$L5559),$J5559)))</f>
      </c>
      <c r="N5559" s="43">
        <f>IF($I5559=0,0,MIN(SUMIFS(SondBetrag,SondDarl,12,SondDatum,"&gt;="&amp;$E5559,SondDatum,"&lt;="&amp;EOMONTH($E5559,0)),$J5559-$M5559))</f>
      </c>
      <c r="O5559" s="43">
        <f>IF($I5559=0,0,INDEX(DarlErsatzRate,12))</f>
      </c>
      <c r="P5559" s="43">
        <f>IF($I5559=0,0,$Q5558*INDEX(DarlErsatzZins,12))</f>
      </c>
      <c r="Q5559" s="43">
        <f>IF($I5559=0,0,$Q5558+$P5559+$O5559)</f>
      </c>
      <c r="R5559" s="43">
        <f>IF($I5559=0,0,$J5559-$M5559-$N5559)</f>
      </c>
    </row>
    <row r="5560">
      <c r="A5560"/>
      <c r="B5560">
        <v>12</v>
      </c>
      <c r="C5560" s="43">
        <f>INDEX(DarlObj,12)</f>
      </c>
      <c r="D5560">
        <v>277</v>
      </c>
      <c r="E5560" s="51">
        <f>IF(INDEX(DarlBelegt,12)=0,0,EOMONTH(INDEX(DarlAuszahlung,12),276)+1)</f>
      </c>
      <c r="F5560" s="43">
        <f>IF($E5560=0,0,YEAR($E5560))</f>
      </c>
      <c r="G5560" s="43">
        <f>IF(INDEX(DarlBindung,12)="",1,IF($E5560&lt;=INDEX(DarlBindung,12),1,0))</f>
      </c>
      <c r="H5560" s="43">
        <f>IF($G5560=1,INDEX(DarlSollzins,12),INDEX(DarlAnschluss,12))</f>
      </c>
      <c r="I5560" s="43">
        <f>IF(INDEX(DarlBelegt,12)=0,0,IF(INDEX(DarlOhneTilgung,12)=1,IF(INDEX(DarlBindung,12)="",1,$G5560),IF($J5560&gt;0.005,1,0)))</f>
      </c>
      <c r="J5560" s="43">
        <f>IF($I5559=0,0,$R5559)</f>
      </c>
      <c r="K5560" s="43">
        <f>IF($I5560=0,0,IF(INDEX(DarlOhneTilgung,12)=1,0,IF(AND(INDEX(DarlTilgStart,12)&gt;0,$E5560=INDEX(DarlTilgStart,12)),$J5560*($H5560+INDEX(DarlTilgung,12))/100/12,IF(AND($G5560=0,$G5559=1),MAX($K5559,$J5560*($H5560+1)/100/12),$K5559))))</f>
      </c>
      <c r="L5560" s="43">
        <f>IF($I5560=0,0,$J5560*$H5560/100/12)</f>
      </c>
      <c r="M5560" s="43">
        <f>IF($I5560=0,0,IF(OR(INDEX(DarlOhneTilgung,12)=1,AND(INDEX(DarlTilgStart,12)&gt;0,$E5560&lt;INDEX(DarlTilgStart,12))),0,MIN(MAX(0,$K5560-$L5560),$J5560)))</f>
      </c>
      <c r="N5560" s="43">
        <f>IF($I5560=0,0,MIN(SUMIFS(SondBetrag,SondDarl,12,SondDatum,"&gt;="&amp;$E5560,SondDatum,"&lt;="&amp;EOMONTH($E5560,0)),$J5560-$M5560))</f>
      </c>
      <c r="O5560" s="43">
        <f>IF($I5560=0,0,INDEX(DarlErsatzRate,12))</f>
      </c>
      <c r="P5560" s="43">
        <f>IF($I5560=0,0,$Q5559*INDEX(DarlErsatzZins,12))</f>
      </c>
      <c r="Q5560" s="43">
        <f>IF($I5560=0,0,$Q5559+$P5560+$O5560)</f>
      </c>
      <c r="R5560" s="43">
        <f>IF($I5560=0,0,$J5560-$M5560-$N5560)</f>
      </c>
    </row>
    <row r="5561">
      <c r="A5561"/>
      <c r="B5561">
        <v>12</v>
      </c>
      <c r="C5561" s="43">
        <f>INDEX(DarlObj,12)</f>
      </c>
      <c r="D5561">
        <v>278</v>
      </c>
      <c r="E5561" s="51">
        <f>IF(INDEX(DarlBelegt,12)=0,0,EOMONTH(INDEX(DarlAuszahlung,12),277)+1)</f>
      </c>
      <c r="F5561" s="43">
        <f>IF($E5561=0,0,YEAR($E5561))</f>
      </c>
      <c r="G5561" s="43">
        <f>IF(INDEX(DarlBindung,12)="",1,IF($E5561&lt;=INDEX(DarlBindung,12),1,0))</f>
      </c>
      <c r="H5561" s="43">
        <f>IF($G5561=1,INDEX(DarlSollzins,12),INDEX(DarlAnschluss,12))</f>
      </c>
      <c r="I5561" s="43">
        <f>IF(INDEX(DarlBelegt,12)=0,0,IF(INDEX(DarlOhneTilgung,12)=1,IF(INDEX(DarlBindung,12)="",1,$G5561),IF($J5561&gt;0.005,1,0)))</f>
      </c>
      <c r="J5561" s="43">
        <f>IF($I5560=0,0,$R5560)</f>
      </c>
      <c r="K5561" s="43">
        <f>IF($I5561=0,0,IF(INDEX(DarlOhneTilgung,12)=1,0,IF(AND(INDEX(DarlTilgStart,12)&gt;0,$E5561=INDEX(DarlTilgStart,12)),$J5561*($H5561+INDEX(DarlTilgung,12))/100/12,IF(AND($G5561=0,$G5560=1),MAX($K5560,$J5561*($H5561+1)/100/12),$K5560))))</f>
      </c>
      <c r="L5561" s="43">
        <f>IF($I5561=0,0,$J5561*$H5561/100/12)</f>
      </c>
      <c r="M5561" s="43">
        <f>IF($I5561=0,0,IF(OR(INDEX(DarlOhneTilgung,12)=1,AND(INDEX(DarlTilgStart,12)&gt;0,$E5561&lt;INDEX(DarlTilgStart,12))),0,MIN(MAX(0,$K5561-$L5561),$J5561)))</f>
      </c>
      <c r="N5561" s="43">
        <f>IF($I5561=0,0,MIN(SUMIFS(SondBetrag,SondDarl,12,SondDatum,"&gt;="&amp;$E5561,SondDatum,"&lt;="&amp;EOMONTH($E5561,0)),$J5561-$M5561))</f>
      </c>
      <c r="O5561" s="43">
        <f>IF($I5561=0,0,INDEX(DarlErsatzRate,12))</f>
      </c>
      <c r="P5561" s="43">
        <f>IF($I5561=0,0,$Q5560*INDEX(DarlErsatzZins,12))</f>
      </c>
      <c r="Q5561" s="43">
        <f>IF($I5561=0,0,$Q5560+$P5561+$O5561)</f>
      </c>
      <c r="R5561" s="43">
        <f>IF($I5561=0,0,$J5561-$M5561-$N5561)</f>
      </c>
    </row>
    <row r="5562">
      <c r="A5562"/>
      <c r="B5562">
        <v>12</v>
      </c>
      <c r="C5562" s="43">
        <f>INDEX(DarlObj,12)</f>
      </c>
      <c r="D5562">
        <v>279</v>
      </c>
      <c r="E5562" s="51">
        <f>IF(INDEX(DarlBelegt,12)=0,0,EOMONTH(INDEX(DarlAuszahlung,12),278)+1)</f>
      </c>
      <c r="F5562" s="43">
        <f>IF($E5562=0,0,YEAR($E5562))</f>
      </c>
      <c r="G5562" s="43">
        <f>IF(INDEX(DarlBindung,12)="",1,IF($E5562&lt;=INDEX(DarlBindung,12),1,0))</f>
      </c>
      <c r="H5562" s="43">
        <f>IF($G5562=1,INDEX(DarlSollzins,12),INDEX(DarlAnschluss,12))</f>
      </c>
      <c r="I5562" s="43">
        <f>IF(INDEX(DarlBelegt,12)=0,0,IF(INDEX(DarlOhneTilgung,12)=1,IF(INDEX(DarlBindung,12)="",1,$G5562),IF($J5562&gt;0.005,1,0)))</f>
      </c>
      <c r="J5562" s="43">
        <f>IF($I5561=0,0,$R5561)</f>
      </c>
      <c r="K5562" s="43">
        <f>IF($I5562=0,0,IF(INDEX(DarlOhneTilgung,12)=1,0,IF(AND(INDEX(DarlTilgStart,12)&gt;0,$E5562=INDEX(DarlTilgStart,12)),$J5562*($H5562+INDEX(DarlTilgung,12))/100/12,IF(AND($G5562=0,$G5561=1),MAX($K5561,$J5562*($H5562+1)/100/12),$K5561))))</f>
      </c>
      <c r="L5562" s="43">
        <f>IF($I5562=0,0,$J5562*$H5562/100/12)</f>
      </c>
      <c r="M5562" s="43">
        <f>IF($I5562=0,0,IF(OR(INDEX(DarlOhneTilgung,12)=1,AND(INDEX(DarlTilgStart,12)&gt;0,$E5562&lt;INDEX(DarlTilgStart,12))),0,MIN(MAX(0,$K5562-$L5562),$J5562)))</f>
      </c>
      <c r="N5562" s="43">
        <f>IF($I5562=0,0,MIN(SUMIFS(SondBetrag,SondDarl,12,SondDatum,"&gt;="&amp;$E5562,SondDatum,"&lt;="&amp;EOMONTH($E5562,0)),$J5562-$M5562))</f>
      </c>
      <c r="O5562" s="43">
        <f>IF($I5562=0,0,INDEX(DarlErsatzRate,12))</f>
      </c>
      <c r="P5562" s="43">
        <f>IF($I5562=0,0,$Q5561*INDEX(DarlErsatzZins,12))</f>
      </c>
      <c r="Q5562" s="43">
        <f>IF($I5562=0,0,$Q5561+$P5562+$O5562)</f>
      </c>
      <c r="R5562" s="43">
        <f>IF($I5562=0,0,$J5562-$M5562-$N5562)</f>
      </c>
    </row>
    <row r="5563">
      <c r="A5563"/>
      <c r="B5563">
        <v>12</v>
      </c>
      <c r="C5563" s="43">
        <f>INDEX(DarlObj,12)</f>
      </c>
      <c r="D5563">
        <v>280</v>
      </c>
      <c r="E5563" s="51">
        <f>IF(INDEX(DarlBelegt,12)=0,0,EOMONTH(INDEX(DarlAuszahlung,12),279)+1)</f>
      </c>
      <c r="F5563" s="43">
        <f>IF($E5563=0,0,YEAR($E5563))</f>
      </c>
      <c r="G5563" s="43">
        <f>IF(INDEX(DarlBindung,12)="",1,IF($E5563&lt;=INDEX(DarlBindung,12),1,0))</f>
      </c>
      <c r="H5563" s="43">
        <f>IF($G5563=1,INDEX(DarlSollzins,12),INDEX(DarlAnschluss,12))</f>
      </c>
      <c r="I5563" s="43">
        <f>IF(INDEX(DarlBelegt,12)=0,0,IF(INDEX(DarlOhneTilgung,12)=1,IF(INDEX(DarlBindung,12)="",1,$G5563),IF($J5563&gt;0.005,1,0)))</f>
      </c>
      <c r="J5563" s="43">
        <f>IF($I5562=0,0,$R5562)</f>
      </c>
      <c r="K5563" s="43">
        <f>IF($I5563=0,0,IF(INDEX(DarlOhneTilgung,12)=1,0,IF(AND(INDEX(DarlTilgStart,12)&gt;0,$E5563=INDEX(DarlTilgStart,12)),$J5563*($H5563+INDEX(DarlTilgung,12))/100/12,IF(AND($G5563=0,$G5562=1),MAX($K5562,$J5563*($H5563+1)/100/12),$K5562))))</f>
      </c>
      <c r="L5563" s="43">
        <f>IF($I5563=0,0,$J5563*$H5563/100/12)</f>
      </c>
      <c r="M5563" s="43">
        <f>IF($I5563=0,0,IF(OR(INDEX(DarlOhneTilgung,12)=1,AND(INDEX(DarlTilgStart,12)&gt;0,$E5563&lt;INDEX(DarlTilgStart,12))),0,MIN(MAX(0,$K5563-$L5563),$J5563)))</f>
      </c>
      <c r="N5563" s="43">
        <f>IF($I5563=0,0,MIN(SUMIFS(SondBetrag,SondDarl,12,SondDatum,"&gt;="&amp;$E5563,SondDatum,"&lt;="&amp;EOMONTH($E5563,0)),$J5563-$M5563))</f>
      </c>
      <c r="O5563" s="43">
        <f>IF($I5563=0,0,INDEX(DarlErsatzRate,12))</f>
      </c>
      <c r="P5563" s="43">
        <f>IF($I5563=0,0,$Q5562*INDEX(DarlErsatzZins,12))</f>
      </c>
      <c r="Q5563" s="43">
        <f>IF($I5563=0,0,$Q5562+$P5563+$O5563)</f>
      </c>
      <c r="R5563" s="43">
        <f>IF($I5563=0,0,$J5563-$M5563-$N5563)</f>
      </c>
    </row>
    <row r="5564">
      <c r="A5564"/>
      <c r="B5564">
        <v>12</v>
      </c>
      <c r="C5564" s="43">
        <f>INDEX(DarlObj,12)</f>
      </c>
      <c r="D5564">
        <v>281</v>
      </c>
      <c r="E5564" s="51">
        <f>IF(INDEX(DarlBelegt,12)=0,0,EOMONTH(INDEX(DarlAuszahlung,12),280)+1)</f>
      </c>
      <c r="F5564" s="43">
        <f>IF($E5564=0,0,YEAR($E5564))</f>
      </c>
      <c r="G5564" s="43">
        <f>IF(INDEX(DarlBindung,12)="",1,IF($E5564&lt;=INDEX(DarlBindung,12),1,0))</f>
      </c>
      <c r="H5564" s="43">
        <f>IF($G5564=1,INDEX(DarlSollzins,12),INDEX(DarlAnschluss,12))</f>
      </c>
      <c r="I5564" s="43">
        <f>IF(INDEX(DarlBelegt,12)=0,0,IF(INDEX(DarlOhneTilgung,12)=1,IF(INDEX(DarlBindung,12)="",1,$G5564),IF($J5564&gt;0.005,1,0)))</f>
      </c>
      <c r="J5564" s="43">
        <f>IF($I5563=0,0,$R5563)</f>
      </c>
      <c r="K5564" s="43">
        <f>IF($I5564=0,0,IF(INDEX(DarlOhneTilgung,12)=1,0,IF(AND(INDEX(DarlTilgStart,12)&gt;0,$E5564=INDEX(DarlTilgStart,12)),$J5564*($H5564+INDEX(DarlTilgung,12))/100/12,IF(AND($G5564=0,$G5563=1),MAX($K5563,$J5564*($H5564+1)/100/12),$K5563))))</f>
      </c>
      <c r="L5564" s="43">
        <f>IF($I5564=0,0,$J5564*$H5564/100/12)</f>
      </c>
      <c r="M5564" s="43">
        <f>IF($I5564=0,0,IF(OR(INDEX(DarlOhneTilgung,12)=1,AND(INDEX(DarlTilgStart,12)&gt;0,$E5564&lt;INDEX(DarlTilgStart,12))),0,MIN(MAX(0,$K5564-$L5564),$J5564)))</f>
      </c>
      <c r="N5564" s="43">
        <f>IF($I5564=0,0,MIN(SUMIFS(SondBetrag,SondDarl,12,SondDatum,"&gt;="&amp;$E5564,SondDatum,"&lt;="&amp;EOMONTH($E5564,0)),$J5564-$M5564))</f>
      </c>
      <c r="O5564" s="43">
        <f>IF($I5564=0,0,INDEX(DarlErsatzRate,12))</f>
      </c>
      <c r="P5564" s="43">
        <f>IF($I5564=0,0,$Q5563*INDEX(DarlErsatzZins,12))</f>
      </c>
      <c r="Q5564" s="43">
        <f>IF($I5564=0,0,$Q5563+$P5564+$O5564)</f>
      </c>
      <c r="R5564" s="43">
        <f>IF($I5564=0,0,$J5564-$M5564-$N5564)</f>
      </c>
    </row>
    <row r="5565">
      <c r="A5565"/>
      <c r="B5565">
        <v>12</v>
      </c>
      <c r="C5565" s="43">
        <f>INDEX(DarlObj,12)</f>
      </c>
      <c r="D5565">
        <v>282</v>
      </c>
      <c r="E5565" s="51">
        <f>IF(INDEX(DarlBelegt,12)=0,0,EOMONTH(INDEX(DarlAuszahlung,12),281)+1)</f>
      </c>
      <c r="F5565" s="43">
        <f>IF($E5565=0,0,YEAR($E5565))</f>
      </c>
      <c r="G5565" s="43">
        <f>IF(INDEX(DarlBindung,12)="",1,IF($E5565&lt;=INDEX(DarlBindung,12),1,0))</f>
      </c>
      <c r="H5565" s="43">
        <f>IF($G5565=1,INDEX(DarlSollzins,12),INDEX(DarlAnschluss,12))</f>
      </c>
      <c r="I5565" s="43">
        <f>IF(INDEX(DarlBelegt,12)=0,0,IF(INDEX(DarlOhneTilgung,12)=1,IF(INDEX(DarlBindung,12)="",1,$G5565),IF($J5565&gt;0.005,1,0)))</f>
      </c>
      <c r="J5565" s="43">
        <f>IF($I5564=0,0,$R5564)</f>
      </c>
      <c r="K5565" s="43">
        <f>IF($I5565=0,0,IF(INDEX(DarlOhneTilgung,12)=1,0,IF(AND(INDEX(DarlTilgStart,12)&gt;0,$E5565=INDEX(DarlTilgStart,12)),$J5565*($H5565+INDEX(DarlTilgung,12))/100/12,IF(AND($G5565=0,$G5564=1),MAX($K5564,$J5565*($H5565+1)/100/12),$K5564))))</f>
      </c>
      <c r="L5565" s="43">
        <f>IF($I5565=0,0,$J5565*$H5565/100/12)</f>
      </c>
      <c r="M5565" s="43">
        <f>IF($I5565=0,0,IF(OR(INDEX(DarlOhneTilgung,12)=1,AND(INDEX(DarlTilgStart,12)&gt;0,$E5565&lt;INDEX(DarlTilgStart,12))),0,MIN(MAX(0,$K5565-$L5565),$J5565)))</f>
      </c>
      <c r="N5565" s="43">
        <f>IF($I5565=0,0,MIN(SUMIFS(SondBetrag,SondDarl,12,SondDatum,"&gt;="&amp;$E5565,SondDatum,"&lt;="&amp;EOMONTH($E5565,0)),$J5565-$M5565))</f>
      </c>
      <c r="O5565" s="43">
        <f>IF($I5565=0,0,INDEX(DarlErsatzRate,12))</f>
      </c>
      <c r="P5565" s="43">
        <f>IF($I5565=0,0,$Q5564*INDEX(DarlErsatzZins,12))</f>
      </c>
      <c r="Q5565" s="43">
        <f>IF($I5565=0,0,$Q5564+$P5565+$O5565)</f>
      </c>
      <c r="R5565" s="43">
        <f>IF($I5565=0,0,$J5565-$M5565-$N5565)</f>
      </c>
    </row>
    <row r="5566">
      <c r="A5566"/>
      <c r="B5566">
        <v>12</v>
      </c>
      <c r="C5566" s="43">
        <f>INDEX(DarlObj,12)</f>
      </c>
      <c r="D5566">
        <v>283</v>
      </c>
      <c r="E5566" s="51">
        <f>IF(INDEX(DarlBelegt,12)=0,0,EOMONTH(INDEX(DarlAuszahlung,12),282)+1)</f>
      </c>
      <c r="F5566" s="43">
        <f>IF($E5566=0,0,YEAR($E5566))</f>
      </c>
      <c r="G5566" s="43">
        <f>IF(INDEX(DarlBindung,12)="",1,IF($E5566&lt;=INDEX(DarlBindung,12),1,0))</f>
      </c>
      <c r="H5566" s="43">
        <f>IF($G5566=1,INDEX(DarlSollzins,12),INDEX(DarlAnschluss,12))</f>
      </c>
      <c r="I5566" s="43">
        <f>IF(INDEX(DarlBelegt,12)=0,0,IF(INDEX(DarlOhneTilgung,12)=1,IF(INDEX(DarlBindung,12)="",1,$G5566),IF($J5566&gt;0.005,1,0)))</f>
      </c>
      <c r="J5566" s="43">
        <f>IF($I5565=0,0,$R5565)</f>
      </c>
      <c r="K5566" s="43">
        <f>IF($I5566=0,0,IF(INDEX(DarlOhneTilgung,12)=1,0,IF(AND(INDEX(DarlTilgStart,12)&gt;0,$E5566=INDEX(DarlTilgStart,12)),$J5566*($H5566+INDEX(DarlTilgung,12))/100/12,IF(AND($G5566=0,$G5565=1),MAX($K5565,$J5566*($H5566+1)/100/12),$K5565))))</f>
      </c>
      <c r="L5566" s="43">
        <f>IF($I5566=0,0,$J5566*$H5566/100/12)</f>
      </c>
      <c r="M5566" s="43">
        <f>IF($I5566=0,0,IF(OR(INDEX(DarlOhneTilgung,12)=1,AND(INDEX(DarlTilgStart,12)&gt;0,$E5566&lt;INDEX(DarlTilgStart,12))),0,MIN(MAX(0,$K5566-$L5566),$J5566)))</f>
      </c>
      <c r="N5566" s="43">
        <f>IF($I5566=0,0,MIN(SUMIFS(SondBetrag,SondDarl,12,SondDatum,"&gt;="&amp;$E5566,SondDatum,"&lt;="&amp;EOMONTH($E5566,0)),$J5566-$M5566))</f>
      </c>
      <c r="O5566" s="43">
        <f>IF($I5566=0,0,INDEX(DarlErsatzRate,12))</f>
      </c>
      <c r="P5566" s="43">
        <f>IF($I5566=0,0,$Q5565*INDEX(DarlErsatzZins,12))</f>
      </c>
      <c r="Q5566" s="43">
        <f>IF($I5566=0,0,$Q5565+$P5566+$O5566)</f>
      </c>
      <c r="R5566" s="43">
        <f>IF($I5566=0,0,$J5566-$M5566-$N5566)</f>
      </c>
    </row>
    <row r="5567">
      <c r="A5567"/>
      <c r="B5567">
        <v>12</v>
      </c>
      <c r="C5567" s="43">
        <f>INDEX(DarlObj,12)</f>
      </c>
      <c r="D5567">
        <v>284</v>
      </c>
      <c r="E5567" s="51">
        <f>IF(INDEX(DarlBelegt,12)=0,0,EOMONTH(INDEX(DarlAuszahlung,12),283)+1)</f>
      </c>
      <c r="F5567" s="43">
        <f>IF($E5567=0,0,YEAR($E5567))</f>
      </c>
      <c r="G5567" s="43">
        <f>IF(INDEX(DarlBindung,12)="",1,IF($E5567&lt;=INDEX(DarlBindung,12),1,0))</f>
      </c>
      <c r="H5567" s="43">
        <f>IF($G5567=1,INDEX(DarlSollzins,12),INDEX(DarlAnschluss,12))</f>
      </c>
      <c r="I5567" s="43">
        <f>IF(INDEX(DarlBelegt,12)=0,0,IF(INDEX(DarlOhneTilgung,12)=1,IF(INDEX(DarlBindung,12)="",1,$G5567),IF($J5567&gt;0.005,1,0)))</f>
      </c>
      <c r="J5567" s="43">
        <f>IF($I5566=0,0,$R5566)</f>
      </c>
      <c r="K5567" s="43">
        <f>IF($I5567=0,0,IF(INDEX(DarlOhneTilgung,12)=1,0,IF(AND(INDEX(DarlTilgStart,12)&gt;0,$E5567=INDEX(DarlTilgStart,12)),$J5567*($H5567+INDEX(DarlTilgung,12))/100/12,IF(AND($G5567=0,$G5566=1),MAX($K5566,$J5567*($H5567+1)/100/12),$K5566))))</f>
      </c>
      <c r="L5567" s="43">
        <f>IF($I5567=0,0,$J5567*$H5567/100/12)</f>
      </c>
      <c r="M5567" s="43">
        <f>IF($I5567=0,0,IF(OR(INDEX(DarlOhneTilgung,12)=1,AND(INDEX(DarlTilgStart,12)&gt;0,$E5567&lt;INDEX(DarlTilgStart,12))),0,MIN(MAX(0,$K5567-$L5567),$J5567)))</f>
      </c>
      <c r="N5567" s="43">
        <f>IF($I5567=0,0,MIN(SUMIFS(SondBetrag,SondDarl,12,SondDatum,"&gt;="&amp;$E5567,SondDatum,"&lt;="&amp;EOMONTH($E5567,0)),$J5567-$M5567))</f>
      </c>
      <c r="O5567" s="43">
        <f>IF($I5567=0,0,INDEX(DarlErsatzRate,12))</f>
      </c>
      <c r="P5567" s="43">
        <f>IF($I5567=0,0,$Q5566*INDEX(DarlErsatzZins,12))</f>
      </c>
      <c r="Q5567" s="43">
        <f>IF($I5567=0,0,$Q5566+$P5567+$O5567)</f>
      </c>
      <c r="R5567" s="43">
        <f>IF($I5567=0,0,$J5567-$M5567-$N5567)</f>
      </c>
    </row>
    <row r="5568">
      <c r="A5568"/>
      <c r="B5568">
        <v>12</v>
      </c>
      <c r="C5568" s="43">
        <f>INDEX(DarlObj,12)</f>
      </c>
      <c r="D5568">
        <v>285</v>
      </c>
      <c r="E5568" s="51">
        <f>IF(INDEX(DarlBelegt,12)=0,0,EOMONTH(INDEX(DarlAuszahlung,12),284)+1)</f>
      </c>
      <c r="F5568" s="43">
        <f>IF($E5568=0,0,YEAR($E5568))</f>
      </c>
      <c r="G5568" s="43">
        <f>IF(INDEX(DarlBindung,12)="",1,IF($E5568&lt;=INDEX(DarlBindung,12),1,0))</f>
      </c>
      <c r="H5568" s="43">
        <f>IF($G5568=1,INDEX(DarlSollzins,12),INDEX(DarlAnschluss,12))</f>
      </c>
      <c r="I5568" s="43">
        <f>IF(INDEX(DarlBelegt,12)=0,0,IF(INDEX(DarlOhneTilgung,12)=1,IF(INDEX(DarlBindung,12)="",1,$G5568),IF($J5568&gt;0.005,1,0)))</f>
      </c>
      <c r="J5568" s="43">
        <f>IF($I5567=0,0,$R5567)</f>
      </c>
      <c r="K5568" s="43">
        <f>IF($I5568=0,0,IF(INDEX(DarlOhneTilgung,12)=1,0,IF(AND(INDEX(DarlTilgStart,12)&gt;0,$E5568=INDEX(DarlTilgStart,12)),$J5568*($H5568+INDEX(DarlTilgung,12))/100/12,IF(AND($G5568=0,$G5567=1),MAX($K5567,$J5568*($H5568+1)/100/12),$K5567))))</f>
      </c>
      <c r="L5568" s="43">
        <f>IF($I5568=0,0,$J5568*$H5568/100/12)</f>
      </c>
      <c r="M5568" s="43">
        <f>IF($I5568=0,0,IF(OR(INDEX(DarlOhneTilgung,12)=1,AND(INDEX(DarlTilgStart,12)&gt;0,$E5568&lt;INDEX(DarlTilgStart,12))),0,MIN(MAX(0,$K5568-$L5568),$J5568)))</f>
      </c>
      <c r="N5568" s="43">
        <f>IF($I5568=0,0,MIN(SUMIFS(SondBetrag,SondDarl,12,SondDatum,"&gt;="&amp;$E5568,SondDatum,"&lt;="&amp;EOMONTH($E5568,0)),$J5568-$M5568))</f>
      </c>
      <c r="O5568" s="43">
        <f>IF($I5568=0,0,INDEX(DarlErsatzRate,12))</f>
      </c>
      <c r="P5568" s="43">
        <f>IF($I5568=0,0,$Q5567*INDEX(DarlErsatzZins,12))</f>
      </c>
      <c r="Q5568" s="43">
        <f>IF($I5568=0,0,$Q5567+$P5568+$O5568)</f>
      </c>
      <c r="R5568" s="43">
        <f>IF($I5568=0,0,$J5568-$M5568-$N5568)</f>
      </c>
    </row>
    <row r="5569">
      <c r="A5569"/>
      <c r="B5569">
        <v>12</v>
      </c>
      <c r="C5569" s="43">
        <f>INDEX(DarlObj,12)</f>
      </c>
      <c r="D5569">
        <v>286</v>
      </c>
      <c r="E5569" s="51">
        <f>IF(INDEX(DarlBelegt,12)=0,0,EOMONTH(INDEX(DarlAuszahlung,12),285)+1)</f>
      </c>
      <c r="F5569" s="43">
        <f>IF($E5569=0,0,YEAR($E5569))</f>
      </c>
      <c r="G5569" s="43">
        <f>IF(INDEX(DarlBindung,12)="",1,IF($E5569&lt;=INDEX(DarlBindung,12),1,0))</f>
      </c>
      <c r="H5569" s="43">
        <f>IF($G5569=1,INDEX(DarlSollzins,12),INDEX(DarlAnschluss,12))</f>
      </c>
      <c r="I5569" s="43">
        <f>IF(INDEX(DarlBelegt,12)=0,0,IF(INDEX(DarlOhneTilgung,12)=1,IF(INDEX(DarlBindung,12)="",1,$G5569),IF($J5569&gt;0.005,1,0)))</f>
      </c>
      <c r="J5569" s="43">
        <f>IF($I5568=0,0,$R5568)</f>
      </c>
      <c r="K5569" s="43">
        <f>IF($I5569=0,0,IF(INDEX(DarlOhneTilgung,12)=1,0,IF(AND(INDEX(DarlTilgStart,12)&gt;0,$E5569=INDEX(DarlTilgStart,12)),$J5569*($H5569+INDEX(DarlTilgung,12))/100/12,IF(AND($G5569=0,$G5568=1),MAX($K5568,$J5569*($H5569+1)/100/12),$K5568))))</f>
      </c>
      <c r="L5569" s="43">
        <f>IF($I5569=0,0,$J5569*$H5569/100/12)</f>
      </c>
      <c r="M5569" s="43">
        <f>IF($I5569=0,0,IF(OR(INDEX(DarlOhneTilgung,12)=1,AND(INDEX(DarlTilgStart,12)&gt;0,$E5569&lt;INDEX(DarlTilgStart,12))),0,MIN(MAX(0,$K5569-$L5569),$J5569)))</f>
      </c>
      <c r="N5569" s="43">
        <f>IF($I5569=0,0,MIN(SUMIFS(SondBetrag,SondDarl,12,SondDatum,"&gt;="&amp;$E5569,SondDatum,"&lt;="&amp;EOMONTH($E5569,0)),$J5569-$M5569))</f>
      </c>
      <c r="O5569" s="43">
        <f>IF($I5569=0,0,INDEX(DarlErsatzRate,12))</f>
      </c>
      <c r="P5569" s="43">
        <f>IF($I5569=0,0,$Q5568*INDEX(DarlErsatzZins,12))</f>
      </c>
      <c r="Q5569" s="43">
        <f>IF($I5569=0,0,$Q5568+$P5569+$O5569)</f>
      </c>
      <c r="R5569" s="43">
        <f>IF($I5569=0,0,$J5569-$M5569-$N5569)</f>
      </c>
    </row>
    <row r="5570">
      <c r="A5570"/>
      <c r="B5570">
        <v>12</v>
      </c>
      <c r="C5570" s="43">
        <f>INDEX(DarlObj,12)</f>
      </c>
      <c r="D5570">
        <v>287</v>
      </c>
      <c r="E5570" s="51">
        <f>IF(INDEX(DarlBelegt,12)=0,0,EOMONTH(INDEX(DarlAuszahlung,12),286)+1)</f>
      </c>
      <c r="F5570" s="43">
        <f>IF($E5570=0,0,YEAR($E5570))</f>
      </c>
      <c r="G5570" s="43">
        <f>IF(INDEX(DarlBindung,12)="",1,IF($E5570&lt;=INDEX(DarlBindung,12),1,0))</f>
      </c>
      <c r="H5570" s="43">
        <f>IF($G5570=1,INDEX(DarlSollzins,12),INDEX(DarlAnschluss,12))</f>
      </c>
      <c r="I5570" s="43">
        <f>IF(INDEX(DarlBelegt,12)=0,0,IF(INDEX(DarlOhneTilgung,12)=1,IF(INDEX(DarlBindung,12)="",1,$G5570),IF($J5570&gt;0.005,1,0)))</f>
      </c>
      <c r="J5570" s="43">
        <f>IF($I5569=0,0,$R5569)</f>
      </c>
      <c r="K5570" s="43">
        <f>IF($I5570=0,0,IF(INDEX(DarlOhneTilgung,12)=1,0,IF(AND(INDEX(DarlTilgStart,12)&gt;0,$E5570=INDEX(DarlTilgStart,12)),$J5570*($H5570+INDEX(DarlTilgung,12))/100/12,IF(AND($G5570=0,$G5569=1),MAX($K5569,$J5570*($H5570+1)/100/12),$K5569))))</f>
      </c>
      <c r="L5570" s="43">
        <f>IF($I5570=0,0,$J5570*$H5570/100/12)</f>
      </c>
      <c r="M5570" s="43">
        <f>IF($I5570=0,0,IF(OR(INDEX(DarlOhneTilgung,12)=1,AND(INDEX(DarlTilgStart,12)&gt;0,$E5570&lt;INDEX(DarlTilgStart,12))),0,MIN(MAX(0,$K5570-$L5570),$J5570)))</f>
      </c>
      <c r="N5570" s="43">
        <f>IF($I5570=0,0,MIN(SUMIFS(SondBetrag,SondDarl,12,SondDatum,"&gt;="&amp;$E5570,SondDatum,"&lt;="&amp;EOMONTH($E5570,0)),$J5570-$M5570))</f>
      </c>
      <c r="O5570" s="43">
        <f>IF($I5570=0,0,INDEX(DarlErsatzRate,12))</f>
      </c>
      <c r="P5570" s="43">
        <f>IF($I5570=0,0,$Q5569*INDEX(DarlErsatzZins,12))</f>
      </c>
      <c r="Q5570" s="43">
        <f>IF($I5570=0,0,$Q5569+$P5570+$O5570)</f>
      </c>
      <c r="R5570" s="43">
        <f>IF($I5570=0,0,$J5570-$M5570-$N5570)</f>
      </c>
    </row>
    <row r="5571">
      <c r="A5571"/>
      <c r="B5571">
        <v>12</v>
      </c>
      <c r="C5571" s="43">
        <f>INDEX(DarlObj,12)</f>
      </c>
      <c r="D5571">
        <v>288</v>
      </c>
      <c r="E5571" s="51">
        <f>IF(INDEX(DarlBelegt,12)=0,0,EOMONTH(INDEX(DarlAuszahlung,12),287)+1)</f>
      </c>
      <c r="F5571" s="43">
        <f>IF($E5571=0,0,YEAR($E5571))</f>
      </c>
      <c r="G5571" s="43">
        <f>IF(INDEX(DarlBindung,12)="",1,IF($E5571&lt;=INDEX(DarlBindung,12),1,0))</f>
      </c>
      <c r="H5571" s="43">
        <f>IF($G5571=1,INDEX(DarlSollzins,12),INDEX(DarlAnschluss,12))</f>
      </c>
      <c r="I5571" s="43">
        <f>IF(INDEX(DarlBelegt,12)=0,0,IF(INDEX(DarlOhneTilgung,12)=1,IF(INDEX(DarlBindung,12)="",1,$G5571),IF($J5571&gt;0.005,1,0)))</f>
      </c>
      <c r="J5571" s="43">
        <f>IF($I5570=0,0,$R5570)</f>
      </c>
      <c r="K5571" s="43">
        <f>IF($I5571=0,0,IF(INDEX(DarlOhneTilgung,12)=1,0,IF(AND(INDEX(DarlTilgStart,12)&gt;0,$E5571=INDEX(DarlTilgStart,12)),$J5571*($H5571+INDEX(DarlTilgung,12))/100/12,IF(AND($G5571=0,$G5570=1),MAX($K5570,$J5571*($H5571+1)/100/12),$K5570))))</f>
      </c>
      <c r="L5571" s="43">
        <f>IF($I5571=0,0,$J5571*$H5571/100/12)</f>
      </c>
      <c r="M5571" s="43">
        <f>IF($I5571=0,0,IF(OR(INDEX(DarlOhneTilgung,12)=1,AND(INDEX(DarlTilgStart,12)&gt;0,$E5571&lt;INDEX(DarlTilgStart,12))),0,MIN(MAX(0,$K5571-$L5571),$J5571)))</f>
      </c>
      <c r="N5571" s="43">
        <f>IF($I5571=0,0,MIN(SUMIFS(SondBetrag,SondDarl,12,SondDatum,"&gt;="&amp;$E5571,SondDatum,"&lt;="&amp;EOMONTH($E5571,0)),$J5571-$M5571))</f>
      </c>
      <c r="O5571" s="43">
        <f>IF($I5571=0,0,INDEX(DarlErsatzRate,12))</f>
      </c>
      <c r="P5571" s="43">
        <f>IF($I5571=0,0,$Q5570*INDEX(DarlErsatzZins,12))</f>
      </c>
      <c r="Q5571" s="43">
        <f>IF($I5571=0,0,$Q5570+$P5571+$O5571)</f>
      </c>
      <c r="R5571" s="43">
        <f>IF($I5571=0,0,$J5571-$M5571-$N5571)</f>
      </c>
    </row>
    <row r="5572">
      <c r="A5572"/>
      <c r="B5572">
        <v>12</v>
      </c>
      <c r="C5572" s="43">
        <f>INDEX(DarlObj,12)</f>
      </c>
      <c r="D5572">
        <v>289</v>
      </c>
      <c r="E5572" s="51">
        <f>IF(INDEX(DarlBelegt,12)=0,0,EOMONTH(INDEX(DarlAuszahlung,12),288)+1)</f>
      </c>
      <c r="F5572" s="43">
        <f>IF($E5572=0,0,YEAR($E5572))</f>
      </c>
      <c r="G5572" s="43">
        <f>IF(INDEX(DarlBindung,12)="",1,IF($E5572&lt;=INDEX(DarlBindung,12),1,0))</f>
      </c>
      <c r="H5572" s="43">
        <f>IF($G5572=1,INDEX(DarlSollzins,12),INDEX(DarlAnschluss,12))</f>
      </c>
      <c r="I5572" s="43">
        <f>IF(INDEX(DarlBelegt,12)=0,0,IF(INDEX(DarlOhneTilgung,12)=1,IF(INDEX(DarlBindung,12)="",1,$G5572),IF($J5572&gt;0.005,1,0)))</f>
      </c>
      <c r="J5572" s="43">
        <f>IF($I5571=0,0,$R5571)</f>
      </c>
      <c r="K5572" s="43">
        <f>IF($I5572=0,0,IF(INDEX(DarlOhneTilgung,12)=1,0,IF(AND(INDEX(DarlTilgStart,12)&gt;0,$E5572=INDEX(DarlTilgStart,12)),$J5572*($H5572+INDEX(DarlTilgung,12))/100/12,IF(AND($G5572=0,$G5571=1),MAX($K5571,$J5572*($H5572+1)/100/12),$K5571))))</f>
      </c>
      <c r="L5572" s="43">
        <f>IF($I5572=0,0,$J5572*$H5572/100/12)</f>
      </c>
      <c r="M5572" s="43">
        <f>IF($I5572=0,0,IF(OR(INDEX(DarlOhneTilgung,12)=1,AND(INDEX(DarlTilgStart,12)&gt;0,$E5572&lt;INDEX(DarlTilgStart,12))),0,MIN(MAX(0,$K5572-$L5572),$J5572)))</f>
      </c>
      <c r="N5572" s="43">
        <f>IF($I5572=0,0,MIN(SUMIFS(SondBetrag,SondDarl,12,SondDatum,"&gt;="&amp;$E5572,SondDatum,"&lt;="&amp;EOMONTH($E5572,0)),$J5572-$M5572))</f>
      </c>
      <c r="O5572" s="43">
        <f>IF($I5572=0,0,INDEX(DarlErsatzRate,12))</f>
      </c>
      <c r="P5572" s="43">
        <f>IF($I5572=0,0,$Q5571*INDEX(DarlErsatzZins,12))</f>
      </c>
      <c r="Q5572" s="43">
        <f>IF($I5572=0,0,$Q5571+$P5572+$O5572)</f>
      </c>
      <c r="R5572" s="43">
        <f>IF($I5572=0,0,$J5572-$M5572-$N5572)</f>
      </c>
    </row>
    <row r="5573">
      <c r="A5573"/>
      <c r="B5573">
        <v>12</v>
      </c>
      <c r="C5573" s="43">
        <f>INDEX(DarlObj,12)</f>
      </c>
      <c r="D5573">
        <v>290</v>
      </c>
      <c r="E5573" s="51">
        <f>IF(INDEX(DarlBelegt,12)=0,0,EOMONTH(INDEX(DarlAuszahlung,12),289)+1)</f>
      </c>
      <c r="F5573" s="43">
        <f>IF($E5573=0,0,YEAR($E5573))</f>
      </c>
      <c r="G5573" s="43">
        <f>IF(INDEX(DarlBindung,12)="",1,IF($E5573&lt;=INDEX(DarlBindung,12),1,0))</f>
      </c>
      <c r="H5573" s="43">
        <f>IF($G5573=1,INDEX(DarlSollzins,12),INDEX(DarlAnschluss,12))</f>
      </c>
      <c r="I5573" s="43">
        <f>IF(INDEX(DarlBelegt,12)=0,0,IF(INDEX(DarlOhneTilgung,12)=1,IF(INDEX(DarlBindung,12)="",1,$G5573),IF($J5573&gt;0.005,1,0)))</f>
      </c>
      <c r="J5573" s="43">
        <f>IF($I5572=0,0,$R5572)</f>
      </c>
      <c r="K5573" s="43">
        <f>IF($I5573=0,0,IF(INDEX(DarlOhneTilgung,12)=1,0,IF(AND(INDEX(DarlTilgStart,12)&gt;0,$E5573=INDEX(DarlTilgStart,12)),$J5573*($H5573+INDEX(DarlTilgung,12))/100/12,IF(AND($G5573=0,$G5572=1),MAX($K5572,$J5573*($H5573+1)/100/12),$K5572))))</f>
      </c>
      <c r="L5573" s="43">
        <f>IF($I5573=0,0,$J5573*$H5573/100/12)</f>
      </c>
      <c r="M5573" s="43">
        <f>IF($I5573=0,0,IF(OR(INDEX(DarlOhneTilgung,12)=1,AND(INDEX(DarlTilgStart,12)&gt;0,$E5573&lt;INDEX(DarlTilgStart,12))),0,MIN(MAX(0,$K5573-$L5573),$J5573)))</f>
      </c>
      <c r="N5573" s="43">
        <f>IF($I5573=0,0,MIN(SUMIFS(SondBetrag,SondDarl,12,SondDatum,"&gt;="&amp;$E5573,SondDatum,"&lt;="&amp;EOMONTH($E5573,0)),$J5573-$M5573))</f>
      </c>
      <c r="O5573" s="43">
        <f>IF($I5573=0,0,INDEX(DarlErsatzRate,12))</f>
      </c>
      <c r="P5573" s="43">
        <f>IF($I5573=0,0,$Q5572*INDEX(DarlErsatzZins,12))</f>
      </c>
      <c r="Q5573" s="43">
        <f>IF($I5573=0,0,$Q5572+$P5573+$O5573)</f>
      </c>
      <c r="R5573" s="43">
        <f>IF($I5573=0,0,$J5573-$M5573-$N5573)</f>
      </c>
    </row>
    <row r="5574">
      <c r="A5574"/>
      <c r="B5574">
        <v>12</v>
      </c>
      <c r="C5574" s="43">
        <f>INDEX(DarlObj,12)</f>
      </c>
      <c r="D5574">
        <v>291</v>
      </c>
      <c r="E5574" s="51">
        <f>IF(INDEX(DarlBelegt,12)=0,0,EOMONTH(INDEX(DarlAuszahlung,12),290)+1)</f>
      </c>
      <c r="F5574" s="43">
        <f>IF($E5574=0,0,YEAR($E5574))</f>
      </c>
      <c r="G5574" s="43">
        <f>IF(INDEX(DarlBindung,12)="",1,IF($E5574&lt;=INDEX(DarlBindung,12),1,0))</f>
      </c>
      <c r="H5574" s="43">
        <f>IF($G5574=1,INDEX(DarlSollzins,12),INDEX(DarlAnschluss,12))</f>
      </c>
      <c r="I5574" s="43">
        <f>IF(INDEX(DarlBelegt,12)=0,0,IF(INDEX(DarlOhneTilgung,12)=1,IF(INDEX(DarlBindung,12)="",1,$G5574),IF($J5574&gt;0.005,1,0)))</f>
      </c>
      <c r="J5574" s="43">
        <f>IF($I5573=0,0,$R5573)</f>
      </c>
      <c r="K5574" s="43">
        <f>IF($I5574=0,0,IF(INDEX(DarlOhneTilgung,12)=1,0,IF(AND(INDEX(DarlTilgStart,12)&gt;0,$E5574=INDEX(DarlTilgStart,12)),$J5574*($H5574+INDEX(DarlTilgung,12))/100/12,IF(AND($G5574=0,$G5573=1),MAX($K5573,$J5574*($H5574+1)/100/12),$K5573))))</f>
      </c>
      <c r="L5574" s="43">
        <f>IF($I5574=0,0,$J5574*$H5574/100/12)</f>
      </c>
      <c r="M5574" s="43">
        <f>IF($I5574=0,0,IF(OR(INDEX(DarlOhneTilgung,12)=1,AND(INDEX(DarlTilgStart,12)&gt;0,$E5574&lt;INDEX(DarlTilgStart,12))),0,MIN(MAX(0,$K5574-$L5574),$J5574)))</f>
      </c>
      <c r="N5574" s="43">
        <f>IF($I5574=0,0,MIN(SUMIFS(SondBetrag,SondDarl,12,SondDatum,"&gt;="&amp;$E5574,SondDatum,"&lt;="&amp;EOMONTH($E5574,0)),$J5574-$M5574))</f>
      </c>
      <c r="O5574" s="43">
        <f>IF($I5574=0,0,INDEX(DarlErsatzRate,12))</f>
      </c>
      <c r="P5574" s="43">
        <f>IF($I5574=0,0,$Q5573*INDEX(DarlErsatzZins,12))</f>
      </c>
      <c r="Q5574" s="43">
        <f>IF($I5574=0,0,$Q5573+$P5574+$O5574)</f>
      </c>
      <c r="R5574" s="43">
        <f>IF($I5574=0,0,$J5574-$M5574-$N5574)</f>
      </c>
    </row>
    <row r="5575">
      <c r="A5575"/>
      <c r="B5575">
        <v>12</v>
      </c>
      <c r="C5575" s="43">
        <f>INDEX(DarlObj,12)</f>
      </c>
      <c r="D5575">
        <v>292</v>
      </c>
      <c r="E5575" s="51">
        <f>IF(INDEX(DarlBelegt,12)=0,0,EOMONTH(INDEX(DarlAuszahlung,12),291)+1)</f>
      </c>
      <c r="F5575" s="43">
        <f>IF($E5575=0,0,YEAR($E5575))</f>
      </c>
      <c r="G5575" s="43">
        <f>IF(INDEX(DarlBindung,12)="",1,IF($E5575&lt;=INDEX(DarlBindung,12),1,0))</f>
      </c>
      <c r="H5575" s="43">
        <f>IF($G5575=1,INDEX(DarlSollzins,12),INDEX(DarlAnschluss,12))</f>
      </c>
      <c r="I5575" s="43">
        <f>IF(INDEX(DarlBelegt,12)=0,0,IF(INDEX(DarlOhneTilgung,12)=1,IF(INDEX(DarlBindung,12)="",1,$G5575),IF($J5575&gt;0.005,1,0)))</f>
      </c>
      <c r="J5575" s="43">
        <f>IF($I5574=0,0,$R5574)</f>
      </c>
      <c r="K5575" s="43">
        <f>IF($I5575=0,0,IF(INDEX(DarlOhneTilgung,12)=1,0,IF(AND(INDEX(DarlTilgStart,12)&gt;0,$E5575=INDEX(DarlTilgStart,12)),$J5575*($H5575+INDEX(DarlTilgung,12))/100/12,IF(AND($G5575=0,$G5574=1),MAX($K5574,$J5575*($H5575+1)/100/12),$K5574))))</f>
      </c>
      <c r="L5575" s="43">
        <f>IF($I5575=0,0,$J5575*$H5575/100/12)</f>
      </c>
      <c r="M5575" s="43">
        <f>IF($I5575=0,0,IF(OR(INDEX(DarlOhneTilgung,12)=1,AND(INDEX(DarlTilgStart,12)&gt;0,$E5575&lt;INDEX(DarlTilgStart,12))),0,MIN(MAX(0,$K5575-$L5575),$J5575)))</f>
      </c>
      <c r="N5575" s="43">
        <f>IF($I5575=0,0,MIN(SUMIFS(SondBetrag,SondDarl,12,SondDatum,"&gt;="&amp;$E5575,SondDatum,"&lt;="&amp;EOMONTH($E5575,0)),$J5575-$M5575))</f>
      </c>
      <c r="O5575" s="43">
        <f>IF($I5575=0,0,INDEX(DarlErsatzRate,12))</f>
      </c>
      <c r="P5575" s="43">
        <f>IF($I5575=0,0,$Q5574*INDEX(DarlErsatzZins,12))</f>
      </c>
      <c r="Q5575" s="43">
        <f>IF($I5575=0,0,$Q5574+$P5575+$O5575)</f>
      </c>
      <c r="R5575" s="43">
        <f>IF($I5575=0,0,$J5575-$M5575-$N5575)</f>
      </c>
    </row>
    <row r="5576">
      <c r="A5576"/>
      <c r="B5576">
        <v>12</v>
      </c>
      <c r="C5576" s="43">
        <f>INDEX(DarlObj,12)</f>
      </c>
      <c r="D5576">
        <v>293</v>
      </c>
      <c r="E5576" s="51">
        <f>IF(INDEX(DarlBelegt,12)=0,0,EOMONTH(INDEX(DarlAuszahlung,12),292)+1)</f>
      </c>
      <c r="F5576" s="43">
        <f>IF($E5576=0,0,YEAR($E5576))</f>
      </c>
      <c r="G5576" s="43">
        <f>IF(INDEX(DarlBindung,12)="",1,IF($E5576&lt;=INDEX(DarlBindung,12),1,0))</f>
      </c>
      <c r="H5576" s="43">
        <f>IF($G5576=1,INDEX(DarlSollzins,12),INDEX(DarlAnschluss,12))</f>
      </c>
      <c r="I5576" s="43">
        <f>IF(INDEX(DarlBelegt,12)=0,0,IF(INDEX(DarlOhneTilgung,12)=1,IF(INDEX(DarlBindung,12)="",1,$G5576),IF($J5576&gt;0.005,1,0)))</f>
      </c>
      <c r="J5576" s="43">
        <f>IF($I5575=0,0,$R5575)</f>
      </c>
      <c r="K5576" s="43">
        <f>IF($I5576=0,0,IF(INDEX(DarlOhneTilgung,12)=1,0,IF(AND(INDEX(DarlTilgStart,12)&gt;0,$E5576=INDEX(DarlTilgStart,12)),$J5576*($H5576+INDEX(DarlTilgung,12))/100/12,IF(AND($G5576=0,$G5575=1),MAX($K5575,$J5576*($H5576+1)/100/12),$K5575))))</f>
      </c>
      <c r="L5576" s="43">
        <f>IF($I5576=0,0,$J5576*$H5576/100/12)</f>
      </c>
      <c r="M5576" s="43">
        <f>IF($I5576=0,0,IF(OR(INDEX(DarlOhneTilgung,12)=1,AND(INDEX(DarlTilgStart,12)&gt;0,$E5576&lt;INDEX(DarlTilgStart,12))),0,MIN(MAX(0,$K5576-$L5576),$J5576)))</f>
      </c>
      <c r="N5576" s="43">
        <f>IF($I5576=0,0,MIN(SUMIFS(SondBetrag,SondDarl,12,SondDatum,"&gt;="&amp;$E5576,SondDatum,"&lt;="&amp;EOMONTH($E5576,0)),$J5576-$M5576))</f>
      </c>
      <c r="O5576" s="43">
        <f>IF($I5576=0,0,INDEX(DarlErsatzRate,12))</f>
      </c>
      <c r="P5576" s="43">
        <f>IF($I5576=0,0,$Q5575*INDEX(DarlErsatzZins,12))</f>
      </c>
      <c r="Q5576" s="43">
        <f>IF($I5576=0,0,$Q5575+$P5576+$O5576)</f>
      </c>
      <c r="R5576" s="43">
        <f>IF($I5576=0,0,$J5576-$M5576-$N5576)</f>
      </c>
    </row>
    <row r="5577">
      <c r="A5577"/>
      <c r="B5577">
        <v>12</v>
      </c>
      <c r="C5577" s="43">
        <f>INDEX(DarlObj,12)</f>
      </c>
      <c r="D5577">
        <v>294</v>
      </c>
      <c r="E5577" s="51">
        <f>IF(INDEX(DarlBelegt,12)=0,0,EOMONTH(INDEX(DarlAuszahlung,12),293)+1)</f>
      </c>
      <c r="F5577" s="43">
        <f>IF($E5577=0,0,YEAR($E5577))</f>
      </c>
      <c r="G5577" s="43">
        <f>IF(INDEX(DarlBindung,12)="",1,IF($E5577&lt;=INDEX(DarlBindung,12),1,0))</f>
      </c>
      <c r="H5577" s="43">
        <f>IF($G5577=1,INDEX(DarlSollzins,12),INDEX(DarlAnschluss,12))</f>
      </c>
      <c r="I5577" s="43">
        <f>IF(INDEX(DarlBelegt,12)=0,0,IF(INDEX(DarlOhneTilgung,12)=1,IF(INDEX(DarlBindung,12)="",1,$G5577),IF($J5577&gt;0.005,1,0)))</f>
      </c>
      <c r="J5577" s="43">
        <f>IF($I5576=0,0,$R5576)</f>
      </c>
      <c r="K5577" s="43">
        <f>IF($I5577=0,0,IF(INDEX(DarlOhneTilgung,12)=1,0,IF(AND(INDEX(DarlTilgStart,12)&gt;0,$E5577=INDEX(DarlTilgStart,12)),$J5577*($H5577+INDEX(DarlTilgung,12))/100/12,IF(AND($G5577=0,$G5576=1),MAX($K5576,$J5577*($H5577+1)/100/12),$K5576))))</f>
      </c>
      <c r="L5577" s="43">
        <f>IF($I5577=0,0,$J5577*$H5577/100/12)</f>
      </c>
      <c r="M5577" s="43">
        <f>IF($I5577=0,0,IF(OR(INDEX(DarlOhneTilgung,12)=1,AND(INDEX(DarlTilgStart,12)&gt;0,$E5577&lt;INDEX(DarlTilgStart,12))),0,MIN(MAX(0,$K5577-$L5577),$J5577)))</f>
      </c>
      <c r="N5577" s="43">
        <f>IF($I5577=0,0,MIN(SUMIFS(SondBetrag,SondDarl,12,SondDatum,"&gt;="&amp;$E5577,SondDatum,"&lt;="&amp;EOMONTH($E5577,0)),$J5577-$M5577))</f>
      </c>
      <c r="O5577" s="43">
        <f>IF($I5577=0,0,INDEX(DarlErsatzRate,12))</f>
      </c>
      <c r="P5577" s="43">
        <f>IF($I5577=0,0,$Q5576*INDEX(DarlErsatzZins,12))</f>
      </c>
      <c r="Q5577" s="43">
        <f>IF($I5577=0,0,$Q5576+$P5577+$O5577)</f>
      </c>
      <c r="R5577" s="43">
        <f>IF($I5577=0,0,$J5577-$M5577-$N5577)</f>
      </c>
    </row>
    <row r="5578">
      <c r="A5578"/>
      <c r="B5578">
        <v>12</v>
      </c>
      <c r="C5578" s="43">
        <f>INDEX(DarlObj,12)</f>
      </c>
      <c r="D5578">
        <v>295</v>
      </c>
      <c r="E5578" s="51">
        <f>IF(INDEX(DarlBelegt,12)=0,0,EOMONTH(INDEX(DarlAuszahlung,12),294)+1)</f>
      </c>
      <c r="F5578" s="43">
        <f>IF($E5578=0,0,YEAR($E5578))</f>
      </c>
      <c r="G5578" s="43">
        <f>IF(INDEX(DarlBindung,12)="",1,IF($E5578&lt;=INDEX(DarlBindung,12),1,0))</f>
      </c>
      <c r="H5578" s="43">
        <f>IF($G5578=1,INDEX(DarlSollzins,12),INDEX(DarlAnschluss,12))</f>
      </c>
      <c r="I5578" s="43">
        <f>IF(INDEX(DarlBelegt,12)=0,0,IF(INDEX(DarlOhneTilgung,12)=1,IF(INDEX(DarlBindung,12)="",1,$G5578),IF($J5578&gt;0.005,1,0)))</f>
      </c>
      <c r="J5578" s="43">
        <f>IF($I5577=0,0,$R5577)</f>
      </c>
      <c r="K5578" s="43">
        <f>IF($I5578=0,0,IF(INDEX(DarlOhneTilgung,12)=1,0,IF(AND(INDEX(DarlTilgStart,12)&gt;0,$E5578=INDEX(DarlTilgStart,12)),$J5578*($H5578+INDEX(DarlTilgung,12))/100/12,IF(AND($G5578=0,$G5577=1),MAX($K5577,$J5578*($H5578+1)/100/12),$K5577))))</f>
      </c>
      <c r="L5578" s="43">
        <f>IF($I5578=0,0,$J5578*$H5578/100/12)</f>
      </c>
      <c r="M5578" s="43">
        <f>IF($I5578=0,0,IF(OR(INDEX(DarlOhneTilgung,12)=1,AND(INDEX(DarlTilgStart,12)&gt;0,$E5578&lt;INDEX(DarlTilgStart,12))),0,MIN(MAX(0,$K5578-$L5578),$J5578)))</f>
      </c>
      <c r="N5578" s="43">
        <f>IF($I5578=0,0,MIN(SUMIFS(SondBetrag,SondDarl,12,SondDatum,"&gt;="&amp;$E5578,SondDatum,"&lt;="&amp;EOMONTH($E5578,0)),$J5578-$M5578))</f>
      </c>
      <c r="O5578" s="43">
        <f>IF($I5578=0,0,INDEX(DarlErsatzRate,12))</f>
      </c>
      <c r="P5578" s="43">
        <f>IF($I5578=0,0,$Q5577*INDEX(DarlErsatzZins,12))</f>
      </c>
      <c r="Q5578" s="43">
        <f>IF($I5578=0,0,$Q5577+$P5578+$O5578)</f>
      </c>
      <c r="R5578" s="43">
        <f>IF($I5578=0,0,$J5578-$M5578-$N5578)</f>
      </c>
    </row>
    <row r="5579">
      <c r="A5579"/>
      <c r="B5579">
        <v>12</v>
      </c>
      <c r="C5579" s="43">
        <f>INDEX(DarlObj,12)</f>
      </c>
      <c r="D5579">
        <v>296</v>
      </c>
      <c r="E5579" s="51">
        <f>IF(INDEX(DarlBelegt,12)=0,0,EOMONTH(INDEX(DarlAuszahlung,12),295)+1)</f>
      </c>
      <c r="F5579" s="43">
        <f>IF($E5579=0,0,YEAR($E5579))</f>
      </c>
      <c r="G5579" s="43">
        <f>IF(INDEX(DarlBindung,12)="",1,IF($E5579&lt;=INDEX(DarlBindung,12),1,0))</f>
      </c>
      <c r="H5579" s="43">
        <f>IF($G5579=1,INDEX(DarlSollzins,12),INDEX(DarlAnschluss,12))</f>
      </c>
      <c r="I5579" s="43">
        <f>IF(INDEX(DarlBelegt,12)=0,0,IF(INDEX(DarlOhneTilgung,12)=1,IF(INDEX(DarlBindung,12)="",1,$G5579),IF($J5579&gt;0.005,1,0)))</f>
      </c>
      <c r="J5579" s="43">
        <f>IF($I5578=0,0,$R5578)</f>
      </c>
      <c r="K5579" s="43">
        <f>IF($I5579=0,0,IF(INDEX(DarlOhneTilgung,12)=1,0,IF(AND(INDEX(DarlTilgStart,12)&gt;0,$E5579=INDEX(DarlTilgStart,12)),$J5579*($H5579+INDEX(DarlTilgung,12))/100/12,IF(AND($G5579=0,$G5578=1),MAX($K5578,$J5579*($H5579+1)/100/12),$K5578))))</f>
      </c>
      <c r="L5579" s="43">
        <f>IF($I5579=0,0,$J5579*$H5579/100/12)</f>
      </c>
      <c r="M5579" s="43">
        <f>IF($I5579=0,0,IF(OR(INDEX(DarlOhneTilgung,12)=1,AND(INDEX(DarlTilgStart,12)&gt;0,$E5579&lt;INDEX(DarlTilgStart,12))),0,MIN(MAX(0,$K5579-$L5579),$J5579)))</f>
      </c>
      <c r="N5579" s="43">
        <f>IF($I5579=0,0,MIN(SUMIFS(SondBetrag,SondDarl,12,SondDatum,"&gt;="&amp;$E5579,SondDatum,"&lt;="&amp;EOMONTH($E5579,0)),$J5579-$M5579))</f>
      </c>
      <c r="O5579" s="43">
        <f>IF($I5579=0,0,INDEX(DarlErsatzRate,12))</f>
      </c>
      <c r="P5579" s="43">
        <f>IF($I5579=0,0,$Q5578*INDEX(DarlErsatzZins,12))</f>
      </c>
      <c r="Q5579" s="43">
        <f>IF($I5579=0,0,$Q5578+$P5579+$O5579)</f>
      </c>
      <c r="R5579" s="43">
        <f>IF($I5579=0,0,$J5579-$M5579-$N5579)</f>
      </c>
    </row>
    <row r="5580">
      <c r="A5580"/>
      <c r="B5580">
        <v>12</v>
      </c>
      <c r="C5580" s="43">
        <f>INDEX(DarlObj,12)</f>
      </c>
      <c r="D5580">
        <v>297</v>
      </c>
      <c r="E5580" s="51">
        <f>IF(INDEX(DarlBelegt,12)=0,0,EOMONTH(INDEX(DarlAuszahlung,12),296)+1)</f>
      </c>
      <c r="F5580" s="43">
        <f>IF($E5580=0,0,YEAR($E5580))</f>
      </c>
      <c r="G5580" s="43">
        <f>IF(INDEX(DarlBindung,12)="",1,IF($E5580&lt;=INDEX(DarlBindung,12),1,0))</f>
      </c>
      <c r="H5580" s="43">
        <f>IF($G5580=1,INDEX(DarlSollzins,12),INDEX(DarlAnschluss,12))</f>
      </c>
      <c r="I5580" s="43">
        <f>IF(INDEX(DarlBelegt,12)=0,0,IF(INDEX(DarlOhneTilgung,12)=1,IF(INDEX(DarlBindung,12)="",1,$G5580),IF($J5580&gt;0.005,1,0)))</f>
      </c>
      <c r="J5580" s="43">
        <f>IF($I5579=0,0,$R5579)</f>
      </c>
      <c r="K5580" s="43">
        <f>IF($I5580=0,0,IF(INDEX(DarlOhneTilgung,12)=1,0,IF(AND(INDEX(DarlTilgStart,12)&gt;0,$E5580=INDEX(DarlTilgStart,12)),$J5580*($H5580+INDEX(DarlTilgung,12))/100/12,IF(AND($G5580=0,$G5579=1),MAX($K5579,$J5580*($H5580+1)/100/12),$K5579))))</f>
      </c>
      <c r="L5580" s="43">
        <f>IF($I5580=0,0,$J5580*$H5580/100/12)</f>
      </c>
      <c r="M5580" s="43">
        <f>IF($I5580=0,0,IF(OR(INDEX(DarlOhneTilgung,12)=1,AND(INDEX(DarlTilgStart,12)&gt;0,$E5580&lt;INDEX(DarlTilgStart,12))),0,MIN(MAX(0,$K5580-$L5580),$J5580)))</f>
      </c>
      <c r="N5580" s="43">
        <f>IF($I5580=0,0,MIN(SUMIFS(SondBetrag,SondDarl,12,SondDatum,"&gt;="&amp;$E5580,SondDatum,"&lt;="&amp;EOMONTH($E5580,0)),$J5580-$M5580))</f>
      </c>
      <c r="O5580" s="43">
        <f>IF($I5580=0,0,INDEX(DarlErsatzRate,12))</f>
      </c>
      <c r="P5580" s="43">
        <f>IF($I5580=0,0,$Q5579*INDEX(DarlErsatzZins,12))</f>
      </c>
      <c r="Q5580" s="43">
        <f>IF($I5580=0,0,$Q5579+$P5580+$O5580)</f>
      </c>
      <c r="R5580" s="43">
        <f>IF($I5580=0,0,$J5580-$M5580-$N5580)</f>
      </c>
    </row>
    <row r="5581">
      <c r="A5581"/>
      <c r="B5581">
        <v>12</v>
      </c>
      <c r="C5581" s="43">
        <f>INDEX(DarlObj,12)</f>
      </c>
      <c r="D5581">
        <v>298</v>
      </c>
      <c r="E5581" s="51">
        <f>IF(INDEX(DarlBelegt,12)=0,0,EOMONTH(INDEX(DarlAuszahlung,12),297)+1)</f>
      </c>
      <c r="F5581" s="43">
        <f>IF($E5581=0,0,YEAR($E5581))</f>
      </c>
      <c r="G5581" s="43">
        <f>IF(INDEX(DarlBindung,12)="",1,IF($E5581&lt;=INDEX(DarlBindung,12),1,0))</f>
      </c>
      <c r="H5581" s="43">
        <f>IF($G5581=1,INDEX(DarlSollzins,12),INDEX(DarlAnschluss,12))</f>
      </c>
      <c r="I5581" s="43">
        <f>IF(INDEX(DarlBelegt,12)=0,0,IF(INDEX(DarlOhneTilgung,12)=1,IF(INDEX(DarlBindung,12)="",1,$G5581),IF($J5581&gt;0.005,1,0)))</f>
      </c>
      <c r="J5581" s="43">
        <f>IF($I5580=0,0,$R5580)</f>
      </c>
      <c r="K5581" s="43">
        <f>IF($I5581=0,0,IF(INDEX(DarlOhneTilgung,12)=1,0,IF(AND(INDEX(DarlTilgStart,12)&gt;0,$E5581=INDEX(DarlTilgStart,12)),$J5581*($H5581+INDEX(DarlTilgung,12))/100/12,IF(AND($G5581=0,$G5580=1),MAX($K5580,$J5581*($H5581+1)/100/12),$K5580))))</f>
      </c>
      <c r="L5581" s="43">
        <f>IF($I5581=0,0,$J5581*$H5581/100/12)</f>
      </c>
      <c r="M5581" s="43">
        <f>IF($I5581=0,0,IF(OR(INDEX(DarlOhneTilgung,12)=1,AND(INDEX(DarlTilgStart,12)&gt;0,$E5581&lt;INDEX(DarlTilgStart,12))),0,MIN(MAX(0,$K5581-$L5581),$J5581)))</f>
      </c>
      <c r="N5581" s="43">
        <f>IF($I5581=0,0,MIN(SUMIFS(SondBetrag,SondDarl,12,SondDatum,"&gt;="&amp;$E5581,SondDatum,"&lt;="&amp;EOMONTH($E5581,0)),$J5581-$M5581))</f>
      </c>
      <c r="O5581" s="43">
        <f>IF($I5581=0,0,INDEX(DarlErsatzRate,12))</f>
      </c>
      <c r="P5581" s="43">
        <f>IF($I5581=0,0,$Q5580*INDEX(DarlErsatzZins,12))</f>
      </c>
      <c r="Q5581" s="43">
        <f>IF($I5581=0,0,$Q5580+$P5581+$O5581)</f>
      </c>
      <c r="R5581" s="43">
        <f>IF($I5581=0,0,$J5581-$M5581-$N5581)</f>
      </c>
    </row>
    <row r="5582">
      <c r="A5582"/>
      <c r="B5582">
        <v>12</v>
      </c>
      <c r="C5582" s="43">
        <f>INDEX(DarlObj,12)</f>
      </c>
      <c r="D5582">
        <v>299</v>
      </c>
      <c r="E5582" s="51">
        <f>IF(INDEX(DarlBelegt,12)=0,0,EOMONTH(INDEX(DarlAuszahlung,12),298)+1)</f>
      </c>
      <c r="F5582" s="43">
        <f>IF($E5582=0,0,YEAR($E5582))</f>
      </c>
      <c r="G5582" s="43">
        <f>IF(INDEX(DarlBindung,12)="",1,IF($E5582&lt;=INDEX(DarlBindung,12),1,0))</f>
      </c>
      <c r="H5582" s="43">
        <f>IF($G5582=1,INDEX(DarlSollzins,12),INDEX(DarlAnschluss,12))</f>
      </c>
      <c r="I5582" s="43">
        <f>IF(INDEX(DarlBelegt,12)=0,0,IF(INDEX(DarlOhneTilgung,12)=1,IF(INDEX(DarlBindung,12)="",1,$G5582),IF($J5582&gt;0.005,1,0)))</f>
      </c>
      <c r="J5582" s="43">
        <f>IF($I5581=0,0,$R5581)</f>
      </c>
      <c r="K5582" s="43">
        <f>IF($I5582=0,0,IF(INDEX(DarlOhneTilgung,12)=1,0,IF(AND(INDEX(DarlTilgStart,12)&gt;0,$E5582=INDEX(DarlTilgStart,12)),$J5582*($H5582+INDEX(DarlTilgung,12))/100/12,IF(AND($G5582=0,$G5581=1),MAX($K5581,$J5582*($H5582+1)/100/12),$K5581))))</f>
      </c>
      <c r="L5582" s="43">
        <f>IF($I5582=0,0,$J5582*$H5582/100/12)</f>
      </c>
      <c r="M5582" s="43">
        <f>IF($I5582=0,0,IF(OR(INDEX(DarlOhneTilgung,12)=1,AND(INDEX(DarlTilgStart,12)&gt;0,$E5582&lt;INDEX(DarlTilgStart,12))),0,MIN(MAX(0,$K5582-$L5582),$J5582)))</f>
      </c>
      <c r="N5582" s="43">
        <f>IF($I5582=0,0,MIN(SUMIFS(SondBetrag,SondDarl,12,SondDatum,"&gt;="&amp;$E5582,SondDatum,"&lt;="&amp;EOMONTH($E5582,0)),$J5582-$M5582))</f>
      </c>
      <c r="O5582" s="43">
        <f>IF($I5582=0,0,INDEX(DarlErsatzRate,12))</f>
      </c>
      <c r="P5582" s="43">
        <f>IF($I5582=0,0,$Q5581*INDEX(DarlErsatzZins,12))</f>
      </c>
      <c r="Q5582" s="43">
        <f>IF($I5582=0,0,$Q5581+$P5582+$O5582)</f>
      </c>
      <c r="R5582" s="43">
        <f>IF($I5582=0,0,$J5582-$M5582-$N5582)</f>
      </c>
    </row>
    <row r="5583">
      <c r="A5583"/>
      <c r="B5583">
        <v>12</v>
      </c>
      <c r="C5583" s="43">
        <f>INDEX(DarlObj,12)</f>
      </c>
      <c r="D5583">
        <v>300</v>
      </c>
      <c r="E5583" s="51">
        <f>IF(INDEX(DarlBelegt,12)=0,0,EOMONTH(INDEX(DarlAuszahlung,12),299)+1)</f>
      </c>
      <c r="F5583" s="43">
        <f>IF($E5583=0,0,YEAR($E5583))</f>
      </c>
      <c r="G5583" s="43">
        <f>IF(INDEX(DarlBindung,12)="",1,IF($E5583&lt;=INDEX(DarlBindung,12),1,0))</f>
      </c>
      <c r="H5583" s="43">
        <f>IF($G5583=1,INDEX(DarlSollzins,12),INDEX(DarlAnschluss,12))</f>
      </c>
      <c r="I5583" s="43">
        <f>IF(INDEX(DarlBelegt,12)=0,0,IF(INDEX(DarlOhneTilgung,12)=1,IF(INDEX(DarlBindung,12)="",1,$G5583),IF($J5583&gt;0.005,1,0)))</f>
      </c>
      <c r="J5583" s="43">
        <f>IF($I5582=0,0,$R5582)</f>
      </c>
      <c r="K5583" s="43">
        <f>IF($I5583=0,0,IF(INDEX(DarlOhneTilgung,12)=1,0,IF(AND(INDEX(DarlTilgStart,12)&gt;0,$E5583=INDEX(DarlTilgStart,12)),$J5583*($H5583+INDEX(DarlTilgung,12))/100/12,IF(AND($G5583=0,$G5582=1),MAX($K5582,$J5583*($H5583+1)/100/12),$K5582))))</f>
      </c>
      <c r="L5583" s="43">
        <f>IF($I5583=0,0,$J5583*$H5583/100/12)</f>
      </c>
      <c r="M5583" s="43">
        <f>IF($I5583=0,0,IF(OR(INDEX(DarlOhneTilgung,12)=1,AND(INDEX(DarlTilgStart,12)&gt;0,$E5583&lt;INDEX(DarlTilgStart,12))),0,MIN(MAX(0,$K5583-$L5583),$J5583)))</f>
      </c>
      <c r="N5583" s="43">
        <f>IF($I5583=0,0,MIN(SUMIFS(SondBetrag,SondDarl,12,SondDatum,"&gt;="&amp;$E5583,SondDatum,"&lt;="&amp;EOMONTH($E5583,0)),$J5583-$M5583))</f>
      </c>
      <c r="O5583" s="43">
        <f>IF($I5583=0,0,INDEX(DarlErsatzRate,12))</f>
      </c>
      <c r="P5583" s="43">
        <f>IF($I5583=0,0,$Q5582*INDEX(DarlErsatzZins,12))</f>
      </c>
      <c r="Q5583" s="43">
        <f>IF($I5583=0,0,$Q5582+$P5583+$O5583)</f>
      </c>
      <c r="R5583" s="43">
        <f>IF($I5583=0,0,$J5583-$M5583-$N5583)</f>
      </c>
    </row>
    <row r="5584">
      <c r="A5584"/>
      <c r="B5584">
        <v>12</v>
      </c>
      <c r="C5584" s="43">
        <f>INDEX(DarlObj,12)</f>
      </c>
      <c r="D5584">
        <v>301</v>
      </c>
      <c r="E5584" s="51">
        <f>IF(INDEX(DarlBelegt,12)=0,0,EOMONTH(INDEX(DarlAuszahlung,12),300)+1)</f>
      </c>
      <c r="F5584" s="43">
        <f>IF($E5584=0,0,YEAR($E5584))</f>
      </c>
      <c r="G5584" s="43">
        <f>IF(INDEX(DarlBindung,12)="",1,IF($E5584&lt;=INDEX(DarlBindung,12),1,0))</f>
      </c>
      <c r="H5584" s="43">
        <f>IF($G5584=1,INDEX(DarlSollzins,12),INDEX(DarlAnschluss,12))</f>
      </c>
      <c r="I5584" s="43">
        <f>IF(INDEX(DarlBelegt,12)=0,0,IF(INDEX(DarlOhneTilgung,12)=1,IF(INDEX(DarlBindung,12)="",1,$G5584),IF($J5584&gt;0.005,1,0)))</f>
      </c>
      <c r="J5584" s="43">
        <f>IF($I5583=0,0,$R5583)</f>
      </c>
      <c r="K5584" s="43">
        <f>IF($I5584=0,0,IF(INDEX(DarlOhneTilgung,12)=1,0,IF(AND(INDEX(DarlTilgStart,12)&gt;0,$E5584=INDEX(DarlTilgStart,12)),$J5584*($H5584+INDEX(DarlTilgung,12))/100/12,IF(AND($G5584=0,$G5583=1),MAX($K5583,$J5584*($H5584+1)/100/12),$K5583))))</f>
      </c>
      <c r="L5584" s="43">
        <f>IF($I5584=0,0,$J5584*$H5584/100/12)</f>
      </c>
      <c r="M5584" s="43">
        <f>IF($I5584=0,0,IF(OR(INDEX(DarlOhneTilgung,12)=1,AND(INDEX(DarlTilgStart,12)&gt;0,$E5584&lt;INDEX(DarlTilgStart,12))),0,MIN(MAX(0,$K5584-$L5584),$J5584)))</f>
      </c>
      <c r="N5584" s="43">
        <f>IF($I5584=0,0,MIN(SUMIFS(SondBetrag,SondDarl,12,SondDatum,"&gt;="&amp;$E5584,SondDatum,"&lt;="&amp;EOMONTH($E5584,0)),$J5584-$M5584))</f>
      </c>
      <c r="O5584" s="43">
        <f>IF($I5584=0,0,INDEX(DarlErsatzRate,12))</f>
      </c>
      <c r="P5584" s="43">
        <f>IF($I5584=0,0,$Q5583*INDEX(DarlErsatzZins,12))</f>
      </c>
      <c r="Q5584" s="43">
        <f>IF($I5584=0,0,$Q5583+$P5584+$O5584)</f>
      </c>
      <c r="R5584" s="43">
        <f>IF($I5584=0,0,$J5584-$M5584-$N5584)</f>
      </c>
    </row>
    <row r="5585">
      <c r="A5585"/>
      <c r="B5585">
        <v>12</v>
      </c>
      <c r="C5585" s="43">
        <f>INDEX(DarlObj,12)</f>
      </c>
      <c r="D5585">
        <v>302</v>
      </c>
      <c r="E5585" s="51">
        <f>IF(INDEX(DarlBelegt,12)=0,0,EOMONTH(INDEX(DarlAuszahlung,12),301)+1)</f>
      </c>
      <c r="F5585" s="43">
        <f>IF($E5585=0,0,YEAR($E5585))</f>
      </c>
      <c r="G5585" s="43">
        <f>IF(INDEX(DarlBindung,12)="",1,IF($E5585&lt;=INDEX(DarlBindung,12),1,0))</f>
      </c>
      <c r="H5585" s="43">
        <f>IF($G5585=1,INDEX(DarlSollzins,12),INDEX(DarlAnschluss,12))</f>
      </c>
      <c r="I5585" s="43">
        <f>IF(INDEX(DarlBelegt,12)=0,0,IF(INDEX(DarlOhneTilgung,12)=1,IF(INDEX(DarlBindung,12)="",1,$G5585),IF($J5585&gt;0.005,1,0)))</f>
      </c>
      <c r="J5585" s="43">
        <f>IF($I5584=0,0,$R5584)</f>
      </c>
      <c r="K5585" s="43">
        <f>IF($I5585=0,0,IF(INDEX(DarlOhneTilgung,12)=1,0,IF(AND(INDEX(DarlTilgStart,12)&gt;0,$E5585=INDEX(DarlTilgStart,12)),$J5585*($H5585+INDEX(DarlTilgung,12))/100/12,IF(AND($G5585=0,$G5584=1),MAX($K5584,$J5585*($H5585+1)/100/12),$K5584))))</f>
      </c>
      <c r="L5585" s="43">
        <f>IF($I5585=0,0,$J5585*$H5585/100/12)</f>
      </c>
      <c r="M5585" s="43">
        <f>IF($I5585=0,0,IF(OR(INDEX(DarlOhneTilgung,12)=1,AND(INDEX(DarlTilgStart,12)&gt;0,$E5585&lt;INDEX(DarlTilgStart,12))),0,MIN(MAX(0,$K5585-$L5585),$J5585)))</f>
      </c>
      <c r="N5585" s="43">
        <f>IF($I5585=0,0,MIN(SUMIFS(SondBetrag,SondDarl,12,SondDatum,"&gt;="&amp;$E5585,SondDatum,"&lt;="&amp;EOMONTH($E5585,0)),$J5585-$M5585))</f>
      </c>
      <c r="O5585" s="43">
        <f>IF($I5585=0,0,INDEX(DarlErsatzRate,12))</f>
      </c>
      <c r="P5585" s="43">
        <f>IF($I5585=0,0,$Q5584*INDEX(DarlErsatzZins,12))</f>
      </c>
      <c r="Q5585" s="43">
        <f>IF($I5585=0,0,$Q5584+$P5585+$O5585)</f>
      </c>
      <c r="R5585" s="43">
        <f>IF($I5585=0,0,$J5585-$M5585-$N5585)</f>
      </c>
    </row>
    <row r="5586">
      <c r="A5586"/>
      <c r="B5586">
        <v>12</v>
      </c>
      <c r="C5586" s="43">
        <f>INDEX(DarlObj,12)</f>
      </c>
      <c r="D5586">
        <v>303</v>
      </c>
      <c r="E5586" s="51">
        <f>IF(INDEX(DarlBelegt,12)=0,0,EOMONTH(INDEX(DarlAuszahlung,12),302)+1)</f>
      </c>
      <c r="F5586" s="43">
        <f>IF($E5586=0,0,YEAR($E5586))</f>
      </c>
      <c r="G5586" s="43">
        <f>IF(INDEX(DarlBindung,12)="",1,IF($E5586&lt;=INDEX(DarlBindung,12),1,0))</f>
      </c>
      <c r="H5586" s="43">
        <f>IF($G5586=1,INDEX(DarlSollzins,12),INDEX(DarlAnschluss,12))</f>
      </c>
      <c r="I5586" s="43">
        <f>IF(INDEX(DarlBelegt,12)=0,0,IF(INDEX(DarlOhneTilgung,12)=1,IF(INDEX(DarlBindung,12)="",1,$G5586),IF($J5586&gt;0.005,1,0)))</f>
      </c>
      <c r="J5586" s="43">
        <f>IF($I5585=0,0,$R5585)</f>
      </c>
      <c r="K5586" s="43">
        <f>IF($I5586=0,0,IF(INDEX(DarlOhneTilgung,12)=1,0,IF(AND(INDEX(DarlTilgStart,12)&gt;0,$E5586=INDEX(DarlTilgStart,12)),$J5586*($H5586+INDEX(DarlTilgung,12))/100/12,IF(AND($G5586=0,$G5585=1),MAX($K5585,$J5586*($H5586+1)/100/12),$K5585))))</f>
      </c>
      <c r="L5586" s="43">
        <f>IF($I5586=0,0,$J5586*$H5586/100/12)</f>
      </c>
      <c r="M5586" s="43">
        <f>IF($I5586=0,0,IF(OR(INDEX(DarlOhneTilgung,12)=1,AND(INDEX(DarlTilgStart,12)&gt;0,$E5586&lt;INDEX(DarlTilgStart,12))),0,MIN(MAX(0,$K5586-$L5586),$J5586)))</f>
      </c>
      <c r="N5586" s="43">
        <f>IF($I5586=0,0,MIN(SUMIFS(SondBetrag,SondDarl,12,SondDatum,"&gt;="&amp;$E5586,SondDatum,"&lt;="&amp;EOMONTH($E5586,0)),$J5586-$M5586))</f>
      </c>
      <c r="O5586" s="43">
        <f>IF($I5586=0,0,INDEX(DarlErsatzRate,12))</f>
      </c>
      <c r="P5586" s="43">
        <f>IF($I5586=0,0,$Q5585*INDEX(DarlErsatzZins,12))</f>
      </c>
      <c r="Q5586" s="43">
        <f>IF($I5586=0,0,$Q5585+$P5586+$O5586)</f>
      </c>
      <c r="R5586" s="43">
        <f>IF($I5586=0,0,$J5586-$M5586-$N5586)</f>
      </c>
    </row>
    <row r="5587">
      <c r="A5587"/>
      <c r="B5587">
        <v>12</v>
      </c>
      <c r="C5587" s="43">
        <f>INDEX(DarlObj,12)</f>
      </c>
      <c r="D5587">
        <v>304</v>
      </c>
      <c r="E5587" s="51">
        <f>IF(INDEX(DarlBelegt,12)=0,0,EOMONTH(INDEX(DarlAuszahlung,12),303)+1)</f>
      </c>
      <c r="F5587" s="43">
        <f>IF($E5587=0,0,YEAR($E5587))</f>
      </c>
      <c r="G5587" s="43">
        <f>IF(INDEX(DarlBindung,12)="",1,IF($E5587&lt;=INDEX(DarlBindung,12),1,0))</f>
      </c>
      <c r="H5587" s="43">
        <f>IF($G5587=1,INDEX(DarlSollzins,12),INDEX(DarlAnschluss,12))</f>
      </c>
      <c r="I5587" s="43">
        <f>IF(INDEX(DarlBelegt,12)=0,0,IF(INDEX(DarlOhneTilgung,12)=1,IF(INDEX(DarlBindung,12)="",1,$G5587),IF($J5587&gt;0.005,1,0)))</f>
      </c>
      <c r="J5587" s="43">
        <f>IF($I5586=0,0,$R5586)</f>
      </c>
      <c r="K5587" s="43">
        <f>IF($I5587=0,0,IF(INDEX(DarlOhneTilgung,12)=1,0,IF(AND(INDEX(DarlTilgStart,12)&gt;0,$E5587=INDEX(DarlTilgStart,12)),$J5587*($H5587+INDEX(DarlTilgung,12))/100/12,IF(AND($G5587=0,$G5586=1),MAX($K5586,$J5587*($H5587+1)/100/12),$K5586))))</f>
      </c>
      <c r="L5587" s="43">
        <f>IF($I5587=0,0,$J5587*$H5587/100/12)</f>
      </c>
      <c r="M5587" s="43">
        <f>IF($I5587=0,0,IF(OR(INDEX(DarlOhneTilgung,12)=1,AND(INDEX(DarlTilgStart,12)&gt;0,$E5587&lt;INDEX(DarlTilgStart,12))),0,MIN(MAX(0,$K5587-$L5587),$J5587)))</f>
      </c>
      <c r="N5587" s="43">
        <f>IF($I5587=0,0,MIN(SUMIFS(SondBetrag,SondDarl,12,SondDatum,"&gt;="&amp;$E5587,SondDatum,"&lt;="&amp;EOMONTH($E5587,0)),$J5587-$M5587))</f>
      </c>
      <c r="O5587" s="43">
        <f>IF($I5587=0,0,INDEX(DarlErsatzRate,12))</f>
      </c>
      <c r="P5587" s="43">
        <f>IF($I5587=0,0,$Q5586*INDEX(DarlErsatzZins,12))</f>
      </c>
      <c r="Q5587" s="43">
        <f>IF($I5587=0,0,$Q5586+$P5587+$O5587)</f>
      </c>
      <c r="R5587" s="43">
        <f>IF($I5587=0,0,$J5587-$M5587-$N5587)</f>
      </c>
    </row>
    <row r="5588">
      <c r="A5588"/>
      <c r="B5588">
        <v>12</v>
      </c>
      <c r="C5588" s="43">
        <f>INDEX(DarlObj,12)</f>
      </c>
      <c r="D5588">
        <v>305</v>
      </c>
      <c r="E5588" s="51">
        <f>IF(INDEX(DarlBelegt,12)=0,0,EOMONTH(INDEX(DarlAuszahlung,12),304)+1)</f>
      </c>
      <c r="F5588" s="43">
        <f>IF($E5588=0,0,YEAR($E5588))</f>
      </c>
      <c r="G5588" s="43">
        <f>IF(INDEX(DarlBindung,12)="",1,IF($E5588&lt;=INDEX(DarlBindung,12),1,0))</f>
      </c>
      <c r="H5588" s="43">
        <f>IF($G5588=1,INDEX(DarlSollzins,12),INDEX(DarlAnschluss,12))</f>
      </c>
      <c r="I5588" s="43">
        <f>IF(INDEX(DarlBelegt,12)=0,0,IF(INDEX(DarlOhneTilgung,12)=1,IF(INDEX(DarlBindung,12)="",1,$G5588),IF($J5588&gt;0.005,1,0)))</f>
      </c>
      <c r="J5588" s="43">
        <f>IF($I5587=0,0,$R5587)</f>
      </c>
      <c r="K5588" s="43">
        <f>IF($I5588=0,0,IF(INDEX(DarlOhneTilgung,12)=1,0,IF(AND(INDEX(DarlTilgStart,12)&gt;0,$E5588=INDEX(DarlTilgStart,12)),$J5588*($H5588+INDEX(DarlTilgung,12))/100/12,IF(AND($G5588=0,$G5587=1),MAX($K5587,$J5588*($H5588+1)/100/12),$K5587))))</f>
      </c>
      <c r="L5588" s="43">
        <f>IF($I5588=0,0,$J5588*$H5588/100/12)</f>
      </c>
      <c r="M5588" s="43">
        <f>IF($I5588=0,0,IF(OR(INDEX(DarlOhneTilgung,12)=1,AND(INDEX(DarlTilgStart,12)&gt;0,$E5588&lt;INDEX(DarlTilgStart,12))),0,MIN(MAX(0,$K5588-$L5588),$J5588)))</f>
      </c>
      <c r="N5588" s="43">
        <f>IF($I5588=0,0,MIN(SUMIFS(SondBetrag,SondDarl,12,SondDatum,"&gt;="&amp;$E5588,SondDatum,"&lt;="&amp;EOMONTH($E5588,0)),$J5588-$M5588))</f>
      </c>
      <c r="O5588" s="43">
        <f>IF($I5588=0,0,INDEX(DarlErsatzRate,12))</f>
      </c>
      <c r="P5588" s="43">
        <f>IF($I5588=0,0,$Q5587*INDEX(DarlErsatzZins,12))</f>
      </c>
      <c r="Q5588" s="43">
        <f>IF($I5588=0,0,$Q5587+$P5588+$O5588)</f>
      </c>
      <c r="R5588" s="43">
        <f>IF($I5588=0,0,$J5588-$M5588-$N5588)</f>
      </c>
    </row>
    <row r="5589">
      <c r="A5589"/>
      <c r="B5589">
        <v>12</v>
      </c>
      <c r="C5589" s="43">
        <f>INDEX(DarlObj,12)</f>
      </c>
      <c r="D5589">
        <v>306</v>
      </c>
      <c r="E5589" s="51">
        <f>IF(INDEX(DarlBelegt,12)=0,0,EOMONTH(INDEX(DarlAuszahlung,12),305)+1)</f>
      </c>
      <c r="F5589" s="43">
        <f>IF($E5589=0,0,YEAR($E5589))</f>
      </c>
      <c r="G5589" s="43">
        <f>IF(INDEX(DarlBindung,12)="",1,IF($E5589&lt;=INDEX(DarlBindung,12),1,0))</f>
      </c>
      <c r="H5589" s="43">
        <f>IF($G5589=1,INDEX(DarlSollzins,12),INDEX(DarlAnschluss,12))</f>
      </c>
      <c r="I5589" s="43">
        <f>IF(INDEX(DarlBelegt,12)=0,0,IF(INDEX(DarlOhneTilgung,12)=1,IF(INDEX(DarlBindung,12)="",1,$G5589),IF($J5589&gt;0.005,1,0)))</f>
      </c>
      <c r="J5589" s="43">
        <f>IF($I5588=0,0,$R5588)</f>
      </c>
      <c r="K5589" s="43">
        <f>IF($I5589=0,0,IF(INDEX(DarlOhneTilgung,12)=1,0,IF(AND(INDEX(DarlTilgStart,12)&gt;0,$E5589=INDEX(DarlTilgStart,12)),$J5589*($H5589+INDEX(DarlTilgung,12))/100/12,IF(AND($G5589=0,$G5588=1),MAX($K5588,$J5589*($H5589+1)/100/12),$K5588))))</f>
      </c>
      <c r="L5589" s="43">
        <f>IF($I5589=0,0,$J5589*$H5589/100/12)</f>
      </c>
      <c r="M5589" s="43">
        <f>IF($I5589=0,0,IF(OR(INDEX(DarlOhneTilgung,12)=1,AND(INDEX(DarlTilgStart,12)&gt;0,$E5589&lt;INDEX(DarlTilgStart,12))),0,MIN(MAX(0,$K5589-$L5589),$J5589)))</f>
      </c>
      <c r="N5589" s="43">
        <f>IF($I5589=0,0,MIN(SUMIFS(SondBetrag,SondDarl,12,SondDatum,"&gt;="&amp;$E5589,SondDatum,"&lt;="&amp;EOMONTH($E5589,0)),$J5589-$M5589))</f>
      </c>
      <c r="O5589" s="43">
        <f>IF($I5589=0,0,INDEX(DarlErsatzRate,12))</f>
      </c>
      <c r="P5589" s="43">
        <f>IF($I5589=0,0,$Q5588*INDEX(DarlErsatzZins,12))</f>
      </c>
      <c r="Q5589" s="43">
        <f>IF($I5589=0,0,$Q5588+$P5589+$O5589)</f>
      </c>
      <c r="R5589" s="43">
        <f>IF($I5589=0,0,$J5589-$M5589-$N5589)</f>
      </c>
    </row>
    <row r="5590">
      <c r="A5590"/>
      <c r="B5590">
        <v>12</v>
      </c>
      <c r="C5590" s="43">
        <f>INDEX(DarlObj,12)</f>
      </c>
      <c r="D5590">
        <v>307</v>
      </c>
      <c r="E5590" s="51">
        <f>IF(INDEX(DarlBelegt,12)=0,0,EOMONTH(INDEX(DarlAuszahlung,12),306)+1)</f>
      </c>
      <c r="F5590" s="43">
        <f>IF($E5590=0,0,YEAR($E5590))</f>
      </c>
      <c r="G5590" s="43">
        <f>IF(INDEX(DarlBindung,12)="",1,IF($E5590&lt;=INDEX(DarlBindung,12),1,0))</f>
      </c>
      <c r="H5590" s="43">
        <f>IF($G5590=1,INDEX(DarlSollzins,12),INDEX(DarlAnschluss,12))</f>
      </c>
      <c r="I5590" s="43">
        <f>IF(INDEX(DarlBelegt,12)=0,0,IF(INDEX(DarlOhneTilgung,12)=1,IF(INDEX(DarlBindung,12)="",1,$G5590),IF($J5590&gt;0.005,1,0)))</f>
      </c>
      <c r="J5590" s="43">
        <f>IF($I5589=0,0,$R5589)</f>
      </c>
      <c r="K5590" s="43">
        <f>IF($I5590=0,0,IF(INDEX(DarlOhneTilgung,12)=1,0,IF(AND(INDEX(DarlTilgStart,12)&gt;0,$E5590=INDEX(DarlTilgStart,12)),$J5590*($H5590+INDEX(DarlTilgung,12))/100/12,IF(AND($G5590=0,$G5589=1),MAX($K5589,$J5590*($H5590+1)/100/12),$K5589))))</f>
      </c>
      <c r="L5590" s="43">
        <f>IF($I5590=0,0,$J5590*$H5590/100/12)</f>
      </c>
      <c r="M5590" s="43">
        <f>IF($I5590=0,0,IF(OR(INDEX(DarlOhneTilgung,12)=1,AND(INDEX(DarlTilgStart,12)&gt;0,$E5590&lt;INDEX(DarlTilgStart,12))),0,MIN(MAX(0,$K5590-$L5590),$J5590)))</f>
      </c>
      <c r="N5590" s="43">
        <f>IF($I5590=0,0,MIN(SUMIFS(SondBetrag,SondDarl,12,SondDatum,"&gt;="&amp;$E5590,SondDatum,"&lt;="&amp;EOMONTH($E5590,0)),$J5590-$M5590))</f>
      </c>
      <c r="O5590" s="43">
        <f>IF($I5590=0,0,INDEX(DarlErsatzRate,12))</f>
      </c>
      <c r="P5590" s="43">
        <f>IF($I5590=0,0,$Q5589*INDEX(DarlErsatzZins,12))</f>
      </c>
      <c r="Q5590" s="43">
        <f>IF($I5590=0,0,$Q5589+$P5590+$O5590)</f>
      </c>
      <c r="R5590" s="43">
        <f>IF($I5590=0,0,$J5590-$M5590-$N5590)</f>
      </c>
    </row>
    <row r="5591">
      <c r="A5591"/>
      <c r="B5591">
        <v>12</v>
      </c>
      <c r="C5591" s="43">
        <f>INDEX(DarlObj,12)</f>
      </c>
      <c r="D5591">
        <v>308</v>
      </c>
      <c r="E5591" s="51">
        <f>IF(INDEX(DarlBelegt,12)=0,0,EOMONTH(INDEX(DarlAuszahlung,12),307)+1)</f>
      </c>
      <c r="F5591" s="43">
        <f>IF($E5591=0,0,YEAR($E5591))</f>
      </c>
      <c r="G5591" s="43">
        <f>IF(INDEX(DarlBindung,12)="",1,IF($E5591&lt;=INDEX(DarlBindung,12),1,0))</f>
      </c>
      <c r="H5591" s="43">
        <f>IF($G5591=1,INDEX(DarlSollzins,12),INDEX(DarlAnschluss,12))</f>
      </c>
      <c r="I5591" s="43">
        <f>IF(INDEX(DarlBelegt,12)=0,0,IF(INDEX(DarlOhneTilgung,12)=1,IF(INDEX(DarlBindung,12)="",1,$G5591),IF($J5591&gt;0.005,1,0)))</f>
      </c>
      <c r="J5591" s="43">
        <f>IF($I5590=0,0,$R5590)</f>
      </c>
      <c r="K5591" s="43">
        <f>IF($I5591=0,0,IF(INDEX(DarlOhneTilgung,12)=1,0,IF(AND(INDEX(DarlTilgStart,12)&gt;0,$E5591=INDEX(DarlTilgStart,12)),$J5591*($H5591+INDEX(DarlTilgung,12))/100/12,IF(AND($G5591=0,$G5590=1),MAX($K5590,$J5591*($H5591+1)/100/12),$K5590))))</f>
      </c>
      <c r="L5591" s="43">
        <f>IF($I5591=0,0,$J5591*$H5591/100/12)</f>
      </c>
      <c r="M5591" s="43">
        <f>IF($I5591=0,0,IF(OR(INDEX(DarlOhneTilgung,12)=1,AND(INDEX(DarlTilgStart,12)&gt;0,$E5591&lt;INDEX(DarlTilgStart,12))),0,MIN(MAX(0,$K5591-$L5591),$J5591)))</f>
      </c>
      <c r="N5591" s="43">
        <f>IF($I5591=0,0,MIN(SUMIFS(SondBetrag,SondDarl,12,SondDatum,"&gt;="&amp;$E5591,SondDatum,"&lt;="&amp;EOMONTH($E5591,0)),$J5591-$M5591))</f>
      </c>
      <c r="O5591" s="43">
        <f>IF($I5591=0,0,INDEX(DarlErsatzRate,12))</f>
      </c>
      <c r="P5591" s="43">
        <f>IF($I5591=0,0,$Q5590*INDEX(DarlErsatzZins,12))</f>
      </c>
      <c r="Q5591" s="43">
        <f>IF($I5591=0,0,$Q5590+$P5591+$O5591)</f>
      </c>
      <c r="R5591" s="43">
        <f>IF($I5591=0,0,$J5591-$M5591-$N5591)</f>
      </c>
    </row>
    <row r="5592">
      <c r="A5592"/>
      <c r="B5592">
        <v>12</v>
      </c>
      <c r="C5592" s="43">
        <f>INDEX(DarlObj,12)</f>
      </c>
      <c r="D5592">
        <v>309</v>
      </c>
      <c r="E5592" s="51">
        <f>IF(INDEX(DarlBelegt,12)=0,0,EOMONTH(INDEX(DarlAuszahlung,12),308)+1)</f>
      </c>
      <c r="F5592" s="43">
        <f>IF($E5592=0,0,YEAR($E5592))</f>
      </c>
      <c r="G5592" s="43">
        <f>IF(INDEX(DarlBindung,12)="",1,IF($E5592&lt;=INDEX(DarlBindung,12),1,0))</f>
      </c>
      <c r="H5592" s="43">
        <f>IF($G5592=1,INDEX(DarlSollzins,12),INDEX(DarlAnschluss,12))</f>
      </c>
      <c r="I5592" s="43">
        <f>IF(INDEX(DarlBelegt,12)=0,0,IF(INDEX(DarlOhneTilgung,12)=1,IF(INDEX(DarlBindung,12)="",1,$G5592),IF($J5592&gt;0.005,1,0)))</f>
      </c>
      <c r="J5592" s="43">
        <f>IF($I5591=0,0,$R5591)</f>
      </c>
      <c r="K5592" s="43">
        <f>IF($I5592=0,0,IF(INDEX(DarlOhneTilgung,12)=1,0,IF(AND(INDEX(DarlTilgStart,12)&gt;0,$E5592=INDEX(DarlTilgStart,12)),$J5592*($H5592+INDEX(DarlTilgung,12))/100/12,IF(AND($G5592=0,$G5591=1),MAX($K5591,$J5592*($H5592+1)/100/12),$K5591))))</f>
      </c>
      <c r="L5592" s="43">
        <f>IF($I5592=0,0,$J5592*$H5592/100/12)</f>
      </c>
      <c r="M5592" s="43">
        <f>IF($I5592=0,0,IF(OR(INDEX(DarlOhneTilgung,12)=1,AND(INDEX(DarlTilgStart,12)&gt;0,$E5592&lt;INDEX(DarlTilgStart,12))),0,MIN(MAX(0,$K5592-$L5592),$J5592)))</f>
      </c>
      <c r="N5592" s="43">
        <f>IF($I5592=0,0,MIN(SUMIFS(SondBetrag,SondDarl,12,SondDatum,"&gt;="&amp;$E5592,SondDatum,"&lt;="&amp;EOMONTH($E5592,0)),$J5592-$M5592))</f>
      </c>
      <c r="O5592" s="43">
        <f>IF($I5592=0,0,INDEX(DarlErsatzRate,12))</f>
      </c>
      <c r="P5592" s="43">
        <f>IF($I5592=0,0,$Q5591*INDEX(DarlErsatzZins,12))</f>
      </c>
      <c r="Q5592" s="43">
        <f>IF($I5592=0,0,$Q5591+$P5592+$O5592)</f>
      </c>
      <c r="R5592" s="43">
        <f>IF($I5592=0,0,$J5592-$M5592-$N5592)</f>
      </c>
    </row>
    <row r="5593">
      <c r="A5593"/>
      <c r="B5593">
        <v>12</v>
      </c>
      <c r="C5593" s="43">
        <f>INDEX(DarlObj,12)</f>
      </c>
      <c r="D5593">
        <v>310</v>
      </c>
      <c r="E5593" s="51">
        <f>IF(INDEX(DarlBelegt,12)=0,0,EOMONTH(INDEX(DarlAuszahlung,12),309)+1)</f>
      </c>
      <c r="F5593" s="43">
        <f>IF($E5593=0,0,YEAR($E5593))</f>
      </c>
      <c r="G5593" s="43">
        <f>IF(INDEX(DarlBindung,12)="",1,IF($E5593&lt;=INDEX(DarlBindung,12),1,0))</f>
      </c>
      <c r="H5593" s="43">
        <f>IF($G5593=1,INDEX(DarlSollzins,12),INDEX(DarlAnschluss,12))</f>
      </c>
      <c r="I5593" s="43">
        <f>IF(INDEX(DarlBelegt,12)=0,0,IF(INDEX(DarlOhneTilgung,12)=1,IF(INDEX(DarlBindung,12)="",1,$G5593),IF($J5593&gt;0.005,1,0)))</f>
      </c>
      <c r="J5593" s="43">
        <f>IF($I5592=0,0,$R5592)</f>
      </c>
      <c r="K5593" s="43">
        <f>IF($I5593=0,0,IF(INDEX(DarlOhneTilgung,12)=1,0,IF(AND(INDEX(DarlTilgStart,12)&gt;0,$E5593=INDEX(DarlTilgStart,12)),$J5593*($H5593+INDEX(DarlTilgung,12))/100/12,IF(AND($G5593=0,$G5592=1),MAX($K5592,$J5593*($H5593+1)/100/12),$K5592))))</f>
      </c>
      <c r="L5593" s="43">
        <f>IF($I5593=0,0,$J5593*$H5593/100/12)</f>
      </c>
      <c r="M5593" s="43">
        <f>IF($I5593=0,0,IF(OR(INDEX(DarlOhneTilgung,12)=1,AND(INDEX(DarlTilgStart,12)&gt;0,$E5593&lt;INDEX(DarlTilgStart,12))),0,MIN(MAX(0,$K5593-$L5593),$J5593)))</f>
      </c>
      <c r="N5593" s="43">
        <f>IF($I5593=0,0,MIN(SUMIFS(SondBetrag,SondDarl,12,SondDatum,"&gt;="&amp;$E5593,SondDatum,"&lt;="&amp;EOMONTH($E5593,0)),$J5593-$M5593))</f>
      </c>
      <c r="O5593" s="43">
        <f>IF($I5593=0,0,INDEX(DarlErsatzRate,12))</f>
      </c>
      <c r="P5593" s="43">
        <f>IF($I5593=0,0,$Q5592*INDEX(DarlErsatzZins,12))</f>
      </c>
      <c r="Q5593" s="43">
        <f>IF($I5593=0,0,$Q5592+$P5593+$O5593)</f>
      </c>
      <c r="R5593" s="43">
        <f>IF($I5593=0,0,$J5593-$M5593-$N5593)</f>
      </c>
    </row>
    <row r="5594">
      <c r="A5594"/>
      <c r="B5594">
        <v>12</v>
      </c>
      <c r="C5594" s="43">
        <f>INDEX(DarlObj,12)</f>
      </c>
      <c r="D5594">
        <v>311</v>
      </c>
      <c r="E5594" s="51">
        <f>IF(INDEX(DarlBelegt,12)=0,0,EOMONTH(INDEX(DarlAuszahlung,12),310)+1)</f>
      </c>
      <c r="F5594" s="43">
        <f>IF($E5594=0,0,YEAR($E5594))</f>
      </c>
      <c r="G5594" s="43">
        <f>IF(INDEX(DarlBindung,12)="",1,IF($E5594&lt;=INDEX(DarlBindung,12),1,0))</f>
      </c>
      <c r="H5594" s="43">
        <f>IF($G5594=1,INDEX(DarlSollzins,12),INDEX(DarlAnschluss,12))</f>
      </c>
      <c r="I5594" s="43">
        <f>IF(INDEX(DarlBelegt,12)=0,0,IF(INDEX(DarlOhneTilgung,12)=1,IF(INDEX(DarlBindung,12)="",1,$G5594),IF($J5594&gt;0.005,1,0)))</f>
      </c>
      <c r="J5594" s="43">
        <f>IF($I5593=0,0,$R5593)</f>
      </c>
      <c r="K5594" s="43">
        <f>IF($I5594=0,0,IF(INDEX(DarlOhneTilgung,12)=1,0,IF(AND(INDEX(DarlTilgStart,12)&gt;0,$E5594=INDEX(DarlTilgStart,12)),$J5594*($H5594+INDEX(DarlTilgung,12))/100/12,IF(AND($G5594=0,$G5593=1),MAX($K5593,$J5594*($H5594+1)/100/12),$K5593))))</f>
      </c>
      <c r="L5594" s="43">
        <f>IF($I5594=0,0,$J5594*$H5594/100/12)</f>
      </c>
      <c r="M5594" s="43">
        <f>IF($I5594=0,0,IF(OR(INDEX(DarlOhneTilgung,12)=1,AND(INDEX(DarlTilgStart,12)&gt;0,$E5594&lt;INDEX(DarlTilgStart,12))),0,MIN(MAX(0,$K5594-$L5594),$J5594)))</f>
      </c>
      <c r="N5594" s="43">
        <f>IF($I5594=0,0,MIN(SUMIFS(SondBetrag,SondDarl,12,SondDatum,"&gt;="&amp;$E5594,SondDatum,"&lt;="&amp;EOMONTH($E5594,0)),$J5594-$M5594))</f>
      </c>
      <c r="O5594" s="43">
        <f>IF($I5594=0,0,INDEX(DarlErsatzRate,12))</f>
      </c>
      <c r="P5594" s="43">
        <f>IF($I5594=0,0,$Q5593*INDEX(DarlErsatzZins,12))</f>
      </c>
      <c r="Q5594" s="43">
        <f>IF($I5594=0,0,$Q5593+$P5594+$O5594)</f>
      </c>
      <c r="R5594" s="43">
        <f>IF($I5594=0,0,$J5594-$M5594-$N5594)</f>
      </c>
    </row>
    <row r="5595">
      <c r="A5595"/>
      <c r="B5595">
        <v>12</v>
      </c>
      <c r="C5595" s="43">
        <f>INDEX(DarlObj,12)</f>
      </c>
      <c r="D5595">
        <v>312</v>
      </c>
      <c r="E5595" s="51">
        <f>IF(INDEX(DarlBelegt,12)=0,0,EOMONTH(INDEX(DarlAuszahlung,12),311)+1)</f>
      </c>
      <c r="F5595" s="43">
        <f>IF($E5595=0,0,YEAR($E5595))</f>
      </c>
      <c r="G5595" s="43">
        <f>IF(INDEX(DarlBindung,12)="",1,IF($E5595&lt;=INDEX(DarlBindung,12),1,0))</f>
      </c>
      <c r="H5595" s="43">
        <f>IF($G5595=1,INDEX(DarlSollzins,12),INDEX(DarlAnschluss,12))</f>
      </c>
      <c r="I5595" s="43">
        <f>IF(INDEX(DarlBelegt,12)=0,0,IF(INDEX(DarlOhneTilgung,12)=1,IF(INDEX(DarlBindung,12)="",1,$G5595),IF($J5595&gt;0.005,1,0)))</f>
      </c>
      <c r="J5595" s="43">
        <f>IF($I5594=0,0,$R5594)</f>
      </c>
      <c r="K5595" s="43">
        <f>IF($I5595=0,0,IF(INDEX(DarlOhneTilgung,12)=1,0,IF(AND(INDEX(DarlTilgStart,12)&gt;0,$E5595=INDEX(DarlTilgStart,12)),$J5595*($H5595+INDEX(DarlTilgung,12))/100/12,IF(AND($G5595=0,$G5594=1),MAX($K5594,$J5595*($H5595+1)/100/12),$K5594))))</f>
      </c>
      <c r="L5595" s="43">
        <f>IF($I5595=0,0,$J5595*$H5595/100/12)</f>
      </c>
      <c r="M5595" s="43">
        <f>IF($I5595=0,0,IF(OR(INDEX(DarlOhneTilgung,12)=1,AND(INDEX(DarlTilgStart,12)&gt;0,$E5595&lt;INDEX(DarlTilgStart,12))),0,MIN(MAX(0,$K5595-$L5595),$J5595)))</f>
      </c>
      <c r="N5595" s="43">
        <f>IF($I5595=0,0,MIN(SUMIFS(SondBetrag,SondDarl,12,SondDatum,"&gt;="&amp;$E5595,SondDatum,"&lt;="&amp;EOMONTH($E5595,0)),$J5595-$M5595))</f>
      </c>
      <c r="O5595" s="43">
        <f>IF($I5595=0,0,INDEX(DarlErsatzRate,12))</f>
      </c>
      <c r="P5595" s="43">
        <f>IF($I5595=0,0,$Q5594*INDEX(DarlErsatzZins,12))</f>
      </c>
      <c r="Q5595" s="43">
        <f>IF($I5595=0,0,$Q5594+$P5595+$O5595)</f>
      </c>
      <c r="R5595" s="43">
        <f>IF($I5595=0,0,$J5595-$M5595-$N5595)</f>
      </c>
    </row>
    <row r="5596">
      <c r="A5596"/>
      <c r="B5596">
        <v>12</v>
      </c>
      <c r="C5596" s="43">
        <f>INDEX(DarlObj,12)</f>
      </c>
      <c r="D5596">
        <v>313</v>
      </c>
      <c r="E5596" s="51">
        <f>IF(INDEX(DarlBelegt,12)=0,0,EOMONTH(INDEX(DarlAuszahlung,12),312)+1)</f>
      </c>
      <c r="F5596" s="43">
        <f>IF($E5596=0,0,YEAR($E5596))</f>
      </c>
      <c r="G5596" s="43">
        <f>IF(INDEX(DarlBindung,12)="",1,IF($E5596&lt;=INDEX(DarlBindung,12),1,0))</f>
      </c>
      <c r="H5596" s="43">
        <f>IF($G5596=1,INDEX(DarlSollzins,12),INDEX(DarlAnschluss,12))</f>
      </c>
      <c r="I5596" s="43">
        <f>IF(INDEX(DarlBelegt,12)=0,0,IF(INDEX(DarlOhneTilgung,12)=1,IF(INDEX(DarlBindung,12)="",1,$G5596),IF($J5596&gt;0.005,1,0)))</f>
      </c>
      <c r="J5596" s="43">
        <f>IF($I5595=0,0,$R5595)</f>
      </c>
      <c r="K5596" s="43">
        <f>IF($I5596=0,0,IF(INDEX(DarlOhneTilgung,12)=1,0,IF(AND(INDEX(DarlTilgStart,12)&gt;0,$E5596=INDEX(DarlTilgStart,12)),$J5596*($H5596+INDEX(DarlTilgung,12))/100/12,IF(AND($G5596=0,$G5595=1),MAX($K5595,$J5596*($H5596+1)/100/12),$K5595))))</f>
      </c>
      <c r="L5596" s="43">
        <f>IF($I5596=0,0,$J5596*$H5596/100/12)</f>
      </c>
      <c r="M5596" s="43">
        <f>IF($I5596=0,0,IF(OR(INDEX(DarlOhneTilgung,12)=1,AND(INDEX(DarlTilgStart,12)&gt;0,$E5596&lt;INDEX(DarlTilgStart,12))),0,MIN(MAX(0,$K5596-$L5596),$J5596)))</f>
      </c>
      <c r="N5596" s="43">
        <f>IF($I5596=0,0,MIN(SUMIFS(SondBetrag,SondDarl,12,SondDatum,"&gt;="&amp;$E5596,SondDatum,"&lt;="&amp;EOMONTH($E5596,0)),$J5596-$M5596))</f>
      </c>
      <c r="O5596" s="43">
        <f>IF($I5596=0,0,INDEX(DarlErsatzRate,12))</f>
      </c>
      <c r="P5596" s="43">
        <f>IF($I5596=0,0,$Q5595*INDEX(DarlErsatzZins,12))</f>
      </c>
      <c r="Q5596" s="43">
        <f>IF($I5596=0,0,$Q5595+$P5596+$O5596)</f>
      </c>
      <c r="R5596" s="43">
        <f>IF($I5596=0,0,$J5596-$M5596-$N5596)</f>
      </c>
    </row>
    <row r="5597">
      <c r="A5597"/>
      <c r="B5597">
        <v>12</v>
      </c>
      <c r="C5597" s="43">
        <f>INDEX(DarlObj,12)</f>
      </c>
      <c r="D5597">
        <v>314</v>
      </c>
      <c r="E5597" s="51">
        <f>IF(INDEX(DarlBelegt,12)=0,0,EOMONTH(INDEX(DarlAuszahlung,12),313)+1)</f>
      </c>
      <c r="F5597" s="43">
        <f>IF($E5597=0,0,YEAR($E5597))</f>
      </c>
      <c r="G5597" s="43">
        <f>IF(INDEX(DarlBindung,12)="",1,IF($E5597&lt;=INDEX(DarlBindung,12),1,0))</f>
      </c>
      <c r="H5597" s="43">
        <f>IF($G5597=1,INDEX(DarlSollzins,12),INDEX(DarlAnschluss,12))</f>
      </c>
      <c r="I5597" s="43">
        <f>IF(INDEX(DarlBelegt,12)=0,0,IF(INDEX(DarlOhneTilgung,12)=1,IF(INDEX(DarlBindung,12)="",1,$G5597),IF($J5597&gt;0.005,1,0)))</f>
      </c>
      <c r="J5597" s="43">
        <f>IF($I5596=0,0,$R5596)</f>
      </c>
      <c r="K5597" s="43">
        <f>IF($I5597=0,0,IF(INDEX(DarlOhneTilgung,12)=1,0,IF(AND(INDEX(DarlTilgStart,12)&gt;0,$E5597=INDEX(DarlTilgStart,12)),$J5597*($H5597+INDEX(DarlTilgung,12))/100/12,IF(AND($G5597=0,$G5596=1),MAX($K5596,$J5597*($H5597+1)/100/12),$K5596))))</f>
      </c>
      <c r="L5597" s="43">
        <f>IF($I5597=0,0,$J5597*$H5597/100/12)</f>
      </c>
      <c r="M5597" s="43">
        <f>IF($I5597=0,0,IF(OR(INDEX(DarlOhneTilgung,12)=1,AND(INDEX(DarlTilgStart,12)&gt;0,$E5597&lt;INDEX(DarlTilgStart,12))),0,MIN(MAX(0,$K5597-$L5597),$J5597)))</f>
      </c>
      <c r="N5597" s="43">
        <f>IF($I5597=0,0,MIN(SUMIFS(SondBetrag,SondDarl,12,SondDatum,"&gt;="&amp;$E5597,SondDatum,"&lt;="&amp;EOMONTH($E5597,0)),$J5597-$M5597))</f>
      </c>
      <c r="O5597" s="43">
        <f>IF($I5597=0,0,INDEX(DarlErsatzRate,12))</f>
      </c>
      <c r="P5597" s="43">
        <f>IF($I5597=0,0,$Q5596*INDEX(DarlErsatzZins,12))</f>
      </c>
      <c r="Q5597" s="43">
        <f>IF($I5597=0,0,$Q5596+$P5597+$O5597)</f>
      </c>
      <c r="R5597" s="43">
        <f>IF($I5597=0,0,$J5597-$M5597-$N5597)</f>
      </c>
    </row>
    <row r="5598">
      <c r="A5598"/>
      <c r="B5598">
        <v>12</v>
      </c>
      <c r="C5598" s="43">
        <f>INDEX(DarlObj,12)</f>
      </c>
      <c r="D5598">
        <v>315</v>
      </c>
      <c r="E5598" s="51">
        <f>IF(INDEX(DarlBelegt,12)=0,0,EOMONTH(INDEX(DarlAuszahlung,12),314)+1)</f>
      </c>
      <c r="F5598" s="43">
        <f>IF($E5598=0,0,YEAR($E5598))</f>
      </c>
      <c r="G5598" s="43">
        <f>IF(INDEX(DarlBindung,12)="",1,IF($E5598&lt;=INDEX(DarlBindung,12),1,0))</f>
      </c>
      <c r="H5598" s="43">
        <f>IF($G5598=1,INDEX(DarlSollzins,12),INDEX(DarlAnschluss,12))</f>
      </c>
      <c r="I5598" s="43">
        <f>IF(INDEX(DarlBelegt,12)=0,0,IF(INDEX(DarlOhneTilgung,12)=1,IF(INDEX(DarlBindung,12)="",1,$G5598),IF($J5598&gt;0.005,1,0)))</f>
      </c>
      <c r="J5598" s="43">
        <f>IF($I5597=0,0,$R5597)</f>
      </c>
      <c r="K5598" s="43">
        <f>IF($I5598=0,0,IF(INDEX(DarlOhneTilgung,12)=1,0,IF(AND(INDEX(DarlTilgStart,12)&gt;0,$E5598=INDEX(DarlTilgStart,12)),$J5598*($H5598+INDEX(DarlTilgung,12))/100/12,IF(AND($G5598=0,$G5597=1),MAX($K5597,$J5598*($H5598+1)/100/12),$K5597))))</f>
      </c>
      <c r="L5598" s="43">
        <f>IF($I5598=0,0,$J5598*$H5598/100/12)</f>
      </c>
      <c r="M5598" s="43">
        <f>IF($I5598=0,0,IF(OR(INDEX(DarlOhneTilgung,12)=1,AND(INDEX(DarlTilgStart,12)&gt;0,$E5598&lt;INDEX(DarlTilgStart,12))),0,MIN(MAX(0,$K5598-$L5598),$J5598)))</f>
      </c>
      <c r="N5598" s="43">
        <f>IF($I5598=0,0,MIN(SUMIFS(SondBetrag,SondDarl,12,SondDatum,"&gt;="&amp;$E5598,SondDatum,"&lt;="&amp;EOMONTH($E5598,0)),$J5598-$M5598))</f>
      </c>
      <c r="O5598" s="43">
        <f>IF($I5598=0,0,INDEX(DarlErsatzRate,12))</f>
      </c>
      <c r="P5598" s="43">
        <f>IF($I5598=0,0,$Q5597*INDEX(DarlErsatzZins,12))</f>
      </c>
      <c r="Q5598" s="43">
        <f>IF($I5598=0,0,$Q5597+$P5598+$O5598)</f>
      </c>
      <c r="R5598" s="43">
        <f>IF($I5598=0,0,$J5598-$M5598-$N5598)</f>
      </c>
    </row>
    <row r="5599">
      <c r="A5599"/>
      <c r="B5599">
        <v>12</v>
      </c>
      <c r="C5599" s="43">
        <f>INDEX(DarlObj,12)</f>
      </c>
      <c r="D5599">
        <v>316</v>
      </c>
      <c r="E5599" s="51">
        <f>IF(INDEX(DarlBelegt,12)=0,0,EOMONTH(INDEX(DarlAuszahlung,12),315)+1)</f>
      </c>
      <c r="F5599" s="43">
        <f>IF($E5599=0,0,YEAR($E5599))</f>
      </c>
      <c r="G5599" s="43">
        <f>IF(INDEX(DarlBindung,12)="",1,IF($E5599&lt;=INDEX(DarlBindung,12),1,0))</f>
      </c>
      <c r="H5599" s="43">
        <f>IF($G5599=1,INDEX(DarlSollzins,12),INDEX(DarlAnschluss,12))</f>
      </c>
      <c r="I5599" s="43">
        <f>IF(INDEX(DarlBelegt,12)=0,0,IF(INDEX(DarlOhneTilgung,12)=1,IF(INDEX(DarlBindung,12)="",1,$G5599),IF($J5599&gt;0.005,1,0)))</f>
      </c>
      <c r="J5599" s="43">
        <f>IF($I5598=0,0,$R5598)</f>
      </c>
      <c r="K5599" s="43">
        <f>IF($I5599=0,0,IF(INDEX(DarlOhneTilgung,12)=1,0,IF(AND(INDEX(DarlTilgStart,12)&gt;0,$E5599=INDEX(DarlTilgStart,12)),$J5599*($H5599+INDEX(DarlTilgung,12))/100/12,IF(AND($G5599=0,$G5598=1),MAX($K5598,$J5599*($H5599+1)/100/12),$K5598))))</f>
      </c>
      <c r="L5599" s="43">
        <f>IF($I5599=0,0,$J5599*$H5599/100/12)</f>
      </c>
      <c r="M5599" s="43">
        <f>IF($I5599=0,0,IF(OR(INDEX(DarlOhneTilgung,12)=1,AND(INDEX(DarlTilgStart,12)&gt;0,$E5599&lt;INDEX(DarlTilgStart,12))),0,MIN(MAX(0,$K5599-$L5599),$J5599)))</f>
      </c>
      <c r="N5599" s="43">
        <f>IF($I5599=0,0,MIN(SUMIFS(SondBetrag,SondDarl,12,SondDatum,"&gt;="&amp;$E5599,SondDatum,"&lt;="&amp;EOMONTH($E5599,0)),$J5599-$M5599))</f>
      </c>
      <c r="O5599" s="43">
        <f>IF($I5599=0,0,INDEX(DarlErsatzRate,12))</f>
      </c>
      <c r="P5599" s="43">
        <f>IF($I5599=0,0,$Q5598*INDEX(DarlErsatzZins,12))</f>
      </c>
      <c r="Q5599" s="43">
        <f>IF($I5599=0,0,$Q5598+$P5599+$O5599)</f>
      </c>
      <c r="R5599" s="43">
        <f>IF($I5599=0,0,$J5599-$M5599-$N5599)</f>
      </c>
    </row>
    <row r="5600">
      <c r="A5600"/>
      <c r="B5600">
        <v>12</v>
      </c>
      <c r="C5600" s="43">
        <f>INDEX(DarlObj,12)</f>
      </c>
      <c r="D5600">
        <v>317</v>
      </c>
      <c r="E5600" s="51">
        <f>IF(INDEX(DarlBelegt,12)=0,0,EOMONTH(INDEX(DarlAuszahlung,12),316)+1)</f>
      </c>
      <c r="F5600" s="43">
        <f>IF($E5600=0,0,YEAR($E5600))</f>
      </c>
      <c r="G5600" s="43">
        <f>IF(INDEX(DarlBindung,12)="",1,IF($E5600&lt;=INDEX(DarlBindung,12),1,0))</f>
      </c>
      <c r="H5600" s="43">
        <f>IF($G5600=1,INDEX(DarlSollzins,12),INDEX(DarlAnschluss,12))</f>
      </c>
      <c r="I5600" s="43">
        <f>IF(INDEX(DarlBelegt,12)=0,0,IF(INDEX(DarlOhneTilgung,12)=1,IF(INDEX(DarlBindung,12)="",1,$G5600),IF($J5600&gt;0.005,1,0)))</f>
      </c>
      <c r="J5600" s="43">
        <f>IF($I5599=0,0,$R5599)</f>
      </c>
      <c r="K5600" s="43">
        <f>IF($I5600=0,0,IF(INDEX(DarlOhneTilgung,12)=1,0,IF(AND(INDEX(DarlTilgStart,12)&gt;0,$E5600=INDEX(DarlTilgStart,12)),$J5600*($H5600+INDEX(DarlTilgung,12))/100/12,IF(AND($G5600=0,$G5599=1),MAX($K5599,$J5600*($H5600+1)/100/12),$K5599))))</f>
      </c>
      <c r="L5600" s="43">
        <f>IF($I5600=0,0,$J5600*$H5600/100/12)</f>
      </c>
      <c r="M5600" s="43">
        <f>IF($I5600=0,0,IF(OR(INDEX(DarlOhneTilgung,12)=1,AND(INDEX(DarlTilgStart,12)&gt;0,$E5600&lt;INDEX(DarlTilgStart,12))),0,MIN(MAX(0,$K5600-$L5600),$J5600)))</f>
      </c>
      <c r="N5600" s="43">
        <f>IF($I5600=0,0,MIN(SUMIFS(SondBetrag,SondDarl,12,SondDatum,"&gt;="&amp;$E5600,SondDatum,"&lt;="&amp;EOMONTH($E5600,0)),$J5600-$M5600))</f>
      </c>
      <c r="O5600" s="43">
        <f>IF($I5600=0,0,INDEX(DarlErsatzRate,12))</f>
      </c>
      <c r="P5600" s="43">
        <f>IF($I5600=0,0,$Q5599*INDEX(DarlErsatzZins,12))</f>
      </c>
      <c r="Q5600" s="43">
        <f>IF($I5600=0,0,$Q5599+$P5600+$O5600)</f>
      </c>
      <c r="R5600" s="43">
        <f>IF($I5600=0,0,$J5600-$M5600-$N5600)</f>
      </c>
    </row>
    <row r="5601">
      <c r="A5601"/>
      <c r="B5601">
        <v>12</v>
      </c>
      <c r="C5601" s="43">
        <f>INDEX(DarlObj,12)</f>
      </c>
      <c r="D5601">
        <v>318</v>
      </c>
      <c r="E5601" s="51">
        <f>IF(INDEX(DarlBelegt,12)=0,0,EOMONTH(INDEX(DarlAuszahlung,12),317)+1)</f>
      </c>
      <c r="F5601" s="43">
        <f>IF($E5601=0,0,YEAR($E5601))</f>
      </c>
      <c r="G5601" s="43">
        <f>IF(INDEX(DarlBindung,12)="",1,IF($E5601&lt;=INDEX(DarlBindung,12),1,0))</f>
      </c>
      <c r="H5601" s="43">
        <f>IF($G5601=1,INDEX(DarlSollzins,12),INDEX(DarlAnschluss,12))</f>
      </c>
      <c r="I5601" s="43">
        <f>IF(INDEX(DarlBelegt,12)=0,0,IF(INDEX(DarlOhneTilgung,12)=1,IF(INDEX(DarlBindung,12)="",1,$G5601),IF($J5601&gt;0.005,1,0)))</f>
      </c>
      <c r="J5601" s="43">
        <f>IF($I5600=0,0,$R5600)</f>
      </c>
      <c r="K5601" s="43">
        <f>IF($I5601=0,0,IF(INDEX(DarlOhneTilgung,12)=1,0,IF(AND(INDEX(DarlTilgStart,12)&gt;0,$E5601=INDEX(DarlTilgStart,12)),$J5601*($H5601+INDEX(DarlTilgung,12))/100/12,IF(AND($G5601=0,$G5600=1),MAX($K5600,$J5601*($H5601+1)/100/12),$K5600))))</f>
      </c>
      <c r="L5601" s="43">
        <f>IF($I5601=0,0,$J5601*$H5601/100/12)</f>
      </c>
      <c r="M5601" s="43">
        <f>IF($I5601=0,0,IF(OR(INDEX(DarlOhneTilgung,12)=1,AND(INDEX(DarlTilgStart,12)&gt;0,$E5601&lt;INDEX(DarlTilgStart,12))),0,MIN(MAX(0,$K5601-$L5601),$J5601)))</f>
      </c>
      <c r="N5601" s="43">
        <f>IF($I5601=0,0,MIN(SUMIFS(SondBetrag,SondDarl,12,SondDatum,"&gt;="&amp;$E5601,SondDatum,"&lt;="&amp;EOMONTH($E5601,0)),$J5601-$M5601))</f>
      </c>
      <c r="O5601" s="43">
        <f>IF($I5601=0,0,INDEX(DarlErsatzRate,12))</f>
      </c>
      <c r="P5601" s="43">
        <f>IF($I5601=0,0,$Q5600*INDEX(DarlErsatzZins,12))</f>
      </c>
      <c r="Q5601" s="43">
        <f>IF($I5601=0,0,$Q5600+$P5601+$O5601)</f>
      </c>
      <c r="R5601" s="43">
        <f>IF($I5601=0,0,$J5601-$M5601-$N5601)</f>
      </c>
    </row>
    <row r="5602">
      <c r="A5602"/>
      <c r="B5602">
        <v>12</v>
      </c>
      <c r="C5602" s="43">
        <f>INDEX(DarlObj,12)</f>
      </c>
      <c r="D5602">
        <v>319</v>
      </c>
      <c r="E5602" s="51">
        <f>IF(INDEX(DarlBelegt,12)=0,0,EOMONTH(INDEX(DarlAuszahlung,12),318)+1)</f>
      </c>
      <c r="F5602" s="43">
        <f>IF($E5602=0,0,YEAR($E5602))</f>
      </c>
      <c r="G5602" s="43">
        <f>IF(INDEX(DarlBindung,12)="",1,IF($E5602&lt;=INDEX(DarlBindung,12),1,0))</f>
      </c>
      <c r="H5602" s="43">
        <f>IF($G5602=1,INDEX(DarlSollzins,12),INDEX(DarlAnschluss,12))</f>
      </c>
      <c r="I5602" s="43">
        <f>IF(INDEX(DarlBelegt,12)=0,0,IF(INDEX(DarlOhneTilgung,12)=1,IF(INDEX(DarlBindung,12)="",1,$G5602),IF($J5602&gt;0.005,1,0)))</f>
      </c>
      <c r="J5602" s="43">
        <f>IF($I5601=0,0,$R5601)</f>
      </c>
      <c r="K5602" s="43">
        <f>IF($I5602=0,0,IF(INDEX(DarlOhneTilgung,12)=1,0,IF(AND(INDEX(DarlTilgStart,12)&gt;0,$E5602=INDEX(DarlTilgStart,12)),$J5602*($H5602+INDEX(DarlTilgung,12))/100/12,IF(AND($G5602=0,$G5601=1),MAX($K5601,$J5602*($H5602+1)/100/12),$K5601))))</f>
      </c>
      <c r="L5602" s="43">
        <f>IF($I5602=0,0,$J5602*$H5602/100/12)</f>
      </c>
      <c r="M5602" s="43">
        <f>IF($I5602=0,0,IF(OR(INDEX(DarlOhneTilgung,12)=1,AND(INDEX(DarlTilgStart,12)&gt;0,$E5602&lt;INDEX(DarlTilgStart,12))),0,MIN(MAX(0,$K5602-$L5602),$J5602)))</f>
      </c>
      <c r="N5602" s="43">
        <f>IF($I5602=0,0,MIN(SUMIFS(SondBetrag,SondDarl,12,SondDatum,"&gt;="&amp;$E5602,SondDatum,"&lt;="&amp;EOMONTH($E5602,0)),$J5602-$M5602))</f>
      </c>
      <c r="O5602" s="43">
        <f>IF($I5602=0,0,INDEX(DarlErsatzRate,12))</f>
      </c>
      <c r="P5602" s="43">
        <f>IF($I5602=0,0,$Q5601*INDEX(DarlErsatzZins,12))</f>
      </c>
      <c r="Q5602" s="43">
        <f>IF($I5602=0,0,$Q5601+$P5602+$O5602)</f>
      </c>
      <c r="R5602" s="43">
        <f>IF($I5602=0,0,$J5602-$M5602-$N5602)</f>
      </c>
    </row>
    <row r="5603">
      <c r="A5603"/>
      <c r="B5603">
        <v>12</v>
      </c>
      <c r="C5603" s="43">
        <f>INDEX(DarlObj,12)</f>
      </c>
      <c r="D5603">
        <v>320</v>
      </c>
      <c r="E5603" s="51">
        <f>IF(INDEX(DarlBelegt,12)=0,0,EOMONTH(INDEX(DarlAuszahlung,12),319)+1)</f>
      </c>
      <c r="F5603" s="43">
        <f>IF($E5603=0,0,YEAR($E5603))</f>
      </c>
      <c r="G5603" s="43">
        <f>IF(INDEX(DarlBindung,12)="",1,IF($E5603&lt;=INDEX(DarlBindung,12),1,0))</f>
      </c>
      <c r="H5603" s="43">
        <f>IF($G5603=1,INDEX(DarlSollzins,12),INDEX(DarlAnschluss,12))</f>
      </c>
      <c r="I5603" s="43">
        <f>IF(INDEX(DarlBelegt,12)=0,0,IF(INDEX(DarlOhneTilgung,12)=1,IF(INDEX(DarlBindung,12)="",1,$G5603),IF($J5603&gt;0.005,1,0)))</f>
      </c>
      <c r="J5603" s="43">
        <f>IF($I5602=0,0,$R5602)</f>
      </c>
      <c r="K5603" s="43">
        <f>IF($I5603=0,0,IF(INDEX(DarlOhneTilgung,12)=1,0,IF(AND(INDEX(DarlTilgStart,12)&gt;0,$E5603=INDEX(DarlTilgStart,12)),$J5603*($H5603+INDEX(DarlTilgung,12))/100/12,IF(AND($G5603=0,$G5602=1),MAX($K5602,$J5603*($H5603+1)/100/12),$K5602))))</f>
      </c>
      <c r="L5603" s="43">
        <f>IF($I5603=0,0,$J5603*$H5603/100/12)</f>
      </c>
      <c r="M5603" s="43">
        <f>IF($I5603=0,0,IF(OR(INDEX(DarlOhneTilgung,12)=1,AND(INDEX(DarlTilgStart,12)&gt;0,$E5603&lt;INDEX(DarlTilgStart,12))),0,MIN(MAX(0,$K5603-$L5603),$J5603)))</f>
      </c>
      <c r="N5603" s="43">
        <f>IF($I5603=0,0,MIN(SUMIFS(SondBetrag,SondDarl,12,SondDatum,"&gt;="&amp;$E5603,SondDatum,"&lt;="&amp;EOMONTH($E5603,0)),$J5603-$M5603))</f>
      </c>
      <c r="O5603" s="43">
        <f>IF($I5603=0,0,INDEX(DarlErsatzRate,12))</f>
      </c>
      <c r="P5603" s="43">
        <f>IF($I5603=0,0,$Q5602*INDEX(DarlErsatzZins,12))</f>
      </c>
      <c r="Q5603" s="43">
        <f>IF($I5603=0,0,$Q5602+$P5603+$O5603)</f>
      </c>
      <c r="R5603" s="43">
        <f>IF($I5603=0,0,$J5603-$M5603-$N5603)</f>
      </c>
    </row>
    <row r="5604">
      <c r="A5604"/>
      <c r="B5604">
        <v>12</v>
      </c>
      <c r="C5604" s="43">
        <f>INDEX(DarlObj,12)</f>
      </c>
      <c r="D5604">
        <v>321</v>
      </c>
      <c r="E5604" s="51">
        <f>IF(INDEX(DarlBelegt,12)=0,0,EOMONTH(INDEX(DarlAuszahlung,12),320)+1)</f>
      </c>
      <c r="F5604" s="43">
        <f>IF($E5604=0,0,YEAR($E5604))</f>
      </c>
      <c r="G5604" s="43">
        <f>IF(INDEX(DarlBindung,12)="",1,IF($E5604&lt;=INDEX(DarlBindung,12),1,0))</f>
      </c>
      <c r="H5604" s="43">
        <f>IF($G5604=1,INDEX(DarlSollzins,12),INDEX(DarlAnschluss,12))</f>
      </c>
      <c r="I5604" s="43">
        <f>IF(INDEX(DarlBelegt,12)=0,0,IF(INDEX(DarlOhneTilgung,12)=1,IF(INDEX(DarlBindung,12)="",1,$G5604),IF($J5604&gt;0.005,1,0)))</f>
      </c>
      <c r="J5604" s="43">
        <f>IF($I5603=0,0,$R5603)</f>
      </c>
      <c r="K5604" s="43">
        <f>IF($I5604=0,0,IF(INDEX(DarlOhneTilgung,12)=1,0,IF(AND(INDEX(DarlTilgStart,12)&gt;0,$E5604=INDEX(DarlTilgStart,12)),$J5604*($H5604+INDEX(DarlTilgung,12))/100/12,IF(AND($G5604=0,$G5603=1),MAX($K5603,$J5604*($H5604+1)/100/12),$K5603))))</f>
      </c>
      <c r="L5604" s="43">
        <f>IF($I5604=0,0,$J5604*$H5604/100/12)</f>
      </c>
      <c r="M5604" s="43">
        <f>IF($I5604=0,0,IF(OR(INDEX(DarlOhneTilgung,12)=1,AND(INDEX(DarlTilgStart,12)&gt;0,$E5604&lt;INDEX(DarlTilgStart,12))),0,MIN(MAX(0,$K5604-$L5604),$J5604)))</f>
      </c>
      <c r="N5604" s="43">
        <f>IF($I5604=0,0,MIN(SUMIFS(SondBetrag,SondDarl,12,SondDatum,"&gt;="&amp;$E5604,SondDatum,"&lt;="&amp;EOMONTH($E5604,0)),$J5604-$M5604))</f>
      </c>
      <c r="O5604" s="43">
        <f>IF($I5604=0,0,INDEX(DarlErsatzRate,12))</f>
      </c>
      <c r="P5604" s="43">
        <f>IF($I5604=0,0,$Q5603*INDEX(DarlErsatzZins,12))</f>
      </c>
      <c r="Q5604" s="43">
        <f>IF($I5604=0,0,$Q5603+$P5604+$O5604)</f>
      </c>
      <c r="R5604" s="43">
        <f>IF($I5604=0,0,$J5604-$M5604-$N5604)</f>
      </c>
    </row>
    <row r="5605">
      <c r="A5605"/>
      <c r="B5605">
        <v>12</v>
      </c>
      <c r="C5605" s="43">
        <f>INDEX(DarlObj,12)</f>
      </c>
      <c r="D5605">
        <v>322</v>
      </c>
      <c r="E5605" s="51">
        <f>IF(INDEX(DarlBelegt,12)=0,0,EOMONTH(INDEX(DarlAuszahlung,12),321)+1)</f>
      </c>
      <c r="F5605" s="43">
        <f>IF($E5605=0,0,YEAR($E5605))</f>
      </c>
      <c r="G5605" s="43">
        <f>IF(INDEX(DarlBindung,12)="",1,IF($E5605&lt;=INDEX(DarlBindung,12),1,0))</f>
      </c>
      <c r="H5605" s="43">
        <f>IF($G5605=1,INDEX(DarlSollzins,12),INDEX(DarlAnschluss,12))</f>
      </c>
      <c r="I5605" s="43">
        <f>IF(INDEX(DarlBelegt,12)=0,0,IF(INDEX(DarlOhneTilgung,12)=1,IF(INDEX(DarlBindung,12)="",1,$G5605),IF($J5605&gt;0.005,1,0)))</f>
      </c>
      <c r="J5605" s="43">
        <f>IF($I5604=0,0,$R5604)</f>
      </c>
      <c r="K5605" s="43">
        <f>IF($I5605=0,0,IF(INDEX(DarlOhneTilgung,12)=1,0,IF(AND(INDEX(DarlTilgStart,12)&gt;0,$E5605=INDEX(DarlTilgStart,12)),$J5605*($H5605+INDEX(DarlTilgung,12))/100/12,IF(AND($G5605=0,$G5604=1),MAX($K5604,$J5605*($H5605+1)/100/12),$K5604))))</f>
      </c>
      <c r="L5605" s="43">
        <f>IF($I5605=0,0,$J5605*$H5605/100/12)</f>
      </c>
      <c r="M5605" s="43">
        <f>IF($I5605=0,0,IF(OR(INDEX(DarlOhneTilgung,12)=1,AND(INDEX(DarlTilgStart,12)&gt;0,$E5605&lt;INDEX(DarlTilgStart,12))),0,MIN(MAX(0,$K5605-$L5605),$J5605)))</f>
      </c>
      <c r="N5605" s="43">
        <f>IF($I5605=0,0,MIN(SUMIFS(SondBetrag,SondDarl,12,SondDatum,"&gt;="&amp;$E5605,SondDatum,"&lt;="&amp;EOMONTH($E5605,0)),$J5605-$M5605))</f>
      </c>
      <c r="O5605" s="43">
        <f>IF($I5605=0,0,INDEX(DarlErsatzRate,12))</f>
      </c>
      <c r="P5605" s="43">
        <f>IF($I5605=0,0,$Q5604*INDEX(DarlErsatzZins,12))</f>
      </c>
      <c r="Q5605" s="43">
        <f>IF($I5605=0,0,$Q5604+$P5605+$O5605)</f>
      </c>
      <c r="R5605" s="43">
        <f>IF($I5605=0,0,$J5605-$M5605-$N5605)</f>
      </c>
    </row>
    <row r="5606">
      <c r="A5606"/>
      <c r="B5606">
        <v>12</v>
      </c>
      <c r="C5606" s="43">
        <f>INDEX(DarlObj,12)</f>
      </c>
      <c r="D5606">
        <v>323</v>
      </c>
      <c r="E5606" s="51">
        <f>IF(INDEX(DarlBelegt,12)=0,0,EOMONTH(INDEX(DarlAuszahlung,12),322)+1)</f>
      </c>
      <c r="F5606" s="43">
        <f>IF($E5606=0,0,YEAR($E5606))</f>
      </c>
      <c r="G5606" s="43">
        <f>IF(INDEX(DarlBindung,12)="",1,IF($E5606&lt;=INDEX(DarlBindung,12),1,0))</f>
      </c>
      <c r="H5606" s="43">
        <f>IF($G5606=1,INDEX(DarlSollzins,12),INDEX(DarlAnschluss,12))</f>
      </c>
      <c r="I5606" s="43">
        <f>IF(INDEX(DarlBelegt,12)=0,0,IF(INDEX(DarlOhneTilgung,12)=1,IF(INDEX(DarlBindung,12)="",1,$G5606),IF($J5606&gt;0.005,1,0)))</f>
      </c>
      <c r="J5606" s="43">
        <f>IF($I5605=0,0,$R5605)</f>
      </c>
      <c r="K5606" s="43">
        <f>IF($I5606=0,0,IF(INDEX(DarlOhneTilgung,12)=1,0,IF(AND(INDEX(DarlTilgStart,12)&gt;0,$E5606=INDEX(DarlTilgStart,12)),$J5606*($H5606+INDEX(DarlTilgung,12))/100/12,IF(AND($G5606=0,$G5605=1),MAX($K5605,$J5606*($H5606+1)/100/12),$K5605))))</f>
      </c>
      <c r="L5606" s="43">
        <f>IF($I5606=0,0,$J5606*$H5606/100/12)</f>
      </c>
      <c r="M5606" s="43">
        <f>IF($I5606=0,0,IF(OR(INDEX(DarlOhneTilgung,12)=1,AND(INDEX(DarlTilgStart,12)&gt;0,$E5606&lt;INDEX(DarlTilgStart,12))),0,MIN(MAX(0,$K5606-$L5606),$J5606)))</f>
      </c>
      <c r="N5606" s="43">
        <f>IF($I5606=0,0,MIN(SUMIFS(SondBetrag,SondDarl,12,SondDatum,"&gt;="&amp;$E5606,SondDatum,"&lt;="&amp;EOMONTH($E5606,0)),$J5606-$M5606))</f>
      </c>
      <c r="O5606" s="43">
        <f>IF($I5606=0,0,INDEX(DarlErsatzRate,12))</f>
      </c>
      <c r="P5606" s="43">
        <f>IF($I5606=0,0,$Q5605*INDEX(DarlErsatzZins,12))</f>
      </c>
      <c r="Q5606" s="43">
        <f>IF($I5606=0,0,$Q5605+$P5606+$O5606)</f>
      </c>
      <c r="R5606" s="43">
        <f>IF($I5606=0,0,$J5606-$M5606-$N5606)</f>
      </c>
    </row>
    <row r="5607">
      <c r="A5607"/>
      <c r="B5607">
        <v>12</v>
      </c>
      <c r="C5607" s="43">
        <f>INDEX(DarlObj,12)</f>
      </c>
      <c r="D5607">
        <v>324</v>
      </c>
      <c r="E5607" s="51">
        <f>IF(INDEX(DarlBelegt,12)=0,0,EOMONTH(INDEX(DarlAuszahlung,12),323)+1)</f>
      </c>
      <c r="F5607" s="43">
        <f>IF($E5607=0,0,YEAR($E5607))</f>
      </c>
      <c r="G5607" s="43">
        <f>IF(INDEX(DarlBindung,12)="",1,IF($E5607&lt;=INDEX(DarlBindung,12),1,0))</f>
      </c>
      <c r="H5607" s="43">
        <f>IF($G5607=1,INDEX(DarlSollzins,12),INDEX(DarlAnschluss,12))</f>
      </c>
      <c r="I5607" s="43">
        <f>IF(INDEX(DarlBelegt,12)=0,0,IF(INDEX(DarlOhneTilgung,12)=1,IF(INDEX(DarlBindung,12)="",1,$G5607),IF($J5607&gt;0.005,1,0)))</f>
      </c>
      <c r="J5607" s="43">
        <f>IF($I5606=0,0,$R5606)</f>
      </c>
      <c r="K5607" s="43">
        <f>IF($I5607=0,0,IF(INDEX(DarlOhneTilgung,12)=1,0,IF(AND(INDEX(DarlTilgStart,12)&gt;0,$E5607=INDEX(DarlTilgStart,12)),$J5607*($H5607+INDEX(DarlTilgung,12))/100/12,IF(AND($G5607=0,$G5606=1),MAX($K5606,$J5607*($H5607+1)/100/12),$K5606))))</f>
      </c>
      <c r="L5607" s="43">
        <f>IF($I5607=0,0,$J5607*$H5607/100/12)</f>
      </c>
      <c r="M5607" s="43">
        <f>IF($I5607=0,0,IF(OR(INDEX(DarlOhneTilgung,12)=1,AND(INDEX(DarlTilgStart,12)&gt;0,$E5607&lt;INDEX(DarlTilgStart,12))),0,MIN(MAX(0,$K5607-$L5607),$J5607)))</f>
      </c>
      <c r="N5607" s="43">
        <f>IF($I5607=0,0,MIN(SUMIFS(SondBetrag,SondDarl,12,SondDatum,"&gt;="&amp;$E5607,SondDatum,"&lt;="&amp;EOMONTH($E5607,0)),$J5607-$M5607))</f>
      </c>
      <c r="O5607" s="43">
        <f>IF($I5607=0,0,INDEX(DarlErsatzRate,12))</f>
      </c>
      <c r="P5607" s="43">
        <f>IF($I5607=0,0,$Q5606*INDEX(DarlErsatzZins,12))</f>
      </c>
      <c r="Q5607" s="43">
        <f>IF($I5607=0,0,$Q5606+$P5607+$O5607)</f>
      </c>
      <c r="R5607" s="43">
        <f>IF($I5607=0,0,$J5607-$M5607-$N5607)</f>
      </c>
    </row>
    <row r="5608">
      <c r="A5608"/>
      <c r="B5608">
        <v>12</v>
      </c>
      <c r="C5608" s="43">
        <f>INDEX(DarlObj,12)</f>
      </c>
      <c r="D5608">
        <v>325</v>
      </c>
      <c r="E5608" s="51">
        <f>IF(INDEX(DarlBelegt,12)=0,0,EOMONTH(INDEX(DarlAuszahlung,12),324)+1)</f>
      </c>
      <c r="F5608" s="43">
        <f>IF($E5608=0,0,YEAR($E5608))</f>
      </c>
      <c r="G5608" s="43">
        <f>IF(INDEX(DarlBindung,12)="",1,IF($E5608&lt;=INDEX(DarlBindung,12),1,0))</f>
      </c>
      <c r="H5608" s="43">
        <f>IF($G5608=1,INDEX(DarlSollzins,12),INDEX(DarlAnschluss,12))</f>
      </c>
      <c r="I5608" s="43">
        <f>IF(INDEX(DarlBelegt,12)=0,0,IF(INDEX(DarlOhneTilgung,12)=1,IF(INDEX(DarlBindung,12)="",1,$G5608),IF($J5608&gt;0.005,1,0)))</f>
      </c>
      <c r="J5608" s="43">
        <f>IF($I5607=0,0,$R5607)</f>
      </c>
      <c r="K5608" s="43">
        <f>IF($I5608=0,0,IF(INDEX(DarlOhneTilgung,12)=1,0,IF(AND(INDEX(DarlTilgStart,12)&gt;0,$E5608=INDEX(DarlTilgStart,12)),$J5608*($H5608+INDEX(DarlTilgung,12))/100/12,IF(AND($G5608=0,$G5607=1),MAX($K5607,$J5608*($H5608+1)/100/12),$K5607))))</f>
      </c>
      <c r="L5608" s="43">
        <f>IF($I5608=0,0,$J5608*$H5608/100/12)</f>
      </c>
      <c r="M5608" s="43">
        <f>IF($I5608=0,0,IF(OR(INDEX(DarlOhneTilgung,12)=1,AND(INDEX(DarlTilgStart,12)&gt;0,$E5608&lt;INDEX(DarlTilgStart,12))),0,MIN(MAX(0,$K5608-$L5608),$J5608)))</f>
      </c>
      <c r="N5608" s="43">
        <f>IF($I5608=0,0,MIN(SUMIFS(SondBetrag,SondDarl,12,SondDatum,"&gt;="&amp;$E5608,SondDatum,"&lt;="&amp;EOMONTH($E5608,0)),$J5608-$M5608))</f>
      </c>
      <c r="O5608" s="43">
        <f>IF($I5608=0,0,INDEX(DarlErsatzRate,12))</f>
      </c>
      <c r="P5608" s="43">
        <f>IF($I5608=0,0,$Q5607*INDEX(DarlErsatzZins,12))</f>
      </c>
      <c r="Q5608" s="43">
        <f>IF($I5608=0,0,$Q5607+$P5608+$O5608)</f>
      </c>
      <c r="R5608" s="43">
        <f>IF($I5608=0,0,$J5608-$M5608-$N5608)</f>
      </c>
    </row>
    <row r="5609">
      <c r="A5609"/>
      <c r="B5609">
        <v>12</v>
      </c>
      <c r="C5609" s="43">
        <f>INDEX(DarlObj,12)</f>
      </c>
      <c r="D5609">
        <v>326</v>
      </c>
      <c r="E5609" s="51">
        <f>IF(INDEX(DarlBelegt,12)=0,0,EOMONTH(INDEX(DarlAuszahlung,12),325)+1)</f>
      </c>
      <c r="F5609" s="43">
        <f>IF($E5609=0,0,YEAR($E5609))</f>
      </c>
      <c r="G5609" s="43">
        <f>IF(INDEX(DarlBindung,12)="",1,IF($E5609&lt;=INDEX(DarlBindung,12),1,0))</f>
      </c>
      <c r="H5609" s="43">
        <f>IF($G5609=1,INDEX(DarlSollzins,12),INDEX(DarlAnschluss,12))</f>
      </c>
      <c r="I5609" s="43">
        <f>IF(INDEX(DarlBelegt,12)=0,0,IF(INDEX(DarlOhneTilgung,12)=1,IF(INDEX(DarlBindung,12)="",1,$G5609),IF($J5609&gt;0.005,1,0)))</f>
      </c>
      <c r="J5609" s="43">
        <f>IF($I5608=0,0,$R5608)</f>
      </c>
      <c r="K5609" s="43">
        <f>IF($I5609=0,0,IF(INDEX(DarlOhneTilgung,12)=1,0,IF(AND(INDEX(DarlTilgStart,12)&gt;0,$E5609=INDEX(DarlTilgStart,12)),$J5609*($H5609+INDEX(DarlTilgung,12))/100/12,IF(AND($G5609=0,$G5608=1),MAX($K5608,$J5609*($H5609+1)/100/12),$K5608))))</f>
      </c>
      <c r="L5609" s="43">
        <f>IF($I5609=0,0,$J5609*$H5609/100/12)</f>
      </c>
      <c r="M5609" s="43">
        <f>IF($I5609=0,0,IF(OR(INDEX(DarlOhneTilgung,12)=1,AND(INDEX(DarlTilgStart,12)&gt;0,$E5609&lt;INDEX(DarlTilgStart,12))),0,MIN(MAX(0,$K5609-$L5609),$J5609)))</f>
      </c>
      <c r="N5609" s="43">
        <f>IF($I5609=0,0,MIN(SUMIFS(SondBetrag,SondDarl,12,SondDatum,"&gt;="&amp;$E5609,SondDatum,"&lt;="&amp;EOMONTH($E5609,0)),$J5609-$M5609))</f>
      </c>
      <c r="O5609" s="43">
        <f>IF($I5609=0,0,INDEX(DarlErsatzRate,12))</f>
      </c>
      <c r="P5609" s="43">
        <f>IF($I5609=0,0,$Q5608*INDEX(DarlErsatzZins,12))</f>
      </c>
      <c r="Q5609" s="43">
        <f>IF($I5609=0,0,$Q5608+$P5609+$O5609)</f>
      </c>
      <c r="R5609" s="43">
        <f>IF($I5609=0,0,$J5609-$M5609-$N5609)</f>
      </c>
    </row>
    <row r="5610">
      <c r="A5610"/>
      <c r="B5610">
        <v>12</v>
      </c>
      <c r="C5610" s="43">
        <f>INDEX(DarlObj,12)</f>
      </c>
      <c r="D5610">
        <v>327</v>
      </c>
      <c r="E5610" s="51">
        <f>IF(INDEX(DarlBelegt,12)=0,0,EOMONTH(INDEX(DarlAuszahlung,12),326)+1)</f>
      </c>
      <c r="F5610" s="43">
        <f>IF($E5610=0,0,YEAR($E5610))</f>
      </c>
      <c r="G5610" s="43">
        <f>IF(INDEX(DarlBindung,12)="",1,IF($E5610&lt;=INDEX(DarlBindung,12),1,0))</f>
      </c>
      <c r="H5610" s="43">
        <f>IF($G5610=1,INDEX(DarlSollzins,12),INDEX(DarlAnschluss,12))</f>
      </c>
      <c r="I5610" s="43">
        <f>IF(INDEX(DarlBelegt,12)=0,0,IF(INDEX(DarlOhneTilgung,12)=1,IF(INDEX(DarlBindung,12)="",1,$G5610),IF($J5610&gt;0.005,1,0)))</f>
      </c>
      <c r="J5610" s="43">
        <f>IF($I5609=0,0,$R5609)</f>
      </c>
      <c r="K5610" s="43">
        <f>IF($I5610=0,0,IF(INDEX(DarlOhneTilgung,12)=1,0,IF(AND(INDEX(DarlTilgStart,12)&gt;0,$E5610=INDEX(DarlTilgStart,12)),$J5610*($H5610+INDEX(DarlTilgung,12))/100/12,IF(AND($G5610=0,$G5609=1),MAX($K5609,$J5610*($H5610+1)/100/12),$K5609))))</f>
      </c>
      <c r="L5610" s="43">
        <f>IF($I5610=0,0,$J5610*$H5610/100/12)</f>
      </c>
      <c r="M5610" s="43">
        <f>IF($I5610=0,0,IF(OR(INDEX(DarlOhneTilgung,12)=1,AND(INDEX(DarlTilgStart,12)&gt;0,$E5610&lt;INDEX(DarlTilgStart,12))),0,MIN(MAX(0,$K5610-$L5610),$J5610)))</f>
      </c>
      <c r="N5610" s="43">
        <f>IF($I5610=0,0,MIN(SUMIFS(SondBetrag,SondDarl,12,SondDatum,"&gt;="&amp;$E5610,SondDatum,"&lt;="&amp;EOMONTH($E5610,0)),$J5610-$M5610))</f>
      </c>
      <c r="O5610" s="43">
        <f>IF($I5610=0,0,INDEX(DarlErsatzRate,12))</f>
      </c>
      <c r="P5610" s="43">
        <f>IF($I5610=0,0,$Q5609*INDEX(DarlErsatzZins,12))</f>
      </c>
      <c r="Q5610" s="43">
        <f>IF($I5610=0,0,$Q5609+$P5610+$O5610)</f>
      </c>
      <c r="R5610" s="43">
        <f>IF($I5610=0,0,$J5610-$M5610-$N5610)</f>
      </c>
    </row>
    <row r="5611">
      <c r="A5611"/>
      <c r="B5611">
        <v>12</v>
      </c>
      <c r="C5611" s="43">
        <f>INDEX(DarlObj,12)</f>
      </c>
      <c r="D5611">
        <v>328</v>
      </c>
      <c r="E5611" s="51">
        <f>IF(INDEX(DarlBelegt,12)=0,0,EOMONTH(INDEX(DarlAuszahlung,12),327)+1)</f>
      </c>
      <c r="F5611" s="43">
        <f>IF($E5611=0,0,YEAR($E5611))</f>
      </c>
      <c r="G5611" s="43">
        <f>IF(INDEX(DarlBindung,12)="",1,IF($E5611&lt;=INDEX(DarlBindung,12),1,0))</f>
      </c>
      <c r="H5611" s="43">
        <f>IF($G5611=1,INDEX(DarlSollzins,12),INDEX(DarlAnschluss,12))</f>
      </c>
      <c r="I5611" s="43">
        <f>IF(INDEX(DarlBelegt,12)=0,0,IF(INDEX(DarlOhneTilgung,12)=1,IF(INDEX(DarlBindung,12)="",1,$G5611),IF($J5611&gt;0.005,1,0)))</f>
      </c>
      <c r="J5611" s="43">
        <f>IF($I5610=0,0,$R5610)</f>
      </c>
      <c r="K5611" s="43">
        <f>IF($I5611=0,0,IF(INDEX(DarlOhneTilgung,12)=1,0,IF(AND(INDEX(DarlTilgStart,12)&gt;0,$E5611=INDEX(DarlTilgStart,12)),$J5611*($H5611+INDEX(DarlTilgung,12))/100/12,IF(AND($G5611=0,$G5610=1),MAX($K5610,$J5611*($H5611+1)/100/12),$K5610))))</f>
      </c>
      <c r="L5611" s="43">
        <f>IF($I5611=0,0,$J5611*$H5611/100/12)</f>
      </c>
      <c r="M5611" s="43">
        <f>IF($I5611=0,0,IF(OR(INDEX(DarlOhneTilgung,12)=1,AND(INDEX(DarlTilgStart,12)&gt;0,$E5611&lt;INDEX(DarlTilgStart,12))),0,MIN(MAX(0,$K5611-$L5611),$J5611)))</f>
      </c>
      <c r="N5611" s="43">
        <f>IF($I5611=0,0,MIN(SUMIFS(SondBetrag,SondDarl,12,SondDatum,"&gt;="&amp;$E5611,SondDatum,"&lt;="&amp;EOMONTH($E5611,0)),$J5611-$M5611))</f>
      </c>
      <c r="O5611" s="43">
        <f>IF($I5611=0,0,INDEX(DarlErsatzRate,12))</f>
      </c>
      <c r="P5611" s="43">
        <f>IF($I5611=0,0,$Q5610*INDEX(DarlErsatzZins,12))</f>
      </c>
      <c r="Q5611" s="43">
        <f>IF($I5611=0,0,$Q5610+$P5611+$O5611)</f>
      </c>
      <c r="R5611" s="43">
        <f>IF($I5611=0,0,$J5611-$M5611-$N5611)</f>
      </c>
    </row>
    <row r="5612">
      <c r="A5612"/>
      <c r="B5612">
        <v>12</v>
      </c>
      <c r="C5612" s="43">
        <f>INDEX(DarlObj,12)</f>
      </c>
      <c r="D5612">
        <v>329</v>
      </c>
      <c r="E5612" s="51">
        <f>IF(INDEX(DarlBelegt,12)=0,0,EOMONTH(INDEX(DarlAuszahlung,12),328)+1)</f>
      </c>
      <c r="F5612" s="43">
        <f>IF($E5612=0,0,YEAR($E5612))</f>
      </c>
      <c r="G5612" s="43">
        <f>IF(INDEX(DarlBindung,12)="",1,IF($E5612&lt;=INDEX(DarlBindung,12),1,0))</f>
      </c>
      <c r="H5612" s="43">
        <f>IF($G5612=1,INDEX(DarlSollzins,12),INDEX(DarlAnschluss,12))</f>
      </c>
      <c r="I5612" s="43">
        <f>IF(INDEX(DarlBelegt,12)=0,0,IF(INDEX(DarlOhneTilgung,12)=1,IF(INDEX(DarlBindung,12)="",1,$G5612),IF($J5612&gt;0.005,1,0)))</f>
      </c>
      <c r="J5612" s="43">
        <f>IF($I5611=0,0,$R5611)</f>
      </c>
      <c r="K5612" s="43">
        <f>IF($I5612=0,0,IF(INDEX(DarlOhneTilgung,12)=1,0,IF(AND(INDEX(DarlTilgStart,12)&gt;0,$E5612=INDEX(DarlTilgStart,12)),$J5612*($H5612+INDEX(DarlTilgung,12))/100/12,IF(AND($G5612=0,$G5611=1),MAX($K5611,$J5612*($H5612+1)/100/12),$K5611))))</f>
      </c>
      <c r="L5612" s="43">
        <f>IF($I5612=0,0,$J5612*$H5612/100/12)</f>
      </c>
      <c r="M5612" s="43">
        <f>IF($I5612=0,0,IF(OR(INDEX(DarlOhneTilgung,12)=1,AND(INDEX(DarlTilgStart,12)&gt;0,$E5612&lt;INDEX(DarlTilgStart,12))),0,MIN(MAX(0,$K5612-$L5612),$J5612)))</f>
      </c>
      <c r="N5612" s="43">
        <f>IF($I5612=0,0,MIN(SUMIFS(SondBetrag,SondDarl,12,SondDatum,"&gt;="&amp;$E5612,SondDatum,"&lt;="&amp;EOMONTH($E5612,0)),$J5612-$M5612))</f>
      </c>
      <c r="O5612" s="43">
        <f>IF($I5612=0,0,INDEX(DarlErsatzRate,12))</f>
      </c>
      <c r="P5612" s="43">
        <f>IF($I5612=0,0,$Q5611*INDEX(DarlErsatzZins,12))</f>
      </c>
      <c r="Q5612" s="43">
        <f>IF($I5612=0,0,$Q5611+$P5612+$O5612)</f>
      </c>
      <c r="R5612" s="43">
        <f>IF($I5612=0,0,$J5612-$M5612-$N5612)</f>
      </c>
    </row>
    <row r="5613">
      <c r="A5613"/>
      <c r="B5613">
        <v>12</v>
      </c>
      <c r="C5613" s="43">
        <f>INDEX(DarlObj,12)</f>
      </c>
      <c r="D5613">
        <v>330</v>
      </c>
      <c r="E5613" s="51">
        <f>IF(INDEX(DarlBelegt,12)=0,0,EOMONTH(INDEX(DarlAuszahlung,12),329)+1)</f>
      </c>
      <c r="F5613" s="43">
        <f>IF($E5613=0,0,YEAR($E5613))</f>
      </c>
      <c r="G5613" s="43">
        <f>IF(INDEX(DarlBindung,12)="",1,IF($E5613&lt;=INDEX(DarlBindung,12),1,0))</f>
      </c>
      <c r="H5613" s="43">
        <f>IF($G5613=1,INDEX(DarlSollzins,12),INDEX(DarlAnschluss,12))</f>
      </c>
      <c r="I5613" s="43">
        <f>IF(INDEX(DarlBelegt,12)=0,0,IF(INDEX(DarlOhneTilgung,12)=1,IF(INDEX(DarlBindung,12)="",1,$G5613),IF($J5613&gt;0.005,1,0)))</f>
      </c>
      <c r="J5613" s="43">
        <f>IF($I5612=0,0,$R5612)</f>
      </c>
      <c r="K5613" s="43">
        <f>IF($I5613=0,0,IF(INDEX(DarlOhneTilgung,12)=1,0,IF(AND(INDEX(DarlTilgStart,12)&gt;0,$E5613=INDEX(DarlTilgStart,12)),$J5613*($H5613+INDEX(DarlTilgung,12))/100/12,IF(AND($G5613=0,$G5612=1),MAX($K5612,$J5613*($H5613+1)/100/12),$K5612))))</f>
      </c>
      <c r="L5613" s="43">
        <f>IF($I5613=0,0,$J5613*$H5613/100/12)</f>
      </c>
      <c r="M5613" s="43">
        <f>IF($I5613=0,0,IF(OR(INDEX(DarlOhneTilgung,12)=1,AND(INDEX(DarlTilgStart,12)&gt;0,$E5613&lt;INDEX(DarlTilgStart,12))),0,MIN(MAX(0,$K5613-$L5613),$J5613)))</f>
      </c>
      <c r="N5613" s="43">
        <f>IF($I5613=0,0,MIN(SUMIFS(SondBetrag,SondDarl,12,SondDatum,"&gt;="&amp;$E5613,SondDatum,"&lt;="&amp;EOMONTH($E5613,0)),$J5613-$M5613))</f>
      </c>
      <c r="O5613" s="43">
        <f>IF($I5613=0,0,INDEX(DarlErsatzRate,12))</f>
      </c>
      <c r="P5613" s="43">
        <f>IF($I5613=0,0,$Q5612*INDEX(DarlErsatzZins,12))</f>
      </c>
      <c r="Q5613" s="43">
        <f>IF($I5613=0,0,$Q5612+$P5613+$O5613)</f>
      </c>
      <c r="R5613" s="43">
        <f>IF($I5613=0,0,$J5613-$M5613-$N5613)</f>
      </c>
    </row>
    <row r="5614">
      <c r="A5614"/>
      <c r="B5614">
        <v>12</v>
      </c>
      <c r="C5614" s="43">
        <f>INDEX(DarlObj,12)</f>
      </c>
      <c r="D5614">
        <v>331</v>
      </c>
      <c r="E5614" s="51">
        <f>IF(INDEX(DarlBelegt,12)=0,0,EOMONTH(INDEX(DarlAuszahlung,12),330)+1)</f>
      </c>
      <c r="F5614" s="43">
        <f>IF($E5614=0,0,YEAR($E5614))</f>
      </c>
      <c r="G5614" s="43">
        <f>IF(INDEX(DarlBindung,12)="",1,IF($E5614&lt;=INDEX(DarlBindung,12),1,0))</f>
      </c>
      <c r="H5614" s="43">
        <f>IF($G5614=1,INDEX(DarlSollzins,12),INDEX(DarlAnschluss,12))</f>
      </c>
      <c r="I5614" s="43">
        <f>IF(INDEX(DarlBelegt,12)=0,0,IF(INDEX(DarlOhneTilgung,12)=1,IF(INDEX(DarlBindung,12)="",1,$G5614),IF($J5614&gt;0.005,1,0)))</f>
      </c>
      <c r="J5614" s="43">
        <f>IF($I5613=0,0,$R5613)</f>
      </c>
      <c r="K5614" s="43">
        <f>IF($I5614=0,0,IF(INDEX(DarlOhneTilgung,12)=1,0,IF(AND(INDEX(DarlTilgStart,12)&gt;0,$E5614=INDEX(DarlTilgStart,12)),$J5614*($H5614+INDEX(DarlTilgung,12))/100/12,IF(AND($G5614=0,$G5613=1),MAX($K5613,$J5614*($H5614+1)/100/12),$K5613))))</f>
      </c>
      <c r="L5614" s="43">
        <f>IF($I5614=0,0,$J5614*$H5614/100/12)</f>
      </c>
      <c r="M5614" s="43">
        <f>IF($I5614=0,0,IF(OR(INDEX(DarlOhneTilgung,12)=1,AND(INDEX(DarlTilgStart,12)&gt;0,$E5614&lt;INDEX(DarlTilgStart,12))),0,MIN(MAX(0,$K5614-$L5614),$J5614)))</f>
      </c>
      <c r="N5614" s="43">
        <f>IF($I5614=0,0,MIN(SUMIFS(SondBetrag,SondDarl,12,SondDatum,"&gt;="&amp;$E5614,SondDatum,"&lt;="&amp;EOMONTH($E5614,0)),$J5614-$M5614))</f>
      </c>
      <c r="O5614" s="43">
        <f>IF($I5614=0,0,INDEX(DarlErsatzRate,12))</f>
      </c>
      <c r="P5614" s="43">
        <f>IF($I5614=0,0,$Q5613*INDEX(DarlErsatzZins,12))</f>
      </c>
      <c r="Q5614" s="43">
        <f>IF($I5614=0,0,$Q5613+$P5614+$O5614)</f>
      </c>
      <c r="R5614" s="43">
        <f>IF($I5614=0,0,$J5614-$M5614-$N5614)</f>
      </c>
    </row>
    <row r="5615">
      <c r="A5615"/>
      <c r="B5615">
        <v>12</v>
      </c>
      <c r="C5615" s="43">
        <f>INDEX(DarlObj,12)</f>
      </c>
      <c r="D5615">
        <v>332</v>
      </c>
      <c r="E5615" s="51">
        <f>IF(INDEX(DarlBelegt,12)=0,0,EOMONTH(INDEX(DarlAuszahlung,12),331)+1)</f>
      </c>
      <c r="F5615" s="43">
        <f>IF($E5615=0,0,YEAR($E5615))</f>
      </c>
      <c r="G5615" s="43">
        <f>IF(INDEX(DarlBindung,12)="",1,IF($E5615&lt;=INDEX(DarlBindung,12),1,0))</f>
      </c>
      <c r="H5615" s="43">
        <f>IF($G5615=1,INDEX(DarlSollzins,12),INDEX(DarlAnschluss,12))</f>
      </c>
      <c r="I5615" s="43">
        <f>IF(INDEX(DarlBelegt,12)=0,0,IF(INDEX(DarlOhneTilgung,12)=1,IF(INDEX(DarlBindung,12)="",1,$G5615),IF($J5615&gt;0.005,1,0)))</f>
      </c>
      <c r="J5615" s="43">
        <f>IF($I5614=0,0,$R5614)</f>
      </c>
      <c r="K5615" s="43">
        <f>IF($I5615=0,0,IF(INDEX(DarlOhneTilgung,12)=1,0,IF(AND(INDEX(DarlTilgStart,12)&gt;0,$E5615=INDEX(DarlTilgStart,12)),$J5615*($H5615+INDEX(DarlTilgung,12))/100/12,IF(AND($G5615=0,$G5614=1),MAX($K5614,$J5615*($H5615+1)/100/12),$K5614))))</f>
      </c>
      <c r="L5615" s="43">
        <f>IF($I5615=0,0,$J5615*$H5615/100/12)</f>
      </c>
      <c r="M5615" s="43">
        <f>IF($I5615=0,0,IF(OR(INDEX(DarlOhneTilgung,12)=1,AND(INDEX(DarlTilgStart,12)&gt;0,$E5615&lt;INDEX(DarlTilgStart,12))),0,MIN(MAX(0,$K5615-$L5615),$J5615)))</f>
      </c>
      <c r="N5615" s="43">
        <f>IF($I5615=0,0,MIN(SUMIFS(SondBetrag,SondDarl,12,SondDatum,"&gt;="&amp;$E5615,SondDatum,"&lt;="&amp;EOMONTH($E5615,0)),$J5615-$M5615))</f>
      </c>
      <c r="O5615" s="43">
        <f>IF($I5615=0,0,INDEX(DarlErsatzRate,12))</f>
      </c>
      <c r="P5615" s="43">
        <f>IF($I5615=0,0,$Q5614*INDEX(DarlErsatzZins,12))</f>
      </c>
      <c r="Q5615" s="43">
        <f>IF($I5615=0,0,$Q5614+$P5615+$O5615)</f>
      </c>
      <c r="R5615" s="43">
        <f>IF($I5615=0,0,$J5615-$M5615-$N5615)</f>
      </c>
    </row>
    <row r="5616">
      <c r="A5616"/>
      <c r="B5616">
        <v>12</v>
      </c>
      <c r="C5616" s="43">
        <f>INDEX(DarlObj,12)</f>
      </c>
      <c r="D5616">
        <v>333</v>
      </c>
      <c r="E5616" s="51">
        <f>IF(INDEX(DarlBelegt,12)=0,0,EOMONTH(INDEX(DarlAuszahlung,12),332)+1)</f>
      </c>
      <c r="F5616" s="43">
        <f>IF($E5616=0,0,YEAR($E5616))</f>
      </c>
      <c r="G5616" s="43">
        <f>IF(INDEX(DarlBindung,12)="",1,IF($E5616&lt;=INDEX(DarlBindung,12),1,0))</f>
      </c>
      <c r="H5616" s="43">
        <f>IF($G5616=1,INDEX(DarlSollzins,12),INDEX(DarlAnschluss,12))</f>
      </c>
      <c r="I5616" s="43">
        <f>IF(INDEX(DarlBelegt,12)=0,0,IF(INDEX(DarlOhneTilgung,12)=1,IF(INDEX(DarlBindung,12)="",1,$G5616),IF($J5616&gt;0.005,1,0)))</f>
      </c>
      <c r="J5616" s="43">
        <f>IF($I5615=0,0,$R5615)</f>
      </c>
      <c r="K5616" s="43">
        <f>IF($I5616=0,0,IF(INDEX(DarlOhneTilgung,12)=1,0,IF(AND(INDEX(DarlTilgStart,12)&gt;0,$E5616=INDEX(DarlTilgStart,12)),$J5616*($H5616+INDEX(DarlTilgung,12))/100/12,IF(AND($G5616=0,$G5615=1),MAX($K5615,$J5616*($H5616+1)/100/12),$K5615))))</f>
      </c>
      <c r="L5616" s="43">
        <f>IF($I5616=0,0,$J5616*$H5616/100/12)</f>
      </c>
      <c r="M5616" s="43">
        <f>IF($I5616=0,0,IF(OR(INDEX(DarlOhneTilgung,12)=1,AND(INDEX(DarlTilgStart,12)&gt;0,$E5616&lt;INDEX(DarlTilgStart,12))),0,MIN(MAX(0,$K5616-$L5616),$J5616)))</f>
      </c>
      <c r="N5616" s="43">
        <f>IF($I5616=0,0,MIN(SUMIFS(SondBetrag,SondDarl,12,SondDatum,"&gt;="&amp;$E5616,SondDatum,"&lt;="&amp;EOMONTH($E5616,0)),$J5616-$M5616))</f>
      </c>
      <c r="O5616" s="43">
        <f>IF($I5616=0,0,INDEX(DarlErsatzRate,12))</f>
      </c>
      <c r="P5616" s="43">
        <f>IF($I5616=0,0,$Q5615*INDEX(DarlErsatzZins,12))</f>
      </c>
      <c r="Q5616" s="43">
        <f>IF($I5616=0,0,$Q5615+$P5616+$O5616)</f>
      </c>
      <c r="R5616" s="43">
        <f>IF($I5616=0,0,$J5616-$M5616-$N5616)</f>
      </c>
    </row>
    <row r="5617">
      <c r="A5617"/>
      <c r="B5617">
        <v>12</v>
      </c>
      <c r="C5617" s="43">
        <f>INDEX(DarlObj,12)</f>
      </c>
      <c r="D5617">
        <v>334</v>
      </c>
      <c r="E5617" s="51">
        <f>IF(INDEX(DarlBelegt,12)=0,0,EOMONTH(INDEX(DarlAuszahlung,12),333)+1)</f>
      </c>
      <c r="F5617" s="43">
        <f>IF($E5617=0,0,YEAR($E5617))</f>
      </c>
      <c r="G5617" s="43">
        <f>IF(INDEX(DarlBindung,12)="",1,IF($E5617&lt;=INDEX(DarlBindung,12),1,0))</f>
      </c>
      <c r="H5617" s="43">
        <f>IF($G5617=1,INDEX(DarlSollzins,12),INDEX(DarlAnschluss,12))</f>
      </c>
      <c r="I5617" s="43">
        <f>IF(INDEX(DarlBelegt,12)=0,0,IF(INDEX(DarlOhneTilgung,12)=1,IF(INDEX(DarlBindung,12)="",1,$G5617),IF($J5617&gt;0.005,1,0)))</f>
      </c>
      <c r="J5617" s="43">
        <f>IF($I5616=0,0,$R5616)</f>
      </c>
      <c r="K5617" s="43">
        <f>IF($I5617=0,0,IF(INDEX(DarlOhneTilgung,12)=1,0,IF(AND(INDEX(DarlTilgStart,12)&gt;0,$E5617=INDEX(DarlTilgStart,12)),$J5617*($H5617+INDEX(DarlTilgung,12))/100/12,IF(AND($G5617=0,$G5616=1),MAX($K5616,$J5617*($H5617+1)/100/12),$K5616))))</f>
      </c>
      <c r="L5617" s="43">
        <f>IF($I5617=0,0,$J5617*$H5617/100/12)</f>
      </c>
      <c r="M5617" s="43">
        <f>IF($I5617=0,0,IF(OR(INDEX(DarlOhneTilgung,12)=1,AND(INDEX(DarlTilgStart,12)&gt;0,$E5617&lt;INDEX(DarlTilgStart,12))),0,MIN(MAX(0,$K5617-$L5617),$J5617)))</f>
      </c>
      <c r="N5617" s="43">
        <f>IF($I5617=0,0,MIN(SUMIFS(SondBetrag,SondDarl,12,SondDatum,"&gt;="&amp;$E5617,SondDatum,"&lt;="&amp;EOMONTH($E5617,0)),$J5617-$M5617))</f>
      </c>
      <c r="O5617" s="43">
        <f>IF($I5617=0,0,INDEX(DarlErsatzRate,12))</f>
      </c>
      <c r="P5617" s="43">
        <f>IF($I5617=0,0,$Q5616*INDEX(DarlErsatzZins,12))</f>
      </c>
      <c r="Q5617" s="43">
        <f>IF($I5617=0,0,$Q5616+$P5617+$O5617)</f>
      </c>
      <c r="R5617" s="43">
        <f>IF($I5617=0,0,$J5617-$M5617-$N5617)</f>
      </c>
    </row>
    <row r="5618">
      <c r="A5618"/>
      <c r="B5618">
        <v>12</v>
      </c>
      <c r="C5618" s="43">
        <f>INDEX(DarlObj,12)</f>
      </c>
      <c r="D5618">
        <v>335</v>
      </c>
      <c r="E5618" s="51">
        <f>IF(INDEX(DarlBelegt,12)=0,0,EOMONTH(INDEX(DarlAuszahlung,12),334)+1)</f>
      </c>
      <c r="F5618" s="43">
        <f>IF($E5618=0,0,YEAR($E5618))</f>
      </c>
      <c r="G5618" s="43">
        <f>IF(INDEX(DarlBindung,12)="",1,IF($E5618&lt;=INDEX(DarlBindung,12),1,0))</f>
      </c>
      <c r="H5618" s="43">
        <f>IF($G5618=1,INDEX(DarlSollzins,12),INDEX(DarlAnschluss,12))</f>
      </c>
      <c r="I5618" s="43">
        <f>IF(INDEX(DarlBelegt,12)=0,0,IF(INDEX(DarlOhneTilgung,12)=1,IF(INDEX(DarlBindung,12)="",1,$G5618),IF($J5618&gt;0.005,1,0)))</f>
      </c>
      <c r="J5618" s="43">
        <f>IF($I5617=0,0,$R5617)</f>
      </c>
      <c r="K5618" s="43">
        <f>IF($I5618=0,0,IF(INDEX(DarlOhneTilgung,12)=1,0,IF(AND(INDEX(DarlTilgStart,12)&gt;0,$E5618=INDEX(DarlTilgStart,12)),$J5618*($H5618+INDEX(DarlTilgung,12))/100/12,IF(AND($G5618=0,$G5617=1),MAX($K5617,$J5618*($H5618+1)/100/12),$K5617))))</f>
      </c>
      <c r="L5618" s="43">
        <f>IF($I5618=0,0,$J5618*$H5618/100/12)</f>
      </c>
      <c r="M5618" s="43">
        <f>IF($I5618=0,0,IF(OR(INDEX(DarlOhneTilgung,12)=1,AND(INDEX(DarlTilgStart,12)&gt;0,$E5618&lt;INDEX(DarlTilgStart,12))),0,MIN(MAX(0,$K5618-$L5618),$J5618)))</f>
      </c>
      <c r="N5618" s="43">
        <f>IF($I5618=0,0,MIN(SUMIFS(SondBetrag,SondDarl,12,SondDatum,"&gt;="&amp;$E5618,SondDatum,"&lt;="&amp;EOMONTH($E5618,0)),$J5618-$M5618))</f>
      </c>
      <c r="O5618" s="43">
        <f>IF($I5618=0,0,INDEX(DarlErsatzRate,12))</f>
      </c>
      <c r="P5618" s="43">
        <f>IF($I5618=0,0,$Q5617*INDEX(DarlErsatzZins,12))</f>
      </c>
      <c r="Q5618" s="43">
        <f>IF($I5618=0,0,$Q5617+$P5618+$O5618)</f>
      </c>
      <c r="R5618" s="43">
        <f>IF($I5618=0,0,$J5618-$M5618-$N5618)</f>
      </c>
    </row>
    <row r="5619">
      <c r="A5619"/>
      <c r="B5619">
        <v>12</v>
      </c>
      <c r="C5619" s="43">
        <f>INDEX(DarlObj,12)</f>
      </c>
      <c r="D5619">
        <v>336</v>
      </c>
      <c r="E5619" s="51">
        <f>IF(INDEX(DarlBelegt,12)=0,0,EOMONTH(INDEX(DarlAuszahlung,12),335)+1)</f>
      </c>
      <c r="F5619" s="43">
        <f>IF($E5619=0,0,YEAR($E5619))</f>
      </c>
      <c r="G5619" s="43">
        <f>IF(INDEX(DarlBindung,12)="",1,IF($E5619&lt;=INDEX(DarlBindung,12),1,0))</f>
      </c>
      <c r="H5619" s="43">
        <f>IF($G5619=1,INDEX(DarlSollzins,12),INDEX(DarlAnschluss,12))</f>
      </c>
      <c r="I5619" s="43">
        <f>IF(INDEX(DarlBelegt,12)=0,0,IF(INDEX(DarlOhneTilgung,12)=1,IF(INDEX(DarlBindung,12)="",1,$G5619),IF($J5619&gt;0.005,1,0)))</f>
      </c>
      <c r="J5619" s="43">
        <f>IF($I5618=0,0,$R5618)</f>
      </c>
      <c r="K5619" s="43">
        <f>IF($I5619=0,0,IF(INDEX(DarlOhneTilgung,12)=1,0,IF(AND(INDEX(DarlTilgStart,12)&gt;0,$E5619=INDEX(DarlTilgStart,12)),$J5619*($H5619+INDEX(DarlTilgung,12))/100/12,IF(AND($G5619=0,$G5618=1),MAX($K5618,$J5619*($H5619+1)/100/12),$K5618))))</f>
      </c>
      <c r="L5619" s="43">
        <f>IF($I5619=0,0,$J5619*$H5619/100/12)</f>
      </c>
      <c r="M5619" s="43">
        <f>IF($I5619=0,0,IF(OR(INDEX(DarlOhneTilgung,12)=1,AND(INDEX(DarlTilgStart,12)&gt;0,$E5619&lt;INDEX(DarlTilgStart,12))),0,MIN(MAX(0,$K5619-$L5619),$J5619)))</f>
      </c>
      <c r="N5619" s="43">
        <f>IF($I5619=0,0,MIN(SUMIFS(SondBetrag,SondDarl,12,SondDatum,"&gt;="&amp;$E5619,SondDatum,"&lt;="&amp;EOMONTH($E5619,0)),$J5619-$M5619))</f>
      </c>
      <c r="O5619" s="43">
        <f>IF($I5619=0,0,INDEX(DarlErsatzRate,12))</f>
      </c>
      <c r="P5619" s="43">
        <f>IF($I5619=0,0,$Q5618*INDEX(DarlErsatzZins,12))</f>
      </c>
      <c r="Q5619" s="43">
        <f>IF($I5619=0,0,$Q5618+$P5619+$O5619)</f>
      </c>
      <c r="R5619" s="43">
        <f>IF($I5619=0,0,$J5619-$M5619-$N5619)</f>
      </c>
    </row>
    <row r="5620">
      <c r="A5620"/>
      <c r="B5620">
        <v>12</v>
      </c>
      <c r="C5620" s="43">
        <f>INDEX(DarlObj,12)</f>
      </c>
      <c r="D5620">
        <v>337</v>
      </c>
      <c r="E5620" s="51">
        <f>IF(INDEX(DarlBelegt,12)=0,0,EOMONTH(INDEX(DarlAuszahlung,12),336)+1)</f>
      </c>
      <c r="F5620" s="43">
        <f>IF($E5620=0,0,YEAR($E5620))</f>
      </c>
      <c r="G5620" s="43">
        <f>IF(INDEX(DarlBindung,12)="",1,IF($E5620&lt;=INDEX(DarlBindung,12),1,0))</f>
      </c>
      <c r="H5620" s="43">
        <f>IF($G5620=1,INDEX(DarlSollzins,12),INDEX(DarlAnschluss,12))</f>
      </c>
      <c r="I5620" s="43">
        <f>IF(INDEX(DarlBelegt,12)=0,0,IF(INDEX(DarlOhneTilgung,12)=1,IF(INDEX(DarlBindung,12)="",1,$G5620),IF($J5620&gt;0.005,1,0)))</f>
      </c>
      <c r="J5620" s="43">
        <f>IF($I5619=0,0,$R5619)</f>
      </c>
      <c r="K5620" s="43">
        <f>IF($I5620=0,0,IF(INDEX(DarlOhneTilgung,12)=1,0,IF(AND(INDEX(DarlTilgStart,12)&gt;0,$E5620=INDEX(DarlTilgStart,12)),$J5620*($H5620+INDEX(DarlTilgung,12))/100/12,IF(AND($G5620=0,$G5619=1),MAX($K5619,$J5620*($H5620+1)/100/12),$K5619))))</f>
      </c>
      <c r="L5620" s="43">
        <f>IF($I5620=0,0,$J5620*$H5620/100/12)</f>
      </c>
      <c r="M5620" s="43">
        <f>IF($I5620=0,0,IF(OR(INDEX(DarlOhneTilgung,12)=1,AND(INDEX(DarlTilgStart,12)&gt;0,$E5620&lt;INDEX(DarlTilgStart,12))),0,MIN(MAX(0,$K5620-$L5620),$J5620)))</f>
      </c>
      <c r="N5620" s="43">
        <f>IF($I5620=0,0,MIN(SUMIFS(SondBetrag,SondDarl,12,SondDatum,"&gt;="&amp;$E5620,SondDatum,"&lt;="&amp;EOMONTH($E5620,0)),$J5620-$M5620))</f>
      </c>
      <c r="O5620" s="43">
        <f>IF($I5620=0,0,INDEX(DarlErsatzRate,12))</f>
      </c>
      <c r="P5620" s="43">
        <f>IF($I5620=0,0,$Q5619*INDEX(DarlErsatzZins,12))</f>
      </c>
      <c r="Q5620" s="43">
        <f>IF($I5620=0,0,$Q5619+$P5620+$O5620)</f>
      </c>
      <c r="R5620" s="43">
        <f>IF($I5620=0,0,$J5620-$M5620-$N5620)</f>
      </c>
    </row>
    <row r="5621">
      <c r="A5621"/>
      <c r="B5621">
        <v>12</v>
      </c>
      <c r="C5621" s="43">
        <f>INDEX(DarlObj,12)</f>
      </c>
      <c r="D5621">
        <v>338</v>
      </c>
      <c r="E5621" s="51">
        <f>IF(INDEX(DarlBelegt,12)=0,0,EOMONTH(INDEX(DarlAuszahlung,12),337)+1)</f>
      </c>
      <c r="F5621" s="43">
        <f>IF($E5621=0,0,YEAR($E5621))</f>
      </c>
      <c r="G5621" s="43">
        <f>IF(INDEX(DarlBindung,12)="",1,IF($E5621&lt;=INDEX(DarlBindung,12),1,0))</f>
      </c>
      <c r="H5621" s="43">
        <f>IF($G5621=1,INDEX(DarlSollzins,12),INDEX(DarlAnschluss,12))</f>
      </c>
      <c r="I5621" s="43">
        <f>IF(INDEX(DarlBelegt,12)=0,0,IF(INDEX(DarlOhneTilgung,12)=1,IF(INDEX(DarlBindung,12)="",1,$G5621),IF($J5621&gt;0.005,1,0)))</f>
      </c>
      <c r="J5621" s="43">
        <f>IF($I5620=0,0,$R5620)</f>
      </c>
      <c r="K5621" s="43">
        <f>IF($I5621=0,0,IF(INDEX(DarlOhneTilgung,12)=1,0,IF(AND(INDEX(DarlTilgStart,12)&gt;0,$E5621=INDEX(DarlTilgStart,12)),$J5621*($H5621+INDEX(DarlTilgung,12))/100/12,IF(AND($G5621=0,$G5620=1),MAX($K5620,$J5621*($H5621+1)/100/12),$K5620))))</f>
      </c>
      <c r="L5621" s="43">
        <f>IF($I5621=0,0,$J5621*$H5621/100/12)</f>
      </c>
      <c r="M5621" s="43">
        <f>IF($I5621=0,0,IF(OR(INDEX(DarlOhneTilgung,12)=1,AND(INDEX(DarlTilgStart,12)&gt;0,$E5621&lt;INDEX(DarlTilgStart,12))),0,MIN(MAX(0,$K5621-$L5621),$J5621)))</f>
      </c>
      <c r="N5621" s="43">
        <f>IF($I5621=0,0,MIN(SUMIFS(SondBetrag,SondDarl,12,SondDatum,"&gt;="&amp;$E5621,SondDatum,"&lt;="&amp;EOMONTH($E5621,0)),$J5621-$M5621))</f>
      </c>
      <c r="O5621" s="43">
        <f>IF($I5621=0,0,INDEX(DarlErsatzRate,12))</f>
      </c>
      <c r="P5621" s="43">
        <f>IF($I5621=0,0,$Q5620*INDEX(DarlErsatzZins,12))</f>
      </c>
      <c r="Q5621" s="43">
        <f>IF($I5621=0,0,$Q5620+$P5621+$O5621)</f>
      </c>
      <c r="R5621" s="43">
        <f>IF($I5621=0,0,$J5621-$M5621-$N5621)</f>
      </c>
    </row>
    <row r="5622">
      <c r="A5622"/>
      <c r="B5622">
        <v>12</v>
      </c>
      <c r="C5622" s="43">
        <f>INDEX(DarlObj,12)</f>
      </c>
      <c r="D5622">
        <v>339</v>
      </c>
      <c r="E5622" s="51">
        <f>IF(INDEX(DarlBelegt,12)=0,0,EOMONTH(INDEX(DarlAuszahlung,12),338)+1)</f>
      </c>
      <c r="F5622" s="43">
        <f>IF($E5622=0,0,YEAR($E5622))</f>
      </c>
      <c r="G5622" s="43">
        <f>IF(INDEX(DarlBindung,12)="",1,IF($E5622&lt;=INDEX(DarlBindung,12),1,0))</f>
      </c>
      <c r="H5622" s="43">
        <f>IF($G5622=1,INDEX(DarlSollzins,12),INDEX(DarlAnschluss,12))</f>
      </c>
      <c r="I5622" s="43">
        <f>IF(INDEX(DarlBelegt,12)=0,0,IF(INDEX(DarlOhneTilgung,12)=1,IF(INDEX(DarlBindung,12)="",1,$G5622),IF($J5622&gt;0.005,1,0)))</f>
      </c>
      <c r="J5622" s="43">
        <f>IF($I5621=0,0,$R5621)</f>
      </c>
      <c r="K5622" s="43">
        <f>IF($I5622=0,0,IF(INDEX(DarlOhneTilgung,12)=1,0,IF(AND(INDEX(DarlTilgStart,12)&gt;0,$E5622=INDEX(DarlTilgStart,12)),$J5622*($H5622+INDEX(DarlTilgung,12))/100/12,IF(AND($G5622=0,$G5621=1),MAX($K5621,$J5622*($H5622+1)/100/12),$K5621))))</f>
      </c>
      <c r="L5622" s="43">
        <f>IF($I5622=0,0,$J5622*$H5622/100/12)</f>
      </c>
      <c r="M5622" s="43">
        <f>IF($I5622=0,0,IF(OR(INDEX(DarlOhneTilgung,12)=1,AND(INDEX(DarlTilgStart,12)&gt;0,$E5622&lt;INDEX(DarlTilgStart,12))),0,MIN(MAX(0,$K5622-$L5622),$J5622)))</f>
      </c>
      <c r="N5622" s="43">
        <f>IF($I5622=0,0,MIN(SUMIFS(SondBetrag,SondDarl,12,SondDatum,"&gt;="&amp;$E5622,SondDatum,"&lt;="&amp;EOMONTH($E5622,0)),$J5622-$M5622))</f>
      </c>
      <c r="O5622" s="43">
        <f>IF($I5622=0,0,INDEX(DarlErsatzRate,12))</f>
      </c>
      <c r="P5622" s="43">
        <f>IF($I5622=0,0,$Q5621*INDEX(DarlErsatzZins,12))</f>
      </c>
      <c r="Q5622" s="43">
        <f>IF($I5622=0,0,$Q5621+$P5622+$O5622)</f>
      </c>
      <c r="R5622" s="43">
        <f>IF($I5622=0,0,$J5622-$M5622-$N5622)</f>
      </c>
    </row>
    <row r="5623">
      <c r="A5623"/>
      <c r="B5623">
        <v>12</v>
      </c>
      <c r="C5623" s="43">
        <f>INDEX(DarlObj,12)</f>
      </c>
      <c r="D5623">
        <v>340</v>
      </c>
      <c r="E5623" s="51">
        <f>IF(INDEX(DarlBelegt,12)=0,0,EOMONTH(INDEX(DarlAuszahlung,12),339)+1)</f>
      </c>
      <c r="F5623" s="43">
        <f>IF($E5623=0,0,YEAR($E5623))</f>
      </c>
      <c r="G5623" s="43">
        <f>IF(INDEX(DarlBindung,12)="",1,IF($E5623&lt;=INDEX(DarlBindung,12),1,0))</f>
      </c>
      <c r="H5623" s="43">
        <f>IF($G5623=1,INDEX(DarlSollzins,12),INDEX(DarlAnschluss,12))</f>
      </c>
      <c r="I5623" s="43">
        <f>IF(INDEX(DarlBelegt,12)=0,0,IF(INDEX(DarlOhneTilgung,12)=1,IF(INDEX(DarlBindung,12)="",1,$G5623),IF($J5623&gt;0.005,1,0)))</f>
      </c>
      <c r="J5623" s="43">
        <f>IF($I5622=0,0,$R5622)</f>
      </c>
      <c r="K5623" s="43">
        <f>IF($I5623=0,0,IF(INDEX(DarlOhneTilgung,12)=1,0,IF(AND(INDEX(DarlTilgStart,12)&gt;0,$E5623=INDEX(DarlTilgStart,12)),$J5623*($H5623+INDEX(DarlTilgung,12))/100/12,IF(AND($G5623=0,$G5622=1),MAX($K5622,$J5623*($H5623+1)/100/12),$K5622))))</f>
      </c>
      <c r="L5623" s="43">
        <f>IF($I5623=0,0,$J5623*$H5623/100/12)</f>
      </c>
      <c r="M5623" s="43">
        <f>IF($I5623=0,0,IF(OR(INDEX(DarlOhneTilgung,12)=1,AND(INDEX(DarlTilgStart,12)&gt;0,$E5623&lt;INDEX(DarlTilgStart,12))),0,MIN(MAX(0,$K5623-$L5623),$J5623)))</f>
      </c>
      <c r="N5623" s="43">
        <f>IF($I5623=0,0,MIN(SUMIFS(SondBetrag,SondDarl,12,SondDatum,"&gt;="&amp;$E5623,SondDatum,"&lt;="&amp;EOMONTH($E5623,0)),$J5623-$M5623))</f>
      </c>
      <c r="O5623" s="43">
        <f>IF($I5623=0,0,INDEX(DarlErsatzRate,12))</f>
      </c>
      <c r="P5623" s="43">
        <f>IF($I5623=0,0,$Q5622*INDEX(DarlErsatzZins,12))</f>
      </c>
      <c r="Q5623" s="43">
        <f>IF($I5623=0,0,$Q5622+$P5623+$O5623)</f>
      </c>
      <c r="R5623" s="43">
        <f>IF($I5623=0,0,$J5623-$M5623-$N5623)</f>
      </c>
    </row>
    <row r="5624">
      <c r="A5624"/>
      <c r="B5624">
        <v>12</v>
      </c>
      <c r="C5624" s="43">
        <f>INDEX(DarlObj,12)</f>
      </c>
      <c r="D5624">
        <v>341</v>
      </c>
      <c r="E5624" s="51">
        <f>IF(INDEX(DarlBelegt,12)=0,0,EOMONTH(INDEX(DarlAuszahlung,12),340)+1)</f>
      </c>
      <c r="F5624" s="43">
        <f>IF($E5624=0,0,YEAR($E5624))</f>
      </c>
      <c r="G5624" s="43">
        <f>IF(INDEX(DarlBindung,12)="",1,IF($E5624&lt;=INDEX(DarlBindung,12),1,0))</f>
      </c>
      <c r="H5624" s="43">
        <f>IF($G5624=1,INDEX(DarlSollzins,12),INDEX(DarlAnschluss,12))</f>
      </c>
      <c r="I5624" s="43">
        <f>IF(INDEX(DarlBelegt,12)=0,0,IF(INDEX(DarlOhneTilgung,12)=1,IF(INDEX(DarlBindung,12)="",1,$G5624),IF($J5624&gt;0.005,1,0)))</f>
      </c>
      <c r="J5624" s="43">
        <f>IF($I5623=0,0,$R5623)</f>
      </c>
      <c r="K5624" s="43">
        <f>IF($I5624=0,0,IF(INDEX(DarlOhneTilgung,12)=1,0,IF(AND(INDEX(DarlTilgStart,12)&gt;0,$E5624=INDEX(DarlTilgStart,12)),$J5624*($H5624+INDEX(DarlTilgung,12))/100/12,IF(AND($G5624=0,$G5623=1),MAX($K5623,$J5624*($H5624+1)/100/12),$K5623))))</f>
      </c>
      <c r="L5624" s="43">
        <f>IF($I5624=0,0,$J5624*$H5624/100/12)</f>
      </c>
      <c r="M5624" s="43">
        <f>IF($I5624=0,0,IF(OR(INDEX(DarlOhneTilgung,12)=1,AND(INDEX(DarlTilgStart,12)&gt;0,$E5624&lt;INDEX(DarlTilgStart,12))),0,MIN(MAX(0,$K5624-$L5624),$J5624)))</f>
      </c>
      <c r="N5624" s="43">
        <f>IF($I5624=0,0,MIN(SUMIFS(SondBetrag,SondDarl,12,SondDatum,"&gt;="&amp;$E5624,SondDatum,"&lt;="&amp;EOMONTH($E5624,0)),$J5624-$M5624))</f>
      </c>
      <c r="O5624" s="43">
        <f>IF($I5624=0,0,INDEX(DarlErsatzRate,12))</f>
      </c>
      <c r="P5624" s="43">
        <f>IF($I5624=0,0,$Q5623*INDEX(DarlErsatzZins,12))</f>
      </c>
      <c r="Q5624" s="43">
        <f>IF($I5624=0,0,$Q5623+$P5624+$O5624)</f>
      </c>
      <c r="R5624" s="43">
        <f>IF($I5624=0,0,$J5624-$M5624-$N5624)</f>
      </c>
    </row>
    <row r="5625">
      <c r="A5625"/>
      <c r="B5625">
        <v>12</v>
      </c>
      <c r="C5625" s="43">
        <f>INDEX(DarlObj,12)</f>
      </c>
      <c r="D5625">
        <v>342</v>
      </c>
      <c r="E5625" s="51">
        <f>IF(INDEX(DarlBelegt,12)=0,0,EOMONTH(INDEX(DarlAuszahlung,12),341)+1)</f>
      </c>
      <c r="F5625" s="43">
        <f>IF($E5625=0,0,YEAR($E5625))</f>
      </c>
      <c r="G5625" s="43">
        <f>IF(INDEX(DarlBindung,12)="",1,IF($E5625&lt;=INDEX(DarlBindung,12),1,0))</f>
      </c>
      <c r="H5625" s="43">
        <f>IF($G5625=1,INDEX(DarlSollzins,12),INDEX(DarlAnschluss,12))</f>
      </c>
      <c r="I5625" s="43">
        <f>IF(INDEX(DarlBelegt,12)=0,0,IF(INDEX(DarlOhneTilgung,12)=1,IF(INDEX(DarlBindung,12)="",1,$G5625),IF($J5625&gt;0.005,1,0)))</f>
      </c>
      <c r="J5625" s="43">
        <f>IF($I5624=0,0,$R5624)</f>
      </c>
      <c r="K5625" s="43">
        <f>IF($I5625=0,0,IF(INDEX(DarlOhneTilgung,12)=1,0,IF(AND(INDEX(DarlTilgStart,12)&gt;0,$E5625=INDEX(DarlTilgStart,12)),$J5625*($H5625+INDEX(DarlTilgung,12))/100/12,IF(AND($G5625=0,$G5624=1),MAX($K5624,$J5625*($H5625+1)/100/12),$K5624))))</f>
      </c>
      <c r="L5625" s="43">
        <f>IF($I5625=0,0,$J5625*$H5625/100/12)</f>
      </c>
      <c r="M5625" s="43">
        <f>IF($I5625=0,0,IF(OR(INDEX(DarlOhneTilgung,12)=1,AND(INDEX(DarlTilgStart,12)&gt;0,$E5625&lt;INDEX(DarlTilgStart,12))),0,MIN(MAX(0,$K5625-$L5625),$J5625)))</f>
      </c>
      <c r="N5625" s="43">
        <f>IF($I5625=0,0,MIN(SUMIFS(SondBetrag,SondDarl,12,SondDatum,"&gt;="&amp;$E5625,SondDatum,"&lt;="&amp;EOMONTH($E5625,0)),$J5625-$M5625))</f>
      </c>
      <c r="O5625" s="43">
        <f>IF($I5625=0,0,INDEX(DarlErsatzRate,12))</f>
      </c>
      <c r="P5625" s="43">
        <f>IF($I5625=0,0,$Q5624*INDEX(DarlErsatzZins,12))</f>
      </c>
      <c r="Q5625" s="43">
        <f>IF($I5625=0,0,$Q5624+$P5625+$O5625)</f>
      </c>
      <c r="R5625" s="43">
        <f>IF($I5625=0,0,$J5625-$M5625-$N5625)</f>
      </c>
    </row>
    <row r="5626">
      <c r="A5626"/>
      <c r="B5626">
        <v>12</v>
      </c>
      <c r="C5626" s="43">
        <f>INDEX(DarlObj,12)</f>
      </c>
      <c r="D5626">
        <v>343</v>
      </c>
      <c r="E5626" s="51">
        <f>IF(INDEX(DarlBelegt,12)=0,0,EOMONTH(INDEX(DarlAuszahlung,12),342)+1)</f>
      </c>
      <c r="F5626" s="43">
        <f>IF($E5626=0,0,YEAR($E5626))</f>
      </c>
      <c r="G5626" s="43">
        <f>IF(INDEX(DarlBindung,12)="",1,IF($E5626&lt;=INDEX(DarlBindung,12),1,0))</f>
      </c>
      <c r="H5626" s="43">
        <f>IF($G5626=1,INDEX(DarlSollzins,12),INDEX(DarlAnschluss,12))</f>
      </c>
      <c r="I5626" s="43">
        <f>IF(INDEX(DarlBelegt,12)=0,0,IF(INDEX(DarlOhneTilgung,12)=1,IF(INDEX(DarlBindung,12)="",1,$G5626),IF($J5626&gt;0.005,1,0)))</f>
      </c>
      <c r="J5626" s="43">
        <f>IF($I5625=0,0,$R5625)</f>
      </c>
      <c r="K5626" s="43">
        <f>IF($I5626=0,0,IF(INDEX(DarlOhneTilgung,12)=1,0,IF(AND(INDEX(DarlTilgStart,12)&gt;0,$E5626=INDEX(DarlTilgStart,12)),$J5626*($H5626+INDEX(DarlTilgung,12))/100/12,IF(AND($G5626=0,$G5625=1),MAX($K5625,$J5626*($H5626+1)/100/12),$K5625))))</f>
      </c>
      <c r="L5626" s="43">
        <f>IF($I5626=0,0,$J5626*$H5626/100/12)</f>
      </c>
      <c r="M5626" s="43">
        <f>IF($I5626=0,0,IF(OR(INDEX(DarlOhneTilgung,12)=1,AND(INDEX(DarlTilgStart,12)&gt;0,$E5626&lt;INDEX(DarlTilgStart,12))),0,MIN(MAX(0,$K5626-$L5626),$J5626)))</f>
      </c>
      <c r="N5626" s="43">
        <f>IF($I5626=0,0,MIN(SUMIFS(SondBetrag,SondDarl,12,SondDatum,"&gt;="&amp;$E5626,SondDatum,"&lt;="&amp;EOMONTH($E5626,0)),$J5626-$M5626))</f>
      </c>
      <c r="O5626" s="43">
        <f>IF($I5626=0,0,INDEX(DarlErsatzRate,12))</f>
      </c>
      <c r="P5626" s="43">
        <f>IF($I5626=0,0,$Q5625*INDEX(DarlErsatzZins,12))</f>
      </c>
      <c r="Q5626" s="43">
        <f>IF($I5626=0,0,$Q5625+$P5626+$O5626)</f>
      </c>
      <c r="R5626" s="43">
        <f>IF($I5626=0,0,$J5626-$M5626-$N5626)</f>
      </c>
    </row>
    <row r="5627">
      <c r="A5627"/>
      <c r="B5627">
        <v>12</v>
      </c>
      <c r="C5627" s="43">
        <f>INDEX(DarlObj,12)</f>
      </c>
      <c r="D5627">
        <v>344</v>
      </c>
      <c r="E5627" s="51">
        <f>IF(INDEX(DarlBelegt,12)=0,0,EOMONTH(INDEX(DarlAuszahlung,12),343)+1)</f>
      </c>
      <c r="F5627" s="43">
        <f>IF($E5627=0,0,YEAR($E5627))</f>
      </c>
      <c r="G5627" s="43">
        <f>IF(INDEX(DarlBindung,12)="",1,IF($E5627&lt;=INDEX(DarlBindung,12),1,0))</f>
      </c>
      <c r="H5627" s="43">
        <f>IF($G5627=1,INDEX(DarlSollzins,12),INDEX(DarlAnschluss,12))</f>
      </c>
      <c r="I5627" s="43">
        <f>IF(INDEX(DarlBelegt,12)=0,0,IF(INDEX(DarlOhneTilgung,12)=1,IF(INDEX(DarlBindung,12)="",1,$G5627),IF($J5627&gt;0.005,1,0)))</f>
      </c>
      <c r="J5627" s="43">
        <f>IF($I5626=0,0,$R5626)</f>
      </c>
      <c r="K5627" s="43">
        <f>IF($I5627=0,0,IF(INDEX(DarlOhneTilgung,12)=1,0,IF(AND(INDEX(DarlTilgStart,12)&gt;0,$E5627=INDEX(DarlTilgStart,12)),$J5627*($H5627+INDEX(DarlTilgung,12))/100/12,IF(AND($G5627=0,$G5626=1),MAX($K5626,$J5627*($H5627+1)/100/12),$K5626))))</f>
      </c>
      <c r="L5627" s="43">
        <f>IF($I5627=0,0,$J5627*$H5627/100/12)</f>
      </c>
      <c r="M5627" s="43">
        <f>IF($I5627=0,0,IF(OR(INDEX(DarlOhneTilgung,12)=1,AND(INDEX(DarlTilgStart,12)&gt;0,$E5627&lt;INDEX(DarlTilgStart,12))),0,MIN(MAX(0,$K5627-$L5627),$J5627)))</f>
      </c>
      <c r="N5627" s="43">
        <f>IF($I5627=0,0,MIN(SUMIFS(SondBetrag,SondDarl,12,SondDatum,"&gt;="&amp;$E5627,SondDatum,"&lt;="&amp;EOMONTH($E5627,0)),$J5627-$M5627))</f>
      </c>
      <c r="O5627" s="43">
        <f>IF($I5627=0,0,INDEX(DarlErsatzRate,12))</f>
      </c>
      <c r="P5627" s="43">
        <f>IF($I5627=0,0,$Q5626*INDEX(DarlErsatzZins,12))</f>
      </c>
      <c r="Q5627" s="43">
        <f>IF($I5627=0,0,$Q5626+$P5627+$O5627)</f>
      </c>
      <c r="R5627" s="43">
        <f>IF($I5627=0,0,$J5627-$M5627-$N5627)</f>
      </c>
    </row>
    <row r="5628">
      <c r="A5628"/>
      <c r="B5628">
        <v>12</v>
      </c>
      <c r="C5628" s="43">
        <f>INDEX(DarlObj,12)</f>
      </c>
      <c r="D5628">
        <v>345</v>
      </c>
      <c r="E5628" s="51">
        <f>IF(INDEX(DarlBelegt,12)=0,0,EOMONTH(INDEX(DarlAuszahlung,12),344)+1)</f>
      </c>
      <c r="F5628" s="43">
        <f>IF($E5628=0,0,YEAR($E5628))</f>
      </c>
      <c r="G5628" s="43">
        <f>IF(INDEX(DarlBindung,12)="",1,IF($E5628&lt;=INDEX(DarlBindung,12),1,0))</f>
      </c>
      <c r="H5628" s="43">
        <f>IF($G5628=1,INDEX(DarlSollzins,12),INDEX(DarlAnschluss,12))</f>
      </c>
      <c r="I5628" s="43">
        <f>IF(INDEX(DarlBelegt,12)=0,0,IF(INDEX(DarlOhneTilgung,12)=1,IF(INDEX(DarlBindung,12)="",1,$G5628),IF($J5628&gt;0.005,1,0)))</f>
      </c>
      <c r="J5628" s="43">
        <f>IF($I5627=0,0,$R5627)</f>
      </c>
      <c r="K5628" s="43">
        <f>IF($I5628=0,0,IF(INDEX(DarlOhneTilgung,12)=1,0,IF(AND(INDEX(DarlTilgStart,12)&gt;0,$E5628=INDEX(DarlTilgStart,12)),$J5628*($H5628+INDEX(DarlTilgung,12))/100/12,IF(AND($G5628=0,$G5627=1),MAX($K5627,$J5628*($H5628+1)/100/12),$K5627))))</f>
      </c>
      <c r="L5628" s="43">
        <f>IF($I5628=0,0,$J5628*$H5628/100/12)</f>
      </c>
      <c r="M5628" s="43">
        <f>IF($I5628=0,0,IF(OR(INDEX(DarlOhneTilgung,12)=1,AND(INDEX(DarlTilgStart,12)&gt;0,$E5628&lt;INDEX(DarlTilgStart,12))),0,MIN(MAX(0,$K5628-$L5628),$J5628)))</f>
      </c>
      <c r="N5628" s="43">
        <f>IF($I5628=0,0,MIN(SUMIFS(SondBetrag,SondDarl,12,SondDatum,"&gt;="&amp;$E5628,SondDatum,"&lt;="&amp;EOMONTH($E5628,0)),$J5628-$M5628))</f>
      </c>
      <c r="O5628" s="43">
        <f>IF($I5628=0,0,INDEX(DarlErsatzRate,12))</f>
      </c>
      <c r="P5628" s="43">
        <f>IF($I5628=0,0,$Q5627*INDEX(DarlErsatzZins,12))</f>
      </c>
      <c r="Q5628" s="43">
        <f>IF($I5628=0,0,$Q5627+$P5628+$O5628)</f>
      </c>
      <c r="R5628" s="43">
        <f>IF($I5628=0,0,$J5628-$M5628-$N5628)</f>
      </c>
    </row>
    <row r="5629">
      <c r="A5629"/>
      <c r="B5629">
        <v>12</v>
      </c>
      <c r="C5629" s="43">
        <f>INDEX(DarlObj,12)</f>
      </c>
      <c r="D5629">
        <v>346</v>
      </c>
      <c r="E5629" s="51">
        <f>IF(INDEX(DarlBelegt,12)=0,0,EOMONTH(INDEX(DarlAuszahlung,12),345)+1)</f>
      </c>
      <c r="F5629" s="43">
        <f>IF($E5629=0,0,YEAR($E5629))</f>
      </c>
      <c r="G5629" s="43">
        <f>IF(INDEX(DarlBindung,12)="",1,IF($E5629&lt;=INDEX(DarlBindung,12),1,0))</f>
      </c>
      <c r="H5629" s="43">
        <f>IF($G5629=1,INDEX(DarlSollzins,12),INDEX(DarlAnschluss,12))</f>
      </c>
      <c r="I5629" s="43">
        <f>IF(INDEX(DarlBelegt,12)=0,0,IF(INDEX(DarlOhneTilgung,12)=1,IF(INDEX(DarlBindung,12)="",1,$G5629),IF($J5629&gt;0.005,1,0)))</f>
      </c>
      <c r="J5629" s="43">
        <f>IF($I5628=0,0,$R5628)</f>
      </c>
      <c r="K5629" s="43">
        <f>IF($I5629=0,0,IF(INDEX(DarlOhneTilgung,12)=1,0,IF(AND(INDEX(DarlTilgStart,12)&gt;0,$E5629=INDEX(DarlTilgStart,12)),$J5629*($H5629+INDEX(DarlTilgung,12))/100/12,IF(AND($G5629=0,$G5628=1),MAX($K5628,$J5629*($H5629+1)/100/12),$K5628))))</f>
      </c>
      <c r="L5629" s="43">
        <f>IF($I5629=0,0,$J5629*$H5629/100/12)</f>
      </c>
      <c r="M5629" s="43">
        <f>IF($I5629=0,0,IF(OR(INDEX(DarlOhneTilgung,12)=1,AND(INDEX(DarlTilgStart,12)&gt;0,$E5629&lt;INDEX(DarlTilgStart,12))),0,MIN(MAX(0,$K5629-$L5629),$J5629)))</f>
      </c>
      <c r="N5629" s="43">
        <f>IF($I5629=0,0,MIN(SUMIFS(SondBetrag,SondDarl,12,SondDatum,"&gt;="&amp;$E5629,SondDatum,"&lt;="&amp;EOMONTH($E5629,0)),$J5629-$M5629))</f>
      </c>
      <c r="O5629" s="43">
        <f>IF($I5629=0,0,INDEX(DarlErsatzRate,12))</f>
      </c>
      <c r="P5629" s="43">
        <f>IF($I5629=0,0,$Q5628*INDEX(DarlErsatzZins,12))</f>
      </c>
      <c r="Q5629" s="43">
        <f>IF($I5629=0,0,$Q5628+$P5629+$O5629)</f>
      </c>
      <c r="R5629" s="43">
        <f>IF($I5629=0,0,$J5629-$M5629-$N5629)</f>
      </c>
    </row>
    <row r="5630">
      <c r="A5630"/>
      <c r="B5630">
        <v>12</v>
      </c>
      <c r="C5630" s="43">
        <f>INDEX(DarlObj,12)</f>
      </c>
      <c r="D5630">
        <v>347</v>
      </c>
      <c r="E5630" s="51">
        <f>IF(INDEX(DarlBelegt,12)=0,0,EOMONTH(INDEX(DarlAuszahlung,12),346)+1)</f>
      </c>
      <c r="F5630" s="43">
        <f>IF($E5630=0,0,YEAR($E5630))</f>
      </c>
      <c r="G5630" s="43">
        <f>IF(INDEX(DarlBindung,12)="",1,IF($E5630&lt;=INDEX(DarlBindung,12),1,0))</f>
      </c>
      <c r="H5630" s="43">
        <f>IF($G5630=1,INDEX(DarlSollzins,12),INDEX(DarlAnschluss,12))</f>
      </c>
      <c r="I5630" s="43">
        <f>IF(INDEX(DarlBelegt,12)=0,0,IF(INDEX(DarlOhneTilgung,12)=1,IF(INDEX(DarlBindung,12)="",1,$G5630),IF($J5630&gt;0.005,1,0)))</f>
      </c>
      <c r="J5630" s="43">
        <f>IF($I5629=0,0,$R5629)</f>
      </c>
      <c r="K5630" s="43">
        <f>IF($I5630=0,0,IF(INDEX(DarlOhneTilgung,12)=1,0,IF(AND(INDEX(DarlTilgStart,12)&gt;0,$E5630=INDEX(DarlTilgStart,12)),$J5630*($H5630+INDEX(DarlTilgung,12))/100/12,IF(AND($G5630=0,$G5629=1),MAX($K5629,$J5630*($H5630+1)/100/12),$K5629))))</f>
      </c>
      <c r="L5630" s="43">
        <f>IF($I5630=0,0,$J5630*$H5630/100/12)</f>
      </c>
      <c r="M5630" s="43">
        <f>IF($I5630=0,0,IF(OR(INDEX(DarlOhneTilgung,12)=1,AND(INDEX(DarlTilgStart,12)&gt;0,$E5630&lt;INDEX(DarlTilgStart,12))),0,MIN(MAX(0,$K5630-$L5630),$J5630)))</f>
      </c>
      <c r="N5630" s="43">
        <f>IF($I5630=0,0,MIN(SUMIFS(SondBetrag,SondDarl,12,SondDatum,"&gt;="&amp;$E5630,SondDatum,"&lt;="&amp;EOMONTH($E5630,0)),$J5630-$M5630))</f>
      </c>
      <c r="O5630" s="43">
        <f>IF($I5630=0,0,INDEX(DarlErsatzRate,12))</f>
      </c>
      <c r="P5630" s="43">
        <f>IF($I5630=0,0,$Q5629*INDEX(DarlErsatzZins,12))</f>
      </c>
      <c r="Q5630" s="43">
        <f>IF($I5630=0,0,$Q5629+$P5630+$O5630)</f>
      </c>
      <c r="R5630" s="43">
        <f>IF($I5630=0,0,$J5630-$M5630-$N5630)</f>
      </c>
    </row>
    <row r="5631">
      <c r="A5631"/>
      <c r="B5631">
        <v>12</v>
      </c>
      <c r="C5631" s="43">
        <f>INDEX(DarlObj,12)</f>
      </c>
      <c r="D5631">
        <v>348</v>
      </c>
      <c r="E5631" s="51">
        <f>IF(INDEX(DarlBelegt,12)=0,0,EOMONTH(INDEX(DarlAuszahlung,12),347)+1)</f>
      </c>
      <c r="F5631" s="43">
        <f>IF($E5631=0,0,YEAR($E5631))</f>
      </c>
      <c r="G5631" s="43">
        <f>IF(INDEX(DarlBindung,12)="",1,IF($E5631&lt;=INDEX(DarlBindung,12),1,0))</f>
      </c>
      <c r="H5631" s="43">
        <f>IF($G5631=1,INDEX(DarlSollzins,12),INDEX(DarlAnschluss,12))</f>
      </c>
      <c r="I5631" s="43">
        <f>IF(INDEX(DarlBelegt,12)=0,0,IF(INDEX(DarlOhneTilgung,12)=1,IF(INDEX(DarlBindung,12)="",1,$G5631),IF($J5631&gt;0.005,1,0)))</f>
      </c>
      <c r="J5631" s="43">
        <f>IF($I5630=0,0,$R5630)</f>
      </c>
      <c r="K5631" s="43">
        <f>IF($I5631=0,0,IF(INDEX(DarlOhneTilgung,12)=1,0,IF(AND(INDEX(DarlTilgStart,12)&gt;0,$E5631=INDEX(DarlTilgStart,12)),$J5631*($H5631+INDEX(DarlTilgung,12))/100/12,IF(AND($G5631=0,$G5630=1),MAX($K5630,$J5631*($H5631+1)/100/12),$K5630))))</f>
      </c>
      <c r="L5631" s="43">
        <f>IF($I5631=0,0,$J5631*$H5631/100/12)</f>
      </c>
      <c r="M5631" s="43">
        <f>IF($I5631=0,0,IF(OR(INDEX(DarlOhneTilgung,12)=1,AND(INDEX(DarlTilgStart,12)&gt;0,$E5631&lt;INDEX(DarlTilgStart,12))),0,MIN(MAX(0,$K5631-$L5631),$J5631)))</f>
      </c>
      <c r="N5631" s="43">
        <f>IF($I5631=0,0,MIN(SUMIFS(SondBetrag,SondDarl,12,SondDatum,"&gt;="&amp;$E5631,SondDatum,"&lt;="&amp;EOMONTH($E5631,0)),$J5631-$M5631))</f>
      </c>
      <c r="O5631" s="43">
        <f>IF($I5631=0,0,INDEX(DarlErsatzRate,12))</f>
      </c>
      <c r="P5631" s="43">
        <f>IF($I5631=0,0,$Q5630*INDEX(DarlErsatzZins,12))</f>
      </c>
      <c r="Q5631" s="43">
        <f>IF($I5631=0,0,$Q5630+$P5631+$O5631)</f>
      </c>
      <c r="R5631" s="43">
        <f>IF($I5631=0,0,$J5631-$M5631-$N5631)</f>
      </c>
    </row>
    <row r="5632">
      <c r="A5632"/>
      <c r="B5632">
        <v>12</v>
      </c>
      <c r="C5632" s="43">
        <f>INDEX(DarlObj,12)</f>
      </c>
      <c r="D5632">
        <v>349</v>
      </c>
      <c r="E5632" s="51">
        <f>IF(INDEX(DarlBelegt,12)=0,0,EOMONTH(INDEX(DarlAuszahlung,12),348)+1)</f>
      </c>
      <c r="F5632" s="43">
        <f>IF($E5632=0,0,YEAR($E5632))</f>
      </c>
      <c r="G5632" s="43">
        <f>IF(INDEX(DarlBindung,12)="",1,IF($E5632&lt;=INDEX(DarlBindung,12),1,0))</f>
      </c>
      <c r="H5632" s="43">
        <f>IF($G5632=1,INDEX(DarlSollzins,12),INDEX(DarlAnschluss,12))</f>
      </c>
      <c r="I5632" s="43">
        <f>IF(INDEX(DarlBelegt,12)=0,0,IF(INDEX(DarlOhneTilgung,12)=1,IF(INDEX(DarlBindung,12)="",1,$G5632),IF($J5632&gt;0.005,1,0)))</f>
      </c>
      <c r="J5632" s="43">
        <f>IF($I5631=0,0,$R5631)</f>
      </c>
      <c r="K5632" s="43">
        <f>IF($I5632=0,0,IF(INDEX(DarlOhneTilgung,12)=1,0,IF(AND(INDEX(DarlTilgStart,12)&gt;0,$E5632=INDEX(DarlTilgStart,12)),$J5632*($H5632+INDEX(DarlTilgung,12))/100/12,IF(AND($G5632=0,$G5631=1),MAX($K5631,$J5632*($H5632+1)/100/12),$K5631))))</f>
      </c>
      <c r="L5632" s="43">
        <f>IF($I5632=0,0,$J5632*$H5632/100/12)</f>
      </c>
      <c r="M5632" s="43">
        <f>IF($I5632=0,0,IF(OR(INDEX(DarlOhneTilgung,12)=1,AND(INDEX(DarlTilgStart,12)&gt;0,$E5632&lt;INDEX(DarlTilgStart,12))),0,MIN(MAX(0,$K5632-$L5632),$J5632)))</f>
      </c>
      <c r="N5632" s="43">
        <f>IF($I5632=0,0,MIN(SUMIFS(SondBetrag,SondDarl,12,SondDatum,"&gt;="&amp;$E5632,SondDatum,"&lt;="&amp;EOMONTH($E5632,0)),$J5632-$M5632))</f>
      </c>
      <c r="O5632" s="43">
        <f>IF($I5632=0,0,INDEX(DarlErsatzRate,12))</f>
      </c>
      <c r="P5632" s="43">
        <f>IF($I5632=0,0,$Q5631*INDEX(DarlErsatzZins,12))</f>
      </c>
      <c r="Q5632" s="43">
        <f>IF($I5632=0,0,$Q5631+$P5632+$O5632)</f>
      </c>
      <c r="R5632" s="43">
        <f>IF($I5632=0,0,$J5632-$M5632-$N5632)</f>
      </c>
    </row>
    <row r="5633">
      <c r="A5633"/>
      <c r="B5633">
        <v>12</v>
      </c>
      <c r="C5633" s="43">
        <f>INDEX(DarlObj,12)</f>
      </c>
      <c r="D5633">
        <v>350</v>
      </c>
      <c r="E5633" s="51">
        <f>IF(INDEX(DarlBelegt,12)=0,0,EOMONTH(INDEX(DarlAuszahlung,12),349)+1)</f>
      </c>
      <c r="F5633" s="43">
        <f>IF($E5633=0,0,YEAR($E5633))</f>
      </c>
      <c r="G5633" s="43">
        <f>IF(INDEX(DarlBindung,12)="",1,IF($E5633&lt;=INDEX(DarlBindung,12),1,0))</f>
      </c>
      <c r="H5633" s="43">
        <f>IF($G5633=1,INDEX(DarlSollzins,12),INDEX(DarlAnschluss,12))</f>
      </c>
      <c r="I5633" s="43">
        <f>IF(INDEX(DarlBelegt,12)=0,0,IF(INDEX(DarlOhneTilgung,12)=1,IF(INDEX(DarlBindung,12)="",1,$G5633),IF($J5633&gt;0.005,1,0)))</f>
      </c>
      <c r="J5633" s="43">
        <f>IF($I5632=0,0,$R5632)</f>
      </c>
      <c r="K5633" s="43">
        <f>IF($I5633=0,0,IF(INDEX(DarlOhneTilgung,12)=1,0,IF(AND(INDEX(DarlTilgStart,12)&gt;0,$E5633=INDEX(DarlTilgStart,12)),$J5633*($H5633+INDEX(DarlTilgung,12))/100/12,IF(AND($G5633=0,$G5632=1),MAX($K5632,$J5633*($H5633+1)/100/12),$K5632))))</f>
      </c>
      <c r="L5633" s="43">
        <f>IF($I5633=0,0,$J5633*$H5633/100/12)</f>
      </c>
      <c r="M5633" s="43">
        <f>IF($I5633=0,0,IF(OR(INDEX(DarlOhneTilgung,12)=1,AND(INDEX(DarlTilgStart,12)&gt;0,$E5633&lt;INDEX(DarlTilgStart,12))),0,MIN(MAX(0,$K5633-$L5633),$J5633)))</f>
      </c>
      <c r="N5633" s="43">
        <f>IF($I5633=0,0,MIN(SUMIFS(SondBetrag,SondDarl,12,SondDatum,"&gt;="&amp;$E5633,SondDatum,"&lt;="&amp;EOMONTH($E5633,0)),$J5633-$M5633))</f>
      </c>
      <c r="O5633" s="43">
        <f>IF($I5633=0,0,INDEX(DarlErsatzRate,12))</f>
      </c>
      <c r="P5633" s="43">
        <f>IF($I5633=0,0,$Q5632*INDEX(DarlErsatzZins,12))</f>
      </c>
      <c r="Q5633" s="43">
        <f>IF($I5633=0,0,$Q5632+$P5633+$O5633)</f>
      </c>
      <c r="R5633" s="43">
        <f>IF($I5633=0,0,$J5633-$M5633-$N5633)</f>
      </c>
    </row>
    <row r="5634">
      <c r="A5634"/>
      <c r="B5634">
        <v>12</v>
      </c>
      <c r="C5634" s="43">
        <f>INDEX(DarlObj,12)</f>
      </c>
      <c r="D5634">
        <v>351</v>
      </c>
      <c r="E5634" s="51">
        <f>IF(INDEX(DarlBelegt,12)=0,0,EOMONTH(INDEX(DarlAuszahlung,12),350)+1)</f>
      </c>
      <c r="F5634" s="43">
        <f>IF($E5634=0,0,YEAR($E5634))</f>
      </c>
      <c r="G5634" s="43">
        <f>IF(INDEX(DarlBindung,12)="",1,IF($E5634&lt;=INDEX(DarlBindung,12),1,0))</f>
      </c>
      <c r="H5634" s="43">
        <f>IF($G5634=1,INDEX(DarlSollzins,12),INDEX(DarlAnschluss,12))</f>
      </c>
      <c r="I5634" s="43">
        <f>IF(INDEX(DarlBelegt,12)=0,0,IF(INDEX(DarlOhneTilgung,12)=1,IF(INDEX(DarlBindung,12)="",1,$G5634),IF($J5634&gt;0.005,1,0)))</f>
      </c>
      <c r="J5634" s="43">
        <f>IF($I5633=0,0,$R5633)</f>
      </c>
      <c r="K5634" s="43">
        <f>IF($I5634=0,0,IF(INDEX(DarlOhneTilgung,12)=1,0,IF(AND(INDEX(DarlTilgStart,12)&gt;0,$E5634=INDEX(DarlTilgStart,12)),$J5634*($H5634+INDEX(DarlTilgung,12))/100/12,IF(AND($G5634=0,$G5633=1),MAX($K5633,$J5634*($H5634+1)/100/12),$K5633))))</f>
      </c>
      <c r="L5634" s="43">
        <f>IF($I5634=0,0,$J5634*$H5634/100/12)</f>
      </c>
      <c r="M5634" s="43">
        <f>IF($I5634=0,0,IF(OR(INDEX(DarlOhneTilgung,12)=1,AND(INDEX(DarlTilgStart,12)&gt;0,$E5634&lt;INDEX(DarlTilgStart,12))),0,MIN(MAX(0,$K5634-$L5634),$J5634)))</f>
      </c>
      <c r="N5634" s="43">
        <f>IF($I5634=0,0,MIN(SUMIFS(SondBetrag,SondDarl,12,SondDatum,"&gt;="&amp;$E5634,SondDatum,"&lt;="&amp;EOMONTH($E5634,0)),$J5634-$M5634))</f>
      </c>
      <c r="O5634" s="43">
        <f>IF($I5634=0,0,INDEX(DarlErsatzRate,12))</f>
      </c>
      <c r="P5634" s="43">
        <f>IF($I5634=0,0,$Q5633*INDEX(DarlErsatzZins,12))</f>
      </c>
      <c r="Q5634" s="43">
        <f>IF($I5634=0,0,$Q5633+$P5634+$O5634)</f>
      </c>
      <c r="R5634" s="43">
        <f>IF($I5634=0,0,$J5634-$M5634-$N5634)</f>
      </c>
    </row>
    <row r="5635">
      <c r="A5635"/>
      <c r="B5635">
        <v>12</v>
      </c>
      <c r="C5635" s="43">
        <f>INDEX(DarlObj,12)</f>
      </c>
      <c r="D5635">
        <v>352</v>
      </c>
      <c r="E5635" s="51">
        <f>IF(INDEX(DarlBelegt,12)=0,0,EOMONTH(INDEX(DarlAuszahlung,12),351)+1)</f>
      </c>
      <c r="F5635" s="43">
        <f>IF($E5635=0,0,YEAR($E5635))</f>
      </c>
      <c r="G5635" s="43">
        <f>IF(INDEX(DarlBindung,12)="",1,IF($E5635&lt;=INDEX(DarlBindung,12),1,0))</f>
      </c>
      <c r="H5635" s="43">
        <f>IF($G5635=1,INDEX(DarlSollzins,12),INDEX(DarlAnschluss,12))</f>
      </c>
      <c r="I5635" s="43">
        <f>IF(INDEX(DarlBelegt,12)=0,0,IF(INDEX(DarlOhneTilgung,12)=1,IF(INDEX(DarlBindung,12)="",1,$G5635),IF($J5635&gt;0.005,1,0)))</f>
      </c>
      <c r="J5635" s="43">
        <f>IF($I5634=0,0,$R5634)</f>
      </c>
      <c r="K5635" s="43">
        <f>IF($I5635=0,0,IF(INDEX(DarlOhneTilgung,12)=1,0,IF(AND(INDEX(DarlTilgStart,12)&gt;0,$E5635=INDEX(DarlTilgStart,12)),$J5635*($H5635+INDEX(DarlTilgung,12))/100/12,IF(AND($G5635=0,$G5634=1),MAX($K5634,$J5635*($H5635+1)/100/12),$K5634))))</f>
      </c>
      <c r="L5635" s="43">
        <f>IF($I5635=0,0,$J5635*$H5635/100/12)</f>
      </c>
      <c r="M5635" s="43">
        <f>IF($I5635=0,0,IF(OR(INDEX(DarlOhneTilgung,12)=1,AND(INDEX(DarlTilgStart,12)&gt;0,$E5635&lt;INDEX(DarlTilgStart,12))),0,MIN(MAX(0,$K5635-$L5635),$J5635)))</f>
      </c>
      <c r="N5635" s="43">
        <f>IF($I5635=0,0,MIN(SUMIFS(SondBetrag,SondDarl,12,SondDatum,"&gt;="&amp;$E5635,SondDatum,"&lt;="&amp;EOMONTH($E5635,0)),$J5635-$M5635))</f>
      </c>
      <c r="O5635" s="43">
        <f>IF($I5635=0,0,INDEX(DarlErsatzRate,12))</f>
      </c>
      <c r="P5635" s="43">
        <f>IF($I5635=0,0,$Q5634*INDEX(DarlErsatzZins,12))</f>
      </c>
      <c r="Q5635" s="43">
        <f>IF($I5635=0,0,$Q5634+$P5635+$O5635)</f>
      </c>
      <c r="R5635" s="43">
        <f>IF($I5635=0,0,$J5635-$M5635-$N5635)</f>
      </c>
    </row>
    <row r="5636">
      <c r="A5636"/>
      <c r="B5636">
        <v>12</v>
      </c>
      <c r="C5636" s="43">
        <f>INDEX(DarlObj,12)</f>
      </c>
      <c r="D5636">
        <v>353</v>
      </c>
      <c r="E5636" s="51">
        <f>IF(INDEX(DarlBelegt,12)=0,0,EOMONTH(INDEX(DarlAuszahlung,12),352)+1)</f>
      </c>
      <c r="F5636" s="43">
        <f>IF($E5636=0,0,YEAR($E5636))</f>
      </c>
      <c r="G5636" s="43">
        <f>IF(INDEX(DarlBindung,12)="",1,IF($E5636&lt;=INDEX(DarlBindung,12),1,0))</f>
      </c>
      <c r="H5636" s="43">
        <f>IF($G5636=1,INDEX(DarlSollzins,12),INDEX(DarlAnschluss,12))</f>
      </c>
      <c r="I5636" s="43">
        <f>IF(INDEX(DarlBelegt,12)=0,0,IF(INDEX(DarlOhneTilgung,12)=1,IF(INDEX(DarlBindung,12)="",1,$G5636),IF($J5636&gt;0.005,1,0)))</f>
      </c>
      <c r="J5636" s="43">
        <f>IF($I5635=0,0,$R5635)</f>
      </c>
      <c r="K5636" s="43">
        <f>IF($I5636=0,0,IF(INDEX(DarlOhneTilgung,12)=1,0,IF(AND(INDEX(DarlTilgStart,12)&gt;0,$E5636=INDEX(DarlTilgStart,12)),$J5636*($H5636+INDEX(DarlTilgung,12))/100/12,IF(AND($G5636=0,$G5635=1),MAX($K5635,$J5636*($H5636+1)/100/12),$K5635))))</f>
      </c>
      <c r="L5636" s="43">
        <f>IF($I5636=0,0,$J5636*$H5636/100/12)</f>
      </c>
      <c r="M5636" s="43">
        <f>IF($I5636=0,0,IF(OR(INDEX(DarlOhneTilgung,12)=1,AND(INDEX(DarlTilgStart,12)&gt;0,$E5636&lt;INDEX(DarlTilgStart,12))),0,MIN(MAX(0,$K5636-$L5636),$J5636)))</f>
      </c>
      <c r="N5636" s="43">
        <f>IF($I5636=0,0,MIN(SUMIFS(SondBetrag,SondDarl,12,SondDatum,"&gt;="&amp;$E5636,SondDatum,"&lt;="&amp;EOMONTH($E5636,0)),$J5636-$M5636))</f>
      </c>
      <c r="O5636" s="43">
        <f>IF($I5636=0,0,INDEX(DarlErsatzRate,12))</f>
      </c>
      <c r="P5636" s="43">
        <f>IF($I5636=0,0,$Q5635*INDEX(DarlErsatzZins,12))</f>
      </c>
      <c r="Q5636" s="43">
        <f>IF($I5636=0,0,$Q5635+$P5636+$O5636)</f>
      </c>
      <c r="R5636" s="43">
        <f>IF($I5636=0,0,$J5636-$M5636-$N5636)</f>
      </c>
    </row>
    <row r="5637">
      <c r="A5637"/>
      <c r="B5637">
        <v>12</v>
      </c>
      <c r="C5637" s="43">
        <f>INDEX(DarlObj,12)</f>
      </c>
      <c r="D5637">
        <v>354</v>
      </c>
      <c r="E5637" s="51">
        <f>IF(INDEX(DarlBelegt,12)=0,0,EOMONTH(INDEX(DarlAuszahlung,12),353)+1)</f>
      </c>
      <c r="F5637" s="43">
        <f>IF($E5637=0,0,YEAR($E5637))</f>
      </c>
      <c r="G5637" s="43">
        <f>IF(INDEX(DarlBindung,12)="",1,IF($E5637&lt;=INDEX(DarlBindung,12),1,0))</f>
      </c>
      <c r="H5637" s="43">
        <f>IF($G5637=1,INDEX(DarlSollzins,12),INDEX(DarlAnschluss,12))</f>
      </c>
      <c r="I5637" s="43">
        <f>IF(INDEX(DarlBelegt,12)=0,0,IF(INDEX(DarlOhneTilgung,12)=1,IF(INDEX(DarlBindung,12)="",1,$G5637),IF($J5637&gt;0.005,1,0)))</f>
      </c>
      <c r="J5637" s="43">
        <f>IF($I5636=0,0,$R5636)</f>
      </c>
      <c r="K5637" s="43">
        <f>IF($I5637=0,0,IF(INDEX(DarlOhneTilgung,12)=1,0,IF(AND(INDEX(DarlTilgStart,12)&gt;0,$E5637=INDEX(DarlTilgStart,12)),$J5637*($H5637+INDEX(DarlTilgung,12))/100/12,IF(AND($G5637=0,$G5636=1),MAX($K5636,$J5637*($H5637+1)/100/12),$K5636))))</f>
      </c>
      <c r="L5637" s="43">
        <f>IF($I5637=0,0,$J5637*$H5637/100/12)</f>
      </c>
      <c r="M5637" s="43">
        <f>IF($I5637=0,0,IF(OR(INDEX(DarlOhneTilgung,12)=1,AND(INDEX(DarlTilgStart,12)&gt;0,$E5637&lt;INDEX(DarlTilgStart,12))),0,MIN(MAX(0,$K5637-$L5637),$J5637)))</f>
      </c>
      <c r="N5637" s="43">
        <f>IF($I5637=0,0,MIN(SUMIFS(SondBetrag,SondDarl,12,SondDatum,"&gt;="&amp;$E5637,SondDatum,"&lt;="&amp;EOMONTH($E5637,0)),$J5637-$M5637))</f>
      </c>
      <c r="O5637" s="43">
        <f>IF($I5637=0,0,INDEX(DarlErsatzRate,12))</f>
      </c>
      <c r="P5637" s="43">
        <f>IF($I5637=0,0,$Q5636*INDEX(DarlErsatzZins,12))</f>
      </c>
      <c r="Q5637" s="43">
        <f>IF($I5637=0,0,$Q5636+$P5637+$O5637)</f>
      </c>
      <c r="R5637" s="43">
        <f>IF($I5637=0,0,$J5637-$M5637-$N5637)</f>
      </c>
    </row>
    <row r="5638">
      <c r="A5638"/>
      <c r="B5638">
        <v>12</v>
      </c>
      <c r="C5638" s="43">
        <f>INDEX(DarlObj,12)</f>
      </c>
      <c r="D5638">
        <v>355</v>
      </c>
      <c r="E5638" s="51">
        <f>IF(INDEX(DarlBelegt,12)=0,0,EOMONTH(INDEX(DarlAuszahlung,12),354)+1)</f>
      </c>
      <c r="F5638" s="43">
        <f>IF($E5638=0,0,YEAR($E5638))</f>
      </c>
      <c r="G5638" s="43">
        <f>IF(INDEX(DarlBindung,12)="",1,IF($E5638&lt;=INDEX(DarlBindung,12),1,0))</f>
      </c>
      <c r="H5638" s="43">
        <f>IF($G5638=1,INDEX(DarlSollzins,12),INDEX(DarlAnschluss,12))</f>
      </c>
      <c r="I5638" s="43">
        <f>IF(INDEX(DarlBelegt,12)=0,0,IF(INDEX(DarlOhneTilgung,12)=1,IF(INDEX(DarlBindung,12)="",1,$G5638),IF($J5638&gt;0.005,1,0)))</f>
      </c>
      <c r="J5638" s="43">
        <f>IF($I5637=0,0,$R5637)</f>
      </c>
      <c r="K5638" s="43">
        <f>IF($I5638=0,0,IF(INDEX(DarlOhneTilgung,12)=1,0,IF(AND(INDEX(DarlTilgStart,12)&gt;0,$E5638=INDEX(DarlTilgStart,12)),$J5638*($H5638+INDEX(DarlTilgung,12))/100/12,IF(AND($G5638=0,$G5637=1),MAX($K5637,$J5638*($H5638+1)/100/12),$K5637))))</f>
      </c>
      <c r="L5638" s="43">
        <f>IF($I5638=0,0,$J5638*$H5638/100/12)</f>
      </c>
      <c r="M5638" s="43">
        <f>IF($I5638=0,0,IF(OR(INDEX(DarlOhneTilgung,12)=1,AND(INDEX(DarlTilgStart,12)&gt;0,$E5638&lt;INDEX(DarlTilgStart,12))),0,MIN(MAX(0,$K5638-$L5638),$J5638)))</f>
      </c>
      <c r="N5638" s="43">
        <f>IF($I5638=0,0,MIN(SUMIFS(SondBetrag,SondDarl,12,SondDatum,"&gt;="&amp;$E5638,SondDatum,"&lt;="&amp;EOMONTH($E5638,0)),$J5638-$M5638))</f>
      </c>
      <c r="O5638" s="43">
        <f>IF($I5638=0,0,INDEX(DarlErsatzRate,12))</f>
      </c>
      <c r="P5638" s="43">
        <f>IF($I5638=0,0,$Q5637*INDEX(DarlErsatzZins,12))</f>
      </c>
      <c r="Q5638" s="43">
        <f>IF($I5638=0,0,$Q5637+$P5638+$O5638)</f>
      </c>
      <c r="R5638" s="43">
        <f>IF($I5638=0,0,$J5638-$M5638-$N5638)</f>
      </c>
    </row>
    <row r="5639">
      <c r="A5639"/>
      <c r="B5639">
        <v>12</v>
      </c>
      <c r="C5639" s="43">
        <f>INDEX(DarlObj,12)</f>
      </c>
      <c r="D5639">
        <v>356</v>
      </c>
      <c r="E5639" s="51">
        <f>IF(INDEX(DarlBelegt,12)=0,0,EOMONTH(INDEX(DarlAuszahlung,12),355)+1)</f>
      </c>
      <c r="F5639" s="43">
        <f>IF($E5639=0,0,YEAR($E5639))</f>
      </c>
      <c r="G5639" s="43">
        <f>IF(INDEX(DarlBindung,12)="",1,IF($E5639&lt;=INDEX(DarlBindung,12),1,0))</f>
      </c>
      <c r="H5639" s="43">
        <f>IF($G5639=1,INDEX(DarlSollzins,12),INDEX(DarlAnschluss,12))</f>
      </c>
      <c r="I5639" s="43">
        <f>IF(INDEX(DarlBelegt,12)=0,0,IF(INDEX(DarlOhneTilgung,12)=1,IF(INDEX(DarlBindung,12)="",1,$G5639),IF($J5639&gt;0.005,1,0)))</f>
      </c>
      <c r="J5639" s="43">
        <f>IF($I5638=0,0,$R5638)</f>
      </c>
      <c r="K5639" s="43">
        <f>IF($I5639=0,0,IF(INDEX(DarlOhneTilgung,12)=1,0,IF(AND(INDEX(DarlTilgStart,12)&gt;0,$E5639=INDEX(DarlTilgStart,12)),$J5639*($H5639+INDEX(DarlTilgung,12))/100/12,IF(AND($G5639=0,$G5638=1),MAX($K5638,$J5639*($H5639+1)/100/12),$K5638))))</f>
      </c>
      <c r="L5639" s="43">
        <f>IF($I5639=0,0,$J5639*$H5639/100/12)</f>
      </c>
      <c r="M5639" s="43">
        <f>IF($I5639=0,0,IF(OR(INDEX(DarlOhneTilgung,12)=1,AND(INDEX(DarlTilgStart,12)&gt;0,$E5639&lt;INDEX(DarlTilgStart,12))),0,MIN(MAX(0,$K5639-$L5639),$J5639)))</f>
      </c>
      <c r="N5639" s="43">
        <f>IF($I5639=0,0,MIN(SUMIFS(SondBetrag,SondDarl,12,SondDatum,"&gt;="&amp;$E5639,SondDatum,"&lt;="&amp;EOMONTH($E5639,0)),$J5639-$M5639))</f>
      </c>
      <c r="O5639" s="43">
        <f>IF($I5639=0,0,INDEX(DarlErsatzRate,12))</f>
      </c>
      <c r="P5639" s="43">
        <f>IF($I5639=0,0,$Q5638*INDEX(DarlErsatzZins,12))</f>
      </c>
      <c r="Q5639" s="43">
        <f>IF($I5639=0,0,$Q5638+$P5639+$O5639)</f>
      </c>
      <c r="R5639" s="43">
        <f>IF($I5639=0,0,$J5639-$M5639-$N5639)</f>
      </c>
    </row>
    <row r="5640">
      <c r="A5640"/>
      <c r="B5640">
        <v>12</v>
      </c>
      <c r="C5640" s="43">
        <f>INDEX(DarlObj,12)</f>
      </c>
      <c r="D5640">
        <v>357</v>
      </c>
      <c r="E5640" s="51">
        <f>IF(INDEX(DarlBelegt,12)=0,0,EOMONTH(INDEX(DarlAuszahlung,12),356)+1)</f>
      </c>
      <c r="F5640" s="43">
        <f>IF($E5640=0,0,YEAR($E5640))</f>
      </c>
      <c r="G5640" s="43">
        <f>IF(INDEX(DarlBindung,12)="",1,IF($E5640&lt;=INDEX(DarlBindung,12),1,0))</f>
      </c>
      <c r="H5640" s="43">
        <f>IF($G5640=1,INDEX(DarlSollzins,12),INDEX(DarlAnschluss,12))</f>
      </c>
      <c r="I5640" s="43">
        <f>IF(INDEX(DarlBelegt,12)=0,0,IF(INDEX(DarlOhneTilgung,12)=1,IF(INDEX(DarlBindung,12)="",1,$G5640),IF($J5640&gt;0.005,1,0)))</f>
      </c>
      <c r="J5640" s="43">
        <f>IF($I5639=0,0,$R5639)</f>
      </c>
      <c r="K5640" s="43">
        <f>IF($I5640=0,0,IF(INDEX(DarlOhneTilgung,12)=1,0,IF(AND(INDEX(DarlTilgStart,12)&gt;0,$E5640=INDEX(DarlTilgStart,12)),$J5640*($H5640+INDEX(DarlTilgung,12))/100/12,IF(AND($G5640=0,$G5639=1),MAX($K5639,$J5640*($H5640+1)/100/12),$K5639))))</f>
      </c>
      <c r="L5640" s="43">
        <f>IF($I5640=0,0,$J5640*$H5640/100/12)</f>
      </c>
      <c r="M5640" s="43">
        <f>IF($I5640=0,0,IF(OR(INDEX(DarlOhneTilgung,12)=1,AND(INDEX(DarlTilgStart,12)&gt;0,$E5640&lt;INDEX(DarlTilgStart,12))),0,MIN(MAX(0,$K5640-$L5640),$J5640)))</f>
      </c>
      <c r="N5640" s="43">
        <f>IF($I5640=0,0,MIN(SUMIFS(SondBetrag,SondDarl,12,SondDatum,"&gt;="&amp;$E5640,SondDatum,"&lt;="&amp;EOMONTH($E5640,0)),$J5640-$M5640))</f>
      </c>
      <c r="O5640" s="43">
        <f>IF($I5640=0,0,INDEX(DarlErsatzRate,12))</f>
      </c>
      <c r="P5640" s="43">
        <f>IF($I5640=0,0,$Q5639*INDEX(DarlErsatzZins,12))</f>
      </c>
      <c r="Q5640" s="43">
        <f>IF($I5640=0,0,$Q5639+$P5640+$O5640)</f>
      </c>
      <c r="R5640" s="43">
        <f>IF($I5640=0,0,$J5640-$M5640-$N5640)</f>
      </c>
    </row>
    <row r="5641">
      <c r="A5641"/>
      <c r="B5641">
        <v>12</v>
      </c>
      <c r="C5641" s="43">
        <f>INDEX(DarlObj,12)</f>
      </c>
      <c r="D5641">
        <v>358</v>
      </c>
      <c r="E5641" s="51">
        <f>IF(INDEX(DarlBelegt,12)=0,0,EOMONTH(INDEX(DarlAuszahlung,12),357)+1)</f>
      </c>
      <c r="F5641" s="43">
        <f>IF($E5641=0,0,YEAR($E5641))</f>
      </c>
      <c r="G5641" s="43">
        <f>IF(INDEX(DarlBindung,12)="",1,IF($E5641&lt;=INDEX(DarlBindung,12),1,0))</f>
      </c>
      <c r="H5641" s="43">
        <f>IF($G5641=1,INDEX(DarlSollzins,12),INDEX(DarlAnschluss,12))</f>
      </c>
      <c r="I5641" s="43">
        <f>IF(INDEX(DarlBelegt,12)=0,0,IF(INDEX(DarlOhneTilgung,12)=1,IF(INDEX(DarlBindung,12)="",1,$G5641),IF($J5641&gt;0.005,1,0)))</f>
      </c>
      <c r="J5641" s="43">
        <f>IF($I5640=0,0,$R5640)</f>
      </c>
      <c r="K5641" s="43">
        <f>IF($I5641=0,0,IF(INDEX(DarlOhneTilgung,12)=1,0,IF(AND(INDEX(DarlTilgStart,12)&gt;0,$E5641=INDEX(DarlTilgStart,12)),$J5641*($H5641+INDEX(DarlTilgung,12))/100/12,IF(AND($G5641=0,$G5640=1),MAX($K5640,$J5641*($H5641+1)/100/12),$K5640))))</f>
      </c>
      <c r="L5641" s="43">
        <f>IF($I5641=0,0,$J5641*$H5641/100/12)</f>
      </c>
      <c r="M5641" s="43">
        <f>IF($I5641=0,0,IF(OR(INDEX(DarlOhneTilgung,12)=1,AND(INDEX(DarlTilgStart,12)&gt;0,$E5641&lt;INDEX(DarlTilgStart,12))),0,MIN(MAX(0,$K5641-$L5641),$J5641)))</f>
      </c>
      <c r="N5641" s="43">
        <f>IF($I5641=0,0,MIN(SUMIFS(SondBetrag,SondDarl,12,SondDatum,"&gt;="&amp;$E5641,SondDatum,"&lt;="&amp;EOMONTH($E5641,0)),$J5641-$M5641))</f>
      </c>
      <c r="O5641" s="43">
        <f>IF($I5641=0,0,INDEX(DarlErsatzRate,12))</f>
      </c>
      <c r="P5641" s="43">
        <f>IF($I5641=0,0,$Q5640*INDEX(DarlErsatzZins,12))</f>
      </c>
      <c r="Q5641" s="43">
        <f>IF($I5641=0,0,$Q5640+$P5641+$O5641)</f>
      </c>
      <c r="R5641" s="43">
        <f>IF($I5641=0,0,$J5641-$M5641-$N5641)</f>
      </c>
    </row>
    <row r="5642">
      <c r="A5642"/>
      <c r="B5642">
        <v>12</v>
      </c>
      <c r="C5642" s="43">
        <f>INDEX(DarlObj,12)</f>
      </c>
      <c r="D5642">
        <v>359</v>
      </c>
      <c r="E5642" s="51">
        <f>IF(INDEX(DarlBelegt,12)=0,0,EOMONTH(INDEX(DarlAuszahlung,12),358)+1)</f>
      </c>
      <c r="F5642" s="43">
        <f>IF($E5642=0,0,YEAR($E5642))</f>
      </c>
      <c r="G5642" s="43">
        <f>IF(INDEX(DarlBindung,12)="",1,IF($E5642&lt;=INDEX(DarlBindung,12),1,0))</f>
      </c>
      <c r="H5642" s="43">
        <f>IF($G5642=1,INDEX(DarlSollzins,12),INDEX(DarlAnschluss,12))</f>
      </c>
      <c r="I5642" s="43">
        <f>IF(INDEX(DarlBelegt,12)=0,0,IF(INDEX(DarlOhneTilgung,12)=1,IF(INDEX(DarlBindung,12)="",1,$G5642),IF($J5642&gt;0.005,1,0)))</f>
      </c>
      <c r="J5642" s="43">
        <f>IF($I5641=0,0,$R5641)</f>
      </c>
      <c r="K5642" s="43">
        <f>IF($I5642=0,0,IF(INDEX(DarlOhneTilgung,12)=1,0,IF(AND(INDEX(DarlTilgStart,12)&gt;0,$E5642=INDEX(DarlTilgStart,12)),$J5642*($H5642+INDEX(DarlTilgung,12))/100/12,IF(AND($G5642=0,$G5641=1),MAX($K5641,$J5642*($H5642+1)/100/12),$K5641))))</f>
      </c>
      <c r="L5642" s="43">
        <f>IF($I5642=0,0,$J5642*$H5642/100/12)</f>
      </c>
      <c r="M5642" s="43">
        <f>IF($I5642=0,0,IF(OR(INDEX(DarlOhneTilgung,12)=1,AND(INDEX(DarlTilgStart,12)&gt;0,$E5642&lt;INDEX(DarlTilgStart,12))),0,MIN(MAX(0,$K5642-$L5642),$J5642)))</f>
      </c>
      <c r="N5642" s="43">
        <f>IF($I5642=0,0,MIN(SUMIFS(SondBetrag,SondDarl,12,SondDatum,"&gt;="&amp;$E5642,SondDatum,"&lt;="&amp;EOMONTH($E5642,0)),$J5642-$M5642))</f>
      </c>
      <c r="O5642" s="43">
        <f>IF($I5642=0,0,INDEX(DarlErsatzRate,12))</f>
      </c>
      <c r="P5642" s="43">
        <f>IF($I5642=0,0,$Q5641*INDEX(DarlErsatzZins,12))</f>
      </c>
      <c r="Q5642" s="43">
        <f>IF($I5642=0,0,$Q5641+$P5642+$O5642)</f>
      </c>
      <c r="R5642" s="43">
        <f>IF($I5642=0,0,$J5642-$M5642-$N5642)</f>
      </c>
    </row>
    <row r="5643">
      <c r="A5643"/>
      <c r="B5643">
        <v>12</v>
      </c>
      <c r="C5643" s="43">
        <f>INDEX(DarlObj,12)</f>
      </c>
      <c r="D5643">
        <v>360</v>
      </c>
      <c r="E5643" s="51">
        <f>IF(INDEX(DarlBelegt,12)=0,0,EOMONTH(INDEX(DarlAuszahlung,12),359)+1)</f>
      </c>
      <c r="F5643" s="43">
        <f>IF($E5643=0,0,YEAR($E5643))</f>
      </c>
      <c r="G5643" s="43">
        <f>IF(INDEX(DarlBindung,12)="",1,IF($E5643&lt;=INDEX(DarlBindung,12),1,0))</f>
      </c>
      <c r="H5643" s="43">
        <f>IF($G5643=1,INDEX(DarlSollzins,12),INDEX(DarlAnschluss,12))</f>
      </c>
      <c r="I5643" s="43">
        <f>IF(INDEX(DarlBelegt,12)=0,0,IF(INDEX(DarlOhneTilgung,12)=1,IF(INDEX(DarlBindung,12)="",1,$G5643),IF($J5643&gt;0.005,1,0)))</f>
      </c>
      <c r="J5643" s="43">
        <f>IF($I5642=0,0,$R5642)</f>
      </c>
      <c r="K5643" s="43">
        <f>IF($I5643=0,0,IF(INDEX(DarlOhneTilgung,12)=1,0,IF(AND(INDEX(DarlTilgStart,12)&gt;0,$E5643=INDEX(DarlTilgStart,12)),$J5643*($H5643+INDEX(DarlTilgung,12))/100/12,IF(AND($G5643=0,$G5642=1),MAX($K5642,$J5643*($H5643+1)/100/12),$K5642))))</f>
      </c>
      <c r="L5643" s="43">
        <f>IF($I5643=0,0,$J5643*$H5643/100/12)</f>
      </c>
      <c r="M5643" s="43">
        <f>IF($I5643=0,0,IF(OR(INDEX(DarlOhneTilgung,12)=1,AND(INDEX(DarlTilgStart,12)&gt;0,$E5643&lt;INDEX(DarlTilgStart,12))),0,MIN(MAX(0,$K5643-$L5643),$J5643)))</f>
      </c>
      <c r="N5643" s="43">
        <f>IF($I5643=0,0,MIN(SUMIFS(SondBetrag,SondDarl,12,SondDatum,"&gt;="&amp;$E5643,SondDatum,"&lt;="&amp;EOMONTH($E5643,0)),$J5643-$M5643))</f>
      </c>
      <c r="O5643" s="43">
        <f>IF($I5643=0,0,INDEX(DarlErsatzRate,12))</f>
      </c>
      <c r="P5643" s="43">
        <f>IF($I5643=0,0,$Q5642*INDEX(DarlErsatzZins,12))</f>
      </c>
      <c r="Q5643" s="43">
        <f>IF($I5643=0,0,$Q5642+$P5643+$O5643)</f>
      </c>
      <c r="R5643" s="43">
        <f>IF($I5643=0,0,$J5643-$M5643-$N5643)</f>
      </c>
    </row>
    <row r="5644">
      <c r="A5644"/>
      <c r="B5644">
        <v>12</v>
      </c>
      <c r="C5644" s="43">
        <f>INDEX(DarlObj,12)</f>
      </c>
      <c r="D5644">
        <v>361</v>
      </c>
      <c r="E5644" s="51">
        <f>IF(INDEX(DarlBelegt,12)=0,0,EOMONTH(INDEX(DarlAuszahlung,12),360)+1)</f>
      </c>
      <c r="F5644" s="43">
        <f>IF($E5644=0,0,YEAR($E5644))</f>
      </c>
      <c r="G5644" s="43">
        <f>IF(INDEX(DarlBindung,12)="",1,IF($E5644&lt;=INDEX(DarlBindung,12),1,0))</f>
      </c>
      <c r="H5644" s="43">
        <f>IF($G5644=1,INDEX(DarlSollzins,12),INDEX(DarlAnschluss,12))</f>
      </c>
      <c r="I5644" s="43">
        <f>IF(INDEX(DarlBelegt,12)=0,0,IF(INDEX(DarlOhneTilgung,12)=1,IF(INDEX(DarlBindung,12)="",1,$G5644),IF($J5644&gt;0.005,1,0)))</f>
      </c>
      <c r="J5644" s="43">
        <f>IF($I5643=0,0,$R5643)</f>
      </c>
      <c r="K5644" s="43">
        <f>IF($I5644=0,0,IF(INDEX(DarlOhneTilgung,12)=1,0,IF(AND(INDEX(DarlTilgStart,12)&gt;0,$E5644=INDEX(DarlTilgStart,12)),$J5644*($H5644+INDEX(DarlTilgung,12))/100/12,IF(AND($G5644=0,$G5643=1),MAX($K5643,$J5644*($H5644+1)/100/12),$K5643))))</f>
      </c>
      <c r="L5644" s="43">
        <f>IF($I5644=0,0,$J5644*$H5644/100/12)</f>
      </c>
      <c r="M5644" s="43">
        <f>IF($I5644=0,0,IF(OR(INDEX(DarlOhneTilgung,12)=1,AND(INDEX(DarlTilgStart,12)&gt;0,$E5644&lt;INDEX(DarlTilgStart,12))),0,MIN(MAX(0,$K5644-$L5644),$J5644)))</f>
      </c>
      <c r="N5644" s="43">
        <f>IF($I5644=0,0,MIN(SUMIFS(SondBetrag,SondDarl,12,SondDatum,"&gt;="&amp;$E5644,SondDatum,"&lt;="&amp;EOMONTH($E5644,0)),$J5644-$M5644))</f>
      </c>
      <c r="O5644" s="43">
        <f>IF($I5644=0,0,INDEX(DarlErsatzRate,12))</f>
      </c>
      <c r="P5644" s="43">
        <f>IF($I5644=0,0,$Q5643*INDEX(DarlErsatzZins,12))</f>
      </c>
      <c r="Q5644" s="43">
        <f>IF($I5644=0,0,$Q5643+$P5644+$O5644)</f>
      </c>
      <c r="R5644" s="43">
        <f>IF($I5644=0,0,$J5644-$M5644-$N5644)</f>
      </c>
    </row>
    <row r="5645">
      <c r="A5645"/>
      <c r="B5645">
        <v>12</v>
      </c>
      <c r="C5645" s="43">
        <f>INDEX(DarlObj,12)</f>
      </c>
      <c r="D5645">
        <v>362</v>
      </c>
      <c r="E5645" s="51">
        <f>IF(INDEX(DarlBelegt,12)=0,0,EOMONTH(INDEX(DarlAuszahlung,12),361)+1)</f>
      </c>
      <c r="F5645" s="43">
        <f>IF($E5645=0,0,YEAR($E5645))</f>
      </c>
      <c r="G5645" s="43">
        <f>IF(INDEX(DarlBindung,12)="",1,IF($E5645&lt;=INDEX(DarlBindung,12),1,0))</f>
      </c>
      <c r="H5645" s="43">
        <f>IF($G5645=1,INDEX(DarlSollzins,12),INDEX(DarlAnschluss,12))</f>
      </c>
      <c r="I5645" s="43">
        <f>IF(INDEX(DarlBelegt,12)=0,0,IF(INDEX(DarlOhneTilgung,12)=1,IF(INDEX(DarlBindung,12)="",1,$G5645),IF($J5645&gt;0.005,1,0)))</f>
      </c>
      <c r="J5645" s="43">
        <f>IF($I5644=0,0,$R5644)</f>
      </c>
      <c r="K5645" s="43">
        <f>IF($I5645=0,0,IF(INDEX(DarlOhneTilgung,12)=1,0,IF(AND(INDEX(DarlTilgStart,12)&gt;0,$E5645=INDEX(DarlTilgStart,12)),$J5645*($H5645+INDEX(DarlTilgung,12))/100/12,IF(AND($G5645=0,$G5644=1),MAX($K5644,$J5645*($H5645+1)/100/12),$K5644))))</f>
      </c>
      <c r="L5645" s="43">
        <f>IF($I5645=0,0,$J5645*$H5645/100/12)</f>
      </c>
      <c r="M5645" s="43">
        <f>IF($I5645=0,0,IF(OR(INDEX(DarlOhneTilgung,12)=1,AND(INDEX(DarlTilgStart,12)&gt;0,$E5645&lt;INDEX(DarlTilgStart,12))),0,MIN(MAX(0,$K5645-$L5645),$J5645)))</f>
      </c>
      <c r="N5645" s="43">
        <f>IF($I5645=0,0,MIN(SUMIFS(SondBetrag,SondDarl,12,SondDatum,"&gt;="&amp;$E5645,SondDatum,"&lt;="&amp;EOMONTH($E5645,0)),$J5645-$M5645))</f>
      </c>
      <c r="O5645" s="43">
        <f>IF($I5645=0,0,INDEX(DarlErsatzRate,12))</f>
      </c>
      <c r="P5645" s="43">
        <f>IF($I5645=0,0,$Q5644*INDEX(DarlErsatzZins,12))</f>
      </c>
      <c r="Q5645" s="43">
        <f>IF($I5645=0,0,$Q5644+$P5645+$O5645)</f>
      </c>
      <c r="R5645" s="43">
        <f>IF($I5645=0,0,$J5645-$M5645-$N5645)</f>
      </c>
    </row>
    <row r="5646">
      <c r="A5646"/>
      <c r="B5646">
        <v>12</v>
      </c>
      <c r="C5646" s="43">
        <f>INDEX(DarlObj,12)</f>
      </c>
      <c r="D5646">
        <v>363</v>
      </c>
      <c r="E5646" s="51">
        <f>IF(INDEX(DarlBelegt,12)=0,0,EOMONTH(INDEX(DarlAuszahlung,12),362)+1)</f>
      </c>
      <c r="F5646" s="43">
        <f>IF($E5646=0,0,YEAR($E5646))</f>
      </c>
      <c r="G5646" s="43">
        <f>IF(INDEX(DarlBindung,12)="",1,IF($E5646&lt;=INDEX(DarlBindung,12),1,0))</f>
      </c>
      <c r="H5646" s="43">
        <f>IF($G5646=1,INDEX(DarlSollzins,12),INDEX(DarlAnschluss,12))</f>
      </c>
      <c r="I5646" s="43">
        <f>IF(INDEX(DarlBelegt,12)=0,0,IF(INDEX(DarlOhneTilgung,12)=1,IF(INDEX(DarlBindung,12)="",1,$G5646),IF($J5646&gt;0.005,1,0)))</f>
      </c>
      <c r="J5646" s="43">
        <f>IF($I5645=0,0,$R5645)</f>
      </c>
      <c r="K5646" s="43">
        <f>IF($I5646=0,0,IF(INDEX(DarlOhneTilgung,12)=1,0,IF(AND(INDEX(DarlTilgStart,12)&gt;0,$E5646=INDEX(DarlTilgStart,12)),$J5646*($H5646+INDEX(DarlTilgung,12))/100/12,IF(AND($G5646=0,$G5645=1),MAX($K5645,$J5646*($H5646+1)/100/12),$K5645))))</f>
      </c>
      <c r="L5646" s="43">
        <f>IF($I5646=0,0,$J5646*$H5646/100/12)</f>
      </c>
      <c r="M5646" s="43">
        <f>IF($I5646=0,0,IF(OR(INDEX(DarlOhneTilgung,12)=1,AND(INDEX(DarlTilgStart,12)&gt;0,$E5646&lt;INDEX(DarlTilgStart,12))),0,MIN(MAX(0,$K5646-$L5646),$J5646)))</f>
      </c>
      <c r="N5646" s="43">
        <f>IF($I5646=0,0,MIN(SUMIFS(SondBetrag,SondDarl,12,SondDatum,"&gt;="&amp;$E5646,SondDatum,"&lt;="&amp;EOMONTH($E5646,0)),$J5646-$M5646))</f>
      </c>
      <c r="O5646" s="43">
        <f>IF($I5646=0,0,INDEX(DarlErsatzRate,12))</f>
      </c>
      <c r="P5646" s="43">
        <f>IF($I5646=0,0,$Q5645*INDEX(DarlErsatzZins,12))</f>
      </c>
      <c r="Q5646" s="43">
        <f>IF($I5646=0,0,$Q5645+$P5646+$O5646)</f>
      </c>
      <c r="R5646" s="43">
        <f>IF($I5646=0,0,$J5646-$M5646-$N5646)</f>
      </c>
    </row>
    <row r="5647">
      <c r="A5647"/>
      <c r="B5647">
        <v>12</v>
      </c>
      <c r="C5647" s="43">
        <f>INDEX(DarlObj,12)</f>
      </c>
      <c r="D5647">
        <v>364</v>
      </c>
      <c r="E5647" s="51">
        <f>IF(INDEX(DarlBelegt,12)=0,0,EOMONTH(INDEX(DarlAuszahlung,12),363)+1)</f>
      </c>
      <c r="F5647" s="43">
        <f>IF($E5647=0,0,YEAR($E5647))</f>
      </c>
      <c r="G5647" s="43">
        <f>IF(INDEX(DarlBindung,12)="",1,IF($E5647&lt;=INDEX(DarlBindung,12),1,0))</f>
      </c>
      <c r="H5647" s="43">
        <f>IF($G5647=1,INDEX(DarlSollzins,12),INDEX(DarlAnschluss,12))</f>
      </c>
      <c r="I5647" s="43">
        <f>IF(INDEX(DarlBelegt,12)=0,0,IF(INDEX(DarlOhneTilgung,12)=1,IF(INDEX(DarlBindung,12)="",1,$G5647),IF($J5647&gt;0.005,1,0)))</f>
      </c>
      <c r="J5647" s="43">
        <f>IF($I5646=0,0,$R5646)</f>
      </c>
      <c r="K5647" s="43">
        <f>IF($I5647=0,0,IF(INDEX(DarlOhneTilgung,12)=1,0,IF(AND(INDEX(DarlTilgStart,12)&gt;0,$E5647=INDEX(DarlTilgStart,12)),$J5647*($H5647+INDEX(DarlTilgung,12))/100/12,IF(AND($G5647=0,$G5646=1),MAX($K5646,$J5647*($H5647+1)/100/12),$K5646))))</f>
      </c>
      <c r="L5647" s="43">
        <f>IF($I5647=0,0,$J5647*$H5647/100/12)</f>
      </c>
      <c r="M5647" s="43">
        <f>IF($I5647=0,0,IF(OR(INDEX(DarlOhneTilgung,12)=1,AND(INDEX(DarlTilgStart,12)&gt;0,$E5647&lt;INDEX(DarlTilgStart,12))),0,MIN(MAX(0,$K5647-$L5647),$J5647)))</f>
      </c>
      <c r="N5647" s="43">
        <f>IF($I5647=0,0,MIN(SUMIFS(SondBetrag,SondDarl,12,SondDatum,"&gt;="&amp;$E5647,SondDatum,"&lt;="&amp;EOMONTH($E5647,0)),$J5647-$M5647))</f>
      </c>
      <c r="O5647" s="43">
        <f>IF($I5647=0,0,INDEX(DarlErsatzRate,12))</f>
      </c>
      <c r="P5647" s="43">
        <f>IF($I5647=0,0,$Q5646*INDEX(DarlErsatzZins,12))</f>
      </c>
      <c r="Q5647" s="43">
        <f>IF($I5647=0,0,$Q5646+$P5647+$O5647)</f>
      </c>
      <c r="R5647" s="43">
        <f>IF($I5647=0,0,$J5647-$M5647-$N5647)</f>
      </c>
    </row>
    <row r="5648">
      <c r="A5648"/>
      <c r="B5648">
        <v>12</v>
      </c>
      <c r="C5648" s="43">
        <f>INDEX(DarlObj,12)</f>
      </c>
      <c r="D5648">
        <v>365</v>
      </c>
      <c r="E5648" s="51">
        <f>IF(INDEX(DarlBelegt,12)=0,0,EOMONTH(INDEX(DarlAuszahlung,12),364)+1)</f>
      </c>
      <c r="F5648" s="43">
        <f>IF($E5648=0,0,YEAR($E5648))</f>
      </c>
      <c r="G5648" s="43">
        <f>IF(INDEX(DarlBindung,12)="",1,IF($E5648&lt;=INDEX(DarlBindung,12),1,0))</f>
      </c>
      <c r="H5648" s="43">
        <f>IF($G5648=1,INDEX(DarlSollzins,12),INDEX(DarlAnschluss,12))</f>
      </c>
      <c r="I5648" s="43">
        <f>IF(INDEX(DarlBelegt,12)=0,0,IF(INDEX(DarlOhneTilgung,12)=1,IF(INDEX(DarlBindung,12)="",1,$G5648),IF($J5648&gt;0.005,1,0)))</f>
      </c>
      <c r="J5648" s="43">
        <f>IF($I5647=0,0,$R5647)</f>
      </c>
      <c r="K5648" s="43">
        <f>IF($I5648=0,0,IF(INDEX(DarlOhneTilgung,12)=1,0,IF(AND(INDEX(DarlTilgStart,12)&gt;0,$E5648=INDEX(DarlTilgStart,12)),$J5648*($H5648+INDEX(DarlTilgung,12))/100/12,IF(AND($G5648=0,$G5647=1),MAX($K5647,$J5648*($H5648+1)/100/12),$K5647))))</f>
      </c>
      <c r="L5648" s="43">
        <f>IF($I5648=0,0,$J5648*$H5648/100/12)</f>
      </c>
      <c r="M5648" s="43">
        <f>IF($I5648=0,0,IF(OR(INDEX(DarlOhneTilgung,12)=1,AND(INDEX(DarlTilgStart,12)&gt;0,$E5648&lt;INDEX(DarlTilgStart,12))),0,MIN(MAX(0,$K5648-$L5648),$J5648)))</f>
      </c>
      <c r="N5648" s="43">
        <f>IF($I5648=0,0,MIN(SUMIFS(SondBetrag,SondDarl,12,SondDatum,"&gt;="&amp;$E5648,SondDatum,"&lt;="&amp;EOMONTH($E5648,0)),$J5648-$M5648))</f>
      </c>
      <c r="O5648" s="43">
        <f>IF($I5648=0,0,INDEX(DarlErsatzRate,12))</f>
      </c>
      <c r="P5648" s="43">
        <f>IF($I5648=0,0,$Q5647*INDEX(DarlErsatzZins,12))</f>
      </c>
      <c r="Q5648" s="43">
        <f>IF($I5648=0,0,$Q5647+$P5648+$O5648)</f>
      </c>
      <c r="R5648" s="43">
        <f>IF($I5648=0,0,$J5648-$M5648-$N5648)</f>
      </c>
    </row>
    <row r="5649">
      <c r="A5649"/>
      <c r="B5649">
        <v>12</v>
      </c>
      <c r="C5649" s="43">
        <f>INDEX(DarlObj,12)</f>
      </c>
      <c r="D5649">
        <v>366</v>
      </c>
      <c r="E5649" s="51">
        <f>IF(INDEX(DarlBelegt,12)=0,0,EOMONTH(INDEX(DarlAuszahlung,12),365)+1)</f>
      </c>
      <c r="F5649" s="43">
        <f>IF($E5649=0,0,YEAR($E5649))</f>
      </c>
      <c r="G5649" s="43">
        <f>IF(INDEX(DarlBindung,12)="",1,IF($E5649&lt;=INDEX(DarlBindung,12),1,0))</f>
      </c>
      <c r="H5649" s="43">
        <f>IF($G5649=1,INDEX(DarlSollzins,12),INDEX(DarlAnschluss,12))</f>
      </c>
      <c r="I5649" s="43">
        <f>IF(INDEX(DarlBelegt,12)=0,0,IF(INDEX(DarlOhneTilgung,12)=1,IF(INDEX(DarlBindung,12)="",1,$G5649),IF($J5649&gt;0.005,1,0)))</f>
      </c>
      <c r="J5649" s="43">
        <f>IF($I5648=0,0,$R5648)</f>
      </c>
      <c r="K5649" s="43">
        <f>IF($I5649=0,0,IF(INDEX(DarlOhneTilgung,12)=1,0,IF(AND(INDEX(DarlTilgStart,12)&gt;0,$E5649=INDEX(DarlTilgStart,12)),$J5649*($H5649+INDEX(DarlTilgung,12))/100/12,IF(AND($G5649=0,$G5648=1),MAX($K5648,$J5649*($H5649+1)/100/12),$K5648))))</f>
      </c>
      <c r="L5649" s="43">
        <f>IF($I5649=0,0,$J5649*$H5649/100/12)</f>
      </c>
      <c r="M5649" s="43">
        <f>IF($I5649=0,0,IF(OR(INDEX(DarlOhneTilgung,12)=1,AND(INDEX(DarlTilgStart,12)&gt;0,$E5649&lt;INDEX(DarlTilgStart,12))),0,MIN(MAX(0,$K5649-$L5649),$J5649)))</f>
      </c>
      <c r="N5649" s="43">
        <f>IF($I5649=0,0,MIN(SUMIFS(SondBetrag,SondDarl,12,SondDatum,"&gt;="&amp;$E5649,SondDatum,"&lt;="&amp;EOMONTH($E5649,0)),$J5649-$M5649))</f>
      </c>
      <c r="O5649" s="43">
        <f>IF($I5649=0,0,INDEX(DarlErsatzRate,12))</f>
      </c>
      <c r="P5649" s="43">
        <f>IF($I5649=0,0,$Q5648*INDEX(DarlErsatzZins,12))</f>
      </c>
      <c r="Q5649" s="43">
        <f>IF($I5649=0,0,$Q5648+$P5649+$O5649)</f>
      </c>
      <c r="R5649" s="43">
        <f>IF($I5649=0,0,$J5649-$M5649-$N5649)</f>
      </c>
    </row>
    <row r="5650">
      <c r="A5650"/>
      <c r="B5650">
        <v>12</v>
      </c>
      <c r="C5650" s="43">
        <f>INDEX(DarlObj,12)</f>
      </c>
      <c r="D5650">
        <v>367</v>
      </c>
      <c r="E5650" s="51">
        <f>IF(INDEX(DarlBelegt,12)=0,0,EOMONTH(INDEX(DarlAuszahlung,12),366)+1)</f>
      </c>
      <c r="F5650" s="43">
        <f>IF($E5650=0,0,YEAR($E5650))</f>
      </c>
      <c r="G5650" s="43">
        <f>IF(INDEX(DarlBindung,12)="",1,IF($E5650&lt;=INDEX(DarlBindung,12),1,0))</f>
      </c>
      <c r="H5650" s="43">
        <f>IF($G5650=1,INDEX(DarlSollzins,12),INDEX(DarlAnschluss,12))</f>
      </c>
      <c r="I5650" s="43">
        <f>IF(INDEX(DarlBelegt,12)=0,0,IF(INDEX(DarlOhneTilgung,12)=1,IF(INDEX(DarlBindung,12)="",1,$G5650),IF($J5650&gt;0.005,1,0)))</f>
      </c>
      <c r="J5650" s="43">
        <f>IF($I5649=0,0,$R5649)</f>
      </c>
      <c r="K5650" s="43">
        <f>IF($I5650=0,0,IF(INDEX(DarlOhneTilgung,12)=1,0,IF(AND(INDEX(DarlTilgStart,12)&gt;0,$E5650=INDEX(DarlTilgStart,12)),$J5650*($H5650+INDEX(DarlTilgung,12))/100/12,IF(AND($G5650=0,$G5649=1),MAX($K5649,$J5650*($H5650+1)/100/12),$K5649))))</f>
      </c>
      <c r="L5650" s="43">
        <f>IF($I5650=0,0,$J5650*$H5650/100/12)</f>
      </c>
      <c r="M5650" s="43">
        <f>IF($I5650=0,0,IF(OR(INDEX(DarlOhneTilgung,12)=1,AND(INDEX(DarlTilgStart,12)&gt;0,$E5650&lt;INDEX(DarlTilgStart,12))),0,MIN(MAX(0,$K5650-$L5650),$J5650)))</f>
      </c>
      <c r="N5650" s="43">
        <f>IF($I5650=0,0,MIN(SUMIFS(SondBetrag,SondDarl,12,SondDatum,"&gt;="&amp;$E5650,SondDatum,"&lt;="&amp;EOMONTH($E5650,0)),$J5650-$M5650))</f>
      </c>
      <c r="O5650" s="43">
        <f>IF($I5650=0,0,INDEX(DarlErsatzRate,12))</f>
      </c>
      <c r="P5650" s="43">
        <f>IF($I5650=0,0,$Q5649*INDEX(DarlErsatzZins,12))</f>
      </c>
      <c r="Q5650" s="43">
        <f>IF($I5650=0,0,$Q5649+$P5650+$O5650)</f>
      </c>
      <c r="R5650" s="43">
        <f>IF($I5650=0,0,$J5650-$M5650-$N5650)</f>
      </c>
    </row>
    <row r="5651">
      <c r="A5651"/>
      <c r="B5651">
        <v>12</v>
      </c>
      <c r="C5651" s="43">
        <f>INDEX(DarlObj,12)</f>
      </c>
      <c r="D5651">
        <v>368</v>
      </c>
      <c r="E5651" s="51">
        <f>IF(INDEX(DarlBelegt,12)=0,0,EOMONTH(INDEX(DarlAuszahlung,12),367)+1)</f>
      </c>
      <c r="F5651" s="43">
        <f>IF($E5651=0,0,YEAR($E5651))</f>
      </c>
      <c r="G5651" s="43">
        <f>IF(INDEX(DarlBindung,12)="",1,IF($E5651&lt;=INDEX(DarlBindung,12),1,0))</f>
      </c>
      <c r="H5651" s="43">
        <f>IF($G5651=1,INDEX(DarlSollzins,12),INDEX(DarlAnschluss,12))</f>
      </c>
      <c r="I5651" s="43">
        <f>IF(INDEX(DarlBelegt,12)=0,0,IF(INDEX(DarlOhneTilgung,12)=1,IF(INDEX(DarlBindung,12)="",1,$G5651),IF($J5651&gt;0.005,1,0)))</f>
      </c>
      <c r="J5651" s="43">
        <f>IF($I5650=0,0,$R5650)</f>
      </c>
      <c r="K5651" s="43">
        <f>IF($I5651=0,0,IF(INDEX(DarlOhneTilgung,12)=1,0,IF(AND(INDEX(DarlTilgStart,12)&gt;0,$E5651=INDEX(DarlTilgStart,12)),$J5651*($H5651+INDEX(DarlTilgung,12))/100/12,IF(AND($G5651=0,$G5650=1),MAX($K5650,$J5651*($H5651+1)/100/12),$K5650))))</f>
      </c>
      <c r="L5651" s="43">
        <f>IF($I5651=0,0,$J5651*$H5651/100/12)</f>
      </c>
      <c r="M5651" s="43">
        <f>IF($I5651=0,0,IF(OR(INDEX(DarlOhneTilgung,12)=1,AND(INDEX(DarlTilgStart,12)&gt;0,$E5651&lt;INDEX(DarlTilgStart,12))),0,MIN(MAX(0,$K5651-$L5651),$J5651)))</f>
      </c>
      <c r="N5651" s="43">
        <f>IF($I5651=0,0,MIN(SUMIFS(SondBetrag,SondDarl,12,SondDatum,"&gt;="&amp;$E5651,SondDatum,"&lt;="&amp;EOMONTH($E5651,0)),$J5651-$M5651))</f>
      </c>
      <c r="O5651" s="43">
        <f>IF($I5651=0,0,INDEX(DarlErsatzRate,12))</f>
      </c>
      <c r="P5651" s="43">
        <f>IF($I5651=0,0,$Q5650*INDEX(DarlErsatzZins,12))</f>
      </c>
      <c r="Q5651" s="43">
        <f>IF($I5651=0,0,$Q5650+$P5651+$O5651)</f>
      </c>
      <c r="R5651" s="43">
        <f>IF($I5651=0,0,$J5651-$M5651-$N5651)</f>
      </c>
    </row>
    <row r="5652">
      <c r="A5652"/>
      <c r="B5652">
        <v>12</v>
      </c>
      <c r="C5652" s="43">
        <f>INDEX(DarlObj,12)</f>
      </c>
      <c r="D5652">
        <v>369</v>
      </c>
      <c r="E5652" s="51">
        <f>IF(INDEX(DarlBelegt,12)=0,0,EOMONTH(INDEX(DarlAuszahlung,12),368)+1)</f>
      </c>
      <c r="F5652" s="43">
        <f>IF($E5652=0,0,YEAR($E5652))</f>
      </c>
      <c r="G5652" s="43">
        <f>IF(INDEX(DarlBindung,12)="",1,IF($E5652&lt;=INDEX(DarlBindung,12),1,0))</f>
      </c>
      <c r="H5652" s="43">
        <f>IF($G5652=1,INDEX(DarlSollzins,12),INDEX(DarlAnschluss,12))</f>
      </c>
      <c r="I5652" s="43">
        <f>IF(INDEX(DarlBelegt,12)=0,0,IF(INDEX(DarlOhneTilgung,12)=1,IF(INDEX(DarlBindung,12)="",1,$G5652),IF($J5652&gt;0.005,1,0)))</f>
      </c>
      <c r="J5652" s="43">
        <f>IF($I5651=0,0,$R5651)</f>
      </c>
      <c r="K5652" s="43">
        <f>IF($I5652=0,0,IF(INDEX(DarlOhneTilgung,12)=1,0,IF(AND(INDEX(DarlTilgStart,12)&gt;0,$E5652=INDEX(DarlTilgStart,12)),$J5652*($H5652+INDEX(DarlTilgung,12))/100/12,IF(AND($G5652=0,$G5651=1),MAX($K5651,$J5652*($H5652+1)/100/12),$K5651))))</f>
      </c>
      <c r="L5652" s="43">
        <f>IF($I5652=0,0,$J5652*$H5652/100/12)</f>
      </c>
      <c r="M5652" s="43">
        <f>IF($I5652=0,0,IF(OR(INDEX(DarlOhneTilgung,12)=1,AND(INDEX(DarlTilgStart,12)&gt;0,$E5652&lt;INDEX(DarlTilgStart,12))),0,MIN(MAX(0,$K5652-$L5652),$J5652)))</f>
      </c>
      <c r="N5652" s="43">
        <f>IF($I5652=0,0,MIN(SUMIFS(SondBetrag,SondDarl,12,SondDatum,"&gt;="&amp;$E5652,SondDatum,"&lt;="&amp;EOMONTH($E5652,0)),$J5652-$M5652))</f>
      </c>
      <c r="O5652" s="43">
        <f>IF($I5652=0,0,INDEX(DarlErsatzRate,12))</f>
      </c>
      <c r="P5652" s="43">
        <f>IF($I5652=0,0,$Q5651*INDEX(DarlErsatzZins,12))</f>
      </c>
      <c r="Q5652" s="43">
        <f>IF($I5652=0,0,$Q5651+$P5652+$O5652)</f>
      </c>
      <c r="R5652" s="43">
        <f>IF($I5652=0,0,$J5652-$M5652-$N5652)</f>
      </c>
    </row>
    <row r="5653">
      <c r="A5653"/>
      <c r="B5653">
        <v>12</v>
      </c>
      <c r="C5653" s="43">
        <f>INDEX(DarlObj,12)</f>
      </c>
      <c r="D5653">
        <v>370</v>
      </c>
      <c r="E5653" s="51">
        <f>IF(INDEX(DarlBelegt,12)=0,0,EOMONTH(INDEX(DarlAuszahlung,12),369)+1)</f>
      </c>
      <c r="F5653" s="43">
        <f>IF($E5653=0,0,YEAR($E5653))</f>
      </c>
      <c r="G5653" s="43">
        <f>IF(INDEX(DarlBindung,12)="",1,IF($E5653&lt;=INDEX(DarlBindung,12),1,0))</f>
      </c>
      <c r="H5653" s="43">
        <f>IF($G5653=1,INDEX(DarlSollzins,12),INDEX(DarlAnschluss,12))</f>
      </c>
      <c r="I5653" s="43">
        <f>IF(INDEX(DarlBelegt,12)=0,0,IF(INDEX(DarlOhneTilgung,12)=1,IF(INDEX(DarlBindung,12)="",1,$G5653),IF($J5653&gt;0.005,1,0)))</f>
      </c>
      <c r="J5653" s="43">
        <f>IF($I5652=0,0,$R5652)</f>
      </c>
      <c r="K5653" s="43">
        <f>IF($I5653=0,0,IF(INDEX(DarlOhneTilgung,12)=1,0,IF(AND(INDEX(DarlTilgStart,12)&gt;0,$E5653=INDEX(DarlTilgStart,12)),$J5653*($H5653+INDEX(DarlTilgung,12))/100/12,IF(AND($G5653=0,$G5652=1),MAX($K5652,$J5653*($H5653+1)/100/12),$K5652))))</f>
      </c>
      <c r="L5653" s="43">
        <f>IF($I5653=0,0,$J5653*$H5653/100/12)</f>
      </c>
      <c r="M5653" s="43">
        <f>IF($I5653=0,0,IF(OR(INDEX(DarlOhneTilgung,12)=1,AND(INDEX(DarlTilgStart,12)&gt;0,$E5653&lt;INDEX(DarlTilgStart,12))),0,MIN(MAX(0,$K5653-$L5653),$J5653)))</f>
      </c>
      <c r="N5653" s="43">
        <f>IF($I5653=0,0,MIN(SUMIFS(SondBetrag,SondDarl,12,SondDatum,"&gt;="&amp;$E5653,SondDatum,"&lt;="&amp;EOMONTH($E5653,0)),$J5653-$M5653))</f>
      </c>
      <c r="O5653" s="43">
        <f>IF($I5653=0,0,INDEX(DarlErsatzRate,12))</f>
      </c>
      <c r="P5653" s="43">
        <f>IF($I5653=0,0,$Q5652*INDEX(DarlErsatzZins,12))</f>
      </c>
      <c r="Q5653" s="43">
        <f>IF($I5653=0,0,$Q5652+$P5653+$O5653)</f>
      </c>
      <c r="R5653" s="43">
        <f>IF($I5653=0,0,$J5653-$M5653-$N5653)</f>
      </c>
    </row>
    <row r="5654">
      <c r="A5654"/>
      <c r="B5654">
        <v>12</v>
      </c>
      <c r="C5654" s="43">
        <f>INDEX(DarlObj,12)</f>
      </c>
      <c r="D5654">
        <v>371</v>
      </c>
      <c r="E5654" s="51">
        <f>IF(INDEX(DarlBelegt,12)=0,0,EOMONTH(INDEX(DarlAuszahlung,12),370)+1)</f>
      </c>
      <c r="F5654" s="43">
        <f>IF($E5654=0,0,YEAR($E5654))</f>
      </c>
      <c r="G5654" s="43">
        <f>IF(INDEX(DarlBindung,12)="",1,IF($E5654&lt;=INDEX(DarlBindung,12),1,0))</f>
      </c>
      <c r="H5654" s="43">
        <f>IF($G5654=1,INDEX(DarlSollzins,12),INDEX(DarlAnschluss,12))</f>
      </c>
      <c r="I5654" s="43">
        <f>IF(INDEX(DarlBelegt,12)=0,0,IF(INDEX(DarlOhneTilgung,12)=1,IF(INDEX(DarlBindung,12)="",1,$G5654),IF($J5654&gt;0.005,1,0)))</f>
      </c>
      <c r="J5654" s="43">
        <f>IF($I5653=0,0,$R5653)</f>
      </c>
      <c r="K5654" s="43">
        <f>IF($I5654=0,0,IF(INDEX(DarlOhneTilgung,12)=1,0,IF(AND(INDEX(DarlTilgStart,12)&gt;0,$E5654=INDEX(DarlTilgStart,12)),$J5654*($H5654+INDEX(DarlTilgung,12))/100/12,IF(AND($G5654=0,$G5653=1),MAX($K5653,$J5654*($H5654+1)/100/12),$K5653))))</f>
      </c>
      <c r="L5654" s="43">
        <f>IF($I5654=0,0,$J5654*$H5654/100/12)</f>
      </c>
      <c r="M5654" s="43">
        <f>IF($I5654=0,0,IF(OR(INDEX(DarlOhneTilgung,12)=1,AND(INDEX(DarlTilgStart,12)&gt;0,$E5654&lt;INDEX(DarlTilgStart,12))),0,MIN(MAX(0,$K5654-$L5654),$J5654)))</f>
      </c>
      <c r="N5654" s="43">
        <f>IF($I5654=0,0,MIN(SUMIFS(SondBetrag,SondDarl,12,SondDatum,"&gt;="&amp;$E5654,SondDatum,"&lt;="&amp;EOMONTH($E5654,0)),$J5654-$M5654))</f>
      </c>
      <c r="O5654" s="43">
        <f>IF($I5654=0,0,INDEX(DarlErsatzRate,12))</f>
      </c>
      <c r="P5654" s="43">
        <f>IF($I5654=0,0,$Q5653*INDEX(DarlErsatzZins,12))</f>
      </c>
      <c r="Q5654" s="43">
        <f>IF($I5654=0,0,$Q5653+$P5654+$O5654)</f>
      </c>
      <c r="R5654" s="43">
        <f>IF($I5654=0,0,$J5654-$M5654-$N5654)</f>
      </c>
    </row>
    <row r="5655">
      <c r="A5655"/>
      <c r="B5655">
        <v>12</v>
      </c>
      <c r="C5655" s="43">
        <f>INDEX(DarlObj,12)</f>
      </c>
      <c r="D5655">
        <v>372</v>
      </c>
      <c r="E5655" s="51">
        <f>IF(INDEX(DarlBelegt,12)=0,0,EOMONTH(INDEX(DarlAuszahlung,12),371)+1)</f>
      </c>
      <c r="F5655" s="43">
        <f>IF($E5655=0,0,YEAR($E5655))</f>
      </c>
      <c r="G5655" s="43">
        <f>IF(INDEX(DarlBindung,12)="",1,IF($E5655&lt;=INDEX(DarlBindung,12),1,0))</f>
      </c>
      <c r="H5655" s="43">
        <f>IF($G5655=1,INDEX(DarlSollzins,12),INDEX(DarlAnschluss,12))</f>
      </c>
      <c r="I5655" s="43">
        <f>IF(INDEX(DarlBelegt,12)=0,0,IF(INDEX(DarlOhneTilgung,12)=1,IF(INDEX(DarlBindung,12)="",1,$G5655),IF($J5655&gt;0.005,1,0)))</f>
      </c>
      <c r="J5655" s="43">
        <f>IF($I5654=0,0,$R5654)</f>
      </c>
      <c r="K5655" s="43">
        <f>IF($I5655=0,0,IF(INDEX(DarlOhneTilgung,12)=1,0,IF(AND(INDEX(DarlTilgStart,12)&gt;0,$E5655=INDEX(DarlTilgStart,12)),$J5655*($H5655+INDEX(DarlTilgung,12))/100/12,IF(AND($G5655=0,$G5654=1),MAX($K5654,$J5655*($H5655+1)/100/12),$K5654))))</f>
      </c>
      <c r="L5655" s="43">
        <f>IF($I5655=0,0,$J5655*$H5655/100/12)</f>
      </c>
      <c r="M5655" s="43">
        <f>IF($I5655=0,0,IF(OR(INDEX(DarlOhneTilgung,12)=1,AND(INDEX(DarlTilgStart,12)&gt;0,$E5655&lt;INDEX(DarlTilgStart,12))),0,MIN(MAX(0,$K5655-$L5655),$J5655)))</f>
      </c>
      <c r="N5655" s="43">
        <f>IF($I5655=0,0,MIN(SUMIFS(SondBetrag,SondDarl,12,SondDatum,"&gt;="&amp;$E5655,SondDatum,"&lt;="&amp;EOMONTH($E5655,0)),$J5655-$M5655))</f>
      </c>
      <c r="O5655" s="43">
        <f>IF($I5655=0,0,INDEX(DarlErsatzRate,12))</f>
      </c>
      <c r="P5655" s="43">
        <f>IF($I5655=0,0,$Q5654*INDEX(DarlErsatzZins,12))</f>
      </c>
      <c r="Q5655" s="43">
        <f>IF($I5655=0,0,$Q5654+$P5655+$O5655)</f>
      </c>
      <c r="R5655" s="43">
        <f>IF($I5655=0,0,$J5655-$M5655-$N5655)</f>
      </c>
    </row>
    <row r="5656">
      <c r="A5656"/>
      <c r="B5656">
        <v>12</v>
      </c>
      <c r="C5656" s="43">
        <f>INDEX(DarlObj,12)</f>
      </c>
      <c r="D5656">
        <v>373</v>
      </c>
      <c r="E5656" s="51">
        <f>IF(INDEX(DarlBelegt,12)=0,0,EOMONTH(INDEX(DarlAuszahlung,12),372)+1)</f>
      </c>
      <c r="F5656" s="43">
        <f>IF($E5656=0,0,YEAR($E5656))</f>
      </c>
      <c r="G5656" s="43">
        <f>IF(INDEX(DarlBindung,12)="",1,IF($E5656&lt;=INDEX(DarlBindung,12),1,0))</f>
      </c>
      <c r="H5656" s="43">
        <f>IF($G5656=1,INDEX(DarlSollzins,12),INDEX(DarlAnschluss,12))</f>
      </c>
      <c r="I5656" s="43">
        <f>IF(INDEX(DarlBelegt,12)=0,0,IF(INDEX(DarlOhneTilgung,12)=1,IF(INDEX(DarlBindung,12)="",1,$G5656),IF($J5656&gt;0.005,1,0)))</f>
      </c>
      <c r="J5656" s="43">
        <f>IF($I5655=0,0,$R5655)</f>
      </c>
      <c r="K5656" s="43">
        <f>IF($I5656=0,0,IF(INDEX(DarlOhneTilgung,12)=1,0,IF(AND(INDEX(DarlTilgStart,12)&gt;0,$E5656=INDEX(DarlTilgStart,12)),$J5656*($H5656+INDEX(DarlTilgung,12))/100/12,IF(AND($G5656=0,$G5655=1),MAX($K5655,$J5656*($H5656+1)/100/12),$K5655))))</f>
      </c>
      <c r="L5656" s="43">
        <f>IF($I5656=0,0,$J5656*$H5656/100/12)</f>
      </c>
      <c r="M5656" s="43">
        <f>IF($I5656=0,0,IF(OR(INDEX(DarlOhneTilgung,12)=1,AND(INDEX(DarlTilgStart,12)&gt;0,$E5656&lt;INDEX(DarlTilgStart,12))),0,MIN(MAX(0,$K5656-$L5656),$J5656)))</f>
      </c>
      <c r="N5656" s="43">
        <f>IF($I5656=0,0,MIN(SUMIFS(SondBetrag,SondDarl,12,SondDatum,"&gt;="&amp;$E5656,SondDatum,"&lt;="&amp;EOMONTH($E5656,0)),$J5656-$M5656))</f>
      </c>
      <c r="O5656" s="43">
        <f>IF($I5656=0,0,INDEX(DarlErsatzRate,12))</f>
      </c>
      <c r="P5656" s="43">
        <f>IF($I5656=0,0,$Q5655*INDEX(DarlErsatzZins,12))</f>
      </c>
      <c r="Q5656" s="43">
        <f>IF($I5656=0,0,$Q5655+$P5656+$O5656)</f>
      </c>
      <c r="R5656" s="43">
        <f>IF($I5656=0,0,$J5656-$M5656-$N5656)</f>
      </c>
    </row>
    <row r="5657">
      <c r="A5657"/>
      <c r="B5657">
        <v>12</v>
      </c>
      <c r="C5657" s="43">
        <f>INDEX(DarlObj,12)</f>
      </c>
      <c r="D5657">
        <v>374</v>
      </c>
      <c r="E5657" s="51">
        <f>IF(INDEX(DarlBelegt,12)=0,0,EOMONTH(INDEX(DarlAuszahlung,12),373)+1)</f>
      </c>
      <c r="F5657" s="43">
        <f>IF($E5657=0,0,YEAR($E5657))</f>
      </c>
      <c r="G5657" s="43">
        <f>IF(INDEX(DarlBindung,12)="",1,IF($E5657&lt;=INDEX(DarlBindung,12),1,0))</f>
      </c>
      <c r="H5657" s="43">
        <f>IF($G5657=1,INDEX(DarlSollzins,12),INDEX(DarlAnschluss,12))</f>
      </c>
      <c r="I5657" s="43">
        <f>IF(INDEX(DarlBelegt,12)=0,0,IF(INDEX(DarlOhneTilgung,12)=1,IF(INDEX(DarlBindung,12)="",1,$G5657),IF($J5657&gt;0.005,1,0)))</f>
      </c>
      <c r="J5657" s="43">
        <f>IF($I5656=0,0,$R5656)</f>
      </c>
      <c r="K5657" s="43">
        <f>IF($I5657=0,0,IF(INDEX(DarlOhneTilgung,12)=1,0,IF(AND(INDEX(DarlTilgStart,12)&gt;0,$E5657=INDEX(DarlTilgStart,12)),$J5657*($H5657+INDEX(DarlTilgung,12))/100/12,IF(AND($G5657=0,$G5656=1),MAX($K5656,$J5657*($H5657+1)/100/12),$K5656))))</f>
      </c>
      <c r="L5657" s="43">
        <f>IF($I5657=0,0,$J5657*$H5657/100/12)</f>
      </c>
      <c r="M5657" s="43">
        <f>IF($I5657=0,0,IF(OR(INDEX(DarlOhneTilgung,12)=1,AND(INDEX(DarlTilgStart,12)&gt;0,$E5657&lt;INDEX(DarlTilgStart,12))),0,MIN(MAX(0,$K5657-$L5657),$J5657)))</f>
      </c>
      <c r="N5657" s="43">
        <f>IF($I5657=0,0,MIN(SUMIFS(SondBetrag,SondDarl,12,SondDatum,"&gt;="&amp;$E5657,SondDatum,"&lt;="&amp;EOMONTH($E5657,0)),$J5657-$M5657))</f>
      </c>
      <c r="O5657" s="43">
        <f>IF($I5657=0,0,INDEX(DarlErsatzRate,12))</f>
      </c>
      <c r="P5657" s="43">
        <f>IF($I5657=0,0,$Q5656*INDEX(DarlErsatzZins,12))</f>
      </c>
      <c r="Q5657" s="43">
        <f>IF($I5657=0,0,$Q5656+$P5657+$O5657)</f>
      </c>
      <c r="R5657" s="43">
        <f>IF($I5657=0,0,$J5657-$M5657-$N5657)</f>
      </c>
    </row>
    <row r="5658">
      <c r="A5658"/>
      <c r="B5658">
        <v>12</v>
      </c>
      <c r="C5658" s="43">
        <f>INDEX(DarlObj,12)</f>
      </c>
      <c r="D5658">
        <v>375</v>
      </c>
      <c r="E5658" s="51">
        <f>IF(INDEX(DarlBelegt,12)=0,0,EOMONTH(INDEX(DarlAuszahlung,12),374)+1)</f>
      </c>
      <c r="F5658" s="43">
        <f>IF($E5658=0,0,YEAR($E5658))</f>
      </c>
      <c r="G5658" s="43">
        <f>IF(INDEX(DarlBindung,12)="",1,IF($E5658&lt;=INDEX(DarlBindung,12),1,0))</f>
      </c>
      <c r="H5658" s="43">
        <f>IF($G5658=1,INDEX(DarlSollzins,12),INDEX(DarlAnschluss,12))</f>
      </c>
      <c r="I5658" s="43">
        <f>IF(INDEX(DarlBelegt,12)=0,0,IF(INDEX(DarlOhneTilgung,12)=1,IF(INDEX(DarlBindung,12)="",1,$G5658),IF($J5658&gt;0.005,1,0)))</f>
      </c>
      <c r="J5658" s="43">
        <f>IF($I5657=0,0,$R5657)</f>
      </c>
      <c r="K5658" s="43">
        <f>IF($I5658=0,0,IF(INDEX(DarlOhneTilgung,12)=1,0,IF(AND(INDEX(DarlTilgStart,12)&gt;0,$E5658=INDEX(DarlTilgStart,12)),$J5658*($H5658+INDEX(DarlTilgung,12))/100/12,IF(AND($G5658=0,$G5657=1),MAX($K5657,$J5658*($H5658+1)/100/12),$K5657))))</f>
      </c>
      <c r="L5658" s="43">
        <f>IF($I5658=0,0,$J5658*$H5658/100/12)</f>
      </c>
      <c r="M5658" s="43">
        <f>IF($I5658=0,0,IF(OR(INDEX(DarlOhneTilgung,12)=1,AND(INDEX(DarlTilgStart,12)&gt;0,$E5658&lt;INDEX(DarlTilgStart,12))),0,MIN(MAX(0,$K5658-$L5658),$J5658)))</f>
      </c>
      <c r="N5658" s="43">
        <f>IF($I5658=0,0,MIN(SUMIFS(SondBetrag,SondDarl,12,SondDatum,"&gt;="&amp;$E5658,SondDatum,"&lt;="&amp;EOMONTH($E5658,0)),$J5658-$M5658))</f>
      </c>
      <c r="O5658" s="43">
        <f>IF($I5658=0,0,INDEX(DarlErsatzRate,12))</f>
      </c>
      <c r="P5658" s="43">
        <f>IF($I5658=0,0,$Q5657*INDEX(DarlErsatzZins,12))</f>
      </c>
      <c r="Q5658" s="43">
        <f>IF($I5658=0,0,$Q5657+$P5658+$O5658)</f>
      </c>
      <c r="R5658" s="43">
        <f>IF($I5658=0,0,$J5658-$M5658-$N5658)</f>
      </c>
    </row>
    <row r="5659">
      <c r="A5659"/>
      <c r="B5659">
        <v>12</v>
      </c>
      <c r="C5659" s="43">
        <f>INDEX(DarlObj,12)</f>
      </c>
      <c r="D5659">
        <v>376</v>
      </c>
      <c r="E5659" s="51">
        <f>IF(INDEX(DarlBelegt,12)=0,0,EOMONTH(INDEX(DarlAuszahlung,12),375)+1)</f>
      </c>
      <c r="F5659" s="43">
        <f>IF($E5659=0,0,YEAR($E5659))</f>
      </c>
      <c r="G5659" s="43">
        <f>IF(INDEX(DarlBindung,12)="",1,IF($E5659&lt;=INDEX(DarlBindung,12),1,0))</f>
      </c>
      <c r="H5659" s="43">
        <f>IF($G5659=1,INDEX(DarlSollzins,12),INDEX(DarlAnschluss,12))</f>
      </c>
      <c r="I5659" s="43">
        <f>IF(INDEX(DarlBelegt,12)=0,0,IF(INDEX(DarlOhneTilgung,12)=1,IF(INDEX(DarlBindung,12)="",1,$G5659),IF($J5659&gt;0.005,1,0)))</f>
      </c>
      <c r="J5659" s="43">
        <f>IF($I5658=0,0,$R5658)</f>
      </c>
      <c r="K5659" s="43">
        <f>IF($I5659=0,0,IF(INDEX(DarlOhneTilgung,12)=1,0,IF(AND(INDEX(DarlTilgStart,12)&gt;0,$E5659=INDEX(DarlTilgStart,12)),$J5659*($H5659+INDEX(DarlTilgung,12))/100/12,IF(AND($G5659=0,$G5658=1),MAX($K5658,$J5659*($H5659+1)/100/12),$K5658))))</f>
      </c>
      <c r="L5659" s="43">
        <f>IF($I5659=0,0,$J5659*$H5659/100/12)</f>
      </c>
      <c r="M5659" s="43">
        <f>IF($I5659=0,0,IF(OR(INDEX(DarlOhneTilgung,12)=1,AND(INDEX(DarlTilgStart,12)&gt;0,$E5659&lt;INDEX(DarlTilgStart,12))),0,MIN(MAX(0,$K5659-$L5659),$J5659)))</f>
      </c>
      <c r="N5659" s="43">
        <f>IF($I5659=0,0,MIN(SUMIFS(SondBetrag,SondDarl,12,SondDatum,"&gt;="&amp;$E5659,SondDatum,"&lt;="&amp;EOMONTH($E5659,0)),$J5659-$M5659))</f>
      </c>
      <c r="O5659" s="43">
        <f>IF($I5659=0,0,INDEX(DarlErsatzRate,12))</f>
      </c>
      <c r="P5659" s="43">
        <f>IF($I5659=0,0,$Q5658*INDEX(DarlErsatzZins,12))</f>
      </c>
      <c r="Q5659" s="43">
        <f>IF($I5659=0,0,$Q5658+$P5659+$O5659)</f>
      </c>
      <c r="R5659" s="43">
        <f>IF($I5659=0,0,$J5659-$M5659-$N5659)</f>
      </c>
    </row>
    <row r="5660">
      <c r="A5660"/>
      <c r="B5660">
        <v>12</v>
      </c>
      <c r="C5660" s="43">
        <f>INDEX(DarlObj,12)</f>
      </c>
      <c r="D5660">
        <v>377</v>
      </c>
      <c r="E5660" s="51">
        <f>IF(INDEX(DarlBelegt,12)=0,0,EOMONTH(INDEX(DarlAuszahlung,12),376)+1)</f>
      </c>
      <c r="F5660" s="43">
        <f>IF($E5660=0,0,YEAR($E5660))</f>
      </c>
      <c r="G5660" s="43">
        <f>IF(INDEX(DarlBindung,12)="",1,IF($E5660&lt;=INDEX(DarlBindung,12),1,0))</f>
      </c>
      <c r="H5660" s="43">
        <f>IF($G5660=1,INDEX(DarlSollzins,12),INDEX(DarlAnschluss,12))</f>
      </c>
      <c r="I5660" s="43">
        <f>IF(INDEX(DarlBelegt,12)=0,0,IF(INDEX(DarlOhneTilgung,12)=1,IF(INDEX(DarlBindung,12)="",1,$G5660),IF($J5660&gt;0.005,1,0)))</f>
      </c>
      <c r="J5660" s="43">
        <f>IF($I5659=0,0,$R5659)</f>
      </c>
      <c r="K5660" s="43">
        <f>IF($I5660=0,0,IF(INDEX(DarlOhneTilgung,12)=1,0,IF(AND(INDEX(DarlTilgStart,12)&gt;0,$E5660=INDEX(DarlTilgStart,12)),$J5660*($H5660+INDEX(DarlTilgung,12))/100/12,IF(AND($G5660=0,$G5659=1),MAX($K5659,$J5660*($H5660+1)/100/12),$K5659))))</f>
      </c>
      <c r="L5660" s="43">
        <f>IF($I5660=0,0,$J5660*$H5660/100/12)</f>
      </c>
      <c r="M5660" s="43">
        <f>IF($I5660=0,0,IF(OR(INDEX(DarlOhneTilgung,12)=1,AND(INDEX(DarlTilgStart,12)&gt;0,$E5660&lt;INDEX(DarlTilgStart,12))),0,MIN(MAX(0,$K5660-$L5660),$J5660)))</f>
      </c>
      <c r="N5660" s="43">
        <f>IF($I5660=0,0,MIN(SUMIFS(SondBetrag,SondDarl,12,SondDatum,"&gt;="&amp;$E5660,SondDatum,"&lt;="&amp;EOMONTH($E5660,0)),$J5660-$M5660))</f>
      </c>
      <c r="O5660" s="43">
        <f>IF($I5660=0,0,INDEX(DarlErsatzRate,12))</f>
      </c>
      <c r="P5660" s="43">
        <f>IF($I5660=0,0,$Q5659*INDEX(DarlErsatzZins,12))</f>
      </c>
      <c r="Q5660" s="43">
        <f>IF($I5660=0,0,$Q5659+$P5660+$O5660)</f>
      </c>
      <c r="R5660" s="43">
        <f>IF($I5660=0,0,$J5660-$M5660-$N5660)</f>
      </c>
    </row>
    <row r="5661">
      <c r="A5661"/>
      <c r="B5661">
        <v>12</v>
      </c>
      <c r="C5661" s="43">
        <f>INDEX(DarlObj,12)</f>
      </c>
      <c r="D5661">
        <v>378</v>
      </c>
      <c r="E5661" s="51">
        <f>IF(INDEX(DarlBelegt,12)=0,0,EOMONTH(INDEX(DarlAuszahlung,12),377)+1)</f>
      </c>
      <c r="F5661" s="43">
        <f>IF($E5661=0,0,YEAR($E5661))</f>
      </c>
      <c r="G5661" s="43">
        <f>IF(INDEX(DarlBindung,12)="",1,IF($E5661&lt;=INDEX(DarlBindung,12),1,0))</f>
      </c>
      <c r="H5661" s="43">
        <f>IF($G5661=1,INDEX(DarlSollzins,12),INDEX(DarlAnschluss,12))</f>
      </c>
      <c r="I5661" s="43">
        <f>IF(INDEX(DarlBelegt,12)=0,0,IF(INDEX(DarlOhneTilgung,12)=1,IF(INDEX(DarlBindung,12)="",1,$G5661),IF($J5661&gt;0.005,1,0)))</f>
      </c>
      <c r="J5661" s="43">
        <f>IF($I5660=0,0,$R5660)</f>
      </c>
      <c r="K5661" s="43">
        <f>IF($I5661=0,0,IF(INDEX(DarlOhneTilgung,12)=1,0,IF(AND(INDEX(DarlTilgStart,12)&gt;0,$E5661=INDEX(DarlTilgStart,12)),$J5661*($H5661+INDEX(DarlTilgung,12))/100/12,IF(AND($G5661=0,$G5660=1),MAX($K5660,$J5661*($H5661+1)/100/12),$K5660))))</f>
      </c>
      <c r="L5661" s="43">
        <f>IF($I5661=0,0,$J5661*$H5661/100/12)</f>
      </c>
      <c r="M5661" s="43">
        <f>IF($I5661=0,0,IF(OR(INDEX(DarlOhneTilgung,12)=1,AND(INDEX(DarlTilgStart,12)&gt;0,$E5661&lt;INDEX(DarlTilgStart,12))),0,MIN(MAX(0,$K5661-$L5661),$J5661)))</f>
      </c>
      <c r="N5661" s="43">
        <f>IF($I5661=0,0,MIN(SUMIFS(SondBetrag,SondDarl,12,SondDatum,"&gt;="&amp;$E5661,SondDatum,"&lt;="&amp;EOMONTH($E5661,0)),$J5661-$M5661))</f>
      </c>
      <c r="O5661" s="43">
        <f>IF($I5661=0,0,INDEX(DarlErsatzRate,12))</f>
      </c>
      <c r="P5661" s="43">
        <f>IF($I5661=0,0,$Q5660*INDEX(DarlErsatzZins,12))</f>
      </c>
      <c r="Q5661" s="43">
        <f>IF($I5661=0,0,$Q5660+$P5661+$O5661)</f>
      </c>
      <c r="R5661" s="43">
        <f>IF($I5661=0,0,$J5661-$M5661-$N5661)</f>
      </c>
    </row>
    <row r="5662">
      <c r="A5662"/>
      <c r="B5662">
        <v>12</v>
      </c>
      <c r="C5662" s="43">
        <f>INDEX(DarlObj,12)</f>
      </c>
      <c r="D5662">
        <v>379</v>
      </c>
      <c r="E5662" s="51">
        <f>IF(INDEX(DarlBelegt,12)=0,0,EOMONTH(INDEX(DarlAuszahlung,12),378)+1)</f>
      </c>
      <c r="F5662" s="43">
        <f>IF($E5662=0,0,YEAR($E5662))</f>
      </c>
      <c r="G5662" s="43">
        <f>IF(INDEX(DarlBindung,12)="",1,IF($E5662&lt;=INDEX(DarlBindung,12),1,0))</f>
      </c>
      <c r="H5662" s="43">
        <f>IF($G5662=1,INDEX(DarlSollzins,12),INDEX(DarlAnschluss,12))</f>
      </c>
      <c r="I5662" s="43">
        <f>IF(INDEX(DarlBelegt,12)=0,0,IF(INDEX(DarlOhneTilgung,12)=1,IF(INDEX(DarlBindung,12)="",1,$G5662),IF($J5662&gt;0.005,1,0)))</f>
      </c>
      <c r="J5662" s="43">
        <f>IF($I5661=0,0,$R5661)</f>
      </c>
      <c r="K5662" s="43">
        <f>IF($I5662=0,0,IF(INDEX(DarlOhneTilgung,12)=1,0,IF(AND(INDEX(DarlTilgStart,12)&gt;0,$E5662=INDEX(DarlTilgStart,12)),$J5662*($H5662+INDEX(DarlTilgung,12))/100/12,IF(AND($G5662=0,$G5661=1),MAX($K5661,$J5662*($H5662+1)/100/12),$K5661))))</f>
      </c>
      <c r="L5662" s="43">
        <f>IF($I5662=0,0,$J5662*$H5662/100/12)</f>
      </c>
      <c r="M5662" s="43">
        <f>IF($I5662=0,0,IF(OR(INDEX(DarlOhneTilgung,12)=1,AND(INDEX(DarlTilgStart,12)&gt;0,$E5662&lt;INDEX(DarlTilgStart,12))),0,MIN(MAX(0,$K5662-$L5662),$J5662)))</f>
      </c>
      <c r="N5662" s="43">
        <f>IF($I5662=0,0,MIN(SUMIFS(SondBetrag,SondDarl,12,SondDatum,"&gt;="&amp;$E5662,SondDatum,"&lt;="&amp;EOMONTH($E5662,0)),$J5662-$M5662))</f>
      </c>
      <c r="O5662" s="43">
        <f>IF($I5662=0,0,INDEX(DarlErsatzRate,12))</f>
      </c>
      <c r="P5662" s="43">
        <f>IF($I5662=0,0,$Q5661*INDEX(DarlErsatzZins,12))</f>
      </c>
      <c r="Q5662" s="43">
        <f>IF($I5662=0,0,$Q5661+$P5662+$O5662)</f>
      </c>
      <c r="R5662" s="43">
        <f>IF($I5662=0,0,$J5662-$M5662-$N5662)</f>
      </c>
    </row>
    <row r="5663">
      <c r="A5663"/>
      <c r="B5663">
        <v>12</v>
      </c>
      <c r="C5663" s="43">
        <f>INDEX(DarlObj,12)</f>
      </c>
      <c r="D5663">
        <v>380</v>
      </c>
      <c r="E5663" s="51">
        <f>IF(INDEX(DarlBelegt,12)=0,0,EOMONTH(INDEX(DarlAuszahlung,12),379)+1)</f>
      </c>
      <c r="F5663" s="43">
        <f>IF($E5663=0,0,YEAR($E5663))</f>
      </c>
      <c r="G5663" s="43">
        <f>IF(INDEX(DarlBindung,12)="",1,IF($E5663&lt;=INDEX(DarlBindung,12),1,0))</f>
      </c>
      <c r="H5663" s="43">
        <f>IF($G5663=1,INDEX(DarlSollzins,12),INDEX(DarlAnschluss,12))</f>
      </c>
      <c r="I5663" s="43">
        <f>IF(INDEX(DarlBelegt,12)=0,0,IF(INDEX(DarlOhneTilgung,12)=1,IF(INDEX(DarlBindung,12)="",1,$G5663),IF($J5663&gt;0.005,1,0)))</f>
      </c>
      <c r="J5663" s="43">
        <f>IF($I5662=0,0,$R5662)</f>
      </c>
      <c r="K5663" s="43">
        <f>IF($I5663=0,0,IF(INDEX(DarlOhneTilgung,12)=1,0,IF(AND(INDEX(DarlTilgStart,12)&gt;0,$E5663=INDEX(DarlTilgStart,12)),$J5663*($H5663+INDEX(DarlTilgung,12))/100/12,IF(AND($G5663=0,$G5662=1),MAX($K5662,$J5663*($H5663+1)/100/12),$K5662))))</f>
      </c>
      <c r="L5663" s="43">
        <f>IF($I5663=0,0,$J5663*$H5663/100/12)</f>
      </c>
      <c r="M5663" s="43">
        <f>IF($I5663=0,0,IF(OR(INDEX(DarlOhneTilgung,12)=1,AND(INDEX(DarlTilgStart,12)&gt;0,$E5663&lt;INDEX(DarlTilgStart,12))),0,MIN(MAX(0,$K5663-$L5663),$J5663)))</f>
      </c>
      <c r="N5663" s="43">
        <f>IF($I5663=0,0,MIN(SUMIFS(SondBetrag,SondDarl,12,SondDatum,"&gt;="&amp;$E5663,SondDatum,"&lt;="&amp;EOMONTH($E5663,0)),$J5663-$M5663))</f>
      </c>
      <c r="O5663" s="43">
        <f>IF($I5663=0,0,INDEX(DarlErsatzRate,12))</f>
      </c>
      <c r="P5663" s="43">
        <f>IF($I5663=0,0,$Q5662*INDEX(DarlErsatzZins,12))</f>
      </c>
      <c r="Q5663" s="43">
        <f>IF($I5663=0,0,$Q5662+$P5663+$O5663)</f>
      </c>
      <c r="R5663" s="43">
        <f>IF($I5663=0,0,$J5663-$M5663-$N5663)</f>
      </c>
    </row>
    <row r="5664">
      <c r="A5664"/>
      <c r="B5664">
        <v>12</v>
      </c>
      <c r="C5664" s="43">
        <f>INDEX(DarlObj,12)</f>
      </c>
      <c r="D5664">
        <v>381</v>
      </c>
      <c r="E5664" s="51">
        <f>IF(INDEX(DarlBelegt,12)=0,0,EOMONTH(INDEX(DarlAuszahlung,12),380)+1)</f>
      </c>
      <c r="F5664" s="43">
        <f>IF($E5664=0,0,YEAR($E5664))</f>
      </c>
      <c r="G5664" s="43">
        <f>IF(INDEX(DarlBindung,12)="",1,IF($E5664&lt;=INDEX(DarlBindung,12),1,0))</f>
      </c>
      <c r="H5664" s="43">
        <f>IF($G5664=1,INDEX(DarlSollzins,12),INDEX(DarlAnschluss,12))</f>
      </c>
      <c r="I5664" s="43">
        <f>IF(INDEX(DarlBelegt,12)=0,0,IF(INDEX(DarlOhneTilgung,12)=1,IF(INDEX(DarlBindung,12)="",1,$G5664),IF($J5664&gt;0.005,1,0)))</f>
      </c>
      <c r="J5664" s="43">
        <f>IF($I5663=0,0,$R5663)</f>
      </c>
      <c r="K5664" s="43">
        <f>IF($I5664=0,0,IF(INDEX(DarlOhneTilgung,12)=1,0,IF(AND(INDEX(DarlTilgStart,12)&gt;0,$E5664=INDEX(DarlTilgStart,12)),$J5664*($H5664+INDEX(DarlTilgung,12))/100/12,IF(AND($G5664=0,$G5663=1),MAX($K5663,$J5664*($H5664+1)/100/12),$K5663))))</f>
      </c>
      <c r="L5664" s="43">
        <f>IF($I5664=0,0,$J5664*$H5664/100/12)</f>
      </c>
      <c r="M5664" s="43">
        <f>IF($I5664=0,0,IF(OR(INDEX(DarlOhneTilgung,12)=1,AND(INDEX(DarlTilgStart,12)&gt;0,$E5664&lt;INDEX(DarlTilgStart,12))),0,MIN(MAX(0,$K5664-$L5664),$J5664)))</f>
      </c>
      <c r="N5664" s="43">
        <f>IF($I5664=0,0,MIN(SUMIFS(SondBetrag,SondDarl,12,SondDatum,"&gt;="&amp;$E5664,SondDatum,"&lt;="&amp;EOMONTH($E5664,0)),$J5664-$M5664))</f>
      </c>
      <c r="O5664" s="43">
        <f>IF($I5664=0,0,INDEX(DarlErsatzRate,12))</f>
      </c>
      <c r="P5664" s="43">
        <f>IF($I5664=0,0,$Q5663*INDEX(DarlErsatzZins,12))</f>
      </c>
      <c r="Q5664" s="43">
        <f>IF($I5664=0,0,$Q5663+$P5664+$O5664)</f>
      </c>
      <c r="R5664" s="43">
        <f>IF($I5664=0,0,$J5664-$M5664-$N5664)</f>
      </c>
    </row>
    <row r="5665">
      <c r="A5665"/>
      <c r="B5665">
        <v>12</v>
      </c>
      <c r="C5665" s="43">
        <f>INDEX(DarlObj,12)</f>
      </c>
      <c r="D5665">
        <v>382</v>
      </c>
      <c r="E5665" s="51">
        <f>IF(INDEX(DarlBelegt,12)=0,0,EOMONTH(INDEX(DarlAuszahlung,12),381)+1)</f>
      </c>
      <c r="F5665" s="43">
        <f>IF($E5665=0,0,YEAR($E5665))</f>
      </c>
      <c r="G5665" s="43">
        <f>IF(INDEX(DarlBindung,12)="",1,IF($E5665&lt;=INDEX(DarlBindung,12),1,0))</f>
      </c>
      <c r="H5665" s="43">
        <f>IF($G5665=1,INDEX(DarlSollzins,12),INDEX(DarlAnschluss,12))</f>
      </c>
      <c r="I5665" s="43">
        <f>IF(INDEX(DarlBelegt,12)=0,0,IF(INDEX(DarlOhneTilgung,12)=1,IF(INDEX(DarlBindung,12)="",1,$G5665),IF($J5665&gt;0.005,1,0)))</f>
      </c>
      <c r="J5665" s="43">
        <f>IF($I5664=0,0,$R5664)</f>
      </c>
      <c r="K5665" s="43">
        <f>IF($I5665=0,0,IF(INDEX(DarlOhneTilgung,12)=1,0,IF(AND(INDEX(DarlTilgStart,12)&gt;0,$E5665=INDEX(DarlTilgStart,12)),$J5665*($H5665+INDEX(DarlTilgung,12))/100/12,IF(AND($G5665=0,$G5664=1),MAX($K5664,$J5665*($H5665+1)/100/12),$K5664))))</f>
      </c>
      <c r="L5665" s="43">
        <f>IF($I5665=0,0,$J5665*$H5665/100/12)</f>
      </c>
      <c r="M5665" s="43">
        <f>IF($I5665=0,0,IF(OR(INDEX(DarlOhneTilgung,12)=1,AND(INDEX(DarlTilgStart,12)&gt;0,$E5665&lt;INDEX(DarlTilgStart,12))),0,MIN(MAX(0,$K5665-$L5665),$J5665)))</f>
      </c>
      <c r="N5665" s="43">
        <f>IF($I5665=0,0,MIN(SUMIFS(SondBetrag,SondDarl,12,SondDatum,"&gt;="&amp;$E5665,SondDatum,"&lt;="&amp;EOMONTH($E5665,0)),$J5665-$M5665))</f>
      </c>
      <c r="O5665" s="43">
        <f>IF($I5665=0,0,INDEX(DarlErsatzRate,12))</f>
      </c>
      <c r="P5665" s="43">
        <f>IF($I5665=0,0,$Q5664*INDEX(DarlErsatzZins,12))</f>
      </c>
      <c r="Q5665" s="43">
        <f>IF($I5665=0,0,$Q5664+$P5665+$O5665)</f>
      </c>
      <c r="R5665" s="43">
        <f>IF($I5665=0,0,$J5665-$M5665-$N5665)</f>
      </c>
    </row>
    <row r="5666">
      <c r="A5666"/>
      <c r="B5666">
        <v>12</v>
      </c>
      <c r="C5666" s="43">
        <f>INDEX(DarlObj,12)</f>
      </c>
      <c r="D5666">
        <v>383</v>
      </c>
      <c r="E5666" s="51">
        <f>IF(INDEX(DarlBelegt,12)=0,0,EOMONTH(INDEX(DarlAuszahlung,12),382)+1)</f>
      </c>
      <c r="F5666" s="43">
        <f>IF($E5666=0,0,YEAR($E5666))</f>
      </c>
      <c r="G5666" s="43">
        <f>IF(INDEX(DarlBindung,12)="",1,IF($E5666&lt;=INDEX(DarlBindung,12),1,0))</f>
      </c>
      <c r="H5666" s="43">
        <f>IF($G5666=1,INDEX(DarlSollzins,12),INDEX(DarlAnschluss,12))</f>
      </c>
      <c r="I5666" s="43">
        <f>IF(INDEX(DarlBelegt,12)=0,0,IF(INDEX(DarlOhneTilgung,12)=1,IF(INDEX(DarlBindung,12)="",1,$G5666),IF($J5666&gt;0.005,1,0)))</f>
      </c>
      <c r="J5666" s="43">
        <f>IF($I5665=0,0,$R5665)</f>
      </c>
      <c r="K5666" s="43">
        <f>IF($I5666=0,0,IF(INDEX(DarlOhneTilgung,12)=1,0,IF(AND(INDEX(DarlTilgStart,12)&gt;0,$E5666=INDEX(DarlTilgStart,12)),$J5666*($H5666+INDEX(DarlTilgung,12))/100/12,IF(AND($G5666=0,$G5665=1),MAX($K5665,$J5666*($H5666+1)/100/12),$K5665))))</f>
      </c>
      <c r="L5666" s="43">
        <f>IF($I5666=0,0,$J5666*$H5666/100/12)</f>
      </c>
      <c r="M5666" s="43">
        <f>IF($I5666=0,0,IF(OR(INDEX(DarlOhneTilgung,12)=1,AND(INDEX(DarlTilgStart,12)&gt;0,$E5666&lt;INDEX(DarlTilgStart,12))),0,MIN(MAX(0,$K5666-$L5666),$J5666)))</f>
      </c>
      <c r="N5666" s="43">
        <f>IF($I5666=0,0,MIN(SUMIFS(SondBetrag,SondDarl,12,SondDatum,"&gt;="&amp;$E5666,SondDatum,"&lt;="&amp;EOMONTH($E5666,0)),$J5666-$M5666))</f>
      </c>
      <c r="O5666" s="43">
        <f>IF($I5666=0,0,INDEX(DarlErsatzRate,12))</f>
      </c>
      <c r="P5666" s="43">
        <f>IF($I5666=0,0,$Q5665*INDEX(DarlErsatzZins,12))</f>
      </c>
      <c r="Q5666" s="43">
        <f>IF($I5666=0,0,$Q5665+$P5666+$O5666)</f>
      </c>
      <c r="R5666" s="43">
        <f>IF($I5666=0,0,$J5666-$M5666-$N5666)</f>
      </c>
    </row>
    <row r="5667">
      <c r="A5667"/>
      <c r="B5667">
        <v>12</v>
      </c>
      <c r="C5667" s="43">
        <f>INDEX(DarlObj,12)</f>
      </c>
      <c r="D5667">
        <v>384</v>
      </c>
      <c r="E5667" s="51">
        <f>IF(INDEX(DarlBelegt,12)=0,0,EOMONTH(INDEX(DarlAuszahlung,12),383)+1)</f>
      </c>
      <c r="F5667" s="43">
        <f>IF($E5667=0,0,YEAR($E5667))</f>
      </c>
      <c r="G5667" s="43">
        <f>IF(INDEX(DarlBindung,12)="",1,IF($E5667&lt;=INDEX(DarlBindung,12),1,0))</f>
      </c>
      <c r="H5667" s="43">
        <f>IF($G5667=1,INDEX(DarlSollzins,12),INDEX(DarlAnschluss,12))</f>
      </c>
      <c r="I5667" s="43">
        <f>IF(INDEX(DarlBelegt,12)=0,0,IF(INDEX(DarlOhneTilgung,12)=1,IF(INDEX(DarlBindung,12)="",1,$G5667),IF($J5667&gt;0.005,1,0)))</f>
      </c>
      <c r="J5667" s="43">
        <f>IF($I5666=0,0,$R5666)</f>
      </c>
      <c r="K5667" s="43">
        <f>IF($I5667=0,0,IF(INDEX(DarlOhneTilgung,12)=1,0,IF(AND(INDEX(DarlTilgStart,12)&gt;0,$E5667=INDEX(DarlTilgStart,12)),$J5667*($H5667+INDEX(DarlTilgung,12))/100/12,IF(AND($G5667=0,$G5666=1),MAX($K5666,$J5667*($H5667+1)/100/12),$K5666))))</f>
      </c>
      <c r="L5667" s="43">
        <f>IF($I5667=0,0,$J5667*$H5667/100/12)</f>
      </c>
      <c r="M5667" s="43">
        <f>IF($I5667=0,0,IF(OR(INDEX(DarlOhneTilgung,12)=1,AND(INDEX(DarlTilgStart,12)&gt;0,$E5667&lt;INDEX(DarlTilgStart,12))),0,MIN(MAX(0,$K5667-$L5667),$J5667)))</f>
      </c>
      <c r="N5667" s="43">
        <f>IF($I5667=0,0,MIN(SUMIFS(SondBetrag,SondDarl,12,SondDatum,"&gt;="&amp;$E5667,SondDatum,"&lt;="&amp;EOMONTH($E5667,0)),$J5667-$M5667))</f>
      </c>
      <c r="O5667" s="43">
        <f>IF($I5667=0,0,INDEX(DarlErsatzRate,12))</f>
      </c>
      <c r="P5667" s="43">
        <f>IF($I5667=0,0,$Q5666*INDEX(DarlErsatzZins,12))</f>
      </c>
      <c r="Q5667" s="43">
        <f>IF($I5667=0,0,$Q5666+$P5667+$O5667)</f>
      </c>
      <c r="R5667" s="43">
        <f>IF($I5667=0,0,$J5667-$M5667-$N5667)</f>
      </c>
    </row>
    <row r="5668">
      <c r="A5668"/>
      <c r="B5668">
        <v>12</v>
      </c>
      <c r="C5668" s="43">
        <f>INDEX(DarlObj,12)</f>
      </c>
      <c r="D5668">
        <v>385</v>
      </c>
      <c r="E5668" s="51">
        <f>IF(INDEX(DarlBelegt,12)=0,0,EOMONTH(INDEX(DarlAuszahlung,12),384)+1)</f>
      </c>
      <c r="F5668" s="43">
        <f>IF($E5668=0,0,YEAR($E5668))</f>
      </c>
      <c r="G5668" s="43">
        <f>IF(INDEX(DarlBindung,12)="",1,IF($E5668&lt;=INDEX(DarlBindung,12),1,0))</f>
      </c>
      <c r="H5668" s="43">
        <f>IF($G5668=1,INDEX(DarlSollzins,12),INDEX(DarlAnschluss,12))</f>
      </c>
      <c r="I5668" s="43">
        <f>IF(INDEX(DarlBelegt,12)=0,0,IF(INDEX(DarlOhneTilgung,12)=1,IF(INDEX(DarlBindung,12)="",1,$G5668),IF($J5668&gt;0.005,1,0)))</f>
      </c>
      <c r="J5668" s="43">
        <f>IF($I5667=0,0,$R5667)</f>
      </c>
      <c r="K5668" s="43">
        <f>IF($I5668=0,0,IF(INDEX(DarlOhneTilgung,12)=1,0,IF(AND(INDEX(DarlTilgStart,12)&gt;0,$E5668=INDEX(DarlTilgStart,12)),$J5668*($H5668+INDEX(DarlTilgung,12))/100/12,IF(AND($G5668=0,$G5667=1),MAX($K5667,$J5668*($H5668+1)/100/12),$K5667))))</f>
      </c>
      <c r="L5668" s="43">
        <f>IF($I5668=0,0,$J5668*$H5668/100/12)</f>
      </c>
      <c r="M5668" s="43">
        <f>IF($I5668=0,0,IF(OR(INDEX(DarlOhneTilgung,12)=1,AND(INDEX(DarlTilgStart,12)&gt;0,$E5668&lt;INDEX(DarlTilgStart,12))),0,MIN(MAX(0,$K5668-$L5668),$J5668)))</f>
      </c>
      <c r="N5668" s="43">
        <f>IF($I5668=0,0,MIN(SUMIFS(SondBetrag,SondDarl,12,SondDatum,"&gt;="&amp;$E5668,SondDatum,"&lt;="&amp;EOMONTH($E5668,0)),$J5668-$M5668))</f>
      </c>
      <c r="O5668" s="43">
        <f>IF($I5668=0,0,INDEX(DarlErsatzRate,12))</f>
      </c>
      <c r="P5668" s="43">
        <f>IF($I5668=0,0,$Q5667*INDEX(DarlErsatzZins,12))</f>
      </c>
      <c r="Q5668" s="43">
        <f>IF($I5668=0,0,$Q5667+$P5668+$O5668)</f>
      </c>
      <c r="R5668" s="43">
        <f>IF($I5668=0,0,$J5668-$M5668-$N5668)</f>
      </c>
    </row>
    <row r="5669">
      <c r="A5669"/>
      <c r="B5669">
        <v>12</v>
      </c>
      <c r="C5669" s="43">
        <f>INDEX(DarlObj,12)</f>
      </c>
      <c r="D5669">
        <v>386</v>
      </c>
      <c r="E5669" s="51">
        <f>IF(INDEX(DarlBelegt,12)=0,0,EOMONTH(INDEX(DarlAuszahlung,12),385)+1)</f>
      </c>
      <c r="F5669" s="43">
        <f>IF($E5669=0,0,YEAR($E5669))</f>
      </c>
      <c r="G5669" s="43">
        <f>IF(INDEX(DarlBindung,12)="",1,IF($E5669&lt;=INDEX(DarlBindung,12),1,0))</f>
      </c>
      <c r="H5669" s="43">
        <f>IF($G5669=1,INDEX(DarlSollzins,12),INDEX(DarlAnschluss,12))</f>
      </c>
      <c r="I5669" s="43">
        <f>IF(INDEX(DarlBelegt,12)=0,0,IF(INDEX(DarlOhneTilgung,12)=1,IF(INDEX(DarlBindung,12)="",1,$G5669),IF($J5669&gt;0.005,1,0)))</f>
      </c>
      <c r="J5669" s="43">
        <f>IF($I5668=0,0,$R5668)</f>
      </c>
      <c r="K5669" s="43">
        <f>IF($I5669=0,0,IF(INDEX(DarlOhneTilgung,12)=1,0,IF(AND(INDEX(DarlTilgStart,12)&gt;0,$E5669=INDEX(DarlTilgStart,12)),$J5669*($H5669+INDEX(DarlTilgung,12))/100/12,IF(AND($G5669=0,$G5668=1),MAX($K5668,$J5669*($H5669+1)/100/12),$K5668))))</f>
      </c>
      <c r="L5669" s="43">
        <f>IF($I5669=0,0,$J5669*$H5669/100/12)</f>
      </c>
      <c r="M5669" s="43">
        <f>IF($I5669=0,0,IF(OR(INDEX(DarlOhneTilgung,12)=1,AND(INDEX(DarlTilgStart,12)&gt;0,$E5669&lt;INDEX(DarlTilgStart,12))),0,MIN(MAX(0,$K5669-$L5669),$J5669)))</f>
      </c>
      <c r="N5669" s="43">
        <f>IF($I5669=0,0,MIN(SUMIFS(SondBetrag,SondDarl,12,SondDatum,"&gt;="&amp;$E5669,SondDatum,"&lt;="&amp;EOMONTH($E5669,0)),$J5669-$M5669))</f>
      </c>
      <c r="O5669" s="43">
        <f>IF($I5669=0,0,INDEX(DarlErsatzRate,12))</f>
      </c>
      <c r="P5669" s="43">
        <f>IF($I5669=0,0,$Q5668*INDEX(DarlErsatzZins,12))</f>
      </c>
      <c r="Q5669" s="43">
        <f>IF($I5669=0,0,$Q5668+$P5669+$O5669)</f>
      </c>
      <c r="R5669" s="43">
        <f>IF($I5669=0,0,$J5669-$M5669-$N5669)</f>
      </c>
    </row>
    <row r="5670">
      <c r="A5670"/>
      <c r="B5670">
        <v>12</v>
      </c>
      <c r="C5670" s="43">
        <f>INDEX(DarlObj,12)</f>
      </c>
      <c r="D5670">
        <v>387</v>
      </c>
      <c r="E5670" s="51">
        <f>IF(INDEX(DarlBelegt,12)=0,0,EOMONTH(INDEX(DarlAuszahlung,12),386)+1)</f>
      </c>
      <c r="F5670" s="43">
        <f>IF($E5670=0,0,YEAR($E5670))</f>
      </c>
      <c r="G5670" s="43">
        <f>IF(INDEX(DarlBindung,12)="",1,IF($E5670&lt;=INDEX(DarlBindung,12),1,0))</f>
      </c>
      <c r="H5670" s="43">
        <f>IF($G5670=1,INDEX(DarlSollzins,12),INDEX(DarlAnschluss,12))</f>
      </c>
      <c r="I5670" s="43">
        <f>IF(INDEX(DarlBelegt,12)=0,0,IF(INDEX(DarlOhneTilgung,12)=1,IF(INDEX(DarlBindung,12)="",1,$G5670),IF($J5670&gt;0.005,1,0)))</f>
      </c>
      <c r="J5670" s="43">
        <f>IF($I5669=0,0,$R5669)</f>
      </c>
      <c r="K5670" s="43">
        <f>IF($I5670=0,0,IF(INDEX(DarlOhneTilgung,12)=1,0,IF(AND(INDEX(DarlTilgStart,12)&gt;0,$E5670=INDEX(DarlTilgStart,12)),$J5670*($H5670+INDEX(DarlTilgung,12))/100/12,IF(AND($G5670=0,$G5669=1),MAX($K5669,$J5670*($H5670+1)/100/12),$K5669))))</f>
      </c>
      <c r="L5670" s="43">
        <f>IF($I5670=0,0,$J5670*$H5670/100/12)</f>
      </c>
      <c r="M5670" s="43">
        <f>IF($I5670=0,0,IF(OR(INDEX(DarlOhneTilgung,12)=1,AND(INDEX(DarlTilgStart,12)&gt;0,$E5670&lt;INDEX(DarlTilgStart,12))),0,MIN(MAX(0,$K5670-$L5670),$J5670)))</f>
      </c>
      <c r="N5670" s="43">
        <f>IF($I5670=0,0,MIN(SUMIFS(SondBetrag,SondDarl,12,SondDatum,"&gt;="&amp;$E5670,SondDatum,"&lt;="&amp;EOMONTH($E5670,0)),$J5670-$M5670))</f>
      </c>
      <c r="O5670" s="43">
        <f>IF($I5670=0,0,INDEX(DarlErsatzRate,12))</f>
      </c>
      <c r="P5670" s="43">
        <f>IF($I5670=0,0,$Q5669*INDEX(DarlErsatzZins,12))</f>
      </c>
      <c r="Q5670" s="43">
        <f>IF($I5670=0,0,$Q5669+$P5670+$O5670)</f>
      </c>
      <c r="R5670" s="43">
        <f>IF($I5670=0,0,$J5670-$M5670-$N5670)</f>
      </c>
    </row>
    <row r="5671">
      <c r="A5671"/>
      <c r="B5671">
        <v>12</v>
      </c>
      <c r="C5671" s="43">
        <f>INDEX(DarlObj,12)</f>
      </c>
      <c r="D5671">
        <v>388</v>
      </c>
      <c r="E5671" s="51">
        <f>IF(INDEX(DarlBelegt,12)=0,0,EOMONTH(INDEX(DarlAuszahlung,12),387)+1)</f>
      </c>
      <c r="F5671" s="43">
        <f>IF($E5671=0,0,YEAR($E5671))</f>
      </c>
      <c r="G5671" s="43">
        <f>IF(INDEX(DarlBindung,12)="",1,IF($E5671&lt;=INDEX(DarlBindung,12),1,0))</f>
      </c>
      <c r="H5671" s="43">
        <f>IF($G5671=1,INDEX(DarlSollzins,12),INDEX(DarlAnschluss,12))</f>
      </c>
      <c r="I5671" s="43">
        <f>IF(INDEX(DarlBelegt,12)=0,0,IF(INDEX(DarlOhneTilgung,12)=1,IF(INDEX(DarlBindung,12)="",1,$G5671),IF($J5671&gt;0.005,1,0)))</f>
      </c>
      <c r="J5671" s="43">
        <f>IF($I5670=0,0,$R5670)</f>
      </c>
      <c r="K5671" s="43">
        <f>IF($I5671=0,0,IF(INDEX(DarlOhneTilgung,12)=1,0,IF(AND(INDEX(DarlTilgStart,12)&gt;0,$E5671=INDEX(DarlTilgStart,12)),$J5671*($H5671+INDEX(DarlTilgung,12))/100/12,IF(AND($G5671=0,$G5670=1),MAX($K5670,$J5671*($H5671+1)/100/12),$K5670))))</f>
      </c>
      <c r="L5671" s="43">
        <f>IF($I5671=0,0,$J5671*$H5671/100/12)</f>
      </c>
      <c r="M5671" s="43">
        <f>IF($I5671=0,0,IF(OR(INDEX(DarlOhneTilgung,12)=1,AND(INDEX(DarlTilgStart,12)&gt;0,$E5671&lt;INDEX(DarlTilgStart,12))),0,MIN(MAX(0,$K5671-$L5671),$J5671)))</f>
      </c>
      <c r="N5671" s="43">
        <f>IF($I5671=0,0,MIN(SUMIFS(SondBetrag,SondDarl,12,SondDatum,"&gt;="&amp;$E5671,SondDatum,"&lt;="&amp;EOMONTH($E5671,0)),$J5671-$M5671))</f>
      </c>
      <c r="O5671" s="43">
        <f>IF($I5671=0,0,INDEX(DarlErsatzRate,12))</f>
      </c>
      <c r="P5671" s="43">
        <f>IF($I5671=0,0,$Q5670*INDEX(DarlErsatzZins,12))</f>
      </c>
      <c r="Q5671" s="43">
        <f>IF($I5671=0,0,$Q5670+$P5671+$O5671)</f>
      </c>
      <c r="R5671" s="43">
        <f>IF($I5671=0,0,$J5671-$M5671-$N5671)</f>
      </c>
    </row>
    <row r="5672">
      <c r="A5672"/>
      <c r="B5672">
        <v>12</v>
      </c>
      <c r="C5672" s="43">
        <f>INDEX(DarlObj,12)</f>
      </c>
      <c r="D5672">
        <v>389</v>
      </c>
      <c r="E5672" s="51">
        <f>IF(INDEX(DarlBelegt,12)=0,0,EOMONTH(INDEX(DarlAuszahlung,12),388)+1)</f>
      </c>
      <c r="F5672" s="43">
        <f>IF($E5672=0,0,YEAR($E5672))</f>
      </c>
      <c r="G5672" s="43">
        <f>IF(INDEX(DarlBindung,12)="",1,IF($E5672&lt;=INDEX(DarlBindung,12),1,0))</f>
      </c>
      <c r="H5672" s="43">
        <f>IF($G5672=1,INDEX(DarlSollzins,12),INDEX(DarlAnschluss,12))</f>
      </c>
      <c r="I5672" s="43">
        <f>IF(INDEX(DarlBelegt,12)=0,0,IF(INDEX(DarlOhneTilgung,12)=1,IF(INDEX(DarlBindung,12)="",1,$G5672),IF($J5672&gt;0.005,1,0)))</f>
      </c>
      <c r="J5672" s="43">
        <f>IF($I5671=0,0,$R5671)</f>
      </c>
      <c r="K5672" s="43">
        <f>IF($I5672=0,0,IF(INDEX(DarlOhneTilgung,12)=1,0,IF(AND(INDEX(DarlTilgStart,12)&gt;0,$E5672=INDEX(DarlTilgStart,12)),$J5672*($H5672+INDEX(DarlTilgung,12))/100/12,IF(AND($G5672=0,$G5671=1),MAX($K5671,$J5672*($H5672+1)/100/12),$K5671))))</f>
      </c>
      <c r="L5672" s="43">
        <f>IF($I5672=0,0,$J5672*$H5672/100/12)</f>
      </c>
      <c r="M5672" s="43">
        <f>IF($I5672=0,0,IF(OR(INDEX(DarlOhneTilgung,12)=1,AND(INDEX(DarlTilgStart,12)&gt;0,$E5672&lt;INDEX(DarlTilgStart,12))),0,MIN(MAX(0,$K5672-$L5672),$J5672)))</f>
      </c>
      <c r="N5672" s="43">
        <f>IF($I5672=0,0,MIN(SUMIFS(SondBetrag,SondDarl,12,SondDatum,"&gt;="&amp;$E5672,SondDatum,"&lt;="&amp;EOMONTH($E5672,0)),$J5672-$M5672))</f>
      </c>
      <c r="O5672" s="43">
        <f>IF($I5672=0,0,INDEX(DarlErsatzRate,12))</f>
      </c>
      <c r="P5672" s="43">
        <f>IF($I5672=0,0,$Q5671*INDEX(DarlErsatzZins,12))</f>
      </c>
      <c r="Q5672" s="43">
        <f>IF($I5672=0,0,$Q5671+$P5672+$O5672)</f>
      </c>
      <c r="R5672" s="43">
        <f>IF($I5672=0,0,$J5672-$M5672-$N5672)</f>
      </c>
    </row>
    <row r="5673">
      <c r="A5673"/>
      <c r="B5673">
        <v>12</v>
      </c>
      <c r="C5673" s="43">
        <f>INDEX(DarlObj,12)</f>
      </c>
      <c r="D5673">
        <v>390</v>
      </c>
      <c r="E5673" s="51">
        <f>IF(INDEX(DarlBelegt,12)=0,0,EOMONTH(INDEX(DarlAuszahlung,12),389)+1)</f>
      </c>
      <c r="F5673" s="43">
        <f>IF($E5673=0,0,YEAR($E5673))</f>
      </c>
      <c r="G5673" s="43">
        <f>IF(INDEX(DarlBindung,12)="",1,IF($E5673&lt;=INDEX(DarlBindung,12),1,0))</f>
      </c>
      <c r="H5673" s="43">
        <f>IF($G5673=1,INDEX(DarlSollzins,12),INDEX(DarlAnschluss,12))</f>
      </c>
      <c r="I5673" s="43">
        <f>IF(INDEX(DarlBelegt,12)=0,0,IF(INDEX(DarlOhneTilgung,12)=1,IF(INDEX(DarlBindung,12)="",1,$G5673),IF($J5673&gt;0.005,1,0)))</f>
      </c>
      <c r="J5673" s="43">
        <f>IF($I5672=0,0,$R5672)</f>
      </c>
      <c r="K5673" s="43">
        <f>IF($I5673=0,0,IF(INDEX(DarlOhneTilgung,12)=1,0,IF(AND(INDEX(DarlTilgStart,12)&gt;0,$E5673=INDEX(DarlTilgStart,12)),$J5673*($H5673+INDEX(DarlTilgung,12))/100/12,IF(AND($G5673=0,$G5672=1),MAX($K5672,$J5673*($H5673+1)/100/12),$K5672))))</f>
      </c>
      <c r="L5673" s="43">
        <f>IF($I5673=0,0,$J5673*$H5673/100/12)</f>
      </c>
      <c r="M5673" s="43">
        <f>IF($I5673=0,0,IF(OR(INDEX(DarlOhneTilgung,12)=1,AND(INDEX(DarlTilgStart,12)&gt;0,$E5673&lt;INDEX(DarlTilgStart,12))),0,MIN(MAX(0,$K5673-$L5673),$J5673)))</f>
      </c>
      <c r="N5673" s="43">
        <f>IF($I5673=0,0,MIN(SUMIFS(SondBetrag,SondDarl,12,SondDatum,"&gt;="&amp;$E5673,SondDatum,"&lt;="&amp;EOMONTH($E5673,0)),$J5673-$M5673))</f>
      </c>
      <c r="O5673" s="43">
        <f>IF($I5673=0,0,INDEX(DarlErsatzRate,12))</f>
      </c>
      <c r="P5673" s="43">
        <f>IF($I5673=0,0,$Q5672*INDEX(DarlErsatzZins,12))</f>
      </c>
      <c r="Q5673" s="43">
        <f>IF($I5673=0,0,$Q5672+$P5673+$O5673)</f>
      </c>
      <c r="R5673" s="43">
        <f>IF($I5673=0,0,$J5673-$M5673-$N5673)</f>
      </c>
    </row>
    <row r="5674">
      <c r="A5674"/>
      <c r="B5674">
        <v>12</v>
      </c>
      <c r="C5674" s="43">
        <f>INDEX(DarlObj,12)</f>
      </c>
      <c r="D5674">
        <v>391</v>
      </c>
      <c r="E5674" s="51">
        <f>IF(INDEX(DarlBelegt,12)=0,0,EOMONTH(INDEX(DarlAuszahlung,12),390)+1)</f>
      </c>
      <c r="F5674" s="43">
        <f>IF($E5674=0,0,YEAR($E5674))</f>
      </c>
      <c r="G5674" s="43">
        <f>IF(INDEX(DarlBindung,12)="",1,IF($E5674&lt;=INDEX(DarlBindung,12),1,0))</f>
      </c>
      <c r="H5674" s="43">
        <f>IF($G5674=1,INDEX(DarlSollzins,12),INDEX(DarlAnschluss,12))</f>
      </c>
      <c r="I5674" s="43">
        <f>IF(INDEX(DarlBelegt,12)=0,0,IF(INDEX(DarlOhneTilgung,12)=1,IF(INDEX(DarlBindung,12)="",1,$G5674),IF($J5674&gt;0.005,1,0)))</f>
      </c>
      <c r="J5674" s="43">
        <f>IF($I5673=0,0,$R5673)</f>
      </c>
      <c r="K5674" s="43">
        <f>IF($I5674=0,0,IF(INDEX(DarlOhneTilgung,12)=1,0,IF(AND(INDEX(DarlTilgStart,12)&gt;0,$E5674=INDEX(DarlTilgStart,12)),$J5674*($H5674+INDEX(DarlTilgung,12))/100/12,IF(AND($G5674=0,$G5673=1),MAX($K5673,$J5674*($H5674+1)/100/12),$K5673))))</f>
      </c>
      <c r="L5674" s="43">
        <f>IF($I5674=0,0,$J5674*$H5674/100/12)</f>
      </c>
      <c r="M5674" s="43">
        <f>IF($I5674=0,0,IF(OR(INDEX(DarlOhneTilgung,12)=1,AND(INDEX(DarlTilgStart,12)&gt;0,$E5674&lt;INDEX(DarlTilgStart,12))),0,MIN(MAX(0,$K5674-$L5674),$J5674)))</f>
      </c>
      <c r="N5674" s="43">
        <f>IF($I5674=0,0,MIN(SUMIFS(SondBetrag,SondDarl,12,SondDatum,"&gt;="&amp;$E5674,SondDatum,"&lt;="&amp;EOMONTH($E5674,0)),$J5674-$M5674))</f>
      </c>
      <c r="O5674" s="43">
        <f>IF($I5674=0,0,INDEX(DarlErsatzRate,12))</f>
      </c>
      <c r="P5674" s="43">
        <f>IF($I5674=0,0,$Q5673*INDEX(DarlErsatzZins,12))</f>
      </c>
      <c r="Q5674" s="43">
        <f>IF($I5674=0,0,$Q5673+$P5674+$O5674)</f>
      </c>
      <c r="R5674" s="43">
        <f>IF($I5674=0,0,$J5674-$M5674-$N5674)</f>
      </c>
    </row>
    <row r="5675">
      <c r="A5675"/>
      <c r="B5675">
        <v>12</v>
      </c>
      <c r="C5675" s="43">
        <f>INDEX(DarlObj,12)</f>
      </c>
      <c r="D5675">
        <v>392</v>
      </c>
      <c r="E5675" s="51">
        <f>IF(INDEX(DarlBelegt,12)=0,0,EOMONTH(INDEX(DarlAuszahlung,12),391)+1)</f>
      </c>
      <c r="F5675" s="43">
        <f>IF($E5675=0,0,YEAR($E5675))</f>
      </c>
      <c r="G5675" s="43">
        <f>IF(INDEX(DarlBindung,12)="",1,IF($E5675&lt;=INDEX(DarlBindung,12),1,0))</f>
      </c>
      <c r="H5675" s="43">
        <f>IF($G5675=1,INDEX(DarlSollzins,12),INDEX(DarlAnschluss,12))</f>
      </c>
      <c r="I5675" s="43">
        <f>IF(INDEX(DarlBelegt,12)=0,0,IF(INDEX(DarlOhneTilgung,12)=1,IF(INDEX(DarlBindung,12)="",1,$G5675),IF($J5675&gt;0.005,1,0)))</f>
      </c>
      <c r="J5675" s="43">
        <f>IF($I5674=0,0,$R5674)</f>
      </c>
      <c r="K5675" s="43">
        <f>IF($I5675=0,0,IF(INDEX(DarlOhneTilgung,12)=1,0,IF(AND(INDEX(DarlTilgStart,12)&gt;0,$E5675=INDEX(DarlTilgStart,12)),$J5675*($H5675+INDEX(DarlTilgung,12))/100/12,IF(AND($G5675=0,$G5674=1),MAX($K5674,$J5675*($H5675+1)/100/12),$K5674))))</f>
      </c>
      <c r="L5675" s="43">
        <f>IF($I5675=0,0,$J5675*$H5675/100/12)</f>
      </c>
      <c r="M5675" s="43">
        <f>IF($I5675=0,0,IF(OR(INDEX(DarlOhneTilgung,12)=1,AND(INDEX(DarlTilgStart,12)&gt;0,$E5675&lt;INDEX(DarlTilgStart,12))),0,MIN(MAX(0,$K5675-$L5675),$J5675)))</f>
      </c>
      <c r="N5675" s="43">
        <f>IF($I5675=0,0,MIN(SUMIFS(SondBetrag,SondDarl,12,SondDatum,"&gt;="&amp;$E5675,SondDatum,"&lt;="&amp;EOMONTH($E5675,0)),$J5675-$M5675))</f>
      </c>
      <c r="O5675" s="43">
        <f>IF($I5675=0,0,INDEX(DarlErsatzRate,12))</f>
      </c>
      <c r="P5675" s="43">
        <f>IF($I5675=0,0,$Q5674*INDEX(DarlErsatzZins,12))</f>
      </c>
      <c r="Q5675" s="43">
        <f>IF($I5675=0,0,$Q5674+$P5675+$O5675)</f>
      </c>
      <c r="R5675" s="43">
        <f>IF($I5675=0,0,$J5675-$M5675-$N5675)</f>
      </c>
    </row>
    <row r="5676">
      <c r="A5676"/>
      <c r="B5676">
        <v>12</v>
      </c>
      <c r="C5676" s="43">
        <f>INDEX(DarlObj,12)</f>
      </c>
      <c r="D5676">
        <v>393</v>
      </c>
      <c r="E5676" s="51">
        <f>IF(INDEX(DarlBelegt,12)=0,0,EOMONTH(INDEX(DarlAuszahlung,12),392)+1)</f>
      </c>
      <c r="F5676" s="43">
        <f>IF($E5676=0,0,YEAR($E5676))</f>
      </c>
      <c r="G5676" s="43">
        <f>IF(INDEX(DarlBindung,12)="",1,IF($E5676&lt;=INDEX(DarlBindung,12),1,0))</f>
      </c>
      <c r="H5676" s="43">
        <f>IF($G5676=1,INDEX(DarlSollzins,12),INDEX(DarlAnschluss,12))</f>
      </c>
      <c r="I5676" s="43">
        <f>IF(INDEX(DarlBelegt,12)=0,0,IF(INDEX(DarlOhneTilgung,12)=1,IF(INDEX(DarlBindung,12)="",1,$G5676),IF($J5676&gt;0.005,1,0)))</f>
      </c>
      <c r="J5676" s="43">
        <f>IF($I5675=0,0,$R5675)</f>
      </c>
      <c r="K5676" s="43">
        <f>IF($I5676=0,0,IF(INDEX(DarlOhneTilgung,12)=1,0,IF(AND(INDEX(DarlTilgStart,12)&gt;0,$E5676=INDEX(DarlTilgStart,12)),$J5676*($H5676+INDEX(DarlTilgung,12))/100/12,IF(AND($G5676=0,$G5675=1),MAX($K5675,$J5676*($H5676+1)/100/12),$K5675))))</f>
      </c>
      <c r="L5676" s="43">
        <f>IF($I5676=0,0,$J5676*$H5676/100/12)</f>
      </c>
      <c r="M5676" s="43">
        <f>IF($I5676=0,0,IF(OR(INDEX(DarlOhneTilgung,12)=1,AND(INDEX(DarlTilgStart,12)&gt;0,$E5676&lt;INDEX(DarlTilgStart,12))),0,MIN(MAX(0,$K5676-$L5676),$J5676)))</f>
      </c>
      <c r="N5676" s="43">
        <f>IF($I5676=0,0,MIN(SUMIFS(SondBetrag,SondDarl,12,SondDatum,"&gt;="&amp;$E5676,SondDatum,"&lt;="&amp;EOMONTH($E5676,0)),$J5676-$M5676))</f>
      </c>
      <c r="O5676" s="43">
        <f>IF($I5676=0,0,INDEX(DarlErsatzRate,12))</f>
      </c>
      <c r="P5676" s="43">
        <f>IF($I5676=0,0,$Q5675*INDEX(DarlErsatzZins,12))</f>
      </c>
      <c r="Q5676" s="43">
        <f>IF($I5676=0,0,$Q5675+$P5676+$O5676)</f>
      </c>
      <c r="R5676" s="43">
        <f>IF($I5676=0,0,$J5676-$M5676-$N5676)</f>
      </c>
    </row>
    <row r="5677">
      <c r="A5677"/>
      <c r="B5677">
        <v>12</v>
      </c>
      <c r="C5677" s="43">
        <f>INDEX(DarlObj,12)</f>
      </c>
      <c r="D5677">
        <v>394</v>
      </c>
      <c r="E5677" s="51">
        <f>IF(INDEX(DarlBelegt,12)=0,0,EOMONTH(INDEX(DarlAuszahlung,12),393)+1)</f>
      </c>
      <c r="F5677" s="43">
        <f>IF($E5677=0,0,YEAR($E5677))</f>
      </c>
      <c r="G5677" s="43">
        <f>IF(INDEX(DarlBindung,12)="",1,IF($E5677&lt;=INDEX(DarlBindung,12),1,0))</f>
      </c>
      <c r="H5677" s="43">
        <f>IF($G5677=1,INDEX(DarlSollzins,12),INDEX(DarlAnschluss,12))</f>
      </c>
      <c r="I5677" s="43">
        <f>IF(INDEX(DarlBelegt,12)=0,0,IF(INDEX(DarlOhneTilgung,12)=1,IF(INDEX(DarlBindung,12)="",1,$G5677),IF($J5677&gt;0.005,1,0)))</f>
      </c>
      <c r="J5677" s="43">
        <f>IF($I5676=0,0,$R5676)</f>
      </c>
      <c r="K5677" s="43">
        <f>IF($I5677=0,0,IF(INDEX(DarlOhneTilgung,12)=1,0,IF(AND(INDEX(DarlTilgStart,12)&gt;0,$E5677=INDEX(DarlTilgStart,12)),$J5677*($H5677+INDEX(DarlTilgung,12))/100/12,IF(AND($G5677=0,$G5676=1),MAX($K5676,$J5677*($H5677+1)/100/12),$K5676))))</f>
      </c>
      <c r="L5677" s="43">
        <f>IF($I5677=0,0,$J5677*$H5677/100/12)</f>
      </c>
      <c r="M5677" s="43">
        <f>IF($I5677=0,0,IF(OR(INDEX(DarlOhneTilgung,12)=1,AND(INDEX(DarlTilgStart,12)&gt;0,$E5677&lt;INDEX(DarlTilgStart,12))),0,MIN(MAX(0,$K5677-$L5677),$J5677)))</f>
      </c>
      <c r="N5677" s="43">
        <f>IF($I5677=0,0,MIN(SUMIFS(SondBetrag,SondDarl,12,SondDatum,"&gt;="&amp;$E5677,SondDatum,"&lt;="&amp;EOMONTH($E5677,0)),$J5677-$M5677))</f>
      </c>
      <c r="O5677" s="43">
        <f>IF($I5677=0,0,INDEX(DarlErsatzRate,12))</f>
      </c>
      <c r="P5677" s="43">
        <f>IF($I5677=0,0,$Q5676*INDEX(DarlErsatzZins,12))</f>
      </c>
      <c r="Q5677" s="43">
        <f>IF($I5677=0,0,$Q5676+$P5677+$O5677)</f>
      </c>
      <c r="R5677" s="43">
        <f>IF($I5677=0,0,$J5677-$M5677-$N5677)</f>
      </c>
    </row>
    <row r="5678">
      <c r="A5678"/>
      <c r="B5678">
        <v>12</v>
      </c>
      <c r="C5678" s="43">
        <f>INDEX(DarlObj,12)</f>
      </c>
      <c r="D5678">
        <v>395</v>
      </c>
      <c r="E5678" s="51">
        <f>IF(INDEX(DarlBelegt,12)=0,0,EOMONTH(INDEX(DarlAuszahlung,12),394)+1)</f>
      </c>
      <c r="F5678" s="43">
        <f>IF($E5678=0,0,YEAR($E5678))</f>
      </c>
      <c r="G5678" s="43">
        <f>IF(INDEX(DarlBindung,12)="",1,IF($E5678&lt;=INDEX(DarlBindung,12),1,0))</f>
      </c>
      <c r="H5678" s="43">
        <f>IF($G5678=1,INDEX(DarlSollzins,12),INDEX(DarlAnschluss,12))</f>
      </c>
      <c r="I5678" s="43">
        <f>IF(INDEX(DarlBelegt,12)=0,0,IF(INDEX(DarlOhneTilgung,12)=1,IF(INDEX(DarlBindung,12)="",1,$G5678),IF($J5678&gt;0.005,1,0)))</f>
      </c>
      <c r="J5678" s="43">
        <f>IF($I5677=0,0,$R5677)</f>
      </c>
      <c r="K5678" s="43">
        <f>IF($I5678=0,0,IF(INDEX(DarlOhneTilgung,12)=1,0,IF(AND(INDEX(DarlTilgStart,12)&gt;0,$E5678=INDEX(DarlTilgStart,12)),$J5678*($H5678+INDEX(DarlTilgung,12))/100/12,IF(AND($G5678=0,$G5677=1),MAX($K5677,$J5678*($H5678+1)/100/12),$K5677))))</f>
      </c>
      <c r="L5678" s="43">
        <f>IF($I5678=0,0,$J5678*$H5678/100/12)</f>
      </c>
      <c r="M5678" s="43">
        <f>IF($I5678=0,0,IF(OR(INDEX(DarlOhneTilgung,12)=1,AND(INDEX(DarlTilgStart,12)&gt;0,$E5678&lt;INDEX(DarlTilgStart,12))),0,MIN(MAX(0,$K5678-$L5678),$J5678)))</f>
      </c>
      <c r="N5678" s="43">
        <f>IF($I5678=0,0,MIN(SUMIFS(SondBetrag,SondDarl,12,SondDatum,"&gt;="&amp;$E5678,SondDatum,"&lt;="&amp;EOMONTH($E5678,0)),$J5678-$M5678))</f>
      </c>
      <c r="O5678" s="43">
        <f>IF($I5678=0,0,INDEX(DarlErsatzRate,12))</f>
      </c>
      <c r="P5678" s="43">
        <f>IF($I5678=0,0,$Q5677*INDEX(DarlErsatzZins,12))</f>
      </c>
      <c r="Q5678" s="43">
        <f>IF($I5678=0,0,$Q5677+$P5678+$O5678)</f>
      </c>
      <c r="R5678" s="43">
        <f>IF($I5678=0,0,$J5678-$M5678-$N5678)</f>
      </c>
    </row>
    <row r="5679">
      <c r="A5679"/>
      <c r="B5679">
        <v>12</v>
      </c>
      <c r="C5679" s="43">
        <f>INDEX(DarlObj,12)</f>
      </c>
      <c r="D5679">
        <v>396</v>
      </c>
      <c r="E5679" s="51">
        <f>IF(INDEX(DarlBelegt,12)=0,0,EOMONTH(INDEX(DarlAuszahlung,12),395)+1)</f>
      </c>
      <c r="F5679" s="43">
        <f>IF($E5679=0,0,YEAR($E5679))</f>
      </c>
      <c r="G5679" s="43">
        <f>IF(INDEX(DarlBindung,12)="",1,IF($E5679&lt;=INDEX(DarlBindung,12),1,0))</f>
      </c>
      <c r="H5679" s="43">
        <f>IF($G5679=1,INDEX(DarlSollzins,12),INDEX(DarlAnschluss,12))</f>
      </c>
      <c r="I5679" s="43">
        <f>IF(INDEX(DarlBelegt,12)=0,0,IF(INDEX(DarlOhneTilgung,12)=1,IF(INDEX(DarlBindung,12)="",1,$G5679),IF($J5679&gt;0.005,1,0)))</f>
      </c>
      <c r="J5679" s="43">
        <f>IF($I5678=0,0,$R5678)</f>
      </c>
      <c r="K5679" s="43">
        <f>IF($I5679=0,0,IF(INDEX(DarlOhneTilgung,12)=1,0,IF(AND(INDEX(DarlTilgStart,12)&gt;0,$E5679=INDEX(DarlTilgStart,12)),$J5679*($H5679+INDEX(DarlTilgung,12))/100/12,IF(AND($G5679=0,$G5678=1),MAX($K5678,$J5679*($H5679+1)/100/12),$K5678))))</f>
      </c>
      <c r="L5679" s="43">
        <f>IF($I5679=0,0,$J5679*$H5679/100/12)</f>
      </c>
      <c r="M5679" s="43">
        <f>IF($I5679=0,0,IF(OR(INDEX(DarlOhneTilgung,12)=1,AND(INDEX(DarlTilgStart,12)&gt;0,$E5679&lt;INDEX(DarlTilgStart,12))),0,MIN(MAX(0,$K5679-$L5679),$J5679)))</f>
      </c>
      <c r="N5679" s="43">
        <f>IF($I5679=0,0,MIN(SUMIFS(SondBetrag,SondDarl,12,SondDatum,"&gt;="&amp;$E5679,SondDatum,"&lt;="&amp;EOMONTH($E5679,0)),$J5679-$M5679))</f>
      </c>
      <c r="O5679" s="43">
        <f>IF($I5679=0,0,INDEX(DarlErsatzRate,12))</f>
      </c>
      <c r="P5679" s="43">
        <f>IF($I5679=0,0,$Q5678*INDEX(DarlErsatzZins,12))</f>
      </c>
      <c r="Q5679" s="43">
        <f>IF($I5679=0,0,$Q5678+$P5679+$O5679)</f>
      </c>
      <c r="R5679" s="43">
        <f>IF($I5679=0,0,$J5679-$M5679-$N5679)</f>
      </c>
    </row>
    <row r="5680">
      <c r="A5680"/>
      <c r="B5680">
        <v>12</v>
      </c>
      <c r="C5680" s="43">
        <f>INDEX(DarlObj,12)</f>
      </c>
      <c r="D5680">
        <v>397</v>
      </c>
      <c r="E5680" s="51">
        <f>IF(INDEX(DarlBelegt,12)=0,0,EOMONTH(INDEX(DarlAuszahlung,12),396)+1)</f>
      </c>
      <c r="F5680" s="43">
        <f>IF($E5680=0,0,YEAR($E5680))</f>
      </c>
      <c r="G5680" s="43">
        <f>IF(INDEX(DarlBindung,12)="",1,IF($E5680&lt;=INDEX(DarlBindung,12),1,0))</f>
      </c>
      <c r="H5680" s="43">
        <f>IF($G5680=1,INDEX(DarlSollzins,12),INDEX(DarlAnschluss,12))</f>
      </c>
      <c r="I5680" s="43">
        <f>IF(INDEX(DarlBelegt,12)=0,0,IF(INDEX(DarlOhneTilgung,12)=1,IF(INDEX(DarlBindung,12)="",1,$G5680),IF($J5680&gt;0.005,1,0)))</f>
      </c>
      <c r="J5680" s="43">
        <f>IF($I5679=0,0,$R5679)</f>
      </c>
      <c r="K5680" s="43">
        <f>IF($I5680=0,0,IF(INDEX(DarlOhneTilgung,12)=1,0,IF(AND(INDEX(DarlTilgStart,12)&gt;0,$E5680=INDEX(DarlTilgStart,12)),$J5680*($H5680+INDEX(DarlTilgung,12))/100/12,IF(AND($G5680=0,$G5679=1),MAX($K5679,$J5680*($H5680+1)/100/12),$K5679))))</f>
      </c>
      <c r="L5680" s="43">
        <f>IF($I5680=0,0,$J5680*$H5680/100/12)</f>
      </c>
      <c r="M5680" s="43">
        <f>IF($I5680=0,0,IF(OR(INDEX(DarlOhneTilgung,12)=1,AND(INDEX(DarlTilgStart,12)&gt;0,$E5680&lt;INDEX(DarlTilgStart,12))),0,MIN(MAX(0,$K5680-$L5680),$J5680)))</f>
      </c>
      <c r="N5680" s="43">
        <f>IF($I5680=0,0,MIN(SUMIFS(SondBetrag,SondDarl,12,SondDatum,"&gt;="&amp;$E5680,SondDatum,"&lt;="&amp;EOMONTH($E5680,0)),$J5680-$M5680))</f>
      </c>
      <c r="O5680" s="43">
        <f>IF($I5680=0,0,INDEX(DarlErsatzRate,12))</f>
      </c>
      <c r="P5680" s="43">
        <f>IF($I5680=0,0,$Q5679*INDEX(DarlErsatzZins,12))</f>
      </c>
      <c r="Q5680" s="43">
        <f>IF($I5680=0,0,$Q5679+$P5680+$O5680)</f>
      </c>
      <c r="R5680" s="43">
        <f>IF($I5680=0,0,$J5680-$M5680-$N5680)</f>
      </c>
    </row>
    <row r="5681">
      <c r="A5681"/>
      <c r="B5681">
        <v>12</v>
      </c>
      <c r="C5681" s="43">
        <f>INDEX(DarlObj,12)</f>
      </c>
      <c r="D5681">
        <v>398</v>
      </c>
      <c r="E5681" s="51">
        <f>IF(INDEX(DarlBelegt,12)=0,0,EOMONTH(INDEX(DarlAuszahlung,12),397)+1)</f>
      </c>
      <c r="F5681" s="43">
        <f>IF($E5681=0,0,YEAR($E5681))</f>
      </c>
      <c r="G5681" s="43">
        <f>IF(INDEX(DarlBindung,12)="",1,IF($E5681&lt;=INDEX(DarlBindung,12),1,0))</f>
      </c>
      <c r="H5681" s="43">
        <f>IF($G5681=1,INDEX(DarlSollzins,12),INDEX(DarlAnschluss,12))</f>
      </c>
      <c r="I5681" s="43">
        <f>IF(INDEX(DarlBelegt,12)=0,0,IF(INDEX(DarlOhneTilgung,12)=1,IF(INDEX(DarlBindung,12)="",1,$G5681),IF($J5681&gt;0.005,1,0)))</f>
      </c>
      <c r="J5681" s="43">
        <f>IF($I5680=0,0,$R5680)</f>
      </c>
      <c r="K5681" s="43">
        <f>IF($I5681=0,0,IF(INDEX(DarlOhneTilgung,12)=1,0,IF(AND(INDEX(DarlTilgStart,12)&gt;0,$E5681=INDEX(DarlTilgStart,12)),$J5681*($H5681+INDEX(DarlTilgung,12))/100/12,IF(AND($G5681=0,$G5680=1),MAX($K5680,$J5681*($H5681+1)/100/12),$K5680))))</f>
      </c>
      <c r="L5681" s="43">
        <f>IF($I5681=0,0,$J5681*$H5681/100/12)</f>
      </c>
      <c r="M5681" s="43">
        <f>IF($I5681=0,0,IF(OR(INDEX(DarlOhneTilgung,12)=1,AND(INDEX(DarlTilgStart,12)&gt;0,$E5681&lt;INDEX(DarlTilgStart,12))),0,MIN(MAX(0,$K5681-$L5681),$J5681)))</f>
      </c>
      <c r="N5681" s="43">
        <f>IF($I5681=0,0,MIN(SUMIFS(SondBetrag,SondDarl,12,SondDatum,"&gt;="&amp;$E5681,SondDatum,"&lt;="&amp;EOMONTH($E5681,0)),$J5681-$M5681))</f>
      </c>
      <c r="O5681" s="43">
        <f>IF($I5681=0,0,INDEX(DarlErsatzRate,12))</f>
      </c>
      <c r="P5681" s="43">
        <f>IF($I5681=0,0,$Q5680*INDEX(DarlErsatzZins,12))</f>
      </c>
      <c r="Q5681" s="43">
        <f>IF($I5681=0,0,$Q5680+$P5681+$O5681)</f>
      </c>
      <c r="R5681" s="43">
        <f>IF($I5681=0,0,$J5681-$M5681-$N5681)</f>
      </c>
    </row>
    <row r="5682">
      <c r="A5682"/>
      <c r="B5682">
        <v>12</v>
      </c>
      <c r="C5682" s="43">
        <f>INDEX(DarlObj,12)</f>
      </c>
      <c r="D5682">
        <v>399</v>
      </c>
      <c r="E5682" s="51">
        <f>IF(INDEX(DarlBelegt,12)=0,0,EOMONTH(INDEX(DarlAuszahlung,12),398)+1)</f>
      </c>
      <c r="F5682" s="43">
        <f>IF($E5682=0,0,YEAR($E5682))</f>
      </c>
      <c r="G5682" s="43">
        <f>IF(INDEX(DarlBindung,12)="",1,IF($E5682&lt;=INDEX(DarlBindung,12),1,0))</f>
      </c>
      <c r="H5682" s="43">
        <f>IF($G5682=1,INDEX(DarlSollzins,12),INDEX(DarlAnschluss,12))</f>
      </c>
      <c r="I5682" s="43">
        <f>IF(INDEX(DarlBelegt,12)=0,0,IF(INDEX(DarlOhneTilgung,12)=1,IF(INDEX(DarlBindung,12)="",1,$G5682),IF($J5682&gt;0.005,1,0)))</f>
      </c>
      <c r="J5682" s="43">
        <f>IF($I5681=0,0,$R5681)</f>
      </c>
      <c r="K5682" s="43">
        <f>IF($I5682=0,0,IF(INDEX(DarlOhneTilgung,12)=1,0,IF(AND(INDEX(DarlTilgStart,12)&gt;0,$E5682=INDEX(DarlTilgStart,12)),$J5682*($H5682+INDEX(DarlTilgung,12))/100/12,IF(AND($G5682=0,$G5681=1),MAX($K5681,$J5682*($H5682+1)/100/12),$K5681))))</f>
      </c>
      <c r="L5682" s="43">
        <f>IF($I5682=0,0,$J5682*$H5682/100/12)</f>
      </c>
      <c r="M5682" s="43">
        <f>IF($I5682=0,0,IF(OR(INDEX(DarlOhneTilgung,12)=1,AND(INDEX(DarlTilgStart,12)&gt;0,$E5682&lt;INDEX(DarlTilgStart,12))),0,MIN(MAX(0,$K5682-$L5682),$J5682)))</f>
      </c>
      <c r="N5682" s="43">
        <f>IF($I5682=0,0,MIN(SUMIFS(SondBetrag,SondDarl,12,SondDatum,"&gt;="&amp;$E5682,SondDatum,"&lt;="&amp;EOMONTH($E5682,0)),$J5682-$M5682))</f>
      </c>
      <c r="O5682" s="43">
        <f>IF($I5682=0,0,INDEX(DarlErsatzRate,12))</f>
      </c>
      <c r="P5682" s="43">
        <f>IF($I5682=0,0,$Q5681*INDEX(DarlErsatzZins,12))</f>
      </c>
      <c r="Q5682" s="43">
        <f>IF($I5682=0,0,$Q5681+$P5682+$O5682)</f>
      </c>
      <c r="R5682" s="43">
        <f>IF($I5682=0,0,$J5682-$M5682-$N5682)</f>
      </c>
    </row>
    <row r="5683">
      <c r="A5683"/>
      <c r="B5683">
        <v>12</v>
      </c>
      <c r="C5683" s="43">
        <f>INDEX(DarlObj,12)</f>
      </c>
      <c r="D5683">
        <v>400</v>
      </c>
      <c r="E5683" s="51">
        <f>IF(INDEX(DarlBelegt,12)=0,0,EOMONTH(INDEX(DarlAuszahlung,12),399)+1)</f>
      </c>
      <c r="F5683" s="43">
        <f>IF($E5683=0,0,YEAR($E5683))</f>
      </c>
      <c r="G5683" s="43">
        <f>IF(INDEX(DarlBindung,12)="",1,IF($E5683&lt;=INDEX(DarlBindung,12),1,0))</f>
      </c>
      <c r="H5683" s="43">
        <f>IF($G5683=1,INDEX(DarlSollzins,12),INDEX(DarlAnschluss,12))</f>
      </c>
      <c r="I5683" s="43">
        <f>IF(INDEX(DarlBelegt,12)=0,0,IF(INDEX(DarlOhneTilgung,12)=1,IF(INDEX(DarlBindung,12)="",1,$G5683),IF($J5683&gt;0.005,1,0)))</f>
      </c>
      <c r="J5683" s="43">
        <f>IF($I5682=0,0,$R5682)</f>
      </c>
      <c r="K5683" s="43">
        <f>IF($I5683=0,0,IF(INDEX(DarlOhneTilgung,12)=1,0,IF(AND(INDEX(DarlTilgStart,12)&gt;0,$E5683=INDEX(DarlTilgStart,12)),$J5683*($H5683+INDEX(DarlTilgung,12))/100/12,IF(AND($G5683=0,$G5682=1),MAX($K5682,$J5683*($H5683+1)/100/12),$K5682))))</f>
      </c>
      <c r="L5683" s="43">
        <f>IF($I5683=0,0,$J5683*$H5683/100/12)</f>
      </c>
      <c r="M5683" s="43">
        <f>IF($I5683=0,0,IF(OR(INDEX(DarlOhneTilgung,12)=1,AND(INDEX(DarlTilgStart,12)&gt;0,$E5683&lt;INDEX(DarlTilgStart,12))),0,MIN(MAX(0,$K5683-$L5683),$J5683)))</f>
      </c>
      <c r="N5683" s="43">
        <f>IF($I5683=0,0,MIN(SUMIFS(SondBetrag,SondDarl,12,SondDatum,"&gt;="&amp;$E5683,SondDatum,"&lt;="&amp;EOMONTH($E5683,0)),$J5683-$M5683))</f>
      </c>
      <c r="O5683" s="43">
        <f>IF($I5683=0,0,INDEX(DarlErsatzRate,12))</f>
      </c>
      <c r="P5683" s="43">
        <f>IF($I5683=0,0,$Q5682*INDEX(DarlErsatzZins,12))</f>
      </c>
      <c r="Q5683" s="43">
        <f>IF($I5683=0,0,$Q5682+$P5683+$O5683)</f>
      </c>
      <c r="R5683" s="43">
        <f>IF($I5683=0,0,$J5683-$M5683-$N5683)</f>
      </c>
    </row>
    <row r="5684">
      <c r="A5684"/>
      <c r="B5684">
        <v>12</v>
      </c>
      <c r="C5684" s="43">
        <f>INDEX(DarlObj,12)</f>
      </c>
      <c r="D5684">
        <v>401</v>
      </c>
      <c r="E5684" s="51">
        <f>IF(INDEX(DarlBelegt,12)=0,0,EOMONTH(INDEX(DarlAuszahlung,12),400)+1)</f>
      </c>
      <c r="F5684" s="43">
        <f>IF($E5684=0,0,YEAR($E5684))</f>
      </c>
      <c r="G5684" s="43">
        <f>IF(INDEX(DarlBindung,12)="",1,IF($E5684&lt;=INDEX(DarlBindung,12),1,0))</f>
      </c>
      <c r="H5684" s="43">
        <f>IF($G5684=1,INDEX(DarlSollzins,12),INDEX(DarlAnschluss,12))</f>
      </c>
      <c r="I5684" s="43">
        <f>IF(INDEX(DarlBelegt,12)=0,0,IF(INDEX(DarlOhneTilgung,12)=1,IF(INDEX(DarlBindung,12)="",1,$G5684),IF($J5684&gt;0.005,1,0)))</f>
      </c>
      <c r="J5684" s="43">
        <f>IF($I5683=0,0,$R5683)</f>
      </c>
      <c r="K5684" s="43">
        <f>IF($I5684=0,0,IF(INDEX(DarlOhneTilgung,12)=1,0,IF(AND(INDEX(DarlTilgStart,12)&gt;0,$E5684=INDEX(DarlTilgStart,12)),$J5684*($H5684+INDEX(DarlTilgung,12))/100/12,IF(AND($G5684=0,$G5683=1),MAX($K5683,$J5684*($H5684+1)/100/12),$K5683))))</f>
      </c>
      <c r="L5684" s="43">
        <f>IF($I5684=0,0,$J5684*$H5684/100/12)</f>
      </c>
      <c r="M5684" s="43">
        <f>IF($I5684=0,0,IF(OR(INDEX(DarlOhneTilgung,12)=1,AND(INDEX(DarlTilgStart,12)&gt;0,$E5684&lt;INDEX(DarlTilgStart,12))),0,MIN(MAX(0,$K5684-$L5684),$J5684)))</f>
      </c>
      <c r="N5684" s="43">
        <f>IF($I5684=0,0,MIN(SUMIFS(SondBetrag,SondDarl,12,SondDatum,"&gt;="&amp;$E5684,SondDatum,"&lt;="&amp;EOMONTH($E5684,0)),$J5684-$M5684))</f>
      </c>
      <c r="O5684" s="43">
        <f>IF($I5684=0,0,INDEX(DarlErsatzRate,12))</f>
      </c>
      <c r="P5684" s="43">
        <f>IF($I5684=0,0,$Q5683*INDEX(DarlErsatzZins,12))</f>
      </c>
      <c r="Q5684" s="43">
        <f>IF($I5684=0,0,$Q5683+$P5684+$O5684)</f>
      </c>
      <c r="R5684" s="43">
        <f>IF($I5684=0,0,$J5684-$M5684-$N5684)</f>
      </c>
    </row>
    <row r="5685">
      <c r="A5685"/>
      <c r="B5685">
        <v>12</v>
      </c>
      <c r="C5685" s="43">
        <f>INDEX(DarlObj,12)</f>
      </c>
      <c r="D5685">
        <v>402</v>
      </c>
      <c r="E5685" s="51">
        <f>IF(INDEX(DarlBelegt,12)=0,0,EOMONTH(INDEX(DarlAuszahlung,12),401)+1)</f>
      </c>
      <c r="F5685" s="43">
        <f>IF($E5685=0,0,YEAR($E5685))</f>
      </c>
      <c r="G5685" s="43">
        <f>IF(INDEX(DarlBindung,12)="",1,IF($E5685&lt;=INDEX(DarlBindung,12),1,0))</f>
      </c>
      <c r="H5685" s="43">
        <f>IF($G5685=1,INDEX(DarlSollzins,12),INDEX(DarlAnschluss,12))</f>
      </c>
      <c r="I5685" s="43">
        <f>IF(INDEX(DarlBelegt,12)=0,0,IF(INDEX(DarlOhneTilgung,12)=1,IF(INDEX(DarlBindung,12)="",1,$G5685),IF($J5685&gt;0.005,1,0)))</f>
      </c>
      <c r="J5685" s="43">
        <f>IF($I5684=0,0,$R5684)</f>
      </c>
      <c r="K5685" s="43">
        <f>IF($I5685=0,0,IF(INDEX(DarlOhneTilgung,12)=1,0,IF(AND(INDEX(DarlTilgStart,12)&gt;0,$E5685=INDEX(DarlTilgStart,12)),$J5685*($H5685+INDEX(DarlTilgung,12))/100/12,IF(AND($G5685=0,$G5684=1),MAX($K5684,$J5685*($H5685+1)/100/12),$K5684))))</f>
      </c>
      <c r="L5685" s="43">
        <f>IF($I5685=0,0,$J5685*$H5685/100/12)</f>
      </c>
      <c r="M5685" s="43">
        <f>IF($I5685=0,0,IF(OR(INDEX(DarlOhneTilgung,12)=1,AND(INDEX(DarlTilgStart,12)&gt;0,$E5685&lt;INDEX(DarlTilgStart,12))),0,MIN(MAX(0,$K5685-$L5685),$J5685)))</f>
      </c>
      <c r="N5685" s="43">
        <f>IF($I5685=0,0,MIN(SUMIFS(SondBetrag,SondDarl,12,SondDatum,"&gt;="&amp;$E5685,SondDatum,"&lt;="&amp;EOMONTH($E5685,0)),$J5685-$M5685))</f>
      </c>
      <c r="O5685" s="43">
        <f>IF($I5685=0,0,INDEX(DarlErsatzRate,12))</f>
      </c>
      <c r="P5685" s="43">
        <f>IF($I5685=0,0,$Q5684*INDEX(DarlErsatzZins,12))</f>
      </c>
      <c r="Q5685" s="43">
        <f>IF($I5685=0,0,$Q5684+$P5685+$O5685)</f>
      </c>
      <c r="R5685" s="43">
        <f>IF($I5685=0,0,$J5685-$M5685-$N5685)</f>
      </c>
    </row>
    <row r="5686">
      <c r="A5686"/>
      <c r="B5686">
        <v>12</v>
      </c>
      <c r="C5686" s="43">
        <f>INDEX(DarlObj,12)</f>
      </c>
      <c r="D5686">
        <v>403</v>
      </c>
      <c r="E5686" s="51">
        <f>IF(INDEX(DarlBelegt,12)=0,0,EOMONTH(INDEX(DarlAuszahlung,12),402)+1)</f>
      </c>
      <c r="F5686" s="43">
        <f>IF($E5686=0,0,YEAR($E5686))</f>
      </c>
      <c r="G5686" s="43">
        <f>IF(INDEX(DarlBindung,12)="",1,IF($E5686&lt;=INDEX(DarlBindung,12),1,0))</f>
      </c>
      <c r="H5686" s="43">
        <f>IF($G5686=1,INDEX(DarlSollzins,12),INDEX(DarlAnschluss,12))</f>
      </c>
      <c r="I5686" s="43">
        <f>IF(INDEX(DarlBelegt,12)=0,0,IF(INDEX(DarlOhneTilgung,12)=1,IF(INDEX(DarlBindung,12)="",1,$G5686),IF($J5686&gt;0.005,1,0)))</f>
      </c>
      <c r="J5686" s="43">
        <f>IF($I5685=0,0,$R5685)</f>
      </c>
      <c r="K5686" s="43">
        <f>IF($I5686=0,0,IF(INDEX(DarlOhneTilgung,12)=1,0,IF(AND(INDEX(DarlTilgStart,12)&gt;0,$E5686=INDEX(DarlTilgStart,12)),$J5686*($H5686+INDEX(DarlTilgung,12))/100/12,IF(AND($G5686=0,$G5685=1),MAX($K5685,$J5686*($H5686+1)/100/12),$K5685))))</f>
      </c>
      <c r="L5686" s="43">
        <f>IF($I5686=0,0,$J5686*$H5686/100/12)</f>
      </c>
      <c r="M5686" s="43">
        <f>IF($I5686=0,0,IF(OR(INDEX(DarlOhneTilgung,12)=1,AND(INDEX(DarlTilgStart,12)&gt;0,$E5686&lt;INDEX(DarlTilgStart,12))),0,MIN(MAX(0,$K5686-$L5686),$J5686)))</f>
      </c>
      <c r="N5686" s="43">
        <f>IF($I5686=0,0,MIN(SUMIFS(SondBetrag,SondDarl,12,SondDatum,"&gt;="&amp;$E5686,SondDatum,"&lt;="&amp;EOMONTH($E5686,0)),$J5686-$M5686))</f>
      </c>
      <c r="O5686" s="43">
        <f>IF($I5686=0,0,INDEX(DarlErsatzRate,12))</f>
      </c>
      <c r="P5686" s="43">
        <f>IF($I5686=0,0,$Q5685*INDEX(DarlErsatzZins,12))</f>
      </c>
      <c r="Q5686" s="43">
        <f>IF($I5686=0,0,$Q5685+$P5686+$O5686)</f>
      </c>
      <c r="R5686" s="43">
        <f>IF($I5686=0,0,$J5686-$M5686-$N5686)</f>
      </c>
    </row>
    <row r="5687">
      <c r="A5687"/>
      <c r="B5687">
        <v>12</v>
      </c>
      <c r="C5687" s="43">
        <f>INDEX(DarlObj,12)</f>
      </c>
      <c r="D5687">
        <v>404</v>
      </c>
      <c r="E5687" s="51">
        <f>IF(INDEX(DarlBelegt,12)=0,0,EOMONTH(INDEX(DarlAuszahlung,12),403)+1)</f>
      </c>
      <c r="F5687" s="43">
        <f>IF($E5687=0,0,YEAR($E5687))</f>
      </c>
      <c r="G5687" s="43">
        <f>IF(INDEX(DarlBindung,12)="",1,IF($E5687&lt;=INDEX(DarlBindung,12),1,0))</f>
      </c>
      <c r="H5687" s="43">
        <f>IF($G5687=1,INDEX(DarlSollzins,12),INDEX(DarlAnschluss,12))</f>
      </c>
      <c r="I5687" s="43">
        <f>IF(INDEX(DarlBelegt,12)=0,0,IF(INDEX(DarlOhneTilgung,12)=1,IF(INDEX(DarlBindung,12)="",1,$G5687),IF($J5687&gt;0.005,1,0)))</f>
      </c>
      <c r="J5687" s="43">
        <f>IF($I5686=0,0,$R5686)</f>
      </c>
      <c r="K5687" s="43">
        <f>IF($I5687=0,0,IF(INDEX(DarlOhneTilgung,12)=1,0,IF(AND(INDEX(DarlTilgStart,12)&gt;0,$E5687=INDEX(DarlTilgStart,12)),$J5687*($H5687+INDEX(DarlTilgung,12))/100/12,IF(AND($G5687=0,$G5686=1),MAX($K5686,$J5687*($H5687+1)/100/12),$K5686))))</f>
      </c>
      <c r="L5687" s="43">
        <f>IF($I5687=0,0,$J5687*$H5687/100/12)</f>
      </c>
      <c r="M5687" s="43">
        <f>IF($I5687=0,0,IF(OR(INDEX(DarlOhneTilgung,12)=1,AND(INDEX(DarlTilgStart,12)&gt;0,$E5687&lt;INDEX(DarlTilgStart,12))),0,MIN(MAX(0,$K5687-$L5687),$J5687)))</f>
      </c>
      <c r="N5687" s="43">
        <f>IF($I5687=0,0,MIN(SUMIFS(SondBetrag,SondDarl,12,SondDatum,"&gt;="&amp;$E5687,SondDatum,"&lt;="&amp;EOMONTH($E5687,0)),$J5687-$M5687))</f>
      </c>
      <c r="O5687" s="43">
        <f>IF($I5687=0,0,INDEX(DarlErsatzRate,12))</f>
      </c>
      <c r="P5687" s="43">
        <f>IF($I5687=0,0,$Q5686*INDEX(DarlErsatzZins,12))</f>
      </c>
      <c r="Q5687" s="43">
        <f>IF($I5687=0,0,$Q5686+$P5687+$O5687)</f>
      </c>
      <c r="R5687" s="43">
        <f>IF($I5687=0,0,$J5687-$M5687-$N5687)</f>
      </c>
    </row>
    <row r="5688">
      <c r="A5688"/>
      <c r="B5688">
        <v>12</v>
      </c>
      <c r="C5688" s="43">
        <f>INDEX(DarlObj,12)</f>
      </c>
      <c r="D5688">
        <v>405</v>
      </c>
      <c r="E5688" s="51">
        <f>IF(INDEX(DarlBelegt,12)=0,0,EOMONTH(INDEX(DarlAuszahlung,12),404)+1)</f>
      </c>
      <c r="F5688" s="43">
        <f>IF($E5688=0,0,YEAR($E5688))</f>
      </c>
      <c r="G5688" s="43">
        <f>IF(INDEX(DarlBindung,12)="",1,IF($E5688&lt;=INDEX(DarlBindung,12),1,0))</f>
      </c>
      <c r="H5688" s="43">
        <f>IF($G5688=1,INDEX(DarlSollzins,12),INDEX(DarlAnschluss,12))</f>
      </c>
      <c r="I5688" s="43">
        <f>IF(INDEX(DarlBelegt,12)=0,0,IF(INDEX(DarlOhneTilgung,12)=1,IF(INDEX(DarlBindung,12)="",1,$G5688),IF($J5688&gt;0.005,1,0)))</f>
      </c>
      <c r="J5688" s="43">
        <f>IF($I5687=0,0,$R5687)</f>
      </c>
      <c r="K5688" s="43">
        <f>IF($I5688=0,0,IF(INDEX(DarlOhneTilgung,12)=1,0,IF(AND(INDEX(DarlTilgStart,12)&gt;0,$E5688=INDEX(DarlTilgStart,12)),$J5688*($H5688+INDEX(DarlTilgung,12))/100/12,IF(AND($G5688=0,$G5687=1),MAX($K5687,$J5688*($H5688+1)/100/12),$K5687))))</f>
      </c>
      <c r="L5688" s="43">
        <f>IF($I5688=0,0,$J5688*$H5688/100/12)</f>
      </c>
      <c r="M5688" s="43">
        <f>IF($I5688=0,0,IF(OR(INDEX(DarlOhneTilgung,12)=1,AND(INDEX(DarlTilgStart,12)&gt;0,$E5688&lt;INDEX(DarlTilgStart,12))),0,MIN(MAX(0,$K5688-$L5688),$J5688)))</f>
      </c>
      <c r="N5688" s="43">
        <f>IF($I5688=0,0,MIN(SUMIFS(SondBetrag,SondDarl,12,SondDatum,"&gt;="&amp;$E5688,SondDatum,"&lt;="&amp;EOMONTH($E5688,0)),$J5688-$M5688))</f>
      </c>
      <c r="O5688" s="43">
        <f>IF($I5688=0,0,INDEX(DarlErsatzRate,12))</f>
      </c>
      <c r="P5688" s="43">
        <f>IF($I5688=0,0,$Q5687*INDEX(DarlErsatzZins,12))</f>
      </c>
      <c r="Q5688" s="43">
        <f>IF($I5688=0,0,$Q5687+$P5688+$O5688)</f>
      </c>
      <c r="R5688" s="43">
        <f>IF($I5688=0,0,$J5688-$M5688-$N5688)</f>
      </c>
    </row>
    <row r="5689">
      <c r="A5689"/>
      <c r="B5689">
        <v>12</v>
      </c>
      <c r="C5689" s="43">
        <f>INDEX(DarlObj,12)</f>
      </c>
      <c r="D5689">
        <v>406</v>
      </c>
      <c r="E5689" s="51">
        <f>IF(INDEX(DarlBelegt,12)=0,0,EOMONTH(INDEX(DarlAuszahlung,12),405)+1)</f>
      </c>
      <c r="F5689" s="43">
        <f>IF($E5689=0,0,YEAR($E5689))</f>
      </c>
      <c r="G5689" s="43">
        <f>IF(INDEX(DarlBindung,12)="",1,IF($E5689&lt;=INDEX(DarlBindung,12),1,0))</f>
      </c>
      <c r="H5689" s="43">
        <f>IF($G5689=1,INDEX(DarlSollzins,12),INDEX(DarlAnschluss,12))</f>
      </c>
      <c r="I5689" s="43">
        <f>IF(INDEX(DarlBelegt,12)=0,0,IF(INDEX(DarlOhneTilgung,12)=1,IF(INDEX(DarlBindung,12)="",1,$G5689),IF($J5689&gt;0.005,1,0)))</f>
      </c>
      <c r="J5689" s="43">
        <f>IF($I5688=0,0,$R5688)</f>
      </c>
      <c r="K5689" s="43">
        <f>IF($I5689=0,0,IF(INDEX(DarlOhneTilgung,12)=1,0,IF(AND(INDEX(DarlTilgStart,12)&gt;0,$E5689=INDEX(DarlTilgStart,12)),$J5689*($H5689+INDEX(DarlTilgung,12))/100/12,IF(AND($G5689=0,$G5688=1),MAX($K5688,$J5689*($H5689+1)/100/12),$K5688))))</f>
      </c>
      <c r="L5689" s="43">
        <f>IF($I5689=0,0,$J5689*$H5689/100/12)</f>
      </c>
      <c r="M5689" s="43">
        <f>IF($I5689=0,0,IF(OR(INDEX(DarlOhneTilgung,12)=1,AND(INDEX(DarlTilgStart,12)&gt;0,$E5689&lt;INDEX(DarlTilgStart,12))),0,MIN(MAX(0,$K5689-$L5689),$J5689)))</f>
      </c>
      <c r="N5689" s="43">
        <f>IF($I5689=0,0,MIN(SUMIFS(SondBetrag,SondDarl,12,SondDatum,"&gt;="&amp;$E5689,SondDatum,"&lt;="&amp;EOMONTH($E5689,0)),$J5689-$M5689))</f>
      </c>
      <c r="O5689" s="43">
        <f>IF($I5689=0,0,INDEX(DarlErsatzRate,12))</f>
      </c>
      <c r="P5689" s="43">
        <f>IF($I5689=0,0,$Q5688*INDEX(DarlErsatzZins,12))</f>
      </c>
      <c r="Q5689" s="43">
        <f>IF($I5689=0,0,$Q5688+$P5689+$O5689)</f>
      </c>
      <c r="R5689" s="43">
        <f>IF($I5689=0,0,$J5689-$M5689-$N5689)</f>
      </c>
    </row>
    <row r="5690">
      <c r="A5690"/>
      <c r="B5690">
        <v>12</v>
      </c>
      <c r="C5690" s="43">
        <f>INDEX(DarlObj,12)</f>
      </c>
      <c r="D5690">
        <v>407</v>
      </c>
      <c r="E5690" s="51">
        <f>IF(INDEX(DarlBelegt,12)=0,0,EOMONTH(INDEX(DarlAuszahlung,12),406)+1)</f>
      </c>
      <c r="F5690" s="43">
        <f>IF($E5690=0,0,YEAR($E5690))</f>
      </c>
      <c r="G5690" s="43">
        <f>IF(INDEX(DarlBindung,12)="",1,IF($E5690&lt;=INDEX(DarlBindung,12),1,0))</f>
      </c>
      <c r="H5690" s="43">
        <f>IF($G5690=1,INDEX(DarlSollzins,12),INDEX(DarlAnschluss,12))</f>
      </c>
      <c r="I5690" s="43">
        <f>IF(INDEX(DarlBelegt,12)=0,0,IF(INDEX(DarlOhneTilgung,12)=1,IF(INDEX(DarlBindung,12)="",1,$G5690),IF($J5690&gt;0.005,1,0)))</f>
      </c>
      <c r="J5690" s="43">
        <f>IF($I5689=0,0,$R5689)</f>
      </c>
      <c r="K5690" s="43">
        <f>IF($I5690=0,0,IF(INDEX(DarlOhneTilgung,12)=1,0,IF(AND(INDEX(DarlTilgStart,12)&gt;0,$E5690=INDEX(DarlTilgStart,12)),$J5690*($H5690+INDEX(DarlTilgung,12))/100/12,IF(AND($G5690=0,$G5689=1),MAX($K5689,$J5690*($H5690+1)/100/12),$K5689))))</f>
      </c>
      <c r="L5690" s="43">
        <f>IF($I5690=0,0,$J5690*$H5690/100/12)</f>
      </c>
      <c r="M5690" s="43">
        <f>IF($I5690=0,0,IF(OR(INDEX(DarlOhneTilgung,12)=1,AND(INDEX(DarlTilgStart,12)&gt;0,$E5690&lt;INDEX(DarlTilgStart,12))),0,MIN(MAX(0,$K5690-$L5690),$J5690)))</f>
      </c>
      <c r="N5690" s="43">
        <f>IF($I5690=0,0,MIN(SUMIFS(SondBetrag,SondDarl,12,SondDatum,"&gt;="&amp;$E5690,SondDatum,"&lt;="&amp;EOMONTH($E5690,0)),$J5690-$M5690))</f>
      </c>
      <c r="O5690" s="43">
        <f>IF($I5690=0,0,INDEX(DarlErsatzRate,12))</f>
      </c>
      <c r="P5690" s="43">
        <f>IF($I5690=0,0,$Q5689*INDEX(DarlErsatzZins,12))</f>
      </c>
      <c r="Q5690" s="43">
        <f>IF($I5690=0,0,$Q5689+$P5690+$O5690)</f>
      </c>
      <c r="R5690" s="43">
        <f>IF($I5690=0,0,$J5690-$M5690-$N5690)</f>
      </c>
    </row>
    <row r="5691">
      <c r="A5691"/>
      <c r="B5691">
        <v>12</v>
      </c>
      <c r="C5691" s="43">
        <f>INDEX(DarlObj,12)</f>
      </c>
      <c r="D5691">
        <v>408</v>
      </c>
      <c r="E5691" s="51">
        <f>IF(INDEX(DarlBelegt,12)=0,0,EOMONTH(INDEX(DarlAuszahlung,12),407)+1)</f>
      </c>
      <c r="F5691" s="43">
        <f>IF($E5691=0,0,YEAR($E5691))</f>
      </c>
      <c r="G5691" s="43">
        <f>IF(INDEX(DarlBindung,12)="",1,IF($E5691&lt;=INDEX(DarlBindung,12),1,0))</f>
      </c>
      <c r="H5691" s="43">
        <f>IF($G5691=1,INDEX(DarlSollzins,12),INDEX(DarlAnschluss,12))</f>
      </c>
      <c r="I5691" s="43">
        <f>IF(INDEX(DarlBelegt,12)=0,0,IF(INDEX(DarlOhneTilgung,12)=1,IF(INDEX(DarlBindung,12)="",1,$G5691),IF($J5691&gt;0.005,1,0)))</f>
      </c>
      <c r="J5691" s="43">
        <f>IF($I5690=0,0,$R5690)</f>
      </c>
      <c r="K5691" s="43">
        <f>IF($I5691=0,0,IF(INDEX(DarlOhneTilgung,12)=1,0,IF(AND(INDEX(DarlTilgStart,12)&gt;0,$E5691=INDEX(DarlTilgStart,12)),$J5691*($H5691+INDEX(DarlTilgung,12))/100/12,IF(AND($G5691=0,$G5690=1),MAX($K5690,$J5691*($H5691+1)/100/12),$K5690))))</f>
      </c>
      <c r="L5691" s="43">
        <f>IF($I5691=0,0,$J5691*$H5691/100/12)</f>
      </c>
      <c r="M5691" s="43">
        <f>IF($I5691=0,0,IF(OR(INDEX(DarlOhneTilgung,12)=1,AND(INDEX(DarlTilgStart,12)&gt;0,$E5691&lt;INDEX(DarlTilgStart,12))),0,MIN(MAX(0,$K5691-$L5691),$J5691)))</f>
      </c>
      <c r="N5691" s="43">
        <f>IF($I5691=0,0,MIN(SUMIFS(SondBetrag,SondDarl,12,SondDatum,"&gt;="&amp;$E5691,SondDatum,"&lt;="&amp;EOMONTH($E5691,0)),$J5691-$M5691))</f>
      </c>
      <c r="O5691" s="43">
        <f>IF($I5691=0,0,INDEX(DarlErsatzRate,12))</f>
      </c>
      <c r="P5691" s="43">
        <f>IF($I5691=0,0,$Q5690*INDEX(DarlErsatzZins,12))</f>
      </c>
      <c r="Q5691" s="43">
        <f>IF($I5691=0,0,$Q5690+$P5691+$O5691)</f>
      </c>
      <c r="R5691" s="43">
        <f>IF($I5691=0,0,$J5691-$M5691-$N5691)</f>
      </c>
    </row>
    <row r="5692">
      <c r="A5692"/>
      <c r="B5692">
        <v>12</v>
      </c>
      <c r="C5692" s="43">
        <f>INDEX(DarlObj,12)</f>
      </c>
      <c r="D5692">
        <v>409</v>
      </c>
      <c r="E5692" s="51">
        <f>IF(INDEX(DarlBelegt,12)=0,0,EOMONTH(INDEX(DarlAuszahlung,12),408)+1)</f>
      </c>
      <c r="F5692" s="43">
        <f>IF($E5692=0,0,YEAR($E5692))</f>
      </c>
      <c r="G5692" s="43">
        <f>IF(INDEX(DarlBindung,12)="",1,IF($E5692&lt;=INDEX(DarlBindung,12),1,0))</f>
      </c>
      <c r="H5692" s="43">
        <f>IF($G5692=1,INDEX(DarlSollzins,12),INDEX(DarlAnschluss,12))</f>
      </c>
      <c r="I5692" s="43">
        <f>IF(INDEX(DarlBelegt,12)=0,0,IF(INDEX(DarlOhneTilgung,12)=1,IF(INDEX(DarlBindung,12)="",1,$G5692),IF($J5692&gt;0.005,1,0)))</f>
      </c>
      <c r="J5692" s="43">
        <f>IF($I5691=0,0,$R5691)</f>
      </c>
      <c r="K5692" s="43">
        <f>IF($I5692=0,0,IF(INDEX(DarlOhneTilgung,12)=1,0,IF(AND(INDEX(DarlTilgStart,12)&gt;0,$E5692=INDEX(DarlTilgStart,12)),$J5692*($H5692+INDEX(DarlTilgung,12))/100/12,IF(AND($G5692=0,$G5691=1),MAX($K5691,$J5692*($H5692+1)/100/12),$K5691))))</f>
      </c>
      <c r="L5692" s="43">
        <f>IF($I5692=0,0,$J5692*$H5692/100/12)</f>
      </c>
      <c r="M5692" s="43">
        <f>IF($I5692=0,0,IF(OR(INDEX(DarlOhneTilgung,12)=1,AND(INDEX(DarlTilgStart,12)&gt;0,$E5692&lt;INDEX(DarlTilgStart,12))),0,MIN(MAX(0,$K5692-$L5692),$J5692)))</f>
      </c>
      <c r="N5692" s="43">
        <f>IF($I5692=0,0,MIN(SUMIFS(SondBetrag,SondDarl,12,SondDatum,"&gt;="&amp;$E5692,SondDatum,"&lt;="&amp;EOMONTH($E5692,0)),$J5692-$M5692))</f>
      </c>
      <c r="O5692" s="43">
        <f>IF($I5692=0,0,INDEX(DarlErsatzRate,12))</f>
      </c>
      <c r="P5692" s="43">
        <f>IF($I5692=0,0,$Q5691*INDEX(DarlErsatzZins,12))</f>
      </c>
      <c r="Q5692" s="43">
        <f>IF($I5692=0,0,$Q5691+$P5692+$O5692)</f>
      </c>
      <c r="R5692" s="43">
        <f>IF($I5692=0,0,$J5692-$M5692-$N5692)</f>
      </c>
    </row>
    <row r="5693">
      <c r="A5693"/>
      <c r="B5693">
        <v>12</v>
      </c>
      <c r="C5693" s="43">
        <f>INDEX(DarlObj,12)</f>
      </c>
      <c r="D5693">
        <v>410</v>
      </c>
      <c r="E5693" s="51">
        <f>IF(INDEX(DarlBelegt,12)=0,0,EOMONTH(INDEX(DarlAuszahlung,12),409)+1)</f>
      </c>
      <c r="F5693" s="43">
        <f>IF($E5693=0,0,YEAR($E5693))</f>
      </c>
      <c r="G5693" s="43">
        <f>IF(INDEX(DarlBindung,12)="",1,IF($E5693&lt;=INDEX(DarlBindung,12),1,0))</f>
      </c>
      <c r="H5693" s="43">
        <f>IF($G5693=1,INDEX(DarlSollzins,12),INDEX(DarlAnschluss,12))</f>
      </c>
      <c r="I5693" s="43">
        <f>IF(INDEX(DarlBelegt,12)=0,0,IF(INDEX(DarlOhneTilgung,12)=1,IF(INDEX(DarlBindung,12)="",1,$G5693),IF($J5693&gt;0.005,1,0)))</f>
      </c>
      <c r="J5693" s="43">
        <f>IF($I5692=0,0,$R5692)</f>
      </c>
      <c r="K5693" s="43">
        <f>IF($I5693=0,0,IF(INDEX(DarlOhneTilgung,12)=1,0,IF(AND(INDEX(DarlTilgStart,12)&gt;0,$E5693=INDEX(DarlTilgStart,12)),$J5693*($H5693+INDEX(DarlTilgung,12))/100/12,IF(AND($G5693=0,$G5692=1),MAX($K5692,$J5693*($H5693+1)/100/12),$K5692))))</f>
      </c>
      <c r="L5693" s="43">
        <f>IF($I5693=0,0,$J5693*$H5693/100/12)</f>
      </c>
      <c r="M5693" s="43">
        <f>IF($I5693=0,0,IF(OR(INDEX(DarlOhneTilgung,12)=1,AND(INDEX(DarlTilgStart,12)&gt;0,$E5693&lt;INDEX(DarlTilgStart,12))),0,MIN(MAX(0,$K5693-$L5693),$J5693)))</f>
      </c>
      <c r="N5693" s="43">
        <f>IF($I5693=0,0,MIN(SUMIFS(SondBetrag,SondDarl,12,SondDatum,"&gt;="&amp;$E5693,SondDatum,"&lt;="&amp;EOMONTH($E5693,0)),$J5693-$M5693))</f>
      </c>
      <c r="O5693" s="43">
        <f>IF($I5693=0,0,INDEX(DarlErsatzRate,12))</f>
      </c>
      <c r="P5693" s="43">
        <f>IF($I5693=0,0,$Q5692*INDEX(DarlErsatzZins,12))</f>
      </c>
      <c r="Q5693" s="43">
        <f>IF($I5693=0,0,$Q5692+$P5693+$O5693)</f>
      </c>
      <c r="R5693" s="43">
        <f>IF($I5693=0,0,$J5693-$M5693-$N5693)</f>
      </c>
    </row>
    <row r="5694">
      <c r="A5694"/>
      <c r="B5694">
        <v>12</v>
      </c>
      <c r="C5694" s="43">
        <f>INDEX(DarlObj,12)</f>
      </c>
      <c r="D5694">
        <v>411</v>
      </c>
      <c r="E5694" s="51">
        <f>IF(INDEX(DarlBelegt,12)=0,0,EOMONTH(INDEX(DarlAuszahlung,12),410)+1)</f>
      </c>
      <c r="F5694" s="43">
        <f>IF($E5694=0,0,YEAR($E5694))</f>
      </c>
      <c r="G5694" s="43">
        <f>IF(INDEX(DarlBindung,12)="",1,IF($E5694&lt;=INDEX(DarlBindung,12),1,0))</f>
      </c>
      <c r="H5694" s="43">
        <f>IF($G5694=1,INDEX(DarlSollzins,12),INDEX(DarlAnschluss,12))</f>
      </c>
      <c r="I5694" s="43">
        <f>IF(INDEX(DarlBelegt,12)=0,0,IF(INDEX(DarlOhneTilgung,12)=1,IF(INDEX(DarlBindung,12)="",1,$G5694),IF($J5694&gt;0.005,1,0)))</f>
      </c>
      <c r="J5694" s="43">
        <f>IF($I5693=0,0,$R5693)</f>
      </c>
      <c r="K5694" s="43">
        <f>IF($I5694=0,0,IF(INDEX(DarlOhneTilgung,12)=1,0,IF(AND(INDEX(DarlTilgStart,12)&gt;0,$E5694=INDEX(DarlTilgStart,12)),$J5694*($H5694+INDEX(DarlTilgung,12))/100/12,IF(AND($G5694=0,$G5693=1),MAX($K5693,$J5694*($H5694+1)/100/12),$K5693))))</f>
      </c>
      <c r="L5694" s="43">
        <f>IF($I5694=0,0,$J5694*$H5694/100/12)</f>
      </c>
      <c r="M5694" s="43">
        <f>IF($I5694=0,0,IF(OR(INDEX(DarlOhneTilgung,12)=1,AND(INDEX(DarlTilgStart,12)&gt;0,$E5694&lt;INDEX(DarlTilgStart,12))),0,MIN(MAX(0,$K5694-$L5694),$J5694)))</f>
      </c>
      <c r="N5694" s="43">
        <f>IF($I5694=0,0,MIN(SUMIFS(SondBetrag,SondDarl,12,SondDatum,"&gt;="&amp;$E5694,SondDatum,"&lt;="&amp;EOMONTH($E5694,0)),$J5694-$M5694))</f>
      </c>
      <c r="O5694" s="43">
        <f>IF($I5694=0,0,INDEX(DarlErsatzRate,12))</f>
      </c>
      <c r="P5694" s="43">
        <f>IF($I5694=0,0,$Q5693*INDEX(DarlErsatzZins,12))</f>
      </c>
      <c r="Q5694" s="43">
        <f>IF($I5694=0,0,$Q5693+$P5694+$O5694)</f>
      </c>
      <c r="R5694" s="43">
        <f>IF($I5694=0,0,$J5694-$M5694-$N5694)</f>
      </c>
    </row>
    <row r="5695">
      <c r="A5695"/>
      <c r="B5695">
        <v>12</v>
      </c>
      <c r="C5695" s="43">
        <f>INDEX(DarlObj,12)</f>
      </c>
      <c r="D5695">
        <v>412</v>
      </c>
      <c r="E5695" s="51">
        <f>IF(INDEX(DarlBelegt,12)=0,0,EOMONTH(INDEX(DarlAuszahlung,12),411)+1)</f>
      </c>
      <c r="F5695" s="43">
        <f>IF($E5695=0,0,YEAR($E5695))</f>
      </c>
      <c r="G5695" s="43">
        <f>IF(INDEX(DarlBindung,12)="",1,IF($E5695&lt;=INDEX(DarlBindung,12),1,0))</f>
      </c>
      <c r="H5695" s="43">
        <f>IF($G5695=1,INDEX(DarlSollzins,12),INDEX(DarlAnschluss,12))</f>
      </c>
      <c r="I5695" s="43">
        <f>IF(INDEX(DarlBelegt,12)=0,0,IF(INDEX(DarlOhneTilgung,12)=1,IF(INDEX(DarlBindung,12)="",1,$G5695),IF($J5695&gt;0.005,1,0)))</f>
      </c>
      <c r="J5695" s="43">
        <f>IF($I5694=0,0,$R5694)</f>
      </c>
      <c r="K5695" s="43">
        <f>IF($I5695=0,0,IF(INDEX(DarlOhneTilgung,12)=1,0,IF(AND(INDEX(DarlTilgStart,12)&gt;0,$E5695=INDEX(DarlTilgStart,12)),$J5695*($H5695+INDEX(DarlTilgung,12))/100/12,IF(AND($G5695=0,$G5694=1),MAX($K5694,$J5695*($H5695+1)/100/12),$K5694))))</f>
      </c>
      <c r="L5695" s="43">
        <f>IF($I5695=0,0,$J5695*$H5695/100/12)</f>
      </c>
      <c r="M5695" s="43">
        <f>IF($I5695=0,0,IF(OR(INDEX(DarlOhneTilgung,12)=1,AND(INDEX(DarlTilgStart,12)&gt;0,$E5695&lt;INDEX(DarlTilgStart,12))),0,MIN(MAX(0,$K5695-$L5695),$J5695)))</f>
      </c>
      <c r="N5695" s="43">
        <f>IF($I5695=0,0,MIN(SUMIFS(SondBetrag,SondDarl,12,SondDatum,"&gt;="&amp;$E5695,SondDatum,"&lt;="&amp;EOMONTH($E5695,0)),$J5695-$M5695))</f>
      </c>
      <c r="O5695" s="43">
        <f>IF($I5695=0,0,INDEX(DarlErsatzRate,12))</f>
      </c>
      <c r="P5695" s="43">
        <f>IF($I5695=0,0,$Q5694*INDEX(DarlErsatzZins,12))</f>
      </c>
      <c r="Q5695" s="43">
        <f>IF($I5695=0,0,$Q5694+$P5695+$O5695)</f>
      </c>
      <c r="R5695" s="43">
        <f>IF($I5695=0,0,$J5695-$M5695-$N5695)</f>
      </c>
    </row>
    <row r="5696">
      <c r="A5696"/>
      <c r="B5696">
        <v>12</v>
      </c>
      <c r="C5696" s="43">
        <f>INDEX(DarlObj,12)</f>
      </c>
      <c r="D5696">
        <v>413</v>
      </c>
      <c r="E5696" s="51">
        <f>IF(INDEX(DarlBelegt,12)=0,0,EOMONTH(INDEX(DarlAuszahlung,12),412)+1)</f>
      </c>
      <c r="F5696" s="43">
        <f>IF($E5696=0,0,YEAR($E5696))</f>
      </c>
      <c r="G5696" s="43">
        <f>IF(INDEX(DarlBindung,12)="",1,IF($E5696&lt;=INDEX(DarlBindung,12),1,0))</f>
      </c>
      <c r="H5696" s="43">
        <f>IF($G5696=1,INDEX(DarlSollzins,12),INDEX(DarlAnschluss,12))</f>
      </c>
      <c r="I5696" s="43">
        <f>IF(INDEX(DarlBelegt,12)=0,0,IF(INDEX(DarlOhneTilgung,12)=1,IF(INDEX(DarlBindung,12)="",1,$G5696),IF($J5696&gt;0.005,1,0)))</f>
      </c>
      <c r="J5696" s="43">
        <f>IF($I5695=0,0,$R5695)</f>
      </c>
      <c r="K5696" s="43">
        <f>IF($I5696=0,0,IF(INDEX(DarlOhneTilgung,12)=1,0,IF(AND(INDEX(DarlTilgStart,12)&gt;0,$E5696=INDEX(DarlTilgStart,12)),$J5696*($H5696+INDEX(DarlTilgung,12))/100/12,IF(AND($G5696=0,$G5695=1),MAX($K5695,$J5696*($H5696+1)/100/12),$K5695))))</f>
      </c>
      <c r="L5696" s="43">
        <f>IF($I5696=0,0,$J5696*$H5696/100/12)</f>
      </c>
      <c r="M5696" s="43">
        <f>IF($I5696=0,0,IF(OR(INDEX(DarlOhneTilgung,12)=1,AND(INDEX(DarlTilgStart,12)&gt;0,$E5696&lt;INDEX(DarlTilgStart,12))),0,MIN(MAX(0,$K5696-$L5696),$J5696)))</f>
      </c>
      <c r="N5696" s="43">
        <f>IF($I5696=0,0,MIN(SUMIFS(SondBetrag,SondDarl,12,SondDatum,"&gt;="&amp;$E5696,SondDatum,"&lt;="&amp;EOMONTH($E5696,0)),$J5696-$M5696))</f>
      </c>
      <c r="O5696" s="43">
        <f>IF($I5696=0,0,INDEX(DarlErsatzRate,12))</f>
      </c>
      <c r="P5696" s="43">
        <f>IF($I5696=0,0,$Q5695*INDEX(DarlErsatzZins,12))</f>
      </c>
      <c r="Q5696" s="43">
        <f>IF($I5696=0,0,$Q5695+$P5696+$O5696)</f>
      </c>
      <c r="R5696" s="43">
        <f>IF($I5696=0,0,$J5696-$M5696-$N5696)</f>
      </c>
    </row>
    <row r="5697">
      <c r="A5697"/>
      <c r="B5697">
        <v>12</v>
      </c>
      <c r="C5697" s="43">
        <f>INDEX(DarlObj,12)</f>
      </c>
      <c r="D5697">
        <v>414</v>
      </c>
      <c r="E5697" s="51">
        <f>IF(INDEX(DarlBelegt,12)=0,0,EOMONTH(INDEX(DarlAuszahlung,12),413)+1)</f>
      </c>
      <c r="F5697" s="43">
        <f>IF($E5697=0,0,YEAR($E5697))</f>
      </c>
      <c r="G5697" s="43">
        <f>IF(INDEX(DarlBindung,12)="",1,IF($E5697&lt;=INDEX(DarlBindung,12),1,0))</f>
      </c>
      <c r="H5697" s="43">
        <f>IF($G5697=1,INDEX(DarlSollzins,12),INDEX(DarlAnschluss,12))</f>
      </c>
      <c r="I5697" s="43">
        <f>IF(INDEX(DarlBelegt,12)=0,0,IF(INDEX(DarlOhneTilgung,12)=1,IF(INDEX(DarlBindung,12)="",1,$G5697),IF($J5697&gt;0.005,1,0)))</f>
      </c>
      <c r="J5697" s="43">
        <f>IF($I5696=0,0,$R5696)</f>
      </c>
      <c r="K5697" s="43">
        <f>IF($I5697=0,0,IF(INDEX(DarlOhneTilgung,12)=1,0,IF(AND(INDEX(DarlTilgStart,12)&gt;0,$E5697=INDEX(DarlTilgStart,12)),$J5697*($H5697+INDEX(DarlTilgung,12))/100/12,IF(AND($G5697=0,$G5696=1),MAX($K5696,$J5697*($H5697+1)/100/12),$K5696))))</f>
      </c>
      <c r="L5697" s="43">
        <f>IF($I5697=0,0,$J5697*$H5697/100/12)</f>
      </c>
      <c r="M5697" s="43">
        <f>IF($I5697=0,0,IF(OR(INDEX(DarlOhneTilgung,12)=1,AND(INDEX(DarlTilgStart,12)&gt;0,$E5697&lt;INDEX(DarlTilgStart,12))),0,MIN(MAX(0,$K5697-$L5697),$J5697)))</f>
      </c>
      <c r="N5697" s="43">
        <f>IF($I5697=0,0,MIN(SUMIFS(SondBetrag,SondDarl,12,SondDatum,"&gt;="&amp;$E5697,SondDatum,"&lt;="&amp;EOMONTH($E5697,0)),$J5697-$M5697))</f>
      </c>
      <c r="O5697" s="43">
        <f>IF($I5697=0,0,INDEX(DarlErsatzRate,12))</f>
      </c>
      <c r="P5697" s="43">
        <f>IF($I5697=0,0,$Q5696*INDEX(DarlErsatzZins,12))</f>
      </c>
      <c r="Q5697" s="43">
        <f>IF($I5697=0,0,$Q5696+$P5697+$O5697)</f>
      </c>
      <c r="R5697" s="43">
        <f>IF($I5697=0,0,$J5697-$M5697-$N5697)</f>
      </c>
    </row>
    <row r="5698">
      <c r="A5698"/>
      <c r="B5698">
        <v>12</v>
      </c>
      <c r="C5698" s="43">
        <f>INDEX(DarlObj,12)</f>
      </c>
      <c r="D5698">
        <v>415</v>
      </c>
      <c r="E5698" s="51">
        <f>IF(INDEX(DarlBelegt,12)=0,0,EOMONTH(INDEX(DarlAuszahlung,12),414)+1)</f>
      </c>
      <c r="F5698" s="43">
        <f>IF($E5698=0,0,YEAR($E5698))</f>
      </c>
      <c r="G5698" s="43">
        <f>IF(INDEX(DarlBindung,12)="",1,IF($E5698&lt;=INDEX(DarlBindung,12),1,0))</f>
      </c>
      <c r="H5698" s="43">
        <f>IF($G5698=1,INDEX(DarlSollzins,12),INDEX(DarlAnschluss,12))</f>
      </c>
      <c r="I5698" s="43">
        <f>IF(INDEX(DarlBelegt,12)=0,0,IF(INDEX(DarlOhneTilgung,12)=1,IF(INDEX(DarlBindung,12)="",1,$G5698),IF($J5698&gt;0.005,1,0)))</f>
      </c>
      <c r="J5698" s="43">
        <f>IF($I5697=0,0,$R5697)</f>
      </c>
      <c r="K5698" s="43">
        <f>IF($I5698=0,0,IF(INDEX(DarlOhneTilgung,12)=1,0,IF(AND(INDEX(DarlTilgStart,12)&gt;0,$E5698=INDEX(DarlTilgStart,12)),$J5698*($H5698+INDEX(DarlTilgung,12))/100/12,IF(AND($G5698=0,$G5697=1),MAX($K5697,$J5698*($H5698+1)/100/12),$K5697))))</f>
      </c>
      <c r="L5698" s="43">
        <f>IF($I5698=0,0,$J5698*$H5698/100/12)</f>
      </c>
      <c r="M5698" s="43">
        <f>IF($I5698=0,0,IF(OR(INDEX(DarlOhneTilgung,12)=1,AND(INDEX(DarlTilgStart,12)&gt;0,$E5698&lt;INDEX(DarlTilgStart,12))),0,MIN(MAX(0,$K5698-$L5698),$J5698)))</f>
      </c>
      <c r="N5698" s="43">
        <f>IF($I5698=0,0,MIN(SUMIFS(SondBetrag,SondDarl,12,SondDatum,"&gt;="&amp;$E5698,SondDatum,"&lt;="&amp;EOMONTH($E5698,0)),$J5698-$M5698))</f>
      </c>
      <c r="O5698" s="43">
        <f>IF($I5698=0,0,INDEX(DarlErsatzRate,12))</f>
      </c>
      <c r="P5698" s="43">
        <f>IF($I5698=0,0,$Q5697*INDEX(DarlErsatzZins,12))</f>
      </c>
      <c r="Q5698" s="43">
        <f>IF($I5698=0,0,$Q5697+$P5698+$O5698)</f>
      </c>
      <c r="R5698" s="43">
        <f>IF($I5698=0,0,$J5698-$M5698-$N5698)</f>
      </c>
    </row>
    <row r="5699">
      <c r="A5699"/>
      <c r="B5699">
        <v>12</v>
      </c>
      <c r="C5699" s="43">
        <f>INDEX(DarlObj,12)</f>
      </c>
      <c r="D5699">
        <v>416</v>
      </c>
      <c r="E5699" s="51">
        <f>IF(INDEX(DarlBelegt,12)=0,0,EOMONTH(INDEX(DarlAuszahlung,12),415)+1)</f>
      </c>
      <c r="F5699" s="43">
        <f>IF($E5699=0,0,YEAR($E5699))</f>
      </c>
      <c r="G5699" s="43">
        <f>IF(INDEX(DarlBindung,12)="",1,IF($E5699&lt;=INDEX(DarlBindung,12),1,0))</f>
      </c>
      <c r="H5699" s="43">
        <f>IF($G5699=1,INDEX(DarlSollzins,12),INDEX(DarlAnschluss,12))</f>
      </c>
      <c r="I5699" s="43">
        <f>IF(INDEX(DarlBelegt,12)=0,0,IF(INDEX(DarlOhneTilgung,12)=1,IF(INDEX(DarlBindung,12)="",1,$G5699),IF($J5699&gt;0.005,1,0)))</f>
      </c>
      <c r="J5699" s="43">
        <f>IF($I5698=0,0,$R5698)</f>
      </c>
      <c r="K5699" s="43">
        <f>IF($I5699=0,0,IF(INDEX(DarlOhneTilgung,12)=1,0,IF(AND(INDEX(DarlTilgStart,12)&gt;0,$E5699=INDEX(DarlTilgStart,12)),$J5699*($H5699+INDEX(DarlTilgung,12))/100/12,IF(AND($G5699=0,$G5698=1),MAX($K5698,$J5699*($H5699+1)/100/12),$K5698))))</f>
      </c>
      <c r="L5699" s="43">
        <f>IF($I5699=0,0,$J5699*$H5699/100/12)</f>
      </c>
      <c r="M5699" s="43">
        <f>IF($I5699=0,0,IF(OR(INDEX(DarlOhneTilgung,12)=1,AND(INDEX(DarlTilgStart,12)&gt;0,$E5699&lt;INDEX(DarlTilgStart,12))),0,MIN(MAX(0,$K5699-$L5699),$J5699)))</f>
      </c>
      <c r="N5699" s="43">
        <f>IF($I5699=0,0,MIN(SUMIFS(SondBetrag,SondDarl,12,SondDatum,"&gt;="&amp;$E5699,SondDatum,"&lt;="&amp;EOMONTH($E5699,0)),$J5699-$M5699))</f>
      </c>
      <c r="O5699" s="43">
        <f>IF($I5699=0,0,INDEX(DarlErsatzRate,12))</f>
      </c>
      <c r="P5699" s="43">
        <f>IF($I5699=0,0,$Q5698*INDEX(DarlErsatzZins,12))</f>
      </c>
      <c r="Q5699" s="43">
        <f>IF($I5699=0,0,$Q5698+$P5699+$O5699)</f>
      </c>
      <c r="R5699" s="43">
        <f>IF($I5699=0,0,$J5699-$M5699-$N5699)</f>
      </c>
    </row>
    <row r="5700">
      <c r="A5700"/>
      <c r="B5700">
        <v>12</v>
      </c>
      <c r="C5700" s="43">
        <f>INDEX(DarlObj,12)</f>
      </c>
      <c r="D5700">
        <v>417</v>
      </c>
      <c r="E5700" s="51">
        <f>IF(INDEX(DarlBelegt,12)=0,0,EOMONTH(INDEX(DarlAuszahlung,12),416)+1)</f>
      </c>
      <c r="F5700" s="43">
        <f>IF($E5700=0,0,YEAR($E5700))</f>
      </c>
      <c r="G5700" s="43">
        <f>IF(INDEX(DarlBindung,12)="",1,IF($E5700&lt;=INDEX(DarlBindung,12),1,0))</f>
      </c>
      <c r="H5700" s="43">
        <f>IF($G5700=1,INDEX(DarlSollzins,12),INDEX(DarlAnschluss,12))</f>
      </c>
      <c r="I5700" s="43">
        <f>IF(INDEX(DarlBelegt,12)=0,0,IF(INDEX(DarlOhneTilgung,12)=1,IF(INDEX(DarlBindung,12)="",1,$G5700),IF($J5700&gt;0.005,1,0)))</f>
      </c>
      <c r="J5700" s="43">
        <f>IF($I5699=0,0,$R5699)</f>
      </c>
      <c r="K5700" s="43">
        <f>IF($I5700=0,0,IF(INDEX(DarlOhneTilgung,12)=1,0,IF(AND(INDEX(DarlTilgStart,12)&gt;0,$E5700=INDEX(DarlTilgStart,12)),$J5700*($H5700+INDEX(DarlTilgung,12))/100/12,IF(AND($G5700=0,$G5699=1),MAX($K5699,$J5700*($H5700+1)/100/12),$K5699))))</f>
      </c>
      <c r="L5700" s="43">
        <f>IF($I5700=0,0,$J5700*$H5700/100/12)</f>
      </c>
      <c r="M5700" s="43">
        <f>IF($I5700=0,0,IF(OR(INDEX(DarlOhneTilgung,12)=1,AND(INDEX(DarlTilgStart,12)&gt;0,$E5700&lt;INDEX(DarlTilgStart,12))),0,MIN(MAX(0,$K5700-$L5700),$J5700)))</f>
      </c>
      <c r="N5700" s="43">
        <f>IF($I5700=0,0,MIN(SUMIFS(SondBetrag,SondDarl,12,SondDatum,"&gt;="&amp;$E5700,SondDatum,"&lt;="&amp;EOMONTH($E5700,0)),$J5700-$M5700))</f>
      </c>
      <c r="O5700" s="43">
        <f>IF($I5700=0,0,INDEX(DarlErsatzRate,12))</f>
      </c>
      <c r="P5700" s="43">
        <f>IF($I5700=0,0,$Q5699*INDEX(DarlErsatzZins,12))</f>
      </c>
      <c r="Q5700" s="43">
        <f>IF($I5700=0,0,$Q5699+$P5700+$O5700)</f>
      </c>
      <c r="R5700" s="43">
        <f>IF($I5700=0,0,$J5700-$M5700-$N5700)</f>
      </c>
    </row>
    <row r="5701">
      <c r="A5701"/>
      <c r="B5701">
        <v>12</v>
      </c>
      <c r="C5701" s="43">
        <f>INDEX(DarlObj,12)</f>
      </c>
      <c r="D5701">
        <v>418</v>
      </c>
      <c r="E5701" s="51">
        <f>IF(INDEX(DarlBelegt,12)=0,0,EOMONTH(INDEX(DarlAuszahlung,12),417)+1)</f>
      </c>
      <c r="F5701" s="43">
        <f>IF($E5701=0,0,YEAR($E5701))</f>
      </c>
      <c r="G5701" s="43">
        <f>IF(INDEX(DarlBindung,12)="",1,IF($E5701&lt;=INDEX(DarlBindung,12),1,0))</f>
      </c>
      <c r="H5701" s="43">
        <f>IF($G5701=1,INDEX(DarlSollzins,12),INDEX(DarlAnschluss,12))</f>
      </c>
      <c r="I5701" s="43">
        <f>IF(INDEX(DarlBelegt,12)=0,0,IF(INDEX(DarlOhneTilgung,12)=1,IF(INDEX(DarlBindung,12)="",1,$G5701),IF($J5701&gt;0.005,1,0)))</f>
      </c>
      <c r="J5701" s="43">
        <f>IF($I5700=0,0,$R5700)</f>
      </c>
      <c r="K5701" s="43">
        <f>IF($I5701=0,0,IF(INDEX(DarlOhneTilgung,12)=1,0,IF(AND(INDEX(DarlTilgStart,12)&gt;0,$E5701=INDEX(DarlTilgStart,12)),$J5701*($H5701+INDEX(DarlTilgung,12))/100/12,IF(AND($G5701=0,$G5700=1),MAX($K5700,$J5701*($H5701+1)/100/12),$K5700))))</f>
      </c>
      <c r="L5701" s="43">
        <f>IF($I5701=0,0,$J5701*$H5701/100/12)</f>
      </c>
      <c r="M5701" s="43">
        <f>IF($I5701=0,0,IF(OR(INDEX(DarlOhneTilgung,12)=1,AND(INDEX(DarlTilgStart,12)&gt;0,$E5701&lt;INDEX(DarlTilgStart,12))),0,MIN(MAX(0,$K5701-$L5701),$J5701)))</f>
      </c>
      <c r="N5701" s="43">
        <f>IF($I5701=0,0,MIN(SUMIFS(SondBetrag,SondDarl,12,SondDatum,"&gt;="&amp;$E5701,SondDatum,"&lt;="&amp;EOMONTH($E5701,0)),$J5701-$M5701))</f>
      </c>
      <c r="O5701" s="43">
        <f>IF($I5701=0,0,INDEX(DarlErsatzRate,12))</f>
      </c>
      <c r="P5701" s="43">
        <f>IF($I5701=0,0,$Q5700*INDEX(DarlErsatzZins,12))</f>
      </c>
      <c r="Q5701" s="43">
        <f>IF($I5701=0,0,$Q5700+$P5701+$O5701)</f>
      </c>
      <c r="R5701" s="43">
        <f>IF($I5701=0,0,$J5701-$M5701-$N5701)</f>
      </c>
    </row>
    <row r="5702">
      <c r="A5702"/>
      <c r="B5702">
        <v>12</v>
      </c>
      <c r="C5702" s="43">
        <f>INDEX(DarlObj,12)</f>
      </c>
      <c r="D5702">
        <v>419</v>
      </c>
      <c r="E5702" s="51">
        <f>IF(INDEX(DarlBelegt,12)=0,0,EOMONTH(INDEX(DarlAuszahlung,12),418)+1)</f>
      </c>
      <c r="F5702" s="43">
        <f>IF($E5702=0,0,YEAR($E5702))</f>
      </c>
      <c r="G5702" s="43">
        <f>IF(INDEX(DarlBindung,12)="",1,IF($E5702&lt;=INDEX(DarlBindung,12),1,0))</f>
      </c>
      <c r="H5702" s="43">
        <f>IF($G5702=1,INDEX(DarlSollzins,12),INDEX(DarlAnschluss,12))</f>
      </c>
      <c r="I5702" s="43">
        <f>IF(INDEX(DarlBelegt,12)=0,0,IF(INDEX(DarlOhneTilgung,12)=1,IF(INDEX(DarlBindung,12)="",1,$G5702),IF($J5702&gt;0.005,1,0)))</f>
      </c>
      <c r="J5702" s="43">
        <f>IF($I5701=0,0,$R5701)</f>
      </c>
      <c r="K5702" s="43">
        <f>IF($I5702=0,0,IF(INDEX(DarlOhneTilgung,12)=1,0,IF(AND(INDEX(DarlTilgStart,12)&gt;0,$E5702=INDEX(DarlTilgStart,12)),$J5702*($H5702+INDEX(DarlTilgung,12))/100/12,IF(AND($G5702=0,$G5701=1),MAX($K5701,$J5702*($H5702+1)/100/12),$K5701))))</f>
      </c>
      <c r="L5702" s="43">
        <f>IF($I5702=0,0,$J5702*$H5702/100/12)</f>
      </c>
      <c r="M5702" s="43">
        <f>IF($I5702=0,0,IF(OR(INDEX(DarlOhneTilgung,12)=1,AND(INDEX(DarlTilgStart,12)&gt;0,$E5702&lt;INDEX(DarlTilgStart,12))),0,MIN(MAX(0,$K5702-$L5702),$J5702)))</f>
      </c>
      <c r="N5702" s="43">
        <f>IF($I5702=0,0,MIN(SUMIFS(SondBetrag,SondDarl,12,SondDatum,"&gt;="&amp;$E5702,SondDatum,"&lt;="&amp;EOMONTH($E5702,0)),$J5702-$M5702))</f>
      </c>
      <c r="O5702" s="43">
        <f>IF($I5702=0,0,INDEX(DarlErsatzRate,12))</f>
      </c>
      <c r="P5702" s="43">
        <f>IF($I5702=0,0,$Q5701*INDEX(DarlErsatzZins,12))</f>
      </c>
      <c r="Q5702" s="43">
        <f>IF($I5702=0,0,$Q5701+$P5702+$O5702)</f>
      </c>
      <c r="R5702" s="43">
        <f>IF($I5702=0,0,$J5702-$M5702-$N5702)</f>
      </c>
    </row>
    <row r="5703">
      <c r="A5703"/>
      <c r="B5703">
        <v>12</v>
      </c>
      <c r="C5703" s="43">
        <f>INDEX(DarlObj,12)</f>
      </c>
      <c r="D5703">
        <v>420</v>
      </c>
      <c r="E5703" s="51">
        <f>IF(INDEX(DarlBelegt,12)=0,0,EOMONTH(INDEX(DarlAuszahlung,12),419)+1)</f>
      </c>
      <c r="F5703" s="43">
        <f>IF($E5703=0,0,YEAR($E5703))</f>
      </c>
      <c r="G5703" s="43">
        <f>IF(INDEX(DarlBindung,12)="",1,IF($E5703&lt;=INDEX(DarlBindung,12),1,0))</f>
      </c>
      <c r="H5703" s="43">
        <f>IF($G5703=1,INDEX(DarlSollzins,12),INDEX(DarlAnschluss,12))</f>
      </c>
      <c r="I5703" s="43">
        <f>IF(INDEX(DarlBelegt,12)=0,0,IF(INDEX(DarlOhneTilgung,12)=1,IF(INDEX(DarlBindung,12)="",1,$G5703),IF($J5703&gt;0.005,1,0)))</f>
      </c>
      <c r="J5703" s="43">
        <f>IF($I5702=0,0,$R5702)</f>
      </c>
      <c r="K5703" s="43">
        <f>IF($I5703=0,0,IF(INDEX(DarlOhneTilgung,12)=1,0,IF(AND(INDEX(DarlTilgStart,12)&gt;0,$E5703=INDEX(DarlTilgStart,12)),$J5703*($H5703+INDEX(DarlTilgung,12))/100/12,IF(AND($G5703=0,$G5702=1),MAX($K5702,$J5703*($H5703+1)/100/12),$K5702))))</f>
      </c>
      <c r="L5703" s="43">
        <f>IF($I5703=0,0,$J5703*$H5703/100/12)</f>
      </c>
      <c r="M5703" s="43">
        <f>IF($I5703=0,0,IF(OR(INDEX(DarlOhneTilgung,12)=1,AND(INDEX(DarlTilgStart,12)&gt;0,$E5703&lt;INDEX(DarlTilgStart,12))),0,MIN(MAX(0,$K5703-$L5703),$J5703)))</f>
      </c>
      <c r="N5703" s="43">
        <f>IF($I5703=0,0,MIN(SUMIFS(SondBetrag,SondDarl,12,SondDatum,"&gt;="&amp;$E5703,SondDatum,"&lt;="&amp;EOMONTH($E5703,0)),$J5703-$M5703))</f>
      </c>
      <c r="O5703" s="43">
        <f>IF($I5703=0,0,INDEX(DarlErsatzRate,12))</f>
      </c>
      <c r="P5703" s="43">
        <f>IF($I5703=0,0,$Q5702*INDEX(DarlErsatzZins,12))</f>
      </c>
      <c r="Q5703" s="43">
        <f>IF($I5703=0,0,$Q5702+$P5703+$O5703)</f>
      </c>
      <c r="R5703" s="43">
        <f>IF($I5703=0,0,$J5703-$M5703-$N5703)</f>
      </c>
    </row>
    <row r="5704">
      <c r="A5704"/>
      <c r="B5704">
        <v>12</v>
      </c>
      <c r="C5704" s="43">
        <f>INDEX(DarlObj,12)</f>
      </c>
      <c r="D5704">
        <v>421</v>
      </c>
      <c r="E5704" s="51">
        <f>IF(INDEX(DarlBelegt,12)=0,0,EOMONTH(INDEX(DarlAuszahlung,12),420)+1)</f>
      </c>
      <c r="F5704" s="43">
        <f>IF($E5704=0,0,YEAR($E5704))</f>
      </c>
      <c r="G5704" s="43">
        <f>IF(INDEX(DarlBindung,12)="",1,IF($E5704&lt;=INDEX(DarlBindung,12),1,0))</f>
      </c>
      <c r="H5704" s="43">
        <f>IF($G5704=1,INDEX(DarlSollzins,12),INDEX(DarlAnschluss,12))</f>
      </c>
      <c r="I5704" s="43">
        <f>IF(INDEX(DarlBelegt,12)=0,0,IF(INDEX(DarlOhneTilgung,12)=1,IF(INDEX(DarlBindung,12)="",1,$G5704),IF($J5704&gt;0.005,1,0)))</f>
      </c>
      <c r="J5704" s="43">
        <f>IF($I5703=0,0,$R5703)</f>
      </c>
      <c r="K5704" s="43">
        <f>IF($I5704=0,0,IF(INDEX(DarlOhneTilgung,12)=1,0,IF(AND(INDEX(DarlTilgStart,12)&gt;0,$E5704=INDEX(DarlTilgStart,12)),$J5704*($H5704+INDEX(DarlTilgung,12))/100/12,IF(AND($G5704=0,$G5703=1),MAX($K5703,$J5704*($H5704+1)/100/12),$K5703))))</f>
      </c>
      <c r="L5704" s="43">
        <f>IF($I5704=0,0,$J5704*$H5704/100/12)</f>
      </c>
      <c r="M5704" s="43">
        <f>IF($I5704=0,0,IF(OR(INDEX(DarlOhneTilgung,12)=1,AND(INDEX(DarlTilgStart,12)&gt;0,$E5704&lt;INDEX(DarlTilgStart,12))),0,MIN(MAX(0,$K5704-$L5704),$J5704)))</f>
      </c>
      <c r="N5704" s="43">
        <f>IF($I5704=0,0,MIN(SUMIFS(SondBetrag,SondDarl,12,SondDatum,"&gt;="&amp;$E5704,SondDatum,"&lt;="&amp;EOMONTH($E5704,0)),$J5704-$M5704))</f>
      </c>
      <c r="O5704" s="43">
        <f>IF($I5704=0,0,INDEX(DarlErsatzRate,12))</f>
      </c>
      <c r="P5704" s="43">
        <f>IF($I5704=0,0,$Q5703*INDEX(DarlErsatzZins,12))</f>
      </c>
      <c r="Q5704" s="43">
        <f>IF($I5704=0,0,$Q5703+$P5704+$O5704)</f>
      </c>
      <c r="R5704" s="43">
        <f>IF($I5704=0,0,$J5704-$M5704-$N5704)</f>
      </c>
    </row>
    <row r="5705">
      <c r="A5705"/>
      <c r="B5705">
        <v>12</v>
      </c>
      <c r="C5705" s="43">
        <f>INDEX(DarlObj,12)</f>
      </c>
      <c r="D5705">
        <v>422</v>
      </c>
      <c r="E5705" s="51">
        <f>IF(INDEX(DarlBelegt,12)=0,0,EOMONTH(INDEX(DarlAuszahlung,12),421)+1)</f>
      </c>
      <c r="F5705" s="43">
        <f>IF($E5705=0,0,YEAR($E5705))</f>
      </c>
      <c r="G5705" s="43">
        <f>IF(INDEX(DarlBindung,12)="",1,IF($E5705&lt;=INDEX(DarlBindung,12),1,0))</f>
      </c>
      <c r="H5705" s="43">
        <f>IF($G5705=1,INDEX(DarlSollzins,12),INDEX(DarlAnschluss,12))</f>
      </c>
      <c r="I5705" s="43">
        <f>IF(INDEX(DarlBelegt,12)=0,0,IF(INDEX(DarlOhneTilgung,12)=1,IF(INDEX(DarlBindung,12)="",1,$G5705),IF($J5705&gt;0.005,1,0)))</f>
      </c>
      <c r="J5705" s="43">
        <f>IF($I5704=0,0,$R5704)</f>
      </c>
      <c r="K5705" s="43">
        <f>IF($I5705=0,0,IF(INDEX(DarlOhneTilgung,12)=1,0,IF(AND(INDEX(DarlTilgStart,12)&gt;0,$E5705=INDEX(DarlTilgStart,12)),$J5705*($H5705+INDEX(DarlTilgung,12))/100/12,IF(AND($G5705=0,$G5704=1),MAX($K5704,$J5705*($H5705+1)/100/12),$K5704))))</f>
      </c>
      <c r="L5705" s="43">
        <f>IF($I5705=0,0,$J5705*$H5705/100/12)</f>
      </c>
      <c r="M5705" s="43">
        <f>IF($I5705=0,0,IF(OR(INDEX(DarlOhneTilgung,12)=1,AND(INDEX(DarlTilgStart,12)&gt;0,$E5705&lt;INDEX(DarlTilgStart,12))),0,MIN(MAX(0,$K5705-$L5705),$J5705)))</f>
      </c>
      <c r="N5705" s="43">
        <f>IF($I5705=0,0,MIN(SUMIFS(SondBetrag,SondDarl,12,SondDatum,"&gt;="&amp;$E5705,SondDatum,"&lt;="&amp;EOMONTH($E5705,0)),$J5705-$M5705))</f>
      </c>
      <c r="O5705" s="43">
        <f>IF($I5705=0,0,INDEX(DarlErsatzRate,12))</f>
      </c>
      <c r="P5705" s="43">
        <f>IF($I5705=0,0,$Q5704*INDEX(DarlErsatzZins,12))</f>
      </c>
      <c r="Q5705" s="43">
        <f>IF($I5705=0,0,$Q5704+$P5705+$O5705)</f>
      </c>
      <c r="R5705" s="43">
        <f>IF($I5705=0,0,$J5705-$M5705-$N5705)</f>
      </c>
    </row>
    <row r="5706">
      <c r="A5706"/>
      <c r="B5706">
        <v>12</v>
      </c>
      <c r="C5706" s="43">
        <f>INDEX(DarlObj,12)</f>
      </c>
      <c r="D5706">
        <v>423</v>
      </c>
      <c r="E5706" s="51">
        <f>IF(INDEX(DarlBelegt,12)=0,0,EOMONTH(INDEX(DarlAuszahlung,12),422)+1)</f>
      </c>
      <c r="F5706" s="43">
        <f>IF($E5706=0,0,YEAR($E5706))</f>
      </c>
      <c r="G5706" s="43">
        <f>IF(INDEX(DarlBindung,12)="",1,IF($E5706&lt;=INDEX(DarlBindung,12),1,0))</f>
      </c>
      <c r="H5706" s="43">
        <f>IF($G5706=1,INDEX(DarlSollzins,12),INDEX(DarlAnschluss,12))</f>
      </c>
      <c r="I5706" s="43">
        <f>IF(INDEX(DarlBelegt,12)=0,0,IF(INDEX(DarlOhneTilgung,12)=1,IF(INDEX(DarlBindung,12)="",1,$G5706),IF($J5706&gt;0.005,1,0)))</f>
      </c>
      <c r="J5706" s="43">
        <f>IF($I5705=0,0,$R5705)</f>
      </c>
      <c r="K5706" s="43">
        <f>IF($I5706=0,0,IF(INDEX(DarlOhneTilgung,12)=1,0,IF(AND(INDEX(DarlTilgStart,12)&gt;0,$E5706=INDEX(DarlTilgStart,12)),$J5706*($H5706+INDEX(DarlTilgung,12))/100/12,IF(AND($G5706=0,$G5705=1),MAX($K5705,$J5706*($H5706+1)/100/12),$K5705))))</f>
      </c>
      <c r="L5706" s="43">
        <f>IF($I5706=0,0,$J5706*$H5706/100/12)</f>
      </c>
      <c r="M5706" s="43">
        <f>IF($I5706=0,0,IF(OR(INDEX(DarlOhneTilgung,12)=1,AND(INDEX(DarlTilgStart,12)&gt;0,$E5706&lt;INDEX(DarlTilgStart,12))),0,MIN(MAX(0,$K5706-$L5706),$J5706)))</f>
      </c>
      <c r="N5706" s="43">
        <f>IF($I5706=0,0,MIN(SUMIFS(SondBetrag,SondDarl,12,SondDatum,"&gt;="&amp;$E5706,SondDatum,"&lt;="&amp;EOMONTH($E5706,0)),$J5706-$M5706))</f>
      </c>
      <c r="O5706" s="43">
        <f>IF($I5706=0,0,INDEX(DarlErsatzRate,12))</f>
      </c>
      <c r="P5706" s="43">
        <f>IF($I5706=0,0,$Q5705*INDEX(DarlErsatzZins,12))</f>
      </c>
      <c r="Q5706" s="43">
        <f>IF($I5706=0,0,$Q5705+$P5706+$O5706)</f>
      </c>
      <c r="R5706" s="43">
        <f>IF($I5706=0,0,$J5706-$M5706-$N5706)</f>
      </c>
    </row>
    <row r="5707">
      <c r="A5707"/>
      <c r="B5707">
        <v>12</v>
      </c>
      <c r="C5707" s="43">
        <f>INDEX(DarlObj,12)</f>
      </c>
      <c r="D5707">
        <v>424</v>
      </c>
      <c r="E5707" s="51">
        <f>IF(INDEX(DarlBelegt,12)=0,0,EOMONTH(INDEX(DarlAuszahlung,12),423)+1)</f>
      </c>
      <c r="F5707" s="43">
        <f>IF($E5707=0,0,YEAR($E5707))</f>
      </c>
      <c r="G5707" s="43">
        <f>IF(INDEX(DarlBindung,12)="",1,IF($E5707&lt;=INDEX(DarlBindung,12),1,0))</f>
      </c>
      <c r="H5707" s="43">
        <f>IF($G5707=1,INDEX(DarlSollzins,12),INDEX(DarlAnschluss,12))</f>
      </c>
      <c r="I5707" s="43">
        <f>IF(INDEX(DarlBelegt,12)=0,0,IF(INDEX(DarlOhneTilgung,12)=1,IF(INDEX(DarlBindung,12)="",1,$G5707),IF($J5707&gt;0.005,1,0)))</f>
      </c>
      <c r="J5707" s="43">
        <f>IF($I5706=0,0,$R5706)</f>
      </c>
      <c r="K5707" s="43">
        <f>IF($I5707=0,0,IF(INDEX(DarlOhneTilgung,12)=1,0,IF(AND(INDEX(DarlTilgStart,12)&gt;0,$E5707=INDEX(DarlTilgStart,12)),$J5707*($H5707+INDEX(DarlTilgung,12))/100/12,IF(AND($G5707=0,$G5706=1),MAX($K5706,$J5707*($H5707+1)/100/12),$K5706))))</f>
      </c>
      <c r="L5707" s="43">
        <f>IF($I5707=0,0,$J5707*$H5707/100/12)</f>
      </c>
      <c r="M5707" s="43">
        <f>IF($I5707=0,0,IF(OR(INDEX(DarlOhneTilgung,12)=1,AND(INDEX(DarlTilgStart,12)&gt;0,$E5707&lt;INDEX(DarlTilgStart,12))),0,MIN(MAX(0,$K5707-$L5707),$J5707)))</f>
      </c>
      <c r="N5707" s="43">
        <f>IF($I5707=0,0,MIN(SUMIFS(SondBetrag,SondDarl,12,SondDatum,"&gt;="&amp;$E5707,SondDatum,"&lt;="&amp;EOMONTH($E5707,0)),$J5707-$M5707))</f>
      </c>
      <c r="O5707" s="43">
        <f>IF($I5707=0,0,INDEX(DarlErsatzRate,12))</f>
      </c>
      <c r="P5707" s="43">
        <f>IF($I5707=0,0,$Q5706*INDEX(DarlErsatzZins,12))</f>
      </c>
      <c r="Q5707" s="43">
        <f>IF($I5707=0,0,$Q5706+$P5707+$O5707)</f>
      </c>
      <c r="R5707" s="43">
        <f>IF($I5707=0,0,$J5707-$M5707-$N5707)</f>
      </c>
    </row>
    <row r="5708">
      <c r="A5708"/>
      <c r="B5708">
        <v>12</v>
      </c>
      <c r="C5708" s="43">
        <f>INDEX(DarlObj,12)</f>
      </c>
      <c r="D5708">
        <v>425</v>
      </c>
      <c r="E5708" s="51">
        <f>IF(INDEX(DarlBelegt,12)=0,0,EOMONTH(INDEX(DarlAuszahlung,12),424)+1)</f>
      </c>
      <c r="F5708" s="43">
        <f>IF($E5708=0,0,YEAR($E5708))</f>
      </c>
      <c r="G5708" s="43">
        <f>IF(INDEX(DarlBindung,12)="",1,IF($E5708&lt;=INDEX(DarlBindung,12),1,0))</f>
      </c>
      <c r="H5708" s="43">
        <f>IF($G5708=1,INDEX(DarlSollzins,12),INDEX(DarlAnschluss,12))</f>
      </c>
      <c r="I5708" s="43">
        <f>IF(INDEX(DarlBelegt,12)=0,0,IF(INDEX(DarlOhneTilgung,12)=1,IF(INDEX(DarlBindung,12)="",1,$G5708),IF($J5708&gt;0.005,1,0)))</f>
      </c>
      <c r="J5708" s="43">
        <f>IF($I5707=0,0,$R5707)</f>
      </c>
      <c r="K5708" s="43">
        <f>IF($I5708=0,0,IF(INDEX(DarlOhneTilgung,12)=1,0,IF(AND(INDEX(DarlTilgStart,12)&gt;0,$E5708=INDEX(DarlTilgStart,12)),$J5708*($H5708+INDEX(DarlTilgung,12))/100/12,IF(AND($G5708=0,$G5707=1),MAX($K5707,$J5708*($H5708+1)/100/12),$K5707))))</f>
      </c>
      <c r="L5708" s="43">
        <f>IF($I5708=0,0,$J5708*$H5708/100/12)</f>
      </c>
      <c r="M5708" s="43">
        <f>IF($I5708=0,0,IF(OR(INDEX(DarlOhneTilgung,12)=1,AND(INDEX(DarlTilgStart,12)&gt;0,$E5708&lt;INDEX(DarlTilgStart,12))),0,MIN(MAX(0,$K5708-$L5708),$J5708)))</f>
      </c>
      <c r="N5708" s="43">
        <f>IF($I5708=0,0,MIN(SUMIFS(SondBetrag,SondDarl,12,SondDatum,"&gt;="&amp;$E5708,SondDatum,"&lt;="&amp;EOMONTH($E5708,0)),$J5708-$M5708))</f>
      </c>
      <c r="O5708" s="43">
        <f>IF($I5708=0,0,INDEX(DarlErsatzRate,12))</f>
      </c>
      <c r="P5708" s="43">
        <f>IF($I5708=0,0,$Q5707*INDEX(DarlErsatzZins,12))</f>
      </c>
      <c r="Q5708" s="43">
        <f>IF($I5708=0,0,$Q5707+$P5708+$O5708)</f>
      </c>
      <c r="R5708" s="43">
        <f>IF($I5708=0,0,$J5708-$M5708-$N5708)</f>
      </c>
    </row>
    <row r="5709">
      <c r="A5709"/>
      <c r="B5709">
        <v>12</v>
      </c>
      <c r="C5709" s="43">
        <f>INDEX(DarlObj,12)</f>
      </c>
      <c r="D5709">
        <v>426</v>
      </c>
      <c r="E5709" s="51">
        <f>IF(INDEX(DarlBelegt,12)=0,0,EOMONTH(INDEX(DarlAuszahlung,12),425)+1)</f>
      </c>
      <c r="F5709" s="43">
        <f>IF($E5709=0,0,YEAR($E5709))</f>
      </c>
      <c r="G5709" s="43">
        <f>IF(INDEX(DarlBindung,12)="",1,IF($E5709&lt;=INDEX(DarlBindung,12),1,0))</f>
      </c>
      <c r="H5709" s="43">
        <f>IF($G5709=1,INDEX(DarlSollzins,12),INDEX(DarlAnschluss,12))</f>
      </c>
      <c r="I5709" s="43">
        <f>IF(INDEX(DarlBelegt,12)=0,0,IF(INDEX(DarlOhneTilgung,12)=1,IF(INDEX(DarlBindung,12)="",1,$G5709),IF($J5709&gt;0.005,1,0)))</f>
      </c>
      <c r="J5709" s="43">
        <f>IF($I5708=0,0,$R5708)</f>
      </c>
      <c r="K5709" s="43">
        <f>IF($I5709=0,0,IF(INDEX(DarlOhneTilgung,12)=1,0,IF(AND(INDEX(DarlTilgStart,12)&gt;0,$E5709=INDEX(DarlTilgStart,12)),$J5709*($H5709+INDEX(DarlTilgung,12))/100/12,IF(AND($G5709=0,$G5708=1),MAX($K5708,$J5709*($H5709+1)/100/12),$K5708))))</f>
      </c>
      <c r="L5709" s="43">
        <f>IF($I5709=0,0,$J5709*$H5709/100/12)</f>
      </c>
      <c r="M5709" s="43">
        <f>IF($I5709=0,0,IF(OR(INDEX(DarlOhneTilgung,12)=1,AND(INDEX(DarlTilgStart,12)&gt;0,$E5709&lt;INDEX(DarlTilgStart,12))),0,MIN(MAX(0,$K5709-$L5709),$J5709)))</f>
      </c>
      <c r="N5709" s="43">
        <f>IF($I5709=0,0,MIN(SUMIFS(SondBetrag,SondDarl,12,SondDatum,"&gt;="&amp;$E5709,SondDatum,"&lt;="&amp;EOMONTH($E5709,0)),$J5709-$M5709))</f>
      </c>
      <c r="O5709" s="43">
        <f>IF($I5709=0,0,INDEX(DarlErsatzRate,12))</f>
      </c>
      <c r="P5709" s="43">
        <f>IF($I5709=0,0,$Q5708*INDEX(DarlErsatzZins,12))</f>
      </c>
      <c r="Q5709" s="43">
        <f>IF($I5709=0,0,$Q5708+$P5709+$O5709)</f>
      </c>
      <c r="R5709" s="43">
        <f>IF($I5709=0,0,$J5709-$M5709-$N5709)</f>
      </c>
    </row>
    <row r="5710">
      <c r="A5710"/>
      <c r="B5710">
        <v>12</v>
      </c>
      <c r="C5710" s="43">
        <f>INDEX(DarlObj,12)</f>
      </c>
      <c r="D5710">
        <v>427</v>
      </c>
      <c r="E5710" s="51">
        <f>IF(INDEX(DarlBelegt,12)=0,0,EOMONTH(INDEX(DarlAuszahlung,12),426)+1)</f>
      </c>
      <c r="F5710" s="43">
        <f>IF($E5710=0,0,YEAR($E5710))</f>
      </c>
      <c r="G5710" s="43">
        <f>IF(INDEX(DarlBindung,12)="",1,IF($E5710&lt;=INDEX(DarlBindung,12),1,0))</f>
      </c>
      <c r="H5710" s="43">
        <f>IF($G5710=1,INDEX(DarlSollzins,12),INDEX(DarlAnschluss,12))</f>
      </c>
      <c r="I5710" s="43">
        <f>IF(INDEX(DarlBelegt,12)=0,0,IF(INDEX(DarlOhneTilgung,12)=1,IF(INDEX(DarlBindung,12)="",1,$G5710),IF($J5710&gt;0.005,1,0)))</f>
      </c>
      <c r="J5710" s="43">
        <f>IF($I5709=0,0,$R5709)</f>
      </c>
      <c r="K5710" s="43">
        <f>IF($I5710=0,0,IF(INDEX(DarlOhneTilgung,12)=1,0,IF(AND(INDEX(DarlTilgStart,12)&gt;0,$E5710=INDEX(DarlTilgStart,12)),$J5710*($H5710+INDEX(DarlTilgung,12))/100/12,IF(AND($G5710=0,$G5709=1),MAX($K5709,$J5710*($H5710+1)/100/12),$K5709))))</f>
      </c>
      <c r="L5710" s="43">
        <f>IF($I5710=0,0,$J5710*$H5710/100/12)</f>
      </c>
      <c r="M5710" s="43">
        <f>IF($I5710=0,0,IF(OR(INDEX(DarlOhneTilgung,12)=1,AND(INDEX(DarlTilgStart,12)&gt;0,$E5710&lt;INDEX(DarlTilgStart,12))),0,MIN(MAX(0,$K5710-$L5710),$J5710)))</f>
      </c>
      <c r="N5710" s="43">
        <f>IF($I5710=0,0,MIN(SUMIFS(SondBetrag,SondDarl,12,SondDatum,"&gt;="&amp;$E5710,SondDatum,"&lt;="&amp;EOMONTH($E5710,0)),$J5710-$M5710))</f>
      </c>
      <c r="O5710" s="43">
        <f>IF($I5710=0,0,INDEX(DarlErsatzRate,12))</f>
      </c>
      <c r="P5710" s="43">
        <f>IF($I5710=0,0,$Q5709*INDEX(DarlErsatzZins,12))</f>
      </c>
      <c r="Q5710" s="43">
        <f>IF($I5710=0,0,$Q5709+$P5710+$O5710)</f>
      </c>
      <c r="R5710" s="43">
        <f>IF($I5710=0,0,$J5710-$M5710-$N5710)</f>
      </c>
    </row>
    <row r="5711">
      <c r="A5711"/>
      <c r="B5711">
        <v>12</v>
      </c>
      <c r="C5711" s="43">
        <f>INDEX(DarlObj,12)</f>
      </c>
      <c r="D5711">
        <v>428</v>
      </c>
      <c r="E5711" s="51">
        <f>IF(INDEX(DarlBelegt,12)=0,0,EOMONTH(INDEX(DarlAuszahlung,12),427)+1)</f>
      </c>
      <c r="F5711" s="43">
        <f>IF($E5711=0,0,YEAR($E5711))</f>
      </c>
      <c r="G5711" s="43">
        <f>IF(INDEX(DarlBindung,12)="",1,IF($E5711&lt;=INDEX(DarlBindung,12),1,0))</f>
      </c>
      <c r="H5711" s="43">
        <f>IF($G5711=1,INDEX(DarlSollzins,12),INDEX(DarlAnschluss,12))</f>
      </c>
      <c r="I5711" s="43">
        <f>IF(INDEX(DarlBelegt,12)=0,0,IF(INDEX(DarlOhneTilgung,12)=1,IF(INDEX(DarlBindung,12)="",1,$G5711),IF($J5711&gt;0.005,1,0)))</f>
      </c>
      <c r="J5711" s="43">
        <f>IF($I5710=0,0,$R5710)</f>
      </c>
      <c r="K5711" s="43">
        <f>IF($I5711=0,0,IF(INDEX(DarlOhneTilgung,12)=1,0,IF(AND(INDEX(DarlTilgStart,12)&gt;0,$E5711=INDEX(DarlTilgStart,12)),$J5711*($H5711+INDEX(DarlTilgung,12))/100/12,IF(AND($G5711=0,$G5710=1),MAX($K5710,$J5711*($H5711+1)/100/12),$K5710))))</f>
      </c>
      <c r="L5711" s="43">
        <f>IF($I5711=0,0,$J5711*$H5711/100/12)</f>
      </c>
      <c r="M5711" s="43">
        <f>IF($I5711=0,0,IF(OR(INDEX(DarlOhneTilgung,12)=1,AND(INDEX(DarlTilgStart,12)&gt;0,$E5711&lt;INDEX(DarlTilgStart,12))),0,MIN(MAX(0,$K5711-$L5711),$J5711)))</f>
      </c>
      <c r="N5711" s="43">
        <f>IF($I5711=0,0,MIN(SUMIFS(SondBetrag,SondDarl,12,SondDatum,"&gt;="&amp;$E5711,SondDatum,"&lt;="&amp;EOMONTH($E5711,0)),$J5711-$M5711))</f>
      </c>
      <c r="O5711" s="43">
        <f>IF($I5711=0,0,INDEX(DarlErsatzRate,12))</f>
      </c>
      <c r="P5711" s="43">
        <f>IF($I5711=0,0,$Q5710*INDEX(DarlErsatzZins,12))</f>
      </c>
      <c r="Q5711" s="43">
        <f>IF($I5711=0,0,$Q5710+$P5711+$O5711)</f>
      </c>
      <c r="R5711" s="43">
        <f>IF($I5711=0,0,$J5711-$M5711-$N5711)</f>
      </c>
    </row>
    <row r="5712">
      <c r="A5712"/>
      <c r="B5712">
        <v>12</v>
      </c>
      <c r="C5712" s="43">
        <f>INDEX(DarlObj,12)</f>
      </c>
      <c r="D5712">
        <v>429</v>
      </c>
      <c r="E5712" s="51">
        <f>IF(INDEX(DarlBelegt,12)=0,0,EOMONTH(INDEX(DarlAuszahlung,12),428)+1)</f>
      </c>
      <c r="F5712" s="43">
        <f>IF($E5712=0,0,YEAR($E5712))</f>
      </c>
      <c r="G5712" s="43">
        <f>IF(INDEX(DarlBindung,12)="",1,IF($E5712&lt;=INDEX(DarlBindung,12),1,0))</f>
      </c>
      <c r="H5712" s="43">
        <f>IF($G5712=1,INDEX(DarlSollzins,12),INDEX(DarlAnschluss,12))</f>
      </c>
      <c r="I5712" s="43">
        <f>IF(INDEX(DarlBelegt,12)=0,0,IF(INDEX(DarlOhneTilgung,12)=1,IF(INDEX(DarlBindung,12)="",1,$G5712),IF($J5712&gt;0.005,1,0)))</f>
      </c>
      <c r="J5712" s="43">
        <f>IF($I5711=0,0,$R5711)</f>
      </c>
      <c r="K5712" s="43">
        <f>IF($I5712=0,0,IF(INDEX(DarlOhneTilgung,12)=1,0,IF(AND(INDEX(DarlTilgStart,12)&gt;0,$E5712=INDEX(DarlTilgStart,12)),$J5712*($H5712+INDEX(DarlTilgung,12))/100/12,IF(AND($G5712=0,$G5711=1),MAX($K5711,$J5712*($H5712+1)/100/12),$K5711))))</f>
      </c>
      <c r="L5712" s="43">
        <f>IF($I5712=0,0,$J5712*$H5712/100/12)</f>
      </c>
      <c r="M5712" s="43">
        <f>IF($I5712=0,0,IF(OR(INDEX(DarlOhneTilgung,12)=1,AND(INDEX(DarlTilgStart,12)&gt;0,$E5712&lt;INDEX(DarlTilgStart,12))),0,MIN(MAX(0,$K5712-$L5712),$J5712)))</f>
      </c>
      <c r="N5712" s="43">
        <f>IF($I5712=0,0,MIN(SUMIFS(SondBetrag,SondDarl,12,SondDatum,"&gt;="&amp;$E5712,SondDatum,"&lt;="&amp;EOMONTH($E5712,0)),$J5712-$M5712))</f>
      </c>
      <c r="O5712" s="43">
        <f>IF($I5712=0,0,INDEX(DarlErsatzRate,12))</f>
      </c>
      <c r="P5712" s="43">
        <f>IF($I5712=0,0,$Q5711*INDEX(DarlErsatzZins,12))</f>
      </c>
      <c r="Q5712" s="43">
        <f>IF($I5712=0,0,$Q5711+$P5712+$O5712)</f>
      </c>
      <c r="R5712" s="43">
        <f>IF($I5712=0,0,$J5712-$M5712-$N5712)</f>
      </c>
    </row>
    <row r="5713">
      <c r="A5713"/>
      <c r="B5713">
        <v>12</v>
      </c>
      <c r="C5713" s="43">
        <f>INDEX(DarlObj,12)</f>
      </c>
      <c r="D5713">
        <v>430</v>
      </c>
      <c r="E5713" s="51">
        <f>IF(INDEX(DarlBelegt,12)=0,0,EOMONTH(INDEX(DarlAuszahlung,12),429)+1)</f>
      </c>
      <c r="F5713" s="43">
        <f>IF($E5713=0,0,YEAR($E5713))</f>
      </c>
      <c r="G5713" s="43">
        <f>IF(INDEX(DarlBindung,12)="",1,IF($E5713&lt;=INDEX(DarlBindung,12),1,0))</f>
      </c>
      <c r="H5713" s="43">
        <f>IF($G5713=1,INDEX(DarlSollzins,12),INDEX(DarlAnschluss,12))</f>
      </c>
      <c r="I5713" s="43">
        <f>IF(INDEX(DarlBelegt,12)=0,0,IF(INDEX(DarlOhneTilgung,12)=1,IF(INDEX(DarlBindung,12)="",1,$G5713),IF($J5713&gt;0.005,1,0)))</f>
      </c>
      <c r="J5713" s="43">
        <f>IF($I5712=0,0,$R5712)</f>
      </c>
      <c r="K5713" s="43">
        <f>IF($I5713=0,0,IF(INDEX(DarlOhneTilgung,12)=1,0,IF(AND(INDEX(DarlTilgStart,12)&gt;0,$E5713=INDEX(DarlTilgStart,12)),$J5713*($H5713+INDEX(DarlTilgung,12))/100/12,IF(AND($G5713=0,$G5712=1),MAX($K5712,$J5713*($H5713+1)/100/12),$K5712))))</f>
      </c>
      <c r="L5713" s="43">
        <f>IF($I5713=0,0,$J5713*$H5713/100/12)</f>
      </c>
      <c r="M5713" s="43">
        <f>IF($I5713=0,0,IF(OR(INDEX(DarlOhneTilgung,12)=1,AND(INDEX(DarlTilgStart,12)&gt;0,$E5713&lt;INDEX(DarlTilgStart,12))),0,MIN(MAX(0,$K5713-$L5713),$J5713)))</f>
      </c>
      <c r="N5713" s="43">
        <f>IF($I5713=0,0,MIN(SUMIFS(SondBetrag,SondDarl,12,SondDatum,"&gt;="&amp;$E5713,SondDatum,"&lt;="&amp;EOMONTH($E5713,0)),$J5713-$M5713))</f>
      </c>
      <c r="O5713" s="43">
        <f>IF($I5713=0,0,INDEX(DarlErsatzRate,12))</f>
      </c>
      <c r="P5713" s="43">
        <f>IF($I5713=0,0,$Q5712*INDEX(DarlErsatzZins,12))</f>
      </c>
      <c r="Q5713" s="43">
        <f>IF($I5713=0,0,$Q5712+$P5713+$O5713)</f>
      </c>
      <c r="R5713" s="43">
        <f>IF($I5713=0,0,$J5713-$M5713-$N5713)</f>
      </c>
    </row>
    <row r="5714">
      <c r="A5714"/>
      <c r="B5714">
        <v>12</v>
      </c>
      <c r="C5714" s="43">
        <f>INDEX(DarlObj,12)</f>
      </c>
      <c r="D5714">
        <v>431</v>
      </c>
      <c r="E5714" s="51">
        <f>IF(INDEX(DarlBelegt,12)=0,0,EOMONTH(INDEX(DarlAuszahlung,12),430)+1)</f>
      </c>
      <c r="F5714" s="43">
        <f>IF($E5714=0,0,YEAR($E5714))</f>
      </c>
      <c r="G5714" s="43">
        <f>IF(INDEX(DarlBindung,12)="",1,IF($E5714&lt;=INDEX(DarlBindung,12),1,0))</f>
      </c>
      <c r="H5714" s="43">
        <f>IF($G5714=1,INDEX(DarlSollzins,12),INDEX(DarlAnschluss,12))</f>
      </c>
      <c r="I5714" s="43">
        <f>IF(INDEX(DarlBelegt,12)=0,0,IF(INDEX(DarlOhneTilgung,12)=1,IF(INDEX(DarlBindung,12)="",1,$G5714),IF($J5714&gt;0.005,1,0)))</f>
      </c>
      <c r="J5714" s="43">
        <f>IF($I5713=0,0,$R5713)</f>
      </c>
      <c r="K5714" s="43">
        <f>IF($I5714=0,0,IF(INDEX(DarlOhneTilgung,12)=1,0,IF(AND(INDEX(DarlTilgStart,12)&gt;0,$E5714=INDEX(DarlTilgStart,12)),$J5714*($H5714+INDEX(DarlTilgung,12))/100/12,IF(AND($G5714=0,$G5713=1),MAX($K5713,$J5714*($H5714+1)/100/12),$K5713))))</f>
      </c>
      <c r="L5714" s="43">
        <f>IF($I5714=0,0,$J5714*$H5714/100/12)</f>
      </c>
      <c r="M5714" s="43">
        <f>IF($I5714=0,0,IF(OR(INDEX(DarlOhneTilgung,12)=1,AND(INDEX(DarlTilgStart,12)&gt;0,$E5714&lt;INDEX(DarlTilgStart,12))),0,MIN(MAX(0,$K5714-$L5714),$J5714)))</f>
      </c>
      <c r="N5714" s="43">
        <f>IF($I5714=0,0,MIN(SUMIFS(SondBetrag,SondDarl,12,SondDatum,"&gt;="&amp;$E5714,SondDatum,"&lt;="&amp;EOMONTH($E5714,0)),$J5714-$M5714))</f>
      </c>
      <c r="O5714" s="43">
        <f>IF($I5714=0,0,INDEX(DarlErsatzRate,12))</f>
      </c>
      <c r="P5714" s="43">
        <f>IF($I5714=0,0,$Q5713*INDEX(DarlErsatzZins,12))</f>
      </c>
      <c r="Q5714" s="43">
        <f>IF($I5714=0,0,$Q5713+$P5714+$O5714)</f>
      </c>
      <c r="R5714" s="43">
        <f>IF($I5714=0,0,$J5714-$M5714-$N5714)</f>
      </c>
    </row>
    <row r="5715">
      <c r="A5715"/>
      <c r="B5715">
        <v>12</v>
      </c>
      <c r="C5715" s="43">
        <f>INDEX(DarlObj,12)</f>
      </c>
      <c r="D5715">
        <v>432</v>
      </c>
      <c r="E5715" s="51">
        <f>IF(INDEX(DarlBelegt,12)=0,0,EOMONTH(INDEX(DarlAuszahlung,12),431)+1)</f>
      </c>
      <c r="F5715" s="43">
        <f>IF($E5715=0,0,YEAR($E5715))</f>
      </c>
      <c r="G5715" s="43">
        <f>IF(INDEX(DarlBindung,12)="",1,IF($E5715&lt;=INDEX(DarlBindung,12),1,0))</f>
      </c>
      <c r="H5715" s="43">
        <f>IF($G5715=1,INDEX(DarlSollzins,12),INDEX(DarlAnschluss,12))</f>
      </c>
      <c r="I5715" s="43">
        <f>IF(INDEX(DarlBelegt,12)=0,0,IF(INDEX(DarlOhneTilgung,12)=1,IF(INDEX(DarlBindung,12)="",1,$G5715),IF($J5715&gt;0.005,1,0)))</f>
      </c>
      <c r="J5715" s="43">
        <f>IF($I5714=0,0,$R5714)</f>
      </c>
      <c r="K5715" s="43">
        <f>IF($I5715=0,0,IF(INDEX(DarlOhneTilgung,12)=1,0,IF(AND(INDEX(DarlTilgStart,12)&gt;0,$E5715=INDEX(DarlTilgStart,12)),$J5715*($H5715+INDEX(DarlTilgung,12))/100/12,IF(AND($G5715=0,$G5714=1),MAX($K5714,$J5715*($H5715+1)/100/12),$K5714))))</f>
      </c>
      <c r="L5715" s="43">
        <f>IF($I5715=0,0,$J5715*$H5715/100/12)</f>
      </c>
      <c r="M5715" s="43">
        <f>IF($I5715=0,0,IF(OR(INDEX(DarlOhneTilgung,12)=1,AND(INDEX(DarlTilgStart,12)&gt;0,$E5715&lt;INDEX(DarlTilgStart,12))),0,MIN(MAX(0,$K5715-$L5715),$J5715)))</f>
      </c>
      <c r="N5715" s="43">
        <f>IF($I5715=0,0,MIN(SUMIFS(SondBetrag,SondDarl,12,SondDatum,"&gt;="&amp;$E5715,SondDatum,"&lt;="&amp;EOMONTH($E5715,0)),$J5715-$M5715))</f>
      </c>
      <c r="O5715" s="43">
        <f>IF($I5715=0,0,INDEX(DarlErsatzRate,12))</f>
      </c>
      <c r="P5715" s="43">
        <f>IF($I5715=0,0,$Q5714*INDEX(DarlErsatzZins,12))</f>
      </c>
      <c r="Q5715" s="43">
        <f>IF($I5715=0,0,$Q5714+$P5715+$O5715)</f>
      </c>
      <c r="R5715" s="43">
        <f>IF($I5715=0,0,$J5715-$M5715-$N5715)</f>
      </c>
    </row>
    <row r="5716">
      <c r="A5716"/>
      <c r="B5716">
        <v>12</v>
      </c>
      <c r="C5716" s="43">
        <f>INDEX(DarlObj,12)</f>
      </c>
      <c r="D5716">
        <v>433</v>
      </c>
      <c r="E5716" s="51">
        <f>IF(INDEX(DarlBelegt,12)=0,0,EOMONTH(INDEX(DarlAuszahlung,12),432)+1)</f>
      </c>
      <c r="F5716" s="43">
        <f>IF($E5716=0,0,YEAR($E5716))</f>
      </c>
      <c r="G5716" s="43">
        <f>IF(INDEX(DarlBindung,12)="",1,IF($E5716&lt;=INDEX(DarlBindung,12),1,0))</f>
      </c>
      <c r="H5716" s="43">
        <f>IF($G5716=1,INDEX(DarlSollzins,12),INDEX(DarlAnschluss,12))</f>
      </c>
      <c r="I5716" s="43">
        <f>IF(INDEX(DarlBelegt,12)=0,0,IF(INDEX(DarlOhneTilgung,12)=1,IF(INDEX(DarlBindung,12)="",1,$G5716),IF($J5716&gt;0.005,1,0)))</f>
      </c>
      <c r="J5716" s="43">
        <f>IF($I5715=0,0,$R5715)</f>
      </c>
      <c r="K5716" s="43">
        <f>IF($I5716=0,0,IF(INDEX(DarlOhneTilgung,12)=1,0,IF(AND(INDEX(DarlTilgStart,12)&gt;0,$E5716=INDEX(DarlTilgStart,12)),$J5716*($H5716+INDEX(DarlTilgung,12))/100/12,IF(AND($G5716=0,$G5715=1),MAX($K5715,$J5716*($H5716+1)/100/12),$K5715))))</f>
      </c>
      <c r="L5716" s="43">
        <f>IF($I5716=0,0,$J5716*$H5716/100/12)</f>
      </c>
      <c r="M5716" s="43">
        <f>IF($I5716=0,0,IF(OR(INDEX(DarlOhneTilgung,12)=1,AND(INDEX(DarlTilgStart,12)&gt;0,$E5716&lt;INDEX(DarlTilgStart,12))),0,MIN(MAX(0,$K5716-$L5716),$J5716)))</f>
      </c>
      <c r="N5716" s="43">
        <f>IF($I5716=0,0,MIN(SUMIFS(SondBetrag,SondDarl,12,SondDatum,"&gt;="&amp;$E5716,SondDatum,"&lt;="&amp;EOMONTH($E5716,0)),$J5716-$M5716))</f>
      </c>
      <c r="O5716" s="43">
        <f>IF($I5716=0,0,INDEX(DarlErsatzRate,12))</f>
      </c>
      <c r="P5716" s="43">
        <f>IF($I5716=0,0,$Q5715*INDEX(DarlErsatzZins,12))</f>
      </c>
      <c r="Q5716" s="43">
        <f>IF($I5716=0,0,$Q5715+$P5716+$O5716)</f>
      </c>
      <c r="R5716" s="43">
        <f>IF($I5716=0,0,$J5716-$M5716-$N5716)</f>
      </c>
    </row>
    <row r="5717">
      <c r="A5717"/>
      <c r="B5717">
        <v>12</v>
      </c>
      <c r="C5717" s="43">
        <f>INDEX(DarlObj,12)</f>
      </c>
      <c r="D5717">
        <v>434</v>
      </c>
      <c r="E5717" s="51">
        <f>IF(INDEX(DarlBelegt,12)=0,0,EOMONTH(INDEX(DarlAuszahlung,12),433)+1)</f>
      </c>
      <c r="F5717" s="43">
        <f>IF($E5717=0,0,YEAR($E5717))</f>
      </c>
      <c r="G5717" s="43">
        <f>IF(INDEX(DarlBindung,12)="",1,IF($E5717&lt;=INDEX(DarlBindung,12),1,0))</f>
      </c>
      <c r="H5717" s="43">
        <f>IF($G5717=1,INDEX(DarlSollzins,12),INDEX(DarlAnschluss,12))</f>
      </c>
      <c r="I5717" s="43">
        <f>IF(INDEX(DarlBelegt,12)=0,0,IF(INDEX(DarlOhneTilgung,12)=1,IF(INDEX(DarlBindung,12)="",1,$G5717),IF($J5717&gt;0.005,1,0)))</f>
      </c>
      <c r="J5717" s="43">
        <f>IF($I5716=0,0,$R5716)</f>
      </c>
      <c r="K5717" s="43">
        <f>IF($I5717=0,0,IF(INDEX(DarlOhneTilgung,12)=1,0,IF(AND(INDEX(DarlTilgStart,12)&gt;0,$E5717=INDEX(DarlTilgStart,12)),$J5717*($H5717+INDEX(DarlTilgung,12))/100/12,IF(AND($G5717=0,$G5716=1),MAX($K5716,$J5717*($H5717+1)/100/12),$K5716))))</f>
      </c>
      <c r="L5717" s="43">
        <f>IF($I5717=0,0,$J5717*$H5717/100/12)</f>
      </c>
      <c r="M5717" s="43">
        <f>IF($I5717=0,0,IF(OR(INDEX(DarlOhneTilgung,12)=1,AND(INDEX(DarlTilgStart,12)&gt;0,$E5717&lt;INDEX(DarlTilgStart,12))),0,MIN(MAX(0,$K5717-$L5717),$J5717)))</f>
      </c>
      <c r="N5717" s="43">
        <f>IF($I5717=0,0,MIN(SUMIFS(SondBetrag,SondDarl,12,SondDatum,"&gt;="&amp;$E5717,SondDatum,"&lt;="&amp;EOMONTH($E5717,0)),$J5717-$M5717))</f>
      </c>
      <c r="O5717" s="43">
        <f>IF($I5717=0,0,INDEX(DarlErsatzRate,12))</f>
      </c>
      <c r="P5717" s="43">
        <f>IF($I5717=0,0,$Q5716*INDEX(DarlErsatzZins,12))</f>
      </c>
      <c r="Q5717" s="43">
        <f>IF($I5717=0,0,$Q5716+$P5717+$O5717)</f>
      </c>
      <c r="R5717" s="43">
        <f>IF($I5717=0,0,$J5717-$M5717-$N5717)</f>
      </c>
    </row>
    <row r="5718">
      <c r="A5718"/>
      <c r="B5718">
        <v>12</v>
      </c>
      <c r="C5718" s="43">
        <f>INDEX(DarlObj,12)</f>
      </c>
      <c r="D5718">
        <v>435</v>
      </c>
      <c r="E5718" s="51">
        <f>IF(INDEX(DarlBelegt,12)=0,0,EOMONTH(INDEX(DarlAuszahlung,12),434)+1)</f>
      </c>
      <c r="F5718" s="43">
        <f>IF($E5718=0,0,YEAR($E5718))</f>
      </c>
      <c r="G5718" s="43">
        <f>IF(INDEX(DarlBindung,12)="",1,IF($E5718&lt;=INDEX(DarlBindung,12),1,0))</f>
      </c>
      <c r="H5718" s="43">
        <f>IF($G5718=1,INDEX(DarlSollzins,12),INDEX(DarlAnschluss,12))</f>
      </c>
      <c r="I5718" s="43">
        <f>IF(INDEX(DarlBelegt,12)=0,0,IF(INDEX(DarlOhneTilgung,12)=1,IF(INDEX(DarlBindung,12)="",1,$G5718),IF($J5718&gt;0.005,1,0)))</f>
      </c>
      <c r="J5718" s="43">
        <f>IF($I5717=0,0,$R5717)</f>
      </c>
      <c r="K5718" s="43">
        <f>IF($I5718=0,0,IF(INDEX(DarlOhneTilgung,12)=1,0,IF(AND(INDEX(DarlTilgStart,12)&gt;0,$E5718=INDEX(DarlTilgStart,12)),$J5718*($H5718+INDEX(DarlTilgung,12))/100/12,IF(AND($G5718=0,$G5717=1),MAX($K5717,$J5718*($H5718+1)/100/12),$K5717))))</f>
      </c>
      <c r="L5718" s="43">
        <f>IF($I5718=0,0,$J5718*$H5718/100/12)</f>
      </c>
      <c r="M5718" s="43">
        <f>IF($I5718=0,0,IF(OR(INDEX(DarlOhneTilgung,12)=1,AND(INDEX(DarlTilgStart,12)&gt;0,$E5718&lt;INDEX(DarlTilgStart,12))),0,MIN(MAX(0,$K5718-$L5718),$J5718)))</f>
      </c>
      <c r="N5718" s="43">
        <f>IF($I5718=0,0,MIN(SUMIFS(SondBetrag,SondDarl,12,SondDatum,"&gt;="&amp;$E5718,SondDatum,"&lt;="&amp;EOMONTH($E5718,0)),$J5718-$M5718))</f>
      </c>
      <c r="O5718" s="43">
        <f>IF($I5718=0,0,INDEX(DarlErsatzRate,12))</f>
      </c>
      <c r="P5718" s="43">
        <f>IF($I5718=0,0,$Q5717*INDEX(DarlErsatzZins,12))</f>
      </c>
      <c r="Q5718" s="43">
        <f>IF($I5718=0,0,$Q5717+$P5718+$O5718)</f>
      </c>
      <c r="R5718" s="43">
        <f>IF($I5718=0,0,$J5718-$M5718-$N5718)</f>
      </c>
    </row>
    <row r="5719">
      <c r="A5719"/>
      <c r="B5719">
        <v>12</v>
      </c>
      <c r="C5719" s="43">
        <f>INDEX(DarlObj,12)</f>
      </c>
      <c r="D5719">
        <v>436</v>
      </c>
      <c r="E5719" s="51">
        <f>IF(INDEX(DarlBelegt,12)=0,0,EOMONTH(INDEX(DarlAuszahlung,12),435)+1)</f>
      </c>
      <c r="F5719" s="43">
        <f>IF($E5719=0,0,YEAR($E5719))</f>
      </c>
      <c r="G5719" s="43">
        <f>IF(INDEX(DarlBindung,12)="",1,IF($E5719&lt;=INDEX(DarlBindung,12),1,0))</f>
      </c>
      <c r="H5719" s="43">
        <f>IF($G5719=1,INDEX(DarlSollzins,12),INDEX(DarlAnschluss,12))</f>
      </c>
      <c r="I5719" s="43">
        <f>IF(INDEX(DarlBelegt,12)=0,0,IF(INDEX(DarlOhneTilgung,12)=1,IF(INDEX(DarlBindung,12)="",1,$G5719),IF($J5719&gt;0.005,1,0)))</f>
      </c>
      <c r="J5719" s="43">
        <f>IF($I5718=0,0,$R5718)</f>
      </c>
      <c r="K5719" s="43">
        <f>IF($I5719=0,0,IF(INDEX(DarlOhneTilgung,12)=1,0,IF(AND(INDEX(DarlTilgStart,12)&gt;0,$E5719=INDEX(DarlTilgStart,12)),$J5719*($H5719+INDEX(DarlTilgung,12))/100/12,IF(AND($G5719=0,$G5718=1),MAX($K5718,$J5719*($H5719+1)/100/12),$K5718))))</f>
      </c>
      <c r="L5719" s="43">
        <f>IF($I5719=0,0,$J5719*$H5719/100/12)</f>
      </c>
      <c r="M5719" s="43">
        <f>IF($I5719=0,0,IF(OR(INDEX(DarlOhneTilgung,12)=1,AND(INDEX(DarlTilgStart,12)&gt;0,$E5719&lt;INDEX(DarlTilgStart,12))),0,MIN(MAX(0,$K5719-$L5719),$J5719)))</f>
      </c>
      <c r="N5719" s="43">
        <f>IF($I5719=0,0,MIN(SUMIFS(SondBetrag,SondDarl,12,SondDatum,"&gt;="&amp;$E5719,SondDatum,"&lt;="&amp;EOMONTH($E5719,0)),$J5719-$M5719))</f>
      </c>
      <c r="O5719" s="43">
        <f>IF($I5719=0,0,INDEX(DarlErsatzRate,12))</f>
      </c>
      <c r="P5719" s="43">
        <f>IF($I5719=0,0,$Q5718*INDEX(DarlErsatzZins,12))</f>
      </c>
      <c r="Q5719" s="43">
        <f>IF($I5719=0,0,$Q5718+$P5719+$O5719)</f>
      </c>
      <c r="R5719" s="43">
        <f>IF($I5719=0,0,$J5719-$M5719-$N5719)</f>
      </c>
    </row>
    <row r="5720">
      <c r="A5720"/>
      <c r="B5720">
        <v>12</v>
      </c>
      <c r="C5720" s="43">
        <f>INDEX(DarlObj,12)</f>
      </c>
      <c r="D5720">
        <v>437</v>
      </c>
      <c r="E5720" s="51">
        <f>IF(INDEX(DarlBelegt,12)=0,0,EOMONTH(INDEX(DarlAuszahlung,12),436)+1)</f>
      </c>
      <c r="F5720" s="43">
        <f>IF($E5720=0,0,YEAR($E5720))</f>
      </c>
      <c r="G5720" s="43">
        <f>IF(INDEX(DarlBindung,12)="",1,IF($E5720&lt;=INDEX(DarlBindung,12),1,0))</f>
      </c>
      <c r="H5720" s="43">
        <f>IF($G5720=1,INDEX(DarlSollzins,12),INDEX(DarlAnschluss,12))</f>
      </c>
      <c r="I5720" s="43">
        <f>IF(INDEX(DarlBelegt,12)=0,0,IF(INDEX(DarlOhneTilgung,12)=1,IF(INDEX(DarlBindung,12)="",1,$G5720),IF($J5720&gt;0.005,1,0)))</f>
      </c>
      <c r="J5720" s="43">
        <f>IF($I5719=0,0,$R5719)</f>
      </c>
      <c r="K5720" s="43">
        <f>IF($I5720=0,0,IF(INDEX(DarlOhneTilgung,12)=1,0,IF(AND(INDEX(DarlTilgStart,12)&gt;0,$E5720=INDEX(DarlTilgStart,12)),$J5720*($H5720+INDEX(DarlTilgung,12))/100/12,IF(AND($G5720=0,$G5719=1),MAX($K5719,$J5720*($H5720+1)/100/12),$K5719))))</f>
      </c>
      <c r="L5720" s="43">
        <f>IF($I5720=0,0,$J5720*$H5720/100/12)</f>
      </c>
      <c r="M5720" s="43">
        <f>IF($I5720=0,0,IF(OR(INDEX(DarlOhneTilgung,12)=1,AND(INDEX(DarlTilgStart,12)&gt;0,$E5720&lt;INDEX(DarlTilgStart,12))),0,MIN(MAX(0,$K5720-$L5720),$J5720)))</f>
      </c>
      <c r="N5720" s="43">
        <f>IF($I5720=0,0,MIN(SUMIFS(SondBetrag,SondDarl,12,SondDatum,"&gt;="&amp;$E5720,SondDatum,"&lt;="&amp;EOMONTH($E5720,0)),$J5720-$M5720))</f>
      </c>
      <c r="O5720" s="43">
        <f>IF($I5720=0,0,INDEX(DarlErsatzRate,12))</f>
      </c>
      <c r="P5720" s="43">
        <f>IF($I5720=0,0,$Q5719*INDEX(DarlErsatzZins,12))</f>
      </c>
      <c r="Q5720" s="43">
        <f>IF($I5720=0,0,$Q5719+$P5720+$O5720)</f>
      </c>
      <c r="R5720" s="43">
        <f>IF($I5720=0,0,$J5720-$M5720-$N5720)</f>
      </c>
    </row>
    <row r="5721">
      <c r="A5721"/>
      <c r="B5721">
        <v>12</v>
      </c>
      <c r="C5721" s="43">
        <f>INDEX(DarlObj,12)</f>
      </c>
      <c r="D5721">
        <v>438</v>
      </c>
      <c r="E5721" s="51">
        <f>IF(INDEX(DarlBelegt,12)=0,0,EOMONTH(INDEX(DarlAuszahlung,12),437)+1)</f>
      </c>
      <c r="F5721" s="43">
        <f>IF($E5721=0,0,YEAR($E5721))</f>
      </c>
      <c r="G5721" s="43">
        <f>IF(INDEX(DarlBindung,12)="",1,IF($E5721&lt;=INDEX(DarlBindung,12),1,0))</f>
      </c>
      <c r="H5721" s="43">
        <f>IF($G5721=1,INDEX(DarlSollzins,12),INDEX(DarlAnschluss,12))</f>
      </c>
      <c r="I5721" s="43">
        <f>IF(INDEX(DarlBelegt,12)=0,0,IF(INDEX(DarlOhneTilgung,12)=1,IF(INDEX(DarlBindung,12)="",1,$G5721),IF($J5721&gt;0.005,1,0)))</f>
      </c>
      <c r="J5721" s="43">
        <f>IF($I5720=0,0,$R5720)</f>
      </c>
      <c r="K5721" s="43">
        <f>IF($I5721=0,0,IF(INDEX(DarlOhneTilgung,12)=1,0,IF(AND(INDEX(DarlTilgStart,12)&gt;0,$E5721=INDEX(DarlTilgStart,12)),$J5721*($H5721+INDEX(DarlTilgung,12))/100/12,IF(AND($G5721=0,$G5720=1),MAX($K5720,$J5721*($H5721+1)/100/12),$K5720))))</f>
      </c>
      <c r="L5721" s="43">
        <f>IF($I5721=0,0,$J5721*$H5721/100/12)</f>
      </c>
      <c r="M5721" s="43">
        <f>IF($I5721=0,0,IF(OR(INDEX(DarlOhneTilgung,12)=1,AND(INDEX(DarlTilgStart,12)&gt;0,$E5721&lt;INDEX(DarlTilgStart,12))),0,MIN(MAX(0,$K5721-$L5721),$J5721)))</f>
      </c>
      <c r="N5721" s="43">
        <f>IF($I5721=0,0,MIN(SUMIFS(SondBetrag,SondDarl,12,SondDatum,"&gt;="&amp;$E5721,SondDatum,"&lt;="&amp;EOMONTH($E5721,0)),$J5721-$M5721))</f>
      </c>
      <c r="O5721" s="43">
        <f>IF($I5721=0,0,INDEX(DarlErsatzRate,12))</f>
      </c>
      <c r="P5721" s="43">
        <f>IF($I5721=0,0,$Q5720*INDEX(DarlErsatzZins,12))</f>
      </c>
      <c r="Q5721" s="43">
        <f>IF($I5721=0,0,$Q5720+$P5721+$O5721)</f>
      </c>
      <c r="R5721" s="43">
        <f>IF($I5721=0,0,$J5721-$M5721-$N5721)</f>
      </c>
    </row>
    <row r="5722">
      <c r="A5722"/>
      <c r="B5722">
        <v>12</v>
      </c>
      <c r="C5722" s="43">
        <f>INDEX(DarlObj,12)</f>
      </c>
      <c r="D5722">
        <v>439</v>
      </c>
      <c r="E5722" s="51">
        <f>IF(INDEX(DarlBelegt,12)=0,0,EOMONTH(INDEX(DarlAuszahlung,12),438)+1)</f>
      </c>
      <c r="F5722" s="43">
        <f>IF($E5722=0,0,YEAR($E5722))</f>
      </c>
      <c r="G5722" s="43">
        <f>IF(INDEX(DarlBindung,12)="",1,IF($E5722&lt;=INDEX(DarlBindung,12),1,0))</f>
      </c>
      <c r="H5722" s="43">
        <f>IF($G5722=1,INDEX(DarlSollzins,12),INDEX(DarlAnschluss,12))</f>
      </c>
      <c r="I5722" s="43">
        <f>IF(INDEX(DarlBelegt,12)=0,0,IF(INDEX(DarlOhneTilgung,12)=1,IF(INDEX(DarlBindung,12)="",1,$G5722),IF($J5722&gt;0.005,1,0)))</f>
      </c>
      <c r="J5722" s="43">
        <f>IF($I5721=0,0,$R5721)</f>
      </c>
      <c r="K5722" s="43">
        <f>IF($I5722=0,0,IF(INDEX(DarlOhneTilgung,12)=1,0,IF(AND(INDEX(DarlTilgStart,12)&gt;0,$E5722=INDEX(DarlTilgStart,12)),$J5722*($H5722+INDEX(DarlTilgung,12))/100/12,IF(AND($G5722=0,$G5721=1),MAX($K5721,$J5722*($H5722+1)/100/12),$K5721))))</f>
      </c>
      <c r="L5722" s="43">
        <f>IF($I5722=0,0,$J5722*$H5722/100/12)</f>
      </c>
      <c r="M5722" s="43">
        <f>IF($I5722=0,0,IF(OR(INDEX(DarlOhneTilgung,12)=1,AND(INDEX(DarlTilgStart,12)&gt;0,$E5722&lt;INDEX(DarlTilgStart,12))),0,MIN(MAX(0,$K5722-$L5722),$J5722)))</f>
      </c>
      <c r="N5722" s="43">
        <f>IF($I5722=0,0,MIN(SUMIFS(SondBetrag,SondDarl,12,SondDatum,"&gt;="&amp;$E5722,SondDatum,"&lt;="&amp;EOMONTH($E5722,0)),$J5722-$M5722))</f>
      </c>
      <c r="O5722" s="43">
        <f>IF($I5722=0,0,INDEX(DarlErsatzRate,12))</f>
      </c>
      <c r="P5722" s="43">
        <f>IF($I5722=0,0,$Q5721*INDEX(DarlErsatzZins,12))</f>
      </c>
      <c r="Q5722" s="43">
        <f>IF($I5722=0,0,$Q5721+$P5722+$O5722)</f>
      </c>
      <c r="R5722" s="43">
        <f>IF($I5722=0,0,$J5722-$M5722-$N5722)</f>
      </c>
    </row>
    <row r="5723">
      <c r="A5723"/>
      <c r="B5723">
        <v>12</v>
      </c>
      <c r="C5723" s="43">
        <f>INDEX(DarlObj,12)</f>
      </c>
      <c r="D5723">
        <v>440</v>
      </c>
      <c r="E5723" s="51">
        <f>IF(INDEX(DarlBelegt,12)=0,0,EOMONTH(INDEX(DarlAuszahlung,12),439)+1)</f>
      </c>
      <c r="F5723" s="43">
        <f>IF($E5723=0,0,YEAR($E5723))</f>
      </c>
      <c r="G5723" s="43">
        <f>IF(INDEX(DarlBindung,12)="",1,IF($E5723&lt;=INDEX(DarlBindung,12),1,0))</f>
      </c>
      <c r="H5723" s="43">
        <f>IF($G5723=1,INDEX(DarlSollzins,12),INDEX(DarlAnschluss,12))</f>
      </c>
      <c r="I5723" s="43">
        <f>IF(INDEX(DarlBelegt,12)=0,0,IF(INDEX(DarlOhneTilgung,12)=1,IF(INDEX(DarlBindung,12)="",1,$G5723),IF($J5723&gt;0.005,1,0)))</f>
      </c>
      <c r="J5723" s="43">
        <f>IF($I5722=0,0,$R5722)</f>
      </c>
      <c r="K5723" s="43">
        <f>IF($I5723=0,0,IF(INDEX(DarlOhneTilgung,12)=1,0,IF(AND(INDEX(DarlTilgStart,12)&gt;0,$E5723=INDEX(DarlTilgStart,12)),$J5723*($H5723+INDEX(DarlTilgung,12))/100/12,IF(AND($G5723=0,$G5722=1),MAX($K5722,$J5723*($H5723+1)/100/12),$K5722))))</f>
      </c>
      <c r="L5723" s="43">
        <f>IF($I5723=0,0,$J5723*$H5723/100/12)</f>
      </c>
      <c r="M5723" s="43">
        <f>IF($I5723=0,0,IF(OR(INDEX(DarlOhneTilgung,12)=1,AND(INDEX(DarlTilgStart,12)&gt;0,$E5723&lt;INDEX(DarlTilgStart,12))),0,MIN(MAX(0,$K5723-$L5723),$J5723)))</f>
      </c>
      <c r="N5723" s="43">
        <f>IF($I5723=0,0,MIN(SUMIFS(SondBetrag,SondDarl,12,SondDatum,"&gt;="&amp;$E5723,SondDatum,"&lt;="&amp;EOMONTH($E5723,0)),$J5723-$M5723))</f>
      </c>
      <c r="O5723" s="43">
        <f>IF($I5723=0,0,INDEX(DarlErsatzRate,12))</f>
      </c>
      <c r="P5723" s="43">
        <f>IF($I5723=0,0,$Q5722*INDEX(DarlErsatzZins,12))</f>
      </c>
      <c r="Q5723" s="43">
        <f>IF($I5723=0,0,$Q5722+$P5723+$O5723)</f>
      </c>
      <c r="R5723" s="43">
        <f>IF($I5723=0,0,$J5723-$M5723-$N5723)</f>
      </c>
    </row>
    <row r="5724">
      <c r="A5724"/>
      <c r="B5724">
        <v>12</v>
      </c>
      <c r="C5724" s="43">
        <f>INDEX(DarlObj,12)</f>
      </c>
      <c r="D5724">
        <v>441</v>
      </c>
      <c r="E5724" s="51">
        <f>IF(INDEX(DarlBelegt,12)=0,0,EOMONTH(INDEX(DarlAuszahlung,12),440)+1)</f>
      </c>
      <c r="F5724" s="43">
        <f>IF($E5724=0,0,YEAR($E5724))</f>
      </c>
      <c r="G5724" s="43">
        <f>IF(INDEX(DarlBindung,12)="",1,IF($E5724&lt;=INDEX(DarlBindung,12),1,0))</f>
      </c>
      <c r="H5724" s="43">
        <f>IF($G5724=1,INDEX(DarlSollzins,12),INDEX(DarlAnschluss,12))</f>
      </c>
      <c r="I5724" s="43">
        <f>IF(INDEX(DarlBelegt,12)=0,0,IF(INDEX(DarlOhneTilgung,12)=1,IF(INDEX(DarlBindung,12)="",1,$G5724),IF($J5724&gt;0.005,1,0)))</f>
      </c>
      <c r="J5724" s="43">
        <f>IF($I5723=0,0,$R5723)</f>
      </c>
      <c r="K5724" s="43">
        <f>IF($I5724=0,0,IF(INDEX(DarlOhneTilgung,12)=1,0,IF(AND(INDEX(DarlTilgStart,12)&gt;0,$E5724=INDEX(DarlTilgStart,12)),$J5724*($H5724+INDEX(DarlTilgung,12))/100/12,IF(AND($G5724=0,$G5723=1),MAX($K5723,$J5724*($H5724+1)/100/12),$K5723))))</f>
      </c>
      <c r="L5724" s="43">
        <f>IF($I5724=0,0,$J5724*$H5724/100/12)</f>
      </c>
      <c r="M5724" s="43">
        <f>IF($I5724=0,0,IF(OR(INDEX(DarlOhneTilgung,12)=1,AND(INDEX(DarlTilgStart,12)&gt;0,$E5724&lt;INDEX(DarlTilgStart,12))),0,MIN(MAX(0,$K5724-$L5724),$J5724)))</f>
      </c>
      <c r="N5724" s="43">
        <f>IF($I5724=0,0,MIN(SUMIFS(SondBetrag,SondDarl,12,SondDatum,"&gt;="&amp;$E5724,SondDatum,"&lt;="&amp;EOMONTH($E5724,0)),$J5724-$M5724))</f>
      </c>
      <c r="O5724" s="43">
        <f>IF($I5724=0,0,INDEX(DarlErsatzRate,12))</f>
      </c>
      <c r="P5724" s="43">
        <f>IF($I5724=0,0,$Q5723*INDEX(DarlErsatzZins,12))</f>
      </c>
      <c r="Q5724" s="43">
        <f>IF($I5724=0,0,$Q5723+$P5724+$O5724)</f>
      </c>
      <c r="R5724" s="43">
        <f>IF($I5724=0,0,$J5724-$M5724-$N5724)</f>
      </c>
    </row>
    <row r="5725">
      <c r="A5725"/>
      <c r="B5725">
        <v>12</v>
      </c>
      <c r="C5725" s="43">
        <f>INDEX(DarlObj,12)</f>
      </c>
      <c r="D5725">
        <v>442</v>
      </c>
      <c r="E5725" s="51">
        <f>IF(INDEX(DarlBelegt,12)=0,0,EOMONTH(INDEX(DarlAuszahlung,12),441)+1)</f>
      </c>
      <c r="F5725" s="43">
        <f>IF($E5725=0,0,YEAR($E5725))</f>
      </c>
      <c r="G5725" s="43">
        <f>IF(INDEX(DarlBindung,12)="",1,IF($E5725&lt;=INDEX(DarlBindung,12),1,0))</f>
      </c>
      <c r="H5725" s="43">
        <f>IF($G5725=1,INDEX(DarlSollzins,12),INDEX(DarlAnschluss,12))</f>
      </c>
      <c r="I5725" s="43">
        <f>IF(INDEX(DarlBelegt,12)=0,0,IF(INDEX(DarlOhneTilgung,12)=1,IF(INDEX(DarlBindung,12)="",1,$G5725),IF($J5725&gt;0.005,1,0)))</f>
      </c>
      <c r="J5725" s="43">
        <f>IF($I5724=0,0,$R5724)</f>
      </c>
      <c r="K5725" s="43">
        <f>IF($I5725=0,0,IF(INDEX(DarlOhneTilgung,12)=1,0,IF(AND(INDEX(DarlTilgStart,12)&gt;0,$E5725=INDEX(DarlTilgStart,12)),$J5725*($H5725+INDEX(DarlTilgung,12))/100/12,IF(AND($G5725=0,$G5724=1),MAX($K5724,$J5725*($H5725+1)/100/12),$K5724))))</f>
      </c>
      <c r="L5725" s="43">
        <f>IF($I5725=0,0,$J5725*$H5725/100/12)</f>
      </c>
      <c r="M5725" s="43">
        <f>IF($I5725=0,0,IF(OR(INDEX(DarlOhneTilgung,12)=1,AND(INDEX(DarlTilgStart,12)&gt;0,$E5725&lt;INDEX(DarlTilgStart,12))),0,MIN(MAX(0,$K5725-$L5725),$J5725)))</f>
      </c>
      <c r="N5725" s="43">
        <f>IF($I5725=0,0,MIN(SUMIFS(SondBetrag,SondDarl,12,SondDatum,"&gt;="&amp;$E5725,SondDatum,"&lt;="&amp;EOMONTH($E5725,0)),$J5725-$M5725))</f>
      </c>
      <c r="O5725" s="43">
        <f>IF($I5725=0,0,INDEX(DarlErsatzRate,12))</f>
      </c>
      <c r="P5725" s="43">
        <f>IF($I5725=0,0,$Q5724*INDEX(DarlErsatzZins,12))</f>
      </c>
      <c r="Q5725" s="43">
        <f>IF($I5725=0,0,$Q5724+$P5725+$O5725)</f>
      </c>
      <c r="R5725" s="43">
        <f>IF($I5725=0,0,$J5725-$M5725-$N5725)</f>
      </c>
    </row>
    <row r="5726">
      <c r="A5726"/>
      <c r="B5726">
        <v>12</v>
      </c>
      <c r="C5726" s="43">
        <f>INDEX(DarlObj,12)</f>
      </c>
      <c r="D5726">
        <v>443</v>
      </c>
      <c r="E5726" s="51">
        <f>IF(INDEX(DarlBelegt,12)=0,0,EOMONTH(INDEX(DarlAuszahlung,12),442)+1)</f>
      </c>
      <c r="F5726" s="43">
        <f>IF($E5726=0,0,YEAR($E5726))</f>
      </c>
      <c r="G5726" s="43">
        <f>IF(INDEX(DarlBindung,12)="",1,IF($E5726&lt;=INDEX(DarlBindung,12),1,0))</f>
      </c>
      <c r="H5726" s="43">
        <f>IF($G5726=1,INDEX(DarlSollzins,12),INDEX(DarlAnschluss,12))</f>
      </c>
      <c r="I5726" s="43">
        <f>IF(INDEX(DarlBelegt,12)=0,0,IF(INDEX(DarlOhneTilgung,12)=1,IF(INDEX(DarlBindung,12)="",1,$G5726),IF($J5726&gt;0.005,1,0)))</f>
      </c>
      <c r="J5726" s="43">
        <f>IF($I5725=0,0,$R5725)</f>
      </c>
      <c r="K5726" s="43">
        <f>IF($I5726=0,0,IF(INDEX(DarlOhneTilgung,12)=1,0,IF(AND(INDEX(DarlTilgStart,12)&gt;0,$E5726=INDEX(DarlTilgStart,12)),$J5726*($H5726+INDEX(DarlTilgung,12))/100/12,IF(AND($G5726=0,$G5725=1),MAX($K5725,$J5726*($H5726+1)/100/12),$K5725))))</f>
      </c>
      <c r="L5726" s="43">
        <f>IF($I5726=0,0,$J5726*$H5726/100/12)</f>
      </c>
      <c r="M5726" s="43">
        <f>IF($I5726=0,0,IF(OR(INDEX(DarlOhneTilgung,12)=1,AND(INDEX(DarlTilgStart,12)&gt;0,$E5726&lt;INDEX(DarlTilgStart,12))),0,MIN(MAX(0,$K5726-$L5726),$J5726)))</f>
      </c>
      <c r="N5726" s="43">
        <f>IF($I5726=0,0,MIN(SUMIFS(SondBetrag,SondDarl,12,SondDatum,"&gt;="&amp;$E5726,SondDatum,"&lt;="&amp;EOMONTH($E5726,0)),$J5726-$M5726))</f>
      </c>
      <c r="O5726" s="43">
        <f>IF($I5726=0,0,INDEX(DarlErsatzRate,12))</f>
      </c>
      <c r="P5726" s="43">
        <f>IF($I5726=0,0,$Q5725*INDEX(DarlErsatzZins,12))</f>
      </c>
      <c r="Q5726" s="43">
        <f>IF($I5726=0,0,$Q5725+$P5726+$O5726)</f>
      </c>
      <c r="R5726" s="43">
        <f>IF($I5726=0,0,$J5726-$M5726-$N5726)</f>
      </c>
    </row>
    <row r="5727">
      <c r="A5727"/>
      <c r="B5727">
        <v>12</v>
      </c>
      <c r="C5727" s="43">
        <f>INDEX(DarlObj,12)</f>
      </c>
      <c r="D5727">
        <v>444</v>
      </c>
      <c r="E5727" s="51">
        <f>IF(INDEX(DarlBelegt,12)=0,0,EOMONTH(INDEX(DarlAuszahlung,12),443)+1)</f>
      </c>
      <c r="F5727" s="43">
        <f>IF($E5727=0,0,YEAR($E5727))</f>
      </c>
      <c r="G5727" s="43">
        <f>IF(INDEX(DarlBindung,12)="",1,IF($E5727&lt;=INDEX(DarlBindung,12),1,0))</f>
      </c>
      <c r="H5727" s="43">
        <f>IF($G5727=1,INDEX(DarlSollzins,12),INDEX(DarlAnschluss,12))</f>
      </c>
      <c r="I5727" s="43">
        <f>IF(INDEX(DarlBelegt,12)=0,0,IF(INDEX(DarlOhneTilgung,12)=1,IF(INDEX(DarlBindung,12)="",1,$G5727),IF($J5727&gt;0.005,1,0)))</f>
      </c>
      <c r="J5727" s="43">
        <f>IF($I5726=0,0,$R5726)</f>
      </c>
      <c r="K5727" s="43">
        <f>IF($I5727=0,0,IF(INDEX(DarlOhneTilgung,12)=1,0,IF(AND(INDEX(DarlTilgStart,12)&gt;0,$E5727=INDEX(DarlTilgStart,12)),$J5727*($H5727+INDEX(DarlTilgung,12))/100/12,IF(AND($G5727=0,$G5726=1),MAX($K5726,$J5727*($H5727+1)/100/12),$K5726))))</f>
      </c>
      <c r="L5727" s="43">
        <f>IF($I5727=0,0,$J5727*$H5727/100/12)</f>
      </c>
      <c r="M5727" s="43">
        <f>IF($I5727=0,0,IF(OR(INDEX(DarlOhneTilgung,12)=1,AND(INDEX(DarlTilgStart,12)&gt;0,$E5727&lt;INDEX(DarlTilgStart,12))),0,MIN(MAX(0,$K5727-$L5727),$J5727)))</f>
      </c>
      <c r="N5727" s="43">
        <f>IF($I5727=0,0,MIN(SUMIFS(SondBetrag,SondDarl,12,SondDatum,"&gt;="&amp;$E5727,SondDatum,"&lt;="&amp;EOMONTH($E5727,0)),$J5727-$M5727))</f>
      </c>
      <c r="O5727" s="43">
        <f>IF($I5727=0,0,INDEX(DarlErsatzRate,12))</f>
      </c>
      <c r="P5727" s="43">
        <f>IF($I5727=0,0,$Q5726*INDEX(DarlErsatzZins,12))</f>
      </c>
      <c r="Q5727" s="43">
        <f>IF($I5727=0,0,$Q5726+$P5727+$O5727)</f>
      </c>
      <c r="R5727" s="43">
        <f>IF($I5727=0,0,$J5727-$M5727-$N5727)</f>
      </c>
    </row>
    <row r="5728">
      <c r="A5728"/>
      <c r="B5728">
        <v>12</v>
      </c>
      <c r="C5728" s="43">
        <f>INDEX(DarlObj,12)</f>
      </c>
      <c r="D5728">
        <v>445</v>
      </c>
      <c r="E5728" s="51">
        <f>IF(INDEX(DarlBelegt,12)=0,0,EOMONTH(INDEX(DarlAuszahlung,12),444)+1)</f>
      </c>
      <c r="F5728" s="43">
        <f>IF($E5728=0,0,YEAR($E5728))</f>
      </c>
      <c r="G5728" s="43">
        <f>IF(INDEX(DarlBindung,12)="",1,IF($E5728&lt;=INDEX(DarlBindung,12),1,0))</f>
      </c>
      <c r="H5728" s="43">
        <f>IF($G5728=1,INDEX(DarlSollzins,12),INDEX(DarlAnschluss,12))</f>
      </c>
      <c r="I5728" s="43">
        <f>IF(INDEX(DarlBelegt,12)=0,0,IF(INDEX(DarlOhneTilgung,12)=1,IF(INDEX(DarlBindung,12)="",1,$G5728),IF($J5728&gt;0.005,1,0)))</f>
      </c>
      <c r="J5728" s="43">
        <f>IF($I5727=0,0,$R5727)</f>
      </c>
      <c r="K5728" s="43">
        <f>IF($I5728=0,0,IF(INDEX(DarlOhneTilgung,12)=1,0,IF(AND(INDEX(DarlTilgStart,12)&gt;0,$E5728=INDEX(DarlTilgStart,12)),$J5728*($H5728+INDEX(DarlTilgung,12))/100/12,IF(AND($G5728=0,$G5727=1),MAX($K5727,$J5728*($H5728+1)/100/12),$K5727))))</f>
      </c>
      <c r="L5728" s="43">
        <f>IF($I5728=0,0,$J5728*$H5728/100/12)</f>
      </c>
      <c r="M5728" s="43">
        <f>IF($I5728=0,0,IF(OR(INDEX(DarlOhneTilgung,12)=1,AND(INDEX(DarlTilgStart,12)&gt;0,$E5728&lt;INDEX(DarlTilgStart,12))),0,MIN(MAX(0,$K5728-$L5728),$J5728)))</f>
      </c>
      <c r="N5728" s="43">
        <f>IF($I5728=0,0,MIN(SUMIFS(SondBetrag,SondDarl,12,SondDatum,"&gt;="&amp;$E5728,SondDatum,"&lt;="&amp;EOMONTH($E5728,0)),$J5728-$M5728))</f>
      </c>
      <c r="O5728" s="43">
        <f>IF($I5728=0,0,INDEX(DarlErsatzRate,12))</f>
      </c>
      <c r="P5728" s="43">
        <f>IF($I5728=0,0,$Q5727*INDEX(DarlErsatzZins,12))</f>
      </c>
      <c r="Q5728" s="43">
        <f>IF($I5728=0,0,$Q5727+$P5728+$O5728)</f>
      </c>
      <c r="R5728" s="43">
        <f>IF($I5728=0,0,$J5728-$M5728-$N5728)</f>
      </c>
    </row>
    <row r="5729">
      <c r="A5729"/>
      <c r="B5729">
        <v>12</v>
      </c>
      <c r="C5729" s="43">
        <f>INDEX(DarlObj,12)</f>
      </c>
      <c r="D5729">
        <v>446</v>
      </c>
      <c r="E5729" s="51">
        <f>IF(INDEX(DarlBelegt,12)=0,0,EOMONTH(INDEX(DarlAuszahlung,12),445)+1)</f>
      </c>
      <c r="F5729" s="43">
        <f>IF($E5729=0,0,YEAR($E5729))</f>
      </c>
      <c r="G5729" s="43">
        <f>IF(INDEX(DarlBindung,12)="",1,IF($E5729&lt;=INDEX(DarlBindung,12),1,0))</f>
      </c>
      <c r="H5729" s="43">
        <f>IF($G5729=1,INDEX(DarlSollzins,12),INDEX(DarlAnschluss,12))</f>
      </c>
      <c r="I5729" s="43">
        <f>IF(INDEX(DarlBelegt,12)=0,0,IF(INDEX(DarlOhneTilgung,12)=1,IF(INDEX(DarlBindung,12)="",1,$G5729),IF($J5729&gt;0.005,1,0)))</f>
      </c>
      <c r="J5729" s="43">
        <f>IF($I5728=0,0,$R5728)</f>
      </c>
      <c r="K5729" s="43">
        <f>IF($I5729=0,0,IF(INDEX(DarlOhneTilgung,12)=1,0,IF(AND(INDEX(DarlTilgStart,12)&gt;0,$E5729=INDEX(DarlTilgStart,12)),$J5729*($H5729+INDEX(DarlTilgung,12))/100/12,IF(AND($G5729=0,$G5728=1),MAX($K5728,$J5729*($H5729+1)/100/12),$K5728))))</f>
      </c>
      <c r="L5729" s="43">
        <f>IF($I5729=0,0,$J5729*$H5729/100/12)</f>
      </c>
      <c r="M5729" s="43">
        <f>IF($I5729=0,0,IF(OR(INDEX(DarlOhneTilgung,12)=1,AND(INDEX(DarlTilgStart,12)&gt;0,$E5729&lt;INDEX(DarlTilgStart,12))),0,MIN(MAX(0,$K5729-$L5729),$J5729)))</f>
      </c>
      <c r="N5729" s="43">
        <f>IF($I5729=0,0,MIN(SUMIFS(SondBetrag,SondDarl,12,SondDatum,"&gt;="&amp;$E5729,SondDatum,"&lt;="&amp;EOMONTH($E5729,0)),$J5729-$M5729))</f>
      </c>
      <c r="O5729" s="43">
        <f>IF($I5729=0,0,INDEX(DarlErsatzRate,12))</f>
      </c>
      <c r="P5729" s="43">
        <f>IF($I5729=0,0,$Q5728*INDEX(DarlErsatzZins,12))</f>
      </c>
      <c r="Q5729" s="43">
        <f>IF($I5729=0,0,$Q5728+$P5729+$O5729)</f>
      </c>
      <c r="R5729" s="43">
        <f>IF($I5729=0,0,$J5729-$M5729-$N5729)</f>
      </c>
    </row>
    <row r="5730">
      <c r="A5730"/>
      <c r="B5730">
        <v>12</v>
      </c>
      <c r="C5730" s="43">
        <f>INDEX(DarlObj,12)</f>
      </c>
      <c r="D5730">
        <v>447</v>
      </c>
      <c r="E5730" s="51">
        <f>IF(INDEX(DarlBelegt,12)=0,0,EOMONTH(INDEX(DarlAuszahlung,12),446)+1)</f>
      </c>
      <c r="F5730" s="43">
        <f>IF($E5730=0,0,YEAR($E5730))</f>
      </c>
      <c r="G5730" s="43">
        <f>IF(INDEX(DarlBindung,12)="",1,IF($E5730&lt;=INDEX(DarlBindung,12),1,0))</f>
      </c>
      <c r="H5730" s="43">
        <f>IF($G5730=1,INDEX(DarlSollzins,12),INDEX(DarlAnschluss,12))</f>
      </c>
      <c r="I5730" s="43">
        <f>IF(INDEX(DarlBelegt,12)=0,0,IF(INDEX(DarlOhneTilgung,12)=1,IF(INDEX(DarlBindung,12)="",1,$G5730),IF($J5730&gt;0.005,1,0)))</f>
      </c>
      <c r="J5730" s="43">
        <f>IF($I5729=0,0,$R5729)</f>
      </c>
      <c r="K5730" s="43">
        <f>IF($I5730=0,0,IF(INDEX(DarlOhneTilgung,12)=1,0,IF(AND(INDEX(DarlTilgStart,12)&gt;0,$E5730=INDEX(DarlTilgStart,12)),$J5730*($H5730+INDEX(DarlTilgung,12))/100/12,IF(AND($G5730=0,$G5729=1),MAX($K5729,$J5730*($H5730+1)/100/12),$K5729))))</f>
      </c>
      <c r="L5730" s="43">
        <f>IF($I5730=0,0,$J5730*$H5730/100/12)</f>
      </c>
      <c r="M5730" s="43">
        <f>IF($I5730=0,0,IF(OR(INDEX(DarlOhneTilgung,12)=1,AND(INDEX(DarlTilgStart,12)&gt;0,$E5730&lt;INDEX(DarlTilgStart,12))),0,MIN(MAX(0,$K5730-$L5730),$J5730)))</f>
      </c>
      <c r="N5730" s="43">
        <f>IF($I5730=0,0,MIN(SUMIFS(SondBetrag,SondDarl,12,SondDatum,"&gt;="&amp;$E5730,SondDatum,"&lt;="&amp;EOMONTH($E5730,0)),$J5730-$M5730))</f>
      </c>
      <c r="O5730" s="43">
        <f>IF($I5730=0,0,INDEX(DarlErsatzRate,12))</f>
      </c>
      <c r="P5730" s="43">
        <f>IF($I5730=0,0,$Q5729*INDEX(DarlErsatzZins,12))</f>
      </c>
      <c r="Q5730" s="43">
        <f>IF($I5730=0,0,$Q5729+$P5730+$O5730)</f>
      </c>
      <c r="R5730" s="43">
        <f>IF($I5730=0,0,$J5730-$M5730-$N5730)</f>
      </c>
    </row>
    <row r="5731">
      <c r="A5731"/>
      <c r="B5731">
        <v>12</v>
      </c>
      <c r="C5731" s="43">
        <f>INDEX(DarlObj,12)</f>
      </c>
      <c r="D5731">
        <v>448</v>
      </c>
      <c r="E5731" s="51">
        <f>IF(INDEX(DarlBelegt,12)=0,0,EOMONTH(INDEX(DarlAuszahlung,12),447)+1)</f>
      </c>
      <c r="F5731" s="43">
        <f>IF($E5731=0,0,YEAR($E5731))</f>
      </c>
      <c r="G5731" s="43">
        <f>IF(INDEX(DarlBindung,12)="",1,IF($E5731&lt;=INDEX(DarlBindung,12),1,0))</f>
      </c>
      <c r="H5731" s="43">
        <f>IF($G5731=1,INDEX(DarlSollzins,12),INDEX(DarlAnschluss,12))</f>
      </c>
      <c r="I5731" s="43">
        <f>IF(INDEX(DarlBelegt,12)=0,0,IF(INDEX(DarlOhneTilgung,12)=1,IF(INDEX(DarlBindung,12)="",1,$G5731),IF($J5731&gt;0.005,1,0)))</f>
      </c>
      <c r="J5731" s="43">
        <f>IF($I5730=0,0,$R5730)</f>
      </c>
      <c r="K5731" s="43">
        <f>IF($I5731=0,0,IF(INDEX(DarlOhneTilgung,12)=1,0,IF(AND(INDEX(DarlTilgStart,12)&gt;0,$E5731=INDEX(DarlTilgStart,12)),$J5731*($H5731+INDEX(DarlTilgung,12))/100/12,IF(AND($G5731=0,$G5730=1),MAX($K5730,$J5731*($H5731+1)/100/12),$K5730))))</f>
      </c>
      <c r="L5731" s="43">
        <f>IF($I5731=0,0,$J5731*$H5731/100/12)</f>
      </c>
      <c r="M5731" s="43">
        <f>IF($I5731=0,0,IF(OR(INDEX(DarlOhneTilgung,12)=1,AND(INDEX(DarlTilgStart,12)&gt;0,$E5731&lt;INDEX(DarlTilgStart,12))),0,MIN(MAX(0,$K5731-$L5731),$J5731)))</f>
      </c>
      <c r="N5731" s="43">
        <f>IF($I5731=0,0,MIN(SUMIFS(SondBetrag,SondDarl,12,SondDatum,"&gt;="&amp;$E5731,SondDatum,"&lt;="&amp;EOMONTH($E5731,0)),$J5731-$M5731))</f>
      </c>
      <c r="O5731" s="43">
        <f>IF($I5731=0,0,INDEX(DarlErsatzRate,12))</f>
      </c>
      <c r="P5731" s="43">
        <f>IF($I5731=0,0,$Q5730*INDEX(DarlErsatzZins,12))</f>
      </c>
      <c r="Q5731" s="43">
        <f>IF($I5731=0,0,$Q5730+$P5731+$O5731)</f>
      </c>
      <c r="R5731" s="43">
        <f>IF($I5731=0,0,$J5731-$M5731-$N5731)</f>
      </c>
    </row>
    <row r="5732">
      <c r="A5732"/>
      <c r="B5732">
        <v>12</v>
      </c>
      <c r="C5732" s="43">
        <f>INDEX(DarlObj,12)</f>
      </c>
      <c r="D5732">
        <v>449</v>
      </c>
      <c r="E5732" s="51">
        <f>IF(INDEX(DarlBelegt,12)=0,0,EOMONTH(INDEX(DarlAuszahlung,12),448)+1)</f>
      </c>
      <c r="F5732" s="43">
        <f>IF($E5732=0,0,YEAR($E5732))</f>
      </c>
      <c r="G5732" s="43">
        <f>IF(INDEX(DarlBindung,12)="",1,IF($E5732&lt;=INDEX(DarlBindung,12),1,0))</f>
      </c>
      <c r="H5732" s="43">
        <f>IF($G5732=1,INDEX(DarlSollzins,12),INDEX(DarlAnschluss,12))</f>
      </c>
      <c r="I5732" s="43">
        <f>IF(INDEX(DarlBelegt,12)=0,0,IF(INDEX(DarlOhneTilgung,12)=1,IF(INDEX(DarlBindung,12)="",1,$G5732),IF($J5732&gt;0.005,1,0)))</f>
      </c>
      <c r="J5732" s="43">
        <f>IF($I5731=0,0,$R5731)</f>
      </c>
      <c r="K5732" s="43">
        <f>IF($I5732=0,0,IF(INDEX(DarlOhneTilgung,12)=1,0,IF(AND(INDEX(DarlTilgStart,12)&gt;0,$E5732=INDEX(DarlTilgStart,12)),$J5732*($H5732+INDEX(DarlTilgung,12))/100/12,IF(AND($G5732=0,$G5731=1),MAX($K5731,$J5732*($H5732+1)/100/12),$K5731))))</f>
      </c>
      <c r="L5732" s="43">
        <f>IF($I5732=0,0,$J5732*$H5732/100/12)</f>
      </c>
      <c r="M5732" s="43">
        <f>IF($I5732=0,0,IF(OR(INDEX(DarlOhneTilgung,12)=1,AND(INDEX(DarlTilgStart,12)&gt;0,$E5732&lt;INDEX(DarlTilgStart,12))),0,MIN(MAX(0,$K5732-$L5732),$J5732)))</f>
      </c>
      <c r="N5732" s="43">
        <f>IF($I5732=0,0,MIN(SUMIFS(SondBetrag,SondDarl,12,SondDatum,"&gt;="&amp;$E5732,SondDatum,"&lt;="&amp;EOMONTH($E5732,0)),$J5732-$M5732))</f>
      </c>
      <c r="O5732" s="43">
        <f>IF($I5732=0,0,INDEX(DarlErsatzRate,12))</f>
      </c>
      <c r="P5732" s="43">
        <f>IF($I5732=0,0,$Q5731*INDEX(DarlErsatzZins,12))</f>
      </c>
      <c r="Q5732" s="43">
        <f>IF($I5732=0,0,$Q5731+$P5732+$O5732)</f>
      </c>
      <c r="R5732" s="43">
        <f>IF($I5732=0,0,$J5732-$M5732-$N5732)</f>
      </c>
    </row>
    <row r="5733">
      <c r="A5733"/>
      <c r="B5733">
        <v>12</v>
      </c>
      <c r="C5733" s="43">
        <f>INDEX(DarlObj,12)</f>
      </c>
      <c r="D5733">
        <v>450</v>
      </c>
      <c r="E5733" s="51">
        <f>IF(INDEX(DarlBelegt,12)=0,0,EOMONTH(INDEX(DarlAuszahlung,12),449)+1)</f>
      </c>
      <c r="F5733" s="43">
        <f>IF($E5733=0,0,YEAR($E5733))</f>
      </c>
      <c r="G5733" s="43">
        <f>IF(INDEX(DarlBindung,12)="",1,IF($E5733&lt;=INDEX(DarlBindung,12),1,0))</f>
      </c>
      <c r="H5733" s="43">
        <f>IF($G5733=1,INDEX(DarlSollzins,12),INDEX(DarlAnschluss,12))</f>
      </c>
      <c r="I5733" s="43">
        <f>IF(INDEX(DarlBelegt,12)=0,0,IF(INDEX(DarlOhneTilgung,12)=1,IF(INDEX(DarlBindung,12)="",1,$G5733),IF($J5733&gt;0.005,1,0)))</f>
      </c>
      <c r="J5733" s="43">
        <f>IF($I5732=0,0,$R5732)</f>
      </c>
      <c r="K5733" s="43">
        <f>IF($I5733=0,0,IF(INDEX(DarlOhneTilgung,12)=1,0,IF(AND(INDEX(DarlTilgStart,12)&gt;0,$E5733=INDEX(DarlTilgStart,12)),$J5733*($H5733+INDEX(DarlTilgung,12))/100/12,IF(AND($G5733=0,$G5732=1),MAX($K5732,$J5733*($H5733+1)/100/12),$K5732))))</f>
      </c>
      <c r="L5733" s="43">
        <f>IF($I5733=0,0,$J5733*$H5733/100/12)</f>
      </c>
      <c r="M5733" s="43">
        <f>IF($I5733=0,0,IF(OR(INDEX(DarlOhneTilgung,12)=1,AND(INDEX(DarlTilgStart,12)&gt;0,$E5733&lt;INDEX(DarlTilgStart,12))),0,MIN(MAX(0,$K5733-$L5733),$J5733)))</f>
      </c>
      <c r="N5733" s="43">
        <f>IF($I5733=0,0,MIN(SUMIFS(SondBetrag,SondDarl,12,SondDatum,"&gt;="&amp;$E5733,SondDatum,"&lt;="&amp;EOMONTH($E5733,0)),$J5733-$M5733))</f>
      </c>
      <c r="O5733" s="43">
        <f>IF($I5733=0,0,INDEX(DarlErsatzRate,12))</f>
      </c>
      <c r="P5733" s="43">
        <f>IF($I5733=0,0,$Q5732*INDEX(DarlErsatzZins,12))</f>
      </c>
      <c r="Q5733" s="43">
        <f>IF($I5733=0,0,$Q5732+$P5733+$O5733)</f>
      </c>
      <c r="R5733" s="43">
        <f>IF($I5733=0,0,$J5733-$M5733-$N5733)</f>
      </c>
    </row>
    <row r="5734">
      <c r="A5734"/>
      <c r="B5734">
        <v>12</v>
      </c>
      <c r="C5734" s="43">
        <f>INDEX(DarlObj,12)</f>
      </c>
      <c r="D5734">
        <v>451</v>
      </c>
      <c r="E5734" s="51">
        <f>IF(INDEX(DarlBelegt,12)=0,0,EOMONTH(INDEX(DarlAuszahlung,12),450)+1)</f>
      </c>
      <c r="F5734" s="43">
        <f>IF($E5734=0,0,YEAR($E5734))</f>
      </c>
      <c r="G5734" s="43">
        <f>IF(INDEX(DarlBindung,12)="",1,IF($E5734&lt;=INDEX(DarlBindung,12),1,0))</f>
      </c>
      <c r="H5734" s="43">
        <f>IF($G5734=1,INDEX(DarlSollzins,12),INDEX(DarlAnschluss,12))</f>
      </c>
      <c r="I5734" s="43">
        <f>IF(INDEX(DarlBelegt,12)=0,0,IF(INDEX(DarlOhneTilgung,12)=1,IF(INDEX(DarlBindung,12)="",1,$G5734),IF($J5734&gt;0.005,1,0)))</f>
      </c>
      <c r="J5734" s="43">
        <f>IF($I5733=0,0,$R5733)</f>
      </c>
      <c r="K5734" s="43">
        <f>IF($I5734=0,0,IF(INDEX(DarlOhneTilgung,12)=1,0,IF(AND(INDEX(DarlTilgStart,12)&gt;0,$E5734=INDEX(DarlTilgStart,12)),$J5734*($H5734+INDEX(DarlTilgung,12))/100/12,IF(AND($G5734=0,$G5733=1),MAX($K5733,$J5734*($H5734+1)/100/12),$K5733))))</f>
      </c>
      <c r="L5734" s="43">
        <f>IF($I5734=0,0,$J5734*$H5734/100/12)</f>
      </c>
      <c r="M5734" s="43">
        <f>IF($I5734=0,0,IF(OR(INDEX(DarlOhneTilgung,12)=1,AND(INDEX(DarlTilgStart,12)&gt;0,$E5734&lt;INDEX(DarlTilgStart,12))),0,MIN(MAX(0,$K5734-$L5734),$J5734)))</f>
      </c>
      <c r="N5734" s="43">
        <f>IF($I5734=0,0,MIN(SUMIFS(SondBetrag,SondDarl,12,SondDatum,"&gt;="&amp;$E5734,SondDatum,"&lt;="&amp;EOMONTH($E5734,0)),$J5734-$M5734))</f>
      </c>
      <c r="O5734" s="43">
        <f>IF($I5734=0,0,INDEX(DarlErsatzRate,12))</f>
      </c>
      <c r="P5734" s="43">
        <f>IF($I5734=0,0,$Q5733*INDEX(DarlErsatzZins,12))</f>
      </c>
      <c r="Q5734" s="43">
        <f>IF($I5734=0,0,$Q5733+$P5734+$O5734)</f>
      </c>
      <c r="R5734" s="43">
        <f>IF($I5734=0,0,$J5734-$M5734-$N5734)</f>
      </c>
    </row>
    <row r="5735">
      <c r="A5735"/>
      <c r="B5735">
        <v>12</v>
      </c>
      <c r="C5735" s="43">
        <f>INDEX(DarlObj,12)</f>
      </c>
      <c r="D5735">
        <v>452</v>
      </c>
      <c r="E5735" s="51">
        <f>IF(INDEX(DarlBelegt,12)=0,0,EOMONTH(INDEX(DarlAuszahlung,12),451)+1)</f>
      </c>
      <c r="F5735" s="43">
        <f>IF($E5735=0,0,YEAR($E5735))</f>
      </c>
      <c r="G5735" s="43">
        <f>IF(INDEX(DarlBindung,12)="",1,IF($E5735&lt;=INDEX(DarlBindung,12),1,0))</f>
      </c>
      <c r="H5735" s="43">
        <f>IF($G5735=1,INDEX(DarlSollzins,12),INDEX(DarlAnschluss,12))</f>
      </c>
      <c r="I5735" s="43">
        <f>IF(INDEX(DarlBelegt,12)=0,0,IF(INDEX(DarlOhneTilgung,12)=1,IF(INDEX(DarlBindung,12)="",1,$G5735),IF($J5735&gt;0.005,1,0)))</f>
      </c>
      <c r="J5735" s="43">
        <f>IF($I5734=0,0,$R5734)</f>
      </c>
      <c r="K5735" s="43">
        <f>IF($I5735=0,0,IF(INDEX(DarlOhneTilgung,12)=1,0,IF(AND(INDEX(DarlTilgStart,12)&gt;0,$E5735=INDEX(DarlTilgStart,12)),$J5735*($H5735+INDEX(DarlTilgung,12))/100/12,IF(AND($G5735=0,$G5734=1),MAX($K5734,$J5735*($H5735+1)/100/12),$K5734))))</f>
      </c>
      <c r="L5735" s="43">
        <f>IF($I5735=0,0,$J5735*$H5735/100/12)</f>
      </c>
      <c r="M5735" s="43">
        <f>IF($I5735=0,0,IF(OR(INDEX(DarlOhneTilgung,12)=1,AND(INDEX(DarlTilgStart,12)&gt;0,$E5735&lt;INDEX(DarlTilgStart,12))),0,MIN(MAX(0,$K5735-$L5735),$J5735)))</f>
      </c>
      <c r="N5735" s="43">
        <f>IF($I5735=0,0,MIN(SUMIFS(SondBetrag,SondDarl,12,SondDatum,"&gt;="&amp;$E5735,SondDatum,"&lt;="&amp;EOMONTH($E5735,0)),$J5735-$M5735))</f>
      </c>
      <c r="O5735" s="43">
        <f>IF($I5735=0,0,INDEX(DarlErsatzRate,12))</f>
      </c>
      <c r="P5735" s="43">
        <f>IF($I5735=0,0,$Q5734*INDEX(DarlErsatzZins,12))</f>
      </c>
      <c r="Q5735" s="43">
        <f>IF($I5735=0,0,$Q5734+$P5735+$O5735)</f>
      </c>
      <c r="R5735" s="43">
        <f>IF($I5735=0,0,$J5735-$M5735-$N5735)</f>
      </c>
    </row>
    <row r="5736">
      <c r="A5736"/>
      <c r="B5736">
        <v>12</v>
      </c>
      <c r="C5736" s="43">
        <f>INDEX(DarlObj,12)</f>
      </c>
      <c r="D5736">
        <v>453</v>
      </c>
      <c r="E5736" s="51">
        <f>IF(INDEX(DarlBelegt,12)=0,0,EOMONTH(INDEX(DarlAuszahlung,12),452)+1)</f>
      </c>
      <c r="F5736" s="43">
        <f>IF($E5736=0,0,YEAR($E5736))</f>
      </c>
      <c r="G5736" s="43">
        <f>IF(INDEX(DarlBindung,12)="",1,IF($E5736&lt;=INDEX(DarlBindung,12),1,0))</f>
      </c>
      <c r="H5736" s="43">
        <f>IF($G5736=1,INDEX(DarlSollzins,12),INDEX(DarlAnschluss,12))</f>
      </c>
      <c r="I5736" s="43">
        <f>IF(INDEX(DarlBelegt,12)=0,0,IF(INDEX(DarlOhneTilgung,12)=1,IF(INDEX(DarlBindung,12)="",1,$G5736),IF($J5736&gt;0.005,1,0)))</f>
      </c>
      <c r="J5736" s="43">
        <f>IF($I5735=0,0,$R5735)</f>
      </c>
      <c r="K5736" s="43">
        <f>IF($I5736=0,0,IF(INDEX(DarlOhneTilgung,12)=1,0,IF(AND(INDEX(DarlTilgStart,12)&gt;0,$E5736=INDEX(DarlTilgStart,12)),$J5736*($H5736+INDEX(DarlTilgung,12))/100/12,IF(AND($G5736=0,$G5735=1),MAX($K5735,$J5736*($H5736+1)/100/12),$K5735))))</f>
      </c>
      <c r="L5736" s="43">
        <f>IF($I5736=0,0,$J5736*$H5736/100/12)</f>
      </c>
      <c r="M5736" s="43">
        <f>IF($I5736=0,0,IF(OR(INDEX(DarlOhneTilgung,12)=1,AND(INDEX(DarlTilgStart,12)&gt;0,$E5736&lt;INDEX(DarlTilgStart,12))),0,MIN(MAX(0,$K5736-$L5736),$J5736)))</f>
      </c>
      <c r="N5736" s="43">
        <f>IF($I5736=0,0,MIN(SUMIFS(SondBetrag,SondDarl,12,SondDatum,"&gt;="&amp;$E5736,SondDatum,"&lt;="&amp;EOMONTH($E5736,0)),$J5736-$M5736))</f>
      </c>
      <c r="O5736" s="43">
        <f>IF($I5736=0,0,INDEX(DarlErsatzRate,12))</f>
      </c>
      <c r="P5736" s="43">
        <f>IF($I5736=0,0,$Q5735*INDEX(DarlErsatzZins,12))</f>
      </c>
      <c r="Q5736" s="43">
        <f>IF($I5736=0,0,$Q5735+$P5736+$O5736)</f>
      </c>
      <c r="R5736" s="43">
        <f>IF($I5736=0,0,$J5736-$M5736-$N5736)</f>
      </c>
    </row>
    <row r="5737">
      <c r="A5737"/>
      <c r="B5737">
        <v>12</v>
      </c>
      <c r="C5737" s="43">
        <f>INDEX(DarlObj,12)</f>
      </c>
      <c r="D5737">
        <v>454</v>
      </c>
      <c r="E5737" s="51">
        <f>IF(INDEX(DarlBelegt,12)=0,0,EOMONTH(INDEX(DarlAuszahlung,12),453)+1)</f>
      </c>
      <c r="F5737" s="43">
        <f>IF($E5737=0,0,YEAR($E5737))</f>
      </c>
      <c r="G5737" s="43">
        <f>IF(INDEX(DarlBindung,12)="",1,IF($E5737&lt;=INDEX(DarlBindung,12),1,0))</f>
      </c>
      <c r="H5737" s="43">
        <f>IF($G5737=1,INDEX(DarlSollzins,12),INDEX(DarlAnschluss,12))</f>
      </c>
      <c r="I5737" s="43">
        <f>IF(INDEX(DarlBelegt,12)=0,0,IF(INDEX(DarlOhneTilgung,12)=1,IF(INDEX(DarlBindung,12)="",1,$G5737),IF($J5737&gt;0.005,1,0)))</f>
      </c>
      <c r="J5737" s="43">
        <f>IF($I5736=0,0,$R5736)</f>
      </c>
      <c r="K5737" s="43">
        <f>IF($I5737=0,0,IF(INDEX(DarlOhneTilgung,12)=1,0,IF(AND(INDEX(DarlTilgStart,12)&gt;0,$E5737=INDEX(DarlTilgStart,12)),$J5737*($H5737+INDEX(DarlTilgung,12))/100/12,IF(AND($G5737=0,$G5736=1),MAX($K5736,$J5737*($H5737+1)/100/12),$K5736))))</f>
      </c>
      <c r="L5737" s="43">
        <f>IF($I5737=0,0,$J5737*$H5737/100/12)</f>
      </c>
      <c r="M5737" s="43">
        <f>IF($I5737=0,0,IF(OR(INDEX(DarlOhneTilgung,12)=1,AND(INDEX(DarlTilgStart,12)&gt;0,$E5737&lt;INDEX(DarlTilgStart,12))),0,MIN(MAX(0,$K5737-$L5737),$J5737)))</f>
      </c>
      <c r="N5737" s="43">
        <f>IF($I5737=0,0,MIN(SUMIFS(SondBetrag,SondDarl,12,SondDatum,"&gt;="&amp;$E5737,SondDatum,"&lt;="&amp;EOMONTH($E5737,0)),$J5737-$M5737))</f>
      </c>
      <c r="O5737" s="43">
        <f>IF($I5737=0,0,INDEX(DarlErsatzRate,12))</f>
      </c>
      <c r="P5737" s="43">
        <f>IF($I5737=0,0,$Q5736*INDEX(DarlErsatzZins,12))</f>
      </c>
      <c r="Q5737" s="43">
        <f>IF($I5737=0,0,$Q5736+$P5737+$O5737)</f>
      </c>
      <c r="R5737" s="43">
        <f>IF($I5737=0,0,$J5737-$M5737-$N5737)</f>
      </c>
    </row>
    <row r="5738">
      <c r="A5738"/>
      <c r="B5738">
        <v>12</v>
      </c>
      <c r="C5738" s="43">
        <f>INDEX(DarlObj,12)</f>
      </c>
      <c r="D5738">
        <v>455</v>
      </c>
      <c r="E5738" s="51">
        <f>IF(INDEX(DarlBelegt,12)=0,0,EOMONTH(INDEX(DarlAuszahlung,12),454)+1)</f>
      </c>
      <c r="F5738" s="43">
        <f>IF($E5738=0,0,YEAR($E5738))</f>
      </c>
      <c r="G5738" s="43">
        <f>IF(INDEX(DarlBindung,12)="",1,IF($E5738&lt;=INDEX(DarlBindung,12),1,0))</f>
      </c>
      <c r="H5738" s="43">
        <f>IF($G5738=1,INDEX(DarlSollzins,12),INDEX(DarlAnschluss,12))</f>
      </c>
      <c r="I5738" s="43">
        <f>IF(INDEX(DarlBelegt,12)=0,0,IF(INDEX(DarlOhneTilgung,12)=1,IF(INDEX(DarlBindung,12)="",1,$G5738),IF($J5738&gt;0.005,1,0)))</f>
      </c>
      <c r="J5738" s="43">
        <f>IF($I5737=0,0,$R5737)</f>
      </c>
      <c r="K5738" s="43">
        <f>IF($I5738=0,0,IF(INDEX(DarlOhneTilgung,12)=1,0,IF(AND(INDEX(DarlTilgStart,12)&gt;0,$E5738=INDEX(DarlTilgStart,12)),$J5738*($H5738+INDEX(DarlTilgung,12))/100/12,IF(AND($G5738=0,$G5737=1),MAX($K5737,$J5738*($H5738+1)/100/12),$K5737))))</f>
      </c>
      <c r="L5738" s="43">
        <f>IF($I5738=0,0,$J5738*$H5738/100/12)</f>
      </c>
      <c r="M5738" s="43">
        <f>IF($I5738=0,0,IF(OR(INDEX(DarlOhneTilgung,12)=1,AND(INDEX(DarlTilgStart,12)&gt;0,$E5738&lt;INDEX(DarlTilgStart,12))),0,MIN(MAX(0,$K5738-$L5738),$J5738)))</f>
      </c>
      <c r="N5738" s="43">
        <f>IF($I5738=0,0,MIN(SUMIFS(SondBetrag,SondDarl,12,SondDatum,"&gt;="&amp;$E5738,SondDatum,"&lt;="&amp;EOMONTH($E5738,0)),$J5738-$M5738))</f>
      </c>
      <c r="O5738" s="43">
        <f>IF($I5738=0,0,INDEX(DarlErsatzRate,12))</f>
      </c>
      <c r="P5738" s="43">
        <f>IF($I5738=0,0,$Q5737*INDEX(DarlErsatzZins,12))</f>
      </c>
      <c r="Q5738" s="43">
        <f>IF($I5738=0,0,$Q5737+$P5738+$O5738)</f>
      </c>
      <c r="R5738" s="43">
        <f>IF($I5738=0,0,$J5738-$M5738-$N5738)</f>
      </c>
    </row>
    <row r="5739">
      <c r="A5739"/>
      <c r="B5739">
        <v>12</v>
      </c>
      <c r="C5739" s="43">
        <f>INDEX(DarlObj,12)</f>
      </c>
      <c r="D5739">
        <v>456</v>
      </c>
      <c r="E5739" s="51">
        <f>IF(INDEX(DarlBelegt,12)=0,0,EOMONTH(INDEX(DarlAuszahlung,12),455)+1)</f>
      </c>
      <c r="F5739" s="43">
        <f>IF($E5739=0,0,YEAR($E5739))</f>
      </c>
      <c r="G5739" s="43">
        <f>IF(INDEX(DarlBindung,12)="",1,IF($E5739&lt;=INDEX(DarlBindung,12),1,0))</f>
      </c>
      <c r="H5739" s="43">
        <f>IF($G5739=1,INDEX(DarlSollzins,12),INDEX(DarlAnschluss,12))</f>
      </c>
      <c r="I5739" s="43">
        <f>IF(INDEX(DarlBelegt,12)=0,0,IF(INDEX(DarlOhneTilgung,12)=1,IF(INDEX(DarlBindung,12)="",1,$G5739),IF($J5739&gt;0.005,1,0)))</f>
      </c>
      <c r="J5739" s="43">
        <f>IF($I5738=0,0,$R5738)</f>
      </c>
      <c r="K5739" s="43">
        <f>IF($I5739=0,0,IF(INDEX(DarlOhneTilgung,12)=1,0,IF(AND(INDEX(DarlTilgStart,12)&gt;0,$E5739=INDEX(DarlTilgStart,12)),$J5739*($H5739+INDEX(DarlTilgung,12))/100/12,IF(AND($G5739=0,$G5738=1),MAX($K5738,$J5739*($H5739+1)/100/12),$K5738))))</f>
      </c>
      <c r="L5739" s="43">
        <f>IF($I5739=0,0,$J5739*$H5739/100/12)</f>
      </c>
      <c r="M5739" s="43">
        <f>IF($I5739=0,0,IF(OR(INDEX(DarlOhneTilgung,12)=1,AND(INDEX(DarlTilgStart,12)&gt;0,$E5739&lt;INDEX(DarlTilgStart,12))),0,MIN(MAX(0,$K5739-$L5739),$J5739)))</f>
      </c>
      <c r="N5739" s="43">
        <f>IF($I5739=0,0,MIN(SUMIFS(SondBetrag,SondDarl,12,SondDatum,"&gt;="&amp;$E5739,SondDatum,"&lt;="&amp;EOMONTH($E5739,0)),$J5739-$M5739))</f>
      </c>
      <c r="O5739" s="43">
        <f>IF($I5739=0,0,INDEX(DarlErsatzRate,12))</f>
      </c>
      <c r="P5739" s="43">
        <f>IF($I5739=0,0,$Q5738*INDEX(DarlErsatzZins,12))</f>
      </c>
      <c r="Q5739" s="43">
        <f>IF($I5739=0,0,$Q5738+$P5739+$O5739)</f>
      </c>
      <c r="R5739" s="43">
        <f>IF($I5739=0,0,$J5739-$M5739-$N5739)</f>
      </c>
    </row>
    <row r="5740">
      <c r="A5740"/>
      <c r="B5740">
        <v>12</v>
      </c>
      <c r="C5740" s="43">
        <f>INDEX(DarlObj,12)</f>
      </c>
      <c r="D5740">
        <v>457</v>
      </c>
      <c r="E5740" s="51">
        <f>IF(INDEX(DarlBelegt,12)=0,0,EOMONTH(INDEX(DarlAuszahlung,12),456)+1)</f>
      </c>
      <c r="F5740" s="43">
        <f>IF($E5740=0,0,YEAR($E5740))</f>
      </c>
      <c r="G5740" s="43">
        <f>IF(INDEX(DarlBindung,12)="",1,IF($E5740&lt;=INDEX(DarlBindung,12),1,0))</f>
      </c>
      <c r="H5740" s="43">
        <f>IF($G5740=1,INDEX(DarlSollzins,12),INDEX(DarlAnschluss,12))</f>
      </c>
      <c r="I5740" s="43">
        <f>IF(INDEX(DarlBelegt,12)=0,0,IF(INDEX(DarlOhneTilgung,12)=1,IF(INDEX(DarlBindung,12)="",1,$G5740),IF($J5740&gt;0.005,1,0)))</f>
      </c>
      <c r="J5740" s="43">
        <f>IF($I5739=0,0,$R5739)</f>
      </c>
      <c r="K5740" s="43">
        <f>IF($I5740=0,0,IF(INDEX(DarlOhneTilgung,12)=1,0,IF(AND(INDEX(DarlTilgStart,12)&gt;0,$E5740=INDEX(DarlTilgStart,12)),$J5740*($H5740+INDEX(DarlTilgung,12))/100/12,IF(AND($G5740=0,$G5739=1),MAX($K5739,$J5740*($H5740+1)/100/12),$K5739))))</f>
      </c>
      <c r="L5740" s="43">
        <f>IF($I5740=0,0,$J5740*$H5740/100/12)</f>
      </c>
      <c r="M5740" s="43">
        <f>IF($I5740=0,0,IF(OR(INDEX(DarlOhneTilgung,12)=1,AND(INDEX(DarlTilgStart,12)&gt;0,$E5740&lt;INDEX(DarlTilgStart,12))),0,MIN(MAX(0,$K5740-$L5740),$J5740)))</f>
      </c>
      <c r="N5740" s="43">
        <f>IF($I5740=0,0,MIN(SUMIFS(SondBetrag,SondDarl,12,SondDatum,"&gt;="&amp;$E5740,SondDatum,"&lt;="&amp;EOMONTH($E5740,0)),$J5740-$M5740))</f>
      </c>
      <c r="O5740" s="43">
        <f>IF($I5740=0,0,INDEX(DarlErsatzRate,12))</f>
      </c>
      <c r="P5740" s="43">
        <f>IF($I5740=0,0,$Q5739*INDEX(DarlErsatzZins,12))</f>
      </c>
      <c r="Q5740" s="43">
        <f>IF($I5740=0,0,$Q5739+$P5740+$O5740)</f>
      </c>
      <c r="R5740" s="43">
        <f>IF($I5740=0,0,$J5740-$M5740-$N5740)</f>
      </c>
    </row>
    <row r="5741">
      <c r="A5741"/>
      <c r="B5741">
        <v>12</v>
      </c>
      <c r="C5741" s="43">
        <f>INDEX(DarlObj,12)</f>
      </c>
      <c r="D5741">
        <v>458</v>
      </c>
      <c r="E5741" s="51">
        <f>IF(INDEX(DarlBelegt,12)=0,0,EOMONTH(INDEX(DarlAuszahlung,12),457)+1)</f>
      </c>
      <c r="F5741" s="43">
        <f>IF($E5741=0,0,YEAR($E5741))</f>
      </c>
      <c r="G5741" s="43">
        <f>IF(INDEX(DarlBindung,12)="",1,IF($E5741&lt;=INDEX(DarlBindung,12),1,0))</f>
      </c>
      <c r="H5741" s="43">
        <f>IF($G5741=1,INDEX(DarlSollzins,12),INDEX(DarlAnschluss,12))</f>
      </c>
      <c r="I5741" s="43">
        <f>IF(INDEX(DarlBelegt,12)=0,0,IF(INDEX(DarlOhneTilgung,12)=1,IF(INDEX(DarlBindung,12)="",1,$G5741),IF($J5741&gt;0.005,1,0)))</f>
      </c>
      <c r="J5741" s="43">
        <f>IF($I5740=0,0,$R5740)</f>
      </c>
      <c r="K5741" s="43">
        <f>IF($I5741=0,0,IF(INDEX(DarlOhneTilgung,12)=1,0,IF(AND(INDEX(DarlTilgStart,12)&gt;0,$E5741=INDEX(DarlTilgStart,12)),$J5741*($H5741+INDEX(DarlTilgung,12))/100/12,IF(AND($G5741=0,$G5740=1),MAX($K5740,$J5741*($H5741+1)/100/12),$K5740))))</f>
      </c>
      <c r="L5741" s="43">
        <f>IF($I5741=0,0,$J5741*$H5741/100/12)</f>
      </c>
      <c r="M5741" s="43">
        <f>IF($I5741=0,0,IF(OR(INDEX(DarlOhneTilgung,12)=1,AND(INDEX(DarlTilgStart,12)&gt;0,$E5741&lt;INDEX(DarlTilgStart,12))),0,MIN(MAX(0,$K5741-$L5741),$J5741)))</f>
      </c>
      <c r="N5741" s="43">
        <f>IF($I5741=0,0,MIN(SUMIFS(SondBetrag,SondDarl,12,SondDatum,"&gt;="&amp;$E5741,SondDatum,"&lt;="&amp;EOMONTH($E5741,0)),$J5741-$M5741))</f>
      </c>
      <c r="O5741" s="43">
        <f>IF($I5741=0,0,INDEX(DarlErsatzRate,12))</f>
      </c>
      <c r="P5741" s="43">
        <f>IF($I5741=0,0,$Q5740*INDEX(DarlErsatzZins,12))</f>
      </c>
      <c r="Q5741" s="43">
        <f>IF($I5741=0,0,$Q5740+$P5741+$O5741)</f>
      </c>
      <c r="R5741" s="43">
        <f>IF($I5741=0,0,$J5741-$M5741-$N5741)</f>
      </c>
    </row>
    <row r="5742">
      <c r="A5742"/>
      <c r="B5742">
        <v>12</v>
      </c>
      <c r="C5742" s="43">
        <f>INDEX(DarlObj,12)</f>
      </c>
      <c r="D5742">
        <v>459</v>
      </c>
      <c r="E5742" s="51">
        <f>IF(INDEX(DarlBelegt,12)=0,0,EOMONTH(INDEX(DarlAuszahlung,12),458)+1)</f>
      </c>
      <c r="F5742" s="43">
        <f>IF($E5742=0,0,YEAR($E5742))</f>
      </c>
      <c r="G5742" s="43">
        <f>IF(INDEX(DarlBindung,12)="",1,IF($E5742&lt;=INDEX(DarlBindung,12),1,0))</f>
      </c>
      <c r="H5742" s="43">
        <f>IF($G5742=1,INDEX(DarlSollzins,12),INDEX(DarlAnschluss,12))</f>
      </c>
      <c r="I5742" s="43">
        <f>IF(INDEX(DarlBelegt,12)=0,0,IF(INDEX(DarlOhneTilgung,12)=1,IF(INDEX(DarlBindung,12)="",1,$G5742),IF($J5742&gt;0.005,1,0)))</f>
      </c>
      <c r="J5742" s="43">
        <f>IF($I5741=0,0,$R5741)</f>
      </c>
      <c r="K5742" s="43">
        <f>IF($I5742=0,0,IF(INDEX(DarlOhneTilgung,12)=1,0,IF(AND(INDEX(DarlTilgStart,12)&gt;0,$E5742=INDEX(DarlTilgStart,12)),$J5742*($H5742+INDEX(DarlTilgung,12))/100/12,IF(AND($G5742=0,$G5741=1),MAX($K5741,$J5742*($H5742+1)/100/12),$K5741))))</f>
      </c>
      <c r="L5742" s="43">
        <f>IF($I5742=0,0,$J5742*$H5742/100/12)</f>
      </c>
      <c r="M5742" s="43">
        <f>IF($I5742=0,0,IF(OR(INDEX(DarlOhneTilgung,12)=1,AND(INDEX(DarlTilgStart,12)&gt;0,$E5742&lt;INDEX(DarlTilgStart,12))),0,MIN(MAX(0,$K5742-$L5742),$J5742)))</f>
      </c>
      <c r="N5742" s="43">
        <f>IF($I5742=0,0,MIN(SUMIFS(SondBetrag,SondDarl,12,SondDatum,"&gt;="&amp;$E5742,SondDatum,"&lt;="&amp;EOMONTH($E5742,0)),$J5742-$M5742))</f>
      </c>
      <c r="O5742" s="43">
        <f>IF($I5742=0,0,INDEX(DarlErsatzRate,12))</f>
      </c>
      <c r="P5742" s="43">
        <f>IF($I5742=0,0,$Q5741*INDEX(DarlErsatzZins,12))</f>
      </c>
      <c r="Q5742" s="43">
        <f>IF($I5742=0,0,$Q5741+$P5742+$O5742)</f>
      </c>
      <c r="R5742" s="43">
        <f>IF($I5742=0,0,$J5742-$M5742-$N5742)</f>
      </c>
    </row>
    <row r="5743">
      <c r="A5743"/>
      <c r="B5743">
        <v>12</v>
      </c>
      <c r="C5743" s="43">
        <f>INDEX(DarlObj,12)</f>
      </c>
      <c r="D5743">
        <v>460</v>
      </c>
      <c r="E5743" s="51">
        <f>IF(INDEX(DarlBelegt,12)=0,0,EOMONTH(INDEX(DarlAuszahlung,12),459)+1)</f>
      </c>
      <c r="F5743" s="43">
        <f>IF($E5743=0,0,YEAR($E5743))</f>
      </c>
      <c r="G5743" s="43">
        <f>IF(INDEX(DarlBindung,12)="",1,IF($E5743&lt;=INDEX(DarlBindung,12),1,0))</f>
      </c>
      <c r="H5743" s="43">
        <f>IF($G5743=1,INDEX(DarlSollzins,12),INDEX(DarlAnschluss,12))</f>
      </c>
      <c r="I5743" s="43">
        <f>IF(INDEX(DarlBelegt,12)=0,0,IF(INDEX(DarlOhneTilgung,12)=1,IF(INDEX(DarlBindung,12)="",1,$G5743),IF($J5743&gt;0.005,1,0)))</f>
      </c>
      <c r="J5743" s="43">
        <f>IF($I5742=0,0,$R5742)</f>
      </c>
      <c r="K5743" s="43">
        <f>IF($I5743=0,0,IF(INDEX(DarlOhneTilgung,12)=1,0,IF(AND(INDEX(DarlTilgStart,12)&gt;0,$E5743=INDEX(DarlTilgStart,12)),$J5743*($H5743+INDEX(DarlTilgung,12))/100/12,IF(AND($G5743=0,$G5742=1),MAX($K5742,$J5743*($H5743+1)/100/12),$K5742))))</f>
      </c>
      <c r="L5743" s="43">
        <f>IF($I5743=0,0,$J5743*$H5743/100/12)</f>
      </c>
      <c r="M5743" s="43">
        <f>IF($I5743=0,0,IF(OR(INDEX(DarlOhneTilgung,12)=1,AND(INDEX(DarlTilgStart,12)&gt;0,$E5743&lt;INDEX(DarlTilgStart,12))),0,MIN(MAX(0,$K5743-$L5743),$J5743)))</f>
      </c>
      <c r="N5743" s="43">
        <f>IF($I5743=0,0,MIN(SUMIFS(SondBetrag,SondDarl,12,SondDatum,"&gt;="&amp;$E5743,SondDatum,"&lt;="&amp;EOMONTH($E5743,0)),$J5743-$M5743))</f>
      </c>
      <c r="O5743" s="43">
        <f>IF($I5743=0,0,INDEX(DarlErsatzRate,12))</f>
      </c>
      <c r="P5743" s="43">
        <f>IF($I5743=0,0,$Q5742*INDEX(DarlErsatzZins,12))</f>
      </c>
      <c r="Q5743" s="43">
        <f>IF($I5743=0,0,$Q5742+$P5743+$O5743)</f>
      </c>
      <c r="R5743" s="43">
        <f>IF($I5743=0,0,$J5743-$M5743-$N5743)</f>
      </c>
    </row>
    <row r="5744">
      <c r="A5744"/>
      <c r="B5744">
        <v>12</v>
      </c>
      <c r="C5744" s="43">
        <f>INDEX(DarlObj,12)</f>
      </c>
      <c r="D5744">
        <v>461</v>
      </c>
      <c r="E5744" s="51">
        <f>IF(INDEX(DarlBelegt,12)=0,0,EOMONTH(INDEX(DarlAuszahlung,12),460)+1)</f>
      </c>
      <c r="F5744" s="43">
        <f>IF($E5744=0,0,YEAR($E5744))</f>
      </c>
      <c r="G5744" s="43">
        <f>IF(INDEX(DarlBindung,12)="",1,IF($E5744&lt;=INDEX(DarlBindung,12),1,0))</f>
      </c>
      <c r="H5744" s="43">
        <f>IF($G5744=1,INDEX(DarlSollzins,12),INDEX(DarlAnschluss,12))</f>
      </c>
      <c r="I5744" s="43">
        <f>IF(INDEX(DarlBelegt,12)=0,0,IF(INDEX(DarlOhneTilgung,12)=1,IF(INDEX(DarlBindung,12)="",1,$G5744),IF($J5744&gt;0.005,1,0)))</f>
      </c>
      <c r="J5744" s="43">
        <f>IF($I5743=0,0,$R5743)</f>
      </c>
      <c r="K5744" s="43">
        <f>IF($I5744=0,0,IF(INDEX(DarlOhneTilgung,12)=1,0,IF(AND(INDEX(DarlTilgStart,12)&gt;0,$E5744=INDEX(DarlTilgStart,12)),$J5744*($H5744+INDEX(DarlTilgung,12))/100/12,IF(AND($G5744=0,$G5743=1),MAX($K5743,$J5744*($H5744+1)/100/12),$K5743))))</f>
      </c>
      <c r="L5744" s="43">
        <f>IF($I5744=0,0,$J5744*$H5744/100/12)</f>
      </c>
      <c r="M5744" s="43">
        <f>IF($I5744=0,0,IF(OR(INDEX(DarlOhneTilgung,12)=1,AND(INDEX(DarlTilgStart,12)&gt;0,$E5744&lt;INDEX(DarlTilgStart,12))),0,MIN(MAX(0,$K5744-$L5744),$J5744)))</f>
      </c>
      <c r="N5744" s="43">
        <f>IF($I5744=0,0,MIN(SUMIFS(SondBetrag,SondDarl,12,SondDatum,"&gt;="&amp;$E5744,SondDatum,"&lt;="&amp;EOMONTH($E5744,0)),$J5744-$M5744))</f>
      </c>
      <c r="O5744" s="43">
        <f>IF($I5744=0,0,INDEX(DarlErsatzRate,12))</f>
      </c>
      <c r="P5744" s="43">
        <f>IF($I5744=0,0,$Q5743*INDEX(DarlErsatzZins,12))</f>
      </c>
      <c r="Q5744" s="43">
        <f>IF($I5744=0,0,$Q5743+$P5744+$O5744)</f>
      </c>
      <c r="R5744" s="43">
        <f>IF($I5744=0,0,$J5744-$M5744-$N5744)</f>
      </c>
    </row>
    <row r="5745">
      <c r="A5745"/>
      <c r="B5745">
        <v>12</v>
      </c>
      <c r="C5745" s="43">
        <f>INDEX(DarlObj,12)</f>
      </c>
      <c r="D5745">
        <v>462</v>
      </c>
      <c r="E5745" s="51">
        <f>IF(INDEX(DarlBelegt,12)=0,0,EOMONTH(INDEX(DarlAuszahlung,12),461)+1)</f>
      </c>
      <c r="F5745" s="43">
        <f>IF($E5745=0,0,YEAR($E5745))</f>
      </c>
      <c r="G5745" s="43">
        <f>IF(INDEX(DarlBindung,12)="",1,IF($E5745&lt;=INDEX(DarlBindung,12),1,0))</f>
      </c>
      <c r="H5745" s="43">
        <f>IF($G5745=1,INDEX(DarlSollzins,12),INDEX(DarlAnschluss,12))</f>
      </c>
      <c r="I5745" s="43">
        <f>IF(INDEX(DarlBelegt,12)=0,0,IF(INDEX(DarlOhneTilgung,12)=1,IF(INDEX(DarlBindung,12)="",1,$G5745),IF($J5745&gt;0.005,1,0)))</f>
      </c>
      <c r="J5745" s="43">
        <f>IF($I5744=0,0,$R5744)</f>
      </c>
      <c r="K5745" s="43">
        <f>IF($I5745=0,0,IF(INDEX(DarlOhneTilgung,12)=1,0,IF(AND(INDEX(DarlTilgStart,12)&gt;0,$E5745=INDEX(DarlTilgStart,12)),$J5745*($H5745+INDEX(DarlTilgung,12))/100/12,IF(AND($G5745=0,$G5744=1),MAX($K5744,$J5745*($H5745+1)/100/12),$K5744))))</f>
      </c>
      <c r="L5745" s="43">
        <f>IF($I5745=0,0,$J5745*$H5745/100/12)</f>
      </c>
      <c r="M5745" s="43">
        <f>IF($I5745=0,0,IF(OR(INDEX(DarlOhneTilgung,12)=1,AND(INDEX(DarlTilgStart,12)&gt;0,$E5745&lt;INDEX(DarlTilgStart,12))),0,MIN(MAX(0,$K5745-$L5745),$J5745)))</f>
      </c>
      <c r="N5745" s="43">
        <f>IF($I5745=0,0,MIN(SUMIFS(SondBetrag,SondDarl,12,SondDatum,"&gt;="&amp;$E5745,SondDatum,"&lt;="&amp;EOMONTH($E5745,0)),$J5745-$M5745))</f>
      </c>
      <c r="O5745" s="43">
        <f>IF($I5745=0,0,INDEX(DarlErsatzRate,12))</f>
      </c>
      <c r="P5745" s="43">
        <f>IF($I5745=0,0,$Q5744*INDEX(DarlErsatzZins,12))</f>
      </c>
      <c r="Q5745" s="43">
        <f>IF($I5745=0,0,$Q5744+$P5745+$O5745)</f>
      </c>
      <c r="R5745" s="43">
        <f>IF($I5745=0,0,$J5745-$M5745-$N5745)</f>
      </c>
    </row>
    <row r="5746">
      <c r="A5746"/>
      <c r="B5746">
        <v>12</v>
      </c>
      <c r="C5746" s="43">
        <f>INDEX(DarlObj,12)</f>
      </c>
      <c r="D5746">
        <v>463</v>
      </c>
      <c r="E5746" s="51">
        <f>IF(INDEX(DarlBelegt,12)=0,0,EOMONTH(INDEX(DarlAuszahlung,12),462)+1)</f>
      </c>
      <c r="F5746" s="43">
        <f>IF($E5746=0,0,YEAR($E5746))</f>
      </c>
      <c r="G5746" s="43">
        <f>IF(INDEX(DarlBindung,12)="",1,IF($E5746&lt;=INDEX(DarlBindung,12),1,0))</f>
      </c>
      <c r="H5746" s="43">
        <f>IF($G5746=1,INDEX(DarlSollzins,12),INDEX(DarlAnschluss,12))</f>
      </c>
      <c r="I5746" s="43">
        <f>IF(INDEX(DarlBelegt,12)=0,0,IF(INDEX(DarlOhneTilgung,12)=1,IF(INDEX(DarlBindung,12)="",1,$G5746),IF($J5746&gt;0.005,1,0)))</f>
      </c>
      <c r="J5746" s="43">
        <f>IF($I5745=0,0,$R5745)</f>
      </c>
      <c r="K5746" s="43">
        <f>IF($I5746=0,0,IF(INDEX(DarlOhneTilgung,12)=1,0,IF(AND(INDEX(DarlTilgStart,12)&gt;0,$E5746=INDEX(DarlTilgStart,12)),$J5746*($H5746+INDEX(DarlTilgung,12))/100/12,IF(AND($G5746=0,$G5745=1),MAX($K5745,$J5746*($H5746+1)/100/12),$K5745))))</f>
      </c>
      <c r="L5746" s="43">
        <f>IF($I5746=0,0,$J5746*$H5746/100/12)</f>
      </c>
      <c r="M5746" s="43">
        <f>IF($I5746=0,0,IF(OR(INDEX(DarlOhneTilgung,12)=1,AND(INDEX(DarlTilgStart,12)&gt;0,$E5746&lt;INDEX(DarlTilgStart,12))),0,MIN(MAX(0,$K5746-$L5746),$J5746)))</f>
      </c>
      <c r="N5746" s="43">
        <f>IF($I5746=0,0,MIN(SUMIFS(SondBetrag,SondDarl,12,SondDatum,"&gt;="&amp;$E5746,SondDatum,"&lt;="&amp;EOMONTH($E5746,0)),$J5746-$M5746))</f>
      </c>
      <c r="O5746" s="43">
        <f>IF($I5746=0,0,INDEX(DarlErsatzRate,12))</f>
      </c>
      <c r="P5746" s="43">
        <f>IF($I5746=0,0,$Q5745*INDEX(DarlErsatzZins,12))</f>
      </c>
      <c r="Q5746" s="43">
        <f>IF($I5746=0,0,$Q5745+$P5746+$O5746)</f>
      </c>
      <c r="R5746" s="43">
        <f>IF($I5746=0,0,$J5746-$M5746-$N5746)</f>
      </c>
    </row>
    <row r="5747">
      <c r="A5747"/>
      <c r="B5747">
        <v>12</v>
      </c>
      <c r="C5747" s="43">
        <f>INDEX(DarlObj,12)</f>
      </c>
      <c r="D5747">
        <v>464</v>
      </c>
      <c r="E5747" s="51">
        <f>IF(INDEX(DarlBelegt,12)=0,0,EOMONTH(INDEX(DarlAuszahlung,12),463)+1)</f>
      </c>
      <c r="F5747" s="43">
        <f>IF($E5747=0,0,YEAR($E5747))</f>
      </c>
      <c r="G5747" s="43">
        <f>IF(INDEX(DarlBindung,12)="",1,IF($E5747&lt;=INDEX(DarlBindung,12),1,0))</f>
      </c>
      <c r="H5747" s="43">
        <f>IF($G5747=1,INDEX(DarlSollzins,12),INDEX(DarlAnschluss,12))</f>
      </c>
      <c r="I5747" s="43">
        <f>IF(INDEX(DarlBelegt,12)=0,0,IF(INDEX(DarlOhneTilgung,12)=1,IF(INDEX(DarlBindung,12)="",1,$G5747),IF($J5747&gt;0.005,1,0)))</f>
      </c>
      <c r="J5747" s="43">
        <f>IF($I5746=0,0,$R5746)</f>
      </c>
      <c r="K5747" s="43">
        <f>IF($I5747=0,0,IF(INDEX(DarlOhneTilgung,12)=1,0,IF(AND(INDEX(DarlTilgStart,12)&gt;0,$E5747=INDEX(DarlTilgStart,12)),$J5747*($H5747+INDEX(DarlTilgung,12))/100/12,IF(AND($G5747=0,$G5746=1),MAX($K5746,$J5747*($H5747+1)/100/12),$K5746))))</f>
      </c>
      <c r="L5747" s="43">
        <f>IF($I5747=0,0,$J5747*$H5747/100/12)</f>
      </c>
      <c r="M5747" s="43">
        <f>IF($I5747=0,0,IF(OR(INDEX(DarlOhneTilgung,12)=1,AND(INDEX(DarlTilgStart,12)&gt;0,$E5747&lt;INDEX(DarlTilgStart,12))),0,MIN(MAX(0,$K5747-$L5747),$J5747)))</f>
      </c>
      <c r="N5747" s="43">
        <f>IF($I5747=0,0,MIN(SUMIFS(SondBetrag,SondDarl,12,SondDatum,"&gt;="&amp;$E5747,SondDatum,"&lt;="&amp;EOMONTH($E5747,0)),$J5747-$M5747))</f>
      </c>
      <c r="O5747" s="43">
        <f>IF($I5747=0,0,INDEX(DarlErsatzRate,12))</f>
      </c>
      <c r="P5747" s="43">
        <f>IF($I5747=0,0,$Q5746*INDEX(DarlErsatzZins,12))</f>
      </c>
      <c r="Q5747" s="43">
        <f>IF($I5747=0,0,$Q5746+$P5747+$O5747)</f>
      </c>
      <c r="R5747" s="43">
        <f>IF($I5747=0,0,$J5747-$M5747-$N5747)</f>
      </c>
    </row>
    <row r="5748">
      <c r="A5748"/>
      <c r="B5748">
        <v>12</v>
      </c>
      <c r="C5748" s="43">
        <f>INDEX(DarlObj,12)</f>
      </c>
      <c r="D5748">
        <v>465</v>
      </c>
      <c r="E5748" s="51">
        <f>IF(INDEX(DarlBelegt,12)=0,0,EOMONTH(INDEX(DarlAuszahlung,12),464)+1)</f>
      </c>
      <c r="F5748" s="43">
        <f>IF($E5748=0,0,YEAR($E5748))</f>
      </c>
      <c r="G5748" s="43">
        <f>IF(INDEX(DarlBindung,12)="",1,IF($E5748&lt;=INDEX(DarlBindung,12),1,0))</f>
      </c>
      <c r="H5748" s="43">
        <f>IF($G5748=1,INDEX(DarlSollzins,12),INDEX(DarlAnschluss,12))</f>
      </c>
      <c r="I5748" s="43">
        <f>IF(INDEX(DarlBelegt,12)=0,0,IF(INDEX(DarlOhneTilgung,12)=1,IF(INDEX(DarlBindung,12)="",1,$G5748),IF($J5748&gt;0.005,1,0)))</f>
      </c>
      <c r="J5748" s="43">
        <f>IF($I5747=0,0,$R5747)</f>
      </c>
      <c r="K5748" s="43">
        <f>IF($I5748=0,0,IF(INDEX(DarlOhneTilgung,12)=1,0,IF(AND(INDEX(DarlTilgStart,12)&gt;0,$E5748=INDEX(DarlTilgStart,12)),$J5748*($H5748+INDEX(DarlTilgung,12))/100/12,IF(AND($G5748=0,$G5747=1),MAX($K5747,$J5748*($H5748+1)/100/12),$K5747))))</f>
      </c>
      <c r="L5748" s="43">
        <f>IF($I5748=0,0,$J5748*$H5748/100/12)</f>
      </c>
      <c r="M5748" s="43">
        <f>IF($I5748=0,0,IF(OR(INDEX(DarlOhneTilgung,12)=1,AND(INDEX(DarlTilgStart,12)&gt;0,$E5748&lt;INDEX(DarlTilgStart,12))),0,MIN(MAX(0,$K5748-$L5748),$J5748)))</f>
      </c>
      <c r="N5748" s="43">
        <f>IF($I5748=0,0,MIN(SUMIFS(SondBetrag,SondDarl,12,SondDatum,"&gt;="&amp;$E5748,SondDatum,"&lt;="&amp;EOMONTH($E5748,0)),$J5748-$M5748))</f>
      </c>
      <c r="O5748" s="43">
        <f>IF($I5748=0,0,INDEX(DarlErsatzRate,12))</f>
      </c>
      <c r="P5748" s="43">
        <f>IF($I5748=0,0,$Q5747*INDEX(DarlErsatzZins,12))</f>
      </c>
      <c r="Q5748" s="43">
        <f>IF($I5748=0,0,$Q5747+$P5748+$O5748)</f>
      </c>
      <c r="R5748" s="43">
        <f>IF($I5748=0,0,$J5748-$M5748-$N5748)</f>
      </c>
    </row>
    <row r="5749">
      <c r="A5749"/>
      <c r="B5749">
        <v>12</v>
      </c>
      <c r="C5749" s="43">
        <f>INDEX(DarlObj,12)</f>
      </c>
      <c r="D5749">
        <v>466</v>
      </c>
      <c r="E5749" s="51">
        <f>IF(INDEX(DarlBelegt,12)=0,0,EOMONTH(INDEX(DarlAuszahlung,12),465)+1)</f>
      </c>
      <c r="F5749" s="43">
        <f>IF($E5749=0,0,YEAR($E5749))</f>
      </c>
      <c r="G5749" s="43">
        <f>IF(INDEX(DarlBindung,12)="",1,IF($E5749&lt;=INDEX(DarlBindung,12),1,0))</f>
      </c>
      <c r="H5749" s="43">
        <f>IF($G5749=1,INDEX(DarlSollzins,12),INDEX(DarlAnschluss,12))</f>
      </c>
      <c r="I5749" s="43">
        <f>IF(INDEX(DarlBelegt,12)=0,0,IF(INDEX(DarlOhneTilgung,12)=1,IF(INDEX(DarlBindung,12)="",1,$G5749),IF($J5749&gt;0.005,1,0)))</f>
      </c>
      <c r="J5749" s="43">
        <f>IF($I5748=0,0,$R5748)</f>
      </c>
      <c r="K5749" s="43">
        <f>IF($I5749=0,0,IF(INDEX(DarlOhneTilgung,12)=1,0,IF(AND(INDEX(DarlTilgStart,12)&gt;0,$E5749=INDEX(DarlTilgStart,12)),$J5749*($H5749+INDEX(DarlTilgung,12))/100/12,IF(AND($G5749=0,$G5748=1),MAX($K5748,$J5749*($H5749+1)/100/12),$K5748))))</f>
      </c>
      <c r="L5749" s="43">
        <f>IF($I5749=0,0,$J5749*$H5749/100/12)</f>
      </c>
      <c r="M5749" s="43">
        <f>IF($I5749=0,0,IF(OR(INDEX(DarlOhneTilgung,12)=1,AND(INDEX(DarlTilgStart,12)&gt;0,$E5749&lt;INDEX(DarlTilgStart,12))),0,MIN(MAX(0,$K5749-$L5749),$J5749)))</f>
      </c>
      <c r="N5749" s="43">
        <f>IF($I5749=0,0,MIN(SUMIFS(SondBetrag,SondDarl,12,SondDatum,"&gt;="&amp;$E5749,SondDatum,"&lt;="&amp;EOMONTH($E5749,0)),$J5749-$M5749))</f>
      </c>
      <c r="O5749" s="43">
        <f>IF($I5749=0,0,INDEX(DarlErsatzRate,12))</f>
      </c>
      <c r="P5749" s="43">
        <f>IF($I5749=0,0,$Q5748*INDEX(DarlErsatzZins,12))</f>
      </c>
      <c r="Q5749" s="43">
        <f>IF($I5749=0,0,$Q5748+$P5749+$O5749)</f>
      </c>
      <c r="R5749" s="43">
        <f>IF($I5749=0,0,$J5749-$M5749-$N5749)</f>
      </c>
    </row>
    <row r="5750">
      <c r="A5750"/>
      <c r="B5750">
        <v>12</v>
      </c>
      <c r="C5750" s="43">
        <f>INDEX(DarlObj,12)</f>
      </c>
      <c r="D5750">
        <v>467</v>
      </c>
      <c r="E5750" s="51">
        <f>IF(INDEX(DarlBelegt,12)=0,0,EOMONTH(INDEX(DarlAuszahlung,12),466)+1)</f>
      </c>
      <c r="F5750" s="43">
        <f>IF($E5750=0,0,YEAR($E5750))</f>
      </c>
      <c r="G5750" s="43">
        <f>IF(INDEX(DarlBindung,12)="",1,IF($E5750&lt;=INDEX(DarlBindung,12),1,0))</f>
      </c>
      <c r="H5750" s="43">
        <f>IF($G5750=1,INDEX(DarlSollzins,12),INDEX(DarlAnschluss,12))</f>
      </c>
      <c r="I5750" s="43">
        <f>IF(INDEX(DarlBelegt,12)=0,0,IF(INDEX(DarlOhneTilgung,12)=1,IF(INDEX(DarlBindung,12)="",1,$G5750),IF($J5750&gt;0.005,1,0)))</f>
      </c>
      <c r="J5750" s="43">
        <f>IF($I5749=0,0,$R5749)</f>
      </c>
      <c r="K5750" s="43">
        <f>IF($I5750=0,0,IF(INDEX(DarlOhneTilgung,12)=1,0,IF(AND(INDEX(DarlTilgStart,12)&gt;0,$E5750=INDEX(DarlTilgStart,12)),$J5750*($H5750+INDEX(DarlTilgung,12))/100/12,IF(AND($G5750=0,$G5749=1),MAX($K5749,$J5750*($H5750+1)/100/12),$K5749))))</f>
      </c>
      <c r="L5750" s="43">
        <f>IF($I5750=0,0,$J5750*$H5750/100/12)</f>
      </c>
      <c r="M5750" s="43">
        <f>IF($I5750=0,0,IF(OR(INDEX(DarlOhneTilgung,12)=1,AND(INDEX(DarlTilgStart,12)&gt;0,$E5750&lt;INDEX(DarlTilgStart,12))),0,MIN(MAX(0,$K5750-$L5750),$J5750)))</f>
      </c>
      <c r="N5750" s="43">
        <f>IF($I5750=0,0,MIN(SUMIFS(SondBetrag,SondDarl,12,SondDatum,"&gt;="&amp;$E5750,SondDatum,"&lt;="&amp;EOMONTH($E5750,0)),$J5750-$M5750))</f>
      </c>
      <c r="O5750" s="43">
        <f>IF($I5750=0,0,INDEX(DarlErsatzRate,12))</f>
      </c>
      <c r="P5750" s="43">
        <f>IF($I5750=0,0,$Q5749*INDEX(DarlErsatzZins,12))</f>
      </c>
      <c r="Q5750" s="43">
        <f>IF($I5750=0,0,$Q5749+$P5750+$O5750)</f>
      </c>
      <c r="R5750" s="43">
        <f>IF($I5750=0,0,$J5750-$M5750-$N5750)</f>
      </c>
    </row>
    <row r="5751">
      <c r="A5751"/>
      <c r="B5751">
        <v>12</v>
      </c>
      <c r="C5751" s="43">
        <f>INDEX(DarlObj,12)</f>
      </c>
      <c r="D5751">
        <v>468</v>
      </c>
      <c r="E5751" s="51">
        <f>IF(INDEX(DarlBelegt,12)=0,0,EOMONTH(INDEX(DarlAuszahlung,12),467)+1)</f>
      </c>
      <c r="F5751" s="43">
        <f>IF($E5751=0,0,YEAR($E5751))</f>
      </c>
      <c r="G5751" s="43">
        <f>IF(INDEX(DarlBindung,12)="",1,IF($E5751&lt;=INDEX(DarlBindung,12),1,0))</f>
      </c>
      <c r="H5751" s="43">
        <f>IF($G5751=1,INDEX(DarlSollzins,12),INDEX(DarlAnschluss,12))</f>
      </c>
      <c r="I5751" s="43">
        <f>IF(INDEX(DarlBelegt,12)=0,0,IF(INDEX(DarlOhneTilgung,12)=1,IF(INDEX(DarlBindung,12)="",1,$G5751),IF($J5751&gt;0.005,1,0)))</f>
      </c>
      <c r="J5751" s="43">
        <f>IF($I5750=0,0,$R5750)</f>
      </c>
      <c r="K5751" s="43">
        <f>IF($I5751=0,0,IF(INDEX(DarlOhneTilgung,12)=1,0,IF(AND(INDEX(DarlTilgStart,12)&gt;0,$E5751=INDEX(DarlTilgStart,12)),$J5751*($H5751+INDEX(DarlTilgung,12))/100/12,IF(AND($G5751=0,$G5750=1),MAX($K5750,$J5751*($H5751+1)/100/12),$K5750))))</f>
      </c>
      <c r="L5751" s="43">
        <f>IF($I5751=0,0,$J5751*$H5751/100/12)</f>
      </c>
      <c r="M5751" s="43">
        <f>IF($I5751=0,0,IF(OR(INDEX(DarlOhneTilgung,12)=1,AND(INDEX(DarlTilgStart,12)&gt;0,$E5751&lt;INDEX(DarlTilgStart,12))),0,MIN(MAX(0,$K5751-$L5751),$J5751)))</f>
      </c>
      <c r="N5751" s="43">
        <f>IF($I5751=0,0,MIN(SUMIFS(SondBetrag,SondDarl,12,SondDatum,"&gt;="&amp;$E5751,SondDatum,"&lt;="&amp;EOMONTH($E5751,0)),$J5751-$M5751))</f>
      </c>
      <c r="O5751" s="43">
        <f>IF($I5751=0,0,INDEX(DarlErsatzRate,12))</f>
      </c>
      <c r="P5751" s="43">
        <f>IF($I5751=0,0,$Q5750*INDEX(DarlErsatzZins,12))</f>
      </c>
      <c r="Q5751" s="43">
        <f>IF($I5751=0,0,$Q5750+$P5751+$O5751)</f>
      </c>
      <c r="R5751" s="43">
        <f>IF($I5751=0,0,$J5751-$M5751-$N5751)</f>
      </c>
    </row>
    <row r="5752">
      <c r="A5752"/>
      <c r="B5752">
        <v>12</v>
      </c>
      <c r="C5752" s="43">
        <f>INDEX(DarlObj,12)</f>
      </c>
      <c r="D5752">
        <v>469</v>
      </c>
      <c r="E5752" s="51">
        <f>IF(INDEX(DarlBelegt,12)=0,0,EOMONTH(INDEX(DarlAuszahlung,12),468)+1)</f>
      </c>
      <c r="F5752" s="43">
        <f>IF($E5752=0,0,YEAR($E5752))</f>
      </c>
      <c r="G5752" s="43">
        <f>IF(INDEX(DarlBindung,12)="",1,IF($E5752&lt;=INDEX(DarlBindung,12),1,0))</f>
      </c>
      <c r="H5752" s="43">
        <f>IF($G5752=1,INDEX(DarlSollzins,12),INDEX(DarlAnschluss,12))</f>
      </c>
      <c r="I5752" s="43">
        <f>IF(INDEX(DarlBelegt,12)=0,0,IF(INDEX(DarlOhneTilgung,12)=1,IF(INDEX(DarlBindung,12)="",1,$G5752),IF($J5752&gt;0.005,1,0)))</f>
      </c>
      <c r="J5752" s="43">
        <f>IF($I5751=0,0,$R5751)</f>
      </c>
      <c r="K5752" s="43">
        <f>IF($I5752=0,0,IF(INDEX(DarlOhneTilgung,12)=1,0,IF(AND(INDEX(DarlTilgStart,12)&gt;0,$E5752=INDEX(DarlTilgStart,12)),$J5752*($H5752+INDEX(DarlTilgung,12))/100/12,IF(AND($G5752=0,$G5751=1),MAX($K5751,$J5752*($H5752+1)/100/12),$K5751))))</f>
      </c>
      <c r="L5752" s="43">
        <f>IF($I5752=0,0,$J5752*$H5752/100/12)</f>
      </c>
      <c r="M5752" s="43">
        <f>IF($I5752=0,0,IF(OR(INDEX(DarlOhneTilgung,12)=1,AND(INDEX(DarlTilgStart,12)&gt;0,$E5752&lt;INDEX(DarlTilgStart,12))),0,MIN(MAX(0,$K5752-$L5752),$J5752)))</f>
      </c>
      <c r="N5752" s="43">
        <f>IF($I5752=0,0,MIN(SUMIFS(SondBetrag,SondDarl,12,SondDatum,"&gt;="&amp;$E5752,SondDatum,"&lt;="&amp;EOMONTH($E5752,0)),$J5752-$M5752))</f>
      </c>
      <c r="O5752" s="43">
        <f>IF($I5752=0,0,INDEX(DarlErsatzRate,12))</f>
      </c>
      <c r="P5752" s="43">
        <f>IF($I5752=0,0,$Q5751*INDEX(DarlErsatzZins,12))</f>
      </c>
      <c r="Q5752" s="43">
        <f>IF($I5752=0,0,$Q5751+$P5752+$O5752)</f>
      </c>
      <c r="R5752" s="43">
        <f>IF($I5752=0,0,$J5752-$M5752-$N5752)</f>
      </c>
    </row>
    <row r="5753">
      <c r="A5753"/>
      <c r="B5753">
        <v>12</v>
      </c>
      <c r="C5753" s="43">
        <f>INDEX(DarlObj,12)</f>
      </c>
      <c r="D5753">
        <v>470</v>
      </c>
      <c r="E5753" s="51">
        <f>IF(INDEX(DarlBelegt,12)=0,0,EOMONTH(INDEX(DarlAuszahlung,12),469)+1)</f>
      </c>
      <c r="F5753" s="43">
        <f>IF($E5753=0,0,YEAR($E5753))</f>
      </c>
      <c r="G5753" s="43">
        <f>IF(INDEX(DarlBindung,12)="",1,IF($E5753&lt;=INDEX(DarlBindung,12),1,0))</f>
      </c>
      <c r="H5753" s="43">
        <f>IF($G5753=1,INDEX(DarlSollzins,12),INDEX(DarlAnschluss,12))</f>
      </c>
      <c r="I5753" s="43">
        <f>IF(INDEX(DarlBelegt,12)=0,0,IF(INDEX(DarlOhneTilgung,12)=1,IF(INDEX(DarlBindung,12)="",1,$G5753),IF($J5753&gt;0.005,1,0)))</f>
      </c>
      <c r="J5753" s="43">
        <f>IF($I5752=0,0,$R5752)</f>
      </c>
      <c r="K5753" s="43">
        <f>IF($I5753=0,0,IF(INDEX(DarlOhneTilgung,12)=1,0,IF(AND(INDEX(DarlTilgStart,12)&gt;0,$E5753=INDEX(DarlTilgStart,12)),$J5753*($H5753+INDEX(DarlTilgung,12))/100/12,IF(AND($G5753=0,$G5752=1),MAX($K5752,$J5753*($H5753+1)/100/12),$K5752))))</f>
      </c>
      <c r="L5753" s="43">
        <f>IF($I5753=0,0,$J5753*$H5753/100/12)</f>
      </c>
      <c r="M5753" s="43">
        <f>IF($I5753=0,0,IF(OR(INDEX(DarlOhneTilgung,12)=1,AND(INDEX(DarlTilgStart,12)&gt;0,$E5753&lt;INDEX(DarlTilgStart,12))),0,MIN(MAX(0,$K5753-$L5753),$J5753)))</f>
      </c>
      <c r="N5753" s="43">
        <f>IF($I5753=0,0,MIN(SUMIFS(SondBetrag,SondDarl,12,SondDatum,"&gt;="&amp;$E5753,SondDatum,"&lt;="&amp;EOMONTH($E5753,0)),$J5753-$M5753))</f>
      </c>
      <c r="O5753" s="43">
        <f>IF($I5753=0,0,INDEX(DarlErsatzRate,12))</f>
      </c>
      <c r="P5753" s="43">
        <f>IF($I5753=0,0,$Q5752*INDEX(DarlErsatzZins,12))</f>
      </c>
      <c r="Q5753" s="43">
        <f>IF($I5753=0,0,$Q5752+$P5753+$O5753)</f>
      </c>
      <c r="R5753" s="43">
        <f>IF($I5753=0,0,$J5753-$M5753-$N5753)</f>
      </c>
    </row>
    <row r="5754">
      <c r="A5754"/>
      <c r="B5754">
        <v>12</v>
      </c>
      <c r="C5754" s="43">
        <f>INDEX(DarlObj,12)</f>
      </c>
      <c r="D5754">
        <v>471</v>
      </c>
      <c r="E5754" s="51">
        <f>IF(INDEX(DarlBelegt,12)=0,0,EOMONTH(INDEX(DarlAuszahlung,12),470)+1)</f>
      </c>
      <c r="F5754" s="43">
        <f>IF($E5754=0,0,YEAR($E5754))</f>
      </c>
      <c r="G5754" s="43">
        <f>IF(INDEX(DarlBindung,12)="",1,IF($E5754&lt;=INDEX(DarlBindung,12),1,0))</f>
      </c>
      <c r="H5754" s="43">
        <f>IF($G5754=1,INDEX(DarlSollzins,12),INDEX(DarlAnschluss,12))</f>
      </c>
      <c r="I5754" s="43">
        <f>IF(INDEX(DarlBelegt,12)=0,0,IF(INDEX(DarlOhneTilgung,12)=1,IF(INDEX(DarlBindung,12)="",1,$G5754),IF($J5754&gt;0.005,1,0)))</f>
      </c>
      <c r="J5754" s="43">
        <f>IF($I5753=0,0,$R5753)</f>
      </c>
      <c r="K5754" s="43">
        <f>IF($I5754=0,0,IF(INDEX(DarlOhneTilgung,12)=1,0,IF(AND(INDEX(DarlTilgStart,12)&gt;0,$E5754=INDEX(DarlTilgStart,12)),$J5754*($H5754+INDEX(DarlTilgung,12))/100/12,IF(AND($G5754=0,$G5753=1),MAX($K5753,$J5754*($H5754+1)/100/12),$K5753))))</f>
      </c>
      <c r="L5754" s="43">
        <f>IF($I5754=0,0,$J5754*$H5754/100/12)</f>
      </c>
      <c r="M5754" s="43">
        <f>IF($I5754=0,0,IF(OR(INDEX(DarlOhneTilgung,12)=1,AND(INDEX(DarlTilgStart,12)&gt;0,$E5754&lt;INDEX(DarlTilgStart,12))),0,MIN(MAX(0,$K5754-$L5754),$J5754)))</f>
      </c>
      <c r="N5754" s="43">
        <f>IF($I5754=0,0,MIN(SUMIFS(SondBetrag,SondDarl,12,SondDatum,"&gt;="&amp;$E5754,SondDatum,"&lt;="&amp;EOMONTH($E5754,0)),$J5754-$M5754))</f>
      </c>
      <c r="O5754" s="43">
        <f>IF($I5754=0,0,INDEX(DarlErsatzRate,12))</f>
      </c>
      <c r="P5754" s="43">
        <f>IF($I5754=0,0,$Q5753*INDEX(DarlErsatzZins,12))</f>
      </c>
      <c r="Q5754" s="43">
        <f>IF($I5754=0,0,$Q5753+$P5754+$O5754)</f>
      </c>
      <c r="R5754" s="43">
        <f>IF($I5754=0,0,$J5754-$M5754-$N5754)</f>
      </c>
    </row>
    <row r="5755">
      <c r="A5755"/>
      <c r="B5755">
        <v>12</v>
      </c>
      <c r="C5755" s="43">
        <f>INDEX(DarlObj,12)</f>
      </c>
      <c r="D5755">
        <v>472</v>
      </c>
      <c r="E5755" s="51">
        <f>IF(INDEX(DarlBelegt,12)=0,0,EOMONTH(INDEX(DarlAuszahlung,12),471)+1)</f>
      </c>
      <c r="F5755" s="43">
        <f>IF($E5755=0,0,YEAR($E5755))</f>
      </c>
      <c r="G5755" s="43">
        <f>IF(INDEX(DarlBindung,12)="",1,IF($E5755&lt;=INDEX(DarlBindung,12),1,0))</f>
      </c>
      <c r="H5755" s="43">
        <f>IF($G5755=1,INDEX(DarlSollzins,12),INDEX(DarlAnschluss,12))</f>
      </c>
      <c r="I5755" s="43">
        <f>IF(INDEX(DarlBelegt,12)=0,0,IF(INDEX(DarlOhneTilgung,12)=1,IF(INDEX(DarlBindung,12)="",1,$G5755),IF($J5755&gt;0.005,1,0)))</f>
      </c>
      <c r="J5755" s="43">
        <f>IF($I5754=0,0,$R5754)</f>
      </c>
      <c r="K5755" s="43">
        <f>IF($I5755=0,0,IF(INDEX(DarlOhneTilgung,12)=1,0,IF(AND(INDEX(DarlTilgStart,12)&gt;0,$E5755=INDEX(DarlTilgStart,12)),$J5755*($H5755+INDEX(DarlTilgung,12))/100/12,IF(AND($G5755=0,$G5754=1),MAX($K5754,$J5755*($H5755+1)/100/12),$K5754))))</f>
      </c>
      <c r="L5755" s="43">
        <f>IF($I5755=0,0,$J5755*$H5755/100/12)</f>
      </c>
      <c r="M5755" s="43">
        <f>IF($I5755=0,0,IF(OR(INDEX(DarlOhneTilgung,12)=1,AND(INDEX(DarlTilgStart,12)&gt;0,$E5755&lt;INDEX(DarlTilgStart,12))),0,MIN(MAX(0,$K5755-$L5755),$J5755)))</f>
      </c>
      <c r="N5755" s="43">
        <f>IF($I5755=0,0,MIN(SUMIFS(SondBetrag,SondDarl,12,SondDatum,"&gt;="&amp;$E5755,SondDatum,"&lt;="&amp;EOMONTH($E5755,0)),$J5755-$M5755))</f>
      </c>
      <c r="O5755" s="43">
        <f>IF($I5755=0,0,INDEX(DarlErsatzRate,12))</f>
      </c>
      <c r="P5755" s="43">
        <f>IF($I5755=0,0,$Q5754*INDEX(DarlErsatzZins,12))</f>
      </c>
      <c r="Q5755" s="43">
        <f>IF($I5755=0,0,$Q5754+$P5755+$O5755)</f>
      </c>
      <c r="R5755" s="43">
        <f>IF($I5755=0,0,$J5755-$M5755-$N5755)</f>
      </c>
    </row>
    <row r="5756">
      <c r="A5756"/>
      <c r="B5756">
        <v>12</v>
      </c>
      <c r="C5756" s="43">
        <f>INDEX(DarlObj,12)</f>
      </c>
      <c r="D5756">
        <v>473</v>
      </c>
      <c r="E5756" s="51">
        <f>IF(INDEX(DarlBelegt,12)=0,0,EOMONTH(INDEX(DarlAuszahlung,12),472)+1)</f>
      </c>
      <c r="F5756" s="43">
        <f>IF($E5756=0,0,YEAR($E5756))</f>
      </c>
      <c r="G5756" s="43">
        <f>IF(INDEX(DarlBindung,12)="",1,IF($E5756&lt;=INDEX(DarlBindung,12),1,0))</f>
      </c>
      <c r="H5756" s="43">
        <f>IF($G5756=1,INDEX(DarlSollzins,12),INDEX(DarlAnschluss,12))</f>
      </c>
      <c r="I5756" s="43">
        <f>IF(INDEX(DarlBelegt,12)=0,0,IF(INDEX(DarlOhneTilgung,12)=1,IF(INDEX(DarlBindung,12)="",1,$G5756),IF($J5756&gt;0.005,1,0)))</f>
      </c>
      <c r="J5756" s="43">
        <f>IF($I5755=0,0,$R5755)</f>
      </c>
      <c r="K5756" s="43">
        <f>IF($I5756=0,0,IF(INDEX(DarlOhneTilgung,12)=1,0,IF(AND(INDEX(DarlTilgStart,12)&gt;0,$E5756=INDEX(DarlTilgStart,12)),$J5756*($H5756+INDEX(DarlTilgung,12))/100/12,IF(AND($G5756=0,$G5755=1),MAX($K5755,$J5756*($H5756+1)/100/12),$K5755))))</f>
      </c>
      <c r="L5756" s="43">
        <f>IF($I5756=0,0,$J5756*$H5756/100/12)</f>
      </c>
      <c r="M5756" s="43">
        <f>IF($I5756=0,0,IF(OR(INDEX(DarlOhneTilgung,12)=1,AND(INDEX(DarlTilgStart,12)&gt;0,$E5756&lt;INDEX(DarlTilgStart,12))),0,MIN(MAX(0,$K5756-$L5756),$J5756)))</f>
      </c>
      <c r="N5756" s="43">
        <f>IF($I5756=0,0,MIN(SUMIFS(SondBetrag,SondDarl,12,SondDatum,"&gt;="&amp;$E5756,SondDatum,"&lt;="&amp;EOMONTH($E5756,0)),$J5756-$M5756))</f>
      </c>
      <c r="O5756" s="43">
        <f>IF($I5756=0,0,INDEX(DarlErsatzRate,12))</f>
      </c>
      <c r="P5756" s="43">
        <f>IF($I5756=0,0,$Q5755*INDEX(DarlErsatzZins,12))</f>
      </c>
      <c r="Q5756" s="43">
        <f>IF($I5756=0,0,$Q5755+$P5756+$O5756)</f>
      </c>
      <c r="R5756" s="43">
        <f>IF($I5756=0,0,$J5756-$M5756-$N5756)</f>
      </c>
    </row>
    <row r="5757">
      <c r="A5757"/>
      <c r="B5757">
        <v>12</v>
      </c>
      <c r="C5757" s="43">
        <f>INDEX(DarlObj,12)</f>
      </c>
      <c r="D5757">
        <v>474</v>
      </c>
      <c r="E5757" s="51">
        <f>IF(INDEX(DarlBelegt,12)=0,0,EOMONTH(INDEX(DarlAuszahlung,12),473)+1)</f>
      </c>
      <c r="F5757" s="43">
        <f>IF($E5757=0,0,YEAR($E5757))</f>
      </c>
      <c r="G5757" s="43">
        <f>IF(INDEX(DarlBindung,12)="",1,IF($E5757&lt;=INDEX(DarlBindung,12),1,0))</f>
      </c>
      <c r="H5757" s="43">
        <f>IF($G5757=1,INDEX(DarlSollzins,12),INDEX(DarlAnschluss,12))</f>
      </c>
      <c r="I5757" s="43">
        <f>IF(INDEX(DarlBelegt,12)=0,0,IF(INDEX(DarlOhneTilgung,12)=1,IF(INDEX(DarlBindung,12)="",1,$G5757),IF($J5757&gt;0.005,1,0)))</f>
      </c>
      <c r="J5757" s="43">
        <f>IF($I5756=0,0,$R5756)</f>
      </c>
      <c r="K5757" s="43">
        <f>IF($I5757=0,0,IF(INDEX(DarlOhneTilgung,12)=1,0,IF(AND(INDEX(DarlTilgStart,12)&gt;0,$E5757=INDEX(DarlTilgStart,12)),$J5757*($H5757+INDEX(DarlTilgung,12))/100/12,IF(AND($G5757=0,$G5756=1),MAX($K5756,$J5757*($H5757+1)/100/12),$K5756))))</f>
      </c>
      <c r="L5757" s="43">
        <f>IF($I5757=0,0,$J5757*$H5757/100/12)</f>
      </c>
      <c r="M5757" s="43">
        <f>IF($I5757=0,0,IF(OR(INDEX(DarlOhneTilgung,12)=1,AND(INDEX(DarlTilgStart,12)&gt;0,$E5757&lt;INDEX(DarlTilgStart,12))),0,MIN(MAX(0,$K5757-$L5757),$J5757)))</f>
      </c>
      <c r="N5757" s="43">
        <f>IF($I5757=0,0,MIN(SUMIFS(SondBetrag,SondDarl,12,SondDatum,"&gt;="&amp;$E5757,SondDatum,"&lt;="&amp;EOMONTH($E5757,0)),$J5757-$M5757))</f>
      </c>
      <c r="O5757" s="43">
        <f>IF($I5757=0,0,INDEX(DarlErsatzRate,12))</f>
      </c>
      <c r="P5757" s="43">
        <f>IF($I5757=0,0,$Q5756*INDEX(DarlErsatzZins,12))</f>
      </c>
      <c r="Q5757" s="43">
        <f>IF($I5757=0,0,$Q5756+$P5757+$O5757)</f>
      </c>
      <c r="R5757" s="43">
        <f>IF($I5757=0,0,$J5757-$M5757-$N5757)</f>
      </c>
    </row>
    <row r="5758">
      <c r="A5758"/>
      <c r="B5758">
        <v>12</v>
      </c>
      <c r="C5758" s="43">
        <f>INDEX(DarlObj,12)</f>
      </c>
      <c r="D5758">
        <v>475</v>
      </c>
      <c r="E5758" s="51">
        <f>IF(INDEX(DarlBelegt,12)=0,0,EOMONTH(INDEX(DarlAuszahlung,12),474)+1)</f>
      </c>
      <c r="F5758" s="43">
        <f>IF($E5758=0,0,YEAR($E5758))</f>
      </c>
      <c r="G5758" s="43">
        <f>IF(INDEX(DarlBindung,12)="",1,IF($E5758&lt;=INDEX(DarlBindung,12),1,0))</f>
      </c>
      <c r="H5758" s="43">
        <f>IF($G5758=1,INDEX(DarlSollzins,12),INDEX(DarlAnschluss,12))</f>
      </c>
      <c r="I5758" s="43">
        <f>IF(INDEX(DarlBelegt,12)=0,0,IF(INDEX(DarlOhneTilgung,12)=1,IF(INDEX(DarlBindung,12)="",1,$G5758),IF($J5758&gt;0.005,1,0)))</f>
      </c>
      <c r="J5758" s="43">
        <f>IF($I5757=0,0,$R5757)</f>
      </c>
      <c r="K5758" s="43">
        <f>IF($I5758=0,0,IF(INDEX(DarlOhneTilgung,12)=1,0,IF(AND(INDEX(DarlTilgStart,12)&gt;0,$E5758=INDEX(DarlTilgStart,12)),$J5758*($H5758+INDEX(DarlTilgung,12))/100/12,IF(AND($G5758=0,$G5757=1),MAX($K5757,$J5758*($H5758+1)/100/12),$K5757))))</f>
      </c>
      <c r="L5758" s="43">
        <f>IF($I5758=0,0,$J5758*$H5758/100/12)</f>
      </c>
      <c r="M5758" s="43">
        <f>IF($I5758=0,0,IF(OR(INDEX(DarlOhneTilgung,12)=1,AND(INDEX(DarlTilgStart,12)&gt;0,$E5758&lt;INDEX(DarlTilgStart,12))),0,MIN(MAX(0,$K5758-$L5758),$J5758)))</f>
      </c>
      <c r="N5758" s="43">
        <f>IF($I5758=0,0,MIN(SUMIFS(SondBetrag,SondDarl,12,SondDatum,"&gt;="&amp;$E5758,SondDatum,"&lt;="&amp;EOMONTH($E5758,0)),$J5758-$M5758))</f>
      </c>
      <c r="O5758" s="43">
        <f>IF($I5758=0,0,INDEX(DarlErsatzRate,12))</f>
      </c>
      <c r="P5758" s="43">
        <f>IF($I5758=0,0,$Q5757*INDEX(DarlErsatzZins,12))</f>
      </c>
      <c r="Q5758" s="43">
        <f>IF($I5758=0,0,$Q5757+$P5758+$O5758)</f>
      </c>
      <c r="R5758" s="43">
        <f>IF($I5758=0,0,$J5758-$M5758-$N5758)</f>
      </c>
    </row>
    <row r="5759">
      <c r="A5759"/>
      <c r="B5759">
        <v>12</v>
      </c>
      <c r="C5759" s="43">
        <f>INDEX(DarlObj,12)</f>
      </c>
      <c r="D5759">
        <v>476</v>
      </c>
      <c r="E5759" s="51">
        <f>IF(INDEX(DarlBelegt,12)=0,0,EOMONTH(INDEX(DarlAuszahlung,12),475)+1)</f>
      </c>
      <c r="F5759" s="43">
        <f>IF($E5759=0,0,YEAR($E5759))</f>
      </c>
      <c r="G5759" s="43">
        <f>IF(INDEX(DarlBindung,12)="",1,IF($E5759&lt;=INDEX(DarlBindung,12),1,0))</f>
      </c>
      <c r="H5759" s="43">
        <f>IF($G5759=1,INDEX(DarlSollzins,12),INDEX(DarlAnschluss,12))</f>
      </c>
      <c r="I5759" s="43">
        <f>IF(INDEX(DarlBelegt,12)=0,0,IF(INDEX(DarlOhneTilgung,12)=1,IF(INDEX(DarlBindung,12)="",1,$G5759),IF($J5759&gt;0.005,1,0)))</f>
      </c>
      <c r="J5759" s="43">
        <f>IF($I5758=0,0,$R5758)</f>
      </c>
      <c r="K5759" s="43">
        <f>IF($I5759=0,0,IF(INDEX(DarlOhneTilgung,12)=1,0,IF(AND(INDEX(DarlTilgStart,12)&gt;0,$E5759=INDEX(DarlTilgStart,12)),$J5759*($H5759+INDEX(DarlTilgung,12))/100/12,IF(AND($G5759=0,$G5758=1),MAX($K5758,$J5759*($H5759+1)/100/12),$K5758))))</f>
      </c>
      <c r="L5759" s="43">
        <f>IF($I5759=0,0,$J5759*$H5759/100/12)</f>
      </c>
      <c r="M5759" s="43">
        <f>IF($I5759=0,0,IF(OR(INDEX(DarlOhneTilgung,12)=1,AND(INDEX(DarlTilgStart,12)&gt;0,$E5759&lt;INDEX(DarlTilgStart,12))),0,MIN(MAX(0,$K5759-$L5759),$J5759)))</f>
      </c>
      <c r="N5759" s="43">
        <f>IF($I5759=0,0,MIN(SUMIFS(SondBetrag,SondDarl,12,SondDatum,"&gt;="&amp;$E5759,SondDatum,"&lt;="&amp;EOMONTH($E5759,0)),$J5759-$M5759))</f>
      </c>
      <c r="O5759" s="43">
        <f>IF($I5759=0,0,INDEX(DarlErsatzRate,12))</f>
      </c>
      <c r="P5759" s="43">
        <f>IF($I5759=0,0,$Q5758*INDEX(DarlErsatzZins,12))</f>
      </c>
      <c r="Q5759" s="43">
        <f>IF($I5759=0,0,$Q5758+$P5759+$O5759)</f>
      </c>
      <c r="R5759" s="43">
        <f>IF($I5759=0,0,$J5759-$M5759-$N5759)</f>
      </c>
    </row>
    <row r="5760">
      <c r="A5760"/>
      <c r="B5760">
        <v>12</v>
      </c>
      <c r="C5760" s="43">
        <f>INDEX(DarlObj,12)</f>
      </c>
      <c r="D5760">
        <v>477</v>
      </c>
      <c r="E5760" s="51">
        <f>IF(INDEX(DarlBelegt,12)=0,0,EOMONTH(INDEX(DarlAuszahlung,12),476)+1)</f>
      </c>
      <c r="F5760" s="43">
        <f>IF($E5760=0,0,YEAR($E5760))</f>
      </c>
      <c r="G5760" s="43">
        <f>IF(INDEX(DarlBindung,12)="",1,IF($E5760&lt;=INDEX(DarlBindung,12),1,0))</f>
      </c>
      <c r="H5760" s="43">
        <f>IF($G5760=1,INDEX(DarlSollzins,12),INDEX(DarlAnschluss,12))</f>
      </c>
      <c r="I5760" s="43">
        <f>IF(INDEX(DarlBelegt,12)=0,0,IF(INDEX(DarlOhneTilgung,12)=1,IF(INDEX(DarlBindung,12)="",1,$G5760),IF($J5760&gt;0.005,1,0)))</f>
      </c>
      <c r="J5760" s="43">
        <f>IF($I5759=0,0,$R5759)</f>
      </c>
      <c r="K5760" s="43">
        <f>IF($I5760=0,0,IF(INDEX(DarlOhneTilgung,12)=1,0,IF(AND(INDEX(DarlTilgStart,12)&gt;0,$E5760=INDEX(DarlTilgStart,12)),$J5760*($H5760+INDEX(DarlTilgung,12))/100/12,IF(AND($G5760=0,$G5759=1),MAX($K5759,$J5760*($H5760+1)/100/12),$K5759))))</f>
      </c>
      <c r="L5760" s="43">
        <f>IF($I5760=0,0,$J5760*$H5760/100/12)</f>
      </c>
      <c r="M5760" s="43">
        <f>IF($I5760=0,0,IF(OR(INDEX(DarlOhneTilgung,12)=1,AND(INDEX(DarlTilgStart,12)&gt;0,$E5760&lt;INDEX(DarlTilgStart,12))),0,MIN(MAX(0,$K5760-$L5760),$J5760)))</f>
      </c>
      <c r="N5760" s="43">
        <f>IF($I5760=0,0,MIN(SUMIFS(SondBetrag,SondDarl,12,SondDatum,"&gt;="&amp;$E5760,SondDatum,"&lt;="&amp;EOMONTH($E5760,0)),$J5760-$M5760))</f>
      </c>
      <c r="O5760" s="43">
        <f>IF($I5760=0,0,INDEX(DarlErsatzRate,12))</f>
      </c>
      <c r="P5760" s="43">
        <f>IF($I5760=0,0,$Q5759*INDEX(DarlErsatzZins,12))</f>
      </c>
      <c r="Q5760" s="43">
        <f>IF($I5760=0,0,$Q5759+$P5760+$O5760)</f>
      </c>
      <c r="R5760" s="43">
        <f>IF($I5760=0,0,$J5760-$M5760-$N5760)</f>
      </c>
    </row>
    <row r="5761">
      <c r="A5761"/>
      <c r="B5761">
        <v>12</v>
      </c>
      <c r="C5761" s="43">
        <f>INDEX(DarlObj,12)</f>
      </c>
      <c r="D5761">
        <v>478</v>
      </c>
      <c r="E5761" s="51">
        <f>IF(INDEX(DarlBelegt,12)=0,0,EOMONTH(INDEX(DarlAuszahlung,12),477)+1)</f>
      </c>
      <c r="F5761" s="43">
        <f>IF($E5761=0,0,YEAR($E5761))</f>
      </c>
      <c r="G5761" s="43">
        <f>IF(INDEX(DarlBindung,12)="",1,IF($E5761&lt;=INDEX(DarlBindung,12),1,0))</f>
      </c>
      <c r="H5761" s="43">
        <f>IF($G5761=1,INDEX(DarlSollzins,12),INDEX(DarlAnschluss,12))</f>
      </c>
      <c r="I5761" s="43">
        <f>IF(INDEX(DarlBelegt,12)=0,0,IF(INDEX(DarlOhneTilgung,12)=1,IF(INDEX(DarlBindung,12)="",1,$G5761),IF($J5761&gt;0.005,1,0)))</f>
      </c>
      <c r="J5761" s="43">
        <f>IF($I5760=0,0,$R5760)</f>
      </c>
      <c r="K5761" s="43">
        <f>IF($I5761=0,0,IF(INDEX(DarlOhneTilgung,12)=1,0,IF(AND(INDEX(DarlTilgStart,12)&gt;0,$E5761=INDEX(DarlTilgStart,12)),$J5761*($H5761+INDEX(DarlTilgung,12))/100/12,IF(AND($G5761=0,$G5760=1),MAX($K5760,$J5761*($H5761+1)/100/12),$K5760))))</f>
      </c>
      <c r="L5761" s="43">
        <f>IF($I5761=0,0,$J5761*$H5761/100/12)</f>
      </c>
      <c r="M5761" s="43">
        <f>IF($I5761=0,0,IF(OR(INDEX(DarlOhneTilgung,12)=1,AND(INDEX(DarlTilgStart,12)&gt;0,$E5761&lt;INDEX(DarlTilgStart,12))),0,MIN(MAX(0,$K5761-$L5761),$J5761)))</f>
      </c>
      <c r="N5761" s="43">
        <f>IF($I5761=0,0,MIN(SUMIFS(SondBetrag,SondDarl,12,SondDatum,"&gt;="&amp;$E5761,SondDatum,"&lt;="&amp;EOMONTH($E5761,0)),$J5761-$M5761))</f>
      </c>
      <c r="O5761" s="43">
        <f>IF($I5761=0,0,INDEX(DarlErsatzRate,12))</f>
      </c>
      <c r="P5761" s="43">
        <f>IF($I5761=0,0,$Q5760*INDEX(DarlErsatzZins,12))</f>
      </c>
      <c r="Q5761" s="43">
        <f>IF($I5761=0,0,$Q5760+$P5761+$O5761)</f>
      </c>
      <c r="R5761" s="43">
        <f>IF($I5761=0,0,$J5761-$M5761-$N5761)</f>
      </c>
    </row>
    <row r="5762">
      <c r="A5762"/>
      <c r="B5762">
        <v>12</v>
      </c>
      <c r="C5762" s="43">
        <f>INDEX(DarlObj,12)</f>
      </c>
      <c r="D5762">
        <v>479</v>
      </c>
      <c r="E5762" s="51">
        <f>IF(INDEX(DarlBelegt,12)=0,0,EOMONTH(INDEX(DarlAuszahlung,12),478)+1)</f>
      </c>
      <c r="F5762" s="43">
        <f>IF($E5762=0,0,YEAR($E5762))</f>
      </c>
      <c r="G5762" s="43">
        <f>IF(INDEX(DarlBindung,12)="",1,IF($E5762&lt;=INDEX(DarlBindung,12),1,0))</f>
      </c>
      <c r="H5762" s="43">
        <f>IF($G5762=1,INDEX(DarlSollzins,12),INDEX(DarlAnschluss,12))</f>
      </c>
      <c r="I5762" s="43">
        <f>IF(INDEX(DarlBelegt,12)=0,0,IF(INDEX(DarlOhneTilgung,12)=1,IF(INDEX(DarlBindung,12)="",1,$G5762),IF($J5762&gt;0.005,1,0)))</f>
      </c>
      <c r="J5762" s="43">
        <f>IF($I5761=0,0,$R5761)</f>
      </c>
      <c r="K5762" s="43">
        <f>IF($I5762=0,0,IF(INDEX(DarlOhneTilgung,12)=1,0,IF(AND(INDEX(DarlTilgStart,12)&gt;0,$E5762=INDEX(DarlTilgStart,12)),$J5762*($H5762+INDEX(DarlTilgung,12))/100/12,IF(AND($G5762=0,$G5761=1),MAX($K5761,$J5762*($H5762+1)/100/12),$K5761))))</f>
      </c>
      <c r="L5762" s="43">
        <f>IF($I5762=0,0,$J5762*$H5762/100/12)</f>
      </c>
      <c r="M5762" s="43">
        <f>IF($I5762=0,0,IF(OR(INDEX(DarlOhneTilgung,12)=1,AND(INDEX(DarlTilgStart,12)&gt;0,$E5762&lt;INDEX(DarlTilgStart,12))),0,MIN(MAX(0,$K5762-$L5762),$J5762)))</f>
      </c>
      <c r="N5762" s="43">
        <f>IF($I5762=0,0,MIN(SUMIFS(SondBetrag,SondDarl,12,SondDatum,"&gt;="&amp;$E5762,SondDatum,"&lt;="&amp;EOMONTH($E5762,0)),$J5762-$M5762))</f>
      </c>
      <c r="O5762" s="43">
        <f>IF($I5762=0,0,INDEX(DarlErsatzRate,12))</f>
      </c>
      <c r="P5762" s="43">
        <f>IF($I5762=0,0,$Q5761*INDEX(DarlErsatzZins,12))</f>
      </c>
      <c r="Q5762" s="43">
        <f>IF($I5762=0,0,$Q5761+$P5762+$O5762)</f>
      </c>
      <c r="R5762" s="43">
        <f>IF($I5762=0,0,$J5762-$M5762-$N5762)</f>
      </c>
    </row>
    <row r="5763">
      <c r="A5763"/>
      <c r="B5763">
        <v>12</v>
      </c>
      <c r="C5763" s="43">
        <f>INDEX(DarlObj,12)</f>
      </c>
      <c r="D5763">
        <v>480</v>
      </c>
      <c r="E5763" s="51">
        <f>IF(INDEX(DarlBelegt,12)=0,0,EOMONTH(INDEX(DarlAuszahlung,12),479)+1)</f>
      </c>
      <c r="F5763" s="43">
        <f>IF($E5763=0,0,YEAR($E5763))</f>
      </c>
      <c r="G5763" s="43">
        <f>IF(INDEX(DarlBindung,12)="",1,IF($E5763&lt;=INDEX(DarlBindung,12),1,0))</f>
      </c>
      <c r="H5763" s="43">
        <f>IF($G5763=1,INDEX(DarlSollzins,12),INDEX(DarlAnschluss,12))</f>
      </c>
      <c r="I5763" s="43">
        <f>IF(INDEX(DarlBelegt,12)=0,0,IF(INDEX(DarlOhneTilgung,12)=1,IF(INDEX(DarlBindung,12)="",1,$G5763),IF($J5763&gt;0.005,1,0)))</f>
      </c>
      <c r="J5763" s="43">
        <f>IF($I5762=0,0,$R5762)</f>
      </c>
      <c r="K5763" s="43">
        <f>IF($I5763=0,0,IF(INDEX(DarlOhneTilgung,12)=1,0,IF(AND(INDEX(DarlTilgStart,12)&gt;0,$E5763=INDEX(DarlTilgStart,12)),$J5763*($H5763+INDEX(DarlTilgung,12))/100/12,IF(AND($G5763=0,$G5762=1),MAX($K5762,$J5763*($H5763+1)/100/12),$K5762))))</f>
      </c>
      <c r="L5763" s="43">
        <f>IF($I5763=0,0,$J5763*$H5763/100/12)</f>
      </c>
      <c r="M5763" s="43">
        <f>IF($I5763=0,0,IF(OR(INDEX(DarlOhneTilgung,12)=1,AND(INDEX(DarlTilgStart,12)&gt;0,$E5763&lt;INDEX(DarlTilgStart,12))),0,MIN(MAX(0,$K5763-$L5763),$J5763)))</f>
      </c>
      <c r="N5763" s="43">
        <f>IF($I5763=0,0,MIN(SUMIFS(SondBetrag,SondDarl,12,SondDatum,"&gt;="&amp;$E5763,SondDatum,"&lt;="&amp;EOMONTH($E5763,0)),$J5763-$M5763))</f>
      </c>
      <c r="O5763" s="43">
        <f>IF($I5763=0,0,INDEX(DarlErsatzRate,12))</f>
      </c>
      <c r="P5763" s="43">
        <f>IF($I5763=0,0,$Q5762*INDEX(DarlErsatzZins,12))</f>
      </c>
      <c r="Q5763" s="43">
        <f>IF($I5763=0,0,$Q5762+$P5763+$O5763)</f>
      </c>
      <c r="R5763" s="43">
        <f>IF($I5763=0,0,$J5763-$M5763-$N5763)</f>
      </c>
    </row>
    <row r="5764">
      <c r="A5764"/>
      <c r="B5764">
        <v>13</v>
      </c>
      <c r="C5764" s="43">
        <f>INDEX(DarlObj,13)</f>
      </c>
      <c r="D5764">
        <v>1</v>
      </c>
      <c r="E5764" s="51">
        <f>IF(INDEX(DarlBelegt,13)=0,0,EOMONTH(INDEX(DarlAuszahlung,13),0)+1)</f>
      </c>
      <c r="F5764" s="43">
        <f>IF($E5764=0,0,YEAR($E5764))</f>
      </c>
      <c r="G5764" s="43">
        <f>IF(INDEX(DarlBindung,13)="",1,IF($E5764&lt;=INDEX(DarlBindung,13),1,0))</f>
      </c>
      <c r="H5764" s="43">
        <f>IF($G5764=1,INDEX(DarlSollzins,13),INDEX(DarlAnschluss,13))</f>
      </c>
      <c r="I5764" s="43">
        <f>IF(INDEX(DarlBelegt,13)=0,0,IF(INDEX(DarlOhneTilgung,13)=1,IF(INDEX(DarlBindung,13)="",1,$G5764),IF($J5764&gt;0.005,1,0)))</f>
      </c>
      <c r="J5764" s="43">
        <f>IF(INDEX(DarlBelegt,13)=0,0,INDEX(DarlBetrag,13))</f>
      </c>
      <c r="K5764" s="43">
        <f>IF($I5764=0,0,IF(INDEX(DarlOhneTilgung,13)=1,0,INDEX(DarlRate1,13)))</f>
      </c>
      <c r="L5764" s="43">
        <f>IF($I5764=0,0,$J5764*$H5764/100/12)</f>
      </c>
      <c r="M5764" s="43">
        <f>IF($I5764=0,0,IF(OR(INDEX(DarlOhneTilgung,13)=1,AND(INDEX(DarlTilgStart,13)&gt;0,$E5764&lt;INDEX(DarlTilgStart,13))),0,MIN(MAX(0,$K5764-$L5764),$J5764)))</f>
      </c>
      <c r="N5764" s="43">
        <f>IF($I5764=0,0,MIN(SUMIFS(SondBetrag,SondDarl,13,SondDatum,"&gt;="&amp;$E5764,SondDatum,"&lt;="&amp;EOMONTH($E5764,0)),$J5764-$M5764))</f>
      </c>
      <c r="O5764" s="43">
        <f>IF($I5764=0,0,INDEX(DarlErsatzRate,13))</f>
      </c>
      <c r="P5764" s="43">
        <f>0</f>
      </c>
      <c r="Q5764" s="43">
        <f>IF($I5764=0,0,$P5764+$O5764)</f>
      </c>
      <c r="R5764" s="43">
        <f>IF($I5764=0,0,$J5764-$M5764-$N5764)</f>
      </c>
    </row>
    <row r="5765">
      <c r="A5765"/>
      <c r="B5765">
        <v>13</v>
      </c>
      <c r="C5765" s="43">
        <f>INDEX(DarlObj,13)</f>
      </c>
      <c r="D5765">
        <v>2</v>
      </c>
      <c r="E5765" s="51">
        <f>IF(INDEX(DarlBelegt,13)=0,0,EOMONTH(INDEX(DarlAuszahlung,13),1)+1)</f>
      </c>
      <c r="F5765" s="43">
        <f>IF($E5765=0,0,YEAR($E5765))</f>
      </c>
      <c r="G5765" s="43">
        <f>IF(INDEX(DarlBindung,13)="",1,IF($E5765&lt;=INDEX(DarlBindung,13),1,0))</f>
      </c>
      <c r="H5765" s="43">
        <f>IF($G5765=1,INDEX(DarlSollzins,13),INDEX(DarlAnschluss,13))</f>
      </c>
      <c r="I5765" s="43">
        <f>IF(INDEX(DarlBelegt,13)=0,0,IF(INDEX(DarlOhneTilgung,13)=1,IF(INDEX(DarlBindung,13)="",1,$G5765),IF($J5765&gt;0.005,1,0)))</f>
      </c>
      <c r="J5765" s="43">
        <f>IF($I5764=0,0,$R5764)</f>
      </c>
      <c r="K5765" s="43">
        <f>IF($I5765=0,0,IF(INDEX(DarlOhneTilgung,13)=1,0,IF(AND(INDEX(DarlTilgStart,13)&gt;0,$E5765=INDEX(DarlTilgStart,13)),$J5765*($H5765+INDEX(DarlTilgung,13))/100/12,IF(AND($G5765=0,$G5764=1),MAX($K5764,$J5765*($H5765+1)/100/12),$K5764))))</f>
      </c>
      <c r="L5765" s="43">
        <f>IF($I5765=0,0,$J5765*$H5765/100/12)</f>
      </c>
      <c r="M5765" s="43">
        <f>IF($I5765=0,0,IF(OR(INDEX(DarlOhneTilgung,13)=1,AND(INDEX(DarlTilgStart,13)&gt;0,$E5765&lt;INDEX(DarlTilgStart,13))),0,MIN(MAX(0,$K5765-$L5765),$J5765)))</f>
      </c>
      <c r="N5765" s="43">
        <f>IF($I5765=0,0,MIN(SUMIFS(SondBetrag,SondDarl,13,SondDatum,"&gt;="&amp;$E5765,SondDatum,"&lt;="&amp;EOMONTH($E5765,0)),$J5765-$M5765))</f>
      </c>
      <c r="O5765" s="43">
        <f>IF($I5765=0,0,INDEX(DarlErsatzRate,13))</f>
      </c>
      <c r="P5765" s="43">
        <f>IF($I5765=0,0,$Q5764*INDEX(DarlErsatzZins,13))</f>
      </c>
      <c r="Q5765" s="43">
        <f>IF($I5765=0,0,$Q5764+$P5765+$O5765)</f>
      </c>
      <c r="R5765" s="43">
        <f>IF($I5765=0,0,$J5765-$M5765-$N5765)</f>
      </c>
    </row>
    <row r="5766">
      <c r="A5766"/>
      <c r="B5766">
        <v>13</v>
      </c>
      <c r="C5766" s="43">
        <f>INDEX(DarlObj,13)</f>
      </c>
      <c r="D5766">
        <v>3</v>
      </c>
      <c r="E5766" s="51">
        <f>IF(INDEX(DarlBelegt,13)=0,0,EOMONTH(INDEX(DarlAuszahlung,13),2)+1)</f>
      </c>
      <c r="F5766" s="43">
        <f>IF($E5766=0,0,YEAR($E5766))</f>
      </c>
      <c r="G5766" s="43">
        <f>IF(INDEX(DarlBindung,13)="",1,IF($E5766&lt;=INDEX(DarlBindung,13),1,0))</f>
      </c>
      <c r="H5766" s="43">
        <f>IF($G5766=1,INDEX(DarlSollzins,13),INDEX(DarlAnschluss,13))</f>
      </c>
      <c r="I5766" s="43">
        <f>IF(INDEX(DarlBelegt,13)=0,0,IF(INDEX(DarlOhneTilgung,13)=1,IF(INDEX(DarlBindung,13)="",1,$G5766),IF($J5766&gt;0.005,1,0)))</f>
      </c>
      <c r="J5766" s="43">
        <f>IF($I5765=0,0,$R5765)</f>
      </c>
      <c r="K5766" s="43">
        <f>IF($I5766=0,0,IF(INDEX(DarlOhneTilgung,13)=1,0,IF(AND(INDEX(DarlTilgStart,13)&gt;0,$E5766=INDEX(DarlTilgStart,13)),$J5766*($H5766+INDEX(DarlTilgung,13))/100/12,IF(AND($G5766=0,$G5765=1),MAX($K5765,$J5766*($H5766+1)/100/12),$K5765))))</f>
      </c>
      <c r="L5766" s="43">
        <f>IF($I5766=0,0,$J5766*$H5766/100/12)</f>
      </c>
      <c r="M5766" s="43">
        <f>IF($I5766=0,0,IF(OR(INDEX(DarlOhneTilgung,13)=1,AND(INDEX(DarlTilgStart,13)&gt;0,$E5766&lt;INDEX(DarlTilgStart,13))),0,MIN(MAX(0,$K5766-$L5766),$J5766)))</f>
      </c>
      <c r="N5766" s="43">
        <f>IF($I5766=0,0,MIN(SUMIFS(SondBetrag,SondDarl,13,SondDatum,"&gt;="&amp;$E5766,SondDatum,"&lt;="&amp;EOMONTH($E5766,0)),$J5766-$M5766))</f>
      </c>
      <c r="O5766" s="43">
        <f>IF($I5766=0,0,INDEX(DarlErsatzRate,13))</f>
      </c>
      <c r="P5766" s="43">
        <f>IF($I5766=0,0,$Q5765*INDEX(DarlErsatzZins,13))</f>
      </c>
      <c r="Q5766" s="43">
        <f>IF($I5766=0,0,$Q5765+$P5766+$O5766)</f>
      </c>
      <c r="R5766" s="43">
        <f>IF($I5766=0,0,$J5766-$M5766-$N5766)</f>
      </c>
    </row>
    <row r="5767">
      <c r="A5767"/>
      <c r="B5767">
        <v>13</v>
      </c>
      <c r="C5767" s="43">
        <f>INDEX(DarlObj,13)</f>
      </c>
      <c r="D5767">
        <v>4</v>
      </c>
      <c r="E5767" s="51">
        <f>IF(INDEX(DarlBelegt,13)=0,0,EOMONTH(INDEX(DarlAuszahlung,13),3)+1)</f>
      </c>
      <c r="F5767" s="43">
        <f>IF($E5767=0,0,YEAR($E5767))</f>
      </c>
      <c r="G5767" s="43">
        <f>IF(INDEX(DarlBindung,13)="",1,IF($E5767&lt;=INDEX(DarlBindung,13),1,0))</f>
      </c>
      <c r="H5767" s="43">
        <f>IF($G5767=1,INDEX(DarlSollzins,13),INDEX(DarlAnschluss,13))</f>
      </c>
      <c r="I5767" s="43">
        <f>IF(INDEX(DarlBelegt,13)=0,0,IF(INDEX(DarlOhneTilgung,13)=1,IF(INDEX(DarlBindung,13)="",1,$G5767),IF($J5767&gt;0.005,1,0)))</f>
      </c>
      <c r="J5767" s="43">
        <f>IF($I5766=0,0,$R5766)</f>
      </c>
      <c r="K5767" s="43">
        <f>IF($I5767=0,0,IF(INDEX(DarlOhneTilgung,13)=1,0,IF(AND(INDEX(DarlTilgStart,13)&gt;0,$E5767=INDEX(DarlTilgStart,13)),$J5767*($H5767+INDEX(DarlTilgung,13))/100/12,IF(AND($G5767=0,$G5766=1),MAX($K5766,$J5767*($H5767+1)/100/12),$K5766))))</f>
      </c>
      <c r="L5767" s="43">
        <f>IF($I5767=0,0,$J5767*$H5767/100/12)</f>
      </c>
      <c r="M5767" s="43">
        <f>IF($I5767=0,0,IF(OR(INDEX(DarlOhneTilgung,13)=1,AND(INDEX(DarlTilgStart,13)&gt;0,$E5767&lt;INDEX(DarlTilgStart,13))),0,MIN(MAX(0,$K5767-$L5767),$J5767)))</f>
      </c>
      <c r="N5767" s="43">
        <f>IF($I5767=0,0,MIN(SUMIFS(SondBetrag,SondDarl,13,SondDatum,"&gt;="&amp;$E5767,SondDatum,"&lt;="&amp;EOMONTH($E5767,0)),$J5767-$M5767))</f>
      </c>
      <c r="O5767" s="43">
        <f>IF($I5767=0,0,INDEX(DarlErsatzRate,13))</f>
      </c>
      <c r="P5767" s="43">
        <f>IF($I5767=0,0,$Q5766*INDEX(DarlErsatzZins,13))</f>
      </c>
      <c r="Q5767" s="43">
        <f>IF($I5767=0,0,$Q5766+$P5767+$O5767)</f>
      </c>
      <c r="R5767" s="43">
        <f>IF($I5767=0,0,$J5767-$M5767-$N5767)</f>
      </c>
    </row>
    <row r="5768">
      <c r="A5768"/>
      <c r="B5768">
        <v>13</v>
      </c>
      <c r="C5768" s="43">
        <f>INDEX(DarlObj,13)</f>
      </c>
      <c r="D5768">
        <v>5</v>
      </c>
      <c r="E5768" s="51">
        <f>IF(INDEX(DarlBelegt,13)=0,0,EOMONTH(INDEX(DarlAuszahlung,13),4)+1)</f>
      </c>
      <c r="F5768" s="43">
        <f>IF($E5768=0,0,YEAR($E5768))</f>
      </c>
      <c r="G5768" s="43">
        <f>IF(INDEX(DarlBindung,13)="",1,IF($E5768&lt;=INDEX(DarlBindung,13),1,0))</f>
      </c>
      <c r="H5768" s="43">
        <f>IF($G5768=1,INDEX(DarlSollzins,13),INDEX(DarlAnschluss,13))</f>
      </c>
      <c r="I5768" s="43">
        <f>IF(INDEX(DarlBelegt,13)=0,0,IF(INDEX(DarlOhneTilgung,13)=1,IF(INDEX(DarlBindung,13)="",1,$G5768),IF($J5768&gt;0.005,1,0)))</f>
      </c>
      <c r="J5768" s="43">
        <f>IF($I5767=0,0,$R5767)</f>
      </c>
      <c r="K5768" s="43">
        <f>IF($I5768=0,0,IF(INDEX(DarlOhneTilgung,13)=1,0,IF(AND(INDEX(DarlTilgStart,13)&gt;0,$E5768=INDEX(DarlTilgStart,13)),$J5768*($H5768+INDEX(DarlTilgung,13))/100/12,IF(AND($G5768=0,$G5767=1),MAX($K5767,$J5768*($H5768+1)/100/12),$K5767))))</f>
      </c>
      <c r="L5768" s="43">
        <f>IF($I5768=0,0,$J5768*$H5768/100/12)</f>
      </c>
      <c r="M5768" s="43">
        <f>IF($I5768=0,0,IF(OR(INDEX(DarlOhneTilgung,13)=1,AND(INDEX(DarlTilgStart,13)&gt;0,$E5768&lt;INDEX(DarlTilgStart,13))),0,MIN(MAX(0,$K5768-$L5768),$J5768)))</f>
      </c>
      <c r="N5768" s="43">
        <f>IF($I5768=0,0,MIN(SUMIFS(SondBetrag,SondDarl,13,SondDatum,"&gt;="&amp;$E5768,SondDatum,"&lt;="&amp;EOMONTH($E5768,0)),$J5768-$M5768))</f>
      </c>
      <c r="O5768" s="43">
        <f>IF($I5768=0,0,INDEX(DarlErsatzRate,13))</f>
      </c>
      <c r="P5768" s="43">
        <f>IF($I5768=0,0,$Q5767*INDEX(DarlErsatzZins,13))</f>
      </c>
      <c r="Q5768" s="43">
        <f>IF($I5768=0,0,$Q5767+$P5768+$O5768)</f>
      </c>
      <c r="R5768" s="43">
        <f>IF($I5768=0,0,$J5768-$M5768-$N5768)</f>
      </c>
    </row>
    <row r="5769">
      <c r="A5769"/>
      <c r="B5769">
        <v>13</v>
      </c>
      <c r="C5769" s="43">
        <f>INDEX(DarlObj,13)</f>
      </c>
      <c r="D5769">
        <v>6</v>
      </c>
      <c r="E5769" s="51">
        <f>IF(INDEX(DarlBelegt,13)=0,0,EOMONTH(INDEX(DarlAuszahlung,13),5)+1)</f>
      </c>
      <c r="F5769" s="43">
        <f>IF($E5769=0,0,YEAR($E5769))</f>
      </c>
      <c r="G5769" s="43">
        <f>IF(INDEX(DarlBindung,13)="",1,IF($E5769&lt;=INDEX(DarlBindung,13),1,0))</f>
      </c>
      <c r="H5769" s="43">
        <f>IF($G5769=1,INDEX(DarlSollzins,13),INDEX(DarlAnschluss,13))</f>
      </c>
      <c r="I5769" s="43">
        <f>IF(INDEX(DarlBelegt,13)=0,0,IF(INDEX(DarlOhneTilgung,13)=1,IF(INDEX(DarlBindung,13)="",1,$G5769),IF($J5769&gt;0.005,1,0)))</f>
      </c>
      <c r="J5769" s="43">
        <f>IF($I5768=0,0,$R5768)</f>
      </c>
      <c r="K5769" s="43">
        <f>IF($I5769=0,0,IF(INDEX(DarlOhneTilgung,13)=1,0,IF(AND(INDEX(DarlTilgStart,13)&gt;0,$E5769=INDEX(DarlTilgStart,13)),$J5769*($H5769+INDEX(DarlTilgung,13))/100/12,IF(AND($G5769=0,$G5768=1),MAX($K5768,$J5769*($H5769+1)/100/12),$K5768))))</f>
      </c>
      <c r="L5769" s="43">
        <f>IF($I5769=0,0,$J5769*$H5769/100/12)</f>
      </c>
      <c r="M5769" s="43">
        <f>IF($I5769=0,0,IF(OR(INDEX(DarlOhneTilgung,13)=1,AND(INDEX(DarlTilgStart,13)&gt;0,$E5769&lt;INDEX(DarlTilgStart,13))),0,MIN(MAX(0,$K5769-$L5769),$J5769)))</f>
      </c>
      <c r="N5769" s="43">
        <f>IF($I5769=0,0,MIN(SUMIFS(SondBetrag,SondDarl,13,SondDatum,"&gt;="&amp;$E5769,SondDatum,"&lt;="&amp;EOMONTH($E5769,0)),$J5769-$M5769))</f>
      </c>
      <c r="O5769" s="43">
        <f>IF($I5769=0,0,INDEX(DarlErsatzRate,13))</f>
      </c>
      <c r="P5769" s="43">
        <f>IF($I5769=0,0,$Q5768*INDEX(DarlErsatzZins,13))</f>
      </c>
      <c r="Q5769" s="43">
        <f>IF($I5769=0,0,$Q5768+$P5769+$O5769)</f>
      </c>
      <c r="R5769" s="43">
        <f>IF($I5769=0,0,$J5769-$M5769-$N5769)</f>
      </c>
    </row>
    <row r="5770">
      <c r="A5770"/>
      <c r="B5770">
        <v>13</v>
      </c>
      <c r="C5770" s="43">
        <f>INDEX(DarlObj,13)</f>
      </c>
      <c r="D5770">
        <v>7</v>
      </c>
      <c r="E5770" s="51">
        <f>IF(INDEX(DarlBelegt,13)=0,0,EOMONTH(INDEX(DarlAuszahlung,13),6)+1)</f>
      </c>
      <c r="F5770" s="43">
        <f>IF($E5770=0,0,YEAR($E5770))</f>
      </c>
      <c r="G5770" s="43">
        <f>IF(INDEX(DarlBindung,13)="",1,IF($E5770&lt;=INDEX(DarlBindung,13),1,0))</f>
      </c>
      <c r="H5770" s="43">
        <f>IF($G5770=1,INDEX(DarlSollzins,13),INDEX(DarlAnschluss,13))</f>
      </c>
      <c r="I5770" s="43">
        <f>IF(INDEX(DarlBelegt,13)=0,0,IF(INDEX(DarlOhneTilgung,13)=1,IF(INDEX(DarlBindung,13)="",1,$G5770),IF($J5770&gt;0.005,1,0)))</f>
      </c>
      <c r="J5770" s="43">
        <f>IF($I5769=0,0,$R5769)</f>
      </c>
      <c r="K5770" s="43">
        <f>IF($I5770=0,0,IF(INDEX(DarlOhneTilgung,13)=1,0,IF(AND(INDEX(DarlTilgStart,13)&gt;0,$E5770=INDEX(DarlTilgStart,13)),$J5770*($H5770+INDEX(DarlTilgung,13))/100/12,IF(AND($G5770=0,$G5769=1),MAX($K5769,$J5770*($H5770+1)/100/12),$K5769))))</f>
      </c>
      <c r="L5770" s="43">
        <f>IF($I5770=0,0,$J5770*$H5770/100/12)</f>
      </c>
      <c r="M5770" s="43">
        <f>IF($I5770=0,0,IF(OR(INDEX(DarlOhneTilgung,13)=1,AND(INDEX(DarlTilgStart,13)&gt;0,$E5770&lt;INDEX(DarlTilgStart,13))),0,MIN(MAX(0,$K5770-$L5770),$J5770)))</f>
      </c>
      <c r="N5770" s="43">
        <f>IF($I5770=0,0,MIN(SUMIFS(SondBetrag,SondDarl,13,SondDatum,"&gt;="&amp;$E5770,SondDatum,"&lt;="&amp;EOMONTH($E5770,0)),$J5770-$M5770))</f>
      </c>
      <c r="O5770" s="43">
        <f>IF($I5770=0,0,INDEX(DarlErsatzRate,13))</f>
      </c>
      <c r="P5770" s="43">
        <f>IF($I5770=0,0,$Q5769*INDEX(DarlErsatzZins,13))</f>
      </c>
      <c r="Q5770" s="43">
        <f>IF($I5770=0,0,$Q5769+$P5770+$O5770)</f>
      </c>
      <c r="R5770" s="43">
        <f>IF($I5770=0,0,$J5770-$M5770-$N5770)</f>
      </c>
    </row>
    <row r="5771">
      <c r="A5771"/>
      <c r="B5771">
        <v>13</v>
      </c>
      <c r="C5771" s="43">
        <f>INDEX(DarlObj,13)</f>
      </c>
      <c r="D5771">
        <v>8</v>
      </c>
      <c r="E5771" s="51">
        <f>IF(INDEX(DarlBelegt,13)=0,0,EOMONTH(INDEX(DarlAuszahlung,13),7)+1)</f>
      </c>
      <c r="F5771" s="43">
        <f>IF($E5771=0,0,YEAR($E5771))</f>
      </c>
      <c r="G5771" s="43">
        <f>IF(INDEX(DarlBindung,13)="",1,IF($E5771&lt;=INDEX(DarlBindung,13),1,0))</f>
      </c>
      <c r="H5771" s="43">
        <f>IF($G5771=1,INDEX(DarlSollzins,13),INDEX(DarlAnschluss,13))</f>
      </c>
      <c r="I5771" s="43">
        <f>IF(INDEX(DarlBelegt,13)=0,0,IF(INDEX(DarlOhneTilgung,13)=1,IF(INDEX(DarlBindung,13)="",1,$G5771),IF($J5771&gt;0.005,1,0)))</f>
      </c>
      <c r="J5771" s="43">
        <f>IF($I5770=0,0,$R5770)</f>
      </c>
      <c r="K5771" s="43">
        <f>IF($I5771=0,0,IF(INDEX(DarlOhneTilgung,13)=1,0,IF(AND(INDEX(DarlTilgStart,13)&gt;0,$E5771=INDEX(DarlTilgStart,13)),$J5771*($H5771+INDEX(DarlTilgung,13))/100/12,IF(AND($G5771=0,$G5770=1),MAX($K5770,$J5771*($H5771+1)/100/12),$K5770))))</f>
      </c>
      <c r="L5771" s="43">
        <f>IF($I5771=0,0,$J5771*$H5771/100/12)</f>
      </c>
      <c r="M5771" s="43">
        <f>IF($I5771=0,0,IF(OR(INDEX(DarlOhneTilgung,13)=1,AND(INDEX(DarlTilgStart,13)&gt;0,$E5771&lt;INDEX(DarlTilgStart,13))),0,MIN(MAX(0,$K5771-$L5771),$J5771)))</f>
      </c>
      <c r="N5771" s="43">
        <f>IF($I5771=0,0,MIN(SUMIFS(SondBetrag,SondDarl,13,SondDatum,"&gt;="&amp;$E5771,SondDatum,"&lt;="&amp;EOMONTH($E5771,0)),$J5771-$M5771))</f>
      </c>
      <c r="O5771" s="43">
        <f>IF($I5771=0,0,INDEX(DarlErsatzRate,13))</f>
      </c>
      <c r="P5771" s="43">
        <f>IF($I5771=0,0,$Q5770*INDEX(DarlErsatzZins,13))</f>
      </c>
      <c r="Q5771" s="43">
        <f>IF($I5771=0,0,$Q5770+$P5771+$O5771)</f>
      </c>
      <c r="R5771" s="43">
        <f>IF($I5771=0,0,$J5771-$M5771-$N5771)</f>
      </c>
    </row>
    <row r="5772">
      <c r="A5772"/>
      <c r="B5772">
        <v>13</v>
      </c>
      <c r="C5772" s="43">
        <f>INDEX(DarlObj,13)</f>
      </c>
      <c r="D5772">
        <v>9</v>
      </c>
      <c r="E5772" s="51">
        <f>IF(INDEX(DarlBelegt,13)=0,0,EOMONTH(INDEX(DarlAuszahlung,13),8)+1)</f>
      </c>
      <c r="F5772" s="43">
        <f>IF($E5772=0,0,YEAR($E5772))</f>
      </c>
      <c r="G5772" s="43">
        <f>IF(INDEX(DarlBindung,13)="",1,IF($E5772&lt;=INDEX(DarlBindung,13),1,0))</f>
      </c>
      <c r="H5772" s="43">
        <f>IF($G5772=1,INDEX(DarlSollzins,13),INDEX(DarlAnschluss,13))</f>
      </c>
      <c r="I5772" s="43">
        <f>IF(INDEX(DarlBelegt,13)=0,0,IF(INDEX(DarlOhneTilgung,13)=1,IF(INDEX(DarlBindung,13)="",1,$G5772),IF($J5772&gt;0.005,1,0)))</f>
      </c>
      <c r="J5772" s="43">
        <f>IF($I5771=0,0,$R5771)</f>
      </c>
      <c r="K5772" s="43">
        <f>IF($I5772=0,0,IF(INDEX(DarlOhneTilgung,13)=1,0,IF(AND(INDEX(DarlTilgStart,13)&gt;0,$E5772=INDEX(DarlTilgStart,13)),$J5772*($H5772+INDEX(DarlTilgung,13))/100/12,IF(AND($G5772=0,$G5771=1),MAX($K5771,$J5772*($H5772+1)/100/12),$K5771))))</f>
      </c>
      <c r="L5772" s="43">
        <f>IF($I5772=0,0,$J5772*$H5772/100/12)</f>
      </c>
      <c r="M5772" s="43">
        <f>IF($I5772=0,0,IF(OR(INDEX(DarlOhneTilgung,13)=1,AND(INDEX(DarlTilgStart,13)&gt;0,$E5772&lt;INDEX(DarlTilgStart,13))),0,MIN(MAX(0,$K5772-$L5772),$J5772)))</f>
      </c>
      <c r="N5772" s="43">
        <f>IF($I5772=0,0,MIN(SUMIFS(SondBetrag,SondDarl,13,SondDatum,"&gt;="&amp;$E5772,SondDatum,"&lt;="&amp;EOMONTH($E5772,0)),$J5772-$M5772))</f>
      </c>
      <c r="O5772" s="43">
        <f>IF($I5772=0,0,INDEX(DarlErsatzRate,13))</f>
      </c>
      <c r="P5772" s="43">
        <f>IF($I5772=0,0,$Q5771*INDEX(DarlErsatzZins,13))</f>
      </c>
      <c r="Q5772" s="43">
        <f>IF($I5772=0,0,$Q5771+$P5772+$O5772)</f>
      </c>
      <c r="R5772" s="43">
        <f>IF($I5772=0,0,$J5772-$M5772-$N5772)</f>
      </c>
    </row>
    <row r="5773">
      <c r="A5773"/>
      <c r="B5773">
        <v>13</v>
      </c>
      <c r="C5773" s="43">
        <f>INDEX(DarlObj,13)</f>
      </c>
      <c r="D5773">
        <v>10</v>
      </c>
      <c r="E5773" s="51">
        <f>IF(INDEX(DarlBelegt,13)=0,0,EOMONTH(INDEX(DarlAuszahlung,13),9)+1)</f>
      </c>
      <c r="F5773" s="43">
        <f>IF($E5773=0,0,YEAR($E5773))</f>
      </c>
      <c r="G5773" s="43">
        <f>IF(INDEX(DarlBindung,13)="",1,IF($E5773&lt;=INDEX(DarlBindung,13),1,0))</f>
      </c>
      <c r="H5773" s="43">
        <f>IF($G5773=1,INDEX(DarlSollzins,13),INDEX(DarlAnschluss,13))</f>
      </c>
      <c r="I5773" s="43">
        <f>IF(INDEX(DarlBelegt,13)=0,0,IF(INDEX(DarlOhneTilgung,13)=1,IF(INDEX(DarlBindung,13)="",1,$G5773),IF($J5773&gt;0.005,1,0)))</f>
      </c>
      <c r="J5773" s="43">
        <f>IF($I5772=0,0,$R5772)</f>
      </c>
      <c r="K5773" s="43">
        <f>IF($I5773=0,0,IF(INDEX(DarlOhneTilgung,13)=1,0,IF(AND(INDEX(DarlTilgStart,13)&gt;0,$E5773=INDEX(DarlTilgStart,13)),$J5773*($H5773+INDEX(DarlTilgung,13))/100/12,IF(AND($G5773=0,$G5772=1),MAX($K5772,$J5773*($H5773+1)/100/12),$K5772))))</f>
      </c>
      <c r="L5773" s="43">
        <f>IF($I5773=0,0,$J5773*$H5773/100/12)</f>
      </c>
      <c r="M5773" s="43">
        <f>IF($I5773=0,0,IF(OR(INDEX(DarlOhneTilgung,13)=1,AND(INDEX(DarlTilgStart,13)&gt;0,$E5773&lt;INDEX(DarlTilgStart,13))),0,MIN(MAX(0,$K5773-$L5773),$J5773)))</f>
      </c>
      <c r="N5773" s="43">
        <f>IF($I5773=0,0,MIN(SUMIFS(SondBetrag,SondDarl,13,SondDatum,"&gt;="&amp;$E5773,SondDatum,"&lt;="&amp;EOMONTH($E5773,0)),$J5773-$M5773))</f>
      </c>
      <c r="O5773" s="43">
        <f>IF($I5773=0,0,INDEX(DarlErsatzRate,13))</f>
      </c>
      <c r="P5773" s="43">
        <f>IF($I5773=0,0,$Q5772*INDEX(DarlErsatzZins,13))</f>
      </c>
      <c r="Q5773" s="43">
        <f>IF($I5773=0,0,$Q5772+$P5773+$O5773)</f>
      </c>
      <c r="R5773" s="43">
        <f>IF($I5773=0,0,$J5773-$M5773-$N5773)</f>
      </c>
    </row>
    <row r="5774">
      <c r="A5774"/>
      <c r="B5774">
        <v>13</v>
      </c>
      <c r="C5774" s="43">
        <f>INDEX(DarlObj,13)</f>
      </c>
      <c r="D5774">
        <v>11</v>
      </c>
      <c r="E5774" s="51">
        <f>IF(INDEX(DarlBelegt,13)=0,0,EOMONTH(INDEX(DarlAuszahlung,13),10)+1)</f>
      </c>
      <c r="F5774" s="43">
        <f>IF($E5774=0,0,YEAR($E5774))</f>
      </c>
      <c r="G5774" s="43">
        <f>IF(INDEX(DarlBindung,13)="",1,IF($E5774&lt;=INDEX(DarlBindung,13),1,0))</f>
      </c>
      <c r="H5774" s="43">
        <f>IF($G5774=1,INDEX(DarlSollzins,13),INDEX(DarlAnschluss,13))</f>
      </c>
      <c r="I5774" s="43">
        <f>IF(INDEX(DarlBelegt,13)=0,0,IF(INDEX(DarlOhneTilgung,13)=1,IF(INDEX(DarlBindung,13)="",1,$G5774),IF($J5774&gt;0.005,1,0)))</f>
      </c>
      <c r="J5774" s="43">
        <f>IF($I5773=0,0,$R5773)</f>
      </c>
      <c r="K5774" s="43">
        <f>IF($I5774=0,0,IF(INDEX(DarlOhneTilgung,13)=1,0,IF(AND(INDEX(DarlTilgStart,13)&gt;0,$E5774=INDEX(DarlTilgStart,13)),$J5774*($H5774+INDEX(DarlTilgung,13))/100/12,IF(AND($G5774=0,$G5773=1),MAX($K5773,$J5774*($H5774+1)/100/12),$K5773))))</f>
      </c>
      <c r="L5774" s="43">
        <f>IF($I5774=0,0,$J5774*$H5774/100/12)</f>
      </c>
      <c r="M5774" s="43">
        <f>IF($I5774=0,0,IF(OR(INDEX(DarlOhneTilgung,13)=1,AND(INDEX(DarlTilgStart,13)&gt;0,$E5774&lt;INDEX(DarlTilgStart,13))),0,MIN(MAX(0,$K5774-$L5774),$J5774)))</f>
      </c>
      <c r="N5774" s="43">
        <f>IF($I5774=0,0,MIN(SUMIFS(SondBetrag,SondDarl,13,SondDatum,"&gt;="&amp;$E5774,SondDatum,"&lt;="&amp;EOMONTH($E5774,0)),$J5774-$M5774))</f>
      </c>
      <c r="O5774" s="43">
        <f>IF($I5774=0,0,INDEX(DarlErsatzRate,13))</f>
      </c>
      <c r="P5774" s="43">
        <f>IF($I5774=0,0,$Q5773*INDEX(DarlErsatzZins,13))</f>
      </c>
      <c r="Q5774" s="43">
        <f>IF($I5774=0,0,$Q5773+$P5774+$O5774)</f>
      </c>
      <c r="R5774" s="43">
        <f>IF($I5774=0,0,$J5774-$M5774-$N5774)</f>
      </c>
    </row>
    <row r="5775">
      <c r="A5775"/>
      <c r="B5775">
        <v>13</v>
      </c>
      <c r="C5775" s="43">
        <f>INDEX(DarlObj,13)</f>
      </c>
      <c r="D5775">
        <v>12</v>
      </c>
      <c r="E5775" s="51">
        <f>IF(INDEX(DarlBelegt,13)=0,0,EOMONTH(INDEX(DarlAuszahlung,13),11)+1)</f>
      </c>
      <c r="F5775" s="43">
        <f>IF($E5775=0,0,YEAR($E5775))</f>
      </c>
      <c r="G5775" s="43">
        <f>IF(INDEX(DarlBindung,13)="",1,IF($E5775&lt;=INDEX(DarlBindung,13),1,0))</f>
      </c>
      <c r="H5775" s="43">
        <f>IF($G5775=1,INDEX(DarlSollzins,13),INDEX(DarlAnschluss,13))</f>
      </c>
      <c r="I5775" s="43">
        <f>IF(INDEX(DarlBelegt,13)=0,0,IF(INDEX(DarlOhneTilgung,13)=1,IF(INDEX(DarlBindung,13)="",1,$G5775),IF($J5775&gt;0.005,1,0)))</f>
      </c>
      <c r="J5775" s="43">
        <f>IF($I5774=0,0,$R5774)</f>
      </c>
      <c r="K5775" s="43">
        <f>IF($I5775=0,0,IF(INDEX(DarlOhneTilgung,13)=1,0,IF(AND(INDEX(DarlTilgStart,13)&gt;0,$E5775=INDEX(DarlTilgStart,13)),$J5775*($H5775+INDEX(DarlTilgung,13))/100/12,IF(AND($G5775=0,$G5774=1),MAX($K5774,$J5775*($H5775+1)/100/12),$K5774))))</f>
      </c>
      <c r="L5775" s="43">
        <f>IF($I5775=0,0,$J5775*$H5775/100/12)</f>
      </c>
      <c r="M5775" s="43">
        <f>IF($I5775=0,0,IF(OR(INDEX(DarlOhneTilgung,13)=1,AND(INDEX(DarlTilgStart,13)&gt;0,$E5775&lt;INDEX(DarlTilgStart,13))),0,MIN(MAX(0,$K5775-$L5775),$J5775)))</f>
      </c>
      <c r="N5775" s="43">
        <f>IF($I5775=0,0,MIN(SUMIFS(SondBetrag,SondDarl,13,SondDatum,"&gt;="&amp;$E5775,SondDatum,"&lt;="&amp;EOMONTH($E5775,0)),$J5775-$M5775))</f>
      </c>
      <c r="O5775" s="43">
        <f>IF($I5775=0,0,INDEX(DarlErsatzRate,13))</f>
      </c>
      <c r="P5775" s="43">
        <f>IF($I5775=0,0,$Q5774*INDEX(DarlErsatzZins,13))</f>
      </c>
      <c r="Q5775" s="43">
        <f>IF($I5775=0,0,$Q5774+$P5775+$O5775)</f>
      </c>
      <c r="R5775" s="43">
        <f>IF($I5775=0,0,$J5775-$M5775-$N5775)</f>
      </c>
    </row>
    <row r="5776">
      <c r="A5776"/>
      <c r="B5776">
        <v>13</v>
      </c>
      <c r="C5776" s="43">
        <f>INDEX(DarlObj,13)</f>
      </c>
      <c r="D5776">
        <v>13</v>
      </c>
      <c r="E5776" s="51">
        <f>IF(INDEX(DarlBelegt,13)=0,0,EOMONTH(INDEX(DarlAuszahlung,13),12)+1)</f>
      </c>
      <c r="F5776" s="43">
        <f>IF($E5776=0,0,YEAR($E5776))</f>
      </c>
      <c r="G5776" s="43">
        <f>IF(INDEX(DarlBindung,13)="",1,IF($E5776&lt;=INDEX(DarlBindung,13),1,0))</f>
      </c>
      <c r="H5776" s="43">
        <f>IF($G5776=1,INDEX(DarlSollzins,13),INDEX(DarlAnschluss,13))</f>
      </c>
      <c r="I5776" s="43">
        <f>IF(INDEX(DarlBelegt,13)=0,0,IF(INDEX(DarlOhneTilgung,13)=1,IF(INDEX(DarlBindung,13)="",1,$G5776),IF($J5776&gt;0.005,1,0)))</f>
      </c>
      <c r="J5776" s="43">
        <f>IF($I5775=0,0,$R5775)</f>
      </c>
      <c r="K5776" s="43">
        <f>IF($I5776=0,0,IF(INDEX(DarlOhneTilgung,13)=1,0,IF(AND(INDEX(DarlTilgStart,13)&gt;0,$E5776=INDEX(DarlTilgStart,13)),$J5776*($H5776+INDEX(DarlTilgung,13))/100/12,IF(AND($G5776=0,$G5775=1),MAX($K5775,$J5776*($H5776+1)/100/12),$K5775))))</f>
      </c>
      <c r="L5776" s="43">
        <f>IF($I5776=0,0,$J5776*$H5776/100/12)</f>
      </c>
      <c r="M5776" s="43">
        <f>IF($I5776=0,0,IF(OR(INDEX(DarlOhneTilgung,13)=1,AND(INDEX(DarlTilgStart,13)&gt;0,$E5776&lt;INDEX(DarlTilgStart,13))),0,MIN(MAX(0,$K5776-$L5776),$J5776)))</f>
      </c>
      <c r="N5776" s="43">
        <f>IF($I5776=0,0,MIN(SUMIFS(SondBetrag,SondDarl,13,SondDatum,"&gt;="&amp;$E5776,SondDatum,"&lt;="&amp;EOMONTH($E5776,0)),$J5776-$M5776))</f>
      </c>
      <c r="O5776" s="43">
        <f>IF($I5776=0,0,INDEX(DarlErsatzRate,13))</f>
      </c>
      <c r="P5776" s="43">
        <f>IF($I5776=0,0,$Q5775*INDEX(DarlErsatzZins,13))</f>
      </c>
      <c r="Q5776" s="43">
        <f>IF($I5776=0,0,$Q5775+$P5776+$O5776)</f>
      </c>
      <c r="R5776" s="43">
        <f>IF($I5776=0,0,$J5776-$M5776-$N5776)</f>
      </c>
    </row>
    <row r="5777">
      <c r="A5777"/>
      <c r="B5777">
        <v>13</v>
      </c>
      <c r="C5777" s="43">
        <f>INDEX(DarlObj,13)</f>
      </c>
      <c r="D5777">
        <v>14</v>
      </c>
      <c r="E5777" s="51">
        <f>IF(INDEX(DarlBelegt,13)=0,0,EOMONTH(INDEX(DarlAuszahlung,13),13)+1)</f>
      </c>
      <c r="F5777" s="43">
        <f>IF($E5777=0,0,YEAR($E5777))</f>
      </c>
      <c r="G5777" s="43">
        <f>IF(INDEX(DarlBindung,13)="",1,IF($E5777&lt;=INDEX(DarlBindung,13),1,0))</f>
      </c>
      <c r="H5777" s="43">
        <f>IF($G5777=1,INDEX(DarlSollzins,13),INDEX(DarlAnschluss,13))</f>
      </c>
      <c r="I5777" s="43">
        <f>IF(INDEX(DarlBelegt,13)=0,0,IF(INDEX(DarlOhneTilgung,13)=1,IF(INDEX(DarlBindung,13)="",1,$G5777),IF($J5777&gt;0.005,1,0)))</f>
      </c>
      <c r="J5777" s="43">
        <f>IF($I5776=0,0,$R5776)</f>
      </c>
      <c r="K5777" s="43">
        <f>IF($I5777=0,0,IF(INDEX(DarlOhneTilgung,13)=1,0,IF(AND(INDEX(DarlTilgStart,13)&gt;0,$E5777=INDEX(DarlTilgStart,13)),$J5777*($H5777+INDEX(DarlTilgung,13))/100/12,IF(AND($G5777=0,$G5776=1),MAX($K5776,$J5777*($H5777+1)/100/12),$K5776))))</f>
      </c>
      <c r="L5777" s="43">
        <f>IF($I5777=0,0,$J5777*$H5777/100/12)</f>
      </c>
      <c r="M5777" s="43">
        <f>IF($I5777=0,0,IF(OR(INDEX(DarlOhneTilgung,13)=1,AND(INDEX(DarlTilgStart,13)&gt;0,$E5777&lt;INDEX(DarlTilgStart,13))),0,MIN(MAX(0,$K5777-$L5777),$J5777)))</f>
      </c>
      <c r="N5777" s="43">
        <f>IF($I5777=0,0,MIN(SUMIFS(SondBetrag,SondDarl,13,SondDatum,"&gt;="&amp;$E5777,SondDatum,"&lt;="&amp;EOMONTH($E5777,0)),$J5777-$M5777))</f>
      </c>
      <c r="O5777" s="43">
        <f>IF($I5777=0,0,INDEX(DarlErsatzRate,13))</f>
      </c>
      <c r="P5777" s="43">
        <f>IF($I5777=0,0,$Q5776*INDEX(DarlErsatzZins,13))</f>
      </c>
      <c r="Q5777" s="43">
        <f>IF($I5777=0,0,$Q5776+$P5777+$O5777)</f>
      </c>
      <c r="R5777" s="43">
        <f>IF($I5777=0,0,$J5777-$M5777-$N5777)</f>
      </c>
    </row>
    <row r="5778">
      <c r="A5778"/>
      <c r="B5778">
        <v>13</v>
      </c>
      <c r="C5778" s="43">
        <f>INDEX(DarlObj,13)</f>
      </c>
      <c r="D5778">
        <v>15</v>
      </c>
      <c r="E5778" s="51">
        <f>IF(INDEX(DarlBelegt,13)=0,0,EOMONTH(INDEX(DarlAuszahlung,13),14)+1)</f>
      </c>
      <c r="F5778" s="43">
        <f>IF($E5778=0,0,YEAR($E5778))</f>
      </c>
      <c r="G5778" s="43">
        <f>IF(INDEX(DarlBindung,13)="",1,IF($E5778&lt;=INDEX(DarlBindung,13),1,0))</f>
      </c>
      <c r="H5778" s="43">
        <f>IF($G5778=1,INDEX(DarlSollzins,13),INDEX(DarlAnschluss,13))</f>
      </c>
      <c r="I5778" s="43">
        <f>IF(INDEX(DarlBelegt,13)=0,0,IF(INDEX(DarlOhneTilgung,13)=1,IF(INDEX(DarlBindung,13)="",1,$G5778),IF($J5778&gt;0.005,1,0)))</f>
      </c>
      <c r="J5778" s="43">
        <f>IF($I5777=0,0,$R5777)</f>
      </c>
      <c r="K5778" s="43">
        <f>IF($I5778=0,0,IF(INDEX(DarlOhneTilgung,13)=1,0,IF(AND(INDEX(DarlTilgStart,13)&gt;0,$E5778=INDEX(DarlTilgStart,13)),$J5778*($H5778+INDEX(DarlTilgung,13))/100/12,IF(AND($G5778=0,$G5777=1),MAX($K5777,$J5778*($H5778+1)/100/12),$K5777))))</f>
      </c>
      <c r="L5778" s="43">
        <f>IF($I5778=0,0,$J5778*$H5778/100/12)</f>
      </c>
      <c r="M5778" s="43">
        <f>IF($I5778=0,0,IF(OR(INDEX(DarlOhneTilgung,13)=1,AND(INDEX(DarlTilgStart,13)&gt;0,$E5778&lt;INDEX(DarlTilgStart,13))),0,MIN(MAX(0,$K5778-$L5778),$J5778)))</f>
      </c>
      <c r="N5778" s="43">
        <f>IF($I5778=0,0,MIN(SUMIFS(SondBetrag,SondDarl,13,SondDatum,"&gt;="&amp;$E5778,SondDatum,"&lt;="&amp;EOMONTH($E5778,0)),$J5778-$M5778))</f>
      </c>
      <c r="O5778" s="43">
        <f>IF($I5778=0,0,INDEX(DarlErsatzRate,13))</f>
      </c>
      <c r="P5778" s="43">
        <f>IF($I5778=0,0,$Q5777*INDEX(DarlErsatzZins,13))</f>
      </c>
      <c r="Q5778" s="43">
        <f>IF($I5778=0,0,$Q5777+$P5778+$O5778)</f>
      </c>
      <c r="R5778" s="43">
        <f>IF($I5778=0,0,$J5778-$M5778-$N5778)</f>
      </c>
    </row>
    <row r="5779">
      <c r="A5779"/>
      <c r="B5779">
        <v>13</v>
      </c>
      <c r="C5779" s="43">
        <f>INDEX(DarlObj,13)</f>
      </c>
      <c r="D5779">
        <v>16</v>
      </c>
      <c r="E5779" s="51">
        <f>IF(INDEX(DarlBelegt,13)=0,0,EOMONTH(INDEX(DarlAuszahlung,13),15)+1)</f>
      </c>
      <c r="F5779" s="43">
        <f>IF($E5779=0,0,YEAR($E5779))</f>
      </c>
      <c r="G5779" s="43">
        <f>IF(INDEX(DarlBindung,13)="",1,IF($E5779&lt;=INDEX(DarlBindung,13),1,0))</f>
      </c>
      <c r="H5779" s="43">
        <f>IF($G5779=1,INDEX(DarlSollzins,13),INDEX(DarlAnschluss,13))</f>
      </c>
      <c r="I5779" s="43">
        <f>IF(INDEX(DarlBelegt,13)=0,0,IF(INDEX(DarlOhneTilgung,13)=1,IF(INDEX(DarlBindung,13)="",1,$G5779),IF($J5779&gt;0.005,1,0)))</f>
      </c>
      <c r="J5779" s="43">
        <f>IF($I5778=0,0,$R5778)</f>
      </c>
      <c r="K5779" s="43">
        <f>IF($I5779=0,0,IF(INDEX(DarlOhneTilgung,13)=1,0,IF(AND(INDEX(DarlTilgStart,13)&gt;0,$E5779=INDEX(DarlTilgStart,13)),$J5779*($H5779+INDEX(DarlTilgung,13))/100/12,IF(AND($G5779=0,$G5778=1),MAX($K5778,$J5779*($H5779+1)/100/12),$K5778))))</f>
      </c>
      <c r="L5779" s="43">
        <f>IF($I5779=0,0,$J5779*$H5779/100/12)</f>
      </c>
      <c r="M5779" s="43">
        <f>IF($I5779=0,0,IF(OR(INDEX(DarlOhneTilgung,13)=1,AND(INDEX(DarlTilgStart,13)&gt;0,$E5779&lt;INDEX(DarlTilgStart,13))),0,MIN(MAX(0,$K5779-$L5779),$J5779)))</f>
      </c>
      <c r="N5779" s="43">
        <f>IF($I5779=0,0,MIN(SUMIFS(SondBetrag,SondDarl,13,SondDatum,"&gt;="&amp;$E5779,SondDatum,"&lt;="&amp;EOMONTH($E5779,0)),$J5779-$M5779))</f>
      </c>
      <c r="O5779" s="43">
        <f>IF($I5779=0,0,INDEX(DarlErsatzRate,13))</f>
      </c>
      <c r="P5779" s="43">
        <f>IF($I5779=0,0,$Q5778*INDEX(DarlErsatzZins,13))</f>
      </c>
      <c r="Q5779" s="43">
        <f>IF($I5779=0,0,$Q5778+$P5779+$O5779)</f>
      </c>
      <c r="R5779" s="43">
        <f>IF($I5779=0,0,$J5779-$M5779-$N5779)</f>
      </c>
    </row>
    <row r="5780">
      <c r="A5780"/>
      <c r="B5780">
        <v>13</v>
      </c>
      <c r="C5780" s="43">
        <f>INDEX(DarlObj,13)</f>
      </c>
      <c r="D5780">
        <v>17</v>
      </c>
      <c r="E5780" s="51">
        <f>IF(INDEX(DarlBelegt,13)=0,0,EOMONTH(INDEX(DarlAuszahlung,13),16)+1)</f>
      </c>
      <c r="F5780" s="43">
        <f>IF($E5780=0,0,YEAR($E5780))</f>
      </c>
      <c r="G5780" s="43">
        <f>IF(INDEX(DarlBindung,13)="",1,IF($E5780&lt;=INDEX(DarlBindung,13),1,0))</f>
      </c>
      <c r="H5780" s="43">
        <f>IF($G5780=1,INDEX(DarlSollzins,13),INDEX(DarlAnschluss,13))</f>
      </c>
      <c r="I5780" s="43">
        <f>IF(INDEX(DarlBelegt,13)=0,0,IF(INDEX(DarlOhneTilgung,13)=1,IF(INDEX(DarlBindung,13)="",1,$G5780),IF($J5780&gt;0.005,1,0)))</f>
      </c>
      <c r="J5780" s="43">
        <f>IF($I5779=0,0,$R5779)</f>
      </c>
      <c r="K5780" s="43">
        <f>IF($I5780=0,0,IF(INDEX(DarlOhneTilgung,13)=1,0,IF(AND(INDEX(DarlTilgStart,13)&gt;0,$E5780=INDEX(DarlTilgStart,13)),$J5780*($H5780+INDEX(DarlTilgung,13))/100/12,IF(AND($G5780=0,$G5779=1),MAX($K5779,$J5780*($H5780+1)/100/12),$K5779))))</f>
      </c>
      <c r="L5780" s="43">
        <f>IF($I5780=0,0,$J5780*$H5780/100/12)</f>
      </c>
      <c r="M5780" s="43">
        <f>IF($I5780=0,0,IF(OR(INDEX(DarlOhneTilgung,13)=1,AND(INDEX(DarlTilgStart,13)&gt;0,$E5780&lt;INDEX(DarlTilgStart,13))),0,MIN(MAX(0,$K5780-$L5780),$J5780)))</f>
      </c>
      <c r="N5780" s="43">
        <f>IF($I5780=0,0,MIN(SUMIFS(SondBetrag,SondDarl,13,SondDatum,"&gt;="&amp;$E5780,SondDatum,"&lt;="&amp;EOMONTH($E5780,0)),$J5780-$M5780))</f>
      </c>
      <c r="O5780" s="43">
        <f>IF($I5780=0,0,INDEX(DarlErsatzRate,13))</f>
      </c>
      <c r="P5780" s="43">
        <f>IF($I5780=0,0,$Q5779*INDEX(DarlErsatzZins,13))</f>
      </c>
      <c r="Q5780" s="43">
        <f>IF($I5780=0,0,$Q5779+$P5780+$O5780)</f>
      </c>
      <c r="R5780" s="43">
        <f>IF($I5780=0,0,$J5780-$M5780-$N5780)</f>
      </c>
    </row>
    <row r="5781">
      <c r="A5781"/>
      <c r="B5781">
        <v>13</v>
      </c>
      <c r="C5781" s="43">
        <f>INDEX(DarlObj,13)</f>
      </c>
      <c r="D5781">
        <v>18</v>
      </c>
      <c r="E5781" s="51">
        <f>IF(INDEX(DarlBelegt,13)=0,0,EOMONTH(INDEX(DarlAuszahlung,13),17)+1)</f>
      </c>
      <c r="F5781" s="43">
        <f>IF($E5781=0,0,YEAR($E5781))</f>
      </c>
      <c r="G5781" s="43">
        <f>IF(INDEX(DarlBindung,13)="",1,IF($E5781&lt;=INDEX(DarlBindung,13),1,0))</f>
      </c>
      <c r="H5781" s="43">
        <f>IF($G5781=1,INDEX(DarlSollzins,13),INDEX(DarlAnschluss,13))</f>
      </c>
      <c r="I5781" s="43">
        <f>IF(INDEX(DarlBelegt,13)=0,0,IF(INDEX(DarlOhneTilgung,13)=1,IF(INDEX(DarlBindung,13)="",1,$G5781),IF($J5781&gt;0.005,1,0)))</f>
      </c>
      <c r="J5781" s="43">
        <f>IF($I5780=0,0,$R5780)</f>
      </c>
      <c r="K5781" s="43">
        <f>IF($I5781=0,0,IF(INDEX(DarlOhneTilgung,13)=1,0,IF(AND(INDEX(DarlTilgStart,13)&gt;0,$E5781=INDEX(DarlTilgStart,13)),$J5781*($H5781+INDEX(DarlTilgung,13))/100/12,IF(AND($G5781=0,$G5780=1),MAX($K5780,$J5781*($H5781+1)/100/12),$K5780))))</f>
      </c>
      <c r="L5781" s="43">
        <f>IF($I5781=0,0,$J5781*$H5781/100/12)</f>
      </c>
      <c r="M5781" s="43">
        <f>IF($I5781=0,0,IF(OR(INDEX(DarlOhneTilgung,13)=1,AND(INDEX(DarlTilgStart,13)&gt;0,$E5781&lt;INDEX(DarlTilgStart,13))),0,MIN(MAX(0,$K5781-$L5781),$J5781)))</f>
      </c>
      <c r="N5781" s="43">
        <f>IF($I5781=0,0,MIN(SUMIFS(SondBetrag,SondDarl,13,SondDatum,"&gt;="&amp;$E5781,SondDatum,"&lt;="&amp;EOMONTH($E5781,0)),$J5781-$M5781))</f>
      </c>
      <c r="O5781" s="43">
        <f>IF($I5781=0,0,INDEX(DarlErsatzRate,13))</f>
      </c>
      <c r="P5781" s="43">
        <f>IF($I5781=0,0,$Q5780*INDEX(DarlErsatzZins,13))</f>
      </c>
      <c r="Q5781" s="43">
        <f>IF($I5781=0,0,$Q5780+$P5781+$O5781)</f>
      </c>
      <c r="R5781" s="43">
        <f>IF($I5781=0,0,$J5781-$M5781-$N5781)</f>
      </c>
    </row>
    <row r="5782">
      <c r="A5782"/>
      <c r="B5782">
        <v>13</v>
      </c>
      <c r="C5782" s="43">
        <f>INDEX(DarlObj,13)</f>
      </c>
      <c r="D5782">
        <v>19</v>
      </c>
      <c r="E5782" s="51">
        <f>IF(INDEX(DarlBelegt,13)=0,0,EOMONTH(INDEX(DarlAuszahlung,13),18)+1)</f>
      </c>
      <c r="F5782" s="43">
        <f>IF($E5782=0,0,YEAR($E5782))</f>
      </c>
      <c r="G5782" s="43">
        <f>IF(INDEX(DarlBindung,13)="",1,IF($E5782&lt;=INDEX(DarlBindung,13),1,0))</f>
      </c>
      <c r="H5782" s="43">
        <f>IF($G5782=1,INDEX(DarlSollzins,13),INDEX(DarlAnschluss,13))</f>
      </c>
      <c r="I5782" s="43">
        <f>IF(INDEX(DarlBelegt,13)=0,0,IF(INDEX(DarlOhneTilgung,13)=1,IF(INDEX(DarlBindung,13)="",1,$G5782),IF($J5782&gt;0.005,1,0)))</f>
      </c>
      <c r="J5782" s="43">
        <f>IF($I5781=0,0,$R5781)</f>
      </c>
      <c r="K5782" s="43">
        <f>IF($I5782=0,0,IF(INDEX(DarlOhneTilgung,13)=1,0,IF(AND(INDEX(DarlTilgStart,13)&gt;0,$E5782=INDEX(DarlTilgStart,13)),$J5782*($H5782+INDEX(DarlTilgung,13))/100/12,IF(AND($G5782=0,$G5781=1),MAX($K5781,$J5782*($H5782+1)/100/12),$K5781))))</f>
      </c>
      <c r="L5782" s="43">
        <f>IF($I5782=0,0,$J5782*$H5782/100/12)</f>
      </c>
      <c r="M5782" s="43">
        <f>IF($I5782=0,0,IF(OR(INDEX(DarlOhneTilgung,13)=1,AND(INDEX(DarlTilgStart,13)&gt;0,$E5782&lt;INDEX(DarlTilgStart,13))),0,MIN(MAX(0,$K5782-$L5782),$J5782)))</f>
      </c>
      <c r="N5782" s="43">
        <f>IF($I5782=0,0,MIN(SUMIFS(SondBetrag,SondDarl,13,SondDatum,"&gt;="&amp;$E5782,SondDatum,"&lt;="&amp;EOMONTH($E5782,0)),$J5782-$M5782))</f>
      </c>
      <c r="O5782" s="43">
        <f>IF($I5782=0,0,INDEX(DarlErsatzRate,13))</f>
      </c>
      <c r="P5782" s="43">
        <f>IF($I5782=0,0,$Q5781*INDEX(DarlErsatzZins,13))</f>
      </c>
      <c r="Q5782" s="43">
        <f>IF($I5782=0,0,$Q5781+$P5782+$O5782)</f>
      </c>
      <c r="R5782" s="43">
        <f>IF($I5782=0,0,$J5782-$M5782-$N5782)</f>
      </c>
    </row>
    <row r="5783">
      <c r="A5783"/>
      <c r="B5783">
        <v>13</v>
      </c>
      <c r="C5783" s="43">
        <f>INDEX(DarlObj,13)</f>
      </c>
      <c r="D5783">
        <v>20</v>
      </c>
      <c r="E5783" s="51">
        <f>IF(INDEX(DarlBelegt,13)=0,0,EOMONTH(INDEX(DarlAuszahlung,13),19)+1)</f>
      </c>
      <c r="F5783" s="43">
        <f>IF($E5783=0,0,YEAR($E5783))</f>
      </c>
      <c r="G5783" s="43">
        <f>IF(INDEX(DarlBindung,13)="",1,IF($E5783&lt;=INDEX(DarlBindung,13),1,0))</f>
      </c>
      <c r="H5783" s="43">
        <f>IF($G5783=1,INDEX(DarlSollzins,13),INDEX(DarlAnschluss,13))</f>
      </c>
      <c r="I5783" s="43">
        <f>IF(INDEX(DarlBelegt,13)=0,0,IF(INDEX(DarlOhneTilgung,13)=1,IF(INDEX(DarlBindung,13)="",1,$G5783),IF($J5783&gt;0.005,1,0)))</f>
      </c>
      <c r="J5783" s="43">
        <f>IF($I5782=0,0,$R5782)</f>
      </c>
      <c r="K5783" s="43">
        <f>IF($I5783=0,0,IF(INDEX(DarlOhneTilgung,13)=1,0,IF(AND(INDEX(DarlTilgStart,13)&gt;0,$E5783=INDEX(DarlTilgStart,13)),$J5783*($H5783+INDEX(DarlTilgung,13))/100/12,IF(AND($G5783=0,$G5782=1),MAX($K5782,$J5783*($H5783+1)/100/12),$K5782))))</f>
      </c>
      <c r="L5783" s="43">
        <f>IF($I5783=0,0,$J5783*$H5783/100/12)</f>
      </c>
      <c r="M5783" s="43">
        <f>IF($I5783=0,0,IF(OR(INDEX(DarlOhneTilgung,13)=1,AND(INDEX(DarlTilgStart,13)&gt;0,$E5783&lt;INDEX(DarlTilgStart,13))),0,MIN(MAX(0,$K5783-$L5783),$J5783)))</f>
      </c>
      <c r="N5783" s="43">
        <f>IF($I5783=0,0,MIN(SUMIFS(SondBetrag,SondDarl,13,SondDatum,"&gt;="&amp;$E5783,SondDatum,"&lt;="&amp;EOMONTH($E5783,0)),$J5783-$M5783))</f>
      </c>
      <c r="O5783" s="43">
        <f>IF($I5783=0,0,INDEX(DarlErsatzRate,13))</f>
      </c>
      <c r="P5783" s="43">
        <f>IF($I5783=0,0,$Q5782*INDEX(DarlErsatzZins,13))</f>
      </c>
      <c r="Q5783" s="43">
        <f>IF($I5783=0,0,$Q5782+$P5783+$O5783)</f>
      </c>
      <c r="R5783" s="43">
        <f>IF($I5783=0,0,$J5783-$M5783-$N5783)</f>
      </c>
    </row>
    <row r="5784">
      <c r="A5784"/>
      <c r="B5784">
        <v>13</v>
      </c>
      <c r="C5784" s="43">
        <f>INDEX(DarlObj,13)</f>
      </c>
      <c r="D5784">
        <v>21</v>
      </c>
      <c r="E5784" s="51">
        <f>IF(INDEX(DarlBelegt,13)=0,0,EOMONTH(INDEX(DarlAuszahlung,13),20)+1)</f>
      </c>
      <c r="F5784" s="43">
        <f>IF($E5784=0,0,YEAR($E5784))</f>
      </c>
      <c r="G5784" s="43">
        <f>IF(INDEX(DarlBindung,13)="",1,IF($E5784&lt;=INDEX(DarlBindung,13),1,0))</f>
      </c>
      <c r="H5784" s="43">
        <f>IF($G5784=1,INDEX(DarlSollzins,13),INDEX(DarlAnschluss,13))</f>
      </c>
      <c r="I5784" s="43">
        <f>IF(INDEX(DarlBelegt,13)=0,0,IF(INDEX(DarlOhneTilgung,13)=1,IF(INDEX(DarlBindung,13)="",1,$G5784),IF($J5784&gt;0.005,1,0)))</f>
      </c>
      <c r="J5784" s="43">
        <f>IF($I5783=0,0,$R5783)</f>
      </c>
      <c r="K5784" s="43">
        <f>IF($I5784=0,0,IF(INDEX(DarlOhneTilgung,13)=1,0,IF(AND(INDEX(DarlTilgStart,13)&gt;0,$E5784=INDEX(DarlTilgStart,13)),$J5784*($H5784+INDEX(DarlTilgung,13))/100/12,IF(AND($G5784=0,$G5783=1),MAX($K5783,$J5784*($H5784+1)/100/12),$K5783))))</f>
      </c>
      <c r="L5784" s="43">
        <f>IF($I5784=0,0,$J5784*$H5784/100/12)</f>
      </c>
      <c r="M5784" s="43">
        <f>IF($I5784=0,0,IF(OR(INDEX(DarlOhneTilgung,13)=1,AND(INDEX(DarlTilgStart,13)&gt;0,$E5784&lt;INDEX(DarlTilgStart,13))),0,MIN(MAX(0,$K5784-$L5784),$J5784)))</f>
      </c>
      <c r="N5784" s="43">
        <f>IF($I5784=0,0,MIN(SUMIFS(SondBetrag,SondDarl,13,SondDatum,"&gt;="&amp;$E5784,SondDatum,"&lt;="&amp;EOMONTH($E5784,0)),$J5784-$M5784))</f>
      </c>
      <c r="O5784" s="43">
        <f>IF($I5784=0,0,INDEX(DarlErsatzRate,13))</f>
      </c>
      <c r="P5784" s="43">
        <f>IF($I5784=0,0,$Q5783*INDEX(DarlErsatzZins,13))</f>
      </c>
      <c r="Q5784" s="43">
        <f>IF($I5784=0,0,$Q5783+$P5784+$O5784)</f>
      </c>
      <c r="R5784" s="43">
        <f>IF($I5784=0,0,$J5784-$M5784-$N5784)</f>
      </c>
    </row>
    <row r="5785">
      <c r="A5785"/>
      <c r="B5785">
        <v>13</v>
      </c>
      <c r="C5785" s="43">
        <f>INDEX(DarlObj,13)</f>
      </c>
      <c r="D5785">
        <v>22</v>
      </c>
      <c r="E5785" s="51">
        <f>IF(INDEX(DarlBelegt,13)=0,0,EOMONTH(INDEX(DarlAuszahlung,13),21)+1)</f>
      </c>
      <c r="F5785" s="43">
        <f>IF($E5785=0,0,YEAR($E5785))</f>
      </c>
      <c r="G5785" s="43">
        <f>IF(INDEX(DarlBindung,13)="",1,IF($E5785&lt;=INDEX(DarlBindung,13),1,0))</f>
      </c>
      <c r="H5785" s="43">
        <f>IF($G5785=1,INDEX(DarlSollzins,13),INDEX(DarlAnschluss,13))</f>
      </c>
      <c r="I5785" s="43">
        <f>IF(INDEX(DarlBelegt,13)=0,0,IF(INDEX(DarlOhneTilgung,13)=1,IF(INDEX(DarlBindung,13)="",1,$G5785),IF($J5785&gt;0.005,1,0)))</f>
      </c>
      <c r="J5785" s="43">
        <f>IF($I5784=0,0,$R5784)</f>
      </c>
      <c r="K5785" s="43">
        <f>IF($I5785=0,0,IF(INDEX(DarlOhneTilgung,13)=1,0,IF(AND(INDEX(DarlTilgStart,13)&gt;0,$E5785=INDEX(DarlTilgStart,13)),$J5785*($H5785+INDEX(DarlTilgung,13))/100/12,IF(AND($G5785=0,$G5784=1),MAX($K5784,$J5785*($H5785+1)/100/12),$K5784))))</f>
      </c>
      <c r="L5785" s="43">
        <f>IF($I5785=0,0,$J5785*$H5785/100/12)</f>
      </c>
      <c r="M5785" s="43">
        <f>IF($I5785=0,0,IF(OR(INDEX(DarlOhneTilgung,13)=1,AND(INDEX(DarlTilgStart,13)&gt;0,$E5785&lt;INDEX(DarlTilgStart,13))),0,MIN(MAX(0,$K5785-$L5785),$J5785)))</f>
      </c>
      <c r="N5785" s="43">
        <f>IF($I5785=0,0,MIN(SUMIFS(SondBetrag,SondDarl,13,SondDatum,"&gt;="&amp;$E5785,SondDatum,"&lt;="&amp;EOMONTH($E5785,0)),$J5785-$M5785))</f>
      </c>
      <c r="O5785" s="43">
        <f>IF($I5785=0,0,INDEX(DarlErsatzRate,13))</f>
      </c>
      <c r="P5785" s="43">
        <f>IF($I5785=0,0,$Q5784*INDEX(DarlErsatzZins,13))</f>
      </c>
      <c r="Q5785" s="43">
        <f>IF($I5785=0,0,$Q5784+$P5785+$O5785)</f>
      </c>
      <c r="R5785" s="43">
        <f>IF($I5785=0,0,$J5785-$M5785-$N5785)</f>
      </c>
    </row>
    <row r="5786">
      <c r="A5786"/>
      <c r="B5786">
        <v>13</v>
      </c>
      <c r="C5786" s="43">
        <f>INDEX(DarlObj,13)</f>
      </c>
      <c r="D5786">
        <v>23</v>
      </c>
      <c r="E5786" s="51">
        <f>IF(INDEX(DarlBelegt,13)=0,0,EOMONTH(INDEX(DarlAuszahlung,13),22)+1)</f>
      </c>
      <c r="F5786" s="43">
        <f>IF($E5786=0,0,YEAR($E5786))</f>
      </c>
      <c r="G5786" s="43">
        <f>IF(INDEX(DarlBindung,13)="",1,IF($E5786&lt;=INDEX(DarlBindung,13),1,0))</f>
      </c>
      <c r="H5786" s="43">
        <f>IF($G5786=1,INDEX(DarlSollzins,13),INDEX(DarlAnschluss,13))</f>
      </c>
      <c r="I5786" s="43">
        <f>IF(INDEX(DarlBelegt,13)=0,0,IF(INDEX(DarlOhneTilgung,13)=1,IF(INDEX(DarlBindung,13)="",1,$G5786),IF($J5786&gt;0.005,1,0)))</f>
      </c>
      <c r="J5786" s="43">
        <f>IF($I5785=0,0,$R5785)</f>
      </c>
      <c r="K5786" s="43">
        <f>IF($I5786=0,0,IF(INDEX(DarlOhneTilgung,13)=1,0,IF(AND(INDEX(DarlTilgStart,13)&gt;0,$E5786=INDEX(DarlTilgStart,13)),$J5786*($H5786+INDEX(DarlTilgung,13))/100/12,IF(AND($G5786=0,$G5785=1),MAX($K5785,$J5786*($H5786+1)/100/12),$K5785))))</f>
      </c>
      <c r="L5786" s="43">
        <f>IF($I5786=0,0,$J5786*$H5786/100/12)</f>
      </c>
      <c r="M5786" s="43">
        <f>IF($I5786=0,0,IF(OR(INDEX(DarlOhneTilgung,13)=1,AND(INDEX(DarlTilgStart,13)&gt;0,$E5786&lt;INDEX(DarlTilgStart,13))),0,MIN(MAX(0,$K5786-$L5786),$J5786)))</f>
      </c>
      <c r="N5786" s="43">
        <f>IF($I5786=0,0,MIN(SUMIFS(SondBetrag,SondDarl,13,SondDatum,"&gt;="&amp;$E5786,SondDatum,"&lt;="&amp;EOMONTH($E5786,0)),$J5786-$M5786))</f>
      </c>
      <c r="O5786" s="43">
        <f>IF($I5786=0,0,INDEX(DarlErsatzRate,13))</f>
      </c>
      <c r="P5786" s="43">
        <f>IF($I5786=0,0,$Q5785*INDEX(DarlErsatzZins,13))</f>
      </c>
      <c r="Q5786" s="43">
        <f>IF($I5786=0,0,$Q5785+$P5786+$O5786)</f>
      </c>
      <c r="R5786" s="43">
        <f>IF($I5786=0,0,$J5786-$M5786-$N5786)</f>
      </c>
    </row>
    <row r="5787">
      <c r="A5787"/>
      <c r="B5787">
        <v>13</v>
      </c>
      <c r="C5787" s="43">
        <f>INDEX(DarlObj,13)</f>
      </c>
      <c r="D5787">
        <v>24</v>
      </c>
      <c r="E5787" s="51">
        <f>IF(INDEX(DarlBelegt,13)=0,0,EOMONTH(INDEX(DarlAuszahlung,13),23)+1)</f>
      </c>
      <c r="F5787" s="43">
        <f>IF($E5787=0,0,YEAR($E5787))</f>
      </c>
      <c r="G5787" s="43">
        <f>IF(INDEX(DarlBindung,13)="",1,IF($E5787&lt;=INDEX(DarlBindung,13),1,0))</f>
      </c>
      <c r="H5787" s="43">
        <f>IF($G5787=1,INDEX(DarlSollzins,13),INDEX(DarlAnschluss,13))</f>
      </c>
      <c r="I5787" s="43">
        <f>IF(INDEX(DarlBelegt,13)=0,0,IF(INDEX(DarlOhneTilgung,13)=1,IF(INDEX(DarlBindung,13)="",1,$G5787),IF($J5787&gt;0.005,1,0)))</f>
      </c>
      <c r="J5787" s="43">
        <f>IF($I5786=0,0,$R5786)</f>
      </c>
      <c r="K5787" s="43">
        <f>IF($I5787=0,0,IF(INDEX(DarlOhneTilgung,13)=1,0,IF(AND(INDEX(DarlTilgStart,13)&gt;0,$E5787=INDEX(DarlTilgStart,13)),$J5787*($H5787+INDEX(DarlTilgung,13))/100/12,IF(AND($G5787=0,$G5786=1),MAX($K5786,$J5787*($H5787+1)/100/12),$K5786))))</f>
      </c>
      <c r="L5787" s="43">
        <f>IF($I5787=0,0,$J5787*$H5787/100/12)</f>
      </c>
      <c r="M5787" s="43">
        <f>IF($I5787=0,0,IF(OR(INDEX(DarlOhneTilgung,13)=1,AND(INDEX(DarlTilgStart,13)&gt;0,$E5787&lt;INDEX(DarlTilgStart,13))),0,MIN(MAX(0,$K5787-$L5787),$J5787)))</f>
      </c>
      <c r="N5787" s="43">
        <f>IF($I5787=0,0,MIN(SUMIFS(SondBetrag,SondDarl,13,SondDatum,"&gt;="&amp;$E5787,SondDatum,"&lt;="&amp;EOMONTH($E5787,0)),$J5787-$M5787))</f>
      </c>
      <c r="O5787" s="43">
        <f>IF($I5787=0,0,INDEX(DarlErsatzRate,13))</f>
      </c>
      <c r="P5787" s="43">
        <f>IF($I5787=0,0,$Q5786*INDEX(DarlErsatzZins,13))</f>
      </c>
      <c r="Q5787" s="43">
        <f>IF($I5787=0,0,$Q5786+$P5787+$O5787)</f>
      </c>
      <c r="R5787" s="43">
        <f>IF($I5787=0,0,$J5787-$M5787-$N5787)</f>
      </c>
    </row>
    <row r="5788">
      <c r="A5788"/>
      <c r="B5788">
        <v>13</v>
      </c>
      <c r="C5788" s="43">
        <f>INDEX(DarlObj,13)</f>
      </c>
      <c r="D5788">
        <v>25</v>
      </c>
      <c r="E5788" s="51">
        <f>IF(INDEX(DarlBelegt,13)=0,0,EOMONTH(INDEX(DarlAuszahlung,13),24)+1)</f>
      </c>
      <c r="F5788" s="43">
        <f>IF($E5788=0,0,YEAR($E5788))</f>
      </c>
      <c r="G5788" s="43">
        <f>IF(INDEX(DarlBindung,13)="",1,IF($E5788&lt;=INDEX(DarlBindung,13),1,0))</f>
      </c>
      <c r="H5788" s="43">
        <f>IF($G5788=1,INDEX(DarlSollzins,13),INDEX(DarlAnschluss,13))</f>
      </c>
      <c r="I5788" s="43">
        <f>IF(INDEX(DarlBelegt,13)=0,0,IF(INDEX(DarlOhneTilgung,13)=1,IF(INDEX(DarlBindung,13)="",1,$G5788),IF($J5788&gt;0.005,1,0)))</f>
      </c>
      <c r="J5788" s="43">
        <f>IF($I5787=0,0,$R5787)</f>
      </c>
      <c r="K5788" s="43">
        <f>IF($I5788=0,0,IF(INDEX(DarlOhneTilgung,13)=1,0,IF(AND(INDEX(DarlTilgStart,13)&gt;0,$E5788=INDEX(DarlTilgStart,13)),$J5788*($H5788+INDEX(DarlTilgung,13))/100/12,IF(AND($G5788=0,$G5787=1),MAX($K5787,$J5788*($H5788+1)/100/12),$K5787))))</f>
      </c>
      <c r="L5788" s="43">
        <f>IF($I5788=0,0,$J5788*$H5788/100/12)</f>
      </c>
      <c r="M5788" s="43">
        <f>IF($I5788=0,0,IF(OR(INDEX(DarlOhneTilgung,13)=1,AND(INDEX(DarlTilgStart,13)&gt;0,$E5788&lt;INDEX(DarlTilgStart,13))),0,MIN(MAX(0,$K5788-$L5788),$J5788)))</f>
      </c>
      <c r="N5788" s="43">
        <f>IF($I5788=0,0,MIN(SUMIFS(SondBetrag,SondDarl,13,SondDatum,"&gt;="&amp;$E5788,SondDatum,"&lt;="&amp;EOMONTH($E5788,0)),$J5788-$M5788))</f>
      </c>
      <c r="O5788" s="43">
        <f>IF($I5788=0,0,INDEX(DarlErsatzRate,13))</f>
      </c>
      <c r="P5788" s="43">
        <f>IF($I5788=0,0,$Q5787*INDEX(DarlErsatzZins,13))</f>
      </c>
      <c r="Q5788" s="43">
        <f>IF($I5788=0,0,$Q5787+$P5788+$O5788)</f>
      </c>
      <c r="R5788" s="43">
        <f>IF($I5788=0,0,$J5788-$M5788-$N5788)</f>
      </c>
    </row>
    <row r="5789">
      <c r="A5789"/>
      <c r="B5789">
        <v>13</v>
      </c>
      <c r="C5789" s="43">
        <f>INDEX(DarlObj,13)</f>
      </c>
      <c r="D5789">
        <v>26</v>
      </c>
      <c r="E5789" s="51">
        <f>IF(INDEX(DarlBelegt,13)=0,0,EOMONTH(INDEX(DarlAuszahlung,13),25)+1)</f>
      </c>
      <c r="F5789" s="43">
        <f>IF($E5789=0,0,YEAR($E5789))</f>
      </c>
      <c r="G5789" s="43">
        <f>IF(INDEX(DarlBindung,13)="",1,IF($E5789&lt;=INDEX(DarlBindung,13),1,0))</f>
      </c>
      <c r="H5789" s="43">
        <f>IF($G5789=1,INDEX(DarlSollzins,13),INDEX(DarlAnschluss,13))</f>
      </c>
      <c r="I5789" s="43">
        <f>IF(INDEX(DarlBelegt,13)=0,0,IF(INDEX(DarlOhneTilgung,13)=1,IF(INDEX(DarlBindung,13)="",1,$G5789),IF($J5789&gt;0.005,1,0)))</f>
      </c>
      <c r="J5789" s="43">
        <f>IF($I5788=0,0,$R5788)</f>
      </c>
      <c r="K5789" s="43">
        <f>IF($I5789=0,0,IF(INDEX(DarlOhneTilgung,13)=1,0,IF(AND(INDEX(DarlTilgStart,13)&gt;0,$E5789=INDEX(DarlTilgStart,13)),$J5789*($H5789+INDEX(DarlTilgung,13))/100/12,IF(AND($G5789=0,$G5788=1),MAX($K5788,$J5789*($H5789+1)/100/12),$K5788))))</f>
      </c>
      <c r="L5789" s="43">
        <f>IF($I5789=0,0,$J5789*$H5789/100/12)</f>
      </c>
      <c r="M5789" s="43">
        <f>IF($I5789=0,0,IF(OR(INDEX(DarlOhneTilgung,13)=1,AND(INDEX(DarlTilgStart,13)&gt;0,$E5789&lt;INDEX(DarlTilgStart,13))),0,MIN(MAX(0,$K5789-$L5789),$J5789)))</f>
      </c>
      <c r="N5789" s="43">
        <f>IF($I5789=0,0,MIN(SUMIFS(SondBetrag,SondDarl,13,SondDatum,"&gt;="&amp;$E5789,SondDatum,"&lt;="&amp;EOMONTH($E5789,0)),$J5789-$M5789))</f>
      </c>
      <c r="O5789" s="43">
        <f>IF($I5789=0,0,INDEX(DarlErsatzRate,13))</f>
      </c>
      <c r="P5789" s="43">
        <f>IF($I5789=0,0,$Q5788*INDEX(DarlErsatzZins,13))</f>
      </c>
      <c r="Q5789" s="43">
        <f>IF($I5789=0,0,$Q5788+$P5789+$O5789)</f>
      </c>
      <c r="R5789" s="43">
        <f>IF($I5789=0,0,$J5789-$M5789-$N5789)</f>
      </c>
    </row>
    <row r="5790">
      <c r="A5790"/>
      <c r="B5790">
        <v>13</v>
      </c>
      <c r="C5790" s="43">
        <f>INDEX(DarlObj,13)</f>
      </c>
      <c r="D5790">
        <v>27</v>
      </c>
      <c r="E5790" s="51">
        <f>IF(INDEX(DarlBelegt,13)=0,0,EOMONTH(INDEX(DarlAuszahlung,13),26)+1)</f>
      </c>
      <c r="F5790" s="43">
        <f>IF($E5790=0,0,YEAR($E5790))</f>
      </c>
      <c r="G5790" s="43">
        <f>IF(INDEX(DarlBindung,13)="",1,IF($E5790&lt;=INDEX(DarlBindung,13),1,0))</f>
      </c>
      <c r="H5790" s="43">
        <f>IF($G5790=1,INDEX(DarlSollzins,13),INDEX(DarlAnschluss,13))</f>
      </c>
      <c r="I5790" s="43">
        <f>IF(INDEX(DarlBelegt,13)=0,0,IF(INDEX(DarlOhneTilgung,13)=1,IF(INDEX(DarlBindung,13)="",1,$G5790),IF($J5790&gt;0.005,1,0)))</f>
      </c>
      <c r="J5790" s="43">
        <f>IF($I5789=0,0,$R5789)</f>
      </c>
      <c r="K5790" s="43">
        <f>IF($I5790=0,0,IF(INDEX(DarlOhneTilgung,13)=1,0,IF(AND(INDEX(DarlTilgStart,13)&gt;0,$E5790=INDEX(DarlTilgStart,13)),$J5790*($H5790+INDEX(DarlTilgung,13))/100/12,IF(AND($G5790=0,$G5789=1),MAX($K5789,$J5790*($H5790+1)/100/12),$K5789))))</f>
      </c>
      <c r="L5790" s="43">
        <f>IF($I5790=0,0,$J5790*$H5790/100/12)</f>
      </c>
      <c r="M5790" s="43">
        <f>IF($I5790=0,0,IF(OR(INDEX(DarlOhneTilgung,13)=1,AND(INDEX(DarlTilgStart,13)&gt;0,$E5790&lt;INDEX(DarlTilgStart,13))),0,MIN(MAX(0,$K5790-$L5790),$J5790)))</f>
      </c>
      <c r="N5790" s="43">
        <f>IF($I5790=0,0,MIN(SUMIFS(SondBetrag,SondDarl,13,SondDatum,"&gt;="&amp;$E5790,SondDatum,"&lt;="&amp;EOMONTH($E5790,0)),$J5790-$M5790))</f>
      </c>
      <c r="O5790" s="43">
        <f>IF($I5790=0,0,INDEX(DarlErsatzRate,13))</f>
      </c>
      <c r="P5790" s="43">
        <f>IF($I5790=0,0,$Q5789*INDEX(DarlErsatzZins,13))</f>
      </c>
      <c r="Q5790" s="43">
        <f>IF($I5790=0,0,$Q5789+$P5790+$O5790)</f>
      </c>
      <c r="R5790" s="43">
        <f>IF($I5790=0,0,$J5790-$M5790-$N5790)</f>
      </c>
    </row>
    <row r="5791">
      <c r="A5791"/>
      <c r="B5791">
        <v>13</v>
      </c>
      <c r="C5791" s="43">
        <f>INDEX(DarlObj,13)</f>
      </c>
      <c r="D5791">
        <v>28</v>
      </c>
      <c r="E5791" s="51">
        <f>IF(INDEX(DarlBelegt,13)=0,0,EOMONTH(INDEX(DarlAuszahlung,13),27)+1)</f>
      </c>
      <c r="F5791" s="43">
        <f>IF($E5791=0,0,YEAR($E5791))</f>
      </c>
      <c r="G5791" s="43">
        <f>IF(INDEX(DarlBindung,13)="",1,IF($E5791&lt;=INDEX(DarlBindung,13),1,0))</f>
      </c>
      <c r="H5791" s="43">
        <f>IF($G5791=1,INDEX(DarlSollzins,13),INDEX(DarlAnschluss,13))</f>
      </c>
      <c r="I5791" s="43">
        <f>IF(INDEX(DarlBelegt,13)=0,0,IF(INDEX(DarlOhneTilgung,13)=1,IF(INDEX(DarlBindung,13)="",1,$G5791),IF($J5791&gt;0.005,1,0)))</f>
      </c>
      <c r="J5791" s="43">
        <f>IF($I5790=0,0,$R5790)</f>
      </c>
      <c r="K5791" s="43">
        <f>IF($I5791=0,0,IF(INDEX(DarlOhneTilgung,13)=1,0,IF(AND(INDEX(DarlTilgStart,13)&gt;0,$E5791=INDEX(DarlTilgStart,13)),$J5791*($H5791+INDEX(DarlTilgung,13))/100/12,IF(AND($G5791=0,$G5790=1),MAX($K5790,$J5791*($H5791+1)/100/12),$K5790))))</f>
      </c>
      <c r="L5791" s="43">
        <f>IF($I5791=0,0,$J5791*$H5791/100/12)</f>
      </c>
      <c r="M5791" s="43">
        <f>IF($I5791=0,0,IF(OR(INDEX(DarlOhneTilgung,13)=1,AND(INDEX(DarlTilgStart,13)&gt;0,$E5791&lt;INDEX(DarlTilgStart,13))),0,MIN(MAX(0,$K5791-$L5791),$J5791)))</f>
      </c>
      <c r="N5791" s="43">
        <f>IF($I5791=0,0,MIN(SUMIFS(SondBetrag,SondDarl,13,SondDatum,"&gt;="&amp;$E5791,SondDatum,"&lt;="&amp;EOMONTH($E5791,0)),$J5791-$M5791))</f>
      </c>
      <c r="O5791" s="43">
        <f>IF($I5791=0,0,INDEX(DarlErsatzRate,13))</f>
      </c>
      <c r="P5791" s="43">
        <f>IF($I5791=0,0,$Q5790*INDEX(DarlErsatzZins,13))</f>
      </c>
      <c r="Q5791" s="43">
        <f>IF($I5791=0,0,$Q5790+$P5791+$O5791)</f>
      </c>
      <c r="R5791" s="43">
        <f>IF($I5791=0,0,$J5791-$M5791-$N5791)</f>
      </c>
    </row>
    <row r="5792">
      <c r="A5792"/>
      <c r="B5792">
        <v>13</v>
      </c>
      <c r="C5792" s="43">
        <f>INDEX(DarlObj,13)</f>
      </c>
      <c r="D5792">
        <v>29</v>
      </c>
      <c r="E5792" s="51">
        <f>IF(INDEX(DarlBelegt,13)=0,0,EOMONTH(INDEX(DarlAuszahlung,13),28)+1)</f>
      </c>
      <c r="F5792" s="43">
        <f>IF($E5792=0,0,YEAR($E5792))</f>
      </c>
      <c r="G5792" s="43">
        <f>IF(INDEX(DarlBindung,13)="",1,IF($E5792&lt;=INDEX(DarlBindung,13),1,0))</f>
      </c>
      <c r="H5792" s="43">
        <f>IF($G5792=1,INDEX(DarlSollzins,13),INDEX(DarlAnschluss,13))</f>
      </c>
      <c r="I5792" s="43">
        <f>IF(INDEX(DarlBelegt,13)=0,0,IF(INDEX(DarlOhneTilgung,13)=1,IF(INDEX(DarlBindung,13)="",1,$G5792),IF($J5792&gt;0.005,1,0)))</f>
      </c>
      <c r="J5792" s="43">
        <f>IF($I5791=0,0,$R5791)</f>
      </c>
      <c r="K5792" s="43">
        <f>IF($I5792=0,0,IF(INDEX(DarlOhneTilgung,13)=1,0,IF(AND(INDEX(DarlTilgStart,13)&gt;0,$E5792=INDEX(DarlTilgStart,13)),$J5792*($H5792+INDEX(DarlTilgung,13))/100/12,IF(AND($G5792=0,$G5791=1),MAX($K5791,$J5792*($H5792+1)/100/12),$K5791))))</f>
      </c>
      <c r="L5792" s="43">
        <f>IF($I5792=0,0,$J5792*$H5792/100/12)</f>
      </c>
      <c r="M5792" s="43">
        <f>IF($I5792=0,0,IF(OR(INDEX(DarlOhneTilgung,13)=1,AND(INDEX(DarlTilgStart,13)&gt;0,$E5792&lt;INDEX(DarlTilgStart,13))),0,MIN(MAX(0,$K5792-$L5792),$J5792)))</f>
      </c>
      <c r="N5792" s="43">
        <f>IF($I5792=0,0,MIN(SUMIFS(SondBetrag,SondDarl,13,SondDatum,"&gt;="&amp;$E5792,SondDatum,"&lt;="&amp;EOMONTH($E5792,0)),$J5792-$M5792))</f>
      </c>
      <c r="O5792" s="43">
        <f>IF($I5792=0,0,INDEX(DarlErsatzRate,13))</f>
      </c>
      <c r="P5792" s="43">
        <f>IF($I5792=0,0,$Q5791*INDEX(DarlErsatzZins,13))</f>
      </c>
      <c r="Q5792" s="43">
        <f>IF($I5792=0,0,$Q5791+$P5792+$O5792)</f>
      </c>
      <c r="R5792" s="43">
        <f>IF($I5792=0,0,$J5792-$M5792-$N5792)</f>
      </c>
    </row>
    <row r="5793">
      <c r="A5793"/>
      <c r="B5793">
        <v>13</v>
      </c>
      <c r="C5793" s="43">
        <f>INDEX(DarlObj,13)</f>
      </c>
      <c r="D5793">
        <v>30</v>
      </c>
      <c r="E5793" s="51">
        <f>IF(INDEX(DarlBelegt,13)=0,0,EOMONTH(INDEX(DarlAuszahlung,13),29)+1)</f>
      </c>
      <c r="F5793" s="43">
        <f>IF($E5793=0,0,YEAR($E5793))</f>
      </c>
      <c r="G5793" s="43">
        <f>IF(INDEX(DarlBindung,13)="",1,IF($E5793&lt;=INDEX(DarlBindung,13),1,0))</f>
      </c>
      <c r="H5793" s="43">
        <f>IF($G5793=1,INDEX(DarlSollzins,13),INDEX(DarlAnschluss,13))</f>
      </c>
      <c r="I5793" s="43">
        <f>IF(INDEX(DarlBelegt,13)=0,0,IF(INDEX(DarlOhneTilgung,13)=1,IF(INDEX(DarlBindung,13)="",1,$G5793),IF($J5793&gt;0.005,1,0)))</f>
      </c>
      <c r="J5793" s="43">
        <f>IF($I5792=0,0,$R5792)</f>
      </c>
      <c r="K5793" s="43">
        <f>IF($I5793=0,0,IF(INDEX(DarlOhneTilgung,13)=1,0,IF(AND(INDEX(DarlTilgStart,13)&gt;0,$E5793=INDEX(DarlTilgStart,13)),$J5793*($H5793+INDEX(DarlTilgung,13))/100/12,IF(AND($G5793=0,$G5792=1),MAX($K5792,$J5793*($H5793+1)/100/12),$K5792))))</f>
      </c>
      <c r="L5793" s="43">
        <f>IF($I5793=0,0,$J5793*$H5793/100/12)</f>
      </c>
      <c r="M5793" s="43">
        <f>IF($I5793=0,0,IF(OR(INDEX(DarlOhneTilgung,13)=1,AND(INDEX(DarlTilgStart,13)&gt;0,$E5793&lt;INDEX(DarlTilgStart,13))),0,MIN(MAX(0,$K5793-$L5793),$J5793)))</f>
      </c>
      <c r="N5793" s="43">
        <f>IF($I5793=0,0,MIN(SUMIFS(SondBetrag,SondDarl,13,SondDatum,"&gt;="&amp;$E5793,SondDatum,"&lt;="&amp;EOMONTH($E5793,0)),$J5793-$M5793))</f>
      </c>
      <c r="O5793" s="43">
        <f>IF($I5793=0,0,INDEX(DarlErsatzRate,13))</f>
      </c>
      <c r="P5793" s="43">
        <f>IF($I5793=0,0,$Q5792*INDEX(DarlErsatzZins,13))</f>
      </c>
      <c r="Q5793" s="43">
        <f>IF($I5793=0,0,$Q5792+$P5793+$O5793)</f>
      </c>
      <c r="R5793" s="43">
        <f>IF($I5793=0,0,$J5793-$M5793-$N5793)</f>
      </c>
    </row>
    <row r="5794">
      <c r="A5794"/>
      <c r="B5794">
        <v>13</v>
      </c>
      <c r="C5794" s="43">
        <f>INDEX(DarlObj,13)</f>
      </c>
      <c r="D5794">
        <v>31</v>
      </c>
      <c r="E5794" s="51">
        <f>IF(INDEX(DarlBelegt,13)=0,0,EOMONTH(INDEX(DarlAuszahlung,13),30)+1)</f>
      </c>
      <c r="F5794" s="43">
        <f>IF($E5794=0,0,YEAR($E5794))</f>
      </c>
      <c r="G5794" s="43">
        <f>IF(INDEX(DarlBindung,13)="",1,IF($E5794&lt;=INDEX(DarlBindung,13),1,0))</f>
      </c>
      <c r="H5794" s="43">
        <f>IF($G5794=1,INDEX(DarlSollzins,13),INDEX(DarlAnschluss,13))</f>
      </c>
      <c r="I5794" s="43">
        <f>IF(INDEX(DarlBelegt,13)=0,0,IF(INDEX(DarlOhneTilgung,13)=1,IF(INDEX(DarlBindung,13)="",1,$G5794),IF($J5794&gt;0.005,1,0)))</f>
      </c>
      <c r="J5794" s="43">
        <f>IF($I5793=0,0,$R5793)</f>
      </c>
      <c r="K5794" s="43">
        <f>IF($I5794=0,0,IF(INDEX(DarlOhneTilgung,13)=1,0,IF(AND(INDEX(DarlTilgStart,13)&gt;0,$E5794=INDEX(DarlTilgStart,13)),$J5794*($H5794+INDEX(DarlTilgung,13))/100/12,IF(AND($G5794=0,$G5793=1),MAX($K5793,$J5794*($H5794+1)/100/12),$K5793))))</f>
      </c>
      <c r="L5794" s="43">
        <f>IF($I5794=0,0,$J5794*$H5794/100/12)</f>
      </c>
      <c r="M5794" s="43">
        <f>IF($I5794=0,0,IF(OR(INDEX(DarlOhneTilgung,13)=1,AND(INDEX(DarlTilgStart,13)&gt;0,$E5794&lt;INDEX(DarlTilgStart,13))),0,MIN(MAX(0,$K5794-$L5794),$J5794)))</f>
      </c>
      <c r="N5794" s="43">
        <f>IF($I5794=0,0,MIN(SUMIFS(SondBetrag,SondDarl,13,SondDatum,"&gt;="&amp;$E5794,SondDatum,"&lt;="&amp;EOMONTH($E5794,0)),$J5794-$M5794))</f>
      </c>
      <c r="O5794" s="43">
        <f>IF($I5794=0,0,INDEX(DarlErsatzRate,13))</f>
      </c>
      <c r="P5794" s="43">
        <f>IF($I5794=0,0,$Q5793*INDEX(DarlErsatzZins,13))</f>
      </c>
      <c r="Q5794" s="43">
        <f>IF($I5794=0,0,$Q5793+$P5794+$O5794)</f>
      </c>
      <c r="R5794" s="43">
        <f>IF($I5794=0,0,$J5794-$M5794-$N5794)</f>
      </c>
    </row>
    <row r="5795">
      <c r="A5795"/>
      <c r="B5795">
        <v>13</v>
      </c>
      <c r="C5795" s="43">
        <f>INDEX(DarlObj,13)</f>
      </c>
      <c r="D5795">
        <v>32</v>
      </c>
      <c r="E5795" s="51">
        <f>IF(INDEX(DarlBelegt,13)=0,0,EOMONTH(INDEX(DarlAuszahlung,13),31)+1)</f>
      </c>
      <c r="F5795" s="43">
        <f>IF($E5795=0,0,YEAR($E5795))</f>
      </c>
      <c r="G5795" s="43">
        <f>IF(INDEX(DarlBindung,13)="",1,IF($E5795&lt;=INDEX(DarlBindung,13),1,0))</f>
      </c>
      <c r="H5795" s="43">
        <f>IF($G5795=1,INDEX(DarlSollzins,13),INDEX(DarlAnschluss,13))</f>
      </c>
      <c r="I5795" s="43">
        <f>IF(INDEX(DarlBelegt,13)=0,0,IF(INDEX(DarlOhneTilgung,13)=1,IF(INDEX(DarlBindung,13)="",1,$G5795),IF($J5795&gt;0.005,1,0)))</f>
      </c>
      <c r="J5795" s="43">
        <f>IF($I5794=0,0,$R5794)</f>
      </c>
      <c r="K5795" s="43">
        <f>IF($I5795=0,0,IF(INDEX(DarlOhneTilgung,13)=1,0,IF(AND(INDEX(DarlTilgStart,13)&gt;0,$E5795=INDEX(DarlTilgStart,13)),$J5795*($H5795+INDEX(DarlTilgung,13))/100/12,IF(AND($G5795=0,$G5794=1),MAX($K5794,$J5795*($H5795+1)/100/12),$K5794))))</f>
      </c>
      <c r="L5795" s="43">
        <f>IF($I5795=0,0,$J5795*$H5795/100/12)</f>
      </c>
      <c r="M5795" s="43">
        <f>IF($I5795=0,0,IF(OR(INDEX(DarlOhneTilgung,13)=1,AND(INDEX(DarlTilgStart,13)&gt;0,$E5795&lt;INDEX(DarlTilgStart,13))),0,MIN(MAX(0,$K5795-$L5795),$J5795)))</f>
      </c>
      <c r="N5795" s="43">
        <f>IF($I5795=0,0,MIN(SUMIFS(SondBetrag,SondDarl,13,SondDatum,"&gt;="&amp;$E5795,SondDatum,"&lt;="&amp;EOMONTH($E5795,0)),$J5795-$M5795))</f>
      </c>
      <c r="O5795" s="43">
        <f>IF($I5795=0,0,INDEX(DarlErsatzRate,13))</f>
      </c>
      <c r="P5795" s="43">
        <f>IF($I5795=0,0,$Q5794*INDEX(DarlErsatzZins,13))</f>
      </c>
      <c r="Q5795" s="43">
        <f>IF($I5795=0,0,$Q5794+$P5795+$O5795)</f>
      </c>
      <c r="R5795" s="43">
        <f>IF($I5795=0,0,$J5795-$M5795-$N5795)</f>
      </c>
    </row>
    <row r="5796">
      <c r="A5796"/>
      <c r="B5796">
        <v>13</v>
      </c>
      <c r="C5796" s="43">
        <f>INDEX(DarlObj,13)</f>
      </c>
      <c r="D5796">
        <v>33</v>
      </c>
      <c r="E5796" s="51">
        <f>IF(INDEX(DarlBelegt,13)=0,0,EOMONTH(INDEX(DarlAuszahlung,13),32)+1)</f>
      </c>
      <c r="F5796" s="43">
        <f>IF($E5796=0,0,YEAR($E5796))</f>
      </c>
      <c r="G5796" s="43">
        <f>IF(INDEX(DarlBindung,13)="",1,IF($E5796&lt;=INDEX(DarlBindung,13),1,0))</f>
      </c>
      <c r="H5796" s="43">
        <f>IF($G5796=1,INDEX(DarlSollzins,13),INDEX(DarlAnschluss,13))</f>
      </c>
      <c r="I5796" s="43">
        <f>IF(INDEX(DarlBelegt,13)=0,0,IF(INDEX(DarlOhneTilgung,13)=1,IF(INDEX(DarlBindung,13)="",1,$G5796),IF($J5796&gt;0.005,1,0)))</f>
      </c>
      <c r="J5796" s="43">
        <f>IF($I5795=0,0,$R5795)</f>
      </c>
      <c r="K5796" s="43">
        <f>IF($I5796=0,0,IF(INDEX(DarlOhneTilgung,13)=1,0,IF(AND(INDEX(DarlTilgStart,13)&gt;0,$E5796=INDEX(DarlTilgStart,13)),$J5796*($H5796+INDEX(DarlTilgung,13))/100/12,IF(AND($G5796=0,$G5795=1),MAX($K5795,$J5796*($H5796+1)/100/12),$K5795))))</f>
      </c>
      <c r="L5796" s="43">
        <f>IF($I5796=0,0,$J5796*$H5796/100/12)</f>
      </c>
      <c r="M5796" s="43">
        <f>IF($I5796=0,0,IF(OR(INDEX(DarlOhneTilgung,13)=1,AND(INDEX(DarlTilgStart,13)&gt;0,$E5796&lt;INDEX(DarlTilgStart,13))),0,MIN(MAX(0,$K5796-$L5796),$J5796)))</f>
      </c>
      <c r="N5796" s="43">
        <f>IF($I5796=0,0,MIN(SUMIFS(SondBetrag,SondDarl,13,SondDatum,"&gt;="&amp;$E5796,SondDatum,"&lt;="&amp;EOMONTH($E5796,0)),$J5796-$M5796))</f>
      </c>
      <c r="O5796" s="43">
        <f>IF($I5796=0,0,INDEX(DarlErsatzRate,13))</f>
      </c>
      <c r="P5796" s="43">
        <f>IF($I5796=0,0,$Q5795*INDEX(DarlErsatzZins,13))</f>
      </c>
      <c r="Q5796" s="43">
        <f>IF($I5796=0,0,$Q5795+$P5796+$O5796)</f>
      </c>
      <c r="R5796" s="43">
        <f>IF($I5796=0,0,$J5796-$M5796-$N5796)</f>
      </c>
    </row>
    <row r="5797">
      <c r="A5797"/>
      <c r="B5797">
        <v>13</v>
      </c>
      <c r="C5797" s="43">
        <f>INDEX(DarlObj,13)</f>
      </c>
      <c r="D5797">
        <v>34</v>
      </c>
      <c r="E5797" s="51">
        <f>IF(INDEX(DarlBelegt,13)=0,0,EOMONTH(INDEX(DarlAuszahlung,13),33)+1)</f>
      </c>
      <c r="F5797" s="43">
        <f>IF($E5797=0,0,YEAR($E5797))</f>
      </c>
      <c r="G5797" s="43">
        <f>IF(INDEX(DarlBindung,13)="",1,IF($E5797&lt;=INDEX(DarlBindung,13),1,0))</f>
      </c>
      <c r="H5797" s="43">
        <f>IF($G5797=1,INDEX(DarlSollzins,13),INDEX(DarlAnschluss,13))</f>
      </c>
      <c r="I5797" s="43">
        <f>IF(INDEX(DarlBelegt,13)=0,0,IF(INDEX(DarlOhneTilgung,13)=1,IF(INDEX(DarlBindung,13)="",1,$G5797),IF($J5797&gt;0.005,1,0)))</f>
      </c>
      <c r="J5797" s="43">
        <f>IF($I5796=0,0,$R5796)</f>
      </c>
      <c r="K5797" s="43">
        <f>IF($I5797=0,0,IF(INDEX(DarlOhneTilgung,13)=1,0,IF(AND(INDEX(DarlTilgStart,13)&gt;0,$E5797=INDEX(DarlTilgStart,13)),$J5797*($H5797+INDEX(DarlTilgung,13))/100/12,IF(AND($G5797=0,$G5796=1),MAX($K5796,$J5797*($H5797+1)/100/12),$K5796))))</f>
      </c>
      <c r="L5797" s="43">
        <f>IF($I5797=0,0,$J5797*$H5797/100/12)</f>
      </c>
      <c r="M5797" s="43">
        <f>IF($I5797=0,0,IF(OR(INDEX(DarlOhneTilgung,13)=1,AND(INDEX(DarlTilgStart,13)&gt;0,$E5797&lt;INDEX(DarlTilgStart,13))),0,MIN(MAX(0,$K5797-$L5797),$J5797)))</f>
      </c>
      <c r="N5797" s="43">
        <f>IF($I5797=0,0,MIN(SUMIFS(SondBetrag,SondDarl,13,SondDatum,"&gt;="&amp;$E5797,SondDatum,"&lt;="&amp;EOMONTH($E5797,0)),$J5797-$M5797))</f>
      </c>
      <c r="O5797" s="43">
        <f>IF($I5797=0,0,INDEX(DarlErsatzRate,13))</f>
      </c>
      <c r="P5797" s="43">
        <f>IF($I5797=0,0,$Q5796*INDEX(DarlErsatzZins,13))</f>
      </c>
      <c r="Q5797" s="43">
        <f>IF($I5797=0,0,$Q5796+$P5797+$O5797)</f>
      </c>
      <c r="R5797" s="43">
        <f>IF($I5797=0,0,$J5797-$M5797-$N5797)</f>
      </c>
    </row>
    <row r="5798">
      <c r="A5798"/>
      <c r="B5798">
        <v>13</v>
      </c>
      <c r="C5798" s="43">
        <f>INDEX(DarlObj,13)</f>
      </c>
      <c r="D5798">
        <v>35</v>
      </c>
      <c r="E5798" s="51">
        <f>IF(INDEX(DarlBelegt,13)=0,0,EOMONTH(INDEX(DarlAuszahlung,13),34)+1)</f>
      </c>
      <c r="F5798" s="43">
        <f>IF($E5798=0,0,YEAR($E5798))</f>
      </c>
      <c r="G5798" s="43">
        <f>IF(INDEX(DarlBindung,13)="",1,IF($E5798&lt;=INDEX(DarlBindung,13),1,0))</f>
      </c>
      <c r="H5798" s="43">
        <f>IF($G5798=1,INDEX(DarlSollzins,13),INDEX(DarlAnschluss,13))</f>
      </c>
      <c r="I5798" s="43">
        <f>IF(INDEX(DarlBelegt,13)=0,0,IF(INDEX(DarlOhneTilgung,13)=1,IF(INDEX(DarlBindung,13)="",1,$G5798),IF($J5798&gt;0.005,1,0)))</f>
      </c>
      <c r="J5798" s="43">
        <f>IF($I5797=0,0,$R5797)</f>
      </c>
      <c r="K5798" s="43">
        <f>IF($I5798=0,0,IF(INDEX(DarlOhneTilgung,13)=1,0,IF(AND(INDEX(DarlTilgStart,13)&gt;0,$E5798=INDEX(DarlTilgStart,13)),$J5798*($H5798+INDEX(DarlTilgung,13))/100/12,IF(AND($G5798=0,$G5797=1),MAX($K5797,$J5798*($H5798+1)/100/12),$K5797))))</f>
      </c>
      <c r="L5798" s="43">
        <f>IF($I5798=0,0,$J5798*$H5798/100/12)</f>
      </c>
      <c r="M5798" s="43">
        <f>IF($I5798=0,0,IF(OR(INDEX(DarlOhneTilgung,13)=1,AND(INDEX(DarlTilgStart,13)&gt;0,$E5798&lt;INDEX(DarlTilgStart,13))),0,MIN(MAX(0,$K5798-$L5798),$J5798)))</f>
      </c>
      <c r="N5798" s="43">
        <f>IF($I5798=0,0,MIN(SUMIFS(SondBetrag,SondDarl,13,SondDatum,"&gt;="&amp;$E5798,SondDatum,"&lt;="&amp;EOMONTH($E5798,0)),$J5798-$M5798))</f>
      </c>
      <c r="O5798" s="43">
        <f>IF($I5798=0,0,INDEX(DarlErsatzRate,13))</f>
      </c>
      <c r="P5798" s="43">
        <f>IF($I5798=0,0,$Q5797*INDEX(DarlErsatzZins,13))</f>
      </c>
      <c r="Q5798" s="43">
        <f>IF($I5798=0,0,$Q5797+$P5798+$O5798)</f>
      </c>
      <c r="R5798" s="43">
        <f>IF($I5798=0,0,$J5798-$M5798-$N5798)</f>
      </c>
    </row>
    <row r="5799">
      <c r="A5799"/>
      <c r="B5799">
        <v>13</v>
      </c>
      <c r="C5799" s="43">
        <f>INDEX(DarlObj,13)</f>
      </c>
      <c r="D5799">
        <v>36</v>
      </c>
      <c r="E5799" s="51">
        <f>IF(INDEX(DarlBelegt,13)=0,0,EOMONTH(INDEX(DarlAuszahlung,13),35)+1)</f>
      </c>
      <c r="F5799" s="43">
        <f>IF($E5799=0,0,YEAR($E5799))</f>
      </c>
      <c r="G5799" s="43">
        <f>IF(INDEX(DarlBindung,13)="",1,IF($E5799&lt;=INDEX(DarlBindung,13),1,0))</f>
      </c>
      <c r="H5799" s="43">
        <f>IF($G5799=1,INDEX(DarlSollzins,13),INDEX(DarlAnschluss,13))</f>
      </c>
      <c r="I5799" s="43">
        <f>IF(INDEX(DarlBelegt,13)=0,0,IF(INDEX(DarlOhneTilgung,13)=1,IF(INDEX(DarlBindung,13)="",1,$G5799),IF($J5799&gt;0.005,1,0)))</f>
      </c>
      <c r="J5799" s="43">
        <f>IF($I5798=0,0,$R5798)</f>
      </c>
      <c r="K5799" s="43">
        <f>IF($I5799=0,0,IF(INDEX(DarlOhneTilgung,13)=1,0,IF(AND(INDEX(DarlTilgStart,13)&gt;0,$E5799=INDEX(DarlTilgStart,13)),$J5799*($H5799+INDEX(DarlTilgung,13))/100/12,IF(AND($G5799=0,$G5798=1),MAX($K5798,$J5799*($H5799+1)/100/12),$K5798))))</f>
      </c>
      <c r="L5799" s="43">
        <f>IF($I5799=0,0,$J5799*$H5799/100/12)</f>
      </c>
      <c r="M5799" s="43">
        <f>IF($I5799=0,0,IF(OR(INDEX(DarlOhneTilgung,13)=1,AND(INDEX(DarlTilgStart,13)&gt;0,$E5799&lt;INDEX(DarlTilgStart,13))),0,MIN(MAX(0,$K5799-$L5799),$J5799)))</f>
      </c>
      <c r="N5799" s="43">
        <f>IF($I5799=0,0,MIN(SUMIFS(SondBetrag,SondDarl,13,SondDatum,"&gt;="&amp;$E5799,SondDatum,"&lt;="&amp;EOMONTH($E5799,0)),$J5799-$M5799))</f>
      </c>
      <c r="O5799" s="43">
        <f>IF($I5799=0,0,INDEX(DarlErsatzRate,13))</f>
      </c>
      <c r="P5799" s="43">
        <f>IF($I5799=0,0,$Q5798*INDEX(DarlErsatzZins,13))</f>
      </c>
      <c r="Q5799" s="43">
        <f>IF($I5799=0,0,$Q5798+$P5799+$O5799)</f>
      </c>
      <c r="R5799" s="43">
        <f>IF($I5799=0,0,$J5799-$M5799-$N5799)</f>
      </c>
    </row>
    <row r="5800">
      <c r="A5800"/>
      <c r="B5800">
        <v>13</v>
      </c>
      <c r="C5800" s="43">
        <f>INDEX(DarlObj,13)</f>
      </c>
      <c r="D5800">
        <v>37</v>
      </c>
      <c r="E5800" s="51">
        <f>IF(INDEX(DarlBelegt,13)=0,0,EOMONTH(INDEX(DarlAuszahlung,13),36)+1)</f>
      </c>
      <c r="F5800" s="43">
        <f>IF($E5800=0,0,YEAR($E5800))</f>
      </c>
      <c r="G5800" s="43">
        <f>IF(INDEX(DarlBindung,13)="",1,IF($E5800&lt;=INDEX(DarlBindung,13),1,0))</f>
      </c>
      <c r="H5800" s="43">
        <f>IF($G5800=1,INDEX(DarlSollzins,13),INDEX(DarlAnschluss,13))</f>
      </c>
      <c r="I5800" s="43">
        <f>IF(INDEX(DarlBelegt,13)=0,0,IF(INDEX(DarlOhneTilgung,13)=1,IF(INDEX(DarlBindung,13)="",1,$G5800),IF($J5800&gt;0.005,1,0)))</f>
      </c>
      <c r="J5800" s="43">
        <f>IF($I5799=0,0,$R5799)</f>
      </c>
      <c r="K5800" s="43">
        <f>IF($I5800=0,0,IF(INDEX(DarlOhneTilgung,13)=1,0,IF(AND(INDEX(DarlTilgStart,13)&gt;0,$E5800=INDEX(DarlTilgStart,13)),$J5800*($H5800+INDEX(DarlTilgung,13))/100/12,IF(AND($G5800=0,$G5799=1),MAX($K5799,$J5800*($H5800+1)/100/12),$K5799))))</f>
      </c>
      <c r="L5800" s="43">
        <f>IF($I5800=0,0,$J5800*$H5800/100/12)</f>
      </c>
      <c r="M5800" s="43">
        <f>IF($I5800=0,0,IF(OR(INDEX(DarlOhneTilgung,13)=1,AND(INDEX(DarlTilgStart,13)&gt;0,$E5800&lt;INDEX(DarlTilgStart,13))),0,MIN(MAX(0,$K5800-$L5800),$J5800)))</f>
      </c>
      <c r="N5800" s="43">
        <f>IF($I5800=0,0,MIN(SUMIFS(SondBetrag,SondDarl,13,SondDatum,"&gt;="&amp;$E5800,SondDatum,"&lt;="&amp;EOMONTH($E5800,0)),$J5800-$M5800))</f>
      </c>
      <c r="O5800" s="43">
        <f>IF($I5800=0,0,INDEX(DarlErsatzRate,13))</f>
      </c>
      <c r="P5800" s="43">
        <f>IF($I5800=0,0,$Q5799*INDEX(DarlErsatzZins,13))</f>
      </c>
      <c r="Q5800" s="43">
        <f>IF($I5800=0,0,$Q5799+$P5800+$O5800)</f>
      </c>
      <c r="R5800" s="43">
        <f>IF($I5800=0,0,$J5800-$M5800-$N5800)</f>
      </c>
    </row>
    <row r="5801">
      <c r="A5801"/>
      <c r="B5801">
        <v>13</v>
      </c>
      <c r="C5801" s="43">
        <f>INDEX(DarlObj,13)</f>
      </c>
      <c r="D5801">
        <v>38</v>
      </c>
      <c r="E5801" s="51">
        <f>IF(INDEX(DarlBelegt,13)=0,0,EOMONTH(INDEX(DarlAuszahlung,13),37)+1)</f>
      </c>
      <c r="F5801" s="43">
        <f>IF($E5801=0,0,YEAR($E5801))</f>
      </c>
      <c r="G5801" s="43">
        <f>IF(INDEX(DarlBindung,13)="",1,IF($E5801&lt;=INDEX(DarlBindung,13),1,0))</f>
      </c>
      <c r="H5801" s="43">
        <f>IF($G5801=1,INDEX(DarlSollzins,13),INDEX(DarlAnschluss,13))</f>
      </c>
      <c r="I5801" s="43">
        <f>IF(INDEX(DarlBelegt,13)=0,0,IF(INDEX(DarlOhneTilgung,13)=1,IF(INDEX(DarlBindung,13)="",1,$G5801),IF($J5801&gt;0.005,1,0)))</f>
      </c>
      <c r="J5801" s="43">
        <f>IF($I5800=0,0,$R5800)</f>
      </c>
      <c r="K5801" s="43">
        <f>IF($I5801=0,0,IF(INDEX(DarlOhneTilgung,13)=1,0,IF(AND(INDEX(DarlTilgStart,13)&gt;0,$E5801=INDEX(DarlTilgStart,13)),$J5801*($H5801+INDEX(DarlTilgung,13))/100/12,IF(AND($G5801=0,$G5800=1),MAX($K5800,$J5801*($H5801+1)/100/12),$K5800))))</f>
      </c>
      <c r="L5801" s="43">
        <f>IF($I5801=0,0,$J5801*$H5801/100/12)</f>
      </c>
      <c r="M5801" s="43">
        <f>IF($I5801=0,0,IF(OR(INDEX(DarlOhneTilgung,13)=1,AND(INDEX(DarlTilgStart,13)&gt;0,$E5801&lt;INDEX(DarlTilgStart,13))),0,MIN(MAX(0,$K5801-$L5801),$J5801)))</f>
      </c>
      <c r="N5801" s="43">
        <f>IF($I5801=0,0,MIN(SUMIFS(SondBetrag,SondDarl,13,SondDatum,"&gt;="&amp;$E5801,SondDatum,"&lt;="&amp;EOMONTH($E5801,0)),$J5801-$M5801))</f>
      </c>
      <c r="O5801" s="43">
        <f>IF($I5801=0,0,INDEX(DarlErsatzRate,13))</f>
      </c>
      <c r="P5801" s="43">
        <f>IF($I5801=0,0,$Q5800*INDEX(DarlErsatzZins,13))</f>
      </c>
      <c r="Q5801" s="43">
        <f>IF($I5801=0,0,$Q5800+$P5801+$O5801)</f>
      </c>
      <c r="R5801" s="43">
        <f>IF($I5801=0,0,$J5801-$M5801-$N5801)</f>
      </c>
    </row>
    <row r="5802">
      <c r="A5802"/>
      <c r="B5802">
        <v>13</v>
      </c>
      <c r="C5802" s="43">
        <f>INDEX(DarlObj,13)</f>
      </c>
      <c r="D5802">
        <v>39</v>
      </c>
      <c r="E5802" s="51">
        <f>IF(INDEX(DarlBelegt,13)=0,0,EOMONTH(INDEX(DarlAuszahlung,13),38)+1)</f>
      </c>
      <c r="F5802" s="43">
        <f>IF($E5802=0,0,YEAR($E5802))</f>
      </c>
      <c r="G5802" s="43">
        <f>IF(INDEX(DarlBindung,13)="",1,IF($E5802&lt;=INDEX(DarlBindung,13),1,0))</f>
      </c>
      <c r="H5802" s="43">
        <f>IF($G5802=1,INDEX(DarlSollzins,13),INDEX(DarlAnschluss,13))</f>
      </c>
      <c r="I5802" s="43">
        <f>IF(INDEX(DarlBelegt,13)=0,0,IF(INDEX(DarlOhneTilgung,13)=1,IF(INDEX(DarlBindung,13)="",1,$G5802),IF($J5802&gt;0.005,1,0)))</f>
      </c>
      <c r="J5802" s="43">
        <f>IF($I5801=0,0,$R5801)</f>
      </c>
      <c r="K5802" s="43">
        <f>IF($I5802=0,0,IF(INDEX(DarlOhneTilgung,13)=1,0,IF(AND(INDEX(DarlTilgStart,13)&gt;0,$E5802=INDEX(DarlTilgStart,13)),$J5802*($H5802+INDEX(DarlTilgung,13))/100/12,IF(AND($G5802=0,$G5801=1),MAX($K5801,$J5802*($H5802+1)/100/12),$K5801))))</f>
      </c>
      <c r="L5802" s="43">
        <f>IF($I5802=0,0,$J5802*$H5802/100/12)</f>
      </c>
      <c r="M5802" s="43">
        <f>IF($I5802=0,0,IF(OR(INDEX(DarlOhneTilgung,13)=1,AND(INDEX(DarlTilgStart,13)&gt;0,$E5802&lt;INDEX(DarlTilgStart,13))),0,MIN(MAX(0,$K5802-$L5802),$J5802)))</f>
      </c>
      <c r="N5802" s="43">
        <f>IF($I5802=0,0,MIN(SUMIFS(SondBetrag,SondDarl,13,SondDatum,"&gt;="&amp;$E5802,SondDatum,"&lt;="&amp;EOMONTH($E5802,0)),$J5802-$M5802))</f>
      </c>
      <c r="O5802" s="43">
        <f>IF($I5802=0,0,INDEX(DarlErsatzRate,13))</f>
      </c>
      <c r="P5802" s="43">
        <f>IF($I5802=0,0,$Q5801*INDEX(DarlErsatzZins,13))</f>
      </c>
      <c r="Q5802" s="43">
        <f>IF($I5802=0,0,$Q5801+$P5802+$O5802)</f>
      </c>
      <c r="R5802" s="43">
        <f>IF($I5802=0,0,$J5802-$M5802-$N5802)</f>
      </c>
    </row>
    <row r="5803">
      <c r="A5803"/>
      <c r="B5803">
        <v>13</v>
      </c>
      <c r="C5803" s="43">
        <f>INDEX(DarlObj,13)</f>
      </c>
      <c r="D5803">
        <v>40</v>
      </c>
      <c r="E5803" s="51">
        <f>IF(INDEX(DarlBelegt,13)=0,0,EOMONTH(INDEX(DarlAuszahlung,13),39)+1)</f>
      </c>
      <c r="F5803" s="43">
        <f>IF($E5803=0,0,YEAR($E5803))</f>
      </c>
      <c r="G5803" s="43">
        <f>IF(INDEX(DarlBindung,13)="",1,IF($E5803&lt;=INDEX(DarlBindung,13),1,0))</f>
      </c>
      <c r="H5803" s="43">
        <f>IF($G5803=1,INDEX(DarlSollzins,13),INDEX(DarlAnschluss,13))</f>
      </c>
      <c r="I5803" s="43">
        <f>IF(INDEX(DarlBelegt,13)=0,0,IF(INDEX(DarlOhneTilgung,13)=1,IF(INDEX(DarlBindung,13)="",1,$G5803),IF($J5803&gt;0.005,1,0)))</f>
      </c>
      <c r="J5803" s="43">
        <f>IF($I5802=0,0,$R5802)</f>
      </c>
      <c r="K5803" s="43">
        <f>IF($I5803=0,0,IF(INDEX(DarlOhneTilgung,13)=1,0,IF(AND(INDEX(DarlTilgStart,13)&gt;0,$E5803=INDEX(DarlTilgStart,13)),$J5803*($H5803+INDEX(DarlTilgung,13))/100/12,IF(AND($G5803=0,$G5802=1),MAX($K5802,$J5803*($H5803+1)/100/12),$K5802))))</f>
      </c>
      <c r="L5803" s="43">
        <f>IF($I5803=0,0,$J5803*$H5803/100/12)</f>
      </c>
      <c r="M5803" s="43">
        <f>IF($I5803=0,0,IF(OR(INDEX(DarlOhneTilgung,13)=1,AND(INDEX(DarlTilgStart,13)&gt;0,$E5803&lt;INDEX(DarlTilgStart,13))),0,MIN(MAX(0,$K5803-$L5803),$J5803)))</f>
      </c>
      <c r="N5803" s="43">
        <f>IF($I5803=0,0,MIN(SUMIFS(SondBetrag,SondDarl,13,SondDatum,"&gt;="&amp;$E5803,SondDatum,"&lt;="&amp;EOMONTH($E5803,0)),$J5803-$M5803))</f>
      </c>
      <c r="O5803" s="43">
        <f>IF($I5803=0,0,INDEX(DarlErsatzRate,13))</f>
      </c>
      <c r="P5803" s="43">
        <f>IF($I5803=0,0,$Q5802*INDEX(DarlErsatzZins,13))</f>
      </c>
      <c r="Q5803" s="43">
        <f>IF($I5803=0,0,$Q5802+$P5803+$O5803)</f>
      </c>
      <c r="R5803" s="43">
        <f>IF($I5803=0,0,$J5803-$M5803-$N5803)</f>
      </c>
    </row>
    <row r="5804">
      <c r="A5804"/>
      <c r="B5804">
        <v>13</v>
      </c>
      <c r="C5804" s="43">
        <f>INDEX(DarlObj,13)</f>
      </c>
      <c r="D5804">
        <v>41</v>
      </c>
      <c r="E5804" s="51">
        <f>IF(INDEX(DarlBelegt,13)=0,0,EOMONTH(INDEX(DarlAuszahlung,13),40)+1)</f>
      </c>
      <c r="F5804" s="43">
        <f>IF($E5804=0,0,YEAR($E5804))</f>
      </c>
      <c r="G5804" s="43">
        <f>IF(INDEX(DarlBindung,13)="",1,IF($E5804&lt;=INDEX(DarlBindung,13),1,0))</f>
      </c>
      <c r="H5804" s="43">
        <f>IF($G5804=1,INDEX(DarlSollzins,13),INDEX(DarlAnschluss,13))</f>
      </c>
      <c r="I5804" s="43">
        <f>IF(INDEX(DarlBelegt,13)=0,0,IF(INDEX(DarlOhneTilgung,13)=1,IF(INDEX(DarlBindung,13)="",1,$G5804),IF($J5804&gt;0.005,1,0)))</f>
      </c>
      <c r="J5804" s="43">
        <f>IF($I5803=0,0,$R5803)</f>
      </c>
      <c r="K5804" s="43">
        <f>IF($I5804=0,0,IF(INDEX(DarlOhneTilgung,13)=1,0,IF(AND(INDEX(DarlTilgStart,13)&gt;0,$E5804=INDEX(DarlTilgStart,13)),$J5804*($H5804+INDEX(DarlTilgung,13))/100/12,IF(AND($G5804=0,$G5803=1),MAX($K5803,$J5804*($H5804+1)/100/12),$K5803))))</f>
      </c>
      <c r="L5804" s="43">
        <f>IF($I5804=0,0,$J5804*$H5804/100/12)</f>
      </c>
      <c r="M5804" s="43">
        <f>IF($I5804=0,0,IF(OR(INDEX(DarlOhneTilgung,13)=1,AND(INDEX(DarlTilgStart,13)&gt;0,$E5804&lt;INDEX(DarlTilgStart,13))),0,MIN(MAX(0,$K5804-$L5804),$J5804)))</f>
      </c>
      <c r="N5804" s="43">
        <f>IF($I5804=0,0,MIN(SUMIFS(SondBetrag,SondDarl,13,SondDatum,"&gt;="&amp;$E5804,SondDatum,"&lt;="&amp;EOMONTH($E5804,0)),$J5804-$M5804))</f>
      </c>
      <c r="O5804" s="43">
        <f>IF($I5804=0,0,INDEX(DarlErsatzRate,13))</f>
      </c>
      <c r="P5804" s="43">
        <f>IF($I5804=0,0,$Q5803*INDEX(DarlErsatzZins,13))</f>
      </c>
      <c r="Q5804" s="43">
        <f>IF($I5804=0,0,$Q5803+$P5804+$O5804)</f>
      </c>
      <c r="R5804" s="43">
        <f>IF($I5804=0,0,$J5804-$M5804-$N5804)</f>
      </c>
    </row>
    <row r="5805">
      <c r="A5805"/>
      <c r="B5805">
        <v>13</v>
      </c>
      <c r="C5805" s="43">
        <f>INDEX(DarlObj,13)</f>
      </c>
      <c r="D5805">
        <v>42</v>
      </c>
      <c r="E5805" s="51">
        <f>IF(INDEX(DarlBelegt,13)=0,0,EOMONTH(INDEX(DarlAuszahlung,13),41)+1)</f>
      </c>
      <c r="F5805" s="43">
        <f>IF($E5805=0,0,YEAR($E5805))</f>
      </c>
      <c r="G5805" s="43">
        <f>IF(INDEX(DarlBindung,13)="",1,IF($E5805&lt;=INDEX(DarlBindung,13),1,0))</f>
      </c>
      <c r="H5805" s="43">
        <f>IF($G5805=1,INDEX(DarlSollzins,13),INDEX(DarlAnschluss,13))</f>
      </c>
      <c r="I5805" s="43">
        <f>IF(INDEX(DarlBelegt,13)=0,0,IF(INDEX(DarlOhneTilgung,13)=1,IF(INDEX(DarlBindung,13)="",1,$G5805),IF($J5805&gt;0.005,1,0)))</f>
      </c>
      <c r="J5805" s="43">
        <f>IF($I5804=0,0,$R5804)</f>
      </c>
      <c r="K5805" s="43">
        <f>IF($I5805=0,0,IF(INDEX(DarlOhneTilgung,13)=1,0,IF(AND(INDEX(DarlTilgStart,13)&gt;0,$E5805=INDEX(DarlTilgStart,13)),$J5805*($H5805+INDEX(DarlTilgung,13))/100/12,IF(AND($G5805=0,$G5804=1),MAX($K5804,$J5805*($H5805+1)/100/12),$K5804))))</f>
      </c>
      <c r="L5805" s="43">
        <f>IF($I5805=0,0,$J5805*$H5805/100/12)</f>
      </c>
      <c r="M5805" s="43">
        <f>IF($I5805=0,0,IF(OR(INDEX(DarlOhneTilgung,13)=1,AND(INDEX(DarlTilgStart,13)&gt;0,$E5805&lt;INDEX(DarlTilgStart,13))),0,MIN(MAX(0,$K5805-$L5805),$J5805)))</f>
      </c>
      <c r="N5805" s="43">
        <f>IF($I5805=0,0,MIN(SUMIFS(SondBetrag,SondDarl,13,SondDatum,"&gt;="&amp;$E5805,SondDatum,"&lt;="&amp;EOMONTH($E5805,0)),$J5805-$M5805))</f>
      </c>
      <c r="O5805" s="43">
        <f>IF($I5805=0,0,INDEX(DarlErsatzRate,13))</f>
      </c>
      <c r="P5805" s="43">
        <f>IF($I5805=0,0,$Q5804*INDEX(DarlErsatzZins,13))</f>
      </c>
      <c r="Q5805" s="43">
        <f>IF($I5805=0,0,$Q5804+$P5805+$O5805)</f>
      </c>
      <c r="R5805" s="43">
        <f>IF($I5805=0,0,$J5805-$M5805-$N5805)</f>
      </c>
    </row>
    <row r="5806">
      <c r="A5806"/>
      <c r="B5806">
        <v>13</v>
      </c>
      <c r="C5806" s="43">
        <f>INDEX(DarlObj,13)</f>
      </c>
      <c r="D5806">
        <v>43</v>
      </c>
      <c r="E5806" s="51">
        <f>IF(INDEX(DarlBelegt,13)=0,0,EOMONTH(INDEX(DarlAuszahlung,13),42)+1)</f>
      </c>
      <c r="F5806" s="43">
        <f>IF($E5806=0,0,YEAR($E5806))</f>
      </c>
      <c r="G5806" s="43">
        <f>IF(INDEX(DarlBindung,13)="",1,IF($E5806&lt;=INDEX(DarlBindung,13),1,0))</f>
      </c>
      <c r="H5806" s="43">
        <f>IF($G5806=1,INDEX(DarlSollzins,13),INDEX(DarlAnschluss,13))</f>
      </c>
      <c r="I5806" s="43">
        <f>IF(INDEX(DarlBelegt,13)=0,0,IF(INDEX(DarlOhneTilgung,13)=1,IF(INDEX(DarlBindung,13)="",1,$G5806),IF($J5806&gt;0.005,1,0)))</f>
      </c>
      <c r="J5806" s="43">
        <f>IF($I5805=0,0,$R5805)</f>
      </c>
      <c r="K5806" s="43">
        <f>IF($I5806=0,0,IF(INDEX(DarlOhneTilgung,13)=1,0,IF(AND(INDEX(DarlTilgStart,13)&gt;0,$E5806=INDEX(DarlTilgStart,13)),$J5806*($H5806+INDEX(DarlTilgung,13))/100/12,IF(AND($G5806=0,$G5805=1),MAX($K5805,$J5806*($H5806+1)/100/12),$K5805))))</f>
      </c>
      <c r="L5806" s="43">
        <f>IF($I5806=0,0,$J5806*$H5806/100/12)</f>
      </c>
      <c r="M5806" s="43">
        <f>IF($I5806=0,0,IF(OR(INDEX(DarlOhneTilgung,13)=1,AND(INDEX(DarlTilgStart,13)&gt;0,$E5806&lt;INDEX(DarlTilgStart,13))),0,MIN(MAX(0,$K5806-$L5806),$J5806)))</f>
      </c>
      <c r="N5806" s="43">
        <f>IF($I5806=0,0,MIN(SUMIFS(SondBetrag,SondDarl,13,SondDatum,"&gt;="&amp;$E5806,SondDatum,"&lt;="&amp;EOMONTH($E5806,0)),$J5806-$M5806))</f>
      </c>
      <c r="O5806" s="43">
        <f>IF($I5806=0,0,INDEX(DarlErsatzRate,13))</f>
      </c>
      <c r="P5806" s="43">
        <f>IF($I5806=0,0,$Q5805*INDEX(DarlErsatzZins,13))</f>
      </c>
      <c r="Q5806" s="43">
        <f>IF($I5806=0,0,$Q5805+$P5806+$O5806)</f>
      </c>
      <c r="R5806" s="43">
        <f>IF($I5806=0,0,$J5806-$M5806-$N5806)</f>
      </c>
    </row>
    <row r="5807">
      <c r="A5807"/>
      <c r="B5807">
        <v>13</v>
      </c>
      <c r="C5807" s="43">
        <f>INDEX(DarlObj,13)</f>
      </c>
      <c r="D5807">
        <v>44</v>
      </c>
      <c r="E5807" s="51">
        <f>IF(INDEX(DarlBelegt,13)=0,0,EOMONTH(INDEX(DarlAuszahlung,13),43)+1)</f>
      </c>
      <c r="F5807" s="43">
        <f>IF($E5807=0,0,YEAR($E5807))</f>
      </c>
      <c r="G5807" s="43">
        <f>IF(INDEX(DarlBindung,13)="",1,IF($E5807&lt;=INDEX(DarlBindung,13),1,0))</f>
      </c>
      <c r="H5807" s="43">
        <f>IF($G5807=1,INDEX(DarlSollzins,13),INDEX(DarlAnschluss,13))</f>
      </c>
      <c r="I5807" s="43">
        <f>IF(INDEX(DarlBelegt,13)=0,0,IF(INDEX(DarlOhneTilgung,13)=1,IF(INDEX(DarlBindung,13)="",1,$G5807),IF($J5807&gt;0.005,1,0)))</f>
      </c>
      <c r="J5807" s="43">
        <f>IF($I5806=0,0,$R5806)</f>
      </c>
      <c r="K5807" s="43">
        <f>IF($I5807=0,0,IF(INDEX(DarlOhneTilgung,13)=1,0,IF(AND(INDEX(DarlTilgStart,13)&gt;0,$E5807=INDEX(DarlTilgStart,13)),$J5807*($H5807+INDEX(DarlTilgung,13))/100/12,IF(AND($G5807=0,$G5806=1),MAX($K5806,$J5807*($H5807+1)/100/12),$K5806))))</f>
      </c>
      <c r="L5807" s="43">
        <f>IF($I5807=0,0,$J5807*$H5807/100/12)</f>
      </c>
      <c r="M5807" s="43">
        <f>IF($I5807=0,0,IF(OR(INDEX(DarlOhneTilgung,13)=1,AND(INDEX(DarlTilgStart,13)&gt;0,$E5807&lt;INDEX(DarlTilgStart,13))),0,MIN(MAX(0,$K5807-$L5807),$J5807)))</f>
      </c>
      <c r="N5807" s="43">
        <f>IF($I5807=0,0,MIN(SUMIFS(SondBetrag,SondDarl,13,SondDatum,"&gt;="&amp;$E5807,SondDatum,"&lt;="&amp;EOMONTH($E5807,0)),$J5807-$M5807))</f>
      </c>
      <c r="O5807" s="43">
        <f>IF($I5807=0,0,INDEX(DarlErsatzRate,13))</f>
      </c>
      <c r="P5807" s="43">
        <f>IF($I5807=0,0,$Q5806*INDEX(DarlErsatzZins,13))</f>
      </c>
      <c r="Q5807" s="43">
        <f>IF($I5807=0,0,$Q5806+$P5807+$O5807)</f>
      </c>
      <c r="R5807" s="43">
        <f>IF($I5807=0,0,$J5807-$M5807-$N5807)</f>
      </c>
    </row>
    <row r="5808">
      <c r="A5808"/>
      <c r="B5808">
        <v>13</v>
      </c>
      <c r="C5808" s="43">
        <f>INDEX(DarlObj,13)</f>
      </c>
      <c r="D5808">
        <v>45</v>
      </c>
      <c r="E5808" s="51">
        <f>IF(INDEX(DarlBelegt,13)=0,0,EOMONTH(INDEX(DarlAuszahlung,13),44)+1)</f>
      </c>
      <c r="F5808" s="43">
        <f>IF($E5808=0,0,YEAR($E5808))</f>
      </c>
      <c r="G5808" s="43">
        <f>IF(INDEX(DarlBindung,13)="",1,IF($E5808&lt;=INDEX(DarlBindung,13),1,0))</f>
      </c>
      <c r="H5808" s="43">
        <f>IF($G5808=1,INDEX(DarlSollzins,13),INDEX(DarlAnschluss,13))</f>
      </c>
      <c r="I5808" s="43">
        <f>IF(INDEX(DarlBelegt,13)=0,0,IF(INDEX(DarlOhneTilgung,13)=1,IF(INDEX(DarlBindung,13)="",1,$G5808),IF($J5808&gt;0.005,1,0)))</f>
      </c>
      <c r="J5808" s="43">
        <f>IF($I5807=0,0,$R5807)</f>
      </c>
      <c r="K5808" s="43">
        <f>IF($I5808=0,0,IF(INDEX(DarlOhneTilgung,13)=1,0,IF(AND(INDEX(DarlTilgStart,13)&gt;0,$E5808=INDEX(DarlTilgStart,13)),$J5808*($H5808+INDEX(DarlTilgung,13))/100/12,IF(AND($G5808=0,$G5807=1),MAX($K5807,$J5808*($H5808+1)/100/12),$K5807))))</f>
      </c>
      <c r="L5808" s="43">
        <f>IF($I5808=0,0,$J5808*$H5808/100/12)</f>
      </c>
      <c r="M5808" s="43">
        <f>IF($I5808=0,0,IF(OR(INDEX(DarlOhneTilgung,13)=1,AND(INDEX(DarlTilgStart,13)&gt;0,$E5808&lt;INDEX(DarlTilgStart,13))),0,MIN(MAX(0,$K5808-$L5808),$J5808)))</f>
      </c>
      <c r="N5808" s="43">
        <f>IF($I5808=0,0,MIN(SUMIFS(SondBetrag,SondDarl,13,SondDatum,"&gt;="&amp;$E5808,SondDatum,"&lt;="&amp;EOMONTH($E5808,0)),$J5808-$M5808))</f>
      </c>
      <c r="O5808" s="43">
        <f>IF($I5808=0,0,INDEX(DarlErsatzRate,13))</f>
      </c>
      <c r="P5808" s="43">
        <f>IF($I5808=0,0,$Q5807*INDEX(DarlErsatzZins,13))</f>
      </c>
      <c r="Q5808" s="43">
        <f>IF($I5808=0,0,$Q5807+$P5808+$O5808)</f>
      </c>
      <c r="R5808" s="43">
        <f>IF($I5808=0,0,$J5808-$M5808-$N5808)</f>
      </c>
    </row>
    <row r="5809">
      <c r="A5809"/>
      <c r="B5809">
        <v>13</v>
      </c>
      <c r="C5809" s="43">
        <f>INDEX(DarlObj,13)</f>
      </c>
      <c r="D5809">
        <v>46</v>
      </c>
      <c r="E5809" s="51">
        <f>IF(INDEX(DarlBelegt,13)=0,0,EOMONTH(INDEX(DarlAuszahlung,13),45)+1)</f>
      </c>
      <c r="F5809" s="43">
        <f>IF($E5809=0,0,YEAR($E5809))</f>
      </c>
      <c r="G5809" s="43">
        <f>IF(INDEX(DarlBindung,13)="",1,IF($E5809&lt;=INDEX(DarlBindung,13),1,0))</f>
      </c>
      <c r="H5809" s="43">
        <f>IF($G5809=1,INDEX(DarlSollzins,13),INDEX(DarlAnschluss,13))</f>
      </c>
      <c r="I5809" s="43">
        <f>IF(INDEX(DarlBelegt,13)=0,0,IF(INDEX(DarlOhneTilgung,13)=1,IF(INDEX(DarlBindung,13)="",1,$G5809),IF($J5809&gt;0.005,1,0)))</f>
      </c>
      <c r="J5809" s="43">
        <f>IF($I5808=0,0,$R5808)</f>
      </c>
      <c r="K5809" s="43">
        <f>IF($I5809=0,0,IF(INDEX(DarlOhneTilgung,13)=1,0,IF(AND(INDEX(DarlTilgStart,13)&gt;0,$E5809=INDEX(DarlTilgStart,13)),$J5809*($H5809+INDEX(DarlTilgung,13))/100/12,IF(AND($G5809=0,$G5808=1),MAX($K5808,$J5809*($H5809+1)/100/12),$K5808))))</f>
      </c>
      <c r="L5809" s="43">
        <f>IF($I5809=0,0,$J5809*$H5809/100/12)</f>
      </c>
      <c r="M5809" s="43">
        <f>IF($I5809=0,0,IF(OR(INDEX(DarlOhneTilgung,13)=1,AND(INDEX(DarlTilgStart,13)&gt;0,$E5809&lt;INDEX(DarlTilgStart,13))),0,MIN(MAX(0,$K5809-$L5809),$J5809)))</f>
      </c>
      <c r="N5809" s="43">
        <f>IF($I5809=0,0,MIN(SUMIFS(SondBetrag,SondDarl,13,SondDatum,"&gt;="&amp;$E5809,SondDatum,"&lt;="&amp;EOMONTH($E5809,0)),$J5809-$M5809))</f>
      </c>
      <c r="O5809" s="43">
        <f>IF($I5809=0,0,INDEX(DarlErsatzRate,13))</f>
      </c>
      <c r="P5809" s="43">
        <f>IF($I5809=0,0,$Q5808*INDEX(DarlErsatzZins,13))</f>
      </c>
      <c r="Q5809" s="43">
        <f>IF($I5809=0,0,$Q5808+$P5809+$O5809)</f>
      </c>
      <c r="R5809" s="43">
        <f>IF($I5809=0,0,$J5809-$M5809-$N5809)</f>
      </c>
    </row>
    <row r="5810">
      <c r="A5810"/>
      <c r="B5810">
        <v>13</v>
      </c>
      <c r="C5810" s="43">
        <f>INDEX(DarlObj,13)</f>
      </c>
      <c r="D5810">
        <v>47</v>
      </c>
      <c r="E5810" s="51">
        <f>IF(INDEX(DarlBelegt,13)=0,0,EOMONTH(INDEX(DarlAuszahlung,13),46)+1)</f>
      </c>
      <c r="F5810" s="43">
        <f>IF($E5810=0,0,YEAR($E5810))</f>
      </c>
      <c r="G5810" s="43">
        <f>IF(INDEX(DarlBindung,13)="",1,IF($E5810&lt;=INDEX(DarlBindung,13),1,0))</f>
      </c>
      <c r="H5810" s="43">
        <f>IF($G5810=1,INDEX(DarlSollzins,13),INDEX(DarlAnschluss,13))</f>
      </c>
      <c r="I5810" s="43">
        <f>IF(INDEX(DarlBelegt,13)=0,0,IF(INDEX(DarlOhneTilgung,13)=1,IF(INDEX(DarlBindung,13)="",1,$G5810),IF($J5810&gt;0.005,1,0)))</f>
      </c>
      <c r="J5810" s="43">
        <f>IF($I5809=0,0,$R5809)</f>
      </c>
      <c r="K5810" s="43">
        <f>IF($I5810=0,0,IF(INDEX(DarlOhneTilgung,13)=1,0,IF(AND(INDEX(DarlTilgStart,13)&gt;0,$E5810=INDEX(DarlTilgStart,13)),$J5810*($H5810+INDEX(DarlTilgung,13))/100/12,IF(AND($G5810=0,$G5809=1),MAX($K5809,$J5810*($H5810+1)/100/12),$K5809))))</f>
      </c>
      <c r="L5810" s="43">
        <f>IF($I5810=0,0,$J5810*$H5810/100/12)</f>
      </c>
      <c r="M5810" s="43">
        <f>IF($I5810=0,0,IF(OR(INDEX(DarlOhneTilgung,13)=1,AND(INDEX(DarlTilgStart,13)&gt;0,$E5810&lt;INDEX(DarlTilgStart,13))),0,MIN(MAX(0,$K5810-$L5810),$J5810)))</f>
      </c>
      <c r="N5810" s="43">
        <f>IF($I5810=0,0,MIN(SUMIFS(SondBetrag,SondDarl,13,SondDatum,"&gt;="&amp;$E5810,SondDatum,"&lt;="&amp;EOMONTH($E5810,0)),$J5810-$M5810))</f>
      </c>
      <c r="O5810" s="43">
        <f>IF($I5810=0,0,INDEX(DarlErsatzRate,13))</f>
      </c>
      <c r="P5810" s="43">
        <f>IF($I5810=0,0,$Q5809*INDEX(DarlErsatzZins,13))</f>
      </c>
      <c r="Q5810" s="43">
        <f>IF($I5810=0,0,$Q5809+$P5810+$O5810)</f>
      </c>
      <c r="R5810" s="43">
        <f>IF($I5810=0,0,$J5810-$M5810-$N5810)</f>
      </c>
    </row>
    <row r="5811">
      <c r="A5811"/>
      <c r="B5811">
        <v>13</v>
      </c>
      <c r="C5811" s="43">
        <f>INDEX(DarlObj,13)</f>
      </c>
      <c r="D5811">
        <v>48</v>
      </c>
      <c r="E5811" s="51">
        <f>IF(INDEX(DarlBelegt,13)=0,0,EOMONTH(INDEX(DarlAuszahlung,13),47)+1)</f>
      </c>
      <c r="F5811" s="43">
        <f>IF($E5811=0,0,YEAR($E5811))</f>
      </c>
      <c r="G5811" s="43">
        <f>IF(INDEX(DarlBindung,13)="",1,IF($E5811&lt;=INDEX(DarlBindung,13),1,0))</f>
      </c>
      <c r="H5811" s="43">
        <f>IF($G5811=1,INDEX(DarlSollzins,13),INDEX(DarlAnschluss,13))</f>
      </c>
      <c r="I5811" s="43">
        <f>IF(INDEX(DarlBelegt,13)=0,0,IF(INDEX(DarlOhneTilgung,13)=1,IF(INDEX(DarlBindung,13)="",1,$G5811),IF($J5811&gt;0.005,1,0)))</f>
      </c>
      <c r="J5811" s="43">
        <f>IF($I5810=0,0,$R5810)</f>
      </c>
      <c r="K5811" s="43">
        <f>IF($I5811=0,0,IF(INDEX(DarlOhneTilgung,13)=1,0,IF(AND(INDEX(DarlTilgStart,13)&gt;0,$E5811=INDEX(DarlTilgStart,13)),$J5811*($H5811+INDEX(DarlTilgung,13))/100/12,IF(AND($G5811=0,$G5810=1),MAX($K5810,$J5811*($H5811+1)/100/12),$K5810))))</f>
      </c>
      <c r="L5811" s="43">
        <f>IF($I5811=0,0,$J5811*$H5811/100/12)</f>
      </c>
      <c r="M5811" s="43">
        <f>IF($I5811=0,0,IF(OR(INDEX(DarlOhneTilgung,13)=1,AND(INDEX(DarlTilgStart,13)&gt;0,$E5811&lt;INDEX(DarlTilgStart,13))),0,MIN(MAX(0,$K5811-$L5811),$J5811)))</f>
      </c>
      <c r="N5811" s="43">
        <f>IF($I5811=0,0,MIN(SUMIFS(SondBetrag,SondDarl,13,SondDatum,"&gt;="&amp;$E5811,SondDatum,"&lt;="&amp;EOMONTH($E5811,0)),$J5811-$M5811))</f>
      </c>
      <c r="O5811" s="43">
        <f>IF($I5811=0,0,INDEX(DarlErsatzRate,13))</f>
      </c>
      <c r="P5811" s="43">
        <f>IF($I5811=0,0,$Q5810*INDEX(DarlErsatzZins,13))</f>
      </c>
      <c r="Q5811" s="43">
        <f>IF($I5811=0,0,$Q5810+$P5811+$O5811)</f>
      </c>
      <c r="R5811" s="43">
        <f>IF($I5811=0,0,$J5811-$M5811-$N5811)</f>
      </c>
    </row>
    <row r="5812">
      <c r="A5812"/>
      <c r="B5812">
        <v>13</v>
      </c>
      <c r="C5812" s="43">
        <f>INDEX(DarlObj,13)</f>
      </c>
      <c r="D5812">
        <v>49</v>
      </c>
      <c r="E5812" s="51">
        <f>IF(INDEX(DarlBelegt,13)=0,0,EOMONTH(INDEX(DarlAuszahlung,13),48)+1)</f>
      </c>
      <c r="F5812" s="43">
        <f>IF($E5812=0,0,YEAR($E5812))</f>
      </c>
      <c r="G5812" s="43">
        <f>IF(INDEX(DarlBindung,13)="",1,IF($E5812&lt;=INDEX(DarlBindung,13),1,0))</f>
      </c>
      <c r="H5812" s="43">
        <f>IF($G5812=1,INDEX(DarlSollzins,13),INDEX(DarlAnschluss,13))</f>
      </c>
      <c r="I5812" s="43">
        <f>IF(INDEX(DarlBelegt,13)=0,0,IF(INDEX(DarlOhneTilgung,13)=1,IF(INDEX(DarlBindung,13)="",1,$G5812),IF($J5812&gt;0.005,1,0)))</f>
      </c>
      <c r="J5812" s="43">
        <f>IF($I5811=0,0,$R5811)</f>
      </c>
      <c r="K5812" s="43">
        <f>IF($I5812=0,0,IF(INDEX(DarlOhneTilgung,13)=1,0,IF(AND(INDEX(DarlTilgStart,13)&gt;0,$E5812=INDEX(DarlTilgStart,13)),$J5812*($H5812+INDEX(DarlTilgung,13))/100/12,IF(AND($G5812=0,$G5811=1),MAX($K5811,$J5812*($H5812+1)/100/12),$K5811))))</f>
      </c>
      <c r="L5812" s="43">
        <f>IF($I5812=0,0,$J5812*$H5812/100/12)</f>
      </c>
      <c r="M5812" s="43">
        <f>IF($I5812=0,0,IF(OR(INDEX(DarlOhneTilgung,13)=1,AND(INDEX(DarlTilgStart,13)&gt;0,$E5812&lt;INDEX(DarlTilgStart,13))),0,MIN(MAX(0,$K5812-$L5812),$J5812)))</f>
      </c>
      <c r="N5812" s="43">
        <f>IF($I5812=0,0,MIN(SUMIFS(SondBetrag,SondDarl,13,SondDatum,"&gt;="&amp;$E5812,SondDatum,"&lt;="&amp;EOMONTH($E5812,0)),$J5812-$M5812))</f>
      </c>
      <c r="O5812" s="43">
        <f>IF($I5812=0,0,INDEX(DarlErsatzRate,13))</f>
      </c>
      <c r="P5812" s="43">
        <f>IF($I5812=0,0,$Q5811*INDEX(DarlErsatzZins,13))</f>
      </c>
      <c r="Q5812" s="43">
        <f>IF($I5812=0,0,$Q5811+$P5812+$O5812)</f>
      </c>
      <c r="R5812" s="43">
        <f>IF($I5812=0,0,$J5812-$M5812-$N5812)</f>
      </c>
    </row>
    <row r="5813">
      <c r="A5813"/>
      <c r="B5813">
        <v>13</v>
      </c>
      <c r="C5813" s="43">
        <f>INDEX(DarlObj,13)</f>
      </c>
      <c r="D5813">
        <v>50</v>
      </c>
      <c r="E5813" s="51">
        <f>IF(INDEX(DarlBelegt,13)=0,0,EOMONTH(INDEX(DarlAuszahlung,13),49)+1)</f>
      </c>
      <c r="F5813" s="43">
        <f>IF($E5813=0,0,YEAR($E5813))</f>
      </c>
      <c r="G5813" s="43">
        <f>IF(INDEX(DarlBindung,13)="",1,IF($E5813&lt;=INDEX(DarlBindung,13),1,0))</f>
      </c>
      <c r="H5813" s="43">
        <f>IF($G5813=1,INDEX(DarlSollzins,13),INDEX(DarlAnschluss,13))</f>
      </c>
      <c r="I5813" s="43">
        <f>IF(INDEX(DarlBelegt,13)=0,0,IF(INDEX(DarlOhneTilgung,13)=1,IF(INDEX(DarlBindung,13)="",1,$G5813),IF($J5813&gt;0.005,1,0)))</f>
      </c>
      <c r="J5813" s="43">
        <f>IF($I5812=0,0,$R5812)</f>
      </c>
      <c r="K5813" s="43">
        <f>IF($I5813=0,0,IF(INDEX(DarlOhneTilgung,13)=1,0,IF(AND(INDEX(DarlTilgStart,13)&gt;0,$E5813=INDEX(DarlTilgStart,13)),$J5813*($H5813+INDEX(DarlTilgung,13))/100/12,IF(AND($G5813=0,$G5812=1),MAX($K5812,$J5813*($H5813+1)/100/12),$K5812))))</f>
      </c>
      <c r="L5813" s="43">
        <f>IF($I5813=0,0,$J5813*$H5813/100/12)</f>
      </c>
      <c r="M5813" s="43">
        <f>IF($I5813=0,0,IF(OR(INDEX(DarlOhneTilgung,13)=1,AND(INDEX(DarlTilgStart,13)&gt;0,$E5813&lt;INDEX(DarlTilgStart,13))),0,MIN(MAX(0,$K5813-$L5813),$J5813)))</f>
      </c>
      <c r="N5813" s="43">
        <f>IF($I5813=0,0,MIN(SUMIFS(SondBetrag,SondDarl,13,SondDatum,"&gt;="&amp;$E5813,SondDatum,"&lt;="&amp;EOMONTH($E5813,0)),$J5813-$M5813))</f>
      </c>
      <c r="O5813" s="43">
        <f>IF($I5813=0,0,INDEX(DarlErsatzRate,13))</f>
      </c>
      <c r="P5813" s="43">
        <f>IF($I5813=0,0,$Q5812*INDEX(DarlErsatzZins,13))</f>
      </c>
      <c r="Q5813" s="43">
        <f>IF($I5813=0,0,$Q5812+$P5813+$O5813)</f>
      </c>
      <c r="R5813" s="43">
        <f>IF($I5813=0,0,$J5813-$M5813-$N5813)</f>
      </c>
    </row>
    <row r="5814">
      <c r="A5814"/>
      <c r="B5814">
        <v>13</v>
      </c>
      <c r="C5814" s="43">
        <f>INDEX(DarlObj,13)</f>
      </c>
      <c r="D5814">
        <v>51</v>
      </c>
      <c r="E5814" s="51">
        <f>IF(INDEX(DarlBelegt,13)=0,0,EOMONTH(INDEX(DarlAuszahlung,13),50)+1)</f>
      </c>
      <c r="F5814" s="43">
        <f>IF($E5814=0,0,YEAR($E5814))</f>
      </c>
      <c r="G5814" s="43">
        <f>IF(INDEX(DarlBindung,13)="",1,IF($E5814&lt;=INDEX(DarlBindung,13),1,0))</f>
      </c>
      <c r="H5814" s="43">
        <f>IF($G5814=1,INDEX(DarlSollzins,13),INDEX(DarlAnschluss,13))</f>
      </c>
      <c r="I5814" s="43">
        <f>IF(INDEX(DarlBelegt,13)=0,0,IF(INDEX(DarlOhneTilgung,13)=1,IF(INDEX(DarlBindung,13)="",1,$G5814),IF($J5814&gt;0.005,1,0)))</f>
      </c>
      <c r="J5814" s="43">
        <f>IF($I5813=0,0,$R5813)</f>
      </c>
      <c r="K5814" s="43">
        <f>IF($I5814=0,0,IF(INDEX(DarlOhneTilgung,13)=1,0,IF(AND(INDEX(DarlTilgStart,13)&gt;0,$E5814=INDEX(DarlTilgStart,13)),$J5814*($H5814+INDEX(DarlTilgung,13))/100/12,IF(AND($G5814=0,$G5813=1),MAX($K5813,$J5814*($H5814+1)/100/12),$K5813))))</f>
      </c>
      <c r="L5814" s="43">
        <f>IF($I5814=0,0,$J5814*$H5814/100/12)</f>
      </c>
      <c r="M5814" s="43">
        <f>IF($I5814=0,0,IF(OR(INDEX(DarlOhneTilgung,13)=1,AND(INDEX(DarlTilgStart,13)&gt;0,$E5814&lt;INDEX(DarlTilgStart,13))),0,MIN(MAX(0,$K5814-$L5814),$J5814)))</f>
      </c>
      <c r="N5814" s="43">
        <f>IF($I5814=0,0,MIN(SUMIFS(SondBetrag,SondDarl,13,SondDatum,"&gt;="&amp;$E5814,SondDatum,"&lt;="&amp;EOMONTH($E5814,0)),$J5814-$M5814))</f>
      </c>
      <c r="O5814" s="43">
        <f>IF($I5814=0,0,INDEX(DarlErsatzRate,13))</f>
      </c>
      <c r="P5814" s="43">
        <f>IF($I5814=0,0,$Q5813*INDEX(DarlErsatzZins,13))</f>
      </c>
      <c r="Q5814" s="43">
        <f>IF($I5814=0,0,$Q5813+$P5814+$O5814)</f>
      </c>
      <c r="R5814" s="43">
        <f>IF($I5814=0,0,$J5814-$M5814-$N5814)</f>
      </c>
    </row>
    <row r="5815">
      <c r="A5815"/>
      <c r="B5815">
        <v>13</v>
      </c>
      <c r="C5815" s="43">
        <f>INDEX(DarlObj,13)</f>
      </c>
      <c r="D5815">
        <v>52</v>
      </c>
      <c r="E5815" s="51">
        <f>IF(INDEX(DarlBelegt,13)=0,0,EOMONTH(INDEX(DarlAuszahlung,13),51)+1)</f>
      </c>
      <c r="F5815" s="43">
        <f>IF($E5815=0,0,YEAR($E5815))</f>
      </c>
      <c r="G5815" s="43">
        <f>IF(INDEX(DarlBindung,13)="",1,IF($E5815&lt;=INDEX(DarlBindung,13),1,0))</f>
      </c>
      <c r="H5815" s="43">
        <f>IF($G5815=1,INDEX(DarlSollzins,13),INDEX(DarlAnschluss,13))</f>
      </c>
      <c r="I5815" s="43">
        <f>IF(INDEX(DarlBelegt,13)=0,0,IF(INDEX(DarlOhneTilgung,13)=1,IF(INDEX(DarlBindung,13)="",1,$G5815),IF($J5815&gt;0.005,1,0)))</f>
      </c>
      <c r="J5815" s="43">
        <f>IF($I5814=0,0,$R5814)</f>
      </c>
      <c r="K5815" s="43">
        <f>IF($I5815=0,0,IF(INDEX(DarlOhneTilgung,13)=1,0,IF(AND(INDEX(DarlTilgStart,13)&gt;0,$E5815=INDEX(DarlTilgStart,13)),$J5815*($H5815+INDEX(DarlTilgung,13))/100/12,IF(AND($G5815=0,$G5814=1),MAX($K5814,$J5815*($H5815+1)/100/12),$K5814))))</f>
      </c>
      <c r="L5815" s="43">
        <f>IF($I5815=0,0,$J5815*$H5815/100/12)</f>
      </c>
      <c r="M5815" s="43">
        <f>IF($I5815=0,0,IF(OR(INDEX(DarlOhneTilgung,13)=1,AND(INDEX(DarlTilgStart,13)&gt;0,$E5815&lt;INDEX(DarlTilgStart,13))),0,MIN(MAX(0,$K5815-$L5815),$J5815)))</f>
      </c>
      <c r="N5815" s="43">
        <f>IF($I5815=0,0,MIN(SUMIFS(SondBetrag,SondDarl,13,SondDatum,"&gt;="&amp;$E5815,SondDatum,"&lt;="&amp;EOMONTH($E5815,0)),$J5815-$M5815))</f>
      </c>
      <c r="O5815" s="43">
        <f>IF($I5815=0,0,INDEX(DarlErsatzRate,13))</f>
      </c>
      <c r="P5815" s="43">
        <f>IF($I5815=0,0,$Q5814*INDEX(DarlErsatzZins,13))</f>
      </c>
      <c r="Q5815" s="43">
        <f>IF($I5815=0,0,$Q5814+$P5815+$O5815)</f>
      </c>
      <c r="R5815" s="43">
        <f>IF($I5815=0,0,$J5815-$M5815-$N5815)</f>
      </c>
    </row>
    <row r="5816">
      <c r="A5816"/>
      <c r="B5816">
        <v>13</v>
      </c>
      <c r="C5816" s="43">
        <f>INDEX(DarlObj,13)</f>
      </c>
      <c r="D5816">
        <v>53</v>
      </c>
      <c r="E5816" s="51">
        <f>IF(INDEX(DarlBelegt,13)=0,0,EOMONTH(INDEX(DarlAuszahlung,13),52)+1)</f>
      </c>
      <c r="F5816" s="43">
        <f>IF($E5816=0,0,YEAR($E5816))</f>
      </c>
      <c r="G5816" s="43">
        <f>IF(INDEX(DarlBindung,13)="",1,IF($E5816&lt;=INDEX(DarlBindung,13),1,0))</f>
      </c>
      <c r="H5816" s="43">
        <f>IF($G5816=1,INDEX(DarlSollzins,13),INDEX(DarlAnschluss,13))</f>
      </c>
      <c r="I5816" s="43">
        <f>IF(INDEX(DarlBelegt,13)=0,0,IF(INDEX(DarlOhneTilgung,13)=1,IF(INDEX(DarlBindung,13)="",1,$G5816),IF($J5816&gt;0.005,1,0)))</f>
      </c>
      <c r="J5816" s="43">
        <f>IF($I5815=0,0,$R5815)</f>
      </c>
      <c r="K5816" s="43">
        <f>IF($I5816=0,0,IF(INDEX(DarlOhneTilgung,13)=1,0,IF(AND(INDEX(DarlTilgStart,13)&gt;0,$E5816=INDEX(DarlTilgStart,13)),$J5816*($H5816+INDEX(DarlTilgung,13))/100/12,IF(AND($G5816=0,$G5815=1),MAX($K5815,$J5816*($H5816+1)/100/12),$K5815))))</f>
      </c>
      <c r="L5816" s="43">
        <f>IF($I5816=0,0,$J5816*$H5816/100/12)</f>
      </c>
      <c r="M5816" s="43">
        <f>IF($I5816=0,0,IF(OR(INDEX(DarlOhneTilgung,13)=1,AND(INDEX(DarlTilgStart,13)&gt;0,$E5816&lt;INDEX(DarlTilgStart,13))),0,MIN(MAX(0,$K5816-$L5816),$J5816)))</f>
      </c>
      <c r="N5816" s="43">
        <f>IF($I5816=0,0,MIN(SUMIFS(SondBetrag,SondDarl,13,SondDatum,"&gt;="&amp;$E5816,SondDatum,"&lt;="&amp;EOMONTH($E5816,0)),$J5816-$M5816))</f>
      </c>
      <c r="O5816" s="43">
        <f>IF($I5816=0,0,INDEX(DarlErsatzRate,13))</f>
      </c>
      <c r="P5816" s="43">
        <f>IF($I5816=0,0,$Q5815*INDEX(DarlErsatzZins,13))</f>
      </c>
      <c r="Q5816" s="43">
        <f>IF($I5816=0,0,$Q5815+$P5816+$O5816)</f>
      </c>
      <c r="R5816" s="43">
        <f>IF($I5816=0,0,$J5816-$M5816-$N5816)</f>
      </c>
    </row>
    <row r="5817">
      <c r="A5817"/>
      <c r="B5817">
        <v>13</v>
      </c>
      <c r="C5817" s="43">
        <f>INDEX(DarlObj,13)</f>
      </c>
      <c r="D5817">
        <v>54</v>
      </c>
      <c r="E5817" s="51">
        <f>IF(INDEX(DarlBelegt,13)=0,0,EOMONTH(INDEX(DarlAuszahlung,13),53)+1)</f>
      </c>
      <c r="F5817" s="43">
        <f>IF($E5817=0,0,YEAR($E5817))</f>
      </c>
      <c r="G5817" s="43">
        <f>IF(INDEX(DarlBindung,13)="",1,IF($E5817&lt;=INDEX(DarlBindung,13),1,0))</f>
      </c>
      <c r="H5817" s="43">
        <f>IF($G5817=1,INDEX(DarlSollzins,13),INDEX(DarlAnschluss,13))</f>
      </c>
      <c r="I5817" s="43">
        <f>IF(INDEX(DarlBelegt,13)=0,0,IF(INDEX(DarlOhneTilgung,13)=1,IF(INDEX(DarlBindung,13)="",1,$G5817),IF($J5817&gt;0.005,1,0)))</f>
      </c>
      <c r="J5817" s="43">
        <f>IF($I5816=0,0,$R5816)</f>
      </c>
      <c r="K5817" s="43">
        <f>IF($I5817=0,0,IF(INDEX(DarlOhneTilgung,13)=1,0,IF(AND(INDEX(DarlTilgStart,13)&gt;0,$E5817=INDEX(DarlTilgStart,13)),$J5817*($H5817+INDEX(DarlTilgung,13))/100/12,IF(AND($G5817=0,$G5816=1),MAX($K5816,$J5817*($H5817+1)/100/12),$K5816))))</f>
      </c>
      <c r="L5817" s="43">
        <f>IF($I5817=0,0,$J5817*$H5817/100/12)</f>
      </c>
      <c r="M5817" s="43">
        <f>IF($I5817=0,0,IF(OR(INDEX(DarlOhneTilgung,13)=1,AND(INDEX(DarlTilgStart,13)&gt;0,$E5817&lt;INDEX(DarlTilgStart,13))),0,MIN(MAX(0,$K5817-$L5817),$J5817)))</f>
      </c>
      <c r="N5817" s="43">
        <f>IF($I5817=0,0,MIN(SUMIFS(SondBetrag,SondDarl,13,SondDatum,"&gt;="&amp;$E5817,SondDatum,"&lt;="&amp;EOMONTH($E5817,0)),$J5817-$M5817))</f>
      </c>
      <c r="O5817" s="43">
        <f>IF($I5817=0,0,INDEX(DarlErsatzRate,13))</f>
      </c>
      <c r="P5817" s="43">
        <f>IF($I5817=0,0,$Q5816*INDEX(DarlErsatzZins,13))</f>
      </c>
      <c r="Q5817" s="43">
        <f>IF($I5817=0,0,$Q5816+$P5817+$O5817)</f>
      </c>
      <c r="R5817" s="43">
        <f>IF($I5817=0,0,$J5817-$M5817-$N5817)</f>
      </c>
    </row>
    <row r="5818">
      <c r="A5818"/>
      <c r="B5818">
        <v>13</v>
      </c>
      <c r="C5818" s="43">
        <f>INDEX(DarlObj,13)</f>
      </c>
      <c r="D5818">
        <v>55</v>
      </c>
      <c r="E5818" s="51">
        <f>IF(INDEX(DarlBelegt,13)=0,0,EOMONTH(INDEX(DarlAuszahlung,13),54)+1)</f>
      </c>
      <c r="F5818" s="43">
        <f>IF($E5818=0,0,YEAR($E5818))</f>
      </c>
      <c r="G5818" s="43">
        <f>IF(INDEX(DarlBindung,13)="",1,IF($E5818&lt;=INDEX(DarlBindung,13),1,0))</f>
      </c>
      <c r="H5818" s="43">
        <f>IF($G5818=1,INDEX(DarlSollzins,13),INDEX(DarlAnschluss,13))</f>
      </c>
      <c r="I5818" s="43">
        <f>IF(INDEX(DarlBelegt,13)=0,0,IF(INDEX(DarlOhneTilgung,13)=1,IF(INDEX(DarlBindung,13)="",1,$G5818),IF($J5818&gt;0.005,1,0)))</f>
      </c>
      <c r="J5818" s="43">
        <f>IF($I5817=0,0,$R5817)</f>
      </c>
      <c r="K5818" s="43">
        <f>IF($I5818=0,0,IF(INDEX(DarlOhneTilgung,13)=1,0,IF(AND(INDEX(DarlTilgStart,13)&gt;0,$E5818=INDEX(DarlTilgStart,13)),$J5818*($H5818+INDEX(DarlTilgung,13))/100/12,IF(AND($G5818=0,$G5817=1),MAX($K5817,$J5818*($H5818+1)/100/12),$K5817))))</f>
      </c>
      <c r="L5818" s="43">
        <f>IF($I5818=0,0,$J5818*$H5818/100/12)</f>
      </c>
      <c r="M5818" s="43">
        <f>IF($I5818=0,0,IF(OR(INDEX(DarlOhneTilgung,13)=1,AND(INDEX(DarlTilgStart,13)&gt;0,$E5818&lt;INDEX(DarlTilgStart,13))),0,MIN(MAX(0,$K5818-$L5818),$J5818)))</f>
      </c>
      <c r="N5818" s="43">
        <f>IF($I5818=0,0,MIN(SUMIFS(SondBetrag,SondDarl,13,SondDatum,"&gt;="&amp;$E5818,SondDatum,"&lt;="&amp;EOMONTH($E5818,0)),$J5818-$M5818))</f>
      </c>
      <c r="O5818" s="43">
        <f>IF($I5818=0,0,INDEX(DarlErsatzRate,13))</f>
      </c>
      <c r="P5818" s="43">
        <f>IF($I5818=0,0,$Q5817*INDEX(DarlErsatzZins,13))</f>
      </c>
      <c r="Q5818" s="43">
        <f>IF($I5818=0,0,$Q5817+$P5818+$O5818)</f>
      </c>
      <c r="R5818" s="43">
        <f>IF($I5818=0,0,$J5818-$M5818-$N5818)</f>
      </c>
    </row>
    <row r="5819">
      <c r="A5819"/>
      <c r="B5819">
        <v>13</v>
      </c>
      <c r="C5819" s="43">
        <f>INDEX(DarlObj,13)</f>
      </c>
      <c r="D5819">
        <v>56</v>
      </c>
      <c r="E5819" s="51">
        <f>IF(INDEX(DarlBelegt,13)=0,0,EOMONTH(INDEX(DarlAuszahlung,13),55)+1)</f>
      </c>
      <c r="F5819" s="43">
        <f>IF($E5819=0,0,YEAR($E5819))</f>
      </c>
      <c r="G5819" s="43">
        <f>IF(INDEX(DarlBindung,13)="",1,IF($E5819&lt;=INDEX(DarlBindung,13),1,0))</f>
      </c>
      <c r="H5819" s="43">
        <f>IF($G5819=1,INDEX(DarlSollzins,13),INDEX(DarlAnschluss,13))</f>
      </c>
      <c r="I5819" s="43">
        <f>IF(INDEX(DarlBelegt,13)=0,0,IF(INDEX(DarlOhneTilgung,13)=1,IF(INDEX(DarlBindung,13)="",1,$G5819),IF($J5819&gt;0.005,1,0)))</f>
      </c>
      <c r="J5819" s="43">
        <f>IF($I5818=0,0,$R5818)</f>
      </c>
      <c r="K5819" s="43">
        <f>IF($I5819=0,0,IF(INDEX(DarlOhneTilgung,13)=1,0,IF(AND(INDEX(DarlTilgStart,13)&gt;0,$E5819=INDEX(DarlTilgStart,13)),$J5819*($H5819+INDEX(DarlTilgung,13))/100/12,IF(AND($G5819=0,$G5818=1),MAX($K5818,$J5819*($H5819+1)/100/12),$K5818))))</f>
      </c>
      <c r="L5819" s="43">
        <f>IF($I5819=0,0,$J5819*$H5819/100/12)</f>
      </c>
      <c r="M5819" s="43">
        <f>IF($I5819=0,0,IF(OR(INDEX(DarlOhneTilgung,13)=1,AND(INDEX(DarlTilgStart,13)&gt;0,$E5819&lt;INDEX(DarlTilgStart,13))),0,MIN(MAX(0,$K5819-$L5819),$J5819)))</f>
      </c>
      <c r="N5819" s="43">
        <f>IF($I5819=0,0,MIN(SUMIFS(SondBetrag,SondDarl,13,SondDatum,"&gt;="&amp;$E5819,SondDatum,"&lt;="&amp;EOMONTH($E5819,0)),$J5819-$M5819))</f>
      </c>
      <c r="O5819" s="43">
        <f>IF($I5819=0,0,INDEX(DarlErsatzRate,13))</f>
      </c>
      <c r="P5819" s="43">
        <f>IF($I5819=0,0,$Q5818*INDEX(DarlErsatzZins,13))</f>
      </c>
      <c r="Q5819" s="43">
        <f>IF($I5819=0,0,$Q5818+$P5819+$O5819)</f>
      </c>
      <c r="R5819" s="43">
        <f>IF($I5819=0,0,$J5819-$M5819-$N5819)</f>
      </c>
    </row>
    <row r="5820">
      <c r="A5820"/>
      <c r="B5820">
        <v>13</v>
      </c>
      <c r="C5820" s="43">
        <f>INDEX(DarlObj,13)</f>
      </c>
      <c r="D5820">
        <v>57</v>
      </c>
      <c r="E5820" s="51">
        <f>IF(INDEX(DarlBelegt,13)=0,0,EOMONTH(INDEX(DarlAuszahlung,13),56)+1)</f>
      </c>
      <c r="F5820" s="43">
        <f>IF($E5820=0,0,YEAR($E5820))</f>
      </c>
      <c r="G5820" s="43">
        <f>IF(INDEX(DarlBindung,13)="",1,IF($E5820&lt;=INDEX(DarlBindung,13),1,0))</f>
      </c>
      <c r="H5820" s="43">
        <f>IF($G5820=1,INDEX(DarlSollzins,13),INDEX(DarlAnschluss,13))</f>
      </c>
      <c r="I5820" s="43">
        <f>IF(INDEX(DarlBelegt,13)=0,0,IF(INDEX(DarlOhneTilgung,13)=1,IF(INDEX(DarlBindung,13)="",1,$G5820),IF($J5820&gt;0.005,1,0)))</f>
      </c>
      <c r="J5820" s="43">
        <f>IF($I5819=0,0,$R5819)</f>
      </c>
      <c r="K5820" s="43">
        <f>IF($I5820=0,0,IF(INDEX(DarlOhneTilgung,13)=1,0,IF(AND(INDEX(DarlTilgStart,13)&gt;0,$E5820=INDEX(DarlTilgStart,13)),$J5820*($H5820+INDEX(DarlTilgung,13))/100/12,IF(AND($G5820=0,$G5819=1),MAX($K5819,$J5820*($H5820+1)/100/12),$K5819))))</f>
      </c>
      <c r="L5820" s="43">
        <f>IF($I5820=0,0,$J5820*$H5820/100/12)</f>
      </c>
      <c r="M5820" s="43">
        <f>IF($I5820=0,0,IF(OR(INDEX(DarlOhneTilgung,13)=1,AND(INDEX(DarlTilgStart,13)&gt;0,$E5820&lt;INDEX(DarlTilgStart,13))),0,MIN(MAX(0,$K5820-$L5820),$J5820)))</f>
      </c>
      <c r="N5820" s="43">
        <f>IF($I5820=0,0,MIN(SUMIFS(SondBetrag,SondDarl,13,SondDatum,"&gt;="&amp;$E5820,SondDatum,"&lt;="&amp;EOMONTH($E5820,0)),$J5820-$M5820))</f>
      </c>
      <c r="O5820" s="43">
        <f>IF($I5820=0,0,INDEX(DarlErsatzRate,13))</f>
      </c>
      <c r="P5820" s="43">
        <f>IF($I5820=0,0,$Q5819*INDEX(DarlErsatzZins,13))</f>
      </c>
      <c r="Q5820" s="43">
        <f>IF($I5820=0,0,$Q5819+$P5820+$O5820)</f>
      </c>
      <c r="R5820" s="43">
        <f>IF($I5820=0,0,$J5820-$M5820-$N5820)</f>
      </c>
    </row>
    <row r="5821">
      <c r="A5821"/>
      <c r="B5821">
        <v>13</v>
      </c>
      <c r="C5821" s="43">
        <f>INDEX(DarlObj,13)</f>
      </c>
      <c r="D5821">
        <v>58</v>
      </c>
      <c r="E5821" s="51">
        <f>IF(INDEX(DarlBelegt,13)=0,0,EOMONTH(INDEX(DarlAuszahlung,13),57)+1)</f>
      </c>
      <c r="F5821" s="43">
        <f>IF($E5821=0,0,YEAR($E5821))</f>
      </c>
      <c r="G5821" s="43">
        <f>IF(INDEX(DarlBindung,13)="",1,IF($E5821&lt;=INDEX(DarlBindung,13),1,0))</f>
      </c>
      <c r="H5821" s="43">
        <f>IF($G5821=1,INDEX(DarlSollzins,13),INDEX(DarlAnschluss,13))</f>
      </c>
      <c r="I5821" s="43">
        <f>IF(INDEX(DarlBelegt,13)=0,0,IF(INDEX(DarlOhneTilgung,13)=1,IF(INDEX(DarlBindung,13)="",1,$G5821),IF($J5821&gt;0.005,1,0)))</f>
      </c>
      <c r="J5821" s="43">
        <f>IF($I5820=0,0,$R5820)</f>
      </c>
      <c r="K5821" s="43">
        <f>IF($I5821=0,0,IF(INDEX(DarlOhneTilgung,13)=1,0,IF(AND(INDEX(DarlTilgStart,13)&gt;0,$E5821=INDEX(DarlTilgStart,13)),$J5821*($H5821+INDEX(DarlTilgung,13))/100/12,IF(AND($G5821=0,$G5820=1),MAX($K5820,$J5821*($H5821+1)/100/12),$K5820))))</f>
      </c>
      <c r="L5821" s="43">
        <f>IF($I5821=0,0,$J5821*$H5821/100/12)</f>
      </c>
      <c r="M5821" s="43">
        <f>IF($I5821=0,0,IF(OR(INDEX(DarlOhneTilgung,13)=1,AND(INDEX(DarlTilgStart,13)&gt;0,$E5821&lt;INDEX(DarlTilgStart,13))),0,MIN(MAX(0,$K5821-$L5821),$J5821)))</f>
      </c>
      <c r="N5821" s="43">
        <f>IF($I5821=0,0,MIN(SUMIFS(SondBetrag,SondDarl,13,SondDatum,"&gt;="&amp;$E5821,SondDatum,"&lt;="&amp;EOMONTH($E5821,0)),$J5821-$M5821))</f>
      </c>
      <c r="O5821" s="43">
        <f>IF($I5821=0,0,INDEX(DarlErsatzRate,13))</f>
      </c>
      <c r="P5821" s="43">
        <f>IF($I5821=0,0,$Q5820*INDEX(DarlErsatzZins,13))</f>
      </c>
      <c r="Q5821" s="43">
        <f>IF($I5821=0,0,$Q5820+$P5821+$O5821)</f>
      </c>
      <c r="R5821" s="43">
        <f>IF($I5821=0,0,$J5821-$M5821-$N5821)</f>
      </c>
    </row>
    <row r="5822">
      <c r="A5822"/>
      <c r="B5822">
        <v>13</v>
      </c>
      <c r="C5822" s="43">
        <f>INDEX(DarlObj,13)</f>
      </c>
      <c r="D5822">
        <v>59</v>
      </c>
      <c r="E5822" s="51">
        <f>IF(INDEX(DarlBelegt,13)=0,0,EOMONTH(INDEX(DarlAuszahlung,13),58)+1)</f>
      </c>
      <c r="F5822" s="43">
        <f>IF($E5822=0,0,YEAR($E5822))</f>
      </c>
      <c r="G5822" s="43">
        <f>IF(INDEX(DarlBindung,13)="",1,IF($E5822&lt;=INDEX(DarlBindung,13),1,0))</f>
      </c>
      <c r="H5822" s="43">
        <f>IF($G5822=1,INDEX(DarlSollzins,13),INDEX(DarlAnschluss,13))</f>
      </c>
      <c r="I5822" s="43">
        <f>IF(INDEX(DarlBelegt,13)=0,0,IF(INDEX(DarlOhneTilgung,13)=1,IF(INDEX(DarlBindung,13)="",1,$G5822),IF($J5822&gt;0.005,1,0)))</f>
      </c>
      <c r="J5822" s="43">
        <f>IF($I5821=0,0,$R5821)</f>
      </c>
      <c r="K5822" s="43">
        <f>IF($I5822=0,0,IF(INDEX(DarlOhneTilgung,13)=1,0,IF(AND(INDEX(DarlTilgStart,13)&gt;0,$E5822=INDEX(DarlTilgStart,13)),$J5822*($H5822+INDEX(DarlTilgung,13))/100/12,IF(AND($G5822=0,$G5821=1),MAX($K5821,$J5822*($H5822+1)/100/12),$K5821))))</f>
      </c>
      <c r="L5822" s="43">
        <f>IF($I5822=0,0,$J5822*$H5822/100/12)</f>
      </c>
      <c r="M5822" s="43">
        <f>IF($I5822=0,0,IF(OR(INDEX(DarlOhneTilgung,13)=1,AND(INDEX(DarlTilgStart,13)&gt;0,$E5822&lt;INDEX(DarlTilgStart,13))),0,MIN(MAX(0,$K5822-$L5822),$J5822)))</f>
      </c>
      <c r="N5822" s="43">
        <f>IF($I5822=0,0,MIN(SUMIFS(SondBetrag,SondDarl,13,SondDatum,"&gt;="&amp;$E5822,SondDatum,"&lt;="&amp;EOMONTH($E5822,0)),$J5822-$M5822))</f>
      </c>
      <c r="O5822" s="43">
        <f>IF($I5822=0,0,INDEX(DarlErsatzRate,13))</f>
      </c>
      <c r="P5822" s="43">
        <f>IF($I5822=0,0,$Q5821*INDEX(DarlErsatzZins,13))</f>
      </c>
      <c r="Q5822" s="43">
        <f>IF($I5822=0,0,$Q5821+$P5822+$O5822)</f>
      </c>
      <c r="R5822" s="43">
        <f>IF($I5822=0,0,$J5822-$M5822-$N5822)</f>
      </c>
    </row>
    <row r="5823">
      <c r="A5823"/>
      <c r="B5823">
        <v>13</v>
      </c>
      <c r="C5823" s="43">
        <f>INDEX(DarlObj,13)</f>
      </c>
      <c r="D5823">
        <v>60</v>
      </c>
      <c r="E5823" s="51">
        <f>IF(INDEX(DarlBelegt,13)=0,0,EOMONTH(INDEX(DarlAuszahlung,13),59)+1)</f>
      </c>
      <c r="F5823" s="43">
        <f>IF($E5823=0,0,YEAR($E5823))</f>
      </c>
      <c r="G5823" s="43">
        <f>IF(INDEX(DarlBindung,13)="",1,IF($E5823&lt;=INDEX(DarlBindung,13),1,0))</f>
      </c>
      <c r="H5823" s="43">
        <f>IF($G5823=1,INDEX(DarlSollzins,13),INDEX(DarlAnschluss,13))</f>
      </c>
      <c r="I5823" s="43">
        <f>IF(INDEX(DarlBelegt,13)=0,0,IF(INDEX(DarlOhneTilgung,13)=1,IF(INDEX(DarlBindung,13)="",1,$G5823),IF($J5823&gt;0.005,1,0)))</f>
      </c>
      <c r="J5823" s="43">
        <f>IF($I5822=0,0,$R5822)</f>
      </c>
      <c r="K5823" s="43">
        <f>IF($I5823=0,0,IF(INDEX(DarlOhneTilgung,13)=1,0,IF(AND(INDEX(DarlTilgStart,13)&gt;0,$E5823=INDEX(DarlTilgStart,13)),$J5823*($H5823+INDEX(DarlTilgung,13))/100/12,IF(AND($G5823=0,$G5822=1),MAX($K5822,$J5823*($H5823+1)/100/12),$K5822))))</f>
      </c>
      <c r="L5823" s="43">
        <f>IF($I5823=0,0,$J5823*$H5823/100/12)</f>
      </c>
      <c r="M5823" s="43">
        <f>IF($I5823=0,0,IF(OR(INDEX(DarlOhneTilgung,13)=1,AND(INDEX(DarlTilgStart,13)&gt;0,$E5823&lt;INDEX(DarlTilgStart,13))),0,MIN(MAX(0,$K5823-$L5823),$J5823)))</f>
      </c>
      <c r="N5823" s="43">
        <f>IF($I5823=0,0,MIN(SUMIFS(SondBetrag,SondDarl,13,SondDatum,"&gt;="&amp;$E5823,SondDatum,"&lt;="&amp;EOMONTH($E5823,0)),$J5823-$M5823))</f>
      </c>
      <c r="O5823" s="43">
        <f>IF($I5823=0,0,INDEX(DarlErsatzRate,13))</f>
      </c>
      <c r="P5823" s="43">
        <f>IF($I5823=0,0,$Q5822*INDEX(DarlErsatzZins,13))</f>
      </c>
      <c r="Q5823" s="43">
        <f>IF($I5823=0,0,$Q5822+$P5823+$O5823)</f>
      </c>
      <c r="R5823" s="43">
        <f>IF($I5823=0,0,$J5823-$M5823-$N5823)</f>
      </c>
    </row>
    <row r="5824">
      <c r="A5824"/>
      <c r="B5824">
        <v>13</v>
      </c>
      <c r="C5824" s="43">
        <f>INDEX(DarlObj,13)</f>
      </c>
      <c r="D5824">
        <v>61</v>
      </c>
      <c r="E5824" s="51">
        <f>IF(INDEX(DarlBelegt,13)=0,0,EOMONTH(INDEX(DarlAuszahlung,13),60)+1)</f>
      </c>
      <c r="F5824" s="43">
        <f>IF($E5824=0,0,YEAR($E5824))</f>
      </c>
      <c r="G5824" s="43">
        <f>IF(INDEX(DarlBindung,13)="",1,IF($E5824&lt;=INDEX(DarlBindung,13),1,0))</f>
      </c>
      <c r="H5824" s="43">
        <f>IF($G5824=1,INDEX(DarlSollzins,13),INDEX(DarlAnschluss,13))</f>
      </c>
      <c r="I5824" s="43">
        <f>IF(INDEX(DarlBelegt,13)=0,0,IF(INDEX(DarlOhneTilgung,13)=1,IF(INDEX(DarlBindung,13)="",1,$G5824),IF($J5824&gt;0.005,1,0)))</f>
      </c>
      <c r="J5824" s="43">
        <f>IF($I5823=0,0,$R5823)</f>
      </c>
      <c r="K5824" s="43">
        <f>IF($I5824=0,0,IF(INDEX(DarlOhneTilgung,13)=1,0,IF(AND(INDEX(DarlTilgStart,13)&gt;0,$E5824=INDEX(DarlTilgStart,13)),$J5824*($H5824+INDEX(DarlTilgung,13))/100/12,IF(AND($G5824=0,$G5823=1),MAX($K5823,$J5824*($H5824+1)/100/12),$K5823))))</f>
      </c>
      <c r="L5824" s="43">
        <f>IF($I5824=0,0,$J5824*$H5824/100/12)</f>
      </c>
      <c r="M5824" s="43">
        <f>IF($I5824=0,0,IF(OR(INDEX(DarlOhneTilgung,13)=1,AND(INDEX(DarlTilgStart,13)&gt;0,$E5824&lt;INDEX(DarlTilgStart,13))),0,MIN(MAX(0,$K5824-$L5824),$J5824)))</f>
      </c>
      <c r="N5824" s="43">
        <f>IF($I5824=0,0,MIN(SUMIFS(SondBetrag,SondDarl,13,SondDatum,"&gt;="&amp;$E5824,SondDatum,"&lt;="&amp;EOMONTH($E5824,0)),$J5824-$M5824))</f>
      </c>
      <c r="O5824" s="43">
        <f>IF($I5824=0,0,INDEX(DarlErsatzRate,13))</f>
      </c>
      <c r="P5824" s="43">
        <f>IF($I5824=0,0,$Q5823*INDEX(DarlErsatzZins,13))</f>
      </c>
      <c r="Q5824" s="43">
        <f>IF($I5824=0,0,$Q5823+$P5824+$O5824)</f>
      </c>
      <c r="R5824" s="43">
        <f>IF($I5824=0,0,$J5824-$M5824-$N5824)</f>
      </c>
    </row>
    <row r="5825">
      <c r="A5825"/>
      <c r="B5825">
        <v>13</v>
      </c>
      <c r="C5825" s="43">
        <f>INDEX(DarlObj,13)</f>
      </c>
      <c r="D5825">
        <v>62</v>
      </c>
      <c r="E5825" s="51">
        <f>IF(INDEX(DarlBelegt,13)=0,0,EOMONTH(INDEX(DarlAuszahlung,13),61)+1)</f>
      </c>
      <c r="F5825" s="43">
        <f>IF($E5825=0,0,YEAR($E5825))</f>
      </c>
      <c r="G5825" s="43">
        <f>IF(INDEX(DarlBindung,13)="",1,IF($E5825&lt;=INDEX(DarlBindung,13),1,0))</f>
      </c>
      <c r="H5825" s="43">
        <f>IF($G5825=1,INDEX(DarlSollzins,13),INDEX(DarlAnschluss,13))</f>
      </c>
      <c r="I5825" s="43">
        <f>IF(INDEX(DarlBelegt,13)=0,0,IF(INDEX(DarlOhneTilgung,13)=1,IF(INDEX(DarlBindung,13)="",1,$G5825),IF($J5825&gt;0.005,1,0)))</f>
      </c>
      <c r="J5825" s="43">
        <f>IF($I5824=0,0,$R5824)</f>
      </c>
      <c r="K5825" s="43">
        <f>IF($I5825=0,0,IF(INDEX(DarlOhneTilgung,13)=1,0,IF(AND(INDEX(DarlTilgStart,13)&gt;0,$E5825=INDEX(DarlTilgStart,13)),$J5825*($H5825+INDEX(DarlTilgung,13))/100/12,IF(AND($G5825=0,$G5824=1),MAX($K5824,$J5825*($H5825+1)/100/12),$K5824))))</f>
      </c>
      <c r="L5825" s="43">
        <f>IF($I5825=0,0,$J5825*$H5825/100/12)</f>
      </c>
      <c r="M5825" s="43">
        <f>IF($I5825=0,0,IF(OR(INDEX(DarlOhneTilgung,13)=1,AND(INDEX(DarlTilgStart,13)&gt;0,$E5825&lt;INDEX(DarlTilgStart,13))),0,MIN(MAX(0,$K5825-$L5825),$J5825)))</f>
      </c>
      <c r="N5825" s="43">
        <f>IF($I5825=0,0,MIN(SUMIFS(SondBetrag,SondDarl,13,SondDatum,"&gt;="&amp;$E5825,SondDatum,"&lt;="&amp;EOMONTH($E5825,0)),$J5825-$M5825))</f>
      </c>
      <c r="O5825" s="43">
        <f>IF($I5825=0,0,INDEX(DarlErsatzRate,13))</f>
      </c>
      <c r="P5825" s="43">
        <f>IF($I5825=0,0,$Q5824*INDEX(DarlErsatzZins,13))</f>
      </c>
      <c r="Q5825" s="43">
        <f>IF($I5825=0,0,$Q5824+$P5825+$O5825)</f>
      </c>
      <c r="R5825" s="43">
        <f>IF($I5825=0,0,$J5825-$M5825-$N5825)</f>
      </c>
    </row>
    <row r="5826">
      <c r="A5826"/>
      <c r="B5826">
        <v>13</v>
      </c>
      <c r="C5826" s="43">
        <f>INDEX(DarlObj,13)</f>
      </c>
      <c r="D5826">
        <v>63</v>
      </c>
      <c r="E5826" s="51">
        <f>IF(INDEX(DarlBelegt,13)=0,0,EOMONTH(INDEX(DarlAuszahlung,13),62)+1)</f>
      </c>
      <c r="F5826" s="43">
        <f>IF($E5826=0,0,YEAR($E5826))</f>
      </c>
      <c r="G5826" s="43">
        <f>IF(INDEX(DarlBindung,13)="",1,IF($E5826&lt;=INDEX(DarlBindung,13),1,0))</f>
      </c>
      <c r="H5826" s="43">
        <f>IF($G5826=1,INDEX(DarlSollzins,13),INDEX(DarlAnschluss,13))</f>
      </c>
      <c r="I5826" s="43">
        <f>IF(INDEX(DarlBelegt,13)=0,0,IF(INDEX(DarlOhneTilgung,13)=1,IF(INDEX(DarlBindung,13)="",1,$G5826),IF($J5826&gt;0.005,1,0)))</f>
      </c>
      <c r="J5826" s="43">
        <f>IF($I5825=0,0,$R5825)</f>
      </c>
      <c r="K5826" s="43">
        <f>IF($I5826=0,0,IF(INDEX(DarlOhneTilgung,13)=1,0,IF(AND(INDEX(DarlTilgStart,13)&gt;0,$E5826=INDEX(DarlTilgStart,13)),$J5826*($H5826+INDEX(DarlTilgung,13))/100/12,IF(AND($G5826=0,$G5825=1),MAX($K5825,$J5826*($H5826+1)/100/12),$K5825))))</f>
      </c>
      <c r="L5826" s="43">
        <f>IF($I5826=0,0,$J5826*$H5826/100/12)</f>
      </c>
      <c r="M5826" s="43">
        <f>IF($I5826=0,0,IF(OR(INDEX(DarlOhneTilgung,13)=1,AND(INDEX(DarlTilgStart,13)&gt;0,$E5826&lt;INDEX(DarlTilgStart,13))),0,MIN(MAX(0,$K5826-$L5826),$J5826)))</f>
      </c>
      <c r="N5826" s="43">
        <f>IF($I5826=0,0,MIN(SUMIFS(SondBetrag,SondDarl,13,SondDatum,"&gt;="&amp;$E5826,SondDatum,"&lt;="&amp;EOMONTH($E5826,0)),$J5826-$M5826))</f>
      </c>
      <c r="O5826" s="43">
        <f>IF($I5826=0,0,INDEX(DarlErsatzRate,13))</f>
      </c>
      <c r="P5826" s="43">
        <f>IF($I5826=0,0,$Q5825*INDEX(DarlErsatzZins,13))</f>
      </c>
      <c r="Q5826" s="43">
        <f>IF($I5826=0,0,$Q5825+$P5826+$O5826)</f>
      </c>
      <c r="R5826" s="43">
        <f>IF($I5826=0,0,$J5826-$M5826-$N5826)</f>
      </c>
    </row>
    <row r="5827">
      <c r="A5827"/>
      <c r="B5827">
        <v>13</v>
      </c>
      <c r="C5827" s="43">
        <f>INDEX(DarlObj,13)</f>
      </c>
      <c r="D5827">
        <v>64</v>
      </c>
      <c r="E5827" s="51">
        <f>IF(INDEX(DarlBelegt,13)=0,0,EOMONTH(INDEX(DarlAuszahlung,13),63)+1)</f>
      </c>
      <c r="F5827" s="43">
        <f>IF($E5827=0,0,YEAR($E5827))</f>
      </c>
      <c r="G5827" s="43">
        <f>IF(INDEX(DarlBindung,13)="",1,IF($E5827&lt;=INDEX(DarlBindung,13),1,0))</f>
      </c>
      <c r="H5827" s="43">
        <f>IF($G5827=1,INDEX(DarlSollzins,13),INDEX(DarlAnschluss,13))</f>
      </c>
      <c r="I5827" s="43">
        <f>IF(INDEX(DarlBelegt,13)=0,0,IF(INDEX(DarlOhneTilgung,13)=1,IF(INDEX(DarlBindung,13)="",1,$G5827),IF($J5827&gt;0.005,1,0)))</f>
      </c>
      <c r="J5827" s="43">
        <f>IF($I5826=0,0,$R5826)</f>
      </c>
      <c r="K5827" s="43">
        <f>IF($I5827=0,0,IF(INDEX(DarlOhneTilgung,13)=1,0,IF(AND(INDEX(DarlTilgStart,13)&gt;0,$E5827=INDEX(DarlTilgStart,13)),$J5827*($H5827+INDEX(DarlTilgung,13))/100/12,IF(AND($G5827=0,$G5826=1),MAX($K5826,$J5827*($H5827+1)/100/12),$K5826))))</f>
      </c>
      <c r="L5827" s="43">
        <f>IF($I5827=0,0,$J5827*$H5827/100/12)</f>
      </c>
      <c r="M5827" s="43">
        <f>IF($I5827=0,0,IF(OR(INDEX(DarlOhneTilgung,13)=1,AND(INDEX(DarlTilgStart,13)&gt;0,$E5827&lt;INDEX(DarlTilgStart,13))),0,MIN(MAX(0,$K5827-$L5827),$J5827)))</f>
      </c>
      <c r="N5827" s="43">
        <f>IF($I5827=0,0,MIN(SUMIFS(SondBetrag,SondDarl,13,SondDatum,"&gt;="&amp;$E5827,SondDatum,"&lt;="&amp;EOMONTH($E5827,0)),$J5827-$M5827))</f>
      </c>
      <c r="O5827" s="43">
        <f>IF($I5827=0,0,INDEX(DarlErsatzRate,13))</f>
      </c>
      <c r="P5827" s="43">
        <f>IF($I5827=0,0,$Q5826*INDEX(DarlErsatzZins,13))</f>
      </c>
      <c r="Q5827" s="43">
        <f>IF($I5827=0,0,$Q5826+$P5827+$O5827)</f>
      </c>
      <c r="R5827" s="43">
        <f>IF($I5827=0,0,$J5827-$M5827-$N5827)</f>
      </c>
    </row>
    <row r="5828">
      <c r="A5828"/>
      <c r="B5828">
        <v>13</v>
      </c>
      <c r="C5828" s="43">
        <f>INDEX(DarlObj,13)</f>
      </c>
      <c r="D5828">
        <v>65</v>
      </c>
      <c r="E5828" s="51">
        <f>IF(INDEX(DarlBelegt,13)=0,0,EOMONTH(INDEX(DarlAuszahlung,13),64)+1)</f>
      </c>
      <c r="F5828" s="43">
        <f>IF($E5828=0,0,YEAR($E5828))</f>
      </c>
      <c r="G5828" s="43">
        <f>IF(INDEX(DarlBindung,13)="",1,IF($E5828&lt;=INDEX(DarlBindung,13),1,0))</f>
      </c>
      <c r="H5828" s="43">
        <f>IF($G5828=1,INDEX(DarlSollzins,13),INDEX(DarlAnschluss,13))</f>
      </c>
      <c r="I5828" s="43">
        <f>IF(INDEX(DarlBelegt,13)=0,0,IF(INDEX(DarlOhneTilgung,13)=1,IF(INDEX(DarlBindung,13)="",1,$G5828),IF($J5828&gt;0.005,1,0)))</f>
      </c>
      <c r="J5828" s="43">
        <f>IF($I5827=0,0,$R5827)</f>
      </c>
      <c r="K5828" s="43">
        <f>IF($I5828=0,0,IF(INDEX(DarlOhneTilgung,13)=1,0,IF(AND(INDEX(DarlTilgStart,13)&gt;0,$E5828=INDEX(DarlTilgStart,13)),$J5828*($H5828+INDEX(DarlTilgung,13))/100/12,IF(AND($G5828=0,$G5827=1),MAX($K5827,$J5828*($H5828+1)/100/12),$K5827))))</f>
      </c>
      <c r="L5828" s="43">
        <f>IF($I5828=0,0,$J5828*$H5828/100/12)</f>
      </c>
      <c r="M5828" s="43">
        <f>IF($I5828=0,0,IF(OR(INDEX(DarlOhneTilgung,13)=1,AND(INDEX(DarlTilgStart,13)&gt;0,$E5828&lt;INDEX(DarlTilgStart,13))),0,MIN(MAX(0,$K5828-$L5828),$J5828)))</f>
      </c>
      <c r="N5828" s="43">
        <f>IF($I5828=0,0,MIN(SUMIFS(SondBetrag,SondDarl,13,SondDatum,"&gt;="&amp;$E5828,SondDatum,"&lt;="&amp;EOMONTH($E5828,0)),$J5828-$M5828))</f>
      </c>
      <c r="O5828" s="43">
        <f>IF($I5828=0,0,INDEX(DarlErsatzRate,13))</f>
      </c>
      <c r="P5828" s="43">
        <f>IF($I5828=0,0,$Q5827*INDEX(DarlErsatzZins,13))</f>
      </c>
      <c r="Q5828" s="43">
        <f>IF($I5828=0,0,$Q5827+$P5828+$O5828)</f>
      </c>
      <c r="R5828" s="43">
        <f>IF($I5828=0,0,$J5828-$M5828-$N5828)</f>
      </c>
    </row>
    <row r="5829">
      <c r="A5829"/>
      <c r="B5829">
        <v>13</v>
      </c>
      <c r="C5829" s="43">
        <f>INDEX(DarlObj,13)</f>
      </c>
      <c r="D5829">
        <v>66</v>
      </c>
      <c r="E5829" s="51">
        <f>IF(INDEX(DarlBelegt,13)=0,0,EOMONTH(INDEX(DarlAuszahlung,13),65)+1)</f>
      </c>
      <c r="F5829" s="43">
        <f>IF($E5829=0,0,YEAR($E5829))</f>
      </c>
      <c r="G5829" s="43">
        <f>IF(INDEX(DarlBindung,13)="",1,IF($E5829&lt;=INDEX(DarlBindung,13),1,0))</f>
      </c>
      <c r="H5829" s="43">
        <f>IF($G5829=1,INDEX(DarlSollzins,13),INDEX(DarlAnschluss,13))</f>
      </c>
      <c r="I5829" s="43">
        <f>IF(INDEX(DarlBelegt,13)=0,0,IF(INDEX(DarlOhneTilgung,13)=1,IF(INDEX(DarlBindung,13)="",1,$G5829),IF($J5829&gt;0.005,1,0)))</f>
      </c>
      <c r="J5829" s="43">
        <f>IF($I5828=0,0,$R5828)</f>
      </c>
      <c r="K5829" s="43">
        <f>IF($I5829=0,0,IF(INDEX(DarlOhneTilgung,13)=1,0,IF(AND(INDEX(DarlTilgStart,13)&gt;0,$E5829=INDEX(DarlTilgStart,13)),$J5829*($H5829+INDEX(DarlTilgung,13))/100/12,IF(AND($G5829=0,$G5828=1),MAX($K5828,$J5829*($H5829+1)/100/12),$K5828))))</f>
      </c>
      <c r="L5829" s="43">
        <f>IF($I5829=0,0,$J5829*$H5829/100/12)</f>
      </c>
      <c r="M5829" s="43">
        <f>IF($I5829=0,0,IF(OR(INDEX(DarlOhneTilgung,13)=1,AND(INDEX(DarlTilgStart,13)&gt;0,$E5829&lt;INDEX(DarlTilgStart,13))),0,MIN(MAX(0,$K5829-$L5829),$J5829)))</f>
      </c>
      <c r="N5829" s="43">
        <f>IF($I5829=0,0,MIN(SUMIFS(SondBetrag,SondDarl,13,SondDatum,"&gt;="&amp;$E5829,SondDatum,"&lt;="&amp;EOMONTH($E5829,0)),$J5829-$M5829))</f>
      </c>
      <c r="O5829" s="43">
        <f>IF($I5829=0,0,INDEX(DarlErsatzRate,13))</f>
      </c>
      <c r="P5829" s="43">
        <f>IF($I5829=0,0,$Q5828*INDEX(DarlErsatzZins,13))</f>
      </c>
      <c r="Q5829" s="43">
        <f>IF($I5829=0,0,$Q5828+$P5829+$O5829)</f>
      </c>
      <c r="R5829" s="43">
        <f>IF($I5829=0,0,$J5829-$M5829-$N5829)</f>
      </c>
    </row>
    <row r="5830">
      <c r="A5830"/>
      <c r="B5830">
        <v>13</v>
      </c>
      <c r="C5830" s="43">
        <f>INDEX(DarlObj,13)</f>
      </c>
      <c r="D5830">
        <v>67</v>
      </c>
      <c r="E5830" s="51">
        <f>IF(INDEX(DarlBelegt,13)=0,0,EOMONTH(INDEX(DarlAuszahlung,13),66)+1)</f>
      </c>
      <c r="F5830" s="43">
        <f>IF($E5830=0,0,YEAR($E5830))</f>
      </c>
      <c r="G5830" s="43">
        <f>IF(INDEX(DarlBindung,13)="",1,IF($E5830&lt;=INDEX(DarlBindung,13),1,0))</f>
      </c>
      <c r="H5830" s="43">
        <f>IF($G5830=1,INDEX(DarlSollzins,13),INDEX(DarlAnschluss,13))</f>
      </c>
      <c r="I5830" s="43">
        <f>IF(INDEX(DarlBelegt,13)=0,0,IF(INDEX(DarlOhneTilgung,13)=1,IF(INDEX(DarlBindung,13)="",1,$G5830),IF($J5830&gt;0.005,1,0)))</f>
      </c>
      <c r="J5830" s="43">
        <f>IF($I5829=0,0,$R5829)</f>
      </c>
      <c r="K5830" s="43">
        <f>IF($I5830=0,0,IF(INDEX(DarlOhneTilgung,13)=1,0,IF(AND(INDEX(DarlTilgStart,13)&gt;0,$E5830=INDEX(DarlTilgStart,13)),$J5830*($H5830+INDEX(DarlTilgung,13))/100/12,IF(AND($G5830=0,$G5829=1),MAX($K5829,$J5830*($H5830+1)/100/12),$K5829))))</f>
      </c>
      <c r="L5830" s="43">
        <f>IF($I5830=0,0,$J5830*$H5830/100/12)</f>
      </c>
      <c r="M5830" s="43">
        <f>IF($I5830=0,0,IF(OR(INDEX(DarlOhneTilgung,13)=1,AND(INDEX(DarlTilgStart,13)&gt;0,$E5830&lt;INDEX(DarlTilgStart,13))),0,MIN(MAX(0,$K5830-$L5830),$J5830)))</f>
      </c>
      <c r="N5830" s="43">
        <f>IF($I5830=0,0,MIN(SUMIFS(SondBetrag,SondDarl,13,SondDatum,"&gt;="&amp;$E5830,SondDatum,"&lt;="&amp;EOMONTH($E5830,0)),$J5830-$M5830))</f>
      </c>
      <c r="O5830" s="43">
        <f>IF($I5830=0,0,INDEX(DarlErsatzRate,13))</f>
      </c>
      <c r="P5830" s="43">
        <f>IF($I5830=0,0,$Q5829*INDEX(DarlErsatzZins,13))</f>
      </c>
      <c r="Q5830" s="43">
        <f>IF($I5830=0,0,$Q5829+$P5830+$O5830)</f>
      </c>
      <c r="R5830" s="43">
        <f>IF($I5830=0,0,$J5830-$M5830-$N5830)</f>
      </c>
    </row>
    <row r="5831">
      <c r="A5831"/>
      <c r="B5831">
        <v>13</v>
      </c>
      <c r="C5831" s="43">
        <f>INDEX(DarlObj,13)</f>
      </c>
      <c r="D5831">
        <v>68</v>
      </c>
      <c r="E5831" s="51">
        <f>IF(INDEX(DarlBelegt,13)=0,0,EOMONTH(INDEX(DarlAuszahlung,13),67)+1)</f>
      </c>
      <c r="F5831" s="43">
        <f>IF($E5831=0,0,YEAR($E5831))</f>
      </c>
      <c r="G5831" s="43">
        <f>IF(INDEX(DarlBindung,13)="",1,IF($E5831&lt;=INDEX(DarlBindung,13),1,0))</f>
      </c>
      <c r="H5831" s="43">
        <f>IF($G5831=1,INDEX(DarlSollzins,13),INDEX(DarlAnschluss,13))</f>
      </c>
      <c r="I5831" s="43">
        <f>IF(INDEX(DarlBelegt,13)=0,0,IF(INDEX(DarlOhneTilgung,13)=1,IF(INDEX(DarlBindung,13)="",1,$G5831),IF($J5831&gt;0.005,1,0)))</f>
      </c>
      <c r="J5831" s="43">
        <f>IF($I5830=0,0,$R5830)</f>
      </c>
      <c r="K5831" s="43">
        <f>IF($I5831=0,0,IF(INDEX(DarlOhneTilgung,13)=1,0,IF(AND(INDEX(DarlTilgStart,13)&gt;0,$E5831=INDEX(DarlTilgStart,13)),$J5831*($H5831+INDEX(DarlTilgung,13))/100/12,IF(AND($G5831=0,$G5830=1),MAX($K5830,$J5831*($H5831+1)/100/12),$K5830))))</f>
      </c>
      <c r="L5831" s="43">
        <f>IF($I5831=0,0,$J5831*$H5831/100/12)</f>
      </c>
      <c r="M5831" s="43">
        <f>IF($I5831=0,0,IF(OR(INDEX(DarlOhneTilgung,13)=1,AND(INDEX(DarlTilgStart,13)&gt;0,$E5831&lt;INDEX(DarlTilgStart,13))),0,MIN(MAX(0,$K5831-$L5831),$J5831)))</f>
      </c>
      <c r="N5831" s="43">
        <f>IF($I5831=0,0,MIN(SUMIFS(SondBetrag,SondDarl,13,SondDatum,"&gt;="&amp;$E5831,SondDatum,"&lt;="&amp;EOMONTH($E5831,0)),$J5831-$M5831))</f>
      </c>
      <c r="O5831" s="43">
        <f>IF($I5831=0,0,INDEX(DarlErsatzRate,13))</f>
      </c>
      <c r="P5831" s="43">
        <f>IF($I5831=0,0,$Q5830*INDEX(DarlErsatzZins,13))</f>
      </c>
      <c r="Q5831" s="43">
        <f>IF($I5831=0,0,$Q5830+$P5831+$O5831)</f>
      </c>
      <c r="R5831" s="43">
        <f>IF($I5831=0,0,$J5831-$M5831-$N5831)</f>
      </c>
    </row>
    <row r="5832">
      <c r="A5832"/>
      <c r="B5832">
        <v>13</v>
      </c>
      <c r="C5832" s="43">
        <f>INDEX(DarlObj,13)</f>
      </c>
      <c r="D5832">
        <v>69</v>
      </c>
      <c r="E5832" s="51">
        <f>IF(INDEX(DarlBelegt,13)=0,0,EOMONTH(INDEX(DarlAuszahlung,13),68)+1)</f>
      </c>
      <c r="F5832" s="43">
        <f>IF($E5832=0,0,YEAR($E5832))</f>
      </c>
      <c r="G5832" s="43">
        <f>IF(INDEX(DarlBindung,13)="",1,IF($E5832&lt;=INDEX(DarlBindung,13),1,0))</f>
      </c>
      <c r="H5832" s="43">
        <f>IF($G5832=1,INDEX(DarlSollzins,13),INDEX(DarlAnschluss,13))</f>
      </c>
      <c r="I5832" s="43">
        <f>IF(INDEX(DarlBelegt,13)=0,0,IF(INDEX(DarlOhneTilgung,13)=1,IF(INDEX(DarlBindung,13)="",1,$G5832),IF($J5832&gt;0.005,1,0)))</f>
      </c>
      <c r="J5832" s="43">
        <f>IF($I5831=0,0,$R5831)</f>
      </c>
      <c r="K5832" s="43">
        <f>IF($I5832=0,0,IF(INDEX(DarlOhneTilgung,13)=1,0,IF(AND(INDEX(DarlTilgStart,13)&gt;0,$E5832=INDEX(DarlTilgStart,13)),$J5832*($H5832+INDEX(DarlTilgung,13))/100/12,IF(AND($G5832=0,$G5831=1),MAX($K5831,$J5832*($H5832+1)/100/12),$K5831))))</f>
      </c>
      <c r="L5832" s="43">
        <f>IF($I5832=0,0,$J5832*$H5832/100/12)</f>
      </c>
      <c r="M5832" s="43">
        <f>IF($I5832=0,0,IF(OR(INDEX(DarlOhneTilgung,13)=1,AND(INDEX(DarlTilgStart,13)&gt;0,$E5832&lt;INDEX(DarlTilgStart,13))),0,MIN(MAX(0,$K5832-$L5832),$J5832)))</f>
      </c>
      <c r="N5832" s="43">
        <f>IF($I5832=0,0,MIN(SUMIFS(SondBetrag,SondDarl,13,SondDatum,"&gt;="&amp;$E5832,SondDatum,"&lt;="&amp;EOMONTH($E5832,0)),$J5832-$M5832))</f>
      </c>
      <c r="O5832" s="43">
        <f>IF($I5832=0,0,INDEX(DarlErsatzRate,13))</f>
      </c>
      <c r="P5832" s="43">
        <f>IF($I5832=0,0,$Q5831*INDEX(DarlErsatzZins,13))</f>
      </c>
      <c r="Q5832" s="43">
        <f>IF($I5832=0,0,$Q5831+$P5832+$O5832)</f>
      </c>
      <c r="R5832" s="43">
        <f>IF($I5832=0,0,$J5832-$M5832-$N5832)</f>
      </c>
    </row>
    <row r="5833">
      <c r="A5833"/>
      <c r="B5833">
        <v>13</v>
      </c>
      <c r="C5833" s="43">
        <f>INDEX(DarlObj,13)</f>
      </c>
      <c r="D5833">
        <v>70</v>
      </c>
      <c r="E5833" s="51">
        <f>IF(INDEX(DarlBelegt,13)=0,0,EOMONTH(INDEX(DarlAuszahlung,13),69)+1)</f>
      </c>
      <c r="F5833" s="43">
        <f>IF($E5833=0,0,YEAR($E5833))</f>
      </c>
      <c r="G5833" s="43">
        <f>IF(INDEX(DarlBindung,13)="",1,IF($E5833&lt;=INDEX(DarlBindung,13),1,0))</f>
      </c>
      <c r="H5833" s="43">
        <f>IF($G5833=1,INDEX(DarlSollzins,13),INDEX(DarlAnschluss,13))</f>
      </c>
      <c r="I5833" s="43">
        <f>IF(INDEX(DarlBelegt,13)=0,0,IF(INDEX(DarlOhneTilgung,13)=1,IF(INDEX(DarlBindung,13)="",1,$G5833),IF($J5833&gt;0.005,1,0)))</f>
      </c>
      <c r="J5833" s="43">
        <f>IF($I5832=0,0,$R5832)</f>
      </c>
      <c r="K5833" s="43">
        <f>IF($I5833=0,0,IF(INDEX(DarlOhneTilgung,13)=1,0,IF(AND(INDEX(DarlTilgStart,13)&gt;0,$E5833=INDEX(DarlTilgStart,13)),$J5833*($H5833+INDEX(DarlTilgung,13))/100/12,IF(AND($G5833=0,$G5832=1),MAX($K5832,$J5833*($H5833+1)/100/12),$K5832))))</f>
      </c>
      <c r="L5833" s="43">
        <f>IF($I5833=0,0,$J5833*$H5833/100/12)</f>
      </c>
      <c r="M5833" s="43">
        <f>IF($I5833=0,0,IF(OR(INDEX(DarlOhneTilgung,13)=1,AND(INDEX(DarlTilgStart,13)&gt;0,$E5833&lt;INDEX(DarlTilgStart,13))),0,MIN(MAX(0,$K5833-$L5833),$J5833)))</f>
      </c>
      <c r="N5833" s="43">
        <f>IF($I5833=0,0,MIN(SUMIFS(SondBetrag,SondDarl,13,SondDatum,"&gt;="&amp;$E5833,SondDatum,"&lt;="&amp;EOMONTH($E5833,0)),$J5833-$M5833))</f>
      </c>
      <c r="O5833" s="43">
        <f>IF($I5833=0,0,INDEX(DarlErsatzRate,13))</f>
      </c>
      <c r="P5833" s="43">
        <f>IF($I5833=0,0,$Q5832*INDEX(DarlErsatzZins,13))</f>
      </c>
      <c r="Q5833" s="43">
        <f>IF($I5833=0,0,$Q5832+$P5833+$O5833)</f>
      </c>
      <c r="R5833" s="43">
        <f>IF($I5833=0,0,$J5833-$M5833-$N5833)</f>
      </c>
    </row>
    <row r="5834">
      <c r="A5834"/>
      <c r="B5834">
        <v>13</v>
      </c>
      <c r="C5834" s="43">
        <f>INDEX(DarlObj,13)</f>
      </c>
      <c r="D5834">
        <v>71</v>
      </c>
      <c r="E5834" s="51">
        <f>IF(INDEX(DarlBelegt,13)=0,0,EOMONTH(INDEX(DarlAuszahlung,13),70)+1)</f>
      </c>
      <c r="F5834" s="43">
        <f>IF($E5834=0,0,YEAR($E5834))</f>
      </c>
      <c r="G5834" s="43">
        <f>IF(INDEX(DarlBindung,13)="",1,IF($E5834&lt;=INDEX(DarlBindung,13),1,0))</f>
      </c>
      <c r="H5834" s="43">
        <f>IF($G5834=1,INDEX(DarlSollzins,13),INDEX(DarlAnschluss,13))</f>
      </c>
      <c r="I5834" s="43">
        <f>IF(INDEX(DarlBelegt,13)=0,0,IF(INDEX(DarlOhneTilgung,13)=1,IF(INDEX(DarlBindung,13)="",1,$G5834),IF($J5834&gt;0.005,1,0)))</f>
      </c>
      <c r="J5834" s="43">
        <f>IF($I5833=0,0,$R5833)</f>
      </c>
      <c r="K5834" s="43">
        <f>IF($I5834=0,0,IF(INDEX(DarlOhneTilgung,13)=1,0,IF(AND(INDEX(DarlTilgStart,13)&gt;0,$E5834=INDEX(DarlTilgStart,13)),$J5834*($H5834+INDEX(DarlTilgung,13))/100/12,IF(AND($G5834=0,$G5833=1),MAX($K5833,$J5834*($H5834+1)/100/12),$K5833))))</f>
      </c>
      <c r="L5834" s="43">
        <f>IF($I5834=0,0,$J5834*$H5834/100/12)</f>
      </c>
      <c r="M5834" s="43">
        <f>IF($I5834=0,0,IF(OR(INDEX(DarlOhneTilgung,13)=1,AND(INDEX(DarlTilgStart,13)&gt;0,$E5834&lt;INDEX(DarlTilgStart,13))),0,MIN(MAX(0,$K5834-$L5834),$J5834)))</f>
      </c>
      <c r="N5834" s="43">
        <f>IF($I5834=0,0,MIN(SUMIFS(SondBetrag,SondDarl,13,SondDatum,"&gt;="&amp;$E5834,SondDatum,"&lt;="&amp;EOMONTH($E5834,0)),$J5834-$M5834))</f>
      </c>
      <c r="O5834" s="43">
        <f>IF($I5834=0,0,INDEX(DarlErsatzRate,13))</f>
      </c>
      <c r="P5834" s="43">
        <f>IF($I5834=0,0,$Q5833*INDEX(DarlErsatzZins,13))</f>
      </c>
      <c r="Q5834" s="43">
        <f>IF($I5834=0,0,$Q5833+$P5834+$O5834)</f>
      </c>
      <c r="R5834" s="43">
        <f>IF($I5834=0,0,$J5834-$M5834-$N5834)</f>
      </c>
    </row>
    <row r="5835">
      <c r="A5835"/>
      <c r="B5835">
        <v>13</v>
      </c>
      <c r="C5835" s="43">
        <f>INDEX(DarlObj,13)</f>
      </c>
      <c r="D5835">
        <v>72</v>
      </c>
      <c r="E5835" s="51">
        <f>IF(INDEX(DarlBelegt,13)=0,0,EOMONTH(INDEX(DarlAuszahlung,13),71)+1)</f>
      </c>
      <c r="F5835" s="43">
        <f>IF($E5835=0,0,YEAR($E5835))</f>
      </c>
      <c r="G5835" s="43">
        <f>IF(INDEX(DarlBindung,13)="",1,IF($E5835&lt;=INDEX(DarlBindung,13),1,0))</f>
      </c>
      <c r="H5835" s="43">
        <f>IF($G5835=1,INDEX(DarlSollzins,13),INDEX(DarlAnschluss,13))</f>
      </c>
      <c r="I5835" s="43">
        <f>IF(INDEX(DarlBelegt,13)=0,0,IF(INDEX(DarlOhneTilgung,13)=1,IF(INDEX(DarlBindung,13)="",1,$G5835),IF($J5835&gt;0.005,1,0)))</f>
      </c>
      <c r="J5835" s="43">
        <f>IF($I5834=0,0,$R5834)</f>
      </c>
      <c r="K5835" s="43">
        <f>IF($I5835=0,0,IF(INDEX(DarlOhneTilgung,13)=1,0,IF(AND(INDEX(DarlTilgStart,13)&gt;0,$E5835=INDEX(DarlTilgStart,13)),$J5835*($H5835+INDEX(DarlTilgung,13))/100/12,IF(AND($G5835=0,$G5834=1),MAX($K5834,$J5835*($H5835+1)/100/12),$K5834))))</f>
      </c>
      <c r="L5835" s="43">
        <f>IF($I5835=0,0,$J5835*$H5835/100/12)</f>
      </c>
      <c r="M5835" s="43">
        <f>IF($I5835=0,0,IF(OR(INDEX(DarlOhneTilgung,13)=1,AND(INDEX(DarlTilgStart,13)&gt;0,$E5835&lt;INDEX(DarlTilgStart,13))),0,MIN(MAX(0,$K5835-$L5835),$J5835)))</f>
      </c>
      <c r="N5835" s="43">
        <f>IF($I5835=0,0,MIN(SUMIFS(SondBetrag,SondDarl,13,SondDatum,"&gt;="&amp;$E5835,SondDatum,"&lt;="&amp;EOMONTH($E5835,0)),$J5835-$M5835))</f>
      </c>
      <c r="O5835" s="43">
        <f>IF($I5835=0,0,INDEX(DarlErsatzRate,13))</f>
      </c>
      <c r="P5835" s="43">
        <f>IF($I5835=0,0,$Q5834*INDEX(DarlErsatzZins,13))</f>
      </c>
      <c r="Q5835" s="43">
        <f>IF($I5835=0,0,$Q5834+$P5835+$O5835)</f>
      </c>
      <c r="R5835" s="43">
        <f>IF($I5835=0,0,$J5835-$M5835-$N5835)</f>
      </c>
    </row>
    <row r="5836">
      <c r="A5836"/>
      <c r="B5836">
        <v>13</v>
      </c>
      <c r="C5836" s="43">
        <f>INDEX(DarlObj,13)</f>
      </c>
      <c r="D5836">
        <v>73</v>
      </c>
      <c r="E5836" s="51">
        <f>IF(INDEX(DarlBelegt,13)=0,0,EOMONTH(INDEX(DarlAuszahlung,13),72)+1)</f>
      </c>
      <c r="F5836" s="43">
        <f>IF($E5836=0,0,YEAR($E5836))</f>
      </c>
      <c r="G5836" s="43">
        <f>IF(INDEX(DarlBindung,13)="",1,IF($E5836&lt;=INDEX(DarlBindung,13),1,0))</f>
      </c>
      <c r="H5836" s="43">
        <f>IF($G5836=1,INDEX(DarlSollzins,13),INDEX(DarlAnschluss,13))</f>
      </c>
      <c r="I5836" s="43">
        <f>IF(INDEX(DarlBelegt,13)=0,0,IF(INDEX(DarlOhneTilgung,13)=1,IF(INDEX(DarlBindung,13)="",1,$G5836),IF($J5836&gt;0.005,1,0)))</f>
      </c>
      <c r="J5836" s="43">
        <f>IF($I5835=0,0,$R5835)</f>
      </c>
      <c r="K5836" s="43">
        <f>IF($I5836=0,0,IF(INDEX(DarlOhneTilgung,13)=1,0,IF(AND(INDEX(DarlTilgStart,13)&gt;0,$E5836=INDEX(DarlTilgStart,13)),$J5836*($H5836+INDEX(DarlTilgung,13))/100/12,IF(AND($G5836=0,$G5835=1),MAX($K5835,$J5836*($H5836+1)/100/12),$K5835))))</f>
      </c>
      <c r="L5836" s="43">
        <f>IF($I5836=0,0,$J5836*$H5836/100/12)</f>
      </c>
      <c r="M5836" s="43">
        <f>IF($I5836=0,0,IF(OR(INDEX(DarlOhneTilgung,13)=1,AND(INDEX(DarlTilgStart,13)&gt;0,$E5836&lt;INDEX(DarlTilgStart,13))),0,MIN(MAX(0,$K5836-$L5836),$J5836)))</f>
      </c>
      <c r="N5836" s="43">
        <f>IF($I5836=0,0,MIN(SUMIFS(SondBetrag,SondDarl,13,SondDatum,"&gt;="&amp;$E5836,SondDatum,"&lt;="&amp;EOMONTH($E5836,0)),$J5836-$M5836))</f>
      </c>
      <c r="O5836" s="43">
        <f>IF($I5836=0,0,INDEX(DarlErsatzRate,13))</f>
      </c>
      <c r="P5836" s="43">
        <f>IF($I5836=0,0,$Q5835*INDEX(DarlErsatzZins,13))</f>
      </c>
      <c r="Q5836" s="43">
        <f>IF($I5836=0,0,$Q5835+$P5836+$O5836)</f>
      </c>
      <c r="R5836" s="43">
        <f>IF($I5836=0,0,$J5836-$M5836-$N5836)</f>
      </c>
    </row>
    <row r="5837">
      <c r="A5837"/>
      <c r="B5837">
        <v>13</v>
      </c>
      <c r="C5837" s="43">
        <f>INDEX(DarlObj,13)</f>
      </c>
      <c r="D5837">
        <v>74</v>
      </c>
      <c r="E5837" s="51">
        <f>IF(INDEX(DarlBelegt,13)=0,0,EOMONTH(INDEX(DarlAuszahlung,13),73)+1)</f>
      </c>
      <c r="F5837" s="43">
        <f>IF($E5837=0,0,YEAR($E5837))</f>
      </c>
      <c r="G5837" s="43">
        <f>IF(INDEX(DarlBindung,13)="",1,IF($E5837&lt;=INDEX(DarlBindung,13),1,0))</f>
      </c>
      <c r="H5837" s="43">
        <f>IF($G5837=1,INDEX(DarlSollzins,13),INDEX(DarlAnschluss,13))</f>
      </c>
      <c r="I5837" s="43">
        <f>IF(INDEX(DarlBelegt,13)=0,0,IF(INDEX(DarlOhneTilgung,13)=1,IF(INDEX(DarlBindung,13)="",1,$G5837),IF($J5837&gt;0.005,1,0)))</f>
      </c>
      <c r="J5837" s="43">
        <f>IF($I5836=0,0,$R5836)</f>
      </c>
      <c r="K5837" s="43">
        <f>IF($I5837=0,0,IF(INDEX(DarlOhneTilgung,13)=1,0,IF(AND(INDEX(DarlTilgStart,13)&gt;0,$E5837=INDEX(DarlTilgStart,13)),$J5837*($H5837+INDEX(DarlTilgung,13))/100/12,IF(AND($G5837=0,$G5836=1),MAX($K5836,$J5837*($H5837+1)/100/12),$K5836))))</f>
      </c>
      <c r="L5837" s="43">
        <f>IF($I5837=0,0,$J5837*$H5837/100/12)</f>
      </c>
      <c r="M5837" s="43">
        <f>IF($I5837=0,0,IF(OR(INDEX(DarlOhneTilgung,13)=1,AND(INDEX(DarlTilgStart,13)&gt;0,$E5837&lt;INDEX(DarlTilgStart,13))),0,MIN(MAX(0,$K5837-$L5837),$J5837)))</f>
      </c>
      <c r="N5837" s="43">
        <f>IF($I5837=0,0,MIN(SUMIFS(SondBetrag,SondDarl,13,SondDatum,"&gt;="&amp;$E5837,SondDatum,"&lt;="&amp;EOMONTH($E5837,0)),$J5837-$M5837))</f>
      </c>
      <c r="O5837" s="43">
        <f>IF($I5837=0,0,INDEX(DarlErsatzRate,13))</f>
      </c>
      <c r="P5837" s="43">
        <f>IF($I5837=0,0,$Q5836*INDEX(DarlErsatzZins,13))</f>
      </c>
      <c r="Q5837" s="43">
        <f>IF($I5837=0,0,$Q5836+$P5837+$O5837)</f>
      </c>
      <c r="R5837" s="43">
        <f>IF($I5837=0,0,$J5837-$M5837-$N5837)</f>
      </c>
    </row>
    <row r="5838">
      <c r="A5838"/>
      <c r="B5838">
        <v>13</v>
      </c>
      <c r="C5838" s="43">
        <f>INDEX(DarlObj,13)</f>
      </c>
      <c r="D5838">
        <v>75</v>
      </c>
      <c r="E5838" s="51">
        <f>IF(INDEX(DarlBelegt,13)=0,0,EOMONTH(INDEX(DarlAuszahlung,13),74)+1)</f>
      </c>
      <c r="F5838" s="43">
        <f>IF($E5838=0,0,YEAR($E5838))</f>
      </c>
      <c r="G5838" s="43">
        <f>IF(INDEX(DarlBindung,13)="",1,IF($E5838&lt;=INDEX(DarlBindung,13),1,0))</f>
      </c>
      <c r="H5838" s="43">
        <f>IF($G5838=1,INDEX(DarlSollzins,13),INDEX(DarlAnschluss,13))</f>
      </c>
      <c r="I5838" s="43">
        <f>IF(INDEX(DarlBelegt,13)=0,0,IF(INDEX(DarlOhneTilgung,13)=1,IF(INDEX(DarlBindung,13)="",1,$G5838),IF($J5838&gt;0.005,1,0)))</f>
      </c>
      <c r="J5838" s="43">
        <f>IF($I5837=0,0,$R5837)</f>
      </c>
      <c r="K5838" s="43">
        <f>IF($I5838=0,0,IF(INDEX(DarlOhneTilgung,13)=1,0,IF(AND(INDEX(DarlTilgStart,13)&gt;0,$E5838=INDEX(DarlTilgStart,13)),$J5838*($H5838+INDEX(DarlTilgung,13))/100/12,IF(AND($G5838=0,$G5837=1),MAX($K5837,$J5838*($H5838+1)/100/12),$K5837))))</f>
      </c>
      <c r="L5838" s="43">
        <f>IF($I5838=0,0,$J5838*$H5838/100/12)</f>
      </c>
      <c r="M5838" s="43">
        <f>IF($I5838=0,0,IF(OR(INDEX(DarlOhneTilgung,13)=1,AND(INDEX(DarlTilgStart,13)&gt;0,$E5838&lt;INDEX(DarlTilgStart,13))),0,MIN(MAX(0,$K5838-$L5838),$J5838)))</f>
      </c>
      <c r="N5838" s="43">
        <f>IF($I5838=0,0,MIN(SUMIFS(SondBetrag,SondDarl,13,SondDatum,"&gt;="&amp;$E5838,SondDatum,"&lt;="&amp;EOMONTH($E5838,0)),$J5838-$M5838))</f>
      </c>
      <c r="O5838" s="43">
        <f>IF($I5838=0,0,INDEX(DarlErsatzRate,13))</f>
      </c>
      <c r="P5838" s="43">
        <f>IF($I5838=0,0,$Q5837*INDEX(DarlErsatzZins,13))</f>
      </c>
      <c r="Q5838" s="43">
        <f>IF($I5838=0,0,$Q5837+$P5838+$O5838)</f>
      </c>
      <c r="R5838" s="43">
        <f>IF($I5838=0,0,$J5838-$M5838-$N5838)</f>
      </c>
    </row>
    <row r="5839">
      <c r="A5839"/>
      <c r="B5839">
        <v>13</v>
      </c>
      <c r="C5839" s="43">
        <f>INDEX(DarlObj,13)</f>
      </c>
      <c r="D5839">
        <v>76</v>
      </c>
      <c r="E5839" s="51">
        <f>IF(INDEX(DarlBelegt,13)=0,0,EOMONTH(INDEX(DarlAuszahlung,13),75)+1)</f>
      </c>
      <c r="F5839" s="43">
        <f>IF($E5839=0,0,YEAR($E5839))</f>
      </c>
      <c r="G5839" s="43">
        <f>IF(INDEX(DarlBindung,13)="",1,IF($E5839&lt;=INDEX(DarlBindung,13),1,0))</f>
      </c>
      <c r="H5839" s="43">
        <f>IF($G5839=1,INDEX(DarlSollzins,13),INDEX(DarlAnschluss,13))</f>
      </c>
      <c r="I5839" s="43">
        <f>IF(INDEX(DarlBelegt,13)=0,0,IF(INDEX(DarlOhneTilgung,13)=1,IF(INDEX(DarlBindung,13)="",1,$G5839),IF($J5839&gt;0.005,1,0)))</f>
      </c>
      <c r="J5839" s="43">
        <f>IF($I5838=0,0,$R5838)</f>
      </c>
      <c r="K5839" s="43">
        <f>IF($I5839=0,0,IF(INDEX(DarlOhneTilgung,13)=1,0,IF(AND(INDEX(DarlTilgStart,13)&gt;0,$E5839=INDEX(DarlTilgStart,13)),$J5839*($H5839+INDEX(DarlTilgung,13))/100/12,IF(AND($G5839=0,$G5838=1),MAX($K5838,$J5839*($H5839+1)/100/12),$K5838))))</f>
      </c>
      <c r="L5839" s="43">
        <f>IF($I5839=0,0,$J5839*$H5839/100/12)</f>
      </c>
      <c r="M5839" s="43">
        <f>IF($I5839=0,0,IF(OR(INDEX(DarlOhneTilgung,13)=1,AND(INDEX(DarlTilgStart,13)&gt;0,$E5839&lt;INDEX(DarlTilgStart,13))),0,MIN(MAX(0,$K5839-$L5839),$J5839)))</f>
      </c>
      <c r="N5839" s="43">
        <f>IF($I5839=0,0,MIN(SUMIFS(SondBetrag,SondDarl,13,SondDatum,"&gt;="&amp;$E5839,SondDatum,"&lt;="&amp;EOMONTH($E5839,0)),$J5839-$M5839))</f>
      </c>
      <c r="O5839" s="43">
        <f>IF($I5839=0,0,INDEX(DarlErsatzRate,13))</f>
      </c>
      <c r="P5839" s="43">
        <f>IF($I5839=0,0,$Q5838*INDEX(DarlErsatzZins,13))</f>
      </c>
      <c r="Q5839" s="43">
        <f>IF($I5839=0,0,$Q5838+$P5839+$O5839)</f>
      </c>
      <c r="R5839" s="43">
        <f>IF($I5839=0,0,$J5839-$M5839-$N5839)</f>
      </c>
    </row>
    <row r="5840">
      <c r="A5840"/>
      <c r="B5840">
        <v>13</v>
      </c>
      <c r="C5840" s="43">
        <f>INDEX(DarlObj,13)</f>
      </c>
      <c r="D5840">
        <v>77</v>
      </c>
      <c r="E5840" s="51">
        <f>IF(INDEX(DarlBelegt,13)=0,0,EOMONTH(INDEX(DarlAuszahlung,13),76)+1)</f>
      </c>
      <c r="F5840" s="43">
        <f>IF($E5840=0,0,YEAR($E5840))</f>
      </c>
      <c r="G5840" s="43">
        <f>IF(INDEX(DarlBindung,13)="",1,IF($E5840&lt;=INDEX(DarlBindung,13),1,0))</f>
      </c>
      <c r="H5840" s="43">
        <f>IF($G5840=1,INDEX(DarlSollzins,13),INDEX(DarlAnschluss,13))</f>
      </c>
      <c r="I5840" s="43">
        <f>IF(INDEX(DarlBelegt,13)=0,0,IF(INDEX(DarlOhneTilgung,13)=1,IF(INDEX(DarlBindung,13)="",1,$G5840),IF($J5840&gt;0.005,1,0)))</f>
      </c>
      <c r="J5840" s="43">
        <f>IF($I5839=0,0,$R5839)</f>
      </c>
      <c r="K5840" s="43">
        <f>IF($I5840=0,0,IF(INDEX(DarlOhneTilgung,13)=1,0,IF(AND(INDEX(DarlTilgStart,13)&gt;0,$E5840=INDEX(DarlTilgStart,13)),$J5840*($H5840+INDEX(DarlTilgung,13))/100/12,IF(AND($G5840=0,$G5839=1),MAX($K5839,$J5840*($H5840+1)/100/12),$K5839))))</f>
      </c>
      <c r="L5840" s="43">
        <f>IF($I5840=0,0,$J5840*$H5840/100/12)</f>
      </c>
      <c r="M5840" s="43">
        <f>IF($I5840=0,0,IF(OR(INDEX(DarlOhneTilgung,13)=1,AND(INDEX(DarlTilgStart,13)&gt;0,$E5840&lt;INDEX(DarlTilgStart,13))),0,MIN(MAX(0,$K5840-$L5840),$J5840)))</f>
      </c>
      <c r="N5840" s="43">
        <f>IF($I5840=0,0,MIN(SUMIFS(SondBetrag,SondDarl,13,SondDatum,"&gt;="&amp;$E5840,SondDatum,"&lt;="&amp;EOMONTH($E5840,0)),$J5840-$M5840))</f>
      </c>
      <c r="O5840" s="43">
        <f>IF($I5840=0,0,INDEX(DarlErsatzRate,13))</f>
      </c>
      <c r="P5840" s="43">
        <f>IF($I5840=0,0,$Q5839*INDEX(DarlErsatzZins,13))</f>
      </c>
      <c r="Q5840" s="43">
        <f>IF($I5840=0,0,$Q5839+$P5840+$O5840)</f>
      </c>
      <c r="R5840" s="43">
        <f>IF($I5840=0,0,$J5840-$M5840-$N5840)</f>
      </c>
    </row>
    <row r="5841">
      <c r="A5841"/>
      <c r="B5841">
        <v>13</v>
      </c>
      <c r="C5841" s="43">
        <f>INDEX(DarlObj,13)</f>
      </c>
      <c r="D5841">
        <v>78</v>
      </c>
      <c r="E5841" s="51">
        <f>IF(INDEX(DarlBelegt,13)=0,0,EOMONTH(INDEX(DarlAuszahlung,13),77)+1)</f>
      </c>
      <c r="F5841" s="43">
        <f>IF($E5841=0,0,YEAR($E5841))</f>
      </c>
      <c r="G5841" s="43">
        <f>IF(INDEX(DarlBindung,13)="",1,IF($E5841&lt;=INDEX(DarlBindung,13),1,0))</f>
      </c>
      <c r="H5841" s="43">
        <f>IF($G5841=1,INDEX(DarlSollzins,13),INDEX(DarlAnschluss,13))</f>
      </c>
      <c r="I5841" s="43">
        <f>IF(INDEX(DarlBelegt,13)=0,0,IF(INDEX(DarlOhneTilgung,13)=1,IF(INDEX(DarlBindung,13)="",1,$G5841),IF($J5841&gt;0.005,1,0)))</f>
      </c>
      <c r="J5841" s="43">
        <f>IF($I5840=0,0,$R5840)</f>
      </c>
      <c r="K5841" s="43">
        <f>IF($I5841=0,0,IF(INDEX(DarlOhneTilgung,13)=1,0,IF(AND(INDEX(DarlTilgStart,13)&gt;0,$E5841=INDEX(DarlTilgStart,13)),$J5841*($H5841+INDEX(DarlTilgung,13))/100/12,IF(AND($G5841=0,$G5840=1),MAX($K5840,$J5841*($H5841+1)/100/12),$K5840))))</f>
      </c>
      <c r="L5841" s="43">
        <f>IF($I5841=0,0,$J5841*$H5841/100/12)</f>
      </c>
      <c r="M5841" s="43">
        <f>IF($I5841=0,0,IF(OR(INDEX(DarlOhneTilgung,13)=1,AND(INDEX(DarlTilgStart,13)&gt;0,$E5841&lt;INDEX(DarlTilgStart,13))),0,MIN(MAX(0,$K5841-$L5841),$J5841)))</f>
      </c>
      <c r="N5841" s="43">
        <f>IF($I5841=0,0,MIN(SUMIFS(SondBetrag,SondDarl,13,SondDatum,"&gt;="&amp;$E5841,SondDatum,"&lt;="&amp;EOMONTH($E5841,0)),$J5841-$M5841))</f>
      </c>
      <c r="O5841" s="43">
        <f>IF($I5841=0,0,INDEX(DarlErsatzRate,13))</f>
      </c>
      <c r="P5841" s="43">
        <f>IF($I5841=0,0,$Q5840*INDEX(DarlErsatzZins,13))</f>
      </c>
      <c r="Q5841" s="43">
        <f>IF($I5841=0,0,$Q5840+$P5841+$O5841)</f>
      </c>
      <c r="R5841" s="43">
        <f>IF($I5841=0,0,$J5841-$M5841-$N5841)</f>
      </c>
    </row>
    <row r="5842">
      <c r="A5842"/>
      <c r="B5842">
        <v>13</v>
      </c>
      <c r="C5842" s="43">
        <f>INDEX(DarlObj,13)</f>
      </c>
      <c r="D5842">
        <v>79</v>
      </c>
      <c r="E5842" s="51">
        <f>IF(INDEX(DarlBelegt,13)=0,0,EOMONTH(INDEX(DarlAuszahlung,13),78)+1)</f>
      </c>
      <c r="F5842" s="43">
        <f>IF($E5842=0,0,YEAR($E5842))</f>
      </c>
      <c r="G5842" s="43">
        <f>IF(INDEX(DarlBindung,13)="",1,IF($E5842&lt;=INDEX(DarlBindung,13),1,0))</f>
      </c>
      <c r="H5842" s="43">
        <f>IF($G5842=1,INDEX(DarlSollzins,13),INDEX(DarlAnschluss,13))</f>
      </c>
      <c r="I5842" s="43">
        <f>IF(INDEX(DarlBelegt,13)=0,0,IF(INDEX(DarlOhneTilgung,13)=1,IF(INDEX(DarlBindung,13)="",1,$G5842),IF($J5842&gt;0.005,1,0)))</f>
      </c>
      <c r="J5842" s="43">
        <f>IF($I5841=0,0,$R5841)</f>
      </c>
      <c r="K5842" s="43">
        <f>IF($I5842=0,0,IF(INDEX(DarlOhneTilgung,13)=1,0,IF(AND(INDEX(DarlTilgStart,13)&gt;0,$E5842=INDEX(DarlTilgStart,13)),$J5842*($H5842+INDEX(DarlTilgung,13))/100/12,IF(AND($G5842=0,$G5841=1),MAX($K5841,$J5842*($H5842+1)/100/12),$K5841))))</f>
      </c>
      <c r="L5842" s="43">
        <f>IF($I5842=0,0,$J5842*$H5842/100/12)</f>
      </c>
      <c r="M5842" s="43">
        <f>IF($I5842=0,0,IF(OR(INDEX(DarlOhneTilgung,13)=1,AND(INDEX(DarlTilgStart,13)&gt;0,$E5842&lt;INDEX(DarlTilgStart,13))),0,MIN(MAX(0,$K5842-$L5842),$J5842)))</f>
      </c>
      <c r="N5842" s="43">
        <f>IF($I5842=0,0,MIN(SUMIFS(SondBetrag,SondDarl,13,SondDatum,"&gt;="&amp;$E5842,SondDatum,"&lt;="&amp;EOMONTH($E5842,0)),$J5842-$M5842))</f>
      </c>
      <c r="O5842" s="43">
        <f>IF($I5842=0,0,INDEX(DarlErsatzRate,13))</f>
      </c>
      <c r="P5842" s="43">
        <f>IF($I5842=0,0,$Q5841*INDEX(DarlErsatzZins,13))</f>
      </c>
      <c r="Q5842" s="43">
        <f>IF($I5842=0,0,$Q5841+$P5842+$O5842)</f>
      </c>
      <c r="R5842" s="43">
        <f>IF($I5842=0,0,$J5842-$M5842-$N5842)</f>
      </c>
    </row>
    <row r="5843">
      <c r="A5843"/>
      <c r="B5843">
        <v>13</v>
      </c>
      <c r="C5843" s="43">
        <f>INDEX(DarlObj,13)</f>
      </c>
      <c r="D5843">
        <v>80</v>
      </c>
      <c r="E5843" s="51">
        <f>IF(INDEX(DarlBelegt,13)=0,0,EOMONTH(INDEX(DarlAuszahlung,13),79)+1)</f>
      </c>
      <c r="F5843" s="43">
        <f>IF($E5843=0,0,YEAR($E5843))</f>
      </c>
      <c r="G5843" s="43">
        <f>IF(INDEX(DarlBindung,13)="",1,IF($E5843&lt;=INDEX(DarlBindung,13),1,0))</f>
      </c>
      <c r="H5843" s="43">
        <f>IF($G5843=1,INDEX(DarlSollzins,13),INDEX(DarlAnschluss,13))</f>
      </c>
      <c r="I5843" s="43">
        <f>IF(INDEX(DarlBelegt,13)=0,0,IF(INDEX(DarlOhneTilgung,13)=1,IF(INDEX(DarlBindung,13)="",1,$G5843),IF($J5843&gt;0.005,1,0)))</f>
      </c>
      <c r="J5843" s="43">
        <f>IF($I5842=0,0,$R5842)</f>
      </c>
      <c r="K5843" s="43">
        <f>IF($I5843=0,0,IF(INDEX(DarlOhneTilgung,13)=1,0,IF(AND(INDEX(DarlTilgStart,13)&gt;0,$E5843=INDEX(DarlTilgStart,13)),$J5843*($H5843+INDEX(DarlTilgung,13))/100/12,IF(AND($G5843=0,$G5842=1),MAX($K5842,$J5843*($H5843+1)/100/12),$K5842))))</f>
      </c>
      <c r="L5843" s="43">
        <f>IF($I5843=0,0,$J5843*$H5843/100/12)</f>
      </c>
      <c r="M5843" s="43">
        <f>IF($I5843=0,0,IF(OR(INDEX(DarlOhneTilgung,13)=1,AND(INDEX(DarlTilgStart,13)&gt;0,$E5843&lt;INDEX(DarlTilgStart,13))),0,MIN(MAX(0,$K5843-$L5843),$J5843)))</f>
      </c>
      <c r="N5843" s="43">
        <f>IF($I5843=0,0,MIN(SUMIFS(SondBetrag,SondDarl,13,SondDatum,"&gt;="&amp;$E5843,SondDatum,"&lt;="&amp;EOMONTH($E5843,0)),$J5843-$M5843))</f>
      </c>
      <c r="O5843" s="43">
        <f>IF($I5843=0,0,INDEX(DarlErsatzRate,13))</f>
      </c>
      <c r="P5843" s="43">
        <f>IF($I5843=0,0,$Q5842*INDEX(DarlErsatzZins,13))</f>
      </c>
      <c r="Q5843" s="43">
        <f>IF($I5843=0,0,$Q5842+$P5843+$O5843)</f>
      </c>
      <c r="R5843" s="43">
        <f>IF($I5843=0,0,$J5843-$M5843-$N5843)</f>
      </c>
    </row>
    <row r="5844">
      <c r="A5844"/>
      <c r="B5844">
        <v>13</v>
      </c>
      <c r="C5844" s="43">
        <f>INDEX(DarlObj,13)</f>
      </c>
      <c r="D5844">
        <v>81</v>
      </c>
      <c r="E5844" s="51">
        <f>IF(INDEX(DarlBelegt,13)=0,0,EOMONTH(INDEX(DarlAuszahlung,13),80)+1)</f>
      </c>
      <c r="F5844" s="43">
        <f>IF($E5844=0,0,YEAR($E5844))</f>
      </c>
      <c r="G5844" s="43">
        <f>IF(INDEX(DarlBindung,13)="",1,IF($E5844&lt;=INDEX(DarlBindung,13),1,0))</f>
      </c>
      <c r="H5844" s="43">
        <f>IF($G5844=1,INDEX(DarlSollzins,13),INDEX(DarlAnschluss,13))</f>
      </c>
      <c r="I5844" s="43">
        <f>IF(INDEX(DarlBelegt,13)=0,0,IF(INDEX(DarlOhneTilgung,13)=1,IF(INDEX(DarlBindung,13)="",1,$G5844),IF($J5844&gt;0.005,1,0)))</f>
      </c>
      <c r="J5844" s="43">
        <f>IF($I5843=0,0,$R5843)</f>
      </c>
      <c r="K5844" s="43">
        <f>IF($I5844=0,0,IF(INDEX(DarlOhneTilgung,13)=1,0,IF(AND(INDEX(DarlTilgStart,13)&gt;0,$E5844=INDEX(DarlTilgStart,13)),$J5844*($H5844+INDEX(DarlTilgung,13))/100/12,IF(AND($G5844=0,$G5843=1),MAX($K5843,$J5844*($H5844+1)/100/12),$K5843))))</f>
      </c>
      <c r="L5844" s="43">
        <f>IF($I5844=0,0,$J5844*$H5844/100/12)</f>
      </c>
      <c r="M5844" s="43">
        <f>IF($I5844=0,0,IF(OR(INDEX(DarlOhneTilgung,13)=1,AND(INDEX(DarlTilgStart,13)&gt;0,$E5844&lt;INDEX(DarlTilgStart,13))),0,MIN(MAX(0,$K5844-$L5844),$J5844)))</f>
      </c>
      <c r="N5844" s="43">
        <f>IF($I5844=0,0,MIN(SUMIFS(SondBetrag,SondDarl,13,SondDatum,"&gt;="&amp;$E5844,SondDatum,"&lt;="&amp;EOMONTH($E5844,0)),$J5844-$M5844))</f>
      </c>
      <c r="O5844" s="43">
        <f>IF($I5844=0,0,INDEX(DarlErsatzRate,13))</f>
      </c>
      <c r="P5844" s="43">
        <f>IF($I5844=0,0,$Q5843*INDEX(DarlErsatzZins,13))</f>
      </c>
      <c r="Q5844" s="43">
        <f>IF($I5844=0,0,$Q5843+$P5844+$O5844)</f>
      </c>
      <c r="R5844" s="43">
        <f>IF($I5844=0,0,$J5844-$M5844-$N5844)</f>
      </c>
    </row>
    <row r="5845">
      <c r="A5845"/>
      <c r="B5845">
        <v>13</v>
      </c>
      <c r="C5845" s="43">
        <f>INDEX(DarlObj,13)</f>
      </c>
      <c r="D5845">
        <v>82</v>
      </c>
      <c r="E5845" s="51">
        <f>IF(INDEX(DarlBelegt,13)=0,0,EOMONTH(INDEX(DarlAuszahlung,13),81)+1)</f>
      </c>
      <c r="F5845" s="43">
        <f>IF($E5845=0,0,YEAR($E5845))</f>
      </c>
      <c r="G5845" s="43">
        <f>IF(INDEX(DarlBindung,13)="",1,IF($E5845&lt;=INDEX(DarlBindung,13),1,0))</f>
      </c>
      <c r="H5845" s="43">
        <f>IF($G5845=1,INDEX(DarlSollzins,13),INDEX(DarlAnschluss,13))</f>
      </c>
      <c r="I5845" s="43">
        <f>IF(INDEX(DarlBelegt,13)=0,0,IF(INDEX(DarlOhneTilgung,13)=1,IF(INDEX(DarlBindung,13)="",1,$G5845),IF($J5845&gt;0.005,1,0)))</f>
      </c>
      <c r="J5845" s="43">
        <f>IF($I5844=0,0,$R5844)</f>
      </c>
      <c r="K5845" s="43">
        <f>IF($I5845=0,0,IF(INDEX(DarlOhneTilgung,13)=1,0,IF(AND(INDEX(DarlTilgStart,13)&gt;0,$E5845=INDEX(DarlTilgStart,13)),$J5845*($H5845+INDEX(DarlTilgung,13))/100/12,IF(AND($G5845=0,$G5844=1),MAX($K5844,$J5845*($H5845+1)/100/12),$K5844))))</f>
      </c>
      <c r="L5845" s="43">
        <f>IF($I5845=0,0,$J5845*$H5845/100/12)</f>
      </c>
      <c r="M5845" s="43">
        <f>IF($I5845=0,0,IF(OR(INDEX(DarlOhneTilgung,13)=1,AND(INDEX(DarlTilgStart,13)&gt;0,$E5845&lt;INDEX(DarlTilgStart,13))),0,MIN(MAX(0,$K5845-$L5845),$J5845)))</f>
      </c>
      <c r="N5845" s="43">
        <f>IF($I5845=0,0,MIN(SUMIFS(SondBetrag,SondDarl,13,SondDatum,"&gt;="&amp;$E5845,SondDatum,"&lt;="&amp;EOMONTH($E5845,0)),$J5845-$M5845))</f>
      </c>
      <c r="O5845" s="43">
        <f>IF($I5845=0,0,INDEX(DarlErsatzRate,13))</f>
      </c>
      <c r="P5845" s="43">
        <f>IF($I5845=0,0,$Q5844*INDEX(DarlErsatzZins,13))</f>
      </c>
      <c r="Q5845" s="43">
        <f>IF($I5845=0,0,$Q5844+$P5845+$O5845)</f>
      </c>
      <c r="R5845" s="43">
        <f>IF($I5845=0,0,$J5845-$M5845-$N5845)</f>
      </c>
    </row>
    <row r="5846">
      <c r="A5846"/>
      <c r="B5846">
        <v>13</v>
      </c>
      <c r="C5846" s="43">
        <f>INDEX(DarlObj,13)</f>
      </c>
      <c r="D5846">
        <v>83</v>
      </c>
      <c r="E5846" s="51">
        <f>IF(INDEX(DarlBelegt,13)=0,0,EOMONTH(INDEX(DarlAuszahlung,13),82)+1)</f>
      </c>
      <c r="F5846" s="43">
        <f>IF($E5846=0,0,YEAR($E5846))</f>
      </c>
      <c r="G5846" s="43">
        <f>IF(INDEX(DarlBindung,13)="",1,IF($E5846&lt;=INDEX(DarlBindung,13),1,0))</f>
      </c>
      <c r="H5846" s="43">
        <f>IF($G5846=1,INDEX(DarlSollzins,13),INDEX(DarlAnschluss,13))</f>
      </c>
      <c r="I5846" s="43">
        <f>IF(INDEX(DarlBelegt,13)=0,0,IF(INDEX(DarlOhneTilgung,13)=1,IF(INDEX(DarlBindung,13)="",1,$G5846),IF($J5846&gt;0.005,1,0)))</f>
      </c>
      <c r="J5846" s="43">
        <f>IF($I5845=0,0,$R5845)</f>
      </c>
      <c r="K5846" s="43">
        <f>IF($I5846=0,0,IF(INDEX(DarlOhneTilgung,13)=1,0,IF(AND(INDEX(DarlTilgStart,13)&gt;0,$E5846=INDEX(DarlTilgStart,13)),$J5846*($H5846+INDEX(DarlTilgung,13))/100/12,IF(AND($G5846=0,$G5845=1),MAX($K5845,$J5846*($H5846+1)/100/12),$K5845))))</f>
      </c>
      <c r="L5846" s="43">
        <f>IF($I5846=0,0,$J5846*$H5846/100/12)</f>
      </c>
      <c r="M5846" s="43">
        <f>IF($I5846=0,0,IF(OR(INDEX(DarlOhneTilgung,13)=1,AND(INDEX(DarlTilgStart,13)&gt;0,$E5846&lt;INDEX(DarlTilgStart,13))),0,MIN(MAX(0,$K5846-$L5846),$J5846)))</f>
      </c>
      <c r="N5846" s="43">
        <f>IF($I5846=0,0,MIN(SUMIFS(SondBetrag,SondDarl,13,SondDatum,"&gt;="&amp;$E5846,SondDatum,"&lt;="&amp;EOMONTH($E5846,0)),$J5846-$M5846))</f>
      </c>
      <c r="O5846" s="43">
        <f>IF($I5846=0,0,INDEX(DarlErsatzRate,13))</f>
      </c>
      <c r="P5846" s="43">
        <f>IF($I5846=0,0,$Q5845*INDEX(DarlErsatzZins,13))</f>
      </c>
      <c r="Q5846" s="43">
        <f>IF($I5846=0,0,$Q5845+$P5846+$O5846)</f>
      </c>
      <c r="R5846" s="43">
        <f>IF($I5846=0,0,$J5846-$M5846-$N5846)</f>
      </c>
    </row>
    <row r="5847">
      <c r="A5847"/>
      <c r="B5847">
        <v>13</v>
      </c>
      <c r="C5847" s="43">
        <f>INDEX(DarlObj,13)</f>
      </c>
      <c r="D5847">
        <v>84</v>
      </c>
      <c r="E5847" s="51">
        <f>IF(INDEX(DarlBelegt,13)=0,0,EOMONTH(INDEX(DarlAuszahlung,13),83)+1)</f>
      </c>
      <c r="F5847" s="43">
        <f>IF($E5847=0,0,YEAR($E5847))</f>
      </c>
      <c r="G5847" s="43">
        <f>IF(INDEX(DarlBindung,13)="",1,IF($E5847&lt;=INDEX(DarlBindung,13),1,0))</f>
      </c>
      <c r="H5847" s="43">
        <f>IF($G5847=1,INDEX(DarlSollzins,13),INDEX(DarlAnschluss,13))</f>
      </c>
      <c r="I5847" s="43">
        <f>IF(INDEX(DarlBelegt,13)=0,0,IF(INDEX(DarlOhneTilgung,13)=1,IF(INDEX(DarlBindung,13)="",1,$G5847),IF($J5847&gt;0.005,1,0)))</f>
      </c>
      <c r="J5847" s="43">
        <f>IF($I5846=0,0,$R5846)</f>
      </c>
      <c r="K5847" s="43">
        <f>IF($I5847=0,0,IF(INDEX(DarlOhneTilgung,13)=1,0,IF(AND(INDEX(DarlTilgStart,13)&gt;0,$E5847=INDEX(DarlTilgStart,13)),$J5847*($H5847+INDEX(DarlTilgung,13))/100/12,IF(AND($G5847=0,$G5846=1),MAX($K5846,$J5847*($H5847+1)/100/12),$K5846))))</f>
      </c>
      <c r="L5847" s="43">
        <f>IF($I5847=0,0,$J5847*$H5847/100/12)</f>
      </c>
      <c r="M5847" s="43">
        <f>IF($I5847=0,0,IF(OR(INDEX(DarlOhneTilgung,13)=1,AND(INDEX(DarlTilgStart,13)&gt;0,$E5847&lt;INDEX(DarlTilgStart,13))),0,MIN(MAX(0,$K5847-$L5847),$J5847)))</f>
      </c>
      <c r="N5847" s="43">
        <f>IF($I5847=0,0,MIN(SUMIFS(SondBetrag,SondDarl,13,SondDatum,"&gt;="&amp;$E5847,SondDatum,"&lt;="&amp;EOMONTH($E5847,0)),$J5847-$M5847))</f>
      </c>
      <c r="O5847" s="43">
        <f>IF($I5847=0,0,INDEX(DarlErsatzRate,13))</f>
      </c>
      <c r="P5847" s="43">
        <f>IF($I5847=0,0,$Q5846*INDEX(DarlErsatzZins,13))</f>
      </c>
      <c r="Q5847" s="43">
        <f>IF($I5847=0,0,$Q5846+$P5847+$O5847)</f>
      </c>
      <c r="R5847" s="43">
        <f>IF($I5847=0,0,$J5847-$M5847-$N5847)</f>
      </c>
    </row>
    <row r="5848">
      <c r="A5848"/>
      <c r="B5848">
        <v>13</v>
      </c>
      <c r="C5848" s="43">
        <f>INDEX(DarlObj,13)</f>
      </c>
      <c r="D5848">
        <v>85</v>
      </c>
      <c r="E5848" s="51">
        <f>IF(INDEX(DarlBelegt,13)=0,0,EOMONTH(INDEX(DarlAuszahlung,13),84)+1)</f>
      </c>
      <c r="F5848" s="43">
        <f>IF($E5848=0,0,YEAR($E5848))</f>
      </c>
      <c r="G5848" s="43">
        <f>IF(INDEX(DarlBindung,13)="",1,IF($E5848&lt;=INDEX(DarlBindung,13),1,0))</f>
      </c>
      <c r="H5848" s="43">
        <f>IF($G5848=1,INDEX(DarlSollzins,13),INDEX(DarlAnschluss,13))</f>
      </c>
      <c r="I5848" s="43">
        <f>IF(INDEX(DarlBelegt,13)=0,0,IF(INDEX(DarlOhneTilgung,13)=1,IF(INDEX(DarlBindung,13)="",1,$G5848),IF($J5848&gt;0.005,1,0)))</f>
      </c>
      <c r="J5848" s="43">
        <f>IF($I5847=0,0,$R5847)</f>
      </c>
      <c r="K5848" s="43">
        <f>IF($I5848=0,0,IF(INDEX(DarlOhneTilgung,13)=1,0,IF(AND(INDEX(DarlTilgStart,13)&gt;0,$E5848=INDEX(DarlTilgStart,13)),$J5848*($H5848+INDEX(DarlTilgung,13))/100/12,IF(AND($G5848=0,$G5847=1),MAX($K5847,$J5848*($H5848+1)/100/12),$K5847))))</f>
      </c>
      <c r="L5848" s="43">
        <f>IF($I5848=0,0,$J5848*$H5848/100/12)</f>
      </c>
      <c r="M5848" s="43">
        <f>IF($I5848=0,0,IF(OR(INDEX(DarlOhneTilgung,13)=1,AND(INDEX(DarlTilgStart,13)&gt;0,$E5848&lt;INDEX(DarlTilgStart,13))),0,MIN(MAX(0,$K5848-$L5848),$J5848)))</f>
      </c>
      <c r="N5848" s="43">
        <f>IF($I5848=0,0,MIN(SUMIFS(SondBetrag,SondDarl,13,SondDatum,"&gt;="&amp;$E5848,SondDatum,"&lt;="&amp;EOMONTH($E5848,0)),$J5848-$M5848))</f>
      </c>
      <c r="O5848" s="43">
        <f>IF($I5848=0,0,INDEX(DarlErsatzRate,13))</f>
      </c>
      <c r="P5848" s="43">
        <f>IF($I5848=0,0,$Q5847*INDEX(DarlErsatzZins,13))</f>
      </c>
      <c r="Q5848" s="43">
        <f>IF($I5848=0,0,$Q5847+$P5848+$O5848)</f>
      </c>
      <c r="R5848" s="43">
        <f>IF($I5848=0,0,$J5848-$M5848-$N5848)</f>
      </c>
    </row>
    <row r="5849">
      <c r="A5849"/>
      <c r="B5849">
        <v>13</v>
      </c>
      <c r="C5849" s="43">
        <f>INDEX(DarlObj,13)</f>
      </c>
      <c r="D5849">
        <v>86</v>
      </c>
      <c r="E5849" s="51">
        <f>IF(INDEX(DarlBelegt,13)=0,0,EOMONTH(INDEX(DarlAuszahlung,13),85)+1)</f>
      </c>
      <c r="F5849" s="43">
        <f>IF($E5849=0,0,YEAR($E5849))</f>
      </c>
      <c r="G5849" s="43">
        <f>IF(INDEX(DarlBindung,13)="",1,IF($E5849&lt;=INDEX(DarlBindung,13),1,0))</f>
      </c>
      <c r="H5849" s="43">
        <f>IF($G5849=1,INDEX(DarlSollzins,13),INDEX(DarlAnschluss,13))</f>
      </c>
      <c r="I5849" s="43">
        <f>IF(INDEX(DarlBelegt,13)=0,0,IF(INDEX(DarlOhneTilgung,13)=1,IF(INDEX(DarlBindung,13)="",1,$G5849),IF($J5849&gt;0.005,1,0)))</f>
      </c>
      <c r="J5849" s="43">
        <f>IF($I5848=0,0,$R5848)</f>
      </c>
      <c r="K5849" s="43">
        <f>IF($I5849=0,0,IF(INDEX(DarlOhneTilgung,13)=1,0,IF(AND(INDEX(DarlTilgStart,13)&gt;0,$E5849=INDEX(DarlTilgStart,13)),$J5849*($H5849+INDEX(DarlTilgung,13))/100/12,IF(AND($G5849=0,$G5848=1),MAX($K5848,$J5849*($H5849+1)/100/12),$K5848))))</f>
      </c>
      <c r="L5849" s="43">
        <f>IF($I5849=0,0,$J5849*$H5849/100/12)</f>
      </c>
      <c r="M5849" s="43">
        <f>IF($I5849=0,0,IF(OR(INDEX(DarlOhneTilgung,13)=1,AND(INDEX(DarlTilgStart,13)&gt;0,$E5849&lt;INDEX(DarlTilgStart,13))),0,MIN(MAX(0,$K5849-$L5849),$J5849)))</f>
      </c>
      <c r="N5849" s="43">
        <f>IF($I5849=0,0,MIN(SUMIFS(SondBetrag,SondDarl,13,SondDatum,"&gt;="&amp;$E5849,SondDatum,"&lt;="&amp;EOMONTH($E5849,0)),$J5849-$M5849))</f>
      </c>
      <c r="O5849" s="43">
        <f>IF($I5849=0,0,INDEX(DarlErsatzRate,13))</f>
      </c>
      <c r="P5849" s="43">
        <f>IF($I5849=0,0,$Q5848*INDEX(DarlErsatzZins,13))</f>
      </c>
      <c r="Q5849" s="43">
        <f>IF($I5849=0,0,$Q5848+$P5849+$O5849)</f>
      </c>
      <c r="R5849" s="43">
        <f>IF($I5849=0,0,$J5849-$M5849-$N5849)</f>
      </c>
    </row>
    <row r="5850">
      <c r="A5850"/>
      <c r="B5850">
        <v>13</v>
      </c>
      <c r="C5850" s="43">
        <f>INDEX(DarlObj,13)</f>
      </c>
      <c r="D5850">
        <v>87</v>
      </c>
      <c r="E5850" s="51">
        <f>IF(INDEX(DarlBelegt,13)=0,0,EOMONTH(INDEX(DarlAuszahlung,13),86)+1)</f>
      </c>
      <c r="F5850" s="43">
        <f>IF($E5850=0,0,YEAR($E5850))</f>
      </c>
      <c r="G5850" s="43">
        <f>IF(INDEX(DarlBindung,13)="",1,IF($E5850&lt;=INDEX(DarlBindung,13),1,0))</f>
      </c>
      <c r="H5850" s="43">
        <f>IF($G5850=1,INDEX(DarlSollzins,13),INDEX(DarlAnschluss,13))</f>
      </c>
      <c r="I5850" s="43">
        <f>IF(INDEX(DarlBelegt,13)=0,0,IF(INDEX(DarlOhneTilgung,13)=1,IF(INDEX(DarlBindung,13)="",1,$G5850),IF($J5850&gt;0.005,1,0)))</f>
      </c>
      <c r="J5850" s="43">
        <f>IF($I5849=0,0,$R5849)</f>
      </c>
      <c r="K5850" s="43">
        <f>IF($I5850=0,0,IF(INDEX(DarlOhneTilgung,13)=1,0,IF(AND(INDEX(DarlTilgStart,13)&gt;0,$E5850=INDEX(DarlTilgStart,13)),$J5850*($H5850+INDEX(DarlTilgung,13))/100/12,IF(AND($G5850=0,$G5849=1),MAX($K5849,$J5850*($H5850+1)/100/12),$K5849))))</f>
      </c>
      <c r="L5850" s="43">
        <f>IF($I5850=0,0,$J5850*$H5850/100/12)</f>
      </c>
      <c r="M5850" s="43">
        <f>IF($I5850=0,0,IF(OR(INDEX(DarlOhneTilgung,13)=1,AND(INDEX(DarlTilgStart,13)&gt;0,$E5850&lt;INDEX(DarlTilgStart,13))),0,MIN(MAX(0,$K5850-$L5850),$J5850)))</f>
      </c>
      <c r="N5850" s="43">
        <f>IF($I5850=0,0,MIN(SUMIFS(SondBetrag,SondDarl,13,SondDatum,"&gt;="&amp;$E5850,SondDatum,"&lt;="&amp;EOMONTH($E5850,0)),$J5850-$M5850))</f>
      </c>
      <c r="O5850" s="43">
        <f>IF($I5850=0,0,INDEX(DarlErsatzRate,13))</f>
      </c>
      <c r="P5850" s="43">
        <f>IF($I5850=0,0,$Q5849*INDEX(DarlErsatzZins,13))</f>
      </c>
      <c r="Q5850" s="43">
        <f>IF($I5850=0,0,$Q5849+$P5850+$O5850)</f>
      </c>
      <c r="R5850" s="43">
        <f>IF($I5850=0,0,$J5850-$M5850-$N5850)</f>
      </c>
    </row>
    <row r="5851">
      <c r="A5851"/>
      <c r="B5851">
        <v>13</v>
      </c>
      <c r="C5851" s="43">
        <f>INDEX(DarlObj,13)</f>
      </c>
      <c r="D5851">
        <v>88</v>
      </c>
      <c r="E5851" s="51">
        <f>IF(INDEX(DarlBelegt,13)=0,0,EOMONTH(INDEX(DarlAuszahlung,13),87)+1)</f>
      </c>
      <c r="F5851" s="43">
        <f>IF($E5851=0,0,YEAR($E5851))</f>
      </c>
      <c r="G5851" s="43">
        <f>IF(INDEX(DarlBindung,13)="",1,IF($E5851&lt;=INDEX(DarlBindung,13),1,0))</f>
      </c>
      <c r="H5851" s="43">
        <f>IF($G5851=1,INDEX(DarlSollzins,13),INDEX(DarlAnschluss,13))</f>
      </c>
      <c r="I5851" s="43">
        <f>IF(INDEX(DarlBelegt,13)=0,0,IF(INDEX(DarlOhneTilgung,13)=1,IF(INDEX(DarlBindung,13)="",1,$G5851),IF($J5851&gt;0.005,1,0)))</f>
      </c>
      <c r="J5851" s="43">
        <f>IF($I5850=0,0,$R5850)</f>
      </c>
      <c r="K5851" s="43">
        <f>IF($I5851=0,0,IF(INDEX(DarlOhneTilgung,13)=1,0,IF(AND(INDEX(DarlTilgStart,13)&gt;0,$E5851=INDEX(DarlTilgStart,13)),$J5851*($H5851+INDEX(DarlTilgung,13))/100/12,IF(AND($G5851=0,$G5850=1),MAX($K5850,$J5851*($H5851+1)/100/12),$K5850))))</f>
      </c>
      <c r="L5851" s="43">
        <f>IF($I5851=0,0,$J5851*$H5851/100/12)</f>
      </c>
      <c r="M5851" s="43">
        <f>IF($I5851=0,0,IF(OR(INDEX(DarlOhneTilgung,13)=1,AND(INDEX(DarlTilgStart,13)&gt;0,$E5851&lt;INDEX(DarlTilgStart,13))),0,MIN(MAX(0,$K5851-$L5851),$J5851)))</f>
      </c>
      <c r="N5851" s="43">
        <f>IF($I5851=0,0,MIN(SUMIFS(SondBetrag,SondDarl,13,SondDatum,"&gt;="&amp;$E5851,SondDatum,"&lt;="&amp;EOMONTH($E5851,0)),$J5851-$M5851))</f>
      </c>
      <c r="O5851" s="43">
        <f>IF($I5851=0,0,INDEX(DarlErsatzRate,13))</f>
      </c>
      <c r="P5851" s="43">
        <f>IF($I5851=0,0,$Q5850*INDEX(DarlErsatzZins,13))</f>
      </c>
      <c r="Q5851" s="43">
        <f>IF($I5851=0,0,$Q5850+$P5851+$O5851)</f>
      </c>
      <c r="R5851" s="43">
        <f>IF($I5851=0,0,$J5851-$M5851-$N5851)</f>
      </c>
    </row>
    <row r="5852">
      <c r="A5852"/>
      <c r="B5852">
        <v>13</v>
      </c>
      <c r="C5852" s="43">
        <f>INDEX(DarlObj,13)</f>
      </c>
      <c r="D5852">
        <v>89</v>
      </c>
      <c r="E5852" s="51">
        <f>IF(INDEX(DarlBelegt,13)=0,0,EOMONTH(INDEX(DarlAuszahlung,13),88)+1)</f>
      </c>
      <c r="F5852" s="43">
        <f>IF($E5852=0,0,YEAR($E5852))</f>
      </c>
      <c r="G5852" s="43">
        <f>IF(INDEX(DarlBindung,13)="",1,IF($E5852&lt;=INDEX(DarlBindung,13),1,0))</f>
      </c>
      <c r="H5852" s="43">
        <f>IF($G5852=1,INDEX(DarlSollzins,13),INDEX(DarlAnschluss,13))</f>
      </c>
      <c r="I5852" s="43">
        <f>IF(INDEX(DarlBelegt,13)=0,0,IF(INDEX(DarlOhneTilgung,13)=1,IF(INDEX(DarlBindung,13)="",1,$G5852),IF($J5852&gt;0.005,1,0)))</f>
      </c>
      <c r="J5852" s="43">
        <f>IF($I5851=0,0,$R5851)</f>
      </c>
      <c r="K5852" s="43">
        <f>IF($I5852=0,0,IF(INDEX(DarlOhneTilgung,13)=1,0,IF(AND(INDEX(DarlTilgStart,13)&gt;0,$E5852=INDEX(DarlTilgStart,13)),$J5852*($H5852+INDEX(DarlTilgung,13))/100/12,IF(AND($G5852=0,$G5851=1),MAX($K5851,$J5852*($H5852+1)/100/12),$K5851))))</f>
      </c>
      <c r="L5852" s="43">
        <f>IF($I5852=0,0,$J5852*$H5852/100/12)</f>
      </c>
      <c r="M5852" s="43">
        <f>IF($I5852=0,0,IF(OR(INDEX(DarlOhneTilgung,13)=1,AND(INDEX(DarlTilgStart,13)&gt;0,$E5852&lt;INDEX(DarlTilgStart,13))),0,MIN(MAX(0,$K5852-$L5852),$J5852)))</f>
      </c>
      <c r="N5852" s="43">
        <f>IF($I5852=0,0,MIN(SUMIFS(SondBetrag,SondDarl,13,SondDatum,"&gt;="&amp;$E5852,SondDatum,"&lt;="&amp;EOMONTH($E5852,0)),$J5852-$M5852))</f>
      </c>
      <c r="O5852" s="43">
        <f>IF($I5852=0,0,INDEX(DarlErsatzRate,13))</f>
      </c>
      <c r="P5852" s="43">
        <f>IF($I5852=0,0,$Q5851*INDEX(DarlErsatzZins,13))</f>
      </c>
      <c r="Q5852" s="43">
        <f>IF($I5852=0,0,$Q5851+$P5852+$O5852)</f>
      </c>
      <c r="R5852" s="43">
        <f>IF($I5852=0,0,$J5852-$M5852-$N5852)</f>
      </c>
    </row>
    <row r="5853">
      <c r="A5853"/>
      <c r="B5853">
        <v>13</v>
      </c>
      <c r="C5853" s="43">
        <f>INDEX(DarlObj,13)</f>
      </c>
      <c r="D5853">
        <v>90</v>
      </c>
      <c r="E5853" s="51">
        <f>IF(INDEX(DarlBelegt,13)=0,0,EOMONTH(INDEX(DarlAuszahlung,13),89)+1)</f>
      </c>
      <c r="F5853" s="43">
        <f>IF($E5853=0,0,YEAR($E5853))</f>
      </c>
      <c r="G5853" s="43">
        <f>IF(INDEX(DarlBindung,13)="",1,IF($E5853&lt;=INDEX(DarlBindung,13),1,0))</f>
      </c>
      <c r="H5853" s="43">
        <f>IF($G5853=1,INDEX(DarlSollzins,13),INDEX(DarlAnschluss,13))</f>
      </c>
      <c r="I5853" s="43">
        <f>IF(INDEX(DarlBelegt,13)=0,0,IF(INDEX(DarlOhneTilgung,13)=1,IF(INDEX(DarlBindung,13)="",1,$G5853),IF($J5853&gt;0.005,1,0)))</f>
      </c>
      <c r="J5853" s="43">
        <f>IF($I5852=0,0,$R5852)</f>
      </c>
      <c r="K5853" s="43">
        <f>IF($I5853=0,0,IF(INDEX(DarlOhneTilgung,13)=1,0,IF(AND(INDEX(DarlTilgStart,13)&gt;0,$E5853=INDEX(DarlTilgStart,13)),$J5853*($H5853+INDEX(DarlTilgung,13))/100/12,IF(AND($G5853=0,$G5852=1),MAX($K5852,$J5853*($H5853+1)/100/12),$K5852))))</f>
      </c>
      <c r="L5853" s="43">
        <f>IF($I5853=0,0,$J5853*$H5853/100/12)</f>
      </c>
      <c r="M5853" s="43">
        <f>IF($I5853=0,0,IF(OR(INDEX(DarlOhneTilgung,13)=1,AND(INDEX(DarlTilgStart,13)&gt;0,$E5853&lt;INDEX(DarlTilgStart,13))),0,MIN(MAX(0,$K5853-$L5853),$J5853)))</f>
      </c>
      <c r="N5853" s="43">
        <f>IF($I5853=0,0,MIN(SUMIFS(SondBetrag,SondDarl,13,SondDatum,"&gt;="&amp;$E5853,SondDatum,"&lt;="&amp;EOMONTH($E5853,0)),$J5853-$M5853))</f>
      </c>
      <c r="O5853" s="43">
        <f>IF($I5853=0,0,INDEX(DarlErsatzRate,13))</f>
      </c>
      <c r="P5853" s="43">
        <f>IF($I5853=0,0,$Q5852*INDEX(DarlErsatzZins,13))</f>
      </c>
      <c r="Q5853" s="43">
        <f>IF($I5853=0,0,$Q5852+$P5853+$O5853)</f>
      </c>
      <c r="R5853" s="43">
        <f>IF($I5853=0,0,$J5853-$M5853-$N5853)</f>
      </c>
    </row>
    <row r="5854">
      <c r="A5854"/>
      <c r="B5854">
        <v>13</v>
      </c>
      <c r="C5854" s="43">
        <f>INDEX(DarlObj,13)</f>
      </c>
      <c r="D5854">
        <v>91</v>
      </c>
      <c r="E5854" s="51">
        <f>IF(INDEX(DarlBelegt,13)=0,0,EOMONTH(INDEX(DarlAuszahlung,13),90)+1)</f>
      </c>
      <c r="F5854" s="43">
        <f>IF($E5854=0,0,YEAR($E5854))</f>
      </c>
      <c r="G5854" s="43">
        <f>IF(INDEX(DarlBindung,13)="",1,IF($E5854&lt;=INDEX(DarlBindung,13),1,0))</f>
      </c>
      <c r="H5854" s="43">
        <f>IF($G5854=1,INDEX(DarlSollzins,13),INDEX(DarlAnschluss,13))</f>
      </c>
      <c r="I5854" s="43">
        <f>IF(INDEX(DarlBelegt,13)=0,0,IF(INDEX(DarlOhneTilgung,13)=1,IF(INDEX(DarlBindung,13)="",1,$G5854),IF($J5854&gt;0.005,1,0)))</f>
      </c>
      <c r="J5854" s="43">
        <f>IF($I5853=0,0,$R5853)</f>
      </c>
      <c r="K5854" s="43">
        <f>IF($I5854=0,0,IF(INDEX(DarlOhneTilgung,13)=1,0,IF(AND(INDEX(DarlTilgStart,13)&gt;0,$E5854=INDEX(DarlTilgStart,13)),$J5854*($H5854+INDEX(DarlTilgung,13))/100/12,IF(AND($G5854=0,$G5853=1),MAX($K5853,$J5854*($H5854+1)/100/12),$K5853))))</f>
      </c>
      <c r="L5854" s="43">
        <f>IF($I5854=0,0,$J5854*$H5854/100/12)</f>
      </c>
      <c r="M5854" s="43">
        <f>IF($I5854=0,0,IF(OR(INDEX(DarlOhneTilgung,13)=1,AND(INDEX(DarlTilgStart,13)&gt;0,$E5854&lt;INDEX(DarlTilgStart,13))),0,MIN(MAX(0,$K5854-$L5854),$J5854)))</f>
      </c>
      <c r="N5854" s="43">
        <f>IF($I5854=0,0,MIN(SUMIFS(SondBetrag,SondDarl,13,SondDatum,"&gt;="&amp;$E5854,SondDatum,"&lt;="&amp;EOMONTH($E5854,0)),$J5854-$M5854))</f>
      </c>
      <c r="O5854" s="43">
        <f>IF($I5854=0,0,INDEX(DarlErsatzRate,13))</f>
      </c>
      <c r="P5854" s="43">
        <f>IF($I5854=0,0,$Q5853*INDEX(DarlErsatzZins,13))</f>
      </c>
      <c r="Q5854" s="43">
        <f>IF($I5854=0,0,$Q5853+$P5854+$O5854)</f>
      </c>
      <c r="R5854" s="43">
        <f>IF($I5854=0,0,$J5854-$M5854-$N5854)</f>
      </c>
    </row>
    <row r="5855">
      <c r="A5855"/>
      <c r="B5855">
        <v>13</v>
      </c>
      <c r="C5855" s="43">
        <f>INDEX(DarlObj,13)</f>
      </c>
      <c r="D5855">
        <v>92</v>
      </c>
      <c r="E5855" s="51">
        <f>IF(INDEX(DarlBelegt,13)=0,0,EOMONTH(INDEX(DarlAuszahlung,13),91)+1)</f>
      </c>
      <c r="F5855" s="43">
        <f>IF($E5855=0,0,YEAR($E5855))</f>
      </c>
      <c r="G5855" s="43">
        <f>IF(INDEX(DarlBindung,13)="",1,IF($E5855&lt;=INDEX(DarlBindung,13),1,0))</f>
      </c>
      <c r="H5855" s="43">
        <f>IF($G5855=1,INDEX(DarlSollzins,13),INDEX(DarlAnschluss,13))</f>
      </c>
      <c r="I5855" s="43">
        <f>IF(INDEX(DarlBelegt,13)=0,0,IF(INDEX(DarlOhneTilgung,13)=1,IF(INDEX(DarlBindung,13)="",1,$G5855),IF($J5855&gt;0.005,1,0)))</f>
      </c>
      <c r="J5855" s="43">
        <f>IF($I5854=0,0,$R5854)</f>
      </c>
      <c r="K5855" s="43">
        <f>IF($I5855=0,0,IF(INDEX(DarlOhneTilgung,13)=1,0,IF(AND(INDEX(DarlTilgStart,13)&gt;0,$E5855=INDEX(DarlTilgStart,13)),$J5855*($H5855+INDEX(DarlTilgung,13))/100/12,IF(AND($G5855=0,$G5854=1),MAX($K5854,$J5855*($H5855+1)/100/12),$K5854))))</f>
      </c>
      <c r="L5855" s="43">
        <f>IF($I5855=0,0,$J5855*$H5855/100/12)</f>
      </c>
      <c r="M5855" s="43">
        <f>IF($I5855=0,0,IF(OR(INDEX(DarlOhneTilgung,13)=1,AND(INDEX(DarlTilgStart,13)&gt;0,$E5855&lt;INDEX(DarlTilgStart,13))),0,MIN(MAX(0,$K5855-$L5855),$J5855)))</f>
      </c>
      <c r="N5855" s="43">
        <f>IF($I5855=0,0,MIN(SUMIFS(SondBetrag,SondDarl,13,SondDatum,"&gt;="&amp;$E5855,SondDatum,"&lt;="&amp;EOMONTH($E5855,0)),$J5855-$M5855))</f>
      </c>
      <c r="O5855" s="43">
        <f>IF($I5855=0,0,INDEX(DarlErsatzRate,13))</f>
      </c>
      <c r="P5855" s="43">
        <f>IF($I5855=0,0,$Q5854*INDEX(DarlErsatzZins,13))</f>
      </c>
      <c r="Q5855" s="43">
        <f>IF($I5855=0,0,$Q5854+$P5855+$O5855)</f>
      </c>
      <c r="R5855" s="43">
        <f>IF($I5855=0,0,$J5855-$M5855-$N5855)</f>
      </c>
    </row>
    <row r="5856">
      <c r="A5856"/>
      <c r="B5856">
        <v>13</v>
      </c>
      <c r="C5856" s="43">
        <f>INDEX(DarlObj,13)</f>
      </c>
      <c r="D5856">
        <v>93</v>
      </c>
      <c r="E5856" s="51">
        <f>IF(INDEX(DarlBelegt,13)=0,0,EOMONTH(INDEX(DarlAuszahlung,13),92)+1)</f>
      </c>
      <c r="F5856" s="43">
        <f>IF($E5856=0,0,YEAR($E5856))</f>
      </c>
      <c r="G5856" s="43">
        <f>IF(INDEX(DarlBindung,13)="",1,IF($E5856&lt;=INDEX(DarlBindung,13),1,0))</f>
      </c>
      <c r="H5856" s="43">
        <f>IF($G5856=1,INDEX(DarlSollzins,13),INDEX(DarlAnschluss,13))</f>
      </c>
      <c r="I5856" s="43">
        <f>IF(INDEX(DarlBelegt,13)=0,0,IF(INDEX(DarlOhneTilgung,13)=1,IF(INDEX(DarlBindung,13)="",1,$G5856),IF($J5856&gt;0.005,1,0)))</f>
      </c>
      <c r="J5856" s="43">
        <f>IF($I5855=0,0,$R5855)</f>
      </c>
      <c r="K5856" s="43">
        <f>IF($I5856=0,0,IF(INDEX(DarlOhneTilgung,13)=1,0,IF(AND(INDEX(DarlTilgStart,13)&gt;0,$E5856=INDEX(DarlTilgStart,13)),$J5856*($H5856+INDEX(DarlTilgung,13))/100/12,IF(AND($G5856=0,$G5855=1),MAX($K5855,$J5856*($H5856+1)/100/12),$K5855))))</f>
      </c>
      <c r="L5856" s="43">
        <f>IF($I5856=0,0,$J5856*$H5856/100/12)</f>
      </c>
      <c r="M5856" s="43">
        <f>IF($I5856=0,0,IF(OR(INDEX(DarlOhneTilgung,13)=1,AND(INDEX(DarlTilgStart,13)&gt;0,$E5856&lt;INDEX(DarlTilgStart,13))),0,MIN(MAX(0,$K5856-$L5856),$J5856)))</f>
      </c>
      <c r="N5856" s="43">
        <f>IF($I5856=0,0,MIN(SUMIFS(SondBetrag,SondDarl,13,SondDatum,"&gt;="&amp;$E5856,SondDatum,"&lt;="&amp;EOMONTH($E5856,0)),$J5856-$M5856))</f>
      </c>
      <c r="O5856" s="43">
        <f>IF($I5856=0,0,INDEX(DarlErsatzRate,13))</f>
      </c>
      <c r="P5856" s="43">
        <f>IF($I5856=0,0,$Q5855*INDEX(DarlErsatzZins,13))</f>
      </c>
      <c r="Q5856" s="43">
        <f>IF($I5856=0,0,$Q5855+$P5856+$O5856)</f>
      </c>
      <c r="R5856" s="43">
        <f>IF($I5856=0,0,$J5856-$M5856-$N5856)</f>
      </c>
    </row>
    <row r="5857">
      <c r="A5857"/>
      <c r="B5857">
        <v>13</v>
      </c>
      <c r="C5857" s="43">
        <f>INDEX(DarlObj,13)</f>
      </c>
      <c r="D5857">
        <v>94</v>
      </c>
      <c r="E5857" s="51">
        <f>IF(INDEX(DarlBelegt,13)=0,0,EOMONTH(INDEX(DarlAuszahlung,13),93)+1)</f>
      </c>
      <c r="F5857" s="43">
        <f>IF($E5857=0,0,YEAR($E5857))</f>
      </c>
      <c r="G5857" s="43">
        <f>IF(INDEX(DarlBindung,13)="",1,IF($E5857&lt;=INDEX(DarlBindung,13),1,0))</f>
      </c>
      <c r="H5857" s="43">
        <f>IF($G5857=1,INDEX(DarlSollzins,13),INDEX(DarlAnschluss,13))</f>
      </c>
      <c r="I5857" s="43">
        <f>IF(INDEX(DarlBelegt,13)=0,0,IF(INDEX(DarlOhneTilgung,13)=1,IF(INDEX(DarlBindung,13)="",1,$G5857),IF($J5857&gt;0.005,1,0)))</f>
      </c>
      <c r="J5857" s="43">
        <f>IF($I5856=0,0,$R5856)</f>
      </c>
      <c r="K5857" s="43">
        <f>IF($I5857=0,0,IF(INDEX(DarlOhneTilgung,13)=1,0,IF(AND(INDEX(DarlTilgStart,13)&gt;0,$E5857=INDEX(DarlTilgStart,13)),$J5857*($H5857+INDEX(DarlTilgung,13))/100/12,IF(AND($G5857=0,$G5856=1),MAX($K5856,$J5857*($H5857+1)/100/12),$K5856))))</f>
      </c>
      <c r="L5857" s="43">
        <f>IF($I5857=0,0,$J5857*$H5857/100/12)</f>
      </c>
      <c r="M5857" s="43">
        <f>IF($I5857=0,0,IF(OR(INDEX(DarlOhneTilgung,13)=1,AND(INDEX(DarlTilgStart,13)&gt;0,$E5857&lt;INDEX(DarlTilgStart,13))),0,MIN(MAX(0,$K5857-$L5857),$J5857)))</f>
      </c>
      <c r="N5857" s="43">
        <f>IF($I5857=0,0,MIN(SUMIFS(SondBetrag,SondDarl,13,SondDatum,"&gt;="&amp;$E5857,SondDatum,"&lt;="&amp;EOMONTH($E5857,0)),$J5857-$M5857))</f>
      </c>
      <c r="O5857" s="43">
        <f>IF($I5857=0,0,INDEX(DarlErsatzRate,13))</f>
      </c>
      <c r="P5857" s="43">
        <f>IF($I5857=0,0,$Q5856*INDEX(DarlErsatzZins,13))</f>
      </c>
      <c r="Q5857" s="43">
        <f>IF($I5857=0,0,$Q5856+$P5857+$O5857)</f>
      </c>
      <c r="R5857" s="43">
        <f>IF($I5857=0,0,$J5857-$M5857-$N5857)</f>
      </c>
    </row>
    <row r="5858">
      <c r="A5858"/>
      <c r="B5858">
        <v>13</v>
      </c>
      <c r="C5858" s="43">
        <f>INDEX(DarlObj,13)</f>
      </c>
      <c r="D5858">
        <v>95</v>
      </c>
      <c r="E5858" s="51">
        <f>IF(INDEX(DarlBelegt,13)=0,0,EOMONTH(INDEX(DarlAuszahlung,13),94)+1)</f>
      </c>
      <c r="F5858" s="43">
        <f>IF($E5858=0,0,YEAR($E5858))</f>
      </c>
      <c r="G5858" s="43">
        <f>IF(INDEX(DarlBindung,13)="",1,IF($E5858&lt;=INDEX(DarlBindung,13),1,0))</f>
      </c>
      <c r="H5858" s="43">
        <f>IF($G5858=1,INDEX(DarlSollzins,13),INDEX(DarlAnschluss,13))</f>
      </c>
      <c r="I5858" s="43">
        <f>IF(INDEX(DarlBelegt,13)=0,0,IF(INDEX(DarlOhneTilgung,13)=1,IF(INDEX(DarlBindung,13)="",1,$G5858),IF($J5858&gt;0.005,1,0)))</f>
      </c>
      <c r="J5858" s="43">
        <f>IF($I5857=0,0,$R5857)</f>
      </c>
      <c r="K5858" s="43">
        <f>IF($I5858=0,0,IF(INDEX(DarlOhneTilgung,13)=1,0,IF(AND(INDEX(DarlTilgStart,13)&gt;0,$E5858=INDEX(DarlTilgStart,13)),$J5858*($H5858+INDEX(DarlTilgung,13))/100/12,IF(AND($G5858=0,$G5857=1),MAX($K5857,$J5858*($H5858+1)/100/12),$K5857))))</f>
      </c>
      <c r="L5858" s="43">
        <f>IF($I5858=0,0,$J5858*$H5858/100/12)</f>
      </c>
      <c r="M5858" s="43">
        <f>IF($I5858=0,0,IF(OR(INDEX(DarlOhneTilgung,13)=1,AND(INDEX(DarlTilgStart,13)&gt;0,$E5858&lt;INDEX(DarlTilgStart,13))),0,MIN(MAX(0,$K5858-$L5858),$J5858)))</f>
      </c>
      <c r="N5858" s="43">
        <f>IF($I5858=0,0,MIN(SUMIFS(SondBetrag,SondDarl,13,SondDatum,"&gt;="&amp;$E5858,SondDatum,"&lt;="&amp;EOMONTH($E5858,0)),$J5858-$M5858))</f>
      </c>
      <c r="O5858" s="43">
        <f>IF($I5858=0,0,INDEX(DarlErsatzRate,13))</f>
      </c>
      <c r="P5858" s="43">
        <f>IF($I5858=0,0,$Q5857*INDEX(DarlErsatzZins,13))</f>
      </c>
      <c r="Q5858" s="43">
        <f>IF($I5858=0,0,$Q5857+$P5858+$O5858)</f>
      </c>
      <c r="R5858" s="43">
        <f>IF($I5858=0,0,$J5858-$M5858-$N5858)</f>
      </c>
    </row>
    <row r="5859">
      <c r="A5859"/>
      <c r="B5859">
        <v>13</v>
      </c>
      <c r="C5859" s="43">
        <f>INDEX(DarlObj,13)</f>
      </c>
      <c r="D5859">
        <v>96</v>
      </c>
      <c r="E5859" s="51">
        <f>IF(INDEX(DarlBelegt,13)=0,0,EOMONTH(INDEX(DarlAuszahlung,13),95)+1)</f>
      </c>
      <c r="F5859" s="43">
        <f>IF($E5859=0,0,YEAR($E5859))</f>
      </c>
      <c r="G5859" s="43">
        <f>IF(INDEX(DarlBindung,13)="",1,IF($E5859&lt;=INDEX(DarlBindung,13),1,0))</f>
      </c>
      <c r="H5859" s="43">
        <f>IF($G5859=1,INDEX(DarlSollzins,13),INDEX(DarlAnschluss,13))</f>
      </c>
      <c r="I5859" s="43">
        <f>IF(INDEX(DarlBelegt,13)=0,0,IF(INDEX(DarlOhneTilgung,13)=1,IF(INDEX(DarlBindung,13)="",1,$G5859),IF($J5859&gt;0.005,1,0)))</f>
      </c>
      <c r="J5859" s="43">
        <f>IF($I5858=0,0,$R5858)</f>
      </c>
      <c r="K5859" s="43">
        <f>IF($I5859=0,0,IF(INDEX(DarlOhneTilgung,13)=1,0,IF(AND(INDEX(DarlTilgStart,13)&gt;0,$E5859=INDEX(DarlTilgStart,13)),$J5859*($H5859+INDEX(DarlTilgung,13))/100/12,IF(AND($G5859=0,$G5858=1),MAX($K5858,$J5859*($H5859+1)/100/12),$K5858))))</f>
      </c>
      <c r="L5859" s="43">
        <f>IF($I5859=0,0,$J5859*$H5859/100/12)</f>
      </c>
      <c r="M5859" s="43">
        <f>IF($I5859=0,0,IF(OR(INDEX(DarlOhneTilgung,13)=1,AND(INDEX(DarlTilgStart,13)&gt;0,$E5859&lt;INDEX(DarlTilgStart,13))),0,MIN(MAX(0,$K5859-$L5859),$J5859)))</f>
      </c>
      <c r="N5859" s="43">
        <f>IF($I5859=0,0,MIN(SUMIFS(SondBetrag,SondDarl,13,SondDatum,"&gt;="&amp;$E5859,SondDatum,"&lt;="&amp;EOMONTH($E5859,0)),$J5859-$M5859))</f>
      </c>
      <c r="O5859" s="43">
        <f>IF($I5859=0,0,INDEX(DarlErsatzRate,13))</f>
      </c>
      <c r="P5859" s="43">
        <f>IF($I5859=0,0,$Q5858*INDEX(DarlErsatzZins,13))</f>
      </c>
      <c r="Q5859" s="43">
        <f>IF($I5859=0,0,$Q5858+$P5859+$O5859)</f>
      </c>
      <c r="R5859" s="43">
        <f>IF($I5859=0,0,$J5859-$M5859-$N5859)</f>
      </c>
    </row>
    <row r="5860">
      <c r="A5860"/>
      <c r="B5860">
        <v>13</v>
      </c>
      <c r="C5860" s="43">
        <f>INDEX(DarlObj,13)</f>
      </c>
      <c r="D5860">
        <v>97</v>
      </c>
      <c r="E5860" s="51">
        <f>IF(INDEX(DarlBelegt,13)=0,0,EOMONTH(INDEX(DarlAuszahlung,13),96)+1)</f>
      </c>
      <c r="F5860" s="43">
        <f>IF($E5860=0,0,YEAR($E5860))</f>
      </c>
      <c r="G5860" s="43">
        <f>IF(INDEX(DarlBindung,13)="",1,IF($E5860&lt;=INDEX(DarlBindung,13),1,0))</f>
      </c>
      <c r="H5860" s="43">
        <f>IF($G5860=1,INDEX(DarlSollzins,13),INDEX(DarlAnschluss,13))</f>
      </c>
      <c r="I5860" s="43">
        <f>IF(INDEX(DarlBelegt,13)=0,0,IF(INDEX(DarlOhneTilgung,13)=1,IF(INDEX(DarlBindung,13)="",1,$G5860),IF($J5860&gt;0.005,1,0)))</f>
      </c>
      <c r="J5860" s="43">
        <f>IF($I5859=0,0,$R5859)</f>
      </c>
      <c r="K5860" s="43">
        <f>IF($I5860=0,0,IF(INDEX(DarlOhneTilgung,13)=1,0,IF(AND(INDEX(DarlTilgStart,13)&gt;0,$E5860=INDEX(DarlTilgStart,13)),$J5860*($H5860+INDEX(DarlTilgung,13))/100/12,IF(AND($G5860=0,$G5859=1),MAX($K5859,$J5860*($H5860+1)/100/12),$K5859))))</f>
      </c>
      <c r="L5860" s="43">
        <f>IF($I5860=0,0,$J5860*$H5860/100/12)</f>
      </c>
      <c r="M5860" s="43">
        <f>IF($I5860=0,0,IF(OR(INDEX(DarlOhneTilgung,13)=1,AND(INDEX(DarlTilgStart,13)&gt;0,$E5860&lt;INDEX(DarlTilgStart,13))),0,MIN(MAX(0,$K5860-$L5860),$J5860)))</f>
      </c>
      <c r="N5860" s="43">
        <f>IF($I5860=0,0,MIN(SUMIFS(SondBetrag,SondDarl,13,SondDatum,"&gt;="&amp;$E5860,SondDatum,"&lt;="&amp;EOMONTH($E5860,0)),$J5860-$M5860))</f>
      </c>
      <c r="O5860" s="43">
        <f>IF($I5860=0,0,INDEX(DarlErsatzRate,13))</f>
      </c>
      <c r="P5860" s="43">
        <f>IF($I5860=0,0,$Q5859*INDEX(DarlErsatzZins,13))</f>
      </c>
      <c r="Q5860" s="43">
        <f>IF($I5860=0,0,$Q5859+$P5860+$O5860)</f>
      </c>
      <c r="R5860" s="43">
        <f>IF($I5860=0,0,$J5860-$M5860-$N5860)</f>
      </c>
    </row>
    <row r="5861">
      <c r="A5861"/>
      <c r="B5861">
        <v>13</v>
      </c>
      <c r="C5861" s="43">
        <f>INDEX(DarlObj,13)</f>
      </c>
      <c r="D5861">
        <v>98</v>
      </c>
      <c r="E5861" s="51">
        <f>IF(INDEX(DarlBelegt,13)=0,0,EOMONTH(INDEX(DarlAuszahlung,13),97)+1)</f>
      </c>
      <c r="F5861" s="43">
        <f>IF($E5861=0,0,YEAR($E5861))</f>
      </c>
      <c r="G5861" s="43">
        <f>IF(INDEX(DarlBindung,13)="",1,IF($E5861&lt;=INDEX(DarlBindung,13),1,0))</f>
      </c>
      <c r="H5861" s="43">
        <f>IF($G5861=1,INDEX(DarlSollzins,13),INDEX(DarlAnschluss,13))</f>
      </c>
      <c r="I5861" s="43">
        <f>IF(INDEX(DarlBelegt,13)=0,0,IF(INDEX(DarlOhneTilgung,13)=1,IF(INDEX(DarlBindung,13)="",1,$G5861),IF($J5861&gt;0.005,1,0)))</f>
      </c>
      <c r="J5861" s="43">
        <f>IF($I5860=0,0,$R5860)</f>
      </c>
      <c r="K5861" s="43">
        <f>IF($I5861=0,0,IF(INDEX(DarlOhneTilgung,13)=1,0,IF(AND(INDEX(DarlTilgStart,13)&gt;0,$E5861=INDEX(DarlTilgStart,13)),$J5861*($H5861+INDEX(DarlTilgung,13))/100/12,IF(AND($G5861=0,$G5860=1),MAX($K5860,$J5861*($H5861+1)/100/12),$K5860))))</f>
      </c>
      <c r="L5861" s="43">
        <f>IF($I5861=0,0,$J5861*$H5861/100/12)</f>
      </c>
      <c r="M5861" s="43">
        <f>IF($I5861=0,0,IF(OR(INDEX(DarlOhneTilgung,13)=1,AND(INDEX(DarlTilgStart,13)&gt;0,$E5861&lt;INDEX(DarlTilgStart,13))),0,MIN(MAX(0,$K5861-$L5861),$J5861)))</f>
      </c>
      <c r="N5861" s="43">
        <f>IF($I5861=0,0,MIN(SUMIFS(SondBetrag,SondDarl,13,SondDatum,"&gt;="&amp;$E5861,SondDatum,"&lt;="&amp;EOMONTH($E5861,0)),$J5861-$M5861))</f>
      </c>
      <c r="O5861" s="43">
        <f>IF($I5861=0,0,INDEX(DarlErsatzRate,13))</f>
      </c>
      <c r="P5861" s="43">
        <f>IF($I5861=0,0,$Q5860*INDEX(DarlErsatzZins,13))</f>
      </c>
      <c r="Q5861" s="43">
        <f>IF($I5861=0,0,$Q5860+$P5861+$O5861)</f>
      </c>
      <c r="R5861" s="43">
        <f>IF($I5861=0,0,$J5861-$M5861-$N5861)</f>
      </c>
    </row>
    <row r="5862">
      <c r="A5862"/>
      <c r="B5862">
        <v>13</v>
      </c>
      <c r="C5862" s="43">
        <f>INDEX(DarlObj,13)</f>
      </c>
      <c r="D5862">
        <v>99</v>
      </c>
      <c r="E5862" s="51">
        <f>IF(INDEX(DarlBelegt,13)=0,0,EOMONTH(INDEX(DarlAuszahlung,13),98)+1)</f>
      </c>
      <c r="F5862" s="43">
        <f>IF($E5862=0,0,YEAR($E5862))</f>
      </c>
      <c r="G5862" s="43">
        <f>IF(INDEX(DarlBindung,13)="",1,IF($E5862&lt;=INDEX(DarlBindung,13),1,0))</f>
      </c>
      <c r="H5862" s="43">
        <f>IF($G5862=1,INDEX(DarlSollzins,13),INDEX(DarlAnschluss,13))</f>
      </c>
      <c r="I5862" s="43">
        <f>IF(INDEX(DarlBelegt,13)=0,0,IF(INDEX(DarlOhneTilgung,13)=1,IF(INDEX(DarlBindung,13)="",1,$G5862),IF($J5862&gt;0.005,1,0)))</f>
      </c>
      <c r="J5862" s="43">
        <f>IF($I5861=0,0,$R5861)</f>
      </c>
      <c r="K5862" s="43">
        <f>IF($I5862=0,0,IF(INDEX(DarlOhneTilgung,13)=1,0,IF(AND(INDEX(DarlTilgStart,13)&gt;0,$E5862=INDEX(DarlTilgStart,13)),$J5862*($H5862+INDEX(DarlTilgung,13))/100/12,IF(AND($G5862=0,$G5861=1),MAX($K5861,$J5862*($H5862+1)/100/12),$K5861))))</f>
      </c>
      <c r="L5862" s="43">
        <f>IF($I5862=0,0,$J5862*$H5862/100/12)</f>
      </c>
      <c r="M5862" s="43">
        <f>IF($I5862=0,0,IF(OR(INDEX(DarlOhneTilgung,13)=1,AND(INDEX(DarlTilgStart,13)&gt;0,$E5862&lt;INDEX(DarlTilgStart,13))),0,MIN(MAX(0,$K5862-$L5862),$J5862)))</f>
      </c>
      <c r="N5862" s="43">
        <f>IF($I5862=0,0,MIN(SUMIFS(SondBetrag,SondDarl,13,SondDatum,"&gt;="&amp;$E5862,SondDatum,"&lt;="&amp;EOMONTH($E5862,0)),$J5862-$M5862))</f>
      </c>
      <c r="O5862" s="43">
        <f>IF($I5862=0,0,INDEX(DarlErsatzRate,13))</f>
      </c>
      <c r="P5862" s="43">
        <f>IF($I5862=0,0,$Q5861*INDEX(DarlErsatzZins,13))</f>
      </c>
      <c r="Q5862" s="43">
        <f>IF($I5862=0,0,$Q5861+$P5862+$O5862)</f>
      </c>
      <c r="R5862" s="43">
        <f>IF($I5862=0,0,$J5862-$M5862-$N5862)</f>
      </c>
    </row>
    <row r="5863">
      <c r="A5863"/>
      <c r="B5863">
        <v>13</v>
      </c>
      <c r="C5863" s="43">
        <f>INDEX(DarlObj,13)</f>
      </c>
      <c r="D5863">
        <v>100</v>
      </c>
      <c r="E5863" s="51">
        <f>IF(INDEX(DarlBelegt,13)=0,0,EOMONTH(INDEX(DarlAuszahlung,13),99)+1)</f>
      </c>
      <c r="F5863" s="43">
        <f>IF($E5863=0,0,YEAR($E5863))</f>
      </c>
      <c r="G5863" s="43">
        <f>IF(INDEX(DarlBindung,13)="",1,IF($E5863&lt;=INDEX(DarlBindung,13),1,0))</f>
      </c>
      <c r="H5863" s="43">
        <f>IF($G5863=1,INDEX(DarlSollzins,13),INDEX(DarlAnschluss,13))</f>
      </c>
      <c r="I5863" s="43">
        <f>IF(INDEX(DarlBelegt,13)=0,0,IF(INDEX(DarlOhneTilgung,13)=1,IF(INDEX(DarlBindung,13)="",1,$G5863),IF($J5863&gt;0.005,1,0)))</f>
      </c>
      <c r="J5863" s="43">
        <f>IF($I5862=0,0,$R5862)</f>
      </c>
      <c r="K5863" s="43">
        <f>IF($I5863=0,0,IF(INDEX(DarlOhneTilgung,13)=1,0,IF(AND(INDEX(DarlTilgStart,13)&gt;0,$E5863=INDEX(DarlTilgStart,13)),$J5863*($H5863+INDEX(DarlTilgung,13))/100/12,IF(AND($G5863=0,$G5862=1),MAX($K5862,$J5863*($H5863+1)/100/12),$K5862))))</f>
      </c>
      <c r="L5863" s="43">
        <f>IF($I5863=0,0,$J5863*$H5863/100/12)</f>
      </c>
      <c r="M5863" s="43">
        <f>IF($I5863=0,0,IF(OR(INDEX(DarlOhneTilgung,13)=1,AND(INDEX(DarlTilgStart,13)&gt;0,$E5863&lt;INDEX(DarlTilgStart,13))),0,MIN(MAX(0,$K5863-$L5863),$J5863)))</f>
      </c>
      <c r="N5863" s="43">
        <f>IF($I5863=0,0,MIN(SUMIFS(SondBetrag,SondDarl,13,SondDatum,"&gt;="&amp;$E5863,SondDatum,"&lt;="&amp;EOMONTH($E5863,0)),$J5863-$M5863))</f>
      </c>
      <c r="O5863" s="43">
        <f>IF($I5863=0,0,INDEX(DarlErsatzRate,13))</f>
      </c>
      <c r="P5863" s="43">
        <f>IF($I5863=0,0,$Q5862*INDEX(DarlErsatzZins,13))</f>
      </c>
      <c r="Q5863" s="43">
        <f>IF($I5863=0,0,$Q5862+$P5863+$O5863)</f>
      </c>
      <c r="R5863" s="43">
        <f>IF($I5863=0,0,$J5863-$M5863-$N5863)</f>
      </c>
    </row>
    <row r="5864">
      <c r="A5864"/>
      <c r="B5864">
        <v>13</v>
      </c>
      <c r="C5864" s="43">
        <f>INDEX(DarlObj,13)</f>
      </c>
      <c r="D5864">
        <v>101</v>
      </c>
      <c r="E5864" s="51">
        <f>IF(INDEX(DarlBelegt,13)=0,0,EOMONTH(INDEX(DarlAuszahlung,13),100)+1)</f>
      </c>
      <c r="F5864" s="43">
        <f>IF($E5864=0,0,YEAR($E5864))</f>
      </c>
      <c r="G5864" s="43">
        <f>IF(INDEX(DarlBindung,13)="",1,IF($E5864&lt;=INDEX(DarlBindung,13),1,0))</f>
      </c>
      <c r="H5864" s="43">
        <f>IF($G5864=1,INDEX(DarlSollzins,13),INDEX(DarlAnschluss,13))</f>
      </c>
      <c r="I5864" s="43">
        <f>IF(INDEX(DarlBelegt,13)=0,0,IF(INDEX(DarlOhneTilgung,13)=1,IF(INDEX(DarlBindung,13)="",1,$G5864),IF($J5864&gt;0.005,1,0)))</f>
      </c>
      <c r="J5864" s="43">
        <f>IF($I5863=0,0,$R5863)</f>
      </c>
      <c r="K5864" s="43">
        <f>IF($I5864=0,0,IF(INDEX(DarlOhneTilgung,13)=1,0,IF(AND(INDEX(DarlTilgStart,13)&gt;0,$E5864=INDEX(DarlTilgStart,13)),$J5864*($H5864+INDEX(DarlTilgung,13))/100/12,IF(AND($G5864=0,$G5863=1),MAX($K5863,$J5864*($H5864+1)/100/12),$K5863))))</f>
      </c>
      <c r="L5864" s="43">
        <f>IF($I5864=0,0,$J5864*$H5864/100/12)</f>
      </c>
      <c r="M5864" s="43">
        <f>IF($I5864=0,0,IF(OR(INDEX(DarlOhneTilgung,13)=1,AND(INDEX(DarlTilgStart,13)&gt;0,$E5864&lt;INDEX(DarlTilgStart,13))),0,MIN(MAX(0,$K5864-$L5864),$J5864)))</f>
      </c>
      <c r="N5864" s="43">
        <f>IF($I5864=0,0,MIN(SUMIFS(SondBetrag,SondDarl,13,SondDatum,"&gt;="&amp;$E5864,SondDatum,"&lt;="&amp;EOMONTH($E5864,0)),$J5864-$M5864))</f>
      </c>
      <c r="O5864" s="43">
        <f>IF($I5864=0,0,INDEX(DarlErsatzRate,13))</f>
      </c>
      <c r="P5864" s="43">
        <f>IF($I5864=0,0,$Q5863*INDEX(DarlErsatzZins,13))</f>
      </c>
      <c r="Q5864" s="43">
        <f>IF($I5864=0,0,$Q5863+$P5864+$O5864)</f>
      </c>
      <c r="R5864" s="43">
        <f>IF($I5864=0,0,$J5864-$M5864-$N5864)</f>
      </c>
    </row>
    <row r="5865">
      <c r="A5865"/>
      <c r="B5865">
        <v>13</v>
      </c>
      <c r="C5865" s="43">
        <f>INDEX(DarlObj,13)</f>
      </c>
      <c r="D5865">
        <v>102</v>
      </c>
      <c r="E5865" s="51">
        <f>IF(INDEX(DarlBelegt,13)=0,0,EOMONTH(INDEX(DarlAuszahlung,13),101)+1)</f>
      </c>
      <c r="F5865" s="43">
        <f>IF($E5865=0,0,YEAR($E5865))</f>
      </c>
      <c r="G5865" s="43">
        <f>IF(INDEX(DarlBindung,13)="",1,IF($E5865&lt;=INDEX(DarlBindung,13),1,0))</f>
      </c>
      <c r="H5865" s="43">
        <f>IF($G5865=1,INDEX(DarlSollzins,13),INDEX(DarlAnschluss,13))</f>
      </c>
      <c r="I5865" s="43">
        <f>IF(INDEX(DarlBelegt,13)=0,0,IF(INDEX(DarlOhneTilgung,13)=1,IF(INDEX(DarlBindung,13)="",1,$G5865),IF($J5865&gt;0.005,1,0)))</f>
      </c>
      <c r="J5865" s="43">
        <f>IF($I5864=0,0,$R5864)</f>
      </c>
      <c r="K5865" s="43">
        <f>IF($I5865=0,0,IF(INDEX(DarlOhneTilgung,13)=1,0,IF(AND(INDEX(DarlTilgStart,13)&gt;0,$E5865=INDEX(DarlTilgStart,13)),$J5865*($H5865+INDEX(DarlTilgung,13))/100/12,IF(AND($G5865=0,$G5864=1),MAX($K5864,$J5865*($H5865+1)/100/12),$K5864))))</f>
      </c>
      <c r="L5865" s="43">
        <f>IF($I5865=0,0,$J5865*$H5865/100/12)</f>
      </c>
      <c r="M5865" s="43">
        <f>IF($I5865=0,0,IF(OR(INDEX(DarlOhneTilgung,13)=1,AND(INDEX(DarlTilgStart,13)&gt;0,$E5865&lt;INDEX(DarlTilgStart,13))),0,MIN(MAX(0,$K5865-$L5865),$J5865)))</f>
      </c>
      <c r="N5865" s="43">
        <f>IF($I5865=0,0,MIN(SUMIFS(SondBetrag,SondDarl,13,SondDatum,"&gt;="&amp;$E5865,SondDatum,"&lt;="&amp;EOMONTH($E5865,0)),$J5865-$M5865))</f>
      </c>
      <c r="O5865" s="43">
        <f>IF($I5865=0,0,INDEX(DarlErsatzRate,13))</f>
      </c>
      <c r="P5865" s="43">
        <f>IF($I5865=0,0,$Q5864*INDEX(DarlErsatzZins,13))</f>
      </c>
      <c r="Q5865" s="43">
        <f>IF($I5865=0,0,$Q5864+$P5865+$O5865)</f>
      </c>
      <c r="R5865" s="43">
        <f>IF($I5865=0,0,$J5865-$M5865-$N5865)</f>
      </c>
    </row>
    <row r="5866">
      <c r="A5866"/>
      <c r="B5866">
        <v>13</v>
      </c>
      <c r="C5866" s="43">
        <f>INDEX(DarlObj,13)</f>
      </c>
      <c r="D5866">
        <v>103</v>
      </c>
      <c r="E5866" s="51">
        <f>IF(INDEX(DarlBelegt,13)=0,0,EOMONTH(INDEX(DarlAuszahlung,13),102)+1)</f>
      </c>
      <c r="F5866" s="43">
        <f>IF($E5866=0,0,YEAR($E5866))</f>
      </c>
      <c r="G5866" s="43">
        <f>IF(INDEX(DarlBindung,13)="",1,IF($E5866&lt;=INDEX(DarlBindung,13),1,0))</f>
      </c>
      <c r="H5866" s="43">
        <f>IF($G5866=1,INDEX(DarlSollzins,13),INDEX(DarlAnschluss,13))</f>
      </c>
      <c r="I5866" s="43">
        <f>IF(INDEX(DarlBelegt,13)=0,0,IF(INDEX(DarlOhneTilgung,13)=1,IF(INDEX(DarlBindung,13)="",1,$G5866),IF($J5866&gt;0.005,1,0)))</f>
      </c>
      <c r="J5866" s="43">
        <f>IF($I5865=0,0,$R5865)</f>
      </c>
      <c r="K5866" s="43">
        <f>IF($I5866=0,0,IF(INDEX(DarlOhneTilgung,13)=1,0,IF(AND(INDEX(DarlTilgStart,13)&gt;0,$E5866=INDEX(DarlTilgStart,13)),$J5866*($H5866+INDEX(DarlTilgung,13))/100/12,IF(AND($G5866=0,$G5865=1),MAX($K5865,$J5866*($H5866+1)/100/12),$K5865))))</f>
      </c>
      <c r="L5866" s="43">
        <f>IF($I5866=0,0,$J5866*$H5866/100/12)</f>
      </c>
      <c r="M5866" s="43">
        <f>IF($I5866=0,0,IF(OR(INDEX(DarlOhneTilgung,13)=1,AND(INDEX(DarlTilgStart,13)&gt;0,$E5866&lt;INDEX(DarlTilgStart,13))),0,MIN(MAX(0,$K5866-$L5866),$J5866)))</f>
      </c>
      <c r="N5866" s="43">
        <f>IF($I5866=0,0,MIN(SUMIFS(SondBetrag,SondDarl,13,SondDatum,"&gt;="&amp;$E5866,SondDatum,"&lt;="&amp;EOMONTH($E5866,0)),$J5866-$M5866))</f>
      </c>
      <c r="O5866" s="43">
        <f>IF($I5866=0,0,INDEX(DarlErsatzRate,13))</f>
      </c>
      <c r="P5866" s="43">
        <f>IF($I5866=0,0,$Q5865*INDEX(DarlErsatzZins,13))</f>
      </c>
      <c r="Q5866" s="43">
        <f>IF($I5866=0,0,$Q5865+$P5866+$O5866)</f>
      </c>
      <c r="R5866" s="43">
        <f>IF($I5866=0,0,$J5866-$M5866-$N5866)</f>
      </c>
    </row>
    <row r="5867">
      <c r="A5867"/>
      <c r="B5867">
        <v>13</v>
      </c>
      <c r="C5867" s="43">
        <f>INDEX(DarlObj,13)</f>
      </c>
      <c r="D5867">
        <v>104</v>
      </c>
      <c r="E5867" s="51">
        <f>IF(INDEX(DarlBelegt,13)=0,0,EOMONTH(INDEX(DarlAuszahlung,13),103)+1)</f>
      </c>
      <c r="F5867" s="43">
        <f>IF($E5867=0,0,YEAR($E5867))</f>
      </c>
      <c r="G5867" s="43">
        <f>IF(INDEX(DarlBindung,13)="",1,IF($E5867&lt;=INDEX(DarlBindung,13),1,0))</f>
      </c>
      <c r="H5867" s="43">
        <f>IF($G5867=1,INDEX(DarlSollzins,13),INDEX(DarlAnschluss,13))</f>
      </c>
      <c r="I5867" s="43">
        <f>IF(INDEX(DarlBelegt,13)=0,0,IF(INDEX(DarlOhneTilgung,13)=1,IF(INDEX(DarlBindung,13)="",1,$G5867),IF($J5867&gt;0.005,1,0)))</f>
      </c>
      <c r="J5867" s="43">
        <f>IF($I5866=0,0,$R5866)</f>
      </c>
      <c r="K5867" s="43">
        <f>IF($I5867=0,0,IF(INDEX(DarlOhneTilgung,13)=1,0,IF(AND(INDEX(DarlTilgStart,13)&gt;0,$E5867=INDEX(DarlTilgStart,13)),$J5867*($H5867+INDEX(DarlTilgung,13))/100/12,IF(AND($G5867=0,$G5866=1),MAX($K5866,$J5867*($H5867+1)/100/12),$K5866))))</f>
      </c>
      <c r="L5867" s="43">
        <f>IF($I5867=0,0,$J5867*$H5867/100/12)</f>
      </c>
      <c r="M5867" s="43">
        <f>IF($I5867=0,0,IF(OR(INDEX(DarlOhneTilgung,13)=1,AND(INDEX(DarlTilgStart,13)&gt;0,$E5867&lt;INDEX(DarlTilgStart,13))),0,MIN(MAX(0,$K5867-$L5867),$J5867)))</f>
      </c>
      <c r="N5867" s="43">
        <f>IF($I5867=0,0,MIN(SUMIFS(SondBetrag,SondDarl,13,SondDatum,"&gt;="&amp;$E5867,SondDatum,"&lt;="&amp;EOMONTH($E5867,0)),$J5867-$M5867))</f>
      </c>
      <c r="O5867" s="43">
        <f>IF($I5867=0,0,INDEX(DarlErsatzRate,13))</f>
      </c>
      <c r="P5867" s="43">
        <f>IF($I5867=0,0,$Q5866*INDEX(DarlErsatzZins,13))</f>
      </c>
      <c r="Q5867" s="43">
        <f>IF($I5867=0,0,$Q5866+$P5867+$O5867)</f>
      </c>
      <c r="R5867" s="43">
        <f>IF($I5867=0,0,$J5867-$M5867-$N5867)</f>
      </c>
    </row>
    <row r="5868">
      <c r="A5868"/>
      <c r="B5868">
        <v>13</v>
      </c>
      <c r="C5868" s="43">
        <f>INDEX(DarlObj,13)</f>
      </c>
      <c r="D5868">
        <v>105</v>
      </c>
      <c r="E5868" s="51">
        <f>IF(INDEX(DarlBelegt,13)=0,0,EOMONTH(INDEX(DarlAuszahlung,13),104)+1)</f>
      </c>
      <c r="F5868" s="43">
        <f>IF($E5868=0,0,YEAR($E5868))</f>
      </c>
      <c r="G5868" s="43">
        <f>IF(INDEX(DarlBindung,13)="",1,IF($E5868&lt;=INDEX(DarlBindung,13),1,0))</f>
      </c>
      <c r="H5868" s="43">
        <f>IF($G5868=1,INDEX(DarlSollzins,13),INDEX(DarlAnschluss,13))</f>
      </c>
      <c r="I5868" s="43">
        <f>IF(INDEX(DarlBelegt,13)=0,0,IF(INDEX(DarlOhneTilgung,13)=1,IF(INDEX(DarlBindung,13)="",1,$G5868),IF($J5868&gt;0.005,1,0)))</f>
      </c>
      <c r="J5868" s="43">
        <f>IF($I5867=0,0,$R5867)</f>
      </c>
      <c r="K5868" s="43">
        <f>IF($I5868=0,0,IF(INDEX(DarlOhneTilgung,13)=1,0,IF(AND(INDEX(DarlTilgStart,13)&gt;0,$E5868=INDEX(DarlTilgStart,13)),$J5868*($H5868+INDEX(DarlTilgung,13))/100/12,IF(AND($G5868=0,$G5867=1),MAX($K5867,$J5868*($H5868+1)/100/12),$K5867))))</f>
      </c>
      <c r="L5868" s="43">
        <f>IF($I5868=0,0,$J5868*$H5868/100/12)</f>
      </c>
      <c r="M5868" s="43">
        <f>IF($I5868=0,0,IF(OR(INDEX(DarlOhneTilgung,13)=1,AND(INDEX(DarlTilgStart,13)&gt;0,$E5868&lt;INDEX(DarlTilgStart,13))),0,MIN(MAX(0,$K5868-$L5868),$J5868)))</f>
      </c>
      <c r="N5868" s="43">
        <f>IF($I5868=0,0,MIN(SUMIFS(SondBetrag,SondDarl,13,SondDatum,"&gt;="&amp;$E5868,SondDatum,"&lt;="&amp;EOMONTH($E5868,0)),$J5868-$M5868))</f>
      </c>
      <c r="O5868" s="43">
        <f>IF($I5868=0,0,INDEX(DarlErsatzRate,13))</f>
      </c>
      <c r="P5868" s="43">
        <f>IF($I5868=0,0,$Q5867*INDEX(DarlErsatzZins,13))</f>
      </c>
      <c r="Q5868" s="43">
        <f>IF($I5868=0,0,$Q5867+$P5868+$O5868)</f>
      </c>
      <c r="R5868" s="43">
        <f>IF($I5868=0,0,$J5868-$M5868-$N5868)</f>
      </c>
    </row>
    <row r="5869">
      <c r="A5869"/>
      <c r="B5869">
        <v>13</v>
      </c>
      <c r="C5869" s="43">
        <f>INDEX(DarlObj,13)</f>
      </c>
      <c r="D5869">
        <v>106</v>
      </c>
      <c r="E5869" s="51">
        <f>IF(INDEX(DarlBelegt,13)=0,0,EOMONTH(INDEX(DarlAuszahlung,13),105)+1)</f>
      </c>
      <c r="F5869" s="43">
        <f>IF($E5869=0,0,YEAR($E5869))</f>
      </c>
      <c r="G5869" s="43">
        <f>IF(INDEX(DarlBindung,13)="",1,IF($E5869&lt;=INDEX(DarlBindung,13),1,0))</f>
      </c>
      <c r="H5869" s="43">
        <f>IF($G5869=1,INDEX(DarlSollzins,13),INDEX(DarlAnschluss,13))</f>
      </c>
      <c r="I5869" s="43">
        <f>IF(INDEX(DarlBelegt,13)=0,0,IF(INDEX(DarlOhneTilgung,13)=1,IF(INDEX(DarlBindung,13)="",1,$G5869),IF($J5869&gt;0.005,1,0)))</f>
      </c>
      <c r="J5869" s="43">
        <f>IF($I5868=0,0,$R5868)</f>
      </c>
      <c r="K5869" s="43">
        <f>IF($I5869=0,0,IF(INDEX(DarlOhneTilgung,13)=1,0,IF(AND(INDEX(DarlTilgStart,13)&gt;0,$E5869=INDEX(DarlTilgStart,13)),$J5869*($H5869+INDEX(DarlTilgung,13))/100/12,IF(AND($G5869=0,$G5868=1),MAX($K5868,$J5869*($H5869+1)/100/12),$K5868))))</f>
      </c>
      <c r="L5869" s="43">
        <f>IF($I5869=0,0,$J5869*$H5869/100/12)</f>
      </c>
      <c r="M5869" s="43">
        <f>IF($I5869=0,0,IF(OR(INDEX(DarlOhneTilgung,13)=1,AND(INDEX(DarlTilgStart,13)&gt;0,$E5869&lt;INDEX(DarlTilgStart,13))),0,MIN(MAX(0,$K5869-$L5869),$J5869)))</f>
      </c>
      <c r="N5869" s="43">
        <f>IF($I5869=0,0,MIN(SUMIFS(SondBetrag,SondDarl,13,SondDatum,"&gt;="&amp;$E5869,SondDatum,"&lt;="&amp;EOMONTH($E5869,0)),$J5869-$M5869))</f>
      </c>
      <c r="O5869" s="43">
        <f>IF($I5869=0,0,INDEX(DarlErsatzRate,13))</f>
      </c>
      <c r="P5869" s="43">
        <f>IF($I5869=0,0,$Q5868*INDEX(DarlErsatzZins,13))</f>
      </c>
      <c r="Q5869" s="43">
        <f>IF($I5869=0,0,$Q5868+$P5869+$O5869)</f>
      </c>
      <c r="R5869" s="43">
        <f>IF($I5869=0,0,$J5869-$M5869-$N5869)</f>
      </c>
    </row>
    <row r="5870">
      <c r="A5870"/>
      <c r="B5870">
        <v>13</v>
      </c>
      <c r="C5870" s="43">
        <f>INDEX(DarlObj,13)</f>
      </c>
      <c r="D5870">
        <v>107</v>
      </c>
      <c r="E5870" s="51">
        <f>IF(INDEX(DarlBelegt,13)=0,0,EOMONTH(INDEX(DarlAuszahlung,13),106)+1)</f>
      </c>
      <c r="F5870" s="43">
        <f>IF($E5870=0,0,YEAR($E5870))</f>
      </c>
      <c r="G5870" s="43">
        <f>IF(INDEX(DarlBindung,13)="",1,IF($E5870&lt;=INDEX(DarlBindung,13),1,0))</f>
      </c>
      <c r="H5870" s="43">
        <f>IF($G5870=1,INDEX(DarlSollzins,13),INDEX(DarlAnschluss,13))</f>
      </c>
      <c r="I5870" s="43">
        <f>IF(INDEX(DarlBelegt,13)=0,0,IF(INDEX(DarlOhneTilgung,13)=1,IF(INDEX(DarlBindung,13)="",1,$G5870),IF($J5870&gt;0.005,1,0)))</f>
      </c>
      <c r="J5870" s="43">
        <f>IF($I5869=0,0,$R5869)</f>
      </c>
      <c r="K5870" s="43">
        <f>IF($I5870=0,0,IF(INDEX(DarlOhneTilgung,13)=1,0,IF(AND(INDEX(DarlTilgStart,13)&gt;0,$E5870=INDEX(DarlTilgStart,13)),$J5870*($H5870+INDEX(DarlTilgung,13))/100/12,IF(AND($G5870=0,$G5869=1),MAX($K5869,$J5870*($H5870+1)/100/12),$K5869))))</f>
      </c>
      <c r="L5870" s="43">
        <f>IF($I5870=0,0,$J5870*$H5870/100/12)</f>
      </c>
      <c r="M5870" s="43">
        <f>IF($I5870=0,0,IF(OR(INDEX(DarlOhneTilgung,13)=1,AND(INDEX(DarlTilgStart,13)&gt;0,$E5870&lt;INDEX(DarlTilgStart,13))),0,MIN(MAX(0,$K5870-$L5870),$J5870)))</f>
      </c>
      <c r="N5870" s="43">
        <f>IF($I5870=0,0,MIN(SUMIFS(SondBetrag,SondDarl,13,SondDatum,"&gt;="&amp;$E5870,SondDatum,"&lt;="&amp;EOMONTH($E5870,0)),$J5870-$M5870))</f>
      </c>
      <c r="O5870" s="43">
        <f>IF($I5870=0,0,INDEX(DarlErsatzRate,13))</f>
      </c>
      <c r="P5870" s="43">
        <f>IF($I5870=0,0,$Q5869*INDEX(DarlErsatzZins,13))</f>
      </c>
      <c r="Q5870" s="43">
        <f>IF($I5870=0,0,$Q5869+$P5870+$O5870)</f>
      </c>
      <c r="R5870" s="43">
        <f>IF($I5870=0,0,$J5870-$M5870-$N5870)</f>
      </c>
    </row>
    <row r="5871">
      <c r="A5871"/>
      <c r="B5871">
        <v>13</v>
      </c>
      <c r="C5871" s="43">
        <f>INDEX(DarlObj,13)</f>
      </c>
      <c r="D5871">
        <v>108</v>
      </c>
      <c r="E5871" s="51">
        <f>IF(INDEX(DarlBelegt,13)=0,0,EOMONTH(INDEX(DarlAuszahlung,13),107)+1)</f>
      </c>
      <c r="F5871" s="43">
        <f>IF($E5871=0,0,YEAR($E5871))</f>
      </c>
      <c r="G5871" s="43">
        <f>IF(INDEX(DarlBindung,13)="",1,IF($E5871&lt;=INDEX(DarlBindung,13),1,0))</f>
      </c>
      <c r="H5871" s="43">
        <f>IF($G5871=1,INDEX(DarlSollzins,13),INDEX(DarlAnschluss,13))</f>
      </c>
      <c r="I5871" s="43">
        <f>IF(INDEX(DarlBelegt,13)=0,0,IF(INDEX(DarlOhneTilgung,13)=1,IF(INDEX(DarlBindung,13)="",1,$G5871),IF($J5871&gt;0.005,1,0)))</f>
      </c>
      <c r="J5871" s="43">
        <f>IF($I5870=0,0,$R5870)</f>
      </c>
      <c r="K5871" s="43">
        <f>IF($I5871=0,0,IF(INDEX(DarlOhneTilgung,13)=1,0,IF(AND(INDEX(DarlTilgStart,13)&gt;0,$E5871=INDEX(DarlTilgStart,13)),$J5871*($H5871+INDEX(DarlTilgung,13))/100/12,IF(AND($G5871=0,$G5870=1),MAX($K5870,$J5871*($H5871+1)/100/12),$K5870))))</f>
      </c>
      <c r="L5871" s="43">
        <f>IF($I5871=0,0,$J5871*$H5871/100/12)</f>
      </c>
      <c r="M5871" s="43">
        <f>IF($I5871=0,0,IF(OR(INDEX(DarlOhneTilgung,13)=1,AND(INDEX(DarlTilgStart,13)&gt;0,$E5871&lt;INDEX(DarlTilgStart,13))),0,MIN(MAX(0,$K5871-$L5871),$J5871)))</f>
      </c>
      <c r="N5871" s="43">
        <f>IF($I5871=0,0,MIN(SUMIFS(SondBetrag,SondDarl,13,SondDatum,"&gt;="&amp;$E5871,SondDatum,"&lt;="&amp;EOMONTH($E5871,0)),$J5871-$M5871))</f>
      </c>
      <c r="O5871" s="43">
        <f>IF($I5871=0,0,INDEX(DarlErsatzRate,13))</f>
      </c>
      <c r="P5871" s="43">
        <f>IF($I5871=0,0,$Q5870*INDEX(DarlErsatzZins,13))</f>
      </c>
      <c r="Q5871" s="43">
        <f>IF($I5871=0,0,$Q5870+$P5871+$O5871)</f>
      </c>
      <c r="R5871" s="43">
        <f>IF($I5871=0,0,$J5871-$M5871-$N5871)</f>
      </c>
    </row>
    <row r="5872">
      <c r="A5872"/>
      <c r="B5872">
        <v>13</v>
      </c>
      <c r="C5872" s="43">
        <f>INDEX(DarlObj,13)</f>
      </c>
      <c r="D5872">
        <v>109</v>
      </c>
      <c r="E5872" s="51">
        <f>IF(INDEX(DarlBelegt,13)=0,0,EOMONTH(INDEX(DarlAuszahlung,13),108)+1)</f>
      </c>
      <c r="F5872" s="43">
        <f>IF($E5872=0,0,YEAR($E5872))</f>
      </c>
      <c r="G5872" s="43">
        <f>IF(INDEX(DarlBindung,13)="",1,IF($E5872&lt;=INDEX(DarlBindung,13),1,0))</f>
      </c>
      <c r="H5872" s="43">
        <f>IF($G5872=1,INDEX(DarlSollzins,13),INDEX(DarlAnschluss,13))</f>
      </c>
      <c r="I5872" s="43">
        <f>IF(INDEX(DarlBelegt,13)=0,0,IF(INDEX(DarlOhneTilgung,13)=1,IF(INDEX(DarlBindung,13)="",1,$G5872),IF($J5872&gt;0.005,1,0)))</f>
      </c>
      <c r="J5872" s="43">
        <f>IF($I5871=0,0,$R5871)</f>
      </c>
      <c r="K5872" s="43">
        <f>IF($I5872=0,0,IF(INDEX(DarlOhneTilgung,13)=1,0,IF(AND(INDEX(DarlTilgStart,13)&gt;0,$E5872=INDEX(DarlTilgStart,13)),$J5872*($H5872+INDEX(DarlTilgung,13))/100/12,IF(AND($G5872=0,$G5871=1),MAX($K5871,$J5872*($H5872+1)/100/12),$K5871))))</f>
      </c>
      <c r="L5872" s="43">
        <f>IF($I5872=0,0,$J5872*$H5872/100/12)</f>
      </c>
      <c r="M5872" s="43">
        <f>IF($I5872=0,0,IF(OR(INDEX(DarlOhneTilgung,13)=1,AND(INDEX(DarlTilgStart,13)&gt;0,$E5872&lt;INDEX(DarlTilgStart,13))),0,MIN(MAX(0,$K5872-$L5872),$J5872)))</f>
      </c>
      <c r="N5872" s="43">
        <f>IF($I5872=0,0,MIN(SUMIFS(SondBetrag,SondDarl,13,SondDatum,"&gt;="&amp;$E5872,SondDatum,"&lt;="&amp;EOMONTH($E5872,0)),$J5872-$M5872))</f>
      </c>
      <c r="O5872" s="43">
        <f>IF($I5872=0,0,INDEX(DarlErsatzRate,13))</f>
      </c>
      <c r="P5872" s="43">
        <f>IF($I5872=0,0,$Q5871*INDEX(DarlErsatzZins,13))</f>
      </c>
      <c r="Q5872" s="43">
        <f>IF($I5872=0,0,$Q5871+$P5872+$O5872)</f>
      </c>
      <c r="R5872" s="43">
        <f>IF($I5872=0,0,$J5872-$M5872-$N5872)</f>
      </c>
    </row>
    <row r="5873">
      <c r="A5873"/>
      <c r="B5873">
        <v>13</v>
      </c>
      <c r="C5873" s="43">
        <f>INDEX(DarlObj,13)</f>
      </c>
      <c r="D5873">
        <v>110</v>
      </c>
      <c r="E5873" s="51">
        <f>IF(INDEX(DarlBelegt,13)=0,0,EOMONTH(INDEX(DarlAuszahlung,13),109)+1)</f>
      </c>
      <c r="F5873" s="43">
        <f>IF($E5873=0,0,YEAR($E5873))</f>
      </c>
      <c r="G5873" s="43">
        <f>IF(INDEX(DarlBindung,13)="",1,IF($E5873&lt;=INDEX(DarlBindung,13),1,0))</f>
      </c>
      <c r="H5873" s="43">
        <f>IF($G5873=1,INDEX(DarlSollzins,13),INDEX(DarlAnschluss,13))</f>
      </c>
      <c r="I5873" s="43">
        <f>IF(INDEX(DarlBelegt,13)=0,0,IF(INDEX(DarlOhneTilgung,13)=1,IF(INDEX(DarlBindung,13)="",1,$G5873),IF($J5873&gt;0.005,1,0)))</f>
      </c>
      <c r="J5873" s="43">
        <f>IF($I5872=0,0,$R5872)</f>
      </c>
      <c r="K5873" s="43">
        <f>IF($I5873=0,0,IF(INDEX(DarlOhneTilgung,13)=1,0,IF(AND(INDEX(DarlTilgStart,13)&gt;0,$E5873=INDEX(DarlTilgStart,13)),$J5873*($H5873+INDEX(DarlTilgung,13))/100/12,IF(AND($G5873=0,$G5872=1),MAX($K5872,$J5873*($H5873+1)/100/12),$K5872))))</f>
      </c>
      <c r="L5873" s="43">
        <f>IF($I5873=0,0,$J5873*$H5873/100/12)</f>
      </c>
      <c r="M5873" s="43">
        <f>IF($I5873=0,0,IF(OR(INDEX(DarlOhneTilgung,13)=1,AND(INDEX(DarlTilgStart,13)&gt;0,$E5873&lt;INDEX(DarlTilgStart,13))),0,MIN(MAX(0,$K5873-$L5873),$J5873)))</f>
      </c>
      <c r="N5873" s="43">
        <f>IF($I5873=0,0,MIN(SUMIFS(SondBetrag,SondDarl,13,SondDatum,"&gt;="&amp;$E5873,SondDatum,"&lt;="&amp;EOMONTH($E5873,0)),$J5873-$M5873))</f>
      </c>
      <c r="O5873" s="43">
        <f>IF($I5873=0,0,INDEX(DarlErsatzRate,13))</f>
      </c>
      <c r="P5873" s="43">
        <f>IF($I5873=0,0,$Q5872*INDEX(DarlErsatzZins,13))</f>
      </c>
      <c r="Q5873" s="43">
        <f>IF($I5873=0,0,$Q5872+$P5873+$O5873)</f>
      </c>
      <c r="R5873" s="43">
        <f>IF($I5873=0,0,$J5873-$M5873-$N5873)</f>
      </c>
    </row>
    <row r="5874">
      <c r="A5874"/>
      <c r="B5874">
        <v>13</v>
      </c>
      <c r="C5874" s="43">
        <f>INDEX(DarlObj,13)</f>
      </c>
      <c r="D5874">
        <v>111</v>
      </c>
      <c r="E5874" s="51">
        <f>IF(INDEX(DarlBelegt,13)=0,0,EOMONTH(INDEX(DarlAuszahlung,13),110)+1)</f>
      </c>
      <c r="F5874" s="43">
        <f>IF($E5874=0,0,YEAR($E5874))</f>
      </c>
      <c r="G5874" s="43">
        <f>IF(INDEX(DarlBindung,13)="",1,IF($E5874&lt;=INDEX(DarlBindung,13),1,0))</f>
      </c>
      <c r="H5874" s="43">
        <f>IF($G5874=1,INDEX(DarlSollzins,13),INDEX(DarlAnschluss,13))</f>
      </c>
      <c r="I5874" s="43">
        <f>IF(INDEX(DarlBelegt,13)=0,0,IF(INDEX(DarlOhneTilgung,13)=1,IF(INDEX(DarlBindung,13)="",1,$G5874),IF($J5874&gt;0.005,1,0)))</f>
      </c>
      <c r="J5874" s="43">
        <f>IF($I5873=0,0,$R5873)</f>
      </c>
      <c r="K5874" s="43">
        <f>IF($I5874=0,0,IF(INDEX(DarlOhneTilgung,13)=1,0,IF(AND(INDEX(DarlTilgStart,13)&gt;0,$E5874=INDEX(DarlTilgStart,13)),$J5874*($H5874+INDEX(DarlTilgung,13))/100/12,IF(AND($G5874=0,$G5873=1),MAX($K5873,$J5874*($H5874+1)/100/12),$K5873))))</f>
      </c>
      <c r="L5874" s="43">
        <f>IF($I5874=0,0,$J5874*$H5874/100/12)</f>
      </c>
      <c r="M5874" s="43">
        <f>IF($I5874=0,0,IF(OR(INDEX(DarlOhneTilgung,13)=1,AND(INDEX(DarlTilgStart,13)&gt;0,$E5874&lt;INDEX(DarlTilgStart,13))),0,MIN(MAX(0,$K5874-$L5874),$J5874)))</f>
      </c>
      <c r="N5874" s="43">
        <f>IF($I5874=0,0,MIN(SUMIFS(SondBetrag,SondDarl,13,SondDatum,"&gt;="&amp;$E5874,SondDatum,"&lt;="&amp;EOMONTH($E5874,0)),$J5874-$M5874))</f>
      </c>
      <c r="O5874" s="43">
        <f>IF($I5874=0,0,INDEX(DarlErsatzRate,13))</f>
      </c>
      <c r="P5874" s="43">
        <f>IF($I5874=0,0,$Q5873*INDEX(DarlErsatzZins,13))</f>
      </c>
      <c r="Q5874" s="43">
        <f>IF($I5874=0,0,$Q5873+$P5874+$O5874)</f>
      </c>
      <c r="R5874" s="43">
        <f>IF($I5874=0,0,$J5874-$M5874-$N5874)</f>
      </c>
    </row>
    <row r="5875">
      <c r="A5875"/>
      <c r="B5875">
        <v>13</v>
      </c>
      <c r="C5875" s="43">
        <f>INDEX(DarlObj,13)</f>
      </c>
      <c r="D5875">
        <v>112</v>
      </c>
      <c r="E5875" s="51">
        <f>IF(INDEX(DarlBelegt,13)=0,0,EOMONTH(INDEX(DarlAuszahlung,13),111)+1)</f>
      </c>
      <c r="F5875" s="43">
        <f>IF($E5875=0,0,YEAR($E5875))</f>
      </c>
      <c r="G5875" s="43">
        <f>IF(INDEX(DarlBindung,13)="",1,IF($E5875&lt;=INDEX(DarlBindung,13),1,0))</f>
      </c>
      <c r="H5875" s="43">
        <f>IF($G5875=1,INDEX(DarlSollzins,13),INDEX(DarlAnschluss,13))</f>
      </c>
      <c r="I5875" s="43">
        <f>IF(INDEX(DarlBelegt,13)=0,0,IF(INDEX(DarlOhneTilgung,13)=1,IF(INDEX(DarlBindung,13)="",1,$G5875),IF($J5875&gt;0.005,1,0)))</f>
      </c>
      <c r="J5875" s="43">
        <f>IF($I5874=0,0,$R5874)</f>
      </c>
      <c r="K5875" s="43">
        <f>IF($I5875=0,0,IF(INDEX(DarlOhneTilgung,13)=1,0,IF(AND(INDEX(DarlTilgStart,13)&gt;0,$E5875=INDEX(DarlTilgStart,13)),$J5875*($H5875+INDEX(DarlTilgung,13))/100/12,IF(AND($G5875=0,$G5874=1),MAX($K5874,$J5875*($H5875+1)/100/12),$K5874))))</f>
      </c>
      <c r="L5875" s="43">
        <f>IF($I5875=0,0,$J5875*$H5875/100/12)</f>
      </c>
      <c r="M5875" s="43">
        <f>IF($I5875=0,0,IF(OR(INDEX(DarlOhneTilgung,13)=1,AND(INDEX(DarlTilgStart,13)&gt;0,$E5875&lt;INDEX(DarlTilgStart,13))),0,MIN(MAX(0,$K5875-$L5875),$J5875)))</f>
      </c>
      <c r="N5875" s="43">
        <f>IF($I5875=0,0,MIN(SUMIFS(SondBetrag,SondDarl,13,SondDatum,"&gt;="&amp;$E5875,SondDatum,"&lt;="&amp;EOMONTH($E5875,0)),$J5875-$M5875))</f>
      </c>
      <c r="O5875" s="43">
        <f>IF($I5875=0,0,INDEX(DarlErsatzRate,13))</f>
      </c>
      <c r="P5875" s="43">
        <f>IF($I5875=0,0,$Q5874*INDEX(DarlErsatzZins,13))</f>
      </c>
      <c r="Q5875" s="43">
        <f>IF($I5875=0,0,$Q5874+$P5875+$O5875)</f>
      </c>
      <c r="R5875" s="43">
        <f>IF($I5875=0,0,$J5875-$M5875-$N5875)</f>
      </c>
    </row>
    <row r="5876">
      <c r="A5876"/>
      <c r="B5876">
        <v>13</v>
      </c>
      <c r="C5876" s="43">
        <f>INDEX(DarlObj,13)</f>
      </c>
      <c r="D5876">
        <v>113</v>
      </c>
      <c r="E5876" s="51">
        <f>IF(INDEX(DarlBelegt,13)=0,0,EOMONTH(INDEX(DarlAuszahlung,13),112)+1)</f>
      </c>
      <c r="F5876" s="43">
        <f>IF($E5876=0,0,YEAR($E5876))</f>
      </c>
      <c r="G5876" s="43">
        <f>IF(INDEX(DarlBindung,13)="",1,IF($E5876&lt;=INDEX(DarlBindung,13),1,0))</f>
      </c>
      <c r="H5876" s="43">
        <f>IF($G5876=1,INDEX(DarlSollzins,13),INDEX(DarlAnschluss,13))</f>
      </c>
      <c r="I5876" s="43">
        <f>IF(INDEX(DarlBelegt,13)=0,0,IF(INDEX(DarlOhneTilgung,13)=1,IF(INDEX(DarlBindung,13)="",1,$G5876),IF($J5876&gt;0.005,1,0)))</f>
      </c>
      <c r="J5876" s="43">
        <f>IF($I5875=0,0,$R5875)</f>
      </c>
      <c r="K5876" s="43">
        <f>IF($I5876=0,0,IF(INDEX(DarlOhneTilgung,13)=1,0,IF(AND(INDEX(DarlTilgStart,13)&gt;0,$E5876=INDEX(DarlTilgStart,13)),$J5876*($H5876+INDEX(DarlTilgung,13))/100/12,IF(AND($G5876=0,$G5875=1),MAX($K5875,$J5876*($H5876+1)/100/12),$K5875))))</f>
      </c>
      <c r="L5876" s="43">
        <f>IF($I5876=0,0,$J5876*$H5876/100/12)</f>
      </c>
      <c r="M5876" s="43">
        <f>IF($I5876=0,0,IF(OR(INDEX(DarlOhneTilgung,13)=1,AND(INDEX(DarlTilgStart,13)&gt;0,$E5876&lt;INDEX(DarlTilgStart,13))),0,MIN(MAX(0,$K5876-$L5876),$J5876)))</f>
      </c>
      <c r="N5876" s="43">
        <f>IF($I5876=0,0,MIN(SUMIFS(SondBetrag,SondDarl,13,SondDatum,"&gt;="&amp;$E5876,SondDatum,"&lt;="&amp;EOMONTH($E5876,0)),$J5876-$M5876))</f>
      </c>
      <c r="O5876" s="43">
        <f>IF($I5876=0,0,INDEX(DarlErsatzRate,13))</f>
      </c>
      <c r="P5876" s="43">
        <f>IF($I5876=0,0,$Q5875*INDEX(DarlErsatzZins,13))</f>
      </c>
      <c r="Q5876" s="43">
        <f>IF($I5876=0,0,$Q5875+$P5876+$O5876)</f>
      </c>
      <c r="R5876" s="43">
        <f>IF($I5876=0,0,$J5876-$M5876-$N5876)</f>
      </c>
    </row>
    <row r="5877">
      <c r="A5877"/>
      <c r="B5877">
        <v>13</v>
      </c>
      <c r="C5877" s="43">
        <f>INDEX(DarlObj,13)</f>
      </c>
      <c r="D5877">
        <v>114</v>
      </c>
      <c r="E5877" s="51">
        <f>IF(INDEX(DarlBelegt,13)=0,0,EOMONTH(INDEX(DarlAuszahlung,13),113)+1)</f>
      </c>
      <c r="F5877" s="43">
        <f>IF($E5877=0,0,YEAR($E5877))</f>
      </c>
      <c r="G5877" s="43">
        <f>IF(INDEX(DarlBindung,13)="",1,IF($E5877&lt;=INDEX(DarlBindung,13),1,0))</f>
      </c>
      <c r="H5877" s="43">
        <f>IF($G5877=1,INDEX(DarlSollzins,13),INDEX(DarlAnschluss,13))</f>
      </c>
      <c r="I5877" s="43">
        <f>IF(INDEX(DarlBelegt,13)=0,0,IF(INDEX(DarlOhneTilgung,13)=1,IF(INDEX(DarlBindung,13)="",1,$G5877),IF($J5877&gt;0.005,1,0)))</f>
      </c>
      <c r="J5877" s="43">
        <f>IF($I5876=0,0,$R5876)</f>
      </c>
      <c r="K5877" s="43">
        <f>IF($I5877=0,0,IF(INDEX(DarlOhneTilgung,13)=1,0,IF(AND(INDEX(DarlTilgStart,13)&gt;0,$E5877=INDEX(DarlTilgStart,13)),$J5877*($H5877+INDEX(DarlTilgung,13))/100/12,IF(AND($G5877=0,$G5876=1),MAX($K5876,$J5877*($H5877+1)/100/12),$K5876))))</f>
      </c>
      <c r="L5877" s="43">
        <f>IF($I5877=0,0,$J5877*$H5877/100/12)</f>
      </c>
      <c r="M5877" s="43">
        <f>IF($I5877=0,0,IF(OR(INDEX(DarlOhneTilgung,13)=1,AND(INDEX(DarlTilgStart,13)&gt;0,$E5877&lt;INDEX(DarlTilgStart,13))),0,MIN(MAX(0,$K5877-$L5877),$J5877)))</f>
      </c>
      <c r="N5877" s="43">
        <f>IF($I5877=0,0,MIN(SUMIFS(SondBetrag,SondDarl,13,SondDatum,"&gt;="&amp;$E5877,SondDatum,"&lt;="&amp;EOMONTH($E5877,0)),$J5877-$M5877))</f>
      </c>
      <c r="O5877" s="43">
        <f>IF($I5877=0,0,INDEX(DarlErsatzRate,13))</f>
      </c>
      <c r="P5877" s="43">
        <f>IF($I5877=0,0,$Q5876*INDEX(DarlErsatzZins,13))</f>
      </c>
      <c r="Q5877" s="43">
        <f>IF($I5877=0,0,$Q5876+$P5877+$O5877)</f>
      </c>
      <c r="R5877" s="43">
        <f>IF($I5877=0,0,$J5877-$M5877-$N5877)</f>
      </c>
    </row>
    <row r="5878">
      <c r="A5878"/>
      <c r="B5878">
        <v>13</v>
      </c>
      <c r="C5878" s="43">
        <f>INDEX(DarlObj,13)</f>
      </c>
      <c r="D5878">
        <v>115</v>
      </c>
      <c r="E5878" s="51">
        <f>IF(INDEX(DarlBelegt,13)=0,0,EOMONTH(INDEX(DarlAuszahlung,13),114)+1)</f>
      </c>
      <c r="F5878" s="43">
        <f>IF($E5878=0,0,YEAR($E5878))</f>
      </c>
      <c r="G5878" s="43">
        <f>IF(INDEX(DarlBindung,13)="",1,IF($E5878&lt;=INDEX(DarlBindung,13),1,0))</f>
      </c>
      <c r="H5878" s="43">
        <f>IF($G5878=1,INDEX(DarlSollzins,13),INDEX(DarlAnschluss,13))</f>
      </c>
      <c r="I5878" s="43">
        <f>IF(INDEX(DarlBelegt,13)=0,0,IF(INDEX(DarlOhneTilgung,13)=1,IF(INDEX(DarlBindung,13)="",1,$G5878),IF($J5878&gt;0.005,1,0)))</f>
      </c>
      <c r="J5878" s="43">
        <f>IF($I5877=0,0,$R5877)</f>
      </c>
      <c r="K5878" s="43">
        <f>IF($I5878=0,0,IF(INDEX(DarlOhneTilgung,13)=1,0,IF(AND(INDEX(DarlTilgStart,13)&gt;0,$E5878=INDEX(DarlTilgStart,13)),$J5878*($H5878+INDEX(DarlTilgung,13))/100/12,IF(AND($G5878=0,$G5877=1),MAX($K5877,$J5878*($H5878+1)/100/12),$K5877))))</f>
      </c>
      <c r="L5878" s="43">
        <f>IF($I5878=0,0,$J5878*$H5878/100/12)</f>
      </c>
      <c r="M5878" s="43">
        <f>IF($I5878=0,0,IF(OR(INDEX(DarlOhneTilgung,13)=1,AND(INDEX(DarlTilgStart,13)&gt;0,$E5878&lt;INDEX(DarlTilgStart,13))),0,MIN(MAX(0,$K5878-$L5878),$J5878)))</f>
      </c>
      <c r="N5878" s="43">
        <f>IF($I5878=0,0,MIN(SUMIFS(SondBetrag,SondDarl,13,SondDatum,"&gt;="&amp;$E5878,SondDatum,"&lt;="&amp;EOMONTH($E5878,0)),$J5878-$M5878))</f>
      </c>
      <c r="O5878" s="43">
        <f>IF($I5878=0,0,INDEX(DarlErsatzRate,13))</f>
      </c>
      <c r="P5878" s="43">
        <f>IF($I5878=0,0,$Q5877*INDEX(DarlErsatzZins,13))</f>
      </c>
      <c r="Q5878" s="43">
        <f>IF($I5878=0,0,$Q5877+$P5878+$O5878)</f>
      </c>
      <c r="R5878" s="43">
        <f>IF($I5878=0,0,$J5878-$M5878-$N5878)</f>
      </c>
    </row>
    <row r="5879">
      <c r="A5879"/>
      <c r="B5879">
        <v>13</v>
      </c>
      <c r="C5879" s="43">
        <f>INDEX(DarlObj,13)</f>
      </c>
      <c r="D5879">
        <v>116</v>
      </c>
      <c r="E5879" s="51">
        <f>IF(INDEX(DarlBelegt,13)=0,0,EOMONTH(INDEX(DarlAuszahlung,13),115)+1)</f>
      </c>
      <c r="F5879" s="43">
        <f>IF($E5879=0,0,YEAR($E5879))</f>
      </c>
      <c r="G5879" s="43">
        <f>IF(INDEX(DarlBindung,13)="",1,IF($E5879&lt;=INDEX(DarlBindung,13),1,0))</f>
      </c>
      <c r="H5879" s="43">
        <f>IF($G5879=1,INDEX(DarlSollzins,13),INDEX(DarlAnschluss,13))</f>
      </c>
      <c r="I5879" s="43">
        <f>IF(INDEX(DarlBelegt,13)=0,0,IF(INDEX(DarlOhneTilgung,13)=1,IF(INDEX(DarlBindung,13)="",1,$G5879),IF($J5879&gt;0.005,1,0)))</f>
      </c>
      <c r="J5879" s="43">
        <f>IF($I5878=0,0,$R5878)</f>
      </c>
      <c r="K5879" s="43">
        <f>IF($I5879=0,0,IF(INDEX(DarlOhneTilgung,13)=1,0,IF(AND(INDEX(DarlTilgStart,13)&gt;0,$E5879=INDEX(DarlTilgStart,13)),$J5879*($H5879+INDEX(DarlTilgung,13))/100/12,IF(AND($G5879=0,$G5878=1),MAX($K5878,$J5879*($H5879+1)/100/12),$K5878))))</f>
      </c>
      <c r="L5879" s="43">
        <f>IF($I5879=0,0,$J5879*$H5879/100/12)</f>
      </c>
      <c r="M5879" s="43">
        <f>IF($I5879=0,0,IF(OR(INDEX(DarlOhneTilgung,13)=1,AND(INDEX(DarlTilgStart,13)&gt;0,$E5879&lt;INDEX(DarlTilgStart,13))),0,MIN(MAX(0,$K5879-$L5879),$J5879)))</f>
      </c>
      <c r="N5879" s="43">
        <f>IF($I5879=0,0,MIN(SUMIFS(SondBetrag,SondDarl,13,SondDatum,"&gt;="&amp;$E5879,SondDatum,"&lt;="&amp;EOMONTH($E5879,0)),$J5879-$M5879))</f>
      </c>
      <c r="O5879" s="43">
        <f>IF($I5879=0,0,INDEX(DarlErsatzRate,13))</f>
      </c>
      <c r="P5879" s="43">
        <f>IF($I5879=0,0,$Q5878*INDEX(DarlErsatzZins,13))</f>
      </c>
      <c r="Q5879" s="43">
        <f>IF($I5879=0,0,$Q5878+$P5879+$O5879)</f>
      </c>
      <c r="R5879" s="43">
        <f>IF($I5879=0,0,$J5879-$M5879-$N5879)</f>
      </c>
    </row>
    <row r="5880">
      <c r="A5880"/>
      <c r="B5880">
        <v>13</v>
      </c>
      <c r="C5880" s="43">
        <f>INDEX(DarlObj,13)</f>
      </c>
      <c r="D5880">
        <v>117</v>
      </c>
      <c r="E5880" s="51">
        <f>IF(INDEX(DarlBelegt,13)=0,0,EOMONTH(INDEX(DarlAuszahlung,13),116)+1)</f>
      </c>
      <c r="F5880" s="43">
        <f>IF($E5880=0,0,YEAR($E5880))</f>
      </c>
      <c r="G5880" s="43">
        <f>IF(INDEX(DarlBindung,13)="",1,IF($E5880&lt;=INDEX(DarlBindung,13),1,0))</f>
      </c>
      <c r="H5880" s="43">
        <f>IF($G5880=1,INDEX(DarlSollzins,13),INDEX(DarlAnschluss,13))</f>
      </c>
      <c r="I5880" s="43">
        <f>IF(INDEX(DarlBelegt,13)=0,0,IF(INDEX(DarlOhneTilgung,13)=1,IF(INDEX(DarlBindung,13)="",1,$G5880),IF($J5880&gt;0.005,1,0)))</f>
      </c>
      <c r="J5880" s="43">
        <f>IF($I5879=0,0,$R5879)</f>
      </c>
      <c r="K5880" s="43">
        <f>IF($I5880=0,0,IF(INDEX(DarlOhneTilgung,13)=1,0,IF(AND(INDEX(DarlTilgStart,13)&gt;0,$E5880=INDEX(DarlTilgStart,13)),$J5880*($H5880+INDEX(DarlTilgung,13))/100/12,IF(AND($G5880=0,$G5879=1),MAX($K5879,$J5880*($H5880+1)/100/12),$K5879))))</f>
      </c>
      <c r="L5880" s="43">
        <f>IF($I5880=0,0,$J5880*$H5880/100/12)</f>
      </c>
      <c r="M5880" s="43">
        <f>IF($I5880=0,0,IF(OR(INDEX(DarlOhneTilgung,13)=1,AND(INDEX(DarlTilgStart,13)&gt;0,$E5880&lt;INDEX(DarlTilgStart,13))),0,MIN(MAX(0,$K5880-$L5880),$J5880)))</f>
      </c>
      <c r="N5880" s="43">
        <f>IF($I5880=0,0,MIN(SUMIFS(SondBetrag,SondDarl,13,SondDatum,"&gt;="&amp;$E5880,SondDatum,"&lt;="&amp;EOMONTH($E5880,0)),$J5880-$M5880))</f>
      </c>
      <c r="O5880" s="43">
        <f>IF($I5880=0,0,INDEX(DarlErsatzRate,13))</f>
      </c>
      <c r="P5880" s="43">
        <f>IF($I5880=0,0,$Q5879*INDEX(DarlErsatzZins,13))</f>
      </c>
      <c r="Q5880" s="43">
        <f>IF($I5880=0,0,$Q5879+$P5880+$O5880)</f>
      </c>
      <c r="R5880" s="43">
        <f>IF($I5880=0,0,$J5880-$M5880-$N5880)</f>
      </c>
    </row>
    <row r="5881">
      <c r="A5881"/>
      <c r="B5881">
        <v>13</v>
      </c>
      <c r="C5881" s="43">
        <f>INDEX(DarlObj,13)</f>
      </c>
      <c r="D5881">
        <v>118</v>
      </c>
      <c r="E5881" s="51">
        <f>IF(INDEX(DarlBelegt,13)=0,0,EOMONTH(INDEX(DarlAuszahlung,13),117)+1)</f>
      </c>
      <c r="F5881" s="43">
        <f>IF($E5881=0,0,YEAR($E5881))</f>
      </c>
      <c r="G5881" s="43">
        <f>IF(INDEX(DarlBindung,13)="",1,IF($E5881&lt;=INDEX(DarlBindung,13),1,0))</f>
      </c>
      <c r="H5881" s="43">
        <f>IF($G5881=1,INDEX(DarlSollzins,13),INDEX(DarlAnschluss,13))</f>
      </c>
      <c r="I5881" s="43">
        <f>IF(INDEX(DarlBelegt,13)=0,0,IF(INDEX(DarlOhneTilgung,13)=1,IF(INDEX(DarlBindung,13)="",1,$G5881),IF($J5881&gt;0.005,1,0)))</f>
      </c>
      <c r="J5881" s="43">
        <f>IF($I5880=0,0,$R5880)</f>
      </c>
      <c r="K5881" s="43">
        <f>IF($I5881=0,0,IF(INDEX(DarlOhneTilgung,13)=1,0,IF(AND(INDEX(DarlTilgStart,13)&gt;0,$E5881=INDEX(DarlTilgStart,13)),$J5881*($H5881+INDEX(DarlTilgung,13))/100/12,IF(AND($G5881=0,$G5880=1),MAX($K5880,$J5881*($H5881+1)/100/12),$K5880))))</f>
      </c>
      <c r="L5881" s="43">
        <f>IF($I5881=0,0,$J5881*$H5881/100/12)</f>
      </c>
      <c r="M5881" s="43">
        <f>IF($I5881=0,0,IF(OR(INDEX(DarlOhneTilgung,13)=1,AND(INDEX(DarlTilgStart,13)&gt;0,$E5881&lt;INDEX(DarlTilgStart,13))),0,MIN(MAX(0,$K5881-$L5881),$J5881)))</f>
      </c>
      <c r="N5881" s="43">
        <f>IF($I5881=0,0,MIN(SUMIFS(SondBetrag,SondDarl,13,SondDatum,"&gt;="&amp;$E5881,SondDatum,"&lt;="&amp;EOMONTH($E5881,0)),$J5881-$M5881))</f>
      </c>
      <c r="O5881" s="43">
        <f>IF($I5881=0,0,INDEX(DarlErsatzRate,13))</f>
      </c>
      <c r="P5881" s="43">
        <f>IF($I5881=0,0,$Q5880*INDEX(DarlErsatzZins,13))</f>
      </c>
      <c r="Q5881" s="43">
        <f>IF($I5881=0,0,$Q5880+$P5881+$O5881)</f>
      </c>
      <c r="R5881" s="43">
        <f>IF($I5881=0,0,$J5881-$M5881-$N5881)</f>
      </c>
    </row>
    <row r="5882">
      <c r="A5882"/>
      <c r="B5882">
        <v>13</v>
      </c>
      <c r="C5882" s="43">
        <f>INDEX(DarlObj,13)</f>
      </c>
      <c r="D5882">
        <v>119</v>
      </c>
      <c r="E5882" s="51">
        <f>IF(INDEX(DarlBelegt,13)=0,0,EOMONTH(INDEX(DarlAuszahlung,13),118)+1)</f>
      </c>
      <c r="F5882" s="43">
        <f>IF($E5882=0,0,YEAR($E5882))</f>
      </c>
      <c r="G5882" s="43">
        <f>IF(INDEX(DarlBindung,13)="",1,IF($E5882&lt;=INDEX(DarlBindung,13),1,0))</f>
      </c>
      <c r="H5882" s="43">
        <f>IF($G5882=1,INDEX(DarlSollzins,13),INDEX(DarlAnschluss,13))</f>
      </c>
      <c r="I5882" s="43">
        <f>IF(INDEX(DarlBelegt,13)=0,0,IF(INDEX(DarlOhneTilgung,13)=1,IF(INDEX(DarlBindung,13)="",1,$G5882),IF($J5882&gt;0.005,1,0)))</f>
      </c>
      <c r="J5882" s="43">
        <f>IF($I5881=0,0,$R5881)</f>
      </c>
      <c r="K5882" s="43">
        <f>IF($I5882=0,0,IF(INDEX(DarlOhneTilgung,13)=1,0,IF(AND(INDEX(DarlTilgStart,13)&gt;0,$E5882=INDEX(DarlTilgStart,13)),$J5882*($H5882+INDEX(DarlTilgung,13))/100/12,IF(AND($G5882=0,$G5881=1),MAX($K5881,$J5882*($H5882+1)/100/12),$K5881))))</f>
      </c>
      <c r="L5882" s="43">
        <f>IF($I5882=0,0,$J5882*$H5882/100/12)</f>
      </c>
      <c r="M5882" s="43">
        <f>IF($I5882=0,0,IF(OR(INDEX(DarlOhneTilgung,13)=1,AND(INDEX(DarlTilgStart,13)&gt;0,$E5882&lt;INDEX(DarlTilgStart,13))),0,MIN(MAX(0,$K5882-$L5882),$J5882)))</f>
      </c>
      <c r="N5882" s="43">
        <f>IF($I5882=0,0,MIN(SUMIFS(SondBetrag,SondDarl,13,SondDatum,"&gt;="&amp;$E5882,SondDatum,"&lt;="&amp;EOMONTH($E5882,0)),$J5882-$M5882))</f>
      </c>
      <c r="O5882" s="43">
        <f>IF($I5882=0,0,INDEX(DarlErsatzRate,13))</f>
      </c>
      <c r="P5882" s="43">
        <f>IF($I5882=0,0,$Q5881*INDEX(DarlErsatzZins,13))</f>
      </c>
      <c r="Q5882" s="43">
        <f>IF($I5882=0,0,$Q5881+$P5882+$O5882)</f>
      </c>
      <c r="R5882" s="43">
        <f>IF($I5882=0,0,$J5882-$M5882-$N5882)</f>
      </c>
    </row>
    <row r="5883">
      <c r="A5883"/>
      <c r="B5883">
        <v>13</v>
      </c>
      <c r="C5883" s="43">
        <f>INDEX(DarlObj,13)</f>
      </c>
      <c r="D5883">
        <v>120</v>
      </c>
      <c r="E5883" s="51">
        <f>IF(INDEX(DarlBelegt,13)=0,0,EOMONTH(INDEX(DarlAuszahlung,13),119)+1)</f>
      </c>
      <c r="F5883" s="43">
        <f>IF($E5883=0,0,YEAR($E5883))</f>
      </c>
      <c r="G5883" s="43">
        <f>IF(INDEX(DarlBindung,13)="",1,IF($E5883&lt;=INDEX(DarlBindung,13),1,0))</f>
      </c>
      <c r="H5883" s="43">
        <f>IF($G5883=1,INDEX(DarlSollzins,13),INDEX(DarlAnschluss,13))</f>
      </c>
      <c r="I5883" s="43">
        <f>IF(INDEX(DarlBelegt,13)=0,0,IF(INDEX(DarlOhneTilgung,13)=1,IF(INDEX(DarlBindung,13)="",1,$G5883),IF($J5883&gt;0.005,1,0)))</f>
      </c>
      <c r="J5883" s="43">
        <f>IF($I5882=0,0,$R5882)</f>
      </c>
      <c r="K5883" s="43">
        <f>IF($I5883=0,0,IF(INDEX(DarlOhneTilgung,13)=1,0,IF(AND(INDEX(DarlTilgStart,13)&gt;0,$E5883=INDEX(DarlTilgStart,13)),$J5883*($H5883+INDEX(DarlTilgung,13))/100/12,IF(AND($G5883=0,$G5882=1),MAX($K5882,$J5883*($H5883+1)/100/12),$K5882))))</f>
      </c>
      <c r="L5883" s="43">
        <f>IF($I5883=0,0,$J5883*$H5883/100/12)</f>
      </c>
      <c r="M5883" s="43">
        <f>IF($I5883=0,0,IF(OR(INDEX(DarlOhneTilgung,13)=1,AND(INDEX(DarlTilgStart,13)&gt;0,$E5883&lt;INDEX(DarlTilgStart,13))),0,MIN(MAX(0,$K5883-$L5883),$J5883)))</f>
      </c>
      <c r="N5883" s="43">
        <f>IF($I5883=0,0,MIN(SUMIFS(SondBetrag,SondDarl,13,SondDatum,"&gt;="&amp;$E5883,SondDatum,"&lt;="&amp;EOMONTH($E5883,0)),$J5883-$M5883))</f>
      </c>
      <c r="O5883" s="43">
        <f>IF($I5883=0,0,INDEX(DarlErsatzRate,13))</f>
      </c>
      <c r="P5883" s="43">
        <f>IF($I5883=0,0,$Q5882*INDEX(DarlErsatzZins,13))</f>
      </c>
      <c r="Q5883" s="43">
        <f>IF($I5883=0,0,$Q5882+$P5883+$O5883)</f>
      </c>
      <c r="R5883" s="43">
        <f>IF($I5883=0,0,$J5883-$M5883-$N5883)</f>
      </c>
    </row>
    <row r="5884">
      <c r="A5884"/>
      <c r="B5884">
        <v>13</v>
      </c>
      <c r="C5884" s="43">
        <f>INDEX(DarlObj,13)</f>
      </c>
      <c r="D5884">
        <v>121</v>
      </c>
      <c r="E5884" s="51">
        <f>IF(INDEX(DarlBelegt,13)=0,0,EOMONTH(INDEX(DarlAuszahlung,13),120)+1)</f>
      </c>
      <c r="F5884" s="43">
        <f>IF($E5884=0,0,YEAR($E5884))</f>
      </c>
      <c r="G5884" s="43">
        <f>IF(INDEX(DarlBindung,13)="",1,IF($E5884&lt;=INDEX(DarlBindung,13),1,0))</f>
      </c>
      <c r="H5884" s="43">
        <f>IF($G5884=1,INDEX(DarlSollzins,13),INDEX(DarlAnschluss,13))</f>
      </c>
      <c r="I5884" s="43">
        <f>IF(INDEX(DarlBelegt,13)=0,0,IF(INDEX(DarlOhneTilgung,13)=1,IF(INDEX(DarlBindung,13)="",1,$G5884),IF($J5884&gt;0.005,1,0)))</f>
      </c>
      <c r="J5884" s="43">
        <f>IF($I5883=0,0,$R5883)</f>
      </c>
      <c r="K5884" s="43">
        <f>IF($I5884=0,0,IF(INDEX(DarlOhneTilgung,13)=1,0,IF(AND(INDEX(DarlTilgStart,13)&gt;0,$E5884=INDEX(DarlTilgStart,13)),$J5884*($H5884+INDEX(DarlTilgung,13))/100/12,IF(AND($G5884=0,$G5883=1),MAX($K5883,$J5884*($H5884+1)/100/12),$K5883))))</f>
      </c>
      <c r="L5884" s="43">
        <f>IF($I5884=0,0,$J5884*$H5884/100/12)</f>
      </c>
      <c r="M5884" s="43">
        <f>IF($I5884=0,0,IF(OR(INDEX(DarlOhneTilgung,13)=1,AND(INDEX(DarlTilgStart,13)&gt;0,$E5884&lt;INDEX(DarlTilgStart,13))),0,MIN(MAX(0,$K5884-$L5884),$J5884)))</f>
      </c>
      <c r="N5884" s="43">
        <f>IF($I5884=0,0,MIN(SUMIFS(SondBetrag,SondDarl,13,SondDatum,"&gt;="&amp;$E5884,SondDatum,"&lt;="&amp;EOMONTH($E5884,0)),$J5884-$M5884))</f>
      </c>
      <c r="O5884" s="43">
        <f>IF($I5884=0,0,INDEX(DarlErsatzRate,13))</f>
      </c>
      <c r="P5884" s="43">
        <f>IF($I5884=0,0,$Q5883*INDEX(DarlErsatzZins,13))</f>
      </c>
      <c r="Q5884" s="43">
        <f>IF($I5884=0,0,$Q5883+$P5884+$O5884)</f>
      </c>
      <c r="R5884" s="43">
        <f>IF($I5884=0,0,$J5884-$M5884-$N5884)</f>
      </c>
    </row>
    <row r="5885">
      <c r="A5885"/>
      <c r="B5885">
        <v>13</v>
      </c>
      <c r="C5885" s="43">
        <f>INDEX(DarlObj,13)</f>
      </c>
      <c r="D5885">
        <v>122</v>
      </c>
      <c r="E5885" s="51">
        <f>IF(INDEX(DarlBelegt,13)=0,0,EOMONTH(INDEX(DarlAuszahlung,13),121)+1)</f>
      </c>
      <c r="F5885" s="43">
        <f>IF($E5885=0,0,YEAR($E5885))</f>
      </c>
      <c r="G5885" s="43">
        <f>IF(INDEX(DarlBindung,13)="",1,IF($E5885&lt;=INDEX(DarlBindung,13),1,0))</f>
      </c>
      <c r="H5885" s="43">
        <f>IF($G5885=1,INDEX(DarlSollzins,13),INDEX(DarlAnschluss,13))</f>
      </c>
      <c r="I5885" s="43">
        <f>IF(INDEX(DarlBelegt,13)=0,0,IF(INDEX(DarlOhneTilgung,13)=1,IF(INDEX(DarlBindung,13)="",1,$G5885),IF($J5885&gt;0.005,1,0)))</f>
      </c>
      <c r="J5885" s="43">
        <f>IF($I5884=0,0,$R5884)</f>
      </c>
      <c r="K5885" s="43">
        <f>IF($I5885=0,0,IF(INDEX(DarlOhneTilgung,13)=1,0,IF(AND(INDEX(DarlTilgStart,13)&gt;0,$E5885=INDEX(DarlTilgStart,13)),$J5885*($H5885+INDEX(DarlTilgung,13))/100/12,IF(AND($G5885=0,$G5884=1),MAX($K5884,$J5885*($H5885+1)/100/12),$K5884))))</f>
      </c>
      <c r="L5885" s="43">
        <f>IF($I5885=0,0,$J5885*$H5885/100/12)</f>
      </c>
      <c r="M5885" s="43">
        <f>IF($I5885=0,0,IF(OR(INDEX(DarlOhneTilgung,13)=1,AND(INDEX(DarlTilgStart,13)&gt;0,$E5885&lt;INDEX(DarlTilgStart,13))),0,MIN(MAX(0,$K5885-$L5885),$J5885)))</f>
      </c>
      <c r="N5885" s="43">
        <f>IF($I5885=0,0,MIN(SUMIFS(SondBetrag,SondDarl,13,SondDatum,"&gt;="&amp;$E5885,SondDatum,"&lt;="&amp;EOMONTH($E5885,0)),$J5885-$M5885))</f>
      </c>
      <c r="O5885" s="43">
        <f>IF($I5885=0,0,INDEX(DarlErsatzRate,13))</f>
      </c>
      <c r="P5885" s="43">
        <f>IF($I5885=0,0,$Q5884*INDEX(DarlErsatzZins,13))</f>
      </c>
      <c r="Q5885" s="43">
        <f>IF($I5885=0,0,$Q5884+$P5885+$O5885)</f>
      </c>
      <c r="R5885" s="43">
        <f>IF($I5885=0,0,$J5885-$M5885-$N5885)</f>
      </c>
    </row>
    <row r="5886">
      <c r="A5886"/>
      <c r="B5886">
        <v>13</v>
      </c>
      <c r="C5886" s="43">
        <f>INDEX(DarlObj,13)</f>
      </c>
      <c r="D5886">
        <v>123</v>
      </c>
      <c r="E5886" s="51">
        <f>IF(INDEX(DarlBelegt,13)=0,0,EOMONTH(INDEX(DarlAuszahlung,13),122)+1)</f>
      </c>
      <c r="F5886" s="43">
        <f>IF($E5886=0,0,YEAR($E5886))</f>
      </c>
      <c r="G5886" s="43">
        <f>IF(INDEX(DarlBindung,13)="",1,IF($E5886&lt;=INDEX(DarlBindung,13),1,0))</f>
      </c>
      <c r="H5886" s="43">
        <f>IF($G5886=1,INDEX(DarlSollzins,13),INDEX(DarlAnschluss,13))</f>
      </c>
      <c r="I5886" s="43">
        <f>IF(INDEX(DarlBelegt,13)=0,0,IF(INDEX(DarlOhneTilgung,13)=1,IF(INDEX(DarlBindung,13)="",1,$G5886),IF($J5886&gt;0.005,1,0)))</f>
      </c>
      <c r="J5886" s="43">
        <f>IF($I5885=0,0,$R5885)</f>
      </c>
      <c r="K5886" s="43">
        <f>IF($I5886=0,0,IF(INDEX(DarlOhneTilgung,13)=1,0,IF(AND(INDEX(DarlTilgStart,13)&gt;0,$E5886=INDEX(DarlTilgStart,13)),$J5886*($H5886+INDEX(DarlTilgung,13))/100/12,IF(AND($G5886=0,$G5885=1),MAX($K5885,$J5886*($H5886+1)/100/12),$K5885))))</f>
      </c>
      <c r="L5886" s="43">
        <f>IF($I5886=0,0,$J5886*$H5886/100/12)</f>
      </c>
      <c r="M5886" s="43">
        <f>IF($I5886=0,0,IF(OR(INDEX(DarlOhneTilgung,13)=1,AND(INDEX(DarlTilgStart,13)&gt;0,$E5886&lt;INDEX(DarlTilgStart,13))),0,MIN(MAX(0,$K5886-$L5886),$J5886)))</f>
      </c>
      <c r="N5886" s="43">
        <f>IF($I5886=0,0,MIN(SUMIFS(SondBetrag,SondDarl,13,SondDatum,"&gt;="&amp;$E5886,SondDatum,"&lt;="&amp;EOMONTH($E5886,0)),$J5886-$M5886))</f>
      </c>
      <c r="O5886" s="43">
        <f>IF($I5886=0,0,INDEX(DarlErsatzRate,13))</f>
      </c>
      <c r="P5886" s="43">
        <f>IF($I5886=0,0,$Q5885*INDEX(DarlErsatzZins,13))</f>
      </c>
      <c r="Q5886" s="43">
        <f>IF($I5886=0,0,$Q5885+$P5886+$O5886)</f>
      </c>
      <c r="R5886" s="43">
        <f>IF($I5886=0,0,$J5886-$M5886-$N5886)</f>
      </c>
    </row>
    <row r="5887">
      <c r="A5887"/>
      <c r="B5887">
        <v>13</v>
      </c>
      <c r="C5887" s="43">
        <f>INDEX(DarlObj,13)</f>
      </c>
      <c r="D5887">
        <v>124</v>
      </c>
      <c r="E5887" s="51">
        <f>IF(INDEX(DarlBelegt,13)=0,0,EOMONTH(INDEX(DarlAuszahlung,13),123)+1)</f>
      </c>
      <c r="F5887" s="43">
        <f>IF($E5887=0,0,YEAR($E5887))</f>
      </c>
      <c r="G5887" s="43">
        <f>IF(INDEX(DarlBindung,13)="",1,IF($E5887&lt;=INDEX(DarlBindung,13),1,0))</f>
      </c>
      <c r="H5887" s="43">
        <f>IF($G5887=1,INDEX(DarlSollzins,13),INDEX(DarlAnschluss,13))</f>
      </c>
      <c r="I5887" s="43">
        <f>IF(INDEX(DarlBelegt,13)=0,0,IF(INDEX(DarlOhneTilgung,13)=1,IF(INDEX(DarlBindung,13)="",1,$G5887),IF($J5887&gt;0.005,1,0)))</f>
      </c>
      <c r="J5887" s="43">
        <f>IF($I5886=0,0,$R5886)</f>
      </c>
      <c r="K5887" s="43">
        <f>IF($I5887=0,0,IF(INDEX(DarlOhneTilgung,13)=1,0,IF(AND(INDEX(DarlTilgStart,13)&gt;0,$E5887=INDEX(DarlTilgStart,13)),$J5887*($H5887+INDEX(DarlTilgung,13))/100/12,IF(AND($G5887=0,$G5886=1),MAX($K5886,$J5887*($H5887+1)/100/12),$K5886))))</f>
      </c>
      <c r="L5887" s="43">
        <f>IF($I5887=0,0,$J5887*$H5887/100/12)</f>
      </c>
      <c r="M5887" s="43">
        <f>IF($I5887=0,0,IF(OR(INDEX(DarlOhneTilgung,13)=1,AND(INDEX(DarlTilgStart,13)&gt;0,$E5887&lt;INDEX(DarlTilgStart,13))),0,MIN(MAX(0,$K5887-$L5887),$J5887)))</f>
      </c>
      <c r="N5887" s="43">
        <f>IF($I5887=0,0,MIN(SUMIFS(SondBetrag,SondDarl,13,SondDatum,"&gt;="&amp;$E5887,SondDatum,"&lt;="&amp;EOMONTH($E5887,0)),$J5887-$M5887))</f>
      </c>
      <c r="O5887" s="43">
        <f>IF($I5887=0,0,INDEX(DarlErsatzRate,13))</f>
      </c>
      <c r="P5887" s="43">
        <f>IF($I5887=0,0,$Q5886*INDEX(DarlErsatzZins,13))</f>
      </c>
      <c r="Q5887" s="43">
        <f>IF($I5887=0,0,$Q5886+$P5887+$O5887)</f>
      </c>
      <c r="R5887" s="43">
        <f>IF($I5887=0,0,$J5887-$M5887-$N5887)</f>
      </c>
    </row>
    <row r="5888">
      <c r="A5888"/>
      <c r="B5888">
        <v>13</v>
      </c>
      <c r="C5888" s="43">
        <f>INDEX(DarlObj,13)</f>
      </c>
      <c r="D5888">
        <v>125</v>
      </c>
      <c r="E5888" s="51">
        <f>IF(INDEX(DarlBelegt,13)=0,0,EOMONTH(INDEX(DarlAuszahlung,13),124)+1)</f>
      </c>
      <c r="F5888" s="43">
        <f>IF($E5888=0,0,YEAR($E5888))</f>
      </c>
      <c r="G5888" s="43">
        <f>IF(INDEX(DarlBindung,13)="",1,IF($E5888&lt;=INDEX(DarlBindung,13),1,0))</f>
      </c>
      <c r="H5888" s="43">
        <f>IF($G5888=1,INDEX(DarlSollzins,13),INDEX(DarlAnschluss,13))</f>
      </c>
      <c r="I5888" s="43">
        <f>IF(INDEX(DarlBelegt,13)=0,0,IF(INDEX(DarlOhneTilgung,13)=1,IF(INDEX(DarlBindung,13)="",1,$G5888),IF($J5888&gt;0.005,1,0)))</f>
      </c>
      <c r="J5888" s="43">
        <f>IF($I5887=0,0,$R5887)</f>
      </c>
      <c r="K5888" s="43">
        <f>IF($I5888=0,0,IF(INDEX(DarlOhneTilgung,13)=1,0,IF(AND(INDEX(DarlTilgStart,13)&gt;0,$E5888=INDEX(DarlTilgStart,13)),$J5888*($H5888+INDEX(DarlTilgung,13))/100/12,IF(AND($G5888=0,$G5887=1),MAX($K5887,$J5888*($H5888+1)/100/12),$K5887))))</f>
      </c>
      <c r="L5888" s="43">
        <f>IF($I5888=0,0,$J5888*$H5888/100/12)</f>
      </c>
      <c r="M5888" s="43">
        <f>IF($I5888=0,0,IF(OR(INDEX(DarlOhneTilgung,13)=1,AND(INDEX(DarlTilgStart,13)&gt;0,$E5888&lt;INDEX(DarlTilgStart,13))),0,MIN(MAX(0,$K5888-$L5888),$J5888)))</f>
      </c>
      <c r="N5888" s="43">
        <f>IF($I5888=0,0,MIN(SUMIFS(SondBetrag,SondDarl,13,SondDatum,"&gt;="&amp;$E5888,SondDatum,"&lt;="&amp;EOMONTH($E5888,0)),$J5888-$M5888))</f>
      </c>
      <c r="O5888" s="43">
        <f>IF($I5888=0,0,INDEX(DarlErsatzRate,13))</f>
      </c>
      <c r="P5888" s="43">
        <f>IF($I5888=0,0,$Q5887*INDEX(DarlErsatzZins,13))</f>
      </c>
      <c r="Q5888" s="43">
        <f>IF($I5888=0,0,$Q5887+$P5888+$O5888)</f>
      </c>
      <c r="R5888" s="43">
        <f>IF($I5888=0,0,$J5888-$M5888-$N5888)</f>
      </c>
    </row>
    <row r="5889">
      <c r="A5889"/>
      <c r="B5889">
        <v>13</v>
      </c>
      <c r="C5889" s="43">
        <f>INDEX(DarlObj,13)</f>
      </c>
      <c r="D5889">
        <v>126</v>
      </c>
      <c r="E5889" s="51">
        <f>IF(INDEX(DarlBelegt,13)=0,0,EOMONTH(INDEX(DarlAuszahlung,13),125)+1)</f>
      </c>
      <c r="F5889" s="43">
        <f>IF($E5889=0,0,YEAR($E5889))</f>
      </c>
      <c r="G5889" s="43">
        <f>IF(INDEX(DarlBindung,13)="",1,IF($E5889&lt;=INDEX(DarlBindung,13),1,0))</f>
      </c>
      <c r="H5889" s="43">
        <f>IF($G5889=1,INDEX(DarlSollzins,13),INDEX(DarlAnschluss,13))</f>
      </c>
      <c r="I5889" s="43">
        <f>IF(INDEX(DarlBelegt,13)=0,0,IF(INDEX(DarlOhneTilgung,13)=1,IF(INDEX(DarlBindung,13)="",1,$G5889),IF($J5889&gt;0.005,1,0)))</f>
      </c>
      <c r="J5889" s="43">
        <f>IF($I5888=0,0,$R5888)</f>
      </c>
      <c r="K5889" s="43">
        <f>IF($I5889=0,0,IF(INDEX(DarlOhneTilgung,13)=1,0,IF(AND(INDEX(DarlTilgStart,13)&gt;0,$E5889=INDEX(DarlTilgStart,13)),$J5889*($H5889+INDEX(DarlTilgung,13))/100/12,IF(AND($G5889=0,$G5888=1),MAX($K5888,$J5889*($H5889+1)/100/12),$K5888))))</f>
      </c>
      <c r="L5889" s="43">
        <f>IF($I5889=0,0,$J5889*$H5889/100/12)</f>
      </c>
      <c r="M5889" s="43">
        <f>IF($I5889=0,0,IF(OR(INDEX(DarlOhneTilgung,13)=1,AND(INDEX(DarlTilgStart,13)&gt;0,$E5889&lt;INDEX(DarlTilgStart,13))),0,MIN(MAX(0,$K5889-$L5889),$J5889)))</f>
      </c>
      <c r="N5889" s="43">
        <f>IF($I5889=0,0,MIN(SUMIFS(SondBetrag,SondDarl,13,SondDatum,"&gt;="&amp;$E5889,SondDatum,"&lt;="&amp;EOMONTH($E5889,0)),$J5889-$M5889))</f>
      </c>
      <c r="O5889" s="43">
        <f>IF($I5889=0,0,INDEX(DarlErsatzRate,13))</f>
      </c>
      <c r="P5889" s="43">
        <f>IF($I5889=0,0,$Q5888*INDEX(DarlErsatzZins,13))</f>
      </c>
      <c r="Q5889" s="43">
        <f>IF($I5889=0,0,$Q5888+$P5889+$O5889)</f>
      </c>
      <c r="R5889" s="43">
        <f>IF($I5889=0,0,$J5889-$M5889-$N5889)</f>
      </c>
    </row>
    <row r="5890">
      <c r="A5890"/>
      <c r="B5890">
        <v>13</v>
      </c>
      <c r="C5890" s="43">
        <f>INDEX(DarlObj,13)</f>
      </c>
      <c r="D5890">
        <v>127</v>
      </c>
      <c r="E5890" s="51">
        <f>IF(INDEX(DarlBelegt,13)=0,0,EOMONTH(INDEX(DarlAuszahlung,13),126)+1)</f>
      </c>
      <c r="F5890" s="43">
        <f>IF($E5890=0,0,YEAR($E5890))</f>
      </c>
      <c r="G5890" s="43">
        <f>IF(INDEX(DarlBindung,13)="",1,IF($E5890&lt;=INDEX(DarlBindung,13),1,0))</f>
      </c>
      <c r="H5890" s="43">
        <f>IF($G5890=1,INDEX(DarlSollzins,13),INDEX(DarlAnschluss,13))</f>
      </c>
      <c r="I5890" s="43">
        <f>IF(INDEX(DarlBelegt,13)=0,0,IF(INDEX(DarlOhneTilgung,13)=1,IF(INDEX(DarlBindung,13)="",1,$G5890),IF($J5890&gt;0.005,1,0)))</f>
      </c>
      <c r="J5890" s="43">
        <f>IF($I5889=0,0,$R5889)</f>
      </c>
      <c r="K5890" s="43">
        <f>IF($I5890=0,0,IF(INDEX(DarlOhneTilgung,13)=1,0,IF(AND(INDEX(DarlTilgStart,13)&gt;0,$E5890=INDEX(DarlTilgStart,13)),$J5890*($H5890+INDEX(DarlTilgung,13))/100/12,IF(AND($G5890=0,$G5889=1),MAX($K5889,$J5890*($H5890+1)/100/12),$K5889))))</f>
      </c>
      <c r="L5890" s="43">
        <f>IF($I5890=0,0,$J5890*$H5890/100/12)</f>
      </c>
      <c r="M5890" s="43">
        <f>IF($I5890=0,0,IF(OR(INDEX(DarlOhneTilgung,13)=1,AND(INDEX(DarlTilgStart,13)&gt;0,$E5890&lt;INDEX(DarlTilgStart,13))),0,MIN(MAX(0,$K5890-$L5890),$J5890)))</f>
      </c>
      <c r="N5890" s="43">
        <f>IF($I5890=0,0,MIN(SUMIFS(SondBetrag,SondDarl,13,SondDatum,"&gt;="&amp;$E5890,SondDatum,"&lt;="&amp;EOMONTH($E5890,0)),$J5890-$M5890))</f>
      </c>
      <c r="O5890" s="43">
        <f>IF($I5890=0,0,INDEX(DarlErsatzRate,13))</f>
      </c>
      <c r="P5890" s="43">
        <f>IF($I5890=0,0,$Q5889*INDEX(DarlErsatzZins,13))</f>
      </c>
      <c r="Q5890" s="43">
        <f>IF($I5890=0,0,$Q5889+$P5890+$O5890)</f>
      </c>
      <c r="R5890" s="43">
        <f>IF($I5890=0,0,$J5890-$M5890-$N5890)</f>
      </c>
    </row>
    <row r="5891">
      <c r="A5891"/>
      <c r="B5891">
        <v>13</v>
      </c>
      <c r="C5891" s="43">
        <f>INDEX(DarlObj,13)</f>
      </c>
      <c r="D5891">
        <v>128</v>
      </c>
      <c r="E5891" s="51">
        <f>IF(INDEX(DarlBelegt,13)=0,0,EOMONTH(INDEX(DarlAuszahlung,13),127)+1)</f>
      </c>
      <c r="F5891" s="43">
        <f>IF($E5891=0,0,YEAR($E5891))</f>
      </c>
      <c r="G5891" s="43">
        <f>IF(INDEX(DarlBindung,13)="",1,IF($E5891&lt;=INDEX(DarlBindung,13),1,0))</f>
      </c>
      <c r="H5891" s="43">
        <f>IF($G5891=1,INDEX(DarlSollzins,13),INDEX(DarlAnschluss,13))</f>
      </c>
      <c r="I5891" s="43">
        <f>IF(INDEX(DarlBelegt,13)=0,0,IF(INDEX(DarlOhneTilgung,13)=1,IF(INDEX(DarlBindung,13)="",1,$G5891),IF($J5891&gt;0.005,1,0)))</f>
      </c>
      <c r="J5891" s="43">
        <f>IF($I5890=0,0,$R5890)</f>
      </c>
      <c r="K5891" s="43">
        <f>IF($I5891=0,0,IF(INDEX(DarlOhneTilgung,13)=1,0,IF(AND(INDEX(DarlTilgStart,13)&gt;0,$E5891=INDEX(DarlTilgStart,13)),$J5891*($H5891+INDEX(DarlTilgung,13))/100/12,IF(AND($G5891=0,$G5890=1),MAX($K5890,$J5891*($H5891+1)/100/12),$K5890))))</f>
      </c>
      <c r="L5891" s="43">
        <f>IF($I5891=0,0,$J5891*$H5891/100/12)</f>
      </c>
      <c r="M5891" s="43">
        <f>IF($I5891=0,0,IF(OR(INDEX(DarlOhneTilgung,13)=1,AND(INDEX(DarlTilgStart,13)&gt;0,$E5891&lt;INDEX(DarlTilgStart,13))),0,MIN(MAX(0,$K5891-$L5891),$J5891)))</f>
      </c>
      <c r="N5891" s="43">
        <f>IF($I5891=0,0,MIN(SUMIFS(SondBetrag,SondDarl,13,SondDatum,"&gt;="&amp;$E5891,SondDatum,"&lt;="&amp;EOMONTH($E5891,0)),$J5891-$M5891))</f>
      </c>
      <c r="O5891" s="43">
        <f>IF($I5891=0,0,INDEX(DarlErsatzRate,13))</f>
      </c>
      <c r="P5891" s="43">
        <f>IF($I5891=0,0,$Q5890*INDEX(DarlErsatzZins,13))</f>
      </c>
      <c r="Q5891" s="43">
        <f>IF($I5891=0,0,$Q5890+$P5891+$O5891)</f>
      </c>
      <c r="R5891" s="43">
        <f>IF($I5891=0,0,$J5891-$M5891-$N5891)</f>
      </c>
    </row>
    <row r="5892">
      <c r="A5892"/>
      <c r="B5892">
        <v>13</v>
      </c>
      <c r="C5892" s="43">
        <f>INDEX(DarlObj,13)</f>
      </c>
      <c r="D5892">
        <v>129</v>
      </c>
      <c r="E5892" s="51">
        <f>IF(INDEX(DarlBelegt,13)=0,0,EOMONTH(INDEX(DarlAuszahlung,13),128)+1)</f>
      </c>
      <c r="F5892" s="43">
        <f>IF($E5892=0,0,YEAR($E5892))</f>
      </c>
      <c r="G5892" s="43">
        <f>IF(INDEX(DarlBindung,13)="",1,IF($E5892&lt;=INDEX(DarlBindung,13),1,0))</f>
      </c>
      <c r="H5892" s="43">
        <f>IF($G5892=1,INDEX(DarlSollzins,13),INDEX(DarlAnschluss,13))</f>
      </c>
      <c r="I5892" s="43">
        <f>IF(INDEX(DarlBelegt,13)=0,0,IF(INDEX(DarlOhneTilgung,13)=1,IF(INDEX(DarlBindung,13)="",1,$G5892),IF($J5892&gt;0.005,1,0)))</f>
      </c>
      <c r="J5892" s="43">
        <f>IF($I5891=0,0,$R5891)</f>
      </c>
      <c r="K5892" s="43">
        <f>IF($I5892=0,0,IF(INDEX(DarlOhneTilgung,13)=1,0,IF(AND(INDEX(DarlTilgStart,13)&gt;0,$E5892=INDEX(DarlTilgStart,13)),$J5892*($H5892+INDEX(DarlTilgung,13))/100/12,IF(AND($G5892=0,$G5891=1),MAX($K5891,$J5892*($H5892+1)/100/12),$K5891))))</f>
      </c>
      <c r="L5892" s="43">
        <f>IF($I5892=0,0,$J5892*$H5892/100/12)</f>
      </c>
      <c r="M5892" s="43">
        <f>IF($I5892=0,0,IF(OR(INDEX(DarlOhneTilgung,13)=1,AND(INDEX(DarlTilgStart,13)&gt;0,$E5892&lt;INDEX(DarlTilgStart,13))),0,MIN(MAX(0,$K5892-$L5892),$J5892)))</f>
      </c>
      <c r="N5892" s="43">
        <f>IF($I5892=0,0,MIN(SUMIFS(SondBetrag,SondDarl,13,SondDatum,"&gt;="&amp;$E5892,SondDatum,"&lt;="&amp;EOMONTH($E5892,0)),$J5892-$M5892))</f>
      </c>
      <c r="O5892" s="43">
        <f>IF($I5892=0,0,INDEX(DarlErsatzRate,13))</f>
      </c>
      <c r="P5892" s="43">
        <f>IF($I5892=0,0,$Q5891*INDEX(DarlErsatzZins,13))</f>
      </c>
      <c r="Q5892" s="43">
        <f>IF($I5892=0,0,$Q5891+$P5892+$O5892)</f>
      </c>
      <c r="R5892" s="43">
        <f>IF($I5892=0,0,$J5892-$M5892-$N5892)</f>
      </c>
    </row>
    <row r="5893">
      <c r="A5893"/>
      <c r="B5893">
        <v>13</v>
      </c>
      <c r="C5893" s="43">
        <f>INDEX(DarlObj,13)</f>
      </c>
      <c r="D5893">
        <v>130</v>
      </c>
      <c r="E5893" s="51">
        <f>IF(INDEX(DarlBelegt,13)=0,0,EOMONTH(INDEX(DarlAuszahlung,13),129)+1)</f>
      </c>
      <c r="F5893" s="43">
        <f>IF($E5893=0,0,YEAR($E5893))</f>
      </c>
      <c r="G5893" s="43">
        <f>IF(INDEX(DarlBindung,13)="",1,IF($E5893&lt;=INDEX(DarlBindung,13),1,0))</f>
      </c>
      <c r="H5893" s="43">
        <f>IF($G5893=1,INDEX(DarlSollzins,13),INDEX(DarlAnschluss,13))</f>
      </c>
      <c r="I5893" s="43">
        <f>IF(INDEX(DarlBelegt,13)=0,0,IF(INDEX(DarlOhneTilgung,13)=1,IF(INDEX(DarlBindung,13)="",1,$G5893),IF($J5893&gt;0.005,1,0)))</f>
      </c>
      <c r="J5893" s="43">
        <f>IF($I5892=0,0,$R5892)</f>
      </c>
      <c r="K5893" s="43">
        <f>IF($I5893=0,0,IF(INDEX(DarlOhneTilgung,13)=1,0,IF(AND(INDEX(DarlTilgStart,13)&gt;0,$E5893=INDEX(DarlTilgStart,13)),$J5893*($H5893+INDEX(DarlTilgung,13))/100/12,IF(AND($G5893=0,$G5892=1),MAX($K5892,$J5893*($H5893+1)/100/12),$K5892))))</f>
      </c>
      <c r="L5893" s="43">
        <f>IF($I5893=0,0,$J5893*$H5893/100/12)</f>
      </c>
      <c r="M5893" s="43">
        <f>IF($I5893=0,0,IF(OR(INDEX(DarlOhneTilgung,13)=1,AND(INDEX(DarlTilgStart,13)&gt;0,$E5893&lt;INDEX(DarlTilgStart,13))),0,MIN(MAX(0,$K5893-$L5893),$J5893)))</f>
      </c>
      <c r="N5893" s="43">
        <f>IF($I5893=0,0,MIN(SUMIFS(SondBetrag,SondDarl,13,SondDatum,"&gt;="&amp;$E5893,SondDatum,"&lt;="&amp;EOMONTH($E5893,0)),$J5893-$M5893))</f>
      </c>
      <c r="O5893" s="43">
        <f>IF($I5893=0,0,INDEX(DarlErsatzRate,13))</f>
      </c>
      <c r="P5893" s="43">
        <f>IF($I5893=0,0,$Q5892*INDEX(DarlErsatzZins,13))</f>
      </c>
      <c r="Q5893" s="43">
        <f>IF($I5893=0,0,$Q5892+$P5893+$O5893)</f>
      </c>
      <c r="R5893" s="43">
        <f>IF($I5893=0,0,$J5893-$M5893-$N5893)</f>
      </c>
    </row>
    <row r="5894">
      <c r="A5894"/>
      <c r="B5894">
        <v>13</v>
      </c>
      <c r="C5894" s="43">
        <f>INDEX(DarlObj,13)</f>
      </c>
      <c r="D5894">
        <v>131</v>
      </c>
      <c r="E5894" s="51">
        <f>IF(INDEX(DarlBelegt,13)=0,0,EOMONTH(INDEX(DarlAuszahlung,13),130)+1)</f>
      </c>
      <c r="F5894" s="43">
        <f>IF($E5894=0,0,YEAR($E5894))</f>
      </c>
      <c r="G5894" s="43">
        <f>IF(INDEX(DarlBindung,13)="",1,IF($E5894&lt;=INDEX(DarlBindung,13),1,0))</f>
      </c>
      <c r="H5894" s="43">
        <f>IF($G5894=1,INDEX(DarlSollzins,13),INDEX(DarlAnschluss,13))</f>
      </c>
      <c r="I5894" s="43">
        <f>IF(INDEX(DarlBelegt,13)=0,0,IF(INDEX(DarlOhneTilgung,13)=1,IF(INDEX(DarlBindung,13)="",1,$G5894),IF($J5894&gt;0.005,1,0)))</f>
      </c>
      <c r="J5894" s="43">
        <f>IF($I5893=0,0,$R5893)</f>
      </c>
      <c r="K5894" s="43">
        <f>IF($I5894=0,0,IF(INDEX(DarlOhneTilgung,13)=1,0,IF(AND(INDEX(DarlTilgStart,13)&gt;0,$E5894=INDEX(DarlTilgStart,13)),$J5894*($H5894+INDEX(DarlTilgung,13))/100/12,IF(AND($G5894=0,$G5893=1),MAX($K5893,$J5894*($H5894+1)/100/12),$K5893))))</f>
      </c>
      <c r="L5894" s="43">
        <f>IF($I5894=0,0,$J5894*$H5894/100/12)</f>
      </c>
      <c r="M5894" s="43">
        <f>IF($I5894=0,0,IF(OR(INDEX(DarlOhneTilgung,13)=1,AND(INDEX(DarlTilgStart,13)&gt;0,$E5894&lt;INDEX(DarlTilgStart,13))),0,MIN(MAX(0,$K5894-$L5894),$J5894)))</f>
      </c>
      <c r="N5894" s="43">
        <f>IF($I5894=0,0,MIN(SUMIFS(SondBetrag,SondDarl,13,SondDatum,"&gt;="&amp;$E5894,SondDatum,"&lt;="&amp;EOMONTH($E5894,0)),$J5894-$M5894))</f>
      </c>
      <c r="O5894" s="43">
        <f>IF($I5894=0,0,INDEX(DarlErsatzRate,13))</f>
      </c>
      <c r="P5894" s="43">
        <f>IF($I5894=0,0,$Q5893*INDEX(DarlErsatzZins,13))</f>
      </c>
      <c r="Q5894" s="43">
        <f>IF($I5894=0,0,$Q5893+$P5894+$O5894)</f>
      </c>
      <c r="R5894" s="43">
        <f>IF($I5894=0,0,$J5894-$M5894-$N5894)</f>
      </c>
    </row>
    <row r="5895">
      <c r="A5895"/>
      <c r="B5895">
        <v>13</v>
      </c>
      <c r="C5895" s="43">
        <f>INDEX(DarlObj,13)</f>
      </c>
      <c r="D5895">
        <v>132</v>
      </c>
      <c r="E5895" s="51">
        <f>IF(INDEX(DarlBelegt,13)=0,0,EOMONTH(INDEX(DarlAuszahlung,13),131)+1)</f>
      </c>
      <c r="F5895" s="43">
        <f>IF($E5895=0,0,YEAR($E5895))</f>
      </c>
      <c r="G5895" s="43">
        <f>IF(INDEX(DarlBindung,13)="",1,IF($E5895&lt;=INDEX(DarlBindung,13),1,0))</f>
      </c>
      <c r="H5895" s="43">
        <f>IF($G5895=1,INDEX(DarlSollzins,13),INDEX(DarlAnschluss,13))</f>
      </c>
      <c r="I5895" s="43">
        <f>IF(INDEX(DarlBelegt,13)=0,0,IF(INDEX(DarlOhneTilgung,13)=1,IF(INDEX(DarlBindung,13)="",1,$G5895),IF($J5895&gt;0.005,1,0)))</f>
      </c>
      <c r="J5895" s="43">
        <f>IF($I5894=0,0,$R5894)</f>
      </c>
      <c r="K5895" s="43">
        <f>IF($I5895=0,0,IF(INDEX(DarlOhneTilgung,13)=1,0,IF(AND(INDEX(DarlTilgStart,13)&gt;0,$E5895=INDEX(DarlTilgStart,13)),$J5895*($H5895+INDEX(DarlTilgung,13))/100/12,IF(AND($G5895=0,$G5894=1),MAX($K5894,$J5895*($H5895+1)/100/12),$K5894))))</f>
      </c>
      <c r="L5895" s="43">
        <f>IF($I5895=0,0,$J5895*$H5895/100/12)</f>
      </c>
      <c r="M5895" s="43">
        <f>IF($I5895=0,0,IF(OR(INDEX(DarlOhneTilgung,13)=1,AND(INDEX(DarlTilgStart,13)&gt;0,$E5895&lt;INDEX(DarlTilgStart,13))),0,MIN(MAX(0,$K5895-$L5895),$J5895)))</f>
      </c>
      <c r="N5895" s="43">
        <f>IF($I5895=0,0,MIN(SUMIFS(SondBetrag,SondDarl,13,SondDatum,"&gt;="&amp;$E5895,SondDatum,"&lt;="&amp;EOMONTH($E5895,0)),$J5895-$M5895))</f>
      </c>
      <c r="O5895" s="43">
        <f>IF($I5895=0,0,INDEX(DarlErsatzRate,13))</f>
      </c>
      <c r="P5895" s="43">
        <f>IF($I5895=0,0,$Q5894*INDEX(DarlErsatzZins,13))</f>
      </c>
      <c r="Q5895" s="43">
        <f>IF($I5895=0,0,$Q5894+$P5895+$O5895)</f>
      </c>
      <c r="R5895" s="43">
        <f>IF($I5895=0,0,$J5895-$M5895-$N5895)</f>
      </c>
    </row>
    <row r="5896">
      <c r="A5896"/>
      <c r="B5896">
        <v>13</v>
      </c>
      <c r="C5896" s="43">
        <f>INDEX(DarlObj,13)</f>
      </c>
      <c r="D5896">
        <v>133</v>
      </c>
      <c r="E5896" s="51">
        <f>IF(INDEX(DarlBelegt,13)=0,0,EOMONTH(INDEX(DarlAuszahlung,13),132)+1)</f>
      </c>
      <c r="F5896" s="43">
        <f>IF($E5896=0,0,YEAR($E5896))</f>
      </c>
      <c r="G5896" s="43">
        <f>IF(INDEX(DarlBindung,13)="",1,IF($E5896&lt;=INDEX(DarlBindung,13),1,0))</f>
      </c>
      <c r="H5896" s="43">
        <f>IF($G5896=1,INDEX(DarlSollzins,13),INDEX(DarlAnschluss,13))</f>
      </c>
      <c r="I5896" s="43">
        <f>IF(INDEX(DarlBelegt,13)=0,0,IF(INDEX(DarlOhneTilgung,13)=1,IF(INDEX(DarlBindung,13)="",1,$G5896),IF($J5896&gt;0.005,1,0)))</f>
      </c>
      <c r="J5896" s="43">
        <f>IF($I5895=0,0,$R5895)</f>
      </c>
      <c r="K5896" s="43">
        <f>IF($I5896=0,0,IF(INDEX(DarlOhneTilgung,13)=1,0,IF(AND(INDEX(DarlTilgStart,13)&gt;0,$E5896=INDEX(DarlTilgStart,13)),$J5896*($H5896+INDEX(DarlTilgung,13))/100/12,IF(AND($G5896=0,$G5895=1),MAX($K5895,$J5896*($H5896+1)/100/12),$K5895))))</f>
      </c>
      <c r="L5896" s="43">
        <f>IF($I5896=0,0,$J5896*$H5896/100/12)</f>
      </c>
      <c r="M5896" s="43">
        <f>IF($I5896=0,0,IF(OR(INDEX(DarlOhneTilgung,13)=1,AND(INDEX(DarlTilgStart,13)&gt;0,$E5896&lt;INDEX(DarlTilgStart,13))),0,MIN(MAX(0,$K5896-$L5896),$J5896)))</f>
      </c>
      <c r="N5896" s="43">
        <f>IF($I5896=0,0,MIN(SUMIFS(SondBetrag,SondDarl,13,SondDatum,"&gt;="&amp;$E5896,SondDatum,"&lt;="&amp;EOMONTH($E5896,0)),$J5896-$M5896))</f>
      </c>
      <c r="O5896" s="43">
        <f>IF($I5896=0,0,INDEX(DarlErsatzRate,13))</f>
      </c>
      <c r="P5896" s="43">
        <f>IF($I5896=0,0,$Q5895*INDEX(DarlErsatzZins,13))</f>
      </c>
      <c r="Q5896" s="43">
        <f>IF($I5896=0,0,$Q5895+$P5896+$O5896)</f>
      </c>
      <c r="R5896" s="43">
        <f>IF($I5896=0,0,$J5896-$M5896-$N5896)</f>
      </c>
    </row>
    <row r="5897">
      <c r="A5897"/>
      <c r="B5897">
        <v>13</v>
      </c>
      <c r="C5897" s="43">
        <f>INDEX(DarlObj,13)</f>
      </c>
      <c r="D5897">
        <v>134</v>
      </c>
      <c r="E5897" s="51">
        <f>IF(INDEX(DarlBelegt,13)=0,0,EOMONTH(INDEX(DarlAuszahlung,13),133)+1)</f>
      </c>
      <c r="F5897" s="43">
        <f>IF($E5897=0,0,YEAR($E5897))</f>
      </c>
      <c r="G5897" s="43">
        <f>IF(INDEX(DarlBindung,13)="",1,IF($E5897&lt;=INDEX(DarlBindung,13),1,0))</f>
      </c>
      <c r="H5897" s="43">
        <f>IF($G5897=1,INDEX(DarlSollzins,13),INDEX(DarlAnschluss,13))</f>
      </c>
      <c r="I5897" s="43">
        <f>IF(INDEX(DarlBelegt,13)=0,0,IF(INDEX(DarlOhneTilgung,13)=1,IF(INDEX(DarlBindung,13)="",1,$G5897),IF($J5897&gt;0.005,1,0)))</f>
      </c>
      <c r="J5897" s="43">
        <f>IF($I5896=0,0,$R5896)</f>
      </c>
      <c r="K5897" s="43">
        <f>IF($I5897=0,0,IF(INDEX(DarlOhneTilgung,13)=1,0,IF(AND(INDEX(DarlTilgStart,13)&gt;0,$E5897=INDEX(DarlTilgStart,13)),$J5897*($H5897+INDEX(DarlTilgung,13))/100/12,IF(AND($G5897=0,$G5896=1),MAX($K5896,$J5897*($H5897+1)/100/12),$K5896))))</f>
      </c>
      <c r="L5897" s="43">
        <f>IF($I5897=0,0,$J5897*$H5897/100/12)</f>
      </c>
      <c r="M5897" s="43">
        <f>IF($I5897=0,0,IF(OR(INDEX(DarlOhneTilgung,13)=1,AND(INDEX(DarlTilgStart,13)&gt;0,$E5897&lt;INDEX(DarlTilgStart,13))),0,MIN(MAX(0,$K5897-$L5897),$J5897)))</f>
      </c>
      <c r="N5897" s="43">
        <f>IF($I5897=0,0,MIN(SUMIFS(SondBetrag,SondDarl,13,SondDatum,"&gt;="&amp;$E5897,SondDatum,"&lt;="&amp;EOMONTH($E5897,0)),$J5897-$M5897))</f>
      </c>
      <c r="O5897" s="43">
        <f>IF($I5897=0,0,INDEX(DarlErsatzRate,13))</f>
      </c>
      <c r="P5897" s="43">
        <f>IF($I5897=0,0,$Q5896*INDEX(DarlErsatzZins,13))</f>
      </c>
      <c r="Q5897" s="43">
        <f>IF($I5897=0,0,$Q5896+$P5897+$O5897)</f>
      </c>
      <c r="R5897" s="43">
        <f>IF($I5897=0,0,$J5897-$M5897-$N5897)</f>
      </c>
    </row>
    <row r="5898">
      <c r="A5898"/>
      <c r="B5898">
        <v>13</v>
      </c>
      <c r="C5898" s="43">
        <f>INDEX(DarlObj,13)</f>
      </c>
      <c r="D5898">
        <v>135</v>
      </c>
      <c r="E5898" s="51">
        <f>IF(INDEX(DarlBelegt,13)=0,0,EOMONTH(INDEX(DarlAuszahlung,13),134)+1)</f>
      </c>
      <c r="F5898" s="43">
        <f>IF($E5898=0,0,YEAR($E5898))</f>
      </c>
      <c r="G5898" s="43">
        <f>IF(INDEX(DarlBindung,13)="",1,IF($E5898&lt;=INDEX(DarlBindung,13),1,0))</f>
      </c>
      <c r="H5898" s="43">
        <f>IF($G5898=1,INDEX(DarlSollzins,13),INDEX(DarlAnschluss,13))</f>
      </c>
      <c r="I5898" s="43">
        <f>IF(INDEX(DarlBelegt,13)=0,0,IF(INDEX(DarlOhneTilgung,13)=1,IF(INDEX(DarlBindung,13)="",1,$G5898),IF($J5898&gt;0.005,1,0)))</f>
      </c>
      <c r="J5898" s="43">
        <f>IF($I5897=0,0,$R5897)</f>
      </c>
      <c r="K5898" s="43">
        <f>IF($I5898=0,0,IF(INDEX(DarlOhneTilgung,13)=1,0,IF(AND(INDEX(DarlTilgStart,13)&gt;0,$E5898=INDEX(DarlTilgStart,13)),$J5898*($H5898+INDEX(DarlTilgung,13))/100/12,IF(AND($G5898=0,$G5897=1),MAX($K5897,$J5898*($H5898+1)/100/12),$K5897))))</f>
      </c>
      <c r="L5898" s="43">
        <f>IF($I5898=0,0,$J5898*$H5898/100/12)</f>
      </c>
      <c r="M5898" s="43">
        <f>IF($I5898=0,0,IF(OR(INDEX(DarlOhneTilgung,13)=1,AND(INDEX(DarlTilgStart,13)&gt;0,$E5898&lt;INDEX(DarlTilgStart,13))),0,MIN(MAX(0,$K5898-$L5898),$J5898)))</f>
      </c>
      <c r="N5898" s="43">
        <f>IF($I5898=0,0,MIN(SUMIFS(SondBetrag,SondDarl,13,SondDatum,"&gt;="&amp;$E5898,SondDatum,"&lt;="&amp;EOMONTH($E5898,0)),$J5898-$M5898))</f>
      </c>
      <c r="O5898" s="43">
        <f>IF($I5898=0,0,INDEX(DarlErsatzRate,13))</f>
      </c>
      <c r="P5898" s="43">
        <f>IF($I5898=0,0,$Q5897*INDEX(DarlErsatzZins,13))</f>
      </c>
      <c r="Q5898" s="43">
        <f>IF($I5898=0,0,$Q5897+$P5898+$O5898)</f>
      </c>
      <c r="R5898" s="43">
        <f>IF($I5898=0,0,$J5898-$M5898-$N5898)</f>
      </c>
    </row>
    <row r="5899">
      <c r="A5899"/>
      <c r="B5899">
        <v>13</v>
      </c>
      <c r="C5899" s="43">
        <f>INDEX(DarlObj,13)</f>
      </c>
      <c r="D5899">
        <v>136</v>
      </c>
      <c r="E5899" s="51">
        <f>IF(INDEX(DarlBelegt,13)=0,0,EOMONTH(INDEX(DarlAuszahlung,13),135)+1)</f>
      </c>
      <c r="F5899" s="43">
        <f>IF($E5899=0,0,YEAR($E5899))</f>
      </c>
      <c r="G5899" s="43">
        <f>IF(INDEX(DarlBindung,13)="",1,IF($E5899&lt;=INDEX(DarlBindung,13),1,0))</f>
      </c>
      <c r="H5899" s="43">
        <f>IF($G5899=1,INDEX(DarlSollzins,13),INDEX(DarlAnschluss,13))</f>
      </c>
      <c r="I5899" s="43">
        <f>IF(INDEX(DarlBelegt,13)=0,0,IF(INDEX(DarlOhneTilgung,13)=1,IF(INDEX(DarlBindung,13)="",1,$G5899),IF($J5899&gt;0.005,1,0)))</f>
      </c>
      <c r="J5899" s="43">
        <f>IF($I5898=0,0,$R5898)</f>
      </c>
      <c r="K5899" s="43">
        <f>IF($I5899=0,0,IF(INDEX(DarlOhneTilgung,13)=1,0,IF(AND(INDEX(DarlTilgStart,13)&gt;0,$E5899=INDEX(DarlTilgStart,13)),$J5899*($H5899+INDEX(DarlTilgung,13))/100/12,IF(AND($G5899=0,$G5898=1),MAX($K5898,$J5899*($H5899+1)/100/12),$K5898))))</f>
      </c>
      <c r="L5899" s="43">
        <f>IF($I5899=0,0,$J5899*$H5899/100/12)</f>
      </c>
      <c r="M5899" s="43">
        <f>IF($I5899=0,0,IF(OR(INDEX(DarlOhneTilgung,13)=1,AND(INDEX(DarlTilgStart,13)&gt;0,$E5899&lt;INDEX(DarlTilgStart,13))),0,MIN(MAX(0,$K5899-$L5899),$J5899)))</f>
      </c>
      <c r="N5899" s="43">
        <f>IF($I5899=0,0,MIN(SUMIFS(SondBetrag,SondDarl,13,SondDatum,"&gt;="&amp;$E5899,SondDatum,"&lt;="&amp;EOMONTH($E5899,0)),$J5899-$M5899))</f>
      </c>
      <c r="O5899" s="43">
        <f>IF($I5899=0,0,INDEX(DarlErsatzRate,13))</f>
      </c>
      <c r="P5899" s="43">
        <f>IF($I5899=0,0,$Q5898*INDEX(DarlErsatzZins,13))</f>
      </c>
      <c r="Q5899" s="43">
        <f>IF($I5899=0,0,$Q5898+$P5899+$O5899)</f>
      </c>
      <c r="R5899" s="43">
        <f>IF($I5899=0,0,$J5899-$M5899-$N5899)</f>
      </c>
    </row>
    <row r="5900">
      <c r="A5900"/>
      <c r="B5900">
        <v>13</v>
      </c>
      <c r="C5900" s="43">
        <f>INDEX(DarlObj,13)</f>
      </c>
      <c r="D5900">
        <v>137</v>
      </c>
      <c r="E5900" s="51">
        <f>IF(INDEX(DarlBelegt,13)=0,0,EOMONTH(INDEX(DarlAuszahlung,13),136)+1)</f>
      </c>
      <c r="F5900" s="43">
        <f>IF($E5900=0,0,YEAR($E5900))</f>
      </c>
      <c r="G5900" s="43">
        <f>IF(INDEX(DarlBindung,13)="",1,IF($E5900&lt;=INDEX(DarlBindung,13),1,0))</f>
      </c>
      <c r="H5900" s="43">
        <f>IF($G5900=1,INDEX(DarlSollzins,13),INDEX(DarlAnschluss,13))</f>
      </c>
      <c r="I5900" s="43">
        <f>IF(INDEX(DarlBelegt,13)=0,0,IF(INDEX(DarlOhneTilgung,13)=1,IF(INDEX(DarlBindung,13)="",1,$G5900),IF($J5900&gt;0.005,1,0)))</f>
      </c>
      <c r="J5900" s="43">
        <f>IF($I5899=0,0,$R5899)</f>
      </c>
      <c r="K5900" s="43">
        <f>IF($I5900=0,0,IF(INDEX(DarlOhneTilgung,13)=1,0,IF(AND(INDEX(DarlTilgStart,13)&gt;0,$E5900=INDEX(DarlTilgStart,13)),$J5900*($H5900+INDEX(DarlTilgung,13))/100/12,IF(AND($G5900=0,$G5899=1),MAX($K5899,$J5900*($H5900+1)/100/12),$K5899))))</f>
      </c>
      <c r="L5900" s="43">
        <f>IF($I5900=0,0,$J5900*$H5900/100/12)</f>
      </c>
      <c r="M5900" s="43">
        <f>IF($I5900=0,0,IF(OR(INDEX(DarlOhneTilgung,13)=1,AND(INDEX(DarlTilgStart,13)&gt;0,$E5900&lt;INDEX(DarlTilgStart,13))),0,MIN(MAX(0,$K5900-$L5900),$J5900)))</f>
      </c>
      <c r="N5900" s="43">
        <f>IF($I5900=0,0,MIN(SUMIFS(SondBetrag,SondDarl,13,SondDatum,"&gt;="&amp;$E5900,SondDatum,"&lt;="&amp;EOMONTH($E5900,0)),$J5900-$M5900))</f>
      </c>
      <c r="O5900" s="43">
        <f>IF($I5900=0,0,INDEX(DarlErsatzRate,13))</f>
      </c>
      <c r="P5900" s="43">
        <f>IF($I5900=0,0,$Q5899*INDEX(DarlErsatzZins,13))</f>
      </c>
      <c r="Q5900" s="43">
        <f>IF($I5900=0,0,$Q5899+$P5900+$O5900)</f>
      </c>
      <c r="R5900" s="43">
        <f>IF($I5900=0,0,$J5900-$M5900-$N5900)</f>
      </c>
    </row>
    <row r="5901">
      <c r="A5901"/>
      <c r="B5901">
        <v>13</v>
      </c>
      <c r="C5901" s="43">
        <f>INDEX(DarlObj,13)</f>
      </c>
      <c r="D5901">
        <v>138</v>
      </c>
      <c r="E5901" s="51">
        <f>IF(INDEX(DarlBelegt,13)=0,0,EOMONTH(INDEX(DarlAuszahlung,13),137)+1)</f>
      </c>
      <c r="F5901" s="43">
        <f>IF($E5901=0,0,YEAR($E5901))</f>
      </c>
      <c r="G5901" s="43">
        <f>IF(INDEX(DarlBindung,13)="",1,IF($E5901&lt;=INDEX(DarlBindung,13),1,0))</f>
      </c>
      <c r="H5901" s="43">
        <f>IF($G5901=1,INDEX(DarlSollzins,13),INDEX(DarlAnschluss,13))</f>
      </c>
      <c r="I5901" s="43">
        <f>IF(INDEX(DarlBelegt,13)=0,0,IF(INDEX(DarlOhneTilgung,13)=1,IF(INDEX(DarlBindung,13)="",1,$G5901),IF($J5901&gt;0.005,1,0)))</f>
      </c>
      <c r="J5901" s="43">
        <f>IF($I5900=0,0,$R5900)</f>
      </c>
      <c r="K5901" s="43">
        <f>IF($I5901=0,0,IF(INDEX(DarlOhneTilgung,13)=1,0,IF(AND(INDEX(DarlTilgStart,13)&gt;0,$E5901=INDEX(DarlTilgStart,13)),$J5901*($H5901+INDEX(DarlTilgung,13))/100/12,IF(AND($G5901=0,$G5900=1),MAX($K5900,$J5901*($H5901+1)/100/12),$K5900))))</f>
      </c>
      <c r="L5901" s="43">
        <f>IF($I5901=0,0,$J5901*$H5901/100/12)</f>
      </c>
      <c r="M5901" s="43">
        <f>IF($I5901=0,0,IF(OR(INDEX(DarlOhneTilgung,13)=1,AND(INDEX(DarlTilgStart,13)&gt;0,$E5901&lt;INDEX(DarlTilgStart,13))),0,MIN(MAX(0,$K5901-$L5901),$J5901)))</f>
      </c>
      <c r="N5901" s="43">
        <f>IF($I5901=0,0,MIN(SUMIFS(SondBetrag,SondDarl,13,SondDatum,"&gt;="&amp;$E5901,SondDatum,"&lt;="&amp;EOMONTH($E5901,0)),$J5901-$M5901))</f>
      </c>
      <c r="O5901" s="43">
        <f>IF($I5901=0,0,INDEX(DarlErsatzRate,13))</f>
      </c>
      <c r="P5901" s="43">
        <f>IF($I5901=0,0,$Q5900*INDEX(DarlErsatzZins,13))</f>
      </c>
      <c r="Q5901" s="43">
        <f>IF($I5901=0,0,$Q5900+$P5901+$O5901)</f>
      </c>
      <c r="R5901" s="43">
        <f>IF($I5901=0,0,$J5901-$M5901-$N5901)</f>
      </c>
    </row>
    <row r="5902">
      <c r="A5902"/>
      <c r="B5902">
        <v>13</v>
      </c>
      <c r="C5902" s="43">
        <f>INDEX(DarlObj,13)</f>
      </c>
      <c r="D5902">
        <v>139</v>
      </c>
      <c r="E5902" s="51">
        <f>IF(INDEX(DarlBelegt,13)=0,0,EOMONTH(INDEX(DarlAuszahlung,13),138)+1)</f>
      </c>
      <c r="F5902" s="43">
        <f>IF($E5902=0,0,YEAR($E5902))</f>
      </c>
      <c r="G5902" s="43">
        <f>IF(INDEX(DarlBindung,13)="",1,IF($E5902&lt;=INDEX(DarlBindung,13),1,0))</f>
      </c>
      <c r="H5902" s="43">
        <f>IF($G5902=1,INDEX(DarlSollzins,13),INDEX(DarlAnschluss,13))</f>
      </c>
      <c r="I5902" s="43">
        <f>IF(INDEX(DarlBelegt,13)=0,0,IF(INDEX(DarlOhneTilgung,13)=1,IF(INDEX(DarlBindung,13)="",1,$G5902),IF($J5902&gt;0.005,1,0)))</f>
      </c>
      <c r="J5902" s="43">
        <f>IF($I5901=0,0,$R5901)</f>
      </c>
      <c r="K5902" s="43">
        <f>IF($I5902=0,0,IF(INDEX(DarlOhneTilgung,13)=1,0,IF(AND(INDEX(DarlTilgStart,13)&gt;0,$E5902=INDEX(DarlTilgStart,13)),$J5902*($H5902+INDEX(DarlTilgung,13))/100/12,IF(AND($G5902=0,$G5901=1),MAX($K5901,$J5902*($H5902+1)/100/12),$K5901))))</f>
      </c>
      <c r="L5902" s="43">
        <f>IF($I5902=0,0,$J5902*$H5902/100/12)</f>
      </c>
      <c r="M5902" s="43">
        <f>IF($I5902=0,0,IF(OR(INDEX(DarlOhneTilgung,13)=1,AND(INDEX(DarlTilgStart,13)&gt;0,$E5902&lt;INDEX(DarlTilgStart,13))),0,MIN(MAX(0,$K5902-$L5902),$J5902)))</f>
      </c>
      <c r="N5902" s="43">
        <f>IF($I5902=0,0,MIN(SUMIFS(SondBetrag,SondDarl,13,SondDatum,"&gt;="&amp;$E5902,SondDatum,"&lt;="&amp;EOMONTH($E5902,0)),$J5902-$M5902))</f>
      </c>
      <c r="O5902" s="43">
        <f>IF($I5902=0,0,INDEX(DarlErsatzRate,13))</f>
      </c>
      <c r="P5902" s="43">
        <f>IF($I5902=0,0,$Q5901*INDEX(DarlErsatzZins,13))</f>
      </c>
      <c r="Q5902" s="43">
        <f>IF($I5902=0,0,$Q5901+$P5902+$O5902)</f>
      </c>
      <c r="R5902" s="43">
        <f>IF($I5902=0,0,$J5902-$M5902-$N5902)</f>
      </c>
    </row>
    <row r="5903">
      <c r="A5903"/>
      <c r="B5903">
        <v>13</v>
      </c>
      <c r="C5903" s="43">
        <f>INDEX(DarlObj,13)</f>
      </c>
      <c r="D5903">
        <v>140</v>
      </c>
      <c r="E5903" s="51">
        <f>IF(INDEX(DarlBelegt,13)=0,0,EOMONTH(INDEX(DarlAuszahlung,13),139)+1)</f>
      </c>
      <c r="F5903" s="43">
        <f>IF($E5903=0,0,YEAR($E5903))</f>
      </c>
      <c r="G5903" s="43">
        <f>IF(INDEX(DarlBindung,13)="",1,IF($E5903&lt;=INDEX(DarlBindung,13),1,0))</f>
      </c>
      <c r="H5903" s="43">
        <f>IF($G5903=1,INDEX(DarlSollzins,13),INDEX(DarlAnschluss,13))</f>
      </c>
      <c r="I5903" s="43">
        <f>IF(INDEX(DarlBelegt,13)=0,0,IF(INDEX(DarlOhneTilgung,13)=1,IF(INDEX(DarlBindung,13)="",1,$G5903),IF($J5903&gt;0.005,1,0)))</f>
      </c>
      <c r="J5903" s="43">
        <f>IF($I5902=0,0,$R5902)</f>
      </c>
      <c r="K5903" s="43">
        <f>IF($I5903=0,0,IF(INDEX(DarlOhneTilgung,13)=1,0,IF(AND(INDEX(DarlTilgStart,13)&gt;0,$E5903=INDEX(DarlTilgStart,13)),$J5903*($H5903+INDEX(DarlTilgung,13))/100/12,IF(AND($G5903=0,$G5902=1),MAX($K5902,$J5903*($H5903+1)/100/12),$K5902))))</f>
      </c>
      <c r="L5903" s="43">
        <f>IF($I5903=0,0,$J5903*$H5903/100/12)</f>
      </c>
      <c r="M5903" s="43">
        <f>IF($I5903=0,0,IF(OR(INDEX(DarlOhneTilgung,13)=1,AND(INDEX(DarlTilgStart,13)&gt;0,$E5903&lt;INDEX(DarlTilgStart,13))),0,MIN(MAX(0,$K5903-$L5903),$J5903)))</f>
      </c>
      <c r="N5903" s="43">
        <f>IF($I5903=0,0,MIN(SUMIFS(SondBetrag,SondDarl,13,SondDatum,"&gt;="&amp;$E5903,SondDatum,"&lt;="&amp;EOMONTH($E5903,0)),$J5903-$M5903))</f>
      </c>
      <c r="O5903" s="43">
        <f>IF($I5903=0,0,INDEX(DarlErsatzRate,13))</f>
      </c>
      <c r="P5903" s="43">
        <f>IF($I5903=0,0,$Q5902*INDEX(DarlErsatzZins,13))</f>
      </c>
      <c r="Q5903" s="43">
        <f>IF($I5903=0,0,$Q5902+$P5903+$O5903)</f>
      </c>
      <c r="R5903" s="43">
        <f>IF($I5903=0,0,$J5903-$M5903-$N5903)</f>
      </c>
    </row>
    <row r="5904">
      <c r="A5904"/>
      <c r="B5904">
        <v>13</v>
      </c>
      <c r="C5904" s="43">
        <f>INDEX(DarlObj,13)</f>
      </c>
      <c r="D5904">
        <v>141</v>
      </c>
      <c r="E5904" s="51">
        <f>IF(INDEX(DarlBelegt,13)=0,0,EOMONTH(INDEX(DarlAuszahlung,13),140)+1)</f>
      </c>
      <c r="F5904" s="43">
        <f>IF($E5904=0,0,YEAR($E5904))</f>
      </c>
      <c r="G5904" s="43">
        <f>IF(INDEX(DarlBindung,13)="",1,IF($E5904&lt;=INDEX(DarlBindung,13),1,0))</f>
      </c>
      <c r="H5904" s="43">
        <f>IF($G5904=1,INDEX(DarlSollzins,13),INDEX(DarlAnschluss,13))</f>
      </c>
      <c r="I5904" s="43">
        <f>IF(INDEX(DarlBelegt,13)=0,0,IF(INDEX(DarlOhneTilgung,13)=1,IF(INDEX(DarlBindung,13)="",1,$G5904),IF($J5904&gt;0.005,1,0)))</f>
      </c>
      <c r="J5904" s="43">
        <f>IF($I5903=0,0,$R5903)</f>
      </c>
      <c r="K5904" s="43">
        <f>IF($I5904=0,0,IF(INDEX(DarlOhneTilgung,13)=1,0,IF(AND(INDEX(DarlTilgStart,13)&gt;0,$E5904=INDEX(DarlTilgStart,13)),$J5904*($H5904+INDEX(DarlTilgung,13))/100/12,IF(AND($G5904=0,$G5903=1),MAX($K5903,$J5904*($H5904+1)/100/12),$K5903))))</f>
      </c>
      <c r="L5904" s="43">
        <f>IF($I5904=0,0,$J5904*$H5904/100/12)</f>
      </c>
      <c r="M5904" s="43">
        <f>IF($I5904=0,0,IF(OR(INDEX(DarlOhneTilgung,13)=1,AND(INDEX(DarlTilgStart,13)&gt;0,$E5904&lt;INDEX(DarlTilgStart,13))),0,MIN(MAX(0,$K5904-$L5904),$J5904)))</f>
      </c>
      <c r="N5904" s="43">
        <f>IF($I5904=0,0,MIN(SUMIFS(SondBetrag,SondDarl,13,SondDatum,"&gt;="&amp;$E5904,SondDatum,"&lt;="&amp;EOMONTH($E5904,0)),$J5904-$M5904))</f>
      </c>
      <c r="O5904" s="43">
        <f>IF($I5904=0,0,INDEX(DarlErsatzRate,13))</f>
      </c>
      <c r="P5904" s="43">
        <f>IF($I5904=0,0,$Q5903*INDEX(DarlErsatzZins,13))</f>
      </c>
      <c r="Q5904" s="43">
        <f>IF($I5904=0,0,$Q5903+$P5904+$O5904)</f>
      </c>
      <c r="R5904" s="43">
        <f>IF($I5904=0,0,$J5904-$M5904-$N5904)</f>
      </c>
    </row>
    <row r="5905">
      <c r="A5905"/>
      <c r="B5905">
        <v>13</v>
      </c>
      <c r="C5905" s="43">
        <f>INDEX(DarlObj,13)</f>
      </c>
      <c r="D5905">
        <v>142</v>
      </c>
      <c r="E5905" s="51">
        <f>IF(INDEX(DarlBelegt,13)=0,0,EOMONTH(INDEX(DarlAuszahlung,13),141)+1)</f>
      </c>
      <c r="F5905" s="43">
        <f>IF($E5905=0,0,YEAR($E5905))</f>
      </c>
      <c r="G5905" s="43">
        <f>IF(INDEX(DarlBindung,13)="",1,IF($E5905&lt;=INDEX(DarlBindung,13),1,0))</f>
      </c>
      <c r="H5905" s="43">
        <f>IF($G5905=1,INDEX(DarlSollzins,13),INDEX(DarlAnschluss,13))</f>
      </c>
      <c r="I5905" s="43">
        <f>IF(INDEX(DarlBelegt,13)=0,0,IF(INDEX(DarlOhneTilgung,13)=1,IF(INDEX(DarlBindung,13)="",1,$G5905),IF($J5905&gt;0.005,1,0)))</f>
      </c>
      <c r="J5905" s="43">
        <f>IF($I5904=0,0,$R5904)</f>
      </c>
      <c r="K5905" s="43">
        <f>IF($I5905=0,0,IF(INDEX(DarlOhneTilgung,13)=1,0,IF(AND(INDEX(DarlTilgStart,13)&gt;0,$E5905=INDEX(DarlTilgStart,13)),$J5905*($H5905+INDEX(DarlTilgung,13))/100/12,IF(AND($G5905=0,$G5904=1),MAX($K5904,$J5905*($H5905+1)/100/12),$K5904))))</f>
      </c>
      <c r="L5905" s="43">
        <f>IF($I5905=0,0,$J5905*$H5905/100/12)</f>
      </c>
      <c r="M5905" s="43">
        <f>IF($I5905=0,0,IF(OR(INDEX(DarlOhneTilgung,13)=1,AND(INDEX(DarlTilgStart,13)&gt;0,$E5905&lt;INDEX(DarlTilgStart,13))),0,MIN(MAX(0,$K5905-$L5905),$J5905)))</f>
      </c>
      <c r="N5905" s="43">
        <f>IF($I5905=0,0,MIN(SUMIFS(SondBetrag,SondDarl,13,SondDatum,"&gt;="&amp;$E5905,SondDatum,"&lt;="&amp;EOMONTH($E5905,0)),$J5905-$M5905))</f>
      </c>
      <c r="O5905" s="43">
        <f>IF($I5905=0,0,INDEX(DarlErsatzRate,13))</f>
      </c>
      <c r="P5905" s="43">
        <f>IF($I5905=0,0,$Q5904*INDEX(DarlErsatzZins,13))</f>
      </c>
      <c r="Q5905" s="43">
        <f>IF($I5905=0,0,$Q5904+$P5905+$O5905)</f>
      </c>
      <c r="R5905" s="43">
        <f>IF($I5905=0,0,$J5905-$M5905-$N5905)</f>
      </c>
    </row>
    <row r="5906">
      <c r="A5906"/>
      <c r="B5906">
        <v>13</v>
      </c>
      <c r="C5906" s="43">
        <f>INDEX(DarlObj,13)</f>
      </c>
      <c r="D5906">
        <v>143</v>
      </c>
      <c r="E5906" s="51">
        <f>IF(INDEX(DarlBelegt,13)=0,0,EOMONTH(INDEX(DarlAuszahlung,13),142)+1)</f>
      </c>
      <c r="F5906" s="43">
        <f>IF($E5906=0,0,YEAR($E5906))</f>
      </c>
      <c r="G5906" s="43">
        <f>IF(INDEX(DarlBindung,13)="",1,IF($E5906&lt;=INDEX(DarlBindung,13),1,0))</f>
      </c>
      <c r="H5906" s="43">
        <f>IF($G5906=1,INDEX(DarlSollzins,13),INDEX(DarlAnschluss,13))</f>
      </c>
      <c r="I5906" s="43">
        <f>IF(INDEX(DarlBelegt,13)=0,0,IF(INDEX(DarlOhneTilgung,13)=1,IF(INDEX(DarlBindung,13)="",1,$G5906),IF($J5906&gt;0.005,1,0)))</f>
      </c>
      <c r="J5906" s="43">
        <f>IF($I5905=0,0,$R5905)</f>
      </c>
      <c r="K5906" s="43">
        <f>IF($I5906=0,0,IF(INDEX(DarlOhneTilgung,13)=1,0,IF(AND(INDEX(DarlTilgStart,13)&gt;0,$E5906=INDEX(DarlTilgStart,13)),$J5906*($H5906+INDEX(DarlTilgung,13))/100/12,IF(AND($G5906=0,$G5905=1),MAX($K5905,$J5906*($H5906+1)/100/12),$K5905))))</f>
      </c>
      <c r="L5906" s="43">
        <f>IF($I5906=0,0,$J5906*$H5906/100/12)</f>
      </c>
      <c r="M5906" s="43">
        <f>IF($I5906=0,0,IF(OR(INDEX(DarlOhneTilgung,13)=1,AND(INDEX(DarlTilgStart,13)&gt;0,$E5906&lt;INDEX(DarlTilgStart,13))),0,MIN(MAX(0,$K5906-$L5906),$J5906)))</f>
      </c>
      <c r="N5906" s="43">
        <f>IF($I5906=0,0,MIN(SUMIFS(SondBetrag,SondDarl,13,SondDatum,"&gt;="&amp;$E5906,SondDatum,"&lt;="&amp;EOMONTH($E5906,0)),$J5906-$M5906))</f>
      </c>
      <c r="O5906" s="43">
        <f>IF($I5906=0,0,INDEX(DarlErsatzRate,13))</f>
      </c>
      <c r="P5906" s="43">
        <f>IF($I5906=0,0,$Q5905*INDEX(DarlErsatzZins,13))</f>
      </c>
      <c r="Q5906" s="43">
        <f>IF($I5906=0,0,$Q5905+$P5906+$O5906)</f>
      </c>
      <c r="R5906" s="43">
        <f>IF($I5906=0,0,$J5906-$M5906-$N5906)</f>
      </c>
    </row>
    <row r="5907">
      <c r="A5907"/>
      <c r="B5907">
        <v>13</v>
      </c>
      <c r="C5907" s="43">
        <f>INDEX(DarlObj,13)</f>
      </c>
      <c r="D5907">
        <v>144</v>
      </c>
      <c r="E5907" s="51">
        <f>IF(INDEX(DarlBelegt,13)=0,0,EOMONTH(INDEX(DarlAuszahlung,13),143)+1)</f>
      </c>
      <c r="F5907" s="43">
        <f>IF($E5907=0,0,YEAR($E5907))</f>
      </c>
      <c r="G5907" s="43">
        <f>IF(INDEX(DarlBindung,13)="",1,IF($E5907&lt;=INDEX(DarlBindung,13),1,0))</f>
      </c>
      <c r="H5907" s="43">
        <f>IF($G5907=1,INDEX(DarlSollzins,13),INDEX(DarlAnschluss,13))</f>
      </c>
      <c r="I5907" s="43">
        <f>IF(INDEX(DarlBelegt,13)=0,0,IF(INDEX(DarlOhneTilgung,13)=1,IF(INDEX(DarlBindung,13)="",1,$G5907),IF($J5907&gt;0.005,1,0)))</f>
      </c>
      <c r="J5907" s="43">
        <f>IF($I5906=0,0,$R5906)</f>
      </c>
      <c r="K5907" s="43">
        <f>IF($I5907=0,0,IF(INDEX(DarlOhneTilgung,13)=1,0,IF(AND(INDEX(DarlTilgStart,13)&gt;0,$E5907=INDEX(DarlTilgStart,13)),$J5907*($H5907+INDEX(DarlTilgung,13))/100/12,IF(AND($G5907=0,$G5906=1),MAX($K5906,$J5907*($H5907+1)/100/12),$K5906))))</f>
      </c>
      <c r="L5907" s="43">
        <f>IF($I5907=0,0,$J5907*$H5907/100/12)</f>
      </c>
      <c r="M5907" s="43">
        <f>IF($I5907=0,0,IF(OR(INDEX(DarlOhneTilgung,13)=1,AND(INDEX(DarlTilgStart,13)&gt;0,$E5907&lt;INDEX(DarlTilgStart,13))),0,MIN(MAX(0,$K5907-$L5907),$J5907)))</f>
      </c>
      <c r="N5907" s="43">
        <f>IF($I5907=0,0,MIN(SUMIFS(SondBetrag,SondDarl,13,SondDatum,"&gt;="&amp;$E5907,SondDatum,"&lt;="&amp;EOMONTH($E5907,0)),$J5907-$M5907))</f>
      </c>
      <c r="O5907" s="43">
        <f>IF($I5907=0,0,INDEX(DarlErsatzRate,13))</f>
      </c>
      <c r="P5907" s="43">
        <f>IF($I5907=0,0,$Q5906*INDEX(DarlErsatzZins,13))</f>
      </c>
      <c r="Q5907" s="43">
        <f>IF($I5907=0,0,$Q5906+$P5907+$O5907)</f>
      </c>
      <c r="R5907" s="43">
        <f>IF($I5907=0,0,$J5907-$M5907-$N5907)</f>
      </c>
    </row>
    <row r="5908">
      <c r="A5908"/>
      <c r="B5908">
        <v>13</v>
      </c>
      <c r="C5908" s="43">
        <f>INDEX(DarlObj,13)</f>
      </c>
      <c r="D5908">
        <v>145</v>
      </c>
      <c r="E5908" s="51">
        <f>IF(INDEX(DarlBelegt,13)=0,0,EOMONTH(INDEX(DarlAuszahlung,13),144)+1)</f>
      </c>
      <c r="F5908" s="43">
        <f>IF($E5908=0,0,YEAR($E5908))</f>
      </c>
      <c r="G5908" s="43">
        <f>IF(INDEX(DarlBindung,13)="",1,IF($E5908&lt;=INDEX(DarlBindung,13),1,0))</f>
      </c>
      <c r="H5908" s="43">
        <f>IF($G5908=1,INDEX(DarlSollzins,13),INDEX(DarlAnschluss,13))</f>
      </c>
      <c r="I5908" s="43">
        <f>IF(INDEX(DarlBelegt,13)=0,0,IF(INDEX(DarlOhneTilgung,13)=1,IF(INDEX(DarlBindung,13)="",1,$G5908),IF($J5908&gt;0.005,1,0)))</f>
      </c>
      <c r="J5908" s="43">
        <f>IF($I5907=0,0,$R5907)</f>
      </c>
      <c r="K5908" s="43">
        <f>IF($I5908=0,0,IF(INDEX(DarlOhneTilgung,13)=1,0,IF(AND(INDEX(DarlTilgStart,13)&gt;0,$E5908=INDEX(DarlTilgStart,13)),$J5908*($H5908+INDEX(DarlTilgung,13))/100/12,IF(AND($G5908=0,$G5907=1),MAX($K5907,$J5908*($H5908+1)/100/12),$K5907))))</f>
      </c>
      <c r="L5908" s="43">
        <f>IF($I5908=0,0,$J5908*$H5908/100/12)</f>
      </c>
      <c r="M5908" s="43">
        <f>IF($I5908=0,0,IF(OR(INDEX(DarlOhneTilgung,13)=1,AND(INDEX(DarlTilgStart,13)&gt;0,$E5908&lt;INDEX(DarlTilgStart,13))),0,MIN(MAX(0,$K5908-$L5908),$J5908)))</f>
      </c>
      <c r="N5908" s="43">
        <f>IF($I5908=0,0,MIN(SUMIFS(SondBetrag,SondDarl,13,SondDatum,"&gt;="&amp;$E5908,SondDatum,"&lt;="&amp;EOMONTH($E5908,0)),$J5908-$M5908))</f>
      </c>
      <c r="O5908" s="43">
        <f>IF($I5908=0,0,INDEX(DarlErsatzRate,13))</f>
      </c>
      <c r="P5908" s="43">
        <f>IF($I5908=0,0,$Q5907*INDEX(DarlErsatzZins,13))</f>
      </c>
      <c r="Q5908" s="43">
        <f>IF($I5908=0,0,$Q5907+$P5908+$O5908)</f>
      </c>
      <c r="R5908" s="43">
        <f>IF($I5908=0,0,$J5908-$M5908-$N5908)</f>
      </c>
    </row>
    <row r="5909">
      <c r="A5909"/>
      <c r="B5909">
        <v>13</v>
      </c>
      <c r="C5909" s="43">
        <f>INDEX(DarlObj,13)</f>
      </c>
      <c r="D5909">
        <v>146</v>
      </c>
      <c r="E5909" s="51">
        <f>IF(INDEX(DarlBelegt,13)=0,0,EOMONTH(INDEX(DarlAuszahlung,13),145)+1)</f>
      </c>
      <c r="F5909" s="43">
        <f>IF($E5909=0,0,YEAR($E5909))</f>
      </c>
      <c r="G5909" s="43">
        <f>IF(INDEX(DarlBindung,13)="",1,IF($E5909&lt;=INDEX(DarlBindung,13),1,0))</f>
      </c>
      <c r="H5909" s="43">
        <f>IF($G5909=1,INDEX(DarlSollzins,13),INDEX(DarlAnschluss,13))</f>
      </c>
      <c r="I5909" s="43">
        <f>IF(INDEX(DarlBelegt,13)=0,0,IF(INDEX(DarlOhneTilgung,13)=1,IF(INDEX(DarlBindung,13)="",1,$G5909),IF($J5909&gt;0.005,1,0)))</f>
      </c>
      <c r="J5909" s="43">
        <f>IF($I5908=0,0,$R5908)</f>
      </c>
      <c r="K5909" s="43">
        <f>IF($I5909=0,0,IF(INDEX(DarlOhneTilgung,13)=1,0,IF(AND(INDEX(DarlTilgStart,13)&gt;0,$E5909=INDEX(DarlTilgStart,13)),$J5909*($H5909+INDEX(DarlTilgung,13))/100/12,IF(AND($G5909=0,$G5908=1),MAX($K5908,$J5909*($H5909+1)/100/12),$K5908))))</f>
      </c>
      <c r="L5909" s="43">
        <f>IF($I5909=0,0,$J5909*$H5909/100/12)</f>
      </c>
      <c r="M5909" s="43">
        <f>IF($I5909=0,0,IF(OR(INDEX(DarlOhneTilgung,13)=1,AND(INDEX(DarlTilgStart,13)&gt;0,$E5909&lt;INDEX(DarlTilgStart,13))),0,MIN(MAX(0,$K5909-$L5909),$J5909)))</f>
      </c>
      <c r="N5909" s="43">
        <f>IF($I5909=0,0,MIN(SUMIFS(SondBetrag,SondDarl,13,SondDatum,"&gt;="&amp;$E5909,SondDatum,"&lt;="&amp;EOMONTH($E5909,0)),$J5909-$M5909))</f>
      </c>
      <c r="O5909" s="43">
        <f>IF($I5909=0,0,INDEX(DarlErsatzRate,13))</f>
      </c>
      <c r="P5909" s="43">
        <f>IF($I5909=0,0,$Q5908*INDEX(DarlErsatzZins,13))</f>
      </c>
      <c r="Q5909" s="43">
        <f>IF($I5909=0,0,$Q5908+$P5909+$O5909)</f>
      </c>
      <c r="R5909" s="43">
        <f>IF($I5909=0,0,$J5909-$M5909-$N5909)</f>
      </c>
    </row>
    <row r="5910">
      <c r="A5910"/>
      <c r="B5910">
        <v>13</v>
      </c>
      <c r="C5910" s="43">
        <f>INDEX(DarlObj,13)</f>
      </c>
      <c r="D5910">
        <v>147</v>
      </c>
      <c r="E5910" s="51">
        <f>IF(INDEX(DarlBelegt,13)=0,0,EOMONTH(INDEX(DarlAuszahlung,13),146)+1)</f>
      </c>
      <c r="F5910" s="43">
        <f>IF($E5910=0,0,YEAR($E5910))</f>
      </c>
      <c r="G5910" s="43">
        <f>IF(INDEX(DarlBindung,13)="",1,IF($E5910&lt;=INDEX(DarlBindung,13),1,0))</f>
      </c>
      <c r="H5910" s="43">
        <f>IF($G5910=1,INDEX(DarlSollzins,13),INDEX(DarlAnschluss,13))</f>
      </c>
      <c r="I5910" s="43">
        <f>IF(INDEX(DarlBelegt,13)=0,0,IF(INDEX(DarlOhneTilgung,13)=1,IF(INDEX(DarlBindung,13)="",1,$G5910),IF($J5910&gt;0.005,1,0)))</f>
      </c>
      <c r="J5910" s="43">
        <f>IF($I5909=0,0,$R5909)</f>
      </c>
      <c r="K5910" s="43">
        <f>IF($I5910=0,0,IF(INDEX(DarlOhneTilgung,13)=1,0,IF(AND(INDEX(DarlTilgStart,13)&gt;0,$E5910=INDEX(DarlTilgStart,13)),$J5910*($H5910+INDEX(DarlTilgung,13))/100/12,IF(AND($G5910=0,$G5909=1),MAX($K5909,$J5910*($H5910+1)/100/12),$K5909))))</f>
      </c>
      <c r="L5910" s="43">
        <f>IF($I5910=0,0,$J5910*$H5910/100/12)</f>
      </c>
      <c r="M5910" s="43">
        <f>IF($I5910=0,0,IF(OR(INDEX(DarlOhneTilgung,13)=1,AND(INDEX(DarlTilgStart,13)&gt;0,$E5910&lt;INDEX(DarlTilgStart,13))),0,MIN(MAX(0,$K5910-$L5910),$J5910)))</f>
      </c>
      <c r="N5910" s="43">
        <f>IF($I5910=0,0,MIN(SUMIFS(SondBetrag,SondDarl,13,SondDatum,"&gt;="&amp;$E5910,SondDatum,"&lt;="&amp;EOMONTH($E5910,0)),$J5910-$M5910))</f>
      </c>
      <c r="O5910" s="43">
        <f>IF($I5910=0,0,INDEX(DarlErsatzRate,13))</f>
      </c>
      <c r="P5910" s="43">
        <f>IF($I5910=0,0,$Q5909*INDEX(DarlErsatzZins,13))</f>
      </c>
      <c r="Q5910" s="43">
        <f>IF($I5910=0,0,$Q5909+$P5910+$O5910)</f>
      </c>
      <c r="R5910" s="43">
        <f>IF($I5910=0,0,$J5910-$M5910-$N5910)</f>
      </c>
    </row>
    <row r="5911">
      <c r="A5911"/>
      <c r="B5911">
        <v>13</v>
      </c>
      <c r="C5911" s="43">
        <f>INDEX(DarlObj,13)</f>
      </c>
      <c r="D5911">
        <v>148</v>
      </c>
      <c r="E5911" s="51">
        <f>IF(INDEX(DarlBelegt,13)=0,0,EOMONTH(INDEX(DarlAuszahlung,13),147)+1)</f>
      </c>
      <c r="F5911" s="43">
        <f>IF($E5911=0,0,YEAR($E5911))</f>
      </c>
      <c r="G5911" s="43">
        <f>IF(INDEX(DarlBindung,13)="",1,IF($E5911&lt;=INDEX(DarlBindung,13),1,0))</f>
      </c>
      <c r="H5911" s="43">
        <f>IF($G5911=1,INDEX(DarlSollzins,13),INDEX(DarlAnschluss,13))</f>
      </c>
      <c r="I5911" s="43">
        <f>IF(INDEX(DarlBelegt,13)=0,0,IF(INDEX(DarlOhneTilgung,13)=1,IF(INDEX(DarlBindung,13)="",1,$G5911),IF($J5911&gt;0.005,1,0)))</f>
      </c>
      <c r="J5911" s="43">
        <f>IF($I5910=0,0,$R5910)</f>
      </c>
      <c r="K5911" s="43">
        <f>IF($I5911=0,0,IF(INDEX(DarlOhneTilgung,13)=1,0,IF(AND(INDEX(DarlTilgStart,13)&gt;0,$E5911=INDEX(DarlTilgStart,13)),$J5911*($H5911+INDEX(DarlTilgung,13))/100/12,IF(AND($G5911=0,$G5910=1),MAX($K5910,$J5911*($H5911+1)/100/12),$K5910))))</f>
      </c>
      <c r="L5911" s="43">
        <f>IF($I5911=0,0,$J5911*$H5911/100/12)</f>
      </c>
      <c r="M5911" s="43">
        <f>IF($I5911=0,0,IF(OR(INDEX(DarlOhneTilgung,13)=1,AND(INDEX(DarlTilgStart,13)&gt;0,$E5911&lt;INDEX(DarlTilgStart,13))),0,MIN(MAX(0,$K5911-$L5911),$J5911)))</f>
      </c>
      <c r="N5911" s="43">
        <f>IF($I5911=0,0,MIN(SUMIFS(SondBetrag,SondDarl,13,SondDatum,"&gt;="&amp;$E5911,SondDatum,"&lt;="&amp;EOMONTH($E5911,0)),$J5911-$M5911))</f>
      </c>
      <c r="O5911" s="43">
        <f>IF($I5911=0,0,INDEX(DarlErsatzRate,13))</f>
      </c>
      <c r="P5911" s="43">
        <f>IF($I5911=0,0,$Q5910*INDEX(DarlErsatzZins,13))</f>
      </c>
      <c r="Q5911" s="43">
        <f>IF($I5911=0,0,$Q5910+$P5911+$O5911)</f>
      </c>
      <c r="R5911" s="43">
        <f>IF($I5911=0,0,$J5911-$M5911-$N5911)</f>
      </c>
    </row>
    <row r="5912">
      <c r="A5912"/>
      <c r="B5912">
        <v>13</v>
      </c>
      <c r="C5912" s="43">
        <f>INDEX(DarlObj,13)</f>
      </c>
      <c r="D5912">
        <v>149</v>
      </c>
      <c r="E5912" s="51">
        <f>IF(INDEX(DarlBelegt,13)=0,0,EOMONTH(INDEX(DarlAuszahlung,13),148)+1)</f>
      </c>
      <c r="F5912" s="43">
        <f>IF($E5912=0,0,YEAR($E5912))</f>
      </c>
      <c r="G5912" s="43">
        <f>IF(INDEX(DarlBindung,13)="",1,IF($E5912&lt;=INDEX(DarlBindung,13),1,0))</f>
      </c>
      <c r="H5912" s="43">
        <f>IF($G5912=1,INDEX(DarlSollzins,13),INDEX(DarlAnschluss,13))</f>
      </c>
      <c r="I5912" s="43">
        <f>IF(INDEX(DarlBelegt,13)=0,0,IF(INDEX(DarlOhneTilgung,13)=1,IF(INDEX(DarlBindung,13)="",1,$G5912),IF($J5912&gt;0.005,1,0)))</f>
      </c>
      <c r="J5912" s="43">
        <f>IF($I5911=0,0,$R5911)</f>
      </c>
      <c r="K5912" s="43">
        <f>IF($I5912=0,0,IF(INDEX(DarlOhneTilgung,13)=1,0,IF(AND(INDEX(DarlTilgStart,13)&gt;0,$E5912=INDEX(DarlTilgStart,13)),$J5912*($H5912+INDEX(DarlTilgung,13))/100/12,IF(AND($G5912=0,$G5911=1),MAX($K5911,$J5912*($H5912+1)/100/12),$K5911))))</f>
      </c>
      <c r="L5912" s="43">
        <f>IF($I5912=0,0,$J5912*$H5912/100/12)</f>
      </c>
      <c r="M5912" s="43">
        <f>IF($I5912=0,0,IF(OR(INDEX(DarlOhneTilgung,13)=1,AND(INDEX(DarlTilgStart,13)&gt;0,$E5912&lt;INDEX(DarlTilgStart,13))),0,MIN(MAX(0,$K5912-$L5912),$J5912)))</f>
      </c>
      <c r="N5912" s="43">
        <f>IF($I5912=0,0,MIN(SUMIFS(SondBetrag,SondDarl,13,SondDatum,"&gt;="&amp;$E5912,SondDatum,"&lt;="&amp;EOMONTH($E5912,0)),$J5912-$M5912))</f>
      </c>
      <c r="O5912" s="43">
        <f>IF($I5912=0,0,INDEX(DarlErsatzRate,13))</f>
      </c>
      <c r="P5912" s="43">
        <f>IF($I5912=0,0,$Q5911*INDEX(DarlErsatzZins,13))</f>
      </c>
      <c r="Q5912" s="43">
        <f>IF($I5912=0,0,$Q5911+$P5912+$O5912)</f>
      </c>
      <c r="R5912" s="43">
        <f>IF($I5912=0,0,$J5912-$M5912-$N5912)</f>
      </c>
    </row>
    <row r="5913">
      <c r="A5913"/>
      <c r="B5913">
        <v>13</v>
      </c>
      <c r="C5913" s="43">
        <f>INDEX(DarlObj,13)</f>
      </c>
      <c r="D5913">
        <v>150</v>
      </c>
      <c r="E5913" s="51">
        <f>IF(INDEX(DarlBelegt,13)=0,0,EOMONTH(INDEX(DarlAuszahlung,13),149)+1)</f>
      </c>
      <c r="F5913" s="43">
        <f>IF($E5913=0,0,YEAR($E5913))</f>
      </c>
      <c r="G5913" s="43">
        <f>IF(INDEX(DarlBindung,13)="",1,IF($E5913&lt;=INDEX(DarlBindung,13),1,0))</f>
      </c>
      <c r="H5913" s="43">
        <f>IF($G5913=1,INDEX(DarlSollzins,13),INDEX(DarlAnschluss,13))</f>
      </c>
      <c r="I5913" s="43">
        <f>IF(INDEX(DarlBelegt,13)=0,0,IF(INDEX(DarlOhneTilgung,13)=1,IF(INDEX(DarlBindung,13)="",1,$G5913),IF($J5913&gt;0.005,1,0)))</f>
      </c>
      <c r="J5913" s="43">
        <f>IF($I5912=0,0,$R5912)</f>
      </c>
      <c r="K5913" s="43">
        <f>IF($I5913=0,0,IF(INDEX(DarlOhneTilgung,13)=1,0,IF(AND(INDEX(DarlTilgStart,13)&gt;0,$E5913=INDEX(DarlTilgStart,13)),$J5913*($H5913+INDEX(DarlTilgung,13))/100/12,IF(AND($G5913=0,$G5912=1),MAX($K5912,$J5913*($H5913+1)/100/12),$K5912))))</f>
      </c>
      <c r="L5913" s="43">
        <f>IF($I5913=0,0,$J5913*$H5913/100/12)</f>
      </c>
      <c r="M5913" s="43">
        <f>IF($I5913=0,0,IF(OR(INDEX(DarlOhneTilgung,13)=1,AND(INDEX(DarlTilgStart,13)&gt;0,$E5913&lt;INDEX(DarlTilgStart,13))),0,MIN(MAX(0,$K5913-$L5913),$J5913)))</f>
      </c>
      <c r="N5913" s="43">
        <f>IF($I5913=0,0,MIN(SUMIFS(SondBetrag,SondDarl,13,SondDatum,"&gt;="&amp;$E5913,SondDatum,"&lt;="&amp;EOMONTH($E5913,0)),$J5913-$M5913))</f>
      </c>
      <c r="O5913" s="43">
        <f>IF($I5913=0,0,INDEX(DarlErsatzRate,13))</f>
      </c>
      <c r="P5913" s="43">
        <f>IF($I5913=0,0,$Q5912*INDEX(DarlErsatzZins,13))</f>
      </c>
      <c r="Q5913" s="43">
        <f>IF($I5913=0,0,$Q5912+$P5913+$O5913)</f>
      </c>
      <c r="R5913" s="43">
        <f>IF($I5913=0,0,$J5913-$M5913-$N5913)</f>
      </c>
    </row>
    <row r="5914">
      <c r="A5914"/>
      <c r="B5914">
        <v>13</v>
      </c>
      <c r="C5914" s="43">
        <f>INDEX(DarlObj,13)</f>
      </c>
      <c r="D5914">
        <v>151</v>
      </c>
      <c r="E5914" s="51">
        <f>IF(INDEX(DarlBelegt,13)=0,0,EOMONTH(INDEX(DarlAuszahlung,13),150)+1)</f>
      </c>
      <c r="F5914" s="43">
        <f>IF($E5914=0,0,YEAR($E5914))</f>
      </c>
      <c r="G5914" s="43">
        <f>IF(INDEX(DarlBindung,13)="",1,IF($E5914&lt;=INDEX(DarlBindung,13),1,0))</f>
      </c>
      <c r="H5914" s="43">
        <f>IF($G5914=1,INDEX(DarlSollzins,13),INDEX(DarlAnschluss,13))</f>
      </c>
      <c r="I5914" s="43">
        <f>IF(INDEX(DarlBelegt,13)=0,0,IF(INDEX(DarlOhneTilgung,13)=1,IF(INDEX(DarlBindung,13)="",1,$G5914),IF($J5914&gt;0.005,1,0)))</f>
      </c>
      <c r="J5914" s="43">
        <f>IF($I5913=0,0,$R5913)</f>
      </c>
      <c r="K5914" s="43">
        <f>IF($I5914=0,0,IF(INDEX(DarlOhneTilgung,13)=1,0,IF(AND(INDEX(DarlTilgStart,13)&gt;0,$E5914=INDEX(DarlTilgStart,13)),$J5914*($H5914+INDEX(DarlTilgung,13))/100/12,IF(AND($G5914=0,$G5913=1),MAX($K5913,$J5914*($H5914+1)/100/12),$K5913))))</f>
      </c>
      <c r="L5914" s="43">
        <f>IF($I5914=0,0,$J5914*$H5914/100/12)</f>
      </c>
      <c r="M5914" s="43">
        <f>IF($I5914=0,0,IF(OR(INDEX(DarlOhneTilgung,13)=1,AND(INDEX(DarlTilgStart,13)&gt;0,$E5914&lt;INDEX(DarlTilgStart,13))),0,MIN(MAX(0,$K5914-$L5914),$J5914)))</f>
      </c>
      <c r="N5914" s="43">
        <f>IF($I5914=0,0,MIN(SUMIFS(SondBetrag,SondDarl,13,SondDatum,"&gt;="&amp;$E5914,SondDatum,"&lt;="&amp;EOMONTH($E5914,0)),$J5914-$M5914))</f>
      </c>
      <c r="O5914" s="43">
        <f>IF($I5914=0,0,INDEX(DarlErsatzRate,13))</f>
      </c>
      <c r="P5914" s="43">
        <f>IF($I5914=0,0,$Q5913*INDEX(DarlErsatzZins,13))</f>
      </c>
      <c r="Q5914" s="43">
        <f>IF($I5914=0,0,$Q5913+$P5914+$O5914)</f>
      </c>
      <c r="R5914" s="43">
        <f>IF($I5914=0,0,$J5914-$M5914-$N5914)</f>
      </c>
    </row>
    <row r="5915">
      <c r="A5915"/>
      <c r="B5915">
        <v>13</v>
      </c>
      <c r="C5915" s="43">
        <f>INDEX(DarlObj,13)</f>
      </c>
      <c r="D5915">
        <v>152</v>
      </c>
      <c r="E5915" s="51">
        <f>IF(INDEX(DarlBelegt,13)=0,0,EOMONTH(INDEX(DarlAuszahlung,13),151)+1)</f>
      </c>
      <c r="F5915" s="43">
        <f>IF($E5915=0,0,YEAR($E5915))</f>
      </c>
      <c r="G5915" s="43">
        <f>IF(INDEX(DarlBindung,13)="",1,IF($E5915&lt;=INDEX(DarlBindung,13),1,0))</f>
      </c>
      <c r="H5915" s="43">
        <f>IF($G5915=1,INDEX(DarlSollzins,13),INDEX(DarlAnschluss,13))</f>
      </c>
      <c r="I5915" s="43">
        <f>IF(INDEX(DarlBelegt,13)=0,0,IF(INDEX(DarlOhneTilgung,13)=1,IF(INDEX(DarlBindung,13)="",1,$G5915),IF($J5915&gt;0.005,1,0)))</f>
      </c>
      <c r="J5915" s="43">
        <f>IF($I5914=0,0,$R5914)</f>
      </c>
      <c r="K5915" s="43">
        <f>IF($I5915=0,0,IF(INDEX(DarlOhneTilgung,13)=1,0,IF(AND(INDEX(DarlTilgStart,13)&gt;0,$E5915=INDEX(DarlTilgStart,13)),$J5915*($H5915+INDEX(DarlTilgung,13))/100/12,IF(AND($G5915=0,$G5914=1),MAX($K5914,$J5915*($H5915+1)/100/12),$K5914))))</f>
      </c>
      <c r="L5915" s="43">
        <f>IF($I5915=0,0,$J5915*$H5915/100/12)</f>
      </c>
      <c r="M5915" s="43">
        <f>IF($I5915=0,0,IF(OR(INDEX(DarlOhneTilgung,13)=1,AND(INDEX(DarlTilgStart,13)&gt;0,$E5915&lt;INDEX(DarlTilgStart,13))),0,MIN(MAX(0,$K5915-$L5915),$J5915)))</f>
      </c>
      <c r="N5915" s="43">
        <f>IF($I5915=0,0,MIN(SUMIFS(SondBetrag,SondDarl,13,SondDatum,"&gt;="&amp;$E5915,SondDatum,"&lt;="&amp;EOMONTH($E5915,0)),$J5915-$M5915))</f>
      </c>
      <c r="O5915" s="43">
        <f>IF($I5915=0,0,INDEX(DarlErsatzRate,13))</f>
      </c>
      <c r="P5915" s="43">
        <f>IF($I5915=0,0,$Q5914*INDEX(DarlErsatzZins,13))</f>
      </c>
      <c r="Q5915" s="43">
        <f>IF($I5915=0,0,$Q5914+$P5915+$O5915)</f>
      </c>
      <c r="R5915" s="43">
        <f>IF($I5915=0,0,$J5915-$M5915-$N5915)</f>
      </c>
    </row>
    <row r="5916">
      <c r="A5916"/>
      <c r="B5916">
        <v>13</v>
      </c>
      <c r="C5916" s="43">
        <f>INDEX(DarlObj,13)</f>
      </c>
      <c r="D5916">
        <v>153</v>
      </c>
      <c r="E5916" s="51">
        <f>IF(INDEX(DarlBelegt,13)=0,0,EOMONTH(INDEX(DarlAuszahlung,13),152)+1)</f>
      </c>
      <c r="F5916" s="43">
        <f>IF($E5916=0,0,YEAR($E5916))</f>
      </c>
      <c r="G5916" s="43">
        <f>IF(INDEX(DarlBindung,13)="",1,IF($E5916&lt;=INDEX(DarlBindung,13),1,0))</f>
      </c>
      <c r="H5916" s="43">
        <f>IF($G5916=1,INDEX(DarlSollzins,13),INDEX(DarlAnschluss,13))</f>
      </c>
      <c r="I5916" s="43">
        <f>IF(INDEX(DarlBelegt,13)=0,0,IF(INDEX(DarlOhneTilgung,13)=1,IF(INDEX(DarlBindung,13)="",1,$G5916),IF($J5916&gt;0.005,1,0)))</f>
      </c>
      <c r="J5916" s="43">
        <f>IF($I5915=0,0,$R5915)</f>
      </c>
      <c r="K5916" s="43">
        <f>IF($I5916=0,0,IF(INDEX(DarlOhneTilgung,13)=1,0,IF(AND(INDEX(DarlTilgStart,13)&gt;0,$E5916=INDEX(DarlTilgStart,13)),$J5916*($H5916+INDEX(DarlTilgung,13))/100/12,IF(AND($G5916=0,$G5915=1),MAX($K5915,$J5916*($H5916+1)/100/12),$K5915))))</f>
      </c>
      <c r="L5916" s="43">
        <f>IF($I5916=0,0,$J5916*$H5916/100/12)</f>
      </c>
      <c r="M5916" s="43">
        <f>IF($I5916=0,0,IF(OR(INDEX(DarlOhneTilgung,13)=1,AND(INDEX(DarlTilgStart,13)&gt;0,$E5916&lt;INDEX(DarlTilgStart,13))),0,MIN(MAX(0,$K5916-$L5916),$J5916)))</f>
      </c>
      <c r="N5916" s="43">
        <f>IF($I5916=0,0,MIN(SUMIFS(SondBetrag,SondDarl,13,SondDatum,"&gt;="&amp;$E5916,SondDatum,"&lt;="&amp;EOMONTH($E5916,0)),$J5916-$M5916))</f>
      </c>
      <c r="O5916" s="43">
        <f>IF($I5916=0,0,INDEX(DarlErsatzRate,13))</f>
      </c>
      <c r="P5916" s="43">
        <f>IF($I5916=0,0,$Q5915*INDEX(DarlErsatzZins,13))</f>
      </c>
      <c r="Q5916" s="43">
        <f>IF($I5916=0,0,$Q5915+$P5916+$O5916)</f>
      </c>
      <c r="R5916" s="43">
        <f>IF($I5916=0,0,$J5916-$M5916-$N5916)</f>
      </c>
    </row>
    <row r="5917">
      <c r="A5917"/>
      <c r="B5917">
        <v>13</v>
      </c>
      <c r="C5917" s="43">
        <f>INDEX(DarlObj,13)</f>
      </c>
      <c r="D5917">
        <v>154</v>
      </c>
      <c r="E5917" s="51">
        <f>IF(INDEX(DarlBelegt,13)=0,0,EOMONTH(INDEX(DarlAuszahlung,13),153)+1)</f>
      </c>
      <c r="F5917" s="43">
        <f>IF($E5917=0,0,YEAR($E5917))</f>
      </c>
      <c r="G5917" s="43">
        <f>IF(INDEX(DarlBindung,13)="",1,IF($E5917&lt;=INDEX(DarlBindung,13),1,0))</f>
      </c>
      <c r="H5917" s="43">
        <f>IF($G5917=1,INDEX(DarlSollzins,13),INDEX(DarlAnschluss,13))</f>
      </c>
      <c r="I5917" s="43">
        <f>IF(INDEX(DarlBelegt,13)=0,0,IF(INDEX(DarlOhneTilgung,13)=1,IF(INDEX(DarlBindung,13)="",1,$G5917),IF($J5917&gt;0.005,1,0)))</f>
      </c>
      <c r="J5917" s="43">
        <f>IF($I5916=0,0,$R5916)</f>
      </c>
      <c r="K5917" s="43">
        <f>IF($I5917=0,0,IF(INDEX(DarlOhneTilgung,13)=1,0,IF(AND(INDEX(DarlTilgStart,13)&gt;0,$E5917=INDEX(DarlTilgStart,13)),$J5917*($H5917+INDEX(DarlTilgung,13))/100/12,IF(AND($G5917=0,$G5916=1),MAX($K5916,$J5917*($H5917+1)/100/12),$K5916))))</f>
      </c>
      <c r="L5917" s="43">
        <f>IF($I5917=0,0,$J5917*$H5917/100/12)</f>
      </c>
      <c r="M5917" s="43">
        <f>IF($I5917=0,0,IF(OR(INDEX(DarlOhneTilgung,13)=1,AND(INDEX(DarlTilgStart,13)&gt;0,$E5917&lt;INDEX(DarlTilgStart,13))),0,MIN(MAX(0,$K5917-$L5917),$J5917)))</f>
      </c>
      <c r="N5917" s="43">
        <f>IF($I5917=0,0,MIN(SUMIFS(SondBetrag,SondDarl,13,SondDatum,"&gt;="&amp;$E5917,SondDatum,"&lt;="&amp;EOMONTH($E5917,0)),$J5917-$M5917))</f>
      </c>
      <c r="O5917" s="43">
        <f>IF($I5917=0,0,INDEX(DarlErsatzRate,13))</f>
      </c>
      <c r="P5917" s="43">
        <f>IF($I5917=0,0,$Q5916*INDEX(DarlErsatzZins,13))</f>
      </c>
      <c r="Q5917" s="43">
        <f>IF($I5917=0,0,$Q5916+$P5917+$O5917)</f>
      </c>
      <c r="R5917" s="43">
        <f>IF($I5917=0,0,$J5917-$M5917-$N5917)</f>
      </c>
    </row>
    <row r="5918">
      <c r="A5918"/>
      <c r="B5918">
        <v>13</v>
      </c>
      <c r="C5918" s="43">
        <f>INDEX(DarlObj,13)</f>
      </c>
      <c r="D5918">
        <v>155</v>
      </c>
      <c r="E5918" s="51">
        <f>IF(INDEX(DarlBelegt,13)=0,0,EOMONTH(INDEX(DarlAuszahlung,13),154)+1)</f>
      </c>
      <c r="F5918" s="43">
        <f>IF($E5918=0,0,YEAR($E5918))</f>
      </c>
      <c r="G5918" s="43">
        <f>IF(INDEX(DarlBindung,13)="",1,IF($E5918&lt;=INDEX(DarlBindung,13),1,0))</f>
      </c>
      <c r="H5918" s="43">
        <f>IF($G5918=1,INDEX(DarlSollzins,13),INDEX(DarlAnschluss,13))</f>
      </c>
      <c r="I5918" s="43">
        <f>IF(INDEX(DarlBelegt,13)=0,0,IF(INDEX(DarlOhneTilgung,13)=1,IF(INDEX(DarlBindung,13)="",1,$G5918),IF($J5918&gt;0.005,1,0)))</f>
      </c>
      <c r="J5918" s="43">
        <f>IF($I5917=0,0,$R5917)</f>
      </c>
      <c r="K5918" s="43">
        <f>IF($I5918=0,0,IF(INDEX(DarlOhneTilgung,13)=1,0,IF(AND(INDEX(DarlTilgStart,13)&gt;0,$E5918=INDEX(DarlTilgStart,13)),$J5918*($H5918+INDEX(DarlTilgung,13))/100/12,IF(AND($G5918=0,$G5917=1),MAX($K5917,$J5918*($H5918+1)/100/12),$K5917))))</f>
      </c>
      <c r="L5918" s="43">
        <f>IF($I5918=0,0,$J5918*$H5918/100/12)</f>
      </c>
      <c r="M5918" s="43">
        <f>IF($I5918=0,0,IF(OR(INDEX(DarlOhneTilgung,13)=1,AND(INDEX(DarlTilgStart,13)&gt;0,$E5918&lt;INDEX(DarlTilgStart,13))),0,MIN(MAX(0,$K5918-$L5918),$J5918)))</f>
      </c>
      <c r="N5918" s="43">
        <f>IF($I5918=0,0,MIN(SUMIFS(SondBetrag,SondDarl,13,SondDatum,"&gt;="&amp;$E5918,SondDatum,"&lt;="&amp;EOMONTH($E5918,0)),$J5918-$M5918))</f>
      </c>
      <c r="O5918" s="43">
        <f>IF($I5918=0,0,INDEX(DarlErsatzRate,13))</f>
      </c>
      <c r="P5918" s="43">
        <f>IF($I5918=0,0,$Q5917*INDEX(DarlErsatzZins,13))</f>
      </c>
      <c r="Q5918" s="43">
        <f>IF($I5918=0,0,$Q5917+$P5918+$O5918)</f>
      </c>
      <c r="R5918" s="43">
        <f>IF($I5918=0,0,$J5918-$M5918-$N5918)</f>
      </c>
    </row>
    <row r="5919">
      <c r="A5919"/>
      <c r="B5919">
        <v>13</v>
      </c>
      <c r="C5919" s="43">
        <f>INDEX(DarlObj,13)</f>
      </c>
      <c r="D5919">
        <v>156</v>
      </c>
      <c r="E5919" s="51">
        <f>IF(INDEX(DarlBelegt,13)=0,0,EOMONTH(INDEX(DarlAuszahlung,13),155)+1)</f>
      </c>
      <c r="F5919" s="43">
        <f>IF($E5919=0,0,YEAR($E5919))</f>
      </c>
      <c r="G5919" s="43">
        <f>IF(INDEX(DarlBindung,13)="",1,IF($E5919&lt;=INDEX(DarlBindung,13),1,0))</f>
      </c>
      <c r="H5919" s="43">
        <f>IF($G5919=1,INDEX(DarlSollzins,13),INDEX(DarlAnschluss,13))</f>
      </c>
      <c r="I5919" s="43">
        <f>IF(INDEX(DarlBelegt,13)=0,0,IF(INDEX(DarlOhneTilgung,13)=1,IF(INDEX(DarlBindung,13)="",1,$G5919),IF($J5919&gt;0.005,1,0)))</f>
      </c>
      <c r="J5919" s="43">
        <f>IF($I5918=0,0,$R5918)</f>
      </c>
      <c r="K5919" s="43">
        <f>IF($I5919=0,0,IF(INDEX(DarlOhneTilgung,13)=1,0,IF(AND(INDEX(DarlTilgStart,13)&gt;0,$E5919=INDEX(DarlTilgStart,13)),$J5919*($H5919+INDEX(DarlTilgung,13))/100/12,IF(AND($G5919=0,$G5918=1),MAX($K5918,$J5919*($H5919+1)/100/12),$K5918))))</f>
      </c>
      <c r="L5919" s="43">
        <f>IF($I5919=0,0,$J5919*$H5919/100/12)</f>
      </c>
      <c r="M5919" s="43">
        <f>IF($I5919=0,0,IF(OR(INDEX(DarlOhneTilgung,13)=1,AND(INDEX(DarlTilgStart,13)&gt;0,$E5919&lt;INDEX(DarlTilgStart,13))),0,MIN(MAX(0,$K5919-$L5919),$J5919)))</f>
      </c>
      <c r="N5919" s="43">
        <f>IF($I5919=0,0,MIN(SUMIFS(SondBetrag,SondDarl,13,SondDatum,"&gt;="&amp;$E5919,SondDatum,"&lt;="&amp;EOMONTH($E5919,0)),$J5919-$M5919))</f>
      </c>
      <c r="O5919" s="43">
        <f>IF($I5919=0,0,INDEX(DarlErsatzRate,13))</f>
      </c>
      <c r="P5919" s="43">
        <f>IF($I5919=0,0,$Q5918*INDEX(DarlErsatzZins,13))</f>
      </c>
      <c r="Q5919" s="43">
        <f>IF($I5919=0,0,$Q5918+$P5919+$O5919)</f>
      </c>
      <c r="R5919" s="43">
        <f>IF($I5919=0,0,$J5919-$M5919-$N5919)</f>
      </c>
    </row>
    <row r="5920">
      <c r="A5920"/>
      <c r="B5920">
        <v>13</v>
      </c>
      <c r="C5920" s="43">
        <f>INDEX(DarlObj,13)</f>
      </c>
      <c r="D5920">
        <v>157</v>
      </c>
      <c r="E5920" s="51">
        <f>IF(INDEX(DarlBelegt,13)=0,0,EOMONTH(INDEX(DarlAuszahlung,13),156)+1)</f>
      </c>
      <c r="F5920" s="43">
        <f>IF($E5920=0,0,YEAR($E5920))</f>
      </c>
      <c r="G5920" s="43">
        <f>IF(INDEX(DarlBindung,13)="",1,IF($E5920&lt;=INDEX(DarlBindung,13),1,0))</f>
      </c>
      <c r="H5920" s="43">
        <f>IF($G5920=1,INDEX(DarlSollzins,13),INDEX(DarlAnschluss,13))</f>
      </c>
      <c r="I5920" s="43">
        <f>IF(INDEX(DarlBelegt,13)=0,0,IF(INDEX(DarlOhneTilgung,13)=1,IF(INDEX(DarlBindung,13)="",1,$G5920),IF($J5920&gt;0.005,1,0)))</f>
      </c>
      <c r="J5920" s="43">
        <f>IF($I5919=0,0,$R5919)</f>
      </c>
      <c r="K5920" s="43">
        <f>IF($I5920=0,0,IF(INDEX(DarlOhneTilgung,13)=1,0,IF(AND(INDEX(DarlTilgStart,13)&gt;0,$E5920=INDEX(DarlTilgStart,13)),$J5920*($H5920+INDEX(DarlTilgung,13))/100/12,IF(AND($G5920=0,$G5919=1),MAX($K5919,$J5920*($H5920+1)/100/12),$K5919))))</f>
      </c>
      <c r="L5920" s="43">
        <f>IF($I5920=0,0,$J5920*$H5920/100/12)</f>
      </c>
      <c r="M5920" s="43">
        <f>IF($I5920=0,0,IF(OR(INDEX(DarlOhneTilgung,13)=1,AND(INDEX(DarlTilgStart,13)&gt;0,$E5920&lt;INDEX(DarlTilgStart,13))),0,MIN(MAX(0,$K5920-$L5920),$J5920)))</f>
      </c>
      <c r="N5920" s="43">
        <f>IF($I5920=0,0,MIN(SUMIFS(SondBetrag,SondDarl,13,SondDatum,"&gt;="&amp;$E5920,SondDatum,"&lt;="&amp;EOMONTH($E5920,0)),$J5920-$M5920))</f>
      </c>
      <c r="O5920" s="43">
        <f>IF($I5920=0,0,INDEX(DarlErsatzRate,13))</f>
      </c>
      <c r="P5920" s="43">
        <f>IF($I5920=0,0,$Q5919*INDEX(DarlErsatzZins,13))</f>
      </c>
      <c r="Q5920" s="43">
        <f>IF($I5920=0,0,$Q5919+$P5920+$O5920)</f>
      </c>
      <c r="R5920" s="43">
        <f>IF($I5920=0,0,$J5920-$M5920-$N5920)</f>
      </c>
    </row>
    <row r="5921">
      <c r="A5921"/>
      <c r="B5921">
        <v>13</v>
      </c>
      <c r="C5921" s="43">
        <f>INDEX(DarlObj,13)</f>
      </c>
      <c r="D5921">
        <v>158</v>
      </c>
      <c r="E5921" s="51">
        <f>IF(INDEX(DarlBelegt,13)=0,0,EOMONTH(INDEX(DarlAuszahlung,13),157)+1)</f>
      </c>
      <c r="F5921" s="43">
        <f>IF($E5921=0,0,YEAR($E5921))</f>
      </c>
      <c r="G5921" s="43">
        <f>IF(INDEX(DarlBindung,13)="",1,IF($E5921&lt;=INDEX(DarlBindung,13),1,0))</f>
      </c>
      <c r="H5921" s="43">
        <f>IF($G5921=1,INDEX(DarlSollzins,13),INDEX(DarlAnschluss,13))</f>
      </c>
      <c r="I5921" s="43">
        <f>IF(INDEX(DarlBelegt,13)=0,0,IF(INDEX(DarlOhneTilgung,13)=1,IF(INDEX(DarlBindung,13)="",1,$G5921),IF($J5921&gt;0.005,1,0)))</f>
      </c>
      <c r="J5921" s="43">
        <f>IF($I5920=0,0,$R5920)</f>
      </c>
      <c r="K5921" s="43">
        <f>IF($I5921=0,0,IF(INDEX(DarlOhneTilgung,13)=1,0,IF(AND(INDEX(DarlTilgStart,13)&gt;0,$E5921=INDEX(DarlTilgStart,13)),$J5921*($H5921+INDEX(DarlTilgung,13))/100/12,IF(AND($G5921=0,$G5920=1),MAX($K5920,$J5921*($H5921+1)/100/12),$K5920))))</f>
      </c>
      <c r="L5921" s="43">
        <f>IF($I5921=0,0,$J5921*$H5921/100/12)</f>
      </c>
      <c r="M5921" s="43">
        <f>IF($I5921=0,0,IF(OR(INDEX(DarlOhneTilgung,13)=1,AND(INDEX(DarlTilgStart,13)&gt;0,$E5921&lt;INDEX(DarlTilgStart,13))),0,MIN(MAX(0,$K5921-$L5921),$J5921)))</f>
      </c>
      <c r="N5921" s="43">
        <f>IF($I5921=0,0,MIN(SUMIFS(SondBetrag,SondDarl,13,SondDatum,"&gt;="&amp;$E5921,SondDatum,"&lt;="&amp;EOMONTH($E5921,0)),$J5921-$M5921))</f>
      </c>
      <c r="O5921" s="43">
        <f>IF($I5921=0,0,INDEX(DarlErsatzRate,13))</f>
      </c>
      <c r="P5921" s="43">
        <f>IF($I5921=0,0,$Q5920*INDEX(DarlErsatzZins,13))</f>
      </c>
      <c r="Q5921" s="43">
        <f>IF($I5921=0,0,$Q5920+$P5921+$O5921)</f>
      </c>
      <c r="R5921" s="43">
        <f>IF($I5921=0,0,$J5921-$M5921-$N5921)</f>
      </c>
    </row>
    <row r="5922">
      <c r="A5922"/>
      <c r="B5922">
        <v>13</v>
      </c>
      <c r="C5922" s="43">
        <f>INDEX(DarlObj,13)</f>
      </c>
      <c r="D5922">
        <v>159</v>
      </c>
      <c r="E5922" s="51">
        <f>IF(INDEX(DarlBelegt,13)=0,0,EOMONTH(INDEX(DarlAuszahlung,13),158)+1)</f>
      </c>
      <c r="F5922" s="43">
        <f>IF($E5922=0,0,YEAR($E5922))</f>
      </c>
      <c r="G5922" s="43">
        <f>IF(INDEX(DarlBindung,13)="",1,IF($E5922&lt;=INDEX(DarlBindung,13),1,0))</f>
      </c>
      <c r="H5922" s="43">
        <f>IF($G5922=1,INDEX(DarlSollzins,13),INDEX(DarlAnschluss,13))</f>
      </c>
      <c r="I5922" s="43">
        <f>IF(INDEX(DarlBelegt,13)=0,0,IF(INDEX(DarlOhneTilgung,13)=1,IF(INDEX(DarlBindung,13)="",1,$G5922),IF($J5922&gt;0.005,1,0)))</f>
      </c>
      <c r="J5922" s="43">
        <f>IF($I5921=0,0,$R5921)</f>
      </c>
      <c r="K5922" s="43">
        <f>IF($I5922=0,0,IF(INDEX(DarlOhneTilgung,13)=1,0,IF(AND(INDEX(DarlTilgStart,13)&gt;0,$E5922=INDEX(DarlTilgStart,13)),$J5922*($H5922+INDEX(DarlTilgung,13))/100/12,IF(AND($G5922=0,$G5921=1),MAX($K5921,$J5922*($H5922+1)/100/12),$K5921))))</f>
      </c>
      <c r="L5922" s="43">
        <f>IF($I5922=0,0,$J5922*$H5922/100/12)</f>
      </c>
      <c r="M5922" s="43">
        <f>IF($I5922=0,0,IF(OR(INDEX(DarlOhneTilgung,13)=1,AND(INDEX(DarlTilgStart,13)&gt;0,$E5922&lt;INDEX(DarlTilgStart,13))),0,MIN(MAX(0,$K5922-$L5922),$J5922)))</f>
      </c>
      <c r="N5922" s="43">
        <f>IF($I5922=0,0,MIN(SUMIFS(SondBetrag,SondDarl,13,SondDatum,"&gt;="&amp;$E5922,SondDatum,"&lt;="&amp;EOMONTH($E5922,0)),$J5922-$M5922))</f>
      </c>
      <c r="O5922" s="43">
        <f>IF($I5922=0,0,INDEX(DarlErsatzRate,13))</f>
      </c>
      <c r="P5922" s="43">
        <f>IF($I5922=0,0,$Q5921*INDEX(DarlErsatzZins,13))</f>
      </c>
      <c r="Q5922" s="43">
        <f>IF($I5922=0,0,$Q5921+$P5922+$O5922)</f>
      </c>
      <c r="R5922" s="43">
        <f>IF($I5922=0,0,$J5922-$M5922-$N5922)</f>
      </c>
    </row>
    <row r="5923">
      <c r="A5923"/>
      <c r="B5923">
        <v>13</v>
      </c>
      <c r="C5923" s="43">
        <f>INDEX(DarlObj,13)</f>
      </c>
      <c r="D5923">
        <v>160</v>
      </c>
      <c r="E5923" s="51">
        <f>IF(INDEX(DarlBelegt,13)=0,0,EOMONTH(INDEX(DarlAuszahlung,13),159)+1)</f>
      </c>
      <c r="F5923" s="43">
        <f>IF($E5923=0,0,YEAR($E5923))</f>
      </c>
      <c r="G5923" s="43">
        <f>IF(INDEX(DarlBindung,13)="",1,IF($E5923&lt;=INDEX(DarlBindung,13),1,0))</f>
      </c>
      <c r="H5923" s="43">
        <f>IF($G5923=1,INDEX(DarlSollzins,13),INDEX(DarlAnschluss,13))</f>
      </c>
      <c r="I5923" s="43">
        <f>IF(INDEX(DarlBelegt,13)=0,0,IF(INDEX(DarlOhneTilgung,13)=1,IF(INDEX(DarlBindung,13)="",1,$G5923),IF($J5923&gt;0.005,1,0)))</f>
      </c>
      <c r="J5923" s="43">
        <f>IF($I5922=0,0,$R5922)</f>
      </c>
      <c r="K5923" s="43">
        <f>IF($I5923=0,0,IF(INDEX(DarlOhneTilgung,13)=1,0,IF(AND(INDEX(DarlTilgStart,13)&gt;0,$E5923=INDEX(DarlTilgStart,13)),$J5923*($H5923+INDEX(DarlTilgung,13))/100/12,IF(AND($G5923=0,$G5922=1),MAX($K5922,$J5923*($H5923+1)/100/12),$K5922))))</f>
      </c>
      <c r="L5923" s="43">
        <f>IF($I5923=0,0,$J5923*$H5923/100/12)</f>
      </c>
      <c r="M5923" s="43">
        <f>IF($I5923=0,0,IF(OR(INDEX(DarlOhneTilgung,13)=1,AND(INDEX(DarlTilgStart,13)&gt;0,$E5923&lt;INDEX(DarlTilgStart,13))),0,MIN(MAX(0,$K5923-$L5923),$J5923)))</f>
      </c>
      <c r="N5923" s="43">
        <f>IF($I5923=0,0,MIN(SUMIFS(SondBetrag,SondDarl,13,SondDatum,"&gt;="&amp;$E5923,SondDatum,"&lt;="&amp;EOMONTH($E5923,0)),$J5923-$M5923))</f>
      </c>
      <c r="O5923" s="43">
        <f>IF($I5923=0,0,INDEX(DarlErsatzRate,13))</f>
      </c>
      <c r="P5923" s="43">
        <f>IF($I5923=0,0,$Q5922*INDEX(DarlErsatzZins,13))</f>
      </c>
      <c r="Q5923" s="43">
        <f>IF($I5923=0,0,$Q5922+$P5923+$O5923)</f>
      </c>
      <c r="R5923" s="43">
        <f>IF($I5923=0,0,$J5923-$M5923-$N5923)</f>
      </c>
    </row>
    <row r="5924">
      <c r="A5924"/>
      <c r="B5924">
        <v>13</v>
      </c>
      <c r="C5924" s="43">
        <f>INDEX(DarlObj,13)</f>
      </c>
      <c r="D5924">
        <v>161</v>
      </c>
      <c r="E5924" s="51">
        <f>IF(INDEX(DarlBelegt,13)=0,0,EOMONTH(INDEX(DarlAuszahlung,13),160)+1)</f>
      </c>
      <c r="F5924" s="43">
        <f>IF($E5924=0,0,YEAR($E5924))</f>
      </c>
      <c r="G5924" s="43">
        <f>IF(INDEX(DarlBindung,13)="",1,IF($E5924&lt;=INDEX(DarlBindung,13),1,0))</f>
      </c>
      <c r="H5924" s="43">
        <f>IF($G5924=1,INDEX(DarlSollzins,13),INDEX(DarlAnschluss,13))</f>
      </c>
      <c r="I5924" s="43">
        <f>IF(INDEX(DarlBelegt,13)=0,0,IF(INDEX(DarlOhneTilgung,13)=1,IF(INDEX(DarlBindung,13)="",1,$G5924),IF($J5924&gt;0.005,1,0)))</f>
      </c>
      <c r="J5924" s="43">
        <f>IF($I5923=0,0,$R5923)</f>
      </c>
      <c r="K5924" s="43">
        <f>IF($I5924=0,0,IF(INDEX(DarlOhneTilgung,13)=1,0,IF(AND(INDEX(DarlTilgStart,13)&gt;0,$E5924=INDEX(DarlTilgStart,13)),$J5924*($H5924+INDEX(DarlTilgung,13))/100/12,IF(AND($G5924=0,$G5923=1),MAX($K5923,$J5924*($H5924+1)/100/12),$K5923))))</f>
      </c>
      <c r="L5924" s="43">
        <f>IF($I5924=0,0,$J5924*$H5924/100/12)</f>
      </c>
      <c r="M5924" s="43">
        <f>IF($I5924=0,0,IF(OR(INDEX(DarlOhneTilgung,13)=1,AND(INDEX(DarlTilgStart,13)&gt;0,$E5924&lt;INDEX(DarlTilgStart,13))),0,MIN(MAX(0,$K5924-$L5924),$J5924)))</f>
      </c>
      <c r="N5924" s="43">
        <f>IF($I5924=0,0,MIN(SUMIFS(SondBetrag,SondDarl,13,SondDatum,"&gt;="&amp;$E5924,SondDatum,"&lt;="&amp;EOMONTH($E5924,0)),$J5924-$M5924))</f>
      </c>
      <c r="O5924" s="43">
        <f>IF($I5924=0,0,INDEX(DarlErsatzRate,13))</f>
      </c>
      <c r="P5924" s="43">
        <f>IF($I5924=0,0,$Q5923*INDEX(DarlErsatzZins,13))</f>
      </c>
      <c r="Q5924" s="43">
        <f>IF($I5924=0,0,$Q5923+$P5924+$O5924)</f>
      </c>
      <c r="R5924" s="43">
        <f>IF($I5924=0,0,$J5924-$M5924-$N5924)</f>
      </c>
    </row>
    <row r="5925">
      <c r="A5925"/>
      <c r="B5925">
        <v>13</v>
      </c>
      <c r="C5925" s="43">
        <f>INDEX(DarlObj,13)</f>
      </c>
      <c r="D5925">
        <v>162</v>
      </c>
      <c r="E5925" s="51">
        <f>IF(INDEX(DarlBelegt,13)=0,0,EOMONTH(INDEX(DarlAuszahlung,13),161)+1)</f>
      </c>
      <c r="F5925" s="43">
        <f>IF($E5925=0,0,YEAR($E5925))</f>
      </c>
      <c r="G5925" s="43">
        <f>IF(INDEX(DarlBindung,13)="",1,IF($E5925&lt;=INDEX(DarlBindung,13),1,0))</f>
      </c>
      <c r="H5925" s="43">
        <f>IF($G5925=1,INDEX(DarlSollzins,13),INDEX(DarlAnschluss,13))</f>
      </c>
      <c r="I5925" s="43">
        <f>IF(INDEX(DarlBelegt,13)=0,0,IF(INDEX(DarlOhneTilgung,13)=1,IF(INDEX(DarlBindung,13)="",1,$G5925),IF($J5925&gt;0.005,1,0)))</f>
      </c>
      <c r="J5925" s="43">
        <f>IF($I5924=0,0,$R5924)</f>
      </c>
      <c r="K5925" s="43">
        <f>IF($I5925=0,0,IF(INDEX(DarlOhneTilgung,13)=1,0,IF(AND(INDEX(DarlTilgStart,13)&gt;0,$E5925=INDEX(DarlTilgStart,13)),$J5925*($H5925+INDEX(DarlTilgung,13))/100/12,IF(AND($G5925=0,$G5924=1),MAX($K5924,$J5925*($H5925+1)/100/12),$K5924))))</f>
      </c>
      <c r="L5925" s="43">
        <f>IF($I5925=0,0,$J5925*$H5925/100/12)</f>
      </c>
      <c r="M5925" s="43">
        <f>IF($I5925=0,0,IF(OR(INDEX(DarlOhneTilgung,13)=1,AND(INDEX(DarlTilgStart,13)&gt;0,$E5925&lt;INDEX(DarlTilgStart,13))),0,MIN(MAX(0,$K5925-$L5925),$J5925)))</f>
      </c>
      <c r="N5925" s="43">
        <f>IF($I5925=0,0,MIN(SUMIFS(SondBetrag,SondDarl,13,SondDatum,"&gt;="&amp;$E5925,SondDatum,"&lt;="&amp;EOMONTH($E5925,0)),$J5925-$M5925))</f>
      </c>
      <c r="O5925" s="43">
        <f>IF($I5925=0,0,INDEX(DarlErsatzRate,13))</f>
      </c>
      <c r="P5925" s="43">
        <f>IF($I5925=0,0,$Q5924*INDEX(DarlErsatzZins,13))</f>
      </c>
      <c r="Q5925" s="43">
        <f>IF($I5925=0,0,$Q5924+$P5925+$O5925)</f>
      </c>
      <c r="R5925" s="43">
        <f>IF($I5925=0,0,$J5925-$M5925-$N5925)</f>
      </c>
    </row>
    <row r="5926">
      <c r="A5926"/>
      <c r="B5926">
        <v>13</v>
      </c>
      <c r="C5926" s="43">
        <f>INDEX(DarlObj,13)</f>
      </c>
      <c r="D5926">
        <v>163</v>
      </c>
      <c r="E5926" s="51">
        <f>IF(INDEX(DarlBelegt,13)=0,0,EOMONTH(INDEX(DarlAuszahlung,13),162)+1)</f>
      </c>
      <c r="F5926" s="43">
        <f>IF($E5926=0,0,YEAR($E5926))</f>
      </c>
      <c r="G5926" s="43">
        <f>IF(INDEX(DarlBindung,13)="",1,IF($E5926&lt;=INDEX(DarlBindung,13),1,0))</f>
      </c>
      <c r="H5926" s="43">
        <f>IF($G5926=1,INDEX(DarlSollzins,13),INDEX(DarlAnschluss,13))</f>
      </c>
      <c r="I5926" s="43">
        <f>IF(INDEX(DarlBelegt,13)=0,0,IF(INDEX(DarlOhneTilgung,13)=1,IF(INDEX(DarlBindung,13)="",1,$G5926),IF($J5926&gt;0.005,1,0)))</f>
      </c>
      <c r="J5926" s="43">
        <f>IF($I5925=0,0,$R5925)</f>
      </c>
      <c r="K5926" s="43">
        <f>IF($I5926=0,0,IF(INDEX(DarlOhneTilgung,13)=1,0,IF(AND(INDEX(DarlTilgStart,13)&gt;0,$E5926=INDEX(DarlTilgStart,13)),$J5926*($H5926+INDEX(DarlTilgung,13))/100/12,IF(AND($G5926=0,$G5925=1),MAX($K5925,$J5926*($H5926+1)/100/12),$K5925))))</f>
      </c>
      <c r="L5926" s="43">
        <f>IF($I5926=0,0,$J5926*$H5926/100/12)</f>
      </c>
      <c r="M5926" s="43">
        <f>IF($I5926=0,0,IF(OR(INDEX(DarlOhneTilgung,13)=1,AND(INDEX(DarlTilgStart,13)&gt;0,$E5926&lt;INDEX(DarlTilgStart,13))),0,MIN(MAX(0,$K5926-$L5926),$J5926)))</f>
      </c>
      <c r="N5926" s="43">
        <f>IF($I5926=0,0,MIN(SUMIFS(SondBetrag,SondDarl,13,SondDatum,"&gt;="&amp;$E5926,SondDatum,"&lt;="&amp;EOMONTH($E5926,0)),$J5926-$M5926))</f>
      </c>
      <c r="O5926" s="43">
        <f>IF($I5926=0,0,INDEX(DarlErsatzRate,13))</f>
      </c>
      <c r="P5926" s="43">
        <f>IF($I5926=0,0,$Q5925*INDEX(DarlErsatzZins,13))</f>
      </c>
      <c r="Q5926" s="43">
        <f>IF($I5926=0,0,$Q5925+$P5926+$O5926)</f>
      </c>
      <c r="R5926" s="43">
        <f>IF($I5926=0,0,$J5926-$M5926-$N5926)</f>
      </c>
    </row>
    <row r="5927">
      <c r="A5927"/>
      <c r="B5927">
        <v>13</v>
      </c>
      <c r="C5927" s="43">
        <f>INDEX(DarlObj,13)</f>
      </c>
      <c r="D5927">
        <v>164</v>
      </c>
      <c r="E5927" s="51">
        <f>IF(INDEX(DarlBelegt,13)=0,0,EOMONTH(INDEX(DarlAuszahlung,13),163)+1)</f>
      </c>
      <c r="F5927" s="43">
        <f>IF($E5927=0,0,YEAR($E5927))</f>
      </c>
      <c r="G5927" s="43">
        <f>IF(INDEX(DarlBindung,13)="",1,IF($E5927&lt;=INDEX(DarlBindung,13),1,0))</f>
      </c>
      <c r="H5927" s="43">
        <f>IF($G5927=1,INDEX(DarlSollzins,13),INDEX(DarlAnschluss,13))</f>
      </c>
      <c r="I5927" s="43">
        <f>IF(INDEX(DarlBelegt,13)=0,0,IF(INDEX(DarlOhneTilgung,13)=1,IF(INDEX(DarlBindung,13)="",1,$G5927),IF($J5927&gt;0.005,1,0)))</f>
      </c>
      <c r="J5927" s="43">
        <f>IF($I5926=0,0,$R5926)</f>
      </c>
      <c r="K5927" s="43">
        <f>IF($I5927=0,0,IF(INDEX(DarlOhneTilgung,13)=1,0,IF(AND(INDEX(DarlTilgStart,13)&gt;0,$E5927=INDEX(DarlTilgStart,13)),$J5927*($H5927+INDEX(DarlTilgung,13))/100/12,IF(AND($G5927=0,$G5926=1),MAX($K5926,$J5927*($H5927+1)/100/12),$K5926))))</f>
      </c>
      <c r="L5927" s="43">
        <f>IF($I5927=0,0,$J5927*$H5927/100/12)</f>
      </c>
      <c r="M5927" s="43">
        <f>IF($I5927=0,0,IF(OR(INDEX(DarlOhneTilgung,13)=1,AND(INDEX(DarlTilgStart,13)&gt;0,$E5927&lt;INDEX(DarlTilgStart,13))),0,MIN(MAX(0,$K5927-$L5927),$J5927)))</f>
      </c>
      <c r="N5927" s="43">
        <f>IF($I5927=0,0,MIN(SUMIFS(SondBetrag,SondDarl,13,SondDatum,"&gt;="&amp;$E5927,SondDatum,"&lt;="&amp;EOMONTH($E5927,0)),$J5927-$M5927))</f>
      </c>
      <c r="O5927" s="43">
        <f>IF($I5927=0,0,INDEX(DarlErsatzRate,13))</f>
      </c>
      <c r="P5927" s="43">
        <f>IF($I5927=0,0,$Q5926*INDEX(DarlErsatzZins,13))</f>
      </c>
      <c r="Q5927" s="43">
        <f>IF($I5927=0,0,$Q5926+$P5927+$O5927)</f>
      </c>
      <c r="R5927" s="43">
        <f>IF($I5927=0,0,$J5927-$M5927-$N5927)</f>
      </c>
    </row>
    <row r="5928">
      <c r="A5928"/>
      <c r="B5928">
        <v>13</v>
      </c>
      <c r="C5928" s="43">
        <f>INDEX(DarlObj,13)</f>
      </c>
      <c r="D5928">
        <v>165</v>
      </c>
      <c r="E5928" s="51">
        <f>IF(INDEX(DarlBelegt,13)=0,0,EOMONTH(INDEX(DarlAuszahlung,13),164)+1)</f>
      </c>
      <c r="F5928" s="43">
        <f>IF($E5928=0,0,YEAR($E5928))</f>
      </c>
      <c r="G5928" s="43">
        <f>IF(INDEX(DarlBindung,13)="",1,IF($E5928&lt;=INDEX(DarlBindung,13),1,0))</f>
      </c>
      <c r="H5928" s="43">
        <f>IF($G5928=1,INDEX(DarlSollzins,13),INDEX(DarlAnschluss,13))</f>
      </c>
      <c r="I5928" s="43">
        <f>IF(INDEX(DarlBelegt,13)=0,0,IF(INDEX(DarlOhneTilgung,13)=1,IF(INDEX(DarlBindung,13)="",1,$G5928),IF($J5928&gt;0.005,1,0)))</f>
      </c>
      <c r="J5928" s="43">
        <f>IF($I5927=0,0,$R5927)</f>
      </c>
      <c r="K5928" s="43">
        <f>IF($I5928=0,0,IF(INDEX(DarlOhneTilgung,13)=1,0,IF(AND(INDEX(DarlTilgStart,13)&gt;0,$E5928=INDEX(DarlTilgStart,13)),$J5928*($H5928+INDEX(DarlTilgung,13))/100/12,IF(AND($G5928=0,$G5927=1),MAX($K5927,$J5928*($H5928+1)/100/12),$K5927))))</f>
      </c>
      <c r="L5928" s="43">
        <f>IF($I5928=0,0,$J5928*$H5928/100/12)</f>
      </c>
      <c r="M5928" s="43">
        <f>IF($I5928=0,0,IF(OR(INDEX(DarlOhneTilgung,13)=1,AND(INDEX(DarlTilgStart,13)&gt;0,$E5928&lt;INDEX(DarlTilgStart,13))),0,MIN(MAX(0,$K5928-$L5928),$J5928)))</f>
      </c>
      <c r="N5928" s="43">
        <f>IF($I5928=0,0,MIN(SUMIFS(SondBetrag,SondDarl,13,SondDatum,"&gt;="&amp;$E5928,SondDatum,"&lt;="&amp;EOMONTH($E5928,0)),$J5928-$M5928))</f>
      </c>
      <c r="O5928" s="43">
        <f>IF($I5928=0,0,INDEX(DarlErsatzRate,13))</f>
      </c>
      <c r="P5928" s="43">
        <f>IF($I5928=0,0,$Q5927*INDEX(DarlErsatzZins,13))</f>
      </c>
      <c r="Q5928" s="43">
        <f>IF($I5928=0,0,$Q5927+$P5928+$O5928)</f>
      </c>
      <c r="R5928" s="43">
        <f>IF($I5928=0,0,$J5928-$M5928-$N5928)</f>
      </c>
    </row>
    <row r="5929">
      <c r="A5929"/>
      <c r="B5929">
        <v>13</v>
      </c>
      <c r="C5929" s="43">
        <f>INDEX(DarlObj,13)</f>
      </c>
      <c r="D5929">
        <v>166</v>
      </c>
      <c r="E5929" s="51">
        <f>IF(INDEX(DarlBelegt,13)=0,0,EOMONTH(INDEX(DarlAuszahlung,13),165)+1)</f>
      </c>
      <c r="F5929" s="43">
        <f>IF($E5929=0,0,YEAR($E5929))</f>
      </c>
      <c r="G5929" s="43">
        <f>IF(INDEX(DarlBindung,13)="",1,IF($E5929&lt;=INDEX(DarlBindung,13),1,0))</f>
      </c>
      <c r="H5929" s="43">
        <f>IF($G5929=1,INDEX(DarlSollzins,13),INDEX(DarlAnschluss,13))</f>
      </c>
      <c r="I5929" s="43">
        <f>IF(INDEX(DarlBelegt,13)=0,0,IF(INDEX(DarlOhneTilgung,13)=1,IF(INDEX(DarlBindung,13)="",1,$G5929),IF($J5929&gt;0.005,1,0)))</f>
      </c>
      <c r="J5929" s="43">
        <f>IF($I5928=0,0,$R5928)</f>
      </c>
      <c r="K5929" s="43">
        <f>IF($I5929=0,0,IF(INDEX(DarlOhneTilgung,13)=1,0,IF(AND(INDEX(DarlTilgStart,13)&gt;0,$E5929=INDEX(DarlTilgStart,13)),$J5929*($H5929+INDEX(DarlTilgung,13))/100/12,IF(AND($G5929=0,$G5928=1),MAX($K5928,$J5929*($H5929+1)/100/12),$K5928))))</f>
      </c>
      <c r="L5929" s="43">
        <f>IF($I5929=0,0,$J5929*$H5929/100/12)</f>
      </c>
      <c r="M5929" s="43">
        <f>IF($I5929=0,0,IF(OR(INDEX(DarlOhneTilgung,13)=1,AND(INDEX(DarlTilgStart,13)&gt;0,$E5929&lt;INDEX(DarlTilgStart,13))),0,MIN(MAX(0,$K5929-$L5929),$J5929)))</f>
      </c>
      <c r="N5929" s="43">
        <f>IF($I5929=0,0,MIN(SUMIFS(SondBetrag,SondDarl,13,SondDatum,"&gt;="&amp;$E5929,SondDatum,"&lt;="&amp;EOMONTH($E5929,0)),$J5929-$M5929))</f>
      </c>
      <c r="O5929" s="43">
        <f>IF($I5929=0,0,INDEX(DarlErsatzRate,13))</f>
      </c>
      <c r="P5929" s="43">
        <f>IF($I5929=0,0,$Q5928*INDEX(DarlErsatzZins,13))</f>
      </c>
      <c r="Q5929" s="43">
        <f>IF($I5929=0,0,$Q5928+$P5929+$O5929)</f>
      </c>
      <c r="R5929" s="43">
        <f>IF($I5929=0,0,$J5929-$M5929-$N5929)</f>
      </c>
    </row>
    <row r="5930">
      <c r="A5930"/>
      <c r="B5930">
        <v>13</v>
      </c>
      <c r="C5930" s="43">
        <f>INDEX(DarlObj,13)</f>
      </c>
      <c r="D5930">
        <v>167</v>
      </c>
      <c r="E5930" s="51">
        <f>IF(INDEX(DarlBelegt,13)=0,0,EOMONTH(INDEX(DarlAuszahlung,13),166)+1)</f>
      </c>
      <c r="F5930" s="43">
        <f>IF($E5930=0,0,YEAR($E5930))</f>
      </c>
      <c r="G5930" s="43">
        <f>IF(INDEX(DarlBindung,13)="",1,IF($E5930&lt;=INDEX(DarlBindung,13),1,0))</f>
      </c>
      <c r="H5930" s="43">
        <f>IF($G5930=1,INDEX(DarlSollzins,13),INDEX(DarlAnschluss,13))</f>
      </c>
      <c r="I5930" s="43">
        <f>IF(INDEX(DarlBelegt,13)=0,0,IF(INDEX(DarlOhneTilgung,13)=1,IF(INDEX(DarlBindung,13)="",1,$G5930),IF($J5930&gt;0.005,1,0)))</f>
      </c>
      <c r="J5930" s="43">
        <f>IF($I5929=0,0,$R5929)</f>
      </c>
      <c r="K5930" s="43">
        <f>IF($I5930=0,0,IF(INDEX(DarlOhneTilgung,13)=1,0,IF(AND(INDEX(DarlTilgStart,13)&gt;0,$E5930=INDEX(DarlTilgStart,13)),$J5930*($H5930+INDEX(DarlTilgung,13))/100/12,IF(AND($G5930=0,$G5929=1),MAX($K5929,$J5930*($H5930+1)/100/12),$K5929))))</f>
      </c>
      <c r="L5930" s="43">
        <f>IF($I5930=0,0,$J5930*$H5930/100/12)</f>
      </c>
      <c r="M5930" s="43">
        <f>IF($I5930=0,0,IF(OR(INDEX(DarlOhneTilgung,13)=1,AND(INDEX(DarlTilgStart,13)&gt;0,$E5930&lt;INDEX(DarlTilgStart,13))),0,MIN(MAX(0,$K5930-$L5930),$J5930)))</f>
      </c>
      <c r="N5930" s="43">
        <f>IF($I5930=0,0,MIN(SUMIFS(SondBetrag,SondDarl,13,SondDatum,"&gt;="&amp;$E5930,SondDatum,"&lt;="&amp;EOMONTH($E5930,0)),$J5930-$M5930))</f>
      </c>
      <c r="O5930" s="43">
        <f>IF($I5930=0,0,INDEX(DarlErsatzRate,13))</f>
      </c>
      <c r="P5930" s="43">
        <f>IF($I5930=0,0,$Q5929*INDEX(DarlErsatzZins,13))</f>
      </c>
      <c r="Q5930" s="43">
        <f>IF($I5930=0,0,$Q5929+$P5930+$O5930)</f>
      </c>
      <c r="R5930" s="43">
        <f>IF($I5930=0,0,$J5930-$M5930-$N5930)</f>
      </c>
    </row>
    <row r="5931">
      <c r="A5931"/>
      <c r="B5931">
        <v>13</v>
      </c>
      <c r="C5931" s="43">
        <f>INDEX(DarlObj,13)</f>
      </c>
      <c r="D5931">
        <v>168</v>
      </c>
      <c r="E5931" s="51">
        <f>IF(INDEX(DarlBelegt,13)=0,0,EOMONTH(INDEX(DarlAuszahlung,13),167)+1)</f>
      </c>
      <c r="F5931" s="43">
        <f>IF($E5931=0,0,YEAR($E5931))</f>
      </c>
      <c r="G5931" s="43">
        <f>IF(INDEX(DarlBindung,13)="",1,IF($E5931&lt;=INDEX(DarlBindung,13),1,0))</f>
      </c>
      <c r="H5931" s="43">
        <f>IF($G5931=1,INDEX(DarlSollzins,13),INDEX(DarlAnschluss,13))</f>
      </c>
      <c r="I5931" s="43">
        <f>IF(INDEX(DarlBelegt,13)=0,0,IF(INDEX(DarlOhneTilgung,13)=1,IF(INDEX(DarlBindung,13)="",1,$G5931),IF($J5931&gt;0.005,1,0)))</f>
      </c>
      <c r="J5931" s="43">
        <f>IF($I5930=0,0,$R5930)</f>
      </c>
      <c r="K5931" s="43">
        <f>IF($I5931=0,0,IF(INDEX(DarlOhneTilgung,13)=1,0,IF(AND(INDEX(DarlTilgStart,13)&gt;0,$E5931=INDEX(DarlTilgStart,13)),$J5931*($H5931+INDEX(DarlTilgung,13))/100/12,IF(AND($G5931=0,$G5930=1),MAX($K5930,$J5931*($H5931+1)/100/12),$K5930))))</f>
      </c>
      <c r="L5931" s="43">
        <f>IF($I5931=0,0,$J5931*$H5931/100/12)</f>
      </c>
      <c r="M5931" s="43">
        <f>IF($I5931=0,0,IF(OR(INDEX(DarlOhneTilgung,13)=1,AND(INDEX(DarlTilgStart,13)&gt;0,$E5931&lt;INDEX(DarlTilgStart,13))),0,MIN(MAX(0,$K5931-$L5931),$J5931)))</f>
      </c>
      <c r="N5931" s="43">
        <f>IF($I5931=0,0,MIN(SUMIFS(SondBetrag,SondDarl,13,SondDatum,"&gt;="&amp;$E5931,SondDatum,"&lt;="&amp;EOMONTH($E5931,0)),$J5931-$M5931))</f>
      </c>
      <c r="O5931" s="43">
        <f>IF($I5931=0,0,INDEX(DarlErsatzRate,13))</f>
      </c>
      <c r="P5931" s="43">
        <f>IF($I5931=0,0,$Q5930*INDEX(DarlErsatzZins,13))</f>
      </c>
      <c r="Q5931" s="43">
        <f>IF($I5931=0,0,$Q5930+$P5931+$O5931)</f>
      </c>
      <c r="R5931" s="43">
        <f>IF($I5931=0,0,$J5931-$M5931-$N5931)</f>
      </c>
    </row>
    <row r="5932">
      <c r="A5932"/>
      <c r="B5932">
        <v>13</v>
      </c>
      <c r="C5932" s="43">
        <f>INDEX(DarlObj,13)</f>
      </c>
      <c r="D5932">
        <v>169</v>
      </c>
      <c r="E5932" s="51">
        <f>IF(INDEX(DarlBelegt,13)=0,0,EOMONTH(INDEX(DarlAuszahlung,13),168)+1)</f>
      </c>
      <c r="F5932" s="43">
        <f>IF($E5932=0,0,YEAR($E5932))</f>
      </c>
      <c r="G5932" s="43">
        <f>IF(INDEX(DarlBindung,13)="",1,IF($E5932&lt;=INDEX(DarlBindung,13),1,0))</f>
      </c>
      <c r="H5932" s="43">
        <f>IF($G5932=1,INDEX(DarlSollzins,13),INDEX(DarlAnschluss,13))</f>
      </c>
      <c r="I5932" s="43">
        <f>IF(INDEX(DarlBelegt,13)=0,0,IF(INDEX(DarlOhneTilgung,13)=1,IF(INDEX(DarlBindung,13)="",1,$G5932),IF($J5932&gt;0.005,1,0)))</f>
      </c>
      <c r="J5932" s="43">
        <f>IF($I5931=0,0,$R5931)</f>
      </c>
      <c r="K5932" s="43">
        <f>IF($I5932=0,0,IF(INDEX(DarlOhneTilgung,13)=1,0,IF(AND(INDEX(DarlTilgStart,13)&gt;0,$E5932=INDEX(DarlTilgStart,13)),$J5932*($H5932+INDEX(DarlTilgung,13))/100/12,IF(AND($G5932=0,$G5931=1),MAX($K5931,$J5932*($H5932+1)/100/12),$K5931))))</f>
      </c>
      <c r="L5932" s="43">
        <f>IF($I5932=0,0,$J5932*$H5932/100/12)</f>
      </c>
      <c r="M5932" s="43">
        <f>IF($I5932=0,0,IF(OR(INDEX(DarlOhneTilgung,13)=1,AND(INDEX(DarlTilgStart,13)&gt;0,$E5932&lt;INDEX(DarlTilgStart,13))),0,MIN(MAX(0,$K5932-$L5932),$J5932)))</f>
      </c>
      <c r="N5932" s="43">
        <f>IF($I5932=0,0,MIN(SUMIFS(SondBetrag,SondDarl,13,SondDatum,"&gt;="&amp;$E5932,SondDatum,"&lt;="&amp;EOMONTH($E5932,0)),$J5932-$M5932))</f>
      </c>
      <c r="O5932" s="43">
        <f>IF($I5932=0,0,INDEX(DarlErsatzRate,13))</f>
      </c>
      <c r="P5932" s="43">
        <f>IF($I5932=0,0,$Q5931*INDEX(DarlErsatzZins,13))</f>
      </c>
      <c r="Q5932" s="43">
        <f>IF($I5932=0,0,$Q5931+$P5932+$O5932)</f>
      </c>
      <c r="R5932" s="43">
        <f>IF($I5932=0,0,$J5932-$M5932-$N5932)</f>
      </c>
    </row>
    <row r="5933">
      <c r="A5933"/>
      <c r="B5933">
        <v>13</v>
      </c>
      <c r="C5933" s="43">
        <f>INDEX(DarlObj,13)</f>
      </c>
      <c r="D5933">
        <v>170</v>
      </c>
      <c r="E5933" s="51">
        <f>IF(INDEX(DarlBelegt,13)=0,0,EOMONTH(INDEX(DarlAuszahlung,13),169)+1)</f>
      </c>
      <c r="F5933" s="43">
        <f>IF($E5933=0,0,YEAR($E5933))</f>
      </c>
      <c r="G5933" s="43">
        <f>IF(INDEX(DarlBindung,13)="",1,IF($E5933&lt;=INDEX(DarlBindung,13),1,0))</f>
      </c>
      <c r="H5933" s="43">
        <f>IF($G5933=1,INDEX(DarlSollzins,13),INDEX(DarlAnschluss,13))</f>
      </c>
      <c r="I5933" s="43">
        <f>IF(INDEX(DarlBelegt,13)=0,0,IF(INDEX(DarlOhneTilgung,13)=1,IF(INDEX(DarlBindung,13)="",1,$G5933),IF($J5933&gt;0.005,1,0)))</f>
      </c>
      <c r="J5933" s="43">
        <f>IF($I5932=0,0,$R5932)</f>
      </c>
      <c r="K5933" s="43">
        <f>IF($I5933=0,0,IF(INDEX(DarlOhneTilgung,13)=1,0,IF(AND(INDEX(DarlTilgStart,13)&gt;0,$E5933=INDEX(DarlTilgStart,13)),$J5933*($H5933+INDEX(DarlTilgung,13))/100/12,IF(AND($G5933=0,$G5932=1),MAX($K5932,$J5933*($H5933+1)/100/12),$K5932))))</f>
      </c>
      <c r="L5933" s="43">
        <f>IF($I5933=0,0,$J5933*$H5933/100/12)</f>
      </c>
      <c r="M5933" s="43">
        <f>IF($I5933=0,0,IF(OR(INDEX(DarlOhneTilgung,13)=1,AND(INDEX(DarlTilgStart,13)&gt;0,$E5933&lt;INDEX(DarlTilgStart,13))),0,MIN(MAX(0,$K5933-$L5933),$J5933)))</f>
      </c>
      <c r="N5933" s="43">
        <f>IF($I5933=0,0,MIN(SUMIFS(SondBetrag,SondDarl,13,SondDatum,"&gt;="&amp;$E5933,SondDatum,"&lt;="&amp;EOMONTH($E5933,0)),$J5933-$M5933))</f>
      </c>
      <c r="O5933" s="43">
        <f>IF($I5933=0,0,INDEX(DarlErsatzRate,13))</f>
      </c>
      <c r="P5933" s="43">
        <f>IF($I5933=0,0,$Q5932*INDEX(DarlErsatzZins,13))</f>
      </c>
      <c r="Q5933" s="43">
        <f>IF($I5933=0,0,$Q5932+$P5933+$O5933)</f>
      </c>
      <c r="R5933" s="43">
        <f>IF($I5933=0,0,$J5933-$M5933-$N5933)</f>
      </c>
    </row>
    <row r="5934">
      <c r="A5934"/>
      <c r="B5934">
        <v>13</v>
      </c>
      <c r="C5934" s="43">
        <f>INDEX(DarlObj,13)</f>
      </c>
      <c r="D5934">
        <v>171</v>
      </c>
      <c r="E5934" s="51">
        <f>IF(INDEX(DarlBelegt,13)=0,0,EOMONTH(INDEX(DarlAuszahlung,13),170)+1)</f>
      </c>
      <c r="F5934" s="43">
        <f>IF($E5934=0,0,YEAR($E5934))</f>
      </c>
      <c r="G5934" s="43">
        <f>IF(INDEX(DarlBindung,13)="",1,IF($E5934&lt;=INDEX(DarlBindung,13),1,0))</f>
      </c>
      <c r="H5934" s="43">
        <f>IF($G5934=1,INDEX(DarlSollzins,13),INDEX(DarlAnschluss,13))</f>
      </c>
      <c r="I5934" s="43">
        <f>IF(INDEX(DarlBelegt,13)=0,0,IF(INDEX(DarlOhneTilgung,13)=1,IF(INDEX(DarlBindung,13)="",1,$G5934),IF($J5934&gt;0.005,1,0)))</f>
      </c>
      <c r="J5934" s="43">
        <f>IF($I5933=0,0,$R5933)</f>
      </c>
      <c r="K5934" s="43">
        <f>IF($I5934=0,0,IF(INDEX(DarlOhneTilgung,13)=1,0,IF(AND(INDEX(DarlTilgStart,13)&gt;0,$E5934=INDEX(DarlTilgStart,13)),$J5934*($H5934+INDEX(DarlTilgung,13))/100/12,IF(AND($G5934=0,$G5933=1),MAX($K5933,$J5934*($H5934+1)/100/12),$K5933))))</f>
      </c>
      <c r="L5934" s="43">
        <f>IF($I5934=0,0,$J5934*$H5934/100/12)</f>
      </c>
      <c r="M5934" s="43">
        <f>IF($I5934=0,0,IF(OR(INDEX(DarlOhneTilgung,13)=1,AND(INDEX(DarlTilgStart,13)&gt;0,$E5934&lt;INDEX(DarlTilgStart,13))),0,MIN(MAX(0,$K5934-$L5934),$J5934)))</f>
      </c>
      <c r="N5934" s="43">
        <f>IF($I5934=0,0,MIN(SUMIFS(SondBetrag,SondDarl,13,SondDatum,"&gt;="&amp;$E5934,SondDatum,"&lt;="&amp;EOMONTH($E5934,0)),$J5934-$M5934))</f>
      </c>
      <c r="O5934" s="43">
        <f>IF($I5934=0,0,INDEX(DarlErsatzRate,13))</f>
      </c>
      <c r="P5934" s="43">
        <f>IF($I5934=0,0,$Q5933*INDEX(DarlErsatzZins,13))</f>
      </c>
      <c r="Q5934" s="43">
        <f>IF($I5934=0,0,$Q5933+$P5934+$O5934)</f>
      </c>
      <c r="R5934" s="43">
        <f>IF($I5934=0,0,$J5934-$M5934-$N5934)</f>
      </c>
    </row>
    <row r="5935">
      <c r="A5935"/>
      <c r="B5935">
        <v>13</v>
      </c>
      <c r="C5935" s="43">
        <f>INDEX(DarlObj,13)</f>
      </c>
      <c r="D5935">
        <v>172</v>
      </c>
      <c r="E5935" s="51">
        <f>IF(INDEX(DarlBelegt,13)=0,0,EOMONTH(INDEX(DarlAuszahlung,13),171)+1)</f>
      </c>
      <c r="F5935" s="43">
        <f>IF($E5935=0,0,YEAR($E5935))</f>
      </c>
      <c r="G5935" s="43">
        <f>IF(INDEX(DarlBindung,13)="",1,IF($E5935&lt;=INDEX(DarlBindung,13),1,0))</f>
      </c>
      <c r="H5935" s="43">
        <f>IF($G5935=1,INDEX(DarlSollzins,13),INDEX(DarlAnschluss,13))</f>
      </c>
      <c r="I5935" s="43">
        <f>IF(INDEX(DarlBelegt,13)=0,0,IF(INDEX(DarlOhneTilgung,13)=1,IF(INDEX(DarlBindung,13)="",1,$G5935),IF($J5935&gt;0.005,1,0)))</f>
      </c>
      <c r="J5935" s="43">
        <f>IF($I5934=0,0,$R5934)</f>
      </c>
      <c r="K5935" s="43">
        <f>IF($I5935=0,0,IF(INDEX(DarlOhneTilgung,13)=1,0,IF(AND(INDEX(DarlTilgStart,13)&gt;0,$E5935=INDEX(DarlTilgStart,13)),$J5935*($H5935+INDEX(DarlTilgung,13))/100/12,IF(AND($G5935=0,$G5934=1),MAX($K5934,$J5935*($H5935+1)/100/12),$K5934))))</f>
      </c>
      <c r="L5935" s="43">
        <f>IF($I5935=0,0,$J5935*$H5935/100/12)</f>
      </c>
      <c r="M5935" s="43">
        <f>IF($I5935=0,0,IF(OR(INDEX(DarlOhneTilgung,13)=1,AND(INDEX(DarlTilgStart,13)&gt;0,$E5935&lt;INDEX(DarlTilgStart,13))),0,MIN(MAX(0,$K5935-$L5935),$J5935)))</f>
      </c>
      <c r="N5935" s="43">
        <f>IF($I5935=0,0,MIN(SUMIFS(SondBetrag,SondDarl,13,SondDatum,"&gt;="&amp;$E5935,SondDatum,"&lt;="&amp;EOMONTH($E5935,0)),$J5935-$M5935))</f>
      </c>
      <c r="O5935" s="43">
        <f>IF($I5935=0,0,INDEX(DarlErsatzRate,13))</f>
      </c>
      <c r="P5935" s="43">
        <f>IF($I5935=0,0,$Q5934*INDEX(DarlErsatzZins,13))</f>
      </c>
      <c r="Q5935" s="43">
        <f>IF($I5935=0,0,$Q5934+$P5935+$O5935)</f>
      </c>
      <c r="R5935" s="43">
        <f>IF($I5935=0,0,$J5935-$M5935-$N5935)</f>
      </c>
    </row>
    <row r="5936">
      <c r="A5936"/>
      <c r="B5936">
        <v>13</v>
      </c>
      <c r="C5936" s="43">
        <f>INDEX(DarlObj,13)</f>
      </c>
      <c r="D5936">
        <v>173</v>
      </c>
      <c r="E5936" s="51">
        <f>IF(INDEX(DarlBelegt,13)=0,0,EOMONTH(INDEX(DarlAuszahlung,13),172)+1)</f>
      </c>
      <c r="F5936" s="43">
        <f>IF($E5936=0,0,YEAR($E5936))</f>
      </c>
      <c r="G5936" s="43">
        <f>IF(INDEX(DarlBindung,13)="",1,IF($E5936&lt;=INDEX(DarlBindung,13),1,0))</f>
      </c>
      <c r="H5936" s="43">
        <f>IF($G5936=1,INDEX(DarlSollzins,13),INDEX(DarlAnschluss,13))</f>
      </c>
      <c r="I5936" s="43">
        <f>IF(INDEX(DarlBelegt,13)=0,0,IF(INDEX(DarlOhneTilgung,13)=1,IF(INDEX(DarlBindung,13)="",1,$G5936),IF($J5936&gt;0.005,1,0)))</f>
      </c>
      <c r="J5936" s="43">
        <f>IF($I5935=0,0,$R5935)</f>
      </c>
      <c r="K5936" s="43">
        <f>IF($I5936=0,0,IF(INDEX(DarlOhneTilgung,13)=1,0,IF(AND(INDEX(DarlTilgStart,13)&gt;0,$E5936=INDEX(DarlTilgStart,13)),$J5936*($H5936+INDEX(DarlTilgung,13))/100/12,IF(AND($G5936=0,$G5935=1),MAX($K5935,$J5936*($H5936+1)/100/12),$K5935))))</f>
      </c>
      <c r="L5936" s="43">
        <f>IF($I5936=0,0,$J5936*$H5936/100/12)</f>
      </c>
      <c r="M5936" s="43">
        <f>IF($I5936=0,0,IF(OR(INDEX(DarlOhneTilgung,13)=1,AND(INDEX(DarlTilgStart,13)&gt;0,$E5936&lt;INDEX(DarlTilgStart,13))),0,MIN(MAX(0,$K5936-$L5936),$J5936)))</f>
      </c>
      <c r="N5936" s="43">
        <f>IF($I5936=0,0,MIN(SUMIFS(SondBetrag,SondDarl,13,SondDatum,"&gt;="&amp;$E5936,SondDatum,"&lt;="&amp;EOMONTH($E5936,0)),$J5936-$M5936))</f>
      </c>
      <c r="O5936" s="43">
        <f>IF($I5936=0,0,INDEX(DarlErsatzRate,13))</f>
      </c>
      <c r="P5936" s="43">
        <f>IF($I5936=0,0,$Q5935*INDEX(DarlErsatzZins,13))</f>
      </c>
      <c r="Q5936" s="43">
        <f>IF($I5936=0,0,$Q5935+$P5936+$O5936)</f>
      </c>
      <c r="R5936" s="43">
        <f>IF($I5936=0,0,$J5936-$M5936-$N5936)</f>
      </c>
    </row>
    <row r="5937">
      <c r="A5937"/>
      <c r="B5937">
        <v>13</v>
      </c>
      <c r="C5937" s="43">
        <f>INDEX(DarlObj,13)</f>
      </c>
      <c r="D5937">
        <v>174</v>
      </c>
      <c r="E5937" s="51">
        <f>IF(INDEX(DarlBelegt,13)=0,0,EOMONTH(INDEX(DarlAuszahlung,13),173)+1)</f>
      </c>
      <c r="F5937" s="43">
        <f>IF($E5937=0,0,YEAR($E5937))</f>
      </c>
      <c r="G5937" s="43">
        <f>IF(INDEX(DarlBindung,13)="",1,IF($E5937&lt;=INDEX(DarlBindung,13),1,0))</f>
      </c>
      <c r="H5937" s="43">
        <f>IF($G5937=1,INDEX(DarlSollzins,13),INDEX(DarlAnschluss,13))</f>
      </c>
      <c r="I5937" s="43">
        <f>IF(INDEX(DarlBelegt,13)=0,0,IF(INDEX(DarlOhneTilgung,13)=1,IF(INDEX(DarlBindung,13)="",1,$G5937),IF($J5937&gt;0.005,1,0)))</f>
      </c>
      <c r="J5937" s="43">
        <f>IF($I5936=0,0,$R5936)</f>
      </c>
      <c r="K5937" s="43">
        <f>IF($I5937=0,0,IF(INDEX(DarlOhneTilgung,13)=1,0,IF(AND(INDEX(DarlTilgStart,13)&gt;0,$E5937=INDEX(DarlTilgStart,13)),$J5937*($H5937+INDEX(DarlTilgung,13))/100/12,IF(AND($G5937=0,$G5936=1),MAX($K5936,$J5937*($H5937+1)/100/12),$K5936))))</f>
      </c>
      <c r="L5937" s="43">
        <f>IF($I5937=0,0,$J5937*$H5937/100/12)</f>
      </c>
      <c r="M5937" s="43">
        <f>IF($I5937=0,0,IF(OR(INDEX(DarlOhneTilgung,13)=1,AND(INDEX(DarlTilgStart,13)&gt;0,$E5937&lt;INDEX(DarlTilgStart,13))),0,MIN(MAX(0,$K5937-$L5937),$J5937)))</f>
      </c>
      <c r="N5937" s="43">
        <f>IF($I5937=0,0,MIN(SUMIFS(SondBetrag,SondDarl,13,SondDatum,"&gt;="&amp;$E5937,SondDatum,"&lt;="&amp;EOMONTH($E5937,0)),$J5937-$M5937))</f>
      </c>
      <c r="O5937" s="43">
        <f>IF($I5937=0,0,INDEX(DarlErsatzRate,13))</f>
      </c>
      <c r="P5937" s="43">
        <f>IF($I5937=0,0,$Q5936*INDEX(DarlErsatzZins,13))</f>
      </c>
      <c r="Q5937" s="43">
        <f>IF($I5937=0,0,$Q5936+$P5937+$O5937)</f>
      </c>
      <c r="R5937" s="43">
        <f>IF($I5937=0,0,$J5937-$M5937-$N5937)</f>
      </c>
    </row>
    <row r="5938">
      <c r="A5938"/>
      <c r="B5938">
        <v>13</v>
      </c>
      <c r="C5938" s="43">
        <f>INDEX(DarlObj,13)</f>
      </c>
      <c r="D5938">
        <v>175</v>
      </c>
      <c r="E5938" s="51">
        <f>IF(INDEX(DarlBelegt,13)=0,0,EOMONTH(INDEX(DarlAuszahlung,13),174)+1)</f>
      </c>
      <c r="F5938" s="43">
        <f>IF($E5938=0,0,YEAR($E5938))</f>
      </c>
      <c r="G5938" s="43">
        <f>IF(INDEX(DarlBindung,13)="",1,IF($E5938&lt;=INDEX(DarlBindung,13),1,0))</f>
      </c>
      <c r="H5938" s="43">
        <f>IF($G5938=1,INDEX(DarlSollzins,13),INDEX(DarlAnschluss,13))</f>
      </c>
      <c r="I5938" s="43">
        <f>IF(INDEX(DarlBelegt,13)=0,0,IF(INDEX(DarlOhneTilgung,13)=1,IF(INDEX(DarlBindung,13)="",1,$G5938),IF($J5938&gt;0.005,1,0)))</f>
      </c>
      <c r="J5938" s="43">
        <f>IF($I5937=0,0,$R5937)</f>
      </c>
      <c r="K5938" s="43">
        <f>IF($I5938=0,0,IF(INDEX(DarlOhneTilgung,13)=1,0,IF(AND(INDEX(DarlTilgStart,13)&gt;0,$E5938=INDEX(DarlTilgStart,13)),$J5938*($H5938+INDEX(DarlTilgung,13))/100/12,IF(AND($G5938=0,$G5937=1),MAX($K5937,$J5938*($H5938+1)/100/12),$K5937))))</f>
      </c>
      <c r="L5938" s="43">
        <f>IF($I5938=0,0,$J5938*$H5938/100/12)</f>
      </c>
      <c r="M5938" s="43">
        <f>IF($I5938=0,0,IF(OR(INDEX(DarlOhneTilgung,13)=1,AND(INDEX(DarlTilgStart,13)&gt;0,$E5938&lt;INDEX(DarlTilgStart,13))),0,MIN(MAX(0,$K5938-$L5938),$J5938)))</f>
      </c>
      <c r="N5938" s="43">
        <f>IF($I5938=0,0,MIN(SUMIFS(SondBetrag,SondDarl,13,SondDatum,"&gt;="&amp;$E5938,SondDatum,"&lt;="&amp;EOMONTH($E5938,0)),$J5938-$M5938))</f>
      </c>
      <c r="O5938" s="43">
        <f>IF($I5938=0,0,INDEX(DarlErsatzRate,13))</f>
      </c>
      <c r="P5938" s="43">
        <f>IF($I5938=0,0,$Q5937*INDEX(DarlErsatzZins,13))</f>
      </c>
      <c r="Q5938" s="43">
        <f>IF($I5938=0,0,$Q5937+$P5938+$O5938)</f>
      </c>
      <c r="R5938" s="43">
        <f>IF($I5938=0,0,$J5938-$M5938-$N5938)</f>
      </c>
    </row>
    <row r="5939">
      <c r="A5939"/>
      <c r="B5939">
        <v>13</v>
      </c>
      <c r="C5939" s="43">
        <f>INDEX(DarlObj,13)</f>
      </c>
      <c r="D5939">
        <v>176</v>
      </c>
      <c r="E5939" s="51">
        <f>IF(INDEX(DarlBelegt,13)=0,0,EOMONTH(INDEX(DarlAuszahlung,13),175)+1)</f>
      </c>
      <c r="F5939" s="43">
        <f>IF($E5939=0,0,YEAR($E5939))</f>
      </c>
      <c r="G5939" s="43">
        <f>IF(INDEX(DarlBindung,13)="",1,IF($E5939&lt;=INDEX(DarlBindung,13),1,0))</f>
      </c>
      <c r="H5939" s="43">
        <f>IF($G5939=1,INDEX(DarlSollzins,13),INDEX(DarlAnschluss,13))</f>
      </c>
      <c r="I5939" s="43">
        <f>IF(INDEX(DarlBelegt,13)=0,0,IF(INDEX(DarlOhneTilgung,13)=1,IF(INDEX(DarlBindung,13)="",1,$G5939),IF($J5939&gt;0.005,1,0)))</f>
      </c>
      <c r="J5939" s="43">
        <f>IF($I5938=0,0,$R5938)</f>
      </c>
      <c r="K5939" s="43">
        <f>IF($I5939=0,0,IF(INDEX(DarlOhneTilgung,13)=1,0,IF(AND(INDEX(DarlTilgStart,13)&gt;0,$E5939=INDEX(DarlTilgStart,13)),$J5939*($H5939+INDEX(DarlTilgung,13))/100/12,IF(AND($G5939=0,$G5938=1),MAX($K5938,$J5939*($H5939+1)/100/12),$K5938))))</f>
      </c>
      <c r="L5939" s="43">
        <f>IF($I5939=0,0,$J5939*$H5939/100/12)</f>
      </c>
      <c r="M5939" s="43">
        <f>IF($I5939=0,0,IF(OR(INDEX(DarlOhneTilgung,13)=1,AND(INDEX(DarlTilgStart,13)&gt;0,$E5939&lt;INDEX(DarlTilgStart,13))),0,MIN(MAX(0,$K5939-$L5939),$J5939)))</f>
      </c>
      <c r="N5939" s="43">
        <f>IF($I5939=0,0,MIN(SUMIFS(SondBetrag,SondDarl,13,SondDatum,"&gt;="&amp;$E5939,SondDatum,"&lt;="&amp;EOMONTH($E5939,0)),$J5939-$M5939))</f>
      </c>
      <c r="O5939" s="43">
        <f>IF($I5939=0,0,INDEX(DarlErsatzRate,13))</f>
      </c>
      <c r="P5939" s="43">
        <f>IF($I5939=0,0,$Q5938*INDEX(DarlErsatzZins,13))</f>
      </c>
      <c r="Q5939" s="43">
        <f>IF($I5939=0,0,$Q5938+$P5939+$O5939)</f>
      </c>
      <c r="R5939" s="43">
        <f>IF($I5939=0,0,$J5939-$M5939-$N5939)</f>
      </c>
    </row>
    <row r="5940">
      <c r="A5940"/>
      <c r="B5940">
        <v>13</v>
      </c>
      <c r="C5940" s="43">
        <f>INDEX(DarlObj,13)</f>
      </c>
      <c r="D5940">
        <v>177</v>
      </c>
      <c r="E5940" s="51">
        <f>IF(INDEX(DarlBelegt,13)=0,0,EOMONTH(INDEX(DarlAuszahlung,13),176)+1)</f>
      </c>
      <c r="F5940" s="43">
        <f>IF($E5940=0,0,YEAR($E5940))</f>
      </c>
      <c r="G5940" s="43">
        <f>IF(INDEX(DarlBindung,13)="",1,IF($E5940&lt;=INDEX(DarlBindung,13),1,0))</f>
      </c>
      <c r="H5940" s="43">
        <f>IF($G5940=1,INDEX(DarlSollzins,13),INDEX(DarlAnschluss,13))</f>
      </c>
      <c r="I5940" s="43">
        <f>IF(INDEX(DarlBelegt,13)=0,0,IF(INDEX(DarlOhneTilgung,13)=1,IF(INDEX(DarlBindung,13)="",1,$G5940),IF($J5940&gt;0.005,1,0)))</f>
      </c>
      <c r="J5940" s="43">
        <f>IF($I5939=0,0,$R5939)</f>
      </c>
      <c r="K5940" s="43">
        <f>IF($I5940=0,0,IF(INDEX(DarlOhneTilgung,13)=1,0,IF(AND(INDEX(DarlTilgStart,13)&gt;0,$E5940=INDEX(DarlTilgStart,13)),$J5940*($H5940+INDEX(DarlTilgung,13))/100/12,IF(AND($G5940=0,$G5939=1),MAX($K5939,$J5940*($H5940+1)/100/12),$K5939))))</f>
      </c>
      <c r="L5940" s="43">
        <f>IF($I5940=0,0,$J5940*$H5940/100/12)</f>
      </c>
      <c r="M5940" s="43">
        <f>IF($I5940=0,0,IF(OR(INDEX(DarlOhneTilgung,13)=1,AND(INDEX(DarlTilgStart,13)&gt;0,$E5940&lt;INDEX(DarlTilgStart,13))),0,MIN(MAX(0,$K5940-$L5940),$J5940)))</f>
      </c>
      <c r="N5940" s="43">
        <f>IF($I5940=0,0,MIN(SUMIFS(SondBetrag,SondDarl,13,SondDatum,"&gt;="&amp;$E5940,SondDatum,"&lt;="&amp;EOMONTH($E5940,0)),$J5940-$M5940))</f>
      </c>
      <c r="O5940" s="43">
        <f>IF($I5940=0,0,INDEX(DarlErsatzRate,13))</f>
      </c>
      <c r="P5940" s="43">
        <f>IF($I5940=0,0,$Q5939*INDEX(DarlErsatzZins,13))</f>
      </c>
      <c r="Q5940" s="43">
        <f>IF($I5940=0,0,$Q5939+$P5940+$O5940)</f>
      </c>
      <c r="R5940" s="43">
        <f>IF($I5940=0,0,$J5940-$M5940-$N5940)</f>
      </c>
    </row>
    <row r="5941">
      <c r="A5941"/>
      <c r="B5941">
        <v>13</v>
      </c>
      <c r="C5941" s="43">
        <f>INDEX(DarlObj,13)</f>
      </c>
      <c r="D5941">
        <v>178</v>
      </c>
      <c r="E5941" s="51">
        <f>IF(INDEX(DarlBelegt,13)=0,0,EOMONTH(INDEX(DarlAuszahlung,13),177)+1)</f>
      </c>
      <c r="F5941" s="43">
        <f>IF($E5941=0,0,YEAR($E5941))</f>
      </c>
      <c r="G5941" s="43">
        <f>IF(INDEX(DarlBindung,13)="",1,IF($E5941&lt;=INDEX(DarlBindung,13),1,0))</f>
      </c>
      <c r="H5941" s="43">
        <f>IF($G5941=1,INDEX(DarlSollzins,13),INDEX(DarlAnschluss,13))</f>
      </c>
      <c r="I5941" s="43">
        <f>IF(INDEX(DarlBelegt,13)=0,0,IF(INDEX(DarlOhneTilgung,13)=1,IF(INDEX(DarlBindung,13)="",1,$G5941),IF($J5941&gt;0.005,1,0)))</f>
      </c>
      <c r="J5941" s="43">
        <f>IF($I5940=0,0,$R5940)</f>
      </c>
      <c r="K5941" s="43">
        <f>IF($I5941=0,0,IF(INDEX(DarlOhneTilgung,13)=1,0,IF(AND(INDEX(DarlTilgStart,13)&gt;0,$E5941=INDEX(DarlTilgStart,13)),$J5941*($H5941+INDEX(DarlTilgung,13))/100/12,IF(AND($G5941=0,$G5940=1),MAX($K5940,$J5941*($H5941+1)/100/12),$K5940))))</f>
      </c>
      <c r="L5941" s="43">
        <f>IF($I5941=0,0,$J5941*$H5941/100/12)</f>
      </c>
      <c r="M5941" s="43">
        <f>IF($I5941=0,0,IF(OR(INDEX(DarlOhneTilgung,13)=1,AND(INDEX(DarlTilgStart,13)&gt;0,$E5941&lt;INDEX(DarlTilgStart,13))),0,MIN(MAX(0,$K5941-$L5941),$J5941)))</f>
      </c>
      <c r="N5941" s="43">
        <f>IF($I5941=0,0,MIN(SUMIFS(SondBetrag,SondDarl,13,SondDatum,"&gt;="&amp;$E5941,SondDatum,"&lt;="&amp;EOMONTH($E5941,0)),$J5941-$M5941))</f>
      </c>
      <c r="O5941" s="43">
        <f>IF($I5941=0,0,INDEX(DarlErsatzRate,13))</f>
      </c>
      <c r="P5941" s="43">
        <f>IF($I5941=0,0,$Q5940*INDEX(DarlErsatzZins,13))</f>
      </c>
      <c r="Q5941" s="43">
        <f>IF($I5941=0,0,$Q5940+$P5941+$O5941)</f>
      </c>
      <c r="R5941" s="43">
        <f>IF($I5941=0,0,$J5941-$M5941-$N5941)</f>
      </c>
    </row>
    <row r="5942">
      <c r="A5942"/>
      <c r="B5942">
        <v>13</v>
      </c>
      <c r="C5942" s="43">
        <f>INDEX(DarlObj,13)</f>
      </c>
      <c r="D5942">
        <v>179</v>
      </c>
      <c r="E5942" s="51">
        <f>IF(INDEX(DarlBelegt,13)=0,0,EOMONTH(INDEX(DarlAuszahlung,13),178)+1)</f>
      </c>
      <c r="F5942" s="43">
        <f>IF($E5942=0,0,YEAR($E5942))</f>
      </c>
      <c r="G5942" s="43">
        <f>IF(INDEX(DarlBindung,13)="",1,IF($E5942&lt;=INDEX(DarlBindung,13),1,0))</f>
      </c>
      <c r="H5942" s="43">
        <f>IF($G5942=1,INDEX(DarlSollzins,13),INDEX(DarlAnschluss,13))</f>
      </c>
      <c r="I5942" s="43">
        <f>IF(INDEX(DarlBelegt,13)=0,0,IF(INDEX(DarlOhneTilgung,13)=1,IF(INDEX(DarlBindung,13)="",1,$G5942),IF($J5942&gt;0.005,1,0)))</f>
      </c>
      <c r="J5942" s="43">
        <f>IF($I5941=0,0,$R5941)</f>
      </c>
      <c r="K5942" s="43">
        <f>IF($I5942=0,0,IF(INDEX(DarlOhneTilgung,13)=1,0,IF(AND(INDEX(DarlTilgStart,13)&gt;0,$E5942=INDEX(DarlTilgStart,13)),$J5942*($H5942+INDEX(DarlTilgung,13))/100/12,IF(AND($G5942=0,$G5941=1),MAX($K5941,$J5942*($H5942+1)/100/12),$K5941))))</f>
      </c>
      <c r="L5942" s="43">
        <f>IF($I5942=0,0,$J5942*$H5942/100/12)</f>
      </c>
      <c r="M5942" s="43">
        <f>IF($I5942=0,0,IF(OR(INDEX(DarlOhneTilgung,13)=1,AND(INDEX(DarlTilgStart,13)&gt;0,$E5942&lt;INDEX(DarlTilgStart,13))),0,MIN(MAX(0,$K5942-$L5942),$J5942)))</f>
      </c>
      <c r="N5942" s="43">
        <f>IF($I5942=0,0,MIN(SUMIFS(SondBetrag,SondDarl,13,SondDatum,"&gt;="&amp;$E5942,SondDatum,"&lt;="&amp;EOMONTH($E5942,0)),$J5942-$M5942))</f>
      </c>
      <c r="O5942" s="43">
        <f>IF($I5942=0,0,INDEX(DarlErsatzRate,13))</f>
      </c>
      <c r="P5942" s="43">
        <f>IF($I5942=0,0,$Q5941*INDEX(DarlErsatzZins,13))</f>
      </c>
      <c r="Q5942" s="43">
        <f>IF($I5942=0,0,$Q5941+$P5942+$O5942)</f>
      </c>
      <c r="R5942" s="43">
        <f>IF($I5942=0,0,$J5942-$M5942-$N5942)</f>
      </c>
    </row>
    <row r="5943">
      <c r="A5943"/>
      <c r="B5943">
        <v>13</v>
      </c>
      <c r="C5943" s="43">
        <f>INDEX(DarlObj,13)</f>
      </c>
      <c r="D5943">
        <v>180</v>
      </c>
      <c r="E5943" s="51">
        <f>IF(INDEX(DarlBelegt,13)=0,0,EOMONTH(INDEX(DarlAuszahlung,13),179)+1)</f>
      </c>
      <c r="F5943" s="43">
        <f>IF($E5943=0,0,YEAR($E5943))</f>
      </c>
      <c r="G5943" s="43">
        <f>IF(INDEX(DarlBindung,13)="",1,IF($E5943&lt;=INDEX(DarlBindung,13),1,0))</f>
      </c>
      <c r="H5943" s="43">
        <f>IF($G5943=1,INDEX(DarlSollzins,13),INDEX(DarlAnschluss,13))</f>
      </c>
      <c r="I5943" s="43">
        <f>IF(INDEX(DarlBelegt,13)=0,0,IF(INDEX(DarlOhneTilgung,13)=1,IF(INDEX(DarlBindung,13)="",1,$G5943),IF($J5943&gt;0.005,1,0)))</f>
      </c>
      <c r="J5943" s="43">
        <f>IF($I5942=0,0,$R5942)</f>
      </c>
      <c r="K5943" s="43">
        <f>IF($I5943=0,0,IF(INDEX(DarlOhneTilgung,13)=1,0,IF(AND(INDEX(DarlTilgStart,13)&gt;0,$E5943=INDEX(DarlTilgStart,13)),$J5943*($H5943+INDEX(DarlTilgung,13))/100/12,IF(AND($G5943=0,$G5942=1),MAX($K5942,$J5943*($H5943+1)/100/12),$K5942))))</f>
      </c>
      <c r="L5943" s="43">
        <f>IF($I5943=0,0,$J5943*$H5943/100/12)</f>
      </c>
      <c r="M5943" s="43">
        <f>IF($I5943=0,0,IF(OR(INDEX(DarlOhneTilgung,13)=1,AND(INDEX(DarlTilgStart,13)&gt;0,$E5943&lt;INDEX(DarlTilgStart,13))),0,MIN(MAX(0,$K5943-$L5943),$J5943)))</f>
      </c>
      <c r="N5943" s="43">
        <f>IF($I5943=0,0,MIN(SUMIFS(SondBetrag,SondDarl,13,SondDatum,"&gt;="&amp;$E5943,SondDatum,"&lt;="&amp;EOMONTH($E5943,0)),$J5943-$M5943))</f>
      </c>
      <c r="O5943" s="43">
        <f>IF($I5943=0,0,INDEX(DarlErsatzRate,13))</f>
      </c>
      <c r="P5943" s="43">
        <f>IF($I5943=0,0,$Q5942*INDEX(DarlErsatzZins,13))</f>
      </c>
      <c r="Q5943" s="43">
        <f>IF($I5943=0,0,$Q5942+$P5943+$O5943)</f>
      </c>
      <c r="R5943" s="43">
        <f>IF($I5943=0,0,$J5943-$M5943-$N5943)</f>
      </c>
    </row>
    <row r="5944">
      <c r="A5944"/>
      <c r="B5944">
        <v>13</v>
      </c>
      <c r="C5944" s="43">
        <f>INDEX(DarlObj,13)</f>
      </c>
      <c r="D5944">
        <v>181</v>
      </c>
      <c r="E5944" s="51">
        <f>IF(INDEX(DarlBelegt,13)=0,0,EOMONTH(INDEX(DarlAuszahlung,13),180)+1)</f>
      </c>
      <c r="F5944" s="43">
        <f>IF($E5944=0,0,YEAR($E5944))</f>
      </c>
      <c r="G5944" s="43">
        <f>IF(INDEX(DarlBindung,13)="",1,IF($E5944&lt;=INDEX(DarlBindung,13),1,0))</f>
      </c>
      <c r="H5944" s="43">
        <f>IF($G5944=1,INDEX(DarlSollzins,13),INDEX(DarlAnschluss,13))</f>
      </c>
      <c r="I5944" s="43">
        <f>IF(INDEX(DarlBelegt,13)=0,0,IF(INDEX(DarlOhneTilgung,13)=1,IF(INDEX(DarlBindung,13)="",1,$G5944),IF($J5944&gt;0.005,1,0)))</f>
      </c>
      <c r="J5944" s="43">
        <f>IF($I5943=0,0,$R5943)</f>
      </c>
      <c r="K5944" s="43">
        <f>IF($I5944=0,0,IF(INDEX(DarlOhneTilgung,13)=1,0,IF(AND(INDEX(DarlTilgStart,13)&gt;0,$E5944=INDEX(DarlTilgStart,13)),$J5944*($H5944+INDEX(DarlTilgung,13))/100/12,IF(AND($G5944=0,$G5943=1),MAX($K5943,$J5944*($H5944+1)/100/12),$K5943))))</f>
      </c>
      <c r="L5944" s="43">
        <f>IF($I5944=0,0,$J5944*$H5944/100/12)</f>
      </c>
      <c r="M5944" s="43">
        <f>IF($I5944=0,0,IF(OR(INDEX(DarlOhneTilgung,13)=1,AND(INDEX(DarlTilgStart,13)&gt;0,$E5944&lt;INDEX(DarlTilgStart,13))),0,MIN(MAX(0,$K5944-$L5944),$J5944)))</f>
      </c>
      <c r="N5944" s="43">
        <f>IF($I5944=0,0,MIN(SUMIFS(SondBetrag,SondDarl,13,SondDatum,"&gt;="&amp;$E5944,SondDatum,"&lt;="&amp;EOMONTH($E5944,0)),$J5944-$M5944))</f>
      </c>
      <c r="O5944" s="43">
        <f>IF($I5944=0,0,INDEX(DarlErsatzRate,13))</f>
      </c>
      <c r="P5944" s="43">
        <f>IF($I5944=0,0,$Q5943*INDEX(DarlErsatzZins,13))</f>
      </c>
      <c r="Q5944" s="43">
        <f>IF($I5944=0,0,$Q5943+$P5944+$O5944)</f>
      </c>
      <c r="R5944" s="43">
        <f>IF($I5944=0,0,$J5944-$M5944-$N5944)</f>
      </c>
    </row>
    <row r="5945">
      <c r="A5945"/>
      <c r="B5945">
        <v>13</v>
      </c>
      <c r="C5945" s="43">
        <f>INDEX(DarlObj,13)</f>
      </c>
      <c r="D5945">
        <v>182</v>
      </c>
      <c r="E5945" s="51">
        <f>IF(INDEX(DarlBelegt,13)=0,0,EOMONTH(INDEX(DarlAuszahlung,13),181)+1)</f>
      </c>
      <c r="F5945" s="43">
        <f>IF($E5945=0,0,YEAR($E5945))</f>
      </c>
      <c r="G5945" s="43">
        <f>IF(INDEX(DarlBindung,13)="",1,IF($E5945&lt;=INDEX(DarlBindung,13),1,0))</f>
      </c>
      <c r="H5945" s="43">
        <f>IF($G5945=1,INDEX(DarlSollzins,13),INDEX(DarlAnschluss,13))</f>
      </c>
      <c r="I5945" s="43">
        <f>IF(INDEX(DarlBelegt,13)=0,0,IF(INDEX(DarlOhneTilgung,13)=1,IF(INDEX(DarlBindung,13)="",1,$G5945),IF($J5945&gt;0.005,1,0)))</f>
      </c>
      <c r="J5945" s="43">
        <f>IF($I5944=0,0,$R5944)</f>
      </c>
      <c r="K5945" s="43">
        <f>IF($I5945=0,0,IF(INDEX(DarlOhneTilgung,13)=1,0,IF(AND(INDEX(DarlTilgStart,13)&gt;0,$E5945=INDEX(DarlTilgStart,13)),$J5945*($H5945+INDEX(DarlTilgung,13))/100/12,IF(AND($G5945=0,$G5944=1),MAX($K5944,$J5945*($H5945+1)/100/12),$K5944))))</f>
      </c>
      <c r="L5945" s="43">
        <f>IF($I5945=0,0,$J5945*$H5945/100/12)</f>
      </c>
      <c r="M5945" s="43">
        <f>IF($I5945=0,0,IF(OR(INDEX(DarlOhneTilgung,13)=1,AND(INDEX(DarlTilgStart,13)&gt;0,$E5945&lt;INDEX(DarlTilgStart,13))),0,MIN(MAX(0,$K5945-$L5945),$J5945)))</f>
      </c>
      <c r="N5945" s="43">
        <f>IF($I5945=0,0,MIN(SUMIFS(SondBetrag,SondDarl,13,SondDatum,"&gt;="&amp;$E5945,SondDatum,"&lt;="&amp;EOMONTH($E5945,0)),$J5945-$M5945))</f>
      </c>
      <c r="O5945" s="43">
        <f>IF($I5945=0,0,INDEX(DarlErsatzRate,13))</f>
      </c>
      <c r="P5945" s="43">
        <f>IF($I5945=0,0,$Q5944*INDEX(DarlErsatzZins,13))</f>
      </c>
      <c r="Q5945" s="43">
        <f>IF($I5945=0,0,$Q5944+$P5945+$O5945)</f>
      </c>
      <c r="R5945" s="43">
        <f>IF($I5945=0,0,$J5945-$M5945-$N5945)</f>
      </c>
    </row>
    <row r="5946">
      <c r="A5946"/>
      <c r="B5946">
        <v>13</v>
      </c>
      <c r="C5946" s="43">
        <f>INDEX(DarlObj,13)</f>
      </c>
      <c r="D5946">
        <v>183</v>
      </c>
      <c r="E5946" s="51">
        <f>IF(INDEX(DarlBelegt,13)=0,0,EOMONTH(INDEX(DarlAuszahlung,13),182)+1)</f>
      </c>
      <c r="F5946" s="43">
        <f>IF($E5946=0,0,YEAR($E5946))</f>
      </c>
      <c r="G5946" s="43">
        <f>IF(INDEX(DarlBindung,13)="",1,IF($E5946&lt;=INDEX(DarlBindung,13),1,0))</f>
      </c>
      <c r="H5946" s="43">
        <f>IF($G5946=1,INDEX(DarlSollzins,13),INDEX(DarlAnschluss,13))</f>
      </c>
      <c r="I5946" s="43">
        <f>IF(INDEX(DarlBelegt,13)=0,0,IF(INDEX(DarlOhneTilgung,13)=1,IF(INDEX(DarlBindung,13)="",1,$G5946),IF($J5946&gt;0.005,1,0)))</f>
      </c>
      <c r="J5946" s="43">
        <f>IF($I5945=0,0,$R5945)</f>
      </c>
      <c r="K5946" s="43">
        <f>IF($I5946=0,0,IF(INDEX(DarlOhneTilgung,13)=1,0,IF(AND(INDEX(DarlTilgStart,13)&gt;0,$E5946=INDEX(DarlTilgStart,13)),$J5946*($H5946+INDEX(DarlTilgung,13))/100/12,IF(AND($G5946=0,$G5945=1),MAX($K5945,$J5946*($H5946+1)/100/12),$K5945))))</f>
      </c>
      <c r="L5946" s="43">
        <f>IF($I5946=0,0,$J5946*$H5946/100/12)</f>
      </c>
      <c r="M5946" s="43">
        <f>IF($I5946=0,0,IF(OR(INDEX(DarlOhneTilgung,13)=1,AND(INDEX(DarlTilgStart,13)&gt;0,$E5946&lt;INDEX(DarlTilgStart,13))),0,MIN(MAX(0,$K5946-$L5946),$J5946)))</f>
      </c>
      <c r="N5946" s="43">
        <f>IF($I5946=0,0,MIN(SUMIFS(SondBetrag,SondDarl,13,SondDatum,"&gt;="&amp;$E5946,SondDatum,"&lt;="&amp;EOMONTH($E5946,0)),$J5946-$M5946))</f>
      </c>
      <c r="O5946" s="43">
        <f>IF($I5946=0,0,INDEX(DarlErsatzRate,13))</f>
      </c>
      <c r="P5946" s="43">
        <f>IF($I5946=0,0,$Q5945*INDEX(DarlErsatzZins,13))</f>
      </c>
      <c r="Q5946" s="43">
        <f>IF($I5946=0,0,$Q5945+$P5946+$O5946)</f>
      </c>
      <c r="R5946" s="43">
        <f>IF($I5946=0,0,$J5946-$M5946-$N5946)</f>
      </c>
    </row>
    <row r="5947">
      <c r="A5947"/>
      <c r="B5947">
        <v>13</v>
      </c>
      <c r="C5947" s="43">
        <f>INDEX(DarlObj,13)</f>
      </c>
      <c r="D5947">
        <v>184</v>
      </c>
      <c r="E5947" s="51">
        <f>IF(INDEX(DarlBelegt,13)=0,0,EOMONTH(INDEX(DarlAuszahlung,13),183)+1)</f>
      </c>
      <c r="F5947" s="43">
        <f>IF($E5947=0,0,YEAR($E5947))</f>
      </c>
      <c r="G5947" s="43">
        <f>IF(INDEX(DarlBindung,13)="",1,IF($E5947&lt;=INDEX(DarlBindung,13),1,0))</f>
      </c>
      <c r="H5947" s="43">
        <f>IF($G5947=1,INDEX(DarlSollzins,13),INDEX(DarlAnschluss,13))</f>
      </c>
      <c r="I5947" s="43">
        <f>IF(INDEX(DarlBelegt,13)=0,0,IF(INDEX(DarlOhneTilgung,13)=1,IF(INDEX(DarlBindung,13)="",1,$G5947),IF($J5947&gt;0.005,1,0)))</f>
      </c>
      <c r="J5947" s="43">
        <f>IF($I5946=0,0,$R5946)</f>
      </c>
      <c r="K5947" s="43">
        <f>IF($I5947=0,0,IF(INDEX(DarlOhneTilgung,13)=1,0,IF(AND(INDEX(DarlTilgStart,13)&gt;0,$E5947=INDEX(DarlTilgStart,13)),$J5947*($H5947+INDEX(DarlTilgung,13))/100/12,IF(AND($G5947=0,$G5946=1),MAX($K5946,$J5947*($H5947+1)/100/12),$K5946))))</f>
      </c>
      <c r="L5947" s="43">
        <f>IF($I5947=0,0,$J5947*$H5947/100/12)</f>
      </c>
      <c r="M5947" s="43">
        <f>IF($I5947=0,0,IF(OR(INDEX(DarlOhneTilgung,13)=1,AND(INDEX(DarlTilgStart,13)&gt;0,$E5947&lt;INDEX(DarlTilgStart,13))),0,MIN(MAX(0,$K5947-$L5947),$J5947)))</f>
      </c>
      <c r="N5947" s="43">
        <f>IF($I5947=0,0,MIN(SUMIFS(SondBetrag,SondDarl,13,SondDatum,"&gt;="&amp;$E5947,SondDatum,"&lt;="&amp;EOMONTH($E5947,0)),$J5947-$M5947))</f>
      </c>
      <c r="O5947" s="43">
        <f>IF($I5947=0,0,INDEX(DarlErsatzRate,13))</f>
      </c>
      <c r="P5947" s="43">
        <f>IF($I5947=0,0,$Q5946*INDEX(DarlErsatzZins,13))</f>
      </c>
      <c r="Q5947" s="43">
        <f>IF($I5947=0,0,$Q5946+$P5947+$O5947)</f>
      </c>
      <c r="R5947" s="43">
        <f>IF($I5947=0,0,$J5947-$M5947-$N5947)</f>
      </c>
    </row>
    <row r="5948">
      <c r="A5948"/>
      <c r="B5948">
        <v>13</v>
      </c>
      <c r="C5948" s="43">
        <f>INDEX(DarlObj,13)</f>
      </c>
      <c r="D5948">
        <v>185</v>
      </c>
      <c r="E5948" s="51">
        <f>IF(INDEX(DarlBelegt,13)=0,0,EOMONTH(INDEX(DarlAuszahlung,13),184)+1)</f>
      </c>
      <c r="F5948" s="43">
        <f>IF($E5948=0,0,YEAR($E5948))</f>
      </c>
      <c r="G5948" s="43">
        <f>IF(INDEX(DarlBindung,13)="",1,IF($E5948&lt;=INDEX(DarlBindung,13),1,0))</f>
      </c>
      <c r="H5948" s="43">
        <f>IF($G5948=1,INDEX(DarlSollzins,13),INDEX(DarlAnschluss,13))</f>
      </c>
      <c r="I5948" s="43">
        <f>IF(INDEX(DarlBelegt,13)=0,0,IF(INDEX(DarlOhneTilgung,13)=1,IF(INDEX(DarlBindung,13)="",1,$G5948),IF($J5948&gt;0.005,1,0)))</f>
      </c>
      <c r="J5948" s="43">
        <f>IF($I5947=0,0,$R5947)</f>
      </c>
      <c r="K5948" s="43">
        <f>IF($I5948=0,0,IF(INDEX(DarlOhneTilgung,13)=1,0,IF(AND(INDEX(DarlTilgStart,13)&gt;0,$E5948=INDEX(DarlTilgStart,13)),$J5948*($H5948+INDEX(DarlTilgung,13))/100/12,IF(AND($G5948=0,$G5947=1),MAX($K5947,$J5948*($H5948+1)/100/12),$K5947))))</f>
      </c>
      <c r="L5948" s="43">
        <f>IF($I5948=0,0,$J5948*$H5948/100/12)</f>
      </c>
      <c r="M5948" s="43">
        <f>IF($I5948=0,0,IF(OR(INDEX(DarlOhneTilgung,13)=1,AND(INDEX(DarlTilgStart,13)&gt;0,$E5948&lt;INDEX(DarlTilgStart,13))),0,MIN(MAX(0,$K5948-$L5948),$J5948)))</f>
      </c>
      <c r="N5948" s="43">
        <f>IF($I5948=0,0,MIN(SUMIFS(SondBetrag,SondDarl,13,SondDatum,"&gt;="&amp;$E5948,SondDatum,"&lt;="&amp;EOMONTH($E5948,0)),$J5948-$M5948))</f>
      </c>
      <c r="O5948" s="43">
        <f>IF($I5948=0,0,INDEX(DarlErsatzRate,13))</f>
      </c>
      <c r="P5948" s="43">
        <f>IF($I5948=0,0,$Q5947*INDEX(DarlErsatzZins,13))</f>
      </c>
      <c r="Q5948" s="43">
        <f>IF($I5948=0,0,$Q5947+$P5948+$O5948)</f>
      </c>
      <c r="R5948" s="43">
        <f>IF($I5948=0,0,$J5948-$M5948-$N5948)</f>
      </c>
    </row>
    <row r="5949">
      <c r="A5949"/>
      <c r="B5949">
        <v>13</v>
      </c>
      <c r="C5949" s="43">
        <f>INDEX(DarlObj,13)</f>
      </c>
      <c r="D5949">
        <v>186</v>
      </c>
      <c r="E5949" s="51">
        <f>IF(INDEX(DarlBelegt,13)=0,0,EOMONTH(INDEX(DarlAuszahlung,13),185)+1)</f>
      </c>
      <c r="F5949" s="43">
        <f>IF($E5949=0,0,YEAR($E5949))</f>
      </c>
      <c r="G5949" s="43">
        <f>IF(INDEX(DarlBindung,13)="",1,IF($E5949&lt;=INDEX(DarlBindung,13),1,0))</f>
      </c>
      <c r="H5949" s="43">
        <f>IF($G5949=1,INDEX(DarlSollzins,13),INDEX(DarlAnschluss,13))</f>
      </c>
      <c r="I5949" s="43">
        <f>IF(INDEX(DarlBelegt,13)=0,0,IF(INDEX(DarlOhneTilgung,13)=1,IF(INDEX(DarlBindung,13)="",1,$G5949),IF($J5949&gt;0.005,1,0)))</f>
      </c>
      <c r="J5949" s="43">
        <f>IF($I5948=0,0,$R5948)</f>
      </c>
      <c r="K5949" s="43">
        <f>IF($I5949=0,0,IF(INDEX(DarlOhneTilgung,13)=1,0,IF(AND(INDEX(DarlTilgStart,13)&gt;0,$E5949=INDEX(DarlTilgStart,13)),$J5949*($H5949+INDEX(DarlTilgung,13))/100/12,IF(AND($G5949=0,$G5948=1),MAX($K5948,$J5949*($H5949+1)/100/12),$K5948))))</f>
      </c>
      <c r="L5949" s="43">
        <f>IF($I5949=0,0,$J5949*$H5949/100/12)</f>
      </c>
      <c r="M5949" s="43">
        <f>IF($I5949=0,0,IF(OR(INDEX(DarlOhneTilgung,13)=1,AND(INDEX(DarlTilgStart,13)&gt;0,$E5949&lt;INDEX(DarlTilgStart,13))),0,MIN(MAX(0,$K5949-$L5949),$J5949)))</f>
      </c>
      <c r="N5949" s="43">
        <f>IF($I5949=0,0,MIN(SUMIFS(SondBetrag,SondDarl,13,SondDatum,"&gt;="&amp;$E5949,SondDatum,"&lt;="&amp;EOMONTH($E5949,0)),$J5949-$M5949))</f>
      </c>
      <c r="O5949" s="43">
        <f>IF($I5949=0,0,INDEX(DarlErsatzRate,13))</f>
      </c>
      <c r="P5949" s="43">
        <f>IF($I5949=0,0,$Q5948*INDEX(DarlErsatzZins,13))</f>
      </c>
      <c r="Q5949" s="43">
        <f>IF($I5949=0,0,$Q5948+$P5949+$O5949)</f>
      </c>
      <c r="R5949" s="43">
        <f>IF($I5949=0,0,$J5949-$M5949-$N5949)</f>
      </c>
    </row>
    <row r="5950">
      <c r="A5950"/>
      <c r="B5950">
        <v>13</v>
      </c>
      <c r="C5950" s="43">
        <f>INDEX(DarlObj,13)</f>
      </c>
      <c r="D5950">
        <v>187</v>
      </c>
      <c r="E5950" s="51">
        <f>IF(INDEX(DarlBelegt,13)=0,0,EOMONTH(INDEX(DarlAuszahlung,13),186)+1)</f>
      </c>
      <c r="F5950" s="43">
        <f>IF($E5950=0,0,YEAR($E5950))</f>
      </c>
      <c r="G5950" s="43">
        <f>IF(INDEX(DarlBindung,13)="",1,IF($E5950&lt;=INDEX(DarlBindung,13),1,0))</f>
      </c>
      <c r="H5950" s="43">
        <f>IF($G5950=1,INDEX(DarlSollzins,13),INDEX(DarlAnschluss,13))</f>
      </c>
      <c r="I5950" s="43">
        <f>IF(INDEX(DarlBelegt,13)=0,0,IF(INDEX(DarlOhneTilgung,13)=1,IF(INDEX(DarlBindung,13)="",1,$G5950),IF($J5950&gt;0.005,1,0)))</f>
      </c>
      <c r="J5950" s="43">
        <f>IF($I5949=0,0,$R5949)</f>
      </c>
      <c r="K5950" s="43">
        <f>IF($I5950=0,0,IF(INDEX(DarlOhneTilgung,13)=1,0,IF(AND(INDEX(DarlTilgStart,13)&gt;0,$E5950=INDEX(DarlTilgStart,13)),$J5950*($H5950+INDEX(DarlTilgung,13))/100/12,IF(AND($G5950=0,$G5949=1),MAX($K5949,$J5950*($H5950+1)/100/12),$K5949))))</f>
      </c>
      <c r="L5950" s="43">
        <f>IF($I5950=0,0,$J5950*$H5950/100/12)</f>
      </c>
      <c r="M5950" s="43">
        <f>IF($I5950=0,0,IF(OR(INDEX(DarlOhneTilgung,13)=1,AND(INDEX(DarlTilgStart,13)&gt;0,$E5950&lt;INDEX(DarlTilgStart,13))),0,MIN(MAX(0,$K5950-$L5950),$J5950)))</f>
      </c>
      <c r="N5950" s="43">
        <f>IF($I5950=0,0,MIN(SUMIFS(SondBetrag,SondDarl,13,SondDatum,"&gt;="&amp;$E5950,SondDatum,"&lt;="&amp;EOMONTH($E5950,0)),$J5950-$M5950))</f>
      </c>
      <c r="O5950" s="43">
        <f>IF($I5950=0,0,INDEX(DarlErsatzRate,13))</f>
      </c>
      <c r="P5950" s="43">
        <f>IF($I5950=0,0,$Q5949*INDEX(DarlErsatzZins,13))</f>
      </c>
      <c r="Q5950" s="43">
        <f>IF($I5950=0,0,$Q5949+$P5950+$O5950)</f>
      </c>
      <c r="R5950" s="43">
        <f>IF($I5950=0,0,$J5950-$M5950-$N5950)</f>
      </c>
    </row>
    <row r="5951">
      <c r="A5951"/>
      <c r="B5951">
        <v>13</v>
      </c>
      <c r="C5951" s="43">
        <f>INDEX(DarlObj,13)</f>
      </c>
      <c r="D5951">
        <v>188</v>
      </c>
      <c r="E5951" s="51">
        <f>IF(INDEX(DarlBelegt,13)=0,0,EOMONTH(INDEX(DarlAuszahlung,13),187)+1)</f>
      </c>
      <c r="F5951" s="43">
        <f>IF($E5951=0,0,YEAR($E5951))</f>
      </c>
      <c r="G5951" s="43">
        <f>IF(INDEX(DarlBindung,13)="",1,IF($E5951&lt;=INDEX(DarlBindung,13),1,0))</f>
      </c>
      <c r="H5951" s="43">
        <f>IF($G5951=1,INDEX(DarlSollzins,13),INDEX(DarlAnschluss,13))</f>
      </c>
      <c r="I5951" s="43">
        <f>IF(INDEX(DarlBelegt,13)=0,0,IF(INDEX(DarlOhneTilgung,13)=1,IF(INDEX(DarlBindung,13)="",1,$G5951),IF($J5951&gt;0.005,1,0)))</f>
      </c>
      <c r="J5951" s="43">
        <f>IF($I5950=0,0,$R5950)</f>
      </c>
      <c r="K5951" s="43">
        <f>IF($I5951=0,0,IF(INDEX(DarlOhneTilgung,13)=1,0,IF(AND(INDEX(DarlTilgStart,13)&gt;0,$E5951=INDEX(DarlTilgStart,13)),$J5951*($H5951+INDEX(DarlTilgung,13))/100/12,IF(AND($G5951=0,$G5950=1),MAX($K5950,$J5951*($H5951+1)/100/12),$K5950))))</f>
      </c>
      <c r="L5951" s="43">
        <f>IF($I5951=0,0,$J5951*$H5951/100/12)</f>
      </c>
      <c r="M5951" s="43">
        <f>IF($I5951=0,0,IF(OR(INDEX(DarlOhneTilgung,13)=1,AND(INDEX(DarlTilgStart,13)&gt;0,$E5951&lt;INDEX(DarlTilgStart,13))),0,MIN(MAX(0,$K5951-$L5951),$J5951)))</f>
      </c>
      <c r="N5951" s="43">
        <f>IF($I5951=0,0,MIN(SUMIFS(SondBetrag,SondDarl,13,SondDatum,"&gt;="&amp;$E5951,SondDatum,"&lt;="&amp;EOMONTH($E5951,0)),$J5951-$M5951))</f>
      </c>
      <c r="O5951" s="43">
        <f>IF($I5951=0,0,INDEX(DarlErsatzRate,13))</f>
      </c>
      <c r="P5951" s="43">
        <f>IF($I5951=0,0,$Q5950*INDEX(DarlErsatzZins,13))</f>
      </c>
      <c r="Q5951" s="43">
        <f>IF($I5951=0,0,$Q5950+$P5951+$O5951)</f>
      </c>
      <c r="R5951" s="43">
        <f>IF($I5951=0,0,$J5951-$M5951-$N5951)</f>
      </c>
    </row>
    <row r="5952">
      <c r="A5952"/>
      <c r="B5952">
        <v>13</v>
      </c>
      <c r="C5952" s="43">
        <f>INDEX(DarlObj,13)</f>
      </c>
      <c r="D5952">
        <v>189</v>
      </c>
      <c r="E5952" s="51">
        <f>IF(INDEX(DarlBelegt,13)=0,0,EOMONTH(INDEX(DarlAuszahlung,13),188)+1)</f>
      </c>
      <c r="F5952" s="43">
        <f>IF($E5952=0,0,YEAR($E5952))</f>
      </c>
      <c r="G5952" s="43">
        <f>IF(INDEX(DarlBindung,13)="",1,IF($E5952&lt;=INDEX(DarlBindung,13),1,0))</f>
      </c>
      <c r="H5952" s="43">
        <f>IF($G5952=1,INDEX(DarlSollzins,13),INDEX(DarlAnschluss,13))</f>
      </c>
      <c r="I5952" s="43">
        <f>IF(INDEX(DarlBelegt,13)=0,0,IF(INDEX(DarlOhneTilgung,13)=1,IF(INDEX(DarlBindung,13)="",1,$G5952),IF($J5952&gt;0.005,1,0)))</f>
      </c>
      <c r="J5952" s="43">
        <f>IF($I5951=0,0,$R5951)</f>
      </c>
      <c r="K5952" s="43">
        <f>IF($I5952=0,0,IF(INDEX(DarlOhneTilgung,13)=1,0,IF(AND(INDEX(DarlTilgStart,13)&gt;0,$E5952=INDEX(DarlTilgStart,13)),$J5952*($H5952+INDEX(DarlTilgung,13))/100/12,IF(AND($G5952=0,$G5951=1),MAX($K5951,$J5952*($H5952+1)/100/12),$K5951))))</f>
      </c>
      <c r="L5952" s="43">
        <f>IF($I5952=0,0,$J5952*$H5952/100/12)</f>
      </c>
      <c r="M5952" s="43">
        <f>IF($I5952=0,0,IF(OR(INDEX(DarlOhneTilgung,13)=1,AND(INDEX(DarlTilgStart,13)&gt;0,$E5952&lt;INDEX(DarlTilgStart,13))),0,MIN(MAX(0,$K5952-$L5952),$J5952)))</f>
      </c>
      <c r="N5952" s="43">
        <f>IF($I5952=0,0,MIN(SUMIFS(SondBetrag,SondDarl,13,SondDatum,"&gt;="&amp;$E5952,SondDatum,"&lt;="&amp;EOMONTH($E5952,0)),$J5952-$M5952))</f>
      </c>
      <c r="O5952" s="43">
        <f>IF($I5952=0,0,INDEX(DarlErsatzRate,13))</f>
      </c>
      <c r="P5952" s="43">
        <f>IF($I5952=0,0,$Q5951*INDEX(DarlErsatzZins,13))</f>
      </c>
      <c r="Q5952" s="43">
        <f>IF($I5952=0,0,$Q5951+$P5952+$O5952)</f>
      </c>
      <c r="R5952" s="43">
        <f>IF($I5952=0,0,$J5952-$M5952-$N5952)</f>
      </c>
    </row>
    <row r="5953">
      <c r="A5953"/>
      <c r="B5953">
        <v>13</v>
      </c>
      <c r="C5953" s="43">
        <f>INDEX(DarlObj,13)</f>
      </c>
      <c r="D5953">
        <v>190</v>
      </c>
      <c r="E5953" s="51">
        <f>IF(INDEX(DarlBelegt,13)=0,0,EOMONTH(INDEX(DarlAuszahlung,13),189)+1)</f>
      </c>
      <c r="F5953" s="43">
        <f>IF($E5953=0,0,YEAR($E5953))</f>
      </c>
      <c r="G5953" s="43">
        <f>IF(INDEX(DarlBindung,13)="",1,IF($E5953&lt;=INDEX(DarlBindung,13),1,0))</f>
      </c>
      <c r="H5953" s="43">
        <f>IF($G5953=1,INDEX(DarlSollzins,13),INDEX(DarlAnschluss,13))</f>
      </c>
      <c r="I5953" s="43">
        <f>IF(INDEX(DarlBelegt,13)=0,0,IF(INDEX(DarlOhneTilgung,13)=1,IF(INDEX(DarlBindung,13)="",1,$G5953),IF($J5953&gt;0.005,1,0)))</f>
      </c>
      <c r="J5953" s="43">
        <f>IF($I5952=0,0,$R5952)</f>
      </c>
      <c r="K5953" s="43">
        <f>IF($I5953=0,0,IF(INDEX(DarlOhneTilgung,13)=1,0,IF(AND(INDEX(DarlTilgStart,13)&gt;0,$E5953=INDEX(DarlTilgStart,13)),$J5953*($H5953+INDEX(DarlTilgung,13))/100/12,IF(AND($G5953=0,$G5952=1),MAX($K5952,$J5953*($H5953+1)/100/12),$K5952))))</f>
      </c>
      <c r="L5953" s="43">
        <f>IF($I5953=0,0,$J5953*$H5953/100/12)</f>
      </c>
      <c r="M5953" s="43">
        <f>IF($I5953=0,0,IF(OR(INDEX(DarlOhneTilgung,13)=1,AND(INDEX(DarlTilgStart,13)&gt;0,$E5953&lt;INDEX(DarlTilgStart,13))),0,MIN(MAX(0,$K5953-$L5953),$J5953)))</f>
      </c>
      <c r="N5953" s="43">
        <f>IF($I5953=0,0,MIN(SUMIFS(SondBetrag,SondDarl,13,SondDatum,"&gt;="&amp;$E5953,SondDatum,"&lt;="&amp;EOMONTH($E5953,0)),$J5953-$M5953))</f>
      </c>
      <c r="O5953" s="43">
        <f>IF($I5953=0,0,INDEX(DarlErsatzRate,13))</f>
      </c>
      <c r="P5953" s="43">
        <f>IF($I5953=0,0,$Q5952*INDEX(DarlErsatzZins,13))</f>
      </c>
      <c r="Q5953" s="43">
        <f>IF($I5953=0,0,$Q5952+$P5953+$O5953)</f>
      </c>
      <c r="R5953" s="43">
        <f>IF($I5953=0,0,$J5953-$M5953-$N5953)</f>
      </c>
    </row>
    <row r="5954">
      <c r="A5954"/>
      <c r="B5954">
        <v>13</v>
      </c>
      <c r="C5954" s="43">
        <f>INDEX(DarlObj,13)</f>
      </c>
      <c r="D5954">
        <v>191</v>
      </c>
      <c r="E5954" s="51">
        <f>IF(INDEX(DarlBelegt,13)=0,0,EOMONTH(INDEX(DarlAuszahlung,13),190)+1)</f>
      </c>
      <c r="F5954" s="43">
        <f>IF($E5954=0,0,YEAR($E5954))</f>
      </c>
      <c r="G5954" s="43">
        <f>IF(INDEX(DarlBindung,13)="",1,IF($E5954&lt;=INDEX(DarlBindung,13),1,0))</f>
      </c>
      <c r="H5954" s="43">
        <f>IF($G5954=1,INDEX(DarlSollzins,13),INDEX(DarlAnschluss,13))</f>
      </c>
      <c r="I5954" s="43">
        <f>IF(INDEX(DarlBelegt,13)=0,0,IF(INDEX(DarlOhneTilgung,13)=1,IF(INDEX(DarlBindung,13)="",1,$G5954),IF($J5954&gt;0.005,1,0)))</f>
      </c>
      <c r="J5954" s="43">
        <f>IF($I5953=0,0,$R5953)</f>
      </c>
      <c r="K5954" s="43">
        <f>IF($I5954=0,0,IF(INDEX(DarlOhneTilgung,13)=1,0,IF(AND(INDEX(DarlTilgStart,13)&gt;0,$E5954=INDEX(DarlTilgStart,13)),$J5954*($H5954+INDEX(DarlTilgung,13))/100/12,IF(AND($G5954=0,$G5953=1),MAX($K5953,$J5954*($H5954+1)/100/12),$K5953))))</f>
      </c>
      <c r="L5954" s="43">
        <f>IF($I5954=0,0,$J5954*$H5954/100/12)</f>
      </c>
      <c r="M5954" s="43">
        <f>IF($I5954=0,0,IF(OR(INDEX(DarlOhneTilgung,13)=1,AND(INDEX(DarlTilgStart,13)&gt;0,$E5954&lt;INDEX(DarlTilgStart,13))),0,MIN(MAX(0,$K5954-$L5954),$J5954)))</f>
      </c>
      <c r="N5954" s="43">
        <f>IF($I5954=0,0,MIN(SUMIFS(SondBetrag,SondDarl,13,SondDatum,"&gt;="&amp;$E5954,SondDatum,"&lt;="&amp;EOMONTH($E5954,0)),$J5954-$M5954))</f>
      </c>
      <c r="O5954" s="43">
        <f>IF($I5954=0,0,INDEX(DarlErsatzRate,13))</f>
      </c>
      <c r="P5954" s="43">
        <f>IF($I5954=0,0,$Q5953*INDEX(DarlErsatzZins,13))</f>
      </c>
      <c r="Q5954" s="43">
        <f>IF($I5954=0,0,$Q5953+$P5954+$O5954)</f>
      </c>
      <c r="R5954" s="43">
        <f>IF($I5954=0,0,$J5954-$M5954-$N5954)</f>
      </c>
    </row>
    <row r="5955">
      <c r="A5955"/>
      <c r="B5955">
        <v>13</v>
      </c>
      <c r="C5955" s="43">
        <f>INDEX(DarlObj,13)</f>
      </c>
      <c r="D5955">
        <v>192</v>
      </c>
      <c r="E5955" s="51">
        <f>IF(INDEX(DarlBelegt,13)=0,0,EOMONTH(INDEX(DarlAuszahlung,13),191)+1)</f>
      </c>
      <c r="F5955" s="43">
        <f>IF($E5955=0,0,YEAR($E5955))</f>
      </c>
      <c r="G5955" s="43">
        <f>IF(INDEX(DarlBindung,13)="",1,IF($E5955&lt;=INDEX(DarlBindung,13),1,0))</f>
      </c>
      <c r="H5955" s="43">
        <f>IF($G5955=1,INDEX(DarlSollzins,13),INDEX(DarlAnschluss,13))</f>
      </c>
      <c r="I5955" s="43">
        <f>IF(INDEX(DarlBelegt,13)=0,0,IF(INDEX(DarlOhneTilgung,13)=1,IF(INDEX(DarlBindung,13)="",1,$G5955),IF($J5955&gt;0.005,1,0)))</f>
      </c>
      <c r="J5955" s="43">
        <f>IF($I5954=0,0,$R5954)</f>
      </c>
      <c r="K5955" s="43">
        <f>IF($I5955=0,0,IF(INDEX(DarlOhneTilgung,13)=1,0,IF(AND(INDEX(DarlTilgStart,13)&gt;0,$E5955=INDEX(DarlTilgStart,13)),$J5955*($H5955+INDEX(DarlTilgung,13))/100/12,IF(AND($G5955=0,$G5954=1),MAX($K5954,$J5955*($H5955+1)/100/12),$K5954))))</f>
      </c>
      <c r="L5955" s="43">
        <f>IF($I5955=0,0,$J5955*$H5955/100/12)</f>
      </c>
      <c r="M5955" s="43">
        <f>IF($I5955=0,0,IF(OR(INDEX(DarlOhneTilgung,13)=1,AND(INDEX(DarlTilgStart,13)&gt;0,$E5955&lt;INDEX(DarlTilgStart,13))),0,MIN(MAX(0,$K5955-$L5955),$J5955)))</f>
      </c>
      <c r="N5955" s="43">
        <f>IF($I5955=0,0,MIN(SUMIFS(SondBetrag,SondDarl,13,SondDatum,"&gt;="&amp;$E5955,SondDatum,"&lt;="&amp;EOMONTH($E5955,0)),$J5955-$M5955))</f>
      </c>
      <c r="O5955" s="43">
        <f>IF($I5955=0,0,INDEX(DarlErsatzRate,13))</f>
      </c>
      <c r="P5955" s="43">
        <f>IF($I5955=0,0,$Q5954*INDEX(DarlErsatzZins,13))</f>
      </c>
      <c r="Q5955" s="43">
        <f>IF($I5955=0,0,$Q5954+$P5955+$O5955)</f>
      </c>
      <c r="R5955" s="43">
        <f>IF($I5955=0,0,$J5955-$M5955-$N5955)</f>
      </c>
    </row>
    <row r="5956">
      <c r="A5956"/>
      <c r="B5956">
        <v>13</v>
      </c>
      <c r="C5956" s="43">
        <f>INDEX(DarlObj,13)</f>
      </c>
      <c r="D5956">
        <v>193</v>
      </c>
      <c r="E5956" s="51">
        <f>IF(INDEX(DarlBelegt,13)=0,0,EOMONTH(INDEX(DarlAuszahlung,13),192)+1)</f>
      </c>
      <c r="F5956" s="43">
        <f>IF($E5956=0,0,YEAR($E5956))</f>
      </c>
      <c r="G5956" s="43">
        <f>IF(INDEX(DarlBindung,13)="",1,IF($E5956&lt;=INDEX(DarlBindung,13),1,0))</f>
      </c>
      <c r="H5956" s="43">
        <f>IF($G5956=1,INDEX(DarlSollzins,13),INDEX(DarlAnschluss,13))</f>
      </c>
      <c r="I5956" s="43">
        <f>IF(INDEX(DarlBelegt,13)=0,0,IF(INDEX(DarlOhneTilgung,13)=1,IF(INDEX(DarlBindung,13)="",1,$G5956),IF($J5956&gt;0.005,1,0)))</f>
      </c>
      <c r="J5956" s="43">
        <f>IF($I5955=0,0,$R5955)</f>
      </c>
      <c r="K5956" s="43">
        <f>IF($I5956=0,0,IF(INDEX(DarlOhneTilgung,13)=1,0,IF(AND(INDEX(DarlTilgStart,13)&gt;0,$E5956=INDEX(DarlTilgStart,13)),$J5956*($H5956+INDEX(DarlTilgung,13))/100/12,IF(AND($G5956=0,$G5955=1),MAX($K5955,$J5956*($H5956+1)/100/12),$K5955))))</f>
      </c>
      <c r="L5956" s="43">
        <f>IF($I5956=0,0,$J5956*$H5956/100/12)</f>
      </c>
      <c r="M5956" s="43">
        <f>IF($I5956=0,0,IF(OR(INDEX(DarlOhneTilgung,13)=1,AND(INDEX(DarlTilgStart,13)&gt;0,$E5956&lt;INDEX(DarlTilgStart,13))),0,MIN(MAX(0,$K5956-$L5956),$J5956)))</f>
      </c>
      <c r="N5956" s="43">
        <f>IF($I5956=0,0,MIN(SUMIFS(SondBetrag,SondDarl,13,SondDatum,"&gt;="&amp;$E5956,SondDatum,"&lt;="&amp;EOMONTH($E5956,0)),$J5956-$M5956))</f>
      </c>
      <c r="O5956" s="43">
        <f>IF($I5956=0,0,INDEX(DarlErsatzRate,13))</f>
      </c>
      <c r="P5956" s="43">
        <f>IF($I5956=0,0,$Q5955*INDEX(DarlErsatzZins,13))</f>
      </c>
      <c r="Q5956" s="43">
        <f>IF($I5956=0,0,$Q5955+$P5956+$O5956)</f>
      </c>
      <c r="R5956" s="43">
        <f>IF($I5956=0,0,$J5956-$M5956-$N5956)</f>
      </c>
    </row>
    <row r="5957">
      <c r="A5957"/>
      <c r="B5957">
        <v>13</v>
      </c>
      <c r="C5957" s="43">
        <f>INDEX(DarlObj,13)</f>
      </c>
      <c r="D5957">
        <v>194</v>
      </c>
      <c r="E5957" s="51">
        <f>IF(INDEX(DarlBelegt,13)=0,0,EOMONTH(INDEX(DarlAuszahlung,13),193)+1)</f>
      </c>
      <c r="F5957" s="43">
        <f>IF($E5957=0,0,YEAR($E5957))</f>
      </c>
      <c r="G5957" s="43">
        <f>IF(INDEX(DarlBindung,13)="",1,IF($E5957&lt;=INDEX(DarlBindung,13),1,0))</f>
      </c>
      <c r="H5957" s="43">
        <f>IF($G5957=1,INDEX(DarlSollzins,13),INDEX(DarlAnschluss,13))</f>
      </c>
      <c r="I5957" s="43">
        <f>IF(INDEX(DarlBelegt,13)=0,0,IF(INDEX(DarlOhneTilgung,13)=1,IF(INDEX(DarlBindung,13)="",1,$G5957),IF($J5957&gt;0.005,1,0)))</f>
      </c>
      <c r="J5957" s="43">
        <f>IF($I5956=0,0,$R5956)</f>
      </c>
      <c r="K5957" s="43">
        <f>IF($I5957=0,0,IF(INDEX(DarlOhneTilgung,13)=1,0,IF(AND(INDEX(DarlTilgStart,13)&gt;0,$E5957=INDEX(DarlTilgStart,13)),$J5957*($H5957+INDEX(DarlTilgung,13))/100/12,IF(AND($G5957=0,$G5956=1),MAX($K5956,$J5957*($H5957+1)/100/12),$K5956))))</f>
      </c>
      <c r="L5957" s="43">
        <f>IF($I5957=0,0,$J5957*$H5957/100/12)</f>
      </c>
      <c r="M5957" s="43">
        <f>IF($I5957=0,0,IF(OR(INDEX(DarlOhneTilgung,13)=1,AND(INDEX(DarlTilgStart,13)&gt;0,$E5957&lt;INDEX(DarlTilgStart,13))),0,MIN(MAX(0,$K5957-$L5957),$J5957)))</f>
      </c>
      <c r="N5957" s="43">
        <f>IF($I5957=0,0,MIN(SUMIFS(SondBetrag,SondDarl,13,SondDatum,"&gt;="&amp;$E5957,SondDatum,"&lt;="&amp;EOMONTH($E5957,0)),$J5957-$M5957))</f>
      </c>
      <c r="O5957" s="43">
        <f>IF($I5957=0,0,INDEX(DarlErsatzRate,13))</f>
      </c>
      <c r="P5957" s="43">
        <f>IF($I5957=0,0,$Q5956*INDEX(DarlErsatzZins,13))</f>
      </c>
      <c r="Q5957" s="43">
        <f>IF($I5957=0,0,$Q5956+$P5957+$O5957)</f>
      </c>
      <c r="R5957" s="43">
        <f>IF($I5957=0,0,$J5957-$M5957-$N5957)</f>
      </c>
    </row>
    <row r="5958">
      <c r="A5958"/>
      <c r="B5958">
        <v>13</v>
      </c>
      <c r="C5958" s="43">
        <f>INDEX(DarlObj,13)</f>
      </c>
      <c r="D5958">
        <v>195</v>
      </c>
      <c r="E5958" s="51">
        <f>IF(INDEX(DarlBelegt,13)=0,0,EOMONTH(INDEX(DarlAuszahlung,13),194)+1)</f>
      </c>
      <c r="F5958" s="43">
        <f>IF($E5958=0,0,YEAR($E5958))</f>
      </c>
      <c r="G5958" s="43">
        <f>IF(INDEX(DarlBindung,13)="",1,IF($E5958&lt;=INDEX(DarlBindung,13),1,0))</f>
      </c>
      <c r="H5958" s="43">
        <f>IF($G5958=1,INDEX(DarlSollzins,13),INDEX(DarlAnschluss,13))</f>
      </c>
      <c r="I5958" s="43">
        <f>IF(INDEX(DarlBelegt,13)=0,0,IF(INDEX(DarlOhneTilgung,13)=1,IF(INDEX(DarlBindung,13)="",1,$G5958),IF($J5958&gt;0.005,1,0)))</f>
      </c>
      <c r="J5958" s="43">
        <f>IF($I5957=0,0,$R5957)</f>
      </c>
      <c r="K5958" s="43">
        <f>IF($I5958=0,0,IF(INDEX(DarlOhneTilgung,13)=1,0,IF(AND(INDEX(DarlTilgStart,13)&gt;0,$E5958=INDEX(DarlTilgStart,13)),$J5958*($H5958+INDEX(DarlTilgung,13))/100/12,IF(AND($G5958=0,$G5957=1),MAX($K5957,$J5958*($H5958+1)/100/12),$K5957))))</f>
      </c>
      <c r="L5958" s="43">
        <f>IF($I5958=0,0,$J5958*$H5958/100/12)</f>
      </c>
      <c r="M5958" s="43">
        <f>IF($I5958=0,0,IF(OR(INDEX(DarlOhneTilgung,13)=1,AND(INDEX(DarlTilgStart,13)&gt;0,$E5958&lt;INDEX(DarlTilgStart,13))),0,MIN(MAX(0,$K5958-$L5958),$J5958)))</f>
      </c>
      <c r="N5958" s="43">
        <f>IF($I5958=0,0,MIN(SUMIFS(SondBetrag,SondDarl,13,SondDatum,"&gt;="&amp;$E5958,SondDatum,"&lt;="&amp;EOMONTH($E5958,0)),$J5958-$M5958))</f>
      </c>
      <c r="O5958" s="43">
        <f>IF($I5958=0,0,INDEX(DarlErsatzRate,13))</f>
      </c>
      <c r="P5958" s="43">
        <f>IF($I5958=0,0,$Q5957*INDEX(DarlErsatzZins,13))</f>
      </c>
      <c r="Q5958" s="43">
        <f>IF($I5958=0,0,$Q5957+$P5958+$O5958)</f>
      </c>
      <c r="R5958" s="43">
        <f>IF($I5958=0,0,$J5958-$M5958-$N5958)</f>
      </c>
    </row>
    <row r="5959">
      <c r="A5959"/>
      <c r="B5959">
        <v>13</v>
      </c>
      <c r="C5959" s="43">
        <f>INDEX(DarlObj,13)</f>
      </c>
      <c r="D5959">
        <v>196</v>
      </c>
      <c r="E5959" s="51">
        <f>IF(INDEX(DarlBelegt,13)=0,0,EOMONTH(INDEX(DarlAuszahlung,13),195)+1)</f>
      </c>
      <c r="F5959" s="43">
        <f>IF($E5959=0,0,YEAR($E5959))</f>
      </c>
      <c r="G5959" s="43">
        <f>IF(INDEX(DarlBindung,13)="",1,IF($E5959&lt;=INDEX(DarlBindung,13),1,0))</f>
      </c>
      <c r="H5959" s="43">
        <f>IF($G5959=1,INDEX(DarlSollzins,13),INDEX(DarlAnschluss,13))</f>
      </c>
      <c r="I5959" s="43">
        <f>IF(INDEX(DarlBelegt,13)=0,0,IF(INDEX(DarlOhneTilgung,13)=1,IF(INDEX(DarlBindung,13)="",1,$G5959),IF($J5959&gt;0.005,1,0)))</f>
      </c>
      <c r="J5959" s="43">
        <f>IF($I5958=0,0,$R5958)</f>
      </c>
      <c r="K5959" s="43">
        <f>IF($I5959=0,0,IF(INDEX(DarlOhneTilgung,13)=1,0,IF(AND(INDEX(DarlTilgStart,13)&gt;0,$E5959=INDEX(DarlTilgStart,13)),$J5959*($H5959+INDEX(DarlTilgung,13))/100/12,IF(AND($G5959=0,$G5958=1),MAX($K5958,$J5959*($H5959+1)/100/12),$K5958))))</f>
      </c>
      <c r="L5959" s="43">
        <f>IF($I5959=0,0,$J5959*$H5959/100/12)</f>
      </c>
      <c r="M5959" s="43">
        <f>IF($I5959=0,0,IF(OR(INDEX(DarlOhneTilgung,13)=1,AND(INDEX(DarlTilgStart,13)&gt;0,$E5959&lt;INDEX(DarlTilgStart,13))),0,MIN(MAX(0,$K5959-$L5959),$J5959)))</f>
      </c>
      <c r="N5959" s="43">
        <f>IF($I5959=0,0,MIN(SUMIFS(SondBetrag,SondDarl,13,SondDatum,"&gt;="&amp;$E5959,SondDatum,"&lt;="&amp;EOMONTH($E5959,0)),$J5959-$M5959))</f>
      </c>
      <c r="O5959" s="43">
        <f>IF($I5959=0,0,INDEX(DarlErsatzRate,13))</f>
      </c>
      <c r="P5959" s="43">
        <f>IF($I5959=0,0,$Q5958*INDEX(DarlErsatzZins,13))</f>
      </c>
      <c r="Q5959" s="43">
        <f>IF($I5959=0,0,$Q5958+$P5959+$O5959)</f>
      </c>
      <c r="R5959" s="43">
        <f>IF($I5959=0,0,$J5959-$M5959-$N5959)</f>
      </c>
    </row>
    <row r="5960">
      <c r="A5960"/>
      <c r="B5960">
        <v>13</v>
      </c>
      <c r="C5960" s="43">
        <f>INDEX(DarlObj,13)</f>
      </c>
      <c r="D5960">
        <v>197</v>
      </c>
      <c r="E5960" s="51">
        <f>IF(INDEX(DarlBelegt,13)=0,0,EOMONTH(INDEX(DarlAuszahlung,13),196)+1)</f>
      </c>
      <c r="F5960" s="43">
        <f>IF($E5960=0,0,YEAR($E5960))</f>
      </c>
      <c r="G5960" s="43">
        <f>IF(INDEX(DarlBindung,13)="",1,IF($E5960&lt;=INDEX(DarlBindung,13),1,0))</f>
      </c>
      <c r="H5960" s="43">
        <f>IF($G5960=1,INDEX(DarlSollzins,13),INDEX(DarlAnschluss,13))</f>
      </c>
      <c r="I5960" s="43">
        <f>IF(INDEX(DarlBelegt,13)=0,0,IF(INDEX(DarlOhneTilgung,13)=1,IF(INDEX(DarlBindung,13)="",1,$G5960),IF($J5960&gt;0.005,1,0)))</f>
      </c>
      <c r="J5960" s="43">
        <f>IF($I5959=0,0,$R5959)</f>
      </c>
      <c r="K5960" s="43">
        <f>IF($I5960=0,0,IF(INDEX(DarlOhneTilgung,13)=1,0,IF(AND(INDEX(DarlTilgStart,13)&gt;0,$E5960=INDEX(DarlTilgStart,13)),$J5960*($H5960+INDEX(DarlTilgung,13))/100/12,IF(AND($G5960=0,$G5959=1),MAX($K5959,$J5960*($H5960+1)/100/12),$K5959))))</f>
      </c>
      <c r="L5960" s="43">
        <f>IF($I5960=0,0,$J5960*$H5960/100/12)</f>
      </c>
      <c r="M5960" s="43">
        <f>IF($I5960=0,0,IF(OR(INDEX(DarlOhneTilgung,13)=1,AND(INDEX(DarlTilgStart,13)&gt;0,$E5960&lt;INDEX(DarlTilgStart,13))),0,MIN(MAX(0,$K5960-$L5960),$J5960)))</f>
      </c>
      <c r="N5960" s="43">
        <f>IF($I5960=0,0,MIN(SUMIFS(SondBetrag,SondDarl,13,SondDatum,"&gt;="&amp;$E5960,SondDatum,"&lt;="&amp;EOMONTH($E5960,0)),$J5960-$M5960))</f>
      </c>
      <c r="O5960" s="43">
        <f>IF($I5960=0,0,INDEX(DarlErsatzRate,13))</f>
      </c>
      <c r="P5960" s="43">
        <f>IF($I5960=0,0,$Q5959*INDEX(DarlErsatzZins,13))</f>
      </c>
      <c r="Q5960" s="43">
        <f>IF($I5960=0,0,$Q5959+$P5960+$O5960)</f>
      </c>
      <c r="R5960" s="43">
        <f>IF($I5960=0,0,$J5960-$M5960-$N5960)</f>
      </c>
    </row>
    <row r="5961">
      <c r="A5961"/>
      <c r="B5961">
        <v>13</v>
      </c>
      <c r="C5961" s="43">
        <f>INDEX(DarlObj,13)</f>
      </c>
      <c r="D5961">
        <v>198</v>
      </c>
      <c r="E5961" s="51">
        <f>IF(INDEX(DarlBelegt,13)=0,0,EOMONTH(INDEX(DarlAuszahlung,13),197)+1)</f>
      </c>
      <c r="F5961" s="43">
        <f>IF($E5961=0,0,YEAR($E5961))</f>
      </c>
      <c r="G5961" s="43">
        <f>IF(INDEX(DarlBindung,13)="",1,IF($E5961&lt;=INDEX(DarlBindung,13),1,0))</f>
      </c>
      <c r="H5961" s="43">
        <f>IF($G5961=1,INDEX(DarlSollzins,13),INDEX(DarlAnschluss,13))</f>
      </c>
      <c r="I5961" s="43">
        <f>IF(INDEX(DarlBelegt,13)=0,0,IF(INDEX(DarlOhneTilgung,13)=1,IF(INDEX(DarlBindung,13)="",1,$G5961),IF($J5961&gt;0.005,1,0)))</f>
      </c>
      <c r="J5961" s="43">
        <f>IF($I5960=0,0,$R5960)</f>
      </c>
      <c r="K5961" s="43">
        <f>IF($I5961=0,0,IF(INDEX(DarlOhneTilgung,13)=1,0,IF(AND(INDEX(DarlTilgStart,13)&gt;0,$E5961=INDEX(DarlTilgStart,13)),$J5961*($H5961+INDEX(DarlTilgung,13))/100/12,IF(AND($G5961=0,$G5960=1),MAX($K5960,$J5961*($H5961+1)/100/12),$K5960))))</f>
      </c>
      <c r="L5961" s="43">
        <f>IF($I5961=0,0,$J5961*$H5961/100/12)</f>
      </c>
      <c r="M5961" s="43">
        <f>IF($I5961=0,0,IF(OR(INDEX(DarlOhneTilgung,13)=1,AND(INDEX(DarlTilgStart,13)&gt;0,$E5961&lt;INDEX(DarlTilgStart,13))),0,MIN(MAX(0,$K5961-$L5961),$J5961)))</f>
      </c>
      <c r="N5961" s="43">
        <f>IF($I5961=0,0,MIN(SUMIFS(SondBetrag,SondDarl,13,SondDatum,"&gt;="&amp;$E5961,SondDatum,"&lt;="&amp;EOMONTH($E5961,0)),$J5961-$M5961))</f>
      </c>
      <c r="O5961" s="43">
        <f>IF($I5961=0,0,INDEX(DarlErsatzRate,13))</f>
      </c>
      <c r="P5961" s="43">
        <f>IF($I5961=0,0,$Q5960*INDEX(DarlErsatzZins,13))</f>
      </c>
      <c r="Q5961" s="43">
        <f>IF($I5961=0,0,$Q5960+$P5961+$O5961)</f>
      </c>
      <c r="R5961" s="43">
        <f>IF($I5961=0,0,$J5961-$M5961-$N5961)</f>
      </c>
    </row>
    <row r="5962">
      <c r="A5962"/>
      <c r="B5962">
        <v>13</v>
      </c>
      <c r="C5962" s="43">
        <f>INDEX(DarlObj,13)</f>
      </c>
      <c r="D5962">
        <v>199</v>
      </c>
      <c r="E5962" s="51">
        <f>IF(INDEX(DarlBelegt,13)=0,0,EOMONTH(INDEX(DarlAuszahlung,13),198)+1)</f>
      </c>
      <c r="F5962" s="43">
        <f>IF($E5962=0,0,YEAR($E5962))</f>
      </c>
      <c r="G5962" s="43">
        <f>IF(INDEX(DarlBindung,13)="",1,IF($E5962&lt;=INDEX(DarlBindung,13),1,0))</f>
      </c>
      <c r="H5962" s="43">
        <f>IF($G5962=1,INDEX(DarlSollzins,13),INDEX(DarlAnschluss,13))</f>
      </c>
      <c r="I5962" s="43">
        <f>IF(INDEX(DarlBelegt,13)=0,0,IF(INDEX(DarlOhneTilgung,13)=1,IF(INDEX(DarlBindung,13)="",1,$G5962),IF($J5962&gt;0.005,1,0)))</f>
      </c>
      <c r="J5962" s="43">
        <f>IF($I5961=0,0,$R5961)</f>
      </c>
      <c r="K5962" s="43">
        <f>IF($I5962=0,0,IF(INDEX(DarlOhneTilgung,13)=1,0,IF(AND(INDEX(DarlTilgStart,13)&gt;0,$E5962=INDEX(DarlTilgStart,13)),$J5962*($H5962+INDEX(DarlTilgung,13))/100/12,IF(AND($G5962=0,$G5961=1),MAX($K5961,$J5962*($H5962+1)/100/12),$K5961))))</f>
      </c>
      <c r="L5962" s="43">
        <f>IF($I5962=0,0,$J5962*$H5962/100/12)</f>
      </c>
      <c r="M5962" s="43">
        <f>IF($I5962=0,0,IF(OR(INDEX(DarlOhneTilgung,13)=1,AND(INDEX(DarlTilgStart,13)&gt;0,$E5962&lt;INDEX(DarlTilgStart,13))),0,MIN(MAX(0,$K5962-$L5962),$J5962)))</f>
      </c>
      <c r="N5962" s="43">
        <f>IF($I5962=0,0,MIN(SUMIFS(SondBetrag,SondDarl,13,SondDatum,"&gt;="&amp;$E5962,SondDatum,"&lt;="&amp;EOMONTH($E5962,0)),$J5962-$M5962))</f>
      </c>
      <c r="O5962" s="43">
        <f>IF($I5962=0,0,INDEX(DarlErsatzRate,13))</f>
      </c>
      <c r="P5962" s="43">
        <f>IF($I5962=0,0,$Q5961*INDEX(DarlErsatzZins,13))</f>
      </c>
      <c r="Q5962" s="43">
        <f>IF($I5962=0,0,$Q5961+$P5962+$O5962)</f>
      </c>
      <c r="R5962" s="43">
        <f>IF($I5962=0,0,$J5962-$M5962-$N5962)</f>
      </c>
    </row>
    <row r="5963">
      <c r="A5963"/>
      <c r="B5963">
        <v>13</v>
      </c>
      <c r="C5963" s="43">
        <f>INDEX(DarlObj,13)</f>
      </c>
      <c r="D5963">
        <v>200</v>
      </c>
      <c r="E5963" s="51">
        <f>IF(INDEX(DarlBelegt,13)=0,0,EOMONTH(INDEX(DarlAuszahlung,13),199)+1)</f>
      </c>
      <c r="F5963" s="43">
        <f>IF($E5963=0,0,YEAR($E5963))</f>
      </c>
      <c r="G5963" s="43">
        <f>IF(INDEX(DarlBindung,13)="",1,IF($E5963&lt;=INDEX(DarlBindung,13),1,0))</f>
      </c>
      <c r="H5963" s="43">
        <f>IF($G5963=1,INDEX(DarlSollzins,13),INDEX(DarlAnschluss,13))</f>
      </c>
      <c r="I5963" s="43">
        <f>IF(INDEX(DarlBelegt,13)=0,0,IF(INDEX(DarlOhneTilgung,13)=1,IF(INDEX(DarlBindung,13)="",1,$G5963),IF($J5963&gt;0.005,1,0)))</f>
      </c>
      <c r="J5963" s="43">
        <f>IF($I5962=0,0,$R5962)</f>
      </c>
      <c r="K5963" s="43">
        <f>IF($I5963=0,0,IF(INDEX(DarlOhneTilgung,13)=1,0,IF(AND(INDEX(DarlTilgStart,13)&gt;0,$E5963=INDEX(DarlTilgStart,13)),$J5963*($H5963+INDEX(DarlTilgung,13))/100/12,IF(AND($G5963=0,$G5962=1),MAX($K5962,$J5963*($H5963+1)/100/12),$K5962))))</f>
      </c>
      <c r="L5963" s="43">
        <f>IF($I5963=0,0,$J5963*$H5963/100/12)</f>
      </c>
      <c r="M5963" s="43">
        <f>IF($I5963=0,0,IF(OR(INDEX(DarlOhneTilgung,13)=1,AND(INDEX(DarlTilgStart,13)&gt;0,$E5963&lt;INDEX(DarlTilgStart,13))),0,MIN(MAX(0,$K5963-$L5963),$J5963)))</f>
      </c>
      <c r="N5963" s="43">
        <f>IF($I5963=0,0,MIN(SUMIFS(SondBetrag,SondDarl,13,SondDatum,"&gt;="&amp;$E5963,SondDatum,"&lt;="&amp;EOMONTH($E5963,0)),$J5963-$M5963))</f>
      </c>
      <c r="O5963" s="43">
        <f>IF($I5963=0,0,INDEX(DarlErsatzRate,13))</f>
      </c>
      <c r="P5963" s="43">
        <f>IF($I5963=0,0,$Q5962*INDEX(DarlErsatzZins,13))</f>
      </c>
      <c r="Q5963" s="43">
        <f>IF($I5963=0,0,$Q5962+$P5963+$O5963)</f>
      </c>
      <c r="R5963" s="43">
        <f>IF($I5963=0,0,$J5963-$M5963-$N5963)</f>
      </c>
    </row>
    <row r="5964">
      <c r="A5964"/>
      <c r="B5964">
        <v>13</v>
      </c>
      <c r="C5964" s="43">
        <f>INDEX(DarlObj,13)</f>
      </c>
      <c r="D5964">
        <v>201</v>
      </c>
      <c r="E5964" s="51">
        <f>IF(INDEX(DarlBelegt,13)=0,0,EOMONTH(INDEX(DarlAuszahlung,13),200)+1)</f>
      </c>
      <c r="F5964" s="43">
        <f>IF($E5964=0,0,YEAR($E5964))</f>
      </c>
      <c r="G5964" s="43">
        <f>IF(INDEX(DarlBindung,13)="",1,IF($E5964&lt;=INDEX(DarlBindung,13),1,0))</f>
      </c>
      <c r="H5964" s="43">
        <f>IF($G5964=1,INDEX(DarlSollzins,13),INDEX(DarlAnschluss,13))</f>
      </c>
      <c r="I5964" s="43">
        <f>IF(INDEX(DarlBelegt,13)=0,0,IF(INDEX(DarlOhneTilgung,13)=1,IF(INDEX(DarlBindung,13)="",1,$G5964),IF($J5964&gt;0.005,1,0)))</f>
      </c>
      <c r="J5964" s="43">
        <f>IF($I5963=0,0,$R5963)</f>
      </c>
      <c r="K5964" s="43">
        <f>IF($I5964=0,0,IF(INDEX(DarlOhneTilgung,13)=1,0,IF(AND(INDEX(DarlTilgStart,13)&gt;0,$E5964=INDEX(DarlTilgStart,13)),$J5964*($H5964+INDEX(DarlTilgung,13))/100/12,IF(AND($G5964=0,$G5963=1),MAX($K5963,$J5964*($H5964+1)/100/12),$K5963))))</f>
      </c>
      <c r="L5964" s="43">
        <f>IF($I5964=0,0,$J5964*$H5964/100/12)</f>
      </c>
      <c r="M5964" s="43">
        <f>IF($I5964=0,0,IF(OR(INDEX(DarlOhneTilgung,13)=1,AND(INDEX(DarlTilgStart,13)&gt;0,$E5964&lt;INDEX(DarlTilgStart,13))),0,MIN(MAX(0,$K5964-$L5964),$J5964)))</f>
      </c>
      <c r="N5964" s="43">
        <f>IF($I5964=0,0,MIN(SUMIFS(SondBetrag,SondDarl,13,SondDatum,"&gt;="&amp;$E5964,SondDatum,"&lt;="&amp;EOMONTH($E5964,0)),$J5964-$M5964))</f>
      </c>
      <c r="O5964" s="43">
        <f>IF($I5964=0,0,INDEX(DarlErsatzRate,13))</f>
      </c>
      <c r="P5964" s="43">
        <f>IF($I5964=0,0,$Q5963*INDEX(DarlErsatzZins,13))</f>
      </c>
      <c r="Q5964" s="43">
        <f>IF($I5964=0,0,$Q5963+$P5964+$O5964)</f>
      </c>
      <c r="R5964" s="43">
        <f>IF($I5964=0,0,$J5964-$M5964-$N5964)</f>
      </c>
    </row>
    <row r="5965">
      <c r="A5965"/>
      <c r="B5965">
        <v>13</v>
      </c>
      <c r="C5965" s="43">
        <f>INDEX(DarlObj,13)</f>
      </c>
      <c r="D5965">
        <v>202</v>
      </c>
      <c r="E5965" s="51">
        <f>IF(INDEX(DarlBelegt,13)=0,0,EOMONTH(INDEX(DarlAuszahlung,13),201)+1)</f>
      </c>
      <c r="F5965" s="43">
        <f>IF($E5965=0,0,YEAR($E5965))</f>
      </c>
      <c r="G5965" s="43">
        <f>IF(INDEX(DarlBindung,13)="",1,IF($E5965&lt;=INDEX(DarlBindung,13),1,0))</f>
      </c>
      <c r="H5965" s="43">
        <f>IF($G5965=1,INDEX(DarlSollzins,13),INDEX(DarlAnschluss,13))</f>
      </c>
      <c r="I5965" s="43">
        <f>IF(INDEX(DarlBelegt,13)=0,0,IF(INDEX(DarlOhneTilgung,13)=1,IF(INDEX(DarlBindung,13)="",1,$G5965),IF($J5965&gt;0.005,1,0)))</f>
      </c>
      <c r="J5965" s="43">
        <f>IF($I5964=0,0,$R5964)</f>
      </c>
      <c r="K5965" s="43">
        <f>IF($I5965=0,0,IF(INDEX(DarlOhneTilgung,13)=1,0,IF(AND(INDEX(DarlTilgStart,13)&gt;0,$E5965=INDEX(DarlTilgStart,13)),$J5965*($H5965+INDEX(DarlTilgung,13))/100/12,IF(AND($G5965=0,$G5964=1),MAX($K5964,$J5965*($H5965+1)/100/12),$K5964))))</f>
      </c>
      <c r="L5965" s="43">
        <f>IF($I5965=0,0,$J5965*$H5965/100/12)</f>
      </c>
      <c r="M5965" s="43">
        <f>IF($I5965=0,0,IF(OR(INDEX(DarlOhneTilgung,13)=1,AND(INDEX(DarlTilgStart,13)&gt;0,$E5965&lt;INDEX(DarlTilgStart,13))),0,MIN(MAX(0,$K5965-$L5965),$J5965)))</f>
      </c>
      <c r="N5965" s="43">
        <f>IF($I5965=0,0,MIN(SUMIFS(SondBetrag,SondDarl,13,SondDatum,"&gt;="&amp;$E5965,SondDatum,"&lt;="&amp;EOMONTH($E5965,0)),$J5965-$M5965))</f>
      </c>
      <c r="O5965" s="43">
        <f>IF($I5965=0,0,INDEX(DarlErsatzRate,13))</f>
      </c>
      <c r="P5965" s="43">
        <f>IF($I5965=0,0,$Q5964*INDEX(DarlErsatzZins,13))</f>
      </c>
      <c r="Q5965" s="43">
        <f>IF($I5965=0,0,$Q5964+$P5965+$O5965)</f>
      </c>
      <c r="R5965" s="43">
        <f>IF($I5965=0,0,$J5965-$M5965-$N5965)</f>
      </c>
    </row>
    <row r="5966">
      <c r="A5966"/>
      <c r="B5966">
        <v>13</v>
      </c>
      <c r="C5966" s="43">
        <f>INDEX(DarlObj,13)</f>
      </c>
      <c r="D5966">
        <v>203</v>
      </c>
      <c r="E5966" s="51">
        <f>IF(INDEX(DarlBelegt,13)=0,0,EOMONTH(INDEX(DarlAuszahlung,13),202)+1)</f>
      </c>
      <c r="F5966" s="43">
        <f>IF($E5966=0,0,YEAR($E5966))</f>
      </c>
      <c r="G5966" s="43">
        <f>IF(INDEX(DarlBindung,13)="",1,IF($E5966&lt;=INDEX(DarlBindung,13),1,0))</f>
      </c>
      <c r="H5966" s="43">
        <f>IF($G5966=1,INDEX(DarlSollzins,13),INDEX(DarlAnschluss,13))</f>
      </c>
      <c r="I5966" s="43">
        <f>IF(INDEX(DarlBelegt,13)=0,0,IF(INDEX(DarlOhneTilgung,13)=1,IF(INDEX(DarlBindung,13)="",1,$G5966),IF($J5966&gt;0.005,1,0)))</f>
      </c>
      <c r="J5966" s="43">
        <f>IF($I5965=0,0,$R5965)</f>
      </c>
      <c r="K5966" s="43">
        <f>IF($I5966=0,0,IF(INDEX(DarlOhneTilgung,13)=1,0,IF(AND(INDEX(DarlTilgStart,13)&gt;0,$E5966=INDEX(DarlTilgStart,13)),$J5966*($H5966+INDEX(DarlTilgung,13))/100/12,IF(AND($G5966=0,$G5965=1),MAX($K5965,$J5966*($H5966+1)/100/12),$K5965))))</f>
      </c>
      <c r="L5966" s="43">
        <f>IF($I5966=0,0,$J5966*$H5966/100/12)</f>
      </c>
      <c r="M5966" s="43">
        <f>IF($I5966=0,0,IF(OR(INDEX(DarlOhneTilgung,13)=1,AND(INDEX(DarlTilgStart,13)&gt;0,$E5966&lt;INDEX(DarlTilgStart,13))),0,MIN(MAX(0,$K5966-$L5966),$J5966)))</f>
      </c>
      <c r="N5966" s="43">
        <f>IF($I5966=0,0,MIN(SUMIFS(SondBetrag,SondDarl,13,SondDatum,"&gt;="&amp;$E5966,SondDatum,"&lt;="&amp;EOMONTH($E5966,0)),$J5966-$M5966))</f>
      </c>
      <c r="O5966" s="43">
        <f>IF($I5966=0,0,INDEX(DarlErsatzRate,13))</f>
      </c>
      <c r="P5966" s="43">
        <f>IF($I5966=0,0,$Q5965*INDEX(DarlErsatzZins,13))</f>
      </c>
      <c r="Q5966" s="43">
        <f>IF($I5966=0,0,$Q5965+$P5966+$O5966)</f>
      </c>
      <c r="R5966" s="43">
        <f>IF($I5966=0,0,$J5966-$M5966-$N5966)</f>
      </c>
    </row>
    <row r="5967">
      <c r="A5967"/>
      <c r="B5967">
        <v>13</v>
      </c>
      <c r="C5967" s="43">
        <f>INDEX(DarlObj,13)</f>
      </c>
      <c r="D5967">
        <v>204</v>
      </c>
      <c r="E5967" s="51">
        <f>IF(INDEX(DarlBelegt,13)=0,0,EOMONTH(INDEX(DarlAuszahlung,13),203)+1)</f>
      </c>
      <c r="F5967" s="43">
        <f>IF($E5967=0,0,YEAR($E5967))</f>
      </c>
      <c r="G5967" s="43">
        <f>IF(INDEX(DarlBindung,13)="",1,IF($E5967&lt;=INDEX(DarlBindung,13),1,0))</f>
      </c>
      <c r="H5967" s="43">
        <f>IF($G5967=1,INDEX(DarlSollzins,13),INDEX(DarlAnschluss,13))</f>
      </c>
      <c r="I5967" s="43">
        <f>IF(INDEX(DarlBelegt,13)=0,0,IF(INDEX(DarlOhneTilgung,13)=1,IF(INDEX(DarlBindung,13)="",1,$G5967),IF($J5967&gt;0.005,1,0)))</f>
      </c>
      <c r="J5967" s="43">
        <f>IF($I5966=0,0,$R5966)</f>
      </c>
      <c r="K5967" s="43">
        <f>IF($I5967=0,0,IF(INDEX(DarlOhneTilgung,13)=1,0,IF(AND(INDEX(DarlTilgStart,13)&gt;0,$E5967=INDEX(DarlTilgStart,13)),$J5967*($H5967+INDEX(DarlTilgung,13))/100/12,IF(AND($G5967=0,$G5966=1),MAX($K5966,$J5967*($H5967+1)/100/12),$K5966))))</f>
      </c>
      <c r="L5967" s="43">
        <f>IF($I5967=0,0,$J5967*$H5967/100/12)</f>
      </c>
      <c r="M5967" s="43">
        <f>IF($I5967=0,0,IF(OR(INDEX(DarlOhneTilgung,13)=1,AND(INDEX(DarlTilgStart,13)&gt;0,$E5967&lt;INDEX(DarlTilgStart,13))),0,MIN(MAX(0,$K5967-$L5967),$J5967)))</f>
      </c>
      <c r="N5967" s="43">
        <f>IF($I5967=0,0,MIN(SUMIFS(SondBetrag,SondDarl,13,SondDatum,"&gt;="&amp;$E5967,SondDatum,"&lt;="&amp;EOMONTH($E5967,0)),$J5967-$M5967))</f>
      </c>
      <c r="O5967" s="43">
        <f>IF($I5967=0,0,INDEX(DarlErsatzRate,13))</f>
      </c>
      <c r="P5967" s="43">
        <f>IF($I5967=0,0,$Q5966*INDEX(DarlErsatzZins,13))</f>
      </c>
      <c r="Q5967" s="43">
        <f>IF($I5967=0,0,$Q5966+$P5967+$O5967)</f>
      </c>
      <c r="R5967" s="43">
        <f>IF($I5967=0,0,$J5967-$M5967-$N5967)</f>
      </c>
    </row>
    <row r="5968">
      <c r="A5968"/>
      <c r="B5968">
        <v>13</v>
      </c>
      <c r="C5968" s="43">
        <f>INDEX(DarlObj,13)</f>
      </c>
      <c r="D5968">
        <v>205</v>
      </c>
      <c r="E5968" s="51">
        <f>IF(INDEX(DarlBelegt,13)=0,0,EOMONTH(INDEX(DarlAuszahlung,13),204)+1)</f>
      </c>
      <c r="F5968" s="43">
        <f>IF($E5968=0,0,YEAR($E5968))</f>
      </c>
      <c r="G5968" s="43">
        <f>IF(INDEX(DarlBindung,13)="",1,IF($E5968&lt;=INDEX(DarlBindung,13),1,0))</f>
      </c>
      <c r="H5968" s="43">
        <f>IF($G5968=1,INDEX(DarlSollzins,13),INDEX(DarlAnschluss,13))</f>
      </c>
      <c r="I5968" s="43">
        <f>IF(INDEX(DarlBelegt,13)=0,0,IF(INDEX(DarlOhneTilgung,13)=1,IF(INDEX(DarlBindung,13)="",1,$G5968),IF($J5968&gt;0.005,1,0)))</f>
      </c>
      <c r="J5968" s="43">
        <f>IF($I5967=0,0,$R5967)</f>
      </c>
      <c r="K5968" s="43">
        <f>IF($I5968=0,0,IF(INDEX(DarlOhneTilgung,13)=1,0,IF(AND(INDEX(DarlTilgStart,13)&gt;0,$E5968=INDEX(DarlTilgStart,13)),$J5968*($H5968+INDEX(DarlTilgung,13))/100/12,IF(AND($G5968=0,$G5967=1),MAX($K5967,$J5968*($H5968+1)/100/12),$K5967))))</f>
      </c>
      <c r="L5968" s="43">
        <f>IF($I5968=0,0,$J5968*$H5968/100/12)</f>
      </c>
      <c r="M5968" s="43">
        <f>IF($I5968=0,0,IF(OR(INDEX(DarlOhneTilgung,13)=1,AND(INDEX(DarlTilgStart,13)&gt;0,$E5968&lt;INDEX(DarlTilgStart,13))),0,MIN(MAX(0,$K5968-$L5968),$J5968)))</f>
      </c>
      <c r="N5968" s="43">
        <f>IF($I5968=0,0,MIN(SUMIFS(SondBetrag,SondDarl,13,SondDatum,"&gt;="&amp;$E5968,SondDatum,"&lt;="&amp;EOMONTH($E5968,0)),$J5968-$M5968))</f>
      </c>
      <c r="O5968" s="43">
        <f>IF($I5968=0,0,INDEX(DarlErsatzRate,13))</f>
      </c>
      <c r="P5968" s="43">
        <f>IF($I5968=0,0,$Q5967*INDEX(DarlErsatzZins,13))</f>
      </c>
      <c r="Q5968" s="43">
        <f>IF($I5968=0,0,$Q5967+$P5968+$O5968)</f>
      </c>
      <c r="R5968" s="43">
        <f>IF($I5968=0,0,$J5968-$M5968-$N5968)</f>
      </c>
    </row>
    <row r="5969">
      <c r="A5969"/>
      <c r="B5969">
        <v>13</v>
      </c>
      <c r="C5969" s="43">
        <f>INDEX(DarlObj,13)</f>
      </c>
      <c r="D5969">
        <v>206</v>
      </c>
      <c r="E5969" s="51">
        <f>IF(INDEX(DarlBelegt,13)=0,0,EOMONTH(INDEX(DarlAuszahlung,13),205)+1)</f>
      </c>
      <c r="F5969" s="43">
        <f>IF($E5969=0,0,YEAR($E5969))</f>
      </c>
      <c r="G5969" s="43">
        <f>IF(INDEX(DarlBindung,13)="",1,IF($E5969&lt;=INDEX(DarlBindung,13),1,0))</f>
      </c>
      <c r="H5969" s="43">
        <f>IF($G5969=1,INDEX(DarlSollzins,13),INDEX(DarlAnschluss,13))</f>
      </c>
      <c r="I5969" s="43">
        <f>IF(INDEX(DarlBelegt,13)=0,0,IF(INDEX(DarlOhneTilgung,13)=1,IF(INDEX(DarlBindung,13)="",1,$G5969),IF($J5969&gt;0.005,1,0)))</f>
      </c>
      <c r="J5969" s="43">
        <f>IF($I5968=0,0,$R5968)</f>
      </c>
      <c r="K5969" s="43">
        <f>IF($I5969=0,0,IF(INDEX(DarlOhneTilgung,13)=1,0,IF(AND(INDEX(DarlTilgStart,13)&gt;0,$E5969=INDEX(DarlTilgStart,13)),$J5969*($H5969+INDEX(DarlTilgung,13))/100/12,IF(AND($G5969=0,$G5968=1),MAX($K5968,$J5969*($H5969+1)/100/12),$K5968))))</f>
      </c>
      <c r="L5969" s="43">
        <f>IF($I5969=0,0,$J5969*$H5969/100/12)</f>
      </c>
      <c r="M5969" s="43">
        <f>IF($I5969=0,0,IF(OR(INDEX(DarlOhneTilgung,13)=1,AND(INDEX(DarlTilgStart,13)&gt;0,$E5969&lt;INDEX(DarlTilgStart,13))),0,MIN(MAX(0,$K5969-$L5969),$J5969)))</f>
      </c>
      <c r="N5969" s="43">
        <f>IF($I5969=0,0,MIN(SUMIFS(SondBetrag,SondDarl,13,SondDatum,"&gt;="&amp;$E5969,SondDatum,"&lt;="&amp;EOMONTH($E5969,0)),$J5969-$M5969))</f>
      </c>
      <c r="O5969" s="43">
        <f>IF($I5969=0,0,INDEX(DarlErsatzRate,13))</f>
      </c>
      <c r="P5969" s="43">
        <f>IF($I5969=0,0,$Q5968*INDEX(DarlErsatzZins,13))</f>
      </c>
      <c r="Q5969" s="43">
        <f>IF($I5969=0,0,$Q5968+$P5969+$O5969)</f>
      </c>
      <c r="R5969" s="43">
        <f>IF($I5969=0,0,$J5969-$M5969-$N5969)</f>
      </c>
    </row>
    <row r="5970">
      <c r="A5970"/>
      <c r="B5970">
        <v>13</v>
      </c>
      <c r="C5970" s="43">
        <f>INDEX(DarlObj,13)</f>
      </c>
      <c r="D5970">
        <v>207</v>
      </c>
      <c r="E5970" s="51">
        <f>IF(INDEX(DarlBelegt,13)=0,0,EOMONTH(INDEX(DarlAuszahlung,13),206)+1)</f>
      </c>
      <c r="F5970" s="43">
        <f>IF($E5970=0,0,YEAR($E5970))</f>
      </c>
      <c r="G5970" s="43">
        <f>IF(INDEX(DarlBindung,13)="",1,IF($E5970&lt;=INDEX(DarlBindung,13),1,0))</f>
      </c>
      <c r="H5970" s="43">
        <f>IF($G5970=1,INDEX(DarlSollzins,13),INDEX(DarlAnschluss,13))</f>
      </c>
      <c r="I5970" s="43">
        <f>IF(INDEX(DarlBelegt,13)=0,0,IF(INDEX(DarlOhneTilgung,13)=1,IF(INDEX(DarlBindung,13)="",1,$G5970),IF($J5970&gt;0.005,1,0)))</f>
      </c>
      <c r="J5970" s="43">
        <f>IF($I5969=0,0,$R5969)</f>
      </c>
      <c r="K5970" s="43">
        <f>IF($I5970=0,0,IF(INDEX(DarlOhneTilgung,13)=1,0,IF(AND(INDEX(DarlTilgStart,13)&gt;0,$E5970=INDEX(DarlTilgStart,13)),$J5970*($H5970+INDEX(DarlTilgung,13))/100/12,IF(AND($G5970=0,$G5969=1),MAX($K5969,$J5970*($H5970+1)/100/12),$K5969))))</f>
      </c>
      <c r="L5970" s="43">
        <f>IF($I5970=0,0,$J5970*$H5970/100/12)</f>
      </c>
      <c r="M5970" s="43">
        <f>IF($I5970=0,0,IF(OR(INDEX(DarlOhneTilgung,13)=1,AND(INDEX(DarlTilgStart,13)&gt;0,$E5970&lt;INDEX(DarlTilgStart,13))),0,MIN(MAX(0,$K5970-$L5970),$J5970)))</f>
      </c>
      <c r="N5970" s="43">
        <f>IF($I5970=0,0,MIN(SUMIFS(SondBetrag,SondDarl,13,SondDatum,"&gt;="&amp;$E5970,SondDatum,"&lt;="&amp;EOMONTH($E5970,0)),$J5970-$M5970))</f>
      </c>
      <c r="O5970" s="43">
        <f>IF($I5970=0,0,INDEX(DarlErsatzRate,13))</f>
      </c>
      <c r="P5970" s="43">
        <f>IF($I5970=0,0,$Q5969*INDEX(DarlErsatzZins,13))</f>
      </c>
      <c r="Q5970" s="43">
        <f>IF($I5970=0,0,$Q5969+$P5970+$O5970)</f>
      </c>
      <c r="R5970" s="43">
        <f>IF($I5970=0,0,$J5970-$M5970-$N5970)</f>
      </c>
    </row>
    <row r="5971">
      <c r="A5971"/>
      <c r="B5971">
        <v>13</v>
      </c>
      <c r="C5971" s="43">
        <f>INDEX(DarlObj,13)</f>
      </c>
      <c r="D5971">
        <v>208</v>
      </c>
      <c r="E5971" s="51">
        <f>IF(INDEX(DarlBelegt,13)=0,0,EOMONTH(INDEX(DarlAuszahlung,13),207)+1)</f>
      </c>
      <c r="F5971" s="43">
        <f>IF($E5971=0,0,YEAR($E5971))</f>
      </c>
      <c r="G5971" s="43">
        <f>IF(INDEX(DarlBindung,13)="",1,IF($E5971&lt;=INDEX(DarlBindung,13),1,0))</f>
      </c>
      <c r="H5971" s="43">
        <f>IF($G5971=1,INDEX(DarlSollzins,13),INDEX(DarlAnschluss,13))</f>
      </c>
      <c r="I5971" s="43">
        <f>IF(INDEX(DarlBelegt,13)=0,0,IF(INDEX(DarlOhneTilgung,13)=1,IF(INDEX(DarlBindung,13)="",1,$G5971),IF($J5971&gt;0.005,1,0)))</f>
      </c>
      <c r="J5971" s="43">
        <f>IF($I5970=0,0,$R5970)</f>
      </c>
      <c r="K5971" s="43">
        <f>IF($I5971=0,0,IF(INDEX(DarlOhneTilgung,13)=1,0,IF(AND(INDEX(DarlTilgStart,13)&gt;0,$E5971=INDEX(DarlTilgStart,13)),$J5971*($H5971+INDEX(DarlTilgung,13))/100/12,IF(AND($G5971=0,$G5970=1),MAX($K5970,$J5971*($H5971+1)/100/12),$K5970))))</f>
      </c>
      <c r="L5971" s="43">
        <f>IF($I5971=0,0,$J5971*$H5971/100/12)</f>
      </c>
      <c r="M5971" s="43">
        <f>IF($I5971=0,0,IF(OR(INDEX(DarlOhneTilgung,13)=1,AND(INDEX(DarlTilgStart,13)&gt;0,$E5971&lt;INDEX(DarlTilgStart,13))),0,MIN(MAX(0,$K5971-$L5971),$J5971)))</f>
      </c>
      <c r="N5971" s="43">
        <f>IF($I5971=0,0,MIN(SUMIFS(SondBetrag,SondDarl,13,SondDatum,"&gt;="&amp;$E5971,SondDatum,"&lt;="&amp;EOMONTH($E5971,0)),$J5971-$M5971))</f>
      </c>
      <c r="O5971" s="43">
        <f>IF($I5971=0,0,INDEX(DarlErsatzRate,13))</f>
      </c>
      <c r="P5971" s="43">
        <f>IF($I5971=0,0,$Q5970*INDEX(DarlErsatzZins,13))</f>
      </c>
      <c r="Q5971" s="43">
        <f>IF($I5971=0,0,$Q5970+$P5971+$O5971)</f>
      </c>
      <c r="R5971" s="43">
        <f>IF($I5971=0,0,$J5971-$M5971-$N5971)</f>
      </c>
    </row>
    <row r="5972">
      <c r="A5972"/>
      <c r="B5972">
        <v>13</v>
      </c>
      <c r="C5972" s="43">
        <f>INDEX(DarlObj,13)</f>
      </c>
      <c r="D5972">
        <v>209</v>
      </c>
      <c r="E5972" s="51">
        <f>IF(INDEX(DarlBelegt,13)=0,0,EOMONTH(INDEX(DarlAuszahlung,13),208)+1)</f>
      </c>
      <c r="F5972" s="43">
        <f>IF($E5972=0,0,YEAR($E5972))</f>
      </c>
      <c r="G5972" s="43">
        <f>IF(INDEX(DarlBindung,13)="",1,IF($E5972&lt;=INDEX(DarlBindung,13),1,0))</f>
      </c>
      <c r="H5972" s="43">
        <f>IF($G5972=1,INDEX(DarlSollzins,13),INDEX(DarlAnschluss,13))</f>
      </c>
      <c r="I5972" s="43">
        <f>IF(INDEX(DarlBelegt,13)=0,0,IF(INDEX(DarlOhneTilgung,13)=1,IF(INDEX(DarlBindung,13)="",1,$G5972),IF($J5972&gt;0.005,1,0)))</f>
      </c>
      <c r="J5972" s="43">
        <f>IF($I5971=0,0,$R5971)</f>
      </c>
      <c r="K5972" s="43">
        <f>IF($I5972=0,0,IF(INDEX(DarlOhneTilgung,13)=1,0,IF(AND(INDEX(DarlTilgStart,13)&gt;0,$E5972=INDEX(DarlTilgStart,13)),$J5972*($H5972+INDEX(DarlTilgung,13))/100/12,IF(AND($G5972=0,$G5971=1),MAX($K5971,$J5972*($H5972+1)/100/12),$K5971))))</f>
      </c>
      <c r="L5972" s="43">
        <f>IF($I5972=0,0,$J5972*$H5972/100/12)</f>
      </c>
      <c r="M5972" s="43">
        <f>IF($I5972=0,0,IF(OR(INDEX(DarlOhneTilgung,13)=1,AND(INDEX(DarlTilgStart,13)&gt;0,$E5972&lt;INDEX(DarlTilgStart,13))),0,MIN(MAX(0,$K5972-$L5972),$J5972)))</f>
      </c>
      <c r="N5972" s="43">
        <f>IF($I5972=0,0,MIN(SUMIFS(SondBetrag,SondDarl,13,SondDatum,"&gt;="&amp;$E5972,SondDatum,"&lt;="&amp;EOMONTH($E5972,0)),$J5972-$M5972))</f>
      </c>
      <c r="O5972" s="43">
        <f>IF($I5972=0,0,INDEX(DarlErsatzRate,13))</f>
      </c>
      <c r="P5972" s="43">
        <f>IF($I5972=0,0,$Q5971*INDEX(DarlErsatzZins,13))</f>
      </c>
      <c r="Q5972" s="43">
        <f>IF($I5972=0,0,$Q5971+$P5972+$O5972)</f>
      </c>
      <c r="R5972" s="43">
        <f>IF($I5972=0,0,$J5972-$M5972-$N5972)</f>
      </c>
    </row>
    <row r="5973">
      <c r="A5973"/>
      <c r="B5973">
        <v>13</v>
      </c>
      <c r="C5973" s="43">
        <f>INDEX(DarlObj,13)</f>
      </c>
      <c r="D5973">
        <v>210</v>
      </c>
      <c r="E5973" s="51">
        <f>IF(INDEX(DarlBelegt,13)=0,0,EOMONTH(INDEX(DarlAuszahlung,13),209)+1)</f>
      </c>
      <c r="F5973" s="43">
        <f>IF($E5973=0,0,YEAR($E5973))</f>
      </c>
      <c r="G5973" s="43">
        <f>IF(INDEX(DarlBindung,13)="",1,IF($E5973&lt;=INDEX(DarlBindung,13),1,0))</f>
      </c>
      <c r="H5973" s="43">
        <f>IF($G5973=1,INDEX(DarlSollzins,13),INDEX(DarlAnschluss,13))</f>
      </c>
      <c r="I5973" s="43">
        <f>IF(INDEX(DarlBelegt,13)=0,0,IF(INDEX(DarlOhneTilgung,13)=1,IF(INDEX(DarlBindung,13)="",1,$G5973),IF($J5973&gt;0.005,1,0)))</f>
      </c>
      <c r="J5973" s="43">
        <f>IF($I5972=0,0,$R5972)</f>
      </c>
      <c r="K5973" s="43">
        <f>IF($I5973=0,0,IF(INDEX(DarlOhneTilgung,13)=1,0,IF(AND(INDEX(DarlTilgStart,13)&gt;0,$E5973=INDEX(DarlTilgStart,13)),$J5973*($H5973+INDEX(DarlTilgung,13))/100/12,IF(AND($G5973=0,$G5972=1),MAX($K5972,$J5973*($H5973+1)/100/12),$K5972))))</f>
      </c>
      <c r="L5973" s="43">
        <f>IF($I5973=0,0,$J5973*$H5973/100/12)</f>
      </c>
      <c r="M5973" s="43">
        <f>IF($I5973=0,0,IF(OR(INDEX(DarlOhneTilgung,13)=1,AND(INDEX(DarlTilgStart,13)&gt;0,$E5973&lt;INDEX(DarlTilgStart,13))),0,MIN(MAX(0,$K5973-$L5973),$J5973)))</f>
      </c>
      <c r="N5973" s="43">
        <f>IF($I5973=0,0,MIN(SUMIFS(SondBetrag,SondDarl,13,SondDatum,"&gt;="&amp;$E5973,SondDatum,"&lt;="&amp;EOMONTH($E5973,0)),$J5973-$M5973))</f>
      </c>
      <c r="O5973" s="43">
        <f>IF($I5973=0,0,INDEX(DarlErsatzRate,13))</f>
      </c>
      <c r="P5973" s="43">
        <f>IF($I5973=0,0,$Q5972*INDEX(DarlErsatzZins,13))</f>
      </c>
      <c r="Q5973" s="43">
        <f>IF($I5973=0,0,$Q5972+$P5973+$O5973)</f>
      </c>
      <c r="R5973" s="43">
        <f>IF($I5973=0,0,$J5973-$M5973-$N5973)</f>
      </c>
    </row>
    <row r="5974">
      <c r="A5974"/>
      <c r="B5974">
        <v>13</v>
      </c>
      <c r="C5974" s="43">
        <f>INDEX(DarlObj,13)</f>
      </c>
      <c r="D5974">
        <v>211</v>
      </c>
      <c r="E5974" s="51">
        <f>IF(INDEX(DarlBelegt,13)=0,0,EOMONTH(INDEX(DarlAuszahlung,13),210)+1)</f>
      </c>
      <c r="F5974" s="43">
        <f>IF($E5974=0,0,YEAR($E5974))</f>
      </c>
      <c r="G5974" s="43">
        <f>IF(INDEX(DarlBindung,13)="",1,IF($E5974&lt;=INDEX(DarlBindung,13),1,0))</f>
      </c>
      <c r="H5974" s="43">
        <f>IF($G5974=1,INDEX(DarlSollzins,13),INDEX(DarlAnschluss,13))</f>
      </c>
      <c r="I5974" s="43">
        <f>IF(INDEX(DarlBelegt,13)=0,0,IF(INDEX(DarlOhneTilgung,13)=1,IF(INDEX(DarlBindung,13)="",1,$G5974),IF($J5974&gt;0.005,1,0)))</f>
      </c>
      <c r="J5974" s="43">
        <f>IF($I5973=0,0,$R5973)</f>
      </c>
      <c r="K5974" s="43">
        <f>IF($I5974=0,0,IF(INDEX(DarlOhneTilgung,13)=1,0,IF(AND(INDEX(DarlTilgStart,13)&gt;0,$E5974=INDEX(DarlTilgStart,13)),$J5974*($H5974+INDEX(DarlTilgung,13))/100/12,IF(AND($G5974=0,$G5973=1),MAX($K5973,$J5974*($H5974+1)/100/12),$K5973))))</f>
      </c>
      <c r="L5974" s="43">
        <f>IF($I5974=0,0,$J5974*$H5974/100/12)</f>
      </c>
      <c r="M5974" s="43">
        <f>IF($I5974=0,0,IF(OR(INDEX(DarlOhneTilgung,13)=1,AND(INDEX(DarlTilgStart,13)&gt;0,$E5974&lt;INDEX(DarlTilgStart,13))),0,MIN(MAX(0,$K5974-$L5974),$J5974)))</f>
      </c>
      <c r="N5974" s="43">
        <f>IF($I5974=0,0,MIN(SUMIFS(SondBetrag,SondDarl,13,SondDatum,"&gt;="&amp;$E5974,SondDatum,"&lt;="&amp;EOMONTH($E5974,0)),$J5974-$M5974))</f>
      </c>
      <c r="O5974" s="43">
        <f>IF($I5974=0,0,INDEX(DarlErsatzRate,13))</f>
      </c>
      <c r="P5974" s="43">
        <f>IF($I5974=0,0,$Q5973*INDEX(DarlErsatzZins,13))</f>
      </c>
      <c r="Q5974" s="43">
        <f>IF($I5974=0,0,$Q5973+$P5974+$O5974)</f>
      </c>
      <c r="R5974" s="43">
        <f>IF($I5974=0,0,$J5974-$M5974-$N5974)</f>
      </c>
    </row>
    <row r="5975">
      <c r="A5975"/>
      <c r="B5975">
        <v>13</v>
      </c>
      <c r="C5975" s="43">
        <f>INDEX(DarlObj,13)</f>
      </c>
      <c r="D5975">
        <v>212</v>
      </c>
      <c r="E5975" s="51">
        <f>IF(INDEX(DarlBelegt,13)=0,0,EOMONTH(INDEX(DarlAuszahlung,13),211)+1)</f>
      </c>
      <c r="F5975" s="43">
        <f>IF($E5975=0,0,YEAR($E5975))</f>
      </c>
      <c r="G5975" s="43">
        <f>IF(INDEX(DarlBindung,13)="",1,IF($E5975&lt;=INDEX(DarlBindung,13),1,0))</f>
      </c>
      <c r="H5975" s="43">
        <f>IF($G5975=1,INDEX(DarlSollzins,13),INDEX(DarlAnschluss,13))</f>
      </c>
      <c r="I5975" s="43">
        <f>IF(INDEX(DarlBelegt,13)=0,0,IF(INDEX(DarlOhneTilgung,13)=1,IF(INDEX(DarlBindung,13)="",1,$G5975),IF($J5975&gt;0.005,1,0)))</f>
      </c>
      <c r="J5975" s="43">
        <f>IF($I5974=0,0,$R5974)</f>
      </c>
      <c r="K5975" s="43">
        <f>IF($I5975=0,0,IF(INDEX(DarlOhneTilgung,13)=1,0,IF(AND(INDEX(DarlTilgStart,13)&gt;0,$E5975=INDEX(DarlTilgStart,13)),$J5975*($H5975+INDEX(DarlTilgung,13))/100/12,IF(AND($G5975=0,$G5974=1),MAX($K5974,$J5975*($H5975+1)/100/12),$K5974))))</f>
      </c>
      <c r="L5975" s="43">
        <f>IF($I5975=0,0,$J5975*$H5975/100/12)</f>
      </c>
      <c r="M5975" s="43">
        <f>IF($I5975=0,0,IF(OR(INDEX(DarlOhneTilgung,13)=1,AND(INDEX(DarlTilgStart,13)&gt;0,$E5975&lt;INDEX(DarlTilgStart,13))),0,MIN(MAX(0,$K5975-$L5975),$J5975)))</f>
      </c>
      <c r="N5975" s="43">
        <f>IF($I5975=0,0,MIN(SUMIFS(SondBetrag,SondDarl,13,SondDatum,"&gt;="&amp;$E5975,SondDatum,"&lt;="&amp;EOMONTH($E5975,0)),$J5975-$M5975))</f>
      </c>
      <c r="O5975" s="43">
        <f>IF($I5975=0,0,INDEX(DarlErsatzRate,13))</f>
      </c>
      <c r="P5975" s="43">
        <f>IF($I5975=0,0,$Q5974*INDEX(DarlErsatzZins,13))</f>
      </c>
      <c r="Q5975" s="43">
        <f>IF($I5975=0,0,$Q5974+$P5975+$O5975)</f>
      </c>
      <c r="R5975" s="43">
        <f>IF($I5975=0,0,$J5975-$M5975-$N5975)</f>
      </c>
    </row>
    <row r="5976">
      <c r="A5976"/>
      <c r="B5976">
        <v>13</v>
      </c>
      <c r="C5976" s="43">
        <f>INDEX(DarlObj,13)</f>
      </c>
      <c r="D5976">
        <v>213</v>
      </c>
      <c r="E5976" s="51">
        <f>IF(INDEX(DarlBelegt,13)=0,0,EOMONTH(INDEX(DarlAuszahlung,13),212)+1)</f>
      </c>
      <c r="F5976" s="43">
        <f>IF($E5976=0,0,YEAR($E5976))</f>
      </c>
      <c r="G5976" s="43">
        <f>IF(INDEX(DarlBindung,13)="",1,IF($E5976&lt;=INDEX(DarlBindung,13),1,0))</f>
      </c>
      <c r="H5976" s="43">
        <f>IF($G5976=1,INDEX(DarlSollzins,13),INDEX(DarlAnschluss,13))</f>
      </c>
      <c r="I5976" s="43">
        <f>IF(INDEX(DarlBelegt,13)=0,0,IF(INDEX(DarlOhneTilgung,13)=1,IF(INDEX(DarlBindung,13)="",1,$G5976),IF($J5976&gt;0.005,1,0)))</f>
      </c>
      <c r="J5976" s="43">
        <f>IF($I5975=0,0,$R5975)</f>
      </c>
      <c r="K5976" s="43">
        <f>IF($I5976=0,0,IF(INDEX(DarlOhneTilgung,13)=1,0,IF(AND(INDEX(DarlTilgStart,13)&gt;0,$E5976=INDEX(DarlTilgStart,13)),$J5976*($H5976+INDEX(DarlTilgung,13))/100/12,IF(AND($G5976=0,$G5975=1),MAX($K5975,$J5976*($H5976+1)/100/12),$K5975))))</f>
      </c>
      <c r="L5976" s="43">
        <f>IF($I5976=0,0,$J5976*$H5976/100/12)</f>
      </c>
      <c r="M5976" s="43">
        <f>IF($I5976=0,0,IF(OR(INDEX(DarlOhneTilgung,13)=1,AND(INDEX(DarlTilgStart,13)&gt;0,$E5976&lt;INDEX(DarlTilgStart,13))),0,MIN(MAX(0,$K5976-$L5976),$J5976)))</f>
      </c>
      <c r="N5976" s="43">
        <f>IF($I5976=0,0,MIN(SUMIFS(SondBetrag,SondDarl,13,SondDatum,"&gt;="&amp;$E5976,SondDatum,"&lt;="&amp;EOMONTH($E5976,0)),$J5976-$M5976))</f>
      </c>
      <c r="O5976" s="43">
        <f>IF($I5976=0,0,INDEX(DarlErsatzRate,13))</f>
      </c>
      <c r="P5976" s="43">
        <f>IF($I5976=0,0,$Q5975*INDEX(DarlErsatzZins,13))</f>
      </c>
      <c r="Q5976" s="43">
        <f>IF($I5976=0,0,$Q5975+$P5976+$O5976)</f>
      </c>
      <c r="R5976" s="43">
        <f>IF($I5976=0,0,$J5976-$M5976-$N5976)</f>
      </c>
    </row>
    <row r="5977">
      <c r="A5977"/>
      <c r="B5977">
        <v>13</v>
      </c>
      <c r="C5977" s="43">
        <f>INDEX(DarlObj,13)</f>
      </c>
      <c r="D5977">
        <v>214</v>
      </c>
      <c r="E5977" s="51">
        <f>IF(INDEX(DarlBelegt,13)=0,0,EOMONTH(INDEX(DarlAuszahlung,13),213)+1)</f>
      </c>
      <c r="F5977" s="43">
        <f>IF($E5977=0,0,YEAR($E5977))</f>
      </c>
      <c r="G5977" s="43">
        <f>IF(INDEX(DarlBindung,13)="",1,IF($E5977&lt;=INDEX(DarlBindung,13),1,0))</f>
      </c>
      <c r="H5977" s="43">
        <f>IF($G5977=1,INDEX(DarlSollzins,13),INDEX(DarlAnschluss,13))</f>
      </c>
      <c r="I5977" s="43">
        <f>IF(INDEX(DarlBelegt,13)=0,0,IF(INDEX(DarlOhneTilgung,13)=1,IF(INDEX(DarlBindung,13)="",1,$G5977),IF($J5977&gt;0.005,1,0)))</f>
      </c>
      <c r="J5977" s="43">
        <f>IF($I5976=0,0,$R5976)</f>
      </c>
      <c r="K5977" s="43">
        <f>IF($I5977=0,0,IF(INDEX(DarlOhneTilgung,13)=1,0,IF(AND(INDEX(DarlTilgStart,13)&gt;0,$E5977=INDEX(DarlTilgStart,13)),$J5977*($H5977+INDEX(DarlTilgung,13))/100/12,IF(AND($G5977=0,$G5976=1),MAX($K5976,$J5977*($H5977+1)/100/12),$K5976))))</f>
      </c>
      <c r="L5977" s="43">
        <f>IF($I5977=0,0,$J5977*$H5977/100/12)</f>
      </c>
      <c r="M5977" s="43">
        <f>IF($I5977=0,0,IF(OR(INDEX(DarlOhneTilgung,13)=1,AND(INDEX(DarlTilgStart,13)&gt;0,$E5977&lt;INDEX(DarlTilgStart,13))),0,MIN(MAX(0,$K5977-$L5977),$J5977)))</f>
      </c>
      <c r="N5977" s="43">
        <f>IF($I5977=0,0,MIN(SUMIFS(SondBetrag,SondDarl,13,SondDatum,"&gt;="&amp;$E5977,SondDatum,"&lt;="&amp;EOMONTH($E5977,0)),$J5977-$M5977))</f>
      </c>
      <c r="O5977" s="43">
        <f>IF($I5977=0,0,INDEX(DarlErsatzRate,13))</f>
      </c>
      <c r="P5977" s="43">
        <f>IF($I5977=0,0,$Q5976*INDEX(DarlErsatzZins,13))</f>
      </c>
      <c r="Q5977" s="43">
        <f>IF($I5977=0,0,$Q5976+$P5977+$O5977)</f>
      </c>
      <c r="R5977" s="43">
        <f>IF($I5977=0,0,$J5977-$M5977-$N5977)</f>
      </c>
    </row>
    <row r="5978">
      <c r="A5978"/>
      <c r="B5978">
        <v>13</v>
      </c>
      <c r="C5978" s="43">
        <f>INDEX(DarlObj,13)</f>
      </c>
      <c r="D5978">
        <v>215</v>
      </c>
      <c r="E5978" s="51">
        <f>IF(INDEX(DarlBelegt,13)=0,0,EOMONTH(INDEX(DarlAuszahlung,13),214)+1)</f>
      </c>
      <c r="F5978" s="43">
        <f>IF($E5978=0,0,YEAR($E5978))</f>
      </c>
      <c r="G5978" s="43">
        <f>IF(INDEX(DarlBindung,13)="",1,IF($E5978&lt;=INDEX(DarlBindung,13),1,0))</f>
      </c>
      <c r="H5978" s="43">
        <f>IF($G5978=1,INDEX(DarlSollzins,13),INDEX(DarlAnschluss,13))</f>
      </c>
      <c r="I5978" s="43">
        <f>IF(INDEX(DarlBelegt,13)=0,0,IF(INDEX(DarlOhneTilgung,13)=1,IF(INDEX(DarlBindung,13)="",1,$G5978),IF($J5978&gt;0.005,1,0)))</f>
      </c>
      <c r="J5978" s="43">
        <f>IF($I5977=0,0,$R5977)</f>
      </c>
      <c r="K5978" s="43">
        <f>IF($I5978=0,0,IF(INDEX(DarlOhneTilgung,13)=1,0,IF(AND(INDEX(DarlTilgStart,13)&gt;0,$E5978=INDEX(DarlTilgStart,13)),$J5978*($H5978+INDEX(DarlTilgung,13))/100/12,IF(AND($G5978=0,$G5977=1),MAX($K5977,$J5978*($H5978+1)/100/12),$K5977))))</f>
      </c>
      <c r="L5978" s="43">
        <f>IF($I5978=0,0,$J5978*$H5978/100/12)</f>
      </c>
      <c r="M5978" s="43">
        <f>IF($I5978=0,0,IF(OR(INDEX(DarlOhneTilgung,13)=1,AND(INDEX(DarlTilgStart,13)&gt;0,$E5978&lt;INDEX(DarlTilgStart,13))),0,MIN(MAX(0,$K5978-$L5978),$J5978)))</f>
      </c>
      <c r="N5978" s="43">
        <f>IF($I5978=0,0,MIN(SUMIFS(SondBetrag,SondDarl,13,SondDatum,"&gt;="&amp;$E5978,SondDatum,"&lt;="&amp;EOMONTH($E5978,0)),$J5978-$M5978))</f>
      </c>
      <c r="O5978" s="43">
        <f>IF($I5978=0,0,INDEX(DarlErsatzRate,13))</f>
      </c>
      <c r="P5978" s="43">
        <f>IF($I5978=0,0,$Q5977*INDEX(DarlErsatzZins,13))</f>
      </c>
      <c r="Q5978" s="43">
        <f>IF($I5978=0,0,$Q5977+$P5978+$O5978)</f>
      </c>
      <c r="R5978" s="43">
        <f>IF($I5978=0,0,$J5978-$M5978-$N5978)</f>
      </c>
    </row>
    <row r="5979">
      <c r="A5979"/>
      <c r="B5979">
        <v>13</v>
      </c>
      <c r="C5979" s="43">
        <f>INDEX(DarlObj,13)</f>
      </c>
      <c r="D5979">
        <v>216</v>
      </c>
      <c r="E5979" s="51">
        <f>IF(INDEX(DarlBelegt,13)=0,0,EOMONTH(INDEX(DarlAuszahlung,13),215)+1)</f>
      </c>
      <c r="F5979" s="43">
        <f>IF($E5979=0,0,YEAR($E5979))</f>
      </c>
      <c r="G5979" s="43">
        <f>IF(INDEX(DarlBindung,13)="",1,IF($E5979&lt;=INDEX(DarlBindung,13),1,0))</f>
      </c>
      <c r="H5979" s="43">
        <f>IF($G5979=1,INDEX(DarlSollzins,13),INDEX(DarlAnschluss,13))</f>
      </c>
      <c r="I5979" s="43">
        <f>IF(INDEX(DarlBelegt,13)=0,0,IF(INDEX(DarlOhneTilgung,13)=1,IF(INDEX(DarlBindung,13)="",1,$G5979),IF($J5979&gt;0.005,1,0)))</f>
      </c>
      <c r="J5979" s="43">
        <f>IF($I5978=0,0,$R5978)</f>
      </c>
      <c r="K5979" s="43">
        <f>IF($I5979=0,0,IF(INDEX(DarlOhneTilgung,13)=1,0,IF(AND(INDEX(DarlTilgStart,13)&gt;0,$E5979=INDEX(DarlTilgStart,13)),$J5979*($H5979+INDEX(DarlTilgung,13))/100/12,IF(AND($G5979=0,$G5978=1),MAX($K5978,$J5979*($H5979+1)/100/12),$K5978))))</f>
      </c>
      <c r="L5979" s="43">
        <f>IF($I5979=0,0,$J5979*$H5979/100/12)</f>
      </c>
      <c r="M5979" s="43">
        <f>IF($I5979=0,0,IF(OR(INDEX(DarlOhneTilgung,13)=1,AND(INDEX(DarlTilgStart,13)&gt;0,$E5979&lt;INDEX(DarlTilgStart,13))),0,MIN(MAX(0,$K5979-$L5979),$J5979)))</f>
      </c>
      <c r="N5979" s="43">
        <f>IF($I5979=0,0,MIN(SUMIFS(SondBetrag,SondDarl,13,SondDatum,"&gt;="&amp;$E5979,SondDatum,"&lt;="&amp;EOMONTH($E5979,0)),$J5979-$M5979))</f>
      </c>
      <c r="O5979" s="43">
        <f>IF($I5979=0,0,INDEX(DarlErsatzRate,13))</f>
      </c>
      <c r="P5979" s="43">
        <f>IF($I5979=0,0,$Q5978*INDEX(DarlErsatzZins,13))</f>
      </c>
      <c r="Q5979" s="43">
        <f>IF($I5979=0,0,$Q5978+$P5979+$O5979)</f>
      </c>
      <c r="R5979" s="43">
        <f>IF($I5979=0,0,$J5979-$M5979-$N5979)</f>
      </c>
    </row>
    <row r="5980">
      <c r="A5980"/>
      <c r="B5980">
        <v>13</v>
      </c>
      <c r="C5980" s="43">
        <f>INDEX(DarlObj,13)</f>
      </c>
      <c r="D5980">
        <v>217</v>
      </c>
      <c r="E5980" s="51">
        <f>IF(INDEX(DarlBelegt,13)=0,0,EOMONTH(INDEX(DarlAuszahlung,13),216)+1)</f>
      </c>
      <c r="F5980" s="43">
        <f>IF($E5980=0,0,YEAR($E5980))</f>
      </c>
      <c r="G5980" s="43">
        <f>IF(INDEX(DarlBindung,13)="",1,IF($E5980&lt;=INDEX(DarlBindung,13),1,0))</f>
      </c>
      <c r="H5980" s="43">
        <f>IF($G5980=1,INDEX(DarlSollzins,13),INDEX(DarlAnschluss,13))</f>
      </c>
      <c r="I5980" s="43">
        <f>IF(INDEX(DarlBelegt,13)=0,0,IF(INDEX(DarlOhneTilgung,13)=1,IF(INDEX(DarlBindung,13)="",1,$G5980),IF($J5980&gt;0.005,1,0)))</f>
      </c>
      <c r="J5980" s="43">
        <f>IF($I5979=0,0,$R5979)</f>
      </c>
      <c r="K5980" s="43">
        <f>IF($I5980=0,0,IF(INDEX(DarlOhneTilgung,13)=1,0,IF(AND(INDEX(DarlTilgStart,13)&gt;0,$E5980=INDEX(DarlTilgStart,13)),$J5980*($H5980+INDEX(DarlTilgung,13))/100/12,IF(AND($G5980=0,$G5979=1),MAX($K5979,$J5980*($H5980+1)/100/12),$K5979))))</f>
      </c>
      <c r="L5980" s="43">
        <f>IF($I5980=0,0,$J5980*$H5980/100/12)</f>
      </c>
      <c r="M5980" s="43">
        <f>IF($I5980=0,0,IF(OR(INDEX(DarlOhneTilgung,13)=1,AND(INDEX(DarlTilgStart,13)&gt;0,$E5980&lt;INDEX(DarlTilgStart,13))),0,MIN(MAX(0,$K5980-$L5980),$J5980)))</f>
      </c>
      <c r="N5980" s="43">
        <f>IF($I5980=0,0,MIN(SUMIFS(SondBetrag,SondDarl,13,SondDatum,"&gt;="&amp;$E5980,SondDatum,"&lt;="&amp;EOMONTH($E5980,0)),$J5980-$M5980))</f>
      </c>
      <c r="O5980" s="43">
        <f>IF($I5980=0,0,INDEX(DarlErsatzRate,13))</f>
      </c>
      <c r="P5980" s="43">
        <f>IF($I5980=0,0,$Q5979*INDEX(DarlErsatzZins,13))</f>
      </c>
      <c r="Q5980" s="43">
        <f>IF($I5980=0,0,$Q5979+$P5980+$O5980)</f>
      </c>
      <c r="R5980" s="43">
        <f>IF($I5980=0,0,$J5980-$M5980-$N5980)</f>
      </c>
    </row>
    <row r="5981">
      <c r="A5981"/>
      <c r="B5981">
        <v>13</v>
      </c>
      <c r="C5981" s="43">
        <f>INDEX(DarlObj,13)</f>
      </c>
      <c r="D5981">
        <v>218</v>
      </c>
      <c r="E5981" s="51">
        <f>IF(INDEX(DarlBelegt,13)=0,0,EOMONTH(INDEX(DarlAuszahlung,13),217)+1)</f>
      </c>
      <c r="F5981" s="43">
        <f>IF($E5981=0,0,YEAR($E5981))</f>
      </c>
      <c r="G5981" s="43">
        <f>IF(INDEX(DarlBindung,13)="",1,IF($E5981&lt;=INDEX(DarlBindung,13),1,0))</f>
      </c>
      <c r="H5981" s="43">
        <f>IF($G5981=1,INDEX(DarlSollzins,13),INDEX(DarlAnschluss,13))</f>
      </c>
      <c r="I5981" s="43">
        <f>IF(INDEX(DarlBelegt,13)=0,0,IF(INDEX(DarlOhneTilgung,13)=1,IF(INDEX(DarlBindung,13)="",1,$G5981),IF($J5981&gt;0.005,1,0)))</f>
      </c>
      <c r="J5981" s="43">
        <f>IF($I5980=0,0,$R5980)</f>
      </c>
      <c r="K5981" s="43">
        <f>IF($I5981=0,0,IF(INDEX(DarlOhneTilgung,13)=1,0,IF(AND(INDEX(DarlTilgStart,13)&gt;0,$E5981=INDEX(DarlTilgStart,13)),$J5981*($H5981+INDEX(DarlTilgung,13))/100/12,IF(AND($G5981=0,$G5980=1),MAX($K5980,$J5981*($H5981+1)/100/12),$K5980))))</f>
      </c>
      <c r="L5981" s="43">
        <f>IF($I5981=0,0,$J5981*$H5981/100/12)</f>
      </c>
      <c r="M5981" s="43">
        <f>IF($I5981=0,0,IF(OR(INDEX(DarlOhneTilgung,13)=1,AND(INDEX(DarlTilgStart,13)&gt;0,$E5981&lt;INDEX(DarlTilgStart,13))),0,MIN(MAX(0,$K5981-$L5981),$J5981)))</f>
      </c>
      <c r="N5981" s="43">
        <f>IF($I5981=0,0,MIN(SUMIFS(SondBetrag,SondDarl,13,SondDatum,"&gt;="&amp;$E5981,SondDatum,"&lt;="&amp;EOMONTH($E5981,0)),$J5981-$M5981))</f>
      </c>
      <c r="O5981" s="43">
        <f>IF($I5981=0,0,INDEX(DarlErsatzRate,13))</f>
      </c>
      <c r="P5981" s="43">
        <f>IF($I5981=0,0,$Q5980*INDEX(DarlErsatzZins,13))</f>
      </c>
      <c r="Q5981" s="43">
        <f>IF($I5981=0,0,$Q5980+$P5981+$O5981)</f>
      </c>
      <c r="R5981" s="43">
        <f>IF($I5981=0,0,$J5981-$M5981-$N5981)</f>
      </c>
    </row>
    <row r="5982">
      <c r="A5982"/>
      <c r="B5982">
        <v>13</v>
      </c>
      <c r="C5982" s="43">
        <f>INDEX(DarlObj,13)</f>
      </c>
      <c r="D5982">
        <v>219</v>
      </c>
      <c r="E5982" s="51">
        <f>IF(INDEX(DarlBelegt,13)=0,0,EOMONTH(INDEX(DarlAuszahlung,13),218)+1)</f>
      </c>
      <c r="F5982" s="43">
        <f>IF($E5982=0,0,YEAR($E5982))</f>
      </c>
      <c r="G5982" s="43">
        <f>IF(INDEX(DarlBindung,13)="",1,IF($E5982&lt;=INDEX(DarlBindung,13),1,0))</f>
      </c>
      <c r="H5982" s="43">
        <f>IF($G5982=1,INDEX(DarlSollzins,13),INDEX(DarlAnschluss,13))</f>
      </c>
      <c r="I5982" s="43">
        <f>IF(INDEX(DarlBelegt,13)=0,0,IF(INDEX(DarlOhneTilgung,13)=1,IF(INDEX(DarlBindung,13)="",1,$G5982),IF($J5982&gt;0.005,1,0)))</f>
      </c>
      <c r="J5982" s="43">
        <f>IF($I5981=0,0,$R5981)</f>
      </c>
      <c r="K5982" s="43">
        <f>IF($I5982=0,0,IF(INDEX(DarlOhneTilgung,13)=1,0,IF(AND(INDEX(DarlTilgStart,13)&gt;0,$E5982=INDEX(DarlTilgStart,13)),$J5982*($H5982+INDEX(DarlTilgung,13))/100/12,IF(AND($G5982=0,$G5981=1),MAX($K5981,$J5982*($H5982+1)/100/12),$K5981))))</f>
      </c>
      <c r="L5982" s="43">
        <f>IF($I5982=0,0,$J5982*$H5982/100/12)</f>
      </c>
      <c r="M5982" s="43">
        <f>IF($I5982=0,0,IF(OR(INDEX(DarlOhneTilgung,13)=1,AND(INDEX(DarlTilgStart,13)&gt;0,$E5982&lt;INDEX(DarlTilgStart,13))),0,MIN(MAX(0,$K5982-$L5982),$J5982)))</f>
      </c>
      <c r="N5982" s="43">
        <f>IF($I5982=0,0,MIN(SUMIFS(SondBetrag,SondDarl,13,SondDatum,"&gt;="&amp;$E5982,SondDatum,"&lt;="&amp;EOMONTH($E5982,0)),$J5982-$M5982))</f>
      </c>
      <c r="O5982" s="43">
        <f>IF($I5982=0,0,INDEX(DarlErsatzRate,13))</f>
      </c>
      <c r="P5982" s="43">
        <f>IF($I5982=0,0,$Q5981*INDEX(DarlErsatzZins,13))</f>
      </c>
      <c r="Q5982" s="43">
        <f>IF($I5982=0,0,$Q5981+$P5982+$O5982)</f>
      </c>
      <c r="R5982" s="43">
        <f>IF($I5982=0,0,$J5982-$M5982-$N5982)</f>
      </c>
    </row>
    <row r="5983">
      <c r="A5983"/>
      <c r="B5983">
        <v>13</v>
      </c>
      <c r="C5983" s="43">
        <f>INDEX(DarlObj,13)</f>
      </c>
      <c r="D5983">
        <v>220</v>
      </c>
      <c r="E5983" s="51">
        <f>IF(INDEX(DarlBelegt,13)=0,0,EOMONTH(INDEX(DarlAuszahlung,13),219)+1)</f>
      </c>
      <c r="F5983" s="43">
        <f>IF($E5983=0,0,YEAR($E5983))</f>
      </c>
      <c r="G5983" s="43">
        <f>IF(INDEX(DarlBindung,13)="",1,IF($E5983&lt;=INDEX(DarlBindung,13),1,0))</f>
      </c>
      <c r="H5983" s="43">
        <f>IF($G5983=1,INDEX(DarlSollzins,13),INDEX(DarlAnschluss,13))</f>
      </c>
      <c r="I5983" s="43">
        <f>IF(INDEX(DarlBelegt,13)=0,0,IF(INDEX(DarlOhneTilgung,13)=1,IF(INDEX(DarlBindung,13)="",1,$G5983),IF($J5983&gt;0.005,1,0)))</f>
      </c>
      <c r="J5983" s="43">
        <f>IF($I5982=0,0,$R5982)</f>
      </c>
      <c r="K5983" s="43">
        <f>IF($I5983=0,0,IF(INDEX(DarlOhneTilgung,13)=1,0,IF(AND(INDEX(DarlTilgStart,13)&gt;0,$E5983=INDEX(DarlTilgStart,13)),$J5983*($H5983+INDEX(DarlTilgung,13))/100/12,IF(AND($G5983=0,$G5982=1),MAX($K5982,$J5983*($H5983+1)/100/12),$K5982))))</f>
      </c>
      <c r="L5983" s="43">
        <f>IF($I5983=0,0,$J5983*$H5983/100/12)</f>
      </c>
      <c r="M5983" s="43">
        <f>IF($I5983=0,0,IF(OR(INDEX(DarlOhneTilgung,13)=1,AND(INDEX(DarlTilgStart,13)&gt;0,$E5983&lt;INDEX(DarlTilgStart,13))),0,MIN(MAX(0,$K5983-$L5983),$J5983)))</f>
      </c>
      <c r="N5983" s="43">
        <f>IF($I5983=0,0,MIN(SUMIFS(SondBetrag,SondDarl,13,SondDatum,"&gt;="&amp;$E5983,SondDatum,"&lt;="&amp;EOMONTH($E5983,0)),$J5983-$M5983))</f>
      </c>
      <c r="O5983" s="43">
        <f>IF($I5983=0,0,INDEX(DarlErsatzRate,13))</f>
      </c>
      <c r="P5983" s="43">
        <f>IF($I5983=0,0,$Q5982*INDEX(DarlErsatzZins,13))</f>
      </c>
      <c r="Q5983" s="43">
        <f>IF($I5983=0,0,$Q5982+$P5983+$O5983)</f>
      </c>
      <c r="R5983" s="43">
        <f>IF($I5983=0,0,$J5983-$M5983-$N5983)</f>
      </c>
    </row>
    <row r="5984">
      <c r="A5984"/>
      <c r="B5984">
        <v>13</v>
      </c>
      <c r="C5984" s="43">
        <f>INDEX(DarlObj,13)</f>
      </c>
      <c r="D5984">
        <v>221</v>
      </c>
      <c r="E5984" s="51">
        <f>IF(INDEX(DarlBelegt,13)=0,0,EOMONTH(INDEX(DarlAuszahlung,13),220)+1)</f>
      </c>
      <c r="F5984" s="43">
        <f>IF($E5984=0,0,YEAR($E5984))</f>
      </c>
      <c r="G5984" s="43">
        <f>IF(INDEX(DarlBindung,13)="",1,IF($E5984&lt;=INDEX(DarlBindung,13),1,0))</f>
      </c>
      <c r="H5984" s="43">
        <f>IF($G5984=1,INDEX(DarlSollzins,13),INDEX(DarlAnschluss,13))</f>
      </c>
      <c r="I5984" s="43">
        <f>IF(INDEX(DarlBelegt,13)=0,0,IF(INDEX(DarlOhneTilgung,13)=1,IF(INDEX(DarlBindung,13)="",1,$G5984),IF($J5984&gt;0.005,1,0)))</f>
      </c>
      <c r="J5984" s="43">
        <f>IF($I5983=0,0,$R5983)</f>
      </c>
      <c r="K5984" s="43">
        <f>IF($I5984=0,0,IF(INDEX(DarlOhneTilgung,13)=1,0,IF(AND(INDEX(DarlTilgStart,13)&gt;0,$E5984=INDEX(DarlTilgStart,13)),$J5984*($H5984+INDEX(DarlTilgung,13))/100/12,IF(AND($G5984=0,$G5983=1),MAX($K5983,$J5984*($H5984+1)/100/12),$K5983))))</f>
      </c>
      <c r="L5984" s="43">
        <f>IF($I5984=0,0,$J5984*$H5984/100/12)</f>
      </c>
      <c r="M5984" s="43">
        <f>IF($I5984=0,0,IF(OR(INDEX(DarlOhneTilgung,13)=1,AND(INDEX(DarlTilgStart,13)&gt;0,$E5984&lt;INDEX(DarlTilgStart,13))),0,MIN(MAX(0,$K5984-$L5984),$J5984)))</f>
      </c>
      <c r="N5984" s="43">
        <f>IF($I5984=0,0,MIN(SUMIFS(SondBetrag,SondDarl,13,SondDatum,"&gt;="&amp;$E5984,SondDatum,"&lt;="&amp;EOMONTH($E5984,0)),$J5984-$M5984))</f>
      </c>
      <c r="O5984" s="43">
        <f>IF($I5984=0,0,INDEX(DarlErsatzRate,13))</f>
      </c>
      <c r="P5984" s="43">
        <f>IF($I5984=0,0,$Q5983*INDEX(DarlErsatzZins,13))</f>
      </c>
      <c r="Q5984" s="43">
        <f>IF($I5984=0,0,$Q5983+$P5984+$O5984)</f>
      </c>
      <c r="R5984" s="43">
        <f>IF($I5984=0,0,$J5984-$M5984-$N5984)</f>
      </c>
    </row>
    <row r="5985">
      <c r="A5985"/>
      <c r="B5985">
        <v>13</v>
      </c>
      <c r="C5985" s="43">
        <f>INDEX(DarlObj,13)</f>
      </c>
      <c r="D5985">
        <v>222</v>
      </c>
      <c r="E5985" s="51">
        <f>IF(INDEX(DarlBelegt,13)=0,0,EOMONTH(INDEX(DarlAuszahlung,13),221)+1)</f>
      </c>
      <c r="F5985" s="43">
        <f>IF($E5985=0,0,YEAR($E5985))</f>
      </c>
      <c r="G5985" s="43">
        <f>IF(INDEX(DarlBindung,13)="",1,IF($E5985&lt;=INDEX(DarlBindung,13),1,0))</f>
      </c>
      <c r="H5985" s="43">
        <f>IF($G5985=1,INDEX(DarlSollzins,13),INDEX(DarlAnschluss,13))</f>
      </c>
      <c r="I5985" s="43">
        <f>IF(INDEX(DarlBelegt,13)=0,0,IF(INDEX(DarlOhneTilgung,13)=1,IF(INDEX(DarlBindung,13)="",1,$G5985),IF($J5985&gt;0.005,1,0)))</f>
      </c>
      <c r="J5985" s="43">
        <f>IF($I5984=0,0,$R5984)</f>
      </c>
      <c r="K5985" s="43">
        <f>IF($I5985=0,0,IF(INDEX(DarlOhneTilgung,13)=1,0,IF(AND(INDEX(DarlTilgStart,13)&gt;0,$E5985=INDEX(DarlTilgStart,13)),$J5985*($H5985+INDEX(DarlTilgung,13))/100/12,IF(AND($G5985=0,$G5984=1),MAX($K5984,$J5985*($H5985+1)/100/12),$K5984))))</f>
      </c>
      <c r="L5985" s="43">
        <f>IF($I5985=0,0,$J5985*$H5985/100/12)</f>
      </c>
      <c r="M5985" s="43">
        <f>IF($I5985=0,0,IF(OR(INDEX(DarlOhneTilgung,13)=1,AND(INDEX(DarlTilgStart,13)&gt;0,$E5985&lt;INDEX(DarlTilgStart,13))),0,MIN(MAX(0,$K5985-$L5985),$J5985)))</f>
      </c>
      <c r="N5985" s="43">
        <f>IF($I5985=0,0,MIN(SUMIFS(SondBetrag,SondDarl,13,SondDatum,"&gt;="&amp;$E5985,SondDatum,"&lt;="&amp;EOMONTH($E5985,0)),$J5985-$M5985))</f>
      </c>
      <c r="O5985" s="43">
        <f>IF($I5985=0,0,INDEX(DarlErsatzRate,13))</f>
      </c>
      <c r="P5985" s="43">
        <f>IF($I5985=0,0,$Q5984*INDEX(DarlErsatzZins,13))</f>
      </c>
      <c r="Q5985" s="43">
        <f>IF($I5985=0,0,$Q5984+$P5985+$O5985)</f>
      </c>
      <c r="R5985" s="43">
        <f>IF($I5985=0,0,$J5985-$M5985-$N5985)</f>
      </c>
    </row>
    <row r="5986">
      <c r="A5986"/>
      <c r="B5986">
        <v>13</v>
      </c>
      <c r="C5986" s="43">
        <f>INDEX(DarlObj,13)</f>
      </c>
      <c r="D5986">
        <v>223</v>
      </c>
      <c r="E5986" s="51">
        <f>IF(INDEX(DarlBelegt,13)=0,0,EOMONTH(INDEX(DarlAuszahlung,13),222)+1)</f>
      </c>
      <c r="F5986" s="43">
        <f>IF($E5986=0,0,YEAR($E5986))</f>
      </c>
      <c r="G5986" s="43">
        <f>IF(INDEX(DarlBindung,13)="",1,IF($E5986&lt;=INDEX(DarlBindung,13),1,0))</f>
      </c>
      <c r="H5986" s="43">
        <f>IF($G5986=1,INDEX(DarlSollzins,13),INDEX(DarlAnschluss,13))</f>
      </c>
      <c r="I5986" s="43">
        <f>IF(INDEX(DarlBelegt,13)=0,0,IF(INDEX(DarlOhneTilgung,13)=1,IF(INDEX(DarlBindung,13)="",1,$G5986),IF($J5986&gt;0.005,1,0)))</f>
      </c>
      <c r="J5986" s="43">
        <f>IF($I5985=0,0,$R5985)</f>
      </c>
      <c r="K5986" s="43">
        <f>IF($I5986=0,0,IF(INDEX(DarlOhneTilgung,13)=1,0,IF(AND(INDEX(DarlTilgStart,13)&gt;0,$E5986=INDEX(DarlTilgStart,13)),$J5986*($H5986+INDEX(DarlTilgung,13))/100/12,IF(AND($G5986=0,$G5985=1),MAX($K5985,$J5986*($H5986+1)/100/12),$K5985))))</f>
      </c>
      <c r="L5986" s="43">
        <f>IF($I5986=0,0,$J5986*$H5986/100/12)</f>
      </c>
      <c r="M5986" s="43">
        <f>IF($I5986=0,0,IF(OR(INDEX(DarlOhneTilgung,13)=1,AND(INDEX(DarlTilgStart,13)&gt;0,$E5986&lt;INDEX(DarlTilgStart,13))),0,MIN(MAX(0,$K5986-$L5986),$J5986)))</f>
      </c>
      <c r="N5986" s="43">
        <f>IF($I5986=0,0,MIN(SUMIFS(SondBetrag,SondDarl,13,SondDatum,"&gt;="&amp;$E5986,SondDatum,"&lt;="&amp;EOMONTH($E5986,0)),$J5986-$M5986))</f>
      </c>
      <c r="O5986" s="43">
        <f>IF($I5986=0,0,INDEX(DarlErsatzRate,13))</f>
      </c>
      <c r="P5986" s="43">
        <f>IF($I5986=0,0,$Q5985*INDEX(DarlErsatzZins,13))</f>
      </c>
      <c r="Q5986" s="43">
        <f>IF($I5986=0,0,$Q5985+$P5986+$O5986)</f>
      </c>
      <c r="R5986" s="43">
        <f>IF($I5986=0,0,$J5986-$M5986-$N5986)</f>
      </c>
    </row>
    <row r="5987">
      <c r="A5987"/>
      <c r="B5987">
        <v>13</v>
      </c>
      <c r="C5987" s="43">
        <f>INDEX(DarlObj,13)</f>
      </c>
      <c r="D5987">
        <v>224</v>
      </c>
      <c r="E5987" s="51">
        <f>IF(INDEX(DarlBelegt,13)=0,0,EOMONTH(INDEX(DarlAuszahlung,13),223)+1)</f>
      </c>
      <c r="F5987" s="43">
        <f>IF($E5987=0,0,YEAR($E5987))</f>
      </c>
      <c r="G5987" s="43">
        <f>IF(INDEX(DarlBindung,13)="",1,IF($E5987&lt;=INDEX(DarlBindung,13),1,0))</f>
      </c>
      <c r="H5987" s="43">
        <f>IF($G5987=1,INDEX(DarlSollzins,13),INDEX(DarlAnschluss,13))</f>
      </c>
      <c r="I5987" s="43">
        <f>IF(INDEX(DarlBelegt,13)=0,0,IF(INDEX(DarlOhneTilgung,13)=1,IF(INDEX(DarlBindung,13)="",1,$G5987),IF($J5987&gt;0.005,1,0)))</f>
      </c>
      <c r="J5987" s="43">
        <f>IF($I5986=0,0,$R5986)</f>
      </c>
      <c r="K5987" s="43">
        <f>IF($I5987=0,0,IF(INDEX(DarlOhneTilgung,13)=1,0,IF(AND(INDEX(DarlTilgStart,13)&gt;0,$E5987=INDEX(DarlTilgStart,13)),$J5987*($H5987+INDEX(DarlTilgung,13))/100/12,IF(AND($G5987=0,$G5986=1),MAX($K5986,$J5987*($H5987+1)/100/12),$K5986))))</f>
      </c>
      <c r="L5987" s="43">
        <f>IF($I5987=0,0,$J5987*$H5987/100/12)</f>
      </c>
      <c r="M5987" s="43">
        <f>IF($I5987=0,0,IF(OR(INDEX(DarlOhneTilgung,13)=1,AND(INDEX(DarlTilgStart,13)&gt;0,$E5987&lt;INDEX(DarlTilgStart,13))),0,MIN(MAX(0,$K5987-$L5987),$J5987)))</f>
      </c>
      <c r="N5987" s="43">
        <f>IF($I5987=0,0,MIN(SUMIFS(SondBetrag,SondDarl,13,SondDatum,"&gt;="&amp;$E5987,SondDatum,"&lt;="&amp;EOMONTH($E5987,0)),$J5987-$M5987))</f>
      </c>
      <c r="O5987" s="43">
        <f>IF($I5987=0,0,INDEX(DarlErsatzRate,13))</f>
      </c>
      <c r="P5987" s="43">
        <f>IF($I5987=0,0,$Q5986*INDEX(DarlErsatzZins,13))</f>
      </c>
      <c r="Q5987" s="43">
        <f>IF($I5987=0,0,$Q5986+$P5987+$O5987)</f>
      </c>
      <c r="R5987" s="43">
        <f>IF($I5987=0,0,$J5987-$M5987-$N5987)</f>
      </c>
    </row>
    <row r="5988">
      <c r="A5988"/>
      <c r="B5988">
        <v>13</v>
      </c>
      <c r="C5988" s="43">
        <f>INDEX(DarlObj,13)</f>
      </c>
      <c r="D5988">
        <v>225</v>
      </c>
      <c r="E5988" s="51">
        <f>IF(INDEX(DarlBelegt,13)=0,0,EOMONTH(INDEX(DarlAuszahlung,13),224)+1)</f>
      </c>
      <c r="F5988" s="43">
        <f>IF($E5988=0,0,YEAR($E5988))</f>
      </c>
      <c r="G5988" s="43">
        <f>IF(INDEX(DarlBindung,13)="",1,IF($E5988&lt;=INDEX(DarlBindung,13),1,0))</f>
      </c>
      <c r="H5988" s="43">
        <f>IF($G5988=1,INDEX(DarlSollzins,13),INDEX(DarlAnschluss,13))</f>
      </c>
      <c r="I5988" s="43">
        <f>IF(INDEX(DarlBelegt,13)=0,0,IF(INDEX(DarlOhneTilgung,13)=1,IF(INDEX(DarlBindung,13)="",1,$G5988),IF($J5988&gt;0.005,1,0)))</f>
      </c>
      <c r="J5988" s="43">
        <f>IF($I5987=0,0,$R5987)</f>
      </c>
      <c r="K5988" s="43">
        <f>IF($I5988=0,0,IF(INDEX(DarlOhneTilgung,13)=1,0,IF(AND(INDEX(DarlTilgStart,13)&gt;0,$E5988=INDEX(DarlTilgStart,13)),$J5988*($H5988+INDEX(DarlTilgung,13))/100/12,IF(AND($G5988=0,$G5987=1),MAX($K5987,$J5988*($H5988+1)/100/12),$K5987))))</f>
      </c>
      <c r="L5988" s="43">
        <f>IF($I5988=0,0,$J5988*$H5988/100/12)</f>
      </c>
      <c r="M5988" s="43">
        <f>IF($I5988=0,0,IF(OR(INDEX(DarlOhneTilgung,13)=1,AND(INDEX(DarlTilgStart,13)&gt;0,$E5988&lt;INDEX(DarlTilgStart,13))),0,MIN(MAX(0,$K5988-$L5988),$J5988)))</f>
      </c>
      <c r="N5988" s="43">
        <f>IF($I5988=0,0,MIN(SUMIFS(SondBetrag,SondDarl,13,SondDatum,"&gt;="&amp;$E5988,SondDatum,"&lt;="&amp;EOMONTH($E5988,0)),$J5988-$M5988))</f>
      </c>
      <c r="O5988" s="43">
        <f>IF($I5988=0,0,INDEX(DarlErsatzRate,13))</f>
      </c>
      <c r="P5988" s="43">
        <f>IF($I5988=0,0,$Q5987*INDEX(DarlErsatzZins,13))</f>
      </c>
      <c r="Q5988" s="43">
        <f>IF($I5988=0,0,$Q5987+$P5988+$O5988)</f>
      </c>
      <c r="R5988" s="43">
        <f>IF($I5988=0,0,$J5988-$M5988-$N5988)</f>
      </c>
    </row>
    <row r="5989">
      <c r="A5989"/>
      <c r="B5989">
        <v>13</v>
      </c>
      <c r="C5989" s="43">
        <f>INDEX(DarlObj,13)</f>
      </c>
      <c r="D5989">
        <v>226</v>
      </c>
      <c r="E5989" s="51">
        <f>IF(INDEX(DarlBelegt,13)=0,0,EOMONTH(INDEX(DarlAuszahlung,13),225)+1)</f>
      </c>
      <c r="F5989" s="43">
        <f>IF($E5989=0,0,YEAR($E5989))</f>
      </c>
      <c r="G5989" s="43">
        <f>IF(INDEX(DarlBindung,13)="",1,IF($E5989&lt;=INDEX(DarlBindung,13),1,0))</f>
      </c>
      <c r="H5989" s="43">
        <f>IF($G5989=1,INDEX(DarlSollzins,13),INDEX(DarlAnschluss,13))</f>
      </c>
      <c r="I5989" s="43">
        <f>IF(INDEX(DarlBelegt,13)=0,0,IF(INDEX(DarlOhneTilgung,13)=1,IF(INDEX(DarlBindung,13)="",1,$G5989),IF($J5989&gt;0.005,1,0)))</f>
      </c>
      <c r="J5989" s="43">
        <f>IF($I5988=0,0,$R5988)</f>
      </c>
      <c r="K5989" s="43">
        <f>IF($I5989=0,0,IF(INDEX(DarlOhneTilgung,13)=1,0,IF(AND(INDEX(DarlTilgStart,13)&gt;0,$E5989=INDEX(DarlTilgStart,13)),$J5989*($H5989+INDEX(DarlTilgung,13))/100/12,IF(AND($G5989=0,$G5988=1),MAX($K5988,$J5989*($H5989+1)/100/12),$K5988))))</f>
      </c>
      <c r="L5989" s="43">
        <f>IF($I5989=0,0,$J5989*$H5989/100/12)</f>
      </c>
      <c r="M5989" s="43">
        <f>IF($I5989=0,0,IF(OR(INDEX(DarlOhneTilgung,13)=1,AND(INDEX(DarlTilgStart,13)&gt;0,$E5989&lt;INDEX(DarlTilgStart,13))),0,MIN(MAX(0,$K5989-$L5989),$J5989)))</f>
      </c>
      <c r="N5989" s="43">
        <f>IF($I5989=0,0,MIN(SUMIFS(SondBetrag,SondDarl,13,SondDatum,"&gt;="&amp;$E5989,SondDatum,"&lt;="&amp;EOMONTH($E5989,0)),$J5989-$M5989))</f>
      </c>
      <c r="O5989" s="43">
        <f>IF($I5989=0,0,INDEX(DarlErsatzRate,13))</f>
      </c>
      <c r="P5989" s="43">
        <f>IF($I5989=0,0,$Q5988*INDEX(DarlErsatzZins,13))</f>
      </c>
      <c r="Q5989" s="43">
        <f>IF($I5989=0,0,$Q5988+$P5989+$O5989)</f>
      </c>
      <c r="R5989" s="43">
        <f>IF($I5989=0,0,$J5989-$M5989-$N5989)</f>
      </c>
    </row>
    <row r="5990">
      <c r="A5990"/>
      <c r="B5990">
        <v>13</v>
      </c>
      <c r="C5990" s="43">
        <f>INDEX(DarlObj,13)</f>
      </c>
      <c r="D5990">
        <v>227</v>
      </c>
      <c r="E5990" s="51">
        <f>IF(INDEX(DarlBelegt,13)=0,0,EOMONTH(INDEX(DarlAuszahlung,13),226)+1)</f>
      </c>
      <c r="F5990" s="43">
        <f>IF($E5990=0,0,YEAR($E5990))</f>
      </c>
      <c r="G5990" s="43">
        <f>IF(INDEX(DarlBindung,13)="",1,IF($E5990&lt;=INDEX(DarlBindung,13),1,0))</f>
      </c>
      <c r="H5990" s="43">
        <f>IF($G5990=1,INDEX(DarlSollzins,13),INDEX(DarlAnschluss,13))</f>
      </c>
      <c r="I5990" s="43">
        <f>IF(INDEX(DarlBelegt,13)=0,0,IF(INDEX(DarlOhneTilgung,13)=1,IF(INDEX(DarlBindung,13)="",1,$G5990),IF($J5990&gt;0.005,1,0)))</f>
      </c>
      <c r="J5990" s="43">
        <f>IF($I5989=0,0,$R5989)</f>
      </c>
      <c r="K5990" s="43">
        <f>IF($I5990=0,0,IF(INDEX(DarlOhneTilgung,13)=1,0,IF(AND(INDEX(DarlTilgStart,13)&gt;0,$E5990=INDEX(DarlTilgStart,13)),$J5990*($H5990+INDEX(DarlTilgung,13))/100/12,IF(AND($G5990=0,$G5989=1),MAX($K5989,$J5990*($H5990+1)/100/12),$K5989))))</f>
      </c>
      <c r="L5990" s="43">
        <f>IF($I5990=0,0,$J5990*$H5990/100/12)</f>
      </c>
      <c r="M5990" s="43">
        <f>IF($I5990=0,0,IF(OR(INDEX(DarlOhneTilgung,13)=1,AND(INDEX(DarlTilgStart,13)&gt;0,$E5990&lt;INDEX(DarlTilgStart,13))),0,MIN(MAX(0,$K5990-$L5990),$J5990)))</f>
      </c>
      <c r="N5990" s="43">
        <f>IF($I5990=0,0,MIN(SUMIFS(SondBetrag,SondDarl,13,SondDatum,"&gt;="&amp;$E5990,SondDatum,"&lt;="&amp;EOMONTH($E5990,0)),$J5990-$M5990))</f>
      </c>
      <c r="O5990" s="43">
        <f>IF($I5990=0,0,INDEX(DarlErsatzRate,13))</f>
      </c>
      <c r="P5990" s="43">
        <f>IF($I5990=0,0,$Q5989*INDEX(DarlErsatzZins,13))</f>
      </c>
      <c r="Q5990" s="43">
        <f>IF($I5990=0,0,$Q5989+$P5990+$O5990)</f>
      </c>
      <c r="R5990" s="43">
        <f>IF($I5990=0,0,$J5990-$M5990-$N5990)</f>
      </c>
    </row>
    <row r="5991">
      <c r="A5991"/>
      <c r="B5991">
        <v>13</v>
      </c>
      <c r="C5991" s="43">
        <f>INDEX(DarlObj,13)</f>
      </c>
      <c r="D5991">
        <v>228</v>
      </c>
      <c r="E5991" s="51">
        <f>IF(INDEX(DarlBelegt,13)=0,0,EOMONTH(INDEX(DarlAuszahlung,13),227)+1)</f>
      </c>
      <c r="F5991" s="43">
        <f>IF($E5991=0,0,YEAR($E5991))</f>
      </c>
      <c r="G5991" s="43">
        <f>IF(INDEX(DarlBindung,13)="",1,IF($E5991&lt;=INDEX(DarlBindung,13),1,0))</f>
      </c>
      <c r="H5991" s="43">
        <f>IF($G5991=1,INDEX(DarlSollzins,13),INDEX(DarlAnschluss,13))</f>
      </c>
      <c r="I5991" s="43">
        <f>IF(INDEX(DarlBelegt,13)=0,0,IF(INDEX(DarlOhneTilgung,13)=1,IF(INDEX(DarlBindung,13)="",1,$G5991),IF($J5991&gt;0.005,1,0)))</f>
      </c>
      <c r="J5991" s="43">
        <f>IF($I5990=0,0,$R5990)</f>
      </c>
      <c r="K5991" s="43">
        <f>IF($I5991=0,0,IF(INDEX(DarlOhneTilgung,13)=1,0,IF(AND(INDEX(DarlTilgStart,13)&gt;0,$E5991=INDEX(DarlTilgStart,13)),$J5991*($H5991+INDEX(DarlTilgung,13))/100/12,IF(AND($G5991=0,$G5990=1),MAX($K5990,$J5991*($H5991+1)/100/12),$K5990))))</f>
      </c>
      <c r="L5991" s="43">
        <f>IF($I5991=0,0,$J5991*$H5991/100/12)</f>
      </c>
      <c r="M5991" s="43">
        <f>IF($I5991=0,0,IF(OR(INDEX(DarlOhneTilgung,13)=1,AND(INDEX(DarlTilgStart,13)&gt;0,$E5991&lt;INDEX(DarlTilgStart,13))),0,MIN(MAX(0,$K5991-$L5991),$J5991)))</f>
      </c>
      <c r="N5991" s="43">
        <f>IF($I5991=0,0,MIN(SUMIFS(SondBetrag,SondDarl,13,SondDatum,"&gt;="&amp;$E5991,SondDatum,"&lt;="&amp;EOMONTH($E5991,0)),$J5991-$M5991))</f>
      </c>
      <c r="O5991" s="43">
        <f>IF($I5991=0,0,INDEX(DarlErsatzRate,13))</f>
      </c>
      <c r="P5991" s="43">
        <f>IF($I5991=0,0,$Q5990*INDEX(DarlErsatzZins,13))</f>
      </c>
      <c r="Q5991" s="43">
        <f>IF($I5991=0,0,$Q5990+$P5991+$O5991)</f>
      </c>
      <c r="R5991" s="43">
        <f>IF($I5991=0,0,$J5991-$M5991-$N5991)</f>
      </c>
    </row>
    <row r="5992">
      <c r="A5992"/>
      <c r="B5992">
        <v>13</v>
      </c>
      <c r="C5992" s="43">
        <f>INDEX(DarlObj,13)</f>
      </c>
      <c r="D5992">
        <v>229</v>
      </c>
      <c r="E5992" s="51">
        <f>IF(INDEX(DarlBelegt,13)=0,0,EOMONTH(INDEX(DarlAuszahlung,13),228)+1)</f>
      </c>
      <c r="F5992" s="43">
        <f>IF($E5992=0,0,YEAR($E5992))</f>
      </c>
      <c r="G5992" s="43">
        <f>IF(INDEX(DarlBindung,13)="",1,IF($E5992&lt;=INDEX(DarlBindung,13),1,0))</f>
      </c>
      <c r="H5992" s="43">
        <f>IF($G5992=1,INDEX(DarlSollzins,13),INDEX(DarlAnschluss,13))</f>
      </c>
      <c r="I5992" s="43">
        <f>IF(INDEX(DarlBelegt,13)=0,0,IF(INDEX(DarlOhneTilgung,13)=1,IF(INDEX(DarlBindung,13)="",1,$G5992),IF($J5992&gt;0.005,1,0)))</f>
      </c>
      <c r="J5992" s="43">
        <f>IF($I5991=0,0,$R5991)</f>
      </c>
      <c r="K5992" s="43">
        <f>IF($I5992=0,0,IF(INDEX(DarlOhneTilgung,13)=1,0,IF(AND(INDEX(DarlTilgStart,13)&gt;0,$E5992=INDEX(DarlTilgStart,13)),$J5992*($H5992+INDEX(DarlTilgung,13))/100/12,IF(AND($G5992=0,$G5991=1),MAX($K5991,$J5992*($H5992+1)/100/12),$K5991))))</f>
      </c>
      <c r="L5992" s="43">
        <f>IF($I5992=0,0,$J5992*$H5992/100/12)</f>
      </c>
      <c r="M5992" s="43">
        <f>IF($I5992=0,0,IF(OR(INDEX(DarlOhneTilgung,13)=1,AND(INDEX(DarlTilgStart,13)&gt;0,$E5992&lt;INDEX(DarlTilgStart,13))),0,MIN(MAX(0,$K5992-$L5992),$J5992)))</f>
      </c>
      <c r="N5992" s="43">
        <f>IF($I5992=0,0,MIN(SUMIFS(SondBetrag,SondDarl,13,SondDatum,"&gt;="&amp;$E5992,SondDatum,"&lt;="&amp;EOMONTH($E5992,0)),$J5992-$M5992))</f>
      </c>
      <c r="O5992" s="43">
        <f>IF($I5992=0,0,INDEX(DarlErsatzRate,13))</f>
      </c>
      <c r="P5992" s="43">
        <f>IF($I5992=0,0,$Q5991*INDEX(DarlErsatzZins,13))</f>
      </c>
      <c r="Q5992" s="43">
        <f>IF($I5992=0,0,$Q5991+$P5992+$O5992)</f>
      </c>
      <c r="R5992" s="43">
        <f>IF($I5992=0,0,$J5992-$M5992-$N5992)</f>
      </c>
    </row>
    <row r="5993">
      <c r="A5993"/>
      <c r="B5993">
        <v>13</v>
      </c>
      <c r="C5993" s="43">
        <f>INDEX(DarlObj,13)</f>
      </c>
      <c r="D5993">
        <v>230</v>
      </c>
      <c r="E5993" s="51">
        <f>IF(INDEX(DarlBelegt,13)=0,0,EOMONTH(INDEX(DarlAuszahlung,13),229)+1)</f>
      </c>
      <c r="F5993" s="43">
        <f>IF($E5993=0,0,YEAR($E5993))</f>
      </c>
      <c r="G5993" s="43">
        <f>IF(INDEX(DarlBindung,13)="",1,IF($E5993&lt;=INDEX(DarlBindung,13),1,0))</f>
      </c>
      <c r="H5993" s="43">
        <f>IF($G5993=1,INDEX(DarlSollzins,13),INDEX(DarlAnschluss,13))</f>
      </c>
      <c r="I5993" s="43">
        <f>IF(INDEX(DarlBelegt,13)=0,0,IF(INDEX(DarlOhneTilgung,13)=1,IF(INDEX(DarlBindung,13)="",1,$G5993),IF($J5993&gt;0.005,1,0)))</f>
      </c>
      <c r="J5993" s="43">
        <f>IF($I5992=0,0,$R5992)</f>
      </c>
      <c r="K5993" s="43">
        <f>IF($I5993=0,0,IF(INDEX(DarlOhneTilgung,13)=1,0,IF(AND(INDEX(DarlTilgStart,13)&gt;0,$E5993=INDEX(DarlTilgStart,13)),$J5993*($H5993+INDEX(DarlTilgung,13))/100/12,IF(AND($G5993=0,$G5992=1),MAX($K5992,$J5993*($H5993+1)/100/12),$K5992))))</f>
      </c>
      <c r="L5993" s="43">
        <f>IF($I5993=0,0,$J5993*$H5993/100/12)</f>
      </c>
      <c r="M5993" s="43">
        <f>IF($I5993=0,0,IF(OR(INDEX(DarlOhneTilgung,13)=1,AND(INDEX(DarlTilgStart,13)&gt;0,$E5993&lt;INDEX(DarlTilgStart,13))),0,MIN(MAX(0,$K5993-$L5993),$J5993)))</f>
      </c>
      <c r="N5993" s="43">
        <f>IF($I5993=0,0,MIN(SUMIFS(SondBetrag,SondDarl,13,SondDatum,"&gt;="&amp;$E5993,SondDatum,"&lt;="&amp;EOMONTH($E5993,0)),$J5993-$M5993))</f>
      </c>
      <c r="O5993" s="43">
        <f>IF($I5993=0,0,INDEX(DarlErsatzRate,13))</f>
      </c>
      <c r="P5993" s="43">
        <f>IF($I5993=0,0,$Q5992*INDEX(DarlErsatzZins,13))</f>
      </c>
      <c r="Q5993" s="43">
        <f>IF($I5993=0,0,$Q5992+$P5993+$O5993)</f>
      </c>
      <c r="R5993" s="43">
        <f>IF($I5993=0,0,$J5993-$M5993-$N5993)</f>
      </c>
    </row>
    <row r="5994">
      <c r="A5994"/>
      <c r="B5994">
        <v>13</v>
      </c>
      <c r="C5994" s="43">
        <f>INDEX(DarlObj,13)</f>
      </c>
      <c r="D5994">
        <v>231</v>
      </c>
      <c r="E5994" s="51">
        <f>IF(INDEX(DarlBelegt,13)=0,0,EOMONTH(INDEX(DarlAuszahlung,13),230)+1)</f>
      </c>
      <c r="F5994" s="43">
        <f>IF($E5994=0,0,YEAR($E5994))</f>
      </c>
      <c r="G5994" s="43">
        <f>IF(INDEX(DarlBindung,13)="",1,IF($E5994&lt;=INDEX(DarlBindung,13),1,0))</f>
      </c>
      <c r="H5994" s="43">
        <f>IF($G5994=1,INDEX(DarlSollzins,13),INDEX(DarlAnschluss,13))</f>
      </c>
      <c r="I5994" s="43">
        <f>IF(INDEX(DarlBelegt,13)=0,0,IF(INDEX(DarlOhneTilgung,13)=1,IF(INDEX(DarlBindung,13)="",1,$G5994),IF($J5994&gt;0.005,1,0)))</f>
      </c>
      <c r="J5994" s="43">
        <f>IF($I5993=0,0,$R5993)</f>
      </c>
      <c r="K5994" s="43">
        <f>IF($I5994=0,0,IF(INDEX(DarlOhneTilgung,13)=1,0,IF(AND(INDEX(DarlTilgStart,13)&gt;0,$E5994=INDEX(DarlTilgStart,13)),$J5994*($H5994+INDEX(DarlTilgung,13))/100/12,IF(AND($G5994=0,$G5993=1),MAX($K5993,$J5994*($H5994+1)/100/12),$K5993))))</f>
      </c>
      <c r="L5994" s="43">
        <f>IF($I5994=0,0,$J5994*$H5994/100/12)</f>
      </c>
      <c r="M5994" s="43">
        <f>IF($I5994=0,0,IF(OR(INDEX(DarlOhneTilgung,13)=1,AND(INDEX(DarlTilgStart,13)&gt;0,$E5994&lt;INDEX(DarlTilgStart,13))),0,MIN(MAX(0,$K5994-$L5994),$J5994)))</f>
      </c>
      <c r="N5994" s="43">
        <f>IF($I5994=0,0,MIN(SUMIFS(SondBetrag,SondDarl,13,SondDatum,"&gt;="&amp;$E5994,SondDatum,"&lt;="&amp;EOMONTH($E5994,0)),$J5994-$M5994))</f>
      </c>
      <c r="O5994" s="43">
        <f>IF($I5994=0,0,INDEX(DarlErsatzRate,13))</f>
      </c>
      <c r="P5994" s="43">
        <f>IF($I5994=0,0,$Q5993*INDEX(DarlErsatzZins,13))</f>
      </c>
      <c r="Q5994" s="43">
        <f>IF($I5994=0,0,$Q5993+$P5994+$O5994)</f>
      </c>
      <c r="R5994" s="43">
        <f>IF($I5994=0,0,$J5994-$M5994-$N5994)</f>
      </c>
    </row>
    <row r="5995">
      <c r="A5995"/>
      <c r="B5995">
        <v>13</v>
      </c>
      <c r="C5995" s="43">
        <f>INDEX(DarlObj,13)</f>
      </c>
      <c r="D5995">
        <v>232</v>
      </c>
      <c r="E5995" s="51">
        <f>IF(INDEX(DarlBelegt,13)=0,0,EOMONTH(INDEX(DarlAuszahlung,13),231)+1)</f>
      </c>
      <c r="F5995" s="43">
        <f>IF($E5995=0,0,YEAR($E5995))</f>
      </c>
      <c r="G5995" s="43">
        <f>IF(INDEX(DarlBindung,13)="",1,IF($E5995&lt;=INDEX(DarlBindung,13),1,0))</f>
      </c>
      <c r="H5995" s="43">
        <f>IF($G5995=1,INDEX(DarlSollzins,13),INDEX(DarlAnschluss,13))</f>
      </c>
      <c r="I5995" s="43">
        <f>IF(INDEX(DarlBelegt,13)=0,0,IF(INDEX(DarlOhneTilgung,13)=1,IF(INDEX(DarlBindung,13)="",1,$G5995),IF($J5995&gt;0.005,1,0)))</f>
      </c>
      <c r="J5995" s="43">
        <f>IF($I5994=0,0,$R5994)</f>
      </c>
      <c r="K5995" s="43">
        <f>IF($I5995=0,0,IF(INDEX(DarlOhneTilgung,13)=1,0,IF(AND(INDEX(DarlTilgStart,13)&gt;0,$E5995=INDEX(DarlTilgStart,13)),$J5995*($H5995+INDEX(DarlTilgung,13))/100/12,IF(AND($G5995=0,$G5994=1),MAX($K5994,$J5995*($H5995+1)/100/12),$K5994))))</f>
      </c>
      <c r="L5995" s="43">
        <f>IF($I5995=0,0,$J5995*$H5995/100/12)</f>
      </c>
      <c r="M5995" s="43">
        <f>IF($I5995=0,0,IF(OR(INDEX(DarlOhneTilgung,13)=1,AND(INDEX(DarlTilgStart,13)&gt;0,$E5995&lt;INDEX(DarlTilgStart,13))),0,MIN(MAX(0,$K5995-$L5995),$J5995)))</f>
      </c>
      <c r="N5995" s="43">
        <f>IF($I5995=0,0,MIN(SUMIFS(SondBetrag,SondDarl,13,SondDatum,"&gt;="&amp;$E5995,SondDatum,"&lt;="&amp;EOMONTH($E5995,0)),$J5995-$M5995))</f>
      </c>
      <c r="O5995" s="43">
        <f>IF($I5995=0,0,INDEX(DarlErsatzRate,13))</f>
      </c>
      <c r="P5995" s="43">
        <f>IF($I5995=0,0,$Q5994*INDEX(DarlErsatzZins,13))</f>
      </c>
      <c r="Q5995" s="43">
        <f>IF($I5995=0,0,$Q5994+$P5995+$O5995)</f>
      </c>
      <c r="R5995" s="43">
        <f>IF($I5995=0,0,$J5995-$M5995-$N5995)</f>
      </c>
    </row>
    <row r="5996">
      <c r="A5996"/>
      <c r="B5996">
        <v>13</v>
      </c>
      <c r="C5996" s="43">
        <f>INDEX(DarlObj,13)</f>
      </c>
      <c r="D5996">
        <v>233</v>
      </c>
      <c r="E5996" s="51">
        <f>IF(INDEX(DarlBelegt,13)=0,0,EOMONTH(INDEX(DarlAuszahlung,13),232)+1)</f>
      </c>
      <c r="F5996" s="43">
        <f>IF($E5996=0,0,YEAR($E5996))</f>
      </c>
      <c r="G5996" s="43">
        <f>IF(INDEX(DarlBindung,13)="",1,IF($E5996&lt;=INDEX(DarlBindung,13),1,0))</f>
      </c>
      <c r="H5996" s="43">
        <f>IF($G5996=1,INDEX(DarlSollzins,13),INDEX(DarlAnschluss,13))</f>
      </c>
      <c r="I5996" s="43">
        <f>IF(INDEX(DarlBelegt,13)=0,0,IF(INDEX(DarlOhneTilgung,13)=1,IF(INDEX(DarlBindung,13)="",1,$G5996),IF($J5996&gt;0.005,1,0)))</f>
      </c>
      <c r="J5996" s="43">
        <f>IF($I5995=0,0,$R5995)</f>
      </c>
      <c r="K5996" s="43">
        <f>IF($I5996=0,0,IF(INDEX(DarlOhneTilgung,13)=1,0,IF(AND(INDEX(DarlTilgStart,13)&gt;0,$E5996=INDEX(DarlTilgStart,13)),$J5996*($H5996+INDEX(DarlTilgung,13))/100/12,IF(AND($G5996=0,$G5995=1),MAX($K5995,$J5996*($H5996+1)/100/12),$K5995))))</f>
      </c>
      <c r="L5996" s="43">
        <f>IF($I5996=0,0,$J5996*$H5996/100/12)</f>
      </c>
      <c r="M5996" s="43">
        <f>IF($I5996=0,0,IF(OR(INDEX(DarlOhneTilgung,13)=1,AND(INDEX(DarlTilgStart,13)&gt;0,$E5996&lt;INDEX(DarlTilgStart,13))),0,MIN(MAX(0,$K5996-$L5996),$J5996)))</f>
      </c>
      <c r="N5996" s="43">
        <f>IF($I5996=0,0,MIN(SUMIFS(SondBetrag,SondDarl,13,SondDatum,"&gt;="&amp;$E5996,SondDatum,"&lt;="&amp;EOMONTH($E5996,0)),$J5996-$M5996))</f>
      </c>
      <c r="O5996" s="43">
        <f>IF($I5996=0,0,INDEX(DarlErsatzRate,13))</f>
      </c>
      <c r="P5996" s="43">
        <f>IF($I5996=0,0,$Q5995*INDEX(DarlErsatzZins,13))</f>
      </c>
      <c r="Q5996" s="43">
        <f>IF($I5996=0,0,$Q5995+$P5996+$O5996)</f>
      </c>
      <c r="R5996" s="43">
        <f>IF($I5996=0,0,$J5996-$M5996-$N5996)</f>
      </c>
    </row>
    <row r="5997">
      <c r="A5997"/>
      <c r="B5997">
        <v>13</v>
      </c>
      <c r="C5997" s="43">
        <f>INDEX(DarlObj,13)</f>
      </c>
      <c r="D5997">
        <v>234</v>
      </c>
      <c r="E5997" s="51">
        <f>IF(INDEX(DarlBelegt,13)=0,0,EOMONTH(INDEX(DarlAuszahlung,13),233)+1)</f>
      </c>
      <c r="F5997" s="43">
        <f>IF($E5997=0,0,YEAR($E5997))</f>
      </c>
      <c r="G5997" s="43">
        <f>IF(INDEX(DarlBindung,13)="",1,IF($E5997&lt;=INDEX(DarlBindung,13),1,0))</f>
      </c>
      <c r="H5997" s="43">
        <f>IF($G5997=1,INDEX(DarlSollzins,13),INDEX(DarlAnschluss,13))</f>
      </c>
      <c r="I5997" s="43">
        <f>IF(INDEX(DarlBelegt,13)=0,0,IF(INDEX(DarlOhneTilgung,13)=1,IF(INDEX(DarlBindung,13)="",1,$G5997),IF($J5997&gt;0.005,1,0)))</f>
      </c>
      <c r="J5997" s="43">
        <f>IF($I5996=0,0,$R5996)</f>
      </c>
      <c r="K5997" s="43">
        <f>IF($I5997=0,0,IF(INDEX(DarlOhneTilgung,13)=1,0,IF(AND(INDEX(DarlTilgStart,13)&gt;0,$E5997=INDEX(DarlTilgStart,13)),$J5997*($H5997+INDEX(DarlTilgung,13))/100/12,IF(AND($G5997=0,$G5996=1),MAX($K5996,$J5997*($H5997+1)/100/12),$K5996))))</f>
      </c>
      <c r="L5997" s="43">
        <f>IF($I5997=0,0,$J5997*$H5997/100/12)</f>
      </c>
      <c r="M5997" s="43">
        <f>IF($I5997=0,0,IF(OR(INDEX(DarlOhneTilgung,13)=1,AND(INDEX(DarlTilgStart,13)&gt;0,$E5997&lt;INDEX(DarlTilgStart,13))),0,MIN(MAX(0,$K5997-$L5997),$J5997)))</f>
      </c>
      <c r="N5997" s="43">
        <f>IF($I5997=0,0,MIN(SUMIFS(SondBetrag,SondDarl,13,SondDatum,"&gt;="&amp;$E5997,SondDatum,"&lt;="&amp;EOMONTH($E5997,0)),$J5997-$M5997))</f>
      </c>
      <c r="O5997" s="43">
        <f>IF($I5997=0,0,INDEX(DarlErsatzRate,13))</f>
      </c>
      <c r="P5997" s="43">
        <f>IF($I5997=0,0,$Q5996*INDEX(DarlErsatzZins,13))</f>
      </c>
      <c r="Q5997" s="43">
        <f>IF($I5997=0,0,$Q5996+$P5997+$O5997)</f>
      </c>
      <c r="R5997" s="43">
        <f>IF($I5997=0,0,$J5997-$M5997-$N5997)</f>
      </c>
    </row>
    <row r="5998">
      <c r="A5998"/>
      <c r="B5998">
        <v>13</v>
      </c>
      <c r="C5998" s="43">
        <f>INDEX(DarlObj,13)</f>
      </c>
      <c r="D5998">
        <v>235</v>
      </c>
      <c r="E5998" s="51">
        <f>IF(INDEX(DarlBelegt,13)=0,0,EOMONTH(INDEX(DarlAuszahlung,13),234)+1)</f>
      </c>
      <c r="F5998" s="43">
        <f>IF($E5998=0,0,YEAR($E5998))</f>
      </c>
      <c r="G5998" s="43">
        <f>IF(INDEX(DarlBindung,13)="",1,IF($E5998&lt;=INDEX(DarlBindung,13),1,0))</f>
      </c>
      <c r="H5998" s="43">
        <f>IF($G5998=1,INDEX(DarlSollzins,13),INDEX(DarlAnschluss,13))</f>
      </c>
      <c r="I5998" s="43">
        <f>IF(INDEX(DarlBelegt,13)=0,0,IF(INDEX(DarlOhneTilgung,13)=1,IF(INDEX(DarlBindung,13)="",1,$G5998),IF($J5998&gt;0.005,1,0)))</f>
      </c>
      <c r="J5998" s="43">
        <f>IF($I5997=0,0,$R5997)</f>
      </c>
      <c r="K5998" s="43">
        <f>IF($I5998=0,0,IF(INDEX(DarlOhneTilgung,13)=1,0,IF(AND(INDEX(DarlTilgStart,13)&gt;0,$E5998=INDEX(DarlTilgStart,13)),$J5998*($H5998+INDEX(DarlTilgung,13))/100/12,IF(AND($G5998=0,$G5997=1),MAX($K5997,$J5998*($H5998+1)/100/12),$K5997))))</f>
      </c>
      <c r="L5998" s="43">
        <f>IF($I5998=0,0,$J5998*$H5998/100/12)</f>
      </c>
      <c r="M5998" s="43">
        <f>IF($I5998=0,0,IF(OR(INDEX(DarlOhneTilgung,13)=1,AND(INDEX(DarlTilgStart,13)&gt;0,$E5998&lt;INDEX(DarlTilgStart,13))),0,MIN(MAX(0,$K5998-$L5998),$J5998)))</f>
      </c>
      <c r="N5998" s="43">
        <f>IF($I5998=0,0,MIN(SUMIFS(SondBetrag,SondDarl,13,SondDatum,"&gt;="&amp;$E5998,SondDatum,"&lt;="&amp;EOMONTH($E5998,0)),$J5998-$M5998))</f>
      </c>
      <c r="O5998" s="43">
        <f>IF($I5998=0,0,INDEX(DarlErsatzRate,13))</f>
      </c>
      <c r="P5998" s="43">
        <f>IF($I5998=0,0,$Q5997*INDEX(DarlErsatzZins,13))</f>
      </c>
      <c r="Q5998" s="43">
        <f>IF($I5998=0,0,$Q5997+$P5998+$O5998)</f>
      </c>
      <c r="R5998" s="43">
        <f>IF($I5998=0,0,$J5998-$M5998-$N5998)</f>
      </c>
    </row>
    <row r="5999">
      <c r="A5999"/>
      <c r="B5999">
        <v>13</v>
      </c>
      <c r="C5999" s="43">
        <f>INDEX(DarlObj,13)</f>
      </c>
      <c r="D5999">
        <v>236</v>
      </c>
      <c r="E5999" s="51">
        <f>IF(INDEX(DarlBelegt,13)=0,0,EOMONTH(INDEX(DarlAuszahlung,13),235)+1)</f>
      </c>
      <c r="F5999" s="43">
        <f>IF($E5999=0,0,YEAR($E5999))</f>
      </c>
      <c r="G5999" s="43">
        <f>IF(INDEX(DarlBindung,13)="",1,IF($E5999&lt;=INDEX(DarlBindung,13),1,0))</f>
      </c>
      <c r="H5999" s="43">
        <f>IF($G5999=1,INDEX(DarlSollzins,13),INDEX(DarlAnschluss,13))</f>
      </c>
      <c r="I5999" s="43">
        <f>IF(INDEX(DarlBelegt,13)=0,0,IF(INDEX(DarlOhneTilgung,13)=1,IF(INDEX(DarlBindung,13)="",1,$G5999),IF($J5999&gt;0.005,1,0)))</f>
      </c>
      <c r="J5999" s="43">
        <f>IF($I5998=0,0,$R5998)</f>
      </c>
      <c r="K5999" s="43">
        <f>IF($I5999=0,0,IF(INDEX(DarlOhneTilgung,13)=1,0,IF(AND(INDEX(DarlTilgStart,13)&gt;0,$E5999=INDEX(DarlTilgStart,13)),$J5999*($H5999+INDEX(DarlTilgung,13))/100/12,IF(AND($G5999=0,$G5998=1),MAX($K5998,$J5999*($H5999+1)/100/12),$K5998))))</f>
      </c>
      <c r="L5999" s="43">
        <f>IF($I5999=0,0,$J5999*$H5999/100/12)</f>
      </c>
      <c r="M5999" s="43">
        <f>IF($I5999=0,0,IF(OR(INDEX(DarlOhneTilgung,13)=1,AND(INDEX(DarlTilgStart,13)&gt;0,$E5999&lt;INDEX(DarlTilgStart,13))),0,MIN(MAX(0,$K5999-$L5999),$J5999)))</f>
      </c>
      <c r="N5999" s="43">
        <f>IF($I5999=0,0,MIN(SUMIFS(SondBetrag,SondDarl,13,SondDatum,"&gt;="&amp;$E5999,SondDatum,"&lt;="&amp;EOMONTH($E5999,0)),$J5999-$M5999))</f>
      </c>
      <c r="O5999" s="43">
        <f>IF($I5999=0,0,INDEX(DarlErsatzRate,13))</f>
      </c>
      <c r="P5999" s="43">
        <f>IF($I5999=0,0,$Q5998*INDEX(DarlErsatzZins,13))</f>
      </c>
      <c r="Q5999" s="43">
        <f>IF($I5999=0,0,$Q5998+$P5999+$O5999)</f>
      </c>
      <c r="R5999" s="43">
        <f>IF($I5999=0,0,$J5999-$M5999-$N5999)</f>
      </c>
    </row>
    <row r="6000">
      <c r="A6000"/>
      <c r="B6000">
        <v>13</v>
      </c>
      <c r="C6000" s="43">
        <f>INDEX(DarlObj,13)</f>
      </c>
      <c r="D6000">
        <v>237</v>
      </c>
      <c r="E6000" s="51">
        <f>IF(INDEX(DarlBelegt,13)=0,0,EOMONTH(INDEX(DarlAuszahlung,13),236)+1)</f>
      </c>
      <c r="F6000" s="43">
        <f>IF($E6000=0,0,YEAR($E6000))</f>
      </c>
      <c r="G6000" s="43">
        <f>IF(INDEX(DarlBindung,13)="",1,IF($E6000&lt;=INDEX(DarlBindung,13),1,0))</f>
      </c>
      <c r="H6000" s="43">
        <f>IF($G6000=1,INDEX(DarlSollzins,13),INDEX(DarlAnschluss,13))</f>
      </c>
      <c r="I6000" s="43">
        <f>IF(INDEX(DarlBelegt,13)=0,0,IF(INDEX(DarlOhneTilgung,13)=1,IF(INDEX(DarlBindung,13)="",1,$G6000),IF($J6000&gt;0.005,1,0)))</f>
      </c>
      <c r="J6000" s="43">
        <f>IF($I5999=0,0,$R5999)</f>
      </c>
      <c r="K6000" s="43">
        <f>IF($I6000=0,0,IF(INDEX(DarlOhneTilgung,13)=1,0,IF(AND(INDEX(DarlTilgStart,13)&gt;0,$E6000=INDEX(DarlTilgStart,13)),$J6000*($H6000+INDEX(DarlTilgung,13))/100/12,IF(AND($G6000=0,$G5999=1),MAX($K5999,$J6000*($H6000+1)/100/12),$K5999))))</f>
      </c>
      <c r="L6000" s="43">
        <f>IF($I6000=0,0,$J6000*$H6000/100/12)</f>
      </c>
      <c r="M6000" s="43">
        <f>IF($I6000=0,0,IF(OR(INDEX(DarlOhneTilgung,13)=1,AND(INDEX(DarlTilgStart,13)&gt;0,$E6000&lt;INDEX(DarlTilgStart,13))),0,MIN(MAX(0,$K6000-$L6000),$J6000)))</f>
      </c>
      <c r="N6000" s="43">
        <f>IF($I6000=0,0,MIN(SUMIFS(SondBetrag,SondDarl,13,SondDatum,"&gt;="&amp;$E6000,SondDatum,"&lt;="&amp;EOMONTH($E6000,0)),$J6000-$M6000))</f>
      </c>
      <c r="O6000" s="43">
        <f>IF($I6000=0,0,INDEX(DarlErsatzRate,13))</f>
      </c>
      <c r="P6000" s="43">
        <f>IF($I6000=0,0,$Q5999*INDEX(DarlErsatzZins,13))</f>
      </c>
      <c r="Q6000" s="43">
        <f>IF($I6000=0,0,$Q5999+$P6000+$O6000)</f>
      </c>
      <c r="R6000" s="43">
        <f>IF($I6000=0,0,$J6000-$M6000-$N6000)</f>
      </c>
    </row>
    <row r="6001">
      <c r="A6001"/>
      <c r="B6001">
        <v>13</v>
      </c>
      <c r="C6001" s="43">
        <f>INDEX(DarlObj,13)</f>
      </c>
      <c r="D6001">
        <v>238</v>
      </c>
      <c r="E6001" s="51">
        <f>IF(INDEX(DarlBelegt,13)=0,0,EOMONTH(INDEX(DarlAuszahlung,13),237)+1)</f>
      </c>
      <c r="F6001" s="43">
        <f>IF($E6001=0,0,YEAR($E6001))</f>
      </c>
      <c r="G6001" s="43">
        <f>IF(INDEX(DarlBindung,13)="",1,IF($E6001&lt;=INDEX(DarlBindung,13),1,0))</f>
      </c>
      <c r="H6001" s="43">
        <f>IF($G6001=1,INDEX(DarlSollzins,13),INDEX(DarlAnschluss,13))</f>
      </c>
      <c r="I6001" s="43">
        <f>IF(INDEX(DarlBelegt,13)=0,0,IF(INDEX(DarlOhneTilgung,13)=1,IF(INDEX(DarlBindung,13)="",1,$G6001),IF($J6001&gt;0.005,1,0)))</f>
      </c>
      <c r="J6001" s="43">
        <f>IF($I6000=0,0,$R6000)</f>
      </c>
      <c r="K6001" s="43">
        <f>IF($I6001=0,0,IF(INDEX(DarlOhneTilgung,13)=1,0,IF(AND(INDEX(DarlTilgStart,13)&gt;0,$E6001=INDEX(DarlTilgStart,13)),$J6001*($H6001+INDEX(DarlTilgung,13))/100/12,IF(AND($G6001=0,$G6000=1),MAX($K6000,$J6001*($H6001+1)/100/12),$K6000))))</f>
      </c>
      <c r="L6001" s="43">
        <f>IF($I6001=0,0,$J6001*$H6001/100/12)</f>
      </c>
      <c r="M6001" s="43">
        <f>IF($I6001=0,0,IF(OR(INDEX(DarlOhneTilgung,13)=1,AND(INDEX(DarlTilgStart,13)&gt;0,$E6001&lt;INDEX(DarlTilgStart,13))),0,MIN(MAX(0,$K6001-$L6001),$J6001)))</f>
      </c>
      <c r="N6001" s="43">
        <f>IF($I6001=0,0,MIN(SUMIFS(SondBetrag,SondDarl,13,SondDatum,"&gt;="&amp;$E6001,SondDatum,"&lt;="&amp;EOMONTH($E6001,0)),$J6001-$M6001))</f>
      </c>
      <c r="O6001" s="43">
        <f>IF($I6001=0,0,INDEX(DarlErsatzRate,13))</f>
      </c>
      <c r="P6001" s="43">
        <f>IF($I6001=0,0,$Q6000*INDEX(DarlErsatzZins,13))</f>
      </c>
      <c r="Q6001" s="43">
        <f>IF($I6001=0,0,$Q6000+$P6001+$O6001)</f>
      </c>
      <c r="R6001" s="43">
        <f>IF($I6001=0,0,$J6001-$M6001-$N6001)</f>
      </c>
    </row>
    <row r="6002">
      <c r="A6002"/>
      <c r="B6002">
        <v>13</v>
      </c>
      <c r="C6002" s="43">
        <f>INDEX(DarlObj,13)</f>
      </c>
      <c r="D6002">
        <v>239</v>
      </c>
      <c r="E6002" s="51">
        <f>IF(INDEX(DarlBelegt,13)=0,0,EOMONTH(INDEX(DarlAuszahlung,13),238)+1)</f>
      </c>
      <c r="F6002" s="43">
        <f>IF($E6002=0,0,YEAR($E6002))</f>
      </c>
      <c r="G6002" s="43">
        <f>IF(INDEX(DarlBindung,13)="",1,IF($E6002&lt;=INDEX(DarlBindung,13),1,0))</f>
      </c>
      <c r="H6002" s="43">
        <f>IF($G6002=1,INDEX(DarlSollzins,13),INDEX(DarlAnschluss,13))</f>
      </c>
      <c r="I6002" s="43">
        <f>IF(INDEX(DarlBelegt,13)=0,0,IF(INDEX(DarlOhneTilgung,13)=1,IF(INDEX(DarlBindung,13)="",1,$G6002),IF($J6002&gt;0.005,1,0)))</f>
      </c>
      <c r="J6002" s="43">
        <f>IF($I6001=0,0,$R6001)</f>
      </c>
      <c r="K6002" s="43">
        <f>IF($I6002=0,0,IF(INDEX(DarlOhneTilgung,13)=1,0,IF(AND(INDEX(DarlTilgStart,13)&gt;0,$E6002=INDEX(DarlTilgStart,13)),$J6002*($H6002+INDEX(DarlTilgung,13))/100/12,IF(AND($G6002=0,$G6001=1),MAX($K6001,$J6002*($H6002+1)/100/12),$K6001))))</f>
      </c>
      <c r="L6002" s="43">
        <f>IF($I6002=0,0,$J6002*$H6002/100/12)</f>
      </c>
      <c r="M6002" s="43">
        <f>IF($I6002=0,0,IF(OR(INDEX(DarlOhneTilgung,13)=1,AND(INDEX(DarlTilgStart,13)&gt;0,$E6002&lt;INDEX(DarlTilgStart,13))),0,MIN(MAX(0,$K6002-$L6002),$J6002)))</f>
      </c>
      <c r="N6002" s="43">
        <f>IF($I6002=0,0,MIN(SUMIFS(SondBetrag,SondDarl,13,SondDatum,"&gt;="&amp;$E6002,SondDatum,"&lt;="&amp;EOMONTH($E6002,0)),$J6002-$M6002))</f>
      </c>
      <c r="O6002" s="43">
        <f>IF($I6002=0,0,INDEX(DarlErsatzRate,13))</f>
      </c>
      <c r="P6002" s="43">
        <f>IF($I6002=0,0,$Q6001*INDEX(DarlErsatzZins,13))</f>
      </c>
      <c r="Q6002" s="43">
        <f>IF($I6002=0,0,$Q6001+$P6002+$O6002)</f>
      </c>
      <c r="R6002" s="43">
        <f>IF($I6002=0,0,$J6002-$M6002-$N6002)</f>
      </c>
    </row>
    <row r="6003">
      <c r="A6003"/>
      <c r="B6003">
        <v>13</v>
      </c>
      <c r="C6003" s="43">
        <f>INDEX(DarlObj,13)</f>
      </c>
      <c r="D6003">
        <v>240</v>
      </c>
      <c r="E6003" s="51">
        <f>IF(INDEX(DarlBelegt,13)=0,0,EOMONTH(INDEX(DarlAuszahlung,13),239)+1)</f>
      </c>
      <c r="F6003" s="43">
        <f>IF($E6003=0,0,YEAR($E6003))</f>
      </c>
      <c r="G6003" s="43">
        <f>IF(INDEX(DarlBindung,13)="",1,IF($E6003&lt;=INDEX(DarlBindung,13),1,0))</f>
      </c>
      <c r="H6003" s="43">
        <f>IF($G6003=1,INDEX(DarlSollzins,13),INDEX(DarlAnschluss,13))</f>
      </c>
      <c r="I6003" s="43">
        <f>IF(INDEX(DarlBelegt,13)=0,0,IF(INDEX(DarlOhneTilgung,13)=1,IF(INDEX(DarlBindung,13)="",1,$G6003),IF($J6003&gt;0.005,1,0)))</f>
      </c>
      <c r="J6003" s="43">
        <f>IF($I6002=0,0,$R6002)</f>
      </c>
      <c r="K6003" s="43">
        <f>IF($I6003=0,0,IF(INDEX(DarlOhneTilgung,13)=1,0,IF(AND(INDEX(DarlTilgStart,13)&gt;0,$E6003=INDEX(DarlTilgStart,13)),$J6003*($H6003+INDEX(DarlTilgung,13))/100/12,IF(AND($G6003=0,$G6002=1),MAX($K6002,$J6003*($H6003+1)/100/12),$K6002))))</f>
      </c>
      <c r="L6003" s="43">
        <f>IF($I6003=0,0,$J6003*$H6003/100/12)</f>
      </c>
      <c r="M6003" s="43">
        <f>IF($I6003=0,0,IF(OR(INDEX(DarlOhneTilgung,13)=1,AND(INDEX(DarlTilgStart,13)&gt;0,$E6003&lt;INDEX(DarlTilgStart,13))),0,MIN(MAX(0,$K6003-$L6003),$J6003)))</f>
      </c>
      <c r="N6003" s="43">
        <f>IF($I6003=0,0,MIN(SUMIFS(SondBetrag,SondDarl,13,SondDatum,"&gt;="&amp;$E6003,SondDatum,"&lt;="&amp;EOMONTH($E6003,0)),$J6003-$M6003))</f>
      </c>
      <c r="O6003" s="43">
        <f>IF($I6003=0,0,INDEX(DarlErsatzRate,13))</f>
      </c>
      <c r="P6003" s="43">
        <f>IF($I6003=0,0,$Q6002*INDEX(DarlErsatzZins,13))</f>
      </c>
      <c r="Q6003" s="43">
        <f>IF($I6003=0,0,$Q6002+$P6003+$O6003)</f>
      </c>
      <c r="R6003" s="43">
        <f>IF($I6003=0,0,$J6003-$M6003-$N6003)</f>
      </c>
    </row>
    <row r="6004">
      <c r="A6004"/>
      <c r="B6004">
        <v>13</v>
      </c>
      <c r="C6004" s="43">
        <f>INDEX(DarlObj,13)</f>
      </c>
      <c r="D6004">
        <v>241</v>
      </c>
      <c r="E6004" s="51">
        <f>IF(INDEX(DarlBelegt,13)=0,0,EOMONTH(INDEX(DarlAuszahlung,13),240)+1)</f>
      </c>
      <c r="F6004" s="43">
        <f>IF($E6004=0,0,YEAR($E6004))</f>
      </c>
      <c r="G6004" s="43">
        <f>IF(INDEX(DarlBindung,13)="",1,IF($E6004&lt;=INDEX(DarlBindung,13),1,0))</f>
      </c>
      <c r="H6004" s="43">
        <f>IF($G6004=1,INDEX(DarlSollzins,13),INDEX(DarlAnschluss,13))</f>
      </c>
      <c r="I6004" s="43">
        <f>IF(INDEX(DarlBelegt,13)=0,0,IF(INDEX(DarlOhneTilgung,13)=1,IF(INDEX(DarlBindung,13)="",1,$G6004),IF($J6004&gt;0.005,1,0)))</f>
      </c>
      <c r="J6004" s="43">
        <f>IF($I6003=0,0,$R6003)</f>
      </c>
      <c r="K6004" s="43">
        <f>IF($I6004=0,0,IF(INDEX(DarlOhneTilgung,13)=1,0,IF(AND(INDEX(DarlTilgStart,13)&gt;0,$E6004=INDEX(DarlTilgStart,13)),$J6004*($H6004+INDEX(DarlTilgung,13))/100/12,IF(AND($G6004=0,$G6003=1),MAX($K6003,$J6004*($H6004+1)/100/12),$K6003))))</f>
      </c>
      <c r="L6004" s="43">
        <f>IF($I6004=0,0,$J6004*$H6004/100/12)</f>
      </c>
      <c r="M6004" s="43">
        <f>IF($I6004=0,0,IF(OR(INDEX(DarlOhneTilgung,13)=1,AND(INDEX(DarlTilgStart,13)&gt;0,$E6004&lt;INDEX(DarlTilgStart,13))),0,MIN(MAX(0,$K6004-$L6004),$J6004)))</f>
      </c>
      <c r="N6004" s="43">
        <f>IF($I6004=0,0,MIN(SUMIFS(SondBetrag,SondDarl,13,SondDatum,"&gt;="&amp;$E6004,SondDatum,"&lt;="&amp;EOMONTH($E6004,0)),$J6004-$M6004))</f>
      </c>
      <c r="O6004" s="43">
        <f>IF($I6004=0,0,INDEX(DarlErsatzRate,13))</f>
      </c>
      <c r="P6004" s="43">
        <f>IF($I6004=0,0,$Q6003*INDEX(DarlErsatzZins,13))</f>
      </c>
      <c r="Q6004" s="43">
        <f>IF($I6004=0,0,$Q6003+$P6004+$O6004)</f>
      </c>
      <c r="R6004" s="43">
        <f>IF($I6004=0,0,$J6004-$M6004-$N6004)</f>
      </c>
    </row>
    <row r="6005">
      <c r="A6005"/>
      <c r="B6005">
        <v>13</v>
      </c>
      <c r="C6005" s="43">
        <f>INDEX(DarlObj,13)</f>
      </c>
      <c r="D6005">
        <v>242</v>
      </c>
      <c r="E6005" s="51">
        <f>IF(INDEX(DarlBelegt,13)=0,0,EOMONTH(INDEX(DarlAuszahlung,13),241)+1)</f>
      </c>
      <c r="F6005" s="43">
        <f>IF($E6005=0,0,YEAR($E6005))</f>
      </c>
      <c r="G6005" s="43">
        <f>IF(INDEX(DarlBindung,13)="",1,IF($E6005&lt;=INDEX(DarlBindung,13),1,0))</f>
      </c>
      <c r="H6005" s="43">
        <f>IF($G6005=1,INDEX(DarlSollzins,13),INDEX(DarlAnschluss,13))</f>
      </c>
      <c r="I6005" s="43">
        <f>IF(INDEX(DarlBelegt,13)=0,0,IF(INDEX(DarlOhneTilgung,13)=1,IF(INDEX(DarlBindung,13)="",1,$G6005),IF($J6005&gt;0.005,1,0)))</f>
      </c>
      <c r="J6005" s="43">
        <f>IF($I6004=0,0,$R6004)</f>
      </c>
      <c r="K6005" s="43">
        <f>IF($I6005=0,0,IF(INDEX(DarlOhneTilgung,13)=1,0,IF(AND(INDEX(DarlTilgStart,13)&gt;0,$E6005=INDEX(DarlTilgStart,13)),$J6005*($H6005+INDEX(DarlTilgung,13))/100/12,IF(AND($G6005=0,$G6004=1),MAX($K6004,$J6005*($H6005+1)/100/12),$K6004))))</f>
      </c>
      <c r="L6005" s="43">
        <f>IF($I6005=0,0,$J6005*$H6005/100/12)</f>
      </c>
      <c r="M6005" s="43">
        <f>IF($I6005=0,0,IF(OR(INDEX(DarlOhneTilgung,13)=1,AND(INDEX(DarlTilgStart,13)&gt;0,$E6005&lt;INDEX(DarlTilgStart,13))),0,MIN(MAX(0,$K6005-$L6005),$J6005)))</f>
      </c>
      <c r="N6005" s="43">
        <f>IF($I6005=0,0,MIN(SUMIFS(SondBetrag,SondDarl,13,SondDatum,"&gt;="&amp;$E6005,SondDatum,"&lt;="&amp;EOMONTH($E6005,0)),$J6005-$M6005))</f>
      </c>
      <c r="O6005" s="43">
        <f>IF($I6005=0,0,INDEX(DarlErsatzRate,13))</f>
      </c>
      <c r="P6005" s="43">
        <f>IF($I6005=0,0,$Q6004*INDEX(DarlErsatzZins,13))</f>
      </c>
      <c r="Q6005" s="43">
        <f>IF($I6005=0,0,$Q6004+$P6005+$O6005)</f>
      </c>
      <c r="R6005" s="43">
        <f>IF($I6005=0,0,$J6005-$M6005-$N6005)</f>
      </c>
    </row>
    <row r="6006">
      <c r="A6006"/>
      <c r="B6006">
        <v>13</v>
      </c>
      <c r="C6006" s="43">
        <f>INDEX(DarlObj,13)</f>
      </c>
      <c r="D6006">
        <v>243</v>
      </c>
      <c r="E6006" s="51">
        <f>IF(INDEX(DarlBelegt,13)=0,0,EOMONTH(INDEX(DarlAuszahlung,13),242)+1)</f>
      </c>
      <c r="F6006" s="43">
        <f>IF($E6006=0,0,YEAR($E6006))</f>
      </c>
      <c r="G6006" s="43">
        <f>IF(INDEX(DarlBindung,13)="",1,IF($E6006&lt;=INDEX(DarlBindung,13),1,0))</f>
      </c>
      <c r="H6006" s="43">
        <f>IF($G6006=1,INDEX(DarlSollzins,13),INDEX(DarlAnschluss,13))</f>
      </c>
      <c r="I6006" s="43">
        <f>IF(INDEX(DarlBelegt,13)=0,0,IF(INDEX(DarlOhneTilgung,13)=1,IF(INDEX(DarlBindung,13)="",1,$G6006),IF($J6006&gt;0.005,1,0)))</f>
      </c>
      <c r="J6006" s="43">
        <f>IF($I6005=0,0,$R6005)</f>
      </c>
      <c r="K6006" s="43">
        <f>IF($I6006=0,0,IF(INDEX(DarlOhneTilgung,13)=1,0,IF(AND(INDEX(DarlTilgStart,13)&gt;0,$E6006=INDEX(DarlTilgStart,13)),$J6006*($H6006+INDEX(DarlTilgung,13))/100/12,IF(AND($G6006=0,$G6005=1),MAX($K6005,$J6006*($H6006+1)/100/12),$K6005))))</f>
      </c>
      <c r="L6006" s="43">
        <f>IF($I6006=0,0,$J6006*$H6006/100/12)</f>
      </c>
      <c r="M6006" s="43">
        <f>IF($I6006=0,0,IF(OR(INDEX(DarlOhneTilgung,13)=1,AND(INDEX(DarlTilgStart,13)&gt;0,$E6006&lt;INDEX(DarlTilgStart,13))),0,MIN(MAX(0,$K6006-$L6006),$J6006)))</f>
      </c>
      <c r="N6006" s="43">
        <f>IF($I6006=0,0,MIN(SUMIFS(SondBetrag,SondDarl,13,SondDatum,"&gt;="&amp;$E6006,SondDatum,"&lt;="&amp;EOMONTH($E6006,0)),$J6006-$M6006))</f>
      </c>
      <c r="O6006" s="43">
        <f>IF($I6006=0,0,INDEX(DarlErsatzRate,13))</f>
      </c>
      <c r="P6006" s="43">
        <f>IF($I6006=0,0,$Q6005*INDEX(DarlErsatzZins,13))</f>
      </c>
      <c r="Q6006" s="43">
        <f>IF($I6006=0,0,$Q6005+$P6006+$O6006)</f>
      </c>
      <c r="R6006" s="43">
        <f>IF($I6006=0,0,$J6006-$M6006-$N6006)</f>
      </c>
    </row>
    <row r="6007">
      <c r="A6007"/>
      <c r="B6007">
        <v>13</v>
      </c>
      <c r="C6007" s="43">
        <f>INDEX(DarlObj,13)</f>
      </c>
      <c r="D6007">
        <v>244</v>
      </c>
      <c r="E6007" s="51">
        <f>IF(INDEX(DarlBelegt,13)=0,0,EOMONTH(INDEX(DarlAuszahlung,13),243)+1)</f>
      </c>
      <c r="F6007" s="43">
        <f>IF($E6007=0,0,YEAR($E6007))</f>
      </c>
      <c r="G6007" s="43">
        <f>IF(INDEX(DarlBindung,13)="",1,IF($E6007&lt;=INDEX(DarlBindung,13),1,0))</f>
      </c>
      <c r="H6007" s="43">
        <f>IF($G6007=1,INDEX(DarlSollzins,13),INDEX(DarlAnschluss,13))</f>
      </c>
      <c r="I6007" s="43">
        <f>IF(INDEX(DarlBelegt,13)=0,0,IF(INDEX(DarlOhneTilgung,13)=1,IF(INDEX(DarlBindung,13)="",1,$G6007),IF($J6007&gt;0.005,1,0)))</f>
      </c>
      <c r="J6007" s="43">
        <f>IF($I6006=0,0,$R6006)</f>
      </c>
      <c r="K6007" s="43">
        <f>IF($I6007=0,0,IF(INDEX(DarlOhneTilgung,13)=1,0,IF(AND(INDEX(DarlTilgStart,13)&gt;0,$E6007=INDEX(DarlTilgStart,13)),$J6007*($H6007+INDEX(DarlTilgung,13))/100/12,IF(AND($G6007=0,$G6006=1),MAX($K6006,$J6007*($H6007+1)/100/12),$K6006))))</f>
      </c>
      <c r="L6007" s="43">
        <f>IF($I6007=0,0,$J6007*$H6007/100/12)</f>
      </c>
      <c r="M6007" s="43">
        <f>IF($I6007=0,0,IF(OR(INDEX(DarlOhneTilgung,13)=1,AND(INDEX(DarlTilgStart,13)&gt;0,$E6007&lt;INDEX(DarlTilgStart,13))),0,MIN(MAX(0,$K6007-$L6007),$J6007)))</f>
      </c>
      <c r="N6007" s="43">
        <f>IF($I6007=0,0,MIN(SUMIFS(SondBetrag,SondDarl,13,SondDatum,"&gt;="&amp;$E6007,SondDatum,"&lt;="&amp;EOMONTH($E6007,0)),$J6007-$M6007))</f>
      </c>
      <c r="O6007" s="43">
        <f>IF($I6007=0,0,INDEX(DarlErsatzRate,13))</f>
      </c>
      <c r="P6007" s="43">
        <f>IF($I6007=0,0,$Q6006*INDEX(DarlErsatzZins,13))</f>
      </c>
      <c r="Q6007" s="43">
        <f>IF($I6007=0,0,$Q6006+$P6007+$O6007)</f>
      </c>
      <c r="R6007" s="43">
        <f>IF($I6007=0,0,$J6007-$M6007-$N6007)</f>
      </c>
    </row>
    <row r="6008">
      <c r="A6008"/>
      <c r="B6008">
        <v>13</v>
      </c>
      <c r="C6008" s="43">
        <f>INDEX(DarlObj,13)</f>
      </c>
      <c r="D6008">
        <v>245</v>
      </c>
      <c r="E6008" s="51">
        <f>IF(INDEX(DarlBelegt,13)=0,0,EOMONTH(INDEX(DarlAuszahlung,13),244)+1)</f>
      </c>
      <c r="F6008" s="43">
        <f>IF($E6008=0,0,YEAR($E6008))</f>
      </c>
      <c r="G6008" s="43">
        <f>IF(INDEX(DarlBindung,13)="",1,IF($E6008&lt;=INDEX(DarlBindung,13),1,0))</f>
      </c>
      <c r="H6008" s="43">
        <f>IF($G6008=1,INDEX(DarlSollzins,13),INDEX(DarlAnschluss,13))</f>
      </c>
      <c r="I6008" s="43">
        <f>IF(INDEX(DarlBelegt,13)=0,0,IF(INDEX(DarlOhneTilgung,13)=1,IF(INDEX(DarlBindung,13)="",1,$G6008),IF($J6008&gt;0.005,1,0)))</f>
      </c>
      <c r="J6008" s="43">
        <f>IF($I6007=0,0,$R6007)</f>
      </c>
      <c r="K6008" s="43">
        <f>IF($I6008=0,0,IF(INDEX(DarlOhneTilgung,13)=1,0,IF(AND(INDEX(DarlTilgStart,13)&gt;0,$E6008=INDEX(DarlTilgStart,13)),$J6008*($H6008+INDEX(DarlTilgung,13))/100/12,IF(AND($G6008=0,$G6007=1),MAX($K6007,$J6008*($H6008+1)/100/12),$K6007))))</f>
      </c>
      <c r="L6008" s="43">
        <f>IF($I6008=0,0,$J6008*$H6008/100/12)</f>
      </c>
      <c r="M6008" s="43">
        <f>IF($I6008=0,0,IF(OR(INDEX(DarlOhneTilgung,13)=1,AND(INDEX(DarlTilgStart,13)&gt;0,$E6008&lt;INDEX(DarlTilgStart,13))),0,MIN(MAX(0,$K6008-$L6008),$J6008)))</f>
      </c>
      <c r="N6008" s="43">
        <f>IF($I6008=0,0,MIN(SUMIFS(SondBetrag,SondDarl,13,SondDatum,"&gt;="&amp;$E6008,SondDatum,"&lt;="&amp;EOMONTH($E6008,0)),$J6008-$M6008))</f>
      </c>
      <c r="O6008" s="43">
        <f>IF($I6008=0,0,INDEX(DarlErsatzRate,13))</f>
      </c>
      <c r="P6008" s="43">
        <f>IF($I6008=0,0,$Q6007*INDEX(DarlErsatzZins,13))</f>
      </c>
      <c r="Q6008" s="43">
        <f>IF($I6008=0,0,$Q6007+$P6008+$O6008)</f>
      </c>
      <c r="R6008" s="43">
        <f>IF($I6008=0,0,$J6008-$M6008-$N6008)</f>
      </c>
    </row>
    <row r="6009">
      <c r="A6009"/>
      <c r="B6009">
        <v>13</v>
      </c>
      <c r="C6009" s="43">
        <f>INDEX(DarlObj,13)</f>
      </c>
      <c r="D6009">
        <v>246</v>
      </c>
      <c r="E6009" s="51">
        <f>IF(INDEX(DarlBelegt,13)=0,0,EOMONTH(INDEX(DarlAuszahlung,13),245)+1)</f>
      </c>
      <c r="F6009" s="43">
        <f>IF($E6009=0,0,YEAR($E6009))</f>
      </c>
      <c r="G6009" s="43">
        <f>IF(INDEX(DarlBindung,13)="",1,IF($E6009&lt;=INDEX(DarlBindung,13),1,0))</f>
      </c>
      <c r="H6009" s="43">
        <f>IF($G6009=1,INDEX(DarlSollzins,13),INDEX(DarlAnschluss,13))</f>
      </c>
      <c r="I6009" s="43">
        <f>IF(INDEX(DarlBelegt,13)=0,0,IF(INDEX(DarlOhneTilgung,13)=1,IF(INDEX(DarlBindung,13)="",1,$G6009),IF($J6009&gt;0.005,1,0)))</f>
      </c>
      <c r="J6009" s="43">
        <f>IF($I6008=0,0,$R6008)</f>
      </c>
      <c r="K6009" s="43">
        <f>IF($I6009=0,0,IF(INDEX(DarlOhneTilgung,13)=1,0,IF(AND(INDEX(DarlTilgStart,13)&gt;0,$E6009=INDEX(DarlTilgStart,13)),$J6009*($H6009+INDEX(DarlTilgung,13))/100/12,IF(AND($G6009=0,$G6008=1),MAX($K6008,$J6009*($H6009+1)/100/12),$K6008))))</f>
      </c>
      <c r="L6009" s="43">
        <f>IF($I6009=0,0,$J6009*$H6009/100/12)</f>
      </c>
      <c r="M6009" s="43">
        <f>IF($I6009=0,0,IF(OR(INDEX(DarlOhneTilgung,13)=1,AND(INDEX(DarlTilgStart,13)&gt;0,$E6009&lt;INDEX(DarlTilgStart,13))),0,MIN(MAX(0,$K6009-$L6009),$J6009)))</f>
      </c>
      <c r="N6009" s="43">
        <f>IF($I6009=0,0,MIN(SUMIFS(SondBetrag,SondDarl,13,SondDatum,"&gt;="&amp;$E6009,SondDatum,"&lt;="&amp;EOMONTH($E6009,0)),$J6009-$M6009))</f>
      </c>
      <c r="O6009" s="43">
        <f>IF($I6009=0,0,INDEX(DarlErsatzRate,13))</f>
      </c>
      <c r="P6009" s="43">
        <f>IF($I6009=0,0,$Q6008*INDEX(DarlErsatzZins,13))</f>
      </c>
      <c r="Q6009" s="43">
        <f>IF($I6009=0,0,$Q6008+$P6009+$O6009)</f>
      </c>
      <c r="R6009" s="43">
        <f>IF($I6009=0,0,$J6009-$M6009-$N6009)</f>
      </c>
    </row>
    <row r="6010">
      <c r="A6010"/>
      <c r="B6010">
        <v>13</v>
      </c>
      <c r="C6010" s="43">
        <f>INDEX(DarlObj,13)</f>
      </c>
      <c r="D6010">
        <v>247</v>
      </c>
      <c r="E6010" s="51">
        <f>IF(INDEX(DarlBelegt,13)=0,0,EOMONTH(INDEX(DarlAuszahlung,13),246)+1)</f>
      </c>
      <c r="F6010" s="43">
        <f>IF($E6010=0,0,YEAR($E6010))</f>
      </c>
      <c r="G6010" s="43">
        <f>IF(INDEX(DarlBindung,13)="",1,IF($E6010&lt;=INDEX(DarlBindung,13),1,0))</f>
      </c>
      <c r="H6010" s="43">
        <f>IF($G6010=1,INDEX(DarlSollzins,13),INDEX(DarlAnschluss,13))</f>
      </c>
      <c r="I6010" s="43">
        <f>IF(INDEX(DarlBelegt,13)=0,0,IF(INDEX(DarlOhneTilgung,13)=1,IF(INDEX(DarlBindung,13)="",1,$G6010),IF($J6010&gt;0.005,1,0)))</f>
      </c>
      <c r="J6010" s="43">
        <f>IF($I6009=0,0,$R6009)</f>
      </c>
      <c r="K6010" s="43">
        <f>IF($I6010=0,0,IF(INDEX(DarlOhneTilgung,13)=1,0,IF(AND(INDEX(DarlTilgStart,13)&gt;0,$E6010=INDEX(DarlTilgStart,13)),$J6010*($H6010+INDEX(DarlTilgung,13))/100/12,IF(AND($G6010=0,$G6009=1),MAX($K6009,$J6010*($H6010+1)/100/12),$K6009))))</f>
      </c>
      <c r="L6010" s="43">
        <f>IF($I6010=0,0,$J6010*$H6010/100/12)</f>
      </c>
      <c r="M6010" s="43">
        <f>IF($I6010=0,0,IF(OR(INDEX(DarlOhneTilgung,13)=1,AND(INDEX(DarlTilgStart,13)&gt;0,$E6010&lt;INDEX(DarlTilgStart,13))),0,MIN(MAX(0,$K6010-$L6010),$J6010)))</f>
      </c>
      <c r="N6010" s="43">
        <f>IF($I6010=0,0,MIN(SUMIFS(SondBetrag,SondDarl,13,SondDatum,"&gt;="&amp;$E6010,SondDatum,"&lt;="&amp;EOMONTH($E6010,0)),$J6010-$M6010))</f>
      </c>
      <c r="O6010" s="43">
        <f>IF($I6010=0,0,INDEX(DarlErsatzRate,13))</f>
      </c>
      <c r="P6010" s="43">
        <f>IF($I6010=0,0,$Q6009*INDEX(DarlErsatzZins,13))</f>
      </c>
      <c r="Q6010" s="43">
        <f>IF($I6010=0,0,$Q6009+$P6010+$O6010)</f>
      </c>
      <c r="R6010" s="43">
        <f>IF($I6010=0,0,$J6010-$M6010-$N6010)</f>
      </c>
    </row>
    <row r="6011">
      <c r="A6011"/>
      <c r="B6011">
        <v>13</v>
      </c>
      <c r="C6011" s="43">
        <f>INDEX(DarlObj,13)</f>
      </c>
      <c r="D6011">
        <v>248</v>
      </c>
      <c r="E6011" s="51">
        <f>IF(INDEX(DarlBelegt,13)=0,0,EOMONTH(INDEX(DarlAuszahlung,13),247)+1)</f>
      </c>
      <c r="F6011" s="43">
        <f>IF($E6011=0,0,YEAR($E6011))</f>
      </c>
      <c r="G6011" s="43">
        <f>IF(INDEX(DarlBindung,13)="",1,IF($E6011&lt;=INDEX(DarlBindung,13),1,0))</f>
      </c>
      <c r="H6011" s="43">
        <f>IF($G6011=1,INDEX(DarlSollzins,13),INDEX(DarlAnschluss,13))</f>
      </c>
      <c r="I6011" s="43">
        <f>IF(INDEX(DarlBelegt,13)=0,0,IF(INDEX(DarlOhneTilgung,13)=1,IF(INDEX(DarlBindung,13)="",1,$G6011),IF($J6011&gt;0.005,1,0)))</f>
      </c>
      <c r="J6011" s="43">
        <f>IF($I6010=0,0,$R6010)</f>
      </c>
      <c r="K6011" s="43">
        <f>IF($I6011=0,0,IF(INDEX(DarlOhneTilgung,13)=1,0,IF(AND(INDEX(DarlTilgStart,13)&gt;0,$E6011=INDEX(DarlTilgStart,13)),$J6011*($H6011+INDEX(DarlTilgung,13))/100/12,IF(AND($G6011=0,$G6010=1),MAX($K6010,$J6011*($H6011+1)/100/12),$K6010))))</f>
      </c>
      <c r="L6011" s="43">
        <f>IF($I6011=0,0,$J6011*$H6011/100/12)</f>
      </c>
      <c r="M6011" s="43">
        <f>IF($I6011=0,0,IF(OR(INDEX(DarlOhneTilgung,13)=1,AND(INDEX(DarlTilgStart,13)&gt;0,$E6011&lt;INDEX(DarlTilgStart,13))),0,MIN(MAX(0,$K6011-$L6011),$J6011)))</f>
      </c>
      <c r="N6011" s="43">
        <f>IF($I6011=0,0,MIN(SUMIFS(SondBetrag,SondDarl,13,SondDatum,"&gt;="&amp;$E6011,SondDatum,"&lt;="&amp;EOMONTH($E6011,0)),$J6011-$M6011))</f>
      </c>
      <c r="O6011" s="43">
        <f>IF($I6011=0,0,INDEX(DarlErsatzRate,13))</f>
      </c>
      <c r="P6011" s="43">
        <f>IF($I6011=0,0,$Q6010*INDEX(DarlErsatzZins,13))</f>
      </c>
      <c r="Q6011" s="43">
        <f>IF($I6011=0,0,$Q6010+$P6011+$O6011)</f>
      </c>
      <c r="R6011" s="43">
        <f>IF($I6011=0,0,$J6011-$M6011-$N6011)</f>
      </c>
    </row>
    <row r="6012">
      <c r="A6012"/>
      <c r="B6012">
        <v>13</v>
      </c>
      <c r="C6012" s="43">
        <f>INDEX(DarlObj,13)</f>
      </c>
      <c r="D6012">
        <v>249</v>
      </c>
      <c r="E6012" s="51">
        <f>IF(INDEX(DarlBelegt,13)=0,0,EOMONTH(INDEX(DarlAuszahlung,13),248)+1)</f>
      </c>
      <c r="F6012" s="43">
        <f>IF($E6012=0,0,YEAR($E6012))</f>
      </c>
      <c r="G6012" s="43">
        <f>IF(INDEX(DarlBindung,13)="",1,IF($E6012&lt;=INDEX(DarlBindung,13),1,0))</f>
      </c>
      <c r="H6012" s="43">
        <f>IF($G6012=1,INDEX(DarlSollzins,13),INDEX(DarlAnschluss,13))</f>
      </c>
      <c r="I6012" s="43">
        <f>IF(INDEX(DarlBelegt,13)=0,0,IF(INDEX(DarlOhneTilgung,13)=1,IF(INDEX(DarlBindung,13)="",1,$G6012),IF($J6012&gt;0.005,1,0)))</f>
      </c>
      <c r="J6012" s="43">
        <f>IF($I6011=0,0,$R6011)</f>
      </c>
      <c r="K6012" s="43">
        <f>IF($I6012=0,0,IF(INDEX(DarlOhneTilgung,13)=1,0,IF(AND(INDEX(DarlTilgStart,13)&gt;0,$E6012=INDEX(DarlTilgStart,13)),$J6012*($H6012+INDEX(DarlTilgung,13))/100/12,IF(AND($G6012=0,$G6011=1),MAX($K6011,$J6012*($H6012+1)/100/12),$K6011))))</f>
      </c>
      <c r="L6012" s="43">
        <f>IF($I6012=0,0,$J6012*$H6012/100/12)</f>
      </c>
      <c r="M6012" s="43">
        <f>IF($I6012=0,0,IF(OR(INDEX(DarlOhneTilgung,13)=1,AND(INDEX(DarlTilgStart,13)&gt;0,$E6012&lt;INDEX(DarlTilgStart,13))),0,MIN(MAX(0,$K6012-$L6012),$J6012)))</f>
      </c>
      <c r="N6012" s="43">
        <f>IF($I6012=0,0,MIN(SUMIFS(SondBetrag,SondDarl,13,SondDatum,"&gt;="&amp;$E6012,SondDatum,"&lt;="&amp;EOMONTH($E6012,0)),$J6012-$M6012))</f>
      </c>
      <c r="O6012" s="43">
        <f>IF($I6012=0,0,INDEX(DarlErsatzRate,13))</f>
      </c>
      <c r="P6012" s="43">
        <f>IF($I6012=0,0,$Q6011*INDEX(DarlErsatzZins,13))</f>
      </c>
      <c r="Q6012" s="43">
        <f>IF($I6012=0,0,$Q6011+$P6012+$O6012)</f>
      </c>
      <c r="R6012" s="43">
        <f>IF($I6012=0,0,$J6012-$M6012-$N6012)</f>
      </c>
    </row>
    <row r="6013">
      <c r="A6013"/>
      <c r="B6013">
        <v>13</v>
      </c>
      <c r="C6013" s="43">
        <f>INDEX(DarlObj,13)</f>
      </c>
      <c r="D6013">
        <v>250</v>
      </c>
      <c r="E6013" s="51">
        <f>IF(INDEX(DarlBelegt,13)=0,0,EOMONTH(INDEX(DarlAuszahlung,13),249)+1)</f>
      </c>
      <c r="F6013" s="43">
        <f>IF($E6013=0,0,YEAR($E6013))</f>
      </c>
      <c r="G6013" s="43">
        <f>IF(INDEX(DarlBindung,13)="",1,IF($E6013&lt;=INDEX(DarlBindung,13),1,0))</f>
      </c>
      <c r="H6013" s="43">
        <f>IF($G6013=1,INDEX(DarlSollzins,13),INDEX(DarlAnschluss,13))</f>
      </c>
      <c r="I6013" s="43">
        <f>IF(INDEX(DarlBelegt,13)=0,0,IF(INDEX(DarlOhneTilgung,13)=1,IF(INDEX(DarlBindung,13)="",1,$G6013),IF($J6013&gt;0.005,1,0)))</f>
      </c>
      <c r="J6013" s="43">
        <f>IF($I6012=0,0,$R6012)</f>
      </c>
      <c r="K6013" s="43">
        <f>IF($I6013=0,0,IF(INDEX(DarlOhneTilgung,13)=1,0,IF(AND(INDEX(DarlTilgStart,13)&gt;0,$E6013=INDEX(DarlTilgStart,13)),$J6013*($H6013+INDEX(DarlTilgung,13))/100/12,IF(AND($G6013=0,$G6012=1),MAX($K6012,$J6013*($H6013+1)/100/12),$K6012))))</f>
      </c>
      <c r="L6013" s="43">
        <f>IF($I6013=0,0,$J6013*$H6013/100/12)</f>
      </c>
      <c r="M6013" s="43">
        <f>IF($I6013=0,0,IF(OR(INDEX(DarlOhneTilgung,13)=1,AND(INDEX(DarlTilgStart,13)&gt;0,$E6013&lt;INDEX(DarlTilgStart,13))),0,MIN(MAX(0,$K6013-$L6013),$J6013)))</f>
      </c>
      <c r="N6013" s="43">
        <f>IF($I6013=0,0,MIN(SUMIFS(SondBetrag,SondDarl,13,SondDatum,"&gt;="&amp;$E6013,SondDatum,"&lt;="&amp;EOMONTH($E6013,0)),$J6013-$M6013))</f>
      </c>
      <c r="O6013" s="43">
        <f>IF($I6013=0,0,INDEX(DarlErsatzRate,13))</f>
      </c>
      <c r="P6013" s="43">
        <f>IF($I6013=0,0,$Q6012*INDEX(DarlErsatzZins,13))</f>
      </c>
      <c r="Q6013" s="43">
        <f>IF($I6013=0,0,$Q6012+$P6013+$O6013)</f>
      </c>
      <c r="R6013" s="43">
        <f>IF($I6013=0,0,$J6013-$M6013-$N6013)</f>
      </c>
    </row>
    <row r="6014">
      <c r="A6014"/>
      <c r="B6014">
        <v>13</v>
      </c>
      <c r="C6014" s="43">
        <f>INDEX(DarlObj,13)</f>
      </c>
      <c r="D6014">
        <v>251</v>
      </c>
      <c r="E6014" s="51">
        <f>IF(INDEX(DarlBelegt,13)=0,0,EOMONTH(INDEX(DarlAuszahlung,13),250)+1)</f>
      </c>
      <c r="F6014" s="43">
        <f>IF($E6014=0,0,YEAR($E6014))</f>
      </c>
      <c r="G6014" s="43">
        <f>IF(INDEX(DarlBindung,13)="",1,IF($E6014&lt;=INDEX(DarlBindung,13),1,0))</f>
      </c>
      <c r="H6014" s="43">
        <f>IF($G6014=1,INDEX(DarlSollzins,13),INDEX(DarlAnschluss,13))</f>
      </c>
      <c r="I6014" s="43">
        <f>IF(INDEX(DarlBelegt,13)=0,0,IF(INDEX(DarlOhneTilgung,13)=1,IF(INDEX(DarlBindung,13)="",1,$G6014),IF($J6014&gt;0.005,1,0)))</f>
      </c>
      <c r="J6014" s="43">
        <f>IF($I6013=0,0,$R6013)</f>
      </c>
      <c r="K6014" s="43">
        <f>IF($I6014=0,0,IF(INDEX(DarlOhneTilgung,13)=1,0,IF(AND(INDEX(DarlTilgStart,13)&gt;0,$E6014=INDEX(DarlTilgStart,13)),$J6014*($H6014+INDEX(DarlTilgung,13))/100/12,IF(AND($G6014=0,$G6013=1),MAX($K6013,$J6014*($H6014+1)/100/12),$K6013))))</f>
      </c>
      <c r="L6014" s="43">
        <f>IF($I6014=0,0,$J6014*$H6014/100/12)</f>
      </c>
      <c r="M6014" s="43">
        <f>IF($I6014=0,0,IF(OR(INDEX(DarlOhneTilgung,13)=1,AND(INDEX(DarlTilgStart,13)&gt;0,$E6014&lt;INDEX(DarlTilgStart,13))),0,MIN(MAX(0,$K6014-$L6014),$J6014)))</f>
      </c>
      <c r="N6014" s="43">
        <f>IF($I6014=0,0,MIN(SUMIFS(SondBetrag,SondDarl,13,SondDatum,"&gt;="&amp;$E6014,SondDatum,"&lt;="&amp;EOMONTH($E6014,0)),$J6014-$M6014))</f>
      </c>
      <c r="O6014" s="43">
        <f>IF($I6014=0,0,INDEX(DarlErsatzRate,13))</f>
      </c>
      <c r="P6014" s="43">
        <f>IF($I6014=0,0,$Q6013*INDEX(DarlErsatzZins,13))</f>
      </c>
      <c r="Q6014" s="43">
        <f>IF($I6014=0,0,$Q6013+$P6014+$O6014)</f>
      </c>
      <c r="R6014" s="43">
        <f>IF($I6014=0,0,$J6014-$M6014-$N6014)</f>
      </c>
    </row>
    <row r="6015">
      <c r="A6015"/>
      <c r="B6015">
        <v>13</v>
      </c>
      <c r="C6015" s="43">
        <f>INDEX(DarlObj,13)</f>
      </c>
      <c r="D6015">
        <v>252</v>
      </c>
      <c r="E6015" s="51">
        <f>IF(INDEX(DarlBelegt,13)=0,0,EOMONTH(INDEX(DarlAuszahlung,13),251)+1)</f>
      </c>
      <c r="F6015" s="43">
        <f>IF($E6015=0,0,YEAR($E6015))</f>
      </c>
      <c r="G6015" s="43">
        <f>IF(INDEX(DarlBindung,13)="",1,IF($E6015&lt;=INDEX(DarlBindung,13),1,0))</f>
      </c>
      <c r="H6015" s="43">
        <f>IF($G6015=1,INDEX(DarlSollzins,13),INDEX(DarlAnschluss,13))</f>
      </c>
      <c r="I6015" s="43">
        <f>IF(INDEX(DarlBelegt,13)=0,0,IF(INDEX(DarlOhneTilgung,13)=1,IF(INDEX(DarlBindung,13)="",1,$G6015),IF($J6015&gt;0.005,1,0)))</f>
      </c>
      <c r="J6015" s="43">
        <f>IF($I6014=0,0,$R6014)</f>
      </c>
      <c r="K6015" s="43">
        <f>IF($I6015=0,0,IF(INDEX(DarlOhneTilgung,13)=1,0,IF(AND(INDEX(DarlTilgStart,13)&gt;0,$E6015=INDEX(DarlTilgStart,13)),$J6015*($H6015+INDEX(DarlTilgung,13))/100/12,IF(AND($G6015=0,$G6014=1),MAX($K6014,$J6015*($H6015+1)/100/12),$K6014))))</f>
      </c>
      <c r="L6015" s="43">
        <f>IF($I6015=0,0,$J6015*$H6015/100/12)</f>
      </c>
      <c r="M6015" s="43">
        <f>IF($I6015=0,0,IF(OR(INDEX(DarlOhneTilgung,13)=1,AND(INDEX(DarlTilgStart,13)&gt;0,$E6015&lt;INDEX(DarlTilgStart,13))),0,MIN(MAX(0,$K6015-$L6015),$J6015)))</f>
      </c>
      <c r="N6015" s="43">
        <f>IF($I6015=0,0,MIN(SUMIFS(SondBetrag,SondDarl,13,SondDatum,"&gt;="&amp;$E6015,SondDatum,"&lt;="&amp;EOMONTH($E6015,0)),$J6015-$M6015))</f>
      </c>
      <c r="O6015" s="43">
        <f>IF($I6015=0,0,INDEX(DarlErsatzRate,13))</f>
      </c>
      <c r="P6015" s="43">
        <f>IF($I6015=0,0,$Q6014*INDEX(DarlErsatzZins,13))</f>
      </c>
      <c r="Q6015" s="43">
        <f>IF($I6015=0,0,$Q6014+$P6015+$O6015)</f>
      </c>
      <c r="R6015" s="43">
        <f>IF($I6015=0,0,$J6015-$M6015-$N6015)</f>
      </c>
    </row>
    <row r="6016">
      <c r="A6016"/>
      <c r="B6016">
        <v>13</v>
      </c>
      <c r="C6016" s="43">
        <f>INDEX(DarlObj,13)</f>
      </c>
      <c r="D6016">
        <v>253</v>
      </c>
      <c r="E6016" s="51">
        <f>IF(INDEX(DarlBelegt,13)=0,0,EOMONTH(INDEX(DarlAuszahlung,13),252)+1)</f>
      </c>
      <c r="F6016" s="43">
        <f>IF($E6016=0,0,YEAR($E6016))</f>
      </c>
      <c r="G6016" s="43">
        <f>IF(INDEX(DarlBindung,13)="",1,IF($E6016&lt;=INDEX(DarlBindung,13),1,0))</f>
      </c>
      <c r="H6016" s="43">
        <f>IF($G6016=1,INDEX(DarlSollzins,13),INDEX(DarlAnschluss,13))</f>
      </c>
      <c r="I6016" s="43">
        <f>IF(INDEX(DarlBelegt,13)=0,0,IF(INDEX(DarlOhneTilgung,13)=1,IF(INDEX(DarlBindung,13)="",1,$G6016),IF($J6016&gt;0.005,1,0)))</f>
      </c>
      <c r="J6016" s="43">
        <f>IF($I6015=0,0,$R6015)</f>
      </c>
      <c r="K6016" s="43">
        <f>IF($I6016=0,0,IF(INDEX(DarlOhneTilgung,13)=1,0,IF(AND(INDEX(DarlTilgStart,13)&gt;0,$E6016=INDEX(DarlTilgStart,13)),$J6016*($H6016+INDEX(DarlTilgung,13))/100/12,IF(AND($G6016=0,$G6015=1),MAX($K6015,$J6016*($H6016+1)/100/12),$K6015))))</f>
      </c>
      <c r="L6016" s="43">
        <f>IF($I6016=0,0,$J6016*$H6016/100/12)</f>
      </c>
      <c r="M6016" s="43">
        <f>IF($I6016=0,0,IF(OR(INDEX(DarlOhneTilgung,13)=1,AND(INDEX(DarlTilgStart,13)&gt;0,$E6016&lt;INDEX(DarlTilgStart,13))),0,MIN(MAX(0,$K6016-$L6016),$J6016)))</f>
      </c>
      <c r="N6016" s="43">
        <f>IF($I6016=0,0,MIN(SUMIFS(SondBetrag,SondDarl,13,SondDatum,"&gt;="&amp;$E6016,SondDatum,"&lt;="&amp;EOMONTH($E6016,0)),$J6016-$M6016))</f>
      </c>
      <c r="O6016" s="43">
        <f>IF($I6016=0,0,INDEX(DarlErsatzRate,13))</f>
      </c>
      <c r="P6016" s="43">
        <f>IF($I6016=0,0,$Q6015*INDEX(DarlErsatzZins,13))</f>
      </c>
      <c r="Q6016" s="43">
        <f>IF($I6016=0,0,$Q6015+$P6016+$O6016)</f>
      </c>
      <c r="R6016" s="43">
        <f>IF($I6016=0,0,$J6016-$M6016-$N6016)</f>
      </c>
    </row>
    <row r="6017">
      <c r="A6017"/>
      <c r="B6017">
        <v>13</v>
      </c>
      <c r="C6017" s="43">
        <f>INDEX(DarlObj,13)</f>
      </c>
      <c r="D6017">
        <v>254</v>
      </c>
      <c r="E6017" s="51">
        <f>IF(INDEX(DarlBelegt,13)=0,0,EOMONTH(INDEX(DarlAuszahlung,13),253)+1)</f>
      </c>
      <c r="F6017" s="43">
        <f>IF($E6017=0,0,YEAR($E6017))</f>
      </c>
      <c r="G6017" s="43">
        <f>IF(INDEX(DarlBindung,13)="",1,IF($E6017&lt;=INDEX(DarlBindung,13),1,0))</f>
      </c>
      <c r="H6017" s="43">
        <f>IF($G6017=1,INDEX(DarlSollzins,13),INDEX(DarlAnschluss,13))</f>
      </c>
      <c r="I6017" s="43">
        <f>IF(INDEX(DarlBelegt,13)=0,0,IF(INDEX(DarlOhneTilgung,13)=1,IF(INDEX(DarlBindung,13)="",1,$G6017),IF($J6017&gt;0.005,1,0)))</f>
      </c>
      <c r="J6017" s="43">
        <f>IF($I6016=0,0,$R6016)</f>
      </c>
      <c r="K6017" s="43">
        <f>IF($I6017=0,0,IF(INDEX(DarlOhneTilgung,13)=1,0,IF(AND(INDEX(DarlTilgStart,13)&gt;0,$E6017=INDEX(DarlTilgStart,13)),$J6017*($H6017+INDEX(DarlTilgung,13))/100/12,IF(AND($G6017=0,$G6016=1),MAX($K6016,$J6017*($H6017+1)/100/12),$K6016))))</f>
      </c>
      <c r="L6017" s="43">
        <f>IF($I6017=0,0,$J6017*$H6017/100/12)</f>
      </c>
      <c r="M6017" s="43">
        <f>IF($I6017=0,0,IF(OR(INDEX(DarlOhneTilgung,13)=1,AND(INDEX(DarlTilgStart,13)&gt;0,$E6017&lt;INDEX(DarlTilgStart,13))),0,MIN(MAX(0,$K6017-$L6017),$J6017)))</f>
      </c>
      <c r="N6017" s="43">
        <f>IF($I6017=0,0,MIN(SUMIFS(SondBetrag,SondDarl,13,SondDatum,"&gt;="&amp;$E6017,SondDatum,"&lt;="&amp;EOMONTH($E6017,0)),$J6017-$M6017))</f>
      </c>
      <c r="O6017" s="43">
        <f>IF($I6017=0,0,INDEX(DarlErsatzRate,13))</f>
      </c>
      <c r="P6017" s="43">
        <f>IF($I6017=0,0,$Q6016*INDEX(DarlErsatzZins,13))</f>
      </c>
      <c r="Q6017" s="43">
        <f>IF($I6017=0,0,$Q6016+$P6017+$O6017)</f>
      </c>
      <c r="R6017" s="43">
        <f>IF($I6017=0,0,$J6017-$M6017-$N6017)</f>
      </c>
    </row>
    <row r="6018">
      <c r="A6018"/>
      <c r="B6018">
        <v>13</v>
      </c>
      <c r="C6018" s="43">
        <f>INDEX(DarlObj,13)</f>
      </c>
      <c r="D6018">
        <v>255</v>
      </c>
      <c r="E6018" s="51">
        <f>IF(INDEX(DarlBelegt,13)=0,0,EOMONTH(INDEX(DarlAuszahlung,13),254)+1)</f>
      </c>
      <c r="F6018" s="43">
        <f>IF($E6018=0,0,YEAR($E6018))</f>
      </c>
      <c r="G6018" s="43">
        <f>IF(INDEX(DarlBindung,13)="",1,IF($E6018&lt;=INDEX(DarlBindung,13),1,0))</f>
      </c>
      <c r="H6018" s="43">
        <f>IF($G6018=1,INDEX(DarlSollzins,13),INDEX(DarlAnschluss,13))</f>
      </c>
      <c r="I6018" s="43">
        <f>IF(INDEX(DarlBelegt,13)=0,0,IF(INDEX(DarlOhneTilgung,13)=1,IF(INDEX(DarlBindung,13)="",1,$G6018),IF($J6018&gt;0.005,1,0)))</f>
      </c>
      <c r="J6018" s="43">
        <f>IF($I6017=0,0,$R6017)</f>
      </c>
      <c r="K6018" s="43">
        <f>IF($I6018=0,0,IF(INDEX(DarlOhneTilgung,13)=1,0,IF(AND(INDEX(DarlTilgStart,13)&gt;0,$E6018=INDEX(DarlTilgStart,13)),$J6018*($H6018+INDEX(DarlTilgung,13))/100/12,IF(AND($G6018=0,$G6017=1),MAX($K6017,$J6018*($H6018+1)/100/12),$K6017))))</f>
      </c>
      <c r="L6018" s="43">
        <f>IF($I6018=0,0,$J6018*$H6018/100/12)</f>
      </c>
      <c r="M6018" s="43">
        <f>IF($I6018=0,0,IF(OR(INDEX(DarlOhneTilgung,13)=1,AND(INDEX(DarlTilgStart,13)&gt;0,$E6018&lt;INDEX(DarlTilgStart,13))),0,MIN(MAX(0,$K6018-$L6018),$J6018)))</f>
      </c>
      <c r="N6018" s="43">
        <f>IF($I6018=0,0,MIN(SUMIFS(SondBetrag,SondDarl,13,SondDatum,"&gt;="&amp;$E6018,SondDatum,"&lt;="&amp;EOMONTH($E6018,0)),$J6018-$M6018))</f>
      </c>
      <c r="O6018" s="43">
        <f>IF($I6018=0,0,INDEX(DarlErsatzRate,13))</f>
      </c>
      <c r="P6018" s="43">
        <f>IF($I6018=0,0,$Q6017*INDEX(DarlErsatzZins,13))</f>
      </c>
      <c r="Q6018" s="43">
        <f>IF($I6018=0,0,$Q6017+$P6018+$O6018)</f>
      </c>
      <c r="R6018" s="43">
        <f>IF($I6018=0,0,$J6018-$M6018-$N6018)</f>
      </c>
    </row>
    <row r="6019">
      <c r="A6019"/>
      <c r="B6019">
        <v>13</v>
      </c>
      <c r="C6019" s="43">
        <f>INDEX(DarlObj,13)</f>
      </c>
      <c r="D6019">
        <v>256</v>
      </c>
      <c r="E6019" s="51">
        <f>IF(INDEX(DarlBelegt,13)=0,0,EOMONTH(INDEX(DarlAuszahlung,13),255)+1)</f>
      </c>
      <c r="F6019" s="43">
        <f>IF($E6019=0,0,YEAR($E6019))</f>
      </c>
      <c r="G6019" s="43">
        <f>IF(INDEX(DarlBindung,13)="",1,IF($E6019&lt;=INDEX(DarlBindung,13),1,0))</f>
      </c>
      <c r="H6019" s="43">
        <f>IF($G6019=1,INDEX(DarlSollzins,13),INDEX(DarlAnschluss,13))</f>
      </c>
      <c r="I6019" s="43">
        <f>IF(INDEX(DarlBelegt,13)=0,0,IF(INDEX(DarlOhneTilgung,13)=1,IF(INDEX(DarlBindung,13)="",1,$G6019),IF($J6019&gt;0.005,1,0)))</f>
      </c>
      <c r="J6019" s="43">
        <f>IF($I6018=0,0,$R6018)</f>
      </c>
      <c r="K6019" s="43">
        <f>IF($I6019=0,0,IF(INDEX(DarlOhneTilgung,13)=1,0,IF(AND(INDEX(DarlTilgStart,13)&gt;0,$E6019=INDEX(DarlTilgStart,13)),$J6019*($H6019+INDEX(DarlTilgung,13))/100/12,IF(AND($G6019=0,$G6018=1),MAX($K6018,$J6019*($H6019+1)/100/12),$K6018))))</f>
      </c>
      <c r="L6019" s="43">
        <f>IF($I6019=0,0,$J6019*$H6019/100/12)</f>
      </c>
      <c r="M6019" s="43">
        <f>IF($I6019=0,0,IF(OR(INDEX(DarlOhneTilgung,13)=1,AND(INDEX(DarlTilgStart,13)&gt;0,$E6019&lt;INDEX(DarlTilgStart,13))),0,MIN(MAX(0,$K6019-$L6019),$J6019)))</f>
      </c>
      <c r="N6019" s="43">
        <f>IF($I6019=0,0,MIN(SUMIFS(SondBetrag,SondDarl,13,SondDatum,"&gt;="&amp;$E6019,SondDatum,"&lt;="&amp;EOMONTH($E6019,0)),$J6019-$M6019))</f>
      </c>
      <c r="O6019" s="43">
        <f>IF($I6019=0,0,INDEX(DarlErsatzRate,13))</f>
      </c>
      <c r="P6019" s="43">
        <f>IF($I6019=0,0,$Q6018*INDEX(DarlErsatzZins,13))</f>
      </c>
      <c r="Q6019" s="43">
        <f>IF($I6019=0,0,$Q6018+$P6019+$O6019)</f>
      </c>
      <c r="R6019" s="43">
        <f>IF($I6019=0,0,$J6019-$M6019-$N6019)</f>
      </c>
    </row>
    <row r="6020">
      <c r="A6020"/>
      <c r="B6020">
        <v>13</v>
      </c>
      <c r="C6020" s="43">
        <f>INDEX(DarlObj,13)</f>
      </c>
      <c r="D6020">
        <v>257</v>
      </c>
      <c r="E6020" s="51">
        <f>IF(INDEX(DarlBelegt,13)=0,0,EOMONTH(INDEX(DarlAuszahlung,13),256)+1)</f>
      </c>
      <c r="F6020" s="43">
        <f>IF($E6020=0,0,YEAR($E6020))</f>
      </c>
      <c r="G6020" s="43">
        <f>IF(INDEX(DarlBindung,13)="",1,IF($E6020&lt;=INDEX(DarlBindung,13),1,0))</f>
      </c>
      <c r="H6020" s="43">
        <f>IF($G6020=1,INDEX(DarlSollzins,13),INDEX(DarlAnschluss,13))</f>
      </c>
      <c r="I6020" s="43">
        <f>IF(INDEX(DarlBelegt,13)=0,0,IF(INDEX(DarlOhneTilgung,13)=1,IF(INDEX(DarlBindung,13)="",1,$G6020),IF($J6020&gt;0.005,1,0)))</f>
      </c>
      <c r="J6020" s="43">
        <f>IF($I6019=0,0,$R6019)</f>
      </c>
      <c r="K6020" s="43">
        <f>IF($I6020=0,0,IF(INDEX(DarlOhneTilgung,13)=1,0,IF(AND(INDEX(DarlTilgStart,13)&gt;0,$E6020=INDEX(DarlTilgStart,13)),$J6020*($H6020+INDEX(DarlTilgung,13))/100/12,IF(AND($G6020=0,$G6019=1),MAX($K6019,$J6020*($H6020+1)/100/12),$K6019))))</f>
      </c>
      <c r="L6020" s="43">
        <f>IF($I6020=0,0,$J6020*$H6020/100/12)</f>
      </c>
      <c r="M6020" s="43">
        <f>IF($I6020=0,0,IF(OR(INDEX(DarlOhneTilgung,13)=1,AND(INDEX(DarlTilgStart,13)&gt;0,$E6020&lt;INDEX(DarlTilgStart,13))),0,MIN(MAX(0,$K6020-$L6020),$J6020)))</f>
      </c>
      <c r="N6020" s="43">
        <f>IF($I6020=0,0,MIN(SUMIFS(SondBetrag,SondDarl,13,SondDatum,"&gt;="&amp;$E6020,SondDatum,"&lt;="&amp;EOMONTH($E6020,0)),$J6020-$M6020))</f>
      </c>
      <c r="O6020" s="43">
        <f>IF($I6020=0,0,INDEX(DarlErsatzRate,13))</f>
      </c>
      <c r="P6020" s="43">
        <f>IF($I6020=0,0,$Q6019*INDEX(DarlErsatzZins,13))</f>
      </c>
      <c r="Q6020" s="43">
        <f>IF($I6020=0,0,$Q6019+$P6020+$O6020)</f>
      </c>
      <c r="R6020" s="43">
        <f>IF($I6020=0,0,$J6020-$M6020-$N6020)</f>
      </c>
    </row>
    <row r="6021">
      <c r="A6021"/>
      <c r="B6021">
        <v>13</v>
      </c>
      <c r="C6021" s="43">
        <f>INDEX(DarlObj,13)</f>
      </c>
      <c r="D6021">
        <v>258</v>
      </c>
      <c r="E6021" s="51">
        <f>IF(INDEX(DarlBelegt,13)=0,0,EOMONTH(INDEX(DarlAuszahlung,13),257)+1)</f>
      </c>
      <c r="F6021" s="43">
        <f>IF($E6021=0,0,YEAR($E6021))</f>
      </c>
      <c r="G6021" s="43">
        <f>IF(INDEX(DarlBindung,13)="",1,IF($E6021&lt;=INDEX(DarlBindung,13),1,0))</f>
      </c>
      <c r="H6021" s="43">
        <f>IF($G6021=1,INDEX(DarlSollzins,13),INDEX(DarlAnschluss,13))</f>
      </c>
      <c r="I6021" s="43">
        <f>IF(INDEX(DarlBelegt,13)=0,0,IF(INDEX(DarlOhneTilgung,13)=1,IF(INDEX(DarlBindung,13)="",1,$G6021),IF($J6021&gt;0.005,1,0)))</f>
      </c>
      <c r="J6021" s="43">
        <f>IF($I6020=0,0,$R6020)</f>
      </c>
      <c r="K6021" s="43">
        <f>IF($I6021=0,0,IF(INDEX(DarlOhneTilgung,13)=1,0,IF(AND(INDEX(DarlTilgStart,13)&gt;0,$E6021=INDEX(DarlTilgStart,13)),$J6021*($H6021+INDEX(DarlTilgung,13))/100/12,IF(AND($G6021=0,$G6020=1),MAX($K6020,$J6021*($H6021+1)/100/12),$K6020))))</f>
      </c>
      <c r="L6021" s="43">
        <f>IF($I6021=0,0,$J6021*$H6021/100/12)</f>
      </c>
      <c r="M6021" s="43">
        <f>IF($I6021=0,0,IF(OR(INDEX(DarlOhneTilgung,13)=1,AND(INDEX(DarlTilgStart,13)&gt;0,$E6021&lt;INDEX(DarlTilgStart,13))),0,MIN(MAX(0,$K6021-$L6021),$J6021)))</f>
      </c>
      <c r="N6021" s="43">
        <f>IF($I6021=0,0,MIN(SUMIFS(SondBetrag,SondDarl,13,SondDatum,"&gt;="&amp;$E6021,SondDatum,"&lt;="&amp;EOMONTH($E6021,0)),$J6021-$M6021))</f>
      </c>
      <c r="O6021" s="43">
        <f>IF($I6021=0,0,INDEX(DarlErsatzRate,13))</f>
      </c>
      <c r="P6021" s="43">
        <f>IF($I6021=0,0,$Q6020*INDEX(DarlErsatzZins,13))</f>
      </c>
      <c r="Q6021" s="43">
        <f>IF($I6021=0,0,$Q6020+$P6021+$O6021)</f>
      </c>
      <c r="R6021" s="43">
        <f>IF($I6021=0,0,$J6021-$M6021-$N6021)</f>
      </c>
    </row>
    <row r="6022">
      <c r="A6022"/>
      <c r="B6022">
        <v>13</v>
      </c>
      <c r="C6022" s="43">
        <f>INDEX(DarlObj,13)</f>
      </c>
      <c r="D6022">
        <v>259</v>
      </c>
      <c r="E6022" s="51">
        <f>IF(INDEX(DarlBelegt,13)=0,0,EOMONTH(INDEX(DarlAuszahlung,13),258)+1)</f>
      </c>
      <c r="F6022" s="43">
        <f>IF($E6022=0,0,YEAR($E6022))</f>
      </c>
      <c r="G6022" s="43">
        <f>IF(INDEX(DarlBindung,13)="",1,IF($E6022&lt;=INDEX(DarlBindung,13),1,0))</f>
      </c>
      <c r="H6022" s="43">
        <f>IF($G6022=1,INDEX(DarlSollzins,13),INDEX(DarlAnschluss,13))</f>
      </c>
      <c r="I6022" s="43">
        <f>IF(INDEX(DarlBelegt,13)=0,0,IF(INDEX(DarlOhneTilgung,13)=1,IF(INDEX(DarlBindung,13)="",1,$G6022),IF($J6022&gt;0.005,1,0)))</f>
      </c>
      <c r="J6022" s="43">
        <f>IF($I6021=0,0,$R6021)</f>
      </c>
      <c r="K6022" s="43">
        <f>IF($I6022=0,0,IF(INDEX(DarlOhneTilgung,13)=1,0,IF(AND(INDEX(DarlTilgStart,13)&gt;0,$E6022=INDEX(DarlTilgStart,13)),$J6022*($H6022+INDEX(DarlTilgung,13))/100/12,IF(AND($G6022=0,$G6021=1),MAX($K6021,$J6022*($H6022+1)/100/12),$K6021))))</f>
      </c>
      <c r="L6022" s="43">
        <f>IF($I6022=0,0,$J6022*$H6022/100/12)</f>
      </c>
      <c r="M6022" s="43">
        <f>IF($I6022=0,0,IF(OR(INDEX(DarlOhneTilgung,13)=1,AND(INDEX(DarlTilgStart,13)&gt;0,$E6022&lt;INDEX(DarlTilgStart,13))),0,MIN(MAX(0,$K6022-$L6022),$J6022)))</f>
      </c>
      <c r="N6022" s="43">
        <f>IF($I6022=0,0,MIN(SUMIFS(SondBetrag,SondDarl,13,SondDatum,"&gt;="&amp;$E6022,SondDatum,"&lt;="&amp;EOMONTH($E6022,0)),$J6022-$M6022))</f>
      </c>
      <c r="O6022" s="43">
        <f>IF($I6022=0,0,INDEX(DarlErsatzRate,13))</f>
      </c>
      <c r="P6022" s="43">
        <f>IF($I6022=0,0,$Q6021*INDEX(DarlErsatzZins,13))</f>
      </c>
      <c r="Q6022" s="43">
        <f>IF($I6022=0,0,$Q6021+$P6022+$O6022)</f>
      </c>
      <c r="R6022" s="43">
        <f>IF($I6022=0,0,$J6022-$M6022-$N6022)</f>
      </c>
    </row>
    <row r="6023">
      <c r="A6023"/>
      <c r="B6023">
        <v>13</v>
      </c>
      <c r="C6023" s="43">
        <f>INDEX(DarlObj,13)</f>
      </c>
      <c r="D6023">
        <v>260</v>
      </c>
      <c r="E6023" s="51">
        <f>IF(INDEX(DarlBelegt,13)=0,0,EOMONTH(INDEX(DarlAuszahlung,13),259)+1)</f>
      </c>
      <c r="F6023" s="43">
        <f>IF($E6023=0,0,YEAR($E6023))</f>
      </c>
      <c r="G6023" s="43">
        <f>IF(INDEX(DarlBindung,13)="",1,IF($E6023&lt;=INDEX(DarlBindung,13),1,0))</f>
      </c>
      <c r="H6023" s="43">
        <f>IF($G6023=1,INDEX(DarlSollzins,13),INDEX(DarlAnschluss,13))</f>
      </c>
      <c r="I6023" s="43">
        <f>IF(INDEX(DarlBelegt,13)=0,0,IF(INDEX(DarlOhneTilgung,13)=1,IF(INDEX(DarlBindung,13)="",1,$G6023),IF($J6023&gt;0.005,1,0)))</f>
      </c>
      <c r="J6023" s="43">
        <f>IF($I6022=0,0,$R6022)</f>
      </c>
      <c r="K6023" s="43">
        <f>IF($I6023=0,0,IF(INDEX(DarlOhneTilgung,13)=1,0,IF(AND(INDEX(DarlTilgStart,13)&gt;0,$E6023=INDEX(DarlTilgStart,13)),$J6023*($H6023+INDEX(DarlTilgung,13))/100/12,IF(AND($G6023=0,$G6022=1),MAX($K6022,$J6023*($H6023+1)/100/12),$K6022))))</f>
      </c>
      <c r="L6023" s="43">
        <f>IF($I6023=0,0,$J6023*$H6023/100/12)</f>
      </c>
      <c r="M6023" s="43">
        <f>IF($I6023=0,0,IF(OR(INDEX(DarlOhneTilgung,13)=1,AND(INDEX(DarlTilgStart,13)&gt;0,$E6023&lt;INDEX(DarlTilgStart,13))),0,MIN(MAX(0,$K6023-$L6023),$J6023)))</f>
      </c>
      <c r="N6023" s="43">
        <f>IF($I6023=0,0,MIN(SUMIFS(SondBetrag,SondDarl,13,SondDatum,"&gt;="&amp;$E6023,SondDatum,"&lt;="&amp;EOMONTH($E6023,0)),$J6023-$M6023))</f>
      </c>
      <c r="O6023" s="43">
        <f>IF($I6023=0,0,INDEX(DarlErsatzRate,13))</f>
      </c>
      <c r="P6023" s="43">
        <f>IF($I6023=0,0,$Q6022*INDEX(DarlErsatzZins,13))</f>
      </c>
      <c r="Q6023" s="43">
        <f>IF($I6023=0,0,$Q6022+$P6023+$O6023)</f>
      </c>
      <c r="R6023" s="43">
        <f>IF($I6023=0,0,$J6023-$M6023-$N6023)</f>
      </c>
    </row>
    <row r="6024">
      <c r="A6024"/>
      <c r="B6024">
        <v>13</v>
      </c>
      <c r="C6024" s="43">
        <f>INDEX(DarlObj,13)</f>
      </c>
      <c r="D6024">
        <v>261</v>
      </c>
      <c r="E6024" s="51">
        <f>IF(INDEX(DarlBelegt,13)=0,0,EOMONTH(INDEX(DarlAuszahlung,13),260)+1)</f>
      </c>
      <c r="F6024" s="43">
        <f>IF($E6024=0,0,YEAR($E6024))</f>
      </c>
      <c r="G6024" s="43">
        <f>IF(INDEX(DarlBindung,13)="",1,IF($E6024&lt;=INDEX(DarlBindung,13),1,0))</f>
      </c>
      <c r="H6024" s="43">
        <f>IF($G6024=1,INDEX(DarlSollzins,13),INDEX(DarlAnschluss,13))</f>
      </c>
      <c r="I6024" s="43">
        <f>IF(INDEX(DarlBelegt,13)=0,0,IF(INDEX(DarlOhneTilgung,13)=1,IF(INDEX(DarlBindung,13)="",1,$G6024),IF($J6024&gt;0.005,1,0)))</f>
      </c>
      <c r="J6024" s="43">
        <f>IF($I6023=0,0,$R6023)</f>
      </c>
      <c r="K6024" s="43">
        <f>IF($I6024=0,0,IF(INDEX(DarlOhneTilgung,13)=1,0,IF(AND(INDEX(DarlTilgStart,13)&gt;0,$E6024=INDEX(DarlTilgStart,13)),$J6024*($H6024+INDEX(DarlTilgung,13))/100/12,IF(AND($G6024=0,$G6023=1),MAX($K6023,$J6024*($H6024+1)/100/12),$K6023))))</f>
      </c>
      <c r="L6024" s="43">
        <f>IF($I6024=0,0,$J6024*$H6024/100/12)</f>
      </c>
      <c r="M6024" s="43">
        <f>IF($I6024=0,0,IF(OR(INDEX(DarlOhneTilgung,13)=1,AND(INDEX(DarlTilgStart,13)&gt;0,$E6024&lt;INDEX(DarlTilgStart,13))),0,MIN(MAX(0,$K6024-$L6024),$J6024)))</f>
      </c>
      <c r="N6024" s="43">
        <f>IF($I6024=0,0,MIN(SUMIFS(SondBetrag,SondDarl,13,SondDatum,"&gt;="&amp;$E6024,SondDatum,"&lt;="&amp;EOMONTH($E6024,0)),$J6024-$M6024))</f>
      </c>
      <c r="O6024" s="43">
        <f>IF($I6024=0,0,INDEX(DarlErsatzRate,13))</f>
      </c>
      <c r="P6024" s="43">
        <f>IF($I6024=0,0,$Q6023*INDEX(DarlErsatzZins,13))</f>
      </c>
      <c r="Q6024" s="43">
        <f>IF($I6024=0,0,$Q6023+$P6024+$O6024)</f>
      </c>
      <c r="R6024" s="43">
        <f>IF($I6024=0,0,$J6024-$M6024-$N6024)</f>
      </c>
    </row>
    <row r="6025">
      <c r="A6025"/>
      <c r="B6025">
        <v>13</v>
      </c>
      <c r="C6025" s="43">
        <f>INDEX(DarlObj,13)</f>
      </c>
      <c r="D6025">
        <v>262</v>
      </c>
      <c r="E6025" s="51">
        <f>IF(INDEX(DarlBelegt,13)=0,0,EOMONTH(INDEX(DarlAuszahlung,13),261)+1)</f>
      </c>
      <c r="F6025" s="43">
        <f>IF($E6025=0,0,YEAR($E6025))</f>
      </c>
      <c r="G6025" s="43">
        <f>IF(INDEX(DarlBindung,13)="",1,IF($E6025&lt;=INDEX(DarlBindung,13),1,0))</f>
      </c>
      <c r="H6025" s="43">
        <f>IF($G6025=1,INDEX(DarlSollzins,13),INDEX(DarlAnschluss,13))</f>
      </c>
      <c r="I6025" s="43">
        <f>IF(INDEX(DarlBelegt,13)=0,0,IF(INDEX(DarlOhneTilgung,13)=1,IF(INDEX(DarlBindung,13)="",1,$G6025),IF($J6025&gt;0.005,1,0)))</f>
      </c>
      <c r="J6025" s="43">
        <f>IF($I6024=0,0,$R6024)</f>
      </c>
      <c r="K6025" s="43">
        <f>IF($I6025=0,0,IF(INDEX(DarlOhneTilgung,13)=1,0,IF(AND(INDEX(DarlTilgStart,13)&gt;0,$E6025=INDEX(DarlTilgStart,13)),$J6025*($H6025+INDEX(DarlTilgung,13))/100/12,IF(AND($G6025=0,$G6024=1),MAX($K6024,$J6025*($H6025+1)/100/12),$K6024))))</f>
      </c>
      <c r="L6025" s="43">
        <f>IF($I6025=0,0,$J6025*$H6025/100/12)</f>
      </c>
      <c r="M6025" s="43">
        <f>IF($I6025=0,0,IF(OR(INDEX(DarlOhneTilgung,13)=1,AND(INDEX(DarlTilgStart,13)&gt;0,$E6025&lt;INDEX(DarlTilgStart,13))),0,MIN(MAX(0,$K6025-$L6025),$J6025)))</f>
      </c>
      <c r="N6025" s="43">
        <f>IF($I6025=0,0,MIN(SUMIFS(SondBetrag,SondDarl,13,SondDatum,"&gt;="&amp;$E6025,SondDatum,"&lt;="&amp;EOMONTH($E6025,0)),$J6025-$M6025))</f>
      </c>
      <c r="O6025" s="43">
        <f>IF($I6025=0,0,INDEX(DarlErsatzRate,13))</f>
      </c>
      <c r="P6025" s="43">
        <f>IF($I6025=0,0,$Q6024*INDEX(DarlErsatzZins,13))</f>
      </c>
      <c r="Q6025" s="43">
        <f>IF($I6025=0,0,$Q6024+$P6025+$O6025)</f>
      </c>
      <c r="R6025" s="43">
        <f>IF($I6025=0,0,$J6025-$M6025-$N6025)</f>
      </c>
    </row>
    <row r="6026">
      <c r="A6026"/>
      <c r="B6026">
        <v>13</v>
      </c>
      <c r="C6026" s="43">
        <f>INDEX(DarlObj,13)</f>
      </c>
      <c r="D6026">
        <v>263</v>
      </c>
      <c r="E6026" s="51">
        <f>IF(INDEX(DarlBelegt,13)=0,0,EOMONTH(INDEX(DarlAuszahlung,13),262)+1)</f>
      </c>
      <c r="F6026" s="43">
        <f>IF($E6026=0,0,YEAR($E6026))</f>
      </c>
      <c r="G6026" s="43">
        <f>IF(INDEX(DarlBindung,13)="",1,IF($E6026&lt;=INDEX(DarlBindung,13),1,0))</f>
      </c>
      <c r="H6026" s="43">
        <f>IF($G6026=1,INDEX(DarlSollzins,13),INDEX(DarlAnschluss,13))</f>
      </c>
      <c r="I6026" s="43">
        <f>IF(INDEX(DarlBelegt,13)=0,0,IF(INDEX(DarlOhneTilgung,13)=1,IF(INDEX(DarlBindung,13)="",1,$G6026),IF($J6026&gt;0.005,1,0)))</f>
      </c>
      <c r="J6026" s="43">
        <f>IF($I6025=0,0,$R6025)</f>
      </c>
      <c r="K6026" s="43">
        <f>IF($I6026=0,0,IF(INDEX(DarlOhneTilgung,13)=1,0,IF(AND(INDEX(DarlTilgStart,13)&gt;0,$E6026=INDEX(DarlTilgStart,13)),$J6026*($H6026+INDEX(DarlTilgung,13))/100/12,IF(AND($G6026=0,$G6025=1),MAX($K6025,$J6026*($H6026+1)/100/12),$K6025))))</f>
      </c>
      <c r="L6026" s="43">
        <f>IF($I6026=0,0,$J6026*$H6026/100/12)</f>
      </c>
      <c r="M6026" s="43">
        <f>IF($I6026=0,0,IF(OR(INDEX(DarlOhneTilgung,13)=1,AND(INDEX(DarlTilgStart,13)&gt;0,$E6026&lt;INDEX(DarlTilgStart,13))),0,MIN(MAX(0,$K6026-$L6026),$J6026)))</f>
      </c>
      <c r="N6026" s="43">
        <f>IF($I6026=0,0,MIN(SUMIFS(SondBetrag,SondDarl,13,SondDatum,"&gt;="&amp;$E6026,SondDatum,"&lt;="&amp;EOMONTH($E6026,0)),$J6026-$M6026))</f>
      </c>
      <c r="O6026" s="43">
        <f>IF($I6026=0,0,INDEX(DarlErsatzRate,13))</f>
      </c>
      <c r="P6026" s="43">
        <f>IF($I6026=0,0,$Q6025*INDEX(DarlErsatzZins,13))</f>
      </c>
      <c r="Q6026" s="43">
        <f>IF($I6026=0,0,$Q6025+$P6026+$O6026)</f>
      </c>
      <c r="R6026" s="43">
        <f>IF($I6026=0,0,$J6026-$M6026-$N6026)</f>
      </c>
    </row>
    <row r="6027">
      <c r="A6027"/>
      <c r="B6027">
        <v>13</v>
      </c>
      <c r="C6027" s="43">
        <f>INDEX(DarlObj,13)</f>
      </c>
      <c r="D6027">
        <v>264</v>
      </c>
      <c r="E6027" s="51">
        <f>IF(INDEX(DarlBelegt,13)=0,0,EOMONTH(INDEX(DarlAuszahlung,13),263)+1)</f>
      </c>
      <c r="F6027" s="43">
        <f>IF($E6027=0,0,YEAR($E6027))</f>
      </c>
      <c r="G6027" s="43">
        <f>IF(INDEX(DarlBindung,13)="",1,IF($E6027&lt;=INDEX(DarlBindung,13),1,0))</f>
      </c>
      <c r="H6027" s="43">
        <f>IF($G6027=1,INDEX(DarlSollzins,13),INDEX(DarlAnschluss,13))</f>
      </c>
      <c r="I6027" s="43">
        <f>IF(INDEX(DarlBelegt,13)=0,0,IF(INDEX(DarlOhneTilgung,13)=1,IF(INDEX(DarlBindung,13)="",1,$G6027),IF($J6027&gt;0.005,1,0)))</f>
      </c>
      <c r="J6027" s="43">
        <f>IF($I6026=0,0,$R6026)</f>
      </c>
      <c r="K6027" s="43">
        <f>IF($I6027=0,0,IF(INDEX(DarlOhneTilgung,13)=1,0,IF(AND(INDEX(DarlTilgStart,13)&gt;0,$E6027=INDEX(DarlTilgStart,13)),$J6027*($H6027+INDEX(DarlTilgung,13))/100/12,IF(AND($G6027=0,$G6026=1),MAX($K6026,$J6027*($H6027+1)/100/12),$K6026))))</f>
      </c>
      <c r="L6027" s="43">
        <f>IF($I6027=0,0,$J6027*$H6027/100/12)</f>
      </c>
      <c r="M6027" s="43">
        <f>IF($I6027=0,0,IF(OR(INDEX(DarlOhneTilgung,13)=1,AND(INDEX(DarlTilgStart,13)&gt;0,$E6027&lt;INDEX(DarlTilgStart,13))),0,MIN(MAX(0,$K6027-$L6027),$J6027)))</f>
      </c>
      <c r="N6027" s="43">
        <f>IF($I6027=0,0,MIN(SUMIFS(SondBetrag,SondDarl,13,SondDatum,"&gt;="&amp;$E6027,SondDatum,"&lt;="&amp;EOMONTH($E6027,0)),$J6027-$M6027))</f>
      </c>
      <c r="O6027" s="43">
        <f>IF($I6027=0,0,INDEX(DarlErsatzRate,13))</f>
      </c>
      <c r="P6027" s="43">
        <f>IF($I6027=0,0,$Q6026*INDEX(DarlErsatzZins,13))</f>
      </c>
      <c r="Q6027" s="43">
        <f>IF($I6027=0,0,$Q6026+$P6027+$O6027)</f>
      </c>
      <c r="R6027" s="43">
        <f>IF($I6027=0,0,$J6027-$M6027-$N6027)</f>
      </c>
    </row>
    <row r="6028">
      <c r="A6028"/>
      <c r="B6028">
        <v>13</v>
      </c>
      <c r="C6028" s="43">
        <f>INDEX(DarlObj,13)</f>
      </c>
      <c r="D6028">
        <v>265</v>
      </c>
      <c r="E6028" s="51">
        <f>IF(INDEX(DarlBelegt,13)=0,0,EOMONTH(INDEX(DarlAuszahlung,13),264)+1)</f>
      </c>
      <c r="F6028" s="43">
        <f>IF($E6028=0,0,YEAR($E6028))</f>
      </c>
      <c r="G6028" s="43">
        <f>IF(INDEX(DarlBindung,13)="",1,IF($E6028&lt;=INDEX(DarlBindung,13),1,0))</f>
      </c>
      <c r="H6028" s="43">
        <f>IF($G6028=1,INDEX(DarlSollzins,13),INDEX(DarlAnschluss,13))</f>
      </c>
      <c r="I6028" s="43">
        <f>IF(INDEX(DarlBelegt,13)=0,0,IF(INDEX(DarlOhneTilgung,13)=1,IF(INDEX(DarlBindung,13)="",1,$G6028),IF($J6028&gt;0.005,1,0)))</f>
      </c>
      <c r="J6028" s="43">
        <f>IF($I6027=0,0,$R6027)</f>
      </c>
      <c r="K6028" s="43">
        <f>IF($I6028=0,0,IF(INDEX(DarlOhneTilgung,13)=1,0,IF(AND(INDEX(DarlTilgStart,13)&gt;0,$E6028=INDEX(DarlTilgStart,13)),$J6028*($H6028+INDEX(DarlTilgung,13))/100/12,IF(AND($G6028=0,$G6027=1),MAX($K6027,$J6028*($H6028+1)/100/12),$K6027))))</f>
      </c>
      <c r="L6028" s="43">
        <f>IF($I6028=0,0,$J6028*$H6028/100/12)</f>
      </c>
      <c r="M6028" s="43">
        <f>IF($I6028=0,0,IF(OR(INDEX(DarlOhneTilgung,13)=1,AND(INDEX(DarlTilgStart,13)&gt;0,$E6028&lt;INDEX(DarlTilgStart,13))),0,MIN(MAX(0,$K6028-$L6028),$J6028)))</f>
      </c>
      <c r="N6028" s="43">
        <f>IF($I6028=0,0,MIN(SUMIFS(SondBetrag,SondDarl,13,SondDatum,"&gt;="&amp;$E6028,SondDatum,"&lt;="&amp;EOMONTH($E6028,0)),$J6028-$M6028))</f>
      </c>
      <c r="O6028" s="43">
        <f>IF($I6028=0,0,INDEX(DarlErsatzRate,13))</f>
      </c>
      <c r="P6028" s="43">
        <f>IF($I6028=0,0,$Q6027*INDEX(DarlErsatzZins,13))</f>
      </c>
      <c r="Q6028" s="43">
        <f>IF($I6028=0,0,$Q6027+$P6028+$O6028)</f>
      </c>
      <c r="R6028" s="43">
        <f>IF($I6028=0,0,$J6028-$M6028-$N6028)</f>
      </c>
    </row>
    <row r="6029">
      <c r="A6029"/>
      <c r="B6029">
        <v>13</v>
      </c>
      <c r="C6029" s="43">
        <f>INDEX(DarlObj,13)</f>
      </c>
      <c r="D6029">
        <v>266</v>
      </c>
      <c r="E6029" s="51">
        <f>IF(INDEX(DarlBelegt,13)=0,0,EOMONTH(INDEX(DarlAuszahlung,13),265)+1)</f>
      </c>
      <c r="F6029" s="43">
        <f>IF($E6029=0,0,YEAR($E6029))</f>
      </c>
      <c r="G6029" s="43">
        <f>IF(INDEX(DarlBindung,13)="",1,IF($E6029&lt;=INDEX(DarlBindung,13),1,0))</f>
      </c>
      <c r="H6029" s="43">
        <f>IF($G6029=1,INDEX(DarlSollzins,13),INDEX(DarlAnschluss,13))</f>
      </c>
      <c r="I6029" s="43">
        <f>IF(INDEX(DarlBelegt,13)=0,0,IF(INDEX(DarlOhneTilgung,13)=1,IF(INDEX(DarlBindung,13)="",1,$G6029),IF($J6029&gt;0.005,1,0)))</f>
      </c>
      <c r="J6029" s="43">
        <f>IF($I6028=0,0,$R6028)</f>
      </c>
      <c r="K6029" s="43">
        <f>IF($I6029=0,0,IF(INDEX(DarlOhneTilgung,13)=1,0,IF(AND(INDEX(DarlTilgStart,13)&gt;0,$E6029=INDEX(DarlTilgStart,13)),$J6029*($H6029+INDEX(DarlTilgung,13))/100/12,IF(AND($G6029=0,$G6028=1),MAX($K6028,$J6029*($H6029+1)/100/12),$K6028))))</f>
      </c>
      <c r="L6029" s="43">
        <f>IF($I6029=0,0,$J6029*$H6029/100/12)</f>
      </c>
      <c r="M6029" s="43">
        <f>IF($I6029=0,0,IF(OR(INDEX(DarlOhneTilgung,13)=1,AND(INDEX(DarlTilgStart,13)&gt;0,$E6029&lt;INDEX(DarlTilgStart,13))),0,MIN(MAX(0,$K6029-$L6029),$J6029)))</f>
      </c>
      <c r="N6029" s="43">
        <f>IF($I6029=0,0,MIN(SUMIFS(SondBetrag,SondDarl,13,SondDatum,"&gt;="&amp;$E6029,SondDatum,"&lt;="&amp;EOMONTH($E6029,0)),$J6029-$M6029))</f>
      </c>
      <c r="O6029" s="43">
        <f>IF($I6029=0,0,INDEX(DarlErsatzRate,13))</f>
      </c>
      <c r="P6029" s="43">
        <f>IF($I6029=0,0,$Q6028*INDEX(DarlErsatzZins,13))</f>
      </c>
      <c r="Q6029" s="43">
        <f>IF($I6029=0,0,$Q6028+$P6029+$O6029)</f>
      </c>
      <c r="R6029" s="43">
        <f>IF($I6029=0,0,$J6029-$M6029-$N6029)</f>
      </c>
    </row>
    <row r="6030">
      <c r="A6030"/>
      <c r="B6030">
        <v>13</v>
      </c>
      <c r="C6030" s="43">
        <f>INDEX(DarlObj,13)</f>
      </c>
      <c r="D6030">
        <v>267</v>
      </c>
      <c r="E6030" s="51">
        <f>IF(INDEX(DarlBelegt,13)=0,0,EOMONTH(INDEX(DarlAuszahlung,13),266)+1)</f>
      </c>
      <c r="F6030" s="43">
        <f>IF($E6030=0,0,YEAR($E6030))</f>
      </c>
      <c r="G6030" s="43">
        <f>IF(INDEX(DarlBindung,13)="",1,IF($E6030&lt;=INDEX(DarlBindung,13),1,0))</f>
      </c>
      <c r="H6030" s="43">
        <f>IF($G6030=1,INDEX(DarlSollzins,13),INDEX(DarlAnschluss,13))</f>
      </c>
      <c r="I6030" s="43">
        <f>IF(INDEX(DarlBelegt,13)=0,0,IF(INDEX(DarlOhneTilgung,13)=1,IF(INDEX(DarlBindung,13)="",1,$G6030),IF($J6030&gt;0.005,1,0)))</f>
      </c>
      <c r="J6030" s="43">
        <f>IF($I6029=0,0,$R6029)</f>
      </c>
      <c r="K6030" s="43">
        <f>IF($I6030=0,0,IF(INDEX(DarlOhneTilgung,13)=1,0,IF(AND(INDEX(DarlTilgStart,13)&gt;0,$E6030=INDEX(DarlTilgStart,13)),$J6030*($H6030+INDEX(DarlTilgung,13))/100/12,IF(AND($G6030=0,$G6029=1),MAX($K6029,$J6030*($H6030+1)/100/12),$K6029))))</f>
      </c>
      <c r="L6030" s="43">
        <f>IF($I6030=0,0,$J6030*$H6030/100/12)</f>
      </c>
      <c r="M6030" s="43">
        <f>IF($I6030=0,0,IF(OR(INDEX(DarlOhneTilgung,13)=1,AND(INDEX(DarlTilgStart,13)&gt;0,$E6030&lt;INDEX(DarlTilgStart,13))),0,MIN(MAX(0,$K6030-$L6030),$J6030)))</f>
      </c>
      <c r="N6030" s="43">
        <f>IF($I6030=0,0,MIN(SUMIFS(SondBetrag,SondDarl,13,SondDatum,"&gt;="&amp;$E6030,SondDatum,"&lt;="&amp;EOMONTH($E6030,0)),$J6030-$M6030))</f>
      </c>
      <c r="O6030" s="43">
        <f>IF($I6030=0,0,INDEX(DarlErsatzRate,13))</f>
      </c>
      <c r="P6030" s="43">
        <f>IF($I6030=0,0,$Q6029*INDEX(DarlErsatzZins,13))</f>
      </c>
      <c r="Q6030" s="43">
        <f>IF($I6030=0,0,$Q6029+$P6030+$O6030)</f>
      </c>
      <c r="R6030" s="43">
        <f>IF($I6030=0,0,$J6030-$M6030-$N6030)</f>
      </c>
    </row>
    <row r="6031">
      <c r="A6031"/>
      <c r="B6031">
        <v>13</v>
      </c>
      <c r="C6031" s="43">
        <f>INDEX(DarlObj,13)</f>
      </c>
      <c r="D6031">
        <v>268</v>
      </c>
      <c r="E6031" s="51">
        <f>IF(INDEX(DarlBelegt,13)=0,0,EOMONTH(INDEX(DarlAuszahlung,13),267)+1)</f>
      </c>
      <c r="F6031" s="43">
        <f>IF($E6031=0,0,YEAR($E6031))</f>
      </c>
      <c r="G6031" s="43">
        <f>IF(INDEX(DarlBindung,13)="",1,IF($E6031&lt;=INDEX(DarlBindung,13),1,0))</f>
      </c>
      <c r="H6031" s="43">
        <f>IF($G6031=1,INDEX(DarlSollzins,13),INDEX(DarlAnschluss,13))</f>
      </c>
      <c r="I6031" s="43">
        <f>IF(INDEX(DarlBelegt,13)=0,0,IF(INDEX(DarlOhneTilgung,13)=1,IF(INDEX(DarlBindung,13)="",1,$G6031),IF($J6031&gt;0.005,1,0)))</f>
      </c>
      <c r="J6031" s="43">
        <f>IF($I6030=0,0,$R6030)</f>
      </c>
      <c r="K6031" s="43">
        <f>IF($I6031=0,0,IF(INDEX(DarlOhneTilgung,13)=1,0,IF(AND(INDEX(DarlTilgStart,13)&gt;0,$E6031=INDEX(DarlTilgStart,13)),$J6031*($H6031+INDEX(DarlTilgung,13))/100/12,IF(AND($G6031=0,$G6030=1),MAX($K6030,$J6031*($H6031+1)/100/12),$K6030))))</f>
      </c>
      <c r="L6031" s="43">
        <f>IF($I6031=0,0,$J6031*$H6031/100/12)</f>
      </c>
      <c r="M6031" s="43">
        <f>IF($I6031=0,0,IF(OR(INDEX(DarlOhneTilgung,13)=1,AND(INDEX(DarlTilgStart,13)&gt;0,$E6031&lt;INDEX(DarlTilgStart,13))),0,MIN(MAX(0,$K6031-$L6031),$J6031)))</f>
      </c>
      <c r="N6031" s="43">
        <f>IF($I6031=0,0,MIN(SUMIFS(SondBetrag,SondDarl,13,SondDatum,"&gt;="&amp;$E6031,SondDatum,"&lt;="&amp;EOMONTH($E6031,0)),$J6031-$M6031))</f>
      </c>
      <c r="O6031" s="43">
        <f>IF($I6031=0,0,INDEX(DarlErsatzRate,13))</f>
      </c>
      <c r="P6031" s="43">
        <f>IF($I6031=0,0,$Q6030*INDEX(DarlErsatzZins,13))</f>
      </c>
      <c r="Q6031" s="43">
        <f>IF($I6031=0,0,$Q6030+$P6031+$O6031)</f>
      </c>
      <c r="R6031" s="43">
        <f>IF($I6031=0,0,$J6031-$M6031-$N6031)</f>
      </c>
    </row>
    <row r="6032">
      <c r="A6032"/>
      <c r="B6032">
        <v>13</v>
      </c>
      <c r="C6032" s="43">
        <f>INDEX(DarlObj,13)</f>
      </c>
      <c r="D6032">
        <v>269</v>
      </c>
      <c r="E6032" s="51">
        <f>IF(INDEX(DarlBelegt,13)=0,0,EOMONTH(INDEX(DarlAuszahlung,13),268)+1)</f>
      </c>
      <c r="F6032" s="43">
        <f>IF($E6032=0,0,YEAR($E6032))</f>
      </c>
      <c r="G6032" s="43">
        <f>IF(INDEX(DarlBindung,13)="",1,IF($E6032&lt;=INDEX(DarlBindung,13),1,0))</f>
      </c>
      <c r="H6032" s="43">
        <f>IF($G6032=1,INDEX(DarlSollzins,13),INDEX(DarlAnschluss,13))</f>
      </c>
      <c r="I6032" s="43">
        <f>IF(INDEX(DarlBelegt,13)=0,0,IF(INDEX(DarlOhneTilgung,13)=1,IF(INDEX(DarlBindung,13)="",1,$G6032),IF($J6032&gt;0.005,1,0)))</f>
      </c>
      <c r="J6032" s="43">
        <f>IF($I6031=0,0,$R6031)</f>
      </c>
      <c r="K6032" s="43">
        <f>IF($I6032=0,0,IF(INDEX(DarlOhneTilgung,13)=1,0,IF(AND(INDEX(DarlTilgStart,13)&gt;0,$E6032=INDEX(DarlTilgStart,13)),$J6032*($H6032+INDEX(DarlTilgung,13))/100/12,IF(AND($G6032=0,$G6031=1),MAX($K6031,$J6032*($H6032+1)/100/12),$K6031))))</f>
      </c>
      <c r="L6032" s="43">
        <f>IF($I6032=0,0,$J6032*$H6032/100/12)</f>
      </c>
      <c r="M6032" s="43">
        <f>IF($I6032=0,0,IF(OR(INDEX(DarlOhneTilgung,13)=1,AND(INDEX(DarlTilgStart,13)&gt;0,$E6032&lt;INDEX(DarlTilgStart,13))),0,MIN(MAX(0,$K6032-$L6032),$J6032)))</f>
      </c>
      <c r="N6032" s="43">
        <f>IF($I6032=0,0,MIN(SUMIFS(SondBetrag,SondDarl,13,SondDatum,"&gt;="&amp;$E6032,SondDatum,"&lt;="&amp;EOMONTH($E6032,0)),$J6032-$M6032))</f>
      </c>
      <c r="O6032" s="43">
        <f>IF($I6032=0,0,INDEX(DarlErsatzRate,13))</f>
      </c>
      <c r="P6032" s="43">
        <f>IF($I6032=0,0,$Q6031*INDEX(DarlErsatzZins,13))</f>
      </c>
      <c r="Q6032" s="43">
        <f>IF($I6032=0,0,$Q6031+$P6032+$O6032)</f>
      </c>
      <c r="R6032" s="43">
        <f>IF($I6032=0,0,$J6032-$M6032-$N6032)</f>
      </c>
    </row>
    <row r="6033">
      <c r="A6033"/>
      <c r="B6033">
        <v>13</v>
      </c>
      <c r="C6033" s="43">
        <f>INDEX(DarlObj,13)</f>
      </c>
      <c r="D6033">
        <v>270</v>
      </c>
      <c r="E6033" s="51">
        <f>IF(INDEX(DarlBelegt,13)=0,0,EOMONTH(INDEX(DarlAuszahlung,13),269)+1)</f>
      </c>
      <c r="F6033" s="43">
        <f>IF($E6033=0,0,YEAR($E6033))</f>
      </c>
      <c r="G6033" s="43">
        <f>IF(INDEX(DarlBindung,13)="",1,IF($E6033&lt;=INDEX(DarlBindung,13),1,0))</f>
      </c>
      <c r="H6033" s="43">
        <f>IF($G6033=1,INDEX(DarlSollzins,13),INDEX(DarlAnschluss,13))</f>
      </c>
      <c r="I6033" s="43">
        <f>IF(INDEX(DarlBelegt,13)=0,0,IF(INDEX(DarlOhneTilgung,13)=1,IF(INDEX(DarlBindung,13)="",1,$G6033),IF($J6033&gt;0.005,1,0)))</f>
      </c>
      <c r="J6033" s="43">
        <f>IF($I6032=0,0,$R6032)</f>
      </c>
      <c r="K6033" s="43">
        <f>IF($I6033=0,0,IF(INDEX(DarlOhneTilgung,13)=1,0,IF(AND(INDEX(DarlTilgStart,13)&gt;0,$E6033=INDEX(DarlTilgStart,13)),$J6033*($H6033+INDEX(DarlTilgung,13))/100/12,IF(AND($G6033=0,$G6032=1),MAX($K6032,$J6033*($H6033+1)/100/12),$K6032))))</f>
      </c>
      <c r="L6033" s="43">
        <f>IF($I6033=0,0,$J6033*$H6033/100/12)</f>
      </c>
      <c r="M6033" s="43">
        <f>IF($I6033=0,0,IF(OR(INDEX(DarlOhneTilgung,13)=1,AND(INDEX(DarlTilgStart,13)&gt;0,$E6033&lt;INDEX(DarlTilgStart,13))),0,MIN(MAX(0,$K6033-$L6033),$J6033)))</f>
      </c>
      <c r="N6033" s="43">
        <f>IF($I6033=0,0,MIN(SUMIFS(SondBetrag,SondDarl,13,SondDatum,"&gt;="&amp;$E6033,SondDatum,"&lt;="&amp;EOMONTH($E6033,0)),$J6033-$M6033))</f>
      </c>
      <c r="O6033" s="43">
        <f>IF($I6033=0,0,INDEX(DarlErsatzRate,13))</f>
      </c>
      <c r="P6033" s="43">
        <f>IF($I6033=0,0,$Q6032*INDEX(DarlErsatzZins,13))</f>
      </c>
      <c r="Q6033" s="43">
        <f>IF($I6033=0,0,$Q6032+$P6033+$O6033)</f>
      </c>
      <c r="R6033" s="43">
        <f>IF($I6033=0,0,$J6033-$M6033-$N6033)</f>
      </c>
    </row>
    <row r="6034">
      <c r="A6034"/>
      <c r="B6034">
        <v>13</v>
      </c>
      <c r="C6034" s="43">
        <f>INDEX(DarlObj,13)</f>
      </c>
      <c r="D6034">
        <v>271</v>
      </c>
      <c r="E6034" s="51">
        <f>IF(INDEX(DarlBelegt,13)=0,0,EOMONTH(INDEX(DarlAuszahlung,13),270)+1)</f>
      </c>
      <c r="F6034" s="43">
        <f>IF($E6034=0,0,YEAR($E6034))</f>
      </c>
      <c r="G6034" s="43">
        <f>IF(INDEX(DarlBindung,13)="",1,IF($E6034&lt;=INDEX(DarlBindung,13),1,0))</f>
      </c>
      <c r="H6034" s="43">
        <f>IF($G6034=1,INDEX(DarlSollzins,13),INDEX(DarlAnschluss,13))</f>
      </c>
      <c r="I6034" s="43">
        <f>IF(INDEX(DarlBelegt,13)=0,0,IF(INDEX(DarlOhneTilgung,13)=1,IF(INDEX(DarlBindung,13)="",1,$G6034),IF($J6034&gt;0.005,1,0)))</f>
      </c>
      <c r="J6034" s="43">
        <f>IF($I6033=0,0,$R6033)</f>
      </c>
      <c r="K6034" s="43">
        <f>IF($I6034=0,0,IF(INDEX(DarlOhneTilgung,13)=1,0,IF(AND(INDEX(DarlTilgStart,13)&gt;0,$E6034=INDEX(DarlTilgStart,13)),$J6034*($H6034+INDEX(DarlTilgung,13))/100/12,IF(AND($G6034=0,$G6033=1),MAX($K6033,$J6034*($H6034+1)/100/12),$K6033))))</f>
      </c>
      <c r="L6034" s="43">
        <f>IF($I6034=0,0,$J6034*$H6034/100/12)</f>
      </c>
      <c r="M6034" s="43">
        <f>IF($I6034=0,0,IF(OR(INDEX(DarlOhneTilgung,13)=1,AND(INDEX(DarlTilgStart,13)&gt;0,$E6034&lt;INDEX(DarlTilgStart,13))),0,MIN(MAX(0,$K6034-$L6034),$J6034)))</f>
      </c>
      <c r="N6034" s="43">
        <f>IF($I6034=0,0,MIN(SUMIFS(SondBetrag,SondDarl,13,SondDatum,"&gt;="&amp;$E6034,SondDatum,"&lt;="&amp;EOMONTH($E6034,0)),$J6034-$M6034))</f>
      </c>
      <c r="O6034" s="43">
        <f>IF($I6034=0,0,INDEX(DarlErsatzRate,13))</f>
      </c>
      <c r="P6034" s="43">
        <f>IF($I6034=0,0,$Q6033*INDEX(DarlErsatzZins,13))</f>
      </c>
      <c r="Q6034" s="43">
        <f>IF($I6034=0,0,$Q6033+$P6034+$O6034)</f>
      </c>
      <c r="R6034" s="43">
        <f>IF($I6034=0,0,$J6034-$M6034-$N6034)</f>
      </c>
    </row>
    <row r="6035">
      <c r="A6035"/>
      <c r="B6035">
        <v>13</v>
      </c>
      <c r="C6035" s="43">
        <f>INDEX(DarlObj,13)</f>
      </c>
      <c r="D6035">
        <v>272</v>
      </c>
      <c r="E6035" s="51">
        <f>IF(INDEX(DarlBelegt,13)=0,0,EOMONTH(INDEX(DarlAuszahlung,13),271)+1)</f>
      </c>
      <c r="F6035" s="43">
        <f>IF($E6035=0,0,YEAR($E6035))</f>
      </c>
      <c r="G6035" s="43">
        <f>IF(INDEX(DarlBindung,13)="",1,IF($E6035&lt;=INDEX(DarlBindung,13),1,0))</f>
      </c>
      <c r="H6035" s="43">
        <f>IF($G6035=1,INDEX(DarlSollzins,13),INDEX(DarlAnschluss,13))</f>
      </c>
      <c r="I6035" s="43">
        <f>IF(INDEX(DarlBelegt,13)=0,0,IF(INDEX(DarlOhneTilgung,13)=1,IF(INDEX(DarlBindung,13)="",1,$G6035),IF($J6035&gt;0.005,1,0)))</f>
      </c>
      <c r="J6035" s="43">
        <f>IF($I6034=0,0,$R6034)</f>
      </c>
      <c r="K6035" s="43">
        <f>IF($I6035=0,0,IF(INDEX(DarlOhneTilgung,13)=1,0,IF(AND(INDEX(DarlTilgStart,13)&gt;0,$E6035=INDEX(DarlTilgStart,13)),$J6035*($H6035+INDEX(DarlTilgung,13))/100/12,IF(AND($G6035=0,$G6034=1),MAX($K6034,$J6035*($H6035+1)/100/12),$K6034))))</f>
      </c>
      <c r="L6035" s="43">
        <f>IF($I6035=0,0,$J6035*$H6035/100/12)</f>
      </c>
      <c r="M6035" s="43">
        <f>IF($I6035=0,0,IF(OR(INDEX(DarlOhneTilgung,13)=1,AND(INDEX(DarlTilgStart,13)&gt;0,$E6035&lt;INDEX(DarlTilgStart,13))),0,MIN(MAX(0,$K6035-$L6035),$J6035)))</f>
      </c>
      <c r="N6035" s="43">
        <f>IF($I6035=0,0,MIN(SUMIFS(SondBetrag,SondDarl,13,SondDatum,"&gt;="&amp;$E6035,SondDatum,"&lt;="&amp;EOMONTH($E6035,0)),$J6035-$M6035))</f>
      </c>
      <c r="O6035" s="43">
        <f>IF($I6035=0,0,INDEX(DarlErsatzRate,13))</f>
      </c>
      <c r="P6035" s="43">
        <f>IF($I6035=0,0,$Q6034*INDEX(DarlErsatzZins,13))</f>
      </c>
      <c r="Q6035" s="43">
        <f>IF($I6035=0,0,$Q6034+$P6035+$O6035)</f>
      </c>
      <c r="R6035" s="43">
        <f>IF($I6035=0,0,$J6035-$M6035-$N6035)</f>
      </c>
    </row>
    <row r="6036">
      <c r="A6036"/>
      <c r="B6036">
        <v>13</v>
      </c>
      <c r="C6036" s="43">
        <f>INDEX(DarlObj,13)</f>
      </c>
      <c r="D6036">
        <v>273</v>
      </c>
      <c r="E6036" s="51">
        <f>IF(INDEX(DarlBelegt,13)=0,0,EOMONTH(INDEX(DarlAuszahlung,13),272)+1)</f>
      </c>
      <c r="F6036" s="43">
        <f>IF($E6036=0,0,YEAR($E6036))</f>
      </c>
      <c r="G6036" s="43">
        <f>IF(INDEX(DarlBindung,13)="",1,IF($E6036&lt;=INDEX(DarlBindung,13),1,0))</f>
      </c>
      <c r="H6036" s="43">
        <f>IF($G6036=1,INDEX(DarlSollzins,13),INDEX(DarlAnschluss,13))</f>
      </c>
      <c r="I6036" s="43">
        <f>IF(INDEX(DarlBelegt,13)=0,0,IF(INDEX(DarlOhneTilgung,13)=1,IF(INDEX(DarlBindung,13)="",1,$G6036),IF($J6036&gt;0.005,1,0)))</f>
      </c>
      <c r="J6036" s="43">
        <f>IF($I6035=0,0,$R6035)</f>
      </c>
      <c r="K6036" s="43">
        <f>IF($I6036=0,0,IF(INDEX(DarlOhneTilgung,13)=1,0,IF(AND(INDEX(DarlTilgStart,13)&gt;0,$E6036=INDEX(DarlTilgStart,13)),$J6036*($H6036+INDEX(DarlTilgung,13))/100/12,IF(AND($G6036=0,$G6035=1),MAX($K6035,$J6036*($H6036+1)/100/12),$K6035))))</f>
      </c>
      <c r="L6036" s="43">
        <f>IF($I6036=0,0,$J6036*$H6036/100/12)</f>
      </c>
      <c r="M6036" s="43">
        <f>IF($I6036=0,0,IF(OR(INDEX(DarlOhneTilgung,13)=1,AND(INDEX(DarlTilgStart,13)&gt;0,$E6036&lt;INDEX(DarlTilgStart,13))),0,MIN(MAX(0,$K6036-$L6036),$J6036)))</f>
      </c>
      <c r="N6036" s="43">
        <f>IF($I6036=0,0,MIN(SUMIFS(SondBetrag,SondDarl,13,SondDatum,"&gt;="&amp;$E6036,SondDatum,"&lt;="&amp;EOMONTH($E6036,0)),$J6036-$M6036))</f>
      </c>
      <c r="O6036" s="43">
        <f>IF($I6036=0,0,INDEX(DarlErsatzRate,13))</f>
      </c>
      <c r="P6036" s="43">
        <f>IF($I6036=0,0,$Q6035*INDEX(DarlErsatzZins,13))</f>
      </c>
      <c r="Q6036" s="43">
        <f>IF($I6036=0,0,$Q6035+$P6036+$O6036)</f>
      </c>
      <c r="R6036" s="43">
        <f>IF($I6036=0,0,$J6036-$M6036-$N6036)</f>
      </c>
    </row>
    <row r="6037">
      <c r="A6037"/>
      <c r="B6037">
        <v>13</v>
      </c>
      <c r="C6037" s="43">
        <f>INDEX(DarlObj,13)</f>
      </c>
      <c r="D6037">
        <v>274</v>
      </c>
      <c r="E6037" s="51">
        <f>IF(INDEX(DarlBelegt,13)=0,0,EOMONTH(INDEX(DarlAuszahlung,13),273)+1)</f>
      </c>
      <c r="F6037" s="43">
        <f>IF($E6037=0,0,YEAR($E6037))</f>
      </c>
      <c r="G6037" s="43">
        <f>IF(INDEX(DarlBindung,13)="",1,IF($E6037&lt;=INDEX(DarlBindung,13),1,0))</f>
      </c>
      <c r="H6037" s="43">
        <f>IF($G6037=1,INDEX(DarlSollzins,13),INDEX(DarlAnschluss,13))</f>
      </c>
      <c r="I6037" s="43">
        <f>IF(INDEX(DarlBelegt,13)=0,0,IF(INDEX(DarlOhneTilgung,13)=1,IF(INDEX(DarlBindung,13)="",1,$G6037),IF($J6037&gt;0.005,1,0)))</f>
      </c>
      <c r="J6037" s="43">
        <f>IF($I6036=0,0,$R6036)</f>
      </c>
      <c r="K6037" s="43">
        <f>IF($I6037=0,0,IF(INDEX(DarlOhneTilgung,13)=1,0,IF(AND(INDEX(DarlTilgStart,13)&gt;0,$E6037=INDEX(DarlTilgStart,13)),$J6037*($H6037+INDEX(DarlTilgung,13))/100/12,IF(AND($G6037=0,$G6036=1),MAX($K6036,$J6037*($H6037+1)/100/12),$K6036))))</f>
      </c>
      <c r="L6037" s="43">
        <f>IF($I6037=0,0,$J6037*$H6037/100/12)</f>
      </c>
      <c r="M6037" s="43">
        <f>IF($I6037=0,0,IF(OR(INDEX(DarlOhneTilgung,13)=1,AND(INDEX(DarlTilgStart,13)&gt;0,$E6037&lt;INDEX(DarlTilgStart,13))),0,MIN(MAX(0,$K6037-$L6037),$J6037)))</f>
      </c>
      <c r="N6037" s="43">
        <f>IF($I6037=0,0,MIN(SUMIFS(SondBetrag,SondDarl,13,SondDatum,"&gt;="&amp;$E6037,SondDatum,"&lt;="&amp;EOMONTH($E6037,0)),$J6037-$M6037))</f>
      </c>
      <c r="O6037" s="43">
        <f>IF($I6037=0,0,INDEX(DarlErsatzRate,13))</f>
      </c>
      <c r="P6037" s="43">
        <f>IF($I6037=0,0,$Q6036*INDEX(DarlErsatzZins,13))</f>
      </c>
      <c r="Q6037" s="43">
        <f>IF($I6037=0,0,$Q6036+$P6037+$O6037)</f>
      </c>
      <c r="R6037" s="43">
        <f>IF($I6037=0,0,$J6037-$M6037-$N6037)</f>
      </c>
    </row>
    <row r="6038">
      <c r="A6038"/>
      <c r="B6038">
        <v>13</v>
      </c>
      <c r="C6038" s="43">
        <f>INDEX(DarlObj,13)</f>
      </c>
      <c r="D6038">
        <v>275</v>
      </c>
      <c r="E6038" s="51">
        <f>IF(INDEX(DarlBelegt,13)=0,0,EOMONTH(INDEX(DarlAuszahlung,13),274)+1)</f>
      </c>
      <c r="F6038" s="43">
        <f>IF($E6038=0,0,YEAR($E6038))</f>
      </c>
      <c r="G6038" s="43">
        <f>IF(INDEX(DarlBindung,13)="",1,IF($E6038&lt;=INDEX(DarlBindung,13),1,0))</f>
      </c>
      <c r="H6038" s="43">
        <f>IF($G6038=1,INDEX(DarlSollzins,13),INDEX(DarlAnschluss,13))</f>
      </c>
      <c r="I6038" s="43">
        <f>IF(INDEX(DarlBelegt,13)=0,0,IF(INDEX(DarlOhneTilgung,13)=1,IF(INDEX(DarlBindung,13)="",1,$G6038),IF($J6038&gt;0.005,1,0)))</f>
      </c>
      <c r="J6038" s="43">
        <f>IF($I6037=0,0,$R6037)</f>
      </c>
      <c r="K6038" s="43">
        <f>IF($I6038=0,0,IF(INDEX(DarlOhneTilgung,13)=1,0,IF(AND(INDEX(DarlTilgStart,13)&gt;0,$E6038=INDEX(DarlTilgStart,13)),$J6038*($H6038+INDEX(DarlTilgung,13))/100/12,IF(AND($G6038=0,$G6037=1),MAX($K6037,$J6038*($H6038+1)/100/12),$K6037))))</f>
      </c>
      <c r="L6038" s="43">
        <f>IF($I6038=0,0,$J6038*$H6038/100/12)</f>
      </c>
      <c r="M6038" s="43">
        <f>IF($I6038=0,0,IF(OR(INDEX(DarlOhneTilgung,13)=1,AND(INDEX(DarlTilgStart,13)&gt;0,$E6038&lt;INDEX(DarlTilgStart,13))),0,MIN(MAX(0,$K6038-$L6038),$J6038)))</f>
      </c>
      <c r="N6038" s="43">
        <f>IF($I6038=0,0,MIN(SUMIFS(SondBetrag,SondDarl,13,SondDatum,"&gt;="&amp;$E6038,SondDatum,"&lt;="&amp;EOMONTH($E6038,0)),$J6038-$M6038))</f>
      </c>
      <c r="O6038" s="43">
        <f>IF($I6038=0,0,INDEX(DarlErsatzRate,13))</f>
      </c>
      <c r="P6038" s="43">
        <f>IF($I6038=0,0,$Q6037*INDEX(DarlErsatzZins,13))</f>
      </c>
      <c r="Q6038" s="43">
        <f>IF($I6038=0,0,$Q6037+$P6038+$O6038)</f>
      </c>
      <c r="R6038" s="43">
        <f>IF($I6038=0,0,$J6038-$M6038-$N6038)</f>
      </c>
    </row>
    <row r="6039">
      <c r="A6039"/>
      <c r="B6039">
        <v>13</v>
      </c>
      <c r="C6039" s="43">
        <f>INDEX(DarlObj,13)</f>
      </c>
      <c r="D6039">
        <v>276</v>
      </c>
      <c r="E6039" s="51">
        <f>IF(INDEX(DarlBelegt,13)=0,0,EOMONTH(INDEX(DarlAuszahlung,13),275)+1)</f>
      </c>
      <c r="F6039" s="43">
        <f>IF($E6039=0,0,YEAR($E6039))</f>
      </c>
      <c r="G6039" s="43">
        <f>IF(INDEX(DarlBindung,13)="",1,IF($E6039&lt;=INDEX(DarlBindung,13),1,0))</f>
      </c>
      <c r="H6039" s="43">
        <f>IF($G6039=1,INDEX(DarlSollzins,13),INDEX(DarlAnschluss,13))</f>
      </c>
      <c r="I6039" s="43">
        <f>IF(INDEX(DarlBelegt,13)=0,0,IF(INDEX(DarlOhneTilgung,13)=1,IF(INDEX(DarlBindung,13)="",1,$G6039),IF($J6039&gt;0.005,1,0)))</f>
      </c>
      <c r="J6039" s="43">
        <f>IF($I6038=0,0,$R6038)</f>
      </c>
      <c r="K6039" s="43">
        <f>IF($I6039=0,0,IF(INDEX(DarlOhneTilgung,13)=1,0,IF(AND(INDEX(DarlTilgStart,13)&gt;0,$E6039=INDEX(DarlTilgStart,13)),$J6039*($H6039+INDEX(DarlTilgung,13))/100/12,IF(AND($G6039=0,$G6038=1),MAX($K6038,$J6039*($H6039+1)/100/12),$K6038))))</f>
      </c>
      <c r="L6039" s="43">
        <f>IF($I6039=0,0,$J6039*$H6039/100/12)</f>
      </c>
      <c r="M6039" s="43">
        <f>IF($I6039=0,0,IF(OR(INDEX(DarlOhneTilgung,13)=1,AND(INDEX(DarlTilgStart,13)&gt;0,$E6039&lt;INDEX(DarlTilgStart,13))),0,MIN(MAX(0,$K6039-$L6039),$J6039)))</f>
      </c>
      <c r="N6039" s="43">
        <f>IF($I6039=0,0,MIN(SUMIFS(SondBetrag,SondDarl,13,SondDatum,"&gt;="&amp;$E6039,SondDatum,"&lt;="&amp;EOMONTH($E6039,0)),$J6039-$M6039))</f>
      </c>
      <c r="O6039" s="43">
        <f>IF($I6039=0,0,INDEX(DarlErsatzRate,13))</f>
      </c>
      <c r="P6039" s="43">
        <f>IF($I6039=0,0,$Q6038*INDEX(DarlErsatzZins,13))</f>
      </c>
      <c r="Q6039" s="43">
        <f>IF($I6039=0,0,$Q6038+$P6039+$O6039)</f>
      </c>
      <c r="R6039" s="43">
        <f>IF($I6039=0,0,$J6039-$M6039-$N6039)</f>
      </c>
    </row>
    <row r="6040">
      <c r="A6040"/>
      <c r="B6040">
        <v>13</v>
      </c>
      <c r="C6040" s="43">
        <f>INDEX(DarlObj,13)</f>
      </c>
      <c r="D6040">
        <v>277</v>
      </c>
      <c r="E6040" s="51">
        <f>IF(INDEX(DarlBelegt,13)=0,0,EOMONTH(INDEX(DarlAuszahlung,13),276)+1)</f>
      </c>
      <c r="F6040" s="43">
        <f>IF($E6040=0,0,YEAR($E6040))</f>
      </c>
      <c r="G6040" s="43">
        <f>IF(INDEX(DarlBindung,13)="",1,IF($E6040&lt;=INDEX(DarlBindung,13),1,0))</f>
      </c>
      <c r="H6040" s="43">
        <f>IF($G6040=1,INDEX(DarlSollzins,13),INDEX(DarlAnschluss,13))</f>
      </c>
      <c r="I6040" s="43">
        <f>IF(INDEX(DarlBelegt,13)=0,0,IF(INDEX(DarlOhneTilgung,13)=1,IF(INDEX(DarlBindung,13)="",1,$G6040),IF($J6040&gt;0.005,1,0)))</f>
      </c>
      <c r="J6040" s="43">
        <f>IF($I6039=0,0,$R6039)</f>
      </c>
      <c r="K6040" s="43">
        <f>IF($I6040=0,0,IF(INDEX(DarlOhneTilgung,13)=1,0,IF(AND(INDEX(DarlTilgStart,13)&gt;0,$E6040=INDEX(DarlTilgStart,13)),$J6040*($H6040+INDEX(DarlTilgung,13))/100/12,IF(AND($G6040=0,$G6039=1),MAX($K6039,$J6040*($H6040+1)/100/12),$K6039))))</f>
      </c>
      <c r="L6040" s="43">
        <f>IF($I6040=0,0,$J6040*$H6040/100/12)</f>
      </c>
      <c r="M6040" s="43">
        <f>IF($I6040=0,0,IF(OR(INDEX(DarlOhneTilgung,13)=1,AND(INDEX(DarlTilgStart,13)&gt;0,$E6040&lt;INDEX(DarlTilgStart,13))),0,MIN(MAX(0,$K6040-$L6040),$J6040)))</f>
      </c>
      <c r="N6040" s="43">
        <f>IF($I6040=0,0,MIN(SUMIFS(SondBetrag,SondDarl,13,SondDatum,"&gt;="&amp;$E6040,SondDatum,"&lt;="&amp;EOMONTH($E6040,0)),$J6040-$M6040))</f>
      </c>
      <c r="O6040" s="43">
        <f>IF($I6040=0,0,INDEX(DarlErsatzRate,13))</f>
      </c>
      <c r="P6040" s="43">
        <f>IF($I6040=0,0,$Q6039*INDEX(DarlErsatzZins,13))</f>
      </c>
      <c r="Q6040" s="43">
        <f>IF($I6040=0,0,$Q6039+$P6040+$O6040)</f>
      </c>
      <c r="R6040" s="43">
        <f>IF($I6040=0,0,$J6040-$M6040-$N6040)</f>
      </c>
    </row>
    <row r="6041">
      <c r="A6041"/>
      <c r="B6041">
        <v>13</v>
      </c>
      <c r="C6041" s="43">
        <f>INDEX(DarlObj,13)</f>
      </c>
      <c r="D6041">
        <v>278</v>
      </c>
      <c r="E6041" s="51">
        <f>IF(INDEX(DarlBelegt,13)=0,0,EOMONTH(INDEX(DarlAuszahlung,13),277)+1)</f>
      </c>
      <c r="F6041" s="43">
        <f>IF($E6041=0,0,YEAR($E6041))</f>
      </c>
      <c r="G6041" s="43">
        <f>IF(INDEX(DarlBindung,13)="",1,IF($E6041&lt;=INDEX(DarlBindung,13),1,0))</f>
      </c>
      <c r="H6041" s="43">
        <f>IF($G6041=1,INDEX(DarlSollzins,13),INDEX(DarlAnschluss,13))</f>
      </c>
      <c r="I6041" s="43">
        <f>IF(INDEX(DarlBelegt,13)=0,0,IF(INDEX(DarlOhneTilgung,13)=1,IF(INDEX(DarlBindung,13)="",1,$G6041),IF($J6041&gt;0.005,1,0)))</f>
      </c>
      <c r="J6041" s="43">
        <f>IF($I6040=0,0,$R6040)</f>
      </c>
      <c r="K6041" s="43">
        <f>IF($I6041=0,0,IF(INDEX(DarlOhneTilgung,13)=1,0,IF(AND(INDEX(DarlTilgStart,13)&gt;0,$E6041=INDEX(DarlTilgStart,13)),$J6041*($H6041+INDEX(DarlTilgung,13))/100/12,IF(AND($G6041=0,$G6040=1),MAX($K6040,$J6041*($H6041+1)/100/12),$K6040))))</f>
      </c>
      <c r="L6041" s="43">
        <f>IF($I6041=0,0,$J6041*$H6041/100/12)</f>
      </c>
      <c r="M6041" s="43">
        <f>IF($I6041=0,0,IF(OR(INDEX(DarlOhneTilgung,13)=1,AND(INDEX(DarlTilgStart,13)&gt;0,$E6041&lt;INDEX(DarlTilgStart,13))),0,MIN(MAX(0,$K6041-$L6041),$J6041)))</f>
      </c>
      <c r="N6041" s="43">
        <f>IF($I6041=0,0,MIN(SUMIFS(SondBetrag,SondDarl,13,SondDatum,"&gt;="&amp;$E6041,SondDatum,"&lt;="&amp;EOMONTH($E6041,0)),$J6041-$M6041))</f>
      </c>
      <c r="O6041" s="43">
        <f>IF($I6041=0,0,INDEX(DarlErsatzRate,13))</f>
      </c>
      <c r="P6041" s="43">
        <f>IF($I6041=0,0,$Q6040*INDEX(DarlErsatzZins,13))</f>
      </c>
      <c r="Q6041" s="43">
        <f>IF($I6041=0,0,$Q6040+$P6041+$O6041)</f>
      </c>
      <c r="R6041" s="43">
        <f>IF($I6041=0,0,$J6041-$M6041-$N6041)</f>
      </c>
    </row>
    <row r="6042">
      <c r="A6042"/>
      <c r="B6042">
        <v>13</v>
      </c>
      <c r="C6042" s="43">
        <f>INDEX(DarlObj,13)</f>
      </c>
      <c r="D6042">
        <v>279</v>
      </c>
      <c r="E6042" s="51">
        <f>IF(INDEX(DarlBelegt,13)=0,0,EOMONTH(INDEX(DarlAuszahlung,13),278)+1)</f>
      </c>
      <c r="F6042" s="43">
        <f>IF($E6042=0,0,YEAR($E6042))</f>
      </c>
      <c r="G6042" s="43">
        <f>IF(INDEX(DarlBindung,13)="",1,IF($E6042&lt;=INDEX(DarlBindung,13),1,0))</f>
      </c>
      <c r="H6042" s="43">
        <f>IF($G6042=1,INDEX(DarlSollzins,13),INDEX(DarlAnschluss,13))</f>
      </c>
      <c r="I6042" s="43">
        <f>IF(INDEX(DarlBelegt,13)=0,0,IF(INDEX(DarlOhneTilgung,13)=1,IF(INDEX(DarlBindung,13)="",1,$G6042),IF($J6042&gt;0.005,1,0)))</f>
      </c>
      <c r="J6042" s="43">
        <f>IF($I6041=0,0,$R6041)</f>
      </c>
      <c r="K6042" s="43">
        <f>IF($I6042=0,0,IF(INDEX(DarlOhneTilgung,13)=1,0,IF(AND(INDEX(DarlTilgStart,13)&gt;0,$E6042=INDEX(DarlTilgStart,13)),$J6042*($H6042+INDEX(DarlTilgung,13))/100/12,IF(AND($G6042=0,$G6041=1),MAX($K6041,$J6042*($H6042+1)/100/12),$K6041))))</f>
      </c>
      <c r="L6042" s="43">
        <f>IF($I6042=0,0,$J6042*$H6042/100/12)</f>
      </c>
      <c r="M6042" s="43">
        <f>IF($I6042=0,0,IF(OR(INDEX(DarlOhneTilgung,13)=1,AND(INDEX(DarlTilgStart,13)&gt;0,$E6042&lt;INDEX(DarlTilgStart,13))),0,MIN(MAX(0,$K6042-$L6042),$J6042)))</f>
      </c>
      <c r="N6042" s="43">
        <f>IF($I6042=0,0,MIN(SUMIFS(SondBetrag,SondDarl,13,SondDatum,"&gt;="&amp;$E6042,SondDatum,"&lt;="&amp;EOMONTH($E6042,0)),$J6042-$M6042))</f>
      </c>
      <c r="O6042" s="43">
        <f>IF($I6042=0,0,INDEX(DarlErsatzRate,13))</f>
      </c>
      <c r="P6042" s="43">
        <f>IF($I6042=0,0,$Q6041*INDEX(DarlErsatzZins,13))</f>
      </c>
      <c r="Q6042" s="43">
        <f>IF($I6042=0,0,$Q6041+$P6042+$O6042)</f>
      </c>
      <c r="R6042" s="43">
        <f>IF($I6042=0,0,$J6042-$M6042-$N6042)</f>
      </c>
    </row>
    <row r="6043">
      <c r="A6043"/>
      <c r="B6043">
        <v>13</v>
      </c>
      <c r="C6043" s="43">
        <f>INDEX(DarlObj,13)</f>
      </c>
      <c r="D6043">
        <v>280</v>
      </c>
      <c r="E6043" s="51">
        <f>IF(INDEX(DarlBelegt,13)=0,0,EOMONTH(INDEX(DarlAuszahlung,13),279)+1)</f>
      </c>
      <c r="F6043" s="43">
        <f>IF($E6043=0,0,YEAR($E6043))</f>
      </c>
      <c r="G6043" s="43">
        <f>IF(INDEX(DarlBindung,13)="",1,IF($E6043&lt;=INDEX(DarlBindung,13),1,0))</f>
      </c>
      <c r="H6043" s="43">
        <f>IF($G6043=1,INDEX(DarlSollzins,13),INDEX(DarlAnschluss,13))</f>
      </c>
      <c r="I6043" s="43">
        <f>IF(INDEX(DarlBelegt,13)=0,0,IF(INDEX(DarlOhneTilgung,13)=1,IF(INDEX(DarlBindung,13)="",1,$G6043),IF($J6043&gt;0.005,1,0)))</f>
      </c>
      <c r="J6043" s="43">
        <f>IF($I6042=0,0,$R6042)</f>
      </c>
      <c r="K6043" s="43">
        <f>IF($I6043=0,0,IF(INDEX(DarlOhneTilgung,13)=1,0,IF(AND(INDEX(DarlTilgStart,13)&gt;0,$E6043=INDEX(DarlTilgStart,13)),$J6043*($H6043+INDEX(DarlTilgung,13))/100/12,IF(AND($G6043=0,$G6042=1),MAX($K6042,$J6043*($H6043+1)/100/12),$K6042))))</f>
      </c>
      <c r="L6043" s="43">
        <f>IF($I6043=0,0,$J6043*$H6043/100/12)</f>
      </c>
      <c r="M6043" s="43">
        <f>IF($I6043=0,0,IF(OR(INDEX(DarlOhneTilgung,13)=1,AND(INDEX(DarlTilgStart,13)&gt;0,$E6043&lt;INDEX(DarlTilgStart,13))),0,MIN(MAX(0,$K6043-$L6043),$J6043)))</f>
      </c>
      <c r="N6043" s="43">
        <f>IF($I6043=0,0,MIN(SUMIFS(SondBetrag,SondDarl,13,SondDatum,"&gt;="&amp;$E6043,SondDatum,"&lt;="&amp;EOMONTH($E6043,0)),$J6043-$M6043))</f>
      </c>
      <c r="O6043" s="43">
        <f>IF($I6043=0,0,INDEX(DarlErsatzRate,13))</f>
      </c>
      <c r="P6043" s="43">
        <f>IF($I6043=0,0,$Q6042*INDEX(DarlErsatzZins,13))</f>
      </c>
      <c r="Q6043" s="43">
        <f>IF($I6043=0,0,$Q6042+$P6043+$O6043)</f>
      </c>
      <c r="R6043" s="43">
        <f>IF($I6043=0,0,$J6043-$M6043-$N6043)</f>
      </c>
    </row>
    <row r="6044">
      <c r="A6044"/>
      <c r="B6044">
        <v>13</v>
      </c>
      <c r="C6044" s="43">
        <f>INDEX(DarlObj,13)</f>
      </c>
      <c r="D6044">
        <v>281</v>
      </c>
      <c r="E6044" s="51">
        <f>IF(INDEX(DarlBelegt,13)=0,0,EOMONTH(INDEX(DarlAuszahlung,13),280)+1)</f>
      </c>
      <c r="F6044" s="43">
        <f>IF($E6044=0,0,YEAR($E6044))</f>
      </c>
      <c r="G6044" s="43">
        <f>IF(INDEX(DarlBindung,13)="",1,IF($E6044&lt;=INDEX(DarlBindung,13),1,0))</f>
      </c>
      <c r="H6044" s="43">
        <f>IF($G6044=1,INDEX(DarlSollzins,13),INDEX(DarlAnschluss,13))</f>
      </c>
      <c r="I6044" s="43">
        <f>IF(INDEX(DarlBelegt,13)=0,0,IF(INDEX(DarlOhneTilgung,13)=1,IF(INDEX(DarlBindung,13)="",1,$G6044),IF($J6044&gt;0.005,1,0)))</f>
      </c>
      <c r="J6044" s="43">
        <f>IF($I6043=0,0,$R6043)</f>
      </c>
      <c r="K6044" s="43">
        <f>IF($I6044=0,0,IF(INDEX(DarlOhneTilgung,13)=1,0,IF(AND(INDEX(DarlTilgStart,13)&gt;0,$E6044=INDEX(DarlTilgStart,13)),$J6044*($H6044+INDEX(DarlTilgung,13))/100/12,IF(AND($G6044=0,$G6043=1),MAX($K6043,$J6044*($H6044+1)/100/12),$K6043))))</f>
      </c>
      <c r="L6044" s="43">
        <f>IF($I6044=0,0,$J6044*$H6044/100/12)</f>
      </c>
      <c r="M6044" s="43">
        <f>IF($I6044=0,0,IF(OR(INDEX(DarlOhneTilgung,13)=1,AND(INDEX(DarlTilgStart,13)&gt;0,$E6044&lt;INDEX(DarlTilgStart,13))),0,MIN(MAX(0,$K6044-$L6044),$J6044)))</f>
      </c>
      <c r="N6044" s="43">
        <f>IF($I6044=0,0,MIN(SUMIFS(SondBetrag,SondDarl,13,SondDatum,"&gt;="&amp;$E6044,SondDatum,"&lt;="&amp;EOMONTH($E6044,0)),$J6044-$M6044))</f>
      </c>
      <c r="O6044" s="43">
        <f>IF($I6044=0,0,INDEX(DarlErsatzRate,13))</f>
      </c>
      <c r="P6044" s="43">
        <f>IF($I6044=0,0,$Q6043*INDEX(DarlErsatzZins,13))</f>
      </c>
      <c r="Q6044" s="43">
        <f>IF($I6044=0,0,$Q6043+$P6044+$O6044)</f>
      </c>
      <c r="R6044" s="43">
        <f>IF($I6044=0,0,$J6044-$M6044-$N6044)</f>
      </c>
    </row>
    <row r="6045">
      <c r="A6045"/>
      <c r="B6045">
        <v>13</v>
      </c>
      <c r="C6045" s="43">
        <f>INDEX(DarlObj,13)</f>
      </c>
      <c r="D6045">
        <v>282</v>
      </c>
      <c r="E6045" s="51">
        <f>IF(INDEX(DarlBelegt,13)=0,0,EOMONTH(INDEX(DarlAuszahlung,13),281)+1)</f>
      </c>
      <c r="F6045" s="43">
        <f>IF($E6045=0,0,YEAR($E6045))</f>
      </c>
      <c r="G6045" s="43">
        <f>IF(INDEX(DarlBindung,13)="",1,IF($E6045&lt;=INDEX(DarlBindung,13),1,0))</f>
      </c>
      <c r="H6045" s="43">
        <f>IF($G6045=1,INDEX(DarlSollzins,13),INDEX(DarlAnschluss,13))</f>
      </c>
      <c r="I6045" s="43">
        <f>IF(INDEX(DarlBelegt,13)=0,0,IF(INDEX(DarlOhneTilgung,13)=1,IF(INDEX(DarlBindung,13)="",1,$G6045),IF($J6045&gt;0.005,1,0)))</f>
      </c>
      <c r="J6045" s="43">
        <f>IF($I6044=0,0,$R6044)</f>
      </c>
      <c r="K6045" s="43">
        <f>IF($I6045=0,0,IF(INDEX(DarlOhneTilgung,13)=1,0,IF(AND(INDEX(DarlTilgStart,13)&gt;0,$E6045=INDEX(DarlTilgStart,13)),$J6045*($H6045+INDEX(DarlTilgung,13))/100/12,IF(AND($G6045=0,$G6044=1),MAX($K6044,$J6045*($H6045+1)/100/12),$K6044))))</f>
      </c>
      <c r="L6045" s="43">
        <f>IF($I6045=0,0,$J6045*$H6045/100/12)</f>
      </c>
      <c r="M6045" s="43">
        <f>IF($I6045=0,0,IF(OR(INDEX(DarlOhneTilgung,13)=1,AND(INDEX(DarlTilgStart,13)&gt;0,$E6045&lt;INDEX(DarlTilgStart,13))),0,MIN(MAX(0,$K6045-$L6045),$J6045)))</f>
      </c>
      <c r="N6045" s="43">
        <f>IF($I6045=0,0,MIN(SUMIFS(SondBetrag,SondDarl,13,SondDatum,"&gt;="&amp;$E6045,SondDatum,"&lt;="&amp;EOMONTH($E6045,0)),$J6045-$M6045))</f>
      </c>
      <c r="O6045" s="43">
        <f>IF($I6045=0,0,INDEX(DarlErsatzRate,13))</f>
      </c>
      <c r="P6045" s="43">
        <f>IF($I6045=0,0,$Q6044*INDEX(DarlErsatzZins,13))</f>
      </c>
      <c r="Q6045" s="43">
        <f>IF($I6045=0,0,$Q6044+$P6045+$O6045)</f>
      </c>
      <c r="R6045" s="43">
        <f>IF($I6045=0,0,$J6045-$M6045-$N6045)</f>
      </c>
    </row>
    <row r="6046">
      <c r="A6046"/>
      <c r="B6046">
        <v>13</v>
      </c>
      <c r="C6046" s="43">
        <f>INDEX(DarlObj,13)</f>
      </c>
      <c r="D6046">
        <v>283</v>
      </c>
      <c r="E6046" s="51">
        <f>IF(INDEX(DarlBelegt,13)=0,0,EOMONTH(INDEX(DarlAuszahlung,13),282)+1)</f>
      </c>
      <c r="F6046" s="43">
        <f>IF($E6046=0,0,YEAR($E6046))</f>
      </c>
      <c r="G6046" s="43">
        <f>IF(INDEX(DarlBindung,13)="",1,IF($E6046&lt;=INDEX(DarlBindung,13),1,0))</f>
      </c>
      <c r="H6046" s="43">
        <f>IF($G6046=1,INDEX(DarlSollzins,13),INDEX(DarlAnschluss,13))</f>
      </c>
      <c r="I6046" s="43">
        <f>IF(INDEX(DarlBelegt,13)=0,0,IF(INDEX(DarlOhneTilgung,13)=1,IF(INDEX(DarlBindung,13)="",1,$G6046),IF($J6046&gt;0.005,1,0)))</f>
      </c>
      <c r="J6046" s="43">
        <f>IF($I6045=0,0,$R6045)</f>
      </c>
      <c r="K6046" s="43">
        <f>IF($I6046=0,0,IF(INDEX(DarlOhneTilgung,13)=1,0,IF(AND(INDEX(DarlTilgStart,13)&gt;0,$E6046=INDEX(DarlTilgStart,13)),$J6046*($H6046+INDEX(DarlTilgung,13))/100/12,IF(AND($G6046=0,$G6045=1),MAX($K6045,$J6046*($H6046+1)/100/12),$K6045))))</f>
      </c>
      <c r="L6046" s="43">
        <f>IF($I6046=0,0,$J6046*$H6046/100/12)</f>
      </c>
      <c r="M6046" s="43">
        <f>IF($I6046=0,0,IF(OR(INDEX(DarlOhneTilgung,13)=1,AND(INDEX(DarlTilgStart,13)&gt;0,$E6046&lt;INDEX(DarlTilgStart,13))),0,MIN(MAX(0,$K6046-$L6046),$J6046)))</f>
      </c>
      <c r="N6046" s="43">
        <f>IF($I6046=0,0,MIN(SUMIFS(SondBetrag,SondDarl,13,SondDatum,"&gt;="&amp;$E6046,SondDatum,"&lt;="&amp;EOMONTH($E6046,0)),$J6046-$M6046))</f>
      </c>
      <c r="O6046" s="43">
        <f>IF($I6046=0,0,INDEX(DarlErsatzRate,13))</f>
      </c>
      <c r="P6046" s="43">
        <f>IF($I6046=0,0,$Q6045*INDEX(DarlErsatzZins,13))</f>
      </c>
      <c r="Q6046" s="43">
        <f>IF($I6046=0,0,$Q6045+$P6046+$O6046)</f>
      </c>
      <c r="R6046" s="43">
        <f>IF($I6046=0,0,$J6046-$M6046-$N6046)</f>
      </c>
    </row>
    <row r="6047">
      <c r="A6047"/>
      <c r="B6047">
        <v>13</v>
      </c>
      <c r="C6047" s="43">
        <f>INDEX(DarlObj,13)</f>
      </c>
      <c r="D6047">
        <v>284</v>
      </c>
      <c r="E6047" s="51">
        <f>IF(INDEX(DarlBelegt,13)=0,0,EOMONTH(INDEX(DarlAuszahlung,13),283)+1)</f>
      </c>
      <c r="F6047" s="43">
        <f>IF($E6047=0,0,YEAR($E6047))</f>
      </c>
      <c r="G6047" s="43">
        <f>IF(INDEX(DarlBindung,13)="",1,IF($E6047&lt;=INDEX(DarlBindung,13),1,0))</f>
      </c>
      <c r="H6047" s="43">
        <f>IF($G6047=1,INDEX(DarlSollzins,13),INDEX(DarlAnschluss,13))</f>
      </c>
      <c r="I6047" s="43">
        <f>IF(INDEX(DarlBelegt,13)=0,0,IF(INDEX(DarlOhneTilgung,13)=1,IF(INDEX(DarlBindung,13)="",1,$G6047),IF($J6047&gt;0.005,1,0)))</f>
      </c>
      <c r="J6047" s="43">
        <f>IF($I6046=0,0,$R6046)</f>
      </c>
      <c r="K6047" s="43">
        <f>IF($I6047=0,0,IF(INDEX(DarlOhneTilgung,13)=1,0,IF(AND(INDEX(DarlTilgStart,13)&gt;0,$E6047=INDEX(DarlTilgStart,13)),$J6047*($H6047+INDEX(DarlTilgung,13))/100/12,IF(AND($G6047=0,$G6046=1),MAX($K6046,$J6047*($H6047+1)/100/12),$K6046))))</f>
      </c>
      <c r="L6047" s="43">
        <f>IF($I6047=0,0,$J6047*$H6047/100/12)</f>
      </c>
      <c r="M6047" s="43">
        <f>IF($I6047=0,0,IF(OR(INDEX(DarlOhneTilgung,13)=1,AND(INDEX(DarlTilgStart,13)&gt;0,$E6047&lt;INDEX(DarlTilgStart,13))),0,MIN(MAX(0,$K6047-$L6047),$J6047)))</f>
      </c>
      <c r="N6047" s="43">
        <f>IF($I6047=0,0,MIN(SUMIFS(SondBetrag,SondDarl,13,SondDatum,"&gt;="&amp;$E6047,SondDatum,"&lt;="&amp;EOMONTH($E6047,0)),$J6047-$M6047))</f>
      </c>
      <c r="O6047" s="43">
        <f>IF($I6047=0,0,INDEX(DarlErsatzRate,13))</f>
      </c>
      <c r="P6047" s="43">
        <f>IF($I6047=0,0,$Q6046*INDEX(DarlErsatzZins,13))</f>
      </c>
      <c r="Q6047" s="43">
        <f>IF($I6047=0,0,$Q6046+$P6047+$O6047)</f>
      </c>
      <c r="R6047" s="43">
        <f>IF($I6047=0,0,$J6047-$M6047-$N6047)</f>
      </c>
    </row>
    <row r="6048">
      <c r="A6048"/>
      <c r="B6048">
        <v>13</v>
      </c>
      <c r="C6048" s="43">
        <f>INDEX(DarlObj,13)</f>
      </c>
      <c r="D6048">
        <v>285</v>
      </c>
      <c r="E6048" s="51">
        <f>IF(INDEX(DarlBelegt,13)=0,0,EOMONTH(INDEX(DarlAuszahlung,13),284)+1)</f>
      </c>
      <c r="F6048" s="43">
        <f>IF($E6048=0,0,YEAR($E6048))</f>
      </c>
      <c r="G6048" s="43">
        <f>IF(INDEX(DarlBindung,13)="",1,IF($E6048&lt;=INDEX(DarlBindung,13),1,0))</f>
      </c>
      <c r="H6048" s="43">
        <f>IF($G6048=1,INDEX(DarlSollzins,13),INDEX(DarlAnschluss,13))</f>
      </c>
      <c r="I6048" s="43">
        <f>IF(INDEX(DarlBelegt,13)=0,0,IF(INDEX(DarlOhneTilgung,13)=1,IF(INDEX(DarlBindung,13)="",1,$G6048),IF($J6048&gt;0.005,1,0)))</f>
      </c>
      <c r="J6048" s="43">
        <f>IF($I6047=0,0,$R6047)</f>
      </c>
      <c r="K6048" s="43">
        <f>IF($I6048=0,0,IF(INDEX(DarlOhneTilgung,13)=1,0,IF(AND(INDEX(DarlTilgStart,13)&gt;0,$E6048=INDEX(DarlTilgStart,13)),$J6048*($H6048+INDEX(DarlTilgung,13))/100/12,IF(AND($G6048=0,$G6047=1),MAX($K6047,$J6048*($H6048+1)/100/12),$K6047))))</f>
      </c>
      <c r="L6048" s="43">
        <f>IF($I6048=0,0,$J6048*$H6048/100/12)</f>
      </c>
      <c r="M6048" s="43">
        <f>IF($I6048=0,0,IF(OR(INDEX(DarlOhneTilgung,13)=1,AND(INDEX(DarlTilgStart,13)&gt;0,$E6048&lt;INDEX(DarlTilgStart,13))),0,MIN(MAX(0,$K6048-$L6048),$J6048)))</f>
      </c>
      <c r="N6048" s="43">
        <f>IF($I6048=0,0,MIN(SUMIFS(SondBetrag,SondDarl,13,SondDatum,"&gt;="&amp;$E6048,SondDatum,"&lt;="&amp;EOMONTH($E6048,0)),$J6048-$M6048))</f>
      </c>
      <c r="O6048" s="43">
        <f>IF($I6048=0,0,INDEX(DarlErsatzRate,13))</f>
      </c>
      <c r="P6048" s="43">
        <f>IF($I6048=0,0,$Q6047*INDEX(DarlErsatzZins,13))</f>
      </c>
      <c r="Q6048" s="43">
        <f>IF($I6048=0,0,$Q6047+$P6048+$O6048)</f>
      </c>
      <c r="R6048" s="43">
        <f>IF($I6048=0,0,$J6048-$M6048-$N6048)</f>
      </c>
    </row>
    <row r="6049">
      <c r="A6049"/>
      <c r="B6049">
        <v>13</v>
      </c>
      <c r="C6049" s="43">
        <f>INDEX(DarlObj,13)</f>
      </c>
      <c r="D6049">
        <v>286</v>
      </c>
      <c r="E6049" s="51">
        <f>IF(INDEX(DarlBelegt,13)=0,0,EOMONTH(INDEX(DarlAuszahlung,13),285)+1)</f>
      </c>
      <c r="F6049" s="43">
        <f>IF($E6049=0,0,YEAR($E6049))</f>
      </c>
      <c r="G6049" s="43">
        <f>IF(INDEX(DarlBindung,13)="",1,IF($E6049&lt;=INDEX(DarlBindung,13),1,0))</f>
      </c>
      <c r="H6049" s="43">
        <f>IF($G6049=1,INDEX(DarlSollzins,13),INDEX(DarlAnschluss,13))</f>
      </c>
      <c r="I6049" s="43">
        <f>IF(INDEX(DarlBelegt,13)=0,0,IF(INDEX(DarlOhneTilgung,13)=1,IF(INDEX(DarlBindung,13)="",1,$G6049),IF($J6049&gt;0.005,1,0)))</f>
      </c>
      <c r="J6049" s="43">
        <f>IF($I6048=0,0,$R6048)</f>
      </c>
      <c r="K6049" s="43">
        <f>IF($I6049=0,0,IF(INDEX(DarlOhneTilgung,13)=1,0,IF(AND(INDEX(DarlTilgStart,13)&gt;0,$E6049=INDEX(DarlTilgStart,13)),$J6049*($H6049+INDEX(DarlTilgung,13))/100/12,IF(AND($G6049=0,$G6048=1),MAX($K6048,$J6049*($H6049+1)/100/12),$K6048))))</f>
      </c>
      <c r="L6049" s="43">
        <f>IF($I6049=0,0,$J6049*$H6049/100/12)</f>
      </c>
      <c r="M6049" s="43">
        <f>IF($I6049=0,0,IF(OR(INDEX(DarlOhneTilgung,13)=1,AND(INDEX(DarlTilgStart,13)&gt;0,$E6049&lt;INDEX(DarlTilgStart,13))),0,MIN(MAX(0,$K6049-$L6049),$J6049)))</f>
      </c>
      <c r="N6049" s="43">
        <f>IF($I6049=0,0,MIN(SUMIFS(SondBetrag,SondDarl,13,SondDatum,"&gt;="&amp;$E6049,SondDatum,"&lt;="&amp;EOMONTH($E6049,0)),$J6049-$M6049))</f>
      </c>
      <c r="O6049" s="43">
        <f>IF($I6049=0,0,INDEX(DarlErsatzRate,13))</f>
      </c>
      <c r="P6049" s="43">
        <f>IF($I6049=0,0,$Q6048*INDEX(DarlErsatzZins,13))</f>
      </c>
      <c r="Q6049" s="43">
        <f>IF($I6049=0,0,$Q6048+$P6049+$O6049)</f>
      </c>
      <c r="R6049" s="43">
        <f>IF($I6049=0,0,$J6049-$M6049-$N6049)</f>
      </c>
    </row>
    <row r="6050">
      <c r="A6050"/>
      <c r="B6050">
        <v>13</v>
      </c>
      <c r="C6050" s="43">
        <f>INDEX(DarlObj,13)</f>
      </c>
      <c r="D6050">
        <v>287</v>
      </c>
      <c r="E6050" s="51">
        <f>IF(INDEX(DarlBelegt,13)=0,0,EOMONTH(INDEX(DarlAuszahlung,13),286)+1)</f>
      </c>
      <c r="F6050" s="43">
        <f>IF($E6050=0,0,YEAR($E6050))</f>
      </c>
      <c r="G6050" s="43">
        <f>IF(INDEX(DarlBindung,13)="",1,IF($E6050&lt;=INDEX(DarlBindung,13),1,0))</f>
      </c>
      <c r="H6050" s="43">
        <f>IF($G6050=1,INDEX(DarlSollzins,13),INDEX(DarlAnschluss,13))</f>
      </c>
      <c r="I6050" s="43">
        <f>IF(INDEX(DarlBelegt,13)=0,0,IF(INDEX(DarlOhneTilgung,13)=1,IF(INDEX(DarlBindung,13)="",1,$G6050),IF($J6050&gt;0.005,1,0)))</f>
      </c>
      <c r="J6050" s="43">
        <f>IF($I6049=0,0,$R6049)</f>
      </c>
      <c r="K6050" s="43">
        <f>IF($I6050=0,0,IF(INDEX(DarlOhneTilgung,13)=1,0,IF(AND(INDEX(DarlTilgStart,13)&gt;0,$E6050=INDEX(DarlTilgStart,13)),$J6050*($H6050+INDEX(DarlTilgung,13))/100/12,IF(AND($G6050=0,$G6049=1),MAX($K6049,$J6050*($H6050+1)/100/12),$K6049))))</f>
      </c>
      <c r="L6050" s="43">
        <f>IF($I6050=0,0,$J6050*$H6050/100/12)</f>
      </c>
      <c r="M6050" s="43">
        <f>IF($I6050=0,0,IF(OR(INDEX(DarlOhneTilgung,13)=1,AND(INDEX(DarlTilgStart,13)&gt;0,$E6050&lt;INDEX(DarlTilgStart,13))),0,MIN(MAX(0,$K6050-$L6050),$J6050)))</f>
      </c>
      <c r="N6050" s="43">
        <f>IF($I6050=0,0,MIN(SUMIFS(SondBetrag,SondDarl,13,SondDatum,"&gt;="&amp;$E6050,SondDatum,"&lt;="&amp;EOMONTH($E6050,0)),$J6050-$M6050))</f>
      </c>
      <c r="O6050" s="43">
        <f>IF($I6050=0,0,INDEX(DarlErsatzRate,13))</f>
      </c>
      <c r="P6050" s="43">
        <f>IF($I6050=0,0,$Q6049*INDEX(DarlErsatzZins,13))</f>
      </c>
      <c r="Q6050" s="43">
        <f>IF($I6050=0,0,$Q6049+$P6050+$O6050)</f>
      </c>
      <c r="R6050" s="43">
        <f>IF($I6050=0,0,$J6050-$M6050-$N6050)</f>
      </c>
    </row>
    <row r="6051">
      <c r="A6051"/>
      <c r="B6051">
        <v>13</v>
      </c>
      <c r="C6051" s="43">
        <f>INDEX(DarlObj,13)</f>
      </c>
      <c r="D6051">
        <v>288</v>
      </c>
      <c r="E6051" s="51">
        <f>IF(INDEX(DarlBelegt,13)=0,0,EOMONTH(INDEX(DarlAuszahlung,13),287)+1)</f>
      </c>
      <c r="F6051" s="43">
        <f>IF($E6051=0,0,YEAR($E6051))</f>
      </c>
      <c r="G6051" s="43">
        <f>IF(INDEX(DarlBindung,13)="",1,IF($E6051&lt;=INDEX(DarlBindung,13),1,0))</f>
      </c>
      <c r="H6051" s="43">
        <f>IF($G6051=1,INDEX(DarlSollzins,13),INDEX(DarlAnschluss,13))</f>
      </c>
      <c r="I6051" s="43">
        <f>IF(INDEX(DarlBelegt,13)=0,0,IF(INDEX(DarlOhneTilgung,13)=1,IF(INDEX(DarlBindung,13)="",1,$G6051),IF($J6051&gt;0.005,1,0)))</f>
      </c>
      <c r="J6051" s="43">
        <f>IF($I6050=0,0,$R6050)</f>
      </c>
      <c r="K6051" s="43">
        <f>IF($I6051=0,0,IF(INDEX(DarlOhneTilgung,13)=1,0,IF(AND(INDEX(DarlTilgStart,13)&gt;0,$E6051=INDEX(DarlTilgStart,13)),$J6051*($H6051+INDEX(DarlTilgung,13))/100/12,IF(AND($G6051=0,$G6050=1),MAX($K6050,$J6051*($H6051+1)/100/12),$K6050))))</f>
      </c>
      <c r="L6051" s="43">
        <f>IF($I6051=0,0,$J6051*$H6051/100/12)</f>
      </c>
      <c r="M6051" s="43">
        <f>IF($I6051=0,0,IF(OR(INDEX(DarlOhneTilgung,13)=1,AND(INDEX(DarlTilgStart,13)&gt;0,$E6051&lt;INDEX(DarlTilgStart,13))),0,MIN(MAX(0,$K6051-$L6051),$J6051)))</f>
      </c>
      <c r="N6051" s="43">
        <f>IF($I6051=0,0,MIN(SUMIFS(SondBetrag,SondDarl,13,SondDatum,"&gt;="&amp;$E6051,SondDatum,"&lt;="&amp;EOMONTH($E6051,0)),$J6051-$M6051))</f>
      </c>
      <c r="O6051" s="43">
        <f>IF($I6051=0,0,INDEX(DarlErsatzRate,13))</f>
      </c>
      <c r="P6051" s="43">
        <f>IF($I6051=0,0,$Q6050*INDEX(DarlErsatzZins,13))</f>
      </c>
      <c r="Q6051" s="43">
        <f>IF($I6051=0,0,$Q6050+$P6051+$O6051)</f>
      </c>
      <c r="R6051" s="43">
        <f>IF($I6051=0,0,$J6051-$M6051-$N6051)</f>
      </c>
    </row>
    <row r="6052">
      <c r="A6052"/>
      <c r="B6052">
        <v>13</v>
      </c>
      <c r="C6052" s="43">
        <f>INDEX(DarlObj,13)</f>
      </c>
      <c r="D6052">
        <v>289</v>
      </c>
      <c r="E6052" s="51">
        <f>IF(INDEX(DarlBelegt,13)=0,0,EOMONTH(INDEX(DarlAuszahlung,13),288)+1)</f>
      </c>
      <c r="F6052" s="43">
        <f>IF($E6052=0,0,YEAR($E6052))</f>
      </c>
      <c r="G6052" s="43">
        <f>IF(INDEX(DarlBindung,13)="",1,IF($E6052&lt;=INDEX(DarlBindung,13),1,0))</f>
      </c>
      <c r="H6052" s="43">
        <f>IF($G6052=1,INDEX(DarlSollzins,13),INDEX(DarlAnschluss,13))</f>
      </c>
      <c r="I6052" s="43">
        <f>IF(INDEX(DarlBelegt,13)=0,0,IF(INDEX(DarlOhneTilgung,13)=1,IF(INDEX(DarlBindung,13)="",1,$G6052),IF($J6052&gt;0.005,1,0)))</f>
      </c>
      <c r="J6052" s="43">
        <f>IF($I6051=0,0,$R6051)</f>
      </c>
      <c r="K6052" s="43">
        <f>IF($I6052=0,0,IF(INDEX(DarlOhneTilgung,13)=1,0,IF(AND(INDEX(DarlTilgStart,13)&gt;0,$E6052=INDEX(DarlTilgStart,13)),$J6052*($H6052+INDEX(DarlTilgung,13))/100/12,IF(AND($G6052=0,$G6051=1),MAX($K6051,$J6052*($H6052+1)/100/12),$K6051))))</f>
      </c>
      <c r="L6052" s="43">
        <f>IF($I6052=0,0,$J6052*$H6052/100/12)</f>
      </c>
      <c r="M6052" s="43">
        <f>IF($I6052=0,0,IF(OR(INDEX(DarlOhneTilgung,13)=1,AND(INDEX(DarlTilgStart,13)&gt;0,$E6052&lt;INDEX(DarlTilgStart,13))),0,MIN(MAX(0,$K6052-$L6052),$J6052)))</f>
      </c>
      <c r="N6052" s="43">
        <f>IF($I6052=0,0,MIN(SUMIFS(SondBetrag,SondDarl,13,SondDatum,"&gt;="&amp;$E6052,SondDatum,"&lt;="&amp;EOMONTH($E6052,0)),$J6052-$M6052))</f>
      </c>
      <c r="O6052" s="43">
        <f>IF($I6052=0,0,INDEX(DarlErsatzRate,13))</f>
      </c>
      <c r="P6052" s="43">
        <f>IF($I6052=0,0,$Q6051*INDEX(DarlErsatzZins,13))</f>
      </c>
      <c r="Q6052" s="43">
        <f>IF($I6052=0,0,$Q6051+$P6052+$O6052)</f>
      </c>
      <c r="R6052" s="43">
        <f>IF($I6052=0,0,$J6052-$M6052-$N6052)</f>
      </c>
    </row>
    <row r="6053">
      <c r="A6053"/>
      <c r="B6053">
        <v>13</v>
      </c>
      <c r="C6053" s="43">
        <f>INDEX(DarlObj,13)</f>
      </c>
      <c r="D6053">
        <v>290</v>
      </c>
      <c r="E6053" s="51">
        <f>IF(INDEX(DarlBelegt,13)=0,0,EOMONTH(INDEX(DarlAuszahlung,13),289)+1)</f>
      </c>
      <c r="F6053" s="43">
        <f>IF($E6053=0,0,YEAR($E6053))</f>
      </c>
      <c r="G6053" s="43">
        <f>IF(INDEX(DarlBindung,13)="",1,IF($E6053&lt;=INDEX(DarlBindung,13),1,0))</f>
      </c>
      <c r="H6053" s="43">
        <f>IF($G6053=1,INDEX(DarlSollzins,13),INDEX(DarlAnschluss,13))</f>
      </c>
      <c r="I6053" s="43">
        <f>IF(INDEX(DarlBelegt,13)=0,0,IF(INDEX(DarlOhneTilgung,13)=1,IF(INDEX(DarlBindung,13)="",1,$G6053),IF($J6053&gt;0.005,1,0)))</f>
      </c>
      <c r="J6053" s="43">
        <f>IF($I6052=0,0,$R6052)</f>
      </c>
      <c r="K6053" s="43">
        <f>IF($I6053=0,0,IF(INDEX(DarlOhneTilgung,13)=1,0,IF(AND(INDEX(DarlTilgStart,13)&gt;0,$E6053=INDEX(DarlTilgStart,13)),$J6053*($H6053+INDEX(DarlTilgung,13))/100/12,IF(AND($G6053=0,$G6052=1),MAX($K6052,$J6053*($H6053+1)/100/12),$K6052))))</f>
      </c>
      <c r="L6053" s="43">
        <f>IF($I6053=0,0,$J6053*$H6053/100/12)</f>
      </c>
      <c r="M6053" s="43">
        <f>IF($I6053=0,0,IF(OR(INDEX(DarlOhneTilgung,13)=1,AND(INDEX(DarlTilgStart,13)&gt;0,$E6053&lt;INDEX(DarlTilgStart,13))),0,MIN(MAX(0,$K6053-$L6053),$J6053)))</f>
      </c>
      <c r="N6053" s="43">
        <f>IF($I6053=0,0,MIN(SUMIFS(SondBetrag,SondDarl,13,SondDatum,"&gt;="&amp;$E6053,SondDatum,"&lt;="&amp;EOMONTH($E6053,0)),$J6053-$M6053))</f>
      </c>
      <c r="O6053" s="43">
        <f>IF($I6053=0,0,INDEX(DarlErsatzRate,13))</f>
      </c>
      <c r="P6053" s="43">
        <f>IF($I6053=0,0,$Q6052*INDEX(DarlErsatzZins,13))</f>
      </c>
      <c r="Q6053" s="43">
        <f>IF($I6053=0,0,$Q6052+$P6053+$O6053)</f>
      </c>
      <c r="R6053" s="43">
        <f>IF($I6053=0,0,$J6053-$M6053-$N6053)</f>
      </c>
    </row>
    <row r="6054">
      <c r="A6054"/>
      <c r="B6054">
        <v>13</v>
      </c>
      <c r="C6054" s="43">
        <f>INDEX(DarlObj,13)</f>
      </c>
      <c r="D6054">
        <v>291</v>
      </c>
      <c r="E6054" s="51">
        <f>IF(INDEX(DarlBelegt,13)=0,0,EOMONTH(INDEX(DarlAuszahlung,13),290)+1)</f>
      </c>
      <c r="F6054" s="43">
        <f>IF($E6054=0,0,YEAR($E6054))</f>
      </c>
      <c r="G6054" s="43">
        <f>IF(INDEX(DarlBindung,13)="",1,IF($E6054&lt;=INDEX(DarlBindung,13),1,0))</f>
      </c>
      <c r="H6054" s="43">
        <f>IF($G6054=1,INDEX(DarlSollzins,13),INDEX(DarlAnschluss,13))</f>
      </c>
      <c r="I6054" s="43">
        <f>IF(INDEX(DarlBelegt,13)=0,0,IF(INDEX(DarlOhneTilgung,13)=1,IF(INDEX(DarlBindung,13)="",1,$G6054),IF($J6054&gt;0.005,1,0)))</f>
      </c>
      <c r="J6054" s="43">
        <f>IF($I6053=0,0,$R6053)</f>
      </c>
      <c r="K6054" s="43">
        <f>IF($I6054=0,0,IF(INDEX(DarlOhneTilgung,13)=1,0,IF(AND(INDEX(DarlTilgStart,13)&gt;0,$E6054=INDEX(DarlTilgStart,13)),$J6054*($H6054+INDEX(DarlTilgung,13))/100/12,IF(AND($G6054=0,$G6053=1),MAX($K6053,$J6054*($H6054+1)/100/12),$K6053))))</f>
      </c>
      <c r="L6054" s="43">
        <f>IF($I6054=0,0,$J6054*$H6054/100/12)</f>
      </c>
      <c r="M6054" s="43">
        <f>IF($I6054=0,0,IF(OR(INDEX(DarlOhneTilgung,13)=1,AND(INDEX(DarlTilgStart,13)&gt;0,$E6054&lt;INDEX(DarlTilgStart,13))),0,MIN(MAX(0,$K6054-$L6054),$J6054)))</f>
      </c>
      <c r="N6054" s="43">
        <f>IF($I6054=0,0,MIN(SUMIFS(SondBetrag,SondDarl,13,SondDatum,"&gt;="&amp;$E6054,SondDatum,"&lt;="&amp;EOMONTH($E6054,0)),$J6054-$M6054))</f>
      </c>
      <c r="O6054" s="43">
        <f>IF($I6054=0,0,INDEX(DarlErsatzRate,13))</f>
      </c>
      <c r="P6054" s="43">
        <f>IF($I6054=0,0,$Q6053*INDEX(DarlErsatzZins,13))</f>
      </c>
      <c r="Q6054" s="43">
        <f>IF($I6054=0,0,$Q6053+$P6054+$O6054)</f>
      </c>
      <c r="R6054" s="43">
        <f>IF($I6054=0,0,$J6054-$M6054-$N6054)</f>
      </c>
    </row>
    <row r="6055">
      <c r="A6055"/>
      <c r="B6055">
        <v>13</v>
      </c>
      <c r="C6055" s="43">
        <f>INDEX(DarlObj,13)</f>
      </c>
      <c r="D6055">
        <v>292</v>
      </c>
      <c r="E6055" s="51">
        <f>IF(INDEX(DarlBelegt,13)=0,0,EOMONTH(INDEX(DarlAuszahlung,13),291)+1)</f>
      </c>
      <c r="F6055" s="43">
        <f>IF($E6055=0,0,YEAR($E6055))</f>
      </c>
      <c r="G6055" s="43">
        <f>IF(INDEX(DarlBindung,13)="",1,IF($E6055&lt;=INDEX(DarlBindung,13),1,0))</f>
      </c>
      <c r="H6055" s="43">
        <f>IF($G6055=1,INDEX(DarlSollzins,13),INDEX(DarlAnschluss,13))</f>
      </c>
      <c r="I6055" s="43">
        <f>IF(INDEX(DarlBelegt,13)=0,0,IF(INDEX(DarlOhneTilgung,13)=1,IF(INDEX(DarlBindung,13)="",1,$G6055),IF($J6055&gt;0.005,1,0)))</f>
      </c>
      <c r="J6055" s="43">
        <f>IF($I6054=0,0,$R6054)</f>
      </c>
      <c r="K6055" s="43">
        <f>IF($I6055=0,0,IF(INDEX(DarlOhneTilgung,13)=1,0,IF(AND(INDEX(DarlTilgStart,13)&gt;0,$E6055=INDEX(DarlTilgStart,13)),$J6055*($H6055+INDEX(DarlTilgung,13))/100/12,IF(AND($G6055=0,$G6054=1),MAX($K6054,$J6055*($H6055+1)/100/12),$K6054))))</f>
      </c>
      <c r="L6055" s="43">
        <f>IF($I6055=0,0,$J6055*$H6055/100/12)</f>
      </c>
      <c r="M6055" s="43">
        <f>IF($I6055=0,0,IF(OR(INDEX(DarlOhneTilgung,13)=1,AND(INDEX(DarlTilgStart,13)&gt;0,$E6055&lt;INDEX(DarlTilgStart,13))),0,MIN(MAX(0,$K6055-$L6055),$J6055)))</f>
      </c>
      <c r="N6055" s="43">
        <f>IF($I6055=0,0,MIN(SUMIFS(SondBetrag,SondDarl,13,SondDatum,"&gt;="&amp;$E6055,SondDatum,"&lt;="&amp;EOMONTH($E6055,0)),$J6055-$M6055))</f>
      </c>
      <c r="O6055" s="43">
        <f>IF($I6055=0,0,INDEX(DarlErsatzRate,13))</f>
      </c>
      <c r="P6055" s="43">
        <f>IF($I6055=0,0,$Q6054*INDEX(DarlErsatzZins,13))</f>
      </c>
      <c r="Q6055" s="43">
        <f>IF($I6055=0,0,$Q6054+$P6055+$O6055)</f>
      </c>
      <c r="R6055" s="43">
        <f>IF($I6055=0,0,$J6055-$M6055-$N6055)</f>
      </c>
    </row>
    <row r="6056">
      <c r="A6056"/>
      <c r="B6056">
        <v>13</v>
      </c>
      <c r="C6056" s="43">
        <f>INDEX(DarlObj,13)</f>
      </c>
      <c r="D6056">
        <v>293</v>
      </c>
      <c r="E6056" s="51">
        <f>IF(INDEX(DarlBelegt,13)=0,0,EOMONTH(INDEX(DarlAuszahlung,13),292)+1)</f>
      </c>
      <c r="F6056" s="43">
        <f>IF($E6056=0,0,YEAR($E6056))</f>
      </c>
      <c r="G6056" s="43">
        <f>IF(INDEX(DarlBindung,13)="",1,IF($E6056&lt;=INDEX(DarlBindung,13),1,0))</f>
      </c>
      <c r="H6056" s="43">
        <f>IF($G6056=1,INDEX(DarlSollzins,13),INDEX(DarlAnschluss,13))</f>
      </c>
      <c r="I6056" s="43">
        <f>IF(INDEX(DarlBelegt,13)=0,0,IF(INDEX(DarlOhneTilgung,13)=1,IF(INDEX(DarlBindung,13)="",1,$G6056),IF($J6056&gt;0.005,1,0)))</f>
      </c>
      <c r="J6056" s="43">
        <f>IF($I6055=0,0,$R6055)</f>
      </c>
      <c r="K6056" s="43">
        <f>IF($I6056=0,0,IF(INDEX(DarlOhneTilgung,13)=1,0,IF(AND(INDEX(DarlTilgStart,13)&gt;0,$E6056=INDEX(DarlTilgStart,13)),$J6056*($H6056+INDEX(DarlTilgung,13))/100/12,IF(AND($G6056=0,$G6055=1),MAX($K6055,$J6056*($H6056+1)/100/12),$K6055))))</f>
      </c>
      <c r="L6056" s="43">
        <f>IF($I6056=0,0,$J6056*$H6056/100/12)</f>
      </c>
      <c r="M6056" s="43">
        <f>IF($I6056=0,0,IF(OR(INDEX(DarlOhneTilgung,13)=1,AND(INDEX(DarlTilgStart,13)&gt;0,$E6056&lt;INDEX(DarlTilgStart,13))),0,MIN(MAX(0,$K6056-$L6056),$J6056)))</f>
      </c>
      <c r="N6056" s="43">
        <f>IF($I6056=0,0,MIN(SUMIFS(SondBetrag,SondDarl,13,SondDatum,"&gt;="&amp;$E6056,SondDatum,"&lt;="&amp;EOMONTH($E6056,0)),$J6056-$M6056))</f>
      </c>
      <c r="O6056" s="43">
        <f>IF($I6056=0,0,INDEX(DarlErsatzRate,13))</f>
      </c>
      <c r="P6056" s="43">
        <f>IF($I6056=0,0,$Q6055*INDEX(DarlErsatzZins,13))</f>
      </c>
      <c r="Q6056" s="43">
        <f>IF($I6056=0,0,$Q6055+$P6056+$O6056)</f>
      </c>
      <c r="R6056" s="43">
        <f>IF($I6056=0,0,$J6056-$M6056-$N6056)</f>
      </c>
    </row>
    <row r="6057">
      <c r="A6057"/>
      <c r="B6057">
        <v>13</v>
      </c>
      <c r="C6057" s="43">
        <f>INDEX(DarlObj,13)</f>
      </c>
      <c r="D6057">
        <v>294</v>
      </c>
      <c r="E6057" s="51">
        <f>IF(INDEX(DarlBelegt,13)=0,0,EOMONTH(INDEX(DarlAuszahlung,13),293)+1)</f>
      </c>
      <c r="F6057" s="43">
        <f>IF($E6057=0,0,YEAR($E6057))</f>
      </c>
      <c r="G6057" s="43">
        <f>IF(INDEX(DarlBindung,13)="",1,IF($E6057&lt;=INDEX(DarlBindung,13),1,0))</f>
      </c>
      <c r="H6057" s="43">
        <f>IF($G6057=1,INDEX(DarlSollzins,13),INDEX(DarlAnschluss,13))</f>
      </c>
      <c r="I6057" s="43">
        <f>IF(INDEX(DarlBelegt,13)=0,0,IF(INDEX(DarlOhneTilgung,13)=1,IF(INDEX(DarlBindung,13)="",1,$G6057),IF($J6057&gt;0.005,1,0)))</f>
      </c>
      <c r="J6057" s="43">
        <f>IF($I6056=0,0,$R6056)</f>
      </c>
      <c r="K6057" s="43">
        <f>IF($I6057=0,0,IF(INDEX(DarlOhneTilgung,13)=1,0,IF(AND(INDEX(DarlTilgStart,13)&gt;0,$E6057=INDEX(DarlTilgStart,13)),$J6057*($H6057+INDEX(DarlTilgung,13))/100/12,IF(AND($G6057=0,$G6056=1),MAX($K6056,$J6057*($H6057+1)/100/12),$K6056))))</f>
      </c>
      <c r="L6057" s="43">
        <f>IF($I6057=0,0,$J6057*$H6057/100/12)</f>
      </c>
      <c r="M6057" s="43">
        <f>IF($I6057=0,0,IF(OR(INDEX(DarlOhneTilgung,13)=1,AND(INDEX(DarlTilgStart,13)&gt;0,$E6057&lt;INDEX(DarlTilgStart,13))),0,MIN(MAX(0,$K6057-$L6057),$J6057)))</f>
      </c>
      <c r="N6057" s="43">
        <f>IF($I6057=0,0,MIN(SUMIFS(SondBetrag,SondDarl,13,SondDatum,"&gt;="&amp;$E6057,SondDatum,"&lt;="&amp;EOMONTH($E6057,0)),$J6057-$M6057))</f>
      </c>
      <c r="O6057" s="43">
        <f>IF($I6057=0,0,INDEX(DarlErsatzRate,13))</f>
      </c>
      <c r="P6057" s="43">
        <f>IF($I6057=0,0,$Q6056*INDEX(DarlErsatzZins,13))</f>
      </c>
      <c r="Q6057" s="43">
        <f>IF($I6057=0,0,$Q6056+$P6057+$O6057)</f>
      </c>
      <c r="R6057" s="43">
        <f>IF($I6057=0,0,$J6057-$M6057-$N6057)</f>
      </c>
    </row>
    <row r="6058">
      <c r="A6058"/>
      <c r="B6058">
        <v>13</v>
      </c>
      <c r="C6058" s="43">
        <f>INDEX(DarlObj,13)</f>
      </c>
      <c r="D6058">
        <v>295</v>
      </c>
      <c r="E6058" s="51">
        <f>IF(INDEX(DarlBelegt,13)=0,0,EOMONTH(INDEX(DarlAuszahlung,13),294)+1)</f>
      </c>
      <c r="F6058" s="43">
        <f>IF($E6058=0,0,YEAR($E6058))</f>
      </c>
      <c r="G6058" s="43">
        <f>IF(INDEX(DarlBindung,13)="",1,IF($E6058&lt;=INDEX(DarlBindung,13),1,0))</f>
      </c>
      <c r="H6058" s="43">
        <f>IF($G6058=1,INDEX(DarlSollzins,13),INDEX(DarlAnschluss,13))</f>
      </c>
      <c r="I6058" s="43">
        <f>IF(INDEX(DarlBelegt,13)=0,0,IF(INDEX(DarlOhneTilgung,13)=1,IF(INDEX(DarlBindung,13)="",1,$G6058),IF($J6058&gt;0.005,1,0)))</f>
      </c>
      <c r="J6058" s="43">
        <f>IF($I6057=0,0,$R6057)</f>
      </c>
      <c r="K6058" s="43">
        <f>IF($I6058=0,0,IF(INDEX(DarlOhneTilgung,13)=1,0,IF(AND(INDEX(DarlTilgStart,13)&gt;0,$E6058=INDEX(DarlTilgStart,13)),$J6058*($H6058+INDEX(DarlTilgung,13))/100/12,IF(AND($G6058=0,$G6057=1),MAX($K6057,$J6058*($H6058+1)/100/12),$K6057))))</f>
      </c>
      <c r="L6058" s="43">
        <f>IF($I6058=0,0,$J6058*$H6058/100/12)</f>
      </c>
      <c r="M6058" s="43">
        <f>IF($I6058=0,0,IF(OR(INDEX(DarlOhneTilgung,13)=1,AND(INDEX(DarlTilgStart,13)&gt;0,$E6058&lt;INDEX(DarlTilgStart,13))),0,MIN(MAX(0,$K6058-$L6058),$J6058)))</f>
      </c>
      <c r="N6058" s="43">
        <f>IF($I6058=0,0,MIN(SUMIFS(SondBetrag,SondDarl,13,SondDatum,"&gt;="&amp;$E6058,SondDatum,"&lt;="&amp;EOMONTH($E6058,0)),$J6058-$M6058))</f>
      </c>
      <c r="O6058" s="43">
        <f>IF($I6058=0,0,INDEX(DarlErsatzRate,13))</f>
      </c>
      <c r="P6058" s="43">
        <f>IF($I6058=0,0,$Q6057*INDEX(DarlErsatzZins,13))</f>
      </c>
      <c r="Q6058" s="43">
        <f>IF($I6058=0,0,$Q6057+$P6058+$O6058)</f>
      </c>
      <c r="R6058" s="43">
        <f>IF($I6058=0,0,$J6058-$M6058-$N6058)</f>
      </c>
    </row>
    <row r="6059">
      <c r="A6059"/>
      <c r="B6059">
        <v>13</v>
      </c>
      <c r="C6059" s="43">
        <f>INDEX(DarlObj,13)</f>
      </c>
      <c r="D6059">
        <v>296</v>
      </c>
      <c r="E6059" s="51">
        <f>IF(INDEX(DarlBelegt,13)=0,0,EOMONTH(INDEX(DarlAuszahlung,13),295)+1)</f>
      </c>
      <c r="F6059" s="43">
        <f>IF($E6059=0,0,YEAR($E6059))</f>
      </c>
      <c r="G6059" s="43">
        <f>IF(INDEX(DarlBindung,13)="",1,IF($E6059&lt;=INDEX(DarlBindung,13),1,0))</f>
      </c>
      <c r="H6059" s="43">
        <f>IF($G6059=1,INDEX(DarlSollzins,13),INDEX(DarlAnschluss,13))</f>
      </c>
      <c r="I6059" s="43">
        <f>IF(INDEX(DarlBelegt,13)=0,0,IF(INDEX(DarlOhneTilgung,13)=1,IF(INDEX(DarlBindung,13)="",1,$G6059),IF($J6059&gt;0.005,1,0)))</f>
      </c>
      <c r="J6059" s="43">
        <f>IF($I6058=0,0,$R6058)</f>
      </c>
      <c r="K6059" s="43">
        <f>IF($I6059=0,0,IF(INDEX(DarlOhneTilgung,13)=1,0,IF(AND(INDEX(DarlTilgStart,13)&gt;0,$E6059=INDEX(DarlTilgStart,13)),$J6059*($H6059+INDEX(DarlTilgung,13))/100/12,IF(AND($G6059=0,$G6058=1),MAX($K6058,$J6059*($H6059+1)/100/12),$K6058))))</f>
      </c>
      <c r="L6059" s="43">
        <f>IF($I6059=0,0,$J6059*$H6059/100/12)</f>
      </c>
      <c r="M6059" s="43">
        <f>IF($I6059=0,0,IF(OR(INDEX(DarlOhneTilgung,13)=1,AND(INDEX(DarlTilgStart,13)&gt;0,$E6059&lt;INDEX(DarlTilgStart,13))),0,MIN(MAX(0,$K6059-$L6059),$J6059)))</f>
      </c>
      <c r="N6059" s="43">
        <f>IF($I6059=0,0,MIN(SUMIFS(SondBetrag,SondDarl,13,SondDatum,"&gt;="&amp;$E6059,SondDatum,"&lt;="&amp;EOMONTH($E6059,0)),$J6059-$M6059))</f>
      </c>
      <c r="O6059" s="43">
        <f>IF($I6059=0,0,INDEX(DarlErsatzRate,13))</f>
      </c>
      <c r="P6059" s="43">
        <f>IF($I6059=0,0,$Q6058*INDEX(DarlErsatzZins,13))</f>
      </c>
      <c r="Q6059" s="43">
        <f>IF($I6059=0,0,$Q6058+$P6059+$O6059)</f>
      </c>
      <c r="R6059" s="43">
        <f>IF($I6059=0,0,$J6059-$M6059-$N6059)</f>
      </c>
    </row>
    <row r="6060">
      <c r="A6060"/>
      <c r="B6060">
        <v>13</v>
      </c>
      <c r="C6060" s="43">
        <f>INDEX(DarlObj,13)</f>
      </c>
      <c r="D6060">
        <v>297</v>
      </c>
      <c r="E6060" s="51">
        <f>IF(INDEX(DarlBelegt,13)=0,0,EOMONTH(INDEX(DarlAuszahlung,13),296)+1)</f>
      </c>
      <c r="F6060" s="43">
        <f>IF($E6060=0,0,YEAR($E6060))</f>
      </c>
      <c r="G6060" s="43">
        <f>IF(INDEX(DarlBindung,13)="",1,IF($E6060&lt;=INDEX(DarlBindung,13),1,0))</f>
      </c>
      <c r="H6060" s="43">
        <f>IF($G6060=1,INDEX(DarlSollzins,13),INDEX(DarlAnschluss,13))</f>
      </c>
      <c r="I6060" s="43">
        <f>IF(INDEX(DarlBelegt,13)=0,0,IF(INDEX(DarlOhneTilgung,13)=1,IF(INDEX(DarlBindung,13)="",1,$G6060),IF($J6060&gt;0.005,1,0)))</f>
      </c>
      <c r="J6060" s="43">
        <f>IF($I6059=0,0,$R6059)</f>
      </c>
      <c r="K6060" s="43">
        <f>IF($I6060=0,0,IF(INDEX(DarlOhneTilgung,13)=1,0,IF(AND(INDEX(DarlTilgStart,13)&gt;0,$E6060=INDEX(DarlTilgStart,13)),$J6060*($H6060+INDEX(DarlTilgung,13))/100/12,IF(AND($G6060=0,$G6059=1),MAX($K6059,$J6060*($H6060+1)/100/12),$K6059))))</f>
      </c>
      <c r="L6060" s="43">
        <f>IF($I6060=0,0,$J6060*$H6060/100/12)</f>
      </c>
      <c r="M6060" s="43">
        <f>IF($I6060=0,0,IF(OR(INDEX(DarlOhneTilgung,13)=1,AND(INDEX(DarlTilgStart,13)&gt;0,$E6060&lt;INDEX(DarlTilgStart,13))),0,MIN(MAX(0,$K6060-$L6060),$J6060)))</f>
      </c>
      <c r="N6060" s="43">
        <f>IF($I6060=0,0,MIN(SUMIFS(SondBetrag,SondDarl,13,SondDatum,"&gt;="&amp;$E6060,SondDatum,"&lt;="&amp;EOMONTH($E6060,0)),$J6060-$M6060))</f>
      </c>
      <c r="O6060" s="43">
        <f>IF($I6060=0,0,INDEX(DarlErsatzRate,13))</f>
      </c>
      <c r="P6060" s="43">
        <f>IF($I6060=0,0,$Q6059*INDEX(DarlErsatzZins,13))</f>
      </c>
      <c r="Q6060" s="43">
        <f>IF($I6060=0,0,$Q6059+$P6060+$O6060)</f>
      </c>
      <c r="R6060" s="43">
        <f>IF($I6060=0,0,$J6060-$M6060-$N6060)</f>
      </c>
    </row>
    <row r="6061">
      <c r="A6061"/>
      <c r="B6061">
        <v>13</v>
      </c>
      <c r="C6061" s="43">
        <f>INDEX(DarlObj,13)</f>
      </c>
      <c r="D6061">
        <v>298</v>
      </c>
      <c r="E6061" s="51">
        <f>IF(INDEX(DarlBelegt,13)=0,0,EOMONTH(INDEX(DarlAuszahlung,13),297)+1)</f>
      </c>
      <c r="F6061" s="43">
        <f>IF($E6061=0,0,YEAR($E6061))</f>
      </c>
      <c r="G6061" s="43">
        <f>IF(INDEX(DarlBindung,13)="",1,IF($E6061&lt;=INDEX(DarlBindung,13),1,0))</f>
      </c>
      <c r="H6061" s="43">
        <f>IF($G6061=1,INDEX(DarlSollzins,13),INDEX(DarlAnschluss,13))</f>
      </c>
      <c r="I6061" s="43">
        <f>IF(INDEX(DarlBelegt,13)=0,0,IF(INDEX(DarlOhneTilgung,13)=1,IF(INDEX(DarlBindung,13)="",1,$G6061),IF($J6061&gt;0.005,1,0)))</f>
      </c>
      <c r="J6061" s="43">
        <f>IF($I6060=0,0,$R6060)</f>
      </c>
      <c r="K6061" s="43">
        <f>IF($I6061=0,0,IF(INDEX(DarlOhneTilgung,13)=1,0,IF(AND(INDEX(DarlTilgStart,13)&gt;0,$E6061=INDEX(DarlTilgStart,13)),$J6061*($H6061+INDEX(DarlTilgung,13))/100/12,IF(AND($G6061=0,$G6060=1),MAX($K6060,$J6061*($H6061+1)/100/12),$K6060))))</f>
      </c>
      <c r="L6061" s="43">
        <f>IF($I6061=0,0,$J6061*$H6061/100/12)</f>
      </c>
      <c r="M6061" s="43">
        <f>IF($I6061=0,0,IF(OR(INDEX(DarlOhneTilgung,13)=1,AND(INDEX(DarlTilgStart,13)&gt;0,$E6061&lt;INDEX(DarlTilgStart,13))),0,MIN(MAX(0,$K6061-$L6061),$J6061)))</f>
      </c>
      <c r="N6061" s="43">
        <f>IF($I6061=0,0,MIN(SUMIFS(SondBetrag,SondDarl,13,SondDatum,"&gt;="&amp;$E6061,SondDatum,"&lt;="&amp;EOMONTH($E6061,0)),$J6061-$M6061))</f>
      </c>
      <c r="O6061" s="43">
        <f>IF($I6061=0,0,INDEX(DarlErsatzRate,13))</f>
      </c>
      <c r="P6061" s="43">
        <f>IF($I6061=0,0,$Q6060*INDEX(DarlErsatzZins,13))</f>
      </c>
      <c r="Q6061" s="43">
        <f>IF($I6061=0,0,$Q6060+$P6061+$O6061)</f>
      </c>
      <c r="R6061" s="43">
        <f>IF($I6061=0,0,$J6061-$M6061-$N6061)</f>
      </c>
    </row>
    <row r="6062">
      <c r="A6062"/>
      <c r="B6062">
        <v>13</v>
      </c>
      <c r="C6062" s="43">
        <f>INDEX(DarlObj,13)</f>
      </c>
      <c r="D6062">
        <v>299</v>
      </c>
      <c r="E6062" s="51">
        <f>IF(INDEX(DarlBelegt,13)=0,0,EOMONTH(INDEX(DarlAuszahlung,13),298)+1)</f>
      </c>
      <c r="F6062" s="43">
        <f>IF($E6062=0,0,YEAR($E6062))</f>
      </c>
      <c r="G6062" s="43">
        <f>IF(INDEX(DarlBindung,13)="",1,IF($E6062&lt;=INDEX(DarlBindung,13),1,0))</f>
      </c>
      <c r="H6062" s="43">
        <f>IF($G6062=1,INDEX(DarlSollzins,13),INDEX(DarlAnschluss,13))</f>
      </c>
      <c r="I6062" s="43">
        <f>IF(INDEX(DarlBelegt,13)=0,0,IF(INDEX(DarlOhneTilgung,13)=1,IF(INDEX(DarlBindung,13)="",1,$G6062),IF($J6062&gt;0.005,1,0)))</f>
      </c>
      <c r="J6062" s="43">
        <f>IF($I6061=0,0,$R6061)</f>
      </c>
      <c r="K6062" s="43">
        <f>IF($I6062=0,0,IF(INDEX(DarlOhneTilgung,13)=1,0,IF(AND(INDEX(DarlTilgStart,13)&gt;0,$E6062=INDEX(DarlTilgStart,13)),$J6062*($H6062+INDEX(DarlTilgung,13))/100/12,IF(AND($G6062=0,$G6061=1),MAX($K6061,$J6062*($H6062+1)/100/12),$K6061))))</f>
      </c>
      <c r="L6062" s="43">
        <f>IF($I6062=0,0,$J6062*$H6062/100/12)</f>
      </c>
      <c r="M6062" s="43">
        <f>IF($I6062=0,0,IF(OR(INDEX(DarlOhneTilgung,13)=1,AND(INDEX(DarlTilgStart,13)&gt;0,$E6062&lt;INDEX(DarlTilgStart,13))),0,MIN(MAX(0,$K6062-$L6062),$J6062)))</f>
      </c>
      <c r="N6062" s="43">
        <f>IF($I6062=0,0,MIN(SUMIFS(SondBetrag,SondDarl,13,SondDatum,"&gt;="&amp;$E6062,SondDatum,"&lt;="&amp;EOMONTH($E6062,0)),$J6062-$M6062))</f>
      </c>
      <c r="O6062" s="43">
        <f>IF($I6062=0,0,INDEX(DarlErsatzRate,13))</f>
      </c>
      <c r="P6062" s="43">
        <f>IF($I6062=0,0,$Q6061*INDEX(DarlErsatzZins,13))</f>
      </c>
      <c r="Q6062" s="43">
        <f>IF($I6062=0,0,$Q6061+$P6062+$O6062)</f>
      </c>
      <c r="R6062" s="43">
        <f>IF($I6062=0,0,$J6062-$M6062-$N6062)</f>
      </c>
    </row>
    <row r="6063">
      <c r="A6063"/>
      <c r="B6063">
        <v>13</v>
      </c>
      <c r="C6063" s="43">
        <f>INDEX(DarlObj,13)</f>
      </c>
      <c r="D6063">
        <v>300</v>
      </c>
      <c r="E6063" s="51">
        <f>IF(INDEX(DarlBelegt,13)=0,0,EOMONTH(INDEX(DarlAuszahlung,13),299)+1)</f>
      </c>
      <c r="F6063" s="43">
        <f>IF($E6063=0,0,YEAR($E6063))</f>
      </c>
      <c r="G6063" s="43">
        <f>IF(INDEX(DarlBindung,13)="",1,IF($E6063&lt;=INDEX(DarlBindung,13),1,0))</f>
      </c>
      <c r="H6063" s="43">
        <f>IF($G6063=1,INDEX(DarlSollzins,13),INDEX(DarlAnschluss,13))</f>
      </c>
      <c r="I6063" s="43">
        <f>IF(INDEX(DarlBelegt,13)=0,0,IF(INDEX(DarlOhneTilgung,13)=1,IF(INDEX(DarlBindung,13)="",1,$G6063),IF($J6063&gt;0.005,1,0)))</f>
      </c>
      <c r="J6063" s="43">
        <f>IF($I6062=0,0,$R6062)</f>
      </c>
      <c r="K6063" s="43">
        <f>IF($I6063=0,0,IF(INDEX(DarlOhneTilgung,13)=1,0,IF(AND(INDEX(DarlTilgStart,13)&gt;0,$E6063=INDEX(DarlTilgStart,13)),$J6063*($H6063+INDEX(DarlTilgung,13))/100/12,IF(AND($G6063=0,$G6062=1),MAX($K6062,$J6063*($H6063+1)/100/12),$K6062))))</f>
      </c>
      <c r="L6063" s="43">
        <f>IF($I6063=0,0,$J6063*$H6063/100/12)</f>
      </c>
      <c r="M6063" s="43">
        <f>IF($I6063=0,0,IF(OR(INDEX(DarlOhneTilgung,13)=1,AND(INDEX(DarlTilgStart,13)&gt;0,$E6063&lt;INDEX(DarlTilgStart,13))),0,MIN(MAX(0,$K6063-$L6063),$J6063)))</f>
      </c>
      <c r="N6063" s="43">
        <f>IF($I6063=0,0,MIN(SUMIFS(SondBetrag,SondDarl,13,SondDatum,"&gt;="&amp;$E6063,SondDatum,"&lt;="&amp;EOMONTH($E6063,0)),$J6063-$M6063))</f>
      </c>
      <c r="O6063" s="43">
        <f>IF($I6063=0,0,INDEX(DarlErsatzRate,13))</f>
      </c>
      <c r="P6063" s="43">
        <f>IF($I6063=0,0,$Q6062*INDEX(DarlErsatzZins,13))</f>
      </c>
      <c r="Q6063" s="43">
        <f>IF($I6063=0,0,$Q6062+$P6063+$O6063)</f>
      </c>
      <c r="R6063" s="43">
        <f>IF($I6063=0,0,$J6063-$M6063-$N6063)</f>
      </c>
    </row>
    <row r="6064">
      <c r="A6064"/>
      <c r="B6064">
        <v>13</v>
      </c>
      <c r="C6064" s="43">
        <f>INDEX(DarlObj,13)</f>
      </c>
      <c r="D6064">
        <v>301</v>
      </c>
      <c r="E6064" s="51">
        <f>IF(INDEX(DarlBelegt,13)=0,0,EOMONTH(INDEX(DarlAuszahlung,13),300)+1)</f>
      </c>
      <c r="F6064" s="43">
        <f>IF($E6064=0,0,YEAR($E6064))</f>
      </c>
      <c r="G6064" s="43">
        <f>IF(INDEX(DarlBindung,13)="",1,IF($E6064&lt;=INDEX(DarlBindung,13),1,0))</f>
      </c>
      <c r="H6064" s="43">
        <f>IF($G6064=1,INDEX(DarlSollzins,13),INDEX(DarlAnschluss,13))</f>
      </c>
      <c r="I6064" s="43">
        <f>IF(INDEX(DarlBelegt,13)=0,0,IF(INDEX(DarlOhneTilgung,13)=1,IF(INDEX(DarlBindung,13)="",1,$G6064),IF($J6064&gt;0.005,1,0)))</f>
      </c>
      <c r="J6064" s="43">
        <f>IF($I6063=0,0,$R6063)</f>
      </c>
      <c r="K6064" s="43">
        <f>IF($I6064=0,0,IF(INDEX(DarlOhneTilgung,13)=1,0,IF(AND(INDEX(DarlTilgStart,13)&gt;0,$E6064=INDEX(DarlTilgStart,13)),$J6064*($H6064+INDEX(DarlTilgung,13))/100/12,IF(AND($G6064=0,$G6063=1),MAX($K6063,$J6064*($H6064+1)/100/12),$K6063))))</f>
      </c>
      <c r="L6064" s="43">
        <f>IF($I6064=0,0,$J6064*$H6064/100/12)</f>
      </c>
      <c r="M6064" s="43">
        <f>IF($I6064=0,0,IF(OR(INDEX(DarlOhneTilgung,13)=1,AND(INDEX(DarlTilgStart,13)&gt;0,$E6064&lt;INDEX(DarlTilgStart,13))),0,MIN(MAX(0,$K6064-$L6064),$J6064)))</f>
      </c>
      <c r="N6064" s="43">
        <f>IF($I6064=0,0,MIN(SUMIFS(SondBetrag,SondDarl,13,SondDatum,"&gt;="&amp;$E6064,SondDatum,"&lt;="&amp;EOMONTH($E6064,0)),$J6064-$M6064))</f>
      </c>
      <c r="O6064" s="43">
        <f>IF($I6064=0,0,INDEX(DarlErsatzRate,13))</f>
      </c>
      <c r="P6064" s="43">
        <f>IF($I6064=0,0,$Q6063*INDEX(DarlErsatzZins,13))</f>
      </c>
      <c r="Q6064" s="43">
        <f>IF($I6064=0,0,$Q6063+$P6064+$O6064)</f>
      </c>
      <c r="R6064" s="43">
        <f>IF($I6064=0,0,$J6064-$M6064-$N6064)</f>
      </c>
    </row>
    <row r="6065">
      <c r="A6065"/>
      <c r="B6065">
        <v>13</v>
      </c>
      <c r="C6065" s="43">
        <f>INDEX(DarlObj,13)</f>
      </c>
      <c r="D6065">
        <v>302</v>
      </c>
      <c r="E6065" s="51">
        <f>IF(INDEX(DarlBelegt,13)=0,0,EOMONTH(INDEX(DarlAuszahlung,13),301)+1)</f>
      </c>
      <c r="F6065" s="43">
        <f>IF($E6065=0,0,YEAR($E6065))</f>
      </c>
      <c r="G6065" s="43">
        <f>IF(INDEX(DarlBindung,13)="",1,IF($E6065&lt;=INDEX(DarlBindung,13),1,0))</f>
      </c>
      <c r="H6065" s="43">
        <f>IF($G6065=1,INDEX(DarlSollzins,13),INDEX(DarlAnschluss,13))</f>
      </c>
      <c r="I6065" s="43">
        <f>IF(INDEX(DarlBelegt,13)=0,0,IF(INDEX(DarlOhneTilgung,13)=1,IF(INDEX(DarlBindung,13)="",1,$G6065),IF($J6065&gt;0.005,1,0)))</f>
      </c>
      <c r="J6065" s="43">
        <f>IF($I6064=0,0,$R6064)</f>
      </c>
      <c r="K6065" s="43">
        <f>IF($I6065=0,0,IF(INDEX(DarlOhneTilgung,13)=1,0,IF(AND(INDEX(DarlTilgStart,13)&gt;0,$E6065=INDEX(DarlTilgStart,13)),$J6065*($H6065+INDEX(DarlTilgung,13))/100/12,IF(AND($G6065=0,$G6064=1),MAX($K6064,$J6065*($H6065+1)/100/12),$K6064))))</f>
      </c>
      <c r="L6065" s="43">
        <f>IF($I6065=0,0,$J6065*$H6065/100/12)</f>
      </c>
      <c r="M6065" s="43">
        <f>IF($I6065=0,0,IF(OR(INDEX(DarlOhneTilgung,13)=1,AND(INDEX(DarlTilgStart,13)&gt;0,$E6065&lt;INDEX(DarlTilgStart,13))),0,MIN(MAX(0,$K6065-$L6065),$J6065)))</f>
      </c>
      <c r="N6065" s="43">
        <f>IF($I6065=0,0,MIN(SUMIFS(SondBetrag,SondDarl,13,SondDatum,"&gt;="&amp;$E6065,SondDatum,"&lt;="&amp;EOMONTH($E6065,0)),$J6065-$M6065))</f>
      </c>
      <c r="O6065" s="43">
        <f>IF($I6065=0,0,INDEX(DarlErsatzRate,13))</f>
      </c>
      <c r="P6065" s="43">
        <f>IF($I6065=0,0,$Q6064*INDEX(DarlErsatzZins,13))</f>
      </c>
      <c r="Q6065" s="43">
        <f>IF($I6065=0,0,$Q6064+$P6065+$O6065)</f>
      </c>
      <c r="R6065" s="43">
        <f>IF($I6065=0,0,$J6065-$M6065-$N6065)</f>
      </c>
    </row>
    <row r="6066">
      <c r="A6066"/>
      <c r="B6066">
        <v>13</v>
      </c>
      <c r="C6066" s="43">
        <f>INDEX(DarlObj,13)</f>
      </c>
      <c r="D6066">
        <v>303</v>
      </c>
      <c r="E6066" s="51">
        <f>IF(INDEX(DarlBelegt,13)=0,0,EOMONTH(INDEX(DarlAuszahlung,13),302)+1)</f>
      </c>
      <c r="F6066" s="43">
        <f>IF($E6066=0,0,YEAR($E6066))</f>
      </c>
      <c r="G6066" s="43">
        <f>IF(INDEX(DarlBindung,13)="",1,IF($E6066&lt;=INDEX(DarlBindung,13),1,0))</f>
      </c>
      <c r="H6066" s="43">
        <f>IF($G6066=1,INDEX(DarlSollzins,13),INDEX(DarlAnschluss,13))</f>
      </c>
      <c r="I6066" s="43">
        <f>IF(INDEX(DarlBelegt,13)=0,0,IF(INDEX(DarlOhneTilgung,13)=1,IF(INDEX(DarlBindung,13)="",1,$G6066),IF($J6066&gt;0.005,1,0)))</f>
      </c>
      <c r="J6066" s="43">
        <f>IF($I6065=0,0,$R6065)</f>
      </c>
      <c r="K6066" s="43">
        <f>IF($I6066=0,0,IF(INDEX(DarlOhneTilgung,13)=1,0,IF(AND(INDEX(DarlTilgStart,13)&gt;0,$E6066=INDEX(DarlTilgStart,13)),$J6066*($H6066+INDEX(DarlTilgung,13))/100/12,IF(AND($G6066=0,$G6065=1),MAX($K6065,$J6066*($H6066+1)/100/12),$K6065))))</f>
      </c>
      <c r="L6066" s="43">
        <f>IF($I6066=0,0,$J6066*$H6066/100/12)</f>
      </c>
      <c r="M6066" s="43">
        <f>IF($I6066=0,0,IF(OR(INDEX(DarlOhneTilgung,13)=1,AND(INDEX(DarlTilgStart,13)&gt;0,$E6066&lt;INDEX(DarlTilgStart,13))),0,MIN(MAX(0,$K6066-$L6066),$J6066)))</f>
      </c>
      <c r="N6066" s="43">
        <f>IF($I6066=0,0,MIN(SUMIFS(SondBetrag,SondDarl,13,SondDatum,"&gt;="&amp;$E6066,SondDatum,"&lt;="&amp;EOMONTH($E6066,0)),$J6066-$M6066))</f>
      </c>
      <c r="O6066" s="43">
        <f>IF($I6066=0,0,INDEX(DarlErsatzRate,13))</f>
      </c>
      <c r="P6066" s="43">
        <f>IF($I6066=0,0,$Q6065*INDEX(DarlErsatzZins,13))</f>
      </c>
      <c r="Q6066" s="43">
        <f>IF($I6066=0,0,$Q6065+$P6066+$O6066)</f>
      </c>
      <c r="R6066" s="43">
        <f>IF($I6066=0,0,$J6066-$M6066-$N6066)</f>
      </c>
    </row>
    <row r="6067">
      <c r="A6067"/>
      <c r="B6067">
        <v>13</v>
      </c>
      <c r="C6067" s="43">
        <f>INDEX(DarlObj,13)</f>
      </c>
      <c r="D6067">
        <v>304</v>
      </c>
      <c r="E6067" s="51">
        <f>IF(INDEX(DarlBelegt,13)=0,0,EOMONTH(INDEX(DarlAuszahlung,13),303)+1)</f>
      </c>
      <c r="F6067" s="43">
        <f>IF($E6067=0,0,YEAR($E6067))</f>
      </c>
      <c r="G6067" s="43">
        <f>IF(INDEX(DarlBindung,13)="",1,IF($E6067&lt;=INDEX(DarlBindung,13),1,0))</f>
      </c>
      <c r="H6067" s="43">
        <f>IF($G6067=1,INDEX(DarlSollzins,13),INDEX(DarlAnschluss,13))</f>
      </c>
      <c r="I6067" s="43">
        <f>IF(INDEX(DarlBelegt,13)=0,0,IF(INDEX(DarlOhneTilgung,13)=1,IF(INDEX(DarlBindung,13)="",1,$G6067),IF($J6067&gt;0.005,1,0)))</f>
      </c>
      <c r="J6067" s="43">
        <f>IF($I6066=0,0,$R6066)</f>
      </c>
      <c r="K6067" s="43">
        <f>IF($I6067=0,0,IF(INDEX(DarlOhneTilgung,13)=1,0,IF(AND(INDEX(DarlTilgStart,13)&gt;0,$E6067=INDEX(DarlTilgStart,13)),$J6067*($H6067+INDEX(DarlTilgung,13))/100/12,IF(AND($G6067=0,$G6066=1),MAX($K6066,$J6067*($H6067+1)/100/12),$K6066))))</f>
      </c>
      <c r="L6067" s="43">
        <f>IF($I6067=0,0,$J6067*$H6067/100/12)</f>
      </c>
      <c r="M6067" s="43">
        <f>IF($I6067=0,0,IF(OR(INDEX(DarlOhneTilgung,13)=1,AND(INDEX(DarlTilgStart,13)&gt;0,$E6067&lt;INDEX(DarlTilgStart,13))),0,MIN(MAX(0,$K6067-$L6067),$J6067)))</f>
      </c>
      <c r="N6067" s="43">
        <f>IF($I6067=0,0,MIN(SUMIFS(SondBetrag,SondDarl,13,SondDatum,"&gt;="&amp;$E6067,SondDatum,"&lt;="&amp;EOMONTH($E6067,0)),$J6067-$M6067))</f>
      </c>
      <c r="O6067" s="43">
        <f>IF($I6067=0,0,INDEX(DarlErsatzRate,13))</f>
      </c>
      <c r="P6067" s="43">
        <f>IF($I6067=0,0,$Q6066*INDEX(DarlErsatzZins,13))</f>
      </c>
      <c r="Q6067" s="43">
        <f>IF($I6067=0,0,$Q6066+$P6067+$O6067)</f>
      </c>
      <c r="R6067" s="43">
        <f>IF($I6067=0,0,$J6067-$M6067-$N6067)</f>
      </c>
    </row>
    <row r="6068">
      <c r="A6068"/>
      <c r="B6068">
        <v>13</v>
      </c>
      <c r="C6068" s="43">
        <f>INDEX(DarlObj,13)</f>
      </c>
      <c r="D6068">
        <v>305</v>
      </c>
      <c r="E6068" s="51">
        <f>IF(INDEX(DarlBelegt,13)=0,0,EOMONTH(INDEX(DarlAuszahlung,13),304)+1)</f>
      </c>
      <c r="F6068" s="43">
        <f>IF($E6068=0,0,YEAR($E6068))</f>
      </c>
      <c r="G6068" s="43">
        <f>IF(INDEX(DarlBindung,13)="",1,IF($E6068&lt;=INDEX(DarlBindung,13),1,0))</f>
      </c>
      <c r="H6068" s="43">
        <f>IF($G6068=1,INDEX(DarlSollzins,13),INDEX(DarlAnschluss,13))</f>
      </c>
      <c r="I6068" s="43">
        <f>IF(INDEX(DarlBelegt,13)=0,0,IF(INDEX(DarlOhneTilgung,13)=1,IF(INDEX(DarlBindung,13)="",1,$G6068),IF($J6068&gt;0.005,1,0)))</f>
      </c>
      <c r="J6068" s="43">
        <f>IF($I6067=0,0,$R6067)</f>
      </c>
      <c r="K6068" s="43">
        <f>IF($I6068=0,0,IF(INDEX(DarlOhneTilgung,13)=1,0,IF(AND(INDEX(DarlTilgStart,13)&gt;0,$E6068=INDEX(DarlTilgStart,13)),$J6068*($H6068+INDEX(DarlTilgung,13))/100/12,IF(AND($G6068=0,$G6067=1),MAX($K6067,$J6068*($H6068+1)/100/12),$K6067))))</f>
      </c>
      <c r="L6068" s="43">
        <f>IF($I6068=0,0,$J6068*$H6068/100/12)</f>
      </c>
      <c r="M6068" s="43">
        <f>IF($I6068=0,0,IF(OR(INDEX(DarlOhneTilgung,13)=1,AND(INDEX(DarlTilgStart,13)&gt;0,$E6068&lt;INDEX(DarlTilgStart,13))),0,MIN(MAX(0,$K6068-$L6068),$J6068)))</f>
      </c>
      <c r="N6068" s="43">
        <f>IF($I6068=0,0,MIN(SUMIFS(SondBetrag,SondDarl,13,SondDatum,"&gt;="&amp;$E6068,SondDatum,"&lt;="&amp;EOMONTH($E6068,0)),$J6068-$M6068))</f>
      </c>
      <c r="O6068" s="43">
        <f>IF($I6068=0,0,INDEX(DarlErsatzRate,13))</f>
      </c>
      <c r="P6068" s="43">
        <f>IF($I6068=0,0,$Q6067*INDEX(DarlErsatzZins,13))</f>
      </c>
      <c r="Q6068" s="43">
        <f>IF($I6068=0,0,$Q6067+$P6068+$O6068)</f>
      </c>
      <c r="R6068" s="43">
        <f>IF($I6068=0,0,$J6068-$M6068-$N6068)</f>
      </c>
    </row>
    <row r="6069">
      <c r="A6069"/>
      <c r="B6069">
        <v>13</v>
      </c>
      <c r="C6069" s="43">
        <f>INDEX(DarlObj,13)</f>
      </c>
      <c r="D6069">
        <v>306</v>
      </c>
      <c r="E6069" s="51">
        <f>IF(INDEX(DarlBelegt,13)=0,0,EOMONTH(INDEX(DarlAuszahlung,13),305)+1)</f>
      </c>
      <c r="F6069" s="43">
        <f>IF($E6069=0,0,YEAR($E6069))</f>
      </c>
      <c r="G6069" s="43">
        <f>IF(INDEX(DarlBindung,13)="",1,IF($E6069&lt;=INDEX(DarlBindung,13),1,0))</f>
      </c>
      <c r="H6069" s="43">
        <f>IF($G6069=1,INDEX(DarlSollzins,13),INDEX(DarlAnschluss,13))</f>
      </c>
      <c r="I6069" s="43">
        <f>IF(INDEX(DarlBelegt,13)=0,0,IF(INDEX(DarlOhneTilgung,13)=1,IF(INDEX(DarlBindung,13)="",1,$G6069),IF($J6069&gt;0.005,1,0)))</f>
      </c>
      <c r="J6069" s="43">
        <f>IF($I6068=0,0,$R6068)</f>
      </c>
      <c r="K6069" s="43">
        <f>IF($I6069=0,0,IF(INDEX(DarlOhneTilgung,13)=1,0,IF(AND(INDEX(DarlTilgStart,13)&gt;0,$E6069=INDEX(DarlTilgStart,13)),$J6069*($H6069+INDEX(DarlTilgung,13))/100/12,IF(AND($G6069=0,$G6068=1),MAX($K6068,$J6069*($H6069+1)/100/12),$K6068))))</f>
      </c>
      <c r="L6069" s="43">
        <f>IF($I6069=0,0,$J6069*$H6069/100/12)</f>
      </c>
      <c r="M6069" s="43">
        <f>IF($I6069=0,0,IF(OR(INDEX(DarlOhneTilgung,13)=1,AND(INDEX(DarlTilgStart,13)&gt;0,$E6069&lt;INDEX(DarlTilgStart,13))),0,MIN(MAX(0,$K6069-$L6069),$J6069)))</f>
      </c>
      <c r="N6069" s="43">
        <f>IF($I6069=0,0,MIN(SUMIFS(SondBetrag,SondDarl,13,SondDatum,"&gt;="&amp;$E6069,SondDatum,"&lt;="&amp;EOMONTH($E6069,0)),$J6069-$M6069))</f>
      </c>
      <c r="O6069" s="43">
        <f>IF($I6069=0,0,INDEX(DarlErsatzRate,13))</f>
      </c>
      <c r="P6069" s="43">
        <f>IF($I6069=0,0,$Q6068*INDEX(DarlErsatzZins,13))</f>
      </c>
      <c r="Q6069" s="43">
        <f>IF($I6069=0,0,$Q6068+$P6069+$O6069)</f>
      </c>
      <c r="R6069" s="43">
        <f>IF($I6069=0,0,$J6069-$M6069-$N6069)</f>
      </c>
    </row>
    <row r="6070">
      <c r="A6070"/>
      <c r="B6070">
        <v>13</v>
      </c>
      <c r="C6070" s="43">
        <f>INDEX(DarlObj,13)</f>
      </c>
      <c r="D6070">
        <v>307</v>
      </c>
      <c r="E6070" s="51">
        <f>IF(INDEX(DarlBelegt,13)=0,0,EOMONTH(INDEX(DarlAuszahlung,13),306)+1)</f>
      </c>
      <c r="F6070" s="43">
        <f>IF($E6070=0,0,YEAR($E6070))</f>
      </c>
      <c r="G6070" s="43">
        <f>IF(INDEX(DarlBindung,13)="",1,IF($E6070&lt;=INDEX(DarlBindung,13),1,0))</f>
      </c>
      <c r="H6070" s="43">
        <f>IF($G6070=1,INDEX(DarlSollzins,13),INDEX(DarlAnschluss,13))</f>
      </c>
      <c r="I6070" s="43">
        <f>IF(INDEX(DarlBelegt,13)=0,0,IF(INDEX(DarlOhneTilgung,13)=1,IF(INDEX(DarlBindung,13)="",1,$G6070),IF($J6070&gt;0.005,1,0)))</f>
      </c>
      <c r="J6070" s="43">
        <f>IF($I6069=0,0,$R6069)</f>
      </c>
      <c r="K6070" s="43">
        <f>IF($I6070=0,0,IF(INDEX(DarlOhneTilgung,13)=1,0,IF(AND(INDEX(DarlTilgStart,13)&gt;0,$E6070=INDEX(DarlTilgStart,13)),$J6070*($H6070+INDEX(DarlTilgung,13))/100/12,IF(AND($G6070=0,$G6069=1),MAX($K6069,$J6070*($H6070+1)/100/12),$K6069))))</f>
      </c>
      <c r="L6070" s="43">
        <f>IF($I6070=0,0,$J6070*$H6070/100/12)</f>
      </c>
      <c r="M6070" s="43">
        <f>IF($I6070=0,0,IF(OR(INDEX(DarlOhneTilgung,13)=1,AND(INDEX(DarlTilgStart,13)&gt;0,$E6070&lt;INDEX(DarlTilgStart,13))),0,MIN(MAX(0,$K6070-$L6070),$J6070)))</f>
      </c>
      <c r="N6070" s="43">
        <f>IF($I6070=0,0,MIN(SUMIFS(SondBetrag,SondDarl,13,SondDatum,"&gt;="&amp;$E6070,SondDatum,"&lt;="&amp;EOMONTH($E6070,0)),$J6070-$M6070))</f>
      </c>
      <c r="O6070" s="43">
        <f>IF($I6070=0,0,INDEX(DarlErsatzRate,13))</f>
      </c>
      <c r="P6070" s="43">
        <f>IF($I6070=0,0,$Q6069*INDEX(DarlErsatzZins,13))</f>
      </c>
      <c r="Q6070" s="43">
        <f>IF($I6070=0,0,$Q6069+$P6070+$O6070)</f>
      </c>
      <c r="R6070" s="43">
        <f>IF($I6070=0,0,$J6070-$M6070-$N6070)</f>
      </c>
    </row>
    <row r="6071">
      <c r="A6071"/>
      <c r="B6071">
        <v>13</v>
      </c>
      <c r="C6071" s="43">
        <f>INDEX(DarlObj,13)</f>
      </c>
      <c r="D6071">
        <v>308</v>
      </c>
      <c r="E6071" s="51">
        <f>IF(INDEX(DarlBelegt,13)=0,0,EOMONTH(INDEX(DarlAuszahlung,13),307)+1)</f>
      </c>
      <c r="F6071" s="43">
        <f>IF($E6071=0,0,YEAR($E6071))</f>
      </c>
      <c r="G6071" s="43">
        <f>IF(INDEX(DarlBindung,13)="",1,IF($E6071&lt;=INDEX(DarlBindung,13),1,0))</f>
      </c>
      <c r="H6071" s="43">
        <f>IF($G6071=1,INDEX(DarlSollzins,13),INDEX(DarlAnschluss,13))</f>
      </c>
      <c r="I6071" s="43">
        <f>IF(INDEX(DarlBelegt,13)=0,0,IF(INDEX(DarlOhneTilgung,13)=1,IF(INDEX(DarlBindung,13)="",1,$G6071),IF($J6071&gt;0.005,1,0)))</f>
      </c>
      <c r="J6071" s="43">
        <f>IF($I6070=0,0,$R6070)</f>
      </c>
      <c r="K6071" s="43">
        <f>IF($I6071=0,0,IF(INDEX(DarlOhneTilgung,13)=1,0,IF(AND(INDEX(DarlTilgStart,13)&gt;0,$E6071=INDEX(DarlTilgStart,13)),$J6071*($H6071+INDEX(DarlTilgung,13))/100/12,IF(AND($G6071=0,$G6070=1),MAX($K6070,$J6071*($H6071+1)/100/12),$K6070))))</f>
      </c>
      <c r="L6071" s="43">
        <f>IF($I6071=0,0,$J6071*$H6071/100/12)</f>
      </c>
      <c r="M6071" s="43">
        <f>IF($I6071=0,0,IF(OR(INDEX(DarlOhneTilgung,13)=1,AND(INDEX(DarlTilgStart,13)&gt;0,$E6071&lt;INDEX(DarlTilgStart,13))),0,MIN(MAX(0,$K6071-$L6071),$J6071)))</f>
      </c>
      <c r="N6071" s="43">
        <f>IF($I6071=0,0,MIN(SUMIFS(SondBetrag,SondDarl,13,SondDatum,"&gt;="&amp;$E6071,SondDatum,"&lt;="&amp;EOMONTH($E6071,0)),$J6071-$M6071))</f>
      </c>
      <c r="O6071" s="43">
        <f>IF($I6071=0,0,INDEX(DarlErsatzRate,13))</f>
      </c>
      <c r="P6071" s="43">
        <f>IF($I6071=0,0,$Q6070*INDEX(DarlErsatzZins,13))</f>
      </c>
      <c r="Q6071" s="43">
        <f>IF($I6071=0,0,$Q6070+$P6071+$O6071)</f>
      </c>
      <c r="R6071" s="43">
        <f>IF($I6071=0,0,$J6071-$M6071-$N6071)</f>
      </c>
    </row>
    <row r="6072">
      <c r="A6072"/>
      <c r="B6072">
        <v>13</v>
      </c>
      <c r="C6072" s="43">
        <f>INDEX(DarlObj,13)</f>
      </c>
      <c r="D6072">
        <v>309</v>
      </c>
      <c r="E6072" s="51">
        <f>IF(INDEX(DarlBelegt,13)=0,0,EOMONTH(INDEX(DarlAuszahlung,13),308)+1)</f>
      </c>
      <c r="F6072" s="43">
        <f>IF($E6072=0,0,YEAR($E6072))</f>
      </c>
      <c r="G6072" s="43">
        <f>IF(INDEX(DarlBindung,13)="",1,IF($E6072&lt;=INDEX(DarlBindung,13),1,0))</f>
      </c>
      <c r="H6072" s="43">
        <f>IF($G6072=1,INDEX(DarlSollzins,13),INDEX(DarlAnschluss,13))</f>
      </c>
      <c r="I6072" s="43">
        <f>IF(INDEX(DarlBelegt,13)=0,0,IF(INDEX(DarlOhneTilgung,13)=1,IF(INDEX(DarlBindung,13)="",1,$G6072),IF($J6072&gt;0.005,1,0)))</f>
      </c>
      <c r="J6072" s="43">
        <f>IF($I6071=0,0,$R6071)</f>
      </c>
      <c r="K6072" s="43">
        <f>IF($I6072=0,0,IF(INDEX(DarlOhneTilgung,13)=1,0,IF(AND(INDEX(DarlTilgStart,13)&gt;0,$E6072=INDEX(DarlTilgStart,13)),$J6072*($H6072+INDEX(DarlTilgung,13))/100/12,IF(AND($G6072=0,$G6071=1),MAX($K6071,$J6072*($H6072+1)/100/12),$K6071))))</f>
      </c>
      <c r="L6072" s="43">
        <f>IF($I6072=0,0,$J6072*$H6072/100/12)</f>
      </c>
      <c r="M6072" s="43">
        <f>IF($I6072=0,0,IF(OR(INDEX(DarlOhneTilgung,13)=1,AND(INDEX(DarlTilgStart,13)&gt;0,$E6072&lt;INDEX(DarlTilgStart,13))),0,MIN(MAX(0,$K6072-$L6072),$J6072)))</f>
      </c>
      <c r="N6072" s="43">
        <f>IF($I6072=0,0,MIN(SUMIFS(SondBetrag,SondDarl,13,SondDatum,"&gt;="&amp;$E6072,SondDatum,"&lt;="&amp;EOMONTH($E6072,0)),$J6072-$M6072))</f>
      </c>
      <c r="O6072" s="43">
        <f>IF($I6072=0,0,INDEX(DarlErsatzRate,13))</f>
      </c>
      <c r="P6072" s="43">
        <f>IF($I6072=0,0,$Q6071*INDEX(DarlErsatzZins,13))</f>
      </c>
      <c r="Q6072" s="43">
        <f>IF($I6072=0,0,$Q6071+$P6072+$O6072)</f>
      </c>
      <c r="R6072" s="43">
        <f>IF($I6072=0,0,$J6072-$M6072-$N6072)</f>
      </c>
    </row>
    <row r="6073">
      <c r="A6073"/>
      <c r="B6073">
        <v>13</v>
      </c>
      <c r="C6073" s="43">
        <f>INDEX(DarlObj,13)</f>
      </c>
      <c r="D6073">
        <v>310</v>
      </c>
      <c r="E6073" s="51">
        <f>IF(INDEX(DarlBelegt,13)=0,0,EOMONTH(INDEX(DarlAuszahlung,13),309)+1)</f>
      </c>
      <c r="F6073" s="43">
        <f>IF($E6073=0,0,YEAR($E6073))</f>
      </c>
      <c r="G6073" s="43">
        <f>IF(INDEX(DarlBindung,13)="",1,IF($E6073&lt;=INDEX(DarlBindung,13),1,0))</f>
      </c>
      <c r="H6073" s="43">
        <f>IF($G6073=1,INDEX(DarlSollzins,13),INDEX(DarlAnschluss,13))</f>
      </c>
      <c r="I6073" s="43">
        <f>IF(INDEX(DarlBelegt,13)=0,0,IF(INDEX(DarlOhneTilgung,13)=1,IF(INDEX(DarlBindung,13)="",1,$G6073),IF($J6073&gt;0.005,1,0)))</f>
      </c>
      <c r="J6073" s="43">
        <f>IF($I6072=0,0,$R6072)</f>
      </c>
      <c r="K6073" s="43">
        <f>IF($I6073=0,0,IF(INDEX(DarlOhneTilgung,13)=1,0,IF(AND(INDEX(DarlTilgStart,13)&gt;0,$E6073=INDEX(DarlTilgStart,13)),$J6073*($H6073+INDEX(DarlTilgung,13))/100/12,IF(AND($G6073=0,$G6072=1),MAX($K6072,$J6073*($H6073+1)/100/12),$K6072))))</f>
      </c>
      <c r="L6073" s="43">
        <f>IF($I6073=0,0,$J6073*$H6073/100/12)</f>
      </c>
      <c r="M6073" s="43">
        <f>IF($I6073=0,0,IF(OR(INDEX(DarlOhneTilgung,13)=1,AND(INDEX(DarlTilgStart,13)&gt;0,$E6073&lt;INDEX(DarlTilgStart,13))),0,MIN(MAX(0,$K6073-$L6073),$J6073)))</f>
      </c>
      <c r="N6073" s="43">
        <f>IF($I6073=0,0,MIN(SUMIFS(SondBetrag,SondDarl,13,SondDatum,"&gt;="&amp;$E6073,SondDatum,"&lt;="&amp;EOMONTH($E6073,0)),$J6073-$M6073))</f>
      </c>
      <c r="O6073" s="43">
        <f>IF($I6073=0,0,INDEX(DarlErsatzRate,13))</f>
      </c>
      <c r="P6073" s="43">
        <f>IF($I6073=0,0,$Q6072*INDEX(DarlErsatzZins,13))</f>
      </c>
      <c r="Q6073" s="43">
        <f>IF($I6073=0,0,$Q6072+$P6073+$O6073)</f>
      </c>
      <c r="R6073" s="43">
        <f>IF($I6073=0,0,$J6073-$M6073-$N6073)</f>
      </c>
    </row>
    <row r="6074">
      <c r="A6074"/>
      <c r="B6074">
        <v>13</v>
      </c>
      <c r="C6074" s="43">
        <f>INDEX(DarlObj,13)</f>
      </c>
      <c r="D6074">
        <v>311</v>
      </c>
      <c r="E6074" s="51">
        <f>IF(INDEX(DarlBelegt,13)=0,0,EOMONTH(INDEX(DarlAuszahlung,13),310)+1)</f>
      </c>
      <c r="F6074" s="43">
        <f>IF($E6074=0,0,YEAR($E6074))</f>
      </c>
      <c r="G6074" s="43">
        <f>IF(INDEX(DarlBindung,13)="",1,IF($E6074&lt;=INDEX(DarlBindung,13),1,0))</f>
      </c>
      <c r="H6074" s="43">
        <f>IF($G6074=1,INDEX(DarlSollzins,13),INDEX(DarlAnschluss,13))</f>
      </c>
      <c r="I6074" s="43">
        <f>IF(INDEX(DarlBelegt,13)=0,0,IF(INDEX(DarlOhneTilgung,13)=1,IF(INDEX(DarlBindung,13)="",1,$G6074),IF($J6074&gt;0.005,1,0)))</f>
      </c>
      <c r="J6074" s="43">
        <f>IF($I6073=0,0,$R6073)</f>
      </c>
      <c r="K6074" s="43">
        <f>IF($I6074=0,0,IF(INDEX(DarlOhneTilgung,13)=1,0,IF(AND(INDEX(DarlTilgStart,13)&gt;0,$E6074=INDEX(DarlTilgStart,13)),$J6074*($H6074+INDEX(DarlTilgung,13))/100/12,IF(AND($G6074=0,$G6073=1),MAX($K6073,$J6074*($H6074+1)/100/12),$K6073))))</f>
      </c>
      <c r="L6074" s="43">
        <f>IF($I6074=0,0,$J6074*$H6074/100/12)</f>
      </c>
      <c r="M6074" s="43">
        <f>IF($I6074=0,0,IF(OR(INDEX(DarlOhneTilgung,13)=1,AND(INDEX(DarlTilgStart,13)&gt;0,$E6074&lt;INDEX(DarlTilgStart,13))),0,MIN(MAX(0,$K6074-$L6074),$J6074)))</f>
      </c>
      <c r="N6074" s="43">
        <f>IF($I6074=0,0,MIN(SUMIFS(SondBetrag,SondDarl,13,SondDatum,"&gt;="&amp;$E6074,SondDatum,"&lt;="&amp;EOMONTH($E6074,0)),$J6074-$M6074))</f>
      </c>
      <c r="O6074" s="43">
        <f>IF($I6074=0,0,INDEX(DarlErsatzRate,13))</f>
      </c>
      <c r="P6074" s="43">
        <f>IF($I6074=0,0,$Q6073*INDEX(DarlErsatzZins,13))</f>
      </c>
      <c r="Q6074" s="43">
        <f>IF($I6074=0,0,$Q6073+$P6074+$O6074)</f>
      </c>
      <c r="R6074" s="43">
        <f>IF($I6074=0,0,$J6074-$M6074-$N6074)</f>
      </c>
    </row>
    <row r="6075">
      <c r="A6075"/>
      <c r="B6075">
        <v>13</v>
      </c>
      <c r="C6075" s="43">
        <f>INDEX(DarlObj,13)</f>
      </c>
      <c r="D6075">
        <v>312</v>
      </c>
      <c r="E6075" s="51">
        <f>IF(INDEX(DarlBelegt,13)=0,0,EOMONTH(INDEX(DarlAuszahlung,13),311)+1)</f>
      </c>
      <c r="F6075" s="43">
        <f>IF($E6075=0,0,YEAR($E6075))</f>
      </c>
      <c r="G6075" s="43">
        <f>IF(INDEX(DarlBindung,13)="",1,IF($E6075&lt;=INDEX(DarlBindung,13),1,0))</f>
      </c>
      <c r="H6075" s="43">
        <f>IF($G6075=1,INDEX(DarlSollzins,13),INDEX(DarlAnschluss,13))</f>
      </c>
      <c r="I6075" s="43">
        <f>IF(INDEX(DarlBelegt,13)=0,0,IF(INDEX(DarlOhneTilgung,13)=1,IF(INDEX(DarlBindung,13)="",1,$G6075),IF($J6075&gt;0.005,1,0)))</f>
      </c>
      <c r="J6075" s="43">
        <f>IF($I6074=0,0,$R6074)</f>
      </c>
      <c r="K6075" s="43">
        <f>IF($I6075=0,0,IF(INDEX(DarlOhneTilgung,13)=1,0,IF(AND(INDEX(DarlTilgStart,13)&gt;0,$E6075=INDEX(DarlTilgStart,13)),$J6075*($H6075+INDEX(DarlTilgung,13))/100/12,IF(AND($G6075=0,$G6074=1),MAX($K6074,$J6075*($H6075+1)/100/12),$K6074))))</f>
      </c>
      <c r="L6075" s="43">
        <f>IF($I6075=0,0,$J6075*$H6075/100/12)</f>
      </c>
      <c r="M6075" s="43">
        <f>IF($I6075=0,0,IF(OR(INDEX(DarlOhneTilgung,13)=1,AND(INDEX(DarlTilgStart,13)&gt;0,$E6075&lt;INDEX(DarlTilgStart,13))),0,MIN(MAX(0,$K6075-$L6075),$J6075)))</f>
      </c>
      <c r="N6075" s="43">
        <f>IF($I6075=0,0,MIN(SUMIFS(SondBetrag,SondDarl,13,SondDatum,"&gt;="&amp;$E6075,SondDatum,"&lt;="&amp;EOMONTH($E6075,0)),$J6075-$M6075))</f>
      </c>
      <c r="O6075" s="43">
        <f>IF($I6075=0,0,INDEX(DarlErsatzRate,13))</f>
      </c>
      <c r="P6075" s="43">
        <f>IF($I6075=0,0,$Q6074*INDEX(DarlErsatzZins,13))</f>
      </c>
      <c r="Q6075" s="43">
        <f>IF($I6075=0,0,$Q6074+$P6075+$O6075)</f>
      </c>
      <c r="R6075" s="43">
        <f>IF($I6075=0,0,$J6075-$M6075-$N6075)</f>
      </c>
    </row>
    <row r="6076">
      <c r="A6076"/>
      <c r="B6076">
        <v>13</v>
      </c>
      <c r="C6076" s="43">
        <f>INDEX(DarlObj,13)</f>
      </c>
      <c r="D6076">
        <v>313</v>
      </c>
      <c r="E6076" s="51">
        <f>IF(INDEX(DarlBelegt,13)=0,0,EOMONTH(INDEX(DarlAuszahlung,13),312)+1)</f>
      </c>
      <c r="F6076" s="43">
        <f>IF($E6076=0,0,YEAR($E6076))</f>
      </c>
      <c r="G6076" s="43">
        <f>IF(INDEX(DarlBindung,13)="",1,IF($E6076&lt;=INDEX(DarlBindung,13),1,0))</f>
      </c>
      <c r="H6076" s="43">
        <f>IF($G6076=1,INDEX(DarlSollzins,13),INDEX(DarlAnschluss,13))</f>
      </c>
      <c r="I6076" s="43">
        <f>IF(INDEX(DarlBelegt,13)=0,0,IF(INDEX(DarlOhneTilgung,13)=1,IF(INDEX(DarlBindung,13)="",1,$G6076),IF($J6076&gt;0.005,1,0)))</f>
      </c>
      <c r="J6076" s="43">
        <f>IF($I6075=0,0,$R6075)</f>
      </c>
      <c r="K6076" s="43">
        <f>IF($I6076=0,0,IF(INDEX(DarlOhneTilgung,13)=1,0,IF(AND(INDEX(DarlTilgStart,13)&gt;0,$E6076=INDEX(DarlTilgStart,13)),$J6076*($H6076+INDEX(DarlTilgung,13))/100/12,IF(AND($G6076=0,$G6075=1),MAX($K6075,$J6076*($H6076+1)/100/12),$K6075))))</f>
      </c>
      <c r="L6076" s="43">
        <f>IF($I6076=0,0,$J6076*$H6076/100/12)</f>
      </c>
      <c r="M6076" s="43">
        <f>IF($I6076=0,0,IF(OR(INDEX(DarlOhneTilgung,13)=1,AND(INDEX(DarlTilgStart,13)&gt;0,$E6076&lt;INDEX(DarlTilgStart,13))),0,MIN(MAX(0,$K6076-$L6076),$J6076)))</f>
      </c>
      <c r="N6076" s="43">
        <f>IF($I6076=0,0,MIN(SUMIFS(SondBetrag,SondDarl,13,SondDatum,"&gt;="&amp;$E6076,SondDatum,"&lt;="&amp;EOMONTH($E6076,0)),$J6076-$M6076))</f>
      </c>
      <c r="O6076" s="43">
        <f>IF($I6076=0,0,INDEX(DarlErsatzRate,13))</f>
      </c>
      <c r="P6076" s="43">
        <f>IF($I6076=0,0,$Q6075*INDEX(DarlErsatzZins,13))</f>
      </c>
      <c r="Q6076" s="43">
        <f>IF($I6076=0,0,$Q6075+$P6076+$O6076)</f>
      </c>
      <c r="R6076" s="43">
        <f>IF($I6076=0,0,$J6076-$M6076-$N6076)</f>
      </c>
    </row>
    <row r="6077">
      <c r="A6077"/>
      <c r="B6077">
        <v>13</v>
      </c>
      <c r="C6077" s="43">
        <f>INDEX(DarlObj,13)</f>
      </c>
      <c r="D6077">
        <v>314</v>
      </c>
      <c r="E6077" s="51">
        <f>IF(INDEX(DarlBelegt,13)=0,0,EOMONTH(INDEX(DarlAuszahlung,13),313)+1)</f>
      </c>
      <c r="F6077" s="43">
        <f>IF($E6077=0,0,YEAR($E6077))</f>
      </c>
      <c r="G6077" s="43">
        <f>IF(INDEX(DarlBindung,13)="",1,IF($E6077&lt;=INDEX(DarlBindung,13),1,0))</f>
      </c>
      <c r="H6077" s="43">
        <f>IF($G6077=1,INDEX(DarlSollzins,13),INDEX(DarlAnschluss,13))</f>
      </c>
      <c r="I6077" s="43">
        <f>IF(INDEX(DarlBelegt,13)=0,0,IF(INDEX(DarlOhneTilgung,13)=1,IF(INDEX(DarlBindung,13)="",1,$G6077),IF($J6077&gt;0.005,1,0)))</f>
      </c>
      <c r="J6077" s="43">
        <f>IF($I6076=0,0,$R6076)</f>
      </c>
      <c r="K6077" s="43">
        <f>IF($I6077=0,0,IF(INDEX(DarlOhneTilgung,13)=1,0,IF(AND(INDEX(DarlTilgStart,13)&gt;0,$E6077=INDEX(DarlTilgStart,13)),$J6077*($H6077+INDEX(DarlTilgung,13))/100/12,IF(AND($G6077=0,$G6076=1),MAX($K6076,$J6077*($H6077+1)/100/12),$K6076))))</f>
      </c>
      <c r="L6077" s="43">
        <f>IF($I6077=0,0,$J6077*$H6077/100/12)</f>
      </c>
      <c r="M6077" s="43">
        <f>IF($I6077=0,0,IF(OR(INDEX(DarlOhneTilgung,13)=1,AND(INDEX(DarlTilgStart,13)&gt;0,$E6077&lt;INDEX(DarlTilgStart,13))),0,MIN(MAX(0,$K6077-$L6077),$J6077)))</f>
      </c>
      <c r="N6077" s="43">
        <f>IF($I6077=0,0,MIN(SUMIFS(SondBetrag,SondDarl,13,SondDatum,"&gt;="&amp;$E6077,SondDatum,"&lt;="&amp;EOMONTH($E6077,0)),$J6077-$M6077))</f>
      </c>
      <c r="O6077" s="43">
        <f>IF($I6077=0,0,INDEX(DarlErsatzRate,13))</f>
      </c>
      <c r="P6077" s="43">
        <f>IF($I6077=0,0,$Q6076*INDEX(DarlErsatzZins,13))</f>
      </c>
      <c r="Q6077" s="43">
        <f>IF($I6077=0,0,$Q6076+$P6077+$O6077)</f>
      </c>
      <c r="R6077" s="43">
        <f>IF($I6077=0,0,$J6077-$M6077-$N6077)</f>
      </c>
    </row>
    <row r="6078">
      <c r="A6078"/>
      <c r="B6078">
        <v>13</v>
      </c>
      <c r="C6078" s="43">
        <f>INDEX(DarlObj,13)</f>
      </c>
      <c r="D6078">
        <v>315</v>
      </c>
      <c r="E6078" s="51">
        <f>IF(INDEX(DarlBelegt,13)=0,0,EOMONTH(INDEX(DarlAuszahlung,13),314)+1)</f>
      </c>
      <c r="F6078" s="43">
        <f>IF($E6078=0,0,YEAR($E6078))</f>
      </c>
      <c r="G6078" s="43">
        <f>IF(INDEX(DarlBindung,13)="",1,IF($E6078&lt;=INDEX(DarlBindung,13),1,0))</f>
      </c>
      <c r="H6078" s="43">
        <f>IF($G6078=1,INDEX(DarlSollzins,13),INDEX(DarlAnschluss,13))</f>
      </c>
      <c r="I6078" s="43">
        <f>IF(INDEX(DarlBelegt,13)=0,0,IF(INDEX(DarlOhneTilgung,13)=1,IF(INDEX(DarlBindung,13)="",1,$G6078),IF($J6078&gt;0.005,1,0)))</f>
      </c>
      <c r="J6078" s="43">
        <f>IF($I6077=0,0,$R6077)</f>
      </c>
      <c r="K6078" s="43">
        <f>IF($I6078=0,0,IF(INDEX(DarlOhneTilgung,13)=1,0,IF(AND(INDEX(DarlTilgStart,13)&gt;0,$E6078=INDEX(DarlTilgStart,13)),$J6078*($H6078+INDEX(DarlTilgung,13))/100/12,IF(AND($G6078=0,$G6077=1),MAX($K6077,$J6078*($H6078+1)/100/12),$K6077))))</f>
      </c>
      <c r="L6078" s="43">
        <f>IF($I6078=0,0,$J6078*$H6078/100/12)</f>
      </c>
      <c r="M6078" s="43">
        <f>IF($I6078=0,0,IF(OR(INDEX(DarlOhneTilgung,13)=1,AND(INDEX(DarlTilgStart,13)&gt;0,$E6078&lt;INDEX(DarlTilgStart,13))),0,MIN(MAX(0,$K6078-$L6078),$J6078)))</f>
      </c>
      <c r="N6078" s="43">
        <f>IF($I6078=0,0,MIN(SUMIFS(SondBetrag,SondDarl,13,SondDatum,"&gt;="&amp;$E6078,SondDatum,"&lt;="&amp;EOMONTH($E6078,0)),$J6078-$M6078))</f>
      </c>
      <c r="O6078" s="43">
        <f>IF($I6078=0,0,INDEX(DarlErsatzRate,13))</f>
      </c>
      <c r="P6078" s="43">
        <f>IF($I6078=0,0,$Q6077*INDEX(DarlErsatzZins,13))</f>
      </c>
      <c r="Q6078" s="43">
        <f>IF($I6078=0,0,$Q6077+$P6078+$O6078)</f>
      </c>
      <c r="R6078" s="43">
        <f>IF($I6078=0,0,$J6078-$M6078-$N6078)</f>
      </c>
    </row>
    <row r="6079">
      <c r="A6079"/>
      <c r="B6079">
        <v>13</v>
      </c>
      <c r="C6079" s="43">
        <f>INDEX(DarlObj,13)</f>
      </c>
      <c r="D6079">
        <v>316</v>
      </c>
      <c r="E6079" s="51">
        <f>IF(INDEX(DarlBelegt,13)=0,0,EOMONTH(INDEX(DarlAuszahlung,13),315)+1)</f>
      </c>
      <c r="F6079" s="43">
        <f>IF($E6079=0,0,YEAR($E6079))</f>
      </c>
      <c r="G6079" s="43">
        <f>IF(INDEX(DarlBindung,13)="",1,IF($E6079&lt;=INDEX(DarlBindung,13),1,0))</f>
      </c>
      <c r="H6079" s="43">
        <f>IF($G6079=1,INDEX(DarlSollzins,13),INDEX(DarlAnschluss,13))</f>
      </c>
      <c r="I6079" s="43">
        <f>IF(INDEX(DarlBelegt,13)=0,0,IF(INDEX(DarlOhneTilgung,13)=1,IF(INDEX(DarlBindung,13)="",1,$G6079),IF($J6079&gt;0.005,1,0)))</f>
      </c>
      <c r="J6079" s="43">
        <f>IF($I6078=0,0,$R6078)</f>
      </c>
      <c r="K6079" s="43">
        <f>IF($I6079=0,0,IF(INDEX(DarlOhneTilgung,13)=1,0,IF(AND(INDEX(DarlTilgStart,13)&gt;0,$E6079=INDEX(DarlTilgStart,13)),$J6079*($H6079+INDEX(DarlTilgung,13))/100/12,IF(AND($G6079=0,$G6078=1),MAX($K6078,$J6079*($H6079+1)/100/12),$K6078))))</f>
      </c>
      <c r="L6079" s="43">
        <f>IF($I6079=0,0,$J6079*$H6079/100/12)</f>
      </c>
      <c r="M6079" s="43">
        <f>IF($I6079=0,0,IF(OR(INDEX(DarlOhneTilgung,13)=1,AND(INDEX(DarlTilgStart,13)&gt;0,$E6079&lt;INDEX(DarlTilgStart,13))),0,MIN(MAX(0,$K6079-$L6079),$J6079)))</f>
      </c>
      <c r="N6079" s="43">
        <f>IF($I6079=0,0,MIN(SUMIFS(SondBetrag,SondDarl,13,SondDatum,"&gt;="&amp;$E6079,SondDatum,"&lt;="&amp;EOMONTH($E6079,0)),$J6079-$M6079))</f>
      </c>
      <c r="O6079" s="43">
        <f>IF($I6079=0,0,INDEX(DarlErsatzRate,13))</f>
      </c>
      <c r="P6079" s="43">
        <f>IF($I6079=0,0,$Q6078*INDEX(DarlErsatzZins,13))</f>
      </c>
      <c r="Q6079" s="43">
        <f>IF($I6079=0,0,$Q6078+$P6079+$O6079)</f>
      </c>
      <c r="R6079" s="43">
        <f>IF($I6079=0,0,$J6079-$M6079-$N6079)</f>
      </c>
    </row>
    <row r="6080">
      <c r="A6080"/>
      <c r="B6080">
        <v>13</v>
      </c>
      <c r="C6080" s="43">
        <f>INDEX(DarlObj,13)</f>
      </c>
      <c r="D6080">
        <v>317</v>
      </c>
      <c r="E6080" s="51">
        <f>IF(INDEX(DarlBelegt,13)=0,0,EOMONTH(INDEX(DarlAuszahlung,13),316)+1)</f>
      </c>
      <c r="F6080" s="43">
        <f>IF($E6080=0,0,YEAR($E6080))</f>
      </c>
      <c r="G6080" s="43">
        <f>IF(INDEX(DarlBindung,13)="",1,IF($E6080&lt;=INDEX(DarlBindung,13),1,0))</f>
      </c>
      <c r="H6080" s="43">
        <f>IF($G6080=1,INDEX(DarlSollzins,13),INDEX(DarlAnschluss,13))</f>
      </c>
      <c r="I6080" s="43">
        <f>IF(INDEX(DarlBelegt,13)=0,0,IF(INDEX(DarlOhneTilgung,13)=1,IF(INDEX(DarlBindung,13)="",1,$G6080),IF($J6080&gt;0.005,1,0)))</f>
      </c>
      <c r="J6080" s="43">
        <f>IF($I6079=0,0,$R6079)</f>
      </c>
      <c r="K6080" s="43">
        <f>IF($I6080=0,0,IF(INDEX(DarlOhneTilgung,13)=1,0,IF(AND(INDEX(DarlTilgStart,13)&gt;0,$E6080=INDEX(DarlTilgStart,13)),$J6080*($H6080+INDEX(DarlTilgung,13))/100/12,IF(AND($G6080=0,$G6079=1),MAX($K6079,$J6080*($H6080+1)/100/12),$K6079))))</f>
      </c>
      <c r="L6080" s="43">
        <f>IF($I6080=0,0,$J6080*$H6080/100/12)</f>
      </c>
      <c r="M6080" s="43">
        <f>IF($I6080=0,0,IF(OR(INDEX(DarlOhneTilgung,13)=1,AND(INDEX(DarlTilgStart,13)&gt;0,$E6080&lt;INDEX(DarlTilgStart,13))),0,MIN(MAX(0,$K6080-$L6080),$J6080)))</f>
      </c>
      <c r="N6080" s="43">
        <f>IF($I6080=0,0,MIN(SUMIFS(SondBetrag,SondDarl,13,SondDatum,"&gt;="&amp;$E6080,SondDatum,"&lt;="&amp;EOMONTH($E6080,0)),$J6080-$M6080))</f>
      </c>
      <c r="O6080" s="43">
        <f>IF($I6080=0,0,INDEX(DarlErsatzRate,13))</f>
      </c>
      <c r="P6080" s="43">
        <f>IF($I6080=0,0,$Q6079*INDEX(DarlErsatzZins,13))</f>
      </c>
      <c r="Q6080" s="43">
        <f>IF($I6080=0,0,$Q6079+$P6080+$O6080)</f>
      </c>
      <c r="R6080" s="43">
        <f>IF($I6080=0,0,$J6080-$M6080-$N6080)</f>
      </c>
    </row>
    <row r="6081">
      <c r="A6081"/>
      <c r="B6081">
        <v>13</v>
      </c>
      <c r="C6081" s="43">
        <f>INDEX(DarlObj,13)</f>
      </c>
      <c r="D6081">
        <v>318</v>
      </c>
      <c r="E6081" s="51">
        <f>IF(INDEX(DarlBelegt,13)=0,0,EOMONTH(INDEX(DarlAuszahlung,13),317)+1)</f>
      </c>
      <c r="F6081" s="43">
        <f>IF($E6081=0,0,YEAR($E6081))</f>
      </c>
      <c r="G6081" s="43">
        <f>IF(INDEX(DarlBindung,13)="",1,IF($E6081&lt;=INDEX(DarlBindung,13),1,0))</f>
      </c>
      <c r="H6081" s="43">
        <f>IF($G6081=1,INDEX(DarlSollzins,13),INDEX(DarlAnschluss,13))</f>
      </c>
      <c r="I6081" s="43">
        <f>IF(INDEX(DarlBelegt,13)=0,0,IF(INDEX(DarlOhneTilgung,13)=1,IF(INDEX(DarlBindung,13)="",1,$G6081),IF($J6081&gt;0.005,1,0)))</f>
      </c>
      <c r="J6081" s="43">
        <f>IF($I6080=0,0,$R6080)</f>
      </c>
      <c r="K6081" s="43">
        <f>IF($I6081=0,0,IF(INDEX(DarlOhneTilgung,13)=1,0,IF(AND(INDEX(DarlTilgStart,13)&gt;0,$E6081=INDEX(DarlTilgStart,13)),$J6081*($H6081+INDEX(DarlTilgung,13))/100/12,IF(AND($G6081=0,$G6080=1),MAX($K6080,$J6081*($H6081+1)/100/12),$K6080))))</f>
      </c>
      <c r="L6081" s="43">
        <f>IF($I6081=0,0,$J6081*$H6081/100/12)</f>
      </c>
      <c r="M6081" s="43">
        <f>IF($I6081=0,0,IF(OR(INDEX(DarlOhneTilgung,13)=1,AND(INDEX(DarlTilgStart,13)&gt;0,$E6081&lt;INDEX(DarlTilgStart,13))),0,MIN(MAX(0,$K6081-$L6081),$J6081)))</f>
      </c>
      <c r="N6081" s="43">
        <f>IF($I6081=0,0,MIN(SUMIFS(SondBetrag,SondDarl,13,SondDatum,"&gt;="&amp;$E6081,SondDatum,"&lt;="&amp;EOMONTH($E6081,0)),$J6081-$M6081))</f>
      </c>
      <c r="O6081" s="43">
        <f>IF($I6081=0,0,INDEX(DarlErsatzRate,13))</f>
      </c>
      <c r="P6081" s="43">
        <f>IF($I6081=0,0,$Q6080*INDEX(DarlErsatzZins,13))</f>
      </c>
      <c r="Q6081" s="43">
        <f>IF($I6081=0,0,$Q6080+$P6081+$O6081)</f>
      </c>
      <c r="R6081" s="43">
        <f>IF($I6081=0,0,$J6081-$M6081-$N6081)</f>
      </c>
    </row>
    <row r="6082">
      <c r="A6082"/>
      <c r="B6082">
        <v>13</v>
      </c>
      <c r="C6082" s="43">
        <f>INDEX(DarlObj,13)</f>
      </c>
      <c r="D6082">
        <v>319</v>
      </c>
      <c r="E6082" s="51">
        <f>IF(INDEX(DarlBelegt,13)=0,0,EOMONTH(INDEX(DarlAuszahlung,13),318)+1)</f>
      </c>
      <c r="F6082" s="43">
        <f>IF($E6082=0,0,YEAR($E6082))</f>
      </c>
      <c r="G6082" s="43">
        <f>IF(INDEX(DarlBindung,13)="",1,IF($E6082&lt;=INDEX(DarlBindung,13),1,0))</f>
      </c>
      <c r="H6082" s="43">
        <f>IF($G6082=1,INDEX(DarlSollzins,13),INDEX(DarlAnschluss,13))</f>
      </c>
      <c r="I6082" s="43">
        <f>IF(INDEX(DarlBelegt,13)=0,0,IF(INDEX(DarlOhneTilgung,13)=1,IF(INDEX(DarlBindung,13)="",1,$G6082),IF($J6082&gt;0.005,1,0)))</f>
      </c>
      <c r="J6082" s="43">
        <f>IF($I6081=0,0,$R6081)</f>
      </c>
      <c r="K6082" s="43">
        <f>IF($I6082=0,0,IF(INDEX(DarlOhneTilgung,13)=1,0,IF(AND(INDEX(DarlTilgStart,13)&gt;0,$E6082=INDEX(DarlTilgStart,13)),$J6082*($H6082+INDEX(DarlTilgung,13))/100/12,IF(AND($G6082=0,$G6081=1),MAX($K6081,$J6082*($H6082+1)/100/12),$K6081))))</f>
      </c>
      <c r="L6082" s="43">
        <f>IF($I6082=0,0,$J6082*$H6082/100/12)</f>
      </c>
      <c r="M6082" s="43">
        <f>IF($I6082=0,0,IF(OR(INDEX(DarlOhneTilgung,13)=1,AND(INDEX(DarlTilgStart,13)&gt;0,$E6082&lt;INDEX(DarlTilgStart,13))),0,MIN(MAX(0,$K6082-$L6082),$J6082)))</f>
      </c>
      <c r="N6082" s="43">
        <f>IF($I6082=0,0,MIN(SUMIFS(SondBetrag,SondDarl,13,SondDatum,"&gt;="&amp;$E6082,SondDatum,"&lt;="&amp;EOMONTH($E6082,0)),$J6082-$M6082))</f>
      </c>
      <c r="O6082" s="43">
        <f>IF($I6082=0,0,INDEX(DarlErsatzRate,13))</f>
      </c>
      <c r="P6082" s="43">
        <f>IF($I6082=0,0,$Q6081*INDEX(DarlErsatzZins,13))</f>
      </c>
      <c r="Q6082" s="43">
        <f>IF($I6082=0,0,$Q6081+$P6082+$O6082)</f>
      </c>
      <c r="R6082" s="43">
        <f>IF($I6082=0,0,$J6082-$M6082-$N6082)</f>
      </c>
    </row>
    <row r="6083">
      <c r="A6083"/>
      <c r="B6083">
        <v>13</v>
      </c>
      <c r="C6083" s="43">
        <f>INDEX(DarlObj,13)</f>
      </c>
      <c r="D6083">
        <v>320</v>
      </c>
      <c r="E6083" s="51">
        <f>IF(INDEX(DarlBelegt,13)=0,0,EOMONTH(INDEX(DarlAuszahlung,13),319)+1)</f>
      </c>
      <c r="F6083" s="43">
        <f>IF($E6083=0,0,YEAR($E6083))</f>
      </c>
      <c r="G6083" s="43">
        <f>IF(INDEX(DarlBindung,13)="",1,IF($E6083&lt;=INDEX(DarlBindung,13),1,0))</f>
      </c>
      <c r="H6083" s="43">
        <f>IF($G6083=1,INDEX(DarlSollzins,13),INDEX(DarlAnschluss,13))</f>
      </c>
      <c r="I6083" s="43">
        <f>IF(INDEX(DarlBelegt,13)=0,0,IF(INDEX(DarlOhneTilgung,13)=1,IF(INDEX(DarlBindung,13)="",1,$G6083),IF($J6083&gt;0.005,1,0)))</f>
      </c>
      <c r="J6083" s="43">
        <f>IF($I6082=0,0,$R6082)</f>
      </c>
      <c r="K6083" s="43">
        <f>IF($I6083=0,0,IF(INDEX(DarlOhneTilgung,13)=1,0,IF(AND(INDEX(DarlTilgStart,13)&gt;0,$E6083=INDEX(DarlTilgStart,13)),$J6083*($H6083+INDEX(DarlTilgung,13))/100/12,IF(AND($G6083=0,$G6082=1),MAX($K6082,$J6083*($H6083+1)/100/12),$K6082))))</f>
      </c>
      <c r="L6083" s="43">
        <f>IF($I6083=0,0,$J6083*$H6083/100/12)</f>
      </c>
      <c r="M6083" s="43">
        <f>IF($I6083=0,0,IF(OR(INDEX(DarlOhneTilgung,13)=1,AND(INDEX(DarlTilgStart,13)&gt;0,$E6083&lt;INDEX(DarlTilgStart,13))),0,MIN(MAX(0,$K6083-$L6083),$J6083)))</f>
      </c>
      <c r="N6083" s="43">
        <f>IF($I6083=0,0,MIN(SUMIFS(SondBetrag,SondDarl,13,SondDatum,"&gt;="&amp;$E6083,SondDatum,"&lt;="&amp;EOMONTH($E6083,0)),$J6083-$M6083))</f>
      </c>
      <c r="O6083" s="43">
        <f>IF($I6083=0,0,INDEX(DarlErsatzRate,13))</f>
      </c>
      <c r="P6083" s="43">
        <f>IF($I6083=0,0,$Q6082*INDEX(DarlErsatzZins,13))</f>
      </c>
      <c r="Q6083" s="43">
        <f>IF($I6083=0,0,$Q6082+$P6083+$O6083)</f>
      </c>
      <c r="R6083" s="43">
        <f>IF($I6083=0,0,$J6083-$M6083-$N6083)</f>
      </c>
    </row>
    <row r="6084">
      <c r="A6084"/>
      <c r="B6084">
        <v>13</v>
      </c>
      <c r="C6084" s="43">
        <f>INDEX(DarlObj,13)</f>
      </c>
      <c r="D6084">
        <v>321</v>
      </c>
      <c r="E6084" s="51">
        <f>IF(INDEX(DarlBelegt,13)=0,0,EOMONTH(INDEX(DarlAuszahlung,13),320)+1)</f>
      </c>
      <c r="F6084" s="43">
        <f>IF($E6084=0,0,YEAR($E6084))</f>
      </c>
      <c r="G6084" s="43">
        <f>IF(INDEX(DarlBindung,13)="",1,IF($E6084&lt;=INDEX(DarlBindung,13),1,0))</f>
      </c>
      <c r="H6084" s="43">
        <f>IF($G6084=1,INDEX(DarlSollzins,13),INDEX(DarlAnschluss,13))</f>
      </c>
      <c r="I6084" s="43">
        <f>IF(INDEX(DarlBelegt,13)=0,0,IF(INDEX(DarlOhneTilgung,13)=1,IF(INDEX(DarlBindung,13)="",1,$G6084),IF($J6084&gt;0.005,1,0)))</f>
      </c>
      <c r="J6084" s="43">
        <f>IF($I6083=0,0,$R6083)</f>
      </c>
      <c r="K6084" s="43">
        <f>IF($I6084=0,0,IF(INDEX(DarlOhneTilgung,13)=1,0,IF(AND(INDEX(DarlTilgStart,13)&gt;0,$E6084=INDEX(DarlTilgStart,13)),$J6084*($H6084+INDEX(DarlTilgung,13))/100/12,IF(AND($G6084=0,$G6083=1),MAX($K6083,$J6084*($H6084+1)/100/12),$K6083))))</f>
      </c>
      <c r="L6084" s="43">
        <f>IF($I6084=0,0,$J6084*$H6084/100/12)</f>
      </c>
      <c r="M6084" s="43">
        <f>IF($I6084=0,0,IF(OR(INDEX(DarlOhneTilgung,13)=1,AND(INDEX(DarlTilgStart,13)&gt;0,$E6084&lt;INDEX(DarlTilgStart,13))),0,MIN(MAX(0,$K6084-$L6084),$J6084)))</f>
      </c>
      <c r="N6084" s="43">
        <f>IF($I6084=0,0,MIN(SUMIFS(SondBetrag,SondDarl,13,SondDatum,"&gt;="&amp;$E6084,SondDatum,"&lt;="&amp;EOMONTH($E6084,0)),$J6084-$M6084))</f>
      </c>
      <c r="O6084" s="43">
        <f>IF($I6084=0,0,INDEX(DarlErsatzRate,13))</f>
      </c>
      <c r="P6084" s="43">
        <f>IF($I6084=0,0,$Q6083*INDEX(DarlErsatzZins,13))</f>
      </c>
      <c r="Q6084" s="43">
        <f>IF($I6084=0,0,$Q6083+$P6084+$O6084)</f>
      </c>
      <c r="R6084" s="43">
        <f>IF($I6084=0,0,$J6084-$M6084-$N6084)</f>
      </c>
    </row>
    <row r="6085">
      <c r="A6085"/>
      <c r="B6085">
        <v>13</v>
      </c>
      <c r="C6085" s="43">
        <f>INDEX(DarlObj,13)</f>
      </c>
      <c r="D6085">
        <v>322</v>
      </c>
      <c r="E6085" s="51">
        <f>IF(INDEX(DarlBelegt,13)=0,0,EOMONTH(INDEX(DarlAuszahlung,13),321)+1)</f>
      </c>
      <c r="F6085" s="43">
        <f>IF($E6085=0,0,YEAR($E6085))</f>
      </c>
      <c r="G6085" s="43">
        <f>IF(INDEX(DarlBindung,13)="",1,IF($E6085&lt;=INDEX(DarlBindung,13),1,0))</f>
      </c>
      <c r="H6085" s="43">
        <f>IF($G6085=1,INDEX(DarlSollzins,13),INDEX(DarlAnschluss,13))</f>
      </c>
      <c r="I6085" s="43">
        <f>IF(INDEX(DarlBelegt,13)=0,0,IF(INDEX(DarlOhneTilgung,13)=1,IF(INDEX(DarlBindung,13)="",1,$G6085),IF($J6085&gt;0.005,1,0)))</f>
      </c>
      <c r="J6085" s="43">
        <f>IF($I6084=0,0,$R6084)</f>
      </c>
      <c r="K6085" s="43">
        <f>IF($I6085=0,0,IF(INDEX(DarlOhneTilgung,13)=1,0,IF(AND(INDEX(DarlTilgStart,13)&gt;0,$E6085=INDEX(DarlTilgStart,13)),$J6085*($H6085+INDEX(DarlTilgung,13))/100/12,IF(AND($G6085=0,$G6084=1),MAX($K6084,$J6085*($H6085+1)/100/12),$K6084))))</f>
      </c>
      <c r="L6085" s="43">
        <f>IF($I6085=0,0,$J6085*$H6085/100/12)</f>
      </c>
      <c r="M6085" s="43">
        <f>IF($I6085=0,0,IF(OR(INDEX(DarlOhneTilgung,13)=1,AND(INDEX(DarlTilgStart,13)&gt;0,$E6085&lt;INDEX(DarlTilgStart,13))),0,MIN(MAX(0,$K6085-$L6085),$J6085)))</f>
      </c>
      <c r="N6085" s="43">
        <f>IF($I6085=0,0,MIN(SUMIFS(SondBetrag,SondDarl,13,SondDatum,"&gt;="&amp;$E6085,SondDatum,"&lt;="&amp;EOMONTH($E6085,0)),$J6085-$M6085))</f>
      </c>
      <c r="O6085" s="43">
        <f>IF($I6085=0,0,INDEX(DarlErsatzRate,13))</f>
      </c>
      <c r="P6085" s="43">
        <f>IF($I6085=0,0,$Q6084*INDEX(DarlErsatzZins,13))</f>
      </c>
      <c r="Q6085" s="43">
        <f>IF($I6085=0,0,$Q6084+$P6085+$O6085)</f>
      </c>
      <c r="R6085" s="43">
        <f>IF($I6085=0,0,$J6085-$M6085-$N6085)</f>
      </c>
    </row>
    <row r="6086">
      <c r="A6086"/>
      <c r="B6086">
        <v>13</v>
      </c>
      <c r="C6086" s="43">
        <f>INDEX(DarlObj,13)</f>
      </c>
      <c r="D6086">
        <v>323</v>
      </c>
      <c r="E6086" s="51">
        <f>IF(INDEX(DarlBelegt,13)=0,0,EOMONTH(INDEX(DarlAuszahlung,13),322)+1)</f>
      </c>
      <c r="F6086" s="43">
        <f>IF($E6086=0,0,YEAR($E6086))</f>
      </c>
      <c r="G6086" s="43">
        <f>IF(INDEX(DarlBindung,13)="",1,IF($E6086&lt;=INDEX(DarlBindung,13),1,0))</f>
      </c>
      <c r="H6086" s="43">
        <f>IF($G6086=1,INDEX(DarlSollzins,13),INDEX(DarlAnschluss,13))</f>
      </c>
      <c r="I6086" s="43">
        <f>IF(INDEX(DarlBelegt,13)=0,0,IF(INDEX(DarlOhneTilgung,13)=1,IF(INDEX(DarlBindung,13)="",1,$G6086),IF($J6086&gt;0.005,1,0)))</f>
      </c>
      <c r="J6086" s="43">
        <f>IF($I6085=0,0,$R6085)</f>
      </c>
      <c r="K6086" s="43">
        <f>IF($I6086=0,0,IF(INDEX(DarlOhneTilgung,13)=1,0,IF(AND(INDEX(DarlTilgStart,13)&gt;0,$E6086=INDEX(DarlTilgStart,13)),$J6086*($H6086+INDEX(DarlTilgung,13))/100/12,IF(AND($G6086=0,$G6085=1),MAX($K6085,$J6086*($H6086+1)/100/12),$K6085))))</f>
      </c>
      <c r="L6086" s="43">
        <f>IF($I6086=0,0,$J6086*$H6086/100/12)</f>
      </c>
      <c r="M6086" s="43">
        <f>IF($I6086=0,0,IF(OR(INDEX(DarlOhneTilgung,13)=1,AND(INDEX(DarlTilgStart,13)&gt;0,$E6086&lt;INDEX(DarlTilgStart,13))),0,MIN(MAX(0,$K6086-$L6086),$J6086)))</f>
      </c>
      <c r="N6086" s="43">
        <f>IF($I6086=0,0,MIN(SUMIFS(SondBetrag,SondDarl,13,SondDatum,"&gt;="&amp;$E6086,SondDatum,"&lt;="&amp;EOMONTH($E6086,0)),$J6086-$M6086))</f>
      </c>
      <c r="O6086" s="43">
        <f>IF($I6086=0,0,INDEX(DarlErsatzRate,13))</f>
      </c>
      <c r="P6086" s="43">
        <f>IF($I6086=0,0,$Q6085*INDEX(DarlErsatzZins,13))</f>
      </c>
      <c r="Q6086" s="43">
        <f>IF($I6086=0,0,$Q6085+$P6086+$O6086)</f>
      </c>
      <c r="R6086" s="43">
        <f>IF($I6086=0,0,$J6086-$M6086-$N6086)</f>
      </c>
    </row>
    <row r="6087">
      <c r="A6087"/>
      <c r="B6087">
        <v>13</v>
      </c>
      <c r="C6087" s="43">
        <f>INDEX(DarlObj,13)</f>
      </c>
      <c r="D6087">
        <v>324</v>
      </c>
      <c r="E6087" s="51">
        <f>IF(INDEX(DarlBelegt,13)=0,0,EOMONTH(INDEX(DarlAuszahlung,13),323)+1)</f>
      </c>
      <c r="F6087" s="43">
        <f>IF($E6087=0,0,YEAR($E6087))</f>
      </c>
      <c r="G6087" s="43">
        <f>IF(INDEX(DarlBindung,13)="",1,IF($E6087&lt;=INDEX(DarlBindung,13),1,0))</f>
      </c>
      <c r="H6087" s="43">
        <f>IF($G6087=1,INDEX(DarlSollzins,13),INDEX(DarlAnschluss,13))</f>
      </c>
      <c r="I6087" s="43">
        <f>IF(INDEX(DarlBelegt,13)=0,0,IF(INDEX(DarlOhneTilgung,13)=1,IF(INDEX(DarlBindung,13)="",1,$G6087),IF($J6087&gt;0.005,1,0)))</f>
      </c>
      <c r="J6087" s="43">
        <f>IF($I6086=0,0,$R6086)</f>
      </c>
      <c r="K6087" s="43">
        <f>IF($I6087=0,0,IF(INDEX(DarlOhneTilgung,13)=1,0,IF(AND(INDEX(DarlTilgStart,13)&gt;0,$E6087=INDEX(DarlTilgStart,13)),$J6087*($H6087+INDEX(DarlTilgung,13))/100/12,IF(AND($G6087=0,$G6086=1),MAX($K6086,$J6087*($H6087+1)/100/12),$K6086))))</f>
      </c>
      <c r="L6087" s="43">
        <f>IF($I6087=0,0,$J6087*$H6087/100/12)</f>
      </c>
      <c r="M6087" s="43">
        <f>IF($I6087=0,0,IF(OR(INDEX(DarlOhneTilgung,13)=1,AND(INDEX(DarlTilgStart,13)&gt;0,$E6087&lt;INDEX(DarlTilgStart,13))),0,MIN(MAX(0,$K6087-$L6087),$J6087)))</f>
      </c>
      <c r="N6087" s="43">
        <f>IF($I6087=0,0,MIN(SUMIFS(SondBetrag,SondDarl,13,SondDatum,"&gt;="&amp;$E6087,SondDatum,"&lt;="&amp;EOMONTH($E6087,0)),$J6087-$M6087))</f>
      </c>
      <c r="O6087" s="43">
        <f>IF($I6087=0,0,INDEX(DarlErsatzRate,13))</f>
      </c>
      <c r="P6087" s="43">
        <f>IF($I6087=0,0,$Q6086*INDEX(DarlErsatzZins,13))</f>
      </c>
      <c r="Q6087" s="43">
        <f>IF($I6087=0,0,$Q6086+$P6087+$O6087)</f>
      </c>
      <c r="R6087" s="43">
        <f>IF($I6087=0,0,$J6087-$M6087-$N6087)</f>
      </c>
    </row>
    <row r="6088">
      <c r="A6088"/>
      <c r="B6088">
        <v>13</v>
      </c>
      <c r="C6088" s="43">
        <f>INDEX(DarlObj,13)</f>
      </c>
      <c r="D6088">
        <v>325</v>
      </c>
      <c r="E6088" s="51">
        <f>IF(INDEX(DarlBelegt,13)=0,0,EOMONTH(INDEX(DarlAuszahlung,13),324)+1)</f>
      </c>
      <c r="F6088" s="43">
        <f>IF($E6088=0,0,YEAR($E6088))</f>
      </c>
      <c r="G6088" s="43">
        <f>IF(INDEX(DarlBindung,13)="",1,IF($E6088&lt;=INDEX(DarlBindung,13),1,0))</f>
      </c>
      <c r="H6088" s="43">
        <f>IF($G6088=1,INDEX(DarlSollzins,13),INDEX(DarlAnschluss,13))</f>
      </c>
      <c r="I6088" s="43">
        <f>IF(INDEX(DarlBelegt,13)=0,0,IF(INDEX(DarlOhneTilgung,13)=1,IF(INDEX(DarlBindung,13)="",1,$G6088),IF($J6088&gt;0.005,1,0)))</f>
      </c>
      <c r="J6088" s="43">
        <f>IF($I6087=0,0,$R6087)</f>
      </c>
      <c r="K6088" s="43">
        <f>IF($I6088=0,0,IF(INDEX(DarlOhneTilgung,13)=1,0,IF(AND(INDEX(DarlTilgStart,13)&gt;0,$E6088=INDEX(DarlTilgStart,13)),$J6088*($H6088+INDEX(DarlTilgung,13))/100/12,IF(AND($G6088=0,$G6087=1),MAX($K6087,$J6088*($H6088+1)/100/12),$K6087))))</f>
      </c>
      <c r="L6088" s="43">
        <f>IF($I6088=0,0,$J6088*$H6088/100/12)</f>
      </c>
      <c r="M6088" s="43">
        <f>IF($I6088=0,0,IF(OR(INDEX(DarlOhneTilgung,13)=1,AND(INDEX(DarlTilgStart,13)&gt;0,$E6088&lt;INDEX(DarlTilgStart,13))),0,MIN(MAX(0,$K6088-$L6088),$J6088)))</f>
      </c>
      <c r="N6088" s="43">
        <f>IF($I6088=0,0,MIN(SUMIFS(SondBetrag,SondDarl,13,SondDatum,"&gt;="&amp;$E6088,SondDatum,"&lt;="&amp;EOMONTH($E6088,0)),$J6088-$M6088))</f>
      </c>
      <c r="O6088" s="43">
        <f>IF($I6088=0,0,INDEX(DarlErsatzRate,13))</f>
      </c>
      <c r="P6088" s="43">
        <f>IF($I6088=0,0,$Q6087*INDEX(DarlErsatzZins,13))</f>
      </c>
      <c r="Q6088" s="43">
        <f>IF($I6088=0,0,$Q6087+$P6088+$O6088)</f>
      </c>
      <c r="R6088" s="43">
        <f>IF($I6088=0,0,$J6088-$M6088-$N6088)</f>
      </c>
    </row>
    <row r="6089">
      <c r="A6089"/>
      <c r="B6089">
        <v>13</v>
      </c>
      <c r="C6089" s="43">
        <f>INDEX(DarlObj,13)</f>
      </c>
      <c r="D6089">
        <v>326</v>
      </c>
      <c r="E6089" s="51">
        <f>IF(INDEX(DarlBelegt,13)=0,0,EOMONTH(INDEX(DarlAuszahlung,13),325)+1)</f>
      </c>
      <c r="F6089" s="43">
        <f>IF($E6089=0,0,YEAR($E6089))</f>
      </c>
      <c r="G6089" s="43">
        <f>IF(INDEX(DarlBindung,13)="",1,IF($E6089&lt;=INDEX(DarlBindung,13),1,0))</f>
      </c>
      <c r="H6089" s="43">
        <f>IF($G6089=1,INDEX(DarlSollzins,13),INDEX(DarlAnschluss,13))</f>
      </c>
      <c r="I6089" s="43">
        <f>IF(INDEX(DarlBelegt,13)=0,0,IF(INDEX(DarlOhneTilgung,13)=1,IF(INDEX(DarlBindung,13)="",1,$G6089),IF($J6089&gt;0.005,1,0)))</f>
      </c>
      <c r="J6089" s="43">
        <f>IF($I6088=0,0,$R6088)</f>
      </c>
      <c r="K6089" s="43">
        <f>IF($I6089=0,0,IF(INDEX(DarlOhneTilgung,13)=1,0,IF(AND(INDEX(DarlTilgStart,13)&gt;0,$E6089=INDEX(DarlTilgStart,13)),$J6089*($H6089+INDEX(DarlTilgung,13))/100/12,IF(AND($G6089=0,$G6088=1),MAX($K6088,$J6089*($H6089+1)/100/12),$K6088))))</f>
      </c>
      <c r="L6089" s="43">
        <f>IF($I6089=0,0,$J6089*$H6089/100/12)</f>
      </c>
      <c r="M6089" s="43">
        <f>IF($I6089=0,0,IF(OR(INDEX(DarlOhneTilgung,13)=1,AND(INDEX(DarlTilgStart,13)&gt;0,$E6089&lt;INDEX(DarlTilgStart,13))),0,MIN(MAX(0,$K6089-$L6089),$J6089)))</f>
      </c>
      <c r="N6089" s="43">
        <f>IF($I6089=0,0,MIN(SUMIFS(SondBetrag,SondDarl,13,SondDatum,"&gt;="&amp;$E6089,SondDatum,"&lt;="&amp;EOMONTH($E6089,0)),$J6089-$M6089))</f>
      </c>
      <c r="O6089" s="43">
        <f>IF($I6089=0,0,INDEX(DarlErsatzRate,13))</f>
      </c>
      <c r="P6089" s="43">
        <f>IF($I6089=0,0,$Q6088*INDEX(DarlErsatzZins,13))</f>
      </c>
      <c r="Q6089" s="43">
        <f>IF($I6089=0,0,$Q6088+$P6089+$O6089)</f>
      </c>
      <c r="R6089" s="43">
        <f>IF($I6089=0,0,$J6089-$M6089-$N6089)</f>
      </c>
    </row>
    <row r="6090">
      <c r="A6090"/>
      <c r="B6090">
        <v>13</v>
      </c>
      <c r="C6090" s="43">
        <f>INDEX(DarlObj,13)</f>
      </c>
      <c r="D6090">
        <v>327</v>
      </c>
      <c r="E6090" s="51">
        <f>IF(INDEX(DarlBelegt,13)=0,0,EOMONTH(INDEX(DarlAuszahlung,13),326)+1)</f>
      </c>
      <c r="F6090" s="43">
        <f>IF($E6090=0,0,YEAR($E6090))</f>
      </c>
      <c r="G6090" s="43">
        <f>IF(INDEX(DarlBindung,13)="",1,IF($E6090&lt;=INDEX(DarlBindung,13),1,0))</f>
      </c>
      <c r="H6090" s="43">
        <f>IF($G6090=1,INDEX(DarlSollzins,13),INDEX(DarlAnschluss,13))</f>
      </c>
      <c r="I6090" s="43">
        <f>IF(INDEX(DarlBelegt,13)=0,0,IF(INDEX(DarlOhneTilgung,13)=1,IF(INDEX(DarlBindung,13)="",1,$G6090),IF($J6090&gt;0.005,1,0)))</f>
      </c>
      <c r="J6090" s="43">
        <f>IF($I6089=0,0,$R6089)</f>
      </c>
      <c r="K6090" s="43">
        <f>IF($I6090=0,0,IF(INDEX(DarlOhneTilgung,13)=1,0,IF(AND(INDEX(DarlTilgStart,13)&gt;0,$E6090=INDEX(DarlTilgStart,13)),$J6090*($H6090+INDEX(DarlTilgung,13))/100/12,IF(AND($G6090=0,$G6089=1),MAX($K6089,$J6090*($H6090+1)/100/12),$K6089))))</f>
      </c>
      <c r="L6090" s="43">
        <f>IF($I6090=0,0,$J6090*$H6090/100/12)</f>
      </c>
      <c r="M6090" s="43">
        <f>IF($I6090=0,0,IF(OR(INDEX(DarlOhneTilgung,13)=1,AND(INDEX(DarlTilgStart,13)&gt;0,$E6090&lt;INDEX(DarlTilgStart,13))),0,MIN(MAX(0,$K6090-$L6090),$J6090)))</f>
      </c>
      <c r="N6090" s="43">
        <f>IF($I6090=0,0,MIN(SUMIFS(SondBetrag,SondDarl,13,SondDatum,"&gt;="&amp;$E6090,SondDatum,"&lt;="&amp;EOMONTH($E6090,0)),$J6090-$M6090))</f>
      </c>
      <c r="O6090" s="43">
        <f>IF($I6090=0,0,INDEX(DarlErsatzRate,13))</f>
      </c>
      <c r="P6090" s="43">
        <f>IF($I6090=0,0,$Q6089*INDEX(DarlErsatzZins,13))</f>
      </c>
      <c r="Q6090" s="43">
        <f>IF($I6090=0,0,$Q6089+$P6090+$O6090)</f>
      </c>
      <c r="R6090" s="43">
        <f>IF($I6090=0,0,$J6090-$M6090-$N6090)</f>
      </c>
    </row>
    <row r="6091">
      <c r="A6091"/>
      <c r="B6091">
        <v>13</v>
      </c>
      <c r="C6091" s="43">
        <f>INDEX(DarlObj,13)</f>
      </c>
      <c r="D6091">
        <v>328</v>
      </c>
      <c r="E6091" s="51">
        <f>IF(INDEX(DarlBelegt,13)=0,0,EOMONTH(INDEX(DarlAuszahlung,13),327)+1)</f>
      </c>
      <c r="F6091" s="43">
        <f>IF($E6091=0,0,YEAR($E6091))</f>
      </c>
      <c r="G6091" s="43">
        <f>IF(INDEX(DarlBindung,13)="",1,IF($E6091&lt;=INDEX(DarlBindung,13),1,0))</f>
      </c>
      <c r="H6091" s="43">
        <f>IF($G6091=1,INDEX(DarlSollzins,13),INDEX(DarlAnschluss,13))</f>
      </c>
      <c r="I6091" s="43">
        <f>IF(INDEX(DarlBelegt,13)=0,0,IF(INDEX(DarlOhneTilgung,13)=1,IF(INDEX(DarlBindung,13)="",1,$G6091),IF($J6091&gt;0.005,1,0)))</f>
      </c>
      <c r="J6091" s="43">
        <f>IF($I6090=0,0,$R6090)</f>
      </c>
      <c r="K6091" s="43">
        <f>IF($I6091=0,0,IF(INDEX(DarlOhneTilgung,13)=1,0,IF(AND(INDEX(DarlTilgStart,13)&gt;0,$E6091=INDEX(DarlTilgStart,13)),$J6091*($H6091+INDEX(DarlTilgung,13))/100/12,IF(AND($G6091=0,$G6090=1),MAX($K6090,$J6091*($H6091+1)/100/12),$K6090))))</f>
      </c>
      <c r="L6091" s="43">
        <f>IF($I6091=0,0,$J6091*$H6091/100/12)</f>
      </c>
      <c r="M6091" s="43">
        <f>IF($I6091=0,0,IF(OR(INDEX(DarlOhneTilgung,13)=1,AND(INDEX(DarlTilgStart,13)&gt;0,$E6091&lt;INDEX(DarlTilgStart,13))),0,MIN(MAX(0,$K6091-$L6091),$J6091)))</f>
      </c>
      <c r="N6091" s="43">
        <f>IF($I6091=0,0,MIN(SUMIFS(SondBetrag,SondDarl,13,SondDatum,"&gt;="&amp;$E6091,SondDatum,"&lt;="&amp;EOMONTH($E6091,0)),$J6091-$M6091))</f>
      </c>
      <c r="O6091" s="43">
        <f>IF($I6091=0,0,INDEX(DarlErsatzRate,13))</f>
      </c>
      <c r="P6091" s="43">
        <f>IF($I6091=0,0,$Q6090*INDEX(DarlErsatzZins,13))</f>
      </c>
      <c r="Q6091" s="43">
        <f>IF($I6091=0,0,$Q6090+$P6091+$O6091)</f>
      </c>
      <c r="R6091" s="43">
        <f>IF($I6091=0,0,$J6091-$M6091-$N6091)</f>
      </c>
    </row>
    <row r="6092">
      <c r="A6092"/>
      <c r="B6092">
        <v>13</v>
      </c>
      <c r="C6092" s="43">
        <f>INDEX(DarlObj,13)</f>
      </c>
      <c r="D6092">
        <v>329</v>
      </c>
      <c r="E6092" s="51">
        <f>IF(INDEX(DarlBelegt,13)=0,0,EOMONTH(INDEX(DarlAuszahlung,13),328)+1)</f>
      </c>
      <c r="F6092" s="43">
        <f>IF($E6092=0,0,YEAR($E6092))</f>
      </c>
      <c r="G6092" s="43">
        <f>IF(INDEX(DarlBindung,13)="",1,IF($E6092&lt;=INDEX(DarlBindung,13),1,0))</f>
      </c>
      <c r="H6092" s="43">
        <f>IF($G6092=1,INDEX(DarlSollzins,13),INDEX(DarlAnschluss,13))</f>
      </c>
      <c r="I6092" s="43">
        <f>IF(INDEX(DarlBelegt,13)=0,0,IF(INDEX(DarlOhneTilgung,13)=1,IF(INDEX(DarlBindung,13)="",1,$G6092),IF($J6092&gt;0.005,1,0)))</f>
      </c>
      <c r="J6092" s="43">
        <f>IF($I6091=0,0,$R6091)</f>
      </c>
      <c r="K6092" s="43">
        <f>IF($I6092=0,0,IF(INDEX(DarlOhneTilgung,13)=1,0,IF(AND(INDEX(DarlTilgStart,13)&gt;0,$E6092=INDEX(DarlTilgStart,13)),$J6092*($H6092+INDEX(DarlTilgung,13))/100/12,IF(AND($G6092=0,$G6091=1),MAX($K6091,$J6092*($H6092+1)/100/12),$K6091))))</f>
      </c>
      <c r="L6092" s="43">
        <f>IF($I6092=0,0,$J6092*$H6092/100/12)</f>
      </c>
      <c r="M6092" s="43">
        <f>IF($I6092=0,0,IF(OR(INDEX(DarlOhneTilgung,13)=1,AND(INDEX(DarlTilgStart,13)&gt;0,$E6092&lt;INDEX(DarlTilgStart,13))),0,MIN(MAX(0,$K6092-$L6092),$J6092)))</f>
      </c>
      <c r="N6092" s="43">
        <f>IF($I6092=0,0,MIN(SUMIFS(SondBetrag,SondDarl,13,SondDatum,"&gt;="&amp;$E6092,SondDatum,"&lt;="&amp;EOMONTH($E6092,0)),$J6092-$M6092))</f>
      </c>
      <c r="O6092" s="43">
        <f>IF($I6092=0,0,INDEX(DarlErsatzRate,13))</f>
      </c>
      <c r="P6092" s="43">
        <f>IF($I6092=0,0,$Q6091*INDEX(DarlErsatzZins,13))</f>
      </c>
      <c r="Q6092" s="43">
        <f>IF($I6092=0,0,$Q6091+$P6092+$O6092)</f>
      </c>
      <c r="R6092" s="43">
        <f>IF($I6092=0,0,$J6092-$M6092-$N6092)</f>
      </c>
    </row>
    <row r="6093">
      <c r="A6093"/>
      <c r="B6093">
        <v>13</v>
      </c>
      <c r="C6093" s="43">
        <f>INDEX(DarlObj,13)</f>
      </c>
      <c r="D6093">
        <v>330</v>
      </c>
      <c r="E6093" s="51">
        <f>IF(INDEX(DarlBelegt,13)=0,0,EOMONTH(INDEX(DarlAuszahlung,13),329)+1)</f>
      </c>
      <c r="F6093" s="43">
        <f>IF($E6093=0,0,YEAR($E6093))</f>
      </c>
      <c r="G6093" s="43">
        <f>IF(INDEX(DarlBindung,13)="",1,IF($E6093&lt;=INDEX(DarlBindung,13),1,0))</f>
      </c>
      <c r="H6093" s="43">
        <f>IF($G6093=1,INDEX(DarlSollzins,13),INDEX(DarlAnschluss,13))</f>
      </c>
      <c r="I6093" s="43">
        <f>IF(INDEX(DarlBelegt,13)=0,0,IF(INDEX(DarlOhneTilgung,13)=1,IF(INDEX(DarlBindung,13)="",1,$G6093),IF($J6093&gt;0.005,1,0)))</f>
      </c>
      <c r="J6093" s="43">
        <f>IF($I6092=0,0,$R6092)</f>
      </c>
      <c r="K6093" s="43">
        <f>IF($I6093=0,0,IF(INDEX(DarlOhneTilgung,13)=1,0,IF(AND(INDEX(DarlTilgStart,13)&gt;0,$E6093=INDEX(DarlTilgStart,13)),$J6093*($H6093+INDEX(DarlTilgung,13))/100/12,IF(AND($G6093=0,$G6092=1),MAX($K6092,$J6093*($H6093+1)/100/12),$K6092))))</f>
      </c>
      <c r="L6093" s="43">
        <f>IF($I6093=0,0,$J6093*$H6093/100/12)</f>
      </c>
      <c r="M6093" s="43">
        <f>IF($I6093=0,0,IF(OR(INDEX(DarlOhneTilgung,13)=1,AND(INDEX(DarlTilgStart,13)&gt;0,$E6093&lt;INDEX(DarlTilgStart,13))),0,MIN(MAX(0,$K6093-$L6093),$J6093)))</f>
      </c>
      <c r="N6093" s="43">
        <f>IF($I6093=0,0,MIN(SUMIFS(SondBetrag,SondDarl,13,SondDatum,"&gt;="&amp;$E6093,SondDatum,"&lt;="&amp;EOMONTH($E6093,0)),$J6093-$M6093))</f>
      </c>
      <c r="O6093" s="43">
        <f>IF($I6093=0,0,INDEX(DarlErsatzRate,13))</f>
      </c>
      <c r="P6093" s="43">
        <f>IF($I6093=0,0,$Q6092*INDEX(DarlErsatzZins,13))</f>
      </c>
      <c r="Q6093" s="43">
        <f>IF($I6093=0,0,$Q6092+$P6093+$O6093)</f>
      </c>
      <c r="R6093" s="43">
        <f>IF($I6093=0,0,$J6093-$M6093-$N6093)</f>
      </c>
    </row>
    <row r="6094">
      <c r="A6094"/>
      <c r="B6094">
        <v>13</v>
      </c>
      <c r="C6094" s="43">
        <f>INDEX(DarlObj,13)</f>
      </c>
      <c r="D6094">
        <v>331</v>
      </c>
      <c r="E6094" s="51">
        <f>IF(INDEX(DarlBelegt,13)=0,0,EOMONTH(INDEX(DarlAuszahlung,13),330)+1)</f>
      </c>
      <c r="F6094" s="43">
        <f>IF($E6094=0,0,YEAR($E6094))</f>
      </c>
      <c r="G6094" s="43">
        <f>IF(INDEX(DarlBindung,13)="",1,IF($E6094&lt;=INDEX(DarlBindung,13),1,0))</f>
      </c>
      <c r="H6094" s="43">
        <f>IF($G6094=1,INDEX(DarlSollzins,13),INDEX(DarlAnschluss,13))</f>
      </c>
      <c r="I6094" s="43">
        <f>IF(INDEX(DarlBelegt,13)=0,0,IF(INDEX(DarlOhneTilgung,13)=1,IF(INDEX(DarlBindung,13)="",1,$G6094),IF($J6094&gt;0.005,1,0)))</f>
      </c>
      <c r="J6094" s="43">
        <f>IF($I6093=0,0,$R6093)</f>
      </c>
      <c r="K6094" s="43">
        <f>IF($I6094=0,0,IF(INDEX(DarlOhneTilgung,13)=1,0,IF(AND(INDEX(DarlTilgStart,13)&gt;0,$E6094=INDEX(DarlTilgStart,13)),$J6094*($H6094+INDEX(DarlTilgung,13))/100/12,IF(AND($G6094=0,$G6093=1),MAX($K6093,$J6094*($H6094+1)/100/12),$K6093))))</f>
      </c>
      <c r="L6094" s="43">
        <f>IF($I6094=0,0,$J6094*$H6094/100/12)</f>
      </c>
      <c r="M6094" s="43">
        <f>IF($I6094=0,0,IF(OR(INDEX(DarlOhneTilgung,13)=1,AND(INDEX(DarlTilgStart,13)&gt;0,$E6094&lt;INDEX(DarlTilgStart,13))),0,MIN(MAX(0,$K6094-$L6094),$J6094)))</f>
      </c>
      <c r="N6094" s="43">
        <f>IF($I6094=0,0,MIN(SUMIFS(SondBetrag,SondDarl,13,SondDatum,"&gt;="&amp;$E6094,SondDatum,"&lt;="&amp;EOMONTH($E6094,0)),$J6094-$M6094))</f>
      </c>
      <c r="O6094" s="43">
        <f>IF($I6094=0,0,INDEX(DarlErsatzRate,13))</f>
      </c>
      <c r="P6094" s="43">
        <f>IF($I6094=0,0,$Q6093*INDEX(DarlErsatzZins,13))</f>
      </c>
      <c r="Q6094" s="43">
        <f>IF($I6094=0,0,$Q6093+$P6094+$O6094)</f>
      </c>
      <c r="R6094" s="43">
        <f>IF($I6094=0,0,$J6094-$M6094-$N6094)</f>
      </c>
    </row>
    <row r="6095">
      <c r="A6095"/>
      <c r="B6095">
        <v>13</v>
      </c>
      <c r="C6095" s="43">
        <f>INDEX(DarlObj,13)</f>
      </c>
      <c r="D6095">
        <v>332</v>
      </c>
      <c r="E6095" s="51">
        <f>IF(INDEX(DarlBelegt,13)=0,0,EOMONTH(INDEX(DarlAuszahlung,13),331)+1)</f>
      </c>
      <c r="F6095" s="43">
        <f>IF($E6095=0,0,YEAR($E6095))</f>
      </c>
      <c r="G6095" s="43">
        <f>IF(INDEX(DarlBindung,13)="",1,IF($E6095&lt;=INDEX(DarlBindung,13),1,0))</f>
      </c>
      <c r="H6095" s="43">
        <f>IF($G6095=1,INDEX(DarlSollzins,13),INDEX(DarlAnschluss,13))</f>
      </c>
      <c r="I6095" s="43">
        <f>IF(INDEX(DarlBelegt,13)=0,0,IF(INDEX(DarlOhneTilgung,13)=1,IF(INDEX(DarlBindung,13)="",1,$G6095),IF($J6095&gt;0.005,1,0)))</f>
      </c>
      <c r="J6095" s="43">
        <f>IF($I6094=0,0,$R6094)</f>
      </c>
      <c r="K6095" s="43">
        <f>IF($I6095=0,0,IF(INDEX(DarlOhneTilgung,13)=1,0,IF(AND(INDEX(DarlTilgStart,13)&gt;0,$E6095=INDEX(DarlTilgStart,13)),$J6095*($H6095+INDEX(DarlTilgung,13))/100/12,IF(AND($G6095=0,$G6094=1),MAX($K6094,$J6095*($H6095+1)/100/12),$K6094))))</f>
      </c>
      <c r="L6095" s="43">
        <f>IF($I6095=0,0,$J6095*$H6095/100/12)</f>
      </c>
      <c r="M6095" s="43">
        <f>IF($I6095=0,0,IF(OR(INDEX(DarlOhneTilgung,13)=1,AND(INDEX(DarlTilgStart,13)&gt;0,$E6095&lt;INDEX(DarlTilgStart,13))),0,MIN(MAX(0,$K6095-$L6095),$J6095)))</f>
      </c>
      <c r="N6095" s="43">
        <f>IF($I6095=0,0,MIN(SUMIFS(SondBetrag,SondDarl,13,SondDatum,"&gt;="&amp;$E6095,SondDatum,"&lt;="&amp;EOMONTH($E6095,0)),$J6095-$M6095))</f>
      </c>
      <c r="O6095" s="43">
        <f>IF($I6095=0,0,INDEX(DarlErsatzRate,13))</f>
      </c>
      <c r="P6095" s="43">
        <f>IF($I6095=0,0,$Q6094*INDEX(DarlErsatzZins,13))</f>
      </c>
      <c r="Q6095" s="43">
        <f>IF($I6095=0,0,$Q6094+$P6095+$O6095)</f>
      </c>
      <c r="R6095" s="43">
        <f>IF($I6095=0,0,$J6095-$M6095-$N6095)</f>
      </c>
    </row>
    <row r="6096">
      <c r="A6096"/>
      <c r="B6096">
        <v>13</v>
      </c>
      <c r="C6096" s="43">
        <f>INDEX(DarlObj,13)</f>
      </c>
      <c r="D6096">
        <v>333</v>
      </c>
      <c r="E6096" s="51">
        <f>IF(INDEX(DarlBelegt,13)=0,0,EOMONTH(INDEX(DarlAuszahlung,13),332)+1)</f>
      </c>
      <c r="F6096" s="43">
        <f>IF($E6096=0,0,YEAR($E6096))</f>
      </c>
      <c r="G6096" s="43">
        <f>IF(INDEX(DarlBindung,13)="",1,IF($E6096&lt;=INDEX(DarlBindung,13),1,0))</f>
      </c>
      <c r="H6096" s="43">
        <f>IF($G6096=1,INDEX(DarlSollzins,13),INDEX(DarlAnschluss,13))</f>
      </c>
      <c r="I6096" s="43">
        <f>IF(INDEX(DarlBelegt,13)=0,0,IF(INDEX(DarlOhneTilgung,13)=1,IF(INDEX(DarlBindung,13)="",1,$G6096),IF($J6096&gt;0.005,1,0)))</f>
      </c>
      <c r="J6096" s="43">
        <f>IF($I6095=0,0,$R6095)</f>
      </c>
      <c r="K6096" s="43">
        <f>IF($I6096=0,0,IF(INDEX(DarlOhneTilgung,13)=1,0,IF(AND(INDEX(DarlTilgStart,13)&gt;0,$E6096=INDEX(DarlTilgStart,13)),$J6096*($H6096+INDEX(DarlTilgung,13))/100/12,IF(AND($G6096=0,$G6095=1),MAX($K6095,$J6096*($H6096+1)/100/12),$K6095))))</f>
      </c>
      <c r="L6096" s="43">
        <f>IF($I6096=0,0,$J6096*$H6096/100/12)</f>
      </c>
      <c r="M6096" s="43">
        <f>IF($I6096=0,0,IF(OR(INDEX(DarlOhneTilgung,13)=1,AND(INDEX(DarlTilgStart,13)&gt;0,$E6096&lt;INDEX(DarlTilgStart,13))),0,MIN(MAX(0,$K6096-$L6096),$J6096)))</f>
      </c>
      <c r="N6096" s="43">
        <f>IF($I6096=0,0,MIN(SUMIFS(SondBetrag,SondDarl,13,SondDatum,"&gt;="&amp;$E6096,SondDatum,"&lt;="&amp;EOMONTH($E6096,0)),$J6096-$M6096))</f>
      </c>
      <c r="O6096" s="43">
        <f>IF($I6096=0,0,INDEX(DarlErsatzRate,13))</f>
      </c>
      <c r="P6096" s="43">
        <f>IF($I6096=0,0,$Q6095*INDEX(DarlErsatzZins,13))</f>
      </c>
      <c r="Q6096" s="43">
        <f>IF($I6096=0,0,$Q6095+$P6096+$O6096)</f>
      </c>
      <c r="R6096" s="43">
        <f>IF($I6096=0,0,$J6096-$M6096-$N6096)</f>
      </c>
    </row>
    <row r="6097">
      <c r="A6097"/>
      <c r="B6097">
        <v>13</v>
      </c>
      <c r="C6097" s="43">
        <f>INDEX(DarlObj,13)</f>
      </c>
      <c r="D6097">
        <v>334</v>
      </c>
      <c r="E6097" s="51">
        <f>IF(INDEX(DarlBelegt,13)=0,0,EOMONTH(INDEX(DarlAuszahlung,13),333)+1)</f>
      </c>
      <c r="F6097" s="43">
        <f>IF($E6097=0,0,YEAR($E6097))</f>
      </c>
      <c r="G6097" s="43">
        <f>IF(INDEX(DarlBindung,13)="",1,IF($E6097&lt;=INDEX(DarlBindung,13),1,0))</f>
      </c>
      <c r="H6097" s="43">
        <f>IF($G6097=1,INDEX(DarlSollzins,13),INDEX(DarlAnschluss,13))</f>
      </c>
      <c r="I6097" s="43">
        <f>IF(INDEX(DarlBelegt,13)=0,0,IF(INDEX(DarlOhneTilgung,13)=1,IF(INDEX(DarlBindung,13)="",1,$G6097),IF($J6097&gt;0.005,1,0)))</f>
      </c>
      <c r="J6097" s="43">
        <f>IF($I6096=0,0,$R6096)</f>
      </c>
      <c r="K6097" s="43">
        <f>IF($I6097=0,0,IF(INDEX(DarlOhneTilgung,13)=1,0,IF(AND(INDEX(DarlTilgStart,13)&gt;0,$E6097=INDEX(DarlTilgStart,13)),$J6097*($H6097+INDEX(DarlTilgung,13))/100/12,IF(AND($G6097=0,$G6096=1),MAX($K6096,$J6097*($H6097+1)/100/12),$K6096))))</f>
      </c>
      <c r="L6097" s="43">
        <f>IF($I6097=0,0,$J6097*$H6097/100/12)</f>
      </c>
      <c r="M6097" s="43">
        <f>IF($I6097=0,0,IF(OR(INDEX(DarlOhneTilgung,13)=1,AND(INDEX(DarlTilgStart,13)&gt;0,$E6097&lt;INDEX(DarlTilgStart,13))),0,MIN(MAX(0,$K6097-$L6097),$J6097)))</f>
      </c>
      <c r="N6097" s="43">
        <f>IF($I6097=0,0,MIN(SUMIFS(SondBetrag,SondDarl,13,SondDatum,"&gt;="&amp;$E6097,SondDatum,"&lt;="&amp;EOMONTH($E6097,0)),$J6097-$M6097))</f>
      </c>
      <c r="O6097" s="43">
        <f>IF($I6097=0,0,INDEX(DarlErsatzRate,13))</f>
      </c>
      <c r="P6097" s="43">
        <f>IF($I6097=0,0,$Q6096*INDEX(DarlErsatzZins,13))</f>
      </c>
      <c r="Q6097" s="43">
        <f>IF($I6097=0,0,$Q6096+$P6097+$O6097)</f>
      </c>
      <c r="R6097" s="43">
        <f>IF($I6097=0,0,$J6097-$M6097-$N6097)</f>
      </c>
    </row>
    <row r="6098">
      <c r="A6098"/>
      <c r="B6098">
        <v>13</v>
      </c>
      <c r="C6098" s="43">
        <f>INDEX(DarlObj,13)</f>
      </c>
      <c r="D6098">
        <v>335</v>
      </c>
      <c r="E6098" s="51">
        <f>IF(INDEX(DarlBelegt,13)=0,0,EOMONTH(INDEX(DarlAuszahlung,13),334)+1)</f>
      </c>
      <c r="F6098" s="43">
        <f>IF($E6098=0,0,YEAR($E6098))</f>
      </c>
      <c r="G6098" s="43">
        <f>IF(INDEX(DarlBindung,13)="",1,IF($E6098&lt;=INDEX(DarlBindung,13),1,0))</f>
      </c>
      <c r="H6098" s="43">
        <f>IF($G6098=1,INDEX(DarlSollzins,13),INDEX(DarlAnschluss,13))</f>
      </c>
      <c r="I6098" s="43">
        <f>IF(INDEX(DarlBelegt,13)=0,0,IF(INDEX(DarlOhneTilgung,13)=1,IF(INDEX(DarlBindung,13)="",1,$G6098),IF($J6098&gt;0.005,1,0)))</f>
      </c>
      <c r="J6098" s="43">
        <f>IF($I6097=0,0,$R6097)</f>
      </c>
      <c r="K6098" s="43">
        <f>IF($I6098=0,0,IF(INDEX(DarlOhneTilgung,13)=1,0,IF(AND(INDEX(DarlTilgStart,13)&gt;0,$E6098=INDEX(DarlTilgStart,13)),$J6098*($H6098+INDEX(DarlTilgung,13))/100/12,IF(AND($G6098=0,$G6097=1),MAX($K6097,$J6098*($H6098+1)/100/12),$K6097))))</f>
      </c>
      <c r="L6098" s="43">
        <f>IF($I6098=0,0,$J6098*$H6098/100/12)</f>
      </c>
      <c r="M6098" s="43">
        <f>IF($I6098=0,0,IF(OR(INDEX(DarlOhneTilgung,13)=1,AND(INDEX(DarlTilgStart,13)&gt;0,$E6098&lt;INDEX(DarlTilgStart,13))),0,MIN(MAX(0,$K6098-$L6098),$J6098)))</f>
      </c>
      <c r="N6098" s="43">
        <f>IF($I6098=0,0,MIN(SUMIFS(SondBetrag,SondDarl,13,SondDatum,"&gt;="&amp;$E6098,SondDatum,"&lt;="&amp;EOMONTH($E6098,0)),$J6098-$M6098))</f>
      </c>
      <c r="O6098" s="43">
        <f>IF($I6098=0,0,INDEX(DarlErsatzRate,13))</f>
      </c>
      <c r="P6098" s="43">
        <f>IF($I6098=0,0,$Q6097*INDEX(DarlErsatzZins,13))</f>
      </c>
      <c r="Q6098" s="43">
        <f>IF($I6098=0,0,$Q6097+$P6098+$O6098)</f>
      </c>
      <c r="R6098" s="43">
        <f>IF($I6098=0,0,$J6098-$M6098-$N6098)</f>
      </c>
    </row>
    <row r="6099">
      <c r="A6099"/>
      <c r="B6099">
        <v>13</v>
      </c>
      <c r="C6099" s="43">
        <f>INDEX(DarlObj,13)</f>
      </c>
      <c r="D6099">
        <v>336</v>
      </c>
      <c r="E6099" s="51">
        <f>IF(INDEX(DarlBelegt,13)=0,0,EOMONTH(INDEX(DarlAuszahlung,13),335)+1)</f>
      </c>
      <c r="F6099" s="43">
        <f>IF($E6099=0,0,YEAR($E6099))</f>
      </c>
      <c r="G6099" s="43">
        <f>IF(INDEX(DarlBindung,13)="",1,IF($E6099&lt;=INDEX(DarlBindung,13),1,0))</f>
      </c>
      <c r="H6099" s="43">
        <f>IF($G6099=1,INDEX(DarlSollzins,13),INDEX(DarlAnschluss,13))</f>
      </c>
      <c r="I6099" s="43">
        <f>IF(INDEX(DarlBelegt,13)=0,0,IF(INDEX(DarlOhneTilgung,13)=1,IF(INDEX(DarlBindung,13)="",1,$G6099),IF($J6099&gt;0.005,1,0)))</f>
      </c>
      <c r="J6099" s="43">
        <f>IF($I6098=0,0,$R6098)</f>
      </c>
      <c r="K6099" s="43">
        <f>IF($I6099=0,0,IF(INDEX(DarlOhneTilgung,13)=1,0,IF(AND(INDEX(DarlTilgStart,13)&gt;0,$E6099=INDEX(DarlTilgStart,13)),$J6099*($H6099+INDEX(DarlTilgung,13))/100/12,IF(AND($G6099=0,$G6098=1),MAX($K6098,$J6099*($H6099+1)/100/12),$K6098))))</f>
      </c>
      <c r="L6099" s="43">
        <f>IF($I6099=0,0,$J6099*$H6099/100/12)</f>
      </c>
      <c r="M6099" s="43">
        <f>IF($I6099=0,0,IF(OR(INDEX(DarlOhneTilgung,13)=1,AND(INDEX(DarlTilgStart,13)&gt;0,$E6099&lt;INDEX(DarlTilgStart,13))),0,MIN(MAX(0,$K6099-$L6099),$J6099)))</f>
      </c>
      <c r="N6099" s="43">
        <f>IF($I6099=0,0,MIN(SUMIFS(SondBetrag,SondDarl,13,SondDatum,"&gt;="&amp;$E6099,SondDatum,"&lt;="&amp;EOMONTH($E6099,0)),$J6099-$M6099))</f>
      </c>
      <c r="O6099" s="43">
        <f>IF($I6099=0,0,INDEX(DarlErsatzRate,13))</f>
      </c>
      <c r="P6099" s="43">
        <f>IF($I6099=0,0,$Q6098*INDEX(DarlErsatzZins,13))</f>
      </c>
      <c r="Q6099" s="43">
        <f>IF($I6099=0,0,$Q6098+$P6099+$O6099)</f>
      </c>
      <c r="R6099" s="43">
        <f>IF($I6099=0,0,$J6099-$M6099-$N6099)</f>
      </c>
    </row>
    <row r="6100">
      <c r="A6100"/>
      <c r="B6100">
        <v>13</v>
      </c>
      <c r="C6100" s="43">
        <f>INDEX(DarlObj,13)</f>
      </c>
      <c r="D6100">
        <v>337</v>
      </c>
      <c r="E6100" s="51">
        <f>IF(INDEX(DarlBelegt,13)=0,0,EOMONTH(INDEX(DarlAuszahlung,13),336)+1)</f>
      </c>
      <c r="F6100" s="43">
        <f>IF($E6100=0,0,YEAR($E6100))</f>
      </c>
      <c r="G6100" s="43">
        <f>IF(INDEX(DarlBindung,13)="",1,IF($E6100&lt;=INDEX(DarlBindung,13),1,0))</f>
      </c>
      <c r="H6100" s="43">
        <f>IF($G6100=1,INDEX(DarlSollzins,13),INDEX(DarlAnschluss,13))</f>
      </c>
      <c r="I6100" s="43">
        <f>IF(INDEX(DarlBelegt,13)=0,0,IF(INDEX(DarlOhneTilgung,13)=1,IF(INDEX(DarlBindung,13)="",1,$G6100),IF($J6100&gt;0.005,1,0)))</f>
      </c>
      <c r="J6100" s="43">
        <f>IF($I6099=0,0,$R6099)</f>
      </c>
      <c r="K6100" s="43">
        <f>IF($I6100=0,0,IF(INDEX(DarlOhneTilgung,13)=1,0,IF(AND(INDEX(DarlTilgStart,13)&gt;0,$E6100=INDEX(DarlTilgStart,13)),$J6100*($H6100+INDEX(DarlTilgung,13))/100/12,IF(AND($G6100=0,$G6099=1),MAX($K6099,$J6100*($H6100+1)/100/12),$K6099))))</f>
      </c>
      <c r="L6100" s="43">
        <f>IF($I6100=0,0,$J6100*$H6100/100/12)</f>
      </c>
      <c r="M6100" s="43">
        <f>IF($I6100=0,0,IF(OR(INDEX(DarlOhneTilgung,13)=1,AND(INDEX(DarlTilgStart,13)&gt;0,$E6100&lt;INDEX(DarlTilgStart,13))),0,MIN(MAX(0,$K6100-$L6100),$J6100)))</f>
      </c>
      <c r="N6100" s="43">
        <f>IF($I6100=0,0,MIN(SUMIFS(SondBetrag,SondDarl,13,SondDatum,"&gt;="&amp;$E6100,SondDatum,"&lt;="&amp;EOMONTH($E6100,0)),$J6100-$M6100))</f>
      </c>
      <c r="O6100" s="43">
        <f>IF($I6100=0,0,INDEX(DarlErsatzRate,13))</f>
      </c>
      <c r="P6100" s="43">
        <f>IF($I6100=0,0,$Q6099*INDEX(DarlErsatzZins,13))</f>
      </c>
      <c r="Q6100" s="43">
        <f>IF($I6100=0,0,$Q6099+$P6100+$O6100)</f>
      </c>
      <c r="R6100" s="43">
        <f>IF($I6100=0,0,$J6100-$M6100-$N6100)</f>
      </c>
    </row>
    <row r="6101">
      <c r="A6101"/>
      <c r="B6101">
        <v>13</v>
      </c>
      <c r="C6101" s="43">
        <f>INDEX(DarlObj,13)</f>
      </c>
      <c r="D6101">
        <v>338</v>
      </c>
      <c r="E6101" s="51">
        <f>IF(INDEX(DarlBelegt,13)=0,0,EOMONTH(INDEX(DarlAuszahlung,13),337)+1)</f>
      </c>
      <c r="F6101" s="43">
        <f>IF($E6101=0,0,YEAR($E6101))</f>
      </c>
      <c r="G6101" s="43">
        <f>IF(INDEX(DarlBindung,13)="",1,IF($E6101&lt;=INDEX(DarlBindung,13),1,0))</f>
      </c>
      <c r="H6101" s="43">
        <f>IF($G6101=1,INDEX(DarlSollzins,13),INDEX(DarlAnschluss,13))</f>
      </c>
      <c r="I6101" s="43">
        <f>IF(INDEX(DarlBelegt,13)=0,0,IF(INDEX(DarlOhneTilgung,13)=1,IF(INDEX(DarlBindung,13)="",1,$G6101),IF($J6101&gt;0.005,1,0)))</f>
      </c>
      <c r="J6101" s="43">
        <f>IF($I6100=0,0,$R6100)</f>
      </c>
      <c r="K6101" s="43">
        <f>IF($I6101=0,0,IF(INDEX(DarlOhneTilgung,13)=1,0,IF(AND(INDEX(DarlTilgStart,13)&gt;0,$E6101=INDEX(DarlTilgStart,13)),$J6101*($H6101+INDEX(DarlTilgung,13))/100/12,IF(AND($G6101=0,$G6100=1),MAX($K6100,$J6101*($H6101+1)/100/12),$K6100))))</f>
      </c>
      <c r="L6101" s="43">
        <f>IF($I6101=0,0,$J6101*$H6101/100/12)</f>
      </c>
      <c r="M6101" s="43">
        <f>IF($I6101=0,0,IF(OR(INDEX(DarlOhneTilgung,13)=1,AND(INDEX(DarlTilgStart,13)&gt;0,$E6101&lt;INDEX(DarlTilgStart,13))),0,MIN(MAX(0,$K6101-$L6101),$J6101)))</f>
      </c>
      <c r="N6101" s="43">
        <f>IF($I6101=0,0,MIN(SUMIFS(SondBetrag,SondDarl,13,SondDatum,"&gt;="&amp;$E6101,SondDatum,"&lt;="&amp;EOMONTH($E6101,0)),$J6101-$M6101))</f>
      </c>
      <c r="O6101" s="43">
        <f>IF($I6101=0,0,INDEX(DarlErsatzRate,13))</f>
      </c>
      <c r="P6101" s="43">
        <f>IF($I6101=0,0,$Q6100*INDEX(DarlErsatzZins,13))</f>
      </c>
      <c r="Q6101" s="43">
        <f>IF($I6101=0,0,$Q6100+$P6101+$O6101)</f>
      </c>
      <c r="R6101" s="43">
        <f>IF($I6101=0,0,$J6101-$M6101-$N6101)</f>
      </c>
    </row>
    <row r="6102">
      <c r="A6102"/>
      <c r="B6102">
        <v>13</v>
      </c>
      <c r="C6102" s="43">
        <f>INDEX(DarlObj,13)</f>
      </c>
      <c r="D6102">
        <v>339</v>
      </c>
      <c r="E6102" s="51">
        <f>IF(INDEX(DarlBelegt,13)=0,0,EOMONTH(INDEX(DarlAuszahlung,13),338)+1)</f>
      </c>
      <c r="F6102" s="43">
        <f>IF($E6102=0,0,YEAR($E6102))</f>
      </c>
      <c r="G6102" s="43">
        <f>IF(INDEX(DarlBindung,13)="",1,IF($E6102&lt;=INDEX(DarlBindung,13),1,0))</f>
      </c>
      <c r="H6102" s="43">
        <f>IF($G6102=1,INDEX(DarlSollzins,13),INDEX(DarlAnschluss,13))</f>
      </c>
      <c r="I6102" s="43">
        <f>IF(INDEX(DarlBelegt,13)=0,0,IF(INDEX(DarlOhneTilgung,13)=1,IF(INDEX(DarlBindung,13)="",1,$G6102),IF($J6102&gt;0.005,1,0)))</f>
      </c>
      <c r="J6102" s="43">
        <f>IF($I6101=0,0,$R6101)</f>
      </c>
      <c r="K6102" s="43">
        <f>IF($I6102=0,0,IF(INDEX(DarlOhneTilgung,13)=1,0,IF(AND(INDEX(DarlTilgStart,13)&gt;0,$E6102=INDEX(DarlTilgStart,13)),$J6102*($H6102+INDEX(DarlTilgung,13))/100/12,IF(AND($G6102=0,$G6101=1),MAX($K6101,$J6102*($H6102+1)/100/12),$K6101))))</f>
      </c>
      <c r="L6102" s="43">
        <f>IF($I6102=0,0,$J6102*$H6102/100/12)</f>
      </c>
      <c r="M6102" s="43">
        <f>IF($I6102=0,0,IF(OR(INDEX(DarlOhneTilgung,13)=1,AND(INDEX(DarlTilgStart,13)&gt;0,$E6102&lt;INDEX(DarlTilgStart,13))),0,MIN(MAX(0,$K6102-$L6102),$J6102)))</f>
      </c>
      <c r="N6102" s="43">
        <f>IF($I6102=0,0,MIN(SUMIFS(SondBetrag,SondDarl,13,SondDatum,"&gt;="&amp;$E6102,SondDatum,"&lt;="&amp;EOMONTH($E6102,0)),$J6102-$M6102))</f>
      </c>
      <c r="O6102" s="43">
        <f>IF($I6102=0,0,INDEX(DarlErsatzRate,13))</f>
      </c>
      <c r="P6102" s="43">
        <f>IF($I6102=0,0,$Q6101*INDEX(DarlErsatzZins,13))</f>
      </c>
      <c r="Q6102" s="43">
        <f>IF($I6102=0,0,$Q6101+$P6102+$O6102)</f>
      </c>
      <c r="R6102" s="43">
        <f>IF($I6102=0,0,$J6102-$M6102-$N6102)</f>
      </c>
    </row>
    <row r="6103">
      <c r="A6103"/>
      <c r="B6103">
        <v>13</v>
      </c>
      <c r="C6103" s="43">
        <f>INDEX(DarlObj,13)</f>
      </c>
      <c r="D6103">
        <v>340</v>
      </c>
      <c r="E6103" s="51">
        <f>IF(INDEX(DarlBelegt,13)=0,0,EOMONTH(INDEX(DarlAuszahlung,13),339)+1)</f>
      </c>
      <c r="F6103" s="43">
        <f>IF($E6103=0,0,YEAR($E6103))</f>
      </c>
      <c r="G6103" s="43">
        <f>IF(INDEX(DarlBindung,13)="",1,IF($E6103&lt;=INDEX(DarlBindung,13),1,0))</f>
      </c>
      <c r="H6103" s="43">
        <f>IF($G6103=1,INDEX(DarlSollzins,13),INDEX(DarlAnschluss,13))</f>
      </c>
      <c r="I6103" s="43">
        <f>IF(INDEX(DarlBelegt,13)=0,0,IF(INDEX(DarlOhneTilgung,13)=1,IF(INDEX(DarlBindung,13)="",1,$G6103),IF($J6103&gt;0.005,1,0)))</f>
      </c>
      <c r="J6103" s="43">
        <f>IF($I6102=0,0,$R6102)</f>
      </c>
      <c r="K6103" s="43">
        <f>IF($I6103=0,0,IF(INDEX(DarlOhneTilgung,13)=1,0,IF(AND(INDEX(DarlTilgStart,13)&gt;0,$E6103=INDEX(DarlTilgStart,13)),$J6103*($H6103+INDEX(DarlTilgung,13))/100/12,IF(AND($G6103=0,$G6102=1),MAX($K6102,$J6103*($H6103+1)/100/12),$K6102))))</f>
      </c>
      <c r="L6103" s="43">
        <f>IF($I6103=0,0,$J6103*$H6103/100/12)</f>
      </c>
      <c r="M6103" s="43">
        <f>IF($I6103=0,0,IF(OR(INDEX(DarlOhneTilgung,13)=1,AND(INDEX(DarlTilgStart,13)&gt;0,$E6103&lt;INDEX(DarlTilgStart,13))),0,MIN(MAX(0,$K6103-$L6103),$J6103)))</f>
      </c>
      <c r="N6103" s="43">
        <f>IF($I6103=0,0,MIN(SUMIFS(SondBetrag,SondDarl,13,SondDatum,"&gt;="&amp;$E6103,SondDatum,"&lt;="&amp;EOMONTH($E6103,0)),$J6103-$M6103))</f>
      </c>
      <c r="O6103" s="43">
        <f>IF($I6103=0,0,INDEX(DarlErsatzRate,13))</f>
      </c>
      <c r="P6103" s="43">
        <f>IF($I6103=0,0,$Q6102*INDEX(DarlErsatzZins,13))</f>
      </c>
      <c r="Q6103" s="43">
        <f>IF($I6103=0,0,$Q6102+$P6103+$O6103)</f>
      </c>
      <c r="R6103" s="43">
        <f>IF($I6103=0,0,$J6103-$M6103-$N6103)</f>
      </c>
    </row>
    <row r="6104">
      <c r="A6104"/>
      <c r="B6104">
        <v>13</v>
      </c>
      <c r="C6104" s="43">
        <f>INDEX(DarlObj,13)</f>
      </c>
      <c r="D6104">
        <v>341</v>
      </c>
      <c r="E6104" s="51">
        <f>IF(INDEX(DarlBelegt,13)=0,0,EOMONTH(INDEX(DarlAuszahlung,13),340)+1)</f>
      </c>
      <c r="F6104" s="43">
        <f>IF($E6104=0,0,YEAR($E6104))</f>
      </c>
      <c r="G6104" s="43">
        <f>IF(INDEX(DarlBindung,13)="",1,IF($E6104&lt;=INDEX(DarlBindung,13),1,0))</f>
      </c>
      <c r="H6104" s="43">
        <f>IF($G6104=1,INDEX(DarlSollzins,13),INDEX(DarlAnschluss,13))</f>
      </c>
      <c r="I6104" s="43">
        <f>IF(INDEX(DarlBelegt,13)=0,0,IF(INDEX(DarlOhneTilgung,13)=1,IF(INDEX(DarlBindung,13)="",1,$G6104),IF($J6104&gt;0.005,1,0)))</f>
      </c>
      <c r="J6104" s="43">
        <f>IF($I6103=0,0,$R6103)</f>
      </c>
      <c r="K6104" s="43">
        <f>IF($I6104=0,0,IF(INDEX(DarlOhneTilgung,13)=1,0,IF(AND(INDEX(DarlTilgStart,13)&gt;0,$E6104=INDEX(DarlTilgStart,13)),$J6104*($H6104+INDEX(DarlTilgung,13))/100/12,IF(AND($G6104=0,$G6103=1),MAX($K6103,$J6104*($H6104+1)/100/12),$K6103))))</f>
      </c>
      <c r="L6104" s="43">
        <f>IF($I6104=0,0,$J6104*$H6104/100/12)</f>
      </c>
      <c r="M6104" s="43">
        <f>IF($I6104=0,0,IF(OR(INDEX(DarlOhneTilgung,13)=1,AND(INDEX(DarlTilgStart,13)&gt;0,$E6104&lt;INDEX(DarlTilgStart,13))),0,MIN(MAX(0,$K6104-$L6104),$J6104)))</f>
      </c>
      <c r="N6104" s="43">
        <f>IF($I6104=0,0,MIN(SUMIFS(SondBetrag,SondDarl,13,SondDatum,"&gt;="&amp;$E6104,SondDatum,"&lt;="&amp;EOMONTH($E6104,0)),$J6104-$M6104))</f>
      </c>
      <c r="O6104" s="43">
        <f>IF($I6104=0,0,INDEX(DarlErsatzRate,13))</f>
      </c>
      <c r="P6104" s="43">
        <f>IF($I6104=0,0,$Q6103*INDEX(DarlErsatzZins,13))</f>
      </c>
      <c r="Q6104" s="43">
        <f>IF($I6104=0,0,$Q6103+$P6104+$O6104)</f>
      </c>
      <c r="R6104" s="43">
        <f>IF($I6104=0,0,$J6104-$M6104-$N6104)</f>
      </c>
    </row>
    <row r="6105">
      <c r="A6105"/>
      <c r="B6105">
        <v>13</v>
      </c>
      <c r="C6105" s="43">
        <f>INDEX(DarlObj,13)</f>
      </c>
      <c r="D6105">
        <v>342</v>
      </c>
      <c r="E6105" s="51">
        <f>IF(INDEX(DarlBelegt,13)=0,0,EOMONTH(INDEX(DarlAuszahlung,13),341)+1)</f>
      </c>
      <c r="F6105" s="43">
        <f>IF($E6105=0,0,YEAR($E6105))</f>
      </c>
      <c r="G6105" s="43">
        <f>IF(INDEX(DarlBindung,13)="",1,IF($E6105&lt;=INDEX(DarlBindung,13),1,0))</f>
      </c>
      <c r="H6105" s="43">
        <f>IF($G6105=1,INDEX(DarlSollzins,13),INDEX(DarlAnschluss,13))</f>
      </c>
      <c r="I6105" s="43">
        <f>IF(INDEX(DarlBelegt,13)=0,0,IF(INDEX(DarlOhneTilgung,13)=1,IF(INDEX(DarlBindung,13)="",1,$G6105),IF($J6105&gt;0.005,1,0)))</f>
      </c>
      <c r="J6105" s="43">
        <f>IF($I6104=0,0,$R6104)</f>
      </c>
      <c r="K6105" s="43">
        <f>IF($I6105=0,0,IF(INDEX(DarlOhneTilgung,13)=1,0,IF(AND(INDEX(DarlTilgStart,13)&gt;0,$E6105=INDEX(DarlTilgStart,13)),$J6105*($H6105+INDEX(DarlTilgung,13))/100/12,IF(AND($G6105=0,$G6104=1),MAX($K6104,$J6105*($H6105+1)/100/12),$K6104))))</f>
      </c>
      <c r="L6105" s="43">
        <f>IF($I6105=0,0,$J6105*$H6105/100/12)</f>
      </c>
      <c r="M6105" s="43">
        <f>IF($I6105=0,0,IF(OR(INDEX(DarlOhneTilgung,13)=1,AND(INDEX(DarlTilgStart,13)&gt;0,$E6105&lt;INDEX(DarlTilgStart,13))),0,MIN(MAX(0,$K6105-$L6105),$J6105)))</f>
      </c>
      <c r="N6105" s="43">
        <f>IF($I6105=0,0,MIN(SUMIFS(SondBetrag,SondDarl,13,SondDatum,"&gt;="&amp;$E6105,SondDatum,"&lt;="&amp;EOMONTH($E6105,0)),$J6105-$M6105))</f>
      </c>
      <c r="O6105" s="43">
        <f>IF($I6105=0,0,INDEX(DarlErsatzRate,13))</f>
      </c>
      <c r="P6105" s="43">
        <f>IF($I6105=0,0,$Q6104*INDEX(DarlErsatzZins,13))</f>
      </c>
      <c r="Q6105" s="43">
        <f>IF($I6105=0,0,$Q6104+$P6105+$O6105)</f>
      </c>
      <c r="R6105" s="43">
        <f>IF($I6105=0,0,$J6105-$M6105-$N6105)</f>
      </c>
    </row>
    <row r="6106">
      <c r="A6106"/>
      <c r="B6106">
        <v>13</v>
      </c>
      <c r="C6106" s="43">
        <f>INDEX(DarlObj,13)</f>
      </c>
      <c r="D6106">
        <v>343</v>
      </c>
      <c r="E6106" s="51">
        <f>IF(INDEX(DarlBelegt,13)=0,0,EOMONTH(INDEX(DarlAuszahlung,13),342)+1)</f>
      </c>
      <c r="F6106" s="43">
        <f>IF($E6106=0,0,YEAR($E6106))</f>
      </c>
      <c r="G6106" s="43">
        <f>IF(INDEX(DarlBindung,13)="",1,IF($E6106&lt;=INDEX(DarlBindung,13),1,0))</f>
      </c>
      <c r="H6106" s="43">
        <f>IF($G6106=1,INDEX(DarlSollzins,13),INDEX(DarlAnschluss,13))</f>
      </c>
      <c r="I6106" s="43">
        <f>IF(INDEX(DarlBelegt,13)=0,0,IF(INDEX(DarlOhneTilgung,13)=1,IF(INDEX(DarlBindung,13)="",1,$G6106),IF($J6106&gt;0.005,1,0)))</f>
      </c>
      <c r="J6106" s="43">
        <f>IF($I6105=0,0,$R6105)</f>
      </c>
      <c r="K6106" s="43">
        <f>IF($I6106=0,0,IF(INDEX(DarlOhneTilgung,13)=1,0,IF(AND(INDEX(DarlTilgStart,13)&gt;0,$E6106=INDEX(DarlTilgStart,13)),$J6106*($H6106+INDEX(DarlTilgung,13))/100/12,IF(AND($G6106=0,$G6105=1),MAX($K6105,$J6106*($H6106+1)/100/12),$K6105))))</f>
      </c>
      <c r="L6106" s="43">
        <f>IF($I6106=0,0,$J6106*$H6106/100/12)</f>
      </c>
      <c r="M6106" s="43">
        <f>IF($I6106=0,0,IF(OR(INDEX(DarlOhneTilgung,13)=1,AND(INDEX(DarlTilgStart,13)&gt;0,$E6106&lt;INDEX(DarlTilgStart,13))),0,MIN(MAX(0,$K6106-$L6106),$J6106)))</f>
      </c>
      <c r="N6106" s="43">
        <f>IF($I6106=0,0,MIN(SUMIFS(SondBetrag,SondDarl,13,SondDatum,"&gt;="&amp;$E6106,SondDatum,"&lt;="&amp;EOMONTH($E6106,0)),$J6106-$M6106))</f>
      </c>
      <c r="O6106" s="43">
        <f>IF($I6106=0,0,INDEX(DarlErsatzRate,13))</f>
      </c>
      <c r="P6106" s="43">
        <f>IF($I6106=0,0,$Q6105*INDEX(DarlErsatzZins,13))</f>
      </c>
      <c r="Q6106" s="43">
        <f>IF($I6106=0,0,$Q6105+$P6106+$O6106)</f>
      </c>
      <c r="R6106" s="43">
        <f>IF($I6106=0,0,$J6106-$M6106-$N6106)</f>
      </c>
    </row>
    <row r="6107">
      <c r="A6107"/>
      <c r="B6107">
        <v>13</v>
      </c>
      <c r="C6107" s="43">
        <f>INDEX(DarlObj,13)</f>
      </c>
      <c r="D6107">
        <v>344</v>
      </c>
      <c r="E6107" s="51">
        <f>IF(INDEX(DarlBelegt,13)=0,0,EOMONTH(INDEX(DarlAuszahlung,13),343)+1)</f>
      </c>
      <c r="F6107" s="43">
        <f>IF($E6107=0,0,YEAR($E6107))</f>
      </c>
      <c r="G6107" s="43">
        <f>IF(INDEX(DarlBindung,13)="",1,IF($E6107&lt;=INDEX(DarlBindung,13),1,0))</f>
      </c>
      <c r="H6107" s="43">
        <f>IF($G6107=1,INDEX(DarlSollzins,13),INDEX(DarlAnschluss,13))</f>
      </c>
      <c r="I6107" s="43">
        <f>IF(INDEX(DarlBelegt,13)=0,0,IF(INDEX(DarlOhneTilgung,13)=1,IF(INDEX(DarlBindung,13)="",1,$G6107),IF($J6107&gt;0.005,1,0)))</f>
      </c>
      <c r="J6107" s="43">
        <f>IF($I6106=0,0,$R6106)</f>
      </c>
      <c r="K6107" s="43">
        <f>IF($I6107=0,0,IF(INDEX(DarlOhneTilgung,13)=1,0,IF(AND(INDEX(DarlTilgStart,13)&gt;0,$E6107=INDEX(DarlTilgStart,13)),$J6107*($H6107+INDEX(DarlTilgung,13))/100/12,IF(AND($G6107=0,$G6106=1),MAX($K6106,$J6107*($H6107+1)/100/12),$K6106))))</f>
      </c>
      <c r="L6107" s="43">
        <f>IF($I6107=0,0,$J6107*$H6107/100/12)</f>
      </c>
      <c r="M6107" s="43">
        <f>IF($I6107=0,0,IF(OR(INDEX(DarlOhneTilgung,13)=1,AND(INDEX(DarlTilgStart,13)&gt;0,$E6107&lt;INDEX(DarlTilgStart,13))),0,MIN(MAX(0,$K6107-$L6107),$J6107)))</f>
      </c>
      <c r="N6107" s="43">
        <f>IF($I6107=0,0,MIN(SUMIFS(SondBetrag,SondDarl,13,SondDatum,"&gt;="&amp;$E6107,SondDatum,"&lt;="&amp;EOMONTH($E6107,0)),$J6107-$M6107))</f>
      </c>
      <c r="O6107" s="43">
        <f>IF($I6107=0,0,INDEX(DarlErsatzRate,13))</f>
      </c>
      <c r="P6107" s="43">
        <f>IF($I6107=0,0,$Q6106*INDEX(DarlErsatzZins,13))</f>
      </c>
      <c r="Q6107" s="43">
        <f>IF($I6107=0,0,$Q6106+$P6107+$O6107)</f>
      </c>
      <c r="R6107" s="43">
        <f>IF($I6107=0,0,$J6107-$M6107-$N6107)</f>
      </c>
    </row>
    <row r="6108">
      <c r="A6108"/>
      <c r="B6108">
        <v>13</v>
      </c>
      <c r="C6108" s="43">
        <f>INDEX(DarlObj,13)</f>
      </c>
      <c r="D6108">
        <v>345</v>
      </c>
      <c r="E6108" s="51">
        <f>IF(INDEX(DarlBelegt,13)=0,0,EOMONTH(INDEX(DarlAuszahlung,13),344)+1)</f>
      </c>
      <c r="F6108" s="43">
        <f>IF($E6108=0,0,YEAR($E6108))</f>
      </c>
      <c r="G6108" s="43">
        <f>IF(INDEX(DarlBindung,13)="",1,IF($E6108&lt;=INDEX(DarlBindung,13),1,0))</f>
      </c>
      <c r="H6108" s="43">
        <f>IF($G6108=1,INDEX(DarlSollzins,13),INDEX(DarlAnschluss,13))</f>
      </c>
      <c r="I6108" s="43">
        <f>IF(INDEX(DarlBelegt,13)=0,0,IF(INDEX(DarlOhneTilgung,13)=1,IF(INDEX(DarlBindung,13)="",1,$G6108),IF($J6108&gt;0.005,1,0)))</f>
      </c>
      <c r="J6108" s="43">
        <f>IF($I6107=0,0,$R6107)</f>
      </c>
      <c r="K6108" s="43">
        <f>IF($I6108=0,0,IF(INDEX(DarlOhneTilgung,13)=1,0,IF(AND(INDEX(DarlTilgStart,13)&gt;0,$E6108=INDEX(DarlTilgStart,13)),$J6108*($H6108+INDEX(DarlTilgung,13))/100/12,IF(AND($G6108=0,$G6107=1),MAX($K6107,$J6108*($H6108+1)/100/12),$K6107))))</f>
      </c>
      <c r="L6108" s="43">
        <f>IF($I6108=0,0,$J6108*$H6108/100/12)</f>
      </c>
      <c r="M6108" s="43">
        <f>IF($I6108=0,0,IF(OR(INDEX(DarlOhneTilgung,13)=1,AND(INDEX(DarlTilgStart,13)&gt;0,$E6108&lt;INDEX(DarlTilgStart,13))),0,MIN(MAX(0,$K6108-$L6108),$J6108)))</f>
      </c>
      <c r="N6108" s="43">
        <f>IF($I6108=0,0,MIN(SUMIFS(SondBetrag,SondDarl,13,SondDatum,"&gt;="&amp;$E6108,SondDatum,"&lt;="&amp;EOMONTH($E6108,0)),$J6108-$M6108))</f>
      </c>
      <c r="O6108" s="43">
        <f>IF($I6108=0,0,INDEX(DarlErsatzRate,13))</f>
      </c>
      <c r="P6108" s="43">
        <f>IF($I6108=0,0,$Q6107*INDEX(DarlErsatzZins,13))</f>
      </c>
      <c r="Q6108" s="43">
        <f>IF($I6108=0,0,$Q6107+$P6108+$O6108)</f>
      </c>
      <c r="R6108" s="43">
        <f>IF($I6108=0,0,$J6108-$M6108-$N6108)</f>
      </c>
    </row>
    <row r="6109">
      <c r="A6109"/>
      <c r="B6109">
        <v>13</v>
      </c>
      <c r="C6109" s="43">
        <f>INDEX(DarlObj,13)</f>
      </c>
      <c r="D6109">
        <v>346</v>
      </c>
      <c r="E6109" s="51">
        <f>IF(INDEX(DarlBelegt,13)=0,0,EOMONTH(INDEX(DarlAuszahlung,13),345)+1)</f>
      </c>
      <c r="F6109" s="43">
        <f>IF($E6109=0,0,YEAR($E6109))</f>
      </c>
      <c r="G6109" s="43">
        <f>IF(INDEX(DarlBindung,13)="",1,IF($E6109&lt;=INDEX(DarlBindung,13),1,0))</f>
      </c>
      <c r="H6109" s="43">
        <f>IF($G6109=1,INDEX(DarlSollzins,13),INDEX(DarlAnschluss,13))</f>
      </c>
      <c r="I6109" s="43">
        <f>IF(INDEX(DarlBelegt,13)=0,0,IF(INDEX(DarlOhneTilgung,13)=1,IF(INDEX(DarlBindung,13)="",1,$G6109),IF($J6109&gt;0.005,1,0)))</f>
      </c>
      <c r="J6109" s="43">
        <f>IF($I6108=0,0,$R6108)</f>
      </c>
      <c r="K6109" s="43">
        <f>IF($I6109=0,0,IF(INDEX(DarlOhneTilgung,13)=1,0,IF(AND(INDEX(DarlTilgStart,13)&gt;0,$E6109=INDEX(DarlTilgStart,13)),$J6109*($H6109+INDEX(DarlTilgung,13))/100/12,IF(AND($G6109=0,$G6108=1),MAX($K6108,$J6109*($H6109+1)/100/12),$K6108))))</f>
      </c>
      <c r="L6109" s="43">
        <f>IF($I6109=0,0,$J6109*$H6109/100/12)</f>
      </c>
      <c r="M6109" s="43">
        <f>IF($I6109=0,0,IF(OR(INDEX(DarlOhneTilgung,13)=1,AND(INDEX(DarlTilgStart,13)&gt;0,$E6109&lt;INDEX(DarlTilgStart,13))),0,MIN(MAX(0,$K6109-$L6109),$J6109)))</f>
      </c>
      <c r="N6109" s="43">
        <f>IF($I6109=0,0,MIN(SUMIFS(SondBetrag,SondDarl,13,SondDatum,"&gt;="&amp;$E6109,SondDatum,"&lt;="&amp;EOMONTH($E6109,0)),$J6109-$M6109))</f>
      </c>
      <c r="O6109" s="43">
        <f>IF($I6109=0,0,INDEX(DarlErsatzRate,13))</f>
      </c>
      <c r="P6109" s="43">
        <f>IF($I6109=0,0,$Q6108*INDEX(DarlErsatzZins,13))</f>
      </c>
      <c r="Q6109" s="43">
        <f>IF($I6109=0,0,$Q6108+$P6109+$O6109)</f>
      </c>
      <c r="R6109" s="43">
        <f>IF($I6109=0,0,$J6109-$M6109-$N6109)</f>
      </c>
    </row>
    <row r="6110">
      <c r="A6110"/>
      <c r="B6110">
        <v>13</v>
      </c>
      <c r="C6110" s="43">
        <f>INDEX(DarlObj,13)</f>
      </c>
      <c r="D6110">
        <v>347</v>
      </c>
      <c r="E6110" s="51">
        <f>IF(INDEX(DarlBelegt,13)=0,0,EOMONTH(INDEX(DarlAuszahlung,13),346)+1)</f>
      </c>
      <c r="F6110" s="43">
        <f>IF($E6110=0,0,YEAR($E6110))</f>
      </c>
      <c r="G6110" s="43">
        <f>IF(INDEX(DarlBindung,13)="",1,IF($E6110&lt;=INDEX(DarlBindung,13),1,0))</f>
      </c>
      <c r="H6110" s="43">
        <f>IF($G6110=1,INDEX(DarlSollzins,13),INDEX(DarlAnschluss,13))</f>
      </c>
      <c r="I6110" s="43">
        <f>IF(INDEX(DarlBelegt,13)=0,0,IF(INDEX(DarlOhneTilgung,13)=1,IF(INDEX(DarlBindung,13)="",1,$G6110),IF($J6110&gt;0.005,1,0)))</f>
      </c>
      <c r="J6110" s="43">
        <f>IF($I6109=0,0,$R6109)</f>
      </c>
      <c r="K6110" s="43">
        <f>IF($I6110=0,0,IF(INDEX(DarlOhneTilgung,13)=1,0,IF(AND(INDEX(DarlTilgStart,13)&gt;0,$E6110=INDEX(DarlTilgStart,13)),$J6110*($H6110+INDEX(DarlTilgung,13))/100/12,IF(AND($G6110=0,$G6109=1),MAX($K6109,$J6110*($H6110+1)/100/12),$K6109))))</f>
      </c>
      <c r="L6110" s="43">
        <f>IF($I6110=0,0,$J6110*$H6110/100/12)</f>
      </c>
      <c r="M6110" s="43">
        <f>IF($I6110=0,0,IF(OR(INDEX(DarlOhneTilgung,13)=1,AND(INDEX(DarlTilgStart,13)&gt;0,$E6110&lt;INDEX(DarlTilgStart,13))),0,MIN(MAX(0,$K6110-$L6110),$J6110)))</f>
      </c>
      <c r="N6110" s="43">
        <f>IF($I6110=0,0,MIN(SUMIFS(SondBetrag,SondDarl,13,SondDatum,"&gt;="&amp;$E6110,SondDatum,"&lt;="&amp;EOMONTH($E6110,0)),$J6110-$M6110))</f>
      </c>
      <c r="O6110" s="43">
        <f>IF($I6110=0,0,INDEX(DarlErsatzRate,13))</f>
      </c>
      <c r="P6110" s="43">
        <f>IF($I6110=0,0,$Q6109*INDEX(DarlErsatzZins,13))</f>
      </c>
      <c r="Q6110" s="43">
        <f>IF($I6110=0,0,$Q6109+$P6110+$O6110)</f>
      </c>
      <c r="R6110" s="43">
        <f>IF($I6110=0,0,$J6110-$M6110-$N6110)</f>
      </c>
    </row>
    <row r="6111">
      <c r="A6111"/>
      <c r="B6111">
        <v>13</v>
      </c>
      <c r="C6111" s="43">
        <f>INDEX(DarlObj,13)</f>
      </c>
      <c r="D6111">
        <v>348</v>
      </c>
      <c r="E6111" s="51">
        <f>IF(INDEX(DarlBelegt,13)=0,0,EOMONTH(INDEX(DarlAuszahlung,13),347)+1)</f>
      </c>
      <c r="F6111" s="43">
        <f>IF($E6111=0,0,YEAR($E6111))</f>
      </c>
      <c r="G6111" s="43">
        <f>IF(INDEX(DarlBindung,13)="",1,IF($E6111&lt;=INDEX(DarlBindung,13),1,0))</f>
      </c>
      <c r="H6111" s="43">
        <f>IF($G6111=1,INDEX(DarlSollzins,13),INDEX(DarlAnschluss,13))</f>
      </c>
      <c r="I6111" s="43">
        <f>IF(INDEX(DarlBelegt,13)=0,0,IF(INDEX(DarlOhneTilgung,13)=1,IF(INDEX(DarlBindung,13)="",1,$G6111),IF($J6111&gt;0.005,1,0)))</f>
      </c>
      <c r="J6111" s="43">
        <f>IF($I6110=0,0,$R6110)</f>
      </c>
      <c r="K6111" s="43">
        <f>IF($I6111=0,0,IF(INDEX(DarlOhneTilgung,13)=1,0,IF(AND(INDEX(DarlTilgStart,13)&gt;0,$E6111=INDEX(DarlTilgStart,13)),$J6111*($H6111+INDEX(DarlTilgung,13))/100/12,IF(AND($G6111=0,$G6110=1),MAX($K6110,$J6111*($H6111+1)/100/12),$K6110))))</f>
      </c>
      <c r="L6111" s="43">
        <f>IF($I6111=0,0,$J6111*$H6111/100/12)</f>
      </c>
      <c r="M6111" s="43">
        <f>IF($I6111=0,0,IF(OR(INDEX(DarlOhneTilgung,13)=1,AND(INDEX(DarlTilgStart,13)&gt;0,$E6111&lt;INDEX(DarlTilgStart,13))),0,MIN(MAX(0,$K6111-$L6111),$J6111)))</f>
      </c>
      <c r="N6111" s="43">
        <f>IF($I6111=0,0,MIN(SUMIFS(SondBetrag,SondDarl,13,SondDatum,"&gt;="&amp;$E6111,SondDatum,"&lt;="&amp;EOMONTH($E6111,0)),$J6111-$M6111))</f>
      </c>
      <c r="O6111" s="43">
        <f>IF($I6111=0,0,INDEX(DarlErsatzRate,13))</f>
      </c>
      <c r="P6111" s="43">
        <f>IF($I6111=0,0,$Q6110*INDEX(DarlErsatzZins,13))</f>
      </c>
      <c r="Q6111" s="43">
        <f>IF($I6111=0,0,$Q6110+$P6111+$O6111)</f>
      </c>
      <c r="R6111" s="43">
        <f>IF($I6111=0,0,$J6111-$M6111-$N6111)</f>
      </c>
    </row>
    <row r="6112">
      <c r="A6112"/>
      <c r="B6112">
        <v>13</v>
      </c>
      <c r="C6112" s="43">
        <f>INDEX(DarlObj,13)</f>
      </c>
      <c r="D6112">
        <v>349</v>
      </c>
      <c r="E6112" s="51">
        <f>IF(INDEX(DarlBelegt,13)=0,0,EOMONTH(INDEX(DarlAuszahlung,13),348)+1)</f>
      </c>
      <c r="F6112" s="43">
        <f>IF($E6112=0,0,YEAR($E6112))</f>
      </c>
      <c r="G6112" s="43">
        <f>IF(INDEX(DarlBindung,13)="",1,IF($E6112&lt;=INDEX(DarlBindung,13),1,0))</f>
      </c>
      <c r="H6112" s="43">
        <f>IF($G6112=1,INDEX(DarlSollzins,13),INDEX(DarlAnschluss,13))</f>
      </c>
      <c r="I6112" s="43">
        <f>IF(INDEX(DarlBelegt,13)=0,0,IF(INDEX(DarlOhneTilgung,13)=1,IF(INDEX(DarlBindung,13)="",1,$G6112),IF($J6112&gt;0.005,1,0)))</f>
      </c>
      <c r="J6112" s="43">
        <f>IF($I6111=0,0,$R6111)</f>
      </c>
      <c r="K6112" s="43">
        <f>IF($I6112=0,0,IF(INDEX(DarlOhneTilgung,13)=1,0,IF(AND(INDEX(DarlTilgStart,13)&gt;0,$E6112=INDEX(DarlTilgStart,13)),$J6112*($H6112+INDEX(DarlTilgung,13))/100/12,IF(AND($G6112=0,$G6111=1),MAX($K6111,$J6112*($H6112+1)/100/12),$K6111))))</f>
      </c>
      <c r="L6112" s="43">
        <f>IF($I6112=0,0,$J6112*$H6112/100/12)</f>
      </c>
      <c r="M6112" s="43">
        <f>IF($I6112=0,0,IF(OR(INDEX(DarlOhneTilgung,13)=1,AND(INDEX(DarlTilgStart,13)&gt;0,$E6112&lt;INDEX(DarlTilgStart,13))),0,MIN(MAX(0,$K6112-$L6112),$J6112)))</f>
      </c>
      <c r="N6112" s="43">
        <f>IF($I6112=0,0,MIN(SUMIFS(SondBetrag,SondDarl,13,SondDatum,"&gt;="&amp;$E6112,SondDatum,"&lt;="&amp;EOMONTH($E6112,0)),$J6112-$M6112))</f>
      </c>
      <c r="O6112" s="43">
        <f>IF($I6112=0,0,INDEX(DarlErsatzRate,13))</f>
      </c>
      <c r="P6112" s="43">
        <f>IF($I6112=0,0,$Q6111*INDEX(DarlErsatzZins,13))</f>
      </c>
      <c r="Q6112" s="43">
        <f>IF($I6112=0,0,$Q6111+$P6112+$O6112)</f>
      </c>
      <c r="R6112" s="43">
        <f>IF($I6112=0,0,$J6112-$M6112-$N6112)</f>
      </c>
    </row>
    <row r="6113">
      <c r="A6113"/>
      <c r="B6113">
        <v>13</v>
      </c>
      <c r="C6113" s="43">
        <f>INDEX(DarlObj,13)</f>
      </c>
      <c r="D6113">
        <v>350</v>
      </c>
      <c r="E6113" s="51">
        <f>IF(INDEX(DarlBelegt,13)=0,0,EOMONTH(INDEX(DarlAuszahlung,13),349)+1)</f>
      </c>
      <c r="F6113" s="43">
        <f>IF($E6113=0,0,YEAR($E6113))</f>
      </c>
      <c r="G6113" s="43">
        <f>IF(INDEX(DarlBindung,13)="",1,IF($E6113&lt;=INDEX(DarlBindung,13),1,0))</f>
      </c>
      <c r="H6113" s="43">
        <f>IF($G6113=1,INDEX(DarlSollzins,13),INDEX(DarlAnschluss,13))</f>
      </c>
      <c r="I6113" s="43">
        <f>IF(INDEX(DarlBelegt,13)=0,0,IF(INDEX(DarlOhneTilgung,13)=1,IF(INDEX(DarlBindung,13)="",1,$G6113),IF($J6113&gt;0.005,1,0)))</f>
      </c>
      <c r="J6113" s="43">
        <f>IF($I6112=0,0,$R6112)</f>
      </c>
      <c r="K6113" s="43">
        <f>IF($I6113=0,0,IF(INDEX(DarlOhneTilgung,13)=1,0,IF(AND(INDEX(DarlTilgStart,13)&gt;0,$E6113=INDEX(DarlTilgStart,13)),$J6113*($H6113+INDEX(DarlTilgung,13))/100/12,IF(AND($G6113=0,$G6112=1),MAX($K6112,$J6113*($H6113+1)/100/12),$K6112))))</f>
      </c>
      <c r="L6113" s="43">
        <f>IF($I6113=0,0,$J6113*$H6113/100/12)</f>
      </c>
      <c r="M6113" s="43">
        <f>IF($I6113=0,0,IF(OR(INDEX(DarlOhneTilgung,13)=1,AND(INDEX(DarlTilgStart,13)&gt;0,$E6113&lt;INDEX(DarlTilgStart,13))),0,MIN(MAX(0,$K6113-$L6113),$J6113)))</f>
      </c>
      <c r="N6113" s="43">
        <f>IF($I6113=0,0,MIN(SUMIFS(SondBetrag,SondDarl,13,SondDatum,"&gt;="&amp;$E6113,SondDatum,"&lt;="&amp;EOMONTH($E6113,0)),$J6113-$M6113))</f>
      </c>
      <c r="O6113" s="43">
        <f>IF($I6113=0,0,INDEX(DarlErsatzRate,13))</f>
      </c>
      <c r="P6113" s="43">
        <f>IF($I6113=0,0,$Q6112*INDEX(DarlErsatzZins,13))</f>
      </c>
      <c r="Q6113" s="43">
        <f>IF($I6113=0,0,$Q6112+$P6113+$O6113)</f>
      </c>
      <c r="R6113" s="43">
        <f>IF($I6113=0,0,$J6113-$M6113-$N6113)</f>
      </c>
    </row>
    <row r="6114">
      <c r="A6114"/>
      <c r="B6114">
        <v>13</v>
      </c>
      <c r="C6114" s="43">
        <f>INDEX(DarlObj,13)</f>
      </c>
      <c r="D6114">
        <v>351</v>
      </c>
      <c r="E6114" s="51">
        <f>IF(INDEX(DarlBelegt,13)=0,0,EOMONTH(INDEX(DarlAuszahlung,13),350)+1)</f>
      </c>
      <c r="F6114" s="43">
        <f>IF($E6114=0,0,YEAR($E6114))</f>
      </c>
      <c r="G6114" s="43">
        <f>IF(INDEX(DarlBindung,13)="",1,IF($E6114&lt;=INDEX(DarlBindung,13),1,0))</f>
      </c>
      <c r="H6114" s="43">
        <f>IF($G6114=1,INDEX(DarlSollzins,13),INDEX(DarlAnschluss,13))</f>
      </c>
      <c r="I6114" s="43">
        <f>IF(INDEX(DarlBelegt,13)=0,0,IF(INDEX(DarlOhneTilgung,13)=1,IF(INDEX(DarlBindung,13)="",1,$G6114),IF($J6114&gt;0.005,1,0)))</f>
      </c>
      <c r="J6114" s="43">
        <f>IF($I6113=0,0,$R6113)</f>
      </c>
      <c r="K6114" s="43">
        <f>IF($I6114=0,0,IF(INDEX(DarlOhneTilgung,13)=1,0,IF(AND(INDEX(DarlTilgStart,13)&gt;0,$E6114=INDEX(DarlTilgStart,13)),$J6114*($H6114+INDEX(DarlTilgung,13))/100/12,IF(AND($G6114=0,$G6113=1),MAX($K6113,$J6114*($H6114+1)/100/12),$K6113))))</f>
      </c>
      <c r="L6114" s="43">
        <f>IF($I6114=0,0,$J6114*$H6114/100/12)</f>
      </c>
      <c r="M6114" s="43">
        <f>IF($I6114=0,0,IF(OR(INDEX(DarlOhneTilgung,13)=1,AND(INDEX(DarlTilgStart,13)&gt;0,$E6114&lt;INDEX(DarlTilgStart,13))),0,MIN(MAX(0,$K6114-$L6114),$J6114)))</f>
      </c>
      <c r="N6114" s="43">
        <f>IF($I6114=0,0,MIN(SUMIFS(SondBetrag,SondDarl,13,SondDatum,"&gt;="&amp;$E6114,SondDatum,"&lt;="&amp;EOMONTH($E6114,0)),$J6114-$M6114))</f>
      </c>
      <c r="O6114" s="43">
        <f>IF($I6114=0,0,INDEX(DarlErsatzRate,13))</f>
      </c>
      <c r="P6114" s="43">
        <f>IF($I6114=0,0,$Q6113*INDEX(DarlErsatzZins,13))</f>
      </c>
      <c r="Q6114" s="43">
        <f>IF($I6114=0,0,$Q6113+$P6114+$O6114)</f>
      </c>
      <c r="R6114" s="43">
        <f>IF($I6114=0,0,$J6114-$M6114-$N6114)</f>
      </c>
    </row>
    <row r="6115">
      <c r="A6115"/>
      <c r="B6115">
        <v>13</v>
      </c>
      <c r="C6115" s="43">
        <f>INDEX(DarlObj,13)</f>
      </c>
      <c r="D6115">
        <v>352</v>
      </c>
      <c r="E6115" s="51">
        <f>IF(INDEX(DarlBelegt,13)=0,0,EOMONTH(INDEX(DarlAuszahlung,13),351)+1)</f>
      </c>
      <c r="F6115" s="43">
        <f>IF($E6115=0,0,YEAR($E6115))</f>
      </c>
      <c r="G6115" s="43">
        <f>IF(INDEX(DarlBindung,13)="",1,IF($E6115&lt;=INDEX(DarlBindung,13),1,0))</f>
      </c>
      <c r="H6115" s="43">
        <f>IF($G6115=1,INDEX(DarlSollzins,13),INDEX(DarlAnschluss,13))</f>
      </c>
      <c r="I6115" s="43">
        <f>IF(INDEX(DarlBelegt,13)=0,0,IF(INDEX(DarlOhneTilgung,13)=1,IF(INDEX(DarlBindung,13)="",1,$G6115),IF($J6115&gt;0.005,1,0)))</f>
      </c>
      <c r="J6115" s="43">
        <f>IF($I6114=0,0,$R6114)</f>
      </c>
      <c r="K6115" s="43">
        <f>IF($I6115=0,0,IF(INDEX(DarlOhneTilgung,13)=1,0,IF(AND(INDEX(DarlTilgStart,13)&gt;0,$E6115=INDEX(DarlTilgStart,13)),$J6115*($H6115+INDEX(DarlTilgung,13))/100/12,IF(AND($G6115=0,$G6114=1),MAX($K6114,$J6115*($H6115+1)/100/12),$K6114))))</f>
      </c>
      <c r="L6115" s="43">
        <f>IF($I6115=0,0,$J6115*$H6115/100/12)</f>
      </c>
      <c r="M6115" s="43">
        <f>IF($I6115=0,0,IF(OR(INDEX(DarlOhneTilgung,13)=1,AND(INDEX(DarlTilgStart,13)&gt;0,$E6115&lt;INDEX(DarlTilgStart,13))),0,MIN(MAX(0,$K6115-$L6115),$J6115)))</f>
      </c>
      <c r="N6115" s="43">
        <f>IF($I6115=0,0,MIN(SUMIFS(SondBetrag,SondDarl,13,SondDatum,"&gt;="&amp;$E6115,SondDatum,"&lt;="&amp;EOMONTH($E6115,0)),$J6115-$M6115))</f>
      </c>
      <c r="O6115" s="43">
        <f>IF($I6115=0,0,INDEX(DarlErsatzRate,13))</f>
      </c>
      <c r="P6115" s="43">
        <f>IF($I6115=0,0,$Q6114*INDEX(DarlErsatzZins,13))</f>
      </c>
      <c r="Q6115" s="43">
        <f>IF($I6115=0,0,$Q6114+$P6115+$O6115)</f>
      </c>
      <c r="R6115" s="43">
        <f>IF($I6115=0,0,$J6115-$M6115-$N6115)</f>
      </c>
    </row>
    <row r="6116">
      <c r="A6116"/>
      <c r="B6116">
        <v>13</v>
      </c>
      <c r="C6116" s="43">
        <f>INDEX(DarlObj,13)</f>
      </c>
      <c r="D6116">
        <v>353</v>
      </c>
      <c r="E6116" s="51">
        <f>IF(INDEX(DarlBelegt,13)=0,0,EOMONTH(INDEX(DarlAuszahlung,13),352)+1)</f>
      </c>
      <c r="F6116" s="43">
        <f>IF($E6116=0,0,YEAR($E6116))</f>
      </c>
      <c r="G6116" s="43">
        <f>IF(INDEX(DarlBindung,13)="",1,IF($E6116&lt;=INDEX(DarlBindung,13),1,0))</f>
      </c>
      <c r="H6116" s="43">
        <f>IF($G6116=1,INDEX(DarlSollzins,13),INDEX(DarlAnschluss,13))</f>
      </c>
      <c r="I6116" s="43">
        <f>IF(INDEX(DarlBelegt,13)=0,0,IF(INDEX(DarlOhneTilgung,13)=1,IF(INDEX(DarlBindung,13)="",1,$G6116),IF($J6116&gt;0.005,1,0)))</f>
      </c>
      <c r="J6116" s="43">
        <f>IF($I6115=0,0,$R6115)</f>
      </c>
      <c r="K6116" s="43">
        <f>IF($I6116=0,0,IF(INDEX(DarlOhneTilgung,13)=1,0,IF(AND(INDEX(DarlTilgStart,13)&gt;0,$E6116=INDEX(DarlTilgStart,13)),$J6116*($H6116+INDEX(DarlTilgung,13))/100/12,IF(AND($G6116=0,$G6115=1),MAX($K6115,$J6116*($H6116+1)/100/12),$K6115))))</f>
      </c>
      <c r="L6116" s="43">
        <f>IF($I6116=0,0,$J6116*$H6116/100/12)</f>
      </c>
      <c r="M6116" s="43">
        <f>IF($I6116=0,0,IF(OR(INDEX(DarlOhneTilgung,13)=1,AND(INDEX(DarlTilgStart,13)&gt;0,$E6116&lt;INDEX(DarlTilgStart,13))),0,MIN(MAX(0,$K6116-$L6116),$J6116)))</f>
      </c>
      <c r="N6116" s="43">
        <f>IF($I6116=0,0,MIN(SUMIFS(SondBetrag,SondDarl,13,SondDatum,"&gt;="&amp;$E6116,SondDatum,"&lt;="&amp;EOMONTH($E6116,0)),$J6116-$M6116))</f>
      </c>
      <c r="O6116" s="43">
        <f>IF($I6116=0,0,INDEX(DarlErsatzRate,13))</f>
      </c>
      <c r="P6116" s="43">
        <f>IF($I6116=0,0,$Q6115*INDEX(DarlErsatzZins,13))</f>
      </c>
      <c r="Q6116" s="43">
        <f>IF($I6116=0,0,$Q6115+$P6116+$O6116)</f>
      </c>
      <c r="R6116" s="43">
        <f>IF($I6116=0,0,$J6116-$M6116-$N6116)</f>
      </c>
    </row>
    <row r="6117">
      <c r="A6117"/>
      <c r="B6117">
        <v>13</v>
      </c>
      <c r="C6117" s="43">
        <f>INDEX(DarlObj,13)</f>
      </c>
      <c r="D6117">
        <v>354</v>
      </c>
      <c r="E6117" s="51">
        <f>IF(INDEX(DarlBelegt,13)=0,0,EOMONTH(INDEX(DarlAuszahlung,13),353)+1)</f>
      </c>
      <c r="F6117" s="43">
        <f>IF($E6117=0,0,YEAR($E6117))</f>
      </c>
      <c r="G6117" s="43">
        <f>IF(INDEX(DarlBindung,13)="",1,IF($E6117&lt;=INDEX(DarlBindung,13),1,0))</f>
      </c>
      <c r="H6117" s="43">
        <f>IF($G6117=1,INDEX(DarlSollzins,13),INDEX(DarlAnschluss,13))</f>
      </c>
      <c r="I6117" s="43">
        <f>IF(INDEX(DarlBelegt,13)=0,0,IF(INDEX(DarlOhneTilgung,13)=1,IF(INDEX(DarlBindung,13)="",1,$G6117),IF($J6117&gt;0.005,1,0)))</f>
      </c>
      <c r="J6117" s="43">
        <f>IF($I6116=0,0,$R6116)</f>
      </c>
      <c r="K6117" s="43">
        <f>IF($I6117=0,0,IF(INDEX(DarlOhneTilgung,13)=1,0,IF(AND(INDEX(DarlTilgStart,13)&gt;0,$E6117=INDEX(DarlTilgStart,13)),$J6117*($H6117+INDEX(DarlTilgung,13))/100/12,IF(AND($G6117=0,$G6116=1),MAX($K6116,$J6117*($H6117+1)/100/12),$K6116))))</f>
      </c>
      <c r="L6117" s="43">
        <f>IF($I6117=0,0,$J6117*$H6117/100/12)</f>
      </c>
      <c r="M6117" s="43">
        <f>IF($I6117=0,0,IF(OR(INDEX(DarlOhneTilgung,13)=1,AND(INDEX(DarlTilgStart,13)&gt;0,$E6117&lt;INDEX(DarlTilgStart,13))),0,MIN(MAX(0,$K6117-$L6117),$J6117)))</f>
      </c>
      <c r="N6117" s="43">
        <f>IF($I6117=0,0,MIN(SUMIFS(SondBetrag,SondDarl,13,SondDatum,"&gt;="&amp;$E6117,SondDatum,"&lt;="&amp;EOMONTH($E6117,0)),$J6117-$M6117))</f>
      </c>
      <c r="O6117" s="43">
        <f>IF($I6117=0,0,INDEX(DarlErsatzRate,13))</f>
      </c>
      <c r="P6117" s="43">
        <f>IF($I6117=0,0,$Q6116*INDEX(DarlErsatzZins,13))</f>
      </c>
      <c r="Q6117" s="43">
        <f>IF($I6117=0,0,$Q6116+$P6117+$O6117)</f>
      </c>
      <c r="R6117" s="43">
        <f>IF($I6117=0,0,$J6117-$M6117-$N6117)</f>
      </c>
    </row>
    <row r="6118">
      <c r="A6118"/>
      <c r="B6118">
        <v>13</v>
      </c>
      <c r="C6118" s="43">
        <f>INDEX(DarlObj,13)</f>
      </c>
      <c r="D6118">
        <v>355</v>
      </c>
      <c r="E6118" s="51">
        <f>IF(INDEX(DarlBelegt,13)=0,0,EOMONTH(INDEX(DarlAuszahlung,13),354)+1)</f>
      </c>
      <c r="F6118" s="43">
        <f>IF($E6118=0,0,YEAR($E6118))</f>
      </c>
      <c r="G6118" s="43">
        <f>IF(INDEX(DarlBindung,13)="",1,IF($E6118&lt;=INDEX(DarlBindung,13),1,0))</f>
      </c>
      <c r="H6118" s="43">
        <f>IF($G6118=1,INDEX(DarlSollzins,13),INDEX(DarlAnschluss,13))</f>
      </c>
      <c r="I6118" s="43">
        <f>IF(INDEX(DarlBelegt,13)=0,0,IF(INDEX(DarlOhneTilgung,13)=1,IF(INDEX(DarlBindung,13)="",1,$G6118),IF($J6118&gt;0.005,1,0)))</f>
      </c>
      <c r="J6118" s="43">
        <f>IF($I6117=0,0,$R6117)</f>
      </c>
      <c r="K6118" s="43">
        <f>IF($I6118=0,0,IF(INDEX(DarlOhneTilgung,13)=1,0,IF(AND(INDEX(DarlTilgStart,13)&gt;0,$E6118=INDEX(DarlTilgStart,13)),$J6118*($H6118+INDEX(DarlTilgung,13))/100/12,IF(AND($G6118=0,$G6117=1),MAX($K6117,$J6118*($H6118+1)/100/12),$K6117))))</f>
      </c>
      <c r="L6118" s="43">
        <f>IF($I6118=0,0,$J6118*$H6118/100/12)</f>
      </c>
      <c r="M6118" s="43">
        <f>IF($I6118=0,0,IF(OR(INDEX(DarlOhneTilgung,13)=1,AND(INDEX(DarlTilgStart,13)&gt;0,$E6118&lt;INDEX(DarlTilgStart,13))),0,MIN(MAX(0,$K6118-$L6118),$J6118)))</f>
      </c>
      <c r="N6118" s="43">
        <f>IF($I6118=0,0,MIN(SUMIFS(SondBetrag,SondDarl,13,SondDatum,"&gt;="&amp;$E6118,SondDatum,"&lt;="&amp;EOMONTH($E6118,0)),$J6118-$M6118))</f>
      </c>
      <c r="O6118" s="43">
        <f>IF($I6118=0,0,INDEX(DarlErsatzRate,13))</f>
      </c>
      <c r="P6118" s="43">
        <f>IF($I6118=0,0,$Q6117*INDEX(DarlErsatzZins,13))</f>
      </c>
      <c r="Q6118" s="43">
        <f>IF($I6118=0,0,$Q6117+$P6118+$O6118)</f>
      </c>
      <c r="R6118" s="43">
        <f>IF($I6118=0,0,$J6118-$M6118-$N6118)</f>
      </c>
    </row>
    <row r="6119">
      <c r="A6119"/>
      <c r="B6119">
        <v>13</v>
      </c>
      <c r="C6119" s="43">
        <f>INDEX(DarlObj,13)</f>
      </c>
      <c r="D6119">
        <v>356</v>
      </c>
      <c r="E6119" s="51">
        <f>IF(INDEX(DarlBelegt,13)=0,0,EOMONTH(INDEX(DarlAuszahlung,13),355)+1)</f>
      </c>
      <c r="F6119" s="43">
        <f>IF($E6119=0,0,YEAR($E6119))</f>
      </c>
      <c r="G6119" s="43">
        <f>IF(INDEX(DarlBindung,13)="",1,IF($E6119&lt;=INDEX(DarlBindung,13),1,0))</f>
      </c>
      <c r="H6119" s="43">
        <f>IF($G6119=1,INDEX(DarlSollzins,13),INDEX(DarlAnschluss,13))</f>
      </c>
      <c r="I6119" s="43">
        <f>IF(INDEX(DarlBelegt,13)=0,0,IF(INDEX(DarlOhneTilgung,13)=1,IF(INDEX(DarlBindung,13)="",1,$G6119),IF($J6119&gt;0.005,1,0)))</f>
      </c>
      <c r="J6119" s="43">
        <f>IF($I6118=0,0,$R6118)</f>
      </c>
      <c r="K6119" s="43">
        <f>IF($I6119=0,0,IF(INDEX(DarlOhneTilgung,13)=1,0,IF(AND(INDEX(DarlTilgStart,13)&gt;0,$E6119=INDEX(DarlTilgStart,13)),$J6119*($H6119+INDEX(DarlTilgung,13))/100/12,IF(AND($G6119=0,$G6118=1),MAX($K6118,$J6119*($H6119+1)/100/12),$K6118))))</f>
      </c>
      <c r="L6119" s="43">
        <f>IF($I6119=0,0,$J6119*$H6119/100/12)</f>
      </c>
      <c r="M6119" s="43">
        <f>IF($I6119=0,0,IF(OR(INDEX(DarlOhneTilgung,13)=1,AND(INDEX(DarlTilgStart,13)&gt;0,$E6119&lt;INDEX(DarlTilgStart,13))),0,MIN(MAX(0,$K6119-$L6119),$J6119)))</f>
      </c>
      <c r="N6119" s="43">
        <f>IF($I6119=0,0,MIN(SUMIFS(SondBetrag,SondDarl,13,SondDatum,"&gt;="&amp;$E6119,SondDatum,"&lt;="&amp;EOMONTH($E6119,0)),$J6119-$M6119))</f>
      </c>
      <c r="O6119" s="43">
        <f>IF($I6119=0,0,INDEX(DarlErsatzRate,13))</f>
      </c>
      <c r="P6119" s="43">
        <f>IF($I6119=0,0,$Q6118*INDEX(DarlErsatzZins,13))</f>
      </c>
      <c r="Q6119" s="43">
        <f>IF($I6119=0,0,$Q6118+$P6119+$O6119)</f>
      </c>
      <c r="R6119" s="43">
        <f>IF($I6119=0,0,$J6119-$M6119-$N6119)</f>
      </c>
    </row>
    <row r="6120">
      <c r="A6120"/>
      <c r="B6120">
        <v>13</v>
      </c>
      <c r="C6120" s="43">
        <f>INDEX(DarlObj,13)</f>
      </c>
      <c r="D6120">
        <v>357</v>
      </c>
      <c r="E6120" s="51">
        <f>IF(INDEX(DarlBelegt,13)=0,0,EOMONTH(INDEX(DarlAuszahlung,13),356)+1)</f>
      </c>
      <c r="F6120" s="43">
        <f>IF($E6120=0,0,YEAR($E6120))</f>
      </c>
      <c r="G6120" s="43">
        <f>IF(INDEX(DarlBindung,13)="",1,IF($E6120&lt;=INDEX(DarlBindung,13),1,0))</f>
      </c>
      <c r="H6120" s="43">
        <f>IF($G6120=1,INDEX(DarlSollzins,13),INDEX(DarlAnschluss,13))</f>
      </c>
      <c r="I6120" s="43">
        <f>IF(INDEX(DarlBelegt,13)=0,0,IF(INDEX(DarlOhneTilgung,13)=1,IF(INDEX(DarlBindung,13)="",1,$G6120),IF($J6120&gt;0.005,1,0)))</f>
      </c>
      <c r="J6120" s="43">
        <f>IF($I6119=0,0,$R6119)</f>
      </c>
      <c r="K6120" s="43">
        <f>IF($I6120=0,0,IF(INDEX(DarlOhneTilgung,13)=1,0,IF(AND(INDEX(DarlTilgStart,13)&gt;0,$E6120=INDEX(DarlTilgStart,13)),$J6120*($H6120+INDEX(DarlTilgung,13))/100/12,IF(AND($G6120=0,$G6119=1),MAX($K6119,$J6120*($H6120+1)/100/12),$K6119))))</f>
      </c>
      <c r="L6120" s="43">
        <f>IF($I6120=0,0,$J6120*$H6120/100/12)</f>
      </c>
      <c r="M6120" s="43">
        <f>IF($I6120=0,0,IF(OR(INDEX(DarlOhneTilgung,13)=1,AND(INDEX(DarlTilgStart,13)&gt;0,$E6120&lt;INDEX(DarlTilgStart,13))),0,MIN(MAX(0,$K6120-$L6120),$J6120)))</f>
      </c>
      <c r="N6120" s="43">
        <f>IF($I6120=0,0,MIN(SUMIFS(SondBetrag,SondDarl,13,SondDatum,"&gt;="&amp;$E6120,SondDatum,"&lt;="&amp;EOMONTH($E6120,0)),$J6120-$M6120))</f>
      </c>
      <c r="O6120" s="43">
        <f>IF($I6120=0,0,INDEX(DarlErsatzRate,13))</f>
      </c>
      <c r="P6120" s="43">
        <f>IF($I6120=0,0,$Q6119*INDEX(DarlErsatzZins,13))</f>
      </c>
      <c r="Q6120" s="43">
        <f>IF($I6120=0,0,$Q6119+$P6120+$O6120)</f>
      </c>
      <c r="R6120" s="43">
        <f>IF($I6120=0,0,$J6120-$M6120-$N6120)</f>
      </c>
    </row>
    <row r="6121">
      <c r="A6121"/>
      <c r="B6121">
        <v>13</v>
      </c>
      <c r="C6121" s="43">
        <f>INDEX(DarlObj,13)</f>
      </c>
      <c r="D6121">
        <v>358</v>
      </c>
      <c r="E6121" s="51">
        <f>IF(INDEX(DarlBelegt,13)=0,0,EOMONTH(INDEX(DarlAuszahlung,13),357)+1)</f>
      </c>
      <c r="F6121" s="43">
        <f>IF($E6121=0,0,YEAR($E6121))</f>
      </c>
      <c r="G6121" s="43">
        <f>IF(INDEX(DarlBindung,13)="",1,IF($E6121&lt;=INDEX(DarlBindung,13),1,0))</f>
      </c>
      <c r="H6121" s="43">
        <f>IF($G6121=1,INDEX(DarlSollzins,13),INDEX(DarlAnschluss,13))</f>
      </c>
      <c r="I6121" s="43">
        <f>IF(INDEX(DarlBelegt,13)=0,0,IF(INDEX(DarlOhneTilgung,13)=1,IF(INDEX(DarlBindung,13)="",1,$G6121),IF($J6121&gt;0.005,1,0)))</f>
      </c>
      <c r="J6121" s="43">
        <f>IF($I6120=0,0,$R6120)</f>
      </c>
      <c r="K6121" s="43">
        <f>IF($I6121=0,0,IF(INDEX(DarlOhneTilgung,13)=1,0,IF(AND(INDEX(DarlTilgStart,13)&gt;0,$E6121=INDEX(DarlTilgStart,13)),$J6121*($H6121+INDEX(DarlTilgung,13))/100/12,IF(AND($G6121=0,$G6120=1),MAX($K6120,$J6121*($H6121+1)/100/12),$K6120))))</f>
      </c>
      <c r="L6121" s="43">
        <f>IF($I6121=0,0,$J6121*$H6121/100/12)</f>
      </c>
      <c r="M6121" s="43">
        <f>IF($I6121=0,0,IF(OR(INDEX(DarlOhneTilgung,13)=1,AND(INDEX(DarlTilgStart,13)&gt;0,$E6121&lt;INDEX(DarlTilgStart,13))),0,MIN(MAX(0,$K6121-$L6121),$J6121)))</f>
      </c>
      <c r="N6121" s="43">
        <f>IF($I6121=0,0,MIN(SUMIFS(SondBetrag,SondDarl,13,SondDatum,"&gt;="&amp;$E6121,SondDatum,"&lt;="&amp;EOMONTH($E6121,0)),$J6121-$M6121))</f>
      </c>
      <c r="O6121" s="43">
        <f>IF($I6121=0,0,INDEX(DarlErsatzRate,13))</f>
      </c>
      <c r="P6121" s="43">
        <f>IF($I6121=0,0,$Q6120*INDEX(DarlErsatzZins,13))</f>
      </c>
      <c r="Q6121" s="43">
        <f>IF($I6121=0,0,$Q6120+$P6121+$O6121)</f>
      </c>
      <c r="R6121" s="43">
        <f>IF($I6121=0,0,$J6121-$M6121-$N6121)</f>
      </c>
    </row>
    <row r="6122">
      <c r="A6122"/>
      <c r="B6122">
        <v>13</v>
      </c>
      <c r="C6122" s="43">
        <f>INDEX(DarlObj,13)</f>
      </c>
      <c r="D6122">
        <v>359</v>
      </c>
      <c r="E6122" s="51">
        <f>IF(INDEX(DarlBelegt,13)=0,0,EOMONTH(INDEX(DarlAuszahlung,13),358)+1)</f>
      </c>
      <c r="F6122" s="43">
        <f>IF($E6122=0,0,YEAR($E6122))</f>
      </c>
      <c r="G6122" s="43">
        <f>IF(INDEX(DarlBindung,13)="",1,IF($E6122&lt;=INDEX(DarlBindung,13),1,0))</f>
      </c>
      <c r="H6122" s="43">
        <f>IF($G6122=1,INDEX(DarlSollzins,13),INDEX(DarlAnschluss,13))</f>
      </c>
      <c r="I6122" s="43">
        <f>IF(INDEX(DarlBelegt,13)=0,0,IF(INDEX(DarlOhneTilgung,13)=1,IF(INDEX(DarlBindung,13)="",1,$G6122),IF($J6122&gt;0.005,1,0)))</f>
      </c>
      <c r="J6122" s="43">
        <f>IF($I6121=0,0,$R6121)</f>
      </c>
      <c r="K6122" s="43">
        <f>IF($I6122=0,0,IF(INDEX(DarlOhneTilgung,13)=1,0,IF(AND(INDEX(DarlTilgStart,13)&gt;0,$E6122=INDEX(DarlTilgStart,13)),$J6122*($H6122+INDEX(DarlTilgung,13))/100/12,IF(AND($G6122=0,$G6121=1),MAX($K6121,$J6122*($H6122+1)/100/12),$K6121))))</f>
      </c>
      <c r="L6122" s="43">
        <f>IF($I6122=0,0,$J6122*$H6122/100/12)</f>
      </c>
      <c r="M6122" s="43">
        <f>IF($I6122=0,0,IF(OR(INDEX(DarlOhneTilgung,13)=1,AND(INDEX(DarlTilgStart,13)&gt;0,$E6122&lt;INDEX(DarlTilgStart,13))),0,MIN(MAX(0,$K6122-$L6122),$J6122)))</f>
      </c>
      <c r="N6122" s="43">
        <f>IF($I6122=0,0,MIN(SUMIFS(SondBetrag,SondDarl,13,SondDatum,"&gt;="&amp;$E6122,SondDatum,"&lt;="&amp;EOMONTH($E6122,0)),$J6122-$M6122))</f>
      </c>
      <c r="O6122" s="43">
        <f>IF($I6122=0,0,INDEX(DarlErsatzRate,13))</f>
      </c>
      <c r="P6122" s="43">
        <f>IF($I6122=0,0,$Q6121*INDEX(DarlErsatzZins,13))</f>
      </c>
      <c r="Q6122" s="43">
        <f>IF($I6122=0,0,$Q6121+$P6122+$O6122)</f>
      </c>
      <c r="R6122" s="43">
        <f>IF($I6122=0,0,$J6122-$M6122-$N6122)</f>
      </c>
    </row>
    <row r="6123">
      <c r="A6123"/>
      <c r="B6123">
        <v>13</v>
      </c>
      <c r="C6123" s="43">
        <f>INDEX(DarlObj,13)</f>
      </c>
      <c r="D6123">
        <v>360</v>
      </c>
      <c r="E6123" s="51">
        <f>IF(INDEX(DarlBelegt,13)=0,0,EOMONTH(INDEX(DarlAuszahlung,13),359)+1)</f>
      </c>
      <c r="F6123" s="43">
        <f>IF($E6123=0,0,YEAR($E6123))</f>
      </c>
      <c r="G6123" s="43">
        <f>IF(INDEX(DarlBindung,13)="",1,IF($E6123&lt;=INDEX(DarlBindung,13),1,0))</f>
      </c>
      <c r="H6123" s="43">
        <f>IF($G6123=1,INDEX(DarlSollzins,13),INDEX(DarlAnschluss,13))</f>
      </c>
      <c r="I6123" s="43">
        <f>IF(INDEX(DarlBelegt,13)=0,0,IF(INDEX(DarlOhneTilgung,13)=1,IF(INDEX(DarlBindung,13)="",1,$G6123),IF($J6123&gt;0.005,1,0)))</f>
      </c>
      <c r="J6123" s="43">
        <f>IF($I6122=0,0,$R6122)</f>
      </c>
      <c r="K6123" s="43">
        <f>IF($I6123=0,0,IF(INDEX(DarlOhneTilgung,13)=1,0,IF(AND(INDEX(DarlTilgStart,13)&gt;0,$E6123=INDEX(DarlTilgStart,13)),$J6123*($H6123+INDEX(DarlTilgung,13))/100/12,IF(AND($G6123=0,$G6122=1),MAX($K6122,$J6123*($H6123+1)/100/12),$K6122))))</f>
      </c>
      <c r="L6123" s="43">
        <f>IF($I6123=0,0,$J6123*$H6123/100/12)</f>
      </c>
      <c r="M6123" s="43">
        <f>IF($I6123=0,0,IF(OR(INDEX(DarlOhneTilgung,13)=1,AND(INDEX(DarlTilgStart,13)&gt;0,$E6123&lt;INDEX(DarlTilgStart,13))),0,MIN(MAX(0,$K6123-$L6123),$J6123)))</f>
      </c>
      <c r="N6123" s="43">
        <f>IF($I6123=0,0,MIN(SUMIFS(SondBetrag,SondDarl,13,SondDatum,"&gt;="&amp;$E6123,SondDatum,"&lt;="&amp;EOMONTH($E6123,0)),$J6123-$M6123))</f>
      </c>
      <c r="O6123" s="43">
        <f>IF($I6123=0,0,INDEX(DarlErsatzRate,13))</f>
      </c>
      <c r="P6123" s="43">
        <f>IF($I6123=0,0,$Q6122*INDEX(DarlErsatzZins,13))</f>
      </c>
      <c r="Q6123" s="43">
        <f>IF($I6123=0,0,$Q6122+$P6123+$O6123)</f>
      </c>
      <c r="R6123" s="43">
        <f>IF($I6123=0,0,$J6123-$M6123-$N6123)</f>
      </c>
    </row>
    <row r="6124">
      <c r="A6124"/>
      <c r="B6124">
        <v>13</v>
      </c>
      <c r="C6124" s="43">
        <f>INDEX(DarlObj,13)</f>
      </c>
      <c r="D6124">
        <v>361</v>
      </c>
      <c r="E6124" s="51">
        <f>IF(INDEX(DarlBelegt,13)=0,0,EOMONTH(INDEX(DarlAuszahlung,13),360)+1)</f>
      </c>
      <c r="F6124" s="43">
        <f>IF($E6124=0,0,YEAR($E6124))</f>
      </c>
      <c r="G6124" s="43">
        <f>IF(INDEX(DarlBindung,13)="",1,IF($E6124&lt;=INDEX(DarlBindung,13),1,0))</f>
      </c>
      <c r="H6124" s="43">
        <f>IF($G6124=1,INDEX(DarlSollzins,13),INDEX(DarlAnschluss,13))</f>
      </c>
      <c r="I6124" s="43">
        <f>IF(INDEX(DarlBelegt,13)=0,0,IF(INDEX(DarlOhneTilgung,13)=1,IF(INDEX(DarlBindung,13)="",1,$G6124),IF($J6124&gt;0.005,1,0)))</f>
      </c>
      <c r="J6124" s="43">
        <f>IF($I6123=0,0,$R6123)</f>
      </c>
      <c r="K6124" s="43">
        <f>IF($I6124=0,0,IF(INDEX(DarlOhneTilgung,13)=1,0,IF(AND(INDEX(DarlTilgStart,13)&gt;0,$E6124=INDEX(DarlTilgStart,13)),$J6124*($H6124+INDEX(DarlTilgung,13))/100/12,IF(AND($G6124=0,$G6123=1),MAX($K6123,$J6124*($H6124+1)/100/12),$K6123))))</f>
      </c>
      <c r="L6124" s="43">
        <f>IF($I6124=0,0,$J6124*$H6124/100/12)</f>
      </c>
      <c r="M6124" s="43">
        <f>IF($I6124=0,0,IF(OR(INDEX(DarlOhneTilgung,13)=1,AND(INDEX(DarlTilgStart,13)&gt;0,$E6124&lt;INDEX(DarlTilgStart,13))),0,MIN(MAX(0,$K6124-$L6124),$J6124)))</f>
      </c>
      <c r="N6124" s="43">
        <f>IF($I6124=0,0,MIN(SUMIFS(SondBetrag,SondDarl,13,SondDatum,"&gt;="&amp;$E6124,SondDatum,"&lt;="&amp;EOMONTH($E6124,0)),$J6124-$M6124))</f>
      </c>
      <c r="O6124" s="43">
        <f>IF($I6124=0,0,INDEX(DarlErsatzRate,13))</f>
      </c>
      <c r="P6124" s="43">
        <f>IF($I6124=0,0,$Q6123*INDEX(DarlErsatzZins,13))</f>
      </c>
      <c r="Q6124" s="43">
        <f>IF($I6124=0,0,$Q6123+$P6124+$O6124)</f>
      </c>
      <c r="R6124" s="43">
        <f>IF($I6124=0,0,$J6124-$M6124-$N6124)</f>
      </c>
    </row>
    <row r="6125">
      <c r="A6125"/>
      <c r="B6125">
        <v>13</v>
      </c>
      <c r="C6125" s="43">
        <f>INDEX(DarlObj,13)</f>
      </c>
      <c r="D6125">
        <v>362</v>
      </c>
      <c r="E6125" s="51">
        <f>IF(INDEX(DarlBelegt,13)=0,0,EOMONTH(INDEX(DarlAuszahlung,13),361)+1)</f>
      </c>
      <c r="F6125" s="43">
        <f>IF($E6125=0,0,YEAR($E6125))</f>
      </c>
      <c r="G6125" s="43">
        <f>IF(INDEX(DarlBindung,13)="",1,IF($E6125&lt;=INDEX(DarlBindung,13),1,0))</f>
      </c>
      <c r="H6125" s="43">
        <f>IF($G6125=1,INDEX(DarlSollzins,13),INDEX(DarlAnschluss,13))</f>
      </c>
      <c r="I6125" s="43">
        <f>IF(INDEX(DarlBelegt,13)=0,0,IF(INDEX(DarlOhneTilgung,13)=1,IF(INDEX(DarlBindung,13)="",1,$G6125),IF($J6125&gt;0.005,1,0)))</f>
      </c>
      <c r="J6125" s="43">
        <f>IF($I6124=0,0,$R6124)</f>
      </c>
      <c r="K6125" s="43">
        <f>IF($I6125=0,0,IF(INDEX(DarlOhneTilgung,13)=1,0,IF(AND(INDEX(DarlTilgStart,13)&gt;0,$E6125=INDEX(DarlTilgStart,13)),$J6125*($H6125+INDEX(DarlTilgung,13))/100/12,IF(AND($G6125=0,$G6124=1),MAX($K6124,$J6125*($H6125+1)/100/12),$K6124))))</f>
      </c>
      <c r="L6125" s="43">
        <f>IF($I6125=0,0,$J6125*$H6125/100/12)</f>
      </c>
      <c r="M6125" s="43">
        <f>IF($I6125=0,0,IF(OR(INDEX(DarlOhneTilgung,13)=1,AND(INDEX(DarlTilgStart,13)&gt;0,$E6125&lt;INDEX(DarlTilgStart,13))),0,MIN(MAX(0,$K6125-$L6125),$J6125)))</f>
      </c>
      <c r="N6125" s="43">
        <f>IF($I6125=0,0,MIN(SUMIFS(SondBetrag,SondDarl,13,SondDatum,"&gt;="&amp;$E6125,SondDatum,"&lt;="&amp;EOMONTH($E6125,0)),$J6125-$M6125))</f>
      </c>
      <c r="O6125" s="43">
        <f>IF($I6125=0,0,INDEX(DarlErsatzRate,13))</f>
      </c>
      <c r="P6125" s="43">
        <f>IF($I6125=0,0,$Q6124*INDEX(DarlErsatzZins,13))</f>
      </c>
      <c r="Q6125" s="43">
        <f>IF($I6125=0,0,$Q6124+$P6125+$O6125)</f>
      </c>
      <c r="R6125" s="43">
        <f>IF($I6125=0,0,$J6125-$M6125-$N6125)</f>
      </c>
    </row>
    <row r="6126">
      <c r="A6126"/>
      <c r="B6126">
        <v>13</v>
      </c>
      <c r="C6126" s="43">
        <f>INDEX(DarlObj,13)</f>
      </c>
      <c r="D6126">
        <v>363</v>
      </c>
      <c r="E6126" s="51">
        <f>IF(INDEX(DarlBelegt,13)=0,0,EOMONTH(INDEX(DarlAuszahlung,13),362)+1)</f>
      </c>
      <c r="F6126" s="43">
        <f>IF($E6126=0,0,YEAR($E6126))</f>
      </c>
      <c r="G6126" s="43">
        <f>IF(INDEX(DarlBindung,13)="",1,IF($E6126&lt;=INDEX(DarlBindung,13),1,0))</f>
      </c>
      <c r="H6126" s="43">
        <f>IF($G6126=1,INDEX(DarlSollzins,13),INDEX(DarlAnschluss,13))</f>
      </c>
      <c r="I6126" s="43">
        <f>IF(INDEX(DarlBelegt,13)=0,0,IF(INDEX(DarlOhneTilgung,13)=1,IF(INDEX(DarlBindung,13)="",1,$G6126),IF($J6126&gt;0.005,1,0)))</f>
      </c>
      <c r="J6126" s="43">
        <f>IF($I6125=0,0,$R6125)</f>
      </c>
      <c r="K6126" s="43">
        <f>IF($I6126=0,0,IF(INDEX(DarlOhneTilgung,13)=1,0,IF(AND(INDEX(DarlTilgStart,13)&gt;0,$E6126=INDEX(DarlTilgStart,13)),$J6126*($H6126+INDEX(DarlTilgung,13))/100/12,IF(AND($G6126=0,$G6125=1),MAX($K6125,$J6126*($H6126+1)/100/12),$K6125))))</f>
      </c>
      <c r="L6126" s="43">
        <f>IF($I6126=0,0,$J6126*$H6126/100/12)</f>
      </c>
      <c r="M6126" s="43">
        <f>IF($I6126=0,0,IF(OR(INDEX(DarlOhneTilgung,13)=1,AND(INDEX(DarlTilgStart,13)&gt;0,$E6126&lt;INDEX(DarlTilgStart,13))),0,MIN(MAX(0,$K6126-$L6126),$J6126)))</f>
      </c>
      <c r="N6126" s="43">
        <f>IF($I6126=0,0,MIN(SUMIFS(SondBetrag,SondDarl,13,SondDatum,"&gt;="&amp;$E6126,SondDatum,"&lt;="&amp;EOMONTH($E6126,0)),$J6126-$M6126))</f>
      </c>
      <c r="O6126" s="43">
        <f>IF($I6126=0,0,INDEX(DarlErsatzRate,13))</f>
      </c>
      <c r="P6126" s="43">
        <f>IF($I6126=0,0,$Q6125*INDEX(DarlErsatzZins,13))</f>
      </c>
      <c r="Q6126" s="43">
        <f>IF($I6126=0,0,$Q6125+$P6126+$O6126)</f>
      </c>
      <c r="R6126" s="43">
        <f>IF($I6126=0,0,$J6126-$M6126-$N6126)</f>
      </c>
    </row>
    <row r="6127">
      <c r="A6127"/>
      <c r="B6127">
        <v>13</v>
      </c>
      <c r="C6127" s="43">
        <f>INDEX(DarlObj,13)</f>
      </c>
      <c r="D6127">
        <v>364</v>
      </c>
      <c r="E6127" s="51">
        <f>IF(INDEX(DarlBelegt,13)=0,0,EOMONTH(INDEX(DarlAuszahlung,13),363)+1)</f>
      </c>
      <c r="F6127" s="43">
        <f>IF($E6127=0,0,YEAR($E6127))</f>
      </c>
      <c r="G6127" s="43">
        <f>IF(INDEX(DarlBindung,13)="",1,IF($E6127&lt;=INDEX(DarlBindung,13),1,0))</f>
      </c>
      <c r="H6127" s="43">
        <f>IF($G6127=1,INDEX(DarlSollzins,13),INDEX(DarlAnschluss,13))</f>
      </c>
      <c r="I6127" s="43">
        <f>IF(INDEX(DarlBelegt,13)=0,0,IF(INDEX(DarlOhneTilgung,13)=1,IF(INDEX(DarlBindung,13)="",1,$G6127),IF($J6127&gt;0.005,1,0)))</f>
      </c>
      <c r="J6127" s="43">
        <f>IF($I6126=0,0,$R6126)</f>
      </c>
      <c r="K6127" s="43">
        <f>IF($I6127=0,0,IF(INDEX(DarlOhneTilgung,13)=1,0,IF(AND(INDEX(DarlTilgStart,13)&gt;0,$E6127=INDEX(DarlTilgStart,13)),$J6127*($H6127+INDEX(DarlTilgung,13))/100/12,IF(AND($G6127=0,$G6126=1),MAX($K6126,$J6127*($H6127+1)/100/12),$K6126))))</f>
      </c>
      <c r="L6127" s="43">
        <f>IF($I6127=0,0,$J6127*$H6127/100/12)</f>
      </c>
      <c r="M6127" s="43">
        <f>IF($I6127=0,0,IF(OR(INDEX(DarlOhneTilgung,13)=1,AND(INDEX(DarlTilgStart,13)&gt;0,$E6127&lt;INDEX(DarlTilgStart,13))),0,MIN(MAX(0,$K6127-$L6127),$J6127)))</f>
      </c>
      <c r="N6127" s="43">
        <f>IF($I6127=0,0,MIN(SUMIFS(SondBetrag,SondDarl,13,SondDatum,"&gt;="&amp;$E6127,SondDatum,"&lt;="&amp;EOMONTH($E6127,0)),$J6127-$M6127))</f>
      </c>
      <c r="O6127" s="43">
        <f>IF($I6127=0,0,INDEX(DarlErsatzRate,13))</f>
      </c>
      <c r="P6127" s="43">
        <f>IF($I6127=0,0,$Q6126*INDEX(DarlErsatzZins,13))</f>
      </c>
      <c r="Q6127" s="43">
        <f>IF($I6127=0,0,$Q6126+$P6127+$O6127)</f>
      </c>
      <c r="R6127" s="43">
        <f>IF($I6127=0,0,$J6127-$M6127-$N6127)</f>
      </c>
    </row>
    <row r="6128">
      <c r="A6128"/>
      <c r="B6128">
        <v>13</v>
      </c>
      <c r="C6128" s="43">
        <f>INDEX(DarlObj,13)</f>
      </c>
      <c r="D6128">
        <v>365</v>
      </c>
      <c r="E6128" s="51">
        <f>IF(INDEX(DarlBelegt,13)=0,0,EOMONTH(INDEX(DarlAuszahlung,13),364)+1)</f>
      </c>
      <c r="F6128" s="43">
        <f>IF($E6128=0,0,YEAR($E6128))</f>
      </c>
      <c r="G6128" s="43">
        <f>IF(INDEX(DarlBindung,13)="",1,IF($E6128&lt;=INDEX(DarlBindung,13),1,0))</f>
      </c>
      <c r="H6128" s="43">
        <f>IF($G6128=1,INDEX(DarlSollzins,13),INDEX(DarlAnschluss,13))</f>
      </c>
      <c r="I6128" s="43">
        <f>IF(INDEX(DarlBelegt,13)=0,0,IF(INDEX(DarlOhneTilgung,13)=1,IF(INDEX(DarlBindung,13)="",1,$G6128),IF($J6128&gt;0.005,1,0)))</f>
      </c>
      <c r="J6128" s="43">
        <f>IF($I6127=0,0,$R6127)</f>
      </c>
      <c r="K6128" s="43">
        <f>IF($I6128=0,0,IF(INDEX(DarlOhneTilgung,13)=1,0,IF(AND(INDEX(DarlTilgStart,13)&gt;0,$E6128=INDEX(DarlTilgStart,13)),$J6128*($H6128+INDEX(DarlTilgung,13))/100/12,IF(AND($G6128=0,$G6127=1),MAX($K6127,$J6128*($H6128+1)/100/12),$K6127))))</f>
      </c>
      <c r="L6128" s="43">
        <f>IF($I6128=0,0,$J6128*$H6128/100/12)</f>
      </c>
      <c r="M6128" s="43">
        <f>IF($I6128=0,0,IF(OR(INDEX(DarlOhneTilgung,13)=1,AND(INDEX(DarlTilgStart,13)&gt;0,$E6128&lt;INDEX(DarlTilgStart,13))),0,MIN(MAX(0,$K6128-$L6128),$J6128)))</f>
      </c>
      <c r="N6128" s="43">
        <f>IF($I6128=0,0,MIN(SUMIFS(SondBetrag,SondDarl,13,SondDatum,"&gt;="&amp;$E6128,SondDatum,"&lt;="&amp;EOMONTH($E6128,0)),$J6128-$M6128))</f>
      </c>
      <c r="O6128" s="43">
        <f>IF($I6128=0,0,INDEX(DarlErsatzRate,13))</f>
      </c>
      <c r="P6128" s="43">
        <f>IF($I6128=0,0,$Q6127*INDEX(DarlErsatzZins,13))</f>
      </c>
      <c r="Q6128" s="43">
        <f>IF($I6128=0,0,$Q6127+$P6128+$O6128)</f>
      </c>
      <c r="R6128" s="43">
        <f>IF($I6128=0,0,$J6128-$M6128-$N6128)</f>
      </c>
    </row>
    <row r="6129">
      <c r="A6129"/>
      <c r="B6129">
        <v>13</v>
      </c>
      <c r="C6129" s="43">
        <f>INDEX(DarlObj,13)</f>
      </c>
      <c r="D6129">
        <v>366</v>
      </c>
      <c r="E6129" s="51">
        <f>IF(INDEX(DarlBelegt,13)=0,0,EOMONTH(INDEX(DarlAuszahlung,13),365)+1)</f>
      </c>
      <c r="F6129" s="43">
        <f>IF($E6129=0,0,YEAR($E6129))</f>
      </c>
      <c r="G6129" s="43">
        <f>IF(INDEX(DarlBindung,13)="",1,IF($E6129&lt;=INDEX(DarlBindung,13),1,0))</f>
      </c>
      <c r="H6129" s="43">
        <f>IF($G6129=1,INDEX(DarlSollzins,13),INDEX(DarlAnschluss,13))</f>
      </c>
      <c r="I6129" s="43">
        <f>IF(INDEX(DarlBelegt,13)=0,0,IF(INDEX(DarlOhneTilgung,13)=1,IF(INDEX(DarlBindung,13)="",1,$G6129),IF($J6129&gt;0.005,1,0)))</f>
      </c>
      <c r="J6129" s="43">
        <f>IF($I6128=0,0,$R6128)</f>
      </c>
      <c r="K6129" s="43">
        <f>IF($I6129=0,0,IF(INDEX(DarlOhneTilgung,13)=1,0,IF(AND(INDEX(DarlTilgStart,13)&gt;0,$E6129=INDEX(DarlTilgStart,13)),$J6129*($H6129+INDEX(DarlTilgung,13))/100/12,IF(AND($G6129=0,$G6128=1),MAX($K6128,$J6129*($H6129+1)/100/12),$K6128))))</f>
      </c>
      <c r="L6129" s="43">
        <f>IF($I6129=0,0,$J6129*$H6129/100/12)</f>
      </c>
      <c r="M6129" s="43">
        <f>IF($I6129=0,0,IF(OR(INDEX(DarlOhneTilgung,13)=1,AND(INDEX(DarlTilgStart,13)&gt;0,$E6129&lt;INDEX(DarlTilgStart,13))),0,MIN(MAX(0,$K6129-$L6129),$J6129)))</f>
      </c>
      <c r="N6129" s="43">
        <f>IF($I6129=0,0,MIN(SUMIFS(SondBetrag,SondDarl,13,SondDatum,"&gt;="&amp;$E6129,SondDatum,"&lt;="&amp;EOMONTH($E6129,0)),$J6129-$M6129))</f>
      </c>
      <c r="O6129" s="43">
        <f>IF($I6129=0,0,INDEX(DarlErsatzRate,13))</f>
      </c>
      <c r="P6129" s="43">
        <f>IF($I6129=0,0,$Q6128*INDEX(DarlErsatzZins,13))</f>
      </c>
      <c r="Q6129" s="43">
        <f>IF($I6129=0,0,$Q6128+$P6129+$O6129)</f>
      </c>
      <c r="R6129" s="43">
        <f>IF($I6129=0,0,$J6129-$M6129-$N6129)</f>
      </c>
    </row>
    <row r="6130">
      <c r="A6130"/>
      <c r="B6130">
        <v>13</v>
      </c>
      <c r="C6130" s="43">
        <f>INDEX(DarlObj,13)</f>
      </c>
      <c r="D6130">
        <v>367</v>
      </c>
      <c r="E6130" s="51">
        <f>IF(INDEX(DarlBelegt,13)=0,0,EOMONTH(INDEX(DarlAuszahlung,13),366)+1)</f>
      </c>
      <c r="F6130" s="43">
        <f>IF($E6130=0,0,YEAR($E6130))</f>
      </c>
      <c r="G6130" s="43">
        <f>IF(INDEX(DarlBindung,13)="",1,IF($E6130&lt;=INDEX(DarlBindung,13),1,0))</f>
      </c>
      <c r="H6130" s="43">
        <f>IF($G6130=1,INDEX(DarlSollzins,13),INDEX(DarlAnschluss,13))</f>
      </c>
      <c r="I6130" s="43">
        <f>IF(INDEX(DarlBelegt,13)=0,0,IF(INDEX(DarlOhneTilgung,13)=1,IF(INDEX(DarlBindung,13)="",1,$G6130),IF($J6130&gt;0.005,1,0)))</f>
      </c>
      <c r="J6130" s="43">
        <f>IF($I6129=0,0,$R6129)</f>
      </c>
      <c r="K6130" s="43">
        <f>IF($I6130=0,0,IF(INDEX(DarlOhneTilgung,13)=1,0,IF(AND(INDEX(DarlTilgStart,13)&gt;0,$E6130=INDEX(DarlTilgStart,13)),$J6130*($H6130+INDEX(DarlTilgung,13))/100/12,IF(AND($G6130=0,$G6129=1),MAX($K6129,$J6130*($H6130+1)/100/12),$K6129))))</f>
      </c>
      <c r="L6130" s="43">
        <f>IF($I6130=0,0,$J6130*$H6130/100/12)</f>
      </c>
      <c r="M6130" s="43">
        <f>IF($I6130=0,0,IF(OR(INDEX(DarlOhneTilgung,13)=1,AND(INDEX(DarlTilgStart,13)&gt;0,$E6130&lt;INDEX(DarlTilgStart,13))),0,MIN(MAX(0,$K6130-$L6130),$J6130)))</f>
      </c>
      <c r="N6130" s="43">
        <f>IF($I6130=0,0,MIN(SUMIFS(SondBetrag,SondDarl,13,SondDatum,"&gt;="&amp;$E6130,SondDatum,"&lt;="&amp;EOMONTH($E6130,0)),$J6130-$M6130))</f>
      </c>
      <c r="O6130" s="43">
        <f>IF($I6130=0,0,INDEX(DarlErsatzRate,13))</f>
      </c>
      <c r="P6130" s="43">
        <f>IF($I6130=0,0,$Q6129*INDEX(DarlErsatzZins,13))</f>
      </c>
      <c r="Q6130" s="43">
        <f>IF($I6130=0,0,$Q6129+$P6130+$O6130)</f>
      </c>
      <c r="R6130" s="43">
        <f>IF($I6130=0,0,$J6130-$M6130-$N6130)</f>
      </c>
    </row>
    <row r="6131">
      <c r="A6131"/>
      <c r="B6131">
        <v>13</v>
      </c>
      <c r="C6131" s="43">
        <f>INDEX(DarlObj,13)</f>
      </c>
      <c r="D6131">
        <v>368</v>
      </c>
      <c r="E6131" s="51">
        <f>IF(INDEX(DarlBelegt,13)=0,0,EOMONTH(INDEX(DarlAuszahlung,13),367)+1)</f>
      </c>
      <c r="F6131" s="43">
        <f>IF($E6131=0,0,YEAR($E6131))</f>
      </c>
      <c r="G6131" s="43">
        <f>IF(INDEX(DarlBindung,13)="",1,IF($E6131&lt;=INDEX(DarlBindung,13),1,0))</f>
      </c>
      <c r="H6131" s="43">
        <f>IF($G6131=1,INDEX(DarlSollzins,13),INDEX(DarlAnschluss,13))</f>
      </c>
      <c r="I6131" s="43">
        <f>IF(INDEX(DarlBelegt,13)=0,0,IF(INDEX(DarlOhneTilgung,13)=1,IF(INDEX(DarlBindung,13)="",1,$G6131),IF($J6131&gt;0.005,1,0)))</f>
      </c>
      <c r="J6131" s="43">
        <f>IF($I6130=0,0,$R6130)</f>
      </c>
      <c r="K6131" s="43">
        <f>IF($I6131=0,0,IF(INDEX(DarlOhneTilgung,13)=1,0,IF(AND(INDEX(DarlTilgStart,13)&gt;0,$E6131=INDEX(DarlTilgStart,13)),$J6131*($H6131+INDEX(DarlTilgung,13))/100/12,IF(AND($G6131=0,$G6130=1),MAX($K6130,$J6131*($H6131+1)/100/12),$K6130))))</f>
      </c>
      <c r="L6131" s="43">
        <f>IF($I6131=0,0,$J6131*$H6131/100/12)</f>
      </c>
      <c r="M6131" s="43">
        <f>IF($I6131=0,0,IF(OR(INDEX(DarlOhneTilgung,13)=1,AND(INDEX(DarlTilgStart,13)&gt;0,$E6131&lt;INDEX(DarlTilgStart,13))),0,MIN(MAX(0,$K6131-$L6131),$J6131)))</f>
      </c>
      <c r="N6131" s="43">
        <f>IF($I6131=0,0,MIN(SUMIFS(SondBetrag,SondDarl,13,SondDatum,"&gt;="&amp;$E6131,SondDatum,"&lt;="&amp;EOMONTH($E6131,0)),$J6131-$M6131))</f>
      </c>
      <c r="O6131" s="43">
        <f>IF($I6131=0,0,INDEX(DarlErsatzRate,13))</f>
      </c>
      <c r="P6131" s="43">
        <f>IF($I6131=0,0,$Q6130*INDEX(DarlErsatzZins,13))</f>
      </c>
      <c r="Q6131" s="43">
        <f>IF($I6131=0,0,$Q6130+$P6131+$O6131)</f>
      </c>
      <c r="R6131" s="43">
        <f>IF($I6131=0,0,$J6131-$M6131-$N6131)</f>
      </c>
    </row>
    <row r="6132">
      <c r="A6132"/>
      <c r="B6132">
        <v>13</v>
      </c>
      <c r="C6132" s="43">
        <f>INDEX(DarlObj,13)</f>
      </c>
      <c r="D6132">
        <v>369</v>
      </c>
      <c r="E6132" s="51">
        <f>IF(INDEX(DarlBelegt,13)=0,0,EOMONTH(INDEX(DarlAuszahlung,13),368)+1)</f>
      </c>
      <c r="F6132" s="43">
        <f>IF($E6132=0,0,YEAR($E6132))</f>
      </c>
      <c r="G6132" s="43">
        <f>IF(INDEX(DarlBindung,13)="",1,IF($E6132&lt;=INDEX(DarlBindung,13),1,0))</f>
      </c>
      <c r="H6132" s="43">
        <f>IF($G6132=1,INDEX(DarlSollzins,13),INDEX(DarlAnschluss,13))</f>
      </c>
      <c r="I6132" s="43">
        <f>IF(INDEX(DarlBelegt,13)=0,0,IF(INDEX(DarlOhneTilgung,13)=1,IF(INDEX(DarlBindung,13)="",1,$G6132),IF($J6132&gt;0.005,1,0)))</f>
      </c>
      <c r="J6132" s="43">
        <f>IF($I6131=0,0,$R6131)</f>
      </c>
      <c r="K6132" s="43">
        <f>IF($I6132=0,0,IF(INDEX(DarlOhneTilgung,13)=1,0,IF(AND(INDEX(DarlTilgStart,13)&gt;0,$E6132=INDEX(DarlTilgStart,13)),$J6132*($H6132+INDEX(DarlTilgung,13))/100/12,IF(AND($G6132=0,$G6131=1),MAX($K6131,$J6132*($H6132+1)/100/12),$K6131))))</f>
      </c>
      <c r="L6132" s="43">
        <f>IF($I6132=0,0,$J6132*$H6132/100/12)</f>
      </c>
      <c r="M6132" s="43">
        <f>IF($I6132=0,0,IF(OR(INDEX(DarlOhneTilgung,13)=1,AND(INDEX(DarlTilgStart,13)&gt;0,$E6132&lt;INDEX(DarlTilgStart,13))),0,MIN(MAX(0,$K6132-$L6132),$J6132)))</f>
      </c>
      <c r="N6132" s="43">
        <f>IF($I6132=0,0,MIN(SUMIFS(SondBetrag,SondDarl,13,SondDatum,"&gt;="&amp;$E6132,SondDatum,"&lt;="&amp;EOMONTH($E6132,0)),$J6132-$M6132))</f>
      </c>
      <c r="O6132" s="43">
        <f>IF($I6132=0,0,INDEX(DarlErsatzRate,13))</f>
      </c>
      <c r="P6132" s="43">
        <f>IF($I6132=0,0,$Q6131*INDEX(DarlErsatzZins,13))</f>
      </c>
      <c r="Q6132" s="43">
        <f>IF($I6132=0,0,$Q6131+$P6132+$O6132)</f>
      </c>
      <c r="R6132" s="43">
        <f>IF($I6132=0,0,$J6132-$M6132-$N6132)</f>
      </c>
    </row>
    <row r="6133">
      <c r="A6133"/>
      <c r="B6133">
        <v>13</v>
      </c>
      <c r="C6133" s="43">
        <f>INDEX(DarlObj,13)</f>
      </c>
      <c r="D6133">
        <v>370</v>
      </c>
      <c r="E6133" s="51">
        <f>IF(INDEX(DarlBelegt,13)=0,0,EOMONTH(INDEX(DarlAuszahlung,13),369)+1)</f>
      </c>
      <c r="F6133" s="43">
        <f>IF($E6133=0,0,YEAR($E6133))</f>
      </c>
      <c r="G6133" s="43">
        <f>IF(INDEX(DarlBindung,13)="",1,IF($E6133&lt;=INDEX(DarlBindung,13),1,0))</f>
      </c>
      <c r="H6133" s="43">
        <f>IF($G6133=1,INDEX(DarlSollzins,13),INDEX(DarlAnschluss,13))</f>
      </c>
      <c r="I6133" s="43">
        <f>IF(INDEX(DarlBelegt,13)=0,0,IF(INDEX(DarlOhneTilgung,13)=1,IF(INDEX(DarlBindung,13)="",1,$G6133),IF($J6133&gt;0.005,1,0)))</f>
      </c>
      <c r="J6133" s="43">
        <f>IF($I6132=0,0,$R6132)</f>
      </c>
      <c r="K6133" s="43">
        <f>IF($I6133=0,0,IF(INDEX(DarlOhneTilgung,13)=1,0,IF(AND(INDEX(DarlTilgStart,13)&gt;0,$E6133=INDEX(DarlTilgStart,13)),$J6133*($H6133+INDEX(DarlTilgung,13))/100/12,IF(AND($G6133=0,$G6132=1),MAX($K6132,$J6133*($H6133+1)/100/12),$K6132))))</f>
      </c>
      <c r="L6133" s="43">
        <f>IF($I6133=0,0,$J6133*$H6133/100/12)</f>
      </c>
      <c r="M6133" s="43">
        <f>IF($I6133=0,0,IF(OR(INDEX(DarlOhneTilgung,13)=1,AND(INDEX(DarlTilgStart,13)&gt;0,$E6133&lt;INDEX(DarlTilgStart,13))),0,MIN(MAX(0,$K6133-$L6133),$J6133)))</f>
      </c>
      <c r="N6133" s="43">
        <f>IF($I6133=0,0,MIN(SUMIFS(SondBetrag,SondDarl,13,SondDatum,"&gt;="&amp;$E6133,SondDatum,"&lt;="&amp;EOMONTH($E6133,0)),$J6133-$M6133))</f>
      </c>
      <c r="O6133" s="43">
        <f>IF($I6133=0,0,INDEX(DarlErsatzRate,13))</f>
      </c>
      <c r="P6133" s="43">
        <f>IF($I6133=0,0,$Q6132*INDEX(DarlErsatzZins,13))</f>
      </c>
      <c r="Q6133" s="43">
        <f>IF($I6133=0,0,$Q6132+$P6133+$O6133)</f>
      </c>
      <c r="R6133" s="43">
        <f>IF($I6133=0,0,$J6133-$M6133-$N6133)</f>
      </c>
    </row>
    <row r="6134">
      <c r="A6134"/>
      <c r="B6134">
        <v>13</v>
      </c>
      <c r="C6134" s="43">
        <f>INDEX(DarlObj,13)</f>
      </c>
      <c r="D6134">
        <v>371</v>
      </c>
      <c r="E6134" s="51">
        <f>IF(INDEX(DarlBelegt,13)=0,0,EOMONTH(INDEX(DarlAuszahlung,13),370)+1)</f>
      </c>
      <c r="F6134" s="43">
        <f>IF($E6134=0,0,YEAR($E6134))</f>
      </c>
      <c r="G6134" s="43">
        <f>IF(INDEX(DarlBindung,13)="",1,IF($E6134&lt;=INDEX(DarlBindung,13),1,0))</f>
      </c>
      <c r="H6134" s="43">
        <f>IF($G6134=1,INDEX(DarlSollzins,13),INDEX(DarlAnschluss,13))</f>
      </c>
      <c r="I6134" s="43">
        <f>IF(INDEX(DarlBelegt,13)=0,0,IF(INDEX(DarlOhneTilgung,13)=1,IF(INDEX(DarlBindung,13)="",1,$G6134),IF($J6134&gt;0.005,1,0)))</f>
      </c>
      <c r="J6134" s="43">
        <f>IF($I6133=0,0,$R6133)</f>
      </c>
      <c r="K6134" s="43">
        <f>IF($I6134=0,0,IF(INDEX(DarlOhneTilgung,13)=1,0,IF(AND(INDEX(DarlTilgStart,13)&gt;0,$E6134=INDEX(DarlTilgStart,13)),$J6134*($H6134+INDEX(DarlTilgung,13))/100/12,IF(AND($G6134=0,$G6133=1),MAX($K6133,$J6134*($H6134+1)/100/12),$K6133))))</f>
      </c>
      <c r="L6134" s="43">
        <f>IF($I6134=0,0,$J6134*$H6134/100/12)</f>
      </c>
      <c r="M6134" s="43">
        <f>IF($I6134=0,0,IF(OR(INDEX(DarlOhneTilgung,13)=1,AND(INDEX(DarlTilgStart,13)&gt;0,$E6134&lt;INDEX(DarlTilgStart,13))),0,MIN(MAX(0,$K6134-$L6134),$J6134)))</f>
      </c>
      <c r="N6134" s="43">
        <f>IF($I6134=0,0,MIN(SUMIFS(SondBetrag,SondDarl,13,SondDatum,"&gt;="&amp;$E6134,SondDatum,"&lt;="&amp;EOMONTH($E6134,0)),$J6134-$M6134))</f>
      </c>
      <c r="O6134" s="43">
        <f>IF($I6134=0,0,INDEX(DarlErsatzRate,13))</f>
      </c>
      <c r="P6134" s="43">
        <f>IF($I6134=0,0,$Q6133*INDEX(DarlErsatzZins,13))</f>
      </c>
      <c r="Q6134" s="43">
        <f>IF($I6134=0,0,$Q6133+$P6134+$O6134)</f>
      </c>
      <c r="R6134" s="43">
        <f>IF($I6134=0,0,$J6134-$M6134-$N6134)</f>
      </c>
    </row>
    <row r="6135">
      <c r="A6135"/>
      <c r="B6135">
        <v>13</v>
      </c>
      <c r="C6135" s="43">
        <f>INDEX(DarlObj,13)</f>
      </c>
      <c r="D6135">
        <v>372</v>
      </c>
      <c r="E6135" s="51">
        <f>IF(INDEX(DarlBelegt,13)=0,0,EOMONTH(INDEX(DarlAuszahlung,13),371)+1)</f>
      </c>
      <c r="F6135" s="43">
        <f>IF($E6135=0,0,YEAR($E6135))</f>
      </c>
      <c r="G6135" s="43">
        <f>IF(INDEX(DarlBindung,13)="",1,IF($E6135&lt;=INDEX(DarlBindung,13),1,0))</f>
      </c>
      <c r="H6135" s="43">
        <f>IF($G6135=1,INDEX(DarlSollzins,13),INDEX(DarlAnschluss,13))</f>
      </c>
      <c r="I6135" s="43">
        <f>IF(INDEX(DarlBelegt,13)=0,0,IF(INDEX(DarlOhneTilgung,13)=1,IF(INDEX(DarlBindung,13)="",1,$G6135),IF($J6135&gt;0.005,1,0)))</f>
      </c>
      <c r="J6135" s="43">
        <f>IF($I6134=0,0,$R6134)</f>
      </c>
      <c r="K6135" s="43">
        <f>IF($I6135=0,0,IF(INDEX(DarlOhneTilgung,13)=1,0,IF(AND(INDEX(DarlTilgStart,13)&gt;0,$E6135=INDEX(DarlTilgStart,13)),$J6135*($H6135+INDEX(DarlTilgung,13))/100/12,IF(AND($G6135=0,$G6134=1),MAX($K6134,$J6135*($H6135+1)/100/12),$K6134))))</f>
      </c>
      <c r="L6135" s="43">
        <f>IF($I6135=0,0,$J6135*$H6135/100/12)</f>
      </c>
      <c r="M6135" s="43">
        <f>IF($I6135=0,0,IF(OR(INDEX(DarlOhneTilgung,13)=1,AND(INDEX(DarlTilgStart,13)&gt;0,$E6135&lt;INDEX(DarlTilgStart,13))),0,MIN(MAX(0,$K6135-$L6135),$J6135)))</f>
      </c>
      <c r="N6135" s="43">
        <f>IF($I6135=0,0,MIN(SUMIFS(SondBetrag,SondDarl,13,SondDatum,"&gt;="&amp;$E6135,SondDatum,"&lt;="&amp;EOMONTH($E6135,0)),$J6135-$M6135))</f>
      </c>
      <c r="O6135" s="43">
        <f>IF($I6135=0,0,INDEX(DarlErsatzRate,13))</f>
      </c>
      <c r="P6135" s="43">
        <f>IF($I6135=0,0,$Q6134*INDEX(DarlErsatzZins,13))</f>
      </c>
      <c r="Q6135" s="43">
        <f>IF($I6135=0,0,$Q6134+$P6135+$O6135)</f>
      </c>
      <c r="R6135" s="43">
        <f>IF($I6135=0,0,$J6135-$M6135-$N6135)</f>
      </c>
    </row>
    <row r="6136">
      <c r="A6136"/>
      <c r="B6136">
        <v>13</v>
      </c>
      <c r="C6136" s="43">
        <f>INDEX(DarlObj,13)</f>
      </c>
      <c r="D6136">
        <v>373</v>
      </c>
      <c r="E6136" s="51">
        <f>IF(INDEX(DarlBelegt,13)=0,0,EOMONTH(INDEX(DarlAuszahlung,13),372)+1)</f>
      </c>
      <c r="F6136" s="43">
        <f>IF($E6136=0,0,YEAR($E6136))</f>
      </c>
      <c r="G6136" s="43">
        <f>IF(INDEX(DarlBindung,13)="",1,IF($E6136&lt;=INDEX(DarlBindung,13),1,0))</f>
      </c>
      <c r="H6136" s="43">
        <f>IF($G6136=1,INDEX(DarlSollzins,13),INDEX(DarlAnschluss,13))</f>
      </c>
      <c r="I6136" s="43">
        <f>IF(INDEX(DarlBelegt,13)=0,0,IF(INDEX(DarlOhneTilgung,13)=1,IF(INDEX(DarlBindung,13)="",1,$G6136),IF($J6136&gt;0.005,1,0)))</f>
      </c>
      <c r="J6136" s="43">
        <f>IF($I6135=0,0,$R6135)</f>
      </c>
      <c r="K6136" s="43">
        <f>IF($I6136=0,0,IF(INDEX(DarlOhneTilgung,13)=1,0,IF(AND(INDEX(DarlTilgStart,13)&gt;0,$E6136=INDEX(DarlTilgStart,13)),$J6136*($H6136+INDEX(DarlTilgung,13))/100/12,IF(AND($G6136=0,$G6135=1),MAX($K6135,$J6136*($H6136+1)/100/12),$K6135))))</f>
      </c>
      <c r="L6136" s="43">
        <f>IF($I6136=0,0,$J6136*$H6136/100/12)</f>
      </c>
      <c r="M6136" s="43">
        <f>IF($I6136=0,0,IF(OR(INDEX(DarlOhneTilgung,13)=1,AND(INDEX(DarlTilgStart,13)&gt;0,$E6136&lt;INDEX(DarlTilgStart,13))),0,MIN(MAX(0,$K6136-$L6136),$J6136)))</f>
      </c>
      <c r="N6136" s="43">
        <f>IF($I6136=0,0,MIN(SUMIFS(SondBetrag,SondDarl,13,SondDatum,"&gt;="&amp;$E6136,SondDatum,"&lt;="&amp;EOMONTH($E6136,0)),$J6136-$M6136))</f>
      </c>
      <c r="O6136" s="43">
        <f>IF($I6136=0,0,INDEX(DarlErsatzRate,13))</f>
      </c>
      <c r="P6136" s="43">
        <f>IF($I6136=0,0,$Q6135*INDEX(DarlErsatzZins,13))</f>
      </c>
      <c r="Q6136" s="43">
        <f>IF($I6136=0,0,$Q6135+$P6136+$O6136)</f>
      </c>
      <c r="R6136" s="43">
        <f>IF($I6136=0,0,$J6136-$M6136-$N6136)</f>
      </c>
    </row>
    <row r="6137">
      <c r="A6137"/>
      <c r="B6137">
        <v>13</v>
      </c>
      <c r="C6137" s="43">
        <f>INDEX(DarlObj,13)</f>
      </c>
      <c r="D6137">
        <v>374</v>
      </c>
      <c r="E6137" s="51">
        <f>IF(INDEX(DarlBelegt,13)=0,0,EOMONTH(INDEX(DarlAuszahlung,13),373)+1)</f>
      </c>
      <c r="F6137" s="43">
        <f>IF($E6137=0,0,YEAR($E6137))</f>
      </c>
      <c r="G6137" s="43">
        <f>IF(INDEX(DarlBindung,13)="",1,IF($E6137&lt;=INDEX(DarlBindung,13),1,0))</f>
      </c>
      <c r="H6137" s="43">
        <f>IF($G6137=1,INDEX(DarlSollzins,13),INDEX(DarlAnschluss,13))</f>
      </c>
      <c r="I6137" s="43">
        <f>IF(INDEX(DarlBelegt,13)=0,0,IF(INDEX(DarlOhneTilgung,13)=1,IF(INDEX(DarlBindung,13)="",1,$G6137),IF($J6137&gt;0.005,1,0)))</f>
      </c>
      <c r="J6137" s="43">
        <f>IF($I6136=0,0,$R6136)</f>
      </c>
      <c r="K6137" s="43">
        <f>IF($I6137=0,0,IF(INDEX(DarlOhneTilgung,13)=1,0,IF(AND(INDEX(DarlTilgStart,13)&gt;0,$E6137=INDEX(DarlTilgStart,13)),$J6137*($H6137+INDEX(DarlTilgung,13))/100/12,IF(AND($G6137=0,$G6136=1),MAX($K6136,$J6137*($H6137+1)/100/12),$K6136))))</f>
      </c>
      <c r="L6137" s="43">
        <f>IF($I6137=0,0,$J6137*$H6137/100/12)</f>
      </c>
      <c r="M6137" s="43">
        <f>IF($I6137=0,0,IF(OR(INDEX(DarlOhneTilgung,13)=1,AND(INDEX(DarlTilgStart,13)&gt;0,$E6137&lt;INDEX(DarlTilgStart,13))),0,MIN(MAX(0,$K6137-$L6137),$J6137)))</f>
      </c>
      <c r="N6137" s="43">
        <f>IF($I6137=0,0,MIN(SUMIFS(SondBetrag,SondDarl,13,SondDatum,"&gt;="&amp;$E6137,SondDatum,"&lt;="&amp;EOMONTH($E6137,0)),$J6137-$M6137))</f>
      </c>
      <c r="O6137" s="43">
        <f>IF($I6137=0,0,INDEX(DarlErsatzRate,13))</f>
      </c>
      <c r="P6137" s="43">
        <f>IF($I6137=0,0,$Q6136*INDEX(DarlErsatzZins,13))</f>
      </c>
      <c r="Q6137" s="43">
        <f>IF($I6137=0,0,$Q6136+$P6137+$O6137)</f>
      </c>
      <c r="R6137" s="43">
        <f>IF($I6137=0,0,$J6137-$M6137-$N6137)</f>
      </c>
    </row>
    <row r="6138">
      <c r="A6138"/>
      <c r="B6138">
        <v>13</v>
      </c>
      <c r="C6138" s="43">
        <f>INDEX(DarlObj,13)</f>
      </c>
      <c r="D6138">
        <v>375</v>
      </c>
      <c r="E6138" s="51">
        <f>IF(INDEX(DarlBelegt,13)=0,0,EOMONTH(INDEX(DarlAuszahlung,13),374)+1)</f>
      </c>
      <c r="F6138" s="43">
        <f>IF($E6138=0,0,YEAR($E6138))</f>
      </c>
      <c r="G6138" s="43">
        <f>IF(INDEX(DarlBindung,13)="",1,IF($E6138&lt;=INDEX(DarlBindung,13),1,0))</f>
      </c>
      <c r="H6138" s="43">
        <f>IF($G6138=1,INDEX(DarlSollzins,13),INDEX(DarlAnschluss,13))</f>
      </c>
      <c r="I6138" s="43">
        <f>IF(INDEX(DarlBelegt,13)=0,0,IF(INDEX(DarlOhneTilgung,13)=1,IF(INDEX(DarlBindung,13)="",1,$G6138),IF($J6138&gt;0.005,1,0)))</f>
      </c>
      <c r="J6138" s="43">
        <f>IF($I6137=0,0,$R6137)</f>
      </c>
      <c r="K6138" s="43">
        <f>IF($I6138=0,0,IF(INDEX(DarlOhneTilgung,13)=1,0,IF(AND(INDEX(DarlTilgStart,13)&gt;0,$E6138=INDEX(DarlTilgStart,13)),$J6138*($H6138+INDEX(DarlTilgung,13))/100/12,IF(AND($G6138=0,$G6137=1),MAX($K6137,$J6138*($H6138+1)/100/12),$K6137))))</f>
      </c>
      <c r="L6138" s="43">
        <f>IF($I6138=0,0,$J6138*$H6138/100/12)</f>
      </c>
      <c r="M6138" s="43">
        <f>IF($I6138=0,0,IF(OR(INDEX(DarlOhneTilgung,13)=1,AND(INDEX(DarlTilgStart,13)&gt;0,$E6138&lt;INDEX(DarlTilgStart,13))),0,MIN(MAX(0,$K6138-$L6138),$J6138)))</f>
      </c>
      <c r="N6138" s="43">
        <f>IF($I6138=0,0,MIN(SUMIFS(SondBetrag,SondDarl,13,SondDatum,"&gt;="&amp;$E6138,SondDatum,"&lt;="&amp;EOMONTH($E6138,0)),$J6138-$M6138))</f>
      </c>
      <c r="O6138" s="43">
        <f>IF($I6138=0,0,INDEX(DarlErsatzRate,13))</f>
      </c>
      <c r="P6138" s="43">
        <f>IF($I6138=0,0,$Q6137*INDEX(DarlErsatzZins,13))</f>
      </c>
      <c r="Q6138" s="43">
        <f>IF($I6138=0,0,$Q6137+$P6138+$O6138)</f>
      </c>
      <c r="R6138" s="43">
        <f>IF($I6138=0,0,$J6138-$M6138-$N6138)</f>
      </c>
    </row>
    <row r="6139">
      <c r="A6139"/>
      <c r="B6139">
        <v>13</v>
      </c>
      <c r="C6139" s="43">
        <f>INDEX(DarlObj,13)</f>
      </c>
      <c r="D6139">
        <v>376</v>
      </c>
      <c r="E6139" s="51">
        <f>IF(INDEX(DarlBelegt,13)=0,0,EOMONTH(INDEX(DarlAuszahlung,13),375)+1)</f>
      </c>
      <c r="F6139" s="43">
        <f>IF($E6139=0,0,YEAR($E6139))</f>
      </c>
      <c r="G6139" s="43">
        <f>IF(INDEX(DarlBindung,13)="",1,IF($E6139&lt;=INDEX(DarlBindung,13),1,0))</f>
      </c>
      <c r="H6139" s="43">
        <f>IF($G6139=1,INDEX(DarlSollzins,13),INDEX(DarlAnschluss,13))</f>
      </c>
      <c r="I6139" s="43">
        <f>IF(INDEX(DarlBelegt,13)=0,0,IF(INDEX(DarlOhneTilgung,13)=1,IF(INDEX(DarlBindung,13)="",1,$G6139),IF($J6139&gt;0.005,1,0)))</f>
      </c>
      <c r="J6139" s="43">
        <f>IF($I6138=0,0,$R6138)</f>
      </c>
      <c r="K6139" s="43">
        <f>IF($I6139=0,0,IF(INDEX(DarlOhneTilgung,13)=1,0,IF(AND(INDEX(DarlTilgStart,13)&gt;0,$E6139=INDEX(DarlTilgStart,13)),$J6139*($H6139+INDEX(DarlTilgung,13))/100/12,IF(AND($G6139=0,$G6138=1),MAX($K6138,$J6139*($H6139+1)/100/12),$K6138))))</f>
      </c>
      <c r="L6139" s="43">
        <f>IF($I6139=0,0,$J6139*$H6139/100/12)</f>
      </c>
      <c r="M6139" s="43">
        <f>IF($I6139=0,0,IF(OR(INDEX(DarlOhneTilgung,13)=1,AND(INDEX(DarlTilgStart,13)&gt;0,$E6139&lt;INDEX(DarlTilgStart,13))),0,MIN(MAX(0,$K6139-$L6139),$J6139)))</f>
      </c>
      <c r="N6139" s="43">
        <f>IF($I6139=0,0,MIN(SUMIFS(SondBetrag,SondDarl,13,SondDatum,"&gt;="&amp;$E6139,SondDatum,"&lt;="&amp;EOMONTH($E6139,0)),$J6139-$M6139))</f>
      </c>
      <c r="O6139" s="43">
        <f>IF($I6139=0,0,INDEX(DarlErsatzRate,13))</f>
      </c>
      <c r="P6139" s="43">
        <f>IF($I6139=0,0,$Q6138*INDEX(DarlErsatzZins,13))</f>
      </c>
      <c r="Q6139" s="43">
        <f>IF($I6139=0,0,$Q6138+$P6139+$O6139)</f>
      </c>
      <c r="R6139" s="43">
        <f>IF($I6139=0,0,$J6139-$M6139-$N6139)</f>
      </c>
    </row>
    <row r="6140">
      <c r="A6140"/>
      <c r="B6140">
        <v>13</v>
      </c>
      <c r="C6140" s="43">
        <f>INDEX(DarlObj,13)</f>
      </c>
      <c r="D6140">
        <v>377</v>
      </c>
      <c r="E6140" s="51">
        <f>IF(INDEX(DarlBelegt,13)=0,0,EOMONTH(INDEX(DarlAuszahlung,13),376)+1)</f>
      </c>
      <c r="F6140" s="43">
        <f>IF($E6140=0,0,YEAR($E6140))</f>
      </c>
      <c r="G6140" s="43">
        <f>IF(INDEX(DarlBindung,13)="",1,IF($E6140&lt;=INDEX(DarlBindung,13),1,0))</f>
      </c>
      <c r="H6140" s="43">
        <f>IF($G6140=1,INDEX(DarlSollzins,13),INDEX(DarlAnschluss,13))</f>
      </c>
      <c r="I6140" s="43">
        <f>IF(INDEX(DarlBelegt,13)=0,0,IF(INDEX(DarlOhneTilgung,13)=1,IF(INDEX(DarlBindung,13)="",1,$G6140),IF($J6140&gt;0.005,1,0)))</f>
      </c>
      <c r="J6140" s="43">
        <f>IF($I6139=0,0,$R6139)</f>
      </c>
      <c r="K6140" s="43">
        <f>IF($I6140=0,0,IF(INDEX(DarlOhneTilgung,13)=1,0,IF(AND(INDEX(DarlTilgStart,13)&gt;0,$E6140=INDEX(DarlTilgStart,13)),$J6140*($H6140+INDEX(DarlTilgung,13))/100/12,IF(AND($G6140=0,$G6139=1),MAX($K6139,$J6140*($H6140+1)/100/12),$K6139))))</f>
      </c>
      <c r="L6140" s="43">
        <f>IF($I6140=0,0,$J6140*$H6140/100/12)</f>
      </c>
      <c r="M6140" s="43">
        <f>IF($I6140=0,0,IF(OR(INDEX(DarlOhneTilgung,13)=1,AND(INDEX(DarlTilgStart,13)&gt;0,$E6140&lt;INDEX(DarlTilgStart,13))),0,MIN(MAX(0,$K6140-$L6140),$J6140)))</f>
      </c>
      <c r="N6140" s="43">
        <f>IF($I6140=0,0,MIN(SUMIFS(SondBetrag,SondDarl,13,SondDatum,"&gt;="&amp;$E6140,SondDatum,"&lt;="&amp;EOMONTH($E6140,0)),$J6140-$M6140))</f>
      </c>
      <c r="O6140" s="43">
        <f>IF($I6140=0,0,INDEX(DarlErsatzRate,13))</f>
      </c>
      <c r="P6140" s="43">
        <f>IF($I6140=0,0,$Q6139*INDEX(DarlErsatzZins,13))</f>
      </c>
      <c r="Q6140" s="43">
        <f>IF($I6140=0,0,$Q6139+$P6140+$O6140)</f>
      </c>
      <c r="R6140" s="43">
        <f>IF($I6140=0,0,$J6140-$M6140-$N6140)</f>
      </c>
    </row>
    <row r="6141">
      <c r="A6141"/>
      <c r="B6141">
        <v>13</v>
      </c>
      <c r="C6141" s="43">
        <f>INDEX(DarlObj,13)</f>
      </c>
      <c r="D6141">
        <v>378</v>
      </c>
      <c r="E6141" s="51">
        <f>IF(INDEX(DarlBelegt,13)=0,0,EOMONTH(INDEX(DarlAuszahlung,13),377)+1)</f>
      </c>
      <c r="F6141" s="43">
        <f>IF($E6141=0,0,YEAR($E6141))</f>
      </c>
      <c r="G6141" s="43">
        <f>IF(INDEX(DarlBindung,13)="",1,IF($E6141&lt;=INDEX(DarlBindung,13),1,0))</f>
      </c>
      <c r="H6141" s="43">
        <f>IF($G6141=1,INDEX(DarlSollzins,13),INDEX(DarlAnschluss,13))</f>
      </c>
      <c r="I6141" s="43">
        <f>IF(INDEX(DarlBelegt,13)=0,0,IF(INDEX(DarlOhneTilgung,13)=1,IF(INDEX(DarlBindung,13)="",1,$G6141),IF($J6141&gt;0.005,1,0)))</f>
      </c>
      <c r="J6141" s="43">
        <f>IF($I6140=0,0,$R6140)</f>
      </c>
      <c r="K6141" s="43">
        <f>IF($I6141=0,0,IF(INDEX(DarlOhneTilgung,13)=1,0,IF(AND(INDEX(DarlTilgStart,13)&gt;0,$E6141=INDEX(DarlTilgStart,13)),$J6141*($H6141+INDEX(DarlTilgung,13))/100/12,IF(AND($G6141=0,$G6140=1),MAX($K6140,$J6141*($H6141+1)/100/12),$K6140))))</f>
      </c>
      <c r="L6141" s="43">
        <f>IF($I6141=0,0,$J6141*$H6141/100/12)</f>
      </c>
      <c r="M6141" s="43">
        <f>IF($I6141=0,0,IF(OR(INDEX(DarlOhneTilgung,13)=1,AND(INDEX(DarlTilgStart,13)&gt;0,$E6141&lt;INDEX(DarlTilgStart,13))),0,MIN(MAX(0,$K6141-$L6141),$J6141)))</f>
      </c>
      <c r="N6141" s="43">
        <f>IF($I6141=0,0,MIN(SUMIFS(SondBetrag,SondDarl,13,SondDatum,"&gt;="&amp;$E6141,SondDatum,"&lt;="&amp;EOMONTH($E6141,0)),$J6141-$M6141))</f>
      </c>
      <c r="O6141" s="43">
        <f>IF($I6141=0,0,INDEX(DarlErsatzRate,13))</f>
      </c>
      <c r="P6141" s="43">
        <f>IF($I6141=0,0,$Q6140*INDEX(DarlErsatzZins,13))</f>
      </c>
      <c r="Q6141" s="43">
        <f>IF($I6141=0,0,$Q6140+$P6141+$O6141)</f>
      </c>
      <c r="R6141" s="43">
        <f>IF($I6141=0,0,$J6141-$M6141-$N6141)</f>
      </c>
    </row>
    <row r="6142">
      <c r="A6142"/>
      <c r="B6142">
        <v>13</v>
      </c>
      <c r="C6142" s="43">
        <f>INDEX(DarlObj,13)</f>
      </c>
      <c r="D6142">
        <v>379</v>
      </c>
      <c r="E6142" s="51">
        <f>IF(INDEX(DarlBelegt,13)=0,0,EOMONTH(INDEX(DarlAuszahlung,13),378)+1)</f>
      </c>
      <c r="F6142" s="43">
        <f>IF($E6142=0,0,YEAR($E6142))</f>
      </c>
      <c r="G6142" s="43">
        <f>IF(INDEX(DarlBindung,13)="",1,IF($E6142&lt;=INDEX(DarlBindung,13),1,0))</f>
      </c>
      <c r="H6142" s="43">
        <f>IF($G6142=1,INDEX(DarlSollzins,13),INDEX(DarlAnschluss,13))</f>
      </c>
      <c r="I6142" s="43">
        <f>IF(INDEX(DarlBelegt,13)=0,0,IF(INDEX(DarlOhneTilgung,13)=1,IF(INDEX(DarlBindung,13)="",1,$G6142),IF($J6142&gt;0.005,1,0)))</f>
      </c>
      <c r="J6142" s="43">
        <f>IF($I6141=0,0,$R6141)</f>
      </c>
      <c r="K6142" s="43">
        <f>IF($I6142=0,0,IF(INDEX(DarlOhneTilgung,13)=1,0,IF(AND(INDEX(DarlTilgStart,13)&gt;0,$E6142=INDEX(DarlTilgStart,13)),$J6142*($H6142+INDEX(DarlTilgung,13))/100/12,IF(AND($G6142=0,$G6141=1),MAX($K6141,$J6142*($H6142+1)/100/12),$K6141))))</f>
      </c>
      <c r="L6142" s="43">
        <f>IF($I6142=0,0,$J6142*$H6142/100/12)</f>
      </c>
      <c r="M6142" s="43">
        <f>IF($I6142=0,0,IF(OR(INDEX(DarlOhneTilgung,13)=1,AND(INDEX(DarlTilgStart,13)&gt;0,$E6142&lt;INDEX(DarlTilgStart,13))),0,MIN(MAX(0,$K6142-$L6142),$J6142)))</f>
      </c>
      <c r="N6142" s="43">
        <f>IF($I6142=0,0,MIN(SUMIFS(SondBetrag,SondDarl,13,SondDatum,"&gt;="&amp;$E6142,SondDatum,"&lt;="&amp;EOMONTH($E6142,0)),$J6142-$M6142))</f>
      </c>
      <c r="O6142" s="43">
        <f>IF($I6142=0,0,INDEX(DarlErsatzRate,13))</f>
      </c>
      <c r="P6142" s="43">
        <f>IF($I6142=0,0,$Q6141*INDEX(DarlErsatzZins,13))</f>
      </c>
      <c r="Q6142" s="43">
        <f>IF($I6142=0,0,$Q6141+$P6142+$O6142)</f>
      </c>
      <c r="R6142" s="43">
        <f>IF($I6142=0,0,$J6142-$M6142-$N6142)</f>
      </c>
    </row>
    <row r="6143">
      <c r="A6143"/>
      <c r="B6143">
        <v>13</v>
      </c>
      <c r="C6143" s="43">
        <f>INDEX(DarlObj,13)</f>
      </c>
      <c r="D6143">
        <v>380</v>
      </c>
      <c r="E6143" s="51">
        <f>IF(INDEX(DarlBelegt,13)=0,0,EOMONTH(INDEX(DarlAuszahlung,13),379)+1)</f>
      </c>
      <c r="F6143" s="43">
        <f>IF($E6143=0,0,YEAR($E6143))</f>
      </c>
      <c r="G6143" s="43">
        <f>IF(INDEX(DarlBindung,13)="",1,IF($E6143&lt;=INDEX(DarlBindung,13),1,0))</f>
      </c>
      <c r="H6143" s="43">
        <f>IF($G6143=1,INDEX(DarlSollzins,13),INDEX(DarlAnschluss,13))</f>
      </c>
      <c r="I6143" s="43">
        <f>IF(INDEX(DarlBelegt,13)=0,0,IF(INDEX(DarlOhneTilgung,13)=1,IF(INDEX(DarlBindung,13)="",1,$G6143),IF($J6143&gt;0.005,1,0)))</f>
      </c>
      <c r="J6143" s="43">
        <f>IF($I6142=0,0,$R6142)</f>
      </c>
      <c r="K6143" s="43">
        <f>IF($I6143=0,0,IF(INDEX(DarlOhneTilgung,13)=1,0,IF(AND(INDEX(DarlTilgStart,13)&gt;0,$E6143=INDEX(DarlTilgStart,13)),$J6143*($H6143+INDEX(DarlTilgung,13))/100/12,IF(AND($G6143=0,$G6142=1),MAX($K6142,$J6143*($H6143+1)/100/12),$K6142))))</f>
      </c>
      <c r="L6143" s="43">
        <f>IF($I6143=0,0,$J6143*$H6143/100/12)</f>
      </c>
      <c r="M6143" s="43">
        <f>IF($I6143=0,0,IF(OR(INDEX(DarlOhneTilgung,13)=1,AND(INDEX(DarlTilgStart,13)&gt;0,$E6143&lt;INDEX(DarlTilgStart,13))),0,MIN(MAX(0,$K6143-$L6143),$J6143)))</f>
      </c>
      <c r="N6143" s="43">
        <f>IF($I6143=0,0,MIN(SUMIFS(SondBetrag,SondDarl,13,SondDatum,"&gt;="&amp;$E6143,SondDatum,"&lt;="&amp;EOMONTH($E6143,0)),$J6143-$M6143))</f>
      </c>
      <c r="O6143" s="43">
        <f>IF($I6143=0,0,INDEX(DarlErsatzRate,13))</f>
      </c>
      <c r="P6143" s="43">
        <f>IF($I6143=0,0,$Q6142*INDEX(DarlErsatzZins,13))</f>
      </c>
      <c r="Q6143" s="43">
        <f>IF($I6143=0,0,$Q6142+$P6143+$O6143)</f>
      </c>
      <c r="R6143" s="43">
        <f>IF($I6143=0,0,$J6143-$M6143-$N6143)</f>
      </c>
    </row>
    <row r="6144">
      <c r="A6144"/>
      <c r="B6144">
        <v>13</v>
      </c>
      <c r="C6144" s="43">
        <f>INDEX(DarlObj,13)</f>
      </c>
      <c r="D6144">
        <v>381</v>
      </c>
      <c r="E6144" s="51">
        <f>IF(INDEX(DarlBelegt,13)=0,0,EOMONTH(INDEX(DarlAuszahlung,13),380)+1)</f>
      </c>
      <c r="F6144" s="43">
        <f>IF($E6144=0,0,YEAR($E6144))</f>
      </c>
      <c r="G6144" s="43">
        <f>IF(INDEX(DarlBindung,13)="",1,IF($E6144&lt;=INDEX(DarlBindung,13),1,0))</f>
      </c>
      <c r="H6144" s="43">
        <f>IF($G6144=1,INDEX(DarlSollzins,13),INDEX(DarlAnschluss,13))</f>
      </c>
      <c r="I6144" s="43">
        <f>IF(INDEX(DarlBelegt,13)=0,0,IF(INDEX(DarlOhneTilgung,13)=1,IF(INDEX(DarlBindung,13)="",1,$G6144),IF($J6144&gt;0.005,1,0)))</f>
      </c>
      <c r="J6144" s="43">
        <f>IF($I6143=0,0,$R6143)</f>
      </c>
      <c r="K6144" s="43">
        <f>IF($I6144=0,0,IF(INDEX(DarlOhneTilgung,13)=1,0,IF(AND(INDEX(DarlTilgStart,13)&gt;0,$E6144=INDEX(DarlTilgStart,13)),$J6144*($H6144+INDEX(DarlTilgung,13))/100/12,IF(AND($G6144=0,$G6143=1),MAX($K6143,$J6144*($H6144+1)/100/12),$K6143))))</f>
      </c>
      <c r="L6144" s="43">
        <f>IF($I6144=0,0,$J6144*$H6144/100/12)</f>
      </c>
      <c r="M6144" s="43">
        <f>IF($I6144=0,0,IF(OR(INDEX(DarlOhneTilgung,13)=1,AND(INDEX(DarlTilgStart,13)&gt;0,$E6144&lt;INDEX(DarlTilgStart,13))),0,MIN(MAX(0,$K6144-$L6144),$J6144)))</f>
      </c>
      <c r="N6144" s="43">
        <f>IF($I6144=0,0,MIN(SUMIFS(SondBetrag,SondDarl,13,SondDatum,"&gt;="&amp;$E6144,SondDatum,"&lt;="&amp;EOMONTH($E6144,0)),$J6144-$M6144))</f>
      </c>
      <c r="O6144" s="43">
        <f>IF($I6144=0,0,INDEX(DarlErsatzRate,13))</f>
      </c>
      <c r="P6144" s="43">
        <f>IF($I6144=0,0,$Q6143*INDEX(DarlErsatzZins,13))</f>
      </c>
      <c r="Q6144" s="43">
        <f>IF($I6144=0,0,$Q6143+$P6144+$O6144)</f>
      </c>
      <c r="R6144" s="43">
        <f>IF($I6144=0,0,$J6144-$M6144-$N6144)</f>
      </c>
    </row>
    <row r="6145">
      <c r="A6145"/>
      <c r="B6145">
        <v>13</v>
      </c>
      <c r="C6145" s="43">
        <f>INDEX(DarlObj,13)</f>
      </c>
      <c r="D6145">
        <v>382</v>
      </c>
      <c r="E6145" s="51">
        <f>IF(INDEX(DarlBelegt,13)=0,0,EOMONTH(INDEX(DarlAuszahlung,13),381)+1)</f>
      </c>
      <c r="F6145" s="43">
        <f>IF($E6145=0,0,YEAR($E6145))</f>
      </c>
      <c r="G6145" s="43">
        <f>IF(INDEX(DarlBindung,13)="",1,IF($E6145&lt;=INDEX(DarlBindung,13),1,0))</f>
      </c>
      <c r="H6145" s="43">
        <f>IF($G6145=1,INDEX(DarlSollzins,13),INDEX(DarlAnschluss,13))</f>
      </c>
      <c r="I6145" s="43">
        <f>IF(INDEX(DarlBelegt,13)=0,0,IF(INDEX(DarlOhneTilgung,13)=1,IF(INDEX(DarlBindung,13)="",1,$G6145),IF($J6145&gt;0.005,1,0)))</f>
      </c>
      <c r="J6145" s="43">
        <f>IF($I6144=0,0,$R6144)</f>
      </c>
      <c r="K6145" s="43">
        <f>IF($I6145=0,0,IF(INDEX(DarlOhneTilgung,13)=1,0,IF(AND(INDEX(DarlTilgStart,13)&gt;0,$E6145=INDEX(DarlTilgStart,13)),$J6145*($H6145+INDEX(DarlTilgung,13))/100/12,IF(AND($G6145=0,$G6144=1),MAX($K6144,$J6145*($H6145+1)/100/12),$K6144))))</f>
      </c>
      <c r="L6145" s="43">
        <f>IF($I6145=0,0,$J6145*$H6145/100/12)</f>
      </c>
      <c r="M6145" s="43">
        <f>IF($I6145=0,0,IF(OR(INDEX(DarlOhneTilgung,13)=1,AND(INDEX(DarlTilgStart,13)&gt;0,$E6145&lt;INDEX(DarlTilgStart,13))),0,MIN(MAX(0,$K6145-$L6145),$J6145)))</f>
      </c>
      <c r="N6145" s="43">
        <f>IF($I6145=0,0,MIN(SUMIFS(SondBetrag,SondDarl,13,SondDatum,"&gt;="&amp;$E6145,SondDatum,"&lt;="&amp;EOMONTH($E6145,0)),$J6145-$M6145))</f>
      </c>
      <c r="O6145" s="43">
        <f>IF($I6145=0,0,INDEX(DarlErsatzRate,13))</f>
      </c>
      <c r="P6145" s="43">
        <f>IF($I6145=0,0,$Q6144*INDEX(DarlErsatzZins,13))</f>
      </c>
      <c r="Q6145" s="43">
        <f>IF($I6145=0,0,$Q6144+$P6145+$O6145)</f>
      </c>
      <c r="R6145" s="43">
        <f>IF($I6145=0,0,$J6145-$M6145-$N6145)</f>
      </c>
    </row>
    <row r="6146">
      <c r="A6146"/>
      <c r="B6146">
        <v>13</v>
      </c>
      <c r="C6146" s="43">
        <f>INDEX(DarlObj,13)</f>
      </c>
      <c r="D6146">
        <v>383</v>
      </c>
      <c r="E6146" s="51">
        <f>IF(INDEX(DarlBelegt,13)=0,0,EOMONTH(INDEX(DarlAuszahlung,13),382)+1)</f>
      </c>
      <c r="F6146" s="43">
        <f>IF($E6146=0,0,YEAR($E6146))</f>
      </c>
      <c r="G6146" s="43">
        <f>IF(INDEX(DarlBindung,13)="",1,IF($E6146&lt;=INDEX(DarlBindung,13),1,0))</f>
      </c>
      <c r="H6146" s="43">
        <f>IF($G6146=1,INDEX(DarlSollzins,13),INDEX(DarlAnschluss,13))</f>
      </c>
      <c r="I6146" s="43">
        <f>IF(INDEX(DarlBelegt,13)=0,0,IF(INDEX(DarlOhneTilgung,13)=1,IF(INDEX(DarlBindung,13)="",1,$G6146),IF($J6146&gt;0.005,1,0)))</f>
      </c>
      <c r="J6146" s="43">
        <f>IF($I6145=0,0,$R6145)</f>
      </c>
      <c r="K6146" s="43">
        <f>IF($I6146=0,0,IF(INDEX(DarlOhneTilgung,13)=1,0,IF(AND(INDEX(DarlTilgStart,13)&gt;0,$E6146=INDEX(DarlTilgStart,13)),$J6146*($H6146+INDEX(DarlTilgung,13))/100/12,IF(AND($G6146=0,$G6145=1),MAX($K6145,$J6146*($H6146+1)/100/12),$K6145))))</f>
      </c>
      <c r="L6146" s="43">
        <f>IF($I6146=0,0,$J6146*$H6146/100/12)</f>
      </c>
      <c r="M6146" s="43">
        <f>IF($I6146=0,0,IF(OR(INDEX(DarlOhneTilgung,13)=1,AND(INDEX(DarlTilgStart,13)&gt;0,$E6146&lt;INDEX(DarlTilgStart,13))),0,MIN(MAX(0,$K6146-$L6146),$J6146)))</f>
      </c>
      <c r="N6146" s="43">
        <f>IF($I6146=0,0,MIN(SUMIFS(SondBetrag,SondDarl,13,SondDatum,"&gt;="&amp;$E6146,SondDatum,"&lt;="&amp;EOMONTH($E6146,0)),$J6146-$M6146))</f>
      </c>
      <c r="O6146" s="43">
        <f>IF($I6146=0,0,INDEX(DarlErsatzRate,13))</f>
      </c>
      <c r="P6146" s="43">
        <f>IF($I6146=0,0,$Q6145*INDEX(DarlErsatzZins,13))</f>
      </c>
      <c r="Q6146" s="43">
        <f>IF($I6146=0,0,$Q6145+$P6146+$O6146)</f>
      </c>
      <c r="R6146" s="43">
        <f>IF($I6146=0,0,$J6146-$M6146-$N6146)</f>
      </c>
    </row>
    <row r="6147">
      <c r="A6147"/>
      <c r="B6147">
        <v>13</v>
      </c>
      <c r="C6147" s="43">
        <f>INDEX(DarlObj,13)</f>
      </c>
      <c r="D6147">
        <v>384</v>
      </c>
      <c r="E6147" s="51">
        <f>IF(INDEX(DarlBelegt,13)=0,0,EOMONTH(INDEX(DarlAuszahlung,13),383)+1)</f>
      </c>
      <c r="F6147" s="43">
        <f>IF($E6147=0,0,YEAR($E6147))</f>
      </c>
      <c r="G6147" s="43">
        <f>IF(INDEX(DarlBindung,13)="",1,IF($E6147&lt;=INDEX(DarlBindung,13),1,0))</f>
      </c>
      <c r="H6147" s="43">
        <f>IF($G6147=1,INDEX(DarlSollzins,13),INDEX(DarlAnschluss,13))</f>
      </c>
      <c r="I6147" s="43">
        <f>IF(INDEX(DarlBelegt,13)=0,0,IF(INDEX(DarlOhneTilgung,13)=1,IF(INDEX(DarlBindung,13)="",1,$G6147),IF($J6147&gt;0.005,1,0)))</f>
      </c>
      <c r="J6147" s="43">
        <f>IF($I6146=0,0,$R6146)</f>
      </c>
      <c r="K6147" s="43">
        <f>IF($I6147=0,0,IF(INDEX(DarlOhneTilgung,13)=1,0,IF(AND(INDEX(DarlTilgStart,13)&gt;0,$E6147=INDEX(DarlTilgStart,13)),$J6147*($H6147+INDEX(DarlTilgung,13))/100/12,IF(AND($G6147=0,$G6146=1),MAX($K6146,$J6147*($H6147+1)/100/12),$K6146))))</f>
      </c>
      <c r="L6147" s="43">
        <f>IF($I6147=0,0,$J6147*$H6147/100/12)</f>
      </c>
      <c r="M6147" s="43">
        <f>IF($I6147=0,0,IF(OR(INDEX(DarlOhneTilgung,13)=1,AND(INDEX(DarlTilgStart,13)&gt;0,$E6147&lt;INDEX(DarlTilgStart,13))),0,MIN(MAX(0,$K6147-$L6147),$J6147)))</f>
      </c>
      <c r="N6147" s="43">
        <f>IF($I6147=0,0,MIN(SUMIFS(SondBetrag,SondDarl,13,SondDatum,"&gt;="&amp;$E6147,SondDatum,"&lt;="&amp;EOMONTH($E6147,0)),$J6147-$M6147))</f>
      </c>
      <c r="O6147" s="43">
        <f>IF($I6147=0,0,INDEX(DarlErsatzRate,13))</f>
      </c>
      <c r="P6147" s="43">
        <f>IF($I6147=0,0,$Q6146*INDEX(DarlErsatzZins,13))</f>
      </c>
      <c r="Q6147" s="43">
        <f>IF($I6147=0,0,$Q6146+$P6147+$O6147)</f>
      </c>
      <c r="R6147" s="43">
        <f>IF($I6147=0,0,$J6147-$M6147-$N6147)</f>
      </c>
    </row>
    <row r="6148">
      <c r="A6148"/>
      <c r="B6148">
        <v>13</v>
      </c>
      <c r="C6148" s="43">
        <f>INDEX(DarlObj,13)</f>
      </c>
      <c r="D6148">
        <v>385</v>
      </c>
      <c r="E6148" s="51">
        <f>IF(INDEX(DarlBelegt,13)=0,0,EOMONTH(INDEX(DarlAuszahlung,13),384)+1)</f>
      </c>
      <c r="F6148" s="43">
        <f>IF($E6148=0,0,YEAR($E6148))</f>
      </c>
      <c r="G6148" s="43">
        <f>IF(INDEX(DarlBindung,13)="",1,IF($E6148&lt;=INDEX(DarlBindung,13),1,0))</f>
      </c>
      <c r="H6148" s="43">
        <f>IF($G6148=1,INDEX(DarlSollzins,13),INDEX(DarlAnschluss,13))</f>
      </c>
      <c r="I6148" s="43">
        <f>IF(INDEX(DarlBelegt,13)=0,0,IF(INDEX(DarlOhneTilgung,13)=1,IF(INDEX(DarlBindung,13)="",1,$G6148),IF($J6148&gt;0.005,1,0)))</f>
      </c>
      <c r="J6148" s="43">
        <f>IF($I6147=0,0,$R6147)</f>
      </c>
      <c r="K6148" s="43">
        <f>IF($I6148=0,0,IF(INDEX(DarlOhneTilgung,13)=1,0,IF(AND(INDEX(DarlTilgStart,13)&gt;0,$E6148=INDEX(DarlTilgStart,13)),$J6148*($H6148+INDEX(DarlTilgung,13))/100/12,IF(AND($G6148=0,$G6147=1),MAX($K6147,$J6148*($H6148+1)/100/12),$K6147))))</f>
      </c>
      <c r="L6148" s="43">
        <f>IF($I6148=0,0,$J6148*$H6148/100/12)</f>
      </c>
      <c r="M6148" s="43">
        <f>IF($I6148=0,0,IF(OR(INDEX(DarlOhneTilgung,13)=1,AND(INDEX(DarlTilgStart,13)&gt;0,$E6148&lt;INDEX(DarlTilgStart,13))),0,MIN(MAX(0,$K6148-$L6148),$J6148)))</f>
      </c>
      <c r="N6148" s="43">
        <f>IF($I6148=0,0,MIN(SUMIFS(SondBetrag,SondDarl,13,SondDatum,"&gt;="&amp;$E6148,SondDatum,"&lt;="&amp;EOMONTH($E6148,0)),$J6148-$M6148))</f>
      </c>
      <c r="O6148" s="43">
        <f>IF($I6148=0,0,INDEX(DarlErsatzRate,13))</f>
      </c>
      <c r="P6148" s="43">
        <f>IF($I6148=0,0,$Q6147*INDEX(DarlErsatzZins,13))</f>
      </c>
      <c r="Q6148" s="43">
        <f>IF($I6148=0,0,$Q6147+$P6148+$O6148)</f>
      </c>
      <c r="R6148" s="43">
        <f>IF($I6148=0,0,$J6148-$M6148-$N6148)</f>
      </c>
    </row>
    <row r="6149">
      <c r="A6149"/>
      <c r="B6149">
        <v>13</v>
      </c>
      <c r="C6149" s="43">
        <f>INDEX(DarlObj,13)</f>
      </c>
      <c r="D6149">
        <v>386</v>
      </c>
      <c r="E6149" s="51">
        <f>IF(INDEX(DarlBelegt,13)=0,0,EOMONTH(INDEX(DarlAuszahlung,13),385)+1)</f>
      </c>
      <c r="F6149" s="43">
        <f>IF($E6149=0,0,YEAR($E6149))</f>
      </c>
      <c r="G6149" s="43">
        <f>IF(INDEX(DarlBindung,13)="",1,IF($E6149&lt;=INDEX(DarlBindung,13),1,0))</f>
      </c>
      <c r="H6149" s="43">
        <f>IF($G6149=1,INDEX(DarlSollzins,13),INDEX(DarlAnschluss,13))</f>
      </c>
      <c r="I6149" s="43">
        <f>IF(INDEX(DarlBelegt,13)=0,0,IF(INDEX(DarlOhneTilgung,13)=1,IF(INDEX(DarlBindung,13)="",1,$G6149),IF($J6149&gt;0.005,1,0)))</f>
      </c>
      <c r="J6149" s="43">
        <f>IF($I6148=0,0,$R6148)</f>
      </c>
      <c r="K6149" s="43">
        <f>IF($I6149=0,0,IF(INDEX(DarlOhneTilgung,13)=1,0,IF(AND(INDEX(DarlTilgStart,13)&gt;0,$E6149=INDEX(DarlTilgStart,13)),$J6149*($H6149+INDEX(DarlTilgung,13))/100/12,IF(AND($G6149=0,$G6148=1),MAX($K6148,$J6149*($H6149+1)/100/12),$K6148))))</f>
      </c>
      <c r="L6149" s="43">
        <f>IF($I6149=0,0,$J6149*$H6149/100/12)</f>
      </c>
      <c r="M6149" s="43">
        <f>IF($I6149=0,0,IF(OR(INDEX(DarlOhneTilgung,13)=1,AND(INDEX(DarlTilgStart,13)&gt;0,$E6149&lt;INDEX(DarlTilgStart,13))),0,MIN(MAX(0,$K6149-$L6149),$J6149)))</f>
      </c>
      <c r="N6149" s="43">
        <f>IF($I6149=0,0,MIN(SUMIFS(SondBetrag,SondDarl,13,SondDatum,"&gt;="&amp;$E6149,SondDatum,"&lt;="&amp;EOMONTH($E6149,0)),$J6149-$M6149))</f>
      </c>
      <c r="O6149" s="43">
        <f>IF($I6149=0,0,INDEX(DarlErsatzRate,13))</f>
      </c>
      <c r="P6149" s="43">
        <f>IF($I6149=0,0,$Q6148*INDEX(DarlErsatzZins,13))</f>
      </c>
      <c r="Q6149" s="43">
        <f>IF($I6149=0,0,$Q6148+$P6149+$O6149)</f>
      </c>
      <c r="R6149" s="43">
        <f>IF($I6149=0,0,$J6149-$M6149-$N6149)</f>
      </c>
    </row>
    <row r="6150">
      <c r="A6150"/>
      <c r="B6150">
        <v>13</v>
      </c>
      <c r="C6150" s="43">
        <f>INDEX(DarlObj,13)</f>
      </c>
      <c r="D6150">
        <v>387</v>
      </c>
      <c r="E6150" s="51">
        <f>IF(INDEX(DarlBelegt,13)=0,0,EOMONTH(INDEX(DarlAuszahlung,13),386)+1)</f>
      </c>
      <c r="F6150" s="43">
        <f>IF($E6150=0,0,YEAR($E6150))</f>
      </c>
      <c r="G6150" s="43">
        <f>IF(INDEX(DarlBindung,13)="",1,IF($E6150&lt;=INDEX(DarlBindung,13),1,0))</f>
      </c>
      <c r="H6150" s="43">
        <f>IF($G6150=1,INDEX(DarlSollzins,13),INDEX(DarlAnschluss,13))</f>
      </c>
      <c r="I6150" s="43">
        <f>IF(INDEX(DarlBelegt,13)=0,0,IF(INDEX(DarlOhneTilgung,13)=1,IF(INDEX(DarlBindung,13)="",1,$G6150),IF($J6150&gt;0.005,1,0)))</f>
      </c>
      <c r="J6150" s="43">
        <f>IF($I6149=0,0,$R6149)</f>
      </c>
      <c r="K6150" s="43">
        <f>IF($I6150=0,0,IF(INDEX(DarlOhneTilgung,13)=1,0,IF(AND(INDEX(DarlTilgStart,13)&gt;0,$E6150=INDEX(DarlTilgStart,13)),$J6150*($H6150+INDEX(DarlTilgung,13))/100/12,IF(AND($G6150=0,$G6149=1),MAX($K6149,$J6150*($H6150+1)/100/12),$K6149))))</f>
      </c>
      <c r="L6150" s="43">
        <f>IF($I6150=0,0,$J6150*$H6150/100/12)</f>
      </c>
      <c r="M6150" s="43">
        <f>IF($I6150=0,0,IF(OR(INDEX(DarlOhneTilgung,13)=1,AND(INDEX(DarlTilgStart,13)&gt;0,$E6150&lt;INDEX(DarlTilgStart,13))),0,MIN(MAX(0,$K6150-$L6150),$J6150)))</f>
      </c>
      <c r="N6150" s="43">
        <f>IF($I6150=0,0,MIN(SUMIFS(SondBetrag,SondDarl,13,SondDatum,"&gt;="&amp;$E6150,SondDatum,"&lt;="&amp;EOMONTH($E6150,0)),$J6150-$M6150))</f>
      </c>
      <c r="O6150" s="43">
        <f>IF($I6150=0,0,INDEX(DarlErsatzRate,13))</f>
      </c>
      <c r="P6150" s="43">
        <f>IF($I6150=0,0,$Q6149*INDEX(DarlErsatzZins,13))</f>
      </c>
      <c r="Q6150" s="43">
        <f>IF($I6150=0,0,$Q6149+$P6150+$O6150)</f>
      </c>
      <c r="R6150" s="43">
        <f>IF($I6150=0,0,$J6150-$M6150-$N6150)</f>
      </c>
    </row>
    <row r="6151">
      <c r="A6151"/>
      <c r="B6151">
        <v>13</v>
      </c>
      <c r="C6151" s="43">
        <f>INDEX(DarlObj,13)</f>
      </c>
      <c r="D6151">
        <v>388</v>
      </c>
      <c r="E6151" s="51">
        <f>IF(INDEX(DarlBelegt,13)=0,0,EOMONTH(INDEX(DarlAuszahlung,13),387)+1)</f>
      </c>
      <c r="F6151" s="43">
        <f>IF($E6151=0,0,YEAR($E6151))</f>
      </c>
      <c r="G6151" s="43">
        <f>IF(INDEX(DarlBindung,13)="",1,IF($E6151&lt;=INDEX(DarlBindung,13),1,0))</f>
      </c>
      <c r="H6151" s="43">
        <f>IF($G6151=1,INDEX(DarlSollzins,13),INDEX(DarlAnschluss,13))</f>
      </c>
      <c r="I6151" s="43">
        <f>IF(INDEX(DarlBelegt,13)=0,0,IF(INDEX(DarlOhneTilgung,13)=1,IF(INDEX(DarlBindung,13)="",1,$G6151),IF($J6151&gt;0.005,1,0)))</f>
      </c>
      <c r="J6151" s="43">
        <f>IF($I6150=0,0,$R6150)</f>
      </c>
      <c r="K6151" s="43">
        <f>IF($I6151=0,0,IF(INDEX(DarlOhneTilgung,13)=1,0,IF(AND(INDEX(DarlTilgStart,13)&gt;0,$E6151=INDEX(DarlTilgStart,13)),$J6151*($H6151+INDEX(DarlTilgung,13))/100/12,IF(AND($G6151=0,$G6150=1),MAX($K6150,$J6151*($H6151+1)/100/12),$K6150))))</f>
      </c>
      <c r="L6151" s="43">
        <f>IF($I6151=0,0,$J6151*$H6151/100/12)</f>
      </c>
      <c r="M6151" s="43">
        <f>IF($I6151=0,0,IF(OR(INDEX(DarlOhneTilgung,13)=1,AND(INDEX(DarlTilgStart,13)&gt;0,$E6151&lt;INDEX(DarlTilgStart,13))),0,MIN(MAX(0,$K6151-$L6151),$J6151)))</f>
      </c>
      <c r="N6151" s="43">
        <f>IF($I6151=0,0,MIN(SUMIFS(SondBetrag,SondDarl,13,SondDatum,"&gt;="&amp;$E6151,SondDatum,"&lt;="&amp;EOMONTH($E6151,0)),$J6151-$M6151))</f>
      </c>
      <c r="O6151" s="43">
        <f>IF($I6151=0,0,INDEX(DarlErsatzRate,13))</f>
      </c>
      <c r="P6151" s="43">
        <f>IF($I6151=0,0,$Q6150*INDEX(DarlErsatzZins,13))</f>
      </c>
      <c r="Q6151" s="43">
        <f>IF($I6151=0,0,$Q6150+$P6151+$O6151)</f>
      </c>
      <c r="R6151" s="43">
        <f>IF($I6151=0,0,$J6151-$M6151-$N6151)</f>
      </c>
    </row>
    <row r="6152">
      <c r="A6152"/>
      <c r="B6152">
        <v>13</v>
      </c>
      <c r="C6152" s="43">
        <f>INDEX(DarlObj,13)</f>
      </c>
      <c r="D6152">
        <v>389</v>
      </c>
      <c r="E6152" s="51">
        <f>IF(INDEX(DarlBelegt,13)=0,0,EOMONTH(INDEX(DarlAuszahlung,13),388)+1)</f>
      </c>
      <c r="F6152" s="43">
        <f>IF($E6152=0,0,YEAR($E6152))</f>
      </c>
      <c r="G6152" s="43">
        <f>IF(INDEX(DarlBindung,13)="",1,IF($E6152&lt;=INDEX(DarlBindung,13),1,0))</f>
      </c>
      <c r="H6152" s="43">
        <f>IF($G6152=1,INDEX(DarlSollzins,13),INDEX(DarlAnschluss,13))</f>
      </c>
      <c r="I6152" s="43">
        <f>IF(INDEX(DarlBelegt,13)=0,0,IF(INDEX(DarlOhneTilgung,13)=1,IF(INDEX(DarlBindung,13)="",1,$G6152),IF($J6152&gt;0.005,1,0)))</f>
      </c>
      <c r="J6152" s="43">
        <f>IF($I6151=0,0,$R6151)</f>
      </c>
      <c r="K6152" s="43">
        <f>IF($I6152=0,0,IF(INDEX(DarlOhneTilgung,13)=1,0,IF(AND(INDEX(DarlTilgStart,13)&gt;0,$E6152=INDEX(DarlTilgStart,13)),$J6152*($H6152+INDEX(DarlTilgung,13))/100/12,IF(AND($G6152=0,$G6151=1),MAX($K6151,$J6152*($H6152+1)/100/12),$K6151))))</f>
      </c>
      <c r="L6152" s="43">
        <f>IF($I6152=0,0,$J6152*$H6152/100/12)</f>
      </c>
      <c r="M6152" s="43">
        <f>IF($I6152=0,0,IF(OR(INDEX(DarlOhneTilgung,13)=1,AND(INDEX(DarlTilgStart,13)&gt;0,$E6152&lt;INDEX(DarlTilgStart,13))),0,MIN(MAX(0,$K6152-$L6152),$J6152)))</f>
      </c>
      <c r="N6152" s="43">
        <f>IF($I6152=0,0,MIN(SUMIFS(SondBetrag,SondDarl,13,SondDatum,"&gt;="&amp;$E6152,SondDatum,"&lt;="&amp;EOMONTH($E6152,0)),$J6152-$M6152))</f>
      </c>
      <c r="O6152" s="43">
        <f>IF($I6152=0,0,INDEX(DarlErsatzRate,13))</f>
      </c>
      <c r="P6152" s="43">
        <f>IF($I6152=0,0,$Q6151*INDEX(DarlErsatzZins,13))</f>
      </c>
      <c r="Q6152" s="43">
        <f>IF($I6152=0,0,$Q6151+$P6152+$O6152)</f>
      </c>
      <c r="R6152" s="43">
        <f>IF($I6152=0,0,$J6152-$M6152-$N6152)</f>
      </c>
    </row>
    <row r="6153">
      <c r="A6153"/>
      <c r="B6153">
        <v>13</v>
      </c>
      <c r="C6153" s="43">
        <f>INDEX(DarlObj,13)</f>
      </c>
      <c r="D6153">
        <v>390</v>
      </c>
      <c r="E6153" s="51">
        <f>IF(INDEX(DarlBelegt,13)=0,0,EOMONTH(INDEX(DarlAuszahlung,13),389)+1)</f>
      </c>
      <c r="F6153" s="43">
        <f>IF($E6153=0,0,YEAR($E6153))</f>
      </c>
      <c r="G6153" s="43">
        <f>IF(INDEX(DarlBindung,13)="",1,IF($E6153&lt;=INDEX(DarlBindung,13),1,0))</f>
      </c>
      <c r="H6153" s="43">
        <f>IF($G6153=1,INDEX(DarlSollzins,13),INDEX(DarlAnschluss,13))</f>
      </c>
      <c r="I6153" s="43">
        <f>IF(INDEX(DarlBelegt,13)=0,0,IF(INDEX(DarlOhneTilgung,13)=1,IF(INDEX(DarlBindung,13)="",1,$G6153),IF($J6153&gt;0.005,1,0)))</f>
      </c>
      <c r="J6153" s="43">
        <f>IF($I6152=0,0,$R6152)</f>
      </c>
      <c r="K6153" s="43">
        <f>IF($I6153=0,0,IF(INDEX(DarlOhneTilgung,13)=1,0,IF(AND(INDEX(DarlTilgStart,13)&gt;0,$E6153=INDEX(DarlTilgStart,13)),$J6153*($H6153+INDEX(DarlTilgung,13))/100/12,IF(AND($G6153=0,$G6152=1),MAX($K6152,$J6153*($H6153+1)/100/12),$K6152))))</f>
      </c>
      <c r="L6153" s="43">
        <f>IF($I6153=0,0,$J6153*$H6153/100/12)</f>
      </c>
      <c r="M6153" s="43">
        <f>IF($I6153=0,0,IF(OR(INDEX(DarlOhneTilgung,13)=1,AND(INDEX(DarlTilgStart,13)&gt;0,$E6153&lt;INDEX(DarlTilgStart,13))),0,MIN(MAX(0,$K6153-$L6153),$J6153)))</f>
      </c>
      <c r="N6153" s="43">
        <f>IF($I6153=0,0,MIN(SUMIFS(SondBetrag,SondDarl,13,SondDatum,"&gt;="&amp;$E6153,SondDatum,"&lt;="&amp;EOMONTH($E6153,0)),$J6153-$M6153))</f>
      </c>
      <c r="O6153" s="43">
        <f>IF($I6153=0,0,INDEX(DarlErsatzRate,13))</f>
      </c>
      <c r="P6153" s="43">
        <f>IF($I6153=0,0,$Q6152*INDEX(DarlErsatzZins,13))</f>
      </c>
      <c r="Q6153" s="43">
        <f>IF($I6153=0,0,$Q6152+$P6153+$O6153)</f>
      </c>
      <c r="R6153" s="43">
        <f>IF($I6153=0,0,$J6153-$M6153-$N6153)</f>
      </c>
    </row>
    <row r="6154">
      <c r="A6154"/>
      <c r="B6154">
        <v>13</v>
      </c>
      <c r="C6154" s="43">
        <f>INDEX(DarlObj,13)</f>
      </c>
      <c r="D6154">
        <v>391</v>
      </c>
      <c r="E6154" s="51">
        <f>IF(INDEX(DarlBelegt,13)=0,0,EOMONTH(INDEX(DarlAuszahlung,13),390)+1)</f>
      </c>
      <c r="F6154" s="43">
        <f>IF($E6154=0,0,YEAR($E6154))</f>
      </c>
      <c r="G6154" s="43">
        <f>IF(INDEX(DarlBindung,13)="",1,IF($E6154&lt;=INDEX(DarlBindung,13),1,0))</f>
      </c>
      <c r="H6154" s="43">
        <f>IF($G6154=1,INDEX(DarlSollzins,13),INDEX(DarlAnschluss,13))</f>
      </c>
      <c r="I6154" s="43">
        <f>IF(INDEX(DarlBelegt,13)=0,0,IF(INDEX(DarlOhneTilgung,13)=1,IF(INDEX(DarlBindung,13)="",1,$G6154),IF($J6154&gt;0.005,1,0)))</f>
      </c>
      <c r="J6154" s="43">
        <f>IF($I6153=0,0,$R6153)</f>
      </c>
      <c r="K6154" s="43">
        <f>IF($I6154=0,0,IF(INDEX(DarlOhneTilgung,13)=1,0,IF(AND(INDEX(DarlTilgStart,13)&gt;0,$E6154=INDEX(DarlTilgStart,13)),$J6154*($H6154+INDEX(DarlTilgung,13))/100/12,IF(AND($G6154=0,$G6153=1),MAX($K6153,$J6154*($H6154+1)/100/12),$K6153))))</f>
      </c>
      <c r="L6154" s="43">
        <f>IF($I6154=0,0,$J6154*$H6154/100/12)</f>
      </c>
      <c r="M6154" s="43">
        <f>IF($I6154=0,0,IF(OR(INDEX(DarlOhneTilgung,13)=1,AND(INDEX(DarlTilgStart,13)&gt;0,$E6154&lt;INDEX(DarlTilgStart,13))),0,MIN(MAX(0,$K6154-$L6154),$J6154)))</f>
      </c>
      <c r="N6154" s="43">
        <f>IF($I6154=0,0,MIN(SUMIFS(SondBetrag,SondDarl,13,SondDatum,"&gt;="&amp;$E6154,SondDatum,"&lt;="&amp;EOMONTH($E6154,0)),$J6154-$M6154))</f>
      </c>
      <c r="O6154" s="43">
        <f>IF($I6154=0,0,INDEX(DarlErsatzRate,13))</f>
      </c>
      <c r="P6154" s="43">
        <f>IF($I6154=0,0,$Q6153*INDEX(DarlErsatzZins,13))</f>
      </c>
      <c r="Q6154" s="43">
        <f>IF($I6154=0,0,$Q6153+$P6154+$O6154)</f>
      </c>
      <c r="R6154" s="43">
        <f>IF($I6154=0,0,$J6154-$M6154-$N6154)</f>
      </c>
    </row>
    <row r="6155">
      <c r="A6155"/>
      <c r="B6155">
        <v>13</v>
      </c>
      <c r="C6155" s="43">
        <f>INDEX(DarlObj,13)</f>
      </c>
      <c r="D6155">
        <v>392</v>
      </c>
      <c r="E6155" s="51">
        <f>IF(INDEX(DarlBelegt,13)=0,0,EOMONTH(INDEX(DarlAuszahlung,13),391)+1)</f>
      </c>
      <c r="F6155" s="43">
        <f>IF($E6155=0,0,YEAR($E6155))</f>
      </c>
      <c r="G6155" s="43">
        <f>IF(INDEX(DarlBindung,13)="",1,IF($E6155&lt;=INDEX(DarlBindung,13),1,0))</f>
      </c>
      <c r="H6155" s="43">
        <f>IF($G6155=1,INDEX(DarlSollzins,13),INDEX(DarlAnschluss,13))</f>
      </c>
      <c r="I6155" s="43">
        <f>IF(INDEX(DarlBelegt,13)=0,0,IF(INDEX(DarlOhneTilgung,13)=1,IF(INDEX(DarlBindung,13)="",1,$G6155),IF($J6155&gt;0.005,1,0)))</f>
      </c>
      <c r="J6155" s="43">
        <f>IF($I6154=0,0,$R6154)</f>
      </c>
      <c r="K6155" s="43">
        <f>IF($I6155=0,0,IF(INDEX(DarlOhneTilgung,13)=1,0,IF(AND(INDEX(DarlTilgStart,13)&gt;0,$E6155=INDEX(DarlTilgStart,13)),$J6155*($H6155+INDEX(DarlTilgung,13))/100/12,IF(AND($G6155=0,$G6154=1),MAX($K6154,$J6155*($H6155+1)/100/12),$K6154))))</f>
      </c>
      <c r="L6155" s="43">
        <f>IF($I6155=0,0,$J6155*$H6155/100/12)</f>
      </c>
      <c r="M6155" s="43">
        <f>IF($I6155=0,0,IF(OR(INDEX(DarlOhneTilgung,13)=1,AND(INDEX(DarlTilgStart,13)&gt;0,$E6155&lt;INDEX(DarlTilgStart,13))),0,MIN(MAX(0,$K6155-$L6155),$J6155)))</f>
      </c>
      <c r="N6155" s="43">
        <f>IF($I6155=0,0,MIN(SUMIFS(SondBetrag,SondDarl,13,SondDatum,"&gt;="&amp;$E6155,SondDatum,"&lt;="&amp;EOMONTH($E6155,0)),$J6155-$M6155))</f>
      </c>
      <c r="O6155" s="43">
        <f>IF($I6155=0,0,INDEX(DarlErsatzRate,13))</f>
      </c>
      <c r="P6155" s="43">
        <f>IF($I6155=0,0,$Q6154*INDEX(DarlErsatzZins,13))</f>
      </c>
      <c r="Q6155" s="43">
        <f>IF($I6155=0,0,$Q6154+$P6155+$O6155)</f>
      </c>
      <c r="R6155" s="43">
        <f>IF($I6155=0,0,$J6155-$M6155-$N6155)</f>
      </c>
    </row>
    <row r="6156">
      <c r="A6156"/>
      <c r="B6156">
        <v>13</v>
      </c>
      <c r="C6156" s="43">
        <f>INDEX(DarlObj,13)</f>
      </c>
      <c r="D6156">
        <v>393</v>
      </c>
      <c r="E6156" s="51">
        <f>IF(INDEX(DarlBelegt,13)=0,0,EOMONTH(INDEX(DarlAuszahlung,13),392)+1)</f>
      </c>
      <c r="F6156" s="43">
        <f>IF($E6156=0,0,YEAR($E6156))</f>
      </c>
      <c r="G6156" s="43">
        <f>IF(INDEX(DarlBindung,13)="",1,IF($E6156&lt;=INDEX(DarlBindung,13),1,0))</f>
      </c>
      <c r="H6156" s="43">
        <f>IF($G6156=1,INDEX(DarlSollzins,13),INDEX(DarlAnschluss,13))</f>
      </c>
      <c r="I6156" s="43">
        <f>IF(INDEX(DarlBelegt,13)=0,0,IF(INDEX(DarlOhneTilgung,13)=1,IF(INDEX(DarlBindung,13)="",1,$G6156),IF($J6156&gt;0.005,1,0)))</f>
      </c>
      <c r="J6156" s="43">
        <f>IF($I6155=0,0,$R6155)</f>
      </c>
      <c r="K6156" s="43">
        <f>IF($I6156=0,0,IF(INDEX(DarlOhneTilgung,13)=1,0,IF(AND(INDEX(DarlTilgStart,13)&gt;0,$E6156=INDEX(DarlTilgStart,13)),$J6156*($H6156+INDEX(DarlTilgung,13))/100/12,IF(AND($G6156=0,$G6155=1),MAX($K6155,$J6156*($H6156+1)/100/12),$K6155))))</f>
      </c>
      <c r="L6156" s="43">
        <f>IF($I6156=0,0,$J6156*$H6156/100/12)</f>
      </c>
      <c r="M6156" s="43">
        <f>IF($I6156=0,0,IF(OR(INDEX(DarlOhneTilgung,13)=1,AND(INDEX(DarlTilgStart,13)&gt;0,$E6156&lt;INDEX(DarlTilgStart,13))),0,MIN(MAX(0,$K6156-$L6156),$J6156)))</f>
      </c>
      <c r="N6156" s="43">
        <f>IF($I6156=0,0,MIN(SUMIFS(SondBetrag,SondDarl,13,SondDatum,"&gt;="&amp;$E6156,SondDatum,"&lt;="&amp;EOMONTH($E6156,0)),$J6156-$M6156))</f>
      </c>
      <c r="O6156" s="43">
        <f>IF($I6156=0,0,INDEX(DarlErsatzRate,13))</f>
      </c>
      <c r="P6156" s="43">
        <f>IF($I6156=0,0,$Q6155*INDEX(DarlErsatzZins,13))</f>
      </c>
      <c r="Q6156" s="43">
        <f>IF($I6156=0,0,$Q6155+$P6156+$O6156)</f>
      </c>
      <c r="R6156" s="43">
        <f>IF($I6156=0,0,$J6156-$M6156-$N6156)</f>
      </c>
    </row>
    <row r="6157">
      <c r="A6157"/>
      <c r="B6157">
        <v>13</v>
      </c>
      <c r="C6157" s="43">
        <f>INDEX(DarlObj,13)</f>
      </c>
      <c r="D6157">
        <v>394</v>
      </c>
      <c r="E6157" s="51">
        <f>IF(INDEX(DarlBelegt,13)=0,0,EOMONTH(INDEX(DarlAuszahlung,13),393)+1)</f>
      </c>
      <c r="F6157" s="43">
        <f>IF($E6157=0,0,YEAR($E6157))</f>
      </c>
      <c r="G6157" s="43">
        <f>IF(INDEX(DarlBindung,13)="",1,IF($E6157&lt;=INDEX(DarlBindung,13),1,0))</f>
      </c>
      <c r="H6157" s="43">
        <f>IF($G6157=1,INDEX(DarlSollzins,13),INDEX(DarlAnschluss,13))</f>
      </c>
      <c r="I6157" s="43">
        <f>IF(INDEX(DarlBelegt,13)=0,0,IF(INDEX(DarlOhneTilgung,13)=1,IF(INDEX(DarlBindung,13)="",1,$G6157),IF($J6157&gt;0.005,1,0)))</f>
      </c>
      <c r="J6157" s="43">
        <f>IF($I6156=0,0,$R6156)</f>
      </c>
      <c r="K6157" s="43">
        <f>IF($I6157=0,0,IF(INDEX(DarlOhneTilgung,13)=1,0,IF(AND(INDEX(DarlTilgStart,13)&gt;0,$E6157=INDEX(DarlTilgStart,13)),$J6157*($H6157+INDEX(DarlTilgung,13))/100/12,IF(AND($G6157=0,$G6156=1),MAX($K6156,$J6157*($H6157+1)/100/12),$K6156))))</f>
      </c>
      <c r="L6157" s="43">
        <f>IF($I6157=0,0,$J6157*$H6157/100/12)</f>
      </c>
      <c r="M6157" s="43">
        <f>IF($I6157=0,0,IF(OR(INDEX(DarlOhneTilgung,13)=1,AND(INDEX(DarlTilgStart,13)&gt;0,$E6157&lt;INDEX(DarlTilgStart,13))),0,MIN(MAX(0,$K6157-$L6157),$J6157)))</f>
      </c>
      <c r="N6157" s="43">
        <f>IF($I6157=0,0,MIN(SUMIFS(SondBetrag,SondDarl,13,SondDatum,"&gt;="&amp;$E6157,SondDatum,"&lt;="&amp;EOMONTH($E6157,0)),$J6157-$M6157))</f>
      </c>
      <c r="O6157" s="43">
        <f>IF($I6157=0,0,INDEX(DarlErsatzRate,13))</f>
      </c>
      <c r="P6157" s="43">
        <f>IF($I6157=0,0,$Q6156*INDEX(DarlErsatzZins,13))</f>
      </c>
      <c r="Q6157" s="43">
        <f>IF($I6157=0,0,$Q6156+$P6157+$O6157)</f>
      </c>
      <c r="R6157" s="43">
        <f>IF($I6157=0,0,$J6157-$M6157-$N6157)</f>
      </c>
    </row>
    <row r="6158">
      <c r="A6158"/>
      <c r="B6158">
        <v>13</v>
      </c>
      <c r="C6158" s="43">
        <f>INDEX(DarlObj,13)</f>
      </c>
      <c r="D6158">
        <v>395</v>
      </c>
      <c r="E6158" s="51">
        <f>IF(INDEX(DarlBelegt,13)=0,0,EOMONTH(INDEX(DarlAuszahlung,13),394)+1)</f>
      </c>
      <c r="F6158" s="43">
        <f>IF($E6158=0,0,YEAR($E6158))</f>
      </c>
      <c r="G6158" s="43">
        <f>IF(INDEX(DarlBindung,13)="",1,IF($E6158&lt;=INDEX(DarlBindung,13),1,0))</f>
      </c>
      <c r="H6158" s="43">
        <f>IF($G6158=1,INDEX(DarlSollzins,13),INDEX(DarlAnschluss,13))</f>
      </c>
      <c r="I6158" s="43">
        <f>IF(INDEX(DarlBelegt,13)=0,0,IF(INDEX(DarlOhneTilgung,13)=1,IF(INDEX(DarlBindung,13)="",1,$G6158),IF($J6158&gt;0.005,1,0)))</f>
      </c>
      <c r="J6158" s="43">
        <f>IF($I6157=0,0,$R6157)</f>
      </c>
      <c r="K6158" s="43">
        <f>IF($I6158=0,0,IF(INDEX(DarlOhneTilgung,13)=1,0,IF(AND(INDEX(DarlTilgStart,13)&gt;0,$E6158=INDEX(DarlTilgStart,13)),$J6158*($H6158+INDEX(DarlTilgung,13))/100/12,IF(AND($G6158=0,$G6157=1),MAX($K6157,$J6158*($H6158+1)/100/12),$K6157))))</f>
      </c>
      <c r="L6158" s="43">
        <f>IF($I6158=0,0,$J6158*$H6158/100/12)</f>
      </c>
      <c r="M6158" s="43">
        <f>IF($I6158=0,0,IF(OR(INDEX(DarlOhneTilgung,13)=1,AND(INDEX(DarlTilgStart,13)&gt;0,$E6158&lt;INDEX(DarlTilgStart,13))),0,MIN(MAX(0,$K6158-$L6158),$J6158)))</f>
      </c>
      <c r="N6158" s="43">
        <f>IF($I6158=0,0,MIN(SUMIFS(SondBetrag,SondDarl,13,SondDatum,"&gt;="&amp;$E6158,SondDatum,"&lt;="&amp;EOMONTH($E6158,0)),$J6158-$M6158))</f>
      </c>
      <c r="O6158" s="43">
        <f>IF($I6158=0,0,INDEX(DarlErsatzRate,13))</f>
      </c>
      <c r="P6158" s="43">
        <f>IF($I6158=0,0,$Q6157*INDEX(DarlErsatzZins,13))</f>
      </c>
      <c r="Q6158" s="43">
        <f>IF($I6158=0,0,$Q6157+$P6158+$O6158)</f>
      </c>
      <c r="R6158" s="43">
        <f>IF($I6158=0,0,$J6158-$M6158-$N6158)</f>
      </c>
    </row>
    <row r="6159">
      <c r="A6159"/>
      <c r="B6159">
        <v>13</v>
      </c>
      <c r="C6159" s="43">
        <f>INDEX(DarlObj,13)</f>
      </c>
      <c r="D6159">
        <v>396</v>
      </c>
      <c r="E6159" s="51">
        <f>IF(INDEX(DarlBelegt,13)=0,0,EOMONTH(INDEX(DarlAuszahlung,13),395)+1)</f>
      </c>
      <c r="F6159" s="43">
        <f>IF($E6159=0,0,YEAR($E6159))</f>
      </c>
      <c r="G6159" s="43">
        <f>IF(INDEX(DarlBindung,13)="",1,IF($E6159&lt;=INDEX(DarlBindung,13),1,0))</f>
      </c>
      <c r="H6159" s="43">
        <f>IF($G6159=1,INDEX(DarlSollzins,13),INDEX(DarlAnschluss,13))</f>
      </c>
      <c r="I6159" s="43">
        <f>IF(INDEX(DarlBelegt,13)=0,0,IF(INDEX(DarlOhneTilgung,13)=1,IF(INDEX(DarlBindung,13)="",1,$G6159),IF($J6159&gt;0.005,1,0)))</f>
      </c>
      <c r="J6159" s="43">
        <f>IF($I6158=0,0,$R6158)</f>
      </c>
      <c r="K6159" s="43">
        <f>IF($I6159=0,0,IF(INDEX(DarlOhneTilgung,13)=1,0,IF(AND(INDEX(DarlTilgStart,13)&gt;0,$E6159=INDEX(DarlTilgStart,13)),$J6159*($H6159+INDEX(DarlTilgung,13))/100/12,IF(AND($G6159=0,$G6158=1),MAX($K6158,$J6159*($H6159+1)/100/12),$K6158))))</f>
      </c>
      <c r="L6159" s="43">
        <f>IF($I6159=0,0,$J6159*$H6159/100/12)</f>
      </c>
      <c r="M6159" s="43">
        <f>IF($I6159=0,0,IF(OR(INDEX(DarlOhneTilgung,13)=1,AND(INDEX(DarlTilgStart,13)&gt;0,$E6159&lt;INDEX(DarlTilgStart,13))),0,MIN(MAX(0,$K6159-$L6159),$J6159)))</f>
      </c>
      <c r="N6159" s="43">
        <f>IF($I6159=0,0,MIN(SUMIFS(SondBetrag,SondDarl,13,SondDatum,"&gt;="&amp;$E6159,SondDatum,"&lt;="&amp;EOMONTH($E6159,0)),$J6159-$M6159))</f>
      </c>
      <c r="O6159" s="43">
        <f>IF($I6159=0,0,INDEX(DarlErsatzRate,13))</f>
      </c>
      <c r="P6159" s="43">
        <f>IF($I6159=0,0,$Q6158*INDEX(DarlErsatzZins,13))</f>
      </c>
      <c r="Q6159" s="43">
        <f>IF($I6159=0,0,$Q6158+$P6159+$O6159)</f>
      </c>
      <c r="R6159" s="43">
        <f>IF($I6159=0,0,$J6159-$M6159-$N6159)</f>
      </c>
    </row>
    <row r="6160">
      <c r="A6160"/>
      <c r="B6160">
        <v>13</v>
      </c>
      <c r="C6160" s="43">
        <f>INDEX(DarlObj,13)</f>
      </c>
      <c r="D6160">
        <v>397</v>
      </c>
      <c r="E6160" s="51">
        <f>IF(INDEX(DarlBelegt,13)=0,0,EOMONTH(INDEX(DarlAuszahlung,13),396)+1)</f>
      </c>
      <c r="F6160" s="43">
        <f>IF($E6160=0,0,YEAR($E6160))</f>
      </c>
      <c r="G6160" s="43">
        <f>IF(INDEX(DarlBindung,13)="",1,IF($E6160&lt;=INDEX(DarlBindung,13),1,0))</f>
      </c>
      <c r="H6160" s="43">
        <f>IF($G6160=1,INDEX(DarlSollzins,13),INDEX(DarlAnschluss,13))</f>
      </c>
      <c r="I6160" s="43">
        <f>IF(INDEX(DarlBelegt,13)=0,0,IF(INDEX(DarlOhneTilgung,13)=1,IF(INDEX(DarlBindung,13)="",1,$G6160),IF($J6160&gt;0.005,1,0)))</f>
      </c>
      <c r="J6160" s="43">
        <f>IF($I6159=0,0,$R6159)</f>
      </c>
      <c r="K6160" s="43">
        <f>IF($I6160=0,0,IF(INDEX(DarlOhneTilgung,13)=1,0,IF(AND(INDEX(DarlTilgStart,13)&gt;0,$E6160=INDEX(DarlTilgStart,13)),$J6160*($H6160+INDEX(DarlTilgung,13))/100/12,IF(AND($G6160=0,$G6159=1),MAX($K6159,$J6160*($H6160+1)/100/12),$K6159))))</f>
      </c>
      <c r="L6160" s="43">
        <f>IF($I6160=0,0,$J6160*$H6160/100/12)</f>
      </c>
      <c r="M6160" s="43">
        <f>IF($I6160=0,0,IF(OR(INDEX(DarlOhneTilgung,13)=1,AND(INDEX(DarlTilgStart,13)&gt;0,$E6160&lt;INDEX(DarlTilgStart,13))),0,MIN(MAX(0,$K6160-$L6160),$J6160)))</f>
      </c>
      <c r="N6160" s="43">
        <f>IF($I6160=0,0,MIN(SUMIFS(SondBetrag,SondDarl,13,SondDatum,"&gt;="&amp;$E6160,SondDatum,"&lt;="&amp;EOMONTH($E6160,0)),$J6160-$M6160))</f>
      </c>
      <c r="O6160" s="43">
        <f>IF($I6160=0,0,INDEX(DarlErsatzRate,13))</f>
      </c>
      <c r="P6160" s="43">
        <f>IF($I6160=0,0,$Q6159*INDEX(DarlErsatzZins,13))</f>
      </c>
      <c r="Q6160" s="43">
        <f>IF($I6160=0,0,$Q6159+$P6160+$O6160)</f>
      </c>
      <c r="R6160" s="43">
        <f>IF($I6160=0,0,$J6160-$M6160-$N6160)</f>
      </c>
    </row>
    <row r="6161">
      <c r="A6161"/>
      <c r="B6161">
        <v>13</v>
      </c>
      <c r="C6161" s="43">
        <f>INDEX(DarlObj,13)</f>
      </c>
      <c r="D6161">
        <v>398</v>
      </c>
      <c r="E6161" s="51">
        <f>IF(INDEX(DarlBelegt,13)=0,0,EOMONTH(INDEX(DarlAuszahlung,13),397)+1)</f>
      </c>
      <c r="F6161" s="43">
        <f>IF($E6161=0,0,YEAR($E6161))</f>
      </c>
      <c r="G6161" s="43">
        <f>IF(INDEX(DarlBindung,13)="",1,IF($E6161&lt;=INDEX(DarlBindung,13),1,0))</f>
      </c>
      <c r="H6161" s="43">
        <f>IF($G6161=1,INDEX(DarlSollzins,13),INDEX(DarlAnschluss,13))</f>
      </c>
      <c r="I6161" s="43">
        <f>IF(INDEX(DarlBelegt,13)=0,0,IF(INDEX(DarlOhneTilgung,13)=1,IF(INDEX(DarlBindung,13)="",1,$G6161),IF($J6161&gt;0.005,1,0)))</f>
      </c>
      <c r="J6161" s="43">
        <f>IF($I6160=0,0,$R6160)</f>
      </c>
      <c r="K6161" s="43">
        <f>IF($I6161=0,0,IF(INDEX(DarlOhneTilgung,13)=1,0,IF(AND(INDEX(DarlTilgStart,13)&gt;0,$E6161=INDEX(DarlTilgStart,13)),$J6161*($H6161+INDEX(DarlTilgung,13))/100/12,IF(AND($G6161=0,$G6160=1),MAX($K6160,$J6161*($H6161+1)/100/12),$K6160))))</f>
      </c>
      <c r="L6161" s="43">
        <f>IF($I6161=0,0,$J6161*$H6161/100/12)</f>
      </c>
      <c r="M6161" s="43">
        <f>IF($I6161=0,0,IF(OR(INDEX(DarlOhneTilgung,13)=1,AND(INDEX(DarlTilgStart,13)&gt;0,$E6161&lt;INDEX(DarlTilgStart,13))),0,MIN(MAX(0,$K6161-$L6161),$J6161)))</f>
      </c>
      <c r="N6161" s="43">
        <f>IF($I6161=0,0,MIN(SUMIFS(SondBetrag,SondDarl,13,SondDatum,"&gt;="&amp;$E6161,SondDatum,"&lt;="&amp;EOMONTH($E6161,0)),$J6161-$M6161))</f>
      </c>
      <c r="O6161" s="43">
        <f>IF($I6161=0,0,INDEX(DarlErsatzRate,13))</f>
      </c>
      <c r="P6161" s="43">
        <f>IF($I6161=0,0,$Q6160*INDEX(DarlErsatzZins,13))</f>
      </c>
      <c r="Q6161" s="43">
        <f>IF($I6161=0,0,$Q6160+$P6161+$O6161)</f>
      </c>
      <c r="R6161" s="43">
        <f>IF($I6161=0,0,$J6161-$M6161-$N6161)</f>
      </c>
    </row>
    <row r="6162">
      <c r="A6162"/>
      <c r="B6162">
        <v>13</v>
      </c>
      <c r="C6162" s="43">
        <f>INDEX(DarlObj,13)</f>
      </c>
      <c r="D6162">
        <v>399</v>
      </c>
      <c r="E6162" s="51">
        <f>IF(INDEX(DarlBelegt,13)=0,0,EOMONTH(INDEX(DarlAuszahlung,13),398)+1)</f>
      </c>
      <c r="F6162" s="43">
        <f>IF($E6162=0,0,YEAR($E6162))</f>
      </c>
      <c r="G6162" s="43">
        <f>IF(INDEX(DarlBindung,13)="",1,IF($E6162&lt;=INDEX(DarlBindung,13),1,0))</f>
      </c>
      <c r="H6162" s="43">
        <f>IF($G6162=1,INDEX(DarlSollzins,13),INDEX(DarlAnschluss,13))</f>
      </c>
      <c r="I6162" s="43">
        <f>IF(INDEX(DarlBelegt,13)=0,0,IF(INDEX(DarlOhneTilgung,13)=1,IF(INDEX(DarlBindung,13)="",1,$G6162),IF($J6162&gt;0.005,1,0)))</f>
      </c>
      <c r="J6162" s="43">
        <f>IF($I6161=0,0,$R6161)</f>
      </c>
      <c r="K6162" s="43">
        <f>IF($I6162=0,0,IF(INDEX(DarlOhneTilgung,13)=1,0,IF(AND(INDEX(DarlTilgStart,13)&gt;0,$E6162=INDEX(DarlTilgStart,13)),$J6162*($H6162+INDEX(DarlTilgung,13))/100/12,IF(AND($G6162=0,$G6161=1),MAX($K6161,$J6162*($H6162+1)/100/12),$K6161))))</f>
      </c>
      <c r="L6162" s="43">
        <f>IF($I6162=0,0,$J6162*$H6162/100/12)</f>
      </c>
      <c r="M6162" s="43">
        <f>IF($I6162=0,0,IF(OR(INDEX(DarlOhneTilgung,13)=1,AND(INDEX(DarlTilgStart,13)&gt;0,$E6162&lt;INDEX(DarlTilgStart,13))),0,MIN(MAX(0,$K6162-$L6162),$J6162)))</f>
      </c>
      <c r="N6162" s="43">
        <f>IF($I6162=0,0,MIN(SUMIFS(SondBetrag,SondDarl,13,SondDatum,"&gt;="&amp;$E6162,SondDatum,"&lt;="&amp;EOMONTH($E6162,0)),$J6162-$M6162))</f>
      </c>
      <c r="O6162" s="43">
        <f>IF($I6162=0,0,INDEX(DarlErsatzRate,13))</f>
      </c>
      <c r="P6162" s="43">
        <f>IF($I6162=0,0,$Q6161*INDEX(DarlErsatzZins,13))</f>
      </c>
      <c r="Q6162" s="43">
        <f>IF($I6162=0,0,$Q6161+$P6162+$O6162)</f>
      </c>
      <c r="R6162" s="43">
        <f>IF($I6162=0,0,$J6162-$M6162-$N6162)</f>
      </c>
    </row>
    <row r="6163">
      <c r="A6163"/>
      <c r="B6163">
        <v>13</v>
      </c>
      <c r="C6163" s="43">
        <f>INDEX(DarlObj,13)</f>
      </c>
      <c r="D6163">
        <v>400</v>
      </c>
      <c r="E6163" s="51">
        <f>IF(INDEX(DarlBelegt,13)=0,0,EOMONTH(INDEX(DarlAuszahlung,13),399)+1)</f>
      </c>
      <c r="F6163" s="43">
        <f>IF($E6163=0,0,YEAR($E6163))</f>
      </c>
      <c r="G6163" s="43">
        <f>IF(INDEX(DarlBindung,13)="",1,IF($E6163&lt;=INDEX(DarlBindung,13),1,0))</f>
      </c>
      <c r="H6163" s="43">
        <f>IF($G6163=1,INDEX(DarlSollzins,13),INDEX(DarlAnschluss,13))</f>
      </c>
      <c r="I6163" s="43">
        <f>IF(INDEX(DarlBelegt,13)=0,0,IF(INDEX(DarlOhneTilgung,13)=1,IF(INDEX(DarlBindung,13)="",1,$G6163),IF($J6163&gt;0.005,1,0)))</f>
      </c>
      <c r="J6163" s="43">
        <f>IF($I6162=0,0,$R6162)</f>
      </c>
      <c r="K6163" s="43">
        <f>IF($I6163=0,0,IF(INDEX(DarlOhneTilgung,13)=1,0,IF(AND(INDEX(DarlTilgStart,13)&gt;0,$E6163=INDEX(DarlTilgStart,13)),$J6163*($H6163+INDEX(DarlTilgung,13))/100/12,IF(AND($G6163=0,$G6162=1),MAX($K6162,$J6163*($H6163+1)/100/12),$K6162))))</f>
      </c>
      <c r="L6163" s="43">
        <f>IF($I6163=0,0,$J6163*$H6163/100/12)</f>
      </c>
      <c r="M6163" s="43">
        <f>IF($I6163=0,0,IF(OR(INDEX(DarlOhneTilgung,13)=1,AND(INDEX(DarlTilgStart,13)&gt;0,$E6163&lt;INDEX(DarlTilgStart,13))),0,MIN(MAX(0,$K6163-$L6163),$J6163)))</f>
      </c>
      <c r="N6163" s="43">
        <f>IF($I6163=0,0,MIN(SUMIFS(SondBetrag,SondDarl,13,SondDatum,"&gt;="&amp;$E6163,SondDatum,"&lt;="&amp;EOMONTH($E6163,0)),$J6163-$M6163))</f>
      </c>
      <c r="O6163" s="43">
        <f>IF($I6163=0,0,INDEX(DarlErsatzRate,13))</f>
      </c>
      <c r="P6163" s="43">
        <f>IF($I6163=0,0,$Q6162*INDEX(DarlErsatzZins,13))</f>
      </c>
      <c r="Q6163" s="43">
        <f>IF($I6163=0,0,$Q6162+$P6163+$O6163)</f>
      </c>
      <c r="R6163" s="43">
        <f>IF($I6163=0,0,$J6163-$M6163-$N6163)</f>
      </c>
    </row>
    <row r="6164">
      <c r="A6164"/>
      <c r="B6164">
        <v>13</v>
      </c>
      <c r="C6164" s="43">
        <f>INDEX(DarlObj,13)</f>
      </c>
      <c r="D6164">
        <v>401</v>
      </c>
      <c r="E6164" s="51">
        <f>IF(INDEX(DarlBelegt,13)=0,0,EOMONTH(INDEX(DarlAuszahlung,13),400)+1)</f>
      </c>
      <c r="F6164" s="43">
        <f>IF($E6164=0,0,YEAR($E6164))</f>
      </c>
      <c r="G6164" s="43">
        <f>IF(INDEX(DarlBindung,13)="",1,IF($E6164&lt;=INDEX(DarlBindung,13),1,0))</f>
      </c>
      <c r="H6164" s="43">
        <f>IF($G6164=1,INDEX(DarlSollzins,13),INDEX(DarlAnschluss,13))</f>
      </c>
      <c r="I6164" s="43">
        <f>IF(INDEX(DarlBelegt,13)=0,0,IF(INDEX(DarlOhneTilgung,13)=1,IF(INDEX(DarlBindung,13)="",1,$G6164),IF($J6164&gt;0.005,1,0)))</f>
      </c>
      <c r="J6164" s="43">
        <f>IF($I6163=0,0,$R6163)</f>
      </c>
      <c r="K6164" s="43">
        <f>IF($I6164=0,0,IF(INDEX(DarlOhneTilgung,13)=1,0,IF(AND(INDEX(DarlTilgStart,13)&gt;0,$E6164=INDEX(DarlTilgStart,13)),$J6164*($H6164+INDEX(DarlTilgung,13))/100/12,IF(AND($G6164=0,$G6163=1),MAX($K6163,$J6164*($H6164+1)/100/12),$K6163))))</f>
      </c>
      <c r="L6164" s="43">
        <f>IF($I6164=0,0,$J6164*$H6164/100/12)</f>
      </c>
      <c r="M6164" s="43">
        <f>IF($I6164=0,0,IF(OR(INDEX(DarlOhneTilgung,13)=1,AND(INDEX(DarlTilgStart,13)&gt;0,$E6164&lt;INDEX(DarlTilgStart,13))),0,MIN(MAX(0,$K6164-$L6164),$J6164)))</f>
      </c>
      <c r="N6164" s="43">
        <f>IF($I6164=0,0,MIN(SUMIFS(SondBetrag,SondDarl,13,SondDatum,"&gt;="&amp;$E6164,SondDatum,"&lt;="&amp;EOMONTH($E6164,0)),$J6164-$M6164))</f>
      </c>
      <c r="O6164" s="43">
        <f>IF($I6164=0,0,INDEX(DarlErsatzRate,13))</f>
      </c>
      <c r="P6164" s="43">
        <f>IF($I6164=0,0,$Q6163*INDEX(DarlErsatzZins,13))</f>
      </c>
      <c r="Q6164" s="43">
        <f>IF($I6164=0,0,$Q6163+$P6164+$O6164)</f>
      </c>
      <c r="R6164" s="43">
        <f>IF($I6164=0,0,$J6164-$M6164-$N6164)</f>
      </c>
    </row>
    <row r="6165">
      <c r="A6165"/>
      <c r="B6165">
        <v>13</v>
      </c>
      <c r="C6165" s="43">
        <f>INDEX(DarlObj,13)</f>
      </c>
      <c r="D6165">
        <v>402</v>
      </c>
      <c r="E6165" s="51">
        <f>IF(INDEX(DarlBelegt,13)=0,0,EOMONTH(INDEX(DarlAuszahlung,13),401)+1)</f>
      </c>
      <c r="F6165" s="43">
        <f>IF($E6165=0,0,YEAR($E6165))</f>
      </c>
      <c r="G6165" s="43">
        <f>IF(INDEX(DarlBindung,13)="",1,IF($E6165&lt;=INDEX(DarlBindung,13),1,0))</f>
      </c>
      <c r="H6165" s="43">
        <f>IF($G6165=1,INDEX(DarlSollzins,13),INDEX(DarlAnschluss,13))</f>
      </c>
      <c r="I6165" s="43">
        <f>IF(INDEX(DarlBelegt,13)=0,0,IF(INDEX(DarlOhneTilgung,13)=1,IF(INDEX(DarlBindung,13)="",1,$G6165),IF($J6165&gt;0.005,1,0)))</f>
      </c>
      <c r="J6165" s="43">
        <f>IF($I6164=0,0,$R6164)</f>
      </c>
      <c r="K6165" s="43">
        <f>IF($I6165=0,0,IF(INDEX(DarlOhneTilgung,13)=1,0,IF(AND(INDEX(DarlTilgStart,13)&gt;0,$E6165=INDEX(DarlTilgStart,13)),$J6165*($H6165+INDEX(DarlTilgung,13))/100/12,IF(AND($G6165=0,$G6164=1),MAX($K6164,$J6165*($H6165+1)/100/12),$K6164))))</f>
      </c>
      <c r="L6165" s="43">
        <f>IF($I6165=0,0,$J6165*$H6165/100/12)</f>
      </c>
      <c r="M6165" s="43">
        <f>IF($I6165=0,0,IF(OR(INDEX(DarlOhneTilgung,13)=1,AND(INDEX(DarlTilgStart,13)&gt;0,$E6165&lt;INDEX(DarlTilgStart,13))),0,MIN(MAX(0,$K6165-$L6165),$J6165)))</f>
      </c>
      <c r="N6165" s="43">
        <f>IF($I6165=0,0,MIN(SUMIFS(SondBetrag,SondDarl,13,SondDatum,"&gt;="&amp;$E6165,SondDatum,"&lt;="&amp;EOMONTH($E6165,0)),$J6165-$M6165))</f>
      </c>
      <c r="O6165" s="43">
        <f>IF($I6165=0,0,INDEX(DarlErsatzRate,13))</f>
      </c>
      <c r="P6165" s="43">
        <f>IF($I6165=0,0,$Q6164*INDEX(DarlErsatzZins,13))</f>
      </c>
      <c r="Q6165" s="43">
        <f>IF($I6165=0,0,$Q6164+$P6165+$O6165)</f>
      </c>
      <c r="R6165" s="43">
        <f>IF($I6165=0,0,$J6165-$M6165-$N6165)</f>
      </c>
    </row>
    <row r="6166">
      <c r="A6166"/>
      <c r="B6166">
        <v>13</v>
      </c>
      <c r="C6166" s="43">
        <f>INDEX(DarlObj,13)</f>
      </c>
      <c r="D6166">
        <v>403</v>
      </c>
      <c r="E6166" s="51">
        <f>IF(INDEX(DarlBelegt,13)=0,0,EOMONTH(INDEX(DarlAuszahlung,13),402)+1)</f>
      </c>
      <c r="F6166" s="43">
        <f>IF($E6166=0,0,YEAR($E6166))</f>
      </c>
      <c r="G6166" s="43">
        <f>IF(INDEX(DarlBindung,13)="",1,IF($E6166&lt;=INDEX(DarlBindung,13),1,0))</f>
      </c>
      <c r="H6166" s="43">
        <f>IF($G6166=1,INDEX(DarlSollzins,13),INDEX(DarlAnschluss,13))</f>
      </c>
      <c r="I6166" s="43">
        <f>IF(INDEX(DarlBelegt,13)=0,0,IF(INDEX(DarlOhneTilgung,13)=1,IF(INDEX(DarlBindung,13)="",1,$G6166),IF($J6166&gt;0.005,1,0)))</f>
      </c>
      <c r="J6166" s="43">
        <f>IF($I6165=0,0,$R6165)</f>
      </c>
      <c r="K6166" s="43">
        <f>IF($I6166=0,0,IF(INDEX(DarlOhneTilgung,13)=1,0,IF(AND(INDEX(DarlTilgStart,13)&gt;0,$E6166=INDEX(DarlTilgStart,13)),$J6166*($H6166+INDEX(DarlTilgung,13))/100/12,IF(AND($G6166=0,$G6165=1),MAX($K6165,$J6166*($H6166+1)/100/12),$K6165))))</f>
      </c>
      <c r="L6166" s="43">
        <f>IF($I6166=0,0,$J6166*$H6166/100/12)</f>
      </c>
      <c r="M6166" s="43">
        <f>IF($I6166=0,0,IF(OR(INDEX(DarlOhneTilgung,13)=1,AND(INDEX(DarlTilgStart,13)&gt;0,$E6166&lt;INDEX(DarlTilgStart,13))),0,MIN(MAX(0,$K6166-$L6166),$J6166)))</f>
      </c>
      <c r="N6166" s="43">
        <f>IF($I6166=0,0,MIN(SUMIFS(SondBetrag,SondDarl,13,SondDatum,"&gt;="&amp;$E6166,SondDatum,"&lt;="&amp;EOMONTH($E6166,0)),$J6166-$M6166))</f>
      </c>
      <c r="O6166" s="43">
        <f>IF($I6166=0,0,INDEX(DarlErsatzRate,13))</f>
      </c>
      <c r="P6166" s="43">
        <f>IF($I6166=0,0,$Q6165*INDEX(DarlErsatzZins,13))</f>
      </c>
      <c r="Q6166" s="43">
        <f>IF($I6166=0,0,$Q6165+$P6166+$O6166)</f>
      </c>
      <c r="R6166" s="43">
        <f>IF($I6166=0,0,$J6166-$M6166-$N6166)</f>
      </c>
    </row>
    <row r="6167">
      <c r="A6167"/>
      <c r="B6167">
        <v>13</v>
      </c>
      <c r="C6167" s="43">
        <f>INDEX(DarlObj,13)</f>
      </c>
      <c r="D6167">
        <v>404</v>
      </c>
      <c r="E6167" s="51">
        <f>IF(INDEX(DarlBelegt,13)=0,0,EOMONTH(INDEX(DarlAuszahlung,13),403)+1)</f>
      </c>
      <c r="F6167" s="43">
        <f>IF($E6167=0,0,YEAR($E6167))</f>
      </c>
      <c r="G6167" s="43">
        <f>IF(INDEX(DarlBindung,13)="",1,IF($E6167&lt;=INDEX(DarlBindung,13),1,0))</f>
      </c>
      <c r="H6167" s="43">
        <f>IF($G6167=1,INDEX(DarlSollzins,13),INDEX(DarlAnschluss,13))</f>
      </c>
      <c r="I6167" s="43">
        <f>IF(INDEX(DarlBelegt,13)=0,0,IF(INDEX(DarlOhneTilgung,13)=1,IF(INDEX(DarlBindung,13)="",1,$G6167),IF($J6167&gt;0.005,1,0)))</f>
      </c>
      <c r="J6167" s="43">
        <f>IF($I6166=0,0,$R6166)</f>
      </c>
      <c r="K6167" s="43">
        <f>IF($I6167=0,0,IF(INDEX(DarlOhneTilgung,13)=1,0,IF(AND(INDEX(DarlTilgStart,13)&gt;0,$E6167=INDEX(DarlTilgStart,13)),$J6167*($H6167+INDEX(DarlTilgung,13))/100/12,IF(AND($G6167=0,$G6166=1),MAX($K6166,$J6167*($H6167+1)/100/12),$K6166))))</f>
      </c>
      <c r="L6167" s="43">
        <f>IF($I6167=0,0,$J6167*$H6167/100/12)</f>
      </c>
      <c r="M6167" s="43">
        <f>IF($I6167=0,0,IF(OR(INDEX(DarlOhneTilgung,13)=1,AND(INDEX(DarlTilgStart,13)&gt;0,$E6167&lt;INDEX(DarlTilgStart,13))),0,MIN(MAX(0,$K6167-$L6167),$J6167)))</f>
      </c>
      <c r="N6167" s="43">
        <f>IF($I6167=0,0,MIN(SUMIFS(SondBetrag,SondDarl,13,SondDatum,"&gt;="&amp;$E6167,SondDatum,"&lt;="&amp;EOMONTH($E6167,0)),$J6167-$M6167))</f>
      </c>
      <c r="O6167" s="43">
        <f>IF($I6167=0,0,INDEX(DarlErsatzRate,13))</f>
      </c>
      <c r="P6167" s="43">
        <f>IF($I6167=0,0,$Q6166*INDEX(DarlErsatzZins,13))</f>
      </c>
      <c r="Q6167" s="43">
        <f>IF($I6167=0,0,$Q6166+$P6167+$O6167)</f>
      </c>
      <c r="R6167" s="43">
        <f>IF($I6167=0,0,$J6167-$M6167-$N6167)</f>
      </c>
    </row>
    <row r="6168">
      <c r="A6168"/>
      <c r="B6168">
        <v>13</v>
      </c>
      <c r="C6168" s="43">
        <f>INDEX(DarlObj,13)</f>
      </c>
      <c r="D6168">
        <v>405</v>
      </c>
      <c r="E6168" s="51">
        <f>IF(INDEX(DarlBelegt,13)=0,0,EOMONTH(INDEX(DarlAuszahlung,13),404)+1)</f>
      </c>
      <c r="F6168" s="43">
        <f>IF($E6168=0,0,YEAR($E6168))</f>
      </c>
      <c r="G6168" s="43">
        <f>IF(INDEX(DarlBindung,13)="",1,IF($E6168&lt;=INDEX(DarlBindung,13),1,0))</f>
      </c>
      <c r="H6168" s="43">
        <f>IF($G6168=1,INDEX(DarlSollzins,13),INDEX(DarlAnschluss,13))</f>
      </c>
      <c r="I6168" s="43">
        <f>IF(INDEX(DarlBelegt,13)=0,0,IF(INDEX(DarlOhneTilgung,13)=1,IF(INDEX(DarlBindung,13)="",1,$G6168),IF($J6168&gt;0.005,1,0)))</f>
      </c>
      <c r="J6168" s="43">
        <f>IF($I6167=0,0,$R6167)</f>
      </c>
      <c r="K6168" s="43">
        <f>IF($I6168=0,0,IF(INDEX(DarlOhneTilgung,13)=1,0,IF(AND(INDEX(DarlTilgStart,13)&gt;0,$E6168=INDEX(DarlTilgStart,13)),$J6168*($H6168+INDEX(DarlTilgung,13))/100/12,IF(AND($G6168=0,$G6167=1),MAX($K6167,$J6168*($H6168+1)/100/12),$K6167))))</f>
      </c>
      <c r="L6168" s="43">
        <f>IF($I6168=0,0,$J6168*$H6168/100/12)</f>
      </c>
      <c r="M6168" s="43">
        <f>IF($I6168=0,0,IF(OR(INDEX(DarlOhneTilgung,13)=1,AND(INDEX(DarlTilgStart,13)&gt;0,$E6168&lt;INDEX(DarlTilgStart,13))),0,MIN(MAX(0,$K6168-$L6168),$J6168)))</f>
      </c>
      <c r="N6168" s="43">
        <f>IF($I6168=0,0,MIN(SUMIFS(SondBetrag,SondDarl,13,SondDatum,"&gt;="&amp;$E6168,SondDatum,"&lt;="&amp;EOMONTH($E6168,0)),$J6168-$M6168))</f>
      </c>
      <c r="O6168" s="43">
        <f>IF($I6168=0,0,INDEX(DarlErsatzRate,13))</f>
      </c>
      <c r="P6168" s="43">
        <f>IF($I6168=0,0,$Q6167*INDEX(DarlErsatzZins,13))</f>
      </c>
      <c r="Q6168" s="43">
        <f>IF($I6168=0,0,$Q6167+$P6168+$O6168)</f>
      </c>
      <c r="R6168" s="43">
        <f>IF($I6168=0,0,$J6168-$M6168-$N6168)</f>
      </c>
    </row>
    <row r="6169">
      <c r="A6169"/>
      <c r="B6169">
        <v>13</v>
      </c>
      <c r="C6169" s="43">
        <f>INDEX(DarlObj,13)</f>
      </c>
      <c r="D6169">
        <v>406</v>
      </c>
      <c r="E6169" s="51">
        <f>IF(INDEX(DarlBelegt,13)=0,0,EOMONTH(INDEX(DarlAuszahlung,13),405)+1)</f>
      </c>
      <c r="F6169" s="43">
        <f>IF($E6169=0,0,YEAR($E6169))</f>
      </c>
      <c r="G6169" s="43">
        <f>IF(INDEX(DarlBindung,13)="",1,IF($E6169&lt;=INDEX(DarlBindung,13),1,0))</f>
      </c>
      <c r="H6169" s="43">
        <f>IF($G6169=1,INDEX(DarlSollzins,13),INDEX(DarlAnschluss,13))</f>
      </c>
      <c r="I6169" s="43">
        <f>IF(INDEX(DarlBelegt,13)=0,0,IF(INDEX(DarlOhneTilgung,13)=1,IF(INDEX(DarlBindung,13)="",1,$G6169),IF($J6169&gt;0.005,1,0)))</f>
      </c>
      <c r="J6169" s="43">
        <f>IF($I6168=0,0,$R6168)</f>
      </c>
      <c r="K6169" s="43">
        <f>IF($I6169=0,0,IF(INDEX(DarlOhneTilgung,13)=1,0,IF(AND(INDEX(DarlTilgStart,13)&gt;0,$E6169=INDEX(DarlTilgStart,13)),$J6169*($H6169+INDEX(DarlTilgung,13))/100/12,IF(AND($G6169=0,$G6168=1),MAX($K6168,$J6169*($H6169+1)/100/12),$K6168))))</f>
      </c>
      <c r="L6169" s="43">
        <f>IF($I6169=0,0,$J6169*$H6169/100/12)</f>
      </c>
      <c r="M6169" s="43">
        <f>IF($I6169=0,0,IF(OR(INDEX(DarlOhneTilgung,13)=1,AND(INDEX(DarlTilgStart,13)&gt;0,$E6169&lt;INDEX(DarlTilgStart,13))),0,MIN(MAX(0,$K6169-$L6169),$J6169)))</f>
      </c>
      <c r="N6169" s="43">
        <f>IF($I6169=0,0,MIN(SUMIFS(SondBetrag,SondDarl,13,SondDatum,"&gt;="&amp;$E6169,SondDatum,"&lt;="&amp;EOMONTH($E6169,0)),$J6169-$M6169))</f>
      </c>
      <c r="O6169" s="43">
        <f>IF($I6169=0,0,INDEX(DarlErsatzRate,13))</f>
      </c>
      <c r="P6169" s="43">
        <f>IF($I6169=0,0,$Q6168*INDEX(DarlErsatzZins,13))</f>
      </c>
      <c r="Q6169" s="43">
        <f>IF($I6169=0,0,$Q6168+$P6169+$O6169)</f>
      </c>
      <c r="R6169" s="43">
        <f>IF($I6169=0,0,$J6169-$M6169-$N6169)</f>
      </c>
    </row>
    <row r="6170">
      <c r="A6170"/>
      <c r="B6170">
        <v>13</v>
      </c>
      <c r="C6170" s="43">
        <f>INDEX(DarlObj,13)</f>
      </c>
      <c r="D6170">
        <v>407</v>
      </c>
      <c r="E6170" s="51">
        <f>IF(INDEX(DarlBelegt,13)=0,0,EOMONTH(INDEX(DarlAuszahlung,13),406)+1)</f>
      </c>
      <c r="F6170" s="43">
        <f>IF($E6170=0,0,YEAR($E6170))</f>
      </c>
      <c r="G6170" s="43">
        <f>IF(INDEX(DarlBindung,13)="",1,IF($E6170&lt;=INDEX(DarlBindung,13),1,0))</f>
      </c>
      <c r="H6170" s="43">
        <f>IF($G6170=1,INDEX(DarlSollzins,13),INDEX(DarlAnschluss,13))</f>
      </c>
      <c r="I6170" s="43">
        <f>IF(INDEX(DarlBelegt,13)=0,0,IF(INDEX(DarlOhneTilgung,13)=1,IF(INDEX(DarlBindung,13)="",1,$G6170),IF($J6170&gt;0.005,1,0)))</f>
      </c>
      <c r="J6170" s="43">
        <f>IF($I6169=0,0,$R6169)</f>
      </c>
      <c r="K6170" s="43">
        <f>IF($I6170=0,0,IF(INDEX(DarlOhneTilgung,13)=1,0,IF(AND(INDEX(DarlTilgStart,13)&gt;0,$E6170=INDEX(DarlTilgStart,13)),$J6170*($H6170+INDEX(DarlTilgung,13))/100/12,IF(AND($G6170=0,$G6169=1),MAX($K6169,$J6170*($H6170+1)/100/12),$K6169))))</f>
      </c>
      <c r="L6170" s="43">
        <f>IF($I6170=0,0,$J6170*$H6170/100/12)</f>
      </c>
      <c r="M6170" s="43">
        <f>IF($I6170=0,0,IF(OR(INDEX(DarlOhneTilgung,13)=1,AND(INDEX(DarlTilgStart,13)&gt;0,$E6170&lt;INDEX(DarlTilgStart,13))),0,MIN(MAX(0,$K6170-$L6170),$J6170)))</f>
      </c>
      <c r="N6170" s="43">
        <f>IF($I6170=0,0,MIN(SUMIFS(SondBetrag,SondDarl,13,SondDatum,"&gt;="&amp;$E6170,SondDatum,"&lt;="&amp;EOMONTH($E6170,0)),$J6170-$M6170))</f>
      </c>
      <c r="O6170" s="43">
        <f>IF($I6170=0,0,INDEX(DarlErsatzRate,13))</f>
      </c>
      <c r="P6170" s="43">
        <f>IF($I6170=0,0,$Q6169*INDEX(DarlErsatzZins,13))</f>
      </c>
      <c r="Q6170" s="43">
        <f>IF($I6170=0,0,$Q6169+$P6170+$O6170)</f>
      </c>
      <c r="R6170" s="43">
        <f>IF($I6170=0,0,$J6170-$M6170-$N6170)</f>
      </c>
    </row>
    <row r="6171">
      <c r="A6171"/>
      <c r="B6171">
        <v>13</v>
      </c>
      <c r="C6171" s="43">
        <f>INDEX(DarlObj,13)</f>
      </c>
      <c r="D6171">
        <v>408</v>
      </c>
      <c r="E6171" s="51">
        <f>IF(INDEX(DarlBelegt,13)=0,0,EOMONTH(INDEX(DarlAuszahlung,13),407)+1)</f>
      </c>
      <c r="F6171" s="43">
        <f>IF($E6171=0,0,YEAR($E6171))</f>
      </c>
      <c r="G6171" s="43">
        <f>IF(INDEX(DarlBindung,13)="",1,IF($E6171&lt;=INDEX(DarlBindung,13),1,0))</f>
      </c>
      <c r="H6171" s="43">
        <f>IF($G6171=1,INDEX(DarlSollzins,13),INDEX(DarlAnschluss,13))</f>
      </c>
      <c r="I6171" s="43">
        <f>IF(INDEX(DarlBelegt,13)=0,0,IF(INDEX(DarlOhneTilgung,13)=1,IF(INDEX(DarlBindung,13)="",1,$G6171),IF($J6171&gt;0.005,1,0)))</f>
      </c>
      <c r="J6171" s="43">
        <f>IF($I6170=0,0,$R6170)</f>
      </c>
      <c r="K6171" s="43">
        <f>IF($I6171=0,0,IF(INDEX(DarlOhneTilgung,13)=1,0,IF(AND(INDEX(DarlTilgStart,13)&gt;0,$E6171=INDEX(DarlTilgStart,13)),$J6171*($H6171+INDEX(DarlTilgung,13))/100/12,IF(AND($G6171=0,$G6170=1),MAX($K6170,$J6171*($H6171+1)/100/12),$K6170))))</f>
      </c>
      <c r="L6171" s="43">
        <f>IF($I6171=0,0,$J6171*$H6171/100/12)</f>
      </c>
      <c r="M6171" s="43">
        <f>IF($I6171=0,0,IF(OR(INDEX(DarlOhneTilgung,13)=1,AND(INDEX(DarlTilgStart,13)&gt;0,$E6171&lt;INDEX(DarlTilgStart,13))),0,MIN(MAX(0,$K6171-$L6171),$J6171)))</f>
      </c>
      <c r="N6171" s="43">
        <f>IF($I6171=0,0,MIN(SUMIFS(SondBetrag,SondDarl,13,SondDatum,"&gt;="&amp;$E6171,SondDatum,"&lt;="&amp;EOMONTH($E6171,0)),$J6171-$M6171))</f>
      </c>
      <c r="O6171" s="43">
        <f>IF($I6171=0,0,INDEX(DarlErsatzRate,13))</f>
      </c>
      <c r="P6171" s="43">
        <f>IF($I6171=0,0,$Q6170*INDEX(DarlErsatzZins,13))</f>
      </c>
      <c r="Q6171" s="43">
        <f>IF($I6171=0,0,$Q6170+$P6171+$O6171)</f>
      </c>
      <c r="R6171" s="43">
        <f>IF($I6171=0,0,$J6171-$M6171-$N6171)</f>
      </c>
    </row>
    <row r="6172">
      <c r="A6172"/>
      <c r="B6172">
        <v>13</v>
      </c>
      <c r="C6172" s="43">
        <f>INDEX(DarlObj,13)</f>
      </c>
      <c r="D6172">
        <v>409</v>
      </c>
      <c r="E6172" s="51">
        <f>IF(INDEX(DarlBelegt,13)=0,0,EOMONTH(INDEX(DarlAuszahlung,13),408)+1)</f>
      </c>
      <c r="F6172" s="43">
        <f>IF($E6172=0,0,YEAR($E6172))</f>
      </c>
      <c r="G6172" s="43">
        <f>IF(INDEX(DarlBindung,13)="",1,IF($E6172&lt;=INDEX(DarlBindung,13),1,0))</f>
      </c>
      <c r="H6172" s="43">
        <f>IF($G6172=1,INDEX(DarlSollzins,13),INDEX(DarlAnschluss,13))</f>
      </c>
      <c r="I6172" s="43">
        <f>IF(INDEX(DarlBelegt,13)=0,0,IF(INDEX(DarlOhneTilgung,13)=1,IF(INDEX(DarlBindung,13)="",1,$G6172),IF($J6172&gt;0.005,1,0)))</f>
      </c>
      <c r="J6172" s="43">
        <f>IF($I6171=0,0,$R6171)</f>
      </c>
      <c r="K6172" s="43">
        <f>IF($I6172=0,0,IF(INDEX(DarlOhneTilgung,13)=1,0,IF(AND(INDEX(DarlTilgStart,13)&gt;0,$E6172=INDEX(DarlTilgStart,13)),$J6172*($H6172+INDEX(DarlTilgung,13))/100/12,IF(AND($G6172=0,$G6171=1),MAX($K6171,$J6172*($H6172+1)/100/12),$K6171))))</f>
      </c>
      <c r="L6172" s="43">
        <f>IF($I6172=0,0,$J6172*$H6172/100/12)</f>
      </c>
      <c r="M6172" s="43">
        <f>IF($I6172=0,0,IF(OR(INDEX(DarlOhneTilgung,13)=1,AND(INDEX(DarlTilgStart,13)&gt;0,$E6172&lt;INDEX(DarlTilgStart,13))),0,MIN(MAX(0,$K6172-$L6172),$J6172)))</f>
      </c>
      <c r="N6172" s="43">
        <f>IF($I6172=0,0,MIN(SUMIFS(SondBetrag,SondDarl,13,SondDatum,"&gt;="&amp;$E6172,SondDatum,"&lt;="&amp;EOMONTH($E6172,0)),$J6172-$M6172))</f>
      </c>
      <c r="O6172" s="43">
        <f>IF($I6172=0,0,INDEX(DarlErsatzRate,13))</f>
      </c>
      <c r="P6172" s="43">
        <f>IF($I6172=0,0,$Q6171*INDEX(DarlErsatzZins,13))</f>
      </c>
      <c r="Q6172" s="43">
        <f>IF($I6172=0,0,$Q6171+$P6172+$O6172)</f>
      </c>
      <c r="R6172" s="43">
        <f>IF($I6172=0,0,$J6172-$M6172-$N6172)</f>
      </c>
    </row>
    <row r="6173">
      <c r="A6173"/>
      <c r="B6173">
        <v>13</v>
      </c>
      <c r="C6173" s="43">
        <f>INDEX(DarlObj,13)</f>
      </c>
      <c r="D6173">
        <v>410</v>
      </c>
      <c r="E6173" s="51">
        <f>IF(INDEX(DarlBelegt,13)=0,0,EOMONTH(INDEX(DarlAuszahlung,13),409)+1)</f>
      </c>
      <c r="F6173" s="43">
        <f>IF($E6173=0,0,YEAR($E6173))</f>
      </c>
      <c r="G6173" s="43">
        <f>IF(INDEX(DarlBindung,13)="",1,IF($E6173&lt;=INDEX(DarlBindung,13),1,0))</f>
      </c>
      <c r="H6173" s="43">
        <f>IF($G6173=1,INDEX(DarlSollzins,13),INDEX(DarlAnschluss,13))</f>
      </c>
      <c r="I6173" s="43">
        <f>IF(INDEX(DarlBelegt,13)=0,0,IF(INDEX(DarlOhneTilgung,13)=1,IF(INDEX(DarlBindung,13)="",1,$G6173),IF($J6173&gt;0.005,1,0)))</f>
      </c>
      <c r="J6173" s="43">
        <f>IF($I6172=0,0,$R6172)</f>
      </c>
      <c r="K6173" s="43">
        <f>IF($I6173=0,0,IF(INDEX(DarlOhneTilgung,13)=1,0,IF(AND(INDEX(DarlTilgStart,13)&gt;0,$E6173=INDEX(DarlTilgStart,13)),$J6173*($H6173+INDEX(DarlTilgung,13))/100/12,IF(AND($G6173=0,$G6172=1),MAX($K6172,$J6173*($H6173+1)/100/12),$K6172))))</f>
      </c>
      <c r="L6173" s="43">
        <f>IF($I6173=0,0,$J6173*$H6173/100/12)</f>
      </c>
      <c r="M6173" s="43">
        <f>IF($I6173=0,0,IF(OR(INDEX(DarlOhneTilgung,13)=1,AND(INDEX(DarlTilgStart,13)&gt;0,$E6173&lt;INDEX(DarlTilgStart,13))),0,MIN(MAX(0,$K6173-$L6173),$J6173)))</f>
      </c>
      <c r="N6173" s="43">
        <f>IF($I6173=0,0,MIN(SUMIFS(SondBetrag,SondDarl,13,SondDatum,"&gt;="&amp;$E6173,SondDatum,"&lt;="&amp;EOMONTH($E6173,0)),$J6173-$M6173))</f>
      </c>
      <c r="O6173" s="43">
        <f>IF($I6173=0,0,INDEX(DarlErsatzRate,13))</f>
      </c>
      <c r="P6173" s="43">
        <f>IF($I6173=0,0,$Q6172*INDEX(DarlErsatzZins,13))</f>
      </c>
      <c r="Q6173" s="43">
        <f>IF($I6173=0,0,$Q6172+$P6173+$O6173)</f>
      </c>
      <c r="R6173" s="43">
        <f>IF($I6173=0,0,$J6173-$M6173-$N6173)</f>
      </c>
    </row>
    <row r="6174">
      <c r="A6174"/>
      <c r="B6174">
        <v>13</v>
      </c>
      <c r="C6174" s="43">
        <f>INDEX(DarlObj,13)</f>
      </c>
      <c r="D6174">
        <v>411</v>
      </c>
      <c r="E6174" s="51">
        <f>IF(INDEX(DarlBelegt,13)=0,0,EOMONTH(INDEX(DarlAuszahlung,13),410)+1)</f>
      </c>
      <c r="F6174" s="43">
        <f>IF($E6174=0,0,YEAR($E6174))</f>
      </c>
      <c r="G6174" s="43">
        <f>IF(INDEX(DarlBindung,13)="",1,IF($E6174&lt;=INDEX(DarlBindung,13),1,0))</f>
      </c>
      <c r="H6174" s="43">
        <f>IF($G6174=1,INDEX(DarlSollzins,13),INDEX(DarlAnschluss,13))</f>
      </c>
      <c r="I6174" s="43">
        <f>IF(INDEX(DarlBelegt,13)=0,0,IF(INDEX(DarlOhneTilgung,13)=1,IF(INDEX(DarlBindung,13)="",1,$G6174),IF($J6174&gt;0.005,1,0)))</f>
      </c>
      <c r="J6174" s="43">
        <f>IF($I6173=0,0,$R6173)</f>
      </c>
      <c r="K6174" s="43">
        <f>IF($I6174=0,0,IF(INDEX(DarlOhneTilgung,13)=1,0,IF(AND(INDEX(DarlTilgStart,13)&gt;0,$E6174=INDEX(DarlTilgStart,13)),$J6174*($H6174+INDEX(DarlTilgung,13))/100/12,IF(AND($G6174=0,$G6173=1),MAX($K6173,$J6174*($H6174+1)/100/12),$K6173))))</f>
      </c>
      <c r="L6174" s="43">
        <f>IF($I6174=0,0,$J6174*$H6174/100/12)</f>
      </c>
      <c r="M6174" s="43">
        <f>IF($I6174=0,0,IF(OR(INDEX(DarlOhneTilgung,13)=1,AND(INDEX(DarlTilgStart,13)&gt;0,$E6174&lt;INDEX(DarlTilgStart,13))),0,MIN(MAX(0,$K6174-$L6174),$J6174)))</f>
      </c>
      <c r="N6174" s="43">
        <f>IF($I6174=0,0,MIN(SUMIFS(SondBetrag,SondDarl,13,SondDatum,"&gt;="&amp;$E6174,SondDatum,"&lt;="&amp;EOMONTH($E6174,0)),$J6174-$M6174))</f>
      </c>
      <c r="O6174" s="43">
        <f>IF($I6174=0,0,INDEX(DarlErsatzRate,13))</f>
      </c>
      <c r="P6174" s="43">
        <f>IF($I6174=0,0,$Q6173*INDEX(DarlErsatzZins,13))</f>
      </c>
      <c r="Q6174" s="43">
        <f>IF($I6174=0,0,$Q6173+$P6174+$O6174)</f>
      </c>
      <c r="R6174" s="43">
        <f>IF($I6174=0,0,$J6174-$M6174-$N6174)</f>
      </c>
    </row>
    <row r="6175">
      <c r="A6175"/>
      <c r="B6175">
        <v>13</v>
      </c>
      <c r="C6175" s="43">
        <f>INDEX(DarlObj,13)</f>
      </c>
      <c r="D6175">
        <v>412</v>
      </c>
      <c r="E6175" s="51">
        <f>IF(INDEX(DarlBelegt,13)=0,0,EOMONTH(INDEX(DarlAuszahlung,13),411)+1)</f>
      </c>
      <c r="F6175" s="43">
        <f>IF($E6175=0,0,YEAR($E6175))</f>
      </c>
      <c r="G6175" s="43">
        <f>IF(INDEX(DarlBindung,13)="",1,IF($E6175&lt;=INDEX(DarlBindung,13),1,0))</f>
      </c>
      <c r="H6175" s="43">
        <f>IF($G6175=1,INDEX(DarlSollzins,13),INDEX(DarlAnschluss,13))</f>
      </c>
      <c r="I6175" s="43">
        <f>IF(INDEX(DarlBelegt,13)=0,0,IF(INDEX(DarlOhneTilgung,13)=1,IF(INDEX(DarlBindung,13)="",1,$G6175),IF($J6175&gt;0.005,1,0)))</f>
      </c>
      <c r="J6175" s="43">
        <f>IF($I6174=0,0,$R6174)</f>
      </c>
      <c r="K6175" s="43">
        <f>IF($I6175=0,0,IF(INDEX(DarlOhneTilgung,13)=1,0,IF(AND(INDEX(DarlTilgStart,13)&gt;0,$E6175=INDEX(DarlTilgStart,13)),$J6175*($H6175+INDEX(DarlTilgung,13))/100/12,IF(AND($G6175=0,$G6174=1),MAX($K6174,$J6175*($H6175+1)/100/12),$K6174))))</f>
      </c>
      <c r="L6175" s="43">
        <f>IF($I6175=0,0,$J6175*$H6175/100/12)</f>
      </c>
      <c r="M6175" s="43">
        <f>IF($I6175=0,0,IF(OR(INDEX(DarlOhneTilgung,13)=1,AND(INDEX(DarlTilgStart,13)&gt;0,$E6175&lt;INDEX(DarlTilgStart,13))),0,MIN(MAX(0,$K6175-$L6175),$J6175)))</f>
      </c>
      <c r="N6175" s="43">
        <f>IF($I6175=0,0,MIN(SUMIFS(SondBetrag,SondDarl,13,SondDatum,"&gt;="&amp;$E6175,SondDatum,"&lt;="&amp;EOMONTH($E6175,0)),$J6175-$M6175))</f>
      </c>
      <c r="O6175" s="43">
        <f>IF($I6175=0,0,INDEX(DarlErsatzRate,13))</f>
      </c>
      <c r="P6175" s="43">
        <f>IF($I6175=0,0,$Q6174*INDEX(DarlErsatzZins,13))</f>
      </c>
      <c r="Q6175" s="43">
        <f>IF($I6175=0,0,$Q6174+$P6175+$O6175)</f>
      </c>
      <c r="R6175" s="43">
        <f>IF($I6175=0,0,$J6175-$M6175-$N6175)</f>
      </c>
    </row>
    <row r="6176">
      <c r="A6176"/>
      <c r="B6176">
        <v>13</v>
      </c>
      <c r="C6176" s="43">
        <f>INDEX(DarlObj,13)</f>
      </c>
      <c r="D6176">
        <v>413</v>
      </c>
      <c r="E6176" s="51">
        <f>IF(INDEX(DarlBelegt,13)=0,0,EOMONTH(INDEX(DarlAuszahlung,13),412)+1)</f>
      </c>
      <c r="F6176" s="43">
        <f>IF($E6176=0,0,YEAR($E6176))</f>
      </c>
      <c r="G6176" s="43">
        <f>IF(INDEX(DarlBindung,13)="",1,IF($E6176&lt;=INDEX(DarlBindung,13),1,0))</f>
      </c>
      <c r="H6176" s="43">
        <f>IF($G6176=1,INDEX(DarlSollzins,13),INDEX(DarlAnschluss,13))</f>
      </c>
      <c r="I6176" s="43">
        <f>IF(INDEX(DarlBelegt,13)=0,0,IF(INDEX(DarlOhneTilgung,13)=1,IF(INDEX(DarlBindung,13)="",1,$G6176),IF($J6176&gt;0.005,1,0)))</f>
      </c>
      <c r="J6176" s="43">
        <f>IF($I6175=0,0,$R6175)</f>
      </c>
      <c r="K6176" s="43">
        <f>IF($I6176=0,0,IF(INDEX(DarlOhneTilgung,13)=1,0,IF(AND(INDEX(DarlTilgStart,13)&gt;0,$E6176=INDEX(DarlTilgStart,13)),$J6176*($H6176+INDEX(DarlTilgung,13))/100/12,IF(AND($G6176=0,$G6175=1),MAX($K6175,$J6176*($H6176+1)/100/12),$K6175))))</f>
      </c>
      <c r="L6176" s="43">
        <f>IF($I6176=0,0,$J6176*$H6176/100/12)</f>
      </c>
      <c r="M6176" s="43">
        <f>IF($I6176=0,0,IF(OR(INDEX(DarlOhneTilgung,13)=1,AND(INDEX(DarlTilgStart,13)&gt;0,$E6176&lt;INDEX(DarlTilgStart,13))),0,MIN(MAX(0,$K6176-$L6176),$J6176)))</f>
      </c>
      <c r="N6176" s="43">
        <f>IF($I6176=0,0,MIN(SUMIFS(SondBetrag,SondDarl,13,SondDatum,"&gt;="&amp;$E6176,SondDatum,"&lt;="&amp;EOMONTH($E6176,0)),$J6176-$M6176))</f>
      </c>
      <c r="O6176" s="43">
        <f>IF($I6176=0,0,INDEX(DarlErsatzRate,13))</f>
      </c>
      <c r="P6176" s="43">
        <f>IF($I6176=0,0,$Q6175*INDEX(DarlErsatzZins,13))</f>
      </c>
      <c r="Q6176" s="43">
        <f>IF($I6176=0,0,$Q6175+$P6176+$O6176)</f>
      </c>
      <c r="R6176" s="43">
        <f>IF($I6176=0,0,$J6176-$M6176-$N6176)</f>
      </c>
    </row>
    <row r="6177">
      <c r="A6177"/>
      <c r="B6177">
        <v>13</v>
      </c>
      <c r="C6177" s="43">
        <f>INDEX(DarlObj,13)</f>
      </c>
      <c r="D6177">
        <v>414</v>
      </c>
      <c r="E6177" s="51">
        <f>IF(INDEX(DarlBelegt,13)=0,0,EOMONTH(INDEX(DarlAuszahlung,13),413)+1)</f>
      </c>
      <c r="F6177" s="43">
        <f>IF($E6177=0,0,YEAR($E6177))</f>
      </c>
      <c r="G6177" s="43">
        <f>IF(INDEX(DarlBindung,13)="",1,IF($E6177&lt;=INDEX(DarlBindung,13),1,0))</f>
      </c>
      <c r="H6177" s="43">
        <f>IF($G6177=1,INDEX(DarlSollzins,13),INDEX(DarlAnschluss,13))</f>
      </c>
      <c r="I6177" s="43">
        <f>IF(INDEX(DarlBelegt,13)=0,0,IF(INDEX(DarlOhneTilgung,13)=1,IF(INDEX(DarlBindung,13)="",1,$G6177),IF($J6177&gt;0.005,1,0)))</f>
      </c>
      <c r="J6177" s="43">
        <f>IF($I6176=0,0,$R6176)</f>
      </c>
      <c r="K6177" s="43">
        <f>IF($I6177=0,0,IF(INDEX(DarlOhneTilgung,13)=1,0,IF(AND(INDEX(DarlTilgStart,13)&gt;0,$E6177=INDEX(DarlTilgStart,13)),$J6177*($H6177+INDEX(DarlTilgung,13))/100/12,IF(AND($G6177=0,$G6176=1),MAX($K6176,$J6177*($H6177+1)/100/12),$K6176))))</f>
      </c>
      <c r="L6177" s="43">
        <f>IF($I6177=0,0,$J6177*$H6177/100/12)</f>
      </c>
      <c r="M6177" s="43">
        <f>IF($I6177=0,0,IF(OR(INDEX(DarlOhneTilgung,13)=1,AND(INDEX(DarlTilgStart,13)&gt;0,$E6177&lt;INDEX(DarlTilgStart,13))),0,MIN(MAX(0,$K6177-$L6177),$J6177)))</f>
      </c>
      <c r="N6177" s="43">
        <f>IF($I6177=0,0,MIN(SUMIFS(SondBetrag,SondDarl,13,SondDatum,"&gt;="&amp;$E6177,SondDatum,"&lt;="&amp;EOMONTH($E6177,0)),$J6177-$M6177))</f>
      </c>
      <c r="O6177" s="43">
        <f>IF($I6177=0,0,INDEX(DarlErsatzRate,13))</f>
      </c>
      <c r="P6177" s="43">
        <f>IF($I6177=0,0,$Q6176*INDEX(DarlErsatzZins,13))</f>
      </c>
      <c r="Q6177" s="43">
        <f>IF($I6177=0,0,$Q6176+$P6177+$O6177)</f>
      </c>
      <c r="R6177" s="43">
        <f>IF($I6177=0,0,$J6177-$M6177-$N6177)</f>
      </c>
    </row>
    <row r="6178">
      <c r="A6178"/>
      <c r="B6178">
        <v>13</v>
      </c>
      <c r="C6178" s="43">
        <f>INDEX(DarlObj,13)</f>
      </c>
      <c r="D6178">
        <v>415</v>
      </c>
      <c r="E6178" s="51">
        <f>IF(INDEX(DarlBelegt,13)=0,0,EOMONTH(INDEX(DarlAuszahlung,13),414)+1)</f>
      </c>
      <c r="F6178" s="43">
        <f>IF($E6178=0,0,YEAR($E6178))</f>
      </c>
      <c r="G6178" s="43">
        <f>IF(INDEX(DarlBindung,13)="",1,IF($E6178&lt;=INDEX(DarlBindung,13),1,0))</f>
      </c>
      <c r="H6178" s="43">
        <f>IF($G6178=1,INDEX(DarlSollzins,13),INDEX(DarlAnschluss,13))</f>
      </c>
      <c r="I6178" s="43">
        <f>IF(INDEX(DarlBelegt,13)=0,0,IF(INDEX(DarlOhneTilgung,13)=1,IF(INDEX(DarlBindung,13)="",1,$G6178),IF($J6178&gt;0.005,1,0)))</f>
      </c>
      <c r="J6178" s="43">
        <f>IF($I6177=0,0,$R6177)</f>
      </c>
      <c r="K6178" s="43">
        <f>IF($I6178=0,0,IF(INDEX(DarlOhneTilgung,13)=1,0,IF(AND(INDEX(DarlTilgStart,13)&gt;0,$E6178=INDEX(DarlTilgStart,13)),$J6178*($H6178+INDEX(DarlTilgung,13))/100/12,IF(AND($G6178=0,$G6177=1),MAX($K6177,$J6178*($H6178+1)/100/12),$K6177))))</f>
      </c>
      <c r="L6178" s="43">
        <f>IF($I6178=0,0,$J6178*$H6178/100/12)</f>
      </c>
      <c r="M6178" s="43">
        <f>IF($I6178=0,0,IF(OR(INDEX(DarlOhneTilgung,13)=1,AND(INDEX(DarlTilgStart,13)&gt;0,$E6178&lt;INDEX(DarlTilgStart,13))),0,MIN(MAX(0,$K6178-$L6178),$J6178)))</f>
      </c>
      <c r="N6178" s="43">
        <f>IF($I6178=0,0,MIN(SUMIFS(SondBetrag,SondDarl,13,SondDatum,"&gt;="&amp;$E6178,SondDatum,"&lt;="&amp;EOMONTH($E6178,0)),$J6178-$M6178))</f>
      </c>
      <c r="O6178" s="43">
        <f>IF($I6178=0,0,INDEX(DarlErsatzRate,13))</f>
      </c>
      <c r="P6178" s="43">
        <f>IF($I6178=0,0,$Q6177*INDEX(DarlErsatzZins,13))</f>
      </c>
      <c r="Q6178" s="43">
        <f>IF($I6178=0,0,$Q6177+$P6178+$O6178)</f>
      </c>
      <c r="R6178" s="43">
        <f>IF($I6178=0,0,$J6178-$M6178-$N6178)</f>
      </c>
    </row>
    <row r="6179">
      <c r="A6179"/>
      <c r="B6179">
        <v>13</v>
      </c>
      <c r="C6179" s="43">
        <f>INDEX(DarlObj,13)</f>
      </c>
      <c r="D6179">
        <v>416</v>
      </c>
      <c r="E6179" s="51">
        <f>IF(INDEX(DarlBelegt,13)=0,0,EOMONTH(INDEX(DarlAuszahlung,13),415)+1)</f>
      </c>
      <c r="F6179" s="43">
        <f>IF($E6179=0,0,YEAR($E6179))</f>
      </c>
      <c r="G6179" s="43">
        <f>IF(INDEX(DarlBindung,13)="",1,IF($E6179&lt;=INDEX(DarlBindung,13),1,0))</f>
      </c>
      <c r="H6179" s="43">
        <f>IF($G6179=1,INDEX(DarlSollzins,13),INDEX(DarlAnschluss,13))</f>
      </c>
      <c r="I6179" s="43">
        <f>IF(INDEX(DarlBelegt,13)=0,0,IF(INDEX(DarlOhneTilgung,13)=1,IF(INDEX(DarlBindung,13)="",1,$G6179),IF($J6179&gt;0.005,1,0)))</f>
      </c>
      <c r="J6179" s="43">
        <f>IF($I6178=0,0,$R6178)</f>
      </c>
      <c r="K6179" s="43">
        <f>IF($I6179=0,0,IF(INDEX(DarlOhneTilgung,13)=1,0,IF(AND(INDEX(DarlTilgStart,13)&gt;0,$E6179=INDEX(DarlTilgStart,13)),$J6179*($H6179+INDEX(DarlTilgung,13))/100/12,IF(AND($G6179=0,$G6178=1),MAX($K6178,$J6179*($H6179+1)/100/12),$K6178))))</f>
      </c>
      <c r="L6179" s="43">
        <f>IF($I6179=0,0,$J6179*$H6179/100/12)</f>
      </c>
      <c r="M6179" s="43">
        <f>IF($I6179=0,0,IF(OR(INDEX(DarlOhneTilgung,13)=1,AND(INDEX(DarlTilgStart,13)&gt;0,$E6179&lt;INDEX(DarlTilgStart,13))),0,MIN(MAX(0,$K6179-$L6179),$J6179)))</f>
      </c>
      <c r="N6179" s="43">
        <f>IF($I6179=0,0,MIN(SUMIFS(SondBetrag,SondDarl,13,SondDatum,"&gt;="&amp;$E6179,SondDatum,"&lt;="&amp;EOMONTH($E6179,0)),$J6179-$M6179))</f>
      </c>
      <c r="O6179" s="43">
        <f>IF($I6179=0,0,INDEX(DarlErsatzRate,13))</f>
      </c>
      <c r="P6179" s="43">
        <f>IF($I6179=0,0,$Q6178*INDEX(DarlErsatzZins,13))</f>
      </c>
      <c r="Q6179" s="43">
        <f>IF($I6179=0,0,$Q6178+$P6179+$O6179)</f>
      </c>
      <c r="R6179" s="43">
        <f>IF($I6179=0,0,$J6179-$M6179-$N6179)</f>
      </c>
    </row>
    <row r="6180">
      <c r="A6180"/>
      <c r="B6180">
        <v>13</v>
      </c>
      <c r="C6180" s="43">
        <f>INDEX(DarlObj,13)</f>
      </c>
      <c r="D6180">
        <v>417</v>
      </c>
      <c r="E6180" s="51">
        <f>IF(INDEX(DarlBelegt,13)=0,0,EOMONTH(INDEX(DarlAuszahlung,13),416)+1)</f>
      </c>
      <c r="F6180" s="43">
        <f>IF($E6180=0,0,YEAR($E6180))</f>
      </c>
      <c r="G6180" s="43">
        <f>IF(INDEX(DarlBindung,13)="",1,IF($E6180&lt;=INDEX(DarlBindung,13),1,0))</f>
      </c>
      <c r="H6180" s="43">
        <f>IF($G6180=1,INDEX(DarlSollzins,13),INDEX(DarlAnschluss,13))</f>
      </c>
      <c r="I6180" s="43">
        <f>IF(INDEX(DarlBelegt,13)=0,0,IF(INDEX(DarlOhneTilgung,13)=1,IF(INDEX(DarlBindung,13)="",1,$G6180),IF($J6180&gt;0.005,1,0)))</f>
      </c>
      <c r="J6180" s="43">
        <f>IF($I6179=0,0,$R6179)</f>
      </c>
      <c r="K6180" s="43">
        <f>IF($I6180=0,0,IF(INDEX(DarlOhneTilgung,13)=1,0,IF(AND(INDEX(DarlTilgStart,13)&gt;0,$E6180=INDEX(DarlTilgStart,13)),$J6180*($H6180+INDEX(DarlTilgung,13))/100/12,IF(AND($G6180=0,$G6179=1),MAX($K6179,$J6180*($H6180+1)/100/12),$K6179))))</f>
      </c>
      <c r="L6180" s="43">
        <f>IF($I6180=0,0,$J6180*$H6180/100/12)</f>
      </c>
      <c r="M6180" s="43">
        <f>IF($I6180=0,0,IF(OR(INDEX(DarlOhneTilgung,13)=1,AND(INDEX(DarlTilgStart,13)&gt;0,$E6180&lt;INDEX(DarlTilgStart,13))),0,MIN(MAX(0,$K6180-$L6180),$J6180)))</f>
      </c>
      <c r="N6180" s="43">
        <f>IF($I6180=0,0,MIN(SUMIFS(SondBetrag,SondDarl,13,SondDatum,"&gt;="&amp;$E6180,SondDatum,"&lt;="&amp;EOMONTH($E6180,0)),$J6180-$M6180))</f>
      </c>
      <c r="O6180" s="43">
        <f>IF($I6180=0,0,INDEX(DarlErsatzRate,13))</f>
      </c>
      <c r="P6180" s="43">
        <f>IF($I6180=0,0,$Q6179*INDEX(DarlErsatzZins,13))</f>
      </c>
      <c r="Q6180" s="43">
        <f>IF($I6180=0,0,$Q6179+$P6180+$O6180)</f>
      </c>
      <c r="R6180" s="43">
        <f>IF($I6180=0,0,$J6180-$M6180-$N6180)</f>
      </c>
    </row>
    <row r="6181">
      <c r="A6181"/>
      <c r="B6181">
        <v>13</v>
      </c>
      <c r="C6181" s="43">
        <f>INDEX(DarlObj,13)</f>
      </c>
      <c r="D6181">
        <v>418</v>
      </c>
      <c r="E6181" s="51">
        <f>IF(INDEX(DarlBelegt,13)=0,0,EOMONTH(INDEX(DarlAuszahlung,13),417)+1)</f>
      </c>
      <c r="F6181" s="43">
        <f>IF($E6181=0,0,YEAR($E6181))</f>
      </c>
      <c r="G6181" s="43">
        <f>IF(INDEX(DarlBindung,13)="",1,IF($E6181&lt;=INDEX(DarlBindung,13),1,0))</f>
      </c>
      <c r="H6181" s="43">
        <f>IF($G6181=1,INDEX(DarlSollzins,13),INDEX(DarlAnschluss,13))</f>
      </c>
      <c r="I6181" s="43">
        <f>IF(INDEX(DarlBelegt,13)=0,0,IF(INDEX(DarlOhneTilgung,13)=1,IF(INDEX(DarlBindung,13)="",1,$G6181),IF($J6181&gt;0.005,1,0)))</f>
      </c>
      <c r="J6181" s="43">
        <f>IF($I6180=0,0,$R6180)</f>
      </c>
      <c r="K6181" s="43">
        <f>IF($I6181=0,0,IF(INDEX(DarlOhneTilgung,13)=1,0,IF(AND(INDEX(DarlTilgStart,13)&gt;0,$E6181=INDEX(DarlTilgStart,13)),$J6181*($H6181+INDEX(DarlTilgung,13))/100/12,IF(AND($G6181=0,$G6180=1),MAX($K6180,$J6181*($H6181+1)/100/12),$K6180))))</f>
      </c>
      <c r="L6181" s="43">
        <f>IF($I6181=0,0,$J6181*$H6181/100/12)</f>
      </c>
      <c r="M6181" s="43">
        <f>IF($I6181=0,0,IF(OR(INDEX(DarlOhneTilgung,13)=1,AND(INDEX(DarlTilgStart,13)&gt;0,$E6181&lt;INDEX(DarlTilgStart,13))),0,MIN(MAX(0,$K6181-$L6181),$J6181)))</f>
      </c>
      <c r="N6181" s="43">
        <f>IF($I6181=0,0,MIN(SUMIFS(SondBetrag,SondDarl,13,SondDatum,"&gt;="&amp;$E6181,SondDatum,"&lt;="&amp;EOMONTH($E6181,0)),$J6181-$M6181))</f>
      </c>
      <c r="O6181" s="43">
        <f>IF($I6181=0,0,INDEX(DarlErsatzRate,13))</f>
      </c>
      <c r="P6181" s="43">
        <f>IF($I6181=0,0,$Q6180*INDEX(DarlErsatzZins,13))</f>
      </c>
      <c r="Q6181" s="43">
        <f>IF($I6181=0,0,$Q6180+$P6181+$O6181)</f>
      </c>
      <c r="R6181" s="43">
        <f>IF($I6181=0,0,$J6181-$M6181-$N6181)</f>
      </c>
    </row>
    <row r="6182">
      <c r="A6182"/>
      <c r="B6182">
        <v>13</v>
      </c>
      <c r="C6182" s="43">
        <f>INDEX(DarlObj,13)</f>
      </c>
      <c r="D6182">
        <v>419</v>
      </c>
      <c r="E6182" s="51">
        <f>IF(INDEX(DarlBelegt,13)=0,0,EOMONTH(INDEX(DarlAuszahlung,13),418)+1)</f>
      </c>
      <c r="F6182" s="43">
        <f>IF($E6182=0,0,YEAR($E6182))</f>
      </c>
      <c r="G6182" s="43">
        <f>IF(INDEX(DarlBindung,13)="",1,IF($E6182&lt;=INDEX(DarlBindung,13),1,0))</f>
      </c>
      <c r="H6182" s="43">
        <f>IF($G6182=1,INDEX(DarlSollzins,13),INDEX(DarlAnschluss,13))</f>
      </c>
      <c r="I6182" s="43">
        <f>IF(INDEX(DarlBelegt,13)=0,0,IF(INDEX(DarlOhneTilgung,13)=1,IF(INDEX(DarlBindung,13)="",1,$G6182),IF($J6182&gt;0.005,1,0)))</f>
      </c>
      <c r="J6182" s="43">
        <f>IF($I6181=0,0,$R6181)</f>
      </c>
      <c r="K6182" s="43">
        <f>IF($I6182=0,0,IF(INDEX(DarlOhneTilgung,13)=1,0,IF(AND(INDEX(DarlTilgStart,13)&gt;0,$E6182=INDEX(DarlTilgStart,13)),$J6182*($H6182+INDEX(DarlTilgung,13))/100/12,IF(AND($G6182=0,$G6181=1),MAX($K6181,$J6182*($H6182+1)/100/12),$K6181))))</f>
      </c>
      <c r="L6182" s="43">
        <f>IF($I6182=0,0,$J6182*$H6182/100/12)</f>
      </c>
      <c r="M6182" s="43">
        <f>IF($I6182=0,0,IF(OR(INDEX(DarlOhneTilgung,13)=1,AND(INDEX(DarlTilgStart,13)&gt;0,$E6182&lt;INDEX(DarlTilgStart,13))),0,MIN(MAX(0,$K6182-$L6182),$J6182)))</f>
      </c>
      <c r="N6182" s="43">
        <f>IF($I6182=0,0,MIN(SUMIFS(SondBetrag,SondDarl,13,SondDatum,"&gt;="&amp;$E6182,SondDatum,"&lt;="&amp;EOMONTH($E6182,0)),$J6182-$M6182))</f>
      </c>
      <c r="O6182" s="43">
        <f>IF($I6182=0,0,INDEX(DarlErsatzRate,13))</f>
      </c>
      <c r="P6182" s="43">
        <f>IF($I6182=0,0,$Q6181*INDEX(DarlErsatzZins,13))</f>
      </c>
      <c r="Q6182" s="43">
        <f>IF($I6182=0,0,$Q6181+$P6182+$O6182)</f>
      </c>
      <c r="R6182" s="43">
        <f>IF($I6182=0,0,$J6182-$M6182-$N6182)</f>
      </c>
    </row>
    <row r="6183">
      <c r="A6183"/>
      <c r="B6183">
        <v>13</v>
      </c>
      <c r="C6183" s="43">
        <f>INDEX(DarlObj,13)</f>
      </c>
      <c r="D6183">
        <v>420</v>
      </c>
      <c r="E6183" s="51">
        <f>IF(INDEX(DarlBelegt,13)=0,0,EOMONTH(INDEX(DarlAuszahlung,13),419)+1)</f>
      </c>
      <c r="F6183" s="43">
        <f>IF($E6183=0,0,YEAR($E6183))</f>
      </c>
      <c r="G6183" s="43">
        <f>IF(INDEX(DarlBindung,13)="",1,IF($E6183&lt;=INDEX(DarlBindung,13),1,0))</f>
      </c>
      <c r="H6183" s="43">
        <f>IF($G6183=1,INDEX(DarlSollzins,13),INDEX(DarlAnschluss,13))</f>
      </c>
      <c r="I6183" s="43">
        <f>IF(INDEX(DarlBelegt,13)=0,0,IF(INDEX(DarlOhneTilgung,13)=1,IF(INDEX(DarlBindung,13)="",1,$G6183),IF($J6183&gt;0.005,1,0)))</f>
      </c>
      <c r="J6183" s="43">
        <f>IF($I6182=0,0,$R6182)</f>
      </c>
      <c r="K6183" s="43">
        <f>IF($I6183=0,0,IF(INDEX(DarlOhneTilgung,13)=1,0,IF(AND(INDEX(DarlTilgStart,13)&gt;0,$E6183=INDEX(DarlTilgStart,13)),$J6183*($H6183+INDEX(DarlTilgung,13))/100/12,IF(AND($G6183=0,$G6182=1),MAX($K6182,$J6183*($H6183+1)/100/12),$K6182))))</f>
      </c>
      <c r="L6183" s="43">
        <f>IF($I6183=0,0,$J6183*$H6183/100/12)</f>
      </c>
      <c r="M6183" s="43">
        <f>IF($I6183=0,0,IF(OR(INDEX(DarlOhneTilgung,13)=1,AND(INDEX(DarlTilgStart,13)&gt;0,$E6183&lt;INDEX(DarlTilgStart,13))),0,MIN(MAX(0,$K6183-$L6183),$J6183)))</f>
      </c>
      <c r="N6183" s="43">
        <f>IF($I6183=0,0,MIN(SUMIFS(SondBetrag,SondDarl,13,SondDatum,"&gt;="&amp;$E6183,SondDatum,"&lt;="&amp;EOMONTH($E6183,0)),$J6183-$M6183))</f>
      </c>
      <c r="O6183" s="43">
        <f>IF($I6183=0,0,INDEX(DarlErsatzRate,13))</f>
      </c>
      <c r="P6183" s="43">
        <f>IF($I6183=0,0,$Q6182*INDEX(DarlErsatzZins,13))</f>
      </c>
      <c r="Q6183" s="43">
        <f>IF($I6183=0,0,$Q6182+$P6183+$O6183)</f>
      </c>
      <c r="R6183" s="43">
        <f>IF($I6183=0,0,$J6183-$M6183-$N6183)</f>
      </c>
    </row>
    <row r="6184">
      <c r="A6184"/>
      <c r="B6184">
        <v>13</v>
      </c>
      <c r="C6184" s="43">
        <f>INDEX(DarlObj,13)</f>
      </c>
      <c r="D6184">
        <v>421</v>
      </c>
      <c r="E6184" s="51">
        <f>IF(INDEX(DarlBelegt,13)=0,0,EOMONTH(INDEX(DarlAuszahlung,13),420)+1)</f>
      </c>
      <c r="F6184" s="43">
        <f>IF($E6184=0,0,YEAR($E6184))</f>
      </c>
      <c r="G6184" s="43">
        <f>IF(INDEX(DarlBindung,13)="",1,IF($E6184&lt;=INDEX(DarlBindung,13),1,0))</f>
      </c>
      <c r="H6184" s="43">
        <f>IF($G6184=1,INDEX(DarlSollzins,13),INDEX(DarlAnschluss,13))</f>
      </c>
      <c r="I6184" s="43">
        <f>IF(INDEX(DarlBelegt,13)=0,0,IF(INDEX(DarlOhneTilgung,13)=1,IF(INDEX(DarlBindung,13)="",1,$G6184),IF($J6184&gt;0.005,1,0)))</f>
      </c>
      <c r="J6184" s="43">
        <f>IF($I6183=0,0,$R6183)</f>
      </c>
      <c r="K6184" s="43">
        <f>IF($I6184=0,0,IF(INDEX(DarlOhneTilgung,13)=1,0,IF(AND(INDEX(DarlTilgStart,13)&gt;0,$E6184=INDEX(DarlTilgStart,13)),$J6184*($H6184+INDEX(DarlTilgung,13))/100/12,IF(AND($G6184=0,$G6183=1),MAX($K6183,$J6184*($H6184+1)/100/12),$K6183))))</f>
      </c>
      <c r="L6184" s="43">
        <f>IF($I6184=0,0,$J6184*$H6184/100/12)</f>
      </c>
      <c r="M6184" s="43">
        <f>IF($I6184=0,0,IF(OR(INDEX(DarlOhneTilgung,13)=1,AND(INDEX(DarlTilgStart,13)&gt;0,$E6184&lt;INDEX(DarlTilgStart,13))),0,MIN(MAX(0,$K6184-$L6184),$J6184)))</f>
      </c>
      <c r="N6184" s="43">
        <f>IF($I6184=0,0,MIN(SUMIFS(SondBetrag,SondDarl,13,SondDatum,"&gt;="&amp;$E6184,SondDatum,"&lt;="&amp;EOMONTH($E6184,0)),$J6184-$M6184))</f>
      </c>
      <c r="O6184" s="43">
        <f>IF($I6184=0,0,INDEX(DarlErsatzRate,13))</f>
      </c>
      <c r="P6184" s="43">
        <f>IF($I6184=0,0,$Q6183*INDEX(DarlErsatzZins,13))</f>
      </c>
      <c r="Q6184" s="43">
        <f>IF($I6184=0,0,$Q6183+$P6184+$O6184)</f>
      </c>
      <c r="R6184" s="43">
        <f>IF($I6184=0,0,$J6184-$M6184-$N6184)</f>
      </c>
    </row>
    <row r="6185">
      <c r="A6185"/>
      <c r="B6185">
        <v>13</v>
      </c>
      <c r="C6185" s="43">
        <f>INDEX(DarlObj,13)</f>
      </c>
      <c r="D6185">
        <v>422</v>
      </c>
      <c r="E6185" s="51">
        <f>IF(INDEX(DarlBelegt,13)=0,0,EOMONTH(INDEX(DarlAuszahlung,13),421)+1)</f>
      </c>
      <c r="F6185" s="43">
        <f>IF($E6185=0,0,YEAR($E6185))</f>
      </c>
      <c r="G6185" s="43">
        <f>IF(INDEX(DarlBindung,13)="",1,IF($E6185&lt;=INDEX(DarlBindung,13),1,0))</f>
      </c>
      <c r="H6185" s="43">
        <f>IF($G6185=1,INDEX(DarlSollzins,13),INDEX(DarlAnschluss,13))</f>
      </c>
      <c r="I6185" s="43">
        <f>IF(INDEX(DarlBelegt,13)=0,0,IF(INDEX(DarlOhneTilgung,13)=1,IF(INDEX(DarlBindung,13)="",1,$G6185),IF($J6185&gt;0.005,1,0)))</f>
      </c>
      <c r="J6185" s="43">
        <f>IF($I6184=0,0,$R6184)</f>
      </c>
      <c r="K6185" s="43">
        <f>IF($I6185=0,0,IF(INDEX(DarlOhneTilgung,13)=1,0,IF(AND(INDEX(DarlTilgStart,13)&gt;0,$E6185=INDEX(DarlTilgStart,13)),$J6185*($H6185+INDEX(DarlTilgung,13))/100/12,IF(AND($G6185=0,$G6184=1),MAX($K6184,$J6185*($H6185+1)/100/12),$K6184))))</f>
      </c>
      <c r="L6185" s="43">
        <f>IF($I6185=0,0,$J6185*$H6185/100/12)</f>
      </c>
      <c r="M6185" s="43">
        <f>IF($I6185=0,0,IF(OR(INDEX(DarlOhneTilgung,13)=1,AND(INDEX(DarlTilgStart,13)&gt;0,$E6185&lt;INDEX(DarlTilgStart,13))),0,MIN(MAX(0,$K6185-$L6185),$J6185)))</f>
      </c>
      <c r="N6185" s="43">
        <f>IF($I6185=0,0,MIN(SUMIFS(SondBetrag,SondDarl,13,SondDatum,"&gt;="&amp;$E6185,SondDatum,"&lt;="&amp;EOMONTH($E6185,0)),$J6185-$M6185))</f>
      </c>
      <c r="O6185" s="43">
        <f>IF($I6185=0,0,INDEX(DarlErsatzRate,13))</f>
      </c>
      <c r="P6185" s="43">
        <f>IF($I6185=0,0,$Q6184*INDEX(DarlErsatzZins,13))</f>
      </c>
      <c r="Q6185" s="43">
        <f>IF($I6185=0,0,$Q6184+$P6185+$O6185)</f>
      </c>
      <c r="R6185" s="43">
        <f>IF($I6185=0,0,$J6185-$M6185-$N6185)</f>
      </c>
    </row>
    <row r="6186">
      <c r="A6186"/>
      <c r="B6186">
        <v>13</v>
      </c>
      <c r="C6186" s="43">
        <f>INDEX(DarlObj,13)</f>
      </c>
      <c r="D6186">
        <v>423</v>
      </c>
      <c r="E6186" s="51">
        <f>IF(INDEX(DarlBelegt,13)=0,0,EOMONTH(INDEX(DarlAuszahlung,13),422)+1)</f>
      </c>
      <c r="F6186" s="43">
        <f>IF($E6186=0,0,YEAR($E6186))</f>
      </c>
      <c r="G6186" s="43">
        <f>IF(INDEX(DarlBindung,13)="",1,IF($E6186&lt;=INDEX(DarlBindung,13),1,0))</f>
      </c>
      <c r="H6186" s="43">
        <f>IF($G6186=1,INDEX(DarlSollzins,13),INDEX(DarlAnschluss,13))</f>
      </c>
      <c r="I6186" s="43">
        <f>IF(INDEX(DarlBelegt,13)=0,0,IF(INDEX(DarlOhneTilgung,13)=1,IF(INDEX(DarlBindung,13)="",1,$G6186),IF($J6186&gt;0.005,1,0)))</f>
      </c>
      <c r="J6186" s="43">
        <f>IF($I6185=0,0,$R6185)</f>
      </c>
      <c r="K6186" s="43">
        <f>IF($I6186=0,0,IF(INDEX(DarlOhneTilgung,13)=1,0,IF(AND(INDEX(DarlTilgStart,13)&gt;0,$E6186=INDEX(DarlTilgStart,13)),$J6186*($H6186+INDEX(DarlTilgung,13))/100/12,IF(AND($G6186=0,$G6185=1),MAX($K6185,$J6186*($H6186+1)/100/12),$K6185))))</f>
      </c>
      <c r="L6186" s="43">
        <f>IF($I6186=0,0,$J6186*$H6186/100/12)</f>
      </c>
      <c r="M6186" s="43">
        <f>IF($I6186=0,0,IF(OR(INDEX(DarlOhneTilgung,13)=1,AND(INDEX(DarlTilgStart,13)&gt;0,$E6186&lt;INDEX(DarlTilgStart,13))),0,MIN(MAX(0,$K6186-$L6186),$J6186)))</f>
      </c>
      <c r="N6186" s="43">
        <f>IF($I6186=0,0,MIN(SUMIFS(SondBetrag,SondDarl,13,SondDatum,"&gt;="&amp;$E6186,SondDatum,"&lt;="&amp;EOMONTH($E6186,0)),$J6186-$M6186))</f>
      </c>
      <c r="O6186" s="43">
        <f>IF($I6186=0,0,INDEX(DarlErsatzRate,13))</f>
      </c>
      <c r="P6186" s="43">
        <f>IF($I6186=0,0,$Q6185*INDEX(DarlErsatzZins,13))</f>
      </c>
      <c r="Q6186" s="43">
        <f>IF($I6186=0,0,$Q6185+$P6186+$O6186)</f>
      </c>
      <c r="R6186" s="43">
        <f>IF($I6186=0,0,$J6186-$M6186-$N6186)</f>
      </c>
    </row>
    <row r="6187">
      <c r="A6187"/>
      <c r="B6187">
        <v>13</v>
      </c>
      <c r="C6187" s="43">
        <f>INDEX(DarlObj,13)</f>
      </c>
      <c r="D6187">
        <v>424</v>
      </c>
      <c r="E6187" s="51">
        <f>IF(INDEX(DarlBelegt,13)=0,0,EOMONTH(INDEX(DarlAuszahlung,13),423)+1)</f>
      </c>
      <c r="F6187" s="43">
        <f>IF($E6187=0,0,YEAR($E6187))</f>
      </c>
      <c r="G6187" s="43">
        <f>IF(INDEX(DarlBindung,13)="",1,IF($E6187&lt;=INDEX(DarlBindung,13),1,0))</f>
      </c>
      <c r="H6187" s="43">
        <f>IF($G6187=1,INDEX(DarlSollzins,13),INDEX(DarlAnschluss,13))</f>
      </c>
      <c r="I6187" s="43">
        <f>IF(INDEX(DarlBelegt,13)=0,0,IF(INDEX(DarlOhneTilgung,13)=1,IF(INDEX(DarlBindung,13)="",1,$G6187),IF($J6187&gt;0.005,1,0)))</f>
      </c>
      <c r="J6187" s="43">
        <f>IF($I6186=0,0,$R6186)</f>
      </c>
      <c r="K6187" s="43">
        <f>IF($I6187=0,0,IF(INDEX(DarlOhneTilgung,13)=1,0,IF(AND(INDEX(DarlTilgStart,13)&gt;0,$E6187=INDEX(DarlTilgStart,13)),$J6187*($H6187+INDEX(DarlTilgung,13))/100/12,IF(AND($G6187=0,$G6186=1),MAX($K6186,$J6187*($H6187+1)/100/12),$K6186))))</f>
      </c>
      <c r="L6187" s="43">
        <f>IF($I6187=0,0,$J6187*$H6187/100/12)</f>
      </c>
      <c r="M6187" s="43">
        <f>IF($I6187=0,0,IF(OR(INDEX(DarlOhneTilgung,13)=1,AND(INDEX(DarlTilgStart,13)&gt;0,$E6187&lt;INDEX(DarlTilgStart,13))),0,MIN(MAX(0,$K6187-$L6187),$J6187)))</f>
      </c>
      <c r="N6187" s="43">
        <f>IF($I6187=0,0,MIN(SUMIFS(SondBetrag,SondDarl,13,SondDatum,"&gt;="&amp;$E6187,SondDatum,"&lt;="&amp;EOMONTH($E6187,0)),$J6187-$M6187))</f>
      </c>
      <c r="O6187" s="43">
        <f>IF($I6187=0,0,INDEX(DarlErsatzRate,13))</f>
      </c>
      <c r="P6187" s="43">
        <f>IF($I6187=0,0,$Q6186*INDEX(DarlErsatzZins,13))</f>
      </c>
      <c r="Q6187" s="43">
        <f>IF($I6187=0,0,$Q6186+$P6187+$O6187)</f>
      </c>
      <c r="R6187" s="43">
        <f>IF($I6187=0,0,$J6187-$M6187-$N6187)</f>
      </c>
    </row>
    <row r="6188">
      <c r="A6188"/>
      <c r="B6188">
        <v>13</v>
      </c>
      <c r="C6188" s="43">
        <f>INDEX(DarlObj,13)</f>
      </c>
      <c r="D6188">
        <v>425</v>
      </c>
      <c r="E6188" s="51">
        <f>IF(INDEX(DarlBelegt,13)=0,0,EOMONTH(INDEX(DarlAuszahlung,13),424)+1)</f>
      </c>
      <c r="F6188" s="43">
        <f>IF($E6188=0,0,YEAR($E6188))</f>
      </c>
      <c r="G6188" s="43">
        <f>IF(INDEX(DarlBindung,13)="",1,IF($E6188&lt;=INDEX(DarlBindung,13),1,0))</f>
      </c>
      <c r="H6188" s="43">
        <f>IF($G6188=1,INDEX(DarlSollzins,13),INDEX(DarlAnschluss,13))</f>
      </c>
      <c r="I6188" s="43">
        <f>IF(INDEX(DarlBelegt,13)=0,0,IF(INDEX(DarlOhneTilgung,13)=1,IF(INDEX(DarlBindung,13)="",1,$G6188),IF($J6188&gt;0.005,1,0)))</f>
      </c>
      <c r="J6188" s="43">
        <f>IF($I6187=0,0,$R6187)</f>
      </c>
      <c r="K6188" s="43">
        <f>IF($I6188=0,0,IF(INDEX(DarlOhneTilgung,13)=1,0,IF(AND(INDEX(DarlTilgStart,13)&gt;0,$E6188=INDEX(DarlTilgStart,13)),$J6188*($H6188+INDEX(DarlTilgung,13))/100/12,IF(AND($G6188=0,$G6187=1),MAX($K6187,$J6188*($H6188+1)/100/12),$K6187))))</f>
      </c>
      <c r="L6188" s="43">
        <f>IF($I6188=0,0,$J6188*$H6188/100/12)</f>
      </c>
      <c r="M6188" s="43">
        <f>IF($I6188=0,0,IF(OR(INDEX(DarlOhneTilgung,13)=1,AND(INDEX(DarlTilgStart,13)&gt;0,$E6188&lt;INDEX(DarlTilgStart,13))),0,MIN(MAX(0,$K6188-$L6188),$J6188)))</f>
      </c>
      <c r="N6188" s="43">
        <f>IF($I6188=0,0,MIN(SUMIFS(SondBetrag,SondDarl,13,SondDatum,"&gt;="&amp;$E6188,SondDatum,"&lt;="&amp;EOMONTH($E6188,0)),$J6188-$M6188))</f>
      </c>
      <c r="O6188" s="43">
        <f>IF($I6188=0,0,INDEX(DarlErsatzRate,13))</f>
      </c>
      <c r="P6188" s="43">
        <f>IF($I6188=0,0,$Q6187*INDEX(DarlErsatzZins,13))</f>
      </c>
      <c r="Q6188" s="43">
        <f>IF($I6188=0,0,$Q6187+$P6188+$O6188)</f>
      </c>
      <c r="R6188" s="43">
        <f>IF($I6188=0,0,$J6188-$M6188-$N6188)</f>
      </c>
    </row>
    <row r="6189">
      <c r="A6189"/>
      <c r="B6189">
        <v>13</v>
      </c>
      <c r="C6189" s="43">
        <f>INDEX(DarlObj,13)</f>
      </c>
      <c r="D6189">
        <v>426</v>
      </c>
      <c r="E6189" s="51">
        <f>IF(INDEX(DarlBelegt,13)=0,0,EOMONTH(INDEX(DarlAuszahlung,13),425)+1)</f>
      </c>
      <c r="F6189" s="43">
        <f>IF($E6189=0,0,YEAR($E6189))</f>
      </c>
      <c r="G6189" s="43">
        <f>IF(INDEX(DarlBindung,13)="",1,IF($E6189&lt;=INDEX(DarlBindung,13),1,0))</f>
      </c>
      <c r="H6189" s="43">
        <f>IF($G6189=1,INDEX(DarlSollzins,13),INDEX(DarlAnschluss,13))</f>
      </c>
      <c r="I6189" s="43">
        <f>IF(INDEX(DarlBelegt,13)=0,0,IF(INDEX(DarlOhneTilgung,13)=1,IF(INDEX(DarlBindung,13)="",1,$G6189),IF($J6189&gt;0.005,1,0)))</f>
      </c>
      <c r="J6189" s="43">
        <f>IF($I6188=0,0,$R6188)</f>
      </c>
      <c r="K6189" s="43">
        <f>IF($I6189=0,0,IF(INDEX(DarlOhneTilgung,13)=1,0,IF(AND(INDEX(DarlTilgStart,13)&gt;0,$E6189=INDEX(DarlTilgStart,13)),$J6189*($H6189+INDEX(DarlTilgung,13))/100/12,IF(AND($G6189=0,$G6188=1),MAX($K6188,$J6189*($H6189+1)/100/12),$K6188))))</f>
      </c>
      <c r="L6189" s="43">
        <f>IF($I6189=0,0,$J6189*$H6189/100/12)</f>
      </c>
      <c r="M6189" s="43">
        <f>IF($I6189=0,0,IF(OR(INDEX(DarlOhneTilgung,13)=1,AND(INDEX(DarlTilgStart,13)&gt;0,$E6189&lt;INDEX(DarlTilgStart,13))),0,MIN(MAX(0,$K6189-$L6189),$J6189)))</f>
      </c>
      <c r="N6189" s="43">
        <f>IF($I6189=0,0,MIN(SUMIFS(SondBetrag,SondDarl,13,SondDatum,"&gt;="&amp;$E6189,SondDatum,"&lt;="&amp;EOMONTH($E6189,0)),$J6189-$M6189))</f>
      </c>
      <c r="O6189" s="43">
        <f>IF($I6189=0,0,INDEX(DarlErsatzRate,13))</f>
      </c>
      <c r="P6189" s="43">
        <f>IF($I6189=0,0,$Q6188*INDEX(DarlErsatzZins,13))</f>
      </c>
      <c r="Q6189" s="43">
        <f>IF($I6189=0,0,$Q6188+$P6189+$O6189)</f>
      </c>
      <c r="R6189" s="43">
        <f>IF($I6189=0,0,$J6189-$M6189-$N6189)</f>
      </c>
    </row>
    <row r="6190">
      <c r="A6190"/>
      <c r="B6190">
        <v>13</v>
      </c>
      <c r="C6190" s="43">
        <f>INDEX(DarlObj,13)</f>
      </c>
      <c r="D6190">
        <v>427</v>
      </c>
      <c r="E6190" s="51">
        <f>IF(INDEX(DarlBelegt,13)=0,0,EOMONTH(INDEX(DarlAuszahlung,13),426)+1)</f>
      </c>
      <c r="F6190" s="43">
        <f>IF($E6190=0,0,YEAR($E6190))</f>
      </c>
      <c r="G6190" s="43">
        <f>IF(INDEX(DarlBindung,13)="",1,IF($E6190&lt;=INDEX(DarlBindung,13),1,0))</f>
      </c>
      <c r="H6190" s="43">
        <f>IF($G6190=1,INDEX(DarlSollzins,13),INDEX(DarlAnschluss,13))</f>
      </c>
      <c r="I6190" s="43">
        <f>IF(INDEX(DarlBelegt,13)=0,0,IF(INDEX(DarlOhneTilgung,13)=1,IF(INDEX(DarlBindung,13)="",1,$G6190),IF($J6190&gt;0.005,1,0)))</f>
      </c>
      <c r="J6190" s="43">
        <f>IF($I6189=0,0,$R6189)</f>
      </c>
      <c r="K6190" s="43">
        <f>IF($I6190=0,0,IF(INDEX(DarlOhneTilgung,13)=1,0,IF(AND(INDEX(DarlTilgStart,13)&gt;0,$E6190=INDEX(DarlTilgStart,13)),$J6190*($H6190+INDEX(DarlTilgung,13))/100/12,IF(AND($G6190=0,$G6189=1),MAX($K6189,$J6190*($H6190+1)/100/12),$K6189))))</f>
      </c>
      <c r="L6190" s="43">
        <f>IF($I6190=0,0,$J6190*$H6190/100/12)</f>
      </c>
      <c r="M6190" s="43">
        <f>IF($I6190=0,0,IF(OR(INDEX(DarlOhneTilgung,13)=1,AND(INDEX(DarlTilgStart,13)&gt;0,$E6190&lt;INDEX(DarlTilgStart,13))),0,MIN(MAX(0,$K6190-$L6190),$J6190)))</f>
      </c>
      <c r="N6190" s="43">
        <f>IF($I6190=0,0,MIN(SUMIFS(SondBetrag,SondDarl,13,SondDatum,"&gt;="&amp;$E6190,SondDatum,"&lt;="&amp;EOMONTH($E6190,0)),$J6190-$M6190))</f>
      </c>
      <c r="O6190" s="43">
        <f>IF($I6190=0,0,INDEX(DarlErsatzRate,13))</f>
      </c>
      <c r="P6190" s="43">
        <f>IF($I6190=0,0,$Q6189*INDEX(DarlErsatzZins,13))</f>
      </c>
      <c r="Q6190" s="43">
        <f>IF($I6190=0,0,$Q6189+$P6190+$O6190)</f>
      </c>
      <c r="R6190" s="43">
        <f>IF($I6190=0,0,$J6190-$M6190-$N6190)</f>
      </c>
    </row>
    <row r="6191">
      <c r="A6191"/>
      <c r="B6191">
        <v>13</v>
      </c>
      <c r="C6191" s="43">
        <f>INDEX(DarlObj,13)</f>
      </c>
      <c r="D6191">
        <v>428</v>
      </c>
      <c r="E6191" s="51">
        <f>IF(INDEX(DarlBelegt,13)=0,0,EOMONTH(INDEX(DarlAuszahlung,13),427)+1)</f>
      </c>
      <c r="F6191" s="43">
        <f>IF($E6191=0,0,YEAR($E6191))</f>
      </c>
      <c r="G6191" s="43">
        <f>IF(INDEX(DarlBindung,13)="",1,IF($E6191&lt;=INDEX(DarlBindung,13),1,0))</f>
      </c>
      <c r="H6191" s="43">
        <f>IF($G6191=1,INDEX(DarlSollzins,13),INDEX(DarlAnschluss,13))</f>
      </c>
      <c r="I6191" s="43">
        <f>IF(INDEX(DarlBelegt,13)=0,0,IF(INDEX(DarlOhneTilgung,13)=1,IF(INDEX(DarlBindung,13)="",1,$G6191),IF($J6191&gt;0.005,1,0)))</f>
      </c>
      <c r="J6191" s="43">
        <f>IF($I6190=0,0,$R6190)</f>
      </c>
      <c r="K6191" s="43">
        <f>IF($I6191=0,0,IF(INDEX(DarlOhneTilgung,13)=1,0,IF(AND(INDEX(DarlTilgStart,13)&gt;0,$E6191=INDEX(DarlTilgStart,13)),$J6191*($H6191+INDEX(DarlTilgung,13))/100/12,IF(AND($G6191=0,$G6190=1),MAX($K6190,$J6191*($H6191+1)/100/12),$K6190))))</f>
      </c>
      <c r="L6191" s="43">
        <f>IF($I6191=0,0,$J6191*$H6191/100/12)</f>
      </c>
      <c r="M6191" s="43">
        <f>IF($I6191=0,0,IF(OR(INDEX(DarlOhneTilgung,13)=1,AND(INDEX(DarlTilgStart,13)&gt;0,$E6191&lt;INDEX(DarlTilgStart,13))),0,MIN(MAX(0,$K6191-$L6191),$J6191)))</f>
      </c>
      <c r="N6191" s="43">
        <f>IF($I6191=0,0,MIN(SUMIFS(SondBetrag,SondDarl,13,SondDatum,"&gt;="&amp;$E6191,SondDatum,"&lt;="&amp;EOMONTH($E6191,0)),$J6191-$M6191))</f>
      </c>
      <c r="O6191" s="43">
        <f>IF($I6191=0,0,INDEX(DarlErsatzRate,13))</f>
      </c>
      <c r="P6191" s="43">
        <f>IF($I6191=0,0,$Q6190*INDEX(DarlErsatzZins,13))</f>
      </c>
      <c r="Q6191" s="43">
        <f>IF($I6191=0,0,$Q6190+$P6191+$O6191)</f>
      </c>
      <c r="R6191" s="43">
        <f>IF($I6191=0,0,$J6191-$M6191-$N6191)</f>
      </c>
    </row>
    <row r="6192">
      <c r="A6192"/>
      <c r="B6192">
        <v>13</v>
      </c>
      <c r="C6192" s="43">
        <f>INDEX(DarlObj,13)</f>
      </c>
      <c r="D6192">
        <v>429</v>
      </c>
      <c r="E6192" s="51">
        <f>IF(INDEX(DarlBelegt,13)=0,0,EOMONTH(INDEX(DarlAuszahlung,13),428)+1)</f>
      </c>
      <c r="F6192" s="43">
        <f>IF($E6192=0,0,YEAR($E6192))</f>
      </c>
      <c r="G6192" s="43">
        <f>IF(INDEX(DarlBindung,13)="",1,IF($E6192&lt;=INDEX(DarlBindung,13),1,0))</f>
      </c>
      <c r="H6192" s="43">
        <f>IF($G6192=1,INDEX(DarlSollzins,13),INDEX(DarlAnschluss,13))</f>
      </c>
      <c r="I6192" s="43">
        <f>IF(INDEX(DarlBelegt,13)=0,0,IF(INDEX(DarlOhneTilgung,13)=1,IF(INDEX(DarlBindung,13)="",1,$G6192),IF($J6192&gt;0.005,1,0)))</f>
      </c>
      <c r="J6192" s="43">
        <f>IF($I6191=0,0,$R6191)</f>
      </c>
      <c r="K6192" s="43">
        <f>IF($I6192=0,0,IF(INDEX(DarlOhneTilgung,13)=1,0,IF(AND(INDEX(DarlTilgStart,13)&gt;0,$E6192=INDEX(DarlTilgStart,13)),$J6192*($H6192+INDEX(DarlTilgung,13))/100/12,IF(AND($G6192=0,$G6191=1),MAX($K6191,$J6192*($H6192+1)/100/12),$K6191))))</f>
      </c>
      <c r="L6192" s="43">
        <f>IF($I6192=0,0,$J6192*$H6192/100/12)</f>
      </c>
      <c r="M6192" s="43">
        <f>IF($I6192=0,0,IF(OR(INDEX(DarlOhneTilgung,13)=1,AND(INDEX(DarlTilgStart,13)&gt;0,$E6192&lt;INDEX(DarlTilgStart,13))),0,MIN(MAX(0,$K6192-$L6192),$J6192)))</f>
      </c>
      <c r="N6192" s="43">
        <f>IF($I6192=0,0,MIN(SUMIFS(SondBetrag,SondDarl,13,SondDatum,"&gt;="&amp;$E6192,SondDatum,"&lt;="&amp;EOMONTH($E6192,0)),$J6192-$M6192))</f>
      </c>
      <c r="O6192" s="43">
        <f>IF($I6192=0,0,INDEX(DarlErsatzRate,13))</f>
      </c>
      <c r="P6192" s="43">
        <f>IF($I6192=0,0,$Q6191*INDEX(DarlErsatzZins,13))</f>
      </c>
      <c r="Q6192" s="43">
        <f>IF($I6192=0,0,$Q6191+$P6192+$O6192)</f>
      </c>
      <c r="R6192" s="43">
        <f>IF($I6192=0,0,$J6192-$M6192-$N6192)</f>
      </c>
    </row>
    <row r="6193">
      <c r="A6193"/>
      <c r="B6193">
        <v>13</v>
      </c>
      <c r="C6193" s="43">
        <f>INDEX(DarlObj,13)</f>
      </c>
      <c r="D6193">
        <v>430</v>
      </c>
      <c r="E6193" s="51">
        <f>IF(INDEX(DarlBelegt,13)=0,0,EOMONTH(INDEX(DarlAuszahlung,13),429)+1)</f>
      </c>
      <c r="F6193" s="43">
        <f>IF($E6193=0,0,YEAR($E6193))</f>
      </c>
      <c r="G6193" s="43">
        <f>IF(INDEX(DarlBindung,13)="",1,IF($E6193&lt;=INDEX(DarlBindung,13),1,0))</f>
      </c>
      <c r="H6193" s="43">
        <f>IF($G6193=1,INDEX(DarlSollzins,13),INDEX(DarlAnschluss,13))</f>
      </c>
      <c r="I6193" s="43">
        <f>IF(INDEX(DarlBelegt,13)=0,0,IF(INDEX(DarlOhneTilgung,13)=1,IF(INDEX(DarlBindung,13)="",1,$G6193),IF($J6193&gt;0.005,1,0)))</f>
      </c>
      <c r="J6193" s="43">
        <f>IF($I6192=0,0,$R6192)</f>
      </c>
      <c r="K6193" s="43">
        <f>IF($I6193=0,0,IF(INDEX(DarlOhneTilgung,13)=1,0,IF(AND(INDEX(DarlTilgStart,13)&gt;0,$E6193=INDEX(DarlTilgStart,13)),$J6193*($H6193+INDEX(DarlTilgung,13))/100/12,IF(AND($G6193=0,$G6192=1),MAX($K6192,$J6193*($H6193+1)/100/12),$K6192))))</f>
      </c>
      <c r="L6193" s="43">
        <f>IF($I6193=0,0,$J6193*$H6193/100/12)</f>
      </c>
      <c r="M6193" s="43">
        <f>IF($I6193=0,0,IF(OR(INDEX(DarlOhneTilgung,13)=1,AND(INDEX(DarlTilgStart,13)&gt;0,$E6193&lt;INDEX(DarlTilgStart,13))),0,MIN(MAX(0,$K6193-$L6193),$J6193)))</f>
      </c>
      <c r="N6193" s="43">
        <f>IF($I6193=0,0,MIN(SUMIFS(SondBetrag,SondDarl,13,SondDatum,"&gt;="&amp;$E6193,SondDatum,"&lt;="&amp;EOMONTH($E6193,0)),$J6193-$M6193))</f>
      </c>
      <c r="O6193" s="43">
        <f>IF($I6193=0,0,INDEX(DarlErsatzRate,13))</f>
      </c>
      <c r="P6193" s="43">
        <f>IF($I6193=0,0,$Q6192*INDEX(DarlErsatzZins,13))</f>
      </c>
      <c r="Q6193" s="43">
        <f>IF($I6193=0,0,$Q6192+$P6193+$O6193)</f>
      </c>
      <c r="R6193" s="43">
        <f>IF($I6193=0,0,$J6193-$M6193-$N6193)</f>
      </c>
    </row>
    <row r="6194">
      <c r="A6194"/>
      <c r="B6194">
        <v>13</v>
      </c>
      <c r="C6194" s="43">
        <f>INDEX(DarlObj,13)</f>
      </c>
      <c r="D6194">
        <v>431</v>
      </c>
      <c r="E6194" s="51">
        <f>IF(INDEX(DarlBelegt,13)=0,0,EOMONTH(INDEX(DarlAuszahlung,13),430)+1)</f>
      </c>
      <c r="F6194" s="43">
        <f>IF($E6194=0,0,YEAR($E6194))</f>
      </c>
      <c r="G6194" s="43">
        <f>IF(INDEX(DarlBindung,13)="",1,IF($E6194&lt;=INDEX(DarlBindung,13),1,0))</f>
      </c>
      <c r="H6194" s="43">
        <f>IF($G6194=1,INDEX(DarlSollzins,13),INDEX(DarlAnschluss,13))</f>
      </c>
      <c r="I6194" s="43">
        <f>IF(INDEX(DarlBelegt,13)=0,0,IF(INDEX(DarlOhneTilgung,13)=1,IF(INDEX(DarlBindung,13)="",1,$G6194),IF($J6194&gt;0.005,1,0)))</f>
      </c>
      <c r="J6194" s="43">
        <f>IF($I6193=0,0,$R6193)</f>
      </c>
      <c r="K6194" s="43">
        <f>IF($I6194=0,0,IF(INDEX(DarlOhneTilgung,13)=1,0,IF(AND(INDEX(DarlTilgStart,13)&gt;0,$E6194=INDEX(DarlTilgStart,13)),$J6194*($H6194+INDEX(DarlTilgung,13))/100/12,IF(AND($G6194=0,$G6193=1),MAX($K6193,$J6194*($H6194+1)/100/12),$K6193))))</f>
      </c>
      <c r="L6194" s="43">
        <f>IF($I6194=0,0,$J6194*$H6194/100/12)</f>
      </c>
      <c r="M6194" s="43">
        <f>IF($I6194=0,0,IF(OR(INDEX(DarlOhneTilgung,13)=1,AND(INDEX(DarlTilgStart,13)&gt;0,$E6194&lt;INDEX(DarlTilgStart,13))),0,MIN(MAX(0,$K6194-$L6194),$J6194)))</f>
      </c>
      <c r="N6194" s="43">
        <f>IF($I6194=0,0,MIN(SUMIFS(SondBetrag,SondDarl,13,SondDatum,"&gt;="&amp;$E6194,SondDatum,"&lt;="&amp;EOMONTH($E6194,0)),$J6194-$M6194))</f>
      </c>
      <c r="O6194" s="43">
        <f>IF($I6194=0,0,INDEX(DarlErsatzRate,13))</f>
      </c>
      <c r="P6194" s="43">
        <f>IF($I6194=0,0,$Q6193*INDEX(DarlErsatzZins,13))</f>
      </c>
      <c r="Q6194" s="43">
        <f>IF($I6194=0,0,$Q6193+$P6194+$O6194)</f>
      </c>
      <c r="R6194" s="43">
        <f>IF($I6194=0,0,$J6194-$M6194-$N6194)</f>
      </c>
    </row>
    <row r="6195">
      <c r="A6195"/>
      <c r="B6195">
        <v>13</v>
      </c>
      <c r="C6195" s="43">
        <f>INDEX(DarlObj,13)</f>
      </c>
      <c r="D6195">
        <v>432</v>
      </c>
      <c r="E6195" s="51">
        <f>IF(INDEX(DarlBelegt,13)=0,0,EOMONTH(INDEX(DarlAuszahlung,13),431)+1)</f>
      </c>
      <c r="F6195" s="43">
        <f>IF($E6195=0,0,YEAR($E6195))</f>
      </c>
      <c r="G6195" s="43">
        <f>IF(INDEX(DarlBindung,13)="",1,IF($E6195&lt;=INDEX(DarlBindung,13),1,0))</f>
      </c>
      <c r="H6195" s="43">
        <f>IF($G6195=1,INDEX(DarlSollzins,13),INDEX(DarlAnschluss,13))</f>
      </c>
      <c r="I6195" s="43">
        <f>IF(INDEX(DarlBelegt,13)=0,0,IF(INDEX(DarlOhneTilgung,13)=1,IF(INDEX(DarlBindung,13)="",1,$G6195),IF($J6195&gt;0.005,1,0)))</f>
      </c>
      <c r="J6195" s="43">
        <f>IF($I6194=0,0,$R6194)</f>
      </c>
      <c r="K6195" s="43">
        <f>IF($I6195=0,0,IF(INDEX(DarlOhneTilgung,13)=1,0,IF(AND(INDEX(DarlTilgStart,13)&gt;0,$E6195=INDEX(DarlTilgStart,13)),$J6195*($H6195+INDEX(DarlTilgung,13))/100/12,IF(AND($G6195=0,$G6194=1),MAX($K6194,$J6195*($H6195+1)/100/12),$K6194))))</f>
      </c>
      <c r="L6195" s="43">
        <f>IF($I6195=0,0,$J6195*$H6195/100/12)</f>
      </c>
      <c r="M6195" s="43">
        <f>IF($I6195=0,0,IF(OR(INDEX(DarlOhneTilgung,13)=1,AND(INDEX(DarlTilgStart,13)&gt;0,$E6195&lt;INDEX(DarlTilgStart,13))),0,MIN(MAX(0,$K6195-$L6195),$J6195)))</f>
      </c>
      <c r="N6195" s="43">
        <f>IF($I6195=0,0,MIN(SUMIFS(SondBetrag,SondDarl,13,SondDatum,"&gt;="&amp;$E6195,SondDatum,"&lt;="&amp;EOMONTH($E6195,0)),$J6195-$M6195))</f>
      </c>
      <c r="O6195" s="43">
        <f>IF($I6195=0,0,INDEX(DarlErsatzRate,13))</f>
      </c>
      <c r="P6195" s="43">
        <f>IF($I6195=0,0,$Q6194*INDEX(DarlErsatzZins,13))</f>
      </c>
      <c r="Q6195" s="43">
        <f>IF($I6195=0,0,$Q6194+$P6195+$O6195)</f>
      </c>
      <c r="R6195" s="43">
        <f>IF($I6195=0,0,$J6195-$M6195-$N6195)</f>
      </c>
    </row>
    <row r="6196">
      <c r="A6196"/>
      <c r="B6196">
        <v>13</v>
      </c>
      <c r="C6196" s="43">
        <f>INDEX(DarlObj,13)</f>
      </c>
      <c r="D6196">
        <v>433</v>
      </c>
      <c r="E6196" s="51">
        <f>IF(INDEX(DarlBelegt,13)=0,0,EOMONTH(INDEX(DarlAuszahlung,13),432)+1)</f>
      </c>
      <c r="F6196" s="43">
        <f>IF($E6196=0,0,YEAR($E6196))</f>
      </c>
      <c r="G6196" s="43">
        <f>IF(INDEX(DarlBindung,13)="",1,IF($E6196&lt;=INDEX(DarlBindung,13),1,0))</f>
      </c>
      <c r="H6196" s="43">
        <f>IF($G6196=1,INDEX(DarlSollzins,13),INDEX(DarlAnschluss,13))</f>
      </c>
      <c r="I6196" s="43">
        <f>IF(INDEX(DarlBelegt,13)=0,0,IF(INDEX(DarlOhneTilgung,13)=1,IF(INDEX(DarlBindung,13)="",1,$G6196),IF($J6196&gt;0.005,1,0)))</f>
      </c>
      <c r="J6196" s="43">
        <f>IF($I6195=0,0,$R6195)</f>
      </c>
      <c r="K6196" s="43">
        <f>IF($I6196=0,0,IF(INDEX(DarlOhneTilgung,13)=1,0,IF(AND(INDEX(DarlTilgStart,13)&gt;0,$E6196=INDEX(DarlTilgStart,13)),$J6196*($H6196+INDEX(DarlTilgung,13))/100/12,IF(AND($G6196=0,$G6195=1),MAX($K6195,$J6196*($H6196+1)/100/12),$K6195))))</f>
      </c>
      <c r="L6196" s="43">
        <f>IF($I6196=0,0,$J6196*$H6196/100/12)</f>
      </c>
      <c r="M6196" s="43">
        <f>IF($I6196=0,0,IF(OR(INDEX(DarlOhneTilgung,13)=1,AND(INDEX(DarlTilgStart,13)&gt;0,$E6196&lt;INDEX(DarlTilgStart,13))),0,MIN(MAX(0,$K6196-$L6196),$J6196)))</f>
      </c>
      <c r="N6196" s="43">
        <f>IF($I6196=0,0,MIN(SUMIFS(SondBetrag,SondDarl,13,SondDatum,"&gt;="&amp;$E6196,SondDatum,"&lt;="&amp;EOMONTH($E6196,0)),$J6196-$M6196))</f>
      </c>
      <c r="O6196" s="43">
        <f>IF($I6196=0,0,INDEX(DarlErsatzRate,13))</f>
      </c>
      <c r="P6196" s="43">
        <f>IF($I6196=0,0,$Q6195*INDEX(DarlErsatzZins,13))</f>
      </c>
      <c r="Q6196" s="43">
        <f>IF($I6196=0,0,$Q6195+$P6196+$O6196)</f>
      </c>
      <c r="R6196" s="43">
        <f>IF($I6196=0,0,$J6196-$M6196-$N6196)</f>
      </c>
    </row>
    <row r="6197">
      <c r="A6197"/>
      <c r="B6197">
        <v>13</v>
      </c>
      <c r="C6197" s="43">
        <f>INDEX(DarlObj,13)</f>
      </c>
      <c r="D6197">
        <v>434</v>
      </c>
      <c r="E6197" s="51">
        <f>IF(INDEX(DarlBelegt,13)=0,0,EOMONTH(INDEX(DarlAuszahlung,13),433)+1)</f>
      </c>
      <c r="F6197" s="43">
        <f>IF($E6197=0,0,YEAR($E6197))</f>
      </c>
      <c r="G6197" s="43">
        <f>IF(INDEX(DarlBindung,13)="",1,IF($E6197&lt;=INDEX(DarlBindung,13),1,0))</f>
      </c>
      <c r="H6197" s="43">
        <f>IF($G6197=1,INDEX(DarlSollzins,13),INDEX(DarlAnschluss,13))</f>
      </c>
      <c r="I6197" s="43">
        <f>IF(INDEX(DarlBelegt,13)=0,0,IF(INDEX(DarlOhneTilgung,13)=1,IF(INDEX(DarlBindung,13)="",1,$G6197),IF($J6197&gt;0.005,1,0)))</f>
      </c>
      <c r="J6197" s="43">
        <f>IF($I6196=0,0,$R6196)</f>
      </c>
      <c r="K6197" s="43">
        <f>IF($I6197=0,0,IF(INDEX(DarlOhneTilgung,13)=1,0,IF(AND(INDEX(DarlTilgStart,13)&gt;0,$E6197=INDEX(DarlTilgStart,13)),$J6197*($H6197+INDEX(DarlTilgung,13))/100/12,IF(AND($G6197=0,$G6196=1),MAX($K6196,$J6197*($H6197+1)/100/12),$K6196))))</f>
      </c>
      <c r="L6197" s="43">
        <f>IF($I6197=0,0,$J6197*$H6197/100/12)</f>
      </c>
      <c r="M6197" s="43">
        <f>IF($I6197=0,0,IF(OR(INDEX(DarlOhneTilgung,13)=1,AND(INDEX(DarlTilgStart,13)&gt;0,$E6197&lt;INDEX(DarlTilgStart,13))),0,MIN(MAX(0,$K6197-$L6197),$J6197)))</f>
      </c>
      <c r="N6197" s="43">
        <f>IF($I6197=0,0,MIN(SUMIFS(SondBetrag,SondDarl,13,SondDatum,"&gt;="&amp;$E6197,SondDatum,"&lt;="&amp;EOMONTH($E6197,0)),$J6197-$M6197))</f>
      </c>
      <c r="O6197" s="43">
        <f>IF($I6197=0,0,INDEX(DarlErsatzRate,13))</f>
      </c>
      <c r="P6197" s="43">
        <f>IF($I6197=0,0,$Q6196*INDEX(DarlErsatzZins,13))</f>
      </c>
      <c r="Q6197" s="43">
        <f>IF($I6197=0,0,$Q6196+$P6197+$O6197)</f>
      </c>
      <c r="R6197" s="43">
        <f>IF($I6197=0,0,$J6197-$M6197-$N6197)</f>
      </c>
    </row>
    <row r="6198">
      <c r="A6198"/>
      <c r="B6198">
        <v>13</v>
      </c>
      <c r="C6198" s="43">
        <f>INDEX(DarlObj,13)</f>
      </c>
      <c r="D6198">
        <v>435</v>
      </c>
      <c r="E6198" s="51">
        <f>IF(INDEX(DarlBelegt,13)=0,0,EOMONTH(INDEX(DarlAuszahlung,13),434)+1)</f>
      </c>
      <c r="F6198" s="43">
        <f>IF($E6198=0,0,YEAR($E6198))</f>
      </c>
      <c r="G6198" s="43">
        <f>IF(INDEX(DarlBindung,13)="",1,IF($E6198&lt;=INDEX(DarlBindung,13),1,0))</f>
      </c>
      <c r="H6198" s="43">
        <f>IF($G6198=1,INDEX(DarlSollzins,13),INDEX(DarlAnschluss,13))</f>
      </c>
      <c r="I6198" s="43">
        <f>IF(INDEX(DarlBelegt,13)=0,0,IF(INDEX(DarlOhneTilgung,13)=1,IF(INDEX(DarlBindung,13)="",1,$G6198),IF($J6198&gt;0.005,1,0)))</f>
      </c>
      <c r="J6198" s="43">
        <f>IF($I6197=0,0,$R6197)</f>
      </c>
      <c r="K6198" s="43">
        <f>IF($I6198=0,0,IF(INDEX(DarlOhneTilgung,13)=1,0,IF(AND(INDEX(DarlTilgStart,13)&gt;0,$E6198=INDEX(DarlTilgStart,13)),$J6198*($H6198+INDEX(DarlTilgung,13))/100/12,IF(AND($G6198=0,$G6197=1),MAX($K6197,$J6198*($H6198+1)/100/12),$K6197))))</f>
      </c>
      <c r="L6198" s="43">
        <f>IF($I6198=0,0,$J6198*$H6198/100/12)</f>
      </c>
      <c r="M6198" s="43">
        <f>IF($I6198=0,0,IF(OR(INDEX(DarlOhneTilgung,13)=1,AND(INDEX(DarlTilgStart,13)&gt;0,$E6198&lt;INDEX(DarlTilgStart,13))),0,MIN(MAX(0,$K6198-$L6198),$J6198)))</f>
      </c>
      <c r="N6198" s="43">
        <f>IF($I6198=0,0,MIN(SUMIFS(SondBetrag,SondDarl,13,SondDatum,"&gt;="&amp;$E6198,SondDatum,"&lt;="&amp;EOMONTH($E6198,0)),$J6198-$M6198))</f>
      </c>
      <c r="O6198" s="43">
        <f>IF($I6198=0,0,INDEX(DarlErsatzRate,13))</f>
      </c>
      <c r="P6198" s="43">
        <f>IF($I6198=0,0,$Q6197*INDEX(DarlErsatzZins,13))</f>
      </c>
      <c r="Q6198" s="43">
        <f>IF($I6198=0,0,$Q6197+$P6198+$O6198)</f>
      </c>
      <c r="R6198" s="43">
        <f>IF($I6198=0,0,$J6198-$M6198-$N6198)</f>
      </c>
    </row>
    <row r="6199">
      <c r="A6199"/>
      <c r="B6199">
        <v>13</v>
      </c>
      <c r="C6199" s="43">
        <f>INDEX(DarlObj,13)</f>
      </c>
      <c r="D6199">
        <v>436</v>
      </c>
      <c r="E6199" s="51">
        <f>IF(INDEX(DarlBelegt,13)=0,0,EOMONTH(INDEX(DarlAuszahlung,13),435)+1)</f>
      </c>
      <c r="F6199" s="43">
        <f>IF($E6199=0,0,YEAR($E6199))</f>
      </c>
      <c r="G6199" s="43">
        <f>IF(INDEX(DarlBindung,13)="",1,IF($E6199&lt;=INDEX(DarlBindung,13),1,0))</f>
      </c>
      <c r="H6199" s="43">
        <f>IF($G6199=1,INDEX(DarlSollzins,13),INDEX(DarlAnschluss,13))</f>
      </c>
      <c r="I6199" s="43">
        <f>IF(INDEX(DarlBelegt,13)=0,0,IF(INDEX(DarlOhneTilgung,13)=1,IF(INDEX(DarlBindung,13)="",1,$G6199),IF($J6199&gt;0.005,1,0)))</f>
      </c>
      <c r="J6199" s="43">
        <f>IF($I6198=0,0,$R6198)</f>
      </c>
      <c r="K6199" s="43">
        <f>IF($I6199=0,0,IF(INDEX(DarlOhneTilgung,13)=1,0,IF(AND(INDEX(DarlTilgStart,13)&gt;0,$E6199=INDEX(DarlTilgStart,13)),$J6199*($H6199+INDEX(DarlTilgung,13))/100/12,IF(AND($G6199=0,$G6198=1),MAX($K6198,$J6199*($H6199+1)/100/12),$K6198))))</f>
      </c>
      <c r="L6199" s="43">
        <f>IF($I6199=0,0,$J6199*$H6199/100/12)</f>
      </c>
      <c r="M6199" s="43">
        <f>IF($I6199=0,0,IF(OR(INDEX(DarlOhneTilgung,13)=1,AND(INDEX(DarlTilgStart,13)&gt;0,$E6199&lt;INDEX(DarlTilgStart,13))),0,MIN(MAX(0,$K6199-$L6199),$J6199)))</f>
      </c>
      <c r="N6199" s="43">
        <f>IF($I6199=0,0,MIN(SUMIFS(SondBetrag,SondDarl,13,SondDatum,"&gt;="&amp;$E6199,SondDatum,"&lt;="&amp;EOMONTH($E6199,0)),$J6199-$M6199))</f>
      </c>
      <c r="O6199" s="43">
        <f>IF($I6199=0,0,INDEX(DarlErsatzRate,13))</f>
      </c>
      <c r="P6199" s="43">
        <f>IF($I6199=0,0,$Q6198*INDEX(DarlErsatzZins,13))</f>
      </c>
      <c r="Q6199" s="43">
        <f>IF($I6199=0,0,$Q6198+$P6199+$O6199)</f>
      </c>
      <c r="R6199" s="43">
        <f>IF($I6199=0,0,$J6199-$M6199-$N6199)</f>
      </c>
    </row>
    <row r="6200">
      <c r="A6200"/>
      <c r="B6200">
        <v>13</v>
      </c>
      <c r="C6200" s="43">
        <f>INDEX(DarlObj,13)</f>
      </c>
      <c r="D6200">
        <v>437</v>
      </c>
      <c r="E6200" s="51">
        <f>IF(INDEX(DarlBelegt,13)=0,0,EOMONTH(INDEX(DarlAuszahlung,13),436)+1)</f>
      </c>
      <c r="F6200" s="43">
        <f>IF($E6200=0,0,YEAR($E6200))</f>
      </c>
      <c r="G6200" s="43">
        <f>IF(INDEX(DarlBindung,13)="",1,IF($E6200&lt;=INDEX(DarlBindung,13),1,0))</f>
      </c>
      <c r="H6200" s="43">
        <f>IF($G6200=1,INDEX(DarlSollzins,13),INDEX(DarlAnschluss,13))</f>
      </c>
      <c r="I6200" s="43">
        <f>IF(INDEX(DarlBelegt,13)=0,0,IF(INDEX(DarlOhneTilgung,13)=1,IF(INDEX(DarlBindung,13)="",1,$G6200),IF($J6200&gt;0.005,1,0)))</f>
      </c>
      <c r="J6200" s="43">
        <f>IF($I6199=0,0,$R6199)</f>
      </c>
      <c r="K6200" s="43">
        <f>IF($I6200=0,0,IF(INDEX(DarlOhneTilgung,13)=1,0,IF(AND(INDEX(DarlTilgStart,13)&gt;0,$E6200=INDEX(DarlTilgStart,13)),$J6200*($H6200+INDEX(DarlTilgung,13))/100/12,IF(AND($G6200=0,$G6199=1),MAX($K6199,$J6200*($H6200+1)/100/12),$K6199))))</f>
      </c>
      <c r="L6200" s="43">
        <f>IF($I6200=0,0,$J6200*$H6200/100/12)</f>
      </c>
      <c r="M6200" s="43">
        <f>IF($I6200=0,0,IF(OR(INDEX(DarlOhneTilgung,13)=1,AND(INDEX(DarlTilgStart,13)&gt;0,$E6200&lt;INDEX(DarlTilgStart,13))),0,MIN(MAX(0,$K6200-$L6200),$J6200)))</f>
      </c>
      <c r="N6200" s="43">
        <f>IF($I6200=0,0,MIN(SUMIFS(SondBetrag,SondDarl,13,SondDatum,"&gt;="&amp;$E6200,SondDatum,"&lt;="&amp;EOMONTH($E6200,0)),$J6200-$M6200))</f>
      </c>
      <c r="O6200" s="43">
        <f>IF($I6200=0,0,INDEX(DarlErsatzRate,13))</f>
      </c>
      <c r="P6200" s="43">
        <f>IF($I6200=0,0,$Q6199*INDEX(DarlErsatzZins,13))</f>
      </c>
      <c r="Q6200" s="43">
        <f>IF($I6200=0,0,$Q6199+$P6200+$O6200)</f>
      </c>
      <c r="R6200" s="43">
        <f>IF($I6200=0,0,$J6200-$M6200-$N6200)</f>
      </c>
    </row>
    <row r="6201">
      <c r="A6201"/>
      <c r="B6201">
        <v>13</v>
      </c>
      <c r="C6201" s="43">
        <f>INDEX(DarlObj,13)</f>
      </c>
      <c r="D6201">
        <v>438</v>
      </c>
      <c r="E6201" s="51">
        <f>IF(INDEX(DarlBelegt,13)=0,0,EOMONTH(INDEX(DarlAuszahlung,13),437)+1)</f>
      </c>
      <c r="F6201" s="43">
        <f>IF($E6201=0,0,YEAR($E6201))</f>
      </c>
      <c r="G6201" s="43">
        <f>IF(INDEX(DarlBindung,13)="",1,IF($E6201&lt;=INDEX(DarlBindung,13),1,0))</f>
      </c>
      <c r="H6201" s="43">
        <f>IF($G6201=1,INDEX(DarlSollzins,13),INDEX(DarlAnschluss,13))</f>
      </c>
      <c r="I6201" s="43">
        <f>IF(INDEX(DarlBelegt,13)=0,0,IF(INDEX(DarlOhneTilgung,13)=1,IF(INDEX(DarlBindung,13)="",1,$G6201),IF($J6201&gt;0.005,1,0)))</f>
      </c>
      <c r="J6201" s="43">
        <f>IF($I6200=0,0,$R6200)</f>
      </c>
      <c r="K6201" s="43">
        <f>IF($I6201=0,0,IF(INDEX(DarlOhneTilgung,13)=1,0,IF(AND(INDEX(DarlTilgStart,13)&gt;0,$E6201=INDEX(DarlTilgStart,13)),$J6201*($H6201+INDEX(DarlTilgung,13))/100/12,IF(AND($G6201=0,$G6200=1),MAX($K6200,$J6201*($H6201+1)/100/12),$K6200))))</f>
      </c>
      <c r="L6201" s="43">
        <f>IF($I6201=0,0,$J6201*$H6201/100/12)</f>
      </c>
      <c r="M6201" s="43">
        <f>IF($I6201=0,0,IF(OR(INDEX(DarlOhneTilgung,13)=1,AND(INDEX(DarlTilgStart,13)&gt;0,$E6201&lt;INDEX(DarlTilgStart,13))),0,MIN(MAX(0,$K6201-$L6201),$J6201)))</f>
      </c>
      <c r="N6201" s="43">
        <f>IF($I6201=0,0,MIN(SUMIFS(SondBetrag,SondDarl,13,SondDatum,"&gt;="&amp;$E6201,SondDatum,"&lt;="&amp;EOMONTH($E6201,0)),$J6201-$M6201))</f>
      </c>
      <c r="O6201" s="43">
        <f>IF($I6201=0,0,INDEX(DarlErsatzRate,13))</f>
      </c>
      <c r="P6201" s="43">
        <f>IF($I6201=0,0,$Q6200*INDEX(DarlErsatzZins,13))</f>
      </c>
      <c r="Q6201" s="43">
        <f>IF($I6201=0,0,$Q6200+$P6201+$O6201)</f>
      </c>
      <c r="R6201" s="43">
        <f>IF($I6201=0,0,$J6201-$M6201-$N6201)</f>
      </c>
    </row>
    <row r="6202">
      <c r="A6202"/>
      <c r="B6202">
        <v>13</v>
      </c>
      <c r="C6202" s="43">
        <f>INDEX(DarlObj,13)</f>
      </c>
      <c r="D6202">
        <v>439</v>
      </c>
      <c r="E6202" s="51">
        <f>IF(INDEX(DarlBelegt,13)=0,0,EOMONTH(INDEX(DarlAuszahlung,13),438)+1)</f>
      </c>
      <c r="F6202" s="43">
        <f>IF($E6202=0,0,YEAR($E6202))</f>
      </c>
      <c r="G6202" s="43">
        <f>IF(INDEX(DarlBindung,13)="",1,IF($E6202&lt;=INDEX(DarlBindung,13),1,0))</f>
      </c>
      <c r="H6202" s="43">
        <f>IF($G6202=1,INDEX(DarlSollzins,13),INDEX(DarlAnschluss,13))</f>
      </c>
      <c r="I6202" s="43">
        <f>IF(INDEX(DarlBelegt,13)=0,0,IF(INDEX(DarlOhneTilgung,13)=1,IF(INDEX(DarlBindung,13)="",1,$G6202),IF($J6202&gt;0.005,1,0)))</f>
      </c>
      <c r="J6202" s="43">
        <f>IF($I6201=0,0,$R6201)</f>
      </c>
      <c r="K6202" s="43">
        <f>IF($I6202=0,0,IF(INDEX(DarlOhneTilgung,13)=1,0,IF(AND(INDEX(DarlTilgStart,13)&gt;0,$E6202=INDEX(DarlTilgStart,13)),$J6202*($H6202+INDEX(DarlTilgung,13))/100/12,IF(AND($G6202=0,$G6201=1),MAX($K6201,$J6202*($H6202+1)/100/12),$K6201))))</f>
      </c>
      <c r="L6202" s="43">
        <f>IF($I6202=0,0,$J6202*$H6202/100/12)</f>
      </c>
      <c r="M6202" s="43">
        <f>IF($I6202=0,0,IF(OR(INDEX(DarlOhneTilgung,13)=1,AND(INDEX(DarlTilgStart,13)&gt;0,$E6202&lt;INDEX(DarlTilgStart,13))),0,MIN(MAX(0,$K6202-$L6202),$J6202)))</f>
      </c>
      <c r="N6202" s="43">
        <f>IF($I6202=0,0,MIN(SUMIFS(SondBetrag,SondDarl,13,SondDatum,"&gt;="&amp;$E6202,SondDatum,"&lt;="&amp;EOMONTH($E6202,0)),$J6202-$M6202))</f>
      </c>
      <c r="O6202" s="43">
        <f>IF($I6202=0,0,INDEX(DarlErsatzRate,13))</f>
      </c>
      <c r="P6202" s="43">
        <f>IF($I6202=0,0,$Q6201*INDEX(DarlErsatzZins,13))</f>
      </c>
      <c r="Q6202" s="43">
        <f>IF($I6202=0,0,$Q6201+$P6202+$O6202)</f>
      </c>
      <c r="R6202" s="43">
        <f>IF($I6202=0,0,$J6202-$M6202-$N6202)</f>
      </c>
    </row>
    <row r="6203">
      <c r="A6203"/>
      <c r="B6203">
        <v>13</v>
      </c>
      <c r="C6203" s="43">
        <f>INDEX(DarlObj,13)</f>
      </c>
      <c r="D6203">
        <v>440</v>
      </c>
      <c r="E6203" s="51">
        <f>IF(INDEX(DarlBelegt,13)=0,0,EOMONTH(INDEX(DarlAuszahlung,13),439)+1)</f>
      </c>
      <c r="F6203" s="43">
        <f>IF($E6203=0,0,YEAR($E6203))</f>
      </c>
      <c r="G6203" s="43">
        <f>IF(INDEX(DarlBindung,13)="",1,IF($E6203&lt;=INDEX(DarlBindung,13),1,0))</f>
      </c>
      <c r="H6203" s="43">
        <f>IF($G6203=1,INDEX(DarlSollzins,13),INDEX(DarlAnschluss,13))</f>
      </c>
      <c r="I6203" s="43">
        <f>IF(INDEX(DarlBelegt,13)=0,0,IF(INDEX(DarlOhneTilgung,13)=1,IF(INDEX(DarlBindung,13)="",1,$G6203),IF($J6203&gt;0.005,1,0)))</f>
      </c>
      <c r="J6203" s="43">
        <f>IF($I6202=0,0,$R6202)</f>
      </c>
      <c r="K6203" s="43">
        <f>IF($I6203=0,0,IF(INDEX(DarlOhneTilgung,13)=1,0,IF(AND(INDEX(DarlTilgStart,13)&gt;0,$E6203=INDEX(DarlTilgStart,13)),$J6203*($H6203+INDEX(DarlTilgung,13))/100/12,IF(AND($G6203=0,$G6202=1),MAX($K6202,$J6203*($H6203+1)/100/12),$K6202))))</f>
      </c>
      <c r="L6203" s="43">
        <f>IF($I6203=0,0,$J6203*$H6203/100/12)</f>
      </c>
      <c r="M6203" s="43">
        <f>IF($I6203=0,0,IF(OR(INDEX(DarlOhneTilgung,13)=1,AND(INDEX(DarlTilgStart,13)&gt;0,$E6203&lt;INDEX(DarlTilgStart,13))),0,MIN(MAX(0,$K6203-$L6203),$J6203)))</f>
      </c>
      <c r="N6203" s="43">
        <f>IF($I6203=0,0,MIN(SUMIFS(SondBetrag,SondDarl,13,SondDatum,"&gt;="&amp;$E6203,SondDatum,"&lt;="&amp;EOMONTH($E6203,0)),$J6203-$M6203))</f>
      </c>
      <c r="O6203" s="43">
        <f>IF($I6203=0,0,INDEX(DarlErsatzRate,13))</f>
      </c>
      <c r="P6203" s="43">
        <f>IF($I6203=0,0,$Q6202*INDEX(DarlErsatzZins,13))</f>
      </c>
      <c r="Q6203" s="43">
        <f>IF($I6203=0,0,$Q6202+$P6203+$O6203)</f>
      </c>
      <c r="R6203" s="43">
        <f>IF($I6203=0,0,$J6203-$M6203-$N6203)</f>
      </c>
    </row>
    <row r="6204">
      <c r="A6204"/>
      <c r="B6204">
        <v>13</v>
      </c>
      <c r="C6204" s="43">
        <f>INDEX(DarlObj,13)</f>
      </c>
      <c r="D6204">
        <v>441</v>
      </c>
      <c r="E6204" s="51">
        <f>IF(INDEX(DarlBelegt,13)=0,0,EOMONTH(INDEX(DarlAuszahlung,13),440)+1)</f>
      </c>
      <c r="F6204" s="43">
        <f>IF($E6204=0,0,YEAR($E6204))</f>
      </c>
      <c r="G6204" s="43">
        <f>IF(INDEX(DarlBindung,13)="",1,IF($E6204&lt;=INDEX(DarlBindung,13),1,0))</f>
      </c>
      <c r="H6204" s="43">
        <f>IF($G6204=1,INDEX(DarlSollzins,13),INDEX(DarlAnschluss,13))</f>
      </c>
      <c r="I6204" s="43">
        <f>IF(INDEX(DarlBelegt,13)=0,0,IF(INDEX(DarlOhneTilgung,13)=1,IF(INDEX(DarlBindung,13)="",1,$G6204),IF($J6204&gt;0.005,1,0)))</f>
      </c>
      <c r="J6204" s="43">
        <f>IF($I6203=0,0,$R6203)</f>
      </c>
      <c r="K6204" s="43">
        <f>IF($I6204=0,0,IF(INDEX(DarlOhneTilgung,13)=1,0,IF(AND(INDEX(DarlTilgStart,13)&gt;0,$E6204=INDEX(DarlTilgStart,13)),$J6204*($H6204+INDEX(DarlTilgung,13))/100/12,IF(AND($G6204=0,$G6203=1),MAX($K6203,$J6204*($H6204+1)/100/12),$K6203))))</f>
      </c>
      <c r="L6204" s="43">
        <f>IF($I6204=0,0,$J6204*$H6204/100/12)</f>
      </c>
      <c r="M6204" s="43">
        <f>IF($I6204=0,0,IF(OR(INDEX(DarlOhneTilgung,13)=1,AND(INDEX(DarlTilgStart,13)&gt;0,$E6204&lt;INDEX(DarlTilgStart,13))),0,MIN(MAX(0,$K6204-$L6204),$J6204)))</f>
      </c>
      <c r="N6204" s="43">
        <f>IF($I6204=0,0,MIN(SUMIFS(SondBetrag,SondDarl,13,SondDatum,"&gt;="&amp;$E6204,SondDatum,"&lt;="&amp;EOMONTH($E6204,0)),$J6204-$M6204))</f>
      </c>
      <c r="O6204" s="43">
        <f>IF($I6204=0,0,INDEX(DarlErsatzRate,13))</f>
      </c>
      <c r="P6204" s="43">
        <f>IF($I6204=0,0,$Q6203*INDEX(DarlErsatzZins,13))</f>
      </c>
      <c r="Q6204" s="43">
        <f>IF($I6204=0,0,$Q6203+$P6204+$O6204)</f>
      </c>
      <c r="R6204" s="43">
        <f>IF($I6204=0,0,$J6204-$M6204-$N6204)</f>
      </c>
    </row>
    <row r="6205">
      <c r="A6205"/>
      <c r="B6205">
        <v>13</v>
      </c>
      <c r="C6205" s="43">
        <f>INDEX(DarlObj,13)</f>
      </c>
      <c r="D6205">
        <v>442</v>
      </c>
      <c r="E6205" s="51">
        <f>IF(INDEX(DarlBelegt,13)=0,0,EOMONTH(INDEX(DarlAuszahlung,13),441)+1)</f>
      </c>
      <c r="F6205" s="43">
        <f>IF($E6205=0,0,YEAR($E6205))</f>
      </c>
      <c r="G6205" s="43">
        <f>IF(INDEX(DarlBindung,13)="",1,IF($E6205&lt;=INDEX(DarlBindung,13),1,0))</f>
      </c>
      <c r="H6205" s="43">
        <f>IF($G6205=1,INDEX(DarlSollzins,13),INDEX(DarlAnschluss,13))</f>
      </c>
      <c r="I6205" s="43">
        <f>IF(INDEX(DarlBelegt,13)=0,0,IF(INDEX(DarlOhneTilgung,13)=1,IF(INDEX(DarlBindung,13)="",1,$G6205),IF($J6205&gt;0.005,1,0)))</f>
      </c>
      <c r="J6205" s="43">
        <f>IF($I6204=0,0,$R6204)</f>
      </c>
      <c r="K6205" s="43">
        <f>IF($I6205=0,0,IF(INDEX(DarlOhneTilgung,13)=1,0,IF(AND(INDEX(DarlTilgStart,13)&gt;0,$E6205=INDEX(DarlTilgStart,13)),$J6205*($H6205+INDEX(DarlTilgung,13))/100/12,IF(AND($G6205=0,$G6204=1),MAX($K6204,$J6205*($H6205+1)/100/12),$K6204))))</f>
      </c>
      <c r="L6205" s="43">
        <f>IF($I6205=0,0,$J6205*$H6205/100/12)</f>
      </c>
      <c r="M6205" s="43">
        <f>IF($I6205=0,0,IF(OR(INDEX(DarlOhneTilgung,13)=1,AND(INDEX(DarlTilgStart,13)&gt;0,$E6205&lt;INDEX(DarlTilgStart,13))),0,MIN(MAX(0,$K6205-$L6205),$J6205)))</f>
      </c>
      <c r="N6205" s="43">
        <f>IF($I6205=0,0,MIN(SUMIFS(SondBetrag,SondDarl,13,SondDatum,"&gt;="&amp;$E6205,SondDatum,"&lt;="&amp;EOMONTH($E6205,0)),$J6205-$M6205))</f>
      </c>
      <c r="O6205" s="43">
        <f>IF($I6205=0,0,INDEX(DarlErsatzRate,13))</f>
      </c>
      <c r="P6205" s="43">
        <f>IF($I6205=0,0,$Q6204*INDEX(DarlErsatzZins,13))</f>
      </c>
      <c r="Q6205" s="43">
        <f>IF($I6205=0,0,$Q6204+$P6205+$O6205)</f>
      </c>
      <c r="R6205" s="43">
        <f>IF($I6205=0,0,$J6205-$M6205-$N6205)</f>
      </c>
    </row>
    <row r="6206">
      <c r="A6206"/>
      <c r="B6206">
        <v>13</v>
      </c>
      <c r="C6206" s="43">
        <f>INDEX(DarlObj,13)</f>
      </c>
      <c r="D6206">
        <v>443</v>
      </c>
      <c r="E6206" s="51">
        <f>IF(INDEX(DarlBelegt,13)=0,0,EOMONTH(INDEX(DarlAuszahlung,13),442)+1)</f>
      </c>
      <c r="F6206" s="43">
        <f>IF($E6206=0,0,YEAR($E6206))</f>
      </c>
      <c r="G6206" s="43">
        <f>IF(INDEX(DarlBindung,13)="",1,IF($E6206&lt;=INDEX(DarlBindung,13),1,0))</f>
      </c>
      <c r="H6206" s="43">
        <f>IF($G6206=1,INDEX(DarlSollzins,13),INDEX(DarlAnschluss,13))</f>
      </c>
      <c r="I6206" s="43">
        <f>IF(INDEX(DarlBelegt,13)=0,0,IF(INDEX(DarlOhneTilgung,13)=1,IF(INDEX(DarlBindung,13)="",1,$G6206),IF($J6206&gt;0.005,1,0)))</f>
      </c>
      <c r="J6206" s="43">
        <f>IF($I6205=0,0,$R6205)</f>
      </c>
      <c r="K6206" s="43">
        <f>IF($I6206=0,0,IF(INDEX(DarlOhneTilgung,13)=1,0,IF(AND(INDEX(DarlTilgStart,13)&gt;0,$E6206=INDEX(DarlTilgStart,13)),$J6206*($H6206+INDEX(DarlTilgung,13))/100/12,IF(AND($G6206=0,$G6205=1),MAX($K6205,$J6206*($H6206+1)/100/12),$K6205))))</f>
      </c>
      <c r="L6206" s="43">
        <f>IF($I6206=0,0,$J6206*$H6206/100/12)</f>
      </c>
      <c r="M6206" s="43">
        <f>IF($I6206=0,0,IF(OR(INDEX(DarlOhneTilgung,13)=1,AND(INDEX(DarlTilgStart,13)&gt;0,$E6206&lt;INDEX(DarlTilgStart,13))),0,MIN(MAX(0,$K6206-$L6206),$J6206)))</f>
      </c>
      <c r="N6206" s="43">
        <f>IF($I6206=0,0,MIN(SUMIFS(SondBetrag,SondDarl,13,SondDatum,"&gt;="&amp;$E6206,SondDatum,"&lt;="&amp;EOMONTH($E6206,0)),$J6206-$M6206))</f>
      </c>
      <c r="O6206" s="43">
        <f>IF($I6206=0,0,INDEX(DarlErsatzRate,13))</f>
      </c>
      <c r="P6206" s="43">
        <f>IF($I6206=0,0,$Q6205*INDEX(DarlErsatzZins,13))</f>
      </c>
      <c r="Q6206" s="43">
        <f>IF($I6206=0,0,$Q6205+$P6206+$O6206)</f>
      </c>
      <c r="R6206" s="43">
        <f>IF($I6206=0,0,$J6206-$M6206-$N6206)</f>
      </c>
    </row>
    <row r="6207">
      <c r="A6207"/>
      <c r="B6207">
        <v>13</v>
      </c>
      <c r="C6207" s="43">
        <f>INDEX(DarlObj,13)</f>
      </c>
      <c r="D6207">
        <v>444</v>
      </c>
      <c r="E6207" s="51">
        <f>IF(INDEX(DarlBelegt,13)=0,0,EOMONTH(INDEX(DarlAuszahlung,13),443)+1)</f>
      </c>
      <c r="F6207" s="43">
        <f>IF($E6207=0,0,YEAR($E6207))</f>
      </c>
      <c r="G6207" s="43">
        <f>IF(INDEX(DarlBindung,13)="",1,IF($E6207&lt;=INDEX(DarlBindung,13),1,0))</f>
      </c>
      <c r="H6207" s="43">
        <f>IF($G6207=1,INDEX(DarlSollzins,13),INDEX(DarlAnschluss,13))</f>
      </c>
      <c r="I6207" s="43">
        <f>IF(INDEX(DarlBelegt,13)=0,0,IF(INDEX(DarlOhneTilgung,13)=1,IF(INDEX(DarlBindung,13)="",1,$G6207),IF($J6207&gt;0.005,1,0)))</f>
      </c>
      <c r="J6207" s="43">
        <f>IF($I6206=0,0,$R6206)</f>
      </c>
      <c r="K6207" s="43">
        <f>IF($I6207=0,0,IF(INDEX(DarlOhneTilgung,13)=1,0,IF(AND(INDEX(DarlTilgStart,13)&gt;0,$E6207=INDEX(DarlTilgStart,13)),$J6207*($H6207+INDEX(DarlTilgung,13))/100/12,IF(AND($G6207=0,$G6206=1),MAX($K6206,$J6207*($H6207+1)/100/12),$K6206))))</f>
      </c>
      <c r="L6207" s="43">
        <f>IF($I6207=0,0,$J6207*$H6207/100/12)</f>
      </c>
      <c r="M6207" s="43">
        <f>IF($I6207=0,0,IF(OR(INDEX(DarlOhneTilgung,13)=1,AND(INDEX(DarlTilgStart,13)&gt;0,$E6207&lt;INDEX(DarlTilgStart,13))),0,MIN(MAX(0,$K6207-$L6207),$J6207)))</f>
      </c>
      <c r="N6207" s="43">
        <f>IF($I6207=0,0,MIN(SUMIFS(SondBetrag,SondDarl,13,SondDatum,"&gt;="&amp;$E6207,SondDatum,"&lt;="&amp;EOMONTH($E6207,0)),$J6207-$M6207))</f>
      </c>
      <c r="O6207" s="43">
        <f>IF($I6207=0,0,INDEX(DarlErsatzRate,13))</f>
      </c>
      <c r="P6207" s="43">
        <f>IF($I6207=0,0,$Q6206*INDEX(DarlErsatzZins,13))</f>
      </c>
      <c r="Q6207" s="43">
        <f>IF($I6207=0,0,$Q6206+$P6207+$O6207)</f>
      </c>
      <c r="R6207" s="43">
        <f>IF($I6207=0,0,$J6207-$M6207-$N6207)</f>
      </c>
    </row>
    <row r="6208">
      <c r="A6208"/>
      <c r="B6208">
        <v>13</v>
      </c>
      <c r="C6208" s="43">
        <f>INDEX(DarlObj,13)</f>
      </c>
      <c r="D6208">
        <v>445</v>
      </c>
      <c r="E6208" s="51">
        <f>IF(INDEX(DarlBelegt,13)=0,0,EOMONTH(INDEX(DarlAuszahlung,13),444)+1)</f>
      </c>
      <c r="F6208" s="43">
        <f>IF($E6208=0,0,YEAR($E6208))</f>
      </c>
      <c r="G6208" s="43">
        <f>IF(INDEX(DarlBindung,13)="",1,IF($E6208&lt;=INDEX(DarlBindung,13),1,0))</f>
      </c>
      <c r="H6208" s="43">
        <f>IF($G6208=1,INDEX(DarlSollzins,13),INDEX(DarlAnschluss,13))</f>
      </c>
      <c r="I6208" s="43">
        <f>IF(INDEX(DarlBelegt,13)=0,0,IF(INDEX(DarlOhneTilgung,13)=1,IF(INDEX(DarlBindung,13)="",1,$G6208),IF($J6208&gt;0.005,1,0)))</f>
      </c>
      <c r="J6208" s="43">
        <f>IF($I6207=0,0,$R6207)</f>
      </c>
      <c r="K6208" s="43">
        <f>IF($I6208=0,0,IF(INDEX(DarlOhneTilgung,13)=1,0,IF(AND(INDEX(DarlTilgStart,13)&gt;0,$E6208=INDEX(DarlTilgStart,13)),$J6208*($H6208+INDEX(DarlTilgung,13))/100/12,IF(AND($G6208=0,$G6207=1),MAX($K6207,$J6208*($H6208+1)/100/12),$K6207))))</f>
      </c>
      <c r="L6208" s="43">
        <f>IF($I6208=0,0,$J6208*$H6208/100/12)</f>
      </c>
      <c r="M6208" s="43">
        <f>IF($I6208=0,0,IF(OR(INDEX(DarlOhneTilgung,13)=1,AND(INDEX(DarlTilgStart,13)&gt;0,$E6208&lt;INDEX(DarlTilgStart,13))),0,MIN(MAX(0,$K6208-$L6208),$J6208)))</f>
      </c>
      <c r="N6208" s="43">
        <f>IF($I6208=0,0,MIN(SUMIFS(SondBetrag,SondDarl,13,SondDatum,"&gt;="&amp;$E6208,SondDatum,"&lt;="&amp;EOMONTH($E6208,0)),$J6208-$M6208))</f>
      </c>
      <c r="O6208" s="43">
        <f>IF($I6208=0,0,INDEX(DarlErsatzRate,13))</f>
      </c>
      <c r="P6208" s="43">
        <f>IF($I6208=0,0,$Q6207*INDEX(DarlErsatzZins,13))</f>
      </c>
      <c r="Q6208" s="43">
        <f>IF($I6208=0,0,$Q6207+$P6208+$O6208)</f>
      </c>
      <c r="R6208" s="43">
        <f>IF($I6208=0,0,$J6208-$M6208-$N6208)</f>
      </c>
    </row>
    <row r="6209">
      <c r="A6209"/>
      <c r="B6209">
        <v>13</v>
      </c>
      <c r="C6209" s="43">
        <f>INDEX(DarlObj,13)</f>
      </c>
      <c r="D6209">
        <v>446</v>
      </c>
      <c r="E6209" s="51">
        <f>IF(INDEX(DarlBelegt,13)=0,0,EOMONTH(INDEX(DarlAuszahlung,13),445)+1)</f>
      </c>
      <c r="F6209" s="43">
        <f>IF($E6209=0,0,YEAR($E6209))</f>
      </c>
      <c r="G6209" s="43">
        <f>IF(INDEX(DarlBindung,13)="",1,IF($E6209&lt;=INDEX(DarlBindung,13),1,0))</f>
      </c>
      <c r="H6209" s="43">
        <f>IF($G6209=1,INDEX(DarlSollzins,13),INDEX(DarlAnschluss,13))</f>
      </c>
      <c r="I6209" s="43">
        <f>IF(INDEX(DarlBelegt,13)=0,0,IF(INDEX(DarlOhneTilgung,13)=1,IF(INDEX(DarlBindung,13)="",1,$G6209),IF($J6209&gt;0.005,1,0)))</f>
      </c>
      <c r="J6209" s="43">
        <f>IF($I6208=0,0,$R6208)</f>
      </c>
      <c r="K6209" s="43">
        <f>IF($I6209=0,0,IF(INDEX(DarlOhneTilgung,13)=1,0,IF(AND(INDEX(DarlTilgStart,13)&gt;0,$E6209=INDEX(DarlTilgStart,13)),$J6209*($H6209+INDEX(DarlTilgung,13))/100/12,IF(AND($G6209=0,$G6208=1),MAX($K6208,$J6209*($H6209+1)/100/12),$K6208))))</f>
      </c>
      <c r="L6209" s="43">
        <f>IF($I6209=0,0,$J6209*$H6209/100/12)</f>
      </c>
      <c r="M6209" s="43">
        <f>IF($I6209=0,0,IF(OR(INDEX(DarlOhneTilgung,13)=1,AND(INDEX(DarlTilgStart,13)&gt;0,$E6209&lt;INDEX(DarlTilgStart,13))),0,MIN(MAX(0,$K6209-$L6209),$J6209)))</f>
      </c>
      <c r="N6209" s="43">
        <f>IF($I6209=0,0,MIN(SUMIFS(SondBetrag,SondDarl,13,SondDatum,"&gt;="&amp;$E6209,SondDatum,"&lt;="&amp;EOMONTH($E6209,0)),$J6209-$M6209))</f>
      </c>
      <c r="O6209" s="43">
        <f>IF($I6209=0,0,INDEX(DarlErsatzRate,13))</f>
      </c>
      <c r="P6209" s="43">
        <f>IF($I6209=0,0,$Q6208*INDEX(DarlErsatzZins,13))</f>
      </c>
      <c r="Q6209" s="43">
        <f>IF($I6209=0,0,$Q6208+$P6209+$O6209)</f>
      </c>
      <c r="R6209" s="43">
        <f>IF($I6209=0,0,$J6209-$M6209-$N6209)</f>
      </c>
    </row>
    <row r="6210">
      <c r="A6210"/>
      <c r="B6210">
        <v>13</v>
      </c>
      <c r="C6210" s="43">
        <f>INDEX(DarlObj,13)</f>
      </c>
      <c r="D6210">
        <v>447</v>
      </c>
      <c r="E6210" s="51">
        <f>IF(INDEX(DarlBelegt,13)=0,0,EOMONTH(INDEX(DarlAuszahlung,13),446)+1)</f>
      </c>
      <c r="F6210" s="43">
        <f>IF($E6210=0,0,YEAR($E6210))</f>
      </c>
      <c r="G6210" s="43">
        <f>IF(INDEX(DarlBindung,13)="",1,IF($E6210&lt;=INDEX(DarlBindung,13),1,0))</f>
      </c>
      <c r="H6210" s="43">
        <f>IF($G6210=1,INDEX(DarlSollzins,13),INDEX(DarlAnschluss,13))</f>
      </c>
      <c r="I6210" s="43">
        <f>IF(INDEX(DarlBelegt,13)=0,0,IF(INDEX(DarlOhneTilgung,13)=1,IF(INDEX(DarlBindung,13)="",1,$G6210),IF($J6210&gt;0.005,1,0)))</f>
      </c>
      <c r="J6210" s="43">
        <f>IF($I6209=0,0,$R6209)</f>
      </c>
      <c r="K6210" s="43">
        <f>IF($I6210=0,0,IF(INDEX(DarlOhneTilgung,13)=1,0,IF(AND(INDEX(DarlTilgStart,13)&gt;0,$E6210=INDEX(DarlTilgStart,13)),$J6210*($H6210+INDEX(DarlTilgung,13))/100/12,IF(AND($G6210=0,$G6209=1),MAX($K6209,$J6210*($H6210+1)/100/12),$K6209))))</f>
      </c>
      <c r="L6210" s="43">
        <f>IF($I6210=0,0,$J6210*$H6210/100/12)</f>
      </c>
      <c r="M6210" s="43">
        <f>IF($I6210=0,0,IF(OR(INDEX(DarlOhneTilgung,13)=1,AND(INDEX(DarlTilgStart,13)&gt;0,$E6210&lt;INDEX(DarlTilgStart,13))),0,MIN(MAX(0,$K6210-$L6210),$J6210)))</f>
      </c>
      <c r="N6210" s="43">
        <f>IF($I6210=0,0,MIN(SUMIFS(SondBetrag,SondDarl,13,SondDatum,"&gt;="&amp;$E6210,SondDatum,"&lt;="&amp;EOMONTH($E6210,0)),$J6210-$M6210))</f>
      </c>
      <c r="O6210" s="43">
        <f>IF($I6210=0,0,INDEX(DarlErsatzRate,13))</f>
      </c>
      <c r="P6210" s="43">
        <f>IF($I6210=0,0,$Q6209*INDEX(DarlErsatzZins,13))</f>
      </c>
      <c r="Q6210" s="43">
        <f>IF($I6210=0,0,$Q6209+$P6210+$O6210)</f>
      </c>
      <c r="R6210" s="43">
        <f>IF($I6210=0,0,$J6210-$M6210-$N6210)</f>
      </c>
    </row>
    <row r="6211">
      <c r="A6211"/>
      <c r="B6211">
        <v>13</v>
      </c>
      <c r="C6211" s="43">
        <f>INDEX(DarlObj,13)</f>
      </c>
      <c r="D6211">
        <v>448</v>
      </c>
      <c r="E6211" s="51">
        <f>IF(INDEX(DarlBelegt,13)=0,0,EOMONTH(INDEX(DarlAuszahlung,13),447)+1)</f>
      </c>
      <c r="F6211" s="43">
        <f>IF($E6211=0,0,YEAR($E6211))</f>
      </c>
      <c r="G6211" s="43">
        <f>IF(INDEX(DarlBindung,13)="",1,IF($E6211&lt;=INDEX(DarlBindung,13),1,0))</f>
      </c>
      <c r="H6211" s="43">
        <f>IF($G6211=1,INDEX(DarlSollzins,13),INDEX(DarlAnschluss,13))</f>
      </c>
      <c r="I6211" s="43">
        <f>IF(INDEX(DarlBelegt,13)=0,0,IF(INDEX(DarlOhneTilgung,13)=1,IF(INDEX(DarlBindung,13)="",1,$G6211),IF($J6211&gt;0.005,1,0)))</f>
      </c>
      <c r="J6211" s="43">
        <f>IF($I6210=0,0,$R6210)</f>
      </c>
      <c r="K6211" s="43">
        <f>IF($I6211=0,0,IF(INDEX(DarlOhneTilgung,13)=1,0,IF(AND(INDEX(DarlTilgStart,13)&gt;0,$E6211=INDEX(DarlTilgStart,13)),$J6211*($H6211+INDEX(DarlTilgung,13))/100/12,IF(AND($G6211=0,$G6210=1),MAX($K6210,$J6211*($H6211+1)/100/12),$K6210))))</f>
      </c>
      <c r="L6211" s="43">
        <f>IF($I6211=0,0,$J6211*$H6211/100/12)</f>
      </c>
      <c r="M6211" s="43">
        <f>IF($I6211=0,0,IF(OR(INDEX(DarlOhneTilgung,13)=1,AND(INDEX(DarlTilgStart,13)&gt;0,$E6211&lt;INDEX(DarlTilgStart,13))),0,MIN(MAX(0,$K6211-$L6211),$J6211)))</f>
      </c>
      <c r="N6211" s="43">
        <f>IF($I6211=0,0,MIN(SUMIFS(SondBetrag,SondDarl,13,SondDatum,"&gt;="&amp;$E6211,SondDatum,"&lt;="&amp;EOMONTH($E6211,0)),$J6211-$M6211))</f>
      </c>
      <c r="O6211" s="43">
        <f>IF($I6211=0,0,INDEX(DarlErsatzRate,13))</f>
      </c>
      <c r="P6211" s="43">
        <f>IF($I6211=0,0,$Q6210*INDEX(DarlErsatzZins,13))</f>
      </c>
      <c r="Q6211" s="43">
        <f>IF($I6211=0,0,$Q6210+$P6211+$O6211)</f>
      </c>
      <c r="R6211" s="43">
        <f>IF($I6211=0,0,$J6211-$M6211-$N6211)</f>
      </c>
    </row>
    <row r="6212">
      <c r="A6212"/>
      <c r="B6212">
        <v>13</v>
      </c>
      <c r="C6212" s="43">
        <f>INDEX(DarlObj,13)</f>
      </c>
      <c r="D6212">
        <v>449</v>
      </c>
      <c r="E6212" s="51">
        <f>IF(INDEX(DarlBelegt,13)=0,0,EOMONTH(INDEX(DarlAuszahlung,13),448)+1)</f>
      </c>
      <c r="F6212" s="43">
        <f>IF($E6212=0,0,YEAR($E6212))</f>
      </c>
      <c r="G6212" s="43">
        <f>IF(INDEX(DarlBindung,13)="",1,IF($E6212&lt;=INDEX(DarlBindung,13),1,0))</f>
      </c>
      <c r="H6212" s="43">
        <f>IF($G6212=1,INDEX(DarlSollzins,13),INDEX(DarlAnschluss,13))</f>
      </c>
      <c r="I6212" s="43">
        <f>IF(INDEX(DarlBelegt,13)=0,0,IF(INDEX(DarlOhneTilgung,13)=1,IF(INDEX(DarlBindung,13)="",1,$G6212),IF($J6212&gt;0.005,1,0)))</f>
      </c>
      <c r="J6212" s="43">
        <f>IF($I6211=0,0,$R6211)</f>
      </c>
      <c r="K6212" s="43">
        <f>IF($I6212=0,0,IF(INDEX(DarlOhneTilgung,13)=1,0,IF(AND(INDEX(DarlTilgStart,13)&gt;0,$E6212=INDEX(DarlTilgStart,13)),$J6212*($H6212+INDEX(DarlTilgung,13))/100/12,IF(AND($G6212=0,$G6211=1),MAX($K6211,$J6212*($H6212+1)/100/12),$K6211))))</f>
      </c>
      <c r="L6212" s="43">
        <f>IF($I6212=0,0,$J6212*$H6212/100/12)</f>
      </c>
      <c r="M6212" s="43">
        <f>IF($I6212=0,0,IF(OR(INDEX(DarlOhneTilgung,13)=1,AND(INDEX(DarlTilgStart,13)&gt;0,$E6212&lt;INDEX(DarlTilgStart,13))),0,MIN(MAX(0,$K6212-$L6212),$J6212)))</f>
      </c>
      <c r="N6212" s="43">
        <f>IF($I6212=0,0,MIN(SUMIFS(SondBetrag,SondDarl,13,SondDatum,"&gt;="&amp;$E6212,SondDatum,"&lt;="&amp;EOMONTH($E6212,0)),$J6212-$M6212))</f>
      </c>
      <c r="O6212" s="43">
        <f>IF($I6212=0,0,INDEX(DarlErsatzRate,13))</f>
      </c>
      <c r="P6212" s="43">
        <f>IF($I6212=0,0,$Q6211*INDEX(DarlErsatzZins,13))</f>
      </c>
      <c r="Q6212" s="43">
        <f>IF($I6212=0,0,$Q6211+$P6212+$O6212)</f>
      </c>
      <c r="R6212" s="43">
        <f>IF($I6212=0,0,$J6212-$M6212-$N6212)</f>
      </c>
    </row>
    <row r="6213">
      <c r="A6213"/>
      <c r="B6213">
        <v>13</v>
      </c>
      <c r="C6213" s="43">
        <f>INDEX(DarlObj,13)</f>
      </c>
      <c r="D6213">
        <v>450</v>
      </c>
      <c r="E6213" s="51">
        <f>IF(INDEX(DarlBelegt,13)=0,0,EOMONTH(INDEX(DarlAuszahlung,13),449)+1)</f>
      </c>
      <c r="F6213" s="43">
        <f>IF($E6213=0,0,YEAR($E6213))</f>
      </c>
      <c r="G6213" s="43">
        <f>IF(INDEX(DarlBindung,13)="",1,IF($E6213&lt;=INDEX(DarlBindung,13),1,0))</f>
      </c>
      <c r="H6213" s="43">
        <f>IF($G6213=1,INDEX(DarlSollzins,13),INDEX(DarlAnschluss,13))</f>
      </c>
      <c r="I6213" s="43">
        <f>IF(INDEX(DarlBelegt,13)=0,0,IF(INDEX(DarlOhneTilgung,13)=1,IF(INDEX(DarlBindung,13)="",1,$G6213),IF($J6213&gt;0.005,1,0)))</f>
      </c>
      <c r="J6213" s="43">
        <f>IF($I6212=0,0,$R6212)</f>
      </c>
      <c r="K6213" s="43">
        <f>IF($I6213=0,0,IF(INDEX(DarlOhneTilgung,13)=1,0,IF(AND(INDEX(DarlTilgStart,13)&gt;0,$E6213=INDEX(DarlTilgStart,13)),$J6213*($H6213+INDEX(DarlTilgung,13))/100/12,IF(AND($G6213=0,$G6212=1),MAX($K6212,$J6213*($H6213+1)/100/12),$K6212))))</f>
      </c>
      <c r="L6213" s="43">
        <f>IF($I6213=0,0,$J6213*$H6213/100/12)</f>
      </c>
      <c r="M6213" s="43">
        <f>IF($I6213=0,0,IF(OR(INDEX(DarlOhneTilgung,13)=1,AND(INDEX(DarlTilgStart,13)&gt;0,$E6213&lt;INDEX(DarlTilgStart,13))),0,MIN(MAX(0,$K6213-$L6213),$J6213)))</f>
      </c>
      <c r="N6213" s="43">
        <f>IF($I6213=0,0,MIN(SUMIFS(SondBetrag,SondDarl,13,SondDatum,"&gt;="&amp;$E6213,SondDatum,"&lt;="&amp;EOMONTH($E6213,0)),$J6213-$M6213))</f>
      </c>
      <c r="O6213" s="43">
        <f>IF($I6213=0,0,INDEX(DarlErsatzRate,13))</f>
      </c>
      <c r="P6213" s="43">
        <f>IF($I6213=0,0,$Q6212*INDEX(DarlErsatzZins,13))</f>
      </c>
      <c r="Q6213" s="43">
        <f>IF($I6213=0,0,$Q6212+$P6213+$O6213)</f>
      </c>
      <c r="R6213" s="43">
        <f>IF($I6213=0,0,$J6213-$M6213-$N6213)</f>
      </c>
    </row>
    <row r="6214">
      <c r="A6214"/>
      <c r="B6214">
        <v>13</v>
      </c>
      <c r="C6214" s="43">
        <f>INDEX(DarlObj,13)</f>
      </c>
      <c r="D6214">
        <v>451</v>
      </c>
      <c r="E6214" s="51">
        <f>IF(INDEX(DarlBelegt,13)=0,0,EOMONTH(INDEX(DarlAuszahlung,13),450)+1)</f>
      </c>
      <c r="F6214" s="43">
        <f>IF($E6214=0,0,YEAR($E6214))</f>
      </c>
      <c r="G6214" s="43">
        <f>IF(INDEX(DarlBindung,13)="",1,IF($E6214&lt;=INDEX(DarlBindung,13),1,0))</f>
      </c>
      <c r="H6214" s="43">
        <f>IF($G6214=1,INDEX(DarlSollzins,13),INDEX(DarlAnschluss,13))</f>
      </c>
      <c r="I6214" s="43">
        <f>IF(INDEX(DarlBelegt,13)=0,0,IF(INDEX(DarlOhneTilgung,13)=1,IF(INDEX(DarlBindung,13)="",1,$G6214),IF($J6214&gt;0.005,1,0)))</f>
      </c>
      <c r="J6214" s="43">
        <f>IF($I6213=0,0,$R6213)</f>
      </c>
      <c r="K6214" s="43">
        <f>IF($I6214=0,0,IF(INDEX(DarlOhneTilgung,13)=1,0,IF(AND(INDEX(DarlTilgStart,13)&gt;0,$E6214=INDEX(DarlTilgStart,13)),$J6214*($H6214+INDEX(DarlTilgung,13))/100/12,IF(AND($G6214=0,$G6213=1),MAX($K6213,$J6214*($H6214+1)/100/12),$K6213))))</f>
      </c>
      <c r="L6214" s="43">
        <f>IF($I6214=0,0,$J6214*$H6214/100/12)</f>
      </c>
      <c r="M6214" s="43">
        <f>IF($I6214=0,0,IF(OR(INDEX(DarlOhneTilgung,13)=1,AND(INDEX(DarlTilgStart,13)&gt;0,$E6214&lt;INDEX(DarlTilgStart,13))),0,MIN(MAX(0,$K6214-$L6214),$J6214)))</f>
      </c>
      <c r="N6214" s="43">
        <f>IF($I6214=0,0,MIN(SUMIFS(SondBetrag,SondDarl,13,SondDatum,"&gt;="&amp;$E6214,SondDatum,"&lt;="&amp;EOMONTH($E6214,0)),$J6214-$M6214))</f>
      </c>
      <c r="O6214" s="43">
        <f>IF($I6214=0,0,INDEX(DarlErsatzRate,13))</f>
      </c>
      <c r="P6214" s="43">
        <f>IF($I6214=0,0,$Q6213*INDEX(DarlErsatzZins,13))</f>
      </c>
      <c r="Q6214" s="43">
        <f>IF($I6214=0,0,$Q6213+$P6214+$O6214)</f>
      </c>
      <c r="R6214" s="43">
        <f>IF($I6214=0,0,$J6214-$M6214-$N6214)</f>
      </c>
    </row>
    <row r="6215">
      <c r="A6215"/>
      <c r="B6215">
        <v>13</v>
      </c>
      <c r="C6215" s="43">
        <f>INDEX(DarlObj,13)</f>
      </c>
      <c r="D6215">
        <v>452</v>
      </c>
      <c r="E6215" s="51">
        <f>IF(INDEX(DarlBelegt,13)=0,0,EOMONTH(INDEX(DarlAuszahlung,13),451)+1)</f>
      </c>
      <c r="F6215" s="43">
        <f>IF($E6215=0,0,YEAR($E6215))</f>
      </c>
      <c r="G6215" s="43">
        <f>IF(INDEX(DarlBindung,13)="",1,IF($E6215&lt;=INDEX(DarlBindung,13),1,0))</f>
      </c>
      <c r="H6215" s="43">
        <f>IF($G6215=1,INDEX(DarlSollzins,13),INDEX(DarlAnschluss,13))</f>
      </c>
      <c r="I6215" s="43">
        <f>IF(INDEX(DarlBelegt,13)=0,0,IF(INDEX(DarlOhneTilgung,13)=1,IF(INDEX(DarlBindung,13)="",1,$G6215),IF($J6215&gt;0.005,1,0)))</f>
      </c>
      <c r="J6215" s="43">
        <f>IF($I6214=0,0,$R6214)</f>
      </c>
      <c r="K6215" s="43">
        <f>IF($I6215=0,0,IF(INDEX(DarlOhneTilgung,13)=1,0,IF(AND(INDEX(DarlTilgStart,13)&gt;0,$E6215=INDEX(DarlTilgStart,13)),$J6215*($H6215+INDEX(DarlTilgung,13))/100/12,IF(AND($G6215=0,$G6214=1),MAX($K6214,$J6215*($H6215+1)/100/12),$K6214))))</f>
      </c>
      <c r="L6215" s="43">
        <f>IF($I6215=0,0,$J6215*$H6215/100/12)</f>
      </c>
      <c r="M6215" s="43">
        <f>IF($I6215=0,0,IF(OR(INDEX(DarlOhneTilgung,13)=1,AND(INDEX(DarlTilgStart,13)&gt;0,$E6215&lt;INDEX(DarlTilgStart,13))),0,MIN(MAX(0,$K6215-$L6215),$J6215)))</f>
      </c>
      <c r="N6215" s="43">
        <f>IF($I6215=0,0,MIN(SUMIFS(SondBetrag,SondDarl,13,SondDatum,"&gt;="&amp;$E6215,SondDatum,"&lt;="&amp;EOMONTH($E6215,0)),$J6215-$M6215))</f>
      </c>
      <c r="O6215" s="43">
        <f>IF($I6215=0,0,INDEX(DarlErsatzRate,13))</f>
      </c>
      <c r="P6215" s="43">
        <f>IF($I6215=0,0,$Q6214*INDEX(DarlErsatzZins,13))</f>
      </c>
      <c r="Q6215" s="43">
        <f>IF($I6215=0,0,$Q6214+$P6215+$O6215)</f>
      </c>
      <c r="R6215" s="43">
        <f>IF($I6215=0,0,$J6215-$M6215-$N6215)</f>
      </c>
    </row>
    <row r="6216">
      <c r="A6216"/>
      <c r="B6216">
        <v>13</v>
      </c>
      <c r="C6216" s="43">
        <f>INDEX(DarlObj,13)</f>
      </c>
      <c r="D6216">
        <v>453</v>
      </c>
      <c r="E6216" s="51">
        <f>IF(INDEX(DarlBelegt,13)=0,0,EOMONTH(INDEX(DarlAuszahlung,13),452)+1)</f>
      </c>
      <c r="F6216" s="43">
        <f>IF($E6216=0,0,YEAR($E6216))</f>
      </c>
      <c r="G6216" s="43">
        <f>IF(INDEX(DarlBindung,13)="",1,IF($E6216&lt;=INDEX(DarlBindung,13),1,0))</f>
      </c>
      <c r="H6216" s="43">
        <f>IF($G6216=1,INDEX(DarlSollzins,13),INDEX(DarlAnschluss,13))</f>
      </c>
      <c r="I6216" s="43">
        <f>IF(INDEX(DarlBelegt,13)=0,0,IF(INDEX(DarlOhneTilgung,13)=1,IF(INDEX(DarlBindung,13)="",1,$G6216),IF($J6216&gt;0.005,1,0)))</f>
      </c>
      <c r="J6216" s="43">
        <f>IF($I6215=0,0,$R6215)</f>
      </c>
      <c r="K6216" s="43">
        <f>IF($I6216=0,0,IF(INDEX(DarlOhneTilgung,13)=1,0,IF(AND(INDEX(DarlTilgStart,13)&gt;0,$E6216=INDEX(DarlTilgStart,13)),$J6216*($H6216+INDEX(DarlTilgung,13))/100/12,IF(AND($G6216=0,$G6215=1),MAX($K6215,$J6216*($H6216+1)/100/12),$K6215))))</f>
      </c>
      <c r="L6216" s="43">
        <f>IF($I6216=0,0,$J6216*$H6216/100/12)</f>
      </c>
      <c r="M6216" s="43">
        <f>IF($I6216=0,0,IF(OR(INDEX(DarlOhneTilgung,13)=1,AND(INDEX(DarlTilgStart,13)&gt;0,$E6216&lt;INDEX(DarlTilgStart,13))),0,MIN(MAX(0,$K6216-$L6216),$J6216)))</f>
      </c>
      <c r="N6216" s="43">
        <f>IF($I6216=0,0,MIN(SUMIFS(SondBetrag,SondDarl,13,SondDatum,"&gt;="&amp;$E6216,SondDatum,"&lt;="&amp;EOMONTH($E6216,0)),$J6216-$M6216))</f>
      </c>
      <c r="O6216" s="43">
        <f>IF($I6216=0,0,INDEX(DarlErsatzRate,13))</f>
      </c>
      <c r="P6216" s="43">
        <f>IF($I6216=0,0,$Q6215*INDEX(DarlErsatzZins,13))</f>
      </c>
      <c r="Q6216" s="43">
        <f>IF($I6216=0,0,$Q6215+$P6216+$O6216)</f>
      </c>
      <c r="R6216" s="43">
        <f>IF($I6216=0,0,$J6216-$M6216-$N6216)</f>
      </c>
    </row>
    <row r="6217">
      <c r="A6217"/>
      <c r="B6217">
        <v>13</v>
      </c>
      <c r="C6217" s="43">
        <f>INDEX(DarlObj,13)</f>
      </c>
      <c r="D6217">
        <v>454</v>
      </c>
      <c r="E6217" s="51">
        <f>IF(INDEX(DarlBelegt,13)=0,0,EOMONTH(INDEX(DarlAuszahlung,13),453)+1)</f>
      </c>
      <c r="F6217" s="43">
        <f>IF($E6217=0,0,YEAR($E6217))</f>
      </c>
      <c r="G6217" s="43">
        <f>IF(INDEX(DarlBindung,13)="",1,IF($E6217&lt;=INDEX(DarlBindung,13),1,0))</f>
      </c>
      <c r="H6217" s="43">
        <f>IF($G6217=1,INDEX(DarlSollzins,13),INDEX(DarlAnschluss,13))</f>
      </c>
      <c r="I6217" s="43">
        <f>IF(INDEX(DarlBelegt,13)=0,0,IF(INDEX(DarlOhneTilgung,13)=1,IF(INDEX(DarlBindung,13)="",1,$G6217),IF($J6217&gt;0.005,1,0)))</f>
      </c>
      <c r="J6217" s="43">
        <f>IF($I6216=0,0,$R6216)</f>
      </c>
      <c r="K6217" s="43">
        <f>IF($I6217=0,0,IF(INDEX(DarlOhneTilgung,13)=1,0,IF(AND(INDEX(DarlTilgStart,13)&gt;0,$E6217=INDEX(DarlTilgStart,13)),$J6217*($H6217+INDEX(DarlTilgung,13))/100/12,IF(AND($G6217=0,$G6216=1),MAX($K6216,$J6217*($H6217+1)/100/12),$K6216))))</f>
      </c>
      <c r="L6217" s="43">
        <f>IF($I6217=0,0,$J6217*$H6217/100/12)</f>
      </c>
      <c r="M6217" s="43">
        <f>IF($I6217=0,0,IF(OR(INDEX(DarlOhneTilgung,13)=1,AND(INDEX(DarlTilgStart,13)&gt;0,$E6217&lt;INDEX(DarlTilgStart,13))),0,MIN(MAX(0,$K6217-$L6217),$J6217)))</f>
      </c>
      <c r="N6217" s="43">
        <f>IF($I6217=0,0,MIN(SUMIFS(SondBetrag,SondDarl,13,SondDatum,"&gt;="&amp;$E6217,SondDatum,"&lt;="&amp;EOMONTH($E6217,0)),$J6217-$M6217))</f>
      </c>
      <c r="O6217" s="43">
        <f>IF($I6217=0,0,INDEX(DarlErsatzRate,13))</f>
      </c>
      <c r="P6217" s="43">
        <f>IF($I6217=0,0,$Q6216*INDEX(DarlErsatzZins,13))</f>
      </c>
      <c r="Q6217" s="43">
        <f>IF($I6217=0,0,$Q6216+$P6217+$O6217)</f>
      </c>
      <c r="R6217" s="43">
        <f>IF($I6217=0,0,$J6217-$M6217-$N6217)</f>
      </c>
    </row>
    <row r="6218">
      <c r="A6218"/>
      <c r="B6218">
        <v>13</v>
      </c>
      <c r="C6218" s="43">
        <f>INDEX(DarlObj,13)</f>
      </c>
      <c r="D6218">
        <v>455</v>
      </c>
      <c r="E6218" s="51">
        <f>IF(INDEX(DarlBelegt,13)=0,0,EOMONTH(INDEX(DarlAuszahlung,13),454)+1)</f>
      </c>
      <c r="F6218" s="43">
        <f>IF($E6218=0,0,YEAR($E6218))</f>
      </c>
      <c r="G6218" s="43">
        <f>IF(INDEX(DarlBindung,13)="",1,IF($E6218&lt;=INDEX(DarlBindung,13),1,0))</f>
      </c>
      <c r="H6218" s="43">
        <f>IF($G6218=1,INDEX(DarlSollzins,13),INDEX(DarlAnschluss,13))</f>
      </c>
      <c r="I6218" s="43">
        <f>IF(INDEX(DarlBelegt,13)=0,0,IF(INDEX(DarlOhneTilgung,13)=1,IF(INDEX(DarlBindung,13)="",1,$G6218),IF($J6218&gt;0.005,1,0)))</f>
      </c>
      <c r="J6218" s="43">
        <f>IF($I6217=0,0,$R6217)</f>
      </c>
      <c r="K6218" s="43">
        <f>IF($I6218=0,0,IF(INDEX(DarlOhneTilgung,13)=1,0,IF(AND(INDEX(DarlTilgStart,13)&gt;0,$E6218=INDEX(DarlTilgStart,13)),$J6218*($H6218+INDEX(DarlTilgung,13))/100/12,IF(AND($G6218=0,$G6217=1),MAX($K6217,$J6218*($H6218+1)/100/12),$K6217))))</f>
      </c>
      <c r="L6218" s="43">
        <f>IF($I6218=0,0,$J6218*$H6218/100/12)</f>
      </c>
      <c r="M6218" s="43">
        <f>IF($I6218=0,0,IF(OR(INDEX(DarlOhneTilgung,13)=1,AND(INDEX(DarlTilgStart,13)&gt;0,$E6218&lt;INDEX(DarlTilgStart,13))),0,MIN(MAX(0,$K6218-$L6218),$J6218)))</f>
      </c>
      <c r="N6218" s="43">
        <f>IF($I6218=0,0,MIN(SUMIFS(SondBetrag,SondDarl,13,SondDatum,"&gt;="&amp;$E6218,SondDatum,"&lt;="&amp;EOMONTH($E6218,0)),$J6218-$M6218))</f>
      </c>
      <c r="O6218" s="43">
        <f>IF($I6218=0,0,INDEX(DarlErsatzRate,13))</f>
      </c>
      <c r="P6218" s="43">
        <f>IF($I6218=0,0,$Q6217*INDEX(DarlErsatzZins,13))</f>
      </c>
      <c r="Q6218" s="43">
        <f>IF($I6218=0,0,$Q6217+$P6218+$O6218)</f>
      </c>
      <c r="R6218" s="43">
        <f>IF($I6218=0,0,$J6218-$M6218-$N6218)</f>
      </c>
    </row>
    <row r="6219">
      <c r="A6219"/>
      <c r="B6219">
        <v>13</v>
      </c>
      <c r="C6219" s="43">
        <f>INDEX(DarlObj,13)</f>
      </c>
      <c r="D6219">
        <v>456</v>
      </c>
      <c r="E6219" s="51">
        <f>IF(INDEX(DarlBelegt,13)=0,0,EOMONTH(INDEX(DarlAuszahlung,13),455)+1)</f>
      </c>
      <c r="F6219" s="43">
        <f>IF($E6219=0,0,YEAR($E6219))</f>
      </c>
      <c r="G6219" s="43">
        <f>IF(INDEX(DarlBindung,13)="",1,IF($E6219&lt;=INDEX(DarlBindung,13),1,0))</f>
      </c>
      <c r="H6219" s="43">
        <f>IF($G6219=1,INDEX(DarlSollzins,13),INDEX(DarlAnschluss,13))</f>
      </c>
      <c r="I6219" s="43">
        <f>IF(INDEX(DarlBelegt,13)=0,0,IF(INDEX(DarlOhneTilgung,13)=1,IF(INDEX(DarlBindung,13)="",1,$G6219),IF($J6219&gt;0.005,1,0)))</f>
      </c>
      <c r="J6219" s="43">
        <f>IF($I6218=0,0,$R6218)</f>
      </c>
      <c r="K6219" s="43">
        <f>IF($I6219=0,0,IF(INDEX(DarlOhneTilgung,13)=1,0,IF(AND(INDEX(DarlTilgStart,13)&gt;0,$E6219=INDEX(DarlTilgStart,13)),$J6219*($H6219+INDEX(DarlTilgung,13))/100/12,IF(AND($G6219=0,$G6218=1),MAX($K6218,$J6219*($H6219+1)/100/12),$K6218))))</f>
      </c>
      <c r="L6219" s="43">
        <f>IF($I6219=0,0,$J6219*$H6219/100/12)</f>
      </c>
      <c r="M6219" s="43">
        <f>IF($I6219=0,0,IF(OR(INDEX(DarlOhneTilgung,13)=1,AND(INDEX(DarlTilgStart,13)&gt;0,$E6219&lt;INDEX(DarlTilgStart,13))),0,MIN(MAX(0,$K6219-$L6219),$J6219)))</f>
      </c>
      <c r="N6219" s="43">
        <f>IF($I6219=0,0,MIN(SUMIFS(SondBetrag,SondDarl,13,SondDatum,"&gt;="&amp;$E6219,SondDatum,"&lt;="&amp;EOMONTH($E6219,0)),$J6219-$M6219))</f>
      </c>
      <c r="O6219" s="43">
        <f>IF($I6219=0,0,INDEX(DarlErsatzRate,13))</f>
      </c>
      <c r="P6219" s="43">
        <f>IF($I6219=0,0,$Q6218*INDEX(DarlErsatzZins,13))</f>
      </c>
      <c r="Q6219" s="43">
        <f>IF($I6219=0,0,$Q6218+$P6219+$O6219)</f>
      </c>
      <c r="R6219" s="43">
        <f>IF($I6219=0,0,$J6219-$M6219-$N6219)</f>
      </c>
    </row>
    <row r="6220">
      <c r="A6220"/>
      <c r="B6220">
        <v>13</v>
      </c>
      <c r="C6220" s="43">
        <f>INDEX(DarlObj,13)</f>
      </c>
      <c r="D6220">
        <v>457</v>
      </c>
      <c r="E6220" s="51">
        <f>IF(INDEX(DarlBelegt,13)=0,0,EOMONTH(INDEX(DarlAuszahlung,13),456)+1)</f>
      </c>
      <c r="F6220" s="43">
        <f>IF($E6220=0,0,YEAR($E6220))</f>
      </c>
      <c r="G6220" s="43">
        <f>IF(INDEX(DarlBindung,13)="",1,IF($E6220&lt;=INDEX(DarlBindung,13),1,0))</f>
      </c>
      <c r="H6220" s="43">
        <f>IF($G6220=1,INDEX(DarlSollzins,13),INDEX(DarlAnschluss,13))</f>
      </c>
      <c r="I6220" s="43">
        <f>IF(INDEX(DarlBelegt,13)=0,0,IF(INDEX(DarlOhneTilgung,13)=1,IF(INDEX(DarlBindung,13)="",1,$G6220),IF($J6220&gt;0.005,1,0)))</f>
      </c>
      <c r="J6220" s="43">
        <f>IF($I6219=0,0,$R6219)</f>
      </c>
      <c r="K6220" s="43">
        <f>IF($I6220=0,0,IF(INDEX(DarlOhneTilgung,13)=1,0,IF(AND(INDEX(DarlTilgStart,13)&gt;0,$E6220=INDEX(DarlTilgStart,13)),$J6220*($H6220+INDEX(DarlTilgung,13))/100/12,IF(AND($G6220=0,$G6219=1),MAX($K6219,$J6220*($H6220+1)/100/12),$K6219))))</f>
      </c>
      <c r="L6220" s="43">
        <f>IF($I6220=0,0,$J6220*$H6220/100/12)</f>
      </c>
      <c r="M6220" s="43">
        <f>IF($I6220=0,0,IF(OR(INDEX(DarlOhneTilgung,13)=1,AND(INDEX(DarlTilgStart,13)&gt;0,$E6220&lt;INDEX(DarlTilgStart,13))),0,MIN(MAX(0,$K6220-$L6220),$J6220)))</f>
      </c>
      <c r="N6220" s="43">
        <f>IF($I6220=0,0,MIN(SUMIFS(SondBetrag,SondDarl,13,SondDatum,"&gt;="&amp;$E6220,SondDatum,"&lt;="&amp;EOMONTH($E6220,0)),$J6220-$M6220))</f>
      </c>
      <c r="O6220" s="43">
        <f>IF($I6220=0,0,INDEX(DarlErsatzRate,13))</f>
      </c>
      <c r="P6220" s="43">
        <f>IF($I6220=0,0,$Q6219*INDEX(DarlErsatzZins,13))</f>
      </c>
      <c r="Q6220" s="43">
        <f>IF($I6220=0,0,$Q6219+$P6220+$O6220)</f>
      </c>
      <c r="R6220" s="43">
        <f>IF($I6220=0,0,$J6220-$M6220-$N6220)</f>
      </c>
    </row>
    <row r="6221">
      <c r="A6221"/>
      <c r="B6221">
        <v>13</v>
      </c>
      <c r="C6221" s="43">
        <f>INDEX(DarlObj,13)</f>
      </c>
      <c r="D6221">
        <v>458</v>
      </c>
      <c r="E6221" s="51">
        <f>IF(INDEX(DarlBelegt,13)=0,0,EOMONTH(INDEX(DarlAuszahlung,13),457)+1)</f>
      </c>
      <c r="F6221" s="43">
        <f>IF($E6221=0,0,YEAR($E6221))</f>
      </c>
      <c r="G6221" s="43">
        <f>IF(INDEX(DarlBindung,13)="",1,IF($E6221&lt;=INDEX(DarlBindung,13),1,0))</f>
      </c>
      <c r="H6221" s="43">
        <f>IF($G6221=1,INDEX(DarlSollzins,13),INDEX(DarlAnschluss,13))</f>
      </c>
      <c r="I6221" s="43">
        <f>IF(INDEX(DarlBelegt,13)=0,0,IF(INDEX(DarlOhneTilgung,13)=1,IF(INDEX(DarlBindung,13)="",1,$G6221),IF($J6221&gt;0.005,1,0)))</f>
      </c>
      <c r="J6221" s="43">
        <f>IF($I6220=0,0,$R6220)</f>
      </c>
      <c r="K6221" s="43">
        <f>IF($I6221=0,0,IF(INDEX(DarlOhneTilgung,13)=1,0,IF(AND(INDEX(DarlTilgStart,13)&gt;0,$E6221=INDEX(DarlTilgStart,13)),$J6221*($H6221+INDEX(DarlTilgung,13))/100/12,IF(AND($G6221=0,$G6220=1),MAX($K6220,$J6221*($H6221+1)/100/12),$K6220))))</f>
      </c>
      <c r="L6221" s="43">
        <f>IF($I6221=0,0,$J6221*$H6221/100/12)</f>
      </c>
      <c r="M6221" s="43">
        <f>IF($I6221=0,0,IF(OR(INDEX(DarlOhneTilgung,13)=1,AND(INDEX(DarlTilgStart,13)&gt;0,$E6221&lt;INDEX(DarlTilgStart,13))),0,MIN(MAX(0,$K6221-$L6221),$J6221)))</f>
      </c>
      <c r="N6221" s="43">
        <f>IF($I6221=0,0,MIN(SUMIFS(SondBetrag,SondDarl,13,SondDatum,"&gt;="&amp;$E6221,SondDatum,"&lt;="&amp;EOMONTH($E6221,0)),$J6221-$M6221))</f>
      </c>
      <c r="O6221" s="43">
        <f>IF($I6221=0,0,INDEX(DarlErsatzRate,13))</f>
      </c>
      <c r="P6221" s="43">
        <f>IF($I6221=0,0,$Q6220*INDEX(DarlErsatzZins,13))</f>
      </c>
      <c r="Q6221" s="43">
        <f>IF($I6221=0,0,$Q6220+$P6221+$O6221)</f>
      </c>
      <c r="R6221" s="43">
        <f>IF($I6221=0,0,$J6221-$M6221-$N6221)</f>
      </c>
    </row>
    <row r="6222">
      <c r="A6222"/>
      <c r="B6222">
        <v>13</v>
      </c>
      <c r="C6222" s="43">
        <f>INDEX(DarlObj,13)</f>
      </c>
      <c r="D6222">
        <v>459</v>
      </c>
      <c r="E6222" s="51">
        <f>IF(INDEX(DarlBelegt,13)=0,0,EOMONTH(INDEX(DarlAuszahlung,13),458)+1)</f>
      </c>
      <c r="F6222" s="43">
        <f>IF($E6222=0,0,YEAR($E6222))</f>
      </c>
      <c r="G6222" s="43">
        <f>IF(INDEX(DarlBindung,13)="",1,IF($E6222&lt;=INDEX(DarlBindung,13),1,0))</f>
      </c>
      <c r="H6222" s="43">
        <f>IF($G6222=1,INDEX(DarlSollzins,13),INDEX(DarlAnschluss,13))</f>
      </c>
      <c r="I6222" s="43">
        <f>IF(INDEX(DarlBelegt,13)=0,0,IF(INDEX(DarlOhneTilgung,13)=1,IF(INDEX(DarlBindung,13)="",1,$G6222),IF($J6222&gt;0.005,1,0)))</f>
      </c>
      <c r="J6222" s="43">
        <f>IF($I6221=0,0,$R6221)</f>
      </c>
      <c r="K6222" s="43">
        <f>IF($I6222=0,0,IF(INDEX(DarlOhneTilgung,13)=1,0,IF(AND(INDEX(DarlTilgStart,13)&gt;0,$E6222=INDEX(DarlTilgStart,13)),$J6222*($H6222+INDEX(DarlTilgung,13))/100/12,IF(AND($G6222=0,$G6221=1),MAX($K6221,$J6222*($H6222+1)/100/12),$K6221))))</f>
      </c>
      <c r="L6222" s="43">
        <f>IF($I6222=0,0,$J6222*$H6222/100/12)</f>
      </c>
      <c r="M6222" s="43">
        <f>IF($I6222=0,0,IF(OR(INDEX(DarlOhneTilgung,13)=1,AND(INDEX(DarlTilgStart,13)&gt;0,$E6222&lt;INDEX(DarlTilgStart,13))),0,MIN(MAX(0,$K6222-$L6222),$J6222)))</f>
      </c>
      <c r="N6222" s="43">
        <f>IF($I6222=0,0,MIN(SUMIFS(SondBetrag,SondDarl,13,SondDatum,"&gt;="&amp;$E6222,SondDatum,"&lt;="&amp;EOMONTH($E6222,0)),$J6222-$M6222))</f>
      </c>
      <c r="O6222" s="43">
        <f>IF($I6222=0,0,INDEX(DarlErsatzRate,13))</f>
      </c>
      <c r="P6222" s="43">
        <f>IF($I6222=0,0,$Q6221*INDEX(DarlErsatzZins,13))</f>
      </c>
      <c r="Q6222" s="43">
        <f>IF($I6222=0,0,$Q6221+$P6222+$O6222)</f>
      </c>
      <c r="R6222" s="43">
        <f>IF($I6222=0,0,$J6222-$M6222-$N6222)</f>
      </c>
    </row>
    <row r="6223">
      <c r="A6223"/>
      <c r="B6223">
        <v>13</v>
      </c>
      <c r="C6223" s="43">
        <f>INDEX(DarlObj,13)</f>
      </c>
      <c r="D6223">
        <v>460</v>
      </c>
      <c r="E6223" s="51">
        <f>IF(INDEX(DarlBelegt,13)=0,0,EOMONTH(INDEX(DarlAuszahlung,13),459)+1)</f>
      </c>
      <c r="F6223" s="43">
        <f>IF($E6223=0,0,YEAR($E6223))</f>
      </c>
      <c r="G6223" s="43">
        <f>IF(INDEX(DarlBindung,13)="",1,IF($E6223&lt;=INDEX(DarlBindung,13),1,0))</f>
      </c>
      <c r="H6223" s="43">
        <f>IF($G6223=1,INDEX(DarlSollzins,13),INDEX(DarlAnschluss,13))</f>
      </c>
      <c r="I6223" s="43">
        <f>IF(INDEX(DarlBelegt,13)=0,0,IF(INDEX(DarlOhneTilgung,13)=1,IF(INDEX(DarlBindung,13)="",1,$G6223),IF($J6223&gt;0.005,1,0)))</f>
      </c>
      <c r="J6223" s="43">
        <f>IF($I6222=0,0,$R6222)</f>
      </c>
      <c r="K6223" s="43">
        <f>IF($I6223=0,0,IF(INDEX(DarlOhneTilgung,13)=1,0,IF(AND(INDEX(DarlTilgStart,13)&gt;0,$E6223=INDEX(DarlTilgStart,13)),$J6223*($H6223+INDEX(DarlTilgung,13))/100/12,IF(AND($G6223=0,$G6222=1),MAX($K6222,$J6223*($H6223+1)/100/12),$K6222))))</f>
      </c>
      <c r="L6223" s="43">
        <f>IF($I6223=0,0,$J6223*$H6223/100/12)</f>
      </c>
      <c r="M6223" s="43">
        <f>IF($I6223=0,0,IF(OR(INDEX(DarlOhneTilgung,13)=1,AND(INDEX(DarlTilgStart,13)&gt;0,$E6223&lt;INDEX(DarlTilgStart,13))),0,MIN(MAX(0,$K6223-$L6223),$J6223)))</f>
      </c>
      <c r="N6223" s="43">
        <f>IF($I6223=0,0,MIN(SUMIFS(SondBetrag,SondDarl,13,SondDatum,"&gt;="&amp;$E6223,SondDatum,"&lt;="&amp;EOMONTH($E6223,0)),$J6223-$M6223))</f>
      </c>
      <c r="O6223" s="43">
        <f>IF($I6223=0,0,INDEX(DarlErsatzRate,13))</f>
      </c>
      <c r="P6223" s="43">
        <f>IF($I6223=0,0,$Q6222*INDEX(DarlErsatzZins,13))</f>
      </c>
      <c r="Q6223" s="43">
        <f>IF($I6223=0,0,$Q6222+$P6223+$O6223)</f>
      </c>
      <c r="R6223" s="43">
        <f>IF($I6223=0,0,$J6223-$M6223-$N6223)</f>
      </c>
    </row>
    <row r="6224">
      <c r="A6224"/>
      <c r="B6224">
        <v>13</v>
      </c>
      <c r="C6224" s="43">
        <f>INDEX(DarlObj,13)</f>
      </c>
      <c r="D6224">
        <v>461</v>
      </c>
      <c r="E6224" s="51">
        <f>IF(INDEX(DarlBelegt,13)=0,0,EOMONTH(INDEX(DarlAuszahlung,13),460)+1)</f>
      </c>
      <c r="F6224" s="43">
        <f>IF($E6224=0,0,YEAR($E6224))</f>
      </c>
      <c r="G6224" s="43">
        <f>IF(INDEX(DarlBindung,13)="",1,IF($E6224&lt;=INDEX(DarlBindung,13),1,0))</f>
      </c>
      <c r="H6224" s="43">
        <f>IF($G6224=1,INDEX(DarlSollzins,13),INDEX(DarlAnschluss,13))</f>
      </c>
      <c r="I6224" s="43">
        <f>IF(INDEX(DarlBelegt,13)=0,0,IF(INDEX(DarlOhneTilgung,13)=1,IF(INDEX(DarlBindung,13)="",1,$G6224),IF($J6224&gt;0.005,1,0)))</f>
      </c>
      <c r="J6224" s="43">
        <f>IF($I6223=0,0,$R6223)</f>
      </c>
      <c r="K6224" s="43">
        <f>IF($I6224=0,0,IF(INDEX(DarlOhneTilgung,13)=1,0,IF(AND(INDEX(DarlTilgStart,13)&gt;0,$E6224=INDEX(DarlTilgStart,13)),$J6224*($H6224+INDEX(DarlTilgung,13))/100/12,IF(AND($G6224=0,$G6223=1),MAX($K6223,$J6224*($H6224+1)/100/12),$K6223))))</f>
      </c>
      <c r="L6224" s="43">
        <f>IF($I6224=0,0,$J6224*$H6224/100/12)</f>
      </c>
      <c r="M6224" s="43">
        <f>IF($I6224=0,0,IF(OR(INDEX(DarlOhneTilgung,13)=1,AND(INDEX(DarlTilgStart,13)&gt;0,$E6224&lt;INDEX(DarlTilgStart,13))),0,MIN(MAX(0,$K6224-$L6224),$J6224)))</f>
      </c>
      <c r="N6224" s="43">
        <f>IF($I6224=0,0,MIN(SUMIFS(SondBetrag,SondDarl,13,SondDatum,"&gt;="&amp;$E6224,SondDatum,"&lt;="&amp;EOMONTH($E6224,0)),$J6224-$M6224))</f>
      </c>
      <c r="O6224" s="43">
        <f>IF($I6224=0,0,INDEX(DarlErsatzRate,13))</f>
      </c>
      <c r="P6224" s="43">
        <f>IF($I6224=0,0,$Q6223*INDEX(DarlErsatzZins,13))</f>
      </c>
      <c r="Q6224" s="43">
        <f>IF($I6224=0,0,$Q6223+$P6224+$O6224)</f>
      </c>
      <c r="R6224" s="43">
        <f>IF($I6224=0,0,$J6224-$M6224-$N6224)</f>
      </c>
    </row>
    <row r="6225">
      <c r="A6225"/>
      <c r="B6225">
        <v>13</v>
      </c>
      <c r="C6225" s="43">
        <f>INDEX(DarlObj,13)</f>
      </c>
      <c r="D6225">
        <v>462</v>
      </c>
      <c r="E6225" s="51">
        <f>IF(INDEX(DarlBelegt,13)=0,0,EOMONTH(INDEX(DarlAuszahlung,13),461)+1)</f>
      </c>
      <c r="F6225" s="43">
        <f>IF($E6225=0,0,YEAR($E6225))</f>
      </c>
      <c r="G6225" s="43">
        <f>IF(INDEX(DarlBindung,13)="",1,IF($E6225&lt;=INDEX(DarlBindung,13),1,0))</f>
      </c>
      <c r="H6225" s="43">
        <f>IF($G6225=1,INDEX(DarlSollzins,13),INDEX(DarlAnschluss,13))</f>
      </c>
      <c r="I6225" s="43">
        <f>IF(INDEX(DarlBelegt,13)=0,0,IF(INDEX(DarlOhneTilgung,13)=1,IF(INDEX(DarlBindung,13)="",1,$G6225),IF($J6225&gt;0.005,1,0)))</f>
      </c>
      <c r="J6225" s="43">
        <f>IF($I6224=0,0,$R6224)</f>
      </c>
      <c r="K6225" s="43">
        <f>IF($I6225=0,0,IF(INDEX(DarlOhneTilgung,13)=1,0,IF(AND(INDEX(DarlTilgStart,13)&gt;0,$E6225=INDEX(DarlTilgStart,13)),$J6225*($H6225+INDEX(DarlTilgung,13))/100/12,IF(AND($G6225=0,$G6224=1),MAX($K6224,$J6225*($H6225+1)/100/12),$K6224))))</f>
      </c>
      <c r="L6225" s="43">
        <f>IF($I6225=0,0,$J6225*$H6225/100/12)</f>
      </c>
      <c r="M6225" s="43">
        <f>IF($I6225=0,0,IF(OR(INDEX(DarlOhneTilgung,13)=1,AND(INDEX(DarlTilgStart,13)&gt;0,$E6225&lt;INDEX(DarlTilgStart,13))),0,MIN(MAX(0,$K6225-$L6225),$J6225)))</f>
      </c>
      <c r="N6225" s="43">
        <f>IF($I6225=0,0,MIN(SUMIFS(SondBetrag,SondDarl,13,SondDatum,"&gt;="&amp;$E6225,SondDatum,"&lt;="&amp;EOMONTH($E6225,0)),$J6225-$M6225))</f>
      </c>
      <c r="O6225" s="43">
        <f>IF($I6225=0,0,INDEX(DarlErsatzRate,13))</f>
      </c>
      <c r="P6225" s="43">
        <f>IF($I6225=0,0,$Q6224*INDEX(DarlErsatzZins,13))</f>
      </c>
      <c r="Q6225" s="43">
        <f>IF($I6225=0,0,$Q6224+$P6225+$O6225)</f>
      </c>
      <c r="R6225" s="43">
        <f>IF($I6225=0,0,$J6225-$M6225-$N6225)</f>
      </c>
    </row>
    <row r="6226">
      <c r="A6226"/>
      <c r="B6226">
        <v>13</v>
      </c>
      <c r="C6226" s="43">
        <f>INDEX(DarlObj,13)</f>
      </c>
      <c r="D6226">
        <v>463</v>
      </c>
      <c r="E6226" s="51">
        <f>IF(INDEX(DarlBelegt,13)=0,0,EOMONTH(INDEX(DarlAuszahlung,13),462)+1)</f>
      </c>
      <c r="F6226" s="43">
        <f>IF($E6226=0,0,YEAR($E6226))</f>
      </c>
      <c r="G6226" s="43">
        <f>IF(INDEX(DarlBindung,13)="",1,IF($E6226&lt;=INDEX(DarlBindung,13),1,0))</f>
      </c>
      <c r="H6226" s="43">
        <f>IF($G6226=1,INDEX(DarlSollzins,13),INDEX(DarlAnschluss,13))</f>
      </c>
      <c r="I6226" s="43">
        <f>IF(INDEX(DarlBelegt,13)=0,0,IF(INDEX(DarlOhneTilgung,13)=1,IF(INDEX(DarlBindung,13)="",1,$G6226),IF($J6226&gt;0.005,1,0)))</f>
      </c>
      <c r="J6226" s="43">
        <f>IF($I6225=0,0,$R6225)</f>
      </c>
      <c r="K6226" s="43">
        <f>IF($I6226=0,0,IF(INDEX(DarlOhneTilgung,13)=1,0,IF(AND(INDEX(DarlTilgStart,13)&gt;0,$E6226=INDEX(DarlTilgStart,13)),$J6226*($H6226+INDEX(DarlTilgung,13))/100/12,IF(AND($G6226=0,$G6225=1),MAX($K6225,$J6226*($H6226+1)/100/12),$K6225))))</f>
      </c>
      <c r="L6226" s="43">
        <f>IF($I6226=0,0,$J6226*$H6226/100/12)</f>
      </c>
      <c r="M6226" s="43">
        <f>IF($I6226=0,0,IF(OR(INDEX(DarlOhneTilgung,13)=1,AND(INDEX(DarlTilgStart,13)&gt;0,$E6226&lt;INDEX(DarlTilgStart,13))),0,MIN(MAX(0,$K6226-$L6226),$J6226)))</f>
      </c>
      <c r="N6226" s="43">
        <f>IF($I6226=0,0,MIN(SUMIFS(SondBetrag,SondDarl,13,SondDatum,"&gt;="&amp;$E6226,SondDatum,"&lt;="&amp;EOMONTH($E6226,0)),$J6226-$M6226))</f>
      </c>
      <c r="O6226" s="43">
        <f>IF($I6226=0,0,INDEX(DarlErsatzRate,13))</f>
      </c>
      <c r="P6226" s="43">
        <f>IF($I6226=0,0,$Q6225*INDEX(DarlErsatzZins,13))</f>
      </c>
      <c r="Q6226" s="43">
        <f>IF($I6226=0,0,$Q6225+$P6226+$O6226)</f>
      </c>
      <c r="R6226" s="43">
        <f>IF($I6226=0,0,$J6226-$M6226-$N6226)</f>
      </c>
    </row>
    <row r="6227">
      <c r="A6227"/>
      <c r="B6227">
        <v>13</v>
      </c>
      <c r="C6227" s="43">
        <f>INDEX(DarlObj,13)</f>
      </c>
      <c r="D6227">
        <v>464</v>
      </c>
      <c r="E6227" s="51">
        <f>IF(INDEX(DarlBelegt,13)=0,0,EOMONTH(INDEX(DarlAuszahlung,13),463)+1)</f>
      </c>
      <c r="F6227" s="43">
        <f>IF($E6227=0,0,YEAR($E6227))</f>
      </c>
      <c r="G6227" s="43">
        <f>IF(INDEX(DarlBindung,13)="",1,IF($E6227&lt;=INDEX(DarlBindung,13),1,0))</f>
      </c>
      <c r="H6227" s="43">
        <f>IF($G6227=1,INDEX(DarlSollzins,13),INDEX(DarlAnschluss,13))</f>
      </c>
      <c r="I6227" s="43">
        <f>IF(INDEX(DarlBelegt,13)=0,0,IF(INDEX(DarlOhneTilgung,13)=1,IF(INDEX(DarlBindung,13)="",1,$G6227),IF($J6227&gt;0.005,1,0)))</f>
      </c>
      <c r="J6227" s="43">
        <f>IF($I6226=0,0,$R6226)</f>
      </c>
      <c r="K6227" s="43">
        <f>IF($I6227=0,0,IF(INDEX(DarlOhneTilgung,13)=1,0,IF(AND(INDEX(DarlTilgStart,13)&gt;0,$E6227=INDEX(DarlTilgStart,13)),$J6227*($H6227+INDEX(DarlTilgung,13))/100/12,IF(AND($G6227=0,$G6226=1),MAX($K6226,$J6227*($H6227+1)/100/12),$K6226))))</f>
      </c>
      <c r="L6227" s="43">
        <f>IF($I6227=0,0,$J6227*$H6227/100/12)</f>
      </c>
      <c r="M6227" s="43">
        <f>IF($I6227=0,0,IF(OR(INDEX(DarlOhneTilgung,13)=1,AND(INDEX(DarlTilgStart,13)&gt;0,$E6227&lt;INDEX(DarlTilgStart,13))),0,MIN(MAX(0,$K6227-$L6227),$J6227)))</f>
      </c>
      <c r="N6227" s="43">
        <f>IF($I6227=0,0,MIN(SUMIFS(SondBetrag,SondDarl,13,SondDatum,"&gt;="&amp;$E6227,SondDatum,"&lt;="&amp;EOMONTH($E6227,0)),$J6227-$M6227))</f>
      </c>
      <c r="O6227" s="43">
        <f>IF($I6227=0,0,INDEX(DarlErsatzRate,13))</f>
      </c>
      <c r="P6227" s="43">
        <f>IF($I6227=0,0,$Q6226*INDEX(DarlErsatzZins,13))</f>
      </c>
      <c r="Q6227" s="43">
        <f>IF($I6227=0,0,$Q6226+$P6227+$O6227)</f>
      </c>
      <c r="R6227" s="43">
        <f>IF($I6227=0,0,$J6227-$M6227-$N6227)</f>
      </c>
    </row>
    <row r="6228">
      <c r="A6228"/>
      <c r="B6228">
        <v>13</v>
      </c>
      <c r="C6228" s="43">
        <f>INDEX(DarlObj,13)</f>
      </c>
      <c r="D6228">
        <v>465</v>
      </c>
      <c r="E6228" s="51">
        <f>IF(INDEX(DarlBelegt,13)=0,0,EOMONTH(INDEX(DarlAuszahlung,13),464)+1)</f>
      </c>
      <c r="F6228" s="43">
        <f>IF($E6228=0,0,YEAR($E6228))</f>
      </c>
      <c r="G6228" s="43">
        <f>IF(INDEX(DarlBindung,13)="",1,IF($E6228&lt;=INDEX(DarlBindung,13),1,0))</f>
      </c>
      <c r="H6228" s="43">
        <f>IF($G6228=1,INDEX(DarlSollzins,13),INDEX(DarlAnschluss,13))</f>
      </c>
      <c r="I6228" s="43">
        <f>IF(INDEX(DarlBelegt,13)=0,0,IF(INDEX(DarlOhneTilgung,13)=1,IF(INDEX(DarlBindung,13)="",1,$G6228),IF($J6228&gt;0.005,1,0)))</f>
      </c>
      <c r="J6228" s="43">
        <f>IF($I6227=0,0,$R6227)</f>
      </c>
      <c r="K6228" s="43">
        <f>IF($I6228=0,0,IF(INDEX(DarlOhneTilgung,13)=1,0,IF(AND(INDEX(DarlTilgStart,13)&gt;0,$E6228=INDEX(DarlTilgStart,13)),$J6228*($H6228+INDEX(DarlTilgung,13))/100/12,IF(AND($G6228=0,$G6227=1),MAX($K6227,$J6228*($H6228+1)/100/12),$K6227))))</f>
      </c>
      <c r="L6228" s="43">
        <f>IF($I6228=0,0,$J6228*$H6228/100/12)</f>
      </c>
      <c r="M6228" s="43">
        <f>IF($I6228=0,0,IF(OR(INDEX(DarlOhneTilgung,13)=1,AND(INDEX(DarlTilgStart,13)&gt;0,$E6228&lt;INDEX(DarlTilgStart,13))),0,MIN(MAX(0,$K6228-$L6228),$J6228)))</f>
      </c>
      <c r="N6228" s="43">
        <f>IF($I6228=0,0,MIN(SUMIFS(SondBetrag,SondDarl,13,SondDatum,"&gt;="&amp;$E6228,SondDatum,"&lt;="&amp;EOMONTH($E6228,0)),$J6228-$M6228))</f>
      </c>
      <c r="O6228" s="43">
        <f>IF($I6228=0,0,INDEX(DarlErsatzRate,13))</f>
      </c>
      <c r="P6228" s="43">
        <f>IF($I6228=0,0,$Q6227*INDEX(DarlErsatzZins,13))</f>
      </c>
      <c r="Q6228" s="43">
        <f>IF($I6228=0,0,$Q6227+$P6228+$O6228)</f>
      </c>
      <c r="R6228" s="43">
        <f>IF($I6228=0,0,$J6228-$M6228-$N6228)</f>
      </c>
    </row>
    <row r="6229">
      <c r="A6229"/>
      <c r="B6229">
        <v>13</v>
      </c>
      <c r="C6229" s="43">
        <f>INDEX(DarlObj,13)</f>
      </c>
      <c r="D6229">
        <v>466</v>
      </c>
      <c r="E6229" s="51">
        <f>IF(INDEX(DarlBelegt,13)=0,0,EOMONTH(INDEX(DarlAuszahlung,13),465)+1)</f>
      </c>
      <c r="F6229" s="43">
        <f>IF($E6229=0,0,YEAR($E6229))</f>
      </c>
      <c r="G6229" s="43">
        <f>IF(INDEX(DarlBindung,13)="",1,IF($E6229&lt;=INDEX(DarlBindung,13),1,0))</f>
      </c>
      <c r="H6229" s="43">
        <f>IF($G6229=1,INDEX(DarlSollzins,13),INDEX(DarlAnschluss,13))</f>
      </c>
      <c r="I6229" s="43">
        <f>IF(INDEX(DarlBelegt,13)=0,0,IF(INDEX(DarlOhneTilgung,13)=1,IF(INDEX(DarlBindung,13)="",1,$G6229),IF($J6229&gt;0.005,1,0)))</f>
      </c>
      <c r="J6229" s="43">
        <f>IF($I6228=0,0,$R6228)</f>
      </c>
      <c r="K6229" s="43">
        <f>IF($I6229=0,0,IF(INDEX(DarlOhneTilgung,13)=1,0,IF(AND(INDEX(DarlTilgStart,13)&gt;0,$E6229=INDEX(DarlTilgStart,13)),$J6229*($H6229+INDEX(DarlTilgung,13))/100/12,IF(AND($G6229=0,$G6228=1),MAX($K6228,$J6229*($H6229+1)/100/12),$K6228))))</f>
      </c>
      <c r="L6229" s="43">
        <f>IF($I6229=0,0,$J6229*$H6229/100/12)</f>
      </c>
      <c r="M6229" s="43">
        <f>IF($I6229=0,0,IF(OR(INDEX(DarlOhneTilgung,13)=1,AND(INDEX(DarlTilgStart,13)&gt;0,$E6229&lt;INDEX(DarlTilgStart,13))),0,MIN(MAX(0,$K6229-$L6229),$J6229)))</f>
      </c>
      <c r="N6229" s="43">
        <f>IF($I6229=0,0,MIN(SUMIFS(SondBetrag,SondDarl,13,SondDatum,"&gt;="&amp;$E6229,SondDatum,"&lt;="&amp;EOMONTH($E6229,0)),$J6229-$M6229))</f>
      </c>
      <c r="O6229" s="43">
        <f>IF($I6229=0,0,INDEX(DarlErsatzRate,13))</f>
      </c>
      <c r="P6229" s="43">
        <f>IF($I6229=0,0,$Q6228*INDEX(DarlErsatzZins,13))</f>
      </c>
      <c r="Q6229" s="43">
        <f>IF($I6229=0,0,$Q6228+$P6229+$O6229)</f>
      </c>
      <c r="R6229" s="43">
        <f>IF($I6229=0,0,$J6229-$M6229-$N6229)</f>
      </c>
    </row>
    <row r="6230">
      <c r="A6230"/>
      <c r="B6230">
        <v>13</v>
      </c>
      <c r="C6230" s="43">
        <f>INDEX(DarlObj,13)</f>
      </c>
      <c r="D6230">
        <v>467</v>
      </c>
      <c r="E6230" s="51">
        <f>IF(INDEX(DarlBelegt,13)=0,0,EOMONTH(INDEX(DarlAuszahlung,13),466)+1)</f>
      </c>
      <c r="F6230" s="43">
        <f>IF($E6230=0,0,YEAR($E6230))</f>
      </c>
      <c r="G6230" s="43">
        <f>IF(INDEX(DarlBindung,13)="",1,IF($E6230&lt;=INDEX(DarlBindung,13),1,0))</f>
      </c>
      <c r="H6230" s="43">
        <f>IF($G6230=1,INDEX(DarlSollzins,13),INDEX(DarlAnschluss,13))</f>
      </c>
      <c r="I6230" s="43">
        <f>IF(INDEX(DarlBelegt,13)=0,0,IF(INDEX(DarlOhneTilgung,13)=1,IF(INDEX(DarlBindung,13)="",1,$G6230),IF($J6230&gt;0.005,1,0)))</f>
      </c>
      <c r="J6230" s="43">
        <f>IF($I6229=0,0,$R6229)</f>
      </c>
      <c r="K6230" s="43">
        <f>IF($I6230=0,0,IF(INDEX(DarlOhneTilgung,13)=1,0,IF(AND(INDEX(DarlTilgStart,13)&gt;0,$E6230=INDEX(DarlTilgStart,13)),$J6230*($H6230+INDEX(DarlTilgung,13))/100/12,IF(AND($G6230=0,$G6229=1),MAX($K6229,$J6230*($H6230+1)/100/12),$K6229))))</f>
      </c>
      <c r="L6230" s="43">
        <f>IF($I6230=0,0,$J6230*$H6230/100/12)</f>
      </c>
      <c r="M6230" s="43">
        <f>IF($I6230=0,0,IF(OR(INDEX(DarlOhneTilgung,13)=1,AND(INDEX(DarlTilgStart,13)&gt;0,$E6230&lt;INDEX(DarlTilgStart,13))),0,MIN(MAX(0,$K6230-$L6230),$J6230)))</f>
      </c>
      <c r="N6230" s="43">
        <f>IF($I6230=0,0,MIN(SUMIFS(SondBetrag,SondDarl,13,SondDatum,"&gt;="&amp;$E6230,SondDatum,"&lt;="&amp;EOMONTH($E6230,0)),$J6230-$M6230))</f>
      </c>
      <c r="O6230" s="43">
        <f>IF($I6230=0,0,INDEX(DarlErsatzRate,13))</f>
      </c>
      <c r="P6230" s="43">
        <f>IF($I6230=0,0,$Q6229*INDEX(DarlErsatzZins,13))</f>
      </c>
      <c r="Q6230" s="43">
        <f>IF($I6230=0,0,$Q6229+$P6230+$O6230)</f>
      </c>
      <c r="R6230" s="43">
        <f>IF($I6230=0,0,$J6230-$M6230-$N6230)</f>
      </c>
    </row>
    <row r="6231">
      <c r="A6231"/>
      <c r="B6231">
        <v>13</v>
      </c>
      <c r="C6231" s="43">
        <f>INDEX(DarlObj,13)</f>
      </c>
      <c r="D6231">
        <v>468</v>
      </c>
      <c r="E6231" s="51">
        <f>IF(INDEX(DarlBelegt,13)=0,0,EOMONTH(INDEX(DarlAuszahlung,13),467)+1)</f>
      </c>
      <c r="F6231" s="43">
        <f>IF($E6231=0,0,YEAR($E6231))</f>
      </c>
      <c r="G6231" s="43">
        <f>IF(INDEX(DarlBindung,13)="",1,IF($E6231&lt;=INDEX(DarlBindung,13),1,0))</f>
      </c>
      <c r="H6231" s="43">
        <f>IF($G6231=1,INDEX(DarlSollzins,13),INDEX(DarlAnschluss,13))</f>
      </c>
      <c r="I6231" s="43">
        <f>IF(INDEX(DarlBelegt,13)=0,0,IF(INDEX(DarlOhneTilgung,13)=1,IF(INDEX(DarlBindung,13)="",1,$G6231),IF($J6231&gt;0.005,1,0)))</f>
      </c>
      <c r="J6231" s="43">
        <f>IF($I6230=0,0,$R6230)</f>
      </c>
      <c r="K6231" s="43">
        <f>IF($I6231=0,0,IF(INDEX(DarlOhneTilgung,13)=1,0,IF(AND(INDEX(DarlTilgStart,13)&gt;0,$E6231=INDEX(DarlTilgStart,13)),$J6231*($H6231+INDEX(DarlTilgung,13))/100/12,IF(AND($G6231=0,$G6230=1),MAX($K6230,$J6231*($H6231+1)/100/12),$K6230))))</f>
      </c>
      <c r="L6231" s="43">
        <f>IF($I6231=0,0,$J6231*$H6231/100/12)</f>
      </c>
      <c r="M6231" s="43">
        <f>IF($I6231=0,0,IF(OR(INDEX(DarlOhneTilgung,13)=1,AND(INDEX(DarlTilgStart,13)&gt;0,$E6231&lt;INDEX(DarlTilgStart,13))),0,MIN(MAX(0,$K6231-$L6231),$J6231)))</f>
      </c>
      <c r="N6231" s="43">
        <f>IF($I6231=0,0,MIN(SUMIFS(SondBetrag,SondDarl,13,SondDatum,"&gt;="&amp;$E6231,SondDatum,"&lt;="&amp;EOMONTH($E6231,0)),$J6231-$M6231))</f>
      </c>
      <c r="O6231" s="43">
        <f>IF($I6231=0,0,INDEX(DarlErsatzRate,13))</f>
      </c>
      <c r="P6231" s="43">
        <f>IF($I6231=0,0,$Q6230*INDEX(DarlErsatzZins,13))</f>
      </c>
      <c r="Q6231" s="43">
        <f>IF($I6231=0,0,$Q6230+$P6231+$O6231)</f>
      </c>
      <c r="R6231" s="43">
        <f>IF($I6231=0,0,$J6231-$M6231-$N6231)</f>
      </c>
    </row>
    <row r="6232">
      <c r="A6232"/>
      <c r="B6232">
        <v>13</v>
      </c>
      <c r="C6232" s="43">
        <f>INDEX(DarlObj,13)</f>
      </c>
      <c r="D6232">
        <v>469</v>
      </c>
      <c r="E6232" s="51">
        <f>IF(INDEX(DarlBelegt,13)=0,0,EOMONTH(INDEX(DarlAuszahlung,13),468)+1)</f>
      </c>
      <c r="F6232" s="43">
        <f>IF($E6232=0,0,YEAR($E6232))</f>
      </c>
      <c r="G6232" s="43">
        <f>IF(INDEX(DarlBindung,13)="",1,IF($E6232&lt;=INDEX(DarlBindung,13),1,0))</f>
      </c>
      <c r="H6232" s="43">
        <f>IF($G6232=1,INDEX(DarlSollzins,13),INDEX(DarlAnschluss,13))</f>
      </c>
      <c r="I6232" s="43">
        <f>IF(INDEX(DarlBelegt,13)=0,0,IF(INDEX(DarlOhneTilgung,13)=1,IF(INDEX(DarlBindung,13)="",1,$G6232),IF($J6232&gt;0.005,1,0)))</f>
      </c>
      <c r="J6232" s="43">
        <f>IF($I6231=0,0,$R6231)</f>
      </c>
      <c r="K6232" s="43">
        <f>IF($I6232=0,0,IF(INDEX(DarlOhneTilgung,13)=1,0,IF(AND(INDEX(DarlTilgStart,13)&gt;0,$E6232=INDEX(DarlTilgStart,13)),$J6232*($H6232+INDEX(DarlTilgung,13))/100/12,IF(AND($G6232=0,$G6231=1),MAX($K6231,$J6232*($H6232+1)/100/12),$K6231))))</f>
      </c>
      <c r="L6232" s="43">
        <f>IF($I6232=0,0,$J6232*$H6232/100/12)</f>
      </c>
      <c r="M6232" s="43">
        <f>IF($I6232=0,0,IF(OR(INDEX(DarlOhneTilgung,13)=1,AND(INDEX(DarlTilgStart,13)&gt;0,$E6232&lt;INDEX(DarlTilgStart,13))),0,MIN(MAX(0,$K6232-$L6232),$J6232)))</f>
      </c>
      <c r="N6232" s="43">
        <f>IF($I6232=0,0,MIN(SUMIFS(SondBetrag,SondDarl,13,SondDatum,"&gt;="&amp;$E6232,SondDatum,"&lt;="&amp;EOMONTH($E6232,0)),$J6232-$M6232))</f>
      </c>
      <c r="O6232" s="43">
        <f>IF($I6232=0,0,INDEX(DarlErsatzRate,13))</f>
      </c>
      <c r="P6232" s="43">
        <f>IF($I6232=0,0,$Q6231*INDEX(DarlErsatzZins,13))</f>
      </c>
      <c r="Q6232" s="43">
        <f>IF($I6232=0,0,$Q6231+$P6232+$O6232)</f>
      </c>
      <c r="R6232" s="43">
        <f>IF($I6232=0,0,$J6232-$M6232-$N6232)</f>
      </c>
    </row>
    <row r="6233">
      <c r="A6233"/>
      <c r="B6233">
        <v>13</v>
      </c>
      <c r="C6233" s="43">
        <f>INDEX(DarlObj,13)</f>
      </c>
      <c r="D6233">
        <v>470</v>
      </c>
      <c r="E6233" s="51">
        <f>IF(INDEX(DarlBelegt,13)=0,0,EOMONTH(INDEX(DarlAuszahlung,13),469)+1)</f>
      </c>
      <c r="F6233" s="43">
        <f>IF($E6233=0,0,YEAR($E6233))</f>
      </c>
      <c r="G6233" s="43">
        <f>IF(INDEX(DarlBindung,13)="",1,IF($E6233&lt;=INDEX(DarlBindung,13),1,0))</f>
      </c>
      <c r="H6233" s="43">
        <f>IF($G6233=1,INDEX(DarlSollzins,13),INDEX(DarlAnschluss,13))</f>
      </c>
      <c r="I6233" s="43">
        <f>IF(INDEX(DarlBelegt,13)=0,0,IF(INDEX(DarlOhneTilgung,13)=1,IF(INDEX(DarlBindung,13)="",1,$G6233),IF($J6233&gt;0.005,1,0)))</f>
      </c>
      <c r="J6233" s="43">
        <f>IF($I6232=0,0,$R6232)</f>
      </c>
      <c r="K6233" s="43">
        <f>IF($I6233=0,0,IF(INDEX(DarlOhneTilgung,13)=1,0,IF(AND(INDEX(DarlTilgStart,13)&gt;0,$E6233=INDEX(DarlTilgStart,13)),$J6233*($H6233+INDEX(DarlTilgung,13))/100/12,IF(AND($G6233=0,$G6232=1),MAX($K6232,$J6233*($H6233+1)/100/12),$K6232))))</f>
      </c>
      <c r="L6233" s="43">
        <f>IF($I6233=0,0,$J6233*$H6233/100/12)</f>
      </c>
      <c r="M6233" s="43">
        <f>IF($I6233=0,0,IF(OR(INDEX(DarlOhneTilgung,13)=1,AND(INDEX(DarlTilgStart,13)&gt;0,$E6233&lt;INDEX(DarlTilgStart,13))),0,MIN(MAX(0,$K6233-$L6233),$J6233)))</f>
      </c>
      <c r="N6233" s="43">
        <f>IF($I6233=0,0,MIN(SUMIFS(SondBetrag,SondDarl,13,SondDatum,"&gt;="&amp;$E6233,SondDatum,"&lt;="&amp;EOMONTH($E6233,0)),$J6233-$M6233))</f>
      </c>
      <c r="O6233" s="43">
        <f>IF($I6233=0,0,INDEX(DarlErsatzRate,13))</f>
      </c>
      <c r="P6233" s="43">
        <f>IF($I6233=0,0,$Q6232*INDEX(DarlErsatzZins,13))</f>
      </c>
      <c r="Q6233" s="43">
        <f>IF($I6233=0,0,$Q6232+$P6233+$O6233)</f>
      </c>
      <c r="R6233" s="43">
        <f>IF($I6233=0,0,$J6233-$M6233-$N6233)</f>
      </c>
    </row>
    <row r="6234">
      <c r="A6234"/>
      <c r="B6234">
        <v>13</v>
      </c>
      <c r="C6234" s="43">
        <f>INDEX(DarlObj,13)</f>
      </c>
      <c r="D6234">
        <v>471</v>
      </c>
      <c r="E6234" s="51">
        <f>IF(INDEX(DarlBelegt,13)=0,0,EOMONTH(INDEX(DarlAuszahlung,13),470)+1)</f>
      </c>
      <c r="F6234" s="43">
        <f>IF($E6234=0,0,YEAR($E6234))</f>
      </c>
      <c r="G6234" s="43">
        <f>IF(INDEX(DarlBindung,13)="",1,IF($E6234&lt;=INDEX(DarlBindung,13),1,0))</f>
      </c>
      <c r="H6234" s="43">
        <f>IF($G6234=1,INDEX(DarlSollzins,13),INDEX(DarlAnschluss,13))</f>
      </c>
      <c r="I6234" s="43">
        <f>IF(INDEX(DarlBelegt,13)=0,0,IF(INDEX(DarlOhneTilgung,13)=1,IF(INDEX(DarlBindung,13)="",1,$G6234),IF($J6234&gt;0.005,1,0)))</f>
      </c>
      <c r="J6234" s="43">
        <f>IF($I6233=0,0,$R6233)</f>
      </c>
      <c r="K6234" s="43">
        <f>IF($I6234=0,0,IF(INDEX(DarlOhneTilgung,13)=1,0,IF(AND(INDEX(DarlTilgStart,13)&gt;0,$E6234=INDEX(DarlTilgStart,13)),$J6234*($H6234+INDEX(DarlTilgung,13))/100/12,IF(AND($G6234=0,$G6233=1),MAX($K6233,$J6234*($H6234+1)/100/12),$K6233))))</f>
      </c>
      <c r="L6234" s="43">
        <f>IF($I6234=0,0,$J6234*$H6234/100/12)</f>
      </c>
      <c r="M6234" s="43">
        <f>IF($I6234=0,0,IF(OR(INDEX(DarlOhneTilgung,13)=1,AND(INDEX(DarlTilgStart,13)&gt;0,$E6234&lt;INDEX(DarlTilgStart,13))),0,MIN(MAX(0,$K6234-$L6234),$J6234)))</f>
      </c>
      <c r="N6234" s="43">
        <f>IF($I6234=0,0,MIN(SUMIFS(SondBetrag,SondDarl,13,SondDatum,"&gt;="&amp;$E6234,SondDatum,"&lt;="&amp;EOMONTH($E6234,0)),$J6234-$M6234))</f>
      </c>
      <c r="O6234" s="43">
        <f>IF($I6234=0,0,INDEX(DarlErsatzRate,13))</f>
      </c>
      <c r="P6234" s="43">
        <f>IF($I6234=0,0,$Q6233*INDEX(DarlErsatzZins,13))</f>
      </c>
      <c r="Q6234" s="43">
        <f>IF($I6234=0,0,$Q6233+$P6234+$O6234)</f>
      </c>
      <c r="R6234" s="43">
        <f>IF($I6234=0,0,$J6234-$M6234-$N6234)</f>
      </c>
    </row>
    <row r="6235">
      <c r="A6235"/>
      <c r="B6235">
        <v>13</v>
      </c>
      <c r="C6235" s="43">
        <f>INDEX(DarlObj,13)</f>
      </c>
      <c r="D6235">
        <v>472</v>
      </c>
      <c r="E6235" s="51">
        <f>IF(INDEX(DarlBelegt,13)=0,0,EOMONTH(INDEX(DarlAuszahlung,13),471)+1)</f>
      </c>
      <c r="F6235" s="43">
        <f>IF($E6235=0,0,YEAR($E6235))</f>
      </c>
      <c r="G6235" s="43">
        <f>IF(INDEX(DarlBindung,13)="",1,IF($E6235&lt;=INDEX(DarlBindung,13),1,0))</f>
      </c>
      <c r="H6235" s="43">
        <f>IF($G6235=1,INDEX(DarlSollzins,13),INDEX(DarlAnschluss,13))</f>
      </c>
      <c r="I6235" s="43">
        <f>IF(INDEX(DarlBelegt,13)=0,0,IF(INDEX(DarlOhneTilgung,13)=1,IF(INDEX(DarlBindung,13)="",1,$G6235),IF($J6235&gt;0.005,1,0)))</f>
      </c>
      <c r="J6235" s="43">
        <f>IF($I6234=0,0,$R6234)</f>
      </c>
      <c r="K6235" s="43">
        <f>IF($I6235=0,0,IF(INDEX(DarlOhneTilgung,13)=1,0,IF(AND(INDEX(DarlTilgStart,13)&gt;0,$E6235=INDEX(DarlTilgStart,13)),$J6235*($H6235+INDEX(DarlTilgung,13))/100/12,IF(AND($G6235=0,$G6234=1),MAX($K6234,$J6235*($H6235+1)/100/12),$K6234))))</f>
      </c>
      <c r="L6235" s="43">
        <f>IF($I6235=0,0,$J6235*$H6235/100/12)</f>
      </c>
      <c r="M6235" s="43">
        <f>IF($I6235=0,0,IF(OR(INDEX(DarlOhneTilgung,13)=1,AND(INDEX(DarlTilgStart,13)&gt;0,$E6235&lt;INDEX(DarlTilgStart,13))),0,MIN(MAX(0,$K6235-$L6235),$J6235)))</f>
      </c>
      <c r="N6235" s="43">
        <f>IF($I6235=0,0,MIN(SUMIFS(SondBetrag,SondDarl,13,SondDatum,"&gt;="&amp;$E6235,SondDatum,"&lt;="&amp;EOMONTH($E6235,0)),$J6235-$M6235))</f>
      </c>
      <c r="O6235" s="43">
        <f>IF($I6235=0,0,INDEX(DarlErsatzRate,13))</f>
      </c>
      <c r="P6235" s="43">
        <f>IF($I6235=0,0,$Q6234*INDEX(DarlErsatzZins,13))</f>
      </c>
      <c r="Q6235" s="43">
        <f>IF($I6235=0,0,$Q6234+$P6235+$O6235)</f>
      </c>
      <c r="R6235" s="43">
        <f>IF($I6235=0,0,$J6235-$M6235-$N6235)</f>
      </c>
    </row>
    <row r="6236">
      <c r="A6236"/>
      <c r="B6236">
        <v>13</v>
      </c>
      <c r="C6236" s="43">
        <f>INDEX(DarlObj,13)</f>
      </c>
      <c r="D6236">
        <v>473</v>
      </c>
      <c r="E6236" s="51">
        <f>IF(INDEX(DarlBelegt,13)=0,0,EOMONTH(INDEX(DarlAuszahlung,13),472)+1)</f>
      </c>
      <c r="F6236" s="43">
        <f>IF($E6236=0,0,YEAR($E6236))</f>
      </c>
      <c r="G6236" s="43">
        <f>IF(INDEX(DarlBindung,13)="",1,IF($E6236&lt;=INDEX(DarlBindung,13),1,0))</f>
      </c>
      <c r="H6236" s="43">
        <f>IF($G6236=1,INDEX(DarlSollzins,13),INDEX(DarlAnschluss,13))</f>
      </c>
      <c r="I6236" s="43">
        <f>IF(INDEX(DarlBelegt,13)=0,0,IF(INDEX(DarlOhneTilgung,13)=1,IF(INDEX(DarlBindung,13)="",1,$G6236),IF($J6236&gt;0.005,1,0)))</f>
      </c>
      <c r="J6236" s="43">
        <f>IF($I6235=0,0,$R6235)</f>
      </c>
      <c r="K6236" s="43">
        <f>IF($I6236=0,0,IF(INDEX(DarlOhneTilgung,13)=1,0,IF(AND(INDEX(DarlTilgStart,13)&gt;0,$E6236=INDEX(DarlTilgStart,13)),$J6236*($H6236+INDEX(DarlTilgung,13))/100/12,IF(AND($G6236=0,$G6235=1),MAX($K6235,$J6236*($H6236+1)/100/12),$K6235))))</f>
      </c>
      <c r="L6236" s="43">
        <f>IF($I6236=0,0,$J6236*$H6236/100/12)</f>
      </c>
      <c r="M6236" s="43">
        <f>IF($I6236=0,0,IF(OR(INDEX(DarlOhneTilgung,13)=1,AND(INDEX(DarlTilgStart,13)&gt;0,$E6236&lt;INDEX(DarlTilgStart,13))),0,MIN(MAX(0,$K6236-$L6236),$J6236)))</f>
      </c>
      <c r="N6236" s="43">
        <f>IF($I6236=0,0,MIN(SUMIFS(SondBetrag,SondDarl,13,SondDatum,"&gt;="&amp;$E6236,SondDatum,"&lt;="&amp;EOMONTH($E6236,0)),$J6236-$M6236))</f>
      </c>
      <c r="O6236" s="43">
        <f>IF($I6236=0,0,INDEX(DarlErsatzRate,13))</f>
      </c>
      <c r="P6236" s="43">
        <f>IF($I6236=0,0,$Q6235*INDEX(DarlErsatzZins,13))</f>
      </c>
      <c r="Q6236" s="43">
        <f>IF($I6236=0,0,$Q6235+$P6236+$O6236)</f>
      </c>
      <c r="R6236" s="43">
        <f>IF($I6236=0,0,$J6236-$M6236-$N6236)</f>
      </c>
    </row>
    <row r="6237">
      <c r="A6237"/>
      <c r="B6237">
        <v>13</v>
      </c>
      <c r="C6237" s="43">
        <f>INDEX(DarlObj,13)</f>
      </c>
      <c r="D6237">
        <v>474</v>
      </c>
      <c r="E6237" s="51">
        <f>IF(INDEX(DarlBelegt,13)=0,0,EOMONTH(INDEX(DarlAuszahlung,13),473)+1)</f>
      </c>
      <c r="F6237" s="43">
        <f>IF($E6237=0,0,YEAR($E6237))</f>
      </c>
      <c r="G6237" s="43">
        <f>IF(INDEX(DarlBindung,13)="",1,IF($E6237&lt;=INDEX(DarlBindung,13),1,0))</f>
      </c>
      <c r="H6237" s="43">
        <f>IF($G6237=1,INDEX(DarlSollzins,13),INDEX(DarlAnschluss,13))</f>
      </c>
      <c r="I6237" s="43">
        <f>IF(INDEX(DarlBelegt,13)=0,0,IF(INDEX(DarlOhneTilgung,13)=1,IF(INDEX(DarlBindung,13)="",1,$G6237),IF($J6237&gt;0.005,1,0)))</f>
      </c>
      <c r="J6237" s="43">
        <f>IF($I6236=0,0,$R6236)</f>
      </c>
      <c r="K6237" s="43">
        <f>IF($I6237=0,0,IF(INDEX(DarlOhneTilgung,13)=1,0,IF(AND(INDEX(DarlTilgStart,13)&gt;0,$E6237=INDEX(DarlTilgStart,13)),$J6237*($H6237+INDEX(DarlTilgung,13))/100/12,IF(AND($G6237=0,$G6236=1),MAX($K6236,$J6237*($H6237+1)/100/12),$K6236))))</f>
      </c>
      <c r="L6237" s="43">
        <f>IF($I6237=0,0,$J6237*$H6237/100/12)</f>
      </c>
      <c r="M6237" s="43">
        <f>IF($I6237=0,0,IF(OR(INDEX(DarlOhneTilgung,13)=1,AND(INDEX(DarlTilgStart,13)&gt;0,$E6237&lt;INDEX(DarlTilgStart,13))),0,MIN(MAX(0,$K6237-$L6237),$J6237)))</f>
      </c>
      <c r="N6237" s="43">
        <f>IF($I6237=0,0,MIN(SUMIFS(SondBetrag,SondDarl,13,SondDatum,"&gt;="&amp;$E6237,SondDatum,"&lt;="&amp;EOMONTH($E6237,0)),$J6237-$M6237))</f>
      </c>
      <c r="O6237" s="43">
        <f>IF($I6237=0,0,INDEX(DarlErsatzRate,13))</f>
      </c>
      <c r="P6237" s="43">
        <f>IF($I6237=0,0,$Q6236*INDEX(DarlErsatzZins,13))</f>
      </c>
      <c r="Q6237" s="43">
        <f>IF($I6237=0,0,$Q6236+$P6237+$O6237)</f>
      </c>
      <c r="R6237" s="43">
        <f>IF($I6237=0,0,$J6237-$M6237-$N6237)</f>
      </c>
    </row>
    <row r="6238">
      <c r="A6238"/>
      <c r="B6238">
        <v>13</v>
      </c>
      <c r="C6238" s="43">
        <f>INDEX(DarlObj,13)</f>
      </c>
      <c r="D6238">
        <v>475</v>
      </c>
      <c r="E6238" s="51">
        <f>IF(INDEX(DarlBelegt,13)=0,0,EOMONTH(INDEX(DarlAuszahlung,13),474)+1)</f>
      </c>
      <c r="F6238" s="43">
        <f>IF($E6238=0,0,YEAR($E6238))</f>
      </c>
      <c r="G6238" s="43">
        <f>IF(INDEX(DarlBindung,13)="",1,IF($E6238&lt;=INDEX(DarlBindung,13),1,0))</f>
      </c>
      <c r="H6238" s="43">
        <f>IF($G6238=1,INDEX(DarlSollzins,13),INDEX(DarlAnschluss,13))</f>
      </c>
      <c r="I6238" s="43">
        <f>IF(INDEX(DarlBelegt,13)=0,0,IF(INDEX(DarlOhneTilgung,13)=1,IF(INDEX(DarlBindung,13)="",1,$G6238),IF($J6238&gt;0.005,1,0)))</f>
      </c>
      <c r="J6238" s="43">
        <f>IF($I6237=0,0,$R6237)</f>
      </c>
      <c r="K6238" s="43">
        <f>IF($I6238=0,0,IF(INDEX(DarlOhneTilgung,13)=1,0,IF(AND(INDEX(DarlTilgStart,13)&gt;0,$E6238=INDEX(DarlTilgStart,13)),$J6238*($H6238+INDEX(DarlTilgung,13))/100/12,IF(AND($G6238=0,$G6237=1),MAX($K6237,$J6238*($H6238+1)/100/12),$K6237))))</f>
      </c>
      <c r="L6238" s="43">
        <f>IF($I6238=0,0,$J6238*$H6238/100/12)</f>
      </c>
      <c r="M6238" s="43">
        <f>IF($I6238=0,0,IF(OR(INDEX(DarlOhneTilgung,13)=1,AND(INDEX(DarlTilgStart,13)&gt;0,$E6238&lt;INDEX(DarlTilgStart,13))),0,MIN(MAX(0,$K6238-$L6238),$J6238)))</f>
      </c>
      <c r="N6238" s="43">
        <f>IF($I6238=0,0,MIN(SUMIFS(SondBetrag,SondDarl,13,SondDatum,"&gt;="&amp;$E6238,SondDatum,"&lt;="&amp;EOMONTH($E6238,0)),$J6238-$M6238))</f>
      </c>
      <c r="O6238" s="43">
        <f>IF($I6238=0,0,INDEX(DarlErsatzRate,13))</f>
      </c>
      <c r="P6238" s="43">
        <f>IF($I6238=0,0,$Q6237*INDEX(DarlErsatzZins,13))</f>
      </c>
      <c r="Q6238" s="43">
        <f>IF($I6238=0,0,$Q6237+$P6238+$O6238)</f>
      </c>
      <c r="R6238" s="43">
        <f>IF($I6238=0,0,$J6238-$M6238-$N6238)</f>
      </c>
    </row>
    <row r="6239">
      <c r="A6239"/>
      <c r="B6239">
        <v>13</v>
      </c>
      <c r="C6239" s="43">
        <f>INDEX(DarlObj,13)</f>
      </c>
      <c r="D6239">
        <v>476</v>
      </c>
      <c r="E6239" s="51">
        <f>IF(INDEX(DarlBelegt,13)=0,0,EOMONTH(INDEX(DarlAuszahlung,13),475)+1)</f>
      </c>
      <c r="F6239" s="43">
        <f>IF($E6239=0,0,YEAR($E6239))</f>
      </c>
      <c r="G6239" s="43">
        <f>IF(INDEX(DarlBindung,13)="",1,IF($E6239&lt;=INDEX(DarlBindung,13),1,0))</f>
      </c>
      <c r="H6239" s="43">
        <f>IF($G6239=1,INDEX(DarlSollzins,13),INDEX(DarlAnschluss,13))</f>
      </c>
      <c r="I6239" s="43">
        <f>IF(INDEX(DarlBelegt,13)=0,0,IF(INDEX(DarlOhneTilgung,13)=1,IF(INDEX(DarlBindung,13)="",1,$G6239),IF($J6239&gt;0.005,1,0)))</f>
      </c>
      <c r="J6239" s="43">
        <f>IF($I6238=0,0,$R6238)</f>
      </c>
      <c r="K6239" s="43">
        <f>IF($I6239=0,0,IF(INDEX(DarlOhneTilgung,13)=1,0,IF(AND(INDEX(DarlTilgStart,13)&gt;0,$E6239=INDEX(DarlTilgStart,13)),$J6239*($H6239+INDEX(DarlTilgung,13))/100/12,IF(AND($G6239=0,$G6238=1),MAX($K6238,$J6239*($H6239+1)/100/12),$K6238))))</f>
      </c>
      <c r="L6239" s="43">
        <f>IF($I6239=0,0,$J6239*$H6239/100/12)</f>
      </c>
      <c r="M6239" s="43">
        <f>IF($I6239=0,0,IF(OR(INDEX(DarlOhneTilgung,13)=1,AND(INDEX(DarlTilgStart,13)&gt;0,$E6239&lt;INDEX(DarlTilgStart,13))),0,MIN(MAX(0,$K6239-$L6239),$J6239)))</f>
      </c>
      <c r="N6239" s="43">
        <f>IF($I6239=0,0,MIN(SUMIFS(SondBetrag,SondDarl,13,SondDatum,"&gt;="&amp;$E6239,SondDatum,"&lt;="&amp;EOMONTH($E6239,0)),$J6239-$M6239))</f>
      </c>
      <c r="O6239" s="43">
        <f>IF($I6239=0,0,INDEX(DarlErsatzRate,13))</f>
      </c>
      <c r="P6239" s="43">
        <f>IF($I6239=0,0,$Q6238*INDEX(DarlErsatzZins,13))</f>
      </c>
      <c r="Q6239" s="43">
        <f>IF($I6239=0,0,$Q6238+$P6239+$O6239)</f>
      </c>
      <c r="R6239" s="43">
        <f>IF($I6239=0,0,$J6239-$M6239-$N6239)</f>
      </c>
    </row>
    <row r="6240">
      <c r="A6240"/>
      <c r="B6240">
        <v>13</v>
      </c>
      <c r="C6240" s="43">
        <f>INDEX(DarlObj,13)</f>
      </c>
      <c r="D6240">
        <v>477</v>
      </c>
      <c r="E6240" s="51">
        <f>IF(INDEX(DarlBelegt,13)=0,0,EOMONTH(INDEX(DarlAuszahlung,13),476)+1)</f>
      </c>
      <c r="F6240" s="43">
        <f>IF($E6240=0,0,YEAR($E6240))</f>
      </c>
      <c r="G6240" s="43">
        <f>IF(INDEX(DarlBindung,13)="",1,IF($E6240&lt;=INDEX(DarlBindung,13),1,0))</f>
      </c>
      <c r="H6240" s="43">
        <f>IF($G6240=1,INDEX(DarlSollzins,13),INDEX(DarlAnschluss,13))</f>
      </c>
      <c r="I6240" s="43">
        <f>IF(INDEX(DarlBelegt,13)=0,0,IF(INDEX(DarlOhneTilgung,13)=1,IF(INDEX(DarlBindung,13)="",1,$G6240),IF($J6240&gt;0.005,1,0)))</f>
      </c>
      <c r="J6240" s="43">
        <f>IF($I6239=0,0,$R6239)</f>
      </c>
      <c r="K6240" s="43">
        <f>IF($I6240=0,0,IF(INDEX(DarlOhneTilgung,13)=1,0,IF(AND(INDEX(DarlTilgStart,13)&gt;0,$E6240=INDEX(DarlTilgStart,13)),$J6240*($H6240+INDEX(DarlTilgung,13))/100/12,IF(AND($G6240=0,$G6239=1),MAX($K6239,$J6240*($H6240+1)/100/12),$K6239))))</f>
      </c>
      <c r="L6240" s="43">
        <f>IF($I6240=0,0,$J6240*$H6240/100/12)</f>
      </c>
      <c r="M6240" s="43">
        <f>IF($I6240=0,0,IF(OR(INDEX(DarlOhneTilgung,13)=1,AND(INDEX(DarlTilgStart,13)&gt;0,$E6240&lt;INDEX(DarlTilgStart,13))),0,MIN(MAX(0,$K6240-$L6240),$J6240)))</f>
      </c>
      <c r="N6240" s="43">
        <f>IF($I6240=0,0,MIN(SUMIFS(SondBetrag,SondDarl,13,SondDatum,"&gt;="&amp;$E6240,SondDatum,"&lt;="&amp;EOMONTH($E6240,0)),$J6240-$M6240))</f>
      </c>
      <c r="O6240" s="43">
        <f>IF($I6240=0,0,INDEX(DarlErsatzRate,13))</f>
      </c>
      <c r="P6240" s="43">
        <f>IF($I6240=0,0,$Q6239*INDEX(DarlErsatzZins,13))</f>
      </c>
      <c r="Q6240" s="43">
        <f>IF($I6240=0,0,$Q6239+$P6240+$O6240)</f>
      </c>
      <c r="R6240" s="43">
        <f>IF($I6240=0,0,$J6240-$M6240-$N6240)</f>
      </c>
    </row>
    <row r="6241">
      <c r="A6241"/>
      <c r="B6241">
        <v>13</v>
      </c>
      <c r="C6241" s="43">
        <f>INDEX(DarlObj,13)</f>
      </c>
      <c r="D6241">
        <v>478</v>
      </c>
      <c r="E6241" s="51">
        <f>IF(INDEX(DarlBelegt,13)=0,0,EOMONTH(INDEX(DarlAuszahlung,13),477)+1)</f>
      </c>
      <c r="F6241" s="43">
        <f>IF($E6241=0,0,YEAR($E6241))</f>
      </c>
      <c r="G6241" s="43">
        <f>IF(INDEX(DarlBindung,13)="",1,IF($E6241&lt;=INDEX(DarlBindung,13),1,0))</f>
      </c>
      <c r="H6241" s="43">
        <f>IF($G6241=1,INDEX(DarlSollzins,13),INDEX(DarlAnschluss,13))</f>
      </c>
      <c r="I6241" s="43">
        <f>IF(INDEX(DarlBelegt,13)=0,0,IF(INDEX(DarlOhneTilgung,13)=1,IF(INDEX(DarlBindung,13)="",1,$G6241),IF($J6241&gt;0.005,1,0)))</f>
      </c>
      <c r="J6241" s="43">
        <f>IF($I6240=0,0,$R6240)</f>
      </c>
      <c r="K6241" s="43">
        <f>IF($I6241=0,0,IF(INDEX(DarlOhneTilgung,13)=1,0,IF(AND(INDEX(DarlTilgStart,13)&gt;0,$E6241=INDEX(DarlTilgStart,13)),$J6241*($H6241+INDEX(DarlTilgung,13))/100/12,IF(AND($G6241=0,$G6240=1),MAX($K6240,$J6241*($H6241+1)/100/12),$K6240))))</f>
      </c>
      <c r="L6241" s="43">
        <f>IF($I6241=0,0,$J6241*$H6241/100/12)</f>
      </c>
      <c r="M6241" s="43">
        <f>IF($I6241=0,0,IF(OR(INDEX(DarlOhneTilgung,13)=1,AND(INDEX(DarlTilgStart,13)&gt;0,$E6241&lt;INDEX(DarlTilgStart,13))),0,MIN(MAX(0,$K6241-$L6241),$J6241)))</f>
      </c>
      <c r="N6241" s="43">
        <f>IF($I6241=0,0,MIN(SUMIFS(SondBetrag,SondDarl,13,SondDatum,"&gt;="&amp;$E6241,SondDatum,"&lt;="&amp;EOMONTH($E6241,0)),$J6241-$M6241))</f>
      </c>
      <c r="O6241" s="43">
        <f>IF($I6241=0,0,INDEX(DarlErsatzRate,13))</f>
      </c>
      <c r="P6241" s="43">
        <f>IF($I6241=0,0,$Q6240*INDEX(DarlErsatzZins,13))</f>
      </c>
      <c r="Q6241" s="43">
        <f>IF($I6241=0,0,$Q6240+$P6241+$O6241)</f>
      </c>
      <c r="R6241" s="43">
        <f>IF($I6241=0,0,$J6241-$M6241-$N6241)</f>
      </c>
    </row>
    <row r="6242">
      <c r="A6242"/>
      <c r="B6242">
        <v>13</v>
      </c>
      <c r="C6242" s="43">
        <f>INDEX(DarlObj,13)</f>
      </c>
      <c r="D6242">
        <v>479</v>
      </c>
      <c r="E6242" s="51">
        <f>IF(INDEX(DarlBelegt,13)=0,0,EOMONTH(INDEX(DarlAuszahlung,13),478)+1)</f>
      </c>
      <c r="F6242" s="43">
        <f>IF($E6242=0,0,YEAR($E6242))</f>
      </c>
      <c r="G6242" s="43">
        <f>IF(INDEX(DarlBindung,13)="",1,IF($E6242&lt;=INDEX(DarlBindung,13),1,0))</f>
      </c>
      <c r="H6242" s="43">
        <f>IF($G6242=1,INDEX(DarlSollzins,13),INDEX(DarlAnschluss,13))</f>
      </c>
      <c r="I6242" s="43">
        <f>IF(INDEX(DarlBelegt,13)=0,0,IF(INDEX(DarlOhneTilgung,13)=1,IF(INDEX(DarlBindung,13)="",1,$G6242),IF($J6242&gt;0.005,1,0)))</f>
      </c>
      <c r="J6242" s="43">
        <f>IF($I6241=0,0,$R6241)</f>
      </c>
      <c r="K6242" s="43">
        <f>IF($I6242=0,0,IF(INDEX(DarlOhneTilgung,13)=1,0,IF(AND(INDEX(DarlTilgStart,13)&gt;0,$E6242=INDEX(DarlTilgStart,13)),$J6242*($H6242+INDEX(DarlTilgung,13))/100/12,IF(AND($G6242=0,$G6241=1),MAX($K6241,$J6242*($H6242+1)/100/12),$K6241))))</f>
      </c>
      <c r="L6242" s="43">
        <f>IF($I6242=0,0,$J6242*$H6242/100/12)</f>
      </c>
      <c r="M6242" s="43">
        <f>IF($I6242=0,0,IF(OR(INDEX(DarlOhneTilgung,13)=1,AND(INDEX(DarlTilgStart,13)&gt;0,$E6242&lt;INDEX(DarlTilgStart,13))),0,MIN(MAX(0,$K6242-$L6242),$J6242)))</f>
      </c>
      <c r="N6242" s="43">
        <f>IF($I6242=0,0,MIN(SUMIFS(SondBetrag,SondDarl,13,SondDatum,"&gt;="&amp;$E6242,SondDatum,"&lt;="&amp;EOMONTH($E6242,0)),$J6242-$M6242))</f>
      </c>
      <c r="O6242" s="43">
        <f>IF($I6242=0,0,INDEX(DarlErsatzRate,13))</f>
      </c>
      <c r="P6242" s="43">
        <f>IF($I6242=0,0,$Q6241*INDEX(DarlErsatzZins,13))</f>
      </c>
      <c r="Q6242" s="43">
        <f>IF($I6242=0,0,$Q6241+$P6242+$O6242)</f>
      </c>
      <c r="R6242" s="43">
        <f>IF($I6242=0,0,$J6242-$M6242-$N6242)</f>
      </c>
    </row>
    <row r="6243">
      <c r="A6243"/>
      <c r="B6243">
        <v>13</v>
      </c>
      <c r="C6243" s="43">
        <f>INDEX(DarlObj,13)</f>
      </c>
      <c r="D6243">
        <v>480</v>
      </c>
      <c r="E6243" s="51">
        <f>IF(INDEX(DarlBelegt,13)=0,0,EOMONTH(INDEX(DarlAuszahlung,13),479)+1)</f>
      </c>
      <c r="F6243" s="43">
        <f>IF($E6243=0,0,YEAR($E6243))</f>
      </c>
      <c r="G6243" s="43">
        <f>IF(INDEX(DarlBindung,13)="",1,IF($E6243&lt;=INDEX(DarlBindung,13),1,0))</f>
      </c>
      <c r="H6243" s="43">
        <f>IF($G6243=1,INDEX(DarlSollzins,13),INDEX(DarlAnschluss,13))</f>
      </c>
      <c r="I6243" s="43">
        <f>IF(INDEX(DarlBelegt,13)=0,0,IF(INDEX(DarlOhneTilgung,13)=1,IF(INDEX(DarlBindung,13)="",1,$G6243),IF($J6243&gt;0.005,1,0)))</f>
      </c>
      <c r="J6243" s="43">
        <f>IF($I6242=0,0,$R6242)</f>
      </c>
      <c r="K6243" s="43">
        <f>IF($I6243=0,0,IF(INDEX(DarlOhneTilgung,13)=1,0,IF(AND(INDEX(DarlTilgStart,13)&gt;0,$E6243=INDEX(DarlTilgStart,13)),$J6243*($H6243+INDEX(DarlTilgung,13))/100/12,IF(AND($G6243=0,$G6242=1),MAX($K6242,$J6243*($H6243+1)/100/12),$K6242))))</f>
      </c>
      <c r="L6243" s="43">
        <f>IF($I6243=0,0,$J6243*$H6243/100/12)</f>
      </c>
      <c r="M6243" s="43">
        <f>IF($I6243=0,0,IF(OR(INDEX(DarlOhneTilgung,13)=1,AND(INDEX(DarlTilgStart,13)&gt;0,$E6243&lt;INDEX(DarlTilgStart,13))),0,MIN(MAX(0,$K6243-$L6243),$J6243)))</f>
      </c>
      <c r="N6243" s="43">
        <f>IF($I6243=0,0,MIN(SUMIFS(SondBetrag,SondDarl,13,SondDatum,"&gt;="&amp;$E6243,SondDatum,"&lt;="&amp;EOMONTH($E6243,0)),$J6243-$M6243))</f>
      </c>
      <c r="O6243" s="43">
        <f>IF($I6243=0,0,INDEX(DarlErsatzRate,13))</f>
      </c>
      <c r="P6243" s="43">
        <f>IF($I6243=0,0,$Q6242*INDEX(DarlErsatzZins,13))</f>
      </c>
      <c r="Q6243" s="43">
        <f>IF($I6243=0,0,$Q6242+$P6243+$O6243)</f>
      </c>
      <c r="R6243" s="43">
        <f>IF($I6243=0,0,$J6243-$M6243-$N6243)</f>
      </c>
    </row>
    <row r="6244">
      <c r="A6244"/>
      <c r="B6244">
        <v>14</v>
      </c>
      <c r="C6244" s="43">
        <f>INDEX(DarlObj,14)</f>
      </c>
      <c r="D6244">
        <v>1</v>
      </c>
      <c r="E6244" s="51">
        <f>IF(INDEX(DarlBelegt,14)=0,0,EOMONTH(INDEX(DarlAuszahlung,14),0)+1)</f>
      </c>
      <c r="F6244" s="43">
        <f>IF($E6244=0,0,YEAR($E6244))</f>
      </c>
      <c r="G6244" s="43">
        <f>IF(INDEX(DarlBindung,14)="",1,IF($E6244&lt;=INDEX(DarlBindung,14),1,0))</f>
      </c>
      <c r="H6244" s="43">
        <f>IF($G6244=1,INDEX(DarlSollzins,14),INDEX(DarlAnschluss,14))</f>
      </c>
      <c r="I6244" s="43">
        <f>IF(INDEX(DarlBelegt,14)=0,0,IF(INDEX(DarlOhneTilgung,14)=1,IF(INDEX(DarlBindung,14)="",1,$G6244),IF($J6244&gt;0.005,1,0)))</f>
      </c>
      <c r="J6244" s="43">
        <f>IF(INDEX(DarlBelegt,14)=0,0,INDEX(DarlBetrag,14))</f>
      </c>
      <c r="K6244" s="43">
        <f>IF($I6244=0,0,IF(INDEX(DarlOhneTilgung,14)=1,0,INDEX(DarlRate1,14)))</f>
      </c>
      <c r="L6244" s="43">
        <f>IF($I6244=0,0,$J6244*$H6244/100/12)</f>
      </c>
      <c r="M6244" s="43">
        <f>IF($I6244=0,0,IF(OR(INDEX(DarlOhneTilgung,14)=1,AND(INDEX(DarlTilgStart,14)&gt;0,$E6244&lt;INDEX(DarlTilgStart,14))),0,MIN(MAX(0,$K6244-$L6244),$J6244)))</f>
      </c>
      <c r="N6244" s="43">
        <f>IF($I6244=0,0,MIN(SUMIFS(SondBetrag,SondDarl,14,SondDatum,"&gt;="&amp;$E6244,SondDatum,"&lt;="&amp;EOMONTH($E6244,0)),$J6244-$M6244))</f>
      </c>
      <c r="O6244" s="43">
        <f>IF($I6244=0,0,INDEX(DarlErsatzRate,14))</f>
      </c>
      <c r="P6244" s="43">
        <f>0</f>
      </c>
      <c r="Q6244" s="43">
        <f>IF($I6244=0,0,$P6244+$O6244)</f>
      </c>
      <c r="R6244" s="43">
        <f>IF($I6244=0,0,$J6244-$M6244-$N6244)</f>
      </c>
    </row>
    <row r="6245">
      <c r="A6245"/>
      <c r="B6245">
        <v>14</v>
      </c>
      <c r="C6245" s="43">
        <f>INDEX(DarlObj,14)</f>
      </c>
      <c r="D6245">
        <v>2</v>
      </c>
      <c r="E6245" s="51">
        <f>IF(INDEX(DarlBelegt,14)=0,0,EOMONTH(INDEX(DarlAuszahlung,14),1)+1)</f>
      </c>
      <c r="F6245" s="43">
        <f>IF($E6245=0,0,YEAR($E6245))</f>
      </c>
      <c r="G6245" s="43">
        <f>IF(INDEX(DarlBindung,14)="",1,IF($E6245&lt;=INDEX(DarlBindung,14),1,0))</f>
      </c>
      <c r="H6245" s="43">
        <f>IF($G6245=1,INDEX(DarlSollzins,14),INDEX(DarlAnschluss,14))</f>
      </c>
      <c r="I6245" s="43">
        <f>IF(INDEX(DarlBelegt,14)=0,0,IF(INDEX(DarlOhneTilgung,14)=1,IF(INDEX(DarlBindung,14)="",1,$G6245),IF($J6245&gt;0.005,1,0)))</f>
      </c>
      <c r="J6245" s="43">
        <f>IF($I6244=0,0,$R6244)</f>
      </c>
      <c r="K6245" s="43">
        <f>IF($I6245=0,0,IF(INDEX(DarlOhneTilgung,14)=1,0,IF(AND(INDEX(DarlTilgStart,14)&gt;0,$E6245=INDEX(DarlTilgStart,14)),$J6245*($H6245+INDEX(DarlTilgung,14))/100/12,IF(AND($G6245=0,$G6244=1),MAX($K6244,$J6245*($H6245+1)/100/12),$K6244))))</f>
      </c>
      <c r="L6245" s="43">
        <f>IF($I6245=0,0,$J6245*$H6245/100/12)</f>
      </c>
      <c r="M6245" s="43">
        <f>IF($I6245=0,0,IF(OR(INDEX(DarlOhneTilgung,14)=1,AND(INDEX(DarlTilgStart,14)&gt;0,$E6245&lt;INDEX(DarlTilgStart,14))),0,MIN(MAX(0,$K6245-$L6245),$J6245)))</f>
      </c>
      <c r="N6245" s="43">
        <f>IF($I6245=0,0,MIN(SUMIFS(SondBetrag,SondDarl,14,SondDatum,"&gt;="&amp;$E6245,SondDatum,"&lt;="&amp;EOMONTH($E6245,0)),$J6245-$M6245))</f>
      </c>
      <c r="O6245" s="43">
        <f>IF($I6245=0,0,INDEX(DarlErsatzRate,14))</f>
      </c>
      <c r="P6245" s="43">
        <f>IF($I6245=0,0,$Q6244*INDEX(DarlErsatzZins,14))</f>
      </c>
      <c r="Q6245" s="43">
        <f>IF($I6245=0,0,$Q6244+$P6245+$O6245)</f>
      </c>
      <c r="R6245" s="43">
        <f>IF($I6245=0,0,$J6245-$M6245-$N6245)</f>
      </c>
    </row>
    <row r="6246">
      <c r="A6246"/>
      <c r="B6246">
        <v>14</v>
      </c>
      <c r="C6246" s="43">
        <f>INDEX(DarlObj,14)</f>
      </c>
      <c r="D6246">
        <v>3</v>
      </c>
      <c r="E6246" s="51">
        <f>IF(INDEX(DarlBelegt,14)=0,0,EOMONTH(INDEX(DarlAuszahlung,14),2)+1)</f>
      </c>
      <c r="F6246" s="43">
        <f>IF($E6246=0,0,YEAR($E6246))</f>
      </c>
      <c r="G6246" s="43">
        <f>IF(INDEX(DarlBindung,14)="",1,IF($E6246&lt;=INDEX(DarlBindung,14),1,0))</f>
      </c>
      <c r="H6246" s="43">
        <f>IF($G6246=1,INDEX(DarlSollzins,14),INDEX(DarlAnschluss,14))</f>
      </c>
      <c r="I6246" s="43">
        <f>IF(INDEX(DarlBelegt,14)=0,0,IF(INDEX(DarlOhneTilgung,14)=1,IF(INDEX(DarlBindung,14)="",1,$G6246),IF($J6246&gt;0.005,1,0)))</f>
      </c>
      <c r="J6246" s="43">
        <f>IF($I6245=0,0,$R6245)</f>
      </c>
      <c r="K6246" s="43">
        <f>IF($I6246=0,0,IF(INDEX(DarlOhneTilgung,14)=1,0,IF(AND(INDEX(DarlTilgStart,14)&gt;0,$E6246=INDEX(DarlTilgStart,14)),$J6246*($H6246+INDEX(DarlTilgung,14))/100/12,IF(AND($G6246=0,$G6245=1),MAX($K6245,$J6246*($H6246+1)/100/12),$K6245))))</f>
      </c>
      <c r="L6246" s="43">
        <f>IF($I6246=0,0,$J6246*$H6246/100/12)</f>
      </c>
      <c r="M6246" s="43">
        <f>IF($I6246=0,0,IF(OR(INDEX(DarlOhneTilgung,14)=1,AND(INDEX(DarlTilgStart,14)&gt;0,$E6246&lt;INDEX(DarlTilgStart,14))),0,MIN(MAX(0,$K6246-$L6246),$J6246)))</f>
      </c>
      <c r="N6246" s="43">
        <f>IF($I6246=0,0,MIN(SUMIFS(SondBetrag,SondDarl,14,SondDatum,"&gt;="&amp;$E6246,SondDatum,"&lt;="&amp;EOMONTH($E6246,0)),$J6246-$M6246))</f>
      </c>
      <c r="O6246" s="43">
        <f>IF($I6246=0,0,INDEX(DarlErsatzRate,14))</f>
      </c>
      <c r="P6246" s="43">
        <f>IF($I6246=0,0,$Q6245*INDEX(DarlErsatzZins,14))</f>
      </c>
      <c r="Q6246" s="43">
        <f>IF($I6246=0,0,$Q6245+$P6246+$O6246)</f>
      </c>
      <c r="R6246" s="43">
        <f>IF($I6246=0,0,$J6246-$M6246-$N6246)</f>
      </c>
    </row>
    <row r="6247">
      <c r="A6247"/>
      <c r="B6247">
        <v>14</v>
      </c>
      <c r="C6247" s="43">
        <f>INDEX(DarlObj,14)</f>
      </c>
      <c r="D6247">
        <v>4</v>
      </c>
      <c r="E6247" s="51">
        <f>IF(INDEX(DarlBelegt,14)=0,0,EOMONTH(INDEX(DarlAuszahlung,14),3)+1)</f>
      </c>
      <c r="F6247" s="43">
        <f>IF($E6247=0,0,YEAR($E6247))</f>
      </c>
      <c r="G6247" s="43">
        <f>IF(INDEX(DarlBindung,14)="",1,IF($E6247&lt;=INDEX(DarlBindung,14),1,0))</f>
      </c>
      <c r="H6247" s="43">
        <f>IF($G6247=1,INDEX(DarlSollzins,14),INDEX(DarlAnschluss,14))</f>
      </c>
      <c r="I6247" s="43">
        <f>IF(INDEX(DarlBelegt,14)=0,0,IF(INDEX(DarlOhneTilgung,14)=1,IF(INDEX(DarlBindung,14)="",1,$G6247),IF($J6247&gt;0.005,1,0)))</f>
      </c>
      <c r="J6247" s="43">
        <f>IF($I6246=0,0,$R6246)</f>
      </c>
      <c r="K6247" s="43">
        <f>IF($I6247=0,0,IF(INDEX(DarlOhneTilgung,14)=1,0,IF(AND(INDEX(DarlTilgStart,14)&gt;0,$E6247=INDEX(DarlTilgStart,14)),$J6247*($H6247+INDEX(DarlTilgung,14))/100/12,IF(AND($G6247=0,$G6246=1),MAX($K6246,$J6247*($H6247+1)/100/12),$K6246))))</f>
      </c>
      <c r="L6247" s="43">
        <f>IF($I6247=0,0,$J6247*$H6247/100/12)</f>
      </c>
      <c r="M6247" s="43">
        <f>IF($I6247=0,0,IF(OR(INDEX(DarlOhneTilgung,14)=1,AND(INDEX(DarlTilgStart,14)&gt;0,$E6247&lt;INDEX(DarlTilgStart,14))),0,MIN(MAX(0,$K6247-$L6247),$J6247)))</f>
      </c>
      <c r="N6247" s="43">
        <f>IF($I6247=0,0,MIN(SUMIFS(SondBetrag,SondDarl,14,SondDatum,"&gt;="&amp;$E6247,SondDatum,"&lt;="&amp;EOMONTH($E6247,0)),$J6247-$M6247))</f>
      </c>
      <c r="O6247" s="43">
        <f>IF($I6247=0,0,INDEX(DarlErsatzRate,14))</f>
      </c>
      <c r="P6247" s="43">
        <f>IF($I6247=0,0,$Q6246*INDEX(DarlErsatzZins,14))</f>
      </c>
      <c r="Q6247" s="43">
        <f>IF($I6247=0,0,$Q6246+$P6247+$O6247)</f>
      </c>
      <c r="R6247" s="43">
        <f>IF($I6247=0,0,$J6247-$M6247-$N6247)</f>
      </c>
    </row>
    <row r="6248">
      <c r="A6248"/>
      <c r="B6248">
        <v>14</v>
      </c>
      <c r="C6248" s="43">
        <f>INDEX(DarlObj,14)</f>
      </c>
      <c r="D6248">
        <v>5</v>
      </c>
      <c r="E6248" s="51">
        <f>IF(INDEX(DarlBelegt,14)=0,0,EOMONTH(INDEX(DarlAuszahlung,14),4)+1)</f>
      </c>
      <c r="F6248" s="43">
        <f>IF($E6248=0,0,YEAR($E6248))</f>
      </c>
      <c r="G6248" s="43">
        <f>IF(INDEX(DarlBindung,14)="",1,IF($E6248&lt;=INDEX(DarlBindung,14),1,0))</f>
      </c>
      <c r="H6248" s="43">
        <f>IF($G6248=1,INDEX(DarlSollzins,14),INDEX(DarlAnschluss,14))</f>
      </c>
      <c r="I6248" s="43">
        <f>IF(INDEX(DarlBelegt,14)=0,0,IF(INDEX(DarlOhneTilgung,14)=1,IF(INDEX(DarlBindung,14)="",1,$G6248),IF($J6248&gt;0.005,1,0)))</f>
      </c>
      <c r="J6248" s="43">
        <f>IF($I6247=0,0,$R6247)</f>
      </c>
      <c r="K6248" s="43">
        <f>IF($I6248=0,0,IF(INDEX(DarlOhneTilgung,14)=1,0,IF(AND(INDEX(DarlTilgStart,14)&gt;0,$E6248=INDEX(DarlTilgStart,14)),$J6248*($H6248+INDEX(DarlTilgung,14))/100/12,IF(AND($G6248=0,$G6247=1),MAX($K6247,$J6248*($H6248+1)/100/12),$K6247))))</f>
      </c>
      <c r="L6248" s="43">
        <f>IF($I6248=0,0,$J6248*$H6248/100/12)</f>
      </c>
      <c r="M6248" s="43">
        <f>IF($I6248=0,0,IF(OR(INDEX(DarlOhneTilgung,14)=1,AND(INDEX(DarlTilgStart,14)&gt;0,$E6248&lt;INDEX(DarlTilgStart,14))),0,MIN(MAX(0,$K6248-$L6248),$J6248)))</f>
      </c>
      <c r="N6248" s="43">
        <f>IF($I6248=0,0,MIN(SUMIFS(SondBetrag,SondDarl,14,SondDatum,"&gt;="&amp;$E6248,SondDatum,"&lt;="&amp;EOMONTH($E6248,0)),$J6248-$M6248))</f>
      </c>
      <c r="O6248" s="43">
        <f>IF($I6248=0,0,INDEX(DarlErsatzRate,14))</f>
      </c>
      <c r="P6248" s="43">
        <f>IF($I6248=0,0,$Q6247*INDEX(DarlErsatzZins,14))</f>
      </c>
      <c r="Q6248" s="43">
        <f>IF($I6248=0,0,$Q6247+$P6248+$O6248)</f>
      </c>
      <c r="R6248" s="43">
        <f>IF($I6248=0,0,$J6248-$M6248-$N6248)</f>
      </c>
    </row>
    <row r="6249">
      <c r="A6249"/>
      <c r="B6249">
        <v>14</v>
      </c>
      <c r="C6249" s="43">
        <f>INDEX(DarlObj,14)</f>
      </c>
      <c r="D6249">
        <v>6</v>
      </c>
      <c r="E6249" s="51">
        <f>IF(INDEX(DarlBelegt,14)=0,0,EOMONTH(INDEX(DarlAuszahlung,14),5)+1)</f>
      </c>
      <c r="F6249" s="43">
        <f>IF($E6249=0,0,YEAR($E6249))</f>
      </c>
      <c r="G6249" s="43">
        <f>IF(INDEX(DarlBindung,14)="",1,IF($E6249&lt;=INDEX(DarlBindung,14),1,0))</f>
      </c>
      <c r="H6249" s="43">
        <f>IF($G6249=1,INDEX(DarlSollzins,14),INDEX(DarlAnschluss,14))</f>
      </c>
      <c r="I6249" s="43">
        <f>IF(INDEX(DarlBelegt,14)=0,0,IF(INDEX(DarlOhneTilgung,14)=1,IF(INDEX(DarlBindung,14)="",1,$G6249),IF($J6249&gt;0.005,1,0)))</f>
      </c>
      <c r="J6249" s="43">
        <f>IF($I6248=0,0,$R6248)</f>
      </c>
      <c r="K6249" s="43">
        <f>IF($I6249=0,0,IF(INDEX(DarlOhneTilgung,14)=1,0,IF(AND(INDEX(DarlTilgStart,14)&gt;0,$E6249=INDEX(DarlTilgStart,14)),$J6249*($H6249+INDEX(DarlTilgung,14))/100/12,IF(AND($G6249=0,$G6248=1),MAX($K6248,$J6249*($H6249+1)/100/12),$K6248))))</f>
      </c>
      <c r="L6249" s="43">
        <f>IF($I6249=0,0,$J6249*$H6249/100/12)</f>
      </c>
      <c r="M6249" s="43">
        <f>IF($I6249=0,0,IF(OR(INDEX(DarlOhneTilgung,14)=1,AND(INDEX(DarlTilgStart,14)&gt;0,$E6249&lt;INDEX(DarlTilgStart,14))),0,MIN(MAX(0,$K6249-$L6249),$J6249)))</f>
      </c>
      <c r="N6249" s="43">
        <f>IF($I6249=0,0,MIN(SUMIFS(SondBetrag,SondDarl,14,SondDatum,"&gt;="&amp;$E6249,SondDatum,"&lt;="&amp;EOMONTH($E6249,0)),$J6249-$M6249))</f>
      </c>
      <c r="O6249" s="43">
        <f>IF($I6249=0,0,INDEX(DarlErsatzRate,14))</f>
      </c>
      <c r="P6249" s="43">
        <f>IF($I6249=0,0,$Q6248*INDEX(DarlErsatzZins,14))</f>
      </c>
      <c r="Q6249" s="43">
        <f>IF($I6249=0,0,$Q6248+$P6249+$O6249)</f>
      </c>
      <c r="R6249" s="43">
        <f>IF($I6249=0,0,$J6249-$M6249-$N6249)</f>
      </c>
    </row>
    <row r="6250">
      <c r="A6250"/>
      <c r="B6250">
        <v>14</v>
      </c>
      <c r="C6250" s="43">
        <f>INDEX(DarlObj,14)</f>
      </c>
      <c r="D6250">
        <v>7</v>
      </c>
      <c r="E6250" s="51">
        <f>IF(INDEX(DarlBelegt,14)=0,0,EOMONTH(INDEX(DarlAuszahlung,14),6)+1)</f>
      </c>
      <c r="F6250" s="43">
        <f>IF($E6250=0,0,YEAR($E6250))</f>
      </c>
      <c r="G6250" s="43">
        <f>IF(INDEX(DarlBindung,14)="",1,IF($E6250&lt;=INDEX(DarlBindung,14),1,0))</f>
      </c>
      <c r="H6250" s="43">
        <f>IF($G6250=1,INDEX(DarlSollzins,14),INDEX(DarlAnschluss,14))</f>
      </c>
      <c r="I6250" s="43">
        <f>IF(INDEX(DarlBelegt,14)=0,0,IF(INDEX(DarlOhneTilgung,14)=1,IF(INDEX(DarlBindung,14)="",1,$G6250),IF($J6250&gt;0.005,1,0)))</f>
      </c>
      <c r="J6250" s="43">
        <f>IF($I6249=0,0,$R6249)</f>
      </c>
      <c r="K6250" s="43">
        <f>IF($I6250=0,0,IF(INDEX(DarlOhneTilgung,14)=1,0,IF(AND(INDEX(DarlTilgStart,14)&gt;0,$E6250=INDEX(DarlTilgStart,14)),$J6250*($H6250+INDEX(DarlTilgung,14))/100/12,IF(AND($G6250=0,$G6249=1),MAX($K6249,$J6250*($H6250+1)/100/12),$K6249))))</f>
      </c>
      <c r="L6250" s="43">
        <f>IF($I6250=0,0,$J6250*$H6250/100/12)</f>
      </c>
      <c r="M6250" s="43">
        <f>IF($I6250=0,0,IF(OR(INDEX(DarlOhneTilgung,14)=1,AND(INDEX(DarlTilgStart,14)&gt;0,$E6250&lt;INDEX(DarlTilgStart,14))),0,MIN(MAX(0,$K6250-$L6250),$J6250)))</f>
      </c>
      <c r="N6250" s="43">
        <f>IF($I6250=0,0,MIN(SUMIFS(SondBetrag,SondDarl,14,SondDatum,"&gt;="&amp;$E6250,SondDatum,"&lt;="&amp;EOMONTH($E6250,0)),$J6250-$M6250))</f>
      </c>
      <c r="O6250" s="43">
        <f>IF($I6250=0,0,INDEX(DarlErsatzRate,14))</f>
      </c>
      <c r="P6250" s="43">
        <f>IF($I6250=0,0,$Q6249*INDEX(DarlErsatzZins,14))</f>
      </c>
      <c r="Q6250" s="43">
        <f>IF($I6250=0,0,$Q6249+$P6250+$O6250)</f>
      </c>
      <c r="R6250" s="43">
        <f>IF($I6250=0,0,$J6250-$M6250-$N6250)</f>
      </c>
    </row>
    <row r="6251">
      <c r="A6251"/>
      <c r="B6251">
        <v>14</v>
      </c>
      <c r="C6251" s="43">
        <f>INDEX(DarlObj,14)</f>
      </c>
      <c r="D6251">
        <v>8</v>
      </c>
      <c r="E6251" s="51">
        <f>IF(INDEX(DarlBelegt,14)=0,0,EOMONTH(INDEX(DarlAuszahlung,14),7)+1)</f>
      </c>
      <c r="F6251" s="43">
        <f>IF($E6251=0,0,YEAR($E6251))</f>
      </c>
      <c r="G6251" s="43">
        <f>IF(INDEX(DarlBindung,14)="",1,IF($E6251&lt;=INDEX(DarlBindung,14),1,0))</f>
      </c>
      <c r="H6251" s="43">
        <f>IF($G6251=1,INDEX(DarlSollzins,14),INDEX(DarlAnschluss,14))</f>
      </c>
      <c r="I6251" s="43">
        <f>IF(INDEX(DarlBelegt,14)=0,0,IF(INDEX(DarlOhneTilgung,14)=1,IF(INDEX(DarlBindung,14)="",1,$G6251),IF($J6251&gt;0.005,1,0)))</f>
      </c>
      <c r="J6251" s="43">
        <f>IF($I6250=0,0,$R6250)</f>
      </c>
      <c r="K6251" s="43">
        <f>IF($I6251=0,0,IF(INDEX(DarlOhneTilgung,14)=1,0,IF(AND(INDEX(DarlTilgStart,14)&gt;0,$E6251=INDEX(DarlTilgStart,14)),$J6251*($H6251+INDEX(DarlTilgung,14))/100/12,IF(AND($G6251=0,$G6250=1),MAX($K6250,$J6251*($H6251+1)/100/12),$K6250))))</f>
      </c>
      <c r="L6251" s="43">
        <f>IF($I6251=0,0,$J6251*$H6251/100/12)</f>
      </c>
      <c r="M6251" s="43">
        <f>IF($I6251=0,0,IF(OR(INDEX(DarlOhneTilgung,14)=1,AND(INDEX(DarlTilgStart,14)&gt;0,$E6251&lt;INDEX(DarlTilgStart,14))),0,MIN(MAX(0,$K6251-$L6251),$J6251)))</f>
      </c>
      <c r="N6251" s="43">
        <f>IF($I6251=0,0,MIN(SUMIFS(SondBetrag,SondDarl,14,SondDatum,"&gt;="&amp;$E6251,SondDatum,"&lt;="&amp;EOMONTH($E6251,0)),$J6251-$M6251))</f>
      </c>
      <c r="O6251" s="43">
        <f>IF($I6251=0,0,INDEX(DarlErsatzRate,14))</f>
      </c>
      <c r="P6251" s="43">
        <f>IF($I6251=0,0,$Q6250*INDEX(DarlErsatzZins,14))</f>
      </c>
      <c r="Q6251" s="43">
        <f>IF($I6251=0,0,$Q6250+$P6251+$O6251)</f>
      </c>
      <c r="R6251" s="43">
        <f>IF($I6251=0,0,$J6251-$M6251-$N6251)</f>
      </c>
    </row>
    <row r="6252">
      <c r="A6252"/>
      <c r="B6252">
        <v>14</v>
      </c>
      <c r="C6252" s="43">
        <f>INDEX(DarlObj,14)</f>
      </c>
      <c r="D6252">
        <v>9</v>
      </c>
      <c r="E6252" s="51">
        <f>IF(INDEX(DarlBelegt,14)=0,0,EOMONTH(INDEX(DarlAuszahlung,14),8)+1)</f>
      </c>
      <c r="F6252" s="43">
        <f>IF($E6252=0,0,YEAR($E6252))</f>
      </c>
      <c r="G6252" s="43">
        <f>IF(INDEX(DarlBindung,14)="",1,IF($E6252&lt;=INDEX(DarlBindung,14),1,0))</f>
      </c>
      <c r="H6252" s="43">
        <f>IF($G6252=1,INDEX(DarlSollzins,14),INDEX(DarlAnschluss,14))</f>
      </c>
      <c r="I6252" s="43">
        <f>IF(INDEX(DarlBelegt,14)=0,0,IF(INDEX(DarlOhneTilgung,14)=1,IF(INDEX(DarlBindung,14)="",1,$G6252),IF($J6252&gt;0.005,1,0)))</f>
      </c>
      <c r="J6252" s="43">
        <f>IF($I6251=0,0,$R6251)</f>
      </c>
      <c r="K6252" s="43">
        <f>IF($I6252=0,0,IF(INDEX(DarlOhneTilgung,14)=1,0,IF(AND(INDEX(DarlTilgStart,14)&gt;0,$E6252=INDEX(DarlTilgStart,14)),$J6252*($H6252+INDEX(DarlTilgung,14))/100/12,IF(AND($G6252=0,$G6251=1),MAX($K6251,$J6252*($H6252+1)/100/12),$K6251))))</f>
      </c>
      <c r="L6252" s="43">
        <f>IF($I6252=0,0,$J6252*$H6252/100/12)</f>
      </c>
      <c r="M6252" s="43">
        <f>IF($I6252=0,0,IF(OR(INDEX(DarlOhneTilgung,14)=1,AND(INDEX(DarlTilgStart,14)&gt;0,$E6252&lt;INDEX(DarlTilgStart,14))),0,MIN(MAX(0,$K6252-$L6252),$J6252)))</f>
      </c>
      <c r="N6252" s="43">
        <f>IF($I6252=0,0,MIN(SUMIFS(SondBetrag,SondDarl,14,SondDatum,"&gt;="&amp;$E6252,SondDatum,"&lt;="&amp;EOMONTH($E6252,0)),$J6252-$M6252))</f>
      </c>
      <c r="O6252" s="43">
        <f>IF($I6252=0,0,INDEX(DarlErsatzRate,14))</f>
      </c>
      <c r="P6252" s="43">
        <f>IF($I6252=0,0,$Q6251*INDEX(DarlErsatzZins,14))</f>
      </c>
      <c r="Q6252" s="43">
        <f>IF($I6252=0,0,$Q6251+$P6252+$O6252)</f>
      </c>
      <c r="R6252" s="43">
        <f>IF($I6252=0,0,$J6252-$M6252-$N6252)</f>
      </c>
    </row>
    <row r="6253">
      <c r="A6253"/>
      <c r="B6253">
        <v>14</v>
      </c>
      <c r="C6253" s="43">
        <f>INDEX(DarlObj,14)</f>
      </c>
      <c r="D6253">
        <v>10</v>
      </c>
      <c r="E6253" s="51">
        <f>IF(INDEX(DarlBelegt,14)=0,0,EOMONTH(INDEX(DarlAuszahlung,14),9)+1)</f>
      </c>
      <c r="F6253" s="43">
        <f>IF($E6253=0,0,YEAR($E6253))</f>
      </c>
      <c r="G6253" s="43">
        <f>IF(INDEX(DarlBindung,14)="",1,IF($E6253&lt;=INDEX(DarlBindung,14),1,0))</f>
      </c>
      <c r="H6253" s="43">
        <f>IF($G6253=1,INDEX(DarlSollzins,14),INDEX(DarlAnschluss,14))</f>
      </c>
      <c r="I6253" s="43">
        <f>IF(INDEX(DarlBelegt,14)=0,0,IF(INDEX(DarlOhneTilgung,14)=1,IF(INDEX(DarlBindung,14)="",1,$G6253),IF($J6253&gt;0.005,1,0)))</f>
      </c>
      <c r="J6253" s="43">
        <f>IF($I6252=0,0,$R6252)</f>
      </c>
      <c r="K6253" s="43">
        <f>IF($I6253=0,0,IF(INDEX(DarlOhneTilgung,14)=1,0,IF(AND(INDEX(DarlTilgStart,14)&gt;0,$E6253=INDEX(DarlTilgStart,14)),$J6253*($H6253+INDEX(DarlTilgung,14))/100/12,IF(AND($G6253=0,$G6252=1),MAX($K6252,$J6253*($H6253+1)/100/12),$K6252))))</f>
      </c>
      <c r="L6253" s="43">
        <f>IF($I6253=0,0,$J6253*$H6253/100/12)</f>
      </c>
      <c r="M6253" s="43">
        <f>IF($I6253=0,0,IF(OR(INDEX(DarlOhneTilgung,14)=1,AND(INDEX(DarlTilgStart,14)&gt;0,$E6253&lt;INDEX(DarlTilgStart,14))),0,MIN(MAX(0,$K6253-$L6253),$J6253)))</f>
      </c>
      <c r="N6253" s="43">
        <f>IF($I6253=0,0,MIN(SUMIFS(SondBetrag,SondDarl,14,SondDatum,"&gt;="&amp;$E6253,SondDatum,"&lt;="&amp;EOMONTH($E6253,0)),$J6253-$M6253))</f>
      </c>
      <c r="O6253" s="43">
        <f>IF($I6253=0,0,INDEX(DarlErsatzRate,14))</f>
      </c>
      <c r="P6253" s="43">
        <f>IF($I6253=0,0,$Q6252*INDEX(DarlErsatzZins,14))</f>
      </c>
      <c r="Q6253" s="43">
        <f>IF($I6253=0,0,$Q6252+$P6253+$O6253)</f>
      </c>
      <c r="R6253" s="43">
        <f>IF($I6253=0,0,$J6253-$M6253-$N6253)</f>
      </c>
    </row>
    <row r="6254">
      <c r="A6254"/>
      <c r="B6254">
        <v>14</v>
      </c>
      <c r="C6254" s="43">
        <f>INDEX(DarlObj,14)</f>
      </c>
      <c r="D6254">
        <v>11</v>
      </c>
      <c r="E6254" s="51">
        <f>IF(INDEX(DarlBelegt,14)=0,0,EOMONTH(INDEX(DarlAuszahlung,14),10)+1)</f>
      </c>
      <c r="F6254" s="43">
        <f>IF($E6254=0,0,YEAR($E6254))</f>
      </c>
      <c r="G6254" s="43">
        <f>IF(INDEX(DarlBindung,14)="",1,IF($E6254&lt;=INDEX(DarlBindung,14),1,0))</f>
      </c>
      <c r="H6254" s="43">
        <f>IF($G6254=1,INDEX(DarlSollzins,14),INDEX(DarlAnschluss,14))</f>
      </c>
      <c r="I6254" s="43">
        <f>IF(INDEX(DarlBelegt,14)=0,0,IF(INDEX(DarlOhneTilgung,14)=1,IF(INDEX(DarlBindung,14)="",1,$G6254),IF($J6254&gt;0.005,1,0)))</f>
      </c>
      <c r="J6254" s="43">
        <f>IF($I6253=0,0,$R6253)</f>
      </c>
      <c r="K6254" s="43">
        <f>IF($I6254=0,0,IF(INDEX(DarlOhneTilgung,14)=1,0,IF(AND(INDEX(DarlTilgStart,14)&gt;0,$E6254=INDEX(DarlTilgStart,14)),$J6254*($H6254+INDEX(DarlTilgung,14))/100/12,IF(AND($G6254=0,$G6253=1),MAX($K6253,$J6254*($H6254+1)/100/12),$K6253))))</f>
      </c>
      <c r="L6254" s="43">
        <f>IF($I6254=0,0,$J6254*$H6254/100/12)</f>
      </c>
      <c r="M6254" s="43">
        <f>IF($I6254=0,0,IF(OR(INDEX(DarlOhneTilgung,14)=1,AND(INDEX(DarlTilgStart,14)&gt;0,$E6254&lt;INDEX(DarlTilgStart,14))),0,MIN(MAX(0,$K6254-$L6254),$J6254)))</f>
      </c>
      <c r="N6254" s="43">
        <f>IF($I6254=0,0,MIN(SUMIFS(SondBetrag,SondDarl,14,SondDatum,"&gt;="&amp;$E6254,SondDatum,"&lt;="&amp;EOMONTH($E6254,0)),$J6254-$M6254))</f>
      </c>
      <c r="O6254" s="43">
        <f>IF($I6254=0,0,INDEX(DarlErsatzRate,14))</f>
      </c>
      <c r="P6254" s="43">
        <f>IF($I6254=0,0,$Q6253*INDEX(DarlErsatzZins,14))</f>
      </c>
      <c r="Q6254" s="43">
        <f>IF($I6254=0,0,$Q6253+$P6254+$O6254)</f>
      </c>
      <c r="R6254" s="43">
        <f>IF($I6254=0,0,$J6254-$M6254-$N6254)</f>
      </c>
    </row>
    <row r="6255">
      <c r="A6255"/>
      <c r="B6255">
        <v>14</v>
      </c>
      <c r="C6255" s="43">
        <f>INDEX(DarlObj,14)</f>
      </c>
      <c r="D6255">
        <v>12</v>
      </c>
      <c r="E6255" s="51">
        <f>IF(INDEX(DarlBelegt,14)=0,0,EOMONTH(INDEX(DarlAuszahlung,14),11)+1)</f>
      </c>
      <c r="F6255" s="43">
        <f>IF($E6255=0,0,YEAR($E6255))</f>
      </c>
      <c r="G6255" s="43">
        <f>IF(INDEX(DarlBindung,14)="",1,IF($E6255&lt;=INDEX(DarlBindung,14),1,0))</f>
      </c>
      <c r="H6255" s="43">
        <f>IF($G6255=1,INDEX(DarlSollzins,14),INDEX(DarlAnschluss,14))</f>
      </c>
      <c r="I6255" s="43">
        <f>IF(INDEX(DarlBelegt,14)=0,0,IF(INDEX(DarlOhneTilgung,14)=1,IF(INDEX(DarlBindung,14)="",1,$G6255),IF($J6255&gt;0.005,1,0)))</f>
      </c>
      <c r="J6255" s="43">
        <f>IF($I6254=0,0,$R6254)</f>
      </c>
      <c r="K6255" s="43">
        <f>IF($I6255=0,0,IF(INDEX(DarlOhneTilgung,14)=1,0,IF(AND(INDEX(DarlTilgStart,14)&gt;0,$E6255=INDEX(DarlTilgStart,14)),$J6255*($H6255+INDEX(DarlTilgung,14))/100/12,IF(AND($G6255=0,$G6254=1),MAX($K6254,$J6255*($H6255+1)/100/12),$K6254))))</f>
      </c>
      <c r="L6255" s="43">
        <f>IF($I6255=0,0,$J6255*$H6255/100/12)</f>
      </c>
      <c r="M6255" s="43">
        <f>IF($I6255=0,0,IF(OR(INDEX(DarlOhneTilgung,14)=1,AND(INDEX(DarlTilgStart,14)&gt;0,$E6255&lt;INDEX(DarlTilgStart,14))),0,MIN(MAX(0,$K6255-$L6255),$J6255)))</f>
      </c>
      <c r="N6255" s="43">
        <f>IF($I6255=0,0,MIN(SUMIFS(SondBetrag,SondDarl,14,SondDatum,"&gt;="&amp;$E6255,SondDatum,"&lt;="&amp;EOMONTH($E6255,0)),$J6255-$M6255))</f>
      </c>
      <c r="O6255" s="43">
        <f>IF($I6255=0,0,INDEX(DarlErsatzRate,14))</f>
      </c>
      <c r="P6255" s="43">
        <f>IF($I6255=0,0,$Q6254*INDEX(DarlErsatzZins,14))</f>
      </c>
      <c r="Q6255" s="43">
        <f>IF($I6255=0,0,$Q6254+$P6255+$O6255)</f>
      </c>
      <c r="R6255" s="43">
        <f>IF($I6255=0,0,$J6255-$M6255-$N6255)</f>
      </c>
    </row>
    <row r="6256">
      <c r="A6256"/>
      <c r="B6256">
        <v>14</v>
      </c>
      <c r="C6256" s="43">
        <f>INDEX(DarlObj,14)</f>
      </c>
      <c r="D6256">
        <v>13</v>
      </c>
      <c r="E6256" s="51">
        <f>IF(INDEX(DarlBelegt,14)=0,0,EOMONTH(INDEX(DarlAuszahlung,14),12)+1)</f>
      </c>
      <c r="F6256" s="43">
        <f>IF($E6256=0,0,YEAR($E6256))</f>
      </c>
      <c r="G6256" s="43">
        <f>IF(INDEX(DarlBindung,14)="",1,IF($E6256&lt;=INDEX(DarlBindung,14),1,0))</f>
      </c>
      <c r="H6256" s="43">
        <f>IF($G6256=1,INDEX(DarlSollzins,14),INDEX(DarlAnschluss,14))</f>
      </c>
      <c r="I6256" s="43">
        <f>IF(INDEX(DarlBelegt,14)=0,0,IF(INDEX(DarlOhneTilgung,14)=1,IF(INDEX(DarlBindung,14)="",1,$G6256),IF($J6256&gt;0.005,1,0)))</f>
      </c>
      <c r="J6256" s="43">
        <f>IF($I6255=0,0,$R6255)</f>
      </c>
      <c r="K6256" s="43">
        <f>IF($I6256=0,0,IF(INDEX(DarlOhneTilgung,14)=1,0,IF(AND(INDEX(DarlTilgStart,14)&gt;0,$E6256=INDEX(DarlTilgStart,14)),$J6256*($H6256+INDEX(DarlTilgung,14))/100/12,IF(AND($G6256=0,$G6255=1),MAX($K6255,$J6256*($H6256+1)/100/12),$K6255))))</f>
      </c>
      <c r="L6256" s="43">
        <f>IF($I6256=0,0,$J6256*$H6256/100/12)</f>
      </c>
      <c r="M6256" s="43">
        <f>IF($I6256=0,0,IF(OR(INDEX(DarlOhneTilgung,14)=1,AND(INDEX(DarlTilgStart,14)&gt;0,$E6256&lt;INDEX(DarlTilgStart,14))),0,MIN(MAX(0,$K6256-$L6256),$J6256)))</f>
      </c>
      <c r="N6256" s="43">
        <f>IF($I6256=0,0,MIN(SUMIFS(SondBetrag,SondDarl,14,SondDatum,"&gt;="&amp;$E6256,SondDatum,"&lt;="&amp;EOMONTH($E6256,0)),$J6256-$M6256))</f>
      </c>
      <c r="O6256" s="43">
        <f>IF($I6256=0,0,INDEX(DarlErsatzRate,14))</f>
      </c>
      <c r="P6256" s="43">
        <f>IF($I6256=0,0,$Q6255*INDEX(DarlErsatzZins,14))</f>
      </c>
      <c r="Q6256" s="43">
        <f>IF($I6256=0,0,$Q6255+$P6256+$O6256)</f>
      </c>
      <c r="R6256" s="43">
        <f>IF($I6256=0,0,$J6256-$M6256-$N6256)</f>
      </c>
    </row>
    <row r="6257">
      <c r="A6257"/>
      <c r="B6257">
        <v>14</v>
      </c>
      <c r="C6257" s="43">
        <f>INDEX(DarlObj,14)</f>
      </c>
      <c r="D6257">
        <v>14</v>
      </c>
      <c r="E6257" s="51">
        <f>IF(INDEX(DarlBelegt,14)=0,0,EOMONTH(INDEX(DarlAuszahlung,14),13)+1)</f>
      </c>
      <c r="F6257" s="43">
        <f>IF($E6257=0,0,YEAR($E6257))</f>
      </c>
      <c r="G6257" s="43">
        <f>IF(INDEX(DarlBindung,14)="",1,IF($E6257&lt;=INDEX(DarlBindung,14),1,0))</f>
      </c>
      <c r="H6257" s="43">
        <f>IF($G6257=1,INDEX(DarlSollzins,14),INDEX(DarlAnschluss,14))</f>
      </c>
      <c r="I6257" s="43">
        <f>IF(INDEX(DarlBelegt,14)=0,0,IF(INDEX(DarlOhneTilgung,14)=1,IF(INDEX(DarlBindung,14)="",1,$G6257),IF($J6257&gt;0.005,1,0)))</f>
      </c>
      <c r="J6257" s="43">
        <f>IF($I6256=0,0,$R6256)</f>
      </c>
      <c r="K6257" s="43">
        <f>IF($I6257=0,0,IF(INDEX(DarlOhneTilgung,14)=1,0,IF(AND(INDEX(DarlTilgStart,14)&gt;0,$E6257=INDEX(DarlTilgStart,14)),$J6257*($H6257+INDEX(DarlTilgung,14))/100/12,IF(AND($G6257=0,$G6256=1),MAX($K6256,$J6257*($H6257+1)/100/12),$K6256))))</f>
      </c>
      <c r="L6257" s="43">
        <f>IF($I6257=0,0,$J6257*$H6257/100/12)</f>
      </c>
      <c r="M6257" s="43">
        <f>IF($I6257=0,0,IF(OR(INDEX(DarlOhneTilgung,14)=1,AND(INDEX(DarlTilgStart,14)&gt;0,$E6257&lt;INDEX(DarlTilgStart,14))),0,MIN(MAX(0,$K6257-$L6257),$J6257)))</f>
      </c>
      <c r="N6257" s="43">
        <f>IF($I6257=0,0,MIN(SUMIFS(SondBetrag,SondDarl,14,SondDatum,"&gt;="&amp;$E6257,SondDatum,"&lt;="&amp;EOMONTH($E6257,0)),$J6257-$M6257))</f>
      </c>
      <c r="O6257" s="43">
        <f>IF($I6257=0,0,INDEX(DarlErsatzRate,14))</f>
      </c>
      <c r="P6257" s="43">
        <f>IF($I6257=0,0,$Q6256*INDEX(DarlErsatzZins,14))</f>
      </c>
      <c r="Q6257" s="43">
        <f>IF($I6257=0,0,$Q6256+$P6257+$O6257)</f>
      </c>
      <c r="R6257" s="43">
        <f>IF($I6257=0,0,$J6257-$M6257-$N6257)</f>
      </c>
    </row>
    <row r="6258">
      <c r="A6258"/>
      <c r="B6258">
        <v>14</v>
      </c>
      <c r="C6258" s="43">
        <f>INDEX(DarlObj,14)</f>
      </c>
      <c r="D6258">
        <v>15</v>
      </c>
      <c r="E6258" s="51">
        <f>IF(INDEX(DarlBelegt,14)=0,0,EOMONTH(INDEX(DarlAuszahlung,14),14)+1)</f>
      </c>
      <c r="F6258" s="43">
        <f>IF($E6258=0,0,YEAR($E6258))</f>
      </c>
      <c r="G6258" s="43">
        <f>IF(INDEX(DarlBindung,14)="",1,IF($E6258&lt;=INDEX(DarlBindung,14),1,0))</f>
      </c>
      <c r="H6258" s="43">
        <f>IF($G6258=1,INDEX(DarlSollzins,14),INDEX(DarlAnschluss,14))</f>
      </c>
      <c r="I6258" s="43">
        <f>IF(INDEX(DarlBelegt,14)=0,0,IF(INDEX(DarlOhneTilgung,14)=1,IF(INDEX(DarlBindung,14)="",1,$G6258),IF($J6258&gt;0.005,1,0)))</f>
      </c>
      <c r="J6258" s="43">
        <f>IF($I6257=0,0,$R6257)</f>
      </c>
      <c r="K6258" s="43">
        <f>IF($I6258=0,0,IF(INDEX(DarlOhneTilgung,14)=1,0,IF(AND(INDEX(DarlTilgStart,14)&gt;0,$E6258=INDEX(DarlTilgStart,14)),$J6258*($H6258+INDEX(DarlTilgung,14))/100/12,IF(AND($G6258=0,$G6257=1),MAX($K6257,$J6258*($H6258+1)/100/12),$K6257))))</f>
      </c>
      <c r="L6258" s="43">
        <f>IF($I6258=0,0,$J6258*$H6258/100/12)</f>
      </c>
      <c r="M6258" s="43">
        <f>IF($I6258=0,0,IF(OR(INDEX(DarlOhneTilgung,14)=1,AND(INDEX(DarlTilgStart,14)&gt;0,$E6258&lt;INDEX(DarlTilgStart,14))),0,MIN(MAX(0,$K6258-$L6258),$J6258)))</f>
      </c>
      <c r="N6258" s="43">
        <f>IF($I6258=0,0,MIN(SUMIFS(SondBetrag,SondDarl,14,SondDatum,"&gt;="&amp;$E6258,SondDatum,"&lt;="&amp;EOMONTH($E6258,0)),$J6258-$M6258))</f>
      </c>
      <c r="O6258" s="43">
        <f>IF($I6258=0,0,INDEX(DarlErsatzRate,14))</f>
      </c>
      <c r="P6258" s="43">
        <f>IF($I6258=0,0,$Q6257*INDEX(DarlErsatzZins,14))</f>
      </c>
      <c r="Q6258" s="43">
        <f>IF($I6258=0,0,$Q6257+$P6258+$O6258)</f>
      </c>
      <c r="R6258" s="43">
        <f>IF($I6258=0,0,$J6258-$M6258-$N6258)</f>
      </c>
    </row>
    <row r="6259">
      <c r="A6259"/>
      <c r="B6259">
        <v>14</v>
      </c>
      <c r="C6259" s="43">
        <f>INDEX(DarlObj,14)</f>
      </c>
      <c r="D6259">
        <v>16</v>
      </c>
      <c r="E6259" s="51">
        <f>IF(INDEX(DarlBelegt,14)=0,0,EOMONTH(INDEX(DarlAuszahlung,14),15)+1)</f>
      </c>
      <c r="F6259" s="43">
        <f>IF($E6259=0,0,YEAR($E6259))</f>
      </c>
      <c r="G6259" s="43">
        <f>IF(INDEX(DarlBindung,14)="",1,IF($E6259&lt;=INDEX(DarlBindung,14),1,0))</f>
      </c>
      <c r="H6259" s="43">
        <f>IF($G6259=1,INDEX(DarlSollzins,14),INDEX(DarlAnschluss,14))</f>
      </c>
      <c r="I6259" s="43">
        <f>IF(INDEX(DarlBelegt,14)=0,0,IF(INDEX(DarlOhneTilgung,14)=1,IF(INDEX(DarlBindung,14)="",1,$G6259),IF($J6259&gt;0.005,1,0)))</f>
      </c>
      <c r="J6259" s="43">
        <f>IF($I6258=0,0,$R6258)</f>
      </c>
      <c r="K6259" s="43">
        <f>IF($I6259=0,0,IF(INDEX(DarlOhneTilgung,14)=1,0,IF(AND(INDEX(DarlTilgStart,14)&gt;0,$E6259=INDEX(DarlTilgStart,14)),$J6259*($H6259+INDEX(DarlTilgung,14))/100/12,IF(AND($G6259=0,$G6258=1),MAX($K6258,$J6259*($H6259+1)/100/12),$K6258))))</f>
      </c>
      <c r="L6259" s="43">
        <f>IF($I6259=0,0,$J6259*$H6259/100/12)</f>
      </c>
      <c r="M6259" s="43">
        <f>IF($I6259=0,0,IF(OR(INDEX(DarlOhneTilgung,14)=1,AND(INDEX(DarlTilgStart,14)&gt;0,$E6259&lt;INDEX(DarlTilgStart,14))),0,MIN(MAX(0,$K6259-$L6259),$J6259)))</f>
      </c>
      <c r="N6259" s="43">
        <f>IF($I6259=0,0,MIN(SUMIFS(SondBetrag,SondDarl,14,SondDatum,"&gt;="&amp;$E6259,SondDatum,"&lt;="&amp;EOMONTH($E6259,0)),$J6259-$M6259))</f>
      </c>
      <c r="O6259" s="43">
        <f>IF($I6259=0,0,INDEX(DarlErsatzRate,14))</f>
      </c>
      <c r="P6259" s="43">
        <f>IF($I6259=0,0,$Q6258*INDEX(DarlErsatzZins,14))</f>
      </c>
      <c r="Q6259" s="43">
        <f>IF($I6259=0,0,$Q6258+$P6259+$O6259)</f>
      </c>
      <c r="R6259" s="43">
        <f>IF($I6259=0,0,$J6259-$M6259-$N6259)</f>
      </c>
    </row>
    <row r="6260">
      <c r="A6260"/>
      <c r="B6260">
        <v>14</v>
      </c>
      <c r="C6260" s="43">
        <f>INDEX(DarlObj,14)</f>
      </c>
      <c r="D6260">
        <v>17</v>
      </c>
      <c r="E6260" s="51">
        <f>IF(INDEX(DarlBelegt,14)=0,0,EOMONTH(INDEX(DarlAuszahlung,14),16)+1)</f>
      </c>
      <c r="F6260" s="43">
        <f>IF($E6260=0,0,YEAR($E6260))</f>
      </c>
      <c r="G6260" s="43">
        <f>IF(INDEX(DarlBindung,14)="",1,IF($E6260&lt;=INDEX(DarlBindung,14),1,0))</f>
      </c>
      <c r="H6260" s="43">
        <f>IF($G6260=1,INDEX(DarlSollzins,14),INDEX(DarlAnschluss,14))</f>
      </c>
      <c r="I6260" s="43">
        <f>IF(INDEX(DarlBelegt,14)=0,0,IF(INDEX(DarlOhneTilgung,14)=1,IF(INDEX(DarlBindung,14)="",1,$G6260),IF($J6260&gt;0.005,1,0)))</f>
      </c>
      <c r="J6260" s="43">
        <f>IF($I6259=0,0,$R6259)</f>
      </c>
      <c r="K6260" s="43">
        <f>IF($I6260=0,0,IF(INDEX(DarlOhneTilgung,14)=1,0,IF(AND(INDEX(DarlTilgStart,14)&gt;0,$E6260=INDEX(DarlTilgStart,14)),$J6260*($H6260+INDEX(DarlTilgung,14))/100/12,IF(AND($G6260=0,$G6259=1),MAX($K6259,$J6260*($H6260+1)/100/12),$K6259))))</f>
      </c>
      <c r="L6260" s="43">
        <f>IF($I6260=0,0,$J6260*$H6260/100/12)</f>
      </c>
      <c r="M6260" s="43">
        <f>IF($I6260=0,0,IF(OR(INDEX(DarlOhneTilgung,14)=1,AND(INDEX(DarlTilgStart,14)&gt;0,$E6260&lt;INDEX(DarlTilgStart,14))),0,MIN(MAX(0,$K6260-$L6260),$J6260)))</f>
      </c>
      <c r="N6260" s="43">
        <f>IF($I6260=0,0,MIN(SUMIFS(SondBetrag,SondDarl,14,SondDatum,"&gt;="&amp;$E6260,SondDatum,"&lt;="&amp;EOMONTH($E6260,0)),$J6260-$M6260))</f>
      </c>
      <c r="O6260" s="43">
        <f>IF($I6260=0,0,INDEX(DarlErsatzRate,14))</f>
      </c>
      <c r="P6260" s="43">
        <f>IF($I6260=0,0,$Q6259*INDEX(DarlErsatzZins,14))</f>
      </c>
      <c r="Q6260" s="43">
        <f>IF($I6260=0,0,$Q6259+$P6260+$O6260)</f>
      </c>
      <c r="R6260" s="43">
        <f>IF($I6260=0,0,$J6260-$M6260-$N6260)</f>
      </c>
    </row>
    <row r="6261">
      <c r="A6261"/>
      <c r="B6261">
        <v>14</v>
      </c>
      <c r="C6261" s="43">
        <f>INDEX(DarlObj,14)</f>
      </c>
      <c r="D6261">
        <v>18</v>
      </c>
      <c r="E6261" s="51">
        <f>IF(INDEX(DarlBelegt,14)=0,0,EOMONTH(INDEX(DarlAuszahlung,14),17)+1)</f>
      </c>
      <c r="F6261" s="43">
        <f>IF($E6261=0,0,YEAR($E6261))</f>
      </c>
      <c r="G6261" s="43">
        <f>IF(INDEX(DarlBindung,14)="",1,IF($E6261&lt;=INDEX(DarlBindung,14),1,0))</f>
      </c>
      <c r="H6261" s="43">
        <f>IF($G6261=1,INDEX(DarlSollzins,14),INDEX(DarlAnschluss,14))</f>
      </c>
      <c r="I6261" s="43">
        <f>IF(INDEX(DarlBelegt,14)=0,0,IF(INDEX(DarlOhneTilgung,14)=1,IF(INDEX(DarlBindung,14)="",1,$G6261),IF($J6261&gt;0.005,1,0)))</f>
      </c>
      <c r="J6261" s="43">
        <f>IF($I6260=0,0,$R6260)</f>
      </c>
      <c r="K6261" s="43">
        <f>IF($I6261=0,0,IF(INDEX(DarlOhneTilgung,14)=1,0,IF(AND(INDEX(DarlTilgStart,14)&gt;0,$E6261=INDEX(DarlTilgStart,14)),$J6261*($H6261+INDEX(DarlTilgung,14))/100/12,IF(AND($G6261=0,$G6260=1),MAX($K6260,$J6261*($H6261+1)/100/12),$K6260))))</f>
      </c>
      <c r="L6261" s="43">
        <f>IF($I6261=0,0,$J6261*$H6261/100/12)</f>
      </c>
      <c r="M6261" s="43">
        <f>IF($I6261=0,0,IF(OR(INDEX(DarlOhneTilgung,14)=1,AND(INDEX(DarlTilgStart,14)&gt;0,$E6261&lt;INDEX(DarlTilgStart,14))),0,MIN(MAX(0,$K6261-$L6261),$J6261)))</f>
      </c>
      <c r="N6261" s="43">
        <f>IF($I6261=0,0,MIN(SUMIFS(SondBetrag,SondDarl,14,SondDatum,"&gt;="&amp;$E6261,SondDatum,"&lt;="&amp;EOMONTH($E6261,0)),$J6261-$M6261))</f>
      </c>
      <c r="O6261" s="43">
        <f>IF($I6261=0,0,INDEX(DarlErsatzRate,14))</f>
      </c>
      <c r="P6261" s="43">
        <f>IF($I6261=0,0,$Q6260*INDEX(DarlErsatzZins,14))</f>
      </c>
      <c r="Q6261" s="43">
        <f>IF($I6261=0,0,$Q6260+$P6261+$O6261)</f>
      </c>
      <c r="R6261" s="43">
        <f>IF($I6261=0,0,$J6261-$M6261-$N6261)</f>
      </c>
    </row>
    <row r="6262">
      <c r="A6262"/>
      <c r="B6262">
        <v>14</v>
      </c>
      <c r="C6262" s="43">
        <f>INDEX(DarlObj,14)</f>
      </c>
      <c r="D6262">
        <v>19</v>
      </c>
      <c r="E6262" s="51">
        <f>IF(INDEX(DarlBelegt,14)=0,0,EOMONTH(INDEX(DarlAuszahlung,14),18)+1)</f>
      </c>
      <c r="F6262" s="43">
        <f>IF($E6262=0,0,YEAR($E6262))</f>
      </c>
      <c r="G6262" s="43">
        <f>IF(INDEX(DarlBindung,14)="",1,IF($E6262&lt;=INDEX(DarlBindung,14),1,0))</f>
      </c>
      <c r="H6262" s="43">
        <f>IF($G6262=1,INDEX(DarlSollzins,14),INDEX(DarlAnschluss,14))</f>
      </c>
      <c r="I6262" s="43">
        <f>IF(INDEX(DarlBelegt,14)=0,0,IF(INDEX(DarlOhneTilgung,14)=1,IF(INDEX(DarlBindung,14)="",1,$G6262),IF($J6262&gt;0.005,1,0)))</f>
      </c>
      <c r="J6262" s="43">
        <f>IF($I6261=0,0,$R6261)</f>
      </c>
      <c r="K6262" s="43">
        <f>IF($I6262=0,0,IF(INDEX(DarlOhneTilgung,14)=1,0,IF(AND(INDEX(DarlTilgStart,14)&gt;0,$E6262=INDEX(DarlTilgStart,14)),$J6262*($H6262+INDEX(DarlTilgung,14))/100/12,IF(AND($G6262=0,$G6261=1),MAX($K6261,$J6262*($H6262+1)/100/12),$K6261))))</f>
      </c>
      <c r="L6262" s="43">
        <f>IF($I6262=0,0,$J6262*$H6262/100/12)</f>
      </c>
      <c r="M6262" s="43">
        <f>IF($I6262=0,0,IF(OR(INDEX(DarlOhneTilgung,14)=1,AND(INDEX(DarlTilgStart,14)&gt;0,$E6262&lt;INDEX(DarlTilgStart,14))),0,MIN(MAX(0,$K6262-$L6262),$J6262)))</f>
      </c>
      <c r="N6262" s="43">
        <f>IF($I6262=0,0,MIN(SUMIFS(SondBetrag,SondDarl,14,SondDatum,"&gt;="&amp;$E6262,SondDatum,"&lt;="&amp;EOMONTH($E6262,0)),$J6262-$M6262))</f>
      </c>
      <c r="O6262" s="43">
        <f>IF($I6262=0,0,INDEX(DarlErsatzRate,14))</f>
      </c>
      <c r="P6262" s="43">
        <f>IF($I6262=0,0,$Q6261*INDEX(DarlErsatzZins,14))</f>
      </c>
      <c r="Q6262" s="43">
        <f>IF($I6262=0,0,$Q6261+$P6262+$O6262)</f>
      </c>
      <c r="R6262" s="43">
        <f>IF($I6262=0,0,$J6262-$M6262-$N6262)</f>
      </c>
    </row>
    <row r="6263">
      <c r="A6263"/>
      <c r="B6263">
        <v>14</v>
      </c>
      <c r="C6263" s="43">
        <f>INDEX(DarlObj,14)</f>
      </c>
      <c r="D6263">
        <v>20</v>
      </c>
      <c r="E6263" s="51">
        <f>IF(INDEX(DarlBelegt,14)=0,0,EOMONTH(INDEX(DarlAuszahlung,14),19)+1)</f>
      </c>
      <c r="F6263" s="43">
        <f>IF($E6263=0,0,YEAR($E6263))</f>
      </c>
      <c r="G6263" s="43">
        <f>IF(INDEX(DarlBindung,14)="",1,IF($E6263&lt;=INDEX(DarlBindung,14),1,0))</f>
      </c>
      <c r="H6263" s="43">
        <f>IF($G6263=1,INDEX(DarlSollzins,14),INDEX(DarlAnschluss,14))</f>
      </c>
      <c r="I6263" s="43">
        <f>IF(INDEX(DarlBelegt,14)=0,0,IF(INDEX(DarlOhneTilgung,14)=1,IF(INDEX(DarlBindung,14)="",1,$G6263),IF($J6263&gt;0.005,1,0)))</f>
      </c>
      <c r="J6263" s="43">
        <f>IF($I6262=0,0,$R6262)</f>
      </c>
      <c r="K6263" s="43">
        <f>IF($I6263=0,0,IF(INDEX(DarlOhneTilgung,14)=1,0,IF(AND(INDEX(DarlTilgStart,14)&gt;0,$E6263=INDEX(DarlTilgStart,14)),$J6263*($H6263+INDEX(DarlTilgung,14))/100/12,IF(AND($G6263=0,$G6262=1),MAX($K6262,$J6263*($H6263+1)/100/12),$K6262))))</f>
      </c>
      <c r="L6263" s="43">
        <f>IF($I6263=0,0,$J6263*$H6263/100/12)</f>
      </c>
      <c r="M6263" s="43">
        <f>IF($I6263=0,0,IF(OR(INDEX(DarlOhneTilgung,14)=1,AND(INDEX(DarlTilgStart,14)&gt;0,$E6263&lt;INDEX(DarlTilgStart,14))),0,MIN(MAX(0,$K6263-$L6263),$J6263)))</f>
      </c>
      <c r="N6263" s="43">
        <f>IF($I6263=0,0,MIN(SUMIFS(SondBetrag,SondDarl,14,SondDatum,"&gt;="&amp;$E6263,SondDatum,"&lt;="&amp;EOMONTH($E6263,0)),$J6263-$M6263))</f>
      </c>
      <c r="O6263" s="43">
        <f>IF($I6263=0,0,INDEX(DarlErsatzRate,14))</f>
      </c>
      <c r="P6263" s="43">
        <f>IF($I6263=0,0,$Q6262*INDEX(DarlErsatzZins,14))</f>
      </c>
      <c r="Q6263" s="43">
        <f>IF($I6263=0,0,$Q6262+$P6263+$O6263)</f>
      </c>
      <c r="R6263" s="43">
        <f>IF($I6263=0,0,$J6263-$M6263-$N6263)</f>
      </c>
    </row>
    <row r="6264">
      <c r="A6264"/>
      <c r="B6264">
        <v>14</v>
      </c>
      <c r="C6264" s="43">
        <f>INDEX(DarlObj,14)</f>
      </c>
      <c r="D6264">
        <v>21</v>
      </c>
      <c r="E6264" s="51">
        <f>IF(INDEX(DarlBelegt,14)=0,0,EOMONTH(INDEX(DarlAuszahlung,14),20)+1)</f>
      </c>
      <c r="F6264" s="43">
        <f>IF($E6264=0,0,YEAR($E6264))</f>
      </c>
      <c r="G6264" s="43">
        <f>IF(INDEX(DarlBindung,14)="",1,IF($E6264&lt;=INDEX(DarlBindung,14),1,0))</f>
      </c>
      <c r="H6264" s="43">
        <f>IF($G6264=1,INDEX(DarlSollzins,14),INDEX(DarlAnschluss,14))</f>
      </c>
      <c r="I6264" s="43">
        <f>IF(INDEX(DarlBelegt,14)=0,0,IF(INDEX(DarlOhneTilgung,14)=1,IF(INDEX(DarlBindung,14)="",1,$G6264),IF($J6264&gt;0.005,1,0)))</f>
      </c>
      <c r="J6264" s="43">
        <f>IF($I6263=0,0,$R6263)</f>
      </c>
      <c r="K6264" s="43">
        <f>IF($I6264=0,0,IF(INDEX(DarlOhneTilgung,14)=1,0,IF(AND(INDEX(DarlTilgStart,14)&gt;0,$E6264=INDEX(DarlTilgStart,14)),$J6264*($H6264+INDEX(DarlTilgung,14))/100/12,IF(AND($G6264=0,$G6263=1),MAX($K6263,$J6264*($H6264+1)/100/12),$K6263))))</f>
      </c>
      <c r="L6264" s="43">
        <f>IF($I6264=0,0,$J6264*$H6264/100/12)</f>
      </c>
      <c r="M6264" s="43">
        <f>IF($I6264=0,0,IF(OR(INDEX(DarlOhneTilgung,14)=1,AND(INDEX(DarlTilgStart,14)&gt;0,$E6264&lt;INDEX(DarlTilgStart,14))),0,MIN(MAX(0,$K6264-$L6264),$J6264)))</f>
      </c>
      <c r="N6264" s="43">
        <f>IF($I6264=0,0,MIN(SUMIFS(SondBetrag,SondDarl,14,SondDatum,"&gt;="&amp;$E6264,SondDatum,"&lt;="&amp;EOMONTH($E6264,0)),$J6264-$M6264))</f>
      </c>
      <c r="O6264" s="43">
        <f>IF($I6264=0,0,INDEX(DarlErsatzRate,14))</f>
      </c>
      <c r="P6264" s="43">
        <f>IF($I6264=0,0,$Q6263*INDEX(DarlErsatzZins,14))</f>
      </c>
      <c r="Q6264" s="43">
        <f>IF($I6264=0,0,$Q6263+$P6264+$O6264)</f>
      </c>
      <c r="R6264" s="43">
        <f>IF($I6264=0,0,$J6264-$M6264-$N6264)</f>
      </c>
    </row>
    <row r="6265">
      <c r="A6265"/>
      <c r="B6265">
        <v>14</v>
      </c>
      <c r="C6265" s="43">
        <f>INDEX(DarlObj,14)</f>
      </c>
      <c r="D6265">
        <v>22</v>
      </c>
      <c r="E6265" s="51">
        <f>IF(INDEX(DarlBelegt,14)=0,0,EOMONTH(INDEX(DarlAuszahlung,14),21)+1)</f>
      </c>
      <c r="F6265" s="43">
        <f>IF($E6265=0,0,YEAR($E6265))</f>
      </c>
      <c r="G6265" s="43">
        <f>IF(INDEX(DarlBindung,14)="",1,IF($E6265&lt;=INDEX(DarlBindung,14),1,0))</f>
      </c>
      <c r="H6265" s="43">
        <f>IF($G6265=1,INDEX(DarlSollzins,14),INDEX(DarlAnschluss,14))</f>
      </c>
      <c r="I6265" s="43">
        <f>IF(INDEX(DarlBelegt,14)=0,0,IF(INDEX(DarlOhneTilgung,14)=1,IF(INDEX(DarlBindung,14)="",1,$G6265),IF($J6265&gt;0.005,1,0)))</f>
      </c>
      <c r="J6265" s="43">
        <f>IF($I6264=0,0,$R6264)</f>
      </c>
      <c r="K6265" s="43">
        <f>IF($I6265=0,0,IF(INDEX(DarlOhneTilgung,14)=1,0,IF(AND(INDEX(DarlTilgStart,14)&gt;0,$E6265=INDEX(DarlTilgStart,14)),$J6265*($H6265+INDEX(DarlTilgung,14))/100/12,IF(AND($G6265=0,$G6264=1),MAX($K6264,$J6265*($H6265+1)/100/12),$K6264))))</f>
      </c>
      <c r="L6265" s="43">
        <f>IF($I6265=0,0,$J6265*$H6265/100/12)</f>
      </c>
      <c r="M6265" s="43">
        <f>IF($I6265=0,0,IF(OR(INDEX(DarlOhneTilgung,14)=1,AND(INDEX(DarlTilgStart,14)&gt;0,$E6265&lt;INDEX(DarlTilgStart,14))),0,MIN(MAX(0,$K6265-$L6265),$J6265)))</f>
      </c>
      <c r="N6265" s="43">
        <f>IF($I6265=0,0,MIN(SUMIFS(SondBetrag,SondDarl,14,SondDatum,"&gt;="&amp;$E6265,SondDatum,"&lt;="&amp;EOMONTH($E6265,0)),$J6265-$M6265))</f>
      </c>
      <c r="O6265" s="43">
        <f>IF($I6265=0,0,INDEX(DarlErsatzRate,14))</f>
      </c>
      <c r="P6265" s="43">
        <f>IF($I6265=0,0,$Q6264*INDEX(DarlErsatzZins,14))</f>
      </c>
      <c r="Q6265" s="43">
        <f>IF($I6265=0,0,$Q6264+$P6265+$O6265)</f>
      </c>
      <c r="R6265" s="43">
        <f>IF($I6265=0,0,$J6265-$M6265-$N6265)</f>
      </c>
    </row>
    <row r="6266">
      <c r="A6266"/>
      <c r="B6266">
        <v>14</v>
      </c>
      <c r="C6266" s="43">
        <f>INDEX(DarlObj,14)</f>
      </c>
      <c r="D6266">
        <v>23</v>
      </c>
      <c r="E6266" s="51">
        <f>IF(INDEX(DarlBelegt,14)=0,0,EOMONTH(INDEX(DarlAuszahlung,14),22)+1)</f>
      </c>
      <c r="F6266" s="43">
        <f>IF($E6266=0,0,YEAR($E6266))</f>
      </c>
      <c r="G6266" s="43">
        <f>IF(INDEX(DarlBindung,14)="",1,IF($E6266&lt;=INDEX(DarlBindung,14),1,0))</f>
      </c>
      <c r="H6266" s="43">
        <f>IF($G6266=1,INDEX(DarlSollzins,14),INDEX(DarlAnschluss,14))</f>
      </c>
      <c r="I6266" s="43">
        <f>IF(INDEX(DarlBelegt,14)=0,0,IF(INDEX(DarlOhneTilgung,14)=1,IF(INDEX(DarlBindung,14)="",1,$G6266),IF($J6266&gt;0.005,1,0)))</f>
      </c>
      <c r="J6266" s="43">
        <f>IF($I6265=0,0,$R6265)</f>
      </c>
      <c r="K6266" s="43">
        <f>IF($I6266=0,0,IF(INDEX(DarlOhneTilgung,14)=1,0,IF(AND(INDEX(DarlTilgStart,14)&gt;0,$E6266=INDEX(DarlTilgStart,14)),$J6266*($H6266+INDEX(DarlTilgung,14))/100/12,IF(AND($G6266=0,$G6265=1),MAX($K6265,$J6266*($H6266+1)/100/12),$K6265))))</f>
      </c>
      <c r="L6266" s="43">
        <f>IF($I6266=0,0,$J6266*$H6266/100/12)</f>
      </c>
      <c r="M6266" s="43">
        <f>IF($I6266=0,0,IF(OR(INDEX(DarlOhneTilgung,14)=1,AND(INDEX(DarlTilgStart,14)&gt;0,$E6266&lt;INDEX(DarlTilgStart,14))),0,MIN(MAX(0,$K6266-$L6266),$J6266)))</f>
      </c>
      <c r="N6266" s="43">
        <f>IF($I6266=0,0,MIN(SUMIFS(SondBetrag,SondDarl,14,SondDatum,"&gt;="&amp;$E6266,SondDatum,"&lt;="&amp;EOMONTH($E6266,0)),$J6266-$M6266))</f>
      </c>
      <c r="O6266" s="43">
        <f>IF($I6266=0,0,INDEX(DarlErsatzRate,14))</f>
      </c>
      <c r="P6266" s="43">
        <f>IF($I6266=0,0,$Q6265*INDEX(DarlErsatzZins,14))</f>
      </c>
      <c r="Q6266" s="43">
        <f>IF($I6266=0,0,$Q6265+$P6266+$O6266)</f>
      </c>
      <c r="R6266" s="43">
        <f>IF($I6266=0,0,$J6266-$M6266-$N6266)</f>
      </c>
    </row>
    <row r="6267">
      <c r="A6267"/>
      <c r="B6267">
        <v>14</v>
      </c>
      <c r="C6267" s="43">
        <f>INDEX(DarlObj,14)</f>
      </c>
      <c r="D6267">
        <v>24</v>
      </c>
      <c r="E6267" s="51">
        <f>IF(INDEX(DarlBelegt,14)=0,0,EOMONTH(INDEX(DarlAuszahlung,14),23)+1)</f>
      </c>
      <c r="F6267" s="43">
        <f>IF($E6267=0,0,YEAR($E6267))</f>
      </c>
      <c r="G6267" s="43">
        <f>IF(INDEX(DarlBindung,14)="",1,IF($E6267&lt;=INDEX(DarlBindung,14),1,0))</f>
      </c>
      <c r="H6267" s="43">
        <f>IF($G6267=1,INDEX(DarlSollzins,14),INDEX(DarlAnschluss,14))</f>
      </c>
      <c r="I6267" s="43">
        <f>IF(INDEX(DarlBelegt,14)=0,0,IF(INDEX(DarlOhneTilgung,14)=1,IF(INDEX(DarlBindung,14)="",1,$G6267),IF($J6267&gt;0.005,1,0)))</f>
      </c>
      <c r="J6267" s="43">
        <f>IF($I6266=0,0,$R6266)</f>
      </c>
      <c r="K6267" s="43">
        <f>IF($I6267=0,0,IF(INDEX(DarlOhneTilgung,14)=1,0,IF(AND(INDEX(DarlTilgStart,14)&gt;0,$E6267=INDEX(DarlTilgStart,14)),$J6267*($H6267+INDEX(DarlTilgung,14))/100/12,IF(AND($G6267=0,$G6266=1),MAX($K6266,$J6267*($H6267+1)/100/12),$K6266))))</f>
      </c>
      <c r="L6267" s="43">
        <f>IF($I6267=0,0,$J6267*$H6267/100/12)</f>
      </c>
      <c r="M6267" s="43">
        <f>IF($I6267=0,0,IF(OR(INDEX(DarlOhneTilgung,14)=1,AND(INDEX(DarlTilgStart,14)&gt;0,$E6267&lt;INDEX(DarlTilgStart,14))),0,MIN(MAX(0,$K6267-$L6267),$J6267)))</f>
      </c>
      <c r="N6267" s="43">
        <f>IF($I6267=0,0,MIN(SUMIFS(SondBetrag,SondDarl,14,SondDatum,"&gt;="&amp;$E6267,SondDatum,"&lt;="&amp;EOMONTH($E6267,0)),$J6267-$M6267))</f>
      </c>
      <c r="O6267" s="43">
        <f>IF($I6267=0,0,INDEX(DarlErsatzRate,14))</f>
      </c>
      <c r="P6267" s="43">
        <f>IF($I6267=0,0,$Q6266*INDEX(DarlErsatzZins,14))</f>
      </c>
      <c r="Q6267" s="43">
        <f>IF($I6267=0,0,$Q6266+$P6267+$O6267)</f>
      </c>
      <c r="R6267" s="43">
        <f>IF($I6267=0,0,$J6267-$M6267-$N6267)</f>
      </c>
    </row>
    <row r="6268">
      <c r="A6268"/>
      <c r="B6268">
        <v>14</v>
      </c>
      <c r="C6268" s="43">
        <f>INDEX(DarlObj,14)</f>
      </c>
      <c r="D6268">
        <v>25</v>
      </c>
      <c r="E6268" s="51">
        <f>IF(INDEX(DarlBelegt,14)=0,0,EOMONTH(INDEX(DarlAuszahlung,14),24)+1)</f>
      </c>
      <c r="F6268" s="43">
        <f>IF($E6268=0,0,YEAR($E6268))</f>
      </c>
      <c r="G6268" s="43">
        <f>IF(INDEX(DarlBindung,14)="",1,IF($E6268&lt;=INDEX(DarlBindung,14),1,0))</f>
      </c>
      <c r="H6268" s="43">
        <f>IF($G6268=1,INDEX(DarlSollzins,14),INDEX(DarlAnschluss,14))</f>
      </c>
      <c r="I6268" s="43">
        <f>IF(INDEX(DarlBelegt,14)=0,0,IF(INDEX(DarlOhneTilgung,14)=1,IF(INDEX(DarlBindung,14)="",1,$G6268),IF($J6268&gt;0.005,1,0)))</f>
      </c>
      <c r="J6268" s="43">
        <f>IF($I6267=0,0,$R6267)</f>
      </c>
      <c r="K6268" s="43">
        <f>IF($I6268=0,0,IF(INDEX(DarlOhneTilgung,14)=1,0,IF(AND(INDEX(DarlTilgStart,14)&gt;0,$E6268=INDEX(DarlTilgStart,14)),$J6268*($H6268+INDEX(DarlTilgung,14))/100/12,IF(AND($G6268=0,$G6267=1),MAX($K6267,$J6268*($H6268+1)/100/12),$K6267))))</f>
      </c>
      <c r="L6268" s="43">
        <f>IF($I6268=0,0,$J6268*$H6268/100/12)</f>
      </c>
      <c r="M6268" s="43">
        <f>IF($I6268=0,0,IF(OR(INDEX(DarlOhneTilgung,14)=1,AND(INDEX(DarlTilgStart,14)&gt;0,$E6268&lt;INDEX(DarlTilgStart,14))),0,MIN(MAX(0,$K6268-$L6268),$J6268)))</f>
      </c>
      <c r="N6268" s="43">
        <f>IF($I6268=0,0,MIN(SUMIFS(SondBetrag,SondDarl,14,SondDatum,"&gt;="&amp;$E6268,SondDatum,"&lt;="&amp;EOMONTH($E6268,0)),$J6268-$M6268))</f>
      </c>
      <c r="O6268" s="43">
        <f>IF($I6268=0,0,INDEX(DarlErsatzRate,14))</f>
      </c>
      <c r="P6268" s="43">
        <f>IF($I6268=0,0,$Q6267*INDEX(DarlErsatzZins,14))</f>
      </c>
      <c r="Q6268" s="43">
        <f>IF($I6268=0,0,$Q6267+$P6268+$O6268)</f>
      </c>
      <c r="R6268" s="43">
        <f>IF($I6268=0,0,$J6268-$M6268-$N6268)</f>
      </c>
    </row>
    <row r="6269">
      <c r="A6269"/>
      <c r="B6269">
        <v>14</v>
      </c>
      <c r="C6269" s="43">
        <f>INDEX(DarlObj,14)</f>
      </c>
      <c r="D6269">
        <v>26</v>
      </c>
      <c r="E6269" s="51">
        <f>IF(INDEX(DarlBelegt,14)=0,0,EOMONTH(INDEX(DarlAuszahlung,14),25)+1)</f>
      </c>
      <c r="F6269" s="43">
        <f>IF($E6269=0,0,YEAR($E6269))</f>
      </c>
      <c r="G6269" s="43">
        <f>IF(INDEX(DarlBindung,14)="",1,IF($E6269&lt;=INDEX(DarlBindung,14),1,0))</f>
      </c>
      <c r="H6269" s="43">
        <f>IF($G6269=1,INDEX(DarlSollzins,14),INDEX(DarlAnschluss,14))</f>
      </c>
      <c r="I6269" s="43">
        <f>IF(INDEX(DarlBelegt,14)=0,0,IF(INDEX(DarlOhneTilgung,14)=1,IF(INDEX(DarlBindung,14)="",1,$G6269),IF($J6269&gt;0.005,1,0)))</f>
      </c>
      <c r="J6269" s="43">
        <f>IF($I6268=0,0,$R6268)</f>
      </c>
      <c r="K6269" s="43">
        <f>IF($I6269=0,0,IF(INDEX(DarlOhneTilgung,14)=1,0,IF(AND(INDEX(DarlTilgStart,14)&gt;0,$E6269=INDEX(DarlTilgStart,14)),$J6269*($H6269+INDEX(DarlTilgung,14))/100/12,IF(AND($G6269=0,$G6268=1),MAX($K6268,$J6269*($H6269+1)/100/12),$K6268))))</f>
      </c>
      <c r="L6269" s="43">
        <f>IF($I6269=0,0,$J6269*$H6269/100/12)</f>
      </c>
      <c r="M6269" s="43">
        <f>IF($I6269=0,0,IF(OR(INDEX(DarlOhneTilgung,14)=1,AND(INDEX(DarlTilgStart,14)&gt;0,$E6269&lt;INDEX(DarlTilgStart,14))),0,MIN(MAX(0,$K6269-$L6269),$J6269)))</f>
      </c>
      <c r="N6269" s="43">
        <f>IF($I6269=0,0,MIN(SUMIFS(SondBetrag,SondDarl,14,SondDatum,"&gt;="&amp;$E6269,SondDatum,"&lt;="&amp;EOMONTH($E6269,0)),$J6269-$M6269))</f>
      </c>
      <c r="O6269" s="43">
        <f>IF($I6269=0,0,INDEX(DarlErsatzRate,14))</f>
      </c>
      <c r="P6269" s="43">
        <f>IF($I6269=0,0,$Q6268*INDEX(DarlErsatzZins,14))</f>
      </c>
      <c r="Q6269" s="43">
        <f>IF($I6269=0,0,$Q6268+$P6269+$O6269)</f>
      </c>
      <c r="R6269" s="43">
        <f>IF($I6269=0,0,$J6269-$M6269-$N6269)</f>
      </c>
    </row>
    <row r="6270">
      <c r="A6270"/>
      <c r="B6270">
        <v>14</v>
      </c>
      <c r="C6270" s="43">
        <f>INDEX(DarlObj,14)</f>
      </c>
      <c r="D6270">
        <v>27</v>
      </c>
      <c r="E6270" s="51">
        <f>IF(INDEX(DarlBelegt,14)=0,0,EOMONTH(INDEX(DarlAuszahlung,14),26)+1)</f>
      </c>
      <c r="F6270" s="43">
        <f>IF($E6270=0,0,YEAR($E6270))</f>
      </c>
      <c r="G6270" s="43">
        <f>IF(INDEX(DarlBindung,14)="",1,IF($E6270&lt;=INDEX(DarlBindung,14),1,0))</f>
      </c>
      <c r="H6270" s="43">
        <f>IF($G6270=1,INDEX(DarlSollzins,14),INDEX(DarlAnschluss,14))</f>
      </c>
      <c r="I6270" s="43">
        <f>IF(INDEX(DarlBelegt,14)=0,0,IF(INDEX(DarlOhneTilgung,14)=1,IF(INDEX(DarlBindung,14)="",1,$G6270),IF($J6270&gt;0.005,1,0)))</f>
      </c>
      <c r="J6270" s="43">
        <f>IF($I6269=0,0,$R6269)</f>
      </c>
      <c r="K6270" s="43">
        <f>IF($I6270=0,0,IF(INDEX(DarlOhneTilgung,14)=1,0,IF(AND(INDEX(DarlTilgStart,14)&gt;0,$E6270=INDEX(DarlTilgStart,14)),$J6270*($H6270+INDEX(DarlTilgung,14))/100/12,IF(AND($G6270=0,$G6269=1),MAX($K6269,$J6270*($H6270+1)/100/12),$K6269))))</f>
      </c>
      <c r="L6270" s="43">
        <f>IF($I6270=0,0,$J6270*$H6270/100/12)</f>
      </c>
      <c r="M6270" s="43">
        <f>IF($I6270=0,0,IF(OR(INDEX(DarlOhneTilgung,14)=1,AND(INDEX(DarlTilgStart,14)&gt;0,$E6270&lt;INDEX(DarlTilgStart,14))),0,MIN(MAX(0,$K6270-$L6270),$J6270)))</f>
      </c>
      <c r="N6270" s="43">
        <f>IF($I6270=0,0,MIN(SUMIFS(SondBetrag,SondDarl,14,SondDatum,"&gt;="&amp;$E6270,SondDatum,"&lt;="&amp;EOMONTH($E6270,0)),$J6270-$M6270))</f>
      </c>
      <c r="O6270" s="43">
        <f>IF($I6270=0,0,INDEX(DarlErsatzRate,14))</f>
      </c>
      <c r="P6270" s="43">
        <f>IF($I6270=0,0,$Q6269*INDEX(DarlErsatzZins,14))</f>
      </c>
      <c r="Q6270" s="43">
        <f>IF($I6270=0,0,$Q6269+$P6270+$O6270)</f>
      </c>
      <c r="R6270" s="43">
        <f>IF($I6270=0,0,$J6270-$M6270-$N6270)</f>
      </c>
    </row>
    <row r="6271">
      <c r="A6271"/>
      <c r="B6271">
        <v>14</v>
      </c>
      <c r="C6271" s="43">
        <f>INDEX(DarlObj,14)</f>
      </c>
      <c r="D6271">
        <v>28</v>
      </c>
      <c r="E6271" s="51">
        <f>IF(INDEX(DarlBelegt,14)=0,0,EOMONTH(INDEX(DarlAuszahlung,14),27)+1)</f>
      </c>
      <c r="F6271" s="43">
        <f>IF($E6271=0,0,YEAR($E6271))</f>
      </c>
      <c r="G6271" s="43">
        <f>IF(INDEX(DarlBindung,14)="",1,IF($E6271&lt;=INDEX(DarlBindung,14),1,0))</f>
      </c>
      <c r="H6271" s="43">
        <f>IF($G6271=1,INDEX(DarlSollzins,14),INDEX(DarlAnschluss,14))</f>
      </c>
      <c r="I6271" s="43">
        <f>IF(INDEX(DarlBelegt,14)=0,0,IF(INDEX(DarlOhneTilgung,14)=1,IF(INDEX(DarlBindung,14)="",1,$G6271),IF($J6271&gt;0.005,1,0)))</f>
      </c>
      <c r="J6271" s="43">
        <f>IF($I6270=0,0,$R6270)</f>
      </c>
      <c r="K6271" s="43">
        <f>IF($I6271=0,0,IF(INDEX(DarlOhneTilgung,14)=1,0,IF(AND(INDEX(DarlTilgStart,14)&gt;0,$E6271=INDEX(DarlTilgStart,14)),$J6271*($H6271+INDEX(DarlTilgung,14))/100/12,IF(AND($G6271=0,$G6270=1),MAX($K6270,$J6271*($H6271+1)/100/12),$K6270))))</f>
      </c>
      <c r="L6271" s="43">
        <f>IF($I6271=0,0,$J6271*$H6271/100/12)</f>
      </c>
      <c r="M6271" s="43">
        <f>IF($I6271=0,0,IF(OR(INDEX(DarlOhneTilgung,14)=1,AND(INDEX(DarlTilgStart,14)&gt;0,$E6271&lt;INDEX(DarlTilgStart,14))),0,MIN(MAX(0,$K6271-$L6271),$J6271)))</f>
      </c>
      <c r="N6271" s="43">
        <f>IF($I6271=0,0,MIN(SUMIFS(SondBetrag,SondDarl,14,SondDatum,"&gt;="&amp;$E6271,SondDatum,"&lt;="&amp;EOMONTH($E6271,0)),$J6271-$M6271))</f>
      </c>
      <c r="O6271" s="43">
        <f>IF($I6271=0,0,INDEX(DarlErsatzRate,14))</f>
      </c>
      <c r="P6271" s="43">
        <f>IF($I6271=0,0,$Q6270*INDEX(DarlErsatzZins,14))</f>
      </c>
      <c r="Q6271" s="43">
        <f>IF($I6271=0,0,$Q6270+$P6271+$O6271)</f>
      </c>
      <c r="R6271" s="43">
        <f>IF($I6271=0,0,$J6271-$M6271-$N6271)</f>
      </c>
    </row>
    <row r="6272">
      <c r="A6272"/>
      <c r="B6272">
        <v>14</v>
      </c>
      <c r="C6272" s="43">
        <f>INDEX(DarlObj,14)</f>
      </c>
      <c r="D6272">
        <v>29</v>
      </c>
      <c r="E6272" s="51">
        <f>IF(INDEX(DarlBelegt,14)=0,0,EOMONTH(INDEX(DarlAuszahlung,14),28)+1)</f>
      </c>
      <c r="F6272" s="43">
        <f>IF($E6272=0,0,YEAR($E6272))</f>
      </c>
      <c r="G6272" s="43">
        <f>IF(INDEX(DarlBindung,14)="",1,IF($E6272&lt;=INDEX(DarlBindung,14),1,0))</f>
      </c>
      <c r="H6272" s="43">
        <f>IF($G6272=1,INDEX(DarlSollzins,14),INDEX(DarlAnschluss,14))</f>
      </c>
      <c r="I6272" s="43">
        <f>IF(INDEX(DarlBelegt,14)=0,0,IF(INDEX(DarlOhneTilgung,14)=1,IF(INDEX(DarlBindung,14)="",1,$G6272),IF($J6272&gt;0.005,1,0)))</f>
      </c>
      <c r="J6272" s="43">
        <f>IF($I6271=0,0,$R6271)</f>
      </c>
      <c r="K6272" s="43">
        <f>IF($I6272=0,0,IF(INDEX(DarlOhneTilgung,14)=1,0,IF(AND(INDEX(DarlTilgStart,14)&gt;0,$E6272=INDEX(DarlTilgStart,14)),$J6272*($H6272+INDEX(DarlTilgung,14))/100/12,IF(AND($G6272=0,$G6271=1),MAX($K6271,$J6272*($H6272+1)/100/12),$K6271))))</f>
      </c>
      <c r="L6272" s="43">
        <f>IF($I6272=0,0,$J6272*$H6272/100/12)</f>
      </c>
      <c r="M6272" s="43">
        <f>IF($I6272=0,0,IF(OR(INDEX(DarlOhneTilgung,14)=1,AND(INDEX(DarlTilgStart,14)&gt;0,$E6272&lt;INDEX(DarlTilgStart,14))),0,MIN(MAX(0,$K6272-$L6272),$J6272)))</f>
      </c>
      <c r="N6272" s="43">
        <f>IF($I6272=0,0,MIN(SUMIFS(SondBetrag,SondDarl,14,SondDatum,"&gt;="&amp;$E6272,SondDatum,"&lt;="&amp;EOMONTH($E6272,0)),$J6272-$M6272))</f>
      </c>
      <c r="O6272" s="43">
        <f>IF($I6272=0,0,INDEX(DarlErsatzRate,14))</f>
      </c>
      <c r="P6272" s="43">
        <f>IF($I6272=0,0,$Q6271*INDEX(DarlErsatzZins,14))</f>
      </c>
      <c r="Q6272" s="43">
        <f>IF($I6272=0,0,$Q6271+$P6272+$O6272)</f>
      </c>
      <c r="R6272" s="43">
        <f>IF($I6272=0,0,$J6272-$M6272-$N6272)</f>
      </c>
    </row>
    <row r="6273">
      <c r="A6273"/>
      <c r="B6273">
        <v>14</v>
      </c>
      <c r="C6273" s="43">
        <f>INDEX(DarlObj,14)</f>
      </c>
      <c r="D6273">
        <v>30</v>
      </c>
      <c r="E6273" s="51">
        <f>IF(INDEX(DarlBelegt,14)=0,0,EOMONTH(INDEX(DarlAuszahlung,14),29)+1)</f>
      </c>
      <c r="F6273" s="43">
        <f>IF($E6273=0,0,YEAR($E6273))</f>
      </c>
      <c r="G6273" s="43">
        <f>IF(INDEX(DarlBindung,14)="",1,IF($E6273&lt;=INDEX(DarlBindung,14),1,0))</f>
      </c>
      <c r="H6273" s="43">
        <f>IF($G6273=1,INDEX(DarlSollzins,14),INDEX(DarlAnschluss,14))</f>
      </c>
      <c r="I6273" s="43">
        <f>IF(INDEX(DarlBelegt,14)=0,0,IF(INDEX(DarlOhneTilgung,14)=1,IF(INDEX(DarlBindung,14)="",1,$G6273),IF($J6273&gt;0.005,1,0)))</f>
      </c>
      <c r="J6273" s="43">
        <f>IF($I6272=0,0,$R6272)</f>
      </c>
      <c r="K6273" s="43">
        <f>IF($I6273=0,0,IF(INDEX(DarlOhneTilgung,14)=1,0,IF(AND(INDEX(DarlTilgStart,14)&gt;0,$E6273=INDEX(DarlTilgStart,14)),$J6273*($H6273+INDEX(DarlTilgung,14))/100/12,IF(AND($G6273=0,$G6272=1),MAX($K6272,$J6273*($H6273+1)/100/12),$K6272))))</f>
      </c>
      <c r="L6273" s="43">
        <f>IF($I6273=0,0,$J6273*$H6273/100/12)</f>
      </c>
      <c r="M6273" s="43">
        <f>IF($I6273=0,0,IF(OR(INDEX(DarlOhneTilgung,14)=1,AND(INDEX(DarlTilgStart,14)&gt;0,$E6273&lt;INDEX(DarlTilgStart,14))),0,MIN(MAX(0,$K6273-$L6273),$J6273)))</f>
      </c>
      <c r="N6273" s="43">
        <f>IF($I6273=0,0,MIN(SUMIFS(SondBetrag,SondDarl,14,SondDatum,"&gt;="&amp;$E6273,SondDatum,"&lt;="&amp;EOMONTH($E6273,0)),$J6273-$M6273))</f>
      </c>
      <c r="O6273" s="43">
        <f>IF($I6273=0,0,INDEX(DarlErsatzRate,14))</f>
      </c>
      <c r="P6273" s="43">
        <f>IF($I6273=0,0,$Q6272*INDEX(DarlErsatzZins,14))</f>
      </c>
      <c r="Q6273" s="43">
        <f>IF($I6273=0,0,$Q6272+$P6273+$O6273)</f>
      </c>
      <c r="R6273" s="43">
        <f>IF($I6273=0,0,$J6273-$M6273-$N6273)</f>
      </c>
    </row>
    <row r="6274">
      <c r="A6274"/>
      <c r="B6274">
        <v>14</v>
      </c>
      <c r="C6274" s="43">
        <f>INDEX(DarlObj,14)</f>
      </c>
      <c r="D6274">
        <v>31</v>
      </c>
      <c r="E6274" s="51">
        <f>IF(INDEX(DarlBelegt,14)=0,0,EOMONTH(INDEX(DarlAuszahlung,14),30)+1)</f>
      </c>
      <c r="F6274" s="43">
        <f>IF($E6274=0,0,YEAR($E6274))</f>
      </c>
      <c r="G6274" s="43">
        <f>IF(INDEX(DarlBindung,14)="",1,IF($E6274&lt;=INDEX(DarlBindung,14),1,0))</f>
      </c>
      <c r="H6274" s="43">
        <f>IF($G6274=1,INDEX(DarlSollzins,14),INDEX(DarlAnschluss,14))</f>
      </c>
      <c r="I6274" s="43">
        <f>IF(INDEX(DarlBelegt,14)=0,0,IF(INDEX(DarlOhneTilgung,14)=1,IF(INDEX(DarlBindung,14)="",1,$G6274),IF($J6274&gt;0.005,1,0)))</f>
      </c>
      <c r="J6274" s="43">
        <f>IF($I6273=0,0,$R6273)</f>
      </c>
      <c r="K6274" s="43">
        <f>IF($I6274=0,0,IF(INDEX(DarlOhneTilgung,14)=1,0,IF(AND(INDEX(DarlTilgStart,14)&gt;0,$E6274=INDEX(DarlTilgStart,14)),$J6274*($H6274+INDEX(DarlTilgung,14))/100/12,IF(AND($G6274=0,$G6273=1),MAX($K6273,$J6274*($H6274+1)/100/12),$K6273))))</f>
      </c>
      <c r="L6274" s="43">
        <f>IF($I6274=0,0,$J6274*$H6274/100/12)</f>
      </c>
      <c r="M6274" s="43">
        <f>IF($I6274=0,0,IF(OR(INDEX(DarlOhneTilgung,14)=1,AND(INDEX(DarlTilgStart,14)&gt;0,$E6274&lt;INDEX(DarlTilgStart,14))),0,MIN(MAX(0,$K6274-$L6274),$J6274)))</f>
      </c>
      <c r="N6274" s="43">
        <f>IF($I6274=0,0,MIN(SUMIFS(SondBetrag,SondDarl,14,SondDatum,"&gt;="&amp;$E6274,SondDatum,"&lt;="&amp;EOMONTH($E6274,0)),$J6274-$M6274))</f>
      </c>
      <c r="O6274" s="43">
        <f>IF($I6274=0,0,INDEX(DarlErsatzRate,14))</f>
      </c>
      <c r="P6274" s="43">
        <f>IF($I6274=0,0,$Q6273*INDEX(DarlErsatzZins,14))</f>
      </c>
      <c r="Q6274" s="43">
        <f>IF($I6274=0,0,$Q6273+$P6274+$O6274)</f>
      </c>
      <c r="R6274" s="43">
        <f>IF($I6274=0,0,$J6274-$M6274-$N6274)</f>
      </c>
    </row>
    <row r="6275">
      <c r="A6275"/>
      <c r="B6275">
        <v>14</v>
      </c>
      <c r="C6275" s="43">
        <f>INDEX(DarlObj,14)</f>
      </c>
      <c r="D6275">
        <v>32</v>
      </c>
      <c r="E6275" s="51">
        <f>IF(INDEX(DarlBelegt,14)=0,0,EOMONTH(INDEX(DarlAuszahlung,14),31)+1)</f>
      </c>
      <c r="F6275" s="43">
        <f>IF($E6275=0,0,YEAR($E6275))</f>
      </c>
      <c r="G6275" s="43">
        <f>IF(INDEX(DarlBindung,14)="",1,IF($E6275&lt;=INDEX(DarlBindung,14),1,0))</f>
      </c>
      <c r="H6275" s="43">
        <f>IF($G6275=1,INDEX(DarlSollzins,14),INDEX(DarlAnschluss,14))</f>
      </c>
      <c r="I6275" s="43">
        <f>IF(INDEX(DarlBelegt,14)=0,0,IF(INDEX(DarlOhneTilgung,14)=1,IF(INDEX(DarlBindung,14)="",1,$G6275),IF($J6275&gt;0.005,1,0)))</f>
      </c>
      <c r="J6275" s="43">
        <f>IF($I6274=0,0,$R6274)</f>
      </c>
      <c r="K6275" s="43">
        <f>IF($I6275=0,0,IF(INDEX(DarlOhneTilgung,14)=1,0,IF(AND(INDEX(DarlTilgStart,14)&gt;0,$E6275=INDEX(DarlTilgStart,14)),$J6275*($H6275+INDEX(DarlTilgung,14))/100/12,IF(AND($G6275=0,$G6274=1),MAX($K6274,$J6275*($H6275+1)/100/12),$K6274))))</f>
      </c>
      <c r="L6275" s="43">
        <f>IF($I6275=0,0,$J6275*$H6275/100/12)</f>
      </c>
      <c r="M6275" s="43">
        <f>IF($I6275=0,0,IF(OR(INDEX(DarlOhneTilgung,14)=1,AND(INDEX(DarlTilgStart,14)&gt;0,$E6275&lt;INDEX(DarlTilgStart,14))),0,MIN(MAX(0,$K6275-$L6275),$J6275)))</f>
      </c>
      <c r="N6275" s="43">
        <f>IF($I6275=0,0,MIN(SUMIFS(SondBetrag,SondDarl,14,SondDatum,"&gt;="&amp;$E6275,SondDatum,"&lt;="&amp;EOMONTH($E6275,0)),$J6275-$M6275))</f>
      </c>
      <c r="O6275" s="43">
        <f>IF($I6275=0,0,INDEX(DarlErsatzRate,14))</f>
      </c>
      <c r="P6275" s="43">
        <f>IF($I6275=0,0,$Q6274*INDEX(DarlErsatzZins,14))</f>
      </c>
      <c r="Q6275" s="43">
        <f>IF($I6275=0,0,$Q6274+$P6275+$O6275)</f>
      </c>
      <c r="R6275" s="43">
        <f>IF($I6275=0,0,$J6275-$M6275-$N6275)</f>
      </c>
    </row>
    <row r="6276">
      <c r="A6276"/>
      <c r="B6276">
        <v>14</v>
      </c>
      <c r="C6276" s="43">
        <f>INDEX(DarlObj,14)</f>
      </c>
      <c r="D6276">
        <v>33</v>
      </c>
      <c r="E6276" s="51">
        <f>IF(INDEX(DarlBelegt,14)=0,0,EOMONTH(INDEX(DarlAuszahlung,14),32)+1)</f>
      </c>
      <c r="F6276" s="43">
        <f>IF($E6276=0,0,YEAR($E6276))</f>
      </c>
      <c r="G6276" s="43">
        <f>IF(INDEX(DarlBindung,14)="",1,IF($E6276&lt;=INDEX(DarlBindung,14),1,0))</f>
      </c>
      <c r="H6276" s="43">
        <f>IF($G6276=1,INDEX(DarlSollzins,14),INDEX(DarlAnschluss,14))</f>
      </c>
      <c r="I6276" s="43">
        <f>IF(INDEX(DarlBelegt,14)=0,0,IF(INDEX(DarlOhneTilgung,14)=1,IF(INDEX(DarlBindung,14)="",1,$G6276),IF($J6276&gt;0.005,1,0)))</f>
      </c>
      <c r="J6276" s="43">
        <f>IF($I6275=0,0,$R6275)</f>
      </c>
      <c r="K6276" s="43">
        <f>IF($I6276=0,0,IF(INDEX(DarlOhneTilgung,14)=1,0,IF(AND(INDEX(DarlTilgStart,14)&gt;0,$E6276=INDEX(DarlTilgStart,14)),$J6276*($H6276+INDEX(DarlTilgung,14))/100/12,IF(AND($G6276=0,$G6275=1),MAX($K6275,$J6276*($H6276+1)/100/12),$K6275))))</f>
      </c>
      <c r="L6276" s="43">
        <f>IF($I6276=0,0,$J6276*$H6276/100/12)</f>
      </c>
      <c r="M6276" s="43">
        <f>IF($I6276=0,0,IF(OR(INDEX(DarlOhneTilgung,14)=1,AND(INDEX(DarlTilgStart,14)&gt;0,$E6276&lt;INDEX(DarlTilgStart,14))),0,MIN(MAX(0,$K6276-$L6276),$J6276)))</f>
      </c>
      <c r="N6276" s="43">
        <f>IF($I6276=0,0,MIN(SUMIFS(SondBetrag,SondDarl,14,SondDatum,"&gt;="&amp;$E6276,SondDatum,"&lt;="&amp;EOMONTH($E6276,0)),$J6276-$M6276))</f>
      </c>
      <c r="O6276" s="43">
        <f>IF($I6276=0,0,INDEX(DarlErsatzRate,14))</f>
      </c>
      <c r="P6276" s="43">
        <f>IF($I6276=0,0,$Q6275*INDEX(DarlErsatzZins,14))</f>
      </c>
      <c r="Q6276" s="43">
        <f>IF($I6276=0,0,$Q6275+$P6276+$O6276)</f>
      </c>
      <c r="R6276" s="43">
        <f>IF($I6276=0,0,$J6276-$M6276-$N6276)</f>
      </c>
    </row>
    <row r="6277">
      <c r="A6277"/>
      <c r="B6277">
        <v>14</v>
      </c>
      <c r="C6277" s="43">
        <f>INDEX(DarlObj,14)</f>
      </c>
      <c r="D6277">
        <v>34</v>
      </c>
      <c r="E6277" s="51">
        <f>IF(INDEX(DarlBelegt,14)=0,0,EOMONTH(INDEX(DarlAuszahlung,14),33)+1)</f>
      </c>
      <c r="F6277" s="43">
        <f>IF($E6277=0,0,YEAR($E6277))</f>
      </c>
      <c r="G6277" s="43">
        <f>IF(INDEX(DarlBindung,14)="",1,IF($E6277&lt;=INDEX(DarlBindung,14),1,0))</f>
      </c>
      <c r="H6277" s="43">
        <f>IF($G6277=1,INDEX(DarlSollzins,14),INDEX(DarlAnschluss,14))</f>
      </c>
      <c r="I6277" s="43">
        <f>IF(INDEX(DarlBelegt,14)=0,0,IF(INDEX(DarlOhneTilgung,14)=1,IF(INDEX(DarlBindung,14)="",1,$G6277),IF($J6277&gt;0.005,1,0)))</f>
      </c>
      <c r="J6277" s="43">
        <f>IF($I6276=0,0,$R6276)</f>
      </c>
      <c r="K6277" s="43">
        <f>IF($I6277=0,0,IF(INDEX(DarlOhneTilgung,14)=1,0,IF(AND(INDEX(DarlTilgStart,14)&gt;0,$E6277=INDEX(DarlTilgStart,14)),$J6277*($H6277+INDEX(DarlTilgung,14))/100/12,IF(AND($G6277=0,$G6276=1),MAX($K6276,$J6277*($H6277+1)/100/12),$K6276))))</f>
      </c>
      <c r="L6277" s="43">
        <f>IF($I6277=0,0,$J6277*$H6277/100/12)</f>
      </c>
      <c r="M6277" s="43">
        <f>IF($I6277=0,0,IF(OR(INDEX(DarlOhneTilgung,14)=1,AND(INDEX(DarlTilgStart,14)&gt;0,$E6277&lt;INDEX(DarlTilgStart,14))),0,MIN(MAX(0,$K6277-$L6277),$J6277)))</f>
      </c>
      <c r="N6277" s="43">
        <f>IF($I6277=0,0,MIN(SUMIFS(SondBetrag,SondDarl,14,SondDatum,"&gt;="&amp;$E6277,SondDatum,"&lt;="&amp;EOMONTH($E6277,0)),$J6277-$M6277))</f>
      </c>
      <c r="O6277" s="43">
        <f>IF($I6277=0,0,INDEX(DarlErsatzRate,14))</f>
      </c>
      <c r="P6277" s="43">
        <f>IF($I6277=0,0,$Q6276*INDEX(DarlErsatzZins,14))</f>
      </c>
      <c r="Q6277" s="43">
        <f>IF($I6277=0,0,$Q6276+$P6277+$O6277)</f>
      </c>
      <c r="R6277" s="43">
        <f>IF($I6277=0,0,$J6277-$M6277-$N6277)</f>
      </c>
    </row>
    <row r="6278">
      <c r="A6278"/>
      <c r="B6278">
        <v>14</v>
      </c>
      <c r="C6278" s="43">
        <f>INDEX(DarlObj,14)</f>
      </c>
      <c r="D6278">
        <v>35</v>
      </c>
      <c r="E6278" s="51">
        <f>IF(INDEX(DarlBelegt,14)=0,0,EOMONTH(INDEX(DarlAuszahlung,14),34)+1)</f>
      </c>
      <c r="F6278" s="43">
        <f>IF($E6278=0,0,YEAR($E6278))</f>
      </c>
      <c r="G6278" s="43">
        <f>IF(INDEX(DarlBindung,14)="",1,IF($E6278&lt;=INDEX(DarlBindung,14),1,0))</f>
      </c>
      <c r="H6278" s="43">
        <f>IF($G6278=1,INDEX(DarlSollzins,14),INDEX(DarlAnschluss,14))</f>
      </c>
      <c r="I6278" s="43">
        <f>IF(INDEX(DarlBelegt,14)=0,0,IF(INDEX(DarlOhneTilgung,14)=1,IF(INDEX(DarlBindung,14)="",1,$G6278),IF($J6278&gt;0.005,1,0)))</f>
      </c>
      <c r="J6278" s="43">
        <f>IF($I6277=0,0,$R6277)</f>
      </c>
      <c r="K6278" s="43">
        <f>IF($I6278=0,0,IF(INDEX(DarlOhneTilgung,14)=1,0,IF(AND(INDEX(DarlTilgStart,14)&gt;0,$E6278=INDEX(DarlTilgStart,14)),$J6278*($H6278+INDEX(DarlTilgung,14))/100/12,IF(AND($G6278=0,$G6277=1),MAX($K6277,$J6278*($H6278+1)/100/12),$K6277))))</f>
      </c>
      <c r="L6278" s="43">
        <f>IF($I6278=0,0,$J6278*$H6278/100/12)</f>
      </c>
      <c r="M6278" s="43">
        <f>IF($I6278=0,0,IF(OR(INDEX(DarlOhneTilgung,14)=1,AND(INDEX(DarlTilgStart,14)&gt;0,$E6278&lt;INDEX(DarlTilgStart,14))),0,MIN(MAX(0,$K6278-$L6278),$J6278)))</f>
      </c>
      <c r="N6278" s="43">
        <f>IF($I6278=0,0,MIN(SUMIFS(SondBetrag,SondDarl,14,SondDatum,"&gt;="&amp;$E6278,SondDatum,"&lt;="&amp;EOMONTH($E6278,0)),$J6278-$M6278))</f>
      </c>
      <c r="O6278" s="43">
        <f>IF($I6278=0,0,INDEX(DarlErsatzRate,14))</f>
      </c>
      <c r="P6278" s="43">
        <f>IF($I6278=0,0,$Q6277*INDEX(DarlErsatzZins,14))</f>
      </c>
      <c r="Q6278" s="43">
        <f>IF($I6278=0,0,$Q6277+$P6278+$O6278)</f>
      </c>
      <c r="R6278" s="43">
        <f>IF($I6278=0,0,$J6278-$M6278-$N6278)</f>
      </c>
    </row>
    <row r="6279">
      <c r="A6279"/>
      <c r="B6279">
        <v>14</v>
      </c>
      <c r="C6279" s="43">
        <f>INDEX(DarlObj,14)</f>
      </c>
      <c r="D6279">
        <v>36</v>
      </c>
      <c r="E6279" s="51">
        <f>IF(INDEX(DarlBelegt,14)=0,0,EOMONTH(INDEX(DarlAuszahlung,14),35)+1)</f>
      </c>
      <c r="F6279" s="43">
        <f>IF($E6279=0,0,YEAR($E6279))</f>
      </c>
      <c r="G6279" s="43">
        <f>IF(INDEX(DarlBindung,14)="",1,IF($E6279&lt;=INDEX(DarlBindung,14),1,0))</f>
      </c>
      <c r="H6279" s="43">
        <f>IF($G6279=1,INDEX(DarlSollzins,14),INDEX(DarlAnschluss,14))</f>
      </c>
      <c r="I6279" s="43">
        <f>IF(INDEX(DarlBelegt,14)=0,0,IF(INDEX(DarlOhneTilgung,14)=1,IF(INDEX(DarlBindung,14)="",1,$G6279),IF($J6279&gt;0.005,1,0)))</f>
      </c>
      <c r="J6279" s="43">
        <f>IF($I6278=0,0,$R6278)</f>
      </c>
      <c r="K6279" s="43">
        <f>IF($I6279=0,0,IF(INDEX(DarlOhneTilgung,14)=1,0,IF(AND(INDEX(DarlTilgStart,14)&gt;0,$E6279=INDEX(DarlTilgStart,14)),$J6279*($H6279+INDEX(DarlTilgung,14))/100/12,IF(AND($G6279=0,$G6278=1),MAX($K6278,$J6279*($H6279+1)/100/12),$K6278))))</f>
      </c>
      <c r="L6279" s="43">
        <f>IF($I6279=0,0,$J6279*$H6279/100/12)</f>
      </c>
      <c r="M6279" s="43">
        <f>IF($I6279=0,0,IF(OR(INDEX(DarlOhneTilgung,14)=1,AND(INDEX(DarlTilgStart,14)&gt;0,$E6279&lt;INDEX(DarlTilgStart,14))),0,MIN(MAX(0,$K6279-$L6279),$J6279)))</f>
      </c>
      <c r="N6279" s="43">
        <f>IF($I6279=0,0,MIN(SUMIFS(SondBetrag,SondDarl,14,SondDatum,"&gt;="&amp;$E6279,SondDatum,"&lt;="&amp;EOMONTH($E6279,0)),$J6279-$M6279))</f>
      </c>
      <c r="O6279" s="43">
        <f>IF($I6279=0,0,INDEX(DarlErsatzRate,14))</f>
      </c>
      <c r="P6279" s="43">
        <f>IF($I6279=0,0,$Q6278*INDEX(DarlErsatzZins,14))</f>
      </c>
      <c r="Q6279" s="43">
        <f>IF($I6279=0,0,$Q6278+$P6279+$O6279)</f>
      </c>
      <c r="R6279" s="43">
        <f>IF($I6279=0,0,$J6279-$M6279-$N6279)</f>
      </c>
    </row>
    <row r="6280">
      <c r="A6280"/>
      <c r="B6280">
        <v>14</v>
      </c>
      <c r="C6280" s="43">
        <f>INDEX(DarlObj,14)</f>
      </c>
      <c r="D6280">
        <v>37</v>
      </c>
      <c r="E6280" s="51">
        <f>IF(INDEX(DarlBelegt,14)=0,0,EOMONTH(INDEX(DarlAuszahlung,14),36)+1)</f>
      </c>
      <c r="F6280" s="43">
        <f>IF($E6280=0,0,YEAR($E6280))</f>
      </c>
      <c r="G6280" s="43">
        <f>IF(INDEX(DarlBindung,14)="",1,IF($E6280&lt;=INDEX(DarlBindung,14),1,0))</f>
      </c>
      <c r="H6280" s="43">
        <f>IF($G6280=1,INDEX(DarlSollzins,14),INDEX(DarlAnschluss,14))</f>
      </c>
      <c r="I6280" s="43">
        <f>IF(INDEX(DarlBelegt,14)=0,0,IF(INDEX(DarlOhneTilgung,14)=1,IF(INDEX(DarlBindung,14)="",1,$G6280),IF($J6280&gt;0.005,1,0)))</f>
      </c>
      <c r="J6280" s="43">
        <f>IF($I6279=0,0,$R6279)</f>
      </c>
      <c r="K6280" s="43">
        <f>IF($I6280=0,0,IF(INDEX(DarlOhneTilgung,14)=1,0,IF(AND(INDEX(DarlTilgStart,14)&gt;0,$E6280=INDEX(DarlTilgStart,14)),$J6280*($H6280+INDEX(DarlTilgung,14))/100/12,IF(AND($G6280=0,$G6279=1),MAX($K6279,$J6280*($H6280+1)/100/12),$K6279))))</f>
      </c>
      <c r="L6280" s="43">
        <f>IF($I6280=0,0,$J6280*$H6280/100/12)</f>
      </c>
      <c r="M6280" s="43">
        <f>IF($I6280=0,0,IF(OR(INDEX(DarlOhneTilgung,14)=1,AND(INDEX(DarlTilgStart,14)&gt;0,$E6280&lt;INDEX(DarlTilgStart,14))),0,MIN(MAX(0,$K6280-$L6280),$J6280)))</f>
      </c>
      <c r="N6280" s="43">
        <f>IF($I6280=0,0,MIN(SUMIFS(SondBetrag,SondDarl,14,SondDatum,"&gt;="&amp;$E6280,SondDatum,"&lt;="&amp;EOMONTH($E6280,0)),$J6280-$M6280))</f>
      </c>
      <c r="O6280" s="43">
        <f>IF($I6280=0,0,INDEX(DarlErsatzRate,14))</f>
      </c>
      <c r="P6280" s="43">
        <f>IF($I6280=0,0,$Q6279*INDEX(DarlErsatzZins,14))</f>
      </c>
      <c r="Q6280" s="43">
        <f>IF($I6280=0,0,$Q6279+$P6280+$O6280)</f>
      </c>
      <c r="R6280" s="43">
        <f>IF($I6280=0,0,$J6280-$M6280-$N6280)</f>
      </c>
    </row>
    <row r="6281">
      <c r="A6281"/>
      <c r="B6281">
        <v>14</v>
      </c>
      <c r="C6281" s="43">
        <f>INDEX(DarlObj,14)</f>
      </c>
      <c r="D6281">
        <v>38</v>
      </c>
      <c r="E6281" s="51">
        <f>IF(INDEX(DarlBelegt,14)=0,0,EOMONTH(INDEX(DarlAuszahlung,14),37)+1)</f>
      </c>
      <c r="F6281" s="43">
        <f>IF($E6281=0,0,YEAR($E6281))</f>
      </c>
      <c r="G6281" s="43">
        <f>IF(INDEX(DarlBindung,14)="",1,IF($E6281&lt;=INDEX(DarlBindung,14),1,0))</f>
      </c>
      <c r="H6281" s="43">
        <f>IF($G6281=1,INDEX(DarlSollzins,14),INDEX(DarlAnschluss,14))</f>
      </c>
      <c r="I6281" s="43">
        <f>IF(INDEX(DarlBelegt,14)=0,0,IF(INDEX(DarlOhneTilgung,14)=1,IF(INDEX(DarlBindung,14)="",1,$G6281),IF($J6281&gt;0.005,1,0)))</f>
      </c>
      <c r="J6281" s="43">
        <f>IF($I6280=0,0,$R6280)</f>
      </c>
      <c r="K6281" s="43">
        <f>IF($I6281=0,0,IF(INDEX(DarlOhneTilgung,14)=1,0,IF(AND(INDEX(DarlTilgStart,14)&gt;0,$E6281=INDEX(DarlTilgStart,14)),$J6281*($H6281+INDEX(DarlTilgung,14))/100/12,IF(AND($G6281=0,$G6280=1),MAX($K6280,$J6281*($H6281+1)/100/12),$K6280))))</f>
      </c>
      <c r="L6281" s="43">
        <f>IF($I6281=0,0,$J6281*$H6281/100/12)</f>
      </c>
      <c r="M6281" s="43">
        <f>IF($I6281=0,0,IF(OR(INDEX(DarlOhneTilgung,14)=1,AND(INDEX(DarlTilgStart,14)&gt;0,$E6281&lt;INDEX(DarlTilgStart,14))),0,MIN(MAX(0,$K6281-$L6281),$J6281)))</f>
      </c>
      <c r="N6281" s="43">
        <f>IF($I6281=0,0,MIN(SUMIFS(SondBetrag,SondDarl,14,SondDatum,"&gt;="&amp;$E6281,SondDatum,"&lt;="&amp;EOMONTH($E6281,0)),$J6281-$M6281))</f>
      </c>
      <c r="O6281" s="43">
        <f>IF($I6281=0,0,INDEX(DarlErsatzRate,14))</f>
      </c>
      <c r="P6281" s="43">
        <f>IF($I6281=0,0,$Q6280*INDEX(DarlErsatzZins,14))</f>
      </c>
      <c r="Q6281" s="43">
        <f>IF($I6281=0,0,$Q6280+$P6281+$O6281)</f>
      </c>
      <c r="R6281" s="43">
        <f>IF($I6281=0,0,$J6281-$M6281-$N6281)</f>
      </c>
    </row>
    <row r="6282">
      <c r="A6282"/>
      <c r="B6282">
        <v>14</v>
      </c>
      <c r="C6282" s="43">
        <f>INDEX(DarlObj,14)</f>
      </c>
      <c r="D6282">
        <v>39</v>
      </c>
      <c r="E6282" s="51">
        <f>IF(INDEX(DarlBelegt,14)=0,0,EOMONTH(INDEX(DarlAuszahlung,14),38)+1)</f>
      </c>
      <c r="F6282" s="43">
        <f>IF($E6282=0,0,YEAR($E6282))</f>
      </c>
      <c r="G6282" s="43">
        <f>IF(INDEX(DarlBindung,14)="",1,IF($E6282&lt;=INDEX(DarlBindung,14),1,0))</f>
      </c>
      <c r="H6282" s="43">
        <f>IF($G6282=1,INDEX(DarlSollzins,14),INDEX(DarlAnschluss,14))</f>
      </c>
      <c r="I6282" s="43">
        <f>IF(INDEX(DarlBelegt,14)=0,0,IF(INDEX(DarlOhneTilgung,14)=1,IF(INDEX(DarlBindung,14)="",1,$G6282),IF($J6282&gt;0.005,1,0)))</f>
      </c>
      <c r="J6282" s="43">
        <f>IF($I6281=0,0,$R6281)</f>
      </c>
      <c r="K6282" s="43">
        <f>IF($I6282=0,0,IF(INDEX(DarlOhneTilgung,14)=1,0,IF(AND(INDEX(DarlTilgStart,14)&gt;0,$E6282=INDEX(DarlTilgStart,14)),$J6282*($H6282+INDEX(DarlTilgung,14))/100/12,IF(AND($G6282=0,$G6281=1),MAX($K6281,$J6282*($H6282+1)/100/12),$K6281))))</f>
      </c>
      <c r="L6282" s="43">
        <f>IF($I6282=0,0,$J6282*$H6282/100/12)</f>
      </c>
      <c r="M6282" s="43">
        <f>IF($I6282=0,0,IF(OR(INDEX(DarlOhneTilgung,14)=1,AND(INDEX(DarlTilgStart,14)&gt;0,$E6282&lt;INDEX(DarlTilgStart,14))),0,MIN(MAX(0,$K6282-$L6282),$J6282)))</f>
      </c>
      <c r="N6282" s="43">
        <f>IF($I6282=0,0,MIN(SUMIFS(SondBetrag,SondDarl,14,SondDatum,"&gt;="&amp;$E6282,SondDatum,"&lt;="&amp;EOMONTH($E6282,0)),$J6282-$M6282))</f>
      </c>
      <c r="O6282" s="43">
        <f>IF($I6282=0,0,INDEX(DarlErsatzRate,14))</f>
      </c>
      <c r="P6282" s="43">
        <f>IF($I6282=0,0,$Q6281*INDEX(DarlErsatzZins,14))</f>
      </c>
      <c r="Q6282" s="43">
        <f>IF($I6282=0,0,$Q6281+$P6282+$O6282)</f>
      </c>
      <c r="R6282" s="43">
        <f>IF($I6282=0,0,$J6282-$M6282-$N6282)</f>
      </c>
    </row>
    <row r="6283">
      <c r="A6283"/>
      <c r="B6283">
        <v>14</v>
      </c>
      <c r="C6283" s="43">
        <f>INDEX(DarlObj,14)</f>
      </c>
      <c r="D6283">
        <v>40</v>
      </c>
      <c r="E6283" s="51">
        <f>IF(INDEX(DarlBelegt,14)=0,0,EOMONTH(INDEX(DarlAuszahlung,14),39)+1)</f>
      </c>
      <c r="F6283" s="43">
        <f>IF($E6283=0,0,YEAR($E6283))</f>
      </c>
      <c r="G6283" s="43">
        <f>IF(INDEX(DarlBindung,14)="",1,IF($E6283&lt;=INDEX(DarlBindung,14),1,0))</f>
      </c>
      <c r="H6283" s="43">
        <f>IF($G6283=1,INDEX(DarlSollzins,14),INDEX(DarlAnschluss,14))</f>
      </c>
      <c r="I6283" s="43">
        <f>IF(INDEX(DarlBelegt,14)=0,0,IF(INDEX(DarlOhneTilgung,14)=1,IF(INDEX(DarlBindung,14)="",1,$G6283),IF($J6283&gt;0.005,1,0)))</f>
      </c>
      <c r="J6283" s="43">
        <f>IF($I6282=0,0,$R6282)</f>
      </c>
      <c r="K6283" s="43">
        <f>IF($I6283=0,0,IF(INDEX(DarlOhneTilgung,14)=1,0,IF(AND(INDEX(DarlTilgStart,14)&gt;0,$E6283=INDEX(DarlTilgStart,14)),$J6283*($H6283+INDEX(DarlTilgung,14))/100/12,IF(AND($G6283=0,$G6282=1),MAX($K6282,$J6283*($H6283+1)/100/12),$K6282))))</f>
      </c>
      <c r="L6283" s="43">
        <f>IF($I6283=0,0,$J6283*$H6283/100/12)</f>
      </c>
      <c r="M6283" s="43">
        <f>IF($I6283=0,0,IF(OR(INDEX(DarlOhneTilgung,14)=1,AND(INDEX(DarlTilgStart,14)&gt;0,$E6283&lt;INDEX(DarlTilgStart,14))),0,MIN(MAX(0,$K6283-$L6283),$J6283)))</f>
      </c>
      <c r="N6283" s="43">
        <f>IF($I6283=0,0,MIN(SUMIFS(SondBetrag,SondDarl,14,SondDatum,"&gt;="&amp;$E6283,SondDatum,"&lt;="&amp;EOMONTH($E6283,0)),$J6283-$M6283))</f>
      </c>
      <c r="O6283" s="43">
        <f>IF($I6283=0,0,INDEX(DarlErsatzRate,14))</f>
      </c>
      <c r="P6283" s="43">
        <f>IF($I6283=0,0,$Q6282*INDEX(DarlErsatzZins,14))</f>
      </c>
      <c r="Q6283" s="43">
        <f>IF($I6283=0,0,$Q6282+$P6283+$O6283)</f>
      </c>
      <c r="R6283" s="43">
        <f>IF($I6283=0,0,$J6283-$M6283-$N6283)</f>
      </c>
    </row>
    <row r="6284">
      <c r="A6284"/>
      <c r="B6284">
        <v>14</v>
      </c>
      <c r="C6284" s="43">
        <f>INDEX(DarlObj,14)</f>
      </c>
      <c r="D6284">
        <v>41</v>
      </c>
      <c r="E6284" s="51">
        <f>IF(INDEX(DarlBelegt,14)=0,0,EOMONTH(INDEX(DarlAuszahlung,14),40)+1)</f>
      </c>
      <c r="F6284" s="43">
        <f>IF($E6284=0,0,YEAR($E6284))</f>
      </c>
      <c r="G6284" s="43">
        <f>IF(INDEX(DarlBindung,14)="",1,IF($E6284&lt;=INDEX(DarlBindung,14),1,0))</f>
      </c>
      <c r="H6284" s="43">
        <f>IF($G6284=1,INDEX(DarlSollzins,14),INDEX(DarlAnschluss,14))</f>
      </c>
      <c r="I6284" s="43">
        <f>IF(INDEX(DarlBelegt,14)=0,0,IF(INDEX(DarlOhneTilgung,14)=1,IF(INDEX(DarlBindung,14)="",1,$G6284),IF($J6284&gt;0.005,1,0)))</f>
      </c>
      <c r="J6284" s="43">
        <f>IF($I6283=0,0,$R6283)</f>
      </c>
      <c r="K6284" s="43">
        <f>IF($I6284=0,0,IF(INDEX(DarlOhneTilgung,14)=1,0,IF(AND(INDEX(DarlTilgStart,14)&gt;0,$E6284=INDEX(DarlTilgStart,14)),$J6284*($H6284+INDEX(DarlTilgung,14))/100/12,IF(AND($G6284=0,$G6283=1),MAX($K6283,$J6284*($H6284+1)/100/12),$K6283))))</f>
      </c>
      <c r="L6284" s="43">
        <f>IF($I6284=0,0,$J6284*$H6284/100/12)</f>
      </c>
      <c r="M6284" s="43">
        <f>IF($I6284=0,0,IF(OR(INDEX(DarlOhneTilgung,14)=1,AND(INDEX(DarlTilgStart,14)&gt;0,$E6284&lt;INDEX(DarlTilgStart,14))),0,MIN(MAX(0,$K6284-$L6284),$J6284)))</f>
      </c>
      <c r="N6284" s="43">
        <f>IF($I6284=0,0,MIN(SUMIFS(SondBetrag,SondDarl,14,SondDatum,"&gt;="&amp;$E6284,SondDatum,"&lt;="&amp;EOMONTH($E6284,0)),$J6284-$M6284))</f>
      </c>
      <c r="O6284" s="43">
        <f>IF($I6284=0,0,INDEX(DarlErsatzRate,14))</f>
      </c>
      <c r="P6284" s="43">
        <f>IF($I6284=0,0,$Q6283*INDEX(DarlErsatzZins,14))</f>
      </c>
      <c r="Q6284" s="43">
        <f>IF($I6284=0,0,$Q6283+$P6284+$O6284)</f>
      </c>
      <c r="R6284" s="43">
        <f>IF($I6284=0,0,$J6284-$M6284-$N6284)</f>
      </c>
    </row>
    <row r="6285">
      <c r="A6285"/>
      <c r="B6285">
        <v>14</v>
      </c>
      <c r="C6285" s="43">
        <f>INDEX(DarlObj,14)</f>
      </c>
      <c r="D6285">
        <v>42</v>
      </c>
      <c r="E6285" s="51">
        <f>IF(INDEX(DarlBelegt,14)=0,0,EOMONTH(INDEX(DarlAuszahlung,14),41)+1)</f>
      </c>
      <c r="F6285" s="43">
        <f>IF($E6285=0,0,YEAR($E6285))</f>
      </c>
      <c r="G6285" s="43">
        <f>IF(INDEX(DarlBindung,14)="",1,IF($E6285&lt;=INDEX(DarlBindung,14),1,0))</f>
      </c>
      <c r="H6285" s="43">
        <f>IF($G6285=1,INDEX(DarlSollzins,14),INDEX(DarlAnschluss,14))</f>
      </c>
      <c r="I6285" s="43">
        <f>IF(INDEX(DarlBelegt,14)=0,0,IF(INDEX(DarlOhneTilgung,14)=1,IF(INDEX(DarlBindung,14)="",1,$G6285),IF($J6285&gt;0.005,1,0)))</f>
      </c>
      <c r="J6285" s="43">
        <f>IF($I6284=0,0,$R6284)</f>
      </c>
      <c r="K6285" s="43">
        <f>IF($I6285=0,0,IF(INDEX(DarlOhneTilgung,14)=1,0,IF(AND(INDEX(DarlTilgStart,14)&gt;0,$E6285=INDEX(DarlTilgStart,14)),$J6285*($H6285+INDEX(DarlTilgung,14))/100/12,IF(AND($G6285=0,$G6284=1),MAX($K6284,$J6285*($H6285+1)/100/12),$K6284))))</f>
      </c>
      <c r="L6285" s="43">
        <f>IF($I6285=0,0,$J6285*$H6285/100/12)</f>
      </c>
      <c r="M6285" s="43">
        <f>IF($I6285=0,0,IF(OR(INDEX(DarlOhneTilgung,14)=1,AND(INDEX(DarlTilgStart,14)&gt;0,$E6285&lt;INDEX(DarlTilgStart,14))),0,MIN(MAX(0,$K6285-$L6285),$J6285)))</f>
      </c>
      <c r="N6285" s="43">
        <f>IF($I6285=0,0,MIN(SUMIFS(SondBetrag,SondDarl,14,SondDatum,"&gt;="&amp;$E6285,SondDatum,"&lt;="&amp;EOMONTH($E6285,0)),$J6285-$M6285))</f>
      </c>
      <c r="O6285" s="43">
        <f>IF($I6285=0,0,INDEX(DarlErsatzRate,14))</f>
      </c>
      <c r="P6285" s="43">
        <f>IF($I6285=0,0,$Q6284*INDEX(DarlErsatzZins,14))</f>
      </c>
      <c r="Q6285" s="43">
        <f>IF($I6285=0,0,$Q6284+$P6285+$O6285)</f>
      </c>
      <c r="R6285" s="43">
        <f>IF($I6285=0,0,$J6285-$M6285-$N6285)</f>
      </c>
    </row>
    <row r="6286">
      <c r="A6286"/>
      <c r="B6286">
        <v>14</v>
      </c>
      <c r="C6286" s="43">
        <f>INDEX(DarlObj,14)</f>
      </c>
      <c r="D6286">
        <v>43</v>
      </c>
      <c r="E6286" s="51">
        <f>IF(INDEX(DarlBelegt,14)=0,0,EOMONTH(INDEX(DarlAuszahlung,14),42)+1)</f>
      </c>
      <c r="F6286" s="43">
        <f>IF($E6286=0,0,YEAR($E6286))</f>
      </c>
      <c r="G6286" s="43">
        <f>IF(INDEX(DarlBindung,14)="",1,IF($E6286&lt;=INDEX(DarlBindung,14),1,0))</f>
      </c>
      <c r="H6286" s="43">
        <f>IF($G6286=1,INDEX(DarlSollzins,14),INDEX(DarlAnschluss,14))</f>
      </c>
      <c r="I6286" s="43">
        <f>IF(INDEX(DarlBelegt,14)=0,0,IF(INDEX(DarlOhneTilgung,14)=1,IF(INDEX(DarlBindung,14)="",1,$G6286),IF($J6286&gt;0.005,1,0)))</f>
      </c>
      <c r="J6286" s="43">
        <f>IF($I6285=0,0,$R6285)</f>
      </c>
      <c r="K6286" s="43">
        <f>IF($I6286=0,0,IF(INDEX(DarlOhneTilgung,14)=1,0,IF(AND(INDEX(DarlTilgStart,14)&gt;0,$E6286=INDEX(DarlTilgStart,14)),$J6286*($H6286+INDEX(DarlTilgung,14))/100/12,IF(AND($G6286=0,$G6285=1),MAX($K6285,$J6286*($H6286+1)/100/12),$K6285))))</f>
      </c>
      <c r="L6286" s="43">
        <f>IF($I6286=0,0,$J6286*$H6286/100/12)</f>
      </c>
      <c r="M6286" s="43">
        <f>IF($I6286=0,0,IF(OR(INDEX(DarlOhneTilgung,14)=1,AND(INDEX(DarlTilgStart,14)&gt;0,$E6286&lt;INDEX(DarlTilgStart,14))),0,MIN(MAX(0,$K6286-$L6286),$J6286)))</f>
      </c>
      <c r="N6286" s="43">
        <f>IF($I6286=0,0,MIN(SUMIFS(SondBetrag,SondDarl,14,SondDatum,"&gt;="&amp;$E6286,SondDatum,"&lt;="&amp;EOMONTH($E6286,0)),$J6286-$M6286))</f>
      </c>
      <c r="O6286" s="43">
        <f>IF($I6286=0,0,INDEX(DarlErsatzRate,14))</f>
      </c>
      <c r="P6286" s="43">
        <f>IF($I6286=0,0,$Q6285*INDEX(DarlErsatzZins,14))</f>
      </c>
      <c r="Q6286" s="43">
        <f>IF($I6286=0,0,$Q6285+$P6286+$O6286)</f>
      </c>
      <c r="R6286" s="43">
        <f>IF($I6286=0,0,$J6286-$M6286-$N6286)</f>
      </c>
    </row>
    <row r="6287">
      <c r="A6287"/>
      <c r="B6287">
        <v>14</v>
      </c>
      <c r="C6287" s="43">
        <f>INDEX(DarlObj,14)</f>
      </c>
      <c r="D6287">
        <v>44</v>
      </c>
      <c r="E6287" s="51">
        <f>IF(INDEX(DarlBelegt,14)=0,0,EOMONTH(INDEX(DarlAuszahlung,14),43)+1)</f>
      </c>
      <c r="F6287" s="43">
        <f>IF($E6287=0,0,YEAR($E6287))</f>
      </c>
      <c r="G6287" s="43">
        <f>IF(INDEX(DarlBindung,14)="",1,IF($E6287&lt;=INDEX(DarlBindung,14),1,0))</f>
      </c>
      <c r="H6287" s="43">
        <f>IF($G6287=1,INDEX(DarlSollzins,14),INDEX(DarlAnschluss,14))</f>
      </c>
      <c r="I6287" s="43">
        <f>IF(INDEX(DarlBelegt,14)=0,0,IF(INDEX(DarlOhneTilgung,14)=1,IF(INDEX(DarlBindung,14)="",1,$G6287),IF($J6287&gt;0.005,1,0)))</f>
      </c>
      <c r="J6287" s="43">
        <f>IF($I6286=0,0,$R6286)</f>
      </c>
      <c r="K6287" s="43">
        <f>IF($I6287=0,0,IF(INDEX(DarlOhneTilgung,14)=1,0,IF(AND(INDEX(DarlTilgStart,14)&gt;0,$E6287=INDEX(DarlTilgStart,14)),$J6287*($H6287+INDEX(DarlTilgung,14))/100/12,IF(AND($G6287=0,$G6286=1),MAX($K6286,$J6287*($H6287+1)/100/12),$K6286))))</f>
      </c>
      <c r="L6287" s="43">
        <f>IF($I6287=0,0,$J6287*$H6287/100/12)</f>
      </c>
      <c r="M6287" s="43">
        <f>IF($I6287=0,0,IF(OR(INDEX(DarlOhneTilgung,14)=1,AND(INDEX(DarlTilgStart,14)&gt;0,$E6287&lt;INDEX(DarlTilgStart,14))),0,MIN(MAX(0,$K6287-$L6287),$J6287)))</f>
      </c>
      <c r="N6287" s="43">
        <f>IF($I6287=0,0,MIN(SUMIFS(SondBetrag,SondDarl,14,SondDatum,"&gt;="&amp;$E6287,SondDatum,"&lt;="&amp;EOMONTH($E6287,0)),$J6287-$M6287))</f>
      </c>
      <c r="O6287" s="43">
        <f>IF($I6287=0,0,INDEX(DarlErsatzRate,14))</f>
      </c>
      <c r="P6287" s="43">
        <f>IF($I6287=0,0,$Q6286*INDEX(DarlErsatzZins,14))</f>
      </c>
      <c r="Q6287" s="43">
        <f>IF($I6287=0,0,$Q6286+$P6287+$O6287)</f>
      </c>
      <c r="R6287" s="43">
        <f>IF($I6287=0,0,$J6287-$M6287-$N6287)</f>
      </c>
    </row>
    <row r="6288">
      <c r="A6288"/>
      <c r="B6288">
        <v>14</v>
      </c>
      <c r="C6288" s="43">
        <f>INDEX(DarlObj,14)</f>
      </c>
      <c r="D6288">
        <v>45</v>
      </c>
      <c r="E6288" s="51">
        <f>IF(INDEX(DarlBelegt,14)=0,0,EOMONTH(INDEX(DarlAuszahlung,14),44)+1)</f>
      </c>
      <c r="F6288" s="43">
        <f>IF($E6288=0,0,YEAR($E6288))</f>
      </c>
      <c r="G6288" s="43">
        <f>IF(INDEX(DarlBindung,14)="",1,IF($E6288&lt;=INDEX(DarlBindung,14),1,0))</f>
      </c>
      <c r="H6288" s="43">
        <f>IF($G6288=1,INDEX(DarlSollzins,14),INDEX(DarlAnschluss,14))</f>
      </c>
      <c r="I6288" s="43">
        <f>IF(INDEX(DarlBelegt,14)=0,0,IF(INDEX(DarlOhneTilgung,14)=1,IF(INDEX(DarlBindung,14)="",1,$G6288),IF($J6288&gt;0.005,1,0)))</f>
      </c>
      <c r="J6288" s="43">
        <f>IF($I6287=0,0,$R6287)</f>
      </c>
      <c r="K6288" s="43">
        <f>IF($I6288=0,0,IF(INDEX(DarlOhneTilgung,14)=1,0,IF(AND(INDEX(DarlTilgStart,14)&gt;0,$E6288=INDEX(DarlTilgStart,14)),$J6288*($H6288+INDEX(DarlTilgung,14))/100/12,IF(AND($G6288=0,$G6287=1),MAX($K6287,$J6288*($H6288+1)/100/12),$K6287))))</f>
      </c>
      <c r="L6288" s="43">
        <f>IF($I6288=0,0,$J6288*$H6288/100/12)</f>
      </c>
      <c r="M6288" s="43">
        <f>IF($I6288=0,0,IF(OR(INDEX(DarlOhneTilgung,14)=1,AND(INDEX(DarlTilgStart,14)&gt;0,$E6288&lt;INDEX(DarlTilgStart,14))),0,MIN(MAX(0,$K6288-$L6288),$J6288)))</f>
      </c>
      <c r="N6288" s="43">
        <f>IF($I6288=0,0,MIN(SUMIFS(SondBetrag,SondDarl,14,SondDatum,"&gt;="&amp;$E6288,SondDatum,"&lt;="&amp;EOMONTH($E6288,0)),$J6288-$M6288))</f>
      </c>
      <c r="O6288" s="43">
        <f>IF($I6288=0,0,INDEX(DarlErsatzRate,14))</f>
      </c>
      <c r="P6288" s="43">
        <f>IF($I6288=0,0,$Q6287*INDEX(DarlErsatzZins,14))</f>
      </c>
      <c r="Q6288" s="43">
        <f>IF($I6288=0,0,$Q6287+$P6288+$O6288)</f>
      </c>
      <c r="R6288" s="43">
        <f>IF($I6288=0,0,$J6288-$M6288-$N6288)</f>
      </c>
    </row>
    <row r="6289">
      <c r="A6289"/>
      <c r="B6289">
        <v>14</v>
      </c>
      <c r="C6289" s="43">
        <f>INDEX(DarlObj,14)</f>
      </c>
      <c r="D6289">
        <v>46</v>
      </c>
      <c r="E6289" s="51">
        <f>IF(INDEX(DarlBelegt,14)=0,0,EOMONTH(INDEX(DarlAuszahlung,14),45)+1)</f>
      </c>
      <c r="F6289" s="43">
        <f>IF($E6289=0,0,YEAR($E6289))</f>
      </c>
      <c r="G6289" s="43">
        <f>IF(INDEX(DarlBindung,14)="",1,IF($E6289&lt;=INDEX(DarlBindung,14),1,0))</f>
      </c>
      <c r="H6289" s="43">
        <f>IF($G6289=1,INDEX(DarlSollzins,14),INDEX(DarlAnschluss,14))</f>
      </c>
      <c r="I6289" s="43">
        <f>IF(INDEX(DarlBelegt,14)=0,0,IF(INDEX(DarlOhneTilgung,14)=1,IF(INDEX(DarlBindung,14)="",1,$G6289),IF($J6289&gt;0.005,1,0)))</f>
      </c>
      <c r="J6289" s="43">
        <f>IF($I6288=0,0,$R6288)</f>
      </c>
      <c r="K6289" s="43">
        <f>IF($I6289=0,0,IF(INDEX(DarlOhneTilgung,14)=1,0,IF(AND(INDEX(DarlTilgStart,14)&gt;0,$E6289=INDEX(DarlTilgStart,14)),$J6289*($H6289+INDEX(DarlTilgung,14))/100/12,IF(AND($G6289=0,$G6288=1),MAX($K6288,$J6289*($H6289+1)/100/12),$K6288))))</f>
      </c>
      <c r="L6289" s="43">
        <f>IF($I6289=0,0,$J6289*$H6289/100/12)</f>
      </c>
      <c r="M6289" s="43">
        <f>IF($I6289=0,0,IF(OR(INDEX(DarlOhneTilgung,14)=1,AND(INDEX(DarlTilgStart,14)&gt;0,$E6289&lt;INDEX(DarlTilgStart,14))),0,MIN(MAX(0,$K6289-$L6289),$J6289)))</f>
      </c>
      <c r="N6289" s="43">
        <f>IF($I6289=0,0,MIN(SUMIFS(SondBetrag,SondDarl,14,SondDatum,"&gt;="&amp;$E6289,SondDatum,"&lt;="&amp;EOMONTH($E6289,0)),$J6289-$M6289))</f>
      </c>
      <c r="O6289" s="43">
        <f>IF($I6289=0,0,INDEX(DarlErsatzRate,14))</f>
      </c>
      <c r="P6289" s="43">
        <f>IF($I6289=0,0,$Q6288*INDEX(DarlErsatzZins,14))</f>
      </c>
      <c r="Q6289" s="43">
        <f>IF($I6289=0,0,$Q6288+$P6289+$O6289)</f>
      </c>
      <c r="R6289" s="43">
        <f>IF($I6289=0,0,$J6289-$M6289-$N6289)</f>
      </c>
    </row>
    <row r="6290">
      <c r="A6290"/>
      <c r="B6290">
        <v>14</v>
      </c>
      <c r="C6290" s="43">
        <f>INDEX(DarlObj,14)</f>
      </c>
      <c r="D6290">
        <v>47</v>
      </c>
      <c r="E6290" s="51">
        <f>IF(INDEX(DarlBelegt,14)=0,0,EOMONTH(INDEX(DarlAuszahlung,14),46)+1)</f>
      </c>
      <c r="F6290" s="43">
        <f>IF($E6290=0,0,YEAR($E6290))</f>
      </c>
      <c r="G6290" s="43">
        <f>IF(INDEX(DarlBindung,14)="",1,IF($E6290&lt;=INDEX(DarlBindung,14),1,0))</f>
      </c>
      <c r="H6290" s="43">
        <f>IF($G6290=1,INDEX(DarlSollzins,14),INDEX(DarlAnschluss,14))</f>
      </c>
      <c r="I6290" s="43">
        <f>IF(INDEX(DarlBelegt,14)=0,0,IF(INDEX(DarlOhneTilgung,14)=1,IF(INDEX(DarlBindung,14)="",1,$G6290),IF($J6290&gt;0.005,1,0)))</f>
      </c>
      <c r="J6290" s="43">
        <f>IF($I6289=0,0,$R6289)</f>
      </c>
      <c r="K6290" s="43">
        <f>IF($I6290=0,0,IF(INDEX(DarlOhneTilgung,14)=1,0,IF(AND(INDEX(DarlTilgStart,14)&gt;0,$E6290=INDEX(DarlTilgStart,14)),$J6290*($H6290+INDEX(DarlTilgung,14))/100/12,IF(AND($G6290=0,$G6289=1),MAX($K6289,$J6290*($H6290+1)/100/12),$K6289))))</f>
      </c>
      <c r="L6290" s="43">
        <f>IF($I6290=0,0,$J6290*$H6290/100/12)</f>
      </c>
      <c r="M6290" s="43">
        <f>IF($I6290=0,0,IF(OR(INDEX(DarlOhneTilgung,14)=1,AND(INDEX(DarlTilgStart,14)&gt;0,$E6290&lt;INDEX(DarlTilgStart,14))),0,MIN(MAX(0,$K6290-$L6290),$J6290)))</f>
      </c>
      <c r="N6290" s="43">
        <f>IF($I6290=0,0,MIN(SUMIFS(SondBetrag,SondDarl,14,SondDatum,"&gt;="&amp;$E6290,SondDatum,"&lt;="&amp;EOMONTH($E6290,0)),$J6290-$M6290))</f>
      </c>
      <c r="O6290" s="43">
        <f>IF($I6290=0,0,INDEX(DarlErsatzRate,14))</f>
      </c>
      <c r="P6290" s="43">
        <f>IF($I6290=0,0,$Q6289*INDEX(DarlErsatzZins,14))</f>
      </c>
      <c r="Q6290" s="43">
        <f>IF($I6290=0,0,$Q6289+$P6290+$O6290)</f>
      </c>
      <c r="R6290" s="43">
        <f>IF($I6290=0,0,$J6290-$M6290-$N6290)</f>
      </c>
    </row>
    <row r="6291">
      <c r="A6291"/>
      <c r="B6291">
        <v>14</v>
      </c>
      <c r="C6291" s="43">
        <f>INDEX(DarlObj,14)</f>
      </c>
      <c r="D6291">
        <v>48</v>
      </c>
      <c r="E6291" s="51">
        <f>IF(INDEX(DarlBelegt,14)=0,0,EOMONTH(INDEX(DarlAuszahlung,14),47)+1)</f>
      </c>
      <c r="F6291" s="43">
        <f>IF($E6291=0,0,YEAR($E6291))</f>
      </c>
      <c r="G6291" s="43">
        <f>IF(INDEX(DarlBindung,14)="",1,IF($E6291&lt;=INDEX(DarlBindung,14),1,0))</f>
      </c>
      <c r="H6291" s="43">
        <f>IF($G6291=1,INDEX(DarlSollzins,14),INDEX(DarlAnschluss,14))</f>
      </c>
      <c r="I6291" s="43">
        <f>IF(INDEX(DarlBelegt,14)=0,0,IF(INDEX(DarlOhneTilgung,14)=1,IF(INDEX(DarlBindung,14)="",1,$G6291),IF($J6291&gt;0.005,1,0)))</f>
      </c>
      <c r="J6291" s="43">
        <f>IF($I6290=0,0,$R6290)</f>
      </c>
      <c r="K6291" s="43">
        <f>IF($I6291=0,0,IF(INDEX(DarlOhneTilgung,14)=1,0,IF(AND(INDEX(DarlTilgStart,14)&gt;0,$E6291=INDEX(DarlTilgStart,14)),$J6291*($H6291+INDEX(DarlTilgung,14))/100/12,IF(AND($G6291=0,$G6290=1),MAX($K6290,$J6291*($H6291+1)/100/12),$K6290))))</f>
      </c>
      <c r="L6291" s="43">
        <f>IF($I6291=0,0,$J6291*$H6291/100/12)</f>
      </c>
      <c r="M6291" s="43">
        <f>IF($I6291=0,0,IF(OR(INDEX(DarlOhneTilgung,14)=1,AND(INDEX(DarlTilgStart,14)&gt;0,$E6291&lt;INDEX(DarlTilgStart,14))),0,MIN(MAX(0,$K6291-$L6291),$J6291)))</f>
      </c>
      <c r="N6291" s="43">
        <f>IF($I6291=0,0,MIN(SUMIFS(SondBetrag,SondDarl,14,SondDatum,"&gt;="&amp;$E6291,SondDatum,"&lt;="&amp;EOMONTH($E6291,0)),$J6291-$M6291))</f>
      </c>
      <c r="O6291" s="43">
        <f>IF($I6291=0,0,INDEX(DarlErsatzRate,14))</f>
      </c>
      <c r="P6291" s="43">
        <f>IF($I6291=0,0,$Q6290*INDEX(DarlErsatzZins,14))</f>
      </c>
      <c r="Q6291" s="43">
        <f>IF($I6291=0,0,$Q6290+$P6291+$O6291)</f>
      </c>
      <c r="R6291" s="43">
        <f>IF($I6291=0,0,$J6291-$M6291-$N6291)</f>
      </c>
    </row>
    <row r="6292">
      <c r="A6292"/>
      <c r="B6292">
        <v>14</v>
      </c>
      <c r="C6292" s="43">
        <f>INDEX(DarlObj,14)</f>
      </c>
      <c r="D6292">
        <v>49</v>
      </c>
      <c r="E6292" s="51">
        <f>IF(INDEX(DarlBelegt,14)=0,0,EOMONTH(INDEX(DarlAuszahlung,14),48)+1)</f>
      </c>
      <c r="F6292" s="43">
        <f>IF($E6292=0,0,YEAR($E6292))</f>
      </c>
      <c r="G6292" s="43">
        <f>IF(INDEX(DarlBindung,14)="",1,IF($E6292&lt;=INDEX(DarlBindung,14),1,0))</f>
      </c>
      <c r="H6292" s="43">
        <f>IF($G6292=1,INDEX(DarlSollzins,14),INDEX(DarlAnschluss,14))</f>
      </c>
      <c r="I6292" s="43">
        <f>IF(INDEX(DarlBelegt,14)=0,0,IF(INDEX(DarlOhneTilgung,14)=1,IF(INDEX(DarlBindung,14)="",1,$G6292),IF($J6292&gt;0.005,1,0)))</f>
      </c>
      <c r="J6292" s="43">
        <f>IF($I6291=0,0,$R6291)</f>
      </c>
      <c r="K6292" s="43">
        <f>IF($I6292=0,0,IF(INDEX(DarlOhneTilgung,14)=1,0,IF(AND(INDEX(DarlTilgStart,14)&gt;0,$E6292=INDEX(DarlTilgStart,14)),$J6292*($H6292+INDEX(DarlTilgung,14))/100/12,IF(AND($G6292=0,$G6291=1),MAX($K6291,$J6292*($H6292+1)/100/12),$K6291))))</f>
      </c>
      <c r="L6292" s="43">
        <f>IF($I6292=0,0,$J6292*$H6292/100/12)</f>
      </c>
      <c r="M6292" s="43">
        <f>IF($I6292=0,0,IF(OR(INDEX(DarlOhneTilgung,14)=1,AND(INDEX(DarlTilgStart,14)&gt;0,$E6292&lt;INDEX(DarlTilgStart,14))),0,MIN(MAX(0,$K6292-$L6292),$J6292)))</f>
      </c>
      <c r="N6292" s="43">
        <f>IF($I6292=0,0,MIN(SUMIFS(SondBetrag,SondDarl,14,SondDatum,"&gt;="&amp;$E6292,SondDatum,"&lt;="&amp;EOMONTH($E6292,0)),$J6292-$M6292))</f>
      </c>
      <c r="O6292" s="43">
        <f>IF($I6292=0,0,INDEX(DarlErsatzRate,14))</f>
      </c>
      <c r="P6292" s="43">
        <f>IF($I6292=0,0,$Q6291*INDEX(DarlErsatzZins,14))</f>
      </c>
      <c r="Q6292" s="43">
        <f>IF($I6292=0,0,$Q6291+$P6292+$O6292)</f>
      </c>
      <c r="R6292" s="43">
        <f>IF($I6292=0,0,$J6292-$M6292-$N6292)</f>
      </c>
    </row>
    <row r="6293">
      <c r="A6293"/>
      <c r="B6293">
        <v>14</v>
      </c>
      <c r="C6293" s="43">
        <f>INDEX(DarlObj,14)</f>
      </c>
      <c r="D6293">
        <v>50</v>
      </c>
      <c r="E6293" s="51">
        <f>IF(INDEX(DarlBelegt,14)=0,0,EOMONTH(INDEX(DarlAuszahlung,14),49)+1)</f>
      </c>
      <c r="F6293" s="43">
        <f>IF($E6293=0,0,YEAR($E6293))</f>
      </c>
      <c r="G6293" s="43">
        <f>IF(INDEX(DarlBindung,14)="",1,IF($E6293&lt;=INDEX(DarlBindung,14),1,0))</f>
      </c>
      <c r="H6293" s="43">
        <f>IF($G6293=1,INDEX(DarlSollzins,14),INDEX(DarlAnschluss,14))</f>
      </c>
      <c r="I6293" s="43">
        <f>IF(INDEX(DarlBelegt,14)=0,0,IF(INDEX(DarlOhneTilgung,14)=1,IF(INDEX(DarlBindung,14)="",1,$G6293),IF($J6293&gt;0.005,1,0)))</f>
      </c>
      <c r="J6293" s="43">
        <f>IF($I6292=0,0,$R6292)</f>
      </c>
      <c r="K6293" s="43">
        <f>IF($I6293=0,0,IF(INDEX(DarlOhneTilgung,14)=1,0,IF(AND(INDEX(DarlTilgStart,14)&gt;0,$E6293=INDEX(DarlTilgStart,14)),$J6293*($H6293+INDEX(DarlTilgung,14))/100/12,IF(AND($G6293=0,$G6292=1),MAX($K6292,$J6293*($H6293+1)/100/12),$K6292))))</f>
      </c>
      <c r="L6293" s="43">
        <f>IF($I6293=0,0,$J6293*$H6293/100/12)</f>
      </c>
      <c r="M6293" s="43">
        <f>IF($I6293=0,0,IF(OR(INDEX(DarlOhneTilgung,14)=1,AND(INDEX(DarlTilgStart,14)&gt;0,$E6293&lt;INDEX(DarlTilgStart,14))),0,MIN(MAX(0,$K6293-$L6293),$J6293)))</f>
      </c>
      <c r="N6293" s="43">
        <f>IF($I6293=0,0,MIN(SUMIFS(SondBetrag,SondDarl,14,SondDatum,"&gt;="&amp;$E6293,SondDatum,"&lt;="&amp;EOMONTH($E6293,0)),$J6293-$M6293))</f>
      </c>
      <c r="O6293" s="43">
        <f>IF($I6293=0,0,INDEX(DarlErsatzRate,14))</f>
      </c>
      <c r="P6293" s="43">
        <f>IF($I6293=0,0,$Q6292*INDEX(DarlErsatzZins,14))</f>
      </c>
      <c r="Q6293" s="43">
        <f>IF($I6293=0,0,$Q6292+$P6293+$O6293)</f>
      </c>
      <c r="R6293" s="43">
        <f>IF($I6293=0,0,$J6293-$M6293-$N6293)</f>
      </c>
    </row>
    <row r="6294">
      <c r="A6294"/>
      <c r="B6294">
        <v>14</v>
      </c>
      <c r="C6294" s="43">
        <f>INDEX(DarlObj,14)</f>
      </c>
      <c r="D6294">
        <v>51</v>
      </c>
      <c r="E6294" s="51">
        <f>IF(INDEX(DarlBelegt,14)=0,0,EOMONTH(INDEX(DarlAuszahlung,14),50)+1)</f>
      </c>
      <c r="F6294" s="43">
        <f>IF($E6294=0,0,YEAR($E6294))</f>
      </c>
      <c r="G6294" s="43">
        <f>IF(INDEX(DarlBindung,14)="",1,IF($E6294&lt;=INDEX(DarlBindung,14),1,0))</f>
      </c>
      <c r="H6294" s="43">
        <f>IF($G6294=1,INDEX(DarlSollzins,14),INDEX(DarlAnschluss,14))</f>
      </c>
      <c r="I6294" s="43">
        <f>IF(INDEX(DarlBelegt,14)=0,0,IF(INDEX(DarlOhneTilgung,14)=1,IF(INDEX(DarlBindung,14)="",1,$G6294),IF($J6294&gt;0.005,1,0)))</f>
      </c>
      <c r="J6294" s="43">
        <f>IF($I6293=0,0,$R6293)</f>
      </c>
      <c r="K6294" s="43">
        <f>IF($I6294=0,0,IF(INDEX(DarlOhneTilgung,14)=1,0,IF(AND(INDEX(DarlTilgStart,14)&gt;0,$E6294=INDEX(DarlTilgStart,14)),$J6294*($H6294+INDEX(DarlTilgung,14))/100/12,IF(AND($G6294=0,$G6293=1),MAX($K6293,$J6294*($H6294+1)/100/12),$K6293))))</f>
      </c>
      <c r="L6294" s="43">
        <f>IF($I6294=0,0,$J6294*$H6294/100/12)</f>
      </c>
      <c r="M6294" s="43">
        <f>IF($I6294=0,0,IF(OR(INDEX(DarlOhneTilgung,14)=1,AND(INDEX(DarlTilgStart,14)&gt;0,$E6294&lt;INDEX(DarlTilgStart,14))),0,MIN(MAX(0,$K6294-$L6294),$J6294)))</f>
      </c>
      <c r="N6294" s="43">
        <f>IF($I6294=0,0,MIN(SUMIFS(SondBetrag,SondDarl,14,SondDatum,"&gt;="&amp;$E6294,SondDatum,"&lt;="&amp;EOMONTH($E6294,0)),$J6294-$M6294))</f>
      </c>
      <c r="O6294" s="43">
        <f>IF($I6294=0,0,INDEX(DarlErsatzRate,14))</f>
      </c>
      <c r="P6294" s="43">
        <f>IF($I6294=0,0,$Q6293*INDEX(DarlErsatzZins,14))</f>
      </c>
      <c r="Q6294" s="43">
        <f>IF($I6294=0,0,$Q6293+$P6294+$O6294)</f>
      </c>
      <c r="R6294" s="43">
        <f>IF($I6294=0,0,$J6294-$M6294-$N6294)</f>
      </c>
    </row>
    <row r="6295">
      <c r="A6295"/>
      <c r="B6295">
        <v>14</v>
      </c>
      <c r="C6295" s="43">
        <f>INDEX(DarlObj,14)</f>
      </c>
      <c r="D6295">
        <v>52</v>
      </c>
      <c r="E6295" s="51">
        <f>IF(INDEX(DarlBelegt,14)=0,0,EOMONTH(INDEX(DarlAuszahlung,14),51)+1)</f>
      </c>
      <c r="F6295" s="43">
        <f>IF($E6295=0,0,YEAR($E6295))</f>
      </c>
      <c r="G6295" s="43">
        <f>IF(INDEX(DarlBindung,14)="",1,IF($E6295&lt;=INDEX(DarlBindung,14),1,0))</f>
      </c>
      <c r="H6295" s="43">
        <f>IF($G6295=1,INDEX(DarlSollzins,14),INDEX(DarlAnschluss,14))</f>
      </c>
      <c r="I6295" s="43">
        <f>IF(INDEX(DarlBelegt,14)=0,0,IF(INDEX(DarlOhneTilgung,14)=1,IF(INDEX(DarlBindung,14)="",1,$G6295),IF($J6295&gt;0.005,1,0)))</f>
      </c>
      <c r="J6295" s="43">
        <f>IF($I6294=0,0,$R6294)</f>
      </c>
      <c r="K6295" s="43">
        <f>IF($I6295=0,0,IF(INDEX(DarlOhneTilgung,14)=1,0,IF(AND(INDEX(DarlTilgStart,14)&gt;0,$E6295=INDEX(DarlTilgStart,14)),$J6295*($H6295+INDEX(DarlTilgung,14))/100/12,IF(AND($G6295=0,$G6294=1),MAX($K6294,$J6295*($H6295+1)/100/12),$K6294))))</f>
      </c>
      <c r="L6295" s="43">
        <f>IF($I6295=0,0,$J6295*$H6295/100/12)</f>
      </c>
      <c r="M6295" s="43">
        <f>IF($I6295=0,0,IF(OR(INDEX(DarlOhneTilgung,14)=1,AND(INDEX(DarlTilgStart,14)&gt;0,$E6295&lt;INDEX(DarlTilgStart,14))),0,MIN(MAX(0,$K6295-$L6295),$J6295)))</f>
      </c>
      <c r="N6295" s="43">
        <f>IF($I6295=0,0,MIN(SUMIFS(SondBetrag,SondDarl,14,SondDatum,"&gt;="&amp;$E6295,SondDatum,"&lt;="&amp;EOMONTH($E6295,0)),$J6295-$M6295))</f>
      </c>
      <c r="O6295" s="43">
        <f>IF($I6295=0,0,INDEX(DarlErsatzRate,14))</f>
      </c>
      <c r="P6295" s="43">
        <f>IF($I6295=0,0,$Q6294*INDEX(DarlErsatzZins,14))</f>
      </c>
      <c r="Q6295" s="43">
        <f>IF($I6295=0,0,$Q6294+$P6295+$O6295)</f>
      </c>
      <c r="R6295" s="43">
        <f>IF($I6295=0,0,$J6295-$M6295-$N6295)</f>
      </c>
    </row>
    <row r="6296">
      <c r="A6296"/>
      <c r="B6296">
        <v>14</v>
      </c>
      <c r="C6296" s="43">
        <f>INDEX(DarlObj,14)</f>
      </c>
      <c r="D6296">
        <v>53</v>
      </c>
      <c r="E6296" s="51">
        <f>IF(INDEX(DarlBelegt,14)=0,0,EOMONTH(INDEX(DarlAuszahlung,14),52)+1)</f>
      </c>
      <c r="F6296" s="43">
        <f>IF($E6296=0,0,YEAR($E6296))</f>
      </c>
      <c r="G6296" s="43">
        <f>IF(INDEX(DarlBindung,14)="",1,IF($E6296&lt;=INDEX(DarlBindung,14),1,0))</f>
      </c>
      <c r="H6296" s="43">
        <f>IF($G6296=1,INDEX(DarlSollzins,14),INDEX(DarlAnschluss,14))</f>
      </c>
      <c r="I6296" s="43">
        <f>IF(INDEX(DarlBelegt,14)=0,0,IF(INDEX(DarlOhneTilgung,14)=1,IF(INDEX(DarlBindung,14)="",1,$G6296),IF($J6296&gt;0.005,1,0)))</f>
      </c>
      <c r="J6296" s="43">
        <f>IF($I6295=0,0,$R6295)</f>
      </c>
      <c r="K6296" s="43">
        <f>IF($I6296=0,0,IF(INDEX(DarlOhneTilgung,14)=1,0,IF(AND(INDEX(DarlTilgStart,14)&gt;0,$E6296=INDEX(DarlTilgStart,14)),$J6296*($H6296+INDEX(DarlTilgung,14))/100/12,IF(AND($G6296=0,$G6295=1),MAX($K6295,$J6296*($H6296+1)/100/12),$K6295))))</f>
      </c>
      <c r="L6296" s="43">
        <f>IF($I6296=0,0,$J6296*$H6296/100/12)</f>
      </c>
      <c r="M6296" s="43">
        <f>IF($I6296=0,0,IF(OR(INDEX(DarlOhneTilgung,14)=1,AND(INDEX(DarlTilgStart,14)&gt;0,$E6296&lt;INDEX(DarlTilgStart,14))),0,MIN(MAX(0,$K6296-$L6296),$J6296)))</f>
      </c>
      <c r="N6296" s="43">
        <f>IF($I6296=0,0,MIN(SUMIFS(SondBetrag,SondDarl,14,SondDatum,"&gt;="&amp;$E6296,SondDatum,"&lt;="&amp;EOMONTH($E6296,0)),$J6296-$M6296))</f>
      </c>
      <c r="O6296" s="43">
        <f>IF($I6296=0,0,INDEX(DarlErsatzRate,14))</f>
      </c>
      <c r="P6296" s="43">
        <f>IF($I6296=0,0,$Q6295*INDEX(DarlErsatzZins,14))</f>
      </c>
      <c r="Q6296" s="43">
        <f>IF($I6296=0,0,$Q6295+$P6296+$O6296)</f>
      </c>
      <c r="R6296" s="43">
        <f>IF($I6296=0,0,$J6296-$M6296-$N6296)</f>
      </c>
    </row>
    <row r="6297">
      <c r="A6297"/>
      <c r="B6297">
        <v>14</v>
      </c>
      <c r="C6297" s="43">
        <f>INDEX(DarlObj,14)</f>
      </c>
      <c r="D6297">
        <v>54</v>
      </c>
      <c r="E6297" s="51">
        <f>IF(INDEX(DarlBelegt,14)=0,0,EOMONTH(INDEX(DarlAuszahlung,14),53)+1)</f>
      </c>
      <c r="F6297" s="43">
        <f>IF($E6297=0,0,YEAR($E6297))</f>
      </c>
      <c r="G6297" s="43">
        <f>IF(INDEX(DarlBindung,14)="",1,IF($E6297&lt;=INDEX(DarlBindung,14),1,0))</f>
      </c>
      <c r="H6297" s="43">
        <f>IF($G6297=1,INDEX(DarlSollzins,14),INDEX(DarlAnschluss,14))</f>
      </c>
      <c r="I6297" s="43">
        <f>IF(INDEX(DarlBelegt,14)=0,0,IF(INDEX(DarlOhneTilgung,14)=1,IF(INDEX(DarlBindung,14)="",1,$G6297),IF($J6297&gt;0.005,1,0)))</f>
      </c>
      <c r="J6297" s="43">
        <f>IF($I6296=0,0,$R6296)</f>
      </c>
      <c r="K6297" s="43">
        <f>IF($I6297=0,0,IF(INDEX(DarlOhneTilgung,14)=1,0,IF(AND(INDEX(DarlTilgStart,14)&gt;0,$E6297=INDEX(DarlTilgStart,14)),$J6297*($H6297+INDEX(DarlTilgung,14))/100/12,IF(AND($G6297=0,$G6296=1),MAX($K6296,$J6297*($H6297+1)/100/12),$K6296))))</f>
      </c>
      <c r="L6297" s="43">
        <f>IF($I6297=0,0,$J6297*$H6297/100/12)</f>
      </c>
      <c r="M6297" s="43">
        <f>IF($I6297=0,0,IF(OR(INDEX(DarlOhneTilgung,14)=1,AND(INDEX(DarlTilgStart,14)&gt;0,$E6297&lt;INDEX(DarlTilgStart,14))),0,MIN(MAX(0,$K6297-$L6297),$J6297)))</f>
      </c>
      <c r="N6297" s="43">
        <f>IF($I6297=0,0,MIN(SUMIFS(SondBetrag,SondDarl,14,SondDatum,"&gt;="&amp;$E6297,SondDatum,"&lt;="&amp;EOMONTH($E6297,0)),$J6297-$M6297))</f>
      </c>
      <c r="O6297" s="43">
        <f>IF($I6297=0,0,INDEX(DarlErsatzRate,14))</f>
      </c>
      <c r="P6297" s="43">
        <f>IF($I6297=0,0,$Q6296*INDEX(DarlErsatzZins,14))</f>
      </c>
      <c r="Q6297" s="43">
        <f>IF($I6297=0,0,$Q6296+$P6297+$O6297)</f>
      </c>
      <c r="R6297" s="43">
        <f>IF($I6297=0,0,$J6297-$M6297-$N6297)</f>
      </c>
    </row>
    <row r="6298">
      <c r="A6298"/>
      <c r="B6298">
        <v>14</v>
      </c>
      <c r="C6298" s="43">
        <f>INDEX(DarlObj,14)</f>
      </c>
      <c r="D6298">
        <v>55</v>
      </c>
      <c r="E6298" s="51">
        <f>IF(INDEX(DarlBelegt,14)=0,0,EOMONTH(INDEX(DarlAuszahlung,14),54)+1)</f>
      </c>
      <c r="F6298" s="43">
        <f>IF($E6298=0,0,YEAR($E6298))</f>
      </c>
      <c r="G6298" s="43">
        <f>IF(INDEX(DarlBindung,14)="",1,IF($E6298&lt;=INDEX(DarlBindung,14),1,0))</f>
      </c>
      <c r="H6298" s="43">
        <f>IF($G6298=1,INDEX(DarlSollzins,14),INDEX(DarlAnschluss,14))</f>
      </c>
      <c r="I6298" s="43">
        <f>IF(INDEX(DarlBelegt,14)=0,0,IF(INDEX(DarlOhneTilgung,14)=1,IF(INDEX(DarlBindung,14)="",1,$G6298),IF($J6298&gt;0.005,1,0)))</f>
      </c>
      <c r="J6298" s="43">
        <f>IF($I6297=0,0,$R6297)</f>
      </c>
      <c r="K6298" s="43">
        <f>IF($I6298=0,0,IF(INDEX(DarlOhneTilgung,14)=1,0,IF(AND(INDEX(DarlTilgStart,14)&gt;0,$E6298=INDEX(DarlTilgStart,14)),$J6298*($H6298+INDEX(DarlTilgung,14))/100/12,IF(AND($G6298=0,$G6297=1),MAX($K6297,$J6298*($H6298+1)/100/12),$K6297))))</f>
      </c>
      <c r="L6298" s="43">
        <f>IF($I6298=0,0,$J6298*$H6298/100/12)</f>
      </c>
      <c r="M6298" s="43">
        <f>IF($I6298=0,0,IF(OR(INDEX(DarlOhneTilgung,14)=1,AND(INDEX(DarlTilgStart,14)&gt;0,$E6298&lt;INDEX(DarlTilgStart,14))),0,MIN(MAX(0,$K6298-$L6298),$J6298)))</f>
      </c>
      <c r="N6298" s="43">
        <f>IF($I6298=0,0,MIN(SUMIFS(SondBetrag,SondDarl,14,SondDatum,"&gt;="&amp;$E6298,SondDatum,"&lt;="&amp;EOMONTH($E6298,0)),$J6298-$M6298))</f>
      </c>
      <c r="O6298" s="43">
        <f>IF($I6298=0,0,INDEX(DarlErsatzRate,14))</f>
      </c>
      <c r="P6298" s="43">
        <f>IF($I6298=0,0,$Q6297*INDEX(DarlErsatzZins,14))</f>
      </c>
      <c r="Q6298" s="43">
        <f>IF($I6298=0,0,$Q6297+$P6298+$O6298)</f>
      </c>
      <c r="R6298" s="43">
        <f>IF($I6298=0,0,$J6298-$M6298-$N6298)</f>
      </c>
    </row>
    <row r="6299">
      <c r="A6299"/>
      <c r="B6299">
        <v>14</v>
      </c>
      <c r="C6299" s="43">
        <f>INDEX(DarlObj,14)</f>
      </c>
      <c r="D6299">
        <v>56</v>
      </c>
      <c r="E6299" s="51">
        <f>IF(INDEX(DarlBelegt,14)=0,0,EOMONTH(INDEX(DarlAuszahlung,14),55)+1)</f>
      </c>
      <c r="F6299" s="43">
        <f>IF($E6299=0,0,YEAR($E6299))</f>
      </c>
      <c r="G6299" s="43">
        <f>IF(INDEX(DarlBindung,14)="",1,IF($E6299&lt;=INDEX(DarlBindung,14),1,0))</f>
      </c>
      <c r="H6299" s="43">
        <f>IF($G6299=1,INDEX(DarlSollzins,14),INDEX(DarlAnschluss,14))</f>
      </c>
      <c r="I6299" s="43">
        <f>IF(INDEX(DarlBelegt,14)=0,0,IF(INDEX(DarlOhneTilgung,14)=1,IF(INDEX(DarlBindung,14)="",1,$G6299),IF($J6299&gt;0.005,1,0)))</f>
      </c>
      <c r="J6299" s="43">
        <f>IF($I6298=0,0,$R6298)</f>
      </c>
      <c r="K6299" s="43">
        <f>IF($I6299=0,0,IF(INDEX(DarlOhneTilgung,14)=1,0,IF(AND(INDEX(DarlTilgStart,14)&gt;0,$E6299=INDEX(DarlTilgStart,14)),$J6299*($H6299+INDEX(DarlTilgung,14))/100/12,IF(AND($G6299=0,$G6298=1),MAX($K6298,$J6299*($H6299+1)/100/12),$K6298))))</f>
      </c>
      <c r="L6299" s="43">
        <f>IF($I6299=0,0,$J6299*$H6299/100/12)</f>
      </c>
      <c r="M6299" s="43">
        <f>IF($I6299=0,0,IF(OR(INDEX(DarlOhneTilgung,14)=1,AND(INDEX(DarlTilgStart,14)&gt;0,$E6299&lt;INDEX(DarlTilgStart,14))),0,MIN(MAX(0,$K6299-$L6299),$J6299)))</f>
      </c>
      <c r="N6299" s="43">
        <f>IF($I6299=0,0,MIN(SUMIFS(SondBetrag,SondDarl,14,SondDatum,"&gt;="&amp;$E6299,SondDatum,"&lt;="&amp;EOMONTH($E6299,0)),$J6299-$M6299))</f>
      </c>
      <c r="O6299" s="43">
        <f>IF($I6299=0,0,INDEX(DarlErsatzRate,14))</f>
      </c>
      <c r="P6299" s="43">
        <f>IF($I6299=0,0,$Q6298*INDEX(DarlErsatzZins,14))</f>
      </c>
      <c r="Q6299" s="43">
        <f>IF($I6299=0,0,$Q6298+$P6299+$O6299)</f>
      </c>
      <c r="R6299" s="43">
        <f>IF($I6299=0,0,$J6299-$M6299-$N6299)</f>
      </c>
    </row>
    <row r="6300">
      <c r="A6300"/>
      <c r="B6300">
        <v>14</v>
      </c>
      <c r="C6300" s="43">
        <f>INDEX(DarlObj,14)</f>
      </c>
      <c r="D6300">
        <v>57</v>
      </c>
      <c r="E6300" s="51">
        <f>IF(INDEX(DarlBelegt,14)=0,0,EOMONTH(INDEX(DarlAuszahlung,14),56)+1)</f>
      </c>
      <c r="F6300" s="43">
        <f>IF($E6300=0,0,YEAR($E6300))</f>
      </c>
      <c r="G6300" s="43">
        <f>IF(INDEX(DarlBindung,14)="",1,IF($E6300&lt;=INDEX(DarlBindung,14),1,0))</f>
      </c>
      <c r="H6300" s="43">
        <f>IF($G6300=1,INDEX(DarlSollzins,14),INDEX(DarlAnschluss,14))</f>
      </c>
      <c r="I6300" s="43">
        <f>IF(INDEX(DarlBelegt,14)=0,0,IF(INDEX(DarlOhneTilgung,14)=1,IF(INDEX(DarlBindung,14)="",1,$G6300),IF($J6300&gt;0.005,1,0)))</f>
      </c>
      <c r="J6300" s="43">
        <f>IF($I6299=0,0,$R6299)</f>
      </c>
      <c r="K6300" s="43">
        <f>IF($I6300=0,0,IF(INDEX(DarlOhneTilgung,14)=1,0,IF(AND(INDEX(DarlTilgStart,14)&gt;0,$E6300=INDEX(DarlTilgStart,14)),$J6300*($H6300+INDEX(DarlTilgung,14))/100/12,IF(AND($G6300=0,$G6299=1),MAX($K6299,$J6300*($H6300+1)/100/12),$K6299))))</f>
      </c>
      <c r="L6300" s="43">
        <f>IF($I6300=0,0,$J6300*$H6300/100/12)</f>
      </c>
      <c r="M6300" s="43">
        <f>IF($I6300=0,0,IF(OR(INDEX(DarlOhneTilgung,14)=1,AND(INDEX(DarlTilgStart,14)&gt;0,$E6300&lt;INDEX(DarlTilgStart,14))),0,MIN(MAX(0,$K6300-$L6300),$J6300)))</f>
      </c>
      <c r="N6300" s="43">
        <f>IF($I6300=0,0,MIN(SUMIFS(SondBetrag,SondDarl,14,SondDatum,"&gt;="&amp;$E6300,SondDatum,"&lt;="&amp;EOMONTH($E6300,0)),$J6300-$M6300))</f>
      </c>
      <c r="O6300" s="43">
        <f>IF($I6300=0,0,INDEX(DarlErsatzRate,14))</f>
      </c>
      <c r="P6300" s="43">
        <f>IF($I6300=0,0,$Q6299*INDEX(DarlErsatzZins,14))</f>
      </c>
      <c r="Q6300" s="43">
        <f>IF($I6300=0,0,$Q6299+$P6300+$O6300)</f>
      </c>
      <c r="R6300" s="43">
        <f>IF($I6300=0,0,$J6300-$M6300-$N6300)</f>
      </c>
    </row>
    <row r="6301">
      <c r="A6301"/>
      <c r="B6301">
        <v>14</v>
      </c>
      <c r="C6301" s="43">
        <f>INDEX(DarlObj,14)</f>
      </c>
      <c r="D6301">
        <v>58</v>
      </c>
      <c r="E6301" s="51">
        <f>IF(INDEX(DarlBelegt,14)=0,0,EOMONTH(INDEX(DarlAuszahlung,14),57)+1)</f>
      </c>
      <c r="F6301" s="43">
        <f>IF($E6301=0,0,YEAR($E6301))</f>
      </c>
      <c r="G6301" s="43">
        <f>IF(INDEX(DarlBindung,14)="",1,IF($E6301&lt;=INDEX(DarlBindung,14),1,0))</f>
      </c>
      <c r="H6301" s="43">
        <f>IF($G6301=1,INDEX(DarlSollzins,14),INDEX(DarlAnschluss,14))</f>
      </c>
      <c r="I6301" s="43">
        <f>IF(INDEX(DarlBelegt,14)=0,0,IF(INDEX(DarlOhneTilgung,14)=1,IF(INDEX(DarlBindung,14)="",1,$G6301),IF($J6301&gt;0.005,1,0)))</f>
      </c>
      <c r="J6301" s="43">
        <f>IF($I6300=0,0,$R6300)</f>
      </c>
      <c r="K6301" s="43">
        <f>IF($I6301=0,0,IF(INDEX(DarlOhneTilgung,14)=1,0,IF(AND(INDEX(DarlTilgStart,14)&gt;0,$E6301=INDEX(DarlTilgStart,14)),$J6301*($H6301+INDEX(DarlTilgung,14))/100/12,IF(AND($G6301=0,$G6300=1),MAX($K6300,$J6301*($H6301+1)/100/12),$K6300))))</f>
      </c>
      <c r="L6301" s="43">
        <f>IF($I6301=0,0,$J6301*$H6301/100/12)</f>
      </c>
      <c r="M6301" s="43">
        <f>IF($I6301=0,0,IF(OR(INDEX(DarlOhneTilgung,14)=1,AND(INDEX(DarlTilgStart,14)&gt;0,$E6301&lt;INDEX(DarlTilgStart,14))),0,MIN(MAX(0,$K6301-$L6301),$J6301)))</f>
      </c>
      <c r="N6301" s="43">
        <f>IF($I6301=0,0,MIN(SUMIFS(SondBetrag,SondDarl,14,SondDatum,"&gt;="&amp;$E6301,SondDatum,"&lt;="&amp;EOMONTH($E6301,0)),$J6301-$M6301))</f>
      </c>
      <c r="O6301" s="43">
        <f>IF($I6301=0,0,INDEX(DarlErsatzRate,14))</f>
      </c>
      <c r="P6301" s="43">
        <f>IF($I6301=0,0,$Q6300*INDEX(DarlErsatzZins,14))</f>
      </c>
      <c r="Q6301" s="43">
        <f>IF($I6301=0,0,$Q6300+$P6301+$O6301)</f>
      </c>
      <c r="R6301" s="43">
        <f>IF($I6301=0,0,$J6301-$M6301-$N6301)</f>
      </c>
    </row>
    <row r="6302">
      <c r="A6302"/>
      <c r="B6302">
        <v>14</v>
      </c>
      <c r="C6302" s="43">
        <f>INDEX(DarlObj,14)</f>
      </c>
      <c r="D6302">
        <v>59</v>
      </c>
      <c r="E6302" s="51">
        <f>IF(INDEX(DarlBelegt,14)=0,0,EOMONTH(INDEX(DarlAuszahlung,14),58)+1)</f>
      </c>
      <c r="F6302" s="43">
        <f>IF($E6302=0,0,YEAR($E6302))</f>
      </c>
      <c r="G6302" s="43">
        <f>IF(INDEX(DarlBindung,14)="",1,IF($E6302&lt;=INDEX(DarlBindung,14),1,0))</f>
      </c>
      <c r="H6302" s="43">
        <f>IF($G6302=1,INDEX(DarlSollzins,14),INDEX(DarlAnschluss,14))</f>
      </c>
      <c r="I6302" s="43">
        <f>IF(INDEX(DarlBelegt,14)=0,0,IF(INDEX(DarlOhneTilgung,14)=1,IF(INDEX(DarlBindung,14)="",1,$G6302),IF($J6302&gt;0.005,1,0)))</f>
      </c>
      <c r="J6302" s="43">
        <f>IF($I6301=0,0,$R6301)</f>
      </c>
      <c r="K6302" s="43">
        <f>IF($I6302=0,0,IF(INDEX(DarlOhneTilgung,14)=1,0,IF(AND(INDEX(DarlTilgStart,14)&gt;0,$E6302=INDEX(DarlTilgStart,14)),$J6302*($H6302+INDEX(DarlTilgung,14))/100/12,IF(AND($G6302=0,$G6301=1),MAX($K6301,$J6302*($H6302+1)/100/12),$K6301))))</f>
      </c>
      <c r="L6302" s="43">
        <f>IF($I6302=0,0,$J6302*$H6302/100/12)</f>
      </c>
      <c r="M6302" s="43">
        <f>IF($I6302=0,0,IF(OR(INDEX(DarlOhneTilgung,14)=1,AND(INDEX(DarlTilgStart,14)&gt;0,$E6302&lt;INDEX(DarlTilgStart,14))),0,MIN(MAX(0,$K6302-$L6302),$J6302)))</f>
      </c>
      <c r="N6302" s="43">
        <f>IF($I6302=0,0,MIN(SUMIFS(SondBetrag,SondDarl,14,SondDatum,"&gt;="&amp;$E6302,SondDatum,"&lt;="&amp;EOMONTH($E6302,0)),$J6302-$M6302))</f>
      </c>
      <c r="O6302" s="43">
        <f>IF($I6302=0,0,INDEX(DarlErsatzRate,14))</f>
      </c>
      <c r="P6302" s="43">
        <f>IF($I6302=0,0,$Q6301*INDEX(DarlErsatzZins,14))</f>
      </c>
      <c r="Q6302" s="43">
        <f>IF($I6302=0,0,$Q6301+$P6302+$O6302)</f>
      </c>
      <c r="R6302" s="43">
        <f>IF($I6302=0,0,$J6302-$M6302-$N6302)</f>
      </c>
    </row>
    <row r="6303">
      <c r="A6303"/>
      <c r="B6303">
        <v>14</v>
      </c>
      <c r="C6303" s="43">
        <f>INDEX(DarlObj,14)</f>
      </c>
      <c r="D6303">
        <v>60</v>
      </c>
      <c r="E6303" s="51">
        <f>IF(INDEX(DarlBelegt,14)=0,0,EOMONTH(INDEX(DarlAuszahlung,14),59)+1)</f>
      </c>
      <c r="F6303" s="43">
        <f>IF($E6303=0,0,YEAR($E6303))</f>
      </c>
      <c r="G6303" s="43">
        <f>IF(INDEX(DarlBindung,14)="",1,IF($E6303&lt;=INDEX(DarlBindung,14),1,0))</f>
      </c>
      <c r="H6303" s="43">
        <f>IF($G6303=1,INDEX(DarlSollzins,14),INDEX(DarlAnschluss,14))</f>
      </c>
      <c r="I6303" s="43">
        <f>IF(INDEX(DarlBelegt,14)=0,0,IF(INDEX(DarlOhneTilgung,14)=1,IF(INDEX(DarlBindung,14)="",1,$G6303),IF($J6303&gt;0.005,1,0)))</f>
      </c>
      <c r="J6303" s="43">
        <f>IF($I6302=0,0,$R6302)</f>
      </c>
      <c r="K6303" s="43">
        <f>IF($I6303=0,0,IF(INDEX(DarlOhneTilgung,14)=1,0,IF(AND(INDEX(DarlTilgStart,14)&gt;0,$E6303=INDEX(DarlTilgStart,14)),$J6303*($H6303+INDEX(DarlTilgung,14))/100/12,IF(AND($G6303=0,$G6302=1),MAX($K6302,$J6303*($H6303+1)/100/12),$K6302))))</f>
      </c>
      <c r="L6303" s="43">
        <f>IF($I6303=0,0,$J6303*$H6303/100/12)</f>
      </c>
      <c r="M6303" s="43">
        <f>IF($I6303=0,0,IF(OR(INDEX(DarlOhneTilgung,14)=1,AND(INDEX(DarlTilgStart,14)&gt;0,$E6303&lt;INDEX(DarlTilgStart,14))),0,MIN(MAX(0,$K6303-$L6303),$J6303)))</f>
      </c>
      <c r="N6303" s="43">
        <f>IF($I6303=0,0,MIN(SUMIFS(SondBetrag,SondDarl,14,SondDatum,"&gt;="&amp;$E6303,SondDatum,"&lt;="&amp;EOMONTH($E6303,0)),$J6303-$M6303))</f>
      </c>
      <c r="O6303" s="43">
        <f>IF($I6303=0,0,INDEX(DarlErsatzRate,14))</f>
      </c>
      <c r="P6303" s="43">
        <f>IF($I6303=0,0,$Q6302*INDEX(DarlErsatzZins,14))</f>
      </c>
      <c r="Q6303" s="43">
        <f>IF($I6303=0,0,$Q6302+$P6303+$O6303)</f>
      </c>
      <c r="R6303" s="43">
        <f>IF($I6303=0,0,$J6303-$M6303-$N6303)</f>
      </c>
    </row>
    <row r="6304">
      <c r="A6304"/>
      <c r="B6304">
        <v>14</v>
      </c>
      <c r="C6304" s="43">
        <f>INDEX(DarlObj,14)</f>
      </c>
      <c r="D6304">
        <v>61</v>
      </c>
      <c r="E6304" s="51">
        <f>IF(INDEX(DarlBelegt,14)=0,0,EOMONTH(INDEX(DarlAuszahlung,14),60)+1)</f>
      </c>
      <c r="F6304" s="43">
        <f>IF($E6304=0,0,YEAR($E6304))</f>
      </c>
      <c r="G6304" s="43">
        <f>IF(INDEX(DarlBindung,14)="",1,IF($E6304&lt;=INDEX(DarlBindung,14),1,0))</f>
      </c>
      <c r="H6304" s="43">
        <f>IF($G6304=1,INDEX(DarlSollzins,14),INDEX(DarlAnschluss,14))</f>
      </c>
      <c r="I6304" s="43">
        <f>IF(INDEX(DarlBelegt,14)=0,0,IF(INDEX(DarlOhneTilgung,14)=1,IF(INDEX(DarlBindung,14)="",1,$G6304),IF($J6304&gt;0.005,1,0)))</f>
      </c>
      <c r="J6304" s="43">
        <f>IF($I6303=0,0,$R6303)</f>
      </c>
      <c r="K6304" s="43">
        <f>IF($I6304=0,0,IF(INDEX(DarlOhneTilgung,14)=1,0,IF(AND(INDEX(DarlTilgStart,14)&gt;0,$E6304=INDEX(DarlTilgStart,14)),$J6304*($H6304+INDEX(DarlTilgung,14))/100/12,IF(AND($G6304=0,$G6303=1),MAX($K6303,$J6304*($H6304+1)/100/12),$K6303))))</f>
      </c>
      <c r="L6304" s="43">
        <f>IF($I6304=0,0,$J6304*$H6304/100/12)</f>
      </c>
      <c r="M6304" s="43">
        <f>IF($I6304=0,0,IF(OR(INDEX(DarlOhneTilgung,14)=1,AND(INDEX(DarlTilgStart,14)&gt;0,$E6304&lt;INDEX(DarlTilgStart,14))),0,MIN(MAX(0,$K6304-$L6304),$J6304)))</f>
      </c>
      <c r="N6304" s="43">
        <f>IF($I6304=0,0,MIN(SUMIFS(SondBetrag,SondDarl,14,SondDatum,"&gt;="&amp;$E6304,SondDatum,"&lt;="&amp;EOMONTH($E6304,0)),$J6304-$M6304))</f>
      </c>
      <c r="O6304" s="43">
        <f>IF($I6304=0,0,INDEX(DarlErsatzRate,14))</f>
      </c>
      <c r="P6304" s="43">
        <f>IF($I6304=0,0,$Q6303*INDEX(DarlErsatzZins,14))</f>
      </c>
      <c r="Q6304" s="43">
        <f>IF($I6304=0,0,$Q6303+$P6304+$O6304)</f>
      </c>
      <c r="R6304" s="43">
        <f>IF($I6304=0,0,$J6304-$M6304-$N6304)</f>
      </c>
    </row>
    <row r="6305">
      <c r="A6305"/>
      <c r="B6305">
        <v>14</v>
      </c>
      <c r="C6305" s="43">
        <f>INDEX(DarlObj,14)</f>
      </c>
      <c r="D6305">
        <v>62</v>
      </c>
      <c r="E6305" s="51">
        <f>IF(INDEX(DarlBelegt,14)=0,0,EOMONTH(INDEX(DarlAuszahlung,14),61)+1)</f>
      </c>
      <c r="F6305" s="43">
        <f>IF($E6305=0,0,YEAR($E6305))</f>
      </c>
      <c r="G6305" s="43">
        <f>IF(INDEX(DarlBindung,14)="",1,IF($E6305&lt;=INDEX(DarlBindung,14),1,0))</f>
      </c>
      <c r="H6305" s="43">
        <f>IF($G6305=1,INDEX(DarlSollzins,14),INDEX(DarlAnschluss,14))</f>
      </c>
      <c r="I6305" s="43">
        <f>IF(INDEX(DarlBelegt,14)=0,0,IF(INDEX(DarlOhneTilgung,14)=1,IF(INDEX(DarlBindung,14)="",1,$G6305),IF($J6305&gt;0.005,1,0)))</f>
      </c>
      <c r="J6305" s="43">
        <f>IF($I6304=0,0,$R6304)</f>
      </c>
      <c r="K6305" s="43">
        <f>IF($I6305=0,0,IF(INDEX(DarlOhneTilgung,14)=1,0,IF(AND(INDEX(DarlTilgStart,14)&gt;0,$E6305=INDEX(DarlTilgStart,14)),$J6305*($H6305+INDEX(DarlTilgung,14))/100/12,IF(AND($G6305=0,$G6304=1),MAX($K6304,$J6305*($H6305+1)/100/12),$K6304))))</f>
      </c>
      <c r="L6305" s="43">
        <f>IF($I6305=0,0,$J6305*$H6305/100/12)</f>
      </c>
      <c r="M6305" s="43">
        <f>IF($I6305=0,0,IF(OR(INDEX(DarlOhneTilgung,14)=1,AND(INDEX(DarlTilgStart,14)&gt;0,$E6305&lt;INDEX(DarlTilgStart,14))),0,MIN(MAX(0,$K6305-$L6305),$J6305)))</f>
      </c>
      <c r="N6305" s="43">
        <f>IF($I6305=0,0,MIN(SUMIFS(SondBetrag,SondDarl,14,SondDatum,"&gt;="&amp;$E6305,SondDatum,"&lt;="&amp;EOMONTH($E6305,0)),$J6305-$M6305))</f>
      </c>
      <c r="O6305" s="43">
        <f>IF($I6305=0,0,INDEX(DarlErsatzRate,14))</f>
      </c>
      <c r="P6305" s="43">
        <f>IF($I6305=0,0,$Q6304*INDEX(DarlErsatzZins,14))</f>
      </c>
      <c r="Q6305" s="43">
        <f>IF($I6305=0,0,$Q6304+$P6305+$O6305)</f>
      </c>
      <c r="R6305" s="43">
        <f>IF($I6305=0,0,$J6305-$M6305-$N6305)</f>
      </c>
    </row>
    <row r="6306">
      <c r="A6306"/>
      <c r="B6306">
        <v>14</v>
      </c>
      <c r="C6306" s="43">
        <f>INDEX(DarlObj,14)</f>
      </c>
      <c r="D6306">
        <v>63</v>
      </c>
      <c r="E6306" s="51">
        <f>IF(INDEX(DarlBelegt,14)=0,0,EOMONTH(INDEX(DarlAuszahlung,14),62)+1)</f>
      </c>
      <c r="F6306" s="43">
        <f>IF($E6306=0,0,YEAR($E6306))</f>
      </c>
      <c r="G6306" s="43">
        <f>IF(INDEX(DarlBindung,14)="",1,IF($E6306&lt;=INDEX(DarlBindung,14),1,0))</f>
      </c>
      <c r="H6306" s="43">
        <f>IF($G6306=1,INDEX(DarlSollzins,14),INDEX(DarlAnschluss,14))</f>
      </c>
      <c r="I6306" s="43">
        <f>IF(INDEX(DarlBelegt,14)=0,0,IF(INDEX(DarlOhneTilgung,14)=1,IF(INDEX(DarlBindung,14)="",1,$G6306),IF($J6306&gt;0.005,1,0)))</f>
      </c>
      <c r="J6306" s="43">
        <f>IF($I6305=0,0,$R6305)</f>
      </c>
      <c r="K6306" s="43">
        <f>IF($I6306=0,0,IF(INDEX(DarlOhneTilgung,14)=1,0,IF(AND(INDEX(DarlTilgStart,14)&gt;0,$E6306=INDEX(DarlTilgStart,14)),$J6306*($H6306+INDEX(DarlTilgung,14))/100/12,IF(AND($G6306=0,$G6305=1),MAX($K6305,$J6306*($H6306+1)/100/12),$K6305))))</f>
      </c>
      <c r="L6306" s="43">
        <f>IF($I6306=0,0,$J6306*$H6306/100/12)</f>
      </c>
      <c r="M6306" s="43">
        <f>IF($I6306=0,0,IF(OR(INDEX(DarlOhneTilgung,14)=1,AND(INDEX(DarlTilgStart,14)&gt;0,$E6306&lt;INDEX(DarlTilgStart,14))),0,MIN(MAX(0,$K6306-$L6306),$J6306)))</f>
      </c>
      <c r="N6306" s="43">
        <f>IF($I6306=0,0,MIN(SUMIFS(SondBetrag,SondDarl,14,SondDatum,"&gt;="&amp;$E6306,SondDatum,"&lt;="&amp;EOMONTH($E6306,0)),$J6306-$M6306))</f>
      </c>
      <c r="O6306" s="43">
        <f>IF($I6306=0,0,INDEX(DarlErsatzRate,14))</f>
      </c>
      <c r="P6306" s="43">
        <f>IF($I6306=0,0,$Q6305*INDEX(DarlErsatzZins,14))</f>
      </c>
      <c r="Q6306" s="43">
        <f>IF($I6306=0,0,$Q6305+$P6306+$O6306)</f>
      </c>
      <c r="R6306" s="43">
        <f>IF($I6306=0,0,$J6306-$M6306-$N6306)</f>
      </c>
    </row>
    <row r="6307">
      <c r="A6307"/>
      <c r="B6307">
        <v>14</v>
      </c>
      <c r="C6307" s="43">
        <f>INDEX(DarlObj,14)</f>
      </c>
      <c r="D6307">
        <v>64</v>
      </c>
      <c r="E6307" s="51">
        <f>IF(INDEX(DarlBelegt,14)=0,0,EOMONTH(INDEX(DarlAuszahlung,14),63)+1)</f>
      </c>
      <c r="F6307" s="43">
        <f>IF($E6307=0,0,YEAR($E6307))</f>
      </c>
      <c r="G6307" s="43">
        <f>IF(INDEX(DarlBindung,14)="",1,IF($E6307&lt;=INDEX(DarlBindung,14),1,0))</f>
      </c>
      <c r="H6307" s="43">
        <f>IF($G6307=1,INDEX(DarlSollzins,14),INDEX(DarlAnschluss,14))</f>
      </c>
      <c r="I6307" s="43">
        <f>IF(INDEX(DarlBelegt,14)=0,0,IF(INDEX(DarlOhneTilgung,14)=1,IF(INDEX(DarlBindung,14)="",1,$G6307),IF($J6307&gt;0.005,1,0)))</f>
      </c>
      <c r="J6307" s="43">
        <f>IF($I6306=0,0,$R6306)</f>
      </c>
      <c r="K6307" s="43">
        <f>IF($I6307=0,0,IF(INDEX(DarlOhneTilgung,14)=1,0,IF(AND(INDEX(DarlTilgStart,14)&gt;0,$E6307=INDEX(DarlTilgStart,14)),$J6307*($H6307+INDEX(DarlTilgung,14))/100/12,IF(AND($G6307=0,$G6306=1),MAX($K6306,$J6307*($H6307+1)/100/12),$K6306))))</f>
      </c>
      <c r="L6307" s="43">
        <f>IF($I6307=0,0,$J6307*$H6307/100/12)</f>
      </c>
      <c r="M6307" s="43">
        <f>IF($I6307=0,0,IF(OR(INDEX(DarlOhneTilgung,14)=1,AND(INDEX(DarlTilgStart,14)&gt;0,$E6307&lt;INDEX(DarlTilgStart,14))),0,MIN(MAX(0,$K6307-$L6307),$J6307)))</f>
      </c>
      <c r="N6307" s="43">
        <f>IF($I6307=0,0,MIN(SUMIFS(SondBetrag,SondDarl,14,SondDatum,"&gt;="&amp;$E6307,SondDatum,"&lt;="&amp;EOMONTH($E6307,0)),$J6307-$M6307))</f>
      </c>
      <c r="O6307" s="43">
        <f>IF($I6307=0,0,INDEX(DarlErsatzRate,14))</f>
      </c>
      <c r="P6307" s="43">
        <f>IF($I6307=0,0,$Q6306*INDEX(DarlErsatzZins,14))</f>
      </c>
      <c r="Q6307" s="43">
        <f>IF($I6307=0,0,$Q6306+$P6307+$O6307)</f>
      </c>
      <c r="R6307" s="43">
        <f>IF($I6307=0,0,$J6307-$M6307-$N6307)</f>
      </c>
    </row>
    <row r="6308">
      <c r="A6308"/>
      <c r="B6308">
        <v>14</v>
      </c>
      <c r="C6308" s="43">
        <f>INDEX(DarlObj,14)</f>
      </c>
      <c r="D6308">
        <v>65</v>
      </c>
      <c r="E6308" s="51">
        <f>IF(INDEX(DarlBelegt,14)=0,0,EOMONTH(INDEX(DarlAuszahlung,14),64)+1)</f>
      </c>
      <c r="F6308" s="43">
        <f>IF($E6308=0,0,YEAR($E6308))</f>
      </c>
      <c r="G6308" s="43">
        <f>IF(INDEX(DarlBindung,14)="",1,IF($E6308&lt;=INDEX(DarlBindung,14),1,0))</f>
      </c>
      <c r="H6308" s="43">
        <f>IF($G6308=1,INDEX(DarlSollzins,14),INDEX(DarlAnschluss,14))</f>
      </c>
      <c r="I6308" s="43">
        <f>IF(INDEX(DarlBelegt,14)=0,0,IF(INDEX(DarlOhneTilgung,14)=1,IF(INDEX(DarlBindung,14)="",1,$G6308),IF($J6308&gt;0.005,1,0)))</f>
      </c>
      <c r="J6308" s="43">
        <f>IF($I6307=0,0,$R6307)</f>
      </c>
      <c r="K6308" s="43">
        <f>IF($I6308=0,0,IF(INDEX(DarlOhneTilgung,14)=1,0,IF(AND(INDEX(DarlTilgStart,14)&gt;0,$E6308=INDEX(DarlTilgStart,14)),$J6308*($H6308+INDEX(DarlTilgung,14))/100/12,IF(AND($G6308=0,$G6307=1),MAX($K6307,$J6308*($H6308+1)/100/12),$K6307))))</f>
      </c>
      <c r="L6308" s="43">
        <f>IF($I6308=0,0,$J6308*$H6308/100/12)</f>
      </c>
      <c r="M6308" s="43">
        <f>IF($I6308=0,0,IF(OR(INDEX(DarlOhneTilgung,14)=1,AND(INDEX(DarlTilgStart,14)&gt;0,$E6308&lt;INDEX(DarlTilgStart,14))),0,MIN(MAX(0,$K6308-$L6308),$J6308)))</f>
      </c>
      <c r="N6308" s="43">
        <f>IF($I6308=0,0,MIN(SUMIFS(SondBetrag,SondDarl,14,SondDatum,"&gt;="&amp;$E6308,SondDatum,"&lt;="&amp;EOMONTH($E6308,0)),$J6308-$M6308))</f>
      </c>
      <c r="O6308" s="43">
        <f>IF($I6308=0,0,INDEX(DarlErsatzRate,14))</f>
      </c>
      <c r="P6308" s="43">
        <f>IF($I6308=0,0,$Q6307*INDEX(DarlErsatzZins,14))</f>
      </c>
      <c r="Q6308" s="43">
        <f>IF($I6308=0,0,$Q6307+$P6308+$O6308)</f>
      </c>
      <c r="R6308" s="43">
        <f>IF($I6308=0,0,$J6308-$M6308-$N6308)</f>
      </c>
    </row>
    <row r="6309">
      <c r="A6309"/>
      <c r="B6309">
        <v>14</v>
      </c>
      <c r="C6309" s="43">
        <f>INDEX(DarlObj,14)</f>
      </c>
      <c r="D6309">
        <v>66</v>
      </c>
      <c r="E6309" s="51">
        <f>IF(INDEX(DarlBelegt,14)=0,0,EOMONTH(INDEX(DarlAuszahlung,14),65)+1)</f>
      </c>
      <c r="F6309" s="43">
        <f>IF($E6309=0,0,YEAR($E6309))</f>
      </c>
      <c r="G6309" s="43">
        <f>IF(INDEX(DarlBindung,14)="",1,IF($E6309&lt;=INDEX(DarlBindung,14),1,0))</f>
      </c>
      <c r="H6309" s="43">
        <f>IF($G6309=1,INDEX(DarlSollzins,14),INDEX(DarlAnschluss,14))</f>
      </c>
      <c r="I6309" s="43">
        <f>IF(INDEX(DarlBelegt,14)=0,0,IF(INDEX(DarlOhneTilgung,14)=1,IF(INDEX(DarlBindung,14)="",1,$G6309),IF($J6309&gt;0.005,1,0)))</f>
      </c>
      <c r="J6309" s="43">
        <f>IF($I6308=0,0,$R6308)</f>
      </c>
      <c r="K6309" s="43">
        <f>IF($I6309=0,0,IF(INDEX(DarlOhneTilgung,14)=1,0,IF(AND(INDEX(DarlTilgStart,14)&gt;0,$E6309=INDEX(DarlTilgStart,14)),$J6309*($H6309+INDEX(DarlTilgung,14))/100/12,IF(AND($G6309=0,$G6308=1),MAX($K6308,$J6309*($H6309+1)/100/12),$K6308))))</f>
      </c>
      <c r="L6309" s="43">
        <f>IF($I6309=0,0,$J6309*$H6309/100/12)</f>
      </c>
      <c r="M6309" s="43">
        <f>IF($I6309=0,0,IF(OR(INDEX(DarlOhneTilgung,14)=1,AND(INDEX(DarlTilgStart,14)&gt;0,$E6309&lt;INDEX(DarlTilgStart,14))),0,MIN(MAX(0,$K6309-$L6309),$J6309)))</f>
      </c>
      <c r="N6309" s="43">
        <f>IF($I6309=0,0,MIN(SUMIFS(SondBetrag,SondDarl,14,SondDatum,"&gt;="&amp;$E6309,SondDatum,"&lt;="&amp;EOMONTH($E6309,0)),$J6309-$M6309))</f>
      </c>
      <c r="O6309" s="43">
        <f>IF($I6309=0,0,INDEX(DarlErsatzRate,14))</f>
      </c>
      <c r="P6309" s="43">
        <f>IF($I6309=0,0,$Q6308*INDEX(DarlErsatzZins,14))</f>
      </c>
      <c r="Q6309" s="43">
        <f>IF($I6309=0,0,$Q6308+$P6309+$O6309)</f>
      </c>
      <c r="R6309" s="43">
        <f>IF($I6309=0,0,$J6309-$M6309-$N6309)</f>
      </c>
    </row>
    <row r="6310">
      <c r="A6310"/>
      <c r="B6310">
        <v>14</v>
      </c>
      <c r="C6310" s="43">
        <f>INDEX(DarlObj,14)</f>
      </c>
      <c r="D6310">
        <v>67</v>
      </c>
      <c r="E6310" s="51">
        <f>IF(INDEX(DarlBelegt,14)=0,0,EOMONTH(INDEX(DarlAuszahlung,14),66)+1)</f>
      </c>
      <c r="F6310" s="43">
        <f>IF($E6310=0,0,YEAR($E6310))</f>
      </c>
      <c r="G6310" s="43">
        <f>IF(INDEX(DarlBindung,14)="",1,IF($E6310&lt;=INDEX(DarlBindung,14),1,0))</f>
      </c>
      <c r="H6310" s="43">
        <f>IF($G6310=1,INDEX(DarlSollzins,14),INDEX(DarlAnschluss,14))</f>
      </c>
      <c r="I6310" s="43">
        <f>IF(INDEX(DarlBelegt,14)=0,0,IF(INDEX(DarlOhneTilgung,14)=1,IF(INDEX(DarlBindung,14)="",1,$G6310),IF($J6310&gt;0.005,1,0)))</f>
      </c>
      <c r="J6310" s="43">
        <f>IF($I6309=0,0,$R6309)</f>
      </c>
      <c r="K6310" s="43">
        <f>IF($I6310=0,0,IF(INDEX(DarlOhneTilgung,14)=1,0,IF(AND(INDEX(DarlTilgStart,14)&gt;0,$E6310=INDEX(DarlTilgStart,14)),$J6310*($H6310+INDEX(DarlTilgung,14))/100/12,IF(AND($G6310=0,$G6309=1),MAX($K6309,$J6310*($H6310+1)/100/12),$K6309))))</f>
      </c>
      <c r="L6310" s="43">
        <f>IF($I6310=0,0,$J6310*$H6310/100/12)</f>
      </c>
      <c r="M6310" s="43">
        <f>IF($I6310=0,0,IF(OR(INDEX(DarlOhneTilgung,14)=1,AND(INDEX(DarlTilgStart,14)&gt;0,$E6310&lt;INDEX(DarlTilgStart,14))),0,MIN(MAX(0,$K6310-$L6310),$J6310)))</f>
      </c>
      <c r="N6310" s="43">
        <f>IF($I6310=0,0,MIN(SUMIFS(SondBetrag,SondDarl,14,SondDatum,"&gt;="&amp;$E6310,SondDatum,"&lt;="&amp;EOMONTH($E6310,0)),$J6310-$M6310))</f>
      </c>
      <c r="O6310" s="43">
        <f>IF($I6310=0,0,INDEX(DarlErsatzRate,14))</f>
      </c>
      <c r="P6310" s="43">
        <f>IF($I6310=0,0,$Q6309*INDEX(DarlErsatzZins,14))</f>
      </c>
      <c r="Q6310" s="43">
        <f>IF($I6310=0,0,$Q6309+$P6310+$O6310)</f>
      </c>
      <c r="R6310" s="43">
        <f>IF($I6310=0,0,$J6310-$M6310-$N6310)</f>
      </c>
    </row>
    <row r="6311">
      <c r="A6311"/>
      <c r="B6311">
        <v>14</v>
      </c>
      <c r="C6311" s="43">
        <f>INDEX(DarlObj,14)</f>
      </c>
      <c r="D6311">
        <v>68</v>
      </c>
      <c r="E6311" s="51">
        <f>IF(INDEX(DarlBelegt,14)=0,0,EOMONTH(INDEX(DarlAuszahlung,14),67)+1)</f>
      </c>
      <c r="F6311" s="43">
        <f>IF($E6311=0,0,YEAR($E6311))</f>
      </c>
      <c r="G6311" s="43">
        <f>IF(INDEX(DarlBindung,14)="",1,IF($E6311&lt;=INDEX(DarlBindung,14),1,0))</f>
      </c>
      <c r="H6311" s="43">
        <f>IF($G6311=1,INDEX(DarlSollzins,14),INDEX(DarlAnschluss,14))</f>
      </c>
      <c r="I6311" s="43">
        <f>IF(INDEX(DarlBelegt,14)=0,0,IF(INDEX(DarlOhneTilgung,14)=1,IF(INDEX(DarlBindung,14)="",1,$G6311),IF($J6311&gt;0.005,1,0)))</f>
      </c>
      <c r="J6311" s="43">
        <f>IF($I6310=0,0,$R6310)</f>
      </c>
      <c r="K6311" s="43">
        <f>IF($I6311=0,0,IF(INDEX(DarlOhneTilgung,14)=1,0,IF(AND(INDEX(DarlTilgStart,14)&gt;0,$E6311=INDEX(DarlTilgStart,14)),$J6311*($H6311+INDEX(DarlTilgung,14))/100/12,IF(AND($G6311=0,$G6310=1),MAX($K6310,$J6311*($H6311+1)/100/12),$K6310))))</f>
      </c>
      <c r="L6311" s="43">
        <f>IF($I6311=0,0,$J6311*$H6311/100/12)</f>
      </c>
      <c r="M6311" s="43">
        <f>IF($I6311=0,0,IF(OR(INDEX(DarlOhneTilgung,14)=1,AND(INDEX(DarlTilgStart,14)&gt;0,$E6311&lt;INDEX(DarlTilgStart,14))),0,MIN(MAX(0,$K6311-$L6311),$J6311)))</f>
      </c>
      <c r="N6311" s="43">
        <f>IF($I6311=0,0,MIN(SUMIFS(SondBetrag,SondDarl,14,SondDatum,"&gt;="&amp;$E6311,SondDatum,"&lt;="&amp;EOMONTH($E6311,0)),$J6311-$M6311))</f>
      </c>
      <c r="O6311" s="43">
        <f>IF($I6311=0,0,INDEX(DarlErsatzRate,14))</f>
      </c>
      <c r="P6311" s="43">
        <f>IF($I6311=0,0,$Q6310*INDEX(DarlErsatzZins,14))</f>
      </c>
      <c r="Q6311" s="43">
        <f>IF($I6311=0,0,$Q6310+$P6311+$O6311)</f>
      </c>
      <c r="R6311" s="43">
        <f>IF($I6311=0,0,$J6311-$M6311-$N6311)</f>
      </c>
    </row>
    <row r="6312">
      <c r="A6312"/>
      <c r="B6312">
        <v>14</v>
      </c>
      <c r="C6312" s="43">
        <f>INDEX(DarlObj,14)</f>
      </c>
      <c r="D6312">
        <v>69</v>
      </c>
      <c r="E6312" s="51">
        <f>IF(INDEX(DarlBelegt,14)=0,0,EOMONTH(INDEX(DarlAuszahlung,14),68)+1)</f>
      </c>
      <c r="F6312" s="43">
        <f>IF($E6312=0,0,YEAR($E6312))</f>
      </c>
      <c r="G6312" s="43">
        <f>IF(INDEX(DarlBindung,14)="",1,IF($E6312&lt;=INDEX(DarlBindung,14),1,0))</f>
      </c>
      <c r="H6312" s="43">
        <f>IF($G6312=1,INDEX(DarlSollzins,14),INDEX(DarlAnschluss,14))</f>
      </c>
      <c r="I6312" s="43">
        <f>IF(INDEX(DarlBelegt,14)=0,0,IF(INDEX(DarlOhneTilgung,14)=1,IF(INDEX(DarlBindung,14)="",1,$G6312),IF($J6312&gt;0.005,1,0)))</f>
      </c>
      <c r="J6312" s="43">
        <f>IF($I6311=0,0,$R6311)</f>
      </c>
      <c r="K6312" s="43">
        <f>IF($I6312=0,0,IF(INDEX(DarlOhneTilgung,14)=1,0,IF(AND(INDEX(DarlTilgStart,14)&gt;0,$E6312=INDEX(DarlTilgStart,14)),$J6312*($H6312+INDEX(DarlTilgung,14))/100/12,IF(AND($G6312=0,$G6311=1),MAX($K6311,$J6312*($H6312+1)/100/12),$K6311))))</f>
      </c>
      <c r="L6312" s="43">
        <f>IF($I6312=0,0,$J6312*$H6312/100/12)</f>
      </c>
      <c r="M6312" s="43">
        <f>IF($I6312=0,0,IF(OR(INDEX(DarlOhneTilgung,14)=1,AND(INDEX(DarlTilgStart,14)&gt;0,$E6312&lt;INDEX(DarlTilgStart,14))),0,MIN(MAX(0,$K6312-$L6312),$J6312)))</f>
      </c>
      <c r="N6312" s="43">
        <f>IF($I6312=0,0,MIN(SUMIFS(SondBetrag,SondDarl,14,SondDatum,"&gt;="&amp;$E6312,SondDatum,"&lt;="&amp;EOMONTH($E6312,0)),$J6312-$M6312))</f>
      </c>
      <c r="O6312" s="43">
        <f>IF($I6312=0,0,INDEX(DarlErsatzRate,14))</f>
      </c>
      <c r="P6312" s="43">
        <f>IF($I6312=0,0,$Q6311*INDEX(DarlErsatzZins,14))</f>
      </c>
      <c r="Q6312" s="43">
        <f>IF($I6312=0,0,$Q6311+$P6312+$O6312)</f>
      </c>
      <c r="R6312" s="43">
        <f>IF($I6312=0,0,$J6312-$M6312-$N6312)</f>
      </c>
    </row>
    <row r="6313">
      <c r="A6313"/>
      <c r="B6313">
        <v>14</v>
      </c>
      <c r="C6313" s="43">
        <f>INDEX(DarlObj,14)</f>
      </c>
      <c r="D6313">
        <v>70</v>
      </c>
      <c r="E6313" s="51">
        <f>IF(INDEX(DarlBelegt,14)=0,0,EOMONTH(INDEX(DarlAuszahlung,14),69)+1)</f>
      </c>
      <c r="F6313" s="43">
        <f>IF($E6313=0,0,YEAR($E6313))</f>
      </c>
      <c r="G6313" s="43">
        <f>IF(INDEX(DarlBindung,14)="",1,IF($E6313&lt;=INDEX(DarlBindung,14),1,0))</f>
      </c>
      <c r="H6313" s="43">
        <f>IF($G6313=1,INDEX(DarlSollzins,14),INDEX(DarlAnschluss,14))</f>
      </c>
      <c r="I6313" s="43">
        <f>IF(INDEX(DarlBelegt,14)=0,0,IF(INDEX(DarlOhneTilgung,14)=1,IF(INDEX(DarlBindung,14)="",1,$G6313),IF($J6313&gt;0.005,1,0)))</f>
      </c>
      <c r="J6313" s="43">
        <f>IF($I6312=0,0,$R6312)</f>
      </c>
      <c r="K6313" s="43">
        <f>IF($I6313=0,0,IF(INDEX(DarlOhneTilgung,14)=1,0,IF(AND(INDEX(DarlTilgStart,14)&gt;0,$E6313=INDEX(DarlTilgStart,14)),$J6313*($H6313+INDEX(DarlTilgung,14))/100/12,IF(AND($G6313=0,$G6312=1),MAX($K6312,$J6313*($H6313+1)/100/12),$K6312))))</f>
      </c>
      <c r="L6313" s="43">
        <f>IF($I6313=0,0,$J6313*$H6313/100/12)</f>
      </c>
      <c r="M6313" s="43">
        <f>IF($I6313=0,0,IF(OR(INDEX(DarlOhneTilgung,14)=1,AND(INDEX(DarlTilgStart,14)&gt;0,$E6313&lt;INDEX(DarlTilgStart,14))),0,MIN(MAX(0,$K6313-$L6313),$J6313)))</f>
      </c>
      <c r="N6313" s="43">
        <f>IF($I6313=0,0,MIN(SUMIFS(SondBetrag,SondDarl,14,SondDatum,"&gt;="&amp;$E6313,SondDatum,"&lt;="&amp;EOMONTH($E6313,0)),$J6313-$M6313))</f>
      </c>
      <c r="O6313" s="43">
        <f>IF($I6313=0,0,INDEX(DarlErsatzRate,14))</f>
      </c>
      <c r="P6313" s="43">
        <f>IF($I6313=0,0,$Q6312*INDEX(DarlErsatzZins,14))</f>
      </c>
      <c r="Q6313" s="43">
        <f>IF($I6313=0,0,$Q6312+$P6313+$O6313)</f>
      </c>
      <c r="R6313" s="43">
        <f>IF($I6313=0,0,$J6313-$M6313-$N6313)</f>
      </c>
    </row>
    <row r="6314">
      <c r="A6314"/>
      <c r="B6314">
        <v>14</v>
      </c>
      <c r="C6314" s="43">
        <f>INDEX(DarlObj,14)</f>
      </c>
      <c r="D6314">
        <v>71</v>
      </c>
      <c r="E6314" s="51">
        <f>IF(INDEX(DarlBelegt,14)=0,0,EOMONTH(INDEX(DarlAuszahlung,14),70)+1)</f>
      </c>
      <c r="F6314" s="43">
        <f>IF($E6314=0,0,YEAR($E6314))</f>
      </c>
      <c r="G6314" s="43">
        <f>IF(INDEX(DarlBindung,14)="",1,IF($E6314&lt;=INDEX(DarlBindung,14),1,0))</f>
      </c>
      <c r="H6314" s="43">
        <f>IF($G6314=1,INDEX(DarlSollzins,14),INDEX(DarlAnschluss,14))</f>
      </c>
      <c r="I6314" s="43">
        <f>IF(INDEX(DarlBelegt,14)=0,0,IF(INDEX(DarlOhneTilgung,14)=1,IF(INDEX(DarlBindung,14)="",1,$G6314),IF($J6314&gt;0.005,1,0)))</f>
      </c>
      <c r="J6314" s="43">
        <f>IF($I6313=0,0,$R6313)</f>
      </c>
      <c r="K6314" s="43">
        <f>IF($I6314=0,0,IF(INDEX(DarlOhneTilgung,14)=1,0,IF(AND(INDEX(DarlTilgStart,14)&gt;0,$E6314=INDEX(DarlTilgStart,14)),$J6314*($H6314+INDEX(DarlTilgung,14))/100/12,IF(AND($G6314=0,$G6313=1),MAX($K6313,$J6314*($H6314+1)/100/12),$K6313))))</f>
      </c>
      <c r="L6314" s="43">
        <f>IF($I6314=0,0,$J6314*$H6314/100/12)</f>
      </c>
      <c r="M6314" s="43">
        <f>IF($I6314=0,0,IF(OR(INDEX(DarlOhneTilgung,14)=1,AND(INDEX(DarlTilgStart,14)&gt;0,$E6314&lt;INDEX(DarlTilgStart,14))),0,MIN(MAX(0,$K6314-$L6314),$J6314)))</f>
      </c>
      <c r="N6314" s="43">
        <f>IF($I6314=0,0,MIN(SUMIFS(SondBetrag,SondDarl,14,SondDatum,"&gt;="&amp;$E6314,SondDatum,"&lt;="&amp;EOMONTH($E6314,0)),$J6314-$M6314))</f>
      </c>
      <c r="O6314" s="43">
        <f>IF($I6314=0,0,INDEX(DarlErsatzRate,14))</f>
      </c>
      <c r="P6314" s="43">
        <f>IF($I6314=0,0,$Q6313*INDEX(DarlErsatzZins,14))</f>
      </c>
      <c r="Q6314" s="43">
        <f>IF($I6314=0,0,$Q6313+$P6314+$O6314)</f>
      </c>
      <c r="R6314" s="43">
        <f>IF($I6314=0,0,$J6314-$M6314-$N6314)</f>
      </c>
    </row>
    <row r="6315">
      <c r="A6315"/>
      <c r="B6315">
        <v>14</v>
      </c>
      <c r="C6315" s="43">
        <f>INDEX(DarlObj,14)</f>
      </c>
      <c r="D6315">
        <v>72</v>
      </c>
      <c r="E6315" s="51">
        <f>IF(INDEX(DarlBelegt,14)=0,0,EOMONTH(INDEX(DarlAuszahlung,14),71)+1)</f>
      </c>
      <c r="F6315" s="43">
        <f>IF($E6315=0,0,YEAR($E6315))</f>
      </c>
      <c r="G6315" s="43">
        <f>IF(INDEX(DarlBindung,14)="",1,IF($E6315&lt;=INDEX(DarlBindung,14),1,0))</f>
      </c>
      <c r="H6315" s="43">
        <f>IF($G6315=1,INDEX(DarlSollzins,14),INDEX(DarlAnschluss,14))</f>
      </c>
      <c r="I6315" s="43">
        <f>IF(INDEX(DarlBelegt,14)=0,0,IF(INDEX(DarlOhneTilgung,14)=1,IF(INDEX(DarlBindung,14)="",1,$G6315),IF($J6315&gt;0.005,1,0)))</f>
      </c>
      <c r="J6315" s="43">
        <f>IF($I6314=0,0,$R6314)</f>
      </c>
      <c r="K6315" s="43">
        <f>IF($I6315=0,0,IF(INDEX(DarlOhneTilgung,14)=1,0,IF(AND(INDEX(DarlTilgStart,14)&gt;0,$E6315=INDEX(DarlTilgStart,14)),$J6315*($H6315+INDEX(DarlTilgung,14))/100/12,IF(AND($G6315=0,$G6314=1),MAX($K6314,$J6315*($H6315+1)/100/12),$K6314))))</f>
      </c>
      <c r="L6315" s="43">
        <f>IF($I6315=0,0,$J6315*$H6315/100/12)</f>
      </c>
      <c r="M6315" s="43">
        <f>IF($I6315=0,0,IF(OR(INDEX(DarlOhneTilgung,14)=1,AND(INDEX(DarlTilgStart,14)&gt;0,$E6315&lt;INDEX(DarlTilgStart,14))),0,MIN(MAX(0,$K6315-$L6315),$J6315)))</f>
      </c>
      <c r="N6315" s="43">
        <f>IF($I6315=0,0,MIN(SUMIFS(SondBetrag,SondDarl,14,SondDatum,"&gt;="&amp;$E6315,SondDatum,"&lt;="&amp;EOMONTH($E6315,0)),$J6315-$M6315))</f>
      </c>
      <c r="O6315" s="43">
        <f>IF($I6315=0,0,INDEX(DarlErsatzRate,14))</f>
      </c>
      <c r="P6315" s="43">
        <f>IF($I6315=0,0,$Q6314*INDEX(DarlErsatzZins,14))</f>
      </c>
      <c r="Q6315" s="43">
        <f>IF($I6315=0,0,$Q6314+$P6315+$O6315)</f>
      </c>
      <c r="R6315" s="43">
        <f>IF($I6315=0,0,$J6315-$M6315-$N6315)</f>
      </c>
    </row>
    <row r="6316">
      <c r="A6316"/>
      <c r="B6316">
        <v>14</v>
      </c>
      <c r="C6316" s="43">
        <f>INDEX(DarlObj,14)</f>
      </c>
      <c r="D6316">
        <v>73</v>
      </c>
      <c r="E6316" s="51">
        <f>IF(INDEX(DarlBelegt,14)=0,0,EOMONTH(INDEX(DarlAuszahlung,14),72)+1)</f>
      </c>
      <c r="F6316" s="43">
        <f>IF($E6316=0,0,YEAR($E6316))</f>
      </c>
      <c r="G6316" s="43">
        <f>IF(INDEX(DarlBindung,14)="",1,IF($E6316&lt;=INDEX(DarlBindung,14),1,0))</f>
      </c>
      <c r="H6316" s="43">
        <f>IF($G6316=1,INDEX(DarlSollzins,14),INDEX(DarlAnschluss,14))</f>
      </c>
      <c r="I6316" s="43">
        <f>IF(INDEX(DarlBelegt,14)=0,0,IF(INDEX(DarlOhneTilgung,14)=1,IF(INDEX(DarlBindung,14)="",1,$G6316),IF($J6316&gt;0.005,1,0)))</f>
      </c>
      <c r="J6316" s="43">
        <f>IF($I6315=0,0,$R6315)</f>
      </c>
      <c r="K6316" s="43">
        <f>IF($I6316=0,0,IF(INDEX(DarlOhneTilgung,14)=1,0,IF(AND(INDEX(DarlTilgStart,14)&gt;0,$E6316=INDEX(DarlTilgStart,14)),$J6316*($H6316+INDEX(DarlTilgung,14))/100/12,IF(AND($G6316=0,$G6315=1),MAX($K6315,$J6316*($H6316+1)/100/12),$K6315))))</f>
      </c>
      <c r="L6316" s="43">
        <f>IF($I6316=0,0,$J6316*$H6316/100/12)</f>
      </c>
      <c r="M6316" s="43">
        <f>IF($I6316=0,0,IF(OR(INDEX(DarlOhneTilgung,14)=1,AND(INDEX(DarlTilgStart,14)&gt;0,$E6316&lt;INDEX(DarlTilgStart,14))),0,MIN(MAX(0,$K6316-$L6316),$J6316)))</f>
      </c>
      <c r="N6316" s="43">
        <f>IF($I6316=0,0,MIN(SUMIFS(SondBetrag,SondDarl,14,SondDatum,"&gt;="&amp;$E6316,SondDatum,"&lt;="&amp;EOMONTH($E6316,0)),$J6316-$M6316))</f>
      </c>
      <c r="O6316" s="43">
        <f>IF($I6316=0,0,INDEX(DarlErsatzRate,14))</f>
      </c>
      <c r="P6316" s="43">
        <f>IF($I6316=0,0,$Q6315*INDEX(DarlErsatzZins,14))</f>
      </c>
      <c r="Q6316" s="43">
        <f>IF($I6316=0,0,$Q6315+$P6316+$O6316)</f>
      </c>
      <c r="R6316" s="43">
        <f>IF($I6316=0,0,$J6316-$M6316-$N6316)</f>
      </c>
    </row>
    <row r="6317">
      <c r="A6317"/>
      <c r="B6317">
        <v>14</v>
      </c>
      <c r="C6317" s="43">
        <f>INDEX(DarlObj,14)</f>
      </c>
      <c r="D6317">
        <v>74</v>
      </c>
      <c r="E6317" s="51">
        <f>IF(INDEX(DarlBelegt,14)=0,0,EOMONTH(INDEX(DarlAuszahlung,14),73)+1)</f>
      </c>
      <c r="F6317" s="43">
        <f>IF($E6317=0,0,YEAR($E6317))</f>
      </c>
      <c r="G6317" s="43">
        <f>IF(INDEX(DarlBindung,14)="",1,IF($E6317&lt;=INDEX(DarlBindung,14),1,0))</f>
      </c>
      <c r="H6317" s="43">
        <f>IF($G6317=1,INDEX(DarlSollzins,14),INDEX(DarlAnschluss,14))</f>
      </c>
      <c r="I6317" s="43">
        <f>IF(INDEX(DarlBelegt,14)=0,0,IF(INDEX(DarlOhneTilgung,14)=1,IF(INDEX(DarlBindung,14)="",1,$G6317),IF($J6317&gt;0.005,1,0)))</f>
      </c>
      <c r="J6317" s="43">
        <f>IF($I6316=0,0,$R6316)</f>
      </c>
      <c r="K6317" s="43">
        <f>IF($I6317=0,0,IF(INDEX(DarlOhneTilgung,14)=1,0,IF(AND(INDEX(DarlTilgStart,14)&gt;0,$E6317=INDEX(DarlTilgStart,14)),$J6317*($H6317+INDEX(DarlTilgung,14))/100/12,IF(AND($G6317=0,$G6316=1),MAX($K6316,$J6317*($H6317+1)/100/12),$K6316))))</f>
      </c>
      <c r="L6317" s="43">
        <f>IF($I6317=0,0,$J6317*$H6317/100/12)</f>
      </c>
      <c r="M6317" s="43">
        <f>IF($I6317=0,0,IF(OR(INDEX(DarlOhneTilgung,14)=1,AND(INDEX(DarlTilgStart,14)&gt;0,$E6317&lt;INDEX(DarlTilgStart,14))),0,MIN(MAX(0,$K6317-$L6317),$J6317)))</f>
      </c>
      <c r="N6317" s="43">
        <f>IF($I6317=0,0,MIN(SUMIFS(SondBetrag,SondDarl,14,SondDatum,"&gt;="&amp;$E6317,SondDatum,"&lt;="&amp;EOMONTH($E6317,0)),$J6317-$M6317))</f>
      </c>
      <c r="O6317" s="43">
        <f>IF($I6317=0,0,INDEX(DarlErsatzRate,14))</f>
      </c>
      <c r="P6317" s="43">
        <f>IF($I6317=0,0,$Q6316*INDEX(DarlErsatzZins,14))</f>
      </c>
      <c r="Q6317" s="43">
        <f>IF($I6317=0,0,$Q6316+$P6317+$O6317)</f>
      </c>
      <c r="R6317" s="43">
        <f>IF($I6317=0,0,$J6317-$M6317-$N6317)</f>
      </c>
    </row>
    <row r="6318">
      <c r="A6318"/>
      <c r="B6318">
        <v>14</v>
      </c>
      <c r="C6318" s="43">
        <f>INDEX(DarlObj,14)</f>
      </c>
      <c r="D6318">
        <v>75</v>
      </c>
      <c r="E6318" s="51">
        <f>IF(INDEX(DarlBelegt,14)=0,0,EOMONTH(INDEX(DarlAuszahlung,14),74)+1)</f>
      </c>
      <c r="F6318" s="43">
        <f>IF($E6318=0,0,YEAR($E6318))</f>
      </c>
      <c r="G6318" s="43">
        <f>IF(INDEX(DarlBindung,14)="",1,IF($E6318&lt;=INDEX(DarlBindung,14),1,0))</f>
      </c>
      <c r="H6318" s="43">
        <f>IF($G6318=1,INDEX(DarlSollzins,14),INDEX(DarlAnschluss,14))</f>
      </c>
      <c r="I6318" s="43">
        <f>IF(INDEX(DarlBelegt,14)=0,0,IF(INDEX(DarlOhneTilgung,14)=1,IF(INDEX(DarlBindung,14)="",1,$G6318),IF($J6318&gt;0.005,1,0)))</f>
      </c>
      <c r="J6318" s="43">
        <f>IF($I6317=0,0,$R6317)</f>
      </c>
      <c r="K6318" s="43">
        <f>IF($I6318=0,0,IF(INDEX(DarlOhneTilgung,14)=1,0,IF(AND(INDEX(DarlTilgStart,14)&gt;0,$E6318=INDEX(DarlTilgStart,14)),$J6318*($H6318+INDEX(DarlTilgung,14))/100/12,IF(AND($G6318=0,$G6317=1),MAX($K6317,$J6318*($H6318+1)/100/12),$K6317))))</f>
      </c>
      <c r="L6318" s="43">
        <f>IF($I6318=0,0,$J6318*$H6318/100/12)</f>
      </c>
      <c r="M6318" s="43">
        <f>IF($I6318=0,0,IF(OR(INDEX(DarlOhneTilgung,14)=1,AND(INDEX(DarlTilgStart,14)&gt;0,$E6318&lt;INDEX(DarlTilgStart,14))),0,MIN(MAX(0,$K6318-$L6318),$J6318)))</f>
      </c>
      <c r="N6318" s="43">
        <f>IF($I6318=0,0,MIN(SUMIFS(SondBetrag,SondDarl,14,SondDatum,"&gt;="&amp;$E6318,SondDatum,"&lt;="&amp;EOMONTH($E6318,0)),$J6318-$M6318))</f>
      </c>
      <c r="O6318" s="43">
        <f>IF($I6318=0,0,INDEX(DarlErsatzRate,14))</f>
      </c>
      <c r="P6318" s="43">
        <f>IF($I6318=0,0,$Q6317*INDEX(DarlErsatzZins,14))</f>
      </c>
      <c r="Q6318" s="43">
        <f>IF($I6318=0,0,$Q6317+$P6318+$O6318)</f>
      </c>
      <c r="R6318" s="43">
        <f>IF($I6318=0,0,$J6318-$M6318-$N6318)</f>
      </c>
    </row>
    <row r="6319">
      <c r="A6319"/>
      <c r="B6319">
        <v>14</v>
      </c>
      <c r="C6319" s="43">
        <f>INDEX(DarlObj,14)</f>
      </c>
      <c r="D6319">
        <v>76</v>
      </c>
      <c r="E6319" s="51">
        <f>IF(INDEX(DarlBelegt,14)=0,0,EOMONTH(INDEX(DarlAuszahlung,14),75)+1)</f>
      </c>
      <c r="F6319" s="43">
        <f>IF($E6319=0,0,YEAR($E6319))</f>
      </c>
      <c r="G6319" s="43">
        <f>IF(INDEX(DarlBindung,14)="",1,IF($E6319&lt;=INDEX(DarlBindung,14),1,0))</f>
      </c>
      <c r="H6319" s="43">
        <f>IF($G6319=1,INDEX(DarlSollzins,14),INDEX(DarlAnschluss,14))</f>
      </c>
      <c r="I6319" s="43">
        <f>IF(INDEX(DarlBelegt,14)=0,0,IF(INDEX(DarlOhneTilgung,14)=1,IF(INDEX(DarlBindung,14)="",1,$G6319),IF($J6319&gt;0.005,1,0)))</f>
      </c>
      <c r="J6319" s="43">
        <f>IF($I6318=0,0,$R6318)</f>
      </c>
      <c r="K6319" s="43">
        <f>IF($I6319=0,0,IF(INDEX(DarlOhneTilgung,14)=1,0,IF(AND(INDEX(DarlTilgStart,14)&gt;0,$E6319=INDEX(DarlTilgStart,14)),$J6319*($H6319+INDEX(DarlTilgung,14))/100/12,IF(AND($G6319=0,$G6318=1),MAX($K6318,$J6319*($H6319+1)/100/12),$K6318))))</f>
      </c>
      <c r="L6319" s="43">
        <f>IF($I6319=0,0,$J6319*$H6319/100/12)</f>
      </c>
      <c r="M6319" s="43">
        <f>IF($I6319=0,0,IF(OR(INDEX(DarlOhneTilgung,14)=1,AND(INDEX(DarlTilgStart,14)&gt;0,$E6319&lt;INDEX(DarlTilgStart,14))),0,MIN(MAX(0,$K6319-$L6319),$J6319)))</f>
      </c>
      <c r="N6319" s="43">
        <f>IF($I6319=0,0,MIN(SUMIFS(SondBetrag,SondDarl,14,SondDatum,"&gt;="&amp;$E6319,SondDatum,"&lt;="&amp;EOMONTH($E6319,0)),$J6319-$M6319))</f>
      </c>
      <c r="O6319" s="43">
        <f>IF($I6319=0,0,INDEX(DarlErsatzRate,14))</f>
      </c>
      <c r="P6319" s="43">
        <f>IF($I6319=0,0,$Q6318*INDEX(DarlErsatzZins,14))</f>
      </c>
      <c r="Q6319" s="43">
        <f>IF($I6319=0,0,$Q6318+$P6319+$O6319)</f>
      </c>
      <c r="R6319" s="43">
        <f>IF($I6319=0,0,$J6319-$M6319-$N6319)</f>
      </c>
    </row>
    <row r="6320">
      <c r="A6320"/>
      <c r="B6320">
        <v>14</v>
      </c>
      <c r="C6320" s="43">
        <f>INDEX(DarlObj,14)</f>
      </c>
      <c r="D6320">
        <v>77</v>
      </c>
      <c r="E6320" s="51">
        <f>IF(INDEX(DarlBelegt,14)=0,0,EOMONTH(INDEX(DarlAuszahlung,14),76)+1)</f>
      </c>
      <c r="F6320" s="43">
        <f>IF($E6320=0,0,YEAR($E6320))</f>
      </c>
      <c r="G6320" s="43">
        <f>IF(INDEX(DarlBindung,14)="",1,IF($E6320&lt;=INDEX(DarlBindung,14),1,0))</f>
      </c>
      <c r="H6320" s="43">
        <f>IF($G6320=1,INDEX(DarlSollzins,14),INDEX(DarlAnschluss,14))</f>
      </c>
      <c r="I6320" s="43">
        <f>IF(INDEX(DarlBelegt,14)=0,0,IF(INDEX(DarlOhneTilgung,14)=1,IF(INDEX(DarlBindung,14)="",1,$G6320),IF($J6320&gt;0.005,1,0)))</f>
      </c>
      <c r="J6320" s="43">
        <f>IF($I6319=0,0,$R6319)</f>
      </c>
      <c r="K6320" s="43">
        <f>IF($I6320=0,0,IF(INDEX(DarlOhneTilgung,14)=1,0,IF(AND(INDEX(DarlTilgStart,14)&gt;0,$E6320=INDEX(DarlTilgStart,14)),$J6320*($H6320+INDEX(DarlTilgung,14))/100/12,IF(AND($G6320=0,$G6319=1),MAX($K6319,$J6320*($H6320+1)/100/12),$K6319))))</f>
      </c>
      <c r="L6320" s="43">
        <f>IF($I6320=0,0,$J6320*$H6320/100/12)</f>
      </c>
      <c r="M6320" s="43">
        <f>IF($I6320=0,0,IF(OR(INDEX(DarlOhneTilgung,14)=1,AND(INDEX(DarlTilgStart,14)&gt;0,$E6320&lt;INDEX(DarlTilgStart,14))),0,MIN(MAX(0,$K6320-$L6320),$J6320)))</f>
      </c>
      <c r="N6320" s="43">
        <f>IF($I6320=0,0,MIN(SUMIFS(SondBetrag,SondDarl,14,SondDatum,"&gt;="&amp;$E6320,SondDatum,"&lt;="&amp;EOMONTH($E6320,0)),$J6320-$M6320))</f>
      </c>
      <c r="O6320" s="43">
        <f>IF($I6320=0,0,INDEX(DarlErsatzRate,14))</f>
      </c>
      <c r="P6320" s="43">
        <f>IF($I6320=0,0,$Q6319*INDEX(DarlErsatzZins,14))</f>
      </c>
      <c r="Q6320" s="43">
        <f>IF($I6320=0,0,$Q6319+$P6320+$O6320)</f>
      </c>
      <c r="R6320" s="43">
        <f>IF($I6320=0,0,$J6320-$M6320-$N6320)</f>
      </c>
    </row>
    <row r="6321">
      <c r="A6321"/>
      <c r="B6321">
        <v>14</v>
      </c>
      <c r="C6321" s="43">
        <f>INDEX(DarlObj,14)</f>
      </c>
      <c r="D6321">
        <v>78</v>
      </c>
      <c r="E6321" s="51">
        <f>IF(INDEX(DarlBelegt,14)=0,0,EOMONTH(INDEX(DarlAuszahlung,14),77)+1)</f>
      </c>
      <c r="F6321" s="43">
        <f>IF($E6321=0,0,YEAR($E6321))</f>
      </c>
      <c r="G6321" s="43">
        <f>IF(INDEX(DarlBindung,14)="",1,IF($E6321&lt;=INDEX(DarlBindung,14),1,0))</f>
      </c>
      <c r="H6321" s="43">
        <f>IF($G6321=1,INDEX(DarlSollzins,14),INDEX(DarlAnschluss,14))</f>
      </c>
      <c r="I6321" s="43">
        <f>IF(INDEX(DarlBelegt,14)=0,0,IF(INDEX(DarlOhneTilgung,14)=1,IF(INDEX(DarlBindung,14)="",1,$G6321),IF($J6321&gt;0.005,1,0)))</f>
      </c>
      <c r="J6321" s="43">
        <f>IF($I6320=0,0,$R6320)</f>
      </c>
      <c r="K6321" s="43">
        <f>IF($I6321=0,0,IF(INDEX(DarlOhneTilgung,14)=1,0,IF(AND(INDEX(DarlTilgStart,14)&gt;0,$E6321=INDEX(DarlTilgStart,14)),$J6321*($H6321+INDEX(DarlTilgung,14))/100/12,IF(AND($G6321=0,$G6320=1),MAX($K6320,$J6321*($H6321+1)/100/12),$K6320))))</f>
      </c>
      <c r="L6321" s="43">
        <f>IF($I6321=0,0,$J6321*$H6321/100/12)</f>
      </c>
      <c r="M6321" s="43">
        <f>IF($I6321=0,0,IF(OR(INDEX(DarlOhneTilgung,14)=1,AND(INDEX(DarlTilgStart,14)&gt;0,$E6321&lt;INDEX(DarlTilgStart,14))),0,MIN(MAX(0,$K6321-$L6321),$J6321)))</f>
      </c>
      <c r="N6321" s="43">
        <f>IF($I6321=0,0,MIN(SUMIFS(SondBetrag,SondDarl,14,SondDatum,"&gt;="&amp;$E6321,SondDatum,"&lt;="&amp;EOMONTH($E6321,0)),$J6321-$M6321))</f>
      </c>
      <c r="O6321" s="43">
        <f>IF($I6321=0,0,INDEX(DarlErsatzRate,14))</f>
      </c>
      <c r="P6321" s="43">
        <f>IF($I6321=0,0,$Q6320*INDEX(DarlErsatzZins,14))</f>
      </c>
      <c r="Q6321" s="43">
        <f>IF($I6321=0,0,$Q6320+$P6321+$O6321)</f>
      </c>
      <c r="R6321" s="43">
        <f>IF($I6321=0,0,$J6321-$M6321-$N6321)</f>
      </c>
    </row>
    <row r="6322">
      <c r="A6322"/>
      <c r="B6322">
        <v>14</v>
      </c>
      <c r="C6322" s="43">
        <f>INDEX(DarlObj,14)</f>
      </c>
      <c r="D6322">
        <v>79</v>
      </c>
      <c r="E6322" s="51">
        <f>IF(INDEX(DarlBelegt,14)=0,0,EOMONTH(INDEX(DarlAuszahlung,14),78)+1)</f>
      </c>
      <c r="F6322" s="43">
        <f>IF($E6322=0,0,YEAR($E6322))</f>
      </c>
      <c r="G6322" s="43">
        <f>IF(INDEX(DarlBindung,14)="",1,IF($E6322&lt;=INDEX(DarlBindung,14),1,0))</f>
      </c>
      <c r="H6322" s="43">
        <f>IF($G6322=1,INDEX(DarlSollzins,14),INDEX(DarlAnschluss,14))</f>
      </c>
      <c r="I6322" s="43">
        <f>IF(INDEX(DarlBelegt,14)=0,0,IF(INDEX(DarlOhneTilgung,14)=1,IF(INDEX(DarlBindung,14)="",1,$G6322),IF($J6322&gt;0.005,1,0)))</f>
      </c>
      <c r="J6322" s="43">
        <f>IF($I6321=0,0,$R6321)</f>
      </c>
      <c r="K6322" s="43">
        <f>IF($I6322=0,0,IF(INDEX(DarlOhneTilgung,14)=1,0,IF(AND(INDEX(DarlTilgStart,14)&gt;0,$E6322=INDEX(DarlTilgStart,14)),$J6322*($H6322+INDEX(DarlTilgung,14))/100/12,IF(AND($G6322=0,$G6321=1),MAX($K6321,$J6322*($H6322+1)/100/12),$K6321))))</f>
      </c>
      <c r="L6322" s="43">
        <f>IF($I6322=0,0,$J6322*$H6322/100/12)</f>
      </c>
      <c r="M6322" s="43">
        <f>IF($I6322=0,0,IF(OR(INDEX(DarlOhneTilgung,14)=1,AND(INDEX(DarlTilgStart,14)&gt;0,$E6322&lt;INDEX(DarlTilgStart,14))),0,MIN(MAX(0,$K6322-$L6322),$J6322)))</f>
      </c>
      <c r="N6322" s="43">
        <f>IF($I6322=0,0,MIN(SUMIFS(SondBetrag,SondDarl,14,SondDatum,"&gt;="&amp;$E6322,SondDatum,"&lt;="&amp;EOMONTH($E6322,0)),$J6322-$M6322))</f>
      </c>
      <c r="O6322" s="43">
        <f>IF($I6322=0,0,INDEX(DarlErsatzRate,14))</f>
      </c>
      <c r="P6322" s="43">
        <f>IF($I6322=0,0,$Q6321*INDEX(DarlErsatzZins,14))</f>
      </c>
      <c r="Q6322" s="43">
        <f>IF($I6322=0,0,$Q6321+$P6322+$O6322)</f>
      </c>
      <c r="R6322" s="43">
        <f>IF($I6322=0,0,$J6322-$M6322-$N6322)</f>
      </c>
    </row>
    <row r="6323">
      <c r="A6323"/>
      <c r="B6323">
        <v>14</v>
      </c>
      <c r="C6323" s="43">
        <f>INDEX(DarlObj,14)</f>
      </c>
      <c r="D6323">
        <v>80</v>
      </c>
      <c r="E6323" s="51">
        <f>IF(INDEX(DarlBelegt,14)=0,0,EOMONTH(INDEX(DarlAuszahlung,14),79)+1)</f>
      </c>
      <c r="F6323" s="43">
        <f>IF($E6323=0,0,YEAR($E6323))</f>
      </c>
      <c r="G6323" s="43">
        <f>IF(INDEX(DarlBindung,14)="",1,IF($E6323&lt;=INDEX(DarlBindung,14),1,0))</f>
      </c>
      <c r="H6323" s="43">
        <f>IF($G6323=1,INDEX(DarlSollzins,14),INDEX(DarlAnschluss,14))</f>
      </c>
      <c r="I6323" s="43">
        <f>IF(INDEX(DarlBelegt,14)=0,0,IF(INDEX(DarlOhneTilgung,14)=1,IF(INDEX(DarlBindung,14)="",1,$G6323),IF($J6323&gt;0.005,1,0)))</f>
      </c>
      <c r="J6323" s="43">
        <f>IF($I6322=0,0,$R6322)</f>
      </c>
      <c r="K6323" s="43">
        <f>IF($I6323=0,0,IF(INDEX(DarlOhneTilgung,14)=1,0,IF(AND(INDEX(DarlTilgStart,14)&gt;0,$E6323=INDEX(DarlTilgStart,14)),$J6323*($H6323+INDEX(DarlTilgung,14))/100/12,IF(AND($G6323=0,$G6322=1),MAX($K6322,$J6323*($H6323+1)/100/12),$K6322))))</f>
      </c>
      <c r="L6323" s="43">
        <f>IF($I6323=0,0,$J6323*$H6323/100/12)</f>
      </c>
      <c r="M6323" s="43">
        <f>IF($I6323=0,0,IF(OR(INDEX(DarlOhneTilgung,14)=1,AND(INDEX(DarlTilgStart,14)&gt;0,$E6323&lt;INDEX(DarlTilgStart,14))),0,MIN(MAX(0,$K6323-$L6323),$J6323)))</f>
      </c>
      <c r="N6323" s="43">
        <f>IF($I6323=0,0,MIN(SUMIFS(SondBetrag,SondDarl,14,SondDatum,"&gt;="&amp;$E6323,SondDatum,"&lt;="&amp;EOMONTH($E6323,0)),$J6323-$M6323))</f>
      </c>
      <c r="O6323" s="43">
        <f>IF($I6323=0,0,INDEX(DarlErsatzRate,14))</f>
      </c>
      <c r="P6323" s="43">
        <f>IF($I6323=0,0,$Q6322*INDEX(DarlErsatzZins,14))</f>
      </c>
      <c r="Q6323" s="43">
        <f>IF($I6323=0,0,$Q6322+$P6323+$O6323)</f>
      </c>
      <c r="R6323" s="43">
        <f>IF($I6323=0,0,$J6323-$M6323-$N6323)</f>
      </c>
    </row>
    <row r="6324">
      <c r="A6324"/>
      <c r="B6324">
        <v>14</v>
      </c>
      <c r="C6324" s="43">
        <f>INDEX(DarlObj,14)</f>
      </c>
      <c r="D6324">
        <v>81</v>
      </c>
      <c r="E6324" s="51">
        <f>IF(INDEX(DarlBelegt,14)=0,0,EOMONTH(INDEX(DarlAuszahlung,14),80)+1)</f>
      </c>
      <c r="F6324" s="43">
        <f>IF($E6324=0,0,YEAR($E6324))</f>
      </c>
      <c r="G6324" s="43">
        <f>IF(INDEX(DarlBindung,14)="",1,IF($E6324&lt;=INDEX(DarlBindung,14),1,0))</f>
      </c>
      <c r="H6324" s="43">
        <f>IF($G6324=1,INDEX(DarlSollzins,14),INDEX(DarlAnschluss,14))</f>
      </c>
      <c r="I6324" s="43">
        <f>IF(INDEX(DarlBelegt,14)=0,0,IF(INDEX(DarlOhneTilgung,14)=1,IF(INDEX(DarlBindung,14)="",1,$G6324),IF($J6324&gt;0.005,1,0)))</f>
      </c>
      <c r="J6324" s="43">
        <f>IF($I6323=0,0,$R6323)</f>
      </c>
      <c r="K6324" s="43">
        <f>IF($I6324=0,0,IF(INDEX(DarlOhneTilgung,14)=1,0,IF(AND(INDEX(DarlTilgStart,14)&gt;0,$E6324=INDEX(DarlTilgStart,14)),$J6324*($H6324+INDEX(DarlTilgung,14))/100/12,IF(AND($G6324=0,$G6323=1),MAX($K6323,$J6324*($H6324+1)/100/12),$K6323))))</f>
      </c>
      <c r="L6324" s="43">
        <f>IF($I6324=0,0,$J6324*$H6324/100/12)</f>
      </c>
      <c r="M6324" s="43">
        <f>IF($I6324=0,0,IF(OR(INDEX(DarlOhneTilgung,14)=1,AND(INDEX(DarlTilgStart,14)&gt;0,$E6324&lt;INDEX(DarlTilgStart,14))),0,MIN(MAX(0,$K6324-$L6324),$J6324)))</f>
      </c>
      <c r="N6324" s="43">
        <f>IF($I6324=0,0,MIN(SUMIFS(SondBetrag,SondDarl,14,SondDatum,"&gt;="&amp;$E6324,SondDatum,"&lt;="&amp;EOMONTH($E6324,0)),$J6324-$M6324))</f>
      </c>
      <c r="O6324" s="43">
        <f>IF($I6324=0,0,INDEX(DarlErsatzRate,14))</f>
      </c>
      <c r="P6324" s="43">
        <f>IF($I6324=0,0,$Q6323*INDEX(DarlErsatzZins,14))</f>
      </c>
      <c r="Q6324" s="43">
        <f>IF($I6324=0,0,$Q6323+$P6324+$O6324)</f>
      </c>
      <c r="R6324" s="43">
        <f>IF($I6324=0,0,$J6324-$M6324-$N6324)</f>
      </c>
    </row>
    <row r="6325">
      <c r="A6325"/>
      <c r="B6325">
        <v>14</v>
      </c>
      <c r="C6325" s="43">
        <f>INDEX(DarlObj,14)</f>
      </c>
      <c r="D6325">
        <v>82</v>
      </c>
      <c r="E6325" s="51">
        <f>IF(INDEX(DarlBelegt,14)=0,0,EOMONTH(INDEX(DarlAuszahlung,14),81)+1)</f>
      </c>
      <c r="F6325" s="43">
        <f>IF($E6325=0,0,YEAR($E6325))</f>
      </c>
      <c r="G6325" s="43">
        <f>IF(INDEX(DarlBindung,14)="",1,IF($E6325&lt;=INDEX(DarlBindung,14),1,0))</f>
      </c>
      <c r="H6325" s="43">
        <f>IF($G6325=1,INDEX(DarlSollzins,14),INDEX(DarlAnschluss,14))</f>
      </c>
      <c r="I6325" s="43">
        <f>IF(INDEX(DarlBelegt,14)=0,0,IF(INDEX(DarlOhneTilgung,14)=1,IF(INDEX(DarlBindung,14)="",1,$G6325),IF($J6325&gt;0.005,1,0)))</f>
      </c>
      <c r="J6325" s="43">
        <f>IF($I6324=0,0,$R6324)</f>
      </c>
      <c r="K6325" s="43">
        <f>IF($I6325=0,0,IF(INDEX(DarlOhneTilgung,14)=1,0,IF(AND(INDEX(DarlTilgStart,14)&gt;0,$E6325=INDEX(DarlTilgStart,14)),$J6325*($H6325+INDEX(DarlTilgung,14))/100/12,IF(AND($G6325=0,$G6324=1),MAX($K6324,$J6325*($H6325+1)/100/12),$K6324))))</f>
      </c>
      <c r="L6325" s="43">
        <f>IF($I6325=0,0,$J6325*$H6325/100/12)</f>
      </c>
      <c r="M6325" s="43">
        <f>IF($I6325=0,0,IF(OR(INDEX(DarlOhneTilgung,14)=1,AND(INDEX(DarlTilgStart,14)&gt;0,$E6325&lt;INDEX(DarlTilgStart,14))),0,MIN(MAX(0,$K6325-$L6325),$J6325)))</f>
      </c>
      <c r="N6325" s="43">
        <f>IF($I6325=0,0,MIN(SUMIFS(SondBetrag,SondDarl,14,SondDatum,"&gt;="&amp;$E6325,SondDatum,"&lt;="&amp;EOMONTH($E6325,0)),$J6325-$M6325))</f>
      </c>
      <c r="O6325" s="43">
        <f>IF($I6325=0,0,INDEX(DarlErsatzRate,14))</f>
      </c>
      <c r="P6325" s="43">
        <f>IF($I6325=0,0,$Q6324*INDEX(DarlErsatzZins,14))</f>
      </c>
      <c r="Q6325" s="43">
        <f>IF($I6325=0,0,$Q6324+$P6325+$O6325)</f>
      </c>
      <c r="R6325" s="43">
        <f>IF($I6325=0,0,$J6325-$M6325-$N6325)</f>
      </c>
    </row>
    <row r="6326">
      <c r="A6326"/>
      <c r="B6326">
        <v>14</v>
      </c>
      <c r="C6326" s="43">
        <f>INDEX(DarlObj,14)</f>
      </c>
      <c r="D6326">
        <v>83</v>
      </c>
      <c r="E6326" s="51">
        <f>IF(INDEX(DarlBelegt,14)=0,0,EOMONTH(INDEX(DarlAuszahlung,14),82)+1)</f>
      </c>
      <c r="F6326" s="43">
        <f>IF($E6326=0,0,YEAR($E6326))</f>
      </c>
      <c r="G6326" s="43">
        <f>IF(INDEX(DarlBindung,14)="",1,IF($E6326&lt;=INDEX(DarlBindung,14),1,0))</f>
      </c>
      <c r="H6326" s="43">
        <f>IF($G6326=1,INDEX(DarlSollzins,14),INDEX(DarlAnschluss,14))</f>
      </c>
      <c r="I6326" s="43">
        <f>IF(INDEX(DarlBelegt,14)=0,0,IF(INDEX(DarlOhneTilgung,14)=1,IF(INDEX(DarlBindung,14)="",1,$G6326),IF($J6326&gt;0.005,1,0)))</f>
      </c>
      <c r="J6326" s="43">
        <f>IF($I6325=0,0,$R6325)</f>
      </c>
      <c r="K6326" s="43">
        <f>IF($I6326=0,0,IF(INDEX(DarlOhneTilgung,14)=1,0,IF(AND(INDEX(DarlTilgStart,14)&gt;0,$E6326=INDEX(DarlTilgStart,14)),$J6326*($H6326+INDEX(DarlTilgung,14))/100/12,IF(AND($G6326=0,$G6325=1),MAX($K6325,$J6326*($H6326+1)/100/12),$K6325))))</f>
      </c>
      <c r="L6326" s="43">
        <f>IF($I6326=0,0,$J6326*$H6326/100/12)</f>
      </c>
      <c r="M6326" s="43">
        <f>IF($I6326=0,0,IF(OR(INDEX(DarlOhneTilgung,14)=1,AND(INDEX(DarlTilgStart,14)&gt;0,$E6326&lt;INDEX(DarlTilgStart,14))),0,MIN(MAX(0,$K6326-$L6326),$J6326)))</f>
      </c>
      <c r="N6326" s="43">
        <f>IF($I6326=0,0,MIN(SUMIFS(SondBetrag,SondDarl,14,SondDatum,"&gt;="&amp;$E6326,SondDatum,"&lt;="&amp;EOMONTH($E6326,0)),$J6326-$M6326))</f>
      </c>
      <c r="O6326" s="43">
        <f>IF($I6326=0,0,INDEX(DarlErsatzRate,14))</f>
      </c>
      <c r="P6326" s="43">
        <f>IF($I6326=0,0,$Q6325*INDEX(DarlErsatzZins,14))</f>
      </c>
      <c r="Q6326" s="43">
        <f>IF($I6326=0,0,$Q6325+$P6326+$O6326)</f>
      </c>
      <c r="R6326" s="43">
        <f>IF($I6326=0,0,$J6326-$M6326-$N6326)</f>
      </c>
    </row>
    <row r="6327">
      <c r="A6327"/>
      <c r="B6327">
        <v>14</v>
      </c>
      <c r="C6327" s="43">
        <f>INDEX(DarlObj,14)</f>
      </c>
      <c r="D6327">
        <v>84</v>
      </c>
      <c r="E6327" s="51">
        <f>IF(INDEX(DarlBelegt,14)=0,0,EOMONTH(INDEX(DarlAuszahlung,14),83)+1)</f>
      </c>
      <c r="F6327" s="43">
        <f>IF($E6327=0,0,YEAR($E6327))</f>
      </c>
      <c r="G6327" s="43">
        <f>IF(INDEX(DarlBindung,14)="",1,IF($E6327&lt;=INDEX(DarlBindung,14),1,0))</f>
      </c>
      <c r="H6327" s="43">
        <f>IF($G6327=1,INDEX(DarlSollzins,14),INDEX(DarlAnschluss,14))</f>
      </c>
      <c r="I6327" s="43">
        <f>IF(INDEX(DarlBelegt,14)=0,0,IF(INDEX(DarlOhneTilgung,14)=1,IF(INDEX(DarlBindung,14)="",1,$G6327),IF($J6327&gt;0.005,1,0)))</f>
      </c>
      <c r="J6327" s="43">
        <f>IF($I6326=0,0,$R6326)</f>
      </c>
      <c r="K6327" s="43">
        <f>IF($I6327=0,0,IF(INDEX(DarlOhneTilgung,14)=1,0,IF(AND(INDEX(DarlTilgStart,14)&gt;0,$E6327=INDEX(DarlTilgStart,14)),$J6327*($H6327+INDEX(DarlTilgung,14))/100/12,IF(AND($G6327=0,$G6326=1),MAX($K6326,$J6327*($H6327+1)/100/12),$K6326))))</f>
      </c>
      <c r="L6327" s="43">
        <f>IF($I6327=0,0,$J6327*$H6327/100/12)</f>
      </c>
      <c r="M6327" s="43">
        <f>IF($I6327=0,0,IF(OR(INDEX(DarlOhneTilgung,14)=1,AND(INDEX(DarlTilgStart,14)&gt;0,$E6327&lt;INDEX(DarlTilgStart,14))),0,MIN(MAX(0,$K6327-$L6327),$J6327)))</f>
      </c>
      <c r="N6327" s="43">
        <f>IF($I6327=0,0,MIN(SUMIFS(SondBetrag,SondDarl,14,SondDatum,"&gt;="&amp;$E6327,SondDatum,"&lt;="&amp;EOMONTH($E6327,0)),$J6327-$M6327))</f>
      </c>
      <c r="O6327" s="43">
        <f>IF($I6327=0,0,INDEX(DarlErsatzRate,14))</f>
      </c>
      <c r="P6327" s="43">
        <f>IF($I6327=0,0,$Q6326*INDEX(DarlErsatzZins,14))</f>
      </c>
      <c r="Q6327" s="43">
        <f>IF($I6327=0,0,$Q6326+$P6327+$O6327)</f>
      </c>
      <c r="R6327" s="43">
        <f>IF($I6327=0,0,$J6327-$M6327-$N6327)</f>
      </c>
    </row>
    <row r="6328">
      <c r="A6328"/>
      <c r="B6328">
        <v>14</v>
      </c>
      <c r="C6328" s="43">
        <f>INDEX(DarlObj,14)</f>
      </c>
      <c r="D6328">
        <v>85</v>
      </c>
      <c r="E6328" s="51">
        <f>IF(INDEX(DarlBelegt,14)=0,0,EOMONTH(INDEX(DarlAuszahlung,14),84)+1)</f>
      </c>
      <c r="F6328" s="43">
        <f>IF($E6328=0,0,YEAR($E6328))</f>
      </c>
      <c r="G6328" s="43">
        <f>IF(INDEX(DarlBindung,14)="",1,IF($E6328&lt;=INDEX(DarlBindung,14),1,0))</f>
      </c>
      <c r="H6328" s="43">
        <f>IF($G6328=1,INDEX(DarlSollzins,14),INDEX(DarlAnschluss,14))</f>
      </c>
      <c r="I6328" s="43">
        <f>IF(INDEX(DarlBelegt,14)=0,0,IF(INDEX(DarlOhneTilgung,14)=1,IF(INDEX(DarlBindung,14)="",1,$G6328),IF($J6328&gt;0.005,1,0)))</f>
      </c>
      <c r="J6328" s="43">
        <f>IF($I6327=0,0,$R6327)</f>
      </c>
      <c r="K6328" s="43">
        <f>IF($I6328=0,0,IF(INDEX(DarlOhneTilgung,14)=1,0,IF(AND(INDEX(DarlTilgStart,14)&gt;0,$E6328=INDEX(DarlTilgStart,14)),$J6328*($H6328+INDEX(DarlTilgung,14))/100/12,IF(AND($G6328=0,$G6327=1),MAX($K6327,$J6328*($H6328+1)/100/12),$K6327))))</f>
      </c>
      <c r="L6328" s="43">
        <f>IF($I6328=0,0,$J6328*$H6328/100/12)</f>
      </c>
      <c r="M6328" s="43">
        <f>IF($I6328=0,0,IF(OR(INDEX(DarlOhneTilgung,14)=1,AND(INDEX(DarlTilgStart,14)&gt;0,$E6328&lt;INDEX(DarlTilgStart,14))),0,MIN(MAX(0,$K6328-$L6328),$J6328)))</f>
      </c>
      <c r="N6328" s="43">
        <f>IF($I6328=0,0,MIN(SUMIFS(SondBetrag,SondDarl,14,SondDatum,"&gt;="&amp;$E6328,SondDatum,"&lt;="&amp;EOMONTH($E6328,0)),$J6328-$M6328))</f>
      </c>
      <c r="O6328" s="43">
        <f>IF($I6328=0,0,INDEX(DarlErsatzRate,14))</f>
      </c>
      <c r="P6328" s="43">
        <f>IF($I6328=0,0,$Q6327*INDEX(DarlErsatzZins,14))</f>
      </c>
      <c r="Q6328" s="43">
        <f>IF($I6328=0,0,$Q6327+$P6328+$O6328)</f>
      </c>
      <c r="R6328" s="43">
        <f>IF($I6328=0,0,$J6328-$M6328-$N6328)</f>
      </c>
    </row>
    <row r="6329">
      <c r="A6329"/>
      <c r="B6329">
        <v>14</v>
      </c>
      <c r="C6329" s="43">
        <f>INDEX(DarlObj,14)</f>
      </c>
      <c r="D6329">
        <v>86</v>
      </c>
      <c r="E6329" s="51">
        <f>IF(INDEX(DarlBelegt,14)=0,0,EOMONTH(INDEX(DarlAuszahlung,14),85)+1)</f>
      </c>
      <c r="F6329" s="43">
        <f>IF($E6329=0,0,YEAR($E6329))</f>
      </c>
      <c r="G6329" s="43">
        <f>IF(INDEX(DarlBindung,14)="",1,IF($E6329&lt;=INDEX(DarlBindung,14),1,0))</f>
      </c>
      <c r="H6329" s="43">
        <f>IF($G6329=1,INDEX(DarlSollzins,14),INDEX(DarlAnschluss,14))</f>
      </c>
      <c r="I6329" s="43">
        <f>IF(INDEX(DarlBelegt,14)=0,0,IF(INDEX(DarlOhneTilgung,14)=1,IF(INDEX(DarlBindung,14)="",1,$G6329),IF($J6329&gt;0.005,1,0)))</f>
      </c>
      <c r="J6329" s="43">
        <f>IF($I6328=0,0,$R6328)</f>
      </c>
      <c r="K6329" s="43">
        <f>IF($I6329=0,0,IF(INDEX(DarlOhneTilgung,14)=1,0,IF(AND(INDEX(DarlTilgStart,14)&gt;0,$E6329=INDEX(DarlTilgStart,14)),$J6329*($H6329+INDEX(DarlTilgung,14))/100/12,IF(AND($G6329=0,$G6328=1),MAX($K6328,$J6329*($H6329+1)/100/12),$K6328))))</f>
      </c>
      <c r="L6329" s="43">
        <f>IF($I6329=0,0,$J6329*$H6329/100/12)</f>
      </c>
      <c r="M6329" s="43">
        <f>IF($I6329=0,0,IF(OR(INDEX(DarlOhneTilgung,14)=1,AND(INDEX(DarlTilgStart,14)&gt;0,$E6329&lt;INDEX(DarlTilgStart,14))),0,MIN(MAX(0,$K6329-$L6329),$J6329)))</f>
      </c>
      <c r="N6329" s="43">
        <f>IF($I6329=0,0,MIN(SUMIFS(SondBetrag,SondDarl,14,SondDatum,"&gt;="&amp;$E6329,SondDatum,"&lt;="&amp;EOMONTH($E6329,0)),$J6329-$M6329))</f>
      </c>
      <c r="O6329" s="43">
        <f>IF($I6329=0,0,INDEX(DarlErsatzRate,14))</f>
      </c>
      <c r="P6329" s="43">
        <f>IF($I6329=0,0,$Q6328*INDEX(DarlErsatzZins,14))</f>
      </c>
      <c r="Q6329" s="43">
        <f>IF($I6329=0,0,$Q6328+$P6329+$O6329)</f>
      </c>
      <c r="R6329" s="43">
        <f>IF($I6329=0,0,$J6329-$M6329-$N6329)</f>
      </c>
    </row>
    <row r="6330">
      <c r="A6330"/>
      <c r="B6330">
        <v>14</v>
      </c>
      <c r="C6330" s="43">
        <f>INDEX(DarlObj,14)</f>
      </c>
      <c r="D6330">
        <v>87</v>
      </c>
      <c r="E6330" s="51">
        <f>IF(INDEX(DarlBelegt,14)=0,0,EOMONTH(INDEX(DarlAuszahlung,14),86)+1)</f>
      </c>
      <c r="F6330" s="43">
        <f>IF($E6330=0,0,YEAR($E6330))</f>
      </c>
      <c r="G6330" s="43">
        <f>IF(INDEX(DarlBindung,14)="",1,IF($E6330&lt;=INDEX(DarlBindung,14),1,0))</f>
      </c>
      <c r="H6330" s="43">
        <f>IF($G6330=1,INDEX(DarlSollzins,14),INDEX(DarlAnschluss,14))</f>
      </c>
      <c r="I6330" s="43">
        <f>IF(INDEX(DarlBelegt,14)=0,0,IF(INDEX(DarlOhneTilgung,14)=1,IF(INDEX(DarlBindung,14)="",1,$G6330),IF($J6330&gt;0.005,1,0)))</f>
      </c>
      <c r="J6330" s="43">
        <f>IF($I6329=0,0,$R6329)</f>
      </c>
      <c r="K6330" s="43">
        <f>IF($I6330=0,0,IF(INDEX(DarlOhneTilgung,14)=1,0,IF(AND(INDEX(DarlTilgStart,14)&gt;0,$E6330=INDEX(DarlTilgStart,14)),$J6330*($H6330+INDEX(DarlTilgung,14))/100/12,IF(AND($G6330=0,$G6329=1),MAX($K6329,$J6330*($H6330+1)/100/12),$K6329))))</f>
      </c>
      <c r="L6330" s="43">
        <f>IF($I6330=0,0,$J6330*$H6330/100/12)</f>
      </c>
      <c r="M6330" s="43">
        <f>IF($I6330=0,0,IF(OR(INDEX(DarlOhneTilgung,14)=1,AND(INDEX(DarlTilgStart,14)&gt;0,$E6330&lt;INDEX(DarlTilgStart,14))),0,MIN(MAX(0,$K6330-$L6330),$J6330)))</f>
      </c>
      <c r="N6330" s="43">
        <f>IF($I6330=0,0,MIN(SUMIFS(SondBetrag,SondDarl,14,SondDatum,"&gt;="&amp;$E6330,SondDatum,"&lt;="&amp;EOMONTH($E6330,0)),$J6330-$M6330))</f>
      </c>
      <c r="O6330" s="43">
        <f>IF($I6330=0,0,INDEX(DarlErsatzRate,14))</f>
      </c>
      <c r="P6330" s="43">
        <f>IF($I6330=0,0,$Q6329*INDEX(DarlErsatzZins,14))</f>
      </c>
      <c r="Q6330" s="43">
        <f>IF($I6330=0,0,$Q6329+$P6330+$O6330)</f>
      </c>
      <c r="R6330" s="43">
        <f>IF($I6330=0,0,$J6330-$M6330-$N6330)</f>
      </c>
    </row>
    <row r="6331">
      <c r="A6331"/>
      <c r="B6331">
        <v>14</v>
      </c>
      <c r="C6331" s="43">
        <f>INDEX(DarlObj,14)</f>
      </c>
      <c r="D6331">
        <v>88</v>
      </c>
      <c r="E6331" s="51">
        <f>IF(INDEX(DarlBelegt,14)=0,0,EOMONTH(INDEX(DarlAuszahlung,14),87)+1)</f>
      </c>
      <c r="F6331" s="43">
        <f>IF($E6331=0,0,YEAR($E6331))</f>
      </c>
      <c r="G6331" s="43">
        <f>IF(INDEX(DarlBindung,14)="",1,IF($E6331&lt;=INDEX(DarlBindung,14),1,0))</f>
      </c>
      <c r="H6331" s="43">
        <f>IF($G6331=1,INDEX(DarlSollzins,14),INDEX(DarlAnschluss,14))</f>
      </c>
      <c r="I6331" s="43">
        <f>IF(INDEX(DarlBelegt,14)=0,0,IF(INDEX(DarlOhneTilgung,14)=1,IF(INDEX(DarlBindung,14)="",1,$G6331),IF($J6331&gt;0.005,1,0)))</f>
      </c>
      <c r="J6331" s="43">
        <f>IF($I6330=0,0,$R6330)</f>
      </c>
      <c r="K6331" s="43">
        <f>IF($I6331=0,0,IF(INDEX(DarlOhneTilgung,14)=1,0,IF(AND(INDEX(DarlTilgStart,14)&gt;0,$E6331=INDEX(DarlTilgStart,14)),$J6331*($H6331+INDEX(DarlTilgung,14))/100/12,IF(AND($G6331=0,$G6330=1),MAX($K6330,$J6331*($H6331+1)/100/12),$K6330))))</f>
      </c>
      <c r="L6331" s="43">
        <f>IF($I6331=0,0,$J6331*$H6331/100/12)</f>
      </c>
      <c r="M6331" s="43">
        <f>IF($I6331=0,0,IF(OR(INDEX(DarlOhneTilgung,14)=1,AND(INDEX(DarlTilgStart,14)&gt;0,$E6331&lt;INDEX(DarlTilgStart,14))),0,MIN(MAX(0,$K6331-$L6331),$J6331)))</f>
      </c>
      <c r="N6331" s="43">
        <f>IF($I6331=0,0,MIN(SUMIFS(SondBetrag,SondDarl,14,SondDatum,"&gt;="&amp;$E6331,SondDatum,"&lt;="&amp;EOMONTH($E6331,0)),$J6331-$M6331))</f>
      </c>
      <c r="O6331" s="43">
        <f>IF($I6331=0,0,INDEX(DarlErsatzRate,14))</f>
      </c>
      <c r="P6331" s="43">
        <f>IF($I6331=0,0,$Q6330*INDEX(DarlErsatzZins,14))</f>
      </c>
      <c r="Q6331" s="43">
        <f>IF($I6331=0,0,$Q6330+$P6331+$O6331)</f>
      </c>
      <c r="R6331" s="43">
        <f>IF($I6331=0,0,$J6331-$M6331-$N6331)</f>
      </c>
    </row>
    <row r="6332">
      <c r="A6332"/>
      <c r="B6332">
        <v>14</v>
      </c>
      <c r="C6332" s="43">
        <f>INDEX(DarlObj,14)</f>
      </c>
      <c r="D6332">
        <v>89</v>
      </c>
      <c r="E6332" s="51">
        <f>IF(INDEX(DarlBelegt,14)=0,0,EOMONTH(INDEX(DarlAuszahlung,14),88)+1)</f>
      </c>
      <c r="F6332" s="43">
        <f>IF($E6332=0,0,YEAR($E6332))</f>
      </c>
      <c r="G6332" s="43">
        <f>IF(INDEX(DarlBindung,14)="",1,IF($E6332&lt;=INDEX(DarlBindung,14),1,0))</f>
      </c>
      <c r="H6332" s="43">
        <f>IF($G6332=1,INDEX(DarlSollzins,14),INDEX(DarlAnschluss,14))</f>
      </c>
      <c r="I6332" s="43">
        <f>IF(INDEX(DarlBelegt,14)=0,0,IF(INDEX(DarlOhneTilgung,14)=1,IF(INDEX(DarlBindung,14)="",1,$G6332),IF($J6332&gt;0.005,1,0)))</f>
      </c>
      <c r="J6332" s="43">
        <f>IF($I6331=0,0,$R6331)</f>
      </c>
      <c r="K6332" s="43">
        <f>IF($I6332=0,0,IF(INDEX(DarlOhneTilgung,14)=1,0,IF(AND(INDEX(DarlTilgStart,14)&gt;0,$E6332=INDEX(DarlTilgStart,14)),$J6332*($H6332+INDEX(DarlTilgung,14))/100/12,IF(AND($G6332=0,$G6331=1),MAX($K6331,$J6332*($H6332+1)/100/12),$K6331))))</f>
      </c>
      <c r="L6332" s="43">
        <f>IF($I6332=0,0,$J6332*$H6332/100/12)</f>
      </c>
      <c r="M6332" s="43">
        <f>IF($I6332=0,0,IF(OR(INDEX(DarlOhneTilgung,14)=1,AND(INDEX(DarlTilgStart,14)&gt;0,$E6332&lt;INDEX(DarlTilgStart,14))),0,MIN(MAX(0,$K6332-$L6332),$J6332)))</f>
      </c>
      <c r="N6332" s="43">
        <f>IF($I6332=0,0,MIN(SUMIFS(SondBetrag,SondDarl,14,SondDatum,"&gt;="&amp;$E6332,SondDatum,"&lt;="&amp;EOMONTH($E6332,0)),$J6332-$M6332))</f>
      </c>
      <c r="O6332" s="43">
        <f>IF($I6332=0,0,INDEX(DarlErsatzRate,14))</f>
      </c>
      <c r="P6332" s="43">
        <f>IF($I6332=0,0,$Q6331*INDEX(DarlErsatzZins,14))</f>
      </c>
      <c r="Q6332" s="43">
        <f>IF($I6332=0,0,$Q6331+$P6332+$O6332)</f>
      </c>
      <c r="R6332" s="43">
        <f>IF($I6332=0,0,$J6332-$M6332-$N6332)</f>
      </c>
    </row>
    <row r="6333">
      <c r="A6333"/>
      <c r="B6333">
        <v>14</v>
      </c>
      <c r="C6333" s="43">
        <f>INDEX(DarlObj,14)</f>
      </c>
      <c r="D6333">
        <v>90</v>
      </c>
      <c r="E6333" s="51">
        <f>IF(INDEX(DarlBelegt,14)=0,0,EOMONTH(INDEX(DarlAuszahlung,14),89)+1)</f>
      </c>
      <c r="F6333" s="43">
        <f>IF($E6333=0,0,YEAR($E6333))</f>
      </c>
      <c r="G6333" s="43">
        <f>IF(INDEX(DarlBindung,14)="",1,IF($E6333&lt;=INDEX(DarlBindung,14),1,0))</f>
      </c>
      <c r="H6333" s="43">
        <f>IF($G6333=1,INDEX(DarlSollzins,14),INDEX(DarlAnschluss,14))</f>
      </c>
      <c r="I6333" s="43">
        <f>IF(INDEX(DarlBelegt,14)=0,0,IF(INDEX(DarlOhneTilgung,14)=1,IF(INDEX(DarlBindung,14)="",1,$G6333),IF($J6333&gt;0.005,1,0)))</f>
      </c>
      <c r="J6333" s="43">
        <f>IF($I6332=0,0,$R6332)</f>
      </c>
      <c r="K6333" s="43">
        <f>IF($I6333=0,0,IF(INDEX(DarlOhneTilgung,14)=1,0,IF(AND(INDEX(DarlTilgStart,14)&gt;0,$E6333=INDEX(DarlTilgStart,14)),$J6333*($H6333+INDEX(DarlTilgung,14))/100/12,IF(AND($G6333=0,$G6332=1),MAX($K6332,$J6333*($H6333+1)/100/12),$K6332))))</f>
      </c>
      <c r="L6333" s="43">
        <f>IF($I6333=0,0,$J6333*$H6333/100/12)</f>
      </c>
      <c r="M6333" s="43">
        <f>IF($I6333=0,0,IF(OR(INDEX(DarlOhneTilgung,14)=1,AND(INDEX(DarlTilgStart,14)&gt;0,$E6333&lt;INDEX(DarlTilgStart,14))),0,MIN(MAX(0,$K6333-$L6333),$J6333)))</f>
      </c>
      <c r="N6333" s="43">
        <f>IF($I6333=0,0,MIN(SUMIFS(SondBetrag,SondDarl,14,SondDatum,"&gt;="&amp;$E6333,SondDatum,"&lt;="&amp;EOMONTH($E6333,0)),$J6333-$M6333))</f>
      </c>
      <c r="O6333" s="43">
        <f>IF($I6333=0,0,INDEX(DarlErsatzRate,14))</f>
      </c>
      <c r="P6333" s="43">
        <f>IF($I6333=0,0,$Q6332*INDEX(DarlErsatzZins,14))</f>
      </c>
      <c r="Q6333" s="43">
        <f>IF($I6333=0,0,$Q6332+$P6333+$O6333)</f>
      </c>
      <c r="R6333" s="43">
        <f>IF($I6333=0,0,$J6333-$M6333-$N6333)</f>
      </c>
    </row>
    <row r="6334">
      <c r="A6334"/>
      <c r="B6334">
        <v>14</v>
      </c>
      <c r="C6334" s="43">
        <f>INDEX(DarlObj,14)</f>
      </c>
      <c r="D6334">
        <v>91</v>
      </c>
      <c r="E6334" s="51">
        <f>IF(INDEX(DarlBelegt,14)=0,0,EOMONTH(INDEX(DarlAuszahlung,14),90)+1)</f>
      </c>
      <c r="F6334" s="43">
        <f>IF($E6334=0,0,YEAR($E6334))</f>
      </c>
      <c r="G6334" s="43">
        <f>IF(INDEX(DarlBindung,14)="",1,IF($E6334&lt;=INDEX(DarlBindung,14),1,0))</f>
      </c>
      <c r="H6334" s="43">
        <f>IF($G6334=1,INDEX(DarlSollzins,14),INDEX(DarlAnschluss,14))</f>
      </c>
      <c r="I6334" s="43">
        <f>IF(INDEX(DarlBelegt,14)=0,0,IF(INDEX(DarlOhneTilgung,14)=1,IF(INDEX(DarlBindung,14)="",1,$G6334),IF($J6334&gt;0.005,1,0)))</f>
      </c>
      <c r="J6334" s="43">
        <f>IF($I6333=0,0,$R6333)</f>
      </c>
      <c r="K6334" s="43">
        <f>IF($I6334=0,0,IF(INDEX(DarlOhneTilgung,14)=1,0,IF(AND(INDEX(DarlTilgStart,14)&gt;0,$E6334=INDEX(DarlTilgStart,14)),$J6334*($H6334+INDEX(DarlTilgung,14))/100/12,IF(AND($G6334=0,$G6333=1),MAX($K6333,$J6334*($H6334+1)/100/12),$K6333))))</f>
      </c>
      <c r="L6334" s="43">
        <f>IF($I6334=0,0,$J6334*$H6334/100/12)</f>
      </c>
      <c r="M6334" s="43">
        <f>IF($I6334=0,0,IF(OR(INDEX(DarlOhneTilgung,14)=1,AND(INDEX(DarlTilgStart,14)&gt;0,$E6334&lt;INDEX(DarlTilgStart,14))),0,MIN(MAX(0,$K6334-$L6334),$J6334)))</f>
      </c>
      <c r="N6334" s="43">
        <f>IF($I6334=0,0,MIN(SUMIFS(SondBetrag,SondDarl,14,SondDatum,"&gt;="&amp;$E6334,SondDatum,"&lt;="&amp;EOMONTH($E6334,0)),$J6334-$M6334))</f>
      </c>
      <c r="O6334" s="43">
        <f>IF($I6334=0,0,INDEX(DarlErsatzRate,14))</f>
      </c>
      <c r="P6334" s="43">
        <f>IF($I6334=0,0,$Q6333*INDEX(DarlErsatzZins,14))</f>
      </c>
      <c r="Q6334" s="43">
        <f>IF($I6334=0,0,$Q6333+$P6334+$O6334)</f>
      </c>
      <c r="R6334" s="43">
        <f>IF($I6334=0,0,$J6334-$M6334-$N6334)</f>
      </c>
    </row>
    <row r="6335">
      <c r="A6335"/>
      <c r="B6335">
        <v>14</v>
      </c>
      <c r="C6335" s="43">
        <f>INDEX(DarlObj,14)</f>
      </c>
      <c r="D6335">
        <v>92</v>
      </c>
      <c r="E6335" s="51">
        <f>IF(INDEX(DarlBelegt,14)=0,0,EOMONTH(INDEX(DarlAuszahlung,14),91)+1)</f>
      </c>
      <c r="F6335" s="43">
        <f>IF($E6335=0,0,YEAR($E6335))</f>
      </c>
      <c r="G6335" s="43">
        <f>IF(INDEX(DarlBindung,14)="",1,IF($E6335&lt;=INDEX(DarlBindung,14),1,0))</f>
      </c>
      <c r="H6335" s="43">
        <f>IF($G6335=1,INDEX(DarlSollzins,14),INDEX(DarlAnschluss,14))</f>
      </c>
      <c r="I6335" s="43">
        <f>IF(INDEX(DarlBelegt,14)=0,0,IF(INDEX(DarlOhneTilgung,14)=1,IF(INDEX(DarlBindung,14)="",1,$G6335),IF($J6335&gt;0.005,1,0)))</f>
      </c>
      <c r="J6335" s="43">
        <f>IF($I6334=0,0,$R6334)</f>
      </c>
      <c r="K6335" s="43">
        <f>IF($I6335=0,0,IF(INDEX(DarlOhneTilgung,14)=1,0,IF(AND(INDEX(DarlTilgStart,14)&gt;0,$E6335=INDEX(DarlTilgStart,14)),$J6335*($H6335+INDEX(DarlTilgung,14))/100/12,IF(AND($G6335=0,$G6334=1),MAX($K6334,$J6335*($H6335+1)/100/12),$K6334))))</f>
      </c>
      <c r="L6335" s="43">
        <f>IF($I6335=0,0,$J6335*$H6335/100/12)</f>
      </c>
      <c r="M6335" s="43">
        <f>IF($I6335=0,0,IF(OR(INDEX(DarlOhneTilgung,14)=1,AND(INDEX(DarlTilgStart,14)&gt;0,$E6335&lt;INDEX(DarlTilgStart,14))),0,MIN(MAX(0,$K6335-$L6335),$J6335)))</f>
      </c>
      <c r="N6335" s="43">
        <f>IF($I6335=0,0,MIN(SUMIFS(SondBetrag,SondDarl,14,SondDatum,"&gt;="&amp;$E6335,SondDatum,"&lt;="&amp;EOMONTH($E6335,0)),$J6335-$M6335))</f>
      </c>
      <c r="O6335" s="43">
        <f>IF($I6335=0,0,INDEX(DarlErsatzRate,14))</f>
      </c>
      <c r="P6335" s="43">
        <f>IF($I6335=0,0,$Q6334*INDEX(DarlErsatzZins,14))</f>
      </c>
      <c r="Q6335" s="43">
        <f>IF($I6335=0,0,$Q6334+$P6335+$O6335)</f>
      </c>
      <c r="R6335" s="43">
        <f>IF($I6335=0,0,$J6335-$M6335-$N6335)</f>
      </c>
    </row>
    <row r="6336">
      <c r="A6336"/>
      <c r="B6336">
        <v>14</v>
      </c>
      <c r="C6336" s="43">
        <f>INDEX(DarlObj,14)</f>
      </c>
      <c r="D6336">
        <v>93</v>
      </c>
      <c r="E6336" s="51">
        <f>IF(INDEX(DarlBelegt,14)=0,0,EOMONTH(INDEX(DarlAuszahlung,14),92)+1)</f>
      </c>
      <c r="F6336" s="43">
        <f>IF($E6336=0,0,YEAR($E6336))</f>
      </c>
      <c r="G6336" s="43">
        <f>IF(INDEX(DarlBindung,14)="",1,IF($E6336&lt;=INDEX(DarlBindung,14),1,0))</f>
      </c>
      <c r="H6336" s="43">
        <f>IF($G6336=1,INDEX(DarlSollzins,14),INDEX(DarlAnschluss,14))</f>
      </c>
      <c r="I6336" s="43">
        <f>IF(INDEX(DarlBelegt,14)=0,0,IF(INDEX(DarlOhneTilgung,14)=1,IF(INDEX(DarlBindung,14)="",1,$G6336),IF($J6336&gt;0.005,1,0)))</f>
      </c>
      <c r="J6336" s="43">
        <f>IF($I6335=0,0,$R6335)</f>
      </c>
      <c r="K6336" s="43">
        <f>IF($I6336=0,0,IF(INDEX(DarlOhneTilgung,14)=1,0,IF(AND(INDEX(DarlTilgStart,14)&gt;0,$E6336=INDEX(DarlTilgStart,14)),$J6336*($H6336+INDEX(DarlTilgung,14))/100/12,IF(AND($G6336=0,$G6335=1),MAX($K6335,$J6336*($H6336+1)/100/12),$K6335))))</f>
      </c>
      <c r="L6336" s="43">
        <f>IF($I6336=0,0,$J6336*$H6336/100/12)</f>
      </c>
      <c r="M6336" s="43">
        <f>IF($I6336=0,0,IF(OR(INDEX(DarlOhneTilgung,14)=1,AND(INDEX(DarlTilgStart,14)&gt;0,$E6336&lt;INDEX(DarlTilgStart,14))),0,MIN(MAX(0,$K6336-$L6336),$J6336)))</f>
      </c>
      <c r="N6336" s="43">
        <f>IF($I6336=0,0,MIN(SUMIFS(SondBetrag,SondDarl,14,SondDatum,"&gt;="&amp;$E6336,SondDatum,"&lt;="&amp;EOMONTH($E6336,0)),$J6336-$M6336))</f>
      </c>
      <c r="O6336" s="43">
        <f>IF($I6336=0,0,INDEX(DarlErsatzRate,14))</f>
      </c>
      <c r="P6336" s="43">
        <f>IF($I6336=0,0,$Q6335*INDEX(DarlErsatzZins,14))</f>
      </c>
      <c r="Q6336" s="43">
        <f>IF($I6336=0,0,$Q6335+$P6336+$O6336)</f>
      </c>
      <c r="R6336" s="43">
        <f>IF($I6336=0,0,$J6336-$M6336-$N6336)</f>
      </c>
    </row>
    <row r="6337">
      <c r="A6337"/>
      <c r="B6337">
        <v>14</v>
      </c>
      <c r="C6337" s="43">
        <f>INDEX(DarlObj,14)</f>
      </c>
      <c r="D6337">
        <v>94</v>
      </c>
      <c r="E6337" s="51">
        <f>IF(INDEX(DarlBelegt,14)=0,0,EOMONTH(INDEX(DarlAuszahlung,14),93)+1)</f>
      </c>
      <c r="F6337" s="43">
        <f>IF($E6337=0,0,YEAR($E6337))</f>
      </c>
      <c r="G6337" s="43">
        <f>IF(INDEX(DarlBindung,14)="",1,IF($E6337&lt;=INDEX(DarlBindung,14),1,0))</f>
      </c>
      <c r="H6337" s="43">
        <f>IF($G6337=1,INDEX(DarlSollzins,14),INDEX(DarlAnschluss,14))</f>
      </c>
      <c r="I6337" s="43">
        <f>IF(INDEX(DarlBelegt,14)=0,0,IF(INDEX(DarlOhneTilgung,14)=1,IF(INDEX(DarlBindung,14)="",1,$G6337),IF($J6337&gt;0.005,1,0)))</f>
      </c>
      <c r="J6337" s="43">
        <f>IF($I6336=0,0,$R6336)</f>
      </c>
      <c r="K6337" s="43">
        <f>IF($I6337=0,0,IF(INDEX(DarlOhneTilgung,14)=1,0,IF(AND(INDEX(DarlTilgStart,14)&gt;0,$E6337=INDEX(DarlTilgStart,14)),$J6337*($H6337+INDEX(DarlTilgung,14))/100/12,IF(AND($G6337=0,$G6336=1),MAX($K6336,$J6337*($H6337+1)/100/12),$K6336))))</f>
      </c>
      <c r="L6337" s="43">
        <f>IF($I6337=0,0,$J6337*$H6337/100/12)</f>
      </c>
      <c r="M6337" s="43">
        <f>IF($I6337=0,0,IF(OR(INDEX(DarlOhneTilgung,14)=1,AND(INDEX(DarlTilgStart,14)&gt;0,$E6337&lt;INDEX(DarlTilgStart,14))),0,MIN(MAX(0,$K6337-$L6337),$J6337)))</f>
      </c>
      <c r="N6337" s="43">
        <f>IF($I6337=0,0,MIN(SUMIFS(SondBetrag,SondDarl,14,SondDatum,"&gt;="&amp;$E6337,SondDatum,"&lt;="&amp;EOMONTH($E6337,0)),$J6337-$M6337))</f>
      </c>
      <c r="O6337" s="43">
        <f>IF($I6337=0,0,INDEX(DarlErsatzRate,14))</f>
      </c>
      <c r="P6337" s="43">
        <f>IF($I6337=0,0,$Q6336*INDEX(DarlErsatzZins,14))</f>
      </c>
      <c r="Q6337" s="43">
        <f>IF($I6337=0,0,$Q6336+$P6337+$O6337)</f>
      </c>
      <c r="R6337" s="43">
        <f>IF($I6337=0,0,$J6337-$M6337-$N6337)</f>
      </c>
    </row>
    <row r="6338">
      <c r="A6338"/>
      <c r="B6338">
        <v>14</v>
      </c>
      <c r="C6338" s="43">
        <f>INDEX(DarlObj,14)</f>
      </c>
      <c r="D6338">
        <v>95</v>
      </c>
      <c r="E6338" s="51">
        <f>IF(INDEX(DarlBelegt,14)=0,0,EOMONTH(INDEX(DarlAuszahlung,14),94)+1)</f>
      </c>
      <c r="F6338" s="43">
        <f>IF($E6338=0,0,YEAR($E6338))</f>
      </c>
      <c r="G6338" s="43">
        <f>IF(INDEX(DarlBindung,14)="",1,IF($E6338&lt;=INDEX(DarlBindung,14),1,0))</f>
      </c>
      <c r="H6338" s="43">
        <f>IF($G6338=1,INDEX(DarlSollzins,14),INDEX(DarlAnschluss,14))</f>
      </c>
      <c r="I6338" s="43">
        <f>IF(INDEX(DarlBelegt,14)=0,0,IF(INDEX(DarlOhneTilgung,14)=1,IF(INDEX(DarlBindung,14)="",1,$G6338),IF($J6338&gt;0.005,1,0)))</f>
      </c>
      <c r="J6338" s="43">
        <f>IF($I6337=0,0,$R6337)</f>
      </c>
      <c r="K6338" s="43">
        <f>IF($I6338=0,0,IF(INDEX(DarlOhneTilgung,14)=1,0,IF(AND(INDEX(DarlTilgStart,14)&gt;0,$E6338=INDEX(DarlTilgStart,14)),$J6338*($H6338+INDEX(DarlTilgung,14))/100/12,IF(AND($G6338=0,$G6337=1),MAX($K6337,$J6338*($H6338+1)/100/12),$K6337))))</f>
      </c>
      <c r="L6338" s="43">
        <f>IF($I6338=0,0,$J6338*$H6338/100/12)</f>
      </c>
      <c r="M6338" s="43">
        <f>IF($I6338=0,0,IF(OR(INDEX(DarlOhneTilgung,14)=1,AND(INDEX(DarlTilgStart,14)&gt;0,$E6338&lt;INDEX(DarlTilgStart,14))),0,MIN(MAX(0,$K6338-$L6338),$J6338)))</f>
      </c>
      <c r="N6338" s="43">
        <f>IF($I6338=0,0,MIN(SUMIFS(SondBetrag,SondDarl,14,SondDatum,"&gt;="&amp;$E6338,SondDatum,"&lt;="&amp;EOMONTH($E6338,0)),$J6338-$M6338))</f>
      </c>
      <c r="O6338" s="43">
        <f>IF($I6338=0,0,INDEX(DarlErsatzRate,14))</f>
      </c>
      <c r="P6338" s="43">
        <f>IF($I6338=0,0,$Q6337*INDEX(DarlErsatzZins,14))</f>
      </c>
      <c r="Q6338" s="43">
        <f>IF($I6338=0,0,$Q6337+$P6338+$O6338)</f>
      </c>
      <c r="R6338" s="43">
        <f>IF($I6338=0,0,$J6338-$M6338-$N6338)</f>
      </c>
    </row>
    <row r="6339">
      <c r="A6339"/>
      <c r="B6339">
        <v>14</v>
      </c>
      <c r="C6339" s="43">
        <f>INDEX(DarlObj,14)</f>
      </c>
      <c r="D6339">
        <v>96</v>
      </c>
      <c r="E6339" s="51">
        <f>IF(INDEX(DarlBelegt,14)=0,0,EOMONTH(INDEX(DarlAuszahlung,14),95)+1)</f>
      </c>
      <c r="F6339" s="43">
        <f>IF($E6339=0,0,YEAR($E6339))</f>
      </c>
      <c r="G6339" s="43">
        <f>IF(INDEX(DarlBindung,14)="",1,IF($E6339&lt;=INDEX(DarlBindung,14),1,0))</f>
      </c>
      <c r="H6339" s="43">
        <f>IF($G6339=1,INDEX(DarlSollzins,14),INDEX(DarlAnschluss,14))</f>
      </c>
      <c r="I6339" s="43">
        <f>IF(INDEX(DarlBelegt,14)=0,0,IF(INDEX(DarlOhneTilgung,14)=1,IF(INDEX(DarlBindung,14)="",1,$G6339),IF($J6339&gt;0.005,1,0)))</f>
      </c>
      <c r="J6339" s="43">
        <f>IF($I6338=0,0,$R6338)</f>
      </c>
      <c r="K6339" s="43">
        <f>IF($I6339=0,0,IF(INDEX(DarlOhneTilgung,14)=1,0,IF(AND(INDEX(DarlTilgStart,14)&gt;0,$E6339=INDEX(DarlTilgStart,14)),$J6339*($H6339+INDEX(DarlTilgung,14))/100/12,IF(AND($G6339=0,$G6338=1),MAX($K6338,$J6339*($H6339+1)/100/12),$K6338))))</f>
      </c>
      <c r="L6339" s="43">
        <f>IF($I6339=0,0,$J6339*$H6339/100/12)</f>
      </c>
      <c r="M6339" s="43">
        <f>IF($I6339=0,0,IF(OR(INDEX(DarlOhneTilgung,14)=1,AND(INDEX(DarlTilgStart,14)&gt;0,$E6339&lt;INDEX(DarlTilgStart,14))),0,MIN(MAX(0,$K6339-$L6339),$J6339)))</f>
      </c>
      <c r="N6339" s="43">
        <f>IF($I6339=0,0,MIN(SUMIFS(SondBetrag,SondDarl,14,SondDatum,"&gt;="&amp;$E6339,SondDatum,"&lt;="&amp;EOMONTH($E6339,0)),$J6339-$M6339))</f>
      </c>
      <c r="O6339" s="43">
        <f>IF($I6339=0,0,INDEX(DarlErsatzRate,14))</f>
      </c>
      <c r="P6339" s="43">
        <f>IF($I6339=0,0,$Q6338*INDEX(DarlErsatzZins,14))</f>
      </c>
      <c r="Q6339" s="43">
        <f>IF($I6339=0,0,$Q6338+$P6339+$O6339)</f>
      </c>
      <c r="R6339" s="43">
        <f>IF($I6339=0,0,$J6339-$M6339-$N6339)</f>
      </c>
    </row>
    <row r="6340">
      <c r="A6340"/>
      <c r="B6340">
        <v>14</v>
      </c>
      <c r="C6340" s="43">
        <f>INDEX(DarlObj,14)</f>
      </c>
      <c r="D6340">
        <v>97</v>
      </c>
      <c r="E6340" s="51">
        <f>IF(INDEX(DarlBelegt,14)=0,0,EOMONTH(INDEX(DarlAuszahlung,14),96)+1)</f>
      </c>
      <c r="F6340" s="43">
        <f>IF($E6340=0,0,YEAR($E6340))</f>
      </c>
      <c r="G6340" s="43">
        <f>IF(INDEX(DarlBindung,14)="",1,IF($E6340&lt;=INDEX(DarlBindung,14),1,0))</f>
      </c>
      <c r="H6340" s="43">
        <f>IF($G6340=1,INDEX(DarlSollzins,14),INDEX(DarlAnschluss,14))</f>
      </c>
      <c r="I6340" s="43">
        <f>IF(INDEX(DarlBelegt,14)=0,0,IF(INDEX(DarlOhneTilgung,14)=1,IF(INDEX(DarlBindung,14)="",1,$G6340),IF($J6340&gt;0.005,1,0)))</f>
      </c>
      <c r="J6340" s="43">
        <f>IF($I6339=0,0,$R6339)</f>
      </c>
      <c r="K6340" s="43">
        <f>IF($I6340=0,0,IF(INDEX(DarlOhneTilgung,14)=1,0,IF(AND(INDEX(DarlTilgStart,14)&gt;0,$E6340=INDEX(DarlTilgStart,14)),$J6340*($H6340+INDEX(DarlTilgung,14))/100/12,IF(AND($G6340=0,$G6339=1),MAX($K6339,$J6340*($H6340+1)/100/12),$K6339))))</f>
      </c>
      <c r="L6340" s="43">
        <f>IF($I6340=0,0,$J6340*$H6340/100/12)</f>
      </c>
      <c r="M6340" s="43">
        <f>IF($I6340=0,0,IF(OR(INDEX(DarlOhneTilgung,14)=1,AND(INDEX(DarlTilgStart,14)&gt;0,$E6340&lt;INDEX(DarlTilgStart,14))),0,MIN(MAX(0,$K6340-$L6340),$J6340)))</f>
      </c>
      <c r="N6340" s="43">
        <f>IF($I6340=0,0,MIN(SUMIFS(SondBetrag,SondDarl,14,SondDatum,"&gt;="&amp;$E6340,SondDatum,"&lt;="&amp;EOMONTH($E6340,0)),$J6340-$M6340))</f>
      </c>
      <c r="O6340" s="43">
        <f>IF($I6340=0,0,INDEX(DarlErsatzRate,14))</f>
      </c>
      <c r="P6340" s="43">
        <f>IF($I6340=0,0,$Q6339*INDEX(DarlErsatzZins,14))</f>
      </c>
      <c r="Q6340" s="43">
        <f>IF($I6340=0,0,$Q6339+$P6340+$O6340)</f>
      </c>
      <c r="R6340" s="43">
        <f>IF($I6340=0,0,$J6340-$M6340-$N6340)</f>
      </c>
    </row>
    <row r="6341">
      <c r="A6341"/>
      <c r="B6341">
        <v>14</v>
      </c>
      <c r="C6341" s="43">
        <f>INDEX(DarlObj,14)</f>
      </c>
      <c r="D6341">
        <v>98</v>
      </c>
      <c r="E6341" s="51">
        <f>IF(INDEX(DarlBelegt,14)=0,0,EOMONTH(INDEX(DarlAuszahlung,14),97)+1)</f>
      </c>
      <c r="F6341" s="43">
        <f>IF($E6341=0,0,YEAR($E6341))</f>
      </c>
      <c r="G6341" s="43">
        <f>IF(INDEX(DarlBindung,14)="",1,IF($E6341&lt;=INDEX(DarlBindung,14),1,0))</f>
      </c>
      <c r="H6341" s="43">
        <f>IF($G6341=1,INDEX(DarlSollzins,14),INDEX(DarlAnschluss,14))</f>
      </c>
      <c r="I6341" s="43">
        <f>IF(INDEX(DarlBelegt,14)=0,0,IF(INDEX(DarlOhneTilgung,14)=1,IF(INDEX(DarlBindung,14)="",1,$G6341),IF($J6341&gt;0.005,1,0)))</f>
      </c>
      <c r="J6341" s="43">
        <f>IF($I6340=0,0,$R6340)</f>
      </c>
      <c r="K6341" s="43">
        <f>IF($I6341=0,0,IF(INDEX(DarlOhneTilgung,14)=1,0,IF(AND(INDEX(DarlTilgStart,14)&gt;0,$E6341=INDEX(DarlTilgStart,14)),$J6341*($H6341+INDEX(DarlTilgung,14))/100/12,IF(AND($G6341=0,$G6340=1),MAX($K6340,$J6341*($H6341+1)/100/12),$K6340))))</f>
      </c>
      <c r="L6341" s="43">
        <f>IF($I6341=0,0,$J6341*$H6341/100/12)</f>
      </c>
      <c r="M6341" s="43">
        <f>IF($I6341=0,0,IF(OR(INDEX(DarlOhneTilgung,14)=1,AND(INDEX(DarlTilgStart,14)&gt;0,$E6341&lt;INDEX(DarlTilgStart,14))),0,MIN(MAX(0,$K6341-$L6341),$J6341)))</f>
      </c>
      <c r="N6341" s="43">
        <f>IF($I6341=0,0,MIN(SUMIFS(SondBetrag,SondDarl,14,SondDatum,"&gt;="&amp;$E6341,SondDatum,"&lt;="&amp;EOMONTH($E6341,0)),$J6341-$M6341))</f>
      </c>
      <c r="O6341" s="43">
        <f>IF($I6341=0,0,INDEX(DarlErsatzRate,14))</f>
      </c>
      <c r="P6341" s="43">
        <f>IF($I6341=0,0,$Q6340*INDEX(DarlErsatzZins,14))</f>
      </c>
      <c r="Q6341" s="43">
        <f>IF($I6341=0,0,$Q6340+$P6341+$O6341)</f>
      </c>
      <c r="R6341" s="43">
        <f>IF($I6341=0,0,$J6341-$M6341-$N6341)</f>
      </c>
    </row>
    <row r="6342">
      <c r="A6342"/>
      <c r="B6342">
        <v>14</v>
      </c>
      <c r="C6342" s="43">
        <f>INDEX(DarlObj,14)</f>
      </c>
      <c r="D6342">
        <v>99</v>
      </c>
      <c r="E6342" s="51">
        <f>IF(INDEX(DarlBelegt,14)=0,0,EOMONTH(INDEX(DarlAuszahlung,14),98)+1)</f>
      </c>
      <c r="F6342" s="43">
        <f>IF($E6342=0,0,YEAR($E6342))</f>
      </c>
      <c r="G6342" s="43">
        <f>IF(INDEX(DarlBindung,14)="",1,IF($E6342&lt;=INDEX(DarlBindung,14),1,0))</f>
      </c>
      <c r="H6342" s="43">
        <f>IF($G6342=1,INDEX(DarlSollzins,14),INDEX(DarlAnschluss,14))</f>
      </c>
      <c r="I6342" s="43">
        <f>IF(INDEX(DarlBelegt,14)=0,0,IF(INDEX(DarlOhneTilgung,14)=1,IF(INDEX(DarlBindung,14)="",1,$G6342),IF($J6342&gt;0.005,1,0)))</f>
      </c>
      <c r="J6342" s="43">
        <f>IF($I6341=0,0,$R6341)</f>
      </c>
      <c r="K6342" s="43">
        <f>IF($I6342=0,0,IF(INDEX(DarlOhneTilgung,14)=1,0,IF(AND(INDEX(DarlTilgStart,14)&gt;0,$E6342=INDEX(DarlTilgStart,14)),$J6342*($H6342+INDEX(DarlTilgung,14))/100/12,IF(AND($G6342=0,$G6341=1),MAX($K6341,$J6342*($H6342+1)/100/12),$K6341))))</f>
      </c>
      <c r="L6342" s="43">
        <f>IF($I6342=0,0,$J6342*$H6342/100/12)</f>
      </c>
      <c r="M6342" s="43">
        <f>IF($I6342=0,0,IF(OR(INDEX(DarlOhneTilgung,14)=1,AND(INDEX(DarlTilgStart,14)&gt;0,$E6342&lt;INDEX(DarlTilgStart,14))),0,MIN(MAX(0,$K6342-$L6342),$J6342)))</f>
      </c>
      <c r="N6342" s="43">
        <f>IF($I6342=0,0,MIN(SUMIFS(SondBetrag,SondDarl,14,SondDatum,"&gt;="&amp;$E6342,SondDatum,"&lt;="&amp;EOMONTH($E6342,0)),$J6342-$M6342))</f>
      </c>
      <c r="O6342" s="43">
        <f>IF($I6342=0,0,INDEX(DarlErsatzRate,14))</f>
      </c>
      <c r="P6342" s="43">
        <f>IF($I6342=0,0,$Q6341*INDEX(DarlErsatzZins,14))</f>
      </c>
      <c r="Q6342" s="43">
        <f>IF($I6342=0,0,$Q6341+$P6342+$O6342)</f>
      </c>
      <c r="R6342" s="43">
        <f>IF($I6342=0,0,$J6342-$M6342-$N6342)</f>
      </c>
    </row>
    <row r="6343">
      <c r="A6343"/>
      <c r="B6343">
        <v>14</v>
      </c>
      <c r="C6343" s="43">
        <f>INDEX(DarlObj,14)</f>
      </c>
      <c r="D6343">
        <v>100</v>
      </c>
      <c r="E6343" s="51">
        <f>IF(INDEX(DarlBelegt,14)=0,0,EOMONTH(INDEX(DarlAuszahlung,14),99)+1)</f>
      </c>
      <c r="F6343" s="43">
        <f>IF($E6343=0,0,YEAR($E6343))</f>
      </c>
      <c r="G6343" s="43">
        <f>IF(INDEX(DarlBindung,14)="",1,IF($E6343&lt;=INDEX(DarlBindung,14),1,0))</f>
      </c>
      <c r="H6343" s="43">
        <f>IF($G6343=1,INDEX(DarlSollzins,14),INDEX(DarlAnschluss,14))</f>
      </c>
      <c r="I6343" s="43">
        <f>IF(INDEX(DarlBelegt,14)=0,0,IF(INDEX(DarlOhneTilgung,14)=1,IF(INDEX(DarlBindung,14)="",1,$G6343),IF($J6343&gt;0.005,1,0)))</f>
      </c>
      <c r="J6343" s="43">
        <f>IF($I6342=0,0,$R6342)</f>
      </c>
      <c r="K6343" s="43">
        <f>IF($I6343=0,0,IF(INDEX(DarlOhneTilgung,14)=1,0,IF(AND(INDEX(DarlTilgStart,14)&gt;0,$E6343=INDEX(DarlTilgStart,14)),$J6343*($H6343+INDEX(DarlTilgung,14))/100/12,IF(AND($G6343=0,$G6342=1),MAX($K6342,$J6343*($H6343+1)/100/12),$K6342))))</f>
      </c>
      <c r="L6343" s="43">
        <f>IF($I6343=0,0,$J6343*$H6343/100/12)</f>
      </c>
      <c r="M6343" s="43">
        <f>IF($I6343=0,0,IF(OR(INDEX(DarlOhneTilgung,14)=1,AND(INDEX(DarlTilgStart,14)&gt;0,$E6343&lt;INDEX(DarlTilgStart,14))),0,MIN(MAX(0,$K6343-$L6343),$J6343)))</f>
      </c>
      <c r="N6343" s="43">
        <f>IF($I6343=0,0,MIN(SUMIFS(SondBetrag,SondDarl,14,SondDatum,"&gt;="&amp;$E6343,SondDatum,"&lt;="&amp;EOMONTH($E6343,0)),$J6343-$M6343))</f>
      </c>
      <c r="O6343" s="43">
        <f>IF($I6343=0,0,INDEX(DarlErsatzRate,14))</f>
      </c>
      <c r="P6343" s="43">
        <f>IF($I6343=0,0,$Q6342*INDEX(DarlErsatzZins,14))</f>
      </c>
      <c r="Q6343" s="43">
        <f>IF($I6343=0,0,$Q6342+$P6343+$O6343)</f>
      </c>
      <c r="R6343" s="43">
        <f>IF($I6343=0,0,$J6343-$M6343-$N6343)</f>
      </c>
    </row>
    <row r="6344">
      <c r="A6344"/>
      <c r="B6344">
        <v>14</v>
      </c>
      <c r="C6344" s="43">
        <f>INDEX(DarlObj,14)</f>
      </c>
      <c r="D6344">
        <v>101</v>
      </c>
      <c r="E6344" s="51">
        <f>IF(INDEX(DarlBelegt,14)=0,0,EOMONTH(INDEX(DarlAuszahlung,14),100)+1)</f>
      </c>
      <c r="F6344" s="43">
        <f>IF($E6344=0,0,YEAR($E6344))</f>
      </c>
      <c r="G6344" s="43">
        <f>IF(INDEX(DarlBindung,14)="",1,IF($E6344&lt;=INDEX(DarlBindung,14),1,0))</f>
      </c>
      <c r="H6344" s="43">
        <f>IF($G6344=1,INDEX(DarlSollzins,14),INDEX(DarlAnschluss,14))</f>
      </c>
      <c r="I6344" s="43">
        <f>IF(INDEX(DarlBelegt,14)=0,0,IF(INDEX(DarlOhneTilgung,14)=1,IF(INDEX(DarlBindung,14)="",1,$G6344),IF($J6344&gt;0.005,1,0)))</f>
      </c>
      <c r="J6344" s="43">
        <f>IF($I6343=0,0,$R6343)</f>
      </c>
      <c r="K6344" s="43">
        <f>IF($I6344=0,0,IF(INDEX(DarlOhneTilgung,14)=1,0,IF(AND(INDEX(DarlTilgStart,14)&gt;0,$E6344=INDEX(DarlTilgStart,14)),$J6344*($H6344+INDEX(DarlTilgung,14))/100/12,IF(AND($G6344=0,$G6343=1),MAX($K6343,$J6344*($H6344+1)/100/12),$K6343))))</f>
      </c>
      <c r="L6344" s="43">
        <f>IF($I6344=0,0,$J6344*$H6344/100/12)</f>
      </c>
      <c r="M6344" s="43">
        <f>IF($I6344=0,0,IF(OR(INDEX(DarlOhneTilgung,14)=1,AND(INDEX(DarlTilgStart,14)&gt;0,$E6344&lt;INDEX(DarlTilgStart,14))),0,MIN(MAX(0,$K6344-$L6344),$J6344)))</f>
      </c>
      <c r="N6344" s="43">
        <f>IF($I6344=0,0,MIN(SUMIFS(SondBetrag,SondDarl,14,SondDatum,"&gt;="&amp;$E6344,SondDatum,"&lt;="&amp;EOMONTH($E6344,0)),$J6344-$M6344))</f>
      </c>
      <c r="O6344" s="43">
        <f>IF($I6344=0,0,INDEX(DarlErsatzRate,14))</f>
      </c>
      <c r="P6344" s="43">
        <f>IF($I6344=0,0,$Q6343*INDEX(DarlErsatzZins,14))</f>
      </c>
      <c r="Q6344" s="43">
        <f>IF($I6344=0,0,$Q6343+$P6344+$O6344)</f>
      </c>
      <c r="R6344" s="43">
        <f>IF($I6344=0,0,$J6344-$M6344-$N6344)</f>
      </c>
    </row>
    <row r="6345">
      <c r="A6345"/>
      <c r="B6345">
        <v>14</v>
      </c>
      <c r="C6345" s="43">
        <f>INDEX(DarlObj,14)</f>
      </c>
      <c r="D6345">
        <v>102</v>
      </c>
      <c r="E6345" s="51">
        <f>IF(INDEX(DarlBelegt,14)=0,0,EOMONTH(INDEX(DarlAuszahlung,14),101)+1)</f>
      </c>
      <c r="F6345" s="43">
        <f>IF($E6345=0,0,YEAR($E6345))</f>
      </c>
      <c r="G6345" s="43">
        <f>IF(INDEX(DarlBindung,14)="",1,IF($E6345&lt;=INDEX(DarlBindung,14),1,0))</f>
      </c>
      <c r="H6345" s="43">
        <f>IF($G6345=1,INDEX(DarlSollzins,14),INDEX(DarlAnschluss,14))</f>
      </c>
      <c r="I6345" s="43">
        <f>IF(INDEX(DarlBelegt,14)=0,0,IF(INDEX(DarlOhneTilgung,14)=1,IF(INDEX(DarlBindung,14)="",1,$G6345),IF($J6345&gt;0.005,1,0)))</f>
      </c>
      <c r="J6345" s="43">
        <f>IF($I6344=0,0,$R6344)</f>
      </c>
      <c r="K6345" s="43">
        <f>IF($I6345=0,0,IF(INDEX(DarlOhneTilgung,14)=1,0,IF(AND(INDEX(DarlTilgStart,14)&gt;0,$E6345=INDEX(DarlTilgStart,14)),$J6345*($H6345+INDEX(DarlTilgung,14))/100/12,IF(AND($G6345=0,$G6344=1),MAX($K6344,$J6345*($H6345+1)/100/12),$K6344))))</f>
      </c>
      <c r="L6345" s="43">
        <f>IF($I6345=0,0,$J6345*$H6345/100/12)</f>
      </c>
      <c r="M6345" s="43">
        <f>IF($I6345=0,0,IF(OR(INDEX(DarlOhneTilgung,14)=1,AND(INDEX(DarlTilgStart,14)&gt;0,$E6345&lt;INDEX(DarlTilgStart,14))),0,MIN(MAX(0,$K6345-$L6345),$J6345)))</f>
      </c>
      <c r="N6345" s="43">
        <f>IF($I6345=0,0,MIN(SUMIFS(SondBetrag,SondDarl,14,SondDatum,"&gt;="&amp;$E6345,SondDatum,"&lt;="&amp;EOMONTH($E6345,0)),$J6345-$M6345))</f>
      </c>
      <c r="O6345" s="43">
        <f>IF($I6345=0,0,INDEX(DarlErsatzRate,14))</f>
      </c>
      <c r="P6345" s="43">
        <f>IF($I6345=0,0,$Q6344*INDEX(DarlErsatzZins,14))</f>
      </c>
      <c r="Q6345" s="43">
        <f>IF($I6345=0,0,$Q6344+$P6345+$O6345)</f>
      </c>
      <c r="R6345" s="43">
        <f>IF($I6345=0,0,$J6345-$M6345-$N6345)</f>
      </c>
    </row>
    <row r="6346">
      <c r="A6346"/>
      <c r="B6346">
        <v>14</v>
      </c>
      <c r="C6346" s="43">
        <f>INDEX(DarlObj,14)</f>
      </c>
      <c r="D6346">
        <v>103</v>
      </c>
      <c r="E6346" s="51">
        <f>IF(INDEX(DarlBelegt,14)=0,0,EOMONTH(INDEX(DarlAuszahlung,14),102)+1)</f>
      </c>
      <c r="F6346" s="43">
        <f>IF($E6346=0,0,YEAR($E6346))</f>
      </c>
      <c r="G6346" s="43">
        <f>IF(INDEX(DarlBindung,14)="",1,IF($E6346&lt;=INDEX(DarlBindung,14),1,0))</f>
      </c>
      <c r="H6346" s="43">
        <f>IF($G6346=1,INDEX(DarlSollzins,14),INDEX(DarlAnschluss,14))</f>
      </c>
      <c r="I6346" s="43">
        <f>IF(INDEX(DarlBelegt,14)=0,0,IF(INDEX(DarlOhneTilgung,14)=1,IF(INDEX(DarlBindung,14)="",1,$G6346),IF($J6346&gt;0.005,1,0)))</f>
      </c>
      <c r="J6346" s="43">
        <f>IF($I6345=0,0,$R6345)</f>
      </c>
      <c r="K6346" s="43">
        <f>IF($I6346=0,0,IF(INDEX(DarlOhneTilgung,14)=1,0,IF(AND(INDEX(DarlTilgStart,14)&gt;0,$E6346=INDEX(DarlTilgStart,14)),$J6346*($H6346+INDEX(DarlTilgung,14))/100/12,IF(AND($G6346=0,$G6345=1),MAX($K6345,$J6346*($H6346+1)/100/12),$K6345))))</f>
      </c>
      <c r="L6346" s="43">
        <f>IF($I6346=0,0,$J6346*$H6346/100/12)</f>
      </c>
      <c r="M6346" s="43">
        <f>IF($I6346=0,0,IF(OR(INDEX(DarlOhneTilgung,14)=1,AND(INDEX(DarlTilgStart,14)&gt;0,$E6346&lt;INDEX(DarlTilgStart,14))),0,MIN(MAX(0,$K6346-$L6346),$J6346)))</f>
      </c>
      <c r="N6346" s="43">
        <f>IF($I6346=0,0,MIN(SUMIFS(SondBetrag,SondDarl,14,SondDatum,"&gt;="&amp;$E6346,SondDatum,"&lt;="&amp;EOMONTH($E6346,0)),$J6346-$M6346))</f>
      </c>
      <c r="O6346" s="43">
        <f>IF($I6346=0,0,INDEX(DarlErsatzRate,14))</f>
      </c>
      <c r="P6346" s="43">
        <f>IF($I6346=0,0,$Q6345*INDEX(DarlErsatzZins,14))</f>
      </c>
      <c r="Q6346" s="43">
        <f>IF($I6346=0,0,$Q6345+$P6346+$O6346)</f>
      </c>
      <c r="R6346" s="43">
        <f>IF($I6346=0,0,$J6346-$M6346-$N6346)</f>
      </c>
    </row>
    <row r="6347">
      <c r="A6347"/>
      <c r="B6347">
        <v>14</v>
      </c>
      <c r="C6347" s="43">
        <f>INDEX(DarlObj,14)</f>
      </c>
      <c r="D6347">
        <v>104</v>
      </c>
      <c r="E6347" s="51">
        <f>IF(INDEX(DarlBelegt,14)=0,0,EOMONTH(INDEX(DarlAuszahlung,14),103)+1)</f>
      </c>
      <c r="F6347" s="43">
        <f>IF($E6347=0,0,YEAR($E6347))</f>
      </c>
      <c r="G6347" s="43">
        <f>IF(INDEX(DarlBindung,14)="",1,IF($E6347&lt;=INDEX(DarlBindung,14),1,0))</f>
      </c>
      <c r="H6347" s="43">
        <f>IF($G6347=1,INDEX(DarlSollzins,14),INDEX(DarlAnschluss,14))</f>
      </c>
      <c r="I6347" s="43">
        <f>IF(INDEX(DarlBelegt,14)=0,0,IF(INDEX(DarlOhneTilgung,14)=1,IF(INDEX(DarlBindung,14)="",1,$G6347),IF($J6347&gt;0.005,1,0)))</f>
      </c>
      <c r="J6347" s="43">
        <f>IF($I6346=0,0,$R6346)</f>
      </c>
      <c r="K6347" s="43">
        <f>IF($I6347=0,0,IF(INDEX(DarlOhneTilgung,14)=1,0,IF(AND(INDEX(DarlTilgStart,14)&gt;0,$E6347=INDEX(DarlTilgStart,14)),$J6347*($H6347+INDEX(DarlTilgung,14))/100/12,IF(AND($G6347=0,$G6346=1),MAX($K6346,$J6347*($H6347+1)/100/12),$K6346))))</f>
      </c>
      <c r="L6347" s="43">
        <f>IF($I6347=0,0,$J6347*$H6347/100/12)</f>
      </c>
      <c r="M6347" s="43">
        <f>IF($I6347=0,0,IF(OR(INDEX(DarlOhneTilgung,14)=1,AND(INDEX(DarlTilgStart,14)&gt;0,$E6347&lt;INDEX(DarlTilgStart,14))),0,MIN(MAX(0,$K6347-$L6347),$J6347)))</f>
      </c>
      <c r="N6347" s="43">
        <f>IF($I6347=0,0,MIN(SUMIFS(SondBetrag,SondDarl,14,SondDatum,"&gt;="&amp;$E6347,SondDatum,"&lt;="&amp;EOMONTH($E6347,0)),$J6347-$M6347))</f>
      </c>
      <c r="O6347" s="43">
        <f>IF($I6347=0,0,INDEX(DarlErsatzRate,14))</f>
      </c>
      <c r="P6347" s="43">
        <f>IF($I6347=0,0,$Q6346*INDEX(DarlErsatzZins,14))</f>
      </c>
      <c r="Q6347" s="43">
        <f>IF($I6347=0,0,$Q6346+$P6347+$O6347)</f>
      </c>
      <c r="R6347" s="43">
        <f>IF($I6347=0,0,$J6347-$M6347-$N6347)</f>
      </c>
    </row>
    <row r="6348">
      <c r="A6348"/>
      <c r="B6348">
        <v>14</v>
      </c>
      <c r="C6348" s="43">
        <f>INDEX(DarlObj,14)</f>
      </c>
      <c r="D6348">
        <v>105</v>
      </c>
      <c r="E6348" s="51">
        <f>IF(INDEX(DarlBelegt,14)=0,0,EOMONTH(INDEX(DarlAuszahlung,14),104)+1)</f>
      </c>
      <c r="F6348" s="43">
        <f>IF($E6348=0,0,YEAR($E6348))</f>
      </c>
      <c r="G6348" s="43">
        <f>IF(INDEX(DarlBindung,14)="",1,IF($E6348&lt;=INDEX(DarlBindung,14),1,0))</f>
      </c>
      <c r="H6348" s="43">
        <f>IF($G6348=1,INDEX(DarlSollzins,14),INDEX(DarlAnschluss,14))</f>
      </c>
      <c r="I6348" s="43">
        <f>IF(INDEX(DarlBelegt,14)=0,0,IF(INDEX(DarlOhneTilgung,14)=1,IF(INDEX(DarlBindung,14)="",1,$G6348),IF($J6348&gt;0.005,1,0)))</f>
      </c>
      <c r="J6348" s="43">
        <f>IF($I6347=0,0,$R6347)</f>
      </c>
      <c r="K6348" s="43">
        <f>IF($I6348=0,0,IF(INDEX(DarlOhneTilgung,14)=1,0,IF(AND(INDEX(DarlTilgStart,14)&gt;0,$E6348=INDEX(DarlTilgStart,14)),$J6348*($H6348+INDEX(DarlTilgung,14))/100/12,IF(AND($G6348=0,$G6347=1),MAX($K6347,$J6348*($H6348+1)/100/12),$K6347))))</f>
      </c>
      <c r="L6348" s="43">
        <f>IF($I6348=0,0,$J6348*$H6348/100/12)</f>
      </c>
      <c r="M6348" s="43">
        <f>IF($I6348=0,0,IF(OR(INDEX(DarlOhneTilgung,14)=1,AND(INDEX(DarlTilgStart,14)&gt;0,$E6348&lt;INDEX(DarlTilgStart,14))),0,MIN(MAX(0,$K6348-$L6348),$J6348)))</f>
      </c>
      <c r="N6348" s="43">
        <f>IF($I6348=0,0,MIN(SUMIFS(SondBetrag,SondDarl,14,SondDatum,"&gt;="&amp;$E6348,SondDatum,"&lt;="&amp;EOMONTH($E6348,0)),$J6348-$M6348))</f>
      </c>
      <c r="O6348" s="43">
        <f>IF($I6348=0,0,INDEX(DarlErsatzRate,14))</f>
      </c>
      <c r="P6348" s="43">
        <f>IF($I6348=0,0,$Q6347*INDEX(DarlErsatzZins,14))</f>
      </c>
      <c r="Q6348" s="43">
        <f>IF($I6348=0,0,$Q6347+$P6348+$O6348)</f>
      </c>
      <c r="R6348" s="43">
        <f>IF($I6348=0,0,$J6348-$M6348-$N6348)</f>
      </c>
    </row>
    <row r="6349">
      <c r="A6349"/>
      <c r="B6349">
        <v>14</v>
      </c>
      <c r="C6349" s="43">
        <f>INDEX(DarlObj,14)</f>
      </c>
      <c r="D6349">
        <v>106</v>
      </c>
      <c r="E6349" s="51">
        <f>IF(INDEX(DarlBelegt,14)=0,0,EOMONTH(INDEX(DarlAuszahlung,14),105)+1)</f>
      </c>
      <c r="F6349" s="43">
        <f>IF($E6349=0,0,YEAR($E6349))</f>
      </c>
      <c r="G6349" s="43">
        <f>IF(INDEX(DarlBindung,14)="",1,IF($E6349&lt;=INDEX(DarlBindung,14),1,0))</f>
      </c>
      <c r="H6349" s="43">
        <f>IF($G6349=1,INDEX(DarlSollzins,14),INDEX(DarlAnschluss,14))</f>
      </c>
      <c r="I6349" s="43">
        <f>IF(INDEX(DarlBelegt,14)=0,0,IF(INDEX(DarlOhneTilgung,14)=1,IF(INDEX(DarlBindung,14)="",1,$G6349),IF($J6349&gt;0.005,1,0)))</f>
      </c>
      <c r="J6349" s="43">
        <f>IF($I6348=0,0,$R6348)</f>
      </c>
      <c r="K6349" s="43">
        <f>IF($I6349=0,0,IF(INDEX(DarlOhneTilgung,14)=1,0,IF(AND(INDEX(DarlTilgStart,14)&gt;0,$E6349=INDEX(DarlTilgStart,14)),$J6349*($H6349+INDEX(DarlTilgung,14))/100/12,IF(AND($G6349=0,$G6348=1),MAX($K6348,$J6349*($H6349+1)/100/12),$K6348))))</f>
      </c>
      <c r="L6349" s="43">
        <f>IF($I6349=0,0,$J6349*$H6349/100/12)</f>
      </c>
      <c r="M6349" s="43">
        <f>IF($I6349=0,0,IF(OR(INDEX(DarlOhneTilgung,14)=1,AND(INDEX(DarlTilgStart,14)&gt;0,$E6349&lt;INDEX(DarlTilgStart,14))),0,MIN(MAX(0,$K6349-$L6349),$J6349)))</f>
      </c>
      <c r="N6349" s="43">
        <f>IF($I6349=0,0,MIN(SUMIFS(SondBetrag,SondDarl,14,SondDatum,"&gt;="&amp;$E6349,SondDatum,"&lt;="&amp;EOMONTH($E6349,0)),$J6349-$M6349))</f>
      </c>
      <c r="O6349" s="43">
        <f>IF($I6349=0,0,INDEX(DarlErsatzRate,14))</f>
      </c>
      <c r="P6349" s="43">
        <f>IF($I6349=0,0,$Q6348*INDEX(DarlErsatzZins,14))</f>
      </c>
      <c r="Q6349" s="43">
        <f>IF($I6349=0,0,$Q6348+$P6349+$O6349)</f>
      </c>
      <c r="R6349" s="43">
        <f>IF($I6349=0,0,$J6349-$M6349-$N6349)</f>
      </c>
    </row>
    <row r="6350">
      <c r="A6350"/>
      <c r="B6350">
        <v>14</v>
      </c>
      <c r="C6350" s="43">
        <f>INDEX(DarlObj,14)</f>
      </c>
      <c r="D6350">
        <v>107</v>
      </c>
      <c r="E6350" s="51">
        <f>IF(INDEX(DarlBelegt,14)=0,0,EOMONTH(INDEX(DarlAuszahlung,14),106)+1)</f>
      </c>
      <c r="F6350" s="43">
        <f>IF($E6350=0,0,YEAR($E6350))</f>
      </c>
      <c r="G6350" s="43">
        <f>IF(INDEX(DarlBindung,14)="",1,IF($E6350&lt;=INDEX(DarlBindung,14),1,0))</f>
      </c>
      <c r="H6350" s="43">
        <f>IF($G6350=1,INDEX(DarlSollzins,14),INDEX(DarlAnschluss,14))</f>
      </c>
      <c r="I6350" s="43">
        <f>IF(INDEX(DarlBelegt,14)=0,0,IF(INDEX(DarlOhneTilgung,14)=1,IF(INDEX(DarlBindung,14)="",1,$G6350),IF($J6350&gt;0.005,1,0)))</f>
      </c>
      <c r="J6350" s="43">
        <f>IF($I6349=0,0,$R6349)</f>
      </c>
      <c r="K6350" s="43">
        <f>IF($I6350=0,0,IF(INDEX(DarlOhneTilgung,14)=1,0,IF(AND(INDEX(DarlTilgStart,14)&gt;0,$E6350=INDEX(DarlTilgStart,14)),$J6350*($H6350+INDEX(DarlTilgung,14))/100/12,IF(AND($G6350=0,$G6349=1),MAX($K6349,$J6350*($H6350+1)/100/12),$K6349))))</f>
      </c>
      <c r="L6350" s="43">
        <f>IF($I6350=0,0,$J6350*$H6350/100/12)</f>
      </c>
      <c r="M6350" s="43">
        <f>IF($I6350=0,0,IF(OR(INDEX(DarlOhneTilgung,14)=1,AND(INDEX(DarlTilgStart,14)&gt;0,$E6350&lt;INDEX(DarlTilgStart,14))),0,MIN(MAX(0,$K6350-$L6350),$J6350)))</f>
      </c>
      <c r="N6350" s="43">
        <f>IF($I6350=0,0,MIN(SUMIFS(SondBetrag,SondDarl,14,SondDatum,"&gt;="&amp;$E6350,SondDatum,"&lt;="&amp;EOMONTH($E6350,0)),$J6350-$M6350))</f>
      </c>
      <c r="O6350" s="43">
        <f>IF($I6350=0,0,INDEX(DarlErsatzRate,14))</f>
      </c>
      <c r="P6350" s="43">
        <f>IF($I6350=0,0,$Q6349*INDEX(DarlErsatzZins,14))</f>
      </c>
      <c r="Q6350" s="43">
        <f>IF($I6350=0,0,$Q6349+$P6350+$O6350)</f>
      </c>
      <c r="R6350" s="43">
        <f>IF($I6350=0,0,$J6350-$M6350-$N6350)</f>
      </c>
    </row>
    <row r="6351">
      <c r="A6351"/>
      <c r="B6351">
        <v>14</v>
      </c>
      <c r="C6351" s="43">
        <f>INDEX(DarlObj,14)</f>
      </c>
      <c r="D6351">
        <v>108</v>
      </c>
      <c r="E6351" s="51">
        <f>IF(INDEX(DarlBelegt,14)=0,0,EOMONTH(INDEX(DarlAuszahlung,14),107)+1)</f>
      </c>
      <c r="F6351" s="43">
        <f>IF($E6351=0,0,YEAR($E6351))</f>
      </c>
      <c r="G6351" s="43">
        <f>IF(INDEX(DarlBindung,14)="",1,IF($E6351&lt;=INDEX(DarlBindung,14),1,0))</f>
      </c>
      <c r="H6351" s="43">
        <f>IF($G6351=1,INDEX(DarlSollzins,14),INDEX(DarlAnschluss,14))</f>
      </c>
      <c r="I6351" s="43">
        <f>IF(INDEX(DarlBelegt,14)=0,0,IF(INDEX(DarlOhneTilgung,14)=1,IF(INDEX(DarlBindung,14)="",1,$G6351),IF($J6351&gt;0.005,1,0)))</f>
      </c>
      <c r="J6351" s="43">
        <f>IF($I6350=0,0,$R6350)</f>
      </c>
      <c r="K6351" s="43">
        <f>IF($I6351=0,0,IF(INDEX(DarlOhneTilgung,14)=1,0,IF(AND(INDEX(DarlTilgStart,14)&gt;0,$E6351=INDEX(DarlTilgStart,14)),$J6351*($H6351+INDEX(DarlTilgung,14))/100/12,IF(AND($G6351=0,$G6350=1),MAX($K6350,$J6351*($H6351+1)/100/12),$K6350))))</f>
      </c>
      <c r="L6351" s="43">
        <f>IF($I6351=0,0,$J6351*$H6351/100/12)</f>
      </c>
      <c r="M6351" s="43">
        <f>IF($I6351=0,0,IF(OR(INDEX(DarlOhneTilgung,14)=1,AND(INDEX(DarlTilgStart,14)&gt;0,$E6351&lt;INDEX(DarlTilgStart,14))),0,MIN(MAX(0,$K6351-$L6351),$J6351)))</f>
      </c>
      <c r="N6351" s="43">
        <f>IF($I6351=0,0,MIN(SUMIFS(SondBetrag,SondDarl,14,SondDatum,"&gt;="&amp;$E6351,SondDatum,"&lt;="&amp;EOMONTH($E6351,0)),$J6351-$M6351))</f>
      </c>
      <c r="O6351" s="43">
        <f>IF($I6351=0,0,INDEX(DarlErsatzRate,14))</f>
      </c>
      <c r="P6351" s="43">
        <f>IF($I6351=0,0,$Q6350*INDEX(DarlErsatzZins,14))</f>
      </c>
      <c r="Q6351" s="43">
        <f>IF($I6351=0,0,$Q6350+$P6351+$O6351)</f>
      </c>
      <c r="R6351" s="43">
        <f>IF($I6351=0,0,$J6351-$M6351-$N6351)</f>
      </c>
    </row>
    <row r="6352">
      <c r="A6352"/>
      <c r="B6352">
        <v>14</v>
      </c>
      <c r="C6352" s="43">
        <f>INDEX(DarlObj,14)</f>
      </c>
      <c r="D6352">
        <v>109</v>
      </c>
      <c r="E6352" s="51">
        <f>IF(INDEX(DarlBelegt,14)=0,0,EOMONTH(INDEX(DarlAuszahlung,14),108)+1)</f>
      </c>
      <c r="F6352" s="43">
        <f>IF($E6352=0,0,YEAR($E6352))</f>
      </c>
      <c r="G6352" s="43">
        <f>IF(INDEX(DarlBindung,14)="",1,IF($E6352&lt;=INDEX(DarlBindung,14),1,0))</f>
      </c>
      <c r="H6352" s="43">
        <f>IF($G6352=1,INDEX(DarlSollzins,14),INDEX(DarlAnschluss,14))</f>
      </c>
      <c r="I6352" s="43">
        <f>IF(INDEX(DarlBelegt,14)=0,0,IF(INDEX(DarlOhneTilgung,14)=1,IF(INDEX(DarlBindung,14)="",1,$G6352),IF($J6352&gt;0.005,1,0)))</f>
      </c>
      <c r="J6352" s="43">
        <f>IF($I6351=0,0,$R6351)</f>
      </c>
      <c r="K6352" s="43">
        <f>IF($I6352=0,0,IF(INDEX(DarlOhneTilgung,14)=1,0,IF(AND(INDEX(DarlTilgStart,14)&gt;0,$E6352=INDEX(DarlTilgStart,14)),$J6352*($H6352+INDEX(DarlTilgung,14))/100/12,IF(AND($G6352=0,$G6351=1),MAX($K6351,$J6352*($H6352+1)/100/12),$K6351))))</f>
      </c>
      <c r="L6352" s="43">
        <f>IF($I6352=0,0,$J6352*$H6352/100/12)</f>
      </c>
      <c r="M6352" s="43">
        <f>IF($I6352=0,0,IF(OR(INDEX(DarlOhneTilgung,14)=1,AND(INDEX(DarlTilgStart,14)&gt;0,$E6352&lt;INDEX(DarlTilgStart,14))),0,MIN(MAX(0,$K6352-$L6352),$J6352)))</f>
      </c>
      <c r="N6352" s="43">
        <f>IF($I6352=0,0,MIN(SUMIFS(SondBetrag,SondDarl,14,SondDatum,"&gt;="&amp;$E6352,SondDatum,"&lt;="&amp;EOMONTH($E6352,0)),$J6352-$M6352))</f>
      </c>
      <c r="O6352" s="43">
        <f>IF($I6352=0,0,INDEX(DarlErsatzRate,14))</f>
      </c>
      <c r="P6352" s="43">
        <f>IF($I6352=0,0,$Q6351*INDEX(DarlErsatzZins,14))</f>
      </c>
      <c r="Q6352" s="43">
        <f>IF($I6352=0,0,$Q6351+$P6352+$O6352)</f>
      </c>
      <c r="R6352" s="43">
        <f>IF($I6352=0,0,$J6352-$M6352-$N6352)</f>
      </c>
    </row>
    <row r="6353">
      <c r="A6353"/>
      <c r="B6353">
        <v>14</v>
      </c>
      <c r="C6353" s="43">
        <f>INDEX(DarlObj,14)</f>
      </c>
      <c r="D6353">
        <v>110</v>
      </c>
      <c r="E6353" s="51">
        <f>IF(INDEX(DarlBelegt,14)=0,0,EOMONTH(INDEX(DarlAuszahlung,14),109)+1)</f>
      </c>
      <c r="F6353" s="43">
        <f>IF($E6353=0,0,YEAR($E6353))</f>
      </c>
      <c r="G6353" s="43">
        <f>IF(INDEX(DarlBindung,14)="",1,IF($E6353&lt;=INDEX(DarlBindung,14),1,0))</f>
      </c>
      <c r="H6353" s="43">
        <f>IF($G6353=1,INDEX(DarlSollzins,14),INDEX(DarlAnschluss,14))</f>
      </c>
      <c r="I6353" s="43">
        <f>IF(INDEX(DarlBelegt,14)=0,0,IF(INDEX(DarlOhneTilgung,14)=1,IF(INDEX(DarlBindung,14)="",1,$G6353),IF($J6353&gt;0.005,1,0)))</f>
      </c>
      <c r="J6353" s="43">
        <f>IF($I6352=0,0,$R6352)</f>
      </c>
      <c r="K6353" s="43">
        <f>IF($I6353=0,0,IF(INDEX(DarlOhneTilgung,14)=1,0,IF(AND(INDEX(DarlTilgStart,14)&gt;0,$E6353=INDEX(DarlTilgStart,14)),$J6353*($H6353+INDEX(DarlTilgung,14))/100/12,IF(AND($G6353=0,$G6352=1),MAX($K6352,$J6353*($H6353+1)/100/12),$K6352))))</f>
      </c>
      <c r="L6353" s="43">
        <f>IF($I6353=0,0,$J6353*$H6353/100/12)</f>
      </c>
      <c r="M6353" s="43">
        <f>IF($I6353=0,0,IF(OR(INDEX(DarlOhneTilgung,14)=1,AND(INDEX(DarlTilgStart,14)&gt;0,$E6353&lt;INDEX(DarlTilgStart,14))),0,MIN(MAX(0,$K6353-$L6353),$J6353)))</f>
      </c>
      <c r="N6353" s="43">
        <f>IF($I6353=0,0,MIN(SUMIFS(SondBetrag,SondDarl,14,SondDatum,"&gt;="&amp;$E6353,SondDatum,"&lt;="&amp;EOMONTH($E6353,0)),$J6353-$M6353))</f>
      </c>
      <c r="O6353" s="43">
        <f>IF($I6353=0,0,INDEX(DarlErsatzRate,14))</f>
      </c>
      <c r="P6353" s="43">
        <f>IF($I6353=0,0,$Q6352*INDEX(DarlErsatzZins,14))</f>
      </c>
      <c r="Q6353" s="43">
        <f>IF($I6353=0,0,$Q6352+$P6353+$O6353)</f>
      </c>
      <c r="R6353" s="43">
        <f>IF($I6353=0,0,$J6353-$M6353-$N6353)</f>
      </c>
    </row>
    <row r="6354">
      <c r="A6354"/>
      <c r="B6354">
        <v>14</v>
      </c>
      <c r="C6354" s="43">
        <f>INDEX(DarlObj,14)</f>
      </c>
      <c r="D6354">
        <v>111</v>
      </c>
      <c r="E6354" s="51">
        <f>IF(INDEX(DarlBelegt,14)=0,0,EOMONTH(INDEX(DarlAuszahlung,14),110)+1)</f>
      </c>
      <c r="F6354" s="43">
        <f>IF($E6354=0,0,YEAR($E6354))</f>
      </c>
      <c r="G6354" s="43">
        <f>IF(INDEX(DarlBindung,14)="",1,IF($E6354&lt;=INDEX(DarlBindung,14),1,0))</f>
      </c>
      <c r="H6354" s="43">
        <f>IF($G6354=1,INDEX(DarlSollzins,14),INDEX(DarlAnschluss,14))</f>
      </c>
      <c r="I6354" s="43">
        <f>IF(INDEX(DarlBelegt,14)=0,0,IF(INDEX(DarlOhneTilgung,14)=1,IF(INDEX(DarlBindung,14)="",1,$G6354),IF($J6354&gt;0.005,1,0)))</f>
      </c>
      <c r="J6354" s="43">
        <f>IF($I6353=0,0,$R6353)</f>
      </c>
      <c r="K6354" s="43">
        <f>IF($I6354=0,0,IF(INDEX(DarlOhneTilgung,14)=1,0,IF(AND(INDEX(DarlTilgStart,14)&gt;0,$E6354=INDEX(DarlTilgStart,14)),$J6354*($H6354+INDEX(DarlTilgung,14))/100/12,IF(AND($G6354=0,$G6353=1),MAX($K6353,$J6354*($H6354+1)/100/12),$K6353))))</f>
      </c>
      <c r="L6354" s="43">
        <f>IF($I6354=0,0,$J6354*$H6354/100/12)</f>
      </c>
      <c r="M6354" s="43">
        <f>IF($I6354=0,0,IF(OR(INDEX(DarlOhneTilgung,14)=1,AND(INDEX(DarlTilgStart,14)&gt;0,$E6354&lt;INDEX(DarlTilgStart,14))),0,MIN(MAX(0,$K6354-$L6354),$J6354)))</f>
      </c>
      <c r="N6354" s="43">
        <f>IF($I6354=0,0,MIN(SUMIFS(SondBetrag,SondDarl,14,SondDatum,"&gt;="&amp;$E6354,SondDatum,"&lt;="&amp;EOMONTH($E6354,0)),$J6354-$M6354))</f>
      </c>
      <c r="O6354" s="43">
        <f>IF($I6354=0,0,INDEX(DarlErsatzRate,14))</f>
      </c>
      <c r="P6354" s="43">
        <f>IF($I6354=0,0,$Q6353*INDEX(DarlErsatzZins,14))</f>
      </c>
      <c r="Q6354" s="43">
        <f>IF($I6354=0,0,$Q6353+$P6354+$O6354)</f>
      </c>
      <c r="R6354" s="43">
        <f>IF($I6354=0,0,$J6354-$M6354-$N6354)</f>
      </c>
    </row>
    <row r="6355">
      <c r="A6355"/>
      <c r="B6355">
        <v>14</v>
      </c>
      <c r="C6355" s="43">
        <f>INDEX(DarlObj,14)</f>
      </c>
      <c r="D6355">
        <v>112</v>
      </c>
      <c r="E6355" s="51">
        <f>IF(INDEX(DarlBelegt,14)=0,0,EOMONTH(INDEX(DarlAuszahlung,14),111)+1)</f>
      </c>
      <c r="F6355" s="43">
        <f>IF($E6355=0,0,YEAR($E6355))</f>
      </c>
      <c r="G6355" s="43">
        <f>IF(INDEX(DarlBindung,14)="",1,IF($E6355&lt;=INDEX(DarlBindung,14),1,0))</f>
      </c>
      <c r="H6355" s="43">
        <f>IF($G6355=1,INDEX(DarlSollzins,14),INDEX(DarlAnschluss,14))</f>
      </c>
      <c r="I6355" s="43">
        <f>IF(INDEX(DarlBelegt,14)=0,0,IF(INDEX(DarlOhneTilgung,14)=1,IF(INDEX(DarlBindung,14)="",1,$G6355),IF($J6355&gt;0.005,1,0)))</f>
      </c>
      <c r="J6355" s="43">
        <f>IF($I6354=0,0,$R6354)</f>
      </c>
      <c r="K6355" s="43">
        <f>IF($I6355=0,0,IF(INDEX(DarlOhneTilgung,14)=1,0,IF(AND(INDEX(DarlTilgStart,14)&gt;0,$E6355=INDEX(DarlTilgStart,14)),$J6355*($H6355+INDEX(DarlTilgung,14))/100/12,IF(AND($G6355=0,$G6354=1),MAX($K6354,$J6355*($H6355+1)/100/12),$K6354))))</f>
      </c>
      <c r="L6355" s="43">
        <f>IF($I6355=0,0,$J6355*$H6355/100/12)</f>
      </c>
      <c r="M6355" s="43">
        <f>IF($I6355=0,0,IF(OR(INDEX(DarlOhneTilgung,14)=1,AND(INDEX(DarlTilgStart,14)&gt;0,$E6355&lt;INDEX(DarlTilgStart,14))),0,MIN(MAX(0,$K6355-$L6355),$J6355)))</f>
      </c>
      <c r="N6355" s="43">
        <f>IF($I6355=0,0,MIN(SUMIFS(SondBetrag,SondDarl,14,SondDatum,"&gt;="&amp;$E6355,SondDatum,"&lt;="&amp;EOMONTH($E6355,0)),$J6355-$M6355))</f>
      </c>
      <c r="O6355" s="43">
        <f>IF($I6355=0,0,INDEX(DarlErsatzRate,14))</f>
      </c>
      <c r="P6355" s="43">
        <f>IF($I6355=0,0,$Q6354*INDEX(DarlErsatzZins,14))</f>
      </c>
      <c r="Q6355" s="43">
        <f>IF($I6355=0,0,$Q6354+$P6355+$O6355)</f>
      </c>
      <c r="R6355" s="43">
        <f>IF($I6355=0,0,$J6355-$M6355-$N6355)</f>
      </c>
    </row>
    <row r="6356">
      <c r="A6356"/>
      <c r="B6356">
        <v>14</v>
      </c>
      <c r="C6356" s="43">
        <f>INDEX(DarlObj,14)</f>
      </c>
      <c r="D6356">
        <v>113</v>
      </c>
      <c r="E6356" s="51">
        <f>IF(INDEX(DarlBelegt,14)=0,0,EOMONTH(INDEX(DarlAuszahlung,14),112)+1)</f>
      </c>
      <c r="F6356" s="43">
        <f>IF($E6356=0,0,YEAR($E6356))</f>
      </c>
      <c r="G6356" s="43">
        <f>IF(INDEX(DarlBindung,14)="",1,IF($E6356&lt;=INDEX(DarlBindung,14),1,0))</f>
      </c>
      <c r="H6356" s="43">
        <f>IF($G6356=1,INDEX(DarlSollzins,14),INDEX(DarlAnschluss,14))</f>
      </c>
      <c r="I6356" s="43">
        <f>IF(INDEX(DarlBelegt,14)=0,0,IF(INDEX(DarlOhneTilgung,14)=1,IF(INDEX(DarlBindung,14)="",1,$G6356),IF($J6356&gt;0.005,1,0)))</f>
      </c>
      <c r="J6356" s="43">
        <f>IF($I6355=0,0,$R6355)</f>
      </c>
      <c r="K6356" s="43">
        <f>IF($I6356=0,0,IF(INDEX(DarlOhneTilgung,14)=1,0,IF(AND(INDEX(DarlTilgStart,14)&gt;0,$E6356=INDEX(DarlTilgStart,14)),$J6356*($H6356+INDEX(DarlTilgung,14))/100/12,IF(AND($G6356=0,$G6355=1),MAX($K6355,$J6356*($H6356+1)/100/12),$K6355))))</f>
      </c>
      <c r="L6356" s="43">
        <f>IF($I6356=0,0,$J6356*$H6356/100/12)</f>
      </c>
      <c r="M6356" s="43">
        <f>IF($I6356=0,0,IF(OR(INDEX(DarlOhneTilgung,14)=1,AND(INDEX(DarlTilgStart,14)&gt;0,$E6356&lt;INDEX(DarlTilgStart,14))),0,MIN(MAX(0,$K6356-$L6356),$J6356)))</f>
      </c>
      <c r="N6356" s="43">
        <f>IF($I6356=0,0,MIN(SUMIFS(SondBetrag,SondDarl,14,SondDatum,"&gt;="&amp;$E6356,SondDatum,"&lt;="&amp;EOMONTH($E6356,0)),$J6356-$M6356))</f>
      </c>
      <c r="O6356" s="43">
        <f>IF($I6356=0,0,INDEX(DarlErsatzRate,14))</f>
      </c>
      <c r="P6356" s="43">
        <f>IF($I6356=0,0,$Q6355*INDEX(DarlErsatzZins,14))</f>
      </c>
      <c r="Q6356" s="43">
        <f>IF($I6356=0,0,$Q6355+$P6356+$O6356)</f>
      </c>
      <c r="R6356" s="43">
        <f>IF($I6356=0,0,$J6356-$M6356-$N6356)</f>
      </c>
    </row>
    <row r="6357">
      <c r="A6357"/>
      <c r="B6357">
        <v>14</v>
      </c>
      <c r="C6357" s="43">
        <f>INDEX(DarlObj,14)</f>
      </c>
      <c r="D6357">
        <v>114</v>
      </c>
      <c r="E6357" s="51">
        <f>IF(INDEX(DarlBelegt,14)=0,0,EOMONTH(INDEX(DarlAuszahlung,14),113)+1)</f>
      </c>
      <c r="F6357" s="43">
        <f>IF($E6357=0,0,YEAR($E6357))</f>
      </c>
      <c r="G6357" s="43">
        <f>IF(INDEX(DarlBindung,14)="",1,IF($E6357&lt;=INDEX(DarlBindung,14),1,0))</f>
      </c>
      <c r="H6357" s="43">
        <f>IF($G6357=1,INDEX(DarlSollzins,14),INDEX(DarlAnschluss,14))</f>
      </c>
      <c r="I6357" s="43">
        <f>IF(INDEX(DarlBelegt,14)=0,0,IF(INDEX(DarlOhneTilgung,14)=1,IF(INDEX(DarlBindung,14)="",1,$G6357),IF($J6357&gt;0.005,1,0)))</f>
      </c>
      <c r="J6357" s="43">
        <f>IF($I6356=0,0,$R6356)</f>
      </c>
      <c r="K6357" s="43">
        <f>IF($I6357=0,0,IF(INDEX(DarlOhneTilgung,14)=1,0,IF(AND(INDEX(DarlTilgStart,14)&gt;0,$E6357=INDEX(DarlTilgStart,14)),$J6357*($H6357+INDEX(DarlTilgung,14))/100/12,IF(AND($G6357=0,$G6356=1),MAX($K6356,$J6357*($H6357+1)/100/12),$K6356))))</f>
      </c>
      <c r="L6357" s="43">
        <f>IF($I6357=0,0,$J6357*$H6357/100/12)</f>
      </c>
      <c r="M6357" s="43">
        <f>IF($I6357=0,0,IF(OR(INDEX(DarlOhneTilgung,14)=1,AND(INDEX(DarlTilgStart,14)&gt;0,$E6357&lt;INDEX(DarlTilgStart,14))),0,MIN(MAX(0,$K6357-$L6357),$J6357)))</f>
      </c>
      <c r="N6357" s="43">
        <f>IF($I6357=0,0,MIN(SUMIFS(SondBetrag,SondDarl,14,SondDatum,"&gt;="&amp;$E6357,SondDatum,"&lt;="&amp;EOMONTH($E6357,0)),$J6357-$M6357))</f>
      </c>
      <c r="O6357" s="43">
        <f>IF($I6357=0,0,INDEX(DarlErsatzRate,14))</f>
      </c>
      <c r="P6357" s="43">
        <f>IF($I6357=0,0,$Q6356*INDEX(DarlErsatzZins,14))</f>
      </c>
      <c r="Q6357" s="43">
        <f>IF($I6357=0,0,$Q6356+$P6357+$O6357)</f>
      </c>
      <c r="R6357" s="43">
        <f>IF($I6357=0,0,$J6357-$M6357-$N6357)</f>
      </c>
    </row>
    <row r="6358">
      <c r="A6358"/>
      <c r="B6358">
        <v>14</v>
      </c>
      <c r="C6358" s="43">
        <f>INDEX(DarlObj,14)</f>
      </c>
      <c r="D6358">
        <v>115</v>
      </c>
      <c r="E6358" s="51">
        <f>IF(INDEX(DarlBelegt,14)=0,0,EOMONTH(INDEX(DarlAuszahlung,14),114)+1)</f>
      </c>
      <c r="F6358" s="43">
        <f>IF($E6358=0,0,YEAR($E6358))</f>
      </c>
      <c r="G6358" s="43">
        <f>IF(INDEX(DarlBindung,14)="",1,IF($E6358&lt;=INDEX(DarlBindung,14),1,0))</f>
      </c>
      <c r="H6358" s="43">
        <f>IF($G6358=1,INDEX(DarlSollzins,14),INDEX(DarlAnschluss,14))</f>
      </c>
      <c r="I6358" s="43">
        <f>IF(INDEX(DarlBelegt,14)=0,0,IF(INDEX(DarlOhneTilgung,14)=1,IF(INDEX(DarlBindung,14)="",1,$G6358),IF($J6358&gt;0.005,1,0)))</f>
      </c>
      <c r="J6358" s="43">
        <f>IF($I6357=0,0,$R6357)</f>
      </c>
      <c r="K6358" s="43">
        <f>IF($I6358=0,0,IF(INDEX(DarlOhneTilgung,14)=1,0,IF(AND(INDEX(DarlTilgStart,14)&gt;0,$E6358=INDEX(DarlTilgStart,14)),$J6358*($H6358+INDEX(DarlTilgung,14))/100/12,IF(AND($G6358=0,$G6357=1),MAX($K6357,$J6358*($H6358+1)/100/12),$K6357))))</f>
      </c>
      <c r="L6358" s="43">
        <f>IF($I6358=0,0,$J6358*$H6358/100/12)</f>
      </c>
      <c r="M6358" s="43">
        <f>IF($I6358=0,0,IF(OR(INDEX(DarlOhneTilgung,14)=1,AND(INDEX(DarlTilgStart,14)&gt;0,$E6358&lt;INDEX(DarlTilgStart,14))),0,MIN(MAX(0,$K6358-$L6358),$J6358)))</f>
      </c>
      <c r="N6358" s="43">
        <f>IF($I6358=0,0,MIN(SUMIFS(SondBetrag,SondDarl,14,SondDatum,"&gt;="&amp;$E6358,SondDatum,"&lt;="&amp;EOMONTH($E6358,0)),$J6358-$M6358))</f>
      </c>
      <c r="O6358" s="43">
        <f>IF($I6358=0,0,INDEX(DarlErsatzRate,14))</f>
      </c>
      <c r="P6358" s="43">
        <f>IF($I6358=0,0,$Q6357*INDEX(DarlErsatzZins,14))</f>
      </c>
      <c r="Q6358" s="43">
        <f>IF($I6358=0,0,$Q6357+$P6358+$O6358)</f>
      </c>
      <c r="R6358" s="43">
        <f>IF($I6358=0,0,$J6358-$M6358-$N6358)</f>
      </c>
    </row>
    <row r="6359">
      <c r="A6359"/>
      <c r="B6359">
        <v>14</v>
      </c>
      <c r="C6359" s="43">
        <f>INDEX(DarlObj,14)</f>
      </c>
      <c r="D6359">
        <v>116</v>
      </c>
      <c r="E6359" s="51">
        <f>IF(INDEX(DarlBelegt,14)=0,0,EOMONTH(INDEX(DarlAuszahlung,14),115)+1)</f>
      </c>
      <c r="F6359" s="43">
        <f>IF($E6359=0,0,YEAR($E6359))</f>
      </c>
      <c r="G6359" s="43">
        <f>IF(INDEX(DarlBindung,14)="",1,IF($E6359&lt;=INDEX(DarlBindung,14),1,0))</f>
      </c>
      <c r="H6359" s="43">
        <f>IF($G6359=1,INDEX(DarlSollzins,14),INDEX(DarlAnschluss,14))</f>
      </c>
      <c r="I6359" s="43">
        <f>IF(INDEX(DarlBelegt,14)=0,0,IF(INDEX(DarlOhneTilgung,14)=1,IF(INDEX(DarlBindung,14)="",1,$G6359),IF($J6359&gt;0.005,1,0)))</f>
      </c>
      <c r="J6359" s="43">
        <f>IF($I6358=0,0,$R6358)</f>
      </c>
      <c r="K6359" s="43">
        <f>IF($I6359=0,0,IF(INDEX(DarlOhneTilgung,14)=1,0,IF(AND(INDEX(DarlTilgStart,14)&gt;0,$E6359=INDEX(DarlTilgStart,14)),$J6359*($H6359+INDEX(DarlTilgung,14))/100/12,IF(AND($G6359=0,$G6358=1),MAX($K6358,$J6359*($H6359+1)/100/12),$K6358))))</f>
      </c>
      <c r="L6359" s="43">
        <f>IF($I6359=0,0,$J6359*$H6359/100/12)</f>
      </c>
      <c r="M6359" s="43">
        <f>IF($I6359=0,0,IF(OR(INDEX(DarlOhneTilgung,14)=1,AND(INDEX(DarlTilgStart,14)&gt;0,$E6359&lt;INDEX(DarlTilgStart,14))),0,MIN(MAX(0,$K6359-$L6359),$J6359)))</f>
      </c>
      <c r="N6359" s="43">
        <f>IF($I6359=0,0,MIN(SUMIFS(SondBetrag,SondDarl,14,SondDatum,"&gt;="&amp;$E6359,SondDatum,"&lt;="&amp;EOMONTH($E6359,0)),$J6359-$M6359))</f>
      </c>
      <c r="O6359" s="43">
        <f>IF($I6359=0,0,INDEX(DarlErsatzRate,14))</f>
      </c>
      <c r="P6359" s="43">
        <f>IF($I6359=0,0,$Q6358*INDEX(DarlErsatzZins,14))</f>
      </c>
      <c r="Q6359" s="43">
        <f>IF($I6359=0,0,$Q6358+$P6359+$O6359)</f>
      </c>
      <c r="R6359" s="43">
        <f>IF($I6359=0,0,$J6359-$M6359-$N6359)</f>
      </c>
    </row>
    <row r="6360">
      <c r="A6360"/>
      <c r="B6360">
        <v>14</v>
      </c>
      <c r="C6360" s="43">
        <f>INDEX(DarlObj,14)</f>
      </c>
      <c r="D6360">
        <v>117</v>
      </c>
      <c r="E6360" s="51">
        <f>IF(INDEX(DarlBelegt,14)=0,0,EOMONTH(INDEX(DarlAuszahlung,14),116)+1)</f>
      </c>
      <c r="F6360" s="43">
        <f>IF($E6360=0,0,YEAR($E6360))</f>
      </c>
      <c r="G6360" s="43">
        <f>IF(INDEX(DarlBindung,14)="",1,IF($E6360&lt;=INDEX(DarlBindung,14),1,0))</f>
      </c>
      <c r="H6360" s="43">
        <f>IF($G6360=1,INDEX(DarlSollzins,14),INDEX(DarlAnschluss,14))</f>
      </c>
      <c r="I6360" s="43">
        <f>IF(INDEX(DarlBelegt,14)=0,0,IF(INDEX(DarlOhneTilgung,14)=1,IF(INDEX(DarlBindung,14)="",1,$G6360),IF($J6360&gt;0.005,1,0)))</f>
      </c>
      <c r="J6360" s="43">
        <f>IF($I6359=0,0,$R6359)</f>
      </c>
      <c r="K6360" s="43">
        <f>IF($I6360=0,0,IF(INDEX(DarlOhneTilgung,14)=1,0,IF(AND(INDEX(DarlTilgStart,14)&gt;0,$E6360=INDEX(DarlTilgStart,14)),$J6360*($H6360+INDEX(DarlTilgung,14))/100/12,IF(AND($G6360=0,$G6359=1),MAX($K6359,$J6360*($H6360+1)/100/12),$K6359))))</f>
      </c>
      <c r="L6360" s="43">
        <f>IF($I6360=0,0,$J6360*$H6360/100/12)</f>
      </c>
      <c r="M6360" s="43">
        <f>IF($I6360=0,0,IF(OR(INDEX(DarlOhneTilgung,14)=1,AND(INDEX(DarlTilgStart,14)&gt;0,$E6360&lt;INDEX(DarlTilgStart,14))),0,MIN(MAX(0,$K6360-$L6360),$J6360)))</f>
      </c>
      <c r="N6360" s="43">
        <f>IF($I6360=0,0,MIN(SUMIFS(SondBetrag,SondDarl,14,SondDatum,"&gt;="&amp;$E6360,SondDatum,"&lt;="&amp;EOMONTH($E6360,0)),$J6360-$M6360))</f>
      </c>
      <c r="O6360" s="43">
        <f>IF($I6360=0,0,INDEX(DarlErsatzRate,14))</f>
      </c>
      <c r="P6360" s="43">
        <f>IF($I6360=0,0,$Q6359*INDEX(DarlErsatzZins,14))</f>
      </c>
      <c r="Q6360" s="43">
        <f>IF($I6360=0,0,$Q6359+$P6360+$O6360)</f>
      </c>
      <c r="R6360" s="43">
        <f>IF($I6360=0,0,$J6360-$M6360-$N6360)</f>
      </c>
    </row>
    <row r="6361">
      <c r="A6361"/>
      <c r="B6361">
        <v>14</v>
      </c>
      <c r="C6361" s="43">
        <f>INDEX(DarlObj,14)</f>
      </c>
      <c r="D6361">
        <v>118</v>
      </c>
      <c r="E6361" s="51">
        <f>IF(INDEX(DarlBelegt,14)=0,0,EOMONTH(INDEX(DarlAuszahlung,14),117)+1)</f>
      </c>
      <c r="F6361" s="43">
        <f>IF($E6361=0,0,YEAR($E6361))</f>
      </c>
      <c r="G6361" s="43">
        <f>IF(INDEX(DarlBindung,14)="",1,IF($E6361&lt;=INDEX(DarlBindung,14),1,0))</f>
      </c>
      <c r="H6361" s="43">
        <f>IF($G6361=1,INDEX(DarlSollzins,14),INDEX(DarlAnschluss,14))</f>
      </c>
      <c r="I6361" s="43">
        <f>IF(INDEX(DarlBelegt,14)=0,0,IF(INDEX(DarlOhneTilgung,14)=1,IF(INDEX(DarlBindung,14)="",1,$G6361),IF($J6361&gt;0.005,1,0)))</f>
      </c>
      <c r="J6361" s="43">
        <f>IF($I6360=0,0,$R6360)</f>
      </c>
      <c r="K6361" s="43">
        <f>IF($I6361=0,0,IF(INDEX(DarlOhneTilgung,14)=1,0,IF(AND(INDEX(DarlTilgStart,14)&gt;0,$E6361=INDEX(DarlTilgStart,14)),$J6361*($H6361+INDEX(DarlTilgung,14))/100/12,IF(AND($G6361=0,$G6360=1),MAX($K6360,$J6361*($H6361+1)/100/12),$K6360))))</f>
      </c>
      <c r="L6361" s="43">
        <f>IF($I6361=0,0,$J6361*$H6361/100/12)</f>
      </c>
      <c r="M6361" s="43">
        <f>IF($I6361=0,0,IF(OR(INDEX(DarlOhneTilgung,14)=1,AND(INDEX(DarlTilgStart,14)&gt;0,$E6361&lt;INDEX(DarlTilgStart,14))),0,MIN(MAX(0,$K6361-$L6361),$J6361)))</f>
      </c>
      <c r="N6361" s="43">
        <f>IF($I6361=0,0,MIN(SUMIFS(SondBetrag,SondDarl,14,SondDatum,"&gt;="&amp;$E6361,SondDatum,"&lt;="&amp;EOMONTH($E6361,0)),$J6361-$M6361))</f>
      </c>
      <c r="O6361" s="43">
        <f>IF($I6361=0,0,INDEX(DarlErsatzRate,14))</f>
      </c>
      <c r="P6361" s="43">
        <f>IF($I6361=0,0,$Q6360*INDEX(DarlErsatzZins,14))</f>
      </c>
      <c r="Q6361" s="43">
        <f>IF($I6361=0,0,$Q6360+$P6361+$O6361)</f>
      </c>
      <c r="R6361" s="43">
        <f>IF($I6361=0,0,$J6361-$M6361-$N6361)</f>
      </c>
    </row>
    <row r="6362">
      <c r="A6362"/>
      <c r="B6362">
        <v>14</v>
      </c>
      <c r="C6362" s="43">
        <f>INDEX(DarlObj,14)</f>
      </c>
      <c r="D6362">
        <v>119</v>
      </c>
      <c r="E6362" s="51">
        <f>IF(INDEX(DarlBelegt,14)=0,0,EOMONTH(INDEX(DarlAuszahlung,14),118)+1)</f>
      </c>
      <c r="F6362" s="43">
        <f>IF($E6362=0,0,YEAR($E6362))</f>
      </c>
      <c r="G6362" s="43">
        <f>IF(INDEX(DarlBindung,14)="",1,IF($E6362&lt;=INDEX(DarlBindung,14),1,0))</f>
      </c>
      <c r="H6362" s="43">
        <f>IF($G6362=1,INDEX(DarlSollzins,14),INDEX(DarlAnschluss,14))</f>
      </c>
      <c r="I6362" s="43">
        <f>IF(INDEX(DarlBelegt,14)=0,0,IF(INDEX(DarlOhneTilgung,14)=1,IF(INDEX(DarlBindung,14)="",1,$G6362),IF($J6362&gt;0.005,1,0)))</f>
      </c>
      <c r="J6362" s="43">
        <f>IF($I6361=0,0,$R6361)</f>
      </c>
      <c r="K6362" s="43">
        <f>IF($I6362=0,0,IF(INDEX(DarlOhneTilgung,14)=1,0,IF(AND(INDEX(DarlTilgStart,14)&gt;0,$E6362=INDEX(DarlTilgStart,14)),$J6362*($H6362+INDEX(DarlTilgung,14))/100/12,IF(AND($G6362=0,$G6361=1),MAX($K6361,$J6362*($H6362+1)/100/12),$K6361))))</f>
      </c>
      <c r="L6362" s="43">
        <f>IF($I6362=0,0,$J6362*$H6362/100/12)</f>
      </c>
      <c r="M6362" s="43">
        <f>IF($I6362=0,0,IF(OR(INDEX(DarlOhneTilgung,14)=1,AND(INDEX(DarlTilgStart,14)&gt;0,$E6362&lt;INDEX(DarlTilgStart,14))),0,MIN(MAX(0,$K6362-$L6362),$J6362)))</f>
      </c>
      <c r="N6362" s="43">
        <f>IF($I6362=0,0,MIN(SUMIFS(SondBetrag,SondDarl,14,SondDatum,"&gt;="&amp;$E6362,SondDatum,"&lt;="&amp;EOMONTH($E6362,0)),$J6362-$M6362))</f>
      </c>
      <c r="O6362" s="43">
        <f>IF($I6362=0,0,INDEX(DarlErsatzRate,14))</f>
      </c>
      <c r="P6362" s="43">
        <f>IF($I6362=0,0,$Q6361*INDEX(DarlErsatzZins,14))</f>
      </c>
      <c r="Q6362" s="43">
        <f>IF($I6362=0,0,$Q6361+$P6362+$O6362)</f>
      </c>
      <c r="R6362" s="43">
        <f>IF($I6362=0,0,$J6362-$M6362-$N6362)</f>
      </c>
    </row>
    <row r="6363">
      <c r="A6363"/>
      <c r="B6363">
        <v>14</v>
      </c>
      <c r="C6363" s="43">
        <f>INDEX(DarlObj,14)</f>
      </c>
      <c r="D6363">
        <v>120</v>
      </c>
      <c r="E6363" s="51">
        <f>IF(INDEX(DarlBelegt,14)=0,0,EOMONTH(INDEX(DarlAuszahlung,14),119)+1)</f>
      </c>
      <c r="F6363" s="43">
        <f>IF($E6363=0,0,YEAR($E6363))</f>
      </c>
      <c r="G6363" s="43">
        <f>IF(INDEX(DarlBindung,14)="",1,IF($E6363&lt;=INDEX(DarlBindung,14),1,0))</f>
      </c>
      <c r="H6363" s="43">
        <f>IF($G6363=1,INDEX(DarlSollzins,14),INDEX(DarlAnschluss,14))</f>
      </c>
      <c r="I6363" s="43">
        <f>IF(INDEX(DarlBelegt,14)=0,0,IF(INDEX(DarlOhneTilgung,14)=1,IF(INDEX(DarlBindung,14)="",1,$G6363),IF($J6363&gt;0.005,1,0)))</f>
      </c>
      <c r="J6363" s="43">
        <f>IF($I6362=0,0,$R6362)</f>
      </c>
      <c r="K6363" s="43">
        <f>IF($I6363=0,0,IF(INDEX(DarlOhneTilgung,14)=1,0,IF(AND(INDEX(DarlTilgStart,14)&gt;0,$E6363=INDEX(DarlTilgStart,14)),$J6363*($H6363+INDEX(DarlTilgung,14))/100/12,IF(AND($G6363=0,$G6362=1),MAX($K6362,$J6363*($H6363+1)/100/12),$K6362))))</f>
      </c>
      <c r="L6363" s="43">
        <f>IF($I6363=0,0,$J6363*$H6363/100/12)</f>
      </c>
      <c r="M6363" s="43">
        <f>IF($I6363=0,0,IF(OR(INDEX(DarlOhneTilgung,14)=1,AND(INDEX(DarlTilgStart,14)&gt;0,$E6363&lt;INDEX(DarlTilgStart,14))),0,MIN(MAX(0,$K6363-$L6363),$J6363)))</f>
      </c>
      <c r="N6363" s="43">
        <f>IF($I6363=0,0,MIN(SUMIFS(SondBetrag,SondDarl,14,SondDatum,"&gt;="&amp;$E6363,SondDatum,"&lt;="&amp;EOMONTH($E6363,0)),$J6363-$M6363))</f>
      </c>
      <c r="O6363" s="43">
        <f>IF($I6363=0,0,INDEX(DarlErsatzRate,14))</f>
      </c>
      <c r="P6363" s="43">
        <f>IF($I6363=0,0,$Q6362*INDEX(DarlErsatzZins,14))</f>
      </c>
      <c r="Q6363" s="43">
        <f>IF($I6363=0,0,$Q6362+$P6363+$O6363)</f>
      </c>
      <c r="R6363" s="43">
        <f>IF($I6363=0,0,$J6363-$M6363-$N6363)</f>
      </c>
    </row>
    <row r="6364">
      <c r="A6364"/>
      <c r="B6364">
        <v>14</v>
      </c>
      <c r="C6364" s="43">
        <f>INDEX(DarlObj,14)</f>
      </c>
      <c r="D6364">
        <v>121</v>
      </c>
      <c r="E6364" s="51">
        <f>IF(INDEX(DarlBelegt,14)=0,0,EOMONTH(INDEX(DarlAuszahlung,14),120)+1)</f>
      </c>
      <c r="F6364" s="43">
        <f>IF($E6364=0,0,YEAR($E6364))</f>
      </c>
      <c r="G6364" s="43">
        <f>IF(INDEX(DarlBindung,14)="",1,IF($E6364&lt;=INDEX(DarlBindung,14),1,0))</f>
      </c>
      <c r="H6364" s="43">
        <f>IF($G6364=1,INDEX(DarlSollzins,14),INDEX(DarlAnschluss,14))</f>
      </c>
      <c r="I6364" s="43">
        <f>IF(INDEX(DarlBelegt,14)=0,0,IF(INDEX(DarlOhneTilgung,14)=1,IF(INDEX(DarlBindung,14)="",1,$G6364),IF($J6364&gt;0.005,1,0)))</f>
      </c>
      <c r="J6364" s="43">
        <f>IF($I6363=0,0,$R6363)</f>
      </c>
      <c r="K6364" s="43">
        <f>IF($I6364=0,0,IF(INDEX(DarlOhneTilgung,14)=1,0,IF(AND(INDEX(DarlTilgStart,14)&gt;0,$E6364=INDEX(DarlTilgStart,14)),$J6364*($H6364+INDEX(DarlTilgung,14))/100/12,IF(AND($G6364=0,$G6363=1),MAX($K6363,$J6364*($H6364+1)/100/12),$K6363))))</f>
      </c>
      <c r="L6364" s="43">
        <f>IF($I6364=0,0,$J6364*$H6364/100/12)</f>
      </c>
      <c r="M6364" s="43">
        <f>IF($I6364=0,0,IF(OR(INDEX(DarlOhneTilgung,14)=1,AND(INDEX(DarlTilgStart,14)&gt;0,$E6364&lt;INDEX(DarlTilgStart,14))),0,MIN(MAX(0,$K6364-$L6364),$J6364)))</f>
      </c>
      <c r="N6364" s="43">
        <f>IF($I6364=0,0,MIN(SUMIFS(SondBetrag,SondDarl,14,SondDatum,"&gt;="&amp;$E6364,SondDatum,"&lt;="&amp;EOMONTH($E6364,0)),$J6364-$M6364))</f>
      </c>
      <c r="O6364" s="43">
        <f>IF($I6364=0,0,INDEX(DarlErsatzRate,14))</f>
      </c>
      <c r="P6364" s="43">
        <f>IF($I6364=0,0,$Q6363*INDEX(DarlErsatzZins,14))</f>
      </c>
      <c r="Q6364" s="43">
        <f>IF($I6364=0,0,$Q6363+$P6364+$O6364)</f>
      </c>
      <c r="R6364" s="43">
        <f>IF($I6364=0,0,$J6364-$M6364-$N6364)</f>
      </c>
    </row>
    <row r="6365">
      <c r="A6365"/>
      <c r="B6365">
        <v>14</v>
      </c>
      <c r="C6365" s="43">
        <f>INDEX(DarlObj,14)</f>
      </c>
      <c r="D6365">
        <v>122</v>
      </c>
      <c r="E6365" s="51">
        <f>IF(INDEX(DarlBelegt,14)=0,0,EOMONTH(INDEX(DarlAuszahlung,14),121)+1)</f>
      </c>
      <c r="F6365" s="43">
        <f>IF($E6365=0,0,YEAR($E6365))</f>
      </c>
      <c r="G6365" s="43">
        <f>IF(INDEX(DarlBindung,14)="",1,IF($E6365&lt;=INDEX(DarlBindung,14),1,0))</f>
      </c>
      <c r="H6365" s="43">
        <f>IF($G6365=1,INDEX(DarlSollzins,14),INDEX(DarlAnschluss,14))</f>
      </c>
      <c r="I6365" s="43">
        <f>IF(INDEX(DarlBelegt,14)=0,0,IF(INDEX(DarlOhneTilgung,14)=1,IF(INDEX(DarlBindung,14)="",1,$G6365),IF($J6365&gt;0.005,1,0)))</f>
      </c>
      <c r="J6365" s="43">
        <f>IF($I6364=0,0,$R6364)</f>
      </c>
      <c r="K6365" s="43">
        <f>IF($I6365=0,0,IF(INDEX(DarlOhneTilgung,14)=1,0,IF(AND(INDEX(DarlTilgStart,14)&gt;0,$E6365=INDEX(DarlTilgStart,14)),$J6365*($H6365+INDEX(DarlTilgung,14))/100/12,IF(AND($G6365=0,$G6364=1),MAX($K6364,$J6365*($H6365+1)/100/12),$K6364))))</f>
      </c>
      <c r="L6365" s="43">
        <f>IF($I6365=0,0,$J6365*$H6365/100/12)</f>
      </c>
      <c r="M6365" s="43">
        <f>IF($I6365=0,0,IF(OR(INDEX(DarlOhneTilgung,14)=1,AND(INDEX(DarlTilgStart,14)&gt;0,$E6365&lt;INDEX(DarlTilgStart,14))),0,MIN(MAX(0,$K6365-$L6365),$J6365)))</f>
      </c>
      <c r="N6365" s="43">
        <f>IF($I6365=0,0,MIN(SUMIFS(SondBetrag,SondDarl,14,SondDatum,"&gt;="&amp;$E6365,SondDatum,"&lt;="&amp;EOMONTH($E6365,0)),$J6365-$M6365))</f>
      </c>
      <c r="O6365" s="43">
        <f>IF($I6365=0,0,INDEX(DarlErsatzRate,14))</f>
      </c>
      <c r="P6365" s="43">
        <f>IF($I6365=0,0,$Q6364*INDEX(DarlErsatzZins,14))</f>
      </c>
      <c r="Q6365" s="43">
        <f>IF($I6365=0,0,$Q6364+$P6365+$O6365)</f>
      </c>
      <c r="R6365" s="43">
        <f>IF($I6365=0,0,$J6365-$M6365-$N6365)</f>
      </c>
    </row>
    <row r="6366">
      <c r="A6366"/>
      <c r="B6366">
        <v>14</v>
      </c>
      <c r="C6366" s="43">
        <f>INDEX(DarlObj,14)</f>
      </c>
      <c r="D6366">
        <v>123</v>
      </c>
      <c r="E6366" s="51">
        <f>IF(INDEX(DarlBelegt,14)=0,0,EOMONTH(INDEX(DarlAuszahlung,14),122)+1)</f>
      </c>
      <c r="F6366" s="43">
        <f>IF($E6366=0,0,YEAR($E6366))</f>
      </c>
      <c r="G6366" s="43">
        <f>IF(INDEX(DarlBindung,14)="",1,IF($E6366&lt;=INDEX(DarlBindung,14),1,0))</f>
      </c>
      <c r="H6366" s="43">
        <f>IF($G6366=1,INDEX(DarlSollzins,14),INDEX(DarlAnschluss,14))</f>
      </c>
      <c r="I6366" s="43">
        <f>IF(INDEX(DarlBelegt,14)=0,0,IF(INDEX(DarlOhneTilgung,14)=1,IF(INDEX(DarlBindung,14)="",1,$G6366),IF($J6366&gt;0.005,1,0)))</f>
      </c>
      <c r="J6366" s="43">
        <f>IF($I6365=0,0,$R6365)</f>
      </c>
      <c r="K6366" s="43">
        <f>IF($I6366=0,0,IF(INDEX(DarlOhneTilgung,14)=1,0,IF(AND(INDEX(DarlTilgStart,14)&gt;0,$E6366=INDEX(DarlTilgStart,14)),$J6366*($H6366+INDEX(DarlTilgung,14))/100/12,IF(AND($G6366=0,$G6365=1),MAX($K6365,$J6366*($H6366+1)/100/12),$K6365))))</f>
      </c>
      <c r="L6366" s="43">
        <f>IF($I6366=0,0,$J6366*$H6366/100/12)</f>
      </c>
      <c r="M6366" s="43">
        <f>IF($I6366=0,0,IF(OR(INDEX(DarlOhneTilgung,14)=1,AND(INDEX(DarlTilgStart,14)&gt;0,$E6366&lt;INDEX(DarlTilgStart,14))),0,MIN(MAX(0,$K6366-$L6366),$J6366)))</f>
      </c>
      <c r="N6366" s="43">
        <f>IF($I6366=0,0,MIN(SUMIFS(SondBetrag,SondDarl,14,SondDatum,"&gt;="&amp;$E6366,SondDatum,"&lt;="&amp;EOMONTH($E6366,0)),$J6366-$M6366))</f>
      </c>
      <c r="O6366" s="43">
        <f>IF($I6366=0,0,INDEX(DarlErsatzRate,14))</f>
      </c>
      <c r="P6366" s="43">
        <f>IF($I6366=0,0,$Q6365*INDEX(DarlErsatzZins,14))</f>
      </c>
      <c r="Q6366" s="43">
        <f>IF($I6366=0,0,$Q6365+$P6366+$O6366)</f>
      </c>
      <c r="R6366" s="43">
        <f>IF($I6366=0,0,$J6366-$M6366-$N6366)</f>
      </c>
    </row>
    <row r="6367">
      <c r="A6367"/>
      <c r="B6367">
        <v>14</v>
      </c>
      <c r="C6367" s="43">
        <f>INDEX(DarlObj,14)</f>
      </c>
      <c r="D6367">
        <v>124</v>
      </c>
      <c r="E6367" s="51">
        <f>IF(INDEX(DarlBelegt,14)=0,0,EOMONTH(INDEX(DarlAuszahlung,14),123)+1)</f>
      </c>
      <c r="F6367" s="43">
        <f>IF($E6367=0,0,YEAR($E6367))</f>
      </c>
      <c r="G6367" s="43">
        <f>IF(INDEX(DarlBindung,14)="",1,IF($E6367&lt;=INDEX(DarlBindung,14),1,0))</f>
      </c>
      <c r="H6367" s="43">
        <f>IF($G6367=1,INDEX(DarlSollzins,14),INDEX(DarlAnschluss,14))</f>
      </c>
      <c r="I6367" s="43">
        <f>IF(INDEX(DarlBelegt,14)=0,0,IF(INDEX(DarlOhneTilgung,14)=1,IF(INDEX(DarlBindung,14)="",1,$G6367),IF($J6367&gt;0.005,1,0)))</f>
      </c>
      <c r="J6367" s="43">
        <f>IF($I6366=0,0,$R6366)</f>
      </c>
      <c r="K6367" s="43">
        <f>IF($I6367=0,0,IF(INDEX(DarlOhneTilgung,14)=1,0,IF(AND(INDEX(DarlTilgStart,14)&gt;0,$E6367=INDEX(DarlTilgStart,14)),$J6367*($H6367+INDEX(DarlTilgung,14))/100/12,IF(AND($G6367=0,$G6366=1),MAX($K6366,$J6367*($H6367+1)/100/12),$K6366))))</f>
      </c>
      <c r="L6367" s="43">
        <f>IF($I6367=0,0,$J6367*$H6367/100/12)</f>
      </c>
      <c r="M6367" s="43">
        <f>IF($I6367=0,0,IF(OR(INDEX(DarlOhneTilgung,14)=1,AND(INDEX(DarlTilgStart,14)&gt;0,$E6367&lt;INDEX(DarlTilgStart,14))),0,MIN(MAX(0,$K6367-$L6367),$J6367)))</f>
      </c>
      <c r="N6367" s="43">
        <f>IF($I6367=0,0,MIN(SUMIFS(SondBetrag,SondDarl,14,SondDatum,"&gt;="&amp;$E6367,SondDatum,"&lt;="&amp;EOMONTH($E6367,0)),$J6367-$M6367))</f>
      </c>
      <c r="O6367" s="43">
        <f>IF($I6367=0,0,INDEX(DarlErsatzRate,14))</f>
      </c>
      <c r="P6367" s="43">
        <f>IF($I6367=0,0,$Q6366*INDEX(DarlErsatzZins,14))</f>
      </c>
      <c r="Q6367" s="43">
        <f>IF($I6367=0,0,$Q6366+$P6367+$O6367)</f>
      </c>
      <c r="R6367" s="43">
        <f>IF($I6367=0,0,$J6367-$M6367-$N6367)</f>
      </c>
    </row>
    <row r="6368">
      <c r="A6368"/>
      <c r="B6368">
        <v>14</v>
      </c>
      <c r="C6368" s="43">
        <f>INDEX(DarlObj,14)</f>
      </c>
      <c r="D6368">
        <v>125</v>
      </c>
      <c r="E6368" s="51">
        <f>IF(INDEX(DarlBelegt,14)=0,0,EOMONTH(INDEX(DarlAuszahlung,14),124)+1)</f>
      </c>
      <c r="F6368" s="43">
        <f>IF($E6368=0,0,YEAR($E6368))</f>
      </c>
      <c r="G6368" s="43">
        <f>IF(INDEX(DarlBindung,14)="",1,IF($E6368&lt;=INDEX(DarlBindung,14),1,0))</f>
      </c>
      <c r="H6368" s="43">
        <f>IF($G6368=1,INDEX(DarlSollzins,14),INDEX(DarlAnschluss,14))</f>
      </c>
      <c r="I6368" s="43">
        <f>IF(INDEX(DarlBelegt,14)=0,0,IF(INDEX(DarlOhneTilgung,14)=1,IF(INDEX(DarlBindung,14)="",1,$G6368),IF($J6368&gt;0.005,1,0)))</f>
      </c>
      <c r="J6368" s="43">
        <f>IF($I6367=0,0,$R6367)</f>
      </c>
      <c r="K6368" s="43">
        <f>IF($I6368=0,0,IF(INDEX(DarlOhneTilgung,14)=1,0,IF(AND(INDEX(DarlTilgStart,14)&gt;0,$E6368=INDEX(DarlTilgStart,14)),$J6368*($H6368+INDEX(DarlTilgung,14))/100/12,IF(AND($G6368=0,$G6367=1),MAX($K6367,$J6368*($H6368+1)/100/12),$K6367))))</f>
      </c>
      <c r="L6368" s="43">
        <f>IF($I6368=0,0,$J6368*$H6368/100/12)</f>
      </c>
      <c r="M6368" s="43">
        <f>IF($I6368=0,0,IF(OR(INDEX(DarlOhneTilgung,14)=1,AND(INDEX(DarlTilgStart,14)&gt;0,$E6368&lt;INDEX(DarlTilgStart,14))),0,MIN(MAX(0,$K6368-$L6368),$J6368)))</f>
      </c>
      <c r="N6368" s="43">
        <f>IF($I6368=0,0,MIN(SUMIFS(SondBetrag,SondDarl,14,SondDatum,"&gt;="&amp;$E6368,SondDatum,"&lt;="&amp;EOMONTH($E6368,0)),$J6368-$M6368))</f>
      </c>
      <c r="O6368" s="43">
        <f>IF($I6368=0,0,INDEX(DarlErsatzRate,14))</f>
      </c>
      <c r="P6368" s="43">
        <f>IF($I6368=0,0,$Q6367*INDEX(DarlErsatzZins,14))</f>
      </c>
      <c r="Q6368" s="43">
        <f>IF($I6368=0,0,$Q6367+$P6368+$O6368)</f>
      </c>
      <c r="R6368" s="43">
        <f>IF($I6368=0,0,$J6368-$M6368-$N6368)</f>
      </c>
    </row>
    <row r="6369">
      <c r="A6369"/>
      <c r="B6369">
        <v>14</v>
      </c>
      <c r="C6369" s="43">
        <f>INDEX(DarlObj,14)</f>
      </c>
      <c r="D6369">
        <v>126</v>
      </c>
      <c r="E6369" s="51">
        <f>IF(INDEX(DarlBelegt,14)=0,0,EOMONTH(INDEX(DarlAuszahlung,14),125)+1)</f>
      </c>
      <c r="F6369" s="43">
        <f>IF($E6369=0,0,YEAR($E6369))</f>
      </c>
      <c r="G6369" s="43">
        <f>IF(INDEX(DarlBindung,14)="",1,IF($E6369&lt;=INDEX(DarlBindung,14),1,0))</f>
      </c>
      <c r="H6369" s="43">
        <f>IF($G6369=1,INDEX(DarlSollzins,14),INDEX(DarlAnschluss,14))</f>
      </c>
      <c r="I6369" s="43">
        <f>IF(INDEX(DarlBelegt,14)=0,0,IF(INDEX(DarlOhneTilgung,14)=1,IF(INDEX(DarlBindung,14)="",1,$G6369),IF($J6369&gt;0.005,1,0)))</f>
      </c>
      <c r="J6369" s="43">
        <f>IF($I6368=0,0,$R6368)</f>
      </c>
      <c r="K6369" s="43">
        <f>IF($I6369=0,0,IF(INDEX(DarlOhneTilgung,14)=1,0,IF(AND(INDEX(DarlTilgStart,14)&gt;0,$E6369=INDEX(DarlTilgStart,14)),$J6369*($H6369+INDEX(DarlTilgung,14))/100/12,IF(AND($G6369=0,$G6368=1),MAX($K6368,$J6369*($H6369+1)/100/12),$K6368))))</f>
      </c>
      <c r="L6369" s="43">
        <f>IF($I6369=0,0,$J6369*$H6369/100/12)</f>
      </c>
      <c r="M6369" s="43">
        <f>IF($I6369=0,0,IF(OR(INDEX(DarlOhneTilgung,14)=1,AND(INDEX(DarlTilgStart,14)&gt;0,$E6369&lt;INDEX(DarlTilgStart,14))),0,MIN(MAX(0,$K6369-$L6369),$J6369)))</f>
      </c>
      <c r="N6369" s="43">
        <f>IF($I6369=0,0,MIN(SUMIFS(SondBetrag,SondDarl,14,SondDatum,"&gt;="&amp;$E6369,SondDatum,"&lt;="&amp;EOMONTH($E6369,0)),$J6369-$M6369))</f>
      </c>
      <c r="O6369" s="43">
        <f>IF($I6369=0,0,INDEX(DarlErsatzRate,14))</f>
      </c>
      <c r="P6369" s="43">
        <f>IF($I6369=0,0,$Q6368*INDEX(DarlErsatzZins,14))</f>
      </c>
      <c r="Q6369" s="43">
        <f>IF($I6369=0,0,$Q6368+$P6369+$O6369)</f>
      </c>
      <c r="R6369" s="43">
        <f>IF($I6369=0,0,$J6369-$M6369-$N6369)</f>
      </c>
    </row>
    <row r="6370">
      <c r="A6370"/>
      <c r="B6370">
        <v>14</v>
      </c>
      <c r="C6370" s="43">
        <f>INDEX(DarlObj,14)</f>
      </c>
      <c r="D6370">
        <v>127</v>
      </c>
      <c r="E6370" s="51">
        <f>IF(INDEX(DarlBelegt,14)=0,0,EOMONTH(INDEX(DarlAuszahlung,14),126)+1)</f>
      </c>
      <c r="F6370" s="43">
        <f>IF($E6370=0,0,YEAR($E6370))</f>
      </c>
      <c r="G6370" s="43">
        <f>IF(INDEX(DarlBindung,14)="",1,IF($E6370&lt;=INDEX(DarlBindung,14),1,0))</f>
      </c>
      <c r="H6370" s="43">
        <f>IF($G6370=1,INDEX(DarlSollzins,14),INDEX(DarlAnschluss,14))</f>
      </c>
      <c r="I6370" s="43">
        <f>IF(INDEX(DarlBelegt,14)=0,0,IF(INDEX(DarlOhneTilgung,14)=1,IF(INDEX(DarlBindung,14)="",1,$G6370),IF($J6370&gt;0.005,1,0)))</f>
      </c>
      <c r="J6370" s="43">
        <f>IF($I6369=0,0,$R6369)</f>
      </c>
      <c r="K6370" s="43">
        <f>IF($I6370=0,0,IF(INDEX(DarlOhneTilgung,14)=1,0,IF(AND(INDEX(DarlTilgStart,14)&gt;0,$E6370=INDEX(DarlTilgStart,14)),$J6370*($H6370+INDEX(DarlTilgung,14))/100/12,IF(AND($G6370=0,$G6369=1),MAX($K6369,$J6370*($H6370+1)/100/12),$K6369))))</f>
      </c>
      <c r="L6370" s="43">
        <f>IF($I6370=0,0,$J6370*$H6370/100/12)</f>
      </c>
      <c r="M6370" s="43">
        <f>IF($I6370=0,0,IF(OR(INDEX(DarlOhneTilgung,14)=1,AND(INDEX(DarlTilgStart,14)&gt;0,$E6370&lt;INDEX(DarlTilgStart,14))),0,MIN(MAX(0,$K6370-$L6370),$J6370)))</f>
      </c>
      <c r="N6370" s="43">
        <f>IF($I6370=0,0,MIN(SUMIFS(SondBetrag,SondDarl,14,SondDatum,"&gt;="&amp;$E6370,SondDatum,"&lt;="&amp;EOMONTH($E6370,0)),$J6370-$M6370))</f>
      </c>
      <c r="O6370" s="43">
        <f>IF($I6370=0,0,INDEX(DarlErsatzRate,14))</f>
      </c>
      <c r="P6370" s="43">
        <f>IF($I6370=0,0,$Q6369*INDEX(DarlErsatzZins,14))</f>
      </c>
      <c r="Q6370" s="43">
        <f>IF($I6370=0,0,$Q6369+$P6370+$O6370)</f>
      </c>
      <c r="R6370" s="43">
        <f>IF($I6370=0,0,$J6370-$M6370-$N6370)</f>
      </c>
    </row>
    <row r="6371">
      <c r="A6371"/>
      <c r="B6371">
        <v>14</v>
      </c>
      <c r="C6371" s="43">
        <f>INDEX(DarlObj,14)</f>
      </c>
      <c r="D6371">
        <v>128</v>
      </c>
      <c r="E6371" s="51">
        <f>IF(INDEX(DarlBelegt,14)=0,0,EOMONTH(INDEX(DarlAuszahlung,14),127)+1)</f>
      </c>
      <c r="F6371" s="43">
        <f>IF($E6371=0,0,YEAR($E6371))</f>
      </c>
      <c r="G6371" s="43">
        <f>IF(INDEX(DarlBindung,14)="",1,IF($E6371&lt;=INDEX(DarlBindung,14),1,0))</f>
      </c>
      <c r="H6371" s="43">
        <f>IF($G6371=1,INDEX(DarlSollzins,14),INDEX(DarlAnschluss,14))</f>
      </c>
      <c r="I6371" s="43">
        <f>IF(INDEX(DarlBelegt,14)=0,0,IF(INDEX(DarlOhneTilgung,14)=1,IF(INDEX(DarlBindung,14)="",1,$G6371),IF($J6371&gt;0.005,1,0)))</f>
      </c>
      <c r="J6371" s="43">
        <f>IF($I6370=0,0,$R6370)</f>
      </c>
      <c r="K6371" s="43">
        <f>IF($I6371=0,0,IF(INDEX(DarlOhneTilgung,14)=1,0,IF(AND(INDEX(DarlTilgStart,14)&gt;0,$E6371=INDEX(DarlTilgStart,14)),$J6371*($H6371+INDEX(DarlTilgung,14))/100/12,IF(AND($G6371=0,$G6370=1),MAX($K6370,$J6371*($H6371+1)/100/12),$K6370))))</f>
      </c>
      <c r="L6371" s="43">
        <f>IF($I6371=0,0,$J6371*$H6371/100/12)</f>
      </c>
      <c r="M6371" s="43">
        <f>IF($I6371=0,0,IF(OR(INDEX(DarlOhneTilgung,14)=1,AND(INDEX(DarlTilgStart,14)&gt;0,$E6371&lt;INDEX(DarlTilgStart,14))),0,MIN(MAX(0,$K6371-$L6371),$J6371)))</f>
      </c>
      <c r="N6371" s="43">
        <f>IF($I6371=0,0,MIN(SUMIFS(SondBetrag,SondDarl,14,SondDatum,"&gt;="&amp;$E6371,SondDatum,"&lt;="&amp;EOMONTH($E6371,0)),$J6371-$M6371))</f>
      </c>
      <c r="O6371" s="43">
        <f>IF($I6371=0,0,INDEX(DarlErsatzRate,14))</f>
      </c>
      <c r="P6371" s="43">
        <f>IF($I6371=0,0,$Q6370*INDEX(DarlErsatzZins,14))</f>
      </c>
      <c r="Q6371" s="43">
        <f>IF($I6371=0,0,$Q6370+$P6371+$O6371)</f>
      </c>
      <c r="R6371" s="43">
        <f>IF($I6371=0,0,$J6371-$M6371-$N6371)</f>
      </c>
    </row>
    <row r="6372">
      <c r="A6372"/>
      <c r="B6372">
        <v>14</v>
      </c>
      <c r="C6372" s="43">
        <f>INDEX(DarlObj,14)</f>
      </c>
      <c r="D6372">
        <v>129</v>
      </c>
      <c r="E6372" s="51">
        <f>IF(INDEX(DarlBelegt,14)=0,0,EOMONTH(INDEX(DarlAuszahlung,14),128)+1)</f>
      </c>
      <c r="F6372" s="43">
        <f>IF($E6372=0,0,YEAR($E6372))</f>
      </c>
      <c r="G6372" s="43">
        <f>IF(INDEX(DarlBindung,14)="",1,IF($E6372&lt;=INDEX(DarlBindung,14),1,0))</f>
      </c>
      <c r="H6372" s="43">
        <f>IF($G6372=1,INDEX(DarlSollzins,14),INDEX(DarlAnschluss,14))</f>
      </c>
      <c r="I6372" s="43">
        <f>IF(INDEX(DarlBelegt,14)=0,0,IF(INDEX(DarlOhneTilgung,14)=1,IF(INDEX(DarlBindung,14)="",1,$G6372),IF($J6372&gt;0.005,1,0)))</f>
      </c>
      <c r="J6372" s="43">
        <f>IF($I6371=0,0,$R6371)</f>
      </c>
      <c r="K6372" s="43">
        <f>IF($I6372=0,0,IF(INDEX(DarlOhneTilgung,14)=1,0,IF(AND(INDEX(DarlTilgStart,14)&gt;0,$E6372=INDEX(DarlTilgStart,14)),$J6372*($H6372+INDEX(DarlTilgung,14))/100/12,IF(AND($G6372=0,$G6371=1),MAX($K6371,$J6372*($H6372+1)/100/12),$K6371))))</f>
      </c>
      <c r="L6372" s="43">
        <f>IF($I6372=0,0,$J6372*$H6372/100/12)</f>
      </c>
      <c r="M6372" s="43">
        <f>IF($I6372=0,0,IF(OR(INDEX(DarlOhneTilgung,14)=1,AND(INDEX(DarlTilgStart,14)&gt;0,$E6372&lt;INDEX(DarlTilgStart,14))),0,MIN(MAX(0,$K6372-$L6372),$J6372)))</f>
      </c>
      <c r="N6372" s="43">
        <f>IF($I6372=0,0,MIN(SUMIFS(SondBetrag,SondDarl,14,SondDatum,"&gt;="&amp;$E6372,SondDatum,"&lt;="&amp;EOMONTH($E6372,0)),$J6372-$M6372))</f>
      </c>
      <c r="O6372" s="43">
        <f>IF($I6372=0,0,INDEX(DarlErsatzRate,14))</f>
      </c>
      <c r="P6372" s="43">
        <f>IF($I6372=0,0,$Q6371*INDEX(DarlErsatzZins,14))</f>
      </c>
      <c r="Q6372" s="43">
        <f>IF($I6372=0,0,$Q6371+$P6372+$O6372)</f>
      </c>
      <c r="R6372" s="43">
        <f>IF($I6372=0,0,$J6372-$M6372-$N6372)</f>
      </c>
    </row>
    <row r="6373">
      <c r="A6373"/>
      <c r="B6373">
        <v>14</v>
      </c>
      <c r="C6373" s="43">
        <f>INDEX(DarlObj,14)</f>
      </c>
      <c r="D6373">
        <v>130</v>
      </c>
      <c r="E6373" s="51">
        <f>IF(INDEX(DarlBelegt,14)=0,0,EOMONTH(INDEX(DarlAuszahlung,14),129)+1)</f>
      </c>
      <c r="F6373" s="43">
        <f>IF($E6373=0,0,YEAR($E6373))</f>
      </c>
      <c r="G6373" s="43">
        <f>IF(INDEX(DarlBindung,14)="",1,IF($E6373&lt;=INDEX(DarlBindung,14),1,0))</f>
      </c>
      <c r="H6373" s="43">
        <f>IF($G6373=1,INDEX(DarlSollzins,14),INDEX(DarlAnschluss,14))</f>
      </c>
      <c r="I6373" s="43">
        <f>IF(INDEX(DarlBelegt,14)=0,0,IF(INDEX(DarlOhneTilgung,14)=1,IF(INDEX(DarlBindung,14)="",1,$G6373),IF($J6373&gt;0.005,1,0)))</f>
      </c>
      <c r="J6373" s="43">
        <f>IF($I6372=0,0,$R6372)</f>
      </c>
      <c r="K6373" s="43">
        <f>IF($I6373=0,0,IF(INDEX(DarlOhneTilgung,14)=1,0,IF(AND(INDEX(DarlTilgStart,14)&gt;0,$E6373=INDEX(DarlTilgStart,14)),$J6373*($H6373+INDEX(DarlTilgung,14))/100/12,IF(AND($G6373=0,$G6372=1),MAX($K6372,$J6373*($H6373+1)/100/12),$K6372))))</f>
      </c>
      <c r="L6373" s="43">
        <f>IF($I6373=0,0,$J6373*$H6373/100/12)</f>
      </c>
      <c r="M6373" s="43">
        <f>IF($I6373=0,0,IF(OR(INDEX(DarlOhneTilgung,14)=1,AND(INDEX(DarlTilgStart,14)&gt;0,$E6373&lt;INDEX(DarlTilgStart,14))),0,MIN(MAX(0,$K6373-$L6373),$J6373)))</f>
      </c>
      <c r="N6373" s="43">
        <f>IF($I6373=0,0,MIN(SUMIFS(SondBetrag,SondDarl,14,SondDatum,"&gt;="&amp;$E6373,SondDatum,"&lt;="&amp;EOMONTH($E6373,0)),$J6373-$M6373))</f>
      </c>
      <c r="O6373" s="43">
        <f>IF($I6373=0,0,INDEX(DarlErsatzRate,14))</f>
      </c>
      <c r="P6373" s="43">
        <f>IF($I6373=0,0,$Q6372*INDEX(DarlErsatzZins,14))</f>
      </c>
      <c r="Q6373" s="43">
        <f>IF($I6373=0,0,$Q6372+$P6373+$O6373)</f>
      </c>
      <c r="R6373" s="43">
        <f>IF($I6373=0,0,$J6373-$M6373-$N6373)</f>
      </c>
    </row>
    <row r="6374">
      <c r="A6374"/>
      <c r="B6374">
        <v>14</v>
      </c>
      <c r="C6374" s="43">
        <f>INDEX(DarlObj,14)</f>
      </c>
      <c r="D6374">
        <v>131</v>
      </c>
      <c r="E6374" s="51">
        <f>IF(INDEX(DarlBelegt,14)=0,0,EOMONTH(INDEX(DarlAuszahlung,14),130)+1)</f>
      </c>
      <c r="F6374" s="43">
        <f>IF($E6374=0,0,YEAR($E6374))</f>
      </c>
      <c r="G6374" s="43">
        <f>IF(INDEX(DarlBindung,14)="",1,IF($E6374&lt;=INDEX(DarlBindung,14),1,0))</f>
      </c>
      <c r="H6374" s="43">
        <f>IF($G6374=1,INDEX(DarlSollzins,14),INDEX(DarlAnschluss,14))</f>
      </c>
      <c r="I6374" s="43">
        <f>IF(INDEX(DarlBelegt,14)=0,0,IF(INDEX(DarlOhneTilgung,14)=1,IF(INDEX(DarlBindung,14)="",1,$G6374),IF($J6374&gt;0.005,1,0)))</f>
      </c>
      <c r="J6374" s="43">
        <f>IF($I6373=0,0,$R6373)</f>
      </c>
      <c r="K6374" s="43">
        <f>IF($I6374=0,0,IF(INDEX(DarlOhneTilgung,14)=1,0,IF(AND(INDEX(DarlTilgStart,14)&gt;0,$E6374=INDEX(DarlTilgStart,14)),$J6374*($H6374+INDEX(DarlTilgung,14))/100/12,IF(AND($G6374=0,$G6373=1),MAX($K6373,$J6374*($H6374+1)/100/12),$K6373))))</f>
      </c>
      <c r="L6374" s="43">
        <f>IF($I6374=0,0,$J6374*$H6374/100/12)</f>
      </c>
      <c r="M6374" s="43">
        <f>IF($I6374=0,0,IF(OR(INDEX(DarlOhneTilgung,14)=1,AND(INDEX(DarlTilgStart,14)&gt;0,$E6374&lt;INDEX(DarlTilgStart,14))),0,MIN(MAX(0,$K6374-$L6374),$J6374)))</f>
      </c>
      <c r="N6374" s="43">
        <f>IF($I6374=0,0,MIN(SUMIFS(SondBetrag,SondDarl,14,SondDatum,"&gt;="&amp;$E6374,SondDatum,"&lt;="&amp;EOMONTH($E6374,0)),$J6374-$M6374))</f>
      </c>
      <c r="O6374" s="43">
        <f>IF($I6374=0,0,INDEX(DarlErsatzRate,14))</f>
      </c>
      <c r="P6374" s="43">
        <f>IF($I6374=0,0,$Q6373*INDEX(DarlErsatzZins,14))</f>
      </c>
      <c r="Q6374" s="43">
        <f>IF($I6374=0,0,$Q6373+$P6374+$O6374)</f>
      </c>
      <c r="R6374" s="43">
        <f>IF($I6374=0,0,$J6374-$M6374-$N6374)</f>
      </c>
    </row>
    <row r="6375">
      <c r="A6375"/>
      <c r="B6375">
        <v>14</v>
      </c>
      <c r="C6375" s="43">
        <f>INDEX(DarlObj,14)</f>
      </c>
      <c r="D6375">
        <v>132</v>
      </c>
      <c r="E6375" s="51">
        <f>IF(INDEX(DarlBelegt,14)=0,0,EOMONTH(INDEX(DarlAuszahlung,14),131)+1)</f>
      </c>
      <c r="F6375" s="43">
        <f>IF($E6375=0,0,YEAR($E6375))</f>
      </c>
      <c r="G6375" s="43">
        <f>IF(INDEX(DarlBindung,14)="",1,IF($E6375&lt;=INDEX(DarlBindung,14),1,0))</f>
      </c>
      <c r="H6375" s="43">
        <f>IF($G6375=1,INDEX(DarlSollzins,14),INDEX(DarlAnschluss,14))</f>
      </c>
      <c r="I6375" s="43">
        <f>IF(INDEX(DarlBelegt,14)=0,0,IF(INDEX(DarlOhneTilgung,14)=1,IF(INDEX(DarlBindung,14)="",1,$G6375),IF($J6375&gt;0.005,1,0)))</f>
      </c>
      <c r="J6375" s="43">
        <f>IF($I6374=0,0,$R6374)</f>
      </c>
      <c r="K6375" s="43">
        <f>IF($I6375=0,0,IF(INDEX(DarlOhneTilgung,14)=1,0,IF(AND(INDEX(DarlTilgStart,14)&gt;0,$E6375=INDEX(DarlTilgStart,14)),$J6375*($H6375+INDEX(DarlTilgung,14))/100/12,IF(AND($G6375=0,$G6374=1),MAX($K6374,$J6375*($H6375+1)/100/12),$K6374))))</f>
      </c>
      <c r="L6375" s="43">
        <f>IF($I6375=0,0,$J6375*$H6375/100/12)</f>
      </c>
      <c r="M6375" s="43">
        <f>IF($I6375=0,0,IF(OR(INDEX(DarlOhneTilgung,14)=1,AND(INDEX(DarlTilgStart,14)&gt;0,$E6375&lt;INDEX(DarlTilgStart,14))),0,MIN(MAX(0,$K6375-$L6375),$J6375)))</f>
      </c>
      <c r="N6375" s="43">
        <f>IF($I6375=0,0,MIN(SUMIFS(SondBetrag,SondDarl,14,SondDatum,"&gt;="&amp;$E6375,SondDatum,"&lt;="&amp;EOMONTH($E6375,0)),$J6375-$M6375))</f>
      </c>
      <c r="O6375" s="43">
        <f>IF($I6375=0,0,INDEX(DarlErsatzRate,14))</f>
      </c>
      <c r="P6375" s="43">
        <f>IF($I6375=0,0,$Q6374*INDEX(DarlErsatzZins,14))</f>
      </c>
      <c r="Q6375" s="43">
        <f>IF($I6375=0,0,$Q6374+$P6375+$O6375)</f>
      </c>
      <c r="R6375" s="43">
        <f>IF($I6375=0,0,$J6375-$M6375-$N6375)</f>
      </c>
    </row>
    <row r="6376">
      <c r="A6376"/>
      <c r="B6376">
        <v>14</v>
      </c>
      <c r="C6376" s="43">
        <f>INDEX(DarlObj,14)</f>
      </c>
      <c r="D6376">
        <v>133</v>
      </c>
      <c r="E6376" s="51">
        <f>IF(INDEX(DarlBelegt,14)=0,0,EOMONTH(INDEX(DarlAuszahlung,14),132)+1)</f>
      </c>
      <c r="F6376" s="43">
        <f>IF($E6376=0,0,YEAR($E6376))</f>
      </c>
      <c r="G6376" s="43">
        <f>IF(INDEX(DarlBindung,14)="",1,IF($E6376&lt;=INDEX(DarlBindung,14),1,0))</f>
      </c>
      <c r="H6376" s="43">
        <f>IF($G6376=1,INDEX(DarlSollzins,14),INDEX(DarlAnschluss,14))</f>
      </c>
      <c r="I6376" s="43">
        <f>IF(INDEX(DarlBelegt,14)=0,0,IF(INDEX(DarlOhneTilgung,14)=1,IF(INDEX(DarlBindung,14)="",1,$G6376),IF($J6376&gt;0.005,1,0)))</f>
      </c>
      <c r="J6376" s="43">
        <f>IF($I6375=0,0,$R6375)</f>
      </c>
      <c r="K6376" s="43">
        <f>IF($I6376=0,0,IF(INDEX(DarlOhneTilgung,14)=1,0,IF(AND(INDEX(DarlTilgStart,14)&gt;0,$E6376=INDEX(DarlTilgStart,14)),$J6376*($H6376+INDEX(DarlTilgung,14))/100/12,IF(AND($G6376=0,$G6375=1),MAX($K6375,$J6376*($H6376+1)/100/12),$K6375))))</f>
      </c>
      <c r="L6376" s="43">
        <f>IF($I6376=0,0,$J6376*$H6376/100/12)</f>
      </c>
      <c r="M6376" s="43">
        <f>IF($I6376=0,0,IF(OR(INDEX(DarlOhneTilgung,14)=1,AND(INDEX(DarlTilgStart,14)&gt;0,$E6376&lt;INDEX(DarlTilgStart,14))),0,MIN(MAX(0,$K6376-$L6376),$J6376)))</f>
      </c>
      <c r="N6376" s="43">
        <f>IF($I6376=0,0,MIN(SUMIFS(SondBetrag,SondDarl,14,SondDatum,"&gt;="&amp;$E6376,SondDatum,"&lt;="&amp;EOMONTH($E6376,0)),$J6376-$M6376))</f>
      </c>
      <c r="O6376" s="43">
        <f>IF($I6376=0,0,INDEX(DarlErsatzRate,14))</f>
      </c>
      <c r="P6376" s="43">
        <f>IF($I6376=0,0,$Q6375*INDEX(DarlErsatzZins,14))</f>
      </c>
      <c r="Q6376" s="43">
        <f>IF($I6376=0,0,$Q6375+$P6376+$O6376)</f>
      </c>
      <c r="R6376" s="43">
        <f>IF($I6376=0,0,$J6376-$M6376-$N6376)</f>
      </c>
    </row>
    <row r="6377">
      <c r="A6377"/>
      <c r="B6377">
        <v>14</v>
      </c>
      <c r="C6377" s="43">
        <f>INDEX(DarlObj,14)</f>
      </c>
      <c r="D6377">
        <v>134</v>
      </c>
      <c r="E6377" s="51">
        <f>IF(INDEX(DarlBelegt,14)=0,0,EOMONTH(INDEX(DarlAuszahlung,14),133)+1)</f>
      </c>
      <c r="F6377" s="43">
        <f>IF($E6377=0,0,YEAR($E6377))</f>
      </c>
      <c r="G6377" s="43">
        <f>IF(INDEX(DarlBindung,14)="",1,IF($E6377&lt;=INDEX(DarlBindung,14),1,0))</f>
      </c>
      <c r="H6377" s="43">
        <f>IF($G6377=1,INDEX(DarlSollzins,14),INDEX(DarlAnschluss,14))</f>
      </c>
      <c r="I6377" s="43">
        <f>IF(INDEX(DarlBelegt,14)=0,0,IF(INDEX(DarlOhneTilgung,14)=1,IF(INDEX(DarlBindung,14)="",1,$G6377),IF($J6377&gt;0.005,1,0)))</f>
      </c>
      <c r="J6377" s="43">
        <f>IF($I6376=0,0,$R6376)</f>
      </c>
      <c r="K6377" s="43">
        <f>IF($I6377=0,0,IF(INDEX(DarlOhneTilgung,14)=1,0,IF(AND(INDEX(DarlTilgStart,14)&gt;0,$E6377=INDEX(DarlTilgStart,14)),$J6377*($H6377+INDEX(DarlTilgung,14))/100/12,IF(AND($G6377=0,$G6376=1),MAX($K6376,$J6377*($H6377+1)/100/12),$K6376))))</f>
      </c>
      <c r="L6377" s="43">
        <f>IF($I6377=0,0,$J6377*$H6377/100/12)</f>
      </c>
      <c r="M6377" s="43">
        <f>IF($I6377=0,0,IF(OR(INDEX(DarlOhneTilgung,14)=1,AND(INDEX(DarlTilgStart,14)&gt;0,$E6377&lt;INDEX(DarlTilgStart,14))),0,MIN(MAX(0,$K6377-$L6377),$J6377)))</f>
      </c>
      <c r="N6377" s="43">
        <f>IF($I6377=0,0,MIN(SUMIFS(SondBetrag,SondDarl,14,SondDatum,"&gt;="&amp;$E6377,SondDatum,"&lt;="&amp;EOMONTH($E6377,0)),$J6377-$M6377))</f>
      </c>
      <c r="O6377" s="43">
        <f>IF($I6377=0,0,INDEX(DarlErsatzRate,14))</f>
      </c>
      <c r="P6377" s="43">
        <f>IF($I6377=0,0,$Q6376*INDEX(DarlErsatzZins,14))</f>
      </c>
      <c r="Q6377" s="43">
        <f>IF($I6377=0,0,$Q6376+$P6377+$O6377)</f>
      </c>
      <c r="R6377" s="43">
        <f>IF($I6377=0,0,$J6377-$M6377-$N6377)</f>
      </c>
    </row>
    <row r="6378">
      <c r="A6378"/>
      <c r="B6378">
        <v>14</v>
      </c>
      <c r="C6378" s="43">
        <f>INDEX(DarlObj,14)</f>
      </c>
      <c r="D6378">
        <v>135</v>
      </c>
      <c r="E6378" s="51">
        <f>IF(INDEX(DarlBelegt,14)=0,0,EOMONTH(INDEX(DarlAuszahlung,14),134)+1)</f>
      </c>
      <c r="F6378" s="43">
        <f>IF($E6378=0,0,YEAR($E6378))</f>
      </c>
      <c r="G6378" s="43">
        <f>IF(INDEX(DarlBindung,14)="",1,IF($E6378&lt;=INDEX(DarlBindung,14),1,0))</f>
      </c>
      <c r="H6378" s="43">
        <f>IF($G6378=1,INDEX(DarlSollzins,14),INDEX(DarlAnschluss,14))</f>
      </c>
      <c r="I6378" s="43">
        <f>IF(INDEX(DarlBelegt,14)=0,0,IF(INDEX(DarlOhneTilgung,14)=1,IF(INDEX(DarlBindung,14)="",1,$G6378),IF($J6378&gt;0.005,1,0)))</f>
      </c>
      <c r="J6378" s="43">
        <f>IF($I6377=0,0,$R6377)</f>
      </c>
      <c r="K6378" s="43">
        <f>IF($I6378=0,0,IF(INDEX(DarlOhneTilgung,14)=1,0,IF(AND(INDEX(DarlTilgStart,14)&gt;0,$E6378=INDEX(DarlTilgStart,14)),$J6378*($H6378+INDEX(DarlTilgung,14))/100/12,IF(AND($G6378=0,$G6377=1),MAX($K6377,$J6378*($H6378+1)/100/12),$K6377))))</f>
      </c>
      <c r="L6378" s="43">
        <f>IF($I6378=0,0,$J6378*$H6378/100/12)</f>
      </c>
      <c r="M6378" s="43">
        <f>IF($I6378=0,0,IF(OR(INDEX(DarlOhneTilgung,14)=1,AND(INDEX(DarlTilgStart,14)&gt;0,$E6378&lt;INDEX(DarlTilgStart,14))),0,MIN(MAX(0,$K6378-$L6378),$J6378)))</f>
      </c>
      <c r="N6378" s="43">
        <f>IF($I6378=0,0,MIN(SUMIFS(SondBetrag,SondDarl,14,SondDatum,"&gt;="&amp;$E6378,SondDatum,"&lt;="&amp;EOMONTH($E6378,0)),$J6378-$M6378))</f>
      </c>
      <c r="O6378" s="43">
        <f>IF($I6378=0,0,INDEX(DarlErsatzRate,14))</f>
      </c>
      <c r="P6378" s="43">
        <f>IF($I6378=0,0,$Q6377*INDEX(DarlErsatzZins,14))</f>
      </c>
      <c r="Q6378" s="43">
        <f>IF($I6378=0,0,$Q6377+$P6378+$O6378)</f>
      </c>
      <c r="R6378" s="43">
        <f>IF($I6378=0,0,$J6378-$M6378-$N6378)</f>
      </c>
    </row>
    <row r="6379">
      <c r="A6379"/>
      <c r="B6379">
        <v>14</v>
      </c>
      <c r="C6379" s="43">
        <f>INDEX(DarlObj,14)</f>
      </c>
      <c r="D6379">
        <v>136</v>
      </c>
      <c r="E6379" s="51">
        <f>IF(INDEX(DarlBelegt,14)=0,0,EOMONTH(INDEX(DarlAuszahlung,14),135)+1)</f>
      </c>
      <c r="F6379" s="43">
        <f>IF($E6379=0,0,YEAR($E6379))</f>
      </c>
      <c r="G6379" s="43">
        <f>IF(INDEX(DarlBindung,14)="",1,IF($E6379&lt;=INDEX(DarlBindung,14),1,0))</f>
      </c>
      <c r="H6379" s="43">
        <f>IF($G6379=1,INDEX(DarlSollzins,14),INDEX(DarlAnschluss,14))</f>
      </c>
      <c r="I6379" s="43">
        <f>IF(INDEX(DarlBelegt,14)=0,0,IF(INDEX(DarlOhneTilgung,14)=1,IF(INDEX(DarlBindung,14)="",1,$G6379),IF($J6379&gt;0.005,1,0)))</f>
      </c>
      <c r="J6379" s="43">
        <f>IF($I6378=0,0,$R6378)</f>
      </c>
      <c r="K6379" s="43">
        <f>IF($I6379=0,0,IF(INDEX(DarlOhneTilgung,14)=1,0,IF(AND(INDEX(DarlTilgStart,14)&gt;0,$E6379=INDEX(DarlTilgStart,14)),$J6379*($H6379+INDEX(DarlTilgung,14))/100/12,IF(AND($G6379=0,$G6378=1),MAX($K6378,$J6379*($H6379+1)/100/12),$K6378))))</f>
      </c>
      <c r="L6379" s="43">
        <f>IF($I6379=0,0,$J6379*$H6379/100/12)</f>
      </c>
      <c r="M6379" s="43">
        <f>IF($I6379=0,0,IF(OR(INDEX(DarlOhneTilgung,14)=1,AND(INDEX(DarlTilgStart,14)&gt;0,$E6379&lt;INDEX(DarlTilgStart,14))),0,MIN(MAX(0,$K6379-$L6379),$J6379)))</f>
      </c>
      <c r="N6379" s="43">
        <f>IF($I6379=0,0,MIN(SUMIFS(SondBetrag,SondDarl,14,SondDatum,"&gt;="&amp;$E6379,SondDatum,"&lt;="&amp;EOMONTH($E6379,0)),$J6379-$M6379))</f>
      </c>
      <c r="O6379" s="43">
        <f>IF($I6379=0,0,INDEX(DarlErsatzRate,14))</f>
      </c>
      <c r="P6379" s="43">
        <f>IF($I6379=0,0,$Q6378*INDEX(DarlErsatzZins,14))</f>
      </c>
      <c r="Q6379" s="43">
        <f>IF($I6379=0,0,$Q6378+$P6379+$O6379)</f>
      </c>
      <c r="R6379" s="43">
        <f>IF($I6379=0,0,$J6379-$M6379-$N6379)</f>
      </c>
    </row>
    <row r="6380">
      <c r="A6380"/>
      <c r="B6380">
        <v>14</v>
      </c>
      <c r="C6380" s="43">
        <f>INDEX(DarlObj,14)</f>
      </c>
      <c r="D6380">
        <v>137</v>
      </c>
      <c r="E6380" s="51">
        <f>IF(INDEX(DarlBelegt,14)=0,0,EOMONTH(INDEX(DarlAuszahlung,14),136)+1)</f>
      </c>
      <c r="F6380" s="43">
        <f>IF($E6380=0,0,YEAR($E6380))</f>
      </c>
      <c r="G6380" s="43">
        <f>IF(INDEX(DarlBindung,14)="",1,IF($E6380&lt;=INDEX(DarlBindung,14),1,0))</f>
      </c>
      <c r="H6380" s="43">
        <f>IF($G6380=1,INDEX(DarlSollzins,14),INDEX(DarlAnschluss,14))</f>
      </c>
      <c r="I6380" s="43">
        <f>IF(INDEX(DarlBelegt,14)=0,0,IF(INDEX(DarlOhneTilgung,14)=1,IF(INDEX(DarlBindung,14)="",1,$G6380),IF($J6380&gt;0.005,1,0)))</f>
      </c>
      <c r="J6380" s="43">
        <f>IF($I6379=0,0,$R6379)</f>
      </c>
      <c r="K6380" s="43">
        <f>IF($I6380=0,0,IF(INDEX(DarlOhneTilgung,14)=1,0,IF(AND(INDEX(DarlTilgStart,14)&gt;0,$E6380=INDEX(DarlTilgStart,14)),$J6380*($H6380+INDEX(DarlTilgung,14))/100/12,IF(AND($G6380=0,$G6379=1),MAX($K6379,$J6380*($H6380+1)/100/12),$K6379))))</f>
      </c>
      <c r="L6380" s="43">
        <f>IF($I6380=0,0,$J6380*$H6380/100/12)</f>
      </c>
      <c r="M6380" s="43">
        <f>IF($I6380=0,0,IF(OR(INDEX(DarlOhneTilgung,14)=1,AND(INDEX(DarlTilgStart,14)&gt;0,$E6380&lt;INDEX(DarlTilgStart,14))),0,MIN(MAX(0,$K6380-$L6380),$J6380)))</f>
      </c>
      <c r="N6380" s="43">
        <f>IF($I6380=0,0,MIN(SUMIFS(SondBetrag,SondDarl,14,SondDatum,"&gt;="&amp;$E6380,SondDatum,"&lt;="&amp;EOMONTH($E6380,0)),$J6380-$M6380))</f>
      </c>
      <c r="O6380" s="43">
        <f>IF($I6380=0,0,INDEX(DarlErsatzRate,14))</f>
      </c>
      <c r="P6380" s="43">
        <f>IF($I6380=0,0,$Q6379*INDEX(DarlErsatzZins,14))</f>
      </c>
      <c r="Q6380" s="43">
        <f>IF($I6380=0,0,$Q6379+$P6380+$O6380)</f>
      </c>
      <c r="R6380" s="43">
        <f>IF($I6380=0,0,$J6380-$M6380-$N6380)</f>
      </c>
    </row>
    <row r="6381">
      <c r="A6381"/>
      <c r="B6381">
        <v>14</v>
      </c>
      <c r="C6381" s="43">
        <f>INDEX(DarlObj,14)</f>
      </c>
      <c r="D6381">
        <v>138</v>
      </c>
      <c r="E6381" s="51">
        <f>IF(INDEX(DarlBelegt,14)=0,0,EOMONTH(INDEX(DarlAuszahlung,14),137)+1)</f>
      </c>
      <c r="F6381" s="43">
        <f>IF($E6381=0,0,YEAR($E6381))</f>
      </c>
      <c r="G6381" s="43">
        <f>IF(INDEX(DarlBindung,14)="",1,IF($E6381&lt;=INDEX(DarlBindung,14),1,0))</f>
      </c>
      <c r="H6381" s="43">
        <f>IF($G6381=1,INDEX(DarlSollzins,14),INDEX(DarlAnschluss,14))</f>
      </c>
      <c r="I6381" s="43">
        <f>IF(INDEX(DarlBelegt,14)=0,0,IF(INDEX(DarlOhneTilgung,14)=1,IF(INDEX(DarlBindung,14)="",1,$G6381),IF($J6381&gt;0.005,1,0)))</f>
      </c>
      <c r="J6381" s="43">
        <f>IF($I6380=0,0,$R6380)</f>
      </c>
      <c r="K6381" s="43">
        <f>IF($I6381=0,0,IF(INDEX(DarlOhneTilgung,14)=1,0,IF(AND(INDEX(DarlTilgStart,14)&gt;0,$E6381=INDEX(DarlTilgStart,14)),$J6381*($H6381+INDEX(DarlTilgung,14))/100/12,IF(AND($G6381=0,$G6380=1),MAX($K6380,$J6381*($H6381+1)/100/12),$K6380))))</f>
      </c>
      <c r="L6381" s="43">
        <f>IF($I6381=0,0,$J6381*$H6381/100/12)</f>
      </c>
      <c r="M6381" s="43">
        <f>IF($I6381=0,0,IF(OR(INDEX(DarlOhneTilgung,14)=1,AND(INDEX(DarlTilgStart,14)&gt;0,$E6381&lt;INDEX(DarlTilgStart,14))),0,MIN(MAX(0,$K6381-$L6381),$J6381)))</f>
      </c>
      <c r="N6381" s="43">
        <f>IF($I6381=0,0,MIN(SUMIFS(SondBetrag,SondDarl,14,SondDatum,"&gt;="&amp;$E6381,SondDatum,"&lt;="&amp;EOMONTH($E6381,0)),$J6381-$M6381))</f>
      </c>
      <c r="O6381" s="43">
        <f>IF($I6381=0,0,INDEX(DarlErsatzRate,14))</f>
      </c>
      <c r="P6381" s="43">
        <f>IF($I6381=0,0,$Q6380*INDEX(DarlErsatzZins,14))</f>
      </c>
      <c r="Q6381" s="43">
        <f>IF($I6381=0,0,$Q6380+$P6381+$O6381)</f>
      </c>
      <c r="R6381" s="43">
        <f>IF($I6381=0,0,$J6381-$M6381-$N6381)</f>
      </c>
    </row>
    <row r="6382">
      <c r="A6382"/>
      <c r="B6382">
        <v>14</v>
      </c>
      <c r="C6382" s="43">
        <f>INDEX(DarlObj,14)</f>
      </c>
      <c r="D6382">
        <v>139</v>
      </c>
      <c r="E6382" s="51">
        <f>IF(INDEX(DarlBelegt,14)=0,0,EOMONTH(INDEX(DarlAuszahlung,14),138)+1)</f>
      </c>
      <c r="F6382" s="43">
        <f>IF($E6382=0,0,YEAR($E6382))</f>
      </c>
      <c r="G6382" s="43">
        <f>IF(INDEX(DarlBindung,14)="",1,IF($E6382&lt;=INDEX(DarlBindung,14),1,0))</f>
      </c>
      <c r="H6382" s="43">
        <f>IF($G6382=1,INDEX(DarlSollzins,14),INDEX(DarlAnschluss,14))</f>
      </c>
      <c r="I6382" s="43">
        <f>IF(INDEX(DarlBelegt,14)=0,0,IF(INDEX(DarlOhneTilgung,14)=1,IF(INDEX(DarlBindung,14)="",1,$G6382),IF($J6382&gt;0.005,1,0)))</f>
      </c>
      <c r="J6382" s="43">
        <f>IF($I6381=0,0,$R6381)</f>
      </c>
      <c r="K6382" s="43">
        <f>IF($I6382=0,0,IF(INDEX(DarlOhneTilgung,14)=1,0,IF(AND(INDEX(DarlTilgStart,14)&gt;0,$E6382=INDEX(DarlTilgStart,14)),$J6382*($H6382+INDEX(DarlTilgung,14))/100/12,IF(AND($G6382=0,$G6381=1),MAX($K6381,$J6382*($H6382+1)/100/12),$K6381))))</f>
      </c>
      <c r="L6382" s="43">
        <f>IF($I6382=0,0,$J6382*$H6382/100/12)</f>
      </c>
      <c r="M6382" s="43">
        <f>IF($I6382=0,0,IF(OR(INDEX(DarlOhneTilgung,14)=1,AND(INDEX(DarlTilgStart,14)&gt;0,$E6382&lt;INDEX(DarlTilgStart,14))),0,MIN(MAX(0,$K6382-$L6382),$J6382)))</f>
      </c>
      <c r="N6382" s="43">
        <f>IF($I6382=0,0,MIN(SUMIFS(SondBetrag,SondDarl,14,SondDatum,"&gt;="&amp;$E6382,SondDatum,"&lt;="&amp;EOMONTH($E6382,0)),$J6382-$M6382))</f>
      </c>
      <c r="O6382" s="43">
        <f>IF($I6382=0,0,INDEX(DarlErsatzRate,14))</f>
      </c>
      <c r="P6382" s="43">
        <f>IF($I6382=0,0,$Q6381*INDEX(DarlErsatzZins,14))</f>
      </c>
      <c r="Q6382" s="43">
        <f>IF($I6382=0,0,$Q6381+$P6382+$O6382)</f>
      </c>
      <c r="R6382" s="43">
        <f>IF($I6382=0,0,$J6382-$M6382-$N6382)</f>
      </c>
    </row>
    <row r="6383">
      <c r="A6383"/>
      <c r="B6383">
        <v>14</v>
      </c>
      <c r="C6383" s="43">
        <f>INDEX(DarlObj,14)</f>
      </c>
      <c r="D6383">
        <v>140</v>
      </c>
      <c r="E6383" s="51">
        <f>IF(INDEX(DarlBelegt,14)=0,0,EOMONTH(INDEX(DarlAuszahlung,14),139)+1)</f>
      </c>
      <c r="F6383" s="43">
        <f>IF($E6383=0,0,YEAR($E6383))</f>
      </c>
      <c r="G6383" s="43">
        <f>IF(INDEX(DarlBindung,14)="",1,IF($E6383&lt;=INDEX(DarlBindung,14),1,0))</f>
      </c>
      <c r="H6383" s="43">
        <f>IF($G6383=1,INDEX(DarlSollzins,14),INDEX(DarlAnschluss,14))</f>
      </c>
      <c r="I6383" s="43">
        <f>IF(INDEX(DarlBelegt,14)=0,0,IF(INDEX(DarlOhneTilgung,14)=1,IF(INDEX(DarlBindung,14)="",1,$G6383),IF($J6383&gt;0.005,1,0)))</f>
      </c>
      <c r="J6383" s="43">
        <f>IF($I6382=0,0,$R6382)</f>
      </c>
      <c r="K6383" s="43">
        <f>IF($I6383=0,0,IF(INDEX(DarlOhneTilgung,14)=1,0,IF(AND(INDEX(DarlTilgStart,14)&gt;0,$E6383=INDEX(DarlTilgStart,14)),$J6383*($H6383+INDEX(DarlTilgung,14))/100/12,IF(AND($G6383=0,$G6382=1),MAX($K6382,$J6383*($H6383+1)/100/12),$K6382))))</f>
      </c>
      <c r="L6383" s="43">
        <f>IF($I6383=0,0,$J6383*$H6383/100/12)</f>
      </c>
      <c r="M6383" s="43">
        <f>IF($I6383=0,0,IF(OR(INDEX(DarlOhneTilgung,14)=1,AND(INDEX(DarlTilgStart,14)&gt;0,$E6383&lt;INDEX(DarlTilgStart,14))),0,MIN(MAX(0,$K6383-$L6383),$J6383)))</f>
      </c>
      <c r="N6383" s="43">
        <f>IF($I6383=0,0,MIN(SUMIFS(SondBetrag,SondDarl,14,SondDatum,"&gt;="&amp;$E6383,SondDatum,"&lt;="&amp;EOMONTH($E6383,0)),$J6383-$M6383))</f>
      </c>
      <c r="O6383" s="43">
        <f>IF($I6383=0,0,INDEX(DarlErsatzRate,14))</f>
      </c>
      <c r="P6383" s="43">
        <f>IF($I6383=0,0,$Q6382*INDEX(DarlErsatzZins,14))</f>
      </c>
      <c r="Q6383" s="43">
        <f>IF($I6383=0,0,$Q6382+$P6383+$O6383)</f>
      </c>
      <c r="R6383" s="43">
        <f>IF($I6383=0,0,$J6383-$M6383-$N6383)</f>
      </c>
    </row>
    <row r="6384">
      <c r="A6384"/>
      <c r="B6384">
        <v>14</v>
      </c>
      <c r="C6384" s="43">
        <f>INDEX(DarlObj,14)</f>
      </c>
      <c r="D6384">
        <v>141</v>
      </c>
      <c r="E6384" s="51">
        <f>IF(INDEX(DarlBelegt,14)=0,0,EOMONTH(INDEX(DarlAuszahlung,14),140)+1)</f>
      </c>
      <c r="F6384" s="43">
        <f>IF($E6384=0,0,YEAR($E6384))</f>
      </c>
      <c r="G6384" s="43">
        <f>IF(INDEX(DarlBindung,14)="",1,IF($E6384&lt;=INDEX(DarlBindung,14),1,0))</f>
      </c>
      <c r="H6384" s="43">
        <f>IF($G6384=1,INDEX(DarlSollzins,14),INDEX(DarlAnschluss,14))</f>
      </c>
      <c r="I6384" s="43">
        <f>IF(INDEX(DarlBelegt,14)=0,0,IF(INDEX(DarlOhneTilgung,14)=1,IF(INDEX(DarlBindung,14)="",1,$G6384),IF($J6384&gt;0.005,1,0)))</f>
      </c>
      <c r="J6384" s="43">
        <f>IF($I6383=0,0,$R6383)</f>
      </c>
      <c r="K6384" s="43">
        <f>IF($I6384=0,0,IF(INDEX(DarlOhneTilgung,14)=1,0,IF(AND(INDEX(DarlTilgStart,14)&gt;0,$E6384=INDEX(DarlTilgStart,14)),$J6384*($H6384+INDEX(DarlTilgung,14))/100/12,IF(AND($G6384=0,$G6383=1),MAX($K6383,$J6384*($H6384+1)/100/12),$K6383))))</f>
      </c>
      <c r="L6384" s="43">
        <f>IF($I6384=0,0,$J6384*$H6384/100/12)</f>
      </c>
      <c r="M6384" s="43">
        <f>IF($I6384=0,0,IF(OR(INDEX(DarlOhneTilgung,14)=1,AND(INDEX(DarlTilgStart,14)&gt;0,$E6384&lt;INDEX(DarlTilgStart,14))),0,MIN(MAX(0,$K6384-$L6384),$J6384)))</f>
      </c>
      <c r="N6384" s="43">
        <f>IF($I6384=0,0,MIN(SUMIFS(SondBetrag,SondDarl,14,SondDatum,"&gt;="&amp;$E6384,SondDatum,"&lt;="&amp;EOMONTH($E6384,0)),$J6384-$M6384))</f>
      </c>
      <c r="O6384" s="43">
        <f>IF($I6384=0,0,INDEX(DarlErsatzRate,14))</f>
      </c>
      <c r="P6384" s="43">
        <f>IF($I6384=0,0,$Q6383*INDEX(DarlErsatzZins,14))</f>
      </c>
      <c r="Q6384" s="43">
        <f>IF($I6384=0,0,$Q6383+$P6384+$O6384)</f>
      </c>
      <c r="R6384" s="43">
        <f>IF($I6384=0,0,$J6384-$M6384-$N6384)</f>
      </c>
    </row>
    <row r="6385">
      <c r="A6385"/>
      <c r="B6385">
        <v>14</v>
      </c>
      <c r="C6385" s="43">
        <f>INDEX(DarlObj,14)</f>
      </c>
      <c r="D6385">
        <v>142</v>
      </c>
      <c r="E6385" s="51">
        <f>IF(INDEX(DarlBelegt,14)=0,0,EOMONTH(INDEX(DarlAuszahlung,14),141)+1)</f>
      </c>
      <c r="F6385" s="43">
        <f>IF($E6385=0,0,YEAR($E6385))</f>
      </c>
      <c r="G6385" s="43">
        <f>IF(INDEX(DarlBindung,14)="",1,IF($E6385&lt;=INDEX(DarlBindung,14),1,0))</f>
      </c>
      <c r="H6385" s="43">
        <f>IF($G6385=1,INDEX(DarlSollzins,14),INDEX(DarlAnschluss,14))</f>
      </c>
      <c r="I6385" s="43">
        <f>IF(INDEX(DarlBelegt,14)=0,0,IF(INDEX(DarlOhneTilgung,14)=1,IF(INDEX(DarlBindung,14)="",1,$G6385),IF($J6385&gt;0.005,1,0)))</f>
      </c>
      <c r="J6385" s="43">
        <f>IF($I6384=0,0,$R6384)</f>
      </c>
      <c r="K6385" s="43">
        <f>IF($I6385=0,0,IF(INDEX(DarlOhneTilgung,14)=1,0,IF(AND(INDEX(DarlTilgStart,14)&gt;0,$E6385=INDEX(DarlTilgStart,14)),$J6385*($H6385+INDEX(DarlTilgung,14))/100/12,IF(AND($G6385=0,$G6384=1),MAX($K6384,$J6385*($H6385+1)/100/12),$K6384))))</f>
      </c>
      <c r="L6385" s="43">
        <f>IF($I6385=0,0,$J6385*$H6385/100/12)</f>
      </c>
      <c r="M6385" s="43">
        <f>IF($I6385=0,0,IF(OR(INDEX(DarlOhneTilgung,14)=1,AND(INDEX(DarlTilgStart,14)&gt;0,$E6385&lt;INDEX(DarlTilgStart,14))),0,MIN(MAX(0,$K6385-$L6385),$J6385)))</f>
      </c>
      <c r="N6385" s="43">
        <f>IF($I6385=0,0,MIN(SUMIFS(SondBetrag,SondDarl,14,SondDatum,"&gt;="&amp;$E6385,SondDatum,"&lt;="&amp;EOMONTH($E6385,0)),$J6385-$M6385))</f>
      </c>
      <c r="O6385" s="43">
        <f>IF($I6385=0,0,INDEX(DarlErsatzRate,14))</f>
      </c>
      <c r="P6385" s="43">
        <f>IF($I6385=0,0,$Q6384*INDEX(DarlErsatzZins,14))</f>
      </c>
      <c r="Q6385" s="43">
        <f>IF($I6385=0,0,$Q6384+$P6385+$O6385)</f>
      </c>
      <c r="R6385" s="43">
        <f>IF($I6385=0,0,$J6385-$M6385-$N6385)</f>
      </c>
    </row>
    <row r="6386">
      <c r="A6386"/>
      <c r="B6386">
        <v>14</v>
      </c>
      <c r="C6386" s="43">
        <f>INDEX(DarlObj,14)</f>
      </c>
      <c r="D6386">
        <v>143</v>
      </c>
      <c r="E6386" s="51">
        <f>IF(INDEX(DarlBelegt,14)=0,0,EOMONTH(INDEX(DarlAuszahlung,14),142)+1)</f>
      </c>
      <c r="F6386" s="43">
        <f>IF($E6386=0,0,YEAR($E6386))</f>
      </c>
      <c r="G6386" s="43">
        <f>IF(INDEX(DarlBindung,14)="",1,IF($E6386&lt;=INDEX(DarlBindung,14),1,0))</f>
      </c>
      <c r="H6386" s="43">
        <f>IF($G6386=1,INDEX(DarlSollzins,14),INDEX(DarlAnschluss,14))</f>
      </c>
      <c r="I6386" s="43">
        <f>IF(INDEX(DarlBelegt,14)=0,0,IF(INDEX(DarlOhneTilgung,14)=1,IF(INDEX(DarlBindung,14)="",1,$G6386),IF($J6386&gt;0.005,1,0)))</f>
      </c>
      <c r="J6386" s="43">
        <f>IF($I6385=0,0,$R6385)</f>
      </c>
      <c r="K6386" s="43">
        <f>IF($I6386=0,0,IF(INDEX(DarlOhneTilgung,14)=1,0,IF(AND(INDEX(DarlTilgStart,14)&gt;0,$E6386=INDEX(DarlTilgStart,14)),$J6386*($H6386+INDEX(DarlTilgung,14))/100/12,IF(AND($G6386=0,$G6385=1),MAX($K6385,$J6386*($H6386+1)/100/12),$K6385))))</f>
      </c>
      <c r="L6386" s="43">
        <f>IF($I6386=0,0,$J6386*$H6386/100/12)</f>
      </c>
      <c r="M6386" s="43">
        <f>IF($I6386=0,0,IF(OR(INDEX(DarlOhneTilgung,14)=1,AND(INDEX(DarlTilgStart,14)&gt;0,$E6386&lt;INDEX(DarlTilgStart,14))),0,MIN(MAX(0,$K6386-$L6386),$J6386)))</f>
      </c>
      <c r="N6386" s="43">
        <f>IF($I6386=0,0,MIN(SUMIFS(SondBetrag,SondDarl,14,SondDatum,"&gt;="&amp;$E6386,SondDatum,"&lt;="&amp;EOMONTH($E6386,0)),$J6386-$M6386))</f>
      </c>
      <c r="O6386" s="43">
        <f>IF($I6386=0,0,INDEX(DarlErsatzRate,14))</f>
      </c>
      <c r="P6386" s="43">
        <f>IF($I6386=0,0,$Q6385*INDEX(DarlErsatzZins,14))</f>
      </c>
      <c r="Q6386" s="43">
        <f>IF($I6386=0,0,$Q6385+$P6386+$O6386)</f>
      </c>
      <c r="R6386" s="43">
        <f>IF($I6386=0,0,$J6386-$M6386-$N6386)</f>
      </c>
    </row>
    <row r="6387">
      <c r="A6387"/>
      <c r="B6387">
        <v>14</v>
      </c>
      <c r="C6387" s="43">
        <f>INDEX(DarlObj,14)</f>
      </c>
      <c r="D6387">
        <v>144</v>
      </c>
      <c r="E6387" s="51">
        <f>IF(INDEX(DarlBelegt,14)=0,0,EOMONTH(INDEX(DarlAuszahlung,14),143)+1)</f>
      </c>
      <c r="F6387" s="43">
        <f>IF($E6387=0,0,YEAR($E6387))</f>
      </c>
      <c r="G6387" s="43">
        <f>IF(INDEX(DarlBindung,14)="",1,IF($E6387&lt;=INDEX(DarlBindung,14),1,0))</f>
      </c>
      <c r="H6387" s="43">
        <f>IF($G6387=1,INDEX(DarlSollzins,14),INDEX(DarlAnschluss,14))</f>
      </c>
      <c r="I6387" s="43">
        <f>IF(INDEX(DarlBelegt,14)=0,0,IF(INDEX(DarlOhneTilgung,14)=1,IF(INDEX(DarlBindung,14)="",1,$G6387),IF($J6387&gt;0.005,1,0)))</f>
      </c>
      <c r="J6387" s="43">
        <f>IF($I6386=0,0,$R6386)</f>
      </c>
      <c r="K6387" s="43">
        <f>IF($I6387=0,0,IF(INDEX(DarlOhneTilgung,14)=1,0,IF(AND(INDEX(DarlTilgStart,14)&gt;0,$E6387=INDEX(DarlTilgStart,14)),$J6387*($H6387+INDEX(DarlTilgung,14))/100/12,IF(AND($G6387=0,$G6386=1),MAX($K6386,$J6387*($H6387+1)/100/12),$K6386))))</f>
      </c>
      <c r="L6387" s="43">
        <f>IF($I6387=0,0,$J6387*$H6387/100/12)</f>
      </c>
      <c r="M6387" s="43">
        <f>IF($I6387=0,0,IF(OR(INDEX(DarlOhneTilgung,14)=1,AND(INDEX(DarlTilgStart,14)&gt;0,$E6387&lt;INDEX(DarlTilgStart,14))),0,MIN(MAX(0,$K6387-$L6387),$J6387)))</f>
      </c>
      <c r="N6387" s="43">
        <f>IF($I6387=0,0,MIN(SUMIFS(SondBetrag,SondDarl,14,SondDatum,"&gt;="&amp;$E6387,SondDatum,"&lt;="&amp;EOMONTH($E6387,0)),$J6387-$M6387))</f>
      </c>
      <c r="O6387" s="43">
        <f>IF($I6387=0,0,INDEX(DarlErsatzRate,14))</f>
      </c>
      <c r="P6387" s="43">
        <f>IF($I6387=0,0,$Q6386*INDEX(DarlErsatzZins,14))</f>
      </c>
      <c r="Q6387" s="43">
        <f>IF($I6387=0,0,$Q6386+$P6387+$O6387)</f>
      </c>
      <c r="R6387" s="43">
        <f>IF($I6387=0,0,$J6387-$M6387-$N6387)</f>
      </c>
    </row>
    <row r="6388">
      <c r="A6388"/>
      <c r="B6388">
        <v>14</v>
      </c>
      <c r="C6388" s="43">
        <f>INDEX(DarlObj,14)</f>
      </c>
      <c r="D6388">
        <v>145</v>
      </c>
      <c r="E6388" s="51">
        <f>IF(INDEX(DarlBelegt,14)=0,0,EOMONTH(INDEX(DarlAuszahlung,14),144)+1)</f>
      </c>
      <c r="F6388" s="43">
        <f>IF($E6388=0,0,YEAR($E6388))</f>
      </c>
      <c r="G6388" s="43">
        <f>IF(INDEX(DarlBindung,14)="",1,IF($E6388&lt;=INDEX(DarlBindung,14),1,0))</f>
      </c>
      <c r="H6388" s="43">
        <f>IF($G6388=1,INDEX(DarlSollzins,14),INDEX(DarlAnschluss,14))</f>
      </c>
      <c r="I6388" s="43">
        <f>IF(INDEX(DarlBelegt,14)=0,0,IF(INDEX(DarlOhneTilgung,14)=1,IF(INDEX(DarlBindung,14)="",1,$G6388),IF($J6388&gt;0.005,1,0)))</f>
      </c>
      <c r="J6388" s="43">
        <f>IF($I6387=0,0,$R6387)</f>
      </c>
      <c r="K6388" s="43">
        <f>IF($I6388=0,0,IF(INDEX(DarlOhneTilgung,14)=1,0,IF(AND(INDEX(DarlTilgStart,14)&gt;0,$E6388=INDEX(DarlTilgStart,14)),$J6388*($H6388+INDEX(DarlTilgung,14))/100/12,IF(AND($G6388=0,$G6387=1),MAX($K6387,$J6388*($H6388+1)/100/12),$K6387))))</f>
      </c>
      <c r="L6388" s="43">
        <f>IF($I6388=0,0,$J6388*$H6388/100/12)</f>
      </c>
      <c r="M6388" s="43">
        <f>IF($I6388=0,0,IF(OR(INDEX(DarlOhneTilgung,14)=1,AND(INDEX(DarlTilgStart,14)&gt;0,$E6388&lt;INDEX(DarlTilgStart,14))),0,MIN(MAX(0,$K6388-$L6388),$J6388)))</f>
      </c>
      <c r="N6388" s="43">
        <f>IF($I6388=0,0,MIN(SUMIFS(SondBetrag,SondDarl,14,SondDatum,"&gt;="&amp;$E6388,SondDatum,"&lt;="&amp;EOMONTH($E6388,0)),$J6388-$M6388))</f>
      </c>
      <c r="O6388" s="43">
        <f>IF($I6388=0,0,INDEX(DarlErsatzRate,14))</f>
      </c>
      <c r="P6388" s="43">
        <f>IF($I6388=0,0,$Q6387*INDEX(DarlErsatzZins,14))</f>
      </c>
      <c r="Q6388" s="43">
        <f>IF($I6388=0,0,$Q6387+$P6388+$O6388)</f>
      </c>
      <c r="R6388" s="43">
        <f>IF($I6388=0,0,$J6388-$M6388-$N6388)</f>
      </c>
    </row>
    <row r="6389">
      <c r="A6389"/>
      <c r="B6389">
        <v>14</v>
      </c>
      <c r="C6389" s="43">
        <f>INDEX(DarlObj,14)</f>
      </c>
      <c r="D6389">
        <v>146</v>
      </c>
      <c r="E6389" s="51">
        <f>IF(INDEX(DarlBelegt,14)=0,0,EOMONTH(INDEX(DarlAuszahlung,14),145)+1)</f>
      </c>
      <c r="F6389" s="43">
        <f>IF($E6389=0,0,YEAR($E6389))</f>
      </c>
      <c r="G6389" s="43">
        <f>IF(INDEX(DarlBindung,14)="",1,IF($E6389&lt;=INDEX(DarlBindung,14),1,0))</f>
      </c>
      <c r="H6389" s="43">
        <f>IF($G6389=1,INDEX(DarlSollzins,14),INDEX(DarlAnschluss,14))</f>
      </c>
      <c r="I6389" s="43">
        <f>IF(INDEX(DarlBelegt,14)=0,0,IF(INDEX(DarlOhneTilgung,14)=1,IF(INDEX(DarlBindung,14)="",1,$G6389),IF($J6389&gt;0.005,1,0)))</f>
      </c>
      <c r="J6389" s="43">
        <f>IF($I6388=0,0,$R6388)</f>
      </c>
      <c r="K6389" s="43">
        <f>IF($I6389=0,0,IF(INDEX(DarlOhneTilgung,14)=1,0,IF(AND(INDEX(DarlTilgStart,14)&gt;0,$E6389=INDEX(DarlTilgStart,14)),$J6389*($H6389+INDEX(DarlTilgung,14))/100/12,IF(AND($G6389=0,$G6388=1),MAX($K6388,$J6389*($H6389+1)/100/12),$K6388))))</f>
      </c>
      <c r="L6389" s="43">
        <f>IF($I6389=0,0,$J6389*$H6389/100/12)</f>
      </c>
      <c r="M6389" s="43">
        <f>IF($I6389=0,0,IF(OR(INDEX(DarlOhneTilgung,14)=1,AND(INDEX(DarlTilgStart,14)&gt;0,$E6389&lt;INDEX(DarlTilgStart,14))),0,MIN(MAX(0,$K6389-$L6389),$J6389)))</f>
      </c>
      <c r="N6389" s="43">
        <f>IF($I6389=0,0,MIN(SUMIFS(SondBetrag,SondDarl,14,SondDatum,"&gt;="&amp;$E6389,SondDatum,"&lt;="&amp;EOMONTH($E6389,0)),$J6389-$M6389))</f>
      </c>
      <c r="O6389" s="43">
        <f>IF($I6389=0,0,INDEX(DarlErsatzRate,14))</f>
      </c>
      <c r="P6389" s="43">
        <f>IF($I6389=0,0,$Q6388*INDEX(DarlErsatzZins,14))</f>
      </c>
      <c r="Q6389" s="43">
        <f>IF($I6389=0,0,$Q6388+$P6389+$O6389)</f>
      </c>
      <c r="R6389" s="43">
        <f>IF($I6389=0,0,$J6389-$M6389-$N6389)</f>
      </c>
    </row>
    <row r="6390">
      <c r="A6390"/>
      <c r="B6390">
        <v>14</v>
      </c>
      <c r="C6390" s="43">
        <f>INDEX(DarlObj,14)</f>
      </c>
      <c r="D6390">
        <v>147</v>
      </c>
      <c r="E6390" s="51">
        <f>IF(INDEX(DarlBelegt,14)=0,0,EOMONTH(INDEX(DarlAuszahlung,14),146)+1)</f>
      </c>
      <c r="F6390" s="43">
        <f>IF($E6390=0,0,YEAR($E6390))</f>
      </c>
      <c r="G6390" s="43">
        <f>IF(INDEX(DarlBindung,14)="",1,IF($E6390&lt;=INDEX(DarlBindung,14),1,0))</f>
      </c>
      <c r="H6390" s="43">
        <f>IF($G6390=1,INDEX(DarlSollzins,14),INDEX(DarlAnschluss,14))</f>
      </c>
      <c r="I6390" s="43">
        <f>IF(INDEX(DarlBelegt,14)=0,0,IF(INDEX(DarlOhneTilgung,14)=1,IF(INDEX(DarlBindung,14)="",1,$G6390),IF($J6390&gt;0.005,1,0)))</f>
      </c>
      <c r="J6390" s="43">
        <f>IF($I6389=0,0,$R6389)</f>
      </c>
      <c r="K6390" s="43">
        <f>IF($I6390=0,0,IF(INDEX(DarlOhneTilgung,14)=1,0,IF(AND(INDEX(DarlTilgStart,14)&gt;0,$E6390=INDEX(DarlTilgStart,14)),$J6390*($H6390+INDEX(DarlTilgung,14))/100/12,IF(AND($G6390=0,$G6389=1),MAX($K6389,$J6390*($H6390+1)/100/12),$K6389))))</f>
      </c>
      <c r="L6390" s="43">
        <f>IF($I6390=0,0,$J6390*$H6390/100/12)</f>
      </c>
      <c r="M6390" s="43">
        <f>IF($I6390=0,0,IF(OR(INDEX(DarlOhneTilgung,14)=1,AND(INDEX(DarlTilgStart,14)&gt;0,$E6390&lt;INDEX(DarlTilgStart,14))),0,MIN(MAX(0,$K6390-$L6390),$J6390)))</f>
      </c>
      <c r="N6390" s="43">
        <f>IF($I6390=0,0,MIN(SUMIFS(SondBetrag,SondDarl,14,SondDatum,"&gt;="&amp;$E6390,SondDatum,"&lt;="&amp;EOMONTH($E6390,0)),$J6390-$M6390))</f>
      </c>
      <c r="O6390" s="43">
        <f>IF($I6390=0,0,INDEX(DarlErsatzRate,14))</f>
      </c>
      <c r="P6390" s="43">
        <f>IF($I6390=0,0,$Q6389*INDEX(DarlErsatzZins,14))</f>
      </c>
      <c r="Q6390" s="43">
        <f>IF($I6390=0,0,$Q6389+$P6390+$O6390)</f>
      </c>
      <c r="R6390" s="43">
        <f>IF($I6390=0,0,$J6390-$M6390-$N6390)</f>
      </c>
    </row>
    <row r="6391">
      <c r="A6391"/>
      <c r="B6391">
        <v>14</v>
      </c>
      <c r="C6391" s="43">
        <f>INDEX(DarlObj,14)</f>
      </c>
      <c r="D6391">
        <v>148</v>
      </c>
      <c r="E6391" s="51">
        <f>IF(INDEX(DarlBelegt,14)=0,0,EOMONTH(INDEX(DarlAuszahlung,14),147)+1)</f>
      </c>
      <c r="F6391" s="43">
        <f>IF($E6391=0,0,YEAR($E6391))</f>
      </c>
      <c r="G6391" s="43">
        <f>IF(INDEX(DarlBindung,14)="",1,IF($E6391&lt;=INDEX(DarlBindung,14),1,0))</f>
      </c>
      <c r="H6391" s="43">
        <f>IF($G6391=1,INDEX(DarlSollzins,14),INDEX(DarlAnschluss,14))</f>
      </c>
      <c r="I6391" s="43">
        <f>IF(INDEX(DarlBelegt,14)=0,0,IF(INDEX(DarlOhneTilgung,14)=1,IF(INDEX(DarlBindung,14)="",1,$G6391),IF($J6391&gt;0.005,1,0)))</f>
      </c>
      <c r="J6391" s="43">
        <f>IF($I6390=0,0,$R6390)</f>
      </c>
      <c r="K6391" s="43">
        <f>IF($I6391=0,0,IF(INDEX(DarlOhneTilgung,14)=1,0,IF(AND(INDEX(DarlTilgStart,14)&gt;0,$E6391=INDEX(DarlTilgStart,14)),$J6391*($H6391+INDEX(DarlTilgung,14))/100/12,IF(AND($G6391=0,$G6390=1),MAX($K6390,$J6391*($H6391+1)/100/12),$K6390))))</f>
      </c>
      <c r="L6391" s="43">
        <f>IF($I6391=0,0,$J6391*$H6391/100/12)</f>
      </c>
      <c r="M6391" s="43">
        <f>IF($I6391=0,0,IF(OR(INDEX(DarlOhneTilgung,14)=1,AND(INDEX(DarlTilgStart,14)&gt;0,$E6391&lt;INDEX(DarlTilgStart,14))),0,MIN(MAX(0,$K6391-$L6391),$J6391)))</f>
      </c>
      <c r="N6391" s="43">
        <f>IF($I6391=0,0,MIN(SUMIFS(SondBetrag,SondDarl,14,SondDatum,"&gt;="&amp;$E6391,SondDatum,"&lt;="&amp;EOMONTH($E6391,0)),$J6391-$M6391))</f>
      </c>
      <c r="O6391" s="43">
        <f>IF($I6391=0,0,INDEX(DarlErsatzRate,14))</f>
      </c>
      <c r="P6391" s="43">
        <f>IF($I6391=0,0,$Q6390*INDEX(DarlErsatzZins,14))</f>
      </c>
      <c r="Q6391" s="43">
        <f>IF($I6391=0,0,$Q6390+$P6391+$O6391)</f>
      </c>
      <c r="R6391" s="43">
        <f>IF($I6391=0,0,$J6391-$M6391-$N6391)</f>
      </c>
    </row>
    <row r="6392">
      <c r="A6392"/>
      <c r="B6392">
        <v>14</v>
      </c>
      <c r="C6392" s="43">
        <f>INDEX(DarlObj,14)</f>
      </c>
      <c r="D6392">
        <v>149</v>
      </c>
      <c r="E6392" s="51">
        <f>IF(INDEX(DarlBelegt,14)=0,0,EOMONTH(INDEX(DarlAuszahlung,14),148)+1)</f>
      </c>
      <c r="F6392" s="43">
        <f>IF($E6392=0,0,YEAR($E6392))</f>
      </c>
      <c r="G6392" s="43">
        <f>IF(INDEX(DarlBindung,14)="",1,IF($E6392&lt;=INDEX(DarlBindung,14),1,0))</f>
      </c>
      <c r="H6392" s="43">
        <f>IF($G6392=1,INDEX(DarlSollzins,14),INDEX(DarlAnschluss,14))</f>
      </c>
      <c r="I6392" s="43">
        <f>IF(INDEX(DarlBelegt,14)=0,0,IF(INDEX(DarlOhneTilgung,14)=1,IF(INDEX(DarlBindung,14)="",1,$G6392),IF($J6392&gt;0.005,1,0)))</f>
      </c>
      <c r="J6392" s="43">
        <f>IF($I6391=0,0,$R6391)</f>
      </c>
      <c r="K6392" s="43">
        <f>IF($I6392=0,0,IF(INDEX(DarlOhneTilgung,14)=1,0,IF(AND(INDEX(DarlTilgStart,14)&gt;0,$E6392=INDEX(DarlTilgStart,14)),$J6392*($H6392+INDEX(DarlTilgung,14))/100/12,IF(AND($G6392=0,$G6391=1),MAX($K6391,$J6392*($H6392+1)/100/12),$K6391))))</f>
      </c>
      <c r="L6392" s="43">
        <f>IF($I6392=0,0,$J6392*$H6392/100/12)</f>
      </c>
      <c r="M6392" s="43">
        <f>IF($I6392=0,0,IF(OR(INDEX(DarlOhneTilgung,14)=1,AND(INDEX(DarlTilgStart,14)&gt;0,$E6392&lt;INDEX(DarlTilgStart,14))),0,MIN(MAX(0,$K6392-$L6392),$J6392)))</f>
      </c>
      <c r="N6392" s="43">
        <f>IF($I6392=0,0,MIN(SUMIFS(SondBetrag,SondDarl,14,SondDatum,"&gt;="&amp;$E6392,SondDatum,"&lt;="&amp;EOMONTH($E6392,0)),$J6392-$M6392))</f>
      </c>
      <c r="O6392" s="43">
        <f>IF($I6392=0,0,INDEX(DarlErsatzRate,14))</f>
      </c>
      <c r="P6392" s="43">
        <f>IF($I6392=0,0,$Q6391*INDEX(DarlErsatzZins,14))</f>
      </c>
      <c r="Q6392" s="43">
        <f>IF($I6392=0,0,$Q6391+$P6392+$O6392)</f>
      </c>
      <c r="R6392" s="43">
        <f>IF($I6392=0,0,$J6392-$M6392-$N6392)</f>
      </c>
    </row>
    <row r="6393">
      <c r="A6393"/>
      <c r="B6393">
        <v>14</v>
      </c>
      <c r="C6393" s="43">
        <f>INDEX(DarlObj,14)</f>
      </c>
      <c r="D6393">
        <v>150</v>
      </c>
      <c r="E6393" s="51">
        <f>IF(INDEX(DarlBelegt,14)=0,0,EOMONTH(INDEX(DarlAuszahlung,14),149)+1)</f>
      </c>
      <c r="F6393" s="43">
        <f>IF($E6393=0,0,YEAR($E6393))</f>
      </c>
      <c r="G6393" s="43">
        <f>IF(INDEX(DarlBindung,14)="",1,IF($E6393&lt;=INDEX(DarlBindung,14),1,0))</f>
      </c>
      <c r="H6393" s="43">
        <f>IF($G6393=1,INDEX(DarlSollzins,14),INDEX(DarlAnschluss,14))</f>
      </c>
      <c r="I6393" s="43">
        <f>IF(INDEX(DarlBelegt,14)=0,0,IF(INDEX(DarlOhneTilgung,14)=1,IF(INDEX(DarlBindung,14)="",1,$G6393),IF($J6393&gt;0.005,1,0)))</f>
      </c>
      <c r="J6393" s="43">
        <f>IF($I6392=0,0,$R6392)</f>
      </c>
      <c r="K6393" s="43">
        <f>IF($I6393=0,0,IF(INDEX(DarlOhneTilgung,14)=1,0,IF(AND(INDEX(DarlTilgStart,14)&gt;0,$E6393=INDEX(DarlTilgStart,14)),$J6393*($H6393+INDEX(DarlTilgung,14))/100/12,IF(AND($G6393=0,$G6392=1),MAX($K6392,$J6393*($H6393+1)/100/12),$K6392))))</f>
      </c>
      <c r="L6393" s="43">
        <f>IF($I6393=0,0,$J6393*$H6393/100/12)</f>
      </c>
      <c r="M6393" s="43">
        <f>IF($I6393=0,0,IF(OR(INDEX(DarlOhneTilgung,14)=1,AND(INDEX(DarlTilgStart,14)&gt;0,$E6393&lt;INDEX(DarlTilgStart,14))),0,MIN(MAX(0,$K6393-$L6393),$J6393)))</f>
      </c>
      <c r="N6393" s="43">
        <f>IF($I6393=0,0,MIN(SUMIFS(SondBetrag,SondDarl,14,SondDatum,"&gt;="&amp;$E6393,SondDatum,"&lt;="&amp;EOMONTH($E6393,0)),$J6393-$M6393))</f>
      </c>
      <c r="O6393" s="43">
        <f>IF($I6393=0,0,INDEX(DarlErsatzRate,14))</f>
      </c>
      <c r="P6393" s="43">
        <f>IF($I6393=0,0,$Q6392*INDEX(DarlErsatzZins,14))</f>
      </c>
      <c r="Q6393" s="43">
        <f>IF($I6393=0,0,$Q6392+$P6393+$O6393)</f>
      </c>
      <c r="R6393" s="43">
        <f>IF($I6393=0,0,$J6393-$M6393-$N6393)</f>
      </c>
    </row>
    <row r="6394">
      <c r="A6394"/>
      <c r="B6394">
        <v>14</v>
      </c>
      <c r="C6394" s="43">
        <f>INDEX(DarlObj,14)</f>
      </c>
      <c r="D6394">
        <v>151</v>
      </c>
      <c r="E6394" s="51">
        <f>IF(INDEX(DarlBelegt,14)=0,0,EOMONTH(INDEX(DarlAuszahlung,14),150)+1)</f>
      </c>
      <c r="F6394" s="43">
        <f>IF($E6394=0,0,YEAR($E6394))</f>
      </c>
      <c r="G6394" s="43">
        <f>IF(INDEX(DarlBindung,14)="",1,IF($E6394&lt;=INDEX(DarlBindung,14),1,0))</f>
      </c>
      <c r="H6394" s="43">
        <f>IF($G6394=1,INDEX(DarlSollzins,14),INDEX(DarlAnschluss,14))</f>
      </c>
      <c r="I6394" s="43">
        <f>IF(INDEX(DarlBelegt,14)=0,0,IF(INDEX(DarlOhneTilgung,14)=1,IF(INDEX(DarlBindung,14)="",1,$G6394),IF($J6394&gt;0.005,1,0)))</f>
      </c>
      <c r="J6394" s="43">
        <f>IF($I6393=0,0,$R6393)</f>
      </c>
      <c r="K6394" s="43">
        <f>IF($I6394=0,0,IF(INDEX(DarlOhneTilgung,14)=1,0,IF(AND(INDEX(DarlTilgStart,14)&gt;0,$E6394=INDEX(DarlTilgStart,14)),$J6394*($H6394+INDEX(DarlTilgung,14))/100/12,IF(AND($G6394=0,$G6393=1),MAX($K6393,$J6394*($H6394+1)/100/12),$K6393))))</f>
      </c>
      <c r="L6394" s="43">
        <f>IF($I6394=0,0,$J6394*$H6394/100/12)</f>
      </c>
      <c r="M6394" s="43">
        <f>IF($I6394=0,0,IF(OR(INDEX(DarlOhneTilgung,14)=1,AND(INDEX(DarlTilgStart,14)&gt;0,$E6394&lt;INDEX(DarlTilgStart,14))),0,MIN(MAX(0,$K6394-$L6394),$J6394)))</f>
      </c>
      <c r="N6394" s="43">
        <f>IF($I6394=0,0,MIN(SUMIFS(SondBetrag,SondDarl,14,SondDatum,"&gt;="&amp;$E6394,SondDatum,"&lt;="&amp;EOMONTH($E6394,0)),$J6394-$M6394))</f>
      </c>
      <c r="O6394" s="43">
        <f>IF($I6394=0,0,INDEX(DarlErsatzRate,14))</f>
      </c>
      <c r="P6394" s="43">
        <f>IF($I6394=0,0,$Q6393*INDEX(DarlErsatzZins,14))</f>
      </c>
      <c r="Q6394" s="43">
        <f>IF($I6394=0,0,$Q6393+$P6394+$O6394)</f>
      </c>
      <c r="R6394" s="43">
        <f>IF($I6394=0,0,$J6394-$M6394-$N6394)</f>
      </c>
    </row>
    <row r="6395">
      <c r="A6395"/>
      <c r="B6395">
        <v>14</v>
      </c>
      <c r="C6395" s="43">
        <f>INDEX(DarlObj,14)</f>
      </c>
      <c r="D6395">
        <v>152</v>
      </c>
      <c r="E6395" s="51">
        <f>IF(INDEX(DarlBelegt,14)=0,0,EOMONTH(INDEX(DarlAuszahlung,14),151)+1)</f>
      </c>
      <c r="F6395" s="43">
        <f>IF($E6395=0,0,YEAR($E6395))</f>
      </c>
      <c r="G6395" s="43">
        <f>IF(INDEX(DarlBindung,14)="",1,IF($E6395&lt;=INDEX(DarlBindung,14),1,0))</f>
      </c>
      <c r="H6395" s="43">
        <f>IF($G6395=1,INDEX(DarlSollzins,14),INDEX(DarlAnschluss,14))</f>
      </c>
      <c r="I6395" s="43">
        <f>IF(INDEX(DarlBelegt,14)=0,0,IF(INDEX(DarlOhneTilgung,14)=1,IF(INDEX(DarlBindung,14)="",1,$G6395),IF($J6395&gt;0.005,1,0)))</f>
      </c>
      <c r="J6395" s="43">
        <f>IF($I6394=0,0,$R6394)</f>
      </c>
      <c r="K6395" s="43">
        <f>IF($I6395=0,0,IF(INDEX(DarlOhneTilgung,14)=1,0,IF(AND(INDEX(DarlTilgStart,14)&gt;0,$E6395=INDEX(DarlTilgStart,14)),$J6395*($H6395+INDEX(DarlTilgung,14))/100/12,IF(AND($G6395=0,$G6394=1),MAX($K6394,$J6395*($H6395+1)/100/12),$K6394))))</f>
      </c>
      <c r="L6395" s="43">
        <f>IF($I6395=0,0,$J6395*$H6395/100/12)</f>
      </c>
      <c r="M6395" s="43">
        <f>IF($I6395=0,0,IF(OR(INDEX(DarlOhneTilgung,14)=1,AND(INDEX(DarlTilgStart,14)&gt;0,$E6395&lt;INDEX(DarlTilgStart,14))),0,MIN(MAX(0,$K6395-$L6395),$J6395)))</f>
      </c>
      <c r="N6395" s="43">
        <f>IF($I6395=0,0,MIN(SUMIFS(SondBetrag,SondDarl,14,SondDatum,"&gt;="&amp;$E6395,SondDatum,"&lt;="&amp;EOMONTH($E6395,0)),$J6395-$M6395))</f>
      </c>
      <c r="O6395" s="43">
        <f>IF($I6395=0,0,INDEX(DarlErsatzRate,14))</f>
      </c>
      <c r="P6395" s="43">
        <f>IF($I6395=0,0,$Q6394*INDEX(DarlErsatzZins,14))</f>
      </c>
      <c r="Q6395" s="43">
        <f>IF($I6395=0,0,$Q6394+$P6395+$O6395)</f>
      </c>
      <c r="R6395" s="43">
        <f>IF($I6395=0,0,$J6395-$M6395-$N6395)</f>
      </c>
    </row>
    <row r="6396">
      <c r="A6396"/>
      <c r="B6396">
        <v>14</v>
      </c>
      <c r="C6396" s="43">
        <f>INDEX(DarlObj,14)</f>
      </c>
      <c r="D6396">
        <v>153</v>
      </c>
      <c r="E6396" s="51">
        <f>IF(INDEX(DarlBelegt,14)=0,0,EOMONTH(INDEX(DarlAuszahlung,14),152)+1)</f>
      </c>
      <c r="F6396" s="43">
        <f>IF($E6396=0,0,YEAR($E6396))</f>
      </c>
      <c r="G6396" s="43">
        <f>IF(INDEX(DarlBindung,14)="",1,IF($E6396&lt;=INDEX(DarlBindung,14),1,0))</f>
      </c>
      <c r="H6396" s="43">
        <f>IF($G6396=1,INDEX(DarlSollzins,14),INDEX(DarlAnschluss,14))</f>
      </c>
      <c r="I6396" s="43">
        <f>IF(INDEX(DarlBelegt,14)=0,0,IF(INDEX(DarlOhneTilgung,14)=1,IF(INDEX(DarlBindung,14)="",1,$G6396),IF($J6396&gt;0.005,1,0)))</f>
      </c>
      <c r="J6396" s="43">
        <f>IF($I6395=0,0,$R6395)</f>
      </c>
      <c r="K6396" s="43">
        <f>IF($I6396=0,0,IF(INDEX(DarlOhneTilgung,14)=1,0,IF(AND(INDEX(DarlTilgStart,14)&gt;0,$E6396=INDEX(DarlTilgStart,14)),$J6396*($H6396+INDEX(DarlTilgung,14))/100/12,IF(AND($G6396=0,$G6395=1),MAX($K6395,$J6396*($H6396+1)/100/12),$K6395))))</f>
      </c>
      <c r="L6396" s="43">
        <f>IF($I6396=0,0,$J6396*$H6396/100/12)</f>
      </c>
      <c r="M6396" s="43">
        <f>IF($I6396=0,0,IF(OR(INDEX(DarlOhneTilgung,14)=1,AND(INDEX(DarlTilgStart,14)&gt;0,$E6396&lt;INDEX(DarlTilgStart,14))),0,MIN(MAX(0,$K6396-$L6396),$J6396)))</f>
      </c>
      <c r="N6396" s="43">
        <f>IF($I6396=0,0,MIN(SUMIFS(SondBetrag,SondDarl,14,SondDatum,"&gt;="&amp;$E6396,SondDatum,"&lt;="&amp;EOMONTH($E6396,0)),$J6396-$M6396))</f>
      </c>
      <c r="O6396" s="43">
        <f>IF($I6396=0,0,INDEX(DarlErsatzRate,14))</f>
      </c>
      <c r="P6396" s="43">
        <f>IF($I6396=0,0,$Q6395*INDEX(DarlErsatzZins,14))</f>
      </c>
      <c r="Q6396" s="43">
        <f>IF($I6396=0,0,$Q6395+$P6396+$O6396)</f>
      </c>
      <c r="R6396" s="43">
        <f>IF($I6396=0,0,$J6396-$M6396-$N6396)</f>
      </c>
    </row>
    <row r="6397">
      <c r="A6397"/>
      <c r="B6397">
        <v>14</v>
      </c>
      <c r="C6397" s="43">
        <f>INDEX(DarlObj,14)</f>
      </c>
      <c r="D6397">
        <v>154</v>
      </c>
      <c r="E6397" s="51">
        <f>IF(INDEX(DarlBelegt,14)=0,0,EOMONTH(INDEX(DarlAuszahlung,14),153)+1)</f>
      </c>
      <c r="F6397" s="43">
        <f>IF($E6397=0,0,YEAR($E6397))</f>
      </c>
      <c r="G6397" s="43">
        <f>IF(INDEX(DarlBindung,14)="",1,IF($E6397&lt;=INDEX(DarlBindung,14),1,0))</f>
      </c>
      <c r="H6397" s="43">
        <f>IF($G6397=1,INDEX(DarlSollzins,14),INDEX(DarlAnschluss,14))</f>
      </c>
      <c r="I6397" s="43">
        <f>IF(INDEX(DarlBelegt,14)=0,0,IF(INDEX(DarlOhneTilgung,14)=1,IF(INDEX(DarlBindung,14)="",1,$G6397),IF($J6397&gt;0.005,1,0)))</f>
      </c>
      <c r="J6397" s="43">
        <f>IF($I6396=0,0,$R6396)</f>
      </c>
      <c r="K6397" s="43">
        <f>IF($I6397=0,0,IF(INDEX(DarlOhneTilgung,14)=1,0,IF(AND(INDEX(DarlTilgStart,14)&gt;0,$E6397=INDEX(DarlTilgStart,14)),$J6397*($H6397+INDEX(DarlTilgung,14))/100/12,IF(AND($G6397=0,$G6396=1),MAX($K6396,$J6397*($H6397+1)/100/12),$K6396))))</f>
      </c>
      <c r="L6397" s="43">
        <f>IF($I6397=0,0,$J6397*$H6397/100/12)</f>
      </c>
      <c r="M6397" s="43">
        <f>IF($I6397=0,0,IF(OR(INDEX(DarlOhneTilgung,14)=1,AND(INDEX(DarlTilgStart,14)&gt;0,$E6397&lt;INDEX(DarlTilgStart,14))),0,MIN(MAX(0,$K6397-$L6397),$J6397)))</f>
      </c>
      <c r="N6397" s="43">
        <f>IF($I6397=0,0,MIN(SUMIFS(SondBetrag,SondDarl,14,SondDatum,"&gt;="&amp;$E6397,SondDatum,"&lt;="&amp;EOMONTH($E6397,0)),$J6397-$M6397))</f>
      </c>
      <c r="O6397" s="43">
        <f>IF($I6397=0,0,INDEX(DarlErsatzRate,14))</f>
      </c>
      <c r="P6397" s="43">
        <f>IF($I6397=0,0,$Q6396*INDEX(DarlErsatzZins,14))</f>
      </c>
      <c r="Q6397" s="43">
        <f>IF($I6397=0,0,$Q6396+$P6397+$O6397)</f>
      </c>
      <c r="R6397" s="43">
        <f>IF($I6397=0,0,$J6397-$M6397-$N6397)</f>
      </c>
    </row>
    <row r="6398">
      <c r="A6398"/>
      <c r="B6398">
        <v>14</v>
      </c>
      <c r="C6398" s="43">
        <f>INDEX(DarlObj,14)</f>
      </c>
      <c r="D6398">
        <v>155</v>
      </c>
      <c r="E6398" s="51">
        <f>IF(INDEX(DarlBelegt,14)=0,0,EOMONTH(INDEX(DarlAuszahlung,14),154)+1)</f>
      </c>
      <c r="F6398" s="43">
        <f>IF($E6398=0,0,YEAR($E6398))</f>
      </c>
      <c r="G6398" s="43">
        <f>IF(INDEX(DarlBindung,14)="",1,IF($E6398&lt;=INDEX(DarlBindung,14),1,0))</f>
      </c>
      <c r="H6398" s="43">
        <f>IF($G6398=1,INDEX(DarlSollzins,14),INDEX(DarlAnschluss,14))</f>
      </c>
      <c r="I6398" s="43">
        <f>IF(INDEX(DarlBelegt,14)=0,0,IF(INDEX(DarlOhneTilgung,14)=1,IF(INDEX(DarlBindung,14)="",1,$G6398),IF($J6398&gt;0.005,1,0)))</f>
      </c>
      <c r="J6398" s="43">
        <f>IF($I6397=0,0,$R6397)</f>
      </c>
      <c r="K6398" s="43">
        <f>IF($I6398=0,0,IF(INDEX(DarlOhneTilgung,14)=1,0,IF(AND(INDEX(DarlTilgStart,14)&gt;0,$E6398=INDEX(DarlTilgStart,14)),$J6398*($H6398+INDEX(DarlTilgung,14))/100/12,IF(AND($G6398=0,$G6397=1),MAX($K6397,$J6398*($H6398+1)/100/12),$K6397))))</f>
      </c>
      <c r="L6398" s="43">
        <f>IF($I6398=0,0,$J6398*$H6398/100/12)</f>
      </c>
      <c r="M6398" s="43">
        <f>IF($I6398=0,0,IF(OR(INDEX(DarlOhneTilgung,14)=1,AND(INDEX(DarlTilgStart,14)&gt;0,$E6398&lt;INDEX(DarlTilgStart,14))),0,MIN(MAX(0,$K6398-$L6398),$J6398)))</f>
      </c>
      <c r="N6398" s="43">
        <f>IF($I6398=0,0,MIN(SUMIFS(SondBetrag,SondDarl,14,SondDatum,"&gt;="&amp;$E6398,SondDatum,"&lt;="&amp;EOMONTH($E6398,0)),$J6398-$M6398))</f>
      </c>
      <c r="O6398" s="43">
        <f>IF($I6398=0,0,INDEX(DarlErsatzRate,14))</f>
      </c>
      <c r="P6398" s="43">
        <f>IF($I6398=0,0,$Q6397*INDEX(DarlErsatzZins,14))</f>
      </c>
      <c r="Q6398" s="43">
        <f>IF($I6398=0,0,$Q6397+$P6398+$O6398)</f>
      </c>
      <c r="R6398" s="43">
        <f>IF($I6398=0,0,$J6398-$M6398-$N6398)</f>
      </c>
    </row>
    <row r="6399">
      <c r="A6399"/>
      <c r="B6399">
        <v>14</v>
      </c>
      <c r="C6399" s="43">
        <f>INDEX(DarlObj,14)</f>
      </c>
      <c r="D6399">
        <v>156</v>
      </c>
      <c r="E6399" s="51">
        <f>IF(INDEX(DarlBelegt,14)=0,0,EOMONTH(INDEX(DarlAuszahlung,14),155)+1)</f>
      </c>
      <c r="F6399" s="43">
        <f>IF($E6399=0,0,YEAR($E6399))</f>
      </c>
      <c r="G6399" s="43">
        <f>IF(INDEX(DarlBindung,14)="",1,IF($E6399&lt;=INDEX(DarlBindung,14),1,0))</f>
      </c>
      <c r="H6399" s="43">
        <f>IF($G6399=1,INDEX(DarlSollzins,14),INDEX(DarlAnschluss,14))</f>
      </c>
      <c r="I6399" s="43">
        <f>IF(INDEX(DarlBelegt,14)=0,0,IF(INDEX(DarlOhneTilgung,14)=1,IF(INDEX(DarlBindung,14)="",1,$G6399),IF($J6399&gt;0.005,1,0)))</f>
      </c>
      <c r="J6399" s="43">
        <f>IF($I6398=0,0,$R6398)</f>
      </c>
      <c r="K6399" s="43">
        <f>IF($I6399=0,0,IF(INDEX(DarlOhneTilgung,14)=1,0,IF(AND(INDEX(DarlTilgStart,14)&gt;0,$E6399=INDEX(DarlTilgStart,14)),$J6399*($H6399+INDEX(DarlTilgung,14))/100/12,IF(AND($G6399=0,$G6398=1),MAX($K6398,$J6399*($H6399+1)/100/12),$K6398))))</f>
      </c>
      <c r="L6399" s="43">
        <f>IF($I6399=0,0,$J6399*$H6399/100/12)</f>
      </c>
      <c r="M6399" s="43">
        <f>IF($I6399=0,0,IF(OR(INDEX(DarlOhneTilgung,14)=1,AND(INDEX(DarlTilgStart,14)&gt;0,$E6399&lt;INDEX(DarlTilgStart,14))),0,MIN(MAX(0,$K6399-$L6399),$J6399)))</f>
      </c>
      <c r="N6399" s="43">
        <f>IF($I6399=0,0,MIN(SUMIFS(SondBetrag,SondDarl,14,SondDatum,"&gt;="&amp;$E6399,SondDatum,"&lt;="&amp;EOMONTH($E6399,0)),$J6399-$M6399))</f>
      </c>
      <c r="O6399" s="43">
        <f>IF($I6399=0,0,INDEX(DarlErsatzRate,14))</f>
      </c>
      <c r="P6399" s="43">
        <f>IF($I6399=0,0,$Q6398*INDEX(DarlErsatzZins,14))</f>
      </c>
      <c r="Q6399" s="43">
        <f>IF($I6399=0,0,$Q6398+$P6399+$O6399)</f>
      </c>
      <c r="R6399" s="43">
        <f>IF($I6399=0,0,$J6399-$M6399-$N6399)</f>
      </c>
    </row>
    <row r="6400">
      <c r="A6400"/>
      <c r="B6400">
        <v>14</v>
      </c>
      <c r="C6400" s="43">
        <f>INDEX(DarlObj,14)</f>
      </c>
      <c r="D6400">
        <v>157</v>
      </c>
      <c r="E6400" s="51">
        <f>IF(INDEX(DarlBelegt,14)=0,0,EOMONTH(INDEX(DarlAuszahlung,14),156)+1)</f>
      </c>
      <c r="F6400" s="43">
        <f>IF($E6400=0,0,YEAR($E6400))</f>
      </c>
      <c r="G6400" s="43">
        <f>IF(INDEX(DarlBindung,14)="",1,IF($E6400&lt;=INDEX(DarlBindung,14),1,0))</f>
      </c>
      <c r="H6400" s="43">
        <f>IF($G6400=1,INDEX(DarlSollzins,14),INDEX(DarlAnschluss,14))</f>
      </c>
      <c r="I6400" s="43">
        <f>IF(INDEX(DarlBelegt,14)=0,0,IF(INDEX(DarlOhneTilgung,14)=1,IF(INDEX(DarlBindung,14)="",1,$G6400),IF($J6400&gt;0.005,1,0)))</f>
      </c>
      <c r="J6400" s="43">
        <f>IF($I6399=0,0,$R6399)</f>
      </c>
      <c r="K6400" s="43">
        <f>IF($I6400=0,0,IF(INDEX(DarlOhneTilgung,14)=1,0,IF(AND(INDEX(DarlTilgStart,14)&gt;0,$E6400=INDEX(DarlTilgStart,14)),$J6400*($H6400+INDEX(DarlTilgung,14))/100/12,IF(AND($G6400=0,$G6399=1),MAX($K6399,$J6400*($H6400+1)/100/12),$K6399))))</f>
      </c>
      <c r="L6400" s="43">
        <f>IF($I6400=0,0,$J6400*$H6400/100/12)</f>
      </c>
      <c r="M6400" s="43">
        <f>IF($I6400=0,0,IF(OR(INDEX(DarlOhneTilgung,14)=1,AND(INDEX(DarlTilgStart,14)&gt;0,$E6400&lt;INDEX(DarlTilgStart,14))),0,MIN(MAX(0,$K6400-$L6400),$J6400)))</f>
      </c>
      <c r="N6400" s="43">
        <f>IF($I6400=0,0,MIN(SUMIFS(SondBetrag,SondDarl,14,SondDatum,"&gt;="&amp;$E6400,SondDatum,"&lt;="&amp;EOMONTH($E6400,0)),$J6400-$M6400))</f>
      </c>
      <c r="O6400" s="43">
        <f>IF($I6400=0,0,INDEX(DarlErsatzRate,14))</f>
      </c>
      <c r="P6400" s="43">
        <f>IF($I6400=0,0,$Q6399*INDEX(DarlErsatzZins,14))</f>
      </c>
      <c r="Q6400" s="43">
        <f>IF($I6400=0,0,$Q6399+$P6400+$O6400)</f>
      </c>
      <c r="R6400" s="43">
        <f>IF($I6400=0,0,$J6400-$M6400-$N6400)</f>
      </c>
    </row>
    <row r="6401">
      <c r="A6401"/>
      <c r="B6401">
        <v>14</v>
      </c>
      <c r="C6401" s="43">
        <f>INDEX(DarlObj,14)</f>
      </c>
      <c r="D6401">
        <v>158</v>
      </c>
      <c r="E6401" s="51">
        <f>IF(INDEX(DarlBelegt,14)=0,0,EOMONTH(INDEX(DarlAuszahlung,14),157)+1)</f>
      </c>
      <c r="F6401" s="43">
        <f>IF($E6401=0,0,YEAR($E6401))</f>
      </c>
      <c r="G6401" s="43">
        <f>IF(INDEX(DarlBindung,14)="",1,IF($E6401&lt;=INDEX(DarlBindung,14),1,0))</f>
      </c>
      <c r="H6401" s="43">
        <f>IF($G6401=1,INDEX(DarlSollzins,14),INDEX(DarlAnschluss,14))</f>
      </c>
      <c r="I6401" s="43">
        <f>IF(INDEX(DarlBelegt,14)=0,0,IF(INDEX(DarlOhneTilgung,14)=1,IF(INDEX(DarlBindung,14)="",1,$G6401),IF($J6401&gt;0.005,1,0)))</f>
      </c>
      <c r="J6401" s="43">
        <f>IF($I6400=0,0,$R6400)</f>
      </c>
      <c r="K6401" s="43">
        <f>IF($I6401=0,0,IF(INDEX(DarlOhneTilgung,14)=1,0,IF(AND(INDEX(DarlTilgStart,14)&gt;0,$E6401=INDEX(DarlTilgStart,14)),$J6401*($H6401+INDEX(DarlTilgung,14))/100/12,IF(AND($G6401=0,$G6400=1),MAX($K6400,$J6401*($H6401+1)/100/12),$K6400))))</f>
      </c>
      <c r="L6401" s="43">
        <f>IF($I6401=0,0,$J6401*$H6401/100/12)</f>
      </c>
      <c r="M6401" s="43">
        <f>IF($I6401=0,0,IF(OR(INDEX(DarlOhneTilgung,14)=1,AND(INDEX(DarlTilgStart,14)&gt;0,$E6401&lt;INDEX(DarlTilgStart,14))),0,MIN(MAX(0,$K6401-$L6401),$J6401)))</f>
      </c>
      <c r="N6401" s="43">
        <f>IF($I6401=0,0,MIN(SUMIFS(SondBetrag,SondDarl,14,SondDatum,"&gt;="&amp;$E6401,SondDatum,"&lt;="&amp;EOMONTH($E6401,0)),$J6401-$M6401))</f>
      </c>
      <c r="O6401" s="43">
        <f>IF($I6401=0,0,INDEX(DarlErsatzRate,14))</f>
      </c>
      <c r="P6401" s="43">
        <f>IF($I6401=0,0,$Q6400*INDEX(DarlErsatzZins,14))</f>
      </c>
      <c r="Q6401" s="43">
        <f>IF($I6401=0,0,$Q6400+$P6401+$O6401)</f>
      </c>
      <c r="R6401" s="43">
        <f>IF($I6401=0,0,$J6401-$M6401-$N6401)</f>
      </c>
    </row>
    <row r="6402">
      <c r="A6402"/>
      <c r="B6402">
        <v>14</v>
      </c>
      <c r="C6402" s="43">
        <f>INDEX(DarlObj,14)</f>
      </c>
      <c r="D6402">
        <v>159</v>
      </c>
      <c r="E6402" s="51">
        <f>IF(INDEX(DarlBelegt,14)=0,0,EOMONTH(INDEX(DarlAuszahlung,14),158)+1)</f>
      </c>
      <c r="F6402" s="43">
        <f>IF($E6402=0,0,YEAR($E6402))</f>
      </c>
      <c r="G6402" s="43">
        <f>IF(INDEX(DarlBindung,14)="",1,IF($E6402&lt;=INDEX(DarlBindung,14),1,0))</f>
      </c>
      <c r="H6402" s="43">
        <f>IF($G6402=1,INDEX(DarlSollzins,14),INDEX(DarlAnschluss,14))</f>
      </c>
      <c r="I6402" s="43">
        <f>IF(INDEX(DarlBelegt,14)=0,0,IF(INDEX(DarlOhneTilgung,14)=1,IF(INDEX(DarlBindung,14)="",1,$G6402),IF($J6402&gt;0.005,1,0)))</f>
      </c>
      <c r="J6402" s="43">
        <f>IF($I6401=0,0,$R6401)</f>
      </c>
      <c r="K6402" s="43">
        <f>IF($I6402=0,0,IF(INDEX(DarlOhneTilgung,14)=1,0,IF(AND(INDEX(DarlTilgStart,14)&gt;0,$E6402=INDEX(DarlTilgStart,14)),$J6402*($H6402+INDEX(DarlTilgung,14))/100/12,IF(AND($G6402=0,$G6401=1),MAX($K6401,$J6402*($H6402+1)/100/12),$K6401))))</f>
      </c>
      <c r="L6402" s="43">
        <f>IF($I6402=0,0,$J6402*$H6402/100/12)</f>
      </c>
      <c r="M6402" s="43">
        <f>IF($I6402=0,0,IF(OR(INDEX(DarlOhneTilgung,14)=1,AND(INDEX(DarlTilgStart,14)&gt;0,$E6402&lt;INDEX(DarlTilgStart,14))),0,MIN(MAX(0,$K6402-$L6402),$J6402)))</f>
      </c>
      <c r="N6402" s="43">
        <f>IF($I6402=0,0,MIN(SUMIFS(SondBetrag,SondDarl,14,SondDatum,"&gt;="&amp;$E6402,SondDatum,"&lt;="&amp;EOMONTH($E6402,0)),$J6402-$M6402))</f>
      </c>
      <c r="O6402" s="43">
        <f>IF($I6402=0,0,INDEX(DarlErsatzRate,14))</f>
      </c>
      <c r="P6402" s="43">
        <f>IF($I6402=0,0,$Q6401*INDEX(DarlErsatzZins,14))</f>
      </c>
      <c r="Q6402" s="43">
        <f>IF($I6402=0,0,$Q6401+$P6402+$O6402)</f>
      </c>
      <c r="R6402" s="43">
        <f>IF($I6402=0,0,$J6402-$M6402-$N6402)</f>
      </c>
    </row>
    <row r="6403">
      <c r="A6403"/>
      <c r="B6403">
        <v>14</v>
      </c>
      <c r="C6403" s="43">
        <f>INDEX(DarlObj,14)</f>
      </c>
      <c r="D6403">
        <v>160</v>
      </c>
      <c r="E6403" s="51">
        <f>IF(INDEX(DarlBelegt,14)=0,0,EOMONTH(INDEX(DarlAuszahlung,14),159)+1)</f>
      </c>
      <c r="F6403" s="43">
        <f>IF($E6403=0,0,YEAR($E6403))</f>
      </c>
      <c r="G6403" s="43">
        <f>IF(INDEX(DarlBindung,14)="",1,IF($E6403&lt;=INDEX(DarlBindung,14),1,0))</f>
      </c>
      <c r="H6403" s="43">
        <f>IF($G6403=1,INDEX(DarlSollzins,14),INDEX(DarlAnschluss,14))</f>
      </c>
      <c r="I6403" s="43">
        <f>IF(INDEX(DarlBelegt,14)=0,0,IF(INDEX(DarlOhneTilgung,14)=1,IF(INDEX(DarlBindung,14)="",1,$G6403),IF($J6403&gt;0.005,1,0)))</f>
      </c>
      <c r="J6403" s="43">
        <f>IF($I6402=0,0,$R6402)</f>
      </c>
      <c r="K6403" s="43">
        <f>IF($I6403=0,0,IF(INDEX(DarlOhneTilgung,14)=1,0,IF(AND(INDEX(DarlTilgStart,14)&gt;0,$E6403=INDEX(DarlTilgStart,14)),$J6403*($H6403+INDEX(DarlTilgung,14))/100/12,IF(AND($G6403=0,$G6402=1),MAX($K6402,$J6403*($H6403+1)/100/12),$K6402))))</f>
      </c>
      <c r="L6403" s="43">
        <f>IF($I6403=0,0,$J6403*$H6403/100/12)</f>
      </c>
      <c r="M6403" s="43">
        <f>IF($I6403=0,0,IF(OR(INDEX(DarlOhneTilgung,14)=1,AND(INDEX(DarlTilgStart,14)&gt;0,$E6403&lt;INDEX(DarlTilgStart,14))),0,MIN(MAX(0,$K6403-$L6403),$J6403)))</f>
      </c>
      <c r="N6403" s="43">
        <f>IF($I6403=0,0,MIN(SUMIFS(SondBetrag,SondDarl,14,SondDatum,"&gt;="&amp;$E6403,SondDatum,"&lt;="&amp;EOMONTH($E6403,0)),$J6403-$M6403))</f>
      </c>
      <c r="O6403" s="43">
        <f>IF($I6403=0,0,INDEX(DarlErsatzRate,14))</f>
      </c>
      <c r="P6403" s="43">
        <f>IF($I6403=0,0,$Q6402*INDEX(DarlErsatzZins,14))</f>
      </c>
      <c r="Q6403" s="43">
        <f>IF($I6403=0,0,$Q6402+$P6403+$O6403)</f>
      </c>
      <c r="R6403" s="43">
        <f>IF($I6403=0,0,$J6403-$M6403-$N6403)</f>
      </c>
    </row>
    <row r="6404">
      <c r="A6404"/>
      <c r="B6404">
        <v>14</v>
      </c>
      <c r="C6404" s="43">
        <f>INDEX(DarlObj,14)</f>
      </c>
      <c r="D6404">
        <v>161</v>
      </c>
      <c r="E6404" s="51">
        <f>IF(INDEX(DarlBelegt,14)=0,0,EOMONTH(INDEX(DarlAuszahlung,14),160)+1)</f>
      </c>
      <c r="F6404" s="43">
        <f>IF($E6404=0,0,YEAR($E6404))</f>
      </c>
      <c r="G6404" s="43">
        <f>IF(INDEX(DarlBindung,14)="",1,IF($E6404&lt;=INDEX(DarlBindung,14),1,0))</f>
      </c>
      <c r="H6404" s="43">
        <f>IF($G6404=1,INDEX(DarlSollzins,14),INDEX(DarlAnschluss,14))</f>
      </c>
      <c r="I6404" s="43">
        <f>IF(INDEX(DarlBelegt,14)=0,0,IF(INDEX(DarlOhneTilgung,14)=1,IF(INDEX(DarlBindung,14)="",1,$G6404),IF($J6404&gt;0.005,1,0)))</f>
      </c>
      <c r="J6404" s="43">
        <f>IF($I6403=0,0,$R6403)</f>
      </c>
      <c r="K6404" s="43">
        <f>IF($I6404=0,0,IF(INDEX(DarlOhneTilgung,14)=1,0,IF(AND(INDEX(DarlTilgStart,14)&gt;0,$E6404=INDEX(DarlTilgStart,14)),$J6404*($H6404+INDEX(DarlTilgung,14))/100/12,IF(AND($G6404=0,$G6403=1),MAX($K6403,$J6404*($H6404+1)/100/12),$K6403))))</f>
      </c>
      <c r="L6404" s="43">
        <f>IF($I6404=0,0,$J6404*$H6404/100/12)</f>
      </c>
      <c r="M6404" s="43">
        <f>IF($I6404=0,0,IF(OR(INDEX(DarlOhneTilgung,14)=1,AND(INDEX(DarlTilgStart,14)&gt;0,$E6404&lt;INDEX(DarlTilgStart,14))),0,MIN(MAX(0,$K6404-$L6404),$J6404)))</f>
      </c>
      <c r="N6404" s="43">
        <f>IF($I6404=0,0,MIN(SUMIFS(SondBetrag,SondDarl,14,SondDatum,"&gt;="&amp;$E6404,SondDatum,"&lt;="&amp;EOMONTH($E6404,0)),$J6404-$M6404))</f>
      </c>
      <c r="O6404" s="43">
        <f>IF($I6404=0,0,INDEX(DarlErsatzRate,14))</f>
      </c>
      <c r="P6404" s="43">
        <f>IF($I6404=0,0,$Q6403*INDEX(DarlErsatzZins,14))</f>
      </c>
      <c r="Q6404" s="43">
        <f>IF($I6404=0,0,$Q6403+$P6404+$O6404)</f>
      </c>
      <c r="R6404" s="43">
        <f>IF($I6404=0,0,$J6404-$M6404-$N6404)</f>
      </c>
    </row>
    <row r="6405">
      <c r="A6405"/>
      <c r="B6405">
        <v>14</v>
      </c>
      <c r="C6405" s="43">
        <f>INDEX(DarlObj,14)</f>
      </c>
      <c r="D6405">
        <v>162</v>
      </c>
      <c r="E6405" s="51">
        <f>IF(INDEX(DarlBelegt,14)=0,0,EOMONTH(INDEX(DarlAuszahlung,14),161)+1)</f>
      </c>
      <c r="F6405" s="43">
        <f>IF($E6405=0,0,YEAR($E6405))</f>
      </c>
      <c r="G6405" s="43">
        <f>IF(INDEX(DarlBindung,14)="",1,IF($E6405&lt;=INDEX(DarlBindung,14),1,0))</f>
      </c>
      <c r="H6405" s="43">
        <f>IF($G6405=1,INDEX(DarlSollzins,14),INDEX(DarlAnschluss,14))</f>
      </c>
      <c r="I6405" s="43">
        <f>IF(INDEX(DarlBelegt,14)=0,0,IF(INDEX(DarlOhneTilgung,14)=1,IF(INDEX(DarlBindung,14)="",1,$G6405),IF($J6405&gt;0.005,1,0)))</f>
      </c>
      <c r="J6405" s="43">
        <f>IF($I6404=0,0,$R6404)</f>
      </c>
      <c r="K6405" s="43">
        <f>IF($I6405=0,0,IF(INDEX(DarlOhneTilgung,14)=1,0,IF(AND(INDEX(DarlTilgStart,14)&gt;0,$E6405=INDEX(DarlTilgStart,14)),$J6405*($H6405+INDEX(DarlTilgung,14))/100/12,IF(AND($G6405=0,$G6404=1),MAX($K6404,$J6405*($H6405+1)/100/12),$K6404))))</f>
      </c>
      <c r="L6405" s="43">
        <f>IF($I6405=0,0,$J6405*$H6405/100/12)</f>
      </c>
      <c r="M6405" s="43">
        <f>IF($I6405=0,0,IF(OR(INDEX(DarlOhneTilgung,14)=1,AND(INDEX(DarlTilgStart,14)&gt;0,$E6405&lt;INDEX(DarlTilgStart,14))),0,MIN(MAX(0,$K6405-$L6405),$J6405)))</f>
      </c>
      <c r="N6405" s="43">
        <f>IF($I6405=0,0,MIN(SUMIFS(SondBetrag,SondDarl,14,SondDatum,"&gt;="&amp;$E6405,SondDatum,"&lt;="&amp;EOMONTH($E6405,0)),$J6405-$M6405))</f>
      </c>
      <c r="O6405" s="43">
        <f>IF($I6405=0,0,INDEX(DarlErsatzRate,14))</f>
      </c>
      <c r="P6405" s="43">
        <f>IF($I6405=0,0,$Q6404*INDEX(DarlErsatzZins,14))</f>
      </c>
      <c r="Q6405" s="43">
        <f>IF($I6405=0,0,$Q6404+$P6405+$O6405)</f>
      </c>
      <c r="R6405" s="43">
        <f>IF($I6405=0,0,$J6405-$M6405-$N6405)</f>
      </c>
    </row>
    <row r="6406">
      <c r="A6406"/>
      <c r="B6406">
        <v>14</v>
      </c>
      <c r="C6406" s="43">
        <f>INDEX(DarlObj,14)</f>
      </c>
      <c r="D6406">
        <v>163</v>
      </c>
      <c r="E6406" s="51">
        <f>IF(INDEX(DarlBelegt,14)=0,0,EOMONTH(INDEX(DarlAuszahlung,14),162)+1)</f>
      </c>
      <c r="F6406" s="43">
        <f>IF($E6406=0,0,YEAR($E6406))</f>
      </c>
      <c r="G6406" s="43">
        <f>IF(INDEX(DarlBindung,14)="",1,IF($E6406&lt;=INDEX(DarlBindung,14),1,0))</f>
      </c>
      <c r="H6406" s="43">
        <f>IF($G6406=1,INDEX(DarlSollzins,14),INDEX(DarlAnschluss,14))</f>
      </c>
      <c r="I6406" s="43">
        <f>IF(INDEX(DarlBelegt,14)=0,0,IF(INDEX(DarlOhneTilgung,14)=1,IF(INDEX(DarlBindung,14)="",1,$G6406),IF($J6406&gt;0.005,1,0)))</f>
      </c>
      <c r="J6406" s="43">
        <f>IF($I6405=0,0,$R6405)</f>
      </c>
      <c r="K6406" s="43">
        <f>IF($I6406=0,0,IF(INDEX(DarlOhneTilgung,14)=1,0,IF(AND(INDEX(DarlTilgStart,14)&gt;0,$E6406=INDEX(DarlTilgStart,14)),$J6406*($H6406+INDEX(DarlTilgung,14))/100/12,IF(AND($G6406=0,$G6405=1),MAX($K6405,$J6406*($H6406+1)/100/12),$K6405))))</f>
      </c>
      <c r="L6406" s="43">
        <f>IF($I6406=0,0,$J6406*$H6406/100/12)</f>
      </c>
      <c r="M6406" s="43">
        <f>IF($I6406=0,0,IF(OR(INDEX(DarlOhneTilgung,14)=1,AND(INDEX(DarlTilgStart,14)&gt;0,$E6406&lt;INDEX(DarlTilgStart,14))),0,MIN(MAX(0,$K6406-$L6406),$J6406)))</f>
      </c>
      <c r="N6406" s="43">
        <f>IF($I6406=0,0,MIN(SUMIFS(SondBetrag,SondDarl,14,SondDatum,"&gt;="&amp;$E6406,SondDatum,"&lt;="&amp;EOMONTH($E6406,0)),$J6406-$M6406))</f>
      </c>
      <c r="O6406" s="43">
        <f>IF($I6406=0,0,INDEX(DarlErsatzRate,14))</f>
      </c>
      <c r="P6406" s="43">
        <f>IF($I6406=0,0,$Q6405*INDEX(DarlErsatzZins,14))</f>
      </c>
      <c r="Q6406" s="43">
        <f>IF($I6406=0,0,$Q6405+$P6406+$O6406)</f>
      </c>
      <c r="R6406" s="43">
        <f>IF($I6406=0,0,$J6406-$M6406-$N6406)</f>
      </c>
    </row>
    <row r="6407">
      <c r="A6407"/>
      <c r="B6407">
        <v>14</v>
      </c>
      <c r="C6407" s="43">
        <f>INDEX(DarlObj,14)</f>
      </c>
      <c r="D6407">
        <v>164</v>
      </c>
      <c r="E6407" s="51">
        <f>IF(INDEX(DarlBelegt,14)=0,0,EOMONTH(INDEX(DarlAuszahlung,14),163)+1)</f>
      </c>
      <c r="F6407" s="43">
        <f>IF($E6407=0,0,YEAR($E6407))</f>
      </c>
      <c r="G6407" s="43">
        <f>IF(INDEX(DarlBindung,14)="",1,IF($E6407&lt;=INDEX(DarlBindung,14),1,0))</f>
      </c>
      <c r="H6407" s="43">
        <f>IF($G6407=1,INDEX(DarlSollzins,14),INDEX(DarlAnschluss,14))</f>
      </c>
      <c r="I6407" s="43">
        <f>IF(INDEX(DarlBelegt,14)=0,0,IF(INDEX(DarlOhneTilgung,14)=1,IF(INDEX(DarlBindung,14)="",1,$G6407),IF($J6407&gt;0.005,1,0)))</f>
      </c>
      <c r="J6407" s="43">
        <f>IF($I6406=0,0,$R6406)</f>
      </c>
      <c r="K6407" s="43">
        <f>IF($I6407=0,0,IF(INDEX(DarlOhneTilgung,14)=1,0,IF(AND(INDEX(DarlTilgStart,14)&gt;0,$E6407=INDEX(DarlTilgStart,14)),$J6407*($H6407+INDEX(DarlTilgung,14))/100/12,IF(AND($G6407=0,$G6406=1),MAX($K6406,$J6407*($H6407+1)/100/12),$K6406))))</f>
      </c>
      <c r="L6407" s="43">
        <f>IF($I6407=0,0,$J6407*$H6407/100/12)</f>
      </c>
      <c r="M6407" s="43">
        <f>IF($I6407=0,0,IF(OR(INDEX(DarlOhneTilgung,14)=1,AND(INDEX(DarlTilgStart,14)&gt;0,$E6407&lt;INDEX(DarlTilgStart,14))),0,MIN(MAX(0,$K6407-$L6407),$J6407)))</f>
      </c>
      <c r="N6407" s="43">
        <f>IF($I6407=0,0,MIN(SUMIFS(SondBetrag,SondDarl,14,SondDatum,"&gt;="&amp;$E6407,SondDatum,"&lt;="&amp;EOMONTH($E6407,0)),$J6407-$M6407))</f>
      </c>
      <c r="O6407" s="43">
        <f>IF($I6407=0,0,INDEX(DarlErsatzRate,14))</f>
      </c>
      <c r="P6407" s="43">
        <f>IF($I6407=0,0,$Q6406*INDEX(DarlErsatzZins,14))</f>
      </c>
      <c r="Q6407" s="43">
        <f>IF($I6407=0,0,$Q6406+$P6407+$O6407)</f>
      </c>
      <c r="R6407" s="43">
        <f>IF($I6407=0,0,$J6407-$M6407-$N6407)</f>
      </c>
    </row>
    <row r="6408">
      <c r="A6408"/>
      <c r="B6408">
        <v>14</v>
      </c>
      <c r="C6408" s="43">
        <f>INDEX(DarlObj,14)</f>
      </c>
      <c r="D6408">
        <v>165</v>
      </c>
      <c r="E6408" s="51">
        <f>IF(INDEX(DarlBelegt,14)=0,0,EOMONTH(INDEX(DarlAuszahlung,14),164)+1)</f>
      </c>
      <c r="F6408" s="43">
        <f>IF($E6408=0,0,YEAR($E6408))</f>
      </c>
      <c r="G6408" s="43">
        <f>IF(INDEX(DarlBindung,14)="",1,IF($E6408&lt;=INDEX(DarlBindung,14),1,0))</f>
      </c>
      <c r="H6408" s="43">
        <f>IF($G6408=1,INDEX(DarlSollzins,14),INDEX(DarlAnschluss,14))</f>
      </c>
      <c r="I6408" s="43">
        <f>IF(INDEX(DarlBelegt,14)=0,0,IF(INDEX(DarlOhneTilgung,14)=1,IF(INDEX(DarlBindung,14)="",1,$G6408),IF($J6408&gt;0.005,1,0)))</f>
      </c>
      <c r="J6408" s="43">
        <f>IF($I6407=0,0,$R6407)</f>
      </c>
      <c r="K6408" s="43">
        <f>IF($I6408=0,0,IF(INDEX(DarlOhneTilgung,14)=1,0,IF(AND(INDEX(DarlTilgStart,14)&gt;0,$E6408=INDEX(DarlTilgStart,14)),$J6408*($H6408+INDEX(DarlTilgung,14))/100/12,IF(AND($G6408=0,$G6407=1),MAX($K6407,$J6408*($H6408+1)/100/12),$K6407))))</f>
      </c>
      <c r="L6408" s="43">
        <f>IF($I6408=0,0,$J6408*$H6408/100/12)</f>
      </c>
      <c r="M6408" s="43">
        <f>IF($I6408=0,0,IF(OR(INDEX(DarlOhneTilgung,14)=1,AND(INDEX(DarlTilgStart,14)&gt;0,$E6408&lt;INDEX(DarlTilgStart,14))),0,MIN(MAX(0,$K6408-$L6408),$J6408)))</f>
      </c>
      <c r="N6408" s="43">
        <f>IF($I6408=0,0,MIN(SUMIFS(SondBetrag,SondDarl,14,SondDatum,"&gt;="&amp;$E6408,SondDatum,"&lt;="&amp;EOMONTH($E6408,0)),$J6408-$M6408))</f>
      </c>
      <c r="O6408" s="43">
        <f>IF($I6408=0,0,INDEX(DarlErsatzRate,14))</f>
      </c>
      <c r="P6408" s="43">
        <f>IF($I6408=0,0,$Q6407*INDEX(DarlErsatzZins,14))</f>
      </c>
      <c r="Q6408" s="43">
        <f>IF($I6408=0,0,$Q6407+$P6408+$O6408)</f>
      </c>
      <c r="R6408" s="43">
        <f>IF($I6408=0,0,$J6408-$M6408-$N6408)</f>
      </c>
    </row>
    <row r="6409">
      <c r="A6409"/>
      <c r="B6409">
        <v>14</v>
      </c>
      <c r="C6409" s="43">
        <f>INDEX(DarlObj,14)</f>
      </c>
      <c r="D6409">
        <v>166</v>
      </c>
      <c r="E6409" s="51">
        <f>IF(INDEX(DarlBelegt,14)=0,0,EOMONTH(INDEX(DarlAuszahlung,14),165)+1)</f>
      </c>
      <c r="F6409" s="43">
        <f>IF($E6409=0,0,YEAR($E6409))</f>
      </c>
      <c r="G6409" s="43">
        <f>IF(INDEX(DarlBindung,14)="",1,IF($E6409&lt;=INDEX(DarlBindung,14),1,0))</f>
      </c>
      <c r="H6409" s="43">
        <f>IF($G6409=1,INDEX(DarlSollzins,14),INDEX(DarlAnschluss,14))</f>
      </c>
      <c r="I6409" s="43">
        <f>IF(INDEX(DarlBelegt,14)=0,0,IF(INDEX(DarlOhneTilgung,14)=1,IF(INDEX(DarlBindung,14)="",1,$G6409),IF($J6409&gt;0.005,1,0)))</f>
      </c>
      <c r="J6409" s="43">
        <f>IF($I6408=0,0,$R6408)</f>
      </c>
      <c r="K6409" s="43">
        <f>IF($I6409=0,0,IF(INDEX(DarlOhneTilgung,14)=1,0,IF(AND(INDEX(DarlTilgStart,14)&gt;0,$E6409=INDEX(DarlTilgStart,14)),$J6409*($H6409+INDEX(DarlTilgung,14))/100/12,IF(AND($G6409=0,$G6408=1),MAX($K6408,$J6409*($H6409+1)/100/12),$K6408))))</f>
      </c>
      <c r="L6409" s="43">
        <f>IF($I6409=0,0,$J6409*$H6409/100/12)</f>
      </c>
      <c r="M6409" s="43">
        <f>IF($I6409=0,0,IF(OR(INDEX(DarlOhneTilgung,14)=1,AND(INDEX(DarlTilgStart,14)&gt;0,$E6409&lt;INDEX(DarlTilgStart,14))),0,MIN(MAX(0,$K6409-$L6409),$J6409)))</f>
      </c>
      <c r="N6409" s="43">
        <f>IF($I6409=0,0,MIN(SUMIFS(SondBetrag,SondDarl,14,SondDatum,"&gt;="&amp;$E6409,SondDatum,"&lt;="&amp;EOMONTH($E6409,0)),$J6409-$M6409))</f>
      </c>
      <c r="O6409" s="43">
        <f>IF($I6409=0,0,INDEX(DarlErsatzRate,14))</f>
      </c>
      <c r="P6409" s="43">
        <f>IF($I6409=0,0,$Q6408*INDEX(DarlErsatzZins,14))</f>
      </c>
      <c r="Q6409" s="43">
        <f>IF($I6409=0,0,$Q6408+$P6409+$O6409)</f>
      </c>
      <c r="R6409" s="43">
        <f>IF($I6409=0,0,$J6409-$M6409-$N6409)</f>
      </c>
    </row>
    <row r="6410">
      <c r="A6410"/>
      <c r="B6410">
        <v>14</v>
      </c>
      <c r="C6410" s="43">
        <f>INDEX(DarlObj,14)</f>
      </c>
      <c r="D6410">
        <v>167</v>
      </c>
      <c r="E6410" s="51">
        <f>IF(INDEX(DarlBelegt,14)=0,0,EOMONTH(INDEX(DarlAuszahlung,14),166)+1)</f>
      </c>
      <c r="F6410" s="43">
        <f>IF($E6410=0,0,YEAR($E6410))</f>
      </c>
      <c r="G6410" s="43">
        <f>IF(INDEX(DarlBindung,14)="",1,IF($E6410&lt;=INDEX(DarlBindung,14),1,0))</f>
      </c>
      <c r="H6410" s="43">
        <f>IF($G6410=1,INDEX(DarlSollzins,14),INDEX(DarlAnschluss,14))</f>
      </c>
      <c r="I6410" s="43">
        <f>IF(INDEX(DarlBelegt,14)=0,0,IF(INDEX(DarlOhneTilgung,14)=1,IF(INDEX(DarlBindung,14)="",1,$G6410),IF($J6410&gt;0.005,1,0)))</f>
      </c>
      <c r="J6410" s="43">
        <f>IF($I6409=0,0,$R6409)</f>
      </c>
      <c r="K6410" s="43">
        <f>IF($I6410=0,0,IF(INDEX(DarlOhneTilgung,14)=1,0,IF(AND(INDEX(DarlTilgStart,14)&gt;0,$E6410=INDEX(DarlTilgStart,14)),$J6410*($H6410+INDEX(DarlTilgung,14))/100/12,IF(AND($G6410=0,$G6409=1),MAX($K6409,$J6410*($H6410+1)/100/12),$K6409))))</f>
      </c>
      <c r="L6410" s="43">
        <f>IF($I6410=0,0,$J6410*$H6410/100/12)</f>
      </c>
      <c r="M6410" s="43">
        <f>IF($I6410=0,0,IF(OR(INDEX(DarlOhneTilgung,14)=1,AND(INDEX(DarlTilgStart,14)&gt;0,$E6410&lt;INDEX(DarlTilgStart,14))),0,MIN(MAX(0,$K6410-$L6410),$J6410)))</f>
      </c>
      <c r="N6410" s="43">
        <f>IF($I6410=0,0,MIN(SUMIFS(SondBetrag,SondDarl,14,SondDatum,"&gt;="&amp;$E6410,SondDatum,"&lt;="&amp;EOMONTH($E6410,0)),$J6410-$M6410))</f>
      </c>
      <c r="O6410" s="43">
        <f>IF($I6410=0,0,INDEX(DarlErsatzRate,14))</f>
      </c>
      <c r="P6410" s="43">
        <f>IF($I6410=0,0,$Q6409*INDEX(DarlErsatzZins,14))</f>
      </c>
      <c r="Q6410" s="43">
        <f>IF($I6410=0,0,$Q6409+$P6410+$O6410)</f>
      </c>
      <c r="R6410" s="43">
        <f>IF($I6410=0,0,$J6410-$M6410-$N6410)</f>
      </c>
    </row>
    <row r="6411">
      <c r="A6411"/>
      <c r="B6411">
        <v>14</v>
      </c>
      <c r="C6411" s="43">
        <f>INDEX(DarlObj,14)</f>
      </c>
      <c r="D6411">
        <v>168</v>
      </c>
      <c r="E6411" s="51">
        <f>IF(INDEX(DarlBelegt,14)=0,0,EOMONTH(INDEX(DarlAuszahlung,14),167)+1)</f>
      </c>
      <c r="F6411" s="43">
        <f>IF($E6411=0,0,YEAR($E6411))</f>
      </c>
      <c r="G6411" s="43">
        <f>IF(INDEX(DarlBindung,14)="",1,IF($E6411&lt;=INDEX(DarlBindung,14),1,0))</f>
      </c>
      <c r="H6411" s="43">
        <f>IF($G6411=1,INDEX(DarlSollzins,14),INDEX(DarlAnschluss,14))</f>
      </c>
      <c r="I6411" s="43">
        <f>IF(INDEX(DarlBelegt,14)=0,0,IF(INDEX(DarlOhneTilgung,14)=1,IF(INDEX(DarlBindung,14)="",1,$G6411),IF($J6411&gt;0.005,1,0)))</f>
      </c>
      <c r="J6411" s="43">
        <f>IF($I6410=0,0,$R6410)</f>
      </c>
      <c r="K6411" s="43">
        <f>IF($I6411=0,0,IF(INDEX(DarlOhneTilgung,14)=1,0,IF(AND(INDEX(DarlTilgStart,14)&gt;0,$E6411=INDEX(DarlTilgStart,14)),$J6411*($H6411+INDEX(DarlTilgung,14))/100/12,IF(AND($G6411=0,$G6410=1),MAX($K6410,$J6411*($H6411+1)/100/12),$K6410))))</f>
      </c>
      <c r="L6411" s="43">
        <f>IF($I6411=0,0,$J6411*$H6411/100/12)</f>
      </c>
      <c r="M6411" s="43">
        <f>IF($I6411=0,0,IF(OR(INDEX(DarlOhneTilgung,14)=1,AND(INDEX(DarlTilgStart,14)&gt;0,$E6411&lt;INDEX(DarlTilgStart,14))),0,MIN(MAX(0,$K6411-$L6411),$J6411)))</f>
      </c>
      <c r="N6411" s="43">
        <f>IF($I6411=0,0,MIN(SUMIFS(SondBetrag,SondDarl,14,SondDatum,"&gt;="&amp;$E6411,SondDatum,"&lt;="&amp;EOMONTH($E6411,0)),$J6411-$M6411))</f>
      </c>
      <c r="O6411" s="43">
        <f>IF($I6411=0,0,INDEX(DarlErsatzRate,14))</f>
      </c>
      <c r="P6411" s="43">
        <f>IF($I6411=0,0,$Q6410*INDEX(DarlErsatzZins,14))</f>
      </c>
      <c r="Q6411" s="43">
        <f>IF($I6411=0,0,$Q6410+$P6411+$O6411)</f>
      </c>
      <c r="R6411" s="43">
        <f>IF($I6411=0,0,$J6411-$M6411-$N6411)</f>
      </c>
    </row>
    <row r="6412">
      <c r="A6412"/>
      <c r="B6412">
        <v>14</v>
      </c>
      <c r="C6412" s="43">
        <f>INDEX(DarlObj,14)</f>
      </c>
      <c r="D6412">
        <v>169</v>
      </c>
      <c r="E6412" s="51">
        <f>IF(INDEX(DarlBelegt,14)=0,0,EOMONTH(INDEX(DarlAuszahlung,14),168)+1)</f>
      </c>
      <c r="F6412" s="43">
        <f>IF($E6412=0,0,YEAR($E6412))</f>
      </c>
      <c r="G6412" s="43">
        <f>IF(INDEX(DarlBindung,14)="",1,IF($E6412&lt;=INDEX(DarlBindung,14),1,0))</f>
      </c>
      <c r="H6412" s="43">
        <f>IF($G6412=1,INDEX(DarlSollzins,14),INDEX(DarlAnschluss,14))</f>
      </c>
      <c r="I6412" s="43">
        <f>IF(INDEX(DarlBelegt,14)=0,0,IF(INDEX(DarlOhneTilgung,14)=1,IF(INDEX(DarlBindung,14)="",1,$G6412),IF($J6412&gt;0.005,1,0)))</f>
      </c>
      <c r="J6412" s="43">
        <f>IF($I6411=0,0,$R6411)</f>
      </c>
      <c r="K6412" s="43">
        <f>IF($I6412=0,0,IF(INDEX(DarlOhneTilgung,14)=1,0,IF(AND(INDEX(DarlTilgStart,14)&gt;0,$E6412=INDEX(DarlTilgStart,14)),$J6412*($H6412+INDEX(DarlTilgung,14))/100/12,IF(AND($G6412=0,$G6411=1),MAX($K6411,$J6412*($H6412+1)/100/12),$K6411))))</f>
      </c>
      <c r="L6412" s="43">
        <f>IF($I6412=0,0,$J6412*$H6412/100/12)</f>
      </c>
      <c r="M6412" s="43">
        <f>IF($I6412=0,0,IF(OR(INDEX(DarlOhneTilgung,14)=1,AND(INDEX(DarlTilgStart,14)&gt;0,$E6412&lt;INDEX(DarlTilgStart,14))),0,MIN(MAX(0,$K6412-$L6412),$J6412)))</f>
      </c>
      <c r="N6412" s="43">
        <f>IF($I6412=0,0,MIN(SUMIFS(SondBetrag,SondDarl,14,SondDatum,"&gt;="&amp;$E6412,SondDatum,"&lt;="&amp;EOMONTH($E6412,0)),$J6412-$M6412))</f>
      </c>
      <c r="O6412" s="43">
        <f>IF($I6412=0,0,INDEX(DarlErsatzRate,14))</f>
      </c>
      <c r="P6412" s="43">
        <f>IF($I6412=0,0,$Q6411*INDEX(DarlErsatzZins,14))</f>
      </c>
      <c r="Q6412" s="43">
        <f>IF($I6412=0,0,$Q6411+$P6412+$O6412)</f>
      </c>
      <c r="R6412" s="43">
        <f>IF($I6412=0,0,$J6412-$M6412-$N6412)</f>
      </c>
    </row>
    <row r="6413">
      <c r="A6413"/>
      <c r="B6413">
        <v>14</v>
      </c>
      <c r="C6413" s="43">
        <f>INDEX(DarlObj,14)</f>
      </c>
      <c r="D6413">
        <v>170</v>
      </c>
      <c r="E6413" s="51">
        <f>IF(INDEX(DarlBelegt,14)=0,0,EOMONTH(INDEX(DarlAuszahlung,14),169)+1)</f>
      </c>
      <c r="F6413" s="43">
        <f>IF($E6413=0,0,YEAR($E6413))</f>
      </c>
      <c r="G6413" s="43">
        <f>IF(INDEX(DarlBindung,14)="",1,IF($E6413&lt;=INDEX(DarlBindung,14),1,0))</f>
      </c>
      <c r="H6413" s="43">
        <f>IF($G6413=1,INDEX(DarlSollzins,14),INDEX(DarlAnschluss,14))</f>
      </c>
      <c r="I6413" s="43">
        <f>IF(INDEX(DarlBelegt,14)=0,0,IF(INDEX(DarlOhneTilgung,14)=1,IF(INDEX(DarlBindung,14)="",1,$G6413),IF($J6413&gt;0.005,1,0)))</f>
      </c>
      <c r="J6413" s="43">
        <f>IF($I6412=0,0,$R6412)</f>
      </c>
      <c r="K6413" s="43">
        <f>IF($I6413=0,0,IF(INDEX(DarlOhneTilgung,14)=1,0,IF(AND(INDEX(DarlTilgStart,14)&gt;0,$E6413=INDEX(DarlTilgStart,14)),$J6413*($H6413+INDEX(DarlTilgung,14))/100/12,IF(AND($G6413=0,$G6412=1),MAX($K6412,$J6413*($H6413+1)/100/12),$K6412))))</f>
      </c>
      <c r="L6413" s="43">
        <f>IF($I6413=0,0,$J6413*$H6413/100/12)</f>
      </c>
      <c r="M6413" s="43">
        <f>IF($I6413=0,0,IF(OR(INDEX(DarlOhneTilgung,14)=1,AND(INDEX(DarlTilgStart,14)&gt;0,$E6413&lt;INDEX(DarlTilgStart,14))),0,MIN(MAX(0,$K6413-$L6413),$J6413)))</f>
      </c>
      <c r="N6413" s="43">
        <f>IF($I6413=0,0,MIN(SUMIFS(SondBetrag,SondDarl,14,SondDatum,"&gt;="&amp;$E6413,SondDatum,"&lt;="&amp;EOMONTH($E6413,0)),$J6413-$M6413))</f>
      </c>
      <c r="O6413" s="43">
        <f>IF($I6413=0,0,INDEX(DarlErsatzRate,14))</f>
      </c>
      <c r="P6413" s="43">
        <f>IF($I6413=0,0,$Q6412*INDEX(DarlErsatzZins,14))</f>
      </c>
      <c r="Q6413" s="43">
        <f>IF($I6413=0,0,$Q6412+$P6413+$O6413)</f>
      </c>
      <c r="R6413" s="43">
        <f>IF($I6413=0,0,$J6413-$M6413-$N6413)</f>
      </c>
    </row>
    <row r="6414">
      <c r="A6414"/>
      <c r="B6414">
        <v>14</v>
      </c>
      <c r="C6414" s="43">
        <f>INDEX(DarlObj,14)</f>
      </c>
      <c r="D6414">
        <v>171</v>
      </c>
      <c r="E6414" s="51">
        <f>IF(INDEX(DarlBelegt,14)=0,0,EOMONTH(INDEX(DarlAuszahlung,14),170)+1)</f>
      </c>
      <c r="F6414" s="43">
        <f>IF($E6414=0,0,YEAR($E6414))</f>
      </c>
      <c r="G6414" s="43">
        <f>IF(INDEX(DarlBindung,14)="",1,IF($E6414&lt;=INDEX(DarlBindung,14),1,0))</f>
      </c>
      <c r="H6414" s="43">
        <f>IF($G6414=1,INDEX(DarlSollzins,14),INDEX(DarlAnschluss,14))</f>
      </c>
      <c r="I6414" s="43">
        <f>IF(INDEX(DarlBelegt,14)=0,0,IF(INDEX(DarlOhneTilgung,14)=1,IF(INDEX(DarlBindung,14)="",1,$G6414),IF($J6414&gt;0.005,1,0)))</f>
      </c>
      <c r="J6414" s="43">
        <f>IF($I6413=0,0,$R6413)</f>
      </c>
      <c r="K6414" s="43">
        <f>IF($I6414=0,0,IF(INDEX(DarlOhneTilgung,14)=1,0,IF(AND(INDEX(DarlTilgStart,14)&gt;0,$E6414=INDEX(DarlTilgStart,14)),$J6414*($H6414+INDEX(DarlTilgung,14))/100/12,IF(AND($G6414=0,$G6413=1),MAX($K6413,$J6414*($H6414+1)/100/12),$K6413))))</f>
      </c>
      <c r="L6414" s="43">
        <f>IF($I6414=0,0,$J6414*$H6414/100/12)</f>
      </c>
      <c r="M6414" s="43">
        <f>IF($I6414=0,0,IF(OR(INDEX(DarlOhneTilgung,14)=1,AND(INDEX(DarlTilgStart,14)&gt;0,$E6414&lt;INDEX(DarlTilgStart,14))),0,MIN(MAX(0,$K6414-$L6414),$J6414)))</f>
      </c>
      <c r="N6414" s="43">
        <f>IF($I6414=0,0,MIN(SUMIFS(SondBetrag,SondDarl,14,SondDatum,"&gt;="&amp;$E6414,SondDatum,"&lt;="&amp;EOMONTH($E6414,0)),$J6414-$M6414))</f>
      </c>
      <c r="O6414" s="43">
        <f>IF($I6414=0,0,INDEX(DarlErsatzRate,14))</f>
      </c>
      <c r="P6414" s="43">
        <f>IF($I6414=0,0,$Q6413*INDEX(DarlErsatzZins,14))</f>
      </c>
      <c r="Q6414" s="43">
        <f>IF($I6414=0,0,$Q6413+$P6414+$O6414)</f>
      </c>
      <c r="R6414" s="43">
        <f>IF($I6414=0,0,$J6414-$M6414-$N6414)</f>
      </c>
    </row>
    <row r="6415">
      <c r="A6415"/>
      <c r="B6415">
        <v>14</v>
      </c>
      <c r="C6415" s="43">
        <f>INDEX(DarlObj,14)</f>
      </c>
      <c r="D6415">
        <v>172</v>
      </c>
      <c r="E6415" s="51">
        <f>IF(INDEX(DarlBelegt,14)=0,0,EOMONTH(INDEX(DarlAuszahlung,14),171)+1)</f>
      </c>
      <c r="F6415" s="43">
        <f>IF($E6415=0,0,YEAR($E6415))</f>
      </c>
      <c r="G6415" s="43">
        <f>IF(INDEX(DarlBindung,14)="",1,IF($E6415&lt;=INDEX(DarlBindung,14),1,0))</f>
      </c>
      <c r="H6415" s="43">
        <f>IF($G6415=1,INDEX(DarlSollzins,14),INDEX(DarlAnschluss,14))</f>
      </c>
      <c r="I6415" s="43">
        <f>IF(INDEX(DarlBelegt,14)=0,0,IF(INDEX(DarlOhneTilgung,14)=1,IF(INDEX(DarlBindung,14)="",1,$G6415),IF($J6415&gt;0.005,1,0)))</f>
      </c>
      <c r="J6415" s="43">
        <f>IF($I6414=0,0,$R6414)</f>
      </c>
      <c r="K6415" s="43">
        <f>IF($I6415=0,0,IF(INDEX(DarlOhneTilgung,14)=1,0,IF(AND(INDEX(DarlTilgStart,14)&gt;0,$E6415=INDEX(DarlTilgStart,14)),$J6415*($H6415+INDEX(DarlTilgung,14))/100/12,IF(AND($G6415=0,$G6414=1),MAX($K6414,$J6415*($H6415+1)/100/12),$K6414))))</f>
      </c>
      <c r="L6415" s="43">
        <f>IF($I6415=0,0,$J6415*$H6415/100/12)</f>
      </c>
      <c r="M6415" s="43">
        <f>IF($I6415=0,0,IF(OR(INDEX(DarlOhneTilgung,14)=1,AND(INDEX(DarlTilgStart,14)&gt;0,$E6415&lt;INDEX(DarlTilgStart,14))),0,MIN(MAX(0,$K6415-$L6415),$J6415)))</f>
      </c>
      <c r="N6415" s="43">
        <f>IF($I6415=0,0,MIN(SUMIFS(SondBetrag,SondDarl,14,SondDatum,"&gt;="&amp;$E6415,SondDatum,"&lt;="&amp;EOMONTH($E6415,0)),$J6415-$M6415))</f>
      </c>
      <c r="O6415" s="43">
        <f>IF($I6415=0,0,INDEX(DarlErsatzRate,14))</f>
      </c>
      <c r="P6415" s="43">
        <f>IF($I6415=0,0,$Q6414*INDEX(DarlErsatzZins,14))</f>
      </c>
      <c r="Q6415" s="43">
        <f>IF($I6415=0,0,$Q6414+$P6415+$O6415)</f>
      </c>
      <c r="R6415" s="43">
        <f>IF($I6415=0,0,$J6415-$M6415-$N6415)</f>
      </c>
    </row>
    <row r="6416">
      <c r="A6416"/>
      <c r="B6416">
        <v>14</v>
      </c>
      <c r="C6416" s="43">
        <f>INDEX(DarlObj,14)</f>
      </c>
      <c r="D6416">
        <v>173</v>
      </c>
      <c r="E6416" s="51">
        <f>IF(INDEX(DarlBelegt,14)=0,0,EOMONTH(INDEX(DarlAuszahlung,14),172)+1)</f>
      </c>
      <c r="F6416" s="43">
        <f>IF($E6416=0,0,YEAR($E6416))</f>
      </c>
      <c r="G6416" s="43">
        <f>IF(INDEX(DarlBindung,14)="",1,IF($E6416&lt;=INDEX(DarlBindung,14),1,0))</f>
      </c>
      <c r="H6416" s="43">
        <f>IF($G6416=1,INDEX(DarlSollzins,14),INDEX(DarlAnschluss,14))</f>
      </c>
      <c r="I6416" s="43">
        <f>IF(INDEX(DarlBelegt,14)=0,0,IF(INDEX(DarlOhneTilgung,14)=1,IF(INDEX(DarlBindung,14)="",1,$G6416),IF($J6416&gt;0.005,1,0)))</f>
      </c>
      <c r="J6416" s="43">
        <f>IF($I6415=0,0,$R6415)</f>
      </c>
      <c r="K6416" s="43">
        <f>IF($I6416=0,0,IF(INDEX(DarlOhneTilgung,14)=1,0,IF(AND(INDEX(DarlTilgStart,14)&gt;0,$E6416=INDEX(DarlTilgStart,14)),$J6416*($H6416+INDEX(DarlTilgung,14))/100/12,IF(AND($G6416=0,$G6415=1),MAX($K6415,$J6416*($H6416+1)/100/12),$K6415))))</f>
      </c>
      <c r="L6416" s="43">
        <f>IF($I6416=0,0,$J6416*$H6416/100/12)</f>
      </c>
      <c r="M6416" s="43">
        <f>IF($I6416=0,0,IF(OR(INDEX(DarlOhneTilgung,14)=1,AND(INDEX(DarlTilgStart,14)&gt;0,$E6416&lt;INDEX(DarlTilgStart,14))),0,MIN(MAX(0,$K6416-$L6416),$J6416)))</f>
      </c>
      <c r="N6416" s="43">
        <f>IF($I6416=0,0,MIN(SUMIFS(SondBetrag,SondDarl,14,SondDatum,"&gt;="&amp;$E6416,SondDatum,"&lt;="&amp;EOMONTH($E6416,0)),$J6416-$M6416))</f>
      </c>
      <c r="O6416" s="43">
        <f>IF($I6416=0,0,INDEX(DarlErsatzRate,14))</f>
      </c>
      <c r="P6416" s="43">
        <f>IF($I6416=0,0,$Q6415*INDEX(DarlErsatzZins,14))</f>
      </c>
      <c r="Q6416" s="43">
        <f>IF($I6416=0,0,$Q6415+$P6416+$O6416)</f>
      </c>
      <c r="R6416" s="43">
        <f>IF($I6416=0,0,$J6416-$M6416-$N6416)</f>
      </c>
    </row>
    <row r="6417">
      <c r="A6417"/>
      <c r="B6417">
        <v>14</v>
      </c>
      <c r="C6417" s="43">
        <f>INDEX(DarlObj,14)</f>
      </c>
      <c r="D6417">
        <v>174</v>
      </c>
      <c r="E6417" s="51">
        <f>IF(INDEX(DarlBelegt,14)=0,0,EOMONTH(INDEX(DarlAuszahlung,14),173)+1)</f>
      </c>
      <c r="F6417" s="43">
        <f>IF($E6417=0,0,YEAR($E6417))</f>
      </c>
      <c r="G6417" s="43">
        <f>IF(INDEX(DarlBindung,14)="",1,IF($E6417&lt;=INDEX(DarlBindung,14),1,0))</f>
      </c>
      <c r="H6417" s="43">
        <f>IF($G6417=1,INDEX(DarlSollzins,14),INDEX(DarlAnschluss,14))</f>
      </c>
      <c r="I6417" s="43">
        <f>IF(INDEX(DarlBelegt,14)=0,0,IF(INDEX(DarlOhneTilgung,14)=1,IF(INDEX(DarlBindung,14)="",1,$G6417),IF($J6417&gt;0.005,1,0)))</f>
      </c>
      <c r="J6417" s="43">
        <f>IF($I6416=0,0,$R6416)</f>
      </c>
      <c r="K6417" s="43">
        <f>IF($I6417=0,0,IF(INDEX(DarlOhneTilgung,14)=1,0,IF(AND(INDEX(DarlTilgStart,14)&gt;0,$E6417=INDEX(DarlTilgStart,14)),$J6417*($H6417+INDEX(DarlTilgung,14))/100/12,IF(AND($G6417=0,$G6416=1),MAX($K6416,$J6417*($H6417+1)/100/12),$K6416))))</f>
      </c>
      <c r="L6417" s="43">
        <f>IF($I6417=0,0,$J6417*$H6417/100/12)</f>
      </c>
      <c r="M6417" s="43">
        <f>IF($I6417=0,0,IF(OR(INDEX(DarlOhneTilgung,14)=1,AND(INDEX(DarlTilgStart,14)&gt;0,$E6417&lt;INDEX(DarlTilgStart,14))),0,MIN(MAX(0,$K6417-$L6417),$J6417)))</f>
      </c>
      <c r="N6417" s="43">
        <f>IF($I6417=0,0,MIN(SUMIFS(SondBetrag,SondDarl,14,SondDatum,"&gt;="&amp;$E6417,SondDatum,"&lt;="&amp;EOMONTH($E6417,0)),$J6417-$M6417))</f>
      </c>
      <c r="O6417" s="43">
        <f>IF($I6417=0,0,INDEX(DarlErsatzRate,14))</f>
      </c>
      <c r="P6417" s="43">
        <f>IF($I6417=0,0,$Q6416*INDEX(DarlErsatzZins,14))</f>
      </c>
      <c r="Q6417" s="43">
        <f>IF($I6417=0,0,$Q6416+$P6417+$O6417)</f>
      </c>
      <c r="R6417" s="43">
        <f>IF($I6417=0,0,$J6417-$M6417-$N6417)</f>
      </c>
    </row>
    <row r="6418">
      <c r="A6418"/>
      <c r="B6418">
        <v>14</v>
      </c>
      <c r="C6418" s="43">
        <f>INDEX(DarlObj,14)</f>
      </c>
      <c r="D6418">
        <v>175</v>
      </c>
      <c r="E6418" s="51">
        <f>IF(INDEX(DarlBelegt,14)=0,0,EOMONTH(INDEX(DarlAuszahlung,14),174)+1)</f>
      </c>
      <c r="F6418" s="43">
        <f>IF($E6418=0,0,YEAR($E6418))</f>
      </c>
      <c r="G6418" s="43">
        <f>IF(INDEX(DarlBindung,14)="",1,IF($E6418&lt;=INDEX(DarlBindung,14),1,0))</f>
      </c>
      <c r="H6418" s="43">
        <f>IF($G6418=1,INDEX(DarlSollzins,14),INDEX(DarlAnschluss,14))</f>
      </c>
      <c r="I6418" s="43">
        <f>IF(INDEX(DarlBelegt,14)=0,0,IF(INDEX(DarlOhneTilgung,14)=1,IF(INDEX(DarlBindung,14)="",1,$G6418),IF($J6418&gt;0.005,1,0)))</f>
      </c>
      <c r="J6418" s="43">
        <f>IF($I6417=0,0,$R6417)</f>
      </c>
      <c r="K6418" s="43">
        <f>IF($I6418=0,0,IF(INDEX(DarlOhneTilgung,14)=1,0,IF(AND(INDEX(DarlTilgStart,14)&gt;0,$E6418=INDEX(DarlTilgStart,14)),$J6418*($H6418+INDEX(DarlTilgung,14))/100/12,IF(AND($G6418=0,$G6417=1),MAX($K6417,$J6418*($H6418+1)/100/12),$K6417))))</f>
      </c>
      <c r="L6418" s="43">
        <f>IF($I6418=0,0,$J6418*$H6418/100/12)</f>
      </c>
      <c r="M6418" s="43">
        <f>IF($I6418=0,0,IF(OR(INDEX(DarlOhneTilgung,14)=1,AND(INDEX(DarlTilgStart,14)&gt;0,$E6418&lt;INDEX(DarlTilgStart,14))),0,MIN(MAX(0,$K6418-$L6418),$J6418)))</f>
      </c>
      <c r="N6418" s="43">
        <f>IF($I6418=0,0,MIN(SUMIFS(SondBetrag,SondDarl,14,SondDatum,"&gt;="&amp;$E6418,SondDatum,"&lt;="&amp;EOMONTH($E6418,0)),$J6418-$M6418))</f>
      </c>
      <c r="O6418" s="43">
        <f>IF($I6418=0,0,INDEX(DarlErsatzRate,14))</f>
      </c>
      <c r="P6418" s="43">
        <f>IF($I6418=0,0,$Q6417*INDEX(DarlErsatzZins,14))</f>
      </c>
      <c r="Q6418" s="43">
        <f>IF($I6418=0,0,$Q6417+$P6418+$O6418)</f>
      </c>
      <c r="R6418" s="43">
        <f>IF($I6418=0,0,$J6418-$M6418-$N6418)</f>
      </c>
    </row>
    <row r="6419">
      <c r="A6419"/>
      <c r="B6419">
        <v>14</v>
      </c>
      <c r="C6419" s="43">
        <f>INDEX(DarlObj,14)</f>
      </c>
      <c r="D6419">
        <v>176</v>
      </c>
      <c r="E6419" s="51">
        <f>IF(INDEX(DarlBelegt,14)=0,0,EOMONTH(INDEX(DarlAuszahlung,14),175)+1)</f>
      </c>
      <c r="F6419" s="43">
        <f>IF($E6419=0,0,YEAR($E6419))</f>
      </c>
      <c r="G6419" s="43">
        <f>IF(INDEX(DarlBindung,14)="",1,IF($E6419&lt;=INDEX(DarlBindung,14),1,0))</f>
      </c>
      <c r="H6419" s="43">
        <f>IF($G6419=1,INDEX(DarlSollzins,14),INDEX(DarlAnschluss,14))</f>
      </c>
      <c r="I6419" s="43">
        <f>IF(INDEX(DarlBelegt,14)=0,0,IF(INDEX(DarlOhneTilgung,14)=1,IF(INDEX(DarlBindung,14)="",1,$G6419),IF($J6419&gt;0.005,1,0)))</f>
      </c>
      <c r="J6419" s="43">
        <f>IF($I6418=0,0,$R6418)</f>
      </c>
      <c r="K6419" s="43">
        <f>IF($I6419=0,0,IF(INDEX(DarlOhneTilgung,14)=1,0,IF(AND(INDEX(DarlTilgStart,14)&gt;0,$E6419=INDEX(DarlTilgStart,14)),$J6419*($H6419+INDEX(DarlTilgung,14))/100/12,IF(AND($G6419=0,$G6418=1),MAX($K6418,$J6419*($H6419+1)/100/12),$K6418))))</f>
      </c>
      <c r="L6419" s="43">
        <f>IF($I6419=0,0,$J6419*$H6419/100/12)</f>
      </c>
      <c r="M6419" s="43">
        <f>IF($I6419=0,0,IF(OR(INDEX(DarlOhneTilgung,14)=1,AND(INDEX(DarlTilgStart,14)&gt;0,$E6419&lt;INDEX(DarlTilgStart,14))),0,MIN(MAX(0,$K6419-$L6419),$J6419)))</f>
      </c>
      <c r="N6419" s="43">
        <f>IF($I6419=0,0,MIN(SUMIFS(SondBetrag,SondDarl,14,SondDatum,"&gt;="&amp;$E6419,SondDatum,"&lt;="&amp;EOMONTH($E6419,0)),$J6419-$M6419))</f>
      </c>
      <c r="O6419" s="43">
        <f>IF($I6419=0,0,INDEX(DarlErsatzRate,14))</f>
      </c>
      <c r="P6419" s="43">
        <f>IF($I6419=0,0,$Q6418*INDEX(DarlErsatzZins,14))</f>
      </c>
      <c r="Q6419" s="43">
        <f>IF($I6419=0,0,$Q6418+$P6419+$O6419)</f>
      </c>
      <c r="R6419" s="43">
        <f>IF($I6419=0,0,$J6419-$M6419-$N6419)</f>
      </c>
    </row>
    <row r="6420">
      <c r="A6420"/>
      <c r="B6420">
        <v>14</v>
      </c>
      <c r="C6420" s="43">
        <f>INDEX(DarlObj,14)</f>
      </c>
      <c r="D6420">
        <v>177</v>
      </c>
      <c r="E6420" s="51">
        <f>IF(INDEX(DarlBelegt,14)=0,0,EOMONTH(INDEX(DarlAuszahlung,14),176)+1)</f>
      </c>
      <c r="F6420" s="43">
        <f>IF($E6420=0,0,YEAR($E6420))</f>
      </c>
      <c r="G6420" s="43">
        <f>IF(INDEX(DarlBindung,14)="",1,IF($E6420&lt;=INDEX(DarlBindung,14),1,0))</f>
      </c>
      <c r="H6420" s="43">
        <f>IF($G6420=1,INDEX(DarlSollzins,14),INDEX(DarlAnschluss,14))</f>
      </c>
      <c r="I6420" s="43">
        <f>IF(INDEX(DarlBelegt,14)=0,0,IF(INDEX(DarlOhneTilgung,14)=1,IF(INDEX(DarlBindung,14)="",1,$G6420),IF($J6420&gt;0.005,1,0)))</f>
      </c>
      <c r="J6420" s="43">
        <f>IF($I6419=0,0,$R6419)</f>
      </c>
      <c r="K6420" s="43">
        <f>IF($I6420=0,0,IF(INDEX(DarlOhneTilgung,14)=1,0,IF(AND(INDEX(DarlTilgStart,14)&gt;0,$E6420=INDEX(DarlTilgStart,14)),$J6420*($H6420+INDEX(DarlTilgung,14))/100/12,IF(AND($G6420=0,$G6419=1),MAX($K6419,$J6420*($H6420+1)/100/12),$K6419))))</f>
      </c>
      <c r="L6420" s="43">
        <f>IF($I6420=0,0,$J6420*$H6420/100/12)</f>
      </c>
      <c r="M6420" s="43">
        <f>IF($I6420=0,0,IF(OR(INDEX(DarlOhneTilgung,14)=1,AND(INDEX(DarlTilgStart,14)&gt;0,$E6420&lt;INDEX(DarlTilgStart,14))),0,MIN(MAX(0,$K6420-$L6420),$J6420)))</f>
      </c>
      <c r="N6420" s="43">
        <f>IF($I6420=0,0,MIN(SUMIFS(SondBetrag,SondDarl,14,SondDatum,"&gt;="&amp;$E6420,SondDatum,"&lt;="&amp;EOMONTH($E6420,0)),$J6420-$M6420))</f>
      </c>
      <c r="O6420" s="43">
        <f>IF($I6420=0,0,INDEX(DarlErsatzRate,14))</f>
      </c>
      <c r="P6420" s="43">
        <f>IF($I6420=0,0,$Q6419*INDEX(DarlErsatzZins,14))</f>
      </c>
      <c r="Q6420" s="43">
        <f>IF($I6420=0,0,$Q6419+$P6420+$O6420)</f>
      </c>
      <c r="R6420" s="43">
        <f>IF($I6420=0,0,$J6420-$M6420-$N6420)</f>
      </c>
    </row>
    <row r="6421">
      <c r="A6421"/>
      <c r="B6421">
        <v>14</v>
      </c>
      <c r="C6421" s="43">
        <f>INDEX(DarlObj,14)</f>
      </c>
      <c r="D6421">
        <v>178</v>
      </c>
      <c r="E6421" s="51">
        <f>IF(INDEX(DarlBelegt,14)=0,0,EOMONTH(INDEX(DarlAuszahlung,14),177)+1)</f>
      </c>
      <c r="F6421" s="43">
        <f>IF($E6421=0,0,YEAR($E6421))</f>
      </c>
      <c r="G6421" s="43">
        <f>IF(INDEX(DarlBindung,14)="",1,IF($E6421&lt;=INDEX(DarlBindung,14),1,0))</f>
      </c>
      <c r="H6421" s="43">
        <f>IF($G6421=1,INDEX(DarlSollzins,14),INDEX(DarlAnschluss,14))</f>
      </c>
      <c r="I6421" s="43">
        <f>IF(INDEX(DarlBelegt,14)=0,0,IF(INDEX(DarlOhneTilgung,14)=1,IF(INDEX(DarlBindung,14)="",1,$G6421),IF($J6421&gt;0.005,1,0)))</f>
      </c>
      <c r="J6421" s="43">
        <f>IF($I6420=0,0,$R6420)</f>
      </c>
      <c r="K6421" s="43">
        <f>IF($I6421=0,0,IF(INDEX(DarlOhneTilgung,14)=1,0,IF(AND(INDEX(DarlTilgStart,14)&gt;0,$E6421=INDEX(DarlTilgStart,14)),$J6421*($H6421+INDEX(DarlTilgung,14))/100/12,IF(AND($G6421=0,$G6420=1),MAX($K6420,$J6421*($H6421+1)/100/12),$K6420))))</f>
      </c>
      <c r="L6421" s="43">
        <f>IF($I6421=0,0,$J6421*$H6421/100/12)</f>
      </c>
      <c r="M6421" s="43">
        <f>IF($I6421=0,0,IF(OR(INDEX(DarlOhneTilgung,14)=1,AND(INDEX(DarlTilgStart,14)&gt;0,$E6421&lt;INDEX(DarlTilgStart,14))),0,MIN(MAX(0,$K6421-$L6421),$J6421)))</f>
      </c>
      <c r="N6421" s="43">
        <f>IF($I6421=0,0,MIN(SUMIFS(SondBetrag,SondDarl,14,SondDatum,"&gt;="&amp;$E6421,SondDatum,"&lt;="&amp;EOMONTH($E6421,0)),$J6421-$M6421))</f>
      </c>
      <c r="O6421" s="43">
        <f>IF($I6421=0,0,INDEX(DarlErsatzRate,14))</f>
      </c>
      <c r="P6421" s="43">
        <f>IF($I6421=0,0,$Q6420*INDEX(DarlErsatzZins,14))</f>
      </c>
      <c r="Q6421" s="43">
        <f>IF($I6421=0,0,$Q6420+$P6421+$O6421)</f>
      </c>
      <c r="R6421" s="43">
        <f>IF($I6421=0,0,$J6421-$M6421-$N6421)</f>
      </c>
    </row>
    <row r="6422">
      <c r="A6422"/>
      <c r="B6422">
        <v>14</v>
      </c>
      <c r="C6422" s="43">
        <f>INDEX(DarlObj,14)</f>
      </c>
      <c r="D6422">
        <v>179</v>
      </c>
      <c r="E6422" s="51">
        <f>IF(INDEX(DarlBelegt,14)=0,0,EOMONTH(INDEX(DarlAuszahlung,14),178)+1)</f>
      </c>
      <c r="F6422" s="43">
        <f>IF($E6422=0,0,YEAR($E6422))</f>
      </c>
      <c r="G6422" s="43">
        <f>IF(INDEX(DarlBindung,14)="",1,IF($E6422&lt;=INDEX(DarlBindung,14),1,0))</f>
      </c>
      <c r="H6422" s="43">
        <f>IF($G6422=1,INDEX(DarlSollzins,14),INDEX(DarlAnschluss,14))</f>
      </c>
      <c r="I6422" s="43">
        <f>IF(INDEX(DarlBelegt,14)=0,0,IF(INDEX(DarlOhneTilgung,14)=1,IF(INDEX(DarlBindung,14)="",1,$G6422),IF($J6422&gt;0.005,1,0)))</f>
      </c>
      <c r="J6422" s="43">
        <f>IF($I6421=0,0,$R6421)</f>
      </c>
      <c r="K6422" s="43">
        <f>IF($I6422=0,0,IF(INDEX(DarlOhneTilgung,14)=1,0,IF(AND(INDEX(DarlTilgStart,14)&gt;0,$E6422=INDEX(DarlTilgStart,14)),$J6422*($H6422+INDEX(DarlTilgung,14))/100/12,IF(AND($G6422=0,$G6421=1),MAX($K6421,$J6422*($H6422+1)/100/12),$K6421))))</f>
      </c>
      <c r="L6422" s="43">
        <f>IF($I6422=0,0,$J6422*$H6422/100/12)</f>
      </c>
      <c r="M6422" s="43">
        <f>IF($I6422=0,0,IF(OR(INDEX(DarlOhneTilgung,14)=1,AND(INDEX(DarlTilgStart,14)&gt;0,$E6422&lt;INDEX(DarlTilgStart,14))),0,MIN(MAX(0,$K6422-$L6422),$J6422)))</f>
      </c>
      <c r="N6422" s="43">
        <f>IF($I6422=0,0,MIN(SUMIFS(SondBetrag,SondDarl,14,SondDatum,"&gt;="&amp;$E6422,SondDatum,"&lt;="&amp;EOMONTH($E6422,0)),$J6422-$M6422))</f>
      </c>
      <c r="O6422" s="43">
        <f>IF($I6422=0,0,INDEX(DarlErsatzRate,14))</f>
      </c>
      <c r="P6422" s="43">
        <f>IF($I6422=0,0,$Q6421*INDEX(DarlErsatzZins,14))</f>
      </c>
      <c r="Q6422" s="43">
        <f>IF($I6422=0,0,$Q6421+$P6422+$O6422)</f>
      </c>
      <c r="R6422" s="43">
        <f>IF($I6422=0,0,$J6422-$M6422-$N6422)</f>
      </c>
    </row>
    <row r="6423">
      <c r="A6423"/>
      <c r="B6423">
        <v>14</v>
      </c>
      <c r="C6423" s="43">
        <f>INDEX(DarlObj,14)</f>
      </c>
      <c r="D6423">
        <v>180</v>
      </c>
      <c r="E6423" s="51">
        <f>IF(INDEX(DarlBelegt,14)=0,0,EOMONTH(INDEX(DarlAuszahlung,14),179)+1)</f>
      </c>
      <c r="F6423" s="43">
        <f>IF($E6423=0,0,YEAR($E6423))</f>
      </c>
      <c r="G6423" s="43">
        <f>IF(INDEX(DarlBindung,14)="",1,IF($E6423&lt;=INDEX(DarlBindung,14),1,0))</f>
      </c>
      <c r="H6423" s="43">
        <f>IF($G6423=1,INDEX(DarlSollzins,14),INDEX(DarlAnschluss,14))</f>
      </c>
      <c r="I6423" s="43">
        <f>IF(INDEX(DarlBelegt,14)=0,0,IF(INDEX(DarlOhneTilgung,14)=1,IF(INDEX(DarlBindung,14)="",1,$G6423),IF($J6423&gt;0.005,1,0)))</f>
      </c>
      <c r="J6423" s="43">
        <f>IF($I6422=0,0,$R6422)</f>
      </c>
      <c r="K6423" s="43">
        <f>IF($I6423=0,0,IF(INDEX(DarlOhneTilgung,14)=1,0,IF(AND(INDEX(DarlTilgStart,14)&gt;0,$E6423=INDEX(DarlTilgStart,14)),$J6423*($H6423+INDEX(DarlTilgung,14))/100/12,IF(AND($G6423=0,$G6422=1),MAX($K6422,$J6423*($H6423+1)/100/12),$K6422))))</f>
      </c>
      <c r="L6423" s="43">
        <f>IF($I6423=0,0,$J6423*$H6423/100/12)</f>
      </c>
      <c r="M6423" s="43">
        <f>IF($I6423=0,0,IF(OR(INDEX(DarlOhneTilgung,14)=1,AND(INDEX(DarlTilgStart,14)&gt;0,$E6423&lt;INDEX(DarlTilgStart,14))),0,MIN(MAX(0,$K6423-$L6423),$J6423)))</f>
      </c>
      <c r="N6423" s="43">
        <f>IF($I6423=0,0,MIN(SUMIFS(SondBetrag,SondDarl,14,SondDatum,"&gt;="&amp;$E6423,SondDatum,"&lt;="&amp;EOMONTH($E6423,0)),$J6423-$M6423))</f>
      </c>
      <c r="O6423" s="43">
        <f>IF($I6423=0,0,INDEX(DarlErsatzRate,14))</f>
      </c>
      <c r="P6423" s="43">
        <f>IF($I6423=0,0,$Q6422*INDEX(DarlErsatzZins,14))</f>
      </c>
      <c r="Q6423" s="43">
        <f>IF($I6423=0,0,$Q6422+$P6423+$O6423)</f>
      </c>
      <c r="R6423" s="43">
        <f>IF($I6423=0,0,$J6423-$M6423-$N6423)</f>
      </c>
    </row>
    <row r="6424">
      <c r="A6424"/>
      <c r="B6424">
        <v>14</v>
      </c>
      <c r="C6424" s="43">
        <f>INDEX(DarlObj,14)</f>
      </c>
      <c r="D6424">
        <v>181</v>
      </c>
      <c r="E6424" s="51">
        <f>IF(INDEX(DarlBelegt,14)=0,0,EOMONTH(INDEX(DarlAuszahlung,14),180)+1)</f>
      </c>
      <c r="F6424" s="43">
        <f>IF($E6424=0,0,YEAR($E6424))</f>
      </c>
      <c r="G6424" s="43">
        <f>IF(INDEX(DarlBindung,14)="",1,IF($E6424&lt;=INDEX(DarlBindung,14),1,0))</f>
      </c>
      <c r="H6424" s="43">
        <f>IF($G6424=1,INDEX(DarlSollzins,14),INDEX(DarlAnschluss,14))</f>
      </c>
      <c r="I6424" s="43">
        <f>IF(INDEX(DarlBelegt,14)=0,0,IF(INDEX(DarlOhneTilgung,14)=1,IF(INDEX(DarlBindung,14)="",1,$G6424),IF($J6424&gt;0.005,1,0)))</f>
      </c>
      <c r="J6424" s="43">
        <f>IF($I6423=0,0,$R6423)</f>
      </c>
      <c r="K6424" s="43">
        <f>IF($I6424=0,0,IF(INDEX(DarlOhneTilgung,14)=1,0,IF(AND(INDEX(DarlTilgStart,14)&gt;0,$E6424=INDEX(DarlTilgStart,14)),$J6424*($H6424+INDEX(DarlTilgung,14))/100/12,IF(AND($G6424=0,$G6423=1),MAX($K6423,$J6424*($H6424+1)/100/12),$K6423))))</f>
      </c>
      <c r="L6424" s="43">
        <f>IF($I6424=0,0,$J6424*$H6424/100/12)</f>
      </c>
      <c r="M6424" s="43">
        <f>IF($I6424=0,0,IF(OR(INDEX(DarlOhneTilgung,14)=1,AND(INDEX(DarlTilgStart,14)&gt;0,$E6424&lt;INDEX(DarlTilgStart,14))),0,MIN(MAX(0,$K6424-$L6424),$J6424)))</f>
      </c>
      <c r="N6424" s="43">
        <f>IF($I6424=0,0,MIN(SUMIFS(SondBetrag,SondDarl,14,SondDatum,"&gt;="&amp;$E6424,SondDatum,"&lt;="&amp;EOMONTH($E6424,0)),$J6424-$M6424))</f>
      </c>
      <c r="O6424" s="43">
        <f>IF($I6424=0,0,INDEX(DarlErsatzRate,14))</f>
      </c>
      <c r="P6424" s="43">
        <f>IF($I6424=0,0,$Q6423*INDEX(DarlErsatzZins,14))</f>
      </c>
      <c r="Q6424" s="43">
        <f>IF($I6424=0,0,$Q6423+$P6424+$O6424)</f>
      </c>
      <c r="R6424" s="43">
        <f>IF($I6424=0,0,$J6424-$M6424-$N6424)</f>
      </c>
    </row>
    <row r="6425">
      <c r="A6425"/>
      <c r="B6425">
        <v>14</v>
      </c>
      <c r="C6425" s="43">
        <f>INDEX(DarlObj,14)</f>
      </c>
      <c r="D6425">
        <v>182</v>
      </c>
      <c r="E6425" s="51">
        <f>IF(INDEX(DarlBelegt,14)=0,0,EOMONTH(INDEX(DarlAuszahlung,14),181)+1)</f>
      </c>
      <c r="F6425" s="43">
        <f>IF($E6425=0,0,YEAR($E6425))</f>
      </c>
      <c r="G6425" s="43">
        <f>IF(INDEX(DarlBindung,14)="",1,IF($E6425&lt;=INDEX(DarlBindung,14),1,0))</f>
      </c>
      <c r="H6425" s="43">
        <f>IF($G6425=1,INDEX(DarlSollzins,14),INDEX(DarlAnschluss,14))</f>
      </c>
      <c r="I6425" s="43">
        <f>IF(INDEX(DarlBelegt,14)=0,0,IF(INDEX(DarlOhneTilgung,14)=1,IF(INDEX(DarlBindung,14)="",1,$G6425),IF($J6425&gt;0.005,1,0)))</f>
      </c>
      <c r="J6425" s="43">
        <f>IF($I6424=0,0,$R6424)</f>
      </c>
      <c r="K6425" s="43">
        <f>IF($I6425=0,0,IF(INDEX(DarlOhneTilgung,14)=1,0,IF(AND(INDEX(DarlTilgStart,14)&gt;0,$E6425=INDEX(DarlTilgStart,14)),$J6425*($H6425+INDEX(DarlTilgung,14))/100/12,IF(AND($G6425=0,$G6424=1),MAX($K6424,$J6425*($H6425+1)/100/12),$K6424))))</f>
      </c>
      <c r="L6425" s="43">
        <f>IF($I6425=0,0,$J6425*$H6425/100/12)</f>
      </c>
      <c r="M6425" s="43">
        <f>IF($I6425=0,0,IF(OR(INDEX(DarlOhneTilgung,14)=1,AND(INDEX(DarlTilgStart,14)&gt;0,$E6425&lt;INDEX(DarlTilgStart,14))),0,MIN(MAX(0,$K6425-$L6425),$J6425)))</f>
      </c>
      <c r="N6425" s="43">
        <f>IF($I6425=0,0,MIN(SUMIFS(SondBetrag,SondDarl,14,SondDatum,"&gt;="&amp;$E6425,SondDatum,"&lt;="&amp;EOMONTH($E6425,0)),$J6425-$M6425))</f>
      </c>
      <c r="O6425" s="43">
        <f>IF($I6425=0,0,INDEX(DarlErsatzRate,14))</f>
      </c>
      <c r="P6425" s="43">
        <f>IF($I6425=0,0,$Q6424*INDEX(DarlErsatzZins,14))</f>
      </c>
      <c r="Q6425" s="43">
        <f>IF($I6425=0,0,$Q6424+$P6425+$O6425)</f>
      </c>
      <c r="R6425" s="43">
        <f>IF($I6425=0,0,$J6425-$M6425-$N6425)</f>
      </c>
    </row>
    <row r="6426">
      <c r="A6426"/>
      <c r="B6426">
        <v>14</v>
      </c>
      <c r="C6426" s="43">
        <f>INDEX(DarlObj,14)</f>
      </c>
      <c r="D6426">
        <v>183</v>
      </c>
      <c r="E6426" s="51">
        <f>IF(INDEX(DarlBelegt,14)=0,0,EOMONTH(INDEX(DarlAuszahlung,14),182)+1)</f>
      </c>
      <c r="F6426" s="43">
        <f>IF($E6426=0,0,YEAR($E6426))</f>
      </c>
      <c r="G6426" s="43">
        <f>IF(INDEX(DarlBindung,14)="",1,IF($E6426&lt;=INDEX(DarlBindung,14),1,0))</f>
      </c>
      <c r="H6426" s="43">
        <f>IF($G6426=1,INDEX(DarlSollzins,14),INDEX(DarlAnschluss,14))</f>
      </c>
      <c r="I6426" s="43">
        <f>IF(INDEX(DarlBelegt,14)=0,0,IF(INDEX(DarlOhneTilgung,14)=1,IF(INDEX(DarlBindung,14)="",1,$G6426),IF($J6426&gt;0.005,1,0)))</f>
      </c>
      <c r="J6426" s="43">
        <f>IF($I6425=0,0,$R6425)</f>
      </c>
      <c r="K6426" s="43">
        <f>IF($I6426=0,0,IF(INDEX(DarlOhneTilgung,14)=1,0,IF(AND(INDEX(DarlTilgStart,14)&gt;0,$E6426=INDEX(DarlTilgStart,14)),$J6426*($H6426+INDEX(DarlTilgung,14))/100/12,IF(AND($G6426=0,$G6425=1),MAX($K6425,$J6426*($H6426+1)/100/12),$K6425))))</f>
      </c>
      <c r="L6426" s="43">
        <f>IF($I6426=0,0,$J6426*$H6426/100/12)</f>
      </c>
      <c r="M6426" s="43">
        <f>IF($I6426=0,0,IF(OR(INDEX(DarlOhneTilgung,14)=1,AND(INDEX(DarlTilgStart,14)&gt;0,$E6426&lt;INDEX(DarlTilgStart,14))),0,MIN(MAX(0,$K6426-$L6426),$J6426)))</f>
      </c>
      <c r="N6426" s="43">
        <f>IF($I6426=0,0,MIN(SUMIFS(SondBetrag,SondDarl,14,SondDatum,"&gt;="&amp;$E6426,SondDatum,"&lt;="&amp;EOMONTH($E6426,0)),$J6426-$M6426))</f>
      </c>
      <c r="O6426" s="43">
        <f>IF($I6426=0,0,INDEX(DarlErsatzRate,14))</f>
      </c>
      <c r="P6426" s="43">
        <f>IF($I6426=0,0,$Q6425*INDEX(DarlErsatzZins,14))</f>
      </c>
      <c r="Q6426" s="43">
        <f>IF($I6426=0,0,$Q6425+$P6426+$O6426)</f>
      </c>
      <c r="R6426" s="43">
        <f>IF($I6426=0,0,$J6426-$M6426-$N6426)</f>
      </c>
    </row>
    <row r="6427">
      <c r="A6427"/>
      <c r="B6427">
        <v>14</v>
      </c>
      <c r="C6427" s="43">
        <f>INDEX(DarlObj,14)</f>
      </c>
      <c r="D6427">
        <v>184</v>
      </c>
      <c r="E6427" s="51">
        <f>IF(INDEX(DarlBelegt,14)=0,0,EOMONTH(INDEX(DarlAuszahlung,14),183)+1)</f>
      </c>
      <c r="F6427" s="43">
        <f>IF($E6427=0,0,YEAR($E6427))</f>
      </c>
      <c r="G6427" s="43">
        <f>IF(INDEX(DarlBindung,14)="",1,IF($E6427&lt;=INDEX(DarlBindung,14),1,0))</f>
      </c>
      <c r="H6427" s="43">
        <f>IF($G6427=1,INDEX(DarlSollzins,14),INDEX(DarlAnschluss,14))</f>
      </c>
      <c r="I6427" s="43">
        <f>IF(INDEX(DarlBelegt,14)=0,0,IF(INDEX(DarlOhneTilgung,14)=1,IF(INDEX(DarlBindung,14)="",1,$G6427),IF($J6427&gt;0.005,1,0)))</f>
      </c>
      <c r="J6427" s="43">
        <f>IF($I6426=0,0,$R6426)</f>
      </c>
      <c r="K6427" s="43">
        <f>IF($I6427=0,0,IF(INDEX(DarlOhneTilgung,14)=1,0,IF(AND(INDEX(DarlTilgStart,14)&gt;0,$E6427=INDEX(DarlTilgStart,14)),$J6427*($H6427+INDEX(DarlTilgung,14))/100/12,IF(AND($G6427=0,$G6426=1),MAX($K6426,$J6427*($H6427+1)/100/12),$K6426))))</f>
      </c>
      <c r="L6427" s="43">
        <f>IF($I6427=0,0,$J6427*$H6427/100/12)</f>
      </c>
      <c r="M6427" s="43">
        <f>IF($I6427=0,0,IF(OR(INDEX(DarlOhneTilgung,14)=1,AND(INDEX(DarlTilgStart,14)&gt;0,$E6427&lt;INDEX(DarlTilgStart,14))),0,MIN(MAX(0,$K6427-$L6427),$J6427)))</f>
      </c>
      <c r="N6427" s="43">
        <f>IF($I6427=0,0,MIN(SUMIFS(SondBetrag,SondDarl,14,SondDatum,"&gt;="&amp;$E6427,SondDatum,"&lt;="&amp;EOMONTH($E6427,0)),$J6427-$M6427))</f>
      </c>
      <c r="O6427" s="43">
        <f>IF($I6427=0,0,INDEX(DarlErsatzRate,14))</f>
      </c>
      <c r="P6427" s="43">
        <f>IF($I6427=0,0,$Q6426*INDEX(DarlErsatzZins,14))</f>
      </c>
      <c r="Q6427" s="43">
        <f>IF($I6427=0,0,$Q6426+$P6427+$O6427)</f>
      </c>
      <c r="R6427" s="43">
        <f>IF($I6427=0,0,$J6427-$M6427-$N6427)</f>
      </c>
    </row>
    <row r="6428">
      <c r="A6428"/>
      <c r="B6428">
        <v>14</v>
      </c>
      <c r="C6428" s="43">
        <f>INDEX(DarlObj,14)</f>
      </c>
      <c r="D6428">
        <v>185</v>
      </c>
      <c r="E6428" s="51">
        <f>IF(INDEX(DarlBelegt,14)=0,0,EOMONTH(INDEX(DarlAuszahlung,14),184)+1)</f>
      </c>
      <c r="F6428" s="43">
        <f>IF($E6428=0,0,YEAR($E6428))</f>
      </c>
      <c r="G6428" s="43">
        <f>IF(INDEX(DarlBindung,14)="",1,IF($E6428&lt;=INDEX(DarlBindung,14),1,0))</f>
      </c>
      <c r="H6428" s="43">
        <f>IF($G6428=1,INDEX(DarlSollzins,14),INDEX(DarlAnschluss,14))</f>
      </c>
      <c r="I6428" s="43">
        <f>IF(INDEX(DarlBelegt,14)=0,0,IF(INDEX(DarlOhneTilgung,14)=1,IF(INDEX(DarlBindung,14)="",1,$G6428),IF($J6428&gt;0.005,1,0)))</f>
      </c>
      <c r="J6428" s="43">
        <f>IF($I6427=0,0,$R6427)</f>
      </c>
      <c r="K6428" s="43">
        <f>IF($I6428=0,0,IF(INDEX(DarlOhneTilgung,14)=1,0,IF(AND(INDEX(DarlTilgStart,14)&gt;0,$E6428=INDEX(DarlTilgStart,14)),$J6428*($H6428+INDEX(DarlTilgung,14))/100/12,IF(AND($G6428=0,$G6427=1),MAX($K6427,$J6428*($H6428+1)/100/12),$K6427))))</f>
      </c>
      <c r="L6428" s="43">
        <f>IF($I6428=0,0,$J6428*$H6428/100/12)</f>
      </c>
      <c r="M6428" s="43">
        <f>IF($I6428=0,0,IF(OR(INDEX(DarlOhneTilgung,14)=1,AND(INDEX(DarlTilgStart,14)&gt;0,$E6428&lt;INDEX(DarlTilgStart,14))),0,MIN(MAX(0,$K6428-$L6428),$J6428)))</f>
      </c>
      <c r="N6428" s="43">
        <f>IF($I6428=0,0,MIN(SUMIFS(SondBetrag,SondDarl,14,SondDatum,"&gt;="&amp;$E6428,SondDatum,"&lt;="&amp;EOMONTH($E6428,0)),$J6428-$M6428))</f>
      </c>
      <c r="O6428" s="43">
        <f>IF($I6428=0,0,INDEX(DarlErsatzRate,14))</f>
      </c>
      <c r="P6428" s="43">
        <f>IF($I6428=0,0,$Q6427*INDEX(DarlErsatzZins,14))</f>
      </c>
      <c r="Q6428" s="43">
        <f>IF($I6428=0,0,$Q6427+$P6428+$O6428)</f>
      </c>
      <c r="R6428" s="43">
        <f>IF($I6428=0,0,$J6428-$M6428-$N6428)</f>
      </c>
    </row>
    <row r="6429">
      <c r="A6429"/>
      <c r="B6429">
        <v>14</v>
      </c>
      <c r="C6429" s="43">
        <f>INDEX(DarlObj,14)</f>
      </c>
      <c r="D6429">
        <v>186</v>
      </c>
      <c r="E6429" s="51">
        <f>IF(INDEX(DarlBelegt,14)=0,0,EOMONTH(INDEX(DarlAuszahlung,14),185)+1)</f>
      </c>
      <c r="F6429" s="43">
        <f>IF($E6429=0,0,YEAR($E6429))</f>
      </c>
      <c r="G6429" s="43">
        <f>IF(INDEX(DarlBindung,14)="",1,IF($E6429&lt;=INDEX(DarlBindung,14),1,0))</f>
      </c>
      <c r="H6429" s="43">
        <f>IF($G6429=1,INDEX(DarlSollzins,14),INDEX(DarlAnschluss,14))</f>
      </c>
      <c r="I6429" s="43">
        <f>IF(INDEX(DarlBelegt,14)=0,0,IF(INDEX(DarlOhneTilgung,14)=1,IF(INDEX(DarlBindung,14)="",1,$G6429),IF($J6429&gt;0.005,1,0)))</f>
      </c>
      <c r="J6429" s="43">
        <f>IF($I6428=0,0,$R6428)</f>
      </c>
      <c r="K6429" s="43">
        <f>IF($I6429=0,0,IF(INDEX(DarlOhneTilgung,14)=1,0,IF(AND(INDEX(DarlTilgStart,14)&gt;0,$E6429=INDEX(DarlTilgStart,14)),$J6429*($H6429+INDEX(DarlTilgung,14))/100/12,IF(AND($G6429=0,$G6428=1),MAX($K6428,$J6429*($H6429+1)/100/12),$K6428))))</f>
      </c>
      <c r="L6429" s="43">
        <f>IF($I6429=0,0,$J6429*$H6429/100/12)</f>
      </c>
      <c r="M6429" s="43">
        <f>IF($I6429=0,0,IF(OR(INDEX(DarlOhneTilgung,14)=1,AND(INDEX(DarlTilgStart,14)&gt;0,$E6429&lt;INDEX(DarlTilgStart,14))),0,MIN(MAX(0,$K6429-$L6429),$J6429)))</f>
      </c>
      <c r="N6429" s="43">
        <f>IF($I6429=0,0,MIN(SUMIFS(SondBetrag,SondDarl,14,SondDatum,"&gt;="&amp;$E6429,SondDatum,"&lt;="&amp;EOMONTH($E6429,0)),$J6429-$M6429))</f>
      </c>
      <c r="O6429" s="43">
        <f>IF($I6429=0,0,INDEX(DarlErsatzRate,14))</f>
      </c>
      <c r="P6429" s="43">
        <f>IF($I6429=0,0,$Q6428*INDEX(DarlErsatzZins,14))</f>
      </c>
      <c r="Q6429" s="43">
        <f>IF($I6429=0,0,$Q6428+$P6429+$O6429)</f>
      </c>
      <c r="R6429" s="43">
        <f>IF($I6429=0,0,$J6429-$M6429-$N6429)</f>
      </c>
    </row>
    <row r="6430">
      <c r="A6430"/>
      <c r="B6430">
        <v>14</v>
      </c>
      <c r="C6430" s="43">
        <f>INDEX(DarlObj,14)</f>
      </c>
      <c r="D6430">
        <v>187</v>
      </c>
      <c r="E6430" s="51">
        <f>IF(INDEX(DarlBelegt,14)=0,0,EOMONTH(INDEX(DarlAuszahlung,14),186)+1)</f>
      </c>
      <c r="F6430" s="43">
        <f>IF($E6430=0,0,YEAR($E6430))</f>
      </c>
      <c r="G6430" s="43">
        <f>IF(INDEX(DarlBindung,14)="",1,IF($E6430&lt;=INDEX(DarlBindung,14),1,0))</f>
      </c>
      <c r="H6430" s="43">
        <f>IF($G6430=1,INDEX(DarlSollzins,14),INDEX(DarlAnschluss,14))</f>
      </c>
      <c r="I6430" s="43">
        <f>IF(INDEX(DarlBelegt,14)=0,0,IF(INDEX(DarlOhneTilgung,14)=1,IF(INDEX(DarlBindung,14)="",1,$G6430),IF($J6430&gt;0.005,1,0)))</f>
      </c>
      <c r="J6430" s="43">
        <f>IF($I6429=0,0,$R6429)</f>
      </c>
      <c r="K6430" s="43">
        <f>IF($I6430=0,0,IF(INDEX(DarlOhneTilgung,14)=1,0,IF(AND(INDEX(DarlTilgStart,14)&gt;0,$E6430=INDEX(DarlTilgStart,14)),$J6430*($H6430+INDEX(DarlTilgung,14))/100/12,IF(AND($G6430=0,$G6429=1),MAX($K6429,$J6430*($H6430+1)/100/12),$K6429))))</f>
      </c>
      <c r="L6430" s="43">
        <f>IF($I6430=0,0,$J6430*$H6430/100/12)</f>
      </c>
      <c r="M6430" s="43">
        <f>IF($I6430=0,0,IF(OR(INDEX(DarlOhneTilgung,14)=1,AND(INDEX(DarlTilgStart,14)&gt;0,$E6430&lt;INDEX(DarlTilgStart,14))),0,MIN(MAX(0,$K6430-$L6430),$J6430)))</f>
      </c>
      <c r="N6430" s="43">
        <f>IF($I6430=0,0,MIN(SUMIFS(SondBetrag,SondDarl,14,SondDatum,"&gt;="&amp;$E6430,SondDatum,"&lt;="&amp;EOMONTH($E6430,0)),$J6430-$M6430))</f>
      </c>
      <c r="O6430" s="43">
        <f>IF($I6430=0,0,INDEX(DarlErsatzRate,14))</f>
      </c>
      <c r="P6430" s="43">
        <f>IF($I6430=0,0,$Q6429*INDEX(DarlErsatzZins,14))</f>
      </c>
      <c r="Q6430" s="43">
        <f>IF($I6430=0,0,$Q6429+$P6430+$O6430)</f>
      </c>
      <c r="R6430" s="43">
        <f>IF($I6430=0,0,$J6430-$M6430-$N6430)</f>
      </c>
    </row>
    <row r="6431">
      <c r="A6431"/>
      <c r="B6431">
        <v>14</v>
      </c>
      <c r="C6431" s="43">
        <f>INDEX(DarlObj,14)</f>
      </c>
      <c r="D6431">
        <v>188</v>
      </c>
      <c r="E6431" s="51">
        <f>IF(INDEX(DarlBelegt,14)=0,0,EOMONTH(INDEX(DarlAuszahlung,14),187)+1)</f>
      </c>
      <c r="F6431" s="43">
        <f>IF($E6431=0,0,YEAR($E6431))</f>
      </c>
      <c r="G6431" s="43">
        <f>IF(INDEX(DarlBindung,14)="",1,IF($E6431&lt;=INDEX(DarlBindung,14),1,0))</f>
      </c>
      <c r="H6431" s="43">
        <f>IF($G6431=1,INDEX(DarlSollzins,14),INDEX(DarlAnschluss,14))</f>
      </c>
      <c r="I6431" s="43">
        <f>IF(INDEX(DarlBelegt,14)=0,0,IF(INDEX(DarlOhneTilgung,14)=1,IF(INDEX(DarlBindung,14)="",1,$G6431),IF($J6431&gt;0.005,1,0)))</f>
      </c>
      <c r="J6431" s="43">
        <f>IF($I6430=0,0,$R6430)</f>
      </c>
      <c r="K6431" s="43">
        <f>IF($I6431=0,0,IF(INDEX(DarlOhneTilgung,14)=1,0,IF(AND(INDEX(DarlTilgStart,14)&gt;0,$E6431=INDEX(DarlTilgStart,14)),$J6431*($H6431+INDEX(DarlTilgung,14))/100/12,IF(AND($G6431=0,$G6430=1),MAX($K6430,$J6431*($H6431+1)/100/12),$K6430))))</f>
      </c>
      <c r="L6431" s="43">
        <f>IF($I6431=0,0,$J6431*$H6431/100/12)</f>
      </c>
      <c r="M6431" s="43">
        <f>IF($I6431=0,0,IF(OR(INDEX(DarlOhneTilgung,14)=1,AND(INDEX(DarlTilgStart,14)&gt;0,$E6431&lt;INDEX(DarlTilgStart,14))),0,MIN(MAX(0,$K6431-$L6431),$J6431)))</f>
      </c>
      <c r="N6431" s="43">
        <f>IF($I6431=0,0,MIN(SUMIFS(SondBetrag,SondDarl,14,SondDatum,"&gt;="&amp;$E6431,SondDatum,"&lt;="&amp;EOMONTH($E6431,0)),$J6431-$M6431))</f>
      </c>
      <c r="O6431" s="43">
        <f>IF($I6431=0,0,INDEX(DarlErsatzRate,14))</f>
      </c>
      <c r="P6431" s="43">
        <f>IF($I6431=0,0,$Q6430*INDEX(DarlErsatzZins,14))</f>
      </c>
      <c r="Q6431" s="43">
        <f>IF($I6431=0,0,$Q6430+$P6431+$O6431)</f>
      </c>
      <c r="R6431" s="43">
        <f>IF($I6431=0,0,$J6431-$M6431-$N6431)</f>
      </c>
    </row>
    <row r="6432">
      <c r="A6432"/>
      <c r="B6432">
        <v>14</v>
      </c>
      <c r="C6432" s="43">
        <f>INDEX(DarlObj,14)</f>
      </c>
      <c r="D6432">
        <v>189</v>
      </c>
      <c r="E6432" s="51">
        <f>IF(INDEX(DarlBelegt,14)=0,0,EOMONTH(INDEX(DarlAuszahlung,14),188)+1)</f>
      </c>
      <c r="F6432" s="43">
        <f>IF($E6432=0,0,YEAR($E6432))</f>
      </c>
      <c r="G6432" s="43">
        <f>IF(INDEX(DarlBindung,14)="",1,IF($E6432&lt;=INDEX(DarlBindung,14),1,0))</f>
      </c>
      <c r="H6432" s="43">
        <f>IF($G6432=1,INDEX(DarlSollzins,14),INDEX(DarlAnschluss,14))</f>
      </c>
      <c r="I6432" s="43">
        <f>IF(INDEX(DarlBelegt,14)=0,0,IF(INDEX(DarlOhneTilgung,14)=1,IF(INDEX(DarlBindung,14)="",1,$G6432),IF($J6432&gt;0.005,1,0)))</f>
      </c>
      <c r="J6432" s="43">
        <f>IF($I6431=0,0,$R6431)</f>
      </c>
      <c r="K6432" s="43">
        <f>IF($I6432=0,0,IF(INDEX(DarlOhneTilgung,14)=1,0,IF(AND(INDEX(DarlTilgStart,14)&gt;0,$E6432=INDEX(DarlTilgStart,14)),$J6432*($H6432+INDEX(DarlTilgung,14))/100/12,IF(AND($G6432=0,$G6431=1),MAX($K6431,$J6432*($H6432+1)/100/12),$K6431))))</f>
      </c>
      <c r="L6432" s="43">
        <f>IF($I6432=0,0,$J6432*$H6432/100/12)</f>
      </c>
      <c r="M6432" s="43">
        <f>IF($I6432=0,0,IF(OR(INDEX(DarlOhneTilgung,14)=1,AND(INDEX(DarlTilgStart,14)&gt;0,$E6432&lt;INDEX(DarlTilgStart,14))),0,MIN(MAX(0,$K6432-$L6432),$J6432)))</f>
      </c>
      <c r="N6432" s="43">
        <f>IF($I6432=0,0,MIN(SUMIFS(SondBetrag,SondDarl,14,SondDatum,"&gt;="&amp;$E6432,SondDatum,"&lt;="&amp;EOMONTH($E6432,0)),$J6432-$M6432))</f>
      </c>
      <c r="O6432" s="43">
        <f>IF($I6432=0,0,INDEX(DarlErsatzRate,14))</f>
      </c>
      <c r="P6432" s="43">
        <f>IF($I6432=0,0,$Q6431*INDEX(DarlErsatzZins,14))</f>
      </c>
      <c r="Q6432" s="43">
        <f>IF($I6432=0,0,$Q6431+$P6432+$O6432)</f>
      </c>
      <c r="R6432" s="43">
        <f>IF($I6432=0,0,$J6432-$M6432-$N6432)</f>
      </c>
    </row>
    <row r="6433">
      <c r="A6433"/>
      <c r="B6433">
        <v>14</v>
      </c>
      <c r="C6433" s="43">
        <f>INDEX(DarlObj,14)</f>
      </c>
      <c r="D6433">
        <v>190</v>
      </c>
      <c r="E6433" s="51">
        <f>IF(INDEX(DarlBelegt,14)=0,0,EOMONTH(INDEX(DarlAuszahlung,14),189)+1)</f>
      </c>
      <c r="F6433" s="43">
        <f>IF($E6433=0,0,YEAR($E6433))</f>
      </c>
      <c r="G6433" s="43">
        <f>IF(INDEX(DarlBindung,14)="",1,IF($E6433&lt;=INDEX(DarlBindung,14),1,0))</f>
      </c>
      <c r="H6433" s="43">
        <f>IF($G6433=1,INDEX(DarlSollzins,14),INDEX(DarlAnschluss,14))</f>
      </c>
      <c r="I6433" s="43">
        <f>IF(INDEX(DarlBelegt,14)=0,0,IF(INDEX(DarlOhneTilgung,14)=1,IF(INDEX(DarlBindung,14)="",1,$G6433),IF($J6433&gt;0.005,1,0)))</f>
      </c>
      <c r="J6433" s="43">
        <f>IF($I6432=0,0,$R6432)</f>
      </c>
      <c r="K6433" s="43">
        <f>IF($I6433=0,0,IF(INDEX(DarlOhneTilgung,14)=1,0,IF(AND(INDEX(DarlTilgStart,14)&gt;0,$E6433=INDEX(DarlTilgStart,14)),$J6433*($H6433+INDEX(DarlTilgung,14))/100/12,IF(AND($G6433=0,$G6432=1),MAX($K6432,$J6433*($H6433+1)/100/12),$K6432))))</f>
      </c>
      <c r="L6433" s="43">
        <f>IF($I6433=0,0,$J6433*$H6433/100/12)</f>
      </c>
      <c r="M6433" s="43">
        <f>IF($I6433=0,0,IF(OR(INDEX(DarlOhneTilgung,14)=1,AND(INDEX(DarlTilgStart,14)&gt;0,$E6433&lt;INDEX(DarlTilgStart,14))),0,MIN(MAX(0,$K6433-$L6433),$J6433)))</f>
      </c>
      <c r="N6433" s="43">
        <f>IF($I6433=0,0,MIN(SUMIFS(SondBetrag,SondDarl,14,SondDatum,"&gt;="&amp;$E6433,SondDatum,"&lt;="&amp;EOMONTH($E6433,0)),$J6433-$M6433))</f>
      </c>
      <c r="O6433" s="43">
        <f>IF($I6433=0,0,INDEX(DarlErsatzRate,14))</f>
      </c>
      <c r="P6433" s="43">
        <f>IF($I6433=0,0,$Q6432*INDEX(DarlErsatzZins,14))</f>
      </c>
      <c r="Q6433" s="43">
        <f>IF($I6433=0,0,$Q6432+$P6433+$O6433)</f>
      </c>
      <c r="R6433" s="43">
        <f>IF($I6433=0,0,$J6433-$M6433-$N6433)</f>
      </c>
    </row>
    <row r="6434">
      <c r="A6434"/>
      <c r="B6434">
        <v>14</v>
      </c>
      <c r="C6434" s="43">
        <f>INDEX(DarlObj,14)</f>
      </c>
      <c r="D6434">
        <v>191</v>
      </c>
      <c r="E6434" s="51">
        <f>IF(INDEX(DarlBelegt,14)=0,0,EOMONTH(INDEX(DarlAuszahlung,14),190)+1)</f>
      </c>
      <c r="F6434" s="43">
        <f>IF($E6434=0,0,YEAR($E6434))</f>
      </c>
      <c r="G6434" s="43">
        <f>IF(INDEX(DarlBindung,14)="",1,IF($E6434&lt;=INDEX(DarlBindung,14),1,0))</f>
      </c>
      <c r="H6434" s="43">
        <f>IF($G6434=1,INDEX(DarlSollzins,14),INDEX(DarlAnschluss,14))</f>
      </c>
      <c r="I6434" s="43">
        <f>IF(INDEX(DarlBelegt,14)=0,0,IF(INDEX(DarlOhneTilgung,14)=1,IF(INDEX(DarlBindung,14)="",1,$G6434),IF($J6434&gt;0.005,1,0)))</f>
      </c>
      <c r="J6434" s="43">
        <f>IF($I6433=0,0,$R6433)</f>
      </c>
      <c r="K6434" s="43">
        <f>IF($I6434=0,0,IF(INDEX(DarlOhneTilgung,14)=1,0,IF(AND(INDEX(DarlTilgStart,14)&gt;0,$E6434=INDEX(DarlTilgStart,14)),$J6434*($H6434+INDEX(DarlTilgung,14))/100/12,IF(AND($G6434=0,$G6433=1),MAX($K6433,$J6434*($H6434+1)/100/12),$K6433))))</f>
      </c>
      <c r="L6434" s="43">
        <f>IF($I6434=0,0,$J6434*$H6434/100/12)</f>
      </c>
      <c r="M6434" s="43">
        <f>IF($I6434=0,0,IF(OR(INDEX(DarlOhneTilgung,14)=1,AND(INDEX(DarlTilgStart,14)&gt;0,$E6434&lt;INDEX(DarlTilgStart,14))),0,MIN(MAX(0,$K6434-$L6434),$J6434)))</f>
      </c>
      <c r="N6434" s="43">
        <f>IF($I6434=0,0,MIN(SUMIFS(SondBetrag,SondDarl,14,SondDatum,"&gt;="&amp;$E6434,SondDatum,"&lt;="&amp;EOMONTH($E6434,0)),$J6434-$M6434))</f>
      </c>
      <c r="O6434" s="43">
        <f>IF($I6434=0,0,INDEX(DarlErsatzRate,14))</f>
      </c>
      <c r="P6434" s="43">
        <f>IF($I6434=0,0,$Q6433*INDEX(DarlErsatzZins,14))</f>
      </c>
      <c r="Q6434" s="43">
        <f>IF($I6434=0,0,$Q6433+$P6434+$O6434)</f>
      </c>
      <c r="R6434" s="43">
        <f>IF($I6434=0,0,$J6434-$M6434-$N6434)</f>
      </c>
    </row>
    <row r="6435">
      <c r="A6435"/>
      <c r="B6435">
        <v>14</v>
      </c>
      <c r="C6435" s="43">
        <f>INDEX(DarlObj,14)</f>
      </c>
      <c r="D6435">
        <v>192</v>
      </c>
      <c r="E6435" s="51">
        <f>IF(INDEX(DarlBelegt,14)=0,0,EOMONTH(INDEX(DarlAuszahlung,14),191)+1)</f>
      </c>
      <c r="F6435" s="43">
        <f>IF($E6435=0,0,YEAR($E6435))</f>
      </c>
      <c r="G6435" s="43">
        <f>IF(INDEX(DarlBindung,14)="",1,IF($E6435&lt;=INDEX(DarlBindung,14),1,0))</f>
      </c>
      <c r="H6435" s="43">
        <f>IF($G6435=1,INDEX(DarlSollzins,14),INDEX(DarlAnschluss,14))</f>
      </c>
      <c r="I6435" s="43">
        <f>IF(INDEX(DarlBelegt,14)=0,0,IF(INDEX(DarlOhneTilgung,14)=1,IF(INDEX(DarlBindung,14)="",1,$G6435),IF($J6435&gt;0.005,1,0)))</f>
      </c>
      <c r="J6435" s="43">
        <f>IF($I6434=0,0,$R6434)</f>
      </c>
      <c r="K6435" s="43">
        <f>IF($I6435=0,0,IF(INDEX(DarlOhneTilgung,14)=1,0,IF(AND(INDEX(DarlTilgStart,14)&gt;0,$E6435=INDEX(DarlTilgStart,14)),$J6435*($H6435+INDEX(DarlTilgung,14))/100/12,IF(AND($G6435=0,$G6434=1),MAX($K6434,$J6435*($H6435+1)/100/12),$K6434))))</f>
      </c>
      <c r="L6435" s="43">
        <f>IF($I6435=0,0,$J6435*$H6435/100/12)</f>
      </c>
      <c r="M6435" s="43">
        <f>IF($I6435=0,0,IF(OR(INDEX(DarlOhneTilgung,14)=1,AND(INDEX(DarlTilgStart,14)&gt;0,$E6435&lt;INDEX(DarlTilgStart,14))),0,MIN(MAX(0,$K6435-$L6435),$J6435)))</f>
      </c>
      <c r="N6435" s="43">
        <f>IF($I6435=0,0,MIN(SUMIFS(SondBetrag,SondDarl,14,SondDatum,"&gt;="&amp;$E6435,SondDatum,"&lt;="&amp;EOMONTH($E6435,0)),$J6435-$M6435))</f>
      </c>
      <c r="O6435" s="43">
        <f>IF($I6435=0,0,INDEX(DarlErsatzRate,14))</f>
      </c>
      <c r="P6435" s="43">
        <f>IF($I6435=0,0,$Q6434*INDEX(DarlErsatzZins,14))</f>
      </c>
      <c r="Q6435" s="43">
        <f>IF($I6435=0,0,$Q6434+$P6435+$O6435)</f>
      </c>
      <c r="R6435" s="43">
        <f>IF($I6435=0,0,$J6435-$M6435-$N6435)</f>
      </c>
    </row>
    <row r="6436">
      <c r="A6436"/>
      <c r="B6436">
        <v>14</v>
      </c>
      <c r="C6436" s="43">
        <f>INDEX(DarlObj,14)</f>
      </c>
      <c r="D6436">
        <v>193</v>
      </c>
      <c r="E6436" s="51">
        <f>IF(INDEX(DarlBelegt,14)=0,0,EOMONTH(INDEX(DarlAuszahlung,14),192)+1)</f>
      </c>
      <c r="F6436" s="43">
        <f>IF($E6436=0,0,YEAR($E6436))</f>
      </c>
      <c r="G6436" s="43">
        <f>IF(INDEX(DarlBindung,14)="",1,IF($E6436&lt;=INDEX(DarlBindung,14),1,0))</f>
      </c>
      <c r="H6436" s="43">
        <f>IF($G6436=1,INDEX(DarlSollzins,14),INDEX(DarlAnschluss,14))</f>
      </c>
      <c r="I6436" s="43">
        <f>IF(INDEX(DarlBelegt,14)=0,0,IF(INDEX(DarlOhneTilgung,14)=1,IF(INDEX(DarlBindung,14)="",1,$G6436),IF($J6436&gt;0.005,1,0)))</f>
      </c>
      <c r="J6436" s="43">
        <f>IF($I6435=0,0,$R6435)</f>
      </c>
      <c r="K6436" s="43">
        <f>IF($I6436=0,0,IF(INDEX(DarlOhneTilgung,14)=1,0,IF(AND(INDEX(DarlTilgStart,14)&gt;0,$E6436=INDEX(DarlTilgStart,14)),$J6436*($H6436+INDEX(DarlTilgung,14))/100/12,IF(AND($G6436=0,$G6435=1),MAX($K6435,$J6436*($H6436+1)/100/12),$K6435))))</f>
      </c>
      <c r="L6436" s="43">
        <f>IF($I6436=0,0,$J6436*$H6436/100/12)</f>
      </c>
      <c r="M6436" s="43">
        <f>IF($I6436=0,0,IF(OR(INDEX(DarlOhneTilgung,14)=1,AND(INDEX(DarlTilgStart,14)&gt;0,$E6436&lt;INDEX(DarlTilgStart,14))),0,MIN(MAX(0,$K6436-$L6436),$J6436)))</f>
      </c>
      <c r="N6436" s="43">
        <f>IF($I6436=0,0,MIN(SUMIFS(SondBetrag,SondDarl,14,SondDatum,"&gt;="&amp;$E6436,SondDatum,"&lt;="&amp;EOMONTH($E6436,0)),$J6436-$M6436))</f>
      </c>
      <c r="O6436" s="43">
        <f>IF($I6436=0,0,INDEX(DarlErsatzRate,14))</f>
      </c>
      <c r="P6436" s="43">
        <f>IF($I6436=0,0,$Q6435*INDEX(DarlErsatzZins,14))</f>
      </c>
      <c r="Q6436" s="43">
        <f>IF($I6436=0,0,$Q6435+$P6436+$O6436)</f>
      </c>
      <c r="R6436" s="43">
        <f>IF($I6436=0,0,$J6436-$M6436-$N6436)</f>
      </c>
    </row>
    <row r="6437">
      <c r="A6437"/>
      <c r="B6437">
        <v>14</v>
      </c>
      <c r="C6437" s="43">
        <f>INDEX(DarlObj,14)</f>
      </c>
      <c r="D6437">
        <v>194</v>
      </c>
      <c r="E6437" s="51">
        <f>IF(INDEX(DarlBelegt,14)=0,0,EOMONTH(INDEX(DarlAuszahlung,14),193)+1)</f>
      </c>
      <c r="F6437" s="43">
        <f>IF($E6437=0,0,YEAR($E6437))</f>
      </c>
      <c r="G6437" s="43">
        <f>IF(INDEX(DarlBindung,14)="",1,IF($E6437&lt;=INDEX(DarlBindung,14),1,0))</f>
      </c>
      <c r="H6437" s="43">
        <f>IF($G6437=1,INDEX(DarlSollzins,14),INDEX(DarlAnschluss,14))</f>
      </c>
      <c r="I6437" s="43">
        <f>IF(INDEX(DarlBelegt,14)=0,0,IF(INDEX(DarlOhneTilgung,14)=1,IF(INDEX(DarlBindung,14)="",1,$G6437),IF($J6437&gt;0.005,1,0)))</f>
      </c>
      <c r="J6437" s="43">
        <f>IF($I6436=0,0,$R6436)</f>
      </c>
      <c r="K6437" s="43">
        <f>IF($I6437=0,0,IF(INDEX(DarlOhneTilgung,14)=1,0,IF(AND(INDEX(DarlTilgStart,14)&gt;0,$E6437=INDEX(DarlTilgStart,14)),$J6437*($H6437+INDEX(DarlTilgung,14))/100/12,IF(AND($G6437=0,$G6436=1),MAX($K6436,$J6437*($H6437+1)/100/12),$K6436))))</f>
      </c>
      <c r="L6437" s="43">
        <f>IF($I6437=0,0,$J6437*$H6437/100/12)</f>
      </c>
      <c r="M6437" s="43">
        <f>IF($I6437=0,0,IF(OR(INDEX(DarlOhneTilgung,14)=1,AND(INDEX(DarlTilgStart,14)&gt;0,$E6437&lt;INDEX(DarlTilgStart,14))),0,MIN(MAX(0,$K6437-$L6437),$J6437)))</f>
      </c>
      <c r="N6437" s="43">
        <f>IF($I6437=0,0,MIN(SUMIFS(SondBetrag,SondDarl,14,SondDatum,"&gt;="&amp;$E6437,SondDatum,"&lt;="&amp;EOMONTH($E6437,0)),$J6437-$M6437))</f>
      </c>
      <c r="O6437" s="43">
        <f>IF($I6437=0,0,INDEX(DarlErsatzRate,14))</f>
      </c>
      <c r="P6437" s="43">
        <f>IF($I6437=0,0,$Q6436*INDEX(DarlErsatzZins,14))</f>
      </c>
      <c r="Q6437" s="43">
        <f>IF($I6437=0,0,$Q6436+$P6437+$O6437)</f>
      </c>
      <c r="R6437" s="43">
        <f>IF($I6437=0,0,$J6437-$M6437-$N6437)</f>
      </c>
    </row>
    <row r="6438">
      <c r="A6438"/>
      <c r="B6438">
        <v>14</v>
      </c>
      <c r="C6438" s="43">
        <f>INDEX(DarlObj,14)</f>
      </c>
      <c r="D6438">
        <v>195</v>
      </c>
      <c r="E6438" s="51">
        <f>IF(INDEX(DarlBelegt,14)=0,0,EOMONTH(INDEX(DarlAuszahlung,14),194)+1)</f>
      </c>
      <c r="F6438" s="43">
        <f>IF($E6438=0,0,YEAR($E6438))</f>
      </c>
      <c r="G6438" s="43">
        <f>IF(INDEX(DarlBindung,14)="",1,IF($E6438&lt;=INDEX(DarlBindung,14),1,0))</f>
      </c>
      <c r="H6438" s="43">
        <f>IF($G6438=1,INDEX(DarlSollzins,14),INDEX(DarlAnschluss,14))</f>
      </c>
      <c r="I6438" s="43">
        <f>IF(INDEX(DarlBelegt,14)=0,0,IF(INDEX(DarlOhneTilgung,14)=1,IF(INDEX(DarlBindung,14)="",1,$G6438),IF($J6438&gt;0.005,1,0)))</f>
      </c>
      <c r="J6438" s="43">
        <f>IF($I6437=0,0,$R6437)</f>
      </c>
      <c r="K6438" s="43">
        <f>IF($I6438=0,0,IF(INDEX(DarlOhneTilgung,14)=1,0,IF(AND(INDEX(DarlTilgStart,14)&gt;0,$E6438=INDEX(DarlTilgStart,14)),$J6438*($H6438+INDEX(DarlTilgung,14))/100/12,IF(AND($G6438=0,$G6437=1),MAX($K6437,$J6438*($H6438+1)/100/12),$K6437))))</f>
      </c>
      <c r="L6438" s="43">
        <f>IF($I6438=0,0,$J6438*$H6438/100/12)</f>
      </c>
      <c r="M6438" s="43">
        <f>IF($I6438=0,0,IF(OR(INDEX(DarlOhneTilgung,14)=1,AND(INDEX(DarlTilgStart,14)&gt;0,$E6438&lt;INDEX(DarlTilgStart,14))),0,MIN(MAX(0,$K6438-$L6438),$J6438)))</f>
      </c>
      <c r="N6438" s="43">
        <f>IF($I6438=0,0,MIN(SUMIFS(SondBetrag,SondDarl,14,SondDatum,"&gt;="&amp;$E6438,SondDatum,"&lt;="&amp;EOMONTH($E6438,0)),$J6438-$M6438))</f>
      </c>
      <c r="O6438" s="43">
        <f>IF($I6438=0,0,INDEX(DarlErsatzRate,14))</f>
      </c>
      <c r="P6438" s="43">
        <f>IF($I6438=0,0,$Q6437*INDEX(DarlErsatzZins,14))</f>
      </c>
      <c r="Q6438" s="43">
        <f>IF($I6438=0,0,$Q6437+$P6438+$O6438)</f>
      </c>
      <c r="R6438" s="43">
        <f>IF($I6438=0,0,$J6438-$M6438-$N6438)</f>
      </c>
    </row>
    <row r="6439">
      <c r="A6439"/>
      <c r="B6439">
        <v>14</v>
      </c>
      <c r="C6439" s="43">
        <f>INDEX(DarlObj,14)</f>
      </c>
      <c r="D6439">
        <v>196</v>
      </c>
      <c r="E6439" s="51">
        <f>IF(INDEX(DarlBelegt,14)=0,0,EOMONTH(INDEX(DarlAuszahlung,14),195)+1)</f>
      </c>
      <c r="F6439" s="43">
        <f>IF($E6439=0,0,YEAR($E6439))</f>
      </c>
      <c r="G6439" s="43">
        <f>IF(INDEX(DarlBindung,14)="",1,IF($E6439&lt;=INDEX(DarlBindung,14),1,0))</f>
      </c>
      <c r="H6439" s="43">
        <f>IF($G6439=1,INDEX(DarlSollzins,14),INDEX(DarlAnschluss,14))</f>
      </c>
      <c r="I6439" s="43">
        <f>IF(INDEX(DarlBelegt,14)=0,0,IF(INDEX(DarlOhneTilgung,14)=1,IF(INDEX(DarlBindung,14)="",1,$G6439),IF($J6439&gt;0.005,1,0)))</f>
      </c>
      <c r="J6439" s="43">
        <f>IF($I6438=0,0,$R6438)</f>
      </c>
      <c r="K6439" s="43">
        <f>IF($I6439=0,0,IF(INDEX(DarlOhneTilgung,14)=1,0,IF(AND(INDEX(DarlTilgStart,14)&gt;0,$E6439=INDEX(DarlTilgStart,14)),$J6439*($H6439+INDEX(DarlTilgung,14))/100/12,IF(AND($G6439=0,$G6438=1),MAX($K6438,$J6439*($H6439+1)/100/12),$K6438))))</f>
      </c>
      <c r="L6439" s="43">
        <f>IF($I6439=0,0,$J6439*$H6439/100/12)</f>
      </c>
      <c r="M6439" s="43">
        <f>IF($I6439=0,0,IF(OR(INDEX(DarlOhneTilgung,14)=1,AND(INDEX(DarlTilgStart,14)&gt;0,$E6439&lt;INDEX(DarlTilgStart,14))),0,MIN(MAX(0,$K6439-$L6439),$J6439)))</f>
      </c>
      <c r="N6439" s="43">
        <f>IF($I6439=0,0,MIN(SUMIFS(SondBetrag,SondDarl,14,SondDatum,"&gt;="&amp;$E6439,SondDatum,"&lt;="&amp;EOMONTH($E6439,0)),$J6439-$M6439))</f>
      </c>
      <c r="O6439" s="43">
        <f>IF($I6439=0,0,INDEX(DarlErsatzRate,14))</f>
      </c>
      <c r="P6439" s="43">
        <f>IF($I6439=0,0,$Q6438*INDEX(DarlErsatzZins,14))</f>
      </c>
      <c r="Q6439" s="43">
        <f>IF($I6439=0,0,$Q6438+$P6439+$O6439)</f>
      </c>
      <c r="R6439" s="43">
        <f>IF($I6439=0,0,$J6439-$M6439-$N6439)</f>
      </c>
    </row>
    <row r="6440">
      <c r="A6440"/>
      <c r="B6440">
        <v>14</v>
      </c>
      <c r="C6440" s="43">
        <f>INDEX(DarlObj,14)</f>
      </c>
      <c r="D6440">
        <v>197</v>
      </c>
      <c r="E6440" s="51">
        <f>IF(INDEX(DarlBelegt,14)=0,0,EOMONTH(INDEX(DarlAuszahlung,14),196)+1)</f>
      </c>
      <c r="F6440" s="43">
        <f>IF($E6440=0,0,YEAR($E6440))</f>
      </c>
      <c r="G6440" s="43">
        <f>IF(INDEX(DarlBindung,14)="",1,IF($E6440&lt;=INDEX(DarlBindung,14),1,0))</f>
      </c>
      <c r="H6440" s="43">
        <f>IF($G6440=1,INDEX(DarlSollzins,14),INDEX(DarlAnschluss,14))</f>
      </c>
      <c r="I6440" s="43">
        <f>IF(INDEX(DarlBelegt,14)=0,0,IF(INDEX(DarlOhneTilgung,14)=1,IF(INDEX(DarlBindung,14)="",1,$G6440),IF($J6440&gt;0.005,1,0)))</f>
      </c>
      <c r="J6440" s="43">
        <f>IF($I6439=0,0,$R6439)</f>
      </c>
      <c r="K6440" s="43">
        <f>IF($I6440=0,0,IF(INDEX(DarlOhneTilgung,14)=1,0,IF(AND(INDEX(DarlTilgStart,14)&gt;0,$E6440=INDEX(DarlTilgStart,14)),$J6440*($H6440+INDEX(DarlTilgung,14))/100/12,IF(AND($G6440=0,$G6439=1),MAX($K6439,$J6440*($H6440+1)/100/12),$K6439))))</f>
      </c>
      <c r="L6440" s="43">
        <f>IF($I6440=0,0,$J6440*$H6440/100/12)</f>
      </c>
      <c r="M6440" s="43">
        <f>IF($I6440=0,0,IF(OR(INDEX(DarlOhneTilgung,14)=1,AND(INDEX(DarlTilgStart,14)&gt;0,$E6440&lt;INDEX(DarlTilgStart,14))),0,MIN(MAX(0,$K6440-$L6440),$J6440)))</f>
      </c>
      <c r="N6440" s="43">
        <f>IF($I6440=0,0,MIN(SUMIFS(SondBetrag,SondDarl,14,SondDatum,"&gt;="&amp;$E6440,SondDatum,"&lt;="&amp;EOMONTH($E6440,0)),$J6440-$M6440))</f>
      </c>
      <c r="O6440" s="43">
        <f>IF($I6440=0,0,INDEX(DarlErsatzRate,14))</f>
      </c>
      <c r="P6440" s="43">
        <f>IF($I6440=0,0,$Q6439*INDEX(DarlErsatzZins,14))</f>
      </c>
      <c r="Q6440" s="43">
        <f>IF($I6440=0,0,$Q6439+$P6440+$O6440)</f>
      </c>
      <c r="R6440" s="43">
        <f>IF($I6440=0,0,$J6440-$M6440-$N6440)</f>
      </c>
    </row>
    <row r="6441">
      <c r="A6441"/>
      <c r="B6441">
        <v>14</v>
      </c>
      <c r="C6441" s="43">
        <f>INDEX(DarlObj,14)</f>
      </c>
      <c r="D6441">
        <v>198</v>
      </c>
      <c r="E6441" s="51">
        <f>IF(INDEX(DarlBelegt,14)=0,0,EOMONTH(INDEX(DarlAuszahlung,14),197)+1)</f>
      </c>
      <c r="F6441" s="43">
        <f>IF($E6441=0,0,YEAR($E6441))</f>
      </c>
      <c r="G6441" s="43">
        <f>IF(INDEX(DarlBindung,14)="",1,IF($E6441&lt;=INDEX(DarlBindung,14),1,0))</f>
      </c>
      <c r="H6441" s="43">
        <f>IF($G6441=1,INDEX(DarlSollzins,14),INDEX(DarlAnschluss,14))</f>
      </c>
      <c r="I6441" s="43">
        <f>IF(INDEX(DarlBelegt,14)=0,0,IF(INDEX(DarlOhneTilgung,14)=1,IF(INDEX(DarlBindung,14)="",1,$G6441),IF($J6441&gt;0.005,1,0)))</f>
      </c>
      <c r="J6441" s="43">
        <f>IF($I6440=0,0,$R6440)</f>
      </c>
      <c r="K6441" s="43">
        <f>IF($I6441=0,0,IF(INDEX(DarlOhneTilgung,14)=1,0,IF(AND(INDEX(DarlTilgStart,14)&gt;0,$E6441=INDEX(DarlTilgStart,14)),$J6441*($H6441+INDEX(DarlTilgung,14))/100/12,IF(AND($G6441=0,$G6440=1),MAX($K6440,$J6441*($H6441+1)/100/12),$K6440))))</f>
      </c>
      <c r="L6441" s="43">
        <f>IF($I6441=0,0,$J6441*$H6441/100/12)</f>
      </c>
      <c r="M6441" s="43">
        <f>IF($I6441=0,0,IF(OR(INDEX(DarlOhneTilgung,14)=1,AND(INDEX(DarlTilgStart,14)&gt;0,$E6441&lt;INDEX(DarlTilgStart,14))),0,MIN(MAX(0,$K6441-$L6441),$J6441)))</f>
      </c>
      <c r="N6441" s="43">
        <f>IF($I6441=0,0,MIN(SUMIFS(SondBetrag,SondDarl,14,SondDatum,"&gt;="&amp;$E6441,SondDatum,"&lt;="&amp;EOMONTH($E6441,0)),$J6441-$M6441))</f>
      </c>
      <c r="O6441" s="43">
        <f>IF($I6441=0,0,INDEX(DarlErsatzRate,14))</f>
      </c>
      <c r="P6441" s="43">
        <f>IF($I6441=0,0,$Q6440*INDEX(DarlErsatzZins,14))</f>
      </c>
      <c r="Q6441" s="43">
        <f>IF($I6441=0,0,$Q6440+$P6441+$O6441)</f>
      </c>
      <c r="R6441" s="43">
        <f>IF($I6441=0,0,$J6441-$M6441-$N6441)</f>
      </c>
    </row>
    <row r="6442">
      <c r="A6442"/>
      <c r="B6442">
        <v>14</v>
      </c>
      <c r="C6442" s="43">
        <f>INDEX(DarlObj,14)</f>
      </c>
      <c r="D6442">
        <v>199</v>
      </c>
      <c r="E6442" s="51">
        <f>IF(INDEX(DarlBelegt,14)=0,0,EOMONTH(INDEX(DarlAuszahlung,14),198)+1)</f>
      </c>
      <c r="F6442" s="43">
        <f>IF($E6442=0,0,YEAR($E6442))</f>
      </c>
      <c r="G6442" s="43">
        <f>IF(INDEX(DarlBindung,14)="",1,IF($E6442&lt;=INDEX(DarlBindung,14),1,0))</f>
      </c>
      <c r="H6442" s="43">
        <f>IF($G6442=1,INDEX(DarlSollzins,14),INDEX(DarlAnschluss,14))</f>
      </c>
      <c r="I6442" s="43">
        <f>IF(INDEX(DarlBelegt,14)=0,0,IF(INDEX(DarlOhneTilgung,14)=1,IF(INDEX(DarlBindung,14)="",1,$G6442),IF($J6442&gt;0.005,1,0)))</f>
      </c>
      <c r="J6442" s="43">
        <f>IF($I6441=0,0,$R6441)</f>
      </c>
      <c r="K6442" s="43">
        <f>IF($I6442=0,0,IF(INDEX(DarlOhneTilgung,14)=1,0,IF(AND(INDEX(DarlTilgStart,14)&gt;0,$E6442=INDEX(DarlTilgStart,14)),$J6442*($H6442+INDEX(DarlTilgung,14))/100/12,IF(AND($G6442=0,$G6441=1),MAX($K6441,$J6442*($H6442+1)/100/12),$K6441))))</f>
      </c>
      <c r="L6442" s="43">
        <f>IF($I6442=0,0,$J6442*$H6442/100/12)</f>
      </c>
      <c r="M6442" s="43">
        <f>IF($I6442=0,0,IF(OR(INDEX(DarlOhneTilgung,14)=1,AND(INDEX(DarlTilgStart,14)&gt;0,$E6442&lt;INDEX(DarlTilgStart,14))),0,MIN(MAX(0,$K6442-$L6442),$J6442)))</f>
      </c>
      <c r="N6442" s="43">
        <f>IF($I6442=0,0,MIN(SUMIFS(SondBetrag,SondDarl,14,SondDatum,"&gt;="&amp;$E6442,SondDatum,"&lt;="&amp;EOMONTH($E6442,0)),$J6442-$M6442))</f>
      </c>
      <c r="O6442" s="43">
        <f>IF($I6442=0,0,INDEX(DarlErsatzRate,14))</f>
      </c>
      <c r="P6442" s="43">
        <f>IF($I6442=0,0,$Q6441*INDEX(DarlErsatzZins,14))</f>
      </c>
      <c r="Q6442" s="43">
        <f>IF($I6442=0,0,$Q6441+$P6442+$O6442)</f>
      </c>
      <c r="R6442" s="43">
        <f>IF($I6442=0,0,$J6442-$M6442-$N6442)</f>
      </c>
    </row>
    <row r="6443">
      <c r="A6443"/>
      <c r="B6443">
        <v>14</v>
      </c>
      <c r="C6443" s="43">
        <f>INDEX(DarlObj,14)</f>
      </c>
      <c r="D6443">
        <v>200</v>
      </c>
      <c r="E6443" s="51">
        <f>IF(INDEX(DarlBelegt,14)=0,0,EOMONTH(INDEX(DarlAuszahlung,14),199)+1)</f>
      </c>
      <c r="F6443" s="43">
        <f>IF($E6443=0,0,YEAR($E6443))</f>
      </c>
      <c r="G6443" s="43">
        <f>IF(INDEX(DarlBindung,14)="",1,IF($E6443&lt;=INDEX(DarlBindung,14),1,0))</f>
      </c>
      <c r="H6443" s="43">
        <f>IF($G6443=1,INDEX(DarlSollzins,14),INDEX(DarlAnschluss,14))</f>
      </c>
      <c r="I6443" s="43">
        <f>IF(INDEX(DarlBelegt,14)=0,0,IF(INDEX(DarlOhneTilgung,14)=1,IF(INDEX(DarlBindung,14)="",1,$G6443),IF($J6443&gt;0.005,1,0)))</f>
      </c>
      <c r="J6443" s="43">
        <f>IF($I6442=0,0,$R6442)</f>
      </c>
      <c r="K6443" s="43">
        <f>IF($I6443=0,0,IF(INDEX(DarlOhneTilgung,14)=1,0,IF(AND(INDEX(DarlTilgStart,14)&gt;0,$E6443=INDEX(DarlTilgStart,14)),$J6443*($H6443+INDEX(DarlTilgung,14))/100/12,IF(AND($G6443=0,$G6442=1),MAX($K6442,$J6443*($H6443+1)/100/12),$K6442))))</f>
      </c>
      <c r="L6443" s="43">
        <f>IF($I6443=0,0,$J6443*$H6443/100/12)</f>
      </c>
      <c r="M6443" s="43">
        <f>IF($I6443=0,0,IF(OR(INDEX(DarlOhneTilgung,14)=1,AND(INDEX(DarlTilgStart,14)&gt;0,$E6443&lt;INDEX(DarlTilgStart,14))),0,MIN(MAX(0,$K6443-$L6443),$J6443)))</f>
      </c>
      <c r="N6443" s="43">
        <f>IF($I6443=0,0,MIN(SUMIFS(SondBetrag,SondDarl,14,SondDatum,"&gt;="&amp;$E6443,SondDatum,"&lt;="&amp;EOMONTH($E6443,0)),$J6443-$M6443))</f>
      </c>
      <c r="O6443" s="43">
        <f>IF($I6443=0,0,INDEX(DarlErsatzRate,14))</f>
      </c>
      <c r="P6443" s="43">
        <f>IF($I6443=0,0,$Q6442*INDEX(DarlErsatzZins,14))</f>
      </c>
      <c r="Q6443" s="43">
        <f>IF($I6443=0,0,$Q6442+$P6443+$O6443)</f>
      </c>
      <c r="R6443" s="43">
        <f>IF($I6443=0,0,$J6443-$M6443-$N6443)</f>
      </c>
    </row>
    <row r="6444">
      <c r="A6444"/>
      <c r="B6444">
        <v>14</v>
      </c>
      <c r="C6444" s="43">
        <f>INDEX(DarlObj,14)</f>
      </c>
      <c r="D6444">
        <v>201</v>
      </c>
      <c r="E6444" s="51">
        <f>IF(INDEX(DarlBelegt,14)=0,0,EOMONTH(INDEX(DarlAuszahlung,14),200)+1)</f>
      </c>
      <c r="F6444" s="43">
        <f>IF($E6444=0,0,YEAR($E6444))</f>
      </c>
      <c r="G6444" s="43">
        <f>IF(INDEX(DarlBindung,14)="",1,IF($E6444&lt;=INDEX(DarlBindung,14),1,0))</f>
      </c>
      <c r="H6444" s="43">
        <f>IF($G6444=1,INDEX(DarlSollzins,14),INDEX(DarlAnschluss,14))</f>
      </c>
      <c r="I6444" s="43">
        <f>IF(INDEX(DarlBelegt,14)=0,0,IF(INDEX(DarlOhneTilgung,14)=1,IF(INDEX(DarlBindung,14)="",1,$G6444),IF($J6444&gt;0.005,1,0)))</f>
      </c>
      <c r="J6444" s="43">
        <f>IF($I6443=0,0,$R6443)</f>
      </c>
      <c r="K6444" s="43">
        <f>IF($I6444=0,0,IF(INDEX(DarlOhneTilgung,14)=1,0,IF(AND(INDEX(DarlTilgStart,14)&gt;0,$E6444=INDEX(DarlTilgStart,14)),$J6444*($H6444+INDEX(DarlTilgung,14))/100/12,IF(AND($G6444=0,$G6443=1),MAX($K6443,$J6444*($H6444+1)/100/12),$K6443))))</f>
      </c>
      <c r="L6444" s="43">
        <f>IF($I6444=0,0,$J6444*$H6444/100/12)</f>
      </c>
      <c r="M6444" s="43">
        <f>IF($I6444=0,0,IF(OR(INDEX(DarlOhneTilgung,14)=1,AND(INDEX(DarlTilgStart,14)&gt;0,$E6444&lt;INDEX(DarlTilgStart,14))),0,MIN(MAX(0,$K6444-$L6444),$J6444)))</f>
      </c>
      <c r="N6444" s="43">
        <f>IF($I6444=0,0,MIN(SUMIFS(SondBetrag,SondDarl,14,SondDatum,"&gt;="&amp;$E6444,SondDatum,"&lt;="&amp;EOMONTH($E6444,0)),$J6444-$M6444))</f>
      </c>
      <c r="O6444" s="43">
        <f>IF($I6444=0,0,INDEX(DarlErsatzRate,14))</f>
      </c>
      <c r="P6444" s="43">
        <f>IF($I6444=0,0,$Q6443*INDEX(DarlErsatzZins,14))</f>
      </c>
      <c r="Q6444" s="43">
        <f>IF($I6444=0,0,$Q6443+$P6444+$O6444)</f>
      </c>
      <c r="R6444" s="43">
        <f>IF($I6444=0,0,$J6444-$M6444-$N6444)</f>
      </c>
    </row>
    <row r="6445">
      <c r="A6445"/>
      <c r="B6445">
        <v>14</v>
      </c>
      <c r="C6445" s="43">
        <f>INDEX(DarlObj,14)</f>
      </c>
      <c r="D6445">
        <v>202</v>
      </c>
      <c r="E6445" s="51">
        <f>IF(INDEX(DarlBelegt,14)=0,0,EOMONTH(INDEX(DarlAuszahlung,14),201)+1)</f>
      </c>
      <c r="F6445" s="43">
        <f>IF($E6445=0,0,YEAR($E6445))</f>
      </c>
      <c r="G6445" s="43">
        <f>IF(INDEX(DarlBindung,14)="",1,IF($E6445&lt;=INDEX(DarlBindung,14),1,0))</f>
      </c>
      <c r="H6445" s="43">
        <f>IF($G6445=1,INDEX(DarlSollzins,14),INDEX(DarlAnschluss,14))</f>
      </c>
      <c r="I6445" s="43">
        <f>IF(INDEX(DarlBelegt,14)=0,0,IF(INDEX(DarlOhneTilgung,14)=1,IF(INDEX(DarlBindung,14)="",1,$G6445),IF($J6445&gt;0.005,1,0)))</f>
      </c>
      <c r="J6445" s="43">
        <f>IF($I6444=0,0,$R6444)</f>
      </c>
      <c r="K6445" s="43">
        <f>IF($I6445=0,0,IF(INDEX(DarlOhneTilgung,14)=1,0,IF(AND(INDEX(DarlTilgStart,14)&gt;0,$E6445=INDEX(DarlTilgStart,14)),$J6445*($H6445+INDEX(DarlTilgung,14))/100/12,IF(AND($G6445=0,$G6444=1),MAX($K6444,$J6445*($H6445+1)/100/12),$K6444))))</f>
      </c>
      <c r="L6445" s="43">
        <f>IF($I6445=0,0,$J6445*$H6445/100/12)</f>
      </c>
      <c r="M6445" s="43">
        <f>IF($I6445=0,0,IF(OR(INDEX(DarlOhneTilgung,14)=1,AND(INDEX(DarlTilgStart,14)&gt;0,$E6445&lt;INDEX(DarlTilgStart,14))),0,MIN(MAX(0,$K6445-$L6445),$J6445)))</f>
      </c>
      <c r="N6445" s="43">
        <f>IF($I6445=0,0,MIN(SUMIFS(SondBetrag,SondDarl,14,SondDatum,"&gt;="&amp;$E6445,SondDatum,"&lt;="&amp;EOMONTH($E6445,0)),$J6445-$M6445))</f>
      </c>
      <c r="O6445" s="43">
        <f>IF($I6445=0,0,INDEX(DarlErsatzRate,14))</f>
      </c>
      <c r="P6445" s="43">
        <f>IF($I6445=0,0,$Q6444*INDEX(DarlErsatzZins,14))</f>
      </c>
      <c r="Q6445" s="43">
        <f>IF($I6445=0,0,$Q6444+$P6445+$O6445)</f>
      </c>
      <c r="R6445" s="43">
        <f>IF($I6445=0,0,$J6445-$M6445-$N6445)</f>
      </c>
    </row>
    <row r="6446">
      <c r="A6446"/>
      <c r="B6446">
        <v>14</v>
      </c>
      <c r="C6446" s="43">
        <f>INDEX(DarlObj,14)</f>
      </c>
      <c r="D6446">
        <v>203</v>
      </c>
      <c r="E6446" s="51">
        <f>IF(INDEX(DarlBelegt,14)=0,0,EOMONTH(INDEX(DarlAuszahlung,14),202)+1)</f>
      </c>
      <c r="F6446" s="43">
        <f>IF($E6446=0,0,YEAR($E6446))</f>
      </c>
      <c r="G6446" s="43">
        <f>IF(INDEX(DarlBindung,14)="",1,IF($E6446&lt;=INDEX(DarlBindung,14),1,0))</f>
      </c>
      <c r="H6446" s="43">
        <f>IF($G6446=1,INDEX(DarlSollzins,14),INDEX(DarlAnschluss,14))</f>
      </c>
      <c r="I6446" s="43">
        <f>IF(INDEX(DarlBelegt,14)=0,0,IF(INDEX(DarlOhneTilgung,14)=1,IF(INDEX(DarlBindung,14)="",1,$G6446),IF($J6446&gt;0.005,1,0)))</f>
      </c>
      <c r="J6446" s="43">
        <f>IF($I6445=0,0,$R6445)</f>
      </c>
      <c r="K6446" s="43">
        <f>IF($I6446=0,0,IF(INDEX(DarlOhneTilgung,14)=1,0,IF(AND(INDEX(DarlTilgStart,14)&gt;0,$E6446=INDEX(DarlTilgStart,14)),$J6446*($H6446+INDEX(DarlTilgung,14))/100/12,IF(AND($G6446=0,$G6445=1),MAX($K6445,$J6446*($H6446+1)/100/12),$K6445))))</f>
      </c>
      <c r="L6446" s="43">
        <f>IF($I6446=0,0,$J6446*$H6446/100/12)</f>
      </c>
      <c r="M6446" s="43">
        <f>IF($I6446=0,0,IF(OR(INDEX(DarlOhneTilgung,14)=1,AND(INDEX(DarlTilgStart,14)&gt;0,$E6446&lt;INDEX(DarlTilgStart,14))),0,MIN(MAX(0,$K6446-$L6446),$J6446)))</f>
      </c>
      <c r="N6446" s="43">
        <f>IF($I6446=0,0,MIN(SUMIFS(SondBetrag,SondDarl,14,SondDatum,"&gt;="&amp;$E6446,SondDatum,"&lt;="&amp;EOMONTH($E6446,0)),$J6446-$M6446))</f>
      </c>
      <c r="O6446" s="43">
        <f>IF($I6446=0,0,INDEX(DarlErsatzRate,14))</f>
      </c>
      <c r="P6446" s="43">
        <f>IF($I6446=0,0,$Q6445*INDEX(DarlErsatzZins,14))</f>
      </c>
      <c r="Q6446" s="43">
        <f>IF($I6446=0,0,$Q6445+$P6446+$O6446)</f>
      </c>
      <c r="R6446" s="43">
        <f>IF($I6446=0,0,$J6446-$M6446-$N6446)</f>
      </c>
    </row>
    <row r="6447">
      <c r="A6447"/>
      <c r="B6447">
        <v>14</v>
      </c>
      <c r="C6447" s="43">
        <f>INDEX(DarlObj,14)</f>
      </c>
      <c r="D6447">
        <v>204</v>
      </c>
      <c r="E6447" s="51">
        <f>IF(INDEX(DarlBelegt,14)=0,0,EOMONTH(INDEX(DarlAuszahlung,14),203)+1)</f>
      </c>
      <c r="F6447" s="43">
        <f>IF($E6447=0,0,YEAR($E6447))</f>
      </c>
      <c r="G6447" s="43">
        <f>IF(INDEX(DarlBindung,14)="",1,IF($E6447&lt;=INDEX(DarlBindung,14),1,0))</f>
      </c>
      <c r="H6447" s="43">
        <f>IF($G6447=1,INDEX(DarlSollzins,14),INDEX(DarlAnschluss,14))</f>
      </c>
      <c r="I6447" s="43">
        <f>IF(INDEX(DarlBelegt,14)=0,0,IF(INDEX(DarlOhneTilgung,14)=1,IF(INDEX(DarlBindung,14)="",1,$G6447),IF($J6447&gt;0.005,1,0)))</f>
      </c>
      <c r="J6447" s="43">
        <f>IF($I6446=0,0,$R6446)</f>
      </c>
      <c r="K6447" s="43">
        <f>IF($I6447=0,0,IF(INDEX(DarlOhneTilgung,14)=1,0,IF(AND(INDEX(DarlTilgStart,14)&gt;0,$E6447=INDEX(DarlTilgStart,14)),$J6447*($H6447+INDEX(DarlTilgung,14))/100/12,IF(AND($G6447=0,$G6446=1),MAX($K6446,$J6447*($H6447+1)/100/12),$K6446))))</f>
      </c>
      <c r="L6447" s="43">
        <f>IF($I6447=0,0,$J6447*$H6447/100/12)</f>
      </c>
      <c r="M6447" s="43">
        <f>IF($I6447=0,0,IF(OR(INDEX(DarlOhneTilgung,14)=1,AND(INDEX(DarlTilgStart,14)&gt;0,$E6447&lt;INDEX(DarlTilgStart,14))),0,MIN(MAX(0,$K6447-$L6447),$J6447)))</f>
      </c>
      <c r="N6447" s="43">
        <f>IF($I6447=0,0,MIN(SUMIFS(SondBetrag,SondDarl,14,SondDatum,"&gt;="&amp;$E6447,SondDatum,"&lt;="&amp;EOMONTH($E6447,0)),$J6447-$M6447))</f>
      </c>
      <c r="O6447" s="43">
        <f>IF($I6447=0,0,INDEX(DarlErsatzRate,14))</f>
      </c>
      <c r="P6447" s="43">
        <f>IF($I6447=0,0,$Q6446*INDEX(DarlErsatzZins,14))</f>
      </c>
      <c r="Q6447" s="43">
        <f>IF($I6447=0,0,$Q6446+$P6447+$O6447)</f>
      </c>
      <c r="R6447" s="43">
        <f>IF($I6447=0,0,$J6447-$M6447-$N6447)</f>
      </c>
    </row>
    <row r="6448">
      <c r="A6448"/>
      <c r="B6448">
        <v>14</v>
      </c>
      <c r="C6448" s="43">
        <f>INDEX(DarlObj,14)</f>
      </c>
      <c r="D6448">
        <v>205</v>
      </c>
      <c r="E6448" s="51">
        <f>IF(INDEX(DarlBelegt,14)=0,0,EOMONTH(INDEX(DarlAuszahlung,14),204)+1)</f>
      </c>
      <c r="F6448" s="43">
        <f>IF($E6448=0,0,YEAR($E6448))</f>
      </c>
      <c r="G6448" s="43">
        <f>IF(INDEX(DarlBindung,14)="",1,IF($E6448&lt;=INDEX(DarlBindung,14),1,0))</f>
      </c>
      <c r="H6448" s="43">
        <f>IF($G6448=1,INDEX(DarlSollzins,14),INDEX(DarlAnschluss,14))</f>
      </c>
      <c r="I6448" s="43">
        <f>IF(INDEX(DarlBelegt,14)=0,0,IF(INDEX(DarlOhneTilgung,14)=1,IF(INDEX(DarlBindung,14)="",1,$G6448),IF($J6448&gt;0.005,1,0)))</f>
      </c>
      <c r="J6448" s="43">
        <f>IF($I6447=0,0,$R6447)</f>
      </c>
      <c r="K6448" s="43">
        <f>IF($I6448=0,0,IF(INDEX(DarlOhneTilgung,14)=1,0,IF(AND(INDEX(DarlTilgStart,14)&gt;0,$E6448=INDEX(DarlTilgStart,14)),$J6448*($H6448+INDEX(DarlTilgung,14))/100/12,IF(AND($G6448=0,$G6447=1),MAX($K6447,$J6448*($H6448+1)/100/12),$K6447))))</f>
      </c>
      <c r="L6448" s="43">
        <f>IF($I6448=0,0,$J6448*$H6448/100/12)</f>
      </c>
      <c r="M6448" s="43">
        <f>IF($I6448=0,0,IF(OR(INDEX(DarlOhneTilgung,14)=1,AND(INDEX(DarlTilgStart,14)&gt;0,$E6448&lt;INDEX(DarlTilgStart,14))),0,MIN(MAX(0,$K6448-$L6448),$J6448)))</f>
      </c>
      <c r="N6448" s="43">
        <f>IF($I6448=0,0,MIN(SUMIFS(SondBetrag,SondDarl,14,SondDatum,"&gt;="&amp;$E6448,SondDatum,"&lt;="&amp;EOMONTH($E6448,0)),$J6448-$M6448))</f>
      </c>
      <c r="O6448" s="43">
        <f>IF($I6448=0,0,INDEX(DarlErsatzRate,14))</f>
      </c>
      <c r="P6448" s="43">
        <f>IF($I6448=0,0,$Q6447*INDEX(DarlErsatzZins,14))</f>
      </c>
      <c r="Q6448" s="43">
        <f>IF($I6448=0,0,$Q6447+$P6448+$O6448)</f>
      </c>
      <c r="R6448" s="43">
        <f>IF($I6448=0,0,$J6448-$M6448-$N6448)</f>
      </c>
    </row>
    <row r="6449">
      <c r="A6449"/>
      <c r="B6449">
        <v>14</v>
      </c>
      <c r="C6449" s="43">
        <f>INDEX(DarlObj,14)</f>
      </c>
      <c r="D6449">
        <v>206</v>
      </c>
      <c r="E6449" s="51">
        <f>IF(INDEX(DarlBelegt,14)=0,0,EOMONTH(INDEX(DarlAuszahlung,14),205)+1)</f>
      </c>
      <c r="F6449" s="43">
        <f>IF($E6449=0,0,YEAR($E6449))</f>
      </c>
      <c r="G6449" s="43">
        <f>IF(INDEX(DarlBindung,14)="",1,IF($E6449&lt;=INDEX(DarlBindung,14),1,0))</f>
      </c>
      <c r="H6449" s="43">
        <f>IF($G6449=1,INDEX(DarlSollzins,14),INDEX(DarlAnschluss,14))</f>
      </c>
      <c r="I6449" s="43">
        <f>IF(INDEX(DarlBelegt,14)=0,0,IF(INDEX(DarlOhneTilgung,14)=1,IF(INDEX(DarlBindung,14)="",1,$G6449),IF($J6449&gt;0.005,1,0)))</f>
      </c>
      <c r="J6449" s="43">
        <f>IF($I6448=0,0,$R6448)</f>
      </c>
      <c r="K6449" s="43">
        <f>IF($I6449=0,0,IF(INDEX(DarlOhneTilgung,14)=1,0,IF(AND(INDEX(DarlTilgStart,14)&gt;0,$E6449=INDEX(DarlTilgStart,14)),$J6449*($H6449+INDEX(DarlTilgung,14))/100/12,IF(AND($G6449=0,$G6448=1),MAX($K6448,$J6449*($H6449+1)/100/12),$K6448))))</f>
      </c>
      <c r="L6449" s="43">
        <f>IF($I6449=0,0,$J6449*$H6449/100/12)</f>
      </c>
      <c r="M6449" s="43">
        <f>IF($I6449=0,0,IF(OR(INDEX(DarlOhneTilgung,14)=1,AND(INDEX(DarlTilgStart,14)&gt;0,$E6449&lt;INDEX(DarlTilgStart,14))),0,MIN(MAX(0,$K6449-$L6449),$J6449)))</f>
      </c>
      <c r="N6449" s="43">
        <f>IF($I6449=0,0,MIN(SUMIFS(SondBetrag,SondDarl,14,SondDatum,"&gt;="&amp;$E6449,SondDatum,"&lt;="&amp;EOMONTH($E6449,0)),$J6449-$M6449))</f>
      </c>
      <c r="O6449" s="43">
        <f>IF($I6449=0,0,INDEX(DarlErsatzRate,14))</f>
      </c>
      <c r="P6449" s="43">
        <f>IF($I6449=0,0,$Q6448*INDEX(DarlErsatzZins,14))</f>
      </c>
      <c r="Q6449" s="43">
        <f>IF($I6449=0,0,$Q6448+$P6449+$O6449)</f>
      </c>
      <c r="R6449" s="43">
        <f>IF($I6449=0,0,$J6449-$M6449-$N6449)</f>
      </c>
    </row>
    <row r="6450">
      <c r="A6450"/>
      <c r="B6450">
        <v>14</v>
      </c>
      <c r="C6450" s="43">
        <f>INDEX(DarlObj,14)</f>
      </c>
      <c r="D6450">
        <v>207</v>
      </c>
      <c r="E6450" s="51">
        <f>IF(INDEX(DarlBelegt,14)=0,0,EOMONTH(INDEX(DarlAuszahlung,14),206)+1)</f>
      </c>
      <c r="F6450" s="43">
        <f>IF($E6450=0,0,YEAR($E6450))</f>
      </c>
      <c r="G6450" s="43">
        <f>IF(INDEX(DarlBindung,14)="",1,IF($E6450&lt;=INDEX(DarlBindung,14),1,0))</f>
      </c>
      <c r="H6450" s="43">
        <f>IF($G6450=1,INDEX(DarlSollzins,14),INDEX(DarlAnschluss,14))</f>
      </c>
      <c r="I6450" s="43">
        <f>IF(INDEX(DarlBelegt,14)=0,0,IF(INDEX(DarlOhneTilgung,14)=1,IF(INDEX(DarlBindung,14)="",1,$G6450),IF($J6450&gt;0.005,1,0)))</f>
      </c>
      <c r="J6450" s="43">
        <f>IF($I6449=0,0,$R6449)</f>
      </c>
      <c r="K6450" s="43">
        <f>IF($I6450=0,0,IF(INDEX(DarlOhneTilgung,14)=1,0,IF(AND(INDEX(DarlTilgStart,14)&gt;0,$E6450=INDEX(DarlTilgStart,14)),$J6450*($H6450+INDEX(DarlTilgung,14))/100/12,IF(AND($G6450=0,$G6449=1),MAX($K6449,$J6450*($H6450+1)/100/12),$K6449))))</f>
      </c>
      <c r="L6450" s="43">
        <f>IF($I6450=0,0,$J6450*$H6450/100/12)</f>
      </c>
      <c r="M6450" s="43">
        <f>IF($I6450=0,0,IF(OR(INDEX(DarlOhneTilgung,14)=1,AND(INDEX(DarlTilgStart,14)&gt;0,$E6450&lt;INDEX(DarlTilgStart,14))),0,MIN(MAX(0,$K6450-$L6450),$J6450)))</f>
      </c>
      <c r="N6450" s="43">
        <f>IF($I6450=0,0,MIN(SUMIFS(SondBetrag,SondDarl,14,SondDatum,"&gt;="&amp;$E6450,SondDatum,"&lt;="&amp;EOMONTH($E6450,0)),$J6450-$M6450))</f>
      </c>
      <c r="O6450" s="43">
        <f>IF($I6450=0,0,INDEX(DarlErsatzRate,14))</f>
      </c>
      <c r="P6450" s="43">
        <f>IF($I6450=0,0,$Q6449*INDEX(DarlErsatzZins,14))</f>
      </c>
      <c r="Q6450" s="43">
        <f>IF($I6450=0,0,$Q6449+$P6450+$O6450)</f>
      </c>
      <c r="R6450" s="43">
        <f>IF($I6450=0,0,$J6450-$M6450-$N6450)</f>
      </c>
    </row>
    <row r="6451">
      <c r="A6451"/>
      <c r="B6451">
        <v>14</v>
      </c>
      <c r="C6451" s="43">
        <f>INDEX(DarlObj,14)</f>
      </c>
      <c r="D6451">
        <v>208</v>
      </c>
      <c r="E6451" s="51">
        <f>IF(INDEX(DarlBelegt,14)=0,0,EOMONTH(INDEX(DarlAuszahlung,14),207)+1)</f>
      </c>
      <c r="F6451" s="43">
        <f>IF($E6451=0,0,YEAR($E6451))</f>
      </c>
      <c r="G6451" s="43">
        <f>IF(INDEX(DarlBindung,14)="",1,IF($E6451&lt;=INDEX(DarlBindung,14),1,0))</f>
      </c>
      <c r="H6451" s="43">
        <f>IF($G6451=1,INDEX(DarlSollzins,14),INDEX(DarlAnschluss,14))</f>
      </c>
      <c r="I6451" s="43">
        <f>IF(INDEX(DarlBelegt,14)=0,0,IF(INDEX(DarlOhneTilgung,14)=1,IF(INDEX(DarlBindung,14)="",1,$G6451),IF($J6451&gt;0.005,1,0)))</f>
      </c>
      <c r="J6451" s="43">
        <f>IF($I6450=0,0,$R6450)</f>
      </c>
      <c r="K6451" s="43">
        <f>IF($I6451=0,0,IF(INDEX(DarlOhneTilgung,14)=1,0,IF(AND(INDEX(DarlTilgStart,14)&gt;0,$E6451=INDEX(DarlTilgStart,14)),$J6451*($H6451+INDEX(DarlTilgung,14))/100/12,IF(AND($G6451=0,$G6450=1),MAX($K6450,$J6451*($H6451+1)/100/12),$K6450))))</f>
      </c>
      <c r="L6451" s="43">
        <f>IF($I6451=0,0,$J6451*$H6451/100/12)</f>
      </c>
      <c r="M6451" s="43">
        <f>IF($I6451=0,0,IF(OR(INDEX(DarlOhneTilgung,14)=1,AND(INDEX(DarlTilgStart,14)&gt;0,$E6451&lt;INDEX(DarlTilgStart,14))),0,MIN(MAX(0,$K6451-$L6451),$J6451)))</f>
      </c>
      <c r="N6451" s="43">
        <f>IF($I6451=0,0,MIN(SUMIFS(SondBetrag,SondDarl,14,SondDatum,"&gt;="&amp;$E6451,SondDatum,"&lt;="&amp;EOMONTH($E6451,0)),$J6451-$M6451))</f>
      </c>
      <c r="O6451" s="43">
        <f>IF($I6451=0,0,INDEX(DarlErsatzRate,14))</f>
      </c>
      <c r="P6451" s="43">
        <f>IF($I6451=0,0,$Q6450*INDEX(DarlErsatzZins,14))</f>
      </c>
      <c r="Q6451" s="43">
        <f>IF($I6451=0,0,$Q6450+$P6451+$O6451)</f>
      </c>
      <c r="R6451" s="43">
        <f>IF($I6451=0,0,$J6451-$M6451-$N6451)</f>
      </c>
    </row>
    <row r="6452">
      <c r="A6452"/>
      <c r="B6452">
        <v>14</v>
      </c>
      <c r="C6452" s="43">
        <f>INDEX(DarlObj,14)</f>
      </c>
      <c r="D6452">
        <v>209</v>
      </c>
      <c r="E6452" s="51">
        <f>IF(INDEX(DarlBelegt,14)=0,0,EOMONTH(INDEX(DarlAuszahlung,14),208)+1)</f>
      </c>
      <c r="F6452" s="43">
        <f>IF($E6452=0,0,YEAR($E6452))</f>
      </c>
      <c r="G6452" s="43">
        <f>IF(INDEX(DarlBindung,14)="",1,IF($E6452&lt;=INDEX(DarlBindung,14),1,0))</f>
      </c>
      <c r="H6452" s="43">
        <f>IF($G6452=1,INDEX(DarlSollzins,14),INDEX(DarlAnschluss,14))</f>
      </c>
      <c r="I6452" s="43">
        <f>IF(INDEX(DarlBelegt,14)=0,0,IF(INDEX(DarlOhneTilgung,14)=1,IF(INDEX(DarlBindung,14)="",1,$G6452),IF($J6452&gt;0.005,1,0)))</f>
      </c>
      <c r="J6452" s="43">
        <f>IF($I6451=0,0,$R6451)</f>
      </c>
      <c r="K6452" s="43">
        <f>IF($I6452=0,0,IF(INDEX(DarlOhneTilgung,14)=1,0,IF(AND(INDEX(DarlTilgStart,14)&gt;0,$E6452=INDEX(DarlTilgStart,14)),$J6452*($H6452+INDEX(DarlTilgung,14))/100/12,IF(AND($G6452=0,$G6451=1),MAX($K6451,$J6452*($H6452+1)/100/12),$K6451))))</f>
      </c>
      <c r="L6452" s="43">
        <f>IF($I6452=0,0,$J6452*$H6452/100/12)</f>
      </c>
      <c r="M6452" s="43">
        <f>IF($I6452=0,0,IF(OR(INDEX(DarlOhneTilgung,14)=1,AND(INDEX(DarlTilgStart,14)&gt;0,$E6452&lt;INDEX(DarlTilgStart,14))),0,MIN(MAX(0,$K6452-$L6452),$J6452)))</f>
      </c>
      <c r="N6452" s="43">
        <f>IF($I6452=0,0,MIN(SUMIFS(SondBetrag,SondDarl,14,SondDatum,"&gt;="&amp;$E6452,SondDatum,"&lt;="&amp;EOMONTH($E6452,0)),$J6452-$M6452))</f>
      </c>
      <c r="O6452" s="43">
        <f>IF($I6452=0,0,INDEX(DarlErsatzRate,14))</f>
      </c>
      <c r="P6452" s="43">
        <f>IF($I6452=0,0,$Q6451*INDEX(DarlErsatzZins,14))</f>
      </c>
      <c r="Q6452" s="43">
        <f>IF($I6452=0,0,$Q6451+$P6452+$O6452)</f>
      </c>
      <c r="R6452" s="43">
        <f>IF($I6452=0,0,$J6452-$M6452-$N6452)</f>
      </c>
    </row>
    <row r="6453">
      <c r="A6453"/>
      <c r="B6453">
        <v>14</v>
      </c>
      <c r="C6453" s="43">
        <f>INDEX(DarlObj,14)</f>
      </c>
      <c r="D6453">
        <v>210</v>
      </c>
      <c r="E6453" s="51">
        <f>IF(INDEX(DarlBelegt,14)=0,0,EOMONTH(INDEX(DarlAuszahlung,14),209)+1)</f>
      </c>
      <c r="F6453" s="43">
        <f>IF($E6453=0,0,YEAR($E6453))</f>
      </c>
      <c r="G6453" s="43">
        <f>IF(INDEX(DarlBindung,14)="",1,IF($E6453&lt;=INDEX(DarlBindung,14),1,0))</f>
      </c>
      <c r="H6453" s="43">
        <f>IF($G6453=1,INDEX(DarlSollzins,14),INDEX(DarlAnschluss,14))</f>
      </c>
      <c r="I6453" s="43">
        <f>IF(INDEX(DarlBelegt,14)=0,0,IF(INDEX(DarlOhneTilgung,14)=1,IF(INDEX(DarlBindung,14)="",1,$G6453),IF($J6453&gt;0.005,1,0)))</f>
      </c>
      <c r="J6453" s="43">
        <f>IF($I6452=0,0,$R6452)</f>
      </c>
      <c r="K6453" s="43">
        <f>IF($I6453=0,0,IF(INDEX(DarlOhneTilgung,14)=1,0,IF(AND(INDEX(DarlTilgStart,14)&gt;0,$E6453=INDEX(DarlTilgStart,14)),$J6453*($H6453+INDEX(DarlTilgung,14))/100/12,IF(AND($G6453=0,$G6452=1),MAX($K6452,$J6453*($H6453+1)/100/12),$K6452))))</f>
      </c>
      <c r="L6453" s="43">
        <f>IF($I6453=0,0,$J6453*$H6453/100/12)</f>
      </c>
      <c r="M6453" s="43">
        <f>IF($I6453=0,0,IF(OR(INDEX(DarlOhneTilgung,14)=1,AND(INDEX(DarlTilgStart,14)&gt;0,$E6453&lt;INDEX(DarlTilgStart,14))),0,MIN(MAX(0,$K6453-$L6453),$J6453)))</f>
      </c>
      <c r="N6453" s="43">
        <f>IF($I6453=0,0,MIN(SUMIFS(SondBetrag,SondDarl,14,SondDatum,"&gt;="&amp;$E6453,SondDatum,"&lt;="&amp;EOMONTH($E6453,0)),$J6453-$M6453))</f>
      </c>
      <c r="O6453" s="43">
        <f>IF($I6453=0,0,INDEX(DarlErsatzRate,14))</f>
      </c>
      <c r="P6453" s="43">
        <f>IF($I6453=0,0,$Q6452*INDEX(DarlErsatzZins,14))</f>
      </c>
      <c r="Q6453" s="43">
        <f>IF($I6453=0,0,$Q6452+$P6453+$O6453)</f>
      </c>
      <c r="R6453" s="43">
        <f>IF($I6453=0,0,$J6453-$M6453-$N6453)</f>
      </c>
    </row>
    <row r="6454">
      <c r="A6454"/>
      <c r="B6454">
        <v>14</v>
      </c>
      <c r="C6454" s="43">
        <f>INDEX(DarlObj,14)</f>
      </c>
      <c r="D6454">
        <v>211</v>
      </c>
      <c r="E6454" s="51">
        <f>IF(INDEX(DarlBelegt,14)=0,0,EOMONTH(INDEX(DarlAuszahlung,14),210)+1)</f>
      </c>
      <c r="F6454" s="43">
        <f>IF($E6454=0,0,YEAR($E6454))</f>
      </c>
      <c r="G6454" s="43">
        <f>IF(INDEX(DarlBindung,14)="",1,IF($E6454&lt;=INDEX(DarlBindung,14),1,0))</f>
      </c>
      <c r="H6454" s="43">
        <f>IF($G6454=1,INDEX(DarlSollzins,14),INDEX(DarlAnschluss,14))</f>
      </c>
      <c r="I6454" s="43">
        <f>IF(INDEX(DarlBelegt,14)=0,0,IF(INDEX(DarlOhneTilgung,14)=1,IF(INDEX(DarlBindung,14)="",1,$G6454),IF($J6454&gt;0.005,1,0)))</f>
      </c>
      <c r="J6454" s="43">
        <f>IF($I6453=0,0,$R6453)</f>
      </c>
      <c r="K6454" s="43">
        <f>IF($I6454=0,0,IF(INDEX(DarlOhneTilgung,14)=1,0,IF(AND(INDEX(DarlTilgStart,14)&gt;0,$E6454=INDEX(DarlTilgStart,14)),$J6454*($H6454+INDEX(DarlTilgung,14))/100/12,IF(AND($G6454=0,$G6453=1),MAX($K6453,$J6454*($H6454+1)/100/12),$K6453))))</f>
      </c>
      <c r="L6454" s="43">
        <f>IF($I6454=0,0,$J6454*$H6454/100/12)</f>
      </c>
      <c r="M6454" s="43">
        <f>IF($I6454=0,0,IF(OR(INDEX(DarlOhneTilgung,14)=1,AND(INDEX(DarlTilgStart,14)&gt;0,$E6454&lt;INDEX(DarlTilgStart,14))),0,MIN(MAX(0,$K6454-$L6454),$J6454)))</f>
      </c>
      <c r="N6454" s="43">
        <f>IF($I6454=0,0,MIN(SUMIFS(SondBetrag,SondDarl,14,SondDatum,"&gt;="&amp;$E6454,SondDatum,"&lt;="&amp;EOMONTH($E6454,0)),$J6454-$M6454))</f>
      </c>
      <c r="O6454" s="43">
        <f>IF($I6454=0,0,INDEX(DarlErsatzRate,14))</f>
      </c>
      <c r="P6454" s="43">
        <f>IF($I6454=0,0,$Q6453*INDEX(DarlErsatzZins,14))</f>
      </c>
      <c r="Q6454" s="43">
        <f>IF($I6454=0,0,$Q6453+$P6454+$O6454)</f>
      </c>
      <c r="R6454" s="43">
        <f>IF($I6454=0,0,$J6454-$M6454-$N6454)</f>
      </c>
    </row>
    <row r="6455">
      <c r="A6455"/>
      <c r="B6455">
        <v>14</v>
      </c>
      <c r="C6455" s="43">
        <f>INDEX(DarlObj,14)</f>
      </c>
      <c r="D6455">
        <v>212</v>
      </c>
      <c r="E6455" s="51">
        <f>IF(INDEX(DarlBelegt,14)=0,0,EOMONTH(INDEX(DarlAuszahlung,14),211)+1)</f>
      </c>
      <c r="F6455" s="43">
        <f>IF($E6455=0,0,YEAR($E6455))</f>
      </c>
      <c r="G6455" s="43">
        <f>IF(INDEX(DarlBindung,14)="",1,IF($E6455&lt;=INDEX(DarlBindung,14),1,0))</f>
      </c>
      <c r="H6455" s="43">
        <f>IF($G6455=1,INDEX(DarlSollzins,14),INDEX(DarlAnschluss,14))</f>
      </c>
      <c r="I6455" s="43">
        <f>IF(INDEX(DarlBelegt,14)=0,0,IF(INDEX(DarlOhneTilgung,14)=1,IF(INDEX(DarlBindung,14)="",1,$G6455),IF($J6455&gt;0.005,1,0)))</f>
      </c>
      <c r="J6455" s="43">
        <f>IF($I6454=0,0,$R6454)</f>
      </c>
      <c r="K6455" s="43">
        <f>IF($I6455=0,0,IF(INDEX(DarlOhneTilgung,14)=1,0,IF(AND(INDEX(DarlTilgStart,14)&gt;0,$E6455=INDEX(DarlTilgStart,14)),$J6455*($H6455+INDEX(DarlTilgung,14))/100/12,IF(AND($G6455=0,$G6454=1),MAX($K6454,$J6455*($H6455+1)/100/12),$K6454))))</f>
      </c>
      <c r="L6455" s="43">
        <f>IF($I6455=0,0,$J6455*$H6455/100/12)</f>
      </c>
      <c r="M6455" s="43">
        <f>IF($I6455=0,0,IF(OR(INDEX(DarlOhneTilgung,14)=1,AND(INDEX(DarlTilgStart,14)&gt;0,$E6455&lt;INDEX(DarlTilgStart,14))),0,MIN(MAX(0,$K6455-$L6455),$J6455)))</f>
      </c>
      <c r="N6455" s="43">
        <f>IF($I6455=0,0,MIN(SUMIFS(SondBetrag,SondDarl,14,SondDatum,"&gt;="&amp;$E6455,SondDatum,"&lt;="&amp;EOMONTH($E6455,0)),$J6455-$M6455))</f>
      </c>
      <c r="O6455" s="43">
        <f>IF($I6455=0,0,INDEX(DarlErsatzRate,14))</f>
      </c>
      <c r="P6455" s="43">
        <f>IF($I6455=0,0,$Q6454*INDEX(DarlErsatzZins,14))</f>
      </c>
      <c r="Q6455" s="43">
        <f>IF($I6455=0,0,$Q6454+$P6455+$O6455)</f>
      </c>
      <c r="R6455" s="43">
        <f>IF($I6455=0,0,$J6455-$M6455-$N6455)</f>
      </c>
    </row>
    <row r="6456">
      <c r="A6456"/>
      <c r="B6456">
        <v>14</v>
      </c>
      <c r="C6456" s="43">
        <f>INDEX(DarlObj,14)</f>
      </c>
      <c r="D6456">
        <v>213</v>
      </c>
      <c r="E6456" s="51">
        <f>IF(INDEX(DarlBelegt,14)=0,0,EOMONTH(INDEX(DarlAuszahlung,14),212)+1)</f>
      </c>
      <c r="F6456" s="43">
        <f>IF($E6456=0,0,YEAR($E6456))</f>
      </c>
      <c r="G6456" s="43">
        <f>IF(INDEX(DarlBindung,14)="",1,IF($E6456&lt;=INDEX(DarlBindung,14),1,0))</f>
      </c>
      <c r="H6456" s="43">
        <f>IF($G6456=1,INDEX(DarlSollzins,14),INDEX(DarlAnschluss,14))</f>
      </c>
      <c r="I6456" s="43">
        <f>IF(INDEX(DarlBelegt,14)=0,0,IF(INDEX(DarlOhneTilgung,14)=1,IF(INDEX(DarlBindung,14)="",1,$G6456),IF($J6456&gt;0.005,1,0)))</f>
      </c>
      <c r="J6456" s="43">
        <f>IF($I6455=0,0,$R6455)</f>
      </c>
      <c r="K6456" s="43">
        <f>IF($I6456=0,0,IF(INDEX(DarlOhneTilgung,14)=1,0,IF(AND(INDEX(DarlTilgStart,14)&gt;0,$E6456=INDEX(DarlTilgStart,14)),$J6456*($H6456+INDEX(DarlTilgung,14))/100/12,IF(AND($G6456=0,$G6455=1),MAX($K6455,$J6456*($H6456+1)/100/12),$K6455))))</f>
      </c>
      <c r="L6456" s="43">
        <f>IF($I6456=0,0,$J6456*$H6456/100/12)</f>
      </c>
      <c r="M6456" s="43">
        <f>IF($I6456=0,0,IF(OR(INDEX(DarlOhneTilgung,14)=1,AND(INDEX(DarlTilgStart,14)&gt;0,$E6456&lt;INDEX(DarlTilgStart,14))),0,MIN(MAX(0,$K6456-$L6456),$J6456)))</f>
      </c>
      <c r="N6456" s="43">
        <f>IF($I6456=0,0,MIN(SUMIFS(SondBetrag,SondDarl,14,SondDatum,"&gt;="&amp;$E6456,SondDatum,"&lt;="&amp;EOMONTH($E6456,0)),$J6456-$M6456))</f>
      </c>
      <c r="O6456" s="43">
        <f>IF($I6456=0,0,INDEX(DarlErsatzRate,14))</f>
      </c>
      <c r="P6456" s="43">
        <f>IF($I6456=0,0,$Q6455*INDEX(DarlErsatzZins,14))</f>
      </c>
      <c r="Q6456" s="43">
        <f>IF($I6456=0,0,$Q6455+$P6456+$O6456)</f>
      </c>
      <c r="R6456" s="43">
        <f>IF($I6456=0,0,$J6456-$M6456-$N6456)</f>
      </c>
    </row>
    <row r="6457">
      <c r="A6457"/>
      <c r="B6457">
        <v>14</v>
      </c>
      <c r="C6457" s="43">
        <f>INDEX(DarlObj,14)</f>
      </c>
      <c r="D6457">
        <v>214</v>
      </c>
      <c r="E6457" s="51">
        <f>IF(INDEX(DarlBelegt,14)=0,0,EOMONTH(INDEX(DarlAuszahlung,14),213)+1)</f>
      </c>
      <c r="F6457" s="43">
        <f>IF($E6457=0,0,YEAR($E6457))</f>
      </c>
      <c r="G6457" s="43">
        <f>IF(INDEX(DarlBindung,14)="",1,IF($E6457&lt;=INDEX(DarlBindung,14),1,0))</f>
      </c>
      <c r="H6457" s="43">
        <f>IF($G6457=1,INDEX(DarlSollzins,14),INDEX(DarlAnschluss,14))</f>
      </c>
      <c r="I6457" s="43">
        <f>IF(INDEX(DarlBelegt,14)=0,0,IF(INDEX(DarlOhneTilgung,14)=1,IF(INDEX(DarlBindung,14)="",1,$G6457),IF($J6457&gt;0.005,1,0)))</f>
      </c>
      <c r="J6457" s="43">
        <f>IF($I6456=0,0,$R6456)</f>
      </c>
      <c r="K6457" s="43">
        <f>IF($I6457=0,0,IF(INDEX(DarlOhneTilgung,14)=1,0,IF(AND(INDEX(DarlTilgStart,14)&gt;0,$E6457=INDEX(DarlTilgStart,14)),$J6457*($H6457+INDEX(DarlTilgung,14))/100/12,IF(AND($G6457=0,$G6456=1),MAX($K6456,$J6457*($H6457+1)/100/12),$K6456))))</f>
      </c>
      <c r="L6457" s="43">
        <f>IF($I6457=0,0,$J6457*$H6457/100/12)</f>
      </c>
      <c r="M6457" s="43">
        <f>IF($I6457=0,0,IF(OR(INDEX(DarlOhneTilgung,14)=1,AND(INDEX(DarlTilgStart,14)&gt;0,$E6457&lt;INDEX(DarlTilgStart,14))),0,MIN(MAX(0,$K6457-$L6457),$J6457)))</f>
      </c>
      <c r="N6457" s="43">
        <f>IF($I6457=0,0,MIN(SUMIFS(SondBetrag,SondDarl,14,SondDatum,"&gt;="&amp;$E6457,SondDatum,"&lt;="&amp;EOMONTH($E6457,0)),$J6457-$M6457))</f>
      </c>
      <c r="O6457" s="43">
        <f>IF($I6457=0,0,INDEX(DarlErsatzRate,14))</f>
      </c>
      <c r="P6457" s="43">
        <f>IF($I6457=0,0,$Q6456*INDEX(DarlErsatzZins,14))</f>
      </c>
      <c r="Q6457" s="43">
        <f>IF($I6457=0,0,$Q6456+$P6457+$O6457)</f>
      </c>
      <c r="R6457" s="43">
        <f>IF($I6457=0,0,$J6457-$M6457-$N6457)</f>
      </c>
    </row>
    <row r="6458">
      <c r="A6458"/>
      <c r="B6458">
        <v>14</v>
      </c>
      <c r="C6458" s="43">
        <f>INDEX(DarlObj,14)</f>
      </c>
      <c r="D6458">
        <v>215</v>
      </c>
      <c r="E6458" s="51">
        <f>IF(INDEX(DarlBelegt,14)=0,0,EOMONTH(INDEX(DarlAuszahlung,14),214)+1)</f>
      </c>
      <c r="F6458" s="43">
        <f>IF($E6458=0,0,YEAR($E6458))</f>
      </c>
      <c r="G6458" s="43">
        <f>IF(INDEX(DarlBindung,14)="",1,IF($E6458&lt;=INDEX(DarlBindung,14),1,0))</f>
      </c>
      <c r="H6458" s="43">
        <f>IF($G6458=1,INDEX(DarlSollzins,14),INDEX(DarlAnschluss,14))</f>
      </c>
      <c r="I6458" s="43">
        <f>IF(INDEX(DarlBelegt,14)=0,0,IF(INDEX(DarlOhneTilgung,14)=1,IF(INDEX(DarlBindung,14)="",1,$G6458),IF($J6458&gt;0.005,1,0)))</f>
      </c>
      <c r="J6458" s="43">
        <f>IF($I6457=0,0,$R6457)</f>
      </c>
      <c r="K6458" s="43">
        <f>IF($I6458=0,0,IF(INDEX(DarlOhneTilgung,14)=1,0,IF(AND(INDEX(DarlTilgStart,14)&gt;0,$E6458=INDEX(DarlTilgStart,14)),$J6458*($H6458+INDEX(DarlTilgung,14))/100/12,IF(AND($G6458=0,$G6457=1),MAX($K6457,$J6458*($H6458+1)/100/12),$K6457))))</f>
      </c>
      <c r="L6458" s="43">
        <f>IF($I6458=0,0,$J6458*$H6458/100/12)</f>
      </c>
      <c r="M6458" s="43">
        <f>IF($I6458=0,0,IF(OR(INDEX(DarlOhneTilgung,14)=1,AND(INDEX(DarlTilgStart,14)&gt;0,$E6458&lt;INDEX(DarlTilgStart,14))),0,MIN(MAX(0,$K6458-$L6458),$J6458)))</f>
      </c>
      <c r="N6458" s="43">
        <f>IF($I6458=0,0,MIN(SUMIFS(SondBetrag,SondDarl,14,SondDatum,"&gt;="&amp;$E6458,SondDatum,"&lt;="&amp;EOMONTH($E6458,0)),$J6458-$M6458))</f>
      </c>
      <c r="O6458" s="43">
        <f>IF($I6458=0,0,INDEX(DarlErsatzRate,14))</f>
      </c>
      <c r="P6458" s="43">
        <f>IF($I6458=0,0,$Q6457*INDEX(DarlErsatzZins,14))</f>
      </c>
      <c r="Q6458" s="43">
        <f>IF($I6458=0,0,$Q6457+$P6458+$O6458)</f>
      </c>
      <c r="R6458" s="43">
        <f>IF($I6458=0,0,$J6458-$M6458-$N6458)</f>
      </c>
    </row>
    <row r="6459">
      <c r="A6459"/>
      <c r="B6459">
        <v>14</v>
      </c>
      <c r="C6459" s="43">
        <f>INDEX(DarlObj,14)</f>
      </c>
      <c r="D6459">
        <v>216</v>
      </c>
      <c r="E6459" s="51">
        <f>IF(INDEX(DarlBelegt,14)=0,0,EOMONTH(INDEX(DarlAuszahlung,14),215)+1)</f>
      </c>
      <c r="F6459" s="43">
        <f>IF($E6459=0,0,YEAR($E6459))</f>
      </c>
      <c r="G6459" s="43">
        <f>IF(INDEX(DarlBindung,14)="",1,IF($E6459&lt;=INDEX(DarlBindung,14),1,0))</f>
      </c>
      <c r="H6459" s="43">
        <f>IF($G6459=1,INDEX(DarlSollzins,14),INDEX(DarlAnschluss,14))</f>
      </c>
      <c r="I6459" s="43">
        <f>IF(INDEX(DarlBelegt,14)=0,0,IF(INDEX(DarlOhneTilgung,14)=1,IF(INDEX(DarlBindung,14)="",1,$G6459),IF($J6459&gt;0.005,1,0)))</f>
      </c>
      <c r="J6459" s="43">
        <f>IF($I6458=0,0,$R6458)</f>
      </c>
      <c r="K6459" s="43">
        <f>IF($I6459=0,0,IF(INDEX(DarlOhneTilgung,14)=1,0,IF(AND(INDEX(DarlTilgStart,14)&gt;0,$E6459=INDEX(DarlTilgStart,14)),$J6459*($H6459+INDEX(DarlTilgung,14))/100/12,IF(AND($G6459=0,$G6458=1),MAX($K6458,$J6459*($H6459+1)/100/12),$K6458))))</f>
      </c>
      <c r="L6459" s="43">
        <f>IF($I6459=0,0,$J6459*$H6459/100/12)</f>
      </c>
      <c r="M6459" s="43">
        <f>IF($I6459=0,0,IF(OR(INDEX(DarlOhneTilgung,14)=1,AND(INDEX(DarlTilgStart,14)&gt;0,$E6459&lt;INDEX(DarlTilgStart,14))),0,MIN(MAX(0,$K6459-$L6459),$J6459)))</f>
      </c>
      <c r="N6459" s="43">
        <f>IF($I6459=0,0,MIN(SUMIFS(SondBetrag,SondDarl,14,SondDatum,"&gt;="&amp;$E6459,SondDatum,"&lt;="&amp;EOMONTH($E6459,0)),$J6459-$M6459))</f>
      </c>
      <c r="O6459" s="43">
        <f>IF($I6459=0,0,INDEX(DarlErsatzRate,14))</f>
      </c>
      <c r="P6459" s="43">
        <f>IF($I6459=0,0,$Q6458*INDEX(DarlErsatzZins,14))</f>
      </c>
      <c r="Q6459" s="43">
        <f>IF($I6459=0,0,$Q6458+$P6459+$O6459)</f>
      </c>
      <c r="R6459" s="43">
        <f>IF($I6459=0,0,$J6459-$M6459-$N6459)</f>
      </c>
    </row>
    <row r="6460">
      <c r="A6460"/>
      <c r="B6460">
        <v>14</v>
      </c>
      <c r="C6460" s="43">
        <f>INDEX(DarlObj,14)</f>
      </c>
      <c r="D6460">
        <v>217</v>
      </c>
      <c r="E6460" s="51">
        <f>IF(INDEX(DarlBelegt,14)=0,0,EOMONTH(INDEX(DarlAuszahlung,14),216)+1)</f>
      </c>
      <c r="F6460" s="43">
        <f>IF($E6460=0,0,YEAR($E6460))</f>
      </c>
      <c r="G6460" s="43">
        <f>IF(INDEX(DarlBindung,14)="",1,IF($E6460&lt;=INDEX(DarlBindung,14),1,0))</f>
      </c>
      <c r="H6460" s="43">
        <f>IF($G6460=1,INDEX(DarlSollzins,14),INDEX(DarlAnschluss,14))</f>
      </c>
      <c r="I6460" s="43">
        <f>IF(INDEX(DarlBelegt,14)=0,0,IF(INDEX(DarlOhneTilgung,14)=1,IF(INDEX(DarlBindung,14)="",1,$G6460),IF($J6460&gt;0.005,1,0)))</f>
      </c>
      <c r="J6460" s="43">
        <f>IF($I6459=0,0,$R6459)</f>
      </c>
      <c r="K6460" s="43">
        <f>IF($I6460=0,0,IF(INDEX(DarlOhneTilgung,14)=1,0,IF(AND(INDEX(DarlTilgStart,14)&gt;0,$E6460=INDEX(DarlTilgStart,14)),$J6460*($H6460+INDEX(DarlTilgung,14))/100/12,IF(AND($G6460=0,$G6459=1),MAX($K6459,$J6460*($H6460+1)/100/12),$K6459))))</f>
      </c>
      <c r="L6460" s="43">
        <f>IF($I6460=0,0,$J6460*$H6460/100/12)</f>
      </c>
      <c r="M6460" s="43">
        <f>IF($I6460=0,0,IF(OR(INDEX(DarlOhneTilgung,14)=1,AND(INDEX(DarlTilgStart,14)&gt;0,$E6460&lt;INDEX(DarlTilgStart,14))),0,MIN(MAX(0,$K6460-$L6460),$J6460)))</f>
      </c>
      <c r="N6460" s="43">
        <f>IF($I6460=0,0,MIN(SUMIFS(SondBetrag,SondDarl,14,SondDatum,"&gt;="&amp;$E6460,SondDatum,"&lt;="&amp;EOMONTH($E6460,0)),$J6460-$M6460))</f>
      </c>
      <c r="O6460" s="43">
        <f>IF($I6460=0,0,INDEX(DarlErsatzRate,14))</f>
      </c>
      <c r="P6460" s="43">
        <f>IF($I6460=0,0,$Q6459*INDEX(DarlErsatzZins,14))</f>
      </c>
      <c r="Q6460" s="43">
        <f>IF($I6460=0,0,$Q6459+$P6460+$O6460)</f>
      </c>
      <c r="R6460" s="43">
        <f>IF($I6460=0,0,$J6460-$M6460-$N6460)</f>
      </c>
    </row>
    <row r="6461">
      <c r="A6461"/>
      <c r="B6461">
        <v>14</v>
      </c>
      <c r="C6461" s="43">
        <f>INDEX(DarlObj,14)</f>
      </c>
      <c r="D6461">
        <v>218</v>
      </c>
      <c r="E6461" s="51">
        <f>IF(INDEX(DarlBelegt,14)=0,0,EOMONTH(INDEX(DarlAuszahlung,14),217)+1)</f>
      </c>
      <c r="F6461" s="43">
        <f>IF($E6461=0,0,YEAR($E6461))</f>
      </c>
      <c r="G6461" s="43">
        <f>IF(INDEX(DarlBindung,14)="",1,IF($E6461&lt;=INDEX(DarlBindung,14),1,0))</f>
      </c>
      <c r="H6461" s="43">
        <f>IF($G6461=1,INDEX(DarlSollzins,14),INDEX(DarlAnschluss,14))</f>
      </c>
      <c r="I6461" s="43">
        <f>IF(INDEX(DarlBelegt,14)=0,0,IF(INDEX(DarlOhneTilgung,14)=1,IF(INDEX(DarlBindung,14)="",1,$G6461),IF($J6461&gt;0.005,1,0)))</f>
      </c>
      <c r="J6461" s="43">
        <f>IF($I6460=0,0,$R6460)</f>
      </c>
      <c r="K6461" s="43">
        <f>IF($I6461=0,0,IF(INDEX(DarlOhneTilgung,14)=1,0,IF(AND(INDEX(DarlTilgStart,14)&gt;0,$E6461=INDEX(DarlTilgStart,14)),$J6461*($H6461+INDEX(DarlTilgung,14))/100/12,IF(AND($G6461=0,$G6460=1),MAX($K6460,$J6461*($H6461+1)/100/12),$K6460))))</f>
      </c>
      <c r="L6461" s="43">
        <f>IF($I6461=0,0,$J6461*$H6461/100/12)</f>
      </c>
      <c r="M6461" s="43">
        <f>IF($I6461=0,0,IF(OR(INDEX(DarlOhneTilgung,14)=1,AND(INDEX(DarlTilgStart,14)&gt;0,$E6461&lt;INDEX(DarlTilgStart,14))),0,MIN(MAX(0,$K6461-$L6461),$J6461)))</f>
      </c>
      <c r="N6461" s="43">
        <f>IF($I6461=0,0,MIN(SUMIFS(SondBetrag,SondDarl,14,SondDatum,"&gt;="&amp;$E6461,SondDatum,"&lt;="&amp;EOMONTH($E6461,0)),$J6461-$M6461))</f>
      </c>
      <c r="O6461" s="43">
        <f>IF($I6461=0,0,INDEX(DarlErsatzRate,14))</f>
      </c>
      <c r="P6461" s="43">
        <f>IF($I6461=0,0,$Q6460*INDEX(DarlErsatzZins,14))</f>
      </c>
      <c r="Q6461" s="43">
        <f>IF($I6461=0,0,$Q6460+$P6461+$O6461)</f>
      </c>
      <c r="R6461" s="43">
        <f>IF($I6461=0,0,$J6461-$M6461-$N6461)</f>
      </c>
    </row>
    <row r="6462">
      <c r="A6462"/>
      <c r="B6462">
        <v>14</v>
      </c>
      <c r="C6462" s="43">
        <f>INDEX(DarlObj,14)</f>
      </c>
      <c r="D6462">
        <v>219</v>
      </c>
      <c r="E6462" s="51">
        <f>IF(INDEX(DarlBelegt,14)=0,0,EOMONTH(INDEX(DarlAuszahlung,14),218)+1)</f>
      </c>
      <c r="F6462" s="43">
        <f>IF($E6462=0,0,YEAR($E6462))</f>
      </c>
      <c r="G6462" s="43">
        <f>IF(INDEX(DarlBindung,14)="",1,IF($E6462&lt;=INDEX(DarlBindung,14),1,0))</f>
      </c>
      <c r="H6462" s="43">
        <f>IF($G6462=1,INDEX(DarlSollzins,14),INDEX(DarlAnschluss,14))</f>
      </c>
      <c r="I6462" s="43">
        <f>IF(INDEX(DarlBelegt,14)=0,0,IF(INDEX(DarlOhneTilgung,14)=1,IF(INDEX(DarlBindung,14)="",1,$G6462),IF($J6462&gt;0.005,1,0)))</f>
      </c>
      <c r="J6462" s="43">
        <f>IF($I6461=0,0,$R6461)</f>
      </c>
      <c r="K6462" s="43">
        <f>IF($I6462=0,0,IF(INDEX(DarlOhneTilgung,14)=1,0,IF(AND(INDEX(DarlTilgStart,14)&gt;0,$E6462=INDEX(DarlTilgStart,14)),$J6462*($H6462+INDEX(DarlTilgung,14))/100/12,IF(AND($G6462=0,$G6461=1),MAX($K6461,$J6462*($H6462+1)/100/12),$K6461))))</f>
      </c>
      <c r="L6462" s="43">
        <f>IF($I6462=0,0,$J6462*$H6462/100/12)</f>
      </c>
      <c r="M6462" s="43">
        <f>IF($I6462=0,0,IF(OR(INDEX(DarlOhneTilgung,14)=1,AND(INDEX(DarlTilgStart,14)&gt;0,$E6462&lt;INDEX(DarlTilgStart,14))),0,MIN(MAX(0,$K6462-$L6462),$J6462)))</f>
      </c>
      <c r="N6462" s="43">
        <f>IF($I6462=0,0,MIN(SUMIFS(SondBetrag,SondDarl,14,SondDatum,"&gt;="&amp;$E6462,SondDatum,"&lt;="&amp;EOMONTH($E6462,0)),$J6462-$M6462))</f>
      </c>
      <c r="O6462" s="43">
        <f>IF($I6462=0,0,INDEX(DarlErsatzRate,14))</f>
      </c>
      <c r="P6462" s="43">
        <f>IF($I6462=0,0,$Q6461*INDEX(DarlErsatzZins,14))</f>
      </c>
      <c r="Q6462" s="43">
        <f>IF($I6462=0,0,$Q6461+$P6462+$O6462)</f>
      </c>
      <c r="R6462" s="43">
        <f>IF($I6462=0,0,$J6462-$M6462-$N6462)</f>
      </c>
    </row>
    <row r="6463">
      <c r="A6463"/>
      <c r="B6463">
        <v>14</v>
      </c>
      <c r="C6463" s="43">
        <f>INDEX(DarlObj,14)</f>
      </c>
      <c r="D6463">
        <v>220</v>
      </c>
      <c r="E6463" s="51">
        <f>IF(INDEX(DarlBelegt,14)=0,0,EOMONTH(INDEX(DarlAuszahlung,14),219)+1)</f>
      </c>
      <c r="F6463" s="43">
        <f>IF($E6463=0,0,YEAR($E6463))</f>
      </c>
      <c r="G6463" s="43">
        <f>IF(INDEX(DarlBindung,14)="",1,IF($E6463&lt;=INDEX(DarlBindung,14),1,0))</f>
      </c>
      <c r="H6463" s="43">
        <f>IF($G6463=1,INDEX(DarlSollzins,14),INDEX(DarlAnschluss,14))</f>
      </c>
      <c r="I6463" s="43">
        <f>IF(INDEX(DarlBelegt,14)=0,0,IF(INDEX(DarlOhneTilgung,14)=1,IF(INDEX(DarlBindung,14)="",1,$G6463),IF($J6463&gt;0.005,1,0)))</f>
      </c>
      <c r="J6463" s="43">
        <f>IF($I6462=0,0,$R6462)</f>
      </c>
      <c r="K6463" s="43">
        <f>IF($I6463=0,0,IF(INDEX(DarlOhneTilgung,14)=1,0,IF(AND(INDEX(DarlTilgStart,14)&gt;0,$E6463=INDEX(DarlTilgStart,14)),$J6463*($H6463+INDEX(DarlTilgung,14))/100/12,IF(AND($G6463=0,$G6462=1),MAX($K6462,$J6463*($H6463+1)/100/12),$K6462))))</f>
      </c>
      <c r="L6463" s="43">
        <f>IF($I6463=0,0,$J6463*$H6463/100/12)</f>
      </c>
      <c r="M6463" s="43">
        <f>IF($I6463=0,0,IF(OR(INDEX(DarlOhneTilgung,14)=1,AND(INDEX(DarlTilgStart,14)&gt;0,$E6463&lt;INDEX(DarlTilgStart,14))),0,MIN(MAX(0,$K6463-$L6463),$J6463)))</f>
      </c>
      <c r="N6463" s="43">
        <f>IF($I6463=0,0,MIN(SUMIFS(SondBetrag,SondDarl,14,SondDatum,"&gt;="&amp;$E6463,SondDatum,"&lt;="&amp;EOMONTH($E6463,0)),$J6463-$M6463))</f>
      </c>
      <c r="O6463" s="43">
        <f>IF($I6463=0,0,INDEX(DarlErsatzRate,14))</f>
      </c>
      <c r="P6463" s="43">
        <f>IF($I6463=0,0,$Q6462*INDEX(DarlErsatzZins,14))</f>
      </c>
      <c r="Q6463" s="43">
        <f>IF($I6463=0,0,$Q6462+$P6463+$O6463)</f>
      </c>
      <c r="R6463" s="43">
        <f>IF($I6463=0,0,$J6463-$M6463-$N6463)</f>
      </c>
    </row>
    <row r="6464">
      <c r="A6464"/>
      <c r="B6464">
        <v>14</v>
      </c>
      <c r="C6464" s="43">
        <f>INDEX(DarlObj,14)</f>
      </c>
      <c r="D6464">
        <v>221</v>
      </c>
      <c r="E6464" s="51">
        <f>IF(INDEX(DarlBelegt,14)=0,0,EOMONTH(INDEX(DarlAuszahlung,14),220)+1)</f>
      </c>
      <c r="F6464" s="43">
        <f>IF($E6464=0,0,YEAR($E6464))</f>
      </c>
      <c r="G6464" s="43">
        <f>IF(INDEX(DarlBindung,14)="",1,IF($E6464&lt;=INDEX(DarlBindung,14),1,0))</f>
      </c>
      <c r="H6464" s="43">
        <f>IF($G6464=1,INDEX(DarlSollzins,14),INDEX(DarlAnschluss,14))</f>
      </c>
      <c r="I6464" s="43">
        <f>IF(INDEX(DarlBelegt,14)=0,0,IF(INDEX(DarlOhneTilgung,14)=1,IF(INDEX(DarlBindung,14)="",1,$G6464),IF($J6464&gt;0.005,1,0)))</f>
      </c>
      <c r="J6464" s="43">
        <f>IF($I6463=0,0,$R6463)</f>
      </c>
      <c r="K6464" s="43">
        <f>IF($I6464=0,0,IF(INDEX(DarlOhneTilgung,14)=1,0,IF(AND(INDEX(DarlTilgStart,14)&gt;0,$E6464=INDEX(DarlTilgStart,14)),$J6464*($H6464+INDEX(DarlTilgung,14))/100/12,IF(AND($G6464=0,$G6463=1),MAX($K6463,$J6464*($H6464+1)/100/12),$K6463))))</f>
      </c>
      <c r="L6464" s="43">
        <f>IF($I6464=0,0,$J6464*$H6464/100/12)</f>
      </c>
      <c r="M6464" s="43">
        <f>IF($I6464=0,0,IF(OR(INDEX(DarlOhneTilgung,14)=1,AND(INDEX(DarlTilgStart,14)&gt;0,$E6464&lt;INDEX(DarlTilgStart,14))),0,MIN(MAX(0,$K6464-$L6464),$J6464)))</f>
      </c>
      <c r="N6464" s="43">
        <f>IF($I6464=0,0,MIN(SUMIFS(SondBetrag,SondDarl,14,SondDatum,"&gt;="&amp;$E6464,SondDatum,"&lt;="&amp;EOMONTH($E6464,0)),$J6464-$M6464))</f>
      </c>
      <c r="O6464" s="43">
        <f>IF($I6464=0,0,INDEX(DarlErsatzRate,14))</f>
      </c>
      <c r="P6464" s="43">
        <f>IF($I6464=0,0,$Q6463*INDEX(DarlErsatzZins,14))</f>
      </c>
      <c r="Q6464" s="43">
        <f>IF($I6464=0,0,$Q6463+$P6464+$O6464)</f>
      </c>
      <c r="R6464" s="43">
        <f>IF($I6464=0,0,$J6464-$M6464-$N6464)</f>
      </c>
    </row>
    <row r="6465">
      <c r="A6465"/>
      <c r="B6465">
        <v>14</v>
      </c>
      <c r="C6465" s="43">
        <f>INDEX(DarlObj,14)</f>
      </c>
      <c r="D6465">
        <v>222</v>
      </c>
      <c r="E6465" s="51">
        <f>IF(INDEX(DarlBelegt,14)=0,0,EOMONTH(INDEX(DarlAuszahlung,14),221)+1)</f>
      </c>
      <c r="F6465" s="43">
        <f>IF($E6465=0,0,YEAR($E6465))</f>
      </c>
      <c r="G6465" s="43">
        <f>IF(INDEX(DarlBindung,14)="",1,IF($E6465&lt;=INDEX(DarlBindung,14),1,0))</f>
      </c>
      <c r="H6465" s="43">
        <f>IF($G6465=1,INDEX(DarlSollzins,14),INDEX(DarlAnschluss,14))</f>
      </c>
      <c r="I6465" s="43">
        <f>IF(INDEX(DarlBelegt,14)=0,0,IF(INDEX(DarlOhneTilgung,14)=1,IF(INDEX(DarlBindung,14)="",1,$G6465),IF($J6465&gt;0.005,1,0)))</f>
      </c>
      <c r="J6465" s="43">
        <f>IF($I6464=0,0,$R6464)</f>
      </c>
      <c r="K6465" s="43">
        <f>IF($I6465=0,0,IF(INDEX(DarlOhneTilgung,14)=1,0,IF(AND(INDEX(DarlTilgStart,14)&gt;0,$E6465=INDEX(DarlTilgStart,14)),$J6465*($H6465+INDEX(DarlTilgung,14))/100/12,IF(AND($G6465=0,$G6464=1),MAX($K6464,$J6465*($H6465+1)/100/12),$K6464))))</f>
      </c>
      <c r="L6465" s="43">
        <f>IF($I6465=0,0,$J6465*$H6465/100/12)</f>
      </c>
      <c r="M6465" s="43">
        <f>IF($I6465=0,0,IF(OR(INDEX(DarlOhneTilgung,14)=1,AND(INDEX(DarlTilgStart,14)&gt;0,$E6465&lt;INDEX(DarlTilgStart,14))),0,MIN(MAX(0,$K6465-$L6465),$J6465)))</f>
      </c>
      <c r="N6465" s="43">
        <f>IF($I6465=0,0,MIN(SUMIFS(SondBetrag,SondDarl,14,SondDatum,"&gt;="&amp;$E6465,SondDatum,"&lt;="&amp;EOMONTH($E6465,0)),$J6465-$M6465))</f>
      </c>
      <c r="O6465" s="43">
        <f>IF($I6465=0,0,INDEX(DarlErsatzRate,14))</f>
      </c>
      <c r="P6465" s="43">
        <f>IF($I6465=0,0,$Q6464*INDEX(DarlErsatzZins,14))</f>
      </c>
      <c r="Q6465" s="43">
        <f>IF($I6465=0,0,$Q6464+$P6465+$O6465)</f>
      </c>
      <c r="R6465" s="43">
        <f>IF($I6465=0,0,$J6465-$M6465-$N6465)</f>
      </c>
    </row>
    <row r="6466">
      <c r="A6466"/>
      <c r="B6466">
        <v>14</v>
      </c>
      <c r="C6466" s="43">
        <f>INDEX(DarlObj,14)</f>
      </c>
      <c r="D6466">
        <v>223</v>
      </c>
      <c r="E6466" s="51">
        <f>IF(INDEX(DarlBelegt,14)=0,0,EOMONTH(INDEX(DarlAuszahlung,14),222)+1)</f>
      </c>
      <c r="F6466" s="43">
        <f>IF($E6466=0,0,YEAR($E6466))</f>
      </c>
      <c r="G6466" s="43">
        <f>IF(INDEX(DarlBindung,14)="",1,IF($E6466&lt;=INDEX(DarlBindung,14),1,0))</f>
      </c>
      <c r="H6466" s="43">
        <f>IF($G6466=1,INDEX(DarlSollzins,14),INDEX(DarlAnschluss,14))</f>
      </c>
      <c r="I6466" s="43">
        <f>IF(INDEX(DarlBelegt,14)=0,0,IF(INDEX(DarlOhneTilgung,14)=1,IF(INDEX(DarlBindung,14)="",1,$G6466),IF($J6466&gt;0.005,1,0)))</f>
      </c>
      <c r="J6466" s="43">
        <f>IF($I6465=0,0,$R6465)</f>
      </c>
      <c r="K6466" s="43">
        <f>IF($I6466=0,0,IF(INDEX(DarlOhneTilgung,14)=1,0,IF(AND(INDEX(DarlTilgStart,14)&gt;0,$E6466=INDEX(DarlTilgStart,14)),$J6466*($H6466+INDEX(DarlTilgung,14))/100/12,IF(AND($G6466=0,$G6465=1),MAX($K6465,$J6466*($H6466+1)/100/12),$K6465))))</f>
      </c>
      <c r="L6466" s="43">
        <f>IF($I6466=0,0,$J6466*$H6466/100/12)</f>
      </c>
      <c r="M6466" s="43">
        <f>IF($I6466=0,0,IF(OR(INDEX(DarlOhneTilgung,14)=1,AND(INDEX(DarlTilgStart,14)&gt;0,$E6466&lt;INDEX(DarlTilgStart,14))),0,MIN(MAX(0,$K6466-$L6466),$J6466)))</f>
      </c>
      <c r="N6466" s="43">
        <f>IF($I6466=0,0,MIN(SUMIFS(SondBetrag,SondDarl,14,SondDatum,"&gt;="&amp;$E6466,SondDatum,"&lt;="&amp;EOMONTH($E6466,0)),$J6466-$M6466))</f>
      </c>
      <c r="O6466" s="43">
        <f>IF($I6466=0,0,INDEX(DarlErsatzRate,14))</f>
      </c>
      <c r="P6466" s="43">
        <f>IF($I6466=0,0,$Q6465*INDEX(DarlErsatzZins,14))</f>
      </c>
      <c r="Q6466" s="43">
        <f>IF($I6466=0,0,$Q6465+$P6466+$O6466)</f>
      </c>
      <c r="R6466" s="43">
        <f>IF($I6466=0,0,$J6466-$M6466-$N6466)</f>
      </c>
    </row>
    <row r="6467">
      <c r="A6467"/>
      <c r="B6467">
        <v>14</v>
      </c>
      <c r="C6467" s="43">
        <f>INDEX(DarlObj,14)</f>
      </c>
      <c r="D6467">
        <v>224</v>
      </c>
      <c r="E6467" s="51">
        <f>IF(INDEX(DarlBelegt,14)=0,0,EOMONTH(INDEX(DarlAuszahlung,14),223)+1)</f>
      </c>
      <c r="F6467" s="43">
        <f>IF($E6467=0,0,YEAR($E6467))</f>
      </c>
      <c r="G6467" s="43">
        <f>IF(INDEX(DarlBindung,14)="",1,IF($E6467&lt;=INDEX(DarlBindung,14),1,0))</f>
      </c>
      <c r="H6467" s="43">
        <f>IF($G6467=1,INDEX(DarlSollzins,14),INDEX(DarlAnschluss,14))</f>
      </c>
      <c r="I6467" s="43">
        <f>IF(INDEX(DarlBelegt,14)=0,0,IF(INDEX(DarlOhneTilgung,14)=1,IF(INDEX(DarlBindung,14)="",1,$G6467),IF($J6467&gt;0.005,1,0)))</f>
      </c>
      <c r="J6467" s="43">
        <f>IF($I6466=0,0,$R6466)</f>
      </c>
      <c r="K6467" s="43">
        <f>IF($I6467=0,0,IF(INDEX(DarlOhneTilgung,14)=1,0,IF(AND(INDEX(DarlTilgStart,14)&gt;0,$E6467=INDEX(DarlTilgStart,14)),$J6467*($H6467+INDEX(DarlTilgung,14))/100/12,IF(AND($G6467=0,$G6466=1),MAX($K6466,$J6467*($H6467+1)/100/12),$K6466))))</f>
      </c>
      <c r="L6467" s="43">
        <f>IF($I6467=0,0,$J6467*$H6467/100/12)</f>
      </c>
      <c r="M6467" s="43">
        <f>IF($I6467=0,0,IF(OR(INDEX(DarlOhneTilgung,14)=1,AND(INDEX(DarlTilgStart,14)&gt;0,$E6467&lt;INDEX(DarlTilgStart,14))),0,MIN(MAX(0,$K6467-$L6467),$J6467)))</f>
      </c>
      <c r="N6467" s="43">
        <f>IF($I6467=0,0,MIN(SUMIFS(SondBetrag,SondDarl,14,SondDatum,"&gt;="&amp;$E6467,SondDatum,"&lt;="&amp;EOMONTH($E6467,0)),$J6467-$M6467))</f>
      </c>
      <c r="O6467" s="43">
        <f>IF($I6467=0,0,INDEX(DarlErsatzRate,14))</f>
      </c>
      <c r="P6467" s="43">
        <f>IF($I6467=0,0,$Q6466*INDEX(DarlErsatzZins,14))</f>
      </c>
      <c r="Q6467" s="43">
        <f>IF($I6467=0,0,$Q6466+$P6467+$O6467)</f>
      </c>
      <c r="R6467" s="43">
        <f>IF($I6467=0,0,$J6467-$M6467-$N6467)</f>
      </c>
    </row>
    <row r="6468">
      <c r="A6468"/>
      <c r="B6468">
        <v>14</v>
      </c>
      <c r="C6468" s="43">
        <f>INDEX(DarlObj,14)</f>
      </c>
      <c r="D6468">
        <v>225</v>
      </c>
      <c r="E6468" s="51">
        <f>IF(INDEX(DarlBelegt,14)=0,0,EOMONTH(INDEX(DarlAuszahlung,14),224)+1)</f>
      </c>
      <c r="F6468" s="43">
        <f>IF($E6468=0,0,YEAR($E6468))</f>
      </c>
      <c r="G6468" s="43">
        <f>IF(INDEX(DarlBindung,14)="",1,IF($E6468&lt;=INDEX(DarlBindung,14),1,0))</f>
      </c>
      <c r="H6468" s="43">
        <f>IF($G6468=1,INDEX(DarlSollzins,14),INDEX(DarlAnschluss,14))</f>
      </c>
      <c r="I6468" s="43">
        <f>IF(INDEX(DarlBelegt,14)=0,0,IF(INDEX(DarlOhneTilgung,14)=1,IF(INDEX(DarlBindung,14)="",1,$G6468),IF($J6468&gt;0.005,1,0)))</f>
      </c>
      <c r="J6468" s="43">
        <f>IF($I6467=0,0,$R6467)</f>
      </c>
      <c r="K6468" s="43">
        <f>IF($I6468=0,0,IF(INDEX(DarlOhneTilgung,14)=1,0,IF(AND(INDEX(DarlTilgStart,14)&gt;0,$E6468=INDEX(DarlTilgStart,14)),$J6468*($H6468+INDEX(DarlTilgung,14))/100/12,IF(AND($G6468=0,$G6467=1),MAX($K6467,$J6468*($H6468+1)/100/12),$K6467))))</f>
      </c>
      <c r="L6468" s="43">
        <f>IF($I6468=0,0,$J6468*$H6468/100/12)</f>
      </c>
      <c r="M6468" s="43">
        <f>IF($I6468=0,0,IF(OR(INDEX(DarlOhneTilgung,14)=1,AND(INDEX(DarlTilgStart,14)&gt;0,$E6468&lt;INDEX(DarlTilgStart,14))),0,MIN(MAX(0,$K6468-$L6468),$J6468)))</f>
      </c>
      <c r="N6468" s="43">
        <f>IF($I6468=0,0,MIN(SUMIFS(SondBetrag,SondDarl,14,SondDatum,"&gt;="&amp;$E6468,SondDatum,"&lt;="&amp;EOMONTH($E6468,0)),$J6468-$M6468))</f>
      </c>
      <c r="O6468" s="43">
        <f>IF($I6468=0,0,INDEX(DarlErsatzRate,14))</f>
      </c>
      <c r="P6468" s="43">
        <f>IF($I6468=0,0,$Q6467*INDEX(DarlErsatzZins,14))</f>
      </c>
      <c r="Q6468" s="43">
        <f>IF($I6468=0,0,$Q6467+$P6468+$O6468)</f>
      </c>
      <c r="R6468" s="43">
        <f>IF($I6468=0,0,$J6468-$M6468-$N6468)</f>
      </c>
    </row>
    <row r="6469">
      <c r="A6469"/>
      <c r="B6469">
        <v>14</v>
      </c>
      <c r="C6469" s="43">
        <f>INDEX(DarlObj,14)</f>
      </c>
      <c r="D6469">
        <v>226</v>
      </c>
      <c r="E6469" s="51">
        <f>IF(INDEX(DarlBelegt,14)=0,0,EOMONTH(INDEX(DarlAuszahlung,14),225)+1)</f>
      </c>
      <c r="F6469" s="43">
        <f>IF($E6469=0,0,YEAR($E6469))</f>
      </c>
      <c r="G6469" s="43">
        <f>IF(INDEX(DarlBindung,14)="",1,IF($E6469&lt;=INDEX(DarlBindung,14),1,0))</f>
      </c>
      <c r="H6469" s="43">
        <f>IF($G6469=1,INDEX(DarlSollzins,14),INDEX(DarlAnschluss,14))</f>
      </c>
      <c r="I6469" s="43">
        <f>IF(INDEX(DarlBelegt,14)=0,0,IF(INDEX(DarlOhneTilgung,14)=1,IF(INDEX(DarlBindung,14)="",1,$G6469),IF($J6469&gt;0.005,1,0)))</f>
      </c>
      <c r="J6469" s="43">
        <f>IF($I6468=0,0,$R6468)</f>
      </c>
      <c r="K6469" s="43">
        <f>IF($I6469=0,0,IF(INDEX(DarlOhneTilgung,14)=1,0,IF(AND(INDEX(DarlTilgStart,14)&gt;0,$E6469=INDEX(DarlTilgStart,14)),$J6469*($H6469+INDEX(DarlTilgung,14))/100/12,IF(AND($G6469=0,$G6468=1),MAX($K6468,$J6469*($H6469+1)/100/12),$K6468))))</f>
      </c>
      <c r="L6469" s="43">
        <f>IF($I6469=0,0,$J6469*$H6469/100/12)</f>
      </c>
      <c r="M6469" s="43">
        <f>IF($I6469=0,0,IF(OR(INDEX(DarlOhneTilgung,14)=1,AND(INDEX(DarlTilgStart,14)&gt;0,$E6469&lt;INDEX(DarlTilgStart,14))),0,MIN(MAX(0,$K6469-$L6469),$J6469)))</f>
      </c>
      <c r="N6469" s="43">
        <f>IF($I6469=0,0,MIN(SUMIFS(SondBetrag,SondDarl,14,SondDatum,"&gt;="&amp;$E6469,SondDatum,"&lt;="&amp;EOMONTH($E6469,0)),$J6469-$M6469))</f>
      </c>
      <c r="O6469" s="43">
        <f>IF($I6469=0,0,INDEX(DarlErsatzRate,14))</f>
      </c>
      <c r="P6469" s="43">
        <f>IF($I6469=0,0,$Q6468*INDEX(DarlErsatzZins,14))</f>
      </c>
      <c r="Q6469" s="43">
        <f>IF($I6469=0,0,$Q6468+$P6469+$O6469)</f>
      </c>
      <c r="R6469" s="43">
        <f>IF($I6469=0,0,$J6469-$M6469-$N6469)</f>
      </c>
    </row>
    <row r="6470">
      <c r="A6470"/>
      <c r="B6470">
        <v>14</v>
      </c>
      <c r="C6470" s="43">
        <f>INDEX(DarlObj,14)</f>
      </c>
      <c r="D6470">
        <v>227</v>
      </c>
      <c r="E6470" s="51">
        <f>IF(INDEX(DarlBelegt,14)=0,0,EOMONTH(INDEX(DarlAuszahlung,14),226)+1)</f>
      </c>
      <c r="F6470" s="43">
        <f>IF($E6470=0,0,YEAR($E6470))</f>
      </c>
      <c r="G6470" s="43">
        <f>IF(INDEX(DarlBindung,14)="",1,IF($E6470&lt;=INDEX(DarlBindung,14),1,0))</f>
      </c>
      <c r="H6470" s="43">
        <f>IF($G6470=1,INDEX(DarlSollzins,14),INDEX(DarlAnschluss,14))</f>
      </c>
      <c r="I6470" s="43">
        <f>IF(INDEX(DarlBelegt,14)=0,0,IF(INDEX(DarlOhneTilgung,14)=1,IF(INDEX(DarlBindung,14)="",1,$G6470),IF($J6470&gt;0.005,1,0)))</f>
      </c>
      <c r="J6470" s="43">
        <f>IF($I6469=0,0,$R6469)</f>
      </c>
      <c r="K6470" s="43">
        <f>IF($I6470=0,0,IF(INDEX(DarlOhneTilgung,14)=1,0,IF(AND(INDEX(DarlTilgStart,14)&gt;0,$E6470=INDEX(DarlTilgStart,14)),$J6470*($H6470+INDEX(DarlTilgung,14))/100/12,IF(AND($G6470=0,$G6469=1),MAX($K6469,$J6470*($H6470+1)/100/12),$K6469))))</f>
      </c>
      <c r="L6470" s="43">
        <f>IF($I6470=0,0,$J6470*$H6470/100/12)</f>
      </c>
      <c r="M6470" s="43">
        <f>IF($I6470=0,0,IF(OR(INDEX(DarlOhneTilgung,14)=1,AND(INDEX(DarlTilgStart,14)&gt;0,$E6470&lt;INDEX(DarlTilgStart,14))),0,MIN(MAX(0,$K6470-$L6470),$J6470)))</f>
      </c>
      <c r="N6470" s="43">
        <f>IF($I6470=0,0,MIN(SUMIFS(SondBetrag,SondDarl,14,SondDatum,"&gt;="&amp;$E6470,SondDatum,"&lt;="&amp;EOMONTH($E6470,0)),$J6470-$M6470))</f>
      </c>
      <c r="O6470" s="43">
        <f>IF($I6470=0,0,INDEX(DarlErsatzRate,14))</f>
      </c>
      <c r="P6470" s="43">
        <f>IF($I6470=0,0,$Q6469*INDEX(DarlErsatzZins,14))</f>
      </c>
      <c r="Q6470" s="43">
        <f>IF($I6470=0,0,$Q6469+$P6470+$O6470)</f>
      </c>
      <c r="R6470" s="43">
        <f>IF($I6470=0,0,$J6470-$M6470-$N6470)</f>
      </c>
    </row>
    <row r="6471">
      <c r="A6471"/>
      <c r="B6471">
        <v>14</v>
      </c>
      <c r="C6471" s="43">
        <f>INDEX(DarlObj,14)</f>
      </c>
      <c r="D6471">
        <v>228</v>
      </c>
      <c r="E6471" s="51">
        <f>IF(INDEX(DarlBelegt,14)=0,0,EOMONTH(INDEX(DarlAuszahlung,14),227)+1)</f>
      </c>
      <c r="F6471" s="43">
        <f>IF($E6471=0,0,YEAR($E6471))</f>
      </c>
      <c r="G6471" s="43">
        <f>IF(INDEX(DarlBindung,14)="",1,IF($E6471&lt;=INDEX(DarlBindung,14),1,0))</f>
      </c>
      <c r="H6471" s="43">
        <f>IF($G6471=1,INDEX(DarlSollzins,14),INDEX(DarlAnschluss,14))</f>
      </c>
      <c r="I6471" s="43">
        <f>IF(INDEX(DarlBelegt,14)=0,0,IF(INDEX(DarlOhneTilgung,14)=1,IF(INDEX(DarlBindung,14)="",1,$G6471),IF($J6471&gt;0.005,1,0)))</f>
      </c>
      <c r="J6471" s="43">
        <f>IF($I6470=0,0,$R6470)</f>
      </c>
      <c r="K6471" s="43">
        <f>IF($I6471=0,0,IF(INDEX(DarlOhneTilgung,14)=1,0,IF(AND(INDEX(DarlTilgStart,14)&gt;0,$E6471=INDEX(DarlTilgStart,14)),$J6471*($H6471+INDEX(DarlTilgung,14))/100/12,IF(AND($G6471=0,$G6470=1),MAX($K6470,$J6471*($H6471+1)/100/12),$K6470))))</f>
      </c>
      <c r="L6471" s="43">
        <f>IF($I6471=0,0,$J6471*$H6471/100/12)</f>
      </c>
      <c r="M6471" s="43">
        <f>IF($I6471=0,0,IF(OR(INDEX(DarlOhneTilgung,14)=1,AND(INDEX(DarlTilgStart,14)&gt;0,$E6471&lt;INDEX(DarlTilgStart,14))),0,MIN(MAX(0,$K6471-$L6471),$J6471)))</f>
      </c>
      <c r="N6471" s="43">
        <f>IF($I6471=0,0,MIN(SUMIFS(SondBetrag,SondDarl,14,SondDatum,"&gt;="&amp;$E6471,SondDatum,"&lt;="&amp;EOMONTH($E6471,0)),$J6471-$M6471))</f>
      </c>
      <c r="O6471" s="43">
        <f>IF($I6471=0,0,INDEX(DarlErsatzRate,14))</f>
      </c>
      <c r="P6471" s="43">
        <f>IF($I6471=0,0,$Q6470*INDEX(DarlErsatzZins,14))</f>
      </c>
      <c r="Q6471" s="43">
        <f>IF($I6471=0,0,$Q6470+$P6471+$O6471)</f>
      </c>
      <c r="R6471" s="43">
        <f>IF($I6471=0,0,$J6471-$M6471-$N6471)</f>
      </c>
    </row>
    <row r="6472">
      <c r="A6472"/>
      <c r="B6472">
        <v>14</v>
      </c>
      <c r="C6472" s="43">
        <f>INDEX(DarlObj,14)</f>
      </c>
      <c r="D6472">
        <v>229</v>
      </c>
      <c r="E6472" s="51">
        <f>IF(INDEX(DarlBelegt,14)=0,0,EOMONTH(INDEX(DarlAuszahlung,14),228)+1)</f>
      </c>
      <c r="F6472" s="43">
        <f>IF($E6472=0,0,YEAR($E6472))</f>
      </c>
      <c r="G6472" s="43">
        <f>IF(INDEX(DarlBindung,14)="",1,IF($E6472&lt;=INDEX(DarlBindung,14),1,0))</f>
      </c>
      <c r="H6472" s="43">
        <f>IF($G6472=1,INDEX(DarlSollzins,14),INDEX(DarlAnschluss,14))</f>
      </c>
      <c r="I6472" s="43">
        <f>IF(INDEX(DarlBelegt,14)=0,0,IF(INDEX(DarlOhneTilgung,14)=1,IF(INDEX(DarlBindung,14)="",1,$G6472),IF($J6472&gt;0.005,1,0)))</f>
      </c>
      <c r="J6472" s="43">
        <f>IF($I6471=0,0,$R6471)</f>
      </c>
      <c r="K6472" s="43">
        <f>IF($I6472=0,0,IF(INDEX(DarlOhneTilgung,14)=1,0,IF(AND(INDEX(DarlTilgStart,14)&gt;0,$E6472=INDEX(DarlTilgStart,14)),$J6472*($H6472+INDEX(DarlTilgung,14))/100/12,IF(AND($G6472=0,$G6471=1),MAX($K6471,$J6472*($H6472+1)/100/12),$K6471))))</f>
      </c>
      <c r="L6472" s="43">
        <f>IF($I6472=0,0,$J6472*$H6472/100/12)</f>
      </c>
      <c r="M6472" s="43">
        <f>IF($I6472=0,0,IF(OR(INDEX(DarlOhneTilgung,14)=1,AND(INDEX(DarlTilgStart,14)&gt;0,$E6472&lt;INDEX(DarlTilgStart,14))),0,MIN(MAX(0,$K6472-$L6472),$J6472)))</f>
      </c>
      <c r="N6472" s="43">
        <f>IF($I6472=0,0,MIN(SUMIFS(SondBetrag,SondDarl,14,SondDatum,"&gt;="&amp;$E6472,SondDatum,"&lt;="&amp;EOMONTH($E6472,0)),$J6472-$M6472))</f>
      </c>
      <c r="O6472" s="43">
        <f>IF($I6472=0,0,INDEX(DarlErsatzRate,14))</f>
      </c>
      <c r="P6472" s="43">
        <f>IF($I6472=0,0,$Q6471*INDEX(DarlErsatzZins,14))</f>
      </c>
      <c r="Q6472" s="43">
        <f>IF($I6472=0,0,$Q6471+$P6472+$O6472)</f>
      </c>
      <c r="R6472" s="43">
        <f>IF($I6472=0,0,$J6472-$M6472-$N6472)</f>
      </c>
    </row>
    <row r="6473">
      <c r="A6473"/>
      <c r="B6473">
        <v>14</v>
      </c>
      <c r="C6473" s="43">
        <f>INDEX(DarlObj,14)</f>
      </c>
      <c r="D6473">
        <v>230</v>
      </c>
      <c r="E6473" s="51">
        <f>IF(INDEX(DarlBelegt,14)=0,0,EOMONTH(INDEX(DarlAuszahlung,14),229)+1)</f>
      </c>
      <c r="F6473" s="43">
        <f>IF($E6473=0,0,YEAR($E6473))</f>
      </c>
      <c r="G6473" s="43">
        <f>IF(INDEX(DarlBindung,14)="",1,IF($E6473&lt;=INDEX(DarlBindung,14),1,0))</f>
      </c>
      <c r="H6473" s="43">
        <f>IF($G6473=1,INDEX(DarlSollzins,14),INDEX(DarlAnschluss,14))</f>
      </c>
      <c r="I6473" s="43">
        <f>IF(INDEX(DarlBelegt,14)=0,0,IF(INDEX(DarlOhneTilgung,14)=1,IF(INDEX(DarlBindung,14)="",1,$G6473),IF($J6473&gt;0.005,1,0)))</f>
      </c>
      <c r="J6473" s="43">
        <f>IF($I6472=0,0,$R6472)</f>
      </c>
      <c r="K6473" s="43">
        <f>IF($I6473=0,0,IF(INDEX(DarlOhneTilgung,14)=1,0,IF(AND(INDEX(DarlTilgStart,14)&gt;0,$E6473=INDEX(DarlTilgStart,14)),$J6473*($H6473+INDEX(DarlTilgung,14))/100/12,IF(AND($G6473=0,$G6472=1),MAX($K6472,$J6473*($H6473+1)/100/12),$K6472))))</f>
      </c>
      <c r="L6473" s="43">
        <f>IF($I6473=0,0,$J6473*$H6473/100/12)</f>
      </c>
      <c r="M6473" s="43">
        <f>IF($I6473=0,0,IF(OR(INDEX(DarlOhneTilgung,14)=1,AND(INDEX(DarlTilgStart,14)&gt;0,$E6473&lt;INDEX(DarlTilgStart,14))),0,MIN(MAX(0,$K6473-$L6473),$J6473)))</f>
      </c>
      <c r="N6473" s="43">
        <f>IF($I6473=0,0,MIN(SUMIFS(SondBetrag,SondDarl,14,SondDatum,"&gt;="&amp;$E6473,SondDatum,"&lt;="&amp;EOMONTH($E6473,0)),$J6473-$M6473))</f>
      </c>
      <c r="O6473" s="43">
        <f>IF($I6473=0,0,INDEX(DarlErsatzRate,14))</f>
      </c>
      <c r="P6473" s="43">
        <f>IF($I6473=0,0,$Q6472*INDEX(DarlErsatzZins,14))</f>
      </c>
      <c r="Q6473" s="43">
        <f>IF($I6473=0,0,$Q6472+$P6473+$O6473)</f>
      </c>
      <c r="R6473" s="43">
        <f>IF($I6473=0,0,$J6473-$M6473-$N6473)</f>
      </c>
    </row>
    <row r="6474">
      <c r="A6474"/>
      <c r="B6474">
        <v>14</v>
      </c>
      <c r="C6474" s="43">
        <f>INDEX(DarlObj,14)</f>
      </c>
      <c r="D6474">
        <v>231</v>
      </c>
      <c r="E6474" s="51">
        <f>IF(INDEX(DarlBelegt,14)=0,0,EOMONTH(INDEX(DarlAuszahlung,14),230)+1)</f>
      </c>
      <c r="F6474" s="43">
        <f>IF($E6474=0,0,YEAR($E6474))</f>
      </c>
      <c r="G6474" s="43">
        <f>IF(INDEX(DarlBindung,14)="",1,IF($E6474&lt;=INDEX(DarlBindung,14),1,0))</f>
      </c>
      <c r="H6474" s="43">
        <f>IF($G6474=1,INDEX(DarlSollzins,14),INDEX(DarlAnschluss,14))</f>
      </c>
      <c r="I6474" s="43">
        <f>IF(INDEX(DarlBelegt,14)=0,0,IF(INDEX(DarlOhneTilgung,14)=1,IF(INDEX(DarlBindung,14)="",1,$G6474),IF($J6474&gt;0.005,1,0)))</f>
      </c>
      <c r="J6474" s="43">
        <f>IF($I6473=0,0,$R6473)</f>
      </c>
      <c r="K6474" s="43">
        <f>IF($I6474=0,0,IF(INDEX(DarlOhneTilgung,14)=1,0,IF(AND(INDEX(DarlTilgStart,14)&gt;0,$E6474=INDEX(DarlTilgStart,14)),$J6474*($H6474+INDEX(DarlTilgung,14))/100/12,IF(AND($G6474=0,$G6473=1),MAX($K6473,$J6474*($H6474+1)/100/12),$K6473))))</f>
      </c>
      <c r="L6474" s="43">
        <f>IF($I6474=0,0,$J6474*$H6474/100/12)</f>
      </c>
      <c r="M6474" s="43">
        <f>IF($I6474=0,0,IF(OR(INDEX(DarlOhneTilgung,14)=1,AND(INDEX(DarlTilgStart,14)&gt;0,$E6474&lt;INDEX(DarlTilgStart,14))),0,MIN(MAX(0,$K6474-$L6474),$J6474)))</f>
      </c>
      <c r="N6474" s="43">
        <f>IF($I6474=0,0,MIN(SUMIFS(SondBetrag,SondDarl,14,SondDatum,"&gt;="&amp;$E6474,SondDatum,"&lt;="&amp;EOMONTH($E6474,0)),$J6474-$M6474))</f>
      </c>
      <c r="O6474" s="43">
        <f>IF($I6474=0,0,INDEX(DarlErsatzRate,14))</f>
      </c>
      <c r="P6474" s="43">
        <f>IF($I6474=0,0,$Q6473*INDEX(DarlErsatzZins,14))</f>
      </c>
      <c r="Q6474" s="43">
        <f>IF($I6474=0,0,$Q6473+$P6474+$O6474)</f>
      </c>
      <c r="R6474" s="43">
        <f>IF($I6474=0,0,$J6474-$M6474-$N6474)</f>
      </c>
    </row>
    <row r="6475">
      <c r="A6475"/>
      <c r="B6475">
        <v>14</v>
      </c>
      <c r="C6475" s="43">
        <f>INDEX(DarlObj,14)</f>
      </c>
      <c r="D6475">
        <v>232</v>
      </c>
      <c r="E6475" s="51">
        <f>IF(INDEX(DarlBelegt,14)=0,0,EOMONTH(INDEX(DarlAuszahlung,14),231)+1)</f>
      </c>
      <c r="F6475" s="43">
        <f>IF($E6475=0,0,YEAR($E6475))</f>
      </c>
      <c r="G6475" s="43">
        <f>IF(INDEX(DarlBindung,14)="",1,IF($E6475&lt;=INDEX(DarlBindung,14),1,0))</f>
      </c>
      <c r="H6475" s="43">
        <f>IF($G6475=1,INDEX(DarlSollzins,14),INDEX(DarlAnschluss,14))</f>
      </c>
      <c r="I6475" s="43">
        <f>IF(INDEX(DarlBelegt,14)=0,0,IF(INDEX(DarlOhneTilgung,14)=1,IF(INDEX(DarlBindung,14)="",1,$G6475),IF($J6475&gt;0.005,1,0)))</f>
      </c>
      <c r="J6475" s="43">
        <f>IF($I6474=0,0,$R6474)</f>
      </c>
      <c r="K6475" s="43">
        <f>IF($I6475=0,0,IF(INDEX(DarlOhneTilgung,14)=1,0,IF(AND(INDEX(DarlTilgStart,14)&gt;0,$E6475=INDEX(DarlTilgStart,14)),$J6475*($H6475+INDEX(DarlTilgung,14))/100/12,IF(AND($G6475=0,$G6474=1),MAX($K6474,$J6475*($H6475+1)/100/12),$K6474))))</f>
      </c>
      <c r="L6475" s="43">
        <f>IF($I6475=0,0,$J6475*$H6475/100/12)</f>
      </c>
      <c r="M6475" s="43">
        <f>IF($I6475=0,0,IF(OR(INDEX(DarlOhneTilgung,14)=1,AND(INDEX(DarlTilgStart,14)&gt;0,$E6475&lt;INDEX(DarlTilgStart,14))),0,MIN(MAX(0,$K6475-$L6475),$J6475)))</f>
      </c>
      <c r="N6475" s="43">
        <f>IF($I6475=0,0,MIN(SUMIFS(SondBetrag,SondDarl,14,SondDatum,"&gt;="&amp;$E6475,SondDatum,"&lt;="&amp;EOMONTH($E6475,0)),$J6475-$M6475))</f>
      </c>
      <c r="O6475" s="43">
        <f>IF($I6475=0,0,INDEX(DarlErsatzRate,14))</f>
      </c>
      <c r="P6475" s="43">
        <f>IF($I6475=0,0,$Q6474*INDEX(DarlErsatzZins,14))</f>
      </c>
      <c r="Q6475" s="43">
        <f>IF($I6475=0,0,$Q6474+$P6475+$O6475)</f>
      </c>
      <c r="R6475" s="43">
        <f>IF($I6475=0,0,$J6475-$M6475-$N6475)</f>
      </c>
    </row>
    <row r="6476">
      <c r="A6476"/>
      <c r="B6476">
        <v>14</v>
      </c>
      <c r="C6476" s="43">
        <f>INDEX(DarlObj,14)</f>
      </c>
      <c r="D6476">
        <v>233</v>
      </c>
      <c r="E6476" s="51">
        <f>IF(INDEX(DarlBelegt,14)=0,0,EOMONTH(INDEX(DarlAuszahlung,14),232)+1)</f>
      </c>
      <c r="F6476" s="43">
        <f>IF($E6476=0,0,YEAR($E6476))</f>
      </c>
      <c r="G6476" s="43">
        <f>IF(INDEX(DarlBindung,14)="",1,IF($E6476&lt;=INDEX(DarlBindung,14),1,0))</f>
      </c>
      <c r="H6476" s="43">
        <f>IF($G6476=1,INDEX(DarlSollzins,14),INDEX(DarlAnschluss,14))</f>
      </c>
      <c r="I6476" s="43">
        <f>IF(INDEX(DarlBelegt,14)=0,0,IF(INDEX(DarlOhneTilgung,14)=1,IF(INDEX(DarlBindung,14)="",1,$G6476),IF($J6476&gt;0.005,1,0)))</f>
      </c>
      <c r="J6476" s="43">
        <f>IF($I6475=0,0,$R6475)</f>
      </c>
      <c r="K6476" s="43">
        <f>IF($I6476=0,0,IF(INDEX(DarlOhneTilgung,14)=1,0,IF(AND(INDEX(DarlTilgStart,14)&gt;0,$E6476=INDEX(DarlTilgStart,14)),$J6476*($H6476+INDEX(DarlTilgung,14))/100/12,IF(AND($G6476=0,$G6475=1),MAX($K6475,$J6476*($H6476+1)/100/12),$K6475))))</f>
      </c>
      <c r="L6476" s="43">
        <f>IF($I6476=0,0,$J6476*$H6476/100/12)</f>
      </c>
      <c r="M6476" s="43">
        <f>IF($I6476=0,0,IF(OR(INDEX(DarlOhneTilgung,14)=1,AND(INDEX(DarlTilgStart,14)&gt;0,$E6476&lt;INDEX(DarlTilgStart,14))),0,MIN(MAX(0,$K6476-$L6476),$J6476)))</f>
      </c>
      <c r="N6476" s="43">
        <f>IF($I6476=0,0,MIN(SUMIFS(SondBetrag,SondDarl,14,SondDatum,"&gt;="&amp;$E6476,SondDatum,"&lt;="&amp;EOMONTH($E6476,0)),$J6476-$M6476))</f>
      </c>
      <c r="O6476" s="43">
        <f>IF($I6476=0,0,INDEX(DarlErsatzRate,14))</f>
      </c>
      <c r="P6476" s="43">
        <f>IF($I6476=0,0,$Q6475*INDEX(DarlErsatzZins,14))</f>
      </c>
      <c r="Q6476" s="43">
        <f>IF($I6476=0,0,$Q6475+$P6476+$O6476)</f>
      </c>
      <c r="R6476" s="43">
        <f>IF($I6476=0,0,$J6476-$M6476-$N6476)</f>
      </c>
    </row>
    <row r="6477">
      <c r="A6477"/>
      <c r="B6477">
        <v>14</v>
      </c>
      <c r="C6477" s="43">
        <f>INDEX(DarlObj,14)</f>
      </c>
      <c r="D6477">
        <v>234</v>
      </c>
      <c r="E6477" s="51">
        <f>IF(INDEX(DarlBelegt,14)=0,0,EOMONTH(INDEX(DarlAuszahlung,14),233)+1)</f>
      </c>
      <c r="F6477" s="43">
        <f>IF($E6477=0,0,YEAR($E6477))</f>
      </c>
      <c r="G6477" s="43">
        <f>IF(INDEX(DarlBindung,14)="",1,IF($E6477&lt;=INDEX(DarlBindung,14),1,0))</f>
      </c>
      <c r="H6477" s="43">
        <f>IF($G6477=1,INDEX(DarlSollzins,14),INDEX(DarlAnschluss,14))</f>
      </c>
      <c r="I6477" s="43">
        <f>IF(INDEX(DarlBelegt,14)=0,0,IF(INDEX(DarlOhneTilgung,14)=1,IF(INDEX(DarlBindung,14)="",1,$G6477),IF($J6477&gt;0.005,1,0)))</f>
      </c>
      <c r="J6477" s="43">
        <f>IF($I6476=0,0,$R6476)</f>
      </c>
      <c r="K6477" s="43">
        <f>IF($I6477=0,0,IF(INDEX(DarlOhneTilgung,14)=1,0,IF(AND(INDEX(DarlTilgStart,14)&gt;0,$E6477=INDEX(DarlTilgStart,14)),$J6477*($H6477+INDEX(DarlTilgung,14))/100/12,IF(AND($G6477=0,$G6476=1),MAX($K6476,$J6477*($H6477+1)/100/12),$K6476))))</f>
      </c>
      <c r="L6477" s="43">
        <f>IF($I6477=0,0,$J6477*$H6477/100/12)</f>
      </c>
      <c r="M6477" s="43">
        <f>IF($I6477=0,0,IF(OR(INDEX(DarlOhneTilgung,14)=1,AND(INDEX(DarlTilgStart,14)&gt;0,$E6477&lt;INDEX(DarlTilgStart,14))),0,MIN(MAX(0,$K6477-$L6477),$J6477)))</f>
      </c>
      <c r="N6477" s="43">
        <f>IF($I6477=0,0,MIN(SUMIFS(SondBetrag,SondDarl,14,SondDatum,"&gt;="&amp;$E6477,SondDatum,"&lt;="&amp;EOMONTH($E6477,0)),$J6477-$M6477))</f>
      </c>
      <c r="O6477" s="43">
        <f>IF($I6477=0,0,INDEX(DarlErsatzRate,14))</f>
      </c>
      <c r="P6477" s="43">
        <f>IF($I6477=0,0,$Q6476*INDEX(DarlErsatzZins,14))</f>
      </c>
      <c r="Q6477" s="43">
        <f>IF($I6477=0,0,$Q6476+$P6477+$O6477)</f>
      </c>
      <c r="R6477" s="43">
        <f>IF($I6477=0,0,$J6477-$M6477-$N6477)</f>
      </c>
    </row>
    <row r="6478">
      <c r="A6478"/>
      <c r="B6478">
        <v>14</v>
      </c>
      <c r="C6478" s="43">
        <f>INDEX(DarlObj,14)</f>
      </c>
      <c r="D6478">
        <v>235</v>
      </c>
      <c r="E6478" s="51">
        <f>IF(INDEX(DarlBelegt,14)=0,0,EOMONTH(INDEX(DarlAuszahlung,14),234)+1)</f>
      </c>
      <c r="F6478" s="43">
        <f>IF($E6478=0,0,YEAR($E6478))</f>
      </c>
      <c r="G6478" s="43">
        <f>IF(INDEX(DarlBindung,14)="",1,IF($E6478&lt;=INDEX(DarlBindung,14),1,0))</f>
      </c>
      <c r="H6478" s="43">
        <f>IF($G6478=1,INDEX(DarlSollzins,14),INDEX(DarlAnschluss,14))</f>
      </c>
      <c r="I6478" s="43">
        <f>IF(INDEX(DarlBelegt,14)=0,0,IF(INDEX(DarlOhneTilgung,14)=1,IF(INDEX(DarlBindung,14)="",1,$G6478),IF($J6478&gt;0.005,1,0)))</f>
      </c>
      <c r="J6478" s="43">
        <f>IF($I6477=0,0,$R6477)</f>
      </c>
      <c r="K6478" s="43">
        <f>IF($I6478=0,0,IF(INDEX(DarlOhneTilgung,14)=1,0,IF(AND(INDEX(DarlTilgStart,14)&gt;0,$E6478=INDEX(DarlTilgStart,14)),$J6478*($H6478+INDEX(DarlTilgung,14))/100/12,IF(AND($G6478=0,$G6477=1),MAX($K6477,$J6478*($H6478+1)/100/12),$K6477))))</f>
      </c>
      <c r="L6478" s="43">
        <f>IF($I6478=0,0,$J6478*$H6478/100/12)</f>
      </c>
      <c r="M6478" s="43">
        <f>IF($I6478=0,0,IF(OR(INDEX(DarlOhneTilgung,14)=1,AND(INDEX(DarlTilgStart,14)&gt;0,$E6478&lt;INDEX(DarlTilgStart,14))),0,MIN(MAX(0,$K6478-$L6478),$J6478)))</f>
      </c>
      <c r="N6478" s="43">
        <f>IF($I6478=0,0,MIN(SUMIFS(SondBetrag,SondDarl,14,SondDatum,"&gt;="&amp;$E6478,SondDatum,"&lt;="&amp;EOMONTH($E6478,0)),$J6478-$M6478))</f>
      </c>
      <c r="O6478" s="43">
        <f>IF($I6478=0,0,INDEX(DarlErsatzRate,14))</f>
      </c>
      <c r="P6478" s="43">
        <f>IF($I6478=0,0,$Q6477*INDEX(DarlErsatzZins,14))</f>
      </c>
      <c r="Q6478" s="43">
        <f>IF($I6478=0,0,$Q6477+$P6478+$O6478)</f>
      </c>
      <c r="R6478" s="43">
        <f>IF($I6478=0,0,$J6478-$M6478-$N6478)</f>
      </c>
    </row>
    <row r="6479">
      <c r="A6479"/>
      <c r="B6479">
        <v>14</v>
      </c>
      <c r="C6479" s="43">
        <f>INDEX(DarlObj,14)</f>
      </c>
      <c r="D6479">
        <v>236</v>
      </c>
      <c r="E6479" s="51">
        <f>IF(INDEX(DarlBelegt,14)=0,0,EOMONTH(INDEX(DarlAuszahlung,14),235)+1)</f>
      </c>
      <c r="F6479" s="43">
        <f>IF($E6479=0,0,YEAR($E6479))</f>
      </c>
      <c r="G6479" s="43">
        <f>IF(INDEX(DarlBindung,14)="",1,IF($E6479&lt;=INDEX(DarlBindung,14),1,0))</f>
      </c>
      <c r="H6479" s="43">
        <f>IF($G6479=1,INDEX(DarlSollzins,14),INDEX(DarlAnschluss,14))</f>
      </c>
      <c r="I6479" s="43">
        <f>IF(INDEX(DarlBelegt,14)=0,0,IF(INDEX(DarlOhneTilgung,14)=1,IF(INDEX(DarlBindung,14)="",1,$G6479),IF($J6479&gt;0.005,1,0)))</f>
      </c>
      <c r="J6479" s="43">
        <f>IF($I6478=0,0,$R6478)</f>
      </c>
      <c r="K6479" s="43">
        <f>IF($I6479=0,0,IF(INDEX(DarlOhneTilgung,14)=1,0,IF(AND(INDEX(DarlTilgStart,14)&gt;0,$E6479=INDEX(DarlTilgStart,14)),$J6479*($H6479+INDEX(DarlTilgung,14))/100/12,IF(AND($G6479=0,$G6478=1),MAX($K6478,$J6479*($H6479+1)/100/12),$K6478))))</f>
      </c>
      <c r="L6479" s="43">
        <f>IF($I6479=0,0,$J6479*$H6479/100/12)</f>
      </c>
      <c r="M6479" s="43">
        <f>IF($I6479=0,0,IF(OR(INDEX(DarlOhneTilgung,14)=1,AND(INDEX(DarlTilgStart,14)&gt;0,$E6479&lt;INDEX(DarlTilgStart,14))),0,MIN(MAX(0,$K6479-$L6479),$J6479)))</f>
      </c>
      <c r="N6479" s="43">
        <f>IF($I6479=0,0,MIN(SUMIFS(SondBetrag,SondDarl,14,SondDatum,"&gt;="&amp;$E6479,SondDatum,"&lt;="&amp;EOMONTH($E6479,0)),$J6479-$M6479))</f>
      </c>
      <c r="O6479" s="43">
        <f>IF($I6479=0,0,INDEX(DarlErsatzRate,14))</f>
      </c>
      <c r="P6479" s="43">
        <f>IF($I6479=0,0,$Q6478*INDEX(DarlErsatzZins,14))</f>
      </c>
      <c r="Q6479" s="43">
        <f>IF($I6479=0,0,$Q6478+$P6479+$O6479)</f>
      </c>
      <c r="R6479" s="43">
        <f>IF($I6479=0,0,$J6479-$M6479-$N6479)</f>
      </c>
    </row>
    <row r="6480">
      <c r="A6480"/>
      <c r="B6480">
        <v>14</v>
      </c>
      <c r="C6480" s="43">
        <f>INDEX(DarlObj,14)</f>
      </c>
      <c r="D6480">
        <v>237</v>
      </c>
      <c r="E6480" s="51">
        <f>IF(INDEX(DarlBelegt,14)=0,0,EOMONTH(INDEX(DarlAuszahlung,14),236)+1)</f>
      </c>
      <c r="F6480" s="43">
        <f>IF($E6480=0,0,YEAR($E6480))</f>
      </c>
      <c r="G6480" s="43">
        <f>IF(INDEX(DarlBindung,14)="",1,IF($E6480&lt;=INDEX(DarlBindung,14),1,0))</f>
      </c>
      <c r="H6480" s="43">
        <f>IF($G6480=1,INDEX(DarlSollzins,14),INDEX(DarlAnschluss,14))</f>
      </c>
      <c r="I6480" s="43">
        <f>IF(INDEX(DarlBelegt,14)=0,0,IF(INDEX(DarlOhneTilgung,14)=1,IF(INDEX(DarlBindung,14)="",1,$G6480),IF($J6480&gt;0.005,1,0)))</f>
      </c>
      <c r="J6480" s="43">
        <f>IF($I6479=0,0,$R6479)</f>
      </c>
      <c r="K6480" s="43">
        <f>IF($I6480=0,0,IF(INDEX(DarlOhneTilgung,14)=1,0,IF(AND(INDEX(DarlTilgStart,14)&gt;0,$E6480=INDEX(DarlTilgStart,14)),$J6480*($H6480+INDEX(DarlTilgung,14))/100/12,IF(AND($G6480=0,$G6479=1),MAX($K6479,$J6480*($H6480+1)/100/12),$K6479))))</f>
      </c>
      <c r="L6480" s="43">
        <f>IF($I6480=0,0,$J6480*$H6480/100/12)</f>
      </c>
      <c r="M6480" s="43">
        <f>IF($I6480=0,0,IF(OR(INDEX(DarlOhneTilgung,14)=1,AND(INDEX(DarlTilgStart,14)&gt;0,$E6480&lt;INDEX(DarlTilgStart,14))),0,MIN(MAX(0,$K6480-$L6480),$J6480)))</f>
      </c>
      <c r="N6480" s="43">
        <f>IF($I6480=0,0,MIN(SUMIFS(SondBetrag,SondDarl,14,SondDatum,"&gt;="&amp;$E6480,SondDatum,"&lt;="&amp;EOMONTH($E6480,0)),$J6480-$M6480))</f>
      </c>
      <c r="O6480" s="43">
        <f>IF($I6480=0,0,INDEX(DarlErsatzRate,14))</f>
      </c>
      <c r="P6480" s="43">
        <f>IF($I6480=0,0,$Q6479*INDEX(DarlErsatzZins,14))</f>
      </c>
      <c r="Q6480" s="43">
        <f>IF($I6480=0,0,$Q6479+$P6480+$O6480)</f>
      </c>
      <c r="R6480" s="43">
        <f>IF($I6480=0,0,$J6480-$M6480-$N6480)</f>
      </c>
    </row>
    <row r="6481">
      <c r="A6481"/>
      <c r="B6481">
        <v>14</v>
      </c>
      <c r="C6481" s="43">
        <f>INDEX(DarlObj,14)</f>
      </c>
      <c r="D6481">
        <v>238</v>
      </c>
      <c r="E6481" s="51">
        <f>IF(INDEX(DarlBelegt,14)=0,0,EOMONTH(INDEX(DarlAuszahlung,14),237)+1)</f>
      </c>
      <c r="F6481" s="43">
        <f>IF($E6481=0,0,YEAR($E6481))</f>
      </c>
      <c r="G6481" s="43">
        <f>IF(INDEX(DarlBindung,14)="",1,IF($E6481&lt;=INDEX(DarlBindung,14),1,0))</f>
      </c>
      <c r="H6481" s="43">
        <f>IF($G6481=1,INDEX(DarlSollzins,14),INDEX(DarlAnschluss,14))</f>
      </c>
      <c r="I6481" s="43">
        <f>IF(INDEX(DarlBelegt,14)=0,0,IF(INDEX(DarlOhneTilgung,14)=1,IF(INDEX(DarlBindung,14)="",1,$G6481),IF($J6481&gt;0.005,1,0)))</f>
      </c>
      <c r="J6481" s="43">
        <f>IF($I6480=0,0,$R6480)</f>
      </c>
      <c r="K6481" s="43">
        <f>IF($I6481=0,0,IF(INDEX(DarlOhneTilgung,14)=1,0,IF(AND(INDEX(DarlTilgStart,14)&gt;0,$E6481=INDEX(DarlTilgStart,14)),$J6481*($H6481+INDEX(DarlTilgung,14))/100/12,IF(AND($G6481=0,$G6480=1),MAX($K6480,$J6481*($H6481+1)/100/12),$K6480))))</f>
      </c>
      <c r="L6481" s="43">
        <f>IF($I6481=0,0,$J6481*$H6481/100/12)</f>
      </c>
      <c r="M6481" s="43">
        <f>IF($I6481=0,0,IF(OR(INDEX(DarlOhneTilgung,14)=1,AND(INDEX(DarlTilgStart,14)&gt;0,$E6481&lt;INDEX(DarlTilgStart,14))),0,MIN(MAX(0,$K6481-$L6481),$J6481)))</f>
      </c>
      <c r="N6481" s="43">
        <f>IF($I6481=0,0,MIN(SUMIFS(SondBetrag,SondDarl,14,SondDatum,"&gt;="&amp;$E6481,SondDatum,"&lt;="&amp;EOMONTH($E6481,0)),$J6481-$M6481))</f>
      </c>
      <c r="O6481" s="43">
        <f>IF($I6481=0,0,INDEX(DarlErsatzRate,14))</f>
      </c>
      <c r="P6481" s="43">
        <f>IF($I6481=0,0,$Q6480*INDEX(DarlErsatzZins,14))</f>
      </c>
      <c r="Q6481" s="43">
        <f>IF($I6481=0,0,$Q6480+$P6481+$O6481)</f>
      </c>
      <c r="R6481" s="43">
        <f>IF($I6481=0,0,$J6481-$M6481-$N6481)</f>
      </c>
    </row>
    <row r="6482">
      <c r="A6482"/>
      <c r="B6482">
        <v>14</v>
      </c>
      <c r="C6482" s="43">
        <f>INDEX(DarlObj,14)</f>
      </c>
      <c r="D6482">
        <v>239</v>
      </c>
      <c r="E6482" s="51">
        <f>IF(INDEX(DarlBelegt,14)=0,0,EOMONTH(INDEX(DarlAuszahlung,14),238)+1)</f>
      </c>
      <c r="F6482" s="43">
        <f>IF($E6482=0,0,YEAR($E6482))</f>
      </c>
      <c r="G6482" s="43">
        <f>IF(INDEX(DarlBindung,14)="",1,IF($E6482&lt;=INDEX(DarlBindung,14),1,0))</f>
      </c>
      <c r="H6482" s="43">
        <f>IF($G6482=1,INDEX(DarlSollzins,14),INDEX(DarlAnschluss,14))</f>
      </c>
      <c r="I6482" s="43">
        <f>IF(INDEX(DarlBelegt,14)=0,0,IF(INDEX(DarlOhneTilgung,14)=1,IF(INDEX(DarlBindung,14)="",1,$G6482),IF($J6482&gt;0.005,1,0)))</f>
      </c>
      <c r="J6482" s="43">
        <f>IF($I6481=0,0,$R6481)</f>
      </c>
      <c r="K6482" s="43">
        <f>IF($I6482=0,0,IF(INDEX(DarlOhneTilgung,14)=1,0,IF(AND(INDEX(DarlTilgStart,14)&gt;0,$E6482=INDEX(DarlTilgStart,14)),$J6482*($H6482+INDEX(DarlTilgung,14))/100/12,IF(AND($G6482=0,$G6481=1),MAX($K6481,$J6482*($H6482+1)/100/12),$K6481))))</f>
      </c>
      <c r="L6482" s="43">
        <f>IF($I6482=0,0,$J6482*$H6482/100/12)</f>
      </c>
      <c r="M6482" s="43">
        <f>IF($I6482=0,0,IF(OR(INDEX(DarlOhneTilgung,14)=1,AND(INDEX(DarlTilgStart,14)&gt;0,$E6482&lt;INDEX(DarlTilgStart,14))),0,MIN(MAX(0,$K6482-$L6482),$J6482)))</f>
      </c>
      <c r="N6482" s="43">
        <f>IF($I6482=0,0,MIN(SUMIFS(SondBetrag,SondDarl,14,SondDatum,"&gt;="&amp;$E6482,SondDatum,"&lt;="&amp;EOMONTH($E6482,0)),$J6482-$M6482))</f>
      </c>
      <c r="O6482" s="43">
        <f>IF($I6482=0,0,INDEX(DarlErsatzRate,14))</f>
      </c>
      <c r="P6482" s="43">
        <f>IF($I6482=0,0,$Q6481*INDEX(DarlErsatzZins,14))</f>
      </c>
      <c r="Q6482" s="43">
        <f>IF($I6482=0,0,$Q6481+$P6482+$O6482)</f>
      </c>
      <c r="R6482" s="43">
        <f>IF($I6482=0,0,$J6482-$M6482-$N6482)</f>
      </c>
    </row>
    <row r="6483">
      <c r="A6483"/>
      <c r="B6483">
        <v>14</v>
      </c>
      <c r="C6483" s="43">
        <f>INDEX(DarlObj,14)</f>
      </c>
      <c r="D6483">
        <v>240</v>
      </c>
      <c r="E6483" s="51">
        <f>IF(INDEX(DarlBelegt,14)=0,0,EOMONTH(INDEX(DarlAuszahlung,14),239)+1)</f>
      </c>
      <c r="F6483" s="43">
        <f>IF($E6483=0,0,YEAR($E6483))</f>
      </c>
      <c r="G6483" s="43">
        <f>IF(INDEX(DarlBindung,14)="",1,IF($E6483&lt;=INDEX(DarlBindung,14),1,0))</f>
      </c>
      <c r="H6483" s="43">
        <f>IF($G6483=1,INDEX(DarlSollzins,14),INDEX(DarlAnschluss,14))</f>
      </c>
      <c r="I6483" s="43">
        <f>IF(INDEX(DarlBelegt,14)=0,0,IF(INDEX(DarlOhneTilgung,14)=1,IF(INDEX(DarlBindung,14)="",1,$G6483),IF($J6483&gt;0.005,1,0)))</f>
      </c>
      <c r="J6483" s="43">
        <f>IF($I6482=0,0,$R6482)</f>
      </c>
      <c r="K6483" s="43">
        <f>IF($I6483=0,0,IF(INDEX(DarlOhneTilgung,14)=1,0,IF(AND(INDEX(DarlTilgStart,14)&gt;0,$E6483=INDEX(DarlTilgStart,14)),$J6483*($H6483+INDEX(DarlTilgung,14))/100/12,IF(AND($G6483=0,$G6482=1),MAX($K6482,$J6483*($H6483+1)/100/12),$K6482))))</f>
      </c>
      <c r="L6483" s="43">
        <f>IF($I6483=0,0,$J6483*$H6483/100/12)</f>
      </c>
      <c r="M6483" s="43">
        <f>IF($I6483=0,0,IF(OR(INDEX(DarlOhneTilgung,14)=1,AND(INDEX(DarlTilgStart,14)&gt;0,$E6483&lt;INDEX(DarlTilgStart,14))),0,MIN(MAX(0,$K6483-$L6483),$J6483)))</f>
      </c>
      <c r="N6483" s="43">
        <f>IF($I6483=0,0,MIN(SUMIFS(SondBetrag,SondDarl,14,SondDatum,"&gt;="&amp;$E6483,SondDatum,"&lt;="&amp;EOMONTH($E6483,0)),$J6483-$M6483))</f>
      </c>
      <c r="O6483" s="43">
        <f>IF($I6483=0,0,INDEX(DarlErsatzRate,14))</f>
      </c>
      <c r="P6483" s="43">
        <f>IF($I6483=0,0,$Q6482*INDEX(DarlErsatzZins,14))</f>
      </c>
      <c r="Q6483" s="43">
        <f>IF($I6483=0,0,$Q6482+$P6483+$O6483)</f>
      </c>
      <c r="R6483" s="43">
        <f>IF($I6483=0,0,$J6483-$M6483-$N6483)</f>
      </c>
    </row>
    <row r="6484">
      <c r="A6484"/>
      <c r="B6484">
        <v>14</v>
      </c>
      <c r="C6484" s="43">
        <f>INDEX(DarlObj,14)</f>
      </c>
      <c r="D6484">
        <v>241</v>
      </c>
      <c r="E6484" s="51">
        <f>IF(INDEX(DarlBelegt,14)=0,0,EOMONTH(INDEX(DarlAuszahlung,14),240)+1)</f>
      </c>
      <c r="F6484" s="43">
        <f>IF($E6484=0,0,YEAR($E6484))</f>
      </c>
      <c r="G6484" s="43">
        <f>IF(INDEX(DarlBindung,14)="",1,IF($E6484&lt;=INDEX(DarlBindung,14),1,0))</f>
      </c>
      <c r="H6484" s="43">
        <f>IF($G6484=1,INDEX(DarlSollzins,14),INDEX(DarlAnschluss,14))</f>
      </c>
      <c r="I6484" s="43">
        <f>IF(INDEX(DarlBelegt,14)=0,0,IF(INDEX(DarlOhneTilgung,14)=1,IF(INDEX(DarlBindung,14)="",1,$G6484),IF($J6484&gt;0.005,1,0)))</f>
      </c>
      <c r="J6484" s="43">
        <f>IF($I6483=0,0,$R6483)</f>
      </c>
      <c r="K6484" s="43">
        <f>IF($I6484=0,0,IF(INDEX(DarlOhneTilgung,14)=1,0,IF(AND(INDEX(DarlTilgStart,14)&gt;0,$E6484=INDEX(DarlTilgStart,14)),$J6484*($H6484+INDEX(DarlTilgung,14))/100/12,IF(AND($G6484=0,$G6483=1),MAX($K6483,$J6484*($H6484+1)/100/12),$K6483))))</f>
      </c>
      <c r="L6484" s="43">
        <f>IF($I6484=0,0,$J6484*$H6484/100/12)</f>
      </c>
      <c r="M6484" s="43">
        <f>IF($I6484=0,0,IF(OR(INDEX(DarlOhneTilgung,14)=1,AND(INDEX(DarlTilgStart,14)&gt;0,$E6484&lt;INDEX(DarlTilgStart,14))),0,MIN(MAX(0,$K6484-$L6484),$J6484)))</f>
      </c>
      <c r="N6484" s="43">
        <f>IF($I6484=0,0,MIN(SUMIFS(SondBetrag,SondDarl,14,SondDatum,"&gt;="&amp;$E6484,SondDatum,"&lt;="&amp;EOMONTH($E6484,0)),$J6484-$M6484))</f>
      </c>
      <c r="O6484" s="43">
        <f>IF($I6484=0,0,INDEX(DarlErsatzRate,14))</f>
      </c>
      <c r="P6484" s="43">
        <f>IF($I6484=0,0,$Q6483*INDEX(DarlErsatzZins,14))</f>
      </c>
      <c r="Q6484" s="43">
        <f>IF($I6484=0,0,$Q6483+$P6484+$O6484)</f>
      </c>
      <c r="R6484" s="43">
        <f>IF($I6484=0,0,$J6484-$M6484-$N6484)</f>
      </c>
    </row>
    <row r="6485">
      <c r="A6485"/>
      <c r="B6485">
        <v>14</v>
      </c>
      <c r="C6485" s="43">
        <f>INDEX(DarlObj,14)</f>
      </c>
      <c r="D6485">
        <v>242</v>
      </c>
      <c r="E6485" s="51">
        <f>IF(INDEX(DarlBelegt,14)=0,0,EOMONTH(INDEX(DarlAuszahlung,14),241)+1)</f>
      </c>
      <c r="F6485" s="43">
        <f>IF($E6485=0,0,YEAR($E6485))</f>
      </c>
      <c r="G6485" s="43">
        <f>IF(INDEX(DarlBindung,14)="",1,IF($E6485&lt;=INDEX(DarlBindung,14),1,0))</f>
      </c>
      <c r="H6485" s="43">
        <f>IF($G6485=1,INDEX(DarlSollzins,14),INDEX(DarlAnschluss,14))</f>
      </c>
      <c r="I6485" s="43">
        <f>IF(INDEX(DarlBelegt,14)=0,0,IF(INDEX(DarlOhneTilgung,14)=1,IF(INDEX(DarlBindung,14)="",1,$G6485),IF($J6485&gt;0.005,1,0)))</f>
      </c>
      <c r="J6485" s="43">
        <f>IF($I6484=0,0,$R6484)</f>
      </c>
      <c r="K6485" s="43">
        <f>IF($I6485=0,0,IF(INDEX(DarlOhneTilgung,14)=1,0,IF(AND(INDEX(DarlTilgStart,14)&gt;0,$E6485=INDEX(DarlTilgStart,14)),$J6485*($H6485+INDEX(DarlTilgung,14))/100/12,IF(AND($G6485=0,$G6484=1),MAX($K6484,$J6485*($H6485+1)/100/12),$K6484))))</f>
      </c>
      <c r="L6485" s="43">
        <f>IF($I6485=0,0,$J6485*$H6485/100/12)</f>
      </c>
      <c r="M6485" s="43">
        <f>IF($I6485=0,0,IF(OR(INDEX(DarlOhneTilgung,14)=1,AND(INDEX(DarlTilgStart,14)&gt;0,$E6485&lt;INDEX(DarlTilgStart,14))),0,MIN(MAX(0,$K6485-$L6485),$J6485)))</f>
      </c>
      <c r="N6485" s="43">
        <f>IF($I6485=0,0,MIN(SUMIFS(SondBetrag,SondDarl,14,SondDatum,"&gt;="&amp;$E6485,SondDatum,"&lt;="&amp;EOMONTH($E6485,0)),$J6485-$M6485))</f>
      </c>
      <c r="O6485" s="43">
        <f>IF($I6485=0,0,INDEX(DarlErsatzRate,14))</f>
      </c>
      <c r="P6485" s="43">
        <f>IF($I6485=0,0,$Q6484*INDEX(DarlErsatzZins,14))</f>
      </c>
      <c r="Q6485" s="43">
        <f>IF($I6485=0,0,$Q6484+$P6485+$O6485)</f>
      </c>
      <c r="R6485" s="43">
        <f>IF($I6485=0,0,$J6485-$M6485-$N6485)</f>
      </c>
    </row>
    <row r="6486">
      <c r="A6486"/>
      <c r="B6486">
        <v>14</v>
      </c>
      <c r="C6486" s="43">
        <f>INDEX(DarlObj,14)</f>
      </c>
      <c r="D6486">
        <v>243</v>
      </c>
      <c r="E6486" s="51">
        <f>IF(INDEX(DarlBelegt,14)=0,0,EOMONTH(INDEX(DarlAuszahlung,14),242)+1)</f>
      </c>
      <c r="F6486" s="43">
        <f>IF($E6486=0,0,YEAR($E6486))</f>
      </c>
      <c r="G6486" s="43">
        <f>IF(INDEX(DarlBindung,14)="",1,IF($E6486&lt;=INDEX(DarlBindung,14),1,0))</f>
      </c>
      <c r="H6486" s="43">
        <f>IF($G6486=1,INDEX(DarlSollzins,14),INDEX(DarlAnschluss,14))</f>
      </c>
      <c r="I6486" s="43">
        <f>IF(INDEX(DarlBelegt,14)=0,0,IF(INDEX(DarlOhneTilgung,14)=1,IF(INDEX(DarlBindung,14)="",1,$G6486),IF($J6486&gt;0.005,1,0)))</f>
      </c>
      <c r="J6486" s="43">
        <f>IF($I6485=0,0,$R6485)</f>
      </c>
      <c r="K6486" s="43">
        <f>IF($I6486=0,0,IF(INDEX(DarlOhneTilgung,14)=1,0,IF(AND(INDEX(DarlTilgStart,14)&gt;0,$E6486=INDEX(DarlTilgStart,14)),$J6486*($H6486+INDEX(DarlTilgung,14))/100/12,IF(AND($G6486=0,$G6485=1),MAX($K6485,$J6486*($H6486+1)/100/12),$K6485))))</f>
      </c>
      <c r="L6486" s="43">
        <f>IF($I6486=0,0,$J6486*$H6486/100/12)</f>
      </c>
      <c r="M6486" s="43">
        <f>IF($I6486=0,0,IF(OR(INDEX(DarlOhneTilgung,14)=1,AND(INDEX(DarlTilgStart,14)&gt;0,$E6486&lt;INDEX(DarlTilgStart,14))),0,MIN(MAX(0,$K6486-$L6486),$J6486)))</f>
      </c>
      <c r="N6486" s="43">
        <f>IF($I6486=0,0,MIN(SUMIFS(SondBetrag,SondDarl,14,SondDatum,"&gt;="&amp;$E6486,SondDatum,"&lt;="&amp;EOMONTH($E6486,0)),$J6486-$M6486))</f>
      </c>
      <c r="O6486" s="43">
        <f>IF($I6486=0,0,INDEX(DarlErsatzRate,14))</f>
      </c>
      <c r="P6486" s="43">
        <f>IF($I6486=0,0,$Q6485*INDEX(DarlErsatzZins,14))</f>
      </c>
      <c r="Q6486" s="43">
        <f>IF($I6486=0,0,$Q6485+$P6486+$O6486)</f>
      </c>
      <c r="R6486" s="43">
        <f>IF($I6486=0,0,$J6486-$M6486-$N6486)</f>
      </c>
    </row>
    <row r="6487">
      <c r="A6487"/>
      <c r="B6487">
        <v>14</v>
      </c>
      <c r="C6487" s="43">
        <f>INDEX(DarlObj,14)</f>
      </c>
      <c r="D6487">
        <v>244</v>
      </c>
      <c r="E6487" s="51">
        <f>IF(INDEX(DarlBelegt,14)=0,0,EOMONTH(INDEX(DarlAuszahlung,14),243)+1)</f>
      </c>
      <c r="F6487" s="43">
        <f>IF($E6487=0,0,YEAR($E6487))</f>
      </c>
      <c r="G6487" s="43">
        <f>IF(INDEX(DarlBindung,14)="",1,IF($E6487&lt;=INDEX(DarlBindung,14),1,0))</f>
      </c>
      <c r="H6487" s="43">
        <f>IF($G6487=1,INDEX(DarlSollzins,14),INDEX(DarlAnschluss,14))</f>
      </c>
      <c r="I6487" s="43">
        <f>IF(INDEX(DarlBelegt,14)=0,0,IF(INDEX(DarlOhneTilgung,14)=1,IF(INDEX(DarlBindung,14)="",1,$G6487),IF($J6487&gt;0.005,1,0)))</f>
      </c>
      <c r="J6487" s="43">
        <f>IF($I6486=0,0,$R6486)</f>
      </c>
      <c r="K6487" s="43">
        <f>IF($I6487=0,0,IF(INDEX(DarlOhneTilgung,14)=1,0,IF(AND(INDEX(DarlTilgStart,14)&gt;0,$E6487=INDEX(DarlTilgStart,14)),$J6487*($H6487+INDEX(DarlTilgung,14))/100/12,IF(AND($G6487=0,$G6486=1),MAX($K6486,$J6487*($H6487+1)/100/12),$K6486))))</f>
      </c>
      <c r="L6487" s="43">
        <f>IF($I6487=0,0,$J6487*$H6487/100/12)</f>
      </c>
      <c r="M6487" s="43">
        <f>IF($I6487=0,0,IF(OR(INDEX(DarlOhneTilgung,14)=1,AND(INDEX(DarlTilgStart,14)&gt;0,$E6487&lt;INDEX(DarlTilgStart,14))),0,MIN(MAX(0,$K6487-$L6487),$J6487)))</f>
      </c>
      <c r="N6487" s="43">
        <f>IF($I6487=0,0,MIN(SUMIFS(SondBetrag,SondDarl,14,SondDatum,"&gt;="&amp;$E6487,SondDatum,"&lt;="&amp;EOMONTH($E6487,0)),$J6487-$M6487))</f>
      </c>
      <c r="O6487" s="43">
        <f>IF($I6487=0,0,INDEX(DarlErsatzRate,14))</f>
      </c>
      <c r="P6487" s="43">
        <f>IF($I6487=0,0,$Q6486*INDEX(DarlErsatzZins,14))</f>
      </c>
      <c r="Q6487" s="43">
        <f>IF($I6487=0,0,$Q6486+$P6487+$O6487)</f>
      </c>
      <c r="R6487" s="43">
        <f>IF($I6487=0,0,$J6487-$M6487-$N6487)</f>
      </c>
    </row>
    <row r="6488">
      <c r="A6488"/>
      <c r="B6488">
        <v>14</v>
      </c>
      <c r="C6488" s="43">
        <f>INDEX(DarlObj,14)</f>
      </c>
      <c r="D6488">
        <v>245</v>
      </c>
      <c r="E6488" s="51">
        <f>IF(INDEX(DarlBelegt,14)=0,0,EOMONTH(INDEX(DarlAuszahlung,14),244)+1)</f>
      </c>
      <c r="F6488" s="43">
        <f>IF($E6488=0,0,YEAR($E6488))</f>
      </c>
      <c r="G6488" s="43">
        <f>IF(INDEX(DarlBindung,14)="",1,IF($E6488&lt;=INDEX(DarlBindung,14),1,0))</f>
      </c>
      <c r="H6488" s="43">
        <f>IF($G6488=1,INDEX(DarlSollzins,14),INDEX(DarlAnschluss,14))</f>
      </c>
      <c r="I6488" s="43">
        <f>IF(INDEX(DarlBelegt,14)=0,0,IF(INDEX(DarlOhneTilgung,14)=1,IF(INDEX(DarlBindung,14)="",1,$G6488),IF($J6488&gt;0.005,1,0)))</f>
      </c>
      <c r="J6488" s="43">
        <f>IF($I6487=0,0,$R6487)</f>
      </c>
      <c r="K6488" s="43">
        <f>IF($I6488=0,0,IF(INDEX(DarlOhneTilgung,14)=1,0,IF(AND(INDEX(DarlTilgStart,14)&gt;0,$E6488=INDEX(DarlTilgStart,14)),$J6488*($H6488+INDEX(DarlTilgung,14))/100/12,IF(AND($G6488=0,$G6487=1),MAX($K6487,$J6488*($H6488+1)/100/12),$K6487))))</f>
      </c>
      <c r="L6488" s="43">
        <f>IF($I6488=0,0,$J6488*$H6488/100/12)</f>
      </c>
      <c r="M6488" s="43">
        <f>IF($I6488=0,0,IF(OR(INDEX(DarlOhneTilgung,14)=1,AND(INDEX(DarlTilgStart,14)&gt;0,$E6488&lt;INDEX(DarlTilgStart,14))),0,MIN(MAX(0,$K6488-$L6488),$J6488)))</f>
      </c>
      <c r="N6488" s="43">
        <f>IF($I6488=0,0,MIN(SUMIFS(SondBetrag,SondDarl,14,SondDatum,"&gt;="&amp;$E6488,SondDatum,"&lt;="&amp;EOMONTH($E6488,0)),$J6488-$M6488))</f>
      </c>
      <c r="O6488" s="43">
        <f>IF($I6488=0,0,INDEX(DarlErsatzRate,14))</f>
      </c>
      <c r="P6488" s="43">
        <f>IF($I6488=0,0,$Q6487*INDEX(DarlErsatzZins,14))</f>
      </c>
      <c r="Q6488" s="43">
        <f>IF($I6488=0,0,$Q6487+$P6488+$O6488)</f>
      </c>
      <c r="R6488" s="43">
        <f>IF($I6488=0,0,$J6488-$M6488-$N6488)</f>
      </c>
    </row>
    <row r="6489">
      <c r="A6489"/>
      <c r="B6489">
        <v>14</v>
      </c>
      <c r="C6489" s="43">
        <f>INDEX(DarlObj,14)</f>
      </c>
      <c r="D6489">
        <v>246</v>
      </c>
      <c r="E6489" s="51">
        <f>IF(INDEX(DarlBelegt,14)=0,0,EOMONTH(INDEX(DarlAuszahlung,14),245)+1)</f>
      </c>
      <c r="F6489" s="43">
        <f>IF($E6489=0,0,YEAR($E6489))</f>
      </c>
      <c r="G6489" s="43">
        <f>IF(INDEX(DarlBindung,14)="",1,IF($E6489&lt;=INDEX(DarlBindung,14),1,0))</f>
      </c>
      <c r="H6489" s="43">
        <f>IF($G6489=1,INDEX(DarlSollzins,14),INDEX(DarlAnschluss,14))</f>
      </c>
      <c r="I6489" s="43">
        <f>IF(INDEX(DarlBelegt,14)=0,0,IF(INDEX(DarlOhneTilgung,14)=1,IF(INDEX(DarlBindung,14)="",1,$G6489),IF($J6489&gt;0.005,1,0)))</f>
      </c>
      <c r="J6489" s="43">
        <f>IF($I6488=0,0,$R6488)</f>
      </c>
      <c r="K6489" s="43">
        <f>IF($I6489=0,0,IF(INDEX(DarlOhneTilgung,14)=1,0,IF(AND(INDEX(DarlTilgStart,14)&gt;0,$E6489=INDEX(DarlTilgStart,14)),$J6489*($H6489+INDEX(DarlTilgung,14))/100/12,IF(AND($G6489=0,$G6488=1),MAX($K6488,$J6489*($H6489+1)/100/12),$K6488))))</f>
      </c>
      <c r="L6489" s="43">
        <f>IF($I6489=0,0,$J6489*$H6489/100/12)</f>
      </c>
      <c r="M6489" s="43">
        <f>IF($I6489=0,0,IF(OR(INDEX(DarlOhneTilgung,14)=1,AND(INDEX(DarlTilgStart,14)&gt;0,$E6489&lt;INDEX(DarlTilgStart,14))),0,MIN(MAX(0,$K6489-$L6489),$J6489)))</f>
      </c>
      <c r="N6489" s="43">
        <f>IF($I6489=0,0,MIN(SUMIFS(SondBetrag,SondDarl,14,SondDatum,"&gt;="&amp;$E6489,SondDatum,"&lt;="&amp;EOMONTH($E6489,0)),$J6489-$M6489))</f>
      </c>
      <c r="O6489" s="43">
        <f>IF($I6489=0,0,INDEX(DarlErsatzRate,14))</f>
      </c>
      <c r="P6489" s="43">
        <f>IF($I6489=0,0,$Q6488*INDEX(DarlErsatzZins,14))</f>
      </c>
      <c r="Q6489" s="43">
        <f>IF($I6489=0,0,$Q6488+$P6489+$O6489)</f>
      </c>
      <c r="R6489" s="43">
        <f>IF($I6489=0,0,$J6489-$M6489-$N6489)</f>
      </c>
    </row>
    <row r="6490">
      <c r="A6490"/>
      <c r="B6490">
        <v>14</v>
      </c>
      <c r="C6490" s="43">
        <f>INDEX(DarlObj,14)</f>
      </c>
      <c r="D6490">
        <v>247</v>
      </c>
      <c r="E6490" s="51">
        <f>IF(INDEX(DarlBelegt,14)=0,0,EOMONTH(INDEX(DarlAuszahlung,14),246)+1)</f>
      </c>
      <c r="F6490" s="43">
        <f>IF($E6490=0,0,YEAR($E6490))</f>
      </c>
      <c r="G6490" s="43">
        <f>IF(INDEX(DarlBindung,14)="",1,IF($E6490&lt;=INDEX(DarlBindung,14),1,0))</f>
      </c>
      <c r="H6490" s="43">
        <f>IF($G6490=1,INDEX(DarlSollzins,14),INDEX(DarlAnschluss,14))</f>
      </c>
      <c r="I6490" s="43">
        <f>IF(INDEX(DarlBelegt,14)=0,0,IF(INDEX(DarlOhneTilgung,14)=1,IF(INDEX(DarlBindung,14)="",1,$G6490),IF($J6490&gt;0.005,1,0)))</f>
      </c>
      <c r="J6490" s="43">
        <f>IF($I6489=0,0,$R6489)</f>
      </c>
      <c r="K6490" s="43">
        <f>IF($I6490=0,0,IF(INDEX(DarlOhneTilgung,14)=1,0,IF(AND(INDEX(DarlTilgStart,14)&gt;0,$E6490=INDEX(DarlTilgStart,14)),$J6490*($H6490+INDEX(DarlTilgung,14))/100/12,IF(AND($G6490=0,$G6489=1),MAX($K6489,$J6490*($H6490+1)/100/12),$K6489))))</f>
      </c>
      <c r="L6490" s="43">
        <f>IF($I6490=0,0,$J6490*$H6490/100/12)</f>
      </c>
      <c r="M6490" s="43">
        <f>IF($I6490=0,0,IF(OR(INDEX(DarlOhneTilgung,14)=1,AND(INDEX(DarlTilgStart,14)&gt;0,$E6490&lt;INDEX(DarlTilgStart,14))),0,MIN(MAX(0,$K6490-$L6490),$J6490)))</f>
      </c>
      <c r="N6490" s="43">
        <f>IF($I6490=0,0,MIN(SUMIFS(SondBetrag,SondDarl,14,SondDatum,"&gt;="&amp;$E6490,SondDatum,"&lt;="&amp;EOMONTH($E6490,0)),$J6490-$M6490))</f>
      </c>
      <c r="O6490" s="43">
        <f>IF($I6490=0,0,INDEX(DarlErsatzRate,14))</f>
      </c>
      <c r="P6490" s="43">
        <f>IF($I6490=0,0,$Q6489*INDEX(DarlErsatzZins,14))</f>
      </c>
      <c r="Q6490" s="43">
        <f>IF($I6490=0,0,$Q6489+$P6490+$O6490)</f>
      </c>
      <c r="R6490" s="43">
        <f>IF($I6490=0,0,$J6490-$M6490-$N6490)</f>
      </c>
    </row>
    <row r="6491">
      <c r="A6491"/>
      <c r="B6491">
        <v>14</v>
      </c>
      <c r="C6491" s="43">
        <f>INDEX(DarlObj,14)</f>
      </c>
      <c r="D6491">
        <v>248</v>
      </c>
      <c r="E6491" s="51">
        <f>IF(INDEX(DarlBelegt,14)=0,0,EOMONTH(INDEX(DarlAuszahlung,14),247)+1)</f>
      </c>
      <c r="F6491" s="43">
        <f>IF($E6491=0,0,YEAR($E6491))</f>
      </c>
      <c r="G6491" s="43">
        <f>IF(INDEX(DarlBindung,14)="",1,IF($E6491&lt;=INDEX(DarlBindung,14),1,0))</f>
      </c>
      <c r="H6491" s="43">
        <f>IF($G6491=1,INDEX(DarlSollzins,14),INDEX(DarlAnschluss,14))</f>
      </c>
      <c r="I6491" s="43">
        <f>IF(INDEX(DarlBelegt,14)=0,0,IF(INDEX(DarlOhneTilgung,14)=1,IF(INDEX(DarlBindung,14)="",1,$G6491),IF($J6491&gt;0.005,1,0)))</f>
      </c>
      <c r="J6491" s="43">
        <f>IF($I6490=0,0,$R6490)</f>
      </c>
      <c r="K6491" s="43">
        <f>IF($I6491=0,0,IF(INDEX(DarlOhneTilgung,14)=1,0,IF(AND(INDEX(DarlTilgStart,14)&gt;0,$E6491=INDEX(DarlTilgStart,14)),$J6491*($H6491+INDEX(DarlTilgung,14))/100/12,IF(AND($G6491=0,$G6490=1),MAX($K6490,$J6491*($H6491+1)/100/12),$K6490))))</f>
      </c>
      <c r="L6491" s="43">
        <f>IF($I6491=0,0,$J6491*$H6491/100/12)</f>
      </c>
      <c r="M6491" s="43">
        <f>IF($I6491=0,0,IF(OR(INDEX(DarlOhneTilgung,14)=1,AND(INDEX(DarlTilgStart,14)&gt;0,$E6491&lt;INDEX(DarlTilgStart,14))),0,MIN(MAX(0,$K6491-$L6491),$J6491)))</f>
      </c>
      <c r="N6491" s="43">
        <f>IF($I6491=0,0,MIN(SUMIFS(SondBetrag,SondDarl,14,SondDatum,"&gt;="&amp;$E6491,SondDatum,"&lt;="&amp;EOMONTH($E6491,0)),$J6491-$M6491))</f>
      </c>
      <c r="O6491" s="43">
        <f>IF($I6491=0,0,INDEX(DarlErsatzRate,14))</f>
      </c>
      <c r="P6491" s="43">
        <f>IF($I6491=0,0,$Q6490*INDEX(DarlErsatzZins,14))</f>
      </c>
      <c r="Q6491" s="43">
        <f>IF($I6491=0,0,$Q6490+$P6491+$O6491)</f>
      </c>
      <c r="R6491" s="43">
        <f>IF($I6491=0,0,$J6491-$M6491-$N6491)</f>
      </c>
    </row>
    <row r="6492">
      <c r="A6492"/>
      <c r="B6492">
        <v>14</v>
      </c>
      <c r="C6492" s="43">
        <f>INDEX(DarlObj,14)</f>
      </c>
      <c r="D6492">
        <v>249</v>
      </c>
      <c r="E6492" s="51">
        <f>IF(INDEX(DarlBelegt,14)=0,0,EOMONTH(INDEX(DarlAuszahlung,14),248)+1)</f>
      </c>
      <c r="F6492" s="43">
        <f>IF($E6492=0,0,YEAR($E6492))</f>
      </c>
      <c r="G6492" s="43">
        <f>IF(INDEX(DarlBindung,14)="",1,IF($E6492&lt;=INDEX(DarlBindung,14),1,0))</f>
      </c>
      <c r="H6492" s="43">
        <f>IF($G6492=1,INDEX(DarlSollzins,14),INDEX(DarlAnschluss,14))</f>
      </c>
      <c r="I6492" s="43">
        <f>IF(INDEX(DarlBelegt,14)=0,0,IF(INDEX(DarlOhneTilgung,14)=1,IF(INDEX(DarlBindung,14)="",1,$G6492),IF($J6492&gt;0.005,1,0)))</f>
      </c>
      <c r="J6492" s="43">
        <f>IF($I6491=0,0,$R6491)</f>
      </c>
      <c r="K6492" s="43">
        <f>IF($I6492=0,0,IF(INDEX(DarlOhneTilgung,14)=1,0,IF(AND(INDEX(DarlTilgStart,14)&gt;0,$E6492=INDEX(DarlTilgStart,14)),$J6492*($H6492+INDEX(DarlTilgung,14))/100/12,IF(AND($G6492=0,$G6491=1),MAX($K6491,$J6492*($H6492+1)/100/12),$K6491))))</f>
      </c>
      <c r="L6492" s="43">
        <f>IF($I6492=0,0,$J6492*$H6492/100/12)</f>
      </c>
      <c r="M6492" s="43">
        <f>IF($I6492=0,0,IF(OR(INDEX(DarlOhneTilgung,14)=1,AND(INDEX(DarlTilgStart,14)&gt;0,$E6492&lt;INDEX(DarlTilgStart,14))),0,MIN(MAX(0,$K6492-$L6492),$J6492)))</f>
      </c>
      <c r="N6492" s="43">
        <f>IF($I6492=0,0,MIN(SUMIFS(SondBetrag,SondDarl,14,SondDatum,"&gt;="&amp;$E6492,SondDatum,"&lt;="&amp;EOMONTH($E6492,0)),$J6492-$M6492))</f>
      </c>
      <c r="O6492" s="43">
        <f>IF($I6492=0,0,INDEX(DarlErsatzRate,14))</f>
      </c>
      <c r="P6492" s="43">
        <f>IF($I6492=0,0,$Q6491*INDEX(DarlErsatzZins,14))</f>
      </c>
      <c r="Q6492" s="43">
        <f>IF($I6492=0,0,$Q6491+$P6492+$O6492)</f>
      </c>
      <c r="R6492" s="43">
        <f>IF($I6492=0,0,$J6492-$M6492-$N6492)</f>
      </c>
    </row>
    <row r="6493">
      <c r="A6493"/>
      <c r="B6493">
        <v>14</v>
      </c>
      <c r="C6493" s="43">
        <f>INDEX(DarlObj,14)</f>
      </c>
      <c r="D6493">
        <v>250</v>
      </c>
      <c r="E6493" s="51">
        <f>IF(INDEX(DarlBelegt,14)=0,0,EOMONTH(INDEX(DarlAuszahlung,14),249)+1)</f>
      </c>
      <c r="F6493" s="43">
        <f>IF($E6493=0,0,YEAR($E6493))</f>
      </c>
      <c r="G6493" s="43">
        <f>IF(INDEX(DarlBindung,14)="",1,IF($E6493&lt;=INDEX(DarlBindung,14),1,0))</f>
      </c>
      <c r="H6493" s="43">
        <f>IF($G6493=1,INDEX(DarlSollzins,14),INDEX(DarlAnschluss,14))</f>
      </c>
      <c r="I6493" s="43">
        <f>IF(INDEX(DarlBelegt,14)=0,0,IF(INDEX(DarlOhneTilgung,14)=1,IF(INDEX(DarlBindung,14)="",1,$G6493),IF($J6493&gt;0.005,1,0)))</f>
      </c>
      <c r="J6493" s="43">
        <f>IF($I6492=0,0,$R6492)</f>
      </c>
      <c r="K6493" s="43">
        <f>IF($I6493=0,0,IF(INDEX(DarlOhneTilgung,14)=1,0,IF(AND(INDEX(DarlTilgStart,14)&gt;0,$E6493=INDEX(DarlTilgStart,14)),$J6493*($H6493+INDEX(DarlTilgung,14))/100/12,IF(AND($G6493=0,$G6492=1),MAX($K6492,$J6493*($H6493+1)/100/12),$K6492))))</f>
      </c>
      <c r="L6493" s="43">
        <f>IF($I6493=0,0,$J6493*$H6493/100/12)</f>
      </c>
      <c r="M6493" s="43">
        <f>IF($I6493=0,0,IF(OR(INDEX(DarlOhneTilgung,14)=1,AND(INDEX(DarlTilgStart,14)&gt;0,$E6493&lt;INDEX(DarlTilgStart,14))),0,MIN(MAX(0,$K6493-$L6493),$J6493)))</f>
      </c>
      <c r="N6493" s="43">
        <f>IF($I6493=0,0,MIN(SUMIFS(SondBetrag,SondDarl,14,SondDatum,"&gt;="&amp;$E6493,SondDatum,"&lt;="&amp;EOMONTH($E6493,0)),$J6493-$M6493))</f>
      </c>
      <c r="O6493" s="43">
        <f>IF($I6493=0,0,INDEX(DarlErsatzRate,14))</f>
      </c>
      <c r="P6493" s="43">
        <f>IF($I6493=0,0,$Q6492*INDEX(DarlErsatzZins,14))</f>
      </c>
      <c r="Q6493" s="43">
        <f>IF($I6493=0,0,$Q6492+$P6493+$O6493)</f>
      </c>
      <c r="R6493" s="43">
        <f>IF($I6493=0,0,$J6493-$M6493-$N6493)</f>
      </c>
    </row>
    <row r="6494">
      <c r="A6494"/>
      <c r="B6494">
        <v>14</v>
      </c>
      <c r="C6494" s="43">
        <f>INDEX(DarlObj,14)</f>
      </c>
      <c r="D6494">
        <v>251</v>
      </c>
      <c r="E6494" s="51">
        <f>IF(INDEX(DarlBelegt,14)=0,0,EOMONTH(INDEX(DarlAuszahlung,14),250)+1)</f>
      </c>
      <c r="F6494" s="43">
        <f>IF($E6494=0,0,YEAR($E6494))</f>
      </c>
      <c r="G6494" s="43">
        <f>IF(INDEX(DarlBindung,14)="",1,IF($E6494&lt;=INDEX(DarlBindung,14),1,0))</f>
      </c>
      <c r="H6494" s="43">
        <f>IF($G6494=1,INDEX(DarlSollzins,14),INDEX(DarlAnschluss,14))</f>
      </c>
      <c r="I6494" s="43">
        <f>IF(INDEX(DarlBelegt,14)=0,0,IF(INDEX(DarlOhneTilgung,14)=1,IF(INDEX(DarlBindung,14)="",1,$G6494),IF($J6494&gt;0.005,1,0)))</f>
      </c>
      <c r="J6494" s="43">
        <f>IF($I6493=0,0,$R6493)</f>
      </c>
      <c r="K6494" s="43">
        <f>IF($I6494=0,0,IF(INDEX(DarlOhneTilgung,14)=1,0,IF(AND(INDEX(DarlTilgStart,14)&gt;0,$E6494=INDEX(DarlTilgStart,14)),$J6494*($H6494+INDEX(DarlTilgung,14))/100/12,IF(AND($G6494=0,$G6493=1),MAX($K6493,$J6494*($H6494+1)/100/12),$K6493))))</f>
      </c>
      <c r="L6494" s="43">
        <f>IF($I6494=0,0,$J6494*$H6494/100/12)</f>
      </c>
      <c r="M6494" s="43">
        <f>IF($I6494=0,0,IF(OR(INDEX(DarlOhneTilgung,14)=1,AND(INDEX(DarlTilgStart,14)&gt;0,$E6494&lt;INDEX(DarlTilgStart,14))),0,MIN(MAX(0,$K6494-$L6494),$J6494)))</f>
      </c>
      <c r="N6494" s="43">
        <f>IF($I6494=0,0,MIN(SUMIFS(SondBetrag,SondDarl,14,SondDatum,"&gt;="&amp;$E6494,SondDatum,"&lt;="&amp;EOMONTH($E6494,0)),$J6494-$M6494))</f>
      </c>
      <c r="O6494" s="43">
        <f>IF($I6494=0,0,INDEX(DarlErsatzRate,14))</f>
      </c>
      <c r="P6494" s="43">
        <f>IF($I6494=0,0,$Q6493*INDEX(DarlErsatzZins,14))</f>
      </c>
      <c r="Q6494" s="43">
        <f>IF($I6494=0,0,$Q6493+$P6494+$O6494)</f>
      </c>
      <c r="R6494" s="43">
        <f>IF($I6494=0,0,$J6494-$M6494-$N6494)</f>
      </c>
    </row>
    <row r="6495">
      <c r="A6495"/>
      <c r="B6495">
        <v>14</v>
      </c>
      <c r="C6495" s="43">
        <f>INDEX(DarlObj,14)</f>
      </c>
      <c r="D6495">
        <v>252</v>
      </c>
      <c r="E6495" s="51">
        <f>IF(INDEX(DarlBelegt,14)=0,0,EOMONTH(INDEX(DarlAuszahlung,14),251)+1)</f>
      </c>
      <c r="F6495" s="43">
        <f>IF($E6495=0,0,YEAR($E6495))</f>
      </c>
      <c r="G6495" s="43">
        <f>IF(INDEX(DarlBindung,14)="",1,IF($E6495&lt;=INDEX(DarlBindung,14),1,0))</f>
      </c>
      <c r="H6495" s="43">
        <f>IF($G6495=1,INDEX(DarlSollzins,14),INDEX(DarlAnschluss,14))</f>
      </c>
      <c r="I6495" s="43">
        <f>IF(INDEX(DarlBelegt,14)=0,0,IF(INDEX(DarlOhneTilgung,14)=1,IF(INDEX(DarlBindung,14)="",1,$G6495),IF($J6495&gt;0.005,1,0)))</f>
      </c>
      <c r="J6495" s="43">
        <f>IF($I6494=0,0,$R6494)</f>
      </c>
      <c r="K6495" s="43">
        <f>IF($I6495=0,0,IF(INDEX(DarlOhneTilgung,14)=1,0,IF(AND(INDEX(DarlTilgStart,14)&gt;0,$E6495=INDEX(DarlTilgStart,14)),$J6495*($H6495+INDEX(DarlTilgung,14))/100/12,IF(AND($G6495=0,$G6494=1),MAX($K6494,$J6495*($H6495+1)/100/12),$K6494))))</f>
      </c>
      <c r="L6495" s="43">
        <f>IF($I6495=0,0,$J6495*$H6495/100/12)</f>
      </c>
      <c r="M6495" s="43">
        <f>IF($I6495=0,0,IF(OR(INDEX(DarlOhneTilgung,14)=1,AND(INDEX(DarlTilgStart,14)&gt;0,$E6495&lt;INDEX(DarlTilgStart,14))),0,MIN(MAX(0,$K6495-$L6495),$J6495)))</f>
      </c>
      <c r="N6495" s="43">
        <f>IF($I6495=0,0,MIN(SUMIFS(SondBetrag,SondDarl,14,SondDatum,"&gt;="&amp;$E6495,SondDatum,"&lt;="&amp;EOMONTH($E6495,0)),$J6495-$M6495))</f>
      </c>
      <c r="O6495" s="43">
        <f>IF($I6495=0,0,INDEX(DarlErsatzRate,14))</f>
      </c>
      <c r="P6495" s="43">
        <f>IF($I6495=0,0,$Q6494*INDEX(DarlErsatzZins,14))</f>
      </c>
      <c r="Q6495" s="43">
        <f>IF($I6495=0,0,$Q6494+$P6495+$O6495)</f>
      </c>
      <c r="R6495" s="43">
        <f>IF($I6495=0,0,$J6495-$M6495-$N6495)</f>
      </c>
    </row>
    <row r="6496">
      <c r="A6496"/>
      <c r="B6496">
        <v>14</v>
      </c>
      <c r="C6496" s="43">
        <f>INDEX(DarlObj,14)</f>
      </c>
      <c r="D6496">
        <v>253</v>
      </c>
      <c r="E6496" s="51">
        <f>IF(INDEX(DarlBelegt,14)=0,0,EOMONTH(INDEX(DarlAuszahlung,14),252)+1)</f>
      </c>
      <c r="F6496" s="43">
        <f>IF($E6496=0,0,YEAR($E6496))</f>
      </c>
      <c r="G6496" s="43">
        <f>IF(INDEX(DarlBindung,14)="",1,IF($E6496&lt;=INDEX(DarlBindung,14),1,0))</f>
      </c>
      <c r="H6496" s="43">
        <f>IF($G6496=1,INDEX(DarlSollzins,14),INDEX(DarlAnschluss,14))</f>
      </c>
      <c r="I6496" s="43">
        <f>IF(INDEX(DarlBelegt,14)=0,0,IF(INDEX(DarlOhneTilgung,14)=1,IF(INDEX(DarlBindung,14)="",1,$G6496),IF($J6496&gt;0.005,1,0)))</f>
      </c>
      <c r="J6496" s="43">
        <f>IF($I6495=0,0,$R6495)</f>
      </c>
      <c r="K6496" s="43">
        <f>IF($I6496=0,0,IF(INDEX(DarlOhneTilgung,14)=1,0,IF(AND(INDEX(DarlTilgStart,14)&gt;0,$E6496=INDEX(DarlTilgStart,14)),$J6496*($H6496+INDEX(DarlTilgung,14))/100/12,IF(AND($G6496=0,$G6495=1),MAX($K6495,$J6496*($H6496+1)/100/12),$K6495))))</f>
      </c>
      <c r="L6496" s="43">
        <f>IF($I6496=0,0,$J6496*$H6496/100/12)</f>
      </c>
      <c r="M6496" s="43">
        <f>IF($I6496=0,0,IF(OR(INDEX(DarlOhneTilgung,14)=1,AND(INDEX(DarlTilgStart,14)&gt;0,$E6496&lt;INDEX(DarlTilgStart,14))),0,MIN(MAX(0,$K6496-$L6496),$J6496)))</f>
      </c>
      <c r="N6496" s="43">
        <f>IF($I6496=0,0,MIN(SUMIFS(SondBetrag,SondDarl,14,SondDatum,"&gt;="&amp;$E6496,SondDatum,"&lt;="&amp;EOMONTH($E6496,0)),$J6496-$M6496))</f>
      </c>
      <c r="O6496" s="43">
        <f>IF($I6496=0,0,INDEX(DarlErsatzRate,14))</f>
      </c>
      <c r="P6496" s="43">
        <f>IF($I6496=0,0,$Q6495*INDEX(DarlErsatzZins,14))</f>
      </c>
      <c r="Q6496" s="43">
        <f>IF($I6496=0,0,$Q6495+$P6496+$O6496)</f>
      </c>
      <c r="R6496" s="43">
        <f>IF($I6496=0,0,$J6496-$M6496-$N6496)</f>
      </c>
    </row>
    <row r="6497">
      <c r="A6497"/>
      <c r="B6497">
        <v>14</v>
      </c>
      <c r="C6497" s="43">
        <f>INDEX(DarlObj,14)</f>
      </c>
      <c r="D6497">
        <v>254</v>
      </c>
      <c r="E6497" s="51">
        <f>IF(INDEX(DarlBelegt,14)=0,0,EOMONTH(INDEX(DarlAuszahlung,14),253)+1)</f>
      </c>
      <c r="F6497" s="43">
        <f>IF($E6497=0,0,YEAR($E6497))</f>
      </c>
      <c r="G6497" s="43">
        <f>IF(INDEX(DarlBindung,14)="",1,IF($E6497&lt;=INDEX(DarlBindung,14),1,0))</f>
      </c>
      <c r="H6497" s="43">
        <f>IF($G6497=1,INDEX(DarlSollzins,14),INDEX(DarlAnschluss,14))</f>
      </c>
      <c r="I6497" s="43">
        <f>IF(INDEX(DarlBelegt,14)=0,0,IF(INDEX(DarlOhneTilgung,14)=1,IF(INDEX(DarlBindung,14)="",1,$G6497),IF($J6497&gt;0.005,1,0)))</f>
      </c>
      <c r="J6497" s="43">
        <f>IF($I6496=0,0,$R6496)</f>
      </c>
      <c r="K6497" s="43">
        <f>IF($I6497=0,0,IF(INDEX(DarlOhneTilgung,14)=1,0,IF(AND(INDEX(DarlTilgStart,14)&gt;0,$E6497=INDEX(DarlTilgStart,14)),$J6497*($H6497+INDEX(DarlTilgung,14))/100/12,IF(AND($G6497=0,$G6496=1),MAX($K6496,$J6497*($H6497+1)/100/12),$K6496))))</f>
      </c>
      <c r="L6497" s="43">
        <f>IF($I6497=0,0,$J6497*$H6497/100/12)</f>
      </c>
      <c r="M6497" s="43">
        <f>IF($I6497=0,0,IF(OR(INDEX(DarlOhneTilgung,14)=1,AND(INDEX(DarlTilgStart,14)&gt;0,$E6497&lt;INDEX(DarlTilgStart,14))),0,MIN(MAX(0,$K6497-$L6497),$J6497)))</f>
      </c>
      <c r="N6497" s="43">
        <f>IF($I6497=0,0,MIN(SUMIFS(SondBetrag,SondDarl,14,SondDatum,"&gt;="&amp;$E6497,SondDatum,"&lt;="&amp;EOMONTH($E6497,0)),$J6497-$M6497))</f>
      </c>
      <c r="O6497" s="43">
        <f>IF($I6497=0,0,INDEX(DarlErsatzRate,14))</f>
      </c>
      <c r="P6497" s="43">
        <f>IF($I6497=0,0,$Q6496*INDEX(DarlErsatzZins,14))</f>
      </c>
      <c r="Q6497" s="43">
        <f>IF($I6497=0,0,$Q6496+$P6497+$O6497)</f>
      </c>
      <c r="R6497" s="43">
        <f>IF($I6497=0,0,$J6497-$M6497-$N6497)</f>
      </c>
    </row>
    <row r="6498">
      <c r="A6498"/>
      <c r="B6498">
        <v>14</v>
      </c>
      <c r="C6498" s="43">
        <f>INDEX(DarlObj,14)</f>
      </c>
      <c r="D6498">
        <v>255</v>
      </c>
      <c r="E6498" s="51">
        <f>IF(INDEX(DarlBelegt,14)=0,0,EOMONTH(INDEX(DarlAuszahlung,14),254)+1)</f>
      </c>
      <c r="F6498" s="43">
        <f>IF($E6498=0,0,YEAR($E6498))</f>
      </c>
      <c r="G6498" s="43">
        <f>IF(INDEX(DarlBindung,14)="",1,IF($E6498&lt;=INDEX(DarlBindung,14),1,0))</f>
      </c>
      <c r="H6498" s="43">
        <f>IF($G6498=1,INDEX(DarlSollzins,14),INDEX(DarlAnschluss,14))</f>
      </c>
      <c r="I6498" s="43">
        <f>IF(INDEX(DarlBelegt,14)=0,0,IF(INDEX(DarlOhneTilgung,14)=1,IF(INDEX(DarlBindung,14)="",1,$G6498),IF($J6498&gt;0.005,1,0)))</f>
      </c>
      <c r="J6498" s="43">
        <f>IF($I6497=0,0,$R6497)</f>
      </c>
      <c r="K6498" s="43">
        <f>IF($I6498=0,0,IF(INDEX(DarlOhneTilgung,14)=1,0,IF(AND(INDEX(DarlTilgStart,14)&gt;0,$E6498=INDEX(DarlTilgStart,14)),$J6498*($H6498+INDEX(DarlTilgung,14))/100/12,IF(AND($G6498=0,$G6497=1),MAX($K6497,$J6498*($H6498+1)/100/12),$K6497))))</f>
      </c>
      <c r="L6498" s="43">
        <f>IF($I6498=0,0,$J6498*$H6498/100/12)</f>
      </c>
      <c r="M6498" s="43">
        <f>IF($I6498=0,0,IF(OR(INDEX(DarlOhneTilgung,14)=1,AND(INDEX(DarlTilgStart,14)&gt;0,$E6498&lt;INDEX(DarlTilgStart,14))),0,MIN(MAX(0,$K6498-$L6498),$J6498)))</f>
      </c>
      <c r="N6498" s="43">
        <f>IF($I6498=0,0,MIN(SUMIFS(SondBetrag,SondDarl,14,SondDatum,"&gt;="&amp;$E6498,SondDatum,"&lt;="&amp;EOMONTH($E6498,0)),$J6498-$M6498))</f>
      </c>
      <c r="O6498" s="43">
        <f>IF($I6498=0,0,INDEX(DarlErsatzRate,14))</f>
      </c>
      <c r="P6498" s="43">
        <f>IF($I6498=0,0,$Q6497*INDEX(DarlErsatzZins,14))</f>
      </c>
      <c r="Q6498" s="43">
        <f>IF($I6498=0,0,$Q6497+$P6498+$O6498)</f>
      </c>
      <c r="R6498" s="43">
        <f>IF($I6498=0,0,$J6498-$M6498-$N6498)</f>
      </c>
    </row>
    <row r="6499">
      <c r="A6499"/>
      <c r="B6499">
        <v>14</v>
      </c>
      <c r="C6499" s="43">
        <f>INDEX(DarlObj,14)</f>
      </c>
      <c r="D6499">
        <v>256</v>
      </c>
      <c r="E6499" s="51">
        <f>IF(INDEX(DarlBelegt,14)=0,0,EOMONTH(INDEX(DarlAuszahlung,14),255)+1)</f>
      </c>
      <c r="F6499" s="43">
        <f>IF($E6499=0,0,YEAR($E6499))</f>
      </c>
      <c r="G6499" s="43">
        <f>IF(INDEX(DarlBindung,14)="",1,IF($E6499&lt;=INDEX(DarlBindung,14),1,0))</f>
      </c>
      <c r="H6499" s="43">
        <f>IF($G6499=1,INDEX(DarlSollzins,14),INDEX(DarlAnschluss,14))</f>
      </c>
      <c r="I6499" s="43">
        <f>IF(INDEX(DarlBelegt,14)=0,0,IF(INDEX(DarlOhneTilgung,14)=1,IF(INDEX(DarlBindung,14)="",1,$G6499),IF($J6499&gt;0.005,1,0)))</f>
      </c>
      <c r="J6499" s="43">
        <f>IF($I6498=0,0,$R6498)</f>
      </c>
      <c r="K6499" s="43">
        <f>IF($I6499=0,0,IF(INDEX(DarlOhneTilgung,14)=1,0,IF(AND(INDEX(DarlTilgStart,14)&gt;0,$E6499=INDEX(DarlTilgStart,14)),$J6499*($H6499+INDEX(DarlTilgung,14))/100/12,IF(AND($G6499=0,$G6498=1),MAX($K6498,$J6499*($H6499+1)/100/12),$K6498))))</f>
      </c>
      <c r="L6499" s="43">
        <f>IF($I6499=0,0,$J6499*$H6499/100/12)</f>
      </c>
      <c r="M6499" s="43">
        <f>IF($I6499=0,0,IF(OR(INDEX(DarlOhneTilgung,14)=1,AND(INDEX(DarlTilgStart,14)&gt;0,$E6499&lt;INDEX(DarlTilgStart,14))),0,MIN(MAX(0,$K6499-$L6499),$J6499)))</f>
      </c>
      <c r="N6499" s="43">
        <f>IF($I6499=0,0,MIN(SUMIFS(SondBetrag,SondDarl,14,SondDatum,"&gt;="&amp;$E6499,SondDatum,"&lt;="&amp;EOMONTH($E6499,0)),$J6499-$M6499))</f>
      </c>
      <c r="O6499" s="43">
        <f>IF($I6499=0,0,INDEX(DarlErsatzRate,14))</f>
      </c>
      <c r="P6499" s="43">
        <f>IF($I6499=0,0,$Q6498*INDEX(DarlErsatzZins,14))</f>
      </c>
      <c r="Q6499" s="43">
        <f>IF($I6499=0,0,$Q6498+$P6499+$O6499)</f>
      </c>
      <c r="R6499" s="43">
        <f>IF($I6499=0,0,$J6499-$M6499-$N6499)</f>
      </c>
    </row>
    <row r="6500">
      <c r="A6500"/>
      <c r="B6500">
        <v>14</v>
      </c>
      <c r="C6500" s="43">
        <f>INDEX(DarlObj,14)</f>
      </c>
      <c r="D6500">
        <v>257</v>
      </c>
      <c r="E6500" s="51">
        <f>IF(INDEX(DarlBelegt,14)=0,0,EOMONTH(INDEX(DarlAuszahlung,14),256)+1)</f>
      </c>
      <c r="F6500" s="43">
        <f>IF($E6500=0,0,YEAR($E6500))</f>
      </c>
      <c r="G6500" s="43">
        <f>IF(INDEX(DarlBindung,14)="",1,IF($E6500&lt;=INDEX(DarlBindung,14),1,0))</f>
      </c>
      <c r="H6500" s="43">
        <f>IF($G6500=1,INDEX(DarlSollzins,14),INDEX(DarlAnschluss,14))</f>
      </c>
      <c r="I6500" s="43">
        <f>IF(INDEX(DarlBelegt,14)=0,0,IF(INDEX(DarlOhneTilgung,14)=1,IF(INDEX(DarlBindung,14)="",1,$G6500),IF($J6500&gt;0.005,1,0)))</f>
      </c>
      <c r="J6500" s="43">
        <f>IF($I6499=0,0,$R6499)</f>
      </c>
      <c r="K6500" s="43">
        <f>IF($I6500=0,0,IF(INDEX(DarlOhneTilgung,14)=1,0,IF(AND(INDEX(DarlTilgStart,14)&gt;0,$E6500=INDEX(DarlTilgStart,14)),$J6500*($H6500+INDEX(DarlTilgung,14))/100/12,IF(AND($G6500=0,$G6499=1),MAX($K6499,$J6500*($H6500+1)/100/12),$K6499))))</f>
      </c>
      <c r="L6500" s="43">
        <f>IF($I6500=0,0,$J6500*$H6500/100/12)</f>
      </c>
      <c r="M6500" s="43">
        <f>IF($I6500=0,0,IF(OR(INDEX(DarlOhneTilgung,14)=1,AND(INDEX(DarlTilgStart,14)&gt;0,$E6500&lt;INDEX(DarlTilgStart,14))),0,MIN(MAX(0,$K6500-$L6500),$J6500)))</f>
      </c>
      <c r="N6500" s="43">
        <f>IF($I6500=0,0,MIN(SUMIFS(SondBetrag,SondDarl,14,SondDatum,"&gt;="&amp;$E6500,SondDatum,"&lt;="&amp;EOMONTH($E6500,0)),$J6500-$M6500))</f>
      </c>
      <c r="O6500" s="43">
        <f>IF($I6500=0,0,INDEX(DarlErsatzRate,14))</f>
      </c>
      <c r="P6500" s="43">
        <f>IF($I6500=0,0,$Q6499*INDEX(DarlErsatzZins,14))</f>
      </c>
      <c r="Q6500" s="43">
        <f>IF($I6500=0,0,$Q6499+$P6500+$O6500)</f>
      </c>
      <c r="R6500" s="43">
        <f>IF($I6500=0,0,$J6500-$M6500-$N6500)</f>
      </c>
    </row>
    <row r="6501">
      <c r="A6501"/>
      <c r="B6501">
        <v>14</v>
      </c>
      <c r="C6501" s="43">
        <f>INDEX(DarlObj,14)</f>
      </c>
      <c r="D6501">
        <v>258</v>
      </c>
      <c r="E6501" s="51">
        <f>IF(INDEX(DarlBelegt,14)=0,0,EOMONTH(INDEX(DarlAuszahlung,14),257)+1)</f>
      </c>
      <c r="F6501" s="43">
        <f>IF($E6501=0,0,YEAR($E6501))</f>
      </c>
      <c r="G6501" s="43">
        <f>IF(INDEX(DarlBindung,14)="",1,IF($E6501&lt;=INDEX(DarlBindung,14),1,0))</f>
      </c>
      <c r="H6501" s="43">
        <f>IF($G6501=1,INDEX(DarlSollzins,14),INDEX(DarlAnschluss,14))</f>
      </c>
      <c r="I6501" s="43">
        <f>IF(INDEX(DarlBelegt,14)=0,0,IF(INDEX(DarlOhneTilgung,14)=1,IF(INDEX(DarlBindung,14)="",1,$G6501),IF($J6501&gt;0.005,1,0)))</f>
      </c>
      <c r="J6501" s="43">
        <f>IF($I6500=0,0,$R6500)</f>
      </c>
      <c r="K6501" s="43">
        <f>IF($I6501=0,0,IF(INDEX(DarlOhneTilgung,14)=1,0,IF(AND(INDEX(DarlTilgStart,14)&gt;0,$E6501=INDEX(DarlTilgStart,14)),$J6501*($H6501+INDEX(DarlTilgung,14))/100/12,IF(AND($G6501=0,$G6500=1),MAX($K6500,$J6501*($H6501+1)/100/12),$K6500))))</f>
      </c>
      <c r="L6501" s="43">
        <f>IF($I6501=0,0,$J6501*$H6501/100/12)</f>
      </c>
      <c r="M6501" s="43">
        <f>IF($I6501=0,0,IF(OR(INDEX(DarlOhneTilgung,14)=1,AND(INDEX(DarlTilgStart,14)&gt;0,$E6501&lt;INDEX(DarlTilgStart,14))),0,MIN(MAX(0,$K6501-$L6501),$J6501)))</f>
      </c>
      <c r="N6501" s="43">
        <f>IF($I6501=0,0,MIN(SUMIFS(SondBetrag,SondDarl,14,SondDatum,"&gt;="&amp;$E6501,SondDatum,"&lt;="&amp;EOMONTH($E6501,0)),$J6501-$M6501))</f>
      </c>
      <c r="O6501" s="43">
        <f>IF($I6501=0,0,INDEX(DarlErsatzRate,14))</f>
      </c>
      <c r="P6501" s="43">
        <f>IF($I6501=0,0,$Q6500*INDEX(DarlErsatzZins,14))</f>
      </c>
      <c r="Q6501" s="43">
        <f>IF($I6501=0,0,$Q6500+$P6501+$O6501)</f>
      </c>
      <c r="R6501" s="43">
        <f>IF($I6501=0,0,$J6501-$M6501-$N6501)</f>
      </c>
    </row>
    <row r="6502">
      <c r="A6502"/>
      <c r="B6502">
        <v>14</v>
      </c>
      <c r="C6502" s="43">
        <f>INDEX(DarlObj,14)</f>
      </c>
      <c r="D6502">
        <v>259</v>
      </c>
      <c r="E6502" s="51">
        <f>IF(INDEX(DarlBelegt,14)=0,0,EOMONTH(INDEX(DarlAuszahlung,14),258)+1)</f>
      </c>
      <c r="F6502" s="43">
        <f>IF($E6502=0,0,YEAR($E6502))</f>
      </c>
      <c r="G6502" s="43">
        <f>IF(INDEX(DarlBindung,14)="",1,IF($E6502&lt;=INDEX(DarlBindung,14),1,0))</f>
      </c>
      <c r="H6502" s="43">
        <f>IF($G6502=1,INDEX(DarlSollzins,14),INDEX(DarlAnschluss,14))</f>
      </c>
      <c r="I6502" s="43">
        <f>IF(INDEX(DarlBelegt,14)=0,0,IF(INDEX(DarlOhneTilgung,14)=1,IF(INDEX(DarlBindung,14)="",1,$G6502),IF($J6502&gt;0.005,1,0)))</f>
      </c>
      <c r="J6502" s="43">
        <f>IF($I6501=0,0,$R6501)</f>
      </c>
      <c r="K6502" s="43">
        <f>IF($I6502=0,0,IF(INDEX(DarlOhneTilgung,14)=1,0,IF(AND(INDEX(DarlTilgStart,14)&gt;0,$E6502=INDEX(DarlTilgStart,14)),$J6502*($H6502+INDEX(DarlTilgung,14))/100/12,IF(AND($G6502=0,$G6501=1),MAX($K6501,$J6502*($H6502+1)/100/12),$K6501))))</f>
      </c>
      <c r="L6502" s="43">
        <f>IF($I6502=0,0,$J6502*$H6502/100/12)</f>
      </c>
      <c r="M6502" s="43">
        <f>IF($I6502=0,0,IF(OR(INDEX(DarlOhneTilgung,14)=1,AND(INDEX(DarlTilgStart,14)&gt;0,$E6502&lt;INDEX(DarlTilgStart,14))),0,MIN(MAX(0,$K6502-$L6502),$J6502)))</f>
      </c>
      <c r="N6502" s="43">
        <f>IF($I6502=0,0,MIN(SUMIFS(SondBetrag,SondDarl,14,SondDatum,"&gt;="&amp;$E6502,SondDatum,"&lt;="&amp;EOMONTH($E6502,0)),$J6502-$M6502))</f>
      </c>
      <c r="O6502" s="43">
        <f>IF($I6502=0,0,INDEX(DarlErsatzRate,14))</f>
      </c>
      <c r="P6502" s="43">
        <f>IF($I6502=0,0,$Q6501*INDEX(DarlErsatzZins,14))</f>
      </c>
      <c r="Q6502" s="43">
        <f>IF($I6502=0,0,$Q6501+$P6502+$O6502)</f>
      </c>
      <c r="R6502" s="43">
        <f>IF($I6502=0,0,$J6502-$M6502-$N6502)</f>
      </c>
    </row>
    <row r="6503">
      <c r="A6503"/>
      <c r="B6503">
        <v>14</v>
      </c>
      <c r="C6503" s="43">
        <f>INDEX(DarlObj,14)</f>
      </c>
      <c r="D6503">
        <v>260</v>
      </c>
      <c r="E6503" s="51">
        <f>IF(INDEX(DarlBelegt,14)=0,0,EOMONTH(INDEX(DarlAuszahlung,14),259)+1)</f>
      </c>
      <c r="F6503" s="43">
        <f>IF($E6503=0,0,YEAR($E6503))</f>
      </c>
      <c r="G6503" s="43">
        <f>IF(INDEX(DarlBindung,14)="",1,IF($E6503&lt;=INDEX(DarlBindung,14),1,0))</f>
      </c>
      <c r="H6503" s="43">
        <f>IF($G6503=1,INDEX(DarlSollzins,14),INDEX(DarlAnschluss,14))</f>
      </c>
      <c r="I6503" s="43">
        <f>IF(INDEX(DarlBelegt,14)=0,0,IF(INDEX(DarlOhneTilgung,14)=1,IF(INDEX(DarlBindung,14)="",1,$G6503),IF($J6503&gt;0.005,1,0)))</f>
      </c>
      <c r="J6503" s="43">
        <f>IF($I6502=0,0,$R6502)</f>
      </c>
      <c r="K6503" s="43">
        <f>IF($I6503=0,0,IF(INDEX(DarlOhneTilgung,14)=1,0,IF(AND(INDEX(DarlTilgStart,14)&gt;0,$E6503=INDEX(DarlTilgStart,14)),$J6503*($H6503+INDEX(DarlTilgung,14))/100/12,IF(AND($G6503=0,$G6502=1),MAX($K6502,$J6503*($H6503+1)/100/12),$K6502))))</f>
      </c>
      <c r="L6503" s="43">
        <f>IF($I6503=0,0,$J6503*$H6503/100/12)</f>
      </c>
      <c r="M6503" s="43">
        <f>IF($I6503=0,0,IF(OR(INDEX(DarlOhneTilgung,14)=1,AND(INDEX(DarlTilgStart,14)&gt;0,$E6503&lt;INDEX(DarlTilgStart,14))),0,MIN(MAX(0,$K6503-$L6503),$J6503)))</f>
      </c>
      <c r="N6503" s="43">
        <f>IF($I6503=0,0,MIN(SUMIFS(SondBetrag,SondDarl,14,SondDatum,"&gt;="&amp;$E6503,SondDatum,"&lt;="&amp;EOMONTH($E6503,0)),$J6503-$M6503))</f>
      </c>
      <c r="O6503" s="43">
        <f>IF($I6503=0,0,INDEX(DarlErsatzRate,14))</f>
      </c>
      <c r="P6503" s="43">
        <f>IF($I6503=0,0,$Q6502*INDEX(DarlErsatzZins,14))</f>
      </c>
      <c r="Q6503" s="43">
        <f>IF($I6503=0,0,$Q6502+$P6503+$O6503)</f>
      </c>
      <c r="R6503" s="43">
        <f>IF($I6503=0,0,$J6503-$M6503-$N6503)</f>
      </c>
    </row>
    <row r="6504">
      <c r="A6504"/>
      <c r="B6504">
        <v>14</v>
      </c>
      <c r="C6504" s="43">
        <f>INDEX(DarlObj,14)</f>
      </c>
      <c r="D6504">
        <v>261</v>
      </c>
      <c r="E6504" s="51">
        <f>IF(INDEX(DarlBelegt,14)=0,0,EOMONTH(INDEX(DarlAuszahlung,14),260)+1)</f>
      </c>
      <c r="F6504" s="43">
        <f>IF($E6504=0,0,YEAR($E6504))</f>
      </c>
      <c r="G6504" s="43">
        <f>IF(INDEX(DarlBindung,14)="",1,IF($E6504&lt;=INDEX(DarlBindung,14),1,0))</f>
      </c>
      <c r="H6504" s="43">
        <f>IF($G6504=1,INDEX(DarlSollzins,14),INDEX(DarlAnschluss,14))</f>
      </c>
      <c r="I6504" s="43">
        <f>IF(INDEX(DarlBelegt,14)=0,0,IF(INDEX(DarlOhneTilgung,14)=1,IF(INDEX(DarlBindung,14)="",1,$G6504),IF($J6504&gt;0.005,1,0)))</f>
      </c>
      <c r="J6504" s="43">
        <f>IF($I6503=0,0,$R6503)</f>
      </c>
      <c r="K6504" s="43">
        <f>IF($I6504=0,0,IF(INDEX(DarlOhneTilgung,14)=1,0,IF(AND(INDEX(DarlTilgStart,14)&gt;0,$E6504=INDEX(DarlTilgStart,14)),$J6504*($H6504+INDEX(DarlTilgung,14))/100/12,IF(AND($G6504=0,$G6503=1),MAX($K6503,$J6504*($H6504+1)/100/12),$K6503))))</f>
      </c>
      <c r="L6504" s="43">
        <f>IF($I6504=0,0,$J6504*$H6504/100/12)</f>
      </c>
      <c r="M6504" s="43">
        <f>IF($I6504=0,0,IF(OR(INDEX(DarlOhneTilgung,14)=1,AND(INDEX(DarlTilgStart,14)&gt;0,$E6504&lt;INDEX(DarlTilgStart,14))),0,MIN(MAX(0,$K6504-$L6504),$J6504)))</f>
      </c>
      <c r="N6504" s="43">
        <f>IF($I6504=0,0,MIN(SUMIFS(SondBetrag,SondDarl,14,SondDatum,"&gt;="&amp;$E6504,SondDatum,"&lt;="&amp;EOMONTH($E6504,0)),$J6504-$M6504))</f>
      </c>
      <c r="O6504" s="43">
        <f>IF($I6504=0,0,INDEX(DarlErsatzRate,14))</f>
      </c>
      <c r="P6504" s="43">
        <f>IF($I6504=0,0,$Q6503*INDEX(DarlErsatzZins,14))</f>
      </c>
      <c r="Q6504" s="43">
        <f>IF($I6504=0,0,$Q6503+$P6504+$O6504)</f>
      </c>
      <c r="R6504" s="43">
        <f>IF($I6504=0,0,$J6504-$M6504-$N6504)</f>
      </c>
    </row>
    <row r="6505">
      <c r="A6505"/>
      <c r="B6505">
        <v>14</v>
      </c>
      <c r="C6505" s="43">
        <f>INDEX(DarlObj,14)</f>
      </c>
      <c r="D6505">
        <v>262</v>
      </c>
      <c r="E6505" s="51">
        <f>IF(INDEX(DarlBelegt,14)=0,0,EOMONTH(INDEX(DarlAuszahlung,14),261)+1)</f>
      </c>
      <c r="F6505" s="43">
        <f>IF($E6505=0,0,YEAR($E6505))</f>
      </c>
      <c r="G6505" s="43">
        <f>IF(INDEX(DarlBindung,14)="",1,IF($E6505&lt;=INDEX(DarlBindung,14),1,0))</f>
      </c>
      <c r="H6505" s="43">
        <f>IF($G6505=1,INDEX(DarlSollzins,14),INDEX(DarlAnschluss,14))</f>
      </c>
      <c r="I6505" s="43">
        <f>IF(INDEX(DarlBelegt,14)=0,0,IF(INDEX(DarlOhneTilgung,14)=1,IF(INDEX(DarlBindung,14)="",1,$G6505),IF($J6505&gt;0.005,1,0)))</f>
      </c>
      <c r="J6505" s="43">
        <f>IF($I6504=0,0,$R6504)</f>
      </c>
      <c r="K6505" s="43">
        <f>IF($I6505=0,0,IF(INDEX(DarlOhneTilgung,14)=1,0,IF(AND(INDEX(DarlTilgStart,14)&gt;0,$E6505=INDEX(DarlTilgStart,14)),$J6505*($H6505+INDEX(DarlTilgung,14))/100/12,IF(AND($G6505=0,$G6504=1),MAX($K6504,$J6505*($H6505+1)/100/12),$K6504))))</f>
      </c>
      <c r="L6505" s="43">
        <f>IF($I6505=0,0,$J6505*$H6505/100/12)</f>
      </c>
      <c r="M6505" s="43">
        <f>IF($I6505=0,0,IF(OR(INDEX(DarlOhneTilgung,14)=1,AND(INDEX(DarlTilgStart,14)&gt;0,$E6505&lt;INDEX(DarlTilgStart,14))),0,MIN(MAX(0,$K6505-$L6505),$J6505)))</f>
      </c>
      <c r="N6505" s="43">
        <f>IF($I6505=0,0,MIN(SUMIFS(SondBetrag,SondDarl,14,SondDatum,"&gt;="&amp;$E6505,SondDatum,"&lt;="&amp;EOMONTH($E6505,0)),$J6505-$M6505))</f>
      </c>
      <c r="O6505" s="43">
        <f>IF($I6505=0,0,INDEX(DarlErsatzRate,14))</f>
      </c>
      <c r="P6505" s="43">
        <f>IF($I6505=0,0,$Q6504*INDEX(DarlErsatzZins,14))</f>
      </c>
      <c r="Q6505" s="43">
        <f>IF($I6505=0,0,$Q6504+$P6505+$O6505)</f>
      </c>
      <c r="R6505" s="43">
        <f>IF($I6505=0,0,$J6505-$M6505-$N6505)</f>
      </c>
    </row>
    <row r="6506">
      <c r="A6506"/>
      <c r="B6506">
        <v>14</v>
      </c>
      <c r="C6506" s="43">
        <f>INDEX(DarlObj,14)</f>
      </c>
      <c r="D6506">
        <v>263</v>
      </c>
      <c r="E6506" s="51">
        <f>IF(INDEX(DarlBelegt,14)=0,0,EOMONTH(INDEX(DarlAuszahlung,14),262)+1)</f>
      </c>
      <c r="F6506" s="43">
        <f>IF($E6506=0,0,YEAR($E6506))</f>
      </c>
      <c r="G6506" s="43">
        <f>IF(INDEX(DarlBindung,14)="",1,IF($E6506&lt;=INDEX(DarlBindung,14),1,0))</f>
      </c>
      <c r="H6506" s="43">
        <f>IF($G6506=1,INDEX(DarlSollzins,14),INDEX(DarlAnschluss,14))</f>
      </c>
      <c r="I6506" s="43">
        <f>IF(INDEX(DarlBelegt,14)=0,0,IF(INDEX(DarlOhneTilgung,14)=1,IF(INDEX(DarlBindung,14)="",1,$G6506),IF($J6506&gt;0.005,1,0)))</f>
      </c>
      <c r="J6506" s="43">
        <f>IF($I6505=0,0,$R6505)</f>
      </c>
      <c r="K6506" s="43">
        <f>IF($I6506=0,0,IF(INDEX(DarlOhneTilgung,14)=1,0,IF(AND(INDEX(DarlTilgStart,14)&gt;0,$E6506=INDEX(DarlTilgStart,14)),$J6506*($H6506+INDEX(DarlTilgung,14))/100/12,IF(AND($G6506=0,$G6505=1),MAX($K6505,$J6506*($H6506+1)/100/12),$K6505))))</f>
      </c>
      <c r="L6506" s="43">
        <f>IF($I6506=0,0,$J6506*$H6506/100/12)</f>
      </c>
      <c r="M6506" s="43">
        <f>IF($I6506=0,0,IF(OR(INDEX(DarlOhneTilgung,14)=1,AND(INDEX(DarlTilgStart,14)&gt;0,$E6506&lt;INDEX(DarlTilgStart,14))),0,MIN(MAX(0,$K6506-$L6506),$J6506)))</f>
      </c>
      <c r="N6506" s="43">
        <f>IF($I6506=0,0,MIN(SUMIFS(SondBetrag,SondDarl,14,SondDatum,"&gt;="&amp;$E6506,SondDatum,"&lt;="&amp;EOMONTH($E6506,0)),$J6506-$M6506))</f>
      </c>
      <c r="O6506" s="43">
        <f>IF($I6506=0,0,INDEX(DarlErsatzRate,14))</f>
      </c>
      <c r="P6506" s="43">
        <f>IF($I6506=0,0,$Q6505*INDEX(DarlErsatzZins,14))</f>
      </c>
      <c r="Q6506" s="43">
        <f>IF($I6506=0,0,$Q6505+$P6506+$O6506)</f>
      </c>
      <c r="R6506" s="43">
        <f>IF($I6506=0,0,$J6506-$M6506-$N6506)</f>
      </c>
    </row>
    <row r="6507">
      <c r="A6507"/>
      <c r="B6507">
        <v>14</v>
      </c>
      <c r="C6507" s="43">
        <f>INDEX(DarlObj,14)</f>
      </c>
      <c r="D6507">
        <v>264</v>
      </c>
      <c r="E6507" s="51">
        <f>IF(INDEX(DarlBelegt,14)=0,0,EOMONTH(INDEX(DarlAuszahlung,14),263)+1)</f>
      </c>
      <c r="F6507" s="43">
        <f>IF($E6507=0,0,YEAR($E6507))</f>
      </c>
      <c r="G6507" s="43">
        <f>IF(INDEX(DarlBindung,14)="",1,IF($E6507&lt;=INDEX(DarlBindung,14),1,0))</f>
      </c>
      <c r="H6507" s="43">
        <f>IF($G6507=1,INDEX(DarlSollzins,14),INDEX(DarlAnschluss,14))</f>
      </c>
      <c r="I6507" s="43">
        <f>IF(INDEX(DarlBelegt,14)=0,0,IF(INDEX(DarlOhneTilgung,14)=1,IF(INDEX(DarlBindung,14)="",1,$G6507),IF($J6507&gt;0.005,1,0)))</f>
      </c>
      <c r="J6507" s="43">
        <f>IF($I6506=0,0,$R6506)</f>
      </c>
      <c r="K6507" s="43">
        <f>IF($I6507=0,0,IF(INDEX(DarlOhneTilgung,14)=1,0,IF(AND(INDEX(DarlTilgStart,14)&gt;0,$E6507=INDEX(DarlTilgStart,14)),$J6507*($H6507+INDEX(DarlTilgung,14))/100/12,IF(AND($G6507=0,$G6506=1),MAX($K6506,$J6507*($H6507+1)/100/12),$K6506))))</f>
      </c>
      <c r="L6507" s="43">
        <f>IF($I6507=0,0,$J6507*$H6507/100/12)</f>
      </c>
      <c r="M6507" s="43">
        <f>IF($I6507=0,0,IF(OR(INDEX(DarlOhneTilgung,14)=1,AND(INDEX(DarlTilgStart,14)&gt;0,$E6507&lt;INDEX(DarlTilgStart,14))),0,MIN(MAX(0,$K6507-$L6507),$J6507)))</f>
      </c>
      <c r="N6507" s="43">
        <f>IF($I6507=0,0,MIN(SUMIFS(SondBetrag,SondDarl,14,SondDatum,"&gt;="&amp;$E6507,SondDatum,"&lt;="&amp;EOMONTH($E6507,0)),$J6507-$M6507))</f>
      </c>
      <c r="O6507" s="43">
        <f>IF($I6507=0,0,INDEX(DarlErsatzRate,14))</f>
      </c>
      <c r="P6507" s="43">
        <f>IF($I6507=0,0,$Q6506*INDEX(DarlErsatzZins,14))</f>
      </c>
      <c r="Q6507" s="43">
        <f>IF($I6507=0,0,$Q6506+$P6507+$O6507)</f>
      </c>
      <c r="R6507" s="43">
        <f>IF($I6507=0,0,$J6507-$M6507-$N6507)</f>
      </c>
    </row>
    <row r="6508">
      <c r="A6508"/>
      <c r="B6508">
        <v>14</v>
      </c>
      <c r="C6508" s="43">
        <f>INDEX(DarlObj,14)</f>
      </c>
      <c r="D6508">
        <v>265</v>
      </c>
      <c r="E6508" s="51">
        <f>IF(INDEX(DarlBelegt,14)=0,0,EOMONTH(INDEX(DarlAuszahlung,14),264)+1)</f>
      </c>
      <c r="F6508" s="43">
        <f>IF($E6508=0,0,YEAR($E6508))</f>
      </c>
      <c r="G6508" s="43">
        <f>IF(INDEX(DarlBindung,14)="",1,IF($E6508&lt;=INDEX(DarlBindung,14),1,0))</f>
      </c>
      <c r="H6508" s="43">
        <f>IF($G6508=1,INDEX(DarlSollzins,14),INDEX(DarlAnschluss,14))</f>
      </c>
      <c r="I6508" s="43">
        <f>IF(INDEX(DarlBelegt,14)=0,0,IF(INDEX(DarlOhneTilgung,14)=1,IF(INDEX(DarlBindung,14)="",1,$G6508),IF($J6508&gt;0.005,1,0)))</f>
      </c>
      <c r="J6508" s="43">
        <f>IF($I6507=0,0,$R6507)</f>
      </c>
      <c r="K6508" s="43">
        <f>IF($I6508=0,0,IF(INDEX(DarlOhneTilgung,14)=1,0,IF(AND(INDEX(DarlTilgStart,14)&gt;0,$E6508=INDEX(DarlTilgStart,14)),$J6508*($H6508+INDEX(DarlTilgung,14))/100/12,IF(AND($G6508=0,$G6507=1),MAX($K6507,$J6508*($H6508+1)/100/12),$K6507))))</f>
      </c>
      <c r="L6508" s="43">
        <f>IF($I6508=0,0,$J6508*$H6508/100/12)</f>
      </c>
      <c r="M6508" s="43">
        <f>IF($I6508=0,0,IF(OR(INDEX(DarlOhneTilgung,14)=1,AND(INDEX(DarlTilgStart,14)&gt;0,$E6508&lt;INDEX(DarlTilgStart,14))),0,MIN(MAX(0,$K6508-$L6508),$J6508)))</f>
      </c>
      <c r="N6508" s="43">
        <f>IF($I6508=0,0,MIN(SUMIFS(SondBetrag,SondDarl,14,SondDatum,"&gt;="&amp;$E6508,SondDatum,"&lt;="&amp;EOMONTH($E6508,0)),$J6508-$M6508))</f>
      </c>
      <c r="O6508" s="43">
        <f>IF($I6508=0,0,INDEX(DarlErsatzRate,14))</f>
      </c>
      <c r="P6508" s="43">
        <f>IF($I6508=0,0,$Q6507*INDEX(DarlErsatzZins,14))</f>
      </c>
      <c r="Q6508" s="43">
        <f>IF($I6508=0,0,$Q6507+$P6508+$O6508)</f>
      </c>
      <c r="R6508" s="43">
        <f>IF($I6508=0,0,$J6508-$M6508-$N6508)</f>
      </c>
    </row>
    <row r="6509">
      <c r="A6509"/>
      <c r="B6509">
        <v>14</v>
      </c>
      <c r="C6509" s="43">
        <f>INDEX(DarlObj,14)</f>
      </c>
      <c r="D6509">
        <v>266</v>
      </c>
      <c r="E6509" s="51">
        <f>IF(INDEX(DarlBelegt,14)=0,0,EOMONTH(INDEX(DarlAuszahlung,14),265)+1)</f>
      </c>
      <c r="F6509" s="43">
        <f>IF($E6509=0,0,YEAR($E6509))</f>
      </c>
      <c r="G6509" s="43">
        <f>IF(INDEX(DarlBindung,14)="",1,IF($E6509&lt;=INDEX(DarlBindung,14),1,0))</f>
      </c>
      <c r="H6509" s="43">
        <f>IF($G6509=1,INDEX(DarlSollzins,14),INDEX(DarlAnschluss,14))</f>
      </c>
      <c r="I6509" s="43">
        <f>IF(INDEX(DarlBelegt,14)=0,0,IF(INDEX(DarlOhneTilgung,14)=1,IF(INDEX(DarlBindung,14)="",1,$G6509),IF($J6509&gt;0.005,1,0)))</f>
      </c>
      <c r="J6509" s="43">
        <f>IF($I6508=0,0,$R6508)</f>
      </c>
      <c r="K6509" s="43">
        <f>IF($I6509=0,0,IF(INDEX(DarlOhneTilgung,14)=1,0,IF(AND(INDEX(DarlTilgStart,14)&gt;0,$E6509=INDEX(DarlTilgStart,14)),$J6509*($H6509+INDEX(DarlTilgung,14))/100/12,IF(AND($G6509=0,$G6508=1),MAX($K6508,$J6509*($H6509+1)/100/12),$K6508))))</f>
      </c>
      <c r="L6509" s="43">
        <f>IF($I6509=0,0,$J6509*$H6509/100/12)</f>
      </c>
      <c r="M6509" s="43">
        <f>IF($I6509=0,0,IF(OR(INDEX(DarlOhneTilgung,14)=1,AND(INDEX(DarlTilgStart,14)&gt;0,$E6509&lt;INDEX(DarlTilgStart,14))),0,MIN(MAX(0,$K6509-$L6509),$J6509)))</f>
      </c>
      <c r="N6509" s="43">
        <f>IF($I6509=0,0,MIN(SUMIFS(SondBetrag,SondDarl,14,SondDatum,"&gt;="&amp;$E6509,SondDatum,"&lt;="&amp;EOMONTH($E6509,0)),$J6509-$M6509))</f>
      </c>
      <c r="O6509" s="43">
        <f>IF($I6509=0,0,INDEX(DarlErsatzRate,14))</f>
      </c>
      <c r="P6509" s="43">
        <f>IF($I6509=0,0,$Q6508*INDEX(DarlErsatzZins,14))</f>
      </c>
      <c r="Q6509" s="43">
        <f>IF($I6509=0,0,$Q6508+$P6509+$O6509)</f>
      </c>
      <c r="R6509" s="43">
        <f>IF($I6509=0,0,$J6509-$M6509-$N6509)</f>
      </c>
    </row>
    <row r="6510">
      <c r="A6510"/>
      <c r="B6510">
        <v>14</v>
      </c>
      <c r="C6510" s="43">
        <f>INDEX(DarlObj,14)</f>
      </c>
      <c r="D6510">
        <v>267</v>
      </c>
      <c r="E6510" s="51">
        <f>IF(INDEX(DarlBelegt,14)=0,0,EOMONTH(INDEX(DarlAuszahlung,14),266)+1)</f>
      </c>
      <c r="F6510" s="43">
        <f>IF($E6510=0,0,YEAR($E6510))</f>
      </c>
      <c r="G6510" s="43">
        <f>IF(INDEX(DarlBindung,14)="",1,IF($E6510&lt;=INDEX(DarlBindung,14),1,0))</f>
      </c>
      <c r="H6510" s="43">
        <f>IF($G6510=1,INDEX(DarlSollzins,14),INDEX(DarlAnschluss,14))</f>
      </c>
      <c r="I6510" s="43">
        <f>IF(INDEX(DarlBelegt,14)=0,0,IF(INDEX(DarlOhneTilgung,14)=1,IF(INDEX(DarlBindung,14)="",1,$G6510),IF($J6510&gt;0.005,1,0)))</f>
      </c>
      <c r="J6510" s="43">
        <f>IF($I6509=0,0,$R6509)</f>
      </c>
      <c r="K6510" s="43">
        <f>IF($I6510=0,0,IF(INDEX(DarlOhneTilgung,14)=1,0,IF(AND(INDEX(DarlTilgStart,14)&gt;0,$E6510=INDEX(DarlTilgStart,14)),$J6510*($H6510+INDEX(DarlTilgung,14))/100/12,IF(AND($G6510=0,$G6509=1),MAX($K6509,$J6510*($H6510+1)/100/12),$K6509))))</f>
      </c>
      <c r="L6510" s="43">
        <f>IF($I6510=0,0,$J6510*$H6510/100/12)</f>
      </c>
      <c r="M6510" s="43">
        <f>IF($I6510=0,0,IF(OR(INDEX(DarlOhneTilgung,14)=1,AND(INDEX(DarlTilgStart,14)&gt;0,$E6510&lt;INDEX(DarlTilgStart,14))),0,MIN(MAX(0,$K6510-$L6510),$J6510)))</f>
      </c>
      <c r="N6510" s="43">
        <f>IF($I6510=0,0,MIN(SUMIFS(SondBetrag,SondDarl,14,SondDatum,"&gt;="&amp;$E6510,SondDatum,"&lt;="&amp;EOMONTH($E6510,0)),$J6510-$M6510))</f>
      </c>
      <c r="O6510" s="43">
        <f>IF($I6510=0,0,INDEX(DarlErsatzRate,14))</f>
      </c>
      <c r="P6510" s="43">
        <f>IF($I6510=0,0,$Q6509*INDEX(DarlErsatzZins,14))</f>
      </c>
      <c r="Q6510" s="43">
        <f>IF($I6510=0,0,$Q6509+$P6510+$O6510)</f>
      </c>
      <c r="R6510" s="43">
        <f>IF($I6510=0,0,$J6510-$M6510-$N6510)</f>
      </c>
    </row>
    <row r="6511">
      <c r="A6511"/>
      <c r="B6511">
        <v>14</v>
      </c>
      <c r="C6511" s="43">
        <f>INDEX(DarlObj,14)</f>
      </c>
      <c r="D6511">
        <v>268</v>
      </c>
      <c r="E6511" s="51">
        <f>IF(INDEX(DarlBelegt,14)=0,0,EOMONTH(INDEX(DarlAuszahlung,14),267)+1)</f>
      </c>
      <c r="F6511" s="43">
        <f>IF($E6511=0,0,YEAR($E6511))</f>
      </c>
      <c r="G6511" s="43">
        <f>IF(INDEX(DarlBindung,14)="",1,IF($E6511&lt;=INDEX(DarlBindung,14),1,0))</f>
      </c>
      <c r="H6511" s="43">
        <f>IF($G6511=1,INDEX(DarlSollzins,14),INDEX(DarlAnschluss,14))</f>
      </c>
      <c r="I6511" s="43">
        <f>IF(INDEX(DarlBelegt,14)=0,0,IF(INDEX(DarlOhneTilgung,14)=1,IF(INDEX(DarlBindung,14)="",1,$G6511),IF($J6511&gt;0.005,1,0)))</f>
      </c>
      <c r="J6511" s="43">
        <f>IF($I6510=0,0,$R6510)</f>
      </c>
      <c r="K6511" s="43">
        <f>IF($I6511=0,0,IF(INDEX(DarlOhneTilgung,14)=1,0,IF(AND(INDEX(DarlTilgStart,14)&gt;0,$E6511=INDEX(DarlTilgStart,14)),$J6511*($H6511+INDEX(DarlTilgung,14))/100/12,IF(AND($G6511=0,$G6510=1),MAX($K6510,$J6511*($H6511+1)/100/12),$K6510))))</f>
      </c>
      <c r="L6511" s="43">
        <f>IF($I6511=0,0,$J6511*$H6511/100/12)</f>
      </c>
      <c r="M6511" s="43">
        <f>IF($I6511=0,0,IF(OR(INDEX(DarlOhneTilgung,14)=1,AND(INDEX(DarlTilgStart,14)&gt;0,$E6511&lt;INDEX(DarlTilgStart,14))),0,MIN(MAX(0,$K6511-$L6511),$J6511)))</f>
      </c>
      <c r="N6511" s="43">
        <f>IF($I6511=0,0,MIN(SUMIFS(SondBetrag,SondDarl,14,SondDatum,"&gt;="&amp;$E6511,SondDatum,"&lt;="&amp;EOMONTH($E6511,0)),$J6511-$M6511))</f>
      </c>
      <c r="O6511" s="43">
        <f>IF($I6511=0,0,INDEX(DarlErsatzRate,14))</f>
      </c>
      <c r="P6511" s="43">
        <f>IF($I6511=0,0,$Q6510*INDEX(DarlErsatzZins,14))</f>
      </c>
      <c r="Q6511" s="43">
        <f>IF($I6511=0,0,$Q6510+$P6511+$O6511)</f>
      </c>
      <c r="R6511" s="43">
        <f>IF($I6511=0,0,$J6511-$M6511-$N6511)</f>
      </c>
    </row>
    <row r="6512">
      <c r="A6512"/>
      <c r="B6512">
        <v>14</v>
      </c>
      <c r="C6512" s="43">
        <f>INDEX(DarlObj,14)</f>
      </c>
      <c r="D6512">
        <v>269</v>
      </c>
      <c r="E6512" s="51">
        <f>IF(INDEX(DarlBelegt,14)=0,0,EOMONTH(INDEX(DarlAuszahlung,14),268)+1)</f>
      </c>
      <c r="F6512" s="43">
        <f>IF($E6512=0,0,YEAR($E6512))</f>
      </c>
      <c r="G6512" s="43">
        <f>IF(INDEX(DarlBindung,14)="",1,IF($E6512&lt;=INDEX(DarlBindung,14),1,0))</f>
      </c>
      <c r="H6512" s="43">
        <f>IF($G6512=1,INDEX(DarlSollzins,14),INDEX(DarlAnschluss,14))</f>
      </c>
      <c r="I6512" s="43">
        <f>IF(INDEX(DarlBelegt,14)=0,0,IF(INDEX(DarlOhneTilgung,14)=1,IF(INDEX(DarlBindung,14)="",1,$G6512),IF($J6512&gt;0.005,1,0)))</f>
      </c>
      <c r="J6512" s="43">
        <f>IF($I6511=0,0,$R6511)</f>
      </c>
      <c r="K6512" s="43">
        <f>IF($I6512=0,0,IF(INDEX(DarlOhneTilgung,14)=1,0,IF(AND(INDEX(DarlTilgStart,14)&gt;0,$E6512=INDEX(DarlTilgStart,14)),$J6512*($H6512+INDEX(DarlTilgung,14))/100/12,IF(AND($G6512=0,$G6511=1),MAX($K6511,$J6512*($H6512+1)/100/12),$K6511))))</f>
      </c>
      <c r="L6512" s="43">
        <f>IF($I6512=0,0,$J6512*$H6512/100/12)</f>
      </c>
      <c r="M6512" s="43">
        <f>IF($I6512=0,0,IF(OR(INDEX(DarlOhneTilgung,14)=1,AND(INDEX(DarlTilgStart,14)&gt;0,$E6512&lt;INDEX(DarlTilgStart,14))),0,MIN(MAX(0,$K6512-$L6512),$J6512)))</f>
      </c>
      <c r="N6512" s="43">
        <f>IF($I6512=0,0,MIN(SUMIFS(SondBetrag,SondDarl,14,SondDatum,"&gt;="&amp;$E6512,SondDatum,"&lt;="&amp;EOMONTH($E6512,0)),$J6512-$M6512))</f>
      </c>
      <c r="O6512" s="43">
        <f>IF($I6512=0,0,INDEX(DarlErsatzRate,14))</f>
      </c>
      <c r="P6512" s="43">
        <f>IF($I6512=0,0,$Q6511*INDEX(DarlErsatzZins,14))</f>
      </c>
      <c r="Q6512" s="43">
        <f>IF($I6512=0,0,$Q6511+$P6512+$O6512)</f>
      </c>
      <c r="R6512" s="43">
        <f>IF($I6512=0,0,$J6512-$M6512-$N6512)</f>
      </c>
    </row>
    <row r="6513">
      <c r="A6513"/>
      <c r="B6513">
        <v>14</v>
      </c>
      <c r="C6513" s="43">
        <f>INDEX(DarlObj,14)</f>
      </c>
      <c r="D6513">
        <v>270</v>
      </c>
      <c r="E6513" s="51">
        <f>IF(INDEX(DarlBelegt,14)=0,0,EOMONTH(INDEX(DarlAuszahlung,14),269)+1)</f>
      </c>
      <c r="F6513" s="43">
        <f>IF($E6513=0,0,YEAR($E6513))</f>
      </c>
      <c r="G6513" s="43">
        <f>IF(INDEX(DarlBindung,14)="",1,IF($E6513&lt;=INDEX(DarlBindung,14),1,0))</f>
      </c>
      <c r="H6513" s="43">
        <f>IF($G6513=1,INDEX(DarlSollzins,14),INDEX(DarlAnschluss,14))</f>
      </c>
      <c r="I6513" s="43">
        <f>IF(INDEX(DarlBelegt,14)=0,0,IF(INDEX(DarlOhneTilgung,14)=1,IF(INDEX(DarlBindung,14)="",1,$G6513),IF($J6513&gt;0.005,1,0)))</f>
      </c>
      <c r="J6513" s="43">
        <f>IF($I6512=0,0,$R6512)</f>
      </c>
      <c r="K6513" s="43">
        <f>IF($I6513=0,0,IF(INDEX(DarlOhneTilgung,14)=1,0,IF(AND(INDEX(DarlTilgStart,14)&gt;0,$E6513=INDEX(DarlTilgStart,14)),$J6513*($H6513+INDEX(DarlTilgung,14))/100/12,IF(AND($G6513=0,$G6512=1),MAX($K6512,$J6513*($H6513+1)/100/12),$K6512))))</f>
      </c>
      <c r="L6513" s="43">
        <f>IF($I6513=0,0,$J6513*$H6513/100/12)</f>
      </c>
      <c r="M6513" s="43">
        <f>IF($I6513=0,0,IF(OR(INDEX(DarlOhneTilgung,14)=1,AND(INDEX(DarlTilgStart,14)&gt;0,$E6513&lt;INDEX(DarlTilgStart,14))),0,MIN(MAX(0,$K6513-$L6513),$J6513)))</f>
      </c>
      <c r="N6513" s="43">
        <f>IF($I6513=0,0,MIN(SUMIFS(SondBetrag,SondDarl,14,SondDatum,"&gt;="&amp;$E6513,SondDatum,"&lt;="&amp;EOMONTH($E6513,0)),$J6513-$M6513))</f>
      </c>
      <c r="O6513" s="43">
        <f>IF($I6513=0,0,INDEX(DarlErsatzRate,14))</f>
      </c>
      <c r="P6513" s="43">
        <f>IF($I6513=0,0,$Q6512*INDEX(DarlErsatzZins,14))</f>
      </c>
      <c r="Q6513" s="43">
        <f>IF($I6513=0,0,$Q6512+$P6513+$O6513)</f>
      </c>
      <c r="R6513" s="43">
        <f>IF($I6513=0,0,$J6513-$M6513-$N6513)</f>
      </c>
    </row>
    <row r="6514">
      <c r="A6514"/>
      <c r="B6514">
        <v>14</v>
      </c>
      <c r="C6514" s="43">
        <f>INDEX(DarlObj,14)</f>
      </c>
      <c r="D6514">
        <v>271</v>
      </c>
      <c r="E6514" s="51">
        <f>IF(INDEX(DarlBelegt,14)=0,0,EOMONTH(INDEX(DarlAuszahlung,14),270)+1)</f>
      </c>
      <c r="F6514" s="43">
        <f>IF($E6514=0,0,YEAR($E6514))</f>
      </c>
      <c r="G6514" s="43">
        <f>IF(INDEX(DarlBindung,14)="",1,IF($E6514&lt;=INDEX(DarlBindung,14),1,0))</f>
      </c>
      <c r="H6514" s="43">
        <f>IF($G6514=1,INDEX(DarlSollzins,14),INDEX(DarlAnschluss,14))</f>
      </c>
      <c r="I6514" s="43">
        <f>IF(INDEX(DarlBelegt,14)=0,0,IF(INDEX(DarlOhneTilgung,14)=1,IF(INDEX(DarlBindung,14)="",1,$G6514),IF($J6514&gt;0.005,1,0)))</f>
      </c>
      <c r="J6514" s="43">
        <f>IF($I6513=0,0,$R6513)</f>
      </c>
      <c r="K6514" s="43">
        <f>IF($I6514=0,0,IF(INDEX(DarlOhneTilgung,14)=1,0,IF(AND(INDEX(DarlTilgStart,14)&gt;0,$E6514=INDEX(DarlTilgStart,14)),$J6514*($H6514+INDEX(DarlTilgung,14))/100/12,IF(AND($G6514=0,$G6513=1),MAX($K6513,$J6514*($H6514+1)/100/12),$K6513))))</f>
      </c>
      <c r="L6514" s="43">
        <f>IF($I6514=0,0,$J6514*$H6514/100/12)</f>
      </c>
      <c r="M6514" s="43">
        <f>IF($I6514=0,0,IF(OR(INDEX(DarlOhneTilgung,14)=1,AND(INDEX(DarlTilgStart,14)&gt;0,$E6514&lt;INDEX(DarlTilgStart,14))),0,MIN(MAX(0,$K6514-$L6514),$J6514)))</f>
      </c>
      <c r="N6514" s="43">
        <f>IF($I6514=0,0,MIN(SUMIFS(SondBetrag,SondDarl,14,SondDatum,"&gt;="&amp;$E6514,SondDatum,"&lt;="&amp;EOMONTH($E6514,0)),$J6514-$M6514))</f>
      </c>
      <c r="O6514" s="43">
        <f>IF($I6514=0,0,INDEX(DarlErsatzRate,14))</f>
      </c>
      <c r="P6514" s="43">
        <f>IF($I6514=0,0,$Q6513*INDEX(DarlErsatzZins,14))</f>
      </c>
      <c r="Q6514" s="43">
        <f>IF($I6514=0,0,$Q6513+$P6514+$O6514)</f>
      </c>
      <c r="R6514" s="43">
        <f>IF($I6514=0,0,$J6514-$M6514-$N6514)</f>
      </c>
    </row>
    <row r="6515">
      <c r="A6515"/>
      <c r="B6515">
        <v>14</v>
      </c>
      <c r="C6515" s="43">
        <f>INDEX(DarlObj,14)</f>
      </c>
      <c r="D6515">
        <v>272</v>
      </c>
      <c r="E6515" s="51">
        <f>IF(INDEX(DarlBelegt,14)=0,0,EOMONTH(INDEX(DarlAuszahlung,14),271)+1)</f>
      </c>
      <c r="F6515" s="43">
        <f>IF($E6515=0,0,YEAR($E6515))</f>
      </c>
      <c r="G6515" s="43">
        <f>IF(INDEX(DarlBindung,14)="",1,IF($E6515&lt;=INDEX(DarlBindung,14),1,0))</f>
      </c>
      <c r="H6515" s="43">
        <f>IF($G6515=1,INDEX(DarlSollzins,14),INDEX(DarlAnschluss,14))</f>
      </c>
      <c r="I6515" s="43">
        <f>IF(INDEX(DarlBelegt,14)=0,0,IF(INDEX(DarlOhneTilgung,14)=1,IF(INDEX(DarlBindung,14)="",1,$G6515),IF($J6515&gt;0.005,1,0)))</f>
      </c>
      <c r="J6515" s="43">
        <f>IF($I6514=0,0,$R6514)</f>
      </c>
      <c r="K6515" s="43">
        <f>IF($I6515=0,0,IF(INDEX(DarlOhneTilgung,14)=1,0,IF(AND(INDEX(DarlTilgStart,14)&gt;0,$E6515=INDEX(DarlTilgStart,14)),$J6515*($H6515+INDEX(DarlTilgung,14))/100/12,IF(AND($G6515=0,$G6514=1),MAX($K6514,$J6515*($H6515+1)/100/12),$K6514))))</f>
      </c>
      <c r="L6515" s="43">
        <f>IF($I6515=0,0,$J6515*$H6515/100/12)</f>
      </c>
      <c r="M6515" s="43">
        <f>IF($I6515=0,0,IF(OR(INDEX(DarlOhneTilgung,14)=1,AND(INDEX(DarlTilgStart,14)&gt;0,$E6515&lt;INDEX(DarlTilgStart,14))),0,MIN(MAX(0,$K6515-$L6515),$J6515)))</f>
      </c>
      <c r="N6515" s="43">
        <f>IF($I6515=0,0,MIN(SUMIFS(SondBetrag,SondDarl,14,SondDatum,"&gt;="&amp;$E6515,SondDatum,"&lt;="&amp;EOMONTH($E6515,0)),$J6515-$M6515))</f>
      </c>
      <c r="O6515" s="43">
        <f>IF($I6515=0,0,INDEX(DarlErsatzRate,14))</f>
      </c>
      <c r="P6515" s="43">
        <f>IF($I6515=0,0,$Q6514*INDEX(DarlErsatzZins,14))</f>
      </c>
      <c r="Q6515" s="43">
        <f>IF($I6515=0,0,$Q6514+$P6515+$O6515)</f>
      </c>
      <c r="R6515" s="43">
        <f>IF($I6515=0,0,$J6515-$M6515-$N6515)</f>
      </c>
    </row>
    <row r="6516">
      <c r="A6516"/>
      <c r="B6516">
        <v>14</v>
      </c>
      <c r="C6516" s="43">
        <f>INDEX(DarlObj,14)</f>
      </c>
      <c r="D6516">
        <v>273</v>
      </c>
      <c r="E6516" s="51">
        <f>IF(INDEX(DarlBelegt,14)=0,0,EOMONTH(INDEX(DarlAuszahlung,14),272)+1)</f>
      </c>
      <c r="F6516" s="43">
        <f>IF($E6516=0,0,YEAR($E6516))</f>
      </c>
      <c r="G6516" s="43">
        <f>IF(INDEX(DarlBindung,14)="",1,IF($E6516&lt;=INDEX(DarlBindung,14),1,0))</f>
      </c>
      <c r="H6516" s="43">
        <f>IF($G6516=1,INDEX(DarlSollzins,14),INDEX(DarlAnschluss,14))</f>
      </c>
      <c r="I6516" s="43">
        <f>IF(INDEX(DarlBelegt,14)=0,0,IF(INDEX(DarlOhneTilgung,14)=1,IF(INDEX(DarlBindung,14)="",1,$G6516),IF($J6516&gt;0.005,1,0)))</f>
      </c>
      <c r="J6516" s="43">
        <f>IF($I6515=0,0,$R6515)</f>
      </c>
      <c r="K6516" s="43">
        <f>IF($I6516=0,0,IF(INDEX(DarlOhneTilgung,14)=1,0,IF(AND(INDEX(DarlTilgStart,14)&gt;0,$E6516=INDEX(DarlTilgStart,14)),$J6516*($H6516+INDEX(DarlTilgung,14))/100/12,IF(AND($G6516=0,$G6515=1),MAX($K6515,$J6516*($H6516+1)/100/12),$K6515))))</f>
      </c>
      <c r="L6516" s="43">
        <f>IF($I6516=0,0,$J6516*$H6516/100/12)</f>
      </c>
      <c r="M6516" s="43">
        <f>IF($I6516=0,0,IF(OR(INDEX(DarlOhneTilgung,14)=1,AND(INDEX(DarlTilgStart,14)&gt;0,$E6516&lt;INDEX(DarlTilgStart,14))),0,MIN(MAX(0,$K6516-$L6516),$J6516)))</f>
      </c>
      <c r="N6516" s="43">
        <f>IF($I6516=0,0,MIN(SUMIFS(SondBetrag,SondDarl,14,SondDatum,"&gt;="&amp;$E6516,SondDatum,"&lt;="&amp;EOMONTH($E6516,0)),$J6516-$M6516))</f>
      </c>
      <c r="O6516" s="43">
        <f>IF($I6516=0,0,INDEX(DarlErsatzRate,14))</f>
      </c>
      <c r="P6516" s="43">
        <f>IF($I6516=0,0,$Q6515*INDEX(DarlErsatzZins,14))</f>
      </c>
      <c r="Q6516" s="43">
        <f>IF($I6516=0,0,$Q6515+$P6516+$O6516)</f>
      </c>
      <c r="R6516" s="43">
        <f>IF($I6516=0,0,$J6516-$M6516-$N6516)</f>
      </c>
    </row>
    <row r="6517">
      <c r="A6517"/>
      <c r="B6517">
        <v>14</v>
      </c>
      <c r="C6517" s="43">
        <f>INDEX(DarlObj,14)</f>
      </c>
      <c r="D6517">
        <v>274</v>
      </c>
      <c r="E6517" s="51">
        <f>IF(INDEX(DarlBelegt,14)=0,0,EOMONTH(INDEX(DarlAuszahlung,14),273)+1)</f>
      </c>
      <c r="F6517" s="43">
        <f>IF($E6517=0,0,YEAR($E6517))</f>
      </c>
      <c r="G6517" s="43">
        <f>IF(INDEX(DarlBindung,14)="",1,IF($E6517&lt;=INDEX(DarlBindung,14),1,0))</f>
      </c>
      <c r="H6517" s="43">
        <f>IF($G6517=1,INDEX(DarlSollzins,14),INDEX(DarlAnschluss,14))</f>
      </c>
      <c r="I6517" s="43">
        <f>IF(INDEX(DarlBelegt,14)=0,0,IF(INDEX(DarlOhneTilgung,14)=1,IF(INDEX(DarlBindung,14)="",1,$G6517),IF($J6517&gt;0.005,1,0)))</f>
      </c>
      <c r="J6517" s="43">
        <f>IF($I6516=0,0,$R6516)</f>
      </c>
      <c r="K6517" s="43">
        <f>IF($I6517=0,0,IF(INDEX(DarlOhneTilgung,14)=1,0,IF(AND(INDEX(DarlTilgStart,14)&gt;0,$E6517=INDEX(DarlTilgStart,14)),$J6517*($H6517+INDEX(DarlTilgung,14))/100/12,IF(AND($G6517=0,$G6516=1),MAX($K6516,$J6517*($H6517+1)/100/12),$K6516))))</f>
      </c>
      <c r="L6517" s="43">
        <f>IF($I6517=0,0,$J6517*$H6517/100/12)</f>
      </c>
      <c r="M6517" s="43">
        <f>IF($I6517=0,0,IF(OR(INDEX(DarlOhneTilgung,14)=1,AND(INDEX(DarlTilgStart,14)&gt;0,$E6517&lt;INDEX(DarlTilgStart,14))),0,MIN(MAX(0,$K6517-$L6517),$J6517)))</f>
      </c>
      <c r="N6517" s="43">
        <f>IF($I6517=0,0,MIN(SUMIFS(SondBetrag,SondDarl,14,SondDatum,"&gt;="&amp;$E6517,SondDatum,"&lt;="&amp;EOMONTH($E6517,0)),$J6517-$M6517))</f>
      </c>
      <c r="O6517" s="43">
        <f>IF($I6517=0,0,INDEX(DarlErsatzRate,14))</f>
      </c>
      <c r="P6517" s="43">
        <f>IF($I6517=0,0,$Q6516*INDEX(DarlErsatzZins,14))</f>
      </c>
      <c r="Q6517" s="43">
        <f>IF($I6517=0,0,$Q6516+$P6517+$O6517)</f>
      </c>
      <c r="R6517" s="43">
        <f>IF($I6517=0,0,$J6517-$M6517-$N6517)</f>
      </c>
    </row>
    <row r="6518">
      <c r="A6518"/>
      <c r="B6518">
        <v>14</v>
      </c>
      <c r="C6518" s="43">
        <f>INDEX(DarlObj,14)</f>
      </c>
      <c r="D6518">
        <v>275</v>
      </c>
      <c r="E6518" s="51">
        <f>IF(INDEX(DarlBelegt,14)=0,0,EOMONTH(INDEX(DarlAuszahlung,14),274)+1)</f>
      </c>
      <c r="F6518" s="43">
        <f>IF($E6518=0,0,YEAR($E6518))</f>
      </c>
      <c r="G6518" s="43">
        <f>IF(INDEX(DarlBindung,14)="",1,IF($E6518&lt;=INDEX(DarlBindung,14),1,0))</f>
      </c>
      <c r="H6518" s="43">
        <f>IF($G6518=1,INDEX(DarlSollzins,14),INDEX(DarlAnschluss,14))</f>
      </c>
      <c r="I6518" s="43">
        <f>IF(INDEX(DarlBelegt,14)=0,0,IF(INDEX(DarlOhneTilgung,14)=1,IF(INDEX(DarlBindung,14)="",1,$G6518),IF($J6518&gt;0.005,1,0)))</f>
      </c>
      <c r="J6518" s="43">
        <f>IF($I6517=0,0,$R6517)</f>
      </c>
      <c r="K6518" s="43">
        <f>IF($I6518=0,0,IF(INDEX(DarlOhneTilgung,14)=1,0,IF(AND(INDEX(DarlTilgStart,14)&gt;0,$E6518=INDEX(DarlTilgStart,14)),$J6518*($H6518+INDEX(DarlTilgung,14))/100/12,IF(AND($G6518=0,$G6517=1),MAX($K6517,$J6518*($H6518+1)/100/12),$K6517))))</f>
      </c>
      <c r="L6518" s="43">
        <f>IF($I6518=0,0,$J6518*$H6518/100/12)</f>
      </c>
      <c r="M6518" s="43">
        <f>IF($I6518=0,0,IF(OR(INDEX(DarlOhneTilgung,14)=1,AND(INDEX(DarlTilgStart,14)&gt;0,$E6518&lt;INDEX(DarlTilgStart,14))),0,MIN(MAX(0,$K6518-$L6518),$J6518)))</f>
      </c>
      <c r="N6518" s="43">
        <f>IF($I6518=0,0,MIN(SUMIFS(SondBetrag,SondDarl,14,SondDatum,"&gt;="&amp;$E6518,SondDatum,"&lt;="&amp;EOMONTH($E6518,0)),$J6518-$M6518))</f>
      </c>
      <c r="O6518" s="43">
        <f>IF($I6518=0,0,INDEX(DarlErsatzRate,14))</f>
      </c>
      <c r="P6518" s="43">
        <f>IF($I6518=0,0,$Q6517*INDEX(DarlErsatzZins,14))</f>
      </c>
      <c r="Q6518" s="43">
        <f>IF($I6518=0,0,$Q6517+$P6518+$O6518)</f>
      </c>
      <c r="R6518" s="43">
        <f>IF($I6518=0,0,$J6518-$M6518-$N6518)</f>
      </c>
    </row>
    <row r="6519">
      <c r="A6519"/>
      <c r="B6519">
        <v>14</v>
      </c>
      <c r="C6519" s="43">
        <f>INDEX(DarlObj,14)</f>
      </c>
      <c r="D6519">
        <v>276</v>
      </c>
      <c r="E6519" s="51">
        <f>IF(INDEX(DarlBelegt,14)=0,0,EOMONTH(INDEX(DarlAuszahlung,14),275)+1)</f>
      </c>
      <c r="F6519" s="43">
        <f>IF($E6519=0,0,YEAR($E6519))</f>
      </c>
      <c r="G6519" s="43">
        <f>IF(INDEX(DarlBindung,14)="",1,IF($E6519&lt;=INDEX(DarlBindung,14),1,0))</f>
      </c>
      <c r="H6519" s="43">
        <f>IF($G6519=1,INDEX(DarlSollzins,14),INDEX(DarlAnschluss,14))</f>
      </c>
      <c r="I6519" s="43">
        <f>IF(INDEX(DarlBelegt,14)=0,0,IF(INDEX(DarlOhneTilgung,14)=1,IF(INDEX(DarlBindung,14)="",1,$G6519),IF($J6519&gt;0.005,1,0)))</f>
      </c>
      <c r="J6519" s="43">
        <f>IF($I6518=0,0,$R6518)</f>
      </c>
      <c r="K6519" s="43">
        <f>IF($I6519=0,0,IF(INDEX(DarlOhneTilgung,14)=1,0,IF(AND(INDEX(DarlTilgStart,14)&gt;0,$E6519=INDEX(DarlTilgStart,14)),$J6519*($H6519+INDEX(DarlTilgung,14))/100/12,IF(AND($G6519=0,$G6518=1),MAX($K6518,$J6519*($H6519+1)/100/12),$K6518))))</f>
      </c>
      <c r="L6519" s="43">
        <f>IF($I6519=0,0,$J6519*$H6519/100/12)</f>
      </c>
      <c r="M6519" s="43">
        <f>IF($I6519=0,0,IF(OR(INDEX(DarlOhneTilgung,14)=1,AND(INDEX(DarlTilgStart,14)&gt;0,$E6519&lt;INDEX(DarlTilgStart,14))),0,MIN(MAX(0,$K6519-$L6519),$J6519)))</f>
      </c>
      <c r="N6519" s="43">
        <f>IF($I6519=0,0,MIN(SUMIFS(SondBetrag,SondDarl,14,SondDatum,"&gt;="&amp;$E6519,SondDatum,"&lt;="&amp;EOMONTH($E6519,0)),$J6519-$M6519))</f>
      </c>
      <c r="O6519" s="43">
        <f>IF($I6519=0,0,INDEX(DarlErsatzRate,14))</f>
      </c>
      <c r="P6519" s="43">
        <f>IF($I6519=0,0,$Q6518*INDEX(DarlErsatzZins,14))</f>
      </c>
      <c r="Q6519" s="43">
        <f>IF($I6519=0,0,$Q6518+$P6519+$O6519)</f>
      </c>
      <c r="R6519" s="43">
        <f>IF($I6519=0,0,$J6519-$M6519-$N6519)</f>
      </c>
    </row>
    <row r="6520">
      <c r="A6520"/>
      <c r="B6520">
        <v>14</v>
      </c>
      <c r="C6520" s="43">
        <f>INDEX(DarlObj,14)</f>
      </c>
      <c r="D6520">
        <v>277</v>
      </c>
      <c r="E6520" s="51">
        <f>IF(INDEX(DarlBelegt,14)=0,0,EOMONTH(INDEX(DarlAuszahlung,14),276)+1)</f>
      </c>
      <c r="F6520" s="43">
        <f>IF($E6520=0,0,YEAR($E6520))</f>
      </c>
      <c r="G6520" s="43">
        <f>IF(INDEX(DarlBindung,14)="",1,IF($E6520&lt;=INDEX(DarlBindung,14),1,0))</f>
      </c>
      <c r="H6520" s="43">
        <f>IF($G6520=1,INDEX(DarlSollzins,14),INDEX(DarlAnschluss,14))</f>
      </c>
      <c r="I6520" s="43">
        <f>IF(INDEX(DarlBelegt,14)=0,0,IF(INDEX(DarlOhneTilgung,14)=1,IF(INDEX(DarlBindung,14)="",1,$G6520),IF($J6520&gt;0.005,1,0)))</f>
      </c>
      <c r="J6520" s="43">
        <f>IF($I6519=0,0,$R6519)</f>
      </c>
      <c r="K6520" s="43">
        <f>IF($I6520=0,0,IF(INDEX(DarlOhneTilgung,14)=1,0,IF(AND(INDEX(DarlTilgStart,14)&gt;0,$E6520=INDEX(DarlTilgStart,14)),$J6520*($H6520+INDEX(DarlTilgung,14))/100/12,IF(AND($G6520=0,$G6519=1),MAX($K6519,$J6520*($H6520+1)/100/12),$K6519))))</f>
      </c>
      <c r="L6520" s="43">
        <f>IF($I6520=0,0,$J6520*$H6520/100/12)</f>
      </c>
      <c r="M6520" s="43">
        <f>IF($I6520=0,0,IF(OR(INDEX(DarlOhneTilgung,14)=1,AND(INDEX(DarlTilgStart,14)&gt;0,$E6520&lt;INDEX(DarlTilgStart,14))),0,MIN(MAX(0,$K6520-$L6520),$J6520)))</f>
      </c>
      <c r="N6520" s="43">
        <f>IF($I6520=0,0,MIN(SUMIFS(SondBetrag,SondDarl,14,SondDatum,"&gt;="&amp;$E6520,SondDatum,"&lt;="&amp;EOMONTH($E6520,0)),$J6520-$M6520))</f>
      </c>
      <c r="O6520" s="43">
        <f>IF($I6520=0,0,INDEX(DarlErsatzRate,14))</f>
      </c>
      <c r="P6520" s="43">
        <f>IF($I6520=0,0,$Q6519*INDEX(DarlErsatzZins,14))</f>
      </c>
      <c r="Q6520" s="43">
        <f>IF($I6520=0,0,$Q6519+$P6520+$O6520)</f>
      </c>
      <c r="R6520" s="43">
        <f>IF($I6520=0,0,$J6520-$M6520-$N6520)</f>
      </c>
    </row>
    <row r="6521">
      <c r="A6521"/>
      <c r="B6521">
        <v>14</v>
      </c>
      <c r="C6521" s="43">
        <f>INDEX(DarlObj,14)</f>
      </c>
      <c r="D6521">
        <v>278</v>
      </c>
      <c r="E6521" s="51">
        <f>IF(INDEX(DarlBelegt,14)=0,0,EOMONTH(INDEX(DarlAuszahlung,14),277)+1)</f>
      </c>
      <c r="F6521" s="43">
        <f>IF($E6521=0,0,YEAR($E6521))</f>
      </c>
      <c r="G6521" s="43">
        <f>IF(INDEX(DarlBindung,14)="",1,IF($E6521&lt;=INDEX(DarlBindung,14),1,0))</f>
      </c>
      <c r="H6521" s="43">
        <f>IF($G6521=1,INDEX(DarlSollzins,14),INDEX(DarlAnschluss,14))</f>
      </c>
      <c r="I6521" s="43">
        <f>IF(INDEX(DarlBelegt,14)=0,0,IF(INDEX(DarlOhneTilgung,14)=1,IF(INDEX(DarlBindung,14)="",1,$G6521),IF($J6521&gt;0.005,1,0)))</f>
      </c>
      <c r="J6521" s="43">
        <f>IF($I6520=0,0,$R6520)</f>
      </c>
      <c r="K6521" s="43">
        <f>IF($I6521=0,0,IF(INDEX(DarlOhneTilgung,14)=1,0,IF(AND(INDEX(DarlTilgStart,14)&gt;0,$E6521=INDEX(DarlTilgStart,14)),$J6521*($H6521+INDEX(DarlTilgung,14))/100/12,IF(AND($G6521=0,$G6520=1),MAX($K6520,$J6521*($H6521+1)/100/12),$K6520))))</f>
      </c>
      <c r="L6521" s="43">
        <f>IF($I6521=0,0,$J6521*$H6521/100/12)</f>
      </c>
      <c r="M6521" s="43">
        <f>IF($I6521=0,0,IF(OR(INDEX(DarlOhneTilgung,14)=1,AND(INDEX(DarlTilgStart,14)&gt;0,$E6521&lt;INDEX(DarlTilgStart,14))),0,MIN(MAX(0,$K6521-$L6521),$J6521)))</f>
      </c>
      <c r="N6521" s="43">
        <f>IF($I6521=0,0,MIN(SUMIFS(SondBetrag,SondDarl,14,SondDatum,"&gt;="&amp;$E6521,SondDatum,"&lt;="&amp;EOMONTH($E6521,0)),$J6521-$M6521))</f>
      </c>
      <c r="O6521" s="43">
        <f>IF($I6521=0,0,INDEX(DarlErsatzRate,14))</f>
      </c>
      <c r="P6521" s="43">
        <f>IF($I6521=0,0,$Q6520*INDEX(DarlErsatzZins,14))</f>
      </c>
      <c r="Q6521" s="43">
        <f>IF($I6521=0,0,$Q6520+$P6521+$O6521)</f>
      </c>
      <c r="R6521" s="43">
        <f>IF($I6521=0,0,$J6521-$M6521-$N6521)</f>
      </c>
    </row>
    <row r="6522">
      <c r="A6522"/>
      <c r="B6522">
        <v>14</v>
      </c>
      <c r="C6522" s="43">
        <f>INDEX(DarlObj,14)</f>
      </c>
      <c r="D6522">
        <v>279</v>
      </c>
      <c r="E6522" s="51">
        <f>IF(INDEX(DarlBelegt,14)=0,0,EOMONTH(INDEX(DarlAuszahlung,14),278)+1)</f>
      </c>
      <c r="F6522" s="43">
        <f>IF($E6522=0,0,YEAR($E6522))</f>
      </c>
      <c r="G6522" s="43">
        <f>IF(INDEX(DarlBindung,14)="",1,IF($E6522&lt;=INDEX(DarlBindung,14),1,0))</f>
      </c>
      <c r="H6522" s="43">
        <f>IF($G6522=1,INDEX(DarlSollzins,14),INDEX(DarlAnschluss,14))</f>
      </c>
      <c r="I6522" s="43">
        <f>IF(INDEX(DarlBelegt,14)=0,0,IF(INDEX(DarlOhneTilgung,14)=1,IF(INDEX(DarlBindung,14)="",1,$G6522),IF($J6522&gt;0.005,1,0)))</f>
      </c>
      <c r="J6522" s="43">
        <f>IF($I6521=0,0,$R6521)</f>
      </c>
      <c r="K6522" s="43">
        <f>IF($I6522=0,0,IF(INDEX(DarlOhneTilgung,14)=1,0,IF(AND(INDEX(DarlTilgStart,14)&gt;0,$E6522=INDEX(DarlTilgStart,14)),$J6522*($H6522+INDEX(DarlTilgung,14))/100/12,IF(AND($G6522=0,$G6521=1),MAX($K6521,$J6522*($H6522+1)/100/12),$K6521))))</f>
      </c>
      <c r="L6522" s="43">
        <f>IF($I6522=0,0,$J6522*$H6522/100/12)</f>
      </c>
      <c r="M6522" s="43">
        <f>IF($I6522=0,0,IF(OR(INDEX(DarlOhneTilgung,14)=1,AND(INDEX(DarlTilgStart,14)&gt;0,$E6522&lt;INDEX(DarlTilgStart,14))),0,MIN(MAX(0,$K6522-$L6522),$J6522)))</f>
      </c>
      <c r="N6522" s="43">
        <f>IF($I6522=0,0,MIN(SUMIFS(SondBetrag,SondDarl,14,SondDatum,"&gt;="&amp;$E6522,SondDatum,"&lt;="&amp;EOMONTH($E6522,0)),$J6522-$M6522))</f>
      </c>
      <c r="O6522" s="43">
        <f>IF($I6522=0,0,INDEX(DarlErsatzRate,14))</f>
      </c>
      <c r="P6522" s="43">
        <f>IF($I6522=0,0,$Q6521*INDEX(DarlErsatzZins,14))</f>
      </c>
      <c r="Q6522" s="43">
        <f>IF($I6522=0,0,$Q6521+$P6522+$O6522)</f>
      </c>
      <c r="R6522" s="43">
        <f>IF($I6522=0,0,$J6522-$M6522-$N6522)</f>
      </c>
    </row>
    <row r="6523">
      <c r="A6523"/>
      <c r="B6523">
        <v>14</v>
      </c>
      <c r="C6523" s="43">
        <f>INDEX(DarlObj,14)</f>
      </c>
      <c r="D6523">
        <v>280</v>
      </c>
      <c r="E6523" s="51">
        <f>IF(INDEX(DarlBelegt,14)=0,0,EOMONTH(INDEX(DarlAuszahlung,14),279)+1)</f>
      </c>
      <c r="F6523" s="43">
        <f>IF($E6523=0,0,YEAR($E6523))</f>
      </c>
      <c r="G6523" s="43">
        <f>IF(INDEX(DarlBindung,14)="",1,IF($E6523&lt;=INDEX(DarlBindung,14),1,0))</f>
      </c>
      <c r="H6523" s="43">
        <f>IF($G6523=1,INDEX(DarlSollzins,14),INDEX(DarlAnschluss,14))</f>
      </c>
      <c r="I6523" s="43">
        <f>IF(INDEX(DarlBelegt,14)=0,0,IF(INDEX(DarlOhneTilgung,14)=1,IF(INDEX(DarlBindung,14)="",1,$G6523),IF($J6523&gt;0.005,1,0)))</f>
      </c>
      <c r="J6523" s="43">
        <f>IF($I6522=0,0,$R6522)</f>
      </c>
      <c r="K6523" s="43">
        <f>IF($I6523=0,0,IF(INDEX(DarlOhneTilgung,14)=1,0,IF(AND(INDEX(DarlTilgStart,14)&gt;0,$E6523=INDEX(DarlTilgStart,14)),$J6523*($H6523+INDEX(DarlTilgung,14))/100/12,IF(AND($G6523=0,$G6522=1),MAX($K6522,$J6523*($H6523+1)/100/12),$K6522))))</f>
      </c>
      <c r="L6523" s="43">
        <f>IF($I6523=0,0,$J6523*$H6523/100/12)</f>
      </c>
      <c r="M6523" s="43">
        <f>IF($I6523=0,0,IF(OR(INDEX(DarlOhneTilgung,14)=1,AND(INDEX(DarlTilgStart,14)&gt;0,$E6523&lt;INDEX(DarlTilgStart,14))),0,MIN(MAX(0,$K6523-$L6523),$J6523)))</f>
      </c>
      <c r="N6523" s="43">
        <f>IF($I6523=0,0,MIN(SUMIFS(SondBetrag,SondDarl,14,SondDatum,"&gt;="&amp;$E6523,SondDatum,"&lt;="&amp;EOMONTH($E6523,0)),$J6523-$M6523))</f>
      </c>
      <c r="O6523" s="43">
        <f>IF($I6523=0,0,INDEX(DarlErsatzRate,14))</f>
      </c>
      <c r="P6523" s="43">
        <f>IF($I6523=0,0,$Q6522*INDEX(DarlErsatzZins,14))</f>
      </c>
      <c r="Q6523" s="43">
        <f>IF($I6523=0,0,$Q6522+$P6523+$O6523)</f>
      </c>
      <c r="R6523" s="43">
        <f>IF($I6523=0,0,$J6523-$M6523-$N6523)</f>
      </c>
    </row>
    <row r="6524">
      <c r="A6524"/>
      <c r="B6524">
        <v>14</v>
      </c>
      <c r="C6524" s="43">
        <f>INDEX(DarlObj,14)</f>
      </c>
      <c r="D6524">
        <v>281</v>
      </c>
      <c r="E6524" s="51">
        <f>IF(INDEX(DarlBelegt,14)=0,0,EOMONTH(INDEX(DarlAuszahlung,14),280)+1)</f>
      </c>
      <c r="F6524" s="43">
        <f>IF($E6524=0,0,YEAR($E6524))</f>
      </c>
      <c r="G6524" s="43">
        <f>IF(INDEX(DarlBindung,14)="",1,IF($E6524&lt;=INDEX(DarlBindung,14),1,0))</f>
      </c>
      <c r="H6524" s="43">
        <f>IF($G6524=1,INDEX(DarlSollzins,14),INDEX(DarlAnschluss,14))</f>
      </c>
      <c r="I6524" s="43">
        <f>IF(INDEX(DarlBelegt,14)=0,0,IF(INDEX(DarlOhneTilgung,14)=1,IF(INDEX(DarlBindung,14)="",1,$G6524),IF($J6524&gt;0.005,1,0)))</f>
      </c>
      <c r="J6524" s="43">
        <f>IF($I6523=0,0,$R6523)</f>
      </c>
      <c r="K6524" s="43">
        <f>IF($I6524=0,0,IF(INDEX(DarlOhneTilgung,14)=1,0,IF(AND(INDEX(DarlTilgStart,14)&gt;0,$E6524=INDEX(DarlTilgStart,14)),$J6524*($H6524+INDEX(DarlTilgung,14))/100/12,IF(AND($G6524=0,$G6523=1),MAX($K6523,$J6524*($H6524+1)/100/12),$K6523))))</f>
      </c>
      <c r="L6524" s="43">
        <f>IF($I6524=0,0,$J6524*$H6524/100/12)</f>
      </c>
      <c r="M6524" s="43">
        <f>IF($I6524=0,0,IF(OR(INDEX(DarlOhneTilgung,14)=1,AND(INDEX(DarlTilgStart,14)&gt;0,$E6524&lt;INDEX(DarlTilgStart,14))),0,MIN(MAX(0,$K6524-$L6524),$J6524)))</f>
      </c>
      <c r="N6524" s="43">
        <f>IF($I6524=0,0,MIN(SUMIFS(SondBetrag,SondDarl,14,SondDatum,"&gt;="&amp;$E6524,SondDatum,"&lt;="&amp;EOMONTH($E6524,0)),$J6524-$M6524))</f>
      </c>
      <c r="O6524" s="43">
        <f>IF($I6524=0,0,INDEX(DarlErsatzRate,14))</f>
      </c>
      <c r="P6524" s="43">
        <f>IF($I6524=0,0,$Q6523*INDEX(DarlErsatzZins,14))</f>
      </c>
      <c r="Q6524" s="43">
        <f>IF($I6524=0,0,$Q6523+$P6524+$O6524)</f>
      </c>
      <c r="R6524" s="43">
        <f>IF($I6524=0,0,$J6524-$M6524-$N6524)</f>
      </c>
    </row>
    <row r="6525">
      <c r="A6525"/>
      <c r="B6525">
        <v>14</v>
      </c>
      <c r="C6525" s="43">
        <f>INDEX(DarlObj,14)</f>
      </c>
      <c r="D6525">
        <v>282</v>
      </c>
      <c r="E6525" s="51">
        <f>IF(INDEX(DarlBelegt,14)=0,0,EOMONTH(INDEX(DarlAuszahlung,14),281)+1)</f>
      </c>
      <c r="F6525" s="43">
        <f>IF($E6525=0,0,YEAR($E6525))</f>
      </c>
      <c r="G6525" s="43">
        <f>IF(INDEX(DarlBindung,14)="",1,IF($E6525&lt;=INDEX(DarlBindung,14),1,0))</f>
      </c>
      <c r="H6525" s="43">
        <f>IF($G6525=1,INDEX(DarlSollzins,14),INDEX(DarlAnschluss,14))</f>
      </c>
      <c r="I6525" s="43">
        <f>IF(INDEX(DarlBelegt,14)=0,0,IF(INDEX(DarlOhneTilgung,14)=1,IF(INDEX(DarlBindung,14)="",1,$G6525),IF($J6525&gt;0.005,1,0)))</f>
      </c>
      <c r="J6525" s="43">
        <f>IF($I6524=0,0,$R6524)</f>
      </c>
      <c r="K6525" s="43">
        <f>IF($I6525=0,0,IF(INDEX(DarlOhneTilgung,14)=1,0,IF(AND(INDEX(DarlTilgStart,14)&gt;0,$E6525=INDEX(DarlTilgStart,14)),$J6525*($H6525+INDEX(DarlTilgung,14))/100/12,IF(AND($G6525=0,$G6524=1),MAX($K6524,$J6525*($H6525+1)/100/12),$K6524))))</f>
      </c>
      <c r="L6525" s="43">
        <f>IF($I6525=0,0,$J6525*$H6525/100/12)</f>
      </c>
      <c r="M6525" s="43">
        <f>IF($I6525=0,0,IF(OR(INDEX(DarlOhneTilgung,14)=1,AND(INDEX(DarlTilgStart,14)&gt;0,$E6525&lt;INDEX(DarlTilgStart,14))),0,MIN(MAX(0,$K6525-$L6525),$J6525)))</f>
      </c>
      <c r="N6525" s="43">
        <f>IF($I6525=0,0,MIN(SUMIFS(SondBetrag,SondDarl,14,SondDatum,"&gt;="&amp;$E6525,SondDatum,"&lt;="&amp;EOMONTH($E6525,0)),$J6525-$M6525))</f>
      </c>
      <c r="O6525" s="43">
        <f>IF($I6525=0,0,INDEX(DarlErsatzRate,14))</f>
      </c>
      <c r="P6525" s="43">
        <f>IF($I6525=0,0,$Q6524*INDEX(DarlErsatzZins,14))</f>
      </c>
      <c r="Q6525" s="43">
        <f>IF($I6525=0,0,$Q6524+$P6525+$O6525)</f>
      </c>
      <c r="R6525" s="43">
        <f>IF($I6525=0,0,$J6525-$M6525-$N6525)</f>
      </c>
    </row>
    <row r="6526">
      <c r="A6526"/>
      <c r="B6526">
        <v>14</v>
      </c>
      <c r="C6526" s="43">
        <f>INDEX(DarlObj,14)</f>
      </c>
      <c r="D6526">
        <v>283</v>
      </c>
      <c r="E6526" s="51">
        <f>IF(INDEX(DarlBelegt,14)=0,0,EOMONTH(INDEX(DarlAuszahlung,14),282)+1)</f>
      </c>
      <c r="F6526" s="43">
        <f>IF($E6526=0,0,YEAR($E6526))</f>
      </c>
      <c r="G6526" s="43">
        <f>IF(INDEX(DarlBindung,14)="",1,IF($E6526&lt;=INDEX(DarlBindung,14),1,0))</f>
      </c>
      <c r="H6526" s="43">
        <f>IF($G6526=1,INDEX(DarlSollzins,14),INDEX(DarlAnschluss,14))</f>
      </c>
      <c r="I6526" s="43">
        <f>IF(INDEX(DarlBelegt,14)=0,0,IF(INDEX(DarlOhneTilgung,14)=1,IF(INDEX(DarlBindung,14)="",1,$G6526),IF($J6526&gt;0.005,1,0)))</f>
      </c>
      <c r="J6526" s="43">
        <f>IF($I6525=0,0,$R6525)</f>
      </c>
      <c r="K6526" s="43">
        <f>IF($I6526=0,0,IF(INDEX(DarlOhneTilgung,14)=1,0,IF(AND(INDEX(DarlTilgStart,14)&gt;0,$E6526=INDEX(DarlTilgStart,14)),$J6526*($H6526+INDEX(DarlTilgung,14))/100/12,IF(AND($G6526=0,$G6525=1),MAX($K6525,$J6526*($H6526+1)/100/12),$K6525))))</f>
      </c>
      <c r="L6526" s="43">
        <f>IF($I6526=0,0,$J6526*$H6526/100/12)</f>
      </c>
      <c r="M6526" s="43">
        <f>IF($I6526=0,0,IF(OR(INDEX(DarlOhneTilgung,14)=1,AND(INDEX(DarlTilgStart,14)&gt;0,$E6526&lt;INDEX(DarlTilgStart,14))),0,MIN(MAX(0,$K6526-$L6526),$J6526)))</f>
      </c>
      <c r="N6526" s="43">
        <f>IF($I6526=0,0,MIN(SUMIFS(SondBetrag,SondDarl,14,SondDatum,"&gt;="&amp;$E6526,SondDatum,"&lt;="&amp;EOMONTH($E6526,0)),$J6526-$M6526))</f>
      </c>
      <c r="O6526" s="43">
        <f>IF($I6526=0,0,INDEX(DarlErsatzRate,14))</f>
      </c>
      <c r="P6526" s="43">
        <f>IF($I6526=0,0,$Q6525*INDEX(DarlErsatzZins,14))</f>
      </c>
      <c r="Q6526" s="43">
        <f>IF($I6526=0,0,$Q6525+$P6526+$O6526)</f>
      </c>
      <c r="R6526" s="43">
        <f>IF($I6526=0,0,$J6526-$M6526-$N6526)</f>
      </c>
    </row>
    <row r="6527">
      <c r="A6527"/>
      <c r="B6527">
        <v>14</v>
      </c>
      <c r="C6527" s="43">
        <f>INDEX(DarlObj,14)</f>
      </c>
      <c r="D6527">
        <v>284</v>
      </c>
      <c r="E6527" s="51">
        <f>IF(INDEX(DarlBelegt,14)=0,0,EOMONTH(INDEX(DarlAuszahlung,14),283)+1)</f>
      </c>
      <c r="F6527" s="43">
        <f>IF($E6527=0,0,YEAR($E6527))</f>
      </c>
      <c r="G6527" s="43">
        <f>IF(INDEX(DarlBindung,14)="",1,IF($E6527&lt;=INDEX(DarlBindung,14),1,0))</f>
      </c>
      <c r="H6527" s="43">
        <f>IF($G6527=1,INDEX(DarlSollzins,14),INDEX(DarlAnschluss,14))</f>
      </c>
      <c r="I6527" s="43">
        <f>IF(INDEX(DarlBelegt,14)=0,0,IF(INDEX(DarlOhneTilgung,14)=1,IF(INDEX(DarlBindung,14)="",1,$G6527),IF($J6527&gt;0.005,1,0)))</f>
      </c>
      <c r="J6527" s="43">
        <f>IF($I6526=0,0,$R6526)</f>
      </c>
      <c r="K6527" s="43">
        <f>IF($I6527=0,0,IF(INDEX(DarlOhneTilgung,14)=1,0,IF(AND(INDEX(DarlTilgStart,14)&gt;0,$E6527=INDEX(DarlTilgStart,14)),$J6527*($H6527+INDEX(DarlTilgung,14))/100/12,IF(AND($G6527=0,$G6526=1),MAX($K6526,$J6527*($H6527+1)/100/12),$K6526))))</f>
      </c>
      <c r="L6527" s="43">
        <f>IF($I6527=0,0,$J6527*$H6527/100/12)</f>
      </c>
      <c r="M6527" s="43">
        <f>IF($I6527=0,0,IF(OR(INDEX(DarlOhneTilgung,14)=1,AND(INDEX(DarlTilgStart,14)&gt;0,$E6527&lt;INDEX(DarlTilgStart,14))),0,MIN(MAX(0,$K6527-$L6527),$J6527)))</f>
      </c>
      <c r="N6527" s="43">
        <f>IF($I6527=0,0,MIN(SUMIFS(SondBetrag,SondDarl,14,SondDatum,"&gt;="&amp;$E6527,SondDatum,"&lt;="&amp;EOMONTH($E6527,0)),$J6527-$M6527))</f>
      </c>
      <c r="O6527" s="43">
        <f>IF($I6527=0,0,INDEX(DarlErsatzRate,14))</f>
      </c>
      <c r="P6527" s="43">
        <f>IF($I6527=0,0,$Q6526*INDEX(DarlErsatzZins,14))</f>
      </c>
      <c r="Q6527" s="43">
        <f>IF($I6527=0,0,$Q6526+$P6527+$O6527)</f>
      </c>
      <c r="R6527" s="43">
        <f>IF($I6527=0,0,$J6527-$M6527-$N6527)</f>
      </c>
    </row>
    <row r="6528">
      <c r="A6528"/>
      <c r="B6528">
        <v>14</v>
      </c>
      <c r="C6528" s="43">
        <f>INDEX(DarlObj,14)</f>
      </c>
      <c r="D6528">
        <v>285</v>
      </c>
      <c r="E6528" s="51">
        <f>IF(INDEX(DarlBelegt,14)=0,0,EOMONTH(INDEX(DarlAuszahlung,14),284)+1)</f>
      </c>
      <c r="F6528" s="43">
        <f>IF($E6528=0,0,YEAR($E6528))</f>
      </c>
      <c r="G6528" s="43">
        <f>IF(INDEX(DarlBindung,14)="",1,IF($E6528&lt;=INDEX(DarlBindung,14),1,0))</f>
      </c>
      <c r="H6528" s="43">
        <f>IF($G6528=1,INDEX(DarlSollzins,14),INDEX(DarlAnschluss,14))</f>
      </c>
      <c r="I6528" s="43">
        <f>IF(INDEX(DarlBelegt,14)=0,0,IF(INDEX(DarlOhneTilgung,14)=1,IF(INDEX(DarlBindung,14)="",1,$G6528),IF($J6528&gt;0.005,1,0)))</f>
      </c>
      <c r="J6528" s="43">
        <f>IF($I6527=0,0,$R6527)</f>
      </c>
      <c r="K6528" s="43">
        <f>IF($I6528=0,0,IF(INDEX(DarlOhneTilgung,14)=1,0,IF(AND(INDEX(DarlTilgStart,14)&gt;0,$E6528=INDEX(DarlTilgStart,14)),$J6528*($H6528+INDEX(DarlTilgung,14))/100/12,IF(AND($G6528=0,$G6527=1),MAX($K6527,$J6528*($H6528+1)/100/12),$K6527))))</f>
      </c>
      <c r="L6528" s="43">
        <f>IF($I6528=0,0,$J6528*$H6528/100/12)</f>
      </c>
      <c r="M6528" s="43">
        <f>IF($I6528=0,0,IF(OR(INDEX(DarlOhneTilgung,14)=1,AND(INDEX(DarlTilgStart,14)&gt;0,$E6528&lt;INDEX(DarlTilgStart,14))),0,MIN(MAX(0,$K6528-$L6528),$J6528)))</f>
      </c>
      <c r="N6528" s="43">
        <f>IF($I6528=0,0,MIN(SUMIFS(SondBetrag,SondDarl,14,SondDatum,"&gt;="&amp;$E6528,SondDatum,"&lt;="&amp;EOMONTH($E6528,0)),$J6528-$M6528))</f>
      </c>
      <c r="O6528" s="43">
        <f>IF($I6528=0,0,INDEX(DarlErsatzRate,14))</f>
      </c>
      <c r="P6528" s="43">
        <f>IF($I6528=0,0,$Q6527*INDEX(DarlErsatzZins,14))</f>
      </c>
      <c r="Q6528" s="43">
        <f>IF($I6528=0,0,$Q6527+$P6528+$O6528)</f>
      </c>
      <c r="R6528" s="43">
        <f>IF($I6528=0,0,$J6528-$M6528-$N6528)</f>
      </c>
    </row>
    <row r="6529">
      <c r="A6529"/>
      <c r="B6529">
        <v>14</v>
      </c>
      <c r="C6529" s="43">
        <f>INDEX(DarlObj,14)</f>
      </c>
      <c r="D6529">
        <v>286</v>
      </c>
      <c r="E6529" s="51">
        <f>IF(INDEX(DarlBelegt,14)=0,0,EOMONTH(INDEX(DarlAuszahlung,14),285)+1)</f>
      </c>
      <c r="F6529" s="43">
        <f>IF($E6529=0,0,YEAR($E6529))</f>
      </c>
      <c r="G6529" s="43">
        <f>IF(INDEX(DarlBindung,14)="",1,IF($E6529&lt;=INDEX(DarlBindung,14),1,0))</f>
      </c>
      <c r="H6529" s="43">
        <f>IF($G6529=1,INDEX(DarlSollzins,14),INDEX(DarlAnschluss,14))</f>
      </c>
      <c r="I6529" s="43">
        <f>IF(INDEX(DarlBelegt,14)=0,0,IF(INDEX(DarlOhneTilgung,14)=1,IF(INDEX(DarlBindung,14)="",1,$G6529),IF($J6529&gt;0.005,1,0)))</f>
      </c>
      <c r="J6529" s="43">
        <f>IF($I6528=0,0,$R6528)</f>
      </c>
      <c r="K6529" s="43">
        <f>IF($I6529=0,0,IF(INDEX(DarlOhneTilgung,14)=1,0,IF(AND(INDEX(DarlTilgStart,14)&gt;0,$E6529=INDEX(DarlTilgStart,14)),$J6529*($H6529+INDEX(DarlTilgung,14))/100/12,IF(AND($G6529=0,$G6528=1),MAX($K6528,$J6529*($H6529+1)/100/12),$K6528))))</f>
      </c>
      <c r="L6529" s="43">
        <f>IF($I6529=0,0,$J6529*$H6529/100/12)</f>
      </c>
      <c r="M6529" s="43">
        <f>IF($I6529=0,0,IF(OR(INDEX(DarlOhneTilgung,14)=1,AND(INDEX(DarlTilgStart,14)&gt;0,$E6529&lt;INDEX(DarlTilgStart,14))),0,MIN(MAX(0,$K6529-$L6529),$J6529)))</f>
      </c>
      <c r="N6529" s="43">
        <f>IF($I6529=0,0,MIN(SUMIFS(SondBetrag,SondDarl,14,SondDatum,"&gt;="&amp;$E6529,SondDatum,"&lt;="&amp;EOMONTH($E6529,0)),$J6529-$M6529))</f>
      </c>
      <c r="O6529" s="43">
        <f>IF($I6529=0,0,INDEX(DarlErsatzRate,14))</f>
      </c>
      <c r="P6529" s="43">
        <f>IF($I6529=0,0,$Q6528*INDEX(DarlErsatzZins,14))</f>
      </c>
      <c r="Q6529" s="43">
        <f>IF($I6529=0,0,$Q6528+$P6529+$O6529)</f>
      </c>
      <c r="R6529" s="43">
        <f>IF($I6529=0,0,$J6529-$M6529-$N6529)</f>
      </c>
    </row>
    <row r="6530">
      <c r="A6530"/>
      <c r="B6530">
        <v>14</v>
      </c>
      <c r="C6530" s="43">
        <f>INDEX(DarlObj,14)</f>
      </c>
      <c r="D6530">
        <v>287</v>
      </c>
      <c r="E6530" s="51">
        <f>IF(INDEX(DarlBelegt,14)=0,0,EOMONTH(INDEX(DarlAuszahlung,14),286)+1)</f>
      </c>
      <c r="F6530" s="43">
        <f>IF($E6530=0,0,YEAR($E6530))</f>
      </c>
      <c r="G6530" s="43">
        <f>IF(INDEX(DarlBindung,14)="",1,IF($E6530&lt;=INDEX(DarlBindung,14),1,0))</f>
      </c>
      <c r="H6530" s="43">
        <f>IF($G6530=1,INDEX(DarlSollzins,14),INDEX(DarlAnschluss,14))</f>
      </c>
      <c r="I6530" s="43">
        <f>IF(INDEX(DarlBelegt,14)=0,0,IF(INDEX(DarlOhneTilgung,14)=1,IF(INDEX(DarlBindung,14)="",1,$G6530),IF($J6530&gt;0.005,1,0)))</f>
      </c>
      <c r="J6530" s="43">
        <f>IF($I6529=0,0,$R6529)</f>
      </c>
      <c r="K6530" s="43">
        <f>IF($I6530=0,0,IF(INDEX(DarlOhneTilgung,14)=1,0,IF(AND(INDEX(DarlTilgStart,14)&gt;0,$E6530=INDEX(DarlTilgStart,14)),$J6530*($H6530+INDEX(DarlTilgung,14))/100/12,IF(AND($G6530=0,$G6529=1),MAX($K6529,$J6530*($H6530+1)/100/12),$K6529))))</f>
      </c>
      <c r="L6530" s="43">
        <f>IF($I6530=0,0,$J6530*$H6530/100/12)</f>
      </c>
      <c r="M6530" s="43">
        <f>IF($I6530=0,0,IF(OR(INDEX(DarlOhneTilgung,14)=1,AND(INDEX(DarlTilgStart,14)&gt;0,$E6530&lt;INDEX(DarlTilgStart,14))),0,MIN(MAX(0,$K6530-$L6530),$J6530)))</f>
      </c>
      <c r="N6530" s="43">
        <f>IF($I6530=0,0,MIN(SUMIFS(SondBetrag,SondDarl,14,SondDatum,"&gt;="&amp;$E6530,SondDatum,"&lt;="&amp;EOMONTH($E6530,0)),$J6530-$M6530))</f>
      </c>
      <c r="O6530" s="43">
        <f>IF($I6530=0,0,INDEX(DarlErsatzRate,14))</f>
      </c>
      <c r="P6530" s="43">
        <f>IF($I6530=0,0,$Q6529*INDEX(DarlErsatzZins,14))</f>
      </c>
      <c r="Q6530" s="43">
        <f>IF($I6530=0,0,$Q6529+$P6530+$O6530)</f>
      </c>
      <c r="R6530" s="43">
        <f>IF($I6530=0,0,$J6530-$M6530-$N6530)</f>
      </c>
    </row>
    <row r="6531">
      <c r="A6531"/>
      <c r="B6531">
        <v>14</v>
      </c>
      <c r="C6531" s="43">
        <f>INDEX(DarlObj,14)</f>
      </c>
      <c r="D6531">
        <v>288</v>
      </c>
      <c r="E6531" s="51">
        <f>IF(INDEX(DarlBelegt,14)=0,0,EOMONTH(INDEX(DarlAuszahlung,14),287)+1)</f>
      </c>
      <c r="F6531" s="43">
        <f>IF($E6531=0,0,YEAR($E6531))</f>
      </c>
      <c r="G6531" s="43">
        <f>IF(INDEX(DarlBindung,14)="",1,IF($E6531&lt;=INDEX(DarlBindung,14),1,0))</f>
      </c>
      <c r="H6531" s="43">
        <f>IF($G6531=1,INDEX(DarlSollzins,14),INDEX(DarlAnschluss,14))</f>
      </c>
      <c r="I6531" s="43">
        <f>IF(INDEX(DarlBelegt,14)=0,0,IF(INDEX(DarlOhneTilgung,14)=1,IF(INDEX(DarlBindung,14)="",1,$G6531),IF($J6531&gt;0.005,1,0)))</f>
      </c>
      <c r="J6531" s="43">
        <f>IF($I6530=0,0,$R6530)</f>
      </c>
      <c r="K6531" s="43">
        <f>IF($I6531=0,0,IF(INDEX(DarlOhneTilgung,14)=1,0,IF(AND(INDEX(DarlTilgStart,14)&gt;0,$E6531=INDEX(DarlTilgStart,14)),$J6531*($H6531+INDEX(DarlTilgung,14))/100/12,IF(AND($G6531=0,$G6530=1),MAX($K6530,$J6531*($H6531+1)/100/12),$K6530))))</f>
      </c>
      <c r="L6531" s="43">
        <f>IF($I6531=0,0,$J6531*$H6531/100/12)</f>
      </c>
      <c r="M6531" s="43">
        <f>IF($I6531=0,0,IF(OR(INDEX(DarlOhneTilgung,14)=1,AND(INDEX(DarlTilgStart,14)&gt;0,$E6531&lt;INDEX(DarlTilgStart,14))),0,MIN(MAX(0,$K6531-$L6531),$J6531)))</f>
      </c>
      <c r="N6531" s="43">
        <f>IF($I6531=0,0,MIN(SUMIFS(SondBetrag,SondDarl,14,SondDatum,"&gt;="&amp;$E6531,SondDatum,"&lt;="&amp;EOMONTH($E6531,0)),$J6531-$M6531))</f>
      </c>
      <c r="O6531" s="43">
        <f>IF($I6531=0,0,INDEX(DarlErsatzRate,14))</f>
      </c>
      <c r="P6531" s="43">
        <f>IF($I6531=0,0,$Q6530*INDEX(DarlErsatzZins,14))</f>
      </c>
      <c r="Q6531" s="43">
        <f>IF($I6531=0,0,$Q6530+$P6531+$O6531)</f>
      </c>
      <c r="R6531" s="43">
        <f>IF($I6531=0,0,$J6531-$M6531-$N6531)</f>
      </c>
    </row>
    <row r="6532">
      <c r="A6532"/>
      <c r="B6532">
        <v>14</v>
      </c>
      <c r="C6532" s="43">
        <f>INDEX(DarlObj,14)</f>
      </c>
      <c r="D6532">
        <v>289</v>
      </c>
      <c r="E6532" s="51">
        <f>IF(INDEX(DarlBelegt,14)=0,0,EOMONTH(INDEX(DarlAuszahlung,14),288)+1)</f>
      </c>
      <c r="F6532" s="43">
        <f>IF($E6532=0,0,YEAR($E6532))</f>
      </c>
      <c r="G6532" s="43">
        <f>IF(INDEX(DarlBindung,14)="",1,IF($E6532&lt;=INDEX(DarlBindung,14),1,0))</f>
      </c>
      <c r="H6532" s="43">
        <f>IF($G6532=1,INDEX(DarlSollzins,14),INDEX(DarlAnschluss,14))</f>
      </c>
      <c r="I6532" s="43">
        <f>IF(INDEX(DarlBelegt,14)=0,0,IF(INDEX(DarlOhneTilgung,14)=1,IF(INDEX(DarlBindung,14)="",1,$G6532),IF($J6532&gt;0.005,1,0)))</f>
      </c>
      <c r="J6532" s="43">
        <f>IF($I6531=0,0,$R6531)</f>
      </c>
      <c r="K6532" s="43">
        <f>IF($I6532=0,0,IF(INDEX(DarlOhneTilgung,14)=1,0,IF(AND(INDEX(DarlTilgStart,14)&gt;0,$E6532=INDEX(DarlTilgStart,14)),$J6532*($H6532+INDEX(DarlTilgung,14))/100/12,IF(AND($G6532=0,$G6531=1),MAX($K6531,$J6532*($H6532+1)/100/12),$K6531))))</f>
      </c>
      <c r="L6532" s="43">
        <f>IF($I6532=0,0,$J6532*$H6532/100/12)</f>
      </c>
      <c r="M6532" s="43">
        <f>IF($I6532=0,0,IF(OR(INDEX(DarlOhneTilgung,14)=1,AND(INDEX(DarlTilgStart,14)&gt;0,$E6532&lt;INDEX(DarlTilgStart,14))),0,MIN(MAX(0,$K6532-$L6532),$J6532)))</f>
      </c>
      <c r="N6532" s="43">
        <f>IF($I6532=0,0,MIN(SUMIFS(SondBetrag,SondDarl,14,SondDatum,"&gt;="&amp;$E6532,SondDatum,"&lt;="&amp;EOMONTH($E6532,0)),$J6532-$M6532))</f>
      </c>
      <c r="O6532" s="43">
        <f>IF($I6532=0,0,INDEX(DarlErsatzRate,14))</f>
      </c>
      <c r="P6532" s="43">
        <f>IF($I6532=0,0,$Q6531*INDEX(DarlErsatzZins,14))</f>
      </c>
      <c r="Q6532" s="43">
        <f>IF($I6532=0,0,$Q6531+$P6532+$O6532)</f>
      </c>
      <c r="R6532" s="43">
        <f>IF($I6532=0,0,$J6532-$M6532-$N6532)</f>
      </c>
    </row>
    <row r="6533">
      <c r="A6533"/>
      <c r="B6533">
        <v>14</v>
      </c>
      <c r="C6533" s="43">
        <f>INDEX(DarlObj,14)</f>
      </c>
      <c r="D6533">
        <v>290</v>
      </c>
      <c r="E6533" s="51">
        <f>IF(INDEX(DarlBelegt,14)=0,0,EOMONTH(INDEX(DarlAuszahlung,14),289)+1)</f>
      </c>
      <c r="F6533" s="43">
        <f>IF($E6533=0,0,YEAR($E6533))</f>
      </c>
      <c r="G6533" s="43">
        <f>IF(INDEX(DarlBindung,14)="",1,IF($E6533&lt;=INDEX(DarlBindung,14),1,0))</f>
      </c>
      <c r="H6533" s="43">
        <f>IF($G6533=1,INDEX(DarlSollzins,14),INDEX(DarlAnschluss,14))</f>
      </c>
      <c r="I6533" s="43">
        <f>IF(INDEX(DarlBelegt,14)=0,0,IF(INDEX(DarlOhneTilgung,14)=1,IF(INDEX(DarlBindung,14)="",1,$G6533),IF($J6533&gt;0.005,1,0)))</f>
      </c>
      <c r="J6533" s="43">
        <f>IF($I6532=0,0,$R6532)</f>
      </c>
      <c r="K6533" s="43">
        <f>IF($I6533=0,0,IF(INDEX(DarlOhneTilgung,14)=1,0,IF(AND(INDEX(DarlTilgStart,14)&gt;0,$E6533=INDEX(DarlTilgStart,14)),$J6533*($H6533+INDEX(DarlTilgung,14))/100/12,IF(AND($G6533=0,$G6532=1),MAX($K6532,$J6533*($H6533+1)/100/12),$K6532))))</f>
      </c>
      <c r="L6533" s="43">
        <f>IF($I6533=0,0,$J6533*$H6533/100/12)</f>
      </c>
      <c r="M6533" s="43">
        <f>IF($I6533=0,0,IF(OR(INDEX(DarlOhneTilgung,14)=1,AND(INDEX(DarlTilgStart,14)&gt;0,$E6533&lt;INDEX(DarlTilgStart,14))),0,MIN(MAX(0,$K6533-$L6533),$J6533)))</f>
      </c>
      <c r="N6533" s="43">
        <f>IF($I6533=0,0,MIN(SUMIFS(SondBetrag,SondDarl,14,SondDatum,"&gt;="&amp;$E6533,SondDatum,"&lt;="&amp;EOMONTH($E6533,0)),$J6533-$M6533))</f>
      </c>
      <c r="O6533" s="43">
        <f>IF($I6533=0,0,INDEX(DarlErsatzRate,14))</f>
      </c>
      <c r="P6533" s="43">
        <f>IF($I6533=0,0,$Q6532*INDEX(DarlErsatzZins,14))</f>
      </c>
      <c r="Q6533" s="43">
        <f>IF($I6533=0,0,$Q6532+$P6533+$O6533)</f>
      </c>
      <c r="R6533" s="43">
        <f>IF($I6533=0,0,$J6533-$M6533-$N6533)</f>
      </c>
    </row>
    <row r="6534">
      <c r="A6534"/>
      <c r="B6534">
        <v>14</v>
      </c>
      <c r="C6534" s="43">
        <f>INDEX(DarlObj,14)</f>
      </c>
      <c r="D6534">
        <v>291</v>
      </c>
      <c r="E6534" s="51">
        <f>IF(INDEX(DarlBelegt,14)=0,0,EOMONTH(INDEX(DarlAuszahlung,14),290)+1)</f>
      </c>
      <c r="F6534" s="43">
        <f>IF($E6534=0,0,YEAR($E6534))</f>
      </c>
      <c r="G6534" s="43">
        <f>IF(INDEX(DarlBindung,14)="",1,IF($E6534&lt;=INDEX(DarlBindung,14),1,0))</f>
      </c>
      <c r="H6534" s="43">
        <f>IF($G6534=1,INDEX(DarlSollzins,14),INDEX(DarlAnschluss,14))</f>
      </c>
      <c r="I6534" s="43">
        <f>IF(INDEX(DarlBelegt,14)=0,0,IF(INDEX(DarlOhneTilgung,14)=1,IF(INDEX(DarlBindung,14)="",1,$G6534),IF($J6534&gt;0.005,1,0)))</f>
      </c>
      <c r="J6534" s="43">
        <f>IF($I6533=0,0,$R6533)</f>
      </c>
      <c r="K6534" s="43">
        <f>IF($I6534=0,0,IF(INDEX(DarlOhneTilgung,14)=1,0,IF(AND(INDEX(DarlTilgStart,14)&gt;0,$E6534=INDEX(DarlTilgStart,14)),$J6534*($H6534+INDEX(DarlTilgung,14))/100/12,IF(AND($G6534=0,$G6533=1),MAX($K6533,$J6534*($H6534+1)/100/12),$K6533))))</f>
      </c>
      <c r="L6534" s="43">
        <f>IF($I6534=0,0,$J6534*$H6534/100/12)</f>
      </c>
      <c r="M6534" s="43">
        <f>IF($I6534=0,0,IF(OR(INDEX(DarlOhneTilgung,14)=1,AND(INDEX(DarlTilgStart,14)&gt;0,$E6534&lt;INDEX(DarlTilgStart,14))),0,MIN(MAX(0,$K6534-$L6534),$J6534)))</f>
      </c>
      <c r="N6534" s="43">
        <f>IF($I6534=0,0,MIN(SUMIFS(SondBetrag,SondDarl,14,SondDatum,"&gt;="&amp;$E6534,SondDatum,"&lt;="&amp;EOMONTH($E6534,0)),$J6534-$M6534))</f>
      </c>
      <c r="O6534" s="43">
        <f>IF($I6534=0,0,INDEX(DarlErsatzRate,14))</f>
      </c>
      <c r="P6534" s="43">
        <f>IF($I6534=0,0,$Q6533*INDEX(DarlErsatzZins,14))</f>
      </c>
      <c r="Q6534" s="43">
        <f>IF($I6534=0,0,$Q6533+$P6534+$O6534)</f>
      </c>
      <c r="R6534" s="43">
        <f>IF($I6534=0,0,$J6534-$M6534-$N6534)</f>
      </c>
    </row>
    <row r="6535">
      <c r="A6535"/>
      <c r="B6535">
        <v>14</v>
      </c>
      <c r="C6535" s="43">
        <f>INDEX(DarlObj,14)</f>
      </c>
      <c r="D6535">
        <v>292</v>
      </c>
      <c r="E6535" s="51">
        <f>IF(INDEX(DarlBelegt,14)=0,0,EOMONTH(INDEX(DarlAuszahlung,14),291)+1)</f>
      </c>
      <c r="F6535" s="43">
        <f>IF($E6535=0,0,YEAR($E6535))</f>
      </c>
      <c r="G6535" s="43">
        <f>IF(INDEX(DarlBindung,14)="",1,IF($E6535&lt;=INDEX(DarlBindung,14),1,0))</f>
      </c>
      <c r="H6535" s="43">
        <f>IF($G6535=1,INDEX(DarlSollzins,14),INDEX(DarlAnschluss,14))</f>
      </c>
      <c r="I6535" s="43">
        <f>IF(INDEX(DarlBelegt,14)=0,0,IF(INDEX(DarlOhneTilgung,14)=1,IF(INDEX(DarlBindung,14)="",1,$G6535),IF($J6535&gt;0.005,1,0)))</f>
      </c>
      <c r="J6535" s="43">
        <f>IF($I6534=0,0,$R6534)</f>
      </c>
      <c r="K6535" s="43">
        <f>IF($I6535=0,0,IF(INDEX(DarlOhneTilgung,14)=1,0,IF(AND(INDEX(DarlTilgStart,14)&gt;0,$E6535=INDEX(DarlTilgStart,14)),$J6535*($H6535+INDEX(DarlTilgung,14))/100/12,IF(AND($G6535=0,$G6534=1),MAX($K6534,$J6535*($H6535+1)/100/12),$K6534))))</f>
      </c>
      <c r="L6535" s="43">
        <f>IF($I6535=0,0,$J6535*$H6535/100/12)</f>
      </c>
      <c r="M6535" s="43">
        <f>IF($I6535=0,0,IF(OR(INDEX(DarlOhneTilgung,14)=1,AND(INDEX(DarlTilgStart,14)&gt;0,$E6535&lt;INDEX(DarlTilgStart,14))),0,MIN(MAX(0,$K6535-$L6535),$J6535)))</f>
      </c>
      <c r="N6535" s="43">
        <f>IF($I6535=0,0,MIN(SUMIFS(SondBetrag,SondDarl,14,SondDatum,"&gt;="&amp;$E6535,SondDatum,"&lt;="&amp;EOMONTH($E6535,0)),$J6535-$M6535))</f>
      </c>
      <c r="O6535" s="43">
        <f>IF($I6535=0,0,INDEX(DarlErsatzRate,14))</f>
      </c>
      <c r="P6535" s="43">
        <f>IF($I6535=0,0,$Q6534*INDEX(DarlErsatzZins,14))</f>
      </c>
      <c r="Q6535" s="43">
        <f>IF($I6535=0,0,$Q6534+$P6535+$O6535)</f>
      </c>
      <c r="R6535" s="43">
        <f>IF($I6535=0,0,$J6535-$M6535-$N6535)</f>
      </c>
    </row>
    <row r="6536">
      <c r="A6536"/>
      <c r="B6536">
        <v>14</v>
      </c>
      <c r="C6536" s="43">
        <f>INDEX(DarlObj,14)</f>
      </c>
      <c r="D6536">
        <v>293</v>
      </c>
      <c r="E6536" s="51">
        <f>IF(INDEX(DarlBelegt,14)=0,0,EOMONTH(INDEX(DarlAuszahlung,14),292)+1)</f>
      </c>
      <c r="F6536" s="43">
        <f>IF($E6536=0,0,YEAR($E6536))</f>
      </c>
      <c r="G6536" s="43">
        <f>IF(INDEX(DarlBindung,14)="",1,IF($E6536&lt;=INDEX(DarlBindung,14),1,0))</f>
      </c>
      <c r="H6536" s="43">
        <f>IF($G6536=1,INDEX(DarlSollzins,14),INDEX(DarlAnschluss,14))</f>
      </c>
      <c r="I6536" s="43">
        <f>IF(INDEX(DarlBelegt,14)=0,0,IF(INDEX(DarlOhneTilgung,14)=1,IF(INDEX(DarlBindung,14)="",1,$G6536),IF($J6536&gt;0.005,1,0)))</f>
      </c>
      <c r="J6536" s="43">
        <f>IF($I6535=0,0,$R6535)</f>
      </c>
      <c r="K6536" s="43">
        <f>IF($I6536=0,0,IF(INDEX(DarlOhneTilgung,14)=1,0,IF(AND(INDEX(DarlTilgStart,14)&gt;0,$E6536=INDEX(DarlTilgStart,14)),$J6536*($H6536+INDEX(DarlTilgung,14))/100/12,IF(AND($G6536=0,$G6535=1),MAX($K6535,$J6536*($H6536+1)/100/12),$K6535))))</f>
      </c>
      <c r="L6536" s="43">
        <f>IF($I6536=0,0,$J6536*$H6536/100/12)</f>
      </c>
      <c r="M6536" s="43">
        <f>IF($I6536=0,0,IF(OR(INDEX(DarlOhneTilgung,14)=1,AND(INDEX(DarlTilgStart,14)&gt;0,$E6536&lt;INDEX(DarlTilgStart,14))),0,MIN(MAX(0,$K6536-$L6536),$J6536)))</f>
      </c>
      <c r="N6536" s="43">
        <f>IF($I6536=0,0,MIN(SUMIFS(SondBetrag,SondDarl,14,SondDatum,"&gt;="&amp;$E6536,SondDatum,"&lt;="&amp;EOMONTH($E6536,0)),$J6536-$M6536))</f>
      </c>
      <c r="O6536" s="43">
        <f>IF($I6536=0,0,INDEX(DarlErsatzRate,14))</f>
      </c>
      <c r="P6536" s="43">
        <f>IF($I6536=0,0,$Q6535*INDEX(DarlErsatzZins,14))</f>
      </c>
      <c r="Q6536" s="43">
        <f>IF($I6536=0,0,$Q6535+$P6536+$O6536)</f>
      </c>
      <c r="R6536" s="43">
        <f>IF($I6536=0,0,$J6536-$M6536-$N6536)</f>
      </c>
    </row>
    <row r="6537">
      <c r="A6537"/>
      <c r="B6537">
        <v>14</v>
      </c>
      <c r="C6537" s="43">
        <f>INDEX(DarlObj,14)</f>
      </c>
      <c r="D6537">
        <v>294</v>
      </c>
      <c r="E6537" s="51">
        <f>IF(INDEX(DarlBelegt,14)=0,0,EOMONTH(INDEX(DarlAuszahlung,14),293)+1)</f>
      </c>
      <c r="F6537" s="43">
        <f>IF($E6537=0,0,YEAR($E6537))</f>
      </c>
      <c r="G6537" s="43">
        <f>IF(INDEX(DarlBindung,14)="",1,IF($E6537&lt;=INDEX(DarlBindung,14),1,0))</f>
      </c>
      <c r="H6537" s="43">
        <f>IF($G6537=1,INDEX(DarlSollzins,14),INDEX(DarlAnschluss,14))</f>
      </c>
      <c r="I6537" s="43">
        <f>IF(INDEX(DarlBelegt,14)=0,0,IF(INDEX(DarlOhneTilgung,14)=1,IF(INDEX(DarlBindung,14)="",1,$G6537),IF($J6537&gt;0.005,1,0)))</f>
      </c>
      <c r="J6537" s="43">
        <f>IF($I6536=0,0,$R6536)</f>
      </c>
      <c r="K6537" s="43">
        <f>IF($I6537=0,0,IF(INDEX(DarlOhneTilgung,14)=1,0,IF(AND(INDEX(DarlTilgStart,14)&gt;0,$E6537=INDEX(DarlTilgStart,14)),$J6537*($H6537+INDEX(DarlTilgung,14))/100/12,IF(AND($G6537=0,$G6536=1),MAX($K6536,$J6537*($H6537+1)/100/12),$K6536))))</f>
      </c>
      <c r="L6537" s="43">
        <f>IF($I6537=0,0,$J6537*$H6537/100/12)</f>
      </c>
      <c r="M6537" s="43">
        <f>IF($I6537=0,0,IF(OR(INDEX(DarlOhneTilgung,14)=1,AND(INDEX(DarlTilgStart,14)&gt;0,$E6537&lt;INDEX(DarlTilgStart,14))),0,MIN(MAX(0,$K6537-$L6537),$J6537)))</f>
      </c>
      <c r="N6537" s="43">
        <f>IF($I6537=0,0,MIN(SUMIFS(SondBetrag,SondDarl,14,SondDatum,"&gt;="&amp;$E6537,SondDatum,"&lt;="&amp;EOMONTH($E6537,0)),$J6537-$M6537))</f>
      </c>
      <c r="O6537" s="43">
        <f>IF($I6537=0,0,INDEX(DarlErsatzRate,14))</f>
      </c>
      <c r="P6537" s="43">
        <f>IF($I6537=0,0,$Q6536*INDEX(DarlErsatzZins,14))</f>
      </c>
      <c r="Q6537" s="43">
        <f>IF($I6537=0,0,$Q6536+$P6537+$O6537)</f>
      </c>
      <c r="R6537" s="43">
        <f>IF($I6537=0,0,$J6537-$M6537-$N6537)</f>
      </c>
    </row>
    <row r="6538">
      <c r="A6538"/>
      <c r="B6538">
        <v>14</v>
      </c>
      <c r="C6538" s="43">
        <f>INDEX(DarlObj,14)</f>
      </c>
      <c r="D6538">
        <v>295</v>
      </c>
      <c r="E6538" s="51">
        <f>IF(INDEX(DarlBelegt,14)=0,0,EOMONTH(INDEX(DarlAuszahlung,14),294)+1)</f>
      </c>
      <c r="F6538" s="43">
        <f>IF($E6538=0,0,YEAR($E6538))</f>
      </c>
      <c r="G6538" s="43">
        <f>IF(INDEX(DarlBindung,14)="",1,IF($E6538&lt;=INDEX(DarlBindung,14),1,0))</f>
      </c>
      <c r="H6538" s="43">
        <f>IF($G6538=1,INDEX(DarlSollzins,14),INDEX(DarlAnschluss,14))</f>
      </c>
      <c r="I6538" s="43">
        <f>IF(INDEX(DarlBelegt,14)=0,0,IF(INDEX(DarlOhneTilgung,14)=1,IF(INDEX(DarlBindung,14)="",1,$G6538),IF($J6538&gt;0.005,1,0)))</f>
      </c>
      <c r="J6538" s="43">
        <f>IF($I6537=0,0,$R6537)</f>
      </c>
      <c r="K6538" s="43">
        <f>IF($I6538=0,0,IF(INDEX(DarlOhneTilgung,14)=1,0,IF(AND(INDEX(DarlTilgStart,14)&gt;0,$E6538=INDEX(DarlTilgStart,14)),$J6538*($H6538+INDEX(DarlTilgung,14))/100/12,IF(AND($G6538=0,$G6537=1),MAX($K6537,$J6538*($H6538+1)/100/12),$K6537))))</f>
      </c>
      <c r="L6538" s="43">
        <f>IF($I6538=0,0,$J6538*$H6538/100/12)</f>
      </c>
      <c r="M6538" s="43">
        <f>IF($I6538=0,0,IF(OR(INDEX(DarlOhneTilgung,14)=1,AND(INDEX(DarlTilgStart,14)&gt;0,$E6538&lt;INDEX(DarlTilgStart,14))),0,MIN(MAX(0,$K6538-$L6538),$J6538)))</f>
      </c>
      <c r="N6538" s="43">
        <f>IF($I6538=0,0,MIN(SUMIFS(SondBetrag,SondDarl,14,SondDatum,"&gt;="&amp;$E6538,SondDatum,"&lt;="&amp;EOMONTH($E6538,0)),$J6538-$M6538))</f>
      </c>
      <c r="O6538" s="43">
        <f>IF($I6538=0,0,INDEX(DarlErsatzRate,14))</f>
      </c>
      <c r="P6538" s="43">
        <f>IF($I6538=0,0,$Q6537*INDEX(DarlErsatzZins,14))</f>
      </c>
      <c r="Q6538" s="43">
        <f>IF($I6538=0,0,$Q6537+$P6538+$O6538)</f>
      </c>
      <c r="R6538" s="43">
        <f>IF($I6538=0,0,$J6538-$M6538-$N6538)</f>
      </c>
    </row>
    <row r="6539">
      <c r="A6539"/>
      <c r="B6539">
        <v>14</v>
      </c>
      <c r="C6539" s="43">
        <f>INDEX(DarlObj,14)</f>
      </c>
      <c r="D6539">
        <v>296</v>
      </c>
      <c r="E6539" s="51">
        <f>IF(INDEX(DarlBelegt,14)=0,0,EOMONTH(INDEX(DarlAuszahlung,14),295)+1)</f>
      </c>
      <c r="F6539" s="43">
        <f>IF($E6539=0,0,YEAR($E6539))</f>
      </c>
      <c r="G6539" s="43">
        <f>IF(INDEX(DarlBindung,14)="",1,IF($E6539&lt;=INDEX(DarlBindung,14),1,0))</f>
      </c>
      <c r="H6539" s="43">
        <f>IF($G6539=1,INDEX(DarlSollzins,14),INDEX(DarlAnschluss,14))</f>
      </c>
      <c r="I6539" s="43">
        <f>IF(INDEX(DarlBelegt,14)=0,0,IF(INDEX(DarlOhneTilgung,14)=1,IF(INDEX(DarlBindung,14)="",1,$G6539),IF($J6539&gt;0.005,1,0)))</f>
      </c>
      <c r="J6539" s="43">
        <f>IF($I6538=0,0,$R6538)</f>
      </c>
      <c r="K6539" s="43">
        <f>IF($I6539=0,0,IF(INDEX(DarlOhneTilgung,14)=1,0,IF(AND(INDEX(DarlTilgStart,14)&gt;0,$E6539=INDEX(DarlTilgStart,14)),$J6539*($H6539+INDEX(DarlTilgung,14))/100/12,IF(AND($G6539=0,$G6538=1),MAX($K6538,$J6539*($H6539+1)/100/12),$K6538))))</f>
      </c>
      <c r="L6539" s="43">
        <f>IF($I6539=0,0,$J6539*$H6539/100/12)</f>
      </c>
      <c r="M6539" s="43">
        <f>IF($I6539=0,0,IF(OR(INDEX(DarlOhneTilgung,14)=1,AND(INDEX(DarlTilgStart,14)&gt;0,$E6539&lt;INDEX(DarlTilgStart,14))),0,MIN(MAX(0,$K6539-$L6539),$J6539)))</f>
      </c>
      <c r="N6539" s="43">
        <f>IF($I6539=0,0,MIN(SUMIFS(SondBetrag,SondDarl,14,SondDatum,"&gt;="&amp;$E6539,SondDatum,"&lt;="&amp;EOMONTH($E6539,0)),$J6539-$M6539))</f>
      </c>
      <c r="O6539" s="43">
        <f>IF($I6539=0,0,INDEX(DarlErsatzRate,14))</f>
      </c>
      <c r="P6539" s="43">
        <f>IF($I6539=0,0,$Q6538*INDEX(DarlErsatzZins,14))</f>
      </c>
      <c r="Q6539" s="43">
        <f>IF($I6539=0,0,$Q6538+$P6539+$O6539)</f>
      </c>
      <c r="R6539" s="43">
        <f>IF($I6539=0,0,$J6539-$M6539-$N6539)</f>
      </c>
    </row>
    <row r="6540">
      <c r="A6540"/>
      <c r="B6540">
        <v>14</v>
      </c>
      <c r="C6540" s="43">
        <f>INDEX(DarlObj,14)</f>
      </c>
      <c r="D6540">
        <v>297</v>
      </c>
      <c r="E6540" s="51">
        <f>IF(INDEX(DarlBelegt,14)=0,0,EOMONTH(INDEX(DarlAuszahlung,14),296)+1)</f>
      </c>
      <c r="F6540" s="43">
        <f>IF($E6540=0,0,YEAR($E6540))</f>
      </c>
      <c r="G6540" s="43">
        <f>IF(INDEX(DarlBindung,14)="",1,IF($E6540&lt;=INDEX(DarlBindung,14),1,0))</f>
      </c>
      <c r="H6540" s="43">
        <f>IF($G6540=1,INDEX(DarlSollzins,14),INDEX(DarlAnschluss,14))</f>
      </c>
      <c r="I6540" s="43">
        <f>IF(INDEX(DarlBelegt,14)=0,0,IF(INDEX(DarlOhneTilgung,14)=1,IF(INDEX(DarlBindung,14)="",1,$G6540),IF($J6540&gt;0.005,1,0)))</f>
      </c>
      <c r="J6540" s="43">
        <f>IF($I6539=0,0,$R6539)</f>
      </c>
      <c r="K6540" s="43">
        <f>IF($I6540=0,0,IF(INDEX(DarlOhneTilgung,14)=1,0,IF(AND(INDEX(DarlTilgStart,14)&gt;0,$E6540=INDEX(DarlTilgStart,14)),$J6540*($H6540+INDEX(DarlTilgung,14))/100/12,IF(AND($G6540=0,$G6539=1),MAX($K6539,$J6540*($H6540+1)/100/12),$K6539))))</f>
      </c>
      <c r="L6540" s="43">
        <f>IF($I6540=0,0,$J6540*$H6540/100/12)</f>
      </c>
      <c r="M6540" s="43">
        <f>IF($I6540=0,0,IF(OR(INDEX(DarlOhneTilgung,14)=1,AND(INDEX(DarlTilgStart,14)&gt;0,$E6540&lt;INDEX(DarlTilgStart,14))),0,MIN(MAX(0,$K6540-$L6540),$J6540)))</f>
      </c>
      <c r="N6540" s="43">
        <f>IF($I6540=0,0,MIN(SUMIFS(SondBetrag,SondDarl,14,SondDatum,"&gt;="&amp;$E6540,SondDatum,"&lt;="&amp;EOMONTH($E6540,0)),$J6540-$M6540))</f>
      </c>
      <c r="O6540" s="43">
        <f>IF($I6540=0,0,INDEX(DarlErsatzRate,14))</f>
      </c>
      <c r="P6540" s="43">
        <f>IF($I6540=0,0,$Q6539*INDEX(DarlErsatzZins,14))</f>
      </c>
      <c r="Q6540" s="43">
        <f>IF($I6540=0,0,$Q6539+$P6540+$O6540)</f>
      </c>
      <c r="R6540" s="43">
        <f>IF($I6540=0,0,$J6540-$M6540-$N6540)</f>
      </c>
    </row>
    <row r="6541">
      <c r="A6541"/>
      <c r="B6541">
        <v>14</v>
      </c>
      <c r="C6541" s="43">
        <f>INDEX(DarlObj,14)</f>
      </c>
      <c r="D6541">
        <v>298</v>
      </c>
      <c r="E6541" s="51">
        <f>IF(INDEX(DarlBelegt,14)=0,0,EOMONTH(INDEX(DarlAuszahlung,14),297)+1)</f>
      </c>
      <c r="F6541" s="43">
        <f>IF($E6541=0,0,YEAR($E6541))</f>
      </c>
      <c r="G6541" s="43">
        <f>IF(INDEX(DarlBindung,14)="",1,IF($E6541&lt;=INDEX(DarlBindung,14),1,0))</f>
      </c>
      <c r="H6541" s="43">
        <f>IF($G6541=1,INDEX(DarlSollzins,14),INDEX(DarlAnschluss,14))</f>
      </c>
      <c r="I6541" s="43">
        <f>IF(INDEX(DarlBelegt,14)=0,0,IF(INDEX(DarlOhneTilgung,14)=1,IF(INDEX(DarlBindung,14)="",1,$G6541),IF($J6541&gt;0.005,1,0)))</f>
      </c>
      <c r="J6541" s="43">
        <f>IF($I6540=0,0,$R6540)</f>
      </c>
      <c r="K6541" s="43">
        <f>IF($I6541=0,0,IF(INDEX(DarlOhneTilgung,14)=1,0,IF(AND(INDEX(DarlTilgStart,14)&gt;0,$E6541=INDEX(DarlTilgStart,14)),$J6541*($H6541+INDEX(DarlTilgung,14))/100/12,IF(AND($G6541=0,$G6540=1),MAX($K6540,$J6541*($H6541+1)/100/12),$K6540))))</f>
      </c>
      <c r="L6541" s="43">
        <f>IF($I6541=0,0,$J6541*$H6541/100/12)</f>
      </c>
      <c r="M6541" s="43">
        <f>IF($I6541=0,0,IF(OR(INDEX(DarlOhneTilgung,14)=1,AND(INDEX(DarlTilgStart,14)&gt;0,$E6541&lt;INDEX(DarlTilgStart,14))),0,MIN(MAX(0,$K6541-$L6541),$J6541)))</f>
      </c>
      <c r="N6541" s="43">
        <f>IF($I6541=0,0,MIN(SUMIFS(SondBetrag,SondDarl,14,SondDatum,"&gt;="&amp;$E6541,SondDatum,"&lt;="&amp;EOMONTH($E6541,0)),$J6541-$M6541))</f>
      </c>
      <c r="O6541" s="43">
        <f>IF($I6541=0,0,INDEX(DarlErsatzRate,14))</f>
      </c>
      <c r="P6541" s="43">
        <f>IF($I6541=0,0,$Q6540*INDEX(DarlErsatzZins,14))</f>
      </c>
      <c r="Q6541" s="43">
        <f>IF($I6541=0,0,$Q6540+$P6541+$O6541)</f>
      </c>
      <c r="R6541" s="43">
        <f>IF($I6541=0,0,$J6541-$M6541-$N6541)</f>
      </c>
    </row>
    <row r="6542">
      <c r="A6542"/>
      <c r="B6542">
        <v>14</v>
      </c>
      <c r="C6542" s="43">
        <f>INDEX(DarlObj,14)</f>
      </c>
      <c r="D6542">
        <v>299</v>
      </c>
      <c r="E6542" s="51">
        <f>IF(INDEX(DarlBelegt,14)=0,0,EOMONTH(INDEX(DarlAuszahlung,14),298)+1)</f>
      </c>
      <c r="F6542" s="43">
        <f>IF($E6542=0,0,YEAR($E6542))</f>
      </c>
      <c r="G6542" s="43">
        <f>IF(INDEX(DarlBindung,14)="",1,IF($E6542&lt;=INDEX(DarlBindung,14),1,0))</f>
      </c>
      <c r="H6542" s="43">
        <f>IF($G6542=1,INDEX(DarlSollzins,14),INDEX(DarlAnschluss,14))</f>
      </c>
      <c r="I6542" s="43">
        <f>IF(INDEX(DarlBelegt,14)=0,0,IF(INDEX(DarlOhneTilgung,14)=1,IF(INDEX(DarlBindung,14)="",1,$G6542),IF($J6542&gt;0.005,1,0)))</f>
      </c>
      <c r="J6542" s="43">
        <f>IF($I6541=0,0,$R6541)</f>
      </c>
      <c r="K6542" s="43">
        <f>IF($I6542=0,0,IF(INDEX(DarlOhneTilgung,14)=1,0,IF(AND(INDEX(DarlTilgStart,14)&gt;0,$E6542=INDEX(DarlTilgStart,14)),$J6542*($H6542+INDEX(DarlTilgung,14))/100/12,IF(AND($G6542=0,$G6541=1),MAX($K6541,$J6542*($H6542+1)/100/12),$K6541))))</f>
      </c>
      <c r="L6542" s="43">
        <f>IF($I6542=0,0,$J6542*$H6542/100/12)</f>
      </c>
      <c r="M6542" s="43">
        <f>IF($I6542=0,0,IF(OR(INDEX(DarlOhneTilgung,14)=1,AND(INDEX(DarlTilgStart,14)&gt;0,$E6542&lt;INDEX(DarlTilgStart,14))),0,MIN(MAX(0,$K6542-$L6542),$J6542)))</f>
      </c>
      <c r="N6542" s="43">
        <f>IF($I6542=0,0,MIN(SUMIFS(SondBetrag,SondDarl,14,SondDatum,"&gt;="&amp;$E6542,SondDatum,"&lt;="&amp;EOMONTH($E6542,0)),$J6542-$M6542))</f>
      </c>
      <c r="O6542" s="43">
        <f>IF($I6542=0,0,INDEX(DarlErsatzRate,14))</f>
      </c>
      <c r="P6542" s="43">
        <f>IF($I6542=0,0,$Q6541*INDEX(DarlErsatzZins,14))</f>
      </c>
      <c r="Q6542" s="43">
        <f>IF($I6542=0,0,$Q6541+$P6542+$O6542)</f>
      </c>
      <c r="R6542" s="43">
        <f>IF($I6542=0,0,$J6542-$M6542-$N6542)</f>
      </c>
    </row>
    <row r="6543">
      <c r="A6543"/>
      <c r="B6543">
        <v>14</v>
      </c>
      <c r="C6543" s="43">
        <f>INDEX(DarlObj,14)</f>
      </c>
      <c r="D6543">
        <v>300</v>
      </c>
      <c r="E6543" s="51">
        <f>IF(INDEX(DarlBelegt,14)=0,0,EOMONTH(INDEX(DarlAuszahlung,14),299)+1)</f>
      </c>
      <c r="F6543" s="43">
        <f>IF($E6543=0,0,YEAR($E6543))</f>
      </c>
      <c r="G6543" s="43">
        <f>IF(INDEX(DarlBindung,14)="",1,IF($E6543&lt;=INDEX(DarlBindung,14),1,0))</f>
      </c>
      <c r="H6543" s="43">
        <f>IF($G6543=1,INDEX(DarlSollzins,14),INDEX(DarlAnschluss,14))</f>
      </c>
      <c r="I6543" s="43">
        <f>IF(INDEX(DarlBelegt,14)=0,0,IF(INDEX(DarlOhneTilgung,14)=1,IF(INDEX(DarlBindung,14)="",1,$G6543),IF($J6543&gt;0.005,1,0)))</f>
      </c>
      <c r="J6543" s="43">
        <f>IF($I6542=0,0,$R6542)</f>
      </c>
      <c r="K6543" s="43">
        <f>IF($I6543=0,0,IF(INDEX(DarlOhneTilgung,14)=1,0,IF(AND(INDEX(DarlTilgStart,14)&gt;0,$E6543=INDEX(DarlTilgStart,14)),$J6543*($H6543+INDEX(DarlTilgung,14))/100/12,IF(AND($G6543=0,$G6542=1),MAX($K6542,$J6543*($H6543+1)/100/12),$K6542))))</f>
      </c>
      <c r="L6543" s="43">
        <f>IF($I6543=0,0,$J6543*$H6543/100/12)</f>
      </c>
      <c r="M6543" s="43">
        <f>IF($I6543=0,0,IF(OR(INDEX(DarlOhneTilgung,14)=1,AND(INDEX(DarlTilgStart,14)&gt;0,$E6543&lt;INDEX(DarlTilgStart,14))),0,MIN(MAX(0,$K6543-$L6543),$J6543)))</f>
      </c>
      <c r="N6543" s="43">
        <f>IF($I6543=0,0,MIN(SUMIFS(SondBetrag,SondDarl,14,SondDatum,"&gt;="&amp;$E6543,SondDatum,"&lt;="&amp;EOMONTH($E6543,0)),$J6543-$M6543))</f>
      </c>
      <c r="O6543" s="43">
        <f>IF($I6543=0,0,INDEX(DarlErsatzRate,14))</f>
      </c>
      <c r="P6543" s="43">
        <f>IF($I6543=0,0,$Q6542*INDEX(DarlErsatzZins,14))</f>
      </c>
      <c r="Q6543" s="43">
        <f>IF($I6543=0,0,$Q6542+$P6543+$O6543)</f>
      </c>
      <c r="R6543" s="43">
        <f>IF($I6543=0,0,$J6543-$M6543-$N6543)</f>
      </c>
    </row>
    <row r="6544">
      <c r="A6544"/>
      <c r="B6544">
        <v>14</v>
      </c>
      <c r="C6544" s="43">
        <f>INDEX(DarlObj,14)</f>
      </c>
      <c r="D6544">
        <v>301</v>
      </c>
      <c r="E6544" s="51">
        <f>IF(INDEX(DarlBelegt,14)=0,0,EOMONTH(INDEX(DarlAuszahlung,14),300)+1)</f>
      </c>
      <c r="F6544" s="43">
        <f>IF($E6544=0,0,YEAR($E6544))</f>
      </c>
      <c r="G6544" s="43">
        <f>IF(INDEX(DarlBindung,14)="",1,IF($E6544&lt;=INDEX(DarlBindung,14),1,0))</f>
      </c>
      <c r="H6544" s="43">
        <f>IF($G6544=1,INDEX(DarlSollzins,14),INDEX(DarlAnschluss,14))</f>
      </c>
      <c r="I6544" s="43">
        <f>IF(INDEX(DarlBelegt,14)=0,0,IF(INDEX(DarlOhneTilgung,14)=1,IF(INDEX(DarlBindung,14)="",1,$G6544),IF($J6544&gt;0.005,1,0)))</f>
      </c>
      <c r="J6544" s="43">
        <f>IF($I6543=0,0,$R6543)</f>
      </c>
      <c r="K6544" s="43">
        <f>IF($I6544=0,0,IF(INDEX(DarlOhneTilgung,14)=1,0,IF(AND(INDEX(DarlTilgStart,14)&gt;0,$E6544=INDEX(DarlTilgStart,14)),$J6544*($H6544+INDEX(DarlTilgung,14))/100/12,IF(AND($G6544=0,$G6543=1),MAX($K6543,$J6544*($H6544+1)/100/12),$K6543))))</f>
      </c>
      <c r="L6544" s="43">
        <f>IF($I6544=0,0,$J6544*$H6544/100/12)</f>
      </c>
      <c r="M6544" s="43">
        <f>IF($I6544=0,0,IF(OR(INDEX(DarlOhneTilgung,14)=1,AND(INDEX(DarlTilgStart,14)&gt;0,$E6544&lt;INDEX(DarlTilgStart,14))),0,MIN(MAX(0,$K6544-$L6544),$J6544)))</f>
      </c>
      <c r="N6544" s="43">
        <f>IF($I6544=0,0,MIN(SUMIFS(SondBetrag,SondDarl,14,SondDatum,"&gt;="&amp;$E6544,SondDatum,"&lt;="&amp;EOMONTH($E6544,0)),$J6544-$M6544))</f>
      </c>
      <c r="O6544" s="43">
        <f>IF($I6544=0,0,INDEX(DarlErsatzRate,14))</f>
      </c>
      <c r="P6544" s="43">
        <f>IF($I6544=0,0,$Q6543*INDEX(DarlErsatzZins,14))</f>
      </c>
      <c r="Q6544" s="43">
        <f>IF($I6544=0,0,$Q6543+$P6544+$O6544)</f>
      </c>
      <c r="R6544" s="43">
        <f>IF($I6544=0,0,$J6544-$M6544-$N6544)</f>
      </c>
    </row>
    <row r="6545">
      <c r="A6545"/>
      <c r="B6545">
        <v>14</v>
      </c>
      <c r="C6545" s="43">
        <f>INDEX(DarlObj,14)</f>
      </c>
      <c r="D6545">
        <v>302</v>
      </c>
      <c r="E6545" s="51">
        <f>IF(INDEX(DarlBelegt,14)=0,0,EOMONTH(INDEX(DarlAuszahlung,14),301)+1)</f>
      </c>
      <c r="F6545" s="43">
        <f>IF($E6545=0,0,YEAR($E6545))</f>
      </c>
      <c r="G6545" s="43">
        <f>IF(INDEX(DarlBindung,14)="",1,IF($E6545&lt;=INDEX(DarlBindung,14),1,0))</f>
      </c>
      <c r="H6545" s="43">
        <f>IF($G6545=1,INDEX(DarlSollzins,14),INDEX(DarlAnschluss,14))</f>
      </c>
      <c r="I6545" s="43">
        <f>IF(INDEX(DarlBelegt,14)=0,0,IF(INDEX(DarlOhneTilgung,14)=1,IF(INDEX(DarlBindung,14)="",1,$G6545),IF($J6545&gt;0.005,1,0)))</f>
      </c>
      <c r="J6545" s="43">
        <f>IF($I6544=0,0,$R6544)</f>
      </c>
      <c r="K6545" s="43">
        <f>IF($I6545=0,0,IF(INDEX(DarlOhneTilgung,14)=1,0,IF(AND(INDEX(DarlTilgStart,14)&gt;0,$E6545=INDEX(DarlTilgStart,14)),$J6545*($H6545+INDEX(DarlTilgung,14))/100/12,IF(AND($G6545=0,$G6544=1),MAX($K6544,$J6545*($H6545+1)/100/12),$K6544))))</f>
      </c>
      <c r="L6545" s="43">
        <f>IF($I6545=0,0,$J6545*$H6545/100/12)</f>
      </c>
      <c r="M6545" s="43">
        <f>IF($I6545=0,0,IF(OR(INDEX(DarlOhneTilgung,14)=1,AND(INDEX(DarlTilgStart,14)&gt;0,$E6545&lt;INDEX(DarlTilgStart,14))),0,MIN(MAX(0,$K6545-$L6545),$J6545)))</f>
      </c>
      <c r="N6545" s="43">
        <f>IF($I6545=0,0,MIN(SUMIFS(SondBetrag,SondDarl,14,SondDatum,"&gt;="&amp;$E6545,SondDatum,"&lt;="&amp;EOMONTH($E6545,0)),$J6545-$M6545))</f>
      </c>
      <c r="O6545" s="43">
        <f>IF($I6545=0,0,INDEX(DarlErsatzRate,14))</f>
      </c>
      <c r="P6545" s="43">
        <f>IF($I6545=0,0,$Q6544*INDEX(DarlErsatzZins,14))</f>
      </c>
      <c r="Q6545" s="43">
        <f>IF($I6545=0,0,$Q6544+$P6545+$O6545)</f>
      </c>
      <c r="R6545" s="43">
        <f>IF($I6545=0,0,$J6545-$M6545-$N6545)</f>
      </c>
    </row>
    <row r="6546">
      <c r="A6546"/>
      <c r="B6546">
        <v>14</v>
      </c>
      <c r="C6546" s="43">
        <f>INDEX(DarlObj,14)</f>
      </c>
      <c r="D6546">
        <v>303</v>
      </c>
      <c r="E6546" s="51">
        <f>IF(INDEX(DarlBelegt,14)=0,0,EOMONTH(INDEX(DarlAuszahlung,14),302)+1)</f>
      </c>
      <c r="F6546" s="43">
        <f>IF($E6546=0,0,YEAR($E6546))</f>
      </c>
      <c r="G6546" s="43">
        <f>IF(INDEX(DarlBindung,14)="",1,IF($E6546&lt;=INDEX(DarlBindung,14),1,0))</f>
      </c>
      <c r="H6546" s="43">
        <f>IF($G6546=1,INDEX(DarlSollzins,14),INDEX(DarlAnschluss,14))</f>
      </c>
      <c r="I6546" s="43">
        <f>IF(INDEX(DarlBelegt,14)=0,0,IF(INDEX(DarlOhneTilgung,14)=1,IF(INDEX(DarlBindung,14)="",1,$G6546),IF($J6546&gt;0.005,1,0)))</f>
      </c>
      <c r="J6546" s="43">
        <f>IF($I6545=0,0,$R6545)</f>
      </c>
      <c r="K6546" s="43">
        <f>IF($I6546=0,0,IF(INDEX(DarlOhneTilgung,14)=1,0,IF(AND(INDEX(DarlTilgStart,14)&gt;0,$E6546=INDEX(DarlTilgStart,14)),$J6546*($H6546+INDEX(DarlTilgung,14))/100/12,IF(AND($G6546=0,$G6545=1),MAX($K6545,$J6546*($H6546+1)/100/12),$K6545))))</f>
      </c>
      <c r="L6546" s="43">
        <f>IF($I6546=0,0,$J6546*$H6546/100/12)</f>
      </c>
      <c r="M6546" s="43">
        <f>IF($I6546=0,0,IF(OR(INDEX(DarlOhneTilgung,14)=1,AND(INDEX(DarlTilgStart,14)&gt;0,$E6546&lt;INDEX(DarlTilgStart,14))),0,MIN(MAX(0,$K6546-$L6546),$J6546)))</f>
      </c>
      <c r="N6546" s="43">
        <f>IF($I6546=0,0,MIN(SUMIFS(SondBetrag,SondDarl,14,SondDatum,"&gt;="&amp;$E6546,SondDatum,"&lt;="&amp;EOMONTH($E6546,0)),$J6546-$M6546))</f>
      </c>
      <c r="O6546" s="43">
        <f>IF($I6546=0,0,INDEX(DarlErsatzRate,14))</f>
      </c>
      <c r="P6546" s="43">
        <f>IF($I6546=0,0,$Q6545*INDEX(DarlErsatzZins,14))</f>
      </c>
      <c r="Q6546" s="43">
        <f>IF($I6546=0,0,$Q6545+$P6546+$O6546)</f>
      </c>
      <c r="R6546" s="43">
        <f>IF($I6546=0,0,$J6546-$M6546-$N6546)</f>
      </c>
    </row>
    <row r="6547">
      <c r="A6547"/>
      <c r="B6547">
        <v>14</v>
      </c>
      <c r="C6547" s="43">
        <f>INDEX(DarlObj,14)</f>
      </c>
      <c r="D6547">
        <v>304</v>
      </c>
      <c r="E6547" s="51">
        <f>IF(INDEX(DarlBelegt,14)=0,0,EOMONTH(INDEX(DarlAuszahlung,14),303)+1)</f>
      </c>
      <c r="F6547" s="43">
        <f>IF($E6547=0,0,YEAR($E6547))</f>
      </c>
      <c r="G6547" s="43">
        <f>IF(INDEX(DarlBindung,14)="",1,IF($E6547&lt;=INDEX(DarlBindung,14),1,0))</f>
      </c>
      <c r="H6547" s="43">
        <f>IF($G6547=1,INDEX(DarlSollzins,14),INDEX(DarlAnschluss,14))</f>
      </c>
      <c r="I6547" s="43">
        <f>IF(INDEX(DarlBelegt,14)=0,0,IF(INDEX(DarlOhneTilgung,14)=1,IF(INDEX(DarlBindung,14)="",1,$G6547),IF($J6547&gt;0.005,1,0)))</f>
      </c>
      <c r="J6547" s="43">
        <f>IF($I6546=0,0,$R6546)</f>
      </c>
      <c r="K6547" s="43">
        <f>IF($I6547=0,0,IF(INDEX(DarlOhneTilgung,14)=1,0,IF(AND(INDEX(DarlTilgStart,14)&gt;0,$E6547=INDEX(DarlTilgStart,14)),$J6547*($H6547+INDEX(DarlTilgung,14))/100/12,IF(AND($G6547=0,$G6546=1),MAX($K6546,$J6547*($H6547+1)/100/12),$K6546))))</f>
      </c>
      <c r="L6547" s="43">
        <f>IF($I6547=0,0,$J6547*$H6547/100/12)</f>
      </c>
      <c r="M6547" s="43">
        <f>IF($I6547=0,0,IF(OR(INDEX(DarlOhneTilgung,14)=1,AND(INDEX(DarlTilgStart,14)&gt;0,$E6547&lt;INDEX(DarlTilgStart,14))),0,MIN(MAX(0,$K6547-$L6547),$J6547)))</f>
      </c>
      <c r="N6547" s="43">
        <f>IF($I6547=0,0,MIN(SUMIFS(SondBetrag,SondDarl,14,SondDatum,"&gt;="&amp;$E6547,SondDatum,"&lt;="&amp;EOMONTH($E6547,0)),$J6547-$M6547))</f>
      </c>
      <c r="O6547" s="43">
        <f>IF($I6547=0,0,INDEX(DarlErsatzRate,14))</f>
      </c>
      <c r="P6547" s="43">
        <f>IF($I6547=0,0,$Q6546*INDEX(DarlErsatzZins,14))</f>
      </c>
      <c r="Q6547" s="43">
        <f>IF($I6547=0,0,$Q6546+$P6547+$O6547)</f>
      </c>
      <c r="R6547" s="43">
        <f>IF($I6547=0,0,$J6547-$M6547-$N6547)</f>
      </c>
    </row>
    <row r="6548">
      <c r="A6548"/>
      <c r="B6548">
        <v>14</v>
      </c>
      <c r="C6548" s="43">
        <f>INDEX(DarlObj,14)</f>
      </c>
      <c r="D6548">
        <v>305</v>
      </c>
      <c r="E6548" s="51">
        <f>IF(INDEX(DarlBelegt,14)=0,0,EOMONTH(INDEX(DarlAuszahlung,14),304)+1)</f>
      </c>
      <c r="F6548" s="43">
        <f>IF($E6548=0,0,YEAR($E6548))</f>
      </c>
      <c r="G6548" s="43">
        <f>IF(INDEX(DarlBindung,14)="",1,IF($E6548&lt;=INDEX(DarlBindung,14),1,0))</f>
      </c>
      <c r="H6548" s="43">
        <f>IF($G6548=1,INDEX(DarlSollzins,14),INDEX(DarlAnschluss,14))</f>
      </c>
      <c r="I6548" s="43">
        <f>IF(INDEX(DarlBelegt,14)=0,0,IF(INDEX(DarlOhneTilgung,14)=1,IF(INDEX(DarlBindung,14)="",1,$G6548),IF($J6548&gt;0.005,1,0)))</f>
      </c>
      <c r="J6548" s="43">
        <f>IF($I6547=0,0,$R6547)</f>
      </c>
      <c r="K6548" s="43">
        <f>IF($I6548=0,0,IF(INDEX(DarlOhneTilgung,14)=1,0,IF(AND(INDEX(DarlTilgStart,14)&gt;0,$E6548=INDEX(DarlTilgStart,14)),$J6548*($H6548+INDEX(DarlTilgung,14))/100/12,IF(AND($G6548=0,$G6547=1),MAX($K6547,$J6548*($H6548+1)/100/12),$K6547))))</f>
      </c>
      <c r="L6548" s="43">
        <f>IF($I6548=0,0,$J6548*$H6548/100/12)</f>
      </c>
      <c r="M6548" s="43">
        <f>IF($I6548=0,0,IF(OR(INDEX(DarlOhneTilgung,14)=1,AND(INDEX(DarlTilgStart,14)&gt;0,$E6548&lt;INDEX(DarlTilgStart,14))),0,MIN(MAX(0,$K6548-$L6548),$J6548)))</f>
      </c>
      <c r="N6548" s="43">
        <f>IF($I6548=0,0,MIN(SUMIFS(SondBetrag,SondDarl,14,SondDatum,"&gt;="&amp;$E6548,SondDatum,"&lt;="&amp;EOMONTH($E6548,0)),$J6548-$M6548))</f>
      </c>
      <c r="O6548" s="43">
        <f>IF($I6548=0,0,INDEX(DarlErsatzRate,14))</f>
      </c>
      <c r="P6548" s="43">
        <f>IF($I6548=0,0,$Q6547*INDEX(DarlErsatzZins,14))</f>
      </c>
      <c r="Q6548" s="43">
        <f>IF($I6548=0,0,$Q6547+$P6548+$O6548)</f>
      </c>
      <c r="R6548" s="43">
        <f>IF($I6548=0,0,$J6548-$M6548-$N6548)</f>
      </c>
    </row>
    <row r="6549">
      <c r="A6549"/>
      <c r="B6549">
        <v>14</v>
      </c>
      <c r="C6549" s="43">
        <f>INDEX(DarlObj,14)</f>
      </c>
      <c r="D6549">
        <v>306</v>
      </c>
      <c r="E6549" s="51">
        <f>IF(INDEX(DarlBelegt,14)=0,0,EOMONTH(INDEX(DarlAuszahlung,14),305)+1)</f>
      </c>
      <c r="F6549" s="43">
        <f>IF($E6549=0,0,YEAR($E6549))</f>
      </c>
      <c r="G6549" s="43">
        <f>IF(INDEX(DarlBindung,14)="",1,IF($E6549&lt;=INDEX(DarlBindung,14),1,0))</f>
      </c>
      <c r="H6549" s="43">
        <f>IF($G6549=1,INDEX(DarlSollzins,14),INDEX(DarlAnschluss,14))</f>
      </c>
      <c r="I6549" s="43">
        <f>IF(INDEX(DarlBelegt,14)=0,0,IF(INDEX(DarlOhneTilgung,14)=1,IF(INDEX(DarlBindung,14)="",1,$G6549),IF($J6549&gt;0.005,1,0)))</f>
      </c>
      <c r="J6549" s="43">
        <f>IF($I6548=0,0,$R6548)</f>
      </c>
      <c r="K6549" s="43">
        <f>IF($I6549=0,0,IF(INDEX(DarlOhneTilgung,14)=1,0,IF(AND(INDEX(DarlTilgStart,14)&gt;0,$E6549=INDEX(DarlTilgStart,14)),$J6549*($H6549+INDEX(DarlTilgung,14))/100/12,IF(AND($G6549=0,$G6548=1),MAX($K6548,$J6549*($H6549+1)/100/12),$K6548))))</f>
      </c>
      <c r="L6549" s="43">
        <f>IF($I6549=0,0,$J6549*$H6549/100/12)</f>
      </c>
      <c r="M6549" s="43">
        <f>IF($I6549=0,0,IF(OR(INDEX(DarlOhneTilgung,14)=1,AND(INDEX(DarlTilgStart,14)&gt;0,$E6549&lt;INDEX(DarlTilgStart,14))),0,MIN(MAX(0,$K6549-$L6549),$J6549)))</f>
      </c>
      <c r="N6549" s="43">
        <f>IF($I6549=0,0,MIN(SUMIFS(SondBetrag,SondDarl,14,SondDatum,"&gt;="&amp;$E6549,SondDatum,"&lt;="&amp;EOMONTH($E6549,0)),$J6549-$M6549))</f>
      </c>
      <c r="O6549" s="43">
        <f>IF($I6549=0,0,INDEX(DarlErsatzRate,14))</f>
      </c>
      <c r="P6549" s="43">
        <f>IF($I6549=0,0,$Q6548*INDEX(DarlErsatzZins,14))</f>
      </c>
      <c r="Q6549" s="43">
        <f>IF($I6549=0,0,$Q6548+$P6549+$O6549)</f>
      </c>
      <c r="R6549" s="43">
        <f>IF($I6549=0,0,$J6549-$M6549-$N6549)</f>
      </c>
    </row>
    <row r="6550">
      <c r="A6550"/>
      <c r="B6550">
        <v>14</v>
      </c>
      <c r="C6550" s="43">
        <f>INDEX(DarlObj,14)</f>
      </c>
      <c r="D6550">
        <v>307</v>
      </c>
      <c r="E6550" s="51">
        <f>IF(INDEX(DarlBelegt,14)=0,0,EOMONTH(INDEX(DarlAuszahlung,14),306)+1)</f>
      </c>
      <c r="F6550" s="43">
        <f>IF($E6550=0,0,YEAR($E6550))</f>
      </c>
      <c r="G6550" s="43">
        <f>IF(INDEX(DarlBindung,14)="",1,IF($E6550&lt;=INDEX(DarlBindung,14),1,0))</f>
      </c>
      <c r="H6550" s="43">
        <f>IF($G6550=1,INDEX(DarlSollzins,14),INDEX(DarlAnschluss,14))</f>
      </c>
      <c r="I6550" s="43">
        <f>IF(INDEX(DarlBelegt,14)=0,0,IF(INDEX(DarlOhneTilgung,14)=1,IF(INDEX(DarlBindung,14)="",1,$G6550),IF($J6550&gt;0.005,1,0)))</f>
      </c>
      <c r="J6550" s="43">
        <f>IF($I6549=0,0,$R6549)</f>
      </c>
      <c r="K6550" s="43">
        <f>IF($I6550=0,0,IF(INDEX(DarlOhneTilgung,14)=1,0,IF(AND(INDEX(DarlTilgStart,14)&gt;0,$E6550=INDEX(DarlTilgStart,14)),$J6550*($H6550+INDEX(DarlTilgung,14))/100/12,IF(AND($G6550=0,$G6549=1),MAX($K6549,$J6550*($H6550+1)/100/12),$K6549))))</f>
      </c>
      <c r="L6550" s="43">
        <f>IF($I6550=0,0,$J6550*$H6550/100/12)</f>
      </c>
      <c r="M6550" s="43">
        <f>IF($I6550=0,0,IF(OR(INDEX(DarlOhneTilgung,14)=1,AND(INDEX(DarlTilgStart,14)&gt;0,$E6550&lt;INDEX(DarlTilgStart,14))),0,MIN(MAX(0,$K6550-$L6550),$J6550)))</f>
      </c>
      <c r="N6550" s="43">
        <f>IF($I6550=0,0,MIN(SUMIFS(SondBetrag,SondDarl,14,SondDatum,"&gt;="&amp;$E6550,SondDatum,"&lt;="&amp;EOMONTH($E6550,0)),$J6550-$M6550))</f>
      </c>
      <c r="O6550" s="43">
        <f>IF($I6550=0,0,INDEX(DarlErsatzRate,14))</f>
      </c>
      <c r="P6550" s="43">
        <f>IF($I6550=0,0,$Q6549*INDEX(DarlErsatzZins,14))</f>
      </c>
      <c r="Q6550" s="43">
        <f>IF($I6550=0,0,$Q6549+$P6550+$O6550)</f>
      </c>
      <c r="R6550" s="43">
        <f>IF($I6550=0,0,$J6550-$M6550-$N6550)</f>
      </c>
    </row>
    <row r="6551">
      <c r="A6551"/>
      <c r="B6551">
        <v>14</v>
      </c>
      <c r="C6551" s="43">
        <f>INDEX(DarlObj,14)</f>
      </c>
      <c r="D6551">
        <v>308</v>
      </c>
      <c r="E6551" s="51">
        <f>IF(INDEX(DarlBelegt,14)=0,0,EOMONTH(INDEX(DarlAuszahlung,14),307)+1)</f>
      </c>
      <c r="F6551" s="43">
        <f>IF($E6551=0,0,YEAR($E6551))</f>
      </c>
      <c r="G6551" s="43">
        <f>IF(INDEX(DarlBindung,14)="",1,IF($E6551&lt;=INDEX(DarlBindung,14),1,0))</f>
      </c>
      <c r="H6551" s="43">
        <f>IF($G6551=1,INDEX(DarlSollzins,14),INDEX(DarlAnschluss,14))</f>
      </c>
      <c r="I6551" s="43">
        <f>IF(INDEX(DarlBelegt,14)=0,0,IF(INDEX(DarlOhneTilgung,14)=1,IF(INDEX(DarlBindung,14)="",1,$G6551),IF($J6551&gt;0.005,1,0)))</f>
      </c>
      <c r="J6551" s="43">
        <f>IF($I6550=0,0,$R6550)</f>
      </c>
      <c r="K6551" s="43">
        <f>IF($I6551=0,0,IF(INDEX(DarlOhneTilgung,14)=1,0,IF(AND(INDEX(DarlTilgStart,14)&gt;0,$E6551=INDEX(DarlTilgStart,14)),$J6551*($H6551+INDEX(DarlTilgung,14))/100/12,IF(AND($G6551=0,$G6550=1),MAX($K6550,$J6551*($H6551+1)/100/12),$K6550))))</f>
      </c>
      <c r="L6551" s="43">
        <f>IF($I6551=0,0,$J6551*$H6551/100/12)</f>
      </c>
      <c r="M6551" s="43">
        <f>IF($I6551=0,0,IF(OR(INDEX(DarlOhneTilgung,14)=1,AND(INDEX(DarlTilgStart,14)&gt;0,$E6551&lt;INDEX(DarlTilgStart,14))),0,MIN(MAX(0,$K6551-$L6551),$J6551)))</f>
      </c>
      <c r="N6551" s="43">
        <f>IF($I6551=0,0,MIN(SUMIFS(SondBetrag,SondDarl,14,SondDatum,"&gt;="&amp;$E6551,SondDatum,"&lt;="&amp;EOMONTH($E6551,0)),$J6551-$M6551))</f>
      </c>
      <c r="O6551" s="43">
        <f>IF($I6551=0,0,INDEX(DarlErsatzRate,14))</f>
      </c>
      <c r="P6551" s="43">
        <f>IF($I6551=0,0,$Q6550*INDEX(DarlErsatzZins,14))</f>
      </c>
      <c r="Q6551" s="43">
        <f>IF($I6551=0,0,$Q6550+$P6551+$O6551)</f>
      </c>
      <c r="R6551" s="43">
        <f>IF($I6551=0,0,$J6551-$M6551-$N6551)</f>
      </c>
    </row>
    <row r="6552">
      <c r="A6552"/>
      <c r="B6552">
        <v>14</v>
      </c>
      <c r="C6552" s="43">
        <f>INDEX(DarlObj,14)</f>
      </c>
      <c r="D6552">
        <v>309</v>
      </c>
      <c r="E6552" s="51">
        <f>IF(INDEX(DarlBelegt,14)=0,0,EOMONTH(INDEX(DarlAuszahlung,14),308)+1)</f>
      </c>
      <c r="F6552" s="43">
        <f>IF($E6552=0,0,YEAR($E6552))</f>
      </c>
      <c r="G6552" s="43">
        <f>IF(INDEX(DarlBindung,14)="",1,IF($E6552&lt;=INDEX(DarlBindung,14),1,0))</f>
      </c>
      <c r="H6552" s="43">
        <f>IF($G6552=1,INDEX(DarlSollzins,14),INDEX(DarlAnschluss,14))</f>
      </c>
      <c r="I6552" s="43">
        <f>IF(INDEX(DarlBelegt,14)=0,0,IF(INDEX(DarlOhneTilgung,14)=1,IF(INDEX(DarlBindung,14)="",1,$G6552),IF($J6552&gt;0.005,1,0)))</f>
      </c>
      <c r="J6552" s="43">
        <f>IF($I6551=0,0,$R6551)</f>
      </c>
      <c r="K6552" s="43">
        <f>IF($I6552=0,0,IF(INDEX(DarlOhneTilgung,14)=1,0,IF(AND(INDEX(DarlTilgStart,14)&gt;0,$E6552=INDEX(DarlTilgStart,14)),$J6552*($H6552+INDEX(DarlTilgung,14))/100/12,IF(AND($G6552=0,$G6551=1),MAX($K6551,$J6552*($H6552+1)/100/12),$K6551))))</f>
      </c>
      <c r="L6552" s="43">
        <f>IF($I6552=0,0,$J6552*$H6552/100/12)</f>
      </c>
      <c r="M6552" s="43">
        <f>IF($I6552=0,0,IF(OR(INDEX(DarlOhneTilgung,14)=1,AND(INDEX(DarlTilgStart,14)&gt;0,$E6552&lt;INDEX(DarlTilgStart,14))),0,MIN(MAX(0,$K6552-$L6552),$J6552)))</f>
      </c>
      <c r="N6552" s="43">
        <f>IF($I6552=0,0,MIN(SUMIFS(SondBetrag,SondDarl,14,SondDatum,"&gt;="&amp;$E6552,SondDatum,"&lt;="&amp;EOMONTH($E6552,0)),$J6552-$M6552))</f>
      </c>
      <c r="O6552" s="43">
        <f>IF($I6552=0,0,INDEX(DarlErsatzRate,14))</f>
      </c>
      <c r="P6552" s="43">
        <f>IF($I6552=0,0,$Q6551*INDEX(DarlErsatzZins,14))</f>
      </c>
      <c r="Q6552" s="43">
        <f>IF($I6552=0,0,$Q6551+$P6552+$O6552)</f>
      </c>
      <c r="R6552" s="43">
        <f>IF($I6552=0,0,$J6552-$M6552-$N6552)</f>
      </c>
    </row>
    <row r="6553">
      <c r="A6553"/>
      <c r="B6553">
        <v>14</v>
      </c>
      <c r="C6553" s="43">
        <f>INDEX(DarlObj,14)</f>
      </c>
      <c r="D6553">
        <v>310</v>
      </c>
      <c r="E6553" s="51">
        <f>IF(INDEX(DarlBelegt,14)=0,0,EOMONTH(INDEX(DarlAuszahlung,14),309)+1)</f>
      </c>
      <c r="F6553" s="43">
        <f>IF($E6553=0,0,YEAR($E6553))</f>
      </c>
      <c r="G6553" s="43">
        <f>IF(INDEX(DarlBindung,14)="",1,IF($E6553&lt;=INDEX(DarlBindung,14),1,0))</f>
      </c>
      <c r="H6553" s="43">
        <f>IF($G6553=1,INDEX(DarlSollzins,14),INDEX(DarlAnschluss,14))</f>
      </c>
      <c r="I6553" s="43">
        <f>IF(INDEX(DarlBelegt,14)=0,0,IF(INDEX(DarlOhneTilgung,14)=1,IF(INDEX(DarlBindung,14)="",1,$G6553),IF($J6553&gt;0.005,1,0)))</f>
      </c>
      <c r="J6553" s="43">
        <f>IF($I6552=0,0,$R6552)</f>
      </c>
      <c r="K6553" s="43">
        <f>IF($I6553=0,0,IF(INDEX(DarlOhneTilgung,14)=1,0,IF(AND(INDEX(DarlTilgStart,14)&gt;0,$E6553=INDEX(DarlTilgStart,14)),$J6553*($H6553+INDEX(DarlTilgung,14))/100/12,IF(AND($G6553=0,$G6552=1),MAX($K6552,$J6553*($H6553+1)/100/12),$K6552))))</f>
      </c>
      <c r="L6553" s="43">
        <f>IF($I6553=0,0,$J6553*$H6553/100/12)</f>
      </c>
      <c r="M6553" s="43">
        <f>IF($I6553=0,0,IF(OR(INDEX(DarlOhneTilgung,14)=1,AND(INDEX(DarlTilgStart,14)&gt;0,$E6553&lt;INDEX(DarlTilgStart,14))),0,MIN(MAX(0,$K6553-$L6553),$J6553)))</f>
      </c>
      <c r="N6553" s="43">
        <f>IF($I6553=0,0,MIN(SUMIFS(SondBetrag,SondDarl,14,SondDatum,"&gt;="&amp;$E6553,SondDatum,"&lt;="&amp;EOMONTH($E6553,0)),$J6553-$M6553))</f>
      </c>
      <c r="O6553" s="43">
        <f>IF($I6553=0,0,INDEX(DarlErsatzRate,14))</f>
      </c>
      <c r="P6553" s="43">
        <f>IF($I6553=0,0,$Q6552*INDEX(DarlErsatzZins,14))</f>
      </c>
      <c r="Q6553" s="43">
        <f>IF($I6553=0,0,$Q6552+$P6553+$O6553)</f>
      </c>
      <c r="R6553" s="43">
        <f>IF($I6553=0,0,$J6553-$M6553-$N6553)</f>
      </c>
    </row>
    <row r="6554">
      <c r="A6554"/>
      <c r="B6554">
        <v>14</v>
      </c>
      <c r="C6554" s="43">
        <f>INDEX(DarlObj,14)</f>
      </c>
      <c r="D6554">
        <v>311</v>
      </c>
      <c r="E6554" s="51">
        <f>IF(INDEX(DarlBelegt,14)=0,0,EOMONTH(INDEX(DarlAuszahlung,14),310)+1)</f>
      </c>
      <c r="F6554" s="43">
        <f>IF($E6554=0,0,YEAR($E6554))</f>
      </c>
      <c r="G6554" s="43">
        <f>IF(INDEX(DarlBindung,14)="",1,IF($E6554&lt;=INDEX(DarlBindung,14),1,0))</f>
      </c>
      <c r="H6554" s="43">
        <f>IF($G6554=1,INDEX(DarlSollzins,14),INDEX(DarlAnschluss,14))</f>
      </c>
      <c r="I6554" s="43">
        <f>IF(INDEX(DarlBelegt,14)=0,0,IF(INDEX(DarlOhneTilgung,14)=1,IF(INDEX(DarlBindung,14)="",1,$G6554),IF($J6554&gt;0.005,1,0)))</f>
      </c>
      <c r="J6554" s="43">
        <f>IF($I6553=0,0,$R6553)</f>
      </c>
      <c r="K6554" s="43">
        <f>IF($I6554=0,0,IF(INDEX(DarlOhneTilgung,14)=1,0,IF(AND(INDEX(DarlTilgStart,14)&gt;0,$E6554=INDEX(DarlTilgStart,14)),$J6554*($H6554+INDEX(DarlTilgung,14))/100/12,IF(AND($G6554=0,$G6553=1),MAX($K6553,$J6554*($H6554+1)/100/12),$K6553))))</f>
      </c>
      <c r="L6554" s="43">
        <f>IF($I6554=0,0,$J6554*$H6554/100/12)</f>
      </c>
      <c r="M6554" s="43">
        <f>IF($I6554=0,0,IF(OR(INDEX(DarlOhneTilgung,14)=1,AND(INDEX(DarlTilgStart,14)&gt;0,$E6554&lt;INDEX(DarlTilgStart,14))),0,MIN(MAX(0,$K6554-$L6554),$J6554)))</f>
      </c>
      <c r="N6554" s="43">
        <f>IF($I6554=0,0,MIN(SUMIFS(SondBetrag,SondDarl,14,SondDatum,"&gt;="&amp;$E6554,SondDatum,"&lt;="&amp;EOMONTH($E6554,0)),$J6554-$M6554))</f>
      </c>
      <c r="O6554" s="43">
        <f>IF($I6554=0,0,INDEX(DarlErsatzRate,14))</f>
      </c>
      <c r="P6554" s="43">
        <f>IF($I6554=0,0,$Q6553*INDEX(DarlErsatzZins,14))</f>
      </c>
      <c r="Q6554" s="43">
        <f>IF($I6554=0,0,$Q6553+$P6554+$O6554)</f>
      </c>
      <c r="R6554" s="43">
        <f>IF($I6554=0,0,$J6554-$M6554-$N6554)</f>
      </c>
    </row>
    <row r="6555">
      <c r="A6555"/>
      <c r="B6555">
        <v>14</v>
      </c>
      <c r="C6555" s="43">
        <f>INDEX(DarlObj,14)</f>
      </c>
      <c r="D6555">
        <v>312</v>
      </c>
      <c r="E6555" s="51">
        <f>IF(INDEX(DarlBelegt,14)=0,0,EOMONTH(INDEX(DarlAuszahlung,14),311)+1)</f>
      </c>
      <c r="F6555" s="43">
        <f>IF($E6555=0,0,YEAR($E6555))</f>
      </c>
      <c r="G6555" s="43">
        <f>IF(INDEX(DarlBindung,14)="",1,IF($E6555&lt;=INDEX(DarlBindung,14),1,0))</f>
      </c>
      <c r="H6555" s="43">
        <f>IF($G6555=1,INDEX(DarlSollzins,14),INDEX(DarlAnschluss,14))</f>
      </c>
      <c r="I6555" s="43">
        <f>IF(INDEX(DarlBelegt,14)=0,0,IF(INDEX(DarlOhneTilgung,14)=1,IF(INDEX(DarlBindung,14)="",1,$G6555),IF($J6555&gt;0.005,1,0)))</f>
      </c>
      <c r="J6555" s="43">
        <f>IF($I6554=0,0,$R6554)</f>
      </c>
      <c r="K6555" s="43">
        <f>IF($I6555=0,0,IF(INDEX(DarlOhneTilgung,14)=1,0,IF(AND(INDEX(DarlTilgStart,14)&gt;0,$E6555=INDEX(DarlTilgStart,14)),$J6555*($H6555+INDEX(DarlTilgung,14))/100/12,IF(AND($G6555=0,$G6554=1),MAX($K6554,$J6555*($H6555+1)/100/12),$K6554))))</f>
      </c>
      <c r="L6555" s="43">
        <f>IF($I6555=0,0,$J6555*$H6555/100/12)</f>
      </c>
      <c r="M6555" s="43">
        <f>IF($I6555=0,0,IF(OR(INDEX(DarlOhneTilgung,14)=1,AND(INDEX(DarlTilgStart,14)&gt;0,$E6555&lt;INDEX(DarlTilgStart,14))),0,MIN(MAX(0,$K6555-$L6555),$J6555)))</f>
      </c>
      <c r="N6555" s="43">
        <f>IF($I6555=0,0,MIN(SUMIFS(SondBetrag,SondDarl,14,SondDatum,"&gt;="&amp;$E6555,SondDatum,"&lt;="&amp;EOMONTH($E6555,0)),$J6555-$M6555))</f>
      </c>
      <c r="O6555" s="43">
        <f>IF($I6555=0,0,INDEX(DarlErsatzRate,14))</f>
      </c>
      <c r="P6555" s="43">
        <f>IF($I6555=0,0,$Q6554*INDEX(DarlErsatzZins,14))</f>
      </c>
      <c r="Q6555" s="43">
        <f>IF($I6555=0,0,$Q6554+$P6555+$O6555)</f>
      </c>
      <c r="R6555" s="43">
        <f>IF($I6555=0,0,$J6555-$M6555-$N6555)</f>
      </c>
    </row>
    <row r="6556">
      <c r="A6556"/>
      <c r="B6556">
        <v>14</v>
      </c>
      <c r="C6556" s="43">
        <f>INDEX(DarlObj,14)</f>
      </c>
      <c r="D6556">
        <v>313</v>
      </c>
      <c r="E6556" s="51">
        <f>IF(INDEX(DarlBelegt,14)=0,0,EOMONTH(INDEX(DarlAuszahlung,14),312)+1)</f>
      </c>
      <c r="F6556" s="43">
        <f>IF($E6556=0,0,YEAR($E6556))</f>
      </c>
      <c r="G6556" s="43">
        <f>IF(INDEX(DarlBindung,14)="",1,IF($E6556&lt;=INDEX(DarlBindung,14),1,0))</f>
      </c>
      <c r="H6556" s="43">
        <f>IF($G6556=1,INDEX(DarlSollzins,14),INDEX(DarlAnschluss,14))</f>
      </c>
      <c r="I6556" s="43">
        <f>IF(INDEX(DarlBelegt,14)=0,0,IF(INDEX(DarlOhneTilgung,14)=1,IF(INDEX(DarlBindung,14)="",1,$G6556),IF($J6556&gt;0.005,1,0)))</f>
      </c>
      <c r="J6556" s="43">
        <f>IF($I6555=0,0,$R6555)</f>
      </c>
      <c r="K6556" s="43">
        <f>IF($I6556=0,0,IF(INDEX(DarlOhneTilgung,14)=1,0,IF(AND(INDEX(DarlTilgStart,14)&gt;0,$E6556=INDEX(DarlTilgStart,14)),$J6556*($H6556+INDEX(DarlTilgung,14))/100/12,IF(AND($G6556=0,$G6555=1),MAX($K6555,$J6556*($H6556+1)/100/12),$K6555))))</f>
      </c>
      <c r="L6556" s="43">
        <f>IF($I6556=0,0,$J6556*$H6556/100/12)</f>
      </c>
      <c r="M6556" s="43">
        <f>IF($I6556=0,0,IF(OR(INDEX(DarlOhneTilgung,14)=1,AND(INDEX(DarlTilgStart,14)&gt;0,$E6556&lt;INDEX(DarlTilgStart,14))),0,MIN(MAX(0,$K6556-$L6556),$J6556)))</f>
      </c>
      <c r="N6556" s="43">
        <f>IF($I6556=0,0,MIN(SUMIFS(SondBetrag,SondDarl,14,SondDatum,"&gt;="&amp;$E6556,SondDatum,"&lt;="&amp;EOMONTH($E6556,0)),$J6556-$M6556))</f>
      </c>
      <c r="O6556" s="43">
        <f>IF($I6556=0,0,INDEX(DarlErsatzRate,14))</f>
      </c>
      <c r="P6556" s="43">
        <f>IF($I6556=0,0,$Q6555*INDEX(DarlErsatzZins,14))</f>
      </c>
      <c r="Q6556" s="43">
        <f>IF($I6556=0,0,$Q6555+$P6556+$O6556)</f>
      </c>
      <c r="R6556" s="43">
        <f>IF($I6556=0,0,$J6556-$M6556-$N6556)</f>
      </c>
    </row>
    <row r="6557">
      <c r="A6557"/>
      <c r="B6557">
        <v>14</v>
      </c>
      <c r="C6557" s="43">
        <f>INDEX(DarlObj,14)</f>
      </c>
      <c r="D6557">
        <v>314</v>
      </c>
      <c r="E6557" s="51">
        <f>IF(INDEX(DarlBelegt,14)=0,0,EOMONTH(INDEX(DarlAuszahlung,14),313)+1)</f>
      </c>
      <c r="F6557" s="43">
        <f>IF($E6557=0,0,YEAR($E6557))</f>
      </c>
      <c r="G6557" s="43">
        <f>IF(INDEX(DarlBindung,14)="",1,IF($E6557&lt;=INDEX(DarlBindung,14),1,0))</f>
      </c>
      <c r="H6557" s="43">
        <f>IF($G6557=1,INDEX(DarlSollzins,14),INDEX(DarlAnschluss,14))</f>
      </c>
      <c r="I6557" s="43">
        <f>IF(INDEX(DarlBelegt,14)=0,0,IF(INDEX(DarlOhneTilgung,14)=1,IF(INDEX(DarlBindung,14)="",1,$G6557),IF($J6557&gt;0.005,1,0)))</f>
      </c>
      <c r="J6557" s="43">
        <f>IF($I6556=0,0,$R6556)</f>
      </c>
      <c r="K6557" s="43">
        <f>IF($I6557=0,0,IF(INDEX(DarlOhneTilgung,14)=1,0,IF(AND(INDEX(DarlTilgStart,14)&gt;0,$E6557=INDEX(DarlTilgStart,14)),$J6557*($H6557+INDEX(DarlTilgung,14))/100/12,IF(AND($G6557=0,$G6556=1),MAX($K6556,$J6557*($H6557+1)/100/12),$K6556))))</f>
      </c>
      <c r="L6557" s="43">
        <f>IF($I6557=0,0,$J6557*$H6557/100/12)</f>
      </c>
      <c r="M6557" s="43">
        <f>IF($I6557=0,0,IF(OR(INDEX(DarlOhneTilgung,14)=1,AND(INDEX(DarlTilgStart,14)&gt;0,$E6557&lt;INDEX(DarlTilgStart,14))),0,MIN(MAX(0,$K6557-$L6557),$J6557)))</f>
      </c>
      <c r="N6557" s="43">
        <f>IF($I6557=0,0,MIN(SUMIFS(SondBetrag,SondDarl,14,SondDatum,"&gt;="&amp;$E6557,SondDatum,"&lt;="&amp;EOMONTH($E6557,0)),$J6557-$M6557))</f>
      </c>
      <c r="O6557" s="43">
        <f>IF($I6557=0,0,INDEX(DarlErsatzRate,14))</f>
      </c>
      <c r="P6557" s="43">
        <f>IF($I6557=0,0,$Q6556*INDEX(DarlErsatzZins,14))</f>
      </c>
      <c r="Q6557" s="43">
        <f>IF($I6557=0,0,$Q6556+$P6557+$O6557)</f>
      </c>
      <c r="R6557" s="43">
        <f>IF($I6557=0,0,$J6557-$M6557-$N6557)</f>
      </c>
    </row>
    <row r="6558">
      <c r="A6558"/>
      <c r="B6558">
        <v>14</v>
      </c>
      <c r="C6558" s="43">
        <f>INDEX(DarlObj,14)</f>
      </c>
      <c r="D6558">
        <v>315</v>
      </c>
      <c r="E6558" s="51">
        <f>IF(INDEX(DarlBelegt,14)=0,0,EOMONTH(INDEX(DarlAuszahlung,14),314)+1)</f>
      </c>
      <c r="F6558" s="43">
        <f>IF($E6558=0,0,YEAR($E6558))</f>
      </c>
      <c r="G6558" s="43">
        <f>IF(INDEX(DarlBindung,14)="",1,IF($E6558&lt;=INDEX(DarlBindung,14),1,0))</f>
      </c>
      <c r="H6558" s="43">
        <f>IF($G6558=1,INDEX(DarlSollzins,14),INDEX(DarlAnschluss,14))</f>
      </c>
      <c r="I6558" s="43">
        <f>IF(INDEX(DarlBelegt,14)=0,0,IF(INDEX(DarlOhneTilgung,14)=1,IF(INDEX(DarlBindung,14)="",1,$G6558),IF($J6558&gt;0.005,1,0)))</f>
      </c>
      <c r="J6558" s="43">
        <f>IF($I6557=0,0,$R6557)</f>
      </c>
      <c r="K6558" s="43">
        <f>IF($I6558=0,0,IF(INDEX(DarlOhneTilgung,14)=1,0,IF(AND(INDEX(DarlTilgStart,14)&gt;0,$E6558=INDEX(DarlTilgStart,14)),$J6558*($H6558+INDEX(DarlTilgung,14))/100/12,IF(AND($G6558=0,$G6557=1),MAX($K6557,$J6558*($H6558+1)/100/12),$K6557))))</f>
      </c>
      <c r="L6558" s="43">
        <f>IF($I6558=0,0,$J6558*$H6558/100/12)</f>
      </c>
      <c r="M6558" s="43">
        <f>IF($I6558=0,0,IF(OR(INDEX(DarlOhneTilgung,14)=1,AND(INDEX(DarlTilgStart,14)&gt;0,$E6558&lt;INDEX(DarlTilgStart,14))),0,MIN(MAX(0,$K6558-$L6558),$J6558)))</f>
      </c>
      <c r="N6558" s="43">
        <f>IF($I6558=0,0,MIN(SUMIFS(SondBetrag,SondDarl,14,SondDatum,"&gt;="&amp;$E6558,SondDatum,"&lt;="&amp;EOMONTH($E6558,0)),$J6558-$M6558))</f>
      </c>
      <c r="O6558" s="43">
        <f>IF($I6558=0,0,INDEX(DarlErsatzRate,14))</f>
      </c>
      <c r="P6558" s="43">
        <f>IF($I6558=0,0,$Q6557*INDEX(DarlErsatzZins,14))</f>
      </c>
      <c r="Q6558" s="43">
        <f>IF($I6558=0,0,$Q6557+$P6558+$O6558)</f>
      </c>
      <c r="R6558" s="43">
        <f>IF($I6558=0,0,$J6558-$M6558-$N6558)</f>
      </c>
    </row>
    <row r="6559">
      <c r="A6559"/>
      <c r="B6559">
        <v>14</v>
      </c>
      <c r="C6559" s="43">
        <f>INDEX(DarlObj,14)</f>
      </c>
      <c r="D6559">
        <v>316</v>
      </c>
      <c r="E6559" s="51">
        <f>IF(INDEX(DarlBelegt,14)=0,0,EOMONTH(INDEX(DarlAuszahlung,14),315)+1)</f>
      </c>
      <c r="F6559" s="43">
        <f>IF($E6559=0,0,YEAR($E6559))</f>
      </c>
      <c r="G6559" s="43">
        <f>IF(INDEX(DarlBindung,14)="",1,IF($E6559&lt;=INDEX(DarlBindung,14),1,0))</f>
      </c>
      <c r="H6559" s="43">
        <f>IF($G6559=1,INDEX(DarlSollzins,14),INDEX(DarlAnschluss,14))</f>
      </c>
      <c r="I6559" s="43">
        <f>IF(INDEX(DarlBelegt,14)=0,0,IF(INDEX(DarlOhneTilgung,14)=1,IF(INDEX(DarlBindung,14)="",1,$G6559),IF($J6559&gt;0.005,1,0)))</f>
      </c>
      <c r="J6559" s="43">
        <f>IF($I6558=0,0,$R6558)</f>
      </c>
      <c r="K6559" s="43">
        <f>IF($I6559=0,0,IF(INDEX(DarlOhneTilgung,14)=1,0,IF(AND(INDEX(DarlTilgStart,14)&gt;0,$E6559=INDEX(DarlTilgStart,14)),$J6559*($H6559+INDEX(DarlTilgung,14))/100/12,IF(AND($G6559=0,$G6558=1),MAX($K6558,$J6559*($H6559+1)/100/12),$K6558))))</f>
      </c>
      <c r="L6559" s="43">
        <f>IF($I6559=0,0,$J6559*$H6559/100/12)</f>
      </c>
      <c r="M6559" s="43">
        <f>IF($I6559=0,0,IF(OR(INDEX(DarlOhneTilgung,14)=1,AND(INDEX(DarlTilgStart,14)&gt;0,$E6559&lt;INDEX(DarlTilgStart,14))),0,MIN(MAX(0,$K6559-$L6559),$J6559)))</f>
      </c>
      <c r="N6559" s="43">
        <f>IF($I6559=0,0,MIN(SUMIFS(SondBetrag,SondDarl,14,SondDatum,"&gt;="&amp;$E6559,SondDatum,"&lt;="&amp;EOMONTH($E6559,0)),$J6559-$M6559))</f>
      </c>
      <c r="O6559" s="43">
        <f>IF($I6559=0,0,INDEX(DarlErsatzRate,14))</f>
      </c>
      <c r="P6559" s="43">
        <f>IF($I6559=0,0,$Q6558*INDEX(DarlErsatzZins,14))</f>
      </c>
      <c r="Q6559" s="43">
        <f>IF($I6559=0,0,$Q6558+$P6559+$O6559)</f>
      </c>
      <c r="R6559" s="43">
        <f>IF($I6559=0,0,$J6559-$M6559-$N6559)</f>
      </c>
    </row>
    <row r="6560">
      <c r="A6560"/>
      <c r="B6560">
        <v>14</v>
      </c>
      <c r="C6560" s="43">
        <f>INDEX(DarlObj,14)</f>
      </c>
      <c r="D6560">
        <v>317</v>
      </c>
      <c r="E6560" s="51">
        <f>IF(INDEX(DarlBelegt,14)=0,0,EOMONTH(INDEX(DarlAuszahlung,14),316)+1)</f>
      </c>
      <c r="F6560" s="43">
        <f>IF($E6560=0,0,YEAR($E6560))</f>
      </c>
      <c r="G6560" s="43">
        <f>IF(INDEX(DarlBindung,14)="",1,IF($E6560&lt;=INDEX(DarlBindung,14),1,0))</f>
      </c>
      <c r="H6560" s="43">
        <f>IF($G6560=1,INDEX(DarlSollzins,14),INDEX(DarlAnschluss,14))</f>
      </c>
      <c r="I6560" s="43">
        <f>IF(INDEX(DarlBelegt,14)=0,0,IF(INDEX(DarlOhneTilgung,14)=1,IF(INDEX(DarlBindung,14)="",1,$G6560),IF($J6560&gt;0.005,1,0)))</f>
      </c>
      <c r="J6560" s="43">
        <f>IF($I6559=0,0,$R6559)</f>
      </c>
      <c r="K6560" s="43">
        <f>IF($I6560=0,0,IF(INDEX(DarlOhneTilgung,14)=1,0,IF(AND(INDEX(DarlTilgStart,14)&gt;0,$E6560=INDEX(DarlTilgStart,14)),$J6560*($H6560+INDEX(DarlTilgung,14))/100/12,IF(AND($G6560=0,$G6559=1),MAX($K6559,$J6560*($H6560+1)/100/12),$K6559))))</f>
      </c>
      <c r="L6560" s="43">
        <f>IF($I6560=0,0,$J6560*$H6560/100/12)</f>
      </c>
      <c r="M6560" s="43">
        <f>IF($I6560=0,0,IF(OR(INDEX(DarlOhneTilgung,14)=1,AND(INDEX(DarlTilgStart,14)&gt;0,$E6560&lt;INDEX(DarlTilgStart,14))),0,MIN(MAX(0,$K6560-$L6560),$J6560)))</f>
      </c>
      <c r="N6560" s="43">
        <f>IF($I6560=0,0,MIN(SUMIFS(SondBetrag,SondDarl,14,SondDatum,"&gt;="&amp;$E6560,SondDatum,"&lt;="&amp;EOMONTH($E6560,0)),$J6560-$M6560))</f>
      </c>
      <c r="O6560" s="43">
        <f>IF($I6560=0,0,INDEX(DarlErsatzRate,14))</f>
      </c>
      <c r="P6560" s="43">
        <f>IF($I6560=0,0,$Q6559*INDEX(DarlErsatzZins,14))</f>
      </c>
      <c r="Q6560" s="43">
        <f>IF($I6560=0,0,$Q6559+$P6560+$O6560)</f>
      </c>
      <c r="R6560" s="43">
        <f>IF($I6560=0,0,$J6560-$M6560-$N6560)</f>
      </c>
    </row>
    <row r="6561">
      <c r="A6561"/>
      <c r="B6561">
        <v>14</v>
      </c>
      <c r="C6561" s="43">
        <f>INDEX(DarlObj,14)</f>
      </c>
      <c r="D6561">
        <v>318</v>
      </c>
      <c r="E6561" s="51">
        <f>IF(INDEX(DarlBelegt,14)=0,0,EOMONTH(INDEX(DarlAuszahlung,14),317)+1)</f>
      </c>
      <c r="F6561" s="43">
        <f>IF($E6561=0,0,YEAR($E6561))</f>
      </c>
      <c r="G6561" s="43">
        <f>IF(INDEX(DarlBindung,14)="",1,IF($E6561&lt;=INDEX(DarlBindung,14),1,0))</f>
      </c>
      <c r="H6561" s="43">
        <f>IF($G6561=1,INDEX(DarlSollzins,14),INDEX(DarlAnschluss,14))</f>
      </c>
      <c r="I6561" s="43">
        <f>IF(INDEX(DarlBelegt,14)=0,0,IF(INDEX(DarlOhneTilgung,14)=1,IF(INDEX(DarlBindung,14)="",1,$G6561),IF($J6561&gt;0.005,1,0)))</f>
      </c>
      <c r="J6561" s="43">
        <f>IF($I6560=0,0,$R6560)</f>
      </c>
      <c r="K6561" s="43">
        <f>IF($I6561=0,0,IF(INDEX(DarlOhneTilgung,14)=1,0,IF(AND(INDEX(DarlTilgStart,14)&gt;0,$E6561=INDEX(DarlTilgStart,14)),$J6561*($H6561+INDEX(DarlTilgung,14))/100/12,IF(AND($G6561=0,$G6560=1),MAX($K6560,$J6561*($H6561+1)/100/12),$K6560))))</f>
      </c>
      <c r="L6561" s="43">
        <f>IF($I6561=0,0,$J6561*$H6561/100/12)</f>
      </c>
      <c r="M6561" s="43">
        <f>IF($I6561=0,0,IF(OR(INDEX(DarlOhneTilgung,14)=1,AND(INDEX(DarlTilgStart,14)&gt;0,$E6561&lt;INDEX(DarlTilgStart,14))),0,MIN(MAX(0,$K6561-$L6561),$J6561)))</f>
      </c>
      <c r="N6561" s="43">
        <f>IF($I6561=0,0,MIN(SUMIFS(SondBetrag,SondDarl,14,SondDatum,"&gt;="&amp;$E6561,SondDatum,"&lt;="&amp;EOMONTH($E6561,0)),$J6561-$M6561))</f>
      </c>
      <c r="O6561" s="43">
        <f>IF($I6561=0,0,INDEX(DarlErsatzRate,14))</f>
      </c>
      <c r="P6561" s="43">
        <f>IF($I6561=0,0,$Q6560*INDEX(DarlErsatzZins,14))</f>
      </c>
      <c r="Q6561" s="43">
        <f>IF($I6561=0,0,$Q6560+$P6561+$O6561)</f>
      </c>
      <c r="R6561" s="43">
        <f>IF($I6561=0,0,$J6561-$M6561-$N6561)</f>
      </c>
    </row>
    <row r="6562">
      <c r="A6562"/>
      <c r="B6562">
        <v>14</v>
      </c>
      <c r="C6562" s="43">
        <f>INDEX(DarlObj,14)</f>
      </c>
      <c r="D6562">
        <v>319</v>
      </c>
      <c r="E6562" s="51">
        <f>IF(INDEX(DarlBelegt,14)=0,0,EOMONTH(INDEX(DarlAuszahlung,14),318)+1)</f>
      </c>
      <c r="F6562" s="43">
        <f>IF($E6562=0,0,YEAR($E6562))</f>
      </c>
      <c r="G6562" s="43">
        <f>IF(INDEX(DarlBindung,14)="",1,IF($E6562&lt;=INDEX(DarlBindung,14),1,0))</f>
      </c>
      <c r="H6562" s="43">
        <f>IF($G6562=1,INDEX(DarlSollzins,14),INDEX(DarlAnschluss,14))</f>
      </c>
      <c r="I6562" s="43">
        <f>IF(INDEX(DarlBelegt,14)=0,0,IF(INDEX(DarlOhneTilgung,14)=1,IF(INDEX(DarlBindung,14)="",1,$G6562),IF($J6562&gt;0.005,1,0)))</f>
      </c>
      <c r="J6562" s="43">
        <f>IF($I6561=0,0,$R6561)</f>
      </c>
      <c r="K6562" s="43">
        <f>IF($I6562=0,0,IF(INDEX(DarlOhneTilgung,14)=1,0,IF(AND(INDEX(DarlTilgStart,14)&gt;0,$E6562=INDEX(DarlTilgStart,14)),$J6562*($H6562+INDEX(DarlTilgung,14))/100/12,IF(AND($G6562=0,$G6561=1),MAX($K6561,$J6562*($H6562+1)/100/12),$K6561))))</f>
      </c>
      <c r="L6562" s="43">
        <f>IF($I6562=0,0,$J6562*$H6562/100/12)</f>
      </c>
      <c r="M6562" s="43">
        <f>IF($I6562=0,0,IF(OR(INDEX(DarlOhneTilgung,14)=1,AND(INDEX(DarlTilgStart,14)&gt;0,$E6562&lt;INDEX(DarlTilgStart,14))),0,MIN(MAX(0,$K6562-$L6562),$J6562)))</f>
      </c>
      <c r="N6562" s="43">
        <f>IF($I6562=0,0,MIN(SUMIFS(SondBetrag,SondDarl,14,SondDatum,"&gt;="&amp;$E6562,SondDatum,"&lt;="&amp;EOMONTH($E6562,0)),$J6562-$M6562))</f>
      </c>
      <c r="O6562" s="43">
        <f>IF($I6562=0,0,INDEX(DarlErsatzRate,14))</f>
      </c>
      <c r="P6562" s="43">
        <f>IF($I6562=0,0,$Q6561*INDEX(DarlErsatzZins,14))</f>
      </c>
      <c r="Q6562" s="43">
        <f>IF($I6562=0,0,$Q6561+$P6562+$O6562)</f>
      </c>
      <c r="R6562" s="43">
        <f>IF($I6562=0,0,$J6562-$M6562-$N6562)</f>
      </c>
    </row>
    <row r="6563">
      <c r="A6563"/>
      <c r="B6563">
        <v>14</v>
      </c>
      <c r="C6563" s="43">
        <f>INDEX(DarlObj,14)</f>
      </c>
      <c r="D6563">
        <v>320</v>
      </c>
      <c r="E6563" s="51">
        <f>IF(INDEX(DarlBelegt,14)=0,0,EOMONTH(INDEX(DarlAuszahlung,14),319)+1)</f>
      </c>
      <c r="F6563" s="43">
        <f>IF($E6563=0,0,YEAR($E6563))</f>
      </c>
      <c r="G6563" s="43">
        <f>IF(INDEX(DarlBindung,14)="",1,IF($E6563&lt;=INDEX(DarlBindung,14),1,0))</f>
      </c>
      <c r="H6563" s="43">
        <f>IF($G6563=1,INDEX(DarlSollzins,14),INDEX(DarlAnschluss,14))</f>
      </c>
      <c r="I6563" s="43">
        <f>IF(INDEX(DarlBelegt,14)=0,0,IF(INDEX(DarlOhneTilgung,14)=1,IF(INDEX(DarlBindung,14)="",1,$G6563),IF($J6563&gt;0.005,1,0)))</f>
      </c>
      <c r="J6563" s="43">
        <f>IF($I6562=0,0,$R6562)</f>
      </c>
      <c r="K6563" s="43">
        <f>IF($I6563=0,0,IF(INDEX(DarlOhneTilgung,14)=1,0,IF(AND(INDEX(DarlTilgStart,14)&gt;0,$E6563=INDEX(DarlTilgStart,14)),$J6563*($H6563+INDEX(DarlTilgung,14))/100/12,IF(AND($G6563=0,$G6562=1),MAX($K6562,$J6563*($H6563+1)/100/12),$K6562))))</f>
      </c>
      <c r="L6563" s="43">
        <f>IF($I6563=0,0,$J6563*$H6563/100/12)</f>
      </c>
      <c r="M6563" s="43">
        <f>IF($I6563=0,0,IF(OR(INDEX(DarlOhneTilgung,14)=1,AND(INDEX(DarlTilgStart,14)&gt;0,$E6563&lt;INDEX(DarlTilgStart,14))),0,MIN(MAX(0,$K6563-$L6563),$J6563)))</f>
      </c>
      <c r="N6563" s="43">
        <f>IF($I6563=0,0,MIN(SUMIFS(SondBetrag,SondDarl,14,SondDatum,"&gt;="&amp;$E6563,SondDatum,"&lt;="&amp;EOMONTH($E6563,0)),$J6563-$M6563))</f>
      </c>
      <c r="O6563" s="43">
        <f>IF($I6563=0,0,INDEX(DarlErsatzRate,14))</f>
      </c>
      <c r="P6563" s="43">
        <f>IF($I6563=0,0,$Q6562*INDEX(DarlErsatzZins,14))</f>
      </c>
      <c r="Q6563" s="43">
        <f>IF($I6563=0,0,$Q6562+$P6563+$O6563)</f>
      </c>
      <c r="R6563" s="43">
        <f>IF($I6563=0,0,$J6563-$M6563-$N6563)</f>
      </c>
    </row>
    <row r="6564">
      <c r="A6564"/>
      <c r="B6564">
        <v>14</v>
      </c>
      <c r="C6564" s="43">
        <f>INDEX(DarlObj,14)</f>
      </c>
      <c r="D6564">
        <v>321</v>
      </c>
      <c r="E6564" s="51">
        <f>IF(INDEX(DarlBelegt,14)=0,0,EOMONTH(INDEX(DarlAuszahlung,14),320)+1)</f>
      </c>
      <c r="F6564" s="43">
        <f>IF($E6564=0,0,YEAR($E6564))</f>
      </c>
      <c r="G6564" s="43">
        <f>IF(INDEX(DarlBindung,14)="",1,IF($E6564&lt;=INDEX(DarlBindung,14),1,0))</f>
      </c>
      <c r="H6564" s="43">
        <f>IF($G6564=1,INDEX(DarlSollzins,14),INDEX(DarlAnschluss,14))</f>
      </c>
      <c r="I6564" s="43">
        <f>IF(INDEX(DarlBelegt,14)=0,0,IF(INDEX(DarlOhneTilgung,14)=1,IF(INDEX(DarlBindung,14)="",1,$G6564),IF($J6564&gt;0.005,1,0)))</f>
      </c>
      <c r="J6564" s="43">
        <f>IF($I6563=0,0,$R6563)</f>
      </c>
      <c r="K6564" s="43">
        <f>IF($I6564=0,0,IF(INDEX(DarlOhneTilgung,14)=1,0,IF(AND(INDEX(DarlTilgStart,14)&gt;0,$E6564=INDEX(DarlTilgStart,14)),$J6564*($H6564+INDEX(DarlTilgung,14))/100/12,IF(AND($G6564=0,$G6563=1),MAX($K6563,$J6564*($H6564+1)/100/12),$K6563))))</f>
      </c>
      <c r="L6564" s="43">
        <f>IF($I6564=0,0,$J6564*$H6564/100/12)</f>
      </c>
      <c r="M6564" s="43">
        <f>IF($I6564=0,0,IF(OR(INDEX(DarlOhneTilgung,14)=1,AND(INDEX(DarlTilgStart,14)&gt;0,$E6564&lt;INDEX(DarlTilgStart,14))),0,MIN(MAX(0,$K6564-$L6564),$J6564)))</f>
      </c>
      <c r="N6564" s="43">
        <f>IF($I6564=0,0,MIN(SUMIFS(SondBetrag,SondDarl,14,SondDatum,"&gt;="&amp;$E6564,SondDatum,"&lt;="&amp;EOMONTH($E6564,0)),$J6564-$M6564))</f>
      </c>
      <c r="O6564" s="43">
        <f>IF($I6564=0,0,INDEX(DarlErsatzRate,14))</f>
      </c>
      <c r="P6564" s="43">
        <f>IF($I6564=0,0,$Q6563*INDEX(DarlErsatzZins,14))</f>
      </c>
      <c r="Q6564" s="43">
        <f>IF($I6564=0,0,$Q6563+$P6564+$O6564)</f>
      </c>
      <c r="R6564" s="43">
        <f>IF($I6564=0,0,$J6564-$M6564-$N6564)</f>
      </c>
    </row>
    <row r="6565">
      <c r="A6565"/>
      <c r="B6565">
        <v>14</v>
      </c>
      <c r="C6565" s="43">
        <f>INDEX(DarlObj,14)</f>
      </c>
      <c r="D6565">
        <v>322</v>
      </c>
      <c r="E6565" s="51">
        <f>IF(INDEX(DarlBelegt,14)=0,0,EOMONTH(INDEX(DarlAuszahlung,14),321)+1)</f>
      </c>
      <c r="F6565" s="43">
        <f>IF($E6565=0,0,YEAR($E6565))</f>
      </c>
      <c r="G6565" s="43">
        <f>IF(INDEX(DarlBindung,14)="",1,IF($E6565&lt;=INDEX(DarlBindung,14),1,0))</f>
      </c>
      <c r="H6565" s="43">
        <f>IF($G6565=1,INDEX(DarlSollzins,14),INDEX(DarlAnschluss,14))</f>
      </c>
      <c r="I6565" s="43">
        <f>IF(INDEX(DarlBelegt,14)=0,0,IF(INDEX(DarlOhneTilgung,14)=1,IF(INDEX(DarlBindung,14)="",1,$G6565),IF($J6565&gt;0.005,1,0)))</f>
      </c>
      <c r="J6565" s="43">
        <f>IF($I6564=0,0,$R6564)</f>
      </c>
      <c r="K6565" s="43">
        <f>IF($I6565=0,0,IF(INDEX(DarlOhneTilgung,14)=1,0,IF(AND(INDEX(DarlTilgStart,14)&gt;0,$E6565=INDEX(DarlTilgStart,14)),$J6565*($H6565+INDEX(DarlTilgung,14))/100/12,IF(AND($G6565=0,$G6564=1),MAX($K6564,$J6565*($H6565+1)/100/12),$K6564))))</f>
      </c>
      <c r="L6565" s="43">
        <f>IF($I6565=0,0,$J6565*$H6565/100/12)</f>
      </c>
      <c r="M6565" s="43">
        <f>IF($I6565=0,0,IF(OR(INDEX(DarlOhneTilgung,14)=1,AND(INDEX(DarlTilgStart,14)&gt;0,$E6565&lt;INDEX(DarlTilgStart,14))),0,MIN(MAX(0,$K6565-$L6565),$J6565)))</f>
      </c>
      <c r="N6565" s="43">
        <f>IF($I6565=0,0,MIN(SUMIFS(SondBetrag,SondDarl,14,SondDatum,"&gt;="&amp;$E6565,SondDatum,"&lt;="&amp;EOMONTH($E6565,0)),$J6565-$M6565))</f>
      </c>
      <c r="O6565" s="43">
        <f>IF($I6565=0,0,INDEX(DarlErsatzRate,14))</f>
      </c>
      <c r="P6565" s="43">
        <f>IF($I6565=0,0,$Q6564*INDEX(DarlErsatzZins,14))</f>
      </c>
      <c r="Q6565" s="43">
        <f>IF($I6565=0,0,$Q6564+$P6565+$O6565)</f>
      </c>
      <c r="R6565" s="43">
        <f>IF($I6565=0,0,$J6565-$M6565-$N6565)</f>
      </c>
    </row>
    <row r="6566">
      <c r="A6566"/>
      <c r="B6566">
        <v>14</v>
      </c>
      <c r="C6566" s="43">
        <f>INDEX(DarlObj,14)</f>
      </c>
      <c r="D6566">
        <v>323</v>
      </c>
      <c r="E6566" s="51">
        <f>IF(INDEX(DarlBelegt,14)=0,0,EOMONTH(INDEX(DarlAuszahlung,14),322)+1)</f>
      </c>
      <c r="F6566" s="43">
        <f>IF($E6566=0,0,YEAR($E6566))</f>
      </c>
      <c r="G6566" s="43">
        <f>IF(INDEX(DarlBindung,14)="",1,IF($E6566&lt;=INDEX(DarlBindung,14),1,0))</f>
      </c>
      <c r="H6566" s="43">
        <f>IF($G6566=1,INDEX(DarlSollzins,14),INDEX(DarlAnschluss,14))</f>
      </c>
      <c r="I6566" s="43">
        <f>IF(INDEX(DarlBelegt,14)=0,0,IF(INDEX(DarlOhneTilgung,14)=1,IF(INDEX(DarlBindung,14)="",1,$G6566),IF($J6566&gt;0.005,1,0)))</f>
      </c>
      <c r="J6566" s="43">
        <f>IF($I6565=0,0,$R6565)</f>
      </c>
      <c r="K6566" s="43">
        <f>IF($I6566=0,0,IF(INDEX(DarlOhneTilgung,14)=1,0,IF(AND(INDEX(DarlTilgStart,14)&gt;0,$E6566=INDEX(DarlTilgStart,14)),$J6566*($H6566+INDEX(DarlTilgung,14))/100/12,IF(AND($G6566=0,$G6565=1),MAX($K6565,$J6566*($H6566+1)/100/12),$K6565))))</f>
      </c>
      <c r="L6566" s="43">
        <f>IF($I6566=0,0,$J6566*$H6566/100/12)</f>
      </c>
      <c r="M6566" s="43">
        <f>IF($I6566=0,0,IF(OR(INDEX(DarlOhneTilgung,14)=1,AND(INDEX(DarlTilgStart,14)&gt;0,$E6566&lt;INDEX(DarlTilgStart,14))),0,MIN(MAX(0,$K6566-$L6566),$J6566)))</f>
      </c>
      <c r="N6566" s="43">
        <f>IF($I6566=0,0,MIN(SUMIFS(SondBetrag,SondDarl,14,SondDatum,"&gt;="&amp;$E6566,SondDatum,"&lt;="&amp;EOMONTH($E6566,0)),$J6566-$M6566))</f>
      </c>
      <c r="O6566" s="43">
        <f>IF($I6566=0,0,INDEX(DarlErsatzRate,14))</f>
      </c>
      <c r="P6566" s="43">
        <f>IF($I6566=0,0,$Q6565*INDEX(DarlErsatzZins,14))</f>
      </c>
      <c r="Q6566" s="43">
        <f>IF($I6566=0,0,$Q6565+$P6566+$O6566)</f>
      </c>
      <c r="R6566" s="43">
        <f>IF($I6566=0,0,$J6566-$M6566-$N6566)</f>
      </c>
    </row>
    <row r="6567">
      <c r="A6567"/>
      <c r="B6567">
        <v>14</v>
      </c>
      <c r="C6567" s="43">
        <f>INDEX(DarlObj,14)</f>
      </c>
      <c r="D6567">
        <v>324</v>
      </c>
      <c r="E6567" s="51">
        <f>IF(INDEX(DarlBelegt,14)=0,0,EOMONTH(INDEX(DarlAuszahlung,14),323)+1)</f>
      </c>
      <c r="F6567" s="43">
        <f>IF($E6567=0,0,YEAR($E6567))</f>
      </c>
      <c r="G6567" s="43">
        <f>IF(INDEX(DarlBindung,14)="",1,IF($E6567&lt;=INDEX(DarlBindung,14),1,0))</f>
      </c>
      <c r="H6567" s="43">
        <f>IF($G6567=1,INDEX(DarlSollzins,14),INDEX(DarlAnschluss,14))</f>
      </c>
      <c r="I6567" s="43">
        <f>IF(INDEX(DarlBelegt,14)=0,0,IF(INDEX(DarlOhneTilgung,14)=1,IF(INDEX(DarlBindung,14)="",1,$G6567),IF($J6567&gt;0.005,1,0)))</f>
      </c>
      <c r="J6567" s="43">
        <f>IF($I6566=0,0,$R6566)</f>
      </c>
      <c r="K6567" s="43">
        <f>IF($I6567=0,0,IF(INDEX(DarlOhneTilgung,14)=1,0,IF(AND(INDEX(DarlTilgStart,14)&gt;0,$E6567=INDEX(DarlTilgStart,14)),$J6567*($H6567+INDEX(DarlTilgung,14))/100/12,IF(AND($G6567=0,$G6566=1),MAX($K6566,$J6567*($H6567+1)/100/12),$K6566))))</f>
      </c>
      <c r="L6567" s="43">
        <f>IF($I6567=0,0,$J6567*$H6567/100/12)</f>
      </c>
      <c r="M6567" s="43">
        <f>IF($I6567=0,0,IF(OR(INDEX(DarlOhneTilgung,14)=1,AND(INDEX(DarlTilgStart,14)&gt;0,$E6567&lt;INDEX(DarlTilgStart,14))),0,MIN(MAX(0,$K6567-$L6567),$J6567)))</f>
      </c>
      <c r="N6567" s="43">
        <f>IF($I6567=0,0,MIN(SUMIFS(SondBetrag,SondDarl,14,SondDatum,"&gt;="&amp;$E6567,SondDatum,"&lt;="&amp;EOMONTH($E6567,0)),$J6567-$M6567))</f>
      </c>
      <c r="O6567" s="43">
        <f>IF($I6567=0,0,INDEX(DarlErsatzRate,14))</f>
      </c>
      <c r="P6567" s="43">
        <f>IF($I6567=0,0,$Q6566*INDEX(DarlErsatzZins,14))</f>
      </c>
      <c r="Q6567" s="43">
        <f>IF($I6567=0,0,$Q6566+$P6567+$O6567)</f>
      </c>
      <c r="R6567" s="43">
        <f>IF($I6567=0,0,$J6567-$M6567-$N6567)</f>
      </c>
    </row>
    <row r="6568">
      <c r="A6568"/>
      <c r="B6568">
        <v>14</v>
      </c>
      <c r="C6568" s="43">
        <f>INDEX(DarlObj,14)</f>
      </c>
      <c r="D6568">
        <v>325</v>
      </c>
      <c r="E6568" s="51">
        <f>IF(INDEX(DarlBelegt,14)=0,0,EOMONTH(INDEX(DarlAuszahlung,14),324)+1)</f>
      </c>
      <c r="F6568" s="43">
        <f>IF($E6568=0,0,YEAR($E6568))</f>
      </c>
      <c r="G6568" s="43">
        <f>IF(INDEX(DarlBindung,14)="",1,IF($E6568&lt;=INDEX(DarlBindung,14),1,0))</f>
      </c>
      <c r="H6568" s="43">
        <f>IF($G6568=1,INDEX(DarlSollzins,14),INDEX(DarlAnschluss,14))</f>
      </c>
      <c r="I6568" s="43">
        <f>IF(INDEX(DarlBelegt,14)=0,0,IF(INDEX(DarlOhneTilgung,14)=1,IF(INDEX(DarlBindung,14)="",1,$G6568),IF($J6568&gt;0.005,1,0)))</f>
      </c>
      <c r="J6568" s="43">
        <f>IF($I6567=0,0,$R6567)</f>
      </c>
      <c r="K6568" s="43">
        <f>IF($I6568=0,0,IF(INDEX(DarlOhneTilgung,14)=1,0,IF(AND(INDEX(DarlTilgStart,14)&gt;0,$E6568=INDEX(DarlTilgStart,14)),$J6568*($H6568+INDEX(DarlTilgung,14))/100/12,IF(AND($G6568=0,$G6567=1),MAX($K6567,$J6568*($H6568+1)/100/12),$K6567))))</f>
      </c>
      <c r="L6568" s="43">
        <f>IF($I6568=0,0,$J6568*$H6568/100/12)</f>
      </c>
      <c r="M6568" s="43">
        <f>IF($I6568=0,0,IF(OR(INDEX(DarlOhneTilgung,14)=1,AND(INDEX(DarlTilgStart,14)&gt;0,$E6568&lt;INDEX(DarlTilgStart,14))),0,MIN(MAX(0,$K6568-$L6568),$J6568)))</f>
      </c>
      <c r="N6568" s="43">
        <f>IF($I6568=0,0,MIN(SUMIFS(SondBetrag,SondDarl,14,SondDatum,"&gt;="&amp;$E6568,SondDatum,"&lt;="&amp;EOMONTH($E6568,0)),$J6568-$M6568))</f>
      </c>
      <c r="O6568" s="43">
        <f>IF($I6568=0,0,INDEX(DarlErsatzRate,14))</f>
      </c>
      <c r="P6568" s="43">
        <f>IF($I6568=0,0,$Q6567*INDEX(DarlErsatzZins,14))</f>
      </c>
      <c r="Q6568" s="43">
        <f>IF($I6568=0,0,$Q6567+$P6568+$O6568)</f>
      </c>
      <c r="R6568" s="43">
        <f>IF($I6568=0,0,$J6568-$M6568-$N6568)</f>
      </c>
    </row>
    <row r="6569">
      <c r="A6569"/>
      <c r="B6569">
        <v>14</v>
      </c>
      <c r="C6569" s="43">
        <f>INDEX(DarlObj,14)</f>
      </c>
      <c r="D6569">
        <v>326</v>
      </c>
      <c r="E6569" s="51">
        <f>IF(INDEX(DarlBelegt,14)=0,0,EOMONTH(INDEX(DarlAuszahlung,14),325)+1)</f>
      </c>
      <c r="F6569" s="43">
        <f>IF($E6569=0,0,YEAR($E6569))</f>
      </c>
      <c r="G6569" s="43">
        <f>IF(INDEX(DarlBindung,14)="",1,IF($E6569&lt;=INDEX(DarlBindung,14),1,0))</f>
      </c>
      <c r="H6569" s="43">
        <f>IF($G6569=1,INDEX(DarlSollzins,14),INDEX(DarlAnschluss,14))</f>
      </c>
      <c r="I6569" s="43">
        <f>IF(INDEX(DarlBelegt,14)=0,0,IF(INDEX(DarlOhneTilgung,14)=1,IF(INDEX(DarlBindung,14)="",1,$G6569),IF($J6569&gt;0.005,1,0)))</f>
      </c>
      <c r="J6569" s="43">
        <f>IF($I6568=0,0,$R6568)</f>
      </c>
      <c r="K6569" s="43">
        <f>IF($I6569=0,0,IF(INDEX(DarlOhneTilgung,14)=1,0,IF(AND(INDEX(DarlTilgStart,14)&gt;0,$E6569=INDEX(DarlTilgStart,14)),$J6569*($H6569+INDEX(DarlTilgung,14))/100/12,IF(AND($G6569=0,$G6568=1),MAX($K6568,$J6569*($H6569+1)/100/12),$K6568))))</f>
      </c>
      <c r="L6569" s="43">
        <f>IF($I6569=0,0,$J6569*$H6569/100/12)</f>
      </c>
      <c r="M6569" s="43">
        <f>IF($I6569=0,0,IF(OR(INDEX(DarlOhneTilgung,14)=1,AND(INDEX(DarlTilgStart,14)&gt;0,$E6569&lt;INDEX(DarlTilgStart,14))),0,MIN(MAX(0,$K6569-$L6569),$J6569)))</f>
      </c>
      <c r="N6569" s="43">
        <f>IF($I6569=0,0,MIN(SUMIFS(SondBetrag,SondDarl,14,SondDatum,"&gt;="&amp;$E6569,SondDatum,"&lt;="&amp;EOMONTH($E6569,0)),$J6569-$M6569))</f>
      </c>
      <c r="O6569" s="43">
        <f>IF($I6569=0,0,INDEX(DarlErsatzRate,14))</f>
      </c>
      <c r="P6569" s="43">
        <f>IF($I6569=0,0,$Q6568*INDEX(DarlErsatzZins,14))</f>
      </c>
      <c r="Q6569" s="43">
        <f>IF($I6569=0,0,$Q6568+$P6569+$O6569)</f>
      </c>
      <c r="R6569" s="43">
        <f>IF($I6569=0,0,$J6569-$M6569-$N6569)</f>
      </c>
    </row>
    <row r="6570">
      <c r="A6570"/>
      <c r="B6570">
        <v>14</v>
      </c>
      <c r="C6570" s="43">
        <f>INDEX(DarlObj,14)</f>
      </c>
      <c r="D6570">
        <v>327</v>
      </c>
      <c r="E6570" s="51">
        <f>IF(INDEX(DarlBelegt,14)=0,0,EOMONTH(INDEX(DarlAuszahlung,14),326)+1)</f>
      </c>
      <c r="F6570" s="43">
        <f>IF($E6570=0,0,YEAR($E6570))</f>
      </c>
      <c r="G6570" s="43">
        <f>IF(INDEX(DarlBindung,14)="",1,IF($E6570&lt;=INDEX(DarlBindung,14),1,0))</f>
      </c>
      <c r="H6570" s="43">
        <f>IF($G6570=1,INDEX(DarlSollzins,14),INDEX(DarlAnschluss,14))</f>
      </c>
      <c r="I6570" s="43">
        <f>IF(INDEX(DarlBelegt,14)=0,0,IF(INDEX(DarlOhneTilgung,14)=1,IF(INDEX(DarlBindung,14)="",1,$G6570),IF($J6570&gt;0.005,1,0)))</f>
      </c>
      <c r="J6570" s="43">
        <f>IF($I6569=0,0,$R6569)</f>
      </c>
      <c r="K6570" s="43">
        <f>IF($I6570=0,0,IF(INDEX(DarlOhneTilgung,14)=1,0,IF(AND(INDEX(DarlTilgStart,14)&gt;0,$E6570=INDEX(DarlTilgStart,14)),$J6570*($H6570+INDEX(DarlTilgung,14))/100/12,IF(AND($G6570=0,$G6569=1),MAX($K6569,$J6570*($H6570+1)/100/12),$K6569))))</f>
      </c>
      <c r="L6570" s="43">
        <f>IF($I6570=0,0,$J6570*$H6570/100/12)</f>
      </c>
      <c r="M6570" s="43">
        <f>IF($I6570=0,0,IF(OR(INDEX(DarlOhneTilgung,14)=1,AND(INDEX(DarlTilgStart,14)&gt;0,$E6570&lt;INDEX(DarlTilgStart,14))),0,MIN(MAX(0,$K6570-$L6570),$J6570)))</f>
      </c>
      <c r="N6570" s="43">
        <f>IF($I6570=0,0,MIN(SUMIFS(SondBetrag,SondDarl,14,SondDatum,"&gt;="&amp;$E6570,SondDatum,"&lt;="&amp;EOMONTH($E6570,0)),$J6570-$M6570))</f>
      </c>
      <c r="O6570" s="43">
        <f>IF($I6570=0,0,INDEX(DarlErsatzRate,14))</f>
      </c>
      <c r="P6570" s="43">
        <f>IF($I6570=0,0,$Q6569*INDEX(DarlErsatzZins,14))</f>
      </c>
      <c r="Q6570" s="43">
        <f>IF($I6570=0,0,$Q6569+$P6570+$O6570)</f>
      </c>
      <c r="R6570" s="43">
        <f>IF($I6570=0,0,$J6570-$M6570-$N6570)</f>
      </c>
    </row>
    <row r="6571">
      <c r="A6571"/>
      <c r="B6571">
        <v>14</v>
      </c>
      <c r="C6571" s="43">
        <f>INDEX(DarlObj,14)</f>
      </c>
      <c r="D6571">
        <v>328</v>
      </c>
      <c r="E6571" s="51">
        <f>IF(INDEX(DarlBelegt,14)=0,0,EOMONTH(INDEX(DarlAuszahlung,14),327)+1)</f>
      </c>
      <c r="F6571" s="43">
        <f>IF($E6571=0,0,YEAR($E6571))</f>
      </c>
      <c r="G6571" s="43">
        <f>IF(INDEX(DarlBindung,14)="",1,IF($E6571&lt;=INDEX(DarlBindung,14),1,0))</f>
      </c>
      <c r="H6571" s="43">
        <f>IF($G6571=1,INDEX(DarlSollzins,14),INDEX(DarlAnschluss,14))</f>
      </c>
      <c r="I6571" s="43">
        <f>IF(INDEX(DarlBelegt,14)=0,0,IF(INDEX(DarlOhneTilgung,14)=1,IF(INDEX(DarlBindung,14)="",1,$G6571),IF($J6571&gt;0.005,1,0)))</f>
      </c>
      <c r="J6571" s="43">
        <f>IF($I6570=0,0,$R6570)</f>
      </c>
      <c r="K6571" s="43">
        <f>IF($I6571=0,0,IF(INDEX(DarlOhneTilgung,14)=1,0,IF(AND(INDEX(DarlTilgStart,14)&gt;0,$E6571=INDEX(DarlTilgStart,14)),$J6571*($H6571+INDEX(DarlTilgung,14))/100/12,IF(AND($G6571=0,$G6570=1),MAX($K6570,$J6571*($H6571+1)/100/12),$K6570))))</f>
      </c>
      <c r="L6571" s="43">
        <f>IF($I6571=0,0,$J6571*$H6571/100/12)</f>
      </c>
      <c r="M6571" s="43">
        <f>IF($I6571=0,0,IF(OR(INDEX(DarlOhneTilgung,14)=1,AND(INDEX(DarlTilgStart,14)&gt;0,$E6571&lt;INDEX(DarlTilgStart,14))),0,MIN(MAX(0,$K6571-$L6571),$J6571)))</f>
      </c>
      <c r="N6571" s="43">
        <f>IF($I6571=0,0,MIN(SUMIFS(SondBetrag,SondDarl,14,SondDatum,"&gt;="&amp;$E6571,SondDatum,"&lt;="&amp;EOMONTH($E6571,0)),$J6571-$M6571))</f>
      </c>
      <c r="O6571" s="43">
        <f>IF($I6571=0,0,INDEX(DarlErsatzRate,14))</f>
      </c>
      <c r="P6571" s="43">
        <f>IF($I6571=0,0,$Q6570*INDEX(DarlErsatzZins,14))</f>
      </c>
      <c r="Q6571" s="43">
        <f>IF($I6571=0,0,$Q6570+$P6571+$O6571)</f>
      </c>
      <c r="R6571" s="43">
        <f>IF($I6571=0,0,$J6571-$M6571-$N6571)</f>
      </c>
    </row>
    <row r="6572">
      <c r="A6572"/>
      <c r="B6572">
        <v>14</v>
      </c>
      <c r="C6572" s="43">
        <f>INDEX(DarlObj,14)</f>
      </c>
      <c r="D6572">
        <v>329</v>
      </c>
      <c r="E6572" s="51">
        <f>IF(INDEX(DarlBelegt,14)=0,0,EOMONTH(INDEX(DarlAuszahlung,14),328)+1)</f>
      </c>
      <c r="F6572" s="43">
        <f>IF($E6572=0,0,YEAR($E6572))</f>
      </c>
      <c r="G6572" s="43">
        <f>IF(INDEX(DarlBindung,14)="",1,IF($E6572&lt;=INDEX(DarlBindung,14),1,0))</f>
      </c>
      <c r="H6572" s="43">
        <f>IF($G6572=1,INDEX(DarlSollzins,14),INDEX(DarlAnschluss,14))</f>
      </c>
      <c r="I6572" s="43">
        <f>IF(INDEX(DarlBelegt,14)=0,0,IF(INDEX(DarlOhneTilgung,14)=1,IF(INDEX(DarlBindung,14)="",1,$G6572),IF($J6572&gt;0.005,1,0)))</f>
      </c>
      <c r="J6572" s="43">
        <f>IF($I6571=0,0,$R6571)</f>
      </c>
      <c r="K6572" s="43">
        <f>IF($I6572=0,0,IF(INDEX(DarlOhneTilgung,14)=1,0,IF(AND(INDEX(DarlTilgStart,14)&gt;0,$E6572=INDEX(DarlTilgStart,14)),$J6572*($H6572+INDEX(DarlTilgung,14))/100/12,IF(AND($G6572=0,$G6571=1),MAX($K6571,$J6572*($H6572+1)/100/12),$K6571))))</f>
      </c>
      <c r="L6572" s="43">
        <f>IF($I6572=0,0,$J6572*$H6572/100/12)</f>
      </c>
      <c r="M6572" s="43">
        <f>IF($I6572=0,0,IF(OR(INDEX(DarlOhneTilgung,14)=1,AND(INDEX(DarlTilgStart,14)&gt;0,$E6572&lt;INDEX(DarlTilgStart,14))),0,MIN(MAX(0,$K6572-$L6572),$J6572)))</f>
      </c>
      <c r="N6572" s="43">
        <f>IF($I6572=0,0,MIN(SUMIFS(SondBetrag,SondDarl,14,SondDatum,"&gt;="&amp;$E6572,SondDatum,"&lt;="&amp;EOMONTH($E6572,0)),$J6572-$M6572))</f>
      </c>
      <c r="O6572" s="43">
        <f>IF($I6572=0,0,INDEX(DarlErsatzRate,14))</f>
      </c>
      <c r="P6572" s="43">
        <f>IF($I6572=0,0,$Q6571*INDEX(DarlErsatzZins,14))</f>
      </c>
      <c r="Q6572" s="43">
        <f>IF($I6572=0,0,$Q6571+$P6572+$O6572)</f>
      </c>
      <c r="R6572" s="43">
        <f>IF($I6572=0,0,$J6572-$M6572-$N6572)</f>
      </c>
    </row>
    <row r="6573">
      <c r="A6573"/>
      <c r="B6573">
        <v>14</v>
      </c>
      <c r="C6573" s="43">
        <f>INDEX(DarlObj,14)</f>
      </c>
      <c r="D6573">
        <v>330</v>
      </c>
      <c r="E6573" s="51">
        <f>IF(INDEX(DarlBelegt,14)=0,0,EOMONTH(INDEX(DarlAuszahlung,14),329)+1)</f>
      </c>
      <c r="F6573" s="43">
        <f>IF($E6573=0,0,YEAR($E6573))</f>
      </c>
      <c r="G6573" s="43">
        <f>IF(INDEX(DarlBindung,14)="",1,IF($E6573&lt;=INDEX(DarlBindung,14),1,0))</f>
      </c>
      <c r="H6573" s="43">
        <f>IF($G6573=1,INDEX(DarlSollzins,14),INDEX(DarlAnschluss,14))</f>
      </c>
      <c r="I6573" s="43">
        <f>IF(INDEX(DarlBelegt,14)=0,0,IF(INDEX(DarlOhneTilgung,14)=1,IF(INDEX(DarlBindung,14)="",1,$G6573),IF($J6573&gt;0.005,1,0)))</f>
      </c>
      <c r="J6573" s="43">
        <f>IF($I6572=0,0,$R6572)</f>
      </c>
      <c r="K6573" s="43">
        <f>IF($I6573=0,0,IF(INDEX(DarlOhneTilgung,14)=1,0,IF(AND(INDEX(DarlTilgStart,14)&gt;0,$E6573=INDEX(DarlTilgStart,14)),$J6573*($H6573+INDEX(DarlTilgung,14))/100/12,IF(AND($G6573=0,$G6572=1),MAX($K6572,$J6573*($H6573+1)/100/12),$K6572))))</f>
      </c>
      <c r="L6573" s="43">
        <f>IF($I6573=0,0,$J6573*$H6573/100/12)</f>
      </c>
      <c r="M6573" s="43">
        <f>IF($I6573=0,0,IF(OR(INDEX(DarlOhneTilgung,14)=1,AND(INDEX(DarlTilgStart,14)&gt;0,$E6573&lt;INDEX(DarlTilgStart,14))),0,MIN(MAX(0,$K6573-$L6573),$J6573)))</f>
      </c>
      <c r="N6573" s="43">
        <f>IF($I6573=0,0,MIN(SUMIFS(SondBetrag,SondDarl,14,SondDatum,"&gt;="&amp;$E6573,SondDatum,"&lt;="&amp;EOMONTH($E6573,0)),$J6573-$M6573))</f>
      </c>
      <c r="O6573" s="43">
        <f>IF($I6573=0,0,INDEX(DarlErsatzRate,14))</f>
      </c>
      <c r="P6573" s="43">
        <f>IF($I6573=0,0,$Q6572*INDEX(DarlErsatzZins,14))</f>
      </c>
      <c r="Q6573" s="43">
        <f>IF($I6573=0,0,$Q6572+$P6573+$O6573)</f>
      </c>
      <c r="R6573" s="43">
        <f>IF($I6573=0,0,$J6573-$M6573-$N6573)</f>
      </c>
    </row>
    <row r="6574">
      <c r="A6574"/>
      <c r="B6574">
        <v>14</v>
      </c>
      <c r="C6574" s="43">
        <f>INDEX(DarlObj,14)</f>
      </c>
      <c r="D6574">
        <v>331</v>
      </c>
      <c r="E6574" s="51">
        <f>IF(INDEX(DarlBelegt,14)=0,0,EOMONTH(INDEX(DarlAuszahlung,14),330)+1)</f>
      </c>
      <c r="F6574" s="43">
        <f>IF($E6574=0,0,YEAR($E6574))</f>
      </c>
      <c r="G6574" s="43">
        <f>IF(INDEX(DarlBindung,14)="",1,IF($E6574&lt;=INDEX(DarlBindung,14),1,0))</f>
      </c>
      <c r="H6574" s="43">
        <f>IF($G6574=1,INDEX(DarlSollzins,14),INDEX(DarlAnschluss,14))</f>
      </c>
      <c r="I6574" s="43">
        <f>IF(INDEX(DarlBelegt,14)=0,0,IF(INDEX(DarlOhneTilgung,14)=1,IF(INDEX(DarlBindung,14)="",1,$G6574),IF($J6574&gt;0.005,1,0)))</f>
      </c>
      <c r="J6574" s="43">
        <f>IF($I6573=0,0,$R6573)</f>
      </c>
      <c r="K6574" s="43">
        <f>IF($I6574=0,0,IF(INDEX(DarlOhneTilgung,14)=1,0,IF(AND(INDEX(DarlTilgStart,14)&gt;0,$E6574=INDEX(DarlTilgStart,14)),$J6574*($H6574+INDEX(DarlTilgung,14))/100/12,IF(AND($G6574=0,$G6573=1),MAX($K6573,$J6574*($H6574+1)/100/12),$K6573))))</f>
      </c>
      <c r="L6574" s="43">
        <f>IF($I6574=0,0,$J6574*$H6574/100/12)</f>
      </c>
      <c r="M6574" s="43">
        <f>IF($I6574=0,0,IF(OR(INDEX(DarlOhneTilgung,14)=1,AND(INDEX(DarlTilgStart,14)&gt;0,$E6574&lt;INDEX(DarlTilgStart,14))),0,MIN(MAX(0,$K6574-$L6574),$J6574)))</f>
      </c>
      <c r="N6574" s="43">
        <f>IF($I6574=0,0,MIN(SUMIFS(SondBetrag,SondDarl,14,SondDatum,"&gt;="&amp;$E6574,SondDatum,"&lt;="&amp;EOMONTH($E6574,0)),$J6574-$M6574))</f>
      </c>
      <c r="O6574" s="43">
        <f>IF($I6574=0,0,INDEX(DarlErsatzRate,14))</f>
      </c>
      <c r="P6574" s="43">
        <f>IF($I6574=0,0,$Q6573*INDEX(DarlErsatzZins,14))</f>
      </c>
      <c r="Q6574" s="43">
        <f>IF($I6574=0,0,$Q6573+$P6574+$O6574)</f>
      </c>
      <c r="R6574" s="43">
        <f>IF($I6574=0,0,$J6574-$M6574-$N6574)</f>
      </c>
    </row>
    <row r="6575">
      <c r="A6575"/>
      <c r="B6575">
        <v>14</v>
      </c>
      <c r="C6575" s="43">
        <f>INDEX(DarlObj,14)</f>
      </c>
      <c r="D6575">
        <v>332</v>
      </c>
      <c r="E6575" s="51">
        <f>IF(INDEX(DarlBelegt,14)=0,0,EOMONTH(INDEX(DarlAuszahlung,14),331)+1)</f>
      </c>
      <c r="F6575" s="43">
        <f>IF($E6575=0,0,YEAR($E6575))</f>
      </c>
      <c r="G6575" s="43">
        <f>IF(INDEX(DarlBindung,14)="",1,IF($E6575&lt;=INDEX(DarlBindung,14),1,0))</f>
      </c>
      <c r="H6575" s="43">
        <f>IF($G6575=1,INDEX(DarlSollzins,14),INDEX(DarlAnschluss,14))</f>
      </c>
      <c r="I6575" s="43">
        <f>IF(INDEX(DarlBelegt,14)=0,0,IF(INDEX(DarlOhneTilgung,14)=1,IF(INDEX(DarlBindung,14)="",1,$G6575),IF($J6575&gt;0.005,1,0)))</f>
      </c>
      <c r="J6575" s="43">
        <f>IF($I6574=0,0,$R6574)</f>
      </c>
      <c r="K6575" s="43">
        <f>IF($I6575=0,0,IF(INDEX(DarlOhneTilgung,14)=1,0,IF(AND(INDEX(DarlTilgStart,14)&gt;0,$E6575=INDEX(DarlTilgStart,14)),$J6575*($H6575+INDEX(DarlTilgung,14))/100/12,IF(AND($G6575=0,$G6574=1),MAX($K6574,$J6575*($H6575+1)/100/12),$K6574))))</f>
      </c>
      <c r="L6575" s="43">
        <f>IF($I6575=0,0,$J6575*$H6575/100/12)</f>
      </c>
      <c r="M6575" s="43">
        <f>IF($I6575=0,0,IF(OR(INDEX(DarlOhneTilgung,14)=1,AND(INDEX(DarlTilgStart,14)&gt;0,$E6575&lt;INDEX(DarlTilgStart,14))),0,MIN(MAX(0,$K6575-$L6575),$J6575)))</f>
      </c>
      <c r="N6575" s="43">
        <f>IF($I6575=0,0,MIN(SUMIFS(SondBetrag,SondDarl,14,SondDatum,"&gt;="&amp;$E6575,SondDatum,"&lt;="&amp;EOMONTH($E6575,0)),$J6575-$M6575))</f>
      </c>
      <c r="O6575" s="43">
        <f>IF($I6575=0,0,INDEX(DarlErsatzRate,14))</f>
      </c>
      <c r="P6575" s="43">
        <f>IF($I6575=0,0,$Q6574*INDEX(DarlErsatzZins,14))</f>
      </c>
      <c r="Q6575" s="43">
        <f>IF($I6575=0,0,$Q6574+$P6575+$O6575)</f>
      </c>
      <c r="R6575" s="43">
        <f>IF($I6575=0,0,$J6575-$M6575-$N6575)</f>
      </c>
    </row>
    <row r="6576">
      <c r="A6576"/>
      <c r="B6576">
        <v>14</v>
      </c>
      <c r="C6576" s="43">
        <f>INDEX(DarlObj,14)</f>
      </c>
      <c r="D6576">
        <v>333</v>
      </c>
      <c r="E6576" s="51">
        <f>IF(INDEX(DarlBelegt,14)=0,0,EOMONTH(INDEX(DarlAuszahlung,14),332)+1)</f>
      </c>
      <c r="F6576" s="43">
        <f>IF($E6576=0,0,YEAR($E6576))</f>
      </c>
      <c r="G6576" s="43">
        <f>IF(INDEX(DarlBindung,14)="",1,IF($E6576&lt;=INDEX(DarlBindung,14),1,0))</f>
      </c>
      <c r="H6576" s="43">
        <f>IF($G6576=1,INDEX(DarlSollzins,14),INDEX(DarlAnschluss,14))</f>
      </c>
      <c r="I6576" s="43">
        <f>IF(INDEX(DarlBelegt,14)=0,0,IF(INDEX(DarlOhneTilgung,14)=1,IF(INDEX(DarlBindung,14)="",1,$G6576),IF($J6576&gt;0.005,1,0)))</f>
      </c>
      <c r="J6576" s="43">
        <f>IF($I6575=0,0,$R6575)</f>
      </c>
      <c r="K6576" s="43">
        <f>IF($I6576=0,0,IF(INDEX(DarlOhneTilgung,14)=1,0,IF(AND(INDEX(DarlTilgStart,14)&gt;0,$E6576=INDEX(DarlTilgStart,14)),$J6576*($H6576+INDEX(DarlTilgung,14))/100/12,IF(AND($G6576=0,$G6575=1),MAX($K6575,$J6576*($H6576+1)/100/12),$K6575))))</f>
      </c>
      <c r="L6576" s="43">
        <f>IF($I6576=0,0,$J6576*$H6576/100/12)</f>
      </c>
      <c r="M6576" s="43">
        <f>IF($I6576=0,0,IF(OR(INDEX(DarlOhneTilgung,14)=1,AND(INDEX(DarlTilgStart,14)&gt;0,$E6576&lt;INDEX(DarlTilgStart,14))),0,MIN(MAX(0,$K6576-$L6576),$J6576)))</f>
      </c>
      <c r="N6576" s="43">
        <f>IF($I6576=0,0,MIN(SUMIFS(SondBetrag,SondDarl,14,SondDatum,"&gt;="&amp;$E6576,SondDatum,"&lt;="&amp;EOMONTH($E6576,0)),$J6576-$M6576))</f>
      </c>
      <c r="O6576" s="43">
        <f>IF($I6576=0,0,INDEX(DarlErsatzRate,14))</f>
      </c>
      <c r="P6576" s="43">
        <f>IF($I6576=0,0,$Q6575*INDEX(DarlErsatzZins,14))</f>
      </c>
      <c r="Q6576" s="43">
        <f>IF($I6576=0,0,$Q6575+$P6576+$O6576)</f>
      </c>
      <c r="R6576" s="43">
        <f>IF($I6576=0,0,$J6576-$M6576-$N6576)</f>
      </c>
    </row>
    <row r="6577">
      <c r="A6577"/>
      <c r="B6577">
        <v>14</v>
      </c>
      <c r="C6577" s="43">
        <f>INDEX(DarlObj,14)</f>
      </c>
      <c r="D6577">
        <v>334</v>
      </c>
      <c r="E6577" s="51">
        <f>IF(INDEX(DarlBelegt,14)=0,0,EOMONTH(INDEX(DarlAuszahlung,14),333)+1)</f>
      </c>
      <c r="F6577" s="43">
        <f>IF($E6577=0,0,YEAR($E6577))</f>
      </c>
      <c r="G6577" s="43">
        <f>IF(INDEX(DarlBindung,14)="",1,IF($E6577&lt;=INDEX(DarlBindung,14),1,0))</f>
      </c>
      <c r="H6577" s="43">
        <f>IF($G6577=1,INDEX(DarlSollzins,14),INDEX(DarlAnschluss,14))</f>
      </c>
      <c r="I6577" s="43">
        <f>IF(INDEX(DarlBelegt,14)=0,0,IF(INDEX(DarlOhneTilgung,14)=1,IF(INDEX(DarlBindung,14)="",1,$G6577),IF($J6577&gt;0.005,1,0)))</f>
      </c>
      <c r="J6577" s="43">
        <f>IF($I6576=0,0,$R6576)</f>
      </c>
      <c r="K6577" s="43">
        <f>IF($I6577=0,0,IF(INDEX(DarlOhneTilgung,14)=1,0,IF(AND(INDEX(DarlTilgStart,14)&gt;0,$E6577=INDEX(DarlTilgStart,14)),$J6577*($H6577+INDEX(DarlTilgung,14))/100/12,IF(AND($G6577=0,$G6576=1),MAX($K6576,$J6577*($H6577+1)/100/12),$K6576))))</f>
      </c>
      <c r="L6577" s="43">
        <f>IF($I6577=0,0,$J6577*$H6577/100/12)</f>
      </c>
      <c r="M6577" s="43">
        <f>IF($I6577=0,0,IF(OR(INDEX(DarlOhneTilgung,14)=1,AND(INDEX(DarlTilgStart,14)&gt;0,$E6577&lt;INDEX(DarlTilgStart,14))),0,MIN(MAX(0,$K6577-$L6577),$J6577)))</f>
      </c>
      <c r="N6577" s="43">
        <f>IF($I6577=0,0,MIN(SUMIFS(SondBetrag,SondDarl,14,SondDatum,"&gt;="&amp;$E6577,SondDatum,"&lt;="&amp;EOMONTH($E6577,0)),$J6577-$M6577))</f>
      </c>
      <c r="O6577" s="43">
        <f>IF($I6577=0,0,INDEX(DarlErsatzRate,14))</f>
      </c>
      <c r="P6577" s="43">
        <f>IF($I6577=0,0,$Q6576*INDEX(DarlErsatzZins,14))</f>
      </c>
      <c r="Q6577" s="43">
        <f>IF($I6577=0,0,$Q6576+$P6577+$O6577)</f>
      </c>
      <c r="R6577" s="43">
        <f>IF($I6577=0,0,$J6577-$M6577-$N6577)</f>
      </c>
    </row>
    <row r="6578">
      <c r="A6578"/>
      <c r="B6578">
        <v>14</v>
      </c>
      <c r="C6578" s="43">
        <f>INDEX(DarlObj,14)</f>
      </c>
      <c r="D6578">
        <v>335</v>
      </c>
      <c r="E6578" s="51">
        <f>IF(INDEX(DarlBelegt,14)=0,0,EOMONTH(INDEX(DarlAuszahlung,14),334)+1)</f>
      </c>
      <c r="F6578" s="43">
        <f>IF($E6578=0,0,YEAR($E6578))</f>
      </c>
      <c r="G6578" s="43">
        <f>IF(INDEX(DarlBindung,14)="",1,IF($E6578&lt;=INDEX(DarlBindung,14),1,0))</f>
      </c>
      <c r="H6578" s="43">
        <f>IF($G6578=1,INDEX(DarlSollzins,14),INDEX(DarlAnschluss,14))</f>
      </c>
      <c r="I6578" s="43">
        <f>IF(INDEX(DarlBelegt,14)=0,0,IF(INDEX(DarlOhneTilgung,14)=1,IF(INDEX(DarlBindung,14)="",1,$G6578),IF($J6578&gt;0.005,1,0)))</f>
      </c>
      <c r="J6578" s="43">
        <f>IF($I6577=0,0,$R6577)</f>
      </c>
      <c r="K6578" s="43">
        <f>IF($I6578=0,0,IF(INDEX(DarlOhneTilgung,14)=1,0,IF(AND(INDEX(DarlTilgStart,14)&gt;0,$E6578=INDEX(DarlTilgStart,14)),$J6578*($H6578+INDEX(DarlTilgung,14))/100/12,IF(AND($G6578=0,$G6577=1),MAX($K6577,$J6578*($H6578+1)/100/12),$K6577))))</f>
      </c>
      <c r="L6578" s="43">
        <f>IF($I6578=0,0,$J6578*$H6578/100/12)</f>
      </c>
      <c r="M6578" s="43">
        <f>IF($I6578=0,0,IF(OR(INDEX(DarlOhneTilgung,14)=1,AND(INDEX(DarlTilgStart,14)&gt;0,$E6578&lt;INDEX(DarlTilgStart,14))),0,MIN(MAX(0,$K6578-$L6578),$J6578)))</f>
      </c>
      <c r="N6578" s="43">
        <f>IF($I6578=0,0,MIN(SUMIFS(SondBetrag,SondDarl,14,SondDatum,"&gt;="&amp;$E6578,SondDatum,"&lt;="&amp;EOMONTH($E6578,0)),$J6578-$M6578))</f>
      </c>
      <c r="O6578" s="43">
        <f>IF($I6578=0,0,INDEX(DarlErsatzRate,14))</f>
      </c>
      <c r="P6578" s="43">
        <f>IF($I6578=0,0,$Q6577*INDEX(DarlErsatzZins,14))</f>
      </c>
      <c r="Q6578" s="43">
        <f>IF($I6578=0,0,$Q6577+$P6578+$O6578)</f>
      </c>
      <c r="R6578" s="43">
        <f>IF($I6578=0,0,$J6578-$M6578-$N6578)</f>
      </c>
    </row>
    <row r="6579">
      <c r="A6579"/>
      <c r="B6579">
        <v>14</v>
      </c>
      <c r="C6579" s="43">
        <f>INDEX(DarlObj,14)</f>
      </c>
      <c r="D6579">
        <v>336</v>
      </c>
      <c r="E6579" s="51">
        <f>IF(INDEX(DarlBelegt,14)=0,0,EOMONTH(INDEX(DarlAuszahlung,14),335)+1)</f>
      </c>
      <c r="F6579" s="43">
        <f>IF($E6579=0,0,YEAR($E6579))</f>
      </c>
      <c r="G6579" s="43">
        <f>IF(INDEX(DarlBindung,14)="",1,IF($E6579&lt;=INDEX(DarlBindung,14),1,0))</f>
      </c>
      <c r="H6579" s="43">
        <f>IF($G6579=1,INDEX(DarlSollzins,14),INDEX(DarlAnschluss,14))</f>
      </c>
      <c r="I6579" s="43">
        <f>IF(INDEX(DarlBelegt,14)=0,0,IF(INDEX(DarlOhneTilgung,14)=1,IF(INDEX(DarlBindung,14)="",1,$G6579),IF($J6579&gt;0.005,1,0)))</f>
      </c>
      <c r="J6579" s="43">
        <f>IF($I6578=0,0,$R6578)</f>
      </c>
      <c r="K6579" s="43">
        <f>IF($I6579=0,0,IF(INDEX(DarlOhneTilgung,14)=1,0,IF(AND(INDEX(DarlTilgStart,14)&gt;0,$E6579=INDEX(DarlTilgStart,14)),$J6579*($H6579+INDEX(DarlTilgung,14))/100/12,IF(AND($G6579=0,$G6578=1),MAX($K6578,$J6579*($H6579+1)/100/12),$K6578))))</f>
      </c>
      <c r="L6579" s="43">
        <f>IF($I6579=0,0,$J6579*$H6579/100/12)</f>
      </c>
      <c r="M6579" s="43">
        <f>IF($I6579=0,0,IF(OR(INDEX(DarlOhneTilgung,14)=1,AND(INDEX(DarlTilgStart,14)&gt;0,$E6579&lt;INDEX(DarlTilgStart,14))),0,MIN(MAX(0,$K6579-$L6579),$J6579)))</f>
      </c>
      <c r="N6579" s="43">
        <f>IF($I6579=0,0,MIN(SUMIFS(SondBetrag,SondDarl,14,SondDatum,"&gt;="&amp;$E6579,SondDatum,"&lt;="&amp;EOMONTH($E6579,0)),$J6579-$M6579))</f>
      </c>
      <c r="O6579" s="43">
        <f>IF($I6579=0,0,INDEX(DarlErsatzRate,14))</f>
      </c>
      <c r="P6579" s="43">
        <f>IF($I6579=0,0,$Q6578*INDEX(DarlErsatzZins,14))</f>
      </c>
      <c r="Q6579" s="43">
        <f>IF($I6579=0,0,$Q6578+$P6579+$O6579)</f>
      </c>
      <c r="R6579" s="43">
        <f>IF($I6579=0,0,$J6579-$M6579-$N6579)</f>
      </c>
    </row>
    <row r="6580">
      <c r="A6580"/>
      <c r="B6580">
        <v>14</v>
      </c>
      <c r="C6580" s="43">
        <f>INDEX(DarlObj,14)</f>
      </c>
      <c r="D6580">
        <v>337</v>
      </c>
      <c r="E6580" s="51">
        <f>IF(INDEX(DarlBelegt,14)=0,0,EOMONTH(INDEX(DarlAuszahlung,14),336)+1)</f>
      </c>
      <c r="F6580" s="43">
        <f>IF($E6580=0,0,YEAR($E6580))</f>
      </c>
      <c r="G6580" s="43">
        <f>IF(INDEX(DarlBindung,14)="",1,IF($E6580&lt;=INDEX(DarlBindung,14),1,0))</f>
      </c>
      <c r="H6580" s="43">
        <f>IF($G6580=1,INDEX(DarlSollzins,14),INDEX(DarlAnschluss,14))</f>
      </c>
      <c r="I6580" s="43">
        <f>IF(INDEX(DarlBelegt,14)=0,0,IF(INDEX(DarlOhneTilgung,14)=1,IF(INDEX(DarlBindung,14)="",1,$G6580),IF($J6580&gt;0.005,1,0)))</f>
      </c>
      <c r="J6580" s="43">
        <f>IF($I6579=0,0,$R6579)</f>
      </c>
      <c r="K6580" s="43">
        <f>IF($I6580=0,0,IF(INDEX(DarlOhneTilgung,14)=1,0,IF(AND(INDEX(DarlTilgStart,14)&gt;0,$E6580=INDEX(DarlTilgStart,14)),$J6580*($H6580+INDEX(DarlTilgung,14))/100/12,IF(AND($G6580=0,$G6579=1),MAX($K6579,$J6580*($H6580+1)/100/12),$K6579))))</f>
      </c>
      <c r="L6580" s="43">
        <f>IF($I6580=0,0,$J6580*$H6580/100/12)</f>
      </c>
      <c r="M6580" s="43">
        <f>IF($I6580=0,0,IF(OR(INDEX(DarlOhneTilgung,14)=1,AND(INDEX(DarlTilgStart,14)&gt;0,$E6580&lt;INDEX(DarlTilgStart,14))),0,MIN(MAX(0,$K6580-$L6580),$J6580)))</f>
      </c>
      <c r="N6580" s="43">
        <f>IF($I6580=0,0,MIN(SUMIFS(SondBetrag,SondDarl,14,SondDatum,"&gt;="&amp;$E6580,SondDatum,"&lt;="&amp;EOMONTH($E6580,0)),$J6580-$M6580))</f>
      </c>
      <c r="O6580" s="43">
        <f>IF($I6580=0,0,INDEX(DarlErsatzRate,14))</f>
      </c>
      <c r="P6580" s="43">
        <f>IF($I6580=0,0,$Q6579*INDEX(DarlErsatzZins,14))</f>
      </c>
      <c r="Q6580" s="43">
        <f>IF($I6580=0,0,$Q6579+$P6580+$O6580)</f>
      </c>
      <c r="R6580" s="43">
        <f>IF($I6580=0,0,$J6580-$M6580-$N6580)</f>
      </c>
    </row>
    <row r="6581">
      <c r="A6581"/>
      <c r="B6581">
        <v>14</v>
      </c>
      <c r="C6581" s="43">
        <f>INDEX(DarlObj,14)</f>
      </c>
      <c r="D6581">
        <v>338</v>
      </c>
      <c r="E6581" s="51">
        <f>IF(INDEX(DarlBelegt,14)=0,0,EOMONTH(INDEX(DarlAuszahlung,14),337)+1)</f>
      </c>
      <c r="F6581" s="43">
        <f>IF($E6581=0,0,YEAR($E6581))</f>
      </c>
      <c r="G6581" s="43">
        <f>IF(INDEX(DarlBindung,14)="",1,IF($E6581&lt;=INDEX(DarlBindung,14),1,0))</f>
      </c>
      <c r="H6581" s="43">
        <f>IF($G6581=1,INDEX(DarlSollzins,14),INDEX(DarlAnschluss,14))</f>
      </c>
      <c r="I6581" s="43">
        <f>IF(INDEX(DarlBelegt,14)=0,0,IF(INDEX(DarlOhneTilgung,14)=1,IF(INDEX(DarlBindung,14)="",1,$G6581),IF($J6581&gt;0.005,1,0)))</f>
      </c>
      <c r="J6581" s="43">
        <f>IF($I6580=0,0,$R6580)</f>
      </c>
      <c r="K6581" s="43">
        <f>IF($I6581=0,0,IF(INDEX(DarlOhneTilgung,14)=1,0,IF(AND(INDEX(DarlTilgStart,14)&gt;0,$E6581=INDEX(DarlTilgStart,14)),$J6581*($H6581+INDEX(DarlTilgung,14))/100/12,IF(AND($G6581=0,$G6580=1),MAX($K6580,$J6581*($H6581+1)/100/12),$K6580))))</f>
      </c>
      <c r="L6581" s="43">
        <f>IF($I6581=0,0,$J6581*$H6581/100/12)</f>
      </c>
      <c r="M6581" s="43">
        <f>IF($I6581=0,0,IF(OR(INDEX(DarlOhneTilgung,14)=1,AND(INDEX(DarlTilgStart,14)&gt;0,$E6581&lt;INDEX(DarlTilgStart,14))),0,MIN(MAX(0,$K6581-$L6581),$J6581)))</f>
      </c>
      <c r="N6581" s="43">
        <f>IF($I6581=0,0,MIN(SUMIFS(SondBetrag,SondDarl,14,SondDatum,"&gt;="&amp;$E6581,SondDatum,"&lt;="&amp;EOMONTH($E6581,0)),$J6581-$M6581))</f>
      </c>
      <c r="O6581" s="43">
        <f>IF($I6581=0,0,INDEX(DarlErsatzRate,14))</f>
      </c>
      <c r="P6581" s="43">
        <f>IF($I6581=0,0,$Q6580*INDEX(DarlErsatzZins,14))</f>
      </c>
      <c r="Q6581" s="43">
        <f>IF($I6581=0,0,$Q6580+$P6581+$O6581)</f>
      </c>
      <c r="R6581" s="43">
        <f>IF($I6581=0,0,$J6581-$M6581-$N6581)</f>
      </c>
    </row>
    <row r="6582">
      <c r="A6582"/>
      <c r="B6582">
        <v>14</v>
      </c>
      <c r="C6582" s="43">
        <f>INDEX(DarlObj,14)</f>
      </c>
      <c r="D6582">
        <v>339</v>
      </c>
      <c r="E6582" s="51">
        <f>IF(INDEX(DarlBelegt,14)=0,0,EOMONTH(INDEX(DarlAuszahlung,14),338)+1)</f>
      </c>
      <c r="F6582" s="43">
        <f>IF($E6582=0,0,YEAR($E6582))</f>
      </c>
      <c r="G6582" s="43">
        <f>IF(INDEX(DarlBindung,14)="",1,IF($E6582&lt;=INDEX(DarlBindung,14),1,0))</f>
      </c>
      <c r="H6582" s="43">
        <f>IF($G6582=1,INDEX(DarlSollzins,14),INDEX(DarlAnschluss,14))</f>
      </c>
      <c r="I6582" s="43">
        <f>IF(INDEX(DarlBelegt,14)=0,0,IF(INDEX(DarlOhneTilgung,14)=1,IF(INDEX(DarlBindung,14)="",1,$G6582),IF($J6582&gt;0.005,1,0)))</f>
      </c>
      <c r="J6582" s="43">
        <f>IF($I6581=0,0,$R6581)</f>
      </c>
      <c r="K6582" s="43">
        <f>IF($I6582=0,0,IF(INDEX(DarlOhneTilgung,14)=1,0,IF(AND(INDEX(DarlTilgStart,14)&gt;0,$E6582=INDEX(DarlTilgStart,14)),$J6582*($H6582+INDEX(DarlTilgung,14))/100/12,IF(AND($G6582=0,$G6581=1),MAX($K6581,$J6582*($H6582+1)/100/12),$K6581))))</f>
      </c>
      <c r="L6582" s="43">
        <f>IF($I6582=0,0,$J6582*$H6582/100/12)</f>
      </c>
      <c r="M6582" s="43">
        <f>IF($I6582=0,0,IF(OR(INDEX(DarlOhneTilgung,14)=1,AND(INDEX(DarlTilgStart,14)&gt;0,$E6582&lt;INDEX(DarlTilgStart,14))),0,MIN(MAX(0,$K6582-$L6582),$J6582)))</f>
      </c>
      <c r="N6582" s="43">
        <f>IF($I6582=0,0,MIN(SUMIFS(SondBetrag,SondDarl,14,SondDatum,"&gt;="&amp;$E6582,SondDatum,"&lt;="&amp;EOMONTH($E6582,0)),$J6582-$M6582))</f>
      </c>
      <c r="O6582" s="43">
        <f>IF($I6582=0,0,INDEX(DarlErsatzRate,14))</f>
      </c>
      <c r="P6582" s="43">
        <f>IF($I6582=0,0,$Q6581*INDEX(DarlErsatzZins,14))</f>
      </c>
      <c r="Q6582" s="43">
        <f>IF($I6582=0,0,$Q6581+$P6582+$O6582)</f>
      </c>
      <c r="R6582" s="43">
        <f>IF($I6582=0,0,$J6582-$M6582-$N6582)</f>
      </c>
    </row>
    <row r="6583">
      <c r="A6583"/>
      <c r="B6583">
        <v>14</v>
      </c>
      <c r="C6583" s="43">
        <f>INDEX(DarlObj,14)</f>
      </c>
      <c r="D6583">
        <v>340</v>
      </c>
      <c r="E6583" s="51">
        <f>IF(INDEX(DarlBelegt,14)=0,0,EOMONTH(INDEX(DarlAuszahlung,14),339)+1)</f>
      </c>
      <c r="F6583" s="43">
        <f>IF($E6583=0,0,YEAR($E6583))</f>
      </c>
      <c r="G6583" s="43">
        <f>IF(INDEX(DarlBindung,14)="",1,IF($E6583&lt;=INDEX(DarlBindung,14),1,0))</f>
      </c>
      <c r="H6583" s="43">
        <f>IF($G6583=1,INDEX(DarlSollzins,14),INDEX(DarlAnschluss,14))</f>
      </c>
      <c r="I6583" s="43">
        <f>IF(INDEX(DarlBelegt,14)=0,0,IF(INDEX(DarlOhneTilgung,14)=1,IF(INDEX(DarlBindung,14)="",1,$G6583),IF($J6583&gt;0.005,1,0)))</f>
      </c>
      <c r="J6583" s="43">
        <f>IF($I6582=0,0,$R6582)</f>
      </c>
      <c r="K6583" s="43">
        <f>IF($I6583=0,0,IF(INDEX(DarlOhneTilgung,14)=1,0,IF(AND(INDEX(DarlTilgStart,14)&gt;0,$E6583=INDEX(DarlTilgStart,14)),$J6583*($H6583+INDEX(DarlTilgung,14))/100/12,IF(AND($G6583=0,$G6582=1),MAX($K6582,$J6583*($H6583+1)/100/12),$K6582))))</f>
      </c>
      <c r="L6583" s="43">
        <f>IF($I6583=0,0,$J6583*$H6583/100/12)</f>
      </c>
      <c r="M6583" s="43">
        <f>IF($I6583=0,0,IF(OR(INDEX(DarlOhneTilgung,14)=1,AND(INDEX(DarlTilgStart,14)&gt;0,$E6583&lt;INDEX(DarlTilgStart,14))),0,MIN(MAX(0,$K6583-$L6583),$J6583)))</f>
      </c>
      <c r="N6583" s="43">
        <f>IF($I6583=0,0,MIN(SUMIFS(SondBetrag,SondDarl,14,SondDatum,"&gt;="&amp;$E6583,SondDatum,"&lt;="&amp;EOMONTH($E6583,0)),$J6583-$M6583))</f>
      </c>
      <c r="O6583" s="43">
        <f>IF($I6583=0,0,INDEX(DarlErsatzRate,14))</f>
      </c>
      <c r="P6583" s="43">
        <f>IF($I6583=0,0,$Q6582*INDEX(DarlErsatzZins,14))</f>
      </c>
      <c r="Q6583" s="43">
        <f>IF($I6583=0,0,$Q6582+$P6583+$O6583)</f>
      </c>
      <c r="R6583" s="43">
        <f>IF($I6583=0,0,$J6583-$M6583-$N6583)</f>
      </c>
    </row>
    <row r="6584">
      <c r="A6584"/>
      <c r="B6584">
        <v>14</v>
      </c>
      <c r="C6584" s="43">
        <f>INDEX(DarlObj,14)</f>
      </c>
      <c r="D6584">
        <v>341</v>
      </c>
      <c r="E6584" s="51">
        <f>IF(INDEX(DarlBelegt,14)=0,0,EOMONTH(INDEX(DarlAuszahlung,14),340)+1)</f>
      </c>
      <c r="F6584" s="43">
        <f>IF($E6584=0,0,YEAR($E6584))</f>
      </c>
      <c r="G6584" s="43">
        <f>IF(INDEX(DarlBindung,14)="",1,IF($E6584&lt;=INDEX(DarlBindung,14),1,0))</f>
      </c>
      <c r="H6584" s="43">
        <f>IF($G6584=1,INDEX(DarlSollzins,14),INDEX(DarlAnschluss,14))</f>
      </c>
      <c r="I6584" s="43">
        <f>IF(INDEX(DarlBelegt,14)=0,0,IF(INDEX(DarlOhneTilgung,14)=1,IF(INDEX(DarlBindung,14)="",1,$G6584),IF($J6584&gt;0.005,1,0)))</f>
      </c>
      <c r="J6584" s="43">
        <f>IF($I6583=0,0,$R6583)</f>
      </c>
      <c r="K6584" s="43">
        <f>IF($I6584=0,0,IF(INDEX(DarlOhneTilgung,14)=1,0,IF(AND(INDEX(DarlTilgStart,14)&gt;0,$E6584=INDEX(DarlTilgStart,14)),$J6584*($H6584+INDEX(DarlTilgung,14))/100/12,IF(AND($G6584=0,$G6583=1),MAX($K6583,$J6584*($H6584+1)/100/12),$K6583))))</f>
      </c>
      <c r="L6584" s="43">
        <f>IF($I6584=0,0,$J6584*$H6584/100/12)</f>
      </c>
      <c r="M6584" s="43">
        <f>IF($I6584=0,0,IF(OR(INDEX(DarlOhneTilgung,14)=1,AND(INDEX(DarlTilgStart,14)&gt;0,$E6584&lt;INDEX(DarlTilgStart,14))),0,MIN(MAX(0,$K6584-$L6584),$J6584)))</f>
      </c>
      <c r="N6584" s="43">
        <f>IF($I6584=0,0,MIN(SUMIFS(SondBetrag,SondDarl,14,SondDatum,"&gt;="&amp;$E6584,SondDatum,"&lt;="&amp;EOMONTH($E6584,0)),$J6584-$M6584))</f>
      </c>
      <c r="O6584" s="43">
        <f>IF($I6584=0,0,INDEX(DarlErsatzRate,14))</f>
      </c>
      <c r="P6584" s="43">
        <f>IF($I6584=0,0,$Q6583*INDEX(DarlErsatzZins,14))</f>
      </c>
      <c r="Q6584" s="43">
        <f>IF($I6584=0,0,$Q6583+$P6584+$O6584)</f>
      </c>
      <c r="R6584" s="43">
        <f>IF($I6584=0,0,$J6584-$M6584-$N6584)</f>
      </c>
    </row>
    <row r="6585">
      <c r="A6585"/>
      <c r="B6585">
        <v>14</v>
      </c>
      <c r="C6585" s="43">
        <f>INDEX(DarlObj,14)</f>
      </c>
      <c r="D6585">
        <v>342</v>
      </c>
      <c r="E6585" s="51">
        <f>IF(INDEX(DarlBelegt,14)=0,0,EOMONTH(INDEX(DarlAuszahlung,14),341)+1)</f>
      </c>
      <c r="F6585" s="43">
        <f>IF($E6585=0,0,YEAR($E6585))</f>
      </c>
      <c r="G6585" s="43">
        <f>IF(INDEX(DarlBindung,14)="",1,IF($E6585&lt;=INDEX(DarlBindung,14),1,0))</f>
      </c>
      <c r="H6585" s="43">
        <f>IF($G6585=1,INDEX(DarlSollzins,14),INDEX(DarlAnschluss,14))</f>
      </c>
      <c r="I6585" s="43">
        <f>IF(INDEX(DarlBelegt,14)=0,0,IF(INDEX(DarlOhneTilgung,14)=1,IF(INDEX(DarlBindung,14)="",1,$G6585),IF($J6585&gt;0.005,1,0)))</f>
      </c>
      <c r="J6585" s="43">
        <f>IF($I6584=0,0,$R6584)</f>
      </c>
      <c r="K6585" s="43">
        <f>IF($I6585=0,0,IF(INDEX(DarlOhneTilgung,14)=1,0,IF(AND(INDEX(DarlTilgStart,14)&gt;0,$E6585=INDEX(DarlTilgStart,14)),$J6585*($H6585+INDEX(DarlTilgung,14))/100/12,IF(AND($G6585=0,$G6584=1),MAX($K6584,$J6585*($H6585+1)/100/12),$K6584))))</f>
      </c>
      <c r="L6585" s="43">
        <f>IF($I6585=0,0,$J6585*$H6585/100/12)</f>
      </c>
      <c r="M6585" s="43">
        <f>IF($I6585=0,0,IF(OR(INDEX(DarlOhneTilgung,14)=1,AND(INDEX(DarlTilgStart,14)&gt;0,$E6585&lt;INDEX(DarlTilgStart,14))),0,MIN(MAX(0,$K6585-$L6585),$J6585)))</f>
      </c>
      <c r="N6585" s="43">
        <f>IF($I6585=0,0,MIN(SUMIFS(SondBetrag,SondDarl,14,SondDatum,"&gt;="&amp;$E6585,SondDatum,"&lt;="&amp;EOMONTH($E6585,0)),$J6585-$M6585))</f>
      </c>
      <c r="O6585" s="43">
        <f>IF($I6585=0,0,INDEX(DarlErsatzRate,14))</f>
      </c>
      <c r="P6585" s="43">
        <f>IF($I6585=0,0,$Q6584*INDEX(DarlErsatzZins,14))</f>
      </c>
      <c r="Q6585" s="43">
        <f>IF($I6585=0,0,$Q6584+$P6585+$O6585)</f>
      </c>
      <c r="R6585" s="43">
        <f>IF($I6585=0,0,$J6585-$M6585-$N6585)</f>
      </c>
    </row>
    <row r="6586">
      <c r="A6586"/>
      <c r="B6586">
        <v>14</v>
      </c>
      <c r="C6586" s="43">
        <f>INDEX(DarlObj,14)</f>
      </c>
      <c r="D6586">
        <v>343</v>
      </c>
      <c r="E6586" s="51">
        <f>IF(INDEX(DarlBelegt,14)=0,0,EOMONTH(INDEX(DarlAuszahlung,14),342)+1)</f>
      </c>
      <c r="F6586" s="43">
        <f>IF($E6586=0,0,YEAR($E6586))</f>
      </c>
      <c r="G6586" s="43">
        <f>IF(INDEX(DarlBindung,14)="",1,IF($E6586&lt;=INDEX(DarlBindung,14),1,0))</f>
      </c>
      <c r="H6586" s="43">
        <f>IF($G6586=1,INDEX(DarlSollzins,14),INDEX(DarlAnschluss,14))</f>
      </c>
      <c r="I6586" s="43">
        <f>IF(INDEX(DarlBelegt,14)=0,0,IF(INDEX(DarlOhneTilgung,14)=1,IF(INDEX(DarlBindung,14)="",1,$G6586),IF($J6586&gt;0.005,1,0)))</f>
      </c>
      <c r="J6586" s="43">
        <f>IF($I6585=0,0,$R6585)</f>
      </c>
      <c r="K6586" s="43">
        <f>IF($I6586=0,0,IF(INDEX(DarlOhneTilgung,14)=1,0,IF(AND(INDEX(DarlTilgStart,14)&gt;0,$E6586=INDEX(DarlTilgStart,14)),$J6586*($H6586+INDEX(DarlTilgung,14))/100/12,IF(AND($G6586=0,$G6585=1),MAX($K6585,$J6586*($H6586+1)/100/12),$K6585))))</f>
      </c>
      <c r="L6586" s="43">
        <f>IF($I6586=0,0,$J6586*$H6586/100/12)</f>
      </c>
      <c r="M6586" s="43">
        <f>IF($I6586=0,0,IF(OR(INDEX(DarlOhneTilgung,14)=1,AND(INDEX(DarlTilgStart,14)&gt;0,$E6586&lt;INDEX(DarlTilgStart,14))),0,MIN(MAX(0,$K6586-$L6586),$J6586)))</f>
      </c>
      <c r="N6586" s="43">
        <f>IF($I6586=0,0,MIN(SUMIFS(SondBetrag,SondDarl,14,SondDatum,"&gt;="&amp;$E6586,SondDatum,"&lt;="&amp;EOMONTH($E6586,0)),$J6586-$M6586))</f>
      </c>
      <c r="O6586" s="43">
        <f>IF($I6586=0,0,INDEX(DarlErsatzRate,14))</f>
      </c>
      <c r="P6586" s="43">
        <f>IF($I6586=0,0,$Q6585*INDEX(DarlErsatzZins,14))</f>
      </c>
      <c r="Q6586" s="43">
        <f>IF($I6586=0,0,$Q6585+$P6586+$O6586)</f>
      </c>
      <c r="R6586" s="43">
        <f>IF($I6586=0,0,$J6586-$M6586-$N6586)</f>
      </c>
    </row>
    <row r="6587">
      <c r="A6587"/>
      <c r="B6587">
        <v>14</v>
      </c>
      <c r="C6587" s="43">
        <f>INDEX(DarlObj,14)</f>
      </c>
      <c r="D6587">
        <v>344</v>
      </c>
      <c r="E6587" s="51">
        <f>IF(INDEX(DarlBelegt,14)=0,0,EOMONTH(INDEX(DarlAuszahlung,14),343)+1)</f>
      </c>
      <c r="F6587" s="43">
        <f>IF($E6587=0,0,YEAR($E6587))</f>
      </c>
      <c r="G6587" s="43">
        <f>IF(INDEX(DarlBindung,14)="",1,IF($E6587&lt;=INDEX(DarlBindung,14),1,0))</f>
      </c>
      <c r="H6587" s="43">
        <f>IF($G6587=1,INDEX(DarlSollzins,14),INDEX(DarlAnschluss,14))</f>
      </c>
      <c r="I6587" s="43">
        <f>IF(INDEX(DarlBelegt,14)=0,0,IF(INDEX(DarlOhneTilgung,14)=1,IF(INDEX(DarlBindung,14)="",1,$G6587),IF($J6587&gt;0.005,1,0)))</f>
      </c>
      <c r="J6587" s="43">
        <f>IF($I6586=0,0,$R6586)</f>
      </c>
      <c r="K6587" s="43">
        <f>IF($I6587=0,0,IF(INDEX(DarlOhneTilgung,14)=1,0,IF(AND(INDEX(DarlTilgStart,14)&gt;0,$E6587=INDEX(DarlTilgStart,14)),$J6587*($H6587+INDEX(DarlTilgung,14))/100/12,IF(AND($G6587=0,$G6586=1),MAX($K6586,$J6587*($H6587+1)/100/12),$K6586))))</f>
      </c>
      <c r="L6587" s="43">
        <f>IF($I6587=0,0,$J6587*$H6587/100/12)</f>
      </c>
      <c r="M6587" s="43">
        <f>IF($I6587=0,0,IF(OR(INDEX(DarlOhneTilgung,14)=1,AND(INDEX(DarlTilgStart,14)&gt;0,$E6587&lt;INDEX(DarlTilgStart,14))),0,MIN(MAX(0,$K6587-$L6587),$J6587)))</f>
      </c>
      <c r="N6587" s="43">
        <f>IF($I6587=0,0,MIN(SUMIFS(SondBetrag,SondDarl,14,SondDatum,"&gt;="&amp;$E6587,SondDatum,"&lt;="&amp;EOMONTH($E6587,0)),$J6587-$M6587))</f>
      </c>
      <c r="O6587" s="43">
        <f>IF($I6587=0,0,INDEX(DarlErsatzRate,14))</f>
      </c>
      <c r="P6587" s="43">
        <f>IF($I6587=0,0,$Q6586*INDEX(DarlErsatzZins,14))</f>
      </c>
      <c r="Q6587" s="43">
        <f>IF($I6587=0,0,$Q6586+$P6587+$O6587)</f>
      </c>
      <c r="R6587" s="43">
        <f>IF($I6587=0,0,$J6587-$M6587-$N6587)</f>
      </c>
    </row>
    <row r="6588">
      <c r="A6588"/>
      <c r="B6588">
        <v>14</v>
      </c>
      <c r="C6588" s="43">
        <f>INDEX(DarlObj,14)</f>
      </c>
      <c r="D6588">
        <v>345</v>
      </c>
      <c r="E6588" s="51">
        <f>IF(INDEX(DarlBelegt,14)=0,0,EOMONTH(INDEX(DarlAuszahlung,14),344)+1)</f>
      </c>
      <c r="F6588" s="43">
        <f>IF($E6588=0,0,YEAR($E6588))</f>
      </c>
      <c r="G6588" s="43">
        <f>IF(INDEX(DarlBindung,14)="",1,IF($E6588&lt;=INDEX(DarlBindung,14),1,0))</f>
      </c>
      <c r="H6588" s="43">
        <f>IF($G6588=1,INDEX(DarlSollzins,14),INDEX(DarlAnschluss,14))</f>
      </c>
      <c r="I6588" s="43">
        <f>IF(INDEX(DarlBelegt,14)=0,0,IF(INDEX(DarlOhneTilgung,14)=1,IF(INDEX(DarlBindung,14)="",1,$G6588),IF($J6588&gt;0.005,1,0)))</f>
      </c>
      <c r="J6588" s="43">
        <f>IF($I6587=0,0,$R6587)</f>
      </c>
      <c r="K6588" s="43">
        <f>IF($I6588=0,0,IF(INDEX(DarlOhneTilgung,14)=1,0,IF(AND(INDEX(DarlTilgStart,14)&gt;0,$E6588=INDEX(DarlTilgStart,14)),$J6588*($H6588+INDEX(DarlTilgung,14))/100/12,IF(AND($G6588=0,$G6587=1),MAX($K6587,$J6588*($H6588+1)/100/12),$K6587))))</f>
      </c>
      <c r="L6588" s="43">
        <f>IF($I6588=0,0,$J6588*$H6588/100/12)</f>
      </c>
      <c r="M6588" s="43">
        <f>IF($I6588=0,0,IF(OR(INDEX(DarlOhneTilgung,14)=1,AND(INDEX(DarlTilgStart,14)&gt;0,$E6588&lt;INDEX(DarlTilgStart,14))),0,MIN(MAX(0,$K6588-$L6588),$J6588)))</f>
      </c>
      <c r="N6588" s="43">
        <f>IF($I6588=0,0,MIN(SUMIFS(SondBetrag,SondDarl,14,SondDatum,"&gt;="&amp;$E6588,SondDatum,"&lt;="&amp;EOMONTH($E6588,0)),$J6588-$M6588))</f>
      </c>
      <c r="O6588" s="43">
        <f>IF($I6588=0,0,INDEX(DarlErsatzRate,14))</f>
      </c>
      <c r="P6588" s="43">
        <f>IF($I6588=0,0,$Q6587*INDEX(DarlErsatzZins,14))</f>
      </c>
      <c r="Q6588" s="43">
        <f>IF($I6588=0,0,$Q6587+$P6588+$O6588)</f>
      </c>
      <c r="R6588" s="43">
        <f>IF($I6588=0,0,$J6588-$M6588-$N6588)</f>
      </c>
    </row>
    <row r="6589">
      <c r="A6589"/>
      <c r="B6589">
        <v>14</v>
      </c>
      <c r="C6589" s="43">
        <f>INDEX(DarlObj,14)</f>
      </c>
      <c r="D6589">
        <v>346</v>
      </c>
      <c r="E6589" s="51">
        <f>IF(INDEX(DarlBelegt,14)=0,0,EOMONTH(INDEX(DarlAuszahlung,14),345)+1)</f>
      </c>
      <c r="F6589" s="43">
        <f>IF($E6589=0,0,YEAR($E6589))</f>
      </c>
      <c r="G6589" s="43">
        <f>IF(INDEX(DarlBindung,14)="",1,IF($E6589&lt;=INDEX(DarlBindung,14),1,0))</f>
      </c>
      <c r="H6589" s="43">
        <f>IF($G6589=1,INDEX(DarlSollzins,14),INDEX(DarlAnschluss,14))</f>
      </c>
      <c r="I6589" s="43">
        <f>IF(INDEX(DarlBelegt,14)=0,0,IF(INDEX(DarlOhneTilgung,14)=1,IF(INDEX(DarlBindung,14)="",1,$G6589),IF($J6589&gt;0.005,1,0)))</f>
      </c>
      <c r="J6589" s="43">
        <f>IF($I6588=0,0,$R6588)</f>
      </c>
      <c r="K6589" s="43">
        <f>IF($I6589=0,0,IF(INDEX(DarlOhneTilgung,14)=1,0,IF(AND(INDEX(DarlTilgStart,14)&gt;0,$E6589=INDEX(DarlTilgStart,14)),$J6589*($H6589+INDEX(DarlTilgung,14))/100/12,IF(AND($G6589=0,$G6588=1),MAX($K6588,$J6589*($H6589+1)/100/12),$K6588))))</f>
      </c>
      <c r="L6589" s="43">
        <f>IF($I6589=0,0,$J6589*$H6589/100/12)</f>
      </c>
      <c r="M6589" s="43">
        <f>IF($I6589=0,0,IF(OR(INDEX(DarlOhneTilgung,14)=1,AND(INDEX(DarlTilgStart,14)&gt;0,$E6589&lt;INDEX(DarlTilgStart,14))),0,MIN(MAX(0,$K6589-$L6589),$J6589)))</f>
      </c>
      <c r="N6589" s="43">
        <f>IF($I6589=0,0,MIN(SUMIFS(SondBetrag,SondDarl,14,SondDatum,"&gt;="&amp;$E6589,SondDatum,"&lt;="&amp;EOMONTH($E6589,0)),$J6589-$M6589))</f>
      </c>
      <c r="O6589" s="43">
        <f>IF($I6589=0,0,INDEX(DarlErsatzRate,14))</f>
      </c>
      <c r="P6589" s="43">
        <f>IF($I6589=0,0,$Q6588*INDEX(DarlErsatzZins,14))</f>
      </c>
      <c r="Q6589" s="43">
        <f>IF($I6589=0,0,$Q6588+$P6589+$O6589)</f>
      </c>
      <c r="R6589" s="43">
        <f>IF($I6589=0,0,$J6589-$M6589-$N6589)</f>
      </c>
    </row>
    <row r="6590">
      <c r="A6590"/>
      <c r="B6590">
        <v>14</v>
      </c>
      <c r="C6590" s="43">
        <f>INDEX(DarlObj,14)</f>
      </c>
      <c r="D6590">
        <v>347</v>
      </c>
      <c r="E6590" s="51">
        <f>IF(INDEX(DarlBelegt,14)=0,0,EOMONTH(INDEX(DarlAuszahlung,14),346)+1)</f>
      </c>
      <c r="F6590" s="43">
        <f>IF($E6590=0,0,YEAR($E6590))</f>
      </c>
      <c r="G6590" s="43">
        <f>IF(INDEX(DarlBindung,14)="",1,IF($E6590&lt;=INDEX(DarlBindung,14),1,0))</f>
      </c>
      <c r="H6590" s="43">
        <f>IF($G6590=1,INDEX(DarlSollzins,14),INDEX(DarlAnschluss,14))</f>
      </c>
      <c r="I6590" s="43">
        <f>IF(INDEX(DarlBelegt,14)=0,0,IF(INDEX(DarlOhneTilgung,14)=1,IF(INDEX(DarlBindung,14)="",1,$G6590),IF($J6590&gt;0.005,1,0)))</f>
      </c>
      <c r="J6590" s="43">
        <f>IF($I6589=0,0,$R6589)</f>
      </c>
      <c r="K6590" s="43">
        <f>IF($I6590=0,0,IF(INDEX(DarlOhneTilgung,14)=1,0,IF(AND(INDEX(DarlTilgStart,14)&gt;0,$E6590=INDEX(DarlTilgStart,14)),$J6590*($H6590+INDEX(DarlTilgung,14))/100/12,IF(AND($G6590=0,$G6589=1),MAX($K6589,$J6590*($H6590+1)/100/12),$K6589))))</f>
      </c>
      <c r="L6590" s="43">
        <f>IF($I6590=0,0,$J6590*$H6590/100/12)</f>
      </c>
      <c r="M6590" s="43">
        <f>IF($I6590=0,0,IF(OR(INDEX(DarlOhneTilgung,14)=1,AND(INDEX(DarlTilgStart,14)&gt;0,$E6590&lt;INDEX(DarlTilgStart,14))),0,MIN(MAX(0,$K6590-$L6590),$J6590)))</f>
      </c>
      <c r="N6590" s="43">
        <f>IF($I6590=0,0,MIN(SUMIFS(SondBetrag,SondDarl,14,SondDatum,"&gt;="&amp;$E6590,SondDatum,"&lt;="&amp;EOMONTH($E6590,0)),$J6590-$M6590))</f>
      </c>
      <c r="O6590" s="43">
        <f>IF($I6590=0,0,INDEX(DarlErsatzRate,14))</f>
      </c>
      <c r="P6590" s="43">
        <f>IF($I6590=0,0,$Q6589*INDEX(DarlErsatzZins,14))</f>
      </c>
      <c r="Q6590" s="43">
        <f>IF($I6590=0,0,$Q6589+$P6590+$O6590)</f>
      </c>
      <c r="R6590" s="43">
        <f>IF($I6590=0,0,$J6590-$M6590-$N6590)</f>
      </c>
    </row>
    <row r="6591">
      <c r="A6591"/>
      <c r="B6591">
        <v>14</v>
      </c>
      <c r="C6591" s="43">
        <f>INDEX(DarlObj,14)</f>
      </c>
      <c r="D6591">
        <v>348</v>
      </c>
      <c r="E6591" s="51">
        <f>IF(INDEX(DarlBelegt,14)=0,0,EOMONTH(INDEX(DarlAuszahlung,14),347)+1)</f>
      </c>
      <c r="F6591" s="43">
        <f>IF($E6591=0,0,YEAR($E6591))</f>
      </c>
      <c r="G6591" s="43">
        <f>IF(INDEX(DarlBindung,14)="",1,IF($E6591&lt;=INDEX(DarlBindung,14),1,0))</f>
      </c>
      <c r="H6591" s="43">
        <f>IF($G6591=1,INDEX(DarlSollzins,14),INDEX(DarlAnschluss,14))</f>
      </c>
      <c r="I6591" s="43">
        <f>IF(INDEX(DarlBelegt,14)=0,0,IF(INDEX(DarlOhneTilgung,14)=1,IF(INDEX(DarlBindung,14)="",1,$G6591),IF($J6591&gt;0.005,1,0)))</f>
      </c>
      <c r="J6591" s="43">
        <f>IF($I6590=0,0,$R6590)</f>
      </c>
      <c r="K6591" s="43">
        <f>IF($I6591=0,0,IF(INDEX(DarlOhneTilgung,14)=1,0,IF(AND(INDEX(DarlTilgStart,14)&gt;0,$E6591=INDEX(DarlTilgStart,14)),$J6591*($H6591+INDEX(DarlTilgung,14))/100/12,IF(AND($G6591=0,$G6590=1),MAX($K6590,$J6591*($H6591+1)/100/12),$K6590))))</f>
      </c>
      <c r="L6591" s="43">
        <f>IF($I6591=0,0,$J6591*$H6591/100/12)</f>
      </c>
      <c r="M6591" s="43">
        <f>IF($I6591=0,0,IF(OR(INDEX(DarlOhneTilgung,14)=1,AND(INDEX(DarlTilgStart,14)&gt;0,$E6591&lt;INDEX(DarlTilgStart,14))),0,MIN(MAX(0,$K6591-$L6591),$J6591)))</f>
      </c>
      <c r="N6591" s="43">
        <f>IF($I6591=0,0,MIN(SUMIFS(SondBetrag,SondDarl,14,SondDatum,"&gt;="&amp;$E6591,SondDatum,"&lt;="&amp;EOMONTH($E6591,0)),$J6591-$M6591))</f>
      </c>
      <c r="O6591" s="43">
        <f>IF($I6591=0,0,INDEX(DarlErsatzRate,14))</f>
      </c>
      <c r="P6591" s="43">
        <f>IF($I6591=0,0,$Q6590*INDEX(DarlErsatzZins,14))</f>
      </c>
      <c r="Q6591" s="43">
        <f>IF($I6591=0,0,$Q6590+$P6591+$O6591)</f>
      </c>
      <c r="R6591" s="43">
        <f>IF($I6591=0,0,$J6591-$M6591-$N6591)</f>
      </c>
    </row>
    <row r="6592">
      <c r="A6592"/>
      <c r="B6592">
        <v>14</v>
      </c>
      <c r="C6592" s="43">
        <f>INDEX(DarlObj,14)</f>
      </c>
      <c r="D6592">
        <v>349</v>
      </c>
      <c r="E6592" s="51">
        <f>IF(INDEX(DarlBelegt,14)=0,0,EOMONTH(INDEX(DarlAuszahlung,14),348)+1)</f>
      </c>
      <c r="F6592" s="43">
        <f>IF($E6592=0,0,YEAR($E6592))</f>
      </c>
      <c r="G6592" s="43">
        <f>IF(INDEX(DarlBindung,14)="",1,IF($E6592&lt;=INDEX(DarlBindung,14),1,0))</f>
      </c>
      <c r="H6592" s="43">
        <f>IF($G6592=1,INDEX(DarlSollzins,14),INDEX(DarlAnschluss,14))</f>
      </c>
      <c r="I6592" s="43">
        <f>IF(INDEX(DarlBelegt,14)=0,0,IF(INDEX(DarlOhneTilgung,14)=1,IF(INDEX(DarlBindung,14)="",1,$G6592),IF($J6592&gt;0.005,1,0)))</f>
      </c>
      <c r="J6592" s="43">
        <f>IF($I6591=0,0,$R6591)</f>
      </c>
      <c r="K6592" s="43">
        <f>IF($I6592=0,0,IF(INDEX(DarlOhneTilgung,14)=1,0,IF(AND(INDEX(DarlTilgStart,14)&gt;0,$E6592=INDEX(DarlTilgStart,14)),$J6592*($H6592+INDEX(DarlTilgung,14))/100/12,IF(AND($G6592=0,$G6591=1),MAX($K6591,$J6592*($H6592+1)/100/12),$K6591))))</f>
      </c>
      <c r="L6592" s="43">
        <f>IF($I6592=0,0,$J6592*$H6592/100/12)</f>
      </c>
      <c r="M6592" s="43">
        <f>IF($I6592=0,0,IF(OR(INDEX(DarlOhneTilgung,14)=1,AND(INDEX(DarlTilgStart,14)&gt;0,$E6592&lt;INDEX(DarlTilgStart,14))),0,MIN(MAX(0,$K6592-$L6592),$J6592)))</f>
      </c>
      <c r="N6592" s="43">
        <f>IF($I6592=0,0,MIN(SUMIFS(SondBetrag,SondDarl,14,SondDatum,"&gt;="&amp;$E6592,SondDatum,"&lt;="&amp;EOMONTH($E6592,0)),$J6592-$M6592))</f>
      </c>
      <c r="O6592" s="43">
        <f>IF($I6592=0,0,INDEX(DarlErsatzRate,14))</f>
      </c>
      <c r="P6592" s="43">
        <f>IF($I6592=0,0,$Q6591*INDEX(DarlErsatzZins,14))</f>
      </c>
      <c r="Q6592" s="43">
        <f>IF($I6592=0,0,$Q6591+$P6592+$O6592)</f>
      </c>
      <c r="R6592" s="43">
        <f>IF($I6592=0,0,$J6592-$M6592-$N6592)</f>
      </c>
    </row>
    <row r="6593">
      <c r="A6593"/>
      <c r="B6593">
        <v>14</v>
      </c>
      <c r="C6593" s="43">
        <f>INDEX(DarlObj,14)</f>
      </c>
      <c r="D6593">
        <v>350</v>
      </c>
      <c r="E6593" s="51">
        <f>IF(INDEX(DarlBelegt,14)=0,0,EOMONTH(INDEX(DarlAuszahlung,14),349)+1)</f>
      </c>
      <c r="F6593" s="43">
        <f>IF($E6593=0,0,YEAR($E6593))</f>
      </c>
      <c r="G6593" s="43">
        <f>IF(INDEX(DarlBindung,14)="",1,IF($E6593&lt;=INDEX(DarlBindung,14),1,0))</f>
      </c>
      <c r="H6593" s="43">
        <f>IF($G6593=1,INDEX(DarlSollzins,14),INDEX(DarlAnschluss,14))</f>
      </c>
      <c r="I6593" s="43">
        <f>IF(INDEX(DarlBelegt,14)=0,0,IF(INDEX(DarlOhneTilgung,14)=1,IF(INDEX(DarlBindung,14)="",1,$G6593),IF($J6593&gt;0.005,1,0)))</f>
      </c>
      <c r="J6593" s="43">
        <f>IF($I6592=0,0,$R6592)</f>
      </c>
      <c r="K6593" s="43">
        <f>IF($I6593=0,0,IF(INDEX(DarlOhneTilgung,14)=1,0,IF(AND(INDEX(DarlTilgStart,14)&gt;0,$E6593=INDEX(DarlTilgStart,14)),$J6593*($H6593+INDEX(DarlTilgung,14))/100/12,IF(AND($G6593=0,$G6592=1),MAX($K6592,$J6593*($H6593+1)/100/12),$K6592))))</f>
      </c>
      <c r="L6593" s="43">
        <f>IF($I6593=0,0,$J6593*$H6593/100/12)</f>
      </c>
      <c r="M6593" s="43">
        <f>IF($I6593=0,0,IF(OR(INDEX(DarlOhneTilgung,14)=1,AND(INDEX(DarlTilgStart,14)&gt;0,$E6593&lt;INDEX(DarlTilgStart,14))),0,MIN(MAX(0,$K6593-$L6593),$J6593)))</f>
      </c>
      <c r="N6593" s="43">
        <f>IF($I6593=0,0,MIN(SUMIFS(SondBetrag,SondDarl,14,SondDatum,"&gt;="&amp;$E6593,SondDatum,"&lt;="&amp;EOMONTH($E6593,0)),$J6593-$M6593))</f>
      </c>
      <c r="O6593" s="43">
        <f>IF($I6593=0,0,INDEX(DarlErsatzRate,14))</f>
      </c>
      <c r="P6593" s="43">
        <f>IF($I6593=0,0,$Q6592*INDEX(DarlErsatzZins,14))</f>
      </c>
      <c r="Q6593" s="43">
        <f>IF($I6593=0,0,$Q6592+$P6593+$O6593)</f>
      </c>
      <c r="R6593" s="43">
        <f>IF($I6593=0,0,$J6593-$M6593-$N6593)</f>
      </c>
    </row>
    <row r="6594">
      <c r="A6594"/>
      <c r="B6594">
        <v>14</v>
      </c>
      <c r="C6594" s="43">
        <f>INDEX(DarlObj,14)</f>
      </c>
      <c r="D6594">
        <v>351</v>
      </c>
      <c r="E6594" s="51">
        <f>IF(INDEX(DarlBelegt,14)=0,0,EOMONTH(INDEX(DarlAuszahlung,14),350)+1)</f>
      </c>
      <c r="F6594" s="43">
        <f>IF($E6594=0,0,YEAR($E6594))</f>
      </c>
      <c r="G6594" s="43">
        <f>IF(INDEX(DarlBindung,14)="",1,IF($E6594&lt;=INDEX(DarlBindung,14),1,0))</f>
      </c>
      <c r="H6594" s="43">
        <f>IF($G6594=1,INDEX(DarlSollzins,14),INDEX(DarlAnschluss,14))</f>
      </c>
      <c r="I6594" s="43">
        <f>IF(INDEX(DarlBelegt,14)=0,0,IF(INDEX(DarlOhneTilgung,14)=1,IF(INDEX(DarlBindung,14)="",1,$G6594),IF($J6594&gt;0.005,1,0)))</f>
      </c>
      <c r="J6594" s="43">
        <f>IF($I6593=0,0,$R6593)</f>
      </c>
      <c r="K6594" s="43">
        <f>IF($I6594=0,0,IF(INDEX(DarlOhneTilgung,14)=1,0,IF(AND(INDEX(DarlTilgStart,14)&gt;0,$E6594=INDEX(DarlTilgStart,14)),$J6594*($H6594+INDEX(DarlTilgung,14))/100/12,IF(AND($G6594=0,$G6593=1),MAX($K6593,$J6594*($H6594+1)/100/12),$K6593))))</f>
      </c>
      <c r="L6594" s="43">
        <f>IF($I6594=0,0,$J6594*$H6594/100/12)</f>
      </c>
      <c r="M6594" s="43">
        <f>IF($I6594=0,0,IF(OR(INDEX(DarlOhneTilgung,14)=1,AND(INDEX(DarlTilgStart,14)&gt;0,$E6594&lt;INDEX(DarlTilgStart,14))),0,MIN(MAX(0,$K6594-$L6594),$J6594)))</f>
      </c>
      <c r="N6594" s="43">
        <f>IF($I6594=0,0,MIN(SUMIFS(SondBetrag,SondDarl,14,SondDatum,"&gt;="&amp;$E6594,SondDatum,"&lt;="&amp;EOMONTH($E6594,0)),$J6594-$M6594))</f>
      </c>
      <c r="O6594" s="43">
        <f>IF($I6594=0,0,INDEX(DarlErsatzRate,14))</f>
      </c>
      <c r="P6594" s="43">
        <f>IF($I6594=0,0,$Q6593*INDEX(DarlErsatzZins,14))</f>
      </c>
      <c r="Q6594" s="43">
        <f>IF($I6594=0,0,$Q6593+$P6594+$O6594)</f>
      </c>
      <c r="R6594" s="43">
        <f>IF($I6594=0,0,$J6594-$M6594-$N6594)</f>
      </c>
    </row>
    <row r="6595">
      <c r="A6595"/>
      <c r="B6595">
        <v>14</v>
      </c>
      <c r="C6595" s="43">
        <f>INDEX(DarlObj,14)</f>
      </c>
      <c r="D6595">
        <v>352</v>
      </c>
      <c r="E6595" s="51">
        <f>IF(INDEX(DarlBelegt,14)=0,0,EOMONTH(INDEX(DarlAuszahlung,14),351)+1)</f>
      </c>
      <c r="F6595" s="43">
        <f>IF($E6595=0,0,YEAR($E6595))</f>
      </c>
      <c r="G6595" s="43">
        <f>IF(INDEX(DarlBindung,14)="",1,IF($E6595&lt;=INDEX(DarlBindung,14),1,0))</f>
      </c>
      <c r="H6595" s="43">
        <f>IF($G6595=1,INDEX(DarlSollzins,14),INDEX(DarlAnschluss,14))</f>
      </c>
      <c r="I6595" s="43">
        <f>IF(INDEX(DarlBelegt,14)=0,0,IF(INDEX(DarlOhneTilgung,14)=1,IF(INDEX(DarlBindung,14)="",1,$G6595),IF($J6595&gt;0.005,1,0)))</f>
      </c>
      <c r="J6595" s="43">
        <f>IF($I6594=0,0,$R6594)</f>
      </c>
      <c r="K6595" s="43">
        <f>IF($I6595=0,0,IF(INDEX(DarlOhneTilgung,14)=1,0,IF(AND(INDEX(DarlTilgStart,14)&gt;0,$E6595=INDEX(DarlTilgStart,14)),$J6595*($H6595+INDEX(DarlTilgung,14))/100/12,IF(AND($G6595=0,$G6594=1),MAX($K6594,$J6595*($H6595+1)/100/12),$K6594))))</f>
      </c>
      <c r="L6595" s="43">
        <f>IF($I6595=0,0,$J6595*$H6595/100/12)</f>
      </c>
      <c r="M6595" s="43">
        <f>IF($I6595=0,0,IF(OR(INDEX(DarlOhneTilgung,14)=1,AND(INDEX(DarlTilgStart,14)&gt;0,$E6595&lt;INDEX(DarlTilgStart,14))),0,MIN(MAX(0,$K6595-$L6595),$J6595)))</f>
      </c>
      <c r="N6595" s="43">
        <f>IF($I6595=0,0,MIN(SUMIFS(SondBetrag,SondDarl,14,SondDatum,"&gt;="&amp;$E6595,SondDatum,"&lt;="&amp;EOMONTH($E6595,0)),$J6595-$M6595))</f>
      </c>
      <c r="O6595" s="43">
        <f>IF($I6595=0,0,INDEX(DarlErsatzRate,14))</f>
      </c>
      <c r="P6595" s="43">
        <f>IF($I6595=0,0,$Q6594*INDEX(DarlErsatzZins,14))</f>
      </c>
      <c r="Q6595" s="43">
        <f>IF($I6595=0,0,$Q6594+$P6595+$O6595)</f>
      </c>
      <c r="R6595" s="43">
        <f>IF($I6595=0,0,$J6595-$M6595-$N6595)</f>
      </c>
    </row>
    <row r="6596">
      <c r="A6596"/>
      <c r="B6596">
        <v>14</v>
      </c>
      <c r="C6596" s="43">
        <f>INDEX(DarlObj,14)</f>
      </c>
      <c r="D6596">
        <v>353</v>
      </c>
      <c r="E6596" s="51">
        <f>IF(INDEX(DarlBelegt,14)=0,0,EOMONTH(INDEX(DarlAuszahlung,14),352)+1)</f>
      </c>
      <c r="F6596" s="43">
        <f>IF($E6596=0,0,YEAR($E6596))</f>
      </c>
      <c r="G6596" s="43">
        <f>IF(INDEX(DarlBindung,14)="",1,IF($E6596&lt;=INDEX(DarlBindung,14),1,0))</f>
      </c>
      <c r="H6596" s="43">
        <f>IF($G6596=1,INDEX(DarlSollzins,14),INDEX(DarlAnschluss,14))</f>
      </c>
      <c r="I6596" s="43">
        <f>IF(INDEX(DarlBelegt,14)=0,0,IF(INDEX(DarlOhneTilgung,14)=1,IF(INDEX(DarlBindung,14)="",1,$G6596),IF($J6596&gt;0.005,1,0)))</f>
      </c>
      <c r="J6596" s="43">
        <f>IF($I6595=0,0,$R6595)</f>
      </c>
      <c r="K6596" s="43">
        <f>IF($I6596=0,0,IF(INDEX(DarlOhneTilgung,14)=1,0,IF(AND(INDEX(DarlTilgStart,14)&gt;0,$E6596=INDEX(DarlTilgStart,14)),$J6596*($H6596+INDEX(DarlTilgung,14))/100/12,IF(AND($G6596=0,$G6595=1),MAX($K6595,$J6596*($H6596+1)/100/12),$K6595))))</f>
      </c>
      <c r="L6596" s="43">
        <f>IF($I6596=0,0,$J6596*$H6596/100/12)</f>
      </c>
      <c r="M6596" s="43">
        <f>IF($I6596=0,0,IF(OR(INDEX(DarlOhneTilgung,14)=1,AND(INDEX(DarlTilgStart,14)&gt;0,$E6596&lt;INDEX(DarlTilgStart,14))),0,MIN(MAX(0,$K6596-$L6596),$J6596)))</f>
      </c>
      <c r="N6596" s="43">
        <f>IF($I6596=0,0,MIN(SUMIFS(SondBetrag,SondDarl,14,SondDatum,"&gt;="&amp;$E6596,SondDatum,"&lt;="&amp;EOMONTH($E6596,0)),$J6596-$M6596))</f>
      </c>
      <c r="O6596" s="43">
        <f>IF($I6596=0,0,INDEX(DarlErsatzRate,14))</f>
      </c>
      <c r="P6596" s="43">
        <f>IF($I6596=0,0,$Q6595*INDEX(DarlErsatzZins,14))</f>
      </c>
      <c r="Q6596" s="43">
        <f>IF($I6596=0,0,$Q6595+$P6596+$O6596)</f>
      </c>
      <c r="R6596" s="43">
        <f>IF($I6596=0,0,$J6596-$M6596-$N6596)</f>
      </c>
    </row>
    <row r="6597">
      <c r="A6597"/>
      <c r="B6597">
        <v>14</v>
      </c>
      <c r="C6597" s="43">
        <f>INDEX(DarlObj,14)</f>
      </c>
      <c r="D6597">
        <v>354</v>
      </c>
      <c r="E6597" s="51">
        <f>IF(INDEX(DarlBelegt,14)=0,0,EOMONTH(INDEX(DarlAuszahlung,14),353)+1)</f>
      </c>
      <c r="F6597" s="43">
        <f>IF($E6597=0,0,YEAR($E6597))</f>
      </c>
      <c r="G6597" s="43">
        <f>IF(INDEX(DarlBindung,14)="",1,IF($E6597&lt;=INDEX(DarlBindung,14),1,0))</f>
      </c>
      <c r="H6597" s="43">
        <f>IF($G6597=1,INDEX(DarlSollzins,14),INDEX(DarlAnschluss,14))</f>
      </c>
      <c r="I6597" s="43">
        <f>IF(INDEX(DarlBelegt,14)=0,0,IF(INDEX(DarlOhneTilgung,14)=1,IF(INDEX(DarlBindung,14)="",1,$G6597),IF($J6597&gt;0.005,1,0)))</f>
      </c>
      <c r="J6597" s="43">
        <f>IF($I6596=0,0,$R6596)</f>
      </c>
      <c r="K6597" s="43">
        <f>IF($I6597=0,0,IF(INDEX(DarlOhneTilgung,14)=1,0,IF(AND(INDEX(DarlTilgStart,14)&gt;0,$E6597=INDEX(DarlTilgStart,14)),$J6597*($H6597+INDEX(DarlTilgung,14))/100/12,IF(AND($G6597=0,$G6596=1),MAX($K6596,$J6597*($H6597+1)/100/12),$K6596))))</f>
      </c>
      <c r="L6597" s="43">
        <f>IF($I6597=0,0,$J6597*$H6597/100/12)</f>
      </c>
      <c r="M6597" s="43">
        <f>IF($I6597=0,0,IF(OR(INDEX(DarlOhneTilgung,14)=1,AND(INDEX(DarlTilgStart,14)&gt;0,$E6597&lt;INDEX(DarlTilgStart,14))),0,MIN(MAX(0,$K6597-$L6597),$J6597)))</f>
      </c>
      <c r="N6597" s="43">
        <f>IF($I6597=0,0,MIN(SUMIFS(SondBetrag,SondDarl,14,SondDatum,"&gt;="&amp;$E6597,SondDatum,"&lt;="&amp;EOMONTH($E6597,0)),$J6597-$M6597))</f>
      </c>
      <c r="O6597" s="43">
        <f>IF($I6597=0,0,INDEX(DarlErsatzRate,14))</f>
      </c>
      <c r="P6597" s="43">
        <f>IF($I6597=0,0,$Q6596*INDEX(DarlErsatzZins,14))</f>
      </c>
      <c r="Q6597" s="43">
        <f>IF($I6597=0,0,$Q6596+$P6597+$O6597)</f>
      </c>
      <c r="R6597" s="43">
        <f>IF($I6597=0,0,$J6597-$M6597-$N6597)</f>
      </c>
    </row>
    <row r="6598">
      <c r="A6598"/>
      <c r="B6598">
        <v>14</v>
      </c>
      <c r="C6598" s="43">
        <f>INDEX(DarlObj,14)</f>
      </c>
      <c r="D6598">
        <v>355</v>
      </c>
      <c r="E6598" s="51">
        <f>IF(INDEX(DarlBelegt,14)=0,0,EOMONTH(INDEX(DarlAuszahlung,14),354)+1)</f>
      </c>
      <c r="F6598" s="43">
        <f>IF($E6598=0,0,YEAR($E6598))</f>
      </c>
      <c r="G6598" s="43">
        <f>IF(INDEX(DarlBindung,14)="",1,IF($E6598&lt;=INDEX(DarlBindung,14),1,0))</f>
      </c>
      <c r="H6598" s="43">
        <f>IF($G6598=1,INDEX(DarlSollzins,14),INDEX(DarlAnschluss,14))</f>
      </c>
      <c r="I6598" s="43">
        <f>IF(INDEX(DarlBelegt,14)=0,0,IF(INDEX(DarlOhneTilgung,14)=1,IF(INDEX(DarlBindung,14)="",1,$G6598),IF($J6598&gt;0.005,1,0)))</f>
      </c>
      <c r="J6598" s="43">
        <f>IF($I6597=0,0,$R6597)</f>
      </c>
      <c r="K6598" s="43">
        <f>IF($I6598=0,0,IF(INDEX(DarlOhneTilgung,14)=1,0,IF(AND(INDEX(DarlTilgStart,14)&gt;0,$E6598=INDEX(DarlTilgStart,14)),$J6598*($H6598+INDEX(DarlTilgung,14))/100/12,IF(AND($G6598=0,$G6597=1),MAX($K6597,$J6598*($H6598+1)/100/12),$K6597))))</f>
      </c>
      <c r="L6598" s="43">
        <f>IF($I6598=0,0,$J6598*$H6598/100/12)</f>
      </c>
      <c r="M6598" s="43">
        <f>IF($I6598=0,0,IF(OR(INDEX(DarlOhneTilgung,14)=1,AND(INDEX(DarlTilgStart,14)&gt;0,$E6598&lt;INDEX(DarlTilgStart,14))),0,MIN(MAX(0,$K6598-$L6598),$J6598)))</f>
      </c>
      <c r="N6598" s="43">
        <f>IF($I6598=0,0,MIN(SUMIFS(SondBetrag,SondDarl,14,SondDatum,"&gt;="&amp;$E6598,SondDatum,"&lt;="&amp;EOMONTH($E6598,0)),$J6598-$M6598))</f>
      </c>
      <c r="O6598" s="43">
        <f>IF($I6598=0,0,INDEX(DarlErsatzRate,14))</f>
      </c>
      <c r="P6598" s="43">
        <f>IF($I6598=0,0,$Q6597*INDEX(DarlErsatzZins,14))</f>
      </c>
      <c r="Q6598" s="43">
        <f>IF($I6598=0,0,$Q6597+$P6598+$O6598)</f>
      </c>
      <c r="R6598" s="43">
        <f>IF($I6598=0,0,$J6598-$M6598-$N6598)</f>
      </c>
    </row>
    <row r="6599">
      <c r="A6599"/>
      <c r="B6599">
        <v>14</v>
      </c>
      <c r="C6599" s="43">
        <f>INDEX(DarlObj,14)</f>
      </c>
      <c r="D6599">
        <v>356</v>
      </c>
      <c r="E6599" s="51">
        <f>IF(INDEX(DarlBelegt,14)=0,0,EOMONTH(INDEX(DarlAuszahlung,14),355)+1)</f>
      </c>
      <c r="F6599" s="43">
        <f>IF($E6599=0,0,YEAR($E6599))</f>
      </c>
      <c r="G6599" s="43">
        <f>IF(INDEX(DarlBindung,14)="",1,IF($E6599&lt;=INDEX(DarlBindung,14),1,0))</f>
      </c>
      <c r="H6599" s="43">
        <f>IF($G6599=1,INDEX(DarlSollzins,14),INDEX(DarlAnschluss,14))</f>
      </c>
      <c r="I6599" s="43">
        <f>IF(INDEX(DarlBelegt,14)=0,0,IF(INDEX(DarlOhneTilgung,14)=1,IF(INDEX(DarlBindung,14)="",1,$G6599),IF($J6599&gt;0.005,1,0)))</f>
      </c>
      <c r="J6599" s="43">
        <f>IF($I6598=0,0,$R6598)</f>
      </c>
      <c r="K6599" s="43">
        <f>IF($I6599=0,0,IF(INDEX(DarlOhneTilgung,14)=1,0,IF(AND(INDEX(DarlTilgStart,14)&gt;0,$E6599=INDEX(DarlTilgStart,14)),$J6599*($H6599+INDEX(DarlTilgung,14))/100/12,IF(AND($G6599=0,$G6598=1),MAX($K6598,$J6599*($H6599+1)/100/12),$K6598))))</f>
      </c>
      <c r="L6599" s="43">
        <f>IF($I6599=0,0,$J6599*$H6599/100/12)</f>
      </c>
      <c r="M6599" s="43">
        <f>IF($I6599=0,0,IF(OR(INDEX(DarlOhneTilgung,14)=1,AND(INDEX(DarlTilgStart,14)&gt;0,$E6599&lt;INDEX(DarlTilgStart,14))),0,MIN(MAX(0,$K6599-$L6599),$J6599)))</f>
      </c>
      <c r="N6599" s="43">
        <f>IF($I6599=0,0,MIN(SUMIFS(SondBetrag,SondDarl,14,SondDatum,"&gt;="&amp;$E6599,SondDatum,"&lt;="&amp;EOMONTH($E6599,0)),$J6599-$M6599))</f>
      </c>
      <c r="O6599" s="43">
        <f>IF($I6599=0,0,INDEX(DarlErsatzRate,14))</f>
      </c>
      <c r="P6599" s="43">
        <f>IF($I6599=0,0,$Q6598*INDEX(DarlErsatzZins,14))</f>
      </c>
      <c r="Q6599" s="43">
        <f>IF($I6599=0,0,$Q6598+$P6599+$O6599)</f>
      </c>
      <c r="R6599" s="43">
        <f>IF($I6599=0,0,$J6599-$M6599-$N6599)</f>
      </c>
    </row>
    <row r="6600">
      <c r="A6600"/>
      <c r="B6600">
        <v>14</v>
      </c>
      <c r="C6600" s="43">
        <f>INDEX(DarlObj,14)</f>
      </c>
      <c r="D6600">
        <v>357</v>
      </c>
      <c r="E6600" s="51">
        <f>IF(INDEX(DarlBelegt,14)=0,0,EOMONTH(INDEX(DarlAuszahlung,14),356)+1)</f>
      </c>
      <c r="F6600" s="43">
        <f>IF($E6600=0,0,YEAR($E6600))</f>
      </c>
      <c r="G6600" s="43">
        <f>IF(INDEX(DarlBindung,14)="",1,IF($E6600&lt;=INDEX(DarlBindung,14),1,0))</f>
      </c>
      <c r="H6600" s="43">
        <f>IF($G6600=1,INDEX(DarlSollzins,14),INDEX(DarlAnschluss,14))</f>
      </c>
      <c r="I6600" s="43">
        <f>IF(INDEX(DarlBelegt,14)=0,0,IF(INDEX(DarlOhneTilgung,14)=1,IF(INDEX(DarlBindung,14)="",1,$G6600),IF($J6600&gt;0.005,1,0)))</f>
      </c>
      <c r="J6600" s="43">
        <f>IF($I6599=0,0,$R6599)</f>
      </c>
      <c r="K6600" s="43">
        <f>IF($I6600=0,0,IF(INDEX(DarlOhneTilgung,14)=1,0,IF(AND(INDEX(DarlTilgStart,14)&gt;0,$E6600=INDEX(DarlTilgStart,14)),$J6600*($H6600+INDEX(DarlTilgung,14))/100/12,IF(AND($G6600=0,$G6599=1),MAX($K6599,$J6600*($H6600+1)/100/12),$K6599))))</f>
      </c>
      <c r="L6600" s="43">
        <f>IF($I6600=0,0,$J6600*$H6600/100/12)</f>
      </c>
      <c r="M6600" s="43">
        <f>IF($I6600=0,0,IF(OR(INDEX(DarlOhneTilgung,14)=1,AND(INDEX(DarlTilgStart,14)&gt;0,$E6600&lt;INDEX(DarlTilgStart,14))),0,MIN(MAX(0,$K6600-$L6600),$J6600)))</f>
      </c>
      <c r="N6600" s="43">
        <f>IF($I6600=0,0,MIN(SUMIFS(SondBetrag,SondDarl,14,SondDatum,"&gt;="&amp;$E6600,SondDatum,"&lt;="&amp;EOMONTH($E6600,0)),$J6600-$M6600))</f>
      </c>
      <c r="O6600" s="43">
        <f>IF($I6600=0,0,INDEX(DarlErsatzRate,14))</f>
      </c>
      <c r="P6600" s="43">
        <f>IF($I6600=0,0,$Q6599*INDEX(DarlErsatzZins,14))</f>
      </c>
      <c r="Q6600" s="43">
        <f>IF($I6600=0,0,$Q6599+$P6600+$O6600)</f>
      </c>
      <c r="R6600" s="43">
        <f>IF($I6600=0,0,$J6600-$M6600-$N6600)</f>
      </c>
    </row>
    <row r="6601">
      <c r="A6601"/>
      <c r="B6601">
        <v>14</v>
      </c>
      <c r="C6601" s="43">
        <f>INDEX(DarlObj,14)</f>
      </c>
      <c r="D6601">
        <v>358</v>
      </c>
      <c r="E6601" s="51">
        <f>IF(INDEX(DarlBelegt,14)=0,0,EOMONTH(INDEX(DarlAuszahlung,14),357)+1)</f>
      </c>
      <c r="F6601" s="43">
        <f>IF($E6601=0,0,YEAR($E6601))</f>
      </c>
      <c r="G6601" s="43">
        <f>IF(INDEX(DarlBindung,14)="",1,IF($E6601&lt;=INDEX(DarlBindung,14),1,0))</f>
      </c>
      <c r="H6601" s="43">
        <f>IF($G6601=1,INDEX(DarlSollzins,14),INDEX(DarlAnschluss,14))</f>
      </c>
      <c r="I6601" s="43">
        <f>IF(INDEX(DarlBelegt,14)=0,0,IF(INDEX(DarlOhneTilgung,14)=1,IF(INDEX(DarlBindung,14)="",1,$G6601),IF($J6601&gt;0.005,1,0)))</f>
      </c>
      <c r="J6601" s="43">
        <f>IF($I6600=0,0,$R6600)</f>
      </c>
      <c r="K6601" s="43">
        <f>IF($I6601=0,0,IF(INDEX(DarlOhneTilgung,14)=1,0,IF(AND(INDEX(DarlTilgStart,14)&gt;0,$E6601=INDEX(DarlTilgStart,14)),$J6601*($H6601+INDEX(DarlTilgung,14))/100/12,IF(AND($G6601=0,$G6600=1),MAX($K6600,$J6601*($H6601+1)/100/12),$K6600))))</f>
      </c>
      <c r="L6601" s="43">
        <f>IF($I6601=0,0,$J6601*$H6601/100/12)</f>
      </c>
      <c r="M6601" s="43">
        <f>IF($I6601=0,0,IF(OR(INDEX(DarlOhneTilgung,14)=1,AND(INDEX(DarlTilgStart,14)&gt;0,$E6601&lt;INDEX(DarlTilgStart,14))),0,MIN(MAX(0,$K6601-$L6601),$J6601)))</f>
      </c>
      <c r="N6601" s="43">
        <f>IF($I6601=0,0,MIN(SUMIFS(SondBetrag,SondDarl,14,SondDatum,"&gt;="&amp;$E6601,SondDatum,"&lt;="&amp;EOMONTH($E6601,0)),$J6601-$M6601))</f>
      </c>
      <c r="O6601" s="43">
        <f>IF($I6601=0,0,INDEX(DarlErsatzRate,14))</f>
      </c>
      <c r="P6601" s="43">
        <f>IF($I6601=0,0,$Q6600*INDEX(DarlErsatzZins,14))</f>
      </c>
      <c r="Q6601" s="43">
        <f>IF($I6601=0,0,$Q6600+$P6601+$O6601)</f>
      </c>
      <c r="R6601" s="43">
        <f>IF($I6601=0,0,$J6601-$M6601-$N6601)</f>
      </c>
    </row>
    <row r="6602">
      <c r="A6602"/>
      <c r="B6602">
        <v>14</v>
      </c>
      <c r="C6602" s="43">
        <f>INDEX(DarlObj,14)</f>
      </c>
      <c r="D6602">
        <v>359</v>
      </c>
      <c r="E6602" s="51">
        <f>IF(INDEX(DarlBelegt,14)=0,0,EOMONTH(INDEX(DarlAuszahlung,14),358)+1)</f>
      </c>
      <c r="F6602" s="43">
        <f>IF($E6602=0,0,YEAR($E6602))</f>
      </c>
      <c r="G6602" s="43">
        <f>IF(INDEX(DarlBindung,14)="",1,IF($E6602&lt;=INDEX(DarlBindung,14),1,0))</f>
      </c>
      <c r="H6602" s="43">
        <f>IF($G6602=1,INDEX(DarlSollzins,14),INDEX(DarlAnschluss,14))</f>
      </c>
      <c r="I6602" s="43">
        <f>IF(INDEX(DarlBelegt,14)=0,0,IF(INDEX(DarlOhneTilgung,14)=1,IF(INDEX(DarlBindung,14)="",1,$G6602),IF($J6602&gt;0.005,1,0)))</f>
      </c>
      <c r="J6602" s="43">
        <f>IF($I6601=0,0,$R6601)</f>
      </c>
      <c r="K6602" s="43">
        <f>IF($I6602=0,0,IF(INDEX(DarlOhneTilgung,14)=1,0,IF(AND(INDEX(DarlTilgStart,14)&gt;0,$E6602=INDEX(DarlTilgStart,14)),$J6602*($H6602+INDEX(DarlTilgung,14))/100/12,IF(AND($G6602=0,$G6601=1),MAX($K6601,$J6602*($H6602+1)/100/12),$K6601))))</f>
      </c>
      <c r="L6602" s="43">
        <f>IF($I6602=0,0,$J6602*$H6602/100/12)</f>
      </c>
      <c r="M6602" s="43">
        <f>IF($I6602=0,0,IF(OR(INDEX(DarlOhneTilgung,14)=1,AND(INDEX(DarlTilgStart,14)&gt;0,$E6602&lt;INDEX(DarlTilgStart,14))),0,MIN(MAX(0,$K6602-$L6602),$J6602)))</f>
      </c>
      <c r="N6602" s="43">
        <f>IF($I6602=0,0,MIN(SUMIFS(SondBetrag,SondDarl,14,SondDatum,"&gt;="&amp;$E6602,SondDatum,"&lt;="&amp;EOMONTH($E6602,0)),$J6602-$M6602))</f>
      </c>
      <c r="O6602" s="43">
        <f>IF($I6602=0,0,INDEX(DarlErsatzRate,14))</f>
      </c>
      <c r="P6602" s="43">
        <f>IF($I6602=0,0,$Q6601*INDEX(DarlErsatzZins,14))</f>
      </c>
      <c r="Q6602" s="43">
        <f>IF($I6602=0,0,$Q6601+$P6602+$O6602)</f>
      </c>
      <c r="R6602" s="43">
        <f>IF($I6602=0,0,$J6602-$M6602-$N6602)</f>
      </c>
    </row>
    <row r="6603">
      <c r="A6603"/>
      <c r="B6603">
        <v>14</v>
      </c>
      <c r="C6603" s="43">
        <f>INDEX(DarlObj,14)</f>
      </c>
      <c r="D6603">
        <v>360</v>
      </c>
      <c r="E6603" s="51">
        <f>IF(INDEX(DarlBelegt,14)=0,0,EOMONTH(INDEX(DarlAuszahlung,14),359)+1)</f>
      </c>
      <c r="F6603" s="43">
        <f>IF($E6603=0,0,YEAR($E6603))</f>
      </c>
      <c r="G6603" s="43">
        <f>IF(INDEX(DarlBindung,14)="",1,IF($E6603&lt;=INDEX(DarlBindung,14),1,0))</f>
      </c>
      <c r="H6603" s="43">
        <f>IF($G6603=1,INDEX(DarlSollzins,14),INDEX(DarlAnschluss,14))</f>
      </c>
      <c r="I6603" s="43">
        <f>IF(INDEX(DarlBelegt,14)=0,0,IF(INDEX(DarlOhneTilgung,14)=1,IF(INDEX(DarlBindung,14)="",1,$G6603),IF($J6603&gt;0.005,1,0)))</f>
      </c>
      <c r="J6603" s="43">
        <f>IF($I6602=0,0,$R6602)</f>
      </c>
      <c r="K6603" s="43">
        <f>IF($I6603=0,0,IF(INDEX(DarlOhneTilgung,14)=1,0,IF(AND(INDEX(DarlTilgStart,14)&gt;0,$E6603=INDEX(DarlTilgStart,14)),$J6603*($H6603+INDEX(DarlTilgung,14))/100/12,IF(AND($G6603=0,$G6602=1),MAX($K6602,$J6603*($H6603+1)/100/12),$K6602))))</f>
      </c>
      <c r="L6603" s="43">
        <f>IF($I6603=0,0,$J6603*$H6603/100/12)</f>
      </c>
      <c r="M6603" s="43">
        <f>IF($I6603=0,0,IF(OR(INDEX(DarlOhneTilgung,14)=1,AND(INDEX(DarlTilgStart,14)&gt;0,$E6603&lt;INDEX(DarlTilgStart,14))),0,MIN(MAX(0,$K6603-$L6603),$J6603)))</f>
      </c>
      <c r="N6603" s="43">
        <f>IF($I6603=0,0,MIN(SUMIFS(SondBetrag,SondDarl,14,SondDatum,"&gt;="&amp;$E6603,SondDatum,"&lt;="&amp;EOMONTH($E6603,0)),$J6603-$M6603))</f>
      </c>
      <c r="O6603" s="43">
        <f>IF($I6603=0,0,INDEX(DarlErsatzRate,14))</f>
      </c>
      <c r="P6603" s="43">
        <f>IF($I6603=0,0,$Q6602*INDEX(DarlErsatzZins,14))</f>
      </c>
      <c r="Q6603" s="43">
        <f>IF($I6603=0,0,$Q6602+$P6603+$O6603)</f>
      </c>
      <c r="R6603" s="43">
        <f>IF($I6603=0,0,$J6603-$M6603-$N6603)</f>
      </c>
    </row>
    <row r="6604">
      <c r="A6604"/>
      <c r="B6604">
        <v>14</v>
      </c>
      <c r="C6604" s="43">
        <f>INDEX(DarlObj,14)</f>
      </c>
      <c r="D6604">
        <v>361</v>
      </c>
      <c r="E6604" s="51">
        <f>IF(INDEX(DarlBelegt,14)=0,0,EOMONTH(INDEX(DarlAuszahlung,14),360)+1)</f>
      </c>
      <c r="F6604" s="43">
        <f>IF($E6604=0,0,YEAR($E6604))</f>
      </c>
      <c r="G6604" s="43">
        <f>IF(INDEX(DarlBindung,14)="",1,IF($E6604&lt;=INDEX(DarlBindung,14),1,0))</f>
      </c>
      <c r="H6604" s="43">
        <f>IF($G6604=1,INDEX(DarlSollzins,14),INDEX(DarlAnschluss,14))</f>
      </c>
      <c r="I6604" s="43">
        <f>IF(INDEX(DarlBelegt,14)=0,0,IF(INDEX(DarlOhneTilgung,14)=1,IF(INDEX(DarlBindung,14)="",1,$G6604),IF($J6604&gt;0.005,1,0)))</f>
      </c>
      <c r="J6604" s="43">
        <f>IF($I6603=0,0,$R6603)</f>
      </c>
      <c r="K6604" s="43">
        <f>IF($I6604=0,0,IF(INDEX(DarlOhneTilgung,14)=1,0,IF(AND(INDEX(DarlTilgStart,14)&gt;0,$E6604=INDEX(DarlTilgStart,14)),$J6604*($H6604+INDEX(DarlTilgung,14))/100/12,IF(AND($G6604=0,$G6603=1),MAX($K6603,$J6604*($H6604+1)/100/12),$K6603))))</f>
      </c>
      <c r="L6604" s="43">
        <f>IF($I6604=0,0,$J6604*$H6604/100/12)</f>
      </c>
      <c r="M6604" s="43">
        <f>IF($I6604=0,0,IF(OR(INDEX(DarlOhneTilgung,14)=1,AND(INDEX(DarlTilgStart,14)&gt;0,$E6604&lt;INDEX(DarlTilgStart,14))),0,MIN(MAX(0,$K6604-$L6604),$J6604)))</f>
      </c>
      <c r="N6604" s="43">
        <f>IF($I6604=0,0,MIN(SUMIFS(SondBetrag,SondDarl,14,SondDatum,"&gt;="&amp;$E6604,SondDatum,"&lt;="&amp;EOMONTH($E6604,0)),$J6604-$M6604))</f>
      </c>
      <c r="O6604" s="43">
        <f>IF($I6604=0,0,INDEX(DarlErsatzRate,14))</f>
      </c>
      <c r="P6604" s="43">
        <f>IF($I6604=0,0,$Q6603*INDEX(DarlErsatzZins,14))</f>
      </c>
      <c r="Q6604" s="43">
        <f>IF($I6604=0,0,$Q6603+$P6604+$O6604)</f>
      </c>
      <c r="R6604" s="43">
        <f>IF($I6604=0,0,$J6604-$M6604-$N6604)</f>
      </c>
    </row>
    <row r="6605">
      <c r="A6605"/>
      <c r="B6605">
        <v>14</v>
      </c>
      <c r="C6605" s="43">
        <f>INDEX(DarlObj,14)</f>
      </c>
      <c r="D6605">
        <v>362</v>
      </c>
      <c r="E6605" s="51">
        <f>IF(INDEX(DarlBelegt,14)=0,0,EOMONTH(INDEX(DarlAuszahlung,14),361)+1)</f>
      </c>
      <c r="F6605" s="43">
        <f>IF($E6605=0,0,YEAR($E6605))</f>
      </c>
      <c r="G6605" s="43">
        <f>IF(INDEX(DarlBindung,14)="",1,IF($E6605&lt;=INDEX(DarlBindung,14),1,0))</f>
      </c>
      <c r="H6605" s="43">
        <f>IF($G6605=1,INDEX(DarlSollzins,14),INDEX(DarlAnschluss,14))</f>
      </c>
      <c r="I6605" s="43">
        <f>IF(INDEX(DarlBelegt,14)=0,0,IF(INDEX(DarlOhneTilgung,14)=1,IF(INDEX(DarlBindung,14)="",1,$G6605),IF($J6605&gt;0.005,1,0)))</f>
      </c>
      <c r="J6605" s="43">
        <f>IF($I6604=0,0,$R6604)</f>
      </c>
      <c r="K6605" s="43">
        <f>IF($I6605=0,0,IF(INDEX(DarlOhneTilgung,14)=1,0,IF(AND(INDEX(DarlTilgStart,14)&gt;0,$E6605=INDEX(DarlTilgStart,14)),$J6605*($H6605+INDEX(DarlTilgung,14))/100/12,IF(AND($G6605=0,$G6604=1),MAX($K6604,$J6605*($H6605+1)/100/12),$K6604))))</f>
      </c>
      <c r="L6605" s="43">
        <f>IF($I6605=0,0,$J6605*$H6605/100/12)</f>
      </c>
      <c r="M6605" s="43">
        <f>IF($I6605=0,0,IF(OR(INDEX(DarlOhneTilgung,14)=1,AND(INDEX(DarlTilgStart,14)&gt;0,$E6605&lt;INDEX(DarlTilgStart,14))),0,MIN(MAX(0,$K6605-$L6605),$J6605)))</f>
      </c>
      <c r="N6605" s="43">
        <f>IF($I6605=0,0,MIN(SUMIFS(SondBetrag,SondDarl,14,SondDatum,"&gt;="&amp;$E6605,SondDatum,"&lt;="&amp;EOMONTH($E6605,0)),$J6605-$M6605))</f>
      </c>
      <c r="O6605" s="43">
        <f>IF($I6605=0,0,INDEX(DarlErsatzRate,14))</f>
      </c>
      <c r="P6605" s="43">
        <f>IF($I6605=0,0,$Q6604*INDEX(DarlErsatzZins,14))</f>
      </c>
      <c r="Q6605" s="43">
        <f>IF($I6605=0,0,$Q6604+$P6605+$O6605)</f>
      </c>
      <c r="R6605" s="43">
        <f>IF($I6605=0,0,$J6605-$M6605-$N6605)</f>
      </c>
    </row>
    <row r="6606">
      <c r="A6606"/>
      <c r="B6606">
        <v>14</v>
      </c>
      <c r="C6606" s="43">
        <f>INDEX(DarlObj,14)</f>
      </c>
      <c r="D6606">
        <v>363</v>
      </c>
      <c r="E6606" s="51">
        <f>IF(INDEX(DarlBelegt,14)=0,0,EOMONTH(INDEX(DarlAuszahlung,14),362)+1)</f>
      </c>
      <c r="F6606" s="43">
        <f>IF($E6606=0,0,YEAR($E6606))</f>
      </c>
      <c r="G6606" s="43">
        <f>IF(INDEX(DarlBindung,14)="",1,IF($E6606&lt;=INDEX(DarlBindung,14),1,0))</f>
      </c>
      <c r="H6606" s="43">
        <f>IF($G6606=1,INDEX(DarlSollzins,14),INDEX(DarlAnschluss,14))</f>
      </c>
      <c r="I6606" s="43">
        <f>IF(INDEX(DarlBelegt,14)=0,0,IF(INDEX(DarlOhneTilgung,14)=1,IF(INDEX(DarlBindung,14)="",1,$G6606),IF($J6606&gt;0.005,1,0)))</f>
      </c>
      <c r="J6606" s="43">
        <f>IF($I6605=0,0,$R6605)</f>
      </c>
      <c r="K6606" s="43">
        <f>IF($I6606=0,0,IF(INDEX(DarlOhneTilgung,14)=1,0,IF(AND(INDEX(DarlTilgStart,14)&gt;0,$E6606=INDEX(DarlTilgStart,14)),$J6606*($H6606+INDEX(DarlTilgung,14))/100/12,IF(AND($G6606=0,$G6605=1),MAX($K6605,$J6606*($H6606+1)/100/12),$K6605))))</f>
      </c>
      <c r="L6606" s="43">
        <f>IF($I6606=0,0,$J6606*$H6606/100/12)</f>
      </c>
      <c r="M6606" s="43">
        <f>IF($I6606=0,0,IF(OR(INDEX(DarlOhneTilgung,14)=1,AND(INDEX(DarlTilgStart,14)&gt;0,$E6606&lt;INDEX(DarlTilgStart,14))),0,MIN(MAX(0,$K6606-$L6606),$J6606)))</f>
      </c>
      <c r="N6606" s="43">
        <f>IF($I6606=0,0,MIN(SUMIFS(SondBetrag,SondDarl,14,SondDatum,"&gt;="&amp;$E6606,SondDatum,"&lt;="&amp;EOMONTH($E6606,0)),$J6606-$M6606))</f>
      </c>
      <c r="O6606" s="43">
        <f>IF($I6606=0,0,INDEX(DarlErsatzRate,14))</f>
      </c>
      <c r="P6606" s="43">
        <f>IF($I6606=0,0,$Q6605*INDEX(DarlErsatzZins,14))</f>
      </c>
      <c r="Q6606" s="43">
        <f>IF($I6606=0,0,$Q6605+$P6606+$O6606)</f>
      </c>
      <c r="R6606" s="43">
        <f>IF($I6606=0,0,$J6606-$M6606-$N6606)</f>
      </c>
    </row>
    <row r="6607">
      <c r="A6607"/>
      <c r="B6607">
        <v>14</v>
      </c>
      <c r="C6607" s="43">
        <f>INDEX(DarlObj,14)</f>
      </c>
      <c r="D6607">
        <v>364</v>
      </c>
      <c r="E6607" s="51">
        <f>IF(INDEX(DarlBelegt,14)=0,0,EOMONTH(INDEX(DarlAuszahlung,14),363)+1)</f>
      </c>
      <c r="F6607" s="43">
        <f>IF($E6607=0,0,YEAR($E6607))</f>
      </c>
      <c r="G6607" s="43">
        <f>IF(INDEX(DarlBindung,14)="",1,IF($E6607&lt;=INDEX(DarlBindung,14),1,0))</f>
      </c>
      <c r="H6607" s="43">
        <f>IF($G6607=1,INDEX(DarlSollzins,14),INDEX(DarlAnschluss,14))</f>
      </c>
      <c r="I6607" s="43">
        <f>IF(INDEX(DarlBelegt,14)=0,0,IF(INDEX(DarlOhneTilgung,14)=1,IF(INDEX(DarlBindung,14)="",1,$G6607),IF($J6607&gt;0.005,1,0)))</f>
      </c>
      <c r="J6607" s="43">
        <f>IF($I6606=0,0,$R6606)</f>
      </c>
      <c r="K6607" s="43">
        <f>IF($I6607=0,0,IF(INDEX(DarlOhneTilgung,14)=1,0,IF(AND(INDEX(DarlTilgStart,14)&gt;0,$E6607=INDEX(DarlTilgStart,14)),$J6607*($H6607+INDEX(DarlTilgung,14))/100/12,IF(AND($G6607=0,$G6606=1),MAX($K6606,$J6607*($H6607+1)/100/12),$K6606))))</f>
      </c>
      <c r="L6607" s="43">
        <f>IF($I6607=0,0,$J6607*$H6607/100/12)</f>
      </c>
      <c r="M6607" s="43">
        <f>IF($I6607=0,0,IF(OR(INDEX(DarlOhneTilgung,14)=1,AND(INDEX(DarlTilgStart,14)&gt;0,$E6607&lt;INDEX(DarlTilgStart,14))),0,MIN(MAX(0,$K6607-$L6607),$J6607)))</f>
      </c>
      <c r="N6607" s="43">
        <f>IF($I6607=0,0,MIN(SUMIFS(SondBetrag,SondDarl,14,SondDatum,"&gt;="&amp;$E6607,SondDatum,"&lt;="&amp;EOMONTH($E6607,0)),$J6607-$M6607))</f>
      </c>
      <c r="O6607" s="43">
        <f>IF($I6607=0,0,INDEX(DarlErsatzRate,14))</f>
      </c>
      <c r="P6607" s="43">
        <f>IF($I6607=0,0,$Q6606*INDEX(DarlErsatzZins,14))</f>
      </c>
      <c r="Q6607" s="43">
        <f>IF($I6607=0,0,$Q6606+$P6607+$O6607)</f>
      </c>
      <c r="R6607" s="43">
        <f>IF($I6607=0,0,$J6607-$M6607-$N6607)</f>
      </c>
    </row>
    <row r="6608">
      <c r="A6608"/>
      <c r="B6608">
        <v>14</v>
      </c>
      <c r="C6608" s="43">
        <f>INDEX(DarlObj,14)</f>
      </c>
      <c r="D6608">
        <v>365</v>
      </c>
      <c r="E6608" s="51">
        <f>IF(INDEX(DarlBelegt,14)=0,0,EOMONTH(INDEX(DarlAuszahlung,14),364)+1)</f>
      </c>
      <c r="F6608" s="43">
        <f>IF($E6608=0,0,YEAR($E6608))</f>
      </c>
      <c r="G6608" s="43">
        <f>IF(INDEX(DarlBindung,14)="",1,IF($E6608&lt;=INDEX(DarlBindung,14),1,0))</f>
      </c>
      <c r="H6608" s="43">
        <f>IF($G6608=1,INDEX(DarlSollzins,14),INDEX(DarlAnschluss,14))</f>
      </c>
      <c r="I6608" s="43">
        <f>IF(INDEX(DarlBelegt,14)=0,0,IF(INDEX(DarlOhneTilgung,14)=1,IF(INDEX(DarlBindung,14)="",1,$G6608),IF($J6608&gt;0.005,1,0)))</f>
      </c>
      <c r="J6608" s="43">
        <f>IF($I6607=0,0,$R6607)</f>
      </c>
      <c r="K6608" s="43">
        <f>IF($I6608=0,0,IF(INDEX(DarlOhneTilgung,14)=1,0,IF(AND(INDEX(DarlTilgStart,14)&gt;0,$E6608=INDEX(DarlTilgStart,14)),$J6608*($H6608+INDEX(DarlTilgung,14))/100/12,IF(AND($G6608=0,$G6607=1),MAX($K6607,$J6608*($H6608+1)/100/12),$K6607))))</f>
      </c>
      <c r="L6608" s="43">
        <f>IF($I6608=0,0,$J6608*$H6608/100/12)</f>
      </c>
      <c r="M6608" s="43">
        <f>IF($I6608=0,0,IF(OR(INDEX(DarlOhneTilgung,14)=1,AND(INDEX(DarlTilgStart,14)&gt;0,$E6608&lt;INDEX(DarlTilgStart,14))),0,MIN(MAX(0,$K6608-$L6608),$J6608)))</f>
      </c>
      <c r="N6608" s="43">
        <f>IF($I6608=0,0,MIN(SUMIFS(SondBetrag,SondDarl,14,SondDatum,"&gt;="&amp;$E6608,SondDatum,"&lt;="&amp;EOMONTH($E6608,0)),$J6608-$M6608))</f>
      </c>
      <c r="O6608" s="43">
        <f>IF($I6608=0,0,INDEX(DarlErsatzRate,14))</f>
      </c>
      <c r="P6608" s="43">
        <f>IF($I6608=0,0,$Q6607*INDEX(DarlErsatzZins,14))</f>
      </c>
      <c r="Q6608" s="43">
        <f>IF($I6608=0,0,$Q6607+$P6608+$O6608)</f>
      </c>
      <c r="R6608" s="43">
        <f>IF($I6608=0,0,$J6608-$M6608-$N6608)</f>
      </c>
    </row>
    <row r="6609">
      <c r="A6609"/>
      <c r="B6609">
        <v>14</v>
      </c>
      <c r="C6609" s="43">
        <f>INDEX(DarlObj,14)</f>
      </c>
      <c r="D6609">
        <v>366</v>
      </c>
      <c r="E6609" s="51">
        <f>IF(INDEX(DarlBelegt,14)=0,0,EOMONTH(INDEX(DarlAuszahlung,14),365)+1)</f>
      </c>
      <c r="F6609" s="43">
        <f>IF($E6609=0,0,YEAR($E6609))</f>
      </c>
      <c r="G6609" s="43">
        <f>IF(INDEX(DarlBindung,14)="",1,IF($E6609&lt;=INDEX(DarlBindung,14),1,0))</f>
      </c>
      <c r="H6609" s="43">
        <f>IF($G6609=1,INDEX(DarlSollzins,14),INDEX(DarlAnschluss,14))</f>
      </c>
      <c r="I6609" s="43">
        <f>IF(INDEX(DarlBelegt,14)=0,0,IF(INDEX(DarlOhneTilgung,14)=1,IF(INDEX(DarlBindung,14)="",1,$G6609),IF($J6609&gt;0.005,1,0)))</f>
      </c>
      <c r="J6609" s="43">
        <f>IF($I6608=0,0,$R6608)</f>
      </c>
      <c r="K6609" s="43">
        <f>IF($I6609=0,0,IF(INDEX(DarlOhneTilgung,14)=1,0,IF(AND(INDEX(DarlTilgStart,14)&gt;0,$E6609=INDEX(DarlTilgStart,14)),$J6609*($H6609+INDEX(DarlTilgung,14))/100/12,IF(AND($G6609=0,$G6608=1),MAX($K6608,$J6609*($H6609+1)/100/12),$K6608))))</f>
      </c>
      <c r="L6609" s="43">
        <f>IF($I6609=0,0,$J6609*$H6609/100/12)</f>
      </c>
      <c r="M6609" s="43">
        <f>IF($I6609=0,0,IF(OR(INDEX(DarlOhneTilgung,14)=1,AND(INDEX(DarlTilgStart,14)&gt;0,$E6609&lt;INDEX(DarlTilgStart,14))),0,MIN(MAX(0,$K6609-$L6609),$J6609)))</f>
      </c>
      <c r="N6609" s="43">
        <f>IF($I6609=0,0,MIN(SUMIFS(SondBetrag,SondDarl,14,SondDatum,"&gt;="&amp;$E6609,SondDatum,"&lt;="&amp;EOMONTH($E6609,0)),$J6609-$M6609))</f>
      </c>
      <c r="O6609" s="43">
        <f>IF($I6609=0,0,INDEX(DarlErsatzRate,14))</f>
      </c>
      <c r="P6609" s="43">
        <f>IF($I6609=0,0,$Q6608*INDEX(DarlErsatzZins,14))</f>
      </c>
      <c r="Q6609" s="43">
        <f>IF($I6609=0,0,$Q6608+$P6609+$O6609)</f>
      </c>
      <c r="R6609" s="43">
        <f>IF($I6609=0,0,$J6609-$M6609-$N6609)</f>
      </c>
    </row>
    <row r="6610">
      <c r="A6610"/>
      <c r="B6610">
        <v>14</v>
      </c>
      <c r="C6610" s="43">
        <f>INDEX(DarlObj,14)</f>
      </c>
      <c r="D6610">
        <v>367</v>
      </c>
      <c r="E6610" s="51">
        <f>IF(INDEX(DarlBelegt,14)=0,0,EOMONTH(INDEX(DarlAuszahlung,14),366)+1)</f>
      </c>
      <c r="F6610" s="43">
        <f>IF($E6610=0,0,YEAR($E6610))</f>
      </c>
      <c r="G6610" s="43">
        <f>IF(INDEX(DarlBindung,14)="",1,IF($E6610&lt;=INDEX(DarlBindung,14),1,0))</f>
      </c>
      <c r="H6610" s="43">
        <f>IF($G6610=1,INDEX(DarlSollzins,14),INDEX(DarlAnschluss,14))</f>
      </c>
      <c r="I6610" s="43">
        <f>IF(INDEX(DarlBelegt,14)=0,0,IF(INDEX(DarlOhneTilgung,14)=1,IF(INDEX(DarlBindung,14)="",1,$G6610),IF($J6610&gt;0.005,1,0)))</f>
      </c>
      <c r="J6610" s="43">
        <f>IF($I6609=0,0,$R6609)</f>
      </c>
      <c r="K6610" s="43">
        <f>IF($I6610=0,0,IF(INDEX(DarlOhneTilgung,14)=1,0,IF(AND(INDEX(DarlTilgStart,14)&gt;0,$E6610=INDEX(DarlTilgStart,14)),$J6610*($H6610+INDEX(DarlTilgung,14))/100/12,IF(AND($G6610=0,$G6609=1),MAX($K6609,$J6610*($H6610+1)/100/12),$K6609))))</f>
      </c>
      <c r="L6610" s="43">
        <f>IF($I6610=0,0,$J6610*$H6610/100/12)</f>
      </c>
      <c r="M6610" s="43">
        <f>IF($I6610=0,0,IF(OR(INDEX(DarlOhneTilgung,14)=1,AND(INDEX(DarlTilgStart,14)&gt;0,$E6610&lt;INDEX(DarlTilgStart,14))),0,MIN(MAX(0,$K6610-$L6610),$J6610)))</f>
      </c>
      <c r="N6610" s="43">
        <f>IF($I6610=0,0,MIN(SUMIFS(SondBetrag,SondDarl,14,SondDatum,"&gt;="&amp;$E6610,SondDatum,"&lt;="&amp;EOMONTH($E6610,0)),$J6610-$M6610))</f>
      </c>
      <c r="O6610" s="43">
        <f>IF($I6610=0,0,INDEX(DarlErsatzRate,14))</f>
      </c>
      <c r="P6610" s="43">
        <f>IF($I6610=0,0,$Q6609*INDEX(DarlErsatzZins,14))</f>
      </c>
      <c r="Q6610" s="43">
        <f>IF($I6610=0,0,$Q6609+$P6610+$O6610)</f>
      </c>
      <c r="R6610" s="43">
        <f>IF($I6610=0,0,$J6610-$M6610-$N6610)</f>
      </c>
    </row>
    <row r="6611">
      <c r="A6611"/>
      <c r="B6611">
        <v>14</v>
      </c>
      <c r="C6611" s="43">
        <f>INDEX(DarlObj,14)</f>
      </c>
      <c r="D6611">
        <v>368</v>
      </c>
      <c r="E6611" s="51">
        <f>IF(INDEX(DarlBelegt,14)=0,0,EOMONTH(INDEX(DarlAuszahlung,14),367)+1)</f>
      </c>
      <c r="F6611" s="43">
        <f>IF($E6611=0,0,YEAR($E6611))</f>
      </c>
      <c r="G6611" s="43">
        <f>IF(INDEX(DarlBindung,14)="",1,IF($E6611&lt;=INDEX(DarlBindung,14),1,0))</f>
      </c>
      <c r="H6611" s="43">
        <f>IF($G6611=1,INDEX(DarlSollzins,14),INDEX(DarlAnschluss,14))</f>
      </c>
      <c r="I6611" s="43">
        <f>IF(INDEX(DarlBelegt,14)=0,0,IF(INDEX(DarlOhneTilgung,14)=1,IF(INDEX(DarlBindung,14)="",1,$G6611),IF($J6611&gt;0.005,1,0)))</f>
      </c>
      <c r="J6611" s="43">
        <f>IF($I6610=0,0,$R6610)</f>
      </c>
      <c r="K6611" s="43">
        <f>IF($I6611=0,0,IF(INDEX(DarlOhneTilgung,14)=1,0,IF(AND(INDEX(DarlTilgStart,14)&gt;0,$E6611=INDEX(DarlTilgStart,14)),$J6611*($H6611+INDEX(DarlTilgung,14))/100/12,IF(AND($G6611=0,$G6610=1),MAX($K6610,$J6611*($H6611+1)/100/12),$K6610))))</f>
      </c>
      <c r="L6611" s="43">
        <f>IF($I6611=0,0,$J6611*$H6611/100/12)</f>
      </c>
      <c r="M6611" s="43">
        <f>IF($I6611=0,0,IF(OR(INDEX(DarlOhneTilgung,14)=1,AND(INDEX(DarlTilgStart,14)&gt;0,$E6611&lt;INDEX(DarlTilgStart,14))),0,MIN(MAX(0,$K6611-$L6611),$J6611)))</f>
      </c>
      <c r="N6611" s="43">
        <f>IF($I6611=0,0,MIN(SUMIFS(SondBetrag,SondDarl,14,SondDatum,"&gt;="&amp;$E6611,SondDatum,"&lt;="&amp;EOMONTH($E6611,0)),$J6611-$M6611))</f>
      </c>
      <c r="O6611" s="43">
        <f>IF($I6611=0,0,INDEX(DarlErsatzRate,14))</f>
      </c>
      <c r="P6611" s="43">
        <f>IF($I6611=0,0,$Q6610*INDEX(DarlErsatzZins,14))</f>
      </c>
      <c r="Q6611" s="43">
        <f>IF($I6611=0,0,$Q6610+$P6611+$O6611)</f>
      </c>
      <c r="R6611" s="43">
        <f>IF($I6611=0,0,$J6611-$M6611-$N6611)</f>
      </c>
    </row>
    <row r="6612">
      <c r="A6612"/>
      <c r="B6612">
        <v>14</v>
      </c>
      <c r="C6612" s="43">
        <f>INDEX(DarlObj,14)</f>
      </c>
      <c r="D6612">
        <v>369</v>
      </c>
      <c r="E6612" s="51">
        <f>IF(INDEX(DarlBelegt,14)=0,0,EOMONTH(INDEX(DarlAuszahlung,14),368)+1)</f>
      </c>
      <c r="F6612" s="43">
        <f>IF($E6612=0,0,YEAR($E6612))</f>
      </c>
      <c r="G6612" s="43">
        <f>IF(INDEX(DarlBindung,14)="",1,IF($E6612&lt;=INDEX(DarlBindung,14),1,0))</f>
      </c>
      <c r="H6612" s="43">
        <f>IF($G6612=1,INDEX(DarlSollzins,14),INDEX(DarlAnschluss,14))</f>
      </c>
      <c r="I6612" s="43">
        <f>IF(INDEX(DarlBelegt,14)=0,0,IF(INDEX(DarlOhneTilgung,14)=1,IF(INDEX(DarlBindung,14)="",1,$G6612),IF($J6612&gt;0.005,1,0)))</f>
      </c>
      <c r="J6612" s="43">
        <f>IF($I6611=0,0,$R6611)</f>
      </c>
      <c r="K6612" s="43">
        <f>IF($I6612=0,0,IF(INDEX(DarlOhneTilgung,14)=1,0,IF(AND(INDEX(DarlTilgStart,14)&gt;0,$E6612=INDEX(DarlTilgStart,14)),$J6612*($H6612+INDEX(DarlTilgung,14))/100/12,IF(AND($G6612=0,$G6611=1),MAX($K6611,$J6612*($H6612+1)/100/12),$K6611))))</f>
      </c>
      <c r="L6612" s="43">
        <f>IF($I6612=0,0,$J6612*$H6612/100/12)</f>
      </c>
      <c r="M6612" s="43">
        <f>IF($I6612=0,0,IF(OR(INDEX(DarlOhneTilgung,14)=1,AND(INDEX(DarlTilgStart,14)&gt;0,$E6612&lt;INDEX(DarlTilgStart,14))),0,MIN(MAX(0,$K6612-$L6612),$J6612)))</f>
      </c>
      <c r="N6612" s="43">
        <f>IF($I6612=0,0,MIN(SUMIFS(SondBetrag,SondDarl,14,SondDatum,"&gt;="&amp;$E6612,SondDatum,"&lt;="&amp;EOMONTH($E6612,0)),$J6612-$M6612))</f>
      </c>
      <c r="O6612" s="43">
        <f>IF($I6612=0,0,INDEX(DarlErsatzRate,14))</f>
      </c>
      <c r="P6612" s="43">
        <f>IF($I6612=0,0,$Q6611*INDEX(DarlErsatzZins,14))</f>
      </c>
      <c r="Q6612" s="43">
        <f>IF($I6612=0,0,$Q6611+$P6612+$O6612)</f>
      </c>
      <c r="R6612" s="43">
        <f>IF($I6612=0,0,$J6612-$M6612-$N6612)</f>
      </c>
    </row>
    <row r="6613">
      <c r="A6613"/>
      <c r="B6613">
        <v>14</v>
      </c>
      <c r="C6613" s="43">
        <f>INDEX(DarlObj,14)</f>
      </c>
      <c r="D6613">
        <v>370</v>
      </c>
      <c r="E6613" s="51">
        <f>IF(INDEX(DarlBelegt,14)=0,0,EOMONTH(INDEX(DarlAuszahlung,14),369)+1)</f>
      </c>
      <c r="F6613" s="43">
        <f>IF($E6613=0,0,YEAR($E6613))</f>
      </c>
      <c r="G6613" s="43">
        <f>IF(INDEX(DarlBindung,14)="",1,IF($E6613&lt;=INDEX(DarlBindung,14),1,0))</f>
      </c>
      <c r="H6613" s="43">
        <f>IF($G6613=1,INDEX(DarlSollzins,14),INDEX(DarlAnschluss,14))</f>
      </c>
      <c r="I6613" s="43">
        <f>IF(INDEX(DarlBelegt,14)=0,0,IF(INDEX(DarlOhneTilgung,14)=1,IF(INDEX(DarlBindung,14)="",1,$G6613),IF($J6613&gt;0.005,1,0)))</f>
      </c>
      <c r="J6613" s="43">
        <f>IF($I6612=0,0,$R6612)</f>
      </c>
      <c r="K6613" s="43">
        <f>IF($I6613=0,0,IF(INDEX(DarlOhneTilgung,14)=1,0,IF(AND(INDEX(DarlTilgStart,14)&gt;0,$E6613=INDEX(DarlTilgStart,14)),$J6613*($H6613+INDEX(DarlTilgung,14))/100/12,IF(AND($G6613=0,$G6612=1),MAX($K6612,$J6613*($H6613+1)/100/12),$K6612))))</f>
      </c>
      <c r="L6613" s="43">
        <f>IF($I6613=0,0,$J6613*$H6613/100/12)</f>
      </c>
      <c r="M6613" s="43">
        <f>IF($I6613=0,0,IF(OR(INDEX(DarlOhneTilgung,14)=1,AND(INDEX(DarlTilgStart,14)&gt;0,$E6613&lt;INDEX(DarlTilgStart,14))),0,MIN(MAX(0,$K6613-$L6613),$J6613)))</f>
      </c>
      <c r="N6613" s="43">
        <f>IF($I6613=0,0,MIN(SUMIFS(SondBetrag,SondDarl,14,SondDatum,"&gt;="&amp;$E6613,SondDatum,"&lt;="&amp;EOMONTH($E6613,0)),$J6613-$M6613))</f>
      </c>
      <c r="O6613" s="43">
        <f>IF($I6613=0,0,INDEX(DarlErsatzRate,14))</f>
      </c>
      <c r="P6613" s="43">
        <f>IF($I6613=0,0,$Q6612*INDEX(DarlErsatzZins,14))</f>
      </c>
      <c r="Q6613" s="43">
        <f>IF($I6613=0,0,$Q6612+$P6613+$O6613)</f>
      </c>
      <c r="R6613" s="43">
        <f>IF($I6613=0,0,$J6613-$M6613-$N6613)</f>
      </c>
    </row>
    <row r="6614">
      <c r="A6614"/>
      <c r="B6614">
        <v>14</v>
      </c>
      <c r="C6614" s="43">
        <f>INDEX(DarlObj,14)</f>
      </c>
      <c r="D6614">
        <v>371</v>
      </c>
      <c r="E6614" s="51">
        <f>IF(INDEX(DarlBelegt,14)=0,0,EOMONTH(INDEX(DarlAuszahlung,14),370)+1)</f>
      </c>
      <c r="F6614" s="43">
        <f>IF($E6614=0,0,YEAR($E6614))</f>
      </c>
      <c r="G6614" s="43">
        <f>IF(INDEX(DarlBindung,14)="",1,IF($E6614&lt;=INDEX(DarlBindung,14),1,0))</f>
      </c>
      <c r="H6614" s="43">
        <f>IF($G6614=1,INDEX(DarlSollzins,14),INDEX(DarlAnschluss,14))</f>
      </c>
      <c r="I6614" s="43">
        <f>IF(INDEX(DarlBelegt,14)=0,0,IF(INDEX(DarlOhneTilgung,14)=1,IF(INDEX(DarlBindung,14)="",1,$G6614),IF($J6614&gt;0.005,1,0)))</f>
      </c>
      <c r="J6614" s="43">
        <f>IF($I6613=0,0,$R6613)</f>
      </c>
      <c r="K6614" s="43">
        <f>IF($I6614=0,0,IF(INDEX(DarlOhneTilgung,14)=1,0,IF(AND(INDEX(DarlTilgStart,14)&gt;0,$E6614=INDEX(DarlTilgStart,14)),$J6614*($H6614+INDEX(DarlTilgung,14))/100/12,IF(AND($G6614=0,$G6613=1),MAX($K6613,$J6614*($H6614+1)/100/12),$K6613))))</f>
      </c>
      <c r="L6614" s="43">
        <f>IF($I6614=0,0,$J6614*$H6614/100/12)</f>
      </c>
      <c r="M6614" s="43">
        <f>IF($I6614=0,0,IF(OR(INDEX(DarlOhneTilgung,14)=1,AND(INDEX(DarlTilgStart,14)&gt;0,$E6614&lt;INDEX(DarlTilgStart,14))),0,MIN(MAX(0,$K6614-$L6614),$J6614)))</f>
      </c>
      <c r="N6614" s="43">
        <f>IF($I6614=0,0,MIN(SUMIFS(SondBetrag,SondDarl,14,SondDatum,"&gt;="&amp;$E6614,SondDatum,"&lt;="&amp;EOMONTH($E6614,0)),$J6614-$M6614))</f>
      </c>
      <c r="O6614" s="43">
        <f>IF($I6614=0,0,INDEX(DarlErsatzRate,14))</f>
      </c>
      <c r="P6614" s="43">
        <f>IF($I6614=0,0,$Q6613*INDEX(DarlErsatzZins,14))</f>
      </c>
      <c r="Q6614" s="43">
        <f>IF($I6614=0,0,$Q6613+$P6614+$O6614)</f>
      </c>
      <c r="R6614" s="43">
        <f>IF($I6614=0,0,$J6614-$M6614-$N6614)</f>
      </c>
    </row>
    <row r="6615">
      <c r="A6615"/>
      <c r="B6615">
        <v>14</v>
      </c>
      <c r="C6615" s="43">
        <f>INDEX(DarlObj,14)</f>
      </c>
      <c r="D6615">
        <v>372</v>
      </c>
      <c r="E6615" s="51">
        <f>IF(INDEX(DarlBelegt,14)=0,0,EOMONTH(INDEX(DarlAuszahlung,14),371)+1)</f>
      </c>
      <c r="F6615" s="43">
        <f>IF($E6615=0,0,YEAR($E6615))</f>
      </c>
      <c r="G6615" s="43">
        <f>IF(INDEX(DarlBindung,14)="",1,IF($E6615&lt;=INDEX(DarlBindung,14),1,0))</f>
      </c>
      <c r="H6615" s="43">
        <f>IF($G6615=1,INDEX(DarlSollzins,14),INDEX(DarlAnschluss,14))</f>
      </c>
      <c r="I6615" s="43">
        <f>IF(INDEX(DarlBelegt,14)=0,0,IF(INDEX(DarlOhneTilgung,14)=1,IF(INDEX(DarlBindung,14)="",1,$G6615),IF($J6615&gt;0.005,1,0)))</f>
      </c>
      <c r="J6615" s="43">
        <f>IF($I6614=0,0,$R6614)</f>
      </c>
      <c r="K6615" s="43">
        <f>IF($I6615=0,0,IF(INDEX(DarlOhneTilgung,14)=1,0,IF(AND(INDEX(DarlTilgStart,14)&gt;0,$E6615=INDEX(DarlTilgStart,14)),$J6615*($H6615+INDEX(DarlTilgung,14))/100/12,IF(AND($G6615=0,$G6614=1),MAX($K6614,$J6615*($H6615+1)/100/12),$K6614))))</f>
      </c>
      <c r="L6615" s="43">
        <f>IF($I6615=0,0,$J6615*$H6615/100/12)</f>
      </c>
      <c r="M6615" s="43">
        <f>IF($I6615=0,0,IF(OR(INDEX(DarlOhneTilgung,14)=1,AND(INDEX(DarlTilgStart,14)&gt;0,$E6615&lt;INDEX(DarlTilgStart,14))),0,MIN(MAX(0,$K6615-$L6615),$J6615)))</f>
      </c>
      <c r="N6615" s="43">
        <f>IF($I6615=0,0,MIN(SUMIFS(SondBetrag,SondDarl,14,SondDatum,"&gt;="&amp;$E6615,SondDatum,"&lt;="&amp;EOMONTH($E6615,0)),$J6615-$M6615))</f>
      </c>
      <c r="O6615" s="43">
        <f>IF($I6615=0,0,INDEX(DarlErsatzRate,14))</f>
      </c>
      <c r="P6615" s="43">
        <f>IF($I6615=0,0,$Q6614*INDEX(DarlErsatzZins,14))</f>
      </c>
      <c r="Q6615" s="43">
        <f>IF($I6615=0,0,$Q6614+$P6615+$O6615)</f>
      </c>
      <c r="R6615" s="43">
        <f>IF($I6615=0,0,$J6615-$M6615-$N6615)</f>
      </c>
    </row>
    <row r="6616">
      <c r="A6616"/>
      <c r="B6616">
        <v>14</v>
      </c>
      <c r="C6616" s="43">
        <f>INDEX(DarlObj,14)</f>
      </c>
      <c r="D6616">
        <v>373</v>
      </c>
      <c r="E6616" s="51">
        <f>IF(INDEX(DarlBelegt,14)=0,0,EOMONTH(INDEX(DarlAuszahlung,14),372)+1)</f>
      </c>
      <c r="F6616" s="43">
        <f>IF($E6616=0,0,YEAR($E6616))</f>
      </c>
      <c r="G6616" s="43">
        <f>IF(INDEX(DarlBindung,14)="",1,IF($E6616&lt;=INDEX(DarlBindung,14),1,0))</f>
      </c>
      <c r="H6616" s="43">
        <f>IF($G6616=1,INDEX(DarlSollzins,14),INDEX(DarlAnschluss,14))</f>
      </c>
      <c r="I6616" s="43">
        <f>IF(INDEX(DarlBelegt,14)=0,0,IF(INDEX(DarlOhneTilgung,14)=1,IF(INDEX(DarlBindung,14)="",1,$G6616),IF($J6616&gt;0.005,1,0)))</f>
      </c>
      <c r="J6616" s="43">
        <f>IF($I6615=0,0,$R6615)</f>
      </c>
      <c r="K6616" s="43">
        <f>IF($I6616=0,0,IF(INDEX(DarlOhneTilgung,14)=1,0,IF(AND(INDEX(DarlTilgStart,14)&gt;0,$E6616=INDEX(DarlTilgStart,14)),$J6616*($H6616+INDEX(DarlTilgung,14))/100/12,IF(AND($G6616=0,$G6615=1),MAX($K6615,$J6616*($H6616+1)/100/12),$K6615))))</f>
      </c>
      <c r="L6616" s="43">
        <f>IF($I6616=0,0,$J6616*$H6616/100/12)</f>
      </c>
      <c r="M6616" s="43">
        <f>IF($I6616=0,0,IF(OR(INDEX(DarlOhneTilgung,14)=1,AND(INDEX(DarlTilgStart,14)&gt;0,$E6616&lt;INDEX(DarlTilgStart,14))),0,MIN(MAX(0,$K6616-$L6616),$J6616)))</f>
      </c>
      <c r="N6616" s="43">
        <f>IF($I6616=0,0,MIN(SUMIFS(SondBetrag,SondDarl,14,SondDatum,"&gt;="&amp;$E6616,SondDatum,"&lt;="&amp;EOMONTH($E6616,0)),$J6616-$M6616))</f>
      </c>
      <c r="O6616" s="43">
        <f>IF($I6616=0,0,INDEX(DarlErsatzRate,14))</f>
      </c>
      <c r="P6616" s="43">
        <f>IF($I6616=0,0,$Q6615*INDEX(DarlErsatzZins,14))</f>
      </c>
      <c r="Q6616" s="43">
        <f>IF($I6616=0,0,$Q6615+$P6616+$O6616)</f>
      </c>
      <c r="R6616" s="43">
        <f>IF($I6616=0,0,$J6616-$M6616-$N6616)</f>
      </c>
    </row>
    <row r="6617">
      <c r="A6617"/>
      <c r="B6617">
        <v>14</v>
      </c>
      <c r="C6617" s="43">
        <f>INDEX(DarlObj,14)</f>
      </c>
      <c r="D6617">
        <v>374</v>
      </c>
      <c r="E6617" s="51">
        <f>IF(INDEX(DarlBelegt,14)=0,0,EOMONTH(INDEX(DarlAuszahlung,14),373)+1)</f>
      </c>
      <c r="F6617" s="43">
        <f>IF($E6617=0,0,YEAR($E6617))</f>
      </c>
      <c r="G6617" s="43">
        <f>IF(INDEX(DarlBindung,14)="",1,IF($E6617&lt;=INDEX(DarlBindung,14),1,0))</f>
      </c>
      <c r="H6617" s="43">
        <f>IF($G6617=1,INDEX(DarlSollzins,14),INDEX(DarlAnschluss,14))</f>
      </c>
      <c r="I6617" s="43">
        <f>IF(INDEX(DarlBelegt,14)=0,0,IF(INDEX(DarlOhneTilgung,14)=1,IF(INDEX(DarlBindung,14)="",1,$G6617),IF($J6617&gt;0.005,1,0)))</f>
      </c>
      <c r="J6617" s="43">
        <f>IF($I6616=0,0,$R6616)</f>
      </c>
      <c r="K6617" s="43">
        <f>IF($I6617=0,0,IF(INDEX(DarlOhneTilgung,14)=1,0,IF(AND(INDEX(DarlTilgStart,14)&gt;0,$E6617=INDEX(DarlTilgStart,14)),$J6617*($H6617+INDEX(DarlTilgung,14))/100/12,IF(AND($G6617=0,$G6616=1),MAX($K6616,$J6617*($H6617+1)/100/12),$K6616))))</f>
      </c>
      <c r="L6617" s="43">
        <f>IF($I6617=0,0,$J6617*$H6617/100/12)</f>
      </c>
      <c r="M6617" s="43">
        <f>IF($I6617=0,0,IF(OR(INDEX(DarlOhneTilgung,14)=1,AND(INDEX(DarlTilgStart,14)&gt;0,$E6617&lt;INDEX(DarlTilgStart,14))),0,MIN(MAX(0,$K6617-$L6617),$J6617)))</f>
      </c>
      <c r="N6617" s="43">
        <f>IF($I6617=0,0,MIN(SUMIFS(SondBetrag,SondDarl,14,SondDatum,"&gt;="&amp;$E6617,SondDatum,"&lt;="&amp;EOMONTH($E6617,0)),$J6617-$M6617))</f>
      </c>
      <c r="O6617" s="43">
        <f>IF($I6617=0,0,INDEX(DarlErsatzRate,14))</f>
      </c>
      <c r="P6617" s="43">
        <f>IF($I6617=0,0,$Q6616*INDEX(DarlErsatzZins,14))</f>
      </c>
      <c r="Q6617" s="43">
        <f>IF($I6617=0,0,$Q6616+$P6617+$O6617)</f>
      </c>
      <c r="R6617" s="43">
        <f>IF($I6617=0,0,$J6617-$M6617-$N6617)</f>
      </c>
    </row>
    <row r="6618">
      <c r="A6618"/>
      <c r="B6618">
        <v>14</v>
      </c>
      <c r="C6618" s="43">
        <f>INDEX(DarlObj,14)</f>
      </c>
      <c r="D6618">
        <v>375</v>
      </c>
      <c r="E6618" s="51">
        <f>IF(INDEX(DarlBelegt,14)=0,0,EOMONTH(INDEX(DarlAuszahlung,14),374)+1)</f>
      </c>
      <c r="F6618" s="43">
        <f>IF($E6618=0,0,YEAR($E6618))</f>
      </c>
      <c r="G6618" s="43">
        <f>IF(INDEX(DarlBindung,14)="",1,IF($E6618&lt;=INDEX(DarlBindung,14),1,0))</f>
      </c>
      <c r="H6618" s="43">
        <f>IF($G6618=1,INDEX(DarlSollzins,14),INDEX(DarlAnschluss,14))</f>
      </c>
      <c r="I6618" s="43">
        <f>IF(INDEX(DarlBelegt,14)=0,0,IF(INDEX(DarlOhneTilgung,14)=1,IF(INDEX(DarlBindung,14)="",1,$G6618),IF($J6618&gt;0.005,1,0)))</f>
      </c>
      <c r="J6618" s="43">
        <f>IF($I6617=0,0,$R6617)</f>
      </c>
      <c r="K6618" s="43">
        <f>IF($I6618=0,0,IF(INDEX(DarlOhneTilgung,14)=1,0,IF(AND(INDEX(DarlTilgStart,14)&gt;0,$E6618=INDEX(DarlTilgStart,14)),$J6618*($H6618+INDEX(DarlTilgung,14))/100/12,IF(AND($G6618=0,$G6617=1),MAX($K6617,$J6618*($H6618+1)/100/12),$K6617))))</f>
      </c>
      <c r="L6618" s="43">
        <f>IF($I6618=0,0,$J6618*$H6618/100/12)</f>
      </c>
      <c r="M6618" s="43">
        <f>IF($I6618=0,0,IF(OR(INDEX(DarlOhneTilgung,14)=1,AND(INDEX(DarlTilgStart,14)&gt;0,$E6618&lt;INDEX(DarlTilgStart,14))),0,MIN(MAX(0,$K6618-$L6618),$J6618)))</f>
      </c>
      <c r="N6618" s="43">
        <f>IF($I6618=0,0,MIN(SUMIFS(SondBetrag,SondDarl,14,SondDatum,"&gt;="&amp;$E6618,SondDatum,"&lt;="&amp;EOMONTH($E6618,0)),$J6618-$M6618))</f>
      </c>
      <c r="O6618" s="43">
        <f>IF($I6618=0,0,INDEX(DarlErsatzRate,14))</f>
      </c>
      <c r="P6618" s="43">
        <f>IF($I6618=0,0,$Q6617*INDEX(DarlErsatzZins,14))</f>
      </c>
      <c r="Q6618" s="43">
        <f>IF($I6618=0,0,$Q6617+$P6618+$O6618)</f>
      </c>
      <c r="R6618" s="43">
        <f>IF($I6618=0,0,$J6618-$M6618-$N6618)</f>
      </c>
    </row>
    <row r="6619">
      <c r="A6619"/>
      <c r="B6619">
        <v>14</v>
      </c>
      <c r="C6619" s="43">
        <f>INDEX(DarlObj,14)</f>
      </c>
      <c r="D6619">
        <v>376</v>
      </c>
      <c r="E6619" s="51">
        <f>IF(INDEX(DarlBelegt,14)=0,0,EOMONTH(INDEX(DarlAuszahlung,14),375)+1)</f>
      </c>
      <c r="F6619" s="43">
        <f>IF($E6619=0,0,YEAR($E6619))</f>
      </c>
      <c r="G6619" s="43">
        <f>IF(INDEX(DarlBindung,14)="",1,IF($E6619&lt;=INDEX(DarlBindung,14),1,0))</f>
      </c>
      <c r="H6619" s="43">
        <f>IF($G6619=1,INDEX(DarlSollzins,14),INDEX(DarlAnschluss,14))</f>
      </c>
      <c r="I6619" s="43">
        <f>IF(INDEX(DarlBelegt,14)=0,0,IF(INDEX(DarlOhneTilgung,14)=1,IF(INDEX(DarlBindung,14)="",1,$G6619),IF($J6619&gt;0.005,1,0)))</f>
      </c>
      <c r="J6619" s="43">
        <f>IF($I6618=0,0,$R6618)</f>
      </c>
      <c r="K6619" s="43">
        <f>IF($I6619=0,0,IF(INDEX(DarlOhneTilgung,14)=1,0,IF(AND(INDEX(DarlTilgStart,14)&gt;0,$E6619=INDEX(DarlTilgStart,14)),$J6619*($H6619+INDEX(DarlTilgung,14))/100/12,IF(AND($G6619=0,$G6618=1),MAX($K6618,$J6619*($H6619+1)/100/12),$K6618))))</f>
      </c>
      <c r="L6619" s="43">
        <f>IF($I6619=0,0,$J6619*$H6619/100/12)</f>
      </c>
      <c r="M6619" s="43">
        <f>IF($I6619=0,0,IF(OR(INDEX(DarlOhneTilgung,14)=1,AND(INDEX(DarlTilgStart,14)&gt;0,$E6619&lt;INDEX(DarlTilgStart,14))),0,MIN(MAX(0,$K6619-$L6619),$J6619)))</f>
      </c>
      <c r="N6619" s="43">
        <f>IF($I6619=0,0,MIN(SUMIFS(SondBetrag,SondDarl,14,SondDatum,"&gt;="&amp;$E6619,SondDatum,"&lt;="&amp;EOMONTH($E6619,0)),$J6619-$M6619))</f>
      </c>
      <c r="O6619" s="43">
        <f>IF($I6619=0,0,INDEX(DarlErsatzRate,14))</f>
      </c>
      <c r="P6619" s="43">
        <f>IF($I6619=0,0,$Q6618*INDEX(DarlErsatzZins,14))</f>
      </c>
      <c r="Q6619" s="43">
        <f>IF($I6619=0,0,$Q6618+$P6619+$O6619)</f>
      </c>
      <c r="R6619" s="43">
        <f>IF($I6619=0,0,$J6619-$M6619-$N6619)</f>
      </c>
    </row>
    <row r="6620">
      <c r="A6620"/>
      <c r="B6620">
        <v>14</v>
      </c>
      <c r="C6620" s="43">
        <f>INDEX(DarlObj,14)</f>
      </c>
      <c r="D6620">
        <v>377</v>
      </c>
      <c r="E6620" s="51">
        <f>IF(INDEX(DarlBelegt,14)=0,0,EOMONTH(INDEX(DarlAuszahlung,14),376)+1)</f>
      </c>
      <c r="F6620" s="43">
        <f>IF($E6620=0,0,YEAR($E6620))</f>
      </c>
      <c r="G6620" s="43">
        <f>IF(INDEX(DarlBindung,14)="",1,IF($E6620&lt;=INDEX(DarlBindung,14),1,0))</f>
      </c>
      <c r="H6620" s="43">
        <f>IF($G6620=1,INDEX(DarlSollzins,14),INDEX(DarlAnschluss,14))</f>
      </c>
      <c r="I6620" s="43">
        <f>IF(INDEX(DarlBelegt,14)=0,0,IF(INDEX(DarlOhneTilgung,14)=1,IF(INDEX(DarlBindung,14)="",1,$G6620),IF($J6620&gt;0.005,1,0)))</f>
      </c>
      <c r="J6620" s="43">
        <f>IF($I6619=0,0,$R6619)</f>
      </c>
      <c r="K6620" s="43">
        <f>IF($I6620=0,0,IF(INDEX(DarlOhneTilgung,14)=1,0,IF(AND(INDEX(DarlTilgStart,14)&gt;0,$E6620=INDEX(DarlTilgStart,14)),$J6620*($H6620+INDEX(DarlTilgung,14))/100/12,IF(AND($G6620=0,$G6619=1),MAX($K6619,$J6620*($H6620+1)/100/12),$K6619))))</f>
      </c>
      <c r="L6620" s="43">
        <f>IF($I6620=0,0,$J6620*$H6620/100/12)</f>
      </c>
      <c r="M6620" s="43">
        <f>IF($I6620=0,0,IF(OR(INDEX(DarlOhneTilgung,14)=1,AND(INDEX(DarlTilgStart,14)&gt;0,$E6620&lt;INDEX(DarlTilgStart,14))),0,MIN(MAX(0,$K6620-$L6620),$J6620)))</f>
      </c>
      <c r="N6620" s="43">
        <f>IF($I6620=0,0,MIN(SUMIFS(SondBetrag,SondDarl,14,SondDatum,"&gt;="&amp;$E6620,SondDatum,"&lt;="&amp;EOMONTH($E6620,0)),$J6620-$M6620))</f>
      </c>
      <c r="O6620" s="43">
        <f>IF($I6620=0,0,INDEX(DarlErsatzRate,14))</f>
      </c>
      <c r="P6620" s="43">
        <f>IF($I6620=0,0,$Q6619*INDEX(DarlErsatzZins,14))</f>
      </c>
      <c r="Q6620" s="43">
        <f>IF($I6620=0,0,$Q6619+$P6620+$O6620)</f>
      </c>
      <c r="R6620" s="43">
        <f>IF($I6620=0,0,$J6620-$M6620-$N6620)</f>
      </c>
    </row>
    <row r="6621">
      <c r="A6621"/>
      <c r="B6621">
        <v>14</v>
      </c>
      <c r="C6621" s="43">
        <f>INDEX(DarlObj,14)</f>
      </c>
      <c r="D6621">
        <v>378</v>
      </c>
      <c r="E6621" s="51">
        <f>IF(INDEX(DarlBelegt,14)=0,0,EOMONTH(INDEX(DarlAuszahlung,14),377)+1)</f>
      </c>
      <c r="F6621" s="43">
        <f>IF($E6621=0,0,YEAR($E6621))</f>
      </c>
      <c r="G6621" s="43">
        <f>IF(INDEX(DarlBindung,14)="",1,IF($E6621&lt;=INDEX(DarlBindung,14),1,0))</f>
      </c>
      <c r="H6621" s="43">
        <f>IF($G6621=1,INDEX(DarlSollzins,14),INDEX(DarlAnschluss,14))</f>
      </c>
      <c r="I6621" s="43">
        <f>IF(INDEX(DarlBelegt,14)=0,0,IF(INDEX(DarlOhneTilgung,14)=1,IF(INDEX(DarlBindung,14)="",1,$G6621),IF($J6621&gt;0.005,1,0)))</f>
      </c>
      <c r="J6621" s="43">
        <f>IF($I6620=0,0,$R6620)</f>
      </c>
      <c r="K6621" s="43">
        <f>IF($I6621=0,0,IF(INDEX(DarlOhneTilgung,14)=1,0,IF(AND(INDEX(DarlTilgStart,14)&gt;0,$E6621=INDEX(DarlTilgStart,14)),$J6621*($H6621+INDEX(DarlTilgung,14))/100/12,IF(AND($G6621=0,$G6620=1),MAX($K6620,$J6621*($H6621+1)/100/12),$K6620))))</f>
      </c>
      <c r="L6621" s="43">
        <f>IF($I6621=0,0,$J6621*$H6621/100/12)</f>
      </c>
      <c r="M6621" s="43">
        <f>IF($I6621=0,0,IF(OR(INDEX(DarlOhneTilgung,14)=1,AND(INDEX(DarlTilgStart,14)&gt;0,$E6621&lt;INDEX(DarlTilgStart,14))),0,MIN(MAX(0,$K6621-$L6621),$J6621)))</f>
      </c>
      <c r="N6621" s="43">
        <f>IF($I6621=0,0,MIN(SUMIFS(SondBetrag,SondDarl,14,SondDatum,"&gt;="&amp;$E6621,SondDatum,"&lt;="&amp;EOMONTH($E6621,0)),$J6621-$M6621))</f>
      </c>
      <c r="O6621" s="43">
        <f>IF($I6621=0,0,INDEX(DarlErsatzRate,14))</f>
      </c>
      <c r="P6621" s="43">
        <f>IF($I6621=0,0,$Q6620*INDEX(DarlErsatzZins,14))</f>
      </c>
      <c r="Q6621" s="43">
        <f>IF($I6621=0,0,$Q6620+$P6621+$O6621)</f>
      </c>
      <c r="R6621" s="43">
        <f>IF($I6621=0,0,$J6621-$M6621-$N6621)</f>
      </c>
    </row>
    <row r="6622">
      <c r="A6622"/>
      <c r="B6622">
        <v>14</v>
      </c>
      <c r="C6622" s="43">
        <f>INDEX(DarlObj,14)</f>
      </c>
      <c r="D6622">
        <v>379</v>
      </c>
      <c r="E6622" s="51">
        <f>IF(INDEX(DarlBelegt,14)=0,0,EOMONTH(INDEX(DarlAuszahlung,14),378)+1)</f>
      </c>
      <c r="F6622" s="43">
        <f>IF($E6622=0,0,YEAR($E6622))</f>
      </c>
      <c r="G6622" s="43">
        <f>IF(INDEX(DarlBindung,14)="",1,IF($E6622&lt;=INDEX(DarlBindung,14),1,0))</f>
      </c>
      <c r="H6622" s="43">
        <f>IF($G6622=1,INDEX(DarlSollzins,14),INDEX(DarlAnschluss,14))</f>
      </c>
      <c r="I6622" s="43">
        <f>IF(INDEX(DarlBelegt,14)=0,0,IF(INDEX(DarlOhneTilgung,14)=1,IF(INDEX(DarlBindung,14)="",1,$G6622),IF($J6622&gt;0.005,1,0)))</f>
      </c>
      <c r="J6622" s="43">
        <f>IF($I6621=0,0,$R6621)</f>
      </c>
      <c r="K6622" s="43">
        <f>IF($I6622=0,0,IF(INDEX(DarlOhneTilgung,14)=1,0,IF(AND(INDEX(DarlTilgStart,14)&gt;0,$E6622=INDEX(DarlTilgStart,14)),$J6622*($H6622+INDEX(DarlTilgung,14))/100/12,IF(AND($G6622=0,$G6621=1),MAX($K6621,$J6622*($H6622+1)/100/12),$K6621))))</f>
      </c>
      <c r="L6622" s="43">
        <f>IF($I6622=0,0,$J6622*$H6622/100/12)</f>
      </c>
      <c r="M6622" s="43">
        <f>IF($I6622=0,0,IF(OR(INDEX(DarlOhneTilgung,14)=1,AND(INDEX(DarlTilgStart,14)&gt;0,$E6622&lt;INDEX(DarlTilgStart,14))),0,MIN(MAX(0,$K6622-$L6622),$J6622)))</f>
      </c>
      <c r="N6622" s="43">
        <f>IF($I6622=0,0,MIN(SUMIFS(SondBetrag,SondDarl,14,SondDatum,"&gt;="&amp;$E6622,SondDatum,"&lt;="&amp;EOMONTH($E6622,0)),$J6622-$M6622))</f>
      </c>
      <c r="O6622" s="43">
        <f>IF($I6622=0,0,INDEX(DarlErsatzRate,14))</f>
      </c>
      <c r="P6622" s="43">
        <f>IF($I6622=0,0,$Q6621*INDEX(DarlErsatzZins,14))</f>
      </c>
      <c r="Q6622" s="43">
        <f>IF($I6622=0,0,$Q6621+$P6622+$O6622)</f>
      </c>
      <c r="R6622" s="43">
        <f>IF($I6622=0,0,$J6622-$M6622-$N6622)</f>
      </c>
    </row>
    <row r="6623">
      <c r="A6623"/>
      <c r="B6623">
        <v>14</v>
      </c>
      <c r="C6623" s="43">
        <f>INDEX(DarlObj,14)</f>
      </c>
      <c r="D6623">
        <v>380</v>
      </c>
      <c r="E6623" s="51">
        <f>IF(INDEX(DarlBelegt,14)=0,0,EOMONTH(INDEX(DarlAuszahlung,14),379)+1)</f>
      </c>
      <c r="F6623" s="43">
        <f>IF($E6623=0,0,YEAR($E6623))</f>
      </c>
      <c r="G6623" s="43">
        <f>IF(INDEX(DarlBindung,14)="",1,IF($E6623&lt;=INDEX(DarlBindung,14),1,0))</f>
      </c>
      <c r="H6623" s="43">
        <f>IF($G6623=1,INDEX(DarlSollzins,14),INDEX(DarlAnschluss,14))</f>
      </c>
      <c r="I6623" s="43">
        <f>IF(INDEX(DarlBelegt,14)=0,0,IF(INDEX(DarlOhneTilgung,14)=1,IF(INDEX(DarlBindung,14)="",1,$G6623),IF($J6623&gt;0.005,1,0)))</f>
      </c>
      <c r="J6623" s="43">
        <f>IF($I6622=0,0,$R6622)</f>
      </c>
      <c r="K6623" s="43">
        <f>IF($I6623=0,0,IF(INDEX(DarlOhneTilgung,14)=1,0,IF(AND(INDEX(DarlTilgStart,14)&gt;0,$E6623=INDEX(DarlTilgStart,14)),$J6623*($H6623+INDEX(DarlTilgung,14))/100/12,IF(AND($G6623=0,$G6622=1),MAX($K6622,$J6623*($H6623+1)/100/12),$K6622))))</f>
      </c>
      <c r="L6623" s="43">
        <f>IF($I6623=0,0,$J6623*$H6623/100/12)</f>
      </c>
      <c r="M6623" s="43">
        <f>IF($I6623=0,0,IF(OR(INDEX(DarlOhneTilgung,14)=1,AND(INDEX(DarlTilgStart,14)&gt;0,$E6623&lt;INDEX(DarlTilgStart,14))),0,MIN(MAX(0,$K6623-$L6623),$J6623)))</f>
      </c>
      <c r="N6623" s="43">
        <f>IF($I6623=0,0,MIN(SUMIFS(SondBetrag,SondDarl,14,SondDatum,"&gt;="&amp;$E6623,SondDatum,"&lt;="&amp;EOMONTH($E6623,0)),$J6623-$M6623))</f>
      </c>
      <c r="O6623" s="43">
        <f>IF($I6623=0,0,INDEX(DarlErsatzRate,14))</f>
      </c>
      <c r="P6623" s="43">
        <f>IF($I6623=0,0,$Q6622*INDEX(DarlErsatzZins,14))</f>
      </c>
      <c r="Q6623" s="43">
        <f>IF($I6623=0,0,$Q6622+$P6623+$O6623)</f>
      </c>
      <c r="R6623" s="43">
        <f>IF($I6623=0,0,$J6623-$M6623-$N6623)</f>
      </c>
    </row>
    <row r="6624">
      <c r="A6624"/>
      <c r="B6624">
        <v>14</v>
      </c>
      <c r="C6624" s="43">
        <f>INDEX(DarlObj,14)</f>
      </c>
      <c r="D6624">
        <v>381</v>
      </c>
      <c r="E6624" s="51">
        <f>IF(INDEX(DarlBelegt,14)=0,0,EOMONTH(INDEX(DarlAuszahlung,14),380)+1)</f>
      </c>
      <c r="F6624" s="43">
        <f>IF($E6624=0,0,YEAR($E6624))</f>
      </c>
      <c r="G6624" s="43">
        <f>IF(INDEX(DarlBindung,14)="",1,IF($E6624&lt;=INDEX(DarlBindung,14),1,0))</f>
      </c>
      <c r="H6624" s="43">
        <f>IF($G6624=1,INDEX(DarlSollzins,14),INDEX(DarlAnschluss,14))</f>
      </c>
      <c r="I6624" s="43">
        <f>IF(INDEX(DarlBelegt,14)=0,0,IF(INDEX(DarlOhneTilgung,14)=1,IF(INDEX(DarlBindung,14)="",1,$G6624),IF($J6624&gt;0.005,1,0)))</f>
      </c>
      <c r="J6624" s="43">
        <f>IF($I6623=0,0,$R6623)</f>
      </c>
      <c r="K6624" s="43">
        <f>IF($I6624=0,0,IF(INDEX(DarlOhneTilgung,14)=1,0,IF(AND(INDEX(DarlTilgStart,14)&gt;0,$E6624=INDEX(DarlTilgStart,14)),$J6624*($H6624+INDEX(DarlTilgung,14))/100/12,IF(AND($G6624=0,$G6623=1),MAX($K6623,$J6624*($H6624+1)/100/12),$K6623))))</f>
      </c>
      <c r="L6624" s="43">
        <f>IF($I6624=0,0,$J6624*$H6624/100/12)</f>
      </c>
      <c r="M6624" s="43">
        <f>IF($I6624=0,0,IF(OR(INDEX(DarlOhneTilgung,14)=1,AND(INDEX(DarlTilgStart,14)&gt;0,$E6624&lt;INDEX(DarlTilgStart,14))),0,MIN(MAX(0,$K6624-$L6624),$J6624)))</f>
      </c>
      <c r="N6624" s="43">
        <f>IF($I6624=0,0,MIN(SUMIFS(SondBetrag,SondDarl,14,SondDatum,"&gt;="&amp;$E6624,SondDatum,"&lt;="&amp;EOMONTH($E6624,0)),$J6624-$M6624))</f>
      </c>
      <c r="O6624" s="43">
        <f>IF($I6624=0,0,INDEX(DarlErsatzRate,14))</f>
      </c>
      <c r="P6624" s="43">
        <f>IF($I6624=0,0,$Q6623*INDEX(DarlErsatzZins,14))</f>
      </c>
      <c r="Q6624" s="43">
        <f>IF($I6624=0,0,$Q6623+$P6624+$O6624)</f>
      </c>
      <c r="R6624" s="43">
        <f>IF($I6624=0,0,$J6624-$M6624-$N6624)</f>
      </c>
    </row>
    <row r="6625">
      <c r="A6625"/>
      <c r="B6625">
        <v>14</v>
      </c>
      <c r="C6625" s="43">
        <f>INDEX(DarlObj,14)</f>
      </c>
      <c r="D6625">
        <v>382</v>
      </c>
      <c r="E6625" s="51">
        <f>IF(INDEX(DarlBelegt,14)=0,0,EOMONTH(INDEX(DarlAuszahlung,14),381)+1)</f>
      </c>
      <c r="F6625" s="43">
        <f>IF($E6625=0,0,YEAR($E6625))</f>
      </c>
      <c r="G6625" s="43">
        <f>IF(INDEX(DarlBindung,14)="",1,IF($E6625&lt;=INDEX(DarlBindung,14),1,0))</f>
      </c>
      <c r="H6625" s="43">
        <f>IF($G6625=1,INDEX(DarlSollzins,14),INDEX(DarlAnschluss,14))</f>
      </c>
      <c r="I6625" s="43">
        <f>IF(INDEX(DarlBelegt,14)=0,0,IF(INDEX(DarlOhneTilgung,14)=1,IF(INDEX(DarlBindung,14)="",1,$G6625),IF($J6625&gt;0.005,1,0)))</f>
      </c>
      <c r="J6625" s="43">
        <f>IF($I6624=0,0,$R6624)</f>
      </c>
      <c r="K6625" s="43">
        <f>IF($I6625=0,0,IF(INDEX(DarlOhneTilgung,14)=1,0,IF(AND(INDEX(DarlTilgStart,14)&gt;0,$E6625=INDEX(DarlTilgStart,14)),$J6625*($H6625+INDEX(DarlTilgung,14))/100/12,IF(AND($G6625=0,$G6624=1),MAX($K6624,$J6625*($H6625+1)/100/12),$K6624))))</f>
      </c>
      <c r="L6625" s="43">
        <f>IF($I6625=0,0,$J6625*$H6625/100/12)</f>
      </c>
      <c r="M6625" s="43">
        <f>IF($I6625=0,0,IF(OR(INDEX(DarlOhneTilgung,14)=1,AND(INDEX(DarlTilgStart,14)&gt;0,$E6625&lt;INDEX(DarlTilgStart,14))),0,MIN(MAX(0,$K6625-$L6625),$J6625)))</f>
      </c>
      <c r="N6625" s="43">
        <f>IF($I6625=0,0,MIN(SUMIFS(SondBetrag,SondDarl,14,SondDatum,"&gt;="&amp;$E6625,SondDatum,"&lt;="&amp;EOMONTH($E6625,0)),$J6625-$M6625))</f>
      </c>
      <c r="O6625" s="43">
        <f>IF($I6625=0,0,INDEX(DarlErsatzRate,14))</f>
      </c>
      <c r="P6625" s="43">
        <f>IF($I6625=0,0,$Q6624*INDEX(DarlErsatzZins,14))</f>
      </c>
      <c r="Q6625" s="43">
        <f>IF($I6625=0,0,$Q6624+$P6625+$O6625)</f>
      </c>
      <c r="R6625" s="43">
        <f>IF($I6625=0,0,$J6625-$M6625-$N6625)</f>
      </c>
    </row>
    <row r="6626">
      <c r="A6626"/>
      <c r="B6626">
        <v>14</v>
      </c>
      <c r="C6626" s="43">
        <f>INDEX(DarlObj,14)</f>
      </c>
      <c r="D6626">
        <v>383</v>
      </c>
      <c r="E6626" s="51">
        <f>IF(INDEX(DarlBelegt,14)=0,0,EOMONTH(INDEX(DarlAuszahlung,14),382)+1)</f>
      </c>
      <c r="F6626" s="43">
        <f>IF($E6626=0,0,YEAR($E6626))</f>
      </c>
      <c r="G6626" s="43">
        <f>IF(INDEX(DarlBindung,14)="",1,IF($E6626&lt;=INDEX(DarlBindung,14),1,0))</f>
      </c>
      <c r="H6626" s="43">
        <f>IF($G6626=1,INDEX(DarlSollzins,14),INDEX(DarlAnschluss,14))</f>
      </c>
      <c r="I6626" s="43">
        <f>IF(INDEX(DarlBelegt,14)=0,0,IF(INDEX(DarlOhneTilgung,14)=1,IF(INDEX(DarlBindung,14)="",1,$G6626),IF($J6626&gt;0.005,1,0)))</f>
      </c>
      <c r="J6626" s="43">
        <f>IF($I6625=0,0,$R6625)</f>
      </c>
      <c r="K6626" s="43">
        <f>IF($I6626=0,0,IF(INDEX(DarlOhneTilgung,14)=1,0,IF(AND(INDEX(DarlTilgStart,14)&gt;0,$E6626=INDEX(DarlTilgStart,14)),$J6626*($H6626+INDEX(DarlTilgung,14))/100/12,IF(AND($G6626=0,$G6625=1),MAX($K6625,$J6626*($H6626+1)/100/12),$K6625))))</f>
      </c>
      <c r="L6626" s="43">
        <f>IF($I6626=0,0,$J6626*$H6626/100/12)</f>
      </c>
      <c r="M6626" s="43">
        <f>IF($I6626=0,0,IF(OR(INDEX(DarlOhneTilgung,14)=1,AND(INDEX(DarlTilgStart,14)&gt;0,$E6626&lt;INDEX(DarlTilgStart,14))),0,MIN(MAX(0,$K6626-$L6626),$J6626)))</f>
      </c>
      <c r="N6626" s="43">
        <f>IF($I6626=0,0,MIN(SUMIFS(SondBetrag,SondDarl,14,SondDatum,"&gt;="&amp;$E6626,SondDatum,"&lt;="&amp;EOMONTH($E6626,0)),$J6626-$M6626))</f>
      </c>
      <c r="O6626" s="43">
        <f>IF($I6626=0,0,INDEX(DarlErsatzRate,14))</f>
      </c>
      <c r="P6626" s="43">
        <f>IF($I6626=0,0,$Q6625*INDEX(DarlErsatzZins,14))</f>
      </c>
      <c r="Q6626" s="43">
        <f>IF($I6626=0,0,$Q6625+$P6626+$O6626)</f>
      </c>
      <c r="R6626" s="43">
        <f>IF($I6626=0,0,$J6626-$M6626-$N6626)</f>
      </c>
    </row>
    <row r="6627">
      <c r="A6627"/>
      <c r="B6627">
        <v>14</v>
      </c>
      <c r="C6627" s="43">
        <f>INDEX(DarlObj,14)</f>
      </c>
      <c r="D6627">
        <v>384</v>
      </c>
      <c r="E6627" s="51">
        <f>IF(INDEX(DarlBelegt,14)=0,0,EOMONTH(INDEX(DarlAuszahlung,14),383)+1)</f>
      </c>
      <c r="F6627" s="43">
        <f>IF($E6627=0,0,YEAR($E6627))</f>
      </c>
      <c r="G6627" s="43">
        <f>IF(INDEX(DarlBindung,14)="",1,IF($E6627&lt;=INDEX(DarlBindung,14),1,0))</f>
      </c>
      <c r="H6627" s="43">
        <f>IF($G6627=1,INDEX(DarlSollzins,14),INDEX(DarlAnschluss,14))</f>
      </c>
      <c r="I6627" s="43">
        <f>IF(INDEX(DarlBelegt,14)=0,0,IF(INDEX(DarlOhneTilgung,14)=1,IF(INDEX(DarlBindung,14)="",1,$G6627),IF($J6627&gt;0.005,1,0)))</f>
      </c>
      <c r="J6627" s="43">
        <f>IF($I6626=0,0,$R6626)</f>
      </c>
      <c r="K6627" s="43">
        <f>IF($I6627=0,0,IF(INDEX(DarlOhneTilgung,14)=1,0,IF(AND(INDEX(DarlTilgStart,14)&gt;0,$E6627=INDEX(DarlTilgStart,14)),$J6627*($H6627+INDEX(DarlTilgung,14))/100/12,IF(AND($G6627=0,$G6626=1),MAX($K6626,$J6627*($H6627+1)/100/12),$K6626))))</f>
      </c>
      <c r="L6627" s="43">
        <f>IF($I6627=0,0,$J6627*$H6627/100/12)</f>
      </c>
      <c r="M6627" s="43">
        <f>IF($I6627=0,0,IF(OR(INDEX(DarlOhneTilgung,14)=1,AND(INDEX(DarlTilgStart,14)&gt;0,$E6627&lt;INDEX(DarlTilgStart,14))),0,MIN(MAX(0,$K6627-$L6627),$J6627)))</f>
      </c>
      <c r="N6627" s="43">
        <f>IF($I6627=0,0,MIN(SUMIFS(SondBetrag,SondDarl,14,SondDatum,"&gt;="&amp;$E6627,SondDatum,"&lt;="&amp;EOMONTH($E6627,0)),$J6627-$M6627))</f>
      </c>
      <c r="O6627" s="43">
        <f>IF($I6627=0,0,INDEX(DarlErsatzRate,14))</f>
      </c>
      <c r="P6627" s="43">
        <f>IF($I6627=0,0,$Q6626*INDEX(DarlErsatzZins,14))</f>
      </c>
      <c r="Q6627" s="43">
        <f>IF($I6627=0,0,$Q6626+$P6627+$O6627)</f>
      </c>
      <c r="R6627" s="43">
        <f>IF($I6627=0,0,$J6627-$M6627-$N6627)</f>
      </c>
    </row>
    <row r="6628">
      <c r="A6628"/>
      <c r="B6628">
        <v>14</v>
      </c>
      <c r="C6628" s="43">
        <f>INDEX(DarlObj,14)</f>
      </c>
      <c r="D6628">
        <v>385</v>
      </c>
      <c r="E6628" s="51">
        <f>IF(INDEX(DarlBelegt,14)=0,0,EOMONTH(INDEX(DarlAuszahlung,14),384)+1)</f>
      </c>
      <c r="F6628" s="43">
        <f>IF($E6628=0,0,YEAR($E6628))</f>
      </c>
      <c r="G6628" s="43">
        <f>IF(INDEX(DarlBindung,14)="",1,IF($E6628&lt;=INDEX(DarlBindung,14),1,0))</f>
      </c>
      <c r="H6628" s="43">
        <f>IF($G6628=1,INDEX(DarlSollzins,14),INDEX(DarlAnschluss,14))</f>
      </c>
      <c r="I6628" s="43">
        <f>IF(INDEX(DarlBelegt,14)=0,0,IF(INDEX(DarlOhneTilgung,14)=1,IF(INDEX(DarlBindung,14)="",1,$G6628),IF($J6628&gt;0.005,1,0)))</f>
      </c>
      <c r="J6628" s="43">
        <f>IF($I6627=0,0,$R6627)</f>
      </c>
      <c r="K6628" s="43">
        <f>IF($I6628=0,0,IF(INDEX(DarlOhneTilgung,14)=1,0,IF(AND(INDEX(DarlTilgStart,14)&gt;0,$E6628=INDEX(DarlTilgStart,14)),$J6628*($H6628+INDEX(DarlTilgung,14))/100/12,IF(AND($G6628=0,$G6627=1),MAX($K6627,$J6628*($H6628+1)/100/12),$K6627))))</f>
      </c>
      <c r="L6628" s="43">
        <f>IF($I6628=0,0,$J6628*$H6628/100/12)</f>
      </c>
      <c r="M6628" s="43">
        <f>IF($I6628=0,0,IF(OR(INDEX(DarlOhneTilgung,14)=1,AND(INDEX(DarlTilgStart,14)&gt;0,$E6628&lt;INDEX(DarlTilgStart,14))),0,MIN(MAX(0,$K6628-$L6628),$J6628)))</f>
      </c>
      <c r="N6628" s="43">
        <f>IF($I6628=0,0,MIN(SUMIFS(SondBetrag,SondDarl,14,SondDatum,"&gt;="&amp;$E6628,SondDatum,"&lt;="&amp;EOMONTH($E6628,0)),$J6628-$M6628))</f>
      </c>
      <c r="O6628" s="43">
        <f>IF($I6628=0,0,INDEX(DarlErsatzRate,14))</f>
      </c>
      <c r="P6628" s="43">
        <f>IF($I6628=0,0,$Q6627*INDEX(DarlErsatzZins,14))</f>
      </c>
      <c r="Q6628" s="43">
        <f>IF($I6628=0,0,$Q6627+$P6628+$O6628)</f>
      </c>
      <c r="R6628" s="43">
        <f>IF($I6628=0,0,$J6628-$M6628-$N6628)</f>
      </c>
    </row>
    <row r="6629">
      <c r="A6629"/>
      <c r="B6629">
        <v>14</v>
      </c>
      <c r="C6629" s="43">
        <f>INDEX(DarlObj,14)</f>
      </c>
      <c r="D6629">
        <v>386</v>
      </c>
      <c r="E6629" s="51">
        <f>IF(INDEX(DarlBelegt,14)=0,0,EOMONTH(INDEX(DarlAuszahlung,14),385)+1)</f>
      </c>
      <c r="F6629" s="43">
        <f>IF($E6629=0,0,YEAR($E6629))</f>
      </c>
      <c r="G6629" s="43">
        <f>IF(INDEX(DarlBindung,14)="",1,IF($E6629&lt;=INDEX(DarlBindung,14),1,0))</f>
      </c>
      <c r="H6629" s="43">
        <f>IF($G6629=1,INDEX(DarlSollzins,14),INDEX(DarlAnschluss,14))</f>
      </c>
      <c r="I6629" s="43">
        <f>IF(INDEX(DarlBelegt,14)=0,0,IF(INDEX(DarlOhneTilgung,14)=1,IF(INDEX(DarlBindung,14)="",1,$G6629),IF($J6629&gt;0.005,1,0)))</f>
      </c>
      <c r="J6629" s="43">
        <f>IF($I6628=0,0,$R6628)</f>
      </c>
      <c r="K6629" s="43">
        <f>IF($I6629=0,0,IF(INDEX(DarlOhneTilgung,14)=1,0,IF(AND(INDEX(DarlTilgStart,14)&gt;0,$E6629=INDEX(DarlTilgStart,14)),$J6629*($H6629+INDEX(DarlTilgung,14))/100/12,IF(AND($G6629=0,$G6628=1),MAX($K6628,$J6629*($H6629+1)/100/12),$K6628))))</f>
      </c>
      <c r="L6629" s="43">
        <f>IF($I6629=0,0,$J6629*$H6629/100/12)</f>
      </c>
      <c r="M6629" s="43">
        <f>IF($I6629=0,0,IF(OR(INDEX(DarlOhneTilgung,14)=1,AND(INDEX(DarlTilgStart,14)&gt;0,$E6629&lt;INDEX(DarlTilgStart,14))),0,MIN(MAX(0,$K6629-$L6629),$J6629)))</f>
      </c>
      <c r="N6629" s="43">
        <f>IF($I6629=0,0,MIN(SUMIFS(SondBetrag,SondDarl,14,SondDatum,"&gt;="&amp;$E6629,SondDatum,"&lt;="&amp;EOMONTH($E6629,0)),$J6629-$M6629))</f>
      </c>
      <c r="O6629" s="43">
        <f>IF($I6629=0,0,INDEX(DarlErsatzRate,14))</f>
      </c>
      <c r="P6629" s="43">
        <f>IF($I6629=0,0,$Q6628*INDEX(DarlErsatzZins,14))</f>
      </c>
      <c r="Q6629" s="43">
        <f>IF($I6629=0,0,$Q6628+$P6629+$O6629)</f>
      </c>
      <c r="R6629" s="43">
        <f>IF($I6629=0,0,$J6629-$M6629-$N6629)</f>
      </c>
    </row>
    <row r="6630">
      <c r="A6630"/>
      <c r="B6630">
        <v>14</v>
      </c>
      <c r="C6630" s="43">
        <f>INDEX(DarlObj,14)</f>
      </c>
      <c r="D6630">
        <v>387</v>
      </c>
      <c r="E6630" s="51">
        <f>IF(INDEX(DarlBelegt,14)=0,0,EOMONTH(INDEX(DarlAuszahlung,14),386)+1)</f>
      </c>
      <c r="F6630" s="43">
        <f>IF($E6630=0,0,YEAR($E6630))</f>
      </c>
      <c r="G6630" s="43">
        <f>IF(INDEX(DarlBindung,14)="",1,IF($E6630&lt;=INDEX(DarlBindung,14),1,0))</f>
      </c>
      <c r="H6630" s="43">
        <f>IF($G6630=1,INDEX(DarlSollzins,14),INDEX(DarlAnschluss,14))</f>
      </c>
      <c r="I6630" s="43">
        <f>IF(INDEX(DarlBelegt,14)=0,0,IF(INDEX(DarlOhneTilgung,14)=1,IF(INDEX(DarlBindung,14)="",1,$G6630),IF($J6630&gt;0.005,1,0)))</f>
      </c>
      <c r="J6630" s="43">
        <f>IF($I6629=0,0,$R6629)</f>
      </c>
      <c r="K6630" s="43">
        <f>IF($I6630=0,0,IF(INDEX(DarlOhneTilgung,14)=1,0,IF(AND(INDEX(DarlTilgStart,14)&gt;0,$E6630=INDEX(DarlTilgStart,14)),$J6630*($H6630+INDEX(DarlTilgung,14))/100/12,IF(AND($G6630=0,$G6629=1),MAX($K6629,$J6630*($H6630+1)/100/12),$K6629))))</f>
      </c>
      <c r="L6630" s="43">
        <f>IF($I6630=0,0,$J6630*$H6630/100/12)</f>
      </c>
      <c r="M6630" s="43">
        <f>IF($I6630=0,0,IF(OR(INDEX(DarlOhneTilgung,14)=1,AND(INDEX(DarlTilgStart,14)&gt;0,$E6630&lt;INDEX(DarlTilgStart,14))),0,MIN(MAX(0,$K6630-$L6630),$J6630)))</f>
      </c>
      <c r="N6630" s="43">
        <f>IF($I6630=0,0,MIN(SUMIFS(SondBetrag,SondDarl,14,SondDatum,"&gt;="&amp;$E6630,SondDatum,"&lt;="&amp;EOMONTH($E6630,0)),$J6630-$M6630))</f>
      </c>
      <c r="O6630" s="43">
        <f>IF($I6630=0,0,INDEX(DarlErsatzRate,14))</f>
      </c>
      <c r="P6630" s="43">
        <f>IF($I6630=0,0,$Q6629*INDEX(DarlErsatzZins,14))</f>
      </c>
      <c r="Q6630" s="43">
        <f>IF($I6630=0,0,$Q6629+$P6630+$O6630)</f>
      </c>
      <c r="R6630" s="43">
        <f>IF($I6630=0,0,$J6630-$M6630-$N6630)</f>
      </c>
    </row>
    <row r="6631">
      <c r="A6631"/>
      <c r="B6631">
        <v>14</v>
      </c>
      <c r="C6631" s="43">
        <f>INDEX(DarlObj,14)</f>
      </c>
      <c r="D6631">
        <v>388</v>
      </c>
      <c r="E6631" s="51">
        <f>IF(INDEX(DarlBelegt,14)=0,0,EOMONTH(INDEX(DarlAuszahlung,14),387)+1)</f>
      </c>
      <c r="F6631" s="43">
        <f>IF($E6631=0,0,YEAR($E6631))</f>
      </c>
      <c r="G6631" s="43">
        <f>IF(INDEX(DarlBindung,14)="",1,IF($E6631&lt;=INDEX(DarlBindung,14),1,0))</f>
      </c>
      <c r="H6631" s="43">
        <f>IF($G6631=1,INDEX(DarlSollzins,14),INDEX(DarlAnschluss,14))</f>
      </c>
      <c r="I6631" s="43">
        <f>IF(INDEX(DarlBelegt,14)=0,0,IF(INDEX(DarlOhneTilgung,14)=1,IF(INDEX(DarlBindung,14)="",1,$G6631),IF($J6631&gt;0.005,1,0)))</f>
      </c>
      <c r="J6631" s="43">
        <f>IF($I6630=0,0,$R6630)</f>
      </c>
      <c r="K6631" s="43">
        <f>IF($I6631=0,0,IF(INDEX(DarlOhneTilgung,14)=1,0,IF(AND(INDEX(DarlTilgStart,14)&gt;0,$E6631=INDEX(DarlTilgStart,14)),$J6631*($H6631+INDEX(DarlTilgung,14))/100/12,IF(AND($G6631=0,$G6630=1),MAX($K6630,$J6631*($H6631+1)/100/12),$K6630))))</f>
      </c>
      <c r="L6631" s="43">
        <f>IF($I6631=0,0,$J6631*$H6631/100/12)</f>
      </c>
      <c r="M6631" s="43">
        <f>IF($I6631=0,0,IF(OR(INDEX(DarlOhneTilgung,14)=1,AND(INDEX(DarlTilgStart,14)&gt;0,$E6631&lt;INDEX(DarlTilgStart,14))),0,MIN(MAX(0,$K6631-$L6631),$J6631)))</f>
      </c>
      <c r="N6631" s="43">
        <f>IF($I6631=0,0,MIN(SUMIFS(SondBetrag,SondDarl,14,SondDatum,"&gt;="&amp;$E6631,SondDatum,"&lt;="&amp;EOMONTH($E6631,0)),$J6631-$M6631))</f>
      </c>
      <c r="O6631" s="43">
        <f>IF($I6631=0,0,INDEX(DarlErsatzRate,14))</f>
      </c>
      <c r="P6631" s="43">
        <f>IF($I6631=0,0,$Q6630*INDEX(DarlErsatzZins,14))</f>
      </c>
      <c r="Q6631" s="43">
        <f>IF($I6631=0,0,$Q6630+$P6631+$O6631)</f>
      </c>
      <c r="R6631" s="43">
        <f>IF($I6631=0,0,$J6631-$M6631-$N6631)</f>
      </c>
    </row>
    <row r="6632">
      <c r="A6632"/>
      <c r="B6632">
        <v>14</v>
      </c>
      <c r="C6632" s="43">
        <f>INDEX(DarlObj,14)</f>
      </c>
      <c r="D6632">
        <v>389</v>
      </c>
      <c r="E6632" s="51">
        <f>IF(INDEX(DarlBelegt,14)=0,0,EOMONTH(INDEX(DarlAuszahlung,14),388)+1)</f>
      </c>
      <c r="F6632" s="43">
        <f>IF($E6632=0,0,YEAR($E6632))</f>
      </c>
      <c r="G6632" s="43">
        <f>IF(INDEX(DarlBindung,14)="",1,IF($E6632&lt;=INDEX(DarlBindung,14),1,0))</f>
      </c>
      <c r="H6632" s="43">
        <f>IF($G6632=1,INDEX(DarlSollzins,14),INDEX(DarlAnschluss,14))</f>
      </c>
      <c r="I6632" s="43">
        <f>IF(INDEX(DarlBelegt,14)=0,0,IF(INDEX(DarlOhneTilgung,14)=1,IF(INDEX(DarlBindung,14)="",1,$G6632),IF($J6632&gt;0.005,1,0)))</f>
      </c>
      <c r="J6632" s="43">
        <f>IF($I6631=0,0,$R6631)</f>
      </c>
      <c r="K6632" s="43">
        <f>IF($I6632=0,0,IF(INDEX(DarlOhneTilgung,14)=1,0,IF(AND(INDEX(DarlTilgStart,14)&gt;0,$E6632=INDEX(DarlTilgStart,14)),$J6632*($H6632+INDEX(DarlTilgung,14))/100/12,IF(AND($G6632=0,$G6631=1),MAX($K6631,$J6632*($H6632+1)/100/12),$K6631))))</f>
      </c>
      <c r="L6632" s="43">
        <f>IF($I6632=0,0,$J6632*$H6632/100/12)</f>
      </c>
      <c r="M6632" s="43">
        <f>IF($I6632=0,0,IF(OR(INDEX(DarlOhneTilgung,14)=1,AND(INDEX(DarlTilgStart,14)&gt;0,$E6632&lt;INDEX(DarlTilgStart,14))),0,MIN(MAX(0,$K6632-$L6632),$J6632)))</f>
      </c>
      <c r="N6632" s="43">
        <f>IF($I6632=0,0,MIN(SUMIFS(SondBetrag,SondDarl,14,SondDatum,"&gt;="&amp;$E6632,SondDatum,"&lt;="&amp;EOMONTH($E6632,0)),$J6632-$M6632))</f>
      </c>
      <c r="O6632" s="43">
        <f>IF($I6632=0,0,INDEX(DarlErsatzRate,14))</f>
      </c>
      <c r="P6632" s="43">
        <f>IF($I6632=0,0,$Q6631*INDEX(DarlErsatzZins,14))</f>
      </c>
      <c r="Q6632" s="43">
        <f>IF($I6632=0,0,$Q6631+$P6632+$O6632)</f>
      </c>
      <c r="R6632" s="43">
        <f>IF($I6632=0,0,$J6632-$M6632-$N6632)</f>
      </c>
    </row>
    <row r="6633">
      <c r="A6633"/>
      <c r="B6633">
        <v>14</v>
      </c>
      <c r="C6633" s="43">
        <f>INDEX(DarlObj,14)</f>
      </c>
      <c r="D6633">
        <v>390</v>
      </c>
      <c r="E6633" s="51">
        <f>IF(INDEX(DarlBelegt,14)=0,0,EOMONTH(INDEX(DarlAuszahlung,14),389)+1)</f>
      </c>
      <c r="F6633" s="43">
        <f>IF($E6633=0,0,YEAR($E6633))</f>
      </c>
      <c r="G6633" s="43">
        <f>IF(INDEX(DarlBindung,14)="",1,IF($E6633&lt;=INDEX(DarlBindung,14),1,0))</f>
      </c>
      <c r="H6633" s="43">
        <f>IF($G6633=1,INDEX(DarlSollzins,14),INDEX(DarlAnschluss,14))</f>
      </c>
      <c r="I6633" s="43">
        <f>IF(INDEX(DarlBelegt,14)=0,0,IF(INDEX(DarlOhneTilgung,14)=1,IF(INDEX(DarlBindung,14)="",1,$G6633),IF($J6633&gt;0.005,1,0)))</f>
      </c>
      <c r="J6633" s="43">
        <f>IF($I6632=0,0,$R6632)</f>
      </c>
      <c r="K6633" s="43">
        <f>IF($I6633=0,0,IF(INDEX(DarlOhneTilgung,14)=1,0,IF(AND(INDEX(DarlTilgStart,14)&gt;0,$E6633=INDEX(DarlTilgStart,14)),$J6633*($H6633+INDEX(DarlTilgung,14))/100/12,IF(AND($G6633=0,$G6632=1),MAX($K6632,$J6633*($H6633+1)/100/12),$K6632))))</f>
      </c>
      <c r="L6633" s="43">
        <f>IF($I6633=0,0,$J6633*$H6633/100/12)</f>
      </c>
      <c r="M6633" s="43">
        <f>IF($I6633=0,0,IF(OR(INDEX(DarlOhneTilgung,14)=1,AND(INDEX(DarlTilgStart,14)&gt;0,$E6633&lt;INDEX(DarlTilgStart,14))),0,MIN(MAX(0,$K6633-$L6633),$J6633)))</f>
      </c>
      <c r="N6633" s="43">
        <f>IF($I6633=0,0,MIN(SUMIFS(SondBetrag,SondDarl,14,SondDatum,"&gt;="&amp;$E6633,SondDatum,"&lt;="&amp;EOMONTH($E6633,0)),$J6633-$M6633))</f>
      </c>
      <c r="O6633" s="43">
        <f>IF($I6633=0,0,INDEX(DarlErsatzRate,14))</f>
      </c>
      <c r="P6633" s="43">
        <f>IF($I6633=0,0,$Q6632*INDEX(DarlErsatzZins,14))</f>
      </c>
      <c r="Q6633" s="43">
        <f>IF($I6633=0,0,$Q6632+$P6633+$O6633)</f>
      </c>
      <c r="R6633" s="43">
        <f>IF($I6633=0,0,$J6633-$M6633-$N6633)</f>
      </c>
    </row>
    <row r="6634">
      <c r="A6634"/>
      <c r="B6634">
        <v>14</v>
      </c>
      <c r="C6634" s="43">
        <f>INDEX(DarlObj,14)</f>
      </c>
      <c r="D6634">
        <v>391</v>
      </c>
      <c r="E6634" s="51">
        <f>IF(INDEX(DarlBelegt,14)=0,0,EOMONTH(INDEX(DarlAuszahlung,14),390)+1)</f>
      </c>
      <c r="F6634" s="43">
        <f>IF($E6634=0,0,YEAR($E6634))</f>
      </c>
      <c r="G6634" s="43">
        <f>IF(INDEX(DarlBindung,14)="",1,IF($E6634&lt;=INDEX(DarlBindung,14),1,0))</f>
      </c>
      <c r="H6634" s="43">
        <f>IF($G6634=1,INDEX(DarlSollzins,14),INDEX(DarlAnschluss,14))</f>
      </c>
      <c r="I6634" s="43">
        <f>IF(INDEX(DarlBelegt,14)=0,0,IF(INDEX(DarlOhneTilgung,14)=1,IF(INDEX(DarlBindung,14)="",1,$G6634),IF($J6634&gt;0.005,1,0)))</f>
      </c>
      <c r="J6634" s="43">
        <f>IF($I6633=0,0,$R6633)</f>
      </c>
      <c r="K6634" s="43">
        <f>IF($I6634=0,0,IF(INDEX(DarlOhneTilgung,14)=1,0,IF(AND(INDEX(DarlTilgStart,14)&gt;0,$E6634=INDEX(DarlTilgStart,14)),$J6634*($H6634+INDEX(DarlTilgung,14))/100/12,IF(AND($G6634=0,$G6633=1),MAX($K6633,$J6634*($H6634+1)/100/12),$K6633))))</f>
      </c>
      <c r="L6634" s="43">
        <f>IF($I6634=0,0,$J6634*$H6634/100/12)</f>
      </c>
      <c r="M6634" s="43">
        <f>IF($I6634=0,0,IF(OR(INDEX(DarlOhneTilgung,14)=1,AND(INDEX(DarlTilgStart,14)&gt;0,$E6634&lt;INDEX(DarlTilgStart,14))),0,MIN(MAX(0,$K6634-$L6634),$J6634)))</f>
      </c>
      <c r="N6634" s="43">
        <f>IF($I6634=0,0,MIN(SUMIFS(SondBetrag,SondDarl,14,SondDatum,"&gt;="&amp;$E6634,SondDatum,"&lt;="&amp;EOMONTH($E6634,0)),$J6634-$M6634))</f>
      </c>
      <c r="O6634" s="43">
        <f>IF($I6634=0,0,INDEX(DarlErsatzRate,14))</f>
      </c>
      <c r="P6634" s="43">
        <f>IF($I6634=0,0,$Q6633*INDEX(DarlErsatzZins,14))</f>
      </c>
      <c r="Q6634" s="43">
        <f>IF($I6634=0,0,$Q6633+$P6634+$O6634)</f>
      </c>
      <c r="R6634" s="43">
        <f>IF($I6634=0,0,$J6634-$M6634-$N6634)</f>
      </c>
    </row>
    <row r="6635">
      <c r="A6635"/>
      <c r="B6635">
        <v>14</v>
      </c>
      <c r="C6635" s="43">
        <f>INDEX(DarlObj,14)</f>
      </c>
      <c r="D6635">
        <v>392</v>
      </c>
      <c r="E6635" s="51">
        <f>IF(INDEX(DarlBelegt,14)=0,0,EOMONTH(INDEX(DarlAuszahlung,14),391)+1)</f>
      </c>
      <c r="F6635" s="43">
        <f>IF($E6635=0,0,YEAR($E6635))</f>
      </c>
      <c r="G6635" s="43">
        <f>IF(INDEX(DarlBindung,14)="",1,IF($E6635&lt;=INDEX(DarlBindung,14),1,0))</f>
      </c>
      <c r="H6635" s="43">
        <f>IF($G6635=1,INDEX(DarlSollzins,14),INDEX(DarlAnschluss,14))</f>
      </c>
      <c r="I6635" s="43">
        <f>IF(INDEX(DarlBelegt,14)=0,0,IF(INDEX(DarlOhneTilgung,14)=1,IF(INDEX(DarlBindung,14)="",1,$G6635),IF($J6635&gt;0.005,1,0)))</f>
      </c>
      <c r="J6635" s="43">
        <f>IF($I6634=0,0,$R6634)</f>
      </c>
      <c r="K6635" s="43">
        <f>IF($I6635=0,0,IF(INDEX(DarlOhneTilgung,14)=1,0,IF(AND(INDEX(DarlTilgStart,14)&gt;0,$E6635=INDEX(DarlTilgStart,14)),$J6635*($H6635+INDEX(DarlTilgung,14))/100/12,IF(AND($G6635=0,$G6634=1),MAX($K6634,$J6635*($H6635+1)/100/12),$K6634))))</f>
      </c>
      <c r="L6635" s="43">
        <f>IF($I6635=0,0,$J6635*$H6635/100/12)</f>
      </c>
      <c r="M6635" s="43">
        <f>IF($I6635=0,0,IF(OR(INDEX(DarlOhneTilgung,14)=1,AND(INDEX(DarlTilgStart,14)&gt;0,$E6635&lt;INDEX(DarlTilgStart,14))),0,MIN(MAX(0,$K6635-$L6635),$J6635)))</f>
      </c>
      <c r="N6635" s="43">
        <f>IF($I6635=0,0,MIN(SUMIFS(SondBetrag,SondDarl,14,SondDatum,"&gt;="&amp;$E6635,SondDatum,"&lt;="&amp;EOMONTH($E6635,0)),$J6635-$M6635))</f>
      </c>
      <c r="O6635" s="43">
        <f>IF($I6635=0,0,INDEX(DarlErsatzRate,14))</f>
      </c>
      <c r="P6635" s="43">
        <f>IF($I6635=0,0,$Q6634*INDEX(DarlErsatzZins,14))</f>
      </c>
      <c r="Q6635" s="43">
        <f>IF($I6635=0,0,$Q6634+$P6635+$O6635)</f>
      </c>
      <c r="R6635" s="43">
        <f>IF($I6635=0,0,$J6635-$M6635-$N6635)</f>
      </c>
    </row>
    <row r="6636">
      <c r="A6636"/>
      <c r="B6636">
        <v>14</v>
      </c>
      <c r="C6636" s="43">
        <f>INDEX(DarlObj,14)</f>
      </c>
      <c r="D6636">
        <v>393</v>
      </c>
      <c r="E6636" s="51">
        <f>IF(INDEX(DarlBelegt,14)=0,0,EOMONTH(INDEX(DarlAuszahlung,14),392)+1)</f>
      </c>
      <c r="F6636" s="43">
        <f>IF($E6636=0,0,YEAR($E6636))</f>
      </c>
      <c r="G6636" s="43">
        <f>IF(INDEX(DarlBindung,14)="",1,IF($E6636&lt;=INDEX(DarlBindung,14),1,0))</f>
      </c>
      <c r="H6636" s="43">
        <f>IF($G6636=1,INDEX(DarlSollzins,14),INDEX(DarlAnschluss,14))</f>
      </c>
      <c r="I6636" s="43">
        <f>IF(INDEX(DarlBelegt,14)=0,0,IF(INDEX(DarlOhneTilgung,14)=1,IF(INDEX(DarlBindung,14)="",1,$G6636),IF($J6636&gt;0.005,1,0)))</f>
      </c>
      <c r="J6636" s="43">
        <f>IF($I6635=0,0,$R6635)</f>
      </c>
      <c r="K6636" s="43">
        <f>IF($I6636=0,0,IF(INDEX(DarlOhneTilgung,14)=1,0,IF(AND(INDEX(DarlTilgStart,14)&gt;0,$E6636=INDEX(DarlTilgStart,14)),$J6636*($H6636+INDEX(DarlTilgung,14))/100/12,IF(AND($G6636=0,$G6635=1),MAX($K6635,$J6636*($H6636+1)/100/12),$K6635))))</f>
      </c>
      <c r="L6636" s="43">
        <f>IF($I6636=0,0,$J6636*$H6636/100/12)</f>
      </c>
      <c r="M6636" s="43">
        <f>IF($I6636=0,0,IF(OR(INDEX(DarlOhneTilgung,14)=1,AND(INDEX(DarlTilgStart,14)&gt;0,$E6636&lt;INDEX(DarlTilgStart,14))),0,MIN(MAX(0,$K6636-$L6636),$J6636)))</f>
      </c>
      <c r="N6636" s="43">
        <f>IF($I6636=0,0,MIN(SUMIFS(SondBetrag,SondDarl,14,SondDatum,"&gt;="&amp;$E6636,SondDatum,"&lt;="&amp;EOMONTH($E6636,0)),$J6636-$M6636))</f>
      </c>
      <c r="O6636" s="43">
        <f>IF($I6636=0,0,INDEX(DarlErsatzRate,14))</f>
      </c>
      <c r="P6636" s="43">
        <f>IF($I6636=0,0,$Q6635*INDEX(DarlErsatzZins,14))</f>
      </c>
      <c r="Q6636" s="43">
        <f>IF($I6636=0,0,$Q6635+$P6636+$O6636)</f>
      </c>
      <c r="R6636" s="43">
        <f>IF($I6636=0,0,$J6636-$M6636-$N6636)</f>
      </c>
    </row>
    <row r="6637">
      <c r="A6637"/>
      <c r="B6637">
        <v>14</v>
      </c>
      <c r="C6637" s="43">
        <f>INDEX(DarlObj,14)</f>
      </c>
      <c r="D6637">
        <v>394</v>
      </c>
      <c r="E6637" s="51">
        <f>IF(INDEX(DarlBelegt,14)=0,0,EOMONTH(INDEX(DarlAuszahlung,14),393)+1)</f>
      </c>
      <c r="F6637" s="43">
        <f>IF($E6637=0,0,YEAR($E6637))</f>
      </c>
      <c r="G6637" s="43">
        <f>IF(INDEX(DarlBindung,14)="",1,IF($E6637&lt;=INDEX(DarlBindung,14),1,0))</f>
      </c>
      <c r="H6637" s="43">
        <f>IF($G6637=1,INDEX(DarlSollzins,14),INDEX(DarlAnschluss,14))</f>
      </c>
      <c r="I6637" s="43">
        <f>IF(INDEX(DarlBelegt,14)=0,0,IF(INDEX(DarlOhneTilgung,14)=1,IF(INDEX(DarlBindung,14)="",1,$G6637),IF($J6637&gt;0.005,1,0)))</f>
      </c>
      <c r="J6637" s="43">
        <f>IF($I6636=0,0,$R6636)</f>
      </c>
      <c r="K6637" s="43">
        <f>IF($I6637=0,0,IF(INDEX(DarlOhneTilgung,14)=1,0,IF(AND(INDEX(DarlTilgStart,14)&gt;0,$E6637=INDEX(DarlTilgStart,14)),$J6637*($H6637+INDEX(DarlTilgung,14))/100/12,IF(AND($G6637=0,$G6636=1),MAX($K6636,$J6637*($H6637+1)/100/12),$K6636))))</f>
      </c>
      <c r="L6637" s="43">
        <f>IF($I6637=0,0,$J6637*$H6637/100/12)</f>
      </c>
      <c r="M6637" s="43">
        <f>IF($I6637=0,0,IF(OR(INDEX(DarlOhneTilgung,14)=1,AND(INDEX(DarlTilgStart,14)&gt;0,$E6637&lt;INDEX(DarlTilgStart,14))),0,MIN(MAX(0,$K6637-$L6637),$J6637)))</f>
      </c>
      <c r="N6637" s="43">
        <f>IF($I6637=0,0,MIN(SUMIFS(SondBetrag,SondDarl,14,SondDatum,"&gt;="&amp;$E6637,SondDatum,"&lt;="&amp;EOMONTH($E6637,0)),$J6637-$M6637))</f>
      </c>
      <c r="O6637" s="43">
        <f>IF($I6637=0,0,INDEX(DarlErsatzRate,14))</f>
      </c>
      <c r="P6637" s="43">
        <f>IF($I6637=0,0,$Q6636*INDEX(DarlErsatzZins,14))</f>
      </c>
      <c r="Q6637" s="43">
        <f>IF($I6637=0,0,$Q6636+$P6637+$O6637)</f>
      </c>
      <c r="R6637" s="43">
        <f>IF($I6637=0,0,$J6637-$M6637-$N6637)</f>
      </c>
    </row>
    <row r="6638">
      <c r="A6638"/>
      <c r="B6638">
        <v>14</v>
      </c>
      <c r="C6638" s="43">
        <f>INDEX(DarlObj,14)</f>
      </c>
      <c r="D6638">
        <v>395</v>
      </c>
      <c r="E6638" s="51">
        <f>IF(INDEX(DarlBelegt,14)=0,0,EOMONTH(INDEX(DarlAuszahlung,14),394)+1)</f>
      </c>
      <c r="F6638" s="43">
        <f>IF($E6638=0,0,YEAR($E6638))</f>
      </c>
      <c r="G6638" s="43">
        <f>IF(INDEX(DarlBindung,14)="",1,IF($E6638&lt;=INDEX(DarlBindung,14),1,0))</f>
      </c>
      <c r="H6638" s="43">
        <f>IF($G6638=1,INDEX(DarlSollzins,14),INDEX(DarlAnschluss,14))</f>
      </c>
      <c r="I6638" s="43">
        <f>IF(INDEX(DarlBelegt,14)=0,0,IF(INDEX(DarlOhneTilgung,14)=1,IF(INDEX(DarlBindung,14)="",1,$G6638),IF($J6638&gt;0.005,1,0)))</f>
      </c>
      <c r="J6638" s="43">
        <f>IF($I6637=0,0,$R6637)</f>
      </c>
      <c r="K6638" s="43">
        <f>IF($I6638=0,0,IF(INDEX(DarlOhneTilgung,14)=1,0,IF(AND(INDEX(DarlTilgStart,14)&gt;0,$E6638=INDEX(DarlTilgStart,14)),$J6638*($H6638+INDEX(DarlTilgung,14))/100/12,IF(AND($G6638=0,$G6637=1),MAX($K6637,$J6638*($H6638+1)/100/12),$K6637))))</f>
      </c>
      <c r="L6638" s="43">
        <f>IF($I6638=0,0,$J6638*$H6638/100/12)</f>
      </c>
      <c r="M6638" s="43">
        <f>IF($I6638=0,0,IF(OR(INDEX(DarlOhneTilgung,14)=1,AND(INDEX(DarlTilgStart,14)&gt;0,$E6638&lt;INDEX(DarlTilgStart,14))),0,MIN(MAX(0,$K6638-$L6638),$J6638)))</f>
      </c>
      <c r="N6638" s="43">
        <f>IF($I6638=0,0,MIN(SUMIFS(SondBetrag,SondDarl,14,SondDatum,"&gt;="&amp;$E6638,SondDatum,"&lt;="&amp;EOMONTH($E6638,0)),$J6638-$M6638))</f>
      </c>
      <c r="O6638" s="43">
        <f>IF($I6638=0,0,INDEX(DarlErsatzRate,14))</f>
      </c>
      <c r="P6638" s="43">
        <f>IF($I6638=0,0,$Q6637*INDEX(DarlErsatzZins,14))</f>
      </c>
      <c r="Q6638" s="43">
        <f>IF($I6638=0,0,$Q6637+$P6638+$O6638)</f>
      </c>
      <c r="R6638" s="43">
        <f>IF($I6638=0,0,$J6638-$M6638-$N6638)</f>
      </c>
    </row>
    <row r="6639">
      <c r="A6639"/>
      <c r="B6639">
        <v>14</v>
      </c>
      <c r="C6639" s="43">
        <f>INDEX(DarlObj,14)</f>
      </c>
      <c r="D6639">
        <v>396</v>
      </c>
      <c r="E6639" s="51">
        <f>IF(INDEX(DarlBelegt,14)=0,0,EOMONTH(INDEX(DarlAuszahlung,14),395)+1)</f>
      </c>
      <c r="F6639" s="43">
        <f>IF($E6639=0,0,YEAR($E6639))</f>
      </c>
      <c r="G6639" s="43">
        <f>IF(INDEX(DarlBindung,14)="",1,IF($E6639&lt;=INDEX(DarlBindung,14),1,0))</f>
      </c>
      <c r="H6639" s="43">
        <f>IF($G6639=1,INDEX(DarlSollzins,14),INDEX(DarlAnschluss,14))</f>
      </c>
      <c r="I6639" s="43">
        <f>IF(INDEX(DarlBelegt,14)=0,0,IF(INDEX(DarlOhneTilgung,14)=1,IF(INDEX(DarlBindung,14)="",1,$G6639),IF($J6639&gt;0.005,1,0)))</f>
      </c>
      <c r="J6639" s="43">
        <f>IF($I6638=0,0,$R6638)</f>
      </c>
      <c r="K6639" s="43">
        <f>IF($I6639=0,0,IF(INDEX(DarlOhneTilgung,14)=1,0,IF(AND(INDEX(DarlTilgStart,14)&gt;0,$E6639=INDEX(DarlTilgStart,14)),$J6639*($H6639+INDEX(DarlTilgung,14))/100/12,IF(AND($G6639=0,$G6638=1),MAX($K6638,$J6639*($H6639+1)/100/12),$K6638))))</f>
      </c>
      <c r="L6639" s="43">
        <f>IF($I6639=0,0,$J6639*$H6639/100/12)</f>
      </c>
      <c r="M6639" s="43">
        <f>IF($I6639=0,0,IF(OR(INDEX(DarlOhneTilgung,14)=1,AND(INDEX(DarlTilgStart,14)&gt;0,$E6639&lt;INDEX(DarlTilgStart,14))),0,MIN(MAX(0,$K6639-$L6639),$J6639)))</f>
      </c>
      <c r="N6639" s="43">
        <f>IF($I6639=0,0,MIN(SUMIFS(SondBetrag,SondDarl,14,SondDatum,"&gt;="&amp;$E6639,SondDatum,"&lt;="&amp;EOMONTH($E6639,0)),$J6639-$M6639))</f>
      </c>
      <c r="O6639" s="43">
        <f>IF($I6639=0,0,INDEX(DarlErsatzRate,14))</f>
      </c>
      <c r="P6639" s="43">
        <f>IF($I6639=0,0,$Q6638*INDEX(DarlErsatzZins,14))</f>
      </c>
      <c r="Q6639" s="43">
        <f>IF($I6639=0,0,$Q6638+$P6639+$O6639)</f>
      </c>
      <c r="R6639" s="43">
        <f>IF($I6639=0,0,$J6639-$M6639-$N6639)</f>
      </c>
    </row>
    <row r="6640">
      <c r="A6640"/>
      <c r="B6640">
        <v>14</v>
      </c>
      <c r="C6640" s="43">
        <f>INDEX(DarlObj,14)</f>
      </c>
      <c r="D6640">
        <v>397</v>
      </c>
      <c r="E6640" s="51">
        <f>IF(INDEX(DarlBelegt,14)=0,0,EOMONTH(INDEX(DarlAuszahlung,14),396)+1)</f>
      </c>
      <c r="F6640" s="43">
        <f>IF($E6640=0,0,YEAR($E6640))</f>
      </c>
      <c r="G6640" s="43">
        <f>IF(INDEX(DarlBindung,14)="",1,IF($E6640&lt;=INDEX(DarlBindung,14),1,0))</f>
      </c>
      <c r="H6640" s="43">
        <f>IF($G6640=1,INDEX(DarlSollzins,14),INDEX(DarlAnschluss,14))</f>
      </c>
      <c r="I6640" s="43">
        <f>IF(INDEX(DarlBelegt,14)=0,0,IF(INDEX(DarlOhneTilgung,14)=1,IF(INDEX(DarlBindung,14)="",1,$G6640),IF($J6640&gt;0.005,1,0)))</f>
      </c>
      <c r="J6640" s="43">
        <f>IF($I6639=0,0,$R6639)</f>
      </c>
      <c r="K6640" s="43">
        <f>IF($I6640=0,0,IF(INDEX(DarlOhneTilgung,14)=1,0,IF(AND(INDEX(DarlTilgStart,14)&gt;0,$E6640=INDEX(DarlTilgStart,14)),$J6640*($H6640+INDEX(DarlTilgung,14))/100/12,IF(AND($G6640=0,$G6639=1),MAX($K6639,$J6640*($H6640+1)/100/12),$K6639))))</f>
      </c>
      <c r="L6640" s="43">
        <f>IF($I6640=0,0,$J6640*$H6640/100/12)</f>
      </c>
      <c r="M6640" s="43">
        <f>IF($I6640=0,0,IF(OR(INDEX(DarlOhneTilgung,14)=1,AND(INDEX(DarlTilgStart,14)&gt;0,$E6640&lt;INDEX(DarlTilgStart,14))),0,MIN(MAX(0,$K6640-$L6640),$J6640)))</f>
      </c>
      <c r="N6640" s="43">
        <f>IF($I6640=0,0,MIN(SUMIFS(SondBetrag,SondDarl,14,SondDatum,"&gt;="&amp;$E6640,SondDatum,"&lt;="&amp;EOMONTH($E6640,0)),$J6640-$M6640))</f>
      </c>
      <c r="O6640" s="43">
        <f>IF($I6640=0,0,INDEX(DarlErsatzRate,14))</f>
      </c>
      <c r="P6640" s="43">
        <f>IF($I6640=0,0,$Q6639*INDEX(DarlErsatzZins,14))</f>
      </c>
      <c r="Q6640" s="43">
        <f>IF($I6640=0,0,$Q6639+$P6640+$O6640)</f>
      </c>
      <c r="R6640" s="43">
        <f>IF($I6640=0,0,$J6640-$M6640-$N6640)</f>
      </c>
    </row>
    <row r="6641">
      <c r="A6641"/>
      <c r="B6641">
        <v>14</v>
      </c>
      <c r="C6641" s="43">
        <f>INDEX(DarlObj,14)</f>
      </c>
      <c r="D6641">
        <v>398</v>
      </c>
      <c r="E6641" s="51">
        <f>IF(INDEX(DarlBelegt,14)=0,0,EOMONTH(INDEX(DarlAuszahlung,14),397)+1)</f>
      </c>
      <c r="F6641" s="43">
        <f>IF($E6641=0,0,YEAR($E6641))</f>
      </c>
      <c r="G6641" s="43">
        <f>IF(INDEX(DarlBindung,14)="",1,IF($E6641&lt;=INDEX(DarlBindung,14),1,0))</f>
      </c>
      <c r="H6641" s="43">
        <f>IF($G6641=1,INDEX(DarlSollzins,14),INDEX(DarlAnschluss,14))</f>
      </c>
      <c r="I6641" s="43">
        <f>IF(INDEX(DarlBelegt,14)=0,0,IF(INDEX(DarlOhneTilgung,14)=1,IF(INDEX(DarlBindung,14)="",1,$G6641),IF($J6641&gt;0.005,1,0)))</f>
      </c>
      <c r="J6641" s="43">
        <f>IF($I6640=0,0,$R6640)</f>
      </c>
      <c r="K6641" s="43">
        <f>IF($I6641=0,0,IF(INDEX(DarlOhneTilgung,14)=1,0,IF(AND(INDEX(DarlTilgStart,14)&gt;0,$E6641=INDEX(DarlTilgStart,14)),$J6641*($H6641+INDEX(DarlTilgung,14))/100/12,IF(AND($G6641=0,$G6640=1),MAX($K6640,$J6641*($H6641+1)/100/12),$K6640))))</f>
      </c>
      <c r="L6641" s="43">
        <f>IF($I6641=0,0,$J6641*$H6641/100/12)</f>
      </c>
      <c r="M6641" s="43">
        <f>IF($I6641=0,0,IF(OR(INDEX(DarlOhneTilgung,14)=1,AND(INDEX(DarlTilgStart,14)&gt;0,$E6641&lt;INDEX(DarlTilgStart,14))),0,MIN(MAX(0,$K6641-$L6641),$J6641)))</f>
      </c>
      <c r="N6641" s="43">
        <f>IF($I6641=0,0,MIN(SUMIFS(SondBetrag,SondDarl,14,SondDatum,"&gt;="&amp;$E6641,SondDatum,"&lt;="&amp;EOMONTH($E6641,0)),$J6641-$M6641))</f>
      </c>
      <c r="O6641" s="43">
        <f>IF($I6641=0,0,INDEX(DarlErsatzRate,14))</f>
      </c>
      <c r="P6641" s="43">
        <f>IF($I6641=0,0,$Q6640*INDEX(DarlErsatzZins,14))</f>
      </c>
      <c r="Q6641" s="43">
        <f>IF($I6641=0,0,$Q6640+$P6641+$O6641)</f>
      </c>
      <c r="R6641" s="43">
        <f>IF($I6641=0,0,$J6641-$M6641-$N6641)</f>
      </c>
    </row>
    <row r="6642">
      <c r="A6642"/>
      <c r="B6642">
        <v>14</v>
      </c>
      <c r="C6642" s="43">
        <f>INDEX(DarlObj,14)</f>
      </c>
      <c r="D6642">
        <v>399</v>
      </c>
      <c r="E6642" s="51">
        <f>IF(INDEX(DarlBelegt,14)=0,0,EOMONTH(INDEX(DarlAuszahlung,14),398)+1)</f>
      </c>
      <c r="F6642" s="43">
        <f>IF($E6642=0,0,YEAR($E6642))</f>
      </c>
      <c r="G6642" s="43">
        <f>IF(INDEX(DarlBindung,14)="",1,IF($E6642&lt;=INDEX(DarlBindung,14),1,0))</f>
      </c>
      <c r="H6642" s="43">
        <f>IF($G6642=1,INDEX(DarlSollzins,14),INDEX(DarlAnschluss,14))</f>
      </c>
      <c r="I6642" s="43">
        <f>IF(INDEX(DarlBelegt,14)=0,0,IF(INDEX(DarlOhneTilgung,14)=1,IF(INDEX(DarlBindung,14)="",1,$G6642),IF($J6642&gt;0.005,1,0)))</f>
      </c>
      <c r="J6642" s="43">
        <f>IF($I6641=0,0,$R6641)</f>
      </c>
      <c r="K6642" s="43">
        <f>IF($I6642=0,0,IF(INDEX(DarlOhneTilgung,14)=1,0,IF(AND(INDEX(DarlTilgStart,14)&gt;0,$E6642=INDEX(DarlTilgStart,14)),$J6642*($H6642+INDEX(DarlTilgung,14))/100/12,IF(AND($G6642=0,$G6641=1),MAX($K6641,$J6642*($H6642+1)/100/12),$K6641))))</f>
      </c>
      <c r="L6642" s="43">
        <f>IF($I6642=0,0,$J6642*$H6642/100/12)</f>
      </c>
      <c r="M6642" s="43">
        <f>IF($I6642=0,0,IF(OR(INDEX(DarlOhneTilgung,14)=1,AND(INDEX(DarlTilgStart,14)&gt;0,$E6642&lt;INDEX(DarlTilgStart,14))),0,MIN(MAX(0,$K6642-$L6642),$J6642)))</f>
      </c>
      <c r="N6642" s="43">
        <f>IF($I6642=0,0,MIN(SUMIFS(SondBetrag,SondDarl,14,SondDatum,"&gt;="&amp;$E6642,SondDatum,"&lt;="&amp;EOMONTH($E6642,0)),$J6642-$M6642))</f>
      </c>
      <c r="O6642" s="43">
        <f>IF($I6642=0,0,INDEX(DarlErsatzRate,14))</f>
      </c>
      <c r="P6642" s="43">
        <f>IF($I6642=0,0,$Q6641*INDEX(DarlErsatzZins,14))</f>
      </c>
      <c r="Q6642" s="43">
        <f>IF($I6642=0,0,$Q6641+$P6642+$O6642)</f>
      </c>
      <c r="R6642" s="43">
        <f>IF($I6642=0,0,$J6642-$M6642-$N6642)</f>
      </c>
    </row>
    <row r="6643">
      <c r="A6643"/>
      <c r="B6643">
        <v>14</v>
      </c>
      <c r="C6643" s="43">
        <f>INDEX(DarlObj,14)</f>
      </c>
      <c r="D6643">
        <v>400</v>
      </c>
      <c r="E6643" s="51">
        <f>IF(INDEX(DarlBelegt,14)=0,0,EOMONTH(INDEX(DarlAuszahlung,14),399)+1)</f>
      </c>
      <c r="F6643" s="43">
        <f>IF($E6643=0,0,YEAR($E6643))</f>
      </c>
      <c r="G6643" s="43">
        <f>IF(INDEX(DarlBindung,14)="",1,IF($E6643&lt;=INDEX(DarlBindung,14),1,0))</f>
      </c>
      <c r="H6643" s="43">
        <f>IF($G6643=1,INDEX(DarlSollzins,14),INDEX(DarlAnschluss,14))</f>
      </c>
      <c r="I6643" s="43">
        <f>IF(INDEX(DarlBelegt,14)=0,0,IF(INDEX(DarlOhneTilgung,14)=1,IF(INDEX(DarlBindung,14)="",1,$G6643),IF($J6643&gt;0.005,1,0)))</f>
      </c>
      <c r="J6643" s="43">
        <f>IF($I6642=0,0,$R6642)</f>
      </c>
      <c r="K6643" s="43">
        <f>IF($I6643=0,0,IF(INDEX(DarlOhneTilgung,14)=1,0,IF(AND(INDEX(DarlTilgStart,14)&gt;0,$E6643=INDEX(DarlTilgStart,14)),$J6643*($H6643+INDEX(DarlTilgung,14))/100/12,IF(AND($G6643=0,$G6642=1),MAX($K6642,$J6643*($H6643+1)/100/12),$K6642))))</f>
      </c>
      <c r="L6643" s="43">
        <f>IF($I6643=0,0,$J6643*$H6643/100/12)</f>
      </c>
      <c r="M6643" s="43">
        <f>IF($I6643=0,0,IF(OR(INDEX(DarlOhneTilgung,14)=1,AND(INDEX(DarlTilgStart,14)&gt;0,$E6643&lt;INDEX(DarlTilgStart,14))),0,MIN(MAX(0,$K6643-$L6643),$J6643)))</f>
      </c>
      <c r="N6643" s="43">
        <f>IF($I6643=0,0,MIN(SUMIFS(SondBetrag,SondDarl,14,SondDatum,"&gt;="&amp;$E6643,SondDatum,"&lt;="&amp;EOMONTH($E6643,0)),$J6643-$M6643))</f>
      </c>
      <c r="O6643" s="43">
        <f>IF($I6643=0,0,INDEX(DarlErsatzRate,14))</f>
      </c>
      <c r="P6643" s="43">
        <f>IF($I6643=0,0,$Q6642*INDEX(DarlErsatzZins,14))</f>
      </c>
      <c r="Q6643" s="43">
        <f>IF($I6643=0,0,$Q6642+$P6643+$O6643)</f>
      </c>
      <c r="R6643" s="43">
        <f>IF($I6643=0,0,$J6643-$M6643-$N6643)</f>
      </c>
    </row>
    <row r="6644">
      <c r="A6644"/>
      <c r="B6644">
        <v>14</v>
      </c>
      <c r="C6644" s="43">
        <f>INDEX(DarlObj,14)</f>
      </c>
      <c r="D6644">
        <v>401</v>
      </c>
      <c r="E6644" s="51">
        <f>IF(INDEX(DarlBelegt,14)=0,0,EOMONTH(INDEX(DarlAuszahlung,14),400)+1)</f>
      </c>
      <c r="F6644" s="43">
        <f>IF($E6644=0,0,YEAR($E6644))</f>
      </c>
      <c r="G6644" s="43">
        <f>IF(INDEX(DarlBindung,14)="",1,IF($E6644&lt;=INDEX(DarlBindung,14),1,0))</f>
      </c>
      <c r="H6644" s="43">
        <f>IF($G6644=1,INDEX(DarlSollzins,14),INDEX(DarlAnschluss,14))</f>
      </c>
      <c r="I6644" s="43">
        <f>IF(INDEX(DarlBelegt,14)=0,0,IF(INDEX(DarlOhneTilgung,14)=1,IF(INDEX(DarlBindung,14)="",1,$G6644),IF($J6644&gt;0.005,1,0)))</f>
      </c>
      <c r="J6644" s="43">
        <f>IF($I6643=0,0,$R6643)</f>
      </c>
      <c r="K6644" s="43">
        <f>IF($I6644=0,0,IF(INDEX(DarlOhneTilgung,14)=1,0,IF(AND(INDEX(DarlTilgStart,14)&gt;0,$E6644=INDEX(DarlTilgStart,14)),$J6644*($H6644+INDEX(DarlTilgung,14))/100/12,IF(AND($G6644=0,$G6643=1),MAX($K6643,$J6644*($H6644+1)/100/12),$K6643))))</f>
      </c>
      <c r="L6644" s="43">
        <f>IF($I6644=0,0,$J6644*$H6644/100/12)</f>
      </c>
      <c r="M6644" s="43">
        <f>IF($I6644=0,0,IF(OR(INDEX(DarlOhneTilgung,14)=1,AND(INDEX(DarlTilgStart,14)&gt;0,$E6644&lt;INDEX(DarlTilgStart,14))),0,MIN(MAX(0,$K6644-$L6644),$J6644)))</f>
      </c>
      <c r="N6644" s="43">
        <f>IF($I6644=0,0,MIN(SUMIFS(SondBetrag,SondDarl,14,SondDatum,"&gt;="&amp;$E6644,SondDatum,"&lt;="&amp;EOMONTH($E6644,0)),$J6644-$M6644))</f>
      </c>
      <c r="O6644" s="43">
        <f>IF($I6644=0,0,INDEX(DarlErsatzRate,14))</f>
      </c>
      <c r="P6644" s="43">
        <f>IF($I6644=0,0,$Q6643*INDEX(DarlErsatzZins,14))</f>
      </c>
      <c r="Q6644" s="43">
        <f>IF($I6644=0,0,$Q6643+$P6644+$O6644)</f>
      </c>
      <c r="R6644" s="43">
        <f>IF($I6644=0,0,$J6644-$M6644-$N6644)</f>
      </c>
    </row>
    <row r="6645">
      <c r="A6645"/>
      <c r="B6645">
        <v>14</v>
      </c>
      <c r="C6645" s="43">
        <f>INDEX(DarlObj,14)</f>
      </c>
      <c r="D6645">
        <v>402</v>
      </c>
      <c r="E6645" s="51">
        <f>IF(INDEX(DarlBelegt,14)=0,0,EOMONTH(INDEX(DarlAuszahlung,14),401)+1)</f>
      </c>
      <c r="F6645" s="43">
        <f>IF($E6645=0,0,YEAR($E6645))</f>
      </c>
      <c r="G6645" s="43">
        <f>IF(INDEX(DarlBindung,14)="",1,IF($E6645&lt;=INDEX(DarlBindung,14),1,0))</f>
      </c>
      <c r="H6645" s="43">
        <f>IF($G6645=1,INDEX(DarlSollzins,14),INDEX(DarlAnschluss,14))</f>
      </c>
      <c r="I6645" s="43">
        <f>IF(INDEX(DarlBelegt,14)=0,0,IF(INDEX(DarlOhneTilgung,14)=1,IF(INDEX(DarlBindung,14)="",1,$G6645),IF($J6645&gt;0.005,1,0)))</f>
      </c>
      <c r="J6645" s="43">
        <f>IF($I6644=0,0,$R6644)</f>
      </c>
      <c r="K6645" s="43">
        <f>IF($I6645=0,0,IF(INDEX(DarlOhneTilgung,14)=1,0,IF(AND(INDEX(DarlTilgStart,14)&gt;0,$E6645=INDEX(DarlTilgStart,14)),$J6645*($H6645+INDEX(DarlTilgung,14))/100/12,IF(AND($G6645=0,$G6644=1),MAX($K6644,$J6645*($H6645+1)/100/12),$K6644))))</f>
      </c>
      <c r="L6645" s="43">
        <f>IF($I6645=0,0,$J6645*$H6645/100/12)</f>
      </c>
      <c r="M6645" s="43">
        <f>IF($I6645=0,0,IF(OR(INDEX(DarlOhneTilgung,14)=1,AND(INDEX(DarlTilgStart,14)&gt;0,$E6645&lt;INDEX(DarlTilgStart,14))),0,MIN(MAX(0,$K6645-$L6645),$J6645)))</f>
      </c>
      <c r="N6645" s="43">
        <f>IF($I6645=0,0,MIN(SUMIFS(SondBetrag,SondDarl,14,SondDatum,"&gt;="&amp;$E6645,SondDatum,"&lt;="&amp;EOMONTH($E6645,0)),$J6645-$M6645))</f>
      </c>
      <c r="O6645" s="43">
        <f>IF($I6645=0,0,INDEX(DarlErsatzRate,14))</f>
      </c>
      <c r="P6645" s="43">
        <f>IF($I6645=0,0,$Q6644*INDEX(DarlErsatzZins,14))</f>
      </c>
      <c r="Q6645" s="43">
        <f>IF($I6645=0,0,$Q6644+$P6645+$O6645)</f>
      </c>
      <c r="R6645" s="43">
        <f>IF($I6645=0,0,$J6645-$M6645-$N6645)</f>
      </c>
    </row>
    <row r="6646">
      <c r="A6646"/>
      <c r="B6646">
        <v>14</v>
      </c>
      <c r="C6646" s="43">
        <f>INDEX(DarlObj,14)</f>
      </c>
      <c r="D6646">
        <v>403</v>
      </c>
      <c r="E6646" s="51">
        <f>IF(INDEX(DarlBelegt,14)=0,0,EOMONTH(INDEX(DarlAuszahlung,14),402)+1)</f>
      </c>
      <c r="F6646" s="43">
        <f>IF($E6646=0,0,YEAR($E6646))</f>
      </c>
      <c r="G6646" s="43">
        <f>IF(INDEX(DarlBindung,14)="",1,IF($E6646&lt;=INDEX(DarlBindung,14),1,0))</f>
      </c>
      <c r="H6646" s="43">
        <f>IF($G6646=1,INDEX(DarlSollzins,14),INDEX(DarlAnschluss,14))</f>
      </c>
      <c r="I6646" s="43">
        <f>IF(INDEX(DarlBelegt,14)=0,0,IF(INDEX(DarlOhneTilgung,14)=1,IF(INDEX(DarlBindung,14)="",1,$G6646),IF($J6646&gt;0.005,1,0)))</f>
      </c>
      <c r="J6646" s="43">
        <f>IF($I6645=0,0,$R6645)</f>
      </c>
      <c r="K6646" s="43">
        <f>IF($I6646=0,0,IF(INDEX(DarlOhneTilgung,14)=1,0,IF(AND(INDEX(DarlTilgStart,14)&gt;0,$E6646=INDEX(DarlTilgStart,14)),$J6646*($H6646+INDEX(DarlTilgung,14))/100/12,IF(AND($G6646=0,$G6645=1),MAX($K6645,$J6646*($H6646+1)/100/12),$K6645))))</f>
      </c>
      <c r="L6646" s="43">
        <f>IF($I6646=0,0,$J6646*$H6646/100/12)</f>
      </c>
      <c r="M6646" s="43">
        <f>IF($I6646=0,0,IF(OR(INDEX(DarlOhneTilgung,14)=1,AND(INDEX(DarlTilgStart,14)&gt;0,$E6646&lt;INDEX(DarlTilgStart,14))),0,MIN(MAX(0,$K6646-$L6646),$J6646)))</f>
      </c>
      <c r="N6646" s="43">
        <f>IF($I6646=0,0,MIN(SUMIFS(SondBetrag,SondDarl,14,SondDatum,"&gt;="&amp;$E6646,SondDatum,"&lt;="&amp;EOMONTH($E6646,0)),$J6646-$M6646))</f>
      </c>
      <c r="O6646" s="43">
        <f>IF($I6646=0,0,INDEX(DarlErsatzRate,14))</f>
      </c>
      <c r="P6646" s="43">
        <f>IF($I6646=0,0,$Q6645*INDEX(DarlErsatzZins,14))</f>
      </c>
      <c r="Q6646" s="43">
        <f>IF($I6646=0,0,$Q6645+$P6646+$O6646)</f>
      </c>
      <c r="R6646" s="43">
        <f>IF($I6646=0,0,$J6646-$M6646-$N6646)</f>
      </c>
    </row>
    <row r="6647">
      <c r="A6647"/>
      <c r="B6647">
        <v>14</v>
      </c>
      <c r="C6647" s="43">
        <f>INDEX(DarlObj,14)</f>
      </c>
      <c r="D6647">
        <v>404</v>
      </c>
      <c r="E6647" s="51">
        <f>IF(INDEX(DarlBelegt,14)=0,0,EOMONTH(INDEX(DarlAuszahlung,14),403)+1)</f>
      </c>
      <c r="F6647" s="43">
        <f>IF($E6647=0,0,YEAR($E6647))</f>
      </c>
      <c r="G6647" s="43">
        <f>IF(INDEX(DarlBindung,14)="",1,IF($E6647&lt;=INDEX(DarlBindung,14),1,0))</f>
      </c>
      <c r="H6647" s="43">
        <f>IF($G6647=1,INDEX(DarlSollzins,14),INDEX(DarlAnschluss,14))</f>
      </c>
      <c r="I6647" s="43">
        <f>IF(INDEX(DarlBelegt,14)=0,0,IF(INDEX(DarlOhneTilgung,14)=1,IF(INDEX(DarlBindung,14)="",1,$G6647),IF($J6647&gt;0.005,1,0)))</f>
      </c>
      <c r="J6647" s="43">
        <f>IF($I6646=0,0,$R6646)</f>
      </c>
      <c r="K6647" s="43">
        <f>IF($I6647=0,0,IF(INDEX(DarlOhneTilgung,14)=1,0,IF(AND(INDEX(DarlTilgStart,14)&gt;0,$E6647=INDEX(DarlTilgStart,14)),$J6647*($H6647+INDEX(DarlTilgung,14))/100/12,IF(AND($G6647=0,$G6646=1),MAX($K6646,$J6647*($H6647+1)/100/12),$K6646))))</f>
      </c>
      <c r="L6647" s="43">
        <f>IF($I6647=0,0,$J6647*$H6647/100/12)</f>
      </c>
      <c r="M6647" s="43">
        <f>IF($I6647=0,0,IF(OR(INDEX(DarlOhneTilgung,14)=1,AND(INDEX(DarlTilgStart,14)&gt;0,$E6647&lt;INDEX(DarlTilgStart,14))),0,MIN(MAX(0,$K6647-$L6647),$J6647)))</f>
      </c>
      <c r="N6647" s="43">
        <f>IF($I6647=0,0,MIN(SUMIFS(SondBetrag,SondDarl,14,SondDatum,"&gt;="&amp;$E6647,SondDatum,"&lt;="&amp;EOMONTH($E6647,0)),$J6647-$M6647))</f>
      </c>
      <c r="O6647" s="43">
        <f>IF($I6647=0,0,INDEX(DarlErsatzRate,14))</f>
      </c>
      <c r="P6647" s="43">
        <f>IF($I6647=0,0,$Q6646*INDEX(DarlErsatzZins,14))</f>
      </c>
      <c r="Q6647" s="43">
        <f>IF($I6647=0,0,$Q6646+$P6647+$O6647)</f>
      </c>
      <c r="R6647" s="43">
        <f>IF($I6647=0,0,$J6647-$M6647-$N6647)</f>
      </c>
    </row>
    <row r="6648">
      <c r="A6648"/>
      <c r="B6648">
        <v>14</v>
      </c>
      <c r="C6648" s="43">
        <f>INDEX(DarlObj,14)</f>
      </c>
      <c r="D6648">
        <v>405</v>
      </c>
      <c r="E6648" s="51">
        <f>IF(INDEX(DarlBelegt,14)=0,0,EOMONTH(INDEX(DarlAuszahlung,14),404)+1)</f>
      </c>
      <c r="F6648" s="43">
        <f>IF($E6648=0,0,YEAR($E6648))</f>
      </c>
      <c r="G6648" s="43">
        <f>IF(INDEX(DarlBindung,14)="",1,IF($E6648&lt;=INDEX(DarlBindung,14),1,0))</f>
      </c>
      <c r="H6648" s="43">
        <f>IF($G6648=1,INDEX(DarlSollzins,14),INDEX(DarlAnschluss,14))</f>
      </c>
      <c r="I6648" s="43">
        <f>IF(INDEX(DarlBelegt,14)=0,0,IF(INDEX(DarlOhneTilgung,14)=1,IF(INDEX(DarlBindung,14)="",1,$G6648),IF($J6648&gt;0.005,1,0)))</f>
      </c>
      <c r="J6648" s="43">
        <f>IF($I6647=0,0,$R6647)</f>
      </c>
      <c r="K6648" s="43">
        <f>IF($I6648=0,0,IF(INDEX(DarlOhneTilgung,14)=1,0,IF(AND(INDEX(DarlTilgStart,14)&gt;0,$E6648=INDEX(DarlTilgStart,14)),$J6648*($H6648+INDEX(DarlTilgung,14))/100/12,IF(AND($G6648=0,$G6647=1),MAX($K6647,$J6648*($H6648+1)/100/12),$K6647))))</f>
      </c>
      <c r="L6648" s="43">
        <f>IF($I6648=0,0,$J6648*$H6648/100/12)</f>
      </c>
      <c r="M6648" s="43">
        <f>IF($I6648=0,0,IF(OR(INDEX(DarlOhneTilgung,14)=1,AND(INDEX(DarlTilgStart,14)&gt;0,$E6648&lt;INDEX(DarlTilgStart,14))),0,MIN(MAX(0,$K6648-$L6648),$J6648)))</f>
      </c>
      <c r="N6648" s="43">
        <f>IF($I6648=0,0,MIN(SUMIFS(SondBetrag,SondDarl,14,SondDatum,"&gt;="&amp;$E6648,SondDatum,"&lt;="&amp;EOMONTH($E6648,0)),$J6648-$M6648))</f>
      </c>
      <c r="O6648" s="43">
        <f>IF($I6648=0,0,INDEX(DarlErsatzRate,14))</f>
      </c>
      <c r="P6648" s="43">
        <f>IF($I6648=0,0,$Q6647*INDEX(DarlErsatzZins,14))</f>
      </c>
      <c r="Q6648" s="43">
        <f>IF($I6648=0,0,$Q6647+$P6648+$O6648)</f>
      </c>
      <c r="R6648" s="43">
        <f>IF($I6648=0,0,$J6648-$M6648-$N6648)</f>
      </c>
    </row>
    <row r="6649">
      <c r="A6649"/>
      <c r="B6649">
        <v>14</v>
      </c>
      <c r="C6649" s="43">
        <f>INDEX(DarlObj,14)</f>
      </c>
      <c r="D6649">
        <v>406</v>
      </c>
      <c r="E6649" s="51">
        <f>IF(INDEX(DarlBelegt,14)=0,0,EOMONTH(INDEX(DarlAuszahlung,14),405)+1)</f>
      </c>
      <c r="F6649" s="43">
        <f>IF($E6649=0,0,YEAR($E6649))</f>
      </c>
      <c r="G6649" s="43">
        <f>IF(INDEX(DarlBindung,14)="",1,IF($E6649&lt;=INDEX(DarlBindung,14),1,0))</f>
      </c>
      <c r="H6649" s="43">
        <f>IF($G6649=1,INDEX(DarlSollzins,14),INDEX(DarlAnschluss,14))</f>
      </c>
      <c r="I6649" s="43">
        <f>IF(INDEX(DarlBelegt,14)=0,0,IF(INDEX(DarlOhneTilgung,14)=1,IF(INDEX(DarlBindung,14)="",1,$G6649),IF($J6649&gt;0.005,1,0)))</f>
      </c>
      <c r="J6649" s="43">
        <f>IF($I6648=0,0,$R6648)</f>
      </c>
      <c r="K6649" s="43">
        <f>IF($I6649=0,0,IF(INDEX(DarlOhneTilgung,14)=1,0,IF(AND(INDEX(DarlTilgStart,14)&gt;0,$E6649=INDEX(DarlTilgStart,14)),$J6649*($H6649+INDEX(DarlTilgung,14))/100/12,IF(AND($G6649=0,$G6648=1),MAX($K6648,$J6649*($H6649+1)/100/12),$K6648))))</f>
      </c>
      <c r="L6649" s="43">
        <f>IF($I6649=0,0,$J6649*$H6649/100/12)</f>
      </c>
      <c r="M6649" s="43">
        <f>IF($I6649=0,0,IF(OR(INDEX(DarlOhneTilgung,14)=1,AND(INDEX(DarlTilgStart,14)&gt;0,$E6649&lt;INDEX(DarlTilgStart,14))),0,MIN(MAX(0,$K6649-$L6649),$J6649)))</f>
      </c>
      <c r="N6649" s="43">
        <f>IF($I6649=0,0,MIN(SUMIFS(SondBetrag,SondDarl,14,SondDatum,"&gt;="&amp;$E6649,SondDatum,"&lt;="&amp;EOMONTH($E6649,0)),$J6649-$M6649))</f>
      </c>
      <c r="O6649" s="43">
        <f>IF($I6649=0,0,INDEX(DarlErsatzRate,14))</f>
      </c>
      <c r="P6649" s="43">
        <f>IF($I6649=0,0,$Q6648*INDEX(DarlErsatzZins,14))</f>
      </c>
      <c r="Q6649" s="43">
        <f>IF($I6649=0,0,$Q6648+$P6649+$O6649)</f>
      </c>
      <c r="R6649" s="43">
        <f>IF($I6649=0,0,$J6649-$M6649-$N6649)</f>
      </c>
    </row>
    <row r="6650">
      <c r="A6650"/>
      <c r="B6650">
        <v>14</v>
      </c>
      <c r="C6650" s="43">
        <f>INDEX(DarlObj,14)</f>
      </c>
      <c r="D6650">
        <v>407</v>
      </c>
      <c r="E6650" s="51">
        <f>IF(INDEX(DarlBelegt,14)=0,0,EOMONTH(INDEX(DarlAuszahlung,14),406)+1)</f>
      </c>
      <c r="F6650" s="43">
        <f>IF($E6650=0,0,YEAR($E6650))</f>
      </c>
      <c r="G6650" s="43">
        <f>IF(INDEX(DarlBindung,14)="",1,IF($E6650&lt;=INDEX(DarlBindung,14),1,0))</f>
      </c>
      <c r="H6650" s="43">
        <f>IF($G6650=1,INDEX(DarlSollzins,14),INDEX(DarlAnschluss,14))</f>
      </c>
      <c r="I6650" s="43">
        <f>IF(INDEX(DarlBelegt,14)=0,0,IF(INDEX(DarlOhneTilgung,14)=1,IF(INDEX(DarlBindung,14)="",1,$G6650),IF($J6650&gt;0.005,1,0)))</f>
      </c>
      <c r="J6650" s="43">
        <f>IF($I6649=0,0,$R6649)</f>
      </c>
      <c r="K6650" s="43">
        <f>IF($I6650=0,0,IF(INDEX(DarlOhneTilgung,14)=1,0,IF(AND(INDEX(DarlTilgStart,14)&gt;0,$E6650=INDEX(DarlTilgStart,14)),$J6650*($H6650+INDEX(DarlTilgung,14))/100/12,IF(AND($G6650=0,$G6649=1),MAX($K6649,$J6650*($H6650+1)/100/12),$K6649))))</f>
      </c>
      <c r="L6650" s="43">
        <f>IF($I6650=0,0,$J6650*$H6650/100/12)</f>
      </c>
      <c r="M6650" s="43">
        <f>IF($I6650=0,0,IF(OR(INDEX(DarlOhneTilgung,14)=1,AND(INDEX(DarlTilgStart,14)&gt;0,$E6650&lt;INDEX(DarlTilgStart,14))),0,MIN(MAX(0,$K6650-$L6650),$J6650)))</f>
      </c>
      <c r="N6650" s="43">
        <f>IF($I6650=0,0,MIN(SUMIFS(SondBetrag,SondDarl,14,SondDatum,"&gt;="&amp;$E6650,SondDatum,"&lt;="&amp;EOMONTH($E6650,0)),$J6650-$M6650))</f>
      </c>
      <c r="O6650" s="43">
        <f>IF($I6650=0,0,INDEX(DarlErsatzRate,14))</f>
      </c>
      <c r="P6650" s="43">
        <f>IF($I6650=0,0,$Q6649*INDEX(DarlErsatzZins,14))</f>
      </c>
      <c r="Q6650" s="43">
        <f>IF($I6650=0,0,$Q6649+$P6650+$O6650)</f>
      </c>
      <c r="R6650" s="43">
        <f>IF($I6650=0,0,$J6650-$M6650-$N6650)</f>
      </c>
    </row>
    <row r="6651">
      <c r="A6651"/>
      <c r="B6651">
        <v>14</v>
      </c>
      <c r="C6651" s="43">
        <f>INDEX(DarlObj,14)</f>
      </c>
      <c r="D6651">
        <v>408</v>
      </c>
      <c r="E6651" s="51">
        <f>IF(INDEX(DarlBelegt,14)=0,0,EOMONTH(INDEX(DarlAuszahlung,14),407)+1)</f>
      </c>
      <c r="F6651" s="43">
        <f>IF($E6651=0,0,YEAR($E6651))</f>
      </c>
      <c r="G6651" s="43">
        <f>IF(INDEX(DarlBindung,14)="",1,IF($E6651&lt;=INDEX(DarlBindung,14),1,0))</f>
      </c>
      <c r="H6651" s="43">
        <f>IF($G6651=1,INDEX(DarlSollzins,14),INDEX(DarlAnschluss,14))</f>
      </c>
      <c r="I6651" s="43">
        <f>IF(INDEX(DarlBelegt,14)=0,0,IF(INDEX(DarlOhneTilgung,14)=1,IF(INDEX(DarlBindung,14)="",1,$G6651),IF($J6651&gt;0.005,1,0)))</f>
      </c>
      <c r="J6651" s="43">
        <f>IF($I6650=0,0,$R6650)</f>
      </c>
      <c r="K6651" s="43">
        <f>IF($I6651=0,0,IF(INDEX(DarlOhneTilgung,14)=1,0,IF(AND(INDEX(DarlTilgStart,14)&gt;0,$E6651=INDEX(DarlTilgStart,14)),$J6651*($H6651+INDEX(DarlTilgung,14))/100/12,IF(AND($G6651=0,$G6650=1),MAX($K6650,$J6651*($H6651+1)/100/12),$K6650))))</f>
      </c>
      <c r="L6651" s="43">
        <f>IF($I6651=0,0,$J6651*$H6651/100/12)</f>
      </c>
      <c r="M6651" s="43">
        <f>IF($I6651=0,0,IF(OR(INDEX(DarlOhneTilgung,14)=1,AND(INDEX(DarlTilgStart,14)&gt;0,$E6651&lt;INDEX(DarlTilgStart,14))),0,MIN(MAX(0,$K6651-$L6651),$J6651)))</f>
      </c>
      <c r="N6651" s="43">
        <f>IF($I6651=0,0,MIN(SUMIFS(SondBetrag,SondDarl,14,SondDatum,"&gt;="&amp;$E6651,SondDatum,"&lt;="&amp;EOMONTH($E6651,0)),$J6651-$M6651))</f>
      </c>
      <c r="O6651" s="43">
        <f>IF($I6651=0,0,INDEX(DarlErsatzRate,14))</f>
      </c>
      <c r="P6651" s="43">
        <f>IF($I6651=0,0,$Q6650*INDEX(DarlErsatzZins,14))</f>
      </c>
      <c r="Q6651" s="43">
        <f>IF($I6651=0,0,$Q6650+$P6651+$O6651)</f>
      </c>
      <c r="R6651" s="43">
        <f>IF($I6651=0,0,$J6651-$M6651-$N6651)</f>
      </c>
    </row>
    <row r="6652">
      <c r="A6652"/>
      <c r="B6652">
        <v>14</v>
      </c>
      <c r="C6652" s="43">
        <f>INDEX(DarlObj,14)</f>
      </c>
      <c r="D6652">
        <v>409</v>
      </c>
      <c r="E6652" s="51">
        <f>IF(INDEX(DarlBelegt,14)=0,0,EOMONTH(INDEX(DarlAuszahlung,14),408)+1)</f>
      </c>
      <c r="F6652" s="43">
        <f>IF($E6652=0,0,YEAR($E6652))</f>
      </c>
      <c r="G6652" s="43">
        <f>IF(INDEX(DarlBindung,14)="",1,IF($E6652&lt;=INDEX(DarlBindung,14),1,0))</f>
      </c>
      <c r="H6652" s="43">
        <f>IF($G6652=1,INDEX(DarlSollzins,14),INDEX(DarlAnschluss,14))</f>
      </c>
      <c r="I6652" s="43">
        <f>IF(INDEX(DarlBelegt,14)=0,0,IF(INDEX(DarlOhneTilgung,14)=1,IF(INDEX(DarlBindung,14)="",1,$G6652),IF($J6652&gt;0.005,1,0)))</f>
      </c>
      <c r="J6652" s="43">
        <f>IF($I6651=0,0,$R6651)</f>
      </c>
      <c r="K6652" s="43">
        <f>IF($I6652=0,0,IF(INDEX(DarlOhneTilgung,14)=1,0,IF(AND(INDEX(DarlTilgStart,14)&gt;0,$E6652=INDEX(DarlTilgStart,14)),$J6652*($H6652+INDEX(DarlTilgung,14))/100/12,IF(AND($G6652=0,$G6651=1),MAX($K6651,$J6652*($H6652+1)/100/12),$K6651))))</f>
      </c>
      <c r="L6652" s="43">
        <f>IF($I6652=0,0,$J6652*$H6652/100/12)</f>
      </c>
      <c r="M6652" s="43">
        <f>IF($I6652=0,0,IF(OR(INDEX(DarlOhneTilgung,14)=1,AND(INDEX(DarlTilgStart,14)&gt;0,$E6652&lt;INDEX(DarlTilgStart,14))),0,MIN(MAX(0,$K6652-$L6652),$J6652)))</f>
      </c>
      <c r="N6652" s="43">
        <f>IF($I6652=0,0,MIN(SUMIFS(SondBetrag,SondDarl,14,SondDatum,"&gt;="&amp;$E6652,SondDatum,"&lt;="&amp;EOMONTH($E6652,0)),$J6652-$M6652))</f>
      </c>
      <c r="O6652" s="43">
        <f>IF($I6652=0,0,INDEX(DarlErsatzRate,14))</f>
      </c>
      <c r="P6652" s="43">
        <f>IF($I6652=0,0,$Q6651*INDEX(DarlErsatzZins,14))</f>
      </c>
      <c r="Q6652" s="43">
        <f>IF($I6652=0,0,$Q6651+$P6652+$O6652)</f>
      </c>
      <c r="R6652" s="43">
        <f>IF($I6652=0,0,$J6652-$M6652-$N6652)</f>
      </c>
    </row>
    <row r="6653">
      <c r="A6653"/>
      <c r="B6653">
        <v>14</v>
      </c>
      <c r="C6653" s="43">
        <f>INDEX(DarlObj,14)</f>
      </c>
      <c r="D6653">
        <v>410</v>
      </c>
      <c r="E6653" s="51">
        <f>IF(INDEX(DarlBelegt,14)=0,0,EOMONTH(INDEX(DarlAuszahlung,14),409)+1)</f>
      </c>
      <c r="F6653" s="43">
        <f>IF($E6653=0,0,YEAR($E6653))</f>
      </c>
      <c r="G6653" s="43">
        <f>IF(INDEX(DarlBindung,14)="",1,IF($E6653&lt;=INDEX(DarlBindung,14),1,0))</f>
      </c>
      <c r="H6653" s="43">
        <f>IF($G6653=1,INDEX(DarlSollzins,14),INDEX(DarlAnschluss,14))</f>
      </c>
      <c r="I6653" s="43">
        <f>IF(INDEX(DarlBelegt,14)=0,0,IF(INDEX(DarlOhneTilgung,14)=1,IF(INDEX(DarlBindung,14)="",1,$G6653),IF($J6653&gt;0.005,1,0)))</f>
      </c>
      <c r="J6653" s="43">
        <f>IF($I6652=0,0,$R6652)</f>
      </c>
      <c r="K6653" s="43">
        <f>IF($I6653=0,0,IF(INDEX(DarlOhneTilgung,14)=1,0,IF(AND(INDEX(DarlTilgStart,14)&gt;0,$E6653=INDEX(DarlTilgStart,14)),$J6653*($H6653+INDEX(DarlTilgung,14))/100/12,IF(AND($G6653=0,$G6652=1),MAX($K6652,$J6653*($H6653+1)/100/12),$K6652))))</f>
      </c>
      <c r="L6653" s="43">
        <f>IF($I6653=0,0,$J6653*$H6653/100/12)</f>
      </c>
      <c r="M6653" s="43">
        <f>IF($I6653=0,0,IF(OR(INDEX(DarlOhneTilgung,14)=1,AND(INDEX(DarlTilgStart,14)&gt;0,$E6653&lt;INDEX(DarlTilgStart,14))),0,MIN(MAX(0,$K6653-$L6653),$J6653)))</f>
      </c>
      <c r="N6653" s="43">
        <f>IF($I6653=0,0,MIN(SUMIFS(SondBetrag,SondDarl,14,SondDatum,"&gt;="&amp;$E6653,SondDatum,"&lt;="&amp;EOMONTH($E6653,0)),$J6653-$M6653))</f>
      </c>
      <c r="O6653" s="43">
        <f>IF($I6653=0,0,INDEX(DarlErsatzRate,14))</f>
      </c>
      <c r="P6653" s="43">
        <f>IF($I6653=0,0,$Q6652*INDEX(DarlErsatzZins,14))</f>
      </c>
      <c r="Q6653" s="43">
        <f>IF($I6653=0,0,$Q6652+$P6653+$O6653)</f>
      </c>
      <c r="R6653" s="43">
        <f>IF($I6653=0,0,$J6653-$M6653-$N6653)</f>
      </c>
    </row>
    <row r="6654">
      <c r="A6654"/>
      <c r="B6654">
        <v>14</v>
      </c>
      <c r="C6654" s="43">
        <f>INDEX(DarlObj,14)</f>
      </c>
      <c r="D6654">
        <v>411</v>
      </c>
      <c r="E6654" s="51">
        <f>IF(INDEX(DarlBelegt,14)=0,0,EOMONTH(INDEX(DarlAuszahlung,14),410)+1)</f>
      </c>
      <c r="F6654" s="43">
        <f>IF($E6654=0,0,YEAR($E6654))</f>
      </c>
      <c r="G6654" s="43">
        <f>IF(INDEX(DarlBindung,14)="",1,IF($E6654&lt;=INDEX(DarlBindung,14),1,0))</f>
      </c>
      <c r="H6654" s="43">
        <f>IF($G6654=1,INDEX(DarlSollzins,14),INDEX(DarlAnschluss,14))</f>
      </c>
      <c r="I6654" s="43">
        <f>IF(INDEX(DarlBelegt,14)=0,0,IF(INDEX(DarlOhneTilgung,14)=1,IF(INDEX(DarlBindung,14)="",1,$G6654),IF($J6654&gt;0.005,1,0)))</f>
      </c>
      <c r="J6654" s="43">
        <f>IF($I6653=0,0,$R6653)</f>
      </c>
      <c r="K6654" s="43">
        <f>IF($I6654=0,0,IF(INDEX(DarlOhneTilgung,14)=1,0,IF(AND(INDEX(DarlTilgStart,14)&gt;0,$E6654=INDEX(DarlTilgStart,14)),$J6654*($H6654+INDEX(DarlTilgung,14))/100/12,IF(AND($G6654=0,$G6653=1),MAX($K6653,$J6654*($H6654+1)/100/12),$K6653))))</f>
      </c>
      <c r="L6654" s="43">
        <f>IF($I6654=0,0,$J6654*$H6654/100/12)</f>
      </c>
      <c r="M6654" s="43">
        <f>IF($I6654=0,0,IF(OR(INDEX(DarlOhneTilgung,14)=1,AND(INDEX(DarlTilgStart,14)&gt;0,$E6654&lt;INDEX(DarlTilgStart,14))),0,MIN(MAX(0,$K6654-$L6654),$J6654)))</f>
      </c>
      <c r="N6654" s="43">
        <f>IF($I6654=0,0,MIN(SUMIFS(SondBetrag,SondDarl,14,SondDatum,"&gt;="&amp;$E6654,SondDatum,"&lt;="&amp;EOMONTH($E6654,0)),$J6654-$M6654))</f>
      </c>
      <c r="O6654" s="43">
        <f>IF($I6654=0,0,INDEX(DarlErsatzRate,14))</f>
      </c>
      <c r="P6654" s="43">
        <f>IF($I6654=0,0,$Q6653*INDEX(DarlErsatzZins,14))</f>
      </c>
      <c r="Q6654" s="43">
        <f>IF($I6654=0,0,$Q6653+$P6654+$O6654)</f>
      </c>
      <c r="R6654" s="43">
        <f>IF($I6654=0,0,$J6654-$M6654-$N6654)</f>
      </c>
    </row>
    <row r="6655">
      <c r="A6655"/>
      <c r="B6655">
        <v>14</v>
      </c>
      <c r="C6655" s="43">
        <f>INDEX(DarlObj,14)</f>
      </c>
      <c r="D6655">
        <v>412</v>
      </c>
      <c r="E6655" s="51">
        <f>IF(INDEX(DarlBelegt,14)=0,0,EOMONTH(INDEX(DarlAuszahlung,14),411)+1)</f>
      </c>
      <c r="F6655" s="43">
        <f>IF($E6655=0,0,YEAR($E6655))</f>
      </c>
      <c r="G6655" s="43">
        <f>IF(INDEX(DarlBindung,14)="",1,IF($E6655&lt;=INDEX(DarlBindung,14),1,0))</f>
      </c>
      <c r="H6655" s="43">
        <f>IF($G6655=1,INDEX(DarlSollzins,14),INDEX(DarlAnschluss,14))</f>
      </c>
      <c r="I6655" s="43">
        <f>IF(INDEX(DarlBelegt,14)=0,0,IF(INDEX(DarlOhneTilgung,14)=1,IF(INDEX(DarlBindung,14)="",1,$G6655),IF($J6655&gt;0.005,1,0)))</f>
      </c>
      <c r="J6655" s="43">
        <f>IF($I6654=0,0,$R6654)</f>
      </c>
      <c r="K6655" s="43">
        <f>IF($I6655=0,0,IF(INDEX(DarlOhneTilgung,14)=1,0,IF(AND(INDEX(DarlTilgStart,14)&gt;0,$E6655=INDEX(DarlTilgStart,14)),$J6655*($H6655+INDEX(DarlTilgung,14))/100/12,IF(AND($G6655=0,$G6654=1),MAX($K6654,$J6655*($H6655+1)/100/12),$K6654))))</f>
      </c>
      <c r="L6655" s="43">
        <f>IF($I6655=0,0,$J6655*$H6655/100/12)</f>
      </c>
      <c r="M6655" s="43">
        <f>IF($I6655=0,0,IF(OR(INDEX(DarlOhneTilgung,14)=1,AND(INDEX(DarlTilgStart,14)&gt;0,$E6655&lt;INDEX(DarlTilgStart,14))),0,MIN(MAX(0,$K6655-$L6655),$J6655)))</f>
      </c>
      <c r="N6655" s="43">
        <f>IF($I6655=0,0,MIN(SUMIFS(SondBetrag,SondDarl,14,SondDatum,"&gt;="&amp;$E6655,SondDatum,"&lt;="&amp;EOMONTH($E6655,0)),$J6655-$M6655))</f>
      </c>
      <c r="O6655" s="43">
        <f>IF($I6655=0,0,INDEX(DarlErsatzRate,14))</f>
      </c>
      <c r="P6655" s="43">
        <f>IF($I6655=0,0,$Q6654*INDEX(DarlErsatzZins,14))</f>
      </c>
      <c r="Q6655" s="43">
        <f>IF($I6655=0,0,$Q6654+$P6655+$O6655)</f>
      </c>
      <c r="R6655" s="43">
        <f>IF($I6655=0,0,$J6655-$M6655-$N6655)</f>
      </c>
    </row>
    <row r="6656">
      <c r="A6656"/>
      <c r="B6656">
        <v>14</v>
      </c>
      <c r="C6656" s="43">
        <f>INDEX(DarlObj,14)</f>
      </c>
      <c r="D6656">
        <v>413</v>
      </c>
      <c r="E6656" s="51">
        <f>IF(INDEX(DarlBelegt,14)=0,0,EOMONTH(INDEX(DarlAuszahlung,14),412)+1)</f>
      </c>
      <c r="F6656" s="43">
        <f>IF($E6656=0,0,YEAR($E6656))</f>
      </c>
      <c r="G6656" s="43">
        <f>IF(INDEX(DarlBindung,14)="",1,IF($E6656&lt;=INDEX(DarlBindung,14),1,0))</f>
      </c>
      <c r="H6656" s="43">
        <f>IF($G6656=1,INDEX(DarlSollzins,14),INDEX(DarlAnschluss,14))</f>
      </c>
      <c r="I6656" s="43">
        <f>IF(INDEX(DarlBelegt,14)=0,0,IF(INDEX(DarlOhneTilgung,14)=1,IF(INDEX(DarlBindung,14)="",1,$G6656),IF($J6656&gt;0.005,1,0)))</f>
      </c>
      <c r="J6656" s="43">
        <f>IF($I6655=0,0,$R6655)</f>
      </c>
      <c r="K6656" s="43">
        <f>IF($I6656=0,0,IF(INDEX(DarlOhneTilgung,14)=1,0,IF(AND(INDEX(DarlTilgStart,14)&gt;0,$E6656=INDEX(DarlTilgStart,14)),$J6656*($H6656+INDEX(DarlTilgung,14))/100/12,IF(AND($G6656=0,$G6655=1),MAX($K6655,$J6656*($H6656+1)/100/12),$K6655))))</f>
      </c>
      <c r="L6656" s="43">
        <f>IF($I6656=0,0,$J6656*$H6656/100/12)</f>
      </c>
      <c r="M6656" s="43">
        <f>IF($I6656=0,0,IF(OR(INDEX(DarlOhneTilgung,14)=1,AND(INDEX(DarlTilgStart,14)&gt;0,$E6656&lt;INDEX(DarlTilgStart,14))),0,MIN(MAX(0,$K6656-$L6656),$J6656)))</f>
      </c>
      <c r="N6656" s="43">
        <f>IF($I6656=0,0,MIN(SUMIFS(SondBetrag,SondDarl,14,SondDatum,"&gt;="&amp;$E6656,SondDatum,"&lt;="&amp;EOMONTH($E6656,0)),$J6656-$M6656))</f>
      </c>
      <c r="O6656" s="43">
        <f>IF($I6656=0,0,INDEX(DarlErsatzRate,14))</f>
      </c>
      <c r="P6656" s="43">
        <f>IF($I6656=0,0,$Q6655*INDEX(DarlErsatzZins,14))</f>
      </c>
      <c r="Q6656" s="43">
        <f>IF($I6656=0,0,$Q6655+$P6656+$O6656)</f>
      </c>
      <c r="R6656" s="43">
        <f>IF($I6656=0,0,$J6656-$M6656-$N6656)</f>
      </c>
    </row>
    <row r="6657">
      <c r="A6657"/>
      <c r="B6657">
        <v>14</v>
      </c>
      <c r="C6657" s="43">
        <f>INDEX(DarlObj,14)</f>
      </c>
      <c r="D6657">
        <v>414</v>
      </c>
      <c r="E6657" s="51">
        <f>IF(INDEX(DarlBelegt,14)=0,0,EOMONTH(INDEX(DarlAuszahlung,14),413)+1)</f>
      </c>
      <c r="F6657" s="43">
        <f>IF($E6657=0,0,YEAR($E6657))</f>
      </c>
      <c r="G6657" s="43">
        <f>IF(INDEX(DarlBindung,14)="",1,IF($E6657&lt;=INDEX(DarlBindung,14),1,0))</f>
      </c>
      <c r="H6657" s="43">
        <f>IF($G6657=1,INDEX(DarlSollzins,14),INDEX(DarlAnschluss,14))</f>
      </c>
      <c r="I6657" s="43">
        <f>IF(INDEX(DarlBelegt,14)=0,0,IF(INDEX(DarlOhneTilgung,14)=1,IF(INDEX(DarlBindung,14)="",1,$G6657),IF($J6657&gt;0.005,1,0)))</f>
      </c>
      <c r="J6657" s="43">
        <f>IF($I6656=0,0,$R6656)</f>
      </c>
      <c r="K6657" s="43">
        <f>IF($I6657=0,0,IF(INDEX(DarlOhneTilgung,14)=1,0,IF(AND(INDEX(DarlTilgStart,14)&gt;0,$E6657=INDEX(DarlTilgStart,14)),$J6657*($H6657+INDEX(DarlTilgung,14))/100/12,IF(AND($G6657=0,$G6656=1),MAX($K6656,$J6657*($H6657+1)/100/12),$K6656))))</f>
      </c>
      <c r="L6657" s="43">
        <f>IF($I6657=0,0,$J6657*$H6657/100/12)</f>
      </c>
      <c r="M6657" s="43">
        <f>IF($I6657=0,0,IF(OR(INDEX(DarlOhneTilgung,14)=1,AND(INDEX(DarlTilgStart,14)&gt;0,$E6657&lt;INDEX(DarlTilgStart,14))),0,MIN(MAX(0,$K6657-$L6657),$J6657)))</f>
      </c>
      <c r="N6657" s="43">
        <f>IF($I6657=0,0,MIN(SUMIFS(SondBetrag,SondDarl,14,SondDatum,"&gt;="&amp;$E6657,SondDatum,"&lt;="&amp;EOMONTH($E6657,0)),$J6657-$M6657))</f>
      </c>
      <c r="O6657" s="43">
        <f>IF($I6657=0,0,INDEX(DarlErsatzRate,14))</f>
      </c>
      <c r="P6657" s="43">
        <f>IF($I6657=0,0,$Q6656*INDEX(DarlErsatzZins,14))</f>
      </c>
      <c r="Q6657" s="43">
        <f>IF($I6657=0,0,$Q6656+$P6657+$O6657)</f>
      </c>
      <c r="R6657" s="43">
        <f>IF($I6657=0,0,$J6657-$M6657-$N6657)</f>
      </c>
    </row>
    <row r="6658">
      <c r="A6658"/>
      <c r="B6658">
        <v>14</v>
      </c>
      <c r="C6658" s="43">
        <f>INDEX(DarlObj,14)</f>
      </c>
      <c r="D6658">
        <v>415</v>
      </c>
      <c r="E6658" s="51">
        <f>IF(INDEX(DarlBelegt,14)=0,0,EOMONTH(INDEX(DarlAuszahlung,14),414)+1)</f>
      </c>
      <c r="F6658" s="43">
        <f>IF($E6658=0,0,YEAR($E6658))</f>
      </c>
      <c r="G6658" s="43">
        <f>IF(INDEX(DarlBindung,14)="",1,IF($E6658&lt;=INDEX(DarlBindung,14),1,0))</f>
      </c>
      <c r="H6658" s="43">
        <f>IF($G6658=1,INDEX(DarlSollzins,14),INDEX(DarlAnschluss,14))</f>
      </c>
      <c r="I6658" s="43">
        <f>IF(INDEX(DarlBelegt,14)=0,0,IF(INDEX(DarlOhneTilgung,14)=1,IF(INDEX(DarlBindung,14)="",1,$G6658),IF($J6658&gt;0.005,1,0)))</f>
      </c>
      <c r="J6658" s="43">
        <f>IF($I6657=0,0,$R6657)</f>
      </c>
      <c r="K6658" s="43">
        <f>IF($I6658=0,0,IF(INDEX(DarlOhneTilgung,14)=1,0,IF(AND(INDEX(DarlTilgStart,14)&gt;0,$E6658=INDEX(DarlTilgStart,14)),$J6658*($H6658+INDEX(DarlTilgung,14))/100/12,IF(AND($G6658=0,$G6657=1),MAX($K6657,$J6658*($H6658+1)/100/12),$K6657))))</f>
      </c>
      <c r="L6658" s="43">
        <f>IF($I6658=0,0,$J6658*$H6658/100/12)</f>
      </c>
      <c r="M6658" s="43">
        <f>IF($I6658=0,0,IF(OR(INDEX(DarlOhneTilgung,14)=1,AND(INDEX(DarlTilgStart,14)&gt;0,$E6658&lt;INDEX(DarlTilgStart,14))),0,MIN(MAX(0,$K6658-$L6658),$J6658)))</f>
      </c>
      <c r="N6658" s="43">
        <f>IF($I6658=0,0,MIN(SUMIFS(SondBetrag,SondDarl,14,SondDatum,"&gt;="&amp;$E6658,SondDatum,"&lt;="&amp;EOMONTH($E6658,0)),$J6658-$M6658))</f>
      </c>
      <c r="O6658" s="43">
        <f>IF($I6658=0,0,INDEX(DarlErsatzRate,14))</f>
      </c>
      <c r="P6658" s="43">
        <f>IF($I6658=0,0,$Q6657*INDEX(DarlErsatzZins,14))</f>
      </c>
      <c r="Q6658" s="43">
        <f>IF($I6658=0,0,$Q6657+$P6658+$O6658)</f>
      </c>
      <c r="R6658" s="43">
        <f>IF($I6658=0,0,$J6658-$M6658-$N6658)</f>
      </c>
    </row>
    <row r="6659">
      <c r="A6659"/>
      <c r="B6659">
        <v>14</v>
      </c>
      <c r="C6659" s="43">
        <f>INDEX(DarlObj,14)</f>
      </c>
      <c r="D6659">
        <v>416</v>
      </c>
      <c r="E6659" s="51">
        <f>IF(INDEX(DarlBelegt,14)=0,0,EOMONTH(INDEX(DarlAuszahlung,14),415)+1)</f>
      </c>
      <c r="F6659" s="43">
        <f>IF($E6659=0,0,YEAR($E6659))</f>
      </c>
      <c r="G6659" s="43">
        <f>IF(INDEX(DarlBindung,14)="",1,IF($E6659&lt;=INDEX(DarlBindung,14),1,0))</f>
      </c>
      <c r="H6659" s="43">
        <f>IF($G6659=1,INDEX(DarlSollzins,14),INDEX(DarlAnschluss,14))</f>
      </c>
      <c r="I6659" s="43">
        <f>IF(INDEX(DarlBelegt,14)=0,0,IF(INDEX(DarlOhneTilgung,14)=1,IF(INDEX(DarlBindung,14)="",1,$G6659),IF($J6659&gt;0.005,1,0)))</f>
      </c>
      <c r="J6659" s="43">
        <f>IF($I6658=0,0,$R6658)</f>
      </c>
      <c r="K6659" s="43">
        <f>IF($I6659=0,0,IF(INDEX(DarlOhneTilgung,14)=1,0,IF(AND(INDEX(DarlTilgStart,14)&gt;0,$E6659=INDEX(DarlTilgStart,14)),$J6659*($H6659+INDEX(DarlTilgung,14))/100/12,IF(AND($G6659=0,$G6658=1),MAX($K6658,$J6659*($H6659+1)/100/12),$K6658))))</f>
      </c>
      <c r="L6659" s="43">
        <f>IF($I6659=0,0,$J6659*$H6659/100/12)</f>
      </c>
      <c r="M6659" s="43">
        <f>IF($I6659=0,0,IF(OR(INDEX(DarlOhneTilgung,14)=1,AND(INDEX(DarlTilgStart,14)&gt;0,$E6659&lt;INDEX(DarlTilgStart,14))),0,MIN(MAX(0,$K6659-$L6659),$J6659)))</f>
      </c>
      <c r="N6659" s="43">
        <f>IF($I6659=0,0,MIN(SUMIFS(SondBetrag,SondDarl,14,SondDatum,"&gt;="&amp;$E6659,SondDatum,"&lt;="&amp;EOMONTH($E6659,0)),$J6659-$M6659))</f>
      </c>
      <c r="O6659" s="43">
        <f>IF($I6659=0,0,INDEX(DarlErsatzRate,14))</f>
      </c>
      <c r="P6659" s="43">
        <f>IF($I6659=0,0,$Q6658*INDEX(DarlErsatzZins,14))</f>
      </c>
      <c r="Q6659" s="43">
        <f>IF($I6659=0,0,$Q6658+$P6659+$O6659)</f>
      </c>
      <c r="R6659" s="43">
        <f>IF($I6659=0,0,$J6659-$M6659-$N6659)</f>
      </c>
    </row>
    <row r="6660">
      <c r="A6660"/>
      <c r="B6660">
        <v>14</v>
      </c>
      <c r="C6660" s="43">
        <f>INDEX(DarlObj,14)</f>
      </c>
      <c r="D6660">
        <v>417</v>
      </c>
      <c r="E6660" s="51">
        <f>IF(INDEX(DarlBelegt,14)=0,0,EOMONTH(INDEX(DarlAuszahlung,14),416)+1)</f>
      </c>
      <c r="F6660" s="43">
        <f>IF($E6660=0,0,YEAR($E6660))</f>
      </c>
      <c r="G6660" s="43">
        <f>IF(INDEX(DarlBindung,14)="",1,IF($E6660&lt;=INDEX(DarlBindung,14),1,0))</f>
      </c>
      <c r="H6660" s="43">
        <f>IF($G6660=1,INDEX(DarlSollzins,14),INDEX(DarlAnschluss,14))</f>
      </c>
      <c r="I6660" s="43">
        <f>IF(INDEX(DarlBelegt,14)=0,0,IF(INDEX(DarlOhneTilgung,14)=1,IF(INDEX(DarlBindung,14)="",1,$G6660),IF($J6660&gt;0.005,1,0)))</f>
      </c>
      <c r="J6660" s="43">
        <f>IF($I6659=0,0,$R6659)</f>
      </c>
      <c r="K6660" s="43">
        <f>IF($I6660=0,0,IF(INDEX(DarlOhneTilgung,14)=1,0,IF(AND(INDEX(DarlTilgStart,14)&gt;0,$E6660=INDEX(DarlTilgStart,14)),$J6660*($H6660+INDEX(DarlTilgung,14))/100/12,IF(AND($G6660=0,$G6659=1),MAX($K6659,$J6660*($H6660+1)/100/12),$K6659))))</f>
      </c>
      <c r="L6660" s="43">
        <f>IF($I6660=0,0,$J6660*$H6660/100/12)</f>
      </c>
      <c r="M6660" s="43">
        <f>IF($I6660=0,0,IF(OR(INDEX(DarlOhneTilgung,14)=1,AND(INDEX(DarlTilgStart,14)&gt;0,$E6660&lt;INDEX(DarlTilgStart,14))),0,MIN(MAX(0,$K6660-$L6660),$J6660)))</f>
      </c>
      <c r="N6660" s="43">
        <f>IF($I6660=0,0,MIN(SUMIFS(SondBetrag,SondDarl,14,SondDatum,"&gt;="&amp;$E6660,SondDatum,"&lt;="&amp;EOMONTH($E6660,0)),$J6660-$M6660))</f>
      </c>
      <c r="O6660" s="43">
        <f>IF($I6660=0,0,INDEX(DarlErsatzRate,14))</f>
      </c>
      <c r="P6660" s="43">
        <f>IF($I6660=0,0,$Q6659*INDEX(DarlErsatzZins,14))</f>
      </c>
      <c r="Q6660" s="43">
        <f>IF($I6660=0,0,$Q6659+$P6660+$O6660)</f>
      </c>
      <c r="R6660" s="43">
        <f>IF($I6660=0,0,$J6660-$M6660-$N6660)</f>
      </c>
    </row>
    <row r="6661">
      <c r="A6661"/>
      <c r="B6661">
        <v>14</v>
      </c>
      <c r="C6661" s="43">
        <f>INDEX(DarlObj,14)</f>
      </c>
      <c r="D6661">
        <v>418</v>
      </c>
      <c r="E6661" s="51">
        <f>IF(INDEX(DarlBelegt,14)=0,0,EOMONTH(INDEX(DarlAuszahlung,14),417)+1)</f>
      </c>
      <c r="F6661" s="43">
        <f>IF($E6661=0,0,YEAR($E6661))</f>
      </c>
      <c r="G6661" s="43">
        <f>IF(INDEX(DarlBindung,14)="",1,IF($E6661&lt;=INDEX(DarlBindung,14),1,0))</f>
      </c>
      <c r="H6661" s="43">
        <f>IF($G6661=1,INDEX(DarlSollzins,14),INDEX(DarlAnschluss,14))</f>
      </c>
      <c r="I6661" s="43">
        <f>IF(INDEX(DarlBelegt,14)=0,0,IF(INDEX(DarlOhneTilgung,14)=1,IF(INDEX(DarlBindung,14)="",1,$G6661),IF($J6661&gt;0.005,1,0)))</f>
      </c>
      <c r="J6661" s="43">
        <f>IF($I6660=0,0,$R6660)</f>
      </c>
      <c r="K6661" s="43">
        <f>IF($I6661=0,0,IF(INDEX(DarlOhneTilgung,14)=1,0,IF(AND(INDEX(DarlTilgStart,14)&gt;0,$E6661=INDEX(DarlTilgStart,14)),$J6661*($H6661+INDEX(DarlTilgung,14))/100/12,IF(AND($G6661=0,$G6660=1),MAX($K6660,$J6661*($H6661+1)/100/12),$K6660))))</f>
      </c>
      <c r="L6661" s="43">
        <f>IF($I6661=0,0,$J6661*$H6661/100/12)</f>
      </c>
      <c r="M6661" s="43">
        <f>IF($I6661=0,0,IF(OR(INDEX(DarlOhneTilgung,14)=1,AND(INDEX(DarlTilgStart,14)&gt;0,$E6661&lt;INDEX(DarlTilgStart,14))),0,MIN(MAX(0,$K6661-$L6661),$J6661)))</f>
      </c>
      <c r="N6661" s="43">
        <f>IF($I6661=0,0,MIN(SUMIFS(SondBetrag,SondDarl,14,SondDatum,"&gt;="&amp;$E6661,SondDatum,"&lt;="&amp;EOMONTH($E6661,0)),$J6661-$M6661))</f>
      </c>
      <c r="O6661" s="43">
        <f>IF($I6661=0,0,INDEX(DarlErsatzRate,14))</f>
      </c>
      <c r="P6661" s="43">
        <f>IF($I6661=0,0,$Q6660*INDEX(DarlErsatzZins,14))</f>
      </c>
      <c r="Q6661" s="43">
        <f>IF($I6661=0,0,$Q6660+$P6661+$O6661)</f>
      </c>
      <c r="R6661" s="43">
        <f>IF($I6661=0,0,$J6661-$M6661-$N6661)</f>
      </c>
    </row>
    <row r="6662">
      <c r="A6662"/>
      <c r="B6662">
        <v>14</v>
      </c>
      <c r="C6662" s="43">
        <f>INDEX(DarlObj,14)</f>
      </c>
      <c r="D6662">
        <v>419</v>
      </c>
      <c r="E6662" s="51">
        <f>IF(INDEX(DarlBelegt,14)=0,0,EOMONTH(INDEX(DarlAuszahlung,14),418)+1)</f>
      </c>
      <c r="F6662" s="43">
        <f>IF($E6662=0,0,YEAR($E6662))</f>
      </c>
      <c r="G6662" s="43">
        <f>IF(INDEX(DarlBindung,14)="",1,IF($E6662&lt;=INDEX(DarlBindung,14),1,0))</f>
      </c>
      <c r="H6662" s="43">
        <f>IF($G6662=1,INDEX(DarlSollzins,14),INDEX(DarlAnschluss,14))</f>
      </c>
      <c r="I6662" s="43">
        <f>IF(INDEX(DarlBelegt,14)=0,0,IF(INDEX(DarlOhneTilgung,14)=1,IF(INDEX(DarlBindung,14)="",1,$G6662),IF($J6662&gt;0.005,1,0)))</f>
      </c>
      <c r="J6662" s="43">
        <f>IF($I6661=0,0,$R6661)</f>
      </c>
      <c r="K6662" s="43">
        <f>IF($I6662=0,0,IF(INDEX(DarlOhneTilgung,14)=1,0,IF(AND(INDEX(DarlTilgStart,14)&gt;0,$E6662=INDEX(DarlTilgStart,14)),$J6662*($H6662+INDEX(DarlTilgung,14))/100/12,IF(AND($G6662=0,$G6661=1),MAX($K6661,$J6662*($H6662+1)/100/12),$K6661))))</f>
      </c>
      <c r="L6662" s="43">
        <f>IF($I6662=0,0,$J6662*$H6662/100/12)</f>
      </c>
      <c r="M6662" s="43">
        <f>IF($I6662=0,0,IF(OR(INDEX(DarlOhneTilgung,14)=1,AND(INDEX(DarlTilgStart,14)&gt;0,$E6662&lt;INDEX(DarlTilgStart,14))),0,MIN(MAX(0,$K6662-$L6662),$J6662)))</f>
      </c>
      <c r="N6662" s="43">
        <f>IF($I6662=0,0,MIN(SUMIFS(SondBetrag,SondDarl,14,SondDatum,"&gt;="&amp;$E6662,SondDatum,"&lt;="&amp;EOMONTH($E6662,0)),$J6662-$M6662))</f>
      </c>
      <c r="O6662" s="43">
        <f>IF($I6662=0,0,INDEX(DarlErsatzRate,14))</f>
      </c>
      <c r="P6662" s="43">
        <f>IF($I6662=0,0,$Q6661*INDEX(DarlErsatzZins,14))</f>
      </c>
      <c r="Q6662" s="43">
        <f>IF($I6662=0,0,$Q6661+$P6662+$O6662)</f>
      </c>
      <c r="R6662" s="43">
        <f>IF($I6662=0,0,$J6662-$M6662-$N6662)</f>
      </c>
    </row>
    <row r="6663">
      <c r="A6663"/>
      <c r="B6663">
        <v>14</v>
      </c>
      <c r="C6663" s="43">
        <f>INDEX(DarlObj,14)</f>
      </c>
      <c r="D6663">
        <v>420</v>
      </c>
      <c r="E6663" s="51">
        <f>IF(INDEX(DarlBelegt,14)=0,0,EOMONTH(INDEX(DarlAuszahlung,14),419)+1)</f>
      </c>
      <c r="F6663" s="43">
        <f>IF($E6663=0,0,YEAR($E6663))</f>
      </c>
      <c r="G6663" s="43">
        <f>IF(INDEX(DarlBindung,14)="",1,IF($E6663&lt;=INDEX(DarlBindung,14),1,0))</f>
      </c>
      <c r="H6663" s="43">
        <f>IF($G6663=1,INDEX(DarlSollzins,14),INDEX(DarlAnschluss,14))</f>
      </c>
      <c r="I6663" s="43">
        <f>IF(INDEX(DarlBelegt,14)=0,0,IF(INDEX(DarlOhneTilgung,14)=1,IF(INDEX(DarlBindung,14)="",1,$G6663),IF($J6663&gt;0.005,1,0)))</f>
      </c>
      <c r="J6663" s="43">
        <f>IF($I6662=0,0,$R6662)</f>
      </c>
      <c r="K6663" s="43">
        <f>IF($I6663=0,0,IF(INDEX(DarlOhneTilgung,14)=1,0,IF(AND(INDEX(DarlTilgStart,14)&gt;0,$E6663=INDEX(DarlTilgStart,14)),$J6663*($H6663+INDEX(DarlTilgung,14))/100/12,IF(AND($G6663=0,$G6662=1),MAX($K6662,$J6663*($H6663+1)/100/12),$K6662))))</f>
      </c>
      <c r="L6663" s="43">
        <f>IF($I6663=0,0,$J6663*$H6663/100/12)</f>
      </c>
      <c r="M6663" s="43">
        <f>IF($I6663=0,0,IF(OR(INDEX(DarlOhneTilgung,14)=1,AND(INDEX(DarlTilgStart,14)&gt;0,$E6663&lt;INDEX(DarlTilgStart,14))),0,MIN(MAX(0,$K6663-$L6663),$J6663)))</f>
      </c>
      <c r="N6663" s="43">
        <f>IF($I6663=0,0,MIN(SUMIFS(SondBetrag,SondDarl,14,SondDatum,"&gt;="&amp;$E6663,SondDatum,"&lt;="&amp;EOMONTH($E6663,0)),$J6663-$M6663))</f>
      </c>
      <c r="O6663" s="43">
        <f>IF($I6663=0,0,INDEX(DarlErsatzRate,14))</f>
      </c>
      <c r="P6663" s="43">
        <f>IF($I6663=0,0,$Q6662*INDEX(DarlErsatzZins,14))</f>
      </c>
      <c r="Q6663" s="43">
        <f>IF($I6663=0,0,$Q6662+$P6663+$O6663)</f>
      </c>
      <c r="R6663" s="43">
        <f>IF($I6663=0,0,$J6663-$M6663-$N6663)</f>
      </c>
    </row>
    <row r="6664">
      <c r="A6664"/>
      <c r="B6664">
        <v>14</v>
      </c>
      <c r="C6664" s="43">
        <f>INDEX(DarlObj,14)</f>
      </c>
      <c r="D6664">
        <v>421</v>
      </c>
      <c r="E6664" s="51">
        <f>IF(INDEX(DarlBelegt,14)=0,0,EOMONTH(INDEX(DarlAuszahlung,14),420)+1)</f>
      </c>
      <c r="F6664" s="43">
        <f>IF($E6664=0,0,YEAR($E6664))</f>
      </c>
      <c r="G6664" s="43">
        <f>IF(INDEX(DarlBindung,14)="",1,IF($E6664&lt;=INDEX(DarlBindung,14),1,0))</f>
      </c>
      <c r="H6664" s="43">
        <f>IF($G6664=1,INDEX(DarlSollzins,14),INDEX(DarlAnschluss,14))</f>
      </c>
      <c r="I6664" s="43">
        <f>IF(INDEX(DarlBelegt,14)=0,0,IF(INDEX(DarlOhneTilgung,14)=1,IF(INDEX(DarlBindung,14)="",1,$G6664),IF($J6664&gt;0.005,1,0)))</f>
      </c>
      <c r="J6664" s="43">
        <f>IF($I6663=0,0,$R6663)</f>
      </c>
      <c r="K6664" s="43">
        <f>IF($I6664=0,0,IF(INDEX(DarlOhneTilgung,14)=1,0,IF(AND(INDEX(DarlTilgStart,14)&gt;0,$E6664=INDEX(DarlTilgStart,14)),$J6664*($H6664+INDEX(DarlTilgung,14))/100/12,IF(AND($G6664=0,$G6663=1),MAX($K6663,$J6664*($H6664+1)/100/12),$K6663))))</f>
      </c>
      <c r="L6664" s="43">
        <f>IF($I6664=0,0,$J6664*$H6664/100/12)</f>
      </c>
      <c r="M6664" s="43">
        <f>IF($I6664=0,0,IF(OR(INDEX(DarlOhneTilgung,14)=1,AND(INDEX(DarlTilgStart,14)&gt;0,$E6664&lt;INDEX(DarlTilgStart,14))),0,MIN(MAX(0,$K6664-$L6664),$J6664)))</f>
      </c>
      <c r="N6664" s="43">
        <f>IF($I6664=0,0,MIN(SUMIFS(SondBetrag,SondDarl,14,SondDatum,"&gt;="&amp;$E6664,SondDatum,"&lt;="&amp;EOMONTH($E6664,0)),$J6664-$M6664))</f>
      </c>
      <c r="O6664" s="43">
        <f>IF($I6664=0,0,INDEX(DarlErsatzRate,14))</f>
      </c>
      <c r="P6664" s="43">
        <f>IF($I6664=0,0,$Q6663*INDEX(DarlErsatzZins,14))</f>
      </c>
      <c r="Q6664" s="43">
        <f>IF($I6664=0,0,$Q6663+$P6664+$O6664)</f>
      </c>
      <c r="R6664" s="43">
        <f>IF($I6664=0,0,$J6664-$M6664-$N6664)</f>
      </c>
    </row>
    <row r="6665">
      <c r="A6665"/>
      <c r="B6665">
        <v>14</v>
      </c>
      <c r="C6665" s="43">
        <f>INDEX(DarlObj,14)</f>
      </c>
      <c r="D6665">
        <v>422</v>
      </c>
      <c r="E6665" s="51">
        <f>IF(INDEX(DarlBelegt,14)=0,0,EOMONTH(INDEX(DarlAuszahlung,14),421)+1)</f>
      </c>
      <c r="F6665" s="43">
        <f>IF($E6665=0,0,YEAR($E6665))</f>
      </c>
      <c r="G6665" s="43">
        <f>IF(INDEX(DarlBindung,14)="",1,IF($E6665&lt;=INDEX(DarlBindung,14),1,0))</f>
      </c>
      <c r="H6665" s="43">
        <f>IF($G6665=1,INDEX(DarlSollzins,14),INDEX(DarlAnschluss,14))</f>
      </c>
      <c r="I6665" s="43">
        <f>IF(INDEX(DarlBelegt,14)=0,0,IF(INDEX(DarlOhneTilgung,14)=1,IF(INDEX(DarlBindung,14)="",1,$G6665),IF($J6665&gt;0.005,1,0)))</f>
      </c>
      <c r="J6665" s="43">
        <f>IF($I6664=0,0,$R6664)</f>
      </c>
      <c r="K6665" s="43">
        <f>IF($I6665=0,0,IF(INDEX(DarlOhneTilgung,14)=1,0,IF(AND(INDEX(DarlTilgStart,14)&gt;0,$E6665=INDEX(DarlTilgStart,14)),$J6665*($H6665+INDEX(DarlTilgung,14))/100/12,IF(AND($G6665=0,$G6664=1),MAX($K6664,$J6665*($H6665+1)/100/12),$K6664))))</f>
      </c>
      <c r="L6665" s="43">
        <f>IF($I6665=0,0,$J6665*$H6665/100/12)</f>
      </c>
      <c r="M6665" s="43">
        <f>IF($I6665=0,0,IF(OR(INDEX(DarlOhneTilgung,14)=1,AND(INDEX(DarlTilgStart,14)&gt;0,$E6665&lt;INDEX(DarlTilgStart,14))),0,MIN(MAX(0,$K6665-$L6665),$J6665)))</f>
      </c>
      <c r="N6665" s="43">
        <f>IF($I6665=0,0,MIN(SUMIFS(SondBetrag,SondDarl,14,SondDatum,"&gt;="&amp;$E6665,SondDatum,"&lt;="&amp;EOMONTH($E6665,0)),$J6665-$M6665))</f>
      </c>
      <c r="O6665" s="43">
        <f>IF($I6665=0,0,INDEX(DarlErsatzRate,14))</f>
      </c>
      <c r="P6665" s="43">
        <f>IF($I6665=0,0,$Q6664*INDEX(DarlErsatzZins,14))</f>
      </c>
      <c r="Q6665" s="43">
        <f>IF($I6665=0,0,$Q6664+$P6665+$O6665)</f>
      </c>
      <c r="R6665" s="43">
        <f>IF($I6665=0,0,$J6665-$M6665-$N6665)</f>
      </c>
    </row>
    <row r="6666">
      <c r="A6666"/>
      <c r="B6666">
        <v>14</v>
      </c>
      <c r="C6666" s="43">
        <f>INDEX(DarlObj,14)</f>
      </c>
      <c r="D6666">
        <v>423</v>
      </c>
      <c r="E6666" s="51">
        <f>IF(INDEX(DarlBelegt,14)=0,0,EOMONTH(INDEX(DarlAuszahlung,14),422)+1)</f>
      </c>
      <c r="F6666" s="43">
        <f>IF($E6666=0,0,YEAR($E6666))</f>
      </c>
      <c r="G6666" s="43">
        <f>IF(INDEX(DarlBindung,14)="",1,IF($E6666&lt;=INDEX(DarlBindung,14),1,0))</f>
      </c>
      <c r="H6666" s="43">
        <f>IF($G6666=1,INDEX(DarlSollzins,14),INDEX(DarlAnschluss,14))</f>
      </c>
      <c r="I6666" s="43">
        <f>IF(INDEX(DarlBelegt,14)=0,0,IF(INDEX(DarlOhneTilgung,14)=1,IF(INDEX(DarlBindung,14)="",1,$G6666),IF($J6666&gt;0.005,1,0)))</f>
      </c>
      <c r="J6666" s="43">
        <f>IF($I6665=0,0,$R6665)</f>
      </c>
      <c r="K6666" s="43">
        <f>IF($I6666=0,0,IF(INDEX(DarlOhneTilgung,14)=1,0,IF(AND(INDEX(DarlTilgStart,14)&gt;0,$E6666=INDEX(DarlTilgStart,14)),$J6666*($H6666+INDEX(DarlTilgung,14))/100/12,IF(AND($G6666=0,$G6665=1),MAX($K6665,$J6666*($H6666+1)/100/12),$K6665))))</f>
      </c>
      <c r="L6666" s="43">
        <f>IF($I6666=0,0,$J6666*$H6666/100/12)</f>
      </c>
      <c r="M6666" s="43">
        <f>IF($I6666=0,0,IF(OR(INDEX(DarlOhneTilgung,14)=1,AND(INDEX(DarlTilgStart,14)&gt;0,$E6666&lt;INDEX(DarlTilgStart,14))),0,MIN(MAX(0,$K6666-$L6666),$J6666)))</f>
      </c>
      <c r="N6666" s="43">
        <f>IF($I6666=0,0,MIN(SUMIFS(SondBetrag,SondDarl,14,SondDatum,"&gt;="&amp;$E6666,SondDatum,"&lt;="&amp;EOMONTH($E6666,0)),$J6666-$M6666))</f>
      </c>
      <c r="O6666" s="43">
        <f>IF($I6666=0,0,INDEX(DarlErsatzRate,14))</f>
      </c>
      <c r="P6666" s="43">
        <f>IF($I6666=0,0,$Q6665*INDEX(DarlErsatzZins,14))</f>
      </c>
      <c r="Q6666" s="43">
        <f>IF($I6666=0,0,$Q6665+$P6666+$O6666)</f>
      </c>
      <c r="R6666" s="43">
        <f>IF($I6666=0,0,$J6666-$M6666-$N6666)</f>
      </c>
    </row>
    <row r="6667">
      <c r="A6667"/>
      <c r="B6667">
        <v>14</v>
      </c>
      <c r="C6667" s="43">
        <f>INDEX(DarlObj,14)</f>
      </c>
      <c r="D6667">
        <v>424</v>
      </c>
      <c r="E6667" s="51">
        <f>IF(INDEX(DarlBelegt,14)=0,0,EOMONTH(INDEX(DarlAuszahlung,14),423)+1)</f>
      </c>
      <c r="F6667" s="43">
        <f>IF($E6667=0,0,YEAR($E6667))</f>
      </c>
      <c r="G6667" s="43">
        <f>IF(INDEX(DarlBindung,14)="",1,IF($E6667&lt;=INDEX(DarlBindung,14),1,0))</f>
      </c>
      <c r="H6667" s="43">
        <f>IF($G6667=1,INDEX(DarlSollzins,14),INDEX(DarlAnschluss,14))</f>
      </c>
      <c r="I6667" s="43">
        <f>IF(INDEX(DarlBelegt,14)=0,0,IF(INDEX(DarlOhneTilgung,14)=1,IF(INDEX(DarlBindung,14)="",1,$G6667),IF($J6667&gt;0.005,1,0)))</f>
      </c>
      <c r="J6667" s="43">
        <f>IF($I6666=0,0,$R6666)</f>
      </c>
      <c r="K6667" s="43">
        <f>IF($I6667=0,0,IF(INDEX(DarlOhneTilgung,14)=1,0,IF(AND(INDEX(DarlTilgStart,14)&gt;0,$E6667=INDEX(DarlTilgStart,14)),$J6667*($H6667+INDEX(DarlTilgung,14))/100/12,IF(AND($G6667=0,$G6666=1),MAX($K6666,$J6667*($H6667+1)/100/12),$K6666))))</f>
      </c>
      <c r="L6667" s="43">
        <f>IF($I6667=0,0,$J6667*$H6667/100/12)</f>
      </c>
      <c r="M6667" s="43">
        <f>IF($I6667=0,0,IF(OR(INDEX(DarlOhneTilgung,14)=1,AND(INDEX(DarlTilgStart,14)&gt;0,$E6667&lt;INDEX(DarlTilgStart,14))),0,MIN(MAX(0,$K6667-$L6667),$J6667)))</f>
      </c>
      <c r="N6667" s="43">
        <f>IF($I6667=0,0,MIN(SUMIFS(SondBetrag,SondDarl,14,SondDatum,"&gt;="&amp;$E6667,SondDatum,"&lt;="&amp;EOMONTH($E6667,0)),$J6667-$M6667))</f>
      </c>
      <c r="O6667" s="43">
        <f>IF($I6667=0,0,INDEX(DarlErsatzRate,14))</f>
      </c>
      <c r="P6667" s="43">
        <f>IF($I6667=0,0,$Q6666*INDEX(DarlErsatzZins,14))</f>
      </c>
      <c r="Q6667" s="43">
        <f>IF($I6667=0,0,$Q6666+$P6667+$O6667)</f>
      </c>
      <c r="R6667" s="43">
        <f>IF($I6667=0,0,$J6667-$M6667-$N6667)</f>
      </c>
    </row>
    <row r="6668">
      <c r="A6668"/>
      <c r="B6668">
        <v>14</v>
      </c>
      <c r="C6668" s="43">
        <f>INDEX(DarlObj,14)</f>
      </c>
      <c r="D6668">
        <v>425</v>
      </c>
      <c r="E6668" s="51">
        <f>IF(INDEX(DarlBelegt,14)=0,0,EOMONTH(INDEX(DarlAuszahlung,14),424)+1)</f>
      </c>
      <c r="F6668" s="43">
        <f>IF($E6668=0,0,YEAR($E6668))</f>
      </c>
      <c r="G6668" s="43">
        <f>IF(INDEX(DarlBindung,14)="",1,IF($E6668&lt;=INDEX(DarlBindung,14),1,0))</f>
      </c>
      <c r="H6668" s="43">
        <f>IF($G6668=1,INDEX(DarlSollzins,14),INDEX(DarlAnschluss,14))</f>
      </c>
      <c r="I6668" s="43">
        <f>IF(INDEX(DarlBelegt,14)=0,0,IF(INDEX(DarlOhneTilgung,14)=1,IF(INDEX(DarlBindung,14)="",1,$G6668),IF($J6668&gt;0.005,1,0)))</f>
      </c>
      <c r="J6668" s="43">
        <f>IF($I6667=0,0,$R6667)</f>
      </c>
      <c r="K6668" s="43">
        <f>IF($I6668=0,0,IF(INDEX(DarlOhneTilgung,14)=1,0,IF(AND(INDEX(DarlTilgStart,14)&gt;0,$E6668=INDEX(DarlTilgStart,14)),$J6668*($H6668+INDEX(DarlTilgung,14))/100/12,IF(AND($G6668=0,$G6667=1),MAX($K6667,$J6668*($H6668+1)/100/12),$K6667))))</f>
      </c>
      <c r="L6668" s="43">
        <f>IF($I6668=0,0,$J6668*$H6668/100/12)</f>
      </c>
      <c r="M6668" s="43">
        <f>IF($I6668=0,0,IF(OR(INDEX(DarlOhneTilgung,14)=1,AND(INDEX(DarlTilgStart,14)&gt;0,$E6668&lt;INDEX(DarlTilgStart,14))),0,MIN(MAX(0,$K6668-$L6668),$J6668)))</f>
      </c>
      <c r="N6668" s="43">
        <f>IF($I6668=0,0,MIN(SUMIFS(SondBetrag,SondDarl,14,SondDatum,"&gt;="&amp;$E6668,SondDatum,"&lt;="&amp;EOMONTH($E6668,0)),$J6668-$M6668))</f>
      </c>
      <c r="O6668" s="43">
        <f>IF($I6668=0,0,INDEX(DarlErsatzRate,14))</f>
      </c>
      <c r="P6668" s="43">
        <f>IF($I6668=0,0,$Q6667*INDEX(DarlErsatzZins,14))</f>
      </c>
      <c r="Q6668" s="43">
        <f>IF($I6668=0,0,$Q6667+$P6668+$O6668)</f>
      </c>
      <c r="R6668" s="43">
        <f>IF($I6668=0,0,$J6668-$M6668-$N6668)</f>
      </c>
    </row>
    <row r="6669">
      <c r="A6669"/>
      <c r="B6669">
        <v>14</v>
      </c>
      <c r="C6669" s="43">
        <f>INDEX(DarlObj,14)</f>
      </c>
      <c r="D6669">
        <v>426</v>
      </c>
      <c r="E6669" s="51">
        <f>IF(INDEX(DarlBelegt,14)=0,0,EOMONTH(INDEX(DarlAuszahlung,14),425)+1)</f>
      </c>
      <c r="F6669" s="43">
        <f>IF($E6669=0,0,YEAR($E6669))</f>
      </c>
      <c r="G6669" s="43">
        <f>IF(INDEX(DarlBindung,14)="",1,IF($E6669&lt;=INDEX(DarlBindung,14),1,0))</f>
      </c>
      <c r="H6669" s="43">
        <f>IF($G6669=1,INDEX(DarlSollzins,14),INDEX(DarlAnschluss,14))</f>
      </c>
      <c r="I6669" s="43">
        <f>IF(INDEX(DarlBelegt,14)=0,0,IF(INDEX(DarlOhneTilgung,14)=1,IF(INDEX(DarlBindung,14)="",1,$G6669),IF($J6669&gt;0.005,1,0)))</f>
      </c>
      <c r="J6669" s="43">
        <f>IF($I6668=0,0,$R6668)</f>
      </c>
      <c r="K6669" s="43">
        <f>IF($I6669=0,0,IF(INDEX(DarlOhneTilgung,14)=1,0,IF(AND(INDEX(DarlTilgStart,14)&gt;0,$E6669=INDEX(DarlTilgStart,14)),$J6669*($H6669+INDEX(DarlTilgung,14))/100/12,IF(AND($G6669=0,$G6668=1),MAX($K6668,$J6669*($H6669+1)/100/12),$K6668))))</f>
      </c>
      <c r="L6669" s="43">
        <f>IF($I6669=0,0,$J6669*$H6669/100/12)</f>
      </c>
      <c r="M6669" s="43">
        <f>IF($I6669=0,0,IF(OR(INDEX(DarlOhneTilgung,14)=1,AND(INDEX(DarlTilgStart,14)&gt;0,$E6669&lt;INDEX(DarlTilgStart,14))),0,MIN(MAX(0,$K6669-$L6669),$J6669)))</f>
      </c>
      <c r="N6669" s="43">
        <f>IF($I6669=0,0,MIN(SUMIFS(SondBetrag,SondDarl,14,SondDatum,"&gt;="&amp;$E6669,SondDatum,"&lt;="&amp;EOMONTH($E6669,0)),$J6669-$M6669))</f>
      </c>
      <c r="O6669" s="43">
        <f>IF($I6669=0,0,INDEX(DarlErsatzRate,14))</f>
      </c>
      <c r="P6669" s="43">
        <f>IF($I6669=0,0,$Q6668*INDEX(DarlErsatzZins,14))</f>
      </c>
      <c r="Q6669" s="43">
        <f>IF($I6669=0,0,$Q6668+$P6669+$O6669)</f>
      </c>
      <c r="R6669" s="43">
        <f>IF($I6669=0,0,$J6669-$M6669-$N6669)</f>
      </c>
    </row>
    <row r="6670">
      <c r="A6670"/>
      <c r="B6670">
        <v>14</v>
      </c>
      <c r="C6670" s="43">
        <f>INDEX(DarlObj,14)</f>
      </c>
      <c r="D6670">
        <v>427</v>
      </c>
      <c r="E6670" s="51">
        <f>IF(INDEX(DarlBelegt,14)=0,0,EOMONTH(INDEX(DarlAuszahlung,14),426)+1)</f>
      </c>
      <c r="F6670" s="43">
        <f>IF($E6670=0,0,YEAR($E6670))</f>
      </c>
      <c r="G6670" s="43">
        <f>IF(INDEX(DarlBindung,14)="",1,IF($E6670&lt;=INDEX(DarlBindung,14),1,0))</f>
      </c>
      <c r="H6670" s="43">
        <f>IF($G6670=1,INDEX(DarlSollzins,14),INDEX(DarlAnschluss,14))</f>
      </c>
      <c r="I6670" s="43">
        <f>IF(INDEX(DarlBelegt,14)=0,0,IF(INDEX(DarlOhneTilgung,14)=1,IF(INDEX(DarlBindung,14)="",1,$G6670),IF($J6670&gt;0.005,1,0)))</f>
      </c>
      <c r="J6670" s="43">
        <f>IF($I6669=0,0,$R6669)</f>
      </c>
      <c r="K6670" s="43">
        <f>IF($I6670=0,0,IF(INDEX(DarlOhneTilgung,14)=1,0,IF(AND(INDEX(DarlTilgStart,14)&gt;0,$E6670=INDEX(DarlTilgStart,14)),$J6670*($H6670+INDEX(DarlTilgung,14))/100/12,IF(AND($G6670=0,$G6669=1),MAX($K6669,$J6670*($H6670+1)/100/12),$K6669))))</f>
      </c>
      <c r="L6670" s="43">
        <f>IF($I6670=0,0,$J6670*$H6670/100/12)</f>
      </c>
      <c r="M6670" s="43">
        <f>IF($I6670=0,0,IF(OR(INDEX(DarlOhneTilgung,14)=1,AND(INDEX(DarlTilgStart,14)&gt;0,$E6670&lt;INDEX(DarlTilgStart,14))),0,MIN(MAX(0,$K6670-$L6670),$J6670)))</f>
      </c>
      <c r="N6670" s="43">
        <f>IF($I6670=0,0,MIN(SUMIFS(SondBetrag,SondDarl,14,SondDatum,"&gt;="&amp;$E6670,SondDatum,"&lt;="&amp;EOMONTH($E6670,0)),$J6670-$M6670))</f>
      </c>
      <c r="O6670" s="43">
        <f>IF($I6670=0,0,INDEX(DarlErsatzRate,14))</f>
      </c>
      <c r="P6670" s="43">
        <f>IF($I6670=0,0,$Q6669*INDEX(DarlErsatzZins,14))</f>
      </c>
      <c r="Q6670" s="43">
        <f>IF($I6670=0,0,$Q6669+$P6670+$O6670)</f>
      </c>
      <c r="R6670" s="43">
        <f>IF($I6670=0,0,$J6670-$M6670-$N6670)</f>
      </c>
    </row>
    <row r="6671">
      <c r="A6671"/>
      <c r="B6671">
        <v>14</v>
      </c>
      <c r="C6671" s="43">
        <f>INDEX(DarlObj,14)</f>
      </c>
      <c r="D6671">
        <v>428</v>
      </c>
      <c r="E6671" s="51">
        <f>IF(INDEX(DarlBelegt,14)=0,0,EOMONTH(INDEX(DarlAuszahlung,14),427)+1)</f>
      </c>
      <c r="F6671" s="43">
        <f>IF($E6671=0,0,YEAR($E6671))</f>
      </c>
      <c r="G6671" s="43">
        <f>IF(INDEX(DarlBindung,14)="",1,IF($E6671&lt;=INDEX(DarlBindung,14),1,0))</f>
      </c>
      <c r="H6671" s="43">
        <f>IF($G6671=1,INDEX(DarlSollzins,14),INDEX(DarlAnschluss,14))</f>
      </c>
      <c r="I6671" s="43">
        <f>IF(INDEX(DarlBelegt,14)=0,0,IF(INDEX(DarlOhneTilgung,14)=1,IF(INDEX(DarlBindung,14)="",1,$G6671),IF($J6671&gt;0.005,1,0)))</f>
      </c>
      <c r="J6671" s="43">
        <f>IF($I6670=0,0,$R6670)</f>
      </c>
      <c r="K6671" s="43">
        <f>IF($I6671=0,0,IF(INDEX(DarlOhneTilgung,14)=1,0,IF(AND(INDEX(DarlTilgStart,14)&gt;0,$E6671=INDEX(DarlTilgStart,14)),$J6671*($H6671+INDEX(DarlTilgung,14))/100/12,IF(AND($G6671=0,$G6670=1),MAX($K6670,$J6671*($H6671+1)/100/12),$K6670))))</f>
      </c>
      <c r="L6671" s="43">
        <f>IF($I6671=0,0,$J6671*$H6671/100/12)</f>
      </c>
      <c r="M6671" s="43">
        <f>IF($I6671=0,0,IF(OR(INDEX(DarlOhneTilgung,14)=1,AND(INDEX(DarlTilgStart,14)&gt;0,$E6671&lt;INDEX(DarlTilgStart,14))),0,MIN(MAX(0,$K6671-$L6671),$J6671)))</f>
      </c>
      <c r="N6671" s="43">
        <f>IF($I6671=0,0,MIN(SUMIFS(SondBetrag,SondDarl,14,SondDatum,"&gt;="&amp;$E6671,SondDatum,"&lt;="&amp;EOMONTH($E6671,0)),$J6671-$M6671))</f>
      </c>
      <c r="O6671" s="43">
        <f>IF($I6671=0,0,INDEX(DarlErsatzRate,14))</f>
      </c>
      <c r="P6671" s="43">
        <f>IF($I6671=0,0,$Q6670*INDEX(DarlErsatzZins,14))</f>
      </c>
      <c r="Q6671" s="43">
        <f>IF($I6671=0,0,$Q6670+$P6671+$O6671)</f>
      </c>
      <c r="R6671" s="43">
        <f>IF($I6671=0,0,$J6671-$M6671-$N6671)</f>
      </c>
    </row>
    <row r="6672">
      <c r="A6672"/>
      <c r="B6672">
        <v>14</v>
      </c>
      <c r="C6672" s="43">
        <f>INDEX(DarlObj,14)</f>
      </c>
      <c r="D6672">
        <v>429</v>
      </c>
      <c r="E6672" s="51">
        <f>IF(INDEX(DarlBelegt,14)=0,0,EOMONTH(INDEX(DarlAuszahlung,14),428)+1)</f>
      </c>
      <c r="F6672" s="43">
        <f>IF($E6672=0,0,YEAR($E6672))</f>
      </c>
      <c r="G6672" s="43">
        <f>IF(INDEX(DarlBindung,14)="",1,IF($E6672&lt;=INDEX(DarlBindung,14),1,0))</f>
      </c>
      <c r="H6672" s="43">
        <f>IF($G6672=1,INDEX(DarlSollzins,14),INDEX(DarlAnschluss,14))</f>
      </c>
      <c r="I6672" s="43">
        <f>IF(INDEX(DarlBelegt,14)=0,0,IF(INDEX(DarlOhneTilgung,14)=1,IF(INDEX(DarlBindung,14)="",1,$G6672),IF($J6672&gt;0.005,1,0)))</f>
      </c>
      <c r="J6672" s="43">
        <f>IF($I6671=0,0,$R6671)</f>
      </c>
      <c r="K6672" s="43">
        <f>IF($I6672=0,0,IF(INDEX(DarlOhneTilgung,14)=1,0,IF(AND(INDEX(DarlTilgStart,14)&gt;0,$E6672=INDEX(DarlTilgStart,14)),$J6672*($H6672+INDEX(DarlTilgung,14))/100/12,IF(AND($G6672=0,$G6671=1),MAX($K6671,$J6672*($H6672+1)/100/12),$K6671))))</f>
      </c>
      <c r="L6672" s="43">
        <f>IF($I6672=0,0,$J6672*$H6672/100/12)</f>
      </c>
      <c r="M6672" s="43">
        <f>IF($I6672=0,0,IF(OR(INDEX(DarlOhneTilgung,14)=1,AND(INDEX(DarlTilgStart,14)&gt;0,$E6672&lt;INDEX(DarlTilgStart,14))),0,MIN(MAX(0,$K6672-$L6672),$J6672)))</f>
      </c>
      <c r="N6672" s="43">
        <f>IF($I6672=0,0,MIN(SUMIFS(SondBetrag,SondDarl,14,SondDatum,"&gt;="&amp;$E6672,SondDatum,"&lt;="&amp;EOMONTH($E6672,0)),$J6672-$M6672))</f>
      </c>
      <c r="O6672" s="43">
        <f>IF($I6672=0,0,INDEX(DarlErsatzRate,14))</f>
      </c>
      <c r="P6672" s="43">
        <f>IF($I6672=0,0,$Q6671*INDEX(DarlErsatzZins,14))</f>
      </c>
      <c r="Q6672" s="43">
        <f>IF($I6672=0,0,$Q6671+$P6672+$O6672)</f>
      </c>
      <c r="R6672" s="43">
        <f>IF($I6672=0,0,$J6672-$M6672-$N6672)</f>
      </c>
    </row>
    <row r="6673">
      <c r="A6673"/>
      <c r="B6673">
        <v>14</v>
      </c>
      <c r="C6673" s="43">
        <f>INDEX(DarlObj,14)</f>
      </c>
      <c r="D6673">
        <v>430</v>
      </c>
      <c r="E6673" s="51">
        <f>IF(INDEX(DarlBelegt,14)=0,0,EOMONTH(INDEX(DarlAuszahlung,14),429)+1)</f>
      </c>
      <c r="F6673" s="43">
        <f>IF($E6673=0,0,YEAR($E6673))</f>
      </c>
      <c r="G6673" s="43">
        <f>IF(INDEX(DarlBindung,14)="",1,IF($E6673&lt;=INDEX(DarlBindung,14),1,0))</f>
      </c>
      <c r="H6673" s="43">
        <f>IF($G6673=1,INDEX(DarlSollzins,14),INDEX(DarlAnschluss,14))</f>
      </c>
      <c r="I6673" s="43">
        <f>IF(INDEX(DarlBelegt,14)=0,0,IF(INDEX(DarlOhneTilgung,14)=1,IF(INDEX(DarlBindung,14)="",1,$G6673),IF($J6673&gt;0.005,1,0)))</f>
      </c>
      <c r="J6673" s="43">
        <f>IF($I6672=0,0,$R6672)</f>
      </c>
      <c r="K6673" s="43">
        <f>IF($I6673=0,0,IF(INDEX(DarlOhneTilgung,14)=1,0,IF(AND(INDEX(DarlTilgStart,14)&gt;0,$E6673=INDEX(DarlTilgStart,14)),$J6673*($H6673+INDEX(DarlTilgung,14))/100/12,IF(AND($G6673=0,$G6672=1),MAX($K6672,$J6673*($H6673+1)/100/12),$K6672))))</f>
      </c>
      <c r="L6673" s="43">
        <f>IF($I6673=0,0,$J6673*$H6673/100/12)</f>
      </c>
      <c r="M6673" s="43">
        <f>IF($I6673=0,0,IF(OR(INDEX(DarlOhneTilgung,14)=1,AND(INDEX(DarlTilgStart,14)&gt;0,$E6673&lt;INDEX(DarlTilgStart,14))),0,MIN(MAX(0,$K6673-$L6673),$J6673)))</f>
      </c>
      <c r="N6673" s="43">
        <f>IF($I6673=0,0,MIN(SUMIFS(SondBetrag,SondDarl,14,SondDatum,"&gt;="&amp;$E6673,SondDatum,"&lt;="&amp;EOMONTH($E6673,0)),$J6673-$M6673))</f>
      </c>
      <c r="O6673" s="43">
        <f>IF($I6673=0,0,INDEX(DarlErsatzRate,14))</f>
      </c>
      <c r="P6673" s="43">
        <f>IF($I6673=0,0,$Q6672*INDEX(DarlErsatzZins,14))</f>
      </c>
      <c r="Q6673" s="43">
        <f>IF($I6673=0,0,$Q6672+$P6673+$O6673)</f>
      </c>
      <c r="R6673" s="43">
        <f>IF($I6673=0,0,$J6673-$M6673-$N6673)</f>
      </c>
    </row>
    <row r="6674">
      <c r="A6674"/>
      <c r="B6674">
        <v>14</v>
      </c>
      <c r="C6674" s="43">
        <f>INDEX(DarlObj,14)</f>
      </c>
      <c r="D6674">
        <v>431</v>
      </c>
      <c r="E6674" s="51">
        <f>IF(INDEX(DarlBelegt,14)=0,0,EOMONTH(INDEX(DarlAuszahlung,14),430)+1)</f>
      </c>
      <c r="F6674" s="43">
        <f>IF($E6674=0,0,YEAR($E6674))</f>
      </c>
      <c r="G6674" s="43">
        <f>IF(INDEX(DarlBindung,14)="",1,IF($E6674&lt;=INDEX(DarlBindung,14),1,0))</f>
      </c>
      <c r="H6674" s="43">
        <f>IF($G6674=1,INDEX(DarlSollzins,14),INDEX(DarlAnschluss,14))</f>
      </c>
      <c r="I6674" s="43">
        <f>IF(INDEX(DarlBelegt,14)=0,0,IF(INDEX(DarlOhneTilgung,14)=1,IF(INDEX(DarlBindung,14)="",1,$G6674),IF($J6674&gt;0.005,1,0)))</f>
      </c>
      <c r="J6674" s="43">
        <f>IF($I6673=0,0,$R6673)</f>
      </c>
      <c r="K6674" s="43">
        <f>IF($I6674=0,0,IF(INDEX(DarlOhneTilgung,14)=1,0,IF(AND(INDEX(DarlTilgStart,14)&gt;0,$E6674=INDEX(DarlTilgStart,14)),$J6674*($H6674+INDEX(DarlTilgung,14))/100/12,IF(AND($G6674=0,$G6673=1),MAX($K6673,$J6674*($H6674+1)/100/12),$K6673))))</f>
      </c>
      <c r="L6674" s="43">
        <f>IF($I6674=0,0,$J6674*$H6674/100/12)</f>
      </c>
      <c r="M6674" s="43">
        <f>IF($I6674=0,0,IF(OR(INDEX(DarlOhneTilgung,14)=1,AND(INDEX(DarlTilgStart,14)&gt;0,$E6674&lt;INDEX(DarlTilgStart,14))),0,MIN(MAX(0,$K6674-$L6674),$J6674)))</f>
      </c>
      <c r="N6674" s="43">
        <f>IF($I6674=0,0,MIN(SUMIFS(SondBetrag,SondDarl,14,SondDatum,"&gt;="&amp;$E6674,SondDatum,"&lt;="&amp;EOMONTH($E6674,0)),$J6674-$M6674))</f>
      </c>
      <c r="O6674" s="43">
        <f>IF($I6674=0,0,INDEX(DarlErsatzRate,14))</f>
      </c>
      <c r="P6674" s="43">
        <f>IF($I6674=0,0,$Q6673*INDEX(DarlErsatzZins,14))</f>
      </c>
      <c r="Q6674" s="43">
        <f>IF($I6674=0,0,$Q6673+$P6674+$O6674)</f>
      </c>
      <c r="R6674" s="43">
        <f>IF($I6674=0,0,$J6674-$M6674-$N6674)</f>
      </c>
    </row>
    <row r="6675">
      <c r="A6675"/>
      <c r="B6675">
        <v>14</v>
      </c>
      <c r="C6675" s="43">
        <f>INDEX(DarlObj,14)</f>
      </c>
      <c r="D6675">
        <v>432</v>
      </c>
      <c r="E6675" s="51">
        <f>IF(INDEX(DarlBelegt,14)=0,0,EOMONTH(INDEX(DarlAuszahlung,14),431)+1)</f>
      </c>
      <c r="F6675" s="43">
        <f>IF($E6675=0,0,YEAR($E6675))</f>
      </c>
      <c r="G6675" s="43">
        <f>IF(INDEX(DarlBindung,14)="",1,IF($E6675&lt;=INDEX(DarlBindung,14),1,0))</f>
      </c>
      <c r="H6675" s="43">
        <f>IF($G6675=1,INDEX(DarlSollzins,14),INDEX(DarlAnschluss,14))</f>
      </c>
      <c r="I6675" s="43">
        <f>IF(INDEX(DarlBelegt,14)=0,0,IF(INDEX(DarlOhneTilgung,14)=1,IF(INDEX(DarlBindung,14)="",1,$G6675),IF($J6675&gt;0.005,1,0)))</f>
      </c>
      <c r="J6675" s="43">
        <f>IF($I6674=0,0,$R6674)</f>
      </c>
      <c r="K6675" s="43">
        <f>IF($I6675=0,0,IF(INDEX(DarlOhneTilgung,14)=1,0,IF(AND(INDEX(DarlTilgStart,14)&gt;0,$E6675=INDEX(DarlTilgStart,14)),$J6675*($H6675+INDEX(DarlTilgung,14))/100/12,IF(AND($G6675=0,$G6674=1),MAX($K6674,$J6675*($H6675+1)/100/12),$K6674))))</f>
      </c>
      <c r="L6675" s="43">
        <f>IF($I6675=0,0,$J6675*$H6675/100/12)</f>
      </c>
      <c r="M6675" s="43">
        <f>IF($I6675=0,0,IF(OR(INDEX(DarlOhneTilgung,14)=1,AND(INDEX(DarlTilgStart,14)&gt;0,$E6675&lt;INDEX(DarlTilgStart,14))),0,MIN(MAX(0,$K6675-$L6675),$J6675)))</f>
      </c>
      <c r="N6675" s="43">
        <f>IF($I6675=0,0,MIN(SUMIFS(SondBetrag,SondDarl,14,SondDatum,"&gt;="&amp;$E6675,SondDatum,"&lt;="&amp;EOMONTH($E6675,0)),$J6675-$M6675))</f>
      </c>
      <c r="O6675" s="43">
        <f>IF($I6675=0,0,INDEX(DarlErsatzRate,14))</f>
      </c>
      <c r="P6675" s="43">
        <f>IF($I6675=0,0,$Q6674*INDEX(DarlErsatzZins,14))</f>
      </c>
      <c r="Q6675" s="43">
        <f>IF($I6675=0,0,$Q6674+$P6675+$O6675)</f>
      </c>
      <c r="R6675" s="43">
        <f>IF($I6675=0,0,$J6675-$M6675-$N6675)</f>
      </c>
    </row>
    <row r="6676">
      <c r="A6676"/>
      <c r="B6676">
        <v>14</v>
      </c>
      <c r="C6676" s="43">
        <f>INDEX(DarlObj,14)</f>
      </c>
      <c r="D6676">
        <v>433</v>
      </c>
      <c r="E6676" s="51">
        <f>IF(INDEX(DarlBelegt,14)=0,0,EOMONTH(INDEX(DarlAuszahlung,14),432)+1)</f>
      </c>
      <c r="F6676" s="43">
        <f>IF($E6676=0,0,YEAR($E6676))</f>
      </c>
      <c r="G6676" s="43">
        <f>IF(INDEX(DarlBindung,14)="",1,IF($E6676&lt;=INDEX(DarlBindung,14),1,0))</f>
      </c>
      <c r="H6676" s="43">
        <f>IF($G6676=1,INDEX(DarlSollzins,14),INDEX(DarlAnschluss,14))</f>
      </c>
      <c r="I6676" s="43">
        <f>IF(INDEX(DarlBelegt,14)=0,0,IF(INDEX(DarlOhneTilgung,14)=1,IF(INDEX(DarlBindung,14)="",1,$G6676),IF($J6676&gt;0.005,1,0)))</f>
      </c>
      <c r="J6676" s="43">
        <f>IF($I6675=0,0,$R6675)</f>
      </c>
      <c r="K6676" s="43">
        <f>IF($I6676=0,0,IF(INDEX(DarlOhneTilgung,14)=1,0,IF(AND(INDEX(DarlTilgStart,14)&gt;0,$E6676=INDEX(DarlTilgStart,14)),$J6676*($H6676+INDEX(DarlTilgung,14))/100/12,IF(AND($G6676=0,$G6675=1),MAX($K6675,$J6676*($H6676+1)/100/12),$K6675))))</f>
      </c>
      <c r="L6676" s="43">
        <f>IF($I6676=0,0,$J6676*$H6676/100/12)</f>
      </c>
      <c r="M6676" s="43">
        <f>IF($I6676=0,0,IF(OR(INDEX(DarlOhneTilgung,14)=1,AND(INDEX(DarlTilgStart,14)&gt;0,$E6676&lt;INDEX(DarlTilgStart,14))),0,MIN(MAX(0,$K6676-$L6676),$J6676)))</f>
      </c>
      <c r="N6676" s="43">
        <f>IF($I6676=0,0,MIN(SUMIFS(SondBetrag,SondDarl,14,SondDatum,"&gt;="&amp;$E6676,SondDatum,"&lt;="&amp;EOMONTH($E6676,0)),$J6676-$M6676))</f>
      </c>
      <c r="O6676" s="43">
        <f>IF($I6676=0,0,INDEX(DarlErsatzRate,14))</f>
      </c>
      <c r="P6676" s="43">
        <f>IF($I6676=0,0,$Q6675*INDEX(DarlErsatzZins,14))</f>
      </c>
      <c r="Q6676" s="43">
        <f>IF($I6676=0,0,$Q6675+$P6676+$O6676)</f>
      </c>
      <c r="R6676" s="43">
        <f>IF($I6676=0,0,$J6676-$M6676-$N6676)</f>
      </c>
    </row>
    <row r="6677">
      <c r="A6677"/>
      <c r="B6677">
        <v>14</v>
      </c>
      <c r="C6677" s="43">
        <f>INDEX(DarlObj,14)</f>
      </c>
      <c r="D6677">
        <v>434</v>
      </c>
      <c r="E6677" s="51">
        <f>IF(INDEX(DarlBelegt,14)=0,0,EOMONTH(INDEX(DarlAuszahlung,14),433)+1)</f>
      </c>
      <c r="F6677" s="43">
        <f>IF($E6677=0,0,YEAR($E6677))</f>
      </c>
      <c r="G6677" s="43">
        <f>IF(INDEX(DarlBindung,14)="",1,IF($E6677&lt;=INDEX(DarlBindung,14),1,0))</f>
      </c>
      <c r="H6677" s="43">
        <f>IF($G6677=1,INDEX(DarlSollzins,14),INDEX(DarlAnschluss,14))</f>
      </c>
      <c r="I6677" s="43">
        <f>IF(INDEX(DarlBelegt,14)=0,0,IF(INDEX(DarlOhneTilgung,14)=1,IF(INDEX(DarlBindung,14)="",1,$G6677),IF($J6677&gt;0.005,1,0)))</f>
      </c>
      <c r="J6677" s="43">
        <f>IF($I6676=0,0,$R6676)</f>
      </c>
      <c r="K6677" s="43">
        <f>IF($I6677=0,0,IF(INDEX(DarlOhneTilgung,14)=1,0,IF(AND(INDEX(DarlTilgStart,14)&gt;0,$E6677=INDEX(DarlTilgStart,14)),$J6677*($H6677+INDEX(DarlTilgung,14))/100/12,IF(AND($G6677=0,$G6676=1),MAX($K6676,$J6677*($H6677+1)/100/12),$K6676))))</f>
      </c>
      <c r="L6677" s="43">
        <f>IF($I6677=0,0,$J6677*$H6677/100/12)</f>
      </c>
      <c r="M6677" s="43">
        <f>IF($I6677=0,0,IF(OR(INDEX(DarlOhneTilgung,14)=1,AND(INDEX(DarlTilgStart,14)&gt;0,$E6677&lt;INDEX(DarlTilgStart,14))),0,MIN(MAX(0,$K6677-$L6677),$J6677)))</f>
      </c>
      <c r="N6677" s="43">
        <f>IF($I6677=0,0,MIN(SUMIFS(SondBetrag,SondDarl,14,SondDatum,"&gt;="&amp;$E6677,SondDatum,"&lt;="&amp;EOMONTH($E6677,0)),$J6677-$M6677))</f>
      </c>
      <c r="O6677" s="43">
        <f>IF($I6677=0,0,INDEX(DarlErsatzRate,14))</f>
      </c>
      <c r="P6677" s="43">
        <f>IF($I6677=0,0,$Q6676*INDEX(DarlErsatzZins,14))</f>
      </c>
      <c r="Q6677" s="43">
        <f>IF($I6677=0,0,$Q6676+$P6677+$O6677)</f>
      </c>
      <c r="R6677" s="43">
        <f>IF($I6677=0,0,$J6677-$M6677-$N6677)</f>
      </c>
    </row>
    <row r="6678">
      <c r="A6678"/>
      <c r="B6678">
        <v>14</v>
      </c>
      <c r="C6678" s="43">
        <f>INDEX(DarlObj,14)</f>
      </c>
      <c r="D6678">
        <v>435</v>
      </c>
      <c r="E6678" s="51">
        <f>IF(INDEX(DarlBelegt,14)=0,0,EOMONTH(INDEX(DarlAuszahlung,14),434)+1)</f>
      </c>
      <c r="F6678" s="43">
        <f>IF($E6678=0,0,YEAR($E6678))</f>
      </c>
      <c r="G6678" s="43">
        <f>IF(INDEX(DarlBindung,14)="",1,IF($E6678&lt;=INDEX(DarlBindung,14),1,0))</f>
      </c>
      <c r="H6678" s="43">
        <f>IF($G6678=1,INDEX(DarlSollzins,14),INDEX(DarlAnschluss,14))</f>
      </c>
      <c r="I6678" s="43">
        <f>IF(INDEX(DarlBelegt,14)=0,0,IF(INDEX(DarlOhneTilgung,14)=1,IF(INDEX(DarlBindung,14)="",1,$G6678),IF($J6678&gt;0.005,1,0)))</f>
      </c>
      <c r="J6678" s="43">
        <f>IF($I6677=0,0,$R6677)</f>
      </c>
      <c r="K6678" s="43">
        <f>IF($I6678=0,0,IF(INDEX(DarlOhneTilgung,14)=1,0,IF(AND(INDEX(DarlTilgStart,14)&gt;0,$E6678=INDEX(DarlTilgStart,14)),$J6678*($H6678+INDEX(DarlTilgung,14))/100/12,IF(AND($G6678=0,$G6677=1),MAX($K6677,$J6678*($H6678+1)/100/12),$K6677))))</f>
      </c>
      <c r="L6678" s="43">
        <f>IF($I6678=0,0,$J6678*$H6678/100/12)</f>
      </c>
      <c r="M6678" s="43">
        <f>IF($I6678=0,0,IF(OR(INDEX(DarlOhneTilgung,14)=1,AND(INDEX(DarlTilgStart,14)&gt;0,$E6678&lt;INDEX(DarlTilgStart,14))),0,MIN(MAX(0,$K6678-$L6678),$J6678)))</f>
      </c>
      <c r="N6678" s="43">
        <f>IF($I6678=0,0,MIN(SUMIFS(SondBetrag,SondDarl,14,SondDatum,"&gt;="&amp;$E6678,SondDatum,"&lt;="&amp;EOMONTH($E6678,0)),$J6678-$M6678))</f>
      </c>
      <c r="O6678" s="43">
        <f>IF($I6678=0,0,INDEX(DarlErsatzRate,14))</f>
      </c>
      <c r="P6678" s="43">
        <f>IF($I6678=0,0,$Q6677*INDEX(DarlErsatzZins,14))</f>
      </c>
      <c r="Q6678" s="43">
        <f>IF($I6678=0,0,$Q6677+$P6678+$O6678)</f>
      </c>
      <c r="R6678" s="43">
        <f>IF($I6678=0,0,$J6678-$M6678-$N6678)</f>
      </c>
    </row>
    <row r="6679">
      <c r="A6679"/>
      <c r="B6679">
        <v>14</v>
      </c>
      <c r="C6679" s="43">
        <f>INDEX(DarlObj,14)</f>
      </c>
      <c r="D6679">
        <v>436</v>
      </c>
      <c r="E6679" s="51">
        <f>IF(INDEX(DarlBelegt,14)=0,0,EOMONTH(INDEX(DarlAuszahlung,14),435)+1)</f>
      </c>
      <c r="F6679" s="43">
        <f>IF($E6679=0,0,YEAR($E6679))</f>
      </c>
      <c r="G6679" s="43">
        <f>IF(INDEX(DarlBindung,14)="",1,IF($E6679&lt;=INDEX(DarlBindung,14),1,0))</f>
      </c>
      <c r="H6679" s="43">
        <f>IF($G6679=1,INDEX(DarlSollzins,14),INDEX(DarlAnschluss,14))</f>
      </c>
      <c r="I6679" s="43">
        <f>IF(INDEX(DarlBelegt,14)=0,0,IF(INDEX(DarlOhneTilgung,14)=1,IF(INDEX(DarlBindung,14)="",1,$G6679),IF($J6679&gt;0.005,1,0)))</f>
      </c>
      <c r="J6679" s="43">
        <f>IF($I6678=0,0,$R6678)</f>
      </c>
      <c r="K6679" s="43">
        <f>IF($I6679=0,0,IF(INDEX(DarlOhneTilgung,14)=1,0,IF(AND(INDEX(DarlTilgStart,14)&gt;0,$E6679=INDEX(DarlTilgStart,14)),$J6679*($H6679+INDEX(DarlTilgung,14))/100/12,IF(AND($G6679=0,$G6678=1),MAX($K6678,$J6679*($H6679+1)/100/12),$K6678))))</f>
      </c>
      <c r="L6679" s="43">
        <f>IF($I6679=0,0,$J6679*$H6679/100/12)</f>
      </c>
      <c r="M6679" s="43">
        <f>IF($I6679=0,0,IF(OR(INDEX(DarlOhneTilgung,14)=1,AND(INDEX(DarlTilgStart,14)&gt;0,$E6679&lt;INDEX(DarlTilgStart,14))),0,MIN(MAX(0,$K6679-$L6679),$J6679)))</f>
      </c>
      <c r="N6679" s="43">
        <f>IF($I6679=0,0,MIN(SUMIFS(SondBetrag,SondDarl,14,SondDatum,"&gt;="&amp;$E6679,SondDatum,"&lt;="&amp;EOMONTH($E6679,0)),$J6679-$M6679))</f>
      </c>
      <c r="O6679" s="43">
        <f>IF($I6679=0,0,INDEX(DarlErsatzRate,14))</f>
      </c>
      <c r="P6679" s="43">
        <f>IF($I6679=0,0,$Q6678*INDEX(DarlErsatzZins,14))</f>
      </c>
      <c r="Q6679" s="43">
        <f>IF($I6679=0,0,$Q6678+$P6679+$O6679)</f>
      </c>
      <c r="R6679" s="43">
        <f>IF($I6679=0,0,$J6679-$M6679-$N6679)</f>
      </c>
    </row>
    <row r="6680">
      <c r="A6680"/>
      <c r="B6680">
        <v>14</v>
      </c>
      <c r="C6680" s="43">
        <f>INDEX(DarlObj,14)</f>
      </c>
      <c r="D6680">
        <v>437</v>
      </c>
      <c r="E6680" s="51">
        <f>IF(INDEX(DarlBelegt,14)=0,0,EOMONTH(INDEX(DarlAuszahlung,14),436)+1)</f>
      </c>
      <c r="F6680" s="43">
        <f>IF($E6680=0,0,YEAR($E6680))</f>
      </c>
      <c r="G6680" s="43">
        <f>IF(INDEX(DarlBindung,14)="",1,IF($E6680&lt;=INDEX(DarlBindung,14),1,0))</f>
      </c>
      <c r="H6680" s="43">
        <f>IF($G6680=1,INDEX(DarlSollzins,14),INDEX(DarlAnschluss,14))</f>
      </c>
      <c r="I6680" s="43">
        <f>IF(INDEX(DarlBelegt,14)=0,0,IF(INDEX(DarlOhneTilgung,14)=1,IF(INDEX(DarlBindung,14)="",1,$G6680),IF($J6680&gt;0.005,1,0)))</f>
      </c>
      <c r="J6680" s="43">
        <f>IF($I6679=0,0,$R6679)</f>
      </c>
      <c r="K6680" s="43">
        <f>IF($I6680=0,0,IF(INDEX(DarlOhneTilgung,14)=1,0,IF(AND(INDEX(DarlTilgStart,14)&gt;0,$E6680=INDEX(DarlTilgStart,14)),$J6680*($H6680+INDEX(DarlTilgung,14))/100/12,IF(AND($G6680=0,$G6679=1),MAX($K6679,$J6680*($H6680+1)/100/12),$K6679))))</f>
      </c>
      <c r="L6680" s="43">
        <f>IF($I6680=0,0,$J6680*$H6680/100/12)</f>
      </c>
      <c r="M6680" s="43">
        <f>IF($I6680=0,0,IF(OR(INDEX(DarlOhneTilgung,14)=1,AND(INDEX(DarlTilgStart,14)&gt;0,$E6680&lt;INDEX(DarlTilgStart,14))),0,MIN(MAX(0,$K6680-$L6680),$J6680)))</f>
      </c>
      <c r="N6680" s="43">
        <f>IF($I6680=0,0,MIN(SUMIFS(SondBetrag,SondDarl,14,SondDatum,"&gt;="&amp;$E6680,SondDatum,"&lt;="&amp;EOMONTH($E6680,0)),$J6680-$M6680))</f>
      </c>
      <c r="O6680" s="43">
        <f>IF($I6680=0,0,INDEX(DarlErsatzRate,14))</f>
      </c>
      <c r="P6680" s="43">
        <f>IF($I6680=0,0,$Q6679*INDEX(DarlErsatzZins,14))</f>
      </c>
      <c r="Q6680" s="43">
        <f>IF($I6680=0,0,$Q6679+$P6680+$O6680)</f>
      </c>
      <c r="R6680" s="43">
        <f>IF($I6680=0,0,$J6680-$M6680-$N6680)</f>
      </c>
    </row>
    <row r="6681">
      <c r="A6681"/>
      <c r="B6681">
        <v>14</v>
      </c>
      <c r="C6681" s="43">
        <f>INDEX(DarlObj,14)</f>
      </c>
      <c r="D6681">
        <v>438</v>
      </c>
      <c r="E6681" s="51">
        <f>IF(INDEX(DarlBelegt,14)=0,0,EOMONTH(INDEX(DarlAuszahlung,14),437)+1)</f>
      </c>
      <c r="F6681" s="43">
        <f>IF($E6681=0,0,YEAR($E6681))</f>
      </c>
      <c r="G6681" s="43">
        <f>IF(INDEX(DarlBindung,14)="",1,IF($E6681&lt;=INDEX(DarlBindung,14),1,0))</f>
      </c>
      <c r="H6681" s="43">
        <f>IF($G6681=1,INDEX(DarlSollzins,14),INDEX(DarlAnschluss,14))</f>
      </c>
      <c r="I6681" s="43">
        <f>IF(INDEX(DarlBelegt,14)=0,0,IF(INDEX(DarlOhneTilgung,14)=1,IF(INDEX(DarlBindung,14)="",1,$G6681),IF($J6681&gt;0.005,1,0)))</f>
      </c>
      <c r="J6681" s="43">
        <f>IF($I6680=0,0,$R6680)</f>
      </c>
      <c r="K6681" s="43">
        <f>IF($I6681=0,0,IF(INDEX(DarlOhneTilgung,14)=1,0,IF(AND(INDEX(DarlTilgStart,14)&gt;0,$E6681=INDEX(DarlTilgStart,14)),$J6681*($H6681+INDEX(DarlTilgung,14))/100/12,IF(AND($G6681=0,$G6680=1),MAX($K6680,$J6681*($H6681+1)/100/12),$K6680))))</f>
      </c>
      <c r="L6681" s="43">
        <f>IF($I6681=0,0,$J6681*$H6681/100/12)</f>
      </c>
      <c r="M6681" s="43">
        <f>IF($I6681=0,0,IF(OR(INDEX(DarlOhneTilgung,14)=1,AND(INDEX(DarlTilgStart,14)&gt;0,$E6681&lt;INDEX(DarlTilgStart,14))),0,MIN(MAX(0,$K6681-$L6681),$J6681)))</f>
      </c>
      <c r="N6681" s="43">
        <f>IF($I6681=0,0,MIN(SUMIFS(SondBetrag,SondDarl,14,SondDatum,"&gt;="&amp;$E6681,SondDatum,"&lt;="&amp;EOMONTH($E6681,0)),$J6681-$M6681))</f>
      </c>
      <c r="O6681" s="43">
        <f>IF($I6681=0,0,INDEX(DarlErsatzRate,14))</f>
      </c>
      <c r="P6681" s="43">
        <f>IF($I6681=0,0,$Q6680*INDEX(DarlErsatzZins,14))</f>
      </c>
      <c r="Q6681" s="43">
        <f>IF($I6681=0,0,$Q6680+$P6681+$O6681)</f>
      </c>
      <c r="R6681" s="43">
        <f>IF($I6681=0,0,$J6681-$M6681-$N6681)</f>
      </c>
    </row>
    <row r="6682">
      <c r="A6682"/>
      <c r="B6682">
        <v>14</v>
      </c>
      <c r="C6682" s="43">
        <f>INDEX(DarlObj,14)</f>
      </c>
      <c r="D6682">
        <v>439</v>
      </c>
      <c r="E6682" s="51">
        <f>IF(INDEX(DarlBelegt,14)=0,0,EOMONTH(INDEX(DarlAuszahlung,14),438)+1)</f>
      </c>
      <c r="F6682" s="43">
        <f>IF($E6682=0,0,YEAR($E6682))</f>
      </c>
      <c r="G6682" s="43">
        <f>IF(INDEX(DarlBindung,14)="",1,IF($E6682&lt;=INDEX(DarlBindung,14),1,0))</f>
      </c>
      <c r="H6682" s="43">
        <f>IF($G6682=1,INDEX(DarlSollzins,14),INDEX(DarlAnschluss,14))</f>
      </c>
      <c r="I6682" s="43">
        <f>IF(INDEX(DarlBelegt,14)=0,0,IF(INDEX(DarlOhneTilgung,14)=1,IF(INDEX(DarlBindung,14)="",1,$G6682),IF($J6682&gt;0.005,1,0)))</f>
      </c>
      <c r="J6682" s="43">
        <f>IF($I6681=0,0,$R6681)</f>
      </c>
      <c r="K6682" s="43">
        <f>IF($I6682=0,0,IF(INDEX(DarlOhneTilgung,14)=1,0,IF(AND(INDEX(DarlTilgStart,14)&gt;0,$E6682=INDEX(DarlTilgStart,14)),$J6682*($H6682+INDEX(DarlTilgung,14))/100/12,IF(AND($G6682=0,$G6681=1),MAX($K6681,$J6682*($H6682+1)/100/12),$K6681))))</f>
      </c>
      <c r="L6682" s="43">
        <f>IF($I6682=0,0,$J6682*$H6682/100/12)</f>
      </c>
      <c r="M6682" s="43">
        <f>IF($I6682=0,0,IF(OR(INDEX(DarlOhneTilgung,14)=1,AND(INDEX(DarlTilgStart,14)&gt;0,$E6682&lt;INDEX(DarlTilgStart,14))),0,MIN(MAX(0,$K6682-$L6682),$J6682)))</f>
      </c>
      <c r="N6682" s="43">
        <f>IF($I6682=0,0,MIN(SUMIFS(SondBetrag,SondDarl,14,SondDatum,"&gt;="&amp;$E6682,SondDatum,"&lt;="&amp;EOMONTH($E6682,0)),$J6682-$M6682))</f>
      </c>
      <c r="O6682" s="43">
        <f>IF($I6682=0,0,INDEX(DarlErsatzRate,14))</f>
      </c>
      <c r="P6682" s="43">
        <f>IF($I6682=0,0,$Q6681*INDEX(DarlErsatzZins,14))</f>
      </c>
      <c r="Q6682" s="43">
        <f>IF($I6682=0,0,$Q6681+$P6682+$O6682)</f>
      </c>
      <c r="R6682" s="43">
        <f>IF($I6682=0,0,$J6682-$M6682-$N6682)</f>
      </c>
    </row>
    <row r="6683">
      <c r="A6683"/>
      <c r="B6683">
        <v>14</v>
      </c>
      <c r="C6683" s="43">
        <f>INDEX(DarlObj,14)</f>
      </c>
      <c r="D6683">
        <v>440</v>
      </c>
      <c r="E6683" s="51">
        <f>IF(INDEX(DarlBelegt,14)=0,0,EOMONTH(INDEX(DarlAuszahlung,14),439)+1)</f>
      </c>
      <c r="F6683" s="43">
        <f>IF($E6683=0,0,YEAR($E6683))</f>
      </c>
      <c r="G6683" s="43">
        <f>IF(INDEX(DarlBindung,14)="",1,IF($E6683&lt;=INDEX(DarlBindung,14),1,0))</f>
      </c>
      <c r="H6683" s="43">
        <f>IF($G6683=1,INDEX(DarlSollzins,14),INDEX(DarlAnschluss,14))</f>
      </c>
      <c r="I6683" s="43">
        <f>IF(INDEX(DarlBelegt,14)=0,0,IF(INDEX(DarlOhneTilgung,14)=1,IF(INDEX(DarlBindung,14)="",1,$G6683),IF($J6683&gt;0.005,1,0)))</f>
      </c>
      <c r="J6683" s="43">
        <f>IF($I6682=0,0,$R6682)</f>
      </c>
      <c r="K6683" s="43">
        <f>IF($I6683=0,0,IF(INDEX(DarlOhneTilgung,14)=1,0,IF(AND(INDEX(DarlTilgStart,14)&gt;0,$E6683=INDEX(DarlTilgStart,14)),$J6683*($H6683+INDEX(DarlTilgung,14))/100/12,IF(AND($G6683=0,$G6682=1),MAX($K6682,$J6683*($H6683+1)/100/12),$K6682))))</f>
      </c>
      <c r="L6683" s="43">
        <f>IF($I6683=0,0,$J6683*$H6683/100/12)</f>
      </c>
      <c r="M6683" s="43">
        <f>IF($I6683=0,0,IF(OR(INDEX(DarlOhneTilgung,14)=1,AND(INDEX(DarlTilgStart,14)&gt;0,$E6683&lt;INDEX(DarlTilgStart,14))),0,MIN(MAX(0,$K6683-$L6683),$J6683)))</f>
      </c>
      <c r="N6683" s="43">
        <f>IF($I6683=0,0,MIN(SUMIFS(SondBetrag,SondDarl,14,SondDatum,"&gt;="&amp;$E6683,SondDatum,"&lt;="&amp;EOMONTH($E6683,0)),$J6683-$M6683))</f>
      </c>
      <c r="O6683" s="43">
        <f>IF($I6683=0,0,INDEX(DarlErsatzRate,14))</f>
      </c>
      <c r="P6683" s="43">
        <f>IF($I6683=0,0,$Q6682*INDEX(DarlErsatzZins,14))</f>
      </c>
      <c r="Q6683" s="43">
        <f>IF($I6683=0,0,$Q6682+$P6683+$O6683)</f>
      </c>
      <c r="R6683" s="43">
        <f>IF($I6683=0,0,$J6683-$M6683-$N6683)</f>
      </c>
    </row>
    <row r="6684">
      <c r="A6684"/>
      <c r="B6684">
        <v>14</v>
      </c>
      <c r="C6684" s="43">
        <f>INDEX(DarlObj,14)</f>
      </c>
      <c r="D6684">
        <v>441</v>
      </c>
      <c r="E6684" s="51">
        <f>IF(INDEX(DarlBelegt,14)=0,0,EOMONTH(INDEX(DarlAuszahlung,14),440)+1)</f>
      </c>
      <c r="F6684" s="43">
        <f>IF($E6684=0,0,YEAR($E6684))</f>
      </c>
      <c r="G6684" s="43">
        <f>IF(INDEX(DarlBindung,14)="",1,IF($E6684&lt;=INDEX(DarlBindung,14),1,0))</f>
      </c>
      <c r="H6684" s="43">
        <f>IF($G6684=1,INDEX(DarlSollzins,14),INDEX(DarlAnschluss,14))</f>
      </c>
      <c r="I6684" s="43">
        <f>IF(INDEX(DarlBelegt,14)=0,0,IF(INDEX(DarlOhneTilgung,14)=1,IF(INDEX(DarlBindung,14)="",1,$G6684),IF($J6684&gt;0.005,1,0)))</f>
      </c>
      <c r="J6684" s="43">
        <f>IF($I6683=0,0,$R6683)</f>
      </c>
      <c r="K6684" s="43">
        <f>IF($I6684=0,0,IF(INDEX(DarlOhneTilgung,14)=1,0,IF(AND(INDEX(DarlTilgStart,14)&gt;0,$E6684=INDEX(DarlTilgStart,14)),$J6684*($H6684+INDEX(DarlTilgung,14))/100/12,IF(AND($G6684=0,$G6683=1),MAX($K6683,$J6684*($H6684+1)/100/12),$K6683))))</f>
      </c>
      <c r="L6684" s="43">
        <f>IF($I6684=0,0,$J6684*$H6684/100/12)</f>
      </c>
      <c r="M6684" s="43">
        <f>IF($I6684=0,0,IF(OR(INDEX(DarlOhneTilgung,14)=1,AND(INDEX(DarlTilgStart,14)&gt;0,$E6684&lt;INDEX(DarlTilgStart,14))),0,MIN(MAX(0,$K6684-$L6684),$J6684)))</f>
      </c>
      <c r="N6684" s="43">
        <f>IF($I6684=0,0,MIN(SUMIFS(SondBetrag,SondDarl,14,SondDatum,"&gt;="&amp;$E6684,SondDatum,"&lt;="&amp;EOMONTH($E6684,0)),$J6684-$M6684))</f>
      </c>
      <c r="O6684" s="43">
        <f>IF($I6684=0,0,INDEX(DarlErsatzRate,14))</f>
      </c>
      <c r="P6684" s="43">
        <f>IF($I6684=0,0,$Q6683*INDEX(DarlErsatzZins,14))</f>
      </c>
      <c r="Q6684" s="43">
        <f>IF($I6684=0,0,$Q6683+$P6684+$O6684)</f>
      </c>
      <c r="R6684" s="43">
        <f>IF($I6684=0,0,$J6684-$M6684-$N6684)</f>
      </c>
    </row>
    <row r="6685">
      <c r="A6685"/>
      <c r="B6685">
        <v>14</v>
      </c>
      <c r="C6685" s="43">
        <f>INDEX(DarlObj,14)</f>
      </c>
      <c r="D6685">
        <v>442</v>
      </c>
      <c r="E6685" s="51">
        <f>IF(INDEX(DarlBelegt,14)=0,0,EOMONTH(INDEX(DarlAuszahlung,14),441)+1)</f>
      </c>
      <c r="F6685" s="43">
        <f>IF($E6685=0,0,YEAR($E6685))</f>
      </c>
      <c r="G6685" s="43">
        <f>IF(INDEX(DarlBindung,14)="",1,IF($E6685&lt;=INDEX(DarlBindung,14),1,0))</f>
      </c>
      <c r="H6685" s="43">
        <f>IF($G6685=1,INDEX(DarlSollzins,14),INDEX(DarlAnschluss,14))</f>
      </c>
      <c r="I6685" s="43">
        <f>IF(INDEX(DarlBelegt,14)=0,0,IF(INDEX(DarlOhneTilgung,14)=1,IF(INDEX(DarlBindung,14)="",1,$G6685),IF($J6685&gt;0.005,1,0)))</f>
      </c>
      <c r="J6685" s="43">
        <f>IF($I6684=0,0,$R6684)</f>
      </c>
      <c r="K6685" s="43">
        <f>IF($I6685=0,0,IF(INDEX(DarlOhneTilgung,14)=1,0,IF(AND(INDEX(DarlTilgStart,14)&gt;0,$E6685=INDEX(DarlTilgStart,14)),$J6685*($H6685+INDEX(DarlTilgung,14))/100/12,IF(AND($G6685=0,$G6684=1),MAX($K6684,$J6685*($H6685+1)/100/12),$K6684))))</f>
      </c>
      <c r="L6685" s="43">
        <f>IF($I6685=0,0,$J6685*$H6685/100/12)</f>
      </c>
      <c r="M6685" s="43">
        <f>IF($I6685=0,0,IF(OR(INDEX(DarlOhneTilgung,14)=1,AND(INDEX(DarlTilgStart,14)&gt;0,$E6685&lt;INDEX(DarlTilgStart,14))),0,MIN(MAX(0,$K6685-$L6685),$J6685)))</f>
      </c>
      <c r="N6685" s="43">
        <f>IF($I6685=0,0,MIN(SUMIFS(SondBetrag,SondDarl,14,SondDatum,"&gt;="&amp;$E6685,SondDatum,"&lt;="&amp;EOMONTH($E6685,0)),$J6685-$M6685))</f>
      </c>
      <c r="O6685" s="43">
        <f>IF($I6685=0,0,INDEX(DarlErsatzRate,14))</f>
      </c>
      <c r="P6685" s="43">
        <f>IF($I6685=0,0,$Q6684*INDEX(DarlErsatzZins,14))</f>
      </c>
      <c r="Q6685" s="43">
        <f>IF($I6685=0,0,$Q6684+$P6685+$O6685)</f>
      </c>
      <c r="R6685" s="43">
        <f>IF($I6685=0,0,$J6685-$M6685-$N6685)</f>
      </c>
    </row>
    <row r="6686">
      <c r="A6686"/>
      <c r="B6686">
        <v>14</v>
      </c>
      <c r="C6686" s="43">
        <f>INDEX(DarlObj,14)</f>
      </c>
      <c r="D6686">
        <v>443</v>
      </c>
      <c r="E6686" s="51">
        <f>IF(INDEX(DarlBelegt,14)=0,0,EOMONTH(INDEX(DarlAuszahlung,14),442)+1)</f>
      </c>
      <c r="F6686" s="43">
        <f>IF($E6686=0,0,YEAR($E6686))</f>
      </c>
      <c r="G6686" s="43">
        <f>IF(INDEX(DarlBindung,14)="",1,IF($E6686&lt;=INDEX(DarlBindung,14),1,0))</f>
      </c>
      <c r="H6686" s="43">
        <f>IF($G6686=1,INDEX(DarlSollzins,14),INDEX(DarlAnschluss,14))</f>
      </c>
      <c r="I6686" s="43">
        <f>IF(INDEX(DarlBelegt,14)=0,0,IF(INDEX(DarlOhneTilgung,14)=1,IF(INDEX(DarlBindung,14)="",1,$G6686),IF($J6686&gt;0.005,1,0)))</f>
      </c>
      <c r="J6686" s="43">
        <f>IF($I6685=0,0,$R6685)</f>
      </c>
      <c r="K6686" s="43">
        <f>IF($I6686=0,0,IF(INDEX(DarlOhneTilgung,14)=1,0,IF(AND(INDEX(DarlTilgStart,14)&gt;0,$E6686=INDEX(DarlTilgStart,14)),$J6686*($H6686+INDEX(DarlTilgung,14))/100/12,IF(AND($G6686=0,$G6685=1),MAX($K6685,$J6686*($H6686+1)/100/12),$K6685))))</f>
      </c>
      <c r="L6686" s="43">
        <f>IF($I6686=0,0,$J6686*$H6686/100/12)</f>
      </c>
      <c r="M6686" s="43">
        <f>IF($I6686=0,0,IF(OR(INDEX(DarlOhneTilgung,14)=1,AND(INDEX(DarlTilgStart,14)&gt;0,$E6686&lt;INDEX(DarlTilgStart,14))),0,MIN(MAX(0,$K6686-$L6686),$J6686)))</f>
      </c>
      <c r="N6686" s="43">
        <f>IF($I6686=0,0,MIN(SUMIFS(SondBetrag,SondDarl,14,SondDatum,"&gt;="&amp;$E6686,SondDatum,"&lt;="&amp;EOMONTH($E6686,0)),$J6686-$M6686))</f>
      </c>
      <c r="O6686" s="43">
        <f>IF($I6686=0,0,INDEX(DarlErsatzRate,14))</f>
      </c>
      <c r="P6686" s="43">
        <f>IF($I6686=0,0,$Q6685*INDEX(DarlErsatzZins,14))</f>
      </c>
      <c r="Q6686" s="43">
        <f>IF($I6686=0,0,$Q6685+$P6686+$O6686)</f>
      </c>
      <c r="R6686" s="43">
        <f>IF($I6686=0,0,$J6686-$M6686-$N6686)</f>
      </c>
    </row>
    <row r="6687">
      <c r="A6687"/>
      <c r="B6687">
        <v>14</v>
      </c>
      <c r="C6687" s="43">
        <f>INDEX(DarlObj,14)</f>
      </c>
      <c r="D6687">
        <v>444</v>
      </c>
      <c r="E6687" s="51">
        <f>IF(INDEX(DarlBelegt,14)=0,0,EOMONTH(INDEX(DarlAuszahlung,14),443)+1)</f>
      </c>
      <c r="F6687" s="43">
        <f>IF($E6687=0,0,YEAR($E6687))</f>
      </c>
      <c r="G6687" s="43">
        <f>IF(INDEX(DarlBindung,14)="",1,IF($E6687&lt;=INDEX(DarlBindung,14),1,0))</f>
      </c>
      <c r="H6687" s="43">
        <f>IF($G6687=1,INDEX(DarlSollzins,14),INDEX(DarlAnschluss,14))</f>
      </c>
      <c r="I6687" s="43">
        <f>IF(INDEX(DarlBelegt,14)=0,0,IF(INDEX(DarlOhneTilgung,14)=1,IF(INDEX(DarlBindung,14)="",1,$G6687),IF($J6687&gt;0.005,1,0)))</f>
      </c>
      <c r="J6687" s="43">
        <f>IF($I6686=0,0,$R6686)</f>
      </c>
      <c r="K6687" s="43">
        <f>IF($I6687=0,0,IF(INDEX(DarlOhneTilgung,14)=1,0,IF(AND(INDEX(DarlTilgStart,14)&gt;0,$E6687=INDEX(DarlTilgStart,14)),$J6687*($H6687+INDEX(DarlTilgung,14))/100/12,IF(AND($G6687=0,$G6686=1),MAX($K6686,$J6687*($H6687+1)/100/12),$K6686))))</f>
      </c>
      <c r="L6687" s="43">
        <f>IF($I6687=0,0,$J6687*$H6687/100/12)</f>
      </c>
      <c r="M6687" s="43">
        <f>IF($I6687=0,0,IF(OR(INDEX(DarlOhneTilgung,14)=1,AND(INDEX(DarlTilgStart,14)&gt;0,$E6687&lt;INDEX(DarlTilgStart,14))),0,MIN(MAX(0,$K6687-$L6687),$J6687)))</f>
      </c>
      <c r="N6687" s="43">
        <f>IF($I6687=0,0,MIN(SUMIFS(SondBetrag,SondDarl,14,SondDatum,"&gt;="&amp;$E6687,SondDatum,"&lt;="&amp;EOMONTH($E6687,0)),$J6687-$M6687))</f>
      </c>
      <c r="O6687" s="43">
        <f>IF($I6687=0,0,INDEX(DarlErsatzRate,14))</f>
      </c>
      <c r="P6687" s="43">
        <f>IF($I6687=0,0,$Q6686*INDEX(DarlErsatzZins,14))</f>
      </c>
      <c r="Q6687" s="43">
        <f>IF($I6687=0,0,$Q6686+$P6687+$O6687)</f>
      </c>
      <c r="R6687" s="43">
        <f>IF($I6687=0,0,$J6687-$M6687-$N6687)</f>
      </c>
    </row>
    <row r="6688">
      <c r="A6688"/>
      <c r="B6688">
        <v>14</v>
      </c>
      <c r="C6688" s="43">
        <f>INDEX(DarlObj,14)</f>
      </c>
      <c r="D6688">
        <v>445</v>
      </c>
      <c r="E6688" s="51">
        <f>IF(INDEX(DarlBelegt,14)=0,0,EOMONTH(INDEX(DarlAuszahlung,14),444)+1)</f>
      </c>
      <c r="F6688" s="43">
        <f>IF($E6688=0,0,YEAR($E6688))</f>
      </c>
      <c r="G6688" s="43">
        <f>IF(INDEX(DarlBindung,14)="",1,IF($E6688&lt;=INDEX(DarlBindung,14),1,0))</f>
      </c>
      <c r="H6688" s="43">
        <f>IF($G6688=1,INDEX(DarlSollzins,14),INDEX(DarlAnschluss,14))</f>
      </c>
      <c r="I6688" s="43">
        <f>IF(INDEX(DarlBelegt,14)=0,0,IF(INDEX(DarlOhneTilgung,14)=1,IF(INDEX(DarlBindung,14)="",1,$G6688),IF($J6688&gt;0.005,1,0)))</f>
      </c>
      <c r="J6688" s="43">
        <f>IF($I6687=0,0,$R6687)</f>
      </c>
      <c r="K6688" s="43">
        <f>IF($I6688=0,0,IF(INDEX(DarlOhneTilgung,14)=1,0,IF(AND(INDEX(DarlTilgStart,14)&gt;0,$E6688=INDEX(DarlTilgStart,14)),$J6688*($H6688+INDEX(DarlTilgung,14))/100/12,IF(AND($G6688=0,$G6687=1),MAX($K6687,$J6688*($H6688+1)/100/12),$K6687))))</f>
      </c>
      <c r="L6688" s="43">
        <f>IF($I6688=0,0,$J6688*$H6688/100/12)</f>
      </c>
      <c r="M6688" s="43">
        <f>IF($I6688=0,0,IF(OR(INDEX(DarlOhneTilgung,14)=1,AND(INDEX(DarlTilgStart,14)&gt;0,$E6688&lt;INDEX(DarlTilgStart,14))),0,MIN(MAX(0,$K6688-$L6688),$J6688)))</f>
      </c>
      <c r="N6688" s="43">
        <f>IF($I6688=0,0,MIN(SUMIFS(SondBetrag,SondDarl,14,SondDatum,"&gt;="&amp;$E6688,SondDatum,"&lt;="&amp;EOMONTH($E6688,0)),$J6688-$M6688))</f>
      </c>
      <c r="O6688" s="43">
        <f>IF($I6688=0,0,INDEX(DarlErsatzRate,14))</f>
      </c>
      <c r="P6688" s="43">
        <f>IF($I6688=0,0,$Q6687*INDEX(DarlErsatzZins,14))</f>
      </c>
      <c r="Q6688" s="43">
        <f>IF($I6688=0,0,$Q6687+$P6688+$O6688)</f>
      </c>
      <c r="R6688" s="43">
        <f>IF($I6688=0,0,$J6688-$M6688-$N6688)</f>
      </c>
    </row>
    <row r="6689">
      <c r="A6689"/>
      <c r="B6689">
        <v>14</v>
      </c>
      <c r="C6689" s="43">
        <f>INDEX(DarlObj,14)</f>
      </c>
      <c r="D6689">
        <v>446</v>
      </c>
      <c r="E6689" s="51">
        <f>IF(INDEX(DarlBelegt,14)=0,0,EOMONTH(INDEX(DarlAuszahlung,14),445)+1)</f>
      </c>
      <c r="F6689" s="43">
        <f>IF($E6689=0,0,YEAR($E6689))</f>
      </c>
      <c r="G6689" s="43">
        <f>IF(INDEX(DarlBindung,14)="",1,IF($E6689&lt;=INDEX(DarlBindung,14),1,0))</f>
      </c>
      <c r="H6689" s="43">
        <f>IF($G6689=1,INDEX(DarlSollzins,14),INDEX(DarlAnschluss,14))</f>
      </c>
      <c r="I6689" s="43">
        <f>IF(INDEX(DarlBelegt,14)=0,0,IF(INDEX(DarlOhneTilgung,14)=1,IF(INDEX(DarlBindung,14)="",1,$G6689),IF($J6689&gt;0.005,1,0)))</f>
      </c>
      <c r="J6689" s="43">
        <f>IF($I6688=0,0,$R6688)</f>
      </c>
      <c r="K6689" s="43">
        <f>IF($I6689=0,0,IF(INDEX(DarlOhneTilgung,14)=1,0,IF(AND(INDEX(DarlTilgStart,14)&gt;0,$E6689=INDEX(DarlTilgStart,14)),$J6689*($H6689+INDEX(DarlTilgung,14))/100/12,IF(AND($G6689=0,$G6688=1),MAX($K6688,$J6689*($H6689+1)/100/12),$K6688))))</f>
      </c>
      <c r="L6689" s="43">
        <f>IF($I6689=0,0,$J6689*$H6689/100/12)</f>
      </c>
      <c r="M6689" s="43">
        <f>IF($I6689=0,0,IF(OR(INDEX(DarlOhneTilgung,14)=1,AND(INDEX(DarlTilgStart,14)&gt;0,$E6689&lt;INDEX(DarlTilgStart,14))),0,MIN(MAX(0,$K6689-$L6689),$J6689)))</f>
      </c>
      <c r="N6689" s="43">
        <f>IF($I6689=0,0,MIN(SUMIFS(SondBetrag,SondDarl,14,SondDatum,"&gt;="&amp;$E6689,SondDatum,"&lt;="&amp;EOMONTH($E6689,0)),$J6689-$M6689))</f>
      </c>
      <c r="O6689" s="43">
        <f>IF($I6689=0,0,INDEX(DarlErsatzRate,14))</f>
      </c>
      <c r="P6689" s="43">
        <f>IF($I6689=0,0,$Q6688*INDEX(DarlErsatzZins,14))</f>
      </c>
      <c r="Q6689" s="43">
        <f>IF($I6689=0,0,$Q6688+$P6689+$O6689)</f>
      </c>
      <c r="R6689" s="43">
        <f>IF($I6689=0,0,$J6689-$M6689-$N6689)</f>
      </c>
    </row>
    <row r="6690">
      <c r="A6690"/>
      <c r="B6690">
        <v>14</v>
      </c>
      <c r="C6690" s="43">
        <f>INDEX(DarlObj,14)</f>
      </c>
      <c r="D6690">
        <v>447</v>
      </c>
      <c r="E6690" s="51">
        <f>IF(INDEX(DarlBelegt,14)=0,0,EOMONTH(INDEX(DarlAuszahlung,14),446)+1)</f>
      </c>
      <c r="F6690" s="43">
        <f>IF($E6690=0,0,YEAR($E6690))</f>
      </c>
      <c r="G6690" s="43">
        <f>IF(INDEX(DarlBindung,14)="",1,IF($E6690&lt;=INDEX(DarlBindung,14),1,0))</f>
      </c>
      <c r="H6690" s="43">
        <f>IF($G6690=1,INDEX(DarlSollzins,14),INDEX(DarlAnschluss,14))</f>
      </c>
      <c r="I6690" s="43">
        <f>IF(INDEX(DarlBelegt,14)=0,0,IF(INDEX(DarlOhneTilgung,14)=1,IF(INDEX(DarlBindung,14)="",1,$G6690),IF($J6690&gt;0.005,1,0)))</f>
      </c>
      <c r="J6690" s="43">
        <f>IF($I6689=0,0,$R6689)</f>
      </c>
      <c r="K6690" s="43">
        <f>IF($I6690=0,0,IF(INDEX(DarlOhneTilgung,14)=1,0,IF(AND(INDEX(DarlTilgStart,14)&gt;0,$E6690=INDEX(DarlTilgStart,14)),$J6690*($H6690+INDEX(DarlTilgung,14))/100/12,IF(AND($G6690=0,$G6689=1),MAX($K6689,$J6690*($H6690+1)/100/12),$K6689))))</f>
      </c>
      <c r="L6690" s="43">
        <f>IF($I6690=0,0,$J6690*$H6690/100/12)</f>
      </c>
      <c r="M6690" s="43">
        <f>IF($I6690=0,0,IF(OR(INDEX(DarlOhneTilgung,14)=1,AND(INDEX(DarlTilgStart,14)&gt;0,$E6690&lt;INDEX(DarlTilgStart,14))),0,MIN(MAX(0,$K6690-$L6690),$J6690)))</f>
      </c>
      <c r="N6690" s="43">
        <f>IF($I6690=0,0,MIN(SUMIFS(SondBetrag,SondDarl,14,SondDatum,"&gt;="&amp;$E6690,SondDatum,"&lt;="&amp;EOMONTH($E6690,0)),$J6690-$M6690))</f>
      </c>
      <c r="O6690" s="43">
        <f>IF($I6690=0,0,INDEX(DarlErsatzRate,14))</f>
      </c>
      <c r="P6690" s="43">
        <f>IF($I6690=0,0,$Q6689*INDEX(DarlErsatzZins,14))</f>
      </c>
      <c r="Q6690" s="43">
        <f>IF($I6690=0,0,$Q6689+$P6690+$O6690)</f>
      </c>
      <c r="R6690" s="43">
        <f>IF($I6690=0,0,$J6690-$M6690-$N6690)</f>
      </c>
    </row>
    <row r="6691">
      <c r="A6691"/>
      <c r="B6691">
        <v>14</v>
      </c>
      <c r="C6691" s="43">
        <f>INDEX(DarlObj,14)</f>
      </c>
      <c r="D6691">
        <v>448</v>
      </c>
      <c r="E6691" s="51">
        <f>IF(INDEX(DarlBelegt,14)=0,0,EOMONTH(INDEX(DarlAuszahlung,14),447)+1)</f>
      </c>
      <c r="F6691" s="43">
        <f>IF($E6691=0,0,YEAR($E6691))</f>
      </c>
      <c r="G6691" s="43">
        <f>IF(INDEX(DarlBindung,14)="",1,IF($E6691&lt;=INDEX(DarlBindung,14),1,0))</f>
      </c>
      <c r="H6691" s="43">
        <f>IF($G6691=1,INDEX(DarlSollzins,14),INDEX(DarlAnschluss,14))</f>
      </c>
      <c r="I6691" s="43">
        <f>IF(INDEX(DarlBelegt,14)=0,0,IF(INDEX(DarlOhneTilgung,14)=1,IF(INDEX(DarlBindung,14)="",1,$G6691),IF($J6691&gt;0.005,1,0)))</f>
      </c>
      <c r="J6691" s="43">
        <f>IF($I6690=0,0,$R6690)</f>
      </c>
      <c r="K6691" s="43">
        <f>IF($I6691=0,0,IF(INDEX(DarlOhneTilgung,14)=1,0,IF(AND(INDEX(DarlTilgStart,14)&gt;0,$E6691=INDEX(DarlTilgStart,14)),$J6691*($H6691+INDEX(DarlTilgung,14))/100/12,IF(AND($G6691=0,$G6690=1),MAX($K6690,$J6691*($H6691+1)/100/12),$K6690))))</f>
      </c>
      <c r="L6691" s="43">
        <f>IF($I6691=0,0,$J6691*$H6691/100/12)</f>
      </c>
      <c r="M6691" s="43">
        <f>IF($I6691=0,0,IF(OR(INDEX(DarlOhneTilgung,14)=1,AND(INDEX(DarlTilgStart,14)&gt;0,$E6691&lt;INDEX(DarlTilgStart,14))),0,MIN(MAX(0,$K6691-$L6691),$J6691)))</f>
      </c>
      <c r="N6691" s="43">
        <f>IF($I6691=0,0,MIN(SUMIFS(SondBetrag,SondDarl,14,SondDatum,"&gt;="&amp;$E6691,SondDatum,"&lt;="&amp;EOMONTH($E6691,0)),$J6691-$M6691))</f>
      </c>
      <c r="O6691" s="43">
        <f>IF($I6691=0,0,INDEX(DarlErsatzRate,14))</f>
      </c>
      <c r="P6691" s="43">
        <f>IF($I6691=0,0,$Q6690*INDEX(DarlErsatzZins,14))</f>
      </c>
      <c r="Q6691" s="43">
        <f>IF($I6691=0,0,$Q6690+$P6691+$O6691)</f>
      </c>
      <c r="R6691" s="43">
        <f>IF($I6691=0,0,$J6691-$M6691-$N6691)</f>
      </c>
    </row>
    <row r="6692">
      <c r="A6692"/>
      <c r="B6692">
        <v>14</v>
      </c>
      <c r="C6692" s="43">
        <f>INDEX(DarlObj,14)</f>
      </c>
      <c r="D6692">
        <v>449</v>
      </c>
      <c r="E6692" s="51">
        <f>IF(INDEX(DarlBelegt,14)=0,0,EOMONTH(INDEX(DarlAuszahlung,14),448)+1)</f>
      </c>
      <c r="F6692" s="43">
        <f>IF($E6692=0,0,YEAR($E6692))</f>
      </c>
      <c r="G6692" s="43">
        <f>IF(INDEX(DarlBindung,14)="",1,IF($E6692&lt;=INDEX(DarlBindung,14),1,0))</f>
      </c>
      <c r="H6692" s="43">
        <f>IF($G6692=1,INDEX(DarlSollzins,14),INDEX(DarlAnschluss,14))</f>
      </c>
      <c r="I6692" s="43">
        <f>IF(INDEX(DarlBelegt,14)=0,0,IF(INDEX(DarlOhneTilgung,14)=1,IF(INDEX(DarlBindung,14)="",1,$G6692),IF($J6692&gt;0.005,1,0)))</f>
      </c>
      <c r="J6692" s="43">
        <f>IF($I6691=0,0,$R6691)</f>
      </c>
      <c r="K6692" s="43">
        <f>IF($I6692=0,0,IF(INDEX(DarlOhneTilgung,14)=1,0,IF(AND(INDEX(DarlTilgStart,14)&gt;0,$E6692=INDEX(DarlTilgStart,14)),$J6692*($H6692+INDEX(DarlTilgung,14))/100/12,IF(AND($G6692=0,$G6691=1),MAX($K6691,$J6692*($H6692+1)/100/12),$K6691))))</f>
      </c>
      <c r="L6692" s="43">
        <f>IF($I6692=0,0,$J6692*$H6692/100/12)</f>
      </c>
      <c r="M6692" s="43">
        <f>IF($I6692=0,0,IF(OR(INDEX(DarlOhneTilgung,14)=1,AND(INDEX(DarlTilgStart,14)&gt;0,$E6692&lt;INDEX(DarlTilgStart,14))),0,MIN(MAX(0,$K6692-$L6692),$J6692)))</f>
      </c>
      <c r="N6692" s="43">
        <f>IF($I6692=0,0,MIN(SUMIFS(SondBetrag,SondDarl,14,SondDatum,"&gt;="&amp;$E6692,SondDatum,"&lt;="&amp;EOMONTH($E6692,0)),$J6692-$M6692))</f>
      </c>
      <c r="O6692" s="43">
        <f>IF($I6692=0,0,INDEX(DarlErsatzRate,14))</f>
      </c>
      <c r="P6692" s="43">
        <f>IF($I6692=0,0,$Q6691*INDEX(DarlErsatzZins,14))</f>
      </c>
      <c r="Q6692" s="43">
        <f>IF($I6692=0,0,$Q6691+$P6692+$O6692)</f>
      </c>
      <c r="R6692" s="43">
        <f>IF($I6692=0,0,$J6692-$M6692-$N6692)</f>
      </c>
    </row>
    <row r="6693">
      <c r="A6693"/>
      <c r="B6693">
        <v>14</v>
      </c>
      <c r="C6693" s="43">
        <f>INDEX(DarlObj,14)</f>
      </c>
      <c r="D6693">
        <v>450</v>
      </c>
      <c r="E6693" s="51">
        <f>IF(INDEX(DarlBelegt,14)=0,0,EOMONTH(INDEX(DarlAuszahlung,14),449)+1)</f>
      </c>
      <c r="F6693" s="43">
        <f>IF($E6693=0,0,YEAR($E6693))</f>
      </c>
      <c r="G6693" s="43">
        <f>IF(INDEX(DarlBindung,14)="",1,IF($E6693&lt;=INDEX(DarlBindung,14),1,0))</f>
      </c>
      <c r="H6693" s="43">
        <f>IF($G6693=1,INDEX(DarlSollzins,14),INDEX(DarlAnschluss,14))</f>
      </c>
      <c r="I6693" s="43">
        <f>IF(INDEX(DarlBelegt,14)=0,0,IF(INDEX(DarlOhneTilgung,14)=1,IF(INDEX(DarlBindung,14)="",1,$G6693),IF($J6693&gt;0.005,1,0)))</f>
      </c>
      <c r="J6693" s="43">
        <f>IF($I6692=0,0,$R6692)</f>
      </c>
      <c r="K6693" s="43">
        <f>IF($I6693=0,0,IF(INDEX(DarlOhneTilgung,14)=1,0,IF(AND(INDEX(DarlTilgStart,14)&gt;0,$E6693=INDEX(DarlTilgStart,14)),$J6693*($H6693+INDEX(DarlTilgung,14))/100/12,IF(AND($G6693=0,$G6692=1),MAX($K6692,$J6693*($H6693+1)/100/12),$K6692))))</f>
      </c>
      <c r="L6693" s="43">
        <f>IF($I6693=0,0,$J6693*$H6693/100/12)</f>
      </c>
      <c r="M6693" s="43">
        <f>IF($I6693=0,0,IF(OR(INDEX(DarlOhneTilgung,14)=1,AND(INDEX(DarlTilgStart,14)&gt;0,$E6693&lt;INDEX(DarlTilgStart,14))),0,MIN(MAX(0,$K6693-$L6693),$J6693)))</f>
      </c>
      <c r="N6693" s="43">
        <f>IF($I6693=0,0,MIN(SUMIFS(SondBetrag,SondDarl,14,SondDatum,"&gt;="&amp;$E6693,SondDatum,"&lt;="&amp;EOMONTH($E6693,0)),$J6693-$M6693))</f>
      </c>
      <c r="O6693" s="43">
        <f>IF($I6693=0,0,INDEX(DarlErsatzRate,14))</f>
      </c>
      <c r="P6693" s="43">
        <f>IF($I6693=0,0,$Q6692*INDEX(DarlErsatzZins,14))</f>
      </c>
      <c r="Q6693" s="43">
        <f>IF($I6693=0,0,$Q6692+$P6693+$O6693)</f>
      </c>
      <c r="R6693" s="43">
        <f>IF($I6693=0,0,$J6693-$M6693-$N6693)</f>
      </c>
    </row>
    <row r="6694">
      <c r="A6694"/>
      <c r="B6694">
        <v>14</v>
      </c>
      <c r="C6694" s="43">
        <f>INDEX(DarlObj,14)</f>
      </c>
      <c r="D6694">
        <v>451</v>
      </c>
      <c r="E6694" s="51">
        <f>IF(INDEX(DarlBelegt,14)=0,0,EOMONTH(INDEX(DarlAuszahlung,14),450)+1)</f>
      </c>
      <c r="F6694" s="43">
        <f>IF($E6694=0,0,YEAR($E6694))</f>
      </c>
      <c r="G6694" s="43">
        <f>IF(INDEX(DarlBindung,14)="",1,IF($E6694&lt;=INDEX(DarlBindung,14),1,0))</f>
      </c>
      <c r="H6694" s="43">
        <f>IF($G6694=1,INDEX(DarlSollzins,14),INDEX(DarlAnschluss,14))</f>
      </c>
      <c r="I6694" s="43">
        <f>IF(INDEX(DarlBelegt,14)=0,0,IF(INDEX(DarlOhneTilgung,14)=1,IF(INDEX(DarlBindung,14)="",1,$G6694),IF($J6694&gt;0.005,1,0)))</f>
      </c>
      <c r="J6694" s="43">
        <f>IF($I6693=0,0,$R6693)</f>
      </c>
      <c r="K6694" s="43">
        <f>IF($I6694=0,0,IF(INDEX(DarlOhneTilgung,14)=1,0,IF(AND(INDEX(DarlTilgStart,14)&gt;0,$E6694=INDEX(DarlTilgStart,14)),$J6694*($H6694+INDEX(DarlTilgung,14))/100/12,IF(AND($G6694=0,$G6693=1),MAX($K6693,$J6694*($H6694+1)/100/12),$K6693))))</f>
      </c>
      <c r="L6694" s="43">
        <f>IF($I6694=0,0,$J6694*$H6694/100/12)</f>
      </c>
      <c r="M6694" s="43">
        <f>IF($I6694=0,0,IF(OR(INDEX(DarlOhneTilgung,14)=1,AND(INDEX(DarlTilgStart,14)&gt;0,$E6694&lt;INDEX(DarlTilgStart,14))),0,MIN(MAX(0,$K6694-$L6694),$J6694)))</f>
      </c>
      <c r="N6694" s="43">
        <f>IF($I6694=0,0,MIN(SUMIFS(SondBetrag,SondDarl,14,SondDatum,"&gt;="&amp;$E6694,SondDatum,"&lt;="&amp;EOMONTH($E6694,0)),$J6694-$M6694))</f>
      </c>
      <c r="O6694" s="43">
        <f>IF($I6694=0,0,INDEX(DarlErsatzRate,14))</f>
      </c>
      <c r="P6694" s="43">
        <f>IF($I6694=0,0,$Q6693*INDEX(DarlErsatzZins,14))</f>
      </c>
      <c r="Q6694" s="43">
        <f>IF($I6694=0,0,$Q6693+$P6694+$O6694)</f>
      </c>
      <c r="R6694" s="43">
        <f>IF($I6694=0,0,$J6694-$M6694-$N6694)</f>
      </c>
    </row>
    <row r="6695">
      <c r="A6695"/>
      <c r="B6695">
        <v>14</v>
      </c>
      <c r="C6695" s="43">
        <f>INDEX(DarlObj,14)</f>
      </c>
      <c r="D6695">
        <v>452</v>
      </c>
      <c r="E6695" s="51">
        <f>IF(INDEX(DarlBelegt,14)=0,0,EOMONTH(INDEX(DarlAuszahlung,14),451)+1)</f>
      </c>
      <c r="F6695" s="43">
        <f>IF($E6695=0,0,YEAR($E6695))</f>
      </c>
      <c r="G6695" s="43">
        <f>IF(INDEX(DarlBindung,14)="",1,IF($E6695&lt;=INDEX(DarlBindung,14),1,0))</f>
      </c>
      <c r="H6695" s="43">
        <f>IF($G6695=1,INDEX(DarlSollzins,14),INDEX(DarlAnschluss,14))</f>
      </c>
      <c r="I6695" s="43">
        <f>IF(INDEX(DarlBelegt,14)=0,0,IF(INDEX(DarlOhneTilgung,14)=1,IF(INDEX(DarlBindung,14)="",1,$G6695),IF($J6695&gt;0.005,1,0)))</f>
      </c>
      <c r="J6695" s="43">
        <f>IF($I6694=0,0,$R6694)</f>
      </c>
      <c r="K6695" s="43">
        <f>IF($I6695=0,0,IF(INDEX(DarlOhneTilgung,14)=1,0,IF(AND(INDEX(DarlTilgStart,14)&gt;0,$E6695=INDEX(DarlTilgStart,14)),$J6695*($H6695+INDEX(DarlTilgung,14))/100/12,IF(AND($G6695=0,$G6694=1),MAX($K6694,$J6695*($H6695+1)/100/12),$K6694))))</f>
      </c>
      <c r="L6695" s="43">
        <f>IF($I6695=0,0,$J6695*$H6695/100/12)</f>
      </c>
      <c r="M6695" s="43">
        <f>IF($I6695=0,0,IF(OR(INDEX(DarlOhneTilgung,14)=1,AND(INDEX(DarlTilgStart,14)&gt;0,$E6695&lt;INDEX(DarlTilgStart,14))),0,MIN(MAX(0,$K6695-$L6695),$J6695)))</f>
      </c>
      <c r="N6695" s="43">
        <f>IF($I6695=0,0,MIN(SUMIFS(SondBetrag,SondDarl,14,SondDatum,"&gt;="&amp;$E6695,SondDatum,"&lt;="&amp;EOMONTH($E6695,0)),$J6695-$M6695))</f>
      </c>
      <c r="O6695" s="43">
        <f>IF($I6695=0,0,INDEX(DarlErsatzRate,14))</f>
      </c>
      <c r="P6695" s="43">
        <f>IF($I6695=0,0,$Q6694*INDEX(DarlErsatzZins,14))</f>
      </c>
      <c r="Q6695" s="43">
        <f>IF($I6695=0,0,$Q6694+$P6695+$O6695)</f>
      </c>
      <c r="R6695" s="43">
        <f>IF($I6695=0,0,$J6695-$M6695-$N6695)</f>
      </c>
    </row>
    <row r="6696">
      <c r="A6696"/>
      <c r="B6696">
        <v>14</v>
      </c>
      <c r="C6696" s="43">
        <f>INDEX(DarlObj,14)</f>
      </c>
      <c r="D6696">
        <v>453</v>
      </c>
      <c r="E6696" s="51">
        <f>IF(INDEX(DarlBelegt,14)=0,0,EOMONTH(INDEX(DarlAuszahlung,14),452)+1)</f>
      </c>
      <c r="F6696" s="43">
        <f>IF($E6696=0,0,YEAR($E6696))</f>
      </c>
      <c r="G6696" s="43">
        <f>IF(INDEX(DarlBindung,14)="",1,IF($E6696&lt;=INDEX(DarlBindung,14),1,0))</f>
      </c>
      <c r="H6696" s="43">
        <f>IF($G6696=1,INDEX(DarlSollzins,14),INDEX(DarlAnschluss,14))</f>
      </c>
      <c r="I6696" s="43">
        <f>IF(INDEX(DarlBelegt,14)=0,0,IF(INDEX(DarlOhneTilgung,14)=1,IF(INDEX(DarlBindung,14)="",1,$G6696),IF($J6696&gt;0.005,1,0)))</f>
      </c>
      <c r="J6696" s="43">
        <f>IF($I6695=0,0,$R6695)</f>
      </c>
      <c r="K6696" s="43">
        <f>IF($I6696=0,0,IF(INDEX(DarlOhneTilgung,14)=1,0,IF(AND(INDEX(DarlTilgStart,14)&gt;0,$E6696=INDEX(DarlTilgStart,14)),$J6696*($H6696+INDEX(DarlTilgung,14))/100/12,IF(AND($G6696=0,$G6695=1),MAX($K6695,$J6696*($H6696+1)/100/12),$K6695))))</f>
      </c>
      <c r="L6696" s="43">
        <f>IF($I6696=0,0,$J6696*$H6696/100/12)</f>
      </c>
      <c r="M6696" s="43">
        <f>IF($I6696=0,0,IF(OR(INDEX(DarlOhneTilgung,14)=1,AND(INDEX(DarlTilgStart,14)&gt;0,$E6696&lt;INDEX(DarlTilgStart,14))),0,MIN(MAX(0,$K6696-$L6696),$J6696)))</f>
      </c>
      <c r="N6696" s="43">
        <f>IF($I6696=0,0,MIN(SUMIFS(SondBetrag,SondDarl,14,SondDatum,"&gt;="&amp;$E6696,SondDatum,"&lt;="&amp;EOMONTH($E6696,0)),$J6696-$M6696))</f>
      </c>
      <c r="O6696" s="43">
        <f>IF($I6696=0,0,INDEX(DarlErsatzRate,14))</f>
      </c>
      <c r="P6696" s="43">
        <f>IF($I6696=0,0,$Q6695*INDEX(DarlErsatzZins,14))</f>
      </c>
      <c r="Q6696" s="43">
        <f>IF($I6696=0,0,$Q6695+$P6696+$O6696)</f>
      </c>
      <c r="R6696" s="43">
        <f>IF($I6696=0,0,$J6696-$M6696-$N6696)</f>
      </c>
    </row>
    <row r="6697">
      <c r="A6697"/>
      <c r="B6697">
        <v>14</v>
      </c>
      <c r="C6697" s="43">
        <f>INDEX(DarlObj,14)</f>
      </c>
      <c r="D6697">
        <v>454</v>
      </c>
      <c r="E6697" s="51">
        <f>IF(INDEX(DarlBelegt,14)=0,0,EOMONTH(INDEX(DarlAuszahlung,14),453)+1)</f>
      </c>
      <c r="F6697" s="43">
        <f>IF($E6697=0,0,YEAR($E6697))</f>
      </c>
      <c r="G6697" s="43">
        <f>IF(INDEX(DarlBindung,14)="",1,IF($E6697&lt;=INDEX(DarlBindung,14),1,0))</f>
      </c>
      <c r="H6697" s="43">
        <f>IF($G6697=1,INDEX(DarlSollzins,14),INDEX(DarlAnschluss,14))</f>
      </c>
      <c r="I6697" s="43">
        <f>IF(INDEX(DarlBelegt,14)=0,0,IF(INDEX(DarlOhneTilgung,14)=1,IF(INDEX(DarlBindung,14)="",1,$G6697),IF($J6697&gt;0.005,1,0)))</f>
      </c>
      <c r="J6697" s="43">
        <f>IF($I6696=0,0,$R6696)</f>
      </c>
      <c r="K6697" s="43">
        <f>IF($I6697=0,0,IF(INDEX(DarlOhneTilgung,14)=1,0,IF(AND(INDEX(DarlTilgStart,14)&gt;0,$E6697=INDEX(DarlTilgStart,14)),$J6697*($H6697+INDEX(DarlTilgung,14))/100/12,IF(AND($G6697=0,$G6696=1),MAX($K6696,$J6697*($H6697+1)/100/12),$K6696))))</f>
      </c>
      <c r="L6697" s="43">
        <f>IF($I6697=0,0,$J6697*$H6697/100/12)</f>
      </c>
      <c r="M6697" s="43">
        <f>IF($I6697=0,0,IF(OR(INDEX(DarlOhneTilgung,14)=1,AND(INDEX(DarlTilgStart,14)&gt;0,$E6697&lt;INDEX(DarlTilgStart,14))),0,MIN(MAX(0,$K6697-$L6697),$J6697)))</f>
      </c>
      <c r="N6697" s="43">
        <f>IF($I6697=0,0,MIN(SUMIFS(SondBetrag,SondDarl,14,SondDatum,"&gt;="&amp;$E6697,SondDatum,"&lt;="&amp;EOMONTH($E6697,0)),$J6697-$M6697))</f>
      </c>
      <c r="O6697" s="43">
        <f>IF($I6697=0,0,INDEX(DarlErsatzRate,14))</f>
      </c>
      <c r="P6697" s="43">
        <f>IF($I6697=0,0,$Q6696*INDEX(DarlErsatzZins,14))</f>
      </c>
      <c r="Q6697" s="43">
        <f>IF($I6697=0,0,$Q6696+$P6697+$O6697)</f>
      </c>
      <c r="R6697" s="43">
        <f>IF($I6697=0,0,$J6697-$M6697-$N6697)</f>
      </c>
    </row>
    <row r="6698">
      <c r="A6698"/>
      <c r="B6698">
        <v>14</v>
      </c>
      <c r="C6698" s="43">
        <f>INDEX(DarlObj,14)</f>
      </c>
      <c r="D6698">
        <v>455</v>
      </c>
      <c r="E6698" s="51">
        <f>IF(INDEX(DarlBelegt,14)=0,0,EOMONTH(INDEX(DarlAuszahlung,14),454)+1)</f>
      </c>
      <c r="F6698" s="43">
        <f>IF($E6698=0,0,YEAR($E6698))</f>
      </c>
      <c r="G6698" s="43">
        <f>IF(INDEX(DarlBindung,14)="",1,IF($E6698&lt;=INDEX(DarlBindung,14),1,0))</f>
      </c>
      <c r="H6698" s="43">
        <f>IF($G6698=1,INDEX(DarlSollzins,14),INDEX(DarlAnschluss,14))</f>
      </c>
      <c r="I6698" s="43">
        <f>IF(INDEX(DarlBelegt,14)=0,0,IF(INDEX(DarlOhneTilgung,14)=1,IF(INDEX(DarlBindung,14)="",1,$G6698),IF($J6698&gt;0.005,1,0)))</f>
      </c>
      <c r="J6698" s="43">
        <f>IF($I6697=0,0,$R6697)</f>
      </c>
      <c r="K6698" s="43">
        <f>IF($I6698=0,0,IF(INDEX(DarlOhneTilgung,14)=1,0,IF(AND(INDEX(DarlTilgStart,14)&gt;0,$E6698=INDEX(DarlTilgStart,14)),$J6698*($H6698+INDEX(DarlTilgung,14))/100/12,IF(AND($G6698=0,$G6697=1),MAX($K6697,$J6698*($H6698+1)/100/12),$K6697))))</f>
      </c>
      <c r="L6698" s="43">
        <f>IF($I6698=0,0,$J6698*$H6698/100/12)</f>
      </c>
      <c r="M6698" s="43">
        <f>IF($I6698=0,0,IF(OR(INDEX(DarlOhneTilgung,14)=1,AND(INDEX(DarlTilgStart,14)&gt;0,$E6698&lt;INDEX(DarlTilgStart,14))),0,MIN(MAX(0,$K6698-$L6698),$J6698)))</f>
      </c>
      <c r="N6698" s="43">
        <f>IF($I6698=0,0,MIN(SUMIFS(SondBetrag,SondDarl,14,SondDatum,"&gt;="&amp;$E6698,SondDatum,"&lt;="&amp;EOMONTH($E6698,0)),$J6698-$M6698))</f>
      </c>
      <c r="O6698" s="43">
        <f>IF($I6698=0,0,INDEX(DarlErsatzRate,14))</f>
      </c>
      <c r="P6698" s="43">
        <f>IF($I6698=0,0,$Q6697*INDEX(DarlErsatzZins,14))</f>
      </c>
      <c r="Q6698" s="43">
        <f>IF($I6698=0,0,$Q6697+$P6698+$O6698)</f>
      </c>
      <c r="R6698" s="43">
        <f>IF($I6698=0,0,$J6698-$M6698-$N6698)</f>
      </c>
    </row>
    <row r="6699">
      <c r="A6699"/>
      <c r="B6699">
        <v>14</v>
      </c>
      <c r="C6699" s="43">
        <f>INDEX(DarlObj,14)</f>
      </c>
      <c r="D6699">
        <v>456</v>
      </c>
      <c r="E6699" s="51">
        <f>IF(INDEX(DarlBelegt,14)=0,0,EOMONTH(INDEX(DarlAuszahlung,14),455)+1)</f>
      </c>
      <c r="F6699" s="43">
        <f>IF($E6699=0,0,YEAR($E6699))</f>
      </c>
      <c r="G6699" s="43">
        <f>IF(INDEX(DarlBindung,14)="",1,IF($E6699&lt;=INDEX(DarlBindung,14),1,0))</f>
      </c>
      <c r="H6699" s="43">
        <f>IF($G6699=1,INDEX(DarlSollzins,14),INDEX(DarlAnschluss,14))</f>
      </c>
      <c r="I6699" s="43">
        <f>IF(INDEX(DarlBelegt,14)=0,0,IF(INDEX(DarlOhneTilgung,14)=1,IF(INDEX(DarlBindung,14)="",1,$G6699),IF($J6699&gt;0.005,1,0)))</f>
      </c>
      <c r="J6699" s="43">
        <f>IF($I6698=0,0,$R6698)</f>
      </c>
      <c r="K6699" s="43">
        <f>IF($I6699=0,0,IF(INDEX(DarlOhneTilgung,14)=1,0,IF(AND(INDEX(DarlTilgStart,14)&gt;0,$E6699=INDEX(DarlTilgStart,14)),$J6699*($H6699+INDEX(DarlTilgung,14))/100/12,IF(AND($G6699=0,$G6698=1),MAX($K6698,$J6699*($H6699+1)/100/12),$K6698))))</f>
      </c>
      <c r="L6699" s="43">
        <f>IF($I6699=0,0,$J6699*$H6699/100/12)</f>
      </c>
      <c r="M6699" s="43">
        <f>IF($I6699=0,0,IF(OR(INDEX(DarlOhneTilgung,14)=1,AND(INDEX(DarlTilgStart,14)&gt;0,$E6699&lt;INDEX(DarlTilgStart,14))),0,MIN(MAX(0,$K6699-$L6699),$J6699)))</f>
      </c>
      <c r="N6699" s="43">
        <f>IF($I6699=0,0,MIN(SUMIFS(SondBetrag,SondDarl,14,SondDatum,"&gt;="&amp;$E6699,SondDatum,"&lt;="&amp;EOMONTH($E6699,0)),$J6699-$M6699))</f>
      </c>
      <c r="O6699" s="43">
        <f>IF($I6699=0,0,INDEX(DarlErsatzRate,14))</f>
      </c>
      <c r="P6699" s="43">
        <f>IF($I6699=0,0,$Q6698*INDEX(DarlErsatzZins,14))</f>
      </c>
      <c r="Q6699" s="43">
        <f>IF($I6699=0,0,$Q6698+$P6699+$O6699)</f>
      </c>
      <c r="R6699" s="43">
        <f>IF($I6699=0,0,$J6699-$M6699-$N6699)</f>
      </c>
    </row>
    <row r="6700">
      <c r="A6700"/>
      <c r="B6700">
        <v>14</v>
      </c>
      <c r="C6700" s="43">
        <f>INDEX(DarlObj,14)</f>
      </c>
      <c r="D6700">
        <v>457</v>
      </c>
      <c r="E6700" s="51">
        <f>IF(INDEX(DarlBelegt,14)=0,0,EOMONTH(INDEX(DarlAuszahlung,14),456)+1)</f>
      </c>
      <c r="F6700" s="43">
        <f>IF($E6700=0,0,YEAR($E6700))</f>
      </c>
      <c r="G6700" s="43">
        <f>IF(INDEX(DarlBindung,14)="",1,IF($E6700&lt;=INDEX(DarlBindung,14),1,0))</f>
      </c>
      <c r="H6700" s="43">
        <f>IF($G6700=1,INDEX(DarlSollzins,14),INDEX(DarlAnschluss,14))</f>
      </c>
      <c r="I6700" s="43">
        <f>IF(INDEX(DarlBelegt,14)=0,0,IF(INDEX(DarlOhneTilgung,14)=1,IF(INDEX(DarlBindung,14)="",1,$G6700),IF($J6700&gt;0.005,1,0)))</f>
      </c>
      <c r="J6700" s="43">
        <f>IF($I6699=0,0,$R6699)</f>
      </c>
      <c r="K6700" s="43">
        <f>IF($I6700=0,0,IF(INDEX(DarlOhneTilgung,14)=1,0,IF(AND(INDEX(DarlTilgStart,14)&gt;0,$E6700=INDEX(DarlTilgStart,14)),$J6700*($H6700+INDEX(DarlTilgung,14))/100/12,IF(AND($G6700=0,$G6699=1),MAX($K6699,$J6700*($H6700+1)/100/12),$K6699))))</f>
      </c>
      <c r="L6700" s="43">
        <f>IF($I6700=0,0,$J6700*$H6700/100/12)</f>
      </c>
      <c r="M6700" s="43">
        <f>IF($I6700=0,0,IF(OR(INDEX(DarlOhneTilgung,14)=1,AND(INDEX(DarlTilgStart,14)&gt;0,$E6700&lt;INDEX(DarlTilgStart,14))),0,MIN(MAX(0,$K6700-$L6700),$J6700)))</f>
      </c>
      <c r="N6700" s="43">
        <f>IF($I6700=0,0,MIN(SUMIFS(SondBetrag,SondDarl,14,SondDatum,"&gt;="&amp;$E6700,SondDatum,"&lt;="&amp;EOMONTH($E6700,0)),$J6700-$M6700))</f>
      </c>
      <c r="O6700" s="43">
        <f>IF($I6700=0,0,INDEX(DarlErsatzRate,14))</f>
      </c>
      <c r="P6700" s="43">
        <f>IF($I6700=0,0,$Q6699*INDEX(DarlErsatzZins,14))</f>
      </c>
      <c r="Q6700" s="43">
        <f>IF($I6700=0,0,$Q6699+$P6700+$O6700)</f>
      </c>
      <c r="R6700" s="43">
        <f>IF($I6700=0,0,$J6700-$M6700-$N6700)</f>
      </c>
    </row>
    <row r="6701">
      <c r="A6701"/>
      <c r="B6701">
        <v>14</v>
      </c>
      <c r="C6701" s="43">
        <f>INDEX(DarlObj,14)</f>
      </c>
      <c r="D6701">
        <v>458</v>
      </c>
      <c r="E6701" s="51">
        <f>IF(INDEX(DarlBelegt,14)=0,0,EOMONTH(INDEX(DarlAuszahlung,14),457)+1)</f>
      </c>
      <c r="F6701" s="43">
        <f>IF($E6701=0,0,YEAR($E6701))</f>
      </c>
      <c r="G6701" s="43">
        <f>IF(INDEX(DarlBindung,14)="",1,IF($E6701&lt;=INDEX(DarlBindung,14),1,0))</f>
      </c>
      <c r="H6701" s="43">
        <f>IF($G6701=1,INDEX(DarlSollzins,14),INDEX(DarlAnschluss,14))</f>
      </c>
      <c r="I6701" s="43">
        <f>IF(INDEX(DarlBelegt,14)=0,0,IF(INDEX(DarlOhneTilgung,14)=1,IF(INDEX(DarlBindung,14)="",1,$G6701),IF($J6701&gt;0.005,1,0)))</f>
      </c>
      <c r="J6701" s="43">
        <f>IF($I6700=0,0,$R6700)</f>
      </c>
      <c r="K6701" s="43">
        <f>IF($I6701=0,0,IF(INDEX(DarlOhneTilgung,14)=1,0,IF(AND(INDEX(DarlTilgStart,14)&gt;0,$E6701=INDEX(DarlTilgStart,14)),$J6701*($H6701+INDEX(DarlTilgung,14))/100/12,IF(AND($G6701=0,$G6700=1),MAX($K6700,$J6701*($H6701+1)/100/12),$K6700))))</f>
      </c>
      <c r="L6701" s="43">
        <f>IF($I6701=0,0,$J6701*$H6701/100/12)</f>
      </c>
      <c r="M6701" s="43">
        <f>IF($I6701=0,0,IF(OR(INDEX(DarlOhneTilgung,14)=1,AND(INDEX(DarlTilgStart,14)&gt;0,$E6701&lt;INDEX(DarlTilgStart,14))),0,MIN(MAX(0,$K6701-$L6701),$J6701)))</f>
      </c>
      <c r="N6701" s="43">
        <f>IF($I6701=0,0,MIN(SUMIFS(SondBetrag,SondDarl,14,SondDatum,"&gt;="&amp;$E6701,SondDatum,"&lt;="&amp;EOMONTH($E6701,0)),$J6701-$M6701))</f>
      </c>
      <c r="O6701" s="43">
        <f>IF($I6701=0,0,INDEX(DarlErsatzRate,14))</f>
      </c>
      <c r="P6701" s="43">
        <f>IF($I6701=0,0,$Q6700*INDEX(DarlErsatzZins,14))</f>
      </c>
      <c r="Q6701" s="43">
        <f>IF($I6701=0,0,$Q6700+$P6701+$O6701)</f>
      </c>
      <c r="R6701" s="43">
        <f>IF($I6701=0,0,$J6701-$M6701-$N6701)</f>
      </c>
    </row>
    <row r="6702">
      <c r="A6702"/>
      <c r="B6702">
        <v>14</v>
      </c>
      <c r="C6702" s="43">
        <f>INDEX(DarlObj,14)</f>
      </c>
      <c r="D6702">
        <v>459</v>
      </c>
      <c r="E6702" s="51">
        <f>IF(INDEX(DarlBelegt,14)=0,0,EOMONTH(INDEX(DarlAuszahlung,14),458)+1)</f>
      </c>
      <c r="F6702" s="43">
        <f>IF($E6702=0,0,YEAR($E6702))</f>
      </c>
      <c r="G6702" s="43">
        <f>IF(INDEX(DarlBindung,14)="",1,IF($E6702&lt;=INDEX(DarlBindung,14),1,0))</f>
      </c>
      <c r="H6702" s="43">
        <f>IF($G6702=1,INDEX(DarlSollzins,14),INDEX(DarlAnschluss,14))</f>
      </c>
      <c r="I6702" s="43">
        <f>IF(INDEX(DarlBelegt,14)=0,0,IF(INDEX(DarlOhneTilgung,14)=1,IF(INDEX(DarlBindung,14)="",1,$G6702),IF($J6702&gt;0.005,1,0)))</f>
      </c>
      <c r="J6702" s="43">
        <f>IF($I6701=0,0,$R6701)</f>
      </c>
      <c r="K6702" s="43">
        <f>IF($I6702=0,0,IF(INDEX(DarlOhneTilgung,14)=1,0,IF(AND(INDEX(DarlTilgStart,14)&gt;0,$E6702=INDEX(DarlTilgStart,14)),$J6702*($H6702+INDEX(DarlTilgung,14))/100/12,IF(AND($G6702=0,$G6701=1),MAX($K6701,$J6702*($H6702+1)/100/12),$K6701))))</f>
      </c>
      <c r="L6702" s="43">
        <f>IF($I6702=0,0,$J6702*$H6702/100/12)</f>
      </c>
      <c r="M6702" s="43">
        <f>IF($I6702=0,0,IF(OR(INDEX(DarlOhneTilgung,14)=1,AND(INDEX(DarlTilgStart,14)&gt;0,$E6702&lt;INDEX(DarlTilgStart,14))),0,MIN(MAX(0,$K6702-$L6702),$J6702)))</f>
      </c>
      <c r="N6702" s="43">
        <f>IF($I6702=0,0,MIN(SUMIFS(SondBetrag,SondDarl,14,SondDatum,"&gt;="&amp;$E6702,SondDatum,"&lt;="&amp;EOMONTH($E6702,0)),$J6702-$M6702))</f>
      </c>
      <c r="O6702" s="43">
        <f>IF($I6702=0,0,INDEX(DarlErsatzRate,14))</f>
      </c>
      <c r="P6702" s="43">
        <f>IF($I6702=0,0,$Q6701*INDEX(DarlErsatzZins,14))</f>
      </c>
      <c r="Q6702" s="43">
        <f>IF($I6702=0,0,$Q6701+$P6702+$O6702)</f>
      </c>
      <c r="R6702" s="43">
        <f>IF($I6702=0,0,$J6702-$M6702-$N6702)</f>
      </c>
    </row>
    <row r="6703">
      <c r="A6703"/>
      <c r="B6703">
        <v>14</v>
      </c>
      <c r="C6703" s="43">
        <f>INDEX(DarlObj,14)</f>
      </c>
      <c r="D6703">
        <v>460</v>
      </c>
      <c r="E6703" s="51">
        <f>IF(INDEX(DarlBelegt,14)=0,0,EOMONTH(INDEX(DarlAuszahlung,14),459)+1)</f>
      </c>
      <c r="F6703" s="43">
        <f>IF($E6703=0,0,YEAR($E6703))</f>
      </c>
      <c r="G6703" s="43">
        <f>IF(INDEX(DarlBindung,14)="",1,IF($E6703&lt;=INDEX(DarlBindung,14),1,0))</f>
      </c>
      <c r="H6703" s="43">
        <f>IF($G6703=1,INDEX(DarlSollzins,14),INDEX(DarlAnschluss,14))</f>
      </c>
      <c r="I6703" s="43">
        <f>IF(INDEX(DarlBelegt,14)=0,0,IF(INDEX(DarlOhneTilgung,14)=1,IF(INDEX(DarlBindung,14)="",1,$G6703),IF($J6703&gt;0.005,1,0)))</f>
      </c>
      <c r="J6703" s="43">
        <f>IF($I6702=0,0,$R6702)</f>
      </c>
      <c r="K6703" s="43">
        <f>IF($I6703=0,0,IF(INDEX(DarlOhneTilgung,14)=1,0,IF(AND(INDEX(DarlTilgStart,14)&gt;0,$E6703=INDEX(DarlTilgStart,14)),$J6703*($H6703+INDEX(DarlTilgung,14))/100/12,IF(AND($G6703=0,$G6702=1),MAX($K6702,$J6703*($H6703+1)/100/12),$K6702))))</f>
      </c>
      <c r="L6703" s="43">
        <f>IF($I6703=0,0,$J6703*$H6703/100/12)</f>
      </c>
      <c r="M6703" s="43">
        <f>IF($I6703=0,0,IF(OR(INDEX(DarlOhneTilgung,14)=1,AND(INDEX(DarlTilgStart,14)&gt;0,$E6703&lt;INDEX(DarlTilgStart,14))),0,MIN(MAX(0,$K6703-$L6703),$J6703)))</f>
      </c>
      <c r="N6703" s="43">
        <f>IF($I6703=0,0,MIN(SUMIFS(SondBetrag,SondDarl,14,SondDatum,"&gt;="&amp;$E6703,SondDatum,"&lt;="&amp;EOMONTH($E6703,0)),$J6703-$M6703))</f>
      </c>
      <c r="O6703" s="43">
        <f>IF($I6703=0,0,INDEX(DarlErsatzRate,14))</f>
      </c>
      <c r="P6703" s="43">
        <f>IF($I6703=0,0,$Q6702*INDEX(DarlErsatzZins,14))</f>
      </c>
      <c r="Q6703" s="43">
        <f>IF($I6703=0,0,$Q6702+$P6703+$O6703)</f>
      </c>
      <c r="R6703" s="43">
        <f>IF($I6703=0,0,$J6703-$M6703-$N6703)</f>
      </c>
    </row>
    <row r="6704">
      <c r="A6704"/>
      <c r="B6704">
        <v>14</v>
      </c>
      <c r="C6704" s="43">
        <f>INDEX(DarlObj,14)</f>
      </c>
      <c r="D6704">
        <v>461</v>
      </c>
      <c r="E6704" s="51">
        <f>IF(INDEX(DarlBelegt,14)=0,0,EOMONTH(INDEX(DarlAuszahlung,14),460)+1)</f>
      </c>
      <c r="F6704" s="43">
        <f>IF($E6704=0,0,YEAR($E6704))</f>
      </c>
      <c r="G6704" s="43">
        <f>IF(INDEX(DarlBindung,14)="",1,IF($E6704&lt;=INDEX(DarlBindung,14),1,0))</f>
      </c>
      <c r="H6704" s="43">
        <f>IF($G6704=1,INDEX(DarlSollzins,14),INDEX(DarlAnschluss,14))</f>
      </c>
      <c r="I6704" s="43">
        <f>IF(INDEX(DarlBelegt,14)=0,0,IF(INDEX(DarlOhneTilgung,14)=1,IF(INDEX(DarlBindung,14)="",1,$G6704),IF($J6704&gt;0.005,1,0)))</f>
      </c>
      <c r="J6704" s="43">
        <f>IF($I6703=0,0,$R6703)</f>
      </c>
      <c r="K6704" s="43">
        <f>IF($I6704=0,0,IF(INDEX(DarlOhneTilgung,14)=1,0,IF(AND(INDEX(DarlTilgStart,14)&gt;0,$E6704=INDEX(DarlTilgStart,14)),$J6704*($H6704+INDEX(DarlTilgung,14))/100/12,IF(AND($G6704=0,$G6703=1),MAX($K6703,$J6704*($H6704+1)/100/12),$K6703))))</f>
      </c>
      <c r="L6704" s="43">
        <f>IF($I6704=0,0,$J6704*$H6704/100/12)</f>
      </c>
      <c r="M6704" s="43">
        <f>IF($I6704=0,0,IF(OR(INDEX(DarlOhneTilgung,14)=1,AND(INDEX(DarlTilgStart,14)&gt;0,$E6704&lt;INDEX(DarlTilgStart,14))),0,MIN(MAX(0,$K6704-$L6704),$J6704)))</f>
      </c>
      <c r="N6704" s="43">
        <f>IF($I6704=0,0,MIN(SUMIFS(SondBetrag,SondDarl,14,SondDatum,"&gt;="&amp;$E6704,SondDatum,"&lt;="&amp;EOMONTH($E6704,0)),$J6704-$M6704))</f>
      </c>
      <c r="O6704" s="43">
        <f>IF($I6704=0,0,INDEX(DarlErsatzRate,14))</f>
      </c>
      <c r="P6704" s="43">
        <f>IF($I6704=0,0,$Q6703*INDEX(DarlErsatzZins,14))</f>
      </c>
      <c r="Q6704" s="43">
        <f>IF($I6704=0,0,$Q6703+$P6704+$O6704)</f>
      </c>
      <c r="R6704" s="43">
        <f>IF($I6704=0,0,$J6704-$M6704-$N6704)</f>
      </c>
    </row>
    <row r="6705">
      <c r="A6705"/>
      <c r="B6705">
        <v>14</v>
      </c>
      <c r="C6705" s="43">
        <f>INDEX(DarlObj,14)</f>
      </c>
      <c r="D6705">
        <v>462</v>
      </c>
      <c r="E6705" s="51">
        <f>IF(INDEX(DarlBelegt,14)=0,0,EOMONTH(INDEX(DarlAuszahlung,14),461)+1)</f>
      </c>
      <c r="F6705" s="43">
        <f>IF($E6705=0,0,YEAR($E6705))</f>
      </c>
      <c r="G6705" s="43">
        <f>IF(INDEX(DarlBindung,14)="",1,IF($E6705&lt;=INDEX(DarlBindung,14),1,0))</f>
      </c>
      <c r="H6705" s="43">
        <f>IF($G6705=1,INDEX(DarlSollzins,14),INDEX(DarlAnschluss,14))</f>
      </c>
      <c r="I6705" s="43">
        <f>IF(INDEX(DarlBelegt,14)=0,0,IF(INDEX(DarlOhneTilgung,14)=1,IF(INDEX(DarlBindung,14)="",1,$G6705),IF($J6705&gt;0.005,1,0)))</f>
      </c>
      <c r="J6705" s="43">
        <f>IF($I6704=0,0,$R6704)</f>
      </c>
      <c r="K6705" s="43">
        <f>IF($I6705=0,0,IF(INDEX(DarlOhneTilgung,14)=1,0,IF(AND(INDEX(DarlTilgStart,14)&gt;0,$E6705=INDEX(DarlTilgStart,14)),$J6705*($H6705+INDEX(DarlTilgung,14))/100/12,IF(AND($G6705=0,$G6704=1),MAX($K6704,$J6705*($H6705+1)/100/12),$K6704))))</f>
      </c>
      <c r="L6705" s="43">
        <f>IF($I6705=0,0,$J6705*$H6705/100/12)</f>
      </c>
      <c r="M6705" s="43">
        <f>IF($I6705=0,0,IF(OR(INDEX(DarlOhneTilgung,14)=1,AND(INDEX(DarlTilgStart,14)&gt;0,$E6705&lt;INDEX(DarlTilgStart,14))),0,MIN(MAX(0,$K6705-$L6705),$J6705)))</f>
      </c>
      <c r="N6705" s="43">
        <f>IF($I6705=0,0,MIN(SUMIFS(SondBetrag,SondDarl,14,SondDatum,"&gt;="&amp;$E6705,SondDatum,"&lt;="&amp;EOMONTH($E6705,0)),$J6705-$M6705))</f>
      </c>
      <c r="O6705" s="43">
        <f>IF($I6705=0,0,INDEX(DarlErsatzRate,14))</f>
      </c>
      <c r="P6705" s="43">
        <f>IF($I6705=0,0,$Q6704*INDEX(DarlErsatzZins,14))</f>
      </c>
      <c r="Q6705" s="43">
        <f>IF($I6705=0,0,$Q6704+$P6705+$O6705)</f>
      </c>
      <c r="R6705" s="43">
        <f>IF($I6705=0,0,$J6705-$M6705-$N6705)</f>
      </c>
    </row>
    <row r="6706">
      <c r="A6706"/>
      <c r="B6706">
        <v>14</v>
      </c>
      <c r="C6706" s="43">
        <f>INDEX(DarlObj,14)</f>
      </c>
      <c r="D6706">
        <v>463</v>
      </c>
      <c r="E6706" s="51">
        <f>IF(INDEX(DarlBelegt,14)=0,0,EOMONTH(INDEX(DarlAuszahlung,14),462)+1)</f>
      </c>
      <c r="F6706" s="43">
        <f>IF($E6706=0,0,YEAR($E6706))</f>
      </c>
      <c r="G6706" s="43">
        <f>IF(INDEX(DarlBindung,14)="",1,IF($E6706&lt;=INDEX(DarlBindung,14),1,0))</f>
      </c>
      <c r="H6706" s="43">
        <f>IF($G6706=1,INDEX(DarlSollzins,14),INDEX(DarlAnschluss,14))</f>
      </c>
      <c r="I6706" s="43">
        <f>IF(INDEX(DarlBelegt,14)=0,0,IF(INDEX(DarlOhneTilgung,14)=1,IF(INDEX(DarlBindung,14)="",1,$G6706),IF($J6706&gt;0.005,1,0)))</f>
      </c>
      <c r="J6706" s="43">
        <f>IF($I6705=0,0,$R6705)</f>
      </c>
      <c r="K6706" s="43">
        <f>IF($I6706=0,0,IF(INDEX(DarlOhneTilgung,14)=1,0,IF(AND(INDEX(DarlTilgStart,14)&gt;0,$E6706=INDEX(DarlTilgStart,14)),$J6706*($H6706+INDEX(DarlTilgung,14))/100/12,IF(AND($G6706=0,$G6705=1),MAX($K6705,$J6706*($H6706+1)/100/12),$K6705))))</f>
      </c>
      <c r="L6706" s="43">
        <f>IF($I6706=0,0,$J6706*$H6706/100/12)</f>
      </c>
      <c r="M6706" s="43">
        <f>IF($I6706=0,0,IF(OR(INDEX(DarlOhneTilgung,14)=1,AND(INDEX(DarlTilgStart,14)&gt;0,$E6706&lt;INDEX(DarlTilgStart,14))),0,MIN(MAX(0,$K6706-$L6706),$J6706)))</f>
      </c>
      <c r="N6706" s="43">
        <f>IF($I6706=0,0,MIN(SUMIFS(SondBetrag,SondDarl,14,SondDatum,"&gt;="&amp;$E6706,SondDatum,"&lt;="&amp;EOMONTH($E6706,0)),$J6706-$M6706))</f>
      </c>
      <c r="O6706" s="43">
        <f>IF($I6706=0,0,INDEX(DarlErsatzRate,14))</f>
      </c>
      <c r="P6706" s="43">
        <f>IF($I6706=0,0,$Q6705*INDEX(DarlErsatzZins,14))</f>
      </c>
      <c r="Q6706" s="43">
        <f>IF($I6706=0,0,$Q6705+$P6706+$O6706)</f>
      </c>
      <c r="R6706" s="43">
        <f>IF($I6706=0,0,$J6706-$M6706-$N6706)</f>
      </c>
    </row>
    <row r="6707">
      <c r="A6707"/>
      <c r="B6707">
        <v>14</v>
      </c>
      <c r="C6707" s="43">
        <f>INDEX(DarlObj,14)</f>
      </c>
      <c r="D6707">
        <v>464</v>
      </c>
      <c r="E6707" s="51">
        <f>IF(INDEX(DarlBelegt,14)=0,0,EOMONTH(INDEX(DarlAuszahlung,14),463)+1)</f>
      </c>
      <c r="F6707" s="43">
        <f>IF($E6707=0,0,YEAR($E6707))</f>
      </c>
      <c r="G6707" s="43">
        <f>IF(INDEX(DarlBindung,14)="",1,IF($E6707&lt;=INDEX(DarlBindung,14),1,0))</f>
      </c>
      <c r="H6707" s="43">
        <f>IF($G6707=1,INDEX(DarlSollzins,14),INDEX(DarlAnschluss,14))</f>
      </c>
      <c r="I6707" s="43">
        <f>IF(INDEX(DarlBelegt,14)=0,0,IF(INDEX(DarlOhneTilgung,14)=1,IF(INDEX(DarlBindung,14)="",1,$G6707),IF($J6707&gt;0.005,1,0)))</f>
      </c>
      <c r="J6707" s="43">
        <f>IF($I6706=0,0,$R6706)</f>
      </c>
      <c r="K6707" s="43">
        <f>IF($I6707=0,0,IF(INDEX(DarlOhneTilgung,14)=1,0,IF(AND(INDEX(DarlTilgStart,14)&gt;0,$E6707=INDEX(DarlTilgStart,14)),$J6707*($H6707+INDEX(DarlTilgung,14))/100/12,IF(AND($G6707=0,$G6706=1),MAX($K6706,$J6707*($H6707+1)/100/12),$K6706))))</f>
      </c>
      <c r="L6707" s="43">
        <f>IF($I6707=0,0,$J6707*$H6707/100/12)</f>
      </c>
      <c r="M6707" s="43">
        <f>IF($I6707=0,0,IF(OR(INDEX(DarlOhneTilgung,14)=1,AND(INDEX(DarlTilgStart,14)&gt;0,$E6707&lt;INDEX(DarlTilgStart,14))),0,MIN(MAX(0,$K6707-$L6707),$J6707)))</f>
      </c>
      <c r="N6707" s="43">
        <f>IF($I6707=0,0,MIN(SUMIFS(SondBetrag,SondDarl,14,SondDatum,"&gt;="&amp;$E6707,SondDatum,"&lt;="&amp;EOMONTH($E6707,0)),$J6707-$M6707))</f>
      </c>
      <c r="O6707" s="43">
        <f>IF($I6707=0,0,INDEX(DarlErsatzRate,14))</f>
      </c>
      <c r="P6707" s="43">
        <f>IF($I6707=0,0,$Q6706*INDEX(DarlErsatzZins,14))</f>
      </c>
      <c r="Q6707" s="43">
        <f>IF($I6707=0,0,$Q6706+$P6707+$O6707)</f>
      </c>
      <c r="R6707" s="43">
        <f>IF($I6707=0,0,$J6707-$M6707-$N6707)</f>
      </c>
    </row>
    <row r="6708">
      <c r="A6708"/>
      <c r="B6708">
        <v>14</v>
      </c>
      <c r="C6708" s="43">
        <f>INDEX(DarlObj,14)</f>
      </c>
      <c r="D6708">
        <v>465</v>
      </c>
      <c r="E6708" s="51">
        <f>IF(INDEX(DarlBelegt,14)=0,0,EOMONTH(INDEX(DarlAuszahlung,14),464)+1)</f>
      </c>
      <c r="F6708" s="43">
        <f>IF($E6708=0,0,YEAR($E6708))</f>
      </c>
      <c r="G6708" s="43">
        <f>IF(INDEX(DarlBindung,14)="",1,IF($E6708&lt;=INDEX(DarlBindung,14),1,0))</f>
      </c>
      <c r="H6708" s="43">
        <f>IF($G6708=1,INDEX(DarlSollzins,14),INDEX(DarlAnschluss,14))</f>
      </c>
      <c r="I6708" s="43">
        <f>IF(INDEX(DarlBelegt,14)=0,0,IF(INDEX(DarlOhneTilgung,14)=1,IF(INDEX(DarlBindung,14)="",1,$G6708),IF($J6708&gt;0.005,1,0)))</f>
      </c>
      <c r="J6708" s="43">
        <f>IF($I6707=0,0,$R6707)</f>
      </c>
      <c r="K6708" s="43">
        <f>IF($I6708=0,0,IF(INDEX(DarlOhneTilgung,14)=1,0,IF(AND(INDEX(DarlTilgStart,14)&gt;0,$E6708=INDEX(DarlTilgStart,14)),$J6708*($H6708+INDEX(DarlTilgung,14))/100/12,IF(AND($G6708=0,$G6707=1),MAX($K6707,$J6708*($H6708+1)/100/12),$K6707))))</f>
      </c>
      <c r="L6708" s="43">
        <f>IF($I6708=0,0,$J6708*$H6708/100/12)</f>
      </c>
      <c r="M6708" s="43">
        <f>IF($I6708=0,0,IF(OR(INDEX(DarlOhneTilgung,14)=1,AND(INDEX(DarlTilgStart,14)&gt;0,$E6708&lt;INDEX(DarlTilgStart,14))),0,MIN(MAX(0,$K6708-$L6708),$J6708)))</f>
      </c>
      <c r="N6708" s="43">
        <f>IF($I6708=0,0,MIN(SUMIFS(SondBetrag,SondDarl,14,SondDatum,"&gt;="&amp;$E6708,SondDatum,"&lt;="&amp;EOMONTH($E6708,0)),$J6708-$M6708))</f>
      </c>
      <c r="O6708" s="43">
        <f>IF($I6708=0,0,INDEX(DarlErsatzRate,14))</f>
      </c>
      <c r="P6708" s="43">
        <f>IF($I6708=0,0,$Q6707*INDEX(DarlErsatzZins,14))</f>
      </c>
      <c r="Q6708" s="43">
        <f>IF($I6708=0,0,$Q6707+$P6708+$O6708)</f>
      </c>
      <c r="R6708" s="43">
        <f>IF($I6708=0,0,$J6708-$M6708-$N6708)</f>
      </c>
    </row>
    <row r="6709">
      <c r="A6709"/>
      <c r="B6709">
        <v>14</v>
      </c>
      <c r="C6709" s="43">
        <f>INDEX(DarlObj,14)</f>
      </c>
      <c r="D6709">
        <v>466</v>
      </c>
      <c r="E6709" s="51">
        <f>IF(INDEX(DarlBelegt,14)=0,0,EOMONTH(INDEX(DarlAuszahlung,14),465)+1)</f>
      </c>
      <c r="F6709" s="43">
        <f>IF($E6709=0,0,YEAR($E6709))</f>
      </c>
      <c r="G6709" s="43">
        <f>IF(INDEX(DarlBindung,14)="",1,IF($E6709&lt;=INDEX(DarlBindung,14),1,0))</f>
      </c>
      <c r="H6709" s="43">
        <f>IF($G6709=1,INDEX(DarlSollzins,14),INDEX(DarlAnschluss,14))</f>
      </c>
      <c r="I6709" s="43">
        <f>IF(INDEX(DarlBelegt,14)=0,0,IF(INDEX(DarlOhneTilgung,14)=1,IF(INDEX(DarlBindung,14)="",1,$G6709),IF($J6709&gt;0.005,1,0)))</f>
      </c>
      <c r="J6709" s="43">
        <f>IF($I6708=0,0,$R6708)</f>
      </c>
      <c r="K6709" s="43">
        <f>IF($I6709=0,0,IF(INDEX(DarlOhneTilgung,14)=1,0,IF(AND(INDEX(DarlTilgStart,14)&gt;0,$E6709=INDEX(DarlTilgStart,14)),$J6709*($H6709+INDEX(DarlTilgung,14))/100/12,IF(AND($G6709=0,$G6708=1),MAX($K6708,$J6709*($H6709+1)/100/12),$K6708))))</f>
      </c>
      <c r="L6709" s="43">
        <f>IF($I6709=0,0,$J6709*$H6709/100/12)</f>
      </c>
      <c r="M6709" s="43">
        <f>IF($I6709=0,0,IF(OR(INDEX(DarlOhneTilgung,14)=1,AND(INDEX(DarlTilgStart,14)&gt;0,$E6709&lt;INDEX(DarlTilgStart,14))),0,MIN(MAX(0,$K6709-$L6709),$J6709)))</f>
      </c>
      <c r="N6709" s="43">
        <f>IF($I6709=0,0,MIN(SUMIFS(SondBetrag,SondDarl,14,SondDatum,"&gt;="&amp;$E6709,SondDatum,"&lt;="&amp;EOMONTH($E6709,0)),$J6709-$M6709))</f>
      </c>
      <c r="O6709" s="43">
        <f>IF($I6709=0,0,INDEX(DarlErsatzRate,14))</f>
      </c>
      <c r="P6709" s="43">
        <f>IF($I6709=0,0,$Q6708*INDEX(DarlErsatzZins,14))</f>
      </c>
      <c r="Q6709" s="43">
        <f>IF($I6709=0,0,$Q6708+$P6709+$O6709)</f>
      </c>
      <c r="R6709" s="43">
        <f>IF($I6709=0,0,$J6709-$M6709-$N6709)</f>
      </c>
    </row>
    <row r="6710">
      <c r="A6710"/>
      <c r="B6710">
        <v>14</v>
      </c>
      <c r="C6710" s="43">
        <f>INDEX(DarlObj,14)</f>
      </c>
      <c r="D6710">
        <v>467</v>
      </c>
      <c r="E6710" s="51">
        <f>IF(INDEX(DarlBelegt,14)=0,0,EOMONTH(INDEX(DarlAuszahlung,14),466)+1)</f>
      </c>
      <c r="F6710" s="43">
        <f>IF($E6710=0,0,YEAR($E6710))</f>
      </c>
      <c r="G6710" s="43">
        <f>IF(INDEX(DarlBindung,14)="",1,IF($E6710&lt;=INDEX(DarlBindung,14),1,0))</f>
      </c>
      <c r="H6710" s="43">
        <f>IF($G6710=1,INDEX(DarlSollzins,14),INDEX(DarlAnschluss,14))</f>
      </c>
      <c r="I6710" s="43">
        <f>IF(INDEX(DarlBelegt,14)=0,0,IF(INDEX(DarlOhneTilgung,14)=1,IF(INDEX(DarlBindung,14)="",1,$G6710),IF($J6710&gt;0.005,1,0)))</f>
      </c>
      <c r="J6710" s="43">
        <f>IF($I6709=0,0,$R6709)</f>
      </c>
      <c r="K6710" s="43">
        <f>IF($I6710=0,0,IF(INDEX(DarlOhneTilgung,14)=1,0,IF(AND(INDEX(DarlTilgStart,14)&gt;0,$E6710=INDEX(DarlTilgStart,14)),$J6710*($H6710+INDEX(DarlTilgung,14))/100/12,IF(AND($G6710=0,$G6709=1),MAX($K6709,$J6710*($H6710+1)/100/12),$K6709))))</f>
      </c>
      <c r="L6710" s="43">
        <f>IF($I6710=0,0,$J6710*$H6710/100/12)</f>
      </c>
      <c r="M6710" s="43">
        <f>IF($I6710=0,0,IF(OR(INDEX(DarlOhneTilgung,14)=1,AND(INDEX(DarlTilgStart,14)&gt;0,$E6710&lt;INDEX(DarlTilgStart,14))),0,MIN(MAX(0,$K6710-$L6710),$J6710)))</f>
      </c>
      <c r="N6710" s="43">
        <f>IF($I6710=0,0,MIN(SUMIFS(SondBetrag,SondDarl,14,SondDatum,"&gt;="&amp;$E6710,SondDatum,"&lt;="&amp;EOMONTH($E6710,0)),$J6710-$M6710))</f>
      </c>
      <c r="O6710" s="43">
        <f>IF($I6710=0,0,INDEX(DarlErsatzRate,14))</f>
      </c>
      <c r="P6710" s="43">
        <f>IF($I6710=0,0,$Q6709*INDEX(DarlErsatzZins,14))</f>
      </c>
      <c r="Q6710" s="43">
        <f>IF($I6710=0,0,$Q6709+$P6710+$O6710)</f>
      </c>
      <c r="R6710" s="43">
        <f>IF($I6710=0,0,$J6710-$M6710-$N6710)</f>
      </c>
    </row>
    <row r="6711">
      <c r="A6711"/>
      <c r="B6711">
        <v>14</v>
      </c>
      <c r="C6711" s="43">
        <f>INDEX(DarlObj,14)</f>
      </c>
      <c r="D6711">
        <v>468</v>
      </c>
      <c r="E6711" s="51">
        <f>IF(INDEX(DarlBelegt,14)=0,0,EOMONTH(INDEX(DarlAuszahlung,14),467)+1)</f>
      </c>
      <c r="F6711" s="43">
        <f>IF($E6711=0,0,YEAR($E6711))</f>
      </c>
      <c r="G6711" s="43">
        <f>IF(INDEX(DarlBindung,14)="",1,IF($E6711&lt;=INDEX(DarlBindung,14),1,0))</f>
      </c>
      <c r="H6711" s="43">
        <f>IF($G6711=1,INDEX(DarlSollzins,14),INDEX(DarlAnschluss,14))</f>
      </c>
      <c r="I6711" s="43">
        <f>IF(INDEX(DarlBelegt,14)=0,0,IF(INDEX(DarlOhneTilgung,14)=1,IF(INDEX(DarlBindung,14)="",1,$G6711),IF($J6711&gt;0.005,1,0)))</f>
      </c>
      <c r="J6711" s="43">
        <f>IF($I6710=0,0,$R6710)</f>
      </c>
      <c r="K6711" s="43">
        <f>IF($I6711=0,0,IF(INDEX(DarlOhneTilgung,14)=1,0,IF(AND(INDEX(DarlTilgStart,14)&gt;0,$E6711=INDEX(DarlTilgStart,14)),$J6711*($H6711+INDEX(DarlTilgung,14))/100/12,IF(AND($G6711=0,$G6710=1),MAX($K6710,$J6711*($H6711+1)/100/12),$K6710))))</f>
      </c>
      <c r="L6711" s="43">
        <f>IF($I6711=0,0,$J6711*$H6711/100/12)</f>
      </c>
      <c r="M6711" s="43">
        <f>IF($I6711=0,0,IF(OR(INDEX(DarlOhneTilgung,14)=1,AND(INDEX(DarlTilgStart,14)&gt;0,$E6711&lt;INDEX(DarlTilgStart,14))),0,MIN(MAX(0,$K6711-$L6711),$J6711)))</f>
      </c>
      <c r="N6711" s="43">
        <f>IF($I6711=0,0,MIN(SUMIFS(SondBetrag,SondDarl,14,SondDatum,"&gt;="&amp;$E6711,SondDatum,"&lt;="&amp;EOMONTH($E6711,0)),$J6711-$M6711))</f>
      </c>
      <c r="O6711" s="43">
        <f>IF($I6711=0,0,INDEX(DarlErsatzRate,14))</f>
      </c>
      <c r="P6711" s="43">
        <f>IF($I6711=0,0,$Q6710*INDEX(DarlErsatzZins,14))</f>
      </c>
      <c r="Q6711" s="43">
        <f>IF($I6711=0,0,$Q6710+$P6711+$O6711)</f>
      </c>
      <c r="R6711" s="43">
        <f>IF($I6711=0,0,$J6711-$M6711-$N6711)</f>
      </c>
    </row>
    <row r="6712">
      <c r="A6712"/>
      <c r="B6712">
        <v>14</v>
      </c>
      <c r="C6712" s="43">
        <f>INDEX(DarlObj,14)</f>
      </c>
      <c r="D6712">
        <v>469</v>
      </c>
      <c r="E6712" s="51">
        <f>IF(INDEX(DarlBelegt,14)=0,0,EOMONTH(INDEX(DarlAuszahlung,14),468)+1)</f>
      </c>
      <c r="F6712" s="43">
        <f>IF($E6712=0,0,YEAR($E6712))</f>
      </c>
      <c r="G6712" s="43">
        <f>IF(INDEX(DarlBindung,14)="",1,IF($E6712&lt;=INDEX(DarlBindung,14),1,0))</f>
      </c>
      <c r="H6712" s="43">
        <f>IF($G6712=1,INDEX(DarlSollzins,14),INDEX(DarlAnschluss,14))</f>
      </c>
      <c r="I6712" s="43">
        <f>IF(INDEX(DarlBelegt,14)=0,0,IF(INDEX(DarlOhneTilgung,14)=1,IF(INDEX(DarlBindung,14)="",1,$G6712),IF($J6712&gt;0.005,1,0)))</f>
      </c>
      <c r="J6712" s="43">
        <f>IF($I6711=0,0,$R6711)</f>
      </c>
      <c r="K6712" s="43">
        <f>IF($I6712=0,0,IF(INDEX(DarlOhneTilgung,14)=1,0,IF(AND(INDEX(DarlTilgStart,14)&gt;0,$E6712=INDEX(DarlTilgStart,14)),$J6712*($H6712+INDEX(DarlTilgung,14))/100/12,IF(AND($G6712=0,$G6711=1),MAX($K6711,$J6712*($H6712+1)/100/12),$K6711))))</f>
      </c>
      <c r="L6712" s="43">
        <f>IF($I6712=0,0,$J6712*$H6712/100/12)</f>
      </c>
      <c r="M6712" s="43">
        <f>IF($I6712=0,0,IF(OR(INDEX(DarlOhneTilgung,14)=1,AND(INDEX(DarlTilgStart,14)&gt;0,$E6712&lt;INDEX(DarlTilgStart,14))),0,MIN(MAX(0,$K6712-$L6712),$J6712)))</f>
      </c>
      <c r="N6712" s="43">
        <f>IF($I6712=0,0,MIN(SUMIFS(SondBetrag,SondDarl,14,SondDatum,"&gt;="&amp;$E6712,SondDatum,"&lt;="&amp;EOMONTH($E6712,0)),$J6712-$M6712))</f>
      </c>
      <c r="O6712" s="43">
        <f>IF($I6712=0,0,INDEX(DarlErsatzRate,14))</f>
      </c>
      <c r="P6712" s="43">
        <f>IF($I6712=0,0,$Q6711*INDEX(DarlErsatzZins,14))</f>
      </c>
      <c r="Q6712" s="43">
        <f>IF($I6712=0,0,$Q6711+$P6712+$O6712)</f>
      </c>
      <c r="R6712" s="43">
        <f>IF($I6712=0,0,$J6712-$M6712-$N6712)</f>
      </c>
    </row>
    <row r="6713">
      <c r="A6713"/>
      <c r="B6713">
        <v>14</v>
      </c>
      <c r="C6713" s="43">
        <f>INDEX(DarlObj,14)</f>
      </c>
      <c r="D6713">
        <v>470</v>
      </c>
      <c r="E6713" s="51">
        <f>IF(INDEX(DarlBelegt,14)=0,0,EOMONTH(INDEX(DarlAuszahlung,14),469)+1)</f>
      </c>
      <c r="F6713" s="43">
        <f>IF($E6713=0,0,YEAR($E6713))</f>
      </c>
      <c r="G6713" s="43">
        <f>IF(INDEX(DarlBindung,14)="",1,IF($E6713&lt;=INDEX(DarlBindung,14),1,0))</f>
      </c>
      <c r="H6713" s="43">
        <f>IF($G6713=1,INDEX(DarlSollzins,14),INDEX(DarlAnschluss,14))</f>
      </c>
      <c r="I6713" s="43">
        <f>IF(INDEX(DarlBelegt,14)=0,0,IF(INDEX(DarlOhneTilgung,14)=1,IF(INDEX(DarlBindung,14)="",1,$G6713),IF($J6713&gt;0.005,1,0)))</f>
      </c>
      <c r="J6713" s="43">
        <f>IF($I6712=0,0,$R6712)</f>
      </c>
      <c r="K6713" s="43">
        <f>IF($I6713=0,0,IF(INDEX(DarlOhneTilgung,14)=1,0,IF(AND(INDEX(DarlTilgStart,14)&gt;0,$E6713=INDEX(DarlTilgStart,14)),$J6713*($H6713+INDEX(DarlTilgung,14))/100/12,IF(AND($G6713=0,$G6712=1),MAX($K6712,$J6713*($H6713+1)/100/12),$K6712))))</f>
      </c>
      <c r="L6713" s="43">
        <f>IF($I6713=0,0,$J6713*$H6713/100/12)</f>
      </c>
      <c r="M6713" s="43">
        <f>IF($I6713=0,0,IF(OR(INDEX(DarlOhneTilgung,14)=1,AND(INDEX(DarlTilgStart,14)&gt;0,$E6713&lt;INDEX(DarlTilgStart,14))),0,MIN(MAX(0,$K6713-$L6713),$J6713)))</f>
      </c>
      <c r="N6713" s="43">
        <f>IF($I6713=0,0,MIN(SUMIFS(SondBetrag,SondDarl,14,SondDatum,"&gt;="&amp;$E6713,SondDatum,"&lt;="&amp;EOMONTH($E6713,0)),$J6713-$M6713))</f>
      </c>
      <c r="O6713" s="43">
        <f>IF($I6713=0,0,INDEX(DarlErsatzRate,14))</f>
      </c>
      <c r="P6713" s="43">
        <f>IF($I6713=0,0,$Q6712*INDEX(DarlErsatzZins,14))</f>
      </c>
      <c r="Q6713" s="43">
        <f>IF($I6713=0,0,$Q6712+$P6713+$O6713)</f>
      </c>
      <c r="R6713" s="43">
        <f>IF($I6713=0,0,$J6713-$M6713-$N6713)</f>
      </c>
    </row>
    <row r="6714">
      <c r="A6714"/>
      <c r="B6714">
        <v>14</v>
      </c>
      <c r="C6714" s="43">
        <f>INDEX(DarlObj,14)</f>
      </c>
      <c r="D6714">
        <v>471</v>
      </c>
      <c r="E6714" s="51">
        <f>IF(INDEX(DarlBelegt,14)=0,0,EOMONTH(INDEX(DarlAuszahlung,14),470)+1)</f>
      </c>
      <c r="F6714" s="43">
        <f>IF($E6714=0,0,YEAR($E6714))</f>
      </c>
      <c r="G6714" s="43">
        <f>IF(INDEX(DarlBindung,14)="",1,IF($E6714&lt;=INDEX(DarlBindung,14),1,0))</f>
      </c>
      <c r="H6714" s="43">
        <f>IF($G6714=1,INDEX(DarlSollzins,14),INDEX(DarlAnschluss,14))</f>
      </c>
      <c r="I6714" s="43">
        <f>IF(INDEX(DarlBelegt,14)=0,0,IF(INDEX(DarlOhneTilgung,14)=1,IF(INDEX(DarlBindung,14)="",1,$G6714),IF($J6714&gt;0.005,1,0)))</f>
      </c>
      <c r="J6714" s="43">
        <f>IF($I6713=0,0,$R6713)</f>
      </c>
      <c r="K6714" s="43">
        <f>IF($I6714=0,0,IF(INDEX(DarlOhneTilgung,14)=1,0,IF(AND(INDEX(DarlTilgStart,14)&gt;0,$E6714=INDEX(DarlTilgStart,14)),$J6714*($H6714+INDEX(DarlTilgung,14))/100/12,IF(AND($G6714=0,$G6713=1),MAX($K6713,$J6714*($H6714+1)/100/12),$K6713))))</f>
      </c>
      <c r="L6714" s="43">
        <f>IF($I6714=0,0,$J6714*$H6714/100/12)</f>
      </c>
      <c r="M6714" s="43">
        <f>IF($I6714=0,0,IF(OR(INDEX(DarlOhneTilgung,14)=1,AND(INDEX(DarlTilgStart,14)&gt;0,$E6714&lt;INDEX(DarlTilgStart,14))),0,MIN(MAX(0,$K6714-$L6714),$J6714)))</f>
      </c>
      <c r="N6714" s="43">
        <f>IF($I6714=0,0,MIN(SUMIFS(SondBetrag,SondDarl,14,SondDatum,"&gt;="&amp;$E6714,SondDatum,"&lt;="&amp;EOMONTH($E6714,0)),$J6714-$M6714))</f>
      </c>
      <c r="O6714" s="43">
        <f>IF($I6714=0,0,INDEX(DarlErsatzRate,14))</f>
      </c>
      <c r="P6714" s="43">
        <f>IF($I6714=0,0,$Q6713*INDEX(DarlErsatzZins,14))</f>
      </c>
      <c r="Q6714" s="43">
        <f>IF($I6714=0,0,$Q6713+$P6714+$O6714)</f>
      </c>
      <c r="R6714" s="43">
        <f>IF($I6714=0,0,$J6714-$M6714-$N6714)</f>
      </c>
    </row>
    <row r="6715">
      <c r="A6715"/>
      <c r="B6715">
        <v>14</v>
      </c>
      <c r="C6715" s="43">
        <f>INDEX(DarlObj,14)</f>
      </c>
      <c r="D6715">
        <v>472</v>
      </c>
      <c r="E6715" s="51">
        <f>IF(INDEX(DarlBelegt,14)=0,0,EOMONTH(INDEX(DarlAuszahlung,14),471)+1)</f>
      </c>
      <c r="F6715" s="43">
        <f>IF($E6715=0,0,YEAR($E6715))</f>
      </c>
      <c r="G6715" s="43">
        <f>IF(INDEX(DarlBindung,14)="",1,IF($E6715&lt;=INDEX(DarlBindung,14),1,0))</f>
      </c>
      <c r="H6715" s="43">
        <f>IF($G6715=1,INDEX(DarlSollzins,14),INDEX(DarlAnschluss,14))</f>
      </c>
      <c r="I6715" s="43">
        <f>IF(INDEX(DarlBelegt,14)=0,0,IF(INDEX(DarlOhneTilgung,14)=1,IF(INDEX(DarlBindung,14)="",1,$G6715),IF($J6715&gt;0.005,1,0)))</f>
      </c>
      <c r="J6715" s="43">
        <f>IF($I6714=0,0,$R6714)</f>
      </c>
      <c r="K6715" s="43">
        <f>IF($I6715=0,0,IF(INDEX(DarlOhneTilgung,14)=1,0,IF(AND(INDEX(DarlTilgStart,14)&gt;0,$E6715=INDEX(DarlTilgStart,14)),$J6715*($H6715+INDEX(DarlTilgung,14))/100/12,IF(AND($G6715=0,$G6714=1),MAX($K6714,$J6715*($H6715+1)/100/12),$K6714))))</f>
      </c>
      <c r="L6715" s="43">
        <f>IF($I6715=0,0,$J6715*$H6715/100/12)</f>
      </c>
      <c r="M6715" s="43">
        <f>IF($I6715=0,0,IF(OR(INDEX(DarlOhneTilgung,14)=1,AND(INDEX(DarlTilgStart,14)&gt;0,$E6715&lt;INDEX(DarlTilgStart,14))),0,MIN(MAX(0,$K6715-$L6715),$J6715)))</f>
      </c>
      <c r="N6715" s="43">
        <f>IF($I6715=0,0,MIN(SUMIFS(SondBetrag,SondDarl,14,SondDatum,"&gt;="&amp;$E6715,SondDatum,"&lt;="&amp;EOMONTH($E6715,0)),$J6715-$M6715))</f>
      </c>
      <c r="O6715" s="43">
        <f>IF($I6715=0,0,INDEX(DarlErsatzRate,14))</f>
      </c>
      <c r="P6715" s="43">
        <f>IF($I6715=0,0,$Q6714*INDEX(DarlErsatzZins,14))</f>
      </c>
      <c r="Q6715" s="43">
        <f>IF($I6715=0,0,$Q6714+$P6715+$O6715)</f>
      </c>
      <c r="R6715" s="43">
        <f>IF($I6715=0,0,$J6715-$M6715-$N6715)</f>
      </c>
    </row>
    <row r="6716">
      <c r="A6716"/>
      <c r="B6716">
        <v>14</v>
      </c>
      <c r="C6716" s="43">
        <f>INDEX(DarlObj,14)</f>
      </c>
      <c r="D6716">
        <v>473</v>
      </c>
      <c r="E6716" s="51">
        <f>IF(INDEX(DarlBelegt,14)=0,0,EOMONTH(INDEX(DarlAuszahlung,14),472)+1)</f>
      </c>
      <c r="F6716" s="43">
        <f>IF($E6716=0,0,YEAR($E6716))</f>
      </c>
      <c r="G6716" s="43">
        <f>IF(INDEX(DarlBindung,14)="",1,IF($E6716&lt;=INDEX(DarlBindung,14),1,0))</f>
      </c>
      <c r="H6716" s="43">
        <f>IF($G6716=1,INDEX(DarlSollzins,14),INDEX(DarlAnschluss,14))</f>
      </c>
      <c r="I6716" s="43">
        <f>IF(INDEX(DarlBelegt,14)=0,0,IF(INDEX(DarlOhneTilgung,14)=1,IF(INDEX(DarlBindung,14)="",1,$G6716),IF($J6716&gt;0.005,1,0)))</f>
      </c>
      <c r="J6716" s="43">
        <f>IF($I6715=0,0,$R6715)</f>
      </c>
      <c r="K6716" s="43">
        <f>IF($I6716=0,0,IF(INDEX(DarlOhneTilgung,14)=1,0,IF(AND(INDEX(DarlTilgStart,14)&gt;0,$E6716=INDEX(DarlTilgStart,14)),$J6716*($H6716+INDEX(DarlTilgung,14))/100/12,IF(AND($G6716=0,$G6715=1),MAX($K6715,$J6716*($H6716+1)/100/12),$K6715))))</f>
      </c>
      <c r="L6716" s="43">
        <f>IF($I6716=0,0,$J6716*$H6716/100/12)</f>
      </c>
      <c r="M6716" s="43">
        <f>IF($I6716=0,0,IF(OR(INDEX(DarlOhneTilgung,14)=1,AND(INDEX(DarlTilgStart,14)&gt;0,$E6716&lt;INDEX(DarlTilgStart,14))),0,MIN(MAX(0,$K6716-$L6716),$J6716)))</f>
      </c>
      <c r="N6716" s="43">
        <f>IF($I6716=0,0,MIN(SUMIFS(SondBetrag,SondDarl,14,SondDatum,"&gt;="&amp;$E6716,SondDatum,"&lt;="&amp;EOMONTH($E6716,0)),$J6716-$M6716))</f>
      </c>
      <c r="O6716" s="43">
        <f>IF($I6716=0,0,INDEX(DarlErsatzRate,14))</f>
      </c>
      <c r="P6716" s="43">
        <f>IF($I6716=0,0,$Q6715*INDEX(DarlErsatzZins,14))</f>
      </c>
      <c r="Q6716" s="43">
        <f>IF($I6716=0,0,$Q6715+$P6716+$O6716)</f>
      </c>
      <c r="R6716" s="43">
        <f>IF($I6716=0,0,$J6716-$M6716-$N6716)</f>
      </c>
    </row>
    <row r="6717">
      <c r="A6717"/>
      <c r="B6717">
        <v>14</v>
      </c>
      <c r="C6717" s="43">
        <f>INDEX(DarlObj,14)</f>
      </c>
      <c r="D6717">
        <v>474</v>
      </c>
      <c r="E6717" s="51">
        <f>IF(INDEX(DarlBelegt,14)=0,0,EOMONTH(INDEX(DarlAuszahlung,14),473)+1)</f>
      </c>
      <c r="F6717" s="43">
        <f>IF($E6717=0,0,YEAR($E6717))</f>
      </c>
      <c r="G6717" s="43">
        <f>IF(INDEX(DarlBindung,14)="",1,IF($E6717&lt;=INDEX(DarlBindung,14),1,0))</f>
      </c>
      <c r="H6717" s="43">
        <f>IF($G6717=1,INDEX(DarlSollzins,14),INDEX(DarlAnschluss,14))</f>
      </c>
      <c r="I6717" s="43">
        <f>IF(INDEX(DarlBelegt,14)=0,0,IF(INDEX(DarlOhneTilgung,14)=1,IF(INDEX(DarlBindung,14)="",1,$G6717),IF($J6717&gt;0.005,1,0)))</f>
      </c>
      <c r="J6717" s="43">
        <f>IF($I6716=0,0,$R6716)</f>
      </c>
      <c r="K6717" s="43">
        <f>IF($I6717=0,0,IF(INDEX(DarlOhneTilgung,14)=1,0,IF(AND(INDEX(DarlTilgStart,14)&gt;0,$E6717=INDEX(DarlTilgStart,14)),$J6717*($H6717+INDEX(DarlTilgung,14))/100/12,IF(AND($G6717=0,$G6716=1),MAX($K6716,$J6717*($H6717+1)/100/12),$K6716))))</f>
      </c>
      <c r="L6717" s="43">
        <f>IF($I6717=0,0,$J6717*$H6717/100/12)</f>
      </c>
      <c r="M6717" s="43">
        <f>IF($I6717=0,0,IF(OR(INDEX(DarlOhneTilgung,14)=1,AND(INDEX(DarlTilgStart,14)&gt;0,$E6717&lt;INDEX(DarlTilgStart,14))),0,MIN(MAX(0,$K6717-$L6717),$J6717)))</f>
      </c>
      <c r="N6717" s="43">
        <f>IF($I6717=0,0,MIN(SUMIFS(SondBetrag,SondDarl,14,SondDatum,"&gt;="&amp;$E6717,SondDatum,"&lt;="&amp;EOMONTH($E6717,0)),$J6717-$M6717))</f>
      </c>
      <c r="O6717" s="43">
        <f>IF($I6717=0,0,INDEX(DarlErsatzRate,14))</f>
      </c>
      <c r="P6717" s="43">
        <f>IF($I6717=0,0,$Q6716*INDEX(DarlErsatzZins,14))</f>
      </c>
      <c r="Q6717" s="43">
        <f>IF($I6717=0,0,$Q6716+$P6717+$O6717)</f>
      </c>
      <c r="R6717" s="43">
        <f>IF($I6717=0,0,$J6717-$M6717-$N6717)</f>
      </c>
    </row>
    <row r="6718">
      <c r="A6718"/>
      <c r="B6718">
        <v>14</v>
      </c>
      <c r="C6718" s="43">
        <f>INDEX(DarlObj,14)</f>
      </c>
      <c r="D6718">
        <v>475</v>
      </c>
      <c r="E6718" s="51">
        <f>IF(INDEX(DarlBelegt,14)=0,0,EOMONTH(INDEX(DarlAuszahlung,14),474)+1)</f>
      </c>
      <c r="F6718" s="43">
        <f>IF($E6718=0,0,YEAR($E6718))</f>
      </c>
      <c r="G6718" s="43">
        <f>IF(INDEX(DarlBindung,14)="",1,IF($E6718&lt;=INDEX(DarlBindung,14),1,0))</f>
      </c>
      <c r="H6718" s="43">
        <f>IF($G6718=1,INDEX(DarlSollzins,14),INDEX(DarlAnschluss,14))</f>
      </c>
      <c r="I6718" s="43">
        <f>IF(INDEX(DarlBelegt,14)=0,0,IF(INDEX(DarlOhneTilgung,14)=1,IF(INDEX(DarlBindung,14)="",1,$G6718),IF($J6718&gt;0.005,1,0)))</f>
      </c>
      <c r="J6718" s="43">
        <f>IF($I6717=0,0,$R6717)</f>
      </c>
      <c r="K6718" s="43">
        <f>IF($I6718=0,0,IF(INDEX(DarlOhneTilgung,14)=1,0,IF(AND(INDEX(DarlTilgStart,14)&gt;0,$E6718=INDEX(DarlTilgStart,14)),$J6718*($H6718+INDEX(DarlTilgung,14))/100/12,IF(AND($G6718=0,$G6717=1),MAX($K6717,$J6718*($H6718+1)/100/12),$K6717))))</f>
      </c>
      <c r="L6718" s="43">
        <f>IF($I6718=0,0,$J6718*$H6718/100/12)</f>
      </c>
      <c r="M6718" s="43">
        <f>IF($I6718=0,0,IF(OR(INDEX(DarlOhneTilgung,14)=1,AND(INDEX(DarlTilgStart,14)&gt;0,$E6718&lt;INDEX(DarlTilgStart,14))),0,MIN(MAX(0,$K6718-$L6718),$J6718)))</f>
      </c>
      <c r="N6718" s="43">
        <f>IF($I6718=0,0,MIN(SUMIFS(SondBetrag,SondDarl,14,SondDatum,"&gt;="&amp;$E6718,SondDatum,"&lt;="&amp;EOMONTH($E6718,0)),$J6718-$M6718))</f>
      </c>
      <c r="O6718" s="43">
        <f>IF($I6718=0,0,INDEX(DarlErsatzRate,14))</f>
      </c>
      <c r="P6718" s="43">
        <f>IF($I6718=0,0,$Q6717*INDEX(DarlErsatzZins,14))</f>
      </c>
      <c r="Q6718" s="43">
        <f>IF($I6718=0,0,$Q6717+$P6718+$O6718)</f>
      </c>
      <c r="R6718" s="43">
        <f>IF($I6718=0,0,$J6718-$M6718-$N6718)</f>
      </c>
    </row>
    <row r="6719">
      <c r="A6719"/>
      <c r="B6719">
        <v>14</v>
      </c>
      <c r="C6719" s="43">
        <f>INDEX(DarlObj,14)</f>
      </c>
      <c r="D6719">
        <v>476</v>
      </c>
      <c r="E6719" s="51">
        <f>IF(INDEX(DarlBelegt,14)=0,0,EOMONTH(INDEX(DarlAuszahlung,14),475)+1)</f>
      </c>
      <c r="F6719" s="43">
        <f>IF($E6719=0,0,YEAR($E6719))</f>
      </c>
      <c r="G6719" s="43">
        <f>IF(INDEX(DarlBindung,14)="",1,IF($E6719&lt;=INDEX(DarlBindung,14),1,0))</f>
      </c>
      <c r="H6719" s="43">
        <f>IF($G6719=1,INDEX(DarlSollzins,14),INDEX(DarlAnschluss,14))</f>
      </c>
      <c r="I6719" s="43">
        <f>IF(INDEX(DarlBelegt,14)=0,0,IF(INDEX(DarlOhneTilgung,14)=1,IF(INDEX(DarlBindung,14)="",1,$G6719),IF($J6719&gt;0.005,1,0)))</f>
      </c>
      <c r="J6719" s="43">
        <f>IF($I6718=0,0,$R6718)</f>
      </c>
      <c r="K6719" s="43">
        <f>IF($I6719=0,0,IF(INDEX(DarlOhneTilgung,14)=1,0,IF(AND(INDEX(DarlTilgStart,14)&gt;0,$E6719=INDEX(DarlTilgStart,14)),$J6719*($H6719+INDEX(DarlTilgung,14))/100/12,IF(AND($G6719=0,$G6718=1),MAX($K6718,$J6719*($H6719+1)/100/12),$K6718))))</f>
      </c>
      <c r="L6719" s="43">
        <f>IF($I6719=0,0,$J6719*$H6719/100/12)</f>
      </c>
      <c r="M6719" s="43">
        <f>IF($I6719=0,0,IF(OR(INDEX(DarlOhneTilgung,14)=1,AND(INDEX(DarlTilgStart,14)&gt;0,$E6719&lt;INDEX(DarlTilgStart,14))),0,MIN(MAX(0,$K6719-$L6719),$J6719)))</f>
      </c>
      <c r="N6719" s="43">
        <f>IF($I6719=0,0,MIN(SUMIFS(SondBetrag,SondDarl,14,SondDatum,"&gt;="&amp;$E6719,SondDatum,"&lt;="&amp;EOMONTH($E6719,0)),$J6719-$M6719))</f>
      </c>
      <c r="O6719" s="43">
        <f>IF($I6719=0,0,INDEX(DarlErsatzRate,14))</f>
      </c>
      <c r="P6719" s="43">
        <f>IF($I6719=0,0,$Q6718*INDEX(DarlErsatzZins,14))</f>
      </c>
      <c r="Q6719" s="43">
        <f>IF($I6719=0,0,$Q6718+$P6719+$O6719)</f>
      </c>
      <c r="R6719" s="43">
        <f>IF($I6719=0,0,$J6719-$M6719-$N6719)</f>
      </c>
    </row>
    <row r="6720">
      <c r="A6720"/>
      <c r="B6720">
        <v>14</v>
      </c>
      <c r="C6720" s="43">
        <f>INDEX(DarlObj,14)</f>
      </c>
      <c r="D6720">
        <v>477</v>
      </c>
      <c r="E6720" s="51">
        <f>IF(INDEX(DarlBelegt,14)=0,0,EOMONTH(INDEX(DarlAuszahlung,14),476)+1)</f>
      </c>
      <c r="F6720" s="43">
        <f>IF($E6720=0,0,YEAR($E6720))</f>
      </c>
      <c r="G6720" s="43">
        <f>IF(INDEX(DarlBindung,14)="",1,IF($E6720&lt;=INDEX(DarlBindung,14),1,0))</f>
      </c>
      <c r="H6720" s="43">
        <f>IF($G6720=1,INDEX(DarlSollzins,14),INDEX(DarlAnschluss,14))</f>
      </c>
      <c r="I6720" s="43">
        <f>IF(INDEX(DarlBelegt,14)=0,0,IF(INDEX(DarlOhneTilgung,14)=1,IF(INDEX(DarlBindung,14)="",1,$G6720),IF($J6720&gt;0.005,1,0)))</f>
      </c>
      <c r="J6720" s="43">
        <f>IF($I6719=0,0,$R6719)</f>
      </c>
      <c r="K6720" s="43">
        <f>IF($I6720=0,0,IF(INDEX(DarlOhneTilgung,14)=1,0,IF(AND(INDEX(DarlTilgStart,14)&gt;0,$E6720=INDEX(DarlTilgStart,14)),$J6720*($H6720+INDEX(DarlTilgung,14))/100/12,IF(AND($G6720=0,$G6719=1),MAX($K6719,$J6720*($H6720+1)/100/12),$K6719))))</f>
      </c>
      <c r="L6720" s="43">
        <f>IF($I6720=0,0,$J6720*$H6720/100/12)</f>
      </c>
      <c r="M6720" s="43">
        <f>IF($I6720=0,0,IF(OR(INDEX(DarlOhneTilgung,14)=1,AND(INDEX(DarlTilgStart,14)&gt;0,$E6720&lt;INDEX(DarlTilgStart,14))),0,MIN(MAX(0,$K6720-$L6720),$J6720)))</f>
      </c>
      <c r="N6720" s="43">
        <f>IF($I6720=0,0,MIN(SUMIFS(SondBetrag,SondDarl,14,SondDatum,"&gt;="&amp;$E6720,SondDatum,"&lt;="&amp;EOMONTH($E6720,0)),$J6720-$M6720))</f>
      </c>
      <c r="O6720" s="43">
        <f>IF($I6720=0,0,INDEX(DarlErsatzRate,14))</f>
      </c>
      <c r="P6720" s="43">
        <f>IF($I6720=0,0,$Q6719*INDEX(DarlErsatzZins,14))</f>
      </c>
      <c r="Q6720" s="43">
        <f>IF($I6720=0,0,$Q6719+$P6720+$O6720)</f>
      </c>
      <c r="R6720" s="43">
        <f>IF($I6720=0,0,$J6720-$M6720-$N6720)</f>
      </c>
    </row>
    <row r="6721">
      <c r="A6721"/>
      <c r="B6721">
        <v>14</v>
      </c>
      <c r="C6721" s="43">
        <f>INDEX(DarlObj,14)</f>
      </c>
      <c r="D6721">
        <v>478</v>
      </c>
      <c r="E6721" s="51">
        <f>IF(INDEX(DarlBelegt,14)=0,0,EOMONTH(INDEX(DarlAuszahlung,14),477)+1)</f>
      </c>
      <c r="F6721" s="43">
        <f>IF($E6721=0,0,YEAR($E6721))</f>
      </c>
      <c r="G6721" s="43">
        <f>IF(INDEX(DarlBindung,14)="",1,IF($E6721&lt;=INDEX(DarlBindung,14),1,0))</f>
      </c>
      <c r="H6721" s="43">
        <f>IF($G6721=1,INDEX(DarlSollzins,14),INDEX(DarlAnschluss,14))</f>
      </c>
      <c r="I6721" s="43">
        <f>IF(INDEX(DarlBelegt,14)=0,0,IF(INDEX(DarlOhneTilgung,14)=1,IF(INDEX(DarlBindung,14)="",1,$G6721),IF($J6721&gt;0.005,1,0)))</f>
      </c>
      <c r="J6721" s="43">
        <f>IF($I6720=0,0,$R6720)</f>
      </c>
      <c r="K6721" s="43">
        <f>IF($I6721=0,0,IF(INDEX(DarlOhneTilgung,14)=1,0,IF(AND(INDEX(DarlTilgStart,14)&gt;0,$E6721=INDEX(DarlTilgStart,14)),$J6721*($H6721+INDEX(DarlTilgung,14))/100/12,IF(AND($G6721=0,$G6720=1),MAX($K6720,$J6721*($H6721+1)/100/12),$K6720))))</f>
      </c>
      <c r="L6721" s="43">
        <f>IF($I6721=0,0,$J6721*$H6721/100/12)</f>
      </c>
      <c r="M6721" s="43">
        <f>IF($I6721=0,0,IF(OR(INDEX(DarlOhneTilgung,14)=1,AND(INDEX(DarlTilgStart,14)&gt;0,$E6721&lt;INDEX(DarlTilgStart,14))),0,MIN(MAX(0,$K6721-$L6721),$J6721)))</f>
      </c>
      <c r="N6721" s="43">
        <f>IF($I6721=0,0,MIN(SUMIFS(SondBetrag,SondDarl,14,SondDatum,"&gt;="&amp;$E6721,SondDatum,"&lt;="&amp;EOMONTH($E6721,0)),$J6721-$M6721))</f>
      </c>
      <c r="O6721" s="43">
        <f>IF($I6721=0,0,INDEX(DarlErsatzRate,14))</f>
      </c>
      <c r="P6721" s="43">
        <f>IF($I6721=0,0,$Q6720*INDEX(DarlErsatzZins,14))</f>
      </c>
      <c r="Q6721" s="43">
        <f>IF($I6721=0,0,$Q6720+$P6721+$O6721)</f>
      </c>
      <c r="R6721" s="43">
        <f>IF($I6721=0,0,$J6721-$M6721-$N6721)</f>
      </c>
    </row>
    <row r="6722">
      <c r="A6722"/>
      <c r="B6722">
        <v>14</v>
      </c>
      <c r="C6722" s="43">
        <f>INDEX(DarlObj,14)</f>
      </c>
      <c r="D6722">
        <v>479</v>
      </c>
      <c r="E6722" s="51">
        <f>IF(INDEX(DarlBelegt,14)=0,0,EOMONTH(INDEX(DarlAuszahlung,14),478)+1)</f>
      </c>
      <c r="F6722" s="43">
        <f>IF($E6722=0,0,YEAR($E6722))</f>
      </c>
      <c r="G6722" s="43">
        <f>IF(INDEX(DarlBindung,14)="",1,IF($E6722&lt;=INDEX(DarlBindung,14),1,0))</f>
      </c>
      <c r="H6722" s="43">
        <f>IF($G6722=1,INDEX(DarlSollzins,14),INDEX(DarlAnschluss,14))</f>
      </c>
      <c r="I6722" s="43">
        <f>IF(INDEX(DarlBelegt,14)=0,0,IF(INDEX(DarlOhneTilgung,14)=1,IF(INDEX(DarlBindung,14)="",1,$G6722),IF($J6722&gt;0.005,1,0)))</f>
      </c>
      <c r="J6722" s="43">
        <f>IF($I6721=0,0,$R6721)</f>
      </c>
      <c r="K6722" s="43">
        <f>IF($I6722=0,0,IF(INDEX(DarlOhneTilgung,14)=1,0,IF(AND(INDEX(DarlTilgStart,14)&gt;0,$E6722=INDEX(DarlTilgStart,14)),$J6722*($H6722+INDEX(DarlTilgung,14))/100/12,IF(AND($G6722=0,$G6721=1),MAX($K6721,$J6722*($H6722+1)/100/12),$K6721))))</f>
      </c>
      <c r="L6722" s="43">
        <f>IF($I6722=0,0,$J6722*$H6722/100/12)</f>
      </c>
      <c r="M6722" s="43">
        <f>IF($I6722=0,0,IF(OR(INDEX(DarlOhneTilgung,14)=1,AND(INDEX(DarlTilgStart,14)&gt;0,$E6722&lt;INDEX(DarlTilgStart,14))),0,MIN(MAX(0,$K6722-$L6722),$J6722)))</f>
      </c>
      <c r="N6722" s="43">
        <f>IF($I6722=0,0,MIN(SUMIFS(SondBetrag,SondDarl,14,SondDatum,"&gt;="&amp;$E6722,SondDatum,"&lt;="&amp;EOMONTH($E6722,0)),$J6722-$M6722))</f>
      </c>
      <c r="O6722" s="43">
        <f>IF($I6722=0,0,INDEX(DarlErsatzRate,14))</f>
      </c>
      <c r="P6722" s="43">
        <f>IF($I6722=0,0,$Q6721*INDEX(DarlErsatzZins,14))</f>
      </c>
      <c r="Q6722" s="43">
        <f>IF($I6722=0,0,$Q6721+$P6722+$O6722)</f>
      </c>
      <c r="R6722" s="43">
        <f>IF($I6722=0,0,$J6722-$M6722-$N6722)</f>
      </c>
    </row>
    <row r="6723">
      <c r="A6723"/>
      <c r="B6723">
        <v>14</v>
      </c>
      <c r="C6723" s="43">
        <f>INDEX(DarlObj,14)</f>
      </c>
      <c r="D6723">
        <v>480</v>
      </c>
      <c r="E6723" s="51">
        <f>IF(INDEX(DarlBelegt,14)=0,0,EOMONTH(INDEX(DarlAuszahlung,14),479)+1)</f>
      </c>
      <c r="F6723" s="43">
        <f>IF($E6723=0,0,YEAR($E6723))</f>
      </c>
      <c r="G6723" s="43">
        <f>IF(INDEX(DarlBindung,14)="",1,IF($E6723&lt;=INDEX(DarlBindung,14),1,0))</f>
      </c>
      <c r="H6723" s="43">
        <f>IF($G6723=1,INDEX(DarlSollzins,14),INDEX(DarlAnschluss,14))</f>
      </c>
      <c r="I6723" s="43">
        <f>IF(INDEX(DarlBelegt,14)=0,0,IF(INDEX(DarlOhneTilgung,14)=1,IF(INDEX(DarlBindung,14)="",1,$G6723),IF($J6723&gt;0.005,1,0)))</f>
      </c>
      <c r="J6723" s="43">
        <f>IF($I6722=0,0,$R6722)</f>
      </c>
      <c r="K6723" s="43">
        <f>IF($I6723=0,0,IF(INDEX(DarlOhneTilgung,14)=1,0,IF(AND(INDEX(DarlTilgStart,14)&gt;0,$E6723=INDEX(DarlTilgStart,14)),$J6723*($H6723+INDEX(DarlTilgung,14))/100/12,IF(AND($G6723=0,$G6722=1),MAX($K6722,$J6723*($H6723+1)/100/12),$K6722))))</f>
      </c>
      <c r="L6723" s="43">
        <f>IF($I6723=0,0,$J6723*$H6723/100/12)</f>
      </c>
      <c r="M6723" s="43">
        <f>IF($I6723=0,0,IF(OR(INDEX(DarlOhneTilgung,14)=1,AND(INDEX(DarlTilgStart,14)&gt;0,$E6723&lt;INDEX(DarlTilgStart,14))),0,MIN(MAX(0,$K6723-$L6723),$J6723)))</f>
      </c>
      <c r="N6723" s="43">
        <f>IF($I6723=0,0,MIN(SUMIFS(SondBetrag,SondDarl,14,SondDatum,"&gt;="&amp;$E6723,SondDatum,"&lt;="&amp;EOMONTH($E6723,0)),$J6723-$M6723))</f>
      </c>
      <c r="O6723" s="43">
        <f>IF($I6723=0,0,INDEX(DarlErsatzRate,14))</f>
      </c>
      <c r="P6723" s="43">
        <f>IF($I6723=0,0,$Q6722*INDEX(DarlErsatzZins,14))</f>
      </c>
      <c r="Q6723" s="43">
        <f>IF($I6723=0,0,$Q6722+$P6723+$O6723)</f>
      </c>
      <c r="R6723" s="43">
        <f>IF($I6723=0,0,$J6723-$M6723-$N6723)</f>
      </c>
    </row>
    <row r="6724">
      <c r="A6724"/>
      <c r="B6724">
        <v>15</v>
      </c>
      <c r="C6724" s="43">
        <f>INDEX(DarlObj,15)</f>
      </c>
      <c r="D6724">
        <v>1</v>
      </c>
      <c r="E6724" s="51">
        <f>IF(INDEX(DarlBelegt,15)=0,0,EOMONTH(INDEX(DarlAuszahlung,15),0)+1)</f>
      </c>
      <c r="F6724" s="43">
        <f>IF($E6724=0,0,YEAR($E6724))</f>
      </c>
      <c r="G6724" s="43">
        <f>IF(INDEX(DarlBindung,15)="",1,IF($E6724&lt;=INDEX(DarlBindung,15),1,0))</f>
      </c>
      <c r="H6724" s="43">
        <f>IF($G6724=1,INDEX(DarlSollzins,15),INDEX(DarlAnschluss,15))</f>
      </c>
      <c r="I6724" s="43">
        <f>IF(INDEX(DarlBelegt,15)=0,0,IF(INDEX(DarlOhneTilgung,15)=1,IF(INDEX(DarlBindung,15)="",1,$G6724),IF($J6724&gt;0.005,1,0)))</f>
      </c>
      <c r="J6724" s="43">
        <f>IF(INDEX(DarlBelegt,15)=0,0,INDEX(DarlBetrag,15))</f>
      </c>
      <c r="K6724" s="43">
        <f>IF($I6724=0,0,IF(INDEX(DarlOhneTilgung,15)=1,0,INDEX(DarlRate1,15)))</f>
      </c>
      <c r="L6724" s="43">
        <f>IF($I6724=0,0,$J6724*$H6724/100/12)</f>
      </c>
      <c r="M6724" s="43">
        <f>IF($I6724=0,0,IF(OR(INDEX(DarlOhneTilgung,15)=1,AND(INDEX(DarlTilgStart,15)&gt;0,$E6724&lt;INDEX(DarlTilgStart,15))),0,MIN(MAX(0,$K6724-$L6724),$J6724)))</f>
      </c>
      <c r="N6724" s="43">
        <f>IF($I6724=0,0,MIN(SUMIFS(SondBetrag,SondDarl,15,SondDatum,"&gt;="&amp;$E6724,SondDatum,"&lt;="&amp;EOMONTH($E6724,0)),$J6724-$M6724))</f>
      </c>
      <c r="O6724" s="43">
        <f>IF($I6724=0,0,INDEX(DarlErsatzRate,15))</f>
      </c>
      <c r="P6724" s="43">
        <f>0</f>
      </c>
      <c r="Q6724" s="43">
        <f>IF($I6724=0,0,$P6724+$O6724)</f>
      </c>
      <c r="R6724" s="43">
        <f>IF($I6724=0,0,$J6724-$M6724-$N6724)</f>
      </c>
    </row>
    <row r="6725">
      <c r="A6725"/>
      <c r="B6725">
        <v>15</v>
      </c>
      <c r="C6725" s="43">
        <f>INDEX(DarlObj,15)</f>
      </c>
      <c r="D6725">
        <v>2</v>
      </c>
      <c r="E6725" s="51">
        <f>IF(INDEX(DarlBelegt,15)=0,0,EOMONTH(INDEX(DarlAuszahlung,15),1)+1)</f>
      </c>
      <c r="F6725" s="43">
        <f>IF($E6725=0,0,YEAR($E6725))</f>
      </c>
      <c r="G6725" s="43">
        <f>IF(INDEX(DarlBindung,15)="",1,IF($E6725&lt;=INDEX(DarlBindung,15),1,0))</f>
      </c>
      <c r="H6725" s="43">
        <f>IF($G6725=1,INDEX(DarlSollzins,15),INDEX(DarlAnschluss,15))</f>
      </c>
      <c r="I6725" s="43">
        <f>IF(INDEX(DarlBelegt,15)=0,0,IF(INDEX(DarlOhneTilgung,15)=1,IF(INDEX(DarlBindung,15)="",1,$G6725),IF($J6725&gt;0.005,1,0)))</f>
      </c>
      <c r="J6725" s="43">
        <f>IF($I6724=0,0,$R6724)</f>
      </c>
      <c r="K6725" s="43">
        <f>IF($I6725=0,0,IF(INDEX(DarlOhneTilgung,15)=1,0,IF(AND(INDEX(DarlTilgStart,15)&gt;0,$E6725=INDEX(DarlTilgStart,15)),$J6725*($H6725+INDEX(DarlTilgung,15))/100/12,IF(AND($G6725=0,$G6724=1),MAX($K6724,$J6725*($H6725+1)/100/12),$K6724))))</f>
      </c>
      <c r="L6725" s="43">
        <f>IF($I6725=0,0,$J6725*$H6725/100/12)</f>
      </c>
      <c r="M6725" s="43">
        <f>IF($I6725=0,0,IF(OR(INDEX(DarlOhneTilgung,15)=1,AND(INDEX(DarlTilgStart,15)&gt;0,$E6725&lt;INDEX(DarlTilgStart,15))),0,MIN(MAX(0,$K6725-$L6725),$J6725)))</f>
      </c>
      <c r="N6725" s="43">
        <f>IF($I6725=0,0,MIN(SUMIFS(SondBetrag,SondDarl,15,SondDatum,"&gt;="&amp;$E6725,SondDatum,"&lt;="&amp;EOMONTH($E6725,0)),$J6725-$M6725))</f>
      </c>
      <c r="O6725" s="43">
        <f>IF($I6725=0,0,INDEX(DarlErsatzRate,15))</f>
      </c>
      <c r="P6725" s="43">
        <f>IF($I6725=0,0,$Q6724*INDEX(DarlErsatzZins,15))</f>
      </c>
      <c r="Q6725" s="43">
        <f>IF($I6725=0,0,$Q6724+$P6725+$O6725)</f>
      </c>
      <c r="R6725" s="43">
        <f>IF($I6725=0,0,$J6725-$M6725-$N6725)</f>
      </c>
    </row>
    <row r="6726">
      <c r="A6726"/>
      <c r="B6726">
        <v>15</v>
      </c>
      <c r="C6726" s="43">
        <f>INDEX(DarlObj,15)</f>
      </c>
      <c r="D6726">
        <v>3</v>
      </c>
      <c r="E6726" s="51">
        <f>IF(INDEX(DarlBelegt,15)=0,0,EOMONTH(INDEX(DarlAuszahlung,15),2)+1)</f>
      </c>
      <c r="F6726" s="43">
        <f>IF($E6726=0,0,YEAR($E6726))</f>
      </c>
      <c r="G6726" s="43">
        <f>IF(INDEX(DarlBindung,15)="",1,IF($E6726&lt;=INDEX(DarlBindung,15),1,0))</f>
      </c>
      <c r="H6726" s="43">
        <f>IF($G6726=1,INDEX(DarlSollzins,15),INDEX(DarlAnschluss,15))</f>
      </c>
      <c r="I6726" s="43">
        <f>IF(INDEX(DarlBelegt,15)=0,0,IF(INDEX(DarlOhneTilgung,15)=1,IF(INDEX(DarlBindung,15)="",1,$G6726),IF($J6726&gt;0.005,1,0)))</f>
      </c>
      <c r="J6726" s="43">
        <f>IF($I6725=0,0,$R6725)</f>
      </c>
      <c r="K6726" s="43">
        <f>IF($I6726=0,0,IF(INDEX(DarlOhneTilgung,15)=1,0,IF(AND(INDEX(DarlTilgStart,15)&gt;0,$E6726=INDEX(DarlTilgStart,15)),$J6726*($H6726+INDEX(DarlTilgung,15))/100/12,IF(AND($G6726=0,$G6725=1),MAX($K6725,$J6726*($H6726+1)/100/12),$K6725))))</f>
      </c>
      <c r="L6726" s="43">
        <f>IF($I6726=0,0,$J6726*$H6726/100/12)</f>
      </c>
      <c r="M6726" s="43">
        <f>IF($I6726=0,0,IF(OR(INDEX(DarlOhneTilgung,15)=1,AND(INDEX(DarlTilgStart,15)&gt;0,$E6726&lt;INDEX(DarlTilgStart,15))),0,MIN(MAX(0,$K6726-$L6726),$J6726)))</f>
      </c>
      <c r="N6726" s="43">
        <f>IF($I6726=0,0,MIN(SUMIFS(SondBetrag,SondDarl,15,SondDatum,"&gt;="&amp;$E6726,SondDatum,"&lt;="&amp;EOMONTH($E6726,0)),$J6726-$M6726))</f>
      </c>
      <c r="O6726" s="43">
        <f>IF($I6726=0,0,INDEX(DarlErsatzRate,15))</f>
      </c>
      <c r="P6726" s="43">
        <f>IF($I6726=0,0,$Q6725*INDEX(DarlErsatzZins,15))</f>
      </c>
      <c r="Q6726" s="43">
        <f>IF($I6726=0,0,$Q6725+$P6726+$O6726)</f>
      </c>
      <c r="R6726" s="43">
        <f>IF($I6726=0,0,$J6726-$M6726-$N6726)</f>
      </c>
    </row>
    <row r="6727">
      <c r="A6727"/>
      <c r="B6727">
        <v>15</v>
      </c>
      <c r="C6727" s="43">
        <f>INDEX(DarlObj,15)</f>
      </c>
      <c r="D6727">
        <v>4</v>
      </c>
      <c r="E6727" s="51">
        <f>IF(INDEX(DarlBelegt,15)=0,0,EOMONTH(INDEX(DarlAuszahlung,15),3)+1)</f>
      </c>
      <c r="F6727" s="43">
        <f>IF($E6727=0,0,YEAR($E6727))</f>
      </c>
      <c r="G6727" s="43">
        <f>IF(INDEX(DarlBindung,15)="",1,IF($E6727&lt;=INDEX(DarlBindung,15),1,0))</f>
      </c>
      <c r="H6727" s="43">
        <f>IF($G6727=1,INDEX(DarlSollzins,15),INDEX(DarlAnschluss,15))</f>
      </c>
      <c r="I6727" s="43">
        <f>IF(INDEX(DarlBelegt,15)=0,0,IF(INDEX(DarlOhneTilgung,15)=1,IF(INDEX(DarlBindung,15)="",1,$G6727),IF($J6727&gt;0.005,1,0)))</f>
      </c>
      <c r="J6727" s="43">
        <f>IF($I6726=0,0,$R6726)</f>
      </c>
      <c r="K6727" s="43">
        <f>IF($I6727=0,0,IF(INDEX(DarlOhneTilgung,15)=1,0,IF(AND(INDEX(DarlTilgStart,15)&gt;0,$E6727=INDEX(DarlTilgStart,15)),$J6727*($H6727+INDEX(DarlTilgung,15))/100/12,IF(AND($G6727=0,$G6726=1),MAX($K6726,$J6727*($H6727+1)/100/12),$K6726))))</f>
      </c>
      <c r="L6727" s="43">
        <f>IF($I6727=0,0,$J6727*$H6727/100/12)</f>
      </c>
      <c r="M6727" s="43">
        <f>IF($I6727=0,0,IF(OR(INDEX(DarlOhneTilgung,15)=1,AND(INDEX(DarlTilgStart,15)&gt;0,$E6727&lt;INDEX(DarlTilgStart,15))),0,MIN(MAX(0,$K6727-$L6727),$J6727)))</f>
      </c>
      <c r="N6727" s="43">
        <f>IF($I6727=0,0,MIN(SUMIFS(SondBetrag,SondDarl,15,SondDatum,"&gt;="&amp;$E6727,SondDatum,"&lt;="&amp;EOMONTH($E6727,0)),$J6727-$M6727))</f>
      </c>
      <c r="O6727" s="43">
        <f>IF($I6727=0,0,INDEX(DarlErsatzRate,15))</f>
      </c>
      <c r="P6727" s="43">
        <f>IF($I6727=0,0,$Q6726*INDEX(DarlErsatzZins,15))</f>
      </c>
      <c r="Q6727" s="43">
        <f>IF($I6727=0,0,$Q6726+$P6727+$O6727)</f>
      </c>
      <c r="R6727" s="43">
        <f>IF($I6727=0,0,$J6727-$M6727-$N6727)</f>
      </c>
    </row>
    <row r="6728">
      <c r="A6728"/>
      <c r="B6728">
        <v>15</v>
      </c>
      <c r="C6728" s="43">
        <f>INDEX(DarlObj,15)</f>
      </c>
      <c r="D6728">
        <v>5</v>
      </c>
      <c r="E6728" s="51">
        <f>IF(INDEX(DarlBelegt,15)=0,0,EOMONTH(INDEX(DarlAuszahlung,15),4)+1)</f>
      </c>
      <c r="F6728" s="43">
        <f>IF($E6728=0,0,YEAR($E6728))</f>
      </c>
      <c r="G6728" s="43">
        <f>IF(INDEX(DarlBindung,15)="",1,IF($E6728&lt;=INDEX(DarlBindung,15),1,0))</f>
      </c>
      <c r="H6728" s="43">
        <f>IF($G6728=1,INDEX(DarlSollzins,15),INDEX(DarlAnschluss,15))</f>
      </c>
      <c r="I6728" s="43">
        <f>IF(INDEX(DarlBelegt,15)=0,0,IF(INDEX(DarlOhneTilgung,15)=1,IF(INDEX(DarlBindung,15)="",1,$G6728),IF($J6728&gt;0.005,1,0)))</f>
      </c>
      <c r="J6728" s="43">
        <f>IF($I6727=0,0,$R6727)</f>
      </c>
      <c r="K6728" s="43">
        <f>IF($I6728=0,0,IF(INDEX(DarlOhneTilgung,15)=1,0,IF(AND(INDEX(DarlTilgStart,15)&gt;0,$E6728=INDEX(DarlTilgStart,15)),$J6728*($H6728+INDEX(DarlTilgung,15))/100/12,IF(AND($G6728=0,$G6727=1),MAX($K6727,$J6728*($H6728+1)/100/12),$K6727))))</f>
      </c>
      <c r="L6728" s="43">
        <f>IF($I6728=0,0,$J6728*$H6728/100/12)</f>
      </c>
      <c r="M6728" s="43">
        <f>IF($I6728=0,0,IF(OR(INDEX(DarlOhneTilgung,15)=1,AND(INDEX(DarlTilgStart,15)&gt;0,$E6728&lt;INDEX(DarlTilgStart,15))),0,MIN(MAX(0,$K6728-$L6728),$J6728)))</f>
      </c>
      <c r="N6728" s="43">
        <f>IF($I6728=0,0,MIN(SUMIFS(SondBetrag,SondDarl,15,SondDatum,"&gt;="&amp;$E6728,SondDatum,"&lt;="&amp;EOMONTH($E6728,0)),$J6728-$M6728))</f>
      </c>
      <c r="O6728" s="43">
        <f>IF($I6728=0,0,INDEX(DarlErsatzRate,15))</f>
      </c>
      <c r="P6728" s="43">
        <f>IF($I6728=0,0,$Q6727*INDEX(DarlErsatzZins,15))</f>
      </c>
      <c r="Q6728" s="43">
        <f>IF($I6728=0,0,$Q6727+$P6728+$O6728)</f>
      </c>
      <c r="R6728" s="43">
        <f>IF($I6728=0,0,$J6728-$M6728-$N6728)</f>
      </c>
    </row>
    <row r="6729">
      <c r="A6729"/>
      <c r="B6729">
        <v>15</v>
      </c>
      <c r="C6729" s="43">
        <f>INDEX(DarlObj,15)</f>
      </c>
      <c r="D6729">
        <v>6</v>
      </c>
      <c r="E6729" s="51">
        <f>IF(INDEX(DarlBelegt,15)=0,0,EOMONTH(INDEX(DarlAuszahlung,15),5)+1)</f>
      </c>
      <c r="F6729" s="43">
        <f>IF($E6729=0,0,YEAR($E6729))</f>
      </c>
      <c r="G6729" s="43">
        <f>IF(INDEX(DarlBindung,15)="",1,IF($E6729&lt;=INDEX(DarlBindung,15),1,0))</f>
      </c>
      <c r="H6729" s="43">
        <f>IF($G6729=1,INDEX(DarlSollzins,15),INDEX(DarlAnschluss,15))</f>
      </c>
      <c r="I6729" s="43">
        <f>IF(INDEX(DarlBelegt,15)=0,0,IF(INDEX(DarlOhneTilgung,15)=1,IF(INDEX(DarlBindung,15)="",1,$G6729),IF($J6729&gt;0.005,1,0)))</f>
      </c>
      <c r="J6729" s="43">
        <f>IF($I6728=0,0,$R6728)</f>
      </c>
      <c r="K6729" s="43">
        <f>IF($I6729=0,0,IF(INDEX(DarlOhneTilgung,15)=1,0,IF(AND(INDEX(DarlTilgStart,15)&gt;0,$E6729=INDEX(DarlTilgStart,15)),$J6729*($H6729+INDEX(DarlTilgung,15))/100/12,IF(AND($G6729=0,$G6728=1),MAX($K6728,$J6729*($H6729+1)/100/12),$K6728))))</f>
      </c>
      <c r="L6729" s="43">
        <f>IF($I6729=0,0,$J6729*$H6729/100/12)</f>
      </c>
      <c r="M6729" s="43">
        <f>IF($I6729=0,0,IF(OR(INDEX(DarlOhneTilgung,15)=1,AND(INDEX(DarlTilgStart,15)&gt;0,$E6729&lt;INDEX(DarlTilgStart,15))),0,MIN(MAX(0,$K6729-$L6729),$J6729)))</f>
      </c>
      <c r="N6729" s="43">
        <f>IF($I6729=0,0,MIN(SUMIFS(SondBetrag,SondDarl,15,SondDatum,"&gt;="&amp;$E6729,SondDatum,"&lt;="&amp;EOMONTH($E6729,0)),$J6729-$M6729))</f>
      </c>
      <c r="O6729" s="43">
        <f>IF($I6729=0,0,INDEX(DarlErsatzRate,15))</f>
      </c>
      <c r="P6729" s="43">
        <f>IF($I6729=0,0,$Q6728*INDEX(DarlErsatzZins,15))</f>
      </c>
      <c r="Q6729" s="43">
        <f>IF($I6729=0,0,$Q6728+$P6729+$O6729)</f>
      </c>
      <c r="R6729" s="43">
        <f>IF($I6729=0,0,$J6729-$M6729-$N6729)</f>
      </c>
    </row>
    <row r="6730">
      <c r="A6730"/>
      <c r="B6730">
        <v>15</v>
      </c>
      <c r="C6730" s="43">
        <f>INDEX(DarlObj,15)</f>
      </c>
      <c r="D6730">
        <v>7</v>
      </c>
      <c r="E6730" s="51">
        <f>IF(INDEX(DarlBelegt,15)=0,0,EOMONTH(INDEX(DarlAuszahlung,15),6)+1)</f>
      </c>
      <c r="F6730" s="43">
        <f>IF($E6730=0,0,YEAR($E6730))</f>
      </c>
      <c r="G6730" s="43">
        <f>IF(INDEX(DarlBindung,15)="",1,IF($E6730&lt;=INDEX(DarlBindung,15),1,0))</f>
      </c>
      <c r="H6730" s="43">
        <f>IF($G6730=1,INDEX(DarlSollzins,15),INDEX(DarlAnschluss,15))</f>
      </c>
      <c r="I6730" s="43">
        <f>IF(INDEX(DarlBelegt,15)=0,0,IF(INDEX(DarlOhneTilgung,15)=1,IF(INDEX(DarlBindung,15)="",1,$G6730),IF($J6730&gt;0.005,1,0)))</f>
      </c>
      <c r="J6730" s="43">
        <f>IF($I6729=0,0,$R6729)</f>
      </c>
      <c r="K6730" s="43">
        <f>IF($I6730=0,0,IF(INDEX(DarlOhneTilgung,15)=1,0,IF(AND(INDEX(DarlTilgStart,15)&gt;0,$E6730=INDEX(DarlTilgStart,15)),$J6730*($H6730+INDEX(DarlTilgung,15))/100/12,IF(AND($G6730=0,$G6729=1),MAX($K6729,$J6730*($H6730+1)/100/12),$K6729))))</f>
      </c>
      <c r="L6730" s="43">
        <f>IF($I6730=0,0,$J6730*$H6730/100/12)</f>
      </c>
      <c r="M6730" s="43">
        <f>IF($I6730=0,0,IF(OR(INDEX(DarlOhneTilgung,15)=1,AND(INDEX(DarlTilgStart,15)&gt;0,$E6730&lt;INDEX(DarlTilgStart,15))),0,MIN(MAX(0,$K6730-$L6730),$J6730)))</f>
      </c>
      <c r="N6730" s="43">
        <f>IF($I6730=0,0,MIN(SUMIFS(SondBetrag,SondDarl,15,SondDatum,"&gt;="&amp;$E6730,SondDatum,"&lt;="&amp;EOMONTH($E6730,0)),$J6730-$M6730))</f>
      </c>
      <c r="O6730" s="43">
        <f>IF($I6730=0,0,INDEX(DarlErsatzRate,15))</f>
      </c>
      <c r="P6730" s="43">
        <f>IF($I6730=0,0,$Q6729*INDEX(DarlErsatzZins,15))</f>
      </c>
      <c r="Q6730" s="43">
        <f>IF($I6730=0,0,$Q6729+$P6730+$O6730)</f>
      </c>
      <c r="R6730" s="43">
        <f>IF($I6730=0,0,$J6730-$M6730-$N6730)</f>
      </c>
    </row>
    <row r="6731">
      <c r="A6731"/>
      <c r="B6731">
        <v>15</v>
      </c>
      <c r="C6731" s="43">
        <f>INDEX(DarlObj,15)</f>
      </c>
      <c r="D6731">
        <v>8</v>
      </c>
      <c r="E6731" s="51">
        <f>IF(INDEX(DarlBelegt,15)=0,0,EOMONTH(INDEX(DarlAuszahlung,15),7)+1)</f>
      </c>
      <c r="F6731" s="43">
        <f>IF($E6731=0,0,YEAR($E6731))</f>
      </c>
      <c r="G6731" s="43">
        <f>IF(INDEX(DarlBindung,15)="",1,IF($E6731&lt;=INDEX(DarlBindung,15),1,0))</f>
      </c>
      <c r="H6731" s="43">
        <f>IF($G6731=1,INDEX(DarlSollzins,15),INDEX(DarlAnschluss,15))</f>
      </c>
      <c r="I6731" s="43">
        <f>IF(INDEX(DarlBelegt,15)=0,0,IF(INDEX(DarlOhneTilgung,15)=1,IF(INDEX(DarlBindung,15)="",1,$G6731),IF($J6731&gt;0.005,1,0)))</f>
      </c>
      <c r="J6731" s="43">
        <f>IF($I6730=0,0,$R6730)</f>
      </c>
      <c r="K6731" s="43">
        <f>IF($I6731=0,0,IF(INDEX(DarlOhneTilgung,15)=1,0,IF(AND(INDEX(DarlTilgStart,15)&gt;0,$E6731=INDEX(DarlTilgStart,15)),$J6731*($H6731+INDEX(DarlTilgung,15))/100/12,IF(AND($G6731=0,$G6730=1),MAX($K6730,$J6731*($H6731+1)/100/12),$K6730))))</f>
      </c>
      <c r="L6731" s="43">
        <f>IF($I6731=0,0,$J6731*$H6731/100/12)</f>
      </c>
      <c r="M6731" s="43">
        <f>IF($I6731=0,0,IF(OR(INDEX(DarlOhneTilgung,15)=1,AND(INDEX(DarlTilgStart,15)&gt;0,$E6731&lt;INDEX(DarlTilgStart,15))),0,MIN(MAX(0,$K6731-$L6731),$J6731)))</f>
      </c>
      <c r="N6731" s="43">
        <f>IF($I6731=0,0,MIN(SUMIFS(SondBetrag,SondDarl,15,SondDatum,"&gt;="&amp;$E6731,SondDatum,"&lt;="&amp;EOMONTH($E6731,0)),$J6731-$M6731))</f>
      </c>
      <c r="O6731" s="43">
        <f>IF($I6731=0,0,INDEX(DarlErsatzRate,15))</f>
      </c>
      <c r="P6731" s="43">
        <f>IF($I6731=0,0,$Q6730*INDEX(DarlErsatzZins,15))</f>
      </c>
      <c r="Q6731" s="43">
        <f>IF($I6731=0,0,$Q6730+$P6731+$O6731)</f>
      </c>
      <c r="R6731" s="43">
        <f>IF($I6731=0,0,$J6731-$M6731-$N6731)</f>
      </c>
    </row>
    <row r="6732">
      <c r="A6732"/>
      <c r="B6732">
        <v>15</v>
      </c>
      <c r="C6732" s="43">
        <f>INDEX(DarlObj,15)</f>
      </c>
      <c r="D6732">
        <v>9</v>
      </c>
      <c r="E6732" s="51">
        <f>IF(INDEX(DarlBelegt,15)=0,0,EOMONTH(INDEX(DarlAuszahlung,15),8)+1)</f>
      </c>
      <c r="F6732" s="43">
        <f>IF($E6732=0,0,YEAR($E6732))</f>
      </c>
      <c r="G6732" s="43">
        <f>IF(INDEX(DarlBindung,15)="",1,IF($E6732&lt;=INDEX(DarlBindung,15),1,0))</f>
      </c>
      <c r="H6732" s="43">
        <f>IF($G6732=1,INDEX(DarlSollzins,15),INDEX(DarlAnschluss,15))</f>
      </c>
      <c r="I6732" s="43">
        <f>IF(INDEX(DarlBelegt,15)=0,0,IF(INDEX(DarlOhneTilgung,15)=1,IF(INDEX(DarlBindung,15)="",1,$G6732),IF($J6732&gt;0.005,1,0)))</f>
      </c>
      <c r="J6732" s="43">
        <f>IF($I6731=0,0,$R6731)</f>
      </c>
      <c r="K6732" s="43">
        <f>IF($I6732=0,0,IF(INDEX(DarlOhneTilgung,15)=1,0,IF(AND(INDEX(DarlTilgStart,15)&gt;0,$E6732=INDEX(DarlTilgStart,15)),$J6732*($H6732+INDEX(DarlTilgung,15))/100/12,IF(AND($G6732=0,$G6731=1),MAX($K6731,$J6732*($H6732+1)/100/12),$K6731))))</f>
      </c>
      <c r="L6732" s="43">
        <f>IF($I6732=0,0,$J6732*$H6732/100/12)</f>
      </c>
      <c r="M6732" s="43">
        <f>IF($I6732=0,0,IF(OR(INDEX(DarlOhneTilgung,15)=1,AND(INDEX(DarlTilgStart,15)&gt;0,$E6732&lt;INDEX(DarlTilgStart,15))),0,MIN(MAX(0,$K6732-$L6732),$J6732)))</f>
      </c>
      <c r="N6732" s="43">
        <f>IF($I6732=0,0,MIN(SUMIFS(SondBetrag,SondDarl,15,SondDatum,"&gt;="&amp;$E6732,SondDatum,"&lt;="&amp;EOMONTH($E6732,0)),$J6732-$M6732))</f>
      </c>
      <c r="O6732" s="43">
        <f>IF($I6732=0,0,INDEX(DarlErsatzRate,15))</f>
      </c>
      <c r="P6732" s="43">
        <f>IF($I6732=0,0,$Q6731*INDEX(DarlErsatzZins,15))</f>
      </c>
      <c r="Q6732" s="43">
        <f>IF($I6732=0,0,$Q6731+$P6732+$O6732)</f>
      </c>
      <c r="R6732" s="43">
        <f>IF($I6732=0,0,$J6732-$M6732-$N6732)</f>
      </c>
    </row>
    <row r="6733">
      <c r="A6733"/>
      <c r="B6733">
        <v>15</v>
      </c>
      <c r="C6733" s="43">
        <f>INDEX(DarlObj,15)</f>
      </c>
      <c r="D6733">
        <v>10</v>
      </c>
      <c r="E6733" s="51">
        <f>IF(INDEX(DarlBelegt,15)=0,0,EOMONTH(INDEX(DarlAuszahlung,15),9)+1)</f>
      </c>
      <c r="F6733" s="43">
        <f>IF($E6733=0,0,YEAR($E6733))</f>
      </c>
      <c r="G6733" s="43">
        <f>IF(INDEX(DarlBindung,15)="",1,IF($E6733&lt;=INDEX(DarlBindung,15),1,0))</f>
      </c>
      <c r="H6733" s="43">
        <f>IF($G6733=1,INDEX(DarlSollzins,15),INDEX(DarlAnschluss,15))</f>
      </c>
      <c r="I6733" s="43">
        <f>IF(INDEX(DarlBelegt,15)=0,0,IF(INDEX(DarlOhneTilgung,15)=1,IF(INDEX(DarlBindung,15)="",1,$G6733),IF($J6733&gt;0.005,1,0)))</f>
      </c>
      <c r="J6733" s="43">
        <f>IF($I6732=0,0,$R6732)</f>
      </c>
      <c r="K6733" s="43">
        <f>IF($I6733=0,0,IF(INDEX(DarlOhneTilgung,15)=1,0,IF(AND(INDEX(DarlTilgStart,15)&gt;0,$E6733=INDEX(DarlTilgStart,15)),$J6733*($H6733+INDEX(DarlTilgung,15))/100/12,IF(AND($G6733=0,$G6732=1),MAX($K6732,$J6733*($H6733+1)/100/12),$K6732))))</f>
      </c>
      <c r="L6733" s="43">
        <f>IF($I6733=0,0,$J6733*$H6733/100/12)</f>
      </c>
      <c r="M6733" s="43">
        <f>IF($I6733=0,0,IF(OR(INDEX(DarlOhneTilgung,15)=1,AND(INDEX(DarlTilgStart,15)&gt;0,$E6733&lt;INDEX(DarlTilgStart,15))),0,MIN(MAX(0,$K6733-$L6733),$J6733)))</f>
      </c>
      <c r="N6733" s="43">
        <f>IF($I6733=0,0,MIN(SUMIFS(SondBetrag,SondDarl,15,SondDatum,"&gt;="&amp;$E6733,SondDatum,"&lt;="&amp;EOMONTH($E6733,0)),$J6733-$M6733))</f>
      </c>
      <c r="O6733" s="43">
        <f>IF($I6733=0,0,INDEX(DarlErsatzRate,15))</f>
      </c>
      <c r="P6733" s="43">
        <f>IF($I6733=0,0,$Q6732*INDEX(DarlErsatzZins,15))</f>
      </c>
      <c r="Q6733" s="43">
        <f>IF($I6733=0,0,$Q6732+$P6733+$O6733)</f>
      </c>
      <c r="R6733" s="43">
        <f>IF($I6733=0,0,$J6733-$M6733-$N6733)</f>
      </c>
    </row>
    <row r="6734">
      <c r="A6734"/>
      <c r="B6734">
        <v>15</v>
      </c>
      <c r="C6734" s="43">
        <f>INDEX(DarlObj,15)</f>
      </c>
      <c r="D6734">
        <v>11</v>
      </c>
      <c r="E6734" s="51">
        <f>IF(INDEX(DarlBelegt,15)=0,0,EOMONTH(INDEX(DarlAuszahlung,15),10)+1)</f>
      </c>
      <c r="F6734" s="43">
        <f>IF($E6734=0,0,YEAR($E6734))</f>
      </c>
      <c r="G6734" s="43">
        <f>IF(INDEX(DarlBindung,15)="",1,IF($E6734&lt;=INDEX(DarlBindung,15),1,0))</f>
      </c>
      <c r="H6734" s="43">
        <f>IF($G6734=1,INDEX(DarlSollzins,15),INDEX(DarlAnschluss,15))</f>
      </c>
      <c r="I6734" s="43">
        <f>IF(INDEX(DarlBelegt,15)=0,0,IF(INDEX(DarlOhneTilgung,15)=1,IF(INDEX(DarlBindung,15)="",1,$G6734),IF($J6734&gt;0.005,1,0)))</f>
      </c>
      <c r="J6734" s="43">
        <f>IF($I6733=0,0,$R6733)</f>
      </c>
      <c r="K6734" s="43">
        <f>IF($I6734=0,0,IF(INDEX(DarlOhneTilgung,15)=1,0,IF(AND(INDEX(DarlTilgStart,15)&gt;0,$E6734=INDEX(DarlTilgStart,15)),$J6734*($H6734+INDEX(DarlTilgung,15))/100/12,IF(AND($G6734=0,$G6733=1),MAX($K6733,$J6734*($H6734+1)/100/12),$K6733))))</f>
      </c>
      <c r="L6734" s="43">
        <f>IF($I6734=0,0,$J6734*$H6734/100/12)</f>
      </c>
      <c r="M6734" s="43">
        <f>IF($I6734=0,0,IF(OR(INDEX(DarlOhneTilgung,15)=1,AND(INDEX(DarlTilgStart,15)&gt;0,$E6734&lt;INDEX(DarlTilgStart,15))),0,MIN(MAX(0,$K6734-$L6734),$J6734)))</f>
      </c>
      <c r="N6734" s="43">
        <f>IF($I6734=0,0,MIN(SUMIFS(SondBetrag,SondDarl,15,SondDatum,"&gt;="&amp;$E6734,SondDatum,"&lt;="&amp;EOMONTH($E6734,0)),$J6734-$M6734))</f>
      </c>
      <c r="O6734" s="43">
        <f>IF($I6734=0,0,INDEX(DarlErsatzRate,15))</f>
      </c>
      <c r="P6734" s="43">
        <f>IF($I6734=0,0,$Q6733*INDEX(DarlErsatzZins,15))</f>
      </c>
      <c r="Q6734" s="43">
        <f>IF($I6734=0,0,$Q6733+$P6734+$O6734)</f>
      </c>
      <c r="R6734" s="43">
        <f>IF($I6734=0,0,$J6734-$M6734-$N6734)</f>
      </c>
    </row>
    <row r="6735">
      <c r="A6735"/>
      <c r="B6735">
        <v>15</v>
      </c>
      <c r="C6735" s="43">
        <f>INDEX(DarlObj,15)</f>
      </c>
      <c r="D6735">
        <v>12</v>
      </c>
      <c r="E6735" s="51">
        <f>IF(INDEX(DarlBelegt,15)=0,0,EOMONTH(INDEX(DarlAuszahlung,15),11)+1)</f>
      </c>
      <c r="F6735" s="43">
        <f>IF($E6735=0,0,YEAR($E6735))</f>
      </c>
      <c r="G6735" s="43">
        <f>IF(INDEX(DarlBindung,15)="",1,IF($E6735&lt;=INDEX(DarlBindung,15),1,0))</f>
      </c>
      <c r="H6735" s="43">
        <f>IF($G6735=1,INDEX(DarlSollzins,15),INDEX(DarlAnschluss,15))</f>
      </c>
      <c r="I6735" s="43">
        <f>IF(INDEX(DarlBelegt,15)=0,0,IF(INDEX(DarlOhneTilgung,15)=1,IF(INDEX(DarlBindung,15)="",1,$G6735),IF($J6735&gt;0.005,1,0)))</f>
      </c>
      <c r="J6735" s="43">
        <f>IF($I6734=0,0,$R6734)</f>
      </c>
      <c r="K6735" s="43">
        <f>IF($I6735=0,0,IF(INDEX(DarlOhneTilgung,15)=1,0,IF(AND(INDEX(DarlTilgStart,15)&gt;0,$E6735=INDEX(DarlTilgStart,15)),$J6735*($H6735+INDEX(DarlTilgung,15))/100/12,IF(AND($G6735=0,$G6734=1),MAX($K6734,$J6735*($H6735+1)/100/12),$K6734))))</f>
      </c>
      <c r="L6735" s="43">
        <f>IF($I6735=0,0,$J6735*$H6735/100/12)</f>
      </c>
      <c r="M6735" s="43">
        <f>IF($I6735=0,0,IF(OR(INDEX(DarlOhneTilgung,15)=1,AND(INDEX(DarlTilgStart,15)&gt;0,$E6735&lt;INDEX(DarlTilgStart,15))),0,MIN(MAX(0,$K6735-$L6735),$J6735)))</f>
      </c>
      <c r="N6735" s="43">
        <f>IF($I6735=0,0,MIN(SUMIFS(SondBetrag,SondDarl,15,SondDatum,"&gt;="&amp;$E6735,SondDatum,"&lt;="&amp;EOMONTH($E6735,0)),$J6735-$M6735))</f>
      </c>
      <c r="O6735" s="43">
        <f>IF($I6735=0,0,INDEX(DarlErsatzRate,15))</f>
      </c>
      <c r="P6735" s="43">
        <f>IF($I6735=0,0,$Q6734*INDEX(DarlErsatzZins,15))</f>
      </c>
      <c r="Q6735" s="43">
        <f>IF($I6735=0,0,$Q6734+$P6735+$O6735)</f>
      </c>
      <c r="R6735" s="43">
        <f>IF($I6735=0,0,$J6735-$M6735-$N6735)</f>
      </c>
    </row>
    <row r="6736">
      <c r="A6736"/>
      <c r="B6736">
        <v>15</v>
      </c>
      <c r="C6736" s="43">
        <f>INDEX(DarlObj,15)</f>
      </c>
      <c r="D6736">
        <v>13</v>
      </c>
      <c r="E6736" s="51">
        <f>IF(INDEX(DarlBelegt,15)=0,0,EOMONTH(INDEX(DarlAuszahlung,15),12)+1)</f>
      </c>
      <c r="F6736" s="43">
        <f>IF($E6736=0,0,YEAR($E6736))</f>
      </c>
      <c r="G6736" s="43">
        <f>IF(INDEX(DarlBindung,15)="",1,IF($E6736&lt;=INDEX(DarlBindung,15),1,0))</f>
      </c>
      <c r="H6736" s="43">
        <f>IF($G6736=1,INDEX(DarlSollzins,15),INDEX(DarlAnschluss,15))</f>
      </c>
      <c r="I6736" s="43">
        <f>IF(INDEX(DarlBelegt,15)=0,0,IF(INDEX(DarlOhneTilgung,15)=1,IF(INDEX(DarlBindung,15)="",1,$G6736),IF($J6736&gt;0.005,1,0)))</f>
      </c>
      <c r="J6736" s="43">
        <f>IF($I6735=0,0,$R6735)</f>
      </c>
      <c r="K6736" s="43">
        <f>IF($I6736=0,0,IF(INDEX(DarlOhneTilgung,15)=1,0,IF(AND(INDEX(DarlTilgStart,15)&gt;0,$E6736=INDEX(DarlTilgStart,15)),$J6736*($H6736+INDEX(DarlTilgung,15))/100/12,IF(AND($G6736=0,$G6735=1),MAX($K6735,$J6736*($H6736+1)/100/12),$K6735))))</f>
      </c>
      <c r="L6736" s="43">
        <f>IF($I6736=0,0,$J6736*$H6736/100/12)</f>
      </c>
      <c r="M6736" s="43">
        <f>IF($I6736=0,0,IF(OR(INDEX(DarlOhneTilgung,15)=1,AND(INDEX(DarlTilgStart,15)&gt;0,$E6736&lt;INDEX(DarlTilgStart,15))),0,MIN(MAX(0,$K6736-$L6736),$J6736)))</f>
      </c>
      <c r="N6736" s="43">
        <f>IF($I6736=0,0,MIN(SUMIFS(SondBetrag,SondDarl,15,SondDatum,"&gt;="&amp;$E6736,SondDatum,"&lt;="&amp;EOMONTH($E6736,0)),$J6736-$M6736))</f>
      </c>
      <c r="O6736" s="43">
        <f>IF($I6736=0,0,INDEX(DarlErsatzRate,15))</f>
      </c>
      <c r="P6736" s="43">
        <f>IF($I6736=0,0,$Q6735*INDEX(DarlErsatzZins,15))</f>
      </c>
      <c r="Q6736" s="43">
        <f>IF($I6736=0,0,$Q6735+$P6736+$O6736)</f>
      </c>
      <c r="R6736" s="43">
        <f>IF($I6736=0,0,$J6736-$M6736-$N6736)</f>
      </c>
    </row>
    <row r="6737">
      <c r="A6737"/>
      <c r="B6737">
        <v>15</v>
      </c>
      <c r="C6737" s="43">
        <f>INDEX(DarlObj,15)</f>
      </c>
      <c r="D6737">
        <v>14</v>
      </c>
      <c r="E6737" s="51">
        <f>IF(INDEX(DarlBelegt,15)=0,0,EOMONTH(INDEX(DarlAuszahlung,15),13)+1)</f>
      </c>
      <c r="F6737" s="43">
        <f>IF($E6737=0,0,YEAR($E6737))</f>
      </c>
      <c r="G6737" s="43">
        <f>IF(INDEX(DarlBindung,15)="",1,IF($E6737&lt;=INDEX(DarlBindung,15),1,0))</f>
      </c>
      <c r="H6737" s="43">
        <f>IF($G6737=1,INDEX(DarlSollzins,15),INDEX(DarlAnschluss,15))</f>
      </c>
      <c r="I6737" s="43">
        <f>IF(INDEX(DarlBelegt,15)=0,0,IF(INDEX(DarlOhneTilgung,15)=1,IF(INDEX(DarlBindung,15)="",1,$G6737),IF($J6737&gt;0.005,1,0)))</f>
      </c>
      <c r="J6737" s="43">
        <f>IF($I6736=0,0,$R6736)</f>
      </c>
      <c r="K6737" s="43">
        <f>IF($I6737=0,0,IF(INDEX(DarlOhneTilgung,15)=1,0,IF(AND(INDEX(DarlTilgStart,15)&gt;0,$E6737=INDEX(DarlTilgStart,15)),$J6737*($H6737+INDEX(DarlTilgung,15))/100/12,IF(AND($G6737=0,$G6736=1),MAX($K6736,$J6737*($H6737+1)/100/12),$K6736))))</f>
      </c>
      <c r="L6737" s="43">
        <f>IF($I6737=0,0,$J6737*$H6737/100/12)</f>
      </c>
      <c r="M6737" s="43">
        <f>IF($I6737=0,0,IF(OR(INDEX(DarlOhneTilgung,15)=1,AND(INDEX(DarlTilgStart,15)&gt;0,$E6737&lt;INDEX(DarlTilgStart,15))),0,MIN(MAX(0,$K6737-$L6737),$J6737)))</f>
      </c>
      <c r="N6737" s="43">
        <f>IF($I6737=0,0,MIN(SUMIFS(SondBetrag,SondDarl,15,SondDatum,"&gt;="&amp;$E6737,SondDatum,"&lt;="&amp;EOMONTH($E6737,0)),$J6737-$M6737))</f>
      </c>
      <c r="O6737" s="43">
        <f>IF($I6737=0,0,INDEX(DarlErsatzRate,15))</f>
      </c>
      <c r="P6737" s="43">
        <f>IF($I6737=0,0,$Q6736*INDEX(DarlErsatzZins,15))</f>
      </c>
      <c r="Q6737" s="43">
        <f>IF($I6737=0,0,$Q6736+$P6737+$O6737)</f>
      </c>
      <c r="R6737" s="43">
        <f>IF($I6737=0,0,$J6737-$M6737-$N6737)</f>
      </c>
    </row>
    <row r="6738">
      <c r="A6738"/>
      <c r="B6738">
        <v>15</v>
      </c>
      <c r="C6738" s="43">
        <f>INDEX(DarlObj,15)</f>
      </c>
      <c r="D6738">
        <v>15</v>
      </c>
      <c r="E6738" s="51">
        <f>IF(INDEX(DarlBelegt,15)=0,0,EOMONTH(INDEX(DarlAuszahlung,15),14)+1)</f>
      </c>
      <c r="F6738" s="43">
        <f>IF($E6738=0,0,YEAR($E6738))</f>
      </c>
      <c r="G6738" s="43">
        <f>IF(INDEX(DarlBindung,15)="",1,IF($E6738&lt;=INDEX(DarlBindung,15),1,0))</f>
      </c>
      <c r="H6738" s="43">
        <f>IF($G6738=1,INDEX(DarlSollzins,15),INDEX(DarlAnschluss,15))</f>
      </c>
      <c r="I6738" s="43">
        <f>IF(INDEX(DarlBelegt,15)=0,0,IF(INDEX(DarlOhneTilgung,15)=1,IF(INDEX(DarlBindung,15)="",1,$G6738),IF($J6738&gt;0.005,1,0)))</f>
      </c>
      <c r="J6738" s="43">
        <f>IF($I6737=0,0,$R6737)</f>
      </c>
      <c r="K6738" s="43">
        <f>IF($I6738=0,0,IF(INDEX(DarlOhneTilgung,15)=1,0,IF(AND(INDEX(DarlTilgStart,15)&gt;0,$E6738=INDEX(DarlTilgStart,15)),$J6738*($H6738+INDEX(DarlTilgung,15))/100/12,IF(AND($G6738=0,$G6737=1),MAX($K6737,$J6738*($H6738+1)/100/12),$K6737))))</f>
      </c>
      <c r="L6738" s="43">
        <f>IF($I6738=0,0,$J6738*$H6738/100/12)</f>
      </c>
      <c r="M6738" s="43">
        <f>IF($I6738=0,0,IF(OR(INDEX(DarlOhneTilgung,15)=1,AND(INDEX(DarlTilgStart,15)&gt;0,$E6738&lt;INDEX(DarlTilgStart,15))),0,MIN(MAX(0,$K6738-$L6738),$J6738)))</f>
      </c>
      <c r="N6738" s="43">
        <f>IF($I6738=0,0,MIN(SUMIFS(SondBetrag,SondDarl,15,SondDatum,"&gt;="&amp;$E6738,SondDatum,"&lt;="&amp;EOMONTH($E6738,0)),$J6738-$M6738))</f>
      </c>
      <c r="O6738" s="43">
        <f>IF($I6738=0,0,INDEX(DarlErsatzRate,15))</f>
      </c>
      <c r="P6738" s="43">
        <f>IF($I6738=0,0,$Q6737*INDEX(DarlErsatzZins,15))</f>
      </c>
      <c r="Q6738" s="43">
        <f>IF($I6738=0,0,$Q6737+$P6738+$O6738)</f>
      </c>
      <c r="R6738" s="43">
        <f>IF($I6738=0,0,$J6738-$M6738-$N6738)</f>
      </c>
    </row>
    <row r="6739">
      <c r="A6739"/>
      <c r="B6739">
        <v>15</v>
      </c>
      <c r="C6739" s="43">
        <f>INDEX(DarlObj,15)</f>
      </c>
      <c r="D6739">
        <v>16</v>
      </c>
      <c r="E6739" s="51">
        <f>IF(INDEX(DarlBelegt,15)=0,0,EOMONTH(INDEX(DarlAuszahlung,15),15)+1)</f>
      </c>
      <c r="F6739" s="43">
        <f>IF($E6739=0,0,YEAR($E6739))</f>
      </c>
      <c r="G6739" s="43">
        <f>IF(INDEX(DarlBindung,15)="",1,IF($E6739&lt;=INDEX(DarlBindung,15),1,0))</f>
      </c>
      <c r="H6739" s="43">
        <f>IF($G6739=1,INDEX(DarlSollzins,15),INDEX(DarlAnschluss,15))</f>
      </c>
      <c r="I6739" s="43">
        <f>IF(INDEX(DarlBelegt,15)=0,0,IF(INDEX(DarlOhneTilgung,15)=1,IF(INDEX(DarlBindung,15)="",1,$G6739),IF($J6739&gt;0.005,1,0)))</f>
      </c>
      <c r="J6739" s="43">
        <f>IF($I6738=0,0,$R6738)</f>
      </c>
      <c r="K6739" s="43">
        <f>IF($I6739=0,0,IF(INDEX(DarlOhneTilgung,15)=1,0,IF(AND(INDEX(DarlTilgStart,15)&gt;0,$E6739=INDEX(DarlTilgStart,15)),$J6739*($H6739+INDEX(DarlTilgung,15))/100/12,IF(AND($G6739=0,$G6738=1),MAX($K6738,$J6739*($H6739+1)/100/12),$K6738))))</f>
      </c>
      <c r="L6739" s="43">
        <f>IF($I6739=0,0,$J6739*$H6739/100/12)</f>
      </c>
      <c r="M6739" s="43">
        <f>IF($I6739=0,0,IF(OR(INDEX(DarlOhneTilgung,15)=1,AND(INDEX(DarlTilgStart,15)&gt;0,$E6739&lt;INDEX(DarlTilgStart,15))),0,MIN(MAX(0,$K6739-$L6739),$J6739)))</f>
      </c>
      <c r="N6739" s="43">
        <f>IF($I6739=0,0,MIN(SUMIFS(SondBetrag,SondDarl,15,SondDatum,"&gt;="&amp;$E6739,SondDatum,"&lt;="&amp;EOMONTH($E6739,0)),$J6739-$M6739))</f>
      </c>
      <c r="O6739" s="43">
        <f>IF($I6739=0,0,INDEX(DarlErsatzRate,15))</f>
      </c>
      <c r="P6739" s="43">
        <f>IF($I6739=0,0,$Q6738*INDEX(DarlErsatzZins,15))</f>
      </c>
      <c r="Q6739" s="43">
        <f>IF($I6739=0,0,$Q6738+$P6739+$O6739)</f>
      </c>
      <c r="R6739" s="43">
        <f>IF($I6739=0,0,$J6739-$M6739-$N6739)</f>
      </c>
    </row>
    <row r="6740">
      <c r="A6740"/>
      <c r="B6740">
        <v>15</v>
      </c>
      <c r="C6740" s="43">
        <f>INDEX(DarlObj,15)</f>
      </c>
      <c r="D6740">
        <v>17</v>
      </c>
      <c r="E6740" s="51">
        <f>IF(INDEX(DarlBelegt,15)=0,0,EOMONTH(INDEX(DarlAuszahlung,15),16)+1)</f>
      </c>
      <c r="F6740" s="43">
        <f>IF($E6740=0,0,YEAR($E6740))</f>
      </c>
      <c r="G6740" s="43">
        <f>IF(INDEX(DarlBindung,15)="",1,IF($E6740&lt;=INDEX(DarlBindung,15),1,0))</f>
      </c>
      <c r="H6740" s="43">
        <f>IF($G6740=1,INDEX(DarlSollzins,15),INDEX(DarlAnschluss,15))</f>
      </c>
      <c r="I6740" s="43">
        <f>IF(INDEX(DarlBelegt,15)=0,0,IF(INDEX(DarlOhneTilgung,15)=1,IF(INDEX(DarlBindung,15)="",1,$G6740),IF($J6740&gt;0.005,1,0)))</f>
      </c>
      <c r="J6740" s="43">
        <f>IF($I6739=0,0,$R6739)</f>
      </c>
      <c r="K6740" s="43">
        <f>IF($I6740=0,0,IF(INDEX(DarlOhneTilgung,15)=1,0,IF(AND(INDEX(DarlTilgStart,15)&gt;0,$E6740=INDEX(DarlTilgStart,15)),$J6740*($H6740+INDEX(DarlTilgung,15))/100/12,IF(AND($G6740=0,$G6739=1),MAX($K6739,$J6740*($H6740+1)/100/12),$K6739))))</f>
      </c>
      <c r="L6740" s="43">
        <f>IF($I6740=0,0,$J6740*$H6740/100/12)</f>
      </c>
      <c r="M6740" s="43">
        <f>IF($I6740=0,0,IF(OR(INDEX(DarlOhneTilgung,15)=1,AND(INDEX(DarlTilgStart,15)&gt;0,$E6740&lt;INDEX(DarlTilgStart,15))),0,MIN(MAX(0,$K6740-$L6740),$J6740)))</f>
      </c>
      <c r="N6740" s="43">
        <f>IF($I6740=0,0,MIN(SUMIFS(SondBetrag,SondDarl,15,SondDatum,"&gt;="&amp;$E6740,SondDatum,"&lt;="&amp;EOMONTH($E6740,0)),$J6740-$M6740))</f>
      </c>
      <c r="O6740" s="43">
        <f>IF($I6740=0,0,INDEX(DarlErsatzRate,15))</f>
      </c>
      <c r="P6740" s="43">
        <f>IF($I6740=0,0,$Q6739*INDEX(DarlErsatzZins,15))</f>
      </c>
      <c r="Q6740" s="43">
        <f>IF($I6740=0,0,$Q6739+$P6740+$O6740)</f>
      </c>
      <c r="R6740" s="43">
        <f>IF($I6740=0,0,$J6740-$M6740-$N6740)</f>
      </c>
    </row>
    <row r="6741">
      <c r="A6741"/>
      <c r="B6741">
        <v>15</v>
      </c>
      <c r="C6741" s="43">
        <f>INDEX(DarlObj,15)</f>
      </c>
      <c r="D6741">
        <v>18</v>
      </c>
      <c r="E6741" s="51">
        <f>IF(INDEX(DarlBelegt,15)=0,0,EOMONTH(INDEX(DarlAuszahlung,15),17)+1)</f>
      </c>
      <c r="F6741" s="43">
        <f>IF($E6741=0,0,YEAR($E6741))</f>
      </c>
      <c r="G6741" s="43">
        <f>IF(INDEX(DarlBindung,15)="",1,IF($E6741&lt;=INDEX(DarlBindung,15),1,0))</f>
      </c>
      <c r="H6741" s="43">
        <f>IF($G6741=1,INDEX(DarlSollzins,15),INDEX(DarlAnschluss,15))</f>
      </c>
      <c r="I6741" s="43">
        <f>IF(INDEX(DarlBelegt,15)=0,0,IF(INDEX(DarlOhneTilgung,15)=1,IF(INDEX(DarlBindung,15)="",1,$G6741),IF($J6741&gt;0.005,1,0)))</f>
      </c>
      <c r="J6741" s="43">
        <f>IF($I6740=0,0,$R6740)</f>
      </c>
      <c r="K6741" s="43">
        <f>IF($I6741=0,0,IF(INDEX(DarlOhneTilgung,15)=1,0,IF(AND(INDEX(DarlTilgStart,15)&gt;0,$E6741=INDEX(DarlTilgStart,15)),$J6741*($H6741+INDEX(DarlTilgung,15))/100/12,IF(AND($G6741=0,$G6740=1),MAX($K6740,$J6741*($H6741+1)/100/12),$K6740))))</f>
      </c>
      <c r="L6741" s="43">
        <f>IF($I6741=0,0,$J6741*$H6741/100/12)</f>
      </c>
      <c r="M6741" s="43">
        <f>IF($I6741=0,0,IF(OR(INDEX(DarlOhneTilgung,15)=1,AND(INDEX(DarlTilgStart,15)&gt;0,$E6741&lt;INDEX(DarlTilgStart,15))),0,MIN(MAX(0,$K6741-$L6741),$J6741)))</f>
      </c>
      <c r="N6741" s="43">
        <f>IF($I6741=0,0,MIN(SUMIFS(SondBetrag,SondDarl,15,SondDatum,"&gt;="&amp;$E6741,SondDatum,"&lt;="&amp;EOMONTH($E6741,0)),$J6741-$M6741))</f>
      </c>
      <c r="O6741" s="43">
        <f>IF($I6741=0,0,INDEX(DarlErsatzRate,15))</f>
      </c>
      <c r="P6741" s="43">
        <f>IF($I6741=0,0,$Q6740*INDEX(DarlErsatzZins,15))</f>
      </c>
      <c r="Q6741" s="43">
        <f>IF($I6741=0,0,$Q6740+$P6741+$O6741)</f>
      </c>
      <c r="R6741" s="43">
        <f>IF($I6741=0,0,$J6741-$M6741-$N6741)</f>
      </c>
    </row>
    <row r="6742">
      <c r="A6742"/>
      <c r="B6742">
        <v>15</v>
      </c>
      <c r="C6742" s="43">
        <f>INDEX(DarlObj,15)</f>
      </c>
      <c r="D6742">
        <v>19</v>
      </c>
      <c r="E6742" s="51">
        <f>IF(INDEX(DarlBelegt,15)=0,0,EOMONTH(INDEX(DarlAuszahlung,15),18)+1)</f>
      </c>
      <c r="F6742" s="43">
        <f>IF($E6742=0,0,YEAR($E6742))</f>
      </c>
      <c r="G6742" s="43">
        <f>IF(INDEX(DarlBindung,15)="",1,IF($E6742&lt;=INDEX(DarlBindung,15),1,0))</f>
      </c>
      <c r="H6742" s="43">
        <f>IF($G6742=1,INDEX(DarlSollzins,15),INDEX(DarlAnschluss,15))</f>
      </c>
      <c r="I6742" s="43">
        <f>IF(INDEX(DarlBelegt,15)=0,0,IF(INDEX(DarlOhneTilgung,15)=1,IF(INDEX(DarlBindung,15)="",1,$G6742),IF($J6742&gt;0.005,1,0)))</f>
      </c>
      <c r="J6742" s="43">
        <f>IF($I6741=0,0,$R6741)</f>
      </c>
      <c r="K6742" s="43">
        <f>IF($I6742=0,0,IF(INDEX(DarlOhneTilgung,15)=1,0,IF(AND(INDEX(DarlTilgStart,15)&gt;0,$E6742=INDEX(DarlTilgStart,15)),$J6742*($H6742+INDEX(DarlTilgung,15))/100/12,IF(AND($G6742=0,$G6741=1),MAX($K6741,$J6742*($H6742+1)/100/12),$K6741))))</f>
      </c>
      <c r="L6742" s="43">
        <f>IF($I6742=0,0,$J6742*$H6742/100/12)</f>
      </c>
      <c r="M6742" s="43">
        <f>IF($I6742=0,0,IF(OR(INDEX(DarlOhneTilgung,15)=1,AND(INDEX(DarlTilgStart,15)&gt;0,$E6742&lt;INDEX(DarlTilgStart,15))),0,MIN(MAX(0,$K6742-$L6742),$J6742)))</f>
      </c>
      <c r="N6742" s="43">
        <f>IF($I6742=0,0,MIN(SUMIFS(SondBetrag,SondDarl,15,SondDatum,"&gt;="&amp;$E6742,SondDatum,"&lt;="&amp;EOMONTH($E6742,0)),$J6742-$M6742))</f>
      </c>
      <c r="O6742" s="43">
        <f>IF($I6742=0,0,INDEX(DarlErsatzRate,15))</f>
      </c>
      <c r="P6742" s="43">
        <f>IF($I6742=0,0,$Q6741*INDEX(DarlErsatzZins,15))</f>
      </c>
      <c r="Q6742" s="43">
        <f>IF($I6742=0,0,$Q6741+$P6742+$O6742)</f>
      </c>
      <c r="R6742" s="43">
        <f>IF($I6742=0,0,$J6742-$M6742-$N6742)</f>
      </c>
    </row>
    <row r="6743">
      <c r="A6743"/>
      <c r="B6743">
        <v>15</v>
      </c>
      <c r="C6743" s="43">
        <f>INDEX(DarlObj,15)</f>
      </c>
      <c r="D6743">
        <v>20</v>
      </c>
      <c r="E6743" s="51">
        <f>IF(INDEX(DarlBelegt,15)=0,0,EOMONTH(INDEX(DarlAuszahlung,15),19)+1)</f>
      </c>
      <c r="F6743" s="43">
        <f>IF($E6743=0,0,YEAR($E6743))</f>
      </c>
      <c r="G6743" s="43">
        <f>IF(INDEX(DarlBindung,15)="",1,IF($E6743&lt;=INDEX(DarlBindung,15),1,0))</f>
      </c>
      <c r="H6743" s="43">
        <f>IF($G6743=1,INDEX(DarlSollzins,15),INDEX(DarlAnschluss,15))</f>
      </c>
      <c r="I6743" s="43">
        <f>IF(INDEX(DarlBelegt,15)=0,0,IF(INDEX(DarlOhneTilgung,15)=1,IF(INDEX(DarlBindung,15)="",1,$G6743),IF($J6743&gt;0.005,1,0)))</f>
      </c>
      <c r="J6743" s="43">
        <f>IF($I6742=0,0,$R6742)</f>
      </c>
      <c r="K6743" s="43">
        <f>IF($I6743=0,0,IF(INDEX(DarlOhneTilgung,15)=1,0,IF(AND(INDEX(DarlTilgStart,15)&gt;0,$E6743=INDEX(DarlTilgStart,15)),$J6743*($H6743+INDEX(DarlTilgung,15))/100/12,IF(AND($G6743=0,$G6742=1),MAX($K6742,$J6743*($H6743+1)/100/12),$K6742))))</f>
      </c>
      <c r="L6743" s="43">
        <f>IF($I6743=0,0,$J6743*$H6743/100/12)</f>
      </c>
      <c r="M6743" s="43">
        <f>IF($I6743=0,0,IF(OR(INDEX(DarlOhneTilgung,15)=1,AND(INDEX(DarlTilgStart,15)&gt;0,$E6743&lt;INDEX(DarlTilgStart,15))),0,MIN(MAX(0,$K6743-$L6743),$J6743)))</f>
      </c>
      <c r="N6743" s="43">
        <f>IF($I6743=0,0,MIN(SUMIFS(SondBetrag,SondDarl,15,SondDatum,"&gt;="&amp;$E6743,SondDatum,"&lt;="&amp;EOMONTH($E6743,0)),$J6743-$M6743))</f>
      </c>
      <c r="O6743" s="43">
        <f>IF($I6743=0,0,INDEX(DarlErsatzRate,15))</f>
      </c>
      <c r="P6743" s="43">
        <f>IF($I6743=0,0,$Q6742*INDEX(DarlErsatzZins,15))</f>
      </c>
      <c r="Q6743" s="43">
        <f>IF($I6743=0,0,$Q6742+$P6743+$O6743)</f>
      </c>
      <c r="R6743" s="43">
        <f>IF($I6743=0,0,$J6743-$M6743-$N6743)</f>
      </c>
    </row>
    <row r="6744">
      <c r="A6744"/>
      <c r="B6744">
        <v>15</v>
      </c>
      <c r="C6744" s="43">
        <f>INDEX(DarlObj,15)</f>
      </c>
      <c r="D6744">
        <v>21</v>
      </c>
      <c r="E6744" s="51">
        <f>IF(INDEX(DarlBelegt,15)=0,0,EOMONTH(INDEX(DarlAuszahlung,15),20)+1)</f>
      </c>
      <c r="F6744" s="43">
        <f>IF($E6744=0,0,YEAR($E6744))</f>
      </c>
      <c r="G6744" s="43">
        <f>IF(INDEX(DarlBindung,15)="",1,IF($E6744&lt;=INDEX(DarlBindung,15),1,0))</f>
      </c>
      <c r="H6744" s="43">
        <f>IF($G6744=1,INDEX(DarlSollzins,15),INDEX(DarlAnschluss,15))</f>
      </c>
      <c r="I6744" s="43">
        <f>IF(INDEX(DarlBelegt,15)=0,0,IF(INDEX(DarlOhneTilgung,15)=1,IF(INDEX(DarlBindung,15)="",1,$G6744),IF($J6744&gt;0.005,1,0)))</f>
      </c>
      <c r="J6744" s="43">
        <f>IF($I6743=0,0,$R6743)</f>
      </c>
      <c r="K6744" s="43">
        <f>IF($I6744=0,0,IF(INDEX(DarlOhneTilgung,15)=1,0,IF(AND(INDEX(DarlTilgStart,15)&gt;0,$E6744=INDEX(DarlTilgStart,15)),$J6744*($H6744+INDEX(DarlTilgung,15))/100/12,IF(AND($G6744=0,$G6743=1),MAX($K6743,$J6744*($H6744+1)/100/12),$K6743))))</f>
      </c>
      <c r="L6744" s="43">
        <f>IF($I6744=0,0,$J6744*$H6744/100/12)</f>
      </c>
      <c r="M6744" s="43">
        <f>IF($I6744=0,0,IF(OR(INDEX(DarlOhneTilgung,15)=1,AND(INDEX(DarlTilgStart,15)&gt;0,$E6744&lt;INDEX(DarlTilgStart,15))),0,MIN(MAX(0,$K6744-$L6744),$J6744)))</f>
      </c>
      <c r="N6744" s="43">
        <f>IF($I6744=0,0,MIN(SUMIFS(SondBetrag,SondDarl,15,SondDatum,"&gt;="&amp;$E6744,SondDatum,"&lt;="&amp;EOMONTH($E6744,0)),$J6744-$M6744))</f>
      </c>
      <c r="O6744" s="43">
        <f>IF($I6744=0,0,INDEX(DarlErsatzRate,15))</f>
      </c>
      <c r="P6744" s="43">
        <f>IF($I6744=0,0,$Q6743*INDEX(DarlErsatzZins,15))</f>
      </c>
      <c r="Q6744" s="43">
        <f>IF($I6744=0,0,$Q6743+$P6744+$O6744)</f>
      </c>
      <c r="R6744" s="43">
        <f>IF($I6744=0,0,$J6744-$M6744-$N6744)</f>
      </c>
    </row>
    <row r="6745">
      <c r="A6745"/>
      <c r="B6745">
        <v>15</v>
      </c>
      <c r="C6745" s="43">
        <f>INDEX(DarlObj,15)</f>
      </c>
      <c r="D6745">
        <v>22</v>
      </c>
      <c r="E6745" s="51">
        <f>IF(INDEX(DarlBelegt,15)=0,0,EOMONTH(INDEX(DarlAuszahlung,15),21)+1)</f>
      </c>
      <c r="F6745" s="43">
        <f>IF($E6745=0,0,YEAR($E6745))</f>
      </c>
      <c r="G6745" s="43">
        <f>IF(INDEX(DarlBindung,15)="",1,IF($E6745&lt;=INDEX(DarlBindung,15),1,0))</f>
      </c>
      <c r="H6745" s="43">
        <f>IF($G6745=1,INDEX(DarlSollzins,15),INDEX(DarlAnschluss,15))</f>
      </c>
      <c r="I6745" s="43">
        <f>IF(INDEX(DarlBelegt,15)=0,0,IF(INDEX(DarlOhneTilgung,15)=1,IF(INDEX(DarlBindung,15)="",1,$G6745),IF($J6745&gt;0.005,1,0)))</f>
      </c>
      <c r="J6745" s="43">
        <f>IF($I6744=0,0,$R6744)</f>
      </c>
      <c r="K6745" s="43">
        <f>IF($I6745=0,0,IF(INDEX(DarlOhneTilgung,15)=1,0,IF(AND(INDEX(DarlTilgStart,15)&gt;0,$E6745=INDEX(DarlTilgStart,15)),$J6745*($H6745+INDEX(DarlTilgung,15))/100/12,IF(AND($G6745=0,$G6744=1),MAX($K6744,$J6745*($H6745+1)/100/12),$K6744))))</f>
      </c>
      <c r="L6745" s="43">
        <f>IF($I6745=0,0,$J6745*$H6745/100/12)</f>
      </c>
      <c r="M6745" s="43">
        <f>IF($I6745=0,0,IF(OR(INDEX(DarlOhneTilgung,15)=1,AND(INDEX(DarlTilgStart,15)&gt;0,$E6745&lt;INDEX(DarlTilgStart,15))),0,MIN(MAX(0,$K6745-$L6745),$J6745)))</f>
      </c>
      <c r="N6745" s="43">
        <f>IF($I6745=0,0,MIN(SUMIFS(SondBetrag,SondDarl,15,SondDatum,"&gt;="&amp;$E6745,SondDatum,"&lt;="&amp;EOMONTH($E6745,0)),$J6745-$M6745))</f>
      </c>
      <c r="O6745" s="43">
        <f>IF($I6745=0,0,INDEX(DarlErsatzRate,15))</f>
      </c>
      <c r="P6745" s="43">
        <f>IF($I6745=0,0,$Q6744*INDEX(DarlErsatzZins,15))</f>
      </c>
      <c r="Q6745" s="43">
        <f>IF($I6745=0,0,$Q6744+$P6745+$O6745)</f>
      </c>
      <c r="R6745" s="43">
        <f>IF($I6745=0,0,$J6745-$M6745-$N6745)</f>
      </c>
    </row>
    <row r="6746">
      <c r="A6746"/>
      <c r="B6746">
        <v>15</v>
      </c>
      <c r="C6746" s="43">
        <f>INDEX(DarlObj,15)</f>
      </c>
      <c r="D6746">
        <v>23</v>
      </c>
      <c r="E6746" s="51">
        <f>IF(INDEX(DarlBelegt,15)=0,0,EOMONTH(INDEX(DarlAuszahlung,15),22)+1)</f>
      </c>
      <c r="F6746" s="43">
        <f>IF($E6746=0,0,YEAR($E6746))</f>
      </c>
      <c r="G6746" s="43">
        <f>IF(INDEX(DarlBindung,15)="",1,IF($E6746&lt;=INDEX(DarlBindung,15),1,0))</f>
      </c>
      <c r="H6746" s="43">
        <f>IF($G6746=1,INDEX(DarlSollzins,15),INDEX(DarlAnschluss,15))</f>
      </c>
      <c r="I6746" s="43">
        <f>IF(INDEX(DarlBelegt,15)=0,0,IF(INDEX(DarlOhneTilgung,15)=1,IF(INDEX(DarlBindung,15)="",1,$G6746),IF($J6746&gt;0.005,1,0)))</f>
      </c>
      <c r="J6746" s="43">
        <f>IF($I6745=0,0,$R6745)</f>
      </c>
      <c r="K6746" s="43">
        <f>IF($I6746=0,0,IF(INDEX(DarlOhneTilgung,15)=1,0,IF(AND(INDEX(DarlTilgStart,15)&gt;0,$E6746=INDEX(DarlTilgStart,15)),$J6746*($H6746+INDEX(DarlTilgung,15))/100/12,IF(AND($G6746=0,$G6745=1),MAX($K6745,$J6746*($H6746+1)/100/12),$K6745))))</f>
      </c>
      <c r="L6746" s="43">
        <f>IF($I6746=0,0,$J6746*$H6746/100/12)</f>
      </c>
      <c r="M6746" s="43">
        <f>IF($I6746=0,0,IF(OR(INDEX(DarlOhneTilgung,15)=1,AND(INDEX(DarlTilgStart,15)&gt;0,$E6746&lt;INDEX(DarlTilgStart,15))),0,MIN(MAX(0,$K6746-$L6746),$J6746)))</f>
      </c>
      <c r="N6746" s="43">
        <f>IF($I6746=0,0,MIN(SUMIFS(SondBetrag,SondDarl,15,SondDatum,"&gt;="&amp;$E6746,SondDatum,"&lt;="&amp;EOMONTH($E6746,0)),$J6746-$M6746))</f>
      </c>
      <c r="O6746" s="43">
        <f>IF($I6746=0,0,INDEX(DarlErsatzRate,15))</f>
      </c>
      <c r="P6746" s="43">
        <f>IF($I6746=0,0,$Q6745*INDEX(DarlErsatzZins,15))</f>
      </c>
      <c r="Q6746" s="43">
        <f>IF($I6746=0,0,$Q6745+$P6746+$O6746)</f>
      </c>
      <c r="R6746" s="43">
        <f>IF($I6746=0,0,$J6746-$M6746-$N6746)</f>
      </c>
    </row>
    <row r="6747">
      <c r="A6747"/>
      <c r="B6747">
        <v>15</v>
      </c>
      <c r="C6747" s="43">
        <f>INDEX(DarlObj,15)</f>
      </c>
      <c r="D6747">
        <v>24</v>
      </c>
      <c r="E6747" s="51">
        <f>IF(INDEX(DarlBelegt,15)=0,0,EOMONTH(INDEX(DarlAuszahlung,15),23)+1)</f>
      </c>
      <c r="F6747" s="43">
        <f>IF($E6747=0,0,YEAR($E6747))</f>
      </c>
      <c r="G6747" s="43">
        <f>IF(INDEX(DarlBindung,15)="",1,IF($E6747&lt;=INDEX(DarlBindung,15),1,0))</f>
      </c>
      <c r="H6747" s="43">
        <f>IF($G6747=1,INDEX(DarlSollzins,15),INDEX(DarlAnschluss,15))</f>
      </c>
      <c r="I6747" s="43">
        <f>IF(INDEX(DarlBelegt,15)=0,0,IF(INDEX(DarlOhneTilgung,15)=1,IF(INDEX(DarlBindung,15)="",1,$G6747),IF($J6747&gt;0.005,1,0)))</f>
      </c>
      <c r="J6747" s="43">
        <f>IF($I6746=0,0,$R6746)</f>
      </c>
      <c r="K6747" s="43">
        <f>IF($I6747=0,0,IF(INDEX(DarlOhneTilgung,15)=1,0,IF(AND(INDEX(DarlTilgStart,15)&gt;0,$E6747=INDEX(DarlTilgStart,15)),$J6747*($H6747+INDEX(DarlTilgung,15))/100/12,IF(AND($G6747=0,$G6746=1),MAX($K6746,$J6747*($H6747+1)/100/12),$K6746))))</f>
      </c>
      <c r="L6747" s="43">
        <f>IF($I6747=0,0,$J6747*$H6747/100/12)</f>
      </c>
      <c r="M6747" s="43">
        <f>IF($I6747=0,0,IF(OR(INDEX(DarlOhneTilgung,15)=1,AND(INDEX(DarlTilgStart,15)&gt;0,$E6747&lt;INDEX(DarlTilgStart,15))),0,MIN(MAX(0,$K6747-$L6747),$J6747)))</f>
      </c>
      <c r="N6747" s="43">
        <f>IF($I6747=0,0,MIN(SUMIFS(SondBetrag,SondDarl,15,SondDatum,"&gt;="&amp;$E6747,SondDatum,"&lt;="&amp;EOMONTH($E6747,0)),$J6747-$M6747))</f>
      </c>
      <c r="O6747" s="43">
        <f>IF($I6747=0,0,INDEX(DarlErsatzRate,15))</f>
      </c>
      <c r="P6747" s="43">
        <f>IF($I6747=0,0,$Q6746*INDEX(DarlErsatzZins,15))</f>
      </c>
      <c r="Q6747" s="43">
        <f>IF($I6747=0,0,$Q6746+$P6747+$O6747)</f>
      </c>
      <c r="R6747" s="43">
        <f>IF($I6747=0,0,$J6747-$M6747-$N6747)</f>
      </c>
    </row>
    <row r="6748">
      <c r="A6748"/>
      <c r="B6748">
        <v>15</v>
      </c>
      <c r="C6748" s="43">
        <f>INDEX(DarlObj,15)</f>
      </c>
      <c r="D6748">
        <v>25</v>
      </c>
      <c r="E6748" s="51">
        <f>IF(INDEX(DarlBelegt,15)=0,0,EOMONTH(INDEX(DarlAuszahlung,15),24)+1)</f>
      </c>
      <c r="F6748" s="43">
        <f>IF($E6748=0,0,YEAR($E6748))</f>
      </c>
      <c r="G6748" s="43">
        <f>IF(INDEX(DarlBindung,15)="",1,IF($E6748&lt;=INDEX(DarlBindung,15),1,0))</f>
      </c>
      <c r="H6748" s="43">
        <f>IF($G6748=1,INDEX(DarlSollzins,15),INDEX(DarlAnschluss,15))</f>
      </c>
      <c r="I6748" s="43">
        <f>IF(INDEX(DarlBelegt,15)=0,0,IF(INDEX(DarlOhneTilgung,15)=1,IF(INDEX(DarlBindung,15)="",1,$G6748),IF($J6748&gt;0.005,1,0)))</f>
      </c>
      <c r="J6748" s="43">
        <f>IF($I6747=0,0,$R6747)</f>
      </c>
      <c r="K6748" s="43">
        <f>IF($I6748=0,0,IF(INDEX(DarlOhneTilgung,15)=1,0,IF(AND(INDEX(DarlTilgStart,15)&gt;0,$E6748=INDEX(DarlTilgStart,15)),$J6748*($H6748+INDEX(DarlTilgung,15))/100/12,IF(AND($G6748=0,$G6747=1),MAX($K6747,$J6748*($H6748+1)/100/12),$K6747))))</f>
      </c>
      <c r="L6748" s="43">
        <f>IF($I6748=0,0,$J6748*$H6748/100/12)</f>
      </c>
      <c r="M6748" s="43">
        <f>IF($I6748=0,0,IF(OR(INDEX(DarlOhneTilgung,15)=1,AND(INDEX(DarlTilgStart,15)&gt;0,$E6748&lt;INDEX(DarlTilgStart,15))),0,MIN(MAX(0,$K6748-$L6748),$J6748)))</f>
      </c>
      <c r="N6748" s="43">
        <f>IF($I6748=0,0,MIN(SUMIFS(SondBetrag,SondDarl,15,SondDatum,"&gt;="&amp;$E6748,SondDatum,"&lt;="&amp;EOMONTH($E6748,0)),$J6748-$M6748))</f>
      </c>
      <c r="O6748" s="43">
        <f>IF($I6748=0,0,INDEX(DarlErsatzRate,15))</f>
      </c>
      <c r="P6748" s="43">
        <f>IF($I6748=0,0,$Q6747*INDEX(DarlErsatzZins,15))</f>
      </c>
      <c r="Q6748" s="43">
        <f>IF($I6748=0,0,$Q6747+$P6748+$O6748)</f>
      </c>
      <c r="R6748" s="43">
        <f>IF($I6748=0,0,$J6748-$M6748-$N6748)</f>
      </c>
    </row>
    <row r="6749">
      <c r="A6749"/>
      <c r="B6749">
        <v>15</v>
      </c>
      <c r="C6749" s="43">
        <f>INDEX(DarlObj,15)</f>
      </c>
      <c r="D6749">
        <v>26</v>
      </c>
      <c r="E6749" s="51">
        <f>IF(INDEX(DarlBelegt,15)=0,0,EOMONTH(INDEX(DarlAuszahlung,15),25)+1)</f>
      </c>
      <c r="F6749" s="43">
        <f>IF($E6749=0,0,YEAR($E6749))</f>
      </c>
      <c r="G6749" s="43">
        <f>IF(INDEX(DarlBindung,15)="",1,IF($E6749&lt;=INDEX(DarlBindung,15),1,0))</f>
      </c>
      <c r="H6749" s="43">
        <f>IF($G6749=1,INDEX(DarlSollzins,15),INDEX(DarlAnschluss,15))</f>
      </c>
      <c r="I6749" s="43">
        <f>IF(INDEX(DarlBelegt,15)=0,0,IF(INDEX(DarlOhneTilgung,15)=1,IF(INDEX(DarlBindung,15)="",1,$G6749),IF($J6749&gt;0.005,1,0)))</f>
      </c>
      <c r="J6749" s="43">
        <f>IF($I6748=0,0,$R6748)</f>
      </c>
      <c r="K6749" s="43">
        <f>IF($I6749=0,0,IF(INDEX(DarlOhneTilgung,15)=1,0,IF(AND(INDEX(DarlTilgStart,15)&gt;0,$E6749=INDEX(DarlTilgStart,15)),$J6749*($H6749+INDEX(DarlTilgung,15))/100/12,IF(AND($G6749=0,$G6748=1),MAX($K6748,$J6749*($H6749+1)/100/12),$K6748))))</f>
      </c>
      <c r="L6749" s="43">
        <f>IF($I6749=0,0,$J6749*$H6749/100/12)</f>
      </c>
      <c r="M6749" s="43">
        <f>IF($I6749=0,0,IF(OR(INDEX(DarlOhneTilgung,15)=1,AND(INDEX(DarlTilgStart,15)&gt;0,$E6749&lt;INDEX(DarlTilgStart,15))),0,MIN(MAX(0,$K6749-$L6749),$J6749)))</f>
      </c>
      <c r="N6749" s="43">
        <f>IF($I6749=0,0,MIN(SUMIFS(SondBetrag,SondDarl,15,SondDatum,"&gt;="&amp;$E6749,SondDatum,"&lt;="&amp;EOMONTH($E6749,0)),$J6749-$M6749))</f>
      </c>
      <c r="O6749" s="43">
        <f>IF($I6749=0,0,INDEX(DarlErsatzRate,15))</f>
      </c>
      <c r="P6749" s="43">
        <f>IF($I6749=0,0,$Q6748*INDEX(DarlErsatzZins,15))</f>
      </c>
      <c r="Q6749" s="43">
        <f>IF($I6749=0,0,$Q6748+$P6749+$O6749)</f>
      </c>
      <c r="R6749" s="43">
        <f>IF($I6749=0,0,$J6749-$M6749-$N6749)</f>
      </c>
    </row>
    <row r="6750">
      <c r="A6750"/>
      <c r="B6750">
        <v>15</v>
      </c>
      <c r="C6750" s="43">
        <f>INDEX(DarlObj,15)</f>
      </c>
      <c r="D6750">
        <v>27</v>
      </c>
      <c r="E6750" s="51">
        <f>IF(INDEX(DarlBelegt,15)=0,0,EOMONTH(INDEX(DarlAuszahlung,15),26)+1)</f>
      </c>
      <c r="F6750" s="43">
        <f>IF($E6750=0,0,YEAR($E6750))</f>
      </c>
      <c r="G6750" s="43">
        <f>IF(INDEX(DarlBindung,15)="",1,IF($E6750&lt;=INDEX(DarlBindung,15),1,0))</f>
      </c>
      <c r="H6750" s="43">
        <f>IF($G6750=1,INDEX(DarlSollzins,15),INDEX(DarlAnschluss,15))</f>
      </c>
      <c r="I6750" s="43">
        <f>IF(INDEX(DarlBelegt,15)=0,0,IF(INDEX(DarlOhneTilgung,15)=1,IF(INDEX(DarlBindung,15)="",1,$G6750),IF($J6750&gt;0.005,1,0)))</f>
      </c>
      <c r="J6750" s="43">
        <f>IF($I6749=0,0,$R6749)</f>
      </c>
      <c r="K6750" s="43">
        <f>IF($I6750=0,0,IF(INDEX(DarlOhneTilgung,15)=1,0,IF(AND(INDEX(DarlTilgStart,15)&gt;0,$E6750=INDEX(DarlTilgStart,15)),$J6750*($H6750+INDEX(DarlTilgung,15))/100/12,IF(AND($G6750=0,$G6749=1),MAX($K6749,$J6750*($H6750+1)/100/12),$K6749))))</f>
      </c>
      <c r="L6750" s="43">
        <f>IF($I6750=0,0,$J6750*$H6750/100/12)</f>
      </c>
      <c r="M6750" s="43">
        <f>IF($I6750=0,0,IF(OR(INDEX(DarlOhneTilgung,15)=1,AND(INDEX(DarlTilgStart,15)&gt;0,$E6750&lt;INDEX(DarlTilgStart,15))),0,MIN(MAX(0,$K6750-$L6750),$J6750)))</f>
      </c>
      <c r="N6750" s="43">
        <f>IF($I6750=0,0,MIN(SUMIFS(SondBetrag,SondDarl,15,SondDatum,"&gt;="&amp;$E6750,SondDatum,"&lt;="&amp;EOMONTH($E6750,0)),$J6750-$M6750))</f>
      </c>
      <c r="O6750" s="43">
        <f>IF($I6750=0,0,INDEX(DarlErsatzRate,15))</f>
      </c>
      <c r="P6750" s="43">
        <f>IF($I6750=0,0,$Q6749*INDEX(DarlErsatzZins,15))</f>
      </c>
      <c r="Q6750" s="43">
        <f>IF($I6750=0,0,$Q6749+$P6750+$O6750)</f>
      </c>
      <c r="R6750" s="43">
        <f>IF($I6750=0,0,$J6750-$M6750-$N6750)</f>
      </c>
    </row>
    <row r="6751">
      <c r="A6751"/>
      <c r="B6751">
        <v>15</v>
      </c>
      <c r="C6751" s="43">
        <f>INDEX(DarlObj,15)</f>
      </c>
      <c r="D6751">
        <v>28</v>
      </c>
      <c r="E6751" s="51">
        <f>IF(INDEX(DarlBelegt,15)=0,0,EOMONTH(INDEX(DarlAuszahlung,15),27)+1)</f>
      </c>
      <c r="F6751" s="43">
        <f>IF($E6751=0,0,YEAR($E6751))</f>
      </c>
      <c r="G6751" s="43">
        <f>IF(INDEX(DarlBindung,15)="",1,IF($E6751&lt;=INDEX(DarlBindung,15),1,0))</f>
      </c>
      <c r="H6751" s="43">
        <f>IF($G6751=1,INDEX(DarlSollzins,15),INDEX(DarlAnschluss,15))</f>
      </c>
      <c r="I6751" s="43">
        <f>IF(INDEX(DarlBelegt,15)=0,0,IF(INDEX(DarlOhneTilgung,15)=1,IF(INDEX(DarlBindung,15)="",1,$G6751),IF($J6751&gt;0.005,1,0)))</f>
      </c>
      <c r="J6751" s="43">
        <f>IF($I6750=0,0,$R6750)</f>
      </c>
      <c r="K6751" s="43">
        <f>IF($I6751=0,0,IF(INDEX(DarlOhneTilgung,15)=1,0,IF(AND(INDEX(DarlTilgStart,15)&gt;0,$E6751=INDEX(DarlTilgStart,15)),$J6751*($H6751+INDEX(DarlTilgung,15))/100/12,IF(AND($G6751=0,$G6750=1),MAX($K6750,$J6751*($H6751+1)/100/12),$K6750))))</f>
      </c>
      <c r="L6751" s="43">
        <f>IF($I6751=0,0,$J6751*$H6751/100/12)</f>
      </c>
      <c r="M6751" s="43">
        <f>IF($I6751=0,0,IF(OR(INDEX(DarlOhneTilgung,15)=1,AND(INDEX(DarlTilgStart,15)&gt;0,$E6751&lt;INDEX(DarlTilgStart,15))),0,MIN(MAX(0,$K6751-$L6751),$J6751)))</f>
      </c>
      <c r="N6751" s="43">
        <f>IF($I6751=0,0,MIN(SUMIFS(SondBetrag,SondDarl,15,SondDatum,"&gt;="&amp;$E6751,SondDatum,"&lt;="&amp;EOMONTH($E6751,0)),$J6751-$M6751))</f>
      </c>
      <c r="O6751" s="43">
        <f>IF($I6751=0,0,INDEX(DarlErsatzRate,15))</f>
      </c>
      <c r="P6751" s="43">
        <f>IF($I6751=0,0,$Q6750*INDEX(DarlErsatzZins,15))</f>
      </c>
      <c r="Q6751" s="43">
        <f>IF($I6751=0,0,$Q6750+$P6751+$O6751)</f>
      </c>
      <c r="R6751" s="43">
        <f>IF($I6751=0,0,$J6751-$M6751-$N6751)</f>
      </c>
    </row>
    <row r="6752">
      <c r="A6752"/>
      <c r="B6752">
        <v>15</v>
      </c>
      <c r="C6752" s="43">
        <f>INDEX(DarlObj,15)</f>
      </c>
      <c r="D6752">
        <v>29</v>
      </c>
      <c r="E6752" s="51">
        <f>IF(INDEX(DarlBelegt,15)=0,0,EOMONTH(INDEX(DarlAuszahlung,15),28)+1)</f>
      </c>
      <c r="F6752" s="43">
        <f>IF($E6752=0,0,YEAR($E6752))</f>
      </c>
      <c r="G6752" s="43">
        <f>IF(INDEX(DarlBindung,15)="",1,IF($E6752&lt;=INDEX(DarlBindung,15),1,0))</f>
      </c>
      <c r="H6752" s="43">
        <f>IF($G6752=1,INDEX(DarlSollzins,15),INDEX(DarlAnschluss,15))</f>
      </c>
      <c r="I6752" s="43">
        <f>IF(INDEX(DarlBelegt,15)=0,0,IF(INDEX(DarlOhneTilgung,15)=1,IF(INDEX(DarlBindung,15)="",1,$G6752),IF($J6752&gt;0.005,1,0)))</f>
      </c>
      <c r="J6752" s="43">
        <f>IF($I6751=0,0,$R6751)</f>
      </c>
      <c r="K6752" s="43">
        <f>IF($I6752=0,0,IF(INDEX(DarlOhneTilgung,15)=1,0,IF(AND(INDEX(DarlTilgStart,15)&gt;0,$E6752=INDEX(DarlTilgStart,15)),$J6752*($H6752+INDEX(DarlTilgung,15))/100/12,IF(AND($G6752=0,$G6751=1),MAX($K6751,$J6752*($H6752+1)/100/12),$K6751))))</f>
      </c>
      <c r="L6752" s="43">
        <f>IF($I6752=0,0,$J6752*$H6752/100/12)</f>
      </c>
      <c r="M6752" s="43">
        <f>IF($I6752=0,0,IF(OR(INDEX(DarlOhneTilgung,15)=1,AND(INDEX(DarlTilgStart,15)&gt;0,$E6752&lt;INDEX(DarlTilgStart,15))),0,MIN(MAX(0,$K6752-$L6752),$J6752)))</f>
      </c>
      <c r="N6752" s="43">
        <f>IF($I6752=0,0,MIN(SUMIFS(SondBetrag,SondDarl,15,SondDatum,"&gt;="&amp;$E6752,SondDatum,"&lt;="&amp;EOMONTH($E6752,0)),$J6752-$M6752))</f>
      </c>
      <c r="O6752" s="43">
        <f>IF($I6752=0,0,INDEX(DarlErsatzRate,15))</f>
      </c>
      <c r="P6752" s="43">
        <f>IF($I6752=0,0,$Q6751*INDEX(DarlErsatzZins,15))</f>
      </c>
      <c r="Q6752" s="43">
        <f>IF($I6752=0,0,$Q6751+$P6752+$O6752)</f>
      </c>
      <c r="R6752" s="43">
        <f>IF($I6752=0,0,$J6752-$M6752-$N6752)</f>
      </c>
    </row>
    <row r="6753">
      <c r="A6753"/>
      <c r="B6753">
        <v>15</v>
      </c>
      <c r="C6753" s="43">
        <f>INDEX(DarlObj,15)</f>
      </c>
      <c r="D6753">
        <v>30</v>
      </c>
      <c r="E6753" s="51">
        <f>IF(INDEX(DarlBelegt,15)=0,0,EOMONTH(INDEX(DarlAuszahlung,15),29)+1)</f>
      </c>
      <c r="F6753" s="43">
        <f>IF($E6753=0,0,YEAR($E6753))</f>
      </c>
      <c r="G6753" s="43">
        <f>IF(INDEX(DarlBindung,15)="",1,IF($E6753&lt;=INDEX(DarlBindung,15),1,0))</f>
      </c>
      <c r="H6753" s="43">
        <f>IF($G6753=1,INDEX(DarlSollzins,15),INDEX(DarlAnschluss,15))</f>
      </c>
      <c r="I6753" s="43">
        <f>IF(INDEX(DarlBelegt,15)=0,0,IF(INDEX(DarlOhneTilgung,15)=1,IF(INDEX(DarlBindung,15)="",1,$G6753),IF($J6753&gt;0.005,1,0)))</f>
      </c>
      <c r="J6753" s="43">
        <f>IF($I6752=0,0,$R6752)</f>
      </c>
      <c r="K6753" s="43">
        <f>IF($I6753=0,0,IF(INDEX(DarlOhneTilgung,15)=1,0,IF(AND(INDEX(DarlTilgStart,15)&gt;0,$E6753=INDEX(DarlTilgStart,15)),$J6753*($H6753+INDEX(DarlTilgung,15))/100/12,IF(AND($G6753=0,$G6752=1),MAX($K6752,$J6753*($H6753+1)/100/12),$K6752))))</f>
      </c>
      <c r="L6753" s="43">
        <f>IF($I6753=0,0,$J6753*$H6753/100/12)</f>
      </c>
      <c r="M6753" s="43">
        <f>IF($I6753=0,0,IF(OR(INDEX(DarlOhneTilgung,15)=1,AND(INDEX(DarlTilgStart,15)&gt;0,$E6753&lt;INDEX(DarlTilgStart,15))),0,MIN(MAX(0,$K6753-$L6753),$J6753)))</f>
      </c>
      <c r="N6753" s="43">
        <f>IF($I6753=0,0,MIN(SUMIFS(SondBetrag,SondDarl,15,SondDatum,"&gt;="&amp;$E6753,SondDatum,"&lt;="&amp;EOMONTH($E6753,0)),$J6753-$M6753))</f>
      </c>
      <c r="O6753" s="43">
        <f>IF($I6753=0,0,INDEX(DarlErsatzRate,15))</f>
      </c>
      <c r="P6753" s="43">
        <f>IF($I6753=0,0,$Q6752*INDEX(DarlErsatzZins,15))</f>
      </c>
      <c r="Q6753" s="43">
        <f>IF($I6753=0,0,$Q6752+$P6753+$O6753)</f>
      </c>
      <c r="R6753" s="43">
        <f>IF($I6753=0,0,$J6753-$M6753-$N6753)</f>
      </c>
    </row>
    <row r="6754">
      <c r="A6754"/>
      <c r="B6754">
        <v>15</v>
      </c>
      <c r="C6754" s="43">
        <f>INDEX(DarlObj,15)</f>
      </c>
      <c r="D6754">
        <v>31</v>
      </c>
      <c r="E6754" s="51">
        <f>IF(INDEX(DarlBelegt,15)=0,0,EOMONTH(INDEX(DarlAuszahlung,15),30)+1)</f>
      </c>
      <c r="F6754" s="43">
        <f>IF($E6754=0,0,YEAR($E6754))</f>
      </c>
      <c r="G6754" s="43">
        <f>IF(INDEX(DarlBindung,15)="",1,IF($E6754&lt;=INDEX(DarlBindung,15),1,0))</f>
      </c>
      <c r="H6754" s="43">
        <f>IF($G6754=1,INDEX(DarlSollzins,15),INDEX(DarlAnschluss,15))</f>
      </c>
      <c r="I6754" s="43">
        <f>IF(INDEX(DarlBelegt,15)=0,0,IF(INDEX(DarlOhneTilgung,15)=1,IF(INDEX(DarlBindung,15)="",1,$G6754),IF($J6754&gt;0.005,1,0)))</f>
      </c>
      <c r="J6754" s="43">
        <f>IF($I6753=0,0,$R6753)</f>
      </c>
      <c r="K6754" s="43">
        <f>IF($I6754=0,0,IF(INDEX(DarlOhneTilgung,15)=1,0,IF(AND(INDEX(DarlTilgStart,15)&gt;0,$E6754=INDEX(DarlTilgStart,15)),$J6754*($H6754+INDEX(DarlTilgung,15))/100/12,IF(AND($G6754=0,$G6753=1),MAX($K6753,$J6754*($H6754+1)/100/12),$K6753))))</f>
      </c>
      <c r="L6754" s="43">
        <f>IF($I6754=0,0,$J6754*$H6754/100/12)</f>
      </c>
      <c r="M6754" s="43">
        <f>IF($I6754=0,0,IF(OR(INDEX(DarlOhneTilgung,15)=1,AND(INDEX(DarlTilgStart,15)&gt;0,$E6754&lt;INDEX(DarlTilgStart,15))),0,MIN(MAX(0,$K6754-$L6754),$J6754)))</f>
      </c>
      <c r="N6754" s="43">
        <f>IF($I6754=0,0,MIN(SUMIFS(SondBetrag,SondDarl,15,SondDatum,"&gt;="&amp;$E6754,SondDatum,"&lt;="&amp;EOMONTH($E6754,0)),$J6754-$M6754))</f>
      </c>
      <c r="O6754" s="43">
        <f>IF($I6754=0,0,INDEX(DarlErsatzRate,15))</f>
      </c>
      <c r="P6754" s="43">
        <f>IF($I6754=0,0,$Q6753*INDEX(DarlErsatzZins,15))</f>
      </c>
      <c r="Q6754" s="43">
        <f>IF($I6754=0,0,$Q6753+$P6754+$O6754)</f>
      </c>
      <c r="R6754" s="43">
        <f>IF($I6754=0,0,$J6754-$M6754-$N6754)</f>
      </c>
    </row>
    <row r="6755">
      <c r="A6755"/>
      <c r="B6755">
        <v>15</v>
      </c>
      <c r="C6755" s="43">
        <f>INDEX(DarlObj,15)</f>
      </c>
      <c r="D6755">
        <v>32</v>
      </c>
      <c r="E6755" s="51">
        <f>IF(INDEX(DarlBelegt,15)=0,0,EOMONTH(INDEX(DarlAuszahlung,15),31)+1)</f>
      </c>
      <c r="F6755" s="43">
        <f>IF($E6755=0,0,YEAR($E6755))</f>
      </c>
      <c r="G6755" s="43">
        <f>IF(INDEX(DarlBindung,15)="",1,IF($E6755&lt;=INDEX(DarlBindung,15),1,0))</f>
      </c>
      <c r="H6755" s="43">
        <f>IF($G6755=1,INDEX(DarlSollzins,15),INDEX(DarlAnschluss,15))</f>
      </c>
      <c r="I6755" s="43">
        <f>IF(INDEX(DarlBelegt,15)=0,0,IF(INDEX(DarlOhneTilgung,15)=1,IF(INDEX(DarlBindung,15)="",1,$G6755),IF($J6755&gt;0.005,1,0)))</f>
      </c>
      <c r="J6755" s="43">
        <f>IF($I6754=0,0,$R6754)</f>
      </c>
      <c r="K6755" s="43">
        <f>IF($I6755=0,0,IF(INDEX(DarlOhneTilgung,15)=1,0,IF(AND(INDEX(DarlTilgStart,15)&gt;0,$E6755=INDEX(DarlTilgStart,15)),$J6755*($H6755+INDEX(DarlTilgung,15))/100/12,IF(AND($G6755=0,$G6754=1),MAX($K6754,$J6755*($H6755+1)/100/12),$K6754))))</f>
      </c>
      <c r="L6755" s="43">
        <f>IF($I6755=0,0,$J6755*$H6755/100/12)</f>
      </c>
      <c r="M6755" s="43">
        <f>IF($I6755=0,0,IF(OR(INDEX(DarlOhneTilgung,15)=1,AND(INDEX(DarlTilgStart,15)&gt;0,$E6755&lt;INDEX(DarlTilgStart,15))),0,MIN(MAX(0,$K6755-$L6755),$J6755)))</f>
      </c>
      <c r="N6755" s="43">
        <f>IF($I6755=0,0,MIN(SUMIFS(SondBetrag,SondDarl,15,SondDatum,"&gt;="&amp;$E6755,SondDatum,"&lt;="&amp;EOMONTH($E6755,0)),$J6755-$M6755))</f>
      </c>
      <c r="O6755" s="43">
        <f>IF($I6755=0,0,INDEX(DarlErsatzRate,15))</f>
      </c>
      <c r="P6755" s="43">
        <f>IF($I6755=0,0,$Q6754*INDEX(DarlErsatzZins,15))</f>
      </c>
      <c r="Q6755" s="43">
        <f>IF($I6755=0,0,$Q6754+$P6755+$O6755)</f>
      </c>
      <c r="R6755" s="43">
        <f>IF($I6755=0,0,$J6755-$M6755-$N6755)</f>
      </c>
    </row>
    <row r="6756">
      <c r="A6756"/>
      <c r="B6756">
        <v>15</v>
      </c>
      <c r="C6756" s="43">
        <f>INDEX(DarlObj,15)</f>
      </c>
      <c r="D6756">
        <v>33</v>
      </c>
      <c r="E6756" s="51">
        <f>IF(INDEX(DarlBelegt,15)=0,0,EOMONTH(INDEX(DarlAuszahlung,15),32)+1)</f>
      </c>
      <c r="F6756" s="43">
        <f>IF($E6756=0,0,YEAR($E6756))</f>
      </c>
      <c r="G6756" s="43">
        <f>IF(INDEX(DarlBindung,15)="",1,IF($E6756&lt;=INDEX(DarlBindung,15),1,0))</f>
      </c>
      <c r="H6756" s="43">
        <f>IF($G6756=1,INDEX(DarlSollzins,15),INDEX(DarlAnschluss,15))</f>
      </c>
      <c r="I6756" s="43">
        <f>IF(INDEX(DarlBelegt,15)=0,0,IF(INDEX(DarlOhneTilgung,15)=1,IF(INDEX(DarlBindung,15)="",1,$G6756),IF($J6756&gt;0.005,1,0)))</f>
      </c>
      <c r="J6756" s="43">
        <f>IF($I6755=0,0,$R6755)</f>
      </c>
      <c r="K6756" s="43">
        <f>IF($I6756=0,0,IF(INDEX(DarlOhneTilgung,15)=1,0,IF(AND(INDEX(DarlTilgStart,15)&gt;0,$E6756=INDEX(DarlTilgStart,15)),$J6756*($H6756+INDEX(DarlTilgung,15))/100/12,IF(AND($G6756=0,$G6755=1),MAX($K6755,$J6756*($H6756+1)/100/12),$K6755))))</f>
      </c>
      <c r="L6756" s="43">
        <f>IF($I6756=0,0,$J6756*$H6756/100/12)</f>
      </c>
      <c r="M6756" s="43">
        <f>IF($I6756=0,0,IF(OR(INDEX(DarlOhneTilgung,15)=1,AND(INDEX(DarlTilgStart,15)&gt;0,$E6756&lt;INDEX(DarlTilgStart,15))),0,MIN(MAX(0,$K6756-$L6756),$J6756)))</f>
      </c>
      <c r="N6756" s="43">
        <f>IF($I6756=0,0,MIN(SUMIFS(SondBetrag,SondDarl,15,SondDatum,"&gt;="&amp;$E6756,SondDatum,"&lt;="&amp;EOMONTH($E6756,0)),$J6756-$M6756))</f>
      </c>
      <c r="O6756" s="43">
        <f>IF($I6756=0,0,INDEX(DarlErsatzRate,15))</f>
      </c>
      <c r="P6756" s="43">
        <f>IF($I6756=0,0,$Q6755*INDEX(DarlErsatzZins,15))</f>
      </c>
      <c r="Q6756" s="43">
        <f>IF($I6756=0,0,$Q6755+$P6756+$O6756)</f>
      </c>
      <c r="R6756" s="43">
        <f>IF($I6756=0,0,$J6756-$M6756-$N6756)</f>
      </c>
    </row>
    <row r="6757">
      <c r="A6757"/>
      <c r="B6757">
        <v>15</v>
      </c>
      <c r="C6757" s="43">
        <f>INDEX(DarlObj,15)</f>
      </c>
      <c r="D6757">
        <v>34</v>
      </c>
      <c r="E6757" s="51">
        <f>IF(INDEX(DarlBelegt,15)=0,0,EOMONTH(INDEX(DarlAuszahlung,15),33)+1)</f>
      </c>
      <c r="F6757" s="43">
        <f>IF($E6757=0,0,YEAR($E6757))</f>
      </c>
      <c r="G6757" s="43">
        <f>IF(INDEX(DarlBindung,15)="",1,IF($E6757&lt;=INDEX(DarlBindung,15),1,0))</f>
      </c>
      <c r="H6757" s="43">
        <f>IF($G6757=1,INDEX(DarlSollzins,15),INDEX(DarlAnschluss,15))</f>
      </c>
      <c r="I6757" s="43">
        <f>IF(INDEX(DarlBelegt,15)=0,0,IF(INDEX(DarlOhneTilgung,15)=1,IF(INDEX(DarlBindung,15)="",1,$G6757),IF($J6757&gt;0.005,1,0)))</f>
      </c>
      <c r="J6757" s="43">
        <f>IF($I6756=0,0,$R6756)</f>
      </c>
      <c r="K6757" s="43">
        <f>IF($I6757=0,0,IF(INDEX(DarlOhneTilgung,15)=1,0,IF(AND(INDEX(DarlTilgStart,15)&gt;0,$E6757=INDEX(DarlTilgStart,15)),$J6757*($H6757+INDEX(DarlTilgung,15))/100/12,IF(AND($G6757=0,$G6756=1),MAX($K6756,$J6757*($H6757+1)/100/12),$K6756))))</f>
      </c>
      <c r="L6757" s="43">
        <f>IF($I6757=0,0,$J6757*$H6757/100/12)</f>
      </c>
      <c r="M6757" s="43">
        <f>IF($I6757=0,0,IF(OR(INDEX(DarlOhneTilgung,15)=1,AND(INDEX(DarlTilgStart,15)&gt;0,$E6757&lt;INDEX(DarlTilgStart,15))),0,MIN(MAX(0,$K6757-$L6757),$J6757)))</f>
      </c>
      <c r="N6757" s="43">
        <f>IF($I6757=0,0,MIN(SUMIFS(SondBetrag,SondDarl,15,SondDatum,"&gt;="&amp;$E6757,SondDatum,"&lt;="&amp;EOMONTH($E6757,0)),$J6757-$M6757))</f>
      </c>
      <c r="O6757" s="43">
        <f>IF($I6757=0,0,INDEX(DarlErsatzRate,15))</f>
      </c>
      <c r="P6757" s="43">
        <f>IF($I6757=0,0,$Q6756*INDEX(DarlErsatzZins,15))</f>
      </c>
      <c r="Q6757" s="43">
        <f>IF($I6757=0,0,$Q6756+$P6757+$O6757)</f>
      </c>
      <c r="R6757" s="43">
        <f>IF($I6757=0,0,$J6757-$M6757-$N6757)</f>
      </c>
    </row>
    <row r="6758">
      <c r="A6758"/>
      <c r="B6758">
        <v>15</v>
      </c>
      <c r="C6758" s="43">
        <f>INDEX(DarlObj,15)</f>
      </c>
      <c r="D6758">
        <v>35</v>
      </c>
      <c r="E6758" s="51">
        <f>IF(INDEX(DarlBelegt,15)=0,0,EOMONTH(INDEX(DarlAuszahlung,15),34)+1)</f>
      </c>
      <c r="F6758" s="43">
        <f>IF($E6758=0,0,YEAR($E6758))</f>
      </c>
      <c r="G6758" s="43">
        <f>IF(INDEX(DarlBindung,15)="",1,IF($E6758&lt;=INDEX(DarlBindung,15),1,0))</f>
      </c>
      <c r="H6758" s="43">
        <f>IF($G6758=1,INDEX(DarlSollzins,15),INDEX(DarlAnschluss,15))</f>
      </c>
      <c r="I6758" s="43">
        <f>IF(INDEX(DarlBelegt,15)=0,0,IF(INDEX(DarlOhneTilgung,15)=1,IF(INDEX(DarlBindung,15)="",1,$G6758),IF($J6758&gt;0.005,1,0)))</f>
      </c>
      <c r="J6758" s="43">
        <f>IF($I6757=0,0,$R6757)</f>
      </c>
      <c r="K6758" s="43">
        <f>IF($I6758=0,0,IF(INDEX(DarlOhneTilgung,15)=1,0,IF(AND(INDEX(DarlTilgStart,15)&gt;0,$E6758=INDEX(DarlTilgStart,15)),$J6758*($H6758+INDEX(DarlTilgung,15))/100/12,IF(AND($G6758=0,$G6757=1),MAX($K6757,$J6758*($H6758+1)/100/12),$K6757))))</f>
      </c>
      <c r="L6758" s="43">
        <f>IF($I6758=0,0,$J6758*$H6758/100/12)</f>
      </c>
      <c r="M6758" s="43">
        <f>IF($I6758=0,0,IF(OR(INDEX(DarlOhneTilgung,15)=1,AND(INDEX(DarlTilgStart,15)&gt;0,$E6758&lt;INDEX(DarlTilgStart,15))),0,MIN(MAX(0,$K6758-$L6758),$J6758)))</f>
      </c>
      <c r="N6758" s="43">
        <f>IF($I6758=0,0,MIN(SUMIFS(SondBetrag,SondDarl,15,SondDatum,"&gt;="&amp;$E6758,SondDatum,"&lt;="&amp;EOMONTH($E6758,0)),$J6758-$M6758))</f>
      </c>
      <c r="O6758" s="43">
        <f>IF($I6758=0,0,INDEX(DarlErsatzRate,15))</f>
      </c>
      <c r="P6758" s="43">
        <f>IF($I6758=0,0,$Q6757*INDEX(DarlErsatzZins,15))</f>
      </c>
      <c r="Q6758" s="43">
        <f>IF($I6758=0,0,$Q6757+$P6758+$O6758)</f>
      </c>
      <c r="R6758" s="43">
        <f>IF($I6758=0,0,$J6758-$M6758-$N6758)</f>
      </c>
    </row>
    <row r="6759">
      <c r="A6759"/>
      <c r="B6759">
        <v>15</v>
      </c>
      <c r="C6759" s="43">
        <f>INDEX(DarlObj,15)</f>
      </c>
      <c r="D6759">
        <v>36</v>
      </c>
      <c r="E6759" s="51">
        <f>IF(INDEX(DarlBelegt,15)=0,0,EOMONTH(INDEX(DarlAuszahlung,15),35)+1)</f>
      </c>
      <c r="F6759" s="43">
        <f>IF($E6759=0,0,YEAR($E6759))</f>
      </c>
      <c r="G6759" s="43">
        <f>IF(INDEX(DarlBindung,15)="",1,IF($E6759&lt;=INDEX(DarlBindung,15),1,0))</f>
      </c>
      <c r="H6759" s="43">
        <f>IF($G6759=1,INDEX(DarlSollzins,15),INDEX(DarlAnschluss,15))</f>
      </c>
      <c r="I6759" s="43">
        <f>IF(INDEX(DarlBelegt,15)=0,0,IF(INDEX(DarlOhneTilgung,15)=1,IF(INDEX(DarlBindung,15)="",1,$G6759),IF($J6759&gt;0.005,1,0)))</f>
      </c>
      <c r="J6759" s="43">
        <f>IF($I6758=0,0,$R6758)</f>
      </c>
      <c r="K6759" s="43">
        <f>IF($I6759=0,0,IF(INDEX(DarlOhneTilgung,15)=1,0,IF(AND(INDEX(DarlTilgStart,15)&gt;0,$E6759=INDEX(DarlTilgStart,15)),$J6759*($H6759+INDEX(DarlTilgung,15))/100/12,IF(AND($G6759=0,$G6758=1),MAX($K6758,$J6759*($H6759+1)/100/12),$K6758))))</f>
      </c>
      <c r="L6759" s="43">
        <f>IF($I6759=0,0,$J6759*$H6759/100/12)</f>
      </c>
      <c r="M6759" s="43">
        <f>IF($I6759=0,0,IF(OR(INDEX(DarlOhneTilgung,15)=1,AND(INDEX(DarlTilgStart,15)&gt;0,$E6759&lt;INDEX(DarlTilgStart,15))),0,MIN(MAX(0,$K6759-$L6759),$J6759)))</f>
      </c>
      <c r="N6759" s="43">
        <f>IF($I6759=0,0,MIN(SUMIFS(SondBetrag,SondDarl,15,SondDatum,"&gt;="&amp;$E6759,SondDatum,"&lt;="&amp;EOMONTH($E6759,0)),$J6759-$M6759))</f>
      </c>
      <c r="O6759" s="43">
        <f>IF($I6759=0,0,INDEX(DarlErsatzRate,15))</f>
      </c>
      <c r="P6759" s="43">
        <f>IF($I6759=0,0,$Q6758*INDEX(DarlErsatzZins,15))</f>
      </c>
      <c r="Q6759" s="43">
        <f>IF($I6759=0,0,$Q6758+$P6759+$O6759)</f>
      </c>
      <c r="R6759" s="43">
        <f>IF($I6759=0,0,$J6759-$M6759-$N6759)</f>
      </c>
    </row>
    <row r="6760">
      <c r="A6760"/>
      <c r="B6760">
        <v>15</v>
      </c>
      <c r="C6760" s="43">
        <f>INDEX(DarlObj,15)</f>
      </c>
      <c r="D6760">
        <v>37</v>
      </c>
      <c r="E6760" s="51">
        <f>IF(INDEX(DarlBelegt,15)=0,0,EOMONTH(INDEX(DarlAuszahlung,15),36)+1)</f>
      </c>
      <c r="F6760" s="43">
        <f>IF($E6760=0,0,YEAR($E6760))</f>
      </c>
      <c r="G6760" s="43">
        <f>IF(INDEX(DarlBindung,15)="",1,IF($E6760&lt;=INDEX(DarlBindung,15),1,0))</f>
      </c>
      <c r="H6760" s="43">
        <f>IF($G6760=1,INDEX(DarlSollzins,15),INDEX(DarlAnschluss,15))</f>
      </c>
      <c r="I6760" s="43">
        <f>IF(INDEX(DarlBelegt,15)=0,0,IF(INDEX(DarlOhneTilgung,15)=1,IF(INDEX(DarlBindung,15)="",1,$G6760),IF($J6760&gt;0.005,1,0)))</f>
      </c>
      <c r="J6760" s="43">
        <f>IF($I6759=0,0,$R6759)</f>
      </c>
      <c r="K6760" s="43">
        <f>IF($I6760=0,0,IF(INDEX(DarlOhneTilgung,15)=1,0,IF(AND(INDEX(DarlTilgStart,15)&gt;0,$E6760=INDEX(DarlTilgStart,15)),$J6760*($H6760+INDEX(DarlTilgung,15))/100/12,IF(AND($G6760=0,$G6759=1),MAX($K6759,$J6760*($H6760+1)/100/12),$K6759))))</f>
      </c>
      <c r="L6760" s="43">
        <f>IF($I6760=0,0,$J6760*$H6760/100/12)</f>
      </c>
      <c r="M6760" s="43">
        <f>IF($I6760=0,0,IF(OR(INDEX(DarlOhneTilgung,15)=1,AND(INDEX(DarlTilgStart,15)&gt;0,$E6760&lt;INDEX(DarlTilgStart,15))),0,MIN(MAX(0,$K6760-$L6760),$J6760)))</f>
      </c>
      <c r="N6760" s="43">
        <f>IF($I6760=0,0,MIN(SUMIFS(SondBetrag,SondDarl,15,SondDatum,"&gt;="&amp;$E6760,SondDatum,"&lt;="&amp;EOMONTH($E6760,0)),$J6760-$M6760))</f>
      </c>
      <c r="O6760" s="43">
        <f>IF($I6760=0,0,INDEX(DarlErsatzRate,15))</f>
      </c>
      <c r="P6760" s="43">
        <f>IF($I6760=0,0,$Q6759*INDEX(DarlErsatzZins,15))</f>
      </c>
      <c r="Q6760" s="43">
        <f>IF($I6760=0,0,$Q6759+$P6760+$O6760)</f>
      </c>
      <c r="R6760" s="43">
        <f>IF($I6760=0,0,$J6760-$M6760-$N6760)</f>
      </c>
    </row>
    <row r="6761">
      <c r="A6761"/>
      <c r="B6761">
        <v>15</v>
      </c>
      <c r="C6761" s="43">
        <f>INDEX(DarlObj,15)</f>
      </c>
      <c r="D6761">
        <v>38</v>
      </c>
      <c r="E6761" s="51">
        <f>IF(INDEX(DarlBelegt,15)=0,0,EOMONTH(INDEX(DarlAuszahlung,15),37)+1)</f>
      </c>
      <c r="F6761" s="43">
        <f>IF($E6761=0,0,YEAR($E6761))</f>
      </c>
      <c r="G6761" s="43">
        <f>IF(INDEX(DarlBindung,15)="",1,IF($E6761&lt;=INDEX(DarlBindung,15),1,0))</f>
      </c>
      <c r="H6761" s="43">
        <f>IF($G6761=1,INDEX(DarlSollzins,15),INDEX(DarlAnschluss,15))</f>
      </c>
      <c r="I6761" s="43">
        <f>IF(INDEX(DarlBelegt,15)=0,0,IF(INDEX(DarlOhneTilgung,15)=1,IF(INDEX(DarlBindung,15)="",1,$G6761),IF($J6761&gt;0.005,1,0)))</f>
      </c>
      <c r="J6761" s="43">
        <f>IF($I6760=0,0,$R6760)</f>
      </c>
      <c r="K6761" s="43">
        <f>IF($I6761=0,0,IF(INDEX(DarlOhneTilgung,15)=1,0,IF(AND(INDEX(DarlTilgStart,15)&gt;0,$E6761=INDEX(DarlTilgStart,15)),$J6761*($H6761+INDEX(DarlTilgung,15))/100/12,IF(AND($G6761=0,$G6760=1),MAX($K6760,$J6761*($H6761+1)/100/12),$K6760))))</f>
      </c>
      <c r="L6761" s="43">
        <f>IF($I6761=0,0,$J6761*$H6761/100/12)</f>
      </c>
      <c r="M6761" s="43">
        <f>IF($I6761=0,0,IF(OR(INDEX(DarlOhneTilgung,15)=1,AND(INDEX(DarlTilgStart,15)&gt;0,$E6761&lt;INDEX(DarlTilgStart,15))),0,MIN(MAX(0,$K6761-$L6761),$J6761)))</f>
      </c>
      <c r="N6761" s="43">
        <f>IF($I6761=0,0,MIN(SUMIFS(SondBetrag,SondDarl,15,SondDatum,"&gt;="&amp;$E6761,SondDatum,"&lt;="&amp;EOMONTH($E6761,0)),$J6761-$M6761))</f>
      </c>
      <c r="O6761" s="43">
        <f>IF($I6761=0,0,INDEX(DarlErsatzRate,15))</f>
      </c>
      <c r="P6761" s="43">
        <f>IF($I6761=0,0,$Q6760*INDEX(DarlErsatzZins,15))</f>
      </c>
      <c r="Q6761" s="43">
        <f>IF($I6761=0,0,$Q6760+$P6761+$O6761)</f>
      </c>
      <c r="R6761" s="43">
        <f>IF($I6761=0,0,$J6761-$M6761-$N6761)</f>
      </c>
    </row>
    <row r="6762">
      <c r="A6762"/>
      <c r="B6762">
        <v>15</v>
      </c>
      <c r="C6762" s="43">
        <f>INDEX(DarlObj,15)</f>
      </c>
      <c r="D6762">
        <v>39</v>
      </c>
      <c r="E6762" s="51">
        <f>IF(INDEX(DarlBelegt,15)=0,0,EOMONTH(INDEX(DarlAuszahlung,15),38)+1)</f>
      </c>
      <c r="F6762" s="43">
        <f>IF($E6762=0,0,YEAR($E6762))</f>
      </c>
      <c r="G6762" s="43">
        <f>IF(INDEX(DarlBindung,15)="",1,IF($E6762&lt;=INDEX(DarlBindung,15),1,0))</f>
      </c>
      <c r="H6762" s="43">
        <f>IF($G6762=1,INDEX(DarlSollzins,15),INDEX(DarlAnschluss,15))</f>
      </c>
      <c r="I6762" s="43">
        <f>IF(INDEX(DarlBelegt,15)=0,0,IF(INDEX(DarlOhneTilgung,15)=1,IF(INDEX(DarlBindung,15)="",1,$G6762),IF($J6762&gt;0.005,1,0)))</f>
      </c>
      <c r="J6762" s="43">
        <f>IF($I6761=0,0,$R6761)</f>
      </c>
      <c r="K6762" s="43">
        <f>IF($I6762=0,0,IF(INDEX(DarlOhneTilgung,15)=1,0,IF(AND(INDEX(DarlTilgStart,15)&gt;0,$E6762=INDEX(DarlTilgStart,15)),$J6762*($H6762+INDEX(DarlTilgung,15))/100/12,IF(AND($G6762=0,$G6761=1),MAX($K6761,$J6762*($H6762+1)/100/12),$K6761))))</f>
      </c>
      <c r="L6762" s="43">
        <f>IF($I6762=0,0,$J6762*$H6762/100/12)</f>
      </c>
      <c r="M6762" s="43">
        <f>IF($I6762=0,0,IF(OR(INDEX(DarlOhneTilgung,15)=1,AND(INDEX(DarlTilgStart,15)&gt;0,$E6762&lt;INDEX(DarlTilgStart,15))),0,MIN(MAX(0,$K6762-$L6762),$J6762)))</f>
      </c>
      <c r="N6762" s="43">
        <f>IF($I6762=0,0,MIN(SUMIFS(SondBetrag,SondDarl,15,SondDatum,"&gt;="&amp;$E6762,SondDatum,"&lt;="&amp;EOMONTH($E6762,0)),$J6762-$M6762))</f>
      </c>
      <c r="O6762" s="43">
        <f>IF($I6762=0,0,INDEX(DarlErsatzRate,15))</f>
      </c>
      <c r="P6762" s="43">
        <f>IF($I6762=0,0,$Q6761*INDEX(DarlErsatzZins,15))</f>
      </c>
      <c r="Q6762" s="43">
        <f>IF($I6762=0,0,$Q6761+$P6762+$O6762)</f>
      </c>
      <c r="R6762" s="43">
        <f>IF($I6762=0,0,$J6762-$M6762-$N6762)</f>
      </c>
    </row>
    <row r="6763">
      <c r="A6763"/>
      <c r="B6763">
        <v>15</v>
      </c>
      <c r="C6763" s="43">
        <f>INDEX(DarlObj,15)</f>
      </c>
      <c r="D6763">
        <v>40</v>
      </c>
      <c r="E6763" s="51">
        <f>IF(INDEX(DarlBelegt,15)=0,0,EOMONTH(INDEX(DarlAuszahlung,15),39)+1)</f>
      </c>
      <c r="F6763" s="43">
        <f>IF($E6763=0,0,YEAR($E6763))</f>
      </c>
      <c r="G6763" s="43">
        <f>IF(INDEX(DarlBindung,15)="",1,IF($E6763&lt;=INDEX(DarlBindung,15),1,0))</f>
      </c>
      <c r="H6763" s="43">
        <f>IF($G6763=1,INDEX(DarlSollzins,15),INDEX(DarlAnschluss,15))</f>
      </c>
      <c r="I6763" s="43">
        <f>IF(INDEX(DarlBelegt,15)=0,0,IF(INDEX(DarlOhneTilgung,15)=1,IF(INDEX(DarlBindung,15)="",1,$G6763),IF($J6763&gt;0.005,1,0)))</f>
      </c>
      <c r="J6763" s="43">
        <f>IF($I6762=0,0,$R6762)</f>
      </c>
      <c r="K6763" s="43">
        <f>IF($I6763=0,0,IF(INDEX(DarlOhneTilgung,15)=1,0,IF(AND(INDEX(DarlTilgStart,15)&gt;0,$E6763=INDEX(DarlTilgStart,15)),$J6763*($H6763+INDEX(DarlTilgung,15))/100/12,IF(AND($G6763=0,$G6762=1),MAX($K6762,$J6763*($H6763+1)/100/12),$K6762))))</f>
      </c>
      <c r="L6763" s="43">
        <f>IF($I6763=0,0,$J6763*$H6763/100/12)</f>
      </c>
      <c r="M6763" s="43">
        <f>IF($I6763=0,0,IF(OR(INDEX(DarlOhneTilgung,15)=1,AND(INDEX(DarlTilgStart,15)&gt;0,$E6763&lt;INDEX(DarlTilgStart,15))),0,MIN(MAX(0,$K6763-$L6763),$J6763)))</f>
      </c>
      <c r="N6763" s="43">
        <f>IF($I6763=0,0,MIN(SUMIFS(SondBetrag,SondDarl,15,SondDatum,"&gt;="&amp;$E6763,SondDatum,"&lt;="&amp;EOMONTH($E6763,0)),$J6763-$M6763))</f>
      </c>
      <c r="O6763" s="43">
        <f>IF($I6763=0,0,INDEX(DarlErsatzRate,15))</f>
      </c>
      <c r="P6763" s="43">
        <f>IF($I6763=0,0,$Q6762*INDEX(DarlErsatzZins,15))</f>
      </c>
      <c r="Q6763" s="43">
        <f>IF($I6763=0,0,$Q6762+$P6763+$O6763)</f>
      </c>
      <c r="R6763" s="43">
        <f>IF($I6763=0,0,$J6763-$M6763-$N6763)</f>
      </c>
    </row>
    <row r="6764">
      <c r="A6764"/>
      <c r="B6764">
        <v>15</v>
      </c>
      <c r="C6764" s="43">
        <f>INDEX(DarlObj,15)</f>
      </c>
      <c r="D6764">
        <v>41</v>
      </c>
      <c r="E6764" s="51">
        <f>IF(INDEX(DarlBelegt,15)=0,0,EOMONTH(INDEX(DarlAuszahlung,15),40)+1)</f>
      </c>
      <c r="F6764" s="43">
        <f>IF($E6764=0,0,YEAR($E6764))</f>
      </c>
      <c r="G6764" s="43">
        <f>IF(INDEX(DarlBindung,15)="",1,IF($E6764&lt;=INDEX(DarlBindung,15),1,0))</f>
      </c>
      <c r="H6764" s="43">
        <f>IF($G6764=1,INDEX(DarlSollzins,15),INDEX(DarlAnschluss,15))</f>
      </c>
      <c r="I6764" s="43">
        <f>IF(INDEX(DarlBelegt,15)=0,0,IF(INDEX(DarlOhneTilgung,15)=1,IF(INDEX(DarlBindung,15)="",1,$G6764),IF($J6764&gt;0.005,1,0)))</f>
      </c>
      <c r="J6764" s="43">
        <f>IF($I6763=0,0,$R6763)</f>
      </c>
      <c r="K6764" s="43">
        <f>IF($I6764=0,0,IF(INDEX(DarlOhneTilgung,15)=1,0,IF(AND(INDEX(DarlTilgStart,15)&gt;0,$E6764=INDEX(DarlTilgStart,15)),$J6764*($H6764+INDEX(DarlTilgung,15))/100/12,IF(AND($G6764=0,$G6763=1),MAX($K6763,$J6764*($H6764+1)/100/12),$K6763))))</f>
      </c>
      <c r="L6764" s="43">
        <f>IF($I6764=0,0,$J6764*$H6764/100/12)</f>
      </c>
      <c r="M6764" s="43">
        <f>IF($I6764=0,0,IF(OR(INDEX(DarlOhneTilgung,15)=1,AND(INDEX(DarlTilgStart,15)&gt;0,$E6764&lt;INDEX(DarlTilgStart,15))),0,MIN(MAX(0,$K6764-$L6764),$J6764)))</f>
      </c>
      <c r="N6764" s="43">
        <f>IF($I6764=0,0,MIN(SUMIFS(SondBetrag,SondDarl,15,SondDatum,"&gt;="&amp;$E6764,SondDatum,"&lt;="&amp;EOMONTH($E6764,0)),$J6764-$M6764))</f>
      </c>
      <c r="O6764" s="43">
        <f>IF($I6764=0,0,INDEX(DarlErsatzRate,15))</f>
      </c>
      <c r="P6764" s="43">
        <f>IF($I6764=0,0,$Q6763*INDEX(DarlErsatzZins,15))</f>
      </c>
      <c r="Q6764" s="43">
        <f>IF($I6764=0,0,$Q6763+$P6764+$O6764)</f>
      </c>
      <c r="R6764" s="43">
        <f>IF($I6764=0,0,$J6764-$M6764-$N6764)</f>
      </c>
    </row>
    <row r="6765">
      <c r="A6765"/>
      <c r="B6765">
        <v>15</v>
      </c>
      <c r="C6765" s="43">
        <f>INDEX(DarlObj,15)</f>
      </c>
      <c r="D6765">
        <v>42</v>
      </c>
      <c r="E6765" s="51">
        <f>IF(INDEX(DarlBelegt,15)=0,0,EOMONTH(INDEX(DarlAuszahlung,15),41)+1)</f>
      </c>
      <c r="F6765" s="43">
        <f>IF($E6765=0,0,YEAR($E6765))</f>
      </c>
      <c r="G6765" s="43">
        <f>IF(INDEX(DarlBindung,15)="",1,IF($E6765&lt;=INDEX(DarlBindung,15),1,0))</f>
      </c>
      <c r="H6765" s="43">
        <f>IF($G6765=1,INDEX(DarlSollzins,15),INDEX(DarlAnschluss,15))</f>
      </c>
      <c r="I6765" s="43">
        <f>IF(INDEX(DarlBelegt,15)=0,0,IF(INDEX(DarlOhneTilgung,15)=1,IF(INDEX(DarlBindung,15)="",1,$G6765),IF($J6765&gt;0.005,1,0)))</f>
      </c>
      <c r="J6765" s="43">
        <f>IF($I6764=0,0,$R6764)</f>
      </c>
      <c r="K6765" s="43">
        <f>IF($I6765=0,0,IF(INDEX(DarlOhneTilgung,15)=1,0,IF(AND(INDEX(DarlTilgStart,15)&gt;0,$E6765=INDEX(DarlTilgStart,15)),$J6765*($H6765+INDEX(DarlTilgung,15))/100/12,IF(AND($G6765=0,$G6764=1),MAX($K6764,$J6765*($H6765+1)/100/12),$K6764))))</f>
      </c>
      <c r="L6765" s="43">
        <f>IF($I6765=0,0,$J6765*$H6765/100/12)</f>
      </c>
      <c r="M6765" s="43">
        <f>IF($I6765=0,0,IF(OR(INDEX(DarlOhneTilgung,15)=1,AND(INDEX(DarlTilgStart,15)&gt;0,$E6765&lt;INDEX(DarlTilgStart,15))),0,MIN(MAX(0,$K6765-$L6765),$J6765)))</f>
      </c>
      <c r="N6765" s="43">
        <f>IF($I6765=0,0,MIN(SUMIFS(SondBetrag,SondDarl,15,SondDatum,"&gt;="&amp;$E6765,SondDatum,"&lt;="&amp;EOMONTH($E6765,0)),$J6765-$M6765))</f>
      </c>
      <c r="O6765" s="43">
        <f>IF($I6765=0,0,INDEX(DarlErsatzRate,15))</f>
      </c>
      <c r="P6765" s="43">
        <f>IF($I6765=0,0,$Q6764*INDEX(DarlErsatzZins,15))</f>
      </c>
      <c r="Q6765" s="43">
        <f>IF($I6765=0,0,$Q6764+$P6765+$O6765)</f>
      </c>
      <c r="R6765" s="43">
        <f>IF($I6765=0,0,$J6765-$M6765-$N6765)</f>
      </c>
    </row>
    <row r="6766">
      <c r="A6766"/>
      <c r="B6766">
        <v>15</v>
      </c>
      <c r="C6766" s="43">
        <f>INDEX(DarlObj,15)</f>
      </c>
      <c r="D6766">
        <v>43</v>
      </c>
      <c r="E6766" s="51">
        <f>IF(INDEX(DarlBelegt,15)=0,0,EOMONTH(INDEX(DarlAuszahlung,15),42)+1)</f>
      </c>
      <c r="F6766" s="43">
        <f>IF($E6766=0,0,YEAR($E6766))</f>
      </c>
      <c r="G6766" s="43">
        <f>IF(INDEX(DarlBindung,15)="",1,IF($E6766&lt;=INDEX(DarlBindung,15),1,0))</f>
      </c>
      <c r="H6766" s="43">
        <f>IF($G6766=1,INDEX(DarlSollzins,15),INDEX(DarlAnschluss,15))</f>
      </c>
      <c r="I6766" s="43">
        <f>IF(INDEX(DarlBelegt,15)=0,0,IF(INDEX(DarlOhneTilgung,15)=1,IF(INDEX(DarlBindung,15)="",1,$G6766),IF($J6766&gt;0.005,1,0)))</f>
      </c>
      <c r="J6766" s="43">
        <f>IF($I6765=0,0,$R6765)</f>
      </c>
      <c r="K6766" s="43">
        <f>IF($I6766=0,0,IF(INDEX(DarlOhneTilgung,15)=1,0,IF(AND(INDEX(DarlTilgStart,15)&gt;0,$E6766=INDEX(DarlTilgStart,15)),$J6766*($H6766+INDEX(DarlTilgung,15))/100/12,IF(AND($G6766=0,$G6765=1),MAX($K6765,$J6766*($H6766+1)/100/12),$K6765))))</f>
      </c>
      <c r="L6766" s="43">
        <f>IF($I6766=0,0,$J6766*$H6766/100/12)</f>
      </c>
      <c r="M6766" s="43">
        <f>IF($I6766=0,0,IF(OR(INDEX(DarlOhneTilgung,15)=1,AND(INDEX(DarlTilgStart,15)&gt;0,$E6766&lt;INDEX(DarlTilgStart,15))),0,MIN(MAX(0,$K6766-$L6766),$J6766)))</f>
      </c>
      <c r="N6766" s="43">
        <f>IF($I6766=0,0,MIN(SUMIFS(SondBetrag,SondDarl,15,SondDatum,"&gt;="&amp;$E6766,SondDatum,"&lt;="&amp;EOMONTH($E6766,0)),$J6766-$M6766))</f>
      </c>
      <c r="O6766" s="43">
        <f>IF($I6766=0,0,INDEX(DarlErsatzRate,15))</f>
      </c>
      <c r="P6766" s="43">
        <f>IF($I6766=0,0,$Q6765*INDEX(DarlErsatzZins,15))</f>
      </c>
      <c r="Q6766" s="43">
        <f>IF($I6766=0,0,$Q6765+$P6766+$O6766)</f>
      </c>
      <c r="R6766" s="43">
        <f>IF($I6766=0,0,$J6766-$M6766-$N6766)</f>
      </c>
    </row>
    <row r="6767">
      <c r="A6767"/>
      <c r="B6767">
        <v>15</v>
      </c>
      <c r="C6767" s="43">
        <f>INDEX(DarlObj,15)</f>
      </c>
      <c r="D6767">
        <v>44</v>
      </c>
      <c r="E6767" s="51">
        <f>IF(INDEX(DarlBelegt,15)=0,0,EOMONTH(INDEX(DarlAuszahlung,15),43)+1)</f>
      </c>
      <c r="F6767" s="43">
        <f>IF($E6767=0,0,YEAR($E6767))</f>
      </c>
      <c r="G6767" s="43">
        <f>IF(INDEX(DarlBindung,15)="",1,IF($E6767&lt;=INDEX(DarlBindung,15),1,0))</f>
      </c>
      <c r="H6767" s="43">
        <f>IF($G6767=1,INDEX(DarlSollzins,15),INDEX(DarlAnschluss,15))</f>
      </c>
      <c r="I6767" s="43">
        <f>IF(INDEX(DarlBelegt,15)=0,0,IF(INDEX(DarlOhneTilgung,15)=1,IF(INDEX(DarlBindung,15)="",1,$G6767),IF($J6767&gt;0.005,1,0)))</f>
      </c>
      <c r="J6767" s="43">
        <f>IF($I6766=0,0,$R6766)</f>
      </c>
      <c r="K6767" s="43">
        <f>IF($I6767=0,0,IF(INDEX(DarlOhneTilgung,15)=1,0,IF(AND(INDEX(DarlTilgStart,15)&gt;0,$E6767=INDEX(DarlTilgStart,15)),$J6767*($H6767+INDEX(DarlTilgung,15))/100/12,IF(AND($G6767=0,$G6766=1),MAX($K6766,$J6767*($H6767+1)/100/12),$K6766))))</f>
      </c>
      <c r="L6767" s="43">
        <f>IF($I6767=0,0,$J6767*$H6767/100/12)</f>
      </c>
      <c r="M6767" s="43">
        <f>IF($I6767=0,0,IF(OR(INDEX(DarlOhneTilgung,15)=1,AND(INDEX(DarlTilgStart,15)&gt;0,$E6767&lt;INDEX(DarlTilgStart,15))),0,MIN(MAX(0,$K6767-$L6767),$J6767)))</f>
      </c>
      <c r="N6767" s="43">
        <f>IF($I6767=0,0,MIN(SUMIFS(SondBetrag,SondDarl,15,SondDatum,"&gt;="&amp;$E6767,SondDatum,"&lt;="&amp;EOMONTH($E6767,0)),$J6767-$M6767))</f>
      </c>
      <c r="O6767" s="43">
        <f>IF($I6767=0,0,INDEX(DarlErsatzRate,15))</f>
      </c>
      <c r="P6767" s="43">
        <f>IF($I6767=0,0,$Q6766*INDEX(DarlErsatzZins,15))</f>
      </c>
      <c r="Q6767" s="43">
        <f>IF($I6767=0,0,$Q6766+$P6767+$O6767)</f>
      </c>
      <c r="R6767" s="43">
        <f>IF($I6767=0,0,$J6767-$M6767-$N6767)</f>
      </c>
    </row>
    <row r="6768">
      <c r="A6768"/>
      <c r="B6768">
        <v>15</v>
      </c>
      <c r="C6768" s="43">
        <f>INDEX(DarlObj,15)</f>
      </c>
      <c r="D6768">
        <v>45</v>
      </c>
      <c r="E6768" s="51">
        <f>IF(INDEX(DarlBelegt,15)=0,0,EOMONTH(INDEX(DarlAuszahlung,15),44)+1)</f>
      </c>
      <c r="F6768" s="43">
        <f>IF($E6768=0,0,YEAR($E6768))</f>
      </c>
      <c r="G6768" s="43">
        <f>IF(INDEX(DarlBindung,15)="",1,IF($E6768&lt;=INDEX(DarlBindung,15),1,0))</f>
      </c>
      <c r="H6768" s="43">
        <f>IF($G6768=1,INDEX(DarlSollzins,15),INDEX(DarlAnschluss,15))</f>
      </c>
      <c r="I6768" s="43">
        <f>IF(INDEX(DarlBelegt,15)=0,0,IF(INDEX(DarlOhneTilgung,15)=1,IF(INDEX(DarlBindung,15)="",1,$G6768),IF($J6768&gt;0.005,1,0)))</f>
      </c>
      <c r="J6768" s="43">
        <f>IF($I6767=0,0,$R6767)</f>
      </c>
      <c r="K6768" s="43">
        <f>IF($I6768=0,0,IF(INDEX(DarlOhneTilgung,15)=1,0,IF(AND(INDEX(DarlTilgStart,15)&gt;0,$E6768=INDEX(DarlTilgStart,15)),$J6768*($H6768+INDEX(DarlTilgung,15))/100/12,IF(AND($G6768=0,$G6767=1),MAX($K6767,$J6768*($H6768+1)/100/12),$K6767))))</f>
      </c>
      <c r="L6768" s="43">
        <f>IF($I6768=0,0,$J6768*$H6768/100/12)</f>
      </c>
      <c r="M6768" s="43">
        <f>IF($I6768=0,0,IF(OR(INDEX(DarlOhneTilgung,15)=1,AND(INDEX(DarlTilgStart,15)&gt;0,$E6768&lt;INDEX(DarlTilgStart,15))),0,MIN(MAX(0,$K6768-$L6768),$J6768)))</f>
      </c>
      <c r="N6768" s="43">
        <f>IF($I6768=0,0,MIN(SUMIFS(SondBetrag,SondDarl,15,SondDatum,"&gt;="&amp;$E6768,SondDatum,"&lt;="&amp;EOMONTH($E6768,0)),$J6768-$M6768))</f>
      </c>
      <c r="O6768" s="43">
        <f>IF($I6768=0,0,INDEX(DarlErsatzRate,15))</f>
      </c>
      <c r="P6768" s="43">
        <f>IF($I6768=0,0,$Q6767*INDEX(DarlErsatzZins,15))</f>
      </c>
      <c r="Q6768" s="43">
        <f>IF($I6768=0,0,$Q6767+$P6768+$O6768)</f>
      </c>
      <c r="R6768" s="43">
        <f>IF($I6768=0,0,$J6768-$M6768-$N6768)</f>
      </c>
    </row>
    <row r="6769">
      <c r="A6769"/>
      <c r="B6769">
        <v>15</v>
      </c>
      <c r="C6769" s="43">
        <f>INDEX(DarlObj,15)</f>
      </c>
      <c r="D6769">
        <v>46</v>
      </c>
      <c r="E6769" s="51">
        <f>IF(INDEX(DarlBelegt,15)=0,0,EOMONTH(INDEX(DarlAuszahlung,15),45)+1)</f>
      </c>
      <c r="F6769" s="43">
        <f>IF($E6769=0,0,YEAR($E6769))</f>
      </c>
      <c r="G6769" s="43">
        <f>IF(INDEX(DarlBindung,15)="",1,IF($E6769&lt;=INDEX(DarlBindung,15),1,0))</f>
      </c>
      <c r="H6769" s="43">
        <f>IF($G6769=1,INDEX(DarlSollzins,15),INDEX(DarlAnschluss,15))</f>
      </c>
      <c r="I6769" s="43">
        <f>IF(INDEX(DarlBelegt,15)=0,0,IF(INDEX(DarlOhneTilgung,15)=1,IF(INDEX(DarlBindung,15)="",1,$G6769),IF($J6769&gt;0.005,1,0)))</f>
      </c>
      <c r="J6769" s="43">
        <f>IF($I6768=0,0,$R6768)</f>
      </c>
      <c r="K6769" s="43">
        <f>IF($I6769=0,0,IF(INDEX(DarlOhneTilgung,15)=1,0,IF(AND(INDEX(DarlTilgStart,15)&gt;0,$E6769=INDEX(DarlTilgStart,15)),$J6769*($H6769+INDEX(DarlTilgung,15))/100/12,IF(AND($G6769=0,$G6768=1),MAX($K6768,$J6769*($H6769+1)/100/12),$K6768))))</f>
      </c>
      <c r="L6769" s="43">
        <f>IF($I6769=0,0,$J6769*$H6769/100/12)</f>
      </c>
      <c r="M6769" s="43">
        <f>IF($I6769=0,0,IF(OR(INDEX(DarlOhneTilgung,15)=1,AND(INDEX(DarlTilgStart,15)&gt;0,$E6769&lt;INDEX(DarlTilgStart,15))),0,MIN(MAX(0,$K6769-$L6769),$J6769)))</f>
      </c>
      <c r="N6769" s="43">
        <f>IF($I6769=0,0,MIN(SUMIFS(SondBetrag,SondDarl,15,SondDatum,"&gt;="&amp;$E6769,SondDatum,"&lt;="&amp;EOMONTH($E6769,0)),$J6769-$M6769))</f>
      </c>
      <c r="O6769" s="43">
        <f>IF($I6769=0,0,INDEX(DarlErsatzRate,15))</f>
      </c>
      <c r="P6769" s="43">
        <f>IF($I6769=0,0,$Q6768*INDEX(DarlErsatzZins,15))</f>
      </c>
      <c r="Q6769" s="43">
        <f>IF($I6769=0,0,$Q6768+$P6769+$O6769)</f>
      </c>
      <c r="R6769" s="43">
        <f>IF($I6769=0,0,$J6769-$M6769-$N6769)</f>
      </c>
    </row>
    <row r="6770">
      <c r="A6770"/>
      <c r="B6770">
        <v>15</v>
      </c>
      <c r="C6770" s="43">
        <f>INDEX(DarlObj,15)</f>
      </c>
      <c r="D6770">
        <v>47</v>
      </c>
      <c r="E6770" s="51">
        <f>IF(INDEX(DarlBelegt,15)=0,0,EOMONTH(INDEX(DarlAuszahlung,15),46)+1)</f>
      </c>
      <c r="F6770" s="43">
        <f>IF($E6770=0,0,YEAR($E6770))</f>
      </c>
      <c r="G6770" s="43">
        <f>IF(INDEX(DarlBindung,15)="",1,IF($E6770&lt;=INDEX(DarlBindung,15),1,0))</f>
      </c>
      <c r="H6770" s="43">
        <f>IF($G6770=1,INDEX(DarlSollzins,15),INDEX(DarlAnschluss,15))</f>
      </c>
      <c r="I6770" s="43">
        <f>IF(INDEX(DarlBelegt,15)=0,0,IF(INDEX(DarlOhneTilgung,15)=1,IF(INDEX(DarlBindung,15)="",1,$G6770),IF($J6770&gt;0.005,1,0)))</f>
      </c>
      <c r="J6770" s="43">
        <f>IF($I6769=0,0,$R6769)</f>
      </c>
      <c r="K6770" s="43">
        <f>IF($I6770=0,0,IF(INDEX(DarlOhneTilgung,15)=1,0,IF(AND(INDEX(DarlTilgStart,15)&gt;0,$E6770=INDEX(DarlTilgStart,15)),$J6770*($H6770+INDEX(DarlTilgung,15))/100/12,IF(AND($G6770=0,$G6769=1),MAX($K6769,$J6770*($H6770+1)/100/12),$K6769))))</f>
      </c>
      <c r="L6770" s="43">
        <f>IF($I6770=0,0,$J6770*$H6770/100/12)</f>
      </c>
      <c r="M6770" s="43">
        <f>IF($I6770=0,0,IF(OR(INDEX(DarlOhneTilgung,15)=1,AND(INDEX(DarlTilgStart,15)&gt;0,$E6770&lt;INDEX(DarlTilgStart,15))),0,MIN(MAX(0,$K6770-$L6770),$J6770)))</f>
      </c>
      <c r="N6770" s="43">
        <f>IF($I6770=0,0,MIN(SUMIFS(SondBetrag,SondDarl,15,SondDatum,"&gt;="&amp;$E6770,SondDatum,"&lt;="&amp;EOMONTH($E6770,0)),$J6770-$M6770))</f>
      </c>
      <c r="O6770" s="43">
        <f>IF($I6770=0,0,INDEX(DarlErsatzRate,15))</f>
      </c>
      <c r="P6770" s="43">
        <f>IF($I6770=0,0,$Q6769*INDEX(DarlErsatzZins,15))</f>
      </c>
      <c r="Q6770" s="43">
        <f>IF($I6770=0,0,$Q6769+$P6770+$O6770)</f>
      </c>
      <c r="R6770" s="43">
        <f>IF($I6770=0,0,$J6770-$M6770-$N6770)</f>
      </c>
    </row>
    <row r="6771">
      <c r="A6771"/>
      <c r="B6771">
        <v>15</v>
      </c>
      <c r="C6771" s="43">
        <f>INDEX(DarlObj,15)</f>
      </c>
      <c r="D6771">
        <v>48</v>
      </c>
      <c r="E6771" s="51">
        <f>IF(INDEX(DarlBelegt,15)=0,0,EOMONTH(INDEX(DarlAuszahlung,15),47)+1)</f>
      </c>
      <c r="F6771" s="43">
        <f>IF($E6771=0,0,YEAR($E6771))</f>
      </c>
      <c r="G6771" s="43">
        <f>IF(INDEX(DarlBindung,15)="",1,IF($E6771&lt;=INDEX(DarlBindung,15),1,0))</f>
      </c>
      <c r="H6771" s="43">
        <f>IF($G6771=1,INDEX(DarlSollzins,15),INDEX(DarlAnschluss,15))</f>
      </c>
      <c r="I6771" s="43">
        <f>IF(INDEX(DarlBelegt,15)=0,0,IF(INDEX(DarlOhneTilgung,15)=1,IF(INDEX(DarlBindung,15)="",1,$G6771),IF($J6771&gt;0.005,1,0)))</f>
      </c>
      <c r="J6771" s="43">
        <f>IF($I6770=0,0,$R6770)</f>
      </c>
      <c r="K6771" s="43">
        <f>IF($I6771=0,0,IF(INDEX(DarlOhneTilgung,15)=1,0,IF(AND(INDEX(DarlTilgStart,15)&gt;0,$E6771=INDEX(DarlTilgStart,15)),$J6771*($H6771+INDEX(DarlTilgung,15))/100/12,IF(AND($G6771=0,$G6770=1),MAX($K6770,$J6771*($H6771+1)/100/12),$K6770))))</f>
      </c>
      <c r="L6771" s="43">
        <f>IF($I6771=0,0,$J6771*$H6771/100/12)</f>
      </c>
      <c r="M6771" s="43">
        <f>IF($I6771=0,0,IF(OR(INDEX(DarlOhneTilgung,15)=1,AND(INDEX(DarlTilgStart,15)&gt;0,$E6771&lt;INDEX(DarlTilgStart,15))),0,MIN(MAX(0,$K6771-$L6771),$J6771)))</f>
      </c>
      <c r="N6771" s="43">
        <f>IF($I6771=0,0,MIN(SUMIFS(SondBetrag,SondDarl,15,SondDatum,"&gt;="&amp;$E6771,SondDatum,"&lt;="&amp;EOMONTH($E6771,0)),$J6771-$M6771))</f>
      </c>
      <c r="O6771" s="43">
        <f>IF($I6771=0,0,INDEX(DarlErsatzRate,15))</f>
      </c>
      <c r="P6771" s="43">
        <f>IF($I6771=0,0,$Q6770*INDEX(DarlErsatzZins,15))</f>
      </c>
      <c r="Q6771" s="43">
        <f>IF($I6771=0,0,$Q6770+$P6771+$O6771)</f>
      </c>
      <c r="R6771" s="43">
        <f>IF($I6771=0,0,$J6771-$M6771-$N6771)</f>
      </c>
    </row>
    <row r="6772">
      <c r="A6772"/>
      <c r="B6772">
        <v>15</v>
      </c>
      <c r="C6772" s="43">
        <f>INDEX(DarlObj,15)</f>
      </c>
      <c r="D6772">
        <v>49</v>
      </c>
      <c r="E6772" s="51">
        <f>IF(INDEX(DarlBelegt,15)=0,0,EOMONTH(INDEX(DarlAuszahlung,15),48)+1)</f>
      </c>
      <c r="F6772" s="43">
        <f>IF($E6772=0,0,YEAR($E6772))</f>
      </c>
      <c r="G6772" s="43">
        <f>IF(INDEX(DarlBindung,15)="",1,IF($E6772&lt;=INDEX(DarlBindung,15),1,0))</f>
      </c>
      <c r="H6772" s="43">
        <f>IF($G6772=1,INDEX(DarlSollzins,15),INDEX(DarlAnschluss,15))</f>
      </c>
      <c r="I6772" s="43">
        <f>IF(INDEX(DarlBelegt,15)=0,0,IF(INDEX(DarlOhneTilgung,15)=1,IF(INDEX(DarlBindung,15)="",1,$G6772),IF($J6772&gt;0.005,1,0)))</f>
      </c>
      <c r="J6772" s="43">
        <f>IF($I6771=0,0,$R6771)</f>
      </c>
      <c r="K6772" s="43">
        <f>IF($I6772=0,0,IF(INDEX(DarlOhneTilgung,15)=1,0,IF(AND(INDEX(DarlTilgStart,15)&gt;0,$E6772=INDEX(DarlTilgStart,15)),$J6772*($H6772+INDEX(DarlTilgung,15))/100/12,IF(AND($G6772=0,$G6771=1),MAX($K6771,$J6772*($H6772+1)/100/12),$K6771))))</f>
      </c>
      <c r="L6772" s="43">
        <f>IF($I6772=0,0,$J6772*$H6772/100/12)</f>
      </c>
      <c r="M6772" s="43">
        <f>IF($I6772=0,0,IF(OR(INDEX(DarlOhneTilgung,15)=1,AND(INDEX(DarlTilgStart,15)&gt;0,$E6772&lt;INDEX(DarlTilgStart,15))),0,MIN(MAX(0,$K6772-$L6772),$J6772)))</f>
      </c>
      <c r="N6772" s="43">
        <f>IF($I6772=0,0,MIN(SUMIFS(SondBetrag,SondDarl,15,SondDatum,"&gt;="&amp;$E6772,SondDatum,"&lt;="&amp;EOMONTH($E6772,0)),$J6772-$M6772))</f>
      </c>
      <c r="O6772" s="43">
        <f>IF($I6772=0,0,INDEX(DarlErsatzRate,15))</f>
      </c>
      <c r="P6772" s="43">
        <f>IF($I6772=0,0,$Q6771*INDEX(DarlErsatzZins,15))</f>
      </c>
      <c r="Q6772" s="43">
        <f>IF($I6772=0,0,$Q6771+$P6772+$O6772)</f>
      </c>
      <c r="R6772" s="43">
        <f>IF($I6772=0,0,$J6772-$M6772-$N6772)</f>
      </c>
    </row>
    <row r="6773">
      <c r="A6773"/>
      <c r="B6773">
        <v>15</v>
      </c>
      <c r="C6773" s="43">
        <f>INDEX(DarlObj,15)</f>
      </c>
      <c r="D6773">
        <v>50</v>
      </c>
      <c r="E6773" s="51">
        <f>IF(INDEX(DarlBelegt,15)=0,0,EOMONTH(INDEX(DarlAuszahlung,15),49)+1)</f>
      </c>
      <c r="F6773" s="43">
        <f>IF($E6773=0,0,YEAR($E6773))</f>
      </c>
      <c r="G6773" s="43">
        <f>IF(INDEX(DarlBindung,15)="",1,IF($E6773&lt;=INDEX(DarlBindung,15),1,0))</f>
      </c>
      <c r="H6773" s="43">
        <f>IF($G6773=1,INDEX(DarlSollzins,15),INDEX(DarlAnschluss,15))</f>
      </c>
      <c r="I6773" s="43">
        <f>IF(INDEX(DarlBelegt,15)=0,0,IF(INDEX(DarlOhneTilgung,15)=1,IF(INDEX(DarlBindung,15)="",1,$G6773),IF($J6773&gt;0.005,1,0)))</f>
      </c>
      <c r="J6773" s="43">
        <f>IF($I6772=0,0,$R6772)</f>
      </c>
      <c r="K6773" s="43">
        <f>IF($I6773=0,0,IF(INDEX(DarlOhneTilgung,15)=1,0,IF(AND(INDEX(DarlTilgStart,15)&gt;0,$E6773=INDEX(DarlTilgStart,15)),$J6773*($H6773+INDEX(DarlTilgung,15))/100/12,IF(AND($G6773=0,$G6772=1),MAX($K6772,$J6773*($H6773+1)/100/12),$K6772))))</f>
      </c>
      <c r="L6773" s="43">
        <f>IF($I6773=0,0,$J6773*$H6773/100/12)</f>
      </c>
      <c r="M6773" s="43">
        <f>IF($I6773=0,0,IF(OR(INDEX(DarlOhneTilgung,15)=1,AND(INDEX(DarlTilgStart,15)&gt;0,$E6773&lt;INDEX(DarlTilgStart,15))),0,MIN(MAX(0,$K6773-$L6773),$J6773)))</f>
      </c>
      <c r="N6773" s="43">
        <f>IF($I6773=0,0,MIN(SUMIFS(SondBetrag,SondDarl,15,SondDatum,"&gt;="&amp;$E6773,SondDatum,"&lt;="&amp;EOMONTH($E6773,0)),$J6773-$M6773))</f>
      </c>
      <c r="O6773" s="43">
        <f>IF($I6773=0,0,INDEX(DarlErsatzRate,15))</f>
      </c>
      <c r="P6773" s="43">
        <f>IF($I6773=0,0,$Q6772*INDEX(DarlErsatzZins,15))</f>
      </c>
      <c r="Q6773" s="43">
        <f>IF($I6773=0,0,$Q6772+$P6773+$O6773)</f>
      </c>
      <c r="R6773" s="43">
        <f>IF($I6773=0,0,$J6773-$M6773-$N6773)</f>
      </c>
    </row>
    <row r="6774">
      <c r="A6774"/>
      <c r="B6774">
        <v>15</v>
      </c>
      <c r="C6774" s="43">
        <f>INDEX(DarlObj,15)</f>
      </c>
      <c r="D6774">
        <v>51</v>
      </c>
      <c r="E6774" s="51">
        <f>IF(INDEX(DarlBelegt,15)=0,0,EOMONTH(INDEX(DarlAuszahlung,15),50)+1)</f>
      </c>
      <c r="F6774" s="43">
        <f>IF($E6774=0,0,YEAR($E6774))</f>
      </c>
      <c r="G6774" s="43">
        <f>IF(INDEX(DarlBindung,15)="",1,IF($E6774&lt;=INDEX(DarlBindung,15),1,0))</f>
      </c>
      <c r="H6774" s="43">
        <f>IF($G6774=1,INDEX(DarlSollzins,15),INDEX(DarlAnschluss,15))</f>
      </c>
      <c r="I6774" s="43">
        <f>IF(INDEX(DarlBelegt,15)=0,0,IF(INDEX(DarlOhneTilgung,15)=1,IF(INDEX(DarlBindung,15)="",1,$G6774),IF($J6774&gt;0.005,1,0)))</f>
      </c>
      <c r="J6774" s="43">
        <f>IF($I6773=0,0,$R6773)</f>
      </c>
      <c r="K6774" s="43">
        <f>IF($I6774=0,0,IF(INDEX(DarlOhneTilgung,15)=1,0,IF(AND(INDEX(DarlTilgStart,15)&gt;0,$E6774=INDEX(DarlTilgStart,15)),$J6774*($H6774+INDEX(DarlTilgung,15))/100/12,IF(AND($G6774=0,$G6773=1),MAX($K6773,$J6774*($H6774+1)/100/12),$K6773))))</f>
      </c>
      <c r="L6774" s="43">
        <f>IF($I6774=0,0,$J6774*$H6774/100/12)</f>
      </c>
      <c r="M6774" s="43">
        <f>IF($I6774=0,0,IF(OR(INDEX(DarlOhneTilgung,15)=1,AND(INDEX(DarlTilgStart,15)&gt;0,$E6774&lt;INDEX(DarlTilgStart,15))),0,MIN(MAX(0,$K6774-$L6774),$J6774)))</f>
      </c>
      <c r="N6774" s="43">
        <f>IF($I6774=0,0,MIN(SUMIFS(SondBetrag,SondDarl,15,SondDatum,"&gt;="&amp;$E6774,SondDatum,"&lt;="&amp;EOMONTH($E6774,0)),$J6774-$M6774))</f>
      </c>
      <c r="O6774" s="43">
        <f>IF($I6774=0,0,INDEX(DarlErsatzRate,15))</f>
      </c>
      <c r="P6774" s="43">
        <f>IF($I6774=0,0,$Q6773*INDEX(DarlErsatzZins,15))</f>
      </c>
      <c r="Q6774" s="43">
        <f>IF($I6774=0,0,$Q6773+$P6774+$O6774)</f>
      </c>
      <c r="R6774" s="43">
        <f>IF($I6774=0,0,$J6774-$M6774-$N6774)</f>
      </c>
    </row>
    <row r="6775">
      <c r="A6775"/>
      <c r="B6775">
        <v>15</v>
      </c>
      <c r="C6775" s="43">
        <f>INDEX(DarlObj,15)</f>
      </c>
      <c r="D6775">
        <v>52</v>
      </c>
      <c r="E6775" s="51">
        <f>IF(INDEX(DarlBelegt,15)=0,0,EOMONTH(INDEX(DarlAuszahlung,15),51)+1)</f>
      </c>
      <c r="F6775" s="43">
        <f>IF($E6775=0,0,YEAR($E6775))</f>
      </c>
      <c r="G6775" s="43">
        <f>IF(INDEX(DarlBindung,15)="",1,IF($E6775&lt;=INDEX(DarlBindung,15),1,0))</f>
      </c>
      <c r="H6775" s="43">
        <f>IF($G6775=1,INDEX(DarlSollzins,15),INDEX(DarlAnschluss,15))</f>
      </c>
      <c r="I6775" s="43">
        <f>IF(INDEX(DarlBelegt,15)=0,0,IF(INDEX(DarlOhneTilgung,15)=1,IF(INDEX(DarlBindung,15)="",1,$G6775),IF($J6775&gt;0.005,1,0)))</f>
      </c>
      <c r="J6775" s="43">
        <f>IF($I6774=0,0,$R6774)</f>
      </c>
      <c r="K6775" s="43">
        <f>IF($I6775=0,0,IF(INDEX(DarlOhneTilgung,15)=1,0,IF(AND(INDEX(DarlTilgStart,15)&gt;0,$E6775=INDEX(DarlTilgStart,15)),$J6775*($H6775+INDEX(DarlTilgung,15))/100/12,IF(AND($G6775=0,$G6774=1),MAX($K6774,$J6775*($H6775+1)/100/12),$K6774))))</f>
      </c>
      <c r="L6775" s="43">
        <f>IF($I6775=0,0,$J6775*$H6775/100/12)</f>
      </c>
      <c r="M6775" s="43">
        <f>IF($I6775=0,0,IF(OR(INDEX(DarlOhneTilgung,15)=1,AND(INDEX(DarlTilgStart,15)&gt;0,$E6775&lt;INDEX(DarlTilgStart,15))),0,MIN(MAX(0,$K6775-$L6775),$J6775)))</f>
      </c>
      <c r="N6775" s="43">
        <f>IF($I6775=0,0,MIN(SUMIFS(SondBetrag,SondDarl,15,SondDatum,"&gt;="&amp;$E6775,SondDatum,"&lt;="&amp;EOMONTH($E6775,0)),$J6775-$M6775))</f>
      </c>
      <c r="O6775" s="43">
        <f>IF($I6775=0,0,INDEX(DarlErsatzRate,15))</f>
      </c>
      <c r="P6775" s="43">
        <f>IF($I6775=0,0,$Q6774*INDEX(DarlErsatzZins,15))</f>
      </c>
      <c r="Q6775" s="43">
        <f>IF($I6775=0,0,$Q6774+$P6775+$O6775)</f>
      </c>
      <c r="R6775" s="43">
        <f>IF($I6775=0,0,$J6775-$M6775-$N6775)</f>
      </c>
    </row>
    <row r="6776">
      <c r="A6776"/>
      <c r="B6776">
        <v>15</v>
      </c>
      <c r="C6776" s="43">
        <f>INDEX(DarlObj,15)</f>
      </c>
      <c r="D6776">
        <v>53</v>
      </c>
      <c r="E6776" s="51">
        <f>IF(INDEX(DarlBelegt,15)=0,0,EOMONTH(INDEX(DarlAuszahlung,15),52)+1)</f>
      </c>
      <c r="F6776" s="43">
        <f>IF($E6776=0,0,YEAR($E6776))</f>
      </c>
      <c r="G6776" s="43">
        <f>IF(INDEX(DarlBindung,15)="",1,IF($E6776&lt;=INDEX(DarlBindung,15),1,0))</f>
      </c>
      <c r="H6776" s="43">
        <f>IF($G6776=1,INDEX(DarlSollzins,15),INDEX(DarlAnschluss,15))</f>
      </c>
      <c r="I6776" s="43">
        <f>IF(INDEX(DarlBelegt,15)=0,0,IF(INDEX(DarlOhneTilgung,15)=1,IF(INDEX(DarlBindung,15)="",1,$G6776),IF($J6776&gt;0.005,1,0)))</f>
      </c>
      <c r="J6776" s="43">
        <f>IF($I6775=0,0,$R6775)</f>
      </c>
      <c r="K6776" s="43">
        <f>IF($I6776=0,0,IF(INDEX(DarlOhneTilgung,15)=1,0,IF(AND(INDEX(DarlTilgStart,15)&gt;0,$E6776=INDEX(DarlTilgStart,15)),$J6776*($H6776+INDEX(DarlTilgung,15))/100/12,IF(AND($G6776=0,$G6775=1),MAX($K6775,$J6776*($H6776+1)/100/12),$K6775))))</f>
      </c>
      <c r="L6776" s="43">
        <f>IF($I6776=0,0,$J6776*$H6776/100/12)</f>
      </c>
      <c r="M6776" s="43">
        <f>IF($I6776=0,0,IF(OR(INDEX(DarlOhneTilgung,15)=1,AND(INDEX(DarlTilgStart,15)&gt;0,$E6776&lt;INDEX(DarlTilgStart,15))),0,MIN(MAX(0,$K6776-$L6776),$J6776)))</f>
      </c>
      <c r="N6776" s="43">
        <f>IF($I6776=0,0,MIN(SUMIFS(SondBetrag,SondDarl,15,SondDatum,"&gt;="&amp;$E6776,SondDatum,"&lt;="&amp;EOMONTH($E6776,0)),$J6776-$M6776))</f>
      </c>
      <c r="O6776" s="43">
        <f>IF($I6776=0,0,INDEX(DarlErsatzRate,15))</f>
      </c>
      <c r="P6776" s="43">
        <f>IF($I6776=0,0,$Q6775*INDEX(DarlErsatzZins,15))</f>
      </c>
      <c r="Q6776" s="43">
        <f>IF($I6776=0,0,$Q6775+$P6776+$O6776)</f>
      </c>
      <c r="R6776" s="43">
        <f>IF($I6776=0,0,$J6776-$M6776-$N6776)</f>
      </c>
    </row>
    <row r="6777">
      <c r="A6777"/>
      <c r="B6777">
        <v>15</v>
      </c>
      <c r="C6777" s="43">
        <f>INDEX(DarlObj,15)</f>
      </c>
      <c r="D6777">
        <v>54</v>
      </c>
      <c r="E6777" s="51">
        <f>IF(INDEX(DarlBelegt,15)=0,0,EOMONTH(INDEX(DarlAuszahlung,15),53)+1)</f>
      </c>
      <c r="F6777" s="43">
        <f>IF($E6777=0,0,YEAR($E6777))</f>
      </c>
      <c r="G6777" s="43">
        <f>IF(INDEX(DarlBindung,15)="",1,IF($E6777&lt;=INDEX(DarlBindung,15),1,0))</f>
      </c>
      <c r="H6777" s="43">
        <f>IF($G6777=1,INDEX(DarlSollzins,15),INDEX(DarlAnschluss,15))</f>
      </c>
      <c r="I6777" s="43">
        <f>IF(INDEX(DarlBelegt,15)=0,0,IF(INDEX(DarlOhneTilgung,15)=1,IF(INDEX(DarlBindung,15)="",1,$G6777),IF($J6777&gt;0.005,1,0)))</f>
      </c>
      <c r="J6777" s="43">
        <f>IF($I6776=0,0,$R6776)</f>
      </c>
      <c r="K6777" s="43">
        <f>IF($I6777=0,0,IF(INDEX(DarlOhneTilgung,15)=1,0,IF(AND(INDEX(DarlTilgStart,15)&gt;0,$E6777=INDEX(DarlTilgStart,15)),$J6777*($H6777+INDEX(DarlTilgung,15))/100/12,IF(AND($G6777=0,$G6776=1),MAX($K6776,$J6777*($H6777+1)/100/12),$K6776))))</f>
      </c>
      <c r="L6777" s="43">
        <f>IF($I6777=0,0,$J6777*$H6777/100/12)</f>
      </c>
      <c r="M6777" s="43">
        <f>IF($I6777=0,0,IF(OR(INDEX(DarlOhneTilgung,15)=1,AND(INDEX(DarlTilgStart,15)&gt;0,$E6777&lt;INDEX(DarlTilgStart,15))),0,MIN(MAX(0,$K6777-$L6777),$J6777)))</f>
      </c>
      <c r="N6777" s="43">
        <f>IF($I6777=0,0,MIN(SUMIFS(SondBetrag,SondDarl,15,SondDatum,"&gt;="&amp;$E6777,SondDatum,"&lt;="&amp;EOMONTH($E6777,0)),$J6777-$M6777))</f>
      </c>
      <c r="O6777" s="43">
        <f>IF($I6777=0,0,INDEX(DarlErsatzRate,15))</f>
      </c>
      <c r="P6777" s="43">
        <f>IF($I6777=0,0,$Q6776*INDEX(DarlErsatzZins,15))</f>
      </c>
      <c r="Q6777" s="43">
        <f>IF($I6777=0,0,$Q6776+$P6777+$O6777)</f>
      </c>
      <c r="R6777" s="43">
        <f>IF($I6777=0,0,$J6777-$M6777-$N6777)</f>
      </c>
    </row>
    <row r="6778">
      <c r="A6778"/>
      <c r="B6778">
        <v>15</v>
      </c>
      <c r="C6778" s="43">
        <f>INDEX(DarlObj,15)</f>
      </c>
      <c r="D6778">
        <v>55</v>
      </c>
      <c r="E6778" s="51">
        <f>IF(INDEX(DarlBelegt,15)=0,0,EOMONTH(INDEX(DarlAuszahlung,15),54)+1)</f>
      </c>
      <c r="F6778" s="43">
        <f>IF($E6778=0,0,YEAR($E6778))</f>
      </c>
      <c r="G6778" s="43">
        <f>IF(INDEX(DarlBindung,15)="",1,IF($E6778&lt;=INDEX(DarlBindung,15),1,0))</f>
      </c>
      <c r="H6778" s="43">
        <f>IF($G6778=1,INDEX(DarlSollzins,15),INDEX(DarlAnschluss,15))</f>
      </c>
      <c r="I6778" s="43">
        <f>IF(INDEX(DarlBelegt,15)=0,0,IF(INDEX(DarlOhneTilgung,15)=1,IF(INDEX(DarlBindung,15)="",1,$G6778),IF($J6778&gt;0.005,1,0)))</f>
      </c>
      <c r="J6778" s="43">
        <f>IF($I6777=0,0,$R6777)</f>
      </c>
      <c r="K6778" s="43">
        <f>IF($I6778=0,0,IF(INDEX(DarlOhneTilgung,15)=1,0,IF(AND(INDEX(DarlTilgStart,15)&gt;0,$E6778=INDEX(DarlTilgStart,15)),$J6778*($H6778+INDEX(DarlTilgung,15))/100/12,IF(AND($G6778=0,$G6777=1),MAX($K6777,$J6778*($H6778+1)/100/12),$K6777))))</f>
      </c>
      <c r="L6778" s="43">
        <f>IF($I6778=0,0,$J6778*$H6778/100/12)</f>
      </c>
      <c r="M6778" s="43">
        <f>IF($I6778=0,0,IF(OR(INDEX(DarlOhneTilgung,15)=1,AND(INDEX(DarlTilgStart,15)&gt;0,$E6778&lt;INDEX(DarlTilgStart,15))),0,MIN(MAX(0,$K6778-$L6778),$J6778)))</f>
      </c>
      <c r="N6778" s="43">
        <f>IF($I6778=0,0,MIN(SUMIFS(SondBetrag,SondDarl,15,SondDatum,"&gt;="&amp;$E6778,SondDatum,"&lt;="&amp;EOMONTH($E6778,0)),$J6778-$M6778))</f>
      </c>
      <c r="O6778" s="43">
        <f>IF($I6778=0,0,INDEX(DarlErsatzRate,15))</f>
      </c>
      <c r="P6778" s="43">
        <f>IF($I6778=0,0,$Q6777*INDEX(DarlErsatzZins,15))</f>
      </c>
      <c r="Q6778" s="43">
        <f>IF($I6778=0,0,$Q6777+$P6778+$O6778)</f>
      </c>
      <c r="R6778" s="43">
        <f>IF($I6778=0,0,$J6778-$M6778-$N6778)</f>
      </c>
    </row>
    <row r="6779">
      <c r="A6779"/>
      <c r="B6779">
        <v>15</v>
      </c>
      <c r="C6779" s="43">
        <f>INDEX(DarlObj,15)</f>
      </c>
      <c r="D6779">
        <v>56</v>
      </c>
      <c r="E6779" s="51">
        <f>IF(INDEX(DarlBelegt,15)=0,0,EOMONTH(INDEX(DarlAuszahlung,15),55)+1)</f>
      </c>
      <c r="F6779" s="43">
        <f>IF($E6779=0,0,YEAR($E6779))</f>
      </c>
      <c r="G6779" s="43">
        <f>IF(INDEX(DarlBindung,15)="",1,IF($E6779&lt;=INDEX(DarlBindung,15),1,0))</f>
      </c>
      <c r="H6779" s="43">
        <f>IF($G6779=1,INDEX(DarlSollzins,15),INDEX(DarlAnschluss,15))</f>
      </c>
      <c r="I6779" s="43">
        <f>IF(INDEX(DarlBelegt,15)=0,0,IF(INDEX(DarlOhneTilgung,15)=1,IF(INDEX(DarlBindung,15)="",1,$G6779),IF($J6779&gt;0.005,1,0)))</f>
      </c>
      <c r="J6779" s="43">
        <f>IF($I6778=0,0,$R6778)</f>
      </c>
      <c r="K6779" s="43">
        <f>IF($I6779=0,0,IF(INDEX(DarlOhneTilgung,15)=1,0,IF(AND(INDEX(DarlTilgStart,15)&gt;0,$E6779=INDEX(DarlTilgStart,15)),$J6779*($H6779+INDEX(DarlTilgung,15))/100/12,IF(AND($G6779=0,$G6778=1),MAX($K6778,$J6779*($H6779+1)/100/12),$K6778))))</f>
      </c>
      <c r="L6779" s="43">
        <f>IF($I6779=0,0,$J6779*$H6779/100/12)</f>
      </c>
      <c r="M6779" s="43">
        <f>IF($I6779=0,0,IF(OR(INDEX(DarlOhneTilgung,15)=1,AND(INDEX(DarlTilgStart,15)&gt;0,$E6779&lt;INDEX(DarlTilgStart,15))),0,MIN(MAX(0,$K6779-$L6779),$J6779)))</f>
      </c>
      <c r="N6779" s="43">
        <f>IF($I6779=0,0,MIN(SUMIFS(SondBetrag,SondDarl,15,SondDatum,"&gt;="&amp;$E6779,SondDatum,"&lt;="&amp;EOMONTH($E6779,0)),$J6779-$M6779))</f>
      </c>
      <c r="O6779" s="43">
        <f>IF($I6779=0,0,INDEX(DarlErsatzRate,15))</f>
      </c>
      <c r="P6779" s="43">
        <f>IF($I6779=0,0,$Q6778*INDEX(DarlErsatzZins,15))</f>
      </c>
      <c r="Q6779" s="43">
        <f>IF($I6779=0,0,$Q6778+$P6779+$O6779)</f>
      </c>
      <c r="R6779" s="43">
        <f>IF($I6779=0,0,$J6779-$M6779-$N6779)</f>
      </c>
    </row>
    <row r="6780">
      <c r="A6780"/>
      <c r="B6780">
        <v>15</v>
      </c>
      <c r="C6780" s="43">
        <f>INDEX(DarlObj,15)</f>
      </c>
      <c r="D6780">
        <v>57</v>
      </c>
      <c r="E6780" s="51">
        <f>IF(INDEX(DarlBelegt,15)=0,0,EOMONTH(INDEX(DarlAuszahlung,15),56)+1)</f>
      </c>
      <c r="F6780" s="43">
        <f>IF($E6780=0,0,YEAR($E6780))</f>
      </c>
      <c r="G6780" s="43">
        <f>IF(INDEX(DarlBindung,15)="",1,IF($E6780&lt;=INDEX(DarlBindung,15),1,0))</f>
      </c>
      <c r="H6780" s="43">
        <f>IF($G6780=1,INDEX(DarlSollzins,15),INDEX(DarlAnschluss,15))</f>
      </c>
      <c r="I6780" s="43">
        <f>IF(INDEX(DarlBelegt,15)=0,0,IF(INDEX(DarlOhneTilgung,15)=1,IF(INDEX(DarlBindung,15)="",1,$G6780),IF($J6780&gt;0.005,1,0)))</f>
      </c>
      <c r="J6780" s="43">
        <f>IF($I6779=0,0,$R6779)</f>
      </c>
      <c r="K6780" s="43">
        <f>IF($I6780=0,0,IF(INDEX(DarlOhneTilgung,15)=1,0,IF(AND(INDEX(DarlTilgStart,15)&gt;0,$E6780=INDEX(DarlTilgStart,15)),$J6780*($H6780+INDEX(DarlTilgung,15))/100/12,IF(AND($G6780=0,$G6779=1),MAX($K6779,$J6780*($H6780+1)/100/12),$K6779))))</f>
      </c>
      <c r="L6780" s="43">
        <f>IF($I6780=0,0,$J6780*$H6780/100/12)</f>
      </c>
      <c r="M6780" s="43">
        <f>IF($I6780=0,0,IF(OR(INDEX(DarlOhneTilgung,15)=1,AND(INDEX(DarlTilgStart,15)&gt;0,$E6780&lt;INDEX(DarlTilgStart,15))),0,MIN(MAX(0,$K6780-$L6780),$J6780)))</f>
      </c>
      <c r="N6780" s="43">
        <f>IF($I6780=0,0,MIN(SUMIFS(SondBetrag,SondDarl,15,SondDatum,"&gt;="&amp;$E6780,SondDatum,"&lt;="&amp;EOMONTH($E6780,0)),$J6780-$M6780))</f>
      </c>
      <c r="O6780" s="43">
        <f>IF($I6780=0,0,INDEX(DarlErsatzRate,15))</f>
      </c>
      <c r="P6780" s="43">
        <f>IF($I6780=0,0,$Q6779*INDEX(DarlErsatzZins,15))</f>
      </c>
      <c r="Q6780" s="43">
        <f>IF($I6780=0,0,$Q6779+$P6780+$O6780)</f>
      </c>
      <c r="R6780" s="43">
        <f>IF($I6780=0,0,$J6780-$M6780-$N6780)</f>
      </c>
    </row>
    <row r="6781">
      <c r="A6781"/>
      <c r="B6781">
        <v>15</v>
      </c>
      <c r="C6781" s="43">
        <f>INDEX(DarlObj,15)</f>
      </c>
      <c r="D6781">
        <v>58</v>
      </c>
      <c r="E6781" s="51">
        <f>IF(INDEX(DarlBelegt,15)=0,0,EOMONTH(INDEX(DarlAuszahlung,15),57)+1)</f>
      </c>
      <c r="F6781" s="43">
        <f>IF($E6781=0,0,YEAR($E6781))</f>
      </c>
      <c r="G6781" s="43">
        <f>IF(INDEX(DarlBindung,15)="",1,IF($E6781&lt;=INDEX(DarlBindung,15),1,0))</f>
      </c>
      <c r="H6781" s="43">
        <f>IF($G6781=1,INDEX(DarlSollzins,15),INDEX(DarlAnschluss,15))</f>
      </c>
      <c r="I6781" s="43">
        <f>IF(INDEX(DarlBelegt,15)=0,0,IF(INDEX(DarlOhneTilgung,15)=1,IF(INDEX(DarlBindung,15)="",1,$G6781),IF($J6781&gt;0.005,1,0)))</f>
      </c>
      <c r="J6781" s="43">
        <f>IF($I6780=0,0,$R6780)</f>
      </c>
      <c r="K6781" s="43">
        <f>IF($I6781=0,0,IF(INDEX(DarlOhneTilgung,15)=1,0,IF(AND(INDEX(DarlTilgStart,15)&gt;0,$E6781=INDEX(DarlTilgStart,15)),$J6781*($H6781+INDEX(DarlTilgung,15))/100/12,IF(AND($G6781=0,$G6780=1),MAX($K6780,$J6781*($H6781+1)/100/12),$K6780))))</f>
      </c>
      <c r="L6781" s="43">
        <f>IF($I6781=0,0,$J6781*$H6781/100/12)</f>
      </c>
      <c r="M6781" s="43">
        <f>IF($I6781=0,0,IF(OR(INDEX(DarlOhneTilgung,15)=1,AND(INDEX(DarlTilgStart,15)&gt;0,$E6781&lt;INDEX(DarlTilgStart,15))),0,MIN(MAX(0,$K6781-$L6781),$J6781)))</f>
      </c>
      <c r="N6781" s="43">
        <f>IF($I6781=0,0,MIN(SUMIFS(SondBetrag,SondDarl,15,SondDatum,"&gt;="&amp;$E6781,SondDatum,"&lt;="&amp;EOMONTH($E6781,0)),$J6781-$M6781))</f>
      </c>
      <c r="O6781" s="43">
        <f>IF($I6781=0,0,INDEX(DarlErsatzRate,15))</f>
      </c>
      <c r="P6781" s="43">
        <f>IF($I6781=0,0,$Q6780*INDEX(DarlErsatzZins,15))</f>
      </c>
      <c r="Q6781" s="43">
        <f>IF($I6781=0,0,$Q6780+$P6781+$O6781)</f>
      </c>
      <c r="R6781" s="43">
        <f>IF($I6781=0,0,$J6781-$M6781-$N6781)</f>
      </c>
    </row>
    <row r="6782">
      <c r="A6782"/>
      <c r="B6782">
        <v>15</v>
      </c>
      <c r="C6782" s="43">
        <f>INDEX(DarlObj,15)</f>
      </c>
      <c r="D6782">
        <v>59</v>
      </c>
      <c r="E6782" s="51">
        <f>IF(INDEX(DarlBelegt,15)=0,0,EOMONTH(INDEX(DarlAuszahlung,15),58)+1)</f>
      </c>
      <c r="F6782" s="43">
        <f>IF($E6782=0,0,YEAR($E6782))</f>
      </c>
      <c r="G6782" s="43">
        <f>IF(INDEX(DarlBindung,15)="",1,IF($E6782&lt;=INDEX(DarlBindung,15),1,0))</f>
      </c>
      <c r="H6782" s="43">
        <f>IF($G6782=1,INDEX(DarlSollzins,15),INDEX(DarlAnschluss,15))</f>
      </c>
      <c r="I6782" s="43">
        <f>IF(INDEX(DarlBelegt,15)=0,0,IF(INDEX(DarlOhneTilgung,15)=1,IF(INDEX(DarlBindung,15)="",1,$G6782),IF($J6782&gt;0.005,1,0)))</f>
      </c>
      <c r="J6782" s="43">
        <f>IF($I6781=0,0,$R6781)</f>
      </c>
      <c r="K6782" s="43">
        <f>IF($I6782=0,0,IF(INDEX(DarlOhneTilgung,15)=1,0,IF(AND(INDEX(DarlTilgStart,15)&gt;0,$E6782=INDEX(DarlTilgStart,15)),$J6782*($H6782+INDEX(DarlTilgung,15))/100/12,IF(AND($G6782=0,$G6781=1),MAX($K6781,$J6782*($H6782+1)/100/12),$K6781))))</f>
      </c>
      <c r="L6782" s="43">
        <f>IF($I6782=0,0,$J6782*$H6782/100/12)</f>
      </c>
      <c r="M6782" s="43">
        <f>IF($I6782=0,0,IF(OR(INDEX(DarlOhneTilgung,15)=1,AND(INDEX(DarlTilgStart,15)&gt;0,$E6782&lt;INDEX(DarlTilgStart,15))),0,MIN(MAX(0,$K6782-$L6782),$J6782)))</f>
      </c>
      <c r="N6782" s="43">
        <f>IF($I6782=0,0,MIN(SUMIFS(SondBetrag,SondDarl,15,SondDatum,"&gt;="&amp;$E6782,SondDatum,"&lt;="&amp;EOMONTH($E6782,0)),$J6782-$M6782))</f>
      </c>
      <c r="O6782" s="43">
        <f>IF($I6782=0,0,INDEX(DarlErsatzRate,15))</f>
      </c>
      <c r="P6782" s="43">
        <f>IF($I6782=0,0,$Q6781*INDEX(DarlErsatzZins,15))</f>
      </c>
      <c r="Q6782" s="43">
        <f>IF($I6782=0,0,$Q6781+$P6782+$O6782)</f>
      </c>
      <c r="R6782" s="43">
        <f>IF($I6782=0,0,$J6782-$M6782-$N6782)</f>
      </c>
    </row>
    <row r="6783">
      <c r="A6783"/>
      <c r="B6783">
        <v>15</v>
      </c>
      <c r="C6783" s="43">
        <f>INDEX(DarlObj,15)</f>
      </c>
      <c r="D6783">
        <v>60</v>
      </c>
      <c r="E6783" s="51">
        <f>IF(INDEX(DarlBelegt,15)=0,0,EOMONTH(INDEX(DarlAuszahlung,15),59)+1)</f>
      </c>
      <c r="F6783" s="43">
        <f>IF($E6783=0,0,YEAR($E6783))</f>
      </c>
      <c r="G6783" s="43">
        <f>IF(INDEX(DarlBindung,15)="",1,IF($E6783&lt;=INDEX(DarlBindung,15),1,0))</f>
      </c>
      <c r="H6783" s="43">
        <f>IF($G6783=1,INDEX(DarlSollzins,15),INDEX(DarlAnschluss,15))</f>
      </c>
      <c r="I6783" s="43">
        <f>IF(INDEX(DarlBelegt,15)=0,0,IF(INDEX(DarlOhneTilgung,15)=1,IF(INDEX(DarlBindung,15)="",1,$G6783),IF($J6783&gt;0.005,1,0)))</f>
      </c>
      <c r="J6783" s="43">
        <f>IF($I6782=0,0,$R6782)</f>
      </c>
      <c r="K6783" s="43">
        <f>IF($I6783=0,0,IF(INDEX(DarlOhneTilgung,15)=1,0,IF(AND(INDEX(DarlTilgStart,15)&gt;0,$E6783=INDEX(DarlTilgStart,15)),$J6783*($H6783+INDEX(DarlTilgung,15))/100/12,IF(AND($G6783=0,$G6782=1),MAX($K6782,$J6783*($H6783+1)/100/12),$K6782))))</f>
      </c>
      <c r="L6783" s="43">
        <f>IF($I6783=0,0,$J6783*$H6783/100/12)</f>
      </c>
      <c r="M6783" s="43">
        <f>IF($I6783=0,0,IF(OR(INDEX(DarlOhneTilgung,15)=1,AND(INDEX(DarlTilgStart,15)&gt;0,$E6783&lt;INDEX(DarlTilgStart,15))),0,MIN(MAX(0,$K6783-$L6783),$J6783)))</f>
      </c>
      <c r="N6783" s="43">
        <f>IF($I6783=0,0,MIN(SUMIFS(SondBetrag,SondDarl,15,SondDatum,"&gt;="&amp;$E6783,SondDatum,"&lt;="&amp;EOMONTH($E6783,0)),$J6783-$M6783))</f>
      </c>
      <c r="O6783" s="43">
        <f>IF($I6783=0,0,INDEX(DarlErsatzRate,15))</f>
      </c>
      <c r="P6783" s="43">
        <f>IF($I6783=0,0,$Q6782*INDEX(DarlErsatzZins,15))</f>
      </c>
      <c r="Q6783" s="43">
        <f>IF($I6783=0,0,$Q6782+$P6783+$O6783)</f>
      </c>
      <c r="R6783" s="43">
        <f>IF($I6783=0,0,$J6783-$M6783-$N6783)</f>
      </c>
    </row>
    <row r="6784">
      <c r="A6784"/>
      <c r="B6784">
        <v>15</v>
      </c>
      <c r="C6784" s="43">
        <f>INDEX(DarlObj,15)</f>
      </c>
      <c r="D6784">
        <v>61</v>
      </c>
      <c r="E6784" s="51">
        <f>IF(INDEX(DarlBelegt,15)=0,0,EOMONTH(INDEX(DarlAuszahlung,15),60)+1)</f>
      </c>
      <c r="F6784" s="43">
        <f>IF($E6784=0,0,YEAR($E6784))</f>
      </c>
      <c r="G6784" s="43">
        <f>IF(INDEX(DarlBindung,15)="",1,IF($E6784&lt;=INDEX(DarlBindung,15),1,0))</f>
      </c>
      <c r="H6784" s="43">
        <f>IF($G6784=1,INDEX(DarlSollzins,15),INDEX(DarlAnschluss,15))</f>
      </c>
      <c r="I6784" s="43">
        <f>IF(INDEX(DarlBelegt,15)=0,0,IF(INDEX(DarlOhneTilgung,15)=1,IF(INDEX(DarlBindung,15)="",1,$G6784),IF($J6784&gt;0.005,1,0)))</f>
      </c>
      <c r="J6784" s="43">
        <f>IF($I6783=0,0,$R6783)</f>
      </c>
      <c r="K6784" s="43">
        <f>IF($I6784=0,0,IF(INDEX(DarlOhneTilgung,15)=1,0,IF(AND(INDEX(DarlTilgStart,15)&gt;0,$E6784=INDEX(DarlTilgStart,15)),$J6784*($H6784+INDEX(DarlTilgung,15))/100/12,IF(AND($G6784=0,$G6783=1),MAX($K6783,$J6784*($H6784+1)/100/12),$K6783))))</f>
      </c>
      <c r="L6784" s="43">
        <f>IF($I6784=0,0,$J6784*$H6784/100/12)</f>
      </c>
      <c r="M6784" s="43">
        <f>IF($I6784=0,0,IF(OR(INDEX(DarlOhneTilgung,15)=1,AND(INDEX(DarlTilgStart,15)&gt;0,$E6784&lt;INDEX(DarlTilgStart,15))),0,MIN(MAX(0,$K6784-$L6784),$J6784)))</f>
      </c>
      <c r="N6784" s="43">
        <f>IF($I6784=0,0,MIN(SUMIFS(SondBetrag,SondDarl,15,SondDatum,"&gt;="&amp;$E6784,SondDatum,"&lt;="&amp;EOMONTH($E6784,0)),$J6784-$M6784))</f>
      </c>
      <c r="O6784" s="43">
        <f>IF($I6784=0,0,INDEX(DarlErsatzRate,15))</f>
      </c>
      <c r="P6784" s="43">
        <f>IF($I6784=0,0,$Q6783*INDEX(DarlErsatzZins,15))</f>
      </c>
      <c r="Q6784" s="43">
        <f>IF($I6784=0,0,$Q6783+$P6784+$O6784)</f>
      </c>
      <c r="R6784" s="43">
        <f>IF($I6784=0,0,$J6784-$M6784-$N6784)</f>
      </c>
    </row>
    <row r="6785">
      <c r="A6785"/>
      <c r="B6785">
        <v>15</v>
      </c>
      <c r="C6785" s="43">
        <f>INDEX(DarlObj,15)</f>
      </c>
      <c r="D6785">
        <v>62</v>
      </c>
      <c r="E6785" s="51">
        <f>IF(INDEX(DarlBelegt,15)=0,0,EOMONTH(INDEX(DarlAuszahlung,15),61)+1)</f>
      </c>
      <c r="F6785" s="43">
        <f>IF($E6785=0,0,YEAR($E6785))</f>
      </c>
      <c r="G6785" s="43">
        <f>IF(INDEX(DarlBindung,15)="",1,IF($E6785&lt;=INDEX(DarlBindung,15),1,0))</f>
      </c>
      <c r="H6785" s="43">
        <f>IF($G6785=1,INDEX(DarlSollzins,15),INDEX(DarlAnschluss,15))</f>
      </c>
      <c r="I6785" s="43">
        <f>IF(INDEX(DarlBelegt,15)=0,0,IF(INDEX(DarlOhneTilgung,15)=1,IF(INDEX(DarlBindung,15)="",1,$G6785),IF($J6785&gt;0.005,1,0)))</f>
      </c>
      <c r="J6785" s="43">
        <f>IF($I6784=0,0,$R6784)</f>
      </c>
      <c r="K6785" s="43">
        <f>IF($I6785=0,0,IF(INDEX(DarlOhneTilgung,15)=1,0,IF(AND(INDEX(DarlTilgStart,15)&gt;0,$E6785=INDEX(DarlTilgStart,15)),$J6785*($H6785+INDEX(DarlTilgung,15))/100/12,IF(AND($G6785=0,$G6784=1),MAX($K6784,$J6785*($H6785+1)/100/12),$K6784))))</f>
      </c>
      <c r="L6785" s="43">
        <f>IF($I6785=0,0,$J6785*$H6785/100/12)</f>
      </c>
      <c r="M6785" s="43">
        <f>IF($I6785=0,0,IF(OR(INDEX(DarlOhneTilgung,15)=1,AND(INDEX(DarlTilgStart,15)&gt;0,$E6785&lt;INDEX(DarlTilgStart,15))),0,MIN(MAX(0,$K6785-$L6785),$J6785)))</f>
      </c>
      <c r="N6785" s="43">
        <f>IF($I6785=0,0,MIN(SUMIFS(SondBetrag,SondDarl,15,SondDatum,"&gt;="&amp;$E6785,SondDatum,"&lt;="&amp;EOMONTH($E6785,0)),$J6785-$M6785))</f>
      </c>
      <c r="O6785" s="43">
        <f>IF($I6785=0,0,INDEX(DarlErsatzRate,15))</f>
      </c>
      <c r="P6785" s="43">
        <f>IF($I6785=0,0,$Q6784*INDEX(DarlErsatzZins,15))</f>
      </c>
      <c r="Q6785" s="43">
        <f>IF($I6785=0,0,$Q6784+$P6785+$O6785)</f>
      </c>
      <c r="R6785" s="43">
        <f>IF($I6785=0,0,$J6785-$M6785-$N6785)</f>
      </c>
    </row>
    <row r="6786">
      <c r="A6786"/>
      <c r="B6786">
        <v>15</v>
      </c>
      <c r="C6786" s="43">
        <f>INDEX(DarlObj,15)</f>
      </c>
      <c r="D6786">
        <v>63</v>
      </c>
      <c r="E6786" s="51">
        <f>IF(INDEX(DarlBelegt,15)=0,0,EOMONTH(INDEX(DarlAuszahlung,15),62)+1)</f>
      </c>
      <c r="F6786" s="43">
        <f>IF($E6786=0,0,YEAR($E6786))</f>
      </c>
      <c r="G6786" s="43">
        <f>IF(INDEX(DarlBindung,15)="",1,IF($E6786&lt;=INDEX(DarlBindung,15),1,0))</f>
      </c>
      <c r="H6786" s="43">
        <f>IF($G6786=1,INDEX(DarlSollzins,15),INDEX(DarlAnschluss,15))</f>
      </c>
      <c r="I6786" s="43">
        <f>IF(INDEX(DarlBelegt,15)=0,0,IF(INDEX(DarlOhneTilgung,15)=1,IF(INDEX(DarlBindung,15)="",1,$G6786),IF($J6786&gt;0.005,1,0)))</f>
      </c>
      <c r="J6786" s="43">
        <f>IF($I6785=0,0,$R6785)</f>
      </c>
      <c r="K6786" s="43">
        <f>IF($I6786=0,0,IF(INDEX(DarlOhneTilgung,15)=1,0,IF(AND(INDEX(DarlTilgStart,15)&gt;0,$E6786=INDEX(DarlTilgStart,15)),$J6786*($H6786+INDEX(DarlTilgung,15))/100/12,IF(AND($G6786=0,$G6785=1),MAX($K6785,$J6786*($H6786+1)/100/12),$K6785))))</f>
      </c>
      <c r="L6786" s="43">
        <f>IF($I6786=0,0,$J6786*$H6786/100/12)</f>
      </c>
      <c r="M6786" s="43">
        <f>IF($I6786=0,0,IF(OR(INDEX(DarlOhneTilgung,15)=1,AND(INDEX(DarlTilgStart,15)&gt;0,$E6786&lt;INDEX(DarlTilgStart,15))),0,MIN(MAX(0,$K6786-$L6786),$J6786)))</f>
      </c>
      <c r="N6786" s="43">
        <f>IF($I6786=0,0,MIN(SUMIFS(SondBetrag,SondDarl,15,SondDatum,"&gt;="&amp;$E6786,SondDatum,"&lt;="&amp;EOMONTH($E6786,0)),$J6786-$M6786))</f>
      </c>
      <c r="O6786" s="43">
        <f>IF($I6786=0,0,INDEX(DarlErsatzRate,15))</f>
      </c>
      <c r="P6786" s="43">
        <f>IF($I6786=0,0,$Q6785*INDEX(DarlErsatzZins,15))</f>
      </c>
      <c r="Q6786" s="43">
        <f>IF($I6786=0,0,$Q6785+$P6786+$O6786)</f>
      </c>
      <c r="R6786" s="43">
        <f>IF($I6786=0,0,$J6786-$M6786-$N6786)</f>
      </c>
    </row>
    <row r="6787">
      <c r="A6787"/>
      <c r="B6787">
        <v>15</v>
      </c>
      <c r="C6787" s="43">
        <f>INDEX(DarlObj,15)</f>
      </c>
      <c r="D6787">
        <v>64</v>
      </c>
      <c r="E6787" s="51">
        <f>IF(INDEX(DarlBelegt,15)=0,0,EOMONTH(INDEX(DarlAuszahlung,15),63)+1)</f>
      </c>
      <c r="F6787" s="43">
        <f>IF($E6787=0,0,YEAR($E6787))</f>
      </c>
      <c r="G6787" s="43">
        <f>IF(INDEX(DarlBindung,15)="",1,IF($E6787&lt;=INDEX(DarlBindung,15),1,0))</f>
      </c>
      <c r="H6787" s="43">
        <f>IF($G6787=1,INDEX(DarlSollzins,15),INDEX(DarlAnschluss,15))</f>
      </c>
      <c r="I6787" s="43">
        <f>IF(INDEX(DarlBelegt,15)=0,0,IF(INDEX(DarlOhneTilgung,15)=1,IF(INDEX(DarlBindung,15)="",1,$G6787),IF($J6787&gt;0.005,1,0)))</f>
      </c>
      <c r="J6787" s="43">
        <f>IF($I6786=0,0,$R6786)</f>
      </c>
      <c r="K6787" s="43">
        <f>IF($I6787=0,0,IF(INDEX(DarlOhneTilgung,15)=1,0,IF(AND(INDEX(DarlTilgStart,15)&gt;0,$E6787=INDEX(DarlTilgStart,15)),$J6787*($H6787+INDEX(DarlTilgung,15))/100/12,IF(AND($G6787=0,$G6786=1),MAX($K6786,$J6787*($H6787+1)/100/12),$K6786))))</f>
      </c>
      <c r="L6787" s="43">
        <f>IF($I6787=0,0,$J6787*$H6787/100/12)</f>
      </c>
      <c r="M6787" s="43">
        <f>IF($I6787=0,0,IF(OR(INDEX(DarlOhneTilgung,15)=1,AND(INDEX(DarlTilgStart,15)&gt;0,$E6787&lt;INDEX(DarlTilgStart,15))),0,MIN(MAX(0,$K6787-$L6787),$J6787)))</f>
      </c>
      <c r="N6787" s="43">
        <f>IF($I6787=0,0,MIN(SUMIFS(SondBetrag,SondDarl,15,SondDatum,"&gt;="&amp;$E6787,SondDatum,"&lt;="&amp;EOMONTH($E6787,0)),$J6787-$M6787))</f>
      </c>
      <c r="O6787" s="43">
        <f>IF($I6787=0,0,INDEX(DarlErsatzRate,15))</f>
      </c>
      <c r="P6787" s="43">
        <f>IF($I6787=0,0,$Q6786*INDEX(DarlErsatzZins,15))</f>
      </c>
      <c r="Q6787" s="43">
        <f>IF($I6787=0,0,$Q6786+$P6787+$O6787)</f>
      </c>
      <c r="R6787" s="43">
        <f>IF($I6787=0,0,$J6787-$M6787-$N6787)</f>
      </c>
    </row>
    <row r="6788">
      <c r="A6788"/>
      <c r="B6788">
        <v>15</v>
      </c>
      <c r="C6788" s="43">
        <f>INDEX(DarlObj,15)</f>
      </c>
      <c r="D6788">
        <v>65</v>
      </c>
      <c r="E6788" s="51">
        <f>IF(INDEX(DarlBelegt,15)=0,0,EOMONTH(INDEX(DarlAuszahlung,15),64)+1)</f>
      </c>
      <c r="F6788" s="43">
        <f>IF($E6788=0,0,YEAR($E6788))</f>
      </c>
      <c r="G6788" s="43">
        <f>IF(INDEX(DarlBindung,15)="",1,IF($E6788&lt;=INDEX(DarlBindung,15),1,0))</f>
      </c>
      <c r="H6788" s="43">
        <f>IF($G6788=1,INDEX(DarlSollzins,15),INDEX(DarlAnschluss,15))</f>
      </c>
      <c r="I6788" s="43">
        <f>IF(INDEX(DarlBelegt,15)=0,0,IF(INDEX(DarlOhneTilgung,15)=1,IF(INDEX(DarlBindung,15)="",1,$G6788),IF($J6788&gt;0.005,1,0)))</f>
      </c>
      <c r="J6788" s="43">
        <f>IF($I6787=0,0,$R6787)</f>
      </c>
      <c r="K6788" s="43">
        <f>IF($I6788=0,0,IF(INDEX(DarlOhneTilgung,15)=1,0,IF(AND(INDEX(DarlTilgStart,15)&gt;0,$E6788=INDEX(DarlTilgStart,15)),$J6788*($H6788+INDEX(DarlTilgung,15))/100/12,IF(AND($G6788=0,$G6787=1),MAX($K6787,$J6788*($H6788+1)/100/12),$K6787))))</f>
      </c>
      <c r="L6788" s="43">
        <f>IF($I6788=0,0,$J6788*$H6788/100/12)</f>
      </c>
      <c r="M6788" s="43">
        <f>IF($I6788=0,0,IF(OR(INDEX(DarlOhneTilgung,15)=1,AND(INDEX(DarlTilgStart,15)&gt;0,$E6788&lt;INDEX(DarlTilgStart,15))),0,MIN(MAX(0,$K6788-$L6788),$J6788)))</f>
      </c>
      <c r="N6788" s="43">
        <f>IF($I6788=0,0,MIN(SUMIFS(SondBetrag,SondDarl,15,SondDatum,"&gt;="&amp;$E6788,SondDatum,"&lt;="&amp;EOMONTH($E6788,0)),$J6788-$M6788))</f>
      </c>
      <c r="O6788" s="43">
        <f>IF($I6788=0,0,INDEX(DarlErsatzRate,15))</f>
      </c>
      <c r="P6788" s="43">
        <f>IF($I6788=0,0,$Q6787*INDEX(DarlErsatzZins,15))</f>
      </c>
      <c r="Q6788" s="43">
        <f>IF($I6788=0,0,$Q6787+$P6788+$O6788)</f>
      </c>
      <c r="R6788" s="43">
        <f>IF($I6788=0,0,$J6788-$M6788-$N6788)</f>
      </c>
    </row>
    <row r="6789">
      <c r="A6789"/>
      <c r="B6789">
        <v>15</v>
      </c>
      <c r="C6789" s="43">
        <f>INDEX(DarlObj,15)</f>
      </c>
      <c r="D6789">
        <v>66</v>
      </c>
      <c r="E6789" s="51">
        <f>IF(INDEX(DarlBelegt,15)=0,0,EOMONTH(INDEX(DarlAuszahlung,15),65)+1)</f>
      </c>
      <c r="F6789" s="43">
        <f>IF($E6789=0,0,YEAR($E6789))</f>
      </c>
      <c r="G6789" s="43">
        <f>IF(INDEX(DarlBindung,15)="",1,IF($E6789&lt;=INDEX(DarlBindung,15),1,0))</f>
      </c>
      <c r="H6789" s="43">
        <f>IF($G6789=1,INDEX(DarlSollzins,15),INDEX(DarlAnschluss,15))</f>
      </c>
      <c r="I6789" s="43">
        <f>IF(INDEX(DarlBelegt,15)=0,0,IF(INDEX(DarlOhneTilgung,15)=1,IF(INDEX(DarlBindung,15)="",1,$G6789),IF($J6789&gt;0.005,1,0)))</f>
      </c>
      <c r="J6789" s="43">
        <f>IF($I6788=0,0,$R6788)</f>
      </c>
      <c r="K6789" s="43">
        <f>IF($I6789=0,0,IF(INDEX(DarlOhneTilgung,15)=1,0,IF(AND(INDEX(DarlTilgStart,15)&gt;0,$E6789=INDEX(DarlTilgStart,15)),$J6789*($H6789+INDEX(DarlTilgung,15))/100/12,IF(AND($G6789=0,$G6788=1),MAX($K6788,$J6789*($H6789+1)/100/12),$K6788))))</f>
      </c>
      <c r="L6789" s="43">
        <f>IF($I6789=0,0,$J6789*$H6789/100/12)</f>
      </c>
      <c r="M6789" s="43">
        <f>IF($I6789=0,0,IF(OR(INDEX(DarlOhneTilgung,15)=1,AND(INDEX(DarlTilgStart,15)&gt;0,$E6789&lt;INDEX(DarlTilgStart,15))),0,MIN(MAX(0,$K6789-$L6789),$J6789)))</f>
      </c>
      <c r="N6789" s="43">
        <f>IF($I6789=0,0,MIN(SUMIFS(SondBetrag,SondDarl,15,SondDatum,"&gt;="&amp;$E6789,SondDatum,"&lt;="&amp;EOMONTH($E6789,0)),$J6789-$M6789))</f>
      </c>
      <c r="O6789" s="43">
        <f>IF($I6789=0,0,INDEX(DarlErsatzRate,15))</f>
      </c>
      <c r="P6789" s="43">
        <f>IF($I6789=0,0,$Q6788*INDEX(DarlErsatzZins,15))</f>
      </c>
      <c r="Q6789" s="43">
        <f>IF($I6789=0,0,$Q6788+$P6789+$O6789)</f>
      </c>
      <c r="R6789" s="43">
        <f>IF($I6789=0,0,$J6789-$M6789-$N6789)</f>
      </c>
    </row>
    <row r="6790">
      <c r="A6790"/>
      <c r="B6790">
        <v>15</v>
      </c>
      <c r="C6790" s="43">
        <f>INDEX(DarlObj,15)</f>
      </c>
      <c r="D6790">
        <v>67</v>
      </c>
      <c r="E6790" s="51">
        <f>IF(INDEX(DarlBelegt,15)=0,0,EOMONTH(INDEX(DarlAuszahlung,15),66)+1)</f>
      </c>
      <c r="F6790" s="43">
        <f>IF($E6790=0,0,YEAR($E6790))</f>
      </c>
      <c r="G6790" s="43">
        <f>IF(INDEX(DarlBindung,15)="",1,IF($E6790&lt;=INDEX(DarlBindung,15),1,0))</f>
      </c>
      <c r="H6790" s="43">
        <f>IF($G6790=1,INDEX(DarlSollzins,15),INDEX(DarlAnschluss,15))</f>
      </c>
      <c r="I6790" s="43">
        <f>IF(INDEX(DarlBelegt,15)=0,0,IF(INDEX(DarlOhneTilgung,15)=1,IF(INDEX(DarlBindung,15)="",1,$G6790),IF($J6790&gt;0.005,1,0)))</f>
      </c>
      <c r="J6790" s="43">
        <f>IF($I6789=0,0,$R6789)</f>
      </c>
      <c r="K6790" s="43">
        <f>IF($I6790=0,0,IF(INDEX(DarlOhneTilgung,15)=1,0,IF(AND(INDEX(DarlTilgStart,15)&gt;0,$E6790=INDEX(DarlTilgStart,15)),$J6790*($H6790+INDEX(DarlTilgung,15))/100/12,IF(AND($G6790=0,$G6789=1),MAX($K6789,$J6790*($H6790+1)/100/12),$K6789))))</f>
      </c>
      <c r="L6790" s="43">
        <f>IF($I6790=0,0,$J6790*$H6790/100/12)</f>
      </c>
      <c r="M6790" s="43">
        <f>IF($I6790=0,0,IF(OR(INDEX(DarlOhneTilgung,15)=1,AND(INDEX(DarlTilgStart,15)&gt;0,$E6790&lt;INDEX(DarlTilgStart,15))),0,MIN(MAX(0,$K6790-$L6790),$J6790)))</f>
      </c>
      <c r="N6790" s="43">
        <f>IF($I6790=0,0,MIN(SUMIFS(SondBetrag,SondDarl,15,SondDatum,"&gt;="&amp;$E6790,SondDatum,"&lt;="&amp;EOMONTH($E6790,0)),$J6790-$M6790))</f>
      </c>
      <c r="O6790" s="43">
        <f>IF($I6790=0,0,INDEX(DarlErsatzRate,15))</f>
      </c>
      <c r="P6790" s="43">
        <f>IF($I6790=0,0,$Q6789*INDEX(DarlErsatzZins,15))</f>
      </c>
      <c r="Q6790" s="43">
        <f>IF($I6790=0,0,$Q6789+$P6790+$O6790)</f>
      </c>
      <c r="R6790" s="43">
        <f>IF($I6790=0,0,$J6790-$M6790-$N6790)</f>
      </c>
    </row>
    <row r="6791">
      <c r="A6791"/>
      <c r="B6791">
        <v>15</v>
      </c>
      <c r="C6791" s="43">
        <f>INDEX(DarlObj,15)</f>
      </c>
      <c r="D6791">
        <v>68</v>
      </c>
      <c r="E6791" s="51">
        <f>IF(INDEX(DarlBelegt,15)=0,0,EOMONTH(INDEX(DarlAuszahlung,15),67)+1)</f>
      </c>
      <c r="F6791" s="43">
        <f>IF($E6791=0,0,YEAR($E6791))</f>
      </c>
      <c r="G6791" s="43">
        <f>IF(INDEX(DarlBindung,15)="",1,IF($E6791&lt;=INDEX(DarlBindung,15),1,0))</f>
      </c>
      <c r="H6791" s="43">
        <f>IF($G6791=1,INDEX(DarlSollzins,15),INDEX(DarlAnschluss,15))</f>
      </c>
      <c r="I6791" s="43">
        <f>IF(INDEX(DarlBelegt,15)=0,0,IF(INDEX(DarlOhneTilgung,15)=1,IF(INDEX(DarlBindung,15)="",1,$G6791),IF($J6791&gt;0.005,1,0)))</f>
      </c>
      <c r="J6791" s="43">
        <f>IF($I6790=0,0,$R6790)</f>
      </c>
      <c r="K6791" s="43">
        <f>IF($I6791=0,0,IF(INDEX(DarlOhneTilgung,15)=1,0,IF(AND(INDEX(DarlTilgStart,15)&gt;0,$E6791=INDEX(DarlTilgStart,15)),$J6791*($H6791+INDEX(DarlTilgung,15))/100/12,IF(AND($G6791=0,$G6790=1),MAX($K6790,$J6791*($H6791+1)/100/12),$K6790))))</f>
      </c>
      <c r="L6791" s="43">
        <f>IF($I6791=0,0,$J6791*$H6791/100/12)</f>
      </c>
      <c r="M6791" s="43">
        <f>IF($I6791=0,0,IF(OR(INDEX(DarlOhneTilgung,15)=1,AND(INDEX(DarlTilgStart,15)&gt;0,$E6791&lt;INDEX(DarlTilgStart,15))),0,MIN(MAX(0,$K6791-$L6791),$J6791)))</f>
      </c>
      <c r="N6791" s="43">
        <f>IF($I6791=0,0,MIN(SUMIFS(SondBetrag,SondDarl,15,SondDatum,"&gt;="&amp;$E6791,SondDatum,"&lt;="&amp;EOMONTH($E6791,0)),$J6791-$M6791))</f>
      </c>
      <c r="O6791" s="43">
        <f>IF($I6791=0,0,INDEX(DarlErsatzRate,15))</f>
      </c>
      <c r="P6791" s="43">
        <f>IF($I6791=0,0,$Q6790*INDEX(DarlErsatzZins,15))</f>
      </c>
      <c r="Q6791" s="43">
        <f>IF($I6791=0,0,$Q6790+$P6791+$O6791)</f>
      </c>
      <c r="R6791" s="43">
        <f>IF($I6791=0,0,$J6791-$M6791-$N6791)</f>
      </c>
    </row>
    <row r="6792">
      <c r="A6792"/>
      <c r="B6792">
        <v>15</v>
      </c>
      <c r="C6792" s="43">
        <f>INDEX(DarlObj,15)</f>
      </c>
      <c r="D6792">
        <v>69</v>
      </c>
      <c r="E6792" s="51">
        <f>IF(INDEX(DarlBelegt,15)=0,0,EOMONTH(INDEX(DarlAuszahlung,15),68)+1)</f>
      </c>
      <c r="F6792" s="43">
        <f>IF($E6792=0,0,YEAR($E6792))</f>
      </c>
      <c r="G6792" s="43">
        <f>IF(INDEX(DarlBindung,15)="",1,IF($E6792&lt;=INDEX(DarlBindung,15),1,0))</f>
      </c>
      <c r="H6792" s="43">
        <f>IF($G6792=1,INDEX(DarlSollzins,15),INDEX(DarlAnschluss,15))</f>
      </c>
      <c r="I6792" s="43">
        <f>IF(INDEX(DarlBelegt,15)=0,0,IF(INDEX(DarlOhneTilgung,15)=1,IF(INDEX(DarlBindung,15)="",1,$G6792),IF($J6792&gt;0.005,1,0)))</f>
      </c>
      <c r="J6792" s="43">
        <f>IF($I6791=0,0,$R6791)</f>
      </c>
      <c r="K6792" s="43">
        <f>IF($I6792=0,0,IF(INDEX(DarlOhneTilgung,15)=1,0,IF(AND(INDEX(DarlTilgStart,15)&gt;0,$E6792=INDEX(DarlTilgStart,15)),$J6792*($H6792+INDEX(DarlTilgung,15))/100/12,IF(AND($G6792=0,$G6791=1),MAX($K6791,$J6792*($H6792+1)/100/12),$K6791))))</f>
      </c>
      <c r="L6792" s="43">
        <f>IF($I6792=0,0,$J6792*$H6792/100/12)</f>
      </c>
      <c r="M6792" s="43">
        <f>IF($I6792=0,0,IF(OR(INDEX(DarlOhneTilgung,15)=1,AND(INDEX(DarlTilgStart,15)&gt;0,$E6792&lt;INDEX(DarlTilgStart,15))),0,MIN(MAX(0,$K6792-$L6792),$J6792)))</f>
      </c>
      <c r="N6792" s="43">
        <f>IF($I6792=0,0,MIN(SUMIFS(SondBetrag,SondDarl,15,SondDatum,"&gt;="&amp;$E6792,SondDatum,"&lt;="&amp;EOMONTH($E6792,0)),$J6792-$M6792))</f>
      </c>
      <c r="O6792" s="43">
        <f>IF($I6792=0,0,INDEX(DarlErsatzRate,15))</f>
      </c>
      <c r="P6792" s="43">
        <f>IF($I6792=0,0,$Q6791*INDEX(DarlErsatzZins,15))</f>
      </c>
      <c r="Q6792" s="43">
        <f>IF($I6792=0,0,$Q6791+$P6792+$O6792)</f>
      </c>
      <c r="R6792" s="43">
        <f>IF($I6792=0,0,$J6792-$M6792-$N6792)</f>
      </c>
    </row>
    <row r="6793">
      <c r="A6793"/>
      <c r="B6793">
        <v>15</v>
      </c>
      <c r="C6793" s="43">
        <f>INDEX(DarlObj,15)</f>
      </c>
      <c r="D6793">
        <v>70</v>
      </c>
      <c r="E6793" s="51">
        <f>IF(INDEX(DarlBelegt,15)=0,0,EOMONTH(INDEX(DarlAuszahlung,15),69)+1)</f>
      </c>
      <c r="F6793" s="43">
        <f>IF($E6793=0,0,YEAR($E6793))</f>
      </c>
      <c r="G6793" s="43">
        <f>IF(INDEX(DarlBindung,15)="",1,IF($E6793&lt;=INDEX(DarlBindung,15),1,0))</f>
      </c>
      <c r="H6793" s="43">
        <f>IF($G6793=1,INDEX(DarlSollzins,15),INDEX(DarlAnschluss,15))</f>
      </c>
      <c r="I6793" s="43">
        <f>IF(INDEX(DarlBelegt,15)=0,0,IF(INDEX(DarlOhneTilgung,15)=1,IF(INDEX(DarlBindung,15)="",1,$G6793),IF($J6793&gt;0.005,1,0)))</f>
      </c>
      <c r="J6793" s="43">
        <f>IF($I6792=0,0,$R6792)</f>
      </c>
      <c r="K6793" s="43">
        <f>IF($I6793=0,0,IF(INDEX(DarlOhneTilgung,15)=1,0,IF(AND(INDEX(DarlTilgStart,15)&gt;0,$E6793=INDEX(DarlTilgStart,15)),$J6793*($H6793+INDEX(DarlTilgung,15))/100/12,IF(AND($G6793=0,$G6792=1),MAX($K6792,$J6793*($H6793+1)/100/12),$K6792))))</f>
      </c>
      <c r="L6793" s="43">
        <f>IF($I6793=0,0,$J6793*$H6793/100/12)</f>
      </c>
      <c r="M6793" s="43">
        <f>IF($I6793=0,0,IF(OR(INDEX(DarlOhneTilgung,15)=1,AND(INDEX(DarlTilgStart,15)&gt;0,$E6793&lt;INDEX(DarlTilgStart,15))),0,MIN(MAX(0,$K6793-$L6793),$J6793)))</f>
      </c>
      <c r="N6793" s="43">
        <f>IF($I6793=0,0,MIN(SUMIFS(SondBetrag,SondDarl,15,SondDatum,"&gt;="&amp;$E6793,SondDatum,"&lt;="&amp;EOMONTH($E6793,0)),$J6793-$M6793))</f>
      </c>
      <c r="O6793" s="43">
        <f>IF($I6793=0,0,INDEX(DarlErsatzRate,15))</f>
      </c>
      <c r="P6793" s="43">
        <f>IF($I6793=0,0,$Q6792*INDEX(DarlErsatzZins,15))</f>
      </c>
      <c r="Q6793" s="43">
        <f>IF($I6793=0,0,$Q6792+$P6793+$O6793)</f>
      </c>
      <c r="R6793" s="43">
        <f>IF($I6793=0,0,$J6793-$M6793-$N6793)</f>
      </c>
    </row>
    <row r="6794">
      <c r="A6794"/>
      <c r="B6794">
        <v>15</v>
      </c>
      <c r="C6794" s="43">
        <f>INDEX(DarlObj,15)</f>
      </c>
      <c r="D6794">
        <v>71</v>
      </c>
      <c r="E6794" s="51">
        <f>IF(INDEX(DarlBelegt,15)=0,0,EOMONTH(INDEX(DarlAuszahlung,15),70)+1)</f>
      </c>
      <c r="F6794" s="43">
        <f>IF($E6794=0,0,YEAR($E6794))</f>
      </c>
      <c r="G6794" s="43">
        <f>IF(INDEX(DarlBindung,15)="",1,IF($E6794&lt;=INDEX(DarlBindung,15),1,0))</f>
      </c>
      <c r="H6794" s="43">
        <f>IF($G6794=1,INDEX(DarlSollzins,15),INDEX(DarlAnschluss,15))</f>
      </c>
      <c r="I6794" s="43">
        <f>IF(INDEX(DarlBelegt,15)=0,0,IF(INDEX(DarlOhneTilgung,15)=1,IF(INDEX(DarlBindung,15)="",1,$G6794),IF($J6794&gt;0.005,1,0)))</f>
      </c>
      <c r="J6794" s="43">
        <f>IF($I6793=0,0,$R6793)</f>
      </c>
      <c r="K6794" s="43">
        <f>IF($I6794=0,0,IF(INDEX(DarlOhneTilgung,15)=1,0,IF(AND(INDEX(DarlTilgStart,15)&gt;0,$E6794=INDEX(DarlTilgStart,15)),$J6794*($H6794+INDEX(DarlTilgung,15))/100/12,IF(AND($G6794=0,$G6793=1),MAX($K6793,$J6794*($H6794+1)/100/12),$K6793))))</f>
      </c>
      <c r="L6794" s="43">
        <f>IF($I6794=0,0,$J6794*$H6794/100/12)</f>
      </c>
      <c r="M6794" s="43">
        <f>IF($I6794=0,0,IF(OR(INDEX(DarlOhneTilgung,15)=1,AND(INDEX(DarlTilgStart,15)&gt;0,$E6794&lt;INDEX(DarlTilgStart,15))),0,MIN(MAX(0,$K6794-$L6794),$J6794)))</f>
      </c>
      <c r="N6794" s="43">
        <f>IF($I6794=0,0,MIN(SUMIFS(SondBetrag,SondDarl,15,SondDatum,"&gt;="&amp;$E6794,SondDatum,"&lt;="&amp;EOMONTH($E6794,0)),$J6794-$M6794))</f>
      </c>
      <c r="O6794" s="43">
        <f>IF($I6794=0,0,INDEX(DarlErsatzRate,15))</f>
      </c>
      <c r="P6794" s="43">
        <f>IF($I6794=0,0,$Q6793*INDEX(DarlErsatzZins,15))</f>
      </c>
      <c r="Q6794" s="43">
        <f>IF($I6794=0,0,$Q6793+$P6794+$O6794)</f>
      </c>
      <c r="R6794" s="43">
        <f>IF($I6794=0,0,$J6794-$M6794-$N6794)</f>
      </c>
    </row>
    <row r="6795">
      <c r="A6795"/>
      <c r="B6795">
        <v>15</v>
      </c>
      <c r="C6795" s="43">
        <f>INDEX(DarlObj,15)</f>
      </c>
      <c r="D6795">
        <v>72</v>
      </c>
      <c r="E6795" s="51">
        <f>IF(INDEX(DarlBelegt,15)=0,0,EOMONTH(INDEX(DarlAuszahlung,15),71)+1)</f>
      </c>
      <c r="F6795" s="43">
        <f>IF($E6795=0,0,YEAR($E6795))</f>
      </c>
      <c r="G6795" s="43">
        <f>IF(INDEX(DarlBindung,15)="",1,IF($E6795&lt;=INDEX(DarlBindung,15),1,0))</f>
      </c>
      <c r="H6795" s="43">
        <f>IF($G6795=1,INDEX(DarlSollzins,15),INDEX(DarlAnschluss,15))</f>
      </c>
      <c r="I6795" s="43">
        <f>IF(INDEX(DarlBelegt,15)=0,0,IF(INDEX(DarlOhneTilgung,15)=1,IF(INDEX(DarlBindung,15)="",1,$G6795),IF($J6795&gt;0.005,1,0)))</f>
      </c>
      <c r="J6795" s="43">
        <f>IF($I6794=0,0,$R6794)</f>
      </c>
      <c r="K6795" s="43">
        <f>IF($I6795=0,0,IF(INDEX(DarlOhneTilgung,15)=1,0,IF(AND(INDEX(DarlTilgStart,15)&gt;0,$E6795=INDEX(DarlTilgStart,15)),$J6795*($H6795+INDEX(DarlTilgung,15))/100/12,IF(AND($G6795=0,$G6794=1),MAX($K6794,$J6795*($H6795+1)/100/12),$K6794))))</f>
      </c>
      <c r="L6795" s="43">
        <f>IF($I6795=0,0,$J6795*$H6795/100/12)</f>
      </c>
      <c r="M6795" s="43">
        <f>IF($I6795=0,0,IF(OR(INDEX(DarlOhneTilgung,15)=1,AND(INDEX(DarlTilgStart,15)&gt;0,$E6795&lt;INDEX(DarlTilgStart,15))),0,MIN(MAX(0,$K6795-$L6795),$J6795)))</f>
      </c>
      <c r="N6795" s="43">
        <f>IF($I6795=0,0,MIN(SUMIFS(SondBetrag,SondDarl,15,SondDatum,"&gt;="&amp;$E6795,SondDatum,"&lt;="&amp;EOMONTH($E6795,0)),$J6795-$M6795))</f>
      </c>
      <c r="O6795" s="43">
        <f>IF($I6795=0,0,INDEX(DarlErsatzRate,15))</f>
      </c>
      <c r="P6795" s="43">
        <f>IF($I6795=0,0,$Q6794*INDEX(DarlErsatzZins,15))</f>
      </c>
      <c r="Q6795" s="43">
        <f>IF($I6795=0,0,$Q6794+$P6795+$O6795)</f>
      </c>
      <c r="R6795" s="43">
        <f>IF($I6795=0,0,$J6795-$M6795-$N6795)</f>
      </c>
    </row>
    <row r="6796">
      <c r="A6796"/>
      <c r="B6796">
        <v>15</v>
      </c>
      <c r="C6796" s="43">
        <f>INDEX(DarlObj,15)</f>
      </c>
      <c r="D6796">
        <v>73</v>
      </c>
      <c r="E6796" s="51">
        <f>IF(INDEX(DarlBelegt,15)=0,0,EOMONTH(INDEX(DarlAuszahlung,15),72)+1)</f>
      </c>
      <c r="F6796" s="43">
        <f>IF($E6796=0,0,YEAR($E6796))</f>
      </c>
      <c r="G6796" s="43">
        <f>IF(INDEX(DarlBindung,15)="",1,IF($E6796&lt;=INDEX(DarlBindung,15),1,0))</f>
      </c>
      <c r="H6796" s="43">
        <f>IF($G6796=1,INDEX(DarlSollzins,15),INDEX(DarlAnschluss,15))</f>
      </c>
      <c r="I6796" s="43">
        <f>IF(INDEX(DarlBelegt,15)=0,0,IF(INDEX(DarlOhneTilgung,15)=1,IF(INDEX(DarlBindung,15)="",1,$G6796),IF($J6796&gt;0.005,1,0)))</f>
      </c>
      <c r="J6796" s="43">
        <f>IF($I6795=0,0,$R6795)</f>
      </c>
      <c r="K6796" s="43">
        <f>IF($I6796=0,0,IF(INDEX(DarlOhneTilgung,15)=1,0,IF(AND(INDEX(DarlTilgStart,15)&gt;0,$E6796=INDEX(DarlTilgStart,15)),$J6796*($H6796+INDEX(DarlTilgung,15))/100/12,IF(AND($G6796=0,$G6795=1),MAX($K6795,$J6796*($H6796+1)/100/12),$K6795))))</f>
      </c>
      <c r="L6796" s="43">
        <f>IF($I6796=0,0,$J6796*$H6796/100/12)</f>
      </c>
      <c r="M6796" s="43">
        <f>IF($I6796=0,0,IF(OR(INDEX(DarlOhneTilgung,15)=1,AND(INDEX(DarlTilgStart,15)&gt;0,$E6796&lt;INDEX(DarlTilgStart,15))),0,MIN(MAX(0,$K6796-$L6796),$J6796)))</f>
      </c>
      <c r="N6796" s="43">
        <f>IF($I6796=0,0,MIN(SUMIFS(SondBetrag,SondDarl,15,SondDatum,"&gt;="&amp;$E6796,SondDatum,"&lt;="&amp;EOMONTH($E6796,0)),$J6796-$M6796))</f>
      </c>
      <c r="O6796" s="43">
        <f>IF($I6796=0,0,INDEX(DarlErsatzRate,15))</f>
      </c>
      <c r="P6796" s="43">
        <f>IF($I6796=0,0,$Q6795*INDEX(DarlErsatzZins,15))</f>
      </c>
      <c r="Q6796" s="43">
        <f>IF($I6796=0,0,$Q6795+$P6796+$O6796)</f>
      </c>
      <c r="R6796" s="43">
        <f>IF($I6796=0,0,$J6796-$M6796-$N6796)</f>
      </c>
    </row>
    <row r="6797">
      <c r="A6797"/>
      <c r="B6797">
        <v>15</v>
      </c>
      <c r="C6797" s="43">
        <f>INDEX(DarlObj,15)</f>
      </c>
      <c r="D6797">
        <v>74</v>
      </c>
      <c r="E6797" s="51">
        <f>IF(INDEX(DarlBelegt,15)=0,0,EOMONTH(INDEX(DarlAuszahlung,15),73)+1)</f>
      </c>
      <c r="F6797" s="43">
        <f>IF($E6797=0,0,YEAR($E6797))</f>
      </c>
      <c r="G6797" s="43">
        <f>IF(INDEX(DarlBindung,15)="",1,IF($E6797&lt;=INDEX(DarlBindung,15),1,0))</f>
      </c>
      <c r="H6797" s="43">
        <f>IF($G6797=1,INDEX(DarlSollzins,15),INDEX(DarlAnschluss,15))</f>
      </c>
      <c r="I6797" s="43">
        <f>IF(INDEX(DarlBelegt,15)=0,0,IF(INDEX(DarlOhneTilgung,15)=1,IF(INDEX(DarlBindung,15)="",1,$G6797),IF($J6797&gt;0.005,1,0)))</f>
      </c>
      <c r="J6797" s="43">
        <f>IF($I6796=0,0,$R6796)</f>
      </c>
      <c r="K6797" s="43">
        <f>IF($I6797=0,0,IF(INDEX(DarlOhneTilgung,15)=1,0,IF(AND(INDEX(DarlTilgStart,15)&gt;0,$E6797=INDEX(DarlTilgStart,15)),$J6797*($H6797+INDEX(DarlTilgung,15))/100/12,IF(AND($G6797=0,$G6796=1),MAX($K6796,$J6797*($H6797+1)/100/12),$K6796))))</f>
      </c>
      <c r="L6797" s="43">
        <f>IF($I6797=0,0,$J6797*$H6797/100/12)</f>
      </c>
      <c r="M6797" s="43">
        <f>IF($I6797=0,0,IF(OR(INDEX(DarlOhneTilgung,15)=1,AND(INDEX(DarlTilgStart,15)&gt;0,$E6797&lt;INDEX(DarlTilgStart,15))),0,MIN(MAX(0,$K6797-$L6797),$J6797)))</f>
      </c>
      <c r="N6797" s="43">
        <f>IF($I6797=0,0,MIN(SUMIFS(SondBetrag,SondDarl,15,SondDatum,"&gt;="&amp;$E6797,SondDatum,"&lt;="&amp;EOMONTH($E6797,0)),$J6797-$M6797))</f>
      </c>
      <c r="O6797" s="43">
        <f>IF($I6797=0,0,INDEX(DarlErsatzRate,15))</f>
      </c>
      <c r="P6797" s="43">
        <f>IF($I6797=0,0,$Q6796*INDEX(DarlErsatzZins,15))</f>
      </c>
      <c r="Q6797" s="43">
        <f>IF($I6797=0,0,$Q6796+$P6797+$O6797)</f>
      </c>
      <c r="R6797" s="43">
        <f>IF($I6797=0,0,$J6797-$M6797-$N6797)</f>
      </c>
    </row>
    <row r="6798">
      <c r="A6798"/>
      <c r="B6798">
        <v>15</v>
      </c>
      <c r="C6798" s="43">
        <f>INDEX(DarlObj,15)</f>
      </c>
      <c r="D6798">
        <v>75</v>
      </c>
      <c r="E6798" s="51">
        <f>IF(INDEX(DarlBelegt,15)=0,0,EOMONTH(INDEX(DarlAuszahlung,15),74)+1)</f>
      </c>
      <c r="F6798" s="43">
        <f>IF($E6798=0,0,YEAR($E6798))</f>
      </c>
      <c r="G6798" s="43">
        <f>IF(INDEX(DarlBindung,15)="",1,IF($E6798&lt;=INDEX(DarlBindung,15),1,0))</f>
      </c>
      <c r="H6798" s="43">
        <f>IF($G6798=1,INDEX(DarlSollzins,15),INDEX(DarlAnschluss,15))</f>
      </c>
      <c r="I6798" s="43">
        <f>IF(INDEX(DarlBelegt,15)=0,0,IF(INDEX(DarlOhneTilgung,15)=1,IF(INDEX(DarlBindung,15)="",1,$G6798),IF($J6798&gt;0.005,1,0)))</f>
      </c>
      <c r="J6798" s="43">
        <f>IF($I6797=0,0,$R6797)</f>
      </c>
      <c r="K6798" s="43">
        <f>IF($I6798=0,0,IF(INDEX(DarlOhneTilgung,15)=1,0,IF(AND(INDEX(DarlTilgStart,15)&gt;0,$E6798=INDEX(DarlTilgStart,15)),$J6798*($H6798+INDEX(DarlTilgung,15))/100/12,IF(AND($G6798=0,$G6797=1),MAX($K6797,$J6798*($H6798+1)/100/12),$K6797))))</f>
      </c>
      <c r="L6798" s="43">
        <f>IF($I6798=0,0,$J6798*$H6798/100/12)</f>
      </c>
      <c r="M6798" s="43">
        <f>IF($I6798=0,0,IF(OR(INDEX(DarlOhneTilgung,15)=1,AND(INDEX(DarlTilgStart,15)&gt;0,$E6798&lt;INDEX(DarlTilgStart,15))),0,MIN(MAX(0,$K6798-$L6798),$J6798)))</f>
      </c>
      <c r="N6798" s="43">
        <f>IF($I6798=0,0,MIN(SUMIFS(SondBetrag,SondDarl,15,SondDatum,"&gt;="&amp;$E6798,SondDatum,"&lt;="&amp;EOMONTH($E6798,0)),$J6798-$M6798))</f>
      </c>
      <c r="O6798" s="43">
        <f>IF($I6798=0,0,INDEX(DarlErsatzRate,15))</f>
      </c>
      <c r="P6798" s="43">
        <f>IF($I6798=0,0,$Q6797*INDEX(DarlErsatzZins,15))</f>
      </c>
      <c r="Q6798" s="43">
        <f>IF($I6798=0,0,$Q6797+$P6798+$O6798)</f>
      </c>
      <c r="R6798" s="43">
        <f>IF($I6798=0,0,$J6798-$M6798-$N6798)</f>
      </c>
    </row>
    <row r="6799">
      <c r="A6799"/>
      <c r="B6799">
        <v>15</v>
      </c>
      <c r="C6799" s="43">
        <f>INDEX(DarlObj,15)</f>
      </c>
      <c r="D6799">
        <v>76</v>
      </c>
      <c r="E6799" s="51">
        <f>IF(INDEX(DarlBelegt,15)=0,0,EOMONTH(INDEX(DarlAuszahlung,15),75)+1)</f>
      </c>
      <c r="F6799" s="43">
        <f>IF($E6799=0,0,YEAR($E6799))</f>
      </c>
      <c r="G6799" s="43">
        <f>IF(INDEX(DarlBindung,15)="",1,IF($E6799&lt;=INDEX(DarlBindung,15),1,0))</f>
      </c>
      <c r="H6799" s="43">
        <f>IF($G6799=1,INDEX(DarlSollzins,15),INDEX(DarlAnschluss,15))</f>
      </c>
      <c r="I6799" s="43">
        <f>IF(INDEX(DarlBelegt,15)=0,0,IF(INDEX(DarlOhneTilgung,15)=1,IF(INDEX(DarlBindung,15)="",1,$G6799),IF($J6799&gt;0.005,1,0)))</f>
      </c>
      <c r="J6799" s="43">
        <f>IF($I6798=0,0,$R6798)</f>
      </c>
      <c r="K6799" s="43">
        <f>IF($I6799=0,0,IF(INDEX(DarlOhneTilgung,15)=1,0,IF(AND(INDEX(DarlTilgStart,15)&gt;0,$E6799=INDEX(DarlTilgStart,15)),$J6799*($H6799+INDEX(DarlTilgung,15))/100/12,IF(AND($G6799=0,$G6798=1),MAX($K6798,$J6799*($H6799+1)/100/12),$K6798))))</f>
      </c>
      <c r="L6799" s="43">
        <f>IF($I6799=0,0,$J6799*$H6799/100/12)</f>
      </c>
      <c r="M6799" s="43">
        <f>IF($I6799=0,0,IF(OR(INDEX(DarlOhneTilgung,15)=1,AND(INDEX(DarlTilgStart,15)&gt;0,$E6799&lt;INDEX(DarlTilgStart,15))),0,MIN(MAX(0,$K6799-$L6799),$J6799)))</f>
      </c>
      <c r="N6799" s="43">
        <f>IF($I6799=0,0,MIN(SUMIFS(SondBetrag,SondDarl,15,SondDatum,"&gt;="&amp;$E6799,SondDatum,"&lt;="&amp;EOMONTH($E6799,0)),$J6799-$M6799))</f>
      </c>
      <c r="O6799" s="43">
        <f>IF($I6799=0,0,INDEX(DarlErsatzRate,15))</f>
      </c>
      <c r="P6799" s="43">
        <f>IF($I6799=0,0,$Q6798*INDEX(DarlErsatzZins,15))</f>
      </c>
      <c r="Q6799" s="43">
        <f>IF($I6799=0,0,$Q6798+$P6799+$O6799)</f>
      </c>
      <c r="R6799" s="43">
        <f>IF($I6799=0,0,$J6799-$M6799-$N6799)</f>
      </c>
    </row>
    <row r="6800">
      <c r="A6800"/>
      <c r="B6800">
        <v>15</v>
      </c>
      <c r="C6800" s="43">
        <f>INDEX(DarlObj,15)</f>
      </c>
      <c r="D6800">
        <v>77</v>
      </c>
      <c r="E6800" s="51">
        <f>IF(INDEX(DarlBelegt,15)=0,0,EOMONTH(INDEX(DarlAuszahlung,15),76)+1)</f>
      </c>
      <c r="F6800" s="43">
        <f>IF($E6800=0,0,YEAR($E6800))</f>
      </c>
      <c r="G6800" s="43">
        <f>IF(INDEX(DarlBindung,15)="",1,IF($E6800&lt;=INDEX(DarlBindung,15),1,0))</f>
      </c>
      <c r="H6800" s="43">
        <f>IF($G6800=1,INDEX(DarlSollzins,15),INDEX(DarlAnschluss,15))</f>
      </c>
      <c r="I6800" s="43">
        <f>IF(INDEX(DarlBelegt,15)=0,0,IF(INDEX(DarlOhneTilgung,15)=1,IF(INDEX(DarlBindung,15)="",1,$G6800),IF($J6800&gt;0.005,1,0)))</f>
      </c>
      <c r="J6800" s="43">
        <f>IF($I6799=0,0,$R6799)</f>
      </c>
      <c r="K6800" s="43">
        <f>IF($I6800=0,0,IF(INDEX(DarlOhneTilgung,15)=1,0,IF(AND(INDEX(DarlTilgStart,15)&gt;0,$E6800=INDEX(DarlTilgStart,15)),$J6800*($H6800+INDEX(DarlTilgung,15))/100/12,IF(AND($G6800=0,$G6799=1),MAX($K6799,$J6800*($H6800+1)/100/12),$K6799))))</f>
      </c>
      <c r="L6800" s="43">
        <f>IF($I6800=0,0,$J6800*$H6800/100/12)</f>
      </c>
      <c r="M6800" s="43">
        <f>IF($I6800=0,0,IF(OR(INDEX(DarlOhneTilgung,15)=1,AND(INDEX(DarlTilgStart,15)&gt;0,$E6800&lt;INDEX(DarlTilgStart,15))),0,MIN(MAX(0,$K6800-$L6800),$J6800)))</f>
      </c>
      <c r="N6800" s="43">
        <f>IF($I6800=0,0,MIN(SUMIFS(SondBetrag,SondDarl,15,SondDatum,"&gt;="&amp;$E6800,SondDatum,"&lt;="&amp;EOMONTH($E6800,0)),$J6800-$M6800))</f>
      </c>
      <c r="O6800" s="43">
        <f>IF($I6800=0,0,INDEX(DarlErsatzRate,15))</f>
      </c>
      <c r="P6800" s="43">
        <f>IF($I6800=0,0,$Q6799*INDEX(DarlErsatzZins,15))</f>
      </c>
      <c r="Q6800" s="43">
        <f>IF($I6800=0,0,$Q6799+$P6800+$O6800)</f>
      </c>
      <c r="R6800" s="43">
        <f>IF($I6800=0,0,$J6800-$M6800-$N6800)</f>
      </c>
    </row>
    <row r="6801">
      <c r="A6801"/>
      <c r="B6801">
        <v>15</v>
      </c>
      <c r="C6801" s="43">
        <f>INDEX(DarlObj,15)</f>
      </c>
      <c r="D6801">
        <v>78</v>
      </c>
      <c r="E6801" s="51">
        <f>IF(INDEX(DarlBelegt,15)=0,0,EOMONTH(INDEX(DarlAuszahlung,15),77)+1)</f>
      </c>
      <c r="F6801" s="43">
        <f>IF($E6801=0,0,YEAR($E6801))</f>
      </c>
      <c r="G6801" s="43">
        <f>IF(INDEX(DarlBindung,15)="",1,IF($E6801&lt;=INDEX(DarlBindung,15),1,0))</f>
      </c>
      <c r="H6801" s="43">
        <f>IF($G6801=1,INDEX(DarlSollzins,15),INDEX(DarlAnschluss,15))</f>
      </c>
      <c r="I6801" s="43">
        <f>IF(INDEX(DarlBelegt,15)=0,0,IF(INDEX(DarlOhneTilgung,15)=1,IF(INDEX(DarlBindung,15)="",1,$G6801),IF($J6801&gt;0.005,1,0)))</f>
      </c>
      <c r="J6801" s="43">
        <f>IF($I6800=0,0,$R6800)</f>
      </c>
      <c r="K6801" s="43">
        <f>IF($I6801=0,0,IF(INDEX(DarlOhneTilgung,15)=1,0,IF(AND(INDEX(DarlTilgStart,15)&gt;0,$E6801=INDEX(DarlTilgStart,15)),$J6801*($H6801+INDEX(DarlTilgung,15))/100/12,IF(AND($G6801=0,$G6800=1),MAX($K6800,$J6801*($H6801+1)/100/12),$K6800))))</f>
      </c>
      <c r="L6801" s="43">
        <f>IF($I6801=0,0,$J6801*$H6801/100/12)</f>
      </c>
      <c r="M6801" s="43">
        <f>IF($I6801=0,0,IF(OR(INDEX(DarlOhneTilgung,15)=1,AND(INDEX(DarlTilgStart,15)&gt;0,$E6801&lt;INDEX(DarlTilgStart,15))),0,MIN(MAX(0,$K6801-$L6801),$J6801)))</f>
      </c>
      <c r="N6801" s="43">
        <f>IF($I6801=0,0,MIN(SUMIFS(SondBetrag,SondDarl,15,SondDatum,"&gt;="&amp;$E6801,SondDatum,"&lt;="&amp;EOMONTH($E6801,0)),$J6801-$M6801))</f>
      </c>
      <c r="O6801" s="43">
        <f>IF($I6801=0,0,INDEX(DarlErsatzRate,15))</f>
      </c>
      <c r="P6801" s="43">
        <f>IF($I6801=0,0,$Q6800*INDEX(DarlErsatzZins,15))</f>
      </c>
      <c r="Q6801" s="43">
        <f>IF($I6801=0,0,$Q6800+$P6801+$O6801)</f>
      </c>
      <c r="R6801" s="43">
        <f>IF($I6801=0,0,$J6801-$M6801-$N6801)</f>
      </c>
    </row>
    <row r="6802">
      <c r="A6802"/>
      <c r="B6802">
        <v>15</v>
      </c>
      <c r="C6802" s="43">
        <f>INDEX(DarlObj,15)</f>
      </c>
      <c r="D6802">
        <v>79</v>
      </c>
      <c r="E6802" s="51">
        <f>IF(INDEX(DarlBelegt,15)=0,0,EOMONTH(INDEX(DarlAuszahlung,15),78)+1)</f>
      </c>
      <c r="F6802" s="43">
        <f>IF($E6802=0,0,YEAR($E6802))</f>
      </c>
      <c r="G6802" s="43">
        <f>IF(INDEX(DarlBindung,15)="",1,IF($E6802&lt;=INDEX(DarlBindung,15),1,0))</f>
      </c>
      <c r="H6802" s="43">
        <f>IF($G6802=1,INDEX(DarlSollzins,15),INDEX(DarlAnschluss,15))</f>
      </c>
      <c r="I6802" s="43">
        <f>IF(INDEX(DarlBelegt,15)=0,0,IF(INDEX(DarlOhneTilgung,15)=1,IF(INDEX(DarlBindung,15)="",1,$G6802),IF($J6802&gt;0.005,1,0)))</f>
      </c>
      <c r="J6802" s="43">
        <f>IF($I6801=0,0,$R6801)</f>
      </c>
      <c r="K6802" s="43">
        <f>IF($I6802=0,0,IF(INDEX(DarlOhneTilgung,15)=1,0,IF(AND(INDEX(DarlTilgStart,15)&gt;0,$E6802=INDEX(DarlTilgStart,15)),$J6802*($H6802+INDEX(DarlTilgung,15))/100/12,IF(AND($G6802=0,$G6801=1),MAX($K6801,$J6802*($H6802+1)/100/12),$K6801))))</f>
      </c>
      <c r="L6802" s="43">
        <f>IF($I6802=0,0,$J6802*$H6802/100/12)</f>
      </c>
      <c r="M6802" s="43">
        <f>IF($I6802=0,0,IF(OR(INDEX(DarlOhneTilgung,15)=1,AND(INDEX(DarlTilgStart,15)&gt;0,$E6802&lt;INDEX(DarlTilgStart,15))),0,MIN(MAX(0,$K6802-$L6802),$J6802)))</f>
      </c>
      <c r="N6802" s="43">
        <f>IF($I6802=0,0,MIN(SUMIFS(SondBetrag,SondDarl,15,SondDatum,"&gt;="&amp;$E6802,SondDatum,"&lt;="&amp;EOMONTH($E6802,0)),$J6802-$M6802))</f>
      </c>
      <c r="O6802" s="43">
        <f>IF($I6802=0,0,INDEX(DarlErsatzRate,15))</f>
      </c>
      <c r="P6802" s="43">
        <f>IF($I6802=0,0,$Q6801*INDEX(DarlErsatzZins,15))</f>
      </c>
      <c r="Q6802" s="43">
        <f>IF($I6802=0,0,$Q6801+$P6802+$O6802)</f>
      </c>
      <c r="R6802" s="43">
        <f>IF($I6802=0,0,$J6802-$M6802-$N6802)</f>
      </c>
    </row>
    <row r="6803">
      <c r="A6803"/>
      <c r="B6803">
        <v>15</v>
      </c>
      <c r="C6803" s="43">
        <f>INDEX(DarlObj,15)</f>
      </c>
      <c r="D6803">
        <v>80</v>
      </c>
      <c r="E6803" s="51">
        <f>IF(INDEX(DarlBelegt,15)=0,0,EOMONTH(INDEX(DarlAuszahlung,15),79)+1)</f>
      </c>
      <c r="F6803" s="43">
        <f>IF($E6803=0,0,YEAR($E6803))</f>
      </c>
      <c r="G6803" s="43">
        <f>IF(INDEX(DarlBindung,15)="",1,IF($E6803&lt;=INDEX(DarlBindung,15),1,0))</f>
      </c>
      <c r="H6803" s="43">
        <f>IF($G6803=1,INDEX(DarlSollzins,15),INDEX(DarlAnschluss,15))</f>
      </c>
      <c r="I6803" s="43">
        <f>IF(INDEX(DarlBelegt,15)=0,0,IF(INDEX(DarlOhneTilgung,15)=1,IF(INDEX(DarlBindung,15)="",1,$G6803),IF($J6803&gt;0.005,1,0)))</f>
      </c>
      <c r="J6803" s="43">
        <f>IF($I6802=0,0,$R6802)</f>
      </c>
      <c r="K6803" s="43">
        <f>IF($I6803=0,0,IF(INDEX(DarlOhneTilgung,15)=1,0,IF(AND(INDEX(DarlTilgStart,15)&gt;0,$E6803=INDEX(DarlTilgStart,15)),$J6803*($H6803+INDEX(DarlTilgung,15))/100/12,IF(AND($G6803=0,$G6802=1),MAX($K6802,$J6803*($H6803+1)/100/12),$K6802))))</f>
      </c>
      <c r="L6803" s="43">
        <f>IF($I6803=0,0,$J6803*$H6803/100/12)</f>
      </c>
      <c r="M6803" s="43">
        <f>IF($I6803=0,0,IF(OR(INDEX(DarlOhneTilgung,15)=1,AND(INDEX(DarlTilgStart,15)&gt;0,$E6803&lt;INDEX(DarlTilgStart,15))),0,MIN(MAX(0,$K6803-$L6803),$J6803)))</f>
      </c>
      <c r="N6803" s="43">
        <f>IF($I6803=0,0,MIN(SUMIFS(SondBetrag,SondDarl,15,SondDatum,"&gt;="&amp;$E6803,SondDatum,"&lt;="&amp;EOMONTH($E6803,0)),$J6803-$M6803))</f>
      </c>
      <c r="O6803" s="43">
        <f>IF($I6803=0,0,INDEX(DarlErsatzRate,15))</f>
      </c>
      <c r="P6803" s="43">
        <f>IF($I6803=0,0,$Q6802*INDEX(DarlErsatzZins,15))</f>
      </c>
      <c r="Q6803" s="43">
        <f>IF($I6803=0,0,$Q6802+$P6803+$O6803)</f>
      </c>
      <c r="R6803" s="43">
        <f>IF($I6803=0,0,$J6803-$M6803-$N6803)</f>
      </c>
    </row>
    <row r="6804">
      <c r="A6804"/>
      <c r="B6804">
        <v>15</v>
      </c>
      <c r="C6804" s="43">
        <f>INDEX(DarlObj,15)</f>
      </c>
      <c r="D6804">
        <v>81</v>
      </c>
      <c r="E6804" s="51">
        <f>IF(INDEX(DarlBelegt,15)=0,0,EOMONTH(INDEX(DarlAuszahlung,15),80)+1)</f>
      </c>
      <c r="F6804" s="43">
        <f>IF($E6804=0,0,YEAR($E6804))</f>
      </c>
      <c r="G6804" s="43">
        <f>IF(INDEX(DarlBindung,15)="",1,IF($E6804&lt;=INDEX(DarlBindung,15),1,0))</f>
      </c>
      <c r="H6804" s="43">
        <f>IF($G6804=1,INDEX(DarlSollzins,15),INDEX(DarlAnschluss,15))</f>
      </c>
      <c r="I6804" s="43">
        <f>IF(INDEX(DarlBelegt,15)=0,0,IF(INDEX(DarlOhneTilgung,15)=1,IF(INDEX(DarlBindung,15)="",1,$G6804),IF($J6804&gt;0.005,1,0)))</f>
      </c>
      <c r="J6804" s="43">
        <f>IF($I6803=0,0,$R6803)</f>
      </c>
      <c r="K6804" s="43">
        <f>IF($I6804=0,0,IF(INDEX(DarlOhneTilgung,15)=1,0,IF(AND(INDEX(DarlTilgStart,15)&gt;0,$E6804=INDEX(DarlTilgStart,15)),$J6804*($H6804+INDEX(DarlTilgung,15))/100/12,IF(AND($G6804=0,$G6803=1),MAX($K6803,$J6804*($H6804+1)/100/12),$K6803))))</f>
      </c>
      <c r="L6804" s="43">
        <f>IF($I6804=0,0,$J6804*$H6804/100/12)</f>
      </c>
      <c r="M6804" s="43">
        <f>IF($I6804=0,0,IF(OR(INDEX(DarlOhneTilgung,15)=1,AND(INDEX(DarlTilgStart,15)&gt;0,$E6804&lt;INDEX(DarlTilgStart,15))),0,MIN(MAX(0,$K6804-$L6804),$J6804)))</f>
      </c>
      <c r="N6804" s="43">
        <f>IF($I6804=0,0,MIN(SUMIFS(SondBetrag,SondDarl,15,SondDatum,"&gt;="&amp;$E6804,SondDatum,"&lt;="&amp;EOMONTH($E6804,0)),$J6804-$M6804))</f>
      </c>
      <c r="O6804" s="43">
        <f>IF($I6804=0,0,INDEX(DarlErsatzRate,15))</f>
      </c>
      <c r="P6804" s="43">
        <f>IF($I6804=0,0,$Q6803*INDEX(DarlErsatzZins,15))</f>
      </c>
      <c r="Q6804" s="43">
        <f>IF($I6804=0,0,$Q6803+$P6804+$O6804)</f>
      </c>
      <c r="R6804" s="43">
        <f>IF($I6804=0,0,$J6804-$M6804-$N6804)</f>
      </c>
    </row>
    <row r="6805">
      <c r="A6805"/>
      <c r="B6805">
        <v>15</v>
      </c>
      <c r="C6805" s="43">
        <f>INDEX(DarlObj,15)</f>
      </c>
      <c r="D6805">
        <v>82</v>
      </c>
      <c r="E6805" s="51">
        <f>IF(INDEX(DarlBelegt,15)=0,0,EOMONTH(INDEX(DarlAuszahlung,15),81)+1)</f>
      </c>
      <c r="F6805" s="43">
        <f>IF($E6805=0,0,YEAR($E6805))</f>
      </c>
      <c r="G6805" s="43">
        <f>IF(INDEX(DarlBindung,15)="",1,IF($E6805&lt;=INDEX(DarlBindung,15),1,0))</f>
      </c>
      <c r="H6805" s="43">
        <f>IF($G6805=1,INDEX(DarlSollzins,15),INDEX(DarlAnschluss,15))</f>
      </c>
      <c r="I6805" s="43">
        <f>IF(INDEX(DarlBelegt,15)=0,0,IF(INDEX(DarlOhneTilgung,15)=1,IF(INDEX(DarlBindung,15)="",1,$G6805),IF($J6805&gt;0.005,1,0)))</f>
      </c>
      <c r="J6805" s="43">
        <f>IF($I6804=0,0,$R6804)</f>
      </c>
      <c r="K6805" s="43">
        <f>IF($I6805=0,0,IF(INDEX(DarlOhneTilgung,15)=1,0,IF(AND(INDEX(DarlTilgStart,15)&gt;0,$E6805=INDEX(DarlTilgStart,15)),$J6805*($H6805+INDEX(DarlTilgung,15))/100/12,IF(AND($G6805=0,$G6804=1),MAX($K6804,$J6805*($H6805+1)/100/12),$K6804))))</f>
      </c>
      <c r="L6805" s="43">
        <f>IF($I6805=0,0,$J6805*$H6805/100/12)</f>
      </c>
      <c r="M6805" s="43">
        <f>IF($I6805=0,0,IF(OR(INDEX(DarlOhneTilgung,15)=1,AND(INDEX(DarlTilgStart,15)&gt;0,$E6805&lt;INDEX(DarlTilgStart,15))),0,MIN(MAX(0,$K6805-$L6805),$J6805)))</f>
      </c>
      <c r="N6805" s="43">
        <f>IF($I6805=0,0,MIN(SUMIFS(SondBetrag,SondDarl,15,SondDatum,"&gt;="&amp;$E6805,SondDatum,"&lt;="&amp;EOMONTH($E6805,0)),$J6805-$M6805))</f>
      </c>
      <c r="O6805" s="43">
        <f>IF($I6805=0,0,INDEX(DarlErsatzRate,15))</f>
      </c>
      <c r="P6805" s="43">
        <f>IF($I6805=0,0,$Q6804*INDEX(DarlErsatzZins,15))</f>
      </c>
      <c r="Q6805" s="43">
        <f>IF($I6805=0,0,$Q6804+$P6805+$O6805)</f>
      </c>
      <c r="R6805" s="43">
        <f>IF($I6805=0,0,$J6805-$M6805-$N6805)</f>
      </c>
    </row>
    <row r="6806">
      <c r="A6806"/>
      <c r="B6806">
        <v>15</v>
      </c>
      <c r="C6806" s="43">
        <f>INDEX(DarlObj,15)</f>
      </c>
      <c r="D6806">
        <v>83</v>
      </c>
      <c r="E6806" s="51">
        <f>IF(INDEX(DarlBelegt,15)=0,0,EOMONTH(INDEX(DarlAuszahlung,15),82)+1)</f>
      </c>
      <c r="F6806" s="43">
        <f>IF($E6806=0,0,YEAR($E6806))</f>
      </c>
      <c r="G6806" s="43">
        <f>IF(INDEX(DarlBindung,15)="",1,IF($E6806&lt;=INDEX(DarlBindung,15),1,0))</f>
      </c>
      <c r="H6806" s="43">
        <f>IF($G6806=1,INDEX(DarlSollzins,15),INDEX(DarlAnschluss,15))</f>
      </c>
      <c r="I6806" s="43">
        <f>IF(INDEX(DarlBelegt,15)=0,0,IF(INDEX(DarlOhneTilgung,15)=1,IF(INDEX(DarlBindung,15)="",1,$G6806),IF($J6806&gt;0.005,1,0)))</f>
      </c>
      <c r="J6806" s="43">
        <f>IF($I6805=0,0,$R6805)</f>
      </c>
      <c r="K6806" s="43">
        <f>IF($I6806=0,0,IF(INDEX(DarlOhneTilgung,15)=1,0,IF(AND(INDEX(DarlTilgStart,15)&gt;0,$E6806=INDEX(DarlTilgStart,15)),$J6806*($H6806+INDEX(DarlTilgung,15))/100/12,IF(AND($G6806=0,$G6805=1),MAX($K6805,$J6806*($H6806+1)/100/12),$K6805))))</f>
      </c>
      <c r="L6806" s="43">
        <f>IF($I6806=0,0,$J6806*$H6806/100/12)</f>
      </c>
      <c r="M6806" s="43">
        <f>IF($I6806=0,0,IF(OR(INDEX(DarlOhneTilgung,15)=1,AND(INDEX(DarlTilgStart,15)&gt;0,$E6806&lt;INDEX(DarlTilgStart,15))),0,MIN(MAX(0,$K6806-$L6806),$J6806)))</f>
      </c>
      <c r="N6806" s="43">
        <f>IF($I6806=0,0,MIN(SUMIFS(SondBetrag,SondDarl,15,SondDatum,"&gt;="&amp;$E6806,SondDatum,"&lt;="&amp;EOMONTH($E6806,0)),$J6806-$M6806))</f>
      </c>
      <c r="O6806" s="43">
        <f>IF($I6806=0,0,INDEX(DarlErsatzRate,15))</f>
      </c>
      <c r="P6806" s="43">
        <f>IF($I6806=0,0,$Q6805*INDEX(DarlErsatzZins,15))</f>
      </c>
      <c r="Q6806" s="43">
        <f>IF($I6806=0,0,$Q6805+$P6806+$O6806)</f>
      </c>
      <c r="R6806" s="43">
        <f>IF($I6806=0,0,$J6806-$M6806-$N6806)</f>
      </c>
    </row>
    <row r="6807">
      <c r="A6807"/>
      <c r="B6807">
        <v>15</v>
      </c>
      <c r="C6807" s="43">
        <f>INDEX(DarlObj,15)</f>
      </c>
      <c r="D6807">
        <v>84</v>
      </c>
      <c r="E6807" s="51">
        <f>IF(INDEX(DarlBelegt,15)=0,0,EOMONTH(INDEX(DarlAuszahlung,15),83)+1)</f>
      </c>
      <c r="F6807" s="43">
        <f>IF($E6807=0,0,YEAR($E6807))</f>
      </c>
      <c r="G6807" s="43">
        <f>IF(INDEX(DarlBindung,15)="",1,IF($E6807&lt;=INDEX(DarlBindung,15),1,0))</f>
      </c>
      <c r="H6807" s="43">
        <f>IF($G6807=1,INDEX(DarlSollzins,15),INDEX(DarlAnschluss,15))</f>
      </c>
      <c r="I6807" s="43">
        <f>IF(INDEX(DarlBelegt,15)=0,0,IF(INDEX(DarlOhneTilgung,15)=1,IF(INDEX(DarlBindung,15)="",1,$G6807),IF($J6807&gt;0.005,1,0)))</f>
      </c>
      <c r="J6807" s="43">
        <f>IF($I6806=0,0,$R6806)</f>
      </c>
      <c r="K6807" s="43">
        <f>IF($I6807=0,0,IF(INDEX(DarlOhneTilgung,15)=1,0,IF(AND(INDEX(DarlTilgStart,15)&gt;0,$E6807=INDEX(DarlTilgStart,15)),$J6807*($H6807+INDEX(DarlTilgung,15))/100/12,IF(AND($G6807=0,$G6806=1),MAX($K6806,$J6807*($H6807+1)/100/12),$K6806))))</f>
      </c>
      <c r="L6807" s="43">
        <f>IF($I6807=0,0,$J6807*$H6807/100/12)</f>
      </c>
      <c r="M6807" s="43">
        <f>IF($I6807=0,0,IF(OR(INDEX(DarlOhneTilgung,15)=1,AND(INDEX(DarlTilgStart,15)&gt;0,$E6807&lt;INDEX(DarlTilgStart,15))),0,MIN(MAX(0,$K6807-$L6807),$J6807)))</f>
      </c>
      <c r="N6807" s="43">
        <f>IF($I6807=0,0,MIN(SUMIFS(SondBetrag,SondDarl,15,SondDatum,"&gt;="&amp;$E6807,SondDatum,"&lt;="&amp;EOMONTH($E6807,0)),$J6807-$M6807))</f>
      </c>
      <c r="O6807" s="43">
        <f>IF($I6807=0,0,INDEX(DarlErsatzRate,15))</f>
      </c>
      <c r="P6807" s="43">
        <f>IF($I6807=0,0,$Q6806*INDEX(DarlErsatzZins,15))</f>
      </c>
      <c r="Q6807" s="43">
        <f>IF($I6807=0,0,$Q6806+$P6807+$O6807)</f>
      </c>
      <c r="R6807" s="43">
        <f>IF($I6807=0,0,$J6807-$M6807-$N6807)</f>
      </c>
    </row>
    <row r="6808">
      <c r="A6808"/>
      <c r="B6808">
        <v>15</v>
      </c>
      <c r="C6808" s="43">
        <f>INDEX(DarlObj,15)</f>
      </c>
      <c r="D6808">
        <v>85</v>
      </c>
      <c r="E6808" s="51">
        <f>IF(INDEX(DarlBelegt,15)=0,0,EOMONTH(INDEX(DarlAuszahlung,15),84)+1)</f>
      </c>
      <c r="F6808" s="43">
        <f>IF($E6808=0,0,YEAR($E6808))</f>
      </c>
      <c r="G6808" s="43">
        <f>IF(INDEX(DarlBindung,15)="",1,IF($E6808&lt;=INDEX(DarlBindung,15),1,0))</f>
      </c>
      <c r="H6808" s="43">
        <f>IF($G6808=1,INDEX(DarlSollzins,15),INDEX(DarlAnschluss,15))</f>
      </c>
      <c r="I6808" s="43">
        <f>IF(INDEX(DarlBelegt,15)=0,0,IF(INDEX(DarlOhneTilgung,15)=1,IF(INDEX(DarlBindung,15)="",1,$G6808),IF($J6808&gt;0.005,1,0)))</f>
      </c>
      <c r="J6808" s="43">
        <f>IF($I6807=0,0,$R6807)</f>
      </c>
      <c r="K6808" s="43">
        <f>IF($I6808=0,0,IF(INDEX(DarlOhneTilgung,15)=1,0,IF(AND(INDEX(DarlTilgStart,15)&gt;0,$E6808=INDEX(DarlTilgStart,15)),$J6808*($H6808+INDEX(DarlTilgung,15))/100/12,IF(AND($G6808=0,$G6807=1),MAX($K6807,$J6808*($H6808+1)/100/12),$K6807))))</f>
      </c>
      <c r="L6808" s="43">
        <f>IF($I6808=0,0,$J6808*$H6808/100/12)</f>
      </c>
      <c r="M6808" s="43">
        <f>IF($I6808=0,0,IF(OR(INDEX(DarlOhneTilgung,15)=1,AND(INDEX(DarlTilgStart,15)&gt;0,$E6808&lt;INDEX(DarlTilgStart,15))),0,MIN(MAX(0,$K6808-$L6808),$J6808)))</f>
      </c>
      <c r="N6808" s="43">
        <f>IF($I6808=0,0,MIN(SUMIFS(SondBetrag,SondDarl,15,SondDatum,"&gt;="&amp;$E6808,SondDatum,"&lt;="&amp;EOMONTH($E6808,0)),$J6808-$M6808))</f>
      </c>
      <c r="O6808" s="43">
        <f>IF($I6808=0,0,INDEX(DarlErsatzRate,15))</f>
      </c>
      <c r="P6808" s="43">
        <f>IF($I6808=0,0,$Q6807*INDEX(DarlErsatzZins,15))</f>
      </c>
      <c r="Q6808" s="43">
        <f>IF($I6808=0,0,$Q6807+$P6808+$O6808)</f>
      </c>
      <c r="R6808" s="43">
        <f>IF($I6808=0,0,$J6808-$M6808-$N6808)</f>
      </c>
    </row>
    <row r="6809">
      <c r="A6809"/>
      <c r="B6809">
        <v>15</v>
      </c>
      <c r="C6809" s="43">
        <f>INDEX(DarlObj,15)</f>
      </c>
      <c r="D6809">
        <v>86</v>
      </c>
      <c r="E6809" s="51">
        <f>IF(INDEX(DarlBelegt,15)=0,0,EOMONTH(INDEX(DarlAuszahlung,15),85)+1)</f>
      </c>
      <c r="F6809" s="43">
        <f>IF($E6809=0,0,YEAR($E6809))</f>
      </c>
      <c r="G6809" s="43">
        <f>IF(INDEX(DarlBindung,15)="",1,IF($E6809&lt;=INDEX(DarlBindung,15),1,0))</f>
      </c>
      <c r="H6809" s="43">
        <f>IF($G6809=1,INDEX(DarlSollzins,15),INDEX(DarlAnschluss,15))</f>
      </c>
      <c r="I6809" s="43">
        <f>IF(INDEX(DarlBelegt,15)=0,0,IF(INDEX(DarlOhneTilgung,15)=1,IF(INDEX(DarlBindung,15)="",1,$G6809),IF($J6809&gt;0.005,1,0)))</f>
      </c>
      <c r="J6809" s="43">
        <f>IF($I6808=0,0,$R6808)</f>
      </c>
      <c r="K6809" s="43">
        <f>IF($I6809=0,0,IF(INDEX(DarlOhneTilgung,15)=1,0,IF(AND(INDEX(DarlTilgStart,15)&gt;0,$E6809=INDEX(DarlTilgStart,15)),$J6809*($H6809+INDEX(DarlTilgung,15))/100/12,IF(AND($G6809=0,$G6808=1),MAX($K6808,$J6809*($H6809+1)/100/12),$K6808))))</f>
      </c>
      <c r="L6809" s="43">
        <f>IF($I6809=0,0,$J6809*$H6809/100/12)</f>
      </c>
      <c r="M6809" s="43">
        <f>IF($I6809=0,0,IF(OR(INDEX(DarlOhneTilgung,15)=1,AND(INDEX(DarlTilgStart,15)&gt;0,$E6809&lt;INDEX(DarlTilgStart,15))),0,MIN(MAX(0,$K6809-$L6809),$J6809)))</f>
      </c>
      <c r="N6809" s="43">
        <f>IF($I6809=0,0,MIN(SUMIFS(SondBetrag,SondDarl,15,SondDatum,"&gt;="&amp;$E6809,SondDatum,"&lt;="&amp;EOMONTH($E6809,0)),$J6809-$M6809))</f>
      </c>
      <c r="O6809" s="43">
        <f>IF($I6809=0,0,INDEX(DarlErsatzRate,15))</f>
      </c>
      <c r="P6809" s="43">
        <f>IF($I6809=0,0,$Q6808*INDEX(DarlErsatzZins,15))</f>
      </c>
      <c r="Q6809" s="43">
        <f>IF($I6809=0,0,$Q6808+$P6809+$O6809)</f>
      </c>
      <c r="R6809" s="43">
        <f>IF($I6809=0,0,$J6809-$M6809-$N6809)</f>
      </c>
    </row>
    <row r="6810">
      <c r="A6810"/>
      <c r="B6810">
        <v>15</v>
      </c>
      <c r="C6810" s="43">
        <f>INDEX(DarlObj,15)</f>
      </c>
      <c r="D6810">
        <v>87</v>
      </c>
      <c r="E6810" s="51">
        <f>IF(INDEX(DarlBelegt,15)=0,0,EOMONTH(INDEX(DarlAuszahlung,15),86)+1)</f>
      </c>
      <c r="F6810" s="43">
        <f>IF($E6810=0,0,YEAR($E6810))</f>
      </c>
      <c r="G6810" s="43">
        <f>IF(INDEX(DarlBindung,15)="",1,IF($E6810&lt;=INDEX(DarlBindung,15),1,0))</f>
      </c>
      <c r="H6810" s="43">
        <f>IF($G6810=1,INDEX(DarlSollzins,15),INDEX(DarlAnschluss,15))</f>
      </c>
      <c r="I6810" s="43">
        <f>IF(INDEX(DarlBelegt,15)=0,0,IF(INDEX(DarlOhneTilgung,15)=1,IF(INDEX(DarlBindung,15)="",1,$G6810),IF($J6810&gt;0.005,1,0)))</f>
      </c>
      <c r="J6810" s="43">
        <f>IF($I6809=0,0,$R6809)</f>
      </c>
      <c r="K6810" s="43">
        <f>IF($I6810=0,0,IF(INDEX(DarlOhneTilgung,15)=1,0,IF(AND(INDEX(DarlTilgStart,15)&gt;0,$E6810=INDEX(DarlTilgStart,15)),$J6810*($H6810+INDEX(DarlTilgung,15))/100/12,IF(AND($G6810=0,$G6809=1),MAX($K6809,$J6810*($H6810+1)/100/12),$K6809))))</f>
      </c>
      <c r="L6810" s="43">
        <f>IF($I6810=0,0,$J6810*$H6810/100/12)</f>
      </c>
      <c r="M6810" s="43">
        <f>IF($I6810=0,0,IF(OR(INDEX(DarlOhneTilgung,15)=1,AND(INDEX(DarlTilgStart,15)&gt;0,$E6810&lt;INDEX(DarlTilgStart,15))),0,MIN(MAX(0,$K6810-$L6810),$J6810)))</f>
      </c>
      <c r="N6810" s="43">
        <f>IF($I6810=0,0,MIN(SUMIFS(SondBetrag,SondDarl,15,SondDatum,"&gt;="&amp;$E6810,SondDatum,"&lt;="&amp;EOMONTH($E6810,0)),$J6810-$M6810))</f>
      </c>
      <c r="O6810" s="43">
        <f>IF($I6810=0,0,INDEX(DarlErsatzRate,15))</f>
      </c>
      <c r="P6810" s="43">
        <f>IF($I6810=0,0,$Q6809*INDEX(DarlErsatzZins,15))</f>
      </c>
      <c r="Q6810" s="43">
        <f>IF($I6810=0,0,$Q6809+$P6810+$O6810)</f>
      </c>
      <c r="R6810" s="43">
        <f>IF($I6810=0,0,$J6810-$M6810-$N6810)</f>
      </c>
    </row>
    <row r="6811">
      <c r="A6811"/>
      <c r="B6811">
        <v>15</v>
      </c>
      <c r="C6811" s="43">
        <f>INDEX(DarlObj,15)</f>
      </c>
      <c r="D6811">
        <v>88</v>
      </c>
      <c r="E6811" s="51">
        <f>IF(INDEX(DarlBelegt,15)=0,0,EOMONTH(INDEX(DarlAuszahlung,15),87)+1)</f>
      </c>
      <c r="F6811" s="43">
        <f>IF($E6811=0,0,YEAR($E6811))</f>
      </c>
      <c r="G6811" s="43">
        <f>IF(INDEX(DarlBindung,15)="",1,IF($E6811&lt;=INDEX(DarlBindung,15),1,0))</f>
      </c>
      <c r="H6811" s="43">
        <f>IF($G6811=1,INDEX(DarlSollzins,15),INDEX(DarlAnschluss,15))</f>
      </c>
      <c r="I6811" s="43">
        <f>IF(INDEX(DarlBelegt,15)=0,0,IF(INDEX(DarlOhneTilgung,15)=1,IF(INDEX(DarlBindung,15)="",1,$G6811),IF($J6811&gt;0.005,1,0)))</f>
      </c>
      <c r="J6811" s="43">
        <f>IF($I6810=0,0,$R6810)</f>
      </c>
      <c r="K6811" s="43">
        <f>IF($I6811=0,0,IF(INDEX(DarlOhneTilgung,15)=1,0,IF(AND(INDEX(DarlTilgStart,15)&gt;0,$E6811=INDEX(DarlTilgStart,15)),$J6811*($H6811+INDEX(DarlTilgung,15))/100/12,IF(AND($G6811=0,$G6810=1),MAX($K6810,$J6811*($H6811+1)/100/12),$K6810))))</f>
      </c>
      <c r="L6811" s="43">
        <f>IF($I6811=0,0,$J6811*$H6811/100/12)</f>
      </c>
      <c r="M6811" s="43">
        <f>IF($I6811=0,0,IF(OR(INDEX(DarlOhneTilgung,15)=1,AND(INDEX(DarlTilgStart,15)&gt;0,$E6811&lt;INDEX(DarlTilgStart,15))),0,MIN(MAX(0,$K6811-$L6811),$J6811)))</f>
      </c>
      <c r="N6811" s="43">
        <f>IF($I6811=0,0,MIN(SUMIFS(SondBetrag,SondDarl,15,SondDatum,"&gt;="&amp;$E6811,SondDatum,"&lt;="&amp;EOMONTH($E6811,0)),$J6811-$M6811))</f>
      </c>
      <c r="O6811" s="43">
        <f>IF($I6811=0,0,INDEX(DarlErsatzRate,15))</f>
      </c>
      <c r="P6811" s="43">
        <f>IF($I6811=0,0,$Q6810*INDEX(DarlErsatzZins,15))</f>
      </c>
      <c r="Q6811" s="43">
        <f>IF($I6811=0,0,$Q6810+$P6811+$O6811)</f>
      </c>
      <c r="R6811" s="43">
        <f>IF($I6811=0,0,$J6811-$M6811-$N6811)</f>
      </c>
    </row>
    <row r="6812">
      <c r="A6812"/>
      <c r="B6812">
        <v>15</v>
      </c>
      <c r="C6812" s="43">
        <f>INDEX(DarlObj,15)</f>
      </c>
      <c r="D6812">
        <v>89</v>
      </c>
      <c r="E6812" s="51">
        <f>IF(INDEX(DarlBelegt,15)=0,0,EOMONTH(INDEX(DarlAuszahlung,15),88)+1)</f>
      </c>
      <c r="F6812" s="43">
        <f>IF($E6812=0,0,YEAR($E6812))</f>
      </c>
      <c r="G6812" s="43">
        <f>IF(INDEX(DarlBindung,15)="",1,IF($E6812&lt;=INDEX(DarlBindung,15),1,0))</f>
      </c>
      <c r="H6812" s="43">
        <f>IF($G6812=1,INDEX(DarlSollzins,15),INDEX(DarlAnschluss,15))</f>
      </c>
      <c r="I6812" s="43">
        <f>IF(INDEX(DarlBelegt,15)=0,0,IF(INDEX(DarlOhneTilgung,15)=1,IF(INDEX(DarlBindung,15)="",1,$G6812),IF($J6812&gt;0.005,1,0)))</f>
      </c>
      <c r="J6812" s="43">
        <f>IF($I6811=0,0,$R6811)</f>
      </c>
      <c r="K6812" s="43">
        <f>IF($I6812=0,0,IF(INDEX(DarlOhneTilgung,15)=1,0,IF(AND(INDEX(DarlTilgStart,15)&gt;0,$E6812=INDEX(DarlTilgStart,15)),$J6812*($H6812+INDEX(DarlTilgung,15))/100/12,IF(AND($G6812=0,$G6811=1),MAX($K6811,$J6812*($H6812+1)/100/12),$K6811))))</f>
      </c>
      <c r="L6812" s="43">
        <f>IF($I6812=0,0,$J6812*$H6812/100/12)</f>
      </c>
      <c r="M6812" s="43">
        <f>IF($I6812=0,0,IF(OR(INDEX(DarlOhneTilgung,15)=1,AND(INDEX(DarlTilgStart,15)&gt;0,$E6812&lt;INDEX(DarlTilgStart,15))),0,MIN(MAX(0,$K6812-$L6812),$J6812)))</f>
      </c>
      <c r="N6812" s="43">
        <f>IF($I6812=0,0,MIN(SUMIFS(SondBetrag,SondDarl,15,SondDatum,"&gt;="&amp;$E6812,SondDatum,"&lt;="&amp;EOMONTH($E6812,0)),$J6812-$M6812))</f>
      </c>
      <c r="O6812" s="43">
        <f>IF($I6812=0,0,INDEX(DarlErsatzRate,15))</f>
      </c>
      <c r="P6812" s="43">
        <f>IF($I6812=0,0,$Q6811*INDEX(DarlErsatzZins,15))</f>
      </c>
      <c r="Q6812" s="43">
        <f>IF($I6812=0,0,$Q6811+$P6812+$O6812)</f>
      </c>
      <c r="R6812" s="43">
        <f>IF($I6812=0,0,$J6812-$M6812-$N6812)</f>
      </c>
    </row>
    <row r="6813">
      <c r="A6813"/>
      <c r="B6813">
        <v>15</v>
      </c>
      <c r="C6813" s="43">
        <f>INDEX(DarlObj,15)</f>
      </c>
      <c r="D6813">
        <v>90</v>
      </c>
      <c r="E6813" s="51">
        <f>IF(INDEX(DarlBelegt,15)=0,0,EOMONTH(INDEX(DarlAuszahlung,15),89)+1)</f>
      </c>
      <c r="F6813" s="43">
        <f>IF($E6813=0,0,YEAR($E6813))</f>
      </c>
      <c r="G6813" s="43">
        <f>IF(INDEX(DarlBindung,15)="",1,IF($E6813&lt;=INDEX(DarlBindung,15),1,0))</f>
      </c>
      <c r="H6813" s="43">
        <f>IF($G6813=1,INDEX(DarlSollzins,15),INDEX(DarlAnschluss,15))</f>
      </c>
      <c r="I6813" s="43">
        <f>IF(INDEX(DarlBelegt,15)=0,0,IF(INDEX(DarlOhneTilgung,15)=1,IF(INDEX(DarlBindung,15)="",1,$G6813),IF($J6813&gt;0.005,1,0)))</f>
      </c>
      <c r="J6813" s="43">
        <f>IF($I6812=0,0,$R6812)</f>
      </c>
      <c r="K6813" s="43">
        <f>IF($I6813=0,0,IF(INDEX(DarlOhneTilgung,15)=1,0,IF(AND(INDEX(DarlTilgStart,15)&gt;0,$E6813=INDEX(DarlTilgStart,15)),$J6813*($H6813+INDEX(DarlTilgung,15))/100/12,IF(AND($G6813=0,$G6812=1),MAX($K6812,$J6813*($H6813+1)/100/12),$K6812))))</f>
      </c>
      <c r="L6813" s="43">
        <f>IF($I6813=0,0,$J6813*$H6813/100/12)</f>
      </c>
      <c r="M6813" s="43">
        <f>IF($I6813=0,0,IF(OR(INDEX(DarlOhneTilgung,15)=1,AND(INDEX(DarlTilgStart,15)&gt;0,$E6813&lt;INDEX(DarlTilgStart,15))),0,MIN(MAX(0,$K6813-$L6813),$J6813)))</f>
      </c>
      <c r="N6813" s="43">
        <f>IF($I6813=0,0,MIN(SUMIFS(SondBetrag,SondDarl,15,SondDatum,"&gt;="&amp;$E6813,SondDatum,"&lt;="&amp;EOMONTH($E6813,0)),$J6813-$M6813))</f>
      </c>
      <c r="O6813" s="43">
        <f>IF($I6813=0,0,INDEX(DarlErsatzRate,15))</f>
      </c>
      <c r="P6813" s="43">
        <f>IF($I6813=0,0,$Q6812*INDEX(DarlErsatzZins,15))</f>
      </c>
      <c r="Q6813" s="43">
        <f>IF($I6813=0,0,$Q6812+$P6813+$O6813)</f>
      </c>
      <c r="R6813" s="43">
        <f>IF($I6813=0,0,$J6813-$M6813-$N6813)</f>
      </c>
    </row>
    <row r="6814">
      <c r="A6814"/>
      <c r="B6814">
        <v>15</v>
      </c>
      <c r="C6814" s="43">
        <f>INDEX(DarlObj,15)</f>
      </c>
      <c r="D6814">
        <v>91</v>
      </c>
      <c r="E6814" s="51">
        <f>IF(INDEX(DarlBelegt,15)=0,0,EOMONTH(INDEX(DarlAuszahlung,15),90)+1)</f>
      </c>
      <c r="F6814" s="43">
        <f>IF($E6814=0,0,YEAR($E6814))</f>
      </c>
      <c r="G6814" s="43">
        <f>IF(INDEX(DarlBindung,15)="",1,IF($E6814&lt;=INDEX(DarlBindung,15),1,0))</f>
      </c>
      <c r="H6814" s="43">
        <f>IF($G6814=1,INDEX(DarlSollzins,15),INDEX(DarlAnschluss,15))</f>
      </c>
      <c r="I6814" s="43">
        <f>IF(INDEX(DarlBelegt,15)=0,0,IF(INDEX(DarlOhneTilgung,15)=1,IF(INDEX(DarlBindung,15)="",1,$G6814),IF($J6814&gt;0.005,1,0)))</f>
      </c>
      <c r="J6814" s="43">
        <f>IF($I6813=0,0,$R6813)</f>
      </c>
      <c r="K6814" s="43">
        <f>IF($I6814=0,0,IF(INDEX(DarlOhneTilgung,15)=1,0,IF(AND(INDEX(DarlTilgStart,15)&gt;0,$E6814=INDEX(DarlTilgStart,15)),$J6814*($H6814+INDEX(DarlTilgung,15))/100/12,IF(AND($G6814=0,$G6813=1),MAX($K6813,$J6814*($H6814+1)/100/12),$K6813))))</f>
      </c>
      <c r="L6814" s="43">
        <f>IF($I6814=0,0,$J6814*$H6814/100/12)</f>
      </c>
      <c r="M6814" s="43">
        <f>IF($I6814=0,0,IF(OR(INDEX(DarlOhneTilgung,15)=1,AND(INDEX(DarlTilgStart,15)&gt;0,$E6814&lt;INDEX(DarlTilgStart,15))),0,MIN(MAX(0,$K6814-$L6814),$J6814)))</f>
      </c>
      <c r="N6814" s="43">
        <f>IF($I6814=0,0,MIN(SUMIFS(SondBetrag,SondDarl,15,SondDatum,"&gt;="&amp;$E6814,SondDatum,"&lt;="&amp;EOMONTH($E6814,0)),$J6814-$M6814))</f>
      </c>
      <c r="O6814" s="43">
        <f>IF($I6814=0,0,INDEX(DarlErsatzRate,15))</f>
      </c>
      <c r="P6814" s="43">
        <f>IF($I6814=0,0,$Q6813*INDEX(DarlErsatzZins,15))</f>
      </c>
      <c r="Q6814" s="43">
        <f>IF($I6814=0,0,$Q6813+$P6814+$O6814)</f>
      </c>
      <c r="R6814" s="43">
        <f>IF($I6814=0,0,$J6814-$M6814-$N6814)</f>
      </c>
    </row>
    <row r="6815">
      <c r="A6815"/>
      <c r="B6815">
        <v>15</v>
      </c>
      <c r="C6815" s="43">
        <f>INDEX(DarlObj,15)</f>
      </c>
      <c r="D6815">
        <v>92</v>
      </c>
      <c r="E6815" s="51">
        <f>IF(INDEX(DarlBelegt,15)=0,0,EOMONTH(INDEX(DarlAuszahlung,15),91)+1)</f>
      </c>
      <c r="F6815" s="43">
        <f>IF($E6815=0,0,YEAR($E6815))</f>
      </c>
      <c r="G6815" s="43">
        <f>IF(INDEX(DarlBindung,15)="",1,IF($E6815&lt;=INDEX(DarlBindung,15),1,0))</f>
      </c>
      <c r="H6815" s="43">
        <f>IF($G6815=1,INDEX(DarlSollzins,15),INDEX(DarlAnschluss,15))</f>
      </c>
      <c r="I6815" s="43">
        <f>IF(INDEX(DarlBelegt,15)=0,0,IF(INDEX(DarlOhneTilgung,15)=1,IF(INDEX(DarlBindung,15)="",1,$G6815),IF($J6815&gt;0.005,1,0)))</f>
      </c>
      <c r="J6815" s="43">
        <f>IF($I6814=0,0,$R6814)</f>
      </c>
      <c r="K6815" s="43">
        <f>IF($I6815=0,0,IF(INDEX(DarlOhneTilgung,15)=1,0,IF(AND(INDEX(DarlTilgStart,15)&gt;0,$E6815=INDEX(DarlTilgStart,15)),$J6815*($H6815+INDEX(DarlTilgung,15))/100/12,IF(AND($G6815=0,$G6814=1),MAX($K6814,$J6815*($H6815+1)/100/12),$K6814))))</f>
      </c>
      <c r="L6815" s="43">
        <f>IF($I6815=0,0,$J6815*$H6815/100/12)</f>
      </c>
      <c r="M6815" s="43">
        <f>IF($I6815=0,0,IF(OR(INDEX(DarlOhneTilgung,15)=1,AND(INDEX(DarlTilgStart,15)&gt;0,$E6815&lt;INDEX(DarlTilgStart,15))),0,MIN(MAX(0,$K6815-$L6815),$J6815)))</f>
      </c>
      <c r="N6815" s="43">
        <f>IF($I6815=0,0,MIN(SUMIFS(SondBetrag,SondDarl,15,SondDatum,"&gt;="&amp;$E6815,SondDatum,"&lt;="&amp;EOMONTH($E6815,0)),$J6815-$M6815))</f>
      </c>
      <c r="O6815" s="43">
        <f>IF($I6815=0,0,INDEX(DarlErsatzRate,15))</f>
      </c>
      <c r="P6815" s="43">
        <f>IF($I6815=0,0,$Q6814*INDEX(DarlErsatzZins,15))</f>
      </c>
      <c r="Q6815" s="43">
        <f>IF($I6815=0,0,$Q6814+$P6815+$O6815)</f>
      </c>
      <c r="R6815" s="43">
        <f>IF($I6815=0,0,$J6815-$M6815-$N6815)</f>
      </c>
    </row>
    <row r="6816">
      <c r="A6816"/>
      <c r="B6816">
        <v>15</v>
      </c>
      <c r="C6816" s="43">
        <f>INDEX(DarlObj,15)</f>
      </c>
      <c r="D6816">
        <v>93</v>
      </c>
      <c r="E6816" s="51">
        <f>IF(INDEX(DarlBelegt,15)=0,0,EOMONTH(INDEX(DarlAuszahlung,15),92)+1)</f>
      </c>
      <c r="F6816" s="43">
        <f>IF($E6816=0,0,YEAR($E6816))</f>
      </c>
      <c r="G6816" s="43">
        <f>IF(INDEX(DarlBindung,15)="",1,IF($E6816&lt;=INDEX(DarlBindung,15),1,0))</f>
      </c>
      <c r="H6816" s="43">
        <f>IF($G6816=1,INDEX(DarlSollzins,15),INDEX(DarlAnschluss,15))</f>
      </c>
      <c r="I6816" s="43">
        <f>IF(INDEX(DarlBelegt,15)=0,0,IF(INDEX(DarlOhneTilgung,15)=1,IF(INDEX(DarlBindung,15)="",1,$G6816),IF($J6816&gt;0.005,1,0)))</f>
      </c>
      <c r="J6816" s="43">
        <f>IF($I6815=0,0,$R6815)</f>
      </c>
      <c r="K6816" s="43">
        <f>IF($I6816=0,0,IF(INDEX(DarlOhneTilgung,15)=1,0,IF(AND(INDEX(DarlTilgStart,15)&gt;0,$E6816=INDEX(DarlTilgStart,15)),$J6816*($H6816+INDEX(DarlTilgung,15))/100/12,IF(AND($G6816=0,$G6815=1),MAX($K6815,$J6816*($H6816+1)/100/12),$K6815))))</f>
      </c>
      <c r="L6816" s="43">
        <f>IF($I6816=0,0,$J6816*$H6816/100/12)</f>
      </c>
      <c r="M6816" s="43">
        <f>IF($I6816=0,0,IF(OR(INDEX(DarlOhneTilgung,15)=1,AND(INDEX(DarlTilgStart,15)&gt;0,$E6816&lt;INDEX(DarlTilgStart,15))),0,MIN(MAX(0,$K6816-$L6816),$J6816)))</f>
      </c>
      <c r="N6816" s="43">
        <f>IF($I6816=0,0,MIN(SUMIFS(SondBetrag,SondDarl,15,SondDatum,"&gt;="&amp;$E6816,SondDatum,"&lt;="&amp;EOMONTH($E6816,0)),$J6816-$M6816))</f>
      </c>
      <c r="O6816" s="43">
        <f>IF($I6816=0,0,INDEX(DarlErsatzRate,15))</f>
      </c>
      <c r="P6816" s="43">
        <f>IF($I6816=0,0,$Q6815*INDEX(DarlErsatzZins,15))</f>
      </c>
      <c r="Q6816" s="43">
        <f>IF($I6816=0,0,$Q6815+$P6816+$O6816)</f>
      </c>
      <c r="R6816" s="43">
        <f>IF($I6816=0,0,$J6816-$M6816-$N6816)</f>
      </c>
    </row>
    <row r="6817">
      <c r="A6817"/>
      <c r="B6817">
        <v>15</v>
      </c>
      <c r="C6817" s="43">
        <f>INDEX(DarlObj,15)</f>
      </c>
      <c r="D6817">
        <v>94</v>
      </c>
      <c r="E6817" s="51">
        <f>IF(INDEX(DarlBelegt,15)=0,0,EOMONTH(INDEX(DarlAuszahlung,15),93)+1)</f>
      </c>
      <c r="F6817" s="43">
        <f>IF($E6817=0,0,YEAR($E6817))</f>
      </c>
      <c r="G6817" s="43">
        <f>IF(INDEX(DarlBindung,15)="",1,IF($E6817&lt;=INDEX(DarlBindung,15),1,0))</f>
      </c>
      <c r="H6817" s="43">
        <f>IF($G6817=1,INDEX(DarlSollzins,15),INDEX(DarlAnschluss,15))</f>
      </c>
      <c r="I6817" s="43">
        <f>IF(INDEX(DarlBelegt,15)=0,0,IF(INDEX(DarlOhneTilgung,15)=1,IF(INDEX(DarlBindung,15)="",1,$G6817),IF($J6817&gt;0.005,1,0)))</f>
      </c>
      <c r="J6817" s="43">
        <f>IF($I6816=0,0,$R6816)</f>
      </c>
      <c r="K6817" s="43">
        <f>IF($I6817=0,0,IF(INDEX(DarlOhneTilgung,15)=1,0,IF(AND(INDEX(DarlTilgStart,15)&gt;0,$E6817=INDEX(DarlTilgStart,15)),$J6817*($H6817+INDEX(DarlTilgung,15))/100/12,IF(AND($G6817=0,$G6816=1),MAX($K6816,$J6817*($H6817+1)/100/12),$K6816))))</f>
      </c>
      <c r="L6817" s="43">
        <f>IF($I6817=0,0,$J6817*$H6817/100/12)</f>
      </c>
      <c r="M6817" s="43">
        <f>IF($I6817=0,0,IF(OR(INDEX(DarlOhneTilgung,15)=1,AND(INDEX(DarlTilgStart,15)&gt;0,$E6817&lt;INDEX(DarlTilgStart,15))),0,MIN(MAX(0,$K6817-$L6817),$J6817)))</f>
      </c>
      <c r="N6817" s="43">
        <f>IF($I6817=0,0,MIN(SUMIFS(SondBetrag,SondDarl,15,SondDatum,"&gt;="&amp;$E6817,SondDatum,"&lt;="&amp;EOMONTH($E6817,0)),$J6817-$M6817))</f>
      </c>
      <c r="O6817" s="43">
        <f>IF($I6817=0,0,INDEX(DarlErsatzRate,15))</f>
      </c>
      <c r="P6817" s="43">
        <f>IF($I6817=0,0,$Q6816*INDEX(DarlErsatzZins,15))</f>
      </c>
      <c r="Q6817" s="43">
        <f>IF($I6817=0,0,$Q6816+$P6817+$O6817)</f>
      </c>
      <c r="R6817" s="43">
        <f>IF($I6817=0,0,$J6817-$M6817-$N6817)</f>
      </c>
    </row>
    <row r="6818">
      <c r="A6818"/>
      <c r="B6818">
        <v>15</v>
      </c>
      <c r="C6818" s="43">
        <f>INDEX(DarlObj,15)</f>
      </c>
      <c r="D6818">
        <v>95</v>
      </c>
      <c r="E6818" s="51">
        <f>IF(INDEX(DarlBelegt,15)=0,0,EOMONTH(INDEX(DarlAuszahlung,15),94)+1)</f>
      </c>
      <c r="F6818" s="43">
        <f>IF($E6818=0,0,YEAR($E6818))</f>
      </c>
      <c r="G6818" s="43">
        <f>IF(INDEX(DarlBindung,15)="",1,IF($E6818&lt;=INDEX(DarlBindung,15),1,0))</f>
      </c>
      <c r="H6818" s="43">
        <f>IF($G6818=1,INDEX(DarlSollzins,15),INDEX(DarlAnschluss,15))</f>
      </c>
      <c r="I6818" s="43">
        <f>IF(INDEX(DarlBelegt,15)=0,0,IF(INDEX(DarlOhneTilgung,15)=1,IF(INDEX(DarlBindung,15)="",1,$G6818),IF($J6818&gt;0.005,1,0)))</f>
      </c>
      <c r="J6818" s="43">
        <f>IF($I6817=0,0,$R6817)</f>
      </c>
      <c r="K6818" s="43">
        <f>IF($I6818=0,0,IF(INDEX(DarlOhneTilgung,15)=1,0,IF(AND(INDEX(DarlTilgStart,15)&gt;0,$E6818=INDEX(DarlTilgStart,15)),$J6818*($H6818+INDEX(DarlTilgung,15))/100/12,IF(AND($G6818=0,$G6817=1),MAX($K6817,$J6818*($H6818+1)/100/12),$K6817))))</f>
      </c>
      <c r="L6818" s="43">
        <f>IF($I6818=0,0,$J6818*$H6818/100/12)</f>
      </c>
      <c r="M6818" s="43">
        <f>IF($I6818=0,0,IF(OR(INDEX(DarlOhneTilgung,15)=1,AND(INDEX(DarlTilgStart,15)&gt;0,$E6818&lt;INDEX(DarlTilgStart,15))),0,MIN(MAX(0,$K6818-$L6818),$J6818)))</f>
      </c>
      <c r="N6818" s="43">
        <f>IF($I6818=0,0,MIN(SUMIFS(SondBetrag,SondDarl,15,SondDatum,"&gt;="&amp;$E6818,SondDatum,"&lt;="&amp;EOMONTH($E6818,0)),$J6818-$M6818))</f>
      </c>
      <c r="O6818" s="43">
        <f>IF($I6818=0,0,INDEX(DarlErsatzRate,15))</f>
      </c>
      <c r="P6818" s="43">
        <f>IF($I6818=0,0,$Q6817*INDEX(DarlErsatzZins,15))</f>
      </c>
      <c r="Q6818" s="43">
        <f>IF($I6818=0,0,$Q6817+$P6818+$O6818)</f>
      </c>
      <c r="R6818" s="43">
        <f>IF($I6818=0,0,$J6818-$M6818-$N6818)</f>
      </c>
    </row>
    <row r="6819">
      <c r="A6819"/>
      <c r="B6819">
        <v>15</v>
      </c>
      <c r="C6819" s="43">
        <f>INDEX(DarlObj,15)</f>
      </c>
      <c r="D6819">
        <v>96</v>
      </c>
      <c r="E6819" s="51">
        <f>IF(INDEX(DarlBelegt,15)=0,0,EOMONTH(INDEX(DarlAuszahlung,15),95)+1)</f>
      </c>
      <c r="F6819" s="43">
        <f>IF($E6819=0,0,YEAR($E6819))</f>
      </c>
      <c r="G6819" s="43">
        <f>IF(INDEX(DarlBindung,15)="",1,IF($E6819&lt;=INDEX(DarlBindung,15),1,0))</f>
      </c>
      <c r="H6819" s="43">
        <f>IF($G6819=1,INDEX(DarlSollzins,15),INDEX(DarlAnschluss,15))</f>
      </c>
      <c r="I6819" s="43">
        <f>IF(INDEX(DarlBelegt,15)=0,0,IF(INDEX(DarlOhneTilgung,15)=1,IF(INDEX(DarlBindung,15)="",1,$G6819),IF($J6819&gt;0.005,1,0)))</f>
      </c>
      <c r="J6819" s="43">
        <f>IF($I6818=0,0,$R6818)</f>
      </c>
      <c r="K6819" s="43">
        <f>IF($I6819=0,0,IF(INDEX(DarlOhneTilgung,15)=1,0,IF(AND(INDEX(DarlTilgStart,15)&gt;0,$E6819=INDEX(DarlTilgStart,15)),$J6819*($H6819+INDEX(DarlTilgung,15))/100/12,IF(AND($G6819=0,$G6818=1),MAX($K6818,$J6819*($H6819+1)/100/12),$K6818))))</f>
      </c>
      <c r="L6819" s="43">
        <f>IF($I6819=0,0,$J6819*$H6819/100/12)</f>
      </c>
      <c r="M6819" s="43">
        <f>IF($I6819=0,0,IF(OR(INDEX(DarlOhneTilgung,15)=1,AND(INDEX(DarlTilgStart,15)&gt;0,$E6819&lt;INDEX(DarlTilgStart,15))),0,MIN(MAX(0,$K6819-$L6819),$J6819)))</f>
      </c>
      <c r="N6819" s="43">
        <f>IF($I6819=0,0,MIN(SUMIFS(SondBetrag,SondDarl,15,SondDatum,"&gt;="&amp;$E6819,SondDatum,"&lt;="&amp;EOMONTH($E6819,0)),$J6819-$M6819))</f>
      </c>
      <c r="O6819" s="43">
        <f>IF($I6819=0,0,INDEX(DarlErsatzRate,15))</f>
      </c>
      <c r="P6819" s="43">
        <f>IF($I6819=0,0,$Q6818*INDEX(DarlErsatzZins,15))</f>
      </c>
      <c r="Q6819" s="43">
        <f>IF($I6819=0,0,$Q6818+$P6819+$O6819)</f>
      </c>
      <c r="R6819" s="43">
        <f>IF($I6819=0,0,$J6819-$M6819-$N6819)</f>
      </c>
    </row>
    <row r="6820">
      <c r="A6820"/>
      <c r="B6820">
        <v>15</v>
      </c>
      <c r="C6820" s="43">
        <f>INDEX(DarlObj,15)</f>
      </c>
      <c r="D6820">
        <v>97</v>
      </c>
      <c r="E6820" s="51">
        <f>IF(INDEX(DarlBelegt,15)=0,0,EOMONTH(INDEX(DarlAuszahlung,15),96)+1)</f>
      </c>
      <c r="F6820" s="43">
        <f>IF($E6820=0,0,YEAR($E6820))</f>
      </c>
      <c r="G6820" s="43">
        <f>IF(INDEX(DarlBindung,15)="",1,IF($E6820&lt;=INDEX(DarlBindung,15),1,0))</f>
      </c>
      <c r="H6820" s="43">
        <f>IF($G6820=1,INDEX(DarlSollzins,15),INDEX(DarlAnschluss,15))</f>
      </c>
      <c r="I6820" s="43">
        <f>IF(INDEX(DarlBelegt,15)=0,0,IF(INDEX(DarlOhneTilgung,15)=1,IF(INDEX(DarlBindung,15)="",1,$G6820),IF($J6820&gt;0.005,1,0)))</f>
      </c>
      <c r="J6820" s="43">
        <f>IF($I6819=0,0,$R6819)</f>
      </c>
      <c r="K6820" s="43">
        <f>IF($I6820=0,0,IF(INDEX(DarlOhneTilgung,15)=1,0,IF(AND(INDEX(DarlTilgStart,15)&gt;0,$E6820=INDEX(DarlTilgStart,15)),$J6820*($H6820+INDEX(DarlTilgung,15))/100/12,IF(AND($G6820=0,$G6819=1),MAX($K6819,$J6820*($H6820+1)/100/12),$K6819))))</f>
      </c>
      <c r="L6820" s="43">
        <f>IF($I6820=0,0,$J6820*$H6820/100/12)</f>
      </c>
      <c r="M6820" s="43">
        <f>IF($I6820=0,0,IF(OR(INDEX(DarlOhneTilgung,15)=1,AND(INDEX(DarlTilgStart,15)&gt;0,$E6820&lt;INDEX(DarlTilgStart,15))),0,MIN(MAX(0,$K6820-$L6820),$J6820)))</f>
      </c>
      <c r="N6820" s="43">
        <f>IF($I6820=0,0,MIN(SUMIFS(SondBetrag,SondDarl,15,SondDatum,"&gt;="&amp;$E6820,SondDatum,"&lt;="&amp;EOMONTH($E6820,0)),$J6820-$M6820))</f>
      </c>
      <c r="O6820" s="43">
        <f>IF($I6820=0,0,INDEX(DarlErsatzRate,15))</f>
      </c>
      <c r="P6820" s="43">
        <f>IF($I6820=0,0,$Q6819*INDEX(DarlErsatzZins,15))</f>
      </c>
      <c r="Q6820" s="43">
        <f>IF($I6820=0,0,$Q6819+$P6820+$O6820)</f>
      </c>
      <c r="R6820" s="43">
        <f>IF($I6820=0,0,$J6820-$M6820-$N6820)</f>
      </c>
    </row>
    <row r="6821">
      <c r="A6821"/>
      <c r="B6821">
        <v>15</v>
      </c>
      <c r="C6821" s="43">
        <f>INDEX(DarlObj,15)</f>
      </c>
      <c r="D6821">
        <v>98</v>
      </c>
      <c r="E6821" s="51">
        <f>IF(INDEX(DarlBelegt,15)=0,0,EOMONTH(INDEX(DarlAuszahlung,15),97)+1)</f>
      </c>
      <c r="F6821" s="43">
        <f>IF($E6821=0,0,YEAR($E6821))</f>
      </c>
      <c r="G6821" s="43">
        <f>IF(INDEX(DarlBindung,15)="",1,IF($E6821&lt;=INDEX(DarlBindung,15),1,0))</f>
      </c>
      <c r="H6821" s="43">
        <f>IF($G6821=1,INDEX(DarlSollzins,15),INDEX(DarlAnschluss,15))</f>
      </c>
      <c r="I6821" s="43">
        <f>IF(INDEX(DarlBelegt,15)=0,0,IF(INDEX(DarlOhneTilgung,15)=1,IF(INDEX(DarlBindung,15)="",1,$G6821),IF($J6821&gt;0.005,1,0)))</f>
      </c>
      <c r="J6821" s="43">
        <f>IF($I6820=0,0,$R6820)</f>
      </c>
      <c r="K6821" s="43">
        <f>IF($I6821=0,0,IF(INDEX(DarlOhneTilgung,15)=1,0,IF(AND(INDEX(DarlTilgStart,15)&gt;0,$E6821=INDEX(DarlTilgStart,15)),$J6821*($H6821+INDEX(DarlTilgung,15))/100/12,IF(AND($G6821=0,$G6820=1),MAX($K6820,$J6821*($H6821+1)/100/12),$K6820))))</f>
      </c>
      <c r="L6821" s="43">
        <f>IF($I6821=0,0,$J6821*$H6821/100/12)</f>
      </c>
      <c r="M6821" s="43">
        <f>IF($I6821=0,0,IF(OR(INDEX(DarlOhneTilgung,15)=1,AND(INDEX(DarlTilgStart,15)&gt;0,$E6821&lt;INDEX(DarlTilgStart,15))),0,MIN(MAX(0,$K6821-$L6821),$J6821)))</f>
      </c>
      <c r="N6821" s="43">
        <f>IF($I6821=0,0,MIN(SUMIFS(SondBetrag,SondDarl,15,SondDatum,"&gt;="&amp;$E6821,SondDatum,"&lt;="&amp;EOMONTH($E6821,0)),$J6821-$M6821))</f>
      </c>
      <c r="O6821" s="43">
        <f>IF($I6821=0,0,INDEX(DarlErsatzRate,15))</f>
      </c>
      <c r="P6821" s="43">
        <f>IF($I6821=0,0,$Q6820*INDEX(DarlErsatzZins,15))</f>
      </c>
      <c r="Q6821" s="43">
        <f>IF($I6821=0,0,$Q6820+$P6821+$O6821)</f>
      </c>
      <c r="R6821" s="43">
        <f>IF($I6821=0,0,$J6821-$M6821-$N6821)</f>
      </c>
    </row>
    <row r="6822">
      <c r="A6822"/>
      <c r="B6822">
        <v>15</v>
      </c>
      <c r="C6822" s="43">
        <f>INDEX(DarlObj,15)</f>
      </c>
      <c r="D6822">
        <v>99</v>
      </c>
      <c r="E6822" s="51">
        <f>IF(INDEX(DarlBelegt,15)=0,0,EOMONTH(INDEX(DarlAuszahlung,15),98)+1)</f>
      </c>
      <c r="F6822" s="43">
        <f>IF($E6822=0,0,YEAR($E6822))</f>
      </c>
      <c r="G6822" s="43">
        <f>IF(INDEX(DarlBindung,15)="",1,IF($E6822&lt;=INDEX(DarlBindung,15),1,0))</f>
      </c>
      <c r="H6822" s="43">
        <f>IF($G6822=1,INDEX(DarlSollzins,15),INDEX(DarlAnschluss,15))</f>
      </c>
      <c r="I6822" s="43">
        <f>IF(INDEX(DarlBelegt,15)=0,0,IF(INDEX(DarlOhneTilgung,15)=1,IF(INDEX(DarlBindung,15)="",1,$G6822),IF($J6822&gt;0.005,1,0)))</f>
      </c>
      <c r="J6822" s="43">
        <f>IF($I6821=0,0,$R6821)</f>
      </c>
      <c r="K6822" s="43">
        <f>IF($I6822=0,0,IF(INDEX(DarlOhneTilgung,15)=1,0,IF(AND(INDEX(DarlTilgStart,15)&gt;0,$E6822=INDEX(DarlTilgStart,15)),$J6822*($H6822+INDEX(DarlTilgung,15))/100/12,IF(AND($G6822=0,$G6821=1),MAX($K6821,$J6822*($H6822+1)/100/12),$K6821))))</f>
      </c>
      <c r="L6822" s="43">
        <f>IF($I6822=0,0,$J6822*$H6822/100/12)</f>
      </c>
      <c r="M6822" s="43">
        <f>IF($I6822=0,0,IF(OR(INDEX(DarlOhneTilgung,15)=1,AND(INDEX(DarlTilgStart,15)&gt;0,$E6822&lt;INDEX(DarlTilgStart,15))),0,MIN(MAX(0,$K6822-$L6822),$J6822)))</f>
      </c>
      <c r="N6822" s="43">
        <f>IF($I6822=0,0,MIN(SUMIFS(SondBetrag,SondDarl,15,SondDatum,"&gt;="&amp;$E6822,SondDatum,"&lt;="&amp;EOMONTH($E6822,0)),$J6822-$M6822))</f>
      </c>
      <c r="O6822" s="43">
        <f>IF($I6822=0,0,INDEX(DarlErsatzRate,15))</f>
      </c>
      <c r="P6822" s="43">
        <f>IF($I6822=0,0,$Q6821*INDEX(DarlErsatzZins,15))</f>
      </c>
      <c r="Q6822" s="43">
        <f>IF($I6822=0,0,$Q6821+$P6822+$O6822)</f>
      </c>
      <c r="R6822" s="43">
        <f>IF($I6822=0,0,$J6822-$M6822-$N6822)</f>
      </c>
    </row>
    <row r="6823">
      <c r="A6823"/>
      <c r="B6823">
        <v>15</v>
      </c>
      <c r="C6823" s="43">
        <f>INDEX(DarlObj,15)</f>
      </c>
      <c r="D6823">
        <v>100</v>
      </c>
      <c r="E6823" s="51">
        <f>IF(INDEX(DarlBelegt,15)=0,0,EOMONTH(INDEX(DarlAuszahlung,15),99)+1)</f>
      </c>
      <c r="F6823" s="43">
        <f>IF($E6823=0,0,YEAR($E6823))</f>
      </c>
      <c r="G6823" s="43">
        <f>IF(INDEX(DarlBindung,15)="",1,IF($E6823&lt;=INDEX(DarlBindung,15),1,0))</f>
      </c>
      <c r="H6823" s="43">
        <f>IF($G6823=1,INDEX(DarlSollzins,15),INDEX(DarlAnschluss,15))</f>
      </c>
      <c r="I6823" s="43">
        <f>IF(INDEX(DarlBelegt,15)=0,0,IF(INDEX(DarlOhneTilgung,15)=1,IF(INDEX(DarlBindung,15)="",1,$G6823),IF($J6823&gt;0.005,1,0)))</f>
      </c>
      <c r="J6823" s="43">
        <f>IF($I6822=0,0,$R6822)</f>
      </c>
      <c r="K6823" s="43">
        <f>IF($I6823=0,0,IF(INDEX(DarlOhneTilgung,15)=1,0,IF(AND(INDEX(DarlTilgStart,15)&gt;0,$E6823=INDEX(DarlTilgStart,15)),$J6823*($H6823+INDEX(DarlTilgung,15))/100/12,IF(AND($G6823=0,$G6822=1),MAX($K6822,$J6823*($H6823+1)/100/12),$K6822))))</f>
      </c>
      <c r="L6823" s="43">
        <f>IF($I6823=0,0,$J6823*$H6823/100/12)</f>
      </c>
      <c r="M6823" s="43">
        <f>IF($I6823=0,0,IF(OR(INDEX(DarlOhneTilgung,15)=1,AND(INDEX(DarlTilgStart,15)&gt;0,$E6823&lt;INDEX(DarlTilgStart,15))),0,MIN(MAX(0,$K6823-$L6823),$J6823)))</f>
      </c>
      <c r="N6823" s="43">
        <f>IF($I6823=0,0,MIN(SUMIFS(SondBetrag,SondDarl,15,SondDatum,"&gt;="&amp;$E6823,SondDatum,"&lt;="&amp;EOMONTH($E6823,0)),$J6823-$M6823))</f>
      </c>
      <c r="O6823" s="43">
        <f>IF($I6823=0,0,INDEX(DarlErsatzRate,15))</f>
      </c>
      <c r="P6823" s="43">
        <f>IF($I6823=0,0,$Q6822*INDEX(DarlErsatzZins,15))</f>
      </c>
      <c r="Q6823" s="43">
        <f>IF($I6823=0,0,$Q6822+$P6823+$O6823)</f>
      </c>
      <c r="R6823" s="43">
        <f>IF($I6823=0,0,$J6823-$M6823-$N6823)</f>
      </c>
    </row>
    <row r="6824">
      <c r="A6824"/>
      <c r="B6824">
        <v>15</v>
      </c>
      <c r="C6824" s="43">
        <f>INDEX(DarlObj,15)</f>
      </c>
      <c r="D6824">
        <v>101</v>
      </c>
      <c r="E6824" s="51">
        <f>IF(INDEX(DarlBelegt,15)=0,0,EOMONTH(INDEX(DarlAuszahlung,15),100)+1)</f>
      </c>
      <c r="F6824" s="43">
        <f>IF($E6824=0,0,YEAR($E6824))</f>
      </c>
      <c r="G6824" s="43">
        <f>IF(INDEX(DarlBindung,15)="",1,IF($E6824&lt;=INDEX(DarlBindung,15),1,0))</f>
      </c>
      <c r="H6824" s="43">
        <f>IF($G6824=1,INDEX(DarlSollzins,15),INDEX(DarlAnschluss,15))</f>
      </c>
      <c r="I6824" s="43">
        <f>IF(INDEX(DarlBelegt,15)=0,0,IF(INDEX(DarlOhneTilgung,15)=1,IF(INDEX(DarlBindung,15)="",1,$G6824),IF($J6824&gt;0.005,1,0)))</f>
      </c>
      <c r="J6824" s="43">
        <f>IF($I6823=0,0,$R6823)</f>
      </c>
      <c r="K6824" s="43">
        <f>IF($I6824=0,0,IF(INDEX(DarlOhneTilgung,15)=1,0,IF(AND(INDEX(DarlTilgStart,15)&gt;0,$E6824=INDEX(DarlTilgStart,15)),$J6824*($H6824+INDEX(DarlTilgung,15))/100/12,IF(AND($G6824=0,$G6823=1),MAX($K6823,$J6824*($H6824+1)/100/12),$K6823))))</f>
      </c>
      <c r="L6824" s="43">
        <f>IF($I6824=0,0,$J6824*$H6824/100/12)</f>
      </c>
      <c r="M6824" s="43">
        <f>IF($I6824=0,0,IF(OR(INDEX(DarlOhneTilgung,15)=1,AND(INDEX(DarlTilgStart,15)&gt;0,$E6824&lt;INDEX(DarlTilgStart,15))),0,MIN(MAX(0,$K6824-$L6824),$J6824)))</f>
      </c>
      <c r="N6824" s="43">
        <f>IF($I6824=0,0,MIN(SUMIFS(SondBetrag,SondDarl,15,SondDatum,"&gt;="&amp;$E6824,SondDatum,"&lt;="&amp;EOMONTH($E6824,0)),$J6824-$M6824))</f>
      </c>
      <c r="O6824" s="43">
        <f>IF($I6824=0,0,INDEX(DarlErsatzRate,15))</f>
      </c>
      <c r="P6824" s="43">
        <f>IF($I6824=0,0,$Q6823*INDEX(DarlErsatzZins,15))</f>
      </c>
      <c r="Q6824" s="43">
        <f>IF($I6824=0,0,$Q6823+$P6824+$O6824)</f>
      </c>
      <c r="R6824" s="43">
        <f>IF($I6824=0,0,$J6824-$M6824-$N6824)</f>
      </c>
    </row>
    <row r="6825">
      <c r="A6825"/>
      <c r="B6825">
        <v>15</v>
      </c>
      <c r="C6825" s="43">
        <f>INDEX(DarlObj,15)</f>
      </c>
      <c r="D6825">
        <v>102</v>
      </c>
      <c r="E6825" s="51">
        <f>IF(INDEX(DarlBelegt,15)=0,0,EOMONTH(INDEX(DarlAuszahlung,15),101)+1)</f>
      </c>
      <c r="F6825" s="43">
        <f>IF($E6825=0,0,YEAR($E6825))</f>
      </c>
      <c r="G6825" s="43">
        <f>IF(INDEX(DarlBindung,15)="",1,IF($E6825&lt;=INDEX(DarlBindung,15),1,0))</f>
      </c>
      <c r="H6825" s="43">
        <f>IF($G6825=1,INDEX(DarlSollzins,15),INDEX(DarlAnschluss,15))</f>
      </c>
      <c r="I6825" s="43">
        <f>IF(INDEX(DarlBelegt,15)=0,0,IF(INDEX(DarlOhneTilgung,15)=1,IF(INDEX(DarlBindung,15)="",1,$G6825),IF($J6825&gt;0.005,1,0)))</f>
      </c>
      <c r="J6825" s="43">
        <f>IF($I6824=0,0,$R6824)</f>
      </c>
      <c r="K6825" s="43">
        <f>IF($I6825=0,0,IF(INDEX(DarlOhneTilgung,15)=1,0,IF(AND(INDEX(DarlTilgStart,15)&gt;0,$E6825=INDEX(DarlTilgStart,15)),$J6825*($H6825+INDEX(DarlTilgung,15))/100/12,IF(AND($G6825=0,$G6824=1),MAX($K6824,$J6825*($H6825+1)/100/12),$K6824))))</f>
      </c>
      <c r="L6825" s="43">
        <f>IF($I6825=0,0,$J6825*$H6825/100/12)</f>
      </c>
      <c r="M6825" s="43">
        <f>IF($I6825=0,0,IF(OR(INDEX(DarlOhneTilgung,15)=1,AND(INDEX(DarlTilgStart,15)&gt;0,$E6825&lt;INDEX(DarlTilgStart,15))),0,MIN(MAX(0,$K6825-$L6825),$J6825)))</f>
      </c>
      <c r="N6825" s="43">
        <f>IF($I6825=0,0,MIN(SUMIFS(SondBetrag,SondDarl,15,SondDatum,"&gt;="&amp;$E6825,SondDatum,"&lt;="&amp;EOMONTH($E6825,0)),$J6825-$M6825))</f>
      </c>
      <c r="O6825" s="43">
        <f>IF($I6825=0,0,INDEX(DarlErsatzRate,15))</f>
      </c>
      <c r="P6825" s="43">
        <f>IF($I6825=0,0,$Q6824*INDEX(DarlErsatzZins,15))</f>
      </c>
      <c r="Q6825" s="43">
        <f>IF($I6825=0,0,$Q6824+$P6825+$O6825)</f>
      </c>
      <c r="R6825" s="43">
        <f>IF($I6825=0,0,$J6825-$M6825-$N6825)</f>
      </c>
    </row>
    <row r="6826">
      <c r="A6826"/>
      <c r="B6826">
        <v>15</v>
      </c>
      <c r="C6826" s="43">
        <f>INDEX(DarlObj,15)</f>
      </c>
      <c r="D6826">
        <v>103</v>
      </c>
      <c r="E6826" s="51">
        <f>IF(INDEX(DarlBelegt,15)=0,0,EOMONTH(INDEX(DarlAuszahlung,15),102)+1)</f>
      </c>
      <c r="F6826" s="43">
        <f>IF($E6826=0,0,YEAR($E6826))</f>
      </c>
      <c r="G6826" s="43">
        <f>IF(INDEX(DarlBindung,15)="",1,IF($E6826&lt;=INDEX(DarlBindung,15),1,0))</f>
      </c>
      <c r="H6826" s="43">
        <f>IF($G6826=1,INDEX(DarlSollzins,15),INDEX(DarlAnschluss,15))</f>
      </c>
      <c r="I6826" s="43">
        <f>IF(INDEX(DarlBelegt,15)=0,0,IF(INDEX(DarlOhneTilgung,15)=1,IF(INDEX(DarlBindung,15)="",1,$G6826),IF($J6826&gt;0.005,1,0)))</f>
      </c>
      <c r="J6826" s="43">
        <f>IF($I6825=0,0,$R6825)</f>
      </c>
      <c r="K6826" s="43">
        <f>IF($I6826=0,0,IF(INDEX(DarlOhneTilgung,15)=1,0,IF(AND(INDEX(DarlTilgStart,15)&gt;0,$E6826=INDEX(DarlTilgStart,15)),$J6826*($H6826+INDEX(DarlTilgung,15))/100/12,IF(AND($G6826=0,$G6825=1),MAX($K6825,$J6826*($H6826+1)/100/12),$K6825))))</f>
      </c>
      <c r="L6826" s="43">
        <f>IF($I6826=0,0,$J6826*$H6826/100/12)</f>
      </c>
      <c r="M6826" s="43">
        <f>IF($I6826=0,0,IF(OR(INDEX(DarlOhneTilgung,15)=1,AND(INDEX(DarlTilgStart,15)&gt;0,$E6826&lt;INDEX(DarlTilgStart,15))),0,MIN(MAX(0,$K6826-$L6826),$J6826)))</f>
      </c>
      <c r="N6826" s="43">
        <f>IF($I6826=0,0,MIN(SUMIFS(SondBetrag,SondDarl,15,SondDatum,"&gt;="&amp;$E6826,SondDatum,"&lt;="&amp;EOMONTH($E6826,0)),$J6826-$M6826))</f>
      </c>
      <c r="O6826" s="43">
        <f>IF($I6826=0,0,INDEX(DarlErsatzRate,15))</f>
      </c>
      <c r="P6826" s="43">
        <f>IF($I6826=0,0,$Q6825*INDEX(DarlErsatzZins,15))</f>
      </c>
      <c r="Q6826" s="43">
        <f>IF($I6826=0,0,$Q6825+$P6826+$O6826)</f>
      </c>
      <c r="R6826" s="43">
        <f>IF($I6826=0,0,$J6826-$M6826-$N6826)</f>
      </c>
    </row>
    <row r="6827">
      <c r="A6827"/>
      <c r="B6827">
        <v>15</v>
      </c>
      <c r="C6827" s="43">
        <f>INDEX(DarlObj,15)</f>
      </c>
      <c r="D6827">
        <v>104</v>
      </c>
      <c r="E6827" s="51">
        <f>IF(INDEX(DarlBelegt,15)=0,0,EOMONTH(INDEX(DarlAuszahlung,15),103)+1)</f>
      </c>
      <c r="F6827" s="43">
        <f>IF($E6827=0,0,YEAR($E6827))</f>
      </c>
      <c r="G6827" s="43">
        <f>IF(INDEX(DarlBindung,15)="",1,IF($E6827&lt;=INDEX(DarlBindung,15),1,0))</f>
      </c>
      <c r="H6827" s="43">
        <f>IF($G6827=1,INDEX(DarlSollzins,15),INDEX(DarlAnschluss,15))</f>
      </c>
      <c r="I6827" s="43">
        <f>IF(INDEX(DarlBelegt,15)=0,0,IF(INDEX(DarlOhneTilgung,15)=1,IF(INDEX(DarlBindung,15)="",1,$G6827),IF($J6827&gt;0.005,1,0)))</f>
      </c>
      <c r="J6827" s="43">
        <f>IF($I6826=0,0,$R6826)</f>
      </c>
      <c r="K6827" s="43">
        <f>IF($I6827=0,0,IF(INDEX(DarlOhneTilgung,15)=1,0,IF(AND(INDEX(DarlTilgStart,15)&gt;0,$E6827=INDEX(DarlTilgStart,15)),$J6827*($H6827+INDEX(DarlTilgung,15))/100/12,IF(AND($G6827=0,$G6826=1),MAX($K6826,$J6827*($H6827+1)/100/12),$K6826))))</f>
      </c>
      <c r="L6827" s="43">
        <f>IF($I6827=0,0,$J6827*$H6827/100/12)</f>
      </c>
      <c r="M6827" s="43">
        <f>IF($I6827=0,0,IF(OR(INDEX(DarlOhneTilgung,15)=1,AND(INDEX(DarlTilgStart,15)&gt;0,$E6827&lt;INDEX(DarlTilgStart,15))),0,MIN(MAX(0,$K6827-$L6827),$J6827)))</f>
      </c>
      <c r="N6827" s="43">
        <f>IF($I6827=0,0,MIN(SUMIFS(SondBetrag,SondDarl,15,SondDatum,"&gt;="&amp;$E6827,SondDatum,"&lt;="&amp;EOMONTH($E6827,0)),$J6827-$M6827))</f>
      </c>
      <c r="O6827" s="43">
        <f>IF($I6827=0,0,INDEX(DarlErsatzRate,15))</f>
      </c>
      <c r="P6827" s="43">
        <f>IF($I6827=0,0,$Q6826*INDEX(DarlErsatzZins,15))</f>
      </c>
      <c r="Q6827" s="43">
        <f>IF($I6827=0,0,$Q6826+$P6827+$O6827)</f>
      </c>
      <c r="R6827" s="43">
        <f>IF($I6827=0,0,$J6827-$M6827-$N6827)</f>
      </c>
    </row>
    <row r="6828">
      <c r="A6828"/>
      <c r="B6828">
        <v>15</v>
      </c>
      <c r="C6828" s="43">
        <f>INDEX(DarlObj,15)</f>
      </c>
      <c r="D6828">
        <v>105</v>
      </c>
      <c r="E6828" s="51">
        <f>IF(INDEX(DarlBelegt,15)=0,0,EOMONTH(INDEX(DarlAuszahlung,15),104)+1)</f>
      </c>
      <c r="F6828" s="43">
        <f>IF($E6828=0,0,YEAR($E6828))</f>
      </c>
      <c r="G6828" s="43">
        <f>IF(INDEX(DarlBindung,15)="",1,IF($E6828&lt;=INDEX(DarlBindung,15),1,0))</f>
      </c>
      <c r="H6828" s="43">
        <f>IF($G6828=1,INDEX(DarlSollzins,15),INDEX(DarlAnschluss,15))</f>
      </c>
      <c r="I6828" s="43">
        <f>IF(INDEX(DarlBelegt,15)=0,0,IF(INDEX(DarlOhneTilgung,15)=1,IF(INDEX(DarlBindung,15)="",1,$G6828),IF($J6828&gt;0.005,1,0)))</f>
      </c>
      <c r="J6828" s="43">
        <f>IF($I6827=0,0,$R6827)</f>
      </c>
      <c r="K6828" s="43">
        <f>IF($I6828=0,0,IF(INDEX(DarlOhneTilgung,15)=1,0,IF(AND(INDEX(DarlTilgStart,15)&gt;0,$E6828=INDEX(DarlTilgStart,15)),$J6828*($H6828+INDEX(DarlTilgung,15))/100/12,IF(AND($G6828=0,$G6827=1),MAX($K6827,$J6828*($H6828+1)/100/12),$K6827))))</f>
      </c>
      <c r="L6828" s="43">
        <f>IF($I6828=0,0,$J6828*$H6828/100/12)</f>
      </c>
      <c r="M6828" s="43">
        <f>IF($I6828=0,0,IF(OR(INDEX(DarlOhneTilgung,15)=1,AND(INDEX(DarlTilgStart,15)&gt;0,$E6828&lt;INDEX(DarlTilgStart,15))),0,MIN(MAX(0,$K6828-$L6828),$J6828)))</f>
      </c>
      <c r="N6828" s="43">
        <f>IF($I6828=0,0,MIN(SUMIFS(SondBetrag,SondDarl,15,SondDatum,"&gt;="&amp;$E6828,SondDatum,"&lt;="&amp;EOMONTH($E6828,0)),$J6828-$M6828))</f>
      </c>
      <c r="O6828" s="43">
        <f>IF($I6828=0,0,INDEX(DarlErsatzRate,15))</f>
      </c>
      <c r="P6828" s="43">
        <f>IF($I6828=0,0,$Q6827*INDEX(DarlErsatzZins,15))</f>
      </c>
      <c r="Q6828" s="43">
        <f>IF($I6828=0,0,$Q6827+$P6828+$O6828)</f>
      </c>
      <c r="R6828" s="43">
        <f>IF($I6828=0,0,$J6828-$M6828-$N6828)</f>
      </c>
    </row>
    <row r="6829">
      <c r="A6829"/>
      <c r="B6829">
        <v>15</v>
      </c>
      <c r="C6829" s="43">
        <f>INDEX(DarlObj,15)</f>
      </c>
      <c r="D6829">
        <v>106</v>
      </c>
      <c r="E6829" s="51">
        <f>IF(INDEX(DarlBelegt,15)=0,0,EOMONTH(INDEX(DarlAuszahlung,15),105)+1)</f>
      </c>
      <c r="F6829" s="43">
        <f>IF($E6829=0,0,YEAR($E6829))</f>
      </c>
      <c r="G6829" s="43">
        <f>IF(INDEX(DarlBindung,15)="",1,IF($E6829&lt;=INDEX(DarlBindung,15),1,0))</f>
      </c>
      <c r="H6829" s="43">
        <f>IF($G6829=1,INDEX(DarlSollzins,15),INDEX(DarlAnschluss,15))</f>
      </c>
      <c r="I6829" s="43">
        <f>IF(INDEX(DarlBelegt,15)=0,0,IF(INDEX(DarlOhneTilgung,15)=1,IF(INDEX(DarlBindung,15)="",1,$G6829),IF($J6829&gt;0.005,1,0)))</f>
      </c>
      <c r="J6829" s="43">
        <f>IF($I6828=0,0,$R6828)</f>
      </c>
      <c r="K6829" s="43">
        <f>IF($I6829=0,0,IF(INDEX(DarlOhneTilgung,15)=1,0,IF(AND(INDEX(DarlTilgStart,15)&gt;0,$E6829=INDEX(DarlTilgStart,15)),$J6829*($H6829+INDEX(DarlTilgung,15))/100/12,IF(AND($G6829=0,$G6828=1),MAX($K6828,$J6829*($H6829+1)/100/12),$K6828))))</f>
      </c>
      <c r="L6829" s="43">
        <f>IF($I6829=0,0,$J6829*$H6829/100/12)</f>
      </c>
      <c r="M6829" s="43">
        <f>IF($I6829=0,0,IF(OR(INDEX(DarlOhneTilgung,15)=1,AND(INDEX(DarlTilgStart,15)&gt;0,$E6829&lt;INDEX(DarlTilgStart,15))),0,MIN(MAX(0,$K6829-$L6829),$J6829)))</f>
      </c>
      <c r="N6829" s="43">
        <f>IF($I6829=0,0,MIN(SUMIFS(SondBetrag,SondDarl,15,SondDatum,"&gt;="&amp;$E6829,SondDatum,"&lt;="&amp;EOMONTH($E6829,0)),$J6829-$M6829))</f>
      </c>
      <c r="O6829" s="43">
        <f>IF($I6829=0,0,INDEX(DarlErsatzRate,15))</f>
      </c>
      <c r="P6829" s="43">
        <f>IF($I6829=0,0,$Q6828*INDEX(DarlErsatzZins,15))</f>
      </c>
      <c r="Q6829" s="43">
        <f>IF($I6829=0,0,$Q6828+$P6829+$O6829)</f>
      </c>
      <c r="R6829" s="43">
        <f>IF($I6829=0,0,$J6829-$M6829-$N6829)</f>
      </c>
    </row>
    <row r="6830">
      <c r="A6830"/>
      <c r="B6830">
        <v>15</v>
      </c>
      <c r="C6830" s="43">
        <f>INDEX(DarlObj,15)</f>
      </c>
      <c r="D6830">
        <v>107</v>
      </c>
      <c r="E6830" s="51">
        <f>IF(INDEX(DarlBelegt,15)=0,0,EOMONTH(INDEX(DarlAuszahlung,15),106)+1)</f>
      </c>
      <c r="F6830" s="43">
        <f>IF($E6830=0,0,YEAR($E6830))</f>
      </c>
      <c r="G6830" s="43">
        <f>IF(INDEX(DarlBindung,15)="",1,IF($E6830&lt;=INDEX(DarlBindung,15),1,0))</f>
      </c>
      <c r="H6830" s="43">
        <f>IF($G6830=1,INDEX(DarlSollzins,15),INDEX(DarlAnschluss,15))</f>
      </c>
      <c r="I6830" s="43">
        <f>IF(INDEX(DarlBelegt,15)=0,0,IF(INDEX(DarlOhneTilgung,15)=1,IF(INDEX(DarlBindung,15)="",1,$G6830),IF($J6830&gt;0.005,1,0)))</f>
      </c>
      <c r="J6830" s="43">
        <f>IF($I6829=0,0,$R6829)</f>
      </c>
      <c r="K6830" s="43">
        <f>IF($I6830=0,0,IF(INDEX(DarlOhneTilgung,15)=1,0,IF(AND(INDEX(DarlTilgStart,15)&gt;0,$E6830=INDEX(DarlTilgStart,15)),$J6830*($H6830+INDEX(DarlTilgung,15))/100/12,IF(AND($G6830=0,$G6829=1),MAX($K6829,$J6830*($H6830+1)/100/12),$K6829))))</f>
      </c>
      <c r="L6830" s="43">
        <f>IF($I6830=0,0,$J6830*$H6830/100/12)</f>
      </c>
      <c r="M6830" s="43">
        <f>IF($I6830=0,0,IF(OR(INDEX(DarlOhneTilgung,15)=1,AND(INDEX(DarlTilgStart,15)&gt;0,$E6830&lt;INDEX(DarlTilgStart,15))),0,MIN(MAX(0,$K6830-$L6830),$J6830)))</f>
      </c>
      <c r="N6830" s="43">
        <f>IF($I6830=0,0,MIN(SUMIFS(SondBetrag,SondDarl,15,SondDatum,"&gt;="&amp;$E6830,SondDatum,"&lt;="&amp;EOMONTH($E6830,0)),$J6830-$M6830))</f>
      </c>
      <c r="O6830" s="43">
        <f>IF($I6830=0,0,INDEX(DarlErsatzRate,15))</f>
      </c>
      <c r="P6830" s="43">
        <f>IF($I6830=0,0,$Q6829*INDEX(DarlErsatzZins,15))</f>
      </c>
      <c r="Q6830" s="43">
        <f>IF($I6830=0,0,$Q6829+$P6830+$O6830)</f>
      </c>
      <c r="R6830" s="43">
        <f>IF($I6830=0,0,$J6830-$M6830-$N6830)</f>
      </c>
    </row>
    <row r="6831">
      <c r="A6831"/>
      <c r="B6831">
        <v>15</v>
      </c>
      <c r="C6831" s="43">
        <f>INDEX(DarlObj,15)</f>
      </c>
      <c r="D6831">
        <v>108</v>
      </c>
      <c r="E6831" s="51">
        <f>IF(INDEX(DarlBelegt,15)=0,0,EOMONTH(INDEX(DarlAuszahlung,15),107)+1)</f>
      </c>
      <c r="F6831" s="43">
        <f>IF($E6831=0,0,YEAR($E6831))</f>
      </c>
      <c r="G6831" s="43">
        <f>IF(INDEX(DarlBindung,15)="",1,IF($E6831&lt;=INDEX(DarlBindung,15),1,0))</f>
      </c>
      <c r="H6831" s="43">
        <f>IF($G6831=1,INDEX(DarlSollzins,15),INDEX(DarlAnschluss,15))</f>
      </c>
      <c r="I6831" s="43">
        <f>IF(INDEX(DarlBelegt,15)=0,0,IF(INDEX(DarlOhneTilgung,15)=1,IF(INDEX(DarlBindung,15)="",1,$G6831),IF($J6831&gt;0.005,1,0)))</f>
      </c>
      <c r="J6831" s="43">
        <f>IF($I6830=0,0,$R6830)</f>
      </c>
      <c r="K6831" s="43">
        <f>IF($I6831=0,0,IF(INDEX(DarlOhneTilgung,15)=1,0,IF(AND(INDEX(DarlTilgStart,15)&gt;0,$E6831=INDEX(DarlTilgStart,15)),$J6831*($H6831+INDEX(DarlTilgung,15))/100/12,IF(AND($G6831=0,$G6830=1),MAX($K6830,$J6831*($H6831+1)/100/12),$K6830))))</f>
      </c>
      <c r="L6831" s="43">
        <f>IF($I6831=0,0,$J6831*$H6831/100/12)</f>
      </c>
      <c r="M6831" s="43">
        <f>IF($I6831=0,0,IF(OR(INDEX(DarlOhneTilgung,15)=1,AND(INDEX(DarlTilgStart,15)&gt;0,$E6831&lt;INDEX(DarlTilgStart,15))),0,MIN(MAX(0,$K6831-$L6831),$J6831)))</f>
      </c>
      <c r="N6831" s="43">
        <f>IF($I6831=0,0,MIN(SUMIFS(SondBetrag,SondDarl,15,SondDatum,"&gt;="&amp;$E6831,SondDatum,"&lt;="&amp;EOMONTH($E6831,0)),$J6831-$M6831))</f>
      </c>
      <c r="O6831" s="43">
        <f>IF($I6831=0,0,INDEX(DarlErsatzRate,15))</f>
      </c>
      <c r="P6831" s="43">
        <f>IF($I6831=0,0,$Q6830*INDEX(DarlErsatzZins,15))</f>
      </c>
      <c r="Q6831" s="43">
        <f>IF($I6831=0,0,$Q6830+$P6831+$O6831)</f>
      </c>
      <c r="R6831" s="43">
        <f>IF($I6831=0,0,$J6831-$M6831-$N6831)</f>
      </c>
    </row>
    <row r="6832">
      <c r="A6832"/>
      <c r="B6832">
        <v>15</v>
      </c>
      <c r="C6832" s="43">
        <f>INDEX(DarlObj,15)</f>
      </c>
      <c r="D6832">
        <v>109</v>
      </c>
      <c r="E6832" s="51">
        <f>IF(INDEX(DarlBelegt,15)=0,0,EOMONTH(INDEX(DarlAuszahlung,15),108)+1)</f>
      </c>
      <c r="F6832" s="43">
        <f>IF($E6832=0,0,YEAR($E6832))</f>
      </c>
      <c r="G6832" s="43">
        <f>IF(INDEX(DarlBindung,15)="",1,IF($E6832&lt;=INDEX(DarlBindung,15),1,0))</f>
      </c>
      <c r="H6832" s="43">
        <f>IF($G6832=1,INDEX(DarlSollzins,15),INDEX(DarlAnschluss,15))</f>
      </c>
      <c r="I6832" s="43">
        <f>IF(INDEX(DarlBelegt,15)=0,0,IF(INDEX(DarlOhneTilgung,15)=1,IF(INDEX(DarlBindung,15)="",1,$G6832),IF($J6832&gt;0.005,1,0)))</f>
      </c>
      <c r="J6832" s="43">
        <f>IF($I6831=0,0,$R6831)</f>
      </c>
      <c r="K6832" s="43">
        <f>IF($I6832=0,0,IF(INDEX(DarlOhneTilgung,15)=1,0,IF(AND(INDEX(DarlTilgStart,15)&gt;0,$E6832=INDEX(DarlTilgStart,15)),$J6832*($H6832+INDEX(DarlTilgung,15))/100/12,IF(AND($G6832=0,$G6831=1),MAX($K6831,$J6832*($H6832+1)/100/12),$K6831))))</f>
      </c>
      <c r="L6832" s="43">
        <f>IF($I6832=0,0,$J6832*$H6832/100/12)</f>
      </c>
      <c r="M6832" s="43">
        <f>IF($I6832=0,0,IF(OR(INDEX(DarlOhneTilgung,15)=1,AND(INDEX(DarlTilgStart,15)&gt;0,$E6832&lt;INDEX(DarlTilgStart,15))),0,MIN(MAX(0,$K6832-$L6832),$J6832)))</f>
      </c>
      <c r="N6832" s="43">
        <f>IF($I6832=0,0,MIN(SUMIFS(SondBetrag,SondDarl,15,SondDatum,"&gt;="&amp;$E6832,SondDatum,"&lt;="&amp;EOMONTH($E6832,0)),$J6832-$M6832))</f>
      </c>
      <c r="O6832" s="43">
        <f>IF($I6832=0,0,INDEX(DarlErsatzRate,15))</f>
      </c>
      <c r="P6832" s="43">
        <f>IF($I6832=0,0,$Q6831*INDEX(DarlErsatzZins,15))</f>
      </c>
      <c r="Q6832" s="43">
        <f>IF($I6832=0,0,$Q6831+$P6832+$O6832)</f>
      </c>
      <c r="R6832" s="43">
        <f>IF($I6832=0,0,$J6832-$M6832-$N6832)</f>
      </c>
    </row>
    <row r="6833">
      <c r="A6833"/>
      <c r="B6833">
        <v>15</v>
      </c>
      <c r="C6833" s="43">
        <f>INDEX(DarlObj,15)</f>
      </c>
      <c r="D6833">
        <v>110</v>
      </c>
      <c r="E6833" s="51">
        <f>IF(INDEX(DarlBelegt,15)=0,0,EOMONTH(INDEX(DarlAuszahlung,15),109)+1)</f>
      </c>
      <c r="F6833" s="43">
        <f>IF($E6833=0,0,YEAR($E6833))</f>
      </c>
      <c r="G6833" s="43">
        <f>IF(INDEX(DarlBindung,15)="",1,IF($E6833&lt;=INDEX(DarlBindung,15),1,0))</f>
      </c>
      <c r="H6833" s="43">
        <f>IF($G6833=1,INDEX(DarlSollzins,15),INDEX(DarlAnschluss,15))</f>
      </c>
      <c r="I6833" s="43">
        <f>IF(INDEX(DarlBelegt,15)=0,0,IF(INDEX(DarlOhneTilgung,15)=1,IF(INDEX(DarlBindung,15)="",1,$G6833),IF($J6833&gt;0.005,1,0)))</f>
      </c>
      <c r="J6833" s="43">
        <f>IF($I6832=0,0,$R6832)</f>
      </c>
      <c r="K6833" s="43">
        <f>IF($I6833=0,0,IF(INDEX(DarlOhneTilgung,15)=1,0,IF(AND(INDEX(DarlTilgStart,15)&gt;0,$E6833=INDEX(DarlTilgStart,15)),$J6833*($H6833+INDEX(DarlTilgung,15))/100/12,IF(AND($G6833=0,$G6832=1),MAX($K6832,$J6833*($H6833+1)/100/12),$K6832))))</f>
      </c>
      <c r="L6833" s="43">
        <f>IF($I6833=0,0,$J6833*$H6833/100/12)</f>
      </c>
      <c r="M6833" s="43">
        <f>IF($I6833=0,0,IF(OR(INDEX(DarlOhneTilgung,15)=1,AND(INDEX(DarlTilgStart,15)&gt;0,$E6833&lt;INDEX(DarlTilgStart,15))),0,MIN(MAX(0,$K6833-$L6833),$J6833)))</f>
      </c>
      <c r="N6833" s="43">
        <f>IF($I6833=0,0,MIN(SUMIFS(SondBetrag,SondDarl,15,SondDatum,"&gt;="&amp;$E6833,SondDatum,"&lt;="&amp;EOMONTH($E6833,0)),$J6833-$M6833))</f>
      </c>
      <c r="O6833" s="43">
        <f>IF($I6833=0,0,INDEX(DarlErsatzRate,15))</f>
      </c>
      <c r="P6833" s="43">
        <f>IF($I6833=0,0,$Q6832*INDEX(DarlErsatzZins,15))</f>
      </c>
      <c r="Q6833" s="43">
        <f>IF($I6833=0,0,$Q6832+$P6833+$O6833)</f>
      </c>
      <c r="R6833" s="43">
        <f>IF($I6833=0,0,$J6833-$M6833-$N6833)</f>
      </c>
    </row>
    <row r="6834">
      <c r="A6834"/>
      <c r="B6834">
        <v>15</v>
      </c>
      <c r="C6834" s="43">
        <f>INDEX(DarlObj,15)</f>
      </c>
      <c r="D6834">
        <v>111</v>
      </c>
      <c r="E6834" s="51">
        <f>IF(INDEX(DarlBelegt,15)=0,0,EOMONTH(INDEX(DarlAuszahlung,15),110)+1)</f>
      </c>
      <c r="F6834" s="43">
        <f>IF($E6834=0,0,YEAR($E6834))</f>
      </c>
      <c r="G6834" s="43">
        <f>IF(INDEX(DarlBindung,15)="",1,IF($E6834&lt;=INDEX(DarlBindung,15),1,0))</f>
      </c>
      <c r="H6834" s="43">
        <f>IF($G6834=1,INDEX(DarlSollzins,15),INDEX(DarlAnschluss,15))</f>
      </c>
      <c r="I6834" s="43">
        <f>IF(INDEX(DarlBelegt,15)=0,0,IF(INDEX(DarlOhneTilgung,15)=1,IF(INDEX(DarlBindung,15)="",1,$G6834),IF($J6834&gt;0.005,1,0)))</f>
      </c>
      <c r="J6834" s="43">
        <f>IF($I6833=0,0,$R6833)</f>
      </c>
      <c r="K6834" s="43">
        <f>IF($I6834=0,0,IF(INDEX(DarlOhneTilgung,15)=1,0,IF(AND(INDEX(DarlTilgStart,15)&gt;0,$E6834=INDEX(DarlTilgStart,15)),$J6834*($H6834+INDEX(DarlTilgung,15))/100/12,IF(AND($G6834=0,$G6833=1),MAX($K6833,$J6834*($H6834+1)/100/12),$K6833))))</f>
      </c>
      <c r="L6834" s="43">
        <f>IF($I6834=0,0,$J6834*$H6834/100/12)</f>
      </c>
      <c r="M6834" s="43">
        <f>IF($I6834=0,0,IF(OR(INDEX(DarlOhneTilgung,15)=1,AND(INDEX(DarlTilgStart,15)&gt;0,$E6834&lt;INDEX(DarlTilgStart,15))),0,MIN(MAX(0,$K6834-$L6834),$J6834)))</f>
      </c>
      <c r="N6834" s="43">
        <f>IF($I6834=0,0,MIN(SUMIFS(SondBetrag,SondDarl,15,SondDatum,"&gt;="&amp;$E6834,SondDatum,"&lt;="&amp;EOMONTH($E6834,0)),$J6834-$M6834))</f>
      </c>
      <c r="O6834" s="43">
        <f>IF($I6834=0,0,INDEX(DarlErsatzRate,15))</f>
      </c>
      <c r="P6834" s="43">
        <f>IF($I6834=0,0,$Q6833*INDEX(DarlErsatzZins,15))</f>
      </c>
      <c r="Q6834" s="43">
        <f>IF($I6834=0,0,$Q6833+$P6834+$O6834)</f>
      </c>
      <c r="R6834" s="43">
        <f>IF($I6834=0,0,$J6834-$M6834-$N6834)</f>
      </c>
    </row>
    <row r="6835">
      <c r="A6835"/>
      <c r="B6835">
        <v>15</v>
      </c>
      <c r="C6835" s="43">
        <f>INDEX(DarlObj,15)</f>
      </c>
      <c r="D6835">
        <v>112</v>
      </c>
      <c r="E6835" s="51">
        <f>IF(INDEX(DarlBelegt,15)=0,0,EOMONTH(INDEX(DarlAuszahlung,15),111)+1)</f>
      </c>
      <c r="F6835" s="43">
        <f>IF($E6835=0,0,YEAR($E6835))</f>
      </c>
      <c r="G6835" s="43">
        <f>IF(INDEX(DarlBindung,15)="",1,IF($E6835&lt;=INDEX(DarlBindung,15),1,0))</f>
      </c>
      <c r="H6835" s="43">
        <f>IF($G6835=1,INDEX(DarlSollzins,15),INDEX(DarlAnschluss,15))</f>
      </c>
      <c r="I6835" s="43">
        <f>IF(INDEX(DarlBelegt,15)=0,0,IF(INDEX(DarlOhneTilgung,15)=1,IF(INDEX(DarlBindung,15)="",1,$G6835),IF($J6835&gt;0.005,1,0)))</f>
      </c>
      <c r="J6835" s="43">
        <f>IF($I6834=0,0,$R6834)</f>
      </c>
      <c r="K6835" s="43">
        <f>IF($I6835=0,0,IF(INDEX(DarlOhneTilgung,15)=1,0,IF(AND(INDEX(DarlTilgStart,15)&gt;0,$E6835=INDEX(DarlTilgStart,15)),$J6835*($H6835+INDEX(DarlTilgung,15))/100/12,IF(AND($G6835=0,$G6834=1),MAX($K6834,$J6835*($H6835+1)/100/12),$K6834))))</f>
      </c>
      <c r="L6835" s="43">
        <f>IF($I6835=0,0,$J6835*$H6835/100/12)</f>
      </c>
      <c r="M6835" s="43">
        <f>IF($I6835=0,0,IF(OR(INDEX(DarlOhneTilgung,15)=1,AND(INDEX(DarlTilgStart,15)&gt;0,$E6835&lt;INDEX(DarlTilgStart,15))),0,MIN(MAX(0,$K6835-$L6835),$J6835)))</f>
      </c>
      <c r="N6835" s="43">
        <f>IF($I6835=0,0,MIN(SUMIFS(SondBetrag,SondDarl,15,SondDatum,"&gt;="&amp;$E6835,SondDatum,"&lt;="&amp;EOMONTH($E6835,0)),$J6835-$M6835))</f>
      </c>
      <c r="O6835" s="43">
        <f>IF($I6835=0,0,INDEX(DarlErsatzRate,15))</f>
      </c>
      <c r="P6835" s="43">
        <f>IF($I6835=0,0,$Q6834*INDEX(DarlErsatzZins,15))</f>
      </c>
      <c r="Q6835" s="43">
        <f>IF($I6835=0,0,$Q6834+$P6835+$O6835)</f>
      </c>
      <c r="R6835" s="43">
        <f>IF($I6835=0,0,$J6835-$M6835-$N6835)</f>
      </c>
    </row>
    <row r="6836">
      <c r="A6836"/>
      <c r="B6836">
        <v>15</v>
      </c>
      <c r="C6836" s="43">
        <f>INDEX(DarlObj,15)</f>
      </c>
      <c r="D6836">
        <v>113</v>
      </c>
      <c r="E6836" s="51">
        <f>IF(INDEX(DarlBelegt,15)=0,0,EOMONTH(INDEX(DarlAuszahlung,15),112)+1)</f>
      </c>
      <c r="F6836" s="43">
        <f>IF($E6836=0,0,YEAR($E6836))</f>
      </c>
      <c r="G6836" s="43">
        <f>IF(INDEX(DarlBindung,15)="",1,IF($E6836&lt;=INDEX(DarlBindung,15),1,0))</f>
      </c>
      <c r="H6836" s="43">
        <f>IF($G6836=1,INDEX(DarlSollzins,15),INDEX(DarlAnschluss,15))</f>
      </c>
      <c r="I6836" s="43">
        <f>IF(INDEX(DarlBelegt,15)=0,0,IF(INDEX(DarlOhneTilgung,15)=1,IF(INDEX(DarlBindung,15)="",1,$G6836),IF($J6836&gt;0.005,1,0)))</f>
      </c>
      <c r="J6836" s="43">
        <f>IF($I6835=0,0,$R6835)</f>
      </c>
      <c r="K6836" s="43">
        <f>IF($I6836=0,0,IF(INDEX(DarlOhneTilgung,15)=1,0,IF(AND(INDEX(DarlTilgStart,15)&gt;0,$E6836=INDEX(DarlTilgStart,15)),$J6836*($H6836+INDEX(DarlTilgung,15))/100/12,IF(AND($G6836=0,$G6835=1),MAX($K6835,$J6836*($H6836+1)/100/12),$K6835))))</f>
      </c>
      <c r="L6836" s="43">
        <f>IF($I6836=0,0,$J6836*$H6836/100/12)</f>
      </c>
      <c r="M6836" s="43">
        <f>IF($I6836=0,0,IF(OR(INDEX(DarlOhneTilgung,15)=1,AND(INDEX(DarlTilgStart,15)&gt;0,$E6836&lt;INDEX(DarlTilgStart,15))),0,MIN(MAX(0,$K6836-$L6836),$J6836)))</f>
      </c>
      <c r="N6836" s="43">
        <f>IF($I6836=0,0,MIN(SUMIFS(SondBetrag,SondDarl,15,SondDatum,"&gt;="&amp;$E6836,SondDatum,"&lt;="&amp;EOMONTH($E6836,0)),$J6836-$M6836))</f>
      </c>
      <c r="O6836" s="43">
        <f>IF($I6836=0,0,INDEX(DarlErsatzRate,15))</f>
      </c>
      <c r="P6836" s="43">
        <f>IF($I6836=0,0,$Q6835*INDEX(DarlErsatzZins,15))</f>
      </c>
      <c r="Q6836" s="43">
        <f>IF($I6836=0,0,$Q6835+$P6836+$O6836)</f>
      </c>
      <c r="R6836" s="43">
        <f>IF($I6836=0,0,$J6836-$M6836-$N6836)</f>
      </c>
    </row>
    <row r="6837">
      <c r="A6837"/>
      <c r="B6837">
        <v>15</v>
      </c>
      <c r="C6837" s="43">
        <f>INDEX(DarlObj,15)</f>
      </c>
      <c r="D6837">
        <v>114</v>
      </c>
      <c r="E6837" s="51">
        <f>IF(INDEX(DarlBelegt,15)=0,0,EOMONTH(INDEX(DarlAuszahlung,15),113)+1)</f>
      </c>
      <c r="F6837" s="43">
        <f>IF($E6837=0,0,YEAR($E6837))</f>
      </c>
      <c r="G6837" s="43">
        <f>IF(INDEX(DarlBindung,15)="",1,IF($E6837&lt;=INDEX(DarlBindung,15),1,0))</f>
      </c>
      <c r="H6837" s="43">
        <f>IF($G6837=1,INDEX(DarlSollzins,15),INDEX(DarlAnschluss,15))</f>
      </c>
      <c r="I6837" s="43">
        <f>IF(INDEX(DarlBelegt,15)=0,0,IF(INDEX(DarlOhneTilgung,15)=1,IF(INDEX(DarlBindung,15)="",1,$G6837),IF($J6837&gt;0.005,1,0)))</f>
      </c>
      <c r="J6837" s="43">
        <f>IF($I6836=0,0,$R6836)</f>
      </c>
      <c r="K6837" s="43">
        <f>IF($I6837=0,0,IF(INDEX(DarlOhneTilgung,15)=1,0,IF(AND(INDEX(DarlTilgStart,15)&gt;0,$E6837=INDEX(DarlTilgStart,15)),$J6837*($H6837+INDEX(DarlTilgung,15))/100/12,IF(AND($G6837=0,$G6836=1),MAX($K6836,$J6837*($H6837+1)/100/12),$K6836))))</f>
      </c>
      <c r="L6837" s="43">
        <f>IF($I6837=0,0,$J6837*$H6837/100/12)</f>
      </c>
      <c r="M6837" s="43">
        <f>IF($I6837=0,0,IF(OR(INDEX(DarlOhneTilgung,15)=1,AND(INDEX(DarlTilgStart,15)&gt;0,$E6837&lt;INDEX(DarlTilgStart,15))),0,MIN(MAX(0,$K6837-$L6837),$J6837)))</f>
      </c>
      <c r="N6837" s="43">
        <f>IF($I6837=0,0,MIN(SUMIFS(SondBetrag,SondDarl,15,SondDatum,"&gt;="&amp;$E6837,SondDatum,"&lt;="&amp;EOMONTH($E6837,0)),$J6837-$M6837))</f>
      </c>
      <c r="O6837" s="43">
        <f>IF($I6837=0,0,INDEX(DarlErsatzRate,15))</f>
      </c>
      <c r="P6837" s="43">
        <f>IF($I6837=0,0,$Q6836*INDEX(DarlErsatzZins,15))</f>
      </c>
      <c r="Q6837" s="43">
        <f>IF($I6837=0,0,$Q6836+$P6837+$O6837)</f>
      </c>
      <c r="R6837" s="43">
        <f>IF($I6837=0,0,$J6837-$M6837-$N6837)</f>
      </c>
    </row>
    <row r="6838">
      <c r="A6838"/>
      <c r="B6838">
        <v>15</v>
      </c>
      <c r="C6838" s="43">
        <f>INDEX(DarlObj,15)</f>
      </c>
      <c r="D6838">
        <v>115</v>
      </c>
      <c r="E6838" s="51">
        <f>IF(INDEX(DarlBelegt,15)=0,0,EOMONTH(INDEX(DarlAuszahlung,15),114)+1)</f>
      </c>
      <c r="F6838" s="43">
        <f>IF($E6838=0,0,YEAR($E6838))</f>
      </c>
      <c r="G6838" s="43">
        <f>IF(INDEX(DarlBindung,15)="",1,IF($E6838&lt;=INDEX(DarlBindung,15),1,0))</f>
      </c>
      <c r="H6838" s="43">
        <f>IF($G6838=1,INDEX(DarlSollzins,15),INDEX(DarlAnschluss,15))</f>
      </c>
      <c r="I6838" s="43">
        <f>IF(INDEX(DarlBelegt,15)=0,0,IF(INDEX(DarlOhneTilgung,15)=1,IF(INDEX(DarlBindung,15)="",1,$G6838),IF($J6838&gt;0.005,1,0)))</f>
      </c>
      <c r="J6838" s="43">
        <f>IF($I6837=0,0,$R6837)</f>
      </c>
      <c r="K6838" s="43">
        <f>IF($I6838=0,0,IF(INDEX(DarlOhneTilgung,15)=1,0,IF(AND(INDEX(DarlTilgStart,15)&gt;0,$E6838=INDEX(DarlTilgStart,15)),$J6838*($H6838+INDEX(DarlTilgung,15))/100/12,IF(AND($G6838=0,$G6837=1),MAX($K6837,$J6838*($H6838+1)/100/12),$K6837))))</f>
      </c>
      <c r="L6838" s="43">
        <f>IF($I6838=0,0,$J6838*$H6838/100/12)</f>
      </c>
      <c r="M6838" s="43">
        <f>IF($I6838=0,0,IF(OR(INDEX(DarlOhneTilgung,15)=1,AND(INDEX(DarlTilgStart,15)&gt;0,$E6838&lt;INDEX(DarlTilgStart,15))),0,MIN(MAX(0,$K6838-$L6838),$J6838)))</f>
      </c>
      <c r="N6838" s="43">
        <f>IF($I6838=0,0,MIN(SUMIFS(SondBetrag,SondDarl,15,SondDatum,"&gt;="&amp;$E6838,SondDatum,"&lt;="&amp;EOMONTH($E6838,0)),$J6838-$M6838))</f>
      </c>
      <c r="O6838" s="43">
        <f>IF($I6838=0,0,INDEX(DarlErsatzRate,15))</f>
      </c>
      <c r="P6838" s="43">
        <f>IF($I6838=0,0,$Q6837*INDEX(DarlErsatzZins,15))</f>
      </c>
      <c r="Q6838" s="43">
        <f>IF($I6838=0,0,$Q6837+$P6838+$O6838)</f>
      </c>
      <c r="R6838" s="43">
        <f>IF($I6838=0,0,$J6838-$M6838-$N6838)</f>
      </c>
    </row>
    <row r="6839">
      <c r="A6839"/>
      <c r="B6839">
        <v>15</v>
      </c>
      <c r="C6839" s="43">
        <f>INDEX(DarlObj,15)</f>
      </c>
      <c r="D6839">
        <v>116</v>
      </c>
      <c r="E6839" s="51">
        <f>IF(INDEX(DarlBelegt,15)=0,0,EOMONTH(INDEX(DarlAuszahlung,15),115)+1)</f>
      </c>
      <c r="F6839" s="43">
        <f>IF($E6839=0,0,YEAR($E6839))</f>
      </c>
      <c r="G6839" s="43">
        <f>IF(INDEX(DarlBindung,15)="",1,IF($E6839&lt;=INDEX(DarlBindung,15),1,0))</f>
      </c>
      <c r="H6839" s="43">
        <f>IF($G6839=1,INDEX(DarlSollzins,15),INDEX(DarlAnschluss,15))</f>
      </c>
      <c r="I6839" s="43">
        <f>IF(INDEX(DarlBelegt,15)=0,0,IF(INDEX(DarlOhneTilgung,15)=1,IF(INDEX(DarlBindung,15)="",1,$G6839),IF($J6839&gt;0.005,1,0)))</f>
      </c>
      <c r="J6839" s="43">
        <f>IF($I6838=0,0,$R6838)</f>
      </c>
      <c r="K6839" s="43">
        <f>IF($I6839=0,0,IF(INDEX(DarlOhneTilgung,15)=1,0,IF(AND(INDEX(DarlTilgStart,15)&gt;0,$E6839=INDEX(DarlTilgStart,15)),$J6839*($H6839+INDEX(DarlTilgung,15))/100/12,IF(AND($G6839=0,$G6838=1),MAX($K6838,$J6839*($H6839+1)/100/12),$K6838))))</f>
      </c>
      <c r="L6839" s="43">
        <f>IF($I6839=0,0,$J6839*$H6839/100/12)</f>
      </c>
      <c r="M6839" s="43">
        <f>IF($I6839=0,0,IF(OR(INDEX(DarlOhneTilgung,15)=1,AND(INDEX(DarlTilgStart,15)&gt;0,$E6839&lt;INDEX(DarlTilgStart,15))),0,MIN(MAX(0,$K6839-$L6839),$J6839)))</f>
      </c>
      <c r="N6839" s="43">
        <f>IF($I6839=0,0,MIN(SUMIFS(SondBetrag,SondDarl,15,SondDatum,"&gt;="&amp;$E6839,SondDatum,"&lt;="&amp;EOMONTH($E6839,0)),$J6839-$M6839))</f>
      </c>
      <c r="O6839" s="43">
        <f>IF($I6839=0,0,INDEX(DarlErsatzRate,15))</f>
      </c>
      <c r="P6839" s="43">
        <f>IF($I6839=0,0,$Q6838*INDEX(DarlErsatzZins,15))</f>
      </c>
      <c r="Q6839" s="43">
        <f>IF($I6839=0,0,$Q6838+$P6839+$O6839)</f>
      </c>
      <c r="R6839" s="43">
        <f>IF($I6839=0,0,$J6839-$M6839-$N6839)</f>
      </c>
    </row>
    <row r="6840">
      <c r="A6840"/>
      <c r="B6840">
        <v>15</v>
      </c>
      <c r="C6840" s="43">
        <f>INDEX(DarlObj,15)</f>
      </c>
      <c r="D6840">
        <v>117</v>
      </c>
      <c r="E6840" s="51">
        <f>IF(INDEX(DarlBelegt,15)=0,0,EOMONTH(INDEX(DarlAuszahlung,15),116)+1)</f>
      </c>
      <c r="F6840" s="43">
        <f>IF($E6840=0,0,YEAR($E6840))</f>
      </c>
      <c r="G6840" s="43">
        <f>IF(INDEX(DarlBindung,15)="",1,IF($E6840&lt;=INDEX(DarlBindung,15),1,0))</f>
      </c>
      <c r="H6840" s="43">
        <f>IF($G6840=1,INDEX(DarlSollzins,15),INDEX(DarlAnschluss,15))</f>
      </c>
      <c r="I6840" s="43">
        <f>IF(INDEX(DarlBelegt,15)=0,0,IF(INDEX(DarlOhneTilgung,15)=1,IF(INDEX(DarlBindung,15)="",1,$G6840),IF($J6840&gt;0.005,1,0)))</f>
      </c>
      <c r="J6840" s="43">
        <f>IF($I6839=0,0,$R6839)</f>
      </c>
      <c r="K6840" s="43">
        <f>IF($I6840=0,0,IF(INDEX(DarlOhneTilgung,15)=1,0,IF(AND(INDEX(DarlTilgStart,15)&gt;0,$E6840=INDEX(DarlTilgStart,15)),$J6840*($H6840+INDEX(DarlTilgung,15))/100/12,IF(AND($G6840=0,$G6839=1),MAX($K6839,$J6840*($H6840+1)/100/12),$K6839))))</f>
      </c>
      <c r="L6840" s="43">
        <f>IF($I6840=0,0,$J6840*$H6840/100/12)</f>
      </c>
      <c r="M6840" s="43">
        <f>IF($I6840=0,0,IF(OR(INDEX(DarlOhneTilgung,15)=1,AND(INDEX(DarlTilgStart,15)&gt;0,$E6840&lt;INDEX(DarlTilgStart,15))),0,MIN(MAX(0,$K6840-$L6840),$J6840)))</f>
      </c>
      <c r="N6840" s="43">
        <f>IF($I6840=0,0,MIN(SUMIFS(SondBetrag,SondDarl,15,SondDatum,"&gt;="&amp;$E6840,SondDatum,"&lt;="&amp;EOMONTH($E6840,0)),$J6840-$M6840))</f>
      </c>
      <c r="O6840" s="43">
        <f>IF($I6840=0,0,INDEX(DarlErsatzRate,15))</f>
      </c>
      <c r="P6840" s="43">
        <f>IF($I6840=0,0,$Q6839*INDEX(DarlErsatzZins,15))</f>
      </c>
      <c r="Q6840" s="43">
        <f>IF($I6840=0,0,$Q6839+$P6840+$O6840)</f>
      </c>
      <c r="R6840" s="43">
        <f>IF($I6840=0,0,$J6840-$M6840-$N6840)</f>
      </c>
    </row>
    <row r="6841">
      <c r="A6841"/>
      <c r="B6841">
        <v>15</v>
      </c>
      <c r="C6841" s="43">
        <f>INDEX(DarlObj,15)</f>
      </c>
      <c r="D6841">
        <v>118</v>
      </c>
      <c r="E6841" s="51">
        <f>IF(INDEX(DarlBelegt,15)=0,0,EOMONTH(INDEX(DarlAuszahlung,15),117)+1)</f>
      </c>
      <c r="F6841" s="43">
        <f>IF($E6841=0,0,YEAR($E6841))</f>
      </c>
      <c r="G6841" s="43">
        <f>IF(INDEX(DarlBindung,15)="",1,IF($E6841&lt;=INDEX(DarlBindung,15),1,0))</f>
      </c>
      <c r="H6841" s="43">
        <f>IF($G6841=1,INDEX(DarlSollzins,15),INDEX(DarlAnschluss,15))</f>
      </c>
      <c r="I6841" s="43">
        <f>IF(INDEX(DarlBelegt,15)=0,0,IF(INDEX(DarlOhneTilgung,15)=1,IF(INDEX(DarlBindung,15)="",1,$G6841),IF($J6841&gt;0.005,1,0)))</f>
      </c>
      <c r="J6841" s="43">
        <f>IF($I6840=0,0,$R6840)</f>
      </c>
      <c r="K6841" s="43">
        <f>IF($I6841=0,0,IF(INDEX(DarlOhneTilgung,15)=1,0,IF(AND(INDEX(DarlTilgStart,15)&gt;0,$E6841=INDEX(DarlTilgStart,15)),$J6841*($H6841+INDEX(DarlTilgung,15))/100/12,IF(AND($G6841=0,$G6840=1),MAX($K6840,$J6841*($H6841+1)/100/12),$K6840))))</f>
      </c>
      <c r="L6841" s="43">
        <f>IF($I6841=0,0,$J6841*$H6841/100/12)</f>
      </c>
      <c r="M6841" s="43">
        <f>IF($I6841=0,0,IF(OR(INDEX(DarlOhneTilgung,15)=1,AND(INDEX(DarlTilgStart,15)&gt;0,$E6841&lt;INDEX(DarlTilgStart,15))),0,MIN(MAX(0,$K6841-$L6841),$J6841)))</f>
      </c>
      <c r="N6841" s="43">
        <f>IF($I6841=0,0,MIN(SUMIFS(SondBetrag,SondDarl,15,SondDatum,"&gt;="&amp;$E6841,SondDatum,"&lt;="&amp;EOMONTH($E6841,0)),$J6841-$M6841))</f>
      </c>
      <c r="O6841" s="43">
        <f>IF($I6841=0,0,INDEX(DarlErsatzRate,15))</f>
      </c>
      <c r="P6841" s="43">
        <f>IF($I6841=0,0,$Q6840*INDEX(DarlErsatzZins,15))</f>
      </c>
      <c r="Q6841" s="43">
        <f>IF($I6841=0,0,$Q6840+$P6841+$O6841)</f>
      </c>
      <c r="R6841" s="43">
        <f>IF($I6841=0,0,$J6841-$M6841-$N6841)</f>
      </c>
    </row>
    <row r="6842">
      <c r="A6842"/>
      <c r="B6842">
        <v>15</v>
      </c>
      <c r="C6842" s="43">
        <f>INDEX(DarlObj,15)</f>
      </c>
      <c r="D6842">
        <v>119</v>
      </c>
      <c r="E6842" s="51">
        <f>IF(INDEX(DarlBelegt,15)=0,0,EOMONTH(INDEX(DarlAuszahlung,15),118)+1)</f>
      </c>
      <c r="F6842" s="43">
        <f>IF($E6842=0,0,YEAR($E6842))</f>
      </c>
      <c r="G6842" s="43">
        <f>IF(INDEX(DarlBindung,15)="",1,IF($E6842&lt;=INDEX(DarlBindung,15),1,0))</f>
      </c>
      <c r="H6842" s="43">
        <f>IF($G6842=1,INDEX(DarlSollzins,15),INDEX(DarlAnschluss,15))</f>
      </c>
      <c r="I6842" s="43">
        <f>IF(INDEX(DarlBelegt,15)=0,0,IF(INDEX(DarlOhneTilgung,15)=1,IF(INDEX(DarlBindung,15)="",1,$G6842),IF($J6842&gt;0.005,1,0)))</f>
      </c>
      <c r="J6842" s="43">
        <f>IF($I6841=0,0,$R6841)</f>
      </c>
      <c r="K6842" s="43">
        <f>IF($I6842=0,0,IF(INDEX(DarlOhneTilgung,15)=1,0,IF(AND(INDEX(DarlTilgStart,15)&gt;0,$E6842=INDEX(DarlTilgStart,15)),$J6842*($H6842+INDEX(DarlTilgung,15))/100/12,IF(AND($G6842=0,$G6841=1),MAX($K6841,$J6842*($H6842+1)/100/12),$K6841))))</f>
      </c>
      <c r="L6842" s="43">
        <f>IF($I6842=0,0,$J6842*$H6842/100/12)</f>
      </c>
      <c r="M6842" s="43">
        <f>IF($I6842=0,0,IF(OR(INDEX(DarlOhneTilgung,15)=1,AND(INDEX(DarlTilgStart,15)&gt;0,$E6842&lt;INDEX(DarlTilgStart,15))),0,MIN(MAX(0,$K6842-$L6842),$J6842)))</f>
      </c>
      <c r="N6842" s="43">
        <f>IF($I6842=0,0,MIN(SUMIFS(SondBetrag,SondDarl,15,SondDatum,"&gt;="&amp;$E6842,SondDatum,"&lt;="&amp;EOMONTH($E6842,0)),$J6842-$M6842))</f>
      </c>
      <c r="O6842" s="43">
        <f>IF($I6842=0,0,INDEX(DarlErsatzRate,15))</f>
      </c>
      <c r="P6842" s="43">
        <f>IF($I6842=0,0,$Q6841*INDEX(DarlErsatzZins,15))</f>
      </c>
      <c r="Q6842" s="43">
        <f>IF($I6842=0,0,$Q6841+$P6842+$O6842)</f>
      </c>
      <c r="R6842" s="43">
        <f>IF($I6842=0,0,$J6842-$M6842-$N6842)</f>
      </c>
    </row>
    <row r="6843">
      <c r="A6843"/>
      <c r="B6843">
        <v>15</v>
      </c>
      <c r="C6843" s="43">
        <f>INDEX(DarlObj,15)</f>
      </c>
      <c r="D6843">
        <v>120</v>
      </c>
      <c r="E6843" s="51">
        <f>IF(INDEX(DarlBelegt,15)=0,0,EOMONTH(INDEX(DarlAuszahlung,15),119)+1)</f>
      </c>
      <c r="F6843" s="43">
        <f>IF($E6843=0,0,YEAR($E6843))</f>
      </c>
      <c r="G6843" s="43">
        <f>IF(INDEX(DarlBindung,15)="",1,IF($E6843&lt;=INDEX(DarlBindung,15),1,0))</f>
      </c>
      <c r="H6843" s="43">
        <f>IF($G6843=1,INDEX(DarlSollzins,15),INDEX(DarlAnschluss,15))</f>
      </c>
      <c r="I6843" s="43">
        <f>IF(INDEX(DarlBelegt,15)=0,0,IF(INDEX(DarlOhneTilgung,15)=1,IF(INDEX(DarlBindung,15)="",1,$G6843),IF($J6843&gt;0.005,1,0)))</f>
      </c>
      <c r="J6843" s="43">
        <f>IF($I6842=0,0,$R6842)</f>
      </c>
      <c r="K6843" s="43">
        <f>IF($I6843=0,0,IF(INDEX(DarlOhneTilgung,15)=1,0,IF(AND(INDEX(DarlTilgStart,15)&gt;0,$E6843=INDEX(DarlTilgStart,15)),$J6843*($H6843+INDEX(DarlTilgung,15))/100/12,IF(AND($G6843=0,$G6842=1),MAX($K6842,$J6843*($H6843+1)/100/12),$K6842))))</f>
      </c>
      <c r="L6843" s="43">
        <f>IF($I6843=0,0,$J6843*$H6843/100/12)</f>
      </c>
      <c r="M6843" s="43">
        <f>IF($I6843=0,0,IF(OR(INDEX(DarlOhneTilgung,15)=1,AND(INDEX(DarlTilgStart,15)&gt;0,$E6843&lt;INDEX(DarlTilgStart,15))),0,MIN(MAX(0,$K6843-$L6843),$J6843)))</f>
      </c>
      <c r="N6843" s="43">
        <f>IF($I6843=0,0,MIN(SUMIFS(SondBetrag,SondDarl,15,SondDatum,"&gt;="&amp;$E6843,SondDatum,"&lt;="&amp;EOMONTH($E6843,0)),$J6843-$M6843))</f>
      </c>
      <c r="O6843" s="43">
        <f>IF($I6843=0,0,INDEX(DarlErsatzRate,15))</f>
      </c>
      <c r="P6843" s="43">
        <f>IF($I6843=0,0,$Q6842*INDEX(DarlErsatzZins,15))</f>
      </c>
      <c r="Q6843" s="43">
        <f>IF($I6843=0,0,$Q6842+$P6843+$O6843)</f>
      </c>
      <c r="R6843" s="43">
        <f>IF($I6843=0,0,$J6843-$M6843-$N6843)</f>
      </c>
    </row>
    <row r="6844">
      <c r="A6844"/>
      <c r="B6844">
        <v>15</v>
      </c>
      <c r="C6844" s="43">
        <f>INDEX(DarlObj,15)</f>
      </c>
      <c r="D6844">
        <v>121</v>
      </c>
      <c r="E6844" s="51">
        <f>IF(INDEX(DarlBelegt,15)=0,0,EOMONTH(INDEX(DarlAuszahlung,15),120)+1)</f>
      </c>
      <c r="F6844" s="43">
        <f>IF($E6844=0,0,YEAR($E6844))</f>
      </c>
      <c r="G6844" s="43">
        <f>IF(INDEX(DarlBindung,15)="",1,IF($E6844&lt;=INDEX(DarlBindung,15),1,0))</f>
      </c>
      <c r="H6844" s="43">
        <f>IF($G6844=1,INDEX(DarlSollzins,15),INDEX(DarlAnschluss,15))</f>
      </c>
      <c r="I6844" s="43">
        <f>IF(INDEX(DarlBelegt,15)=0,0,IF(INDEX(DarlOhneTilgung,15)=1,IF(INDEX(DarlBindung,15)="",1,$G6844),IF($J6844&gt;0.005,1,0)))</f>
      </c>
      <c r="J6844" s="43">
        <f>IF($I6843=0,0,$R6843)</f>
      </c>
      <c r="K6844" s="43">
        <f>IF($I6844=0,0,IF(INDEX(DarlOhneTilgung,15)=1,0,IF(AND(INDEX(DarlTilgStart,15)&gt;0,$E6844=INDEX(DarlTilgStart,15)),$J6844*($H6844+INDEX(DarlTilgung,15))/100/12,IF(AND($G6844=0,$G6843=1),MAX($K6843,$J6844*($H6844+1)/100/12),$K6843))))</f>
      </c>
      <c r="L6844" s="43">
        <f>IF($I6844=0,0,$J6844*$H6844/100/12)</f>
      </c>
      <c r="M6844" s="43">
        <f>IF($I6844=0,0,IF(OR(INDEX(DarlOhneTilgung,15)=1,AND(INDEX(DarlTilgStart,15)&gt;0,$E6844&lt;INDEX(DarlTilgStart,15))),0,MIN(MAX(0,$K6844-$L6844),$J6844)))</f>
      </c>
      <c r="N6844" s="43">
        <f>IF($I6844=0,0,MIN(SUMIFS(SondBetrag,SondDarl,15,SondDatum,"&gt;="&amp;$E6844,SondDatum,"&lt;="&amp;EOMONTH($E6844,0)),$J6844-$M6844))</f>
      </c>
      <c r="O6844" s="43">
        <f>IF($I6844=0,0,INDEX(DarlErsatzRate,15))</f>
      </c>
      <c r="P6844" s="43">
        <f>IF($I6844=0,0,$Q6843*INDEX(DarlErsatzZins,15))</f>
      </c>
      <c r="Q6844" s="43">
        <f>IF($I6844=0,0,$Q6843+$P6844+$O6844)</f>
      </c>
      <c r="R6844" s="43">
        <f>IF($I6844=0,0,$J6844-$M6844-$N6844)</f>
      </c>
    </row>
    <row r="6845">
      <c r="A6845"/>
      <c r="B6845">
        <v>15</v>
      </c>
      <c r="C6845" s="43">
        <f>INDEX(DarlObj,15)</f>
      </c>
      <c r="D6845">
        <v>122</v>
      </c>
      <c r="E6845" s="51">
        <f>IF(INDEX(DarlBelegt,15)=0,0,EOMONTH(INDEX(DarlAuszahlung,15),121)+1)</f>
      </c>
      <c r="F6845" s="43">
        <f>IF($E6845=0,0,YEAR($E6845))</f>
      </c>
      <c r="G6845" s="43">
        <f>IF(INDEX(DarlBindung,15)="",1,IF($E6845&lt;=INDEX(DarlBindung,15),1,0))</f>
      </c>
      <c r="H6845" s="43">
        <f>IF($G6845=1,INDEX(DarlSollzins,15),INDEX(DarlAnschluss,15))</f>
      </c>
      <c r="I6845" s="43">
        <f>IF(INDEX(DarlBelegt,15)=0,0,IF(INDEX(DarlOhneTilgung,15)=1,IF(INDEX(DarlBindung,15)="",1,$G6845),IF($J6845&gt;0.005,1,0)))</f>
      </c>
      <c r="J6845" s="43">
        <f>IF($I6844=0,0,$R6844)</f>
      </c>
      <c r="K6845" s="43">
        <f>IF($I6845=0,0,IF(INDEX(DarlOhneTilgung,15)=1,0,IF(AND(INDEX(DarlTilgStart,15)&gt;0,$E6845=INDEX(DarlTilgStart,15)),$J6845*($H6845+INDEX(DarlTilgung,15))/100/12,IF(AND($G6845=0,$G6844=1),MAX($K6844,$J6845*($H6845+1)/100/12),$K6844))))</f>
      </c>
      <c r="L6845" s="43">
        <f>IF($I6845=0,0,$J6845*$H6845/100/12)</f>
      </c>
      <c r="M6845" s="43">
        <f>IF($I6845=0,0,IF(OR(INDEX(DarlOhneTilgung,15)=1,AND(INDEX(DarlTilgStart,15)&gt;0,$E6845&lt;INDEX(DarlTilgStart,15))),0,MIN(MAX(0,$K6845-$L6845),$J6845)))</f>
      </c>
      <c r="N6845" s="43">
        <f>IF($I6845=0,0,MIN(SUMIFS(SondBetrag,SondDarl,15,SondDatum,"&gt;="&amp;$E6845,SondDatum,"&lt;="&amp;EOMONTH($E6845,0)),$J6845-$M6845))</f>
      </c>
      <c r="O6845" s="43">
        <f>IF($I6845=0,0,INDEX(DarlErsatzRate,15))</f>
      </c>
      <c r="P6845" s="43">
        <f>IF($I6845=0,0,$Q6844*INDEX(DarlErsatzZins,15))</f>
      </c>
      <c r="Q6845" s="43">
        <f>IF($I6845=0,0,$Q6844+$P6845+$O6845)</f>
      </c>
      <c r="R6845" s="43">
        <f>IF($I6845=0,0,$J6845-$M6845-$N6845)</f>
      </c>
    </row>
    <row r="6846">
      <c r="A6846"/>
      <c r="B6846">
        <v>15</v>
      </c>
      <c r="C6846" s="43">
        <f>INDEX(DarlObj,15)</f>
      </c>
      <c r="D6846">
        <v>123</v>
      </c>
      <c r="E6846" s="51">
        <f>IF(INDEX(DarlBelegt,15)=0,0,EOMONTH(INDEX(DarlAuszahlung,15),122)+1)</f>
      </c>
      <c r="F6846" s="43">
        <f>IF($E6846=0,0,YEAR($E6846))</f>
      </c>
      <c r="G6846" s="43">
        <f>IF(INDEX(DarlBindung,15)="",1,IF($E6846&lt;=INDEX(DarlBindung,15),1,0))</f>
      </c>
      <c r="H6846" s="43">
        <f>IF($G6846=1,INDEX(DarlSollzins,15),INDEX(DarlAnschluss,15))</f>
      </c>
      <c r="I6846" s="43">
        <f>IF(INDEX(DarlBelegt,15)=0,0,IF(INDEX(DarlOhneTilgung,15)=1,IF(INDEX(DarlBindung,15)="",1,$G6846),IF($J6846&gt;0.005,1,0)))</f>
      </c>
      <c r="J6846" s="43">
        <f>IF($I6845=0,0,$R6845)</f>
      </c>
      <c r="K6846" s="43">
        <f>IF($I6846=0,0,IF(INDEX(DarlOhneTilgung,15)=1,0,IF(AND(INDEX(DarlTilgStart,15)&gt;0,$E6846=INDEX(DarlTilgStart,15)),$J6846*($H6846+INDEX(DarlTilgung,15))/100/12,IF(AND($G6846=0,$G6845=1),MAX($K6845,$J6846*($H6846+1)/100/12),$K6845))))</f>
      </c>
      <c r="L6846" s="43">
        <f>IF($I6846=0,0,$J6846*$H6846/100/12)</f>
      </c>
      <c r="M6846" s="43">
        <f>IF($I6846=0,0,IF(OR(INDEX(DarlOhneTilgung,15)=1,AND(INDEX(DarlTilgStart,15)&gt;0,$E6846&lt;INDEX(DarlTilgStart,15))),0,MIN(MAX(0,$K6846-$L6846),$J6846)))</f>
      </c>
      <c r="N6846" s="43">
        <f>IF($I6846=0,0,MIN(SUMIFS(SondBetrag,SondDarl,15,SondDatum,"&gt;="&amp;$E6846,SondDatum,"&lt;="&amp;EOMONTH($E6846,0)),$J6846-$M6846))</f>
      </c>
      <c r="O6846" s="43">
        <f>IF($I6846=0,0,INDEX(DarlErsatzRate,15))</f>
      </c>
      <c r="P6846" s="43">
        <f>IF($I6846=0,0,$Q6845*INDEX(DarlErsatzZins,15))</f>
      </c>
      <c r="Q6846" s="43">
        <f>IF($I6846=0,0,$Q6845+$P6846+$O6846)</f>
      </c>
      <c r="R6846" s="43">
        <f>IF($I6846=0,0,$J6846-$M6846-$N6846)</f>
      </c>
    </row>
    <row r="6847">
      <c r="A6847"/>
      <c r="B6847">
        <v>15</v>
      </c>
      <c r="C6847" s="43">
        <f>INDEX(DarlObj,15)</f>
      </c>
      <c r="D6847">
        <v>124</v>
      </c>
      <c r="E6847" s="51">
        <f>IF(INDEX(DarlBelegt,15)=0,0,EOMONTH(INDEX(DarlAuszahlung,15),123)+1)</f>
      </c>
      <c r="F6847" s="43">
        <f>IF($E6847=0,0,YEAR($E6847))</f>
      </c>
      <c r="G6847" s="43">
        <f>IF(INDEX(DarlBindung,15)="",1,IF($E6847&lt;=INDEX(DarlBindung,15),1,0))</f>
      </c>
      <c r="H6847" s="43">
        <f>IF($G6847=1,INDEX(DarlSollzins,15),INDEX(DarlAnschluss,15))</f>
      </c>
      <c r="I6847" s="43">
        <f>IF(INDEX(DarlBelegt,15)=0,0,IF(INDEX(DarlOhneTilgung,15)=1,IF(INDEX(DarlBindung,15)="",1,$G6847),IF($J6847&gt;0.005,1,0)))</f>
      </c>
      <c r="J6847" s="43">
        <f>IF($I6846=0,0,$R6846)</f>
      </c>
      <c r="K6847" s="43">
        <f>IF($I6847=0,0,IF(INDEX(DarlOhneTilgung,15)=1,0,IF(AND(INDEX(DarlTilgStart,15)&gt;0,$E6847=INDEX(DarlTilgStart,15)),$J6847*($H6847+INDEX(DarlTilgung,15))/100/12,IF(AND($G6847=0,$G6846=1),MAX($K6846,$J6847*($H6847+1)/100/12),$K6846))))</f>
      </c>
      <c r="L6847" s="43">
        <f>IF($I6847=0,0,$J6847*$H6847/100/12)</f>
      </c>
      <c r="M6847" s="43">
        <f>IF($I6847=0,0,IF(OR(INDEX(DarlOhneTilgung,15)=1,AND(INDEX(DarlTilgStart,15)&gt;0,$E6847&lt;INDEX(DarlTilgStart,15))),0,MIN(MAX(0,$K6847-$L6847),$J6847)))</f>
      </c>
      <c r="N6847" s="43">
        <f>IF($I6847=0,0,MIN(SUMIFS(SondBetrag,SondDarl,15,SondDatum,"&gt;="&amp;$E6847,SondDatum,"&lt;="&amp;EOMONTH($E6847,0)),$J6847-$M6847))</f>
      </c>
      <c r="O6847" s="43">
        <f>IF($I6847=0,0,INDEX(DarlErsatzRate,15))</f>
      </c>
      <c r="P6847" s="43">
        <f>IF($I6847=0,0,$Q6846*INDEX(DarlErsatzZins,15))</f>
      </c>
      <c r="Q6847" s="43">
        <f>IF($I6847=0,0,$Q6846+$P6847+$O6847)</f>
      </c>
      <c r="R6847" s="43">
        <f>IF($I6847=0,0,$J6847-$M6847-$N6847)</f>
      </c>
    </row>
    <row r="6848">
      <c r="A6848"/>
      <c r="B6848">
        <v>15</v>
      </c>
      <c r="C6848" s="43">
        <f>INDEX(DarlObj,15)</f>
      </c>
      <c r="D6848">
        <v>125</v>
      </c>
      <c r="E6848" s="51">
        <f>IF(INDEX(DarlBelegt,15)=0,0,EOMONTH(INDEX(DarlAuszahlung,15),124)+1)</f>
      </c>
      <c r="F6848" s="43">
        <f>IF($E6848=0,0,YEAR($E6848))</f>
      </c>
      <c r="G6848" s="43">
        <f>IF(INDEX(DarlBindung,15)="",1,IF($E6848&lt;=INDEX(DarlBindung,15),1,0))</f>
      </c>
      <c r="H6848" s="43">
        <f>IF($G6848=1,INDEX(DarlSollzins,15),INDEX(DarlAnschluss,15))</f>
      </c>
      <c r="I6848" s="43">
        <f>IF(INDEX(DarlBelegt,15)=0,0,IF(INDEX(DarlOhneTilgung,15)=1,IF(INDEX(DarlBindung,15)="",1,$G6848),IF($J6848&gt;0.005,1,0)))</f>
      </c>
      <c r="J6848" s="43">
        <f>IF($I6847=0,0,$R6847)</f>
      </c>
      <c r="K6848" s="43">
        <f>IF($I6848=0,0,IF(INDEX(DarlOhneTilgung,15)=1,0,IF(AND(INDEX(DarlTilgStart,15)&gt;0,$E6848=INDEX(DarlTilgStart,15)),$J6848*($H6848+INDEX(DarlTilgung,15))/100/12,IF(AND($G6848=0,$G6847=1),MAX($K6847,$J6848*($H6848+1)/100/12),$K6847))))</f>
      </c>
      <c r="L6848" s="43">
        <f>IF($I6848=0,0,$J6848*$H6848/100/12)</f>
      </c>
      <c r="M6848" s="43">
        <f>IF($I6848=0,0,IF(OR(INDEX(DarlOhneTilgung,15)=1,AND(INDEX(DarlTilgStart,15)&gt;0,$E6848&lt;INDEX(DarlTilgStart,15))),0,MIN(MAX(0,$K6848-$L6848),$J6848)))</f>
      </c>
      <c r="N6848" s="43">
        <f>IF($I6848=0,0,MIN(SUMIFS(SondBetrag,SondDarl,15,SondDatum,"&gt;="&amp;$E6848,SondDatum,"&lt;="&amp;EOMONTH($E6848,0)),$J6848-$M6848))</f>
      </c>
      <c r="O6848" s="43">
        <f>IF($I6848=0,0,INDEX(DarlErsatzRate,15))</f>
      </c>
      <c r="P6848" s="43">
        <f>IF($I6848=0,0,$Q6847*INDEX(DarlErsatzZins,15))</f>
      </c>
      <c r="Q6848" s="43">
        <f>IF($I6848=0,0,$Q6847+$P6848+$O6848)</f>
      </c>
      <c r="R6848" s="43">
        <f>IF($I6848=0,0,$J6848-$M6848-$N6848)</f>
      </c>
    </row>
    <row r="6849">
      <c r="A6849"/>
      <c r="B6849">
        <v>15</v>
      </c>
      <c r="C6849" s="43">
        <f>INDEX(DarlObj,15)</f>
      </c>
      <c r="D6849">
        <v>126</v>
      </c>
      <c r="E6849" s="51">
        <f>IF(INDEX(DarlBelegt,15)=0,0,EOMONTH(INDEX(DarlAuszahlung,15),125)+1)</f>
      </c>
      <c r="F6849" s="43">
        <f>IF($E6849=0,0,YEAR($E6849))</f>
      </c>
      <c r="G6849" s="43">
        <f>IF(INDEX(DarlBindung,15)="",1,IF($E6849&lt;=INDEX(DarlBindung,15),1,0))</f>
      </c>
      <c r="H6849" s="43">
        <f>IF($G6849=1,INDEX(DarlSollzins,15),INDEX(DarlAnschluss,15))</f>
      </c>
      <c r="I6849" s="43">
        <f>IF(INDEX(DarlBelegt,15)=0,0,IF(INDEX(DarlOhneTilgung,15)=1,IF(INDEX(DarlBindung,15)="",1,$G6849),IF($J6849&gt;0.005,1,0)))</f>
      </c>
      <c r="J6849" s="43">
        <f>IF($I6848=0,0,$R6848)</f>
      </c>
      <c r="K6849" s="43">
        <f>IF($I6849=0,0,IF(INDEX(DarlOhneTilgung,15)=1,0,IF(AND(INDEX(DarlTilgStart,15)&gt;0,$E6849=INDEX(DarlTilgStart,15)),$J6849*($H6849+INDEX(DarlTilgung,15))/100/12,IF(AND($G6849=0,$G6848=1),MAX($K6848,$J6849*($H6849+1)/100/12),$K6848))))</f>
      </c>
      <c r="L6849" s="43">
        <f>IF($I6849=0,0,$J6849*$H6849/100/12)</f>
      </c>
      <c r="M6849" s="43">
        <f>IF($I6849=0,0,IF(OR(INDEX(DarlOhneTilgung,15)=1,AND(INDEX(DarlTilgStart,15)&gt;0,$E6849&lt;INDEX(DarlTilgStart,15))),0,MIN(MAX(0,$K6849-$L6849),$J6849)))</f>
      </c>
      <c r="N6849" s="43">
        <f>IF($I6849=0,0,MIN(SUMIFS(SondBetrag,SondDarl,15,SondDatum,"&gt;="&amp;$E6849,SondDatum,"&lt;="&amp;EOMONTH($E6849,0)),$J6849-$M6849))</f>
      </c>
      <c r="O6849" s="43">
        <f>IF($I6849=0,0,INDEX(DarlErsatzRate,15))</f>
      </c>
      <c r="P6849" s="43">
        <f>IF($I6849=0,0,$Q6848*INDEX(DarlErsatzZins,15))</f>
      </c>
      <c r="Q6849" s="43">
        <f>IF($I6849=0,0,$Q6848+$P6849+$O6849)</f>
      </c>
      <c r="R6849" s="43">
        <f>IF($I6849=0,0,$J6849-$M6849-$N6849)</f>
      </c>
    </row>
    <row r="6850">
      <c r="A6850"/>
      <c r="B6850">
        <v>15</v>
      </c>
      <c r="C6850" s="43">
        <f>INDEX(DarlObj,15)</f>
      </c>
      <c r="D6850">
        <v>127</v>
      </c>
      <c r="E6850" s="51">
        <f>IF(INDEX(DarlBelegt,15)=0,0,EOMONTH(INDEX(DarlAuszahlung,15),126)+1)</f>
      </c>
      <c r="F6850" s="43">
        <f>IF($E6850=0,0,YEAR($E6850))</f>
      </c>
      <c r="G6850" s="43">
        <f>IF(INDEX(DarlBindung,15)="",1,IF($E6850&lt;=INDEX(DarlBindung,15),1,0))</f>
      </c>
      <c r="H6850" s="43">
        <f>IF($G6850=1,INDEX(DarlSollzins,15),INDEX(DarlAnschluss,15))</f>
      </c>
      <c r="I6850" s="43">
        <f>IF(INDEX(DarlBelegt,15)=0,0,IF(INDEX(DarlOhneTilgung,15)=1,IF(INDEX(DarlBindung,15)="",1,$G6850),IF($J6850&gt;0.005,1,0)))</f>
      </c>
      <c r="J6850" s="43">
        <f>IF($I6849=0,0,$R6849)</f>
      </c>
      <c r="K6850" s="43">
        <f>IF($I6850=0,0,IF(INDEX(DarlOhneTilgung,15)=1,0,IF(AND(INDEX(DarlTilgStart,15)&gt;0,$E6850=INDEX(DarlTilgStart,15)),$J6850*($H6850+INDEX(DarlTilgung,15))/100/12,IF(AND($G6850=0,$G6849=1),MAX($K6849,$J6850*($H6850+1)/100/12),$K6849))))</f>
      </c>
      <c r="L6850" s="43">
        <f>IF($I6850=0,0,$J6850*$H6850/100/12)</f>
      </c>
      <c r="M6850" s="43">
        <f>IF($I6850=0,0,IF(OR(INDEX(DarlOhneTilgung,15)=1,AND(INDEX(DarlTilgStart,15)&gt;0,$E6850&lt;INDEX(DarlTilgStart,15))),0,MIN(MAX(0,$K6850-$L6850),$J6850)))</f>
      </c>
      <c r="N6850" s="43">
        <f>IF($I6850=0,0,MIN(SUMIFS(SondBetrag,SondDarl,15,SondDatum,"&gt;="&amp;$E6850,SondDatum,"&lt;="&amp;EOMONTH($E6850,0)),$J6850-$M6850))</f>
      </c>
      <c r="O6850" s="43">
        <f>IF($I6850=0,0,INDEX(DarlErsatzRate,15))</f>
      </c>
      <c r="P6850" s="43">
        <f>IF($I6850=0,0,$Q6849*INDEX(DarlErsatzZins,15))</f>
      </c>
      <c r="Q6850" s="43">
        <f>IF($I6850=0,0,$Q6849+$P6850+$O6850)</f>
      </c>
      <c r="R6850" s="43">
        <f>IF($I6850=0,0,$J6850-$M6850-$N6850)</f>
      </c>
    </row>
    <row r="6851">
      <c r="A6851"/>
      <c r="B6851">
        <v>15</v>
      </c>
      <c r="C6851" s="43">
        <f>INDEX(DarlObj,15)</f>
      </c>
      <c r="D6851">
        <v>128</v>
      </c>
      <c r="E6851" s="51">
        <f>IF(INDEX(DarlBelegt,15)=0,0,EOMONTH(INDEX(DarlAuszahlung,15),127)+1)</f>
      </c>
      <c r="F6851" s="43">
        <f>IF($E6851=0,0,YEAR($E6851))</f>
      </c>
      <c r="G6851" s="43">
        <f>IF(INDEX(DarlBindung,15)="",1,IF($E6851&lt;=INDEX(DarlBindung,15),1,0))</f>
      </c>
      <c r="H6851" s="43">
        <f>IF($G6851=1,INDEX(DarlSollzins,15),INDEX(DarlAnschluss,15))</f>
      </c>
      <c r="I6851" s="43">
        <f>IF(INDEX(DarlBelegt,15)=0,0,IF(INDEX(DarlOhneTilgung,15)=1,IF(INDEX(DarlBindung,15)="",1,$G6851),IF($J6851&gt;0.005,1,0)))</f>
      </c>
      <c r="J6851" s="43">
        <f>IF($I6850=0,0,$R6850)</f>
      </c>
      <c r="K6851" s="43">
        <f>IF($I6851=0,0,IF(INDEX(DarlOhneTilgung,15)=1,0,IF(AND(INDEX(DarlTilgStart,15)&gt;0,$E6851=INDEX(DarlTilgStart,15)),$J6851*($H6851+INDEX(DarlTilgung,15))/100/12,IF(AND($G6851=0,$G6850=1),MAX($K6850,$J6851*($H6851+1)/100/12),$K6850))))</f>
      </c>
      <c r="L6851" s="43">
        <f>IF($I6851=0,0,$J6851*$H6851/100/12)</f>
      </c>
      <c r="M6851" s="43">
        <f>IF($I6851=0,0,IF(OR(INDEX(DarlOhneTilgung,15)=1,AND(INDEX(DarlTilgStart,15)&gt;0,$E6851&lt;INDEX(DarlTilgStart,15))),0,MIN(MAX(0,$K6851-$L6851),$J6851)))</f>
      </c>
      <c r="N6851" s="43">
        <f>IF($I6851=0,0,MIN(SUMIFS(SondBetrag,SondDarl,15,SondDatum,"&gt;="&amp;$E6851,SondDatum,"&lt;="&amp;EOMONTH($E6851,0)),$J6851-$M6851))</f>
      </c>
      <c r="O6851" s="43">
        <f>IF($I6851=0,0,INDEX(DarlErsatzRate,15))</f>
      </c>
      <c r="P6851" s="43">
        <f>IF($I6851=0,0,$Q6850*INDEX(DarlErsatzZins,15))</f>
      </c>
      <c r="Q6851" s="43">
        <f>IF($I6851=0,0,$Q6850+$P6851+$O6851)</f>
      </c>
      <c r="R6851" s="43">
        <f>IF($I6851=0,0,$J6851-$M6851-$N6851)</f>
      </c>
    </row>
    <row r="6852">
      <c r="A6852"/>
      <c r="B6852">
        <v>15</v>
      </c>
      <c r="C6852" s="43">
        <f>INDEX(DarlObj,15)</f>
      </c>
      <c r="D6852">
        <v>129</v>
      </c>
      <c r="E6852" s="51">
        <f>IF(INDEX(DarlBelegt,15)=0,0,EOMONTH(INDEX(DarlAuszahlung,15),128)+1)</f>
      </c>
      <c r="F6852" s="43">
        <f>IF($E6852=0,0,YEAR($E6852))</f>
      </c>
      <c r="G6852" s="43">
        <f>IF(INDEX(DarlBindung,15)="",1,IF($E6852&lt;=INDEX(DarlBindung,15),1,0))</f>
      </c>
      <c r="H6852" s="43">
        <f>IF($G6852=1,INDEX(DarlSollzins,15),INDEX(DarlAnschluss,15))</f>
      </c>
      <c r="I6852" s="43">
        <f>IF(INDEX(DarlBelegt,15)=0,0,IF(INDEX(DarlOhneTilgung,15)=1,IF(INDEX(DarlBindung,15)="",1,$G6852),IF($J6852&gt;0.005,1,0)))</f>
      </c>
      <c r="J6852" s="43">
        <f>IF($I6851=0,0,$R6851)</f>
      </c>
      <c r="K6852" s="43">
        <f>IF($I6852=0,0,IF(INDEX(DarlOhneTilgung,15)=1,0,IF(AND(INDEX(DarlTilgStart,15)&gt;0,$E6852=INDEX(DarlTilgStart,15)),$J6852*($H6852+INDEX(DarlTilgung,15))/100/12,IF(AND($G6852=0,$G6851=1),MAX($K6851,$J6852*($H6852+1)/100/12),$K6851))))</f>
      </c>
      <c r="L6852" s="43">
        <f>IF($I6852=0,0,$J6852*$H6852/100/12)</f>
      </c>
      <c r="M6852" s="43">
        <f>IF($I6852=0,0,IF(OR(INDEX(DarlOhneTilgung,15)=1,AND(INDEX(DarlTilgStart,15)&gt;0,$E6852&lt;INDEX(DarlTilgStart,15))),0,MIN(MAX(0,$K6852-$L6852),$J6852)))</f>
      </c>
      <c r="N6852" s="43">
        <f>IF($I6852=0,0,MIN(SUMIFS(SondBetrag,SondDarl,15,SondDatum,"&gt;="&amp;$E6852,SondDatum,"&lt;="&amp;EOMONTH($E6852,0)),$J6852-$M6852))</f>
      </c>
      <c r="O6852" s="43">
        <f>IF($I6852=0,0,INDEX(DarlErsatzRate,15))</f>
      </c>
      <c r="P6852" s="43">
        <f>IF($I6852=0,0,$Q6851*INDEX(DarlErsatzZins,15))</f>
      </c>
      <c r="Q6852" s="43">
        <f>IF($I6852=0,0,$Q6851+$P6852+$O6852)</f>
      </c>
      <c r="R6852" s="43">
        <f>IF($I6852=0,0,$J6852-$M6852-$N6852)</f>
      </c>
    </row>
    <row r="6853">
      <c r="A6853"/>
      <c r="B6853">
        <v>15</v>
      </c>
      <c r="C6853" s="43">
        <f>INDEX(DarlObj,15)</f>
      </c>
      <c r="D6853">
        <v>130</v>
      </c>
      <c r="E6853" s="51">
        <f>IF(INDEX(DarlBelegt,15)=0,0,EOMONTH(INDEX(DarlAuszahlung,15),129)+1)</f>
      </c>
      <c r="F6853" s="43">
        <f>IF($E6853=0,0,YEAR($E6853))</f>
      </c>
      <c r="G6853" s="43">
        <f>IF(INDEX(DarlBindung,15)="",1,IF($E6853&lt;=INDEX(DarlBindung,15),1,0))</f>
      </c>
      <c r="H6853" s="43">
        <f>IF($G6853=1,INDEX(DarlSollzins,15),INDEX(DarlAnschluss,15))</f>
      </c>
      <c r="I6853" s="43">
        <f>IF(INDEX(DarlBelegt,15)=0,0,IF(INDEX(DarlOhneTilgung,15)=1,IF(INDEX(DarlBindung,15)="",1,$G6853),IF($J6853&gt;0.005,1,0)))</f>
      </c>
      <c r="J6853" s="43">
        <f>IF($I6852=0,0,$R6852)</f>
      </c>
      <c r="K6853" s="43">
        <f>IF($I6853=0,0,IF(INDEX(DarlOhneTilgung,15)=1,0,IF(AND(INDEX(DarlTilgStart,15)&gt;0,$E6853=INDEX(DarlTilgStart,15)),$J6853*($H6853+INDEX(DarlTilgung,15))/100/12,IF(AND($G6853=0,$G6852=1),MAX($K6852,$J6853*($H6853+1)/100/12),$K6852))))</f>
      </c>
      <c r="L6853" s="43">
        <f>IF($I6853=0,0,$J6853*$H6853/100/12)</f>
      </c>
      <c r="M6853" s="43">
        <f>IF($I6853=0,0,IF(OR(INDEX(DarlOhneTilgung,15)=1,AND(INDEX(DarlTilgStart,15)&gt;0,$E6853&lt;INDEX(DarlTilgStart,15))),0,MIN(MAX(0,$K6853-$L6853),$J6853)))</f>
      </c>
      <c r="N6853" s="43">
        <f>IF($I6853=0,0,MIN(SUMIFS(SondBetrag,SondDarl,15,SondDatum,"&gt;="&amp;$E6853,SondDatum,"&lt;="&amp;EOMONTH($E6853,0)),$J6853-$M6853))</f>
      </c>
      <c r="O6853" s="43">
        <f>IF($I6853=0,0,INDEX(DarlErsatzRate,15))</f>
      </c>
      <c r="P6853" s="43">
        <f>IF($I6853=0,0,$Q6852*INDEX(DarlErsatzZins,15))</f>
      </c>
      <c r="Q6853" s="43">
        <f>IF($I6853=0,0,$Q6852+$P6853+$O6853)</f>
      </c>
      <c r="R6853" s="43">
        <f>IF($I6853=0,0,$J6853-$M6853-$N6853)</f>
      </c>
    </row>
    <row r="6854">
      <c r="A6854"/>
      <c r="B6854">
        <v>15</v>
      </c>
      <c r="C6854" s="43">
        <f>INDEX(DarlObj,15)</f>
      </c>
      <c r="D6854">
        <v>131</v>
      </c>
      <c r="E6854" s="51">
        <f>IF(INDEX(DarlBelegt,15)=0,0,EOMONTH(INDEX(DarlAuszahlung,15),130)+1)</f>
      </c>
      <c r="F6854" s="43">
        <f>IF($E6854=0,0,YEAR($E6854))</f>
      </c>
      <c r="G6854" s="43">
        <f>IF(INDEX(DarlBindung,15)="",1,IF($E6854&lt;=INDEX(DarlBindung,15),1,0))</f>
      </c>
      <c r="H6854" s="43">
        <f>IF($G6854=1,INDEX(DarlSollzins,15),INDEX(DarlAnschluss,15))</f>
      </c>
      <c r="I6854" s="43">
        <f>IF(INDEX(DarlBelegt,15)=0,0,IF(INDEX(DarlOhneTilgung,15)=1,IF(INDEX(DarlBindung,15)="",1,$G6854),IF($J6854&gt;0.005,1,0)))</f>
      </c>
      <c r="J6854" s="43">
        <f>IF($I6853=0,0,$R6853)</f>
      </c>
      <c r="K6854" s="43">
        <f>IF($I6854=0,0,IF(INDEX(DarlOhneTilgung,15)=1,0,IF(AND(INDEX(DarlTilgStart,15)&gt;0,$E6854=INDEX(DarlTilgStart,15)),$J6854*($H6854+INDEX(DarlTilgung,15))/100/12,IF(AND($G6854=0,$G6853=1),MAX($K6853,$J6854*($H6854+1)/100/12),$K6853))))</f>
      </c>
      <c r="L6854" s="43">
        <f>IF($I6854=0,0,$J6854*$H6854/100/12)</f>
      </c>
      <c r="M6854" s="43">
        <f>IF($I6854=0,0,IF(OR(INDEX(DarlOhneTilgung,15)=1,AND(INDEX(DarlTilgStart,15)&gt;0,$E6854&lt;INDEX(DarlTilgStart,15))),0,MIN(MAX(0,$K6854-$L6854),$J6854)))</f>
      </c>
      <c r="N6854" s="43">
        <f>IF($I6854=0,0,MIN(SUMIFS(SondBetrag,SondDarl,15,SondDatum,"&gt;="&amp;$E6854,SondDatum,"&lt;="&amp;EOMONTH($E6854,0)),$J6854-$M6854))</f>
      </c>
      <c r="O6854" s="43">
        <f>IF($I6854=0,0,INDEX(DarlErsatzRate,15))</f>
      </c>
      <c r="P6854" s="43">
        <f>IF($I6854=0,0,$Q6853*INDEX(DarlErsatzZins,15))</f>
      </c>
      <c r="Q6854" s="43">
        <f>IF($I6854=0,0,$Q6853+$P6854+$O6854)</f>
      </c>
      <c r="R6854" s="43">
        <f>IF($I6854=0,0,$J6854-$M6854-$N6854)</f>
      </c>
    </row>
    <row r="6855">
      <c r="A6855"/>
      <c r="B6855">
        <v>15</v>
      </c>
      <c r="C6855" s="43">
        <f>INDEX(DarlObj,15)</f>
      </c>
      <c r="D6855">
        <v>132</v>
      </c>
      <c r="E6855" s="51">
        <f>IF(INDEX(DarlBelegt,15)=0,0,EOMONTH(INDEX(DarlAuszahlung,15),131)+1)</f>
      </c>
      <c r="F6855" s="43">
        <f>IF($E6855=0,0,YEAR($E6855))</f>
      </c>
      <c r="G6855" s="43">
        <f>IF(INDEX(DarlBindung,15)="",1,IF($E6855&lt;=INDEX(DarlBindung,15),1,0))</f>
      </c>
      <c r="H6855" s="43">
        <f>IF($G6855=1,INDEX(DarlSollzins,15),INDEX(DarlAnschluss,15))</f>
      </c>
      <c r="I6855" s="43">
        <f>IF(INDEX(DarlBelegt,15)=0,0,IF(INDEX(DarlOhneTilgung,15)=1,IF(INDEX(DarlBindung,15)="",1,$G6855),IF($J6855&gt;0.005,1,0)))</f>
      </c>
      <c r="J6855" s="43">
        <f>IF($I6854=0,0,$R6854)</f>
      </c>
      <c r="K6855" s="43">
        <f>IF($I6855=0,0,IF(INDEX(DarlOhneTilgung,15)=1,0,IF(AND(INDEX(DarlTilgStart,15)&gt;0,$E6855=INDEX(DarlTilgStart,15)),$J6855*($H6855+INDEX(DarlTilgung,15))/100/12,IF(AND($G6855=0,$G6854=1),MAX($K6854,$J6855*($H6855+1)/100/12),$K6854))))</f>
      </c>
      <c r="L6855" s="43">
        <f>IF($I6855=0,0,$J6855*$H6855/100/12)</f>
      </c>
      <c r="M6855" s="43">
        <f>IF($I6855=0,0,IF(OR(INDEX(DarlOhneTilgung,15)=1,AND(INDEX(DarlTilgStart,15)&gt;0,$E6855&lt;INDEX(DarlTilgStart,15))),0,MIN(MAX(0,$K6855-$L6855),$J6855)))</f>
      </c>
      <c r="N6855" s="43">
        <f>IF($I6855=0,0,MIN(SUMIFS(SondBetrag,SondDarl,15,SondDatum,"&gt;="&amp;$E6855,SondDatum,"&lt;="&amp;EOMONTH($E6855,0)),$J6855-$M6855))</f>
      </c>
      <c r="O6855" s="43">
        <f>IF($I6855=0,0,INDEX(DarlErsatzRate,15))</f>
      </c>
      <c r="P6855" s="43">
        <f>IF($I6855=0,0,$Q6854*INDEX(DarlErsatzZins,15))</f>
      </c>
      <c r="Q6855" s="43">
        <f>IF($I6855=0,0,$Q6854+$P6855+$O6855)</f>
      </c>
      <c r="R6855" s="43">
        <f>IF($I6855=0,0,$J6855-$M6855-$N6855)</f>
      </c>
    </row>
    <row r="6856">
      <c r="A6856"/>
      <c r="B6856">
        <v>15</v>
      </c>
      <c r="C6856" s="43">
        <f>INDEX(DarlObj,15)</f>
      </c>
      <c r="D6856">
        <v>133</v>
      </c>
      <c r="E6856" s="51">
        <f>IF(INDEX(DarlBelegt,15)=0,0,EOMONTH(INDEX(DarlAuszahlung,15),132)+1)</f>
      </c>
      <c r="F6856" s="43">
        <f>IF($E6856=0,0,YEAR($E6856))</f>
      </c>
      <c r="G6856" s="43">
        <f>IF(INDEX(DarlBindung,15)="",1,IF($E6856&lt;=INDEX(DarlBindung,15),1,0))</f>
      </c>
      <c r="H6856" s="43">
        <f>IF($G6856=1,INDEX(DarlSollzins,15),INDEX(DarlAnschluss,15))</f>
      </c>
      <c r="I6856" s="43">
        <f>IF(INDEX(DarlBelegt,15)=0,0,IF(INDEX(DarlOhneTilgung,15)=1,IF(INDEX(DarlBindung,15)="",1,$G6856),IF($J6856&gt;0.005,1,0)))</f>
      </c>
      <c r="J6856" s="43">
        <f>IF($I6855=0,0,$R6855)</f>
      </c>
      <c r="K6856" s="43">
        <f>IF($I6856=0,0,IF(INDEX(DarlOhneTilgung,15)=1,0,IF(AND(INDEX(DarlTilgStart,15)&gt;0,$E6856=INDEX(DarlTilgStart,15)),$J6856*($H6856+INDEX(DarlTilgung,15))/100/12,IF(AND($G6856=0,$G6855=1),MAX($K6855,$J6856*($H6856+1)/100/12),$K6855))))</f>
      </c>
      <c r="L6856" s="43">
        <f>IF($I6856=0,0,$J6856*$H6856/100/12)</f>
      </c>
      <c r="M6856" s="43">
        <f>IF($I6856=0,0,IF(OR(INDEX(DarlOhneTilgung,15)=1,AND(INDEX(DarlTilgStart,15)&gt;0,$E6856&lt;INDEX(DarlTilgStart,15))),0,MIN(MAX(0,$K6856-$L6856),$J6856)))</f>
      </c>
      <c r="N6856" s="43">
        <f>IF($I6856=0,0,MIN(SUMIFS(SondBetrag,SondDarl,15,SondDatum,"&gt;="&amp;$E6856,SondDatum,"&lt;="&amp;EOMONTH($E6856,0)),$J6856-$M6856))</f>
      </c>
      <c r="O6856" s="43">
        <f>IF($I6856=0,0,INDEX(DarlErsatzRate,15))</f>
      </c>
      <c r="P6856" s="43">
        <f>IF($I6856=0,0,$Q6855*INDEX(DarlErsatzZins,15))</f>
      </c>
      <c r="Q6856" s="43">
        <f>IF($I6856=0,0,$Q6855+$P6856+$O6856)</f>
      </c>
      <c r="R6856" s="43">
        <f>IF($I6856=0,0,$J6856-$M6856-$N6856)</f>
      </c>
    </row>
    <row r="6857">
      <c r="A6857"/>
      <c r="B6857">
        <v>15</v>
      </c>
      <c r="C6857" s="43">
        <f>INDEX(DarlObj,15)</f>
      </c>
      <c r="D6857">
        <v>134</v>
      </c>
      <c r="E6857" s="51">
        <f>IF(INDEX(DarlBelegt,15)=0,0,EOMONTH(INDEX(DarlAuszahlung,15),133)+1)</f>
      </c>
      <c r="F6857" s="43">
        <f>IF($E6857=0,0,YEAR($E6857))</f>
      </c>
      <c r="G6857" s="43">
        <f>IF(INDEX(DarlBindung,15)="",1,IF($E6857&lt;=INDEX(DarlBindung,15),1,0))</f>
      </c>
      <c r="H6857" s="43">
        <f>IF($G6857=1,INDEX(DarlSollzins,15),INDEX(DarlAnschluss,15))</f>
      </c>
      <c r="I6857" s="43">
        <f>IF(INDEX(DarlBelegt,15)=0,0,IF(INDEX(DarlOhneTilgung,15)=1,IF(INDEX(DarlBindung,15)="",1,$G6857),IF($J6857&gt;0.005,1,0)))</f>
      </c>
      <c r="J6857" s="43">
        <f>IF($I6856=0,0,$R6856)</f>
      </c>
      <c r="K6857" s="43">
        <f>IF($I6857=0,0,IF(INDEX(DarlOhneTilgung,15)=1,0,IF(AND(INDEX(DarlTilgStart,15)&gt;0,$E6857=INDEX(DarlTilgStart,15)),$J6857*($H6857+INDEX(DarlTilgung,15))/100/12,IF(AND($G6857=0,$G6856=1),MAX($K6856,$J6857*($H6857+1)/100/12),$K6856))))</f>
      </c>
      <c r="L6857" s="43">
        <f>IF($I6857=0,0,$J6857*$H6857/100/12)</f>
      </c>
      <c r="M6857" s="43">
        <f>IF($I6857=0,0,IF(OR(INDEX(DarlOhneTilgung,15)=1,AND(INDEX(DarlTilgStart,15)&gt;0,$E6857&lt;INDEX(DarlTilgStart,15))),0,MIN(MAX(0,$K6857-$L6857),$J6857)))</f>
      </c>
      <c r="N6857" s="43">
        <f>IF($I6857=0,0,MIN(SUMIFS(SondBetrag,SondDarl,15,SondDatum,"&gt;="&amp;$E6857,SondDatum,"&lt;="&amp;EOMONTH($E6857,0)),$J6857-$M6857))</f>
      </c>
      <c r="O6857" s="43">
        <f>IF($I6857=0,0,INDEX(DarlErsatzRate,15))</f>
      </c>
      <c r="P6857" s="43">
        <f>IF($I6857=0,0,$Q6856*INDEX(DarlErsatzZins,15))</f>
      </c>
      <c r="Q6857" s="43">
        <f>IF($I6857=0,0,$Q6856+$P6857+$O6857)</f>
      </c>
      <c r="R6857" s="43">
        <f>IF($I6857=0,0,$J6857-$M6857-$N6857)</f>
      </c>
    </row>
    <row r="6858">
      <c r="A6858"/>
      <c r="B6858">
        <v>15</v>
      </c>
      <c r="C6858" s="43">
        <f>INDEX(DarlObj,15)</f>
      </c>
      <c r="D6858">
        <v>135</v>
      </c>
      <c r="E6858" s="51">
        <f>IF(INDEX(DarlBelegt,15)=0,0,EOMONTH(INDEX(DarlAuszahlung,15),134)+1)</f>
      </c>
      <c r="F6858" s="43">
        <f>IF($E6858=0,0,YEAR($E6858))</f>
      </c>
      <c r="G6858" s="43">
        <f>IF(INDEX(DarlBindung,15)="",1,IF($E6858&lt;=INDEX(DarlBindung,15),1,0))</f>
      </c>
      <c r="H6858" s="43">
        <f>IF($G6858=1,INDEX(DarlSollzins,15),INDEX(DarlAnschluss,15))</f>
      </c>
      <c r="I6858" s="43">
        <f>IF(INDEX(DarlBelegt,15)=0,0,IF(INDEX(DarlOhneTilgung,15)=1,IF(INDEX(DarlBindung,15)="",1,$G6858),IF($J6858&gt;0.005,1,0)))</f>
      </c>
      <c r="J6858" s="43">
        <f>IF($I6857=0,0,$R6857)</f>
      </c>
      <c r="K6858" s="43">
        <f>IF($I6858=0,0,IF(INDEX(DarlOhneTilgung,15)=1,0,IF(AND(INDEX(DarlTilgStart,15)&gt;0,$E6858=INDEX(DarlTilgStart,15)),$J6858*($H6858+INDEX(DarlTilgung,15))/100/12,IF(AND($G6858=0,$G6857=1),MAX($K6857,$J6858*($H6858+1)/100/12),$K6857))))</f>
      </c>
      <c r="L6858" s="43">
        <f>IF($I6858=0,0,$J6858*$H6858/100/12)</f>
      </c>
      <c r="M6858" s="43">
        <f>IF($I6858=0,0,IF(OR(INDEX(DarlOhneTilgung,15)=1,AND(INDEX(DarlTilgStart,15)&gt;0,$E6858&lt;INDEX(DarlTilgStart,15))),0,MIN(MAX(0,$K6858-$L6858),$J6858)))</f>
      </c>
      <c r="N6858" s="43">
        <f>IF($I6858=0,0,MIN(SUMIFS(SondBetrag,SondDarl,15,SondDatum,"&gt;="&amp;$E6858,SondDatum,"&lt;="&amp;EOMONTH($E6858,0)),$J6858-$M6858))</f>
      </c>
      <c r="O6858" s="43">
        <f>IF($I6858=0,0,INDEX(DarlErsatzRate,15))</f>
      </c>
      <c r="P6858" s="43">
        <f>IF($I6858=0,0,$Q6857*INDEX(DarlErsatzZins,15))</f>
      </c>
      <c r="Q6858" s="43">
        <f>IF($I6858=0,0,$Q6857+$P6858+$O6858)</f>
      </c>
      <c r="R6858" s="43">
        <f>IF($I6858=0,0,$J6858-$M6858-$N6858)</f>
      </c>
    </row>
    <row r="6859">
      <c r="A6859"/>
      <c r="B6859">
        <v>15</v>
      </c>
      <c r="C6859" s="43">
        <f>INDEX(DarlObj,15)</f>
      </c>
      <c r="D6859">
        <v>136</v>
      </c>
      <c r="E6859" s="51">
        <f>IF(INDEX(DarlBelegt,15)=0,0,EOMONTH(INDEX(DarlAuszahlung,15),135)+1)</f>
      </c>
      <c r="F6859" s="43">
        <f>IF($E6859=0,0,YEAR($E6859))</f>
      </c>
      <c r="G6859" s="43">
        <f>IF(INDEX(DarlBindung,15)="",1,IF($E6859&lt;=INDEX(DarlBindung,15),1,0))</f>
      </c>
      <c r="H6859" s="43">
        <f>IF($G6859=1,INDEX(DarlSollzins,15),INDEX(DarlAnschluss,15))</f>
      </c>
      <c r="I6859" s="43">
        <f>IF(INDEX(DarlBelegt,15)=0,0,IF(INDEX(DarlOhneTilgung,15)=1,IF(INDEX(DarlBindung,15)="",1,$G6859),IF($J6859&gt;0.005,1,0)))</f>
      </c>
      <c r="J6859" s="43">
        <f>IF($I6858=0,0,$R6858)</f>
      </c>
      <c r="K6859" s="43">
        <f>IF($I6859=0,0,IF(INDEX(DarlOhneTilgung,15)=1,0,IF(AND(INDEX(DarlTilgStart,15)&gt;0,$E6859=INDEX(DarlTilgStart,15)),$J6859*($H6859+INDEX(DarlTilgung,15))/100/12,IF(AND($G6859=0,$G6858=1),MAX($K6858,$J6859*($H6859+1)/100/12),$K6858))))</f>
      </c>
      <c r="L6859" s="43">
        <f>IF($I6859=0,0,$J6859*$H6859/100/12)</f>
      </c>
      <c r="M6859" s="43">
        <f>IF($I6859=0,0,IF(OR(INDEX(DarlOhneTilgung,15)=1,AND(INDEX(DarlTilgStart,15)&gt;0,$E6859&lt;INDEX(DarlTilgStart,15))),0,MIN(MAX(0,$K6859-$L6859),$J6859)))</f>
      </c>
      <c r="N6859" s="43">
        <f>IF($I6859=0,0,MIN(SUMIFS(SondBetrag,SondDarl,15,SondDatum,"&gt;="&amp;$E6859,SondDatum,"&lt;="&amp;EOMONTH($E6859,0)),$J6859-$M6859))</f>
      </c>
      <c r="O6859" s="43">
        <f>IF($I6859=0,0,INDEX(DarlErsatzRate,15))</f>
      </c>
      <c r="P6859" s="43">
        <f>IF($I6859=0,0,$Q6858*INDEX(DarlErsatzZins,15))</f>
      </c>
      <c r="Q6859" s="43">
        <f>IF($I6859=0,0,$Q6858+$P6859+$O6859)</f>
      </c>
      <c r="R6859" s="43">
        <f>IF($I6859=0,0,$J6859-$M6859-$N6859)</f>
      </c>
    </row>
    <row r="6860">
      <c r="A6860"/>
      <c r="B6860">
        <v>15</v>
      </c>
      <c r="C6860" s="43">
        <f>INDEX(DarlObj,15)</f>
      </c>
      <c r="D6860">
        <v>137</v>
      </c>
      <c r="E6860" s="51">
        <f>IF(INDEX(DarlBelegt,15)=0,0,EOMONTH(INDEX(DarlAuszahlung,15),136)+1)</f>
      </c>
      <c r="F6860" s="43">
        <f>IF($E6860=0,0,YEAR($E6860))</f>
      </c>
      <c r="G6860" s="43">
        <f>IF(INDEX(DarlBindung,15)="",1,IF($E6860&lt;=INDEX(DarlBindung,15),1,0))</f>
      </c>
      <c r="H6860" s="43">
        <f>IF($G6860=1,INDEX(DarlSollzins,15),INDEX(DarlAnschluss,15))</f>
      </c>
      <c r="I6860" s="43">
        <f>IF(INDEX(DarlBelegt,15)=0,0,IF(INDEX(DarlOhneTilgung,15)=1,IF(INDEX(DarlBindung,15)="",1,$G6860),IF($J6860&gt;0.005,1,0)))</f>
      </c>
      <c r="J6860" s="43">
        <f>IF($I6859=0,0,$R6859)</f>
      </c>
      <c r="K6860" s="43">
        <f>IF($I6860=0,0,IF(INDEX(DarlOhneTilgung,15)=1,0,IF(AND(INDEX(DarlTilgStart,15)&gt;0,$E6860=INDEX(DarlTilgStart,15)),$J6860*($H6860+INDEX(DarlTilgung,15))/100/12,IF(AND($G6860=0,$G6859=1),MAX($K6859,$J6860*($H6860+1)/100/12),$K6859))))</f>
      </c>
      <c r="L6860" s="43">
        <f>IF($I6860=0,0,$J6860*$H6860/100/12)</f>
      </c>
      <c r="M6860" s="43">
        <f>IF($I6860=0,0,IF(OR(INDEX(DarlOhneTilgung,15)=1,AND(INDEX(DarlTilgStart,15)&gt;0,$E6860&lt;INDEX(DarlTilgStart,15))),0,MIN(MAX(0,$K6860-$L6860),$J6860)))</f>
      </c>
      <c r="N6860" s="43">
        <f>IF($I6860=0,0,MIN(SUMIFS(SondBetrag,SondDarl,15,SondDatum,"&gt;="&amp;$E6860,SondDatum,"&lt;="&amp;EOMONTH($E6860,0)),$J6860-$M6860))</f>
      </c>
      <c r="O6860" s="43">
        <f>IF($I6860=0,0,INDEX(DarlErsatzRate,15))</f>
      </c>
      <c r="P6860" s="43">
        <f>IF($I6860=0,0,$Q6859*INDEX(DarlErsatzZins,15))</f>
      </c>
      <c r="Q6860" s="43">
        <f>IF($I6860=0,0,$Q6859+$P6860+$O6860)</f>
      </c>
      <c r="R6860" s="43">
        <f>IF($I6860=0,0,$J6860-$M6860-$N6860)</f>
      </c>
    </row>
    <row r="6861">
      <c r="A6861"/>
      <c r="B6861">
        <v>15</v>
      </c>
      <c r="C6861" s="43">
        <f>INDEX(DarlObj,15)</f>
      </c>
      <c r="D6861">
        <v>138</v>
      </c>
      <c r="E6861" s="51">
        <f>IF(INDEX(DarlBelegt,15)=0,0,EOMONTH(INDEX(DarlAuszahlung,15),137)+1)</f>
      </c>
      <c r="F6861" s="43">
        <f>IF($E6861=0,0,YEAR($E6861))</f>
      </c>
      <c r="G6861" s="43">
        <f>IF(INDEX(DarlBindung,15)="",1,IF($E6861&lt;=INDEX(DarlBindung,15),1,0))</f>
      </c>
      <c r="H6861" s="43">
        <f>IF($G6861=1,INDEX(DarlSollzins,15),INDEX(DarlAnschluss,15))</f>
      </c>
      <c r="I6861" s="43">
        <f>IF(INDEX(DarlBelegt,15)=0,0,IF(INDEX(DarlOhneTilgung,15)=1,IF(INDEX(DarlBindung,15)="",1,$G6861),IF($J6861&gt;0.005,1,0)))</f>
      </c>
      <c r="J6861" s="43">
        <f>IF($I6860=0,0,$R6860)</f>
      </c>
      <c r="K6861" s="43">
        <f>IF($I6861=0,0,IF(INDEX(DarlOhneTilgung,15)=1,0,IF(AND(INDEX(DarlTilgStart,15)&gt;0,$E6861=INDEX(DarlTilgStart,15)),$J6861*($H6861+INDEX(DarlTilgung,15))/100/12,IF(AND($G6861=0,$G6860=1),MAX($K6860,$J6861*($H6861+1)/100/12),$K6860))))</f>
      </c>
      <c r="L6861" s="43">
        <f>IF($I6861=0,0,$J6861*$H6861/100/12)</f>
      </c>
      <c r="M6861" s="43">
        <f>IF($I6861=0,0,IF(OR(INDEX(DarlOhneTilgung,15)=1,AND(INDEX(DarlTilgStart,15)&gt;0,$E6861&lt;INDEX(DarlTilgStart,15))),0,MIN(MAX(0,$K6861-$L6861),$J6861)))</f>
      </c>
      <c r="N6861" s="43">
        <f>IF($I6861=0,0,MIN(SUMIFS(SondBetrag,SondDarl,15,SondDatum,"&gt;="&amp;$E6861,SondDatum,"&lt;="&amp;EOMONTH($E6861,0)),$J6861-$M6861))</f>
      </c>
      <c r="O6861" s="43">
        <f>IF($I6861=0,0,INDEX(DarlErsatzRate,15))</f>
      </c>
      <c r="P6861" s="43">
        <f>IF($I6861=0,0,$Q6860*INDEX(DarlErsatzZins,15))</f>
      </c>
      <c r="Q6861" s="43">
        <f>IF($I6861=0,0,$Q6860+$P6861+$O6861)</f>
      </c>
      <c r="R6861" s="43">
        <f>IF($I6861=0,0,$J6861-$M6861-$N6861)</f>
      </c>
    </row>
    <row r="6862">
      <c r="A6862"/>
      <c r="B6862">
        <v>15</v>
      </c>
      <c r="C6862" s="43">
        <f>INDEX(DarlObj,15)</f>
      </c>
      <c r="D6862">
        <v>139</v>
      </c>
      <c r="E6862" s="51">
        <f>IF(INDEX(DarlBelegt,15)=0,0,EOMONTH(INDEX(DarlAuszahlung,15),138)+1)</f>
      </c>
      <c r="F6862" s="43">
        <f>IF($E6862=0,0,YEAR($E6862))</f>
      </c>
      <c r="G6862" s="43">
        <f>IF(INDEX(DarlBindung,15)="",1,IF($E6862&lt;=INDEX(DarlBindung,15),1,0))</f>
      </c>
      <c r="H6862" s="43">
        <f>IF($G6862=1,INDEX(DarlSollzins,15),INDEX(DarlAnschluss,15))</f>
      </c>
      <c r="I6862" s="43">
        <f>IF(INDEX(DarlBelegt,15)=0,0,IF(INDEX(DarlOhneTilgung,15)=1,IF(INDEX(DarlBindung,15)="",1,$G6862),IF($J6862&gt;0.005,1,0)))</f>
      </c>
      <c r="J6862" s="43">
        <f>IF($I6861=0,0,$R6861)</f>
      </c>
      <c r="K6862" s="43">
        <f>IF($I6862=0,0,IF(INDEX(DarlOhneTilgung,15)=1,0,IF(AND(INDEX(DarlTilgStart,15)&gt;0,$E6862=INDEX(DarlTilgStart,15)),$J6862*($H6862+INDEX(DarlTilgung,15))/100/12,IF(AND($G6862=0,$G6861=1),MAX($K6861,$J6862*($H6862+1)/100/12),$K6861))))</f>
      </c>
      <c r="L6862" s="43">
        <f>IF($I6862=0,0,$J6862*$H6862/100/12)</f>
      </c>
      <c r="M6862" s="43">
        <f>IF($I6862=0,0,IF(OR(INDEX(DarlOhneTilgung,15)=1,AND(INDEX(DarlTilgStart,15)&gt;0,$E6862&lt;INDEX(DarlTilgStart,15))),0,MIN(MAX(0,$K6862-$L6862),$J6862)))</f>
      </c>
      <c r="N6862" s="43">
        <f>IF($I6862=0,0,MIN(SUMIFS(SondBetrag,SondDarl,15,SondDatum,"&gt;="&amp;$E6862,SondDatum,"&lt;="&amp;EOMONTH($E6862,0)),$J6862-$M6862))</f>
      </c>
      <c r="O6862" s="43">
        <f>IF($I6862=0,0,INDEX(DarlErsatzRate,15))</f>
      </c>
      <c r="P6862" s="43">
        <f>IF($I6862=0,0,$Q6861*INDEX(DarlErsatzZins,15))</f>
      </c>
      <c r="Q6862" s="43">
        <f>IF($I6862=0,0,$Q6861+$P6862+$O6862)</f>
      </c>
      <c r="R6862" s="43">
        <f>IF($I6862=0,0,$J6862-$M6862-$N6862)</f>
      </c>
    </row>
    <row r="6863">
      <c r="A6863"/>
      <c r="B6863">
        <v>15</v>
      </c>
      <c r="C6863" s="43">
        <f>INDEX(DarlObj,15)</f>
      </c>
      <c r="D6863">
        <v>140</v>
      </c>
      <c r="E6863" s="51">
        <f>IF(INDEX(DarlBelegt,15)=0,0,EOMONTH(INDEX(DarlAuszahlung,15),139)+1)</f>
      </c>
      <c r="F6863" s="43">
        <f>IF($E6863=0,0,YEAR($E6863))</f>
      </c>
      <c r="G6863" s="43">
        <f>IF(INDEX(DarlBindung,15)="",1,IF($E6863&lt;=INDEX(DarlBindung,15),1,0))</f>
      </c>
      <c r="H6863" s="43">
        <f>IF($G6863=1,INDEX(DarlSollzins,15),INDEX(DarlAnschluss,15))</f>
      </c>
      <c r="I6863" s="43">
        <f>IF(INDEX(DarlBelegt,15)=0,0,IF(INDEX(DarlOhneTilgung,15)=1,IF(INDEX(DarlBindung,15)="",1,$G6863),IF($J6863&gt;0.005,1,0)))</f>
      </c>
      <c r="J6863" s="43">
        <f>IF($I6862=0,0,$R6862)</f>
      </c>
      <c r="K6863" s="43">
        <f>IF($I6863=0,0,IF(INDEX(DarlOhneTilgung,15)=1,0,IF(AND(INDEX(DarlTilgStart,15)&gt;0,$E6863=INDEX(DarlTilgStart,15)),$J6863*($H6863+INDEX(DarlTilgung,15))/100/12,IF(AND($G6863=0,$G6862=1),MAX($K6862,$J6863*($H6863+1)/100/12),$K6862))))</f>
      </c>
      <c r="L6863" s="43">
        <f>IF($I6863=0,0,$J6863*$H6863/100/12)</f>
      </c>
      <c r="M6863" s="43">
        <f>IF($I6863=0,0,IF(OR(INDEX(DarlOhneTilgung,15)=1,AND(INDEX(DarlTilgStart,15)&gt;0,$E6863&lt;INDEX(DarlTilgStart,15))),0,MIN(MAX(0,$K6863-$L6863),$J6863)))</f>
      </c>
      <c r="N6863" s="43">
        <f>IF($I6863=0,0,MIN(SUMIFS(SondBetrag,SondDarl,15,SondDatum,"&gt;="&amp;$E6863,SondDatum,"&lt;="&amp;EOMONTH($E6863,0)),$J6863-$M6863))</f>
      </c>
      <c r="O6863" s="43">
        <f>IF($I6863=0,0,INDEX(DarlErsatzRate,15))</f>
      </c>
      <c r="P6863" s="43">
        <f>IF($I6863=0,0,$Q6862*INDEX(DarlErsatzZins,15))</f>
      </c>
      <c r="Q6863" s="43">
        <f>IF($I6863=0,0,$Q6862+$P6863+$O6863)</f>
      </c>
      <c r="R6863" s="43">
        <f>IF($I6863=0,0,$J6863-$M6863-$N6863)</f>
      </c>
    </row>
    <row r="6864">
      <c r="A6864"/>
      <c r="B6864">
        <v>15</v>
      </c>
      <c r="C6864" s="43">
        <f>INDEX(DarlObj,15)</f>
      </c>
      <c r="D6864">
        <v>141</v>
      </c>
      <c r="E6864" s="51">
        <f>IF(INDEX(DarlBelegt,15)=0,0,EOMONTH(INDEX(DarlAuszahlung,15),140)+1)</f>
      </c>
      <c r="F6864" s="43">
        <f>IF($E6864=0,0,YEAR($E6864))</f>
      </c>
      <c r="G6864" s="43">
        <f>IF(INDEX(DarlBindung,15)="",1,IF($E6864&lt;=INDEX(DarlBindung,15),1,0))</f>
      </c>
      <c r="H6864" s="43">
        <f>IF($G6864=1,INDEX(DarlSollzins,15),INDEX(DarlAnschluss,15))</f>
      </c>
      <c r="I6864" s="43">
        <f>IF(INDEX(DarlBelegt,15)=0,0,IF(INDEX(DarlOhneTilgung,15)=1,IF(INDEX(DarlBindung,15)="",1,$G6864),IF($J6864&gt;0.005,1,0)))</f>
      </c>
      <c r="J6864" s="43">
        <f>IF($I6863=0,0,$R6863)</f>
      </c>
      <c r="K6864" s="43">
        <f>IF($I6864=0,0,IF(INDEX(DarlOhneTilgung,15)=1,0,IF(AND(INDEX(DarlTilgStart,15)&gt;0,$E6864=INDEX(DarlTilgStart,15)),$J6864*($H6864+INDEX(DarlTilgung,15))/100/12,IF(AND($G6864=0,$G6863=1),MAX($K6863,$J6864*($H6864+1)/100/12),$K6863))))</f>
      </c>
      <c r="L6864" s="43">
        <f>IF($I6864=0,0,$J6864*$H6864/100/12)</f>
      </c>
      <c r="M6864" s="43">
        <f>IF($I6864=0,0,IF(OR(INDEX(DarlOhneTilgung,15)=1,AND(INDEX(DarlTilgStart,15)&gt;0,$E6864&lt;INDEX(DarlTilgStart,15))),0,MIN(MAX(0,$K6864-$L6864),$J6864)))</f>
      </c>
      <c r="N6864" s="43">
        <f>IF($I6864=0,0,MIN(SUMIFS(SondBetrag,SondDarl,15,SondDatum,"&gt;="&amp;$E6864,SondDatum,"&lt;="&amp;EOMONTH($E6864,0)),$J6864-$M6864))</f>
      </c>
      <c r="O6864" s="43">
        <f>IF($I6864=0,0,INDEX(DarlErsatzRate,15))</f>
      </c>
      <c r="P6864" s="43">
        <f>IF($I6864=0,0,$Q6863*INDEX(DarlErsatzZins,15))</f>
      </c>
      <c r="Q6864" s="43">
        <f>IF($I6864=0,0,$Q6863+$P6864+$O6864)</f>
      </c>
      <c r="R6864" s="43">
        <f>IF($I6864=0,0,$J6864-$M6864-$N6864)</f>
      </c>
    </row>
    <row r="6865">
      <c r="A6865"/>
      <c r="B6865">
        <v>15</v>
      </c>
      <c r="C6865" s="43">
        <f>INDEX(DarlObj,15)</f>
      </c>
      <c r="D6865">
        <v>142</v>
      </c>
      <c r="E6865" s="51">
        <f>IF(INDEX(DarlBelegt,15)=0,0,EOMONTH(INDEX(DarlAuszahlung,15),141)+1)</f>
      </c>
      <c r="F6865" s="43">
        <f>IF($E6865=0,0,YEAR($E6865))</f>
      </c>
      <c r="G6865" s="43">
        <f>IF(INDEX(DarlBindung,15)="",1,IF($E6865&lt;=INDEX(DarlBindung,15),1,0))</f>
      </c>
      <c r="H6865" s="43">
        <f>IF($G6865=1,INDEX(DarlSollzins,15),INDEX(DarlAnschluss,15))</f>
      </c>
      <c r="I6865" s="43">
        <f>IF(INDEX(DarlBelegt,15)=0,0,IF(INDEX(DarlOhneTilgung,15)=1,IF(INDEX(DarlBindung,15)="",1,$G6865),IF($J6865&gt;0.005,1,0)))</f>
      </c>
      <c r="J6865" s="43">
        <f>IF($I6864=0,0,$R6864)</f>
      </c>
      <c r="K6865" s="43">
        <f>IF($I6865=0,0,IF(INDEX(DarlOhneTilgung,15)=1,0,IF(AND(INDEX(DarlTilgStart,15)&gt;0,$E6865=INDEX(DarlTilgStart,15)),$J6865*($H6865+INDEX(DarlTilgung,15))/100/12,IF(AND($G6865=0,$G6864=1),MAX($K6864,$J6865*($H6865+1)/100/12),$K6864))))</f>
      </c>
      <c r="L6865" s="43">
        <f>IF($I6865=0,0,$J6865*$H6865/100/12)</f>
      </c>
      <c r="M6865" s="43">
        <f>IF($I6865=0,0,IF(OR(INDEX(DarlOhneTilgung,15)=1,AND(INDEX(DarlTilgStart,15)&gt;0,$E6865&lt;INDEX(DarlTilgStart,15))),0,MIN(MAX(0,$K6865-$L6865),$J6865)))</f>
      </c>
      <c r="N6865" s="43">
        <f>IF($I6865=0,0,MIN(SUMIFS(SondBetrag,SondDarl,15,SondDatum,"&gt;="&amp;$E6865,SondDatum,"&lt;="&amp;EOMONTH($E6865,0)),$J6865-$M6865))</f>
      </c>
      <c r="O6865" s="43">
        <f>IF($I6865=0,0,INDEX(DarlErsatzRate,15))</f>
      </c>
      <c r="P6865" s="43">
        <f>IF($I6865=0,0,$Q6864*INDEX(DarlErsatzZins,15))</f>
      </c>
      <c r="Q6865" s="43">
        <f>IF($I6865=0,0,$Q6864+$P6865+$O6865)</f>
      </c>
      <c r="R6865" s="43">
        <f>IF($I6865=0,0,$J6865-$M6865-$N6865)</f>
      </c>
    </row>
    <row r="6866">
      <c r="A6866"/>
      <c r="B6866">
        <v>15</v>
      </c>
      <c r="C6866" s="43">
        <f>INDEX(DarlObj,15)</f>
      </c>
      <c r="D6866">
        <v>143</v>
      </c>
      <c r="E6866" s="51">
        <f>IF(INDEX(DarlBelegt,15)=0,0,EOMONTH(INDEX(DarlAuszahlung,15),142)+1)</f>
      </c>
      <c r="F6866" s="43">
        <f>IF($E6866=0,0,YEAR($E6866))</f>
      </c>
      <c r="G6866" s="43">
        <f>IF(INDEX(DarlBindung,15)="",1,IF($E6866&lt;=INDEX(DarlBindung,15),1,0))</f>
      </c>
      <c r="H6866" s="43">
        <f>IF($G6866=1,INDEX(DarlSollzins,15),INDEX(DarlAnschluss,15))</f>
      </c>
      <c r="I6866" s="43">
        <f>IF(INDEX(DarlBelegt,15)=0,0,IF(INDEX(DarlOhneTilgung,15)=1,IF(INDEX(DarlBindung,15)="",1,$G6866),IF($J6866&gt;0.005,1,0)))</f>
      </c>
      <c r="J6866" s="43">
        <f>IF($I6865=0,0,$R6865)</f>
      </c>
      <c r="K6866" s="43">
        <f>IF($I6866=0,0,IF(INDEX(DarlOhneTilgung,15)=1,0,IF(AND(INDEX(DarlTilgStart,15)&gt;0,$E6866=INDEX(DarlTilgStart,15)),$J6866*($H6866+INDEX(DarlTilgung,15))/100/12,IF(AND($G6866=0,$G6865=1),MAX($K6865,$J6866*($H6866+1)/100/12),$K6865))))</f>
      </c>
      <c r="L6866" s="43">
        <f>IF($I6866=0,0,$J6866*$H6866/100/12)</f>
      </c>
      <c r="M6866" s="43">
        <f>IF($I6866=0,0,IF(OR(INDEX(DarlOhneTilgung,15)=1,AND(INDEX(DarlTilgStart,15)&gt;0,$E6866&lt;INDEX(DarlTilgStart,15))),0,MIN(MAX(0,$K6866-$L6866),$J6866)))</f>
      </c>
      <c r="N6866" s="43">
        <f>IF($I6866=0,0,MIN(SUMIFS(SondBetrag,SondDarl,15,SondDatum,"&gt;="&amp;$E6866,SondDatum,"&lt;="&amp;EOMONTH($E6866,0)),$J6866-$M6866))</f>
      </c>
      <c r="O6866" s="43">
        <f>IF($I6866=0,0,INDEX(DarlErsatzRate,15))</f>
      </c>
      <c r="P6866" s="43">
        <f>IF($I6866=0,0,$Q6865*INDEX(DarlErsatzZins,15))</f>
      </c>
      <c r="Q6866" s="43">
        <f>IF($I6866=0,0,$Q6865+$P6866+$O6866)</f>
      </c>
      <c r="R6866" s="43">
        <f>IF($I6866=0,0,$J6866-$M6866-$N6866)</f>
      </c>
    </row>
    <row r="6867">
      <c r="A6867"/>
      <c r="B6867">
        <v>15</v>
      </c>
      <c r="C6867" s="43">
        <f>INDEX(DarlObj,15)</f>
      </c>
      <c r="D6867">
        <v>144</v>
      </c>
      <c r="E6867" s="51">
        <f>IF(INDEX(DarlBelegt,15)=0,0,EOMONTH(INDEX(DarlAuszahlung,15),143)+1)</f>
      </c>
      <c r="F6867" s="43">
        <f>IF($E6867=0,0,YEAR($E6867))</f>
      </c>
      <c r="G6867" s="43">
        <f>IF(INDEX(DarlBindung,15)="",1,IF($E6867&lt;=INDEX(DarlBindung,15),1,0))</f>
      </c>
      <c r="H6867" s="43">
        <f>IF($G6867=1,INDEX(DarlSollzins,15),INDEX(DarlAnschluss,15))</f>
      </c>
      <c r="I6867" s="43">
        <f>IF(INDEX(DarlBelegt,15)=0,0,IF(INDEX(DarlOhneTilgung,15)=1,IF(INDEX(DarlBindung,15)="",1,$G6867),IF($J6867&gt;0.005,1,0)))</f>
      </c>
      <c r="J6867" s="43">
        <f>IF($I6866=0,0,$R6866)</f>
      </c>
      <c r="K6867" s="43">
        <f>IF($I6867=0,0,IF(INDEX(DarlOhneTilgung,15)=1,0,IF(AND(INDEX(DarlTilgStart,15)&gt;0,$E6867=INDEX(DarlTilgStart,15)),$J6867*($H6867+INDEX(DarlTilgung,15))/100/12,IF(AND($G6867=0,$G6866=1),MAX($K6866,$J6867*($H6867+1)/100/12),$K6866))))</f>
      </c>
      <c r="L6867" s="43">
        <f>IF($I6867=0,0,$J6867*$H6867/100/12)</f>
      </c>
      <c r="M6867" s="43">
        <f>IF($I6867=0,0,IF(OR(INDEX(DarlOhneTilgung,15)=1,AND(INDEX(DarlTilgStart,15)&gt;0,$E6867&lt;INDEX(DarlTilgStart,15))),0,MIN(MAX(0,$K6867-$L6867),$J6867)))</f>
      </c>
      <c r="N6867" s="43">
        <f>IF($I6867=0,0,MIN(SUMIFS(SondBetrag,SondDarl,15,SondDatum,"&gt;="&amp;$E6867,SondDatum,"&lt;="&amp;EOMONTH($E6867,0)),$J6867-$M6867))</f>
      </c>
      <c r="O6867" s="43">
        <f>IF($I6867=0,0,INDEX(DarlErsatzRate,15))</f>
      </c>
      <c r="P6867" s="43">
        <f>IF($I6867=0,0,$Q6866*INDEX(DarlErsatzZins,15))</f>
      </c>
      <c r="Q6867" s="43">
        <f>IF($I6867=0,0,$Q6866+$P6867+$O6867)</f>
      </c>
      <c r="R6867" s="43">
        <f>IF($I6867=0,0,$J6867-$M6867-$N6867)</f>
      </c>
    </row>
    <row r="6868">
      <c r="A6868"/>
      <c r="B6868">
        <v>15</v>
      </c>
      <c r="C6868" s="43">
        <f>INDEX(DarlObj,15)</f>
      </c>
      <c r="D6868">
        <v>145</v>
      </c>
      <c r="E6868" s="51">
        <f>IF(INDEX(DarlBelegt,15)=0,0,EOMONTH(INDEX(DarlAuszahlung,15),144)+1)</f>
      </c>
      <c r="F6868" s="43">
        <f>IF($E6868=0,0,YEAR($E6868))</f>
      </c>
      <c r="G6868" s="43">
        <f>IF(INDEX(DarlBindung,15)="",1,IF($E6868&lt;=INDEX(DarlBindung,15),1,0))</f>
      </c>
      <c r="H6868" s="43">
        <f>IF($G6868=1,INDEX(DarlSollzins,15),INDEX(DarlAnschluss,15))</f>
      </c>
      <c r="I6868" s="43">
        <f>IF(INDEX(DarlBelegt,15)=0,0,IF(INDEX(DarlOhneTilgung,15)=1,IF(INDEX(DarlBindung,15)="",1,$G6868),IF($J6868&gt;0.005,1,0)))</f>
      </c>
      <c r="J6868" s="43">
        <f>IF($I6867=0,0,$R6867)</f>
      </c>
      <c r="K6868" s="43">
        <f>IF($I6868=0,0,IF(INDEX(DarlOhneTilgung,15)=1,0,IF(AND(INDEX(DarlTilgStart,15)&gt;0,$E6868=INDEX(DarlTilgStart,15)),$J6868*($H6868+INDEX(DarlTilgung,15))/100/12,IF(AND($G6868=0,$G6867=1),MAX($K6867,$J6868*($H6868+1)/100/12),$K6867))))</f>
      </c>
      <c r="L6868" s="43">
        <f>IF($I6868=0,0,$J6868*$H6868/100/12)</f>
      </c>
      <c r="M6868" s="43">
        <f>IF($I6868=0,0,IF(OR(INDEX(DarlOhneTilgung,15)=1,AND(INDEX(DarlTilgStart,15)&gt;0,$E6868&lt;INDEX(DarlTilgStart,15))),0,MIN(MAX(0,$K6868-$L6868),$J6868)))</f>
      </c>
      <c r="N6868" s="43">
        <f>IF($I6868=0,0,MIN(SUMIFS(SondBetrag,SondDarl,15,SondDatum,"&gt;="&amp;$E6868,SondDatum,"&lt;="&amp;EOMONTH($E6868,0)),$J6868-$M6868))</f>
      </c>
      <c r="O6868" s="43">
        <f>IF($I6868=0,0,INDEX(DarlErsatzRate,15))</f>
      </c>
      <c r="P6868" s="43">
        <f>IF($I6868=0,0,$Q6867*INDEX(DarlErsatzZins,15))</f>
      </c>
      <c r="Q6868" s="43">
        <f>IF($I6868=0,0,$Q6867+$P6868+$O6868)</f>
      </c>
      <c r="R6868" s="43">
        <f>IF($I6868=0,0,$J6868-$M6868-$N6868)</f>
      </c>
    </row>
    <row r="6869">
      <c r="A6869"/>
      <c r="B6869">
        <v>15</v>
      </c>
      <c r="C6869" s="43">
        <f>INDEX(DarlObj,15)</f>
      </c>
      <c r="D6869">
        <v>146</v>
      </c>
      <c r="E6869" s="51">
        <f>IF(INDEX(DarlBelegt,15)=0,0,EOMONTH(INDEX(DarlAuszahlung,15),145)+1)</f>
      </c>
      <c r="F6869" s="43">
        <f>IF($E6869=0,0,YEAR($E6869))</f>
      </c>
      <c r="G6869" s="43">
        <f>IF(INDEX(DarlBindung,15)="",1,IF($E6869&lt;=INDEX(DarlBindung,15),1,0))</f>
      </c>
      <c r="H6869" s="43">
        <f>IF($G6869=1,INDEX(DarlSollzins,15),INDEX(DarlAnschluss,15))</f>
      </c>
      <c r="I6869" s="43">
        <f>IF(INDEX(DarlBelegt,15)=0,0,IF(INDEX(DarlOhneTilgung,15)=1,IF(INDEX(DarlBindung,15)="",1,$G6869),IF($J6869&gt;0.005,1,0)))</f>
      </c>
      <c r="J6869" s="43">
        <f>IF($I6868=0,0,$R6868)</f>
      </c>
      <c r="K6869" s="43">
        <f>IF($I6869=0,0,IF(INDEX(DarlOhneTilgung,15)=1,0,IF(AND(INDEX(DarlTilgStart,15)&gt;0,$E6869=INDEX(DarlTilgStart,15)),$J6869*($H6869+INDEX(DarlTilgung,15))/100/12,IF(AND($G6869=0,$G6868=1),MAX($K6868,$J6869*($H6869+1)/100/12),$K6868))))</f>
      </c>
      <c r="L6869" s="43">
        <f>IF($I6869=0,0,$J6869*$H6869/100/12)</f>
      </c>
      <c r="M6869" s="43">
        <f>IF($I6869=0,0,IF(OR(INDEX(DarlOhneTilgung,15)=1,AND(INDEX(DarlTilgStart,15)&gt;0,$E6869&lt;INDEX(DarlTilgStart,15))),0,MIN(MAX(0,$K6869-$L6869),$J6869)))</f>
      </c>
      <c r="N6869" s="43">
        <f>IF($I6869=0,0,MIN(SUMIFS(SondBetrag,SondDarl,15,SondDatum,"&gt;="&amp;$E6869,SondDatum,"&lt;="&amp;EOMONTH($E6869,0)),$J6869-$M6869))</f>
      </c>
      <c r="O6869" s="43">
        <f>IF($I6869=0,0,INDEX(DarlErsatzRate,15))</f>
      </c>
      <c r="P6869" s="43">
        <f>IF($I6869=0,0,$Q6868*INDEX(DarlErsatzZins,15))</f>
      </c>
      <c r="Q6869" s="43">
        <f>IF($I6869=0,0,$Q6868+$P6869+$O6869)</f>
      </c>
      <c r="R6869" s="43">
        <f>IF($I6869=0,0,$J6869-$M6869-$N6869)</f>
      </c>
    </row>
    <row r="6870">
      <c r="A6870"/>
      <c r="B6870">
        <v>15</v>
      </c>
      <c r="C6870" s="43">
        <f>INDEX(DarlObj,15)</f>
      </c>
      <c r="D6870">
        <v>147</v>
      </c>
      <c r="E6870" s="51">
        <f>IF(INDEX(DarlBelegt,15)=0,0,EOMONTH(INDEX(DarlAuszahlung,15),146)+1)</f>
      </c>
      <c r="F6870" s="43">
        <f>IF($E6870=0,0,YEAR($E6870))</f>
      </c>
      <c r="G6870" s="43">
        <f>IF(INDEX(DarlBindung,15)="",1,IF($E6870&lt;=INDEX(DarlBindung,15),1,0))</f>
      </c>
      <c r="H6870" s="43">
        <f>IF($G6870=1,INDEX(DarlSollzins,15),INDEX(DarlAnschluss,15))</f>
      </c>
      <c r="I6870" s="43">
        <f>IF(INDEX(DarlBelegt,15)=0,0,IF(INDEX(DarlOhneTilgung,15)=1,IF(INDEX(DarlBindung,15)="",1,$G6870),IF($J6870&gt;0.005,1,0)))</f>
      </c>
      <c r="J6870" s="43">
        <f>IF($I6869=0,0,$R6869)</f>
      </c>
      <c r="K6870" s="43">
        <f>IF($I6870=0,0,IF(INDEX(DarlOhneTilgung,15)=1,0,IF(AND(INDEX(DarlTilgStart,15)&gt;0,$E6870=INDEX(DarlTilgStart,15)),$J6870*($H6870+INDEX(DarlTilgung,15))/100/12,IF(AND($G6870=0,$G6869=1),MAX($K6869,$J6870*($H6870+1)/100/12),$K6869))))</f>
      </c>
      <c r="L6870" s="43">
        <f>IF($I6870=0,0,$J6870*$H6870/100/12)</f>
      </c>
      <c r="M6870" s="43">
        <f>IF($I6870=0,0,IF(OR(INDEX(DarlOhneTilgung,15)=1,AND(INDEX(DarlTilgStart,15)&gt;0,$E6870&lt;INDEX(DarlTilgStart,15))),0,MIN(MAX(0,$K6870-$L6870),$J6870)))</f>
      </c>
      <c r="N6870" s="43">
        <f>IF($I6870=0,0,MIN(SUMIFS(SondBetrag,SondDarl,15,SondDatum,"&gt;="&amp;$E6870,SondDatum,"&lt;="&amp;EOMONTH($E6870,0)),$J6870-$M6870))</f>
      </c>
      <c r="O6870" s="43">
        <f>IF($I6870=0,0,INDEX(DarlErsatzRate,15))</f>
      </c>
      <c r="P6870" s="43">
        <f>IF($I6870=0,0,$Q6869*INDEX(DarlErsatzZins,15))</f>
      </c>
      <c r="Q6870" s="43">
        <f>IF($I6870=0,0,$Q6869+$P6870+$O6870)</f>
      </c>
      <c r="R6870" s="43">
        <f>IF($I6870=0,0,$J6870-$M6870-$N6870)</f>
      </c>
    </row>
    <row r="6871">
      <c r="A6871"/>
      <c r="B6871">
        <v>15</v>
      </c>
      <c r="C6871" s="43">
        <f>INDEX(DarlObj,15)</f>
      </c>
      <c r="D6871">
        <v>148</v>
      </c>
      <c r="E6871" s="51">
        <f>IF(INDEX(DarlBelegt,15)=0,0,EOMONTH(INDEX(DarlAuszahlung,15),147)+1)</f>
      </c>
      <c r="F6871" s="43">
        <f>IF($E6871=0,0,YEAR($E6871))</f>
      </c>
      <c r="G6871" s="43">
        <f>IF(INDEX(DarlBindung,15)="",1,IF($E6871&lt;=INDEX(DarlBindung,15),1,0))</f>
      </c>
      <c r="H6871" s="43">
        <f>IF($G6871=1,INDEX(DarlSollzins,15),INDEX(DarlAnschluss,15))</f>
      </c>
      <c r="I6871" s="43">
        <f>IF(INDEX(DarlBelegt,15)=0,0,IF(INDEX(DarlOhneTilgung,15)=1,IF(INDEX(DarlBindung,15)="",1,$G6871),IF($J6871&gt;0.005,1,0)))</f>
      </c>
      <c r="J6871" s="43">
        <f>IF($I6870=0,0,$R6870)</f>
      </c>
      <c r="K6871" s="43">
        <f>IF($I6871=0,0,IF(INDEX(DarlOhneTilgung,15)=1,0,IF(AND(INDEX(DarlTilgStart,15)&gt;0,$E6871=INDEX(DarlTilgStart,15)),$J6871*($H6871+INDEX(DarlTilgung,15))/100/12,IF(AND($G6871=0,$G6870=1),MAX($K6870,$J6871*($H6871+1)/100/12),$K6870))))</f>
      </c>
      <c r="L6871" s="43">
        <f>IF($I6871=0,0,$J6871*$H6871/100/12)</f>
      </c>
      <c r="M6871" s="43">
        <f>IF($I6871=0,0,IF(OR(INDEX(DarlOhneTilgung,15)=1,AND(INDEX(DarlTilgStart,15)&gt;0,$E6871&lt;INDEX(DarlTilgStart,15))),0,MIN(MAX(0,$K6871-$L6871),$J6871)))</f>
      </c>
      <c r="N6871" s="43">
        <f>IF($I6871=0,0,MIN(SUMIFS(SondBetrag,SondDarl,15,SondDatum,"&gt;="&amp;$E6871,SondDatum,"&lt;="&amp;EOMONTH($E6871,0)),$J6871-$M6871))</f>
      </c>
      <c r="O6871" s="43">
        <f>IF($I6871=0,0,INDEX(DarlErsatzRate,15))</f>
      </c>
      <c r="P6871" s="43">
        <f>IF($I6871=0,0,$Q6870*INDEX(DarlErsatzZins,15))</f>
      </c>
      <c r="Q6871" s="43">
        <f>IF($I6871=0,0,$Q6870+$P6871+$O6871)</f>
      </c>
      <c r="R6871" s="43">
        <f>IF($I6871=0,0,$J6871-$M6871-$N6871)</f>
      </c>
    </row>
    <row r="6872">
      <c r="A6872"/>
      <c r="B6872">
        <v>15</v>
      </c>
      <c r="C6872" s="43">
        <f>INDEX(DarlObj,15)</f>
      </c>
      <c r="D6872">
        <v>149</v>
      </c>
      <c r="E6872" s="51">
        <f>IF(INDEX(DarlBelegt,15)=0,0,EOMONTH(INDEX(DarlAuszahlung,15),148)+1)</f>
      </c>
      <c r="F6872" s="43">
        <f>IF($E6872=0,0,YEAR($E6872))</f>
      </c>
      <c r="G6872" s="43">
        <f>IF(INDEX(DarlBindung,15)="",1,IF($E6872&lt;=INDEX(DarlBindung,15),1,0))</f>
      </c>
      <c r="H6872" s="43">
        <f>IF($G6872=1,INDEX(DarlSollzins,15),INDEX(DarlAnschluss,15))</f>
      </c>
      <c r="I6872" s="43">
        <f>IF(INDEX(DarlBelegt,15)=0,0,IF(INDEX(DarlOhneTilgung,15)=1,IF(INDEX(DarlBindung,15)="",1,$G6872),IF($J6872&gt;0.005,1,0)))</f>
      </c>
      <c r="J6872" s="43">
        <f>IF($I6871=0,0,$R6871)</f>
      </c>
      <c r="K6872" s="43">
        <f>IF($I6872=0,0,IF(INDEX(DarlOhneTilgung,15)=1,0,IF(AND(INDEX(DarlTilgStart,15)&gt;0,$E6872=INDEX(DarlTilgStart,15)),$J6872*($H6872+INDEX(DarlTilgung,15))/100/12,IF(AND($G6872=0,$G6871=1),MAX($K6871,$J6872*($H6872+1)/100/12),$K6871))))</f>
      </c>
      <c r="L6872" s="43">
        <f>IF($I6872=0,0,$J6872*$H6872/100/12)</f>
      </c>
      <c r="M6872" s="43">
        <f>IF($I6872=0,0,IF(OR(INDEX(DarlOhneTilgung,15)=1,AND(INDEX(DarlTilgStart,15)&gt;0,$E6872&lt;INDEX(DarlTilgStart,15))),0,MIN(MAX(0,$K6872-$L6872),$J6872)))</f>
      </c>
      <c r="N6872" s="43">
        <f>IF($I6872=0,0,MIN(SUMIFS(SondBetrag,SondDarl,15,SondDatum,"&gt;="&amp;$E6872,SondDatum,"&lt;="&amp;EOMONTH($E6872,0)),$J6872-$M6872))</f>
      </c>
      <c r="O6872" s="43">
        <f>IF($I6872=0,0,INDEX(DarlErsatzRate,15))</f>
      </c>
      <c r="P6872" s="43">
        <f>IF($I6872=0,0,$Q6871*INDEX(DarlErsatzZins,15))</f>
      </c>
      <c r="Q6872" s="43">
        <f>IF($I6872=0,0,$Q6871+$P6872+$O6872)</f>
      </c>
      <c r="R6872" s="43">
        <f>IF($I6872=0,0,$J6872-$M6872-$N6872)</f>
      </c>
    </row>
    <row r="6873">
      <c r="A6873"/>
      <c r="B6873">
        <v>15</v>
      </c>
      <c r="C6873" s="43">
        <f>INDEX(DarlObj,15)</f>
      </c>
      <c r="D6873">
        <v>150</v>
      </c>
      <c r="E6873" s="51">
        <f>IF(INDEX(DarlBelegt,15)=0,0,EOMONTH(INDEX(DarlAuszahlung,15),149)+1)</f>
      </c>
      <c r="F6873" s="43">
        <f>IF($E6873=0,0,YEAR($E6873))</f>
      </c>
      <c r="G6873" s="43">
        <f>IF(INDEX(DarlBindung,15)="",1,IF($E6873&lt;=INDEX(DarlBindung,15),1,0))</f>
      </c>
      <c r="H6873" s="43">
        <f>IF($G6873=1,INDEX(DarlSollzins,15),INDEX(DarlAnschluss,15))</f>
      </c>
      <c r="I6873" s="43">
        <f>IF(INDEX(DarlBelegt,15)=0,0,IF(INDEX(DarlOhneTilgung,15)=1,IF(INDEX(DarlBindung,15)="",1,$G6873),IF($J6873&gt;0.005,1,0)))</f>
      </c>
      <c r="J6873" s="43">
        <f>IF($I6872=0,0,$R6872)</f>
      </c>
      <c r="K6873" s="43">
        <f>IF($I6873=0,0,IF(INDEX(DarlOhneTilgung,15)=1,0,IF(AND(INDEX(DarlTilgStart,15)&gt;0,$E6873=INDEX(DarlTilgStart,15)),$J6873*($H6873+INDEX(DarlTilgung,15))/100/12,IF(AND($G6873=0,$G6872=1),MAX($K6872,$J6873*($H6873+1)/100/12),$K6872))))</f>
      </c>
      <c r="L6873" s="43">
        <f>IF($I6873=0,0,$J6873*$H6873/100/12)</f>
      </c>
      <c r="M6873" s="43">
        <f>IF($I6873=0,0,IF(OR(INDEX(DarlOhneTilgung,15)=1,AND(INDEX(DarlTilgStart,15)&gt;0,$E6873&lt;INDEX(DarlTilgStart,15))),0,MIN(MAX(0,$K6873-$L6873),$J6873)))</f>
      </c>
      <c r="N6873" s="43">
        <f>IF($I6873=0,0,MIN(SUMIFS(SondBetrag,SondDarl,15,SondDatum,"&gt;="&amp;$E6873,SondDatum,"&lt;="&amp;EOMONTH($E6873,0)),$J6873-$M6873))</f>
      </c>
      <c r="O6873" s="43">
        <f>IF($I6873=0,0,INDEX(DarlErsatzRate,15))</f>
      </c>
      <c r="P6873" s="43">
        <f>IF($I6873=0,0,$Q6872*INDEX(DarlErsatzZins,15))</f>
      </c>
      <c r="Q6873" s="43">
        <f>IF($I6873=0,0,$Q6872+$P6873+$O6873)</f>
      </c>
      <c r="R6873" s="43">
        <f>IF($I6873=0,0,$J6873-$M6873-$N6873)</f>
      </c>
    </row>
    <row r="6874">
      <c r="A6874"/>
      <c r="B6874">
        <v>15</v>
      </c>
      <c r="C6874" s="43">
        <f>INDEX(DarlObj,15)</f>
      </c>
      <c r="D6874">
        <v>151</v>
      </c>
      <c r="E6874" s="51">
        <f>IF(INDEX(DarlBelegt,15)=0,0,EOMONTH(INDEX(DarlAuszahlung,15),150)+1)</f>
      </c>
      <c r="F6874" s="43">
        <f>IF($E6874=0,0,YEAR($E6874))</f>
      </c>
      <c r="G6874" s="43">
        <f>IF(INDEX(DarlBindung,15)="",1,IF($E6874&lt;=INDEX(DarlBindung,15),1,0))</f>
      </c>
      <c r="H6874" s="43">
        <f>IF($G6874=1,INDEX(DarlSollzins,15),INDEX(DarlAnschluss,15))</f>
      </c>
      <c r="I6874" s="43">
        <f>IF(INDEX(DarlBelegt,15)=0,0,IF(INDEX(DarlOhneTilgung,15)=1,IF(INDEX(DarlBindung,15)="",1,$G6874),IF($J6874&gt;0.005,1,0)))</f>
      </c>
      <c r="J6874" s="43">
        <f>IF($I6873=0,0,$R6873)</f>
      </c>
      <c r="K6874" s="43">
        <f>IF($I6874=0,0,IF(INDEX(DarlOhneTilgung,15)=1,0,IF(AND(INDEX(DarlTilgStart,15)&gt;0,$E6874=INDEX(DarlTilgStart,15)),$J6874*($H6874+INDEX(DarlTilgung,15))/100/12,IF(AND($G6874=0,$G6873=1),MAX($K6873,$J6874*($H6874+1)/100/12),$K6873))))</f>
      </c>
      <c r="L6874" s="43">
        <f>IF($I6874=0,0,$J6874*$H6874/100/12)</f>
      </c>
      <c r="M6874" s="43">
        <f>IF($I6874=0,0,IF(OR(INDEX(DarlOhneTilgung,15)=1,AND(INDEX(DarlTilgStart,15)&gt;0,$E6874&lt;INDEX(DarlTilgStart,15))),0,MIN(MAX(0,$K6874-$L6874),$J6874)))</f>
      </c>
      <c r="N6874" s="43">
        <f>IF($I6874=0,0,MIN(SUMIFS(SondBetrag,SondDarl,15,SondDatum,"&gt;="&amp;$E6874,SondDatum,"&lt;="&amp;EOMONTH($E6874,0)),$J6874-$M6874))</f>
      </c>
      <c r="O6874" s="43">
        <f>IF($I6874=0,0,INDEX(DarlErsatzRate,15))</f>
      </c>
      <c r="P6874" s="43">
        <f>IF($I6874=0,0,$Q6873*INDEX(DarlErsatzZins,15))</f>
      </c>
      <c r="Q6874" s="43">
        <f>IF($I6874=0,0,$Q6873+$P6874+$O6874)</f>
      </c>
      <c r="R6874" s="43">
        <f>IF($I6874=0,0,$J6874-$M6874-$N6874)</f>
      </c>
    </row>
    <row r="6875">
      <c r="A6875"/>
      <c r="B6875">
        <v>15</v>
      </c>
      <c r="C6875" s="43">
        <f>INDEX(DarlObj,15)</f>
      </c>
      <c r="D6875">
        <v>152</v>
      </c>
      <c r="E6875" s="51">
        <f>IF(INDEX(DarlBelegt,15)=0,0,EOMONTH(INDEX(DarlAuszahlung,15),151)+1)</f>
      </c>
      <c r="F6875" s="43">
        <f>IF($E6875=0,0,YEAR($E6875))</f>
      </c>
      <c r="G6875" s="43">
        <f>IF(INDEX(DarlBindung,15)="",1,IF($E6875&lt;=INDEX(DarlBindung,15),1,0))</f>
      </c>
      <c r="H6875" s="43">
        <f>IF($G6875=1,INDEX(DarlSollzins,15),INDEX(DarlAnschluss,15))</f>
      </c>
      <c r="I6875" s="43">
        <f>IF(INDEX(DarlBelegt,15)=0,0,IF(INDEX(DarlOhneTilgung,15)=1,IF(INDEX(DarlBindung,15)="",1,$G6875),IF($J6875&gt;0.005,1,0)))</f>
      </c>
      <c r="J6875" s="43">
        <f>IF($I6874=0,0,$R6874)</f>
      </c>
      <c r="K6875" s="43">
        <f>IF($I6875=0,0,IF(INDEX(DarlOhneTilgung,15)=1,0,IF(AND(INDEX(DarlTilgStart,15)&gt;0,$E6875=INDEX(DarlTilgStart,15)),$J6875*($H6875+INDEX(DarlTilgung,15))/100/12,IF(AND($G6875=0,$G6874=1),MAX($K6874,$J6875*($H6875+1)/100/12),$K6874))))</f>
      </c>
      <c r="L6875" s="43">
        <f>IF($I6875=0,0,$J6875*$H6875/100/12)</f>
      </c>
      <c r="M6875" s="43">
        <f>IF($I6875=0,0,IF(OR(INDEX(DarlOhneTilgung,15)=1,AND(INDEX(DarlTilgStart,15)&gt;0,$E6875&lt;INDEX(DarlTilgStart,15))),0,MIN(MAX(0,$K6875-$L6875),$J6875)))</f>
      </c>
      <c r="N6875" s="43">
        <f>IF($I6875=0,0,MIN(SUMIFS(SondBetrag,SondDarl,15,SondDatum,"&gt;="&amp;$E6875,SondDatum,"&lt;="&amp;EOMONTH($E6875,0)),$J6875-$M6875))</f>
      </c>
      <c r="O6875" s="43">
        <f>IF($I6875=0,0,INDEX(DarlErsatzRate,15))</f>
      </c>
      <c r="P6875" s="43">
        <f>IF($I6875=0,0,$Q6874*INDEX(DarlErsatzZins,15))</f>
      </c>
      <c r="Q6875" s="43">
        <f>IF($I6875=0,0,$Q6874+$P6875+$O6875)</f>
      </c>
      <c r="R6875" s="43">
        <f>IF($I6875=0,0,$J6875-$M6875-$N6875)</f>
      </c>
    </row>
    <row r="6876">
      <c r="A6876"/>
      <c r="B6876">
        <v>15</v>
      </c>
      <c r="C6876" s="43">
        <f>INDEX(DarlObj,15)</f>
      </c>
      <c r="D6876">
        <v>153</v>
      </c>
      <c r="E6876" s="51">
        <f>IF(INDEX(DarlBelegt,15)=0,0,EOMONTH(INDEX(DarlAuszahlung,15),152)+1)</f>
      </c>
      <c r="F6876" s="43">
        <f>IF($E6876=0,0,YEAR($E6876))</f>
      </c>
      <c r="G6876" s="43">
        <f>IF(INDEX(DarlBindung,15)="",1,IF($E6876&lt;=INDEX(DarlBindung,15),1,0))</f>
      </c>
      <c r="H6876" s="43">
        <f>IF($G6876=1,INDEX(DarlSollzins,15),INDEX(DarlAnschluss,15))</f>
      </c>
      <c r="I6876" s="43">
        <f>IF(INDEX(DarlBelegt,15)=0,0,IF(INDEX(DarlOhneTilgung,15)=1,IF(INDEX(DarlBindung,15)="",1,$G6876),IF($J6876&gt;0.005,1,0)))</f>
      </c>
      <c r="J6876" s="43">
        <f>IF($I6875=0,0,$R6875)</f>
      </c>
      <c r="K6876" s="43">
        <f>IF($I6876=0,0,IF(INDEX(DarlOhneTilgung,15)=1,0,IF(AND(INDEX(DarlTilgStart,15)&gt;0,$E6876=INDEX(DarlTilgStart,15)),$J6876*($H6876+INDEX(DarlTilgung,15))/100/12,IF(AND($G6876=0,$G6875=1),MAX($K6875,$J6876*($H6876+1)/100/12),$K6875))))</f>
      </c>
      <c r="L6876" s="43">
        <f>IF($I6876=0,0,$J6876*$H6876/100/12)</f>
      </c>
      <c r="M6876" s="43">
        <f>IF($I6876=0,0,IF(OR(INDEX(DarlOhneTilgung,15)=1,AND(INDEX(DarlTilgStart,15)&gt;0,$E6876&lt;INDEX(DarlTilgStart,15))),0,MIN(MAX(0,$K6876-$L6876),$J6876)))</f>
      </c>
      <c r="N6876" s="43">
        <f>IF($I6876=0,0,MIN(SUMIFS(SondBetrag,SondDarl,15,SondDatum,"&gt;="&amp;$E6876,SondDatum,"&lt;="&amp;EOMONTH($E6876,0)),$J6876-$M6876))</f>
      </c>
      <c r="O6876" s="43">
        <f>IF($I6876=0,0,INDEX(DarlErsatzRate,15))</f>
      </c>
      <c r="P6876" s="43">
        <f>IF($I6876=0,0,$Q6875*INDEX(DarlErsatzZins,15))</f>
      </c>
      <c r="Q6876" s="43">
        <f>IF($I6876=0,0,$Q6875+$P6876+$O6876)</f>
      </c>
      <c r="R6876" s="43">
        <f>IF($I6876=0,0,$J6876-$M6876-$N6876)</f>
      </c>
    </row>
    <row r="6877">
      <c r="A6877"/>
      <c r="B6877">
        <v>15</v>
      </c>
      <c r="C6877" s="43">
        <f>INDEX(DarlObj,15)</f>
      </c>
      <c r="D6877">
        <v>154</v>
      </c>
      <c r="E6877" s="51">
        <f>IF(INDEX(DarlBelegt,15)=0,0,EOMONTH(INDEX(DarlAuszahlung,15),153)+1)</f>
      </c>
      <c r="F6877" s="43">
        <f>IF($E6877=0,0,YEAR($E6877))</f>
      </c>
      <c r="G6877" s="43">
        <f>IF(INDEX(DarlBindung,15)="",1,IF($E6877&lt;=INDEX(DarlBindung,15),1,0))</f>
      </c>
      <c r="H6877" s="43">
        <f>IF($G6877=1,INDEX(DarlSollzins,15),INDEX(DarlAnschluss,15))</f>
      </c>
      <c r="I6877" s="43">
        <f>IF(INDEX(DarlBelegt,15)=0,0,IF(INDEX(DarlOhneTilgung,15)=1,IF(INDEX(DarlBindung,15)="",1,$G6877),IF($J6877&gt;0.005,1,0)))</f>
      </c>
      <c r="J6877" s="43">
        <f>IF($I6876=0,0,$R6876)</f>
      </c>
      <c r="K6877" s="43">
        <f>IF($I6877=0,0,IF(INDEX(DarlOhneTilgung,15)=1,0,IF(AND(INDEX(DarlTilgStart,15)&gt;0,$E6877=INDEX(DarlTilgStart,15)),$J6877*($H6877+INDEX(DarlTilgung,15))/100/12,IF(AND($G6877=0,$G6876=1),MAX($K6876,$J6877*($H6877+1)/100/12),$K6876))))</f>
      </c>
      <c r="L6877" s="43">
        <f>IF($I6877=0,0,$J6877*$H6877/100/12)</f>
      </c>
      <c r="M6877" s="43">
        <f>IF($I6877=0,0,IF(OR(INDEX(DarlOhneTilgung,15)=1,AND(INDEX(DarlTilgStart,15)&gt;0,$E6877&lt;INDEX(DarlTilgStart,15))),0,MIN(MAX(0,$K6877-$L6877),$J6877)))</f>
      </c>
      <c r="N6877" s="43">
        <f>IF($I6877=0,0,MIN(SUMIFS(SondBetrag,SondDarl,15,SondDatum,"&gt;="&amp;$E6877,SondDatum,"&lt;="&amp;EOMONTH($E6877,0)),$J6877-$M6877))</f>
      </c>
      <c r="O6877" s="43">
        <f>IF($I6877=0,0,INDEX(DarlErsatzRate,15))</f>
      </c>
      <c r="P6877" s="43">
        <f>IF($I6877=0,0,$Q6876*INDEX(DarlErsatzZins,15))</f>
      </c>
      <c r="Q6877" s="43">
        <f>IF($I6877=0,0,$Q6876+$P6877+$O6877)</f>
      </c>
      <c r="R6877" s="43">
        <f>IF($I6877=0,0,$J6877-$M6877-$N6877)</f>
      </c>
    </row>
    <row r="6878">
      <c r="A6878"/>
      <c r="B6878">
        <v>15</v>
      </c>
      <c r="C6878" s="43">
        <f>INDEX(DarlObj,15)</f>
      </c>
      <c r="D6878">
        <v>155</v>
      </c>
      <c r="E6878" s="51">
        <f>IF(INDEX(DarlBelegt,15)=0,0,EOMONTH(INDEX(DarlAuszahlung,15),154)+1)</f>
      </c>
      <c r="F6878" s="43">
        <f>IF($E6878=0,0,YEAR($E6878))</f>
      </c>
      <c r="G6878" s="43">
        <f>IF(INDEX(DarlBindung,15)="",1,IF($E6878&lt;=INDEX(DarlBindung,15),1,0))</f>
      </c>
      <c r="H6878" s="43">
        <f>IF($G6878=1,INDEX(DarlSollzins,15),INDEX(DarlAnschluss,15))</f>
      </c>
      <c r="I6878" s="43">
        <f>IF(INDEX(DarlBelegt,15)=0,0,IF(INDEX(DarlOhneTilgung,15)=1,IF(INDEX(DarlBindung,15)="",1,$G6878),IF($J6878&gt;0.005,1,0)))</f>
      </c>
      <c r="J6878" s="43">
        <f>IF($I6877=0,0,$R6877)</f>
      </c>
      <c r="K6878" s="43">
        <f>IF($I6878=0,0,IF(INDEX(DarlOhneTilgung,15)=1,0,IF(AND(INDEX(DarlTilgStart,15)&gt;0,$E6878=INDEX(DarlTilgStart,15)),$J6878*($H6878+INDEX(DarlTilgung,15))/100/12,IF(AND($G6878=0,$G6877=1),MAX($K6877,$J6878*($H6878+1)/100/12),$K6877))))</f>
      </c>
      <c r="L6878" s="43">
        <f>IF($I6878=0,0,$J6878*$H6878/100/12)</f>
      </c>
      <c r="M6878" s="43">
        <f>IF($I6878=0,0,IF(OR(INDEX(DarlOhneTilgung,15)=1,AND(INDEX(DarlTilgStart,15)&gt;0,$E6878&lt;INDEX(DarlTilgStart,15))),0,MIN(MAX(0,$K6878-$L6878),$J6878)))</f>
      </c>
      <c r="N6878" s="43">
        <f>IF($I6878=0,0,MIN(SUMIFS(SondBetrag,SondDarl,15,SondDatum,"&gt;="&amp;$E6878,SondDatum,"&lt;="&amp;EOMONTH($E6878,0)),$J6878-$M6878))</f>
      </c>
      <c r="O6878" s="43">
        <f>IF($I6878=0,0,INDEX(DarlErsatzRate,15))</f>
      </c>
      <c r="P6878" s="43">
        <f>IF($I6878=0,0,$Q6877*INDEX(DarlErsatzZins,15))</f>
      </c>
      <c r="Q6878" s="43">
        <f>IF($I6878=0,0,$Q6877+$P6878+$O6878)</f>
      </c>
      <c r="R6878" s="43">
        <f>IF($I6878=0,0,$J6878-$M6878-$N6878)</f>
      </c>
    </row>
    <row r="6879">
      <c r="A6879"/>
      <c r="B6879">
        <v>15</v>
      </c>
      <c r="C6879" s="43">
        <f>INDEX(DarlObj,15)</f>
      </c>
      <c r="D6879">
        <v>156</v>
      </c>
      <c r="E6879" s="51">
        <f>IF(INDEX(DarlBelegt,15)=0,0,EOMONTH(INDEX(DarlAuszahlung,15),155)+1)</f>
      </c>
      <c r="F6879" s="43">
        <f>IF($E6879=0,0,YEAR($E6879))</f>
      </c>
      <c r="G6879" s="43">
        <f>IF(INDEX(DarlBindung,15)="",1,IF($E6879&lt;=INDEX(DarlBindung,15),1,0))</f>
      </c>
      <c r="H6879" s="43">
        <f>IF($G6879=1,INDEX(DarlSollzins,15),INDEX(DarlAnschluss,15))</f>
      </c>
      <c r="I6879" s="43">
        <f>IF(INDEX(DarlBelegt,15)=0,0,IF(INDEX(DarlOhneTilgung,15)=1,IF(INDEX(DarlBindung,15)="",1,$G6879),IF($J6879&gt;0.005,1,0)))</f>
      </c>
      <c r="J6879" s="43">
        <f>IF($I6878=0,0,$R6878)</f>
      </c>
      <c r="K6879" s="43">
        <f>IF($I6879=0,0,IF(INDEX(DarlOhneTilgung,15)=1,0,IF(AND(INDEX(DarlTilgStart,15)&gt;0,$E6879=INDEX(DarlTilgStart,15)),$J6879*($H6879+INDEX(DarlTilgung,15))/100/12,IF(AND($G6879=0,$G6878=1),MAX($K6878,$J6879*($H6879+1)/100/12),$K6878))))</f>
      </c>
      <c r="L6879" s="43">
        <f>IF($I6879=0,0,$J6879*$H6879/100/12)</f>
      </c>
      <c r="M6879" s="43">
        <f>IF($I6879=0,0,IF(OR(INDEX(DarlOhneTilgung,15)=1,AND(INDEX(DarlTilgStart,15)&gt;0,$E6879&lt;INDEX(DarlTilgStart,15))),0,MIN(MAX(0,$K6879-$L6879),$J6879)))</f>
      </c>
      <c r="N6879" s="43">
        <f>IF($I6879=0,0,MIN(SUMIFS(SondBetrag,SondDarl,15,SondDatum,"&gt;="&amp;$E6879,SondDatum,"&lt;="&amp;EOMONTH($E6879,0)),$J6879-$M6879))</f>
      </c>
      <c r="O6879" s="43">
        <f>IF($I6879=0,0,INDEX(DarlErsatzRate,15))</f>
      </c>
      <c r="P6879" s="43">
        <f>IF($I6879=0,0,$Q6878*INDEX(DarlErsatzZins,15))</f>
      </c>
      <c r="Q6879" s="43">
        <f>IF($I6879=0,0,$Q6878+$P6879+$O6879)</f>
      </c>
      <c r="R6879" s="43">
        <f>IF($I6879=0,0,$J6879-$M6879-$N6879)</f>
      </c>
    </row>
    <row r="6880">
      <c r="A6880"/>
      <c r="B6880">
        <v>15</v>
      </c>
      <c r="C6880" s="43">
        <f>INDEX(DarlObj,15)</f>
      </c>
      <c r="D6880">
        <v>157</v>
      </c>
      <c r="E6880" s="51">
        <f>IF(INDEX(DarlBelegt,15)=0,0,EOMONTH(INDEX(DarlAuszahlung,15),156)+1)</f>
      </c>
      <c r="F6880" s="43">
        <f>IF($E6880=0,0,YEAR($E6880))</f>
      </c>
      <c r="G6880" s="43">
        <f>IF(INDEX(DarlBindung,15)="",1,IF($E6880&lt;=INDEX(DarlBindung,15),1,0))</f>
      </c>
      <c r="H6880" s="43">
        <f>IF($G6880=1,INDEX(DarlSollzins,15),INDEX(DarlAnschluss,15))</f>
      </c>
      <c r="I6880" s="43">
        <f>IF(INDEX(DarlBelegt,15)=0,0,IF(INDEX(DarlOhneTilgung,15)=1,IF(INDEX(DarlBindung,15)="",1,$G6880),IF($J6880&gt;0.005,1,0)))</f>
      </c>
      <c r="J6880" s="43">
        <f>IF($I6879=0,0,$R6879)</f>
      </c>
      <c r="K6880" s="43">
        <f>IF($I6880=0,0,IF(INDEX(DarlOhneTilgung,15)=1,0,IF(AND(INDEX(DarlTilgStart,15)&gt;0,$E6880=INDEX(DarlTilgStart,15)),$J6880*($H6880+INDEX(DarlTilgung,15))/100/12,IF(AND($G6880=0,$G6879=1),MAX($K6879,$J6880*($H6880+1)/100/12),$K6879))))</f>
      </c>
      <c r="L6880" s="43">
        <f>IF($I6880=0,0,$J6880*$H6880/100/12)</f>
      </c>
      <c r="M6880" s="43">
        <f>IF($I6880=0,0,IF(OR(INDEX(DarlOhneTilgung,15)=1,AND(INDEX(DarlTilgStart,15)&gt;0,$E6880&lt;INDEX(DarlTilgStart,15))),0,MIN(MAX(0,$K6880-$L6880),$J6880)))</f>
      </c>
      <c r="N6880" s="43">
        <f>IF($I6880=0,0,MIN(SUMIFS(SondBetrag,SondDarl,15,SondDatum,"&gt;="&amp;$E6880,SondDatum,"&lt;="&amp;EOMONTH($E6880,0)),$J6880-$M6880))</f>
      </c>
      <c r="O6880" s="43">
        <f>IF($I6880=0,0,INDEX(DarlErsatzRate,15))</f>
      </c>
      <c r="P6880" s="43">
        <f>IF($I6880=0,0,$Q6879*INDEX(DarlErsatzZins,15))</f>
      </c>
      <c r="Q6880" s="43">
        <f>IF($I6880=0,0,$Q6879+$P6880+$O6880)</f>
      </c>
      <c r="R6880" s="43">
        <f>IF($I6880=0,0,$J6880-$M6880-$N6880)</f>
      </c>
    </row>
    <row r="6881">
      <c r="A6881"/>
      <c r="B6881">
        <v>15</v>
      </c>
      <c r="C6881" s="43">
        <f>INDEX(DarlObj,15)</f>
      </c>
      <c r="D6881">
        <v>158</v>
      </c>
      <c r="E6881" s="51">
        <f>IF(INDEX(DarlBelegt,15)=0,0,EOMONTH(INDEX(DarlAuszahlung,15),157)+1)</f>
      </c>
      <c r="F6881" s="43">
        <f>IF($E6881=0,0,YEAR($E6881))</f>
      </c>
      <c r="G6881" s="43">
        <f>IF(INDEX(DarlBindung,15)="",1,IF($E6881&lt;=INDEX(DarlBindung,15),1,0))</f>
      </c>
      <c r="H6881" s="43">
        <f>IF($G6881=1,INDEX(DarlSollzins,15),INDEX(DarlAnschluss,15))</f>
      </c>
      <c r="I6881" s="43">
        <f>IF(INDEX(DarlBelegt,15)=0,0,IF(INDEX(DarlOhneTilgung,15)=1,IF(INDEX(DarlBindung,15)="",1,$G6881),IF($J6881&gt;0.005,1,0)))</f>
      </c>
      <c r="J6881" s="43">
        <f>IF($I6880=0,0,$R6880)</f>
      </c>
      <c r="K6881" s="43">
        <f>IF($I6881=0,0,IF(INDEX(DarlOhneTilgung,15)=1,0,IF(AND(INDEX(DarlTilgStart,15)&gt;0,$E6881=INDEX(DarlTilgStart,15)),$J6881*($H6881+INDEX(DarlTilgung,15))/100/12,IF(AND($G6881=0,$G6880=1),MAX($K6880,$J6881*($H6881+1)/100/12),$K6880))))</f>
      </c>
      <c r="L6881" s="43">
        <f>IF($I6881=0,0,$J6881*$H6881/100/12)</f>
      </c>
      <c r="M6881" s="43">
        <f>IF($I6881=0,0,IF(OR(INDEX(DarlOhneTilgung,15)=1,AND(INDEX(DarlTilgStart,15)&gt;0,$E6881&lt;INDEX(DarlTilgStart,15))),0,MIN(MAX(0,$K6881-$L6881),$J6881)))</f>
      </c>
      <c r="N6881" s="43">
        <f>IF($I6881=0,0,MIN(SUMIFS(SondBetrag,SondDarl,15,SondDatum,"&gt;="&amp;$E6881,SondDatum,"&lt;="&amp;EOMONTH($E6881,0)),$J6881-$M6881))</f>
      </c>
      <c r="O6881" s="43">
        <f>IF($I6881=0,0,INDEX(DarlErsatzRate,15))</f>
      </c>
      <c r="P6881" s="43">
        <f>IF($I6881=0,0,$Q6880*INDEX(DarlErsatzZins,15))</f>
      </c>
      <c r="Q6881" s="43">
        <f>IF($I6881=0,0,$Q6880+$P6881+$O6881)</f>
      </c>
      <c r="R6881" s="43">
        <f>IF($I6881=0,0,$J6881-$M6881-$N6881)</f>
      </c>
    </row>
    <row r="6882">
      <c r="A6882"/>
      <c r="B6882">
        <v>15</v>
      </c>
      <c r="C6882" s="43">
        <f>INDEX(DarlObj,15)</f>
      </c>
      <c r="D6882">
        <v>159</v>
      </c>
      <c r="E6882" s="51">
        <f>IF(INDEX(DarlBelegt,15)=0,0,EOMONTH(INDEX(DarlAuszahlung,15),158)+1)</f>
      </c>
      <c r="F6882" s="43">
        <f>IF($E6882=0,0,YEAR($E6882))</f>
      </c>
      <c r="G6882" s="43">
        <f>IF(INDEX(DarlBindung,15)="",1,IF($E6882&lt;=INDEX(DarlBindung,15),1,0))</f>
      </c>
      <c r="H6882" s="43">
        <f>IF($G6882=1,INDEX(DarlSollzins,15),INDEX(DarlAnschluss,15))</f>
      </c>
      <c r="I6882" s="43">
        <f>IF(INDEX(DarlBelegt,15)=0,0,IF(INDEX(DarlOhneTilgung,15)=1,IF(INDEX(DarlBindung,15)="",1,$G6882),IF($J6882&gt;0.005,1,0)))</f>
      </c>
      <c r="J6882" s="43">
        <f>IF($I6881=0,0,$R6881)</f>
      </c>
      <c r="K6882" s="43">
        <f>IF($I6882=0,0,IF(INDEX(DarlOhneTilgung,15)=1,0,IF(AND(INDEX(DarlTilgStart,15)&gt;0,$E6882=INDEX(DarlTilgStart,15)),$J6882*($H6882+INDEX(DarlTilgung,15))/100/12,IF(AND($G6882=0,$G6881=1),MAX($K6881,$J6882*($H6882+1)/100/12),$K6881))))</f>
      </c>
      <c r="L6882" s="43">
        <f>IF($I6882=0,0,$J6882*$H6882/100/12)</f>
      </c>
      <c r="M6882" s="43">
        <f>IF($I6882=0,0,IF(OR(INDEX(DarlOhneTilgung,15)=1,AND(INDEX(DarlTilgStart,15)&gt;0,$E6882&lt;INDEX(DarlTilgStart,15))),0,MIN(MAX(0,$K6882-$L6882),$J6882)))</f>
      </c>
      <c r="N6882" s="43">
        <f>IF($I6882=0,0,MIN(SUMIFS(SondBetrag,SondDarl,15,SondDatum,"&gt;="&amp;$E6882,SondDatum,"&lt;="&amp;EOMONTH($E6882,0)),$J6882-$M6882))</f>
      </c>
      <c r="O6882" s="43">
        <f>IF($I6882=0,0,INDEX(DarlErsatzRate,15))</f>
      </c>
      <c r="P6882" s="43">
        <f>IF($I6882=0,0,$Q6881*INDEX(DarlErsatzZins,15))</f>
      </c>
      <c r="Q6882" s="43">
        <f>IF($I6882=0,0,$Q6881+$P6882+$O6882)</f>
      </c>
      <c r="R6882" s="43">
        <f>IF($I6882=0,0,$J6882-$M6882-$N6882)</f>
      </c>
    </row>
    <row r="6883">
      <c r="A6883"/>
      <c r="B6883">
        <v>15</v>
      </c>
      <c r="C6883" s="43">
        <f>INDEX(DarlObj,15)</f>
      </c>
      <c r="D6883">
        <v>160</v>
      </c>
      <c r="E6883" s="51">
        <f>IF(INDEX(DarlBelegt,15)=0,0,EOMONTH(INDEX(DarlAuszahlung,15),159)+1)</f>
      </c>
      <c r="F6883" s="43">
        <f>IF($E6883=0,0,YEAR($E6883))</f>
      </c>
      <c r="G6883" s="43">
        <f>IF(INDEX(DarlBindung,15)="",1,IF($E6883&lt;=INDEX(DarlBindung,15),1,0))</f>
      </c>
      <c r="H6883" s="43">
        <f>IF($G6883=1,INDEX(DarlSollzins,15),INDEX(DarlAnschluss,15))</f>
      </c>
      <c r="I6883" s="43">
        <f>IF(INDEX(DarlBelegt,15)=0,0,IF(INDEX(DarlOhneTilgung,15)=1,IF(INDEX(DarlBindung,15)="",1,$G6883),IF($J6883&gt;0.005,1,0)))</f>
      </c>
      <c r="J6883" s="43">
        <f>IF($I6882=0,0,$R6882)</f>
      </c>
      <c r="K6883" s="43">
        <f>IF($I6883=0,0,IF(INDEX(DarlOhneTilgung,15)=1,0,IF(AND(INDEX(DarlTilgStart,15)&gt;0,$E6883=INDEX(DarlTilgStart,15)),$J6883*($H6883+INDEX(DarlTilgung,15))/100/12,IF(AND($G6883=0,$G6882=1),MAX($K6882,$J6883*($H6883+1)/100/12),$K6882))))</f>
      </c>
      <c r="L6883" s="43">
        <f>IF($I6883=0,0,$J6883*$H6883/100/12)</f>
      </c>
      <c r="M6883" s="43">
        <f>IF($I6883=0,0,IF(OR(INDEX(DarlOhneTilgung,15)=1,AND(INDEX(DarlTilgStart,15)&gt;0,$E6883&lt;INDEX(DarlTilgStart,15))),0,MIN(MAX(0,$K6883-$L6883),$J6883)))</f>
      </c>
      <c r="N6883" s="43">
        <f>IF($I6883=0,0,MIN(SUMIFS(SondBetrag,SondDarl,15,SondDatum,"&gt;="&amp;$E6883,SondDatum,"&lt;="&amp;EOMONTH($E6883,0)),$J6883-$M6883))</f>
      </c>
      <c r="O6883" s="43">
        <f>IF($I6883=0,0,INDEX(DarlErsatzRate,15))</f>
      </c>
      <c r="P6883" s="43">
        <f>IF($I6883=0,0,$Q6882*INDEX(DarlErsatzZins,15))</f>
      </c>
      <c r="Q6883" s="43">
        <f>IF($I6883=0,0,$Q6882+$P6883+$O6883)</f>
      </c>
      <c r="R6883" s="43">
        <f>IF($I6883=0,0,$J6883-$M6883-$N6883)</f>
      </c>
    </row>
    <row r="6884">
      <c r="A6884"/>
      <c r="B6884">
        <v>15</v>
      </c>
      <c r="C6884" s="43">
        <f>INDEX(DarlObj,15)</f>
      </c>
      <c r="D6884">
        <v>161</v>
      </c>
      <c r="E6884" s="51">
        <f>IF(INDEX(DarlBelegt,15)=0,0,EOMONTH(INDEX(DarlAuszahlung,15),160)+1)</f>
      </c>
      <c r="F6884" s="43">
        <f>IF($E6884=0,0,YEAR($E6884))</f>
      </c>
      <c r="G6884" s="43">
        <f>IF(INDEX(DarlBindung,15)="",1,IF($E6884&lt;=INDEX(DarlBindung,15),1,0))</f>
      </c>
      <c r="H6884" s="43">
        <f>IF($G6884=1,INDEX(DarlSollzins,15),INDEX(DarlAnschluss,15))</f>
      </c>
      <c r="I6884" s="43">
        <f>IF(INDEX(DarlBelegt,15)=0,0,IF(INDEX(DarlOhneTilgung,15)=1,IF(INDEX(DarlBindung,15)="",1,$G6884),IF($J6884&gt;0.005,1,0)))</f>
      </c>
      <c r="J6884" s="43">
        <f>IF($I6883=0,0,$R6883)</f>
      </c>
      <c r="K6884" s="43">
        <f>IF($I6884=0,0,IF(INDEX(DarlOhneTilgung,15)=1,0,IF(AND(INDEX(DarlTilgStart,15)&gt;0,$E6884=INDEX(DarlTilgStart,15)),$J6884*($H6884+INDEX(DarlTilgung,15))/100/12,IF(AND($G6884=0,$G6883=1),MAX($K6883,$J6884*($H6884+1)/100/12),$K6883))))</f>
      </c>
      <c r="L6884" s="43">
        <f>IF($I6884=0,0,$J6884*$H6884/100/12)</f>
      </c>
      <c r="M6884" s="43">
        <f>IF($I6884=0,0,IF(OR(INDEX(DarlOhneTilgung,15)=1,AND(INDEX(DarlTilgStart,15)&gt;0,$E6884&lt;INDEX(DarlTilgStart,15))),0,MIN(MAX(0,$K6884-$L6884),$J6884)))</f>
      </c>
      <c r="N6884" s="43">
        <f>IF($I6884=0,0,MIN(SUMIFS(SondBetrag,SondDarl,15,SondDatum,"&gt;="&amp;$E6884,SondDatum,"&lt;="&amp;EOMONTH($E6884,0)),$J6884-$M6884))</f>
      </c>
      <c r="O6884" s="43">
        <f>IF($I6884=0,0,INDEX(DarlErsatzRate,15))</f>
      </c>
      <c r="P6884" s="43">
        <f>IF($I6884=0,0,$Q6883*INDEX(DarlErsatzZins,15))</f>
      </c>
      <c r="Q6884" s="43">
        <f>IF($I6884=0,0,$Q6883+$P6884+$O6884)</f>
      </c>
      <c r="R6884" s="43">
        <f>IF($I6884=0,0,$J6884-$M6884-$N6884)</f>
      </c>
    </row>
    <row r="6885">
      <c r="A6885"/>
      <c r="B6885">
        <v>15</v>
      </c>
      <c r="C6885" s="43">
        <f>INDEX(DarlObj,15)</f>
      </c>
      <c r="D6885">
        <v>162</v>
      </c>
      <c r="E6885" s="51">
        <f>IF(INDEX(DarlBelegt,15)=0,0,EOMONTH(INDEX(DarlAuszahlung,15),161)+1)</f>
      </c>
      <c r="F6885" s="43">
        <f>IF($E6885=0,0,YEAR($E6885))</f>
      </c>
      <c r="G6885" s="43">
        <f>IF(INDEX(DarlBindung,15)="",1,IF($E6885&lt;=INDEX(DarlBindung,15),1,0))</f>
      </c>
      <c r="H6885" s="43">
        <f>IF($G6885=1,INDEX(DarlSollzins,15),INDEX(DarlAnschluss,15))</f>
      </c>
      <c r="I6885" s="43">
        <f>IF(INDEX(DarlBelegt,15)=0,0,IF(INDEX(DarlOhneTilgung,15)=1,IF(INDEX(DarlBindung,15)="",1,$G6885),IF($J6885&gt;0.005,1,0)))</f>
      </c>
      <c r="J6885" s="43">
        <f>IF($I6884=0,0,$R6884)</f>
      </c>
      <c r="K6885" s="43">
        <f>IF($I6885=0,0,IF(INDEX(DarlOhneTilgung,15)=1,0,IF(AND(INDEX(DarlTilgStart,15)&gt;0,$E6885=INDEX(DarlTilgStart,15)),$J6885*($H6885+INDEX(DarlTilgung,15))/100/12,IF(AND($G6885=0,$G6884=1),MAX($K6884,$J6885*($H6885+1)/100/12),$K6884))))</f>
      </c>
      <c r="L6885" s="43">
        <f>IF($I6885=0,0,$J6885*$H6885/100/12)</f>
      </c>
      <c r="M6885" s="43">
        <f>IF($I6885=0,0,IF(OR(INDEX(DarlOhneTilgung,15)=1,AND(INDEX(DarlTilgStart,15)&gt;0,$E6885&lt;INDEX(DarlTilgStart,15))),0,MIN(MAX(0,$K6885-$L6885),$J6885)))</f>
      </c>
      <c r="N6885" s="43">
        <f>IF($I6885=0,0,MIN(SUMIFS(SondBetrag,SondDarl,15,SondDatum,"&gt;="&amp;$E6885,SondDatum,"&lt;="&amp;EOMONTH($E6885,0)),$J6885-$M6885))</f>
      </c>
      <c r="O6885" s="43">
        <f>IF($I6885=0,0,INDEX(DarlErsatzRate,15))</f>
      </c>
      <c r="P6885" s="43">
        <f>IF($I6885=0,0,$Q6884*INDEX(DarlErsatzZins,15))</f>
      </c>
      <c r="Q6885" s="43">
        <f>IF($I6885=0,0,$Q6884+$P6885+$O6885)</f>
      </c>
      <c r="R6885" s="43">
        <f>IF($I6885=0,0,$J6885-$M6885-$N6885)</f>
      </c>
    </row>
    <row r="6886">
      <c r="A6886"/>
      <c r="B6886">
        <v>15</v>
      </c>
      <c r="C6886" s="43">
        <f>INDEX(DarlObj,15)</f>
      </c>
      <c r="D6886">
        <v>163</v>
      </c>
      <c r="E6886" s="51">
        <f>IF(INDEX(DarlBelegt,15)=0,0,EOMONTH(INDEX(DarlAuszahlung,15),162)+1)</f>
      </c>
      <c r="F6886" s="43">
        <f>IF($E6886=0,0,YEAR($E6886))</f>
      </c>
      <c r="G6886" s="43">
        <f>IF(INDEX(DarlBindung,15)="",1,IF($E6886&lt;=INDEX(DarlBindung,15),1,0))</f>
      </c>
      <c r="H6886" s="43">
        <f>IF($G6886=1,INDEX(DarlSollzins,15),INDEX(DarlAnschluss,15))</f>
      </c>
      <c r="I6886" s="43">
        <f>IF(INDEX(DarlBelegt,15)=0,0,IF(INDEX(DarlOhneTilgung,15)=1,IF(INDEX(DarlBindung,15)="",1,$G6886),IF($J6886&gt;0.005,1,0)))</f>
      </c>
      <c r="J6886" s="43">
        <f>IF($I6885=0,0,$R6885)</f>
      </c>
      <c r="K6886" s="43">
        <f>IF($I6886=0,0,IF(INDEX(DarlOhneTilgung,15)=1,0,IF(AND(INDEX(DarlTilgStart,15)&gt;0,$E6886=INDEX(DarlTilgStart,15)),$J6886*($H6886+INDEX(DarlTilgung,15))/100/12,IF(AND($G6886=0,$G6885=1),MAX($K6885,$J6886*($H6886+1)/100/12),$K6885))))</f>
      </c>
      <c r="L6886" s="43">
        <f>IF($I6886=0,0,$J6886*$H6886/100/12)</f>
      </c>
      <c r="M6886" s="43">
        <f>IF($I6886=0,0,IF(OR(INDEX(DarlOhneTilgung,15)=1,AND(INDEX(DarlTilgStart,15)&gt;0,$E6886&lt;INDEX(DarlTilgStart,15))),0,MIN(MAX(0,$K6886-$L6886),$J6886)))</f>
      </c>
      <c r="N6886" s="43">
        <f>IF($I6886=0,0,MIN(SUMIFS(SondBetrag,SondDarl,15,SondDatum,"&gt;="&amp;$E6886,SondDatum,"&lt;="&amp;EOMONTH($E6886,0)),$J6886-$M6886))</f>
      </c>
      <c r="O6886" s="43">
        <f>IF($I6886=0,0,INDEX(DarlErsatzRate,15))</f>
      </c>
      <c r="P6886" s="43">
        <f>IF($I6886=0,0,$Q6885*INDEX(DarlErsatzZins,15))</f>
      </c>
      <c r="Q6886" s="43">
        <f>IF($I6886=0,0,$Q6885+$P6886+$O6886)</f>
      </c>
      <c r="R6886" s="43">
        <f>IF($I6886=0,0,$J6886-$M6886-$N6886)</f>
      </c>
    </row>
    <row r="6887">
      <c r="A6887"/>
      <c r="B6887">
        <v>15</v>
      </c>
      <c r="C6887" s="43">
        <f>INDEX(DarlObj,15)</f>
      </c>
      <c r="D6887">
        <v>164</v>
      </c>
      <c r="E6887" s="51">
        <f>IF(INDEX(DarlBelegt,15)=0,0,EOMONTH(INDEX(DarlAuszahlung,15),163)+1)</f>
      </c>
      <c r="F6887" s="43">
        <f>IF($E6887=0,0,YEAR($E6887))</f>
      </c>
      <c r="G6887" s="43">
        <f>IF(INDEX(DarlBindung,15)="",1,IF($E6887&lt;=INDEX(DarlBindung,15),1,0))</f>
      </c>
      <c r="H6887" s="43">
        <f>IF($G6887=1,INDEX(DarlSollzins,15),INDEX(DarlAnschluss,15))</f>
      </c>
      <c r="I6887" s="43">
        <f>IF(INDEX(DarlBelegt,15)=0,0,IF(INDEX(DarlOhneTilgung,15)=1,IF(INDEX(DarlBindung,15)="",1,$G6887),IF($J6887&gt;0.005,1,0)))</f>
      </c>
      <c r="J6887" s="43">
        <f>IF($I6886=0,0,$R6886)</f>
      </c>
      <c r="K6887" s="43">
        <f>IF($I6887=0,0,IF(INDEX(DarlOhneTilgung,15)=1,0,IF(AND(INDEX(DarlTilgStart,15)&gt;0,$E6887=INDEX(DarlTilgStart,15)),$J6887*($H6887+INDEX(DarlTilgung,15))/100/12,IF(AND($G6887=0,$G6886=1),MAX($K6886,$J6887*($H6887+1)/100/12),$K6886))))</f>
      </c>
      <c r="L6887" s="43">
        <f>IF($I6887=0,0,$J6887*$H6887/100/12)</f>
      </c>
      <c r="M6887" s="43">
        <f>IF($I6887=0,0,IF(OR(INDEX(DarlOhneTilgung,15)=1,AND(INDEX(DarlTilgStart,15)&gt;0,$E6887&lt;INDEX(DarlTilgStart,15))),0,MIN(MAX(0,$K6887-$L6887),$J6887)))</f>
      </c>
      <c r="N6887" s="43">
        <f>IF($I6887=0,0,MIN(SUMIFS(SondBetrag,SondDarl,15,SondDatum,"&gt;="&amp;$E6887,SondDatum,"&lt;="&amp;EOMONTH($E6887,0)),$J6887-$M6887))</f>
      </c>
      <c r="O6887" s="43">
        <f>IF($I6887=0,0,INDEX(DarlErsatzRate,15))</f>
      </c>
      <c r="P6887" s="43">
        <f>IF($I6887=0,0,$Q6886*INDEX(DarlErsatzZins,15))</f>
      </c>
      <c r="Q6887" s="43">
        <f>IF($I6887=0,0,$Q6886+$P6887+$O6887)</f>
      </c>
      <c r="R6887" s="43">
        <f>IF($I6887=0,0,$J6887-$M6887-$N6887)</f>
      </c>
    </row>
    <row r="6888">
      <c r="A6888"/>
      <c r="B6888">
        <v>15</v>
      </c>
      <c r="C6888" s="43">
        <f>INDEX(DarlObj,15)</f>
      </c>
      <c r="D6888">
        <v>165</v>
      </c>
      <c r="E6888" s="51">
        <f>IF(INDEX(DarlBelegt,15)=0,0,EOMONTH(INDEX(DarlAuszahlung,15),164)+1)</f>
      </c>
      <c r="F6888" s="43">
        <f>IF($E6888=0,0,YEAR($E6888))</f>
      </c>
      <c r="G6888" s="43">
        <f>IF(INDEX(DarlBindung,15)="",1,IF($E6888&lt;=INDEX(DarlBindung,15),1,0))</f>
      </c>
      <c r="H6888" s="43">
        <f>IF($G6888=1,INDEX(DarlSollzins,15),INDEX(DarlAnschluss,15))</f>
      </c>
      <c r="I6888" s="43">
        <f>IF(INDEX(DarlBelegt,15)=0,0,IF(INDEX(DarlOhneTilgung,15)=1,IF(INDEX(DarlBindung,15)="",1,$G6888),IF($J6888&gt;0.005,1,0)))</f>
      </c>
      <c r="J6888" s="43">
        <f>IF($I6887=0,0,$R6887)</f>
      </c>
      <c r="K6888" s="43">
        <f>IF($I6888=0,0,IF(INDEX(DarlOhneTilgung,15)=1,0,IF(AND(INDEX(DarlTilgStart,15)&gt;0,$E6888=INDEX(DarlTilgStart,15)),$J6888*($H6888+INDEX(DarlTilgung,15))/100/12,IF(AND($G6888=0,$G6887=1),MAX($K6887,$J6888*($H6888+1)/100/12),$K6887))))</f>
      </c>
      <c r="L6888" s="43">
        <f>IF($I6888=0,0,$J6888*$H6888/100/12)</f>
      </c>
      <c r="M6888" s="43">
        <f>IF($I6888=0,0,IF(OR(INDEX(DarlOhneTilgung,15)=1,AND(INDEX(DarlTilgStart,15)&gt;0,$E6888&lt;INDEX(DarlTilgStart,15))),0,MIN(MAX(0,$K6888-$L6888),$J6888)))</f>
      </c>
      <c r="N6888" s="43">
        <f>IF($I6888=0,0,MIN(SUMIFS(SondBetrag,SondDarl,15,SondDatum,"&gt;="&amp;$E6888,SondDatum,"&lt;="&amp;EOMONTH($E6888,0)),$J6888-$M6888))</f>
      </c>
      <c r="O6888" s="43">
        <f>IF($I6888=0,0,INDEX(DarlErsatzRate,15))</f>
      </c>
      <c r="P6888" s="43">
        <f>IF($I6888=0,0,$Q6887*INDEX(DarlErsatzZins,15))</f>
      </c>
      <c r="Q6888" s="43">
        <f>IF($I6888=0,0,$Q6887+$P6888+$O6888)</f>
      </c>
      <c r="R6888" s="43">
        <f>IF($I6888=0,0,$J6888-$M6888-$N6888)</f>
      </c>
    </row>
    <row r="6889">
      <c r="A6889"/>
      <c r="B6889">
        <v>15</v>
      </c>
      <c r="C6889" s="43">
        <f>INDEX(DarlObj,15)</f>
      </c>
      <c r="D6889">
        <v>166</v>
      </c>
      <c r="E6889" s="51">
        <f>IF(INDEX(DarlBelegt,15)=0,0,EOMONTH(INDEX(DarlAuszahlung,15),165)+1)</f>
      </c>
      <c r="F6889" s="43">
        <f>IF($E6889=0,0,YEAR($E6889))</f>
      </c>
      <c r="G6889" s="43">
        <f>IF(INDEX(DarlBindung,15)="",1,IF($E6889&lt;=INDEX(DarlBindung,15),1,0))</f>
      </c>
      <c r="H6889" s="43">
        <f>IF($G6889=1,INDEX(DarlSollzins,15),INDEX(DarlAnschluss,15))</f>
      </c>
      <c r="I6889" s="43">
        <f>IF(INDEX(DarlBelegt,15)=0,0,IF(INDEX(DarlOhneTilgung,15)=1,IF(INDEX(DarlBindung,15)="",1,$G6889),IF($J6889&gt;0.005,1,0)))</f>
      </c>
      <c r="J6889" s="43">
        <f>IF($I6888=0,0,$R6888)</f>
      </c>
      <c r="K6889" s="43">
        <f>IF($I6889=0,0,IF(INDEX(DarlOhneTilgung,15)=1,0,IF(AND(INDEX(DarlTilgStart,15)&gt;0,$E6889=INDEX(DarlTilgStart,15)),$J6889*($H6889+INDEX(DarlTilgung,15))/100/12,IF(AND($G6889=0,$G6888=1),MAX($K6888,$J6889*($H6889+1)/100/12),$K6888))))</f>
      </c>
      <c r="L6889" s="43">
        <f>IF($I6889=0,0,$J6889*$H6889/100/12)</f>
      </c>
      <c r="M6889" s="43">
        <f>IF($I6889=0,0,IF(OR(INDEX(DarlOhneTilgung,15)=1,AND(INDEX(DarlTilgStart,15)&gt;0,$E6889&lt;INDEX(DarlTilgStart,15))),0,MIN(MAX(0,$K6889-$L6889),$J6889)))</f>
      </c>
      <c r="N6889" s="43">
        <f>IF($I6889=0,0,MIN(SUMIFS(SondBetrag,SondDarl,15,SondDatum,"&gt;="&amp;$E6889,SondDatum,"&lt;="&amp;EOMONTH($E6889,0)),$J6889-$M6889))</f>
      </c>
      <c r="O6889" s="43">
        <f>IF($I6889=0,0,INDEX(DarlErsatzRate,15))</f>
      </c>
      <c r="P6889" s="43">
        <f>IF($I6889=0,0,$Q6888*INDEX(DarlErsatzZins,15))</f>
      </c>
      <c r="Q6889" s="43">
        <f>IF($I6889=0,0,$Q6888+$P6889+$O6889)</f>
      </c>
      <c r="R6889" s="43">
        <f>IF($I6889=0,0,$J6889-$M6889-$N6889)</f>
      </c>
    </row>
    <row r="6890">
      <c r="A6890"/>
      <c r="B6890">
        <v>15</v>
      </c>
      <c r="C6890" s="43">
        <f>INDEX(DarlObj,15)</f>
      </c>
      <c r="D6890">
        <v>167</v>
      </c>
      <c r="E6890" s="51">
        <f>IF(INDEX(DarlBelegt,15)=0,0,EOMONTH(INDEX(DarlAuszahlung,15),166)+1)</f>
      </c>
      <c r="F6890" s="43">
        <f>IF($E6890=0,0,YEAR($E6890))</f>
      </c>
      <c r="G6890" s="43">
        <f>IF(INDEX(DarlBindung,15)="",1,IF($E6890&lt;=INDEX(DarlBindung,15),1,0))</f>
      </c>
      <c r="H6890" s="43">
        <f>IF($G6890=1,INDEX(DarlSollzins,15),INDEX(DarlAnschluss,15))</f>
      </c>
      <c r="I6890" s="43">
        <f>IF(INDEX(DarlBelegt,15)=0,0,IF(INDEX(DarlOhneTilgung,15)=1,IF(INDEX(DarlBindung,15)="",1,$G6890),IF($J6890&gt;0.005,1,0)))</f>
      </c>
      <c r="J6890" s="43">
        <f>IF($I6889=0,0,$R6889)</f>
      </c>
      <c r="K6890" s="43">
        <f>IF($I6890=0,0,IF(INDEX(DarlOhneTilgung,15)=1,0,IF(AND(INDEX(DarlTilgStart,15)&gt;0,$E6890=INDEX(DarlTilgStart,15)),$J6890*($H6890+INDEX(DarlTilgung,15))/100/12,IF(AND($G6890=0,$G6889=1),MAX($K6889,$J6890*($H6890+1)/100/12),$K6889))))</f>
      </c>
      <c r="L6890" s="43">
        <f>IF($I6890=0,0,$J6890*$H6890/100/12)</f>
      </c>
      <c r="M6890" s="43">
        <f>IF($I6890=0,0,IF(OR(INDEX(DarlOhneTilgung,15)=1,AND(INDEX(DarlTilgStart,15)&gt;0,$E6890&lt;INDEX(DarlTilgStart,15))),0,MIN(MAX(0,$K6890-$L6890),$J6890)))</f>
      </c>
      <c r="N6890" s="43">
        <f>IF($I6890=0,0,MIN(SUMIFS(SondBetrag,SondDarl,15,SondDatum,"&gt;="&amp;$E6890,SondDatum,"&lt;="&amp;EOMONTH($E6890,0)),$J6890-$M6890))</f>
      </c>
      <c r="O6890" s="43">
        <f>IF($I6890=0,0,INDEX(DarlErsatzRate,15))</f>
      </c>
      <c r="P6890" s="43">
        <f>IF($I6890=0,0,$Q6889*INDEX(DarlErsatzZins,15))</f>
      </c>
      <c r="Q6890" s="43">
        <f>IF($I6890=0,0,$Q6889+$P6890+$O6890)</f>
      </c>
      <c r="R6890" s="43">
        <f>IF($I6890=0,0,$J6890-$M6890-$N6890)</f>
      </c>
    </row>
    <row r="6891">
      <c r="A6891"/>
      <c r="B6891">
        <v>15</v>
      </c>
      <c r="C6891" s="43">
        <f>INDEX(DarlObj,15)</f>
      </c>
      <c r="D6891">
        <v>168</v>
      </c>
      <c r="E6891" s="51">
        <f>IF(INDEX(DarlBelegt,15)=0,0,EOMONTH(INDEX(DarlAuszahlung,15),167)+1)</f>
      </c>
      <c r="F6891" s="43">
        <f>IF($E6891=0,0,YEAR($E6891))</f>
      </c>
      <c r="G6891" s="43">
        <f>IF(INDEX(DarlBindung,15)="",1,IF($E6891&lt;=INDEX(DarlBindung,15),1,0))</f>
      </c>
      <c r="H6891" s="43">
        <f>IF($G6891=1,INDEX(DarlSollzins,15),INDEX(DarlAnschluss,15))</f>
      </c>
      <c r="I6891" s="43">
        <f>IF(INDEX(DarlBelegt,15)=0,0,IF(INDEX(DarlOhneTilgung,15)=1,IF(INDEX(DarlBindung,15)="",1,$G6891),IF($J6891&gt;0.005,1,0)))</f>
      </c>
      <c r="J6891" s="43">
        <f>IF($I6890=0,0,$R6890)</f>
      </c>
      <c r="K6891" s="43">
        <f>IF($I6891=0,0,IF(INDEX(DarlOhneTilgung,15)=1,0,IF(AND(INDEX(DarlTilgStart,15)&gt;0,$E6891=INDEX(DarlTilgStart,15)),$J6891*($H6891+INDEX(DarlTilgung,15))/100/12,IF(AND($G6891=0,$G6890=1),MAX($K6890,$J6891*($H6891+1)/100/12),$K6890))))</f>
      </c>
      <c r="L6891" s="43">
        <f>IF($I6891=0,0,$J6891*$H6891/100/12)</f>
      </c>
      <c r="M6891" s="43">
        <f>IF($I6891=0,0,IF(OR(INDEX(DarlOhneTilgung,15)=1,AND(INDEX(DarlTilgStart,15)&gt;0,$E6891&lt;INDEX(DarlTilgStart,15))),0,MIN(MAX(0,$K6891-$L6891),$J6891)))</f>
      </c>
      <c r="N6891" s="43">
        <f>IF($I6891=0,0,MIN(SUMIFS(SondBetrag,SondDarl,15,SondDatum,"&gt;="&amp;$E6891,SondDatum,"&lt;="&amp;EOMONTH($E6891,0)),$J6891-$M6891))</f>
      </c>
      <c r="O6891" s="43">
        <f>IF($I6891=0,0,INDEX(DarlErsatzRate,15))</f>
      </c>
      <c r="P6891" s="43">
        <f>IF($I6891=0,0,$Q6890*INDEX(DarlErsatzZins,15))</f>
      </c>
      <c r="Q6891" s="43">
        <f>IF($I6891=0,0,$Q6890+$P6891+$O6891)</f>
      </c>
      <c r="R6891" s="43">
        <f>IF($I6891=0,0,$J6891-$M6891-$N6891)</f>
      </c>
    </row>
    <row r="6892">
      <c r="A6892"/>
      <c r="B6892">
        <v>15</v>
      </c>
      <c r="C6892" s="43">
        <f>INDEX(DarlObj,15)</f>
      </c>
      <c r="D6892">
        <v>169</v>
      </c>
      <c r="E6892" s="51">
        <f>IF(INDEX(DarlBelegt,15)=0,0,EOMONTH(INDEX(DarlAuszahlung,15),168)+1)</f>
      </c>
      <c r="F6892" s="43">
        <f>IF($E6892=0,0,YEAR($E6892))</f>
      </c>
      <c r="G6892" s="43">
        <f>IF(INDEX(DarlBindung,15)="",1,IF($E6892&lt;=INDEX(DarlBindung,15),1,0))</f>
      </c>
      <c r="H6892" s="43">
        <f>IF($G6892=1,INDEX(DarlSollzins,15),INDEX(DarlAnschluss,15))</f>
      </c>
      <c r="I6892" s="43">
        <f>IF(INDEX(DarlBelegt,15)=0,0,IF(INDEX(DarlOhneTilgung,15)=1,IF(INDEX(DarlBindung,15)="",1,$G6892),IF($J6892&gt;0.005,1,0)))</f>
      </c>
      <c r="J6892" s="43">
        <f>IF($I6891=0,0,$R6891)</f>
      </c>
      <c r="K6892" s="43">
        <f>IF($I6892=0,0,IF(INDEX(DarlOhneTilgung,15)=1,0,IF(AND(INDEX(DarlTilgStart,15)&gt;0,$E6892=INDEX(DarlTilgStart,15)),$J6892*($H6892+INDEX(DarlTilgung,15))/100/12,IF(AND($G6892=0,$G6891=1),MAX($K6891,$J6892*($H6892+1)/100/12),$K6891))))</f>
      </c>
      <c r="L6892" s="43">
        <f>IF($I6892=0,0,$J6892*$H6892/100/12)</f>
      </c>
      <c r="M6892" s="43">
        <f>IF($I6892=0,0,IF(OR(INDEX(DarlOhneTilgung,15)=1,AND(INDEX(DarlTilgStart,15)&gt;0,$E6892&lt;INDEX(DarlTilgStart,15))),0,MIN(MAX(0,$K6892-$L6892),$J6892)))</f>
      </c>
      <c r="N6892" s="43">
        <f>IF($I6892=0,0,MIN(SUMIFS(SondBetrag,SondDarl,15,SondDatum,"&gt;="&amp;$E6892,SondDatum,"&lt;="&amp;EOMONTH($E6892,0)),$J6892-$M6892))</f>
      </c>
      <c r="O6892" s="43">
        <f>IF($I6892=0,0,INDEX(DarlErsatzRate,15))</f>
      </c>
      <c r="P6892" s="43">
        <f>IF($I6892=0,0,$Q6891*INDEX(DarlErsatzZins,15))</f>
      </c>
      <c r="Q6892" s="43">
        <f>IF($I6892=0,0,$Q6891+$P6892+$O6892)</f>
      </c>
      <c r="R6892" s="43">
        <f>IF($I6892=0,0,$J6892-$M6892-$N6892)</f>
      </c>
    </row>
    <row r="6893">
      <c r="A6893"/>
      <c r="B6893">
        <v>15</v>
      </c>
      <c r="C6893" s="43">
        <f>INDEX(DarlObj,15)</f>
      </c>
      <c r="D6893">
        <v>170</v>
      </c>
      <c r="E6893" s="51">
        <f>IF(INDEX(DarlBelegt,15)=0,0,EOMONTH(INDEX(DarlAuszahlung,15),169)+1)</f>
      </c>
      <c r="F6893" s="43">
        <f>IF($E6893=0,0,YEAR($E6893))</f>
      </c>
      <c r="G6893" s="43">
        <f>IF(INDEX(DarlBindung,15)="",1,IF($E6893&lt;=INDEX(DarlBindung,15),1,0))</f>
      </c>
      <c r="H6893" s="43">
        <f>IF($G6893=1,INDEX(DarlSollzins,15),INDEX(DarlAnschluss,15))</f>
      </c>
      <c r="I6893" s="43">
        <f>IF(INDEX(DarlBelegt,15)=0,0,IF(INDEX(DarlOhneTilgung,15)=1,IF(INDEX(DarlBindung,15)="",1,$G6893),IF($J6893&gt;0.005,1,0)))</f>
      </c>
      <c r="J6893" s="43">
        <f>IF($I6892=0,0,$R6892)</f>
      </c>
      <c r="K6893" s="43">
        <f>IF($I6893=0,0,IF(INDEX(DarlOhneTilgung,15)=1,0,IF(AND(INDEX(DarlTilgStart,15)&gt;0,$E6893=INDEX(DarlTilgStart,15)),$J6893*($H6893+INDEX(DarlTilgung,15))/100/12,IF(AND($G6893=0,$G6892=1),MAX($K6892,$J6893*($H6893+1)/100/12),$K6892))))</f>
      </c>
      <c r="L6893" s="43">
        <f>IF($I6893=0,0,$J6893*$H6893/100/12)</f>
      </c>
      <c r="M6893" s="43">
        <f>IF($I6893=0,0,IF(OR(INDEX(DarlOhneTilgung,15)=1,AND(INDEX(DarlTilgStart,15)&gt;0,$E6893&lt;INDEX(DarlTilgStart,15))),0,MIN(MAX(0,$K6893-$L6893),$J6893)))</f>
      </c>
      <c r="N6893" s="43">
        <f>IF($I6893=0,0,MIN(SUMIFS(SondBetrag,SondDarl,15,SondDatum,"&gt;="&amp;$E6893,SondDatum,"&lt;="&amp;EOMONTH($E6893,0)),$J6893-$M6893))</f>
      </c>
      <c r="O6893" s="43">
        <f>IF($I6893=0,0,INDEX(DarlErsatzRate,15))</f>
      </c>
      <c r="P6893" s="43">
        <f>IF($I6893=0,0,$Q6892*INDEX(DarlErsatzZins,15))</f>
      </c>
      <c r="Q6893" s="43">
        <f>IF($I6893=0,0,$Q6892+$P6893+$O6893)</f>
      </c>
      <c r="R6893" s="43">
        <f>IF($I6893=0,0,$J6893-$M6893-$N6893)</f>
      </c>
    </row>
    <row r="6894">
      <c r="A6894"/>
      <c r="B6894">
        <v>15</v>
      </c>
      <c r="C6894" s="43">
        <f>INDEX(DarlObj,15)</f>
      </c>
      <c r="D6894">
        <v>171</v>
      </c>
      <c r="E6894" s="51">
        <f>IF(INDEX(DarlBelegt,15)=0,0,EOMONTH(INDEX(DarlAuszahlung,15),170)+1)</f>
      </c>
      <c r="F6894" s="43">
        <f>IF($E6894=0,0,YEAR($E6894))</f>
      </c>
      <c r="G6894" s="43">
        <f>IF(INDEX(DarlBindung,15)="",1,IF($E6894&lt;=INDEX(DarlBindung,15),1,0))</f>
      </c>
      <c r="H6894" s="43">
        <f>IF($G6894=1,INDEX(DarlSollzins,15),INDEX(DarlAnschluss,15))</f>
      </c>
      <c r="I6894" s="43">
        <f>IF(INDEX(DarlBelegt,15)=0,0,IF(INDEX(DarlOhneTilgung,15)=1,IF(INDEX(DarlBindung,15)="",1,$G6894),IF($J6894&gt;0.005,1,0)))</f>
      </c>
      <c r="J6894" s="43">
        <f>IF($I6893=0,0,$R6893)</f>
      </c>
      <c r="K6894" s="43">
        <f>IF($I6894=0,0,IF(INDEX(DarlOhneTilgung,15)=1,0,IF(AND(INDEX(DarlTilgStart,15)&gt;0,$E6894=INDEX(DarlTilgStart,15)),$J6894*($H6894+INDEX(DarlTilgung,15))/100/12,IF(AND($G6894=0,$G6893=1),MAX($K6893,$J6894*($H6894+1)/100/12),$K6893))))</f>
      </c>
      <c r="L6894" s="43">
        <f>IF($I6894=0,0,$J6894*$H6894/100/12)</f>
      </c>
      <c r="M6894" s="43">
        <f>IF($I6894=0,0,IF(OR(INDEX(DarlOhneTilgung,15)=1,AND(INDEX(DarlTilgStart,15)&gt;0,$E6894&lt;INDEX(DarlTilgStart,15))),0,MIN(MAX(0,$K6894-$L6894),$J6894)))</f>
      </c>
      <c r="N6894" s="43">
        <f>IF($I6894=0,0,MIN(SUMIFS(SondBetrag,SondDarl,15,SondDatum,"&gt;="&amp;$E6894,SondDatum,"&lt;="&amp;EOMONTH($E6894,0)),$J6894-$M6894))</f>
      </c>
      <c r="O6894" s="43">
        <f>IF($I6894=0,0,INDEX(DarlErsatzRate,15))</f>
      </c>
      <c r="P6894" s="43">
        <f>IF($I6894=0,0,$Q6893*INDEX(DarlErsatzZins,15))</f>
      </c>
      <c r="Q6894" s="43">
        <f>IF($I6894=0,0,$Q6893+$P6894+$O6894)</f>
      </c>
      <c r="R6894" s="43">
        <f>IF($I6894=0,0,$J6894-$M6894-$N6894)</f>
      </c>
    </row>
    <row r="6895">
      <c r="A6895"/>
      <c r="B6895">
        <v>15</v>
      </c>
      <c r="C6895" s="43">
        <f>INDEX(DarlObj,15)</f>
      </c>
      <c r="D6895">
        <v>172</v>
      </c>
      <c r="E6895" s="51">
        <f>IF(INDEX(DarlBelegt,15)=0,0,EOMONTH(INDEX(DarlAuszahlung,15),171)+1)</f>
      </c>
      <c r="F6895" s="43">
        <f>IF($E6895=0,0,YEAR($E6895))</f>
      </c>
      <c r="G6895" s="43">
        <f>IF(INDEX(DarlBindung,15)="",1,IF($E6895&lt;=INDEX(DarlBindung,15),1,0))</f>
      </c>
      <c r="H6895" s="43">
        <f>IF($G6895=1,INDEX(DarlSollzins,15),INDEX(DarlAnschluss,15))</f>
      </c>
      <c r="I6895" s="43">
        <f>IF(INDEX(DarlBelegt,15)=0,0,IF(INDEX(DarlOhneTilgung,15)=1,IF(INDEX(DarlBindung,15)="",1,$G6895),IF($J6895&gt;0.005,1,0)))</f>
      </c>
      <c r="J6895" s="43">
        <f>IF($I6894=0,0,$R6894)</f>
      </c>
      <c r="K6895" s="43">
        <f>IF($I6895=0,0,IF(INDEX(DarlOhneTilgung,15)=1,0,IF(AND(INDEX(DarlTilgStart,15)&gt;0,$E6895=INDEX(DarlTilgStart,15)),$J6895*($H6895+INDEX(DarlTilgung,15))/100/12,IF(AND($G6895=0,$G6894=1),MAX($K6894,$J6895*($H6895+1)/100/12),$K6894))))</f>
      </c>
      <c r="L6895" s="43">
        <f>IF($I6895=0,0,$J6895*$H6895/100/12)</f>
      </c>
      <c r="M6895" s="43">
        <f>IF($I6895=0,0,IF(OR(INDEX(DarlOhneTilgung,15)=1,AND(INDEX(DarlTilgStart,15)&gt;0,$E6895&lt;INDEX(DarlTilgStart,15))),0,MIN(MAX(0,$K6895-$L6895),$J6895)))</f>
      </c>
      <c r="N6895" s="43">
        <f>IF($I6895=0,0,MIN(SUMIFS(SondBetrag,SondDarl,15,SondDatum,"&gt;="&amp;$E6895,SondDatum,"&lt;="&amp;EOMONTH($E6895,0)),$J6895-$M6895))</f>
      </c>
      <c r="O6895" s="43">
        <f>IF($I6895=0,0,INDEX(DarlErsatzRate,15))</f>
      </c>
      <c r="P6895" s="43">
        <f>IF($I6895=0,0,$Q6894*INDEX(DarlErsatzZins,15))</f>
      </c>
      <c r="Q6895" s="43">
        <f>IF($I6895=0,0,$Q6894+$P6895+$O6895)</f>
      </c>
      <c r="R6895" s="43">
        <f>IF($I6895=0,0,$J6895-$M6895-$N6895)</f>
      </c>
    </row>
    <row r="6896">
      <c r="A6896"/>
      <c r="B6896">
        <v>15</v>
      </c>
      <c r="C6896" s="43">
        <f>INDEX(DarlObj,15)</f>
      </c>
      <c r="D6896">
        <v>173</v>
      </c>
      <c r="E6896" s="51">
        <f>IF(INDEX(DarlBelegt,15)=0,0,EOMONTH(INDEX(DarlAuszahlung,15),172)+1)</f>
      </c>
      <c r="F6896" s="43">
        <f>IF($E6896=0,0,YEAR($E6896))</f>
      </c>
      <c r="G6896" s="43">
        <f>IF(INDEX(DarlBindung,15)="",1,IF($E6896&lt;=INDEX(DarlBindung,15),1,0))</f>
      </c>
      <c r="H6896" s="43">
        <f>IF($G6896=1,INDEX(DarlSollzins,15),INDEX(DarlAnschluss,15))</f>
      </c>
      <c r="I6896" s="43">
        <f>IF(INDEX(DarlBelegt,15)=0,0,IF(INDEX(DarlOhneTilgung,15)=1,IF(INDEX(DarlBindung,15)="",1,$G6896),IF($J6896&gt;0.005,1,0)))</f>
      </c>
      <c r="J6896" s="43">
        <f>IF($I6895=0,0,$R6895)</f>
      </c>
      <c r="K6896" s="43">
        <f>IF($I6896=0,0,IF(INDEX(DarlOhneTilgung,15)=1,0,IF(AND(INDEX(DarlTilgStart,15)&gt;0,$E6896=INDEX(DarlTilgStart,15)),$J6896*($H6896+INDEX(DarlTilgung,15))/100/12,IF(AND($G6896=0,$G6895=1),MAX($K6895,$J6896*($H6896+1)/100/12),$K6895))))</f>
      </c>
      <c r="L6896" s="43">
        <f>IF($I6896=0,0,$J6896*$H6896/100/12)</f>
      </c>
      <c r="M6896" s="43">
        <f>IF($I6896=0,0,IF(OR(INDEX(DarlOhneTilgung,15)=1,AND(INDEX(DarlTilgStart,15)&gt;0,$E6896&lt;INDEX(DarlTilgStart,15))),0,MIN(MAX(0,$K6896-$L6896),$J6896)))</f>
      </c>
      <c r="N6896" s="43">
        <f>IF($I6896=0,0,MIN(SUMIFS(SondBetrag,SondDarl,15,SondDatum,"&gt;="&amp;$E6896,SondDatum,"&lt;="&amp;EOMONTH($E6896,0)),$J6896-$M6896))</f>
      </c>
      <c r="O6896" s="43">
        <f>IF($I6896=0,0,INDEX(DarlErsatzRate,15))</f>
      </c>
      <c r="P6896" s="43">
        <f>IF($I6896=0,0,$Q6895*INDEX(DarlErsatzZins,15))</f>
      </c>
      <c r="Q6896" s="43">
        <f>IF($I6896=0,0,$Q6895+$P6896+$O6896)</f>
      </c>
      <c r="R6896" s="43">
        <f>IF($I6896=0,0,$J6896-$M6896-$N6896)</f>
      </c>
    </row>
    <row r="6897">
      <c r="A6897"/>
      <c r="B6897">
        <v>15</v>
      </c>
      <c r="C6897" s="43">
        <f>INDEX(DarlObj,15)</f>
      </c>
      <c r="D6897">
        <v>174</v>
      </c>
      <c r="E6897" s="51">
        <f>IF(INDEX(DarlBelegt,15)=0,0,EOMONTH(INDEX(DarlAuszahlung,15),173)+1)</f>
      </c>
      <c r="F6897" s="43">
        <f>IF($E6897=0,0,YEAR($E6897))</f>
      </c>
      <c r="G6897" s="43">
        <f>IF(INDEX(DarlBindung,15)="",1,IF($E6897&lt;=INDEX(DarlBindung,15),1,0))</f>
      </c>
      <c r="H6897" s="43">
        <f>IF($G6897=1,INDEX(DarlSollzins,15),INDEX(DarlAnschluss,15))</f>
      </c>
      <c r="I6897" s="43">
        <f>IF(INDEX(DarlBelegt,15)=0,0,IF(INDEX(DarlOhneTilgung,15)=1,IF(INDEX(DarlBindung,15)="",1,$G6897),IF($J6897&gt;0.005,1,0)))</f>
      </c>
      <c r="J6897" s="43">
        <f>IF($I6896=0,0,$R6896)</f>
      </c>
      <c r="K6897" s="43">
        <f>IF($I6897=0,0,IF(INDEX(DarlOhneTilgung,15)=1,0,IF(AND(INDEX(DarlTilgStart,15)&gt;0,$E6897=INDEX(DarlTilgStart,15)),$J6897*($H6897+INDEX(DarlTilgung,15))/100/12,IF(AND($G6897=0,$G6896=1),MAX($K6896,$J6897*($H6897+1)/100/12),$K6896))))</f>
      </c>
      <c r="L6897" s="43">
        <f>IF($I6897=0,0,$J6897*$H6897/100/12)</f>
      </c>
      <c r="M6897" s="43">
        <f>IF($I6897=0,0,IF(OR(INDEX(DarlOhneTilgung,15)=1,AND(INDEX(DarlTilgStart,15)&gt;0,$E6897&lt;INDEX(DarlTilgStart,15))),0,MIN(MAX(0,$K6897-$L6897),$J6897)))</f>
      </c>
      <c r="N6897" s="43">
        <f>IF($I6897=0,0,MIN(SUMIFS(SondBetrag,SondDarl,15,SondDatum,"&gt;="&amp;$E6897,SondDatum,"&lt;="&amp;EOMONTH($E6897,0)),$J6897-$M6897))</f>
      </c>
      <c r="O6897" s="43">
        <f>IF($I6897=0,0,INDEX(DarlErsatzRate,15))</f>
      </c>
      <c r="P6897" s="43">
        <f>IF($I6897=0,0,$Q6896*INDEX(DarlErsatzZins,15))</f>
      </c>
      <c r="Q6897" s="43">
        <f>IF($I6897=0,0,$Q6896+$P6897+$O6897)</f>
      </c>
      <c r="R6897" s="43">
        <f>IF($I6897=0,0,$J6897-$M6897-$N6897)</f>
      </c>
    </row>
    <row r="6898">
      <c r="A6898"/>
      <c r="B6898">
        <v>15</v>
      </c>
      <c r="C6898" s="43">
        <f>INDEX(DarlObj,15)</f>
      </c>
      <c r="D6898">
        <v>175</v>
      </c>
      <c r="E6898" s="51">
        <f>IF(INDEX(DarlBelegt,15)=0,0,EOMONTH(INDEX(DarlAuszahlung,15),174)+1)</f>
      </c>
      <c r="F6898" s="43">
        <f>IF($E6898=0,0,YEAR($E6898))</f>
      </c>
      <c r="G6898" s="43">
        <f>IF(INDEX(DarlBindung,15)="",1,IF($E6898&lt;=INDEX(DarlBindung,15),1,0))</f>
      </c>
      <c r="H6898" s="43">
        <f>IF($G6898=1,INDEX(DarlSollzins,15),INDEX(DarlAnschluss,15))</f>
      </c>
      <c r="I6898" s="43">
        <f>IF(INDEX(DarlBelegt,15)=0,0,IF(INDEX(DarlOhneTilgung,15)=1,IF(INDEX(DarlBindung,15)="",1,$G6898),IF($J6898&gt;0.005,1,0)))</f>
      </c>
      <c r="J6898" s="43">
        <f>IF($I6897=0,0,$R6897)</f>
      </c>
      <c r="K6898" s="43">
        <f>IF($I6898=0,0,IF(INDEX(DarlOhneTilgung,15)=1,0,IF(AND(INDEX(DarlTilgStart,15)&gt;0,$E6898=INDEX(DarlTilgStart,15)),$J6898*($H6898+INDEX(DarlTilgung,15))/100/12,IF(AND($G6898=0,$G6897=1),MAX($K6897,$J6898*($H6898+1)/100/12),$K6897))))</f>
      </c>
      <c r="L6898" s="43">
        <f>IF($I6898=0,0,$J6898*$H6898/100/12)</f>
      </c>
      <c r="M6898" s="43">
        <f>IF($I6898=0,0,IF(OR(INDEX(DarlOhneTilgung,15)=1,AND(INDEX(DarlTilgStart,15)&gt;0,$E6898&lt;INDEX(DarlTilgStart,15))),0,MIN(MAX(0,$K6898-$L6898),$J6898)))</f>
      </c>
      <c r="N6898" s="43">
        <f>IF($I6898=0,0,MIN(SUMIFS(SondBetrag,SondDarl,15,SondDatum,"&gt;="&amp;$E6898,SondDatum,"&lt;="&amp;EOMONTH($E6898,0)),$J6898-$M6898))</f>
      </c>
      <c r="O6898" s="43">
        <f>IF($I6898=0,0,INDEX(DarlErsatzRate,15))</f>
      </c>
      <c r="P6898" s="43">
        <f>IF($I6898=0,0,$Q6897*INDEX(DarlErsatzZins,15))</f>
      </c>
      <c r="Q6898" s="43">
        <f>IF($I6898=0,0,$Q6897+$P6898+$O6898)</f>
      </c>
      <c r="R6898" s="43">
        <f>IF($I6898=0,0,$J6898-$M6898-$N6898)</f>
      </c>
    </row>
    <row r="6899">
      <c r="A6899"/>
      <c r="B6899">
        <v>15</v>
      </c>
      <c r="C6899" s="43">
        <f>INDEX(DarlObj,15)</f>
      </c>
      <c r="D6899">
        <v>176</v>
      </c>
      <c r="E6899" s="51">
        <f>IF(INDEX(DarlBelegt,15)=0,0,EOMONTH(INDEX(DarlAuszahlung,15),175)+1)</f>
      </c>
      <c r="F6899" s="43">
        <f>IF($E6899=0,0,YEAR($E6899))</f>
      </c>
      <c r="G6899" s="43">
        <f>IF(INDEX(DarlBindung,15)="",1,IF($E6899&lt;=INDEX(DarlBindung,15),1,0))</f>
      </c>
      <c r="H6899" s="43">
        <f>IF($G6899=1,INDEX(DarlSollzins,15),INDEX(DarlAnschluss,15))</f>
      </c>
      <c r="I6899" s="43">
        <f>IF(INDEX(DarlBelegt,15)=0,0,IF(INDEX(DarlOhneTilgung,15)=1,IF(INDEX(DarlBindung,15)="",1,$G6899),IF($J6899&gt;0.005,1,0)))</f>
      </c>
      <c r="J6899" s="43">
        <f>IF($I6898=0,0,$R6898)</f>
      </c>
      <c r="K6899" s="43">
        <f>IF($I6899=0,0,IF(INDEX(DarlOhneTilgung,15)=1,0,IF(AND(INDEX(DarlTilgStart,15)&gt;0,$E6899=INDEX(DarlTilgStart,15)),$J6899*($H6899+INDEX(DarlTilgung,15))/100/12,IF(AND($G6899=0,$G6898=1),MAX($K6898,$J6899*($H6899+1)/100/12),$K6898))))</f>
      </c>
      <c r="L6899" s="43">
        <f>IF($I6899=0,0,$J6899*$H6899/100/12)</f>
      </c>
      <c r="M6899" s="43">
        <f>IF($I6899=0,0,IF(OR(INDEX(DarlOhneTilgung,15)=1,AND(INDEX(DarlTilgStart,15)&gt;0,$E6899&lt;INDEX(DarlTilgStart,15))),0,MIN(MAX(0,$K6899-$L6899),$J6899)))</f>
      </c>
      <c r="N6899" s="43">
        <f>IF($I6899=0,0,MIN(SUMIFS(SondBetrag,SondDarl,15,SondDatum,"&gt;="&amp;$E6899,SondDatum,"&lt;="&amp;EOMONTH($E6899,0)),$J6899-$M6899))</f>
      </c>
      <c r="O6899" s="43">
        <f>IF($I6899=0,0,INDEX(DarlErsatzRate,15))</f>
      </c>
      <c r="P6899" s="43">
        <f>IF($I6899=0,0,$Q6898*INDEX(DarlErsatzZins,15))</f>
      </c>
      <c r="Q6899" s="43">
        <f>IF($I6899=0,0,$Q6898+$P6899+$O6899)</f>
      </c>
      <c r="R6899" s="43">
        <f>IF($I6899=0,0,$J6899-$M6899-$N6899)</f>
      </c>
    </row>
    <row r="6900">
      <c r="A6900"/>
      <c r="B6900">
        <v>15</v>
      </c>
      <c r="C6900" s="43">
        <f>INDEX(DarlObj,15)</f>
      </c>
      <c r="D6900">
        <v>177</v>
      </c>
      <c r="E6900" s="51">
        <f>IF(INDEX(DarlBelegt,15)=0,0,EOMONTH(INDEX(DarlAuszahlung,15),176)+1)</f>
      </c>
      <c r="F6900" s="43">
        <f>IF($E6900=0,0,YEAR($E6900))</f>
      </c>
      <c r="G6900" s="43">
        <f>IF(INDEX(DarlBindung,15)="",1,IF($E6900&lt;=INDEX(DarlBindung,15),1,0))</f>
      </c>
      <c r="H6900" s="43">
        <f>IF($G6900=1,INDEX(DarlSollzins,15),INDEX(DarlAnschluss,15))</f>
      </c>
      <c r="I6900" s="43">
        <f>IF(INDEX(DarlBelegt,15)=0,0,IF(INDEX(DarlOhneTilgung,15)=1,IF(INDEX(DarlBindung,15)="",1,$G6900),IF($J6900&gt;0.005,1,0)))</f>
      </c>
      <c r="J6900" s="43">
        <f>IF($I6899=0,0,$R6899)</f>
      </c>
      <c r="K6900" s="43">
        <f>IF($I6900=0,0,IF(INDEX(DarlOhneTilgung,15)=1,0,IF(AND(INDEX(DarlTilgStart,15)&gt;0,$E6900=INDEX(DarlTilgStart,15)),$J6900*($H6900+INDEX(DarlTilgung,15))/100/12,IF(AND($G6900=0,$G6899=1),MAX($K6899,$J6900*($H6900+1)/100/12),$K6899))))</f>
      </c>
      <c r="L6900" s="43">
        <f>IF($I6900=0,0,$J6900*$H6900/100/12)</f>
      </c>
      <c r="M6900" s="43">
        <f>IF($I6900=0,0,IF(OR(INDEX(DarlOhneTilgung,15)=1,AND(INDEX(DarlTilgStart,15)&gt;0,$E6900&lt;INDEX(DarlTilgStart,15))),0,MIN(MAX(0,$K6900-$L6900),$J6900)))</f>
      </c>
      <c r="N6900" s="43">
        <f>IF($I6900=0,0,MIN(SUMIFS(SondBetrag,SondDarl,15,SondDatum,"&gt;="&amp;$E6900,SondDatum,"&lt;="&amp;EOMONTH($E6900,0)),$J6900-$M6900))</f>
      </c>
      <c r="O6900" s="43">
        <f>IF($I6900=0,0,INDEX(DarlErsatzRate,15))</f>
      </c>
      <c r="P6900" s="43">
        <f>IF($I6900=0,0,$Q6899*INDEX(DarlErsatzZins,15))</f>
      </c>
      <c r="Q6900" s="43">
        <f>IF($I6900=0,0,$Q6899+$P6900+$O6900)</f>
      </c>
      <c r="R6900" s="43">
        <f>IF($I6900=0,0,$J6900-$M6900-$N6900)</f>
      </c>
    </row>
    <row r="6901">
      <c r="A6901"/>
      <c r="B6901">
        <v>15</v>
      </c>
      <c r="C6901" s="43">
        <f>INDEX(DarlObj,15)</f>
      </c>
      <c r="D6901">
        <v>178</v>
      </c>
      <c r="E6901" s="51">
        <f>IF(INDEX(DarlBelegt,15)=0,0,EOMONTH(INDEX(DarlAuszahlung,15),177)+1)</f>
      </c>
      <c r="F6901" s="43">
        <f>IF($E6901=0,0,YEAR($E6901))</f>
      </c>
      <c r="G6901" s="43">
        <f>IF(INDEX(DarlBindung,15)="",1,IF($E6901&lt;=INDEX(DarlBindung,15),1,0))</f>
      </c>
      <c r="H6901" s="43">
        <f>IF($G6901=1,INDEX(DarlSollzins,15),INDEX(DarlAnschluss,15))</f>
      </c>
      <c r="I6901" s="43">
        <f>IF(INDEX(DarlBelegt,15)=0,0,IF(INDEX(DarlOhneTilgung,15)=1,IF(INDEX(DarlBindung,15)="",1,$G6901),IF($J6901&gt;0.005,1,0)))</f>
      </c>
      <c r="J6901" s="43">
        <f>IF($I6900=0,0,$R6900)</f>
      </c>
      <c r="K6901" s="43">
        <f>IF($I6901=0,0,IF(INDEX(DarlOhneTilgung,15)=1,0,IF(AND(INDEX(DarlTilgStart,15)&gt;0,$E6901=INDEX(DarlTilgStart,15)),$J6901*($H6901+INDEX(DarlTilgung,15))/100/12,IF(AND($G6901=0,$G6900=1),MAX($K6900,$J6901*($H6901+1)/100/12),$K6900))))</f>
      </c>
      <c r="L6901" s="43">
        <f>IF($I6901=0,0,$J6901*$H6901/100/12)</f>
      </c>
      <c r="M6901" s="43">
        <f>IF($I6901=0,0,IF(OR(INDEX(DarlOhneTilgung,15)=1,AND(INDEX(DarlTilgStart,15)&gt;0,$E6901&lt;INDEX(DarlTilgStart,15))),0,MIN(MAX(0,$K6901-$L6901),$J6901)))</f>
      </c>
      <c r="N6901" s="43">
        <f>IF($I6901=0,0,MIN(SUMIFS(SondBetrag,SondDarl,15,SondDatum,"&gt;="&amp;$E6901,SondDatum,"&lt;="&amp;EOMONTH($E6901,0)),$J6901-$M6901))</f>
      </c>
      <c r="O6901" s="43">
        <f>IF($I6901=0,0,INDEX(DarlErsatzRate,15))</f>
      </c>
      <c r="P6901" s="43">
        <f>IF($I6901=0,0,$Q6900*INDEX(DarlErsatzZins,15))</f>
      </c>
      <c r="Q6901" s="43">
        <f>IF($I6901=0,0,$Q6900+$P6901+$O6901)</f>
      </c>
      <c r="R6901" s="43">
        <f>IF($I6901=0,0,$J6901-$M6901-$N6901)</f>
      </c>
    </row>
    <row r="6902">
      <c r="A6902"/>
      <c r="B6902">
        <v>15</v>
      </c>
      <c r="C6902" s="43">
        <f>INDEX(DarlObj,15)</f>
      </c>
      <c r="D6902">
        <v>179</v>
      </c>
      <c r="E6902" s="51">
        <f>IF(INDEX(DarlBelegt,15)=0,0,EOMONTH(INDEX(DarlAuszahlung,15),178)+1)</f>
      </c>
      <c r="F6902" s="43">
        <f>IF($E6902=0,0,YEAR($E6902))</f>
      </c>
      <c r="G6902" s="43">
        <f>IF(INDEX(DarlBindung,15)="",1,IF($E6902&lt;=INDEX(DarlBindung,15),1,0))</f>
      </c>
      <c r="H6902" s="43">
        <f>IF($G6902=1,INDEX(DarlSollzins,15),INDEX(DarlAnschluss,15))</f>
      </c>
      <c r="I6902" s="43">
        <f>IF(INDEX(DarlBelegt,15)=0,0,IF(INDEX(DarlOhneTilgung,15)=1,IF(INDEX(DarlBindung,15)="",1,$G6902),IF($J6902&gt;0.005,1,0)))</f>
      </c>
      <c r="J6902" s="43">
        <f>IF($I6901=0,0,$R6901)</f>
      </c>
      <c r="K6902" s="43">
        <f>IF($I6902=0,0,IF(INDEX(DarlOhneTilgung,15)=1,0,IF(AND(INDEX(DarlTilgStart,15)&gt;0,$E6902=INDEX(DarlTilgStart,15)),$J6902*($H6902+INDEX(DarlTilgung,15))/100/12,IF(AND($G6902=0,$G6901=1),MAX($K6901,$J6902*($H6902+1)/100/12),$K6901))))</f>
      </c>
      <c r="L6902" s="43">
        <f>IF($I6902=0,0,$J6902*$H6902/100/12)</f>
      </c>
      <c r="M6902" s="43">
        <f>IF($I6902=0,0,IF(OR(INDEX(DarlOhneTilgung,15)=1,AND(INDEX(DarlTilgStart,15)&gt;0,$E6902&lt;INDEX(DarlTilgStart,15))),0,MIN(MAX(0,$K6902-$L6902),$J6902)))</f>
      </c>
      <c r="N6902" s="43">
        <f>IF($I6902=0,0,MIN(SUMIFS(SondBetrag,SondDarl,15,SondDatum,"&gt;="&amp;$E6902,SondDatum,"&lt;="&amp;EOMONTH($E6902,0)),$J6902-$M6902))</f>
      </c>
      <c r="O6902" s="43">
        <f>IF($I6902=0,0,INDEX(DarlErsatzRate,15))</f>
      </c>
      <c r="P6902" s="43">
        <f>IF($I6902=0,0,$Q6901*INDEX(DarlErsatzZins,15))</f>
      </c>
      <c r="Q6902" s="43">
        <f>IF($I6902=0,0,$Q6901+$P6902+$O6902)</f>
      </c>
      <c r="R6902" s="43">
        <f>IF($I6902=0,0,$J6902-$M6902-$N6902)</f>
      </c>
    </row>
    <row r="6903">
      <c r="A6903"/>
      <c r="B6903">
        <v>15</v>
      </c>
      <c r="C6903" s="43">
        <f>INDEX(DarlObj,15)</f>
      </c>
      <c r="D6903">
        <v>180</v>
      </c>
      <c r="E6903" s="51">
        <f>IF(INDEX(DarlBelegt,15)=0,0,EOMONTH(INDEX(DarlAuszahlung,15),179)+1)</f>
      </c>
      <c r="F6903" s="43">
        <f>IF($E6903=0,0,YEAR($E6903))</f>
      </c>
      <c r="G6903" s="43">
        <f>IF(INDEX(DarlBindung,15)="",1,IF($E6903&lt;=INDEX(DarlBindung,15),1,0))</f>
      </c>
      <c r="H6903" s="43">
        <f>IF($G6903=1,INDEX(DarlSollzins,15),INDEX(DarlAnschluss,15))</f>
      </c>
      <c r="I6903" s="43">
        <f>IF(INDEX(DarlBelegt,15)=0,0,IF(INDEX(DarlOhneTilgung,15)=1,IF(INDEX(DarlBindung,15)="",1,$G6903),IF($J6903&gt;0.005,1,0)))</f>
      </c>
      <c r="J6903" s="43">
        <f>IF($I6902=0,0,$R6902)</f>
      </c>
      <c r="K6903" s="43">
        <f>IF($I6903=0,0,IF(INDEX(DarlOhneTilgung,15)=1,0,IF(AND(INDEX(DarlTilgStart,15)&gt;0,$E6903=INDEX(DarlTilgStart,15)),$J6903*($H6903+INDEX(DarlTilgung,15))/100/12,IF(AND($G6903=0,$G6902=1),MAX($K6902,$J6903*($H6903+1)/100/12),$K6902))))</f>
      </c>
      <c r="L6903" s="43">
        <f>IF($I6903=0,0,$J6903*$H6903/100/12)</f>
      </c>
      <c r="M6903" s="43">
        <f>IF($I6903=0,0,IF(OR(INDEX(DarlOhneTilgung,15)=1,AND(INDEX(DarlTilgStart,15)&gt;0,$E6903&lt;INDEX(DarlTilgStart,15))),0,MIN(MAX(0,$K6903-$L6903),$J6903)))</f>
      </c>
      <c r="N6903" s="43">
        <f>IF($I6903=0,0,MIN(SUMIFS(SondBetrag,SondDarl,15,SondDatum,"&gt;="&amp;$E6903,SondDatum,"&lt;="&amp;EOMONTH($E6903,0)),$J6903-$M6903))</f>
      </c>
      <c r="O6903" s="43">
        <f>IF($I6903=0,0,INDEX(DarlErsatzRate,15))</f>
      </c>
      <c r="P6903" s="43">
        <f>IF($I6903=0,0,$Q6902*INDEX(DarlErsatzZins,15))</f>
      </c>
      <c r="Q6903" s="43">
        <f>IF($I6903=0,0,$Q6902+$P6903+$O6903)</f>
      </c>
      <c r="R6903" s="43">
        <f>IF($I6903=0,0,$J6903-$M6903-$N6903)</f>
      </c>
    </row>
    <row r="6904">
      <c r="A6904"/>
      <c r="B6904">
        <v>15</v>
      </c>
      <c r="C6904" s="43">
        <f>INDEX(DarlObj,15)</f>
      </c>
      <c r="D6904">
        <v>181</v>
      </c>
      <c r="E6904" s="51">
        <f>IF(INDEX(DarlBelegt,15)=0,0,EOMONTH(INDEX(DarlAuszahlung,15),180)+1)</f>
      </c>
      <c r="F6904" s="43">
        <f>IF($E6904=0,0,YEAR($E6904))</f>
      </c>
      <c r="G6904" s="43">
        <f>IF(INDEX(DarlBindung,15)="",1,IF($E6904&lt;=INDEX(DarlBindung,15),1,0))</f>
      </c>
      <c r="H6904" s="43">
        <f>IF($G6904=1,INDEX(DarlSollzins,15),INDEX(DarlAnschluss,15))</f>
      </c>
      <c r="I6904" s="43">
        <f>IF(INDEX(DarlBelegt,15)=0,0,IF(INDEX(DarlOhneTilgung,15)=1,IF(INDEX(DarlBindung,15)="",1,$G6904),IF($J6904&gt;0.005,1,0)))</f>
      </c>
      <c r="J6904" s="43">
        <f>IF($I6903=0,0,$R6903)</f>
      </c>
      <c r="K6904" s="43">
        <f>IF($I6904=0,0,IF(INDEX(DarlOhneTilgung,15)=1,0,IF(AND(INDEX(DarlTilgStart,15)&gt;0,$E6904=INDEX(DarlTilgStart,15)),$J6904*($H6904+INDEX(DarlTilgung,15))/100/12,IF(AND($G6904=0,$G6903=1),MAX($K6903,$J6904*($H6904+1)/100/12),$K6903))))</f>
      </c>
      <c r="L6904" s="43">
        <f>IF($I6904=0,0,$J6904*$H6904/100/12)</f>
      </c>
      <c r="M6904" s="43">
        <f>IF($I6904=0,0,IF(OR(INDEX(DarlOhneTilgung,15)=1,AND(INDEX(DarlTilgStart,15)&gt;0,$E6904&lt;INDEX(DarlTilgStart,15))),0,MIN(MAX(0,$K6904-$L6904),$J6904)))</f>
      </c>
      <c r="N6904" s="43">
        <f>IF($I6904=0,0,MIN(SUMIFS(SondBetrag,SondDarl,15,SondDatum,"&gt;="&amp;$E6904,SondDatum,"&lt;="&amp;EOMONTH($E6904,0)),$J6904-$M6904))</f>
      </c>
      <c r="O6904" s="43">
        <f>IF($I6904=0,0,INDEX(DarlErsatzRate,15))</f>
      </c>
      <c r="P6904" s="43">
        <f>IF($I6904=0,0,$Q6903*INDEX(DarlErsatzZins,15))</f>
      </c>
      <c r="Q6904" s="43">
        <f>IF($I6904=0,0,$Q6903+$P6904+$O6904)</f>
      </c>
      <c r="R6904" s="43">
        <f>IF($I6904=0,0,$J6904-$M6904-$N6904)</f>
      </c>
    </row>
    <row r="6905">
      <c r="A6905"/>
      <c r="B6905">
        <v>15</v>
      </c>
      <c r="C6905" s="43">
        <f>INDEX(DarlObj,15)</f>
      </c>
      <c r="D6905">
        <v>182</v>
      </c>
      <c r="E6905" s="51">
        <f>IF(INDEX(DarlBelegt,15)=0,0,EOMONTH(INDEX(DarlAuszahlung,15),181)+1)</f>
      </c>
      <c r="F6905" s="43">
        <f>IF($E6905=0,0,YEAR($E6905))</f>
      </c>
      <c r="G6905" s="43">
        <f>IF(INDEX(DarlBindung,15)="",1,IF($E6905&lt;=INDEX(DarlBindung,15),1,0))</f>
      </c>
      <c r="H6905" s="43">
        <f>IF($G6905=1,INDEX(DarlSollzins,15),INDEX(DarlAnschluss,15))</f>
      </c>
      <c r="I6905" s="43">
        <f>IF(INDEX(DarlBelegt,15)=0,0,IF(INDEX(DarlOhneTilgung,15)=1,IF(INDEX(DarlBindung,15)="",1,$G6905),IF($J6905&gt;0.005,1,0)))</f>
      </c>
      <c r="J6905" s="43">
        <f>IF($I6904=0,0,$R6904)</f>
      </c>
      <c r="K6905" s="43">
        <f>IF($I6905=0,0,IF(INDEX(DarlOhneTilgung,15)=1,0,IF(AND(INDEX(DarlTilgStart,15)&gt;0,$E6905=INDEX(DarlTilgStart,15)),$J6905*($H6905+INDEX(DarlTilgung,15))/100/12,IF(AND($G6905=0,$G6904=1),MAX($K6904,$J6905*($H6905+1)/100/12),$K6904))))</f>
      </c>
      <c r="L6905" s="43">
        <f>IF($I6905=0,0,$J6905*$H6905/100/12)</f>
      </c>
      <c r="M6905" s="43">
        <f>IF($I6905=0,0,IF(OR(INDEX(DarlOhneTilgung,15)=1,AND(INDEX(DarlTilgStart,15)&gt;0,$E6905&lt;INDEX(DarlTilgStart,15))),0,MIN(MAX(0,$K6905-$L6905),$J6905)))</f>
      </c>
      <c r="N6905" s="43">
        <f>IF($I6905=0,0,MIN(SUMIFS(SondBetrag,SondDarl,15,SondDatum,"&gt;="&amp;$E6905,SondDatum,"&lt;="&amp;EOMONTH($E6905,0)),$J6905-$M6905))</f>
      </c>
      <c r="O6905" s="43">
        <f>IF($I6905=0,0,INDEX(DarlErsatzRate,15))</f>
      </c>
      <c r="P6905" s="43">
        <f>IF($I6905=0,0,$Q6904*INDEX(DarlErsatzZins,15))</f>
      </c>
      <c r="Q6905" s="43">
        <f>IF($I6905=0,0,$Q6904+$P6905+$O6905)</f>
      </c>
      <c r="R6905" s="43">
        <f>IF($I6905=0,0,$J6905-$M6905-$N6905)</f>
      </c>
    </row>
    <row r="6906">
      <c r="A6906"/>
      <c r="B6906">
        <v>15</v>
      </c>
      <c r="C6906" s="43">
        <f>INDEX(DarlObj,15)</f>
      </c>
      <c r="D6906">
        <v>183</v>
      </c>
      <c r="E6906" s="51">
        <f>IF(INDEX(DarlBelegt,15)=0,0,EOMONTH(INDEX(DarlAuszahlung,15),182)+1)</f>
      </c>
      <c r="F6906" s="43">
        <f>IF($E6906=0,0,YEAR($E6906))</f>
      </c>
      <c r="G6906" s="43">
        <f>IF(INDEX(DarlBindung,15)="",1,IF($E6906&lt;=INDEX(DarlBindung,15),1,0))</f>
      </c>
      <c r="H6906" s="43">
        <f>IF($G6906=1,INDEX(DarlSollzins,15),INDEX(DarlAnschluss,15))</f>
      </c>
      <c r="I6906" s="43">
        <f>IF(INDEX(DarlBelegt,15)=0,0,IF(INDEX(DarlOhneTilgung,15)=1,IF(INDEX(DarlBindung,15)="",1,$G6906),IF($J6906&gt;0.005,1,0)))</f>
      </c>
      <c r="J6906" s="43">
        <f>IF($I6905=0,0,$R6905)</f>
      </c>
      <c r="K6906" s="43">
        <f>IF($I6906=0,0,IF(INDEX(DarlOhneTilgung,15)=1,0,IF(AND(INDEX(DarlTilgStart,15)&gt;0,$E6906=INDEX(DarlTilgStart,15)),$J6906*($H6906+INDEX(DarlTilgung,15))/100/12,IF(AND($G6906=0,$G6905=1),MAX($K6905,$J6906*($H6906+1)/100/12),$K6905))))</f>
      </c>
      <c r="L6906" s="43">
        <f>IF($I6906=0,0,$J6906*$H6906/100/12)</f>
      </c>
      <c r="M6906" s="43">
        <f>IF($I6906=0,0,IF(OR(INDEX(DarlOhneTilgung,15)=1,AND(INDEX(DarlTilgStart,15)&gt;0,$E6906&lt;INDEX(DarlTilgStart,15))),0,MIN(MAX(0,$K6906-$L6906),$J6906)))</f>
      </c>
      <c r="N6906" s="43">
        <f>IF($I6906=0,0,MIN(SUMIFS(SondBetrag,SondDarl,15,SondDatum,"&gt;="&amp;$E6906,SondDatum,"&lt;="&amp;EOMONTH($E6906,0)),$J6906-$M6906))</f>
      </c>
      <c r="O6906" s="43">
        <f>IF($I6906=0,0,INDEX(DarlErsatzRate,15))</f>
      </c>
      <c r="P6906" s="43">
        <f>IF($I6906=0,0,$Q6905*INDEX(DarlErsatzZins,15))</f>
      </c>
      <c r="Q6906" s="43">
        <f>IF($I6906=0,0,$Q6905+$P6906+$O6906)</f>
      </c>
      <c r="R6906" s="43">
        <f>IF($I6906=0,0,$J6906-$M6906-$N6906)</f>
      </c>
    </row>
    <row r="6907">
      <c r="A6907"/>
      <c r="B6907">
        <v>15</v>
      </c>
      <c r="C6907" s="43">
        <f>INDEX(DarlObj,15)</f>
      </c>
      <c r="D6907">
        <v>184</v>
      </c>
      <c r="E6907" s="51">
        <f>IF(INDEX(DarlBelegt,15)=0,0,EOMONTH(INDEX(DarlAuszahlung,15),183)+1)</f>
      </c>
      <c r="F6907" s="43">
        <f>IF($E6907=0,0,YEAR($E6907))</f>
      </c>
      <c r="G6907" s="43">
        <f>IF(INDEX(DarlBindung,15)="",1,IF($E6907&lt;=INDEX(DarlBindung,15),1,0))</f>
      </c>
      <c r="H6907" s="43">
        <f>IF($G6907=1,INDEX(DarlSollzins,15),INDEX(DarlAnschluss,15))</f>
      </c>
      <c r="I6907" s="43">
        <f>IF(INDEX(DarlBelegt,15)=0,0,IF(INDEX(DarlOhneTilgung,15)=1,IF(INDEX(DarlBindung,15)="",1,$G6907),IF($J6907&gt;0.005,1,0)))</f>
      </c>
      <c r="J6907" s="43">
        <f>IF($I6906=0,0,$R6906)</f>
      </c>
      <c r="K6907" s="43">
        <f>IF($I6907=0,0,IF(INDEX(DarlOhneTilgung,15)=1,0,IF(AND(INDEX(DarlTilgStart,15)&gt;0,$E6907=INDEX(DarlTilgStart,15)),$J6907*($H6907+INDEX(DarlTilgung,15))/100/12,IF(AND($G6907=0,$G6906=1),MAX($K6906,$J6907*($H6907+1)/100/12),$K6906))))</f>
      </c>
      <c r="L6907" s="43">
        <f>IF($I6907=0,0,$J6907*$H6907/100/12)</f>
      </c>
      <c r="M6907" s="43">
        <f>IF($I6907=0,0,IF(OR(INDEX(DarlOhneTilgung,15)=1,AND(INDEX(DarlTilgStart,15)&gt;0,$E6907&lt;INDEX(DarlTilgStart,15))),0,MIN(MAX(0,$K6907-$L6907),$J6907)))</f>
      </c>
      <c r="N6907" s="43">
        <f>IF($I6907=0,0,MIN(SUMIFS(SondBetrag,SondDarl,15,SondDatum,"&gt;="&amp;$E6907,SondDatum,"&lt;="&amp;EOMONTH($E6907,0)),$J6907-$M6907))</f>
      </c>
      <c r="O6907" s="43">
        <f>IF($I6907=0,0,INDEX(DarlErsatzRate,15))</f>
      </c>
      <c r="P6907" s="43">
        <f>IF($I6907=0,0,$Q6906*INDEX(DarlErsatzZins,15))</f>
      </c>
      <c r="Q6907" s="43">
        <f>IF($I6907=0,0,$Q6906+$P6907+$O6907)</f>
      </c>
      <c r="R6907" s="43">
        <f>IF($I6907=0,0,$J6907-$M6907-$N6907)</f>
      </c>
    </row>
    <row r="6908">
      <c r="A6908"/>
      <c r="B6908">
        <v>15</v>
      </c>
      <c r="C6908" s="43">
        <f>INDEX(DarlObj,15)</f>
      </c>
      <c r="D6908">
        <v>185</v>
      </c>
      <c r="E6908" s="51">
        <f>IF(INDEX(DarlBelegt,15)=0,0,EOMONTH(INDEX(DarlAuszahlung,15),184)+1)</f>
      </c>
      <c r="F6908" s="43">
        <f>IF($E6908=0,0,YEAR($E6908))</f>
      </c>
      <c r="G6908" s="43">
        <f>IF(INDEX(DarlBindung,15)="",1,IF($E6908&lt;=INDEX(DarlBindung,15),1,0))</f>
      </c>
      <c r="H6908" s="43">
        <f>IF($G6908=1,INDEX(DarlSollzins,15),INDEX(DarlAnschluss,15))</f>
      </c>
      <c r="I6908" s="43">
        <f>IF(INDEX(DarlBelegt,15)=0,0,IF(INDEX(DarlOhneTilgung,15)=1,IF(INDEX(DarlBindung,15)="",1,$G6908),IF($J6908&gt;0.005,1,0)))</f>
      </c>
      <c r="J6908" s="43">
        <f>IF($I6907=0,0,$R6907)</f>
      </c>
      <c r="K6908" s="43">
        <f>IF($I6908=0,0,IF(INDEX(DarlOhneTilgung,15)=1,0,IF(AND(INDEX(DarlTilgStart,15)&gt;0,$E6908=INDEX(DarlTilgStart,15)),$J6908*($H6908+INDEX(DarlTilgung,15))/100/12,IF(AND($G6908=0,$G6907=1),MAX($K6907,$J6908*($H6908+1)/100/12),$K6907))))</f>
      </c>
      <c r="L6908" s="43">
        <f>IF($I6908=0,0,$J6908*$H6908/100/12)</f>
      </c>
      <c r="M6908" s="43">
        <f>IF($I6908=0,0,IF(OR(INDEX(DarlOhneTilgung,15)=1,AND(INDEX(DarlTilgStart,15)&gt;0,$E6908&lt;INDEX(DarlTilgStart,15))),0,MIN(MAX(0,$K6908-$L6908),$J6908)))</f>
      </c>
      <c r="N6908" s="43">
        <f>IF($I6908=0,0,MIN(SUMIFS(SondBetrag,SondDarl,15,SondDatum,"&gt;="&amp;$E6908,SondDatum,"&lt;="&amp;EOMONTH($E6908,0)),$J6908-$M6908))</f>
      </c>
      <c r="O6908" s="43">
        <f>IF($I6908=0,0,INDEX(DarlErsatzRate,15))</f>
      </c>
      <c r="P6908" s="43">
        <f>IF($I6908=0,0,$Q6907*INDEX(DarlErsatzZins,15))</f>
      </c>
      <c r="Q6908" s="43">
        <f>IF($I6908=0,0,$Q6907+$P6908+$O6908)</f>
      </c>
      <c r="R6908" s="43">
        <f>IF($I6908=0,0,$J6908-$M6908-$N6908)</f>
      </c>
    </row>
    <row r="6909">
      <c r="A6909"/>
      <c r="B6909">
        <v>15</v>
      </c>
      <c r="C6909" s="43">
        <f>INDEX(DarlObj,15)</f>
      </c>
      <c r="D6909">
        <v>186</v>
      </c>
      <c r="E6909" s="51">
        <f>IF(INDEX(DarlBelegt,15)=0,0,EOMONTH(INDEX(DarlAuszahlung,15),185)+1)</f>
      </c>
      <c r="F6909" s="43">
        <f>IF($E6909=0,0,YEAR($E6909))</f>
      </c>
      <c r="G6909" s="43">
        <f>IF(INDEX(DarlBindung,15)="",1,IF($E6909&lt;=INDEX(DarlBindung,15),1,0))</f>
      </c>
      <c r="H6909" s="43">
        <f>IF($G6909=1,INDEX(DarlSollzins,15),INDEX(DarlAnschluss,15))</f>
      </c>
      <c r="I6909" s="43">
        <f>IF(INDEX(DarlBelegt,15)=0,0,IF(INDEX(DarlOhneTilgung,15)=1,IF(INDEX(DarlBindung,15)="",1,$G6909),IF($J6909&gt;0.005,1,0)))</f>
      </c>
      <c r="J6909" s="43">
        <f>IF($I6908=0,0,$R6908)</f>
      </c>
      <c r="K6909" s="43">
        <f>IF($I6909=0,0,IF(INDEX(DarlOhneTilgung,15)=1,0,IF(AND(INDEX(DarlTilgStart,15)&gt;0,$E6909=INDEX(DarlTilgStart,15)),$J6909*($H6909+INDEX(DarlTilgung,15))/100/12,IF(AND($G6909=0,$G6908=1),MAX($K6908,$J6909*($H6909+1)/100/12),$K6908))))</f>
      </c>
      <c r="L6909" s="43">
        <f>IF($I6909=0,0,$J6909*$H6909/100/12)</f>
      </c>
      <c r="M6909" s="43">
        <f>IF($I6909=0,0,IF(OR(INDEX(DarlOhneTilgung,15)=1,AND(INDEX(DarlTilgStart,15)&gt;0,$E6909&lt;INDEX(DarlTilgStart,15))),0,MIN(MAX(0,$K6909-$L6909),$J6909)))</f>
      </c>
      <c r="N6909" s="43">
        <f>IF($I6909=0,0,MIN(SUMIFS(SondBetrag,SondDarl,15,SondDatum,"&gt;="&amp;$E6909,SondDatum,"&lt;="&amp;EOMONTH($E6909,0)),$J6909-$M6909))</f>
      </c>
      <c r="O6909" s="43">
        <f>IF($I6909=0,0,INDEX(DarlErsatzRate,15))</f>
      </c>
      <c r="P6909" s="43">
        <f>IF($I6909=0,0,$Q6908*INDEX(DarlErsatzZins,15))</f>
      </c>
      <c r="Q6909" s="43">
        <f>IF($I6909=0,0,$Q6908+$P6909+$O6909)</f>
      </c>
      <c r="R6909" s="43">
        <f>IF($I6909=0,0,$J6909-$M6909-$N6909)</f>
      </c>
    </row>
    <row r="6910">
      <c r="A6910"/>
      <c r="B6910">
        <v>15</v>
      </c>
      <c r="C6910" s="43">
        <f>INDEX(DarlObj,15)</f>
      </c>
      <c r="D6910">
        <v>187</v>
      </c>
      <c r="E6910" s="51">
        <f>IF(INDEX(DarlBelegt,15)=0,0,EOMONTH(INDEX(DarlAuszahlung,15),186)+1)</f>
      </c>
      <c r="F6910" s="43">
        <f>IF($E6910=0,0,YEAR($E6910))</f>
      </c>
      <c r="G6910" s="43">
        <f>IF(INDEX(DarlBindung,15)="",1,IF($E6910&lt;=INDEX(DarlBindung,15),1,0))</f>
      </c>
      <c r="H6910" s="43">
        <f>IF($G6910=1,INDEX(DarlSollzins,15),INDEX(DarlAnschluss,15))</f>
      </c>
      <c r="I6910" s="43">
        <f>IF(INDEX(DarlBelegt,15)=0,0,IF(INDEX(DarlOhneTilgung,15)=1,IF(INDEX(DarlBindung,15)="",1,$G6910),IF($J6910&gt;0.005,1,0)))</f>
      </c>
      <c r="J6910" s="43">
        <f>IF($I6909=0,0,$R6909)</f>
      </c>
      <c r="K6910" s="43">
        <f>IF($I6910=0,0,IF(INDEX(DarlOhneTilgung,15)=1,0,IF(AND(INDEX(DarlTilgStart,15)&gt;0,$E6910=INDEX(DarlTilgStart,15)),$J6910*($H6910+INDEX(DarlTilgung,15))/100/12,IF(AND($G6910=0,$G6909=1),MAX($K6909,$J6910*($H6910+1)/100/12),$K6909))))</f>
      </c>
      <c r="L6910" s="43">
        <f>IF($I6910=0,0,$J6910*$H6910/100/12)</f>
      </c>
      <c r="M6910" s="43">
        <f>IF($I6910=0,0,IF(OR(INDEX(DarlOhneTilgung,15)=1,AND(INDEX(DarlTilgStart,15)&gt;0,$E6910&lt;INDEX(DarlTilgStart,15))),0,MIN(MAX(0,$K6910-$L6910),$J6910)))</f>
      </c>
      <c r="N6910" s="43">
        <f>IF($I6910=0,0,MIN(SUMIFS(SondBetrag,SondDarl,15,SondDatum,"&gt;="&amp;$E6910,SondDatum,"&lt;="&amp;EOMONTH($E6910,0)),$J6910-$M6910))</f>
      </c>
      <c r="O6910" s="43">
        <f>IF($I6910=0,0,INDEX(DarlErsatzRate,15))</f>
      </c>
      <c r="P6910" s="43">
        <f>IF($I6910=0,0,$Q6909*INDEX(DarlErsatzZins,15))</f>
      </c>
      <c r="Q6910" s="43">
        <f>IF($I6910=0,0,$Q6909+$P6910+$O6910)</f>
      </c>
      <c r="R6910" s="43">
        <f>IF($I6910=0,0,$J6910-$M6910-$N6910)</f>
      </c>
    </row>
    <row r="6911">
      <c r="A6911"/>
      <c r="B6911">
        <v>15</v>
      </c>
      <c r="C6911" s="43">
        <f>INDEX(DarlObj,15)</f>
      </c>
      <c r="D6911">
        <v>188</v>
      </c>
      <c r="E6911" s="51">
        <f>IF(INDEX(DarlBelegt,15)=0,0,EOMONTH(INDEX(DarlAuszahlung,15),187)+1)</f>
      </c>
      <c r="F6911" s="43">
        <f>IF($E6911=0,0,YEAR($E6911))</f>
      </c>
      <c r="G6911" s="43">
        <f>IF(INDEX(DarlBindung,15)="",1,IF($E6911&lt;=INDEX(DarlBindung,15),1,0))</f>
      </c>
      <c r="H6911" s="43">
        <f>IF($G6911=1,INDEX(DarlSollzins,15),INDEX(DarlAnschluss,15))</f>
      </c>
      <c r="I6911" s="43">
        <f>IF(INDEX(DarlBelegt,15)=0,0,IF(INDEX(DarlOhneTilgung,15)=1,IF(INDEX(DarlBindung,15)="",1,$G6911),IF($J6911&gt;0.005,1,0)))</f>
      </c>
      <c r="J6911" s="43">
        <f>IF($I6910=0,0,$R6910)</f>
      </c>
      <c r="K6911" s="43">
        <f>IF($I6911=0,0,IF(INDEX(DarlOhneTilgung,15)=1,0,IF(AND(INDEX(DarlTilgStart,15)&gt;0,$E6911=INDEX(DarlTilgStart,15)),$J6911*($H6911+INDEX(DarlTilgung,15))/100/12,IF(AND($G6911=0,$G6910=1),MAX($K6910,$J6911*($H6911+1)/100/12),$K6910))))</f>
      </c>
      <c r="L6911" s="43">
        <f>IF($I6911=0,0,$J6911*$H6911/100/12)</f>
      </c>
      <c r="M6911" s="43">
        <f>IF($I6911=0,0,IF(OR(INDEX(DarlOhneTilgung,15)=1,AND(INDEX(DarlTilgStart,15)&gt;0,$E6911&lt;INDEX(DarlTilgStart,15))),0,MIN(MAX(0,$K6911-$L6911),$J6911)))</f>
      </c>
      <c r="N6911" s="43">
        <f>IF($I6911=0,0,MIN(SUMIFS(SondBetrag,SondDarl,15,SondDatum,"&gt;="&amp;$E6911,SondDatum,"&lt;="&amp;EOMONTH($E6911,0)),$J6911-$M6911))</f>
      </c>
      <c r="O6911" s="43">
        <f>IF($I6911=0,0,INDEX(DarlErsatzRate,15))</f>
      </c>
      <c r="P6911" s="43">
        <f>IF($I6911=0,0,$Q6910*INDEX(DarlErsatzZins,15))</f>
      </c>
      <c r="Q6911" s="43">
        <f>IF($I6911=0,0,$Q6910+$P6911+$O6911)</f>
      </c>
      <c r="R6911" s="43">
        <f>IF($I6911=0,0,$J6911-$M6911-$N6911)</f>
      </c>
    </row>
    <row r="6912">
      <c r="A6912"/>
      <c r="B6912">
        <v>15</v>
      </c>
      <c r="C6912" s="43">
        <f>INDEX(DarlObj,15)</f>
      </c>
      <c r="D6912">
        <v>189</v>
      </c>
      <c r="E6912" s="51">
        <f>IF(INDEX(DarlBelegt,15)=0,0,EOMONTH(INDEX(DarlAuszahlung,15),188)+1)</f>
      </c>
      <c r="F6912" s="43">
        <f>IF($E6912=0,0,YEAR($E6912))</f>
      </c>
      <c r="G6912" s="43">
        <f>IF(INDEX(DarlBindung,15)="",1,IF($E6912&lt;=INDEX(DarlBindung,15),1,0))</f>
      </c>
      <c r="H6912" s="43">
        <f>IF($G6912=1,INDEX(DarlSollzins,15),INDEX(DarlAnschluss,15))</f>
      </c>
      <c r="I6912" s="43">
        <f>IF(INDEX(DarlBelegt,15)=0,0,IF(INDEX(DarlOhneTilgung,15)=1,IF(INDEX(DarlBindung,15)="",1,$G6912),IF($J6912&gt;0.005,1,0)))</f>
      </c>
      <c r="J6912" s="43">
        <f>IF($I6911=0,0,$R6911)</f>
      </c>
      <c r="K6912" s="43">
        <f>IF($I6912=0,0,IF(INDEX(DarlOhneTilgung,15)=1,0,IF(AND(INDEX(DarlTilgStart,15)&gt;0,$E6912=INDEX(DarlTilgStart,15)),$J6912*($H6912+INDEX(DarlTilgung,15))/100/12,IF(AND($G6912=0,$G6911=1),MAX($K6911,$J6912*($H6912+1)/100/12),$K6911))))</f>
      </c>
      <c r="L6912" s="43">
        <f>IF($I6912=0,0,$J6912*$H6912/100/12)</f>
      </c>
      <c r="M6912" s="43">
        <f>IF($I6912=0,0,IF(OR(INDEX(DarlOhneTilgung,15)=1,AND(INDEX(DarlTilgStart,15)&gt;0,$E6912&lt;INDEX(DarlTilgStart,15))),0,MIN(MAX(0,$K6912-$L6912),$J6912)))</f>
      </c>
      <c r="N6912" s="43">
        <f>IF($I6912=0,0,MIN(SUMIFS(SondBetrag,SondDarl,15,SondDatum,"&gt;="&amp;$E6912,SondDatum,"&lt;="&amp;EOMONTH($E6912,0)),$J6912-$M6912))</f>
      </c>
      <c r="O6912" s="43">
        <f>IF($I6912=0,0,INDEX(DarlErsatzRate,15))</f>
      </c>
      <c r="P6912" s="43">
        <f>IF($I6912=0,0,$Q6911*INDEX(DarlErsatzZins,15))</f>
      </c>
      <c r="Q6912" s="43">
        <f>IF($I6912=0,0,$Q6911+$P6912+$O6912)</f>
      </c>
      <c r="R6912" s="43">
        <f>IF($I6912=0,0,$J6912-$M6912-$N6912)</f>
      </c>
    </row>
    <row r="6913">
      <c r="A6913"/>
      <c r="B6913">
        <v>15</v>
      </c>
      <c r="C6913" s="43">
        <f>INDEX(DarlObj,15)</f>
      </c>
      <c r="D6913">
        <v>190</v>
      </c>
      <c r="E6913" s="51">
        <f>IF(INDEX(DarlBelegt,15)=0,0,EOMONTH(INDEX(DarlAuszahlung,15),189)+1)</f>
      </c>
      <c r="F6913" s="43">
        <f>IF($E6913=0,0,YEAR($E6913))</f>
      </c>
      <c r="G6913" s="43">
        <f>IF(INDEX(DarlBindung,15)="",1,IF($E6913&lt;=INDEX(DarlBindung,15),1,0))</f>
      </c>
      <c r="H6913" s="43">
        <f>IF($G6913=1,INDEX(DarlSollzins,15),INDEX(DarlAnschluss,15))</f>
      </c>
      <c r="I6913" s="43">
        <f>IF(INDEX(DarlBelegt,15)=0,0,IF(INDEX(DarlOhneTilgung,15)=1,IF(INDEX(DarlBindung,15)="",1,$G6913),IF($J6913&gt;0.005,1,0)))</f>
      </c>
      <c r="J6913" s="43">
        <f>IF($I6912=0,0,$R6912)</f>
      </c>
      <c r="K6913" s="43">
        <f>IF($I6913=0,0,IF(INDEX(DarlOhneTilgung,15)=1,0,IF(AND(INDEX(DarlTilgStart,15)&gt;0,$E6913=INDEX(DarlTilgStart,15)),$J6913*($H6913+INDEX(DarlTilgung,15))/100/12,IF(AND($G6913=0,$G6912=1),MAX($K6912,$J6913*($H6913+1)/100/12),$K6912))))</f>
      </c>
      <c r="L6913" s="43">
        <f>IF($I6913=0,0,$J6913*$H6913/100/12)</f>
      </c>
      <c r="M6913" s="43">
        <f>IF($I6913=0,0,IF(OR(INDEX(DarlOhneTilgung,15)=1,AND(INDEX(DarlTilgStart,15)&gt;0,$E6913&lt;INDEX(DarlTilgStart,15))),0,MIN(MAX(0,$K6913-$L6913),$J6913)))</f>
      </c>
      <c r="N6913" s="43">
        <f>IF($I6913=0,0,MIN(SUMIFS(SondBetrag,SondDarl,15,SondDatum,"&gt;="&amp;$E6913,SondDatum,"&lt;="&amp;EOMONTH($E6913,0)),$J6913-$M6913))</f>
      </c>
      <c r="O6913" s="43">
        <f>IF($I6913=0,0,INDEX(DarlErsatzRate,15))</f>
      </c>
      <c r="P6913" s="43">
        <f>IF($I6913=0,0,$Q6912*INDEX(DarlErsatzZins,15))</f>
      </c>
      <c r="Q6913" s="43">
        <f>IF($I6913=0,0,$Q6912+$P6913+$O6913)</f>
      </c>
      <c r="R6913" s="43">
        <f>IF($I6913=0,0,$J6913-$M6913-$N6913)</f>
      </c>
    </row>
    <row r="6914">
      <c r="A6914"/>
      <c r="B6914">
        <v>15</v>
      </c>
      <c r="C6914" s="43">
        <f>INDEX(DarlObj,15)</f>
      </c>
      <c r="D6914">
        <v>191</v>
      </c>
      <c r="E6914" s="51">
        <f>IF(INDEX(DarlBelegt,15)=0,0,EOMONTH(INDEX(DarlAuszahlung,15),190)+1)</f>
      </c>
      <c r="F6914" s="43">
        <f>IF($E6914=0,0,YEAR($E6914))</f>
      </c>
      <c r="G6914" s="43">
        <f>IF(INDEX(DarlBindung,15)="",1,IF($E6914&lt;=INDEX(DarlBindung,15),1,0))</f>
      </c>
      <c r="H6914" s="43">
        <f>IF($G6914=1,INDEX(DarlSollzins,15),INDEX(DarlAnschluss,15))</f>
      </c>
      <c r="I6914" s="43">
        <f>IF(INDEX(DarlBelegt,15)=0,0,IF(INDEX(DarlOhneTilgung,15)=1,IF(INDEX(DarlBindung,15)="",1,$G6914),IF($J6914&gt;0.005,1,0)))</f>
      </c>
      <c r="J6914" s="43">
        <f>IF($I6913=0,0,$R6913)</f>
      </c>
      <c r="K6914" s="43">
        <f>IF($I6914=0,0,IF(INDEX(DarlOhneTilgung,15)=1,0,IF(AND(INDEX(DarlTilgStart,15)&gt;0,$E6914=INDEX(DarlTilgStart,15)),$J6914*($H6914+INDEX(DarlTilgung,15))/100/12,IF(AND($G6914=0,$G6913=1),MAX($K6913,$J6914*($H6914+1)/100/12),$K6913))))</f>
      </c>
      <c r="L6914" s="43">
        <f>IF($I6914=0,0,$J6914*$H6914/100/12)</f>
      </c>
      <c r="M6914" s="43">
        <f>IF($I6914=0,0,IF(OR(INDEX(DarlOhneTilgung,15)=1,AND(INDEX(DarlTilgStart,15)&gt;0,$E6914&lt;INDEX(DarlTilgStart,15))),0,MIN(MAX(0,$K6914-$L6914),$J6914)))</f>
      </c>
      <c r="N6914" s="43">
        <f>IF($I6914=0,0,MIN(SUMIFS(SondBetrag,SondDarl,15,SondDatum,"&gt;="&amp;$E6914,SondDatum,"&lt;="&amp;EOMONTH($E6914,0)),$J6914-$M6914))</f>
      </c>
      <c r="O6914" s="43">
        <f>IF($I6914=0,0,INDEX(DarlErsatzRate,15))</f>
      </c>
      <c r="P6914" s="43">
        <f>IF($I6914=0,0,$Q6913*INDEX(DarlErsatzZins,15))</f>
      </c>
      <c r="Q6914" s="43">
        <f>IF($I6914=0,0,$Q6913+$P6914+$O6914)</f>
      </c>
      <c r="R6914" s="43">
        <f>IF($I6914=0,0,$J6914-$M6914-$N6914)</f>
      </c>
    </row>
    <row r="6915">
      <c r="A6915"/>
      <c r="B6915">
        <v>15</v>
      </c>
      <c r="C6915" s="43">
        <f>INDEX(DarlObj,15)</f>
      </c>
      <c r="D6915">
        <v>192</v>
      </c>
      <c r="E6915" s="51">
        <f>IF(INDEX(DarlBelegt,15)=0,0,EOMONTH(INDEX(DarlAuszahlung,15),191)+1)</f>
      </c>
      <c r="F6915" s="43">
        <f>IF($E6915=0,0,YEAR($E6915))</f>
      </c>
      <c r="G6915" s="43">
        <f>IF(INDEX(DarlBindung,15)="",1,IF($E6915&lt;=INDEX(DarlBindung,15),1,0))</f>
      </c>
      <c r="H6915" s="43">
        <f>IF($G6915=1,INDEX(DarlSollzins,15),INDEX(DarlAnschluss,15))</f>
      </c>
      <c r="I6915" s="43">
        <f>IF(INDEX(DarlBelegt,15)=0,0,IF(INDEX(DarlOhneTilgung,15)=1,IF(INDEX(DarlBindung,15)="",1,$G6915),IF($J6915&gt;0.005,1,0)))</f>
      </c>
      <c r="J6915" s="43">
        <f>IF($I6914=0,0,$R6914)</f>
      </c>
      <c r="K6915" s="43">
        <f>IF($I6915=0,0,IF(INDEX(DarlOhneTilgung,15)=1,0,IF(AND(INDEX(DarlTilgStart,15)&gt;0,$E6915=INDEX(DarlTilgStart,15)),$J6915*($H6915+INDEX(DarlTilgung,15))/100/12,IF(AND($G6915=0,$G6914=1),MAX($K6914,$J6915*($H6915+1)/100/12),$K6914))))</f>
      </c>
      <c r="L6915" s="43">
        <f>IF($I6915=0,0,$J6915*$H6915/100/12)</f>
      </c>
      <c r="M6915" s="43">
        <f>IF($I6915=0,0,IF(OR(INDEX(DarlOhneTilgung,15)=1,AND(INDEX(DarlTilgStart,15)&gt;0,$E6915&lt;INDEX(DarlTilgStart,15))),0,MIN(MAX(0,$K6915-$L6915),$J6915)))</f>
      </c>
      <c r="N6915" s="43">
        <f>IF($I6915=0,0,MIN(SUMIFS(SondBetrag,SondDarl,15,SondDatum,"&gt;="&amp;$E6915,SondDatum,"&lt;="&amp;EOMONTH($E6915,0)),$J6915-$M6915))</f>
      </c>
      <c r="O6915" s="43">
        <f>IF($I6915=0,0,INDEX(DarlErsatzRate,15))</f>
      </c>
      <c r="P6915" s="43">
        <f>IF($I6915=0,0,$Q6914*INDEX(DarlErsatzZins,15))</f>
      </c>
      <c r="Q6915" s="43">
        <f>IF($I6915=0,0,$Q6914+$P6915+$O6915)</f>
      </c>
      <c r="R6915" s="43">
        <f>IF($I6915=0,0,$J6915-$M6915-$N6915)</f>
      </c>
    </row>
    <row r="6916">
      <c r="A6916"/>
      <c r="B6916">
        <v>15</v>
      </c>
      <c r="C6916" s="43">
        <f>INDEX(DarlObj,15)</f>
      </c>
      <c r="D6916">
        <v>193</v>
      </c>
      <c r="E6916" s="51">
        <f>IF(INDEX(DarlBelegt,15)=0,0,EOMONTH(INDEX(DarlAuszahlung,15),192)+1)</f>
      </c>
      <c r="F6916" s="43">
        <f>IF($E6916=0,0,YEAR($E6916))</f>
      </c>
      <c r="G6916" s="43">
        <f>IF(INDEX(DarlBindung,15)="",1,IF($E6916&lt;=INDEX(DarlBindung,15),1,0))</f>
      </c>
      <c r="H6916" s="43">
        <f>IF($G6916=1,INDEX(DarlSollzins,15),INDEX(DarlAnschluss,15))</f>
      </c>
      <c r="I6916" s="43">
        <f>IF(INDEX(DarlBelegt,15)=0,0,IF(INDEX(DarlOhneTilgung,15)=1,IF(INDEX(DarlBindung,15)="",1,$G6916),IF($J6916&gt;0.005,1,0)))</f>
      </c>
      <c r="J6916" s="43">
        <f>IF($I6915=0,0,$R6915)</f>
      </c>
      <c r="K6916" s="43">
        <f>IF($I6916=0,0,IF(INDEX(DarlOhneTilgung,15)=1,0,IF(AND(INDEX(DarlTilgStart,15)&gt;0,$E6916=INDEX(DarlTilgStart,15)),$J6916*($H6916+INDEX(DarlTilgung,15))/100/12,IF(AND($G6916=0,$G6915=1),MAX($K6915,$J6916*($H6916+1)/100/12),$K6915))))</f>
      </c>
      <c r="L6916" s="43">
        <f>IF($I6916=0,0,$J6916*$H6916/100/12)</f>
      </c>
      <c r="M6916" s="43">
        <f>IF($I6916=0,0,IF(OR(INDEX(DarlOhneTilgung,15)=1,AND(INDEX(DarlTilgStart,15)&gt;0,$E6916&lt;INDEX(DarlTilgStart,15))),0,MIN(MAX(0,$K6916-$L6916),$J6916)))</f>
      </c>
      <c r="N6916" s="43">
        <f>IF($I6916=0,0,MIN(SUMIFS(SondBetrag,SondDarl,15,SondDatum,"&gt;="&amp;$E6916,SondDatum,"&lt;="&amp;EOMONTH($E6916,0)),$J6916-$M6916))</f>
      </c>
      <c r="O6916" s="43">
        <f>IF($I6916=0,0,INDEX(DarlErsatzRate,15))</f>
      </c>
      <c r="P6916" s="43">
        <f>IF($I6916=0,0,$Q6915*INDEX(DarlErsatzZins,15))</f>
      </c>
      <c r="Q6916" s="43">
        <f>IF($I6916=0,0,$Q6915+$P6916+$O6916)</f>
      </c>
      <c r="R6916" s="43">
        <f>IF($I6916=0,0,$J6916-$M6916-$N6916)</f>
      </c>
    </row>
    <row r="6917">
      <c r="A6917"/>
      <c r="B6917">
        <v>15</v>
      </c>
      <c r="C6917" s="43">
        <f>INDEX(DarlObj,15)</f>
      </c>
      <c r="D6917">
        <v>194</v>
      </c>
      <c r="E6917" s="51">
        <f>IF(INDEX(DarlBelegt,15)=0,0,EOMONTH(INDEX(DarlAuszahlung,15),193)+1)</f>
      </c>
      <c r="F6917" s="43">
        <f>IF($E6917=0,0,YEAR($E6917))</f>
      </c>
      <c r="G6917" s="43">
        <f>IF(INDEX(DarlBindung,15)="",1,IF($E6917&lt;=INDEX(DarlBindung,15),1,0))</f>
      </c>
      <c r="H6917" s="43">
        <f>IF($G6917=1,INDEX(DarlSollzins,15),INDEX(DarlAnschluss,15))</f>
      </c>
      <c r="I6917" s="43">
        <f>IF(INDEX(DarlBelegt,15)=0,0,IF(INDEX(DarlOhneTilgung,15)=1,IF(INDEX(DarlBindung,15)="",1,$G6917),IF($J6917&gt;0.005,1,0)))</f>
      </c>
      <c r="J6917" s="43">
        <f>IF($I6916=0,0,$R6916)</f>
      </c>
      <c r="K6917" s="43">
        <f>IF($I6917=0,0,IF(INDEX(DarlOhneTilgung,15)=1,0,IF(AND(INDEX(DarlTilgStart,15)&gt;0,$E6917=INDEX(DarlTilgStart,15)),$J6917*($H6917+INDEX(DarlTilgung,15))/100/12,IF(AND($G6917=0,$G6916=1),MAX($K6916,$J6917*($H6917+1)/100/12),$K6916))))</f>
      </c>
      <c r="L6917" s="43">
        <f>IF($I6917=0,0,$J6917*$H6917/100/12)</f>
      </c>
      <c r="M6917" s="43">
        <f>IF($I6917=0,0,IF(OR(INDEX(DarlOhneTilgung,15)=1,AND(INDEX(DarlTilgStart,15)&gt;0,$E6917&lt;INDEX(DarlTilgStart,15))),0,MIN(MAX(0,$K6917-$L6917),$J6917)))</f>
      </c>
      <c r="N6917" s="43">
        <f>IF($I6917=0,0,MIN(SUMIFS(SondBetrag,SondDarl,15,SondDatum,"&gt;="&amp;$E6917,SondDatum,"&lt;="&amp;EOMONTH($E6917,0)),$J6917-$M6917))</f>
      </c>
      <c r="O6917" s="43">
        <f>IF($I6917=0,0,INDEX(DarlErsatzRate,15))</f>
      </c>
      <c r="P6917" s="43">
        <f>IF($I6917=0,0,$Q6916*INDEX(DarlErsatzZins,15))</f>
      </c>
      <c r="Q6917" s="43">
        <f>IF($I6917=0,0,$Q6916+$P6917+$O6917)</f>
      </c>
      <c r="R6917" s="43">
        <f>IF($I6917=0,0,$J6917-$M6917-$N6917)</f>
      </c>
    </row>
    <row r="6918">
      <c r="A6918"/>
      <c r="B6918">
        <v>15</v>
      </c>
      <c r="C6918" s="43">
        <f>INDEX(DarlObj,15)</f>
      </c>
      <c r="D6918">
        <v>195</v>
      </c>
      <c r="E6918" s="51">
        <f>IF(INDEX(DarlBelegt,15)=0,0,EOMONTH(INDEX(DarlAuszahlung,15),194)+1)</f>
      </c>
      <c r="F6918" s="43">
        <f>IF($E6918=0,0,YEAR($E6918))</f>
      </c>
      <c r="G6918" s="43">
        <f>IF(INDEX(DarlBindung,15)="",1,IF($E6918&lt;=INDEX(DarlBindung,15),1,0))</f>
      </c>
      <c r="H6918" s="43">
        <f>IF($G6918=1,INDEX(DarlSollzins,15),INDEX(DarlAnschluss,15))</f>
      </c>
      <c r="I6918" s="43">
        <f>IF(INDEX(DarlBelegt,15)=0,0,IF(INDEX(DarlOhneTilgung,15)=1,IF(INDEX(DarlBindung,15)="",1,$G6918),IF($J6918&gt;0.005,1,0)))</f>
      </c>
      <c r="J6918" s="43">
        <f>IF($I6917=0,0,$R6917)</f>
      </c>
      <c r="K6918" s="43">
        <f>IF($I6918=0,0,IF(INDEX(DarlOhneTilgung,15)=1,0,IF(AND(INDEX(DarlTilgStart,15)&gt;0,$E6918=INDEX(DarlTilgStart,15)),$J6918*($H6918+INDEX(DarlTilgung,15))/100/12,IF(AND($G6918=0,$G6917=1),MAX($K6917,$J6918*($H6918+1)/100/12),$K6917))))</f>
      </c>
      <c r="L6918" s="43">
        <f>IF($I6918=0,0,$J6918*$H6918/100/12)</f>
      </c>
      <c r="M6918" s="43">
        <f>IF($I6918=0,0,IF(OR(INDEX(DarlOhneTilgung,15)=1,AND(INDEX(DarlTilgStart,15)&gt;0,$E6918&lt;INDEX(DarlTilgStart,15))),0,MIN(MAX(0,$K6918-$L6918),$J6918)))</f>
      </c>
      <c r="N6918" s="43">
        <f>IF($I6918=0,0,MIN(SUMIFS(SondBetrag,SondDarl,15,SondDatum,"&gt;="&amp;$E6918,SondDatum,"&lt;="&amp;EOMONTH($E6918,0)),$J6918-$M6918))</f>
      </c>
      <c r="O6918" s="43">
        <f>IF($I6918=0,0,INDEX(DarlErsatzRate,15))</f>
      </c>
      <c r="P6918" s="43">
        <f>IF($I6918=0,0,$Q6917*INDEX(DarlErsatzZins,15))</f>
      </c>
      <c r="Q6918" s="43">
        <f>IF($I6918=0,0,$Q6917+$P6918+$O6918)</f>
      </c>
      <c r="R6918" s="43">
        <f>IF($I6918=0,0,$J6918-$M6918-$N6918)</f>
      </c>
    </row>
    <row r="6919">
      <c r="A6919"/>
      <c r="B6919">
        <v>15</v>
      </c>
      <c r="C6919" s="43">
        <f>INDEX(DarlObj,15)</f>
      </c>
      <c r="D6919">
        <v>196</v>
      </c>
      <c r="E6919" s="51">
        <f>IF(INDEX(DarlBelegt,15)=0,0,EOMONTH(INDEX(DarlAuszahlung,15),195)+1)</f>
      </c>
      <c r="F6919" s="43">
        <f>IF($E6919=0,0,YEAR($E6919))</f>
      </c>
      <c r="G6919" s="43">
        <f>IF(INDEX(DarlBindung,15)="",1,IF($E6919&lt;=INDEX(DarlBindung,15),1,0))</f>
      </c>
      <c r="H6919" s="43">
        <f>IF($G6919=1,INDEX(DarlSollzins,15),INDEX(DarlAnschluss,15))</f>
      </c>
      <c r="I6919" s="43">
        <f>IF(INDEX(DarlBelegt,15)=0,0,IF(INDEX(DarlOhneTilgung,15)=1,IF(INDEX(DarlBindung,15)="",1,$G6919),IF($J6919&gt;0.005,1,0)))</f>
      </c>
      <c r="J6919" s="43">
        <f>IF($I6918=0,0,$R6918)</f>
      </c>
      <c r="K6919" s="43">
        <f>IF($I6919=0,0,IF(INDEX(DarlOhneTilgung,15)=1,0,IF(AND(INDEX(DarlTilgStart,15)&gt;0,$E6919=INDEX(DarlTilgStart,15)),$J6919*($H6919+INDEX(DarlTilgung,15))/100/12,IF(AND($G6919=0,$G6918=1),MAX($K6918,$J6919*($H6919+1)/100/12),$K6918))))</f>
      </c>
      <c r="L6919" s="43">
        <f>IF($I6919=0,0,$J6919*$H6919/100/12)</f>
      </c>
      <c r="M6919" s="43">
        <f>IF($I6919=0,0,IF(OR(INDEX(DarlOhneTilgung,15)=1,AND(INDEX(DarlTilgStart,15)&gt;0,$E6919&lt;INDEX(DarlTilgStart,15))),0,MIN(MAX(0,$K6919-$L6919),$J6919)))</f>
      </c>
      <c r="N6919" s="43">
        <f>IF($I6919=0,0,MIN(SUMIFS(SondBetrag,SondDarl,15,SondDatum,"&gt;="&amp;$E6919,SondDatum,"&lt;="&amp;EOMONTH($E6919,0)),$J6919-$M6919))</f>
      </c>
      <c r="O6919" s="43">
        <f>IF($I6919=0,0,INDEX(DarlErsatzRate,15))</f>
      </c>
      <c r="P6919" s="43">
        <f>IF($I6919=0,0,$Q6918*INDEX(DarlErsatzZins,15))</f>
      </c>
      <c r="Q6919" s="43">
        <f>IF($I6919=0,0,$Q6918+$P6919+$O6919)</f>
      </c>
      <c r="R6919" s="43">
        <f>IF($I6919=0,0,$J6919-$M6919-$N6919)</f>
      </c>
    </row>
    <row r="6920">
      <c r="A6920"/>
      <c r="B6920">
        <v>15</v>
      </c>
      <c r="C6920" s="43">
        <f>INDEX(DarlObj,15)</f>
      </c>
      <c r="D6920">
        <v>197</v>
      </c>
      <c r="E6920" s="51">
        <f>IF(INDEX(DarlBelegt,15)=0,0,EOMONTH(INDEX(DarlAuszahlung,15),196)+1)</f>
      </c>
      <c r="F6920" s="43">
        <f>IF($E6920=0,0,YEAR($E6920))</f>
      </c>
      <c r="G6920" s="43">
        <f>IF(INDEX(DarlBindung,15)="",1,IF($E6920&lt;=INDEX(DarlBindung,15),1,0))</f>
      </c>
      <c r="H6920" s="43">
        <f>IF($G6920=1,INDEX(DarlSollzins,15),INDEX(DarlAnschluss,15))</f>
      </c>
      <c r="I6920" s="43">
        <f>IF(INDEX(DarlBelegt,15)=0,0,IF(INDEX(DarlOhneTilgung,15)=1,IF(INDEX(DarlBindung,15)="",1,$G6920),IF($J6920&gt;0.005,1,0)))</f>
      </c>
      <c r="J6920" s="43">
        <f>IF($I6919=0,0,$R6919)</f>
      </c>
      <c r="K6920" s="43">
        <f>IF($I6920=0,0,IF(INDEX(DarlOhneTilgung,15)=1,0,IF(AND(INDEX(DarlTilgStart,15)&gt;0,$E6920=INDEX(DarlTilgStart,15)),$J6920*($H6920+INDEX(DarlTilgung,15))/100/12,IF(AND($G6920=0,$G6919=1),MAX($K6919,$J6920*($H6920+1)/100/12),$K6919))))</f>
      </c>
      <c r="L6920" s="43">
        <f>IF($I6920=0,0,$J6920*$H6920/100/12)</f>
      </c>
      <c r="M6920" s="43">
        <f>IF($I6920=0,0,IF(OR(INDEX(DarlOhneTilgung,15)=1,AND(INDEX(DarlTilgStart,15)&gt;0,$E6920&lt;INDEX(DarlTilgStart,15))),0,MIN(MAX(0,$K6920-$L6920),$J6920)))</f>
      </c>
      <c r="N6920" s="43">
        <f>IF($I6920=0,0,MIN(SUMIFS(SondBetrag,SondDarl,15,SondDatum,"&gt;="&amp;$E6920,SondDatum,"&lt;="&amp;EOMONTH($E6920,0)),$J6920-$M6920))</f>
      </c>
      <c r="O6920" s="43">
        <f>IF($I6920=0,0,INDEX(DarlErsatzRate,15))</f>
      </c>
      <c r="P6920" s="43">
        <f>IF($I6920=0,0,$Q6919*INDEX(DarlErsatzZins,15))</f>
      </c>
      <c r="Q6920" s="43">
        <f>IF($I6920=0,0,$Q6919+$P6920+$O6920)</f>
      </c>
      <c r="R6920" s="43">
        <f>IF($I6920=0,0,$J6920-$M6920-$N6920)</f>
      </c>
    </row>
    <row r="6921">
      <c r="A6921"/>
      <c r="B6921">
        <v>15</v>
      </c>
      <c r="C6921" s="43">
        <f>INDEX(DarlObj,15)</f>
      </c>
      <c r="D6921">
        <v>198</v>
      </c>
      <c r="E6921" s="51">
        <f>IF(INDEX(DarlBelegt,15)=0,0,EOMONTH(INDEX(DarlAuszahlung,15),197)+1)</f>
      </c>
      <c r="F6921" s="43">
        <f>IF($E6921=0,0,YEAR($E6921))</f>
      </c>
      <c r="G6921" s="43">
        <f>IF(INDEX(DarlBindung,15)="",1,IF($E6921&lt;=INDEX(DarlBindung,15),1,0))</f>
      </c>
      <c r="H6921" s="43">
        <f>IF($G6921=1,INDEX(DarlSollzins,15),INDEX(DarlAnschluss,15))</f>
      </c>
      <c r="I6921" s="43">
        <f>IF(INDEX(DarlBelegt,15)=0,0,IF(INDEX(DarlOhneTilgung,15)=1,IF(INDEX(DarlBindung,15)="",1,$G6921),IF($J6921&gt;0.005,1,0)))</f>
      </c>
      <c r="J6921" s="43">
        <f>IF($I6920=0,0,$R6920)</f>
      </c>
      <c r="K6921" s="43">
        <f>IF($I6921=0,0,IF(INDEX(DarlOhneTilgung,15)=1,0,IF(AND(INDEX(DarlTilgStart,15)&gt;0,$E6921=INDEX(DarlTilgStart,15)),$J6921*($H6921+INDEX(DarlTilgung,15))/100/12,IF(AND($G6921=0,$G6920=1),MAX($K6920,$J6921*($H6921+1)/100/12),$K6920))))</f>
      </c>
      <c r="L6921" s="43">
        <f>IF($I6921=0,0,$J6921*$H6921/100/12)</f>
      </c>
      <c r="M6921" s="43">
        <f>IF($I6921=0,0,IF(OR(INDEX(DarlOhneTilgung,15)=1,AND(INDEX(DarlTilgStart,15)&gt;0,$E6921&lt;INDEX(DarlTilgStart,15))),0,MIN(MAX(0,$K6921-$L6921),$J6921)))</f>
      </c>
      <c r="N6921" s="43">
        <f>IF($I6921=0,0,MIN(SUMIFS(SondBetrag,SondDarl,15,SondDatum,"&gt;="&amp;$E6921,SondDatum,"&lt;="&amp;EOMONTH($E6921,0)),$J6921-$M6921))</f>
      </c>
      <c r="O6921" s="43">
        <f>IF($I6921=0,0,INDEX(DarlErsatzRate,15))</f>
      </c>
      <c r="P6921" s="43">
        <f>IF($I6921=0,0,$Q6920*INDEX(DarlErsatzZins,15))</f>
      </c>
      <c r="Q6921" s="43">
        <f>IF($I6921=0,0,$Q6920+$P6921+$O6921)</f>
      </c>
      <c r="R6921" s="43">
        <f>IF($I6921=0,0,$J6921-$M6921-$N6921)</f>
      </c>
    </row>
    <row r="6922">
      <c r="A6922"/>
      <c r="B6922">
        <v>15</v>
      </c>
      <c r="C6922" s="43">
        <f>INDEX(DarlObj,15)</f>
      </c>
      <c r="D6922">
        <v>199</v>
      </c>
      <c r="E6922" s="51">
        <f>IF(INDEX(DarlBelegt,15)=0,0,EOMONTH(INDEX(DarlAuszahlung,15),198)+1)</f>
      </c>
      <c r="F6922" s="43">
        <f>IF($E6922=0,0,YEAR($E6922))</f>
      </c>
      <c r="G6922" s="43">
        <f>IF(INDEX(DarlBindung,15)="",1,IF($E6922&lt;=INDEX(DarlBindung,15),1,0))</f>
      </c>
      <c r="H6922" s="43">
        <f>IF($G6922=1,INDEX(DarlSollzins,15),INDEX(DarlAnschluss,15))</f>
      </c>
      <c r="I6922" s="43">
        <f>IF(INDEX(DarlBelegt,15)=0,0,IF(INDEX(DarlOhneTilgung,15)=1,IF(INDEX(DarlBindung,15)="",1,$G6922),IF($J6922&gt;0.005,1,0)))</f>
      </c>
      <c r="J6922" s="43">
        <f>IF($I6921=0,0,$R6921)</f>
      </c>
      <c r="K6922" s="43">
        <f>IF($I6922=0,0,IF(INDEX(DarlOhneTilgung,15)=1,0,IF(AND(INDEX(DarlTilgStart,15)&gt;0,$E6922=INDEX(DarlTilgStart,15)),$J6922*($H6922+INDEX(DarlTilgung,15))/100/12,IF(AND($G6922=0,$G6921=1),MAX($K6921,$J6922*($H6922+1)/100/12),$K6921))))</f>
      </c>
      <c r="L6922" s="43">
        <f>IF($I6922=0,0,$J6922*$H6922/100/12)</f>
      </c>
      <c r="M6922" s="43">
        <f>IF($I6922=0,0,IF(OR(INDEX(DarlOhneTilgung,15)=1,AND(INDEX(DarlTilgStart,15)&gt;0,$E6922&lt;INDEX(DarlTilgStart,15))),0,MIN(MAX(0,$K6922-$L6922),$J6922)))</f>
      </c>
      <c r="N6922" s="43">
        <f>IF($I6922=0,0,MIN(SUMIFS(SondBetrag,SondDarl,15,SondDatum,"&gt;="&amp;$E6922,SondDatum,"&lt;="&amp;EOMONTH($E6922,0)),$J6922-$M6922))</f>
      </c>
      <c r="O6922" s="43">
        <f>IF($I6922=0,0,INDEX(DarlErsatzRate,15))</f>
      </c>
      <c r="P6922" s="43">
        <f>IF($I6922=0,0,$Q6921*INDEX(DarlErsatzZins,15))</f>
      </c>
      <c r="Q6922" s="43">
        <f>IF($I6922=0,0,$Q6921+$P6922+$O6922)</f>
      </c>
      <c r="R6922" s="43">
        <f>IF($I6922=0,0,$J6922-$M6922-$N6922)</f>
      </c>
    </row>
    <row r="6923">
      <c r="A6923"/>
      <c r="B6923">
        <v>15</v>
      </c>
      <c r="C6923" s="43">
        <f>INDEX(DarlObj,15)</f>
      </c>
      <c r="D6923">
        <v>200</v>
      </c>
      <c r="E6923" s="51">
        <f>IF(INDEX(DarlBelegt,15)=0,0,EOMONTH(INDEX(DarlAuszahlung,15),199)+1)</f>
      </c>
      <c r="F6923" s="43">
        <f>IF($E6923=0,0,YEAR($E6923))</f>
      </c>
      <c r="G6923" s="43">
        <f>IF(INDEX(DarlBindung,15)="",1,IF($E6923&lt;=INDEX(DarlBindung,15),1,0))</f>
      </c>
      <c r="H6923" s="43">
        <f>IF($G6923=1,INDEX(DarlSollzins,15),INDEX(DarlAnschluss,15))</f>
      </c>
      <c r="I6923" s="43">
        <f>IF(INDEX(DarlBelegt,15)=0,0,IF(INDEX(DarlOhneTilgung,15)=1,IF(INDEX(DarlBindung,15)="",1,$G6923),IF($J6923&gt;0.005,1,0)))</f>
      </c>
      <c r="J6923" s="43">
        <f>IF($I6922=0,0,$R6922)</f>
      </c>
      <c r="K6923" s="43">
        <f>IF($I6923=0,0,IF(INDEX(DarlOhneTilgung,15)=1,0,IF(AND(INDEX(DarlTilgStart,15)&gt;0,$E6923=INDEX(DarlTilgStart,15)),$J6923*($H6923+INDEX(DarlTilgung,15))/100/12,IF(AND($G6923=0,$G6922=1),MAX($K6922,$J6923*($H6923+1)/100/12),$K6922))))</f>
      </c>
      <c r="L6923" s="43">
        <f>IF($I6923=0,0,$J6923*$H6923/100/12)</f>
      </c>
      <c r="M6923" s="43">
        <f>IF($I6923=0,0,IF(OR(INDEX(DarlOhneTilgung,15)=1,AND(INDEX(DarlTilgStart,15)&gt;0,$E6923&lt;INDEX(DarlTilgStart,15))),0,MIN(MAX(0,$K6923-$L6923),$J6923)))</f>
      </c>
      <c r="N6923" s="43">
        <f>IF($I6923=0,0,MIN(SUMIFS(SondBetrag,SondDarl,15,SondDatum,"&gt;="&amp;$E6923,SondDatum,"&lt;="&amp;EOMONTH($E6923,0)),$J6923-$M6923))</f>
      </c>
      <c r="O6923" s="43">
        <f>IF($I6923=0,0,INDEX(DarlErsatzRate,15))</f>
      </c>
      <c r="P6923" s="43">
        <f>IF($I6923=0,0,$Q6922*INDEX(DarlErsatzZins,15))</f>
      </c>
      <c r="Q6923" s="43">
        <f>IF($I6923=0,0,$Q6922+$P6923+$O6923)</f>
      </c>
      <c r="R6923" s="43">
        <f>IF($I6923=0,0,$J6923-$M6923-$N6923)</f>
      </c>
    </row>
    <row r="6924">
      <c r="A6924"/>
      <c r="B6924">
        <v>15</v>
      </c>
      <c r="C6924" s="43">
        <f>INDEX(DarlObj,15)</f>
      </c>
      <c r="D6924">
        <v>201</v>
      </c>
      <c r="E6924" s="51">
        <f>IF(INDEX(DarlBelegt,15)=0,0,EOMONTH(INDEX(DarlAuszahlung,15),200)+1)</f>
      </c>
      <c r="F6924" s="43">
        <f>IF($E6924=0,0,YEAR($E6924))</f>
      </c>
      <c r="G6924" s="43">
        <f>IF(INDEX(DarlBindung,15)="",1,IF($E6924&lt;=INDEX(DarlBindung,15),1,0))</f>
      </c>
      <c r="H6924" s="43">
        <f>IF($G6924=1,INDEX(DarlSollzins,15),INDEX(DarlAnschluss,15))</f>
      </c>
      <c r="I6924" s="43">
        <f>IF(INDEX(DarlBelegt,15)=0,0,IF(INDEX(DarlOhneTilgung,15)=1,IF(INDEX(DarlBindung,15)="",1,$G6924),IF($J6924&gt;0.005,1,0)))</f>
      </c>
      <c r="J6924" s="43">
        <f>IF($I6923=0,0,$R6923)</f>
      </c>
      <c r="K6924" s="43">
        <f>IF($I6924=0,0,IF(INDEX(DarlOhneTilgung,15)=1,0,IF(AND(INDEX(DarlTilgStart,15)&gt;0,$E6924=INDEX(DarlTilgStart,15)),$J6924*($H6924+INDEX(DarlTilgung,15))/100/12,IF(AND($G6924=0,$G6923=1),MAX($K6923,$J6924*($H6924+1)/100/12),$K6923))))</f>
      </c>
      <c r="L6924" s="43">
        <f>IF($I6924=0,0,$J6924*$H6924/100/12)</f>
      </c>
      <c r="M6924" s="43">
        <f>IF($I6924=0,0,IF(OR(INDEX(DarlOhneTilgung,15)=1,AND(INDEX(DarlTilgStart,15)&gt;0,$E6924&lt;INDEX(DarlTilgStart,15))),0,MIN(MAX(0,$K6924-$L6924),$J6924)))</f>
      </c>
      <c r="N6924" s="43">
        <f>IF($I6924=0,0,MIN(SUMIFS(SondBetrag,SondDarl,15,SondDatum,"&gt;="&amp;$E6924,SondDatum,"&lt;="&amp;EOMONTH($E6924,0)),$J6924-$M6924))</f>
      </c>
      <c r="O6924" s="43">
        <f>IF($I6924=0,0,INDEX(DarlErsatzRate,15))</f>
      </c>
      <c r="P6924" s="43">
        <f>IF($I6924=0,0,$Q6923*INDEX(DarlErsatzZins,15))</f>
      </c>
      <c r="Q6924" s="43">
        <f>IF($I6924=0,0,$Q6923+$P6924+$O6924)</f>
      </c>
      <c r="R6924" s="43">
        <f>IF($I6924=0,0,$J6924-$M6924-$N6924)</f>
      </c>
    </row>
    <row r="6925">
      <c r="A6925"/>
      <c r="B6925">
        <v>15</v>
      </c>
      <c r="C6925" s="43">
        <f>INDEX(DarlObj,15)</f>
      </c>
      <c r="D6925">
        <v>202</v>
      </c>
      <c r="E6925" s="51">
        <f>IF(INDEX(DarlBelegt,15)=0,0,EOMONTH(INDEX(DarlAuszahlung,15),201)+1)</f>
      </c>
      <c r="F6925" s="43">
        <f>IF($E6925=0,0,YEAR($E6925))</f>
      </c>
      <c r="G6925" s="43">
        <f>IF(INDEX(DarlBindung,15)="",1,IF($E6925&lt;=INDEX(DarlBindung,15),1,0))</f>
      </c>
      <c r="H6925" s="43">
        <f>IF($G6925=1,INDEX(DarlSollzins,15),INDEX(DarlAnschluss,15))</f>
      </c>
      <c r="I6925" s="43">
        <f>IF(INDEX(DarlBelegt,15)=0,0,IF(INDEX(DarlOhneTilgung,15)=1,IF(INDEX(DarlBindung,15)="",1,$G6925),IF($J6925&gt;0.005,1,0)))</f>
      </c>
      <c r="J6925" s="43">
        <f>IF($I6924=0,0,$R6924)</f>
      </c>
      <c r="K6925" s="43">
        <f>IF($I6925=0,0,IF(INDEX(DarlOhneTilgung,15)=1,0,IF(AND(INDEX(DarlTilgStart,15)&gt;0,$E6925=INDEX(DarlTilgStart,15)),$J6925*($H6925+INDEX(DarlTilgung,15))/100/12,IF(AND($G6925=0,$G6924=1),MAX($K6924,$J6925*($H6925+1)/100/12),$K6924))))</f>
      </c>
      <c r="L6925" s="43">
        <f>IF($I6925=0,0,$J6925*$H6925/100/12)</f>
      </c>
      <c r="M6925" s="43">
        <f>IF($I6925=0,0,IF(OR(INDEX(DarlOhneTilgung,15)=1,AND(INDEX(DarlTilgStart,15)&gt;0,$E6925&lt;INDEX(DarlTilgStart,15))),0,MIN(MAX(0,$K6925-$L6925),$J6925)))</f>
      </c>
      <c r="N6925" s="43">
        <f>IF($I6925=0,0,MIN(SUMIFS(SondBetrag,SondDarl,15,SondDatum,"&gt;="&amp;$E6925,SondDatum,"&lt;="&amp;EOMONTH($E6925,0)),$J6925-$M6925))</f>
      </c>
      <c r="O6925" s="43">
        <f>IF($I6925=0,0,INDEX(DarlErsatzRate,15))</f>
      </c>
      <c r="P6925" s="43">
        <f>IF($I6925=0,0,$Q6924*INDEX(DarlErsatzZins,15))</f>
      </c>
      <c r="Q6925" s="43">
        <f>IF($I6925=0,0,$Q6924+$P6925+$O6925)</f>
      </c>
      <c r="R6925" s="43">
        <f>IF($I6925=0,0,$J6925-$M6925-$N6925)</f>
      </c>
    </row>
    <row r="6926">
      <c r="A6926"/>
      <c r="B6926">
        <v>15</v>
      </c>
      <c r="C6926" s="43">
        <f>INDEX(DarlObj,15)</f>
      </c>
      <c r="D6926">
        <v>203</v>
      </c>
      <c r="E6926" s="51">
        <f>IF(INDEX(DarlBelegt,15)=0,0,EOMONTH(INDEX(DarlAuszahlung,15),202)+1)</f>
      </c>
      <c r="F6926" s="43">
        <f>IF($E6926=0,0,YEAR($E6926))</f>
      </c>
      <c r="G6926" s="43">
        <f>IF(INDEX(DarlBindung,15)="",1,IF($E6926&lt;=INDEX(DarlBindung,15),1,0))</f>
      </c>
      <c r="H6926" s="43">
        <f>IF($G6926=1,INDEX(DarlSollzins,15),INDEX(DarlAnschluss,15))</f>
      </c>
      <c r="I6926" s="43">
        <f>IF(INDEX(DarlBelegt,15)=0,0,IF(INDEX(DarlOhneTilgung,15)=1,IF(INDEX(DarlBindung,15)="",1,$G6926),IF($J6926&gt;0.005,1,0)))</f>
      </c>
      <c r="J6926" s="43">
        <f>IF($I6925=0,0,$R6925)</f>
      </c>
      <c r="K6926" s="43">
        <f>IF($I6926=0,0,IF(INDEX(DarlOhneTilgung,15)=1,0,IF(AND(INDEX(DarlTilgStart,15)&gt;0,$E6926=INDEX(DarlTilgStart,15)),$J6926*($H6926+INDEX(DarlTilgung,15))/100/12,IF(AND($G6926=0,$G6925=1),MAX($K6925,$J6926*($H6926+1)/100/12),$K6925))))</f>
      </c>
      <c r="L6926" s="43">
        <f>IF($I6926=0,0,$J6926*$H6926/100/12)</f>
      </c>
      <c r="M6926" s="43">
        <f>IF($I6926=0,0,IF(OR(INDEX(DarlOhneTilgung,15)=1,AND(INDEX(DarlTilgStart,15)&gt;0,$E6926&lt;INDEX(DarlTilgStart,15))),0,MIN(MAX(0,$K6926-$L6926),$J6926)))</f>
      </c>
      <c r="N6926" s="43">
        <f>IF($I6926=0,0,MIN(SUMIFS(SondBetrag,SondDarl,15,SondDatum,"&gt;="&amp;$E6926,SondDatum,"&lt;="&amp;EOMONTH($E6926,0)),$J6926-$M6926))</f>
      </c>
      <c r="O6926" s="43">
        <f>IF($I6926=0,0,INDEX(DarlErsatzRate,15))</f>
      </c>
      <c r="P6926" s="43">
        <f>IF($I6926=0,0,$Q6925*INDEX(DarlErsatzZins,15))</f>
      </c>
      <c r="Q6926" s="43">
        <f>IF($I6926=0,0,$Q6925+$P6926+$O6926)</f>
      </c>
      <c r="R6926" s="43">
        <f>IF($I6926=0,0,$J6926-$M6926-$N6926)</f>
      </c>
    </row>
    <row r="6927">
      <c r="A6927"/>
      <c r="B6927">
        <v>15</v>
      </c>
      <c r="C6927" s="43">
        <f>INDEX(DarlObj,15)</f>
      </c>
      <c r="D6927">
        <v>204</v>
      </c>
      <c r="E6927" s="51">
        <f>IF(INDEX(DarlBelegt,15)=0,0,EOMONTH(INDEX(DarlAuszahlung,15),203)+1)</f>
      </c>
      <c r="F6927" s="43">
        <f>IF($E6927=0,0,YEAR($E6927))</f>
      </c>
      <c r="G6927" s="43">
        <f>IF(INDEX(DarlBindung,15)="",1,IF($E6927&lt;=INDEX(DarlBindung,15),1,0))</f>
      </c>
      <c r="H6927" s="43">
        <f>IF($G6927=1,INDEX(DarlSollzins,15),INDEX(DarlAnschluss,15))</f>
      </c>
      <c r="I6927" s="43">
        <f>IF(INDEX(DarlBelegt,15)=0,0,IF(INDEX(DarlOhneTilgung,15)=1,IF(INDEX(DarlBindung,15)="",1,$G6927),IF($J6927&gt;0.005,1,0)))</f>
      </c>
      <c r="J6927" s="43">
        <f>IF($I6926=0,0,$R6926)</f>
      </c>
      <c r="K6927" s="43">
        <f>IF($I6927=0,0,IF(INDEX(DarlOhneTilgung,15)=1,0,IF(AND(INDEX(DarlTilgStart,15)&gt;0,$E6927=INDEX(DarlTilgStart,15)),$J6927*($H6927+INDEX(DarlTilgung,15))/100/12,IF(AND($G6927=0,$G6926=1),MAX($K6926,$J6927*($H6927+1)/100/12),$K6926))))</f>
      </c>
      <c r="L6927" s="43">
        <f>IF($I6927=0,0,$J6927*$H6927/100/12)</f>
      </c>
      <c r="M6927" s="43">
        <f>IF($I6927=0,0,IF(OR(INDEX(DarlOhneTilgung,15)=1,AND(INDEX(DarlTilgStart,15)&gt;0,$E6927&lt;INDEX(DarlTilgStart,15))),0,MIN(MAX(0,$K6927-$L6927),$J6927)))</f>
      </c>
      <c r="N6927" s="43">
        <f>IF($I6927=0,0,MIN(SUMIFS(SondBetrag,SondDarl,15,SondDatum,"&gt;="&amp;$E6927,SondDatum,"&lt;="&amp;EOMONTH($E6927,0)),$J6927-$M6927))</f>
      </c>
      <c r="O6927" s="43">
        <f>IF($I6927=0,0,INDEX(DarlErsatzRate,15))</f>
      </c>
      <c r="P6927" s="43">
        <f>IF($I6927=0,0,$Q6926*INDEX(DarlErsatzZins,15))</f>
      </c>
      <c r="Q6927" s="43">
        <f>IF($I6927=0,0,$Q6926+$P6927+$O6927)</f>
      </c>
      <c r="R6927" s="43">
        <f>IF($I6927=0,0,$J6927-$M6927-$N6927)</f>
      </c>
    </row>
    <row r="6928">
      <c r="A6928"/>
      <c r="B6928">
        <v>15</v>
      </c>
      <c r="C6928" s="43">
        <f>INDEX(DarlObj,15)</f>
      </c>
      <c r="D6928">
        <v>205</v>
      </c>
      <c r="E6928" s="51">
        <f>IF(INDEX(DarlBelegt,15)=0,0,EOMONTH(INDEX(DarlAuszahlung,15),204)+1)</f>
      </c>
      <c r="F6928" s="43">
        <f>IF($E6928=0,0,YEAR($E6928))</f>
      </c>
      <c r="G6928" s="43">
        <f>IF(INDEX(DarlBindung,15)="",1,IF($E6928&lt;=INDEX(DarlBindung,15),1,0))</f>
      </c>
      <c r="H6928" s="43">
        <f>IF($G6928=1,INDEX(DarlSollzins,15),INDEX(DarlAnschluss,15))</f>
      </c>
      <c r="I6928" s="43">
        <f>IF(INDEX(DarlBelegt,15)=0,0,IF(INDEX(DarlOhneTilgung,15)=1,IF(INDEX(DarlBindung,15)="",1,$G6928),IF($J6928&gt;0.005,1,0)))</f>
      </c>
      <c r="J6928" s="43">
        <f>IF($I6927=0,0,$R6927)</f>
      </c>
      <c r="K6928" s="43">
        <f>IF($I6928=0,0,IF(INDEX(DarlOhneTilgung,15)=1,0,IF(AND(INDEX(DarlTilgStart,15)&gt;0,$E6928=INDEX(DarlTilgStart,15)),$J6928*($H6928+INDEX(DarlTilgung,15))/100/12,IF(AND($G6928=0,$G6927=1),MAX($K6927,$J6928*($H6928+1)/100/12),$K6927))))</f>
      </c>
      <c r="L6928" s="43">
        <f>IF($I6928=0,0,$J6928*$H6928/100/12)</f>
      </c>
      <c r="M6928" s="43">
        <f>IF($I6928=0,0,IF(OR(INDEX(DarlOhneTilgung,15)=1,AND(INDEX(DarlTilgStart,15)&gt;0,$E6928&lt;INDEX(DarlTilgStart,15))),0,MIN(MAX(0,$K6928-$L6928),$J6928)))</f>
      </c>
      <c r="N6928" s="43">
        <f>IF($I6928=0,0,MIN(SUMIFS(SondBetrag,SondDarl,15,SondDatum,"&gt;="&amp;$E6928,SondDatum,"&lt;="&amp;EOMONTH($E6928,0)),$J6928-$M6928))</f>
      </c>
      <c r="O6928" s="43">
        <f>IF($I6928=0,0,INDEX(DarlErsatzRate,15))</f>
      </c>
      <c r="P6928" s="43">
        <f>IF($I6928=0,0,$Q6927*INDEX(DarlErsatzZins,15))</f>
      </c>
      <c r="Q6928" s="43">
        <f>IF($I6928=0,0,$Q6927+$P6928+$O6928)</f>
      </c>
      <c r="R6928" s="43">
        <f>IF($I6928=0,0,$J6928-$M6928-$N6928)</f>
      </c>
    </row>
    <row r="6929">
      <c r="A6929"/>
      <c r="B6929">
        <v>15</v>
      </c>
      <c r="C6929" s="43">
        <f>INDEX(DarlObj,15)</f>
      </c>
      <c r="D6929">
        <v>206</v>
      </c>
      <c r="E6929" s="51">
        <f>IF(INDEX(DarlBelegt,15)=0,0,EOMONTH(INDEX(DarlAuszahlung,15),205)+1)</f>
      </c>
      <c r="F6929" s="43">
        <f>IF($E6929=0,0,YEAR($E6929))</f>
      </c>
      <c r="G6929" s="43">
        <f>IF(INDEX(DarlBindung,15)="",1,IF($E6929&lt;=INDEX(DarlBindung,15),1,0))</f>
      </c>
      <c r="H6929" s="43">
        <f>IF($G6929=1,INDEX(DarlSollzins,15),INDEX(DarlAnschluss,15))</f>
      </c>
      <c r="I6929" s="43">
        <f>IF(INDEX(DarlBelegt,15)=0,0,IF(INDEX(DarlOhneTilgung,15)=1,IF(INDEX(DarlBindung,15)="",1,$G6929),IF($J6929&gt;0.005,1,0)))</f>
      </c>
      <c r="J6929" s="43">
        <f>IF($I6928=0,0,$R6928)</f>
      </c>
      <c r="K6929" s="43">
        <f>IF($I6929=0,0,IF(INDEX(DarlOhneTilgung,15)=1,0,IF(AND(INDEX(DarlTilgStart,15)&gt;0,$E6929=INDEX(DarlTilgStart,15)),$J6929*($H6929+INDEX(DarlTilgung,15))/100/12,IF(AND($G6929=0,$G6928=1),MAX($K6928,$J6929*($H6929+1)/100/12),$K6928))))</f>
      </c>
      <c r="L6929" s="43">
        <f>IF($I6929=0,0,$J6929*$H6929/100/12)</f>
      </c>
      <c r="M6929" s="43">
        <f>IF($I6929=0,0,IF(OR(INDEX(DarlOhneTilgung,15)=1,AND(INDEX(DarlTilgStart,15)&gt;0,$E6929&lt;INDEX(DarlTilgStart,15))),0,MIN(MAX(0,$K6929-$L6929),$J6929)))</f>
      </c>
      <c r="N6929" s="43">
        <f>IF($I6929=0,0,MIN(SUMIFS(SondBetrag,SondDarl,15,SondDatum,"&gt;="&amp;$E6929,SondDatum,"&lt;="&amp;EOMONTH($E6929,0)),$J6929-$M6929))</f>
      </c>
      <c r="O6929" s="43">
        <f>IF($I6929=0,0,INDEX(DarlErsatzRate,15))</f>
      </c>
      <c r="P6929" s="43">
        <f>IF($I6929=0,0,$Q6928*INDEX(DarlErsatzZins,15))</f>
      </c>
      <c r="Q6929" s="43">
        <f>IF($I6929=0,0,$Q6928+$P6929+$O6929)</f>
      </c>
      <c r="R6929" s="43">
        <f>IF($I6929=0,0,$J6929-$M6929-$N6929)</f>
      </c>
    </row>
    <row r="6930">
      <c r="A6930"/>
      <c r="B6930">
        <v>15</v>
      </c>
      <c r="C6930" s="43">
        <f>INDEX(DarlObj,15)</f>
      </c>
      <c r="D6930">
        <v>207</v>
      </c>
      <c r="E6930" s="51">
        <f>IF(INDEX(DarlBelegt,15)=0,0,EOMONTH(INDEX(DarlAuszahlung,15),206)+1)</f>
      </c>
      <c r="F6930" s="43">
        <f>IF($E6930=0,0,YEAR($E6930))</f>
      </c>
      <c r="G6930" s="43">
        <f>IF(INDEX(DarlBindung,15)="",1,IF($E6930&lt;=INDEX(DarlBindung,15),1,0))</f>
      </c>
      <c r="H6930" s="43">
        <f>IF($G6930=1,INDEX(DarlSollzins,15),INDEX(DarlAnschluss,15))</f>
      </c>
      <c r="I6930" s="43">
        <f>IF(INDEX(DarlBelegt,15)=0,0,IF(INDEX(DarlOhneTilgung,15)=1,IF(INDEX(DarlBindung,15)="",1,$G6930),IF($J6930&gt;0.005,1,0)))</f>
      </c>
      <c r="J6930" s="43">
        <f>IF($I6929=0,0,$R6929)</f>
      </c>
      <c r="K6930" s="43">
        <f>IF($I6930=0,0,IF(INDEX(DarlOhneTilgung,15)=1,0,IF(AND(INDEX(DarlTilgStart,15)&gt;0,$E6930=INDEX(DarlTilgStart,15)),$J6930*($H6930+INDEX(DarlTilgung,15))/100/12,IF(AND($G6930=0,$G6929=1),MAX($K6929,$J6930*($H6930+1)/100/12),$K6929))))</f>
      </c>
      <c r="L6930" s="43">
        <f>IF($I6930=0,0,$J6930*$H6930/100/12)</f>
      </c>
      <c r="M6930" s="43">
        <f>IF($I6930=0,0,IF(OR(INDEX(DarlOhneTilgung,15)=1,AND(INDEX(DarlTilgStart,15)&gt;0,$E6930&lt;INDEX(DarlTilgStart,15))),0,MIN(MAX(0,$K6930-$L6930),$J6930)))</f>
      </c>
      <c r="N6930" s="43">
        <f>IF($I6930=0,0,MIN(SUMIFS(SondBetrag,SondDarl,15,SondDatum,"&gt;="&amp;$E6930,SondDatum,"&lt;="&amp;EOMONTH($E6930,0)),$J6930-$M6930))</f>
      </c>
      <c r="O6930" s="43">
        <f>IF($I6930=0,0,INDEX(DarlErsatzRate,15))</f>
      </c>
      <c r="P6930" s="43">
        <f>IF($I6930=0,0,$Q6929*INDEX(DarlErsatzZins,15))</f>
      </c>
      <c r="Q6930" s="43">
        <f>IF($I6930=0,0,$Q6929+$P6930+$O6930)</f>
      </c>
      <c r="R6930" s="43">
        <f>IF($I6930=0,0,$J6930-$M6930-$N6930)</f>
      </c>
    </row>
    <row r="6931">
      <c r="A6931"/>
      <c r="B6931">
        <v>15</v>
      </c>
      <c r="C6931" s="43">
        <f>INDEX(DarlObj,15)</f>
      </c>
      <c r="D6931">
        <v>208</v>
      </c>
      <c r="E6931" s="51">
        <f>IF(INDEX(DarlBelegt,15)=0,0,EOMONTH(INDEX(DarlAuszahlung,15),207)+1)</f>
      </c>
      <c r="F6931" s="43">
        <f>IF($E6931=0,0,YEAR($E6931))</f>
      </c>
      <c r="G6931" s="43">
        <f>IF(INDEX(DarlBindung,15)="",1,IF($E6931&lt;=INDEX(DarlBindung,15),1,0))</f>
      </c>
      <c r="H6931" s="43">
        <f>IF($G6931=1,INDEX(DarlSollzins,15),INDEX(DarlAnschluss,15))</f>
      </c>
      <c r="I6931" s="43">
        <f>IF(INDEX(DarlBelegt,15)=0,0,IF(INDEX(DarlOhneTilgung,15)=1,IF(INDEX(DarlBindung,15)="",1,$G6931),IF($J6931&gt;0.005,1,0)))</f>
      </c>
      <c r="J6931" s="43">
        <f>IF($I6930=0,0,$R6930)</f>
      </c>
      <c r="K6931" s="43">
        <f>IF($I6931=0,0,IF(INDEX(DarlOhneTilgung,15)=1,0,IF(AND(INDEX(DarlTilgStart,15)&gt;0,$E6931=INDEX(DarlTilgStart,15)),$J6931*($H6931+INDEX(DarlTilgung,15))/100/12,IF(AND($G6931=0,$G6930=1),MAX($K6930,$J6931*($H6931+1)/100/12),$K6930))))</f>
      </c>
      <c r="L6931" s="43">
        <f>IF($I6931=0,0,$J6931*$H6931/100/12)</f>
      </c>
      <c r="M6931" s="43">
        <f>IF($I6931=0,0,IF(OR(INDEX(DarlOhneTilgung,15)=1,AND(INDEX(DarlTilgStart,15)&gt;0,$E6931&lt;INDEX(DarlTilgStart,15))),0,MIN(MAX(0,$K6931-$L6931),$J6931)))</f>
      </c>
      <c r="N6931" s="43">
        <f>IF($I6931=0,0,MIN(SUMIFS(SondBetrag,SondDarl,15,SondDatum,"&gt;="&amp;$E6931,SondDatum,"&lt;="&amp;EOMONTH($E6931,0)),$J6931-$M6931))</f>
      </c>
      <c r="O6931" s="43">
        <f>IF($I6931=0,0,INDEX(DarlErsatzRate,15))</f>
      </c>
      <c r="P6931" s="43">
        <f>IF($I6931=0,0,$Q6930*INDEX(DarlErsatzZins,15))</f>
      </c>
      <c r="Q6931" s="43">
        <f>IF($I6931=0,0,$Q6930+$P6931+$O6931)</f>
      </c>
      <c r="R6931" s="43">
        <f>IF($I6931=0,0,$J6931-$M6931-$N6931)</f>
      </c>
    </row>
    <row r="6932">
      <c r="A6932"/>
      <c r="B6932">
        <v>15</v>
      </c>
      <c r="C6932" s="43">
        <f>INDEX(DarlObj,15)</f>
      </c>
      <c r="D6932">
        <v>209</v>
      </c>
      <c r="E6932" s="51">
        <f>IF(INDEX(DarlBelegt,15)=0,0,EOMONTH(INDEX(DarlAuszahlung,15),208)+1)</f>
      </c>
      <c r="F6932" s="43">
        <f>IF($E6932=0,0,YEAR($E6932))</f>
      </c>
      <c r="G6932" s="43">
        <f>IF(INDEX(DarlBindung,15)="",1,IF($E6932&lt;=INDEX(DarlBindung,15),1,0))</f>
      </c>
      <c r="H6932" s="43">
        <f>IF($G6932=1,INDEX(DarlSollzins,15),INDEX(DarlAnschluss,15))</f>
      </c>
      <c r="I6932" s="43">
        <f>IF(INDEX(DarlBelegt,15)=0,0,IF(INDEX(DarlOhneTilgung,15)=1,IF(INDEX(DarlBindung,15)="",1,$G6932),IF($J6932&gt;0.005,1,0)))</f>
      </c>
      <c r="J6932" s="43">
        <f>IF($I6931=0,0,$R6931)</f>
      </c>
      <c r="K6932" s="43">
        <f>IF($I6932=0,0,IF(INDEX(DarlOhneTilgung,15)=1,0,IF(AND(INDEX(DarlTilgStart,15)&gt;0,$E6932=INDEX(DarlTilgStart,15)),$J6932*($H6932+INDEX(DarlTilgung,15))/100/12,IF(AND($G6932=0,$G6931=1),MAX($K6931,$J6932*($H6932+1)/100/12),$K6931))))</f>
      </c>
      <c r="L6932" s="43">
        <f>IF($I6932=0,0,$J6932*$H6932/100/12)</f>
      </c>
      <c r="M6932" s="43">
        <f>IF($I6932=0,0,IF(OR(INDEX(DarlOhneTilgung,15)=1,AND(INDEX(DarlTilgStart,15)&gt;0,$E6932&lt;INDEX(DarlTilgStart,15))),0,MIN(MAX(0,$K6932-$L6932),$J6932)))</f>
      </c>
      <c r="N6932" s="43">
        <f>IF($I6932=0,0,MIN(SUMIFS(SondBetrag,SondDarl,15,SondDatum,"&gt;="&amp;$E6932,SondDatum,"&lt;="&amp;EOMONTH($E6932,0)),$J6932-$M6932))</f>
      </c>
      <c r="O6932" s="43">
        <f>IF($I6932=0,0,INDEX(DarlErsatzRate,15))</f>
      </c>
      <c r="P6932" s="43">
        <f>IF($I6932=0,0,$Q6931*INDEX(DarlErsatzZins,15))</f>
      </c>
      <c r="Q6932" s="43">
        <f>IF($I6932=0,0,$Q6931+$P6932+$O6932)</f>
      </c>
      <c r="R6932" s="43">
        <f>IF($I6932=0,0,$J6932-$M6932-$N6932)</f>
      </c>
    </row>
    <row r="6933">
      <c r="A6933"/>
      <c r="B6933">
        <v>15</v>
      </c>
      <c r="C6933" s="43">
        <f>INDEX(DarlObj,15)</f>
      </c>
      <c r="D6933">
        <v>210</v>
      </c>
      <c r="E6933" s="51">
        <f>IF(INDEX(DarlBelegt,15)=0,0,EOMONTH(INDEX(DarlAuszahlung,15),209)+1)</f>
      </c>
      <c r="F6933" s="43">
        <f>IF($E6933=0,0,YEAR($E6933))</f>
      </c>
      <c r="G6933" s="43">
        <f>IF(INDEX(DarlBindung,15)="",1,IF($E6933&lt;=INDEX(DarlBindung,15),1,0))</f>
      </c>
      <c r="H6933" s="43">
        <f>IF($G6933=1,INDEX(DarlSollzins,15),INDEX(DarlAnschluss,15))</f>
      </c>
      <c r="I6933" s="43">
        <f>IF(INDEX(DarlBelegt,15)=0,0,IF(INDEX(DarlOhneTilgung,15)=1,IF(INDEX(DarlBindung,15)="",1,$G6933),IF($J6933&gt;0.005,1,0)))</f>
      </c>
      <c r="J6933" s="43">
        <f>IF($I6932=0,0,$R6932)</f>
      </c>
      <c r="K6933" s="43">
        <f>IF($I6933=0,0,IF(INDEX(DarlOhneTilgung,15)=1,0,IF(AND(INDEX(DarlTilgStart,15)&gt;0,$E6933=INDEX(DarlTilgStart,15)),$J6933*($H6933+INDEX(DarlTilgung,15))/100/12,IF(AND($G6933=0,$G6932=1),MAX($K6932,$J6933*($H6933+1)/100/12),$K6932))))</f>
      </c>
      <c r="L6933" s="43">
        <f>IF($I6933=0,0,$J6933*$H6933/100/12)</f>
      </c>
      <c r="M6933" s="43">
        <f>IF($I6933=0,0,IF(OR(INDEX(DarlOhneTilgung,15)=1,AND(INDEX(DarlTilgStart,15)&gt;0,$E6933&lt;INDEX(DarlTilgStart,15))),0,MIN(MAX(0,$K6933-$L6933),$J6933)))</f>
      </c>
      <c r="N6933" s="43">
        <f>IF($I6933=0,0,MIN(SUMIFS(SondBetrag,SondDarl,15,SondDatum,"&gt;="&amp;$E6933,SondDatum,"&lt;="&amp;EOMONTH($E6933,0)),$J6933-$M6933))</f>
      </c>
      <c r="O6933" s="43">
        <f>IF($I6933=0,0,INDEX(DarlErsatzRate,15))</f>
      </c>
      <c r="P6933" s="43">
        <f>IF($I6933=0,0,$Q6932*INDEX(DarlErsatzZins,15))</f>
      </c>
      <c r="Q6933" s="43">
        <f>IF($I6933=0,0,$Q6932+$P6933+$O6933)</f>
      </c>
      <c r="R6933" s="43">
        <f>IF($I6933=0,0,$J6933-$M6933-$N6933)</f>
      </c>
    </row>
    <row r="6934">
      <c r="A6934"/>
      <c r="B6934">
        <v>15</v>
      </c>
      <c r="C6934" s="43">
        <f>INDEX(DarlObj,15)</f>
      </c>
      <c r="D6934">
        <v>211</v>
      </c>
      <c r="E6934" s="51">
        <f>IF(INDEX(DarlBelegt,15)=0,0,EOMONTH(INDEX(DarlAuszahlung,15),210)+1)</f>
      </c>
      <c r="F6934" s="43">
        <f>IF($E6934=0,0,YEAR($E6934))</f>
      </c>
      <c r="G6934" s="43">
        <f>IF(INDEX(DarlBindung,15)="",1,IF($E6934&lt;=INDEX(DarlBindung,15),1,0))</f>
      </c>
      <c r="H6934" s="43">
        <f>IF($G6934=1,INDEX(DarlSollzins,15),INDEX(DarlAnschluss,15))</f>
      </c>
      <c r="I6934" s="43">
        <f>IF(INDEX(DarlBelegt,15)=0,0,IF(INDEX(DarlOhneTilgung,15)=1,IF(INDEX(DarlBindung,15)="",1,$G6934),IF($J6934&gt;0.005,1,0)))</f>
      </c>
      <c r="J6934" s="43">
        <f>IF($I6933=0,0,$R6933)</f>
      </c>
      <c r="K6934" s="43">
        <f>IF($I6934=0,0,IF(INDEX(DarlOhneTilgung,15)=1,0,IF(AND(INDEX(DarlTilgStart,15)&gt;0,$E6934=INDEX(DarlTilgStart,15)),$J6934*($H6934+INDEX(DarlTilgung,15))/100/12,IF(AND($G6934=0,$G6933=1),MAX($K6933,$J6934*($H6934+1)/100/12),$K6933))))</f>
      </c>
      <c r="L6934" s="43">
        <f>IF($I6934=0,0,$J6934*$H6934/100/12)</f>
      </c>
      <c r="M6934" s="43">
        <f>IF($I6934=0,0,IF(OR(INDEX(DarlOhneTilgung,15)=1,AND(INDEX(DarlTilgStart,15)&gt;0,$E6934&lt;INDEX(DarlTilgStart,15))),0,MIN(MAX(0,$K6934-$L6934),$J6934)))</f>
      </c>
      <c r="N6934" s="43">
        <f>IF($I6934=0,0,MIN(SUMIFS(SondBetrag,SondDarl,15,SondDatum,"&gt;="&amp;$E6934,SondDatum,"&lt;="&amp;EOMONTH($E6934,0)),$J6934-$M6934))</f>
      </c>
      <c r="O6934" s="43">
        <f>IF($I6934=0,0,INDEX(DarlErsatzRate,15))</f>
      </c>
      <c r="P6934" s="43">
        <f>IF($I6934=0,0,$Q6933*INDEX(DarlErsatzZins,15))</f>
      </c>
      <c r="Q6934" s="43">
        <f>IF($I6934=0,0,$Q6933+$P6934+$O6934)</f>
      </c>
      <c r="R6934" s="43">
        <f>IF($I6934=0,0,$J6934-$M6934-$N6934)</f>
      </c>
    </row>
    <row r="6935">
      <c r="A6935"/>
      <c r="B6935">
        <v>15</v>
      </c>
      <c r="C6935" s="43">
        <f>INDEX(DarlObj,15)</f>
      </c>
      <c r="D6935">
        <v>212</v>
      </c>
      <c r="E6935" s="51">
        <f>IF(INDEX(DarlBelegt,15)=0,0,EOMONTH(INDEX(DarlAuszahlung,15),211)+1)</f>
      </c>
      <c r="F6935" s="43">
        <f>IF($E6935=0,0,YEAR($E6935))</f>
      </c>
      <c r="G6935" s="43">
        <f>IF(INDEX(DarlBindung,15)="",1,IF($E6935&lt;=INDEX(DarlBindung,15),1,0))</f>
      </c>
      <c r="H6935" s="43">
        <f>IF($G6935=1,INDEX(DarlSollzins,15),INDEX(DarlAnschluss,15))</f>
      </c>
      <c r="I6935" s="43">
        <f>IF(INDEX(DarlBelegt,15)=0,0,IF(INDEX(DarlOhneTilgung,15)=1,IF(INDEX(DarlBindung,15)="",1,$G6935),IF($J6935&gt;0.005,1,0)))</f>
      </c>
      <c r="J6935" s="43">
        <f>IF($I6934=0,0,$R6934)</f>
      </c>
      <c r="K6935" s="43">
        <f>IF($I6935=0,0,IF(INDEX(DarlOhneTilgung,15)=1,0,IF(AND(INDEX(DarlTilgStart,15)&gt;0,$E6935=INDEX(DarlTilgStart,15)),$J6935*($H6935+INDEX(DarlTilgung,15))/100/12,IF(AND($G6935=0,$G6934=1),MAX($K6934,$J6935*($H6935+1)/100/12),$K6934))))</f>
      </c>
      <c r="L6935" s="43">
        <f>IF($I6935=0,0,$J6935*$H6935/100/12)</f>
      </c>
      <c r="M6935" s="43">
        <f>IF($I6935=0,0,IF(OR(INDEX(DarlOhneTilgung,15)=1,AND(INDEX(DarlTilgStart,15)&gt;0,$E6935&lt;INDEX(DarlTilgStart,15))),0,MIN(MAX(0,$K6935-$L6935),$J6935)))</f>
      </c>
      <c r="N6935" s="43">
        <f>IF($I6935=0,0,MIN(SUMIFS(SondBetrag,SondDarl,15,SondDatum,"&gt;="&amp;$E6935,SondDatum,"&lt;="&amp;EOMONTH($E6935,0)),$J6935-$M6935))</f>
      </c>
      <c r="O6935" s="43">
        <f>IF($I6935=0,0,INDEX(DarlErsatzRate,15))</f>
      </c>
      <c r="P6935" s="43">
        <f>IF($I6935=0,0,$Q6934*INDEX(DarlErsatzZins,15))</f>
      </c>
      <c r="Q6935" s="43">
        <f>IF($I6935=0,0,$Q6934+$P6935+$O6935)</f>
      </c>
      <c r="R6935" s="43">
        <f>IF($I6935=0,0,$J6935-$M6935-$N6935)</f>
      </c>
    </row>
    <row r="6936">
      <c r="A6936"/>
      <c r="B6936">
        <v>15</v>
      </c>
      <c r="C6936" s="43">
        <f>INDEX(DarlObj,15)</f>
      </c>
      <c r="D6936">
        <v>213</v>
      </c>
      <c r="E6936" s="51">
        <f>IF(INDEX(DarlBelegt,15)=0,0,EOMONTH(INDEX(DarlAuszahlung,15),212)+1)</f>
      </c>
      <c r="F6936" s="43">
        <f>IF($E6936=0,0,YEAR($E6936))</f>
      </c>
      <c r="G6936" s="43">
        <f>IF(INDEX(DarlBindung,15)="",1,IF($E6936&lt;=INDEX(DarlBindung,15),1,0))</f>
      </c>
      <c r="H6936" s="43">
        <f>IF($G6936=1,INDEX(DarlSollzins,15),INDEX(DarlAnschluss,15))</f>
      </c>
      <c r="I6936" s="43">
        <f>IF(INDEX(DarlBelegt,15)=0,0,IF(INDEX(DarlOhneTilgung,15)=1,IF(INDEX(DarlBindung,15)="",1,$G6936),IF($J6936&gt;0.005,1,0)))</f>
      </c>
      <c r="J6936" s="43">
        <f>IF($I6935=0,0,$R6935)</f>
      </c>
      <c r="K6936" s="43">
        <f>IF($I6936=0,0,IF(INDEX(DarlOhneTilgung,15)=1,0,IF(AND(INDEX(DarlTilgStart,15)&gt;0,$E6936=INDEX(DarlTilgStart,15)),$J6936*($H6936+INDEX(DarlTilgung,15))/100/12,IF(AND($G6936=0,$G6935=1),MAX($K6935,$J6936*($H6936+1)/100/12),$K6935))))</f>
      </c>
      <c r="L6936" s="43">
        <f>IF($I6936=0,0,$J6936*$H6936/100/12)</f>
      </c>
      <c r="M6936" s="43">
        <f>IF($I6936=0,0,IF(OR(INDEX(DarlOhneTilgung,15)=1,AND(INDEX(DarlTilgStart,15)&gt;0,$E6936&lt;INDEX(DarlTilgStart,15))),0,MIN(MAX(0,$K6936-$L6936),$J6936)))</f>
      </c>
      <c r="N6936" s="43">
        <f>IF($I6936=0,0,MIN(SUMIFS(SondBetrag,SondDarl,15,SondDatum,"&gt;="&amp;$E6936,SondDatum,"&lt;="&amp;EOMONTH($E6936,0)),$J6936-$M6936))</f>
      </c>
      <c r="O6936" s="43">
        <f>IF($I6936=0,0,INDEX(DarlErsatzRate,15))</f>
      </c>
      <c r="P6936" s="43">
        <f>IF($I6936=0,0,$Q6935*INDEX(DarlErsatzZins,15))</f>
      </c>
      <c r="Q6936" s="43">
        <f>IF($I6936=0,0,$Q6935+$P6936+$O6936)</f>
      </c>
      <c r="R6936" s="43">
        <f>IF($I6936=0,0,$J6936-$M6936-$N6936)</f>
      </c>
    </row>
    <row r="6937">
      <c r="A6937"/>
      <c r="B6937">
        <v>15</v>
      </c>
      <c r="C6937" s="43">
        <f>INDEX(DarlObj,15)</f>
      </c>
      <c r="D6937">
        <v>214</v>
      </c>
      <c r="E6937" s="51">
        <f>IF(INDEX(DarlBelegt,15)=0,0,EOMONTH(INDEX(DarlAuszahlung,15),213)+1)</f>
      </c>
      <c r="F6937" s="43">
        <f>IF($E6937=0,0,YEAR($E6937))</f>
      </c>
      <c r="G6937" s="43">
        <f>IF(INDEX(DarlBindung,15)="",1,IF($E6937&lt;=INDEX(DarlBindung,15),1,0))</f>
      </c>
      <c r="H6937" s="43">
        <f>IF($G6937=1,INDEX(DarlSollzins,15),INDEX(DarlAnschluss,15))</f>
      </c>
      <c r="I6937" s="43">
        <f>IF(INDEX(DarlBelegt,15)=0,0,IF(INDEX(DarlOhneTilgung,15)=1,IF(INDEX(DarlBindung,15)="",1,$G6937),IF($J6937&gt;0.005,1,0)))</f>
      </c>
      <c r="J6937" s="43">
        <f>IF($I6936=0,0,$R6936)</f>
      </c>
      <c r="K6937" s="43">
        <f>IF($I6937=0,0,IF(INDEX(DarlOhneTilgung,15)=1,0,IF(AND(INDEX(DarlTilgStart,15)&gt;0,$E6937=INDEX(DarlTilgStart,15)),$J6937*($H6937+INDEX(DarlTilgung,15))/100/12,IF(AND($G6937=0,$G6936=1),MAX($K6936,$J6937*($H6937+1)/100/12),$K6936))))</f>
      </c>
      <c r="L6937" s="43">
        <f>IF($I6937=0,0,$J6937*$H6937/100/12)</f>
      </c>
      <c r="M6937" s="43">
        <f>IF($I6937=0,0,IF(OR(INDEX(DarlOhneTilgung,15)=1,AND(INDEX(DarlTilgStart,15)&gt;0,$E6937&lt;INDEX(DarlTilgStart,15))),0,MIN(MAX(0,$K6937-$L6937),$J6937)))</f>
      </c>
      <c r="N6937" s="43">
        <f>IF($I6937=0,0,MIN(SUMIFS(SondBetrag,SondDarl,15,SondDatum,"&gt;="&amp;$E6937,SondDatum,"&lt;="&amp;EOMONTH($E6937,0)),$J6937-$M6937))</f>
      </c>
      <c r="O6937" s="43">
        <f>IF($I6937=0,0,INDEX(DarlErsatzRate,15))</f>
      </c>
      <c r="P6937" s="43">
        <f>IF($I6937=0,0,$Q6936*INDEX(DarlErsatzZins,15))</f>
      </c>
      <c r="Q6937" s="43">
        <f>IF($I6937=0,0,$Q6936+$P6937+$O6937)</f>
      </c>
      <c r="R6937" s="43">
        <f>IF($I6937=0,0,$J6937-$M6937-$N6937)</f>
      </c>
    </row>
    <row r="6938">
      <c r="A6938"/>
      <c r="B6938">
        <v>15</v>
      </c>
      <c r="C6938" s="43">
        <f>INDEX(DarlObj,15)</f>
      </c>
      <c r="D6938">
        <v>215</v>
      </c>
      <c r="E6938" s="51">
        <f>IF(INDEX(DarlBelegt,15)=0,0,EOMONTH(INDEX(DarlAuszahlung,15),214)+1)</f>
      </c>
      <c r="F6938" s="43">
        <f>IF($E6938=0,0,YEAR($E6938))</f>
      </c>
      <c r="G6938" s="43">
        <f>IF(INDEX(DarlBindung,15)="",1,IF($E6938&lt;=INDEX(DarlBindung,15),1,0))</f>
      </c>
      <c r="H6938" s="43">
        <f>IF($G6938=1,INDEX(DarlSollzins,15),INDEX(DarlAnschluss,15))</f>
      </c>
      <c r="I6938" s="43">
        <f>IF(INDEX(DarlBelegt,15)=0,0,IF(INDEX(DarlOhneTilgung,15)=1,IF(INDEX(DarlBindung,15)="",1,$G6938),IF($J6938&gt;0.005,1,0)))</f>
      </c>
      <c r="J6938" s="43">
        <f>IF($I6937=0,0,$R6937)</f>
      </c>
      <c r="K6938" s="43">
        <f>IF($I6938=0,0,IF(INDEX(DarlOhneTilgung,15)=1,0,IF(AND(INDEX(DarlTilgStart,15)&gt;0,$E6938=INDEX(DarlTilgStart,15)),$J6938*($H6938+INDEX(DarlTilgung,15))/100/12,IF(AND($G6938=0,$G6937=1),MAX($K6937,$J6938*($H6938+1)/100/12),$K6937))))</f>
      </c>
      <c r="L6938" s="43">
        <f>IF($I6938=0,0,$J6938*$H6938/100/12)</f>
      </c>
      <c r="M6938" s="43">
        <f>IF($I6938=0,0,IF(OR(INDEX(DarlOhneTilgung,15)=1,AND(INDEX(DarlTilgStart,15)&gt;0,$E6938&lt;INDEX(DarlTilgStart,15))),0,MIN(MAX(0,$K6938-$L6938),$J6938)))</f>
      </c>
      <c r="N6938" s="43">
        <f>IF($I6938=0,0,MIN(SUMIFS(SondBetrag,SondDarl,15,SondDatum,"&gt;="&amp;$E6938,SondDatum,"&lt;="&amp;EOMONTH($E6938,0)),$J6938-$M6938))</f>
      </c>
      <c r="O6938" s="43">
        <f>IF($I6938=0,0,INDEX(DarlErsatzRate,15))</f>
      </c>
      <c r="P6938" s="43">
        <f>IF($I6938=0,0,$Q6937*INDEX(DarlErsatzZins,15))</f>
      </c>
      <c r="Q6938" s="43">
        <f>IF($I6938=0,0,$Q6937+$P6938+$O6938)</f>
      </c>
      <c r="R6938" s="43">
        <f>IF($I6938=0,0,$J6938-$M6938-$N6938)</f>
      </c>
    </row>
    <row r="6939">
      <c r="A6939"/>
      <c r="B6939">
        <v>15</v>
      </c>
      <c r="C6939" s="43">
        <f>INDEX(DarlObj,15)</f>
      </c>
      <c r="D6939">
        <v>216</v>
      </c>
      <c r="E6939" s="51">
        <f>IF(INDEX(DarlBelegt,15)=0,0,EOMONTH(INDEX(DarlAuszahlung,15),215)+1)</f>
      </c>
      <c r="F6939" s="43">
        <f>IF($E6939=0,0,YEAR($E6939))</f>
      </c>
      <c r="G6939" s="43">
        <f>IF(INDEX(DarlBindung,15)="",1,IF($E6939&lt;=INDEX(DarlBindung,15),1,0))</f>
      </c>
      <c r="H6939" s="43">
        <f>IF($G6939=1,INDEX(DarlSollzins,15),INDEX(DarlAnschluss,15))</f>
      </c>
      <c r="I6939" s="43">
        <f>IF(INDEX(DarlBelegt,15)=0,0,IF(INDEX(DarlOhneTilgung,15)=1,IF(INDEX(DarlBindung,15)="",1,$G6939),IF($J6939&gt;0.005,1,0)))</f>
      </c>
      <c r="J6939" s="43">
        <f>IF($I6938=0,0,$R6938)</f>
      </c>
      <c r="K6939" s="43">
        <f>IF($I6939=0,0,IF(INDEX(DarlOhneTilgung,15)=1,0,IF(AND(INDEX(DarlTilgStart,15)&gt;0,$E6939=INDEX(DarlTilgStart,15)),$J6939*($H6939+INDEX(DarlTilgung,15))/100/12,IF(AND($G6939=0,$G6938=1),MAX($K6938,$J6939*($H6939+1)/100/12),$K6938))))</f>
      </c>
      <c r="L6939" s="43">
        <f>IF($I6939=0,0,$J6939*$H6939/100/12)</f>
      </c>
      <c r="M6939" s="43">
        <f>IF($I6939=0,0,IF(OR(INDEX(DarlOhneTilgung,15)=1,AND(INDEX(DarlTilgStart,15)&gt;0,$E6939&lt;INDEX(DarlTilgStart,15))),0,MIN(MAX(0,$K6939-$L6939),$J6939)))</f>
      </c>
      <c r="N6939" s="43">
        <f>IF($I6939=0,0,MIN(SUMIFS(SondBetrag,SondDarl,15,SondDatum,"&gt;="&amp;$E6939,SondDatum,"&lt;="&amp;EOMONTH($E6939,0)),$J6939-$M6939))</f>
      </c>
      <c r="O6939" s="43">
        <f>IF($I6939=0,0,INDEX(DarlErsatzRate,15))</f>
      </c>
      <c r="P6939" s="43">
        <f>IF($I6939=0,0,$Q6938*INDEX(DarlErsatzZins,15))</f>
      </c>
      <c r="Q6939" s="43">
        <f>IF($I6939=0,0,$Q6938+$P6939+$O6939)</f>
      </c>
      <c r="R6939" s="43">
        <f>IF($I6939=0,0,$J6939-$M6939-$N6939)</f>
      </c>
    </row>
    <row r="6940">
      <c r="A6940"/>
      <c r="B6940">
        <v>15</v>
      </c>
      <c r="C6940" s="43">
        <f>INDEX(DarlObj,15)</f>
      </c>
      <c r="D6940">
        <v>217</v>
      </c>
      <c r="E6940" s="51">
        <f>IF(INDEX(DarlBelegt,15)=0,0,EOMONTH(INDEX(DarlAuszahlung,15),216)+1)</f>
      </c>
      <c r="F6940" s="43">
        <f>IF($E6940=0,0,YEAR($E6940))</f>
      </c>
      <c r="G6940" s="43">
        <f>IF(INDEX(DarlBindung,15)="",1,IF($E6940&lt;=INDEX(DarlBindung,15),1,0))</f>
      </c>
      <c r="H6940" s="43">
        <f>IF($G6940=1,INDEX(DarlSollzins,15),INDEX(DarlAnschluss,15))</f>
      </c>
      <c r="I6940" s="43">
        <f>IF(INDEX(DarlBelegt,15)=0,0,IF(INDEX(DarlOhneTilgung,15)=1,IF(INDEX(DarlBindung,15)="",1,$G6940),IF($J6940&gt;0.005,1,0)))</f>
      </c>
      <c r="J6940" s="43">
        <f>IF($I6939=0,0,$R6939)</f>
      </c>
      <c r="K6940" s="43">
        <f>IF($I6940=0,0,IF(INDEX(DarlOhneTilgung,15)=1,0,IF(AND(INDEX(DarlTilgStart,15)&gt;0,$E6940=INDEX(DarlTilgStart,15)),$J6940*($H6940+INDEX(DarlTilgung,15))/100/12,IF(AND($G6940=0,$G6939=1),MAX($K6939,$J6940*($H6940+1)/100/12),$K6939))))</f>
      </c>
      <c r="L6940" s="43">
        <f>IF($I6940=0,0,$J6940*$H6940/100/12)</f>
      </c>
      <c r="M6940" s="43">
        <f>IF($I6940=0,0,IF(OR(INDEX(DarlOhneTilgung,15)=1,AND(INDEX(DarlTilgStart,15)&gt;0,$E6940&lt;INDEX(DarlTilgStart,15))),0,MIN(MAX(0,$K6940-$L6940),$J6940)))</f>
      </c>
      <c r="N6940" s="43">
        <f>IF($I6940=0,0,MIN(SUMIFS(SondBetrag,SondDarl,15,SondDatum,"&gt;="&amp;$E6940,SondDatum,"&lt;="&amp;EOMONTH($E6940,0)),$J6940-$M6940))</f>
      </c>
      <c r="O6940" s="43">
        <f>IF($I6940=0,0,INDEX(DarlErsatzRate,15))</f>
      </c>
      <c r="P6940" s="43">
        <f>IF($I6940=0,0,$Q6939*INDEX(DarlErsatzZins,15))</f>
      </c>
      <c r="Q6940" s="43">
        <f>IF($I6940=0,0,$Q6939+$P6940+$O6940)</f>
      </c>
      <c r="R6940" s="43">
        <f>IF($I6940=0,0,$J6940-$M6940-$N6940)</f>
      </c>
    </row>
    <row r="6941">
      <c r="A6941"/>
      <c r="B6941">
        <v>15</v>
      </c>
      <c r="C6941" s="43">
        <f>INDEX(DarlObj,15)</f>
      </c>
      <c r="D6941">
        <v>218</v>
      </c>
      <c r="E6941" s="51">
        <f>IF(INDEX(DarlBelegt,15)=0,0,EOMONTH(INDEX(DarlAuszahlung,15),217)+1)</f>
      </c>
      <c r="F6941" s="43">
        <f>IF($E6941=0,0,YEAR($E6941))</f>
      </c>
      <c r="G6941" s="43">
        <f>IF(INDEX(DarlBindung,15)="",1,IF($E6941&lt;=INDEX(DarlBindung,15),1,0))</f>
      </c>
      <c r="H6941" s="43">
        <f>IF($G6941=1,INDEX(DarlSollzins,15),INDEX(DarlAnschluss,15))</f>
      </c>
      <c r="I6941" s="43">
        <f>IF(INDEX(DarlBelegt,15)=0,0,IF(INDEX(DarlOhneTilgung,15)=1,IF(INDEX(DarlBindung,15)="",1,$G6941),IF($J6941&gt;0.005,1,0)))</f>
      </c>
      <c r="J6941" s="43">
        <f>IF($I6940=0,0,$R6940)</f>
      </c>
      <c r="K6941" s="43">
        <f>IF($I6941=0,0,IF(INDEX(DarlOhneTilgung,15)=1,0,IF(AND(INDEX(DarlTilgStart,15)&gt;0,$E6941=INDEX(DarlTilgStart,15)),$J6941*($H6941+INDEX(DarlTilgung,15))/100/12,IF(AND($G6941=0,$G6940=1),MAX($K6940,$J6941*($H6941+1)/100/12),$K6940))))</f>
      </c>
      <c r="L6941" s="43">
        <f>IF($I6941=0,0,$J6941*$H6941/100/12)</f>
      </c>
      <c r="M6941" s="43">
        <f>IF($I6941=0,0,IF(OR(INDEX(DarlOhneTilgung,15)=1,AND(INDEX(DarlTilgStart,15)&gt;0,$E6941&lt;INDEX(DarlTilgStart,15))),0,MIN(MAX(0,$K6941-$L6941),$J6941)))</f>
      </c>
      <c r="N6941" s="43">
        <f>IF($I6941=0,0,MIN(SUMIFS(SondBetrag,SondDarl,15,SondDatum,"&gt;="&amp;$E6941,SondDatum,"&lt;="&amp;EOMONTH($E6941,0)),$J6941-$M6941))</f>
      </c>
      <c r="O6941" s="43">
        <f>IF($I6941=0,0,INDEX(DarlErsatzRate,15))</f>
      </c>
      <c r="P6941" s="43">
        <f>IF($I6941=0,0,$Q6940*INDEX(DarlErsatzZins,15))</f>
      </c>
      <c r="Q6941" s="43">
        <f>IF($I6941=0,0,$Q6940+$P6941+$O6941)</f>
      </c>
      <c r="R6941" s="43">
        <f>IF($I6941=0,0,$J6941-$M6941-$N6941)</f>
      </c>
    </row>
    <row r="6942">
      <c r="A6942"/>
      <c r="B6942">
        <v>15</v>
      </c>
      <c r="C6942" s="43">
        <f>INDEX(DarlObj,15)</f>
      </c>
      <c r="D6942">
        <v>219</v>
      </c>
      <c r="E6942" s="51">
        <f>IF(INDEX(DarlBelegt,15)=0,0,EOMONTH(INDEX(DarlAuszahlung,15),218)+1)</f>
      </c>
      <c r="F6942" s="43">
        <f>IF($E6942=0,0,YEAR($E6942))</f>
      </c>
      <c r="G6942" s="43">
        <f>IF(INDEX(DarlBindung,15)="",1,IF($E6942&lt;=INDEX(DarlBindung,15),1,0))</f>
      </c>
      <c r="H6942" s="43">
        <f>IF($G6942=1,INDEX(DarlSollzins,15),INDEX(DarlAnschluss,15))</f>
      </c>
      <c r="I6942" s="43">
        <f>IF(INDEX(DarlBelegt,15)=0,0,IF(INDEX(DarlOhneTilgung,15)=1,IF(INDEX(DarlBindung,15)="",1,$G6942),IF($J6942&gt;0.005,1,0)))</f>
      </c>
      <c r="J6942" s="43">
        <f>IF($I6941=0,0,$R6941)</f>
      </c>
      <c r="K6942" s="43">
        <f>IF($I6942=0,0,IF(INDEX(DarlOhneTilgung,15)=1,0,IF(AND(INDEX(DarlTilgStart,15)&gt;0,$E6942=INDEX(DarlTilgStart,15)),$J6942*($H6942+INDEX(DarlTilgung,15))/100/12,IF(AND($G6942=0,$G6941=1),MAX($K6941,$J6942*($H6942+1)/100/12),$K6941))))</f>
      </c>
      <c r="L6942" s="43">
        <f>IF($I6942=0,0,$J6942*$H6942/100/12)</f>
      </c>
      <c r="M6942" s="43">
        <f>IF($I6942=0,0,IF(OR(INDEX(DarlOhneTilgung,15)=1,AND(INDEX(DarlTilgStart,15)&gt;0,$E6942&lt;INDEX(DarlTilgStart,15))),0,MIN(MAX(0,$K6942-$L6942),$J6942)))</f>
      </c>
      <c r="N6942" s="43">
        <f>IF($I6942=0,0,MIN(SUMIFS(SondBetrag,SondDarl,15,SondDatum,"&gt;="&amp;$E6942,SondDatum,"&lt;="&amp;EOMONTH($E6942,0)),$J6942-$M6942))</f>
      </c>
      <c r="O6942" s="43">
        <f>IF($I6942=0,0,INDEX(DarlErsatzRate,15))</f>
      </c>
      <c r="P6942" s="43">
        <f>IF($I6942=0,0,$Q6941*INDEX(DarlErsatzZins,15))</f>
      </c>
      <c r="Q6942" s="43">
        <f>IF($I6942=0,0,$Q6941+$P6942+$O6942)</f>
      </c>
      <c r="R6942" s="43">
        <f>IF($I6942=0,0,$J6942-$M6942-$N6942)</f>
      </c>
    </row>
    <row r="6943">
      <c r="A6943"/>
      <c r="B6943">
        <v>15</v>
      </c>
      <c r="C6943" s="43">
        <f>INDEX(DarlObj,15)</f>
      </c>
      <c r="D6943">
        <v>220</v>
      </c>
      <c r="E6943" s="51">
        <f>IF(INDEX(DarlBelegt,15)=0,0,EOMONTH(INDEX(DarlAuszahlung,15),219)+1)</f>
      </c>
      <c r="F6943" s="43">
        <f>IF($E6943=0,0,YEAR($E6943))</f>
      </c>
      <c r="G6943" s="43">
        <f>IF(INDEX(DarlBindung,15)="",1,IF($E6943&lt;=INDEX(DarlBindung,15),1,0))</f>
      </c>
      <c r="H6943" s="43">
        <f>IF($G6943=1,INDEX(DarlSollzins,15),INDEX(DarlAnschluss,15))</f>
      </c>
      <c r="I6943" s="43">
        <f>IF(INDEX(DarlBelegt,15)=0,0,IF(INDEX(DarlOhneTilgung,15)=1,IF(INDEX(DarlBindung,15)="",1,$G6943),IF($J6943&gt;0.005,1,0)))</f>
      </c>
      <c r="J6943" s="43">
        <f>IF($I6942=0,0,$R6942)</f>
      </c>
      <c r="K6943" s="43">
        <f>IF($I6943=0,0,IF(INDEX(DarlOhneTilgung,15)=1,0,IF(AND(INDEX(DarlTilgStart,15)&gt;0,$E6943=INDEX(DarlTilgStart,15)),$J6943*($H6943+INDEX(DarlTilgung,15))/100/12,IF(AND($G6943=0,$G6942=1),MAX($K6942,$J6943*($H6943+1)/100/12),$K6942))))</f>
      </c>
      <c r="L6943" s="43">
        <f>IF($I6943=0,0,$J6943*$H6943/100/12)</f>
      </c>
      <c r="M6943" s="43">
        <f>IF($I6943=0,0,IF(OR(INDEX(DarlOhneTilgung,15)=1,AND(INDEX(DarlTilgStart,15)&gt;0,$E6943&lt;INDEX(DarlTilgStart,15))),0,MIN(MAX(0,$K6943-$L6943),$J6943)))</f>
      </c>
      <c r="N6943" s="43">
        <f>IF($I6943=0,0,MIN(SUMIFS(SondBetrag,SondDarl,15,SondDatum,"&gt;="&amp;$E6943,SondDatum,"&lt;="&amp;EOMONTH($E6943,0)),$J6943-$M6943))</f>
      </c>
      <c r="O6943" s="43">
        <f>IF($I6943=0,0,INDEX(DarlErsatzRate,15))</f>
      </c>
      <c r="P6943" s="43">
        <f>IF($I6943=0,0,$Q6942*INDEX(DarlErsatzZins,15))</f>
      </c>
      <c r="Q6943" s="43">
        <f>IF($I6943=0,0,$Q6942+$P6943+$O6943)</f>
      </c>
      <c r="R6943" s="43">
        <f>IF($I6943=0,0,$J6943-$M6943-$N6943)</f>
      </c>
    </row>
    <row r="6944">
      <c r="A6944"/>
      <c r="B6944">
        <v>15</v>
      </c>
      <c r="C6944" s="43">
        <f>INDEX(DarlObj,15)</f>
      </c>
      <c r="D6944">
        <v>221</v>
      </c>
      <c r="E6944" s="51">
        <f>IF(INDEX(DarlBelegt,15)=0,0,EOMONTH(INDEX(DarlAuszahlung,15),220)+1)</f>
      </c>
      <c r="F6944" s="43">
        <f>IF($E6944=0,0,YEAR($E6944))</f>
      </c>
      <c r="G6944" s="43">
        <f>IF(INDEX(DarlBindung,15)="",1,IF($E6944&lt;=INDEX(DarlBindung,15),1,0))</f>
      </c>
      <c r="H6944" s="43">
        <f>IF($G6944=1,INDEX(DarlSollzins,15),INDEX(DarlAnschluss,15))</f>
      </c>
      <c r="I6944" s="43">
        <f>IF(INDEX(DarlBelegt,15)=0,0,IF(INDEX(DarlOhneTilgung,15)=1,IF(INDEX(DarlBindung,15)="",1,$G6944),IF($J6944&gt;0.005,1,0)))</f>
      </c>
      <c r="J6944" s="43">
        <f>IF($I6943=0,0,$R6943)</f>
      </c>
      <c r="K6944" s="43">
        <f>IF($I6944=0,0,IF(INDEX(DarlOhneTilgung,15)=1,0,IF(AND(INDEX(DarlTilgStart,15)&gt;0,$E6944=INDEX(DarlTilgStart,15)),$J6944*($H6944+INDEX(DarlTilgung,15))/100/12,IF(AND($G6944=0,$G6943=1),MAX($K6943,$J6944*($H6944+1)/100/12),$K6943))))</f>
      </c>
      <c r="L6944" s="43">
        <f>IF($I6944=0,0,$J6944*$H6944/100/12)</f>
      </c>
      <c r="M6944" s="43">
        <f>IF($I6944=0,0,IF(OR(INDEX(DarlOhneTilgung,15)=1,AND(INDEX(DarlTilgStart,15)&gt;0,$E6944&lt;INDEX(DarlTilgStart,15))),0,MIN(MAX(0,$K6944-$L6944),$J6944)))</f>
      </c>
      <c r="N6944" s="43">
        <f>IF($I6944=0,0,MIN(SUMIFS(SondBetrag,SondDarl,15,SondDatum,"&gt;="&amp;$E6944,SondDatum,"&lt;="&amp;EOMONTH($E6944,0)),$J6944-$M6944))</f>
      </c>
      <c r="O6944" s="43">
        <f>IF($I6944=0,0,INDEX(DarlErsatzRate,15))</f>
      </c>
      <c r="P6944" s="43">
        <f>IF($I6944=0,0,$Q6943*INDEX(DarlErsatzZins,15))</f>
      </c>
      <c r="Q6944" s="43">
        <f>IF($I6944=0,0,$Q6943+$P6944+$O6944)</f>
      </c>
      <c r="R6944" s="43">
        <f>IF($I6944=0,0,$J6944-$M6944-$N6944)</f>
      </c>
    </row>
    <row r="6945">
      <c r="A6945"/>
      <c r="B6945">
        <v>15</v>
      </c>
      <c r="C6945" s="43">
        <f>INDEX(DarlObj,15)</f>
      </c>
      <c r="D6945">
        <v>222</v>
      </c>
      <c r="E6945" s="51">
        <f>IF(INDEX(DarlBelegt,15)=0,0,EOMONTH(INDEX(DarlAuszahlung,15),221)+1)</f>
      </c>
      <c r="F6945" s="43">
        <f>IF($E6945=0,0,YEAR($E6945))</f>
      </c>
      <c r="G6945" s="43">
        <f>IF(INDEX(DarlBindung,15)="",1,IF($E6945&lt;=INDEX(DarlBindung,15),1,0))</f>
      </c>
      <c r="H6945" s="43">
        <f>IF($G6945=1,INDEX(DarlSollzins,15),INDEX(DarlAnschluss,15))</f>
      </c>
      <c r="I6945" s="43">
        <f>IF(INDEX(DarlBelegt,15)=0,0,IF(INDEX(DarlOhneTilgung,15)=1,IF(INDEX(DarlBindung,15)="",1,$G6945),IF($J6945&gt;0.005,1,0)))</f>
      </c>
      <c r="J6945" s="43">
        <f>IF($I6944=0,0,$R6944)</f>
      </c>
      <c r="K6945" s="43">
        <f>IF($I6945=0,0,IF(INDEX(DarlOhneTilgung,15)=1,0,IF(AND(INDEX(DarlTilgStart,15)&gt;0,$E6945=INDEX(DarlTilgStart,15)),$J6945*($H6945+INDEX(DarlTilgung,15))/100/12,IF(AND($G6945=0,$G6944=1),MAX($K6944,$J6945*($H6945+1)/100/12),$K6944))))</f>
      </c>
      <c r="L6945" s="43">
        <f>IF($I6945=0,0,$J6945*$H6945/100/12)</f>
      </c>
      <c r="M6945" s="43">
        <f>IF($I6945=0,0,IF(OR(INDEX(DarlOhneTilgung,15)=1,AND(INDEX(DarlTilgStart,15)&gt;0,$E6945&lt;INDEX(DarlTilgStart,15))),0,MIN(MAX(0,$K6945-$L6945),$J6945)))</f>
      </c>
      <c r="N6945" s="43">
        <f>IF($I6945=0,0,MIN(SUMIFS(SondBetrag,SondDarl,15,SondDatum,"&gt;="&amp;$E6945,SondDatum,"&lt;="&amp;EOMONTH($E6945,0)),$J6945-$M6945))</f>
      </c>
      <c r="O6945" s="43">
        <f>IF($I6945=0,0,INDEX(DarlErsatzRate,15))</f>
      </c>
      <c r="P6945" s="43">
        <f>IF($I6945=0,0,$Q6944*INDEX(DarlErsatzZins,15))</f>
      </c>
      <c r="Q6945" s="43">
        <f>IF($I6945=0,0,$Q6944+$P6945+$O6945)</f>
      </c>
      <c r="R6945" s="43">
        <f>IF($I6945=0,0,$J6945-$M6945-$N6945)</f>
      </c>
    </row>
    <row r="6946">
      <c r="A6946"/>
      <c r="B6946">
        <v>15</v>
      </c>
      <c r="C6946" s="43">
        <f>INDEX(DarlObj,15)</f>
      </c>
      <c r="D6946">
        <v>223</v>
      </c>
      <c r="E6946" s="51">
        <f>IF(INDEX(DarlBelegt,15)=0,0,EOMONTH(INDEX(DarlAuszahlung,15),222)+1)</f>
      </c>
      <c r="F6946" s="43">
        <f>IF($E6946=0,0,YEAR($E6946))</f>
      </c>
      <c r="G6946" s="43">
        <f>IF(INDEX(DarlBindung,15)="",1,IF($E6946&lt;=INDEX(DarlBindung,15),1,0))</f>
      </c>
      <c r="H6946" s="43">
        <f>IF($G6946=1,INDEX(DarlSollzins,15),INDEX(DarlAnschluss,15))</f>
      </c>
      <c r="I6946" s="43">
        <f>IF(INDEX(DarlBelegt,15)=0,0,IF(INDEX(DarlOhneTilgung,15)=1,IF(INDEX(DarlBindung,15)="",1,$G6946),IF($J6946&gt;0.005,1,0)))</f>
      </c>
      <c r="J6946" s="43">
        <f>IF($I6945=0,0,$R6945)</f>
      </c>
      <c r="K6946" s="43">
        <f>IF($I6946=0,0,IF(INDEX(DarlOhneTilgung,15)=1,0,IF(AND(INDEX(DarlTilgStart,15)&gt;0,$E6946=INDEX(DarlTilgStart,15)),$J6946*($H6946+INDEX(DarlTilgung,15))/100/12,IF(AND($G6946=0,$G6945=1),MAX($K6945,$J6946*($H6946+1)/100/12),$K6945))))</f>
      </c>
      <c r="L6946" s="43">
        <f>IF($I6946=0,0,$J6946*$H6946/100/12)</f>
      </c>
      <c r="M6946" s="43">
        <f>IF($I6946=0,0,IF(OR(INDEX(DarlOhneTilgung,15)=1,AND(INDEX(DarlTilgStart,15)&gt;0,$E6946&lt;INDEX(DarlTilgStart,15))),0,MIN(MAX(0,$K6946-$L6946),$J6946)))</f>
      </c>
      <c r="N6946" s="43">
        <f>IF($I6946=0,0,MIN(SUMIFS(SondBetrag,SondDarl,15,SondDatum,"&gt;="&amp;$E6946,SondDatum,"&lt;="&amp;EOMONTH($E6946,0)),$J6946-$M6946))</f>
      </c>
      <c r="O6946" s="43">
        <f>IF($I6946=0,0,INDEX(DarlErsatzRate,15))</f>
      </c>
      <c r="P6946" s="43">
        <f>IF($I6946=0,0,$Q6945*INDEX(DarlErsatzZins,15))</f>
      </c>
      <c r="Q6946" s="43">
        <f>IF($I6946=0,0,$Q6945+$P6946+$O6946)</f>
      </c>
      <c r="R6946" s="43">
        <f>IF($I6946=0,0,$J6946-$M6946-$N6946)</f>
      </c>
    </row>
    <row r="6947">
      <c r="A6947"/>
      <c r="B6947">
        <v>15</v>
      </c>
      <c r="C6947" s="43">
        <f>INDEX(DarlObj,15)</f>
      </c>
      <c r="D6947">
        <v>224</v>
      </c>
      <c r="E6947" s="51">
        <f>IF(INDEX(DarlBelegt,15)=0,0,EOMONTH(INDEX(DarlAuszahlung,15),223)+1)</f>
      </c>
      <c r="F6947" s="43">
        <f>IF($E6947=0,0,YEAR($E6947))</f>
      </c>
      <c r="G6947" s="43">
        <f>IF(INDEX(DarlBindung,15)="",1,IF($E6947&lt;=INDEX(DarlBindung,15),1,0))</f>
      </c>
      <c r="H6947" s="43">
        <f>IF($G6947=1,INDEX(DarlSollzins,15),INDEX(DarlAnschluss,15))</f>
      </c>
      <c r="I6947" s="43">
        <f>IF(INDEX(DarlBelegt,15)=0,0,IF(INDEX(DarlOhneTilgung,15)=1,IF(INDEX(DarlBindung,15)="",1,$G6947),IF($J6947&gt;0.005,1,0)))</f>
      </c>
      <c r="J6947" s="43">
        <f>IF($I6946=0,0,$R6946)</f>
      </c>
      <c r="K6947" s="43">
        <f>IF($I6947=0,0,IF(INDEX(DarlOhneTilgung,15)=1,0,IF(AND(INDEX(DarlTilgStart,15)&gt;0,$E6947=INDEX(DarlTilgStart,15)),$J6947*($H6947+INDEX(DarlTilgung,15))/100/12,IF(AND($G6947=0,$G6946=1),MAX($K6946,$J6947*($H6947+1)/100/12),$K6946))))</f>
      </c>
      <c r="L6947" s="43">
        <f>IF($I6947=0,0,$J6947*$H6947/100/12)</f>
      </c>
      <c r="M6947" s="43">
        <f>IF($I6947=0,0,IF(OR(INDEX(DarlOhneTilgung,15)=1,AND(INDEX(DarlTilgStart,15)&gt;0,$E6947&lt;INDEX(DarlTilgStart,15))),0,MIN(MAX(0,$K6947-$L6947),$J6947)))</f>
      </c>
      <c r="N6947" s="43">
        <f>IF($I6947=0,0,MIN(SUMIFS(SondBetrag,SondDarl,15,SondDatum,"&gt;="&amp;$E6947,SondDatum,"&lt;="&amp;EOMONTH($E6947,0)),$J6947-$M6947))</f>
      </c>
      <c r="O6947" s="43">
        <f>IF($I6947=0,0,INDEX(DarlErsatzRate,15))</f>
      </c>
      <c r="P6947" s="43">
        <f>IF($I6947=0,0,$Q6946*INDEX(DarlErsatzZins,15))</f>
      </c>
      <c r="Q6947" s="43">
        <f>IF($I6947=0,0,$Q6946+$P6947+$O6947)</f>
      </c>
      <c r="R6947" s="43">
        <f>IF($I6947=0,0,$J6947-$M6947-$N6947)</f>
      </c>
    </row>
    <row r="6948">
      <c r="A6948"/>
      <c r="B6948">
        <v>15</v>
      </c>
      <c r="C6948" s="43">
        <f>INDEX(DarlObj,15)</f>
      </c>
      <c r="D6948">
        <v>225</v>
      </c>
      <c r="E6948" s="51">
        <f>IF(INDEX(DarlBelegt,15)=0,0,EOMONTH(INDEX(DarlAuszahlung,15),224)+1)</f>
      </c>
      <c r="F6948" s="43">
        <f>IF($E6948=0,0,YEAR($E6948))</f>
      </c>
      <c r="G6948" s="43">
        <f>IF(INDEX(DarlBindung,15)="",1,IF($E6948&lt;=INDEX(DarlBindung,15),1,0))</f>
      </c>
      <c r="H6948" s="43">
        <f>IF($G6948=1,INDEX(DarlSollzins,15),INDEX(DarlAnschluss,15))</f>
      </c>
      <c r="I6948" s="43">
        <f>IF(INDEX(DarlBelegt,15)=0,0,IF(INDEX(DarlOhneTilgung,15)=1,IF(INDEX(DarlBindung,15)="",1,$G6948),IF($J6948&gt;0.005,1,0)))</f>
      </c>
      <c r="J6948" s="43">
        <f>IF($I6947=0,0,$R6947)</f>
      </c>
      <c r="K6948" s="43">
        <f>IF($I6948=0,0,IF(INDEX(DarlOhneTilgung,15)=1,0,IF(AND(INDEX(DarlTilgStart,15)&gt;0,$E6948=INDEX(DarlTilgStart,15)),$J6948*($H6948+INDEX(DarlTilgung,15))/100/12,IF(AND($G6948=0,$G6947=1),MAX($K6947,$J6948*($H6948+1)/100/12),$K6947))))</f>
      </c>
      <c r="L6948" s="43">
        <f>IF($I6948=0,0,$J6948*$H6948/100/12)</f>
      </c>
      <c r="M6948" s="43">
        <f>IF($I6948=0,0,IF(OR(INDEX(DarlOhneTilgung,15)=1,AND(INDEX(DarlTilgStart,15)&gt;0,$E6948&lt;INDEX(DarlTilgStart,15))),0,MIN(MAX(0,$K6948-$L6948),$J6948)))</f>
      </c>
      <c r="N6948" s="43">
        <f>IF($I6948=0,0,MIN(SUMIFS(SondBetrag,SondDarl,15,SondDatum,"&gt;="&amp;$E6948,SondDatum,"&lt;="&amp;EOMONTH($E6948,0)),$J6948-$M6948))</f>
      </c>
      <c r="O6948" s="43">
        <f>IF($I6948=0,0,INDEX(DarlErsatzRate,15))</f>
      </c>
      <c r="P6948" s="43">
        <f>IF($I6948=0,0,$Q6947*INDEX(DarlErsatzZins,15))</f>
      </c>
      <c r="Q6948" s="43">
        <f>IF($I6948=0,0,$Q6947+$P6948+$O6948)</f>
      </c>
      <c r="R6948" s="43">
        <f>IF($I6948=0,0,$J6948-$M6948-$N6948)</f>
      </c>
    </row>
    <row r="6949">
      <c r="A6949"/>
      <c r="B6949">
        <v>15</v>
      </c>
      <c r="C6949" s="43">
        <f>INDEX(DarlObj,15)</f>
      </c>
      <c r="D6949">
        <v>226</v>
      </c>
      <c r="E6949" s="51">
        <f>IF(INDEX(DarlBelegt,15)=0,0,EOMONTH(INDEX(DarlAuszahlung,15),225)+1)</f>
      </c>
      <c r="F6949" s="43">
        <f>IF($E6949=0,0,YEAR($E6949))</f>
      </c>
      <c r="G6949" s="43">
        <f>IF(INDEX(DarlBindung,15)="",1,IF($E6949&lt;=INDEX(DarlBindung,15),1,0))</f>
      </c>
      <c r="H6949" s="43">
        <f>IF($G6949=1,INDEX(DarlSollzins,15),INDEX(DarlAnschluss,15))</f>
      </c>
      <c r="I6949" s="43">
        <f>IF(INDEX(DarlBelegt,15)=0,0,IF(INDEX(DarlOhneTilgung,15)=1,IF(INDEX(DarlBindung,15)="",1,$G6949),IF($J6949&gt;0.005,1,0)))</f>
      </c>
      <c r="J6949" s="43">
        <f>IF($I6948=0,0,$R6948)</f>
      </c>
      <c r="K6949" s="43">
        <f>IF($I6949=0,0,IF(INDEX(DarlOhneTilgung,15)=1,0,IF(AND(INDEX(DarlTilgStart,15)&gt;0,$E6949=INDEX(DarlTilgStart,15)),$J6949*($H6949+INDEX(DarlTilgung,15))/100/12,IF(AND($G6949=0,$G6948=1),MAX($K6948,$J6949*($H6949+1)/100/12),$K6948))))</f>
      </c>
      <c r="L6949" s="43">
        <f>IF($I6949=0,0,$J6949*$H6949/100/12)</f>
      </c>
      <c r="M6949" s="43">
        <f>IF($I6949=0,0,IF(OR(INDEX(DarlOhneTilgung,15)=1,AND(INDEX(DarlTilgStart,15)&gt;0,$E6949&lt;INDEX(DarlTilgStart,15))),0,MIN(MAX(0,$K6949-$L6949),$J6949)))</f>
      </c>
      <c r="N6949" s="43">
        <f>IF($I6949=0,0,MIN(SUMIFS(SondBetrag,SondDarl,15,SondDatum,"&gt;="&amp;$E6949,SondDatum,"&lt;="&amp;EOMONTH($E6949,0)),$J6949-$M6949))</f>
      </c>
      <c r="O6949" s="43">
        <f>IF($I6949=0,0,INDEX(DarlErsatzRate,15))</f>
      </c>
      <c r="P6949" s="43">
        <f>IF($I6949=0,0,$Q6948*INDEX(DarlErsatzZins,15))</f>
      </c>
      <c r="Q6949" s="43">
        <f>IF($I6949=0,0,$Q6948+$P6949+$O6949)</f>
      </c>
      <c r="R6949" s="43">
        <f>IF($I6949=0,0,$J6949-$M6949-$N6949)</f>
      </c>
    </row>
    <row r="6950">
      <c r="A6950"/>
      <c r="B6950">
        <v>15</v>
      </c>
      <c r="C6950" s="43">
        <f>INDEX(DarlObj,15)</f>
      </c>
      <c r="D6950">
        <v>227</v>
      </c>
      <c r="E6950" s="51">
        <f>IF(INDEX(DarlBelegt,15)=0,0,EOMONTH(INDEX(DarlAuszahlung,15),226)+1)</f>
      </c>
      <c r="F6950" s="43">
        <f>IF($E6950=0,0,YEAR($E6950))</f>
      </c>
      <c r="G6950" s="43">
        <f>IF(INDEX(DarlBindung,15)="",1,IF($E6950&lt;=INDEX(DarlBindung,15),1,0))</f>
      </c>
      <c r="H6950" s="43">
        <f>IF($G6950=1,INDEX(DarlSollzins,15),INDEX(DarlAnschluss,15))</f>
      </c>
      <c r="I6950" s="43">
        <f>IF(INDEX(DarlBelegt,15)=0,0,IF(INDEX(DarlOhneTilgung,15)=1,IF(INDEX(DarlBindung,15)="",1,$G6950),IF($J6950&gt;0.005,1,0)))</f>
      </c>
      <c r="J6950" s="43">
        <f>IF($I6949=0,0,$R6949)</f>
      </c>
      <c r="K6950" s="43">
        <f>IF($I6950=0,0,IF(INDEX(DarlOhneTilgung,15)=1,0,IF(AND(INDEX(DarlTilgStart,15)&gt;0,$E6950=INDEX(DarlTilgStart,15)),$J6950*($H6950+INDEX(DarlTilgung,15))/100/12,IF(AND($G6950=0,$G6949=1),MAX($K6949,$J6950*($H6950+1)/100/12),$K6949))))</f>
      </c>
      <c r="L6950" s="43">
        <f>IF($I6950=0,0,$J6950*$H6950/100/12)</f>
      </c>
      <c r="M6950" s="43">
        <f>IF($I6950=0,0,IF(OR(INDEX(DarlOhneTilgung,15)=1,AND(INDEX(DarlTilgStart,15)&gt;0,$E6950&lt;INDEX(DarlTilgStart,15))),0,MIN(MAX(0,$K6950-$L6950),$J6950)))</f>
      </c>
      <c r="N6950" s="43">
        <f>IF($I6950=0,0,MIN(SUMIFS(SondBetrag,SondDarl,15,SondDatum,"&gt;="&amp;$E6950,SondDatum,"&lt;="&amp;EOMONTH($E6950,0)),$J6950-$M6950))</f>
      </c>
      <c r="O6950" s="43">
        <f>IF($I6950=0,0,INDEX(DarlErsatzRate,15))</f>
      </c>
      <c r="P6950" s="43">
        <f>IF($I6950=0,0,$Q6949*INDEX(DarlErsatzZins,15))</f>
      </c>
      <c r="Q6950" s="43">
        <f>IF($I6950=0,0,$Q6949+$P6950+$O6950)</f>
      </c>
      <c r="R6950" s="43">
        <f>IF($I6950=0,0,$J6950-$M6950-$N6950)</f>
      </c>
    </row>
    <row r="6951">
      <c r="A6951"/>
      <c r="B6951">
        <v>15</v>
      </c>
      <c r="C6951" s="43">
        <f>INDEX(DarlObj,15)</f>
      </c>
      <c r="D6951">
        <v>228</v>
      </c>
      <c r="E6951" s="51">
        <f>IF(INDEX(DarlBelegt,15)=0,0,EOMONTH(INDEX(DarlAuszahlung,15),227)+1)</f>
      </c>
      <c r="F6951" s="43">
        <f>IF($E6951=0,0,YEAR($E6951))</f>
      </c>
      <c r="G6951" s="43">
        <f>IF(INDEX(DarlBindung,15)="",1,IF($E6951&lt;=INDEX(DarlBindung,15),1,0))</f>
      </c>
      <c r="H6951" s="43">
        <f>IF($G6951=1,INDEX(DarlSollzins,15),INDEX(DarlAnschluss,15))</f>
      </c>
      <c r="I6951" s="43">
        <f>IF(INDEX(DarlBelegt,15)=0,0,IF(INDEX(DarlOhneTilgung,15)=1,IF(INDEX(DarlBindung,15)="",1,$G6951),IF($J6951&gt;0.005,1,0)))</f>
      </c>
      <c r="J6951" s="43">
        <f>IF($I6950=0,0,$R6950)</f>
      </c>
      <c r="K6951" s="43">
        <f>IF($I6951=0,0,IF(INDEX(DarlOhneTilgung,15)=1,0,IF(AND(INDEX(DarlTilgStart,15)&gt;0,$E6951=INDEX(DarlTilgStart,15)),$J6951*($H6951+INDEX(DarlTilgung,15))/100/12,IF(AND($G6951=0,$G6950=1),MAX($K6950,$J6951*($H6951+1)/100/12),$K6950))))</f>
      </c>
      <c r="L6951" s="43">
        <f>IF($I6951=0,0,$J6951*$H6951/100/12)</f>
      </c>
      <c r="M6951" s="43">
        <f>IF($I6951=0,0,IF(OR(INDEX(DarlOhneTilgung,15)=1,AND(INDEX(DarlTilgStart,15)&gt;0,$E6951&lt;INDEX(DarlTilgStart,15))),0,MIN(MAX(0,$K6951-$L6951),$J6951)))</f>
      </c>
      <c r="N6951" s="43">
        <f>IF($I6951=0,0,MIN(SUMIFS(SondBetrag,SondDarl,15,SondDatum,"&gt;="&amp;$E6951,SondDatum,"&lt;="&amp;EOMONTH($E6951,0)),$J6951-$M6951))</f>
      </c>
      <c r="O6951" s="43">
        <f>IF($I6951=0,0,INDEX(DarlErsatzRate,15))</f>
      </c>
      <c r="P6951" s="43">
        <f>IF($I6951=0,0,$Q6950*INDEX(DarlErsatzZins,15))</f>
      </c>
      <c r="Q6951" s="43">
        <f>IF($I6951=0,0,$Q6950+$P6951+$O6951)</f>
      </c>
      <c r="R6951" s="43">
        <f>IF($I6951=0,0,$J6951-$M6951-$N6951)</f>
      </c>
    </row>
    <row r="6952">
      <c r="A6952"/>
      <c r="B6952">
        <v>15</v>
      </c>
      <c r="C6952" s="43">
        <f>INDEX(DarlObj,15)</f>
      </c>
      <c r="D6952">
        <v>229</v>
      </c>
      <c r="E6952" s="51">
        <f>IF(INDEX(DarlBelegt,15)=0,0,EOMONTH(INDEX(DarlAuszahlung,15),228)+1)</f>
      </c>
      <c r="F6952" s="43">
        <f>IF($E6952=0,0,YEAR($E6952))</f>
      </c>
      <c r="G6952" s="43">
        <f>IF(INDEX(DarlBindung,15)="",1,IF($E6952&lt;=INDEX(DarlBindung,15),1,0))</f>
      </c>
      <c r="H6952" s="43">
        <f>IF($G6952=1,INDEX(DarlSollzins,15),INDEX(DarlAnschluss,15))</f>
      </c>
      <c r="I6952" s="43">
        <f>IF(INDEX(DarlBelegt,15)=0,0,IF(INDEX(DarlOhneTilgung,15)=1,IF(INDEX(DarlBindung,15)="",1,$G6952),IF($J6952&gt;0.005,1,0)))</f>
      </c>
      <c r="J6952" s="43">
        <f>IF($I6951=0,0,$R6951)</f>
      </c>
      <c r="K6952" s="43">
        <f>IF($I6952=0,0,IF(INDEX(DarlOhneTilgung,15)=1,0,IF(AND(INDEX(DarlTilgStart,15)&gt;0,$E6952=INDEX(DarlTilgStart,15)),$J6952*($H6952+INDEX(DarlTilgung,15))/100/12,IF(AND($G6952=0,$G6951=1),MAX($K6951,$J6952*($H6952+1)/100/12),$K6951))))</f>
      </c>
      <c r="L6952" s="43">
        <f>IF($I6952=0,0,$J6952*$H6952/100/12)</f>
      </c>
      <c r="M6952" s="43">
        <f>IF($I6952=0,0,IF(OR(INDEX(DarlOhneTilgung,15)=1,AND(INDEX(DarlTilgStart,15)&gt;0,$E6952&lt;INDEX(DarlTilgStart,15))),0,MIN(MAX(0,$K6952-$L6952),$J6952)))</f>
      </c>
      <c r="N6952" s="43">
        <f>IF($I6952=0,0,MIN(SUMIFS(SondBetrag,SondDarl,15,SondDatum,"&gt;="&amp;$E6952,SondDatum,"&lt;="&amp;EOMONTH($E6952,0)),$J6952-$M6952))</f>
      </c>
      <c r="O6952" s="43">
        <f>IF($I6952=0,0,INDEX(DarlErsatzRate,15))</f>
      </c>
      <c r="P6952" s="43">
        <f>IF($I6952=0,0,$Q6951*INDEX(DarlErsatzZins,15))</f>
      </c>
      <c r="Q6952" s="43">
        <f>IF($I6952=0,0,$Q6951+$P6952+$O6952)</f>
      </c>
      <c r="R6952" s="43">
        <f>IF($I6952=0,0,$J6952-$M6952-$N6952)</f>
      </c>
    </row>
    <row r="6953">
      <c r="A6953"/>
      <c r="B6953">
        <v>15</v>
      </c>
      <c r="C6953" s="43">
        <f>INDEX(DarlObj,15)</f>
      </c>
      <c r="D6953">
        <v>230</v>
      </c>
      <c r="E6953" s="51">
        <f>IF(INDEX(DarlBelegt,15)=0,0,EOMONTH(INDEX(DarlAuszahlung,15),229)+1)</f>
      </c>
      <c r="F6953" s="43">
        <f>IF($E6953=0,0,YEAR($E6953))</f>
      </c>
      <c r="G6953" s="43">
        <f>IF(INDEX(DarlBindung,15)="",1,IF($E6953&lt;=INDEX(DarlBindung,15),1,0))</f>
      </c>
      <c r="H6953" s="43">
        <f>IF($G6953=1,INDEX(DarlSollzins,15),INDEX(DarlAnschluss,15))</f>
      </c>
      <c r="I6953" s="43">
        <f>IF(INDEX(DarlBelegt,15)=0,0,IF(INDEX(DarlOhneTilgung,15)=1,IF(INDEX(DarlBindung,15)="",1,$G6953),IF($J6953&gt;0.005,1,0)))</f>
      </c>
      <c r="J6953" s="43">
        <f>IF($I6952=0,0,$R6952)</f>
      </c>
      <c r="K6953" s="43">
        <f>IF($I6953=0,0,IF(INDEX(DarlOhneTilgung,15)=1,0,IF(AND(INDEX(DarlTilgStart,15)&gt;0,$E6953=INDEX(DarlTilgStart,15)),$J6953*($H6953+INDEX(DarlTilgung,15))/100/12,IF(AND($G6953=0,$G6952=1),MAX($K6952,$J6953*($H6953+1)/100/12),$K6952))))</f>
      </c>
      <c r="L6953" s="43">
        <f>IF($I6953=0,0,$J6953*$H6953/100/12)</f>
      </c>
      <c r="M6953" s="43">
        <f>IF($I6953=0,0,IF(OR(INDEX(DarlOhneTilgung,15)=1,AND(INDEX(DarlTilgStart,15)&gt;0,$E6953&lt;INDEX(DarlTilgStart,15))),0,MIN(MAX(0,$K6953-$L6953),$J6953)))</f>
      </c>
      <c r="N6953" s="43">
        <f>IF($I6953=0,0,MIN(SUMIFS(SondBetrag,SondDarl,15,SondDatum,"&gt;="&amp;$E6953,SondDatum,"&lt;="&amp;EOMONTH($E6953,0)),$J6953-$M6953))</f>
      </c>
      <c r="O6953" s="43">
        <f>IF($I6953=0,0,INDEX(DarlErsatzRate,15))</f>
      </c>
      <c r="P6953" s="43">
        <f>IF($I6953=0,0,$Q6952*INDEX(DarlErsatzZins,15))</f>
      </c>
      <c r="Q6953" s="43">
        <f>IF($I6953=0,0,$Q6952+$P6953+$O6953)</f>
      </c>
      <c r="R6953" s="43">
        <f>IF($I6953=0,0,$J6953-$M6953-$N6953)</f>
      </c>
    </row>
    <row r="6954">
      <c r="A6954"/>
      <c r="B6954">
        <v>15</v>
      </c>
      <c r="C6954" s="43">
        <f>INDEX(DarlObj,15)</f>
      </c>
      <c r="D6954">
        <v>231</v>
      </c>
      <c r="E6954" s="51">
        <f>IF(INDEX(DarlBelegt,15)=0,0,EOMONTH(INDEX(DarlAuszahlung,15),230)+1)</f>
      </c>
      <c r="F6954" s="43">
        <f>IF($E6954=0,0,YEAR($E6954))</f>
      </c>
      <c r="G6954" s="43">
        <f>IF(INDEX(DarlBindung,15)="",1,IF($E6954&lt;=INDEX(DarlBindung,15),1,0))</f>
      </c>
      <c r="H6954" s="43">
        <f>IF($G6954=1,INDEX(DarlSollzins,15),INDEX(DarlAnschluss,15))</f>
      </c>
      <c r="I6954" s="43">
        <f>IF(INDEX(DarlBelegt,15)=0,0,IF(INDEX(DarlOhneTilgung,15)=1,IF(INDEX(DarlBindung,15)="",1,$G6954),IF($J6954&gt;0.005,1,0)))</f>
      </c>
      <c r="J6954" s="43">
        <f>IF($I6953=0,0,$R6953)</f>
      </c>
      <c r="K6954" s="43">
        <f>IF($I6954=0,0,IF(INDEX(DarlOhneTilgung,15)=1,0,IF(AND(INDEX(DarlTilgStart,15)&gt;0,$E6954=INDEX(DarlTilgStart,15)),$J6954*($H6954+INDEX(DarlTilgung,15))/100/12,IF(AND($G6954=0,$G6953=1),MAX($K6953,$J6954*($H6954+1)/100/12),$K6953))))</f>
      </c>
      <c r="L6954" s="43">
        <f>IF($I6954=0,0,$J6954*$H6954/100/12)</f>
      </c>
      <c r="M6954" s="43">
        <f>IF($I6954=0,0,IF(OR(INDEX(DarlOhneTilgung,15)=1,AND(INDEX(DarlTilgStart,15)&gt;0,$E6954&lt;INDEX(DarlTilgStart,15))),0,MIN(MAX(0,$K6954-$L6954),$J6954)))</f>
      </c>
      <c r="N6954" s="43">
        <f>IF($I6954=0,0,MIN(SUMIFS(SondBetrag,SondDarl,15,SondDatum,"&gt;="&amp;$E6954,SondDatum,"&lt;="&amp;EOMONTH($E6954,0)),$J6954-$M6954))</f>
      </c>
      <c r="O6954" s="43">
        <f>IF($I6954=0,0,INDEX(DarlErsatzRate,15))</f>
      </c>
      <c r="P6954" s="43">
        <f>IF($I6954=0,0,$Q6953*INDEX(DarlErsatzZins,15))</f>
      </c>
      <c r="Q6954" s="43">
        <f>IF($I6954=0,0,$Q6953+$P6954+$O6954)</f>
      </c>
      <c r="R6954" s="43">
        <f>IF($I6954=0,0,$J6954-$M6954-$N6954)</f>
      </c>
    </row>
    <row r="6955">
      <c r="A6955"/>
      <c r="B6955">
        <v>15</v>
      </c>
      <c r="C6955" s="43">
        <f>INDEX(DarlObj,15)</f>
      </c>
      <c r="D6955">
        <v>232</v>
      </c>
      <c r="E6955" s="51">
        <f>IF(INDEX(DarlBelegt,15)=0,0,EOMONTH(INDEX(DarlAuszahlung,15),231)+1)</f>
      </c>
      <c r="F6955" s="43">
        <f>IF($E6955=0,0,YEAR($E6955))</f>
      </c>
      <c r="G6955" s="43">
        <f>IF(INDEX(DarlBindung,15)="",1,IF($E6955&lt;=INDEX(DarlBindung,15),1,0))</f>
      </c>
      <c r="H6955" s="43">
        <f>IF($G6955=1,INDEX(DarlSollzins,15),INDEX(DarlAnschluss,15))</f>
      </c>
      <c r="I6955" s="43">
        <f>IF(INDEX(DarlBelegt,15)=0,0,IF(INDEX(DarlOhneTilgung,15)=1,IF(INDEX(DarlBindung,15)="",1,$G6955),IF($J6955&gt;0.005,1,0)))</f>
      </c>
      <c r="J6955" s="43">
        <f>IF($I6954=0,0,$R6954)</f>
      </c>
      <c r="K6955" s="43">
        <f>IF($I6955=0,0,IF(INDEX(DarlOhneTilgung,15)=1,0,IF(AND(INDEX(DarlTilgStart,15)&gt;0,$E6955=INDEX(DarlTilgStart,15)),$J6955*($H6955+INDEX(DarlTilgung,15))/100/12,IF(AND($G6955=0,$G6954=1),MAX($K6954,$J6955*($H6955+1)/100/12),$K6954))))</f>
      </c>
      <c r="L6955" s="43">
        <f>IF($I6955=0,0,$J6955*$H6955/100/12)</f>
      </c>
      <c r="M6955" s="43">
        <f>IF($I6955=0,0,IF(OR(INDEX(DarlOhneTilgung,15)=1,AND(INDEX(DarlTilgStart,15)&gt;0,$E6955&lt;INDEX(DarlTilgStart,15))),0,MIN(MAX(0,$K6955-$L6955),$J6955)))</f>
      </c>
      <c r="N6955" s="43">
        <f>IF($I6955=0,0,MIN(SUMIFS(SondBetrag,SondDarl,15,SondDatum,"&gt;="&amp;$E6955,SondDatum,"&lt;="&amp;EOMONTH($E6955,0)),$J6955-$M6955))</f>
      </c>
      <c r="O6955" s="43">
        <f>IF($I6955=0,0,INDEX(DarlErsatzRate,15))</f>
      </c>
      <c r="P6955" s="43">
        <f>IF($I6955=0,0,$Q6954*INDEX(DarlErsatzZins,15))</f>
      </c>
      <c r="Q6955" s="43">
        <f>IF($I6955=0,0,$Q6954+$P6955+$O6955)</f>
      </c>
      <c r="R6955" s="43">
        <f>IF($I6955=0,0,$J6955-$M6955-$N6955)</f>
      </c>
    </row>
    <row r="6956">
      <c r="A6956"/>
      <c r="B6956">
        <v>15</v>
      </c>
      <c r="C6956" s="43">
        <f>INDEX(DarlObj,15)</f>
      </c>
      <c r="D6956">
        <v>233</v>
      </c>
      <c r="E6956" s="51">
        <f>IF(INDEX(DarlBelegt,15)=0,0,EOMONTH(INDEX(DarlAuszahlung,15),232)+1)</f>
      </c>
      <c r="F6956" s="43">
        <f>IF($E6956=0,0,YEAR($E6956))</f>
      </c>
      <c r="G6956" s="43">
        <f>IF(INDEX(DarlBindung,15)="",1,IF($E6956&lt;=INDEX(DarlBindung,15),1,0))</f>
      </c>
      <c r="H6956" s="43">
        <f>IF($G6956=1,INDEX(DarlSollzins,15),INDEX(DarlAnschluss,15))</f>
      </c>
      <c r="I6956" s="43">
        <f>IF(INDEX(DarlBelegt,15)=0,0,IF(INDEX(DarlOhneTilgung,15)=1,IF(INDEX(DarlBindung,15)="",1,$G6956),IF($J6956&gt;0.005,1,0)))</f>
      </c>
      <c r="J6956" s="43">
        <f>IF($I6955=0,0,$R6955)</f>
      </c>
      <c r="K6956" s="43">
        <f>IF($I6956=0,0,IF(INDEX(DarlOhneTilgung,15)=1,0,IF(AND(INDEX(DarlTilgStart,15)&gt;0,$E6956=INDEX(DarlTilgStart,15)),$J6956*($H6956+INDEX(DarlTilgung,15))/100/12,IF(AND($G6956=0,$G6955=1),MAX($K6955,$J6956*($H6956+1)/100/12),$K6955))))</f>
      </c>
      <c r="L6956" s="43">
        <f>IF($I6956=0,0,$J6956*$H6956/100/12)</f>
      </c>
      <c r="M6956" s="43">
        <f>IF($I6956=0,0,IF(OR(INDEX(DarlOhneTilgung,15)=1,AND(INDEX(DarlTilgStart,15)&gt;0,$E6956&lt;INDEX(DarlTilgStart,15))),0,MIN(MAX(0,$K6956-$L6956),$J6956)))</f>
      </c>
      <c r="N6956" s="43">
        <f>IF($I6956=0,0,MIN(SUMIFS(SondBetrag,SondDarl,15,SondDatum,"&gt;="&amp;$E6956,SondDatum,"&lt;="&amp;EOMONTH($E6956,0)),$J6956-$M6956))</f>
      </c>
      <c r="O6956" s="43">
        <f>IF($I6956=0,0,INDEX(DarlErsatzRate,15))</f>
      </c>
      <c r="P6956" s="43">
        <f>IF($I6956=0,0,$Q6955*INDEX(DarlErsatzZins,15))</f>
      </c>
      <c r="Q6956" s="43">
        <f>IF($I6956=0,0,$Q6955+$P6956+$O6956)</f>
      </c>
      <c r="R6956" s="43">
        <f>IF($I6956=0,0,$J6956-$M6956-$N6956)</f>
      </c>
    </row>
    <row r="6957">
      <c r="A6957"/>
      <c r="B6957">
        <v>15</v>
      </c>
      <c r="C6957" s="43">
        <f>INDEX(DarlObj,15)</f>
      </c>
      <c r="D6957">
        <v>234</v>
      </c>
      <c r="E6957" s="51">
        <f>IF(INDEX(DarlBelegt,15)=0,0,EOMONTH(INDEX(DarlAuszahlung,15),233)+1)</f>
      </c>
      <c r="F6957" s="43">
        <f>IF($E6957=0,0,YEAR($E6957))</f>
      </c>
      <c r="G6957" s="43">
        <f>IF(INDEX(DarlBindung,15)="",1,IF($E6957&lt;=INDEX(DarlBindung,15),1,0))</f>
      </c>
      <c r="H6957" s="43">
        <f>IF($G6957=1,INDEX(DarlSollzins,15),INDEX(DarlAnschluss,15))</f>
      </c>
      <c r="I6957" s="43">
        <f>IF(INDEX(DarlBelegt,15)=0,0,IF(INDEX(DarlOhneTilgung,15)=1,IF(INDEX(DarlBindung,15)="",1,$G6957),IF($J6957&gt;0.005,1,0)))</f>
      </c>
      <c r="J6957" s="43">
        <f>IF($I6956=0,0,$R6956)</f>
      </c>
      <c r="K6957" s="43">
        <f>IF($I6957=0,0,IF(INDEX(DarlOhneTilgung,15)=1,0,IF(AND(INDEX(DarlTilgStart,15)&gt;0,$E6957=INDEX(DarlTilgStart,15)),$J6957*($H6957+INDEX(DarlTilgung,15))/100/12,IF(AND($G6957=0,$G6956=1),MAX($K6956,$J6957*($H6957+1)/100/12),$K6956))))</f>
      </c>
      <c r="L6957" s="43">
        <f>IF($I6957=0,0,$J6957*$H6957/100/12)</f>
      </c>
      <c r="M6957" s="43">
        <f>IF($I6957=0,0,IF(OR(INDEX(DarlOhneTilgung,15)=1,AND(INDEX(DarlTilgStart,15)&gt;0,$E6957&lt;INDEX(DarlTilgStart,15))),0,MIN(MAX(0,$K6957-$L6957),$J6957)))</f>
      </c>
      <c r="N6957" s="43">
        <f>IF($I6957=0,0,MIN(SUMIFS(SondBetrag,SondDarl,15,SondDatum,"&gt;="&amp;$E6957,SondDatum,"&lt;="&amp;EOMONTH($E6957,0)),$J6957-$M6957))</f>
      </c>
      <c r="O6957" s="43">
        <f>IF($I6957=0,0,INDEX(DarlErsatzRate,15))</f>
      </c>
      <c r="P6957" s="43">
        <f>IF($I6957=0,0,$Q6956*INDEX(DarlErsatzZins,15))</f>
      </c>
      <c r="Q6957" s="43">
        <f>IF($I6957=0,0,$Q6956+$P6957+$O6957)</f>
      </c>
      <c r="R6957" s="43">
        <f>IF($I6957=0,0,$J6957-$M6957-$N6957)</f>
      </c>
    </row>
    <row r="6958">
      <c r="A6958"/>
      <c r="B6958">
        <v>15</v>
      </c>
      <c r="C6958" s="43">
        <f>INDEX(DarlObj,15)</f>
      </c>
      <c r="D6958">
        <v>235</v>
      </c>
      <c r="E6958" s="51">
        <f>IF(INDEX(DarlBelegt,15)=0,0,EOMONTH(INDEX(DarlAuszahlung,15),234)+1)</f>
      </c>
      <c r="F6958" s="43">
        <f>IF($E6958=0,0,YEAR($E6958))</f>
      </c>
      <c r="G6958" s="43">
        <f>IF(INDEX(DarlBindung,15)="",1,IF($E6958&lt;=INDEX(DarlBindung,15),1,0))</f>
      </c>
      <c r="H6958" s="43">
        <f>IF($G6958=1,INDEX(DarlSollzins,15),INDEX(DarlAnschluss,15))</f>
      </c>
      <c r="I6958" s="43">
        <f>IF(INDEX(DarlBelegt,15)=0,0,IF(INDEX(DarlOhneTilgung,15)=1,IF(INDEX(DarlBindung,15)="",1,$G6958),IF($J6958&gt;0.005,1,0)))</f>
      </c>
      <c r="J6958" s="43">
        <f>IF($I6957=0,0,$R6957)</f>
      </c>
      <c r="K6958" s="43">
        <f>IF($I6958=0,0,IF(INDEX(DarlOhneTilgung,15)=1,0,IF(AND(INDEX(DarlTilgStart,15)&gt;0,$E6958=INDEX(DarlTilgStart,15)),$J6958*($H6958+INDEX(DarlTilgung,15))/100/12,IF(AND($G6958=0,$G6957=1),MAX($K6957,$J6958*($H6958+1)/100/12),$K6957))))</f>
      </c>
      <c r="L6958" s="43">
        <f>IF($I6958=0,0,$J6958*$H6958/100/12)</f>
      </c>
      <c r="M6958" s="43">
        <f>IF($I6958=0,0,IF(OR(INDEX(DarlOhneTilgung,15)=1,AND(INDEX(DarlTilgStart,15)&gt;0,$E6958&lt;INDEX(DarlTilgStart,15))),0,MIN(MAX(0,$K6958-$L6958),$J6958)))</f>
      </c>
      <c r="N6958" s="43">
        <f>IF($I6958=0,0,MIN(SUMIFS(SondBetrag,SondDarl,15,SondDatum,"&gt;="&amp;$E6958,SondDatum,"&lt;="&amp;EOMONTH($E6958,0)),$J6958-$M6958))</f>
      </c>
      <c r="O6958" s="43">
        <f>IF($I6958=0,0,INDEX(DarlErsatzRate,15))</f>
      </c>
      <c r="P6958" s="43">
        <f>IF($I6958=0,0,$Q6957*INDEX(DarlErsatzZins,15))</f>
      </c>
      <c r="Q6958" s="43">
        <f>IF($I6958=0,0,$Q6957+$P6958+$O6958)</f>
      </c>
      <c r="R6958" s="43">
        <f>IF($I6958=0,0,$J6958-$M6958-$N6958)</f>
      </c>
    </row>
    <row r="6959">
      <c r="A6959"/>
      <c r="B6959">
        <v>15</v>
      </c>
      <c r="C6959" s="43">
        <f>INDEX(DarlObj,15)</f>
      </c>
      <c r="D6959">
        <v>236</v>
      </c>
      <c r="E6959" s="51">
        <f>IF(INDEX(DarlBelegt,15)=0,0,EOMONTH(INDEX(DarlAuszahlung,15),235)+1)</f>
      </c>
      <c r="F6959" s="43">
        <f>IF($E6959=0,0,YEAR($E6959))</f>
      </c>
      <c r="G6959" s="43">
        <f>IF(INDEX(DarlBindung,15)="",1,IF($E6959&lt;=INDEX(DarlBindung,15),1,0))</f>
      </c>
      <c r="H6959" s="43">
        <f>IF($G6959=1,INDEX(DarlSollzins,15),INDEX(DarlAnschluss,15))</f>
      </c>
      <c r="I6959" s="43">
        <f>IF(INDEX(DarlBelegt,15)=0,0,IF(INDEX(DarlOhneTilgung,15)=1,IF(INDEX(DarlBindung,15)="",1,$G6959),IF($J6959&gt;0.005,1,0)))</f>
      </c>
      <c r="J6959" s="43">
        <f>IF($I6958=0,0,$R6958)</f>
      </c>
      <c r="K6959" s="43">
        <f>IF($I6959=0,0,IF(INDEX(DarlOhneTilgung,15)=1,0,IF(AND(INDEX(DarlTilgStart,15)&gt;0,$E6959=INDEX(DarlTilgStart,15)),$J6959*($H6959+INDEX(DarlTilgung,15))/100/12,IF(AND($G6959=0,$G6958=1),MAX($K6958,$J6959*($H6959+1)/100/12),$K6958))))</f>
      </c>
      <c r="L6959" s="43">
        <f>IF($I6959=0,0,$J6959*$H6959/100/12)</f>
      </c>
      <c r="M6959" s="43">
        <f>IF($I6959=0,0,IF(OR(INDEX(DarlOhneTilgung,15)=1,AND(INDEX(DarlTilgStart,15)&gt;0,$E6959&lt;INDEX(DarlTilgStart,15))),0,MIN(MAX(0,$K6959-$L6959),$J6959)))</f>
      </c>
      <c r="N6959" s="43">
        <f>IF($I6959=0,0,MIN(SUMIFS(SondBetrag,SondDarl,15,SondDatum,"&gt;="&amp;$E6959,SondDatum,"&lt;="&amp;EOMONTH($E6959,0)),$J6959-$M6959))</f>
      </c>
      <c r="O6959" s="43">
        <f>IF($I6959=0,0,INDEX(DarlErsatzRate,15))</f>
      </c>
      <c r="P6959" s="43">
        <f>IF($I6959=0,0,$Q6958*INDEX(DarlErsatzZins,15))</f>
      </c>
      <c r="Q6959" s="43">
        <f>IF($I6959=0,0,$Q6958+$P6959+$O6959)</f>
      </c>
      <c r="R6959" s="43">
        <f>IF($I6959=0,0,$J6959-$M6959-$N6959)</f>
      </c>
    </row>
    <row r="6960">
      <c r="A6960"/>
      <c r="B6960">
        <v>15</v>
      </c>
      <c r="C6960" s="43">
        <f>INDEX(DarlObj,15)</f>
      </c>
      <c r="D6960">
        <v>237</v>
      </c>
      <c r="E6960" s="51">
        <f>IF(INDEX(DarlBelegt,15)=0,0,EOMONTH(INDEX(DarlAuszahlung,15),236)+1)</f>
      </c>
      <c r="F6960" s="43">
        <f>IF($E6960=0,0,YEAR($E6960))</f>
      </c>
      <c r="G6960" s="43">
        <f>IF(INDEX(DarlBindung,15)="",1,IF($E6960&lt;=INDEX(DarlBindung,15),1,0))</f>
      </c>
      <c r="H6960" s="43">
        <f>IF($G6960=1,INDEX(DarlSollzins,15),INDEX(DarlAnschluss,15))</f>
      </c>
      <c r="I6960" s="43">
        <f>IF(INDEX(DarlBelegt,15)=0,0,IF(INDEX(DarlOhneTilgung,15)=1,IF(INDEX(DarlBindung,15)="",1,$G6960),IF($J6960&gt;0.005,1,0)))</f>
      </c>
      <c r="J6960" s="43">
        <f>IF($I6959=0,0,$R6959)</f>
      </c>
      <c r="K6960" s="43">
        <f>IF($I6960=0,0,IF(INDEX(DarlOhneTilgung,15)=1,0,IF(AND(INDEX(DarlTilgStart,15)&gt;0,$E6960=INDEX(DarlTilgStart,15)),$J6960*($H6960+INDEX(DarlTilgung,15))/100/12,IF(AND($G6960=0,$G6959=1),MAX($K6959,$J6960*($H6960+1)/100/12),$K6959))))</f>
      </c>
      <c r="L6960" s="43">
        <f>IF($I6960=0,0,$J6960*$H6960/100/12)</f>
      </c>
      <c r="M6960" s="43">
        <f>IF($I6960=0,0,IF(OR(INDEX(DarlOhneTilgung,15)=1,AND(INDEX(DarlTilgStart,15)&gt;0,$E6960&lt;INDEX(DarlTilgStart,15))),0,MIN(MAX(0,$K6960-$L6960),$J6960)))</f>
      </c>
      <c r="N6960" s="43">
        <f>IF($I6960=0,0,MIN(SUMIFS(SondBetrag,SondDarl,15,SondDatum,"&gt;="&amp;$E6960,SondDatum,"&lt;="&amp;EOMONTH($E6960,0)),$J6960-$M6960))</f>
      </c>
      <c r="O6960" s="43">
        <f>IF($I6960=0,0,INDEX(DarlErsatzRate,15))</f>
      </c>
      <c r="P6960" s="43">
        <f>IF($I6960=0,0,$Q6959*INDEX(DarlErsatzZins,15))</f>
      </c>
      <c r="Q6960" s="43">
        <f>IF($I6960=0,0,$Q6959+$P6960+$O6960)</f>
      </c>
      <c r="R6960" s="43">
        <f>IF($I6960=0,0,$J6960-$M6960-$N6960)</f>
      </c>
    </row>
    <row r="6961">
      <c r="A6961"/>
      <c r="B6961">
        <v>15</v>
      </c>
      <c r="C6961" s="43">
        <f>INDEX(DarlObj,15)</f>
      </c>
      <c r="D6961">
        <v>238</v>
      </c>
      <c r="E6961" s="51">
        <f>IF(INDEX(DarlBelegt,15)=0,0,EOMONTH(INDEX(DarlAuszahlung,15),237)+1)</f>
      </c>
      <c r="F6961" s="43">
        <f>IF($E6961=0,0,YEAR($E6961))</f>
      </c>
      <c r="G6961" s="43">
        <f>IF(INDEX(DarlBindung,15)="",1,IF($E6961&lt;=INDEX(DarlBindung,15),1,0))</f>
      </c>
      <c r="H6961" s="43">
        <f>IF($G6961=1,INDEX(DarlSollzins,15),INDEX(DarlAnschluss,15))</f>
      </c>
      <c r="I6961" s="43">
        <f>IF(INDEX(DarlBelegt,15)=0,0,IF(INDEX(DarlOhneTilgung,15)=1,IF(INDEX(DarlBindung,15)="",1,$G6961),IF($J6961&gt;0.005,1,0)))</f>
      </c>
      <c r="J6961" s="43">
        <f>IF($I6960=0,0,$R6960)</f>
      </c>
      <c r="K6961" s="43">
        <f>IF($I6961=0,0,IF(INDEX(DarlOhneTilgung,15)=1,0,IF(AND(INDEX(DarlTilgStart,15)&gt;0,$E6961=INDEX(DarlTilgStart,15)),$J6961*($H6961+INDEX(DarlTilgung,15))/100/12,IF(AND($G6961=0,$G6960=1),MAX($K6960,$J6961*($H6961+1)/100/12),$K6960))))</f>
      </c>
      <c r="L6961" s="43">
        <f>IF($I6961=0,0,$J6961*$H6961/100/12)</f>
      </c>
      <c r="M6961" s="43">
        <f>IF($I6961=0,0,IF(OR(INDEX(DarlOhneTilgung,15)=1,AND(INDEX(DarlTilgStart,15)&gt;0,$E6961&lt;INDEX(DarlTilgStart,15))),0,MIN(MAX(0,$K6961-$L6961),$J6961)))</f>
      </c>
      <c r="N6961" s="43">
        <f>IF($I6961=0,0,MIN(SUMIFS(SondBetrag,SondDarl,15,SondDatum,"&gt;="&amp;$E6961,SondDatum,"&lt;="&amp;EOMONTH($E6961,0)),$J6961-$M6961))</f>
      </c>
      <c r="O6961" s="43">
        <f>IF($I6961=0,0,INDEX(DarlErsatzRate,15))</f>
      </c>
      <c r="P6961" s="43">
        <f>IF($I6961=0,0,$Q6960*INDEX(DarlErsatzZins,15))</f>
      </c>
      <c r="Q6961" s="43">
        <f>IF($I6961=0,0,$Q6960+$P6961+$O6961)</f>
      </c>
      <c r="R6961" s="43">
        <f>IF($I6961=0,0,$J6961-$M6961-$N6961)</f>
      </c>
    </row>
    <row r="6962">
      <c r="A6962"/>
      <c r="B6962">
        <v>15</v>
      </c>
      <c r="C6962" s="43">
        <f>INDEX(DarlObj,15)</f>
      </c>
      <c r="D6962">
        <v>239</v>
      </c>
      <c r="E6962" s="51">
        <f>IF(INDEX(DarlBelegt,15)=0,0,EOMONTH(INDEX(DarlAuszahlung,15),238)+1)</f>
      </c>
      <c r="F6962" s="43">
        <f>IF($E6962=0,0,YEAR($E6962))</f>
      </c>
      <c r="G6962" s="43">
        <f>IF(INDEX(DarlBindung,15)="",1,IF($E6962&lt;=INDEX(DarlBindung,15),1,0))</f>
      </c>
      <c r="H6962" s="43">
        <f>IF($G6962=1,INDEX(DarlSollzins,15),INDEX(DarlAnschluss,15))</f>
      </c>
      <c r="I6962" s="43">
        <f>IF(INDEX(DarlBelegt,15)=0,0,IF(INDEX(DarlOhneTilgung,15)=1,IF(INDEX(DarlBindung,15)="",1,$G6962),IF($J6962&gt;0.005,1,0)))</f>
      </c>
      <c r="J6962" s="43">
        <f>IF($I6961=0,0,$R6961)</f>
      </c>
      <c r="K6962" s="43">
        <f>IF($I6962=0,0,IF(INDEX(DarlOhneTilgung,15)=1,0,IF(AND(INDEX(DarlTilgStart,15)&gt;0,$E6962=INDEX(DarlTilgStart,15)),$J6962*($H6962+INDEX(DarlTilgung,15))/100/12,IF(AND($G6962=0,$G6961=1),MAX($K6961,$J6962*($H6962+1)/100/12),$K6961))))</f>
      </c>
      <c r="L6962" s="43">
        <f>IF($I6962=0,0,$J6962*$H6962/100/12)</f>
      </c>
      <c r="M6962" s="43">
        <f>IF($I6962=0,0,IF(OR(INDEX(DarlOhneTilgung,15)=1,AND(INDEX(DarlTilgStart,15)&gt;0,$E6962&lt;INDEX(DarlTilgStart,15))),0,MIN(MAX(0,$K6962-$L6962),$J6962)))</f>
      </c>
      <c r="N6962" s="43">
        <f>IF($I6962=0,0,MIN(SUMIFS(SondBetrag,SondDarl,15,SondDatum,"&gt;="&amp;$E6962,SondDatum,"&lt;="&amp;EOMONTH($E6962,0)),$J6962-$M6962))</f>
      </c>
      <c r="O6962" s="43">
        <f>IF($I6962=0,0,INDEX(DarlErsatzRate,15))</f>
      </c>
      <c r="P6962" s="43">
        <f>IF($I6962=0,0,$Q6961*INDEX(DarlErsatzZins,15))</f>
      </c>
      <c r="Q6962" s="43">
        <f>IF($I6962=0,0,$Q6961+$P6962+$O6962)</f>
      </c>
      <c r="R6962" s="43">
        <f>IF($I6962=0,0,$J6962-$M6962-$N6962)</f>
      </c>
    </row>
    <row r="6963">
      <c r="A6963"/>
      <c r="B6963">
        <v>15</v>
      </c>
      <c r="C6963" s="43">
        <f>INDEX(DarlObj,15)</f>
      </c>
      <c r="D6963">
        <v>240</v>
      </c>
      <c r="E6963" s="51">
        <f>IF(INDEX(DarlBelegt,15)=0,0,EOMONTH(INDEX(DarlAuszahlung,15),239)+1)</f>
      </c>
      <c r="F6963" s="43">
        <f>IF($E6963=0,0,YEAR($E6963))</f>
      </c>
      <c r="G6963" s="43">
        <f>IF(INDEX(DarlBindung,15)="",1,IF($E6963&lt;=INDEX(DarlBindung,15),1,0))</f>
      </c>
      <c r="H6963" s="43">
        <f>IF($G6963=1,INDEX(DarlSollzins,15),INDEX(DarlAnschluss,15))</f>
      </c>
      <c r="I6963" s="43">
        <f>IF(INDEX(DarlBelegt,15)=0,0,IF(INDEX(DarlOhneTilgung,15)=1,IF(INDEX(DarlBindung,15)="",1,$G6963),IF($J6963&gt;0.005,1,0)))</f>
      </c>
      <c r="J6963" s="43">
        <f>IF($I6962=0,0,$R6962)</f>
      </c>
      <c r="K6963" s="43">
        <f>IF($I6963=0,0,IF(INDEX(DarlOhneTilgung,15)=1,0,IF(AND(INDEX(DarlTilgStart,15)&gt;0,$E6963=INDEX(DarlTilgStart,15)),$J6963*($H6963+INDEX(DarlTilgung,15))/100/12,IF(AND($G6963=0,$G6962=1),MAX($K6962,$J6963*($H6963+1)/100/12),$K6962))))</f>
      </c>
      <c r="L6963" s="43">
        <f>IF($I6963=0,0,$J6963*$H6963/100/12)</f>
      </c>
      <c r="M6963" s="43">
        <f>IF($I6963=0,0,IF(OR(INDEX(DarlOhneTilgung,15)=1,AND(INDEX(DarlTilgStart,15)&gt;0,$E6963&lt;INDEX(DarlTilgStart,15))),0,MIN(MAX(0,$K6963-$L6963),$J6963)))</f>
      </c>
      <c r="N6963" s="43">
        <f>IF($I6963=0,0,MIN(SUMIFS(SondBetrag,SondDarl,15,SondDatum,"&gt;="&amp;$E6963,SondDatum,"&lt;="&amp;EOMONTH($E6963,0)),$J6963-$M6963))</f>
      </c>
      <c r="O6963" s="43">
        <f>IF($I6963=0,0,INDEX(DarlErsatzRate,15))</f>
      </c>
      <c r="P6963" s="43">
        <f>IF($I6963=0,0,$Q6962*INDEX(DarlErsatzZins,15))</f>
      </c>
      <c r="Q6963" s="43">
        <f>IF($I6963=0,0,$Q6962+$P6963+$O6963)</f>
      </c>
      <c r="R6963" s="43">
        <f>IF($I6963=0,0,$J6963-$M6963-$N6963)</f>
      </c>
    </row>
    <row r="6964">
      <c r="A6964"/>
      <c r="B6964">
        <v>15</v>
      </c>
      <c r="C6964" s="43">
        <f>INDEX(DarlObj,15)</f>
      </c>
      <c r="D6964">
        <v>241</v>
      </c>
      <c r="E6964" s="51">
        <f>IF(INDEX(DarlBelegt,15)=0,0,EOMONTH(INDEX(DarlAuszahlung,15),240)+1)</f>
      </c>
      <c r="F6964" s="43">
        <f>IF($E6964=0,0,YEAR($E6964))</f>
      </c>
      <c r="G6964" s="43">
        <f>IF(INDEX(DarlBindung,15)="",1,IF($E6964&lt;=INDEX(DarlBindung,15),1,0))</f>
      </c>
      <c r="H6964" s="43">
        <f>IF($G6964=1,INDEX(DarlSollzins,15),INDEX(DarlAnschluss,15))</f>
      </c>
      <c r="I6964" s="43">
        <f>IF(INDEX(DarlBelegt,15)=0,0,IF(INDEX(DarlOhneTilgung,15)=1,IF(INDEX(DarlBindung,15)="",1,$G6964),IF($J6964&gt;0.005,1,0)))</f>
      </c>
      <c r="J6964" s="43">
        <f>IF($I6963=0,0,$R6963)</f>
      </c>
      <c r="K6964" s="43">
        <f>IF($I6964=0,0,IF(INDEX(DarlOhneTilgung,15)=1,0,IF(AND(INDEX(DarlTilgStart,15)&gt;0,$E6964=INDEX(DarlTilgStart,15)),$J6964*($H6964+INDEX(DarlTilgung,15))/100/12,IF(AND($G6964=0,$G6963=1),MAX($K6963,$J6964*($H6964+1)/100/12),$K6963))))</f>
      </c>
      <c r="L6964" s="43">
        <f>IF($I6964=0,0,$J6964*$H6964/100/12)</f>
      </c>
      <c r="M6964" s="43">
        <f>IF($I6964=0,0,IF(OR(INDEX(DarlOhneTilgung,15)=1,AND(INDEX(DarlTilgStart,15)&gt;0,$E6964&lt;INDEX(DarlTilgStart,15))),0,MIN(MAX(0,$K6964-$L6964),$J6964)))</f>
      </c>
      <c r="N6964" s="43">
        <f>IF($I6964=0,0,MIN(SUMIFS(SondBetrag,SondDarl,15,SondDatum,"&gt;="&amp;$E6964,SondDatum,"&lt;="&amp;EOMONTH($E6964,0)),$J6964-$M6964))</f>
      </c>
      <c r="O6964" s="43">
        <f>IF($I6964=0,0,INDEX(DarlErsatzRate,15))</f>
      </c>
      <c r="P6964" s="43">
        <f>IF($I6964=0,0,$Q6963*INDEX(DarlErsatzZins,15))</f>
      </c>
      <c r="Q6964" s="43">
        <f>IF($I6964=0,0,$Q6963+$P6964+$O6964)</f>
      </c>
      <c r="R6964" s="43">
        <f>IF($I6964=0,0,$J6964-$M6964-$N6964)</f>
      </c>
    </row>
    <row r="6965">
      <c r="A6965"/>
      <c r="B6965">
        <v>15</v>
      </c>
      <c r="C6965" s="43">
        <f>INDEX(DarlObj,15)</f>
      </c>
      <c r="D6965">
        <v>242</v>
      </c>
      <c r="E6965" s="51">
        <f>IF(INDEX(DarlBelegt,15)=0,0,EOMONTH(INDEX(DarlAuszahlung,15),241)+1)</f>
      </c>
      <c r="F6965" s="43">
        <f>IF($E6965=0,0,YEAR($E6965))</f>
      </c>
      <c r="G6965" s="43">
        <f>IF(INDEX(DarlBindung,15)="",1,IF($E6965&lt;=INDEX(DarlBindung,15),1,0))</f>
      </c>
      <c r="H6965" s="43">
        <f>IF($G6965=1,INDEX(DarlSollzins,15),INDEX(DarlAnschluss,15))</f>
      </c>
      <c r="I6965" s="43">
        <f>IF(INDEX(DarlBelegt,15)=0,0,IF(INDEX(DarlOhneTilgung,15)=1,IF(INDEX(DarlBindung,15)="",1,$G6965),IF($J6965&gt;0.005,1,0)))</f>
      </c>
      <c r="J6965" s="43">
        <f>IF($I6964=0,0,$R6964)</f>
      </c>
      <c r="K6965" s="43">
        <f>IF($I6965=0,0,IF(INDEX(DarlOhneTilgung,15)=1,0,IF(AND(INDEX(DarlTilgStart,15)&gt;0,$E6965=INDEX(DarlTilgStart,15)),$J6965*($H6965+INDEX(DarlTilgung,15))/100/12,IF(AND($G6965=0,$G6964=1),MAX($K6964,$J6965*($H6965+1)/100/12),$K6964))))</f>
      </c>
      <c r="L6965" s="43">
        <f>IF($I6965=0,0,$J6965*$H6965/100/12)</f>
      </c>
      <c r="M6965" s="43">
        <f>IF($I6965=0,0,IF(OR(INDEX(DarlOhneTilgung,15)=1,AND(INDEX(DarlTilgStart,15)&gt;0,$E6965&lt;INDEX(DarlTilgStart,15))),0,MIN(MAX(0,$K6965-$L6965),$J6965)))</f>
      </c>
      <c r="N6965" s="43">
        <f>IF($I6965=0,0,MIN(SUMIFS(SondBetrag,SondDarl,15,SondDatum,"&gt;="&amp;$E6965,SondDatum,"&lt;="&amp;EOMONTH($E6965,0)),$J6965-$M6965))</f>
      </c>
      <c r="O6965" s="43">
        <f>IF($I6965=0,0,INDEX(DarlErsatzRate,15))</f>
      </c>
      <c r="P6965" s="43">
        <f>IF($I6965=0,0,$Q6964*INDEX(DarlErsatzZins,15))</f>
      </c>
      <c r="Q6965" s="43">
        <f>IF($I6965=0,0,$Q6964+$P6965+$O6965)</f>
      </c>
      <c r="R6965" s="43">
        <f>IF($I6965=0,0,$J6965-$M6965-$N6965)</f>
      </c>
    </row>
    <row r="6966">
      <c r="A6966"/>
      <c r="B6966">
        <v>15</v>
      </c>
      <c r="C6966" s="43">
        <f>INDEX(DarlObj,15)</f>
      </c>
      <c r="D6966">
        <v>243</v>
      </c>
      <c r="E6966" s="51">
        <f>IF(INDEX(DarlBelegt,15)=0,0,EOMONTH(INDEX(DarlAuszahlung,15),242)+1)</f>
      </c>
      <c r="F6966" s="43">
        <f>IF($E6966=0,0,YEAR($E6966))</f>
      </c>
      <c r="G6966" s="43">
        <f>IF(INDEX(DarlBindung,15)="",1,IF($E6966&lt;=INDEX(DarlBindung,15),1,0))</f>
      </c>
      <c r="H6966" s="43">
        <f>IF($G6966=1,INDEX(DarlSollzins,15),INDEX(DarlAnschluss,15))</f>
      </c>
      <c r="I6966" s="43">
        <f>IF(INDEX(DarlBelegt,15)=0,0,IF(INDEX(DarlOhneTilgung,15)=1,IF(INDEX(DarlBindung,15)="",1,$G6966),IF($J6966&gt;0.005,1,0)))</f>
      </c>
      <c r="J6966" s="43">
        <f>IF($I6965=0,0,$R6965)</f>
      </c>
      <c r="K6966" s="43">
        <f>IF($I6966=0,0,IF(INDEX(DarlOhneTilgung,15)=1,0,IF(AND(INDEX(DarlTilgStart,15)&gt;0,$E6966=INDEX(DarlTilgStart,15)),$J6966*($H6966+INDEX(DarlTilgung,15))/100/12,IF(AND($G6966=0,$G6965=1),MAX($K6965,$J6966*($H6966+1)/100/12),$K6965))))</f>
      </c>
      <c r="L6966" s="43">
        <f>IF($I6966=0,0,$J6966*$H6966/100/12)</f>
      </c>
      <c r="M6966" s="43">
        <f>IF($I6966=0,0,IF(OR(INDEX(DarlOhneTilgung,15)=1,AND(INDEX(DarlTilgStart,15)&gt;0,$E6966&lt;INDEX(DarlTilgStart,15))),0,MIN(MAX(0,$K6966-$L6966),$J6966)))</f>
      </c>
      <c r="N6966" s="43">
        <f>IF($I6966=0,0,MIN(SUMIFS(SondBetrag,SondDarl,15,SondDatum,"&gt;="&amp;$E6966,SondDatum,"&lt;="&amp;EOMONTH($E6966,0)),$J6966-$M6966))</f>
      </c>
      <c r="O6966" s="43">
        <f>IF($I6966=0,0,INDEX(DarlErsatzRate,15))</f>
      </c>
      <c r="P6966" s="43">
        <f>IF($I6966=0,0,$Q6965*INDEX(DarlErsatzZins,15))</f>
      </c>
      <c r="Q6966" s="43">
        <f>IF($I6966=0,0,$Q6965+$P6966+$O6966)</f>
      </c>
      <c r="R6966" s="43">
        <f>IF($I6966=0,0,$J6966-$M6966-$N6966)</f>
      </c>
    </row>
    <row r="6967">
      <c r="A6967"/>
      <c r="B6967">
        <v>15</v>
      </c>
      <c r="C6967" s="43">
        <f>INDEX(DarlObj,15)</f>
      </c>
      <c r="D6967">
        <v>244</v>
      </c>
      <c r="E6967" s="51">
        <f>IF(INDEX(DarlBelegt,15)=0,0,EOMONTH(INDEX(DarlAuszahlung,15),243)+1)</f>
      </c>
      <c r="F6967" s="43">
        <f>IF($E6967=0,0,YEAR($E6967))</f>
      </c>
      <c r="G6967" s="43">
        <f>IF(INDEX(DarlBindung,15)="",1,IF($E6967&lt;=INDEX(DarlBindung,15),1,0))</f>
      </c>
      <c r="H6967" s="43">
        <f>IF($G6967=1,INDEX(DarlSollzins,15),INDEX(DarlAnschluss,15))</f>
      </c>
      <c r="I6967" s="43">
        <f>IF(INDEX(DarlBelegt,15)=0,0,IF(INDEX(DarlOhneTilgung,15)=1,IF(INDEX(DarlBindung,15)="",1,$G6967),IF($J6967&gt;0.005,1,0)))</f>
      </c>
      <c r="J6967" s="43">
        <f>IF($I6966=0,0,$R6966)</f>
      </c>
      <c r="K6967" s="43">
        <f>IF($I6967=0,0,IF(INDEX(DarlOhneTilgung,15)=1,0,IF(AND(INDEX(DarlTilgStart,15)&gt;0,$E6967=INDEX(DarlTilgStart,15)),$J6967*($H6967+INDEX(DarlTilgung,15))/100/12,IF(AND($G6967=0,$G6966=1),MAX($K6966,$J6967*($H6967+1)/100/12),$K6966))))</f>
      </c>
      <c r="L6967" s="43">
        <f>IF($I6967=0,0,$J6967*$H6967/100/12)</f>
      </c>
      <c r="M6967" s="43">
        <f>IF($I6967=0,0,IF(OR(INDEX(DarlOhneTilgung,15)=1,AND(INDEX(DarlTilgStart,15)&gt;0,$E6967&lt;INDEX(DarlTilgStart,15))),0,MIN(MAX(0,$K6967-$L6967),$J6967)))</f>
      </c>
      <c r="N6967" s="43">
        <f>IF($I6967=0,0,MIN(SUMIFS(SondBetrag,SondDarl,15,SondDatum,"&gt;="&amp;$E6967,SondDatum,"&lt;="&amp;EOMONTH($E6967,0)),$J6967-$M6967))</f>
      </c>
      <c r="O6967" s="43">
        <f>IF($I6967=0,0,INDEX(DarlErsatzRate,15))</f>
      </c>
      <c r="P6967" s="43">
        <f>IF($I6967=0,0,$Q6966*INDEX(DarlErsatzZins,15))</f>
      </c>
      <c r="Q6967" s="43">
        <f>IF($I6967=0,0,$Q6966+$P6967+$O6967)</f>
      </c>
      <c r="R6967" s="43">
        <f>IF($I6967=0,0,$J6967-$M6967-$N6967)</f>
      </c>
    </row>
    <row r="6968">
      <c r="A6968"/>
      <c r="B6968">
        <v>15</v>
      </c>
      <c r="C6968" s="43">
        <f>INDEX(DarlObj,15)</f>
      </c>
      <c r="D6968">
        <v>245</v>
      </c>
      <c r="E6968" s="51">
        <f>IF(INDEX(DarlBelegt,15)=0,0,EOMONTH(INDEX(DarlAuszahlung,15),244)+1)</f>
      </c>
      <c r="F6968" s="43">
        <f>IF($E6968=0,0,YEAR($E6968))</f>
      </c>
      <c r="G6968" s="43">
        <f>IF(INDEX(DarlBindung,15)="",1,IF($E6968&lt;=INDEX(DarlBindung,15),1,0))</f>
      </c>
      <c r="H6968" s="43">
        <f>IF($G6968=1,INDEX(DarlSollzins,15),INDEX(DarlAnschluss,15))</f>
      </c>
      <c r="I6968" s="43">
        <f>IF(INDEX(DarlBelegt,15)=0,0,IF(INDEX(DarlOhneTilgung,15)=1,IF(INDEX(DarlBindung,15)="",1,$G6968),IF($J6968&gt;0.005,1,0)))</f>
      </c>
      <c r="J6968" s="43">
        <f>IF($I6967=0,0,$R6967)</f>
      </c>
      <c r="K6968" s="43">
        <f>IF($I6968=0,0,IF(INDEX(DarlOhneTilgung,15)=1,0,IF(AND(INDEX(DarlTilgStart,15)&gt;0,$E6968=INDEX(DarlTilgStart,15)),$J6968*($H6968+INDEX(DarlTilgung,15))/100/12,IF(AND($G6968=0,$G6967=1),MAX($K6967,$J6968*($H6968+1)/100/12),$K6967))))</f>
      </c>
      <c r="L6968" s="43">
        <f>IF($I6968=0,0,$J6968*$H6968/100/12)</f>
      </c>
      <c r="M6968" s="43">
        <f>IF($I6968=0,0,IF(OR(INDEX(DarlOhneTilgung,15)=1,AND(INDEX(DarlTilgStart,15)&gt;0,$E6968&lt;INDEX(DarlTilgStart,15))),0,MIN(MAX(0,$K6968-$L6968),$J6968)))</f>
      </c>
      <c r="N6968" s="43">
        <f>IF($I6968=0,0,MIN(SUMIFS(SondBetrag,SondDarl,15,SondDatum,"&gt;="&amp;$E6968,SondDatum,"&lt;="&amp;EOMONTH($E6968,0)),$J6968-$M6968))</f>
      </c>
      <c r="O6968" s="43">
        <f>IF($I6968=0,0,INDEX(DarlErsatzRate,15))</f>
      </c>
      <c r="P6968" s="43">
        <f>IF($I6968=0,0,$Q6967*INDEX(DarlErsatzZins,15))</f>
      </c>
      <c r="Q6968" s="43">
        <f>IF($I6968=0,0,$Q6967+$P6968+$O6968)</f>
      </c>
      <c r="R6968" s="43">
        <f>IF($I6968=0,0,$J6968-$M6968-$N6968)</f>
      </c>
    </row>
    <row r="6969">
      <c r="A6969"/>
      <c r="B6969">
        <v>15</v>
      </c>
      <c r="C6969" s="43">
        <f>INDEX(DarlObj,15)</f>
      </c>
      <c r="D6969">
        <v>246</v>
      </c>
      <c r="E6969" s="51">
        <f>IF(INDEX(DarlBelegt,15)=0,0,EOMONTH(INDEX(DarlAuszahlung,15),245)+1)</f>
      </c>
      <c r="F6969" s="43">
        <f>IF($E6969=0,0,YEAR($E6969))</f>
      </c>
      <c r="G6969" s="43">
        <f>IF(INDEX(DarlBindung,15)="",1,IF($E6969&lt;=INDEX(DarlBindung,15),1,0))</f>
      </c>
      <c r="H6969" s="43">
        <f>IF($G6969=1,INDEX(DarlSollzins,15),INDEX(DarlAnschluss,15))</f>
      </c>
      <c r="I6969" s="43">
        <f>IF(INDEX(DarlBelegt,15)=0,0,IF(INDEX(DarlOhneTilgung,15)=1,IF(INDEX(DarlBindung,15)="",1,$G6969),IF($J6969&gt;0.005,1,0)))</f>
      </c>
      <c r="J6969" s="43">
        <f>IF($I6968=0,0,$R6968)</f>
      </c>
      <c r="K6969" s="43">
        <f>IF($I6969=0,0,IF(INDEX(DarlOhneTilgung,15)=1,0,IF(AND(INDEX(DarlTilgStart,15)&gt;0,$E6969=INDEX(DarlTilgStart,15)),$J6969*($H6969+INDEX(DarlTilgung,15))/100/12,IF(AND($G6969=0,$G6968=1),MAX($K6968,$J6969*($H6969+1)/100/12),$K6968))))</f>
      </c>
      <c r="L6969" s="43">
        <f>IF($I6969=0,0,$J6969*$H6969/100/12)</f>
      </c>
      <c r="M6969" s="43">
        <f>IF($I6969=0,0,IF(OR(INDEX(DarlOhneTilgung,15)=1,AND(INDEX(DarlTilgStart,15)&gt;0,$E6969&lt;INDEX(DarlTilgStart,15))),0,MIN(MAX(0,$K6969-$L6969),$J6969)))</f>
      </c>
      <c r="N6969" s="43">
        <f>IF($I6969=0,0,MIN(SUMIFS(SondBetrag,SondDarl,15,SondDatum,"&gt;="&amp;$E6969,SondDatum,"&lt;="&amp;EOMONTH($E6969,0)),$J6969-$M6969))</f>
      </c>
      <c r="O6969" s="43">
        <f>IF($I6969=0,0,INDEX(DarlErsatzRate,15))</f>
      </c>
      <c r="P6969" s="43">
        <f>IF($I6969=0,0,$Q6968*INDEX(DarlErsatzZins,15))</f>
      </c>
      <c r="Q6969" s="43">
        <f>IF($I6969=0,0,$Q6968+$P6969+$O6969)</f>
      </c>
      <c r="R6969" s="43">
        <f>IF($I6969=0,0,$J6969-$M6969-$N6969)</f>
      </c>
    </row>
    <row r="6970">
      <c r="A6970"/>
      <c r="B6970">
        <v>15</v>
      </c>
      <c r="C6970" s="43">
        <f>INDEX(DarlObj,15)</f>
      </c>
      <c r="D6970">
        <v>247</v>
      </c>
      <c r="E6970" s="51">
        <f>IF(INDEX(DarlBelegt,15)=0,0,EOMONTH(INDEX(DarlAuszahlung,15),246)+1)</f>
      </c>
      <c r="F6970" s="43">
        <f>IF($E6970=0,0,YEAR($E6970))</f>
      </c>
      <c r="G6970" s="43">
        <f>IF(INDEX(DarlBindung,15)="",1,IF($E6970&lt;=INDEX(DarlBindung,15),1,0))</f>
      </c>
      <c r="H6970" s="43">
        <f>IF($G6970=1,INDEX(DarlSollzins,15),INDEX(DarlAnschluss,15))</f>
      </c>
      <c r="I6970" s="43">
        <f>IF(INDEX(DarlBelegt,15)=0,0,IF(INDEX(DarlOhneTilgung,15)=1,IF(INDEX(DarlBindung,15)="",1,$G6970),IF($J6970&gt;0.005,1,0)))</f>
      </c>
      <c r="J6970" s="43">
        <f>IF($I6969=0,0,$R6969)</f>
      </c>
      <c r="K6970" s="43">
        <f>IF($I6970=0,0,IF(INDEX(DarlOhneTilgung,15)=1,0,IF(AND(INDEX(DarlTilgStart,15)&gt;0,$E6970=INDEX(DarlTilgStart,15)),$J6970*($H6970+INDEX(DarlTilgung,15))/100/12,IF(AND($G6970=0,$G6969=1),MAX($K6969,$J6970*($H6970+1)/100/12),$K6969))))</f>
      </c>
      <c r="L6970" s="43">
        <f>IF($I6970=0,0,$J6970*$H6970/100/12)</f>
      </c>
      <c r="M6970" s="43">
        <f>IF($I6970=0,0,IF(OR(INDEX(DarlOhneTilgung,15)=1,AND(INDEX(DarlTilgStart,15)&gt;0,$E6970&lt;INDEX(DarlTilgStart,15))),0,MIN(MAX(0,$K6970-$L6970),$J6970)))</f>
      </c>
      <c r="N6970" s="43">
        <f>IF($I6970=0,0,MIN(SUMIFS(SondBetrag,SondDarl,15,SondDatum,"&gt;="&amp;$E6970,SondDatum,"&lt;="&amp;EOMONTH($E6970,0)),$J6970-$M6970))</f>
      </c>
      <c r="O6970" s="43">
        <f>IF($I6970=0,0,INDEX(DarlErsatzRate,15))</f>
      </c>
      <c r="P6970" s="43">
        <f>IF($I6970=0,0,$Q6969*INDEX(DarlErsatzZins,15))</f>
      </c>
      <c r="Q6970" s="43">
        <f>IF($I6970=0,0,$Q6969+$P6970+$O6970)</f>
      </c>
      <c r="R6970" s="43">
        <f>IF($I6970=0,0,$J6970-$M6970-$N6970)</f>
      </c>
    </row>
    <row r="6971">
      <c r="A6971"/>
      <c r="B6971">
        <v>15</v>
      </c>
      <c r="C6971" s="43">
        <f>INDEX(DarlObj,15)</f>
      </c>
      <c r="D6971">
        <v>248</v>
      </c>
      <c r="E6971" s="51">
        <f>IF(INDEX(DarlBelegt,15)=0,0,EOMONTH(INDEX(DarlAuszahlung,15),247)+1)</f>
      </c>
      <c r="F6971" s="43">
        <f>IF($E6971=0,0,YEAR($E6971))</f>
      </c>
      <c r="G6971" s="43">
        <f>IF(INDEX(DarlBindung,15)="",1,IF($E6971&lt;=INDEX(DarlBindung,15),1,0))</f>
      </c>
      <c r="H6971" s="43">
        <f>IF($G6971=1,INDEX(DarlSollzins,15),INDEX(DarlAnschluss,15))</f>
      </c>
      <c r="I6971" s="43">
        <f>IF(INDEX(DarlBelegt,15)=0,0,IF(INDEX(DarlOhneTilgung,15)=1,IF(INDEX(DarlBindung,15)="",1,$G6971),IF($J6971&gt;0.005,1,0)))</f>
      </c>
      <c r="J6971" s="43">
        <f>IF($I6970=0,0,$R6970)</f>
      </c>
      <c r="K6971" s="43">
        <f>IF($I6971=0,0,IF(INDEX(DarlOhneTilgung,15)=1,0,IF(AND(INDEX(DarlTilgStart,15)&gt;0,$E6971=INDEX(DarlTilgStart,15)),$J6971*($H6971+INDEX(DarlTilgung,15))/100/12,IF(AND($G6971=0,$G6970=1),MAX($K6970,$J6971*($H6971+1)/100/12),$K6970))))</f>
      </c>
      <c r="L6971" s="43">
        <f>IF($I6971=0,0,$J6971*$H6971/100/12)</f>
      </c>
      <c r="M6971" s="43">
        <f>IF($I6971=0,0,IF(OR(INDEX(DarlOhneTilgung,15)=1,AND(INDEX(DarlTilgStart,15)&gt;0,$E6971&lt;INDEX(DarlTilgStart,15))),0,MIN(MAX(0,$K6971-$L6971),$J6971)))</f>
      </c>
      <c r="N6971" s="43">
        <f>IF($I6971=0,0,MIN(SUMIFS(SondBetrag,SondDarl,15,SondDatum,"&gt;="&amp;$E6971,SondDatum,"&lt;="&amp;EOMONTH($E6971,0)),$J6971-$M6971))</f>
      </c>
      <c r="O6971" s="43">
        <f>IF($I6971=0,0,INDEX(DarlErsatzRate,15))</f>
      </c>
      <c r="P6971" s="43">
        <f>IF($I6971=0,0,$Q6970*INDEX(DarlErsatzZins,15))</f>
      </c>
      <c r="Q6971" s="43">
        <f>IF($I6971=0,0,$Q6970+$P6971+$O6971)</f>
      </c>
      <c r="R6971" s="43">
        <f>IF($I6971=0,0,$J6971-$M6971-$N6971)</f>
      </c>
    </row>
    <row r="6972">
      <c r="A6972"/>
      <c r="B6972">
        <v>15</v>
      </c>
      <c r="C6972" s="43">
        <f>INDEX(DarlObj,15)</f>
      </c>
      <c r="D6972">
        <v>249</v>
      </c>
      <c r="E6972" s="51">
        <f>IF(INDEX(DarlBelegt,15)=0,0,EOMONTH(INDEX(DarlAuszahlung,15),248)+1)</f>
      </c>
      <c r="F6972" s="43">
        <f>IF($E6972=0,0,YEAR($E6972))</f>
      </c>
      <c r="G6972" s="43">
        <f>IF(INDEX(DarlBindung,15)="",1,IF($E6972&lt;=INDEX(DarlBindung,15),1,0))</f>
      </c>
      <c r="H6972" s="43">
        <f>IF($G6972=1,INDEX(DarlSollzins,15),INDEX(DarlAnschluss,15))</f>
      </c>
      <c r="I6972" s="43">
        <f>IF(INDEX(DarlBelegt,15)=0,0,IF(INDEX(DarlOhneTilgung,15)=1,IF(INDEX(DarlBindung,15)="",1,$G6972),IF($J6972&gt;0.005,1,0)))</f>
      </c>
      <c r="J6972" s="43">
        <f>IF($I6971=0,0,$R6971)</f>
      </c>
      <c r="K6972" s="43">
        <f>IF($I6972=0,0,IF(INDEX(DarlOhneTilgung,15)=1,0,IF(AND(INDEX(DarlTilgStart,15)&gt;0,$E6972=INDEX(DarlTilgStart,15)),$J6972*($H6972+INDEX(DarlTilgung,15))/100/12,IF(AND($G6972=0,$G6971=1),MAX($K6971,$J6972*($H6972+1)/100/12),$K6971))))</f>
      </c>
      <c r="L6972" s="43">
        <f>IF($I6972=0,0,$J6972*$H6972/100/12)</f>
      </c>
      <c r="M6972" s="43">
        <f>IF($I6972=0,0,IF(OR(INDEX(DarlOhneTilgung,15)=1,AND(INDEX(DarlTilgStart,15)&gt;0,$E6972&lt;INDEX(DarlTilgStart,15))),0,MIN(MAX(0,$K6972-$L6972),$J6972)))</f>
      </c>
      <c r="N6972" s="43">
        <f>IF($I6972=0,0,MIN(SUMIFS(SondBetrag,SondDarl,15,SondDatum,"&gt;="&amp;$E6972,SondDatum,"&lt;="&amp;EOMONTH($E6972,0)),$J6972-$M6972))</f>
      </c>
      <c r="O6972" s="43">
        <f>IF($I6972=0,0,INDEX(DarlErsatzRate,15))</f>
      </c>
      <c r="P6972" s="43">
        <f>IF($I6972=0,0,$Q6971*INDEX(DarlErsatzZins,15))</f>
      </c>
      <c r="Q6972" s="43">
        <f>IF($I6972=0,0,$Q6971+$P6972+$O6972)</f>
      </c>
      <c r="R6972" s="43">
        <f>IF($I6972=0,0,$J6972-$M6972-$N6972)</f>
      </c>
    </row>
    <row r="6973">
      <c r="A6973"/>
      <c r="B6973">
        <v>15</v>
      </c>
      <c r="C6973" s="43">
        <f>INDEX(DarlObj,15)</f>
      </c>
      <c r="D6973">
        <v>250</v>
      </c>
      <c r="E6973" s="51">
        <f>IF(INDEX(DarlBelegt,15)=0,0,EOMONTH(INDEX(DarlAuszahlung,15),249)+1)</f>
      </c>
      <c r="F6973" s="43">
        <f>IF($E6973=0,0,YEAR($E6973))</f>
      </c>
      <c r="G6973" s="43">
        <f>IF(INDEX(DarlBindung,15)="",1,IF($E6973&lt;=INDEX(DarlBindung,15),1,0))</f>
      </c>
      <c r="H6973" s="43">
        <f>IF($G6973=1,INDEX(DarlSollzins,15),INDEX(DarlAnschluss,15))</f>
      </c>
      <c r="I6973" s="43">
        <f>IF(INDEX(DarlBelegt,15)=0,0,IF(INDEX(DarlOhneTilgung,15)=1,IF(INDEX(DarlBindung,15)="",1,$G6973),IF($J6973&gt;0.005,1,0)))</f>
      </c>
      <c r="J6973" s="43">
        <f>IF($I6972=0,0,$R6972)</f>
      </c>
      <c r="K6973" s="43">
        <f>IF($I6973=0,0,IF(INDEX(DarlOhneTilgung,15)=1,0,IF(AND(INDEX(DarlTilgStart,15)&gt;0,$E6973=INDEX(DarlTilgStart,15)),$J6973*($H6973+INDEX(DarlTilgung,15))/100/12,IF(AND($G6973=0,$G6972=1),MAX($K6972,$J6973*($H6973+1)/100/12),$K6972))))</f>
      </c>
      <c r="L6973" s="43">
        <f>IF($I6973=0,0,$J6973*$H6973/100/12)</f>
      </c>
      <c r="M6973" s="43">
        <f>IF($I6973=0,0,IF(OR(INDEX(DarlOhneTilgung,15)=1,AND(INDEX(DarlTilgStart,15)&gt;0,$E6973&lt;INDEX(DarlTilgStart,15))),0,MIN(MAX(0,$K6973-$L6973),$J6973)))</f>
      </c>
      <c r="N6973" s="43">
        <f>IF($I6973=0,0,MIN(SUMIFS(SondBetrag,SondDarl,15,SondDatum,"&gt;="&amp;$E6973,SondDatum,"&lt;="&amp;EOMONTH($E6973,0)),$J6973-$M6973))</f>
      </c>
      <c r="O6973" s="43">
        <f>IF($I6973=0,0,INDEX(DarlErsatzRate,15))</f>
      </c>
      <c r="P6973" s="43">
        <f>IF($I6973=0,0,$Q6972*INDEX(DarlErsatzZins,15))</f>
      </c>
      <c r="Q6973" s="43">
        <f>IF($I6973=0,0,$Q6972+$P6973+$O6973)</f>
      </c>
      <c r="R6973" s="43">
        <f>IF($I6973=0,0,$J6973-$M6973-$N6973)</f>
      </c>
    </row>
    <row r="6974">
      <c r="A6974"/>
      <c r="B6974">
        <v>15</v>
      </c>
      <c r="C6974" s="43">
        <f>INDEX(DarlObj,15)</f>
      </c>
      <c r="D6974">
        <v>251</v>
      </c>
      <c r="E6974" s="51">
        <f>IF(INDEX(DarlBelegt,15)=0,0,EOMONTH(INDEX(DarlAuszahlung,15),250)+1)</f>
      </c>
      <c r="F6974" s="43">
        <f>IF($E6974=0,0,YEAR($E6974))</f>
      </c>
      <c r="G6974" s="43">
        <f>IF(INDEX(DarlBindung,15)="",1,IF($E6974&lt;=INDEX(DarlBindung,15),1,0))</f>
      </c>
      <c r="H6974" s="43">
        <f>IF($G6974=1,INDEX(DarlSollzins,15),INDEX(DarlAnschluss,15))</f>
      </c>
      <c r="I6974" s="43">
        <f>IF(INDEX(DarlBelegt,15)=0,0,IF(INDEX(DarlOhneTilgung,15)=1,IF(INDEX(DarlBindung,15)="",1,$G6974),IF($J6974&gt;0.005,1,0)))</f>
      </c>
      <c r="J6974" s="43">
        <f>IF($I6973=0,0,$R6973)</f>
      </c>
      <c r="K6974" s="43">
        <f>IF($I6974=0,0,IF(INDEX(DarlOhneTilgung,15)=1,0,IF(AND(INDEX(DarlTilgStart,15)&gt;0,$E6974=INDEX(DarlTilgStart,15)),$J6974*($H6974+INDEX(DarlTilgung,15))/100/12,IF(AND($G6974=0,$G6973=1),MAX($K6973,$J6974*($H6974+1)/100/12),$K6973))))</f>
      </c>
      <c r="L6974" s="43">
        <f>IF($I6974=0,0,$J6974*$H6974/100/12)</f>
      </c>
      <c r="M6974" s="43">
        <f>IF($I6974=0,0,IF(OR(INDEX(DarlOhneTilgung,15)=1,AND(INDEX(DarlTilgStart,15)&gt;0,$E6974&lt;INDEX(DarlTilgStart,15))),0,MIN(MAX(0,$K6974-$L6974),$J6974)))</f>
      </c>
      <c r="N6974" s="43">
        <f>IF($I6974=0,0,MIN(SUMIFS(SondBetrag,SondDarl,15,SondDatum,"&gt;="&amp;$E6974,SondDatum,"&lt;="&amp;EOMONTH($E6974,0)),$J6974-$M6974))</f>
      </c>
      <c r="O6974" s="43">
        <f>IF($I6974=0,0,INDEX(DarlErsatzRate,15))</f>
      </c>
      <c r="P6974" s="43">
        <f>IF($I6974=0,0,$Q6973*INDEX(DarlErsatzZins,15))</f>
      </c>
      <c r="Q6974" s="43">
        <f>IF($I6974=0,0,$Q6973+$P6974+$O6974)</f>
      </c>
      <c r="R6974" s="43">
        <f>IF($I6974=0,0,$J6974-$M6974-$N6974)</f>
      </c>
    </row>
    <row r="6975">
      <c r="A6975"/>
      <c r="B6975">
        <v>15</v>
      </c>
      <c r="C6975" s="43">
        <f>INDEX(DarlObj,15)</f>
      </c>
      <c r="D6975">
        <v>252</v>
      </c>
      <c r="E6975" s="51">
        <f>IF(INDEX(DarlBelegt,15)=0,0,EOMONTH(INDEX(DarlAuszahlung,15),251)+1)</f>
      </c>
      <c r="F6975" s="43">
        <f>IF($E6975=0,0,YEAR($E6975))</f>
      </c>
      <c r="G6975" s="43">
        <f>IF(INDEX(DarlBindung,15)="",1,IF($E6975&lt;=INDEX(DarlBindung,15),1,0))</f>
      </c>
      <c r="H6975" s="43">
        <f>IF($G6975=1,INDEX(DarlSollzins,15),INDEX(DarlAnschluss,15))</f>
      </c>
      <c r="I6975" s="43">
        <f>IF(INDEX(DarlBelegt,15)=0,0,IF(INDEX(DarlOhneTilgung,15)=1,IF(INDEX(DarlBindung,15)="",1,$G6975),IF($J6975&gt;0.005,1,0)))</f>
      </c>
      <c r="J6975" s="43">
        <f>IF($I6974=0,0,$R6974)</f>
      </c>
      <c r="K6975" s="43">
        <f>IF($I6975=0,0,IF(INDEX(DarlOhneTilgung,15)=1,0,IF(AND(INDEX(DarlTilgStart,15)&gt;0,$E6975=INDEX(DarlTilgStart,15)),$J6975*($H6975+INDEX(DarlTilgung,15))/100/12,IF(AND($G6975=0,$G6974=1),MAX($K6974,$J6975*($H6975+1)/100/12),$K6974))))</f>
      </c>
      <c r="L6975" s="43">
        <f>IF($I6975=0,0,$J6975*$H6975/100/12)</f>
      </c>
      <c r="M6975" s="43">
        <f>IF($I6975=0,0,IF(OR(INDEX(DarlOhneTilgung,15)=1,AND(INDEX(DarlTilgStart,15)&gt;0,$E6975&lt;INDEX(DarlTilgStart,15))),0,MIN(MAX(0,$K6975-$L6975),$J6975)))</f>
      </c>
      <c r="N6975" s="43">
        <f>IF($I6975=0,0,MIN(SUMIFS(SondBetrag,SondDarl,15,SondDatum,"&gt;="&amp;$E6975,SondDatum,"&lt;="&amp;EOMONTH($E6975,0)),$J6975-$M6975))</f>
      </c>
      <c r="O6975" s="43">
        <f>IF($I6975=0,0,INDEX(DarlErsatzRate,15))</f>
      </c>
      <c r="P6975" s="43">
        <f>IF($I6975=0,0,$Q6974*INDEX(DarlErsatzZins,15))</f>
      </c>
      <c r="Q6975" s="43">
        <f>IF($I6975=0,0,$Q6974+$P6975+$O6975)</f>
      </c>
      <c r="R6975" s="43">
        <f>IF($I6975=0,0,$J6975-$M6975-$N6975)</f>
      </c>
    </row>
    <row r="6976">
      <c r="A6976"/>
      <c r="B6976">
        <v>15</v>
      </c>
      <c r="C6976" s="43">
        <f>INDEX(DarlObj,15)</f>
      </c>
      <c r="D6976">
        <v>253</v>
      </c>
      <c r="E6976" s="51">
        <f>IF(INDEX(DarlBelegt,15)=0,0,EOMONTH(INDEX(DarlAuszahlung,15),252)+1)</f>
      </c>
      <c r="F6976" s="43">
        <f>IF($E6976=0,0,YEAR($E6976))</f>
      </c>
      <c r="G6976" s="43">
        <f>IF(INDEX(DarlBindung,15)="",1,IF($E6976&lt;=INDEX(DarlBindung,15),1,0))</f>
      </c>
      <c r="H6976" s="43">
        <f>IF($G6976=1,INDEX(DarlSollzins,15),INDEX(DarlAnschluss,15))</f>
      </c>
      <c r="I6976" s="43">
        <f>IF(INDEX(DarlBelegt,15)=0,0,IF(INDEX(DarlOhneTilgung,15)=1,IF(INDEX(DarlBindung,15)="",1,$G6976),IF($J6976&gt;0.005,1,0)))</f>
      </c>
      <c r="J6976" s="43">
        <f>IF($I6975=0,0,$R6975)</f>
      </c>
      <c r="K6976" s="43">
        <f>IF($I6976=0,0,IF(INDEX(DarlOhneTilgung,15)=1,0,IF(AND(INDEX(DarlTilgStart,15)&gt;0,$E6976=INDEX(DarlTilgStart,15)),$J6976*($H6976+INDEX(DarlTilgung,15))/100/12,IF(AND($G6976=0,$G6975=1),MAX($K6975,$J6976*($H6976+1)/100/12),$K6975))))</f>
      </c>
      <c r="L6976" s="43">
        <f>IF($I6976=0,0,$J6976*$H6976/100/12)</f>
      </c>
      <c r="M6976" s="43">
        <f>IF($I6976=0,0,IF(OR(INDEX(DarlOhneTilgung,15)=1,AND(INDEX(DarlTilgStart,15)&gt;0,$E6976&lt;INDEX(DarlTilgStart,15))),0,MIN(MAX(0,$K6976-$L6976),$J6976)))</f>
      </c>
      <c r="N6976" s="43">
        <f>IF($I6976=0,0,MIN(SUMIFS(SondBetrag,SondDarl,15,SondDatum,"&gt;="&amp;$E6976,SondDatum,"&lt;="&amp;EOMONTH($E6976,0)),$J6976-$M6976))</f>
      </c>
      <c r="O6976" s="43">
        <f>IF($I6976=0,0,INDEX(DarlErsatzRate,15))</f>
      </c>
      <c r="P6976" s="43">
        <f>IF($I6976=0,0,$Q6975*INDEX(DarlErsatzZins,15))</f>
      </c>
      <c r="Q6976" s="43">
        <f>IF($I6976=0,0,$Q6975+$P6976+$O6976)</f>
      </c>
      <c r="R6976" s="43">
        <f>IF($I6976=0,0,$J6976-$M6976-$N6976)</f>
      </c>
    </row>
    <row r="6977">
      <c r="A6977"/>
      <c r="B6977">
        <v>15</v>
      </c>
      <c r="C6977" s="43">
        <f>INDEX(DarlObj,15)</f>
      </c>
      <c r="D6977">
        <v>254</v>
      </c>
      <c r="E6977" s="51">
        <f>IF(INDEX(DarlBelegt,15)=0,0,EOMONTH(INDEX(DarlAuszahlung,15),253)+1)</f>
      </c>
      <c r="F6977" s="43">
        <f>IF($E6977=0,0,YEAR($E6977))</f>
      </c>
      <c r="G6977" s="43">
        <f>IF(INDEX(DarlBindung,15)="",1,IF($E6977&lt;=INDEX(DarlBindung,15),1,0))</f>
      </c>
      <c r="H6977" s="43">
        <f>IF($G6977=1,INDEX(DarlSollzins,15),INDEX(DarlAnschluss,15))</f>
      </c>
      <c r="I6977" s="43">
        <f>IF(INDEX(DarlBelegt,15)=0,0,IF(INDEX(DarlOhneTilgung,15)=1,IF(INDEX(DarlBindung,15)="",1,$G6977),IF($J6977&gt;0.005,1,0)))</f>
      </c>
      <c r="J6977" s="43">
        <f>IF($I6976=0,0,$R6976)</f>
      </c>
      <c r="K6977" s="43">
        <f>IF($I6977=0,0,IF(INDEX(DarlOhneTilgung,15)=1,0,IF(AND(INDEX(DarlTilgStart,15)&gt;0,$E6977=INDEX(DarlTilgStart,15)),$J6977*($H6977+INDEX(DarlTilgung,15))/100/12,IF(AND($G6977=0,$G6976=1),MAX($K6976,$J6977*($H6977+1)/100/12),$K6976))))</f>
      </c>
      <c r="L6977" s="43">
        <f>IF($I6977=0,0,$J6977*$H6977/100/12)</f>
      </c>
      <c r="M6977" s="43">
        <f>IF($I6977=0,0,IF(OR(INDEX(DarlOhneTilgung,15)=1,AND(INDEX(DarlTilgStart,15)&gt;0,$E6977&lt;INDEX(DarlTilgStart,15))),0,MIN(MAX(0,$K6977-$L6977),$J6977)))</f>
      </c>
      <c r="N6977" s="43">
        <f>IF($I6977=0,0,MIN(SUMIFS(SondBetrag,SondDarl,15,SondDatum,"&gt;="&amp;$E6977,SondDatum,"&lt;="&amp;EOMONTH($E6977,0)),$J6977-$M6977))</f>
      </c>
      <c r="O6977" s="43">
        <f>IF($I6977=0,0,INDEX(DarlErsatzRate,15))</f>
      </c>
      <c r="P6977" s="43">
        <f>IF($I6977=0,0,$Q6976*INDEX(DarlErsatzZins,15))</f>
      </c>
      <c r="Q6977" s="43">
        <f>IF($I6977=0,0,$Q6976+$P6977+$O6977)</f>
      </c>
      <c r="R6977" s="43">
        <f>IF($I6977=0,0,$J6977-$M6977-$N6977)</f>
      </c>
    </row>
    <row r="6978">
      <c r="A6978"/>
      <c r="B6978">
        <v>15</v>
      </c>
      <c r="C6978" s="43">
        <f>INDEX(DarlObj,15)</f>
      </c>
      <c r="D6978">
        <v>255</v>
      </c>
      <c r="E6978" s="51">
        <f>IF(INDEX(DarlBelegt,15)=0,0,EOMONTH(INDEX(DarlAuszahlung,15),254)+1)</f>
      </c>
      <c r="F6978" s="43">
        <f>IF($E6978=0,0,YEAR($E6978))</f>
      </c>
      <c r="G6978" s="43">
        <f>IF(INDEX(DarlBindung,15)="",1,IF($E6978&lt;=INDEX(DarlBindung,15),1,0))</f>
      </c>
      <c r="H6978" s="43">
        <f>IF($G6978=1,INDEX(DarlSollzins,15),INDEX(DarlAnschluss,15))</f>
      </c>
      <c r="I6978" s="43">
        <f>IF(INDEX(DarlBelegt,15)=0,0,IF(INDEX(DarlOhneTilgung,15)=1,IF(INDEX(DarlBindung,15)="",1,$G6978),IF($J6978&gt;0.005,1,0)))</f>
      </c>
      <c r="J6978" s="43">
        <f>IF($I6977=0,0,$R6977)</f>
      </c>
      <c r="K6978" s="43">
        <f>IF($I6978=0,0,IF(INDEX(DarlOhneTilgung,15)=1,0,IF(AND(INDEX(DarlTilgStart,15)&gt;0,$E6978=INDEX(DarlTilgStart,15)),$J6978*($H6978+INDEX(DarlTilgung,15))/100/12,IF(AND($G6978=0,$G6977=1),MAX($K6977,$J6978*($H6978+1)/100/12),$K6977))))</f>
      </c>
      <c r="L6978" s="43">
        <f>IF($I6978=0,0,$J6978*$H6978/100/12)</f>
      </c>
      <c r="M6978" s="43">
        <f>IF($I6978=0,0,IF(OR(INDEX(DarlOhneTilgung,15)=1,AND(INDEX(DarlTilgStart,15)&gt;0,$E6978&lt;INDEX(DarlTilgStart,15))),0,MIN(MAX(0,$K6978-$L6978),$J6978)))</f>
      </c>
      <c r="N6978" s="43">
        <f>IF($I6978=0,0,MIN(SUMIFS(SondBetrag,SondDarl,15,SondDatum,"&gt;="&amp;$E6978,SondDatum,"&lt;="&amp;EOMONTH($E6978,0)),$J6978-$M6978))</f>
      </c>
      <c r="O6978" s="43">
        <f>IF($I6978=0,0,INDEX(DarlErsatzRate,15))</f>
      </c>
      <c r="P6978" s="43">
        <f>IF($I6978=0,0,$Q6977*INDEX(DarlErsatzZins,15))</f>
      </c>
      <c r="Q6978" s="43">
        <f>IF($I6978=0,0,$Q6977+$P6978+$O6978)</f>
      </c>
      <c r="R6978" s="43">
        <f>IF($I6978=0,0,$J6978-$M6978-$N6978)</f>
      </c>
    </row>
    <row r="6979">
      <c r="A6979"/>
      <c r="B6979">
        <v>15</v>
      </c>
      <c r="C6979" s="43">
        <f>INDEX(DarlObj,15)</f>
      </c>
      <c r="D6979">
        <v>256</v>
      </c>
      <c r="E6979" s="51">
        <f>IF(INDEX(DarlBelegt,15)=0,0,EOMONTH(INDEX(DarlAuszahlung,15),255)+1)</f>
      </c>
      <c r="F6979" s="43">
        <f>IF($E6979=0,0,YEAR($E6979))</f>
      </c>
      <c r="G6979" s="43">
        <f>IF(INDEX(DarlBindung,15)="",1,IF($E6979&lt;=INDEX(DarlBindung,15),1,0))</f>
      </c>
      <c r="H6979" s="43">
        <f>IF($G6979=1,INDEX(DarlSollzins,15),INDEX(DarlAnschluss,15))</f>
      </c>
      <c r="I6979" s="43">
        <f>IF(INDEX(DarlBelegt,15)=0,0,IF(INDEX(DarlOhneTilgung,15)=1,IF(INDEX(DarlBindung,15)="",1,$G6979),IF($J6979&gt;0.005,1,0)))</f>
      </c>
      <c r="J6979" s="43">
        <f>IF($I6978=0,0,$R6978)</f>
      </c>
      <c r="K6979" s="43">
        <f>IF($I6979=0,0,IF(INDEX(DarlOhneTilgung,15)=1,0,IF(AND(INDEX(DarlTilgStart,15)&gt;0,$E6979=INDEX(DarlTilgStart,15)),$J6979*($H6979+INDEX(DarlTilgung,15))/100/12,IF(AND($G6979=0,$G6978=1),MAX($K6978,$J6979*($H6979+1)/100/12),$K6978))))</f>
      </c>
      <c r="L6979" s="43">
        <f>IF($I6979=0,0,$J6979*$H6979/100/12)</f>
      </c>
      <c r="M6979" s="43">
        <f>IF($I6979=0,0,IF(OR(INDEX(DarlOhneTilgung,15)=1,AND(INDEX(DarlTilgStart,15)&gt;0,$E6979&lt;INDEX(DarlTilgStart,15))),0,MIN(MAX(0,$K6979-$L6979),$J6979)))</f>
      </c>
      <c r="N6979" s="43">
        <f>IF($I6979=0,0,MIN(SUMIFS(SondBetrag,SondDarl,15,SondDatum,"&gt;="&amp;$E6979,SondDatum,"&lt;="&amp;EOMONTH($E6979,0)),$J6979-$M6979))</f>
      </c>
      <c r="O6979" s="43">
        <f>IF($I6979=0,0,INDEX(DarlErsatzRate,15))</f>
      </c>
      <c r="P6979" s="43">
        <f>IF($I6979=0,0,$Q6978*INDEX(DarlErsatzZins,15))</f>
      </c>
      <c r="Q6979" s="43">
        <f>IF($I6979=0,0,$Q6978+$P6979+$O6979)</f>
      </c>
      <c r="R6979" s="43">
        <f>IF($I6979=0,0,$J6979-$M6979-$N6979)</f>
      </c>
    </row>
    <row r="6980">
      <c r="A6980"/>
      <c r="B6980">
        <v>15</v>
      </c>
      <c r="C6980" s="43">
        <f>INDEX(DarlObj,15)</f>
      </c>
      <c r="D6980">
        <v>257</v>
      </c>
      <c r="E6980" s="51">
        <f>IF(INDEX(DarlBelegt,15)=0,0,EOMONTH(INDEX(DarlAuszahlung,15),256)+1)</f>
      </c>
      <c r="F6980" s="43">
        <f>IF($E6980=0,0,YEAR($E6980))</f>
      </c>
      <c r="G6980" s="43">
        <f>IF(INDEX(DarlBindung,15)="",1,IF($E6980&lt;=INDEX(DarlBindung,15),1,0))</f>
      </c>
      <c r="H6980" s="43">
        <f>IF($G6980=1,INDEX(DarlSollzins,15),INDEX(DarlAnschluss,15))</f>
      </c>
      <c r="I6980" s="43">
        <f>IF(INDEX(DarlBelegt,15)=0,0,IF(INDEX(DarlOhneTilgung,15)=1,IF(INDEX(DarlBindung,15)="",1,$G6980),IF($J6980&gt;0.005,1,0)))</f>
      </c>
      <c r="J6980" s="43">
        <f>IF($I6979=0,0,$R6979)</f>
      </c>
      <c r="K6980" s="43">
        <f>IF($I6980=0,0,IF(INDEX(DarlOhneTilgung,15)=1,0,IF(AND(INDEX(DarlTilgStart,15)&gt;0,$E6980=INDEX(DarlTilgStart,15)),$J6980*($H6980+INDEX(DarlTilgung,15))/100/12,IF(AND($G6980=0,$G6979=1),MAX($K6979,$J6980*($H6980+1)/100/12),$K6979))))</f>
      </c>
      <c r="L6980" s="43">
        <f>IF($I6980=0,0,$J6980*$H6980/100/12)</f>
      </c>
      <c r="M6980" s="43">
        <f>IF($I6980=0,0,IF(OR(INDEX(DarlOhneTilgung,15)=1,AND(INDEX(DarlTilgStart,15)&gt;0,$E6980&lt;INDEX(DarlTilgStart,15))),0,MIN(MAX(0,$K6980-$L6980),$J6980)))</f>
      </c>
      <c r="N6980" s="43">
        <f>IF($I6980=0,0,MIN(SUMIFS(SondBetrag,SondDarl,15,SondDatum,"&gt;="&amp;$E6980,SondDatum,"&lt;="&amp;EOMONTH($E6980,0)),$J6980-$M6980))</f>
      </c>
      <c r="O6980" s="43">
        <f>IF($I6980=0,0,INDEX(DarlErsatzRate,15))</f>
      </c>
      <c r="P6980" s="43">
        <f>IF($I6980=0,0,$Q6979*INDEX(DarlErsatzZins,15))</f>
      </c>
      <c r="Q6980" s="43">
        <f>IF($I6980=0,0,$Q6979+$P6980+$O6980)</f>
      </c>
      <c r="R6980" s="43">
        <f>IF($I6980=0,0,$J6980-$M6980-$N6980)</f>
      </c>
    </row>
    <row r="6981">
      <c r="A6981"/>
      <c r="B6981">
        <v>15</v>
      </c>
      <c r="C6981" s="43">
        <f>INDEX(DarlObj,15)</f>
      </c>
      <c r="D6981">
        <v>258</v>
      </c>
      <c r="E6981" s="51">
        <f>IF(INDEX(DarlBelegt,15)=0,0,EOMONTH(INDEX(DarlAuszahlung,15),257)+1)</f>
      </c>
      <c r="F6981" s="43">
        <f>IF($E6981=0,0,YEAR($E6981))</f>
      </c>
      <c r="G6981" s="43">
        <f>IF(INDEX(DarlBindung,15)="",1,IF($E6981&lt;=INDEX(DarlBindung,15),1,0))</f>
      </c>
      <c r="H6981" s="43">
        <f>IF($G6981=1,INDEX(DarlSollzins,15),INDEX(DarlAnschluss,15))</f>
      </c>
      <c r="I6981" s="43">
        <f>IF(INDEX(DarlBelegt,15)=0,0,IF(INDEX(DarlOhneTilgung,15)=1,IF(INDEX(DarlBindung,15)="",1,$G6981),IF($J6981&gt;0.005,1,0)))</f>
      </c>
      <c r="J6981" s="43">
        <f>IF($I6980=0,0,$R6980)</f>
      </c>
      <c r="K6981" s="43">
        <f>IF($I6981=0,0,IF(INDEX(DarlOhneTilgung,15)=1,0,IF(AND(INDEX(DarlTilgStart,15)&gt;0,$E6981=INDEX(DarlTilgStart,15)),$J6981*($H6981+INDEX(DarlTilgung,15))/100/12,IF(AND($G6981=0,$G6980=1),MAX($K6980,$J6981*($H6981+1)/100/12),$K6980))))</f>
      </c>
      <c r="L6981" s="43">
        <f>IF($I6981=0,0,$J6981*$H6981/100/12)</f>
      </c>
      <c r="M6981" s="43">
        <f>IF($I6981=0,0,IF(OR(INDEX(DarlOhneTilgung,15)=1,AND(INDEX(DarlTilgStart,15)&gt;0,$E6981&lt;INDEX(DarlTilgStart,15))),0,MIN(MAX(0,$K6981-$L6981),$J6981)))</f>
      </c>
      <c r="N6981" s="43">
        <f>IF($I6981=0,0,MIN(SUMIFS(SondBetrag,SondDarl,15,SondDatum,"&gt;="&amp;$E6981,SondDatum,"&lt;="&amp;EOMONTH($E6981,0)),$J6981-$M6981))</f>
      </c>
      <c r="O6981" s="43">
        <f>IF($I6981=0,0,INDEX(DarlErsatzRate,15))</f>
      </c>
      <c r="P6981" s="43">
        <f>IF($I6981=0,0,$Q6980*INDEX(DarlErsatzZins,15))</f>
      </c>
      <c r="Q6981" s="43">
        <f>IF($I6981=0,0,$Q6980+$P6981+$O6981)</f>
      </c>
      <c r="R6981" s="43">
        <f>IF($I6981=0,0,$J6981-$M6981-$N6981)</f>
      </c>
    </row>
    <row r="6982">
      <c r="A6982"/>
      <c r="B6982">
        <v>15</v>
      </c>
      <c r="C6982" s="43">
        <f>INDEX(DarlObj,15)</f>
      </c>
      <c r="D6982">
        <v>259</v>
      </c>
      <c r="E6982" s="51">
        <f>IF(INDEX(DarlBelegt,15)=0,0,EOMONTH(INDEX(DarlAuszahlung,15),258)+1)</f>
      </c>
      <c r="F6982" s="43">
        <f>IF($E6982=0,0,YEAR($E6982))</f>
      </c>
      <c r="G6982" s="43">
        <f>IF(INDEX(DarlBindung,15)="",1,IF($E6982&lt;=INDEX(DarlBindung,15),1,0))</f>
      </c>
      <c r="H6982" s="43">
        <f>IF($G6982=1,INDEX(DarlSollzins,15),INDEX(DarlAnschluss,15))</f>
      </c>
      <c r="I6982" s="43">
        <f>IF(INDEX(DarlBelegt,15)=0,0,IF(INDEX(DarlOhneTilgung,15)=1,IF(INDEX(DarlBindung,15)="",1,$G6982),IF($J6982&gt;0.005,1,0)))</f>
      </c>
      <c r="J6982" s="43">
        <f>IF($I6981=0,0,$R6981)</f>
      </c>
      <c r="K6982" s="43">
        <f>IF($I6982=0,0,IF(INDEX(DarlOhneTilgung,15)=1,0,IF(AND(INDEX(DarlTilgStart,15)&gt;0,$E6982=INDEX(DarlTilgStart,15)),$J6982*($H6982+INDEX(DarlTilgung,15))/100/12,IF(AND($G6982=0,$G6981=1),MAX($K6981,$J6982*($H6982+1)/100/12),$K6981))))</f>
      </c>
      <c r="L6982" s="43">
        <f>IF($I6982=0,0,$J6982*$H6982/100/12)</f>
      </c>
      <c r="M6982" s="43">
        <f>IF($I6982=0,0,IF(OR(INDEX(DarlOhneTilgung,15)=1,AND(INDEX(DarlTilgStart,15)&gt;0,$E6982&lt;INDEX(DarlTilgStart,15))),0,MIN(MAX(0,$K6982-$L6982),$J6982)))</f>
      </c>
      <c r="N6982" s="43">
        <f>IF($I6982=0,0,MIN(SUMIFS(SondBetrag,SondDarl,15,SondDatum,"&gt;="&amp;$E6982,SondDatum,"&lt;="&amp;EOMONTH($E6982,0)),$J6982-$M6982))</f>
      </c>
      <c r="O6982" s="43">
        <f>IF($I6982=0,0,INDEX(DarlErsatzRate,15))</f>
      </c>
      <c r="P6982" s="43">
        <f>IF($I6982=0,0,$Q6981*INDEX(DarlErsatzZins,15))</f>
      </c>
      <c r="Q6982" s="43">
        <f>IF($I6982=0,0,$Q6981+$P6982+$O6982)</f>
      </c>
      <c r="R6982" s="43">
        <f>IF($I6982=0,0,$J6982-$M6982-$N6982)</f>
      </c>
    </row>
    <row r="6983">
      <c r="A6983"/>
      <c r="B6983">
        <v>15</v>
      </c>
      <c r="C6983" s="43">
        <f>INDEX(DarlObj,15)</f>
      </c>
      <c r="D6983">
        <v>260</v>
      </c>
      <c r="E6983" s="51">
        <f>IF(INDEX(DarlBelegt,15)=0,0,EOMONTH(INDEX(DarlAuszahlung,15),259)+1)</f>
      </c>
      <c r="F6983" s="43">
        <f>IF($E6983=0,0,YEAR($E6983))</f>
      </c>
      <c r="G6983" s="43">
        <f>IF(INDEX(DarlBindung,15)="",1,IF($E6983&lt;=INDEX(DarlBindung,15),1,0))</f>
      </c>
      <c r="H6983" s="43">
        <f>IF($G6983=1,INDEX(DarlSollzins,15),INDEX(DarlAnschluss,15))</f>
      </c>
      <c r="I6983" s="43">
        <f>IF(INDEX(DarlBelegt,15)=0,0,IF(INDEX(DarlOhneTilgung,15)=1,IF(INDEX(DarlBindung,15)="",1,$G6983),IF($J6983&gt;0.005,1,0)))</f>
      </c>
      <c r="J6983" s="43">
        <f>IF($I6982=0,0,$R6982)</f>
      </c>
      <c r="K6983" s="43">
        <f>IF($I6983=0,0,IF(INDEX(DarlOhneTilgung,15)=1,0,IF(AND(INDEX(DarlTilgStart,15)&gt;0,$E6983=INDEX(DarlTilgStart,15)),$J6983*($H6983+INDEX(DarlTilgung,15))/100/12,IF(AND($G6983=0,$G6982=1),MAX($K6982,$J6983*($H6983+1)/100/12),$K6982))))</f>
      </c>
      <c r="L6983" s="43">
        <f>IF($I6983=0,0,$J6983*$H6983/100/12)</f>
      </c>
      <c r="M6983" s="43">
        <f>IF($I6983=0,0,IF(OR(INDEX(DarlOhneTilgung,15)=1,AND(INDEX(DarlTilgStart,15)&gt;0,$E6983&lt;INDEX(DarlTilgStart,15))),0,MIN(MAX(0,$K6983-$L6983),$J6983)))</f>
      </c>
      <c r="N6983" s="43">
        <f>IF($I6983=0,0,MIN(SUMIFS(SondBetrag,SondDarl,15,SondDatum,"&gt;="&amp;$E6983,SondDatum,"&lt;="&amp;EOMONTH($E6983,0)),$J6983-$M6983))</f>
      </c>
      <c r="O6983" s="43">
        <f>IF($I6983=0,0,INDEX(DarlErsatzRate,15))</f>
      </c>
      <c r="P6983" s="43">
        <f>IF($I6983=0,0,$Q6982*INDEX(DarlErsatzZins,15))</f>
      </c>
      <c r="Q6983" s="43">
        <f>IF($I6983=0,0,$Q6982+$P6983+$O6983)</f>
      </c>
      <c r="R6983" s="43">
        <f>IF($I6983=0,0,$J6983-$M6983-$N6983)</f>
      </c>
    </row>
    <row r="6984">
      <c r="A6984"/>
      <c r="B6984">
        <v>15</v>
      </c>
      <c r="C6984" s="43">
        <f>INDEX(DarlObj,15)</f>
      </c>
      <c r="D6984">
        <v>261</v>
      </c>
      <c r="E6984" s="51">
        <f>IF(INDEX(DarlBelegt,15)=0,0,EOMONTH(INDEX(DarlAuszahlung,15),260)+1)</f>
      </c>
      <c r="F6984" s="43">
        <f>IF($E6984=0,0,YEAR($E6984))</f>
      </c>
      <c r="G6984" s="43">
        <f>IF(INDEX(DarlBindung,15)="",1,IF($E6984&lt;=INDEX(DarlBindung,15),1,0))</f>
      </c>
      <c r="H6984" s="43">
        <f>IF($G6984=1,INDEX(DarlSollzins,15),INDEX(DarlAnschluss,15))</f>
      </c>
      <c r="I6984" s="43">
        <f>IF(INDEX(DarlBelegt,15)=0,0,IF(INDEX(DarlOhneTilgung,15)=1,IF(INDEX(DarlBindung,15)="",1,$G6984),IF($J6984&gt;0.005,1,0)))</f>
      </c>
      <c r="J6984" s="43">
        <f>IF($I6983=0,0,$R6983)</f>
      </c>
      <c r="K6984" s="43">
        <f>IF($I6984=0,0,IF(INDEX(DarlOhneTilgung,15)=1,0,IF(AND(INDEX(DarlTilgStart,15)&gt;0,$E6984=INDEX(DarlTilgStart,15)),$J6984*($H6984+INDEX(DarlTilgung,15))/100/12,IF(AND($G6984=0,$G6983=1),MAX($K6983,$J6984*($H6984+1)/100/12),$K6983))))</f>
      </c>
      <c r="L6984" s="43">
        <f>IF($I6984=0,0,$J6984*$H6984/100/12)</f>
      </c>
      <c r="M6984" s="43">
        <f>IF($I6984=0,0,IF(OR(INDEX(DarlOhneTilgung,15)=1,AND(INDEX(DarlTilgStart,15)&gt;0,$E6984&lt;INDEX(DarlTilgStart,15))),0,MIN(MAX(0,$K6984-$L6984),$J6984)))</f>
      </c>
      <c r="N6984" s="43">
        <f>IF($I6984=0,0,MIN(SUMIFS(SondBetrag,SondDarl,15,SondDatum,"&gt;="&amp;$E6984,SondDatum,"&lt;="&amp;EOMONTH($E6984,0)),$J6984-$M6984))</f>
      </c>
      <c r="O6984" s="43">
        <f>IF($I6984=0,0,INDEX(DarlErsatzRate,15))</f>
      </c>
      <c r="P6984" s="43">
        <f>IF($I6984=0,0,$Q6983*INDEX(DarlErsatzZins,15))</f>
      </c>
      <c r="Q6984" s="43">
        <f>IF($I6984=0,0,$Q6983+$P6984+$O6984)</f>
      </c>
      <c r="R6984" s="43">
        <f>IF($I6984=0,0,$J6984-$M6984-$N6984)</f>
      </c>
    </row>
    <row r="6985">
      <c r="A6985"/>
      <c r="B6985">
        <v>15</v>
      </c>
      <c r="C6985" s="43">
        <f>INDEX(DarlObj,15)</f>
      </c>
      <c r="D6985">
        <v>262</v>
      </c>
      <c r="E6985" s="51">
        <f>IF(INDEX(DarlBelegt,15)=0,0,EOMONTH(INDEX(DarlAuszahlung,15),261)+1)</f>
      </c>
      <c r="F6985" s="43">
        <f>IF($E6985=0,0,YEAR($E6985))</f>
      </c>
      <c r="G6985" s="43">
        <f>IF(INDEX(DarlBindung,15)="",1,IF($E6985&lt;=INDEX(DarlBindung,15),1,0))</f>
      </c>
      <c r="H6985" s="43">
        <f>IF($G6985=1,INDEX(DarlSollzins,15),INDEX(DarlAnschluss,15))</f>
      </c>
      <c r="I6985" s="43">
        <f>IF(INDEX(DarlBelegt,15)=0,0,IF(INDEX(DarlOhneTilgung,15)=1,IF(INDEX(DarlBindung,15)="",1,$G6985),IF($J6985&gt;0.005,1,0)))</f>
      </c>
      <c r="J6985" s="43">
        <f>IF($I6984=0,0,$R6984)</f>
      </c>
      <c r="K6985" s="43">
        <f>IF($I6985=0,0,IF(INDEX(DarlOhneTilgung,15)=1,0,IF(AND(INDEX(DarlTilgStart,15)&gt;0,$E6985=INDEX(DarlTilgStart,15)),$J6985*($H6985+INDEX(DarlTilgung,15))/100/12,IF(AND($G6985=0,$G6984=1),MAX($K6984,$J6985*($H6985+1)/100/12),$K6984))))</f>
      </c>
      <c r="L6985" s="43">
        <f>IF($I6985=0,0,$J6985*$H6985/100/12)</f>
      </c>
      <c r="M6985" s="43">
        <f>IF($I6985=0,0,IF(OR(INDEX(DarlOhneTilgung,15)=1,AND(INDEX(DarlTilgStart,15)&gt;0,$E6985&lt;INDEX(DarlTilgStart,15))),0,MIN(MAX(0,$K6985-$L6985),$J6985)))</f>
      </c>
      <c r="N6985" s="43">
        <f>IF($I6985=0,0,MIN(SUMIFS(SondBetrag,SondDarl,15,SondDatum,"&gt;="&amp;$E6985,SondDatum,"&lt;="&amp;EOMONTH($E6985,0)),$J6985-$M6985))</f>
      </c>
      <c r="O6985" s="43">
        <f>IF($I6985=0,0,INDEX(DarlErsatzRate,15))</f>
      </c>
      <c r="P6985" s="43">
        <f>IF($I6985=0,0,$Q6984*INDEX(DarlErsatzZins,15))</f>
      </c>
      <c r="Q6985" s="43">
        <f>IF($I6985=0,0,$Q6984+$P6985+$O6985)</f>
      </c>
      <c r="R6985" s="43">
        <f>IF($I6985=0,0,$J6985-$M6985-$N6985)</f>
      </c>
    </row>
    <row r="6986">
      <c r="A6986"/>
      <c r="B6986">
        <v>15</v>
      </c>
      <c r="C6986" s="43">
        <f>INDEX(DarlObj,15)</f>
      </c>
      <c r="D6986">
        <v>263</v>
      </c>
      <c r="E6986" s="51">
        <f>IF(INDEX(DarlBelegt,15)=0,0,EOMONTH(INDEX(DarlAuszahlung,15),262)+1)</f>
      </c>
      <c r="F6986" s="43">
        <f>IF($E6986=0,0,YEAR($E6986))</f>
      </c>
      <c r="G6986" s="43">
        <f>IF(INDEX(DarlBindung,15)="",1,IF($E6986&lt;=INDEX(DarlBindung,15),1,0))</f>
      </c>
      <c r="H6986" s="43">
        <f>IF($G6986=1,INDEX(DarlSollzins,15),INDEX(DarlAnschluss,15))</f>
      </c>
      <c r="I6986" s="43">
        <f>IF(INDEX(DarlBelegt,15)=0,0,IF(INDEX(DarlOhneTilgung,15)=1,IF(INDEX(DarlBindung,15)="",1,$G6986),IF($J6986&gt;0.005,1,0)))</f>
      </c>
      <c r="J6986" s="43">
        <f>IF($I6985=0,0,$R6985)</f>
      </c>
      <c r="K6986" s="43">
        <f>IF($I6986=0,0,IF(INDEX(DarlOhneTilgung,15)=1,0,IF(AND(INDEX(DarlTilgStart,15)&gt;0,$E6986=INDEX(DarlTilgStart,15)),$J6986*($H6986+INDEX(DarlTilgung,15))/100/12,IF(AND($G6986=0,$G6985=1),MAX($K6985,$J6986*($H6986+1)/100/12),$K6985))))</f>
      </c>
      <c r="L6986" s="43">
        <f>IF($I6986=0,0,$J6986*$H6986/100/12)</f>
      </c>
      <c r="M6986" s="43">
        <f>IF($I6986=0,0,IF(OR(INDEX(DarlOhneTilgung,15)=1,AND(INDEX(DarlTilgStart,15)&gt;0,$E6986&lt;INDEX(DarlTilgStart,15))),0,MIN(MAX(0,$K6986-$L6986),$J6986)))</f>
      </c>
      <c r="N6986" s="43">
        <f>IF($I6986=0,0,MIN(SUMIFS(SondBetrag,SondDarl,15,SondDatum,"&gt;="&amp;$E6986,SondDatum,"&lt;="&amp;EOMONTH($E6986,0)),$J6986-$M6986))</f>
      </c>
      <c r="O6986" s="43">
        <f>IF($I6986=0,0,INDEX(DarlErsatzRate,15))</f>
      </c>
      <c r="P6986" s="43">
        <f>IF($I6986=0,0,$Q6985*INDEX(DarlErsatzZins,15))</f>
      </c>
      <c r="Q6986" s="43">
        <f>IF($I6986=0,0,$Q6985+$P6986+$O6986)</f>
      </c>
      <c r="R6986" s="43">
        <f>IF($I6986=0,0,$J6986-$M6986-$N6986)</f>
      </c>
    </row>
    <row r="6987">
      <c r="A6987"/>
      <c r="B6987">
        <v>15</v>
      </c>
      <c r="C6987" s="43">
        <f>INDEX(DarlObj,15)</f>
      </c>
      <c r="D6987">
        <v>264</v>
      </c>
      <c r="E6987" s="51">
        <f>IF(INDEX(DarlBelegt,15)=0,0,EOMONTH(INDEX(DarlAuszahlung,15),263)+1)</f>
      </c>
      <c r="F6987" s="43">
        <f>IF($E6987=0,0,YEAR($E6987))</f>
      </c>
      <c r="G6987" s="43">
        <f>IF(INDEX(DarlBindung,15)="",1,IF($E6987&lt;=INDEX(DarlBindung,15),1,0))</f>
      </c>
      <c r="H6987" s="43">
        <f>IF($G6987=1,INDEX(DarlSollzins,15),INDEX(DarlAnschluss,15))</f>
      </c>
      <c r="I6987" s="43">
        <f>IF(INDEX(DarlBelegt,15)=0,0,IF(INDEX(DarlOhneTilgung,15)=1,IF(INDEX(DarlBindung,15)="",1,$G6987),IF($J6987&gt;0.005,1,0)))</f>
      </c>
      <c r="J6987" s="43">
        <f>IF($I6986=0,0,$R6986)</f>
      </c>
      <c r="K6987" s="43">
        <f>IF($I6987=0,0,IF(INDEX(DarlOhneTilgung,15)=1,0,IF(AND(INDEX(DarlTilgStart,15)&gt;0,$E6987=INDEX(DarlTilgStart,15)),$J6987*($H6987+INDEX(DarlTilgung,15))/100/12,IF(AND($G6987=0,$G6986=1),MAX($K6986,$J6987*($H6987+1)/100/12),$K6986))))</f>
      </c>
      <c r="L6987" s="43">
        <f>IF($I6987=0,0,$J6987*$H6987/100/12)</f>
      </c>
      <c r="M6987" s="43">
        <f>IF($I6987=0,0,IF(OR(INDEX(DarlOhneTilgung,15)=1,AND(INDEX(DarlTilgStart,15)&gt;0,$E6987&lt;INDEX(DarlTilgStart,15))),0,MIN(MAX(0,$K6987-$L6987),$J6987)))</f>
      </c>
      <c r="N6987" s="43">
        <f>IF($I6987=0,0,MIN(SUMIFS(SondBetrag,SondDarl,15,SondDatum,"&gt;="&amp;$E6987,SondDatum,"&lt;="&amp;EOMONTH($E6987,0)),$J6987-$M6987))</f>
      </c>
      <c r="O6987" s="43">
        <f>IF($I6987=0,0,INDEX(DarlErsatzRate,15))</f>
      </c>
      <c r="P6987" s="43">
        <f>IF($I6987=0,0,$Q6986*INDEX(DarlErsatzZins,15))</f>
      </c>
      <c r="Q6987" s="43">
        <f>IF($I6987=0,0,$Q6986+$P6987+$O6987)</f>
      </c>
      <c r="R6987" s="43">
        <f>IF($I6987=0,0,$J6987-$M6987-$N6987)</f>
      </c>
    </row>
    <row r="6988">
      <c r="A6988"/>
      <c r="B6988">
        <v>15</v>
      </c>
      <c r="C6988" s="43">
        <f>INDEX(DarlObj,15)</f>
      </c>
      <c r="D6988">
        <v>265</v>
      </c>
      <c r="E6988" s="51">
        <f>IF(INDEX(DarlBelegt,15)=0,0,EOMONTH(INDEX(DarlAuszahlung,15),264)+1)</f>
      </c>
      <c r="F6988" s="43">
        <f>IF($E6988=0,0,YEAR($E6988))</f>
      </c>
      <c r="G6988" s="43">
        <f>IF(INDEX(DarlBindung,15)="",1,IF($E6988&lt;=INDEX(DarlBindung,15),1,0))</f>
      </c>
      <c r="H6988" s="43">
        <f>IF($G6988=1,INDEX(DarlSollzins,15),INDEX(DarlAnschluss,15))</f>
      </c>
      <c r="I6988" s="43">
        <f>IF(INDEX(DarlBelegt,15)=0,0,IF(INDEX(DarlOhneTilgung,15)=1,IF(INDEX(DarlBindung,15)="",1,$G6988),IF($J6988&gt;0.005,1,0)))</f>
      </c>
      <c r="J6988" s="43">
        <f>IF($I6987=0,0,$R6987)</f>
      </c>
      <c r="K6988" s="43">
        <f>IF($I6988=0,0,IF(INDEX(DarlOhneTilgung,15)=1,0,IF(AND(INDEX(DarlTilgStart,15)&gt;0,$E6988=INDEX(DarlTilgStart,15)),$J6988*($H6988+INDEX(DarlTilgung,15))/100/12,IF(AND($G6988=0,$G6987=1),MAX($K6987,$J6988*($H6988+1)/100/12),$K6987))))</f>
      </c>
      <c r="L6988" s="43">
        <f>IF($I6988=0,0,$J6988*$H6988/100/12)</f>
      </c>
      <c r="M6988" s="43">
        <f>IF($I6988=0,0,IF(OR(INDEX(DarlOhneTilgung,15)=1,AND(INDEX(DarlTilgStart,15)&gt;0,$E6988&lt;INDEX(DarlTilgStart,15))),0,MIN(MAX(0,$K6988-$L6988),$J6988)))</f>
      </c>
      <c r="N6988" s="43">
        <f>IF($I6988=0,0,MIN(SUMIFS(SondBetrag,SondDarl,15,SondDatum,"&gt;="&amp;$E6988,SondDatum,"&lt;="&amp;EOMONTH($E6988,0)),$J6988-$M6988))</f>
      </c>
      <c r="O6988" s="43">
        <f>IF($I6988=0,0,INDEX(DarlErsatzRate,15))</f>
      </c>
      <c r="P6988" s="43">
        <f>IF($I6988=0,0,$Q6987*INDEX(DarlErsatzZins,15))</f>
      </c>
      <c r="Q6988" s="43">
        <f>IF($I6988=0,0,$Q6987+$P6988+$O6988)</f>
      </c>
      <c r="R6988" s="43">
        <f>IF($I6988=0,0,$J6988-$M6988-$N6988)</f>
      </c>
    </row>
    <row r="6989">
      <c r="A6989"/>
      <c r="B6989">
        <v>15</v>
      </c>
      <c r="C6989" s="43">
        <f>INDEX(DarlObj,15)</f>
      </c>
      <c r="D6989">
        <v>266</v>
      </c>
      <c r="E6989" s="51">
        <f>IF(INDEX(DarlBelegt,15)=0,0,EOMONTH(INDEX(DarlAuszahlung,15),265)+1)</f>
      </c>
      <c r="F6989" s="43">
        <f>IF($E6989=0,0,YEAR($E6989))</f>
      </c>
      <c r="G6989" s="43">
        <f>IF(INDEX(DarlBindung,15)="",1,IF($E6989&lt;=INDEX(DarlBindung,15),1,0))</f>
      </c>
      <c r="H6989" s="43">
        <f>IF($G6989=1,INDEX(DarlSollzins,15),INDEX(DarlAnschluss,15))</f>
      </c>
      <c r="I6989" s="43">
        <f>IF(INDEX(DarlBelegt,15)=0,0,IF(INDEX(DarlOhneTilgung,15)=1,IF(INDEX(DarlBindung,15)="",1,$G6989),IF($J6989&gt;0.005,1,0)))</f>
      </c>
      <c r="J6989" s="43">
        <f>IF($I6988=0,0,$R6988)</f>
      </c>
      <c r="K6989" s="43">
        <f>IF($I6989=0,0,IF(INDEX(DarlOhneTilgung,15)=1,0,IF(AND(INDEX(DarlTilgStart,15)&gt;0,$E6989=INDEX(DarlTilgStart,15)),$J6989*($H6989+INDEX(DarlTilgung,15))/100/12,IF(AND($G6989=0,$G6988=1),MAX($K6988,$J6989*($H6989+1)/100/12),$K6988))))</f>
      </c>
      <c r="L6989" s="43">
        <f>IF($I6989=0,0,$J6989*$H6989/100/12)</f>
      </c>
      <c r="M6989" s="43">
        <f>IF($I6989=0,0,IF(OR(INDEX(DarlOhneTilgung,15)=1,AND(INDEX(DarlTilgStart,15)&gt;0,$E6989&lt;INDEX(DarlTilgStart,15))),0,MIN(MAX(0,$K6989-$L6989),$J6989)))</f>
      </c>
      <c r="N6989" s="43">
        <f>IF($I6989=0,0,MIN(SUMIFS(SondBetrag,SondDarl,15,SondDatum,"&gt;="&amp;$E6989,SondDatum,"&lt;="&amp;EOMONTH($E6989,0)),$J6989-$M6989))</f>
      </c>
      <c r="O6989" s="43">
        <f>IF($I6989=0,0,INDEX(DarlErsatzRate,15))</f>
      </c>
      <c r="P6989" s="43">
        <f>IF($I6989=0,0,$Q6988*INDEX(DarlErsatzZins,15))</f>
      </c>
      <c r="Q6989" s="43">
        <f>IF($I6989=0,0,$Q6988+$P6989+$O6989)</f>
      </c>
      <c r="R6989" s="43">
        <f>IF($I6989=0,0,$J6989-$M6989-$N6989)</f>
      </c>
    </row>
    <row r="6990">
      <c r="A6990"/>
      <c r="B6990">
        <v>15</v>
      </c>
      <c r="C6990" s="43">
        <f>INDEX(DarlObj,15)</f>
      </c>
      <c r="D6990">
        <v>267</v>
      </c>
      <c r="E6990" s="51">
        <f>IF(INDEX(DarlBelegt,15)=0,0,EOMONTH(INDEX(DarlAuszahlung,15),266)+1)</f>
      </c>
      <c r="F6990" s="43">
        <f>IF($E6990=0,0,YEAR($E6990))</f>
      </c>
      <c r="G6990" s="43">
        <f>IF(INDEX(DarlBindung,15)="",1,IF($E6990&lt;=INDEX(DarlBindung,15),1,0))</f>
      </c>
      <c r="H6990" s="43">
        <f>IF($G6990=1,INDEX(DarlSollzins,15),INDEX(DarlAnschluss,15))</f>
      </c>
      <c r="I6990" s="43">
        <f>IF(INDEX(DarlBelegt,15)=0,0,IF(INDEX(DarlOhneTilgung,15)=1,IF(INDEX(DarlBindung,15)="",1,$G6990),IF($J6990&gt;0.005,1,0)))</f>
      </c>
      <c r="J6990" s="43">
        <f>IF($I6989=0,0,$R6989)</f>
      </c>
      <c r="K6990" s="43">
        <f>IF($I6990=0,0,IF(INDEX(DarlOhneTilgung,15)=1,0,IF(AND(INDEX(DarlTilgStart,15)&gt;0,$E6990=INDEX(DarlTilgStart,15)),$J6990*($H6990+INDEX(DarlTilgung,15))/100/12,IF(AND($G6990=0,$G6989=1),MAX($K6989,$J6990*($H6990+1)/100/12),$K6989))))</f>
      </c>
      <c r="L6990" s="43">
        <f>IF($I6990=0,0,$J6990*$H6990/100/12)</f>
      </c>
      <c r="M6990" s="43">
        <f>IF($I6990=0,0,IF(OR(INDEX(DarlOhneTilgung,15)=1,AND(INDEX(DarlTilgStart,15)&gt;0,$E6990&lt;INDEX(DarlTilgStart,15))),0,MIN(MAX(0,$K6990-$L6990),$J6990)))</f>
      </c>
      <c r="N6990" s="43">
        <f>IF($I6990=0,0,MIN(SUMIFS(SondBetrag,SondDarl,15,SondDatum,"&gt;="&amp;$E6990,SondDatum,"&lt;="&amp;EOMONTH($E6990,0)),$J6990-$M6990))</f>
      </c>
      <c r="O6990" s="43">
        <f>IF($I6990=0,0,INDEX(DarlErsatzRate,15))</f>
      </c>
      <c r="P6990" s="43">
        <f>IF($I6990=0,0,$Q6989*INDEX(DarlErsatzZins,15))</f>
      </c>
      <c r="Q6990" s="43">
        <f>IF($I6990=0,0,$Q6989+$P6990+$O6990)</f>
      </c>
      <c r="R6990" s="43">
        <f>IF($I6990=0,0,$J6990-$M6990-$N6990)</f>
      </c>
    </row>
    <row r="6991">
      <c r="A6991"/>
      <c r="B6991">
        <v>15</v>
      </c>
      <c r="C6991" s="43">
        <f>INDEX(DarlObj,15)</f>
      </c>
      <c r="D6991">
        <v>268</v>
      </c>
      <c r="E6991" s="51">
        <f>IF(INDEX(DarlBelegt,15)=0,0,EOMONTH(INDEX(DarlAuszahlung,15),267)+1)</f>
      </c>
      <c r="F6991" s="43">
        <f>IF($E6991=0,0,YEAR($E6991))</f>
      </c>
      <c r="G6991" s="43">
        <f>IF(INDEX(DarlBindung,15)="",1,IF($E6991&lt;=INDEX(DarlBindung,15),1,0))</f>
      </c>
      <c r="H6991" s="43">
        <f>IF($G6991=1,INDEX(DarlSollzins,15),INDEX(DarlAnschluss,15))</f>
      </c>
      <c r="I6991" s="43">
        <f>IF(INDEX(DarlBelegt,15)=0,0,IF(INDEX(DarlOhneTilgung,15)=1,IF(INDEX(DarlBindung,15)="",1,$G6991),IF($J6991&gt;0.005,1,0)))</f>
      </c>
      <c r="J6991" s="43">
        <f>IF($I6990=0,0,$R6990)</f>
      </c>
      <c r="K6991" s="43">
        <f>IF($I6991=0,0,IF(INDEX(DarlOhneTilgung,15)=1,0,IF(AND(INDEX(DarlTilgStart,15)&gt;0,$E6991=INDEX(DarlTilgStart,15)),$J6991*($H6991+INDEX(DarlTilgung,15))/100/12,IF(AND($G6991=0,$G6990=1),MAX($K6990,$J6991*($H6991+1)/100/12),$K6990))))</f>
      </c>
      <c r="L6991" s="43">
        <f>IF($I6991=0,0,$J6991*$H6991/100/12)</f>
      </c>
      <c r="M6991" s="43">
        <f>IF($I6991=0,0,IF(OR(INDEX(DarlOhneTilgung,15)=1,AND(INDEX(DarlTilgStart,15)&gt;0,$E6991&lt;INDEX(DarlTilgStart,15))),0,MIN(MAX(0,$K6991-$L6991),$J6991)))</f>
      </c>
      <c r="N6991" s="43">
        <f>IF($I6991=0,0,MIN(SUMIFS(SondBetrag,SondDarl,15,SondDatum,"&gt;="&amp;$E6991,SondDatum,"&lt;="&amp;EOMONTH($E6991,0)),$J6991-$M6991))</f>
      </c>
      <c r="O6991" s="43">
        <f>IF($I6991=0,0,INDEX(DarlErsatzRate,15))</f>
      </c>
      <c r="P6991" s="43">
        <f>IF($I6991=0,0,$Q6990*INDEX(DarlErsatzZins,15))</f>
      </c>
      <c r="Q6991" s="43">
        <f>IF($I6991=0,0,$Q6990+$P6991+$O6991)</f>
      </c>
      <c r="R6991" s="43">
        <f>IF($I6991=0,0,$J6991-$M6991-$N6991)</f>
      </c>
    </row>
    <row r="6992">
      <c r="A6992"/>
      <c r="B6992">
        <v>15</v>
      </c>
      <c r="C6992" s="43">
        <f>INDEX(DarlObj,15)</f>
      </c>
      <c r="D6992">
        <v>269</v>
      </c>
      <c r="E6992" s="51">
        <f>IF(INDEX(DarlBelegt,15)=0,0,EOMONTH(INDEX(DarlAuszahlung,15),268)+1)</f>
      </c>
      <c r="F6992" s="43">
        <f>IF($E6992=0,0,YEAR($E6992))</f>
      </c>
      <c r="G6992" s="43">
        <f>IF(INDEX(DarlBindung,15)="",1,IF($E6992&lt;=INDEX(DarlBindung,15),1,0))</f>
      </c>
      <c r="H6992" s="43">
        <f>IF($G6992=1,INDEX(DarlSollzins,15),INDEX(DarlAnschluss,15))</f>
      </c>
      <c r="I6992" s="43">
        <f>IF(INDEX(DarlBelegt,15)=0,0,IF(INDEX(DarlOhneTilgung,15)=1,IF(INDEX(DarlBindung,15)="",1,$G6992),IF($J6992&gt;0.005,1,0)))</f>
      </c>
      <c r="J6992" s="43">
        <f>IF($I6991=0,0,$R6991)</f>
      </c>
      <c r="K6992" s="43">
        <f>IF($I6992=0,0,IF(INDEX(DarlOhneTilgung,15)=1,0,IF(AND(INDEX(DarlTilgStart,15)&gt;0,$E6992=INDEX(DarlTilgStart,15)),$J6992*($H6992+INDEX(DarlTilgung,15))/100/12,IF(AND($G6992=0,$G6991=1),MAX($K6991,$J6992*($H6992+1)/100/12),$K6991))))</f>
      </c>
      <c r="L6992" s="43">
        <f>IF($I6992=0,0,$J6992*$H6992/100/12)</f>
      </c>
      <c r="M6992" s="43">
        <f>IF($I6992=0,0,IF(OR(INDEX(DarlOhneTilgung,15)=1,AND(INDEX(DarlTilgStart,15)&gt;0,$E6992&lt;INDEX(DarlTilgStart,15))),0,MIN(MAX(0,$K6992-$L6992),$J6992)))</f>
      </c>
      <c r="N6992" s="43">
        <f>IF($I6992=0,0,MIN(SUMIFS(SondBetrag,SondDarl,15,SondDatum,"&gt;="&amp;$E6992,SondDatum,"&lt;="&amp;EOMONTH($E6992,0)),$J6992-$M6992))</f>
      </c>
      <c r="O6992" s="43">
        <f>IF($I6992=0,0,INDEX(DarlErsatzRate,15))</f>
      </c>
      <c r="P6992" s="43">
        <f>IF($I6992=0,0,$Q6991*INDEX(DarlErsatzZins,15))</f>
      </c>
      <c r="Q6992" s="43">
        <f>IF($I6992=0,0,$Q6991+$P6992+$O6992)</f>
      </c>
      <c r="R6992" s="43">
        <f>IF($I6992=0,0,$J6992-$M6992-$N6992)</f>
      </c>
    </row>
    <row r="6993">
      <c r="A6993"/>
      <c r="B6993">
        <v>15</v>
      </c>
      <c r="C6993" s="43">
        <f>INDEX(DarlObj,15)</f>
      </c>
      <c r="D6993">
        <v>270</v>
      </c>
      <c r="E6993" s="51">
        <f>IF(INDEX(DarlBelegt,15)=0,0,EOMONTH(INDEX(DarlAuszahlung,15),269)+1)</f>
      </c>
      <c r="F6993" s="43">
        <f>IF($E6993=0,0,YEAR($E6993))</f>
      </c>
      <c r="G6993" s="43">
        <f>IF(INDEX(DarlBindung,15)="",1,IF($E6993&lt;=INDEX(DarlBindung,15),1,0))</f>
      </c>
      <c r="H6993" s="43">
        <f>IF($G6993=1,INDEX(DarlSollzins,15),INDEX(DarlAnschluss,15))</f>
      </c>
      <c r="I6993" s="43">
        <f>IF(INDEX(DarlBelegt,15)=0,0,IF(INDEX(DarlOhneTilgung,15)=1,IF(INDEX(DarlBindung,15)="",1,$G6993),IF($J6993&gt;0.005,1,0)))</f>
      </c>
      <c r="J6993" s="43">
        <f>IF($I6992=0,0,$R6992)</f>
      </c>
      <c r="K6993" s="43">
        <f>IF($I6993=0,0,IF(INDEX(DarlOhneTilgung,15)=1,0,IF(AND(INDEX(DarlTilgStart,15)&gt;0,$E6993=INDEX(DarlTilgStart,15)),$J6993*($H6993+INDEX(DarlTilgung,15))/100/12,IF(AND($G6993=0,$G6992=1),MAX($K6992,$J6993*($H6993+1)/100/12),$K6992))))</f>
      </c>
      <c r="L6993" s="43">
        <f>IF($I6993=0,0,$J6993*$H6993/100/12)</f>
      </c>
      <c r="M6993" s="43">
        <f>IF($I6993=0,0,IF(OR(INDEX(DarlOhneTilgung,15)=1,AND(INDEX(DarlTilgStart,15)&gt;0,$E6993&lt;INDEX(DarlTilgStart,15))),0,MIN(MAX(0,$K6993-$L6993),$J6993)))</f>
      </c>
      <c r="N6993" s="43">
        <f>IF($I6993=0,0,MIN(SUMIFS(SondBetrag,SondDarl,15,SondDatum,"&gt;="&amp;$E6993,SondDatum,"&lt;="&amp;EOMONTH($E6993,0)),$J6993-$M6993))</f>
      </c>
      <c r="O6993" s="43">
        <f>IF($I6993=0,0,INDEX(DarlErsatzRate,15))</f>
      </c>
      <c r="P6993" s="43">
        <f>IF($I6993=0,0,$Q6992*INDEX(DarlErsatzZins,15))</f>
      </c>
      <c r="Q6993" s="43">
        <f>IF($I6993=0,0,$Q6992+$P6993+$O6993)</f>
      </c>
      <c r="R6993" s="43">
        <f>IF($I6993=0,0,$J6993-$M6993-$N6993)</f>
      </c>
    </row>
    <row r="6994">
      <c r="A6994"/>
      <c r="B6994">
        <v>15</v>
      </c>
      <c r="C6994" s="43">
        <f>INDEX(DarlObj,15)</f>
      </c>
      <c r="D6994">
        <v>271</v>
      </c>
      <c r="E6994" s="51">
        <f>IF(INDEX(DarlBelegt,15)=0,0,EOMONTH(INDEX(DarlAuszahlung,15),270)+1)</f>
      </c>
      <c r="F6994" s="43">
        <f>IF($E6994=0,0,YEAR($E6994))</f>
      </c>
      <c r="G6994" s="43">
        <f>IF(INDEX(DarlBindung,15)="",1,IF($E6994&lt;=INDEX(DarlBindung,15),1,0))</f>
      </c>
      <c r="H6994" s="43">
        <f>IF($G6994=1,INDEX(DarlSollzins,15),INDEX(DarlAnschluss,15))</f>
      </c>
      <c r="I6994" s="43">
        <f>IF(INDEX(DarlBelegt,15)=0,0,IF(INDEX(DarlOhneTilgung,15)=1,IF(INDEX(DarlBindung,15)="",1,$G6994),IF($J6994&gt;0.005,1,0)))</f>
      </c>
      <c r="J6994" s="43">
        <f>IF($I6993=0,0,$R6993)</f>
      </c>
      <c r="K6994" s="43">
        <f>IF($I6994=0,0,IF(INDEX(DarlOhneTilgung,15)=1,0,IF(AND(INDEX(DarlTilgStart,15)&gt;0,$E6994=INDEX(DarlTilgStart,15)),$J6994*($H6994+INDEX(DarlTilgung,15))/100/12,IF(AND($G6994=0,$G6993=1),MAX($K6993,$J6994*($H6994+1)/100/12),$K6993))))</f>
      </c>
      <c r="L6994" s="43">
        <f>IF($I6994=0,0,$J6994*$H6994/100/12)</f>
      </c>
      <c r="M6994" s="43">
        <f>IF($I6994=0,0,IF(OR(INDEX(DarlOhneTilgung,15)=1,AND(INDEX(DarlTilgStart,15)&gt;0,$E6994&lt;INDEX(DarlTilgStart,15))),0,MIN(MAX(0,$K6994-$L6994),$J6994)))</f>
      </c>
      <c r="N6994" s="43">
        <f>IF($I6994=0,0,MIN(SUMIFS(SondBetrag,SondDarl,15,SondDatum,"&gt;="&amp;$E6994,SondDatum,"&lt;="&amp;EOMONTH($E6994,0)),$J6994-$M6994))</f>
      </c>
      <c r="O6994" s="43">
        <f>IF($I6994=0,0,INDEX(DarlErsatzRate,15))</f>
      </c>
      <c r="P6994" s="43">
        <f>IF($I6994=0,0,$Q6993*INDEX(DarlErsatzZins,15))</f>
      </c>
      <c r="Q6994" s="43">
        <f>IF($I6994=0,0,$Q6993+$P6994+$O6994)</f>
      </c>
      <c r="R6994" s="43">
        <f>IF($I6994=0,0,$J6994-$M6994-$N6994)</f>
      </c>
    </row>
    <row r="6995">
      <c r="A6995"/>
      <c r="B6995">
        <v>15</v>
      </c>
      <c r="C6995" s="43">
        <f>INDEX(DarlObj,15)</f>
      </c>
      <c r="D6995">
        <v>272</v>
      </c>
      <c r="E6995" s="51">
        <f>IF(INDEX(DarlBelegt,15)=0,0,EOMONTH(INDEX(DarlAuszahlung,15),271)+1)</f>
      </c>
      <c r="F6995" s="43">
        <f>IF($E6995=0,0,YEAR($E6995))</f>
      </c>
      <c r="G6995" s="43">
        <f>IF(INDEX(DarlBindung,15)="",1,IF($E6995&lt;=INDEX(DarlBindung,15),1,0))</f>
      </c>
      <c r="H6995" s="43">
        <f>IF($G6995=1,INDEX(DarlSollzins,15),INDEX(DarlAnschluss,15))</f>
      </c>
      <c r="I6995" s="43">
        <f>IF(INDEX(DarlBelegt,15)=0,0,IF(INDEX(DarlOhneTilgung,15)=1,IF(INDEX(DarlBindung,15)="",1,$G6995),IF($J6995&gt;0.005,1,0)))</f>
      </c>
      <c r="J6995" s="43">
        <f>IF($I6994=0,0,$R6994)</f>
      </c>
      <c r="K6995" s="43">
        <f>IF($I6995=0,0,IF(INDEX(DarlOhneTilgung,15)=1,0,IF(AND(INDEX(DarlTilgStart,15)&gt;0,$E6995=INDEX(DarlTilgStart,15)),$J6995*($H6995+INDEX(DarlTilgung,15))/100/12,IF(AND($G6995=0,$G6994=1),MAX($K6994,$J6995*($H6995+1)/100/12),$K6994))))</f>
      </c>
      <c r="L6995" s="43">
        <f>IF($I6995=0,0,$J6995*$H6995/100/12)</f>
      </c>
      <c r="M6995" s="43">
        <f>IF($I6995=0,0,IF(OR(INDEX(DarlOhneTilgung,15)=1,AND(INDEX(DarlTilgStart,15)&gt;0,$E6995&lt;INDEX(DarlTilgStart,15))),0,MIN(MAX(0,$K6995-$L6995),$J6995)))</f>
      </c>
      <c r="N6995" s="43">
        <f>IF($I6995=0,0,MIN(SUMIFS(SondBetrag,SondDarl,15,SondDatum,"&gt;="&amp;$E6995,SondDatum,"&lt;="&amp;EOMONTH($E6995,0)),$J6995-$M6995))</f>
      </c>
      <c r="O6995" s="43">
        <f>IF($I6995=0,0,INDEX(DarlErsatzRate,15))</f>
      </c>
      <c r="P6995" s="43">
        <f>IF($I6995=0,0,$Q6994*INDEX(DarlErsatzZins,15))</f>
      </c>
      <c r="Q6995" s="43">
        <f>IF($I6995=0,0,$Q6994+$P6995+$O6995)</f>
      </c>
      <c r="R6995" s="43">
        <f>IF($I6995=0,0,$J6995-$M6995-$N6995)</f>
      </c>
    </row>
    <row r="6996">
      <c r="A6996"/>
      <c r="B6996">
        <v>15</v>
      </c>
      <c r="C6996" s="43">
        <f>INDEX(DarlObj,15)</f>
      </c>
      <c r="D6996">
        <v>273</v>
      </c>
      <c r="E6996" s="51">
        <f>IF(INDEX(DarlBelegt,15)=0,0,EOMONTH(INDEX(DarlAuszahlung,15),272)+1)</f>
      </c>
      <c r="F6996" s="43">
        <f>IF($E6996=0,0,YEAR($E6996))</f>
      </c>
      <c r="G6996" s="43">
        <f>IF(INDEX(DarlBindung,15)="",1,IF($E6996&lt;=INDEX(DarlBindung,15),1,0))</f>
      </c>
      <c r="H6996" s="43">
        <f>IF($G6996=1,INDEX(DarlSollzins,15),INDEX(DarlAnschluss,15))</f>
      </c>
      <c r="I6996" s="43">
        <f>IF(INDEX(DarlBelegt,15)=0,0,IF(INDEX(DarlOhneTilgung,15)=1,IF(INDEX(DarlBindung,15)="",1,$G6996),IF($J6996&gt;0.005,1,0)))</f>
      </c>
      <c r="J6996" s="43">
        <f>IF($I6995=0,0,$R6995)</f>
      </c>
      <c r="K6996" s="43">
        <f>IF($I6996=0,0,IF(INDEX(DarlOhneTilgung,15)=1,0,IF(AND(INDEX(DarlTilgStart,15)&gt;0,$E6996=INDEX(DarlTilgStart,15)),$J6996*($H6996+INDEX(DarlTilgung,15))/100/12,IF(AND($G6996=0,$G6995=1),MAX($K6995,$J6996*($H6996+1)/100/12),$K6995))))</f>
      </c>
      <c r="L6996" s="43">
        <f>IF($I6996=0,0,$J6996*$H6996/100/12)</f>
      </c>
      <c r="M6996" s="43">
        <f>IF($I6996=0,0,IF(OR(INDEX(DarlOhneTilgung,15)=1,AND(INDEX(DarlTilgStart,15)&gt;0,$E6996&lt;INDEX(DarlTilgStart,15))),0,MIN(MAX(0,$K6996-$L6996),$J6996)))</f>
      </c>
      <c r="N6996" s="43">
        <f>IF($I6996=0,0,MIN(SUMIFS(SondBetrag,SondDarl,15,SondDatum,"&gt;="&amp;$E6996,SondDatum,"&lt;="&amp;EOMONTH($E6996,0)),$J6996-$M6996))</f>
      </c>
      <c r="O6996" s="43">
        <f>IF($I6996=0,0,INDEX(DarlErsatzRate,15))</f>
      </c>
      <c r="P6996" s="43">
        <f>IF($I6996=0,0,$Q6995*INDEX(DarlErsatzZins,15))</f>
      </c>
      <c r="Q6996" s="43">
        <f>IF($I6996=0,0,$Q6995+$P6996+$O6996)</f>
      </c>
      <c r="R6996" s="43">
        <f>IF($I6996=0,0,$J6996-$M6996-$N6996)</f>
      </c>
    </row>
    <row r="6997">
      <c r="A6997"/>
      <c r="B6997">
        <v>15</v>
      </c>
      <c r="C6997" s="43">
        <f>INDEX(DarlObj,15)</f>
      </c>
      <c r="D6997">
        <v>274</v>
      </c>
      <c r="E6997" s="51">
        <f>IF(INDEX(DarlBelegt,15)=0,0,EOMONTH(INDEX(DarlAuszahlung,15),273)+1)</f>
      </c>
      <c r="F6997" s="43">
        <f>IF($E6997=0,0,YEAR($E6997))</f>
      </c>
      <c r="G6997" s="43">
        <f>IF(INDEX(DarlBindung,15)="",1,IF($E6997&lt;=INDEX(DarlBindung,15),1,0))</f>
      </c>
      <c r="H6997" s="43">
        <f>IF($G6997=1,INDEX(DarlSollzins,15),INDEX(DarlAnschluss,15))</f>
      </c>
      <c r="I6997" s="43">
        <f>IF(INDEX(DarlBelegt,15)=0,0,IF(INDEX(DarlOhneTilgung,15)=1,IF(INDEX(DarlBindung,15)="",1,$G6997),IF($J6997&gt;0.005,1,0)))</f>
      </c>
      <c r="J6997" s="43">
        <f>IF($I6996=0,0,$R6996)</f>
      </c>
      <c r="K6997" s="43">
        <f>IF($I6997=0,0,IF(INDEX(DarlOhneTilgung,15)=1,0,IF(AND(INDEX(DarlTilgStart,15)&gt;0,$E6997=INDEX(DarlTilgStart,15)),$J6997*($H6997+INDEX(DarlTilgung,15))/100/12,IF(AND($G6997=0,$G6996=1),MAX($K6996,$J6997*($H6997+1)/100/12),$K6996))))</f>
      </c>
      <c r="L6997" s="43">
        <f>IF($I6997=0,0,$J6997*$H6997/100/12)</f>
      </c>
      <c r="M6997" s="43">
        <f>IF($I6997=0,0,IF(OR(INDEX(DarlOhneTilgung,15)=1,AND(INDEX(DarlTilgStart,15)&gt;0,$E6997&lt;INDEX(DarlTilgStart,15))),0,MIN(MAX(0,$K6997-$L6997),$J6997)))</f>
      </c>
      <c r="N6997" s="43">
        <f>IF($I6997=0,0,MIN(SUMIFS(SondBetrag,SondDarl,15,SondDatum,"&gt;="&amp;$E6997,SondDatum,"&lt;="&amp;EOMONTH($E6997,0)),$J6997-$M6997))</f>
      </c>
      <c r="O6997" s="43">
        <f>IF($I6997=0,0,INDEX(DarlErsatzRate,15))</f>
      </c>
      <c r="P6997" s="43">
        <f>IF($I6997=0,0,$Q6996*INDEX(DarlErsatzZins,15))</f>
      </c>
      <c r="Q6997" s="43">
        <f>IF($I6997=0,0,$Q6996+$P6997+$O6997)</f>
      </c>
      <c r="R6997" s="43">
        <f>IF($I6997=0,0,$J6997-$M6997-$N6997)</f>
      </c>
    </row>
    <row r="6998">
      <c r="A6998"/>
      <c r="B6998">
        <v>15</v>
      </c>
      <c r="C6998" s="43">
        <f>INDEX(DarlObj,15)</f>
      </c>
      <c r="D6998">
        <v>275</v>
      </c>
      <c r="E6998" s="51">
        <f>IF(INDEX(DarlBelegt,15)=0,0,EOMONTH(INDEX(DarlAuszahlung,15),274)+1)</f>
      </c>
      <c r="F6998" s="43">
        <f>IF($E6998=0,0,YEAR($E6998))</f>
      </c>
      <c r="G6998" s="43">
        <f>IF(INDEX(DarlBindung,15)="",1,IF($E6998&lt;=INDEX(DarlBindung,15),1,0))</f>
      </c>
      <c r="H6998" s="43">
        <f>IF($G6998=1,INDEX(DarlSollzins,15),INDEX(DarlAnschluss,15))</f>
      </c>
      <c r="I6998" s="43">
        <f>IF(INDEX(DarlBelegt,15)=0,0,IF(INDEX(DarlOhneTilgung,15)=1,IF(INDEX(DarlBindung,15)="",1,$G6998),IF($J6998&gt;0.005,1,0)))</f>
      </c>
      <c r="J6998" s="43">
        <f>IF($I6997=0,0,$R6997)</f>
      </c>
      <c r="K6998" s="43">
        <f>IF($I6998=0,0,IF(INDEX(DarlOhneTilgung,15)=1,0,IF(AND(INDEX(DarlTilgStart,15)&gt;0,$E6998=INDEX(DarlTilgStart,15)),$J6998*($H6998+INDEX(DarlTilgung,15))/100/12,IF(AND($G6998=0,$G6997=1),MAX($K6997,$J6998*($H6998+1)/100/12),$K6997))))</f>
      </c>
      <c r="L6998" s="43">
        <f>IF($I6998=0,0,$J6998*$H6998/100/12)</f>
      </c>
      <c r="M6998" s="43">
        <f>IF($I6998=0,0,IF(OR(INDEX(DarlOhneTilgung,15)=1,AND(INDEX(DarlTilgStart,15)&gt;0,$E6998&lt;INDEX(DarlTilgStart,15))),0,MIN(MAX(0,$K6998-$L6998),$J6998)))</f>
      </c>
      <c r="N6998" s="43">
        <f>IF($I6998=0,0,MIN(SUMIFS(SondBetrag,SondDarl,15,SondDatum,"&gt;="&amp;$E6998,SondDatum,"&lt;="&amp;EOMONTH($E6998,0)),$J6998-$M6998))</f>
      </c>
      <c r="O6998" s="43">
        <f>IF($I6998=0,0,INDEX(DarlErsatzRate,15))</f>
      </c>
      <c r="P6998" s="43">
        <f>IF($I6998=0,0,$Q6997*INDEX(DarlErsatzZins,15))</f>
      </c>
      <c r="Q6998" s="43">
        <f>IF($I6998=0,0,$Q6997+$P6998+$O6998)</f>
      </c>
      <c r="R6998" s="43">
        <f>IF($I6998=0,0,$J6998-$M6998-$N6998)</f>
      </c>
    </row>
    <row r="6999">
      <c r="A6999"/>
      <c r="B6999">
        <v>15</v>
      </c>
      <c r="C6999" s="43">
        <f>INDEX(DarlObj,15)</f>
      </c>
      <c r="D6999">
        <v>276</v>
      </c>
      <c r="E6999" s="51">
        <f>IF(INDEX(DarlBelegt,15)=0,0,EOMONTH(INDEX(DarlAuszahlung,15),275)+1)</f>
      </c>
      <c r="F6999" s="43">
        <f>IF($E6999=0,0,YEAR($E6999))</f>
      </c>
      <c r="G6999" s="43">
        <f>IF(INDEX(DarlBindung,15)="",1,IF($E6999&lt;=INDEX(DarlBindung,15),1,0))</f>
      </c>
      <c r="H6999" s="43">
        <f>IF($G6999=1,INDEX(DarlSollzins,15),INDEX(DarlAnschluss,15))</f>
      </c>
      <c r="I6999" s="43">
        <f>IF(INDEX(DarlBelegt,15)=0,0,IF(INDEX(DarlOhneTilgung,15)=1,IF(INDEX(DarlBindung,15)="",1,$G6999),IF($J6999&gt;0.005,1,0)))</f>
      </c>
      <c r="J6999" s="43">
        <f>IF($I6998=0,0,$R6998)</f>
      </c>
      <c r="K6999" s="43">
        <f>IF($I6999=0,0,IF(INDEX(DarlOhneTilgung,15)=1,0,IF(AND(INDEX(DarlTilgStart,15)&gt;0,$E6999=INDEX(DarlTilgStart,15)),$J6999*($H6999+INDEX(DarlTilgung,15))/100/12,IF(AND($G6999=0,$G6998=1),MAX($K6998,$J6999*($H6999+1)/100/12),$K6998))))</f>
      </c>
      <c r="L6999" s="43">
        <f>IF($I6999=0,0,$J6999*$H6999/100/12)</f>
      </c>
      <c r="M6999" s="43">
        <f>IF($I6999=0,0,IF(OR(INDEX(DarlOhneTilgung,15)=1,AND(INDEX(DarlTilgStart,15)&gt;0,$E6999&lt;INDEX(DarlTilgStart,15))),0,MIN(MAX(0,$K6999-$L6999),$J6999)))</f>
      </c>
      <c r="N6999" s="43">
        <f>IF($I6999=0,0,MIN(SUMIFS(SondBetrag,SondDarl,15,SondDatum,"&gt;="&amp;$E6999,SondDatum,"&lt;="&amp;EOMONTH($E6999,0)),$J6999-$M6999))</f>
      </c>
      <c r="O6999" s="43">
        <f>IF($I6999=0,0,INDEX(DarlErsatzRate,15))</f>
      </c>
      <c r="P6999" s="43">
        <f>IF($I6999=0,0,$Q6998*INDEX(DarlErsatzZins,15))</f>
      </c>
      <c r="Q6999" s="43">
        <f>IF($I6999=0,0,$Q6998+$P6999+$O6999)</f>
      </c>
      <c r="R6999" s="43">
        <f>IF($I6999=0,0,$J6999-$M6999-$N6999)</f>
      </c>
    </row>
    <row r="7000">
      <c r="A7000"/>
      <c r="B7000">
        <v>15</v>
      </c>
      <c r="C7000" s="43">
        <f>INDEX(DarlObj,15)</f>
      </c>
      <c r="D7000">
        <v>277</v>
      </c>
      <c r="E7000" s="51">
        <f>IF(INDEX(DarlBelegt,15)=0,0,EOMONTH(INDEX(DarlAuszahlung,15),276)+1)</f>
      </c>
      <c r="F7000" s="43">
        <f>IF($E7000=0,0,YEAR($E7000))</f>
      </c>
      <c r="G7000" s="43">
        <f>IF(INDEX(DarlBindung,15)="",1,IF($E7000&lt;=INDEX(DarlBindung,15),1,0))</f>
      </c>
      <c r="H7000" s="43">
        <f>IF($G7000=1,INDEX(DarlSollzins,15),INDEX(DarlAnschluss,15))</f>
      </c>
      <c r="I7000" s="43">
        <f>IF(INDEX(DarlBelegt,15)=0,0,IF(INDEX(DarlOhneTilgung,15)=1,IF(INDEX(DarlBindung,15)="",1,$G7000),IF($J7000&gt;0.005,1,0)))</f>
      </c>
      <c r="J7000" s="43">
        <f>IF($I6999=0,0,$R6999)</f>
      </c>
      <c r="K7000" s="43">
        <f>IF($I7000=0,0,IF(INDEX(DarlOhneTilgung,15)=1,0,IF(AND(INDEX(DarlTilgStart,15)&gt;0,$E7000=INDEX(DarlTilgStart,15)),$J7000*($H7000+INDEX(DarlTilgung,15))/100/12,IF(AND($G7000=0,$G6999=1),MAX($K6999,$J7000*($H7000+1)/100/12),$K6999))))</f>
      </c>
      <c r="L7000" s="43">
        <f>IF($I7000=0,0,$J7000*$H7000/100/12)</f>
      </c>
      <c r="M7000" s="43">
        <f>IF($I7000=0,0,IF(OR(INDEX(DarlOhneTilgung,15)=1,AND(INDEX(DarlTilgStart,15)&gt;0,$E7000&lt;INDEX(DarlTilgStart,15))),0,MIN(MAX(0,$K7000-$L7000),$J7000)))</f>
      </c>
      <c r="N7000" s="43">
        <f>IF($I7000=0,0,MIN(SUMIFS(SondBetrag,SondDarl,15,SondDatum,"&gt;="&amp;$E7000,SondDatum,"&lt;="&amp;EOMONTH($E7000,0)),$J7000-$M7000))</f>
      </c>
      <c r="O7000" s="43">
        <f>IF($I7000=0,0,INDEX(DarlErsatzRate,15))</f>
      </c>
      <c r="P7000" s="43">
        <f>IF($I7000=0,0,$Q6999*INDEX(DarlErsatzZins,15))</f>
      </c>
      <c r="Q7000" s="43">
        <f>IF($I7000=0,0,$Q6999+$P7000+$O7000)</f>
      </c>
      <c r="R7000" s="43">
        <f>IF($I7000=0,0,$J7000-$M7000-$N7000)</f>
      </c>
    </row>
    <row r="7001">
      <c r="A7001"/>
      <c r="B7001">
        <v>15</v>
      </c>
      <c r="C7001" s="43">
        <f>INDEX(DarlObj,15)</f>
      </c>
      <c r="D7001">
        <v>278</v>
      </c>
      <c r="E7001" s="51">
        <f>IF(INDEX(DarlBelegt,15)=0,0,EOMONTH(INDEX(DarlAuszahlung,15),277)+1)</f>
      </c>
      <c r="F7001" s="43">
        <f>IF($E7001=0,0,YEAR($E7001))</f>
      </c>
      <c r="G7001" s="43">
        <f>IF(INDEX(DarlBindung,15)="",1,IF($E7001&lt;=INDEX(DarlBindung,15),1,0))</f>
      </c>
      <c r="H7001" s="43">
        <f>IF($G7001=1,INDEX(DarlSollzins,15),INDEX(DarlAnschluss,15))</f>
      </c>
      <c r="I7001" s="43">
        <f>IF(INDEX(DarlBelegt,15)=0,0,IF(INDEX(DarlOhneTilgung,15)=1,IF(INDEX(DarlBindung,15)="",1,$G7001),IF($J7001&gt;0.005,1,0)))</f>
      </c>
      <c r="J7001" s="43">
        <f>IF($I7000=0,0,$R7000)</f>
      </c>
      <c r="K7001" s="43">
        <f>IF($I7001=0,0,IF(INDEX(DarlOhneTilgung,15)=1,0,IF(AND(INDEX(DarlTilgStart,15)&gt;0,$E7001=INDEX(DarlTilgStart,15)),$J7001*($H7001+INDEX(DarlTilgung,15))/100/12,IF(AND($G7001=0,$G7000=1),MAX($K7000,$J7001*($H7001+1)/100/12),$K7000))))</f>
      </c>
      <c r="L7001" s="43">
        <f>IF($I7001=0,0,$J7001*$H7001/100/12)</f>
      </c>
      <c r="M7001" s="43">
        <f>IF($I7001=0,0,IF(OR(INDEX(DarlOhneTilgung,15)=1,AND(INDEX(DarlTilgStart,15)&gt;0,$E7001&lt;INDEX(DarlTilgStart,15))),0,MIN(MAX(0,$K7001-$L7001),$J7001)))</f>
      </c>
      <c r="N7001" s="43">
        <f>IF($I7001=0,0,MIN(SUMIFS(SondBetrag,SondDarl,15,SondDatum,"&gt;="&amp;$E7001,SondDatum,"&lt;="&amp;EOMONTH($E7001,0)),$J7001-$M7001))</f>
      </c>
      <c r="O7001" s="43">
        <f>IF($I7001=0,0,INDEX(DarlErsatzRate,15))</f>
      </c>
      <c r="P7001" s="43">
        <f>IF($I7001=0,0,$Q7000*INDEX(DarlErsatzZins,15))</f>
      </c>
      <c r="Q7001" s="43">
        <f>IF($I7001=0,0,$Q7000+$P7001+$O7001)</f>
      </c>
      <c r="R7001" s="43">
        <f>IF($I7001=0,0,$J7001-$M7001-$N7001)</f>
      </c>
    </row>
    <row r="7002">
      <c r="A7002"/>
      <c r="B7002">
        <v>15</v>
      </c>
      <c r="C7002" s="43">
        <f>INDEX(DarlObj,15)</f>
      </c>
      <c r="D7002">
        <v>279</v>
      </c>
      <c r="E7002" s="51">
        <f>IF(INDEX(DarlBelegt,15)=0,0,EOMONTH(INDEX(DarlAuszahlung,15),278)+1)</f>
      </c>
      <c r="F7002" s="43">
        <f>IF($E7002=0,0,YEAR($E7002))</f>
      </c>
      <c r="G7002" s="43">
        <f>IF(INDEX(DarlBindung,15)="",1,IF($E7002&lt;=INDEX(DarlBindung,15),1,0))</f>
      </c>
      <c r="H7002" s="43">
        <f>IF($G7002=1,INDEX(DarlSollzins,15),INDEX(DarlAnschluss,15))</f>
      </c>
      <c r="I7002" s="43">
        <f>IF(INDEX(DarlBelegt,15)=0,0,IF(INDEX(DarlOhneTilgung,15)=1,IF(INDEX(DarlBindung,15)="",1,$G7002),IF($J7002&gt;0.005,1,0)))</f>
      </c>
      <c r="J7002" s="43">
        <f>IF($I7001=0,0,$R7001)</f>
      </c>
      <c r="K7002" s="43">
        <f>IF($I7002=0,0,IF(INDEX(DarlOhneTilgung,15)=1,0,IF(AND(INDEX(DarlTilgStart,15)&gt;0,$E7002=INDEX(DarlTilgStart,15)),$J7002*($H7002+INDEX(DarlTilgung,15))/100/12,IF(AND($G7002=0,$G7001=1),MAX($K7001,$J7002*($H7002+1)/100/12),$K7001))))</f>
      </c>
      <c r="L7002" s="43">
        <f>IF($I7002=0,0,$J7002*$H7002/100/12)</f>
      </c>
      <c r="M7002" s="43">
        <f>IF($I7002=0,0,IF(OR(INDEX(DarlOhneTilgung,15)=1,AND(INDEX(DarlTilgStart,15)&gt;0,$E7002&lt;INDEX(DarlTilgStart,15))),0,MIN(MAX(0,$K7002-$L7002),$J7002)))</f>
      </c>
      <c r="N7002" s="43">
        <f>IF($I7002=0,0,MIN(SUMIFS(SondBetrag,SondDarl,15,SondDatum,"&gt;="&amp;$E7002,SondDatum,"&lt;="&amp;EOMONTH($E7002,0)),$J7002-$M7002))</f>
      </c>
      <c r="O7002" s="43">
        <f>IF($I7002=0,0,INDEX(DarlErsatzRate,15))</f>
      </c>
      <c r="P7002" s="43">
        <f>IF($I7002=0,0,$Q7001*INDEX(DarlErsatzZins,15))</f>
      </c>
      <c r="Q7002" s="43">
        <f>IF($I7002=0,0,$Q7001+$P7002+$O7002)</f>
      </c>
      <c r="R7002" s="43">
        <f>IF($I7002=0,0,$J7002-$M7002-$N7002)</f>
      </c>
    </row>
    <row r="7003">
      <c r="A7003"/>
      <c r="B7003">
        <v>15</v>
      </c>
      <c r="C7003" s="43">
        <f>INDEX(DarlObj,15)</f>
      </c>
      <c r="D7003">
        <v>280</v>
      </c>
      <c r="E7003" s="51">
        <f>IF(INDEX(DarlBelegt,15)=0,0,EOMONTH(INDEX(DarlAuszahlung,15),279)+1)</f>
      </c>
      <c r="F7003" s="43">
        <f>IF($E7003=0,0,YEAR($E7003))</f>
      </c>
      <c r="G7003" s="43">
        <f>IF(INDEX(DarlBindung,15)="",1,IF($E7003&lt;=INDEX(DarlBindung,15),1,0))</f>
      </c>
      <c r="H7003" s="43">
        <f>IF($G7003=1,INDEX(DarlSollzins,15),INDEX(DarlAnschluss,15))</f>
      </c>
      <c r="I7003" s="43">
        <f>IF(INDEX(DarlBelegt,15)=0,0,IF(INDEX(DarlOhneTilgung,15)=1,IF(INDEX(DarlBindung,15)="",1,$G7003),IF($J7003&gt;0.005,1,0)))</f>
      </c>
      <c r="J7003" s="43">
        <f>IF($I7002=0,0,$R7002)</f>
      </c>
      <c r="K7003" s="43">
        <f>IF($I7003=0,0,IF(INDEX(DarlOhneTilgung,15)=1,0,IF(AND(INDEX(DarlTilgStart,15)&gt;0,$E7003=INDEX(DarlTilgStart,15)),$J7003*($H7003+INDEX(DarlTilgung,15))/100/12,IF(AND($G7003=0,$G7002=1),MAX($K7002,$J7003*($H7003+1)/100/12),$K7002))))</f>
      </c>
      <c r="L7003" s="43">
        <f>IF($I7003=0,0,$J7003*$H7003/100/12)</f>
      </c>
      <c r="M7003" s="43">
        <f>IF($I7003=0,0,IF(OR(INDEX(DarlOhneTilgung,15)=1,AND(INDEX(DarlTilgStart,15)&gt;0,$E7003&lt;INDEX(DarlTilgStart,15))),0,MIN(MAX(0,$K7003-$L7003),$J7003)))</f>
      </c>
      <c r="N7003" s="43">
        <f>IF($I7003=0,0,MIN(SUMIFS(SondBetrag,SondDarl,15,SondDatum,"&gt;="&amp;$E7003,SondDatum,"&lt;="&amp;EOMONTH($E7003,0)),$J7003-$M7003))</f>
      </c>
      <c r="O7003" s="43">
        <f>IF($I7003=0,0,INDEX(DarlErsatzRate,15))</f>
      </c>
      <c r="P7003" s="43">
        <f>IF($I7003=0,0,$Q7002*INDEX(DarlErsatzZins,15))</f>
      </c>
      <c r="Q7003" s="43">
        <f>IF($I7003=0,0,$Q7002+$P7003+$O7003)</f>
      </c>
      <c r="R7003" s="43">
        <f>IF($I7003=0,0,$J7003-$M7003-$N7003)</f>
      </c>
    </row>
    <row r="7004">
      <c r="A7004"/>
      <c r="B7004">
        <v>15</v>
      </c>
      <c r="C7004" s="43">
        <f>INDEX(DarlObj,15)</f>
      </c>
      <c r="D7004">
        <v>281</v>
      </c>
      <c r="E7004" s="51">
        <f>IF(INDEX(DarlBelegt,15)=0,0,EOMONTH(INDEX(DarlAuszahlung,15),280)+1)</f>
      </c>
      <c r="F7004" s="43">
        <f>IF($E7004=0,0,YEAR($E7004))</f>
      </c>
      <c r="G7004" s="43">
        <f>IF(INDEX(DarlBindung,15)="",1,IF($E7004&lt;=INDEX(DarlBindung,15),1,0))</f>
      </c>
      <c r="H7004" s="43">
        <f>IF($G7004=1,INDEX(DarlSollzins,15),INDEX(DarlAnschluss,15))</f>
      </c>
      <c r="I7004" s="43">
        <f>IF(INDEX(DarlBelegt,15)=0,0,IF(INDEX(DarlOhneTilgung,15)=1,IF(INDEX(DarlBindung,15)="",1,$G7004),IF($J7004&gt;0.005,1,0)))</f>
      </c>
      <c r="J7004" s="43">
        <f>IF($I7003=0,0,$R7003)</f>
      </c>
      <c r="K7004" s="43">
        <f>IF($I7004=0,0,IF(INDEX(DarlOhneTilgung,15)=1,0,IF(AND(INDEX(DarlTilgStart,15)&gt;0,$E7004=INDEX(DarlTilgStart,15)),$J7004*($H7004+INDEX(DarlTilgung,15))/100/12,IF(AND($G7004=0,$G7003=1),MAX($K7003,$J7004*($H7004+1)/100/12),$K7003))))</f>
      </c>
      <c r="L7004" s="43">
        <f>IF($I7004=0,0,$J7004*$H7004/100/12)</f>
      </c>
      <c r="M7004" s="43">
        <f>IF($I7004=0,0,IF(OR(INDEX(DarlOhneTilgung,15)=1,AND(INDEX(DarlTilgStart,15)&gt;0,$E7004&lt;INDEX(DarlTilgStart,15))),0,MIN(MAX(0,$K7004-$L7004),$J7004)))</f>
      </c>
      <c r="N7004" s="43">
        <f>IF($I7004=0,0,MIN(SUMIFS(SondBetrag,SondDarl,15,SondDatum,"&gt;="&amp;$E7004,SondDatum,"&lt;="&amp;EOMONTH($E7004,0)),$J7004-$M7004))</f>
      </c>
      <c r="O7004" s="43">
        <f>IF($I7004=0,0,INDEX(DarlErsatzRate,15))</f>
      </c>
      <c r="P7004" s="43">
        <f>IF($I7004=0,0,$Q7003*INDEX(DarlErsatzZins,15))</f>
      </c>
      <c r="Q7004" s="43">
        <f>IF($I7004=0,0,$Q7003+$P7004+$O7004)</f>
      </c>
      <c r="R7004" s="43">
        <f>IF($I7004=0,0,$J7004-$M7004-$N7004)</f>
      </c>
    </row>
    <row r="7005">
      <c r="A7005"/>
      <c r="B7005">
        <v>15</v>
      </c>
      <c r="C7005" s="43">
        <f>INDEX(DarlObj,15)</f>
      </c>
      <c r="D7005">
        <v>282</v>
      </c>
      <c r="E7005" s="51">
        <f>IF(INDEX(DarlBelegt,15)=0,0,EOMONTH(INDEX(DarlAuszahlung,15),281)+1)</f>
      </c>
      <c r="F7005" s="43">
        <f>IF($E7005=0,0,YEAR($E7005))</f>
      </c>
      <c r="G7005" s="43">
        <f>IF(INDEX(DarlBindung,15)="",1,IF($E7005&lt;=INDEX(DarlBindung,15),1,0))</f>
      </c>
      <c r="H7005" s="43">
        <f>IF($G7005=1,INDEX(DarlSollzins,15),INDEX(DarlAnschluss,15))</f>
      </c>
      <c r="I7005" s="43">
        <f>IF(INDEX(DarlBelegt,15)=0,0,IF(INDEX(DarlOhneTilgung,15)=1,IF(INDEX(DarlBindung,15)="",1,$G7005),IF($J7005&gt;0.005,1,0)))</f>
      </c>
      <c r="J7005" s="43">
        <f>IF($I7004=0,0,$R7004)</f>
      </c>
      <c r="K7005" s="43">
        <f>IF($I7005=0,0,IF(INDEX(DarlOhneTilgung,15)=1,0,IF(AND(INDEX(DarlTilgStart,15)&gt;0,$E7005=INDEX(DarlTilgStart,15)),$J7005*($H7005+INDEX(DarlTilgung,15))/100/12,IF(AND($G7005=0,$G7004=1),MAX($K7004,$J7005*($H7005+1)/100/12),$K7004))))</f>
      </c>
      <c r="L7005" s="43">
        <f>IF($I7005=0,0,$J7005*$H7005/100/12)</f>
      </c>
      <c r="M7005" s="43">
        <f>IF($I7005=0,0,IF(OR(INDEX(DarlOhneTilgung,15)=1,AND(INDEX(DarlTilgStart,15)&gt;0,$E7005&lt;INDEX(DarlTilgStart,15))),0,MIN(MAX(0,$K7005-$L7005),$J7005)))</f>
      </c>
      <c r="N7005" s="43">
        <f>IF($I7005=0,0,MIN(SUMIFS(SondBetrag,SondDarl,15,SondDatum,"&gt;="&amp;$E7005,SondDatum,"&lt;="&amp;EOMONTH($E7005,0)),$J7005-$M7005))</f>
      </c>
      <c r="O7005" s="43">
        <f>IF($I7005=0,0,INDEX(DarlErsatzRate,15))</f>
      </c>
      <c r="P7005" s="43">
        <f>IF($I7005=0,0,$Q7004*INDEX(DarlErsatzZins,15))</f>
      </c>
      <c r="Q7005" s="43">
        <f>IF($I7005=0,0,$Q7004+$P7005+$O7005)</f>
      </c>
      <c r="R7005" s="43">
        <f>IF($I7005=0,0,$J7005-$M7005-$N7005)</f>
      </c>
    </row>
    <row r="7006">
      <c r="A7006"/>
      <c r="B7006">
        <v>15</v>
      </c>
      <c r="C7006" s="43">
        <f>INDEX(DarlObj,15)</f>
      </c>
      <c r="D7006">
        <v>283</v>
      </c>
      <c r="E7006" s="51">
        <f>IF(INDEX(DarlBelegt,15)=0,0,EOMONTH(INDEX(DarlAuszahlung,15),282)+1)</f>
      </c>
      <c r="F7006" s="43">
        <f>IF($E7006=0,0,YEAR($E7006))</f>
      </c>
      <c r="G7006" s="43">
        <f>IF(INDEX(DarlBindung,15)="",1,IF($E7006&lt;=INDEX(DarlBindung,15),1,0))</f>
      </c>
      <c r="H7006" s="43">
        <f>IF($G7006=1,INDEX(DarlSollzins,15),INDEX(DarlAnschluss,15))</f>
      </c>
      <c r="I7006" s="43">
        <f>IF(INDEX(DarlBelegt,15)=0,0,IF(INDEX(DarlOhneTilgung,15)=1,IF(INDEX(DarlBindung,15)="",1,$G7006),IF($J7006&gt;0.005,1,0)))</f>
      </c>
      <c r="J7006" s="43">
        <f>IF($I7005=0,0,$R7005)</f>
      </c>
      <c r="K7006" s="43">
        <f>IF($I7006=0,0,IF(INDEX(DarlOhneTilgung,15)=1,0,IF(AND(INDEX(DarlTilgStart,15)&gt;0,$E7006=INDEX(DarlTilgStart,15)),$J7006*($H7006+INDEX(DarlTilgung,15))/100/12,IF(AND($G7006=0,$G7005=1),MAX($K7005,$J7006*($H7006+1)/100/12),$K7005))))</f>
      </c>
      <c r="L7006" s="43">
        <f>IF($I7006=0,0,$J7006*$H7006/100/12)</f>
      </c>
      <c r="M7006" s="43">
        <f>IF($I7006=0,0,IF(OR(INDEX(DarlOhneTilgung,15)=1,AND(INDEX(DarlTilgStart,15)&gt;0,$E7006&lt;INDEX(DarlTilgStart,15))),0,MIN(MAX(0,$K7006-$L7006),$J7006)))</f>
      </c>
      <c r="N7006" s="43">
        <f>IF($I7006=0,0,MIN(SUMIFS(SondBetrag,SondDarl,15,SondDatum,"&gt;="&amp;$E7006,SondDatum,"&lt;="&amp;EOMONTH($E7006,0)),$J7006-$M7006))</f>
      </c>
      <c r="O7006" s="43">
        <f>IF($I7006=0,0,INDEX(DarlErsatzRate,15))</f>
      </c>
      <c r="P7006" s="43">
        <f>IF($I7006=0,0,$Q7005*INDEX(DarlErsatzZins,15))</f>
      </c>
      <c r="Q7006" s="43">
        <f>IF($I7006=0,0,$Q7005+$P7006+$O7006)</f>
      </c>
      <c r="R7006" s="43">
        <f>IF($I7006=0,0,$J7006-$M7006-$N7006)</f>
      </c>
    </row>
    <row r="7007">
      <c r="A7007"/>
      <c r="B7007">
        <v>15</v>
      </c>
      <c r="C7007" s="43">
        <f>INDEX(DarlObj,15)</f>
      </c>
      <c r="D7007">
        <v>284</v>
      </c>
      <c r="E7007" s="51">
        <f>IF(INDEX(DarlBelegt,15)=0,0,EOMONTH(INDEX(DarlAuszahlung,15),283)+1)</f>
      </c>
      <c r="F7007" s="43">
        <f>IF($E7007=0,0,YEAR($E7007))</f>
      </c>
      <c r="G7007" s="43">
        <f>IF(INDEX(DarlBindung,15)="",1,IF($E7007&lt;=INDEX(DarlBindung,15),1,0))</f>
      </c>
      <c r="H7007" s="43">
        <f>IF($G7007=1,INDEX(DarlSollzins,15),INDEX(DarlAnschluss,15))</f>
      </c>
      <c r="I7007" s="43">
        <f>IF(INDEX(DarlBelegt,15)=0,0,IF(INDEX(DarlOhneTilgung,15)=1,IF(INDEX(DarlBindung,15)="",1,$G7007),IF($J7007&gt;0.005,1,0)))</f>
      </c>
      <c r="J7007" s="43">
        <f>IF($I7006=0,0,$R7006)</f>
      </c>
      <c r="K7007" s="43">
        <f>IF($I7007=0,0,IF(INDEX(DarlOhneTilgung,15)=1,0,IF(AND(INDEX(DarlTilgStart,15)&gt;0,$E7007=INDEX(DarlTilgStart,15)),$J7007*($H7007+INDEX(DarlTilgung,15))/100/12,IF(AND($G7007=0,$G7006=1),MAX($K7006,$J7007*($H7007+1)/100/12),$K7006))))</f>
      </c>
      <c r="L7007" s="43">
        <f>IF($I7007=0,0,$J7007*$H7007/100/12)</f>
      </c>
      <c r="M7007" s="43">
        <f>IF($I7007=0,0,IF(OR(INDEX(DarlOhneTilgung,15)=1,AND(INDEX(DarlTilgStart,15)&gt;0,$E7007&lt;INDEX(DarlTilgStart,15))),0,MIN(MAX(0,$K7007-$L7007),$J7007)))</f>
      </c>
      <c r="N7007" s="43">
        <f>IF($I7007=0,0,MIN(SUMIFS(SondBetrag,SondDarl,15,SondDatum,"&gt;="&amp;$E7007,SondDatum,"&lt;="&amp;EOMONTH($E7007,0)),$J7007-$M7007))</f>
      </c>
      <c r="O7007" s="43">
        <f>IF($I7007=0,0,INDEX(DarlErsatzRate,15))</f>
      </c>
      <c r="P7007" s="43">
        <f>IF($I7007=0,0,$Q7006*INDEX(DarlErsatzZins,15))</f>
      </c>
      <c r="Q7007" s="43">
        <f>IF($I7007=0,0,$Q7006+$P7007+$O7007)</f>
      </c>
      <c r="R7007" s="43">
        <f>IF($I7007=0,0,$J7007-$M7007-$N7007)</f>
      </c>
    </row>
    <row r="7008">
      <c r="A7008"/>
      <c r="B7008">
        <v>15</v>
      </c>
      <c r="C7008" s="43">
        <f>INDEX(DarlObj,15)</f>
      </c>
      <c r="D7008">
        <v>285</v>
      </c>
      <c r="E7008" s="51">
        <f>IF(INDEX(DarlBelegt,15)=0,0,EOMONTH(INDEX(DarlAuszahlung,15),284)+1)</f>
      </c>
      <c r="F7008" s="43">
        <f>IF($E7008=0,0,YEAR($E7008))</f>
      </c>
      <c r="G7008" s="43">
        <f>IF(INDEX(DarlBindung,15)="",1,IF($E7008&lt;=INDEX(DarlBindung,15),1,0))</f>
      </c>
      <c r="H7008" s="43">
        <f>IF($G7008=1,INDEX(DarlSollzins,15),INDEX(DarlAnschluss,15))</f>
      </c>
      <c r="I7008" s="43">
        <f>IF(INDEX(DarlBelegt,15)=0,0,IF(INDEX(DarlOhneTilgung,15)=1,IF(INDEX(DarlBindung,15)="",1,$G7008),IF($J7008&gt;0.005,1,0)))</f>
      </c>
      <c r="J7008" s="43">
        <f>IF($I7007=0,0,$R7007)</f>
      </c>
      <c r="K7008" s="43">
        <f>IF($I7008=0,0,IF(INDEX(DarlOhneTilgung,15)=1,0,IF(AND(INDEX(DarlTilgStart,15)&gt;0,$E7008=INDEX(DarlTilgStart,15)),$J7008*($H7008+INDEX(DarlTilgung,15))/100/12,IF(AND($G7008=0,$G7007=1),MAX($K7007,$J7008*($H7008+1)/100/12),$K7007))))</f>
      </c>
      <c r="L7008" s="43">
        <f>IF($I7008=0,0,$J7008*$H7008/100/12)</f>
      </c>
      <c r="M7008" s="43">
        <f>IF($I7008=0,0,IF(OR(INDEX(DarlOhneTilgung,15)=1,AND(INDEX(DarlTilgStart,15)&gt;0,$E7008&lt;INDEX(DarlTilgStart,15))),0,MIN(MAX(0,$K7008-$L7008),$J7008)))</f>
      </c>
      <c r="N7008" s="43">
        <f>IF($I7008=0,0,MIN(SUMIFS(SondBetrag,SondDarl,15,SondDatum,"&gt;="&amp;$E7008,SondDatum,"&lt;="&amp;EOMONTH($E7008,0)),$J7008-$M7008))</f>
      </c>
      <c r="O7008" s="43">
        <f>IF($I7008=0,0,INDEX(DarlErsatzRate,15))</f>
      </c>
      <c r="P7008" s="43">
        <f>IF($I7008=0,0,$Q7007*INDEX(DarlErsatzZins,15))</f>
      </c>
      <c r="Q7008" s="43">
        <f>IF($I7008=0,0,$Q7007+$P7008+$O7008)</f>
      </c>
      <c r="R7008" s="43">
        <f>IF($I7008=0,0,$J7008-$M7008-$N7008)</f>
      </c>
    </row>
    <row r="7009">
      <c r="A7009"/>
      <c r="B7009">
        <v>15</v>
      </c>
      <c r="C7009" s="43">
        <f>INDEX(DarlObj,15)</f>
      </c>
      <c r="D7009">
        <v>286</v>
      </c>
      <c r="E7009" s="51">
        <f>IF(INDEX(DarlBelegt,15)=0,0,EOMONTH(INDEX(DarlAuszahlung,15),285)+1)</f>
      </c>
      <c r="F7009" s="43">
        <f>IF($E7009=0,0,YEAR($E7009))</f>
      </c>
      <c r="G7009" s="43">
        <f>IF(INDEX(DarlBindung,15)="",1,IF($E7009&lt;=INDEX(DarlBindung,15),1,0))</f>
      </c>
      <c r="H7009" s="43">
        <f>IF($G7009=1,INDEX(DarlSollzins,15),INDEX(DarlAnschluss,15))</f>
      </c>
      <c r="I7009" s="43">
        <f>IF(INDEX(DarlBelegt,15)=0,0,IF(INDEX(DarlOhneTilgung,15)=1,IF(INDEX(DarlBindung,15)="",1,$G7009),IF($J7009&gt;0.005,1,0)))</f>
      </c>
      <c r="J7009" s="43">
        <f>IF($I7008=0,0,$R7008)</f>
      </c>
      <c r="K7009" s="43">
        <f>IF($I7009=0,0,IF(INDEX(DarlOhneTilgung,15)=1,0,IF(AND(INDEX(DarlTilgStart,15)&gt;0,$E7009=INDEX(DarlTilgStart,15)),$J7009*($H7009+INDEX(DarlTilgung,15))/100/12,IF(AND($G7009=0,$G7008=1),MAX($K7008,$J7009*($H7009+1)/100/12),$K7008))))</f>
      </c>
      <c r="L7009" s="43">
        <f>IF($I7009=0,0,$J7009*$H7009/100/12)</f>
      </c>
      <c r="M7009" s="43">
        <f>IF($I7009=0,0,IF(OR(INDEX(DarlOhneTilgung,15)=1,AND(INDEX(DarlTilgStart,15)&gt;0,$E7009&lt;INDEX(DarlTilgStart,15))),0,MIN(MAX(0,$K7009-$L7009),$J7009)))</f>
      </c>
      <c r="N7009" s="43">
        <f>IF($I7009=0,0,MIN(SUMIFS(SondBetrag,SondDarl,15,SondDatum,"&gt;="&amp;$E7009,SondDatum,"&lt;="&amp;EOMONTH($E7009,0)),$J7009-$M7009))</f>
      </c>
      <c r="O7009" s="43">
        <f>IF($I7009=0,0,INDEX(DarlErsatzRate,15))</f>
      </c>
      <c r="P7009" s="43">
        <f>IF($I7009=0,0,$Q7008*INDEX(DarlErsatzZins,15))</f>
      </c>
      <c r="Q7009" s="43">
        <f>IF($I7009=0,0,$Q7008+$P7009+$O7009)</f>
      </c>
      <c r="R7009" s="43">
        <f>IF($I7009=0,0,$J7009-$M7009-$N7009)</f>
      </c>
    </row>
    <row r="7010">
      <c r="A7010"/>
      <c r="B7010">
        <v>15</v>
      </c>
      <c r="C7010" s="43">
        <f>INDEX(DarlObj,15)</f>
      </c>
      <c r="D7010">
        <v>287</v>
      </c>
      <c r="E7010" s="51">
        <f>IF(INDEX(DarlBelegt,15)=0,0,EOMONTH(INDEX(DarlAuszahlung,15),286)+1)</f>
      </c>
      <c r="F7010" s="43">
        <f>IF($E7010=0,0,YEAR($E7010))</f>
      </c>
      <c r="G7010" s="43">
        <f>IF(INDEX(DarlBindung,15)="",1,IF($E7010&lt;=INDEX(DarlBindung,15),1,0))</f>
      </c>
      <c r="H7010" s="43">
        <f>IF($G7010=1,INDEX(DarlSollzins,15),INDEX(DarlAnschluss,15))</f>
      </c>
      <c r="I7010" s="43">
        <f>IF(INDEX(DarlBelegt,15)=0,0,IF(INDEX(DarlOhneTilgung,15)=1,IF(INDEX(DarlBindung,15)="",1,$G7010),IF($J7010&gt;0.005,1,0)))</f>
      </c>
      <c r="J7010" s="43">
        <f>IF($I7009=0,0,$R7009)</f>
      </c>
      <c r="K7010" s="43">
        <f>IF($I7010=0,0,IF(INDEX(DarlOhneTilgung,15)=1,0,IF(AND(INDEX(DarlTilgStart,15)&gt;0,$E7010=INDEX(DarlTilgStart,15)),$J7010*($H7010+INDEX(DarlTilgung,15))/100/12,IF(AND($G7010=0,$G7009=1),MAX($K7009,$J7010*($H7010+1)/100/12),$K7009))))</f>
      </c>
      <c r="L7010" s="43">
        <f>IF($I7010=0,0,$J7010*$H7010/100/12)</f>
      </c>
      <c r="M7010" s="43">
        <f>IF($I7010=0,0,IF(OR(INDEX(DarlOhneTilgung,15)=1,AND(INDEX(DarlTilgStart,15)&gt;0,$E7010&lt;INDEX(DarlTilgStart,15))),0,MIN(MAX(0,$K7010-$L7010),$J7010)))</f>
      </c>
      <c r="N7010" s="43">
        <f>IF($I7010=0,0,MIN(SUMIFS(SondBetrag,SondDarl,15,SondDatum,"&gt;="&amp;$E7010,SondDatum,"&lt;="&amp;EOMONTH($E7010,0)),$J7010-$M7010))</f>
      </c>
      <c r="O7010" s="43">
        <f>IF($I7010=0,0,INDEX(DarlErsatzRate,15))</f>
      </c>
      <c r="P7010" s="43">
        <f>IF($I7010=0,0,$Q7009*INDEX(DarlErsatzZins,15))</f>
      </c>
      <c r="Q7010" s="43">
        <f>IF($I7010=0,0,$Q7009+$P7010+$O7010)</f>
      </c>
      <c r="R7010" s="43">
        <f>IF($I7010=0,0,$J7010-$M7010-$N7010)</f>
      </c>
    </row>
    <row r="7011">
      <c r="A7011"/>
      <c r="B7011">
        <v>15</v>
      </c>
      <c r="C7011" s="43">
        <f>INDEX(DarlObj,15)</f>
      </c>
      <c r="D7011">
        <v>288</v>
      </c>
      <c r="E7011" s="51">
        <f>IF(INDEX(DarlBelegt,15)=0,0,EOMONTH(INDEX(DarlAuszahlung,15),287)+1)</f>
      </c>
      <c r="F7011" s="43">
        <f>IF($E7011=0,0,YEAR($E7011))</f>
      </c>
      <c r="G7011" s="43">
        <f>IF(INDEX(DarlBindung,15)="",1,IF($E7011&lt;=INDEX(DarlBindung,15),1,0))</f>
      </c>
      <c r="H7011" s="43">
        <f>IF($G7011=1,INDEX(DarlSollzins,15),INDEX(DarlAnschluss,15))</f>
      </c>
      <c r="I7011" s="43">
        <f>IF(INDEX(DarlBelegt,15)=0,0,IF(INDEX(DarlOhneTilgung,15)=1,IF(INDEX(DarlBindung,15)="",1,$G7011),IF($J7011&gt;0.005,1,0)))</f>
      </c>
      <c r="J7011" s="43">
        <f>IF($I7010=0,0,$R7010)</f>
      </c>
      <c r="K7011" s="43">
        <f>IF($I7011=0,0,IF(INDEX(DarlOhneTilgung,15)=1,0,IF(AND(INDEX(DarlTilgStart,15)&gt;0,$E7011=INDEX(DarlTilgStart,15)),$J7011*($H7011+INDEX(DarlTilgung,15))/100/12,IF(AND($G7011=0,$G7010=1),MAX($K7010,$J7011*($H7011+1)/100/12),$K7010))))</f>
      </c>
      <c r="L7011" s="43">
        <f>IF($I7011=0,0,$J7011*$H7011/100/12)</f>
      </c>
      <c r="M7011" s="43">
        <f>IF($I7011=0,0,IF(OR(INDEX(DarlOhneTilgung,15)=1,AND(INDEX(DarlTilgStart,15)&gt;0,$E7011&lt;INDEX(DarlTilgStart,15))),0,MIN(MAX(0,$K7011-$L7011),$J7011)))</f>
      </c>
      <c r="N7011" s="43">
        <f>IF($I7011=0,0,MIN(SUMIFS(SondBetrag,SondDarl,15,SondDatum,"&gt;="&amp;$E7011,SondDatum,"&lt;="&amp;EOMONTH($E7011,0)),$J7011-$M7011))</f>
      </c>
      <c r="O7011" s="43">
        <f>IF($I7011=0,0,INDEX(DarlErsatzRate,15))</f>
      </c>
      <c r="P7011" s="43">
        <f>IF($I7011=0,0,$Q7010*INDEX(DarlErsatzZins,15))</f>
      </c>
      <c r="Q7011" s="43">
        <f>IF($I7011=0,0,$Q7010+$P7011+$O7011)</f>
      </c>
      <c r="R7011" s="43">
        <f>IF($I7011=0,0,$J7011-$M7011-$N7011)</f>
      </c>
    </row>
    <row r="7012">
      <c r="A7012"/>
      <c r="B7012">
        <v>15</v>
      </c>
      <c r="C7012" s="43">
        <f>INDEX(DarlObj,15)</f>
      </c>
      <c r="D7012">
        <v>289</v>
      </c>
      <c r="E7012" s="51">
        <f>IF(INDEX(DarlBelegt,15)=0,0,EOMONTH(INDEX(DarlAuszahlung,15),288)+1)</f>
      </c>
      <c r="F7012" s="43">
        <f>IF($E7012=0,0,YEAR($E7012))</f>
      </c>
      <c r="G7012" s="43">
        <f>IF(INDEX(DarlBindung,15)="",1,IF($E7012&lt;=INDEX(DarlBindung,15),1,0))</f>
      </c>
      <c r="H7012" s="43">
        <f>IF($G7012=1,INDEX(DarlSollzins,15),INDEX(DarlAnschluss,15))</f>
      </c>
      <c r="I7012" s="43">
        <f>IF(INDEX(DarlBelegt,15)=0,0,IF(INDEX(DarlOhneTilgung,15)=1,IF(INDEX(DarlBindung,15)="",1,$G7012),IF($J7012&gt;0.005,1,0)))</f>
      </c>
      <c r="J7012" s="43">
        <f>IF($I7011=0,0,$R7011)</f>
      </c>
      <c r="K7012" s="43">
        <f>IF($I7012=0,0,IF(INDEX(DarlOhneTilgung,15)=1,0,IF(AND(INDEX(DarlTilgStart,15)&gt;0,$E7012=INDEX(DarlTilgStart,15)),$J7012*($H7012+INDEX(DarlTilgung,15))/100/12,IF(AND($G7012=0,$G7011=1),MAX($K7011,$J7012*($H7012+1)/100/12),$K7011))))</f>
      </c>
      <c r="L7012" s="43">
        <f>IF($I7012=0,0,$J7012*$H7012/100/12)</f>
      </c>
      <c r="M7012" s="43">
        <f>IF($I7012=0,0,IF(OR(INDEX(DarlOhneTilgung,15)=1,AND(INDEX(DarlTilgStart,15)&gt;0,$E7012&lt;INDEX(DarlTilgStart,15))),0,MIN(MAX(0,$K7012-$L7012),$J7012)))</f>
      </c>
      <c r="N7012" s="43">
        <f>IF($I7012=0,0,MIN(SUMIFS(SondBetrag,SondDarl,15,SondDatum,"&gt;="&amp;$E7012,SondDatum,"&lt;="&amp;EOMONTH($E7012,0)),$J7012-$M7012))</f>
      </c>
      <c r="O7012" s="43">
        <f>IF($I7012=0,0,INDEX(DarlErsatzRate,15))</f>
      </c>
      <c r="P7012" s="43">
        <f>IF($I7012=0,0,$Q7011*INDEX(DarlErsatzZins,15))</f>
      </c>
      <c r="Q7012" s="43">
        <f>IF($I7012=0,0,$Q7011+$P7012+$O7012)</f>
      </c>
      <c r="R7012" s="43">
        <f>IF($I7012=0,0,$J7012-$M7012-$N7012)</f>
      </c>
    </row>
    <row r="7013">
      <c r="A7013"/>
      <c r="B7013">
        <v>15</v>
      </c>
      <c r="C7013" s="43">
        <f>INDEX(DarlObj,15)</f>
      </c>
      <c r="D7013">
        <v>290</v>
      </c>
      <c r="E7013" s="51">
        <f>IF(INDEX(DarlBelegt,15)=0,0,EOMONTH(INDEX(DarlAuszahlung,15),289)+1)</f>
      </c>
      <c r="F7013" s="43">
        <f>IF($E7013=0,0,YEAR($E7013))</f>
      </c>
      <c r="G7013" s="43">
        <f>IF(INDEX(DarlBindung,15)="",1,IF($E7013&lt;=INDEX(DarlBindung,15),1,0))</f>
      </c>
      <c r="H7013" s="43">
        <f>IF($G7013=1,INDEX(DarlSollzins,15),INDEX(DarlAnschluss,15))</f>
      </c>
      <c r="I7013" s="43">
        <f>IF(INDEX(DarlBelegt,15)=0,0,IF(INDEX(DarlOhneTilgung,15)=1,IF(INDEX(DarlBindung,15)="",1,$G7013),IF($J7013&gt;0.005,1,0)))</f>
      </c>
      <c r="J7013" s="43">
        <f>IF($I7012=0,0,$R7012)</f>
      </c>
      <c r="K7013" s="43">
        <f>IF($I7013=0,0,IF(INDEX(DarlOhneTilgung,15)=1,0,IF(AND(INDEX(DarlTilgStart,15)&gt;0,$E7013=INDEX(DarlTilgStart,15)),$J7013*($H7013+INDEX(DarlTilgung,15))/100/12,IF(AND($G7013=0,$G7012=1),MAX($K7012,$J7013*($H7013+1)/100/12),$K7012))))</f>
      </c>
      <c r="L7013" s="43">
        <f>IF($I7013=0,0,$J7013*$H7013/100/12)</f>
      </c>
      <c r="M7013" s="43">
        <f>IF($I7013=0,0,IF(OR(INDEX(DarlOhneTilgung,15)=1,AND(INDEX(DarlTilgStart,15)&gt;0,$E7013&lt;INDEX(DarlTilgStart,15))),0,MIN(MAX(0,$K7013-$L7013),$J7013)))</f>
      </c>
      <c r="N7013" s="43">
        <f>IF($I7013=0,0,MIN(SUMIFS(SondBetrag,SondDarl,15,SondDatum,"&gt;="&amp;$E7013,SondDatum,"&lt;="&amp;EOMONTH($E7013,0)),$J7013-$M7013))</f>
      </c>
      <c r="O7013" s="43">
        <f>IF($I7013=0,0,INDEX(DarlErsatzRate,15))</f>
      </c>
      <c r="P7013" s="43">
        <f>IF($I7013=0,0,$Q7012*INDEX(DarlErsatzZins,15))</f>
      </c>
      <c r="Q7013" s="43">
        <f>IF($I7013=0,0,$Q7012+$P7013+$O7013)</f>
      </c>
      <c r="R7013" s="43">
        <f>IF($I7013=0,0,$J7013-$M7013-$N7013)</f>
      </c>
    </row>
    <row r="7014">
      <c r="A7014"/>
      <c r="B7014">
        <v>15</v>
      </c>
      <c r="C7014" s="43">
        <f>INDEX(DarlObj,15)</f>
      </c>
      <c r="D7014">
        <v>291</v>
      </c>
      <c r="E7014" s="51">
        <f>IF(INDEX(DarlBelegt,15)=0,0,EOMONTH(INDEX(DarlAuszahlung,15),290)+1)</f>
      </c>
      <c r="F7014" s="43">
        <f>IF($E7014=0,0,YEAR($E7014))</f>
      </c>
      <c r="G7014" s="43">
        <f>IF(INDEX(DarlBindung,15)="",1,IF($E7014&lt;=INDEX(DarlBindung,15),1,0))</f>
      </c>
      <c r="H7014" s="43">
        <f>IF($G7014=1,INDEX(DarlSollzins,15),INDEX(DarlAnschluss,15))</f>
      </c>
      <c r="I7014" s="43">
        <f>IF(INDEX(DarlBelegt,15)=0,0,IF(INDEX(DarlOhneTilgung,15)=1,IF(INDEX(DarlBindung,15)="",1,$G7014),IF($J7014&gt;0.005,1,0)))</f>
      </c>
      <c r="J7014" s="43">
        <f>IF($I7013=0,0,$R7013)</f>
      </c>
      <c r="K7014" s="43">
        <f>IF($I7014=0,0,IF(INDEX(DarlOhneTilgung,15)=1,0,IF(AND(INDEX(DarlTilgStart,15)&gt;0,$E7014=INDEX(DarlTilgStart,15)),$J7014*($H7014+INDEX(DarlTilgung,15))/100/12,IF(AND($G7014=0,$G7013=1),MAX($K7013,$J7014*($H7014+1)/100/12),$K7013))))</f>
      </c>
      <c r="L7014" s="43">
        <f>IF($I7014=0,0,$J7014*$H7014/100/12)</f>
      </c>
      <c r="M7014" s="43">
        <f>IF($I7014=0,0,IF(OR(INDEX(DarlOhneTilgung,15)=1,AND(INDEX(DarlTilgStart,15)&gt;0,$E7014&lt;INDEX(DarlTilgStart,15))),0,MIN(MAX(0,$K7014-$L7014),$J7014)))</f>
      </c>
      <c r="N7014" s="43">
        <f>IF($I7014=0,0,MIN(SUMIFS(SondBetrag,SondDarl,15,SondDatum,"&gt;="&amp;$E7014,SondDatum,"&lt;="&amp;EOMONTH($E7014,0)),$J7014-$M7014))</f>
      </c>
      <c r="O7014" s="43">
        <f>IF($I7014=0,0,INDEX(DarlErsatzRate,15))</f>
      </c>
      <c r="P7014" s="43">
        <f>IF($I7014=0,0,$Q7013*INDEX(DarlErsatzZins,15))</f>
      </c>
      <c r="Q7014" s="43">
        <f>IF($I7014=0,0,$Q7013+$P7014+$O7014)</f>
      </c>
      <c r="R7014" s="43">
        <f>IF($I7014=0,0,$J7014-$M7014-$N7014)</f>
      </c>
    </row>
    <row r="7015">
      <c r="A7015"/>
      <c r="B7015">
        <v>15</v>
      </c>
      <c r="C7015" s="43">
        <f>INDEX(DarlObj,15)</f>
      </c>
      <c r="D7015">
        <v>292</v>
      </c>
      <c r="E7015" s="51">
        <f>IF(INDEX(DarlBelegt,15)=0,0,EOMONTH(INDEX(DarlAuszahlung,15),291)+1)</f>
      </c>
      <c r="F7015" s="43">
        <f>IF($E7015=0,0,YEAR($E7015))</f>
      </c>
      <c r="G7015" s="43">
        <f>IF(INDEX(DarlBindung,15)="",1,IF($E7015&lt;=INDEX(DarlBindung,15),1,0))</f>
      </c>
      <c r="H7015" s="43">
        <f>IF($G7015=1,INDEX(DarlSollzins,15),INDEX(DarlAnschluss,15))</f>
      </c>
      <c r="I7015" s="43">
        <f>IF(INDEX(DarlBelegt,15)=0,0,IF(INDEX(DarlOhneTilgung,15)=1,IF(INDEX(DarlBindung,15)="",1,$G7015),IF($J7015&gt;0.005,1,0)))</f>
      </c>
      <c r="J7015" s="43">
        <f>IF($I7014=0,0,$R7014)</f>
      </c>
      <c r="K7015" s="43">
        <f>IF($I7015=0,0,IF(INDEX(DarlOhneTilgung,15)=1,0,IF(AND(INDEX(DarlTilgStart,15)&gt;0,$E7015=INDEX(DarlTilgStart,15)),$J7015*($H7015+INDEX(DarlTilgung,15))/100/12,IF(AND($G7015=0,$G7014=1),MAX($K7014,$J7015*($H7015+1)/100/12),$K7014))))</f>
      </c>
      <c r="L7015" s="43">
        <f>IF($I7015=0,0,$J7015*$H7015/100/12)</f>
      </c>
      <c r="M7015" s="43">
        <f>IF($I7015=0,0,IF(OR(INDEX(DarlOhneTilgung,15)=1,AND(INDEX(DarlTilgStart,15)&gt;0,$E7015&lt;INDEX(DarlTilgStart,15))),0,MIN(MAX(0,$K7015-$L7015),$J7015)))</f>
      </c>
      <c r="N7015" s="43">
        <f>IF($I7015=0,0,MIN(SUMIFS(SondBetrag,SondDarl,15,SondDatum,"&gt;="&amp;$E7015,SondDatum,"&lt;="&amp;EOMONTH($E7015,0)),$J7015-$M7015))</f>
      </c>
      <c r="O7015" s="43">
        <f>IF($I7015=0,0,INDEX(DarlErsatzRate,15))</f>
      </c>
      <c r="P7015" s="43">
        <f>IF($I7015=0,0,$Q7014*INDEX(DarlErsatzZins,15))</f>
      </c>
      <c r="Q7015" s="43">
        <f>IF($I7015=0,0,$Q7014+$P7015+$O7015)</f>
      </c>
      <c r="R7015" s="43">
        <f>IF($I7015=0,0,$J7015-$M7015-$N7015)</f>
      </c>
    </row>
    <row r="7016">
      <c r="A7016"/>
      <c r="B7016">
        <v>15</v>
      </c>
      <c r="C7016" s="43">
        <f>INDEX(DarlObj,15)</f>
      </c>
      <c r="D7016">
        <v>293</v>
      </c>
      <c r="E7016" s="51">
        <f>IF(INDEX(DarlBelegt,15)=0,0,EOMONTH(INDEX(DarlAuszahlung,15),292)+1)</f>
      </c>
      <c r="F7016" s="43">
        <f>IF($E7016=0,0,YEAR($E7016))</f>
      </c>
      <c r="G7016" s="43">
        <f>IF(INDEX(DarlBindung,15)="",1,IF($E7016&lt;=INDEX(DarlBindung,15),1,0))</f>
      </c>
      <c r="H7016" s="43">
        <f>IF($G7016=1,INDEX(DarlSollzins,15),INDEX(DarlAnschluss,15))</f>
      </c>
      <c r="I7016" s="43">
        <f>IF(INDEX(DarlBelegt,15)=0,0,IF(INDEX(DarlOhneTilgung,15)=1,IF(INDEX(DarlBindung,15)="",1,$G7016),IF($J7016&gt;0.005,1,0)))</f>
      </c>
      <c r="J7016" s="43">
        <f>IF($I7015=0,0,$R7015)</f>
      </c>
      <c r="K7016" s="43">
        <f>IF($I7016=0,0,IF(INDEX(DarlOhneTilgung,15)=1,0,IF(AND(INDEX(DarlTilgStart,15)&gt;0,$E7016=INDEX(DarlTilgStart,15)),$J7016*($H7016+INDEX(DarlTilgung,15))/100/12,IF(AND($G7016=0,$G7015=1),MAX($K7015,$J7016*($H7016+1)/100/12),$K7015))))</f>
      </c>
      <c r="L7016" s="43">
        <f>IF($I7016=0,0,$J7016*$H7016/100/12)</f>
      </c>
      <c r="M7016" s="43">
        <f>IF($I7016=0,0,IF(OR(INDEX(DarlOhneTilgung,15)=1,AND(INDEX(DarlTilgStart,15)&gt;0,$E7016&lt;INDEX(DarlTilgStart,15))),0,MIN(MAX(0,$K7016-$L7016),$J7016)))</f>
      </c>
      <c r="N7016" s="43">
        <f>IF($I7016=0,0,MIN(SUMIFS(SondBetrag,SondDarl,15,SondDatum,"&gt;="&amp;$E7016,SondDatum,"&lt;="&amp;EOMONTH($E7016,0)),$J7016-$M7016))</f>
      </c>
      <c r="O7016" s="43">
        <f>IF($I7016=0,0,INDEX(DarlErsatzRate,15))</f>
      </c>
      <c r="P7016" s="43">
        <f>IF($I7016=0,0,$Q7015*INDEX(DarlErsatzZins,15))</f>
      </c>
      <c r="Q7016" s="43">
        <f>IF($I7016=0,0,$Q7015+$P7016+$O7016)</f>
      </c>
      <c r="R7016" s="43">
        <f>IF($I7016=0,0,$J7016-$M7016-$N7016)</f>
      </c>
    </row>
    <row r="7017">
      <c r="A7017"/>
      <c r="B7017">
        <v>15</v>
      </c>
      <c r="C7017" s="43">
        <f>INDEX(DarlObj,15)</f>
      </c>
      <c r="D7017">
        <v>294</v>
      </c>
      <c r="E7017" s="51">
        <f>IF(INDEX(DarlBelegt,15)=0,0,EOMONTH(INDEX(DarlAuszahlung,15),293)+1)</f>
      </c>
      <c r="F7017" s="43">
        <f>IF($E7017=0,0,YEAR($E7017))</f>
      </c>
      <c r="G7017" s="43">
        <f>IF(INDEX(DarlBindung,15)="",1,IF($E7017&lt;=INDEX(DarlBindung,15),1,0))</f>
      </c>
      <c r="H7017" s="43">
        <f>IF($G7017=1,INDEX(DarlSollzins,15),INDEX(DarlAnschluss,15))</f>
      </c>
      <c r="I7017" s="43">
        <f>IF(INDEX(DarlBelegt,15)=0,0,IF(INDEX(DarlOhneTilgung,15)=1,IF(INDEX(DarlBindung,15)="",1,$G7017),IF($J7017&gt;0.005,1,0)))</f>
      </c>
      <c r="J7017" s="43">
        <f>IF($I7016=0,0,$R7016)</f>
      </c>
      <c r="K7017" s="43">
        <f>IF($I7017=0,0,IF(INDEX(DarlOhneTilgung,15)=1,0,IF(AND(INDEX(DarlTilgStart,15)&gt;0,$E7017=INDEX(DarlTilgStart,15)),$J7017*($H7017+INDEX(DarlTilgung,15))/100/12,IF(AND($G7017=0,$G7016=1),MAX($K7016,$J7017*($H7017+1)/100/12),$K7016))))</f>
      </c>
      <c r="L7017" s="43">
        <f>IF($I7017=0,0,$J7017*$H7017/100/12)</f>
      </c>
      <c r="M7017" s="43">
        <f>IF($I7017=0,0,IF(OR(INDEX(DarlOhneTilgung,15)=1,AND(INDEX(DarlTilgStart,15)&gt;0,$E7017&lt;INDEX(DarlTilgStart,15))),0,MIN(MAX(0,$K7017-$L7017),$J7017)))</f>
      </c>
      <c r="N7017" s="43">
        <f>IF($I7017=0,0,MIN(SUMIFS(SondBetrag,SondDarl,15,SondDatum,"&gt;="&amp;$E7017,SondDatum,"&lt;="&amp;EOMONTH($E7017,0)),$J7017-$M7017))</f>
      </c>
      <c r="O7017" s="43">
        <f>IF($I7017=0,0,INDEX(DarlErsatzRate,15))</f>
      </c>
      <c r="P7017" s="43">
        <f>IF($I7017=0,0,$Q7016*INDEX(DarlErsatzZins,15))</f>
      </c>
      <c r="Q7017" s="43">
        <f>IF($I7017=0,0,$Q7016+$P7017+$O7017)</f>
      </c>
      <c r="R7017" s="43">
        <f>IF($I7017=0,0,$J7017-$M7017-$N7017)</f>
      </c>
    </row>
    <row r="7018">
      <c r="A7018"/>
      <c r="B7018">
        <v>15</v>
      </c>
      <c r="C7018" s="43">
        <f>INDEX(DarlObj,15)</f>
      </c>
      <c r="D7018">
        <v>295</v>
      </c>
      <c r="E7018" s="51">
        <f>IF(INDEX(DarlBelegt,15)=0,0,EOMONTH(INDEX(DarlAuszahlung,15),294)+1)</f>
      </c>
      <c r="F7018" s="43">
        <f>IF($E7018=0,0,YEAR($E7018))</f>
      </c>
      <c r="G7018" s="43">
        <f>IF(INDEX(DarlBindung,15)="",1,IF($E7018&lt;=INDEX(DarlBindung,15),1,0))</f>
      </c>
      <c r="H7018" s="43">
        <f>IF($G7018=1,INDEX(DarlSollzins,15),INDEX(DarlAnschluss,15))</f>
      </c>
      <c r="I7018" s="43">
        <f>IF(INDEX(DarlBelegt,15)=0,0,IF(INDEX(DarlOhneTilgung,15)=1,IF(INDEX(DarlBindung,15)="",1,$G7018),IF($J7018&gt;0.005,1,0)))</f>
      </c>
      <c r="J7018" s="43">
        <f>IF($I7017=0,0,$R7017)</f>
      </c>
      <c r="K7018" s="43">
        <f>IF($I7018=0,0,IF(INDEX(DarlOhneTilgung,15)=1,0,IF(AND(INDEX(DarlTilgStart,15)&gt;0,$E7018=INDEX(DarlTilgStart,15)),$J7018*($H7018+INDEX(DarlTilgung,15))/100/12,IF(AND($G7018=0,$G7017=1),MAX($K7017,$J7018*($H7018+1)/100/12),$K7017))))</f>
      </c>
      <c r="L7018" s="43">
        <f>IF($I7018=0,0,$J7018*$H7018/100/12)</f>
      </c>
      <c r="M7018" s="43">
        <f>IF($I7018=0,0,IF(OR(INDEX(DarlOhneTilgung,15)=1,AND(INDEX(DarlTilgStart,15)&gt;0,$E7018&lt;INDEX(DarlTilgStart,15))),0,MIN(MAX(0,$K7018-$L7018),$J7018)))</f>
      </c>
      <c r="N7018" s="43">
        <f>IF($I7018=0,0,MIN(SUMIFS(SondBetrag,SondDarl,15,SondDatum,"&gt;="&amp;$E7018,SondDatum,"&lt;="&amp;EOMONTH($E7018,0)),$J7018-$M7018))</f>
      </c>
      <c r="O7018" s="43">
        <f>IF($I7018=0,0,INDEX(DarlErsatzRate,15))</f>
      </c>
      <c r="P7018" s="43">
        <f>IF($I7018=0,0,$Q7017*INDEX(DarlErsatzZins,15))</f>
      </c>
      <c r="Q7018" s="43">
        <f>IF($I7018=0,0,$Q7017+$P7018+$O7018)</f>
      </c>
      <c r="R7018" s="43">
        <f>IF($I7018=0,0,$J7018-$M7018-$N7018)</f>
      </c>
    </row>
    <row r="7019">
      <c r="A7019"/>
      <c r="B7019">
        <v>15</v>
      </c>
      <c r="C7019" s="43">
        <f>INDEX(DarlObj,15)</f>
      </c>
      <c r="D7019">
        <v>296</v>
      </c>
      <c r="E7019" s="51">
        <f>IF(INDEX(DarlBelegt,15)=0,0,EOMONTH(INDEX(DarlAuszahlung,15),295)+1)</f>
      </c>
      <c r="F7019" s="43">
        <f>IF($E7019=0,0,YEAR($E7019))</f>
      </c>
      <c r="G7019" s="43">
        <f>IF(INDEX(DarlBindung,15)="",1,IF($E7019&lt;=INDEX(DarlBindung,15),1,0))</f>
      </c>
      <c r="H7019" s="43">
        <f>IF($G7019=1,INDEX(DarlSollzins,15),INDEX(DarlAnschluss,15))</f>
      </c>
      <c r="I7019" s="43">
        <f>IF(INDEX(DarlBelegt,15)=0,0,IF(INDEX(DarlOhneTilgung,15)=1,IF(INDEX(DarlBindung,15)="",1,$G7019),IF($J7019&gt;0.005,1,0)))</f>
      </c>
      <c r="J7019" s="43">
        <f>IF($I7018=0,0,$R7018)</f>
      </c>
      <c r="K7019" s="43">
        <f>IF($I7019=0,0,IF(INDEX(DarlOhneTilgung,15)=1,0,IF(AND(INDEX(DarlTilgStart,15)&gt;0,$E7019=INDEX(DarlTilgStart,15)),$J7019*($H7019+INDEX(DarlTilgung,15))/100/12,IF(AND($G7019=0,$G7018=1),MAX($K7018,$J7019*($H7019+1)/100/12),$K7018))))</f>
      </c>
      <c r="L7019" s="43">
        <f>IF($I7019=0,0,$J7019*$H7019/100/12)</f>
      </c>
      <c r="M7019" s="43">
        <f>IF($I7019=0,0,IF(OR(INDEX(DarlOhneTilgung,15)=1,AND(INDEX(DarlTilgStart,15)&gt;0,$E7019&lt;INDEX(DarlTilgStart,15))),0,MIN(MAX(0,$K7019-$L7019),$J7019)))</f>
      </c>
      <c r="N7019" s="43">
        <f>IF($I7019=0,0,MIN(SUMIFS(SondBetrag,SondDarl,15,SondDatum,"&gt;="&amp;$E7019,SondDatum,"&lt;="&amp;EOMONTH($E7019,0)),$J7019-$M7019))</f>
      </c>
      <c r="O7019" s="43">
        <f>IF($I7019=0,0,INDEX(DarlErsatzRate,15))</f>
      </c>
      <c r="P7019" s="43">
        <f>IF($I7019=0,0,$Q7018*INDEX(DarlErsatzZins,15))</f>
      </c>
      <c r="Q7019" s="43">
        <f>IF($I7019=0,0,$Q7018+$P7019+$O7019)</f>
      </c>
      <c r="R7019" s="43">
        <f>IF($I7019=0,0,$J7019-$M7019-$N7019)</f>
      </c>
    </row>
    <row r="7020">
      <c r="A7020"/>
      <c r="B7020">
        <v>15</v>
      </c>
      <c r="C7020" s="43">
        <f>INDEX(DarlObj,15)</f>
      </c>
      <c r="D7020">
        <v>297</v>
      </c>
      <c r="E7020" s="51">
        <f>IF(INDEX(DarlBelegt,15)=0,0,EOMONTH(INDEX(DarlAuszahlung,15),296)+1)</f>
      </c>
      <c r="F7020" s="43">
        <f>IF($E7020=0,0,YEAR($E7020))</f>
      </c>
      <c r="G7020" s="43">
        <f>IF(INDEX(DarlBindung,15)="",1,IF($E7020&lt;=INDEX(DarlBindung,15),1,0))</f>
      </c>
      <c r="H7020" s="43">
        <f>IF($G7020=1,INDEX(DarlSollzins,15),INDEX(DarlAnschluss,15))</f>
      </c>
      <c r="I7020" s="43">
        <f>IF(INDEX(DarlBelegt,15)=0,0,IF(INDEX(DarlOhneTilgung,15)=1,IF(INDEX(DarlBindung,15)="",1,$G7020),IF($J7020&gt;0.005,1,0)))</f>
      </c>
      <c r="J7020" s="43">
        <f>IF($I7019=0,0,$R7019)</f>
      </c>
      <c r="K7020" s="43">
        <f>IF($I7020=0,0,IF(INDEX(DarlOhneTilgung,15)=1,0,IF(AND(INDEX(DarlTilgStart,15)&gt;0,$E7020=INDEX(DarlTilgStart,15)),$J7020*($H7020+INDEX(DarlTilgung,15))/100/12,IF(AND($G7020=0,$G7019=1),MAX($K7019,$J7020*($H7020+1)/100/12),$K7019))))</f>
      </c>
      <c r="L7020" s="43">
        <f>IF($I7020=0,0,$J7020*$H7020/100/12)</f>
      </c>
      <c r="M7020" s="43">
        <f>IF($I7020=0,0,IF(OR(INDEX(DarlOhneTilgung,15)=1,AND(INDEX(DarlTilgStart,15)&gt;0,$E7020&lt;INDEX(DarlTilgStart,15))),0,MIN(MAX(0,$K7020-$L7020),$J7020)))</f>
      </c>
      <c r="N7020" s="43">
        <f>IF($I7020=0,0,MIN(SUMIFS(SondBetrag,SondDarl,15,SondDatum,"&gt;="&amp;$E7020,SondDatum,"&lt;="&amp;EOMONTH($E7020,0)),$J7020-$M7020))</f>
      </c>
      <c r="O7020" s="43">
        <f>IF($I7020=0,0,INDEX(DarlErsatzRate,15))</f>
      </c>
      <c r="P7020" s="43">
        <f>IF($I7020=0,0,$Q7019*INDEX(DarlErsatzZins,15))</f>
      </c>
      <c r="Q7020" s="43">
        <f>IF($I7020=0,0,$Q7019+$P7020+$O7020)</f>
      </c>
      <c r="R7020" s="43">
        <f>IF($I7020=0,0,$J7020-$M7020-$N7020)</f>
      </c>
    </row>
    <row r="7021">
      <c r="A7021"/>
      <c r="B7021">
        <v>15</v>
      </c>
      <c r="C7021" s="43">
        <f>INDEX(DarlObj,15)</f>
      </c>
      <c r="D7021">
        <v>298</v>
      </c>
      <c r="E7021" s="51">
        <f>IF(INDEX(DarlBelegt,15)=0,0,EOMONTH(INDEX(DarlAuszahlung,15),297)+1)</f>
      </c>
      <c r="F7021" s="43">
        <f>IF($E7021=0,0,YEAR($E7021))</f>
      </c>
      <c r="G7021" s="43">
        <f>IF(INDEX(DarlBindung,15)="",1,IF($E7021&lt;=INDEX(DarlBindung,15),1,0))</f>
      </c>
      <c r="H7021" s="43">
        <f>IF($G7021=1,INDEX(DarlSollzins,15),INDEX(DarlAnschluss,15))</f>
      </c>
      <c r="I7021" s="43">
        <f>IF(INDEX(DarlBelegt,15)=0,0,IF(INDEX(DarlOhneTilgung,15)=1,IF(INDEX(DarlBindung,15)="",1,$G7021),IF($J7021&gt;0.005,1,0)))</f>
      </c>
      <c r="J7021" s="43">
        <f>IF($I7020=0,0,$R7020)</f>
      </c>
      <c r="K7021" s="43">
        <f>IF($I7021=0,0,IF(INDEX(DarlOhneTilgung,15)=1,0,IF(AND(INDEX(DarlTilgStart,15)&gt;0,$E7021=INDEX(DarlTilgStart,15)),$J7021*($H7021+INDEX(DarlTilgung,15))/100/12,IF(AND($G7021=0,$G7020=1),MAX($K7020,$J7021*($H7021+1)/100/12),$K7020))))</f>
      </c>
      <c r="L7021" s="43">
        <f>IF($I7021=0,0,$J7021*$H7021/100/12)</f>
      </c>
      <c r="M7021" s="43">
        <f>IF($I7021=0,0,IF(OR(INDEX(DarlOhneTilgung,15)=1,AND(INDEX(DarlTilgStart,15)&gt;0,$E7021&lt;INDEX(DarlTilgStart,15))),0,MIN(MAX(0,$K7021-$L7021),$J7021)))</f>
      </c>
      <c r="N7021" s="43">
        <f>IF($I7021=0,0,MIN(SUMIFS(SondBetrag,SondDarl,15,SondDatum,"&gt;="&amp;$E7021,SondDatum,"&lt;="&amp;EOMONTH($E7021,0)),$J7021-$M7021))</f>
      </c>
      <c r="O7021" s="43">
        <f>IF($I7021=0,0,INDEX(DarlErsatzRate,15))</f>
      </c>
      <c r="P7021" s="43">
        <f>IF($I7021=0,0,$Q7020*INDEX(DarlErsatzZins,15))</f>
      </c>
      <c r="Q7021" s="43">
        <f>IF($I7021=0,0,$Q7020+$P7021+$O7021)</f>
      </c>
      <c r="R7021" s="43">
        <f>IF($I7021=0,0,$J7021-$M7021-$N7021)</f>
      </c>
    </row>
    <row r="7022">
      <c r="A7022"/>
      <c r="B7022">
        <v>15</v>
      </c>
      <c r="C7022" s="43">
        <f>INDEX(DarlObj,15)</f>
      </c>
      <c r="D7022">
        <v>299</v>
      </c>
      <c r="E7022" s="51">
        <f>IF(INDEX(DarlBelegt,15)=0,0,EOMONTH(INDEX(DarlAuszahlung,15),298)+1)</f>
      </c>
      <c r="F7022" s="43">
        <f>IF($E7022=0,0,YEAR($E7022))</f>
      </c>
      <c r="G7022" s="43">
        <f>IF(INDEX(DarlBindung,15)="",1,IF($E7022&lt;=INDEX(DarlBindung,15),1,0))</f>
      </c>
      <c r="H7022" s="43">
        <f>IF($G7022=1,INDEX(DarlSollzins,15),INDEX(DarlAnschluss,15))</f>
      </c>
      <c r="I7022" s="43">
        <f>IF(INDEX(DarlBelegt,15)=0,0,IF(INDEX(DarlOhneTilgung,15)=1,IF(INDEX(DarlBindung,15)="",1,$G7022),IF($J7022&gt;0.005,1,0)))</f>
      </c>
      <c r="J7022" s="43">
        <f>IF($I7021=0,0,$R7021)</f>
      </c>
      <c r="K7022" s="43">
        <f>IF($I7022=0,0,IF(INDEX(DarlOhneTilgung,15)=1,0,IF(AND(INDEX(DarlTilgStart,15)&gt;0,$E7022=INDEX(DarlTilgStart,15)),$J7022*($H7022+INDEX(DarlTilgung,15))/100/12,IF(AND($G7022=0,$G7021=1),MAX($K7021,$J7022*($H7022+1)/100/12),$K7021))))</f>
      </c>
      <c r="L7022" s="43">
        <f>IF($I7022=0,0,$J7022*$H7022/100/12)</f>
      </c>
      <c r="M7022" s="43">
        <f>IF($I7022=0,0,IF(OR(INDEX(DarlOhneTilgung,15)=1,AND(INDEX(DarlTilgStart,15)&gt;0,$E7022&lt;INDEX(DarlTilgStart,15))),0,MIN(MAX(0,$K7022-$L7022),$J7022)))</f>
      </c>
      <c r="N7022" s="43">
        <f>IF($I7022=0,0,MIN(SUMIFS(SondBetrag,SondDarl,15,SondDatum,"&gt;="&amp;$E7022,SondDatum,"&lt;="&amp;EOMONTH($E7022,0)),$J7022-$M7022))</f>
      </c>
      <c r="O7022" s="43">
        <f>IF($I7022=0,0,INDEX(DarlErsatzRate,15))</f>
      </c>
      <c r="P7022" s="43">
        <f>IF($I7022=0,0,$Q7021*INDEX(DarlErsatzZins,15))</f>
      </c>
      <c r="Q7022" s="43">
        <f>IF($I7022=0,0,$Q7021+$P7022+$O7022)</f>
      </c>
      <c r="R7022" s="43">
        <f>IF($I7022=0,0,$J7022-$M7022-$N7022)</f>
      </c>
    </row>
    <row r="7023">
      <c r="A7023"/>
      <c r="B7023">
        <v>15</v>
      </c>
      <c r="C7023" s="43">
        <f>INDEX(DarlObj,15)</f>
      </c>
      <c r="D7023">
        <v>300</v>
      </c>
      <c r="E7023" s="51">
        <f>IF(INDEX(DarlBelegt,15)=0,0,EOMONTH(INDEX(DarlAuszahlung,15),299)+1)</f>
      </c>
      <c r="F7023" s="43">
        <f>IF($E7023=0,0,YEAR($E7023))</f>
      </c>
      <c r="G7023" s="43">
        <f>IF(INDEX(DarlBindung,15)="",1,IF($E7023&lt;=INDEX(DarlBindung,15),1,0))</f>
      </c>
      <c r="H7023" s="43">
        <f>IF($G7023=1,INDEX(DarlSollzins,15),INDEX(DarlAnschluss,15))</f>
      </c>
      <c r="I7023" s="43">
        <f>IF(INDEX(DarlBelegt,15)=0,0,IF(INDEX(DarlOhneTilgung,15)=1,IF(INDEX(DarlBindung,15)="",1,$G7023),IF($J7023&gt;0.005,1,0)))</f>
      </c>
      <c r="J7023" s="43">
        <f>IF($I7022=0,0,$R7022)</f>
      </c>
      <c r="K7023" s="43">
        <f>IF($I7023=0,0,IF(INDEX(DarlOhneTilgung,15)=1,0,IF(AND(INDEX(DarlTilgStart,15)&gt;0,$E7023=INDEX(DarlTilgStart,15)),$J7023*($H7023+INDEX(DarlTilgung,15))/100/12,IF(AND($G7023=0,$G7022=1),MAX($K7022,$J7023*($H7023+1)/100/12),$K7022))))</f>
      </c>
      <c r="L7023" s="43">
        <f>IF($I7023=0,0,$J7023*$H7023/100/12)</f>
      </c>
      <c r="M7023" s="43">
        <f>IF($I7023=0,0,IF(OR(INDEX(DarlOhneTilgung,15)=1,AND(INDEX(DarlTilgStart,15)&gt;0,$E7023&lt;INDEX(DarlTilgStart,15))),0,MIN(MAX(0,$K7023-$L7023),$J7023)))</f>
      </c>
      <c r="N7023" s="43">
        <f>IF($I7023=0,0,MIN(SUMIFS(SondBetrag,SondDarl,15,SondDatum,"&gt;="&amp;$E7023,SondDatum,"&lt;="&amp;EOMONTH($E7023,0)),$J7023-$M7023))</f>
      </c>
      <c r="O7023" s="43">
        <f>IF($I7023=0,0,INDEX(DarlErsatzRate,15))</f>
      </c>
      <c r="P7023" s="43">
        <f>IF($I7023=0,0,$Q7022*INDEX(DarlErsatzZins,15))</f>
      </c>
      <c r="Q7023" s="43">
        <f>IF($I7023=0,0,$Q7022+$P7023+$O7023)</f>
      </c>
      <c r="R7023" s="43">
        <f>IF($I7023=0,0,$J7023-$M7023-$N7023)</f>
      </c>
    </row>
    <row r="7024">
      <c r="A7024"/>
      <c r="B7024">
        <v>15</v>
      </c>
      <c r="C7024" s="43">
        <f>INDEX(DarlObj,15)</f>
      </c>
      <c r="D7024">
        <v>301</v>
      </c>
      <c r="E7024" s="51">
        <f>IF(INDEX(DarlBelegt,15)=0,0,EOMONTH(INDEX(DarlAuszahlung,15),300)+1)</f>
      </c>
      <c r="F7024" s="43">
        <f>IF($E7024=0,0,YEAR($E7024))</f>
      </c>
      <c r="G7024" s="43">
        <f>IF(INDEX(DarlBindung,15)="",1,IF($E7024&lt;=INDEX(DarlBindung,15),1,0))</f>
      </c>
      <c r="H7024" s="43">
        <f>IF($G7024=1,INDEX(DarlSollzins,15),INDEX(DarlAnschluss,15))</f>
      </c>
      <c r="I7024" s="43">
        <f>IF(INDEX(DarlBelegt,15)=0,0,IF(INDEX(DarlOhneTilgung,15)=1,IF(INDEX(DarlBindung,15)="",1,$G7024),IF($J7024&gt;0.005,1,0)))</f>
      </c>
      <c r="J7024" s="43">
        <f>IF($I7023=0,0,$R7023)</f>
      </c>
      <c r="K7024" s="43">
        <f>IF($I7024=0,0,IF(INDEX(DarlOhneTilgung,15)=1,0,IF(AND(INDEX(DarlTilgStart,15)&gt;0,$E7024=INDEX(DarlTilgStart,15)),$J7024*($H7024+INDEX(DarlTilgung,15))/100/12,IF(AND($G7024=0,$G7023=1),MAX($K7023,$J7024*($H7024+1)/100/12),$K7023))))</f>
      </c>
      <c r="L7024" s="43">
        <f>IF($I7024=0,0,$J7024*$H7024/100/12)</f>
      </c>
      <c r="M7024" s="43">
        <f>IF($I7024=0,0,IF(OR(INDEX(DarlOhneTilgung,15)=1,AND(INDEX(DarlTilgStart,15)&gt;0,$E7024&lt;INDEX(DarlTilgStart,15))),0,MIN(MAX(0,$K7024-$L7024),$J7024)))</f>
      </c>
      <c r="N7024" s="43">
        <f>IF($I7024=0,0,MIN(SUMIFS(SondBetrag,SondDarl,15,SondDatum,"&gt;="&amp;$E7024,SondDatum,"&lt;="&amp;EOMONTH($E7024,0)),$J7024-$M7024))</f>
      </c>
      <c r="O7024" s="43">
        <f>IF($I7024=0,0,INDEX(DarlErsatzRate,15))</f>
      </c>
      <c r="P7024" s="43">
        <f>IF($I7024=0,0,$Q7023*INDEX(DarlErsatzZins,15))</f>
      </c>
      <c r="Q7024" s="43">
        <f>IF($I7024=0,0,$Q7023+$P7024+$O7024)</f>
      </c>
      <c r="R7024" s="43">
        <f>IF($I7024=0,0,$J7024-$M7024-$N7024)</f>
      </c>
    </row>
    <row r="7025">
      <c r="A7025"/>
      <c r="B7025">
        <v>15</v>
      </c>
      <c r="C7025" s="43">
        <f>INDEX(DarlObj,15)</f>
      </c>
      <c r="D7025">
        <v>302</v>
      </c>
      <c r="E7025" s="51">
        <f>IF(INDEX(DarlBelegt,15)=0,0,EOMONTH(INDEX(DarlAuszahlung,15),301)+1)</f>
      </c>
      <c r="F7025" s="43">
        <f>IF($E7025=0,0,YEAR($E7025))</f>
      </c>
      <c r="G7025" s="43">
        <f>IF(INDEX(DarlBindung,15)="",1,IF($E7025&lt;=INDEX(DarlBindung,15),1,0))</f>
      </c>
      <c r="H7025" s="43">
        <f>IF($G7025=1,INDEX(DarlSollzins,15),INDEX(DarlAnschluss,15))</f>
      </c>
      <c r="I7025" s="43">
        <f>IF(INDEX(DarlBelegt,15)=0,0,IF(INDEX(DarlOhneTilgung,15)=1,IF(INDEX(DarlBindung,15)="",1,$G7025),IF($J7025&gt;0.005,1,0)))</f>
      </c>
      <c r="J7025" s="43">
        <f>IF($I7024=0,0,$R7024)</f>
      </c>
      <c r="K7025" s="43">
        <f>IF($I7025=0,0,IF(INDEX(DarlOhneTilgung,15)=1,0,IF(AND(INDEX(DarlTilgStart,15)&gt;0,$E7025=INDEX(DarlTilgStart,15)),$J7025*($H7025+INDEX(DarlTilgung,15))/100/12,IF(AND($G7025=0,$G7024=1),MAX($K7024,$J7025*($H7025+1)/100/12),$K7024))))</f>
      </c>
      <c r="L7025" s="43">
        <f>IF($I7025=0,0,$J7025*$H7025/100/12)</f>
      </c>
      <c r="M7025" s="43">
        <f>IF($I7025=0,0,IF(OR(INDEX(DarlOhneTilgung,15)=1,AND(INDEX(DarlTilgStart,15)&gt;0,$E7025&lt;INDEX(DarlTilgStart,15))),0,MIN(MAX(0,$K7025-$L7025),$J7025)))</f>
      </c>
      <c r="N7025" s="43">
        <f>IF($I7025=0,0,MIN(SUMIFS(SondBetrag,SondDarl,15,SondDatum,"&gt;="&amp;$E7025,SondDatum,"&lt;="&amp;EOMONTH($E7025,0)),$J7025-$M7025))</f>
      </c>
      <c r="O7025" s="43">
        <f>IF($I7025=0,0,INDEX(DarlErsatzRate,15))</f>
      </c>
      <c r="P7025" s="43">
        <f>IF($I7025=0,0,$Q7024*INDEX(DarlErsatzZins,15))</f>
      </c>
      <c r="Q7025" s="43">
        <f>IF($I7025=0,0,$Q7024+$P7025+$O7025)</f>
      </c>
      <c r="R7025" s="43">
        <f>IF($I7025=0,0,$J7025-$M7025-$N7025)</f>
      </c>
    </row>
    <row r="7026">
      <c r="A7026"/>
      <c r="B7026">
        <v>15</v>
      </c>
      <c r="C7026" s="43">
        <f>INDEX(DarlObj,15)</f>
      </c>
      <c r="D7026">
        <v>303</v>
      </c>
      <c r="E7026" s="51">
        <f>IF(INDEX(DarlBelegt,15)=0,0,EOMONTH(INDEX(DarlAuszahlung,15),302)+1)</f>
      </c>
      <c r="F7026" s="43">
        <f>IF($E7026=0,0,YEAR($E7026))</f>
      </c>
      <c r="G7026" s="43">
        <f>IF(INDEX(DarlBindung,15)="",1,IF($E7026&lt;=INDEX(DarlBindung,15),1,0))</f>
      </c>
      <c r="H7026" s="43">
        <f>IF($G7026=1,INDEX(DarlSollzins,15),INDEX(DarlAnschluss,15))</f>
      </c>
      <c r="I7026" s="43">
        <f>IF(INDEX(DarlBelegt,15)=0,0,IF(INDEX(DarlOhneTilgung,15)=1,IF(INDEX(DarlBindung,15)="",1,$G7026),IF($J7026&gt;0.005,1,0)))</f>
      </c>
      <c r="J7026" s="43">
        <f>IF($I7025=0,0,$R7025)</f>
      </c>
      <c r="K7026" s="43">
        <f>IF($I7026=0,0,IF(INDEX(DarlOhneTilgung,15)=1,0,IF(AND(INDEX(DarlTilgStart,15)&gt;0,$E7026=INDEX(DarlTilgStart,15)),$J7026*($H7026+INDEX(DarlTilgung,15))/100/12,IF(AND($G7026=0,$G7025=1),MAX($K7025,$J7026*($H7026+1)/100/12),$K7025))))</f>
      </c>
      <c r="L7026" s="43">
        <f>IF($I7026=0,0,$J7026*$H7026/100/12)</f>
      </c>
      <c r="M7026" s="43">
        <f>IF($I7026=0,0,IF(OR(INDEX(DarlOhneTilgung,15)=1,AND(INDEX(DarlTilgStart,15)&gt;0,$E7026&lt;INDEX(DarlTilgStart,15))),0,MIN(MAX(0,$K7026-$L7026),$J7026)))</f>
      </c>
      <c r="N7026" s="43">
        <f>IF($I7026=0,0,MIN(SUMIFS(SondBetrag,SondDarl,15,SondDatum,"&gt;="&amp;$E7026,SondDatum,"&lt;="&amp;EOMONTH($E7026,0)),$J7026-$M7026))</f>
      </c>
      <c r="O7026" s="43">
        <f>IF($I7026=0,0,INDEX(DarlErsatzRate,15))</f>
      </c>
      <c r="P7026" s="43">
        <f>IF($I7026=0,0,$Q7025*INDEX(DarlErsatzZins,15))</f>
      </c>
      <c r="Q7026" s="43">
        <f>IF($I7026=0,0,$Q7025+$P7026+$O7026)</f>
      </c>
      <c r="R7026" s="43">
        <f>IF($I7026=0,0,$J7026-$M7026-$N7026)</f>
      </c>
    </row>
    <row r="7027">
      <c r="A7027"/>
      <c r="B7027">
        <v>15</v>
      </c>
      <c r="C7027" s="43">
        <f>INDEX(DarlObj,15)</f>
      </c>
      <c r="D7027">
        <v>304</v>
      </c>
      <c r="E7027" s="51">
        <f>IF(INDEX(DarlBelegt,15)=0,0,EOMONTH(INDEX(DarlAuszahlung,15),303)+1)</f>
      </c>
      <c r="F7027" s="43">
        <f>IF($E7027=0,0,YEAR($E7027))</f>
      </c>
      <c r="G7027" s="43">
        <f>IF(INDEX(DarlBindung,15)="",1,IF($E7027&lt;=INDEX(DarlBindung,15),1,0))</f>
      </c>
      <c r="H7027" s="43">
        <f>IF($G7027=1,INDEX(DarlSollzins,15),INDEX(DarlAnschluss,15))</f>
      </c>
      <c r="I7027" s="43">
        <f>IF(INDEX(DarlBelegt,15)=0,0,IF(INDEX(DarlOhneTilgung,15)=1,IF(INDEX(DarlBindung,15)="",1,$G7027),IF($J7027&gt;0.005,1,0)))</f>
      </c>
      <c r="J7027" s="43">
        <f>IF($I7026=0,0,$R7026)</f>
      </c>
      <c r="K7027" s="43">
        <f>IF($I7027=0,0,IF(INDEX(DarlOhneTilgung,15)=1,0,IF(AND(INDEX(DarlTilgStart,15)&gt;0,$E7027=INDEX(DarlTilgStart,15)),$J7027*($H7027+INDEX(DarlTilgung,15))/100/12,IF(AND($G7027=0,$G7026=1),MAX($K7026,$J7027*($H7027+1)/100/12),$K7026))))</f>
      </c>
      <c r="L7027" s="43">
        <f>IF($I7027=0,0,$J7027*$H7027/100/12)</f>
      </c>
      <c r="M7027" s="43">
        <f>IF($I7027=0,0,IF(OR(INDEX(DarlOhneTilgung,15)=1,AND(INDEX(DarlTilgStart,15)&gt;0,$E7027&lt;INDEX(DarlTilgStart,15))),0,MIN(MAX(0,$K7027-$L7027),$J7027)))</f>
      </c>
      <c r="N7027" s="43">
        <f>IF($I7027=0,0,MIN(SUMIFS(SondBetrag,SondDarl,15,SondDatum,"&gt;="&amp;$E7027,SondDatum,"&lt;="&amp;EOMONTH($E7027,0)),$J7027-$M7027))</f>
      </c>
      <c r="O7027" s="43">
        <f>IF($I7027=0,0,INDEX(DarlErsatzRate,15))</f>
      </c>
      <c r="P7027" s="43">
        <f>IF($I7027=0,0,$Q7026*INDEX(DarlErsatzZins,15))</f>
      </c>
      <c r="Q7027" s="43">
        <f>IF($I7027=0,0,$Q7026+$P7027+$O7027)</f>
      </c>
      <c r="R7027" s="43">
        <f>IF($I7027=0,0,$J7027-$M7027-$N7027)</f>
      </c>
    </row>
    <row r="7028">
      <c r="A7028"/>
      <c r="B7028">
        <v>15</v>
      </c>
      <c r="C7028" s="43">
        <f>INDEX(DarlObj,15)</f>
      </c>
      <c r="D7028">
        <v>305</v>
      </c>
      <c r="E7028" s="51">
        <f>IF(INDEX(DarlBelegt,15)=0,0,EOMONTH(INDEX(DarlAuszahlung,15),304)+1)</f>
      </c>
      <c r="F7028" s="43">
        <f>IF($E7028=0,0,YEAR($E7028))</f>
      </c>
      <c r="G7028" s="43">
        <f>IF(INDEX(DarlBindung,15)="",1,IF($E7028&lt;=INDEX(DarlBindung,15),1,0))</f>
      </c>
      <c r="H7028" s="43">
        <f>IF($G7028=1,INDEX(DarlSollzins,15),INDEX(DarlAnschluss,15))</f>
      </c>
      <c r="I7028" s="43">
        <f>IF(INDEX(DarlBelegt,15)=0,0,IF(INDEX(DarlOhneTilgung,15)=1,IF(INDEX(DarlBindung,15)="",1,$G7028),IF($J7028&gt;0.005,1,0)))</f>
      </c>
      <c r="J7028" s="43">
        <f>IF($I7027=0,0,$R7027)</f>
      </c>
      <c r="K7028" s="43">
        <f>IF($I7028=0,0,IF(INDEX(DarlOhneTilgung,15)=1,0,IF(AND(INDEX(DarlTilgStart,15)&gt;0,$E7028=INDEX(DarlTilgStart,15)),$J7028*($H7028+INDEX(DarlTilgung,15))/100/12,IF(AND($G7028=0,$G7027=1),MAX($K7027,$J7028*($H7028+1)/100/12),$K7027))))</f>
      </c>
      <c r="L7028" s="43">
        <f>IF($I7028=0,0,$J7028*$H7028/100/12)</f>
      </c>
      <c r="M7028" s="43">
        <f>IF($I7028=0,0,IF(OR(INDEX(DarlOhneTilgung,15)=1,AND(INDEX(DarlTilgStart,15)&gt;0,$E7028&lt;INDEX(DarlTilgStart,15))),0,MIN(MAX(0,$K7028-$L7028),$J7028)))</f>
      </c>
      <c r="N7028" s="43">
        <f>IF($I7028=0,0,MIN(SUMIFS(SondBetrag,SondDarl,15,SondDatum,"&gt;="&amp;$E7028,SondDatum,"&lt;="&amp;EOMONTH($E7028,0)),$J7028-$M7028))</f>
      </c>
      <c r="O7028" s="43">
        <f>IF($I7028=0,0,INDEX(DarlErsatzRate,15))</f>
      </c>
      <c r="P7028" s="43">
        <f>IF($I7028=0,0,$Q7027*INDEX(DarlErsatzZins,15))</f>
      </c>
      <c r="Q7028" s="43">
        <f>IF($I7028=0,0,$Q7027+$P7028+$O7028)</f>
      </c>
      <c r="R7028" s="43">
        <f>IF($I7028=0,0,$J7028-$M7028-$N7028)</f>
      </c>
    </row>
    <row r="7029">
      <c r="A7029"/>
      <c r="B7029">
        <v>15</v>
      </c>
      <c r="C7029" s="43">
        <f>INDEX(DarlObj,15)</f>
      </c>
      <c r="D7029">
        <v>306</v>
      </c>
      <c r="E7029" s="51">
        <f>IF(INDEX(DarlBelegt,15)=0,0,EOMONTH(INDEX(DarlAuszahlung,15),305)+1)</f>
      </c>
      <c r="F7029" s="43">
        <f>IF($E7029=0,0,YEAR($E7029))</f>
      </c>
      <c r="G7029" s="43">
        <f>IF(INDEX(DarlBindung,15)="",1,IF($E7029&lt;=INDEX(DarlBindung,15),1,0))</f>
      </c>
      <c r="H7029" s="43">
        <f>IF($G7029=1,INDEX(DarlSollzins,15),INDEX(DarlAnschluss,15))</f>
      </c>
      <c r="I7029" s="43">
        <f>IF(INDEX(DarlBelegt,15)=0,0,IF(INDEX(DarlOhneTilgung,15)=1,IF(INDEX(DarlBindung,15)="",1,$G7029),IF($J7029&gt;0.005,1,0)))</f>
      </c>
      <c r="J7029" s="43">
        <f>IF($I7028=0,0,$R7028)</f>
      </c>
      <c r="K7029" s="43">
        <f>IF($I7029=0,0,IF(INDEX(DarlOhneTilgung,15)=1,0,IF(AND(INDEX(DarlTilgStart,15)&gt;0,$E7029=INDEX(DarlTilgStart,15)),$J7029*($H7029+INDEX(DarlTilgung,15))/100/12,IF(AND($G7029=0,$G7028=1),MAX($K7028,$J7029*($H7029+1)/100/12),$K7028))))</f>
      </c>
      <c r="L7029" s="43">
        <f>IF($I7029=0,0,$J7029*$H7029/100/12)</f>
      </c>
      <c r="M7029" s="43">
        <f>IF($I7029=0,0,IF(OR(INDEX(DarlOhneTilgung,15)=1,AND(INDEX(DarlTilgStart,15)&gt;0,$E7029&lt;INDEX(DarlTilgStart,15))),0,MIN(MAX(0,$K7029-$L7029),$J7029)))</f>
      </c>
      <c r="N7029" s="43">
        <f>IF($I7029=0,0,MIN(SUMIFS(SondBetrag,SondDarl,15,SondDatum,"&gt;="&amp;$E7029,SondDatum,"&lt;="&amp;EOMONTH($E7029,0)),$J7029-$M7029))</f>
      </c>
      <c r="O7029" s="43">
        <f>IF($I7029=0,0,INDEX(DarlErsatzRate,15))</f>
      </c>
      <c r="P7029" s="43">
        <f>IF($I7029=0,0,$Q7028*INDEX(DarlErsatzZins,15))</f>
      </c>
      <c r="Q7029" s="43">
        <f>IF($I7029=0,0,$Q7028+$P7029+$O7029)</f>
      </c>
      <c r="R7029" s="43">
        <f>IF($I7029=0,0,$J7029-$M7029-$N7029)</f>
      </c>
    </row>
    <row r="7030">
      <c r="A7030"/>
      <c r="B7030">
        <v>15</v>
      </c>
      <c r="C7030" s="43">
        <f>INDEX(DarlObj,15)</f>
      </c>
      <c r="D7030">
        <v>307</v>
      </c>
      <c r="E7030" s="51">
        <f>IF(INDEX(DarlBelegt,15)=0,0,EOMONTH(INDEX(DarlAuszahlung,15),306)+1)</f>
      </c>
      <c r="F7030" s="43">
        <f>IF($E7030=0,0,YEAR($E7030))</f>
      </c>
      <c r="G7030" s="43">
        <f>IF(INDEX(DarlBindung,15)="",1,IF($E7030&lt;=INDEX(DarlBindung,15),1,0))</f>
      </c>
      <c r="H7030" s="43">
        <f>IF($G7030=1,INDEX(DarlSollzins,15),INDEX(DarlAnschluss,15))</f>
      </c>
      <c r="I7030" s="43">
        <f>IF(INDEX(DarlBelegt,15)=0,0,IF(INDEX(DarlOhneTilgung,15)=1,IF(INDEX(DarlBindung,15)="",1,$G7030),IF($J7030&gt;0.005,1,0)))</f>
      </c>
      <c r="J7030" s="43">
        <f>IF($I7029=0,0,$R7029)</f>
      </c>
      <c r="K7030" s="43">
        <f>IF($I7030=0,0,IF(INDEX(DarlOhneTilgung,15)=1,0,IF(AND(INDEX(DarlTilgStart,15)&gt;0,$E7030=INDEX(DarlTilgStart,15)),$J7030*($H7030+INDEX(DarlTilgung,15))/100/12,IF(AND($G7030=0,$G7029=1),MAX($K7029,$J7030*($H7030+1)/100/12),$K7029))))</f>
      </c>
      <c r="L7030" s="43">
        <f>IF($I7030=0,0,$J7030*$H7030/100/12)</f>
      </c>
      <c r="M7030" s="43">
        <f>IF($I7030=0,0,IF(OR(INDEX(DarlOhneTilgung,15)=1,AND(INDEX(DarlTilgStart,15)&gt;0,$E7030&lt;INDEX(DarlTilgStart,15))),0,MIN(MAX(0,$K7030-$L7030),$J7030)))</f>
      </c>
      <c r="N7030" s="43">
        <f>IF($I7030=0,0,MIN(SUMIFS(SondBetrag,SondDarl,15,SondDatum,"&gt;="&amp;$E7030,SondDatum,"&lt;="&amp;EOMONTH($E7030,0)),$J7030-$M7030))</f>
      </c>
      <c r="O7030" s="43">
        <f>IF($I7030=0,0,INDEX(DarlErsatzRate,15))</f>
      </c>
      <c r="P7030" s="43">
        <f>IF($I7030=0,0,$Q7029*INDEX(DarlErsatzZins,15))</f>
      </c>
      <c r="Q7030" s="43">
        <f>IF($I7030=0,0,$Q7029+$P7030+$O7030)</f>
      </c>
      <c r="R7030" s="43">
        <f>IF($I7030=0,0,$J7030-$M7030-$N7030)</f>
      </c>
    </row>
    <row r="7031">
      <c r="A7031"/>
      <c r="B7031">
        <v>15</v>
      </c>
      <c r="C7031" s="43">
        <f>INDEX(DarlObj,15)</f>
      </c>
      <c r="D7031">
        <v>308</v>
      </c>
      <c r="E7031" s="51">
        <f>IF(INDEX(DarlBelegt,15)=0,0,EOMONTH(INDEX(DarlAuszahlung,15),307)+1)</f>
      </c>
      <c r="F7031" s="43">
        <f>IF($E7031=0,0,YEAR($E7031))</f>
      </c>
      <c r="G7031" s="43">
        <f>IF(INDEX(DarlBindung,15)="",1,IF($E7031&lt;=INDEX(DarlBindung,15),1,0))</f>
      </c>
      <c r="H7031" s="43">
        <f>IF($G7031=1,INDEX(DarlSollzins,15),INDEX(DarlAnschluss,15))</f>
      </c>
      <c r="I7031" s="43">
        <f>IF(INDEX(DarlBelegt,15)=0,0,IF(INDEX(DarlOhneTilgung,15)=1,IF(INDEX(DarlBindung,15)="",1,$G7031),IF($J7031&gt;0.005,1,0)))</f>
      </c>
      <c r="J7031" s="43">
        <f>IF($I7030=0,0,$R7030)</f>
      </c>
      <c r="K7031" s="43">
        <f>IF($I7031=0,0,IF(INDEX(DarlOhneTilgung,15)=1,0,IF(AND(INDEX(DarlTilgStart,15)&gt;0,$E7031=INDEX(DarlTilgStart,15)),$J7031*($H7031+INDEX(DarlTilgung,15))/100/12,IF(AND($G7031=0,$G7030=1),MAX($K7030,$J7031*($H7031+1)/100/12),$K7030))))</f>
      </c>
      <c r="L7031" s="43">
        <f>IF($I7031=0,0,$J7031*$H7031/100/12)</f>
      </c>
      <c r="M7031" s="43">
        <f>IF($I7031=0,0,IF(OR(INDEX(DarlOhneTilgung,15)=1,AND(INDEX(DarlTilgStart,15)&gt;0,$E7031&lt;INDEX(DarlTilgStart,15))),0,MIN(MAX(0,$K7031-$L7031),$J7031)))</f>
      </c>
      <c r="N7031" s="43">
        <f>IF($I7031=0,0,MIN(SUMIFS(SondBetrag,SondDarl,15,SondDatum,"&gt;="&amp;$E7031,SondDatum,"&lt;="&amp;EOMONTH($E7031,0)),$J7031-$M7031))</f>
      </c>
      <c r="O7031" s="43">
        <f>IF($I7031=0,0,INDEX(DarlErsatzRate,15))</f>
      </c>
      <c r="P7031" s="43">
        <f>IF($I7031=0,0,$Q7030*INDEX(DarlErsatzZins,15))</f>
      </c>
      <c r="Q7031" s="43">
        <f>IF($I7031=0,0,$Q7030+$P7031+$O7031)</f>
      </c>
      <c r="R7031" s="43">
        <f>IF($I7031=0,0,$J7031-$M7031-$N7031)</f>
      </c>
    </row>
    <row r="7032">
      <c r="A7032"/>
      <c r="B7032">
        <v>15</v>
      </c>
      <c r="C7032" s="43">
        <f>INDEX(DarlObj,15)</f>
      </c>
      <c r="D7032">
        <v>309</v>
      </c>
      <c r="E7032" s="51">
        <f>IF(INDEX(DarlBelegt,15)=0,0,EOMONTH(INDEX(DarlAuszahlung,15),308)+1)</f>
      </c>
      <c r="F7032" s="43">
        <f>IF($E7032=0,0,YEAR($E7032))</f>
      </c>
      <c r="G7032" s="43">
        <f>IF(INDEX(DarlBindung,15)="",1,IF($E7032&lt;=INDEX(DarlBindung,15),1,0))</f>
      </c>
      <c r="H7032" s="43">
        <f>IF($G7032=1,INDEX(DarlSollzins,15),INDEX(DarlAnschluss,15))</f>
      </c>
      <c r="I7032" s="43">
        <f>IF(INDEX(DarlBelegt,15)=0,0,IF(INDEX(DarlOhneTilgung,15)=1,IF(INDEX(DarlBindung,15)="",1,$G7032),IF($J7032&gt;0.005,1,0)))</f>
      </c>
      <c r="J7032" s="43">
        <f>IF($I7031=0,0,$R7031)</f>
      </c>
      <c r="K7032" s="43">
        <f>IF($I7032=0,0,IF(INDEX(DarlOhneTilgung,15)=1,0,IF(AND(INDEX(DarlTilgStart,15)&gt;0,$E7032=INDEX(DarlTilgStart,15)),$J7032*($H7032+INDEX(DarlTilgung,15))/100/12,IF(AND($G7032=0,$G7031=1),MAX($K7031,$J7032*($H7032+1)/100/12),$K7031))))</f>
      </c>
      <c r="L7032" s="43">
        <f>IF($I7032=0,0,$J7032*$H7032/100/12)</f>
      </c>
      <c r="M7032" s="43">
        <f>IF($I7032=0,0,IF(OR(INDEX(DarlOhneTilgung,15)=1,AND(INDEX(DarlTilgStart,15)&gt;0,$E7032&lt;INDEX(DarlTilgStart,15))),0,MIN(MAX(0,$K7032-$L7032),$J7032)))</f>
      </c>
      <c r="N7032" s="43">
        <f>IF($I7032=0,0,MIN(SUMIFS(SondBetrag,SondDarl,15,SondDatum,"&gt;="&amp;$E7032,SondDatum,"&lt;="&amp;EOMONTH($E7032,0)),$J7032-$M7032))</f>
      </c>
      <c r="O7032" s="43">
        <f>IF($I7032=0,0,INDEX(DarlErsatzRate,15))</f>
      </c>
      <c r="P7032" s="43">
        <f>IF($I7032=0,0,$Q7031*INDEX(DarlErsatzZins,15))</f>
      </c>
      <c r="Q7032" s="43">
        <f>IF($I7032=0,0,$Q7031+$P7032+$O7032)</f>
      </c>
      <c r="R7032" s="43">
        <f>IF($I7032=0,0,$J7032-$M7032-$N7032)</f>
      </c>
    </row>
    <row r="7033">
      <c r="A7033"/>
      <c r="B7033">
        <v>15</v>
      </c>
      <c r="C7033" s="43">
        <f>INDEX(DarlObj,15)</f>
      </c>
      <c r="D7033">
        <v>310</v>
      </c>
      <c r="E7033" s="51">
        <f>IF(INDEX(DarlBelegt,15)=0,0,EOMONTH(INDEX(DarlAuszahlung,15),309)+1)</f>
      </c>
      <c r="F7033" s="43">
        <f>IF($E7033=0,0,YEAR($E7033))</f>
      </c>
      <c r="G7033" s="43">
        <f>IF(INDEX(DarlBindung,15)="",1,IF($E7033&lt;=INDEX(DarlBindung,15),1,0))</f>
      </c>
      <c r="H7033" s="43">
        <f>IF($G7033=1,INDEX(DarlSollzins,15),INDEX(DarlAnschluss,15))</f>
      </c>
      <c r="I7033" s="43">
        <f>IF(INDEX(DarlBelegt,15)=0,0,IF(INDEX(DarlOhneTilgung,15)=1,IF(INDEX(DarlBindung,15)="",1,$G7033),IF($J7033&gt;0.005,1,0)))</f>
      </c>
      <c r="J7033" s="43">
        <f>IF($I7032=0,0,$R7032)</f>
      </c>
      <c r="K7033" s="43">
        <f>IF($I7033=0,0,IF(INDEX(DarlOhneTilgung,15)=1,0,IF(AND(INDEX(DarlTilgStart,15)&gt;0,$E7033=INDEX(DarlTilgStart,15)),$J7033*($H7033+INDEX(DarlTilgung,15))/100/12,IF(AND($G7033=0,$G7032=1),MAX($K7032,$J7033*($H7033+1)/100/12),$K7032))))</f>
      </c>
      <c r="L7033" s="43">
        <f>IF($I7033=0,0,$J7033*$H7033/100/12)</f>
      </c>
      <c r="M7033" s="43">
        <f>IF($I7033=0,0,IF(OR(INDEX(DarlOhneTilgung,15)=1,AND(INDEX(DarlTilgStart,15)&gt;0,$E7033&lt;INDEX(DarlTilgStart,15))),0,MIN(MAX(0,$K7033-$L7033),$J7033)))</f>
      </c>
      <c r="N7033" s="43">
        <f>IF($I7033=0,0,MIN(SUMIFS(SondBetrag,SondDarl,15,SondDatum,"&gt;="&amp;$E7033,SondDatum,"&lt;="&amp;EOMONTH($E7033,0)),$J7033-$M7033))</f>
      </c>
      <c r="O7033" s="43">
        <f>IF($I7033=0,0,INDEX(DarlErsatzRate,15))</f>
      </c>
      <c r="P7033" s="43">
        <f>IF($I7033=0,0,$Q7032*INDEX(DarlErsatzZins,15))</f>
      </c>
      <c r="Q7033" s="43">
        <f>IF($I7033=0,0,$Q7032+$P7033+$O7033)</f>
      </c>
      <c r="R7033" s="43">
        <f>IF($I7033=0,0,$J7033-$M7033-$N7033)</f>
      </c>
    </row>
    <row r="7034">
      <c r="A7034"/>
      <c r="B7034">
        <v>15</v>
      </c>
      <c r="C7034" s="43">
        <f>INDEX(DarlObj,15)</f>
      </c>
      <c r="D7034">
        <v>311</v>
      </c>
      <c r="E7034" s="51">
        <f>IF(INDEX(DarlBelegt,15)=0,0,EOMONTH(INDEX(DarlAuszahlung,15),310)+1)</f>
      </c>
      <c r="F7034" s="43">
        <f>IF($E7034=0,0,YEAR($E7034))</f>
      </c>
      <c r="G7034" s="43">
        <f>IF(INDEX(DarlBindung,15)="",1,IF($E7034&lt;=INDEX(DarlBindung,15),1,0))</f>
      </c>
      <c r="H7034" s="43">
        <f>IF($G7034=1,INDEX(DarlSollzins,15),INDEX(DarlAnschluss,15))</f>
      </c>
      <c r="I7034" s="43">
        <f>IF(INDEX(DarlBelegt,15)=0,0,IF(INDEX(DarlOhneTilgung,15)=1,IF(INDEX(DarlBindung,15)="",1,$G7034),IF($J7034&gt;0.005,1,0)))</f>
      </c>
      <c r="J7034" s="43">
        <f>IF($I7033=0,0,$R7033)</f>
      </c>
      <c r="K7034" s="43">
        <f>IF($I7034=0,0,IF(INDEX(DarlOhneTilgung,15)=1,0,IF(AND(INDEX(DarlTilgStart,15)&gt;0,$E7034=INDEX(DarlTilgStart,15)),$J7034*($H7034+INDEX(DarlTilgung,15))/100/12,IF(AND($G7034=0,$G7033=1),MAX($K7033,$J7034*($H7034+1)/100/12),$K7033))))</f>
      </c>
      <c r="L7034" s="43">
        <f>IF($I7034=0,0,$J7034*$H7034/100/12)</f>
      </c>
      <c r="M7034" s="43">
        <f>IF($I7034=0,0,IF(OR(INDEX(DarlOhneTilgung,15)=1,AND(INDEX(DarlTilgStart,15)&gt;0,$E7034&lt;INDEX(DarlTilgStart,15))),0,MIN(MAX(0,$K7034-$L7034),$J7034)))</f>
      </c>
      <c r="N7034" s="43">
        <f>IF($I7034=0,0,MIN(SUMIFS(SondBetrag,SondDarl,15,SondDatum,"&gt;="&amp;$E7034,SondDatum,"&lt;="&amp;EOMONTH($E7034,0)),$J7034-$M7034))</f>
      </c>
      <c r="O7034" s="43">
        <f>IF($I7034=0,0,INDEX(DarlErsatzRate,15))</f>
      </c>
      <c r="P7034" s="43">
        <f>IF($I7034=0,0,$Q7033*INDEX(DarlErsatzZins,15))</f>
      </c>
      <c r="Q7034" s="43">
        <f>IF($I7034=0,0,$Q7033+$P7034+$O7034)</f>
      </c>
      <c r="R7034" s="43">
        <f>IF($I7034=0,0,$J7034-$M7034-$N7034)</f>
      </c>
    </row>
    <row r="7035">
      <c r="A7035"/>
      <c r="B7035">
        <v>15</v>
      </c>
      <c r="C7035" s="43">
        <f>INDEX(DarlObj,15)</f>
      </c>
      <c r="D7035">
        <v>312</v>
      </c>
      <c r="E7035" s="51">
        <f>IF(INDEX(DarlBelegt,15)=0,0,EOMONTH(INDEX(DarlAuszahlung,15),311)+1)</f>
      </c>
      <c r="F7035" s="43">
        <f>IF($E7035=0,0,YEAR($E7035))</f>
      </c>
      <c r="G7035" s="43">
        <f>IF(INDEX(DarlBindung,15)="",1,IF($E7035&lt;=INDEX(DarlBindung,15),1,0))</f>
      </c>
      <c r="H7035" s="43">
        <f>IF($G7035=1,INDEX(DarlSollzins,15),INDEX(DarlAnschluss,15))</f>
      </c>
      <c r="I7035" s="43">
        <f>IF(INDEX(DarlBelegt,15)=0,0,IF(INDEX(DarlOhneTilgung,15)=1,IF(INDEX(DarlBindung,15)="",1,$G7035),IF($J7035&gt;0.005,1,0)))</f>
      </c>
      <c r="J7035" s="43">
        <f>IF($I7034=0,0,$R7034)</f>
      </c>
      <c r="K7035" s="43">
        <f>IF($I7035=0,0,IF(INDEX(DarlOhneTilgung,15)=1,0,IF(AND(INDEX(DarlTilgStart,15)&gt;0,$E7035=INDEX(DarlTilgStart,15)),$J7035*($H7035+INDEX(DarlTilgung,15))/100/12,IF(AND($G7035=0,$G7034=1),MAX($K7034,$J7035*($H7035+1)/100/12),$K7034))))</f>
      </c>
      <c r="L7035" s="43">
        <f>IF($I7035=0,0,$J7035*$H7035/100/12)</f>
      </c>
      <c r="M7035" s="43">
        <f>IF($I7035=0,0,IF(OR(INDEX(DarlOhneTilgung,15)=1,AND(INDEX(DarlTilgStart,15)&gt;0,$E7035&lt;INDEX(DarlTilgStart,15))),0,MIN(MAX(0,$K7035-$L7035),$J7035)))</f>
      </c>
      <c r="N7035" s="43">
        <f>IF($I7035=0,0,MIN(SUMIFS(SondBetrag,SondDarl,15,SondDatum,"&gt;="&amp;$E7035,SondDatum,"&lt;="&amp;EOMONTH($E7035,0)),$J7035-$M7035))</f>
      </c>
      <c r="O7035" s="43">
        <f>IF($I7035=0,0,INDEX(DarlErsatzRate,15))</f>
      </c>
      <c r="P7035" s="43">
        <f>IF($I7035=0,0,$Q7034*INDEX(DarlErsatzZins,15))</f>
      </c>
      <c r="Q7035" s="43">
        <f>IF($I7035=0,0,$Q7034+$P7035+$O7035)</f>
      </c>
      <c r="R7035" s="43">
        <f>IF($I7035=0,0,$J7035-$M7035-$N7035)</f>
      </c>
    </row>
    <row r="7036">
      <c r="A7036"/>
      <c r="B7036">
        <v>15</v>
      </c>
      <c r="C7036" s="43">
        <f>INDEX(DarlObj,15)</f>
      </c>
      <c r="D7036">
        <v>313</v>
      </c>
      <c r="E7036" s="51">
        <f>IF(INDEX(DarlBelegt,15)=0,0,EOMONTH(INDEX(DarlAuszahlung,15),312)+1)</f>
      </c>
      <c r="F7036" s="43">
        <f>IF($E7036=0,0,YEAR($E7036))</f>
      </c>
      <c r="G7036" s="43">
        <f>IF(INDEX(DarlBindung,15)="",1,IF($E7036&lt;=INDEX(DarlBindung,15),1,0))</f>
      </c>
      <c r="H7036" s="43">
        <f>IF($G7036=1,INDEX(DarlSollzins,15),INDEX(DarlAnschluss,15))</f>
      </c>
      <c r="I7036" s="43">
        <f>IF(INDEX(DarlBelegt,15)=0,0,IF(INDEX(DarlOhneTilgung,15)=1,IF(INDEX(DarlBindung,15)="",1,$G7036),IF($J7036&gt;0.005,1,0)))</f>
      </c>
      <c r="J7036" s="43">
        <f>IF($I7035=0,0,$R7035)</f>
      </c>
      <c r="K7036" s="43">
        <f>IF($I7036=0,0,IF(INDEX(DarlOhneTilgung,15)=1,0,IF(AND(INDEX(DarlTilgStart,15)&gt;0,$E7036=INDEX(DarlTilgStart,15)),$J7036*($H7036+INDEX(DarlTilgung,15))/100/12,IF(AND($G7036=0,$G7035=1),MAX($K7035,$J7036*($H7036+1)/100/12),$K7035))))</f>
      </c>
      <c r="L7036" s="43">
        <f>IF($I7036=0,0,$J7036*$H7036/100/12)</f>
      </c>
      <c r="M7036" s="43">
        <f>IF($I7036=0,0,IF(OR(INDEX(DarlOhneTilgung,15)=1,AND(INDEX(DarlTilgStart,15)&gt;0,$E7036&lt;INDEX(DarlTilgStart,15))),0,MIN(MAX(0,$K7036-$L7036),$J7036)))</f>
      </c>
      <c r="N7036" s="43">
        <f>IF($I7036=0,0,MIN(SUMIFS(SondBetrag,SondDarl,15,SondDatum,"&gt;="&amp;$E7036,SondDatum,"&lt;="&amp;EOMONTH($E7036,0)),$J7036-$M7036))</f>
      </c>
      <c r="O7036" s="43">
        <f>IF($I7036=0,0,INDEX(DarlErsatzRate,15))</f>
      </c>
      <c r="P7036" s="43">
        <f>IF($I7036=0,0,$Q7035*INDEX(DarlErsatzZins,15))</f>
      </c>
      <c r="Q7036" s="43">
        <f>IF($I7036=0,0,$Q7035+$P7036+$O7036)</f>
      </c>
      <c r="R7036" s="43">
        <f>IF($I7036=0,0,$J7036-$M7036-$N7036)</f>
      </c>
    </row>
    <row r="7037">
      <c r="A7037"/>
      <c r="B7037">
        <v>15</v>
      </c>
      <c r="C7037" s="43">
        <f>INDEX(DarlObj,15)</f>
      </c>
      <c r="D7037">
        <v>314</v>
      </c>
      <c r="E7037" s="51">
        <f>IF(INDEX(DarlBelegt,15)=0,0,EOMONTH(INDEX(DarlAuszahlung,15),313)+1)</f>
      </c>
      <c r="F7037" s="43">
        <f>IF($E7037=0,0,YEAR($E7037))</f>
      </c>
      <c r="G7037" s="43">
        <f>IF(INDEX(DarlBindung,15)="",1,IF($E7037&lt;=INDEX(DarlBindung,15),1,0))</f>
      </c>
      <c r="H7037" s="43">
        <f>IF($G7037=1,INDEX(DarlSollzins,15),INDEX(DarlAnschluss,15))</f>
      </c>
      <c r="I7037" s="43">
        <f>IF(INDEX(DarlBelegt,15)=0,0,IF(INDEX(DarlOhneTilgung,15)=1,IF(INDEX(DarlBindung,15)="",1,$G7037),IF($J7037&gt;0.005,1,0)))</f>
      </c>
      <c r="J7037" s="43">
        <f>IF($I7036=0,0,$R7036)</f>
      </c>
      <c r="K7037" s="43">
        <f>IF($I7037=0,0,IF(INDEX(DarlOhneTilgung,15)=1,0,IF(AND(INDEX(DarlTilgStart,15)&gt;0,$E7037=INDEX(DarlTilgStart,15)),$J7037*($H7037+INDEX(DarlTilgung,15))/100/12,IF(AND($G7037=0,$G7036=1),MAX($K7036,$J7037*($H7037+1)/100/12),$K7036))))</f>
      </c>
      <c r="L7037" s="43">
        <f>IF($I7037=0,0,$J7037*$H7037/100/12)</f>
      </c>
      <c r="M7037" s="43">
        <f>IF($I7037=0,0,IF(OR(INDEX(DarlOhneTilgung,15)=1,AND(INDEX(DarlTilgStart,15)&gt;0,$E7037&lt;INDEX(DarlTilgStart,15))),0,MIN(MAX(0,$K7037-$L7037),$J7037)))</f>
      </c>
      <c r="N7037" s="43">
        <f>IF($I7037=0,0,MIN(SUMIFS(SondBetrag,SondDarl,15,SondDatum,"&gt;="&amp;$E7037,SondDatum,"&lt;="&amp;EOMONTH($E7037,0)),$J7037-$M7037))</f>
      </c>
      <c r="O7037" s="43">
        <f>IF($I7037=0,0,INDEX(DarlErsatzRate,15))</f>
      </c>
      <c r="P7037" s="43">
        <f>IF($I7037=0,0,$Q7036*INDEX(DarlErsatzZins,15))</f>
      </c>
      <c r="Q7037" s="43">
        <f>IF($I7037=0,0,$Q7036+$P7037+$O7037)</f>
      </c>
      <c r="R7037" s="43">
        <f>IF($I7037=0,0,$J7037-$M7037-$N7037)</f>
      </c>
    </row>
    <row r="7038">
      <c r="A7038"/>
      <c r="B7038">
        <v>15</v>
      </c>
      <c r="C7038" s="43">
        <f>INDEX(DarlObj,15)</f>
      </c>
      <c r="D7038">
        <v>315</v>
      </c>
      <c r="E7038" s="51">
        <f>IF(INDEX(DarlBelegt,15)=0,0,EOMONTH(INDEX(DarlAuszahlung,15),314)+1)</f>
      </c>
      <c r="F7038" s="43">
        <f>IF($E7038=0,0,YEAR($E7038))</f>
      </c>
      <c r="G7038" s="43">
        <f>IF(INDEX(DarlBindung,15)="",1,IF($E7038&lt;=INDEX(DarlBindung,15),1,0))</f>
      </c>
      <c r="H7038" s="43">
        <f>IF($G7038=1,INDEX(DarlSollzins,15),INDEX(DarlAnschluss,15))</f>
      </c>
      <c r="I7038" s="43">
        <f>IF(INDEX(DarlBelegt,15)=0,0,IF(INDEX(DarlOhneTilgung,15)=1,IF(INDEX(DarlBindung,15)="",1,$G7038),IF($J7038&gt;0.005,1,0)))</f>
      </c>
      <c r="J7038" s="43">
        <f>IF($I7037=0,0,$R7037)</f>
      </c>
      <c r="K7038" s="43">
        <f>IF($I7038=0,0,IF(INDEX(DarlOhneTilgung,15)=1,0,IF(AND(INDEX(DarlTilgStart,15)&gt;0,$E7038=INDEX(DarlTilgStart,15)),$J7038*($H7038+INDEX(DarlTilgung,15))/100/12,IF(AND($G7038=0,$G7037=1),MAX($K7037,$J7038*($H7038+1)/100/12),$K7037))))</f>
      </c>
      <c r="L7038" s="43">
        <f>IF($I7038=0,0,$J7038*$H7038/100/12)</f>
      </c>
      <c r="M7038" s="43">
        <f>IF($I7038=0,0,IF(OR(INDEX(DarlOhneTilgung,15)=1,AND(INDEX(DarlTilgStart,15)&gt;0,$E7038&lt;INDEX(DarlTilgStart,15))),0,MIN(MAX(0,$K7038-$L7038),$J7038)))</f>
      </c>
      <c r="N7038" s="43">
        <f>IF($I7038=0,0,MIN(SUMIFS(SondBetrag,SondDarl,15,SondDatum,"&gt;="&amp;$E7038,SondDatum,"&lt;="&amp;EOMONTH($E7038,0)),$J7038-$M7038))</f>
      </c>
      <c r="O7038" s="43">
        <f>IF($I7038=0,0,INDEX(DarlErsatzRate,15))</f>
      </c>
      <c r="P7038" s="43">
        <f>IF($I7038=0,0,$Q7037*INDEX(DarlErsatzZins,15))</f>
      </c>
      <c r="Q7038" s="43">
        <f>IF($I7038=0,0,$Q7037+$P7038+$O7038)</f>
      </c>
      <c r="R7038" s="43">
        <f>IF($I7038=0,0,$J7038-$M7038-$N7038)</f>
      </c>
    </row>
    <row r="7039">
      <c r="A7039"/>
      <c r="B7039">
        <v>15</v>
      </c>
      <c r="C7039" s="43">
        <f>INDEX(DarlObj,15)</f>
      </c>
      <c r="D7039">
        <v>316</v>
      </c>
      <c r="E7039" s="51">
        <f>IF(INDEX(DarlBelegt,15)=0,0,EOMONTH(INDEX(DarlAuszahlung,15),315)+1)</f>
      </c>
      <c r="F7039" s="43">
        <f>IF($E7039=0,0,YEAR($E7039))</f>
      </c>
      <c r="G7039" s="43">
        <f>IF(INDEX(DarlBindung,15)="",1,IF($E7039&lt;=INDEX(DarlBindung,15),1,0))</f>
      </c>
      <c r="H7039" s="43">
        <f>IF($G7039=1,INDEX(DarlSollzins,15),INDEX(DarlAnschluss,15))</f>
      </c>
      <c r="I7039" s="43">
        <f>IF(INDEX(DarlBelegt,15)=0,0,IF(INDEX(DarlOhneTilgung,15)=1,IF(INDEX(DarlBindung,15)="",1,$G7039),IF($J7039&gt;0.005,1,0)))</f>
      </c>
      <c r="J7039" s="43">
        <f>IF($I7038=0,0,$R7038)</f>
      </c>
      <c r="K7039" s="43">
        <f>IF($I7039=0,0,IF(INDEX(DarlOhneTilgung,15)=1,0,IF(AND(INDEX(DarlTilgStart,15)&gt;0,$E7039=INDEX(DarlTilgStart,15)),$J7039*($H7039+INDEX(DarlTilgung,15))/100/12,IF(AND($G7039=0,$G7038=1),MAX($K7038,$J7039*($H7039+1)/100/12),$K7038))))</f>
      </c>
      <c r="L7039" s="43">
        <f>IF($I7039=0,0,$J7039*$H7039/100/12)</f>
      </c>
      <c r="M7039" s="43">
        <f>IF($I7039=0,0,IF(OR(INDEX(DarlOhneTilgung,15)=1,AND(INDEX(DarlTilgStart,15)&gt;0,$E7039&lt;INDEX(DarlTilgStart,15))),0,MIN(MAX(0,$K7039-$L7039),$J7039)))</f>
      </c>
      <c r="N7039" s="43">
        <f>IF($I7039=0,0,MIN(SUMIFS(SondBetrag,SondDarl,15,SondDatum,"&gt;="&amp;$E7039,SondDatum,"&lt;="&amp;EOMONTH($E7039,0)),$J7039-$M7039))</f>
      </c>
      <c r="O7039" s="43">
        <f>IF($I7039=0,0,INDEX(DarlErsatzRate,15))</f>
      </c>
      <c r="P7039" s="43">
        <f>IF($I7039=0,0,$Q7038*INDEX(DarlErsatzZins,15))</f>
      </c>
      <c r="Q7039" s="43">
        <f>IF($I7039=0,0,$Q7038+$P7039+$O7039)</f>
      </c>
      <c r="R7039" s="43">
        <f>IF($I7039=0,0,$J7039-$M7039-$N7039)</f>
      </c>
    </row>
    <row r="7040">
      <c r="A7040"/>
      <c r="B7040">
        <v>15</v>
      </c>
      <c r="C7040" s="43">
        <f>INDEX(DarlObj,15)</f>
      </c>
      <c r="D7040">
        <v>317</v>
      </c>
      <c r="E7040" s="51">
        <f>IF(INDEX(DarlBelegt,15)=0,0,EOMONTH(INDEX(DarlAuszahlung,15),316)+1)</f>
      </c>
      <c r="F7040" s="43">
        <f>IF($E7040=0,0,YEAR($E7040))</f>
      </c>
      <c r="G7040" s="43">
        <f>IF(INDEX(DarlBindung,15)="",1,IF($E7040&lt;=INDEX(DarlBindung,15),1,0))</f>
      </c>
      <c r="H7040" s="43">
        <f>IF($G7040=1,INDEX(DarlSollzins,15),INDEX(DarlAnschluss,15))</f>
      </c>
      <c r="I7040" s="43">
        <f>IF(INDEX(DarlBelegt,15)=0,0,IF(INDEX(DarlOhneTilgung,15)=1,IF(INDEX(DarlBindung,15)="",1,$G7040),IF($J7040&gt;0.005,1,0)))</f>
      </c>
      <c r="J7040" s="43">
        <f>IF($I7039=0,0,$R7039)</f>
      </c>
      <c r="K7040" s="43">
        <f>IF($I7040=0,0,IF(INDEX(DarlOhneTilgung,15)=1,0,IF(AND(INDEX(DarlTilgStart,15)&gt;0,$E7040=INDEX(DarlTilgStart,15)),$J7040*($H7040+INDEX(DarlTilgung,15))/100/12,IF(AND($G7040=0,$G7039=1),MAX($K7039,$J7040*($H7040+1)/100/12),$K7039))))</f>
      </c>
      <c r="L7040" s="43">
        <f>IF($I7040=0,0,$J7040*$H7040/100/12)</f>
      </c>
      <c r="M7040" s="43">
        <f>IF($I7040=0,0,IF(OR(INDEX(DarlOhneTilgung,15)=1,AND(INDEX(DarlTilgStart,15)&gt;0,$E7040&lt;INDEX(DarlTilgStart,15))),0,MIN(MAX(0,$K7040-$L7040),$J7040)))</f>
      </c>
      <c r="N7040" s="43">
        <f>IF($I7040=0,0,MIN(SUMIFS(SondBetrag,SondDarl,15,SondDatum,"&gt;="&amp;$E7040,SondDatum,"&lt;="&amp;EOMONTH($E7040,0)),$J7040-$M7040))</f>
      </c>
      <c r="O7040" s="43">
        <f>IF($I7040=0,0,INDEX(DarlErsatzRate,15))</f>
      </c>
      <c r="P7040" s="43">
        <f>IF($I7040=0,0,$Q7039*INDEX(DarlErsatzZins,15))</f>
      </c>
      <c r="Q7040" s="43">
        <f>IF($I7040=0,0,$Q7039+$P7040+$O7040)</f>
      </c>
      <c r="R7040" s="43">
        <f>IF($I7040=0,0,$J7040-$M7040-$N7040)</f>
      </c>
    </row>
    <row r="7041">
      <c r="A7041"/>
      <c r="B7041">
        <v>15</v>
      </c>
      <c r="C7041" s="43">
        <f>INDEX(DarlObj,15)</f>
      </c>
      <c r="D7041">
        <v>318</v>
      </c>
      <c r="E7041" s="51">
        <f>IF(INDEX(DarlBelegt,15)=0,0,EOMONTH(INDEX(DarlAuszahlung,15),317)+1)</f>
      </c>
      <c r="F7041" s="43">
        <f>IF($E7041=0,0,YEAR($E7041))</f>
      </c>
      <c r="G7041" s="43">
        <f>IF(INDEX(DarlBindung,15)="",1,IF($E7041&lt;=INDEX(DarlBindung,15),1,0))</f>
      </c>
      <c r="H7041" s="43">
        <f>IF($G7041=1,INDEX(DarlSollzins,15),INDEX(DarlAnschluss,15))</f>
      </c>
      <c r="I7041" s="43">
        <f>IF(INDEX(DarlBelegt,15)=0,0,IF(INDEX(DarlOhneTilgung,15)=1,IF(INDEX(DarlBindung,15)="",1,$G7041),IF($J7041&gt;0.005,1,0)))</f>
      </c>
      <c r="J7041" s="43">
        <f>IF($I7040=0,0,$R7040)</f>
      </c>
      <c r="K7041" s="43">
        <f>IF($I7041=0,0,IF(INDEX(DarlOhneTilgung,15)=1,0,IF(AND(INDEX(DarlTilgStart,15)&gt;0,$E7041=INDEX(DarlTilgStart,15)),$J7041*($H7041+INDEX(DarlTilgung,15))/100/12,IF(AND($G7041=0,$G7040=1),MAX($K7040,$J7041*($H7041+1)/100/12),$K7040))))</f>
      </c>
      <c r="L7041" s="43">
        <f>IF($I7041=0,0,$J7041*$H7041/100/12)</f>
      </c>
      <c r="M7041" s="43">
        <f>IF($I7041=0,0,IF(OR(INDEX(DarlOhneTilgung,15)=1,AND(INDEX(DarlTilgStart,15)&gt;0,$E7041&lt;INDEX(DarlTilgStart,15))),0,MIN(MAX(0,$K7041-$L7041),$J7041)))</f>
      </c>
      <c r="N7041" s="43">
        <f>IF($I7041=0,0,MIN(SUMIFS(SondBetrag,SondDarl,15,SondDatum,"&gt;="&amp;$E7041,SondDatum,"&lt;="&amp;EOMONTH($E7041,0)),$J7041-$M7041))</f>
      </c>
      <c r="O7041" s="43">
        <f>IF($I7041=0,0,INDEX(DarlErsatzRate,15))</f>
      </c>
      <c r="P7041" s="43">
        <f>IF($I7041=0,0,$Q7040*INDEX(DarlErsatzZins,15))</f>
      </c>
      <c r="Q7041" s="43">
        <f>IF($I7041=0,0,$Q7040+$P7041+$O7041)</f>
      </c>
      <c r="R7041" s="43">
        <f>IF($I7041=0,0,$J7041-$M7041-$N7041)</f>
      </c>
    </row>
    <row r="7042">
      <c r="A7042"/>
      <c r="B7042">
        <v>15</v>
      </c>
      <c r="C7042" s="43">
        <f>INDEX(DarlObj,15)</f>
      </c>
      <c r="D7042">
        <v>319</v>
      </c>
      <c r="E7042" s="51">
        <f>IF(INDEX(DarlBelegt,15)=0,0,EOMONTH(INDEX(DarlAuszahlung,15),318)+1)</f>
      </c>
      <c r="F7042" s="43">
        <f>IF($E7042=0,0,YEAR($E7042))</f>
      </c>
      <c r="G7042" s="43">
        <f>IF(INDEX(DarlBindung,15)="",1,IF($E7042&lt;=INDEX(DarlBindung,15),1,0))</f>
      </c>
      <c r="H7042" s="43">
        <f>IF($G7042=1,INDEX(DarlSollzins,15),INDEX(DarlAnschluss,15))</f>
      </c>
      <c r="I7042" s="43">
        <f>IF(INDEX(DarlBelegt,15)=0,0,IF(INDEX(DarlOhneTilgung,15)=1,IF(INDEX(DarlBindung,15)="",1,$G7042),IF($J7042&gt;0.005,1,0)))</f>
      </c>
      <c r="J7042" s="43">
        <f>IF($I7041=0,0,$R7041)</f>
      </c>
      <c r="K7042" s="43">
        <f>IF($I7042=0,0,IF(INDEX(DarlOhneTilgung,15)=1,0,IF(AND(INDEX(DarlTilgStart,15)&gt;0,$E7042=INDEX(DarlTilgStart,15)),$J7042*($H7042+INDEX(DarlTilgung,15))/100/12,IF(AND($G7042=0,$G7041=1),MAX($K7041,$J7042*($H7042+1)/100/12),$K7041))))</f>
      </c>
      <c r="L7042" s="43">
        <f>IF($I7042=0,0,$J7042*$H7042/100/12)</f>
      </c>
      <c r="M7042" s="43">
        <f>IF($I7042=0,0,IF(OR(INDEX(DarlOhneTilgung,15)=1,AND(INDEX(DarlTilgStart,15)&gt;0,$E7042&lt;INDEX(DarlTilgStart,15))),0,MIN(MAX(0,$K7042-$L7042),$J7042)))</f>
      </c>
      <c r="N7042" s="43">
        <f>IF($I7042=0,0,MIN(SUMIFS(SondBetrag,SondDarl,15,SondDatum,"&gt;="&amp;$E7042,SondDatum,"&lt;="&amp;EOMONTH($E7042,0)),$J7042-$M7042))</f>
      </c>
      <c r="O7042" s="43">
        <f>IF($I7042=0,0,INDEX(DarlErsatzRate,15))</f>
      </c>
      <c r="P7042" s="43">
        <f>IF($I7042=0,0,$Q7041*INDEX(DarlErsatzZins,15))</f>
      </c>
      <c r="Q7042" s="43">
        <f>IF($I7042=0,0,$Q7041+$P7042+$O7042)</f>
      </c>
      <c r="R7042" s="43">
        <f>IF($I7042=0,0,$J7042-$M7042-$N7042)</f>
      </c>
    </row>
    <row r="7043">
      <c r="A7043"/>
      <c r="B7043">
        <v>15</v>
      </c>
      <c r="C7043" s="43">
        <f>INDEX(DarlObj,15)</f>
      </c>
      <c r="D7043">
        <v>320</v>
      </c>
      <c r="E7043" s="51">
        <f>IF(INDEX(DarlBelegt,15)=0,0,EOMONTH(INDEX(DarlAuszahlung,15),319)+1)</f>
      </c>
      <c r="F7043" s="43">
        <f>IF($E7043=0,0,YEAR($E7043))</f>
      </c>
      <c r="G7043" s="43">
        <f>IF(INDEX(DarlBindung,15)="",1,IF($E7043&lt;=INDEX(DarlBindung,15),1,0))</f>
      </c>
      <c r="H7043" s="43">
        <f>IF($G7043=1,INDEX(DarlSollzins,15),INDEX(DarlAnschluss,15))</f>
      </c>
      <c r="I7043" s="43">
        <f>IF(INDEX(DarlBelegt,15)=0,0,IF(INDEX(DarlOhneTilgung,15)=1,IF(INDEX(DarlBindung,15)="",1,$G7043),IF($J7043&gt;0.005,1,0)))</f>
      </c>
      <c r="J7043" s="43">
        <f>IF($I7042=0,0,$R7042)</f>
      </c>
      <c r="K7043" s="43">
        <f>IF($I7043=0,0,IF(INDEX(DarlOhneTilgung,15)=1,0,IF(AND(INDEX(DarlTilgStart,15)&gt;0,$E7043=INDEX(DarlTilgStart,15)),$J7043*($H7043+INDEX(DarlTilgung,15))/100/12,IF(AND($G7043=0,$G7042=1),MAX($K7042,$J7043*($H7043+1)/100/12),$K7042))))</f>
      </c>
      <c r="L7043" s="43">
        <f>IF($I7043=0,0,$J7043*$H7043/100/12)</f>
      </c>
      <c r="M7043" s="43">
        <f>IF($I7043=0,0,IF(OR(INDEX(DarlOhneTilgung,15)=1,AND(INDEX(DarlTilgStart,15)&gt;0,$E7043&lt;INDEX(DarlTilgStart,15))),0,MIN(MAX(0,$K7043-$L7043),$J7043)))</f>
      </c>
      <c r="N7043" s="43">
        <f>IF($I7043=0,0,MIN(SUMIFS(SondBetrag,SondDarl,15,SondDatum,"&gt;="&amp;$E7043,SondDatum,"&lt;="&amp;EOMONTH($E7043,0)),$J7043-$M7043))</f>
      </c>
      <c r="O7043" s="43">
        <f>IF($I7043=0,0,INDEX(DarlErsatzRate,15))</f>
      </c>
      <c r="P7043" s="43">
        <f>IF($I7043=0,0,$Q7042*INDEX(DarlErsatzZins,15))</f>
      </c>
      <c r="Q7043" s="43">
        <f>IF($I7043=0,0,$Q7042+$P7043+$O7043)</f>
      </c>
      <c r="R7043" s="43">
        <f>IF($I7043=0,0,$J7043-$M7043-$N7043)</f>
      </c>
    </row>
    <row r="7044">
      <c r="A7044"/>
      <c r="B7044">
        <v>15</v>
      </c>
      <c r="C7044" s="43">
        <f>INDEX(DarlObj,15)</f>
      </c>
      <c r="D7044">
        <v>321</v>
      </c>
      <c r="E7044" s="51">
        <f>IF(INDEX(DarlBelegt,15)=0,0,EOMONTH(INDEX(DarlAuszahlung,15),320)+1)</f>
      </c>
      <c r="F7044" s="43">
        <f>IF($E7044=0,0,YEAR($E7044))</f>
      </c>
      <c r="G7044" s="43">
        <f>IF(INDEX(DarlBindung,15)="",1,IF($E7044&lt;=INDEX(DarlBindung,15),1,0))</f>
      </c>
      <c r="H7044" s="43">
        <f>IF($G7044=1,INDEX(DarlSollzins,15),INDEX(DarlAnschluss,15))</f>
      </c>
      <c r="I7044" s="43">
        <f>IF(INDEX(DarlBelegt,15)=0,0,IF(INDEX(DarlOhneTilgung,15)=1,IF(INDEX(DarlBindung,15)="",1,$G7044),IF($J7044&gt;0.005,1,0)))</f>
      </c>
      <c r="J7044" s="43">
        <f>IF($I7043=0,0,$R7043)</f>
      </c>
      <c r="K7044" s="43">
        <f>IF($I7044=0,0,IF(INDEX(DarlOhneTilgung,15)=1,0,IF(AND(INDEX(DarlTilgStart,15)&gt;0,$E7044=INDEX(DarlTilgStart,15)),$J7044*($H7044+INDEX(DarlTilgung,15))/100/12,IF(AND($G7044=0,$G7043=1),MAX($K7043,$J7044*($H7044+1)/100/12),$K7043))))</f>
      </c>
      <c r="L7044" s="43">
        <f>IF($I7044=0,0,$J7044*$H7044/100/12)</f>
      </c>
      <c r="M7044" s="43">
        <f>IF($I7044=0,0,IF(OR(INDEX(DarlOhneTilgung,15)=1,AND(INDEX(DarlTilgStart,15)&gt;0,$E7044&lt;INDEX(DarlTilgStart,15))),0,MIN(MAX(0,$K7044-$L7044),$J7044)))</f>
      </c>
      <c r="N7044" s="43">
        <f>IF($I7044=0,0,MIN(SUMIFS(SondBetrag,SondDarl,15,SondDatum,"&gt;="&amp;$E7044,SondDatum,"&lt;="&amp;EOMONTH($E7044,0)),$J7044-$M7044))</f>
      </c>
      <c r="O7044" s="43">
        <f>IF($I7044=0,0,INDEX(DarlErsatzRate,15))</f>
      </c>
      <c r="P7044" s="43">
        <f>IF($I7044=0,0,$Q7043*INDEX(DarlErsatzZins,15))</f>
      </c>
      <c r="Q7044" s="43">
        <f>IF($I7044=0,0,$Q7043+$P7044+$O7044)</f>
      </c>
      <c r="R7044" s="43">
        <f>IF($I7044=0,0,$J7044-$M7044-$N7044)</f>
      </c>
    </row>
    <row r="7045">
      <c r="A7045"/>
      <c r="B7045">
        <v>15</v>
      </c>
      <c r="C7045" s="43">
        <f>INDEX(DarlObj,15)</f>
      </c>
      <c r="D7045">
        <v>322</v>
      </c>
      <c r="E7045" s="51">
        <f>IF(INDEX(DarlBelegt,15)=0,0,EOMONTH(INDEX(DarlAuszahlung,15),321)+1)</f>
      </c>
      <c r="F7045" s="43">
        <f>IF($E7045=0,0,YEAR($E7045))</f>
      </c>
      <c r="G7045" s="43">
        <f>IF(INDEX(DarlBindung,15)="",1,IF($E7045&lt;=INDEX(DarlBindung,15),1,0))</f>
      </c>
      <c r="H7045" s="43">
        <f>IF($G7045=1,INDEX(DarlSollzins,15),INDEX(DarlAnschluss,15))</f>
      </c>
      <c r="I7045" s="43">
        <f>IF(INDEX(DarlBelegt,15)=0,0,IF(INDEX(DarlOhneTilgung,15)=1,IF(INDEX(DarlBindung,15)="",1,$G7045),IF($J7045&gt;0.005,1,0)))</f>
      </c>
      <c r="J7045" s="43">
        <f>IF($I7044=0,0,$R7044)</f>
      </c>
      <c r="K7045" s="43">
        <f>IF($I7045=0,0,IF(INDEX(DarlOhneTilgung,15)=1,0,IF(AND(INDEX(DarlTilgStart,15)&gt;0,$E7045=INDEX(DarlTilgStart,15)),$J7045*($H7045+INDEX(DarlTilgung,15))/100/12,IF(AND($G7045=0,$G7044=1),MAX($K7044,$J7045*($H7045+1)/100/12),$K7044))))</f>
      </c>
      <c r="L7045" s="43">
        <f>IF($I7045=0,0,$J7045*$H7045/100/12)</f>
      </c>
      <c r="M7045" s="43">
        <f>IF($I7045=0,0,IF(OR(INDEX(DarlOhneTilgung,15)=1,AND(INDEX(DarlTilgStart,15)&gt;0,$E7045&lt;INDEX(DarlTilgStart,15))),0,MIN(MAX(0,$K7045-$L7045),$J7045)))</f>
      </c>
      <c r="N7045" s="43">
        <f>IF($I7045=0,0,MIN(SUMIFS(SondBetrag,SondDarl,15,SondDatum,"&gt;="&amp;$E7045,SondDatum,"&lt;="&amp;EOMONTH($E7045,0)),$J7045-$M7045))</f>
      </c>
      <c r="O7045" s="43">
        <f>IF($I7045=0,0,INDEX(DarlErsatzRate,15))</f>
      </c>
      <c r="P7045" s="43">
        <f>IF($I7045=0,0,$Q7044*INDEX(DarlErsatzZins,15))</f>
      </c>
      <c r="Q7045" s="43">
        <f>IF($I7045=0,0,$Q7044+$P7045+$O7045)</f>
      </c>
      <c r="R7045" s="43">
        <f>IF($I7045=0,0,$J7045-$M7045-$N7045)</f>
      </c>
    </row>
    <row r="7046">
      <c r="A7046"/>
      <c r="B7046">
        <v>15</v>
      </c>
      <c r="C7046" s="43">
        <f>INDEX(DarlObj,15)</f>
      </c>
      <c r="D7046">
        <v>323</v>
      </c>
      <c r="E7046" s="51">
        <f>IF(INDEX(DarlBelegt,15)=0,0,EOMONTH(INDEX(DarlAuszahlung,15),322)+1)</f>
      </c>
      <c r="F7046" s="43">
        <f>IF($E7046=0,0,YEAR($E7046))</f>
      </c>
      <c r="G7046" s="43">
        <f>IF(INDEX(DarlBindung,15)="",1,IF($E7046&lt;=INDEX(DarlBindung,15),1,0))</f>
      </c>
      <c r="H7046" s="43">
        <f>IF($G7046=1,INDEX(DarlSollzins,15),INDEX(DarlAnschluss,15))</f>
      </c>
      <c r="I7046" s="43">
        <f>IF(INDEX(DarlBelegt,15)=0,0,IF(INDEX(DarlOhneTilgung,15)=1,IF(INDEX(DarlBindung,15)="",1,$G7046),IF($J7046&gt;0.005,1,0)))</f>
      </c>
      <c r="J7046" s="43">
        <f>IF($I7045=0,0,$R7045)</f>
      </c>
      <c r="K7046" s="43">
        <f>IF($I7046=0,0,IF(INDEX(DarlOhneTilgung,15)=1,0,IF(AND(INDEX(DarlTilgStart,15)&gt;0,$E7046=INDEX(DarlTilgStart,15)),$J7046*($H7046+INDEX(DarlTilgung,15))/100/12,IF(AND($G7046=0,$G7045=1),MAX($K7045,$J7046*($H7046+1)/100/12),$K7045))))</f>
      </c>
      <c r="L7046" s="43">
        <f>IF($I7046=0,0,$J7046*$H7046/100/12)</f>
      </c>
      <c r="M7046" s="43">
        <f>IF($I7046=0,0,IF(OR(INDEX(DarlOhneTilgung,15)=1,AND(INDEX(DarlTilgStart,15)&gt;0,$E7046&lt;INDEX(DarlTilgStart,15))),0,MIN(MAX(0,$K7046-$L7046),$J7046)))</f>
      </c>
      <c r="N7046" s="43">
        <f>IF($I7046=0,0,MIN(SUMIFS(SondBetrag,SondDarl,15,SondDatum,"&gt;="&amp;$E7046,SondDatum,"&lt;="&amp;EOMONTH($E7046,0)),$J7046-$M7046))</f>
      </c>
      <c r="O7046" s="43">
        <f>IF($I7046=0,0,INDEX(DarlErsatzRate,15))</f>
      </c>
      <c r="P7046" s="43">
        <f>IF($I7046=0,0,$Q7045*INDEX(DarlErsatzZins,15))</f>
      </c>
      <c r="Q7046" s="43">
        <f>IF($I7046=0,0,$Q7045+$P7046+$O7046)</f>
      </c>
      <c r="R7046" s="43">
        <f>IF($I7046=0,0,$J7046-$M7046-$N7046)</f>
      </c>
    </row>
    <row r="7047">
      <c r="A7047"/>
      <c r="B7047">
        <v>15</v>
      </c>
      <c r="C7047" s="43">
        <f>INDEX(DarlObj,15)</f>
      </c>
      <c r="D7047">
        <v>324</v>
      </c>
      <c r="E7047" s="51">
        <f>IF(INDEX(DarlBelegt,15)=0,0,EOMONTH(INDEX(DarlAuszahlung,15),323)+1)</f>
      </c>
      <c r="F7047" s="43">
        <f>IF($E7047=0,0,YEAR($E7047))</f>
      </c>
      <c r="G7047" s="43">
        <f>IF(INDEX(DarlBindung,15)="",1,IF($E7047&lt;=INDEX(DarlBindung,15),1,0))</f>
      </c>
      <c r="H7047" s="43">
        <f>IF($G7047=1,INDEX(DarlSollzins,15),INDEX(DarlAnschluss,15))</f>
      </c>
      <c r="I7047" s="43">
        <f>IF(INDEX(DarlBelegt,15)=0,0,IF(INDEX(DarlOhneTilgung,15)=1,IF(INDEX(DarlBindung,15)="",1,$G7047),IF($J7047&gt;0.005,1,0)))</f>
      </c>
      <c r="J7047" s="43">
        <f>IF($I7046=0,0,$R7046)</f>
      </c>
      <c r="K7047" s="43">
        <f>IF($I7047=0,0,IF(INDEX(DarlOhneTilgung,15)=1,0,IF(AND(INDEX(DarlTilgStart,15)&gt;0,$E7047=INDEX(DarlTilgStart,15)),$J7047*($H7047+INDEX(DarlTilgung,15))/100/12,IF(AND($G7047=0,$G7046=1),MAX($K7046,$J7047*($H7047+1)/100/12),$K7046))))</f>
      </c>
      <c r="L7047" s="43">
        <f>IF($I7047=0,0,$J7047*$H7047/100/12)</f>
      </c>
      <c r="M7047" s="43">
        <f>IF($I7047=0,0,IF(OR(INDEX(DarlOhneTilgung,15)=1,AND(INDEX(DarlTilgStart,15)&gt;0,$E7047&lt;INDEX(DarlTilgStart,15))),0,MIN(MAX(0,$K7047-$L7047),$J7047)))</f>
      </c>
      <c r="N7047" s="43">
        <f>IF($I7047=0,0,MIN(SUMIFS(SondBetrag,SondDarl,15,SondDatum,"&gt;="&amp;$E7047,SondDatum,"&lt;="&amp;EOMONTH($E7047,0)),$J7047-$M7047))</f>
      </c>
      <c r="O7047" s="43">
        <f>IF($I7047=0,0,INDEX(DarlErsatzRate,15))</f>
      </c>
      <c r="P7047" s="43">
        <f>IF($I7047=0,0,$Q7046*INDEX(DarlErsatzZins,15))</f>
      </c>
      <c r="Q7047" s="43">
        <f>IF($I7047=0,0,$Q7046+$P7047+$O7047)</f>
      </c>
      <c r="R7047" s="43">
        <f>IF($I7047=0,0,$J7047-$M7047-$N7047)</f>
      </c>
    </row>
    <row r="7048">
      <c r="A7048"/>
      <c r="B7048">
        <v>15</v>
      </c>
      <c r="C7048" s="43">
        <f>INDEX(DarlObj,15)</f>
      </c>
      <c r="D7048">
        <v>325</v>
      </c>
      <c r="E7048" s="51">
        <f>IF(INDEX(DarlBelegt,15)=0,0,EOMONTH(INDEX(DarlAuszahlung,15),324)+1)</f>
      </c>
      <c r="F7048" s="43">
        <f>IF($E7048=0,0,YEAR($E7048))</f>
      </c>
      <c r="G7048" s="43">
        <f>IF(INDEX(DarlBindung,15)="",1,IF($E7048&lt;=INDEX(DarlBindung,15),1,0))</f>
      </c>
      <c r="H7048" s="43">
        <f>IF($G7048=1,INDEX(DarlSollzins,15),INDEX(DarlAnschluss,15))</f>
      </c>
      <c r="I7048" s="43">
        <f>IF(INDEX(DarlBelegt,15)=0,0,IF(INDEX(DarlOhneTilgung,15)=1,IF(INDEX(DarlBindung,15)="",1,$G7048),IF($J7048&gt;0.005,1,0)))</f>
      </c>
      <c r="J7048" s="43">
        <f>IF($I7047=0,0,$R7047)</f>
      </c>
      <c r="K7048" s="43">
        <f>IF($I7048=0,0,IF(INDEX(DarlOhneTilgung,15)=1,0,IF(AND(INDEX(DarlTilgStart,15)&gt;0,$E7048=INDEX(DarlTilgStart,15)),$J7048*($H7048+INDEX(DarlTilgung,15))/100/12,IF(AND($G7048=0,$G7047=1),MAX($K7047,$J7048*($H7048+1)/100/12),$K7047))))</f>
      </c>
      <c r="L7048" s="43">
        <f>IF($I7048=0,0,$J7048*$H7048/100/12)</f>
      </c>
      <c r="M7048" s="43">
        <f>IF($I7048=0,0,IF(OR(INDEX(DarlOhneTilgung,15)=1,AND(INDEX(DarlTilgStart,15)&gt;0,$E7048&lt;INDEX(DarlTilgStart,15))),0,MIN(MAX(0,$K7048-$L7048),$J7048)))</f>
      </c>
      <c r="N7048" s="43">
        <f>IF($I7048=0,0,MIN(SUMIFS(SondBetrag,SondDarl,15,SondDatum,"&gt;="&amp;$E7048,SondDatum,"&lt;="&amp;EOMONTH($E7048,0)),$J7048-$M7048))</f>
      </c>
      <c r="O7048" s="43">
        <f>IF($I7048=0,0,INDEX(DarlErsatzRate,15))</f>
      </c>
      <c r="P7048" s="43">
        <f>IF($I7048=0,0,$Q7047*INDEX(DarlErsatzZins,15))</f>
      </c>
      <c r="Q7048" s="43">
        <f>IF($I7048=0,0,$Q7047+$P7048+$O7048)</f>
      </c>
      <c r="R7048" s="43">
        <f>IF($I7048=0,0,$J7048-$M7048-$N7048)</f>
      </c>
    </row>
    <row r="7049">
      <c r="A7049"/>
      <c r="B7049">
        <v>15</v>
      </c>
      <c r="C7049" s="43">
        <f>INDEX(DarlObj,15)</f>
      </c>
      <c r="D7049">
        <v>326</v>
      </c>
      <c r="E7049" s="51">
        <f>IF(INDEX(DarlBelegt,15)=0,0,EOMONTH(INDEX(DarlAuszahlung,15),325)+1)</f>
      </c>
      <c r="F7049" s="43">
        <f>IF($E7049=0,0,YEAR($E7049))</f>
      </c>
      <c r="G7049" s="43">
        <f>IF(INDEX(DarlBindung,15)="",1,IF($E7049&lt;=INDEX(DarlBindung,15),1,0))</f>
      </c>
      <c r="H7049" s="43">
        <f>IF($G7049=1,INDEX(DarlSollzins,15),INDEX(DarlAnschluss,15))</f>
      </c>
      <c r="I7049" s="43">
        <f>IF(INDEX(DarlBelegt,15)=0,0,IF(INDEX(DarlOhneTilgung,15)=1,IF(INDEX(DarlBindung,15)="",1,$G7049),IF($J7049&gt;0.005,1,0)))</f>
      </c>
      <c r="J7049" s="43">
        <f>IF($I7048=0,0,$R7048)</f>
      </c>
      <c r="K7049" s="43">
        <f>IF($I7049=0,0,IF(INDEX(DarlOhneTilgung,15)=1,0,IF(AND(INDEX(DarlTilgStart,15)&gt;0,$E7049=INDEX(DarlTilgStart,15)),$J7049*($H7049+INDEX(DarlTilgung,15))/100/12,IF(AND($G7049=0,$G7048=1),MAX($K7048,$J7049*($H7049+1)/100/12),$K7048))))</f>
      </c>
      <c r="L7049" s="43">
        <f>IF($I7049=0,0,$J7049*$H7049/100/12)</f>
      </c>
      <c r="M7049" s="43">
        <f>IF($I7049=0,0,IF(OR(INDEX(DarlOhneTilgung,15)=1,AND(INDEX(DarlTilgStart,15)&gt;0,$E7049&lt;INDEX(DarlTilgStart,15))),0,MIN(MAX(0,$K7049-$L7049),$J7049)))</f>
      </c>
      <c r="N7049" s="43">
        <f>IF($I7049=0,0,MIN(SUMIFS(SondBetrag,SondDarl,15,SondDatum,"&gt;="&amp;$E7049,SondDatum,"&lt;="&amp;EOMONTH($E7049,0)),$J7049-$M7049))</f>
      </c>
      <c r="O7049" s="43">
        <f>IF($I7049=0,0,INDEX(DarlErsatzRate,15))</f>
      </c>
      <c r="P7049" s="43">
        <f>IF($I7049=0,0,$Q7048*INDEX(DarlErsatzZins,15))</f>
      </c>
      <c r="Q7049" s="43">
        <f>IF($I7049=0,0,$Q7048+$P7049+$O7049)</f>
      </c>
      <c r="R7049" s="43">
        <f>IF($I7049=0,0,$J7049-$M7049-$N7049)</f>
      </c>
    </row>
    <row r="7050">
      <c r="A7050"/>
      <c r="B7050">
        <v>15</v>
      </c>
      <c r="C7050" s="43">
        <f>INDEX(DarlObj,15)</f>
      </c>
      <c r="D7050">
        <v>327</v>
      </c>
      <c r="E7050" s="51">
        <f>IF(INDEX(DarlBelegt,15)=0,0,EOMONTH(INDEX(DarlAuszahlung,15),326)+1)</f>
      </c>
      <c r="F7050" s="43">
        <f>IF($E7050=0,0,YEAR($E7050))</f>
      </c>
      <c r="G7050" s="43">
        <f>IF(INDEX(DarlBindung,15)="",1,IF($E7050&lt;=INDEX(DarlBindung,15),1,0))</f>
      </c>
      <c r="H7050" s="43">
        <f>IF($G7050=1,INDEX(DarlSollzins,15),INDEX(DarlAnschluss,15))</f>
      </c>
      <c r="I7050" s="43">
        <f>IF(INDEX(DarlBelegt,15)=0,0,IF(INDEX(DarlOhneTilgung,15)=1,IF(INDEX(DarlBindung,15)="",1,$G7050),IF($J7050&gt;0.005,1,0)))</f>
      </c>
      <c r="J7050" s="43">
        <f>IF($I7049=0,0,$R7049)</f>
      </c>
      <c r="K7050" s="43">
        <f>IF($I7050=0,0,IF(INDEX(DarlOhneTilgung,15)=1,0,IF(AND(INDEX(DarlTilgStart,15)&gt;0,$E7050=INDEX(DarlTilgStart,15)),$J7050*($H7050+INDEX(DarlTilgung,15))/100/12,IF(AND($G7050=0,$G7049=1),MAX($K7049,$J7050*($H7050+1)/100/12),$K7049))))</f>
      </c>
      <c r="L7050" s="43">
        <f>IF($I7050=0,0,$J7050*$H7050/100/12)</f>
      </c>
      <c r="M7050" s="43">
        <f>IF($I7050=0,0,IF(OR(INDEX(DarlOhneTilgung,15)=1,AND(INDEX(DarlTilgStart,15)&gt;0,$E7050&lt;INDEX(DarlTilgStart,15))),0,MIN(MAX(0,$K7050-$L7050),$J7050)))</f>
      </c>
      <c r="N7050" s="43">
        <f>IF($I7050=0,0,MIN(SUMIFS(SondBetrag,SondDarl,15,SondDatum,"&gt;="&amp;$E7050,SondDatum,"&lt;="&amp;EOMONTH($E7050,0)),$J7050-$M7050))</f>
      </c>
      <c r="O7050" s="43">
        <f>IF($I7050=0,0,INDEX(DarlErsatzRate,15))</f>
      </c>
      <c r="P7050" s="43">
        <f>IF($I7050=0,0,$Q7049*INDEX(DarlErsatzZins,15))</f>
      </c>
      <c r="Q7050" s="43">
        <f>IF($I7050=0,0,$Q7049+$P7050+$O7050)</f>
      </c>
      <c r="R7050" s="43">
        <f>IF($I7050=0,0,$J7050-$M7050-$N7050)</f>
      </c>
    </row>
    <row r="7051">
      <c r="A7051"/>
      <c r="B7051">
        <v>15</v>
      </c>
      <c r="C7051" s="43">
        <f>INDEX(DarlObj,15)</f>
      </c>
      <c r="D7051">
        <v>328</v>
      </c>
      <c r="E7051" s="51">
        <f>IF(INDEX(DarlBelegt,15)=0,0,EOMONTH(INDEX(DarlAuszahlung,15),327)+1)</f>
      </c>
      <c r="F7051" s="43">
        <f>IF($E7051=0,0,YEAR($E7051))</f>
      </c>
      <c r="G7051" s="43">
        <f>IF(INDEX(DarlBindung,15)="",1,IF($E7051&lt;=INDEX(DarlBindung,15),1,0))</f>
      </c>
      <c r="H7051" s="43">
        <f>IF($G7051=1,INDEX(DarlSollzins,15),INDEX(DarlAnschluss,15))</f>
      </c>
      <c r="I7051" s="43">
        <f>IF(INDEX(DarlBelegt,15)=0,0,IF(INDEX(DarlOhneTilgung,15)=1,IF(INDEX(DarlBindung,15)="",1,$G7051),IF($J7051&gt;0.005,1,0)))</f>
      </c>
      <c r="J7051" s="43">
        <f>IF($I7050=0,0,$R7050)</f>
      </c>
      <c r="K7051" s="43">
        <f>IF($I7051=0,0,IF(INDEX(DarlOhneTilgung,15)=1,0,IF(AND(INDEX(DarlTilgStart,15)&gt;0,$E7051=INDEX(DarlTilgStart,15)),$J7051*($H7051+INDEX(DarlTilgung,15))/100/12,IF(AND($G7051=0,$G7050=1),MAX($K7050,$J7051*($H7051+1)/100/12),$K7050))))</f>
      </c>
      <c r="L7051" s="43">
        <f>IF($I7051=0,0,$J7051*$H7051/100/12)</f>
      </c>
      <c r="M7051" s="43">
        <f>IF($I7051=0,0,IF(OR(INDEX(DarlOhneTilgung,15)=1,AND(INDEX(DarlTilgStart,15)&gt;0,$E7051&lt;INDEX(DarlTilgStart,15))),0,MIN(MAX(0,$K7051-$L7051),$J7051)))</f>
      </c>
      <c r="N7051" s="43">
        <f>IF($I7051=0,0,MIN(SUMIFS(SondBetrag,SondDarl,15,SondDatum,"&gt;="&amp;$E7051,SondDatum,"&lt;="&amp;EOMONTH($E7051,0)),$J7051-$M7051))</f>
      </c>
      <c r="O7051" s="43">
        <f>IF($I7051=0,0,INDEX(DarlErsatzRate,15))</f>
      </c>
      <c r="P7051" s="43">
        <f>IF($I7051=0,0,$Q7050*INDEX(DarlErsatzZins,15))</f>
      </c>
      <c r="Q7051" s="43">
        <f>IF($I7051=0,0,$Q7050+$P7051+$O7051)</f>
      </c>
      <c r="R7051" s="43">
        <f>IF($I7051=0,0,$J7051-$M7051-$N7051)</f>
      </c>
    </row>
    <row r="7052">
      <c r="A7052"/>
      <c r="B7052">
        <v>15</v>
      </c>
      <c r="C7052" s="43">
        <f>INDEX(DarlObj,15)</f>
      </c>
      <c r="D7052">
        <v>329</v>
      </c>
      <c r="E7052" s="51">
        <f>IF(INDEX(DarlBelegt,15)=0,0,EOMONTH(INDEX(DarlAuszahlung,15),328)+1)</f>
      </c>
      <c r="F7052" s="43">
        <f>IF($E7052=0,0,YEAR($E7052))</f>
      </c>
      <c r="G7052" s="43">
        <f>IF(INDEX(DarlBindung,15)="",1,IF($E7052&lt;=INDEX(DarlBindung,15),1,0))</f>
      </c>
      <c r="H7052" s="43">
        <f>IF($G7052=1,INDEX(DarlSollzins,15),INDEX(DarlAnschluss,15))</f>
      </c>
      <c r="I7052" s="43">
        <f>IF(INDEX(DarlBelegt,15)=0,0,IF(INDEX(DarlOhneTilgung,15)=1,IF(INDEX(DarlBindung,15)="",1,$G7052),IF($J7052&gt;0.005,1,0)))</f>
      </c>
      <c r="J7052" s="43">
        <f>IF($I7051=0,0,$R7051)</f>
      </c>
      <c r="K7052" s="43">
        <f>IF($I7052=0,0,IF(INDEX(DarlOhneTilgung,15)=1,0,IF(AND(INDEX(DarlTilgStart,15)&gt;0,$E7052=INDEX(DarlTilgStart,15)),$J7052*($H7052+INDEX(DarlTilgung,15))/100/12,IF(AND($G7052=0,$G7051=1),MAX($K7051,$J7052*($H7052+1)/100/12),$K7051))))</f>
      </c>
      <c r="L7052" s="43">
        <f>IF($I7052=0,0,$J7052*$H7052/100/12)</f>
      </c>
      <c r="M7052" s="43">
        <f>IF($I7052=0,0,IF(OR(INDEX(DarlOhneTilgung,15)=1,AND(INDEX(DarlTilgStart,15)&gt;0,$E7052&lt;INDEX(DarlTilgStart,15))),0,MIN(MAX(0,$K7052-$L7052),$J7052)))</f>
      </c>
      <c r="N7052" s="43">
        <f>IF($I7052=0,0,MIN(SUMIFS(SondBetrag,SondDarl,15,SondDatum,"&gt;="&amp;$E7052,SondDatum,"&lt;="&amp;EOMONTH($E7052,0)),$J7052-$M7052))</f>
      </c>
      <c r="O7052" s="43">
        <f>IF($I7052=0,0,INDEX(DarlErsatzRate,15))</f>
      </c>
      <c r="P7052" s="43">
        <f>IF($I7052=0,0,$Q7051*INDEX(DarlErsatzZins,15))</f>
      </c>
      <c r="Q7052" s="43">
        <f>IF($I7052=0,0,$Q7051+$P7052+$O7052)</f>
      </c>
      <c r="R7052" s="43">
        <f>IF($I7052=0,0,$J7052-$M7052-$N7052)</f>
      </c>
    </row>
    <row r="7053">
      <c r="A7053"/>
      <c r="B7053">
        <v>15</v>
      </c>
      <c r="C7053" s="43">
        <f>INDEX(DarlObj,15)</f>
      </c>
      <c r="D7053">
        <v>330</v>
      </c>
      <c r="E7053" s="51">
        <f>IF(INDEX(DarlBelegt,15)=0,0,EOMONTH(INDEX(DarlAuszahlung,15),329)+1)</f>
      </c>
      <c r="F7053" s="43">
        <f>IF($E7053=0,0,YEAR($E7053))</f>
      </c>
      <c r="G7053" s="43">
        <f>IF(INDEX(DarlBindung,15)="",1,IF($E7053&lt;=INDEX(DarlBindung,15),1,0))</f>
      </c>
      <c r="H7053" s="43">
        <f>IF($G7053=1,INDEX(DarlSollzins,15),INDEX(DarlAnschluss,15))</f>
      </c>
      <c r="I7053" s="43">
        <f>IF(INDEX(DarlBelegt,15)=0,0,IF(INDEX(DarlOhneTilgung,15)=1,IF(INDEX(DarlBindung,15)="",1,$G7053),IF($J7053&gt;0.005,1,0)))</f>
      </c>
      <c r="J7053" s="43">
        <f>IF($I7052=0,0,$R7052)</f>
      </c>
      <c r="K7053" s="43">
        <f>IF($I7053=0,0,IF(INDEX(DarlOhneTilgung,15)=1,0,IF(AND(INDEX(DarlTilgStart,15)&gt;0,$E7053=INDEX(DarlTilgStart,15)),$J7053*($H7053+INDEX(DarlTilgung,15))/100/12,IF(AND($G7053=0,$G7052=1),MAX($K7052,$J7053*($H7053+1)/100/12),$K7052))))</f>
      </c>
      <c r="L7053" s="43">
        <f>IF($I7053=0,0,$J7053*$H7053/100/12)</f>
      </c>
      <c r="M7053" s="43">
        <f>IF($I7053=0,0,IF(OR(INDEX(DarlOhneTilgung,15)=1,AND(INDEX(DarlTilgStart,15)&gt;0,$E7053&lt;INDEX(DarlTilgStart,15))),0,MIN(MAX(0,$K7053-$L7053),$J7053)))</f>
      </c>
      <c r="N7053" s="43">
        <f>IF($I7053=0,0,MIN(SUMIFS(SondBetrag,SondDarl,15,SondDatum,"&gt;="&amp;$E7053,SondDatum,"&lt;="&amp;EOMONTH($E7053,0)),$J7053-$M7053))</f>
      </c>
      <c r="O7053" s="43">
        <f>IF($I7053=0,0,INDEX(DarlErsatzRate,15))</f>
      </c>
      <c r="P7053" s="43">
        <f>IF($I7053=0,0,$Q7052*INDEX(DarlErsatzZins,15))</f>
      </c>
      <c r="Q7053" s="43">
        <f>IF($I7053=0,0,$Q7052+$P7053+$O7053)</f>
      </c>
      <c r="R7053" s="43">
        <f>IF($I7053=0,0,$J7053-$M7053-$N7053)</f>
      </c>
    </row>
    <row r="7054">
      <c r="A7054"/>
      <c r="B7054">
        <v>15</v>
      </c>
      <c r="C7054" s="43">
        <f>INDEX(DarlObj,15)</f>
      </c>
      <c r="D7054">
        <v>331</v>
      </c>
      <c r="E7054" s="51">
        <f>IF(INDEX(DarlBelegt,15)=0,0,EOMONTH(INDEX(DarlAuszahlung,15),330)+1)</f>
      </c>
      <c r="F7054" s="43">
        <f>IF($E7054=0,0,YEAR($E7054))</f>
      </c>
      <c r="G7054" s="43">
        <f>IF(INDEX(DarlBindung,15)="",1,IF($E7054&lt;=INDEX(DarlBindung,15),1,0))</f>
      </c>
      <c r="H7054" s="43">
        <f>IF($G7054=1,INDEX(DarlSollzins,15),INDEX(DarlAnschluss,15))</f>
      </c>
      <c r="I7054" s="43">
        <f>IF(INDEX(DarlBelegt,15)=0,0,IF(INDEX(DarlOhneTilgung,15)=1,IF(INDEX(DarlBindung,15)="",1,$G7054),IF($J7054&gt;0.005,1,0)))</f>
      </c>
      <c r="J7054" s="43">
        <f>IF($I7053=0,0,$R7053)</f>
      </c>
      <c r="K7054" s="43">
        <f>IF($I7054=0,0,IF(INDEX(DarlOhneTilgung,15)=1,0,IF(AND(INDEX(DarlTilgStart,15)&gt;0,$E7054=INDEX(DarlTilgStart,15)),$J7054*($H7054+INDEX(DarlTilgung,15))/100/12,IF(AND($G7054=0,$G7053=1),MAX($K7053,$J7054*($H7054+1)/100/12),$K7053))))</f>
      </c>
      <c r="L7054" s="43">
        <f>IF($I7054=0,0,$J7054*$H7054/100/12)</f>
      </c>
      <c r="M7054" s="43">
        <f>IF($I7054=0,0,IF(OR(INDEX(DarlOhneTilgung,15)=1,AND(INDEX(DarlTilgStart,15)&gt;0,$E7054&lt;INDEX(DarlTilgStart,15))),0,MIN(MAX(0,$K7054-$L7054),$J7054)))</f>
      </c>
      <c r="N7054" s="43">
        <f>IF($I7054=0,0,MIN(SUMIFS(SondBetrag,SondDarl,15,SondDatum,"&gt;="&amp;$E7054,SondDatum,"&lt;="&amp;EOMONTH($E7054,0)),$J7054-$M7054))</f>
      </c>
      <c r="O7054" s="43">
        <f>IF($I7054=0,0,INDEX(DarlErsatzRate,15))</f>
      </c>
      <c r="P7054" s="43">
        <f>IF($I7054=0,0,$Q7053*INDEX(DarlErsatzZins,15))</f>
      </c>
      <c r="Q7054" s="43">
        <f>IF($I7054=0,0,$Q7053+$P7054+$O7054)</f>
      </c>
      <c r="R7054" s="43">
        <f>IF($I7054=0,0,$J7054-$M7054-$N7054)</f>
      </c>
    </row>
    <row r="7055">
      <c r="A7055"/>
      <c r="B7055">
        <v>15</v>
      </c>
      <c r="C7055" s="43">
        <f>INDEX(DarlObj,15)</f>
      </c>
      <c r="D7055">
        <v>332</v>
      </c>
      <c r="E7055" s="51">
        <f>IF(INDEX(DarlBelegt,15)=0,0,EOMONTH(INDEX(DarlAuszahlung,15),331)+1)</f>
      </c>
      <c r="F7055" s="43">
        <f>IF($E7055=0,0,YEAR($E7055))</f>
      </c>
      <c r="G7055" s="43">
        <f>IF(INDEX(DarlBindung,15)="",1,IF($E7055&lt;=INDEX(DarlBindung,15),1,0))</f>
      </c>
      <c r="H7055" s="43">
        <f>IF($G7055=1,INDEX(DarlSollzins,15),INDEX(DarlAnschluss,15))</f>
      </c>
      <c r="I7055" s="43">
        <f>IF(INDEX(DarlBelegt,15)=0,0,IF(INDEX(DarlOhneTilgung,15)=1,IF(INDEX(DarlBindung,15)="",1,$G7055),IF($J7055&gt;0.005,1,0)))</f>
      </c>
      <c r="J7055" s="43">
        <f>IF($I7054=0,0,$R7054)</f>
      </c>
      <c r="K7055" s="43">
        <f>IF($I7055=0,0,IF(INDEX(DarlOhneTilgung,15)=1,0,IF(AND(INDEX(DarlTilgStart,15)&gt;0,$E7055=INDEX(DarlTilgStart,15)),$J7055*($H7055+INDEX(DarlTilgung,15))/100/12,IF(AND($G7055=0,$G7054=1),MAX($K7054,$J7055*($H7055+1)/100/12),$K7054))))</f>
      </c>
      <c r="L7055" s="43">
        <f>IF($I7055=0,0,$J7055*$H7055/100/12)</f>
      </c>
      <c r="M7055" s="43">
        <f>IF($I7055=0,0,IF(OR(INDEX(DarlOhneTilgung,15)=1,AND(INDEX(DarlTilgStart,15)&gt;0,$E7055&lt;INDEX(DarlTilgStart,15))),0,MIN(MAX(0,$K7055-$L7055),$J7055)))</f>
      </c>
      <c r="N7055" s="43">
        <f>IF($I7055=0,0,MIN(SUMIFS(SondBetrag,SondDarl,15,SondDatum,"&gt;="&amp;$E7055,SondDatum,"&lt;="&amp;EOMONTH($E7055,0)),$J7055-$M7055))</f>
      </c>
      <c r="O7055" s="43">
        <f>IF($I7055=0,0,INDEX(DarlErsatzRate,15))</f>
      </c>
      <c r="P7055" s="43">
        <f>IF($I7055=0,0,$Q7054*INDEX(DarlErsatzZins,15))</f>
      </c>
      <c r="Q7055" s="43">
        <f>IF($I7055=0,0,$Q7054+$P7055+$O7055)</f>
      </c>
      <c r="R7055" s="43">
        <f>IF($I7055=0,0,$J7055-$M7055-$N7055)</f>
      </c>
    </row>
    <row r="7056">
      <c r="A7056"/>
      <c r="B7056">
        <v>15</v>
      </c>
      <c r="C7056" s="43">
        <f>INDEX(DarlObj,15)</f>
      </c>
      <c r="D7056">
        <v>333</v>
      </c>
      <c r="E7056" s="51">
        <f>IF(INDEX(DarlBelegt,15)=0,0,EOMONTH(INDEX(DarlAuszahlung,15),332)+1)</f>
      </c>
      <c r="F7056" s="43">
        <f>IF($E7056=0,0,YEAR($E7056))</f>
      </c>
      <c r="G7056" s="43">
        <f>IF(INDEX(DarlBindung,15)="",1,IF($E7056&lt;=INDEX(DarlBindung,15),1,0))</f>
      </c>
      <c r="H7056" s="43">
        <f>IF($G7056=1,INDEX(DarlSollzins,15),INDEX(DarlAnschluss,15))</f>
      </c>
      <c r="I7056" s="43">
        <f>IF(INDEX(DarlBelegt,15)=0,0,IF(INDEX(DarlOhneTilgung,15)=1,IF(INDEX(DarlBindung,15)="",1,$G7056),IF($J7056&gt;0.005,1,0)))</f>
      </c>
      <c r="J7056" s="43">
        <f>IF($I7055=0,0,$R7055)</f>
      </c>
      <c r="K7056" s="43">
        <f>IF($I7056=0,0,IF(INDEX(DarlOhneTilgung,15)=1,0,IF(AND(INDEX(DarlTilgStart,15)&gt;0,$E7056=INDEX(DarlTilgStart,15)),$J7056*($H7056+INDEX(DarlTilgung,15))/100/12,IF(AND($G7056=0,$G7055=1),MAX($K7055,$J7056*($H7056+1)/100/12),$K7055))))</f>
      </c>
      <c r="L7056" s="43">
        <f>IF($I7056=0,0,$J7056*$H7056/100/12)</f>
      </c>
      <c r="M7056" s="43">
        <f>IF($I7056=0,0,IF(OR(INDEX(DarlOhneTilgung,15)=1,AND(INDEX(DarlTilgStart,15)&gt;0,$E7056&lt;INDEX(DarlTilgStart,15))),0,MIN(MAX(0,$K7056-$L7056),$J7056)))</f>
      </c>
      <c r="N7056" s="43">
        <f>IF($I7056=0,0,MIN(SUMIFS(SondBetrag,SondDarl,15,SondDatum,"&gt;="&amp;$E7056,SondDatum,"&lt;="&amp;EOMONTH($E7056,0)),$J7056-$M7056))</f>
      </c>
      <c r="O7056" s="43">
        <f>IF($I7056=0,0,INDEX(DarlErsatzRate,15))</f>
      </c>
      <c r="P7056" s="43">
        <f>IF($I7056=0,0,$Q7055*INDEX(DarlErsatzZins,15))</f>
      </c>
      <c r="Q7056" s="43">
        <f>IF($I7056=0,0,$Q7055+$P7056+$O7056)</f>
      </c>
      <c r="R7056" s="43">
        <f>IF($I7056=0,0,$J7056-$M7056-$N7056)</f>
      </c>
    </row>
    <row r="7057">
      <c r="A7057"/>
      <c r="B7057">
        <v>15</v>
      </c>
      <c r="C7057" s="43">
        <f>INDEX(DarlObj,15)</f>
      </c>
      <c r="D7057">
        <v>334</v>
      </c>
      <c r="E7057" s="51">
        <f>IF(INDEX(DarlBelegt,15)=0,0,EOMONTH(INDEX(DarlAuszahlung,15),333)+1)</f>
      </c>
      <c r="F7057" s="43">
        <f>IF($E7057=0,0,YEAR($E7057))</f>
      </c>
      <c r="G7057" s="43">
        <f>IF(INDEX(DarlBindung,15)="",1,IF($E7057&lt;=INDEX(DarlBindung,15),1,0))</f>
      </c>
      <c r="H7057" s="43">
        <f>IF($G7057=1,INDEX(DarlSollzins,15),INDEX(DarlAnschluss,15))</f>
      </c>
      <c r="I7057" s="43">
        <f>IF(INDEX(DarlBelegt,15)=0,0,IF(INDEX(DarlOhneTilgung,15)=1,IF(INDEX(DarlBindung,15)="",1,$G7057),IF($J7057&gt;0.005,1,0)))</f>
      </c>
      <c r="J7057" s="43">
        <f>IF($I7056=0,0,$R7056)</f>
      </c>
      <c r="K7057" s="43">
        <f>IF($I7057=0,0,IF(INDEX(DarlOhneTilgung,15)=1,0,IF(AND(INDEX(DarlTilgStart,15)&gt;0,$E7057=INDEX(DarlTilgStart,15)),$J7057*($H7057+INDEX(DarlTilgung,15))/100/12,IF(AND($G7057=0,$G7056=1),MAX($K7056,$J7057*($H7057+1)/100/12),$K7056))))</f>
      </c>
      <c r="L7057" s="43">
        <f>IF($I7057=0,0,$J7057*$H7057/100/12)</f>
      </c>
      <c r="M7057" s="43">
        <f>IF($I7057=0,0,IF(OR(INDEX(DarlOhneTilgung,15)=1,AND(INDEX(DarlTilgStart,15)&gt;0,$E7057&lt;INDEX(DarlTilgStart,15))),0,MIN(MAX(0,$K7057-$L7057),$J7057)))</f>
      </c>
      <c r="N7057" s="43">
        <f>IF($I7057=0,0,MIN(SUMIFS(SondBetrag,SondDarl,15,SondDatum,"&gt;="&amp;$E7057,SondDatum,"&lt;="&amp;EOMONTH($E7057,0)),$J7057-$M7057))</f>
      </c>
      <c r="O7057" s="43">
        <f>IF($I7057=0,0,INDEX(DarlErsatzRate,15))</f>
      </c>
      <c r="P7057" s="43">
        <f>IF($I7057=0,0,$Q7056*INDEX(DarlErsatzZins,15))</f>
      </c>
      <c r="Q7057" s="43">
        <f>IF($I7057=0,0,$Q7056+$P7057+$O7057)</f>
      </c>
      <c r="R7057" s="43">
        <f>IF($I7057=0,0,$J7057-$M7057-$N7057)</f>
      </c>
    </row>
    <row r="7058">
      <c r="A7058"/>
      <c r="B7058">
        <v>15</v>
      </c>
      <c r="C7058" s="43">
        <f>INDEX(DarlObj,15)</f>
      </c>
      <c r="D7058">
        <v>335</v>
      </c>
      <c r="E7058" s="51">
        <f>IF(INDEX(DarlBelegt,15)=0,0,EOMONTH(INDEX(DarlAuszahlung,15),334)+1)</f>
      </c>
      <c r="F7058" s="43">
        <f>IF($E7058=0,0,YEAR($E7058))</f>
      </c>
      <c r="G7058" s="43">
        <f>IF(INDEX(DarlBindung,15)="",1,IF($E7058&lt;=INDEX(DarlBindung,15),1,0))</f>
      </c>
      <c r="H7058" s="43">
        <f>IF($G7058=1,INDEX(DarlSollzins,15),INDEX(DarlAnschluss,15))</f>
      </c>
      <c r="I7058" s="43">
        <f>IF(INDEX(DarlBelegt,15)=0,0,IF(INDEX(DarlOhneTilgung,15)=1,IF(INDEX(DarlBindung,15)="",1,$G7058),IF($J7058&gt;0.005,1,0)))</f>
      </c>
      <c r="J7058" s="43">
        <f>IF($I7057=0,0,$R7057)</f>
      </c>
      <c r="K7058" s="43">
        <f>IF($I7058=0,0,IF(INDEX(DarlOhneTilgung,15)=1,0,IF(AND(INDEX(DarlTilgStart,15)&gt;0,$E7058=INDEX(DarlTilgStart,15)),$J7058*($H7058+INDEX(DarlTilgung,15))/100/12,IF(AND($G7058=0,$G7057=1),MAX($K7057,$J7058*($H7058+1)/100/12),$K7057))))</f>
      </c>
      <c r="L7058" s="43">
        <f>IF($I7058=0,0,$J7058*$H7058/100/12)</f>
      </c>
      <c r="M7058" s="43">
        <f>IF($I7058=0,0,IF(OR(INDEX(DarlOhneTilgung,15)=1,AND(INDEX(DarlTilgStart,15)&gt;0,$E7058&lt;INDEX(DarlTilgStart,15))),0,MIN(MAX(0,$K7058-$L7058),$J7058)))</f>
      </c>
      <c r="N7058" s="43">
        <f>IF($I7058=0,0,MIN(SUMIFS(SondBetrag,SondDarl,15,SondDatum,"&gt;="&amp;$E7058,SondDatum,"&lt;="&amp;EOMONTH($E7058,0)),$J7058-$M7058))</f>
      </c>
      <c r="O7058" s="43">
        <f>IF($I7058=0,0,INDEX(DarlErsatzRate,15))</f>
      </c>
      <c r="P7058" s="43">
        <f>IF($I7058=0,0,$Q7057*INDEX(DarlErsatzZins,15))</f>
      </c>
      <c r="Q7058" s="43">
        <f>IF($I7058=0,0,$Q7057+$P7058+$O7058)</f>
      </c>
      <c r="R7058" s="43">
        <f>IF($I7058=0,0,$J7058-$M7058-$N7058)</f>
      </c>
    </row>
    <row r="7059">
      <c r="A7059"/>
      <c r="B7059">
        <v>15</v>
      </c>
      <c r="C7059" s="43">
        <f>INDEX(DarlObj,15)</f>
      </c>
      <c r="D7059">
        <v>336</v>
      </c>
      <c r="E7059" s="51">
        <f>IF(INDEX(DarlBelegt,15)=0,0,EOMONTH(INDEX(DarlAuszahlung,15),335)+1)</f>
      </c>
      <c r="F7059" s="43">
        <f>IF($E7059=0,0,YEAR($E7059))</f>
      </c>
      <c r="G7059" s="43">
        <f>IF(INDEX(DarlBindung,15)="",1,IF($E7059&lt;=INDEX(DarlBindung,15),1,0))</f>
      </c>
      <c r="H7059" s="43">
        <f>IF($G7059=1,INDEX(DarlSollzins,15),INDEX(DarlAnschluss,15))</f>
      </c>
      <c r="I7059" s="43">
        <f>IF(INDEX(DarlBelegt,15)=0,0,IF(INDEX(DarlOhneTilgung,15)=1,IF(INDEX(DarlBindung,15)="",1,$G7059),IF($J7059&gt;0.005,1,0)))</f>
      </c>
      <c r="J7059" s="43">
        <f>IF($I7058=0,0,$R7058)</f>
      </c>
      <c r="K7059" s="43">
        <f>IF($I7059=0,0,IF(INDEX(DarlOhneTilgung,15)=1,0,IF(AND(INDEX(DarlTilgStart,15)&gt;0,$E7059=INDEX(DarlTilgStart,15)),$J7059*($H7059+INDEX(DarlTilgung,15))/100/12,IF(AND($G7059=0,$G7058=1),MAX($K7058,$J7059*($H7059+1)/100/12),$K7058))))</f>
      </c>
      <c r="L7059" s="43">
        <f>IF($I7059=0,0,$J7059*$H7059/100/12)</f>
      </c>
      <c r="M7059" s="43">
        <f>IF($I7059=0,0,IF(OR(INDEX(DarlOhneTilgung,15)=1,AND(INDEX(DarlTilgStart,15)&gt;0,$E7059&lt;INDEX(DarlTilgStart,15))),0,MIN(MAX(0,$K7059-$L7059),$J7059)))</f>
      </c>
      <c r="N7059" s="43">
        <f>IF($I7059=0,0,MIN(SUMIFS(SondBetrag,SondDarl,15,SondDatum,"&gt;="&amp;$E7059,SondDatum,"&lt;="&amp;EOMONTH($E7059,0)),$J7059-$M7059))</f>
      </c>
      <c r="O7059" s="43">
        <f>IF($I7059=0,0,INDEX(DarlErsatzRate,15))</f>
      </c>
      <c r="P7059" s="43">
        <f>IF($I7059=0,0,$Q7058*INDEX(DarlErsatzZins,15))</f>
      </c>
      <c r="Q7059" s="43">
        <f>IF($I7059=0,0,$Q7058+$P7059+$O7059)</f>
      </c>
      <c r="R7059" s="43">
        <f>IF($I7059=0,0,$J7059-$M7059-$N7059)</f>
      </c>
    </row>
    <row r="7060">
      <c r="A7060"/>
      <c r="B7060">
        <v>15</v>
      </c>
      <c r="C7060" s="43">
        <f>INDEX(DarlObj,15)</f>
      </c>
      <c r="D7060">
        <v>337</v>
      </c>
      <c r="E7060" s="51">
        <f>IF(INDEX(DarlBelegt,15)=0,0,EOMONTH(INDEX(DarlAuszahlung,15),336)+1)</f>
      </c>
      <c r="F7060" s="43">
        <f>IF($E7060=0,0,YEAR($E7060))</f>
      </c>
      <c r="G7060" s="43">
        <f>IF(INDEX(DarlBindung,15)="",1,IF($E7060&lt;=INDEX(DarlBindung,15),1,0))</f>
      </c>
      <c r="H7060" s="43">
        <f>IF($G7060=1,INDEX(DarlSollzins,15),INDEX(DarlAnschluss,15))</f>
      </c>
      <c r="I7060" s="43">
        <f>IF(INDEX(DarlBelegt,15)=0,0,IF(INDEX(DarlOhneTilgung,15)=1,IF(INDEX(DarlBindung,15)="",1,$G7060),IF($J7060&gt;0.005,1,0)))</f>
      </c>
      <c r="J7060" s="43">
        <f>IF($I7059=0,0,$R7059)</f>
      </c>
      <c r="K7060" s="43">
        <f>IF($I7060=0,0,IF(INDEX(DarlOhneTilgung,15)=1,0,IF(AND(INDEX(DarlTilgStart,15)&gt;0,$E7060=INDEX(DarlTilgStart,15)),$J7060*($H7060+INDEX(DarlTilgung,15))/100/12,IF(AND($G7060=0,$G7059=1),MAX($K7059,$J7060*($H7060+1)/100/12),$K7059))))</f>
      </c>
      <c r="L7060" s="43">
        <f>IF($I7060=0,0,$J7060*$H7060/100/12)</f>
      </c>
      <c r="M7060" s="43">
        <f>IF($I7060=0,0,IF(OR(INDEX(DarlOhneTilgung,15)=1,AND(INDEX(DarlTilgStart,15)&gt;0,$E7060&lt;INDEX(DarlTilgStart,15))),0,MIN(MAX(0,$K7060-$L7060),$J7060)))</f>
      </c>
      <c r="N7060" s="43">
        <f>IF($I7060=0,0,MIN(SUMIFS(SondBetrag,SondDarl,15,SondDatum,"&gt;="&amp;$E7060,SondDatum,"&lt;="&amp;EOMONTH($E7060,0)),$J7060-$M7060))</f>
      </c>
      <c r="O7060" s="43">
        <f>IF($I7060=0,0,INDEX(DarlErsatzRate,15))</f>
      </c>
      <c r="P7060" s="43">
        <f>IF($I7060=0,0,$Q7059*INDEX(DarlErsatzZins,15))</f>
      </c>
      <c r="Q7060" s="43">
        <f>IF($I7060=0,0,$Q7059+$P7060+$O7060)</f>
      </c>
      <c r="R7060" s="43">
        <f>IF($I7060=0,0,$J7060-$M7060-$N7060)</f>
      </c>
    </row>
    <row r="7061">
      <c r="A7061"/>
      <c r="B7061">
        <v>15</v>
      </c>
      <c r="C7061" s="43">
        <f>INDEX(DarlObj,15)</f>
      </c>
      <c r="D7061">
        <v>338</v>
      </c>
      <c r="E7061" s="51">
        <f>IF(INDEX(DarlBelegt,15)=0,0,EOMONTH(INDEX(DarlAuszahlung,15),337)+1)</f>
      </c>
      <c r="F7061" s="43">
        <f>IF($E7061=0,0,YEAR($E7061))</f>
      </c>
      <c r="G7061" s="43">
        <f>IF(INDEX(DarlBindung,15)="",1,IF($E7061&lt;=INDEX(DarlBindung,15),1,0))</f>
      </c>
      <c r="H7061" s="43">
        <f>IF($G7061=1,INDEX(DarlSollzins,15),INDEX(DarlAnschluss,15))</f>
      </c>
      <c r="I7061" s="43">
        <f>IF(INDEX(DarlBelegt,15)=0,0,IF(INDEX(DarlOhneTilgung,15)=1,IF(INDEX(DarlBindung,15)="",1,$G7061),IF($J7061&gt;0.005,1,0)))</f>
      </c>
      <c r="J7061" s="43">
        <f>IF($I7060=0,0,$R7060)</f>
      </c>
      <c r="K7061" s="43">
        <f>IF($I7061=0,0,IF(INDEX(DarlOhneTilgung,15)=1,0,IF(AND(INDEX(DarlTilgStart,15)&gt;0,$E7061=INDEX(DarlTilgStart,15)),$J7061*($H7061+INDEX(DarlTilgung,15))/100/12,IF(AND($G7061=0,$G7060=1),MAX($K7060,$J7061*($H7061+1)/100/12),$K7060))))</f>
      </c>
      <c r="L7061" s="43">
        <f>IF($I7061=0,0,$J7061*$H7061/100/12)</f>
      </c>
      <c r="M7061" s="43">
        <f>IF($I7061=0,0,IF(OR(INDEX(DarlOhneTilgung,15)=1,AND(INDEX(DarlTilgStart,15)&gt;0,$E7061&lt;INDEX(DarlTilgStart,15))),0,MIN(MAX(0,$K7061-$L7061),$J7061)))</f>
      </c>
      <c r="N7061" s="43">
        <f>IF($I7061=0,0,MIN(SUMIFS(SondBetrag,SondDarl,15,SondDatum,"&gt;="&amp;$E7061,SondDatum,"&lt;="&amp;EOMONTH($E7061,0)),$J7061-$M7061))</f>
      </c>
      <c r="O7061" s="43">
        <f>IF($I7061=0,0,INDEX(DarlErsatzRate,15))</f>
      </c>
      <c r="P7061" s="43">
        <f>IF($I7061=0,0,$Q7060*INDEX(DarlErsatzZins,15))</f>
      </c>
      <c r="Q7061" s="43">
        <f>IF($I7061=0,0,$Q7060+$P7061+$O7061)</f>
      </c>
      <c r="R7061" s="43">
        <f>IF($I7061=0,0,$J7061-$M7061-$N7061)</f>
      </c>
    </row>
    <row r="7062">
      <c r="A7062"/>
      <c r="B7062">
        <v>15</v>
      </c>
      <c r="C7062" s="43">
        <f>INDEX(DarlObj,15)</f>
      </c>
      <c r="D7062">
        <v>339</v>
      </c>
      <c r="E7062" s="51">
        <f>IF(INDEX(DarlBelegt,15)=0,0,EOMONTH(INDEX(DarlAuszahlung,15),338)+1)</f>
      </c>
      <c r="F7062" s="43">
        <f>IF($E7062=0,0,YEAR($E7062))</f>
      </c>
      <c r="G7062" s="43">
        <f>IF(INDEX(DarlBindung,15)="",1,IF($E7062&lt;=INDEX(DarlBindung,15),1,0))</f>
      </c>
      <c r="H7062" s="43">
        <f>IF($G7062=1,INDEX(DarlSollzins,15),INDEX(DarlAnschluss,15))</f>
      </c>
      <c r="I7062" s="43">
        <f>IF(INDEX(DarlBelegt,15)=0,0,IF(INDEX(DarlOhneTilgung,15)=1,IF(INDEX(DarlBindung,15)="",1,$G7062),IF($J7062&gt;0.005,1,0)))</f>
      </c>
      <c r="J7062" s="43">
        <f>IF($I7061=0,0,$R7061)</f>
      </c>
      <c r="K7062" s="43">
        <f>IF($I7062=0,0,IF(INDEX(DarlOhneTilgung,15)=1,0,IF(AND(INDEX(DarlTilgStart,15)&gt;0,$E7062=INDEX(DarlTilgStart,15)),$J7062*($H7062+INDEX(DarlTilgung,15))/100/12,IF(AND($G7062=0,$G7061=1),MAX($K7061,$J7062*($H7062+1)/100/12),$K7061))))</f>
      </c>
      <c r="L7062" s="43">
        <f>IF($I7062=0,0,$J7062*$H7062/100/12)</f>
      </c>
      <c r="M7062" s="43">
        <f>IF($I7062=0,0,IF(OR(INDEX(DarlOhneTilgung,15)=1,AND(INDEX(DarlTilgStart,15)&gt;0,$E7062&lt;INDEX(DarlTilgStart,15))),0,MIN(MAX(0,$K7062-$L7062),$J7062)))</f>
      </c>
      <c r="N7062" s="43">
        <f>IF($I7062=0,0,MIN(SUMIFS(SondBetrag,SondDarl,15,SondDatum,"&gt;="&amp;$E7062,SondDatum,"&lt;="&amp;EOMONTH($E7062,0)),$J7062-$M7062))</f>
      </c>
      <c r="O7062" s="43">
        <f>IF($I7062=0,0,INDEX(DarlErsatzRate,15))</f>
      </c>
      <c r="P7062" s="43">
        <f>IF($I7062=0,0,$Q7061*INDEX(DarlErsatzZins,15))</f>
      </c>
      <c r="Q7062" s="43">
        <f>IF($I7062=0,0,$Q7061+$P7062+$O7062)</f>
      </c>
      <c r="R7062" s="43">
        <f>IF($I7062=0,0,$J7062-$M7062-$N7062)</f>
      </c>
    </row>
    <row r="7063">
      <c r="A7063"/>
      <c r="B7063">
        <v>15</v>
      </c>
      <c r="C7063" s="43">
        <f>INDEX(DarlObj,15)</f>
      </c>
      <c r="D7063">
        <v>340</v>
      </c>
      <c r="E7063" s="51">
        <f>IF(INDEX(DarlBelegt,15)=0,0,EOMONTH(INDEX(DarlAuszahlung,15),339)+1)</f>
      </c>
      <c r="F7063" s="43">
        <f>IF($E7063=0,0,YEAR($E7063))</f>
      </c>
      <c r="G7063" s="43">
        <f>IF(INDEX(DarlBindung,15)="",1,IF($E7063&lt;=INDEX(DarlBindung,15),1,0))</f>
      </c>
      <c r="H7063" s="43">
        <f>IF($G7063=1,INDEX(DarlSollzins,15),INDEX(DarlAnschluss,15))</f>
      </c>
      <c r="I7063" s="43">
        <f>IF(INDEX(DarlBelegt,15)=0,0,IF(INDEX(DarlOhneTilgung,15)=1,IF(INDEX(DarlBindung,15)="",1,$G7063),IF($J7063&gt;0.005,1,0)))</f>
      </c>
      <c r="J7063" s="43">
        <f>IF($I7062=0,0,$R7062)</f>
      </c>
      <c r="K7063" s="43">
        <f>IF($I7063=0,0,IF(INDEX(DarlOhneTilgung,15)=1,0,IF(AND(INDEX(DarlTilgStart,15)&gt;0,$E7063=INDEX(DarlTilgStart,15)),$J7063*($H7063+INDEX(DarlTilgung,15))/100/12,IF(AND($G7063=0,$G7062=1),MAX($K7062,$J7063*($H7063+1)/100/12),$K7062))))</f>
      </c>
      <c r="L7063" s="43">
        <f>IF($I7063=0,0,$J7063*$H7063/100/12)</f>
      </c>
      <c r="M7063" s="43">
        <f>IF($I7063=0,0,IF(OR(INDEX(DarlOhneTilgung,15)=1,AND(INDEX(DarlTilgStart,15)&gt;0,$E7063&lt;INDEX(DarlTilgStart,15))),0,MIN(MAX(0,$K7063-$L7063),$J7063)))</f>
      </c>
      <c r="N7063" s="43">
        <f>IF($I7063=0,0,MIN(SUMIFS(SondBetrag,SondDarl,15,SondDatum,"&gt;="&amp;$E7063,SondDatum,"&lt;="&amp;EOMONTH($E7063,0)),$J7063-$M7063))</f>
      </c>
      <c r="O7063" s="43">
        <f>IF($I7063=0,0,INDEX(DarlErsatzRate,15))</f>
      </c>
      <c r="P7063" s="43">
        <f>IF($I7063=0,0,$Q7062*INDEX(DarlErsatzZins,15))</f>
      </c>
      <c r="Q7063" s="43">
        <f>IF($I7063=0,0,$Q7062+$P7063+$O7063)</f>
      </c>
      <c r="R7063" s="43">
        <f>IF($I7063=0,0,$J7063-$M7063-$N7063)</f>
      </c>
    </row>
    <row r="7064">
      <c r="A7064"/>
      <c r="B7064">
        <v>15</v>
      </c>
      <c r="C7064" s="43">
        <f>INDEX(DarlObj,15)</f>
      </c>
      <c r="D7064">
        <v>341</v>
      </c>
      <c r="E7064" s="51">
        <f>IF(INDEX(DarlBelegt,15)=0,0,EOMONTH(INDEX(DarlAuszahlung,15),340)+1)</f>
      </c>
      <c r="F7064" s="43">
        <f>IF($E7064=0,0,YEAR($E7064))</f>
      </c>
      <c r="G7064" s="43">
        <f>IF(INDEX(DarlBindung,15)="",1,IF($E7064&lt;=INDEX(DarlBindung,15),1,0))</f>
      </c>
      <c r="H7064" s="43">
        <f>IF($G7064=1,INDEX(DarlSollzins,15),INDEX(DarlAnschluss,15))</f>
      </c>
      <c r="I7064" s="43">
        <f>IF(INDEX(DarlBelegt,15)=0,0,IF(INDEX(DarlOhneTilgung,15)=1,IF(INDEX(DarlBindung,15)="",1,$G7064),IF($J7064&gt;0.005,1,0)))</f>
      </c>
      <c r="J7064" s="43">
        <f>IF($I7063=0,0,$R7063)</f>
      </c>
      <c r="K7064" s="43">
        <f>IF($I7064=0,0,IF(INDEX(DarlOhneTilgung,15)=1,0,IF(AND(INDEX(DarlTilgStart,15)&gt;0,$E7064=INDEX(DarlTilgStart,15)),$J7064*($H7064+INDEX(DarlTilgung,15))/100/12,IF(AND($G7064=0,$G7063=1),MAX($K7063,$J7064*($H7064+1)/100/12),$K7063))))</f>
      </c>
      <c r="L7064" s="43">
        <f>IF($I7064=0,0,$J7064*$H7064/100/12)</f>
      </c>
      <c r="M7064" s="43">
        <f>IF($I7064=0,0,IF(OR(INDEX(DarlOhneTilgung,15)=1,AND(INDEX(DarlTilgStart,15)&gt;0,$E7064&lt;INDEX(DarlTilgStart,15))),0,MIN(MAX(0,$K7064-$L7064),$J7064)))</f>
      </c>
      <c r="N7064" s="43">
        <f>IF($I7064=0,0,MIN(SUMIFS(SondBetrag,SondDarl,15,SondDatum,"&gt;="&amp;$E7064,SondDatum,"&lt;="&amp;EOMONTH($E7064,0)),$J7064-$M7064))</f>
      </c>
      <c r="O7064" s="43">
        <f>IF($I7064=0,0,INDEX(DarlErsatzRate,15))</f>
      </c>
      <c r="P7064" s="43">
        <f>IF($I7064=0,0,$Q7063*INDEX(DarlErsatzZins,15))</f>
      </c>
      <c r="Q7064" s="43">
        <f>IF($I7064=0,0,$Q7063+$P7064+$O7064)</f>
      </c>
      <c r="R7064" s="43">
        <f>IF($I7064=0,0,$J7064-$M7064-$N7064)</f>
      </c>
    </row>
    <row r="7065">
      <c r="A7065"/>
      <c r="B7065">
        <v>15</v>
      </c>
      <c r="C7065" s="43">
        <f>INDEX(DarlObj,15)</f>
      </c>
      <c r="D7065">
        <v>342</v>
      </c>
      <c r="E7065" s="51">
        <f>IF(INDEX(DarlBelegt,15)=0,0,EOMONTH(INDEX(DarlAuszahlung,15),341)+1)</f>
      </c>
      <c r="F7065" s="43">
        <f>IF($E7065=0,0,YEAR($E7065))</f>
      </c>
      <c r="G7065" s="43">
        <f>IF(INDEX(DarlBindung,15)="",1,IF($E7065&lt;=INDEX(DarlBindung,15),1,0))</f>
      </c>
      <c r="H7065" s="43">
        <f>IF($G7065=1,INDEX(DarlSollzins,15),INDEX(DarlAnschluss,15))</f>
      </c>
      <c r="I7065" s="43">
        <f>IF(INDEX(DarlBelegt,15)=0,0,IF(INDEX(DarlOhneTilgung,15)=1,IF(INDEX(DarlBindung,15)="",1,$G7065),IF($J7065&gt;0.005,1,0)))</f>
      </c>
      <c r="J7065" s="43">
        <f>IF($I7064=0,0,$R7064)</f>
      </c>
      <c r="K7065" s="43">
        <f>IF($I7065=0,0,IF(INDEX(DarlOhneTilgung,15)=1,0,IF(AND(INDEX(DarlTilgStart,15)&gt;0,$E7065=INDEX(DarlTilgStart,15)),$J7065*($H7065+INDEX(DarlTilgung,15))/100/12,IF(AND($G7065=0,$G7064=1),MAX($K7064,$J7065*($H7065+1)/100/12),$K7064))))</f>
      </c>
      <c r="L7065" s="43">
        <f>IF($I7065=0,0,$J7065*$H7065/100/12)</f>
      </c>
      <c r="M7065" s="43">
        <f>IF($I7065=0,0,IF(OR(INDEX(DarlOhneTilgung,15)=1,AND(INDEX(DarlTilgStart,15)&gt;0,$E7065&lt;INDEX(DarlTilgStart,15))),0,MIN(MAX(0,$K7065-$L7065),$J7065)))</f>
      </c>
      <c r="N7065" s="43">
        <f>IF($I7065=0,0,MIN(SUMIFS(SondBetrag,SondDarl,15,SondDatum,"&gt;="&amp;$E7065,SondDatum,"&lt;="&amp;EOMONTH($E7065,0)),$J7065-$M7065))</f>
      </c>
      <c r="O7065" s="43">
        <f>IF($I7065=0,0,INDEX(DarlErsatzRate,15))</f>
      </c>
      <c r="P7065" s="43">
        <f>IF($I7065=0,0,$Q7064*INDEX(DarlErsatzZins,15))</f>
      </c>
      <c r="Q7065" s="43">
        <f>IF($I7065=0,0,$Q7064+$P7065+$O7065)</f>
      </c>
      <c r="R7065" s="43">
        <f>IF($I7065=0,0,$J7065-$M7065-$N7065)</f>
      </c>
    </row>
    <row r="7066">
      <c r="A7066"/>
      <c r="B7066">
        <v>15</v>
      </c>
      <c r="C7066" s="43">
        <f>INDEX(DarlObj,15)</f>
      </c>
      <c r="D7066">
        <v>343</v>
      </c>
      <c r="E7066" s="51">
        <f>IF(INDEX(DarlBelegt,15)=0,0,EOMONTH(INDEX(DarlAuszahlung,15),342)+1)</f>
      </c>
      <c r="F7066" s="43">
        <f>IF($E7066=0,0,YEAR($E7066))</f>
      </c>
      <c r="G7066" s="43">
        <f>IF(INDEX(DarlBindung,15)="",1,IF($E7066&lt;=INDEX(DarlBindung,15),1,0))</f>
      </c>
      <c r="H7066" s="43">
        <f>IF($G7066=1,INDEX(DarlSollzins,15),INDEX(DarlAnschluss,15))</f>
      </c>
      <c r="I7066" s="43">
        <f>IF(INDEX(DarlBelegt,15)=0,0,IF(INDEX(DarlOhneTilgung,15)=1,IF(INDEX(DarlBindung,15)="",1,$G7066),IF($J7066&gt;0.005,1,0)))</f>
      </c>
      <c r="J7066" s="43">
        <f>IF($I7065=0,0,$R7065)</f>
      </c>
      <c r="K7066" s="43">
        <f>IF($I7066=0,0,IF(INDEX(DarlOhneTilgung,15)=1,0,IF(AND(INDEX(DarlTilgStart,15)&gt;0,$E7066=INDEX(DarlTilgStart,15)),$J7066*($H7066+INDEX(DarlTilgung,15))/100/12,IF(AND($G7066=0,$G7065=1),MAX($K7065,$J7066*($H7066+1)/100/12),$K7065))))</f>
      </c>
      <c r="L7066" s="43">
        <f>IF($I7066=0,0,$J7066*$H7066/100/12)</f>
      </c>
      <c r="M7066" s="43">
        <f>IF($I7066=0,0,IF(OR(INDEX(DarlOhneTilgung,15)=1,AND(INDEX(DarlTilgStart,15)&gt;0,$E7066&lt;INDEX(DarlTilgStart,15))),0,MIN(MAX(0,$K7066-$L7066),$J7066)))</f>
      </c>
      <c r="N7066" s="43">
        <f>IF($I7066=0,0,MIN(SUMIFS(SondBetrag,SondDarl,15,SondDatum,"&gt;="&amp;$E7066,SondDatum,"&lt;="&amp;EOMONTH($E7066,0)),$J7066-$M7066))</f>
      </c>
      <c r="O7066" s="43">
        <f>IF($I7066=0,0,INDEX(DarlErsatzRate,15))</f>
      </c>
      <c r="P7066" s="43">
        <f>IF($I7066=0,0,$Q7065*INDEX(DarlErsatzZins,15))</f>
      </c>
      <c r="Q7066" s="43">
        <f>IF($I7066=0,0,$Q7065+$P7066+$O7066)</f>
      </c>
      <c r="R7066" s="43">
        <f>IF($I7066=0,0,$J7066-$M7066-$N7066)</f>
      </c>
    </row>
    <row r="7067">
      <c r="A7067"/>
      <c r="B7067">
        <v>15</v>
      </c>
      <c r="C7067" s="43">
        <f>INDEX(DarlObj,15)</f>
      </c>
      <c r="D7067">
        <v>344</v>
      </c>
      <c r="E7067" s="51">
        <f>IF(INDEX(DarlBelegt,15)=0,0,EOMONTH(INDEX(DarlAuszahlung,15),343)+1)</f>
      </c>
      <c r="F7067" s="43">
        <f>IF($E7067=0,0,YEAR($E7067))</f>
      </c>
      <c r="G7067" s="43">
        <f>IF(INDEX(DarlBindung,15)="",1,IF($E7067&lt;=INDEX(DarlBindung,15),1,0))</f>
      </c>
      <c r="H7067" s="43">
        <f>IF($G7067=1,INDEX(DarlSollzins,15),INDEX(DarlAnschluss,15))</f>
      </c>
      <c r="I7067" s="43">
        <f>IF(INDEX(DarlBelegt,15)=0,0,IF(INDEX(DarlOhneTilgung,15)=1,IF(INDEX(DarlBindung,15)="",1,$G7067),IF($J7067&gt;0.005,1,0)))</f>
      </c>
      <c r="J7067" s="43">
        <f>IF($I7066=0,0,$R7066)</f>
      </c>
      <c r="K7067" s="43">
        <f>IF($I7067=0,0,IF(INDEX(DarlOhneTilgung,15)=1,0,IF(AND(INDEX(DarlTilgStart,15)&gt;0,$E7067=INDEX(DarlTilgStart,15)),$J7067*($H7067+INDEX(DarlTilgung,15))/100/12,IF(AND($G7067=0,$G7066=1),MAX($K7066,$J7067*($H7067+1)/100/12),$K7066))))</f>
      </c>
      <c r="L7067" s="43">
        <f>IF($I7067=0,0,$J7067*$H7067/100/12)</f>
      </c>
      <c r="M7067" s="43">
        <f>IF($I7067=0,0,IF(OR(INDEX(DarlOhneTilgung,15)=1,AND(INDEX(DarlTilgStart,15)&gt;0,$E7067&lt;INDEX(DarlTilgStart,15))),0,MIN(MAX(0,$K7067-$L7067),$J7067)))</f>
      </c>
      <c r="N7067" s="43">
        <f>IF($I7067=0,0,MIN(SUMIFS(SondBetrag,SondDarl,15,SondDatum,"&gt;="&amp;$E7067,SondDatum,"&lt;="&amp;EOMONTH($E7067,0)),$J7067-$M7067))</f>
      </c>
      <c r="O7067" s="43">
        <f>IF($I7067=0,0,INDEX(DarlErsatzRate,15))</f>
      </c>
      <c r="P7067" s="43">
        <f>IF($I7067=0,0,$Q7066*INDEX(DarlErsatzZins,15))</f>
      </c>
      <c r="Q7067" s="43">
        <f>IF($I7067=0,0,$Q7066+$P7067+$O7067)</f>
      </c>
      <c r="R7067" s="43">
        <f>IF($I7067=0,0,$J7067-$M7067-$N7067)</f>
      </c>
    </row>
    <row r="7068">
      <c r="A7068"/>
      <c r="B7068">
        <v>15</v>
      </c>
      <c r="C7068" s="43">
        <f>INDEX(DarlObj,15)</f>
      </c>
      <c r="D7068">
        <v>345</v>
      </c>
      <c r="E7068" s="51">
        <f>IF(INDEX(DarlBelegt,15)=0,0,EOMONTH(INDEX(DarlAuszahlung,15),344)+1)</f>
      </c>
      <c r="F7068" s="43">
        <f>IF($E7068=0,0,YEAR($E7068))</f>
      </c>
      <c r="G7068" s="43">
        <f>IF(INDEX(DarlBindung,15)="",1,IF($E7068&lt;=INDEX(DarlBindung,15),1,0))</f>
      </c>
      <c r="H7068" s="43">
        <f>IF($G7068=1,INDEX(DarlSollzins,15),INDEX(DarlAnschluss,15))</f>
      </c>
      <c r="I7068" s="43">
        <f>IF(INDEX(DarlBelegt,15)=0,0,IF(INDEX(DarlOhneTilgung,15)=1,IF(INDEX(DarlBindung,15)="",1,$G7068),IF($J7068&gt;0.005,1,0)))</f>
      </c>
      <c r="J7068" s="43">
        <f>IF($I7067=0,0,$R7067)</f>
      </c>
      <c r="K7068" s="43">
        <f>IF($I7068=0,0,IF(INDEX(DarlOhneTilgung,15)=1,0,IF(AND(INDEX(DarlTilgStart,15)&gt;0,$E7068=INDEX(DarlTilgStart,15)),$J7068*($H7068+INDEX(DarlTilgung,15))/100/12,IF(AND($G7068=0,$G7067=1),MAX($K7067,$J7068*($H7068+1)/100/12),$K7067))))</f>
      </c>
      <c r="L7068" s="43">
        <f>IF($I7068=0,0,$J7068*$H7068/100/12)</f>
      </c>
      <c r="M7068" s="43">
        <f>IF($I7068=0,0,IF(OR(INDEX(DarlOhneTilgung,15)=1,AND(INDEX(DarlTilgStart,15)&gt;0,$E7068&lt;INDEX(DarlTilgStart,15))),0,MIN(MAX(0,$K7068-$L7068),$J7068)))</f>
      </c>
      <c r="N7068" s="43">
        <f>IF($I7068=0,0,MIN(SUMIFS(SondBetrag,SondDarl,15,SondDatum,"&gt;="&amp;$E7068,SondDatum,"&lt;="&amp;EOMONTH($E7068,0)),$J7068-$M7068))</f>
      </c>
      <c r="O7068" s="43">
        <f>IF($I7068=0,0,INDEX(DarlErsatzRate,15))</f>
      </c>
      <c r="P7068" s="43">
        <f>IF($I7068=0,0,$Q7067*INDEX(DarlErsatzZins,15))</f>
      </c>
      <c r="Q7068" s="43">
        <f>IF($I7068=0,0,$Q7067+$P7068+$O7068)</f>
      </c>
      <c r="R7068" s="43">
        <f>IF($I7068=0,0,$J7068-$M7068-$N7068)</f>
      </c>
    </row>
    <row r="7069">
      <c r="A7069"/>
      <c r="B7069">
        <v>15</v>
      </c>
      <c r="C7069" s="43">
        <f>INDEX(DarlObj,15)</f>
      </c>
      <c r="D7069">
        <v>346</v>
      </c>
      <c r="E7069" s="51">
        <f>IF(INDEX(DarlBelegt,15)=0,0,EOMONTH(INDEX(DarlAuszahlung,15),345)+1)</f>
      </c>
      <c r="F7069" s="43">
        <f>IF($E7069=0,0,YEAR($E7069))</f>
      </c>
      <c r="G7069" s="43">
        <f>IF(INDEX(DarlBindung,15)="",1,IF($E7069&lt;=INDEX(DarlBindung,15),1,0))</f>
      </c>
      <c r="H7069" s="43">
        <f>IF($G7069=1,INDEX(DarlSollzins,15),INDEX(DarlAnschluss,15))</f>
      </c>
      <c r="I7069" s="43">
        <f>IF(INDEX(DarlBelegt,15)=0,0,IF(INDEX(DarlOhneTilgung,15)=1,IF(INDEX(DarlBindung,15)="",1,$G7069),IF($J7069&gt;0.005,1,0)))</f>
      </c>
      <c r="J7069" s="43">
        <f>IF($I7068=0,0,$R7068)</f>
      </c>
      <c r="K7069" s="43">
        <f>IF($I7069=0,0,IF(INDEX(DarlOhneTilgung,15)=1,0,IF(AND(INDEX(DarlTilgStart,15)&gt;0,$E7069=INDEX(DarlTilgStart,15)),$J7069*($H7069+INDEX(DarlTilgung,15))/100/12,IF(AND($G7069=0,$G7068=1),MAX($K7068,$J7069*($H7069+1)/100/12),$K7068))))</f>
      </c>
      <c r="L7069" s="43">
        <f>IF($I7069=0,0,$J7069*$H7069/100/12)</f>
      </c>
      <c r="M7069" s="43">
        <f>IF($I7069=0,0,IF(OR(INDEX(DarlOhneTilgung,15)=1,AND(INDEX(DarlTilgStart,15)&gt;0,$E7069&lt;INDEX(DarlTilgStart,15))),0,MIN(MAX(0,$K7069-$L7069),$J7069)))</f>
      </c>
      <c r="N7069" s="43">
        <f>IF($I7069=0,0,MIN(SUMIFS(SondBetrag,SondDarl,15,SondDatum,"&gt;="&amp;$E7069,SondDatum,"&lt;="&amp;EOMONTH($E7069,0)),$J7069-$M7069))</f>
      </c>
      <c r="O7069" s="43">
        <f>IF($I7069=0,0,INDEX(DarlErsatzRate,15))</f>
      </c>
      <c r="P7069" s="43">
        <f>IF($I7069=0,0,$Q7068*INDEX(DarlErsatzZins,15))</f>
      </c>
      <c r="Q7069" s="43">
        <f>IF($I7069=0,0,$Q7068+$P7069+$O7069)</f>
      </c>
      <c r="R7069" s="43">
        <f>IF($I7069=0,0,$J7069-$M7069-$N7069)</f>
      </c>
    </row>
    <row r="7070">
      <c r="A7070"/>
      <c r="B7070">
        <v>15</v>
      </c>
      <c r="C7070" s="43">
        <f>INDEX(DarlObj,15)</f>
      </c>
      <c r="D7070">
        <v>347</v>
      </c>
      <c r="E7070" s="51">
        <f>IF(INDEX(DarlBelegt,15)=0,0,EOMONTH(INDEX(DarlAuszahlung,15),346)+1)</f>
      </c>
      <c r="F7070" s="43">
        <f>IF($E7070=0,0,YEAR($E7070))</f>
      </c>
      <c r="G7070" s="43">
        <f>IF(INDEX(DarlBindung,15)="",1,IF($E7070&lt;=INDEX(DarlBindung,15),1,0))</f>
      </c>
      <c r="H7070" s="43">
        <f>IF($G7070=1,INDEX(DarlSollzins,15),INDEX(DarlAnschluss,15))</f>
      </c>
      <c r="I7070" s="43">
        <f>IF(INDEX(DarlBelegt,15)=0,0,IF(INDEX(DarlOhneTilgung,15)=1,IF(INDEX(DarlBindung,15)="",1,$G7070),IF($J7070&gt;0.005,1,0)))</f>
      </c>
      <c r="J7070" s="43">
        <f>IF($I7069=0,0,$R7069)</f>
      </c>
      <c r="K7070" s="43">
        <f>IF($I7070=0,0,IF(INDEX(DarlOhneTilgung,15)=1,0,IF(AND(INDEX(DarlTilgStart,15)&gt;0,$E7070=INDEX(DarlTilgStart,15)),$J7070*($H7070+INDEX(DarlTilgung,15))/100/12,IF(AND($G7070=0,$G7069=1),MAX($K7069,$J7070*($H7070+1)/100/12),$K7069))))</f>
      </c>
      <c r="L7070" s="43">
        <f>IF($I7070=0,0,$J7070*$H7070/100/12)</f>
      </c>
      <c r="M7070" s="43">
        <f>IF($I7070=0,0,IF(OR(INDEX(DarlOhneTilgung,15)=1,AND(INDEX(DarlTilgStart,15)&gt;0,$E7070&lt;INDEX(DarlTilgStart,15))),0,MIN(MAX(0,$K7070-$L7070),$J7070)))</f>
      </c>
      <c r="N7070" s="43">
        <f>IF($I7070=0,0,MIN(SUMIFS(SondBetrag,SondDarl,15,SondDatum,"&gt;="&amp;$E7070,SondDatum,"&lt;="&amp;EOMONTH($E7070,0)),$J7070-$M7070))</f>
      </c>
      <c r="O7070" s="43">
        <f>IF($I7070=0,0,INDEX(DarlErsatzRate,15))</f>
      </c>
      <c r="P7070" s="43">
        <f>IF($I7070=0,0,$Q7069*INDEX(DarlErsatzZins,15))</f>
      </c>
      <c r="Q7070" s="43">
        <f>IF($I7070=0,0,$Q7069+$P7070+$O7070)</f>
      </c>
      <c r="R7070" s="43">
        <f>IF($I7070=0,0,$J7070-$M7070-$N7070)</f>
      </c>
    </row>
    <row r="7071">
      <c r="A7071"/>
      <c r="B7071">
        <v>15</v>
      </c>
      <c r="C7071" s="43">
        <f>INDEX(DarlObj,15)</f>
      </c>
      <c r="D7071">
        <v>348</v>
      </c>
      <c r="E7071" s="51">
        <f>IF(INDEX(DarlBelegt,15)=0,0,EOMONTH(INDEX(DarlAuszahlung,15),347)+1)</f>
      </c>
      <c r="F7071" s="43">
        <f>IF($E7071=0,0,YEAR($E7071))</f>
      </c>
      <c r="G7071" s="43">
        <f>IF(INDEX(DarlBindung,15)="",1,IF($E7071&lt;=INDEX(DarlBindung,15),1,0))</f>
      </c>
      <c r="H7071" s="43">
        <f>IF($G7071=1,INDEX(DarlSollzins,15),INDEX(DarlAnschluss,15))</f>
      </c>
      <c r="I7071" s="43">
        <f>IF(INDEX(DarlBelegt,15)=0,0,IF(INDEX(DarlOhneTilgung,15)=1,IF(INDEX(DarlBindung,15)="",1,$G7071),IF($J7071&gt;0.005,1,0)))</f>
      </c>
      <c r="J7071" s="43">
        <f>IF($I7070=0,0,$R7070)</f>
      </c>
      <c r="K7071" s="43">
        <f>IF($I7071=0,0,IF(INDEX(DarlOhneTilgung,15)=1,0,IF(AND(INDEX(DarlTilgStart,15)&gt;0,$E7071=INDEX(DarlTilgStart,15)),$J7071*($H7071+INDEX(DarlTilgung,15))/100/12,IF(AND($G7071=0,$G7070=1),MAX($K7070,$J7071*($H7071+1)/100/12),$K7070))))</f>
      </c>
      <c r="L7071" s="43">
        <f>IF($I7071=0,0,$J7071*$H7071/100/12)</f>
      </c>
      <c r="M7071" s="43">
        <f>IF($I7071=0,0,IF(OR(INDEX(DarlOhneTilgung,15)=1,AND(INDEX(DarlTilgStart,15)&gt;0,$E7071&lt;INDEX(DarlTilgStart,15))),0,MIN(MAX(0,$K7071-$L7071),$J7071)))</f>
      </c>
      <c r="N7071" s="43">
        <f>IF($I7071=0,0,MIN(SUMIFS(SondBetrag,SondDarl,15,SondDatum,"&gt;="&amp;$E7071,SondDatum,"&lt;="&amp;EOMONTH($E7071,0)),$J7071-$M7071))</f>
      </c>
      <c r="O7071" s="43">
        <f>IF($I7071=0,0,INDEX(DarlErsatzRate,15))</f>
      </c>
      <c r="P7071" s="43">
        <f>IF($I7071=0,0,$Q7070*INDEX(DarlErsatzZins,15))</f>
      </c>
      <c r="Q7071" s="43">
        <f>IF($I7071=0,0,$Q7070+$P7071+$O7071)</f>
      </c>
      <c r="R7071" s="43">
        <f>IF($I7071=0,0,$J7071-$M7071-$N7071)</f>
      </c>
    </row>
    <row r="7072">
      <c r="A7072"/>
      <c r="B7072">
        <v>15</v>
      </c>
      <c r="C7072" s="43">
        <f>INDEX(DarlObj,15)</f>
      </c>
      <c r="D7072">
        <v>349</v>
      </c>
      <c r="E7072" s="51">
        <f>IF(INDEX(DarlBelegt,15)=0,0,EOMONTH(INDEX(DarlAuszahlung,15),348)+1)</f>
      </c>
      <c r="F7072" s="43">
        <f>IF($E7072=0,0,YEAR($E7072))</f>
      </c>
      <c r="G7072" s="43">
        <f>IF(INDEX(DarlBindung,15)="",1,IF($E7072&lt;=INDEX(DarlBindung,15),1,0))</f>
      </c>
      <c r="H7072" s="43">
        <f>IF($G7072=1,INDEX(DarlSollzins,15),INDEX(DarlAnschluss,15))</f>
      </c>
      <c r="I7072" s="43">
        <f>IF(INDEX(DarlBelegt,15)=0,0,IF(INDEX(DarlOhneTilgung,15)=1,IF(INDEX(DarlBindung,15)="",1,$G7072),IF($J7072&gt;0.005,1,0)))</f>
      </c>
      <c r="J7072" s="43">
        <f>IF($I7071=0,0,$R7071)</f>
      </c>
      <c r="K7072" s="43">
        <f>IF($I7072=0,0,IF(INDEX(DarlOhneTilgung,15)=1,0,IF(AND(INDEX(DarlTilgStart,15)&gt;0,$E7072=INDEX(DarlTilgStart,15)),$J7072*($H7072+INDEX(DarlTilgung,15))/100/12,IF(AND($G7072=0,$G7071=1),MAX($K7071,$J7072*($H7072+1)/100/12),$K7071))))</f>
      </c>
      <c r="L7072" s="43">
        <f>IF($I7072=0,0,$J7072*$H7072/100/12)</f>
      </c>
      <c r="M7072" s="43">
        <f>IF($I7072=0,0,IF(OR(INDEX(DarlOhneTilgung,15)=1,AND(INDEX(DarlTilgStart,15)&gt;0,$E7072&lt;INDEX(DarlTilgStart,15))),0,MIN(MAX(0,$K7072-$L7072),$J7072)))</f>
      </c>
      <c r="N7072" s="43">
        <f>IF($I7072=0,0,MIN(SUMIFS(SondBetrag,SondDarl,15,SondDatum,"&gt;="&amp;$E7072,SondDatum,"&lt;="&amp;EOMONTH($E7072,0)),$J7072-$M7072))</f>
      </c>
      <c r="O7072" s="43">
        <f>IF($I7072=0,0,INDEX(DarlErsatzRate,15))</f>
      </c>
      <c r="P7072" s="43">
        <f>IF($I7072=0,0,$Q7071*INDEX(DarlErsatzZins,15))</f>
      </c>
      <c r="Q7072" s="43">
        <f>IF($I7072=0,0,$Q7071+$P7072+$O7072)</f>
      </c>
      <c r="R7072" s="43">
        <f>IF($I7072=0,0,$J7072-$M7072-$N7072)</f>
      </c>
    </row>
    <row r="7073">
      <c r="A7073"/>
      <c r="B7073">
        <v>15</v>
      </c>
      <c r="C7073" s="43">
        <f>INDEX(DarlObj,15)</f>
      </c>
      <c r="D7073">
        <v>350</v>
      </c>
      <c r="E7073" s="51">
        <f>IF(INDEX(DarlBelegt,15)=0,0,EOMONTH(INDEX(DarlAuszahlung,15),349)+1)</f>
      </c>
      <c r="F7073" s="43">
        <f>IF($E7073=0,0,YEAR($E7073))</f>
      </c>
      <c r="G7073" s="43">
        <f>IF(INDEX(DarlBindung,15)="",1,IF($E7073&lt;=INDEX(DarlBindung,15),1,0))</f>
      </c>
      <c r="H7073" s="43">
        <f>IF($G7073=1,INDEX(DarlSollzins,15),INDEX(DarlAnschluss,15))</f>
      </c>
      <c r="I7073" s="43">
        <f>IF(INDEX(DarlBelegt,15)=0,0,IF(INDEX(DarlOhneTilgung,15)=1,IF(INDEX(DarlBindung,15)="",1,$G7073),IF($J7073&gt;0.005,1,0)))</f>
      </c>
      <c r="J7073" s="43">
        <f>IF($I7072=0,0,$R7072)</f>
      </c>
      <c r="K7073" s="43">
        <f>IF($I7073=0,0,IF(INDEX(DarlOhneTilgung,15)=1,0,IF(AND(INDEX(DarlTilgStart,15)&gt;0,$E7073=INDEX(DarlTilgStart,15)),$J7073*($H7073+INDEX(DarlTilgung,15))/100/12,IF(AND($G7073=0,$G7072=1),MAX($K7072,$J7073*($H7073+1)/100/12),$K7072))))</f>
      </c>
      <c r="L7073" s="43">
        <f>IF($I7073=0,0,$J7073*$H7073/100/12)</f>
      </c>
      <c r="M7073" s="43">
        <f>IF($I7073=0,0,IF(OR(INDEX(DarlOhneTilgung,15)=1,AND(INDEX(DarlTilgStart,15)&gt;0,$E7073&lt;INDEX(DarlTilgStart,15))),0,MIN(MAX(0,$K7073-$L7073),$J7073)))</f>
      </c>
      <c r="N7073" s="43">
        <f>IF($I7073=0,0,MIN(SUMIFS(SondBetrag,SondDarl,15,SondDatum,"&gt;="&amp;$E7073,SondDatum,"&lt;="&amp;EOMONTH($E7073,0)),$J7073-$M7073))</f>
      </c>
      <c r="O7073" s="43">
        <f>IF($I7073=0,0,INDEX(DarlErsatzRate,15))</f>
      </c>
      <c r="P7073" s="43">
        <f>IF($I7073=0,0,$Q7072*INDEX(DarlErsatzZins,15))</f>
      </c>
      <c r="Q7073" s="43">
        <f>IF($I7073=0,0,$Q7072+$P7073+$O7073)</f>
      </c>
      <c r="R7073" s="43">
        <f>IF($I7073=0,0,$J7073-$M7073-$N7073)</f>
      </c>
    </row>
    <row r="7074">
      <c r="A7074"/>
      <c r="B7074">
        <v>15</v>
      </c>
      <c r="C7074" s="43">
        <f>INDEX(DarlObj,15)</f>
      </c>
      <c r="D7074">
        <v>351</v>
      </c>
      <c r="E7074" s="51">
        <f>IF(INDEX(DarlBelegt,15)=0,0,EOMONTH(INDEX(DarlAuszahlung,15),350)+1)</f>
      </c>
      <c r="F7074" s="43">
        <f>IF($E7074=0,0,YEAR($E7074))</f>
      </c>
      <c r="G7074" s="43">
        <f>IF(INDEX(DarlBindung,15)="",1,IF($E7074&lt;=INDEX(DarlBindung,15),1,0))</f>
      </c>
      <c r="H7074" s="43">
        <f>IF($G7074=1,INDEX(DarlSollzins,15),INDEX(DarlAnschluss,15))</f>
      </c>
      <c r="I7074" s="43">
        <f>IF(INDEX(DarlBelegt,15)=0,0,IF(INDEX(DarlOhneTilgung,15)=1,IF(INDEX(DarlBindung,15)="",1,$G7074),IF($J7074&gt;0.005,1,0)))</f>
      </c>
      <c r="J7074" s="43">
        <f>IF($I7073=0,0,$R7073)</f>
      </c>
      <c r="K7074" s="43">
        <f>IF($I7074=0,0,IF(INDEX(DarlOhneTilgung,15)=1,0,IF(AND(INDEX(DarlTilgStart,15)&gt;0,$E7074=INDEX(DarlTilgStart,15)),$J7074*($H7074+INDEX(DarlTilgung,15))/100/12,IF(AND($G7074=0,$G7073=1),MAX($K7073,$J7074*($H7074+1)/100/12),$K7073))))</f>
      </c>
      <c r="L7074" s="43">
        <f>IF($I7074=0,0,$J7074*$H7074/100/12)</f>
      </c>
      <c r="M7074" s="43">
        <f>IF($I7074=0,0,IF(OR(INDEX(DarlOhneTilgung,15)=1,AND(INDEX(DarlTilgStart,15)&gt;0,$E7074&lt;INDEX(DarlTilgStart,15))),0,MIN(MAX(0,$K7074-$L7074),$J7074)))</f>
      </c>
      <c r="N7074" s="43">
        <f>IF($I7074=0,0,MIN(SUMIFS(SondBetrag,SondDarl,15,SondDatum,"&gt;="&amp;$E7074,SondDatum,"&lt;="&amp;EOMONTH($E7074,0)),$J7074-$M7074))</f>
      </c>
      <c r="O7074" s="43">
        <f>IF($I7074=0,0,INDEX(DarlErsatzRate,15))</f>
      </c>
      <c r="P7074" s="43">
        <f>IF($I7074=0,0,$Q7073*INDEX(DarlErsatzZins,15))</f>
      </c>
      <c r="Q7074" s="43">
        <f>IF($I7074=0,0,$Q7073+$P7074+$O7074)</f>
      </c>
      <c r="R7074" s="43">
        <f>IF($I7074=0,0,$J7074-$M7074-$N7074)</f>
      </c>
    </row>
    <row r="7075">
      <c r="A7075"/>
      <c r="B7075">
        <v>15</v>
      </c>
      <c r="C7075" s="43">
        <f>INDEX(DarlObj,15)</f>
      </c>
      <c r="D7075">
        <v>352</v>
      </c>
      <c r="E7075" s="51">
        <f>IF(INDEX(DarlBelegt,15)=0,0,EOMONTH(INDEX(DarlAuszahlung,15),351)+1)</f>
      </c>
      <c r="F7075" s="43">
        <f>IF($E7075=0,0,YEAR($E7075))</f>
      </c>
      <c r="G7075" s="43">
        <f>IF(INDEX(DarlBindung,15)="",1,IF($E7075&lt;=INDEX(DarlBindung,15),1,0))</f>
      </c>
      <c r="H7075" s="43">
        <f>IF($G7075=1,INDEX(DarlSollzins,15),INDEX(DarlAnschluss,15))</f>
      </c>
      <c r="I7075" s="43">
        <f>IF(INDEX(DarlBelegt,15)=0,0,IF(INDEX(DarlOhneTilgung,15)=1,IF(INDEX(DarlBindung,15)="",1,$G7075),IF($J7075&gt;0.005,1,0)))</f>
      </c>
      <c r="J7075" s="43">
        <f>IF($I7074=0,0,$R7074)</f>
      </c>
      <c r="K7075" s="43">
        <f>IF($I7075=0,0,IF(INDEX(DarlOhneTilgung,15)=1,0,IF(AND(INDEX(DarlTilgStart,15)&gt;0,$E7075=INDEX(DarlTilgStart,15)),$J7075*($H7075+INDEX(DarlTilgung,15))/100/12,IF(AND($G7075=0,$G7074=1),MAX($K7074,$J7075*($H7075+1)/100/12),$K7074))))</f>
      </c>
      <c r="L7075" s="43">
        <f>IF($I7075=0,0,$J7075*$H7075/100/12)</f>
      </c>
      <c r="M7075" s="43">
        <f>IF($I7075=0,0,IF(OR(INDEX(DarlOhneTilgung,15)=1,AND(INDEX(DarlTilgStart,15)&gt;0,$E7075&lt;INDEX(DarlTilgStart,15))),0,MIN(MAX(0,$K7075-$L7075),$J7075)))</f>
      </c>
      <c r="N7075" s="43">
        <f>IF($I7075=0,0,MIN(SUMIFS(SondBetrag,SondDarl,15,SondDatum,"&gt;="&amp;$E7075,SondDatum,"&lt;="&amp;EOMONTH($E7075,0)),$J7075-$M7075))</f>
      </c>
      <c r="O7075" s="43">
        <f>IF($I7075=0,0,INDEX(DarlErsatzRate,15))</f>
      </c>
      <c r="P7075" s="43">
        <f>IF($I7075=0,0,$Q7074*INDEX(DarlErsatzZins,15))</f>
      </c>
      <c r="Q7075" s="43">
        <f>IF($I7075=0,0,$Q7074+$P7075+$O7075)</f>
      </c>
      <c r="R7075" s="43">
        <f>IF($I7075=0,0,$J7075-$M7075-$N7075)</f>
      </c>
    </row>
    <row r="7076">
      <c r="A7076"/>
      <c r="B7076">
        <v>15</v>
      </c>
      <c r="C7076" s="43">
        <f>INDEX(DarlObj,15)</f>
      </c>
      <c r="D7076">
        <v>353</v>
      </c>
      <c r="E7076" s="51">
        <f>IF(INDEX(DarlBelegt,15)=0,0,EOMONTH(INDEX(DarlAuszahlung,15),352)+1)</f>
      </c>
      <c r="F7076" s="43">
        <f>IF($E7076=0,0,YEAR($E7076))</f>
      </c>
      <c r="G7076" s="43">
        <f>IF(INDEX(DarlBindung,15)="",1,IF($E7076&lt;=INDEX(DarlBindung,15),1,0))</f>
      </c>
      <c r="H7076" s="43">
        <f>IF($G7076=1,INDEX(DarlSollzins,15),INDEX(DarlAnschluss,15))</f>
      </c>
      <c r="I7076" s="43">
        <f>IF(INDEX(DarlBelegt,15)=0,0,IF(INDEX(DarlOhneTilgung,15)=1,IF(INDEX(DarlBindung,15)="",1,$G7076),IF($J7076&gt;0.005,1,0)))</f>
      </c>
      <c r="J7076" s="43">
        <f>IF($I7075=0,0,$R7075)</f>
      </c>
      <c r="K7076" s="43">
        <f>IF($I7076=0,0,IF(INDEX(DarlOhneTilgung,15)=1,0,IF(AND(INDEX(DarlTilgStart,15)&gt;0,$E7076=INDEX(DarlTilgStart,15)),$J7076*($H7076+INDEX(DarlTilgung,15))/100/12,IF(AND($G7076=0,$G7075=1),MAX($K7075,$J7076*($H7076+1)/100/12),$K7075))))</f>
      </c>
      <c r="L7076" s="43">
        <f>IF($I7076=0,0,$J7076*$H7076/100/12)</f>
      </c>
      <c r="M7076" s="43">
        <f>IF($I7076=0,0,IF(OR(INDEX(DarlOhneTilgung,15)=1,AND(INDEX(DarlTilgStart,15)&gt;0,$E7076&lt;INDEX(DarlTilgStart,15))),0,MIN(MAX(0,$K7076-$L7076),$J7076)))</f>
      </c>
      <c r="N7076" s="43">
        <f>IF($I7076=0,0,MIN(SUMIFS(SondBetrag,SondDarl,15,SondDatum,"&gt;="&amp;$E7076,SondDatum,"&lt;="&amp;EOMONTH($E7076,0)),$J7076-$M7076))</f>
      </c>
      <c r="O7076" s="43">
        <f>IF($I7076=0,0,INDEX(DarlErsatzRate,15))</f>
      </c>
      <c r="P7076" s="43">
        <f>IF($I7076=0,0,$Q7075*INDEX(DarlErsatzZins,15))</f>
      </c>
      <c r="Q7076" s="43">
        <f>IF($I7076=0,0,$Q7075+$P7076+$O7076)</f>
      </c>
      <c r="R7076" s="43">
        <f>IF($I7076=0,0,$J7076-$M7076-$N7076)</f>
      </c>
    </row>
    <row r="7077">
      <c r="A7077"/>
      <c r="B7077">
        <v>15</v>
      </c>
      <c r="C7077" s="43">
        <f>INDEX(DarlObj,15)</f>
      </c>
      <c r="D7077">
        <v>354</v>
      </c>
      <c r="E7077" s="51">
        <f>IF(INDEX(DarlBelegt,15)=0,0,EOMONTH(INDEX(DarlAuszahlung,15),353)+1)</f>
      </c>
      <c r="F7077" s="43">
        <f>IF($E7077=0,0,YEAR($E7077))</f>
      </c>
      <c r="G7077" s="43">
        <f>IF(INDEX(DarlBindung,15)="",1,IF($E7077&lt;=INDEX(DarlBindung,15),1,0))</f>
      </c>
      <c r="H7077" s="43">
        <f>IF($G7077=1,INDEX(DarlSollzins,15),INDEX(DarlAnschluss,15))</f>
      </c>
      <c r="I7077" s="43">
        <f>IF(INDEX(DarlBelegt,15)=0,0,IF(INDEX(DarlOhneTilgung,15)=1,IF(INDEX(DarlBindung,15)="",1,$G7077),IF($J7077&gt;0.005,1,0)))</f>
      </c>
      <c r="J7077" s="43">
        <f>IF($I7076=0,0,$R7076)</f>
      </c>
      <c r="K7077" s="43">
        <f>IF($I7077=0,0,IF(INDEX(DarlOhneTilgung,15)=1,0,IF(AND(INDEX(DarlTilgStart,15)&gt;0,$E7077=INDEX(DarlTilgStart,15)),$J7077*($H7077+INDEX(DarlTilgung,15))/100/12,IF(AND($G7077=0,$G7076=1),MAX($K7076,$J7077*($H7077+1)/100/12),$K7076))))</f>
      </c>
      <c r="L7077" s="43">
        <f>IF($I7077=0,0,$J7077*$H7077/100/12)</f>
      </c>
      <c r="M7077" s="43">
        <f>IF($I7077=0,0,IF(OR(INDEX(DarlOhneTilgung,15)=1,AND(INDEX(DarlTilgStart,15)&gt;0,$E7077&lt;INDEX(DarlTilgStart,15))),0,MIN(MAX(0,$K7077-$L7077),$J7077)))</f>
      </c>
      <c r="N7077" s="43">
        <f>IF($I7077=0,0,MIN(SUMIFS(SondBetrag,SondDarl,15,SondDatum,"&gt;="&amp;$E7077,SondDatum,"&lt;="&amp;EOMONTH($E7077,0)),$J7077-$M7077))</f>
      </c>
      <c r="O7077" s="43">
        <f>IF($I7077=0,0,INDEX(DarlErsatzRate,15))</f>
      </c>
      <c r="P7077" s="43">
        <f>IF($I7077=0,0,$Q7076*INDEX(DarlErsatzZins,15))</f>
      </c>
      <c r="Q7077" s="43">
        <f>IF($I7077=0,0,$Q7076+$P7077+$O7077)</f>
      </c>
      <c r="R7077" s="43">
        <f>IF($I7077=0,0,$J7077-$M7077-$N7077)</f>
      </c>
    </row>
    <row r="7078">
      <c r="A7078"/>
      <c r="B7078">
        <v>15</v>
      </c>
      <c r="C7078" s="43">
        <f>INDEX(DarlObj,15)</f>
      </c>
      <c r="D7078">
        <v>355</v>
      </c>
      <c r="E7078" s="51">
        <f>IF(INDEX(DarlBelegt,15)=0,0,EOMONTH(INDEX(DarlAuszahlung,15),354)+1)</f>
      </c>
      <c r="F7078" s="43">
        <f>IF($E7078=0,0,YEAR($E7078))</f>
      </c>
      <c r="G7078" s="43">
        <f>IF(INDEX(DarlBindung,15)="",1,IF($E7078&lt;=INDEX(DarlBindung,15),1,0))</f>
      </c>
      <c r="H7078" s="43">
        <f>IF($G7078=1,INDEX(DarlSollzins,15),INDEX(DarlAnschluss,15))</f>
      </c>
      <c r="I7078" s="43">
        <f>IF(INDEX(DarlBelegt,15)=0,0,IF(INDEX(DarlOhneTilgung,15)=1,IF(INDEX(DarlBindung,15)="",1,$G7078),IF($J7078&gt;0.005,1,0)))</f>
      </c>
      <c r="J7078" s="43">
        <f>IF($I7077=0,0,$R7077)</f>
      </c>
      <c r="K7078" s="43">
        <f>IF($I7078=0,0,IF(INDEX(DarlOhneTilgung,15)=1,0,IF(AND(INDEX(DarlTilgStart,15)&gt;0,$E7078=INDEX(DarlTilgStart,15)),$J7078*($H7078+INDEX(DarlTilgung,15))/100/12,IF(AND($G7078=0,$G7077=1),MAX($K7077,$J7078*($H7078+1)/100/12),$K7077))))</f>
      </c>
      <c r="L7078" s="43">
        <f>IF($I7078=0,0,$J7078*$H7078/100/12)</f>
      </c>
      <c r="M7078" s="43">
        <f>IF($I7078=0,0,IF(OR(INDEX(DarlOhneTilgung,15)=1,AND(INDEX(DarlTilgStart,15)&gt;0,$E7078&lt;INDEX(DarlTilgStart,15))),0,MIN(MAX(0,$K7078-$L7078),$J7078)))</f>
      </c>
      <c r="N7078" s="43">
        <f>IF($I7078=0,0,MIN(SUMIFS(SondBetrag,SondDarl,15,SondDatum,"&gt;="&amp;$E7078,SondDatum,"&lt;="&amp;EOMONTH($E7078,0)),$J7078-$M7078))</f>
      </c>
      <c r="O7078" s="43">
        <f>IF($I7078=0,0,INDEX(DarlErsatzRate,15))</f>
      </c>
      <c r="P7078" s="43">
        <f>IF($I7078=0,0,$Q7077*INDEX(DarlErsatzZins,15))</f>
      </c>
      <c r="Q7078" s="43">
        <f>IF($I7078=0,0,$Q7077+$P7078+$O7078)</f>
      </c>
      <c r="R7078" s="43">
        <f>IF($I7078=0,0,$J7078-$M7078-$N7078)</f>
      </c>
    </row>
    <row r="7079">
      <c r="A7079"/>
      <c r="B7079">
        <v>15</v>
      </c>
      <c r="C7079" s="43">
        <f>INDEX(DarlObj,15)</f>
      </c>
      <c r="D7079">
        <v>356</v>
      </c>
      <c r="E7079" s="51">
        <f>IF(INDEX(DarlBelegt,15)=0,0,EOMONTH(INDEX(DarlAuszahlung,15),355)+1)</f>
      </c>
      <c r="F7079" s="43">
        <f>IF($E7079=0,0,YEAR($E7079))</f>
      </c>
      <c r="G7079" s="43">
        <f>IF(INDEX(DarlBindung,15)="",1,IF($E7079&lt;=INDEX(DarlBindung,15),1,0))</f>
      </c>
      <c r="H7079" s="43">
        <f>IF($G7079=1,INDEX(DarlSollzins,15),INDEX(DarlAnschluss,15))</f>
      </c>
      <c r="I7079" s="43">
        <f>IF(INDEX(DarlBelegt,15)=0,0,IF(INDEX(DarlOhneTilgung,15)=1,IF(INDEX(DarlBindung,15)="",1,$G7079),IF($J7079&gt;0.005,1,0)))</f>
      </c>
      <c r="J7079" s="43">
        <f>IF($I7078=0,0,$R7078)</f>
      </c>
      <c r="K7079" s="43">
        <f>IF($I7079=0,0,IF(INDEX(DarlOhneTilgung,15)=1,0,IF(AND(INDEX(DarlTilgStart,15)&gt;0,$E7079=INDEX(DarlTilgStart,15)),$J7079*($H7079+INDEX(DarlTilgung,15))/100/12,IF(AND($G7079=0,$G7078=1),MAX($K7078,$J7079*($H7079+1)/100/12),$K7078))))</f>
      </c>
      <c r="L7079" s="43">
        <f>IF($I7079=0,0,$J7079*$H7079/100/12)</f>
      </c>
      <c r="M7079" s="43">
        <f>IF($I7079=0,0,IF(OR(INDEX(DarlOhneTilgung,15)=1,AND(INDEX(DarlTilgStart,15)&gt;0,$E7079&lt;INDEX(DarlTilgStart,15))),0,MIN(MAX(0,$K7079-$L7079),$J7079)))</f>
      </c>
      <c r="N7079" s="43">
        <f>IF($I7079=0,0,MIN(SUMIFS(SondBetrag,SondDarl,15,SondDatum,"&gt;="&amp;$E7079,SondDatum,"&lt;="&amp;EOMONTH($E7079,0)),$J7079-$M7079))</f>
      </c>
      <c r="O7079" s="43">
        <f>IF($I7079=0,0,INDEX(DarlErsatzRate,15))</f>
      </c>
      <c r="P7079" s="43">
        <f>IF($I7079=0,0,$Q7078*INDEX(DarlErsatzZins,15))</f>
      </c>
      <c r="Q7079" s="43">
        <f>IF($I7079=0,0,$Q7078+$P7079+$O7079)</f>
      </c>
      <c r="R7079" s="43">
        <f>IF($I7079=0,0,$J7079-$M7079-$N7079)</f>
      </c>
    </row>
    <row r="7080">
      <c r="A7080"/>
      <c r="B7080">
        <v>15</v>
      </c>
      <c r="C7080" s="43">
        <f>INDEX(DarlObj,15)</f>
      </c>
      <c r="D7080">
        <v>357</v>
      </c>
      <c r="E7080" s="51">
        <f>IF(INDEX(DarlBelegt,15)=0,0,EOMONTH(INDEX(DarlAuszahlung,15),356)+1)</f>
      </c>
      <c r="F7080" s="43">
        <f>IF($E7080=0,0,YEAR($E7080))</f>
      </c>
      <c r="G7080" s="43">
        <f>IF(INDEX(DarlBindung,15)="",1,IF($E7080&lt;=INDEX(DarlBindung,15),1,0))</f>
      </c>
      <c r="H7080" s="43">
        <f>IF($G7080=1,INDEX(DarlSollzins,15),INDEX(DarlAnschluss,15))</f>
      </c>
      <c r="I7080" s="43">
        <f>IF(INDEX(DarlBelegt,15)=0,0,IF(INDEX(DarlOhneTilgung,15)=1,IF(INDEX(DarlBindung,15)="",1,$G7080),IF($J7080&gt;0.005,1,0)))</f>
      </c>
      <c r="J7080" s="43">
        <f>IF($I7079=0,0,$R7079)</f>
      </c>
      <c r="K7080" s="43">
        <f>IF($I7080=0,0,IF(INDEX(DarlOhneTilgung,15)=1,0,IF(AND(INDEX(DarlTilgStart,15)&gt;0,$E7080=INDEX(DarlTilgStart,15)),$J7080*($H7080+INDEX(DarlTilgung,15))/100/12,IF(AND($G7080=0,$G7079=1),MAX($K7079,$J7080*($H7080+1)/100/12),$K7079))))</f>
      </c>
      <c r="L7080" s="43">
        <f>IF($I7080=0,0,$J7080*$H7080/100/12)</f>
      </c>
      <c r="M7080" s="43">
        <f>IF($I7080=0,0,IF(OR(INDEX(DarlOhneTilgung,15)=1,AND(INDEX(DarlTilgStart,15)&gt;0,$E7080&lt;INDEX(DarlTilgStart,15))),0,MIN(MAX(0,$K7080-$L7080),$J7080)))</f>
      </c>
      <c r="N7080" s="43">
        <f>IF($I7080=0,0,MIN(SUMIFS(SondBetrag,SondDarl,15,SondDatum,"&gt;="&amp;$E7080,SondDatum,"&lt;="&amp;EOMONTH($E7080,0)),$J7080-$M7080))</f>
      </c>
      <c r="O7080" s="43">
        <f>IF($I7080=0,0,INDEX(DarlErsatzRate,15))</f>
      </c>
      <c r="P7080" s="43">
        <f>IF($I7080=0,0,$Q7079*INDEX(DarlErsatzZins,15))</f>
      </c>
      <c r="Q7080" s="43">
        <f>IF($I7080=0,0,$Q7079+$P7080+$O7080)</f>
      </c>
      <c r="R7080" s="43">
        <f>IF($I7080=0,0,$J7080-$M7080-$N7080)</f>
      </c>
    </row>
    <row r="7081">
      <c r="A7081"/>
      <c r="B7081">
        <v>15</v>
      </c>
      <c r="C7081" s="43">
        <f>INDEX(DarlObj,15)</f>
      </c>
      <c r="D7081">
        <v>358</v>
      </c>
      <c r="E7081" s="51">
        <f>IF(INDEX(DarlBelegt,15)=0,0,EOMONTH(INDEX(DarlAuszahlung,15),357)+1)</f>
      </c>
      <c r="F7081" s="43">
        <f>IF($E7081=0,0,YEAR($E7081))</f>
      </c>
      <c r="G7081" s="43">
        <f>IF(INDEX(DarlBindung,15)="",1,IF($E7081&lt;=INDEX(DarlBindung,15),1,0))</f>
      </c>
      <c r="H7081" s="43">
        <f>IF($G7081=1,INDEX(DarlSollzins,15),INDEX(DarlAnschluss,15))</f>
      </c>
      <c r="I7081" s="43">
        <f>IF(INDEX(DarlBelegt,15)=0,0,IF(INDEX(DarlOhneTilgung,15)=1,IF(INDEX(DarlBindung,15)="",1,$G7081),IF($J7081&gt;0.005,1,0)))</f>
      </c>
      <c r="J7081" s="43">
        <f>IF($I7080=0,0,$R7080)</f>
      </c>
      <c r="K7081" s="43">
        <f>IF($I7081=0,0,IF(INDEX(DarlOhneTilgung,15)=1,0,IF(AND(INDEX(DarlTilgStart,15)&gt;0,$E7081=INDEX(DarlTilgStart,15)),$J7081*($H7081+INDEX(DarlTilgung,15))/100/12,IF(AND($G7081=0,$G7080=1),MAX($K7080,$J7081*($H7081+1)/100/12),$K7080))))</f>
      </c>
      <c r="L7081" s="43">
        <f>IF($I7081=0,0,$J7081*$H7081/100/12)</f>
      </c>
      <c r="M7081" s="43">
        <f>IF($I7081=0,0,IF(OR(INDEX(DarlOhneTilgung,15)=1,AND(INDEX(DarlTilgStart,15)&gt;0,$E7081&lt;INDEX(DarlTilgStart,15))),0,MIN(MAX(0,$K7081-$L7081),$J7081)))</f>
      </c>
      <c r="N7081" s="43">
        <f>IF($I7081=0,0,MIN(SUMIFS(SondBetrag,SondDarl,15,SondDatum,"&gt;="&amp;$E7081,SondDatum,"&lt;="&amp;EOMONTH($E7081,0)),$J7081-$M7081))</f>
      </c>
      <c r="O7081" s="43">
        <f>IF($I7081=0,0,INDEX(DarlErsatzRate,15))</f>
      </c>
      <c r="P7081" s="43">
        <f>IF($I7081=0,0,$Q7080*INDEX(DarlErsatzZins,15))</f>
      </c>
      <c r="Q7081" s="43">
        <f>IF($I7081=0,0,$Q7080+$P7081+$O7081)</f>
      </c>
      <c r="R7081" s="43">
        <f>IF($I7081=0,0,$J7081-$M7081-$N7081)</f>
      </c>
    </row>
    <row r="7082">
      <c r="A7082"/>
      <c r="B7082">
        <v>15</v>
      </c>
      <c r="C7082" s="43">
        <f>INDEX(DarlObj,15)</f>
      </c>
      <c r="D7082">
        <v>359</v>
      </c>
      <c r="E7082" s="51">
        <f>IF(INDEX(DarlBelegt,15)=0,0,EOMONTH(INDEX(DarlAuszahlung,15),358)+1)</f>
      </c>
      <c r="F7082" s="43">
        <f>IF($E7082=0,0,YEAR($E7082))</f>
      </c>
      <c r="G7082" s="43">
        <f>IF(INDEX(DarlBindung,15)="",1,IF($E7082&lt;=INDEX(DarlBindung,15),1,0))</f>
      </c>
      <c r="H7082" s="43">
        <f>IF($G7082=1,INDEX(DarlSollzins,15),INDEX(DarlAnschluss,15))</f>
      </c>
      <c r="I7082" s="43">
        <f>IF(INDEX(DarlBelegt,15)=0,0,IF(INDEX(DarlOhneTilgung,15)=1,IF(INDEX(DarlBindung,15)="",1,$G7082),IF($J7082&gt;0.005,1,0)))</f>
      </c>
      <c r="J7082" s="43">
        <f>IF($I7081=0,0,$R7081)</f>
      </c>
      <c r="K7082" s="43">
        <f>IF($I7082=0,0,IF(INDEX(DarlOhneTilgung,15)=1,0,IF(AND(INDEX(DarlTilgStart,15)&gt;0,$E7082=INDEX(DarlTilgStart,15)),$J7082*($H7082+INDEX(DarlTilgung,15))/100/12,IF(AND($G7082=0,$G7081=1),MAX($K7081,$J7082*($H7082+1)/100/12),$K7081))))</f>
      </c>
      <c r="L7082" s="43">
        <f>IF($I7082=0,0,$J7082*$H7082/100/12)</f>
      </c>
      <c r="M7082" s="43">
        <f>IF($I7082=0,0,IF(OR(INDEX(DarlOhneTilgung,15)=1,AND(INDEX(DarlTilgStart,15)&gt;0,$E7082&lt;INDEX(DarlTilgStart,15))),0,MIN(MAX(0,$K7082-$L7082),$J7082)))</f>
      </c>
      <c r="N7082" s="43">
        <f>IF($I7082=0,0,MIN(SUMIFS(SondBetrag,SondDarl,15,SondDatum,"&gt;="&amp;$E7082,SondDatum,"&lt;="&amp;EOMONTH($E7082,0)),$J7082-$M7082))</f>
      </c>
      <c r="O7082" s="43">
        <f>IF($I7082=0,0,INDEX(DarlErsatzRate,15))</f>
      </c>
      <c r="P7082" s="43">
        <f>IF($I7082=0,0,$Q7081*INDEX(DarlErsatzZins,15))</f>
      </c>
      <c r="Q7082" s="43">
        <f>IF($I7082=0,0,$Q7081+$P7082+$O7082)</f>
      </c>
      <c r="R7082" s="43">
        <f>IF($I7082=0,0,$J7082-$M7082-$N7082)</f>
      </c>
    </row>
    <row r="7083">
      <c r="A7083"/>
      <c r="B7083">
        <v>15</v>
      </c>
      <c r="C7083" s="43">
        <f>INDEX(DarlObj,15)</f>
      </c>
      <c r="D7083">
        <v>360</v>
      </c>
      <c r="E7083" s="51">
        <f>IF(INDEX(DarlBelegt,15)=0,0,EOMONTH(INDEX(DarlAuszahlung,15),359)+1)</f>
      </c>
      <c r="F7083" s="43">
        <f>IF($E7083=0,0,YEAR($E7083))</f>
      </c>
      <c r="G7083" s="43">
        <f>IF(INDEX(DarlBindung,15)="",1,IF($E7083&lt;=INDEX(DarlBindung,15),1,0))</f>
      </c>
      <c r="H7083" s="43">
        <f>IF($G7083=1,INDEX(DarlSollzins,15),INDEX(DarlAnschluss,15))</f>
      </c>
      <c r="I7083" s="43">
        <f>IF(INDEX(DarlBelegt,15)=0,0,IF(INDEX(DarlOhneTilgung,15)=1,IF(INDEX(DarlBindung,15)="",1,$G7083),IF($J7083&gt;0.005,1,0)))</f>
      </c>
      <c r="J7083" s="43">
        <f>IF($I7082=0,0,$R7082)</f>
      </c>
      <c r="K7083" s="43">
        <f>IF($I7083=0,0,IF(INDEX(DarlOhneTilgung,15)=1,0,IF(AND(INDEX(DarlTilgStart,15)&gt;0,$E7083=INDEX(DarlTilgStart,15)),$J7083*($H7083+INDEX(DarlTilgung,15))/100/12,IF(AND($G7083=0,$G7082=1),MAX($K7082,$J7083*($H7083+1)/100/12),$K7082))))</f>
      </c>
      <c r="L7083" s="43">
        <f>IF($I7083=0,0,$J7083*$H7083/100/12)</f>
      </c>
      <c r="M7083" s="43">
        <f>IF($I7083=0,0,IF(OR(INDEX(DarlOhneTilgung,15)=1,AND(INDEX(DarlTilgStart,15)&gt;0,$E7083&lt;INDEX(DarlTilgStart,15))),0,MIN(MAX(0,$K7083-$L7083),$J7083)))</f>
      </c>
      <c r="N7083" s="43">
        <f>IF($I7083=0,0,MIN(SUMIFS(SondBetrag,SondDarl,15,SondDatum,"&gt;="&amp;$E7083,SondDatum,"&lt;="&amp;EOMONTH($E7083,0)),$J7083-$M7083))</f>
      </c>
      <c r="O7083" s="43">
        <f>IF($I7083=0,0,INDEX(DarlErsatzRate,15))</f>
      </c>
      <c r="P7083" s="43">
        <f>IF($I7083=0,0,$Q7082*INDEX(DarlErsatzZins,15))</f>
      </c>
      <c r="Q7083" s="43">
        <f>IF($I7083=0,0,$Q7082+$P7083+$O7083)</f>
      </c>
      <c r="R7083" s="43">
        <f>IF($I7083=0,0,$J7083-$M7083-$N7083)</f>
      </c>
    </row>
    <row r="7084">
      <c r="A7084"/>
      <c r="B7084">
        <v>15</v>
      </c>
      <c r="C7084" s="43">
        <f>INDEX(DarlObj,15)</f>
      </c>
      <c r="D7084">
        <v>361</v>
      </c>
      <c r="E7084" s="51">
        <f>IF(INDEX(DarlBelegt,15)=0,0,EOMONTH(INDEX(DarlAuszahlung,15),360)+1)</f>
      </c>
      <c r="F7084" s="43">
        <f>IF($E7084=0,0,YEAR($E7084))</f>
      </c>
      <c r="G7084" s="43">
        <f>IF(INDEX(DarlBindung,15)="",1,IF($E7084&lt;=INDEX(DarlBindung,15),1,0))</f>
      </c>
      <c r="H7084" s="43">
        <f>IF($G7084=1,INDEX(DarlSollzins,15),INDEX(DarlAnschluss,15))</f>
      </c>
      <c r="I7084" s="43">
        <f>IF(INDEX(DarlBelegt,15)=0,0,IF(INDEX(DarlOhneTilgung,15)=1,IF(INDEX(DarlBindung,15)="",1,$G7084),IF($J7084&gt;0.005,1,0)))</f>
      </c>
      <c r="J7084" s="43">
        <f>IF($I7083=0,0,$R7083)</f>
      </c>
      <c r="K7084" s="43">
        <f>IF($I7084=0,0,IF(INDEX(DarlOhneTilgung,15)=1,0,IF(AND(INDEX(DarlTilgStart,15)&gt;0,$E7084=INDEX(DarlTilgStart,15)),$J7084*($H7084+INDEX(DarlTilgung,15))/100/12,IF(AND($G7084=0,$G7083=1),MAX($K7083,$J7084*($H7084+1)/100/12),$K7083))))</f>
      </c>
      <c r="L7084" s="43">
        <f>IF($I7084=0,0,$J7084*$H7084/100/12)</f>
      </c>
      <c r="M7084" s="43">
        <f>IF($I7084=0,0,IF(OR(INDEX(DarlOhneTilgung,15)=1,AND(INDEX(DarlTilgStart,15)&gt;0,$E7084&lt;INDEX(DarlTilgStart,15))),0,MIN(MAX(0,$K7084-$L7084),$J7084)))</f>
      </c>
      <c r="N7084" s="43">
        <f>IF($I7084=0,0,MIN(SUMIFS(SondBetrag,SondDarl,15,SondDatum,"&gt;="&amp;$E7084,SondDatum,"&lt;="&amp;EOMONTH($E7084,0)),$J7084-$M7084))</f>
      </c>
      <c r="O7084" s="43">
        <f>IF($I7084=0,0,INDEX(DarlErsatzRate,15))</f>
      </c>
      <c r="P7084" s="43">
        <f>IF($I7084=0,0,$Q7083*INDEX(DarlErsatzZins,15))</f>
      </c>
      <c r="Q7084" s="43">
        <f>IF($I7084=0,0,$Q7083+$P7084+$O7084)</f>
      </c>
      <c r="R7084" s="43">
        <f>IF($I7084=0,0,$J7084-$M7084-$N7084)</f>
      </c>
    </row>
    <row r="7085">
      <c r="A7085"/>
      <c r="B7085">
        <v>15</v>
      </c>
      <c r="C7085" s="43">
        <f>INDEX(DarlObj,15)</f>
      </c>
      <c r="D7085">
        <v>362</v>
      </c>
      <c r="E7085" s="51">
        <f>IF(INDEX(DarlBelegt,15)=0,0,EOMONTH(INDEX(DarlAuszahlung,15),361)+1)</f>
      </c>
      <c r="F7085" s="43">
        <f>IF($E7085=0,0,YEAR($E7085))</f>
      </c>
      <c r="G7085" s="43">
        <f>IF(INDEX(DarlBindung,15)="",1,IF($E7085&lt;=INDEX(DarlBindung,15),1,0))</f>
      </c>
      <c r="H7085" s="43">
        <f>IF($G7085=1,INDEX(DarlSollzins,15),INDEX(DarlAnschluss,15))</f>
      </c>
      <c r="I7085" s="43">
        <f>IF(INDEX(DarlBelegt,15)=0,0,IF(INDEX(DarlOhneTilgung,15)=1,IF(INDEX(DarlBindung,15)="",1,$G7085),IF($J7085&gt;0.005,1,0)))</f>
      </c>
      <c r="J7085" s="43">
        <f>IF($I7084=0,0,$R7084)</f>
      </c>
      <c r="K7085" s="43">
        <f>IF($I7085=0,0,IF(INDEX(DarlOhneTilgung,15)=1,0,IF(AND(INDEX(DarlTilgStart,15)&gt;0,$E7085=INDEX(DarlTilgStart,15)),$J7085*($H7085+INDEX(DarlTilgung,15))/100/12,IF(AND($G7085=0,$G7084=1),MAX($K7084,$J7085*($H7085+1)/100/12),$K7084))))</f>
      </c>
      <c r="L7085" s="43">
        <f>IF($I7085=0,0,$J7085*$H7085/100/12)</f>
      </c>
      <c r="M7085" s="43">
        <f>IF($I7085=0,0,IF(OR(INDEX(DarlOhneTilgung,15)=1,AND(INDEX(DarlTilgStart,15)&gt;0,$E7085&lt;INDEX(DarlTilgStart,15))),0,MIN(MAX(0,$K7085-$L7085),$J7085)))</f>
      </c>
      <c r="N7085" s="43">
        <f>IF($I7085=0,0,MIN(SUMIFS(SondBetrag,SondDarl,15,SondDatum,"&gt;="&amp;$E7085,SondDatum,"&lt;="&amp;EOMONTH($E7085,0)),$J7085-$M7085))</f>
      </c>
      <c r="O7085" s="43">
        <f>IF($I7085=0,0,INDEX(DarlErsatzRate,15))</f>
      </c>
      <c r="P7085" s="43">
        <f>IF($I7085=0,0,$Q7084*INDEX(DarlErsatzZins,15))</f>
      </c>
      <c r="Q7085" s="43">
        <f>IF($I7085=0,0,$Q7084+$P7085+$O7085)</f>
      </c>
      <c r="R7085" s="43">
        <f>IF($I7085=0,0,$J7085-$M7085-$N7085)</f>
      </c>
    </row>
    <row r="7086">
      <c r="A7086"/>
      <c r="B7086">
        <v>15</v>
      </c>
      <c r="C7086" s="43">
        <f>INDEX(DarlObj,15)</f>
      </c>
      <c r="D7086">
        <v>363</v>
      </c>
      <c r="E7086" s="51">
        <f>IF(INDEX(DarlBelegt,15)=0,0,EOMONTH(INDEX(DarlAuszahlung,15),362)+1)</f>
      </c>
      <c r="F7086" s="43">
        <f>IF($E7086=0,0,YEAR($E7086))</f>
      </c>
      <c r="G7086" s="43">
        <f>IF(INDEX(DarlBindung,15)="",1,IF($E7086&lt;=INDEX(DarlBindung,15),1,0))</f>
      </c>
      <c r="H7086" s="43">
        <f>IF($G7086=1,INDEX(DarlSollzins,15),INDEX(DarlAnschluss,15))</f>
      </c>
      <c r="I7086" s="43">
        <f>IF(INDEX(DarlBelegt,15)=0,0,IF(INDEX(DarlOhneTilgung,15)=1,IF(INDEX(DarlBindung,15)="",1,$G7086),IF($J7086&gt;0.005,1,0)))</f>
      </c>
      <c r="J7086" s="43">
        <f>IF($I7085=0,0,$R7085)</f>
      </c>
      <c r="K7086" s="43">
        <f>IF($I7086=0,0,IF(INDEX(DarlOhneTilgung,15)=1,0,IF(AND(INDEX(DarlTilgStart,15)&gt;0,$E7086=INDEX(DarlTilgStart,15)),$J7086*($H7086+INDEX(DarlTilgung,15))/100/12,IF(AND($G7086=0,$G7085=1),MAX($K7085,$J7086*($H7086+1)/100/12),$K7085))))</f>
      </c>
      <c r="L7086" s="43">
        <f>IF($I7086=0,0,$J7086*$H7086/100/12)</f>
      </c>
      <c r="M7086" s="43">
        <f>IF($I7086=0,0,IF(OR(INDEX(DarlOhneTilgung,15)=1,AND(INDEX(DarlTilgStart,15)&gt;0,$E7086&lt;INDEX(DarlTilgStart,15))),0,MIN(MAX(0,$K7086-$L7086),$J7086)))</f>
      </c>
      <c r="N7086" s="43">
        <f>IF($I7086=0,0,MIN(SUMIFS(SondBetrag,SondDarl,15,SondDatum,"&gt;="&amp;$E7086,SondDatum,"&lt;="&amp;EOMONTH($E7086,0)),$J7086-$M7086))</f>
      </c>
      <c r="O7086" s="43">
        <f>IF($I7086=0,0,INDEX(DarlErsatzRate,15))</f>
      </c>
      <c r="P7086" s="43">
        <f>IF($I7086=0,0,$Q7085*INDEX(DarlErsatzZins,15))</f>
      </c>
      <c r="Q7086" s="43">
        <f>IF($I7086=0,0,$Q7085+$P7086+$O7086)</f>
      </c>
      <c r="R7086" s="43">
        <f>IF($I7086=0,0,$J7086-$M7086-$N7086)</f>
      </c>
    </row>
    <row r="7087">
      <c r="A7087"/>
      <c r="B7087">
        <v>15</v>
      </c>
      <c r="C7087" s="43">
        <f>INDEX(DarlObj,15)</f>
      </c>
      <c r="D7087">
        <v>364</v>
      </c>
      <c r="E7087" s="51">
        <f>IF(INDEX(DarlBelegt,15)=0,0,EOMONTH(INDEX(DarlAuszahlung,15),363)+1)</f>
      </c>
      <c r="F7087" s="43">
        <f>IF($E7087=0,0,YEAR($E7087))</f>
      </c>
      <c r="G7087" s="43">
        <f>IF(INDEX(DarlBindung,15)="",1,IF($E7087&lt;=INDEX(DarlBindung,15),1,0))</f>
      </c>
      <c r="H7087" s="43">
        <f>IF($G7087=1,INDEX(DarlSollzins,15),INDEX(DarlAnschluss,15))</f>
      </c>
      <c r="I7087" s="43">
        <f>IF(INDEX(DarlBelegt,15)=0,0,IF(INDEX(DarlOhneTilgung,15)=1,IF(INDEX(DarlBindung,15)="",1,$G7087),IF($J7087&gt;0.005,1,0)))</f>
      </c>
      <c r="J7087" s="43">
        <f>IF($I7086=0,0,$R7086)</f>
      </c>
      <c r="K7087" s="43">
        <f>IF($I7087=0,0,IF(INDEX(DarlOhneTilgung,15)=1,0,IF(AND(INDEX(DarlTilgStart,15)&gt;0,$E7087=INDEX(DarlTilgStart,15)),$J7087*($H7087+INDEX(DarlTilgung,15))/100/12,IF(AND($G7087=0,$G7086=1),MAX($K7086,$J7087*($H7087+1)/100/12),$K7086))))</f>
      </c>
      <c r="L7087" s="43">
        <f>IF($I7087=0,0,$J7087*$H7087/100/12)</f>
      </c>
      <c r="M7087" s="43">
        <f>IF($I7087=0,0,IF(OR(INDEX(DarlOhneTilgung,15)=1,AND(INDEX(DarlTilgStart,15)&gt;0,$E7087&lt;INDEX(DarlTilgStart,15))),0,MIN(MAX(0,$K7087-$L7087),$J7087)))</f>
      </c>
      <c r="N7087" s="43">
        <f>IF($I7087=0,0,MIN(SUMIFS(SondBetrag,SondDarl,15,SondDatum,"&gt;="&amp;$E7087,SondDatum,"&lt;="&amp;EOMONTH($E7087,0)),$J7087-$M7087))</f>
      </c>
      <c r="O7087" s="43">
        <f>IF($I7087=0,0,INDEX(DarlErsatzRate,15))</f>
      </c>
      <c r="P7087" s="43">
        <f>IF($I7087=0,0,$Q7086*INDEX(DarlErsatzZins,15))</f>
      </c>
      <c r="Q7087" s="43">
        <f>IF($I7087=0,0,$Q7086+$P7087+$O7087)</f>
      </c>
      <c r="R7087" s="43">
        <f>IF($I7087=0,0,$J7087-$M7087-$N7087)</f>
      </c>
    </row>
    <row r="7088">
      <c r="A7088"/>
      <c r="B7088">
        <v>15</v>
      </c>
      <c r="C7088" s="43">
        <f>INDEX(DarlObj,15)</f>
      </c>
      <c r="D7088">
        <v>365</v>
      </c>
      <c r="E7088" s="51">
        <f>IF(INDEX(DarlBelegt,15)=0,0,EOMONTH(INDEX(DarlAuszahlung,15),364)+1)</f>
      </c>
      <c r="F7088" s="43">
        <f>IF($E7088=0,0,YEAR($E7088))</f>
      </c>
      <c r="G7088" s="43">
        <f>IF(INDEX(DarlBindung,15)="",1,IF($E7088&lt;=INDEX(DarlBindung,15),1,0))</f>
      </c>
      <c r="H7088" s="43">
        <f>IF($G7088=1,INDEX(DarlSollzins,15),INDEX(DarlAnschluss,15))</f>
      </c>
      <c r="I7088" s="43">
        <f>IF(INDEX(DarlBelegt,15)=0,0,IF(INDEX(DarlOhneTilgung,15)=1,IF(INDEX(DarlBindung,15)="",1,$G7088),IF($J7088&gt;0.005,1,0)))</f>
      </c>
      <c r="J7088" s="43">
        <f>IF($I7087=0,0,$R7087)</f>
      </c>
      <c r="K7088" s="43">
        <f>IF($I7088=0,0,IF(INDEX(DarlOhneTilgung,15)=1,0,IF(AND(INDEX(DarlTilgStart,15)&gt;0,$E7088=INDEX(DarlTilgStart,15)),$J7088*($H7088+INDEX(DarlTilgung,15))/100/12,IF(AND($G7088=0,$G7087=1),MAX($K7087,$J7088*($H7088+1)/100/12),$K7087))))</f>
      </c>
      <c r="L7088" s="43">
        <f>IF($I7088=0,0,$J7088*$H7088/100/12)</f>
      </c>
      <c r="M7088" s="43">
        <f>IF($I7088=0,0,IF(OR(INDEX(DarlOhneTilgung,15)=1,AND(INDEX(DarlTilgStart,15)&gt;0,$E7088&lt;INDEX(DarlTilgStart,15))),0,MIN(MAX(0,$K7088-$L7088),$J7088)))</f>
      </c>
      <c r="N7088" s="43">
        <f>IF($I7088=0,0,MIN(SUMIFS(SondBetrag,SondDarl,15,SondDatum,"&gt;="&amp;$E7088,SondDatum,"&lt;="&amp;EOMONTH($E7088,0)),$J7088-$M7088))</f>
      </c>
      <c r="O7088" s="43">
        <f>IF($I7088=0,0,INDEX(DarlErsatzRate,15))</f>
      </c>
      <c r="P7088" s="43">
        <f>IF($I7088=0,0,$Q7087*INDEX(DarlErsatzZins,15))</f>
      </c>
      <c r="Q7088" s="43">
        <f>IF($I7088=0,0,$Q7087+$P7088+$O7088)</f>
      </c>
      <c r="R7088" s="43">
        <f>IF($I7088=0,0,$J7088-$M7088-$N7088)</f>
      </c>
    </row>
    <row r="7089">
      <c r="A7089"/>
      <c r="B7089">
        <v>15</v>
      </c>
      <c r="C7089" s="43">
        <f>INDEX(DarlObj,15)</f>
      </c>
      <c r="D7089">
        <v>366</v>
      </c>
      <c r="E7089" s="51">
        <f>IF(INDEX(DarlBelegt,15)=0,0,EOMONTH(INDEX(DarlAuszahlung,15),365)+1)</f>
      </c>
      <c r="F7089" s="43">
        <f>IF($E7089=0,0,YEAR($E7089))</f>
      </c>
      <c r="G7089" s="43">
        <f>IF(INDEX(DarlBindung,15)="",1,IF($E7089&lt;=INDEX(DarlBindung,15),1,0))</f>
      </c>
      <c r="H7089" s="43">
        <f>IF($G7089=1,INDEX(DarlSollzins,15),INDEX(DarlAnschluss,15))</f>
      </c>
      <c r="I7089" s="43">
        <f>IF(INDEX(DarlBelegt,15)=0,0,IF(INDEX(DarlOhneTilgung,15)=1,IF(INDEX(DarlBindung,15)="",1,$G7089),IF($J7089&gt;0.005,1,0)))</f>
      </c>
      <c r="J7089" s="43">
        <f>IF($I7088=0,0,$R7088)</f>
      </c>
      <c r="K7089" s="43">
        <f>IF($I7089=0,0,IF(INDEX(DarlOhneTilgung,15)=1,0,IF(AND(INDEX(DarlTilgStart,15)&gt;0,$E7089=INDEX(DarlTilgStart,15)),$J7089*($H7089+INDEX(DarlTilgung,15))/100/12,IF(AND($G7089=0,$G7088=1),MAX($K7088,$J7089*($H7089+1)/100/12),$K7088))))</f>
      </c>
      <c r="L7089" s="43">
        <f>IF($I7089=0,0,$J7089*$H7089/100/12)</f>
      </c>
      <c r="M7089" s="43">
        <f>IF($I7089=0,0,IF(OR(INDEX(DarlOhneTilgung,15)=1,AND(INDEX(DarlTilgStart,15)&gt;0,$E7089&lt;INDEX(DarlTilgStart,15))),0,MIN(MAX(0,$K7089-$L7089),$J7089)))</f>
      </c>
      <c r="N7089" s="43">
        <f>IF($I7089=0,0,MIN(SUMIFS(SondBetrag,SondDarl,15,SondDatum,"&gt;="&amp;$E7089,SondDatum,"&lt;="&amp;EOMONTH($E7089,0)),$J7089-$M7089))</f>
      </c>
      <c r="O7089" s="43">
        <f>IF($I7089=0,0,INDEX(DarlErsatzRate,15))</f>
      </c>
      <c r="P7089" s="43">
        <f>IF($I7089=0,0,$Q7088*INDEX(DarlErsatzZins,15))</f>
      </c>
      <c r="Q7089" s="43">
        <f>IF($I7089=0,0,$Q7088+$P7089+$O7089)</f>
      </c>
      <c r="R7089" s="43">
        <f>IF($I7089=0,0,$J7089-$M7089-$N7089)</f>
      </c>
    </row>
    <row r="7090">
      <c r="A7090"/>
      <c r="B7090">
        <v>15</v>
      </c>
      <c r="C7090" s="43">
        <f>INDEX(DarlObj,15)</f>
      </c>
      <c r="D7090">
        <v>367</v>
      </c>
      <c r="E7090" s="51">
        <f>IF(INDEX(DarlBelegt,15)=0,0,EOMONTH(INDEX(DarlAuszahlung,15),366)+1)</f>
      </c>
      <c r="F7090" s="43">
        <f>IF($E7090=0,0,YEAR($E7090))</f>
      </c>
      <c r="G7090" s="43">
        <f>IF(INDEX(DarlBindung,15)="",1,IF($E7090&lt;=INDEX(DarlBindung,15),1,0))</f>
      </c>
      <c r="H7090" s="43">
        <f>IF($G7090=1,INDEX(DarlSollzins,15),INDEX(DarlAnschluss,15))</f>
      </c>
      <c r="I7090" s="43">
        <f>IF(INDEX(DarlBelegt,15)=0,0,IF(INDEX(DarlOhneTilgung,15)=1,IF(INDEX(DarlBindung,15)="",1,$G7090),IF($J7090&gt;0.005,1,0)))</f>
      </c>
      <c r="J7090" s="43">
        <f>IF($I7089=0,0,$R7089)</f>
      </c>
      <c r="K7090" s="43">
        <f>IF($I7090=0,0,IF(INDEX(DarlOhneTilgung,15)=1,0,IF(AND(INDEX(DarlTilgStart,15)&gt;0,$E7090=INDEX(DarlTilgStart,15)),$J7090*($H7090+INDEX(DarlTilgung,15))/100/12,IF(AND($G7090=0,$G7089=1),MAX($K7089,$J7090*($H7090+1)/100/12),$K7089))))</f>
      </c>
      <c r="L7090" s="43">
        <f>IF($I7090=0,0,$J7090*$H7090/100/12)</f>
      </c>
      <c r="M7090" s="43">
        <f>IF($I7090=0,0,IF(OR(INDEX(DarlOhneTilgung,15)=1,AND(INDEX(DarlTilgStart,15)&gt;0,$E7090&lt;INDEX(DarlTilgStart,15))),0,MIN(MAX(0,$K7090-$L7090),$J7090)))</f>
      </c>
      <c r="N7090" s="43">
        <f>IF($I7090=0,0,MIN(SUMIFS(SondBetrag,SondDarl,15,SondDatum,"&gt;="&amp;$E7090,SondDatum,"&lt;="&amp;EOMONTH($E7090,0)),$J7090-$M7090))</f>
      </c>
      <c r="O7090" s="43">
        <f>IF($I7090=0,0,INDEX(DarlErsatzRate,15))</f>
      </c>
      <c r="P7090" s="43">
        <f>IF($I7090=0,0,$Q7089*INDEX(DarlErsatzZins,15))</f>
      </c>
      <c r="Q7090" s="43">
        <f>IF($I7090=0,0,$Q7089+$P7090+$O7090)</f>
      </c>
      <c r="R7090" s="43">
        <f>IF($I7090=0,0,$J7090-$M7090-$N7090)</f>
      </c>
    </row>
    <row r="7091">
      <c r="A7091"/>
      <c r="B7091">
        <v>15</v>
      </c>
      <c r="C7091" s="43">
        <f>INDEX(DarlObj,15)</f>
      </c>
      <c r="D7091">
        <v>368</v>
      </c>
      <c r="E7091" s="51">
        <f>IF(INDEX(DarlBelegt,15)=0,0,EOMONTH(INDEX(DarlAuszahlung,15),367)+1)</f>
      </c>
      <c r="F7091" s="43">
        <f>IF($E7091=0,0,YEAR($E7091))</f>
      </c>
      <c r="G7091" s="43">
        <f>IF(INDEX(DarlBindung,15)="",1,IF($E7091&lt;=INDEX(DarlBindung,15),1,0))</f>
      </c>
      <c r="H7091" s="43">
        <f>IF($G7091=1,INDEX(DarlSollzins,15),INDEX(DarlAnschluss,15))</f>
      </c>
      <c r="I7091" s="43">
        <f>IF(INDEX(DarlBelegt,15)=0,0,IF(INDEX(DarlOhneTilgung,15)=1,IF(INDEX(DarlBindung,15)="",1,$G7091),IF($J7091&gt;0.005,1,0)))</f>
      </c>
      <c r="J7091" s="43">
        <f>IF($I7090=0,0,$R7090)</f>
      </c>
      <c r="K7091" s="43">
        <f>IF($I7091=0,0,IF(INDEX(DarlOhneTilgung,15)=1,0,IF(AND(INDEX(DarlTilgStart,15)&gt;0,$E7091=INDEX(DarlTilgStart,15)),$J7091*($H7091+INDEX(DarlTilgung,15))/100/12,IF(AND($G7091=0,$G7090=1),MAX($K7090,$J7091*($H7091+1)/100/12),$K7090))))</f>
      </c>
      <c r="L7091" s="43">
        <f>IF($I7091=0,0,$J7091*$H7091/100/12)</f>
      </c>
      <c r="M7091" s="43">
        <f>IF($I7091=0,0,IF(OR(INDEX(DarlOhneTilgung,15)=1,AND(INDEX(DarlTilgStart,15)&gt;0,$E7091&lt;INDEX(DarlTilgStart,15))),0,MIN(MAX(0,$K7091-$L7091),$J7091)))</f>
      </c>
      <c r="N7091" s="43">
        <f>IF($I7091=0,0,MIN(SUMIFS(SondBetrag,SondDarl,15,SondDatum,"&gt;="&amp;$E7091,SondDatum,"&lt;="&amp;EOMONTH($E7091,0)),$J7091-$M7091))</f>
      </c>
      <c r="O7091" s="43">
        <f>IF($I7091=0,0,INDEX(DarlErsatzRate,15))</f>
      </c>
      <c r="P7091" s="43">
        <f>IF($I7091=0,0,$Q7090*INDEX(DarlErsatzZins,15))</f>
      </c>
      <c r="Q7091" s="43">
        <f>IF($I7091=0,0,$Q7090+$P7091+$O7091)</f>
      </c>
      <c r="R7091" s="43">
        <f>IF($I7091=0,0,$J7091-$M7091-$N7091)</f>
      </c>
    </row>
    <row r="7092">
      <c r="A7092"/>
      <c r="B7092">
        <v>15</v>
      </c>
      <c r="C7092" s="43">
        <f>INDEX(DarlObj,15)</f>
      </c>
      <c r="D7092">
        <v>369</v>
      </c>
      <c r="E7092" s="51">
        <f>IF(INDEX(DarlBelegt,15)=0,0,EOMONTH(INDEX(DarlAuszahlung,15),368)+1)</f>
      </c>
      <c r="F7092" s="43">
        <f>IF($E7092=0,0,YEAR($E7092))</f>
      </c>
      <c r="G7092" s="43">
        <f>IF(INDEX(DarlBindung,15)="",1,IF($E7092&lt;=INDEX(DarlBindung,15),1,0))</f>
      </c>
      <c r="H7092" s="43">
        <f>IF($G7092=1,INDEX(DarlSollzins,15),INDEX(DarlAnschluss,15))</f>
      </c>
      <c r="I7092" s="43">
        <f>IF(INDEX(DarlBelegt,15)=0,0,IF(INDEX(DarlOhneTilgung,15)=1,IF(INDEX(DarlBindung,15)="",1,$G7092),IF($J7092&gt;0.005,1,0)))</f>
      </c>
      <c r="J7092" s="43">
        <f>IF($I7091=0,0,$R7091)</f>
      </c>
      <c r="K7092" s="43">
        <f>IF($I7092=0,0,IF(INDEX(DarlOhneTilgung,15)=1,0,IF(AND(INDEX(DarlTilgStart,15)&gt;0,$E7092=INDEX(DarlTilgStart,15)),$J7092*($H7092+INDEX(DarlTilgung,15))/100/12,IF(AND($G7092=0,$G7091=1),MAX($K7091,$J7092*($H7092+1)/100/12),$K7091))))</f>
      </c>
      <c r="L7092" s="43">
        <f>IF($I7092=0,0,$J7092*$H7092/100/12)</f>
      </c>
      <c r="M7092" s="43">
        <f>IF($I7092=0,0,IF(OR(INDEX(DarlOhneTilgung,15)=1,AND(INDEX(DarlTilgStart,15)&gt;0,$E7092&lt;INDEX(DarlTilgStart,15))),0,MIN(MAX(0,$K7092-$L7092),$J7092)))</f>
      </c>
      <c r="N7092" s="43">
        <f>IF($I7092=0,0,MIN(SUMIFS(SondBetrag,SondDarl,15,SondDatum,"&gt;="&amp;$E7092,SondDatum,"&lt;="&amp;EOMONTH($E7092,0)),$J7092-$M7092))</f>
      </c>
      <c r="O7092" s="43">
        <f>IF($I7092=0,0,INDEX(DarlErsatzRate,15))</f>
      </c>
      <c r="P7092" s="43">
        <f>IF($I7092=0,0,$Q7091*INDEX(DarlErsatzZins,15))</f>
      </c>
      <c r="Q7092" s="43">
        <f>IF($I7092=0,0,$Q7091+$P7092+$O7092)</f>
      </c>
      <c r="R7092" s="43">
        <f>IF($I7092=0,0,$J7092-$M7092-$N7092)</f>
      </c>
    </row>
    <row r="7093">
      <c r="A7093"/>
      <c r="B7093">
        <v>15</v>
      </c>
      <c r="C7093" s="43">
        <f>INDEX(DarlObj,15)</f>
      </c>
      <c r="D7093">
        <v>370</v>
      </c>
      <c r="E7093" s="51">
        <f>IF(INDEX(DarlBelegt,15)=0,0,EOMONTH(INDEX(DarlAuszahlung,15),369)+1)</f>
      </c>
      <c r="F7093" s="43">
        <f>IF($E7093=0,0,YEAR($E7093))</f>
      </c>
      <c r="G7093" s="43">
        <f>IF(INDEX(DarlBindung,15)="",1,IF($E7093&lt;=INDEX(DarlBindung,15),1,0))</f>
      </c>
      <c r="H7093" s="43">
        <f>IF($G7093=1,INDEX(DarlSollzins,15),INDEX(DarlAnschluss,15))</f>
      </c>
      <c r="I7093" s="43">
        <f>IF(INDEX(DarlBelegt,15)=0,0,IF(INDEX(DarlOhneTilgung,15)=1,IF(INDEX(DarlBindung,15)="",1,$G7093),IF($J7093&gt;0.005,1,0)))</f>
      </c>
      <c r="J7093" s="43">
        <f>IF($I7092=0,0,$R7092)</f>
      </c>
      <c r="K7093" s="43">
        <f>IF($I7093=0,0,IF(INDEX(DarlOhneTilgung,15)=1,0,IF(AND(INDEX(DarlTilgStart,15)&gt;0,$E7093=INDEX(DarlTilgStart,15)),$J7093*($H7093+INDEX(DarlTilgung,15))/100/12,IF(AND($G7093=0,$G7092=1),MAX($K7092,$J7093*($H7093+1)/100/12),$K7092))))</f>
      </c>
      <c r="L7093" s="43">
        <f>IF($I7093=0,0,$J7093*$H7093/100/12)</f>
      </c>
      <c r="M7093" s="43">
        <f>IF($I7093=0,0,IF(OR(INDEX(DarlOhneTilgung,15)=1,AND(INDEX(DarlTilgStart,15)&gt;0,$E7093&lt;INDEX(DarlTilgStart,15))),0,MIN(MAX(0,$K7093-$L7093),$J7093)))</f>
      </c>
      <c r="N7093" s="43">
        <f>IF($I7093=0,0,MIN(SUMIFS(SondBetrag,SondDarl,15,SondDatum,"&gt;="&amp;$E7093,SondDatum,"&lt;="&amp;EOMONTH($E7093,0)),$J7093-$M7093))</f>
      </c>
      <c r="O7093" s="43">
        <f>IF($I7093=0,0,INDEX(DarlErsatzRate,15))</f>
      </c>
      <c r="P7093" s="43">
        <f>IF($I7093=0,0,$Q7092*INDEX(DarlErsatzZins,15))</f>
      </c>
      <c r="Q7093" s="43">
        <f>IF($I7093=0,0,$Q7092+$P7093+$O7093)</f>
      </c>
      <c r="R7093" s="43">
        <f>IF($I7093=0,0,$J7093-$M7093-$N7093)</f>
      </c>
    </row>
    <row r="7094">
      <c r="A7094"/>
      <c r="B7094">
        <v>15</v>
      </c>
      <c r="C7094" s="43">
        <f>INDEX(DarlObj,15)</f>
      </c>
      <c r="D7094">
        <v>371</v>
      </c>
      <c r="E7094" s="51">
        <f>IF(INDEX(DarlBelegt,15)=0,0,EOMONTH(INDEX(DarlAuszahlung,15),370)+1)</f>
      </c>
      <c r="F7094" s="43">
        <f>IF($E7094=0,0,YEAR($E7094))</f>
      </c>
      <c r="G7094" s="43">
        <f>IF(INDEX(DarlBindung,15)="",1,IF($E7094&lt;=INDEX(DarlBindung,15),1,0))</f>
      </c>
      <c r="H7094" s="43">
        <f>IF($G7094=1,INDEX(DarlSollzins,15),INDEX(DarlAnschluss,15))</f>
      </c>
      <c r="I7094" s="43">
        <f>IF(INDEX(DarlBelegt,15)=0,0,IF(INDEX(DarlOhneTilgung,15)=1,IF(INDEX(DarlBindung,15)="",1,$G7094),IF($J7094&gt;0.005,1,0)))</f>
      </c>
      <c r="J7094" s="43">
        <f>IF($I7093=0,0,$R7093)</f>
      </c>
      <c r="K7094" s="43">
        <f>IF($I7094=0,0,IF(INDEX(DarlOhneTilgung,15)=1,0,IF(AND(INDEX(DarlTilgStart,15)&gt;0,$E7094=INDEX(DarlTilgStart,15)),$J7094*($H7094+INDEX(DarlTilgung,15))/100/12,IF(AND($G7094=0,$G7093=1),MAX($K7093,$J7094*($H7094+1)/100/12),$K7093))))</f>
      </c>
      <c r="L7094" s="43">
        <f>IF($I7094=0,0,$J7094*$H7094/100/12)</f>
      </c>
      <c r="M7094" s="43">
        <f>IF($I7094=0,0,IF(OR(INDEX(DarlOhneTilgung,15)=1,AND(INDEX(DarlTilgStart,15)&gt;0,$E7094&lt;INDEX(DarlTilgStart,15))),0,MIN(MAX(0,$K7094-$L7094),$J7094)))</f>
      </c>
      <c r="N7094" s="43">
        <f>IF($I7094=0,0,MIN(SUMIFS(SondBetrag,SondDarl,15,SondDatum,"&gt;="&amp;$E7094,SondDatum,"&lt;="&amp;EOMONTH($E7094,0)),$J7094-$M7094))</f>
      </c>
      <c r="O7094" s="43">
        <f>IF($I7094=0,0,INDEX(DarlErsatzRate,15))</f>
      </c>
      <c r="P7094" s="43">
        <f>IF($I7094=0,0,$Q7093*INDEX(DarlErsatzZins,15))</f>
      </c>
      <c r="Q7094" s="43">
        <f>IF($I7094=0,0,$Q7093+$P7094+$O7094)</f>
      </c>
      <c r="R7094" s="43">
        <f>IF($I7094=0,0,$J7094-$M7094-$N7094)</f>
      </c>
    </row>
    <row r="7095">
      <c r="A7095"/>
      <c r="B7095">
        <v>15</v>
      </c>
      <c r="C7095" s="43">
        <f>INDEX(DarlObj,15)</f>
      </c>
      <c r="D7095">
        <v>372</v>
      </c>
      <c r="E7095" s="51">
        <f>IF(INDEX(DarlBelegt,15)=0,0,EOMONTH(INDEX(DarlAuszahlung,15),371)+1)</f>
      </c>
      <c r="F7095" s="43">
        <f>IF($E7095=0,0,YEAR($E7095))</f>
      </c>
      <c r="G7095" s="43">
        <f>IF(INDEX(DarlBindung,15)="",1,IF($E7095&lt;=INDEX(DarlBindung,15),1,0))</f>
      </c>
      <c r="H7095" s="43">
        <f>IF($G7095=1,INDEX(DarlSollzins,15),INDEX(DarlAnschluss,15))</f>
      </c>
      <c r="I7095" s="43">
        <f>IF(INDEX(DarlBelegt,15)=0,0,IF(INDEX(DarlOhneTilgung,15)=1,IF(INDEX(DarlBindung,15)="",1,$G7095),IF($J7095&gt;0.005,1,0)))</f>
      </c>
      <c r="J7095" s="43">
        <f>IF($I7094=0,0,$R7094)</f>
      </c>
      <c r="K7095" s="43">
        <f>IF($I7095=0,0,IF(INDEX(DarlOhneTilgung,15)=1,0,IF(AND(INDEX(DarlTilgStart,15)&gt;0,$E7095=INDEX(DarlTilgStart,15)),$J7095*($H7095+INDEX(DarlTilgung,15))/100/12,IF(AND($G7095=0,$G7094=1),MAX($K7094,$J7095*($H7095+1)/100/12),$K7094))))</f>
      </c>
      <c r="L7095" s="43">
        <f>IF($I7095=0,0,$J7095*$H7095/100/12)</f>
      </c>
      <c r="M7095" s="43">
        <f>IF($I7095=0,0,IF(OR(INDEX(DarlOhneTilgung,15)=1,AND(INDEX(DarlTilgStart,15)&gt;0,$E7095&lt;INDEX(DarlTilgStart,15))),0,MIN(MAX(0,$K7095-$L7095),$J7095)))</f>
      </c>
      <c r="N7095" s="43">
        <f>IF($I7095=0,0,MIN(SUMIFS(SondBetrag,SondDarl,15,SondDatum,"&gt;="&amp;$E7095,SondDatum,"&lt;="&amp;EOMONTH($E7095,0)),$J7095-$M7095))</f>
      </c>
      <c r="O7095" s="43">
        <f>IF($I7095=0,0,INDEX(DarlErsatzRate,15))</f>
      </c>
      <c r="P7095" s="43">
        <f>IF($I7095=0,0,$Q7094*INDEX(DarlErsatzZins,15))</f>
      </c>
      <c r="Q7095" s="43">
        <f>IF($I7095=0,0,$Q7094+$P7095+$O7095)</f>
      </c>
      <c r="R7095" s="43">
        <f>IF($I7095=0,0,$J7095-$M7095-$N7095)</f>
      </c>
    </row>
    <row r="7096">
      <c r="A7096"/>
      <c r="B7096">
        <v>15</v>
      </c>
      <c r="C7096" s="43">
        <f>INDEX(DarlObj,15)</f>
      </c>
      <c r="D7096">
        <v>373</v>
      </c>
      <c r="E7096" s="51">
        <f>IF(INDEX(DarlBelegt,15)=0,0,EOMONTH(INDEX(DarlAuszahlung,15),372)+1)</f>
      </c>
      <c r="F7096" s="43">
        <f>IF($E7096=0,0,YEAR($E7096))</f>
      </c>
      <c r="G7096" s="43">
        <f>IF(INDEX(DarlBindung,15)="",1,IF($E7096&lt;=INDEX(DarlBindung,15),1,0))</f>
      </c>
      <c r="H7096" s="43">
        <f>IF($G7096=1,INDEX(DarlSollzins,15),INDEX(DarlAnschluss,15))</f>
      </c>
      <c r="I7096" s="43">
        <f>IF(INDEX(DarlBelegt,15)=0,0,IF(INDEX(DarlOhneTilgung,15)=1,IF(INDEX(DarlBindung,15)="",1,$G7096),IF($J7096&gt;0.005,1,0)))</f>
      </c>
      <c r="J7096" s="43">
        <f>IF($I7095=0,0,$R7095)</f>
      </c>
      <c r="K7096" s="43">
        <f>IF($I7096=0,0,IF(INDEX(DarlOhneTilgung,15)=1,0,IF(AND(INDEX(DarlTilgStart,15)&gt;0,$E7096=INDEX(DarlTilgStart,15)),$J7096*($H7096+INDEX(DarlTilgung,15))/100/12,IF(AND($G7096=0,$G7095=1),MAX($K7095,$J7096*($H7096+1)/100/12),$K7095))))</f>
      </c>
      <c r="L7096" s="43">
        <f>IF($I7096=0,0,$J7096*$H7096/100/12)</f>
      </c>
      <c r="M7096" s="43">
        <f>IF($I7096=0,0,IF(OR(INDEX(DarlOhneTilgung,15)=1,AND(INDEX(DarlTilgStart,15)&gt;0,$E7096&lt;INDEX(DarlTilgStart,15))),0,MIN(MAX(0,$K7096-$L7096),$J7096)))</f>
      </c>
      <c r="N7096" s="43">
        <f>IF($I7096=0,0,MIN(SUMIFS(SondBetrag,SondDarl,15,SondDatum,"&gt;="&amp;$E7096,SondDatum,"&lt;="&amp;EOMONTH($E7096,0)),$J7096-$M7096))</f>
      </c>
      <c r="O7096" s="43">
        <f>IF($I7096=0,0,INDEX(DarlErsatzRate,15))</f>
      </c>
      <c r="P7096" s="43">
        <f>IF($I7096=0,0,$Q7095*INDEX(DarlErsatzZins,15))</f>
      </c>
      <c r="Q7096" s="43">
        <f>IF($I7096=0,0,$Q7095+$P7096+$O7096)</f>
      </c>
      <c r="R7096" s="43">
        <f>IF($I7096=0,0,$J7096-$M7096-$N7096)</f>
      </c>
    </row>
    <row r="7097">
      <c r="A7097"/>
      <c r="B7097">
        <v>15</v>
      </c>
      <c r="C7097" s="43">
        <f>INDEX(DarlObj,15)</f>
      </c>
      <c r="D7097">
        <v>374</v>
      </c>
      <c r="E7097" s="51">
        <f>IF(INDEX(DarlBelegt,15)=0,0,EOMONTH(INDEX(DarlAuszahlung,15),373)+1)</f>
      </c>
      <c r="F7097" s="43">
        <f>IF($E7097=0,0,YEAR($E7097))</f>
      </c>
      <c r="G7097" s="43">
        <f>IF(INDEX(DarlBindung,15)="",1,IF($E7097&lt;=INDEX(DarlBindung,15),1,0))</f>
      </c>
      <c r="H7097" s="43">
        <f>IF($G7097=1,INDEX(DarlSollzins,15),INDEX(DarlAnschluss,15))</f>
      </c>
      <c r="I7097" s="43">
        <f>IF(INDEX(DarlBelegt,15)=0,0,IF(INDEX(DarlOhneTilgung,15)=1,IF(INDEX(DarlBindung,15)="",1,$G7097),IF($J7097&gt;0.005,1,0)))</f>
      </c>
      <c r="J7097" s="43">
        <f>IF($I7096=0,0,$R7096)</f>
      </c>
      <c r="K7097" s="43">
        <f>IF($I7097=0,0,IF(INDEX(DarlOhneTilgung,15)=1,0,IF(AND(INDEX(DarlTilgStart,15)&gt;0,$E7097=INDEX(DarlTilgStart,15)),$J7097*($H7097+INDEX(DarlTilgung,15))/100/12,IF(AND($G7097=0,$G7096=1),MAX($K7096,$J7097*($H7097+1)/100/12),$K7096))))</f>
      </c>
      <c r="L7097" s="43">
        <f>IF($I7097=0,0,$J7097*$H7097/100/12)</f>
      </c>
      <c r="M7097" s="43">
        <f>IF($I7097=0,0,IF(OR(INDEX(DarlOhneTilgung,15)=1,AND(INDEX(DarlTilgStart,15)&gt;0,$E7097&lt;INDEX(DarlTilgStart,15))),0,MIN(MAX(0,$K7097-$L7097),$J7097)))</f>
      </c>
      <c r="N7097" s="43">
        <f>IF($I7097=0,0,MIN(SUMIFS(SondBetrag,SondDarl,15,SondDatum,"&gt;="&amp;$E7097,SondDatum,"&lt;="&amp;EOMONTH($E7097,0)),$J7097-$M7097))</f>
      </c>
      <c r="O7097" s="43">
        <f>IF($I7097=0,0,INDEX(DarlErsatzRate,15))</f>
      </c>
      <c r="P7097" s="43">
        <f>IF($I7097=0,0,$Q7096*INDEX(DarlErsatzZins,15))</f>
      </c>
      <c r="Q7097" s="43">
        <f>IF($I7097=0,0,$Q7096+$P7097+$O7097)</f>
      </c>
      <c r="R7097" s="43">
        <f>IF($I7097=0,0,$J7097-$M7097-$N7097)</f>
      </c>
    </row>
    <row r="7098">
      <c r="A7098"/>
      <c r="B7098">
        <v>15</v>
      </c>
      <c r="C7098" s="43">
        <f>INDEX(DarlObj,15)</f>
      </c>
      <c r="D7098">
        <v>375</v>
      </c>
      <c r="E7098" s="51">
        <f>IF(INDEX(DarlBelegt,15)=0,0,EOMONTH(INDEX(DarlAuszahlung,15),374)+1)</f>
      </c>
      <c r="F7098" s="43">
        <f>IF($E7098=0,0,YEAR($E7098))</f>
      </c>
      <c r="G7098" s="43">
        <f>IF(INDEX(DarlBindung,15)="",1,IF($E7098&lt;=INDEX(DarlBindung,15),1,0))</f>
      </c>
      <c r="H7098" s="43">
        <f>IF($G7098=1,INDEX(DarlSollzins,15),INDEX(DarlAnschluss,15))</f>
      </c>
      <c r="I7098" s="43">
        <f>IF(INDEX(DarlBelegt,15)=0,0,IF(INDEX(DarlOhneTilgung,15)=1,IF(INDEX(DarlBindung,15)="",1,$G7098),IF($J7098&gt;0.005,1,0)))</f>
      </c>
      <c r="J7098" s="43">
        <f>IF($I7097=0,0,$R7097)</f>
      </c>
      <c r="K7098" s="43">
        <f>IF($I7098=0,0,IF(INDEX(DarlOhneTilgung,15)=1,0,IF(AND(INDEX(DarlTilgStart,15)&gt;0,$E7098=INDEX(DarlTilgStart,15)),$J7098*($H7098+INDEX(DarlTilgung,15))/100/12,IF(AND($G7098=0,$G7097=1),MAX($K7097,$J7098*($H7098+1)/100/12),$K7097))))</f>
      </c>
      <c r="L7098" s="43">
        <f>IF($I7098=0,0,$J7098*$H7098/100/12)</f>
      </c>
      <c r="M7098" s="43">
        <f>IF($I7098=0,0,IF(OR(INDEX(DarlOhneTilgung,15)=1,AND(INDEX(DarlTilgStart,15)&gt;0,$E7098&lt;INDEX(DarlTilgStart,15))),0,MIN(MAX(0,$K7098-$L7098),$J7098)))</f>
      </c>
      <c r="N7098" s="43">
        <f>IF($I7098=0,0,MIN(SUMIFS(SondBetrag,SondDarl,15,SondDatum,"&gt;="&amp;$E7098,SondDatum,"&lt;="&amp;EOMONTH($E7098,0)),$J7098-$M7098))</f>
      </c>
      <c r="O7098" s="43">
        <f>IF($I7098=0,0,INDEX(DarlErsatzRate,15))</f>
      </c>
      <c r="P7098" s="43">
        <f>IF($I7098=0,0,$Q7097*INDEX(DarlErsatzZins,15))</f>
      </c>
      <c r="Q7098" s="43">
        <f>IF($I7098=0,0,$Q7097+$P7098+$O7098)</f>
      </c>
      <c r="R7098" s="43">
        <f>IF($I7098=0,0,$J7098-$M7098-$N7098)</f>
      </c>
    </row>
    <row r="7099">
      <c r="A7099"/>
      <c r="B7099">
        <v>15</v>
      </c>
      <c r="C7099" s="43">
        <f>INDEX(DarlObj,15)</f>
      </c>
      <c r="D7099">
        <v>376</v>
      </c>
      <c r="E7099" s="51">
        <f>IF(INDEX(DarlBelegt,15)=0,0,EOMONTH(INDEX(DarlAuszahlung,15),375)+1)</f>
      </c>
      <c r="F7099" s="43">
        <f>IF($E7099=0,0,YEAR($E7099))</f>
      </c>
      <c r="G7099" s="43">
        <f>IF(INDEX(DarlBindung,15)="",1,IF($E7099&lt;=INDEX(DarlBindung,15),1,0))</f>
      </c>
      <c r="H7099" s="43">
        <f>IF($G7099=1,INDEX(DarlSollzins,15),INDEX(DarlAnschluss,15))</f>
      </c>
      <c r="I7099" s="43">
        <f>IF(INDEX(DarlBelegt,15)=0,0,IF(INDEX(DarlOhneTilgung,15)=1,IF(INDEX(DarlBindung,15)="",1,$G7099),IF($J7099&gt;0.005,1,0)))</f>
      </c>
      <c r="J7099" s="43">
        <f>IF($I7098=0,0,$R7098)</f>
      </c>
      <c r="K7099" s="43">
        <f>IF($I7099=0,0,IF(INDEX(DarlOhneTilgung,15)=1,0,IF(AND(INDEX(DarlTilgStart,15)&gt;0,$E7099=INDEX(DarlTilgStart,15)),$J7099*($H7099+INDEX(DarlTilgung,15))/100/12,IF(AND($G7099=0,$G7098=1),MAX($K7098,$J7099*($H7099+1)/100/12),$K7098))))</f>
      </c>
      <c r="L7099" s="43">
        <f>IF($I7099=0,0,$J7099*$H7099/100/12)</f>
      </c>
      <c r="M7099" s="43">
        <f>IF($I7099=0,0,IF(OR(INDEX(DarlOhneTilgung,15)=1,AND(INDEX(DarlTilgStart,15)&gt;0,$E7099&lt;INDEX(DarlTilgStart,15))),0,MIN(MAX(0,$K7099-$L7099),$J7099)))</f>
      </c>
      <c r="N7099" s="43">
        <f>IF($I7099=0,0,MIN(SUMIFS(SondBetrag,SondDarl,15,SondDatum,"&gt;="&amp;$E7099,SondDatum,"&lt;="&amp;EOMONTH($E7099,0)),$J7099-$M7099))</f>
      </c>
      <c r="O7099" s="43">
        <f>IF($I7099=0,0,INDEX(DarlErsatzRate,15))</f>
      </c>
      <c r="P7099" s="43">
        <f>IF($I7099=0,0,$Q7098*INDEX(DarlErsatzZins,15))</f>
      </c>
      <c r="Q7099" s="43">
        <f>IF($I7099=0,0,$Q7098+$P7099+$O7099)</f>
      </c>
      <c r="R7099" s="43">
        <f>IF($I7099=0,0,$J7099-$M7099-$N7099)</f>
      </c>
    </row>
    <row r="7100">
      <c r="A7100"/>
      <c r="B7100">
        <v>15</v>
      </c>
      <c r="C7100" s="43">
        <f>INDEX(DarlObj,15)</f>
      </c>
      <c r="D7100">
        <v>377</v>
      </c>
      <c r="E7100" s="51">
        <f>IF(INDEX(DarlBelegt,15)=0,0,EOMONTH(INDEX(DarlAuszahlung,15),376)+1)</f>
      </c>
      <c r="F7100" s="43">
        <f>IF($E7100=0,0,YEAR($E7100))</f>
      </c>
      <c r="G7100" s="43">
        <f>IF(INDEX(DarlBindung,15)="",1,IF($E7100&lt;=INDEX(DarlBindung,15),1,0))</f>
      </c>
      <c r="H7100" s="43">
        <f>IF($G7100=1,INDEX(DarlSollzins,15),INDEX(DarlAnschluss,15))</f>
      </c>
      <c r="I7100" s="43">
        <f>IF(INDEX(DarlBelegt,15)=0,0,IF(INDEX(DarlOhneTilgung,15)=1,IF(INDEX(DarlBindung,15)="",1,$G7100),IF($J7100&gt;0.005,1,0)))</f>
      </c>
      <c r="J7100" s="43">
        <f>IF($I7099=0,0,$R7099)</f>
      </c>
      <c r="K7100" s="43">
        <f>IF($I7100=0,0,IF(INDEX(DarlOhneTilgung,15)=1,0,IF(AND(INDEX(DarlTilgStart,15)&gt;0,$E7100=INDEX(DarlTilgStart,15)),$J7100*($H7100+INDEX(DarlTilgung,15))/100/12,IF(AND($G7100=0,$G7099=1),MAX($K7099,$J7100*($H7100+1)/100/12),$K7099))))</f>
      </c>
      <c r="L7100" s="43">
        <f>IF($I7100=0,0,$J7100*$H7100/100/12)</f>
      </c>
      <c r="M7100" s="43">
        <f>IF($I7100=0,0,IF(OR(INDEX(DarlOhneTilgung,15)=1,AND(INDEX(DarlTilgStart,15)&gt;0,$E7100&lt;INDEX(DarlTilgStart,15))),0,MIN(MAX(0,$K7100-$L7100),$J7100)))</f>
      </c>
      <c r="N7100" s="43">
        <f>IF($I7100=0,0,MIN(SUMIFS(SondBetrag,SondDarl,15,SondDatum,"&gt;="&amp;$E7100,SondDatum,"&lt;="&amp;EOMONTH($E7100,0)),$J7100-$M7100))</f>
      </c>
      <c r="O7100" s="43">
        <f>IF($I7100=0,0,INDEX(DarlErsatzRate,15))</f>
      </c>
      <c r="P7100" s="43">
        <f>IF($I7100=0,0,$Q7099*INDEX(DarlErsatzZins,15))</f>
      </c>
      <c r="Q7100" s="43">
        <f>IF($I7100=0,0,$Q7099+$P7100+$O7100)</f>
      </c>
      <c r="R7100" s="43">
        <f>IF($I7100=0,0,$J7100-$M7100-$N7100)</f>
      </c>
    </row>
    <row r="7101">
      <c r="A7101"/>
      <c r="B7101">
        <v>15</v>
      </c>
      <c r="C7101" s="43">
        <f>INDEX(DarlObj,15)</f>
      </c>
      <c r="D7101">
        <v>378</v>
      </c>
      <c r="E7101" s="51">
        <f>IF(INDEX(DarlBelegt,15)=0,0,EOMONTH(INDEX(DarlAuszahlung,15),377)+1)</f>
      </c>
      <c r="F7101" s="43">
        <f>IF($E7101=0,0,YEAR($E7101))</f>
      </c>
      <c r="G7101" s="43">
        <f>IF(INDEX(DarlBindung,15)="",1,IF($E7101&lt;=INDEX(DarlBindung,15),1,0))</f>
      </c>
      <c r="H7101" s="43">
        <f>IF($G7101=1,INDEX(DarlSollzins,15),INDEX(DarlAnschluss,15))</f>
      </c>
      <c r="I7101" s="43">
        <f>IF(INDEX(DarlBelegt,15)=0,0,IF(INDEX(DarlOhneTilgung,15)=1,IF(INDEX(DarlBindung,15)="",1,$G7101),IF($J7101&gt;0.005,1,0)))</f>
      </c>
      <c r="J7101" s="43">
        <f>IF($I7100=0,0,$R7100)</f>
      </c>
      <c r="K7101" s="43">
        <f>IF($I7101=0,0,IF(INDEX(DarlOhneTilgung,15)=1,0,IF(AND(INDEX(DarlTilgStart,15)&gt;0,$E7101=INDEX(DarlTilgStart,15)),$J7101*($H7101+INDEX(DarlTilgung,15))/100/12,IF(AND($G7101=0,$G7100=1),MAX($K7100,$J7101*($H7101+1)/100/12),$K7100))))</f>
      </c>
      <c r="L7101" s="43">
        <f>IF($I7101=0,0,$J7101*$H7101/100/12)</f>
      </c>
      <c r="M7101" s="43">
        <f>IF($I7101=0,0,IF(OR(INDEX(DarlOhneTilgung,15)=1,AND(INDEX(DarlTilgStart,15)&gt;0,$E7101&lt;INDEX(DarlTilgStart,15))),0,MIN(MAX(0,$K7101-$L7101),$J7101)))</f>
      </c>
      <c r="N7101" s="43">
        <f>IF($I7101=0,0,MIN(SUMIFS(SondBetrag,SondDarl,15,SondDatum,"&gt;="&amp;$E7101,SondDatum,"&lt;="&amp;EOMONTH($E7101,0)),$J7101-$M7101))</f>
      </c>
      <c r="O7101" s="43">
        <f>IF($I7101=0,0,INDEX(DarlErsatzRate,15))</f>
      </c>
      <c r="P7101" s="43">
        <f>IF($I7101=0,0,$Q7100*INDEX(DarlErsatzZins,15))</f>
      </c>
      <c r="Q7101" s="43">
        <f>IF($I7101=0,0,$Q7100+$P7101+$O7101)</f>
      </c>
      <c r="R7101" s="43">
        <f>IF($I7101=0,0,$J7101-$M7101-$N7101)</f>
      </c>
    </row>
    <row r="7102">
      <c r="A7102"/>
      <c r="B7102">
        <v>15</v>
      </c>
      <c r="C7102" s="43">
        <f>INDEX(DarlObj,15)</f>
      </c>
      <c r="D7102">
        <v>379</v>
      </c>
      <c r="E7102" s="51">
        <f>IF(INDEX(DarlBelegt,15)=0,0,EOMONTH(INDEX(DarlAuszahlung,15),378)+1)</f>
      </c>
      <c r="F7102" s="43">
        <f>IF($E7102=0,0,YEAR($E7102))</f>
      </c>
      <c r="G7102" s="43">
        <f>IF(INDEX(DarlBindung,15)="",1,IF($E7102&lt;=INDEX(DarlBindung,15),1,0))</f>
      </c>
      <c r="H7102" s="43">
        <f>IF($G7102=1,INDEX(DarlSollzins,15),INDEX(DarlAnschluss,15))</f>
      </c>
      <c r="I7102" s="43">
        <f>IF(INDEX(DarlBelegt,15)=0,0,IF(INDEX(DarlOhneTilgung,15)=1,IF(INDEX(DarlBindung,15)="",1,$G7102),IF($J7102&gt;0.005,1,0)))</f>
      </c>
      <c r="J7102" s="43">
        <f>IF($I7101=0,0,$R7101)</f>
      </c>
      <c r="K7102" s="43">
        <f>IF($I7102=0,0,IF(INDEX(DarlOhneTilgung,15)=1,0,IF(AND(INDEX(DarlTilgStart,15)&gt;0,$E7102=INDEX(DarlTilgStart,15)),$J7102*($H7102+INDEX(DarlTilgung,15))/100/12,IF(AND($G7102=0,$G7101=1),MAX($K7101,$J7102*($H7102+1)/100/12),$K7101))))</f>
      </c>
      <c r="L7102" s="43">
        <f>IF($I7102=0,0,$J7102*$H7102/100/12)</f>
      </c>
      <c r="M7102" s="43">
        <f>IF($I7102=0,0,IF(OR(INDEX(DarlOhneTilgung,15)=1,AND(INDEX(DarlTilgStart,15)&gt;0,$E7102&lt;INDEX(DarlTilgStart,15))),0,MIN(MAX(0,$K7102-$L7102),$J7102)))</f>
      </c>
      <c r="N7102" s="43">
        <f>IF($I7102=0,0,MIN(SUMIFS(SondBetrag,SondDarl,15,SondDatum,"&gt;="&amp;$E7102,SondDatum,"&lt;="&amp;EOMONTH($E7102,0)),$J7102-$M7102))</f>
      </c>
      <c r="O7102" s="43">
        <f>IF($I7102=0,0,INDEX(DarlErsatzRate,15))</f>
      </c>
      <c r="P7102" s="43">
        <f>IF($I7102=0,0,$Q7101*INDEX(DarlErsatzZins,15))</f>
      </c>
      <c r="Q7102" s="43">
        <f>IF($I7102=0,0,$Q7101+$P7102+$O7102)</f>
      </c>
      <c r="R7102" s="43">
        <f>IF($I7102=0,0,$J7102-$M7102-$N7102)</f>
      </c>
    </row>
    <row r="7103">
      <c r="A7103"/>
      <c r="B7103">
        <v>15</v>
      </c>
      <c r="C7103" s="43">
        <f>INDEX(DarlObj,15)</f>
      </c>
      <c r="D7103">
        <v>380</v>
      </c>
      <c r="E7103" s="51">
        <f>IF(INDEX(DarlBelegt,15)=0,0,EOMONTH(INDEX(DarlAuszahlung,15),379)+1)</f>
      </c>
      <c r="F7103" s="43">
        <f>IF($E7103=0,0,YEAR($E7103))</f>
      </c>
      <c r="G7103" s="43">
        <f>IF(INDEX(DarlBindung,15)="",1,IF($E7103&lt;=INDEX(DarlBindung,15),1,0))</f>
      </c>
      <c r="H7103" s="43">
        <f>IF($G7103=1,INDEX(DarlSollzins,15),INDEX(DarlAnschluss,15))</f>
      </c>
      <c r="I7103" s="43">
        <f>IF(INDEX(DarlBelegt,15)=0,0,IF(INDEX(DarlOhneTilgung,15)=1,IF(INDEX(DarlBindung,15)="",1,$G7103),IF($J7103&gt;0.005,1,0)))</f>
      </c>
      <c r="J7103" s="43">
        <f>IF($I7102=0,0,$R7102)</f>
      </c>
      <c r="K7103" s="43">
        <f>IF($I7103=0,0,IF(INDEX(DarlOhneTilgung,15)=1,0,IF(AND(INDEX(DarlTilgStart,15)&gt;0,$E7103=INDEX(DarlTilgStart,15)),$J7103*($H7103+INDEX(DarlTilgung,15))/100/12,IF(AND($G7103=0,$G7102=1),MAX($K7102,$J7103*($H7103+1)/100/12),$K7102))))</f>
      </c>
      <c r="L7103" s="43">
        <f>IF($I7103=0,0,$J7103*$H7103/100/12)</f>
      </c>
      <c r="M7103" s="43">
        <f>IF($I7103=0,0,IF(OR(INDEX(DarlOhneTilgung,15)=1,AND(INDEX(DarlTilgStart,15)&gt;0,$E7103&lt;INDEX(DarlTilgStart,15))),0,MIN(MAX(0,$K7103-$L7103),$J7103)))</f>
      </c>
      <c r="N7103" s="43">
        <f>IF($I7103=0,0,MIN(SUMIFS(SondBetrag,SondDarl,15,SondDatum,"&gt;="&amp;$E7103,SondDatum,"&lt;="&amp;EOMONTH($E7103,0)),$J7103-$M7103))</f>
      </c>
      <c r="O7103" s="43">
        <f>IF($I7103=0,0,INDEX(DarlErsatzRate,15))</f>
      </c>
      <c r="P7103" s="43">
        <f>IF($I7103=0,0,$Q7102*INDEX(DarlErsatzZins,15))</f>
      </c>
      <c r="Q7103" s="43">
        <f>IF($I7103=0,0,$Q7102+$P7103+$O7103)</f>
      </c>
      <c r="R7103" s="43">
        <f>IF($I7103=0,0,$J7103-$M7103-$N7103)</f>
      </c>
    </row>
    <row r="7104">
      <c r="A7104"/>
      <c r="B7104">
        <v>15</v>
      </c>
      <c r="C7104" s="43">
        <f>INDEX(DarlObj,15)</f>
      </c>
      <c r="D7104">
        <v>381</v>
      </c>
      <c r="E7104" s="51">
        <f>IF(INDEX(DarlBelegt,15)=0,0,EOMONTH(INDEX(DarlAuszahlung,15),380)+1)</f>
      </c>
      <c r="F7104" s="43">
        <f>IF($E7104=0,0,YEAR($E7104))</f>
      </c>
      <c r="G7104" s="43">
        <f>IF(INDEX(DarlBindung,15)="",1,IF($E7104&lt;=INDEX(DarlBindung,15),1,0))</f>
      </c>
      <c r="H7104" s="43">
        <f>IF($G7104=1,INDEX(DarlSollzins,15),INDEX(DarlAnschluss,15))</f>
      </c>
      <c r="I7104" s="43">
        <f>IF(INDEX(DarlBelegt,15)=0,0,IF(INDEX(DarlOhneTilgung,15)=1,IF(INDEX(DarlBindung,15)="",1,$G7104),IF($J7104&gt;0.005,1,0)))</f>
      </c>
      <c r="J7104" s="43">
        <f>IF($I7103=0,0,$R7103)</f>
      </c>
      <c r="K7104" s="43">
        <f>IF($I7104=0,0,IF(INDEX(DarlOhneTilgung,15)=1,0,IF(AND(INDEX(DarlTilgStart,15)&gt;0,$E7104=INDEX(DarlTilgStart,15)),$J7104*($H7104+INDEX(DarlTilgung,15))/100/12,IF(AND($G7104=0,$G7103=1),MAX($K7103,$J7104*($H7104+1)/100/12),$K7103))))</f>
      </c>
      <c r="L7104" s="43">
        <f>IF($I7104=0,0,$J7104*$H7104/100/12)</f>
      </c>
      <c r="M7104" s="43">
        <f>IF($I7104=0,0,IF(OR(INDEX(DarlOhneTilgung,15)=1,AND(INDEX(DarlTilgStart,15)&gt;0,$E7104&lt;INDEX(DarlTilgStart,15))),0,MIN(MAX(0,$K7104-$L7104),$J7104)))</f>
      </c>
      <c r="N7104" s="43">
        <f>IF($I7104=0,0,MIN(SUMIFS(SondBetrag,SondDarl,15,SondDatum,"&gt;="&amp;$E7104,SondDatum,"&lt;="&amp;EOMONTH($E7104,0)),$J7104-$M7104))</f>
      </c>
      <c r="O7104" s="43">
        <f>IF($I7104=0,0,INDEX(DarlErsatzRate,15))</f>
      </c>
      <c r="P7104" s="43">
        <f>IF($I7104=0,0,$Q7103*INDEX(DarlErsatzZins,15))</f>
      </c>
      <c r="Q7104" s="43">
        <f>IF($I7104=0,0,$Q7103+$P7104+$O7104)</f>
      </c>
      <c r="R7104" s="43">
        <f>IF($I7104=0,0,$J7104-$M7104-$N7104)</f>
      </c>
    </row>
    <row r="7105">
      <c r="A7105"/>
      <c r="B7105">
        <v>15</v>
      </c>
      <c r="C7105" s="43">
        <f>INDEX(DarlObj,15)</f>
      </c>
      <c r="D7105">
        <v>382</v>
      </c>
      <c r="E7105" s="51">
        <f>IF(INDEX(DarlBelegt,15)=0,0,EOMONTH(INDEX(DarlAuszahlung,15),381)+1)</f>
      </c>
      <c r="F7105" s="43">
        <f>IF($E7105=0,0,YEAR($E7105))</f>
      </c>
      <c r="G7105" s="43">
        <f>IF(INDEX(DarlBindung,15)="",1,IF($E7105&lt;=INDEX(DarlBindung,15),1,0))</f>
      </c>
      <c r="H7105" s="43">
        <f>IF($G7105=1,INDEX(DarlSollzins,15),INDEX(DarlAnschluss,15))</f>
      </c>
      <c r="I7105" s="43">
        <f>IF(INDEX(DarlBelegt,15)=0,0,IF(INDEX(DarlOhneTilgung,15)=1,IF(INDEX(DarlBindung,15)="",1,$G7105),IF($J7105&gt;0.005,1,0)))</f>
      </c>
      <c r="J7105" s="43">
        <f>IF($I7104=0,0,$R7104)</f>
      </c>
      <c r="K7105" s="43">
        <f>IF($I7105=0,0,IF(INDEX(DarlOhneTilgung,15)=1,0,IF(AND(INDEX(DarlTilgStart,15)&gt;0,$E7105=INDEX(DarlTilgStart,15)),$J7105*($H7105+INDEX(DarlTilgung,15))/100/12,IF(AND($G7105=0,$G7104=1),MAX($K7104,$J7105*($H7105+1)/100/12),$K7104))))</f>
      </c>
      <c r="L7105" s="43">
        <f>IF($I7105=0,0,$J7105*$H7105/100/12)</f>
      </c>
      <c r="M7105" s="43">
        <f>IF($I7105=0,0,IF(OR(INDEX(DarlOhneTilgung,15)=1,AND(INDEX(DarlTilgStart,15)&gt;0,$E7105&lt;INDEX(DarlTilgStart,15))),0,MIN(MAX(0,$K7105-$L7105),$J7105)))</f>
      </c>
      <c r="N7105" s="43">
        <f>IF($I7105=0,0,MIN(SUMIFS(SondBetrag,SondDarl,15,SondDatum,"&gt;="&amp;$E7105,SondDatum,"&lt;="&amp;EOMONTH($E7105,0)),$J7105-$M7105))</f>
      </c>
      <c r="O7105" s="43">
        <f>IF($I7105=0,0,INDEX(DarlErsatzRate,15))</f>
      </c>
      <c r="P7105" s="43">
        <f>IF($I7105=0,0,$Q7104*INDEX(DarlErsatzZins,15))</f>
      </c>
      <c r="Q7105" s="43">
        <f>IF($I7105=0,0,$Q7104+$P7105+$O7105)</f>
      </c>
      <c r="R7105" s="43">
        <f>IF($I7105=0,0,$J7105-$M7105-$N7105)</f>
      </c>
    </row>
    <row r="7106">
      <c r="A7106"/>
      <c r="B7106">
        <v>15</v>
      </c>
      <c r="C7106" s="43">
        <f>INDEX(DarlObj,15)</f>
      </c>
      <c r="D7106">
        <v>383</v>
      </c>
      <c r="E7106" s="51">
        <f>IF(INDEX(DarlBelegt,15)=0,0,EOMONTH(INDEX(DarlAuszahlung,15),382)+1)</f>
      </c>
      <c r="F7106" s="43">
        <f>IF($E7106=0,0,YEAR($E7106))</f>
      </c>
      <c r="G7106" s="43">
        <f>IF(INDEX(DarlBindung,15)="",1,IF($E7106&lt;=INDEX(DarlBindung,15),1,0))</f>
      </c>
      <c r="H7106" s="43">
        <f>IF($G7106=1,INDEX(DarlSollzins,15),INDEX(DarlAnschluss,15))</f>
      </c>
      <c r="I7106" s="43">
        <f>IF(INDEX(DarlBelegt,15)=0,0,IF(INDEX(DarlOhneTilgung,15)=1,IF(INDEX(DarlBindung,15)="",1,$G7106),IF($J7106&gt;0.005,1,0)))</f>
      </c>
      <c r="J7106" s="43">
        <f>IF($I7105=0,0,$R7105)</f>
      </c>
      <c r="K7106" s="43">
        <f>IF($I7106=0,0,IF(INDEX(DarlOhneTilgung,15)=1,0,IF(AND(INDEX(DarlTilgStart,15)&gt;0,$E7106=INDEX(DarlTilgStart,15)),$J7106*($H7106+INDEX(DarlTilgung,15))/100/12,IF(AND($G7106=0,$G7105=1),MAX($K7105,$J7106*($H7106+1)/100/12),$K7105))))</f>
      </c>
      <c r="L7106" s="43">
        <f>IF($I7106=0,0,$J7106*$H7106/100/12)</f>
      </c>
      <c r="M7106" s="43">
        <f>IF($I7106=0,0,IF(OR(INDEX(DarlOhneTilgung,15)=1,AND(INDEX(DarlTilgStart,15)&gt;0,$E7106&lt;INDEX(DarlTilgStart,15))),0,MIN(MAX(0,$K7106-$L7106),$J7106)))</f>
      </c>
      <c r="N7106" s="43">
        <f>IF($I7106=0,0,MIN(SUMIFS(SondBetrag,SondDarl,15,SondDatum,"&gt;="&amp;$E7106,SondDatum,"&lt;="&amp;EOMONTH($E7106,0)),$J7106-$M7106))</f>
      </c>
      <c r="O7106" s="43">
        <f>IF($I7106=0,0,INDEX(DarlErsatzRate,15))</f>
      </c>
      <c r="P7106" s="43">
        <f>IF($I7106=0,0,$Q7105*INDEX(DarlErsatzZins,15))</f>
      </c>
      <c r="Q7106" s="43">
        <f>IF($I7106=0,0,$Q7105+$P7106+$O7106)</f>
      </c>
      <c r="R7106" s="43">
        <f>IF($I7106=0,0,$J7106-$M7106-$N7106)</f>
      </c>
    </row>
    <row r="7107">
      <c r="A7107"/>
      <c r="B7107">
        <v>15</v>
      </c>
      <c r="C7107" s="43">
        <f>INDEX(DarlObj,15)</f>
      </c>
      <c r="D7107">
        <v>384</v>
      </c>
      <c r="E7107" s="51">
        <f>IF(INDEX(DarlBelegt,15)=0,0,EOMONTH(INDEX(DarlAuszahlung,15),383)+1)</f>
      </c>
      <c r="F7107" s="43">
        <f>IF($E7107=0,0,YEAR($E7107))</f>
      </c>
      <c r="G7107" s="43">
        <f>IF(INDEX(DarlBindung,15)="",1,IF($E7107&lt;=INDEX(DarlBindung,15),1,0))</f>
      </c>
      <c r="H7107" s="43">
        <f>IF($G7107=1,INDEX(DarlSollzins,15),INDEX(DarlAnschluss,15))</f>
      </c>
      <c r="I7107" s="43">
        <f>IF(INDEX(DarlBelegt,15)=0,0,IF(INDEX(DarlOhneTilgung,15)=1,IF(INDEX(DarlBindung,15)="",1,$G7107),IF($J7107&gt;0.005,1,0)))</f>
      </c>
      <c r="J7107" s="43">
        <f>IF($I7106=0,0,$R7106)</f>
      </c>
      <c r="K7107" s="43">
        <f>IF($I7107=0,0,IF(INDEX(DarlOhneTilgung,15)=1,0,IF(AND(INDEX(DarlTilgStart,15)&gt;0,$E7107=INDEX(DarlTilgStart,15)),$J7107*($H7107+INDEX(DarlTilgung,15))/100/12,IF(AND($G7107=0,$G7106=1),MAX($K7106,$J7107*($H7107+1)/100/12),$K7106))))</f>
      </c>
      <c r="L7107" s="43">
        <f>IF($I7107=0,0,$J7107*$H7107/100/12)</f>
      </c>
      <c r="M7107" s="43">
        <f>IF($I7107=0,0,IF(OR(INDEX(DarlOhneTilgung,15)=1,AND(INDEX(DarlTilgStart,15)&gt;0,$E7107&lt;INDEX(DarlTilgStart,15))),0,MIN(MAX(0,$K7107-$L7107),$J7107)))</f>
      </c>
      <c r="N7107" s="43">
        <f>IF($I7107=0,0,MIN(SUMIFS(SondBetrag,SondDarl,15,SondDatum,"&gt;="&amp;$E7107,SondDatum,"&lt;="&amp;EOMONTH($E7107,0)),$J7107-$M7107))</f>
      </c>
      <c r="O7107" s="43">
        <f>IF($I7107=0,0,INDEX(DarlErsatzRate,15))</f>
      </c>
      <c r="P7107" s="43">
        <f>IF($I7107=0,0,$Q7106*INDEX(DarlErsatzZins,15))</f>
      </c>
      <c r="Q7107" s="43">
        <f>IF($I7107=0,0,$Q7106+$P7107+$O7107)</f>
      </c>
      <c r="R7107" s="43">
        <f>IF($I7107=0,0,$J7107-$M7107-$N7107)</f>
      </c>
    </row>
    <row r="7108">
      <c r="A7108"/>
      <c r="B7108">
        <v>15</v>
      </c>
      <c r="C7108" s="43">
        <f>INDEX(DarlObj,15)</f>
      </c>
      <c r="D7108">
        <v>385</v>
      </c>
      <c r="E7108" s="51">
        <f>IF(INDEX(DarlBelegt,15)=0,0,EOMONTH(INDEX(DarlAuszahlung,15),384)+1)</f>
      </c>
      <c r="F7108" s="43">
        <f>IF($E7108=0,0,YEAR($E7108))</f>
      </c>
      <c r="G7108" s="43">
        <f>IF(INDEX(DarlBindung,15)="",1,IF($E7108&lt;=INDEX(DarlBindung,15),1,0))</f>
      </c>
      <c r="H7108" s="43">
        <f>IF($G7108=1,INDEX(DarlSollzins,15),INDEX(DarlAnschluss,15))</f>
      </c>
      <c r="I7108" s="43">
        <f>IF(INDEX(DarlBelegt,15)=0,0,IF(INDEX(DarlOhneTilgung,15)=1,IF(INDEX(DarlBindung,15)="",1,$G7108),IF($J7108&gt;0.005,1,0)))</f>
      </c>
      <c r="J7108" s="43">
        <f>IF($I7107=0,0,$R7107)</f>
      </c>
      <c r="K7108" s="43">
        <f>IF($I7108=0,0,IF(INDEX(DarlOhneTilgung,15)=1,0,IF(AND(INDEX(DarlTilgStart,15)&gt;0,$E7108=INDEX(DarlTilgStart,15)),$J7108*($H7108+INDEX(DarlTilgung,15))/100/12,IF(AND($G7108=0,$G7107=1),MAX($K7107,$J7108*($H7108+1)/100/12),$K7107))))</f>
      </c>
      <c r="L7108" s="43">
        <f>IF($I7108=0,0,$J7108*$H7108/100/12)</f>
      </c>
      <c r="M7108" s="43">
        <f>IF($I7108=0,0,IF(OR(INDEX(DarlOhneTilgung,15)=1,AND(INDEX(DarlTilgStart,15)&gt;0,$E7108&lt;INDEX(DarlTilgStart,15))),0,MIN(MAX(0,$K7108-$L7108),$J7108)))</f>
      </c>
      <c r="N7108" s="43">
        <f>IF($I7108=0,0,MIN(SUMIFS(SondBetrag,SondDarl,15,SondDatum,"&gt;="&amp;$E7108,SondDatum,"&lt;="&amp;EOMONTH($E7108,0)),$J7108-$M7108))</f>
      </c>
      <c r="O7108" s="43">
        <f>IF($I7108=0,0,INDEX(DarlErsatzRate,15))</f>
      </c>
      <c r="P7108" s="43">
        <f>IF($I7108=0,0,$Q7107*INDEX(DarlErsatzZins,15))</f>
      </c>
      <c r="Q7108" s="43">
        <f>IF($I7108=0,0,$Q7107+$P7108+$O7108)</f>
      </c>
      <c r="R7108" s="43">
        <f>IF($I7108=0,0,$J7108-$M7108-$N7108)</f>
      </c>
    </row>
    <row r="7109">
      <c r="A7109"/>
      <c r="B7109">
        <v>15</v>
      </c>
      <c r="C7109" s="43">
        <f>INDEX(DarlObj,15)</f>
      </c>
      <c r="D7109">
        <v>386</v>
      </c>
      <c r="E7109" s="51">
        <f>IF(INDEX(DarlBelegt,15)=0,0,EOMONTH(INDEX(DarlAuszahlung,15),385)+1)</f>
      </c>
      <c r="F7109" s="43">
        <f>IF($E7109=0,0,YEAR($E7109))</f>
      </c>
      <c r="G7109" s="43">
        <f>IF(INDEX(DarlBindung,15)="",1,IF($E7109&lt;=INDEX(DarlBindung,15),1,0))</f>
      </c>
      <c r="H7109" s="43">
        <f>IF($G7109=1,INDEX(DarlSollzins,15),INDEX(DarlAnschluss,15))</f>
      </c>
      <c r="I7109" s="43">
        <f>IF(INDEX(DarlBelegt,15)=0,0,IF(INDEX(DarlOhneTilgung,15)=1,IF(INDEX(DarlBindung,15)="",1,$G7109),IF($J7109&gt;0.005,1,0)))</f>
      </c>
      <c r="J7109" s="43">
        <f>IF($I7108=0,0,$R7108)</f>
      </c>
      <c r="K7109" s="43">
        <f>IF($I7109=0,0,IF(INDEX(DarlOhneTilgung,15)=1,0,IF(AND(INDEX(DarlTilgStart,15)&gt;0,$E7109=INDEX(DarlTilgStart,15)),$J7109*($H7109+INDEX(DarlTilgung,15))/100/12,IF(AND($G7109=0,$G7108=1),MAX($K7108,$J7109*($H7109+1)/100/12),$K7108))))</f>
      </c>
      <c r="L7109" s="43">
        <f>IF($I7109=0,0,$J7109*$H7109/100/12)</f>
      </c>
      <c r="M7109" s="43">
        <f>IF($I7109=0,0,IF(OR(INDEX(DarlOhneTilgung,15)=1,AND(INDEX(DarlTilgStart,15)&gt;0,$E7109&lt;INDEX(DarlTilgStart,15))),0,MIN(MAX(0,$K7109-$L7109),$J7109)))</f>
      </c>
      <c r="N7109" s="43">
        <f>IF($I7109=0,0,MIN(SUMIFS(SondBetrag,SondDarl,15,SondDatum,"&gt;="&amp;$E7109,SondDatum,"&lt;="&amp;EOMONTH($E7109,0)),$J7109-$M7109))</f>
      </c>
      <c r="O7109" s="43">
        <f>IF($I7109=0,0,INDEX(DarlErsatzRate,15))</f>
      </c>
      <c r="P7109" s="43">
        <f>IF($I7109=0,0,$Q7108*INDEX(DarlErsatzZins,15))</f>
      </c>
      <c r="Q7109" s="43">
        <f>IF($I7109=0,0,$Q7108+$P7109+$O7109)</f>
      </c>
      <c r="R7109" s="43">
        <f>IF($I7109=0,0,$J7109-$M7109-$N7109)</f>
      </c>
    </row>
    <row r="7110">
      <c r="A7110"/>
      <c r="B7110">
        <v>15</v>
      </c>
      <c r="C7110" s="43">
        <f>INDEX(DarlObj,15)</f>
      </c>
      <c r="D7110">
        <v>387</v>
      </c>
      <c r="E7110" s="51">
        <f>IF(INDEX(DarlBelegt,15)=0,0,EOMONTH(INDEX(DarlAuszahlung,15),386)+1)</f>
      </c>
      <c r="F7110" s="43">
        <f>IF($E7110=0,0,YEAR($E7110))</f>
      </c>
      <c r="G7110" s="43">
        <f>IF(INDEX(DarlBindung,15)="",1,IF($E7110&lt;=INDEX(DarlBindung,15),1,0))</f>
      </c>
      <c r="H7110" s="43">
        <f>IF($G7110=1,INDEX(DarlSollzins,15),INDEX(DarlAnschluss,15))</f>
      </c>
      <c r="I7110" s="43">
        <f>IF(INDEX(DarlBelegt,15)=0,0,IF(INDEX(DarlOhneTilgung,15)=1,IF(INDEX(DarlBindung,15)="",1,$G7110),IF($J7110&gt;0.005,1,0)))</f>
      </c>
      <c r="J7110" s="43">
        <f>IF($I7109=0,0,$R7109)</f>
      </c>
      <c r="K7110" s="43">
        <f>IF($I7110=0,0,IF(INDEX(DarlOhneTilgung,15)=1,0,IF(AND(INDEX(DarlTilgStart,15)&gt;0,$E7110=INDEX(DarlTilgStart,15)),$J7110*($H7110+INDEX(DarlTilgung,15))/100/12,IF(AND($G7110=0,$G7109=1),MAX($K7109,$J7110*($H7110+1)/100/12),$K7109))))</f>
      </c>
      <c r="L7110" s="43">
        <f>IF($I7110=0,0,$J7110*$H7110/100/12)</f>
      </c>
      <c r="M7110" s="43">
        <f>IF($I7110=0,0,IF(OR(INDEX(DarlOhneTilgung,15)=1,AND(INDEX(DarlTilgStart,15)&gt;0,$E7110&lt;INDEX(DarlTilgStart,15))),0,MIN(MAX(0,$K7110-$L7110),$J7110)))</f>
      </c>
      <c r="N7110" s="43">
        <f>IF($I7110=0,0,MIN(SUMIFS(SondBetrag,SondDarl,15,SondDatum,"&gt;="&amp;$E7110,SondDatum,"&lt;="&amp;EOMONTH($E7110,0)),$J7110-$M7110))</f>
      </c>
      <c r="O7110" s="43">
        <f>IF($I7110=0,0,INDEX(DarlErsatzRate,15))</f>
      </c>
      <c r="P7110" s="43">
        <f>IF($I7110=0,0,$Q7109*INDEX(DarlErsatzZins,15))</f>
      </c>
      <c r="Q7110" s="43">
        <f>IF($I7110=0,0,$Q7109+$P7110+$O7110)</f>
      </c>
      <c r="R7110" s="43">
        <f>IF($I7110=0,0,$J7110-$M7110-$N7110)</f>
      </c>
    </row>
    <row r="7111">
      <c r="A7111"/>
      <c r="B7111">
        <v>15</v>
      </c>
      <c r="C7111" s="43">
        <f>INDEX(DarlObj,15)</f>
      </c>
      <c r="D7111">
        <v>388</v>
      </c>
      <c r="E7111" s="51">
        <f>IF(INDEX(DarlBelegt,15)=0,0,EOMONTH(INDEX(DarlAuszahlung,15),387)+1)</f>
      </c>
      <c r="F7111" s="43">
        <f>IF($E7111=0,0,YEAR($E7111))</f>
      </c>
      <c r="G7111" s="43">
        <f>IF(INDEX(DarlBindung,15)="",1,IF($E7111&lt;=INDEX(DarlBindung,15),1,0))</f>
      </c>
      <c r="H7111" s="43">
        <f>IF($G7111=1,INDEX(DarlSollzins,15),INDEX(DarlAnschluss,15))</f>
      </c>
      <c r="I7111" s="43">
        <f>IF(INDEX(DarlBelegt,15)=0,0,IF(INDEX(DarlOhneTilgung,15)=1,IF(INDEX(DarlBindung,15)="",1,$G7111),IF($J7111&gt;0.005,1,0)))</f>
      </c>
      <c r="J7111" s="43">
        <f>IF($I7110=0,0,$R7110)</f>
      </c>
      <c r="K7111" s="43">
        <f>IF($I7111=0,0,IF(INDEX(DarlOhneTilgung,15)=1,0,IF(AND(INDEX(DarlTilgStart,15)&gt;0,$E7111=INDEX(DarlTilgStart,15)),$J7111*($H7111+INDEX(DarlTilgung,15))/100/12,IF(AND($G7111=0,$G7110=1),MAX($K7110,$J7111*($H7111+1)/100/12),$K7110))))</f>
      </c>
      <c r="L7111" s="43">
        <f>IF($I7111=0,0,$J7111*$H7111/100/12)</f>
      </c>
      <c r="M7111" s="43">
        <f>IF($I7111=0,0,IF(OR(INDEX(DarlOhneTilgung,15)=1,AND(INDEX(DarlTilgStart,15)&gt;0,$E7111&lt;INDEX(DarlTilgStart,15))),0,MIN(MAX(0,$K7111-$L7111),$J7111)))</f>
      </c>
      <c r="N7111" s="43">
        <f>IF($I7111=0,0,MIN(SUMIFS(SondBetrag,SondDarl,15,SondDatum,"&gt;="&amp;$E7111,SondDatum,"&lt;="&amp;EOMONTH($E7111,0)),$J7111-$M7111))</f>
      </c>
      <c r="O7111" s="43">
        <f>IF($I7111=0,0,INDEX(DarlErsatzRate,15))</f>
      </c>
      <c r="P7111" s="43">
        <f>IF($I7111=0,0,$Q7110*INDEX(DarlErsatzZins,15))</f>
      </c>
      <c r="Q7111" s="43">
        <f>IF($I7111=0,0,$Q7110+$P7111+$O7111)</f>
      </c>
      <c r="R7111" s="43">
        <f>IF($I7111=0,0,$J7111-$M7111-$N7111)</f>
      </c>
    </row>
    <row r="7112">
      <c r="A7112"/>
      <c r="B7112">
        <v>15</v>
      </c>
      <c r="C7112" s="43">
        <f>INDEX(DarlObj,15)</f>
      </c>
      <c r="D7112">
        <v>389</v>
      </c>
      <c r="E7112" s="51">
        <f>IF(INDEX(DarlBelegt,15)=0,0,EOMONTH(INDEX(DarlAuszahlung,15),388)+1)</f>
      </c>
      <c r="F7112" s="43">
        <f>IF($E7112=0,0,YEAR($E7112))</f>
      </c>
      <c r="G7112" s="43">
        <f>IF(INDEX(DarlBindung,15)="",1,IF($E7112&lt;=INDEX(DarlBindung,15),1,0))</f>
      </c>
      <c r="H7112" s="43">
        <f>IF($G7112=1,INDEX(DarlSollzins,15),INDEX(DarlAnschluss,15))</f>
      </c>
      <c r="I7112" s="43">
        <f>IF(INDEX(DarlBelegt,15)=0,0,IF(INDEX(DarlOhneTilgung,15)=1,IF(INDEX(DarlBindung,15)="",1,$G7112),IF($J7112&gt;0.005,1,0)))</f>
      </c>
      <c r="J7112" s="43">
        <f>IF($I7111=0,0,$R7111)</f>
      </c>
      <c r="K7112" s="43">
        <f>IF($I7112=0,0,IF(INDEX(DarlOhneTilgung,15)=1,0,IF(AND(INDEX(DarlTilgStart,15)&gt;0,$E7112=INDEX(DarlTilgStart,15)),$J7112*($H7112+INDEX(DarlTilgung,15))/100/12,IF(AND($G7112=0,$G7111=1),MAX($K7111,$J7112*($H7112+1)/100/12),$K7111))))</f>
      </c>
      <c r="L7112" s="43">
        <f>IF($I7112=0,0,$J7112*$H7112/100/12)</f>
      </c>
      <c r="M7112" s="43">
        <f>IF($I7112=0,0,IF(OR(INDEX(DarlOhneTilgung,15)=1,AND(INDEX(DarlTilgStart,15)&gt;0,$E7112&lt;INDEX(DarlTilgStart,15))),0,MIN(MAX(0,$K7112-$L7112),$J7112)))</f>
      </c>
      <c r="N7112" s="43">
        <f>IF($I7112=0,0,MIN(SUMIFS(SondBetrag,SondDarl,15,SondDatum,"&gt;="&amp;$E7112,SondDatum,"&lt;="&amp;EOMONTH($E7112,0)),$J7112-$M7112))</f>
      </c>
      <c r="O7112" s="43">
        <f>IF($I7112=0,0,INDEX(DarlErsatzRate,15))</f>
      </c>
      <c r="P7112" s="43">
        <f>IF($I7112=0,0,$Q7111*INDEX(DarlErsatzZins,15))</f>
      </c>
      <c r="Q7112" s="43">
        <f>IF($I7112=0,0,$Q7111+$P7112+$O7112)</f>
      </c>
      <c r="R7112" s="43">
        <f>IF($I7112=0,0,$J7112-$M7112-$N7112)</f>
      </c>
    </row>
    <row r="7113">
      <c r="A7113"/>
      <c r="B7113">
        <v>15</v>
      </c>
      <c r="C7113" s="43">
        <f>INDEX(DarlObj,15)</f>
      </c>
      <c r="D7113">
        <v>390</v>
      </c>
      <c r="E7113" s="51">
        <f>IF(INDEX(DarlBelegt,15)=0,0,EOMONTH(INDEX(DarlAuszahlung,15),389)+1)</f>
      </c>
      <c r="F7113" s="43">
        <f>IF($E7113=0,0,YEAR($E7113))</f>
      </c>
      <c r="G7113" s="43">
        <f>IF(INDEX(DarlBindung,15)="",1,IF($E7113&lt;=INDEX(DarlBindung,15),1,0))</f>
      </c>
      <c r="H7113" s="43">
        <f>IF($G7113=1,INDEX(DarlSollzins,15),INDEX(DarlAnschluss,15))</f>
      </c>
      <c r="I7113" s="43">
        <f>IF(INDEX(DarlBelegt,15)=0,0,IF(INDEX(DarlOhneTilgung,15)=1,IF(INDEX(DarlBindung,15)="",1,$G7113),IF($J7113&gt;0.005,1,0)))</f>
      </c>
      <c r="J7113" s="43">
        <f>IF($I7112=0,0,$R7112)</f>
      </c>
      <c r="K7113" s="43">
        <f>IF($I7113=0,0,IF(INDEX(DarlOhneTilgung,15)=1,0,IF(AND(INDEX(DarlTilgStart,15)&gt;0,$E7113=INDEX(DarlTilgStart,15)),$J7113*($H7113+INDEX(DarlTilgung,15))/100/12,IF(AND($G7113=0,$G7112=1),MAX($K7112,$J7113*($H7113+1)/100/12),$K7112))))</f>
      </c>
      <c r="L7113" s="43">
        <f>IF($I7113=0,0,$J7113*$H7113/100/12)</f>
      </c>
      <c r="M7113" s="43">
        <f>IF($I7113=0,0,IF(OR(INDEX(DarlOhneTilgung,15)=1,AND(INDEX(DarlTilgStart,15)&gt;0,$E7113&lt;INDEX(DarlTilgStart,15))),0,MIN(MAX(0,$K7113-$L7113),$J7113)))</f>
      </c>
      <c r="N7113" s="43">
        <f>IF($I7113=0,0,MIN(SUMIFS(SondBetrag,SondDarl,15,SondDatum,"&gt;="&amp;$E7113,SondDatum,"&lt;="&amp;EOMONTH($E7113,0)),$J7113-$M7113))</f>
      </c>
      <c r="O7113" s="43">
        <f>IF($I7113=0,0,INDEX(DarlErsatzRate,15))</f>
      </c>
      <c r="P7113" s="43">
        <f>IF($I7113=0,0,$Q7112*INDEX(DarlErsatzZins,15))</f>
      </c>
      <c r="Q7113" s="43">
        <f>IF($I7113=0,0,$Q7112+$P7113+$O7113)</f>
      </c>
      <c r="R7113" s="43">
        <f>IF($I7113=0,0,$J7113-$M7113-$N7113)</f>
      </c>
    </row>
    <row r="7114">
      <c r="A7114"/>
      <c r="B7114">
        <v>15</v>
      </c>
      <c r="C7114" s="43">
        <f>INDEX(DarlObj,15)</f>
      </c>
      <c r="D7114">
        <v>391</v>
      </c>
      <c r="E7114" s="51">
        <f>IF(INDEX(DarlBelegt,15)=0,0,EOMONTH(INDEX(DarlAuszahlung,15),390)+1)</f>
      </c>
      <c r="F7114" s="43">
        <f>IF($E7114=0,0,YEAR($E7114))</f>
      </c>
      <c r="G7114" s="43">
        <f>IF(INDEX(DarlBindung,15)="",1,IF($E7114&lt;=INDEX(DarlBindung,15),1,0))</f>
      </c>
      <c r="H7114" s="43">
        <f>IF($G7114=1,INDEX(DarlSollzins,15),INDEX(DarlAnschluss,15))</f>
      </c>
      <c r="I7114" s="43">
        <f>IF(INDEX(DarlBelegt,15)=0,0,IF(INDEX(DarlOhneTilgung,15)=1,IF(INDEX(DarlBindung,15)="",1,$G7114),IF($J7114&gt;0.005,1,0)))</f>
      </c>
      <c r="J7114" s="43">
        <f>IF($I7113=0,0,$R7113)</f>
      </c>
      <c r="K7114" s="43">
        <f>IF($I7114=0,0,IF(INDEX(DarlOhneTilgung,15)=1,0,IF(AND(INDEX(DarlTilgStart,15)&gt;0,$E7114=INDEX(DarlTilgStart,15)),$J7114*($H7114+INDEX(DarlTilgung,15))/100/12,IF(AND($G7114=0,$G7113=1),MAX($K7113,$J7114*($H7114+1)/100/12),$K7113))))</f>
      </c>
      <c r="L7114" s="43">
        <f>IF($I7114=0,0,$J7114*$H7114/100/12)</f>
      </c>
      <c r="M7114" s="43">
        <f>IF($I7114=0,0,IF(OR(INDEX(DarlOhneTilgung,15)=1,AND(INDEX(DarlTilgStart,15)&gt;0,$E7114&lt;INDEX(DarlTilgStart,15))),0,MIN(MAX(0,$K7114-$L7114),$J7114)))</f>
      </c>
      <c r="N7114" s="43">
        <f>IF($I7114=0,0,MIN(SUMIFS(SondBetrag,SondDarl,15,SondDatum,"&gt;="&amp;$E7114,SondDatum,"&lt;="&amp;EOMONTH($E7114,0)),$J7114-$M7114))</f>
      </c>
      <c r="O7114" s="43">
        <f>IF($I7114=0,0,INDEX(DarlErsatzRate,15))</f>
      </c>
      <c r="P7114" s="43">
        <f>IF($I7114=0,0,$Q7113*INDEX(DarlErsatzZins,15))</f>
      </c>
      <c r="Q7114" s="43">
        <f>IF($I7114=0,0,$Q7113+$P7114+$O7114)</f>
      </c>
      <c r="R7114" s="43">
        <f>IF($I7114=0,0,$J7114-$M7114-$N7114)</f>
      </c>
    </row>
    <row r="7115">
      <c r="A7115"/>
      <c r="B7115">
        <v>15</v>
      </c>
      <c r="C7115" s="43">
        <f>INDEX(DarlObj,15)</f>
      </c>
      <c r="D7115">
        <v>392</v>
      </c>
      <c r="E7115" s="51">
        <f>IF(INDEX(DarlBelegt,15)=0,0,EOMONTH(INDEX(DarlAuszahlung,15),391)+1)</f>
      </c>
      <c r="F7115" s="43">
        <f>IF($E7115=0,0,YEAR($E7115))</f>
      </c>
      <c r="G7115" s="43">
        <f>IF(INDEX(DarlBindung,15)="",1,IF($E7115&lt;=INDEX(DarlBindung,15),1,0))</f>
      </c>
      <c r="H7115" s="43">
        <f>IF($G7115=1,INDEX(DarlSollzins,15),INDEX(DarlAnschluss,15))</f>
      </c>
      <c r="I7115" s="43">
        <f>IF(INDEX(DarlBelegt,15)=0,0,IF(INDEX(DarlOhneTilgung,15)=1,IF(INDEX(DarlBindung,15)="",1,$G7115),IF($J7115&gt;0.005,1,0)))</f>
      </c>
      <c r="J7115" s="43">
        <f>IF($I7114=0,0,$R7114)</f>
      </c>
      <c r="K7115" s="43">
        <f>IF($I7115=0,0,IF(INDEX(DarlOhneTilgung,15)=1,0,IF(AND(INDEX(DarlTilgStart,15)&gt;0,$E7115=INDEX(DarlTilgStart,15)),$J7115*($H7115+INDEX(DarlTilgung,15))/100/12,IF(AND($G7115=0,$G7114=1),MAX($K7114,$J7115*($H7115+1)/100/12),$K7114))))</f>
      </c>
      <c r="L7115" s="43">
        <f>IF($I7115=0,0,$J7115*$H7115/100/12)</f>
      </c>
      <c r="M7115" s="43">
        <f>IF($I7115=0,0,IF(OR(INDEX(DarlOhneTilgung,15)=1,AND(INDEX(DarlTilgStart,15)&gt;0,$E7115&lt;INDEX(DarlTilgStart,15))),0,MIN(MAX(0,$K7115-$L7115),$J7115)))</f>
      </c>
      <c r="N7115" s="43">
        <f>IF($I7115=0,0,MIN(SUMIFS(SondBetrag,SondDarl,15,SondDatum,"&gt;="&amp;$E7115,SondDatum,"&lt;="&amp;EOMONTH($E7115,0)),$J7115-$M7115))</f>
      </c>
      <c r="O7115" s="43">
        <f>IF($I7115=0,0,INDEX(DarlErsatzRate,15))</f>
      </c>
      <c r="P7115" s="43">
        <f>IF($I7115=0,0,$Q7114*INDEX(DarlErsatzZins,15))</f>
      </c>
      <c r="Q7115" s="43">
        <f>IF($I7115=0,0,$Q7114+$P7115+$O7115)</f>
      </c>
      <c r="R7115" s="43">
        <f>IF($I7115=0,0,$J7115-$M7115-$N7115)</f>
      </c>
    </row>
    <row r="7116">
      <c r="A7116"/>
      <c r="B7116">
        <v>15</v>
      </c>
      <c r="C7116" s="43">
        <f>INDEX(DarlObj,15)</f>
      </c>
      <c r="D7116">
        <v>393</v>
      </c>
      <c r="E7116" s="51">
        <f>IF(INDEX(DarlBelegt,15)=0,0,EOMONTH(INDEX(DarlAuszahlung,15),392)+1)</f>
      </c>
      <c r="F7116" s="43">
        <f>IF($E7116=0,0,YEAR($E7116))</f>
      </c>
      <c r="G7116" s="43">
        <f>IF(INDEX(DarlBindung,15)="",1,IF($E7116&lt;=INDEX(DarlBindung,15),1,0))</f>
      </c>
      <c r="H7116" s="43">
        <f>IF($G7116=1,INDEX(DarlSollzins,15),INDEX(DarlAnschluss,15))</f>
      </c>
      <c r="I7116" s="43">
        <f>IF(INDEX(DarlBelegt,15)=0,0,IF(INDEX(DarlOhneTilgung,15)=1,IF(INDEX(DarlBindung,15)="",1,$G7116),IF($J7116&gt;0.005,1,0)))</f>
      </c>
      <c r="J7116" s="43">
        <f>IF($I7115=0,0,$R7115)</f>
      </c>
      <c r="K7116" s="43">
        <f>IF($I7116=0,0,IF(INDEX(DarlOhneTilgung,15)=1,0,IF(AND(INDEX(DarlTilgStart,15)&gt;0,$E7116=INDEX(DarlTilgStart,15)),$J7116*($H7116+INDEX(DarlTilgung,15))/100/12,IF(AND($G7116=0,$G7115=1),MAX($K7115,$J7116*($H7116+1)/100/12),$K7115))))</f>
      </c>
      <c r="L7116" s="43">
        <f>IF($I7116=0,0,$J7116*$H7116/100/12)</f>
      </c>
      <c r="M7116" s="43">
        <f>IF($I7116=0,0,IF(OR(INDEX(DarlOhneTilgung,15)=1,AND(INDEX(DarlTilgStart,15)&gt;0,$E7116&lt;INDEX(DarlTilgStart,15))),0,MIN(MAX(0,$K7116-$L7116),$J7116)))</f>
      </c>
      <c r="N7116" s="43">
        <f>IF($I7116=0,0,MIN(SUMIFS(SondBetrag,SondDarl,15,SondDatum,"&gt;="&amp;$E7116,SondDatum,"&lt;="&amp;EOMONTH($E7116,0)),$J7116-$M7116))</f>
      </c>
      <c r="O7116" s="43">
        <f>IF($I7116=0,0,INDEX(DarlErsatzRate,15))</f>
      </c>
      <c r="P7116" s="43">
        <f>IF($I7116=0,0,$Q7115*INDEX(DarlErsatzZins,15))</f>
      </c>
      <c r="Q7116" s="43">
        <f>IF($I7116=0,0,$Q7115+$P7116+$O7116)</f>
      </c>
      <c r="R7116" s="43">
        <f>IF($I7116=0,0,$J7116-$M7116-$N7116)</f>
      </c>
    </row>
    <row r="7117">
      <c r="A7117"/>
      <c r="B7117">
        <v>15</v>
      </c>
      <c r="C7117" s="43">
        <f>INDEX(DarlObj,15)</f>
      </c>
      <c r="D7117">
        <v>394</v>
      </c>
      <c r="E7117" s="51">
        <f>IF(INDEX(DarlBelegt,15)=0,0,EOMONTH(INDEX(DarlAuszahlung,15),393)+1)</f>
      </c>
      <c r="F7117" s="43">
        <f>IF($E7117=0,0,YEAR($E7117))</f>
      </c>
      <c r="G7117" s="43">
        <f>IF(INDEX(DarlBindung,15)="",1,IF($E7117&lt;=INDEX(DarlBindung,15),1,0))</f>
      </c>
      <c r="H7117" s="43">
        <f>IF($G7117=1,INDEX(DarlSollzins,15),INDEX(DarlAnschluss,15))</f>
      </c>
      <c r="I7117" s="43">
        <f>IF(INDEX(DarlBelegt,15)=0,0,IF(INDEX(DarlOhneTilgung,15)=1,IF(INDEX(DarlBindung,15)="",1,$G7117),IF($J7117&gt;0.005,1,0)))</f>
      </c>
      <c r="J7117" s="43">
        <f>IF($I7116=0,0,$R7116)</f>
      </c>
      <c r="K7117" s="43">
        <f>IF($I7117=0,0,IF(INDEX(DarlOhneTilgung,15)=1,0,IF(AND(INDEX(DarlTilgStart,15)&gt;0,$E7117=INDEX(DarlTilgStart,15)),$J7117*($H7117+INDEX(DarlTilgung,15))/100/12,IF(AND($G7117=0,$G7116=1),MAX($K7116,$J7117*($H7117+1)/100/12),$K7116))))</f>
      </c>
      <c r="L7117" s="43">
        <f>IF($I7117=0,0,$J7117*$H7117/100/12)</f>
      </c>
      <c r="M7117" s="43">
        <f>IF($I7117=0,0,IF(OR(INDEX(DarlOhneTilgung,15)=1,AND(INDEX(DarlTilgStart,15)&gt;0,$E7117&lt;INDEX(DarlTilgStart,15))),0,MIN(MAX(0,$K7117-$L7117),$J7117)))</f>
      </c>
      <c r="N7117" s="43">
        <f>IF($I7117=0,0,MIN(SUMIFS(SondBetrag,SondDarl,15,SondDatum,"&gt;="&amp;$E7117,SondDatum,"&lt;="&amp;EOMONTH($E7117,0)),$J7117-$M7117))</f>
      </c>
      <c r="O7117" s="43">
        <f>IF($I7117=0,0,INDEX(DarlErsatzRate,15))</f>
      </c>
      <c r="P7117" s="43">
        <f>IF($I7117=0,0,$Q7116*INDEX(DarlErsatzZins,15))</f>
      </c>
      <c r="Q7117" s="43">
        <f>IF($I7117=0,0,$Q7116+$P7117+$O7117)</f>
      </c>
      <c r="R7117" s="43">
        <f>IF($I7117=0,0,$J7117-$M7117-$N7117)</f>
      </c>
    </row>
    <row r="7118">
      <c r="A7118"/>
      <c r="B7118">
        <v>15</v>
      </c>
      <c r="C7118" s="43">
        <f>INDEX(DarlObj,15)</f>
      </c>
      <c r="D7118">
        <v>395</v>
      </c>
      <c r="E7118" s="51">
        <f>IF(INDEX(DarlBelegt,15)=0,0,EOMONTH(INDEX(DarlAuszahlung,15),394)+1)</f>
      </c>
      <c r="F7118" s="43">
        <f>IF($E7118=0,0,YEAR($E7118))</f>
      </c>
      <c r="G7118" s="43">
        <f>IF(INDEX(DarlBindung,15)="",1,IF($E7118&lt;=INDEX(DarlBindung,15),1,0))</f>
      </c>
      <c r="H7118" s="43">
        <f>IF($G7118=1,INDEX(DarlSollzins,15),INDEX(DarlAnschluss,15))</f>
      </c>
      <c r="I7118" s="43">
        <f>IF(INDEX(DarlBelegt,15)=0,0,IF(INDEX(DarlOhneTilgung,15)=1,IF(INDEX(DarlBindung,15)="",1,$G7118),IF($J7118&gt;0.005,1,0)))</f>
      </c>
      <c r="J7118" s="43">
        <f>IF($I7117=0,0,$R7117)</f>
      </c>
      <c r="K7118" s="43">
        <f>IF($I7118=0,0,IF(INDEX(DarlOhneTilgung,15)=1,0,IF(AND(INDEX(DarlTilgStart,15)&gt;0,$E7118=INDEX(DarlTilgStart,15)),$J7118*($H7118+INDEX(DarlTilgung,15))/100/12,IF(AND($G7118=0,$G7117=1),MAX($K7117,$J7118*($H7118+1)/100/12),$K7117))))</f>
      </c>
      <c r="L7118" s="43">
        <f>IF($I7118=0,0,$J7118*$H7118/100/12)</f>
      </c>
      <c r="M7118" s="43">
        <f>IF($I7118=0,0,IF(OR(INDEX(DarlOhneTilgung,15)=1,AND(INDEX(DarlTilgStart,15)&gt;0,$E7118&lt;INDEX(DarlTilgStart,15))),0,MIN(MAX(0,$K7118-$L7118),$J7118)))</f>
      </c>
      <c r="N7118" s="43">
        <f>IF($I7118=0,0,MIN(SUMIFS(SondBetrag,SondDarl,15,SondDatum,"&gt;="&amp;$E7118,SondDatum,"&lt;="&amp;EOMONTH($E7118,0)),$J7118-$M7118))</f>
      </c>
      <c r="O7118" s="43">
        <f>IF($I7118=0,0,INDEX(DarlErsatzRate,15))</f>
      </c>
      <c r="P7118" s="43">
        <f>IF($I7118=0,0,$Q7117*INDEX(DarlErsatzZins,15))</f>
      </c>
      <c r="Q7118" s="43">
        <f>IF($I7118=0,0,$Q7117+$P7118+$O7118)</f>
      </c>
      <c r="R7118" s="43">
        <f>IF($I7118=0,0,$J7118-$M7118-$N7118)</f>
      </c>
    </row>
    <row r="7119">
      <c r="A7119"/>
      <c r="B7119">
        <v>15</v>
      </c>
      <c r="C7119" s="43">
        <f>INDEX(DarlObj,15)</f>
      </c>
      <c r="D7119">
        <v>396</v>
      </c>
      <c r="E7119" s="51">
        <f>IF(INDEX(DarlBelegt,15)=0,0,EOMONTH(INDEX(DarlAuszahlung,15),395)+1)</f>
      </c>
      <c r="F7119" s="43">
        <f>IF($E7119=0,0,YEAR($E7119))</f>
      </c>
      <c r="G7119" s="43">
        <f>IF(INDEX(DarlBindung,15)="",1,IF($E7119&lt;=INDEX(DarlBindung,15),1,0))</f>
      </c>
      <c r="H7119" s="43">
        <f>IF($G7119=1,INDEX(DarlSollzins,15),INDEX(DarlAnschluss,15))</f>
      </c>
      <c r="I7119" s="43">
        <f>IF(INDEX(DarlBelegt,15)=0,0,IF(INDEX(DarlOhneTilgung,15)=1,IF(INDEX(DarlBindung,15)="",1,$G7119),IF($J7119&gt;0.005,1,0)))</f>
      </c>
      <c r="J7119" s="43">
        <f>IF($I7118=0,0,$R7118)</f>
      </c>
      <c r="K7119" s="43">
        <f>IF($I7119=0,0,IF(INDEX(DarlOhneTilgung,15)=1,0,IF(AND(INDEX(DarlTilgStart,15)&gt;0,$E7119=INDEX(DarlTilgStart,15)),$J7119*($H7119+INDEX(DarlTilgung,15))/100/12,IF(AND($G7119=0,$G7118=1),MAX($K7118,$J7119*($H7119+1)/100/12),$K7118))))</f>
      </c>
      <c r="L7119" s="43">
        <f>IF($I7119=0,0,$J7119*$H7119/100/12)</f>
      </c>
      <c r="M7119" s="43">
        <f>IF($I7119=0,0,IF(OR(INDEX(DarlOhneTilgung,15)=1,AND(INDEX(DarlTilgStart,15)&gt;0,$E7119&lt;INDEX(DarlTilgStart,15))),0,MIN(MAX(0,$K7119-$L7119),$J7119)))</f>
      </c>
      <c r="N7119" s="43">
        <f>IF($I7119=0,0,MIN(SUMIFS(SondBetrag,SondDarl,15,SondDatum,"&gt;="&amp;$E7119,SondDatum,"&lt;="&amp;EOMONTH($E7119,0)),$J7119-$M7119))</f>
      </c>
      <c r="O7119" s="43">
        <f>IF($I7119=0,0,INDEX(DarlErsatzRate,15))</f>
      </c>
      <c r="P7119" s="43">
        <f>IF($I7119=0,0,$Q7118*INDEX(DarlErsatzZins,15))</f>
      </c>
      <c r="Q7119" s="43">
        <f>IF($I7119=0,0,$Q7118+$P7119+$O7119)</f>
      </c>
      <c r="R7119" s="43">
        <f>IF($I7119=0,0,$J7119-$M7119-$N7119)</f>
      </c>
    </row>
    <row r="7120">
      <c r="A7120"/>
      <c r="B7120">
        <v>15</v>
      </c>
      <c r="C7120" s="43">
        <f>INDEX(DarlObj,15)</f>
      </c>
      <c r="D7120">
        <v>397</v>
      </c>
      <c r="E7120" s="51">
        <f>IF(INDEX(DarlBelegt,15)=0,0,EOMONTH(INDEX(DarlAuszahlung,15),396)+1)</f>
      </c>
      <c r="F7120" s="43">
        <f>IF($E7120=0,0,YEAR($E7120))</f>
      </c>
      <c r="G7120" s="43">
        <f>IF(INDEX(DarlBindung,15)="",1,IF($E7120&lt;=INDEX(DarlBindung,15),1,0))</f>
      </c>
      <c r="H7120" s="43">
        <f>IF($G7120=1,INDEX(DarlSollzins,15),INDEX(DarlAnschluss,15))</f>
      </c>
      <c r="I7120" s="43">
        <f>IF(INDEX(DarlBelegt,15)=0,0,IF(INDEX(DarlOhneTilgung,15)=1,IF(INDEX(DarlBindung,15)="",1,$G7120),IF($J7120&gt;0.005,1,0)))</f>
      </c>
      <c r="J7120" s="43">
        <f>IF($I7119=0,0,$R7119)</f>
      </c>
      <c r="K7120" s="43">
        <f>IF($I7120=0,0,IF(INDEX(DarlOhneTilgung,15)=1,0,IF(AND(INDEX(DarlTilgStart,15)&gt;0,$E7120=INDEX(DarlTilgStart,15)),$J7120*($H7120+INDEX(DarlTilgung,15))/100/12,IF(AND($G7120=0,$G7119=1),MAX($K7119,$J7120*($H7120+1)/100/12),$K7119))))</f>
      </c>
      <c r="L7120" s="43">
        <f>IF($I7120=0,0,$J7120*$H7120/100/12)</f>
      </c>
      <c r="M7120" s="43">
        <f>IF($I7120=0,0,IF(OR(INDEX(DarlOhneTilgung,15)=1,AND(INDEX(DarlTilgStart,15)&gt;0,$E7120&lt;INDEX(DarlTilgStart,15))),0,MIN(MAX(0,$K7120-$L7120),$J7120)))</f>
      </c>
      <c r="N7120" s="43">
        <f>IF($I7120=0,0,MIN(SUMIFS(SondBetrag,SondDarl,15,SondDatum,"&gt;="&amp;$E7120,SondDatum,"&lt;="&amp;EOMONTH($E7120,0)),$J7120-$M7120))</f>
      </c>
      <c r="O7120" s="43">
        <f>IF($I7120=0,0,INDEX(DarlErsatzRate,15))</f>
      </c>
      <c r="P7120" s="43">
        <f>IF($I7120=0,0,$Q7119*INDEX(DarlErsatzZins,15))</f>
      </c>
      <c r="Q7120" s="43">
        <f>IF($I7120=0,0,$Q7119+$P7120+$O7120)</f>
      </c>
      <c r="R7120" s="43">
        <f>IF($I7120=0,0,$J7120-$M7120-$N7120)</f>
      </c>
    </row>
    <row r="7121">
      <c r="A7121"/>
      <c r="B7121">
        <v>15</v>
      </c>
      <c r="C7121" s="43">
        <f>INDEX(DarlObj,15)</f>
      </c>
      <c r="D7121">
        <v>398</v>
      </c>
      <c r="E7121" s="51">
        <f>IF(INDEX(DarlBelegt,15)=0,0,EOMONTH(INDEX(DarlAuszahlung,15),397)+1)</f>
      </c>
      <c r="F7121" s="43">
        <f>IF($E7121=0,0,YEAR($E7121))</f>
      </c>
      <c r="G7121" s="43">
        <f>IF(INDEX(DarlBindung,15)="",1,IF($E7121&lt;=INDEX(DarlBindung,15),1,0))</f>
      </c>
      <c r="H7121" s="43">
        <f>IF($G7121=1,INDEX(DarlSollzins,15),INDEX(DarlAnschluss,15))</f>
      </c>
      <c r="I7121" s="43">
        <f>IF(INDEX(DarlBelegt,15)=0,0,IF(INDEX(DarlOhneTilgung,15)=1,IF(INDEX(DarlBindung,15)="",1,$G7121),IF($J7121&gt;0.005,1,0)))</f>
      </c>
      <c r="J7121" s="43">
        <f>IF($I7120=0,0,$R7120)</f>
      </c>
      <c r="K7121" s="43">
        <f>IF($I7121=0,0,IF(INDEX(DarlOhneTilgung,15)=1,0,IF(AND(INDEX(DarlTilgStart,15)&gt;0,$E7121=INDEX(DarlTilgStart,15)),$J7121*($H7121+INDEX(DarlTilgung,15))/100/12,IF(AND($G7121=0,$G7120=1),MAX($K7120,$J7121*($H7121+1)/100/12),$K7120))))</f>
      </c>
      <c r="L7121" s="43">
        <f>IF($I7121=0,0,$J7121*$H7121/100/12)</f>
      </c>
      <c r="M7121" s="43">
        <f>IF($I7121=0,0,IF(OR(INDEX(DarlOhneTilgung,15)=1,AND(INDEX(DarlTilgStart,15)&gt;0,$E7121&lt;INDEX(DarlTilgStart,15))),0,MIN(MAX(0,$K7121-$L7121),$J7121)))</f>
      </c>
      <c r="N7121" s="43">
        <f>IF($I7121=0,0,MIN(SUMIFS(SondBetrag,SondDarl,15,SondDatum,"&gt;="&amp;$E7121,SondDatum,"&lt;="&amp;EOMONTH($E7121,0)),$J7121-$M7121))</f>
      </c>
      <c r="O7121" s="43">
        <f>IF($I7121=0,0,INDEX(DarlErsatzRate,15))</f>
      </c>
      <c r="P7121" s="43">
        <f>IF($I7121=0,0,$Q7120*INDEX(DarlErsatzZins,15))</f>
      </c>
      <c r="Q7121" s="43">
        <f>IF($I7121=0,0,$Q7120+$P7121+$O7121)</f>
      </c>
      <c r="R7121" s="43">
        <f>IF($I7121=0,0,$J7121-$M7121-$N7121)</f>
      </c>
    </row>
    <row r="7122">
      <c r="A7122"/>
      <c r="B7122">
        <v>15</v>
      </c>
      <c r="C7122" s="43">
        <f>INDEX(DarlObj,15)</f>
      </c>
      <c r="D7122">
        <v>399</v>
      </c>
      <c r="E7122" s="51">
        <f>IF(INDEX(DarlBelegt,15)=0,0,EOMONTH(INDEX(DarlAuszahlung,15),398)+1)</f>
      </c>
      <c r="F7122" s="43">
        <f>IF($E7122=0,0,YEAR($E7122))</f>
      </c>
      <c r="G7122" s="43">
        <f>IF(INDEX(DarlBindung,15)="",1,IF($E7122&lt;=INDEX(DarlBindung,15),1,0))</f>
      </c>
      <c r="H7122" s="43">
        <f>IF($G7122=1,INDEX(DarlSollzins,15),INDEX(DarlAnschluss,15))</f>
      </c>
      <c r="I7122" s="43">
        <f>IF(INDEX(DarlBelegt,15)=0,0,IF(INDEX(DarlOhneTilgung,15)=1,IF(INDEX(DarlBindung,15)="",1,$G7122),IF($J7122&gt;0.005,1,0)))</f>
      </c>
      <c r="J7122" s="43">
        <f>IF($I7121=0,0,$R7121)</f>
      </c>
      <c r="K7122" s="43">
        <f>IF($I7122=0,0,IF(INDEX(DarlOhneTilgung,15)=1,0,IF(AND(INDEX(DarlTilgStart,15)&gt;0,$E7122=INDEX(DarlTilgStart,15)),$J7122*($H7122+INDEX(DarlTilgung,15))/100/12,IF(AND($G7122=0,$G7121=1),MAX($K7121,$J7122*($H7122+1)/100/12),$K7121))))</f>
      </c>
      <c r="L7122" s="43">
        <f>IF($I7122=0,0,$J7122*$H7122/100/12)</f>
      </c>
      <c r="M7122" s="43">
        <f>IF($I7122=0,0,IF(OR(INDEX(DarlOhneTilgung,15)=1,AND(INDEX(DarlTilgStart,15)&gt;0,$E7122&lt;INDEX(DarlTilgStart,15))),0,MIN(MAX(0,$K7122-$L7122),$J7122)))</f>
      </c>
      <c r="N7122" s="43">
        <f>IF($I7122=0,0,MIN(SUMIFS(SondBetrag,SondDarl,15,SondDatum,"&gt;="&amp;$E7122,SondDatum,"&lt;="&amp;EOMONTH($E7122,0)),$J7122-$M7122))</f>
      </c>
      <c r="O7122" s="43">
        <f>IF($I7122=0,0,INDEX(DarlErsatzRate,15))</f>
      </c>
      <c r="P7122" s="43">
        <f>IF($I7122=0,0,$Q7121*INDEX(DarlErsatzZins,15))</f>
      </c>
      <c r="Q7122" s="43">
        <f>IF($I7122=0,0,$Q7121+$P7122+$O7122)</f>
      </c>
      <c r="R7122" s="43">
        <f>IF($I7122=0,0,$J7122-$M7122-$N7122)</f>
      </c>
    </row>
    <row r="7123">
      <c r="A7123"/>
      <c r="B7123">
        <v>15</v>
      </c>
      <c r="C7123" s="43">
        <f>INDEX(DarlObj,15)</f>
      </c>
      <c r="D7123">
        <v>400</v>
      </c>
      <c r="E7123" s="51">
        <f>IF(INDEX(DarlBelegt,15)=0,0,EOMONTH(INDEX(DarlAuszahlung,15),399)+1)</f>
      </c>
      <c r="F7123" s="43">
        <f>IF($E7123=0,0,YEAR($E7123))</f>
      </c>
      <c r="G7123" s="43">
        <f>IF(INDEX(DarlBindung,15)="",1,IF($E7123&lt;=INDEX(DarlBindung,15),1,0))</f>
      </c>
      <c r="H7123" s="43">
        <f>IF($G7123=1,INDEX(DarlSollzins,15),INDEX(DarlAnschluss,15))</f>
      </c>
      <c r="I7123" s="43">
        <f>IF(INDEX(DarlBelegt,15)=0,0,IF(INDEX(DarlOhneTilgung,15)=1,IF(INDEX(DarlBindung,15)="",1,$G7123),IF($J7123&gt;0.005,1,0)))</f>
      </c>
      <c r="J7123" s="43">
        <f>IF($I7122=0,0,$R7122)</f>
      </c>
      <c r="K7123" s="43">
        <f>IF($I7123=0,0,IF(INDEX(DarlOhneTilgung,15)=1,0,IF(AND(INDEX(DarlTilgStart,15)&gt;0,$E7123=INDEX(DarlTilgStart,15)),$J7123*($H7123+INDEX(DarlTilgung,15))/100/12,IF(AND($G7123=0,$G7122=1),MAX($K7122,$J7123*($H7123+1)/100/12),$K7122))))</f>
      </c>
      <c r="L7123" s="43">
        <f>IF($I7123=0,0,$J7123*$H7123/100/12)</f>
      </c>
      <c r="M7123" s="43">
        <f>IF($I7123=0,0,IF(OR(INDEX(DarlOhneTilgung,15)=1,AND(INDEX(DarlTilgStart,15)&gt;0,$E7123&lt;INDEX(DarlTilgStart,15))),0,MIN(MAX(0,$K7123-$L7123),$J7123)))</f>
      </c>
      <c r="N7123" s="43">
        <f>IF($I7123=0,0,MIN(SUMIFS(SondBetrag,SondDarl,15,SondDatum,"&gt;="&amp;$E7123,SondDatum,"&lt;="&amp;EOMONTH($E7123,0)),$J7123-$M7123))</f>
      </c>
      <c r="O7123" s="43">
        <f>IF($I7123=0,0,INDEX(DarlErsatzRate,15))</f>
      </c>
      <c r="P7123" s="43">
        <f>IF($I7123=0,0,$Q7122*INDEX(DarlErsatzZins,15))</f>
      </c>
      <c r="Q7123" s="43">
        <f>IF($I7123=0,0,$Q7122+$P7123+$O7123)</f>
      </c>
      <c r="R7123" s="43">
        <f>IF($I7123=0,0,$J7123-$M7123-$N7123)</f>
      </c>
    </row>
    <row r="7124">
      <c r="A7124"/>
      <c r="B7124">
        <v>15</v>
      </c>
      <c r="C7124" s="43">
        <f>INDEX(DarlObj,15)</f>
      </c>
      <c r="D7124">
        <v>401</v>
      </c>
      <c r="E7124" s="51">
        <f>IF(INDEX(DarlBelegt,15)=0,0,EOMONTH(INDEX(DarlAuszahlung,15),400)+1)</f>
      </c>
      <c r="F7124" s="43">
        <f>IF($E7124=0,0,YEAR($E7124))</f>
      </c>
      <c r="G7124" s="43">
        <f>IF(INDEX(DarlBindung,15)="",1,IF($E7124&lt;=INDEX(DarlBindung,15),1,0))</f>
      </c>
      <c r="H7124" s="43">
        <f>IF($G7124=1,INDEX(DarlSollzins,15),INDEX(DarlAnschluss,15))</f>
      </c>
      <c r="I7124" s="43">
        <f>IF(INDEX(DarlBelegt,15)=0,0,IF(INDEX(DarlOhneTilgung,15)=1,IF(INDEX(DarlBindung,15)="",1,$G7124),IF($J7124&gt;0.005,1,0)))</f>
      </c>
      <c r="J7124" s="43">
        <f>IF($I7123=0,0,$R7123)</f>
      </c>
      <c r="K7124" s="43">
        <f>IF($I7124=0,0,IF(INDEX(DarlOhneTilgung,15)=1,0,IF(AND(INDEX(DarlTilgStart,15)&gt;0,$E7124=INDEX(DarlTilgStart,15)),$J7124*($H7124+INDEX(DarlTilgung,15))/100/12,IF(AND($G7124=0,$G7123=1),MAX($K7123,$J7124*($H7124+1)/100/12),$K7123))))</f>
      </c>
      <c r="L7124" s="43">
        <f>IF($I7124=0,0,$J7124*$H7124/100/12)</f>
      </c>
      <c r="M7124" s="43">
        <f>IF($I7124=0,0,IF(OR(INDEX(DarlOhneTilgung,15)=1,AND(INDEX(DarlTilgStart,15)&gt;0,$E7124&lt;INDEX(DarlTilgStart,15))),0,MIN(MAX(0,$K7124-$L7124),$J7124)))</f>
      </c>
      <c r="N7124" s="43">
        <f>IF($I7124=0,0,MIN(SUMIFS(SondBetrag,SondDarl,15,SondDatum,"&gt;="&amp;$E7124,SondDatum,"&lt;="&amp;EOMONTH($E7124,0)),$J7124-$M7124))</f>
      </c>
      <c r="O7124" s="43">
        <f>IF($I7124=0,0,INDEX(DarlErsatzRate,15))</f>
      </c>
      <c r="P7124" s="43">
        <f>IF($I7124=0,0,$Q7123*INDEX(DarlErsatzZins,15))</f>
      </c>
      <c r="Q7124" s="43">
        <f>IF($I7124=0,0,$Q7123+$P7124+$O7124)</f>
      </c>
      <c r="R7124" s="43">
        <f>IF($I7124=0,0,$J7124-$M7124-$N7124)</f>
      </c>
    </row>
    <row r="7125">
      <c r="A7125"/>
      <c r="B7125">
        <v>15</v>
      </c>
      <c r="C7125" s="43">
        <f>INDEX(DarlObj,15)</f>
      </c>
      <c r="D7125">
        <v>402</v>
      </c>
      <c r="E7125" s="51">
        <f>IF(INDEX(DarlBelegt,15)=0,0,EOMONTH(INDEX(DarlAuszahlung,15),401)+1)</f>
      </c>
      <c r="F7125" s="43">
        <f>IF($E7125=0,0,YEAR($E7125))</f>
      </c>
      <c r="G7125" s="43">
        <f>IF(INDEX(DarlBindung,15)="",1,IF($E7125&lt;=INDEX(DarlBindung,15),1,0))</f>
      </c>
      <c r="H7125" s="43">
        <f>IF($G7125=1,INDEX(DarlSollzins,15),INDEX(DarlAnschluss,15))</f>
      </c>
      <c r="I7125" s="43">
        <f>IF(INDEX(DarlBelegt,15)=0,0,IF(INDEX(DarlOhneTilgung,15)=1,IF(INDEX(DarlBindung,15)="",1,$G7125),IF($J7125&gt;0.005,1,0)))</f>
      </c>
      <c r="J7125" s="43">
        <f>IF($I7124=0,0,$R7124)</f>
      </c>
      <c r="K7125" s="43">
        <f>IF($I7125=0,0,IF(INDEX(DarlOhneTilgung,15)=1,0,IF(AND(INDEX(DarlTilgStart,15)&gt;0,$E7125=INDEX(DarlTilgStart,15)),$J7125*($H7125+INDEX(DarlTilgung,15))/100/12,IF(AND($G7125=0,$G7124=1),MAX($K7124,$J7125*($H7125+1)/100/12),$K7124))))</f>
      </c>
      <c r="L7125" s="43">
        <f>IF($I7125=0,0,$J7125*$H7125/100/12)</f>
      </c>
      <c r="M7125" s="43">
        <f>IF($I7125=0,0,IF(OR(INDEX(DarlOhneTilgung,15)=1,AND(INDEX(DarlTilgStart,15)&gt;0,$E7125&lt;INDEX(DarlTilgStart,15))),0,MIN(MAX(0,$K7125-$L7125),$J7125)))</f>
      </c>
      <c r="N7125" s="43">
        <f>IF($I7125=0,0,MIN(SUMIFS(SondBetrag,SondDarl,15,SondDatum,"&gt;="&amp;$E7125,SondDatum,"&lt;="&amp;EOMONTH($E7125,0)),$J7125-$M7125))</f>
      </c>
      <c r="O7125" s="43">
        <f>IF($I7125=0,0,INDEX(DarlErsatzRate,15))</f>
      </c>
      <c r="P7125" s="43">
        <f>IF($I7125=0,0,$Q7124*INDEX(DarlErsatzZins,15))</f>
      </c>
      <c r="Q7125" s="43">
        <f>IF($I7125=0,0,$Q7124+$P7125+$O7125)</f>
      </c>
      <c r="R7125" s="43">
        <f>IF($I7125=0,0,$J7125-$M7125-$N7125)</f>
      </c>
    </row>
    <row r="7126">
      <c r="A7126"/>
      <c r="B7126">
        <v>15</v>
      </c>
      <c r="C7126" s="43">
        <f>INDEX(DarlObj,15)</f>
      </c>
      <c r="D7126">
        <v>403</v>
      </c>
      <c r="E7126" s="51">
        <f>IF(INDEX(DarlBelegt,15)=0,0,EOMONTH(INDEX(DarlAuszahlung,15),402)+1)</f>
      </c>
      <c r="F7126" s="43">
        <f>IF($E7126=0,0,YEAR($E7126))</f>
      </c>
      <c r="G7126" s="43">
        <f>IF(INDEX(DarlBindung,15)="",1,IF($E7126&lt;=INDEX(DarlBindung,15),1,0))</f>
      </c>
      <c r="H7126" s="43">
        <f>IF($G7126=1,INDEX(DarlSollzins,15),INDEX(DarlAnschluss,15))</f>
      </c>
      <c r="I7126" s="43">
        <f>IF(INDEX(DarlBelegt,15)=0,0,IF(INDEX(DarlOhneTilgung,15)=1,IF(INDEX(DarlBindung,15)="",1,$G7126),IF($J7126&gt;0.005,1,0)))</f>
      </c>
      <c r="J7126" s="43">
        <f>IF($I7125=0,0,$R7125)</f>
      </c>
      <c r="K7126" s="43">
        <f>IF($I7126=0,0,IF(INDEX(DarlOhneTilgung,15)=1,0,IF(AND(INDEX(DarlTilgStart,15)&gt;0,$E7126=INDEX(DarlTilgStart,15)),$J7126*($H7126+INDEX(DarlTilgung,15))/100/12,IF(AND($G7126=0,$G7125=1),MAX($K7125,$J7126*($H7126+1)/100/12),$K7125))))</f>
      </c>
      <c r="L7126" s="43">
        <f>IF($I7126=0,0,$J7126*$H7126/100/12)</f>
      </c>
      <c r="M7126" s="43">
        <f>IF($I7126=0,0,IF(OR(INDEX(DarlOhneTilgung,15)=1,AND(INDEX(DarlTilgStart,15)&gt;0,$E7126&lt;INDEX(DarlTilgStart,15))),0,MIN(MAX(0,$K7126-$L7126),$J7126)))</f>
      </c>
      <c r="N7126" s="43">
        <f>IF($I7126=0,0,MIN(SUMIFS(SondBetrag,SondDarl,15,SondDatum,"&gt;="&amp;$E7126,SondDatum,"&lt;="&amp;EOMONTH($E7126,0)),$J7126-$M7126))</f>
      </c>
      <c r="O7126" s="43">
        <f>IF($I7126=0,0,INDEX(DarlErsatzRate,15))</f>
      </c>
      <c r="P7126" s="43">
        <f>IF($I7126=0,0,$Q7125*INDEX(DarlErsatzZins,15))</f>
      </c>
      <c r="Q7126" s="43">
        <f>IF($I7126=0,0,$Q7125+$P7126+$O7126)</f>
      </c>
      <c r="R7126" s="43">
        <f>IF($I7126=0,0,$J7126-$M7126-$N7126)</f>
      </c>
    </row>
    <row r="7127">
      <c r="A7127"/>
      <c r="B7127">
        <v>15</v>
      </c>
      <c r="C7127" s="43">
        <f>INDEX(DarlObj,15)</f>
      </c>
      <c r="D7127">
        <v>404</v>
      </c>
      <c r="E7127" s="51">
        <f>IF(INDEX(DarlBelegt,15)=0,0,EOMONTH(INDEX(DarlAuszahlung,15),403)+1)</f>
      </c>
      <c r="F7127" s="43">
        <f>IF($E7127=0,0,YEAR($E7127))</f>
      </c>
      <c r="G7127" s="43">
        <f>IF(INDEX(DarlBindung,15)="",1,IF($E7127&lt;=INDEX(DarlBindung,15),1,0))</f>
      </c>
      <c r="H7127" s="43">
        <f>IF($G7127=1,INDEX(DarlSollzins,15),INDEX(DarlAnschluss,15))</f>
      </c>
      <c r="I7127" s="43">
        <f>IF(INDEX(DarlBelegt,15)=0,0,IF(INDEX(DarlOhneTilgung,15)=1,IF(INDEX(DarlBindung,15)="",1,$G7127),IF($J7127&gt;0.005,1,0)))</f>
      </c>
      <c r="J7127" s="43">
        <f>IF($I7126=0,0,$R7126)</f>
      </c>
      <c r="K7127" s="43">
        <f>IF($I7127=0,0,IF(INDEX(DarlOhneTilgung,15)=1,0,IF(AND(INDEX(DarlTilgStart,15)&gt;0,$E7127=INDEX(DarlTilgStart,15)),$J7127*($H7127+INDEX(DarlTilgung,15))/100/12,IF(AND($G7127=0,$G7126=1),MAX($K7126,$J7127*($H7127+1)/100/12),$K7126))))</f>
      </c>
      <c r="L7127" s="43">
        <f>IF($I7127=0,0,$J7127*$H7127/100/12)</f>
      </c>
      <c r="M7127" s="43">
        <f>IF($I7127=0,0,IF(OR(INDEX(DarlOhneTilgung,15)=1,AND(INDEX(DarlTilgStart,15)&gt;0,$E7127&lt;INDEX(DarlTilgStart,15))),0,MIN(MAX(0,$K7127-$L7127),$J7127)))</f>
      </c>
      <c r="N7127" s="43">
        <f>IF($I7127=0,0,MIN(SUMIFS(SondBetrag,SondDarl,15,SondDatum,"&gt;="&amp;$E7127,SondDatum,"&lt;="&amp;EOMONTH($E7127,0)),$J7127-$M7127))</f>
      </c>
      <c r="O7127" s="43">
        <f>IF($I7127=0,0,INDEX(DarlErsatzRate,15))</f>
      </c>
      <c r="P7127" s="43">
        <f>IF($I7127=0,0,$Q7126*INDEX(DarlErsatzZins,15))</f>
      </c>
      <c r="Q7127" s="43">
        <f>IF($I7127=0,0,$Q7126+$P7127+$O7127)</f>
      </c>
      <c r="R7127" s="43">
        <f>IF($I7127=0,0,$J7127-$M7127-$N7127)</f>
      </c>
    </row>
    <row r="7128">
      <c r="A7128"/>
      <c r="B7128">
        <v>15</v>
      </c>
      <c r="C7128" s="43">
        <f>INDEX(DarlObj,15)</f>
      </c>
      <c r="D7128">
        <v>405</v>
      </c>
      <c r="E7128" s="51">
        <f>IF(INDEX(DarlBelegt,15)=0,0,EOMONTH(INDEX(DarlAuszahlung,15),404)+1)</f>
      </c>
      <c r="F7128" s="43">
        <f>IF($E7128=0,0,YEAR($E7128))</f>
      </c>
      <c r="G7128" s="43">
        <f>IF(INDEX(DarlBindung,15)="",1,IF($E7128&lt;=INDEX(DarlBindung,15),1,0))</f>
      </c>
      <c r="H7128" s="43">
        <f>IF($G7128=1,INDEX(DarlSollzins,15),INDEX(DarlAnschluss,15))</f>
      </c>
      <c r="I7128" s="43">
        <f>IF(INDEX(DarlBelegt,15)=0,0,IF(INDEX(DarlOhneTilgung,15)=1,IF(INDEX(DarlBindung,15)="",1,$G7128),IF($J7128&gt;0.005,1,0)))</f>
      </c>
      <c r="J7128" s="43">
        <f>IF($I7127=0,0,$R7127)</f>
      </c>
      <c r="K7128" s="43">
        <f>IF($I7128=0,0,IF(INDEX(DarlOhneTilgung,15)=1,0,IF(AND(INDEX(DarlTilgStart,15)&gt;0,$E7128=INDEX(DarlTilgStart,15)),$J7128*($H7128+INDEX(DarlTilgung,15))/100/12,IF(AND($G7128=0,$G7127=1),MAX($K7127,$J7128*($H7128+1)/100/12),$K7127))))</f>
      </c>
      <c r="L7128" s="43">
        <f>IF($I7128=0,0,$J7128*$H7128/100/12)</f>
      </c>
      <c r="M7128" s="43">
        <f>IF($I7128=0,0,IF(OR(INDEX(DarlOhneTilgung,15)=1,AND(INDEX(DarlTilgStart,15)&gt;0,$E7128&lt;INDEX(DarlTilgStart,15))),0,MIN(MAX(0,$K7128-$L7128),$J7128)))</f>
      </c>
      <c r="N7128" s="43">
        <f>IF($I7128=0,0,MIN(SUMIFS(SondBetrag,SondDarl,15,SondDatum,"&gt;="&amp;$E7128,SondDatum,"&lt;="&amp;EOMONTH($E7128,0)),$J7128-$M7128))</f>
      </c>
      <c r="O7128" s="43">
        <f>IF($I7128=0,0,INDEX(DarlErsatzRate,15))</f>
      </c>
      <c r="P7128" s="43">
        <f>IF($I7128=0,0,$Q7127*INDEX(DarlErsatzZins,15))</f>
      </c>
      <c r="Q7128" s="43">
        <f>IF($I7128=0,0,$Q7127+$P7128+$O7128)</f>
      </c>
      <c r="R7128" s="43">
        <f>IF($I7128=0,0,$J7128-$M7128-$N7128)</f>
      </c>
    </row>
    <row r="7129">
      <c r="A7129"/>
      <c r="B7129">
        <v>15</v>
      </c>
      <c r="C7129" s="43">
        <f>INDEX(DarlObj,15)</f>
      </c>
      <c r="D7129">
        <v>406</v>
      </c>
      <c r="E7129" s="51">
        <f>IF(INDEX(DarlBelegt,15)=0,0,EOMONTH(INDEX(DarlAuszahlung,15),405)+1)</f>
      </c>
      <c r="F7129" s="43">
        <f>IF($E7129=0,0,YEAR($E7129))</f>
      </c>
      <c r="G7129" s="43">
        <f>IF(INDEX(DarlBindung,15)="",1,IF($E7129&lt;=INDEX(DarlBindung,15),1,0))</f>
      </c>
      <c r="H7129" s="43">
        <f>IF($G7129=1,INDEX(DarlSollzins,15),INDEX(DarlAnschluss,15))</f>
      </c>
      <c r="I7129" s="43">
        <f>IF(INDEX(DarlBelegt,15)=0,0,IF(INDEX(DarlOhneTilgung,15)=1,IF(INDEX(DarlBindung,15)="",1,$G7129),IF($J7129&gt;0.005,1,0)))</f>
      </c>
      <c r="J7129" s="43">
        <f>IF($I7128=0,0,$R7128)</f>
      </c>
      <c r="K7129" s="43">
        <f>IF($I7129=0,0,IF(INDEX(DarlOhneTilgung,15)=1,0,IF(AND(INDEX(DarlTilgStart,15)&gt;0,$E7129=INDEX(DarlTilgStart,15)),$J7129*($H7129+INDEX(DarlTilgung,15))/100/12,IF(AND($G7129=0,$G7128=1),MAX($K7128,$J7129*($H7129+1)/100/12),$K7128))))</f>
      </c>
      <c r="L7129" s="43">
        <f>IF($I7129=0,0,$J7129*$H7129/100/12)</f>
      </c>
      <c r="M7129" s="43">
        <f>IF($I7129=0,0,IF(OR(INDEX(DarlOhneTilgung,15)=1,AND(INDEX(DarlTilgStart,15)&gt;0,$E7129&lt;INDEX(DarlTilgStart,15))),0,MIN(MAX(0,$K7129-$L7129),$J7129)))</f>
      </c>
      <c r="N7129" s="43">
        <f>IF($I7129=0,0,MIN(SUMIFS(SondBetrag,SondDarl,15,SondDatum,"&gt;="&amp;$E7129,SondDatum,"&lt;="&amp;EOMONTH($E7129,0)),$J7129-$M7129))</f>
      </c>
      <c r="O7129" s="43">
        <f>IF($I7129=0,0,INDEX(DarlErsatzRate,15))</f>
      </c>
      <c r="P7129" s="43">
        <f>IF($I7129=0,0,$Q7128*INDEX(DarlErsatzZins,15))</f>
      </c>
      <c r="Q7129" s="43">
        <f>IF($I7129=0,0,$Q7128+$P7129+$O7129)</f>
      </c>
      <c r="R7129" s="43">
        <f>IF($I7129=0,0,$J7129-$M7129-$N7129)</f>
      </c>
    </row>
    <row r="7130">
      <c r="A7130"/>
      <c r="B7130">
        <v>15</v>
      </c>
      <c r="C7130" s="43">
        <f>INDEX(DarlObj,15)</f>
      </c>
      <c r="D7130">
        <v>407</v>
      </c>
      <c r="E7130" s="51">
        <f>IF(INDEX(DarlBelegt,15)=0,0,EOMONTH(INDEX(DarlAuszahlung,15),406)+1)</f>
      </c>
      <c r="F7130" s="43">
        <f>IF($E7130=0,0,YEAR($E7130))</f>
      </c>
      <c r="G7130" s="43">
        <f>IF(INDEX(DarlBindung,15)="",1,IF($E7130&lt;=INDEX(DarlBindung,15),1,0))</f>
      </c>
      <c r="H7130" s="43">
        <f>IF($G7130=1,INDEX(DarlSollzins,15),INDEX(DarlAnschluss,15))</f>
      </c>
      <c r="I7130" s="43">
        <f>IF(INDEX(DarlBelegt,15)=0,0,IF(INDEX(DarlOhneTilgung,15)=1,IF(INDEX(DarlBindung,15)="",1,$G7130),IF($J7130&gt;0.005,1,0)))</f>
      </c>
      <c r="J7130" s="43">
        <f>IF($I7129=0,0,$R7129)</f>
      </c>
      <c r="K7130" s="43">
        <f>IF($I7130=0,0,IF(INDEX(DarlOhneTilgung,15)=1,0,IF(AND(INDEX(DarlTilgStart,15)&gt;0,$E7130=INDEX(DarlTilgStart,15)),$J7130*($H7130+INDEX(DarlTilgung,15))/100/12,IF(AND($G7130=0,$G7129=1),MAX($K7129,$J7130*($H7130+1)/100/12),$K7129))))</f>
      </c>
      <c r="L7130" s="43">
        <f>IF($I7130=0,0,$J7130*$H7130/100/12)</f>
      </c>
      <c r="M7130" s="43">
        <f>IF($I7130=0,0,IF(OR(INDEX(DarlOhneTilgung,15)=1,AND(INDEX(DarlTilgStart,15)&gt;0,$E7130&lt;INDEX(DarlTilgStart,15))),0,MIN(MAX(0,$K7130-$L7130),$J7130)))</f>
      </c>
      <c r="N7130" s="43">
        <f>IF($I7130=0,0,MIN(SUMIFS(SondBetrag,SondDarl,15,SondDatum,"&gt;="&amp;$E7130,SondDatum,"&lt;="&amp;EOMONTH($E7130,0)),$J7130-$M7130))</f>
      </c>
      <c r="O7130" s="43">
        <f>IF($I7130=0,0,INDEX(DarlErsatzRate,15))</f>
      </c>
      <c r="P7130" s="43">
        <f>IF($I7130=0,0,$Q7129*INDEX(DarlErsatzZins,15))</f>
      </c>
      <c r="Q7130" s="43">
        <f>IF($I7130=0,0,$Q7129+$P7130+$O7130)</f>
      </c>
      <c r="R7130" s="43">
        <f>IF($I7130=0,0,$J7130-$M7130-$N7130)</f>
      </c>
    </row>
    <row r="7131">
      <c r="A7131"/>
      <c r="B7131">
        <v>15</v>
      </c>
      <c r="C7131" s="43">
        <f>INDEX(DarlObj,15)</f>
      </c>
      <c r="D7131">
        <v>408</v>
      </c>
      <c r="E7131" s="51">
        <f>IF(INDEX(DarlBelegt,15)=0,0,EOMONTH(INDEX(DarlAuszahlung,15),407)+1)</f>
      </c>
      <c r="F7131" s="43">
        <f>IF($E7131=0,0,YEAR($E7131))</f>
      </c>
      <c r="G7131" s="43">
        <f>IF(INDEX(DarlBindung,15)="",1,IF($E7131&lt;=INDEX(DarlBindung,15),1,0))</f>
      </c>
      <c r="H7131" s="43">
        <f>IF($G7131=1,INDEX(DarlSollzins,15),INDEX(DarlAnschluss,15))</f>
      </c>
      <c r="I7131" s="43">
        <f>IF(INDEX(DarlBelegt,15)=0,0,IF(INDEX(DarlOhneTilgung,15)=1,IF(INDEX(DarlBindung,15)="",1,$G7131),IF($J7131&gt;0.005,1,0)))</f>
      </c>
      <c r="J7131" s="43">
        <f>IF($I7130=0,0,$R7130)</f>
      </c>
      <c r="K7131" s="43">
        <f>IF($I7131=0,0,IF(INDEX(DarlOhneTilgung,15)=1,0,IF(AND(INDEX(DarlTilgStart,15)&gt;0,$E7131=INDEX(DarlTilgStart,15)),$J7131*($H7131+INDEX(DarlTilgung,15))/100/12,IF(AND($G7131=0,$G7130=1),MAX($K7130,$J7131*($H7131+1)/100/12),$K7130))))</f>
      </c>
      <c r="L7131" s="43">
        <f>IF($I7131=0,0,$J7131*$H7131/100/12)</f>
      </c>
      <c r="M7131" s="43">
        <f>IF($I7131=0,0,IF(OR(INDEX(DarlOhneTilgung,15)=1,AND(INDEX(DarlTilgStart,15)&gt;0,$E7131&lt;INDEX(DarlTilgStart,15))),0,MIN(MAX(0,$K7131-$L7131),$J7131)))</f>
      </c>
      <c r="N7131" s="43">
        <f>IF($I7131=0,0,MIN(SUMIFS(SondBetrag,SondDarl,15,SondDatum,"&gt;="&amp;$E7131,SondDatum,"&lt;="&amp;EOMONTH($E7131,0)),$J7131-$M7131))</f>
      </c>
      <c r="O7131" s="43">
        <f>IF($I7131=0,0,INDEX(DarlErsatzRate,15))</f>
      </c>
      <c r="P7131" s="43">
        <f>IF($I7131=0,0,$Q7130*INDEX(DarlErsatzZins,15))</f>
      </c>
      <c r="Q7131" s="43">
        <f>IF($I7131=0,0,$Q7130+$P7131+$O7131)</f>
      </c>
      <c r="R7131" s="43">
        <f>IF($I7131=0,0,$J7131-$M7131-$N7131)</f>
      </c>
    </row>
    <row r="7132">
      <c r="A7132"/>
      <c r="B7132">
        <v>15</v>
      </c>
      <c r="C7132" s="43">
        <f>INDEX(DarlObj,15)</f>
      </c>
      <c r="D7132">
        <v>409</v>
      </c>
      <c r="E7132" s="51">
        <f>IF(INDEX(DarlBelegt,15)=0,0,EOMONTH(INDEX(DarlAuszahlung,15),408)+1)</f>
      </c>
      <c r="F7132" s="43">
        <f>IF($E7132=0,0,YEAR($E7132))</f>
      </c>
      <c r="G7132" s="43">
        <f>IF(INDEX(DarlBindung,15)="",1,IF($E7132&lt;=INDEX(DarlBindung,15),1,0))</f>
      </c>
      <c r="H7132" s="43">
        <f>IF($G7132=1,INDEX(DarlSollzins,15),INDEX(DarlAnschluss,15))</f>
      </c>
      <c r="I7132" s="43">
        <f>IF(INDEX(DarlBelegt,15)=0,0,IF(INDEX(DarlOhneTilgung,15)=1,IF(INDEX(DarlBindung,15)="",1,$G7132),IF($J7132&gt;0.005,1,0)))</f>
      </c>
      <c r="J7132" s="43">
        <f>IF($I7131=0,0,$R7131)</f>
      </c>
      <c r="K7132" s="43">
        <f>IF($I7132=0,0,IF(INDEX(DarlOhneTilgung,15)=1,0,IF(AND(INDEX(DarlTilgStart,15)&gt;0,$E7132=INDEX(DarlTilgStart,15)),$J7132*($H7132+INDEX(DarlTilgung,15))/100/12,IF(AND($G7132=0,$G7131=1),MAX($K7131,$J7132*($H7132+1)/100/12),$K7131))))</f>
      </c>
      <c r="L7132" s="43">
        <f>IF($I7132=0,0,$J7132*$H7132/100/12)</f>
      </c>
      <c r="M7132" s="43">
        <f>IF($I7132=0,0,IF(OR(INDEX(DarlOhneTilgung,15)=1,AND(INDEX(DarlTilgStart,15)&gt;0,$E7132&lt;INDEX(DarlTilgStart,15))),0,MIN(MAX(0,$K7132-$L7132),$J7132)))</f>
      </c>
      <c r="N7132" s="43">
        <f>IF($I7132=0,0,MIN(SUMIFS(SondBetrag,SondDarl,15,SondDatum,"&gt;="&amp;$E7132,SondDatum,"&lt;="&amp;EOMONTH($E7132,0)),$J7132-$M7132))</f>
      </c>
      <c r="O7132" s="43">
        <f>IF($I7132=0,0,INDEX(DarlErsatzRate,15))</f>
      </c>
      <c r="P7132" s="43">
        <f>IF($I7132=0,0,$Q7131*INDEX(DarlErsatzZins,15))</f>
      </c>
      <c r="Q7132" s="43">
        <f>IF($I7132=0,0,$Q7131+$P7132+$O7132)</f>
      </c>
      <c r="R7132" s="43">
        <f>IF($I7132=0,0,$J7132-$M7132-$N7132)</f>
      </c>
    </row>
    <row r="7133">
      <c r="A7133"/>
      <c r="B7133">
        <v>15</v>
      </c>
      <c r="C7133" s="43">
        <f>INDEX(DarlObj,15)</f>
      </c>
      <c r="D7133">
        <v>410</v>
      </c>
      <c r="E7133" s="51">
        <f>IF(INDEX(DarlBelegt,15)=0,0,EOMONTH(INDEX(DarlAuszahlung,15),409)+1)</f>
      </c>
      <c r="F7133" s="43">
        <f>IF($E7133=0,0,YEAR($E7133))</f>
      </c>
      <c r="G7133" s="43">
        <f>IF(INDEX(DarlBindung,15)="",1,IF($E7133&lt;=INDEX(DarlBindung,15),1,0))</f>
      </c>
      <c r="H7133" s="43">
        <f>IF($G7133=1,INDEX(DarlSollzins,15),INDEX(DarlAnschluss,15))</f>
      </c>
      <c r="I7133" s="43">
        <f>IF(INDEX(DarlBelegt,15)=0,0,IF(INDEX(DarlOhneTilgung,15)=1,IF(INDEX(DarlBindung,15)="",1,$G7133),IF($J7133&gt;0.005,1,0)))</f>
      </c>
      <c r="J7133" s="43">
        <f>IF($I7132=0,0,$R7132)</f>
      </c>
      <c r="K7133" s="43">
        <f>IF($I7133=0,0,IF(INDEX(DarlOhneTilgung,15)=1,0,IF(AND(INDEX(DarlTilgStart,15)&gt;0,$E7133=INDEX(DarlTilgStart,15)),$J7133*($H7133+INDEX(DarlTilgung,15))/100/12,IF(AND($G7133=0,$G7132=1),MAX($K7132,$J7133*($H7133+1)/100/12),$K7132))))</f>
      </c>
      <c r="L7133" s="43">
        <f>IF($I7133=0,0,$J7133*$H7133/100/12)</f>
      </c>
      <c r="M7133" s="43">
        <f>IF($I7133=0,0,IF(OR(INDEX(DarlOhneTilgung,15)=1,AND(INDEX(DarlTilgStart,15)&gt;0,$E7133&lt;INDEX(DarlTilgStart,15))),0,MIN(MAX(0,$K7133-$L7133),$J7133)))</f>
      </c>
      <c r="N7133" s="43">
        <f>IF($I7133=0,0,MIN(SUMIFS(SondBetrag,SondDarl,15,SondDatum,"&gt;="&amp;$E7133,SondDatum,"&lt;="&amp;EOMONTH($E7133,0)),$J7133-$M7133))</f>
      </c>
      <c r="O7133" s="43">
        <f>IF($I7133=0,0,INDEX(DarlErsatzRate,15))</f>
      </c>
      <c r="P7133" s="43">
        <f>IF($I7133=0,0,$Q7132*INDEX(DarlErsatzZins,15))</f>
      </c>
      <c r="Q7133" s="43">
        <f>IF($I7133=0,0,$Q7132+$P7133+$O7133)</f>
      </c>
      <c r="R7133" s="43">
        <f>IF($I7133=0,0,$J7133-$M7133-$N7133)</f>
      </c>
    </row>
    <row r="7134">
      <c r="A7134"/>
      <c r="B7134">
        <v>15</v>
      </c>
      <c r="C7134" s="43">
        <f>INDEX(DarlObj,15)</f>
      </c>
      <c r="D7134">
        <v>411</v>
      </c>
      <c r="E7134" s="51">
        <f>IF(INDEX(DarlBelegt,15)=0,0,EOMONTH(INDEX(DarlAuszahlung,15),410)+1)</f>
      </c>
      <c r="F7134" s="43">
        <f>IF($E7134=0,0,YEAR($E7134))</f>
      </c>
      <c r="G7134" s="43">
        <f>IF(INDEX(DarlBindung,15)="",1,IF($E7134&lt;=INDEX(DarlBindung,15),1,0))</f>
      </c>
      <c r="H7134" s="43">
        <f>IF($G7134=1,INDEX(DarlSollzins,15),INDEX(DarlAnschluss,15))</f>
      </c>
      <c r="I7134" s="43">
        <f>IF(INDEX(DarlBelegt,15)=0,0,IF(INDEX(DarlOhneTilgung,15)=1,IF(INDEX(DarlBindung,15)="",1,$G7134),IF($J7134&gt;0.005,1,0)))</f>
      </c>
      <c r="J7134" s="43">
        <f>IF($I7133=0,0,$R7133)</f>
      </c>
      <c r="K7134" s="43">
        <f>IF($I7134=0,0,IF(INDEX(DarlOhneTilgung,15)=1,0,IF(AND(INDEX(DarlTilgStart,15)&gt;0,$E7134=INDEX(DarlTilgStart,15)),$J7134*($H7134+INDEX(DarlTilgung,15))/100/12,IF(AND($G7134=0,$G7133=1),MAX($K7133,$J7134*($H7134+1)/100/12),$K7133))))</f>
      </c>
      <c r="L7134" s="43">
        <f>IF($I7134=0,0,$J7134*$H7134/100/12)</f>
      </c>
      <c r="M7134" s="43">
        <f>IF($I7134=0,0,IF(OR(INDEX(DarlOhneTilgung,15)=1,AND(INDEX(DarlTilgStart,15)&gt;0,$E7134&lt;INDEX(DarlTilgStart,15))),0,MIN(MAX(0,$K7134-$L7134),$J7134)))</f>
      </c>
      <c r="N7134" s="43">
        <f>IF($I7134=0,0,MIN(SUMIFS(SondBetrag,SondDarl,15,SondDatum,"&gt;="&amp;$E7134,SondDatum,"&lt;="&amp;EOMONTH($E7134,0)),$J7134-$M7134))</f>
      </c>
      <c r="O7134" s="43">
        <f>IF($I7134=0,0,INDEX(DarlErsatzRate,15))</f>
      </c>
      <c r="P7134" s="43">
        <f>IF($I7134=0,0,$Q7133*INDEX(DarlErsatzZins,15))</f>
      </c>
      <c r="Q7134" s="43">
        <f>IF($I7134=0,0,$Q7133+$P7134+$O7134)</f>
      </c>
      <c r="R7134" s="43">
        <f>IF($I7134=0,0,$J7134-$M7134-$N7134)</f>
      </c>
    </row>
    <row r="7135">
      <c r="A7135"/>
      <c r="B7135">
        <v>15</v>
      </c>
      <c r="C7135" s="43">
        <f>INDEX(DarlObj,15)</f>
      </c>
      <c r="D7135">
        <v>412</v>
      </c>
      <c r="E7135" s="51">
        <f>IF(INDEX(DarlBelegt,15)=0,0,EOMONTH(INDEX(DarlAuszahlung,15),411)+1)</f>
      </c>
      <c r="F7135" s="43">
        <f>IF($E7135=0,0,YEAR($E7135))</f>
      </c>
      <c r="G7135" s="43">
        <f>IF(INDEX(DarlBindung,15)="",1,IF($E7135&lt;=INDEX(DarlBindung,15),1,0))</f>
      </c>
      <c r="H7135" s="43">
        <f>IF($G7135=1,INDEX(DarlSollzins,15),INDEX(DarlAnschluss,15))</f>
      </c>
      <c r="I7135" s="43">
        <f>IF(INDEX(DarlBelegt,15)=0,0,IF(INDEX(DarlOhneTilgung,15)=1,IF(INDEX(DarlBindung,15)="",1,$G7135),IF($J7135&gt;0.005,1,0)))</f>
      </c>
      <c r="J7135" s="43">
        <f>IF($I7134=0,0,$R7134)</f>
      </c>
      <c r="K7135" s="43">
        <f>IF($I7135=0,0,IF(INDEX(DarlOhneTilgung,15)=1,0,IF(AND(INDEX(DarlTilgStart,15)&gt;0,$E7135=INDEX(DarlTilgStart,15)),$J7135*($H7135+INDEX(DarlTilgung,15))/100/12,IF(AND($G7135=0,$G7134=1),MAX($K7134,$J7135*($H7135+1)/100/12),$K7134))))</f>
      </c>
      <c r="L7135" s="43">
        <f>IF($I7135=0,0,$J7135*$H7135/100/12)</f>
      </c>
      <c r="M7135" s="43">
        <f>IF($I7135=0,0,IF(OR(INDEX(DarlOhneTilgung,15)=1,AND(INDEX(DarlTilgStart,15)&gt;0,$E7135&lt;INDEX(DarlTilgStart,15))),0,MIN(MAX(0,$K7135-$L7135),$J7135)))</f>
      </c>
      <c r="N7135" s="43">
        <f>IF($I7135=0,0,MIN(SUMIFS(SondBetrag,SondDarl,15,SondDatum,"&gt;="&amp;$E7135,SondDatum,"&lt;="&amp;EOMONTH($E7135,0)),$J7135-$M7135))</f>
      </c>
      <c r="O7135" s="43">
        <f>IF($I7135=0,0,INDEX(DarlErsatzRate,15))</f>
      </c>
      <c r="P7135" s="43">
        <f>IF($I7135=0,0,$Q7134*INDEX(DarlErsatzZins,15))</f>
      </c>
      <c r="Q7135" s="43">
        <f>IF($I7135=0,0,$Q7134+$P7135+$O7135)</f>
      </c>
      <c r="R7135" s="43">
        <f>IF($I7135=0,0,$J7135-$M7135-$N7135)</f>
      </c>
    </row>
    <row r="7136">
      <c r="A7136"/>
      <c r="B7136">
        <v>15</v>
      </c>
      <c r="C7136" s="43">
        <f>INDEX(DarlObj,15)</f>
      </c>
      <c r="D7136">
        <v>413</v>
      </c>
      <c r="E7136" s="51">
        <f>IF(INDEX(DarlBelegt,15)=0,0,EOMONTH(INDEX(DarlAuszahlung,15),412)+1)</f>
      </c>
      <c r="F7136" s="43">
        <f>IF($E7136=0,0,YEAR($E7136))</f>
      </c>
      <c r="G7136" s="43">
        <f>IF(INDEX(DarlBindung,15)="",1,IF($E7136&lt;=INDEX(DarlBindung,15),1,0))</f>
      </c>
      <c r="H7136" s="43">
        <f>IF($G7136=1,INDEX(DarlSollzins,15),INDEX(DarlAnschluss,15))</f>
      </c>
      <c r="I7136" s="43">
        <f>IF(INDEX(DarlBelegt,15)=0,0,IF(INDEX(DarlOhneTilgung,15)=1,IF(INDEX(DarlBindung,15)="",1,$G7136),IF($J7136&gt;0.005,1,0)))</f>
      </c>
      <c r="J7136" s="43">
        <f>IF($I7135=0,0,$R7135)</f>
      </c>
      <c r="K7136" s="43">
        <f>IF($I7136=0,0,IF(INDEX(DarlOhneTilgung,15)=1,0,IF(AND(INDEX(DarlTilgStart,15)&gt;0,$E7136=INDEX(DarlTilgStart,15)),$J7136*($H7136+INDEX(DarlTilgung,15))/100/12,IF(AND($G7136=0,$G7135=1),MAX($K7135,$J7136*($H7136+1)/100/12),$K7135))))</f>
      </c>
      <c r="L7136" s="43">
        <f>IF($I7136=0,0,$J7136*$H7136/100/12)</f>
      </c>
      <c r="M7136" s="43">
        <f>IF($I7136=0,0,IF(OR(INDEX(DarlOhneTilgung,15)=1,AND(INDEX(DarlTilgStart,15)&gt;0,$E7136&lt;INDEX(DarlTilgStart,15))),0,MIN(MAX(0,$K7136-$L7136),$J7136)))</f>
      </c>
      <c r="N7136" s="43">
        <f>IF($I7136=0,0,MIN(SUMIFS(SondBetrag,SondDarl,15,SondDatum,"&gt;="&amp;$E7136,SondDatum,"&lt;="&amp;EOMONTH($E7136,0)),$J7136-$M7136))</f>
      </c>
      <c r="O7136" s="43">
        <f>IF($I7136=0,0,INDEX(DarlErsatzRate,15))</f>
      </c>
      <c r="P7136" s="43">
        <f>IF($I7136=0,0,$Q7135*INDEX(DarlErsatzZins,15))</f>
      </c>
      <c r="Q7136" s="43">
        <f>IF($I7136=0,0,$Q7135+$P7136+$O7136)</f>
      </c>
      <c r="R7136" s="43">
        <f>IF($I7136=0,0,$J7136-$M7136-$N7136)</f>
      </c>
    </row>
    <row r="7137">
      <c r="A7137"/>
      <c r="B7137">
        <v>15</v>
      </c>
      <c r="C7137" s="43">
        <f>INDEX(DarlObj,15)</f>
      </c>
      <c r="D7137">
        <v>414</v>
      </c>
      <c r="E7137" s="51">
        <f>IF(INDEX(DarlBelegt,15)=0,0,EOMONTH(INDEX(DarlAuszahlung,15),413)+1)</f>
      </c>
      <c r="F7137" s="43">
        <f>IF($E7137=0,0,YEAR($E7137))</f>
      </c>
      <c r="G7137" s="43">
        <f>IF(INDEX(DarlBindung,15)="",1,IF($E7137&lt;=INDEX(DarlBindung,15),1,0))</f>
      </c>
      <c r="H7137" s="43">
        <f>IF($G7137=1,INDEX(DarlSollzins,15),INDEX(DarlAnschluss,15))</f>
      </c>
      <c r="I7137" s="43">
        <f>IF(INDEX(DarlBelegt,15)=0,0,IF(INDEX(DarlOhneTilgung,15)=1,IF(INDEX(DarlBindung,15)="",1,$G7137),IF($J7137&gt;0.005,1,0)))</f>
      </c>
      <c r="J7137" s="43">
        <f>IF($I7136=0,0,$R7136)</f>
      </c>
      <c r="K7137" s="43">
        <f>IF($I7137=0,0,IF(INDEX(DarlOhneTilgung,15)=1,0,IF(AND(INDEX(DarlTilgStart,15)&gt;0,$E7137=INDEX(DarlTilgStart,15)),$J7137*($H7137+INDEX(DarlTilgung,15))/100/12,IF(AND($G7137=0,$G7136=1),MAX($K7136,$J7137*($H7137+1)/100/12),$K7136))))</f>
      </c>
      <c r="L7137" s="43">
        <f>IF($I7137=0,0,$J7137*$H7137/100/12)</f>
      </c>
      <c r="M7137" s="43">
        <f>IF($I7137=0,0,IF(OR(INDEX(DarlOhneTilgung,15)=1,AND(INDEX(DarlTilgStart,15)&gt;0,$E7137&lt;INDEX(DarlTilgStart,15))),0,MIN(MAX(0,$K7137-$L7137),$J7137)))</f>
      </c>
      <c r="N7137" s="43">
        <f>IF($I7137=0,0,MIN(SUMIFS(SondBetrag,SondDarl,15,SondDatum,"&gt;="&amp;$E7137,SondDatum,"&lt;="&amp;EOMONTH($E7137,0)),$J7137-$M7137))</f>
      </c>
      <c r="O7137" s="43">
        <f>IF($I7137=0,0,INDEX(DarlErsatzRate,15))</f>
      </c>
      <c r="P7137" s="43">
        <f>IF($I7137=0,0,$Q7136*INDEX(DarlErsatzZins,15))</f>
      </c>
      <c r="Q7137" s="43">
        <f>IF($I7137=0,0,$Q7136+$P7137+$O7137)</f>
      </c>
      <c r="R7137" s="43">
        <f>IF($I7137=0,0,$J7137-$M7137-$N7137)</f>
      </c>
    </row>
    <row r="7138">
      <c r="A7138"/>
      <c r="B7138">
        <v>15</v>
      </c>
      <c r="C7138" s="43">
        <f>INDEX(DarlObj,15)</f>
      </c>
      <c r="D7138">
        <v>415</v>
      </c>
      <c r="E7138" s="51">
        <f>IF(INDEX(DarlBelegt,15)=0,0,EOMONTH(INDEX(DarlAuszahlung,15),414)+1)</f>
      </c>
      <c r="F7138" s="43">
        <f>IF($E7138=0,0,YEAR($E7138))</f>
      </c>
      <c r="G7138" s="43">
        <f>IF(INDEX(DarlBindung,15)="",1,IF($E7138&lt;=INDEX(DarlBindung,15),1,0))</f>
      </c>
      <c r="H7138" s="43">
        <f>IF($G7138=1,INDEX(DarlSollzins,15),INDEX(DarlAnschluss,15))</f>
      </c>
      <c r="I7138" s="43">
        <f>IF(INDEX(DarlBelegt,15)=0,0,IF(INDEX(DarlOhneTilgung,15)=1,IF(INDEX(DarlBindung,15)="",1,$G7138),IF($J7138&gt;0.005,1,0)))</f>
      </c>
      <c r="J7138" s="43">
        <f>IF($I7137=0,0,$R7137)</f>
      </c>
      <c r="K7138" s="43">
        <f>IF($I7138=0,0,IF(INDEX(DarlOhneTilgung,15)=1,0,IF(AND(INDEX(DarlTilgStart,15)&gt;0,$E7138=INDEX(DarlTilgStart,15)),$J7138*($H7138+INDEX(DarlTilgung,15))/100/12,IF(AND($G7138=0,$G7137=1),MAX($K7137,$J7138*($H7138+1)/100/12),$K7137))))</f>
      </c>
      <c r="L7138" s="43">
        <f>IF($I7138=0,0,$J7138*$H7138/100/12)</f>
      </c>
      <c r="M7138" s="43">
        <f>IF($I7138=0,0,IF(OR(INDEX(DarlOhneTilgung,15)=1,AND(INDEX(DarlTilgStart,15)&gt;0,$E7138&lt;INDEX(DarlTilgStart,15))),0,MIN(MAX(0,$K7138-$L7138),$J7138)))</f>
      </c>
      <c r="N7138" s="43">
        <f>IF($I7138=0,0,MIN(SUMIFS(SondBetrag,SondDarl,15,SondDatum,"&gt;="&amp;$E7138,SondDatum,"&lt;="&amp;EOMONTH($E7138,0)),$J7138-$M7138))</f>
      </c>
      <c r="O7138" s="43">
        <f>IF($I7138=0,0,INDEX(DarlErsatzRate,15))</f>
      </c>
      <c r="P7138" s="43">
        <f>IF($I7138=0,0,$Q7137*INDEX(DarlErsatzZins,15))</f>
      </c>
      <c r="Q7138" s="43">
        <f>IF($I7138=0,0,$Q7137+$P7138+$O7138)</f>
      </c>
      <c r="R7138" s="43">
        <f>IF($I7138=0,0,$J7138-$M7138-$N7138)</f>
      </c>
    </row>
    <row r="7139">
      <c r="A7139"/>
      <c r="B7139">
        <v>15</v>
      </c>
      <c r="C7139" s="43">
        <f>INDEX(DarlObj,15)</f>
      </c>
      <c r="D7139">
        <v>416</v>
      </c>
      <c r="E7139" s="51">
        <f>IF(INDEX(DarlBelegt,15)=0,0,EOMONTH(INDEX(DarlAuszahlung,15),415)+1)</f>
      </c>
      <c r="F7139" s="43">
        <f>IF($E7139=0,0,YEAR($E7139))</f>
      </c>
      <c r="G7139" s="43">
        <f>IF(INDEX(DarlBindung,15)="",1,IF($E7139&lt;=INDEX(DarlBindung,15),1,0))</f>
      </c>
      <c r="H7139" s="43">
        <f>IF($G7139=1,INDEX(DarlSollzins,15),INDEX(DarlAnschluss,15))</f>
      </c>
      <c r="I7139" s="43">
        <f>IF(INDEX(DarlBelegt,15)=0,0,IF(INDEX(DarlOhneTilgung,15)=1,IF(INDEX(DarlBindung,15)="",1,$G7139),IF($J7139&gt;0.005,1,0)))</f>
      </c>
      <c r="J7139" s="43">
        <f>IF($I7138=0,0,$R7138)</f>
      </c>
      <c r="K7139" s="43">
        <f>IF($I7139=0,0,IF(INDEX(DarlOhneTilgung,15)=1,0,IF(AND(INDEX(DarlTilgStart,15)&gt;0,$E7139=INDEX(DarlTilgStart,15)),$J7139*($H7139+INDEX(DarlTilgung,15))/100/12,IF(AND($G7139=0,$G7138=1),MAX($K7138,$J7139*($H7139+1)/100/12),$K7138))))</f>
      </c>
      <c r="L7139" s="43">
        <f>IF($I7139=0,0,$J7139*$H7139/100/12)</f>
      </c>
      <c r="M7139" s="43">
        <f>IF($I7139=0,0,IF(OR(INDEX(DarlOhneTilgung,15)=1,AND(INDEX(DarlTilgStart,15)&gt;0,$E7139&lt;INDEX(DarlTilgStart,15))),0,MIN(MAX(0,$K7139-$L7139),$J7139)))</f>
      </c>
      <c r="N7139" s="43">
        <f>IF($I7139=0,0,MIN(SUMIFS(SondBetrag,SondDarl,15,SondDatum,"&gt;="&amp;$E7139,SondDatum,"&lt;="&amp;EOMONTH($E7139,0)),$J7139-$M7139))</f>
      </c>
      <c r="O7139" s="43">
        <f>IF($I7139=0,0,INDEX(DarlErsatzRate,15))</f>
      </c>
      <c r="P7139" s="43">
        <f>IF($I7139=0,0,$Q7138*INDEX(DarlErsatzZins,15))</f>
      </c>
      <c r="Q7139" s="43">
        <f>IF($I7139=0,0,$Q7138+$P7139+$O7139)</f>
      </c>
      <c r="R7139" s="43">
        <f>IF($I7139=0,0,$J7139-$M7139-$N7139)</f>
      </c>
    </row>
    <row r="7140">
      <c r="A7140"/>
      <c r="B7140">
        <v>15</v>
      </c>
      <c r="C7140" s="43">
        <f>INDEX(DarlObj,15)</f>
      </c>
      <c r="D7140">
        <v>417</v>
      </c>
      <c r="E7140" s="51">
        <f>IF(INDEX(DarlBelegt,15)=0,0,EOMONTH(INDEX(DarlAuszahlung,15),416)+1)</f>
      </c>
      <c r="F7140" s="43">
        <f>IF($E7140=0,0,YEAR($E7140))</f>
      </c>
      <c r="G7140" s="43">
        <f>IF(INDEX(DarlBindung,15)="",1,IF($E7140&lt;=INDEX(DarlBindung,15),1,0))</f>
      </c>
      <c r="H7140" s="43">
        <f>IF($G7140=1,INDEX(DarlSollzins,15),INDEX(DarlAnschluss,15))</f>
      </c>
      <c r="I7140" s="43">
        <f>IF(INDEX(DarlBelegt,15)=0,0,IF(INDEX(DarlOhneTilgung,15)=1,IF(INDEX(DarlBindung,15)="",1,$G7140),IF($J7140&gt;0.005,1,0)))</f>
      </c>
      <c r="J7140" s="43">
        <f>IF($I7139=0,0,$R7139)</f>
      </c>
      <c r="K7140" s="43">
        <f>IF($I7140=0,0,IF(INDEX(DarlOhneTilgung,15)=1,0,IF(AND(INDEX(DarlTilgStart,15)&gt;0,$E7140=INDEX(DarlTilgStart,15)),$J7140*($H7140+INDEX(DarlTilgung,15))/100/12,IF(AND($G7140=0,$G7139=1),MAX($K7139,$J7140*($H7140+1)/100/12),$K7139))))</f>
      </c>
      <c r="L7140" s="43">
        <f>IF($I7140=0,0,$J7140*$H7140/100/12)</f>
      </c>
      <c r="M7140" s="43">
        <f>IF($I7140=0,0,IF(OR(INDEX(DarlOhneTilgung,15)=1,AND(INDEX(DarlTilgStart,15)&gt;0,$E7140&lt;INDEX(DarlTilgStart,15))),0,MIN(MAX(0,$K7140-$L7140),$J7140)))</f>
      </c>
      <c r="N7140" s="43">
        <f>IF($I7140=0,0,MIN(SUMIFS(SondBetrag,SondDarl,15,SondDatum,"&gt;="&amp;$E7140,SondDatum,"&lt;="&amp;EOMONTH($E7140,0)),$J7140-$M7140))</f>
      </c>
      <c r="O7140" s="43">
        <f>IF($I7140=0,0,INDEX(DarlErsatzRate,15))</f>
      </c>
      <c r="P7140" s="43">
        <f>IF($I7140=0,0,$Q7139*INDEX(DarlErsatzZins,15))</f>
      </c>
      <c r="Q7140" s="43">
        <f>IF($I7140=0,0,$Q7139+$P7140+$O7140)</f>
      </c>
      <c r="R7140" s="43">
        <f>IF($I7140=0,0,$J7140-$M7140-$N7140)</f>
      </c>
    </row>
    <row r="7141">
      <c r="A7141"/>
      <c r="B7141">
        <v>15</v>
      </c>
      <c r="C7141" s="43">
        <f>INDEX(DarlObj,15)</f>
      </c>
      <c r="D7141">
        <v>418</v>
      </c>
      <c r="E7141" s="51">
        <f>IF(INDEX(DarlBelegt,15)=0,0,EOMONTH(INDEX(DarlAuszahlung,15),417)+1)</f>
      </c>
      <c r="F7141" s="43">
        <f>IF($E7141=0,0,YEAR($E7141))</f>
      </c>
      <c r="G7141" s="43">
        <f>IF(INDEX(DarlBindung,15)="",1,IF($E7141&lt;=INDEX(DarlBindung,15),1,0))</f>
      </c>
      <c r="H7141" s="43">
        <f>IF($G7141=1,INDEX(DarlSollzins,15),INDEX(DarlAnschluss,15))</f>
      </c>
      <c r="I7141" s="43">
        <f>IF(INDEX(DarlBelegt,15)=0,0,IF(INDEX(DarlOhneTilgung,15)=1,IF(INDEX(DarlBindung,15)="",1,$G7141),IF($J7141&gt;0.005,1,0)))</f>
      </c>
      <c r="J7141" s="43">
        <f>IF($I7140=0,0,$R7140)</f>
      </c>
      <c r="K7141" s="43">
        <f>IF($I7141=0,0,IF(INDEX(DarlOhneTilgung,15)=1,0,IF(AND(INDEX(DarlTilgStart,15)&gt;0,$E7141=INDEX(DarlTilgStart,15)),$J7141*($H7141+INDEX(DarlTilgung,15))/100/12,IF(AND($G7141=0,$G7140=1),MAX($K7140,$J7141*($H7141+1)/100/12),$K7140))))</f>
      </c>
      <c r="L7141" s="43">
        <f>IF($I7141=0,0,$J7141*$H7141/100/12)</f>
      </c>
      <c r="M7141" s="43">
        <f>IF($I7141=0,0,IF(OR(INDEX(DarlOhneTilgung,15)=1,AND(INDEX(DarlTilgStart,15)&gt;0,$E7141&lt;INDEX(DarlTilgStart,15))),0,MIN(MAX(0,$K7141-$L7141),$J7141)))</f>
      </c>
      <c r="N7141" s="43">
        <f>IF($I7141=0,0,MIN(SUMIFS(SondBetrag,SondDarl,15,SondDatum,"&gt;="&amp;$E7141,SondDatum,"&lt;="&amp;EOMONTH($E7141,0)),$J7141-$M7141))</f>
      </c>
      <c r="O7141" s="43">
        <f>IF($I7141=0,0,INDEX(DarlErsatzRate,15))</f>
      </c>
      <c r="P7141" s="43">
        <f>IF($I7141=0,0,$Q7140*INDEX(DarlErsatzZins,15))</f>
      </c>
      <c r="Q7141" s="43">
        <f>IF($I7141=0,0,$Q7140+$P7141+$O7141)</f>
      </c>
      <c r="R7141" s="43">
        <f>IF($I7141=0,0,$J7141-$M7141-$N7141)</f>
      </c>
    </row>
    <row r="7142">
      <c r="A7142"/>
      <c r="B7142">
        <v>15</v>
      </c>
      <c r="C7142" s="43">
        <f>INDEX(DarlObj,15)</f>
      </c>
      <c r="D7142">
        <v>419</v>
      </c>
      <c r="E7142" s="51">
        <f>IF(INDEX(DarlBelegt,15)=0,0,EOMONTH(INDEX(DarlAuszahlung,15),418)+1)</f>
      </c>
      <c r="F7142" s="43">
        <f>IF($E7142=0,0,YEAR($E7142))</f>
      </c>
      <c r="G7142" s="43">
        <f>IF(INDEX(DarlBindung,15)="",1,IF($E7142&lt;=INDEX(DarlBindung,15),1,0))</f>
      </c>
      <c r="H7142" s="43">
        <f>IF($G7142=1,INDEX(DarlSollzins,15),INDEX(DarlAnschluss,15))</f>
      </c>
      <c r="I7142" s="43">
        <f>IF(INDEX(DarlBelegt,15)=0,0,IF(INDEX(DarlOhneTilgung,15)=1,IF(INDEX(DarlBindung,15)="",1,$G7142),IF($J7142&gt;0.005,1,0)))</f>
      </c>
      <c r="J7142" s="43">
        <f>IF($I7141=0,0,$R7141)</f>
      </c>
      <c r="K7142" s="43">
        <f>IF($I7142=0,0,IF(INDEX(DarlOhneTilgung,15)=1,0,IF(AND(INDEX(DarlTilgStart,15)&gt;0,$E7142=INDEX(DarlTilgStart,15)),$J7142*($H7142+INDEX(DarlTilgung,15))/100/12,IF(AND($G7142=0,$G7141=1),MAX($K7141,$J7142*($H7142+1)/100/12),$K7141))))</f>
      </c>
      <c r="L7142" s="43">
        <f>IF($I7142=0,0,$J7142*$H7142/100/12)</f>
      </c>
      <c r="M7142" s="43">
        <f>IF($I7142=0,0,IF(OR(INDEX(DarlOhneTilgung,15)=1,AND(INDEX(DarlTilgStart,15)&gt;0,$E7142&lt;INDEX(DarlTilgStart,15))),0,MIN(MAX(0,$K7142-$L7142),$J7142)))</f>
      </c>
      <c r="N7142" s="43">
        <f>IF($I7142=0,0,MIN(SUMIFS(SondBetrag,SondDarl,15,SondDatum,"&gt;="&amp;$E7142,SondDatum,"&lt;="&amp;EOMONTH($E7142,0)),$J7142-$M7142))</f>
      </c>
      <c r="O7142" s="43">
        <f>IF($I7142=0,0,INDEX(DarlErsatzRate,15))</f>
      </c>
      <c r="P7142" s="43">
        <f>IF($I7142=0,0,$Q7141*INDEX(DarlErsatzZins,15))</f>
      </c>
      <c r="Q7142" s="43">
        <f>IF($I7142=0,0,$Q7141+$P7142+$O7142)</f>
      </c>
      <c r="R7142" s="43">
        <f>IF($I7142=0,0,$J7142-$M7142-$N7142)</f>
      </c>
    </row>
    <row r="7143">
      <c r="A7143"/>
      <c r="B7143">
        <v>15</v>
      </c>
      <c r="C7143" s="43">
        <f>INDEX(DarlObj,15)</f>
      </c>
      <c r="D7143">
        <v>420</v>
      </c>
      <c r="E7143" s="51">
        <f>IF(INDEX(DarlBelegt,15)=0,0,EOMONTH(INDEX(DarlAuszahlung,15),419)+1)</f>
      </c>
      <c r="F7143" s="43">
        <f>IF($E7143=0,0,YEAR($E7143))</f>
      </c>
      <c r="G7143" s="43">
        <f>IF(INDEX(DarlBindung,15)="",1,IF($E7143&lt;=INDEX(DarlBindung,15),1,0))</f>
      </c>
      <c r="H7143" s="43">
        <f>IF($G7143=1,INDEX(DarlSollzins,15),INDEX(DarlAnschluss,15))</f>
      </c>
      <c r="I7143" s="43">
        <f>IF(INDEX(DarlBelegt,15)=0,0,IF(INDEX(DarlOhneTilgung,15)=1,IF(INDEX(DarlBindung,15)="",1,$G7143),IF($J7143&gt;0.005,1,0)))</f>
      </c>
      <c r="J7143" s="43">
        <f>IF($I7142=0,0,$R7142)</f>
      </c>
      <c r="K7143" s="43">
        <f>IF($I7143=0,0,IF(INDEX(DarlOhneTilgung,15)=1,0,IF(AND(INDEX(DarlTilgStart,15)&gt;0,$E7143=INDEX(DarlTilgStart,15)),$J7143*($H7143+INDEX(DarlTilgung,15))/100/12,IF(AND($G7143=0,$G7142=1),MAX($K7142,$J7143*($H7143+1)/100/12),$K7142))))</f>
      </c>
      <c r="L7143" s="43">
        <f>IF($I7143=0,0,$J7143*$H7143/100/12)</f>
      </c>
      <c r="M7143" s="43">
        <f>IF($I7143=0,0,IF(OR(INDEX(DarlOhneTilgung,15)=1,AND(INDEX(DarlTilgStart,15)&gt;0,$E7143&lt;INDEX(DarlTilgStart,15))),0,MIN(MAX(0,$K7143-$L7143),$J7143)))</f>
      </c>
      <c r="N7143" s="43">
        <f>IF($I7143=0,0,MIN(SUMIFS(SondBetrag,SondDarl,15,SondDatum,"&gt;="&amp;$E7143,SondDatum,"&lt;="&amp;EOMONTH($E7143,0)),$J7143-$M7143))</f>
      </c>
      <c r="O7143" s="43">
        <f>IF($I7143=0,0,INDEX(DarlErsatzRate,15))</f>
      </c>
      <c r="P7143" s="43">
        <f>IF($I7143=0,0,$Q7142*INDEX(DarlErsatzZins,15))</f>
      </c>
      <c r="Q7143" s="43">
        <f>IF($I7143=0,0,$Q7142+$P7143+$O7143)</f>
      </c>
      <c r="R7143" s="43">
        <f>IF($I7143=0,0,$J7143-$M7143-$N7143)</f>
      </c>
    </row>
    <row r="7144">
      <c r="A7144"/>
      <c r="B7144">
        <v>15</v>
      </c>
      <c r="C7144" s="43">
        <f>INDEX(DarlObj,15)</f>
      </c>
      <c r="D7144">
        <v>421</v>
      </c>
      <c r="E7144" s="51">
        <f>IF(INDEX(DarlBelegt,15)=0,0,EOMONTH(INDEX(DarlAuszahlung,15),420)+1)</f>
      </c>
      <c r="F7144" s="43">
        <f>IF($E7144=0,0,YEAR($E7144))</f>
      </c>
      <c r="G7144" s="43">
        <f>IF(INDEX(DarlBindung,15)="",1,IF($E7144&lt;=INDEX(DarlBindung,15),1,0))</f>
      </c>
      <c r="H7144" s="43">
        <f>IF($G7144=1,INDEX(DarlSollzins,15),INDEX(DarlAnschluss,15))</f>
      </c>
      <c r="I7144" s="43">
        <f>IF(INDEX(DarlBelegt,15)=0,0,IF(INDEX(DarlOhneTilgung,15)=1,IF(INDEX(DarlBindung,15)="",1,$G7144),IF($J7144&gt;0.005,1,0)))</f>
      </c>
      <c r="J7144" s="43">
        <f>IF($I7143=0,0,$R7143)</f>
      </c>
      <c r="K7144" s="43">
        <f>IF($I7144=0,0,IF(INDEX(DarlOhneTilgung,15)=1,0,IF(AND(INDEX(DarlTilgStart,15)&gt;0,$E7144=INDEX(DarlTilgStart,15)),$J7144*($H7144+INDEX(DarlTilgung,15))/100/12,IF(AND($G7144=0,$G7143=1),MAX($K7143,$J7144*($H7144+1)/100/12),$K7143))))</f>
      </c>
      <c r="L7144" s="43">
        <f>IF($I7144=0,0,$J7144*$H7144/100/12)</f>
      </c>
      <c r="M7144" s="43">
        <f>IF($I7144=0,0,IF(OR(INDEX(DarlOhneTilgung,15)=1,AND(INDEX(DarlTilgStart,15)&gt;0,$E7144&lt;INDEX(DarlTilgStart,15))),0,MIN(MAX(0,$K7144-$L7144),$J7144)))</f>
      </c>
      <c r="N7144" s="43">
        <f>IF($I7144=0,0,MIN(SUMIFS(SondBetrag,SondDarl,15,SondDatum,"&gt;="&amp;$E7144,SondDatum,"&lt;="&amp;EOMONTH($E7144,0)),$J7144-$M7144))</f>
      </c>
      <c r="O7144" s="43">
        <f>IF($I7144=0,0,INDEX(DarlErsatzRate,15))</f>
      </c>
      <c r="P7144" s="43">
        <f>IF($I7144=0,0,$Q7143*INDEX(DarlErsatzZins,15))</f>
      </c>
      <c r="Q7144" s="43">
        <f>IF($I7144=0,0,$Q7143+$P7144+$O7144)</f>
      </c>
      <c r="R7144" s="43">
        <f>IF($I7144=0,0,$J7144-$M7144-$N7144)</f>
      </c>
    </row>
    <row r="7145">
      <c r="A7145"/>
      <c r="B7145">
        <v>15</v>
      </c>
      <c r="C7145" s="43">
        <f>INDEX(DarlObj,15)</f>
      </c>
      <c r="D7145">
        <v>422</v>
      </c>
      <c r="E7145" s="51">
        <f>IF(INDEX(DarlBelegt,15)=0,0,EOMONTH(INDEX(DarlAuszahlung,15),421)+1)</f>
      </c>
      <c r="F7145" s="43">
        <f>IF($E7145=0,0,YEAR($E7145))</f>
      </c>
      <c r="G7145" s="43">
        <f>IF(INDEX(DarlBindung,15)="",1,IF($E7145&lt;=INDEX(DarlBindung,15),1,0))</f>
      </c>
      <c r="H7145" s="43">
        <f>IF($G7145=1,INDEX(DarlSollzins,15),INDEX(DarlAnschluss,15))</f>
      </c>
      <c r="I7145" s="43">
        <f>IF(INDEX(DarlBelegt,15)=0,0,IF(INDEX(DarlOhneTilgung,15)=1,IF(INDEX(DarlBindung,15)="",1,$G7145),IF($J7145&gt;0.005,1,0)))</f>
      </c>
      <c r="J7145" s="43">
        <f>IF($I7144=0,0,$R7144)</f>
      </c>
      <c r="K7145" s="43">
        <f>IF($I7145=0,0,IF(INDEX(DarlOhneTilgung,15)=1,0,IF(AND(INDEX(DarlTilgStart,15)&gt;0,$E7145=INDEX(DarlTilgStart,15)),$J7145*($H7145+INDEX(DarlTilgung,15))/100/12,IF(AND($G7145=0,$G7144=1),MAX($K7144,$J7145*($H7145+1)/100/12),$K7144))))</f>
      </c>
      <c r="L7145" s="43">
        <f>IF($I7145=0,0,$J7145*$H7145/100/12)</f>
      </c>
      <c r="M7145" s="43">
        <f>IF($I7145=0,0,IF(OR(INDEX(DarlOhneTilgung,15)=1,AND(INDEX(DarlTilgStart,15)&gt;0,$E7145&lt;INDEX(DarlTilgStart,15))),0,MIN(MAX(0,$K7145-$L7145),$J7145)))</f>
      </c>
      <c r="N7145" s="43">
        <f>IF($I7145=0,0,MIN(SUMIFS(SondBetrag,SondDarl,15,SondDatum,"&gt;="&amp;$E7145,SondDatum,"&lt;="&amp;EOMONTH($E7145,0)),$J7145-$M7145))</f>
      </c>
      <c r="O7145" s="43">
        <f>IF($I7145=0,0,INDEX(DarlErsatzRate,15))</f>
      </c>
      <c r="P7145" s="43">
        <f>IF($I7145=0,0,$Q7144*INDEX(DarlErsatzZins,15))</f>
      </c>
      <c r="Q7145" s="43">
        <f>IF($I7145=0,0,$Q7144+$P7145+$O7145)</f>
      </c>
      <c r="R7145" s="43">
        <f>IF($I7145=0,0,$J7145-$M7145-$N7145)</f>
      </c>
    </row>
    <row r="7146">
      <c r="A7146"/>
      <c r="B7146">
        <v>15</v>
      </c>
      <c r="C7146" s="43">
        <f>INDEX(DarlObj,15)</f>
      </c>
      <c r="D7146">
        <v>423</v>
      </c>
      <c r="E7146" s="51">
        <f>IF(INDEX(DarlBelegt,15)=0,0,EOMONTH(INDEX(DarlAuszahlung,15),422)+1)</f>
      </c>
      <c r="F7146" s="43">
        <f>IF($E7146=0,0,YEAR($E7146))</f>
      </c>
      <c r="G7146" s="43">
        <f>IF(INDEX(DarlBindung,15)="",1,IF($E7146&lt;=INDEX(DarlBindung,15),1,0))</f>
      </c>
      <c r="H7146" s="43">
        <f>IF($G7146=1,INDEX(DarlSollzins,15),INDEX(DarlAnschluss,15))</f>
      </c>
      <c r="I7146" s="43">
        <f>IF(INDEX(DarlBelegt,15)=0,0,IF(INDEX(DarlOhneTilgung,15)=1,IF(INDEX(DarlBindung,15)="",1,$G7146),IF($J7146&gt;0.005,1,0)))</f>
      </c>
      <c r="J7146" s="43">
        <f>IF($I7145=0,0,$R7145)</f>
      </c>
      <c r="K7146" s="43">
        <f>IF($I7146=0,0,IF(INDEX(DarlOhneTilgung,15)=1,0,IF(AND(INDEX(DarlTilgStart,15)&gt;0,$E7146=INDEX(DarlTilgStart,15)),$J7146*($H7146+INDEX(DarlTilgung,15))/100/12,IF(AND($G7146=0,$G7145=1),MAX($K7145,$J7146*($H7146+1)/100/12),$K7145))))</f>
      </c>
      <c r="L7146" s="43">
        <f>IF($I7146=0,0,$J7146*$H7146/100/12)</f>
      </c>
      <c r="M7146" s="43">
        <f>IF($I7146=0,0,IF(OR(INDEX(DarlOhneTilgung,15)=1,AND(INDEX(DarlTilgStart,15)&gt;0,$E7146&lt;INDEX(DarlTilgStart,15))),0,MIN(MAX(0,$K7146-$L7146),$J7146)))</f>
      </c>
      <c r="N7146" s="43">
        <f>IF($I7146=0,0,MIN(SUMIFS(SondBetrag,SondDarl,15,SondDatum,"&gt;="&amp;$E7146,SondDatum,"&lt;="&amp;EOMONTH($E7146,0)),$J7146-$M7146))</f>
      </c>
      <c r="O7146" s="43">
        <f>IF($I7146=0,0,INDEX(DarlErsatzRate,15))</f>
      </c>
      <c r="P7146" s="43">
        <f>IF($I7146=0,0,$Q7145*INDEX(DarlErsatzZins,15))</f>
      </c>
      <c r="Q7146" s="43">
        <f>IF($I7146=0,0,$Q7145+$P7146+$O7146)</f>
      </c>
      <c r="R7146" s="43">
        <f>IF($I7146=0,0,$J7146-$M7146-$N7146)</f>
      </c>
    </row>
    <row r="7147">
      <c r="A7147"/>
      <c r="B7147">
        <v>15</v>
      </c>
      <c r="C7147" s="43">
        <f>INDEX(DarlObj,15)</f>
      </c>
      <c r="D7147">
        <v>424</v>
      </c>
      <c r="E7147" s="51">
        <f>IF(INDEX(DarlBelegt,15)=0,0,EOMONTH(INDEX(DarlAuszahlung,15),423)+1)</f>
      </c>
      <c r="F7147" s="43">
        <f>IF($E7147=0,0,YEAR($E7147))</f>
      </c>
      <c r="G7147" s="43">
        <f>IF(INDEX(DarlBindung,15)="",1,IF($E7147&lt;=INDEX(DarlBindung,15),1,0))</f>
      </c>
      <c r="H7147" s="43">
        <f>IF($G7147=1,INDEX(DarlSollzins,15),INDEX(DarlAnschluss,15))</f>
      </c>
      <c r="I7147" s="43">
        <f>IF(INDEX(DarlBelegt,15)=0,0,IF(INDEX(DarlOhneTilgung,15)=1,IF(INDEX(DarlBindung,15)="",1,$G7147),IF($J7147&gt;0.005,1,0)))</f>
      </c>
      <c r="J7147" s="43">
        <f>IF($I7146=0,0,$R7146)</f>
      </c>
      <c r="K7147" s="43">
        <f>IF($I7147=0,0,IF(INDEX(DarlOhneTilgung,15)=1,0,IF(AND(INDEX(DarlTilgStart,15)&gt;0,$E7147=INDEX(DarlTilgStart,15)),$J7147*($H7147+INDEX(DarlTilgung,15))/100/12,IF(AND($G7147=0,$G7146=1),MAX($K7146,$J7147*($H7147+1)/100/12),$K7146))))</f>
      </c>
      <c r="L7147" s="43">
        <f>IF($I7147=0,0,$J7147*$H7147/100/12)</f>
      </c>
      <c r="M7147" s="43">
        <f>IF($I7147=0,0,IF(OR(INDEX(DarlOhneTilgung,15)=1,AND(INDEX(DarlTilgStart,15)&gt;0,$E7147&lt;INDEX(DarlTilgStart,15))),0,MIN(MAX(0,$K7147-$L7147),$J7147)))</f>
      </c>
      <c r="N7147" s="43">
        <f>IF($I7147=0,0,MIN(SUMIFS(SondBetrag,SondDarl,15,SondDatum,"&gt;="&amp;$E7147,SondDatum,"&lt;="&amp;EOMONTH($E7147,0)),$J7147-$M7147))</f>
      </c>
      <c r="O7147" s="43">
        <f>IF($I7147=0,0,INDEX(DarlErsatzRate,15))</f>
      </c>
      <c r="P7147" s="43">
        <f>IF($I7147=0,0,$Q7146*INDEX(DarlErsatzZins,15))</f>
      </c>
      <c r="Q7147" s="43">
        <f>IF($I7147=0,0,$Q7146+$P7147+$O7147)</f>
      </c>
      <c r="R7147" s="43">
        <f>IF($I7147=0,0,$J7147-$M7147-$N7147)</f>
      </c>
    </row>
    <row r="7148">
      <c r="A7148"/>
      <c r="B7148">
        <v>15</v>
      </c>
      <c r="C7148" s="43">
        <f>INDEX(DarlObj,15)</f>
      </c>
      <c r="D7148">
        <v>425</v>
      </c>
      <c r="E7148" s="51">
        <f>IF(INDEX(DarlBelegt,15)=0,0,EOMONTH(INDEX(DarlAuszahlung,15),424)+1)</f>
      </c>
      <c r="F7148" s="43">
        <f>IF($E7148=0,0,YEAR($E7148))</f>
      </c>
      <c r="G7148" s="43">
        <f>IF(INDEX(DarlBindung,15)="",1,IF($E7148&lt;=INDEX(DarlBindung,15),1,0))</f>
      </c>
      <c r="H7148" s="43">
        <f>IF($G7148=1,INDEX(DarlSollzins,15),INDEX(DarlAnschluss,15))</f>
      </c>
      <c r="I7148" s="43">
        <f>IF(INDEX(DarlBelegt,15)=0,0,IF(INDEX(DarlOhneTilgung,15)=1,IF(INDEX(DarlBindung,15)="",1,$G7148),IF($J7148&gt;0.005,1,0)))</f>
      </c>
      <c r="J7148" s="43">
        <f>IF($I7147=0,0,$R7147)</f>
      </c>
      <c r="K7148" s="43">
        <f>IF($I7148=0,0,IF(INDEX(DarlOhneTilgung,15)=1,0,IF(AND(INDEX(DarlTilgStart,15)&gt;0,$E7148=INDEX(DarlTilgStart,15)),$J7148*($H7148+INDEX(DarlTilgung,15))/100/12,IF(AND($G7148=0,$G7147=1),MAX($K7147,$J7148*($H7148+1)/100/12),$K7147))))</f>
      </c>
      <c r="L7148" s="43">
        <f>IF($I7148=0,0,$J7148*$H7148/100/12)</f>
      </c>
      <c r="M7148" s="43">
        <f>IF($I7148=0,0,IF(OR(INDEX(DarlOhneTilgung,15)=1,AND(INDEX(DarlTilgStart,15)&gt;0,$E7148&lt;INDEX(DarlTilgStart,15))),0,MIN(MAX(0,$K7148-$L7148),$J7148)))</f>
      </c>
      <c r="N7148" s="43">
        <f>IF($I7148=0,0,MIN(SUMIFS(SondBetrag,SondDarl,15,SondDatum,"&gt;="&amp;$E7148,SondDatum,"&lt;="&amp;EOMONTH($E7148,0)),$J7148-$M7148))</f>
      </c>
      <c r="O7148" s="43">
        <f>IF($I7148=0,0,INDEX(DarlErsatzRate,15))</f>
      </c>
      <c r="P7148" s="43">
        <f>IF($I7148=0,0,$Q7147*INDEX(DarlErsatzZins,15))</f>
      </c>
      <c r="Q7148" s="43">
        <f>IF($I7148=0,0,$Q7147+$P7148+$O7148)</f>
      </c>
      <c r="R7148" s="43">
        <f>IF($I7148=0,0,$J7148-$M7148-$N7148)</f>
      </c>
    </row>
    <row r="7149">
      <c r="A7149"/>
      <c r="B7149">
        <v>15</v>
      </c>
      <c r="C7149" s="43">
        <f>INDEX(DarlObj,15)</f>
      </c>
      <c r="D7149">
        <v>426</v>
      </c>
      <c r="E7149" s="51">
        <f>IF(INDEX(DarlBelegt,15)=0,0,EOMONTH(INDEX(DarlAuszahlung,15),425)+1)</f>
      </c>
      <c r="F7149" s="43">
        <f>IF($E7149=0,0,YEAR($E7149))</f>
      </c>
      <c r="G7149" s="43">
        <f>IF(INDEX(DarlBindung,15)="",1,IF($E7149&lt;=INDEX(DarlBindung,15),1,0))</f>
      </c>
      <c r="H7149" s="43">
        <f>IF($G7149=1,INDEX(DarlSollzins,15),INDEX(DarlAnschluss,15))</f>
      </c>
      <c r="I7149" s="43">
        <f>IF(INDEX(DarlBelegt,15)=0,0,IF(INDEX(DarlOhneTilgung,15)=1,IF(INDEX(DarlBindung,15)="",1,$G7149),IF($J7149&gt;0.005,1,0)))</f>
      </c>
      <c r="J7149" s="43">
        <f>IF($I7148=0,0,$R7148)</f>
      </c>
      <c r="K7149" s="43">
        <f>IF($I7149=0,0,IF(INDEX(DarlOhneTilgung,15)=1,0,IF(AND(INDEX(DarlTilgStart,15)&gt;0,$E7149=INDEX(DarlTilgStart,15)),$J7149*($H7149+INDEX(DarlTilgung,15))/100/12,IF(AND($G7149=0,$G7148=1),MAX($K7148,$J7149*($H7149+1)/100/12),$K7148))))</f>
      </c>
      <c r="L7149" s="43">
        <f>IF($I7149=0,0,$J7149*$H7149/100/12)</f>
      </c>
      <c r="M7149" s="43">
        <f>IF($I7149=0,0,IF(OR(INDEX(DarlOhneTilgung,15)=1,AND(INDEX(DarlTilgStart,15)&gt;0,$E7149&lt;INDEX(DarlTilgStart,15))),0,MIN(MAX(0,$K7149-$L7149),$J7149)))</f>
      </c>
      <c r="N7149" s="43">
        <f>IF($I7149=0,0,MIN(SUMIFS(SondBetrag,SondDarl,15,SondDatum,"&gt;="&amp;$E7149,SondDatum,"&lt;="&amp;EOMONTH($E7149,0)),$J7149-$M7149))</f>
      </c>
      <c r="O7149" s="43">
        <f>IF($I7149=0,0,INDEX(DarlErsatzRate,15))</f>
      </c>
      <c r="P7149" s="43">
        <f>IF($I7149=0,0,$Q7148*INDEX(DarlErsatzZins,15))</f>
      </c>
      <c r="Q7149" s="43">
        <f>IF($I7149=0,0,$Q7148+$P7149+$O7149)</f>
      </c>
      <c r="R7149" s="43">
        <f>IF($I7149=0,0,$J7149-$M7149-$N7149)</f>
      </c>
    </row>
    <row r="7150">
      <c r="A7150"/>
      <c r="B7150">
        <v>15</v>
      </c>
      <c r="C7150" s="43">
        <f>INDEX(DarlObj,15)</f>
      </c>
      <c r="D7150">
        <v>427</v>
      </c>
      <c r="E7150" s="51">
        <f>IF(INDEX(DarlBelegt,15)=0,0,EOMONTH(INDEX(DarlAuszahlung,15),426)+1)</f>
      </c>
      <c r="F7150" s="43">
        <f>IF($E7150=0,0,YEAR($E7150))</f>
      </c>
      <c r="G7150" s="43">
        <f>IF(INDEX(DarlBindung,15)="",1,IF($E7150&lt;=INDEX(DarlBindung,15),1,0))</f>
      </c>
      <c r="H7150" s="43">
        <f>IF($G7150=1,INDEX(DarlSollzins,15),INDEX(DarlAnschluss,15))</f>
      </c>
      <c r="I7150" s="43">
        <f>IF(INDEX(DarlBelegt,15)=0,0,IF(INDEX(DarlOhneTilgung,15)=1,IF(INDEX(DarlBindung,15)="",1,$G7150),IF($J7150&gt;0.005,1,0)))</f>
      </c>
      <c r="J7150" s="43">
        <f>IF($I7149=0,0,$R7149)</f>
      </c>
      <c r="K7150" s="43">
        <f>IF($I7150=0,0,IF(INDEX(DarlOhneTilgung,15)=1,0,IF(AND(INDEX(DarlTilgStart,15)&gt;0,$E7150=INDEX(DarlTilgStart,15)),$J7150*($H7150+INDEX(DarlTilgung,15))/100/12,IF(AND($G7150=0,$G7149=1),MAX($K7149,$J7150*($H7150+1)/100/12),$K7149))))</f>
      </c>
      <c r="L7150" s="43">
        <f>IF($I7150=0,0,$J7150*$H7150/100/12)</f>
      </c>
      <c r="M7150" s="43">
        <f>IF($I7150=0,0,IF(OR(INDEX(DarlOhneTilgung,15)=1,AND(INDEX(DarlTilgStart,15)&gt;0,$E7150&lt;INDEX(DarlTilgStart,15))),0,MIN(MAX(0,$K7150-$L7150),$J7150)))</f>
      </c>
      <c r="N7150" s="43">
        <f>IF($I7150=0,0,MIN(SUMIFS(SondBetrag,SondDarl,15,SondDatum,"&gt;="&amp;$E7150,SondDatum,"&lt;="&amp;EOMONTH($E7150,0)),$J7150-$M7150))</f>
      </c>
      <c r="O7150" s="43">
        <f>IF($I7150=0,0,INDEX(DarlErsatzRate,15))</f>
      </c>
      <c r="P7150" s="43">
        <f>IF($I7150=0,0,$Q7149*INDEX(DarlErsatzZins,15))</f>
      </c>
      <c r="Q7150" s="43">
        <f>IF($I7150=0,0,$Q7149+$P7150+$O7150)</f>
      </c>
      <c r="R7150" s="43">
        <f>IF($I7150=0,0,$J7150-$M7150-$N7150)</f>
      </c>
    </row>
    <row r="7151">
      <c r="A7151"/>
      <c r="B7151">
        <v>15</v>
      </c>
      <c r="C7151" s="43">
        <f>INDEX(DarlObj,15)</f>
      </c>
      <c r="D7151">
        <v>428</v>
      </c>
      <c r="E7151" s="51">
        <f>IF(INDEX(DarlBelegt,15)=0,0,EOMONTH(INDEX(DarlAuszahlung,15),427)+1)</f>
      </c>
      <c r="F7151" s="43">
        <f>IF($E7151=0,0,YEAR($E7151))</f>
      </c>
      <c r="G7151" s="43">
        <f>IF(INDEX(DarlBindung,15)="",1,IF($E7151&lt;=INDEX(DarlBindung,15),1,0))</f>
      </c>
      <c r="H7151" s="43">
        <f>IF($G7151=1,INDEX(DarlSollzins,15),INDEX(DarlAnschluss,15))</f>
      </c>
      <c r="I7151" s="43">
        <f>IF(INDEX(DarlBelegt,15)=0,0,IF(INDEX(DarlOhneTilgung,15)=1,IF(INDEX(DarlBindung,15)="",1,$G7151),IF($J7151&gt;0.005,1,0)))</f>
      </c>
      <c r="J7151" s="43">
        <f>IF($I7150=0,0,$R7150)</f>
      </c>
      <c r="K7151" s="43">
        <f>IF($I7151=0,0,IF(INDEX(DarlOhneTilgung,15)=1,0,IF(AND(INDEX(DarlTilgStart,15)&gt;0,$E7151=INDEX(DarlTilgStart,15)),$J7151*($H7151+INDEX(DarlTilgung,15))/100/12,IF(AND($G7151=0,$G7150=1),MAX($K7150,$J7151*($H7151+1)/100/12),$K7150))))</f>
      </c>
      <c r="L7151" s="43">
        <f>IF($I7151=0,0,$J7151*$H7151/100/12)</f>
      </c>
      <c r="M7151" s="43">
        <f>IF($I7151=0,0,IF(OR(INDEX(DarlOhneTilgung,15)=1,AND(INDEX(DarlTilgStart,15)&gt;0,$E7151&lt;INDEX(DarlTilgStart,15))),0,MIN(MAX(0,$K7151-$L7151),$J7151)))</f>
      </c>
      <c r="N7151" s="43">
        <f>IF($I7151=0,0,MIN(SUMIFS(SondBetrag,SondDarl,15,SondDatum,"&gt;="&amp;$E7151,SondDatum,"&lt;="&amp;EOMONTH($E7151,0)),$J7151-$M7151))</f>
      </c>
      <c r="O7151" s="43">
        <f>IF($I7151=0,0,INDEX(DarlErsatzRate,15))</f>
      </c>
      <c r="P7151" s="43">
        <f>IF($I7151=0,0,$Q7150*INDEX(DarlErsatzZins,15))</f>
      </c>
      <c r="Q7151" s="43">
        <f>IF($I7151=0,0,$Q7150+$P7151+$O7151)</f>
      </c>
      <c r="R7151" s="43">
        <f>IF($I7151=0,0,$J7151-$M7151-$N7151)</f>
      </c>
    </row>
    <row r="7152">
      <c r="A7152"/>
      <c r="B7152">
        <v>15</v>
      </c>
      <c r="C7152" s="43">
        <f>INDEX(DarlObj,15)</f>
      </c>
      <c r="D7152">
        <v>429</v>
      </c>
      <c r="E7152" s="51">
        <f>IF(INDEX(DarlBelegt,15)=0,0,EOMONTH(INDEX(DarlAuszahlung,15),428)+1)</f>
      </c>
      <c r="F7152" s="43">
        <f>IF($E7152=0,0,YEAR($E7152))</f>
      </c>
      <c r="G7152" s="43">
        <f>IF(INDEX(DarlBindung,15)="",1,IF($E7152&lt;=INDEX(DarlBindung,15),1,0))</f>
      </c>
      <c r="H7152" s="43">
        <f>IF($G7152=1,INDEX(DarlSollzins,15),INDEX(DarlAnschluss,15))</f>
      </c>
      <c r="I7152" s="43">
        <f>IF(INDEX(DarlBelegt,15)=0,0,IF(INDEX(DarlOhneTilgung,15)=1,IF(INDEX(DarlBindung,15)="",1,$G7152),IF($J7152&gt;0.005,1,0)))</f>
      </c>
      <c r="J7152" s="43">
        <f>IF($I7151=0,0,$R7151)</f>
      </c>
      <c r="K7152" s="43">
        <f>IF($I7152=0,0,IF(INDEX(DarlOhneTilgung,15)=1,0,IF(AND(INDEX(DarlTilgStart,15)&gt;0,$E7152=INDEX(DarlTilgStart,15)),$J7152*($H7152+INDEX(DarlTilgung,15))/100/12,IF(AND($G7152=0,$G7151=1),MAX($K7151,$J7152*($H7152+1)/100/12),$K7151))))</f>
      </c>
      <c r="L7152" s="43">
        <f>IF($I7152=0,0,$J7152*$H7152/100/12)</f>
      </c>
      <c r="M7152" s="43">
        <f>IF($I7152=0,0,IF(OR(INDEX(DarlOhneTilgung,15)=1,AND(INDEX(DarlTilgStart,15)&gt;0,$E7152&lt;INDEX(DarlTilgStart,15))),0,MIN(MAX(0,$K7152-$L7152),$J7152)))</f>
      </c>
      <c r="N7152" s="43">
        <f>IF($I7152=0,0,MIN(SUMIFS(SondBetrag,SondDarl,15,SondDatum,"&gt;="&amp;$E7152,SondDatum,"&lt;="&amp;EOMONTH($E7152,0)),$J7152-$M7152))</f>
      </c>
      <c r="O7152" s="43">
        <f>IF($I7152=0,0,INDEX(DarlErsatzRate,15))</f>
      </c>
      <c r="P7152" s="43">
        <f>IF($I7152=0,0,$Q7151*INDEX(DarlErsatzZins,15))</f>
      </c>
      <c r="Q7152" s="43">
        <f>IF($I7152=0,0,$Q7151+$P7152+$O7152)</f>
      </c>
      <c r="R7152" s="43">
        <f>IF($I7152=0,0,$J7152-$M7152-$N7152)</f>
      </c>
    </row>
    <row r="7153">
      <c r="A7153"/>
      <c r="B7153">
        <v>15</v>
      </c>
      <c r="C7153" s="43">
        <f>INDEX(DarlObj,15)</f>
      </c>
      <c r="D7153">
        <v>430</v>
      </c>
      <c r="E7153" s="51">
        <f>IF(INDEX(DarlBelegt,15)=0,0,EOMONTH(INDEX(DarlAuszahlung,15),429)+1)</f>
      </c>
      <c r="F7153" s="43">
        <f>IF($E7153=0,0,YEAR($E7153))</f>
      </c>
      <c r="G7153" s="43">
        <f>IF(INDEX(DarlBindung,15)="",1,IF($E7153&lt;=INDEX(DarlBindung,15),1,0))</f>
      </c>
      <c r="H7153" s="43">
        <f>IF($G7153=1,INDEX(DarlSollzins,15),INDEX(DarlAnschluss,15))</f>
      </c>
      <c r="I7153" s="43">
        <f>IF(INDEX(DarlBelegt,15)=0,0,IF(INDEX(DarlOhneTilgung,15)=1,IF(INDEX(DarlBindung,15)="",1,$G7153),IF($J7153&gt;0.005,1,0)))</f>
      </c>
      <c r="J7153" s="43">
        <f>IF($I7152=0,0,$R7152)</f>
      </c>
      <c r="K7153" s="43">
        <f>IF($I7153=0,0,IF(INDEX(DarlOhneTilgung,15)=1,0,IF(AND(INDEX(DarlTilgStart,15)&gt;0,$E7153=INDEX(DarlTilgStart,15)),$J7153*($H7153+INDEX(DarlTilgung,15))/100/12,IF(AND($G7153=0,$G7152=1),MAX($K7152,$J7153*($H7153+1)/100/12),$K7152))))</f>
      </c>
      <c r="L7153" s="43">
        <f>IF($I7153=0,0,$J7153*$H7153/100/12)</f>
      </c>
      <c r="M7153" s="43">
        <f>IF($I7153=0,0,IF(OR(INDEX(DarlOhneTilgung,15)=1,AND(INDEX(DarlTilgStart,15)&gt;0,$E7153&lt;INDEX(DarlTilgStart,15))),0,MIN(MAX(0,$K7153-$L7153),$J7153)))</f>
      </c>
      <c r="N7153" s="43">
        <f>IF($I7153=0,0,MIN(SUMIFS(SondBetrag,SondDarl,15,SondDatum,"&gt;="&amp;$E7153,SondDatum,"&lt;="&amp;EOMONTH($E7153,0)),$J7153-$M7153))</f>
      </c>
      <c r="O7153" s="43">
        <f>IF($I7153=0,0,INDEX(DarlErsatzRate,15))</f>
      </c>
      <c r="P7153" s="43">
        <f>IF($I7153=0,0,$Q7152*INDEX(DarlErsatzZins,15))</f>
      </c>
      <c r="Q7153" s="43">
        <f>IF($I7153=0,0,$Q7152+$P7153+$O7153)</f>
      </c>
      <c r="R7153" s="43">
        <f>IF($I7153=0,0,$J7153-$M7153-$N7153)</f>
      </c>
    </row>
    <row r="7154">
      <c r="A7154"/>
      <c r="B7154">
        <v>15</v>
      </c>
      <c r="C7154" s="43">
        <f>INDEX(DarlObj,15)</f>
      </c>
      <c r="D7154">
        <v>431</v>
      </c>
      <c r="E7154" s="51">
        <f>IF(INDEX(DarlBelegt,15)=0,0,EOMONTH(INDEX(DarlAuszahlung,15),430)+1)</f>
      </c>
      <c r="F7154" s="43">
        <f>IF($E7154=0,0,YEAR($E7154))</f>
      </c>
      <c r="G7154" s="43">
        <f>IF(INDEX(DarlBindung,15)="",1,IF($E7154&lt;=INDEX(DarlBindung,15),1,0))</f>
      </c>
      <c r="H7154" s="43">
        <f>IF($G7154=1,INDEX(DarlSollzins,15),INDEX(DarlAnschluss,15))</f>
      </c>
      <c r="I7154" s="43">
        <f>IF(INDEX(DarlBelegt,15)=0,0,IF(INDEX(DarlOhneTilgung,15)=1,IF(INDEX(DarlBindung,15)="",1,$G7154),IF($J7154&gt;0.005,1,0)))</f>
      </c>
      <c r="J7154" s="43">
        <f>IF($I7153=0,0,$R7153)</f>
      </c>
      <c r="K7154" s="43">
        <f>IF($I7154=0,0,IF(INDEX(DarlOhneTilgung,15)=1,0,IF(AND(INDEX(DarlTilgStart,15)&gt;0,$E7154=INDEX(DarlTilgStart,15)),$J7154*($H7154+INDEX(DarlTilgung,15))/100/12,IF(AND($G7154=0,$G7153=1),MAX($K7153,$J7154*($H7154+1)/100/12),$K7153))))</f>
      </c>
      <c r="L7154" s="43">
        <f>IF($I7154=0,0,$J7154*$H7154/100/12)</f>
      </c>
      <c r="M7154" s="43">
        <f>IF($I7154=0,0,IF(OR(INDEX(DarlOhneTilgung,15)=1,AND(INDEX(DarlTilgStart,15)&gt;0,$E7154&lt;INDEX(DarlTilgStart,15))),0,MIN(MAX(0,$K7154-$L7154),$J7154)))</f>
      </c>
      <c r="N7154" s="43">
        <f>IF($I7154=0,0,MIN(SUMIFS(SondBetrag,SondDarl,15,SondDatum,"&gt;="&amp;$E7154,SondDatum,"&lt;="&amp;EOMONTH($E7154,0)),$J7154-$M7154))</f>
      </c>
      <c r="O7154" s="43">
        <f>IF($I7154=0,0,INDEX(DarlErsatzRate,15))</f>
      </c>
      <c r="P7154" s="43">
        <f>IF($I7154=0,0,$Q7153*INDEX(DarlErsatzZins,15))</f>
      </c>
      <c r="Q7154" s="43">
        <f>IF($I7154=0,0,$Q7153+$P7154+$O7154)</f>
      </c>
      <c r="R7154" s="43">
        <f>IF($I7154=0,0,$J7154-$M7154-$N7154)</f>
      </c>
    </row>
    <row r="7155">
      <c r="A7155"/>
      <c r="B7155">
        <v>15</v>
      </c>
      <c r="C7155" s="43">
        <f>INDEX(DarlObj,15)</f>
      </c>
      <c r="D7155">
        <v>432</v>
      </c>
      <c r="E7155" s="51">
        <f>IF(INDEX(DarlBelegt,15)=0,0,EOMONTH(INDEX(DarlAuszahlung,15),431)+1)</f>
      </c>
      <c r="F7155" s="43">
        <f>IF($E7155=0,0,YEAR($E7155))</f>
      </c>
      <c r="G7155" s="43">
        <f>IF(INDEX(DarlBindung,15)="",1,IF($E7155&lt;=INDEX(DarlBindung,15),1,0))</f>
      </c>
      <c r="H7155" s="43">
        <f>IF($G7155=1,INDEX(DarlSollzins,15),INDEX(DarlAnschluss,15))</f>
      </c>
      <c r="I7155" s="43">
        <f>IF(INDEX(DarlBelegt,15)=0,0,IF(INDEX(DarlOhneTilgung,15)=1,IF(INDEX(DarlBindung,15)="",1,$G7155),IF($J7155&gt;0.005,1,0)))</f>
      </c>
      <c r="J7155" s="43">
        <f>IF($I7154=0,0,$R7154)</f>
      </c>
      <c r="K7155" s="43">
        <f>IF($I7155=0,0,IF(INDEX(DarlOhneTilgung,15)=1,0,IF(AND(INDEX(DarlTilgStart,15)&gt;0,$E7155=INDEX(DarlTilgStart,15)),$J7155*($H7155+INDEX(DarlTilgung,15))/100/12,IF(AND($G7155=0,$G7154=1),MAX($K7154,$J7155*($H7155+1)/100/12),$K7154))))</f>
      </c>
      <c r="L7155" s="43">
        <f>IF($I7155=0,0,$J7155*$H7155/100/12)</f>
      </c>
      <c r="M7155" s="43">
        <f>IF($I7155=0,0,IF(OR(INDEX(DarlOhneTilgung,15)=1,AND(INDEX(DarlTilgStart,15)&gt;0,$E7155&lt;INDEX(DarlTilgStart,15))),0,MIN(MAX(0,$K7155-$L7155),$J7155)))</f>
      </c>
      <c r="N7155" s="43">
        <f>IF($I7155=0,0,MIN(SUMIFS(SondBetrag,SondDarl,15,SondDatum,"&gt;="&amp;$E7155,SondDatum,"&lt;="&amp;EOMONTH($E7155,0)),$J7155-$M7155))</f>
      </c>
      <c r="O7155" s="43">
        <f>IF($I7155=0,0,INDEX(DarlErsatzRate,15))</f>
      </c>
      <c r="P7155" s="43">
        <f>IF($I7155=0,0,$Q7154*INDEX(DarlErsatzZins,15))</f>
      </c>
      <c r="Q7155" s="43">
        <f>IF($I7155=0,0,$Q7154+$P7155+$O7155)</f>
      </c>
      <c r="R7155" s="43">
        <f>IF($I7155=0,0,$J7155-$M7155-$N7155)</f>
      </c>
    </row>
    <row r="7156">
      <c r="A7156"/>
      <c r="B7156">
        <v>15</v>
      </c>
      <c r="C7156" s="43">
        <f>INDEX(DarlObj,15)</f>
      </c>
      <c r="D7156">
        <v>433</v>
      </c>
      <c r="E7156" s="51">
        <f>IF(INDEX(DarlBelegt,15)=0,0,EOMONTH(INDEX(DarlAuszahlung,15),432)+1)</f>
      </c>
      <c r="F7156" s="43">
        <f>IF($E7156=0,0,YEAR($E7156))</f>
      </c>
      <c r="G7156" s="43">
        <f>IF(INDEX(DarlBindung,15)="",1,IF($E7156&lt;=INDEX(DarlBindung,15),1,0))</f>
      </c>
      <c r="H7156" s="43">
        <f>IF($G7156=1,INDEX(DarlSollzins,15),INDEX(DarlAnschluss,15))</f>
      </c>
      <c r="I7156" s="43">
        <f>IF(INDEX(DarlBelegt,15)=0,0,IF(INDEX(DarlOhneTilgung,15)=1,IF(INDEX(DarlBindung,15)="",1,$G7156),IF($J7156&gt;0.005,1,0)))</f>
      </c>
      <c r="J7156" s="43">
        <f>IF($I7155=0,0,$R7155)</f>
      </c>
      <c r="K7156" s="43">
        <f>IF($I7156=0,0,IF(INDEX(DarlOhneTilgung,15)=1,0,IF(AND(INDEX(DarlTilgStart,15)&gt;0,$E7156=INDEX(DarlTilgStart,15)),$J7156*($H7156+INDEX(DarlTilgung,15))/100/12,IF(AND($G7156=0,$G7155=1),MAX($K7155,$J7156*($H7156+1)/100/12),$K7155))))</f>
      </c>
      <c r="L7156" s="43">
        <f>IF($I7156=0,0,$J7156*$H7156/100/12)</f>
      </c>
      <c r="M7156" s="43">
        <f>IF($I7156=0,0,IF(OR(INDEX(DarlOhneTilgung,15)=1,AND(INDEX(DarlTilgStart,15)&gt;0,$E7156&lt;INDEX(DarlTilgStart,15))),0,MIN(MAX(0,$K7156-$L7156),$J7156)))</f>
      </c>
      <c r="N7156" s="43">
        <f>IF($I7156=0,0,MIN(SUMIFS(SondBetrag,SondDarl,15,SondDatum,"&gt;="&amp;$E7156,SondDatum,"&lt;="&amp;EOMONTH($E7156,0)),$J7156-$M7156))</f>
      </c>
      <c r="O7156" s="43">
        <f>IF($I7156=0,0,INDEX(DarlErsatzRate,15))</f>
      </c>
      <c r="P7156" s="43">
        <f>IF($I7156=0,0,$Q7155*INDEX(DarlErsatzZins,15))</f>
      </c>
      <c r="Q7156" s="43">
        <f>IF($I7156=0,0,$Q7155+$P7156+$O7156)</f>
      </c>
      <c r="R7156" s="43">
        <f>IF($I7156=0,0,$J7156-$M7156-$N7156)</f>
      </c>
    </row>
    <row r="7157">
      <c r="A7157"/>
      <c r="B7157">
        <v>15</v>
      </c>
      <c r="C7157" s="43">
        <f>INDEX(DarlObj,15)</f>
      </c>
      <c r="D7157">
        <v>434</v>
      </c>
      <c r="E7157" s="51">
        <f>IF(INDEX(DarlBelegt,15)=0,0,EOMONTH(INDEX(DarlAuszahlung,15),433)+1)</f>
      </c>
      <c r="F7157" s="43">
        <f>IF($E7157=0,0,YEAR($E7157))</f>
      </c>
      <c r="G7157" s="43">
        <f>IF(INDEX(DarlBindung,15)="",1,IF($E7157&lt;=INDEX(DarlBindung,15),1,0))</f>
      </c>
      <c r="H7157" s="43">
        <f>IF($G7157=1,INDEX(DarlSollzins,15),INDEX(DarlAnschluss,15))</f>
      </c>
      <c r="I7157" s="43">
        <f>IF(INDEX(DarlBelegt,15)=0,0,IF(INDEX(DarlOhneTilgung,15)=1,IF(INDEX(DarlBindung,15)="",1,$G7157),IF($J7157&gt;0.005,1,0)))</f>
      </c>
      <c r="J7157" s="43">
        <f>IF($I7156=0,0,$R7156)</f>
      </c>
      <c r="K7157" s="43">
        <f>IF($I7157=0,0,IF(INDEX(DarlOhneTilgung,15)=1,0,IF(AND(INDEX(DarlTilgStart,15)&gt;0,$E7157=INDEX(DarlTilgStart,15)),$J7157*($H7157+INDEX(DarlTilgung,15))/100/12,IF(AND($G7157=0,$G7156=1),MAX($K7156,$J7157*($H7157+1)/100/12),$K7156))))</f>
      </c>
      <c r="L7157" s="43">
        <f>IF($I7157=0,0,$J7157*$H7157/100/12)</f>
      </c>
      <c r="M7157" s="43">
        <f>IF($I7157=0,0,IF(OR(INDEX(DarlOhneTilgung,15)=1,AND(INDEX(DarlTilgStart,15)&gt;0,$E7157&lt;INDEX(DarlTilgStart,15))),0,MIN(MAX(0,$K7157-$L7157),$J7157)))</f>
      </c>
      <c r="N7157" s="43">
        <f>IF($I7157=0,0,MIN(SUMIFS(SondBetrag,SondDarl,15,SondDatum,"&gt;="&amp;$E7157,SondDatum,"&lt;="&amp;EOMONTH($E7157,0)),$J7157-$M7157))</f>
      </c>
      <c r="O7157" s="43">
        <f>IF($I7157=0,0,INDEX(DarlErsatzRate,15))</f>
      </c>
      <c r="P7157" s="43">
        <f>IF($I7157=0,0,$Q7156*INDEX(DarlErsatzZins,15))</f>
      </c>
      <c r="Q7157" s="43">
        <f>IF($I7157=0,0,$Q7156+$P7157+$O7157)</f>
      </c>
      <c r="R7157" s="43">
        <f>IF($I7157=0,0,$J7157-$M7157-$N7157)</f>
      </c>
    </row>
    <row r="7158">
      <c r="A7158"/>
      <c r="B7158">
        <v>15</v>
      </c>
      <c r="C7158" s="43">
        <f>INDEX(DarlObj,15)</f>
      </c>
      <c r="D7158">
        <v>435</v>
      </c>
      <c r="E7158" s="51">
        <f>IF(INDEX(DarlBelegt,15)=0,0,EOMONTH(INDEX(DarlAuszahlung,15),434)+1)</f>
      </c>
      <c r="F7158" s="43">
        <f>IF($E7158=0,0,YEAR($E7158))</f>
      </c>
      <c r="G7158" s="43">
        <f>IF(INDEX(DarlBindung,15)="",1,IF($E7158&lt;=INDEX(DarlBindung,15),1,0))</f>
      </c>
      <c r="H7158" s="43">
        <f>IF($G7158=1,INDEX(DarlSollzins,15),INDEX(DarlAnschluss,15))</f>
      </c>
      <c r="I7158" s="43">
        <f>IF(INDEX(DarlBelegt,15)=0,0,IF(INDEX(DarlOhneTilgung,15)=1,IF(INDEX(DarlBindung,15)="",1,$G7158),IF($J7158&gt;0.005,1,0)))</f>
      </c>
      <c r="J7158" s="43">
        <f>IF($I7157=0,0,$R7157)</f>
      </c>
      <c r="K7158" s="43">
        <f>IF($I7158=0,0,IF(INDEX(DarlOhneTilgung,15)=1,0,IF(AND(INDEX(DarlTilgStart,15)&gt;0,$E7158=INDEX(DarlTilgStart,15)),$J7158*($H7158+INDEX(DarlTilgung,15))/100/12,IF(AND($G7158=0,$G7157=1),MAX($K7157,$J7158*($H7158+1)/100/12),$K7157))))</f>
      </c>
      <c r="L7158" s="43">
        <f>IF($I7158=0,0,$J7158*$H7158/100/12)</f>
      </c>
      <c r="M7158" s="43">
        <f>IF($I7158=0,0,IF(OR(INDEX(DarlOhneTilgung,15)=1,AND(INDEX(DarlTilgStart,15)&gt;0,$E7158&lt;INDEX(DarlTilgStart,15))),0,MIN(MAX(0,$K7158-$L7158),$J7158)))</f>
      </c>
      <c r="N7158" s="43">
        <f>IF($I7158=0,0,MIN(SUMIFS(SondBetrag,SondDarl,15,SondDatum,"&gt;="&amp;$E7158,SondDatum,"&lt;="&amp;EOMONTH($E7158,0)),$J7158-$M7158))</f>
      </c>
      <c r="O7158" s="43">
        <f>IF($I7158=0,0,INDEX(DarlErsatzRate,15))</f>
      </c>
      <c r="P7158" s="43">
        <f>IF($I7158=0,0,$Q7157*INDEX(DarlErsatzZins,15))</f>
      </c>
      <c r="Q7158" s="43">
        <f>IF($I7158=0,0,$Q7157+$P7158+$O7158)</f>
      </c>
      <c r="R7158" s="43">
        <f>IF($I7158=0,0,$J7158-$M7158-$N7158)</f>
      </c>
    </row>
    <row r="7159">
      <c r="A7159"/>
      <c r="B7159">
        <v>15</v>
      </c>
      <c r="C7159" s="43">
        <f>INDEX(DarlObj,15)</f>
      </c>
      <c r="D7159">
        <v>436</v>
      </c>
      <c r="E7159" s="51">
        <f>IF(INDEX(DarlBelegt,15)=0,0,EOMONTH(INDEX(DarlAuszahlung,15),435)+1)</f>
      </c>
      <c r="F7159" s="43">
        <f>IF($E7159=0,0,YEAR($E7159))</f>
      </c>
      <c r="G7159" s="43">
        <f>IF(INDEX(DarlBindung,15)="",1,IF($E7159&lt;=INDEX(DarlBindung,15),1,0))</f>
      </c>
      <c r="H7159" s="43">
        <f>IF($G7159=1,INDEX(DarlSollzins,15),INDEX(DarlAnschluss,15))</f>
      </c>
      <c r="I7159" s="43">
        <f>IF(INDEX(DarlBelegt,15)=0,0,IF(INDEX(DarlOhneTilgung,15)=1,IF(INDEX(DarlBindung,15)="",1,$G7159),IF($J7159&gt;0.005,1,0)))</f>
      </c>
      <c r="J7159" s="43">
        <f>IF($I7158=0,0,$R7158)</f>
      </c>
      <c r="K7159" s="43">
        <f>IF($I7159=0,0,IF(INDEX(DarlOhneTilgung,15)=1,0,IF(AND(INDEX(DarlTilgStart,15)&gt;0,$E7159=INDEX(DarlTilgStart,15)),$J7159*($H7159+INDEX(DarlTilgung,15))/100/12,IF(AND($G7159=0,$G7158=1),MAX($K7158,$J7159*($H7159+1)/100/12),$K7158))))</f>
      </c>
      <c r="L7159" s="43">
        <f>IF($I7159=0,0,$J7159*$H7159/100/12)</f>
      </c>
      <c r="M7159" s="43">
        <f>IF($I7159=0,0,IF(OR(INDEX(DarlOhneTilgung,15)=1,AND(INDEX(DarlTilgStart,15)&gt;0,$E7159&lt;INDEX(DarlTilgStart,15))),0,MIN(MAX(0,$K7159-$L7159),$J7159)))</f>
      </c>
      <c r="N7159" s="43">
        <f>IF($I7159=0,0,MIN(SUMIFS(SondBetrag,SondDarl,15,SondDatum,"&gt;="&amp;$E7159,SondDatum,"&lt;="&amp;EOMONTH($E7159,0)),$J7159-$M7159))</f>
      </c>
      <c r="O7159" s="43">
        <f>IF($I7159=0,0,INDEX(DarlErsatzRate,15))</f>
      </c>
      <c r="P7159" s="43">
        <f>IF($I7159=0,0,$Q7158*INDEX(DarlErsatzZins,15))</f>
      </c>
      <c r="Q7159" s="43">
        <f>IF($I7159=0,0,$Q7158+$P7159+$O7159)</f>
      </c>
      <c r="R7159" s="43">
        <f>IF($I7159=0,0,$J7159-$M7159-$N7159)</f>
      </c>
    </row>
    <row r="7160">
      <c r="A7160"/>
      <c r="B7160">
        <v>15</v>
      </c>
      <c r="C7160" s="43">
        <f>INDEX(DarlObj,15)</f>
      </c>
      <c r="D7160">
        <v>437</v>
      </c>
      <c r="E7160" s="51">
        <f>IF(INDEX(DarlBelegt,15)=0,0,EOMONTH(INDEX(DarlAuszahlung,15),436)+1)</f>
      </c>
      <c r="F7160" s="43">
        <f>IF($E7160=0,0,YEAR($E7160))</f>
      </c>
      <c r="G7160" s="43">
        <f>IF(INDEX(DarlBindung,15)="",1,IF($E7160&lt;=INDEX(DarlBindung,15),1,0))</f>
      </c>
      <c r="H7160" s="43">
        <f>IF($G7160=1,INDEX(DarlSollzins,15),INDEX(DarlAnschluss,15))</f>
      </c>
      <c r="I7160" s="43">
        <f>IF(INDEX(DarlBelegt,15)=0,0,IF(INDEX(DarlOhneTilgung,15)=1,IF(INDEX(DarlBindung,15)="",1,$G7160),IF($J7160&gt;0.005,1,0)))</f>
      </c>
      <c r="J7160" s="43">
        <f>IF($I7159=0,0,$R7159)</f>
      </c>
      <c r="K7160" s="43">
        <f>IF($I7160=0,0,IF(INDEX(DarlOhneTilgung,15)=1,0,IF(AND(INDEX(DarlTilgStart,15)&gt;0,$E7160=INDEX(DarlTilgStart,15)),$J7160*($H7160+INDEX(DarlTilgung,15))/100/12,IF(AND($G7160=0,$G7159=1),MAX($K7159,$J7160*($H7160+1)/100/12),$K7159))))</f>
      </c>
      <c r="L7160" s="43">
        <f>IF($I7160=0,0,$J7160*$H7160/100/12)</f>
      </c>
      <c r="M7160" s="43">
        <f>IF($I7160=0,0,IF(OR(INDEX(DarlOhneTilgung,15)=1,AND(INDEX(DarlTilgStart,15)&gt;0,$E7160&lt;INDEX(DarlTilgStart,15))),0,MIN(MAX(0,$K7160-$L7160),$J7160)))</f>
      </c>
      <c r="N7160" s="43">
        <f>IF($I7160=0,0,MIN(SUMIFS(SondBetrag,SondDarl,15,SondDatum,"&gt;="&amp;$E7160,SondDatum,"&lt;="&amp;EOMONTH($E7160,0)),$J7160-$M7160))</f>
      </c>
      <c r="O7160" s="43">
        <f>IF($I7160=0,0,INDEX(DarlErsatzRate,15))</f>
      </c>
      <c r="P7160" s="43">
        <f>IF($I7160=0,0,$Q7159*INDEX(DarlErsatzZins,15))</f>
      </c>
      <c r="Q7160" s="43">
        <f>IF($I7160=0,0,$Q7159+$P7160+$O7160)</f>
      </c>
      <c r="R7160" s="43">
        <f>IF($I7160=0,0,$J7160-$M7160-$N7160)</f>
      </c>
    </row>
    <row r="7161">
      <c r="A7161"/>
      <c r="B7161">
        <v>15</v>
      </c>
      <c r="C7161" s="43">
        <f>INDEX(DarlObj,15)</f>
      </c>
      <c r="D7161">
        <v>438</v>
      </c>
      <c r="E7161" s="51">
        <f>IF(INDEX(DarlBelegt,15)=0,0,EOMONTH(INDEX(DarlAuszahlung,15),437)+1)</f>
      </c>
      <c r="F7161" s="43">
        <f>IF($E7161=0,0,YEAR($E7161))</f>
      </c>
      <c r="G7161" s="43">
        <f>IF(INDEX(DarlBindung,15)="",1,IF($E7161&lt;=INDEX(DarlBindung,15),1,0))</f>
      </c>
      <c r="H7161" s="43">
        <f>IF($G7161=1,INDEX(DarlSollzins,15),INDEX(DarlAnschluss,15))</f>
      </c>
      <c r="I7161" s="43">
        <f>IF(INDEX(DarlBelegt,15)=0,0,IF(INDEX(DarlOhneTilgung,15)=1,IF(INDEX(DarlBindung,15)="",1,$G7161),IF($J7161&gt;0.005,1,0)))</f>
      </c>
      <c r="J7161" s="43">
        <f>IF($I7160=0,0,$R7160)</f>
      </c>
      <c r="K7161" s="43">
        <f>IF($I7161=0,0,IF(INDEX(DarlOhneTilgung,15)=1,0,IF(AND(INDEX(DarlTilgStart,15)&gt;0,$E7161=INDEX(DarlTilgStart,15)),$J7161*($H7161+INDEX(DarlTilgung,15))/100/12,IF(AND($G7161=0,$G7160=1),MAX($K7160,$J7161*($H7161+1)/100/12),$K7160))))</f>
      </c>
      <c r="L7161" s="43">
        <f>IF($I7161=0,0,$J7161*$H7161/100/12)</f>
      </c>
      <c r="M7161" s="43">
        <f>IF($I7161=0,0,IF(OR(INDEX(DarlOhneTilgung,15)=1,AND(INDEX(DarlTilgStart,15)&gt;0,$E7161&lt;INDEX(DarlTilgStart,15))),0,MIN(MAX(0,$K7161-$L7161),$J7161)))</f>
      </c>
      <c r="N7161" s="43">
        <f>IF($I7161=0,0,MIN(SUMIFS(SondBetrag,SondDarl,15,SondDatum,"&gt;="&amp;$E7161,SondDatum,"&lt;="&amp;EOMONTH($E7161,0)),$J7161-$M7161))</f>
      </c>
      <c r="O7161" s="43">
        <f>IF($I7161=0,0,INDEX(DarlErsatzRate,15))</f>
      </c>
      <c r="P7161" s="43">
        <f>IF($I7161=0,0,$Q7160*INDEX(DarlErsatzZins,15))</f>
      </c>
      <c r="Q7161" s="43">
        <f>IF($I7161=0,0,$Q7160+$P7161+$O7161)</f>
      </c>
      <c r="R7161" s="43">
        <f>IF($I7161=0,0,$J7161-$M7161-$N7161)</f>
      </c>
    </row>
    <row r="7162">
      <c r="A7162"/>
      <c r="B7162">
        <v>15</v>
      </c>
      <c r="C7162" s="43">
        <f>INDEX(DarlObj,15)</f>
      </c>
      <c r="D7162">
        <v>439</v>
      </c>
      <c r="E7162" s="51">
        <f>IF(INDEX(DarlBelegt,15)=0,0,EOMONTH(INDEX(DarlAuszahlung,15),438)+1)</f>
      </c>
      <c r="F7162" s="43">
        <f>IF($E7162=0,0,YEAR($E7162))</f>
      </c>
      <c r="G7162" s="43">
        <f>IF(INDEX(DarlBindung,15)="",1,IF($E7162&lt;=INDEX(DarlBindung,15),1,0))</f>
      </c>
      <c r="H7162" s="43">
        <f>IF($G7162=1,INDEX(DarlSollzins,15),INDEX(DarlAnschluss,15))</f>
      </c>
      <c r="I7162" s="43">
        <f>IF(INDEX(DarlBelegt,15)=0,0,IF(INDEX(DarlOhneTilgung,15)=1,IF(INDEX(DarlBindung,15)="",1,$G7162),IF($J7162&gt;0.005,1,0)))</f>
      </c>
      <c r="J7162" s="43">
        <f>IF($I7161=0,0,$R7161)</f>
      </c>
      <c r="K7162" s="43">
        <f>IF($I7162=0,0,IF(INDEX(DarlOhneTilgung,15)=1,0,IF(AND(INDEX(DarlTilgStart,15)&gt;0,$E7162=INDEX(DarlTilgStart,15)),$J7162*($H7162+INDEX(DarlTilgung,15))/100/12,IF(AND($G7162=0,$G7161=1),MAX($K7161,$J7162*($H7162+1)/100/12),$K7161))))</f>
      </c>
      <c r="L7162" s="43">
        <f>IF($I7162=0,0,$J7162*$H7162/100/12)</f>
      </c>
      <c r="M7162" s="43">
        <f>IF($I7162=0,0,IF(OR(INDEX(DarlOhneTilgung,15)=1,AND(INDEX(DarlTilgStart,15)&gt;0,$E7162&lt;INDEX(DarlTilgStart,15))),0,MIN(MAX(0,$K7162-$L7162),$J7162)))</f>
      </c>
      <c r="N7162" s="43">
        <f>IF($I7162=0,0,MIN(SUMIFS(SondBetrag,SondDarl,15,SondDatum,"&gt;="&amp;$E7162,SondDatum,"&lt;="&amp;EOMONTH($E7162,0)),$J7162-$M7162))</f>
      </c>
      <c r="O7162" s="43">
        <f>IF($I7162=0,0,INDEX(DarlErsatzRate,15))</f>
      </c>
      <c r="P7162" s="43">
        <f>IF($I7162=0,0,$Q7161*INDEX(DarlErsatzZins,15))</f>
      </c>
      <c r="Q7162" s="43">
        <f>IF($I7162=0,0,$Q7161+$P7162+$O7162)</f>
      </c>
      <c r="R7162" s="43">
        <f>IF($I7162=0,0,$J7162-$M7162-$N7162)</f>
      </c>
    </row>
    <row r="7163">
      <c r="A7163"/>
      <c r="B7163">
        <v>15</v>
      </c>
      <c r="C7163" s="43">
        <f>INDEX(DarlObj,15)</f>
      </c>
      <c r="D7163">
        <v>440</v>
      </c>
      <c r="E7163" s="51">
        <f>IF(INDEX(DarlBelegt,15)=0,0,EOMONTH(INDEX(DarlAuszahlung,15),439)+1)</f>
      </c>
      <c r="F7163" s="43">
        <f>IF($E7163=0,0,YEAR($E7163))</f>
      </c>
      <c r="G7163" s="43">
        <f>IF(INDEX(DarlBindung,15)="",1,IF($E7163&lt;=INDEX(DarlBindung,15),1,0))</f>
      </c>
      <c r="H7163" s="43">
        <f>IF($G7163=1,INDEX(DarlSollzins,15),INDEX(DarlAnschluss,15))</f>
      </c>
      <c r="I7163" s="43">
        <f>IF(INDEX(DarlBelegt,15)=0,0,IF(INDEX(DarlOhneTilgung,15)=1,IF(INDEX(DarlBindung,15)="",1,$G7163),IF($J7163&gt;0.005,1,0)))</f>
      </c>
      <c r="J7163" s="43">
        <f>IF($I7162=0,0,$R7162)</f>
      </c>
      <c r="K7163" s="43">
        <f>IF($I7163=0,0,IF(INDEX(DarlOhneTilgung,15)=1,0,IF(AND(INDEX(DarlTilgStart,15)&gt;0,$E7163=INDEX(DarlTilgStart,15)),$J7163*($H7163+INDEX(DarlTilgung,15))/100/12,IF(AND($G7163=0,$G7162=1),MAX($K7162,$J7163*($H7163+1)/100/12),$K7162))))</f>
      </c>
      <c r="L7163" s="43">
        <f>IF($I7163=0,0,$J7163*$H7163/100/12)</f>
      </c>
      <c r="M7163" s="43">
        <f>IF($I7163=0,0,IF(OR(INDEX(DarlOhneTilgung,15)=1,AND(INDEX(DarlTilgStart,15)&gt;0,$E7163&lt;INDEX(DarlTilgStart,15))),0,MIN(MAX(0,$K7163-$L7163),$J7163)))</f>
      </c>
      <c r="N7163" s="43">
        <f>IF($I7163=0,0,MIN(SUMIFS(SondBetrag,SondDarl,15,SondDatum,"&gt;="&amp;$E7163,SondDatum,"&lt;="&amp;EOMONTH($E7163,0)),$J7163-$M7163))</f>
      </c>
      <c r="O7163" s="43">
        <f>IF($I7163=0,0,INDEX(DarlErsatzRate,15))</f>
      </c>
      <c r="P7163" s="43">
        <f>IF($I7163=0,0,$Q7162*INDEX(DarlErsatzZins,15))</f>
      </c>
      <c r="Q7163" s="43">
        <f>IF($I7163=0,0,$Q7162+$P7163+$O7163)</f>
      </c>
      <c r="R7163" s="43">
        <f>IF($I7163=0,0,$J7163-$M7163-$N7163)</f>
      </c>
    </row>
    <row r="7164">
      <c r="A7164"/>
      <c r="B7164">
        <v>15</v>
      </c>
      <c r="C7164" s="43">
        <f>INDEX(DarlObj,15)</f>
      </c>
      <c r="D7164">
        <v>441</v>
      </c>
      <c r="E7164" s="51">
        <f>IF(INDEX(DarlBelegt,15)=0,0,EOMONTH(INDEX(DarlAuszahlung,15),440)+1)</f>
      </c>
      <c r="F7164" s="43">
        <f>IF($E7164=0,0,YEAR($E7164))</f>
      </c>
      <c r="G7164" s="43">
        <f>IF(INDEX(DarlBindung,15)="",1,IF($E7164&lt;=INDEX(DarlBindung,15),1,0))</f>
      </c>
      <c r="H7164" s="43">
        <f>IF($G7164=1,INDEX(DarlSollzins,15),INDEX(DarlAnschluss,15))</f>
      </c>
      <c r="I7164" s="43">
        <f>IF(INDEX(DarlBelegt,15)=0,0,IF(INDEX(DarlOhneTilgung,15)=1,IF(INDEX(DarlBindung,15)="",1,$G7164),IF($J7164&gt;0.005,1,0)))</f>
      </c>
      <c r="J7164" s="43">
        <f>IF($I7163=0,0,$R7163)</f>
      </c>
      <c r="K7164" s="43">
        <f>IF($I7164=0,0,IF(INDEX(DarlOhneTilgung,15)=1,0,IF(AND(INDEX(DarlTilgStart,15)&gt;0,$E7164=INDEX(DarlTilgStart,15)),$J7164*($H7164+INDEX(DarlTilgung,15))/100/12,IF(AND($G7164=0,$G7163=1),MAX($K7163,$J7164*($H7164+1)/100/12),$K7163))))</f>
      </c>
      <c r="L7164" s="43">
        <f>IF($I7164=0,0,$J7164*$H7164/100/12)</f>
      </c>
      <c r="M7164" s="43">
        <f>IF($I7164=0,0,IF(OR(INDEX(DarlOhneTilgung,15)=1,AND(INDEX(DarlTilgStart,15)&gt;0,$E7164&lt;INDEX(DarlTilgStart,15))),0,MIN(MAX(0,$K7164-$L7164),$J7164)))</f>
      </c>
      <c r="N7164" s="43">
        <f>IF($I7164=0,0,MIN(SUMIFS(SondBetrag,SondDarl,15,SondDatum,"&gt;="&amp;$E7164,SondDatum,"&lt;="&amp;EOMONTH($E7164,0)),$J7164-$M7164))</f>
      </c>
      <c r="O7164" s="43">
        <f>IF($I7164=0,0,INDEX(DarlErsatzRate,15))</f>
      </c>
      <c r="P7164" s="43">
        <f>IF($I7164=0,0,$Q7163*INDEX(DarlErsatzZins,15))</f>
      </c>
      <c r="Q7164" s="43">
        <f>IF($I7164=0,0,$Q7163+$P7164+$O7164)</f>
      </c>
      <c r="R7164" s="43">
        <f>IF($I7164=0,0,$J7164-$M7164-$N7164)</f>
      </c>
    </row>
    <row r="7165">
      <c r="A7165"/>
      <c r="B7165">
        <v>15</v>
      </c>
      <c r="C7165" s="43">
        <f>INDEX(DarlObj,15)</f>
      </c>
      <c r="D7165">
        <v>442</v>
      </c>
      <c r="E7165" s="51">
        <f>IF(INDEX(DarlBelegt,15)=0,0,EOMONTH(INDEX(DarlAuszahlung,15),441)+1)</f>
      </c>
      <c r="F7165" s="43">
        <f>IF($E7165=0,0,YEAR($E7165))</f>
      </c>
      <c r="G7165" s="43">
        <f>IF(INDEX(DarlBindung,15)="",1,IF($E7165&lt;=INDEX(DarlBindung,15),1,0))</f>
      </c>
      <c r="H7165" s="43">
        <f>IF($G7165=1,INDEX(DarlSollzins,15),INDEX(DarlAnschluss,15))</f>
      </c>
      <c r="I7165" s="43">
        <f>IF(INDEX(DarlBelegt,15)=0,0,IF(INDEX(DarlOhneTilgung,15)=1,IF(INDEX(DarlBindung,15)="",1,$G7165),IF($J7165&gt;0.005,1,0)))</f>
      </c>
      <c r="J7165" s="43">
        <f>IF($I7164=0,0,$R7164)</f>
      </c>
      <c r="K7165" s="43">
        <f>IF($I7165=0,0,IF(INDEX(DarlOhneTilgung,15)=1,0,IF(AND(INDEX(DarlTilgStart,15)&gt;0,$E7165=INDEX(DarlTilgStart,15)),$J7165*($H7165+INDEX(DarlTilgung,15))/100/12,IF(AND($G7165=0,$G7164=1),MAX($K7164,$J7165*($H7165+1)/100/12),$K7164))))</f>
      </c>
      <c r="L7165" s="43">
        <f>IF($I7165=0,0,$J7165*$H7165/100/12)</f>
      </c>
      <c r="M7165" s="43">
        <f>IF($I7165=0,0,IF(OR(INDEX(DarlOhneTilgung,15)=1,AND(INDEX(DarlTilgStart,15)&gt;0,$E7165&lt;INDEX(DarlTilgStart,15))),0,MIN(MAX(0,$K7165-$L7165),$J7165)))</f>
      </c>
      <c r="N7165" s="43">
        <f>IF($I7165=0,0,MIN(SUMIFS(SondBetrag,SondDarl,15,SondDatum,"&gt;="&amp;$E7165,SondDatum,"&lt;="&amp;EOMONTH($E7165,0)),$J7165-$M7165))</f>
      </c>
      <c r="O7165" s="43">
        <f>IF($I7165=0,0,INDEX(DarlErsatzRate,15))</f>
      </c>
      <c r="P7165" s="43">
        <f>IF($I7165=0,0,$Q7164*INDEX(DarlErsatzZins,15))</f>
      </c>
      <c r="Q7165" s="43">
        <f>IF($I7165=0,0,$Q7164+$P7165+$O7165)</f>
      </c>
      <c r="R7165" s="43">
        <f>IF($I7165=0,0,$J7165-$M7165-$N7165)</f>
      </c>
    </row>
    <row r="7166">
      <c r="A7166"/>
      <c r="B7166">
        <v>15</v>
      </c>
      <c r="C7166" s="43">
        <f>INDEX(DarlObj,15)</f>
      </c>
      <c r="D7166">
        <v>443</v>
      </c>
      <c r="E7166" s="51">
        <f>IF(INDEX(DarlBelegt,15)=0,0,EOMONTH(INDEX(DarlAuszahlung,15),442)+1)</f>
      </c>
      <c r="F7166" s="43">
        <f>IF($E7166=0,0,YEAR($E7166))</f>
      </c>
      <c r="G7166" s="43">
        <f>IF(INDEX(DarlBindung,15)="",1,IF($E7166&lt;=INDEX(DarlBindung,15),1,0))</f>
      </c>
      <c r="H7166" s="43">
        <f>IF($G7166=1,INDEX(DarlSollzins,15),INDEX(DarlAnschluss,15))</f>
      </c>
      <c r="I7166" s="43">
        <f>IF(INDEX(DarlBelegt,15)=0,0,IF(INDEX(DarlOhneTilgung,15)=1,IF(INDEX(DarlBindung,15)="",1,$G7166),IF($J7166&gt;0.005,1,0)))</f>
      </c>
      <c r="J7166" s="43">
        <f>IF($I7165=0,0,$R7165)</f>
      </c>
      <c r="K7166" s="43">
        <f>IF($I7166=0,0,IF(INDEX(DarlOhneTilgung,15)=1,0,IF(AND(INDEX(DarlTilgStart,15)&gt;0,$E7166=INDEX(DarlTilgStart,15)),$J7166*($H7166+INDEX(DarlTilgung,15))/100/12,IF(AND($G7166=0,$G7165=1),MAX($K7165,$J7166*($H7166+1)/100/12),$K7165))))</f>
      </c>
      <c r="L7166" s="43">
        <f>IF($I7166=0,0,$J7166*$H7166/100/12)</f>
      </c>
      <c r="M7166" s="43">
        <f>IF($I7166=0,0,IF(OR(INDEX(DarlOhneTilgung,15)=1,AND(INDEX(DarlTilgStart,15)&gt;0,$E7166&lt;INDEX(DarlTilgStart,15))),0,MIN(MAX(0,$K7166-$L7166),$J7166)))</f>
      </c>
      <c r="N7166" s="43">
        <f>IF($I7166=0,0,MIN(SUMIFS(SondBetrag,SondDarl,15,SondDatum,"&gt;="&amp;$E7166,SondDatum,"&lt;="&amp;EOMONTH($E7166,0)),$J7166-$M7166))</f>
      </c>
      <c r="O7166" s="43">
        <f>IF($I7166=0,0,INDEX(DarlErsatzRate,15))</f>
      </c>
      <c r="P7166" s="43">
        <f>IF($I7166=0,0,$Q7165*INDEX(DarlErsatzZins,15))</f>
      </c>
      <c r="Q7166" s="43">
        <f>IF($I7166=0,0,$Q7165+$P7166+$O7166)</f>
      </c>
      <c r="R7166" s="43">
        <f>IF($I7166=0,0,$J7166-$M7166-$N7166)</f>
      </c>
    </row>
    <row r="7167">
      <c r="A7167"/>
      <c r="B7167">
        <v>15</v>
      </c>
      <c r="C7167" s="43">
        <f>INDEX(DarlObj,15)</f>
      </c>
      <c r="D7167">
        <v>444</v>
      </c>
      <c r="E7167" s="51">
        <f>IF(INDEX(DarlBelegt,15)=0,0,EOMONTH(INDEX(DarlAuszahlung,15),443)+1)</f>
      </c>
      <c r="F7167" s="43">
        <f>IF($E7167=0,0,YEAR($E7167))</f>
      </c>
      <c r="G7167" s="43">
        <f>IF(INDEX(DarlBindung,15)="",1,IF($E7167&lt;=INDEX(DarlBindung,15),1,0))</f>
      </c>
      <c r="H7167" s="43">
        <f>IF($G7167=1,INDEX(DarlSollzins,15),INDEX(DarlAnschluss,15))</f>
      </c>
      <c r="I7167" s="43">
        <f>IF(INDEX(DarlBelegt,15)=0,0,IF(INDEX(DarlOhneTilgung,15)=1,IF(INDEX(DarlBindung,15)="",1,$G7167),IF($J7167&gt;0.005,1,0)))</f>
      </c>
      <c r="J7167" s="43">
        <f>IF($I7166=0,0,$R7166)</f>
      </c>
      <c r="K7167" s="43">
        <f>IF($I7167=0,0,IF(INDEX(DarlOhneTilgung,15)=1,0,IF(AND(INDEX(DarlTilgStart,15)&gt;0,$E7167=INDEX(DarlTilgStart,15)),$J7167*($H7167+INDEX(DarlTilgung,15))/100/12,IF(AND($G7167=0,$G7166=1),MAX($K7166,$J7167*($H7167+1)/100/12),$K7166))))</f>
      </c>
      <c r="L7167" s="43">
        <f>IF($I7167=0,0,$J7167*$H7167/100/12)</f>
      </c>
      <c r="M7167" s="43">
        <f>IF($I7167=0,0,IF(OR(INDEX(DarlOhneTilgung,15)=1,AND(INDEX(DarlTilgStart,15)&gt;0,$E7167&lt;INDEX(DarlTilgStart,15))),0,MIN(MAX(0,$K7167-$L7167),$J7167)))</f>
      </c>
      <c r="N7167" s="43">
        <f>IF($I7167=0,0,MIN(SUMIFS(SondBetrag,SondDarl,15,SondDatum,"&gt;="&amp;$E7167,SondDatum,"&lt;="&amp;EOMONTH($E7167,0)),$J7167-$M7167))</f>
      </c>
      <c r="O7167" s="43">
        <f>IF($I7167=0,0,INDEX(DarlErsatzRate,15))</f>
      </c>
      <c r="P7167" s="43">
        <f>IF($I7167=0,0,$Q7166*INDEX(DarlErsatzZins,15))</f>
      </c>
      <c r="Q7167" s="43">
        <f>IF($I7167=0,0,$Q7166+$P7167+$O7167)</f>
      </c>
      <c r="R7167" s="43">
        <f>IF($I7167=0,0,$J7167-$M7167-$N7167)</f>
      </c>
    </row>
    <row r="7168">
      <c r="A7168"/>
      <c r="B7168">
        <v>15</v>
      </c>
      <c r="C7168" s="43">
        <f>INDEX(DarlObj,15)</f>
      </c>
      <c r="D7168">
        <v>445</v>
      </c>
      <c r="E7168" s="51">
        <f>IF(INDEX(DarlBelegt,15)=0,0,EOMONTH(INDEX(DarlAuszahlung,15),444)+1)</f>
      </c>
      <c r="F7168" s="43">
        <f>IF($E7168=0,0,YEAR($E7168))</f>
      </c>
      <c r="G7168" s="43">
        <f>IF(INDEX(DarlBindung,15)="",1,IF($E7168&lt;=INDEX(DarlBindung,15),1,0))</f>
      </c>
      <c r="H7168" s="43">
        <f>IF($G7168=1,INDEX(DarlSollzins,15),INDEX(DarlAnschluss,15))</f>
      </c>
      <c r="I7168" s="43">
        <f>IF(INDEX(DarlBelegt,15)=0,0,IF(INDEX(DarlOhneTilgung,15)=1,IF(INDEX(DarlBindung,15)="",1,$G7168),IF($J7168&gt;0.005,1,0)))</f>
      </c>
      <c r="J7168" s="43">
        <f>IF($I7167=0,0,$R7167)</f>
      </c>
      <c r="K7168" s="43">
        <f>IF($I7168=0,0,IF(INDEX(DarlOhneTilgung,15)=1,0,IF(AND(INDEX(DarlTilgStart,15)&gt;0,$E7168=INDEX(DarlTilgStart,15)),$J7168*($H7168+INDEX(DarlTilgung,15))/100/12,IF(AND($G7168=0,$G7167=1),MAX($K7167,$J7168*($H7168+1)/100/12),$K7167))))</f>
      </c>
      <c r="L7168" s="43">
        <f>IF($I7168=0,0,$J7168*$H7168/100/12)</f>
      </c>
      <c r="M7168" s="43">
        <f>IF($I7168=0,0,IF(OR(INDEX(DarlOhneTilgung,15)=1,AND(INDEX(DarlTilgStart,15)&gt;0,$E7168&lt;INDEX(DarlTilgStart,15))),0,MIN(MAX(0,$K7168-$L7168),$J7168)))</f>
      </c>
      <c r="N7168" s="43">
        <f>IF($I7168=0,0,MIN(SUMIFS(SondBetrag,SondDarl,15,SondDatum,"&gt;="&amp;$E7168,SondDatum,"&lt;="&amp;EOMONTH($E7168,0)),$J7168-$M7168))</f>
      </c>
      <c r="O7168" s="43">
        <f>IF($I7168=0,0,INDEX(DarlErsatzRate,15))</f>
      </c>
      <c r="P7168" s="43">
        <f>IF($I7168=0,0,$Q7167*INDEX(DarlErsatzZins,15))</f>
      </c>
      <c r="Q7168" s="43">
        <f>IF($I7168=0,0,$Q7167+$P7168+$O7168)</f>
      </c>
      <c r="R7168" s="43">
        <f>IF($I7168=0,0,$J7168-$M7168-$N7168)</f>
      </c>
    </row>
    <row r="7169">
      <c r="A7169"/>
      <c r="B7169">
        <v>15</v>
      </c>
      <c r="C7169" s="43">
        <f>INDEX(DarlObj,15)</f>
      </c>
      <c r="D7169">
        <v>446</v>
      </c>
      <c r="E7169" s="51">
        <f>IF(INDEX(DarlBelegt,15)=0,0,EOMONTH(INDEX(DarlAuszahlung,15),445)+1)</f>
      </c>
      <c r="F7169" s="43">
        <f>IF($E7169=0,0,YEAR($E7169))</f>
      </c>
      <c r="G7169" s="43">
        <f>IF(INDEX(DarlBindung,15)="",1,IF($E7169&lt;=INDEX(DarlBindung,15),1,0))</f>
      </c>
      <c r="H7169" s="43">
        <f>IF($G7169=1,INDEX(DarlSollzins,15),INDEX(DarlAnschluss,15))</f>
      </c>
      <c r="I7169" s="43">
        <f>IF(INDEX(DarlBelegt,15)=0,0,IF(INDEX(DarlOhneTilgung,15)=1,IF(INDEX(DarlBindung,15)="",1,$G7169),IF($J7169&gt;0.005,1,0)))</f>
      </c>
      <c r="J7169" s="43">
        <f>IF($I7168=0,0,$R7168)</f>
      </c>
      <c r="K7169" s="43">
        <f>IF($I7169=0,0,IF(INDEX(DarlOhneTilgung,15)=1,0,IF(AND(INDEX(DarlTilgStart,15)&gt;0,$E7169=INDEX(DarlTilgStart,15)),$J7169*($H7169+INDEX(DarlTilgung,15))/100/12,IF(AND($G7169=0,$G7168=1),MAX($K7168,$J7169*($H7169+1)/100/12),$K7168))))</f>
      </c>
      <c r="L7169" s="43">
        <f>IF($I7169=0,0,$J7169*$H7169/100/12)</f>
      </c>
      <c r="M7169" s="43">
        <f>IF($I7169=0,0,IF(OR(INDEX(DarlOhneTilgung,15)=1,AND(INDEX(DarlTilgStart,15)&gt;0,$E7169&lt;INDEX(DarlTilgStart,15))),0,MIN(MAX(0,$K7169-$L7169),$J7169)))</f>
      </c>
      <c r="N7169" s="43">
        <f>IF($I7169=0,0,MIN(SUMIFS(SondBetrag,SondDarl,15,SondDatum,"&gt;="&amp;$E7169,SondDatum,"&lt;="&amp;EOMONTH($E7169,0)),$J7169-$M7169))</f>
      </c>
      <c r="O7169" s="43">
        <f>IF($I7169=0,0,INDEX(DarlErsatzRate,15))</f>
      </c>
      <c r="P7169" s="43">
        <f>IF($I7169=0,0,$Q7168*INDEX(DarlErsatzZins,15))</f>
      </c>
      <c r="Q7169" s="43">
        <f>IF($I7169=0,0,$Q7168+$P7169+$O7169)</f>
      </c>
      <c r="R7169" s="43">
        <f>IF($I7169=0,0,$J7169-$M7169-$N7169)</f>
      </c>
    </row>
    <row r="7170">
      <c r="A7170"/>
      <c r="B7170">
        <v>15</v>
      </c>
      <c r="C7170" s="43">
        <f>INDEX(DarlObj,15)</f>
      </c>
      <c r="D7170">
        <v>447</v>
      </c>
      <c r="E7170" s="51">
        <f>IF(INDEX(DarlBelegt,15)=0,0,EOMONTH(INDEX(DarlAuszahlung,15),446)+1)</f>
      </c>
      <c r="F7170" s="43">
        <f>IF($E7170=0,0,YEAR($E7170))</f>
      </c>
      <c r="G7170" s="43">
        <f>IF(INDEX(DarlBindung,15)="",1,IF($E7170&lt;=INDEX(DarlBindung,15),1,0))</f>
      </c>
      <c r="H7170" s="43">
        <f>IF($G7170=1,INDEX(DarlSollzins,15),INDEX(DarlAnschluss,15))</f>
      </c>
      <c r="I7170" s="43">
        <f>IF(INDEX(DarlBelegt,15)=0,0,IF(INDEX(DarlOhneTilgung,15)=1,IF(INDEX(DarlBindung,15)="",1,$G7170),IF($J7170&gt;0.005,1,0)))</f>
      </c>
      <c r="J7170" s="43">
        <f>IF($I7169=0,0,$R7169)</f>
      </c>
      <c r="K7170" s="43">
        <f>IF($I7170=0,0,IF(INDEX(DarlOhneTilgung,15)=1,0,IF(AND(INDEX(DarlTilgStart,15)&gt;0,$E7170=INDEX(DarlTilgStart,15)),$J7170*($H7170+INDEX(DarlTilgung,15))/100/12,IF(AND($G7170=0,$G7169=1),MAX($K7169,$J7170*($H7170+1)/100/12),$K7169))))</f>
      </c>
      <c r="L7170" s="43">
        <f>IF($I7170=0,0,$J7170*$H7170/100/12)</f>
      </c>
      <c r="M7170" s="43">
        <f>IF($I7170=0,0,IF(OR(INDEX(DarlOhneTilgung,15)=1,AND(INDEX(DarlTilgStart,15)&gt;0,$E7170&lt;INDEX(DarlTilgStart,15))),0,MIN(MAX(0,$K7170-$L7170),$J7170)))</f>
      </c>
      <c r="N7170" s="43">
        <f>IF($I7170=0,0,MIN(SUMIFS(SondBetrag,SondDarl,15,SondDatum,"&gt;="&amp;$E7170,SondDatum,"&lt;="&amp;EOMONTH($E7170,0)),$J7170-$M7170))</f>
      </c>
      <c r="O7170" s="43">
        <f>IF($I7170=0,0,INDEX(DarlErsatzRate,15))</f>
      </c>
      <c r="P7170" s="43">
        <f>IF($I7170=0,0,$Q7169*INDEX(DarlErsatzZins,15))</f>
      </c>
      <c r="Q7170" s="43">
        <f>IF($I7170=0,0,$Q7169+$P7170+$O7170)</f>
      </c>
      <c r="R7170" s="43">
        <f>IF($I7170=0,0,$J7170-$M7170-$N7170)</f>
      </c>
    </row>
    <row r="7171">
      <c r="A7171"/>
      <c r="B7171">
        <v>15</v>
      </c>
      <c r="C7171" s="43">
        <f>INDEX(DarlObj,15)</f>
      </c>
      <c r="D7171">
        <v>448</v>
      </c>
      <c r="E7171" s="51">
        <f>IF(INDEX(DarlBelegt,15)=0,0,EOMONTH(INDEX(DarlAuszahlung,15),447)+1)</f>
      </c>
      <c r="F7171" s="43">
        <f>IF($E7171=0,0,YEAR($E7171))</f>
      </c>
      <c r="G7171" s="43">
        <f>IF(INDEX(DarlBindung,15)="",1,IF($E7171&lt;=INDEX(DarlBindung,15),1,0))</f>
      </c>
      <c r="H7171" s="43">
        <f>IF($G7171=1,INDEX(DarlSollzins,15),INDEX(DarlAnschluss,15))</f>
      </c>
      <c r="I7171" s="43">
        <f>IF(INDEX(DarlBelegt,15)=0,0,IF(INDEX(DarlOhneTilgung,15)=1,IF(INDEX(DarlBindung,15)="",1,$G7171),IF($J7171&gt;0.005,1,0)))</f>
      </c>
      <c r="J7171" s="43">
        <f>IF($I7170=0,0,$R7170)</f>
      </c>
      <c r="K7171" s="43">
        <f>IF($I7171=0,0,IF(INDEX(DarlOhneTilgung,15)=1,0,IF(AND(INDEX(DarlTilgStart,15)&gt;0,$E7171=INDEX(DarlTilgStart,15)),$J7171*($H7171+INDEX(DarlTilgung,15))/100/12,IF(AND($G7171=0,$G7170=1),MAX($K7170,$J7171*($H7171+1)/100/12),$K7170))))</f>
      </c>
      <c r="L7171" s="43">
        <f>IF($I7171=0,0,$J7171*$H7171/100/12)</f>
      </c>
      <c r="M7171" s="43">
        <f>IF($I7171=0,0,IF(OR(INDEX(DarlOhneTilgung,15)=1,AND(INDEX(DarlTilgStart,15)&gt;0,$E7171&lt;INDEX(DarlTilgStart,15))),0,MIN(MAX(0,$K7171-$L7171),$J7171)))</f>
      </c>
      <c r="N7171" s="43">
        <f>IF($I7171=0,0,MIN(SUMIFS(SondBetrag,SondDarl,15,SondDatum,"&gt;="&amp;$E7171,SondDatum,"&lt;="&amp;EOMONTH($E7171,0)),$J7171-$M7171))</f>
      </c>
      <c r="O7171" s="43">
        <f>IF($I7171=0,0,INDEX(DarlErsatzRate,15))</f>
      </c>
      <c r="P7171" s="43">
        <f>IF($I7171=0,0,$Q7170*INDEX(DarlErsatzZins,15))</f>
      </c>
      <c r="Q7171" s="43">
        <f>IF($I7171=0,0,$Q7170+$P7171+$O7171)</f>
      </c>
      <c r="R7171" s="43">
        <f>IF($I7171=0,0,$J7171-$M7171-$N7171)</f>
      </c>
    </row>
    <row r="7172">
      <c r="A7172"/>
      <c r="B7172">
        <v>15</v>
      </c>
      <c r="C7172" s="43">
        <f>INDEX(DarlObj,15)</f>
      </c>
      <c r="D7172">
        <v>449</v>
      </c>
      <c r="E7172" s="51">
        <f>IF(INDEX(DarlBelegt,15)=0,0,EOMONTH(INDEX(DarlAuszahlung,15),448)+1)</f>
      </c>
      <c r="F7172" s="43">
        <f>IF($E7172=0,0,YEAR($E7172))</f>
      </c>
      <c r="G7172" s="43">
        <f>IF(INDEX(DarlBindung,15)="",1,IF($E7172&lt;=INDEX(DarlBindung,15),1,0))</f>
      </c>
      <c r="H7172" s="43">
        <f>IF($G7172=1,INDEX(DarlSollzins,15),INDEX(DarlAnschluss,15))</f>
      </c>
      <c r="I7172" s="43">
        <f>IF(INDEX(DarlBelegt,15)=0,0,IF(INDEX(DarlOhneTilgung,15)=1,IF(INDEX(DarlBindung,15)="",1,$G7172),IF($J7172&gt;0.005,1,0)))</f>
      </c>
      <c r="J7172" s="43">
        <f>IF($I7171=0,0,$R7171)</f>
      </c>
      <c r="K7172" s="43">
        <f>IF($I7172=0,0,IF(INDEX(DarlOhneTilgung,15)=1,0,IF(AND(INDEX(DarlTilgStart,15)&gt;0,$E7172=INDEX(DarlTilgStart,15)),$J7172*($H7172+INDEX(DarlTilgung,15))/100/12,IF(AND($G7172=0,$G7171=1),MAX($K7171,$J7172*($H7172+1)/100/12),$K7171))))</f>
      </c>
      <c r="L7172" s="43">
        <f>IF($I7172=0,0,$J7172*$H7172/100/12)</f>
      </c>
      <c r="M7172" s="43">
        <f>IF($I7172=0,0,IF(OR(INDEX(DarlOhneTilgung,15)=1,AND(INDEX(DarlTilgStart,15)&gt;0,$E7172&lt;INDEX(DarlTilgStart,15))),0,MIN(MAX(0,$K7172-$L7172),$J7172)))</f>
      </c>
      <c r="N7172" s="43">
        <f>IF($I7172=0,0,MIN(SUMIFS(SondBetrag,SondDarl,15,SondDatum,"&gt;="&amp;$E7172,SondDatum,"&lt;="&amp;EOMONTH($E7172,0)),$J7172-$M7172))</f>
      </c>
      <c r="O7172" s="43">
        <f>IF($I7172=0,0,INDEX(DarlErsatzRate,15))</f>
      </c>
      <c r="P7172" s="43">
        <f>IF($I7172=0,0,$Q7171*INDEX(DarlErsatzZins,15))</f>
      </c>
      <c r="Q7172" s="43">
        <f>IF($I7172=0,0,$Q7171+$P7172+$O7172)</f>
      </c>
      <c r="R7172" s="43">
        <f>IF($I7172=0,0,$J7172-$M7172-$N7172)</f>
      </c>
    </row>
    <row r="7173">
      <c r="A7173"/>
      <c r="B7173">
        <v>15</v>
      </c>
      <c r="C7173" s="43">
        <f>INDEX(DarlObj,15)</f>
      </c>
      <c r="D7173">
        <v>450</v>
      </c>
      <c r="E7173" s="51">
        <f>IF(INDEX(DarlBelegt,15)=0,0,EOMONTH(INDEX(DarlAuszahlung,15),449)+1)</f>
      </c>
      <c r="F7173" s="43">
        <f>IF($E7173=0,0,YEAR($E7173))</f>
      </c>
      <c r="G7173" s="43">
        <f>IF(INDEX(DarlBindung,15)="",1,IF($E7173&lt;=INDEX(DarlBindung,15),1,0))</f>
      </c>
      <c r="H7173" s="43">
        <f>IF($G7173=1,INDEX(DarlSollzins,15),INDEX(DarlAnschluss,15))</f>
      </c>
      <c r="I7173" s="43">
        <f>IF(INDEX(DarlBelegt,15)=0,0,IF(INDEX(DarlOhneTilgung,15)=1,IF(INDEX(DarlBindung,15)="",1,$G7173),IF($J7173&gt;0.005,1,0)))</f>
      </c>
      <c r="J7173" s="43">
        <f>IF($I7172=0,0,$R7172)</f>
      </c>
      <c r="K7173" s="43">
        <f>IF($I7173=0,0,IF(INDEX(DarlOhneTilgung,15)=1,0,IF(AND(INDEX(DarlTilgStart,15)&gt;0,$E7173=INDEX(DarlTilgStart,15)),$J7173*($H7173+INDEX(DarlTilgung,15))/100/12,IF(AND($G7173=0,$G7172=1),MAX($K7172,$J7173*($H7173+1)/100/12),$K7172))))</f>
      </c>
      <c r="L7173" s="43">
        <f>IF($I7173=0,0,$J7173*$H7173/100/12)</f>
      </c>
      <c r="M7173" s="43">
        <f>IF($I7173=0,0,IF(OR(INDEX(DarlOhneTilgung,15)=1,AND(INDEX(DarlTilgStart,15)&gt;0,$E7173&lt;INDEX(DarlTilgStart,15))),0,MIN(MAX(0,$K7173-$L7173),$J7173)))</f>
      </c>
      <c r="N7173" s="43">
        <f>IF($I7173=0,0,MIN(SUMIFS(SondBetrag,SondDarl,15,SondDatum,"&gt;="&amp;$E7173,SondDatum,"&lt;="&amp;EOMONTH($E7173,0)),$J7173-$M7173))</f>
      </c>
      <c r="O7173" s="43">
        <f>IF($I7173=0,0,INDEX(DarlErsatzRate,15))</f>
      </c>
      <c r="P7173" s="43">
        <f>IF($I7173=0,0,$Q7172*INDEX(DarlErsatzZins,15))</f>
      </c>
      <c r="Q7173" s="43">
        <f>IF($I7173=0,0,$Q7172+$P7173+$O7173)</f>
      </c>
      <c r="R7173" s="43">
        <f>IF($I7173=0,0,$J7173-$M7173-$N7173)</f>
      </c>
    </row>
    <row r="7174">
      <c r="A7174"/>
      <c r="B7174">
        <v>15</v>
      </c>
      <c r="C7174" s="43">
        <f>INDEX(DarlObj,15)</f>
      </c>
      <c r="D7174">
        <v>451</v>
      </c>
      <c r="E7174" s="51">
        <f>IF(INDEX(DarlBelegt,15)=0,0,EOMONTH(INDEX(DarlAuszahlung,15),450)+1)</f>
      </c>
      <c r="F7174" s="43">
        <f>IF($E7174=0,0,YEAR($E7174))</f>
      </c>
      <c r="G7174" s="43">
        <f>IF(INDEX(DarlBindung,15)="",1,IF($E7174&lt;=INDEX(DarlBindung,15),1,0))</f>
      </c>
      <c r="H7174" s="43">
        <f>IF($G7174=1,INDEX(DarlSollzins,15),INDEX(DarlAnschluss,15))</f>
      </c>
      <c r="I7174" s="43">
        <f>IF(INDEX(DarlBelegt,15)=0,0,IF(INDEX(DarlOhneTilgung,15)=1,IF(INDEX(DarlBindung,15)="",1,$G7174),IF($J7174&gt;0.005,1,0)))</f>
      </c>
      <c r="J7174" s="43">
        <f>IF($I7173=0,0,$R7173)</f>
      </c>
      <c r="K7174" s="43">
        <f>IF($I7174=0,0,IF(INDEX(DarlOhneTilgung,15)=1,0,IF(AND(INDEX(DarlTilgStart,15)&gt;0,$E7174=INDEX(DarlTilgStart,15)),$J7174*($H7174+INDEX(DarlTilgung,15))/100/12,IF(AND($G7174=0,$G7173=1),MAX($K7173,$J7174*($H7174+1)/100/12),$K7173))))</f>
      </c>
      <c r="L7174" s="43">
        <f>IF($I7174=0,0,$J7174*$H7174/100/12)</f>
      </c>
      <c r="M7174" s="43">
        <f>IF($I7174=0,0,IF(OR(INDEX(DarlOhneTilgung,15)=1,AND(INDEX(DarlTilgStart,15)&gt;0,$E7174&lt;INDEX(DarlTilgStart,15))),0,MIN(MAX(0,$K7174-$L7174),$J7174)))</f>
      </c>
      <c r="N7174" s="43">
        <f>IF($I7174=0,0,MIN(SUMIFS(SondBetrag,SondDarl,15,SondDatum,"&gt;="&amp;$E7174,SondDatum,"&lt;="&amp;EOMONTH($E7174,0)),$J7174-$M7174))</f>
      </c>
      <c r="O7174" s="43">
        <f>IF($I7174=0,0,INDEX(DarlErsatzRate,15))</f>
      </c>
      <c r="P7174" s="43">
        <f>IF($I7174=0,0,$Q7173*INDEX(DarlErsatzZins,15))</f>
      </c>
      <c r="Q7174" s="43">
        <f>IF($I7174=0,0,$Q7173+$P7174+$O7174)</f>
      </c>
      <c r="R7174" s="43">
        <f>IF($I7174=0,0,$J7174-$M7174-$N7174)</f>
      </c>
    </row>
    <row r="7175">
      <c r="A7175"/>
      <c r="B7175">
        <v>15</v>
      </c>
      <c r="C7175" s="43">
        <f>INDEX(DarlObj,15)</f>
      </c>
      <c r="D7175">
        <v>452</v>
      </c>
      <c r="E7175" s="51">
        <f>IF(INDEX(DarlBelegt,15)=0,0,EOMONTH(INDEX(DarlAuszahlung,15),451)+1)</f>
      </c>
      <c r="F7175" s="43">
        <f>IF($E7175=0,0,YEAR($E7175))</f>
      </c>
      <c r="G7175" s="43">
        <f>IF(INDEX(DarlBindung,15)="",1,IF($E7175&lt;=INDEX(DarlBindung,15),1,0))</f>
      </c>
      <c r="H7175" s="43">
        <f>IF($G7175=1,INDEX(DarlSollzins,15),INDEX(DarlAnschluss,15))</f>
      </c>
      <c r="I7175" s="43">
        <f>IF(INDEX(DarlBelegt,15)=0,0,IF(INDEX(DarlOhneTilgung,15)=1,IF(INDEX(DarlBindung,15)="",1,$G7175),IF($J7175&gt;0.005,1,0)))</f>
      </c>
      <c r="J7175" s="43">
        <f>IF($I7174=0,0,$R7174)</f>
      </c>
      <c r="K7175" s="43">
        <f>IF($I7175=0,0,IF(INDEX(DarlOhneTilgung,15)=1,0,IF(AND(INDEX(DarlTilgStart,15)&gt;0,$E7175=INDEX(DarlTilgStart,15)),$J7175*($H7175+INDEX(DarlTilgung,15))/100/12,IF(AND($G7175=0,$G7174=1),MAX($K7174,$J7175*($H7175+1)/100/12),$K7174))))</f>
      </c>
      <c r="L7175" s="43">
        <f>IF($I7175=0,0,$J7175*$H7175/100/12)</f>
      </c>
      <c r="M7175" s="43">
        <f>IF($I7175=0,0,IF(OR(INDEX(DarlOhneTilgung,15)=1,AND(INDEX(DarlTilgStart,15)&gt;0,$E7175&lt;INDEX(DarlTilgStart,15))),0,MIN(MAX(0,$K7175-$L7175),$J7175)))</f>
      </c>
      <c r="N7175" s="43">
        <f>IF($I7175=0,0,MIN(SUMIFS(SondBetrag,SondDarl,15,SondDatum,"&gt;="&amp;$E7175,SondDatum,"&lt;="&amp;EOMONTH($E7175,0)),$J7175-$M7175))</f>
      </c>
      <c r="O7175" s="43">
        <f>IF($I7175=0,0,INDEX(DarlErsatzRate,15))</f>
      </c>
      <c r="P7175" s="43">
        <f>IF($I7175=0,0,$Q7174*INDEX(DarlErsatzZins,15))</f>
      </c>
      <c r="Q7175" s="43">
        <f>IF($I7175=0,0,$Q7174+$P7175+$O7175)</f>
      </c>
      <c r="R7175" s="43">
        <f>IF($I7175=0,0,$J7175-$M7175-$N7175)</f>
      </c>
    </row>
    <row r="7176">
      <c r="A7176"/>
      <c r="B7176">
        <v>15</v>
      </c>
      <c r="C7176" s="43">
        <f>INDEX(DarlObj,15)</f>
      </c>
      <c r="D7176">
        <v>453</v>
      </c>
      <c r="E7176" s="51">
        <f>IF(INDEX(DarlBelegt,15)=0,0,EOMONTH(INDEX(DarlAuszahlung,15),452)+1)</f>
      </c>
      <c r="F7176" s="43">
        <f>IF($E7176=0,0,YEAR($E7176))</f>
      </c>
      <c r="G7176" s="43">
        <f>IF(INDEX(DarlBindung,15)="",1,IF($E7176&lt;=INDEX(DarlBindung,15),1,0))</f>
      </c>
      <c r="H7176" s="43">
        <f>IF($G7176=1,INDEX(DarlSollzins,15),INDEX(DarlAnschluss,15))</f>
      </c>
      <c r="I7176" s="43">
        <f>IF(INDEX(DarlBelegt,15)=0,0,IF(INDEX(DarlOhneTilgung,15)=1,IF(INDEX(DarlBindung,15)="",1,$G7176),IF($J7176&gt;0.005,1,0)))</f>
      </c>
      <c r="J7176" s="43">
        <f>IF($I7175=0,0,$R7175)</f>
      </c>
      <c r="K7176" s="43">
        <f>IF($I7176=0,0,IF(INDEX(DarlOhneTilgung,15)=1,0,IF(AND(INDEX(DarlTilgStart,15)&gt;0,$E7176=INDEX(DarlTilgStart,15)),$J7176*($H7176+INDEX(DarlTilgung,15))/100/12,IF(AND($G7176=0,$G7175=1),MAX($K7175,$J7176*($H7176+1)/100/12),$K7175))))</f>
      </c>
      <c r="L7176" s="43">
        <f>IF($I7176=0,0,$J7176*$H7176/100/12)</f>
      </c>
      <c r="M7176" s="43">
        <f>IF($I7176=0,0,IF(OR(INDEX(DarlOhneTilgung,15)=1,AND(INDEX(DarlTilgStart,15)&gt;0,$E7176&lt;INDEX(DarlTilgStart,15))),0,MIN(MAX(0,$K7176-$L7176),$J7176)))</f>
      </c>
      <c r="N7176" s="43">
        <f>IF($I7176=0,0,MIN(SUMIFS(SondBetrag,SondDarl,15,SondDatum,"&gt;="&amp;$E7176,SondDatum,"&lt;="&amp;EOMONTH($E7176,0)),$J7176-$M7176))</f>
      </c>
      <c r="O7176" s="43">
        <f>IF($I7176=0,0,INDEX(DarlErsatzRate,15))</f>
      </c>
      <c r="P7176" s="43">
        <f>IF($I7176=0,0,$Q7175*INDEX(DarlErsatzZins,15))</f>
      </c>
      <c r="Q7176" s="43">
        <f>IF($I7176=0,0,$Q7175+$P7176+$O7176)</f>
      </c>
      <c r="R7176" s="43">
        <f>IF($I7176=0,0,$J7176-$M7176-$N7176)</f>
      </c>
    </row>
    <row r="7177">
      <c r="A7177"/>
      <c r="B7177">
        <v>15</v>
      </c>
      <c r="C7177" s="43">
        <f>INDEX(DarlObj,15)</f>
      </c>
      <c r="D7177">
        <v>454</v>
      </c>
      <c r="E7177" s="51">
        <f>IF(INDEX(DarlBelegt,15)=0,0,EOMONTH(INDEX(DarlAuszahlung,15),453)+1)</f>
      </c>
      <c r="F7177" s="43">
        <f>IF($E7177=0,0,YEAR($E7177))</f>
      </c>
      <c r="G7177" s="43">
        <f>IF(INDEX(DarlBindung,15)="",1,IF($E7177&lt;=INDEX(DarlBindung,15),1,0))</f>
      </c>
      <c r="H7177" s="43">
        <f>IF($G7177=1,INDEX(DarlSollzins,15),INDEX(DarlAnschluss,15))</f>
      </c>
      <c r="I7177" s="43">
        <f>IF(INDEX(DarlBelegt,15)=0,0,IF(INDEX(DarlOhneTilgung,15)=1,IF(INDEX(DarlBindung,15)="",1,$G7177),IF($J7177&gt;0.005,1,0)))</f>
      </c>
      <c r="J7177" s="43">
        <f>IF($I7176=0,0,$R7176)</f>
      </c>
      <c r="K7177" s="43">
        <f>IF($I7177=0,0,IF(INDEX(DarlOhneTilgung,15)=1,0,IF(AND(INDEX(DarlTilgStart,15)&gt;0,$E7177=INDEX(DarlTilgStart,15)),$J7177*($H7177+INDEX(DarlTilgung,15))/100/12,IF(AND($G7177=0,$G7176=1),MAX($K7176,$J7177*($H7177+1)/100/12),$K7176))))</f>
      </c>
      <c r="L7177" s="43">
        <f>IF($I7177=0,0,$J7177*$H7177/100/12)</f>
      </c>
      <c r="M7177" s="43">
        <f>IF($I7177=0,0,IF(OR(INDEX(DarlOhneTilgung,15)=1,AND(INDEX(DarlTilgStart,15)&gt;0,$E7177&lt;INDEX(DarlTilgStart,15))),0,MIN(MAX(0,$K7177-$L7177),$J7177)))</f>
      </c>
      <c r="N7177" s="43">
        <f>IF($I7177=0,0,MIN(SUMIFS(SondBetrag,SondDarl,15,SondDatum,"&gt;="&amp;$E7177,SondDatum,"&lt;="&amp;EOMONTH($E7177,0)),$J7177-$M7177))</f>
      </c>
      <c r="O7177" s="43">
        <f>IF($I7177=0,0,INDEX(DarlErsatzRate,15))</f>
      </c>
      <c r="P7177" s="43">
        <f>IF($I7177=0,0,$Q7176*INDEX(DarlErsatzZins,15))</f>
      </c>
      <c r="Q7177" s="43">
        <f>IF($I7177=0,0,$Q7176+$P7177+$O7177)</f>
      </c>
      <c r="R7177" s="43">
        <f>IF($I7177=0,0,$J7177-$M7177-$N7177)</f>
      </c>
    </row>
    <row r="7178">
      <c r="A7178"/>
      <c r="B7178">
        <v>15</v>
      </c>
      <c r="C7178" s="43">
        <f>INDEX(DarlObj,15)</f>
      </c>
      <c r="D7178">
        <v>455</v>
      </c>
      <c r="E7178" s="51">
        <f>IF(INDEX(DarlBelegt,15)=0,0,EOMONTH(INDEX(DarlAuszahlung,15),454)+1)</f>
      </c>
      <c r="F7178" s="43">
        <f>IF($E7178=0,0,YEAR($E7178))</f>
      </c>
      <c r="G7178" s="43">
        <f>IF(INDEX(DarlBindung,15)="",1,IF($E7178&lt;=INDEX(DarlBindung,15),1,0))</f>
      </c>
      <c r="H7178" s="43">
        <f>IF($G7178=1,INDEX(DarlSollzins,15),INDEX(DarlAnschluss,15))</f>
      </c>
      <c r="I7178" s="43">
        <f>IF(INDEX(DarlBelegt,15)=0,0,IF(INDEX(DarlOhneTilgung,15)=1,IF(INDEX(DarlBindung,15)="",1,$G7178),IF($J7178&gt;0.005,1,0)))</f>
      </c>
      <c r="J7178" s="43">
        <f>IF($I7177=0,0,$R7177)</f>
      </c>
      <c r="K7178" s="43">
        <f>IF($I7178=0,0,IF(INDEX(DarlOhneTilgung,15)=1,0,IF(AND(INDEX(DarlTilgStart,15)&gt;0,$E7178=INDEX(DarlTilgStart,15)),$J7178*($H7178+INDEX(DarlTilgung,15))/100/12,IF(AND($G7178=0,$G7177=1),MAX($K7177,$J7178*($H7178+1)/100/12),$K7177))))</f>
      </c>
      <c r="L7178" s="43">
        <f>IF($I7178=0,0,$J7178*$H7178/100/12)</f>
      </c>
      <c r="M7178" s="43">
        <f>IF($I7178=0,0,IF(OR(INDEX(DarlOhneTilgung,15)=1,AND(INDEX(DarlTilgStart,15)&gt;0,$E7178&lt;INDEX(DarlTilgStart,15))),0,MIN(MAX(0,$K7178-$L7178),$J7178)))</f>
      </c>
      <c r="N7178" s="43">
        <f>IF($I7178=0,0,MIN(SUMIFS(SondBetrag,SondDarl,15,SondDatum,"&gt;="&amp;$E7178,SondDatum,"&lt;="&amp;EOMONTH($E7178,0)),$J7178-$M7178))</f>
      </c>
      <c r="O7178" s="43">
        <f>IF($I7178=0,0,INDEX(DarlErsatzRate,15))</f>
      </c>
      <c r="P7178" s="43">
        <f>IF($I7178=0,0,$Q7177*INDEX(DarlErsatzZins,15))</f>
      </c>
      <c r="Q7178" s="43">
        <f>IF($I7178=0,0,$Q7177+$P7178+$O7178)</f>
      </c>
      <c r="R7178" s="43">
        <f>IF($I7178=0,0,$J7178-$M7178-$N7178)</f>
      </c>
    </row>
    <row r="7179">
      <c r="A7179"/>
      <c r="B7179">
        <v>15</v>
      </c>
      <c r="C7179" s="43">
        <f>INDEX(DarlObj,15)</f>
      </c>
      <c r="D7179">
        <v>456</v>
      </c>
      <c r="E7179" s="51">
        <f>IF(INDEX(DarlBelegt,15)=0,0,EOMONTH(INDEX(DarlAuszahlung,15),455)+1)</f>
      </c>
      <c r="F7179" s="43">
        <f>IF($E7179=0,0,YEAR($E7179))</f>
      </c>
      <c r="G7179" s="43">
        <f>IF(INDEX(DarlBindung,15)="",1,IF($E7179&lt;=INDEX(DarlBindung,15),1,0))</f>
      </c>
      <c r="H7179" s="43">
        <f>IF($G7179=1,INDEX(DarlSollzins,15),INDEX(DarlAnschluss,15))</f>
      </c>
      <c r="I7179" s="43">
        <f>IF(INDEX(DarlBelegt,15)=0,0,IF(INDEX(DarlOhneTilgung,15)=1,IF(INDEX(DarlBindung,15)="",1,$G7179),IF($J7179&gt;0.005,1,0)))</f>
      </c>
      <c r="J7179" s="43">
        <f>IF($I7178=0,0,$R7178)</f>
      </c>
      <c r="K7179" s="43">
        <f>IF($I7179=0,0,IF(INDEX(DarlOhneTilgung,15)=1,0,IF(AND(INDEX(DarlTilgStart,15)&gt;0,$E7179=INDEX(DarlTilgStart,15)),$J7179*($H7179+INDEX(DarlTilgung,15))/100/12,IF(AND($G7179=0,$G7178=1),MAX($K7178,$J7179*($H7179+1)/100/12),$K7178))))</f>
      </c>
      <c r="L7179" s="43">
        <f>IF($I7179=0,0,$J7179*$H7179/100/12)</f>
      </c>
      <c r="M7179" s="43">
        <f>IF($I7179=0,0,IF(OR(INDEX(DarlOhneTilgung,15)=1,AND(INDEX(DarlTilgStart,15)&gt;0,$E7179&lt;INDEX(DarlTilgStart,15))),0,MIN(MAX(0,$K7179-$L7179),$J7179)))</f>
      </c>
      <c r="N7179" s="43">
        <f>IF($I7179=0,0,MIN(SUMIFS(SondBetrag,SondDarl,15,SondDatum,"&gt;="&amp;$E7179,SondDatum,"&lt;="&amp;EOMONTH($E7179,0)),$J7179-$M7179))</f>
      </c>
      <c r="O7179" s="43">
        <f>IF($I7179=0,0,INDEX(DarlErsatzRate,15))</f>
      </c>
      <c r="P7179" s="43">
        <f>IF($I7179=0,0,$Q7178*INDEX(DarlErsatzZins,15))</f>
      </c>
      <c r="Q7179" s="43">
        <f>IF($I7179=0,0,$Q7178+$P7179+$O7179)</f>
      </c>
      <c r="R7179" s="43">
        <f>IF($I7179=0,0,$J7179-$M7179-$N7179)</f>
      </c>
    </row>
    <row r="7180">
      <c r="A7180"/>
      <c r="B7180">
        <v>15</v>
      </c>
      <c r="C7180" s="43">
        <f>INDEX(DarlObj,15)</f>
      </c>
      <c r="D7180">
        <v>457</v>
      </c>
      <c r="E7180" s="51">
        <f>IF(INDEX(DarlBelegt,15)=0,0,EOMONTH(INDEX(DarlAuszahlung,15),456)+1)</f>
      </c>
      <c r="F7180" s="43">
        <f>IF($E7180=0,0,YEAR($E7180))</f>
      </c>
      <c r="G7180" s="43">
        <f>IF(INDEX(DarlBindung,15)="",1,IF($E7180&lt;=INDEX(DarlBindung,15),1,0))</f>
      </c>
      <c r="H7180" s="43">
        <f>IF($G7180=1,INDEX(DarlSollzins,15),INDEX(DarlAnschluss,15))</f>
      </c>
      <c r="I7180" s="43">
        <f>IF(INDEX(DarlBelegt,15)=0,0,IF(INDEX(DarlOhneTilgung,15)=1,IF(INDEX(DarlBindung,15)="",1,$G7180),IF($J7180&gt;0.005,1,0)))</f>
      </c>
      <c r="J7180" s="43">
        <f>IF($I7179=0,0,$R7179)</f>
      </c>
      <c r="K7180" s="43">
        <f>IF($I7180=0,0,IF(INDEX(DarlOhneTilgung,15)=1,0,IF(AND(INDEX(DarlTilgStart,15)&gt;0,$E7180=INDEX(DarlTilgStart,15)),$J7180*($H7180+INDEX(DarlTilgung,15))/100/12,IF(AND($G7180=0,$G7179=1),MAX($K7179,$J7180*($H7180+1)/100/12),$K7179))))</f>
      </c>
      <c r="L7180" s="43">
        <f>IF($I7180=0,0,$J7180*$H7180/100/12)</f>
      </c>
      <c r="M7180" s="43">
        <f>IF($I7180=0,0,IF(OR(INDEX(DarlOhneTilgung,15)=1,AND(INDEX(DarlTilgStart,15)&gt;0,$E7180&lt;INDEX(DarlTilgStart,15))),0,MIN(MAX(0,$K7180-$L7180),$J7180)))</f>
      </c>
      <c r="N7180" s="43">
        <f>IF($I7180=0,0,MIN(SUMIFS(SondBetrag,SondDarl,15,SondDatum,"&gt;="&amp;$E7180,SondDatum,"&lt;="&amp;EOMONTH($E7180,0)),$J7180-$M7180))</f>
      </c>
      <c r="O7180" s="43">
        <f>IF($I7180=0,0,INDEX(DarlErsatzRate,15))</f>
      </c>
      <c r="P7180" s="43">
        <f>IF($I7180=0,0,$Q7179*INDEX(DarlErsatzZins,15))</f>
      </c>
      <c r="Q7180" s="43">
        <f>IF($I7180=0,0,$Q7179+$P7180+$O7180)</f>
      </c>
      <c r="R7180" s="43">
        <f>IF($I7180=0,0,$J7180-$M7180-$N7180)</f>
      </c>
    </row>
    <row r="7181">
      <c r="A7181"/>
      <c r="B7181">
        <v>15</v>
      </c>
      <c r="C7181" s="43">
        <f>INDEX(DarlObj,15)</f>
      </c>
      <c r="D7181">
        <v>458</v>
      </c>
      <c r="E7181" s="51">
        <f>IF(INDEX(DarlBelegt,15)=0,0,EOMONTH(INDEX(DarlAuszahlung,15),457)+1)</f>
      </c>
      <c r="F7181" s="43">
        <f>IF($E7181=0,0,YEAR($E7181))</f>
      </c>
      <c r="G7181" s="43">
        <f>IF(INDEX(DarlBindung,15)="",1,IF($E7181&lt;=INDEX(DarlBindung,15),1,0))</f>
      </c>
      <c r="H7181" s="43">
        <f>IF($G7181=1,INDEX(DarlSollzins,15),INDEX(DarlAnschluss,15))</f>
      </c>
      <c r="I7181" s="43">
        <f>IF(INDEX(DarlBelegt,15)=0,0,IF(INDEX(DarlOhneTilgung,15)=1,IF(INDEX(DarlBindung,15)="",1,$G7181),IF($J7181&gt;0.005,1,0)))</f>
      </c>
      <c r="J7181" s="43">
        <f>IF($I7180=0,0,$R7180)</f>
      </c>
      <c r="K7181" s="43">
        <f>IF($I7181=0,0,IF(INDEX(DarlOhneTilgung,15)=1,0,IF(AND(INDEX(DarlTilgStart,15)&gt;0,$E7181=INDEX(DarlTilgStart,15)),$J7181*($H7181+INDEX(DarlTilgung,15))/100/12,IF(AND($G7181=0,$G7180=1),MAX($K7180,$J7181*($H7181+1)/100/12),$K7180))))</f>
      </c>
      <c r="L7181" s="43">
        <f>IF($I7181=0,0,$J7181*$H7181/100/12)</f>
      </c>
      <c r="M7181" s="43">
        <f>IF($I7181=0,0,IF(OR(INDEX(DarlOhneTilgung,15)=1,AND(INDEX(DarlTilgStart,15)&gt;0,$E7181&lt;INDEX(DarlTilgStart,15))),0,MIN(MAX(0,$K7181-$L7181),$J7181)))</f>
      </c>
      <c r="N7181" s="43">
        <f>IF($I7181=0,0,MIN(SUMIFS(SondBetrag,SondDarl,15,SondDatum,"&gt;="&amp;$E7181,SondDatum,"&lt;="&amp;EOMONTH($E7181,0)),$J7181-$M7181))</f>
      </c>
      <c r="O7181" s="43">
        <f>IF($I7181=0,0,INDEX(DarlErsatzRate,15))</f>
      </c>
      <c r="P7181" s="43">
        <f>IF($I7181=0,0,$Q7180*INDEX(DarlErsatzZins,15))</f>
      </c>
      <c r="Q7181" s="43">
        <f>IF($I7181=0,0,$Q7180+$P7181+$O7181)</f>
      </c>
      <c r="R7181" s="43">
        <f>IF($I7181=0,0,$J7181-$M7181-$N7181)</f>
      </c>
    </row>
    <row r="7182">
      <c r="A7182"/>
      <c r="B7182">
        <v>15</v>
      </c>
      <c r="C7182" s="43">
        <f>INDEX(DarlObj,15)</f>
      </c>
      <c r="D7182">
        <v>459</v>
      </c>
      <c r="E7182" s="51">
        <f>IF(INDEX(DarlBelegt,15)=0,0,EOMONTH(INDEX(DarlAuszahlung,15),458)+1)</f>
      </c>
      <c r="F7182" s="43">
        <f>IF($E7182=0,0,YEAR($E7182))</f>
      </c>
      <c r="G7182" s="43">
        <f>IF(INDEX(DarlBindung,15)="",1,IF($E7182&lt;=INDEX(DarlBindung,15),1,0))</f>
      </c>
      <c r="H7182" s="43">
        <f>IF($G7182=1,INDEX(DarlSollzins,15),INDEX(DarlAnschluss,15))</f>
      </c>
      <c r="I7182" s="43">
        <f>IF(INDEX(DarlBelegt,15)=0,0,IF(INDEX(DarlOhneTilgung,15)=1,IF(INDEX(DarlBindung,15)="",1,$G7182),IF($J7182&gt;0.005,1,0)))</f>
      </c>
      <c r="J7182" s="43">
        <f>IF($I7181=0,0,$R7181)</f>
      </c>
      <c r="K7182" s="43">
        <f>IF($I7182=0,0,IF(INDEX(DarlOhneTilgung,15)=1,0,IF(AND(INDEX(DarlTilgStart,15)&gt;0,$E7182=INDEX(DarlTilgStart,15)),$J7182*($H7182+INDEX(DarlTilgung,15))/100/12,IF(AND($G7182=0,$G7181=1),MAX($K7181,$J7182*($H7182+1)/100/12),$K7181))))</f>
      </c>
      <c r="L7182" s="43">
        <f>IF($I7182=0,0,$J7182*$H7182/100/12)</f>
      </c>
      <c r="M7182" s="43">
        <f>IF($I7182=0,0,IF(OR(INDEX(DarlOhneTilgung,15)=1,AND(INDEX(DarlTilgStart,15)&gt;0,$E7182&lt;INDEX(DarlTilgStart,15))),0,MIN(MAX(0,$K7182-$L7182),$J7182)))</f>
      </c>
      <c r="N7182" s="43">
        <f>IF($I7182=0,0,MIN(SUMIFS(SondBetrag,SondDarl,15,SondDatum,"&gt;="&amp;$E7182,SondDatum,"&lt;="&amp;EOMONTH($E7182,0)),$J7182-$M7182))</f>
      </c>
      <c r="O7182" s="43">
        <f>IF($I7182=0,0,INDEX(DarlErsatzRate,15))</f>
      </c>
      <c r="P7182" s="43">
        <f>IF($I7182=0,0,$Q7181*INDEX(DarlErsatzZins,15))</f>
      </c>
      <c r="Q7182" s="43">
        <f>IF($I7182=0,0,$Q7181+$P7182+$O7182)</f>
      </c>
      <c r="R7182" s="43">
        <f>IF($I7182=0,0,$J7182-$M7182-$N7182)</f>
      </c>
    </row>
    <row r="7183">
      <c r="A7183"/>
      <c r="B7183">
        <v>15</v>
      </c>
      <c r="C7183" s="43">
        <f>INDEX(DarlObj,15)</f>
      </c>
      <c r="D7183">
        <v>460</v>
      </c>
      <c r="E7183" s="51">
        <f>IF(INDEX(DarlBelegt,15)=0,0,EOMONTH(INDEX(DarlAuszahlung,15),459)+1)</f>
      </c>
      <c r="F7183" s="43">
        <f>IF($E7183=0,0,YEAR($E7183))</f>
      </c>
      <c r="G7183" s="43">
        <f>IF(INDEX(DarlBindung,15)="",1,IF($E7183&lt;=INDEX(DarlBindung,15),1,0))</f>
      </c>
      <c r="H7183" s="43">
        <f>IF($G7183=1,INDEX(DarlSollzins,15),INDEX(DarlAnschluss,15))</f>
      </c>
      <c r="I7183" s="43">
        <f>IF(INDEX(DarlBelegt,15)=0,0,IF(INDEX(DarlOhneTilgung,15)=1,IF(INDEX(DarlBindung,15)="",1,$G7183),IF($J7183&gt;0.005,1,0)))</f>
      </c>
      <c r="J7183" s="43">
        <f>IF($I7182=0,0,$R7182)</f>
      </c>
      <c r="K7183" s="43">
        <f>IF($I7183=0,0,IF(INDEX(DarlOhneTilgung,15)=1,0,IF(AND(INDEX(DarlTilgStart,15)&gt;0,$E7183=INDEX(DarlTilgStart,15)),$J7183*($H7183+INDEX(DarlTilgung,15))/100/12,IF(AND($G7183=0,$G7182=1),MAX($K7182,$J7183*($H7183+1)/100/12),$K7182))))</f>
      </c>
      <c r="L7183" s="43">
        <f>IF($I7183=0,0,$J7183*$H7183/100/12)</f>
      </c>
      <c r="M7183" s="43">
        <f>IF($I7183=0,0,IF(OR(INDEX(DarlOhneTilgung,15)=1,AND(INDEX(DarlTilgStart,15)&gt;0,$E7183&lt;INDEX(DarlTilgStart,15))),0,MIN(MAX(0,$K7183-$L7183),$J7183)))</f>
      </c>
      <c r="N7183" s="43">
        <f>IF($I7183=0,0,MIN(SUMIFS(SondBetrag,SondDarl,15,SondDatum,"&gt;="&amp;$E7183,SondDatum,"&lt;="&amp;EOMONTH($E7183,0)),$J7183-$M7183))</f>
      </c>
      <c r="O7183" s="43">
        <f>IF($I7183=0,0,INDEX(DarlErsatzRate,15))</f>
      </c>
      <c r="P7183" s="43">
        <f>IF($I7183=0,0,$Q7182*INDEX(DarlErsatzZins,15))</f>
      </c>
      <c r="Q7183" s="43">
        <f>IF($I7183=0,0,$Q7182+$P7183+$O7183)</f>
      </c>
      <c r="R7183" s="43">
        <f>IF($I7183=0,0,$J7183-$M7183-$N7183)</f>
      </c>
    </row>
    <row r="7184">
      <c r="A7184"/>
      <c r="B7184">
        <v>15</v>
      </c>
      <c r="C7184" s="43">
        <f>INDEX(DarlObj,15)</f>
      </c>
      <c r="D7184">
        <v>461</v>
      </c>
      <c r="E7184" s="51">
        <f>IF(INDEX(DarlBelegt,15)=0,0,EOMONTH(INDEX(DarlAuszahlung,15),460)+1)</f>
      </c>
      <c r="F7184" s="43">
        <f>IF($E7184=0,0,YEAR($E7184))</f>
      </c>
      <c r="G7184" s="43">
        <f>IF(INDEX(DarlBindung,15)="",1,IF($E7184&lt;=INDEX(DarlBindung,15),1,0))</f>
      </c>
      <c r="H7184" s="43">
        <f>IF($G7184=1,INDEX(DarlSollzins,15),INDEX(DarlAnschluss,15))</f>
      </c>
      <c r="I7184" s="43">
        <f>IF(INDEX(DarlBelegt,15)=0,0,IF(INDEX(DarlOhneTilgung,15)=1,IF(INDEX(DarlBindung,15)="",1,$G7184),IF($J7184&gt;0.005,1,0)))</f>
      </c>
      <c r="J7184" s="43">
        <f>IF($I7183=0,0,$R7183)</f>
      </c>
      <c r="K7184" s="43">
        <f>IF($I7184=0,0,IF(INDEX(DarlOhneTilgung,15)=1,0,IF(AND(INDEX(DarlTilgStart,15)&gt;0,$E7184=INDEX(DarlTilgStart,15)),$J7184*($H7184+INDEX(DarlTilgung,15))/100/12,IF(AND($G7184=0,$G7183=1),MAX($K7183,$J7184*($H7184+1)/100/12),$K7183))))</f>
      </c>
      <c r="L7184" s="43">
        <f>IF($I7184=0,0,$J7184*$H7184/100/12)</f>
      </c>
      <c r="M7184" s="43">
        <f>IF($I7184=0,0,IF(OR(INDEX(DarlOhneTilgung,15)=1,AND(INDEX(DarlTilgStart,15)&gt;0,$E7184&lt;INDEX(DarlTilgStart,15))),0,MIN(MAX(0,$K7184-$L7184),$J7184)))</f>
      </c>
      <c r="N7184" s="43">
        <f>IF($I7184=0,0,MIN(SUMIFS(SondBetrag,SondDarl,15,SondDatum,"&gt;="&amp;$E7184,SondDatum,"&lt;="&amp;EOMONTH($E7184,0)),$J7184-$M7184))</f>
      </c>
      <c r="O7184" s="43">
        <f>IF($I7184=0,0,INDEX(DarlErsatzRate,15))</f>
      </c>
      <c r="P7184" s="43">
        <f>IF($I7184=0,0,$Q7183*INDEX(DarlErsatzZins,15))</f>
      </c>
      <c r="Q7184" s="43">
        <f>IF($I7184=0,0,$Q7183+$P7184+$O7184)</f>
      </c>
      <c r="R7184" s="43">
        <f>IF($I7184=0,0,$J7184-$M7184-$N7184)</f>
      </c>
    </row>
    <row r="7185">
      <c r="A7185"/>
      <c r="B7185">
        <v>15</v>
      </c>
      <c r="C7185" s="43">
        <f>INDEX(DarlObj,15)</f>
      </c>
      <c r="D7185">
        <v>462</v>
      </c>
      <c r="E7185" s="51">
        <f>IF(INDEX(DarlBelegt,15)=0,0,EOMONTH(INDEX(DarlAuszahlung,15),461)+1)</f>
      </c>
      <c r="F7185" s="43">
        <f>IF($E7185=0,0,YEAR($E7185))</f>
      </c>
      <c r="G7185" s="43">
        <f>IF(INDEX(DarlBindung,15)="",1,IF($E7185&lt;=INDEX(DarlBindung,15),1,0))</f>
      </c>
      <c r="H7185" s="43">
        <f>IF($G7185=1,INDEX(DarlSollzins,15),INDEX(DarlAnschluss,15))</f>
      </c>
      <c r="I7185" s="43">
        <f>IF(INDEX(DarlBelegt,15)=0,0,IF(INDEX(DarlOhneTilgung,15)=1,IF(INDEX(DarlBindung,15)="",1,$G7185),IF($J7185&gt;0.005,1,0)))</f>
      </c>
      <c r="J7185" s="43">
        <f>IF($I7184=0,0,$R7184)</f>
      </c>
      <c r="K7185" s="43">
        <f>IF($I7185=0,0,IF(INDEX(DarlOhneTilgung,15)=1,0,IF(AND(INDEX(DarlTilgStart,15)&gt;0,$E7185=INDEX(DarlTilgStart,15)),$J7185*($H7185+INDEX(DarlTilgung,15))/100/12,IF(AND($G7185=0,$G7184=1),MAX($K7184,$J7185*($H7185+1)/100/12),$K7184))))</f>
      </c>
      <c r="L7185" s="43">
        <f>IF($I7185=0,0,$J7185*$H7185/100/12)</f>
      </c>
      <c r="M7185" s="43">
        <f>IF($I7185=0,0,IF(OR(INDEX(DarlOhneTilgung,15)=1,AND(INDEX(DarlTilgStart,15)&gt;0,$E7185&lt;INDEX(DarlTilgStart,15))),0,MIN(MAX(0,$K7185-$L7185),$J7185)))</f>
      </c>
      <c r="N7185" s="43">
        <f>IF($I7185=0,0,MIN(SUMIFS(SondBetrag,SondDarl,15,SondDatum,"&gt;="&amp;$E7185,SondDatum,"&lt;="&amp;EOMONTH($E7185,0)),$J7185-$M7185))</f>
      </c>
      <c r="O7185" s="43">
        <f>IF($I7185=0,0,INDEX(DarlErsatzRate,15))</f>
      </c>
      <c r="P7185" s="43">
        <f>IF($I7185=0,0,$Q7184*INDEX(DarlErsatzZins,15))</f>
      </c>
      <c r="Q7185" s="43">
        <f>IF($I7185=0,0,$Q7184+$P7185+$O7185)</f>
      </c>
      <c r="R7185" s="43">
        <f>IF($I7185=0,0,$J7185-$M7185-$N7185)</f>
      </c>
    </row>
    <row r="7186">
      <c r="A7186"/>
      <c r="B7186">
        <v>15</v>
      </c>
      <c r="C7186" s="43">
        <f>INDEX(DarlObj,15)</f>
      </c>
      <c r="D7186">
        <v>463</v>
      </c>
      <c r="E7186" s="51">
        <f>IF(INDEX(DarlBelegt,15)=0,0,EOMONTH(INDEX(DarlAuszahlung,15),462)+1)</f>
      </c>
      <c r="F7186" s="43">
        <f>IF($E7186=0,0,YEAR($E7186))</f>
      </c>
      <c r="G7186" s="43">
        <f>IF(INDEX(DarlBindung,15)="",1,IF($E7186&lt;=INDEX(DarlBindung,15),1,0))</f>
      </c>
      <c r="H7186" s="43">
        <f>IF($G7186=1,INDEX(DarlSollzins,15),INDEX(DarlAnschluss,15))</f>
      </c>
      <c r="I7186" s="43">
        <f>IF(INDEX(DarlBelegt,15)=0,0,IF(INDEX(DarlOhneTilgung,15)=1,IF(INDEX(DarlBindung,15)="",1,$G7186),IF($J7186&gt;0.005,1,0)))</f>
      </c>
      <c r="J7186" s="43">
        <f>IF($I7185=0,0,$R7185)</f>
      </c>
      <c r="K7186" s="43">
        <f>IF($I7186=0,0,IF(INDEX(DarlOhneTilgung,15)=1,0,IF(AND(INDEX(DarlTilgStart,15)&gt;0,$E7186=INDEX(DarlTilgStart,15)),$J7186*($H7186+INDEX(DarlTilgung,15))/100/12,IF(AND($G7186=0,$G7185=1),MAX($K7185,$J7186*($H7186+1)/100/12),$K7185))))</f>
      </c>
      <c r="L7186" s="43">
        <f>IF($I7186=0,0,$J7186*$H7186/100/12)</f>
      </c>
      <c r="M7186" s="43">
        <f>IF($I7186=0,0,IF(OR(INDEX(DarlOhneTilgung,15)=1,AND(INDEX(DarlTilgStart,15)&gt;0,$E7186&lt;INDEX(DarlTilgStart,15))),0,MIN(MAX(0,$K7186-$L7186),$J7186)))</f>
      </c>
      <c r="N7186" s="43">
        <f>IF($I7186=0,0,MIN(SUMIFS(SondBetrag,SondDarl,15,SondDatum,"&gt;="&amp;$E7186,SondDatum,"&lt;="&amp;EOMONTH($E7186,0)),$J7186-$M7186))</f>
      </c>
      <c r="O7186" s="43">
        <f>IF($I7186=0,0,INDEX(DarlErsatzRate,15))</f>
      </c>
      <c r="P7186" s="43">
        <f>IF($I7186=0,0,$Q7185*INDEX(DarlErsatzZins,15))</f>
      </c>
      <c r="Q7186" s="43">
        <f>IF($I7186=0,0,$Q7185+$P7186+$O7186)</f>
      </c>
      <c r="R7186" s="43">
        <f>IF($I7186=0,0,$J7186-$M7186-$N7186)</f>
      </c>
    </row>
    <row r="7187">
      <c r="A7187"/>
      <c r="B7187">
        <v>15</v>
      </c>
      <c r="C7187" s="43">
        <f>INDEX(DarlObj,15)</f>
      </c>
      <c r="D7187">
        <v>464</v>
      </c>
      <c r="E7187" s="51">
        <f>IF(INDEX(DarlBelegt,15)=0,0,EOMONTH(INDEX(DarlAuszahlung,15),463)+1)</f>
      </c>
      <c r="F7187" s="43">
        <f>IF($E7187=0,0,YEAR($E7187))</f>
      </c>
      <c r="G7187" s="43">
        <f>IF(INDEX(DarlBindung,15)="",1,IF($E7187&lt;=INDEX(DarlBindung,15),1,0))</f>
      </c>
      <c r="H7187" s="43">
        <f>IF($G7187=1,INDEX(DarlSollzins,15),INDEX(DarlAnschluss,15))</f>
      </c>
      <c r="I7187" s="43">
        <f>IF(INDEX(DarlBelegt,15)=0,0,IF(INDEX(DarlOhneTilgung,15)=1,IF(INDEX(DarlBindung,15)="",1,$G7187),IF($J7187&gt;0.005,1,0)))</f>
      </c>
      <c r="J7187" s="43">
        <f>IF($I7186=0,0,$R7186)</f>
      </c>
      <c r="K7187" s="43">
        <f>IF($I7187=0,0,IF(INDEX(DarlOhneTilgung,15)=1,0,IF(AND(INDEX(DarlTilgStart,15)&gt;0,$E7187=INDEX(DarlTilgStart,15)),$J7187*($H7187+INDEX(DarlTilgung,15))/100/12,IF(AND($G7187=0,$G7186=1),MAX($K7186,$J7187*($H7187+1)/100/12),$K7186))))</f>
      </c>
      <c r="L7187" s="43">
        <f>IF($I7187=0,0,$J7187*$H7187/100/12)</f>
      </c>
      <c r="M7187" s="43">
        <f>IF($I7187=0,0,IF(OR(INDEX(DarlOhneTilgung,15)=1,AND(INDEX(DarlTilgStart,15)&gt;0,$E7187&lt;INDEX(DarlTilgStart,15))),0,MIN(MAX(0,$K7187-$L7187),$J7187)))</f>
      </c>
      <c r="N7187" s="43">
        <f>IF($I7187=0,0,MIN(SUMIFS(SondBetrag,SondDarl,15,SondDatum,"&gt;="&amp;$E7187,SondDatum,"&lt;="&amp;EOMONTH($E7187,0)),$J7187-$M7187))</f>
      </c>
      <c r="O7187" s="43">
        <f>IF($I7187=0,0,INDEX(DarlErsatzRate,15))</f>
      </c>
      <c r="P7187" s="43">
        <f>IF($I7187=0,0,$Q7186*INDEX(DarlErsatzZins,15))</f>
      </c>
      <c r="Q7187" s="43">
        <f>IF($I7187=0,0,$Q7186+$P7187+$O7187)</f>
      </c>
      <c r="R7187" s="43">
        <f>IF($I7187=0,0,$J7187-$M7187-$N7187)</f>
      </c>
    </row>
    <row r="7188">
      <c r="A7188"/>
      <c r="B7188">
        <v>15</v>
      </c>
      <c r="C7188" s="43">
        <f>INDEX(DarlObj,15)</f>
      </c>
      <c r="D7188">
        <v>465</v>
      </c>
      <c r="E7188" s="51">
        <f>IF(INDEX(DarlBelegt,15)=0,0,EOMONTH(INDEX(DarlAuszahlung,15),464)+1)</f>
      </c>
      <c r="F7188" s="43">
        <f>IF($E7188=0,0,YEAR($E7188))</f>
      </c>
      <c r="G7188" s="43">
        <f>IF(INDEX(DarlBindung,15)="",1,IF($E7188&lt;=INDEX(DarlBindung,15),1,0))</f>
      </c>
      <c r="H7188" s="43">
        <f>IF($G7188=1,INDEX(DarlSollzins,15),INDEX(DarlAnschluss,15))</f>
      </c>
      <c r="I7188" s="43">
        <f>IF(INDEX(DarlBelegt,15)=0,0,IF(INDEX(DarlOhneTilgung,15)=1,IF(INDEX(DarlBindung,15)="",1,$G7188),IF($J7188&gt;0.005,1,0)))</f>
      </c>
      <c r="J7188" s="43">
        <f>IF($I7187=0,0,$R7187)</f>
      </c>
      <c r="K7188" s="43">
        <f>IF($I7188=0,0,IF(INDEX(DarlOhneTilgung,15)=1,0,IF(AND(INDEX(DarlTilgStart,15)&gt;0,$E7188=INDEX(DarlTilgStart,15)),$J7188*($H7188+INDEX(DarlTilgung,15))/100/12,IF(AND($G7188=0,$G7187=1),MAX($K7187,$J7188*($H7188+1)/100/12),$K7187))))</f>
      </c>
      <c r="L7188" s="43">
        <f>IF($I7188=0,0,$J7188*$H7188/100/12)</f>
      </c>
      <c r="M7188" s="43">
        <f>IF($I7188=0,0,IF(OR(INDEX(DarlOhneTilgung,15)=1,AND(INDEX(DarlTilgStart,15)&gt;0,$E7188&lt;INDEX(DarlTilgStart,15))),0,MIN(MAX(0,$K7188-$L7188),$J7188)))</f>
      </c>
      <c r="N7188" s="43">
        <f>IF($I7188=0,0,MIN(SUMIFS(SondBetrag,SondDarl,15,SondDatum,"&gt;="&amp;$E7188,SondDatum,"&lt;="&amp;EOMONTH($E7188,0)),$J7188-$M7188))</f>
      </c>
      <c r="O7188" s="43">
        <f>IF($I7188=0,0,INDEX(DarlErsatzRate,15))</f>
      </c>
      <c r="P7188" s="43">
        <f>IF($I7188=0,0,$Q7187*INDEX(DarlErsatzZins,15))</f>
      </c>
      <c r="Q7188" s="43">
        <f>IF($I7188=0,0,$Q7187+$P7188+$O7188)</f>
      </c>
      <c r="R7188" s="43">
        <f>IF($I7188=0,0,$J7188-$M7188-$N7188)</f>
      </c>
    </row>
    <row r="7189">
      <c r="A7189"/>
      <c r="B7189">
        <v>15</v>
      </c>
      <c r="C7189" s="43">
        <f>INDEX(DarlObj,15)</f>
      </c>
      <c r="D7189">
        <v>466</v>
      </c>
      <c r="E7189" s="51">
        <f>IF(INDEX(DarlBelegt,15)=0,0,EOMONTH(INDEX(DarlAuszahlung,15),465)+1)</f>
      </c>
      <c r="F7189" s="43">
        <f>IF($E7189=0,0,YEAR($E7189))</f>
      </c>
      <c r="G7189" s="43">
        <f>IF(INDEX(DarlBindung,15)="",1,IF($E7189&lt;=INDEX(DarlBindung,15),1,0))</f>
      </c>
      <c r="H7189" s="43">
        <f>IF($G7189=1,INDEX(DarlSollzins,15),INDEX(DarlAnschluss,15))</f>
      </c>
      <c r="I7189" s="43">
        <f>IF(INDEX(DarlBelegt,15)=0,0,IF(INDEX(DarlOhneTilgung,15)=1,IF(INDEX(DarlBindung,15)="",1,$G7189),IF($J7189&gt;0.005,1,0)))</f>
      </c>
      <c r="J7189" s="43">
        <f>IF($I7188=0,0,$R7188)</f>
      </c>
      <c r="K7189" s="43">
        <f>IF($I7189=0,0,IF(INDEX(DarlOhneTilgung,15)=1,0,IF(AND(INDEX(DarlTilgStart,15)&gt;0,$E7189=INDEX(DarlTilgStart,15)),$J7189*($H7189+INDEX(DarlTilgung,15))/100/12,IF(AND($G7189=0,$G7188=1),MAX($K7188,$J7189*($H7189+1)/100/12),$K7188))))</f>
      </c>
      <c r="L7189" s="43">
        <f>IF($I7189=0,0,$J7189*$H7189/100/12)</f>
      </c>
      <c r="M7189" s="43">
        <f>IF($I7189=0,0,IF(OR(INDEX(DarlOhneTilgung,15)=1,AND(INDEX(DarlTilgStart,15)&gt;0,$E7189&lt;INDEX(DarlTilgStart,15))),0,MIN(MAX(0,$K7189-$L7189),$J7189)))</f>
      </c>
      <c r="N7189" s="43">
        <f>IF($I7189=0,0,MIN(SUMIFS(SondBetrag,SondDarl,15,SondDatum,"&gt;="&amp;$E7189,SondDatum,"&lt;="&amp;EOMONTH($E7189,0)),$J7189-$M7189))</f>
      </c>
      <c r="O7189" s="43">
        <f>IF($I7189=0,0,INDEX(DarlErsatzRate,15))</f>
      </c>
      <c r="P7189" s="43">
        <f>IF($I7189=0,0,$Q7188*INDEX(DarlErsatzZins,15))</f>
      </c>
      <c r="Q7189" s="43">
        <f>IF($I7189=0,0,$Q7188+$P7189+$O7189)</f>
      </c>
      <c r="R7189" s="43">
        <f>IF($I7189=0,0,$J7189-$M7189-$N7189)</f>
      </c>
    </row>
    <row r="7190">
      <c r="A7190"/>
      <c r="B7190">
        <v>15</v>
      </c>
      <c r="C7190" s="43">
        <f>INDEX(DarlObj,15)</f>
      </c>
      <c r="D7190">
        <v>467</v>
      </c>
      <c r="E7190" s="51">
        <f>IF(INDEX(DarlBelegt,15)=0,0,EOMONTH(INDEX(DarlAuszahlung,15),466)+1)</f>
      </c>
      <c r="F7190" s="43">
        <f>IF($E7190=0,0,YEAR($E7190))</f>
      </c>
      <c r="G7190" s="43">
        <f>IF(INDEX(DarlBindung,15)="",1,IF($E7190&lt;=INDEX(DarlBindung,15),1,0))</f>
      </c>
      <c r="H7190" s="43">
        <f>IF($G7190=1,INDEX(DarlSollzins,15),INDEX(DarlAnschluss,15))</f>
      </c>
      <c r="I7190" s="43">
        <f>IF(INDEX(DarlBelegt,15)=0,0,IF(INDEX(DarlOhneTilgung,15)=1,IF(INDEX(DarlBindung,15)="",1,$G7190),IF($J7190&gt;0.005,1,0)))</f>
      </c>
      <c r="J7190" s="43">
        <f>IF($I7189=0,0,$R7189)</f>
      </c>
      <c r="K7190" s="43">
        <f>IF($I7190=0,0,IF(INDEX(DarlOhneTilgung,15)=1,0,IF(AND(INDEX(DarlTilgStart,15)&gt;0,$E7190=INDEX(DarlTilgStart,15)),$J7190*($H7190+INDEX(DarlTilgung,15))/100/12,IF(AND($G7190=0,$G7189=1),MAX($K7189,$J7190*($H7190+1)/100/12),$K7189))))</f>
      </c>
      <c r="L7190" s="43">
        <f>IF($I7190=0,0,$J7190*$H7190/100/12)</f>
      </c>
      <c r="M7190" s="43">
        <f>IF($I7190=0,0,IF(OR(INDEX(DarlOhneTilgung,15)=1,AND(INDEX(DarlTilgStart,15)&gt;0,$E7190&lt;INDEX(DarlTilgStart,15))),0,MIN(MAX(0,$K7190-$L7190),$J7190)))</f>
      </c>
      <c r="N7190" s="43">
        <f>IF($I7190=0,0,MIN(SUMIFS(SondBetrag,SondDarl,15,SondDatum,"&gt;="&amp;$E7190,SondDatum,"&lt;="&amp;EOMONTH($E7190,0)),$J7190-$M7190))</f>
      </c>
      <c r="O7190" s="43">
        <f>IF($I7190=0,0,INDEX(DarlErsatzRate,15))</f>
      </c>
      <c r="P7190" s="43">
        <f>IF($I7190=0,0,$Q7189*INDEX(DarlErsatzZins,15))</f>
      </c>
      <c r="Q7190" s="43">
        <f>IF($I7190=0,0,$Q7189+$P7190+$O7190)</f>
      </c>
      <c r="R7190" s="43">
        <f>IF($I7190=0,0,$J7190-$M7190-$N7190)</f>
      </c>
    </row>
    <row r="7191">
      <c r="A7191"/>
      <c r="B7191">
        <v>15</v>
      </c>
      <c r="C7191" s="43">
        <f>INDEX(DarlObj,15)</f>
      </c>
      <c r="D7191">
        <v>468</v>
      </c>
      <c r="E7191" s="51">
        <f>IF(INDEX(DarlBelegt,15)=0,0,EOMONTH(INDEX(DarlAuszahlung,15),467)+1)</f>
      </c>
      <c r="F7191" s="43">
        <f>IF($E7191=0,0,YEAR($E7191))</f>
      </c>
      <c r="G7191" s="43">
        <f>IF(INDEX(DarlBindung,15)="",1,IF($E7191&lt;=INDEX(DarlBindung,15),1,0))</f>
      </c>
      <c r="H7191" s="43">
        <f>IF($G7191=1,INDEX(DarlSollzins,15),INDEX(DarlAnschluss,15))</f>
      </c>
      <c r="I7191" s="43">
        <f>IF(INDEX(DarlBelegt,15)=0,0,IF(INDEX(DarlOhneTilgung,15)=1,IF(INDEX(DarlBindung,15)="",1,$G7191),IF($J7191&gt;0.005,1,0)))</f>
      </c>
      <c r="J7191" s="43">
        <f>IF($I7190=0,0,$R7190)</f>
      </c>
      <c r="K7191" s="43">
        <f>IF($I7191=0,0,IF(INDEX(DarlOhneTilgung,15)=1,0,IF(AND(INDEX(DarlTilgStart,15)&gt;0,$E7191=INDEX(DarlTilgStart,15)),$J7191*($H7191+INDEX(DarlTilgung,15))/100/12,IF(AND($G7191=0,$G7190=1),MAX($K7190,$J7191*($H7191+1)/100/12),$K7190))))</f>
      </c>
      <c r="L7191" s="43">
        <f>IF($I7191=0,0,$J7191*$H7191/100/12)</f>
      </c>
      <c r="M7191" s="43">
        <f>IF($I7191=0,0,IF(OR(INDEX(DarlOhneTilgung,15)=1,AND(INDEX(DarlTilgStart,15)&gt;0,$E7191&lt;INDEX(DarlTilgStart,15))),0,MIN(MAX(0,$K7191-$L7191),$J7191)))</f>
      </c>
      <c r="N7191" s="43">
        <f>IF($I7191=0,0,MIN(SUMIFS(SondBetrag,SondDarl,15,SondDatum,"&gt;="&amp;$E7191,SondDatum,"&lt;="&amp;EOMONTH($E7191,0)),$J7191-$M7191))</f>
      </c>
      <c r="O7191" s="43">
        <f>IF($I7191=0,0,INDEX(DarlErsatzRate,15))</f>
      </c>
      <c r="P7191" s="43">
        <f>IF($I7191=0,0,$Q7190*INDEX(DarlErsatzZins,15))</f>
      </c>
      <c r="Q7191" s="43">
        <f>IF($I7191=0,0,$Q7190+$P7191+$O7191)</f>
      </c>
      <c r="R7191" s="43">
        <f>IF($I7191=0,0,$J7191-$M7191-$N7191)</f>
      </c>
    </row>
    <row r="7192">
      <c r="A7192"/>
      <c r="B7192">
        <v>15</v>
      </c>
      <c r="C7192" s="43">
        <f>INDEX(DarlObj,15)</f>
      </c>
      <c r="D7192">
        <v>469</v>
      </c>
      <c r="E7192" s="51">
        <f>IF(INDEX(DarlBelegt,15)=0,0,EOMONTH(INDEX(DarlAuszahlung,15),468)+1)</f>
      </c>
      <c r="F7192" s="43">
        <f>IF($E7192=0,0,YEAR($E7192))</f>
      </c>
      <c r="G7192" s="43">
        <f>IF(INDEX(DarlBindung,15)="",1,IF($E7192&lt;=INDEX(DarlBindung,15),1,0))</f>
      </c>
      <c r="H7192" s="43">
        <f>IF($G7192=1,INDEX(DarlSollzins,15),INDEX(DarlAnschluss,15))</f>
      </c>
      <c r="I7192" s="43">
        <f>IF(INDEX(DarlBelegt,15)=0,0,IF(INDEX(DarlOhneTilgung,15)=1,IF(INDEX(DarlBindung,15)="",1,$G7192),IF($J7192&gt;0.005,1,0)))</f>
      </c>
      <c r="J7192" s="43">
        <f>IF($I7191=0,0,$R7191)</f>
      </c>
      <c r="K7192" s="43">
        <f>IF($I7192=0,0,IF(INDEX(DarlOhneTilgung,15)=1,0,IF(AND(INDEX(DarlTilgStart,15)&gt;0,$E7192=INDEX(DarlTilgStart,15)),$J7192*($H7192+INDEX(DarlTilgung,15))/100/12,IF(AND($G7192=0,$G7191=1),MAX($K7191,$J7192*($H7192+1)/100/12),$K7191))))</f>
      </c>
      <c r="L7192" s="43">
        <f>IF($I7192=0,0,$J7192*$H7192/100/12)</f>
      </c>
      <c r="M7192" s="43">
        <f>IF($I7192=0,0,IF(OR(INDEX(DarlOhneTilgung,15)=1,AND(INDEX(DarlTilgStart,15)&gt;0,$E7192&lt;INDEX(DarlTilgStart,15))),0,MIN(MAX(0,$K7192-$L7192),$J7192)))</f>
      </c>
      <c r="N7192" s="43">
        <f>IF($I7192=0,0,MIN(SUMIFS(SondBetrag,SondDarl,15,SondDatum,"&gt;="&amp;$E7192,SondDatum,"&lt;="&amp;EOMONTH($E7192,0)),$J7192-$M7192))</f>
      </c>
      <c r="O7192" s="43">
        <f>IF($I7192=0,0,INDEX(DarlErsatzRate,15))</f>
      </c>
      <c r="P7192" s="43">
        <f>IF($I7192=0,0,$Q7191*INDEX(DarlErsatzZins,15))</f>
      </c>
      <c r="Q7192" s="43">
        <f>IF($I7192=0,0,$Q7191+$P7192+$O7192)</f>
      </c>
      <c r="R7192" s="43">
        <f>IF($I7192=0,0,$J7192-$M7192-$N7192)</f>
      </c>
    </row>
    <row r="7193">
      <c r="A7193"/>
      <c r="B7193">
        <v>15</v>
      </c>
      <c r="C7193" s="43">
        <f>INDEX(DarlObj,15)</f>
      </c>
      <c r="D7193">
        <v>470</v>
      </c>
      <c r="E7193" s="51">
        <f>IF(INDEX(DarlBelegt,15)=0,0,EOMONTH(INDEX(DarlAuszahlung,15),469)+1)</f>
      </c>
      <c r="F7193" s="43">
        <f>IF($E7193=0,0,YEAR($E7193))</f>
      </c>
      <c r="G7193" s="43">
        <f>IF(INDEX(DarlBindung,15)="",1,IF($E7193&lt;=INDEX(DarlBindung,15),1,0))</f>
      </c>
      <c r="H7193" s="43">
        <f>IF($G7193=1,INDEX(DarlSollzins,15),INDEX(DarlAnschluss,15))</f>
      </c>
      <c r="I7193" s="43">
        <f>IF(INDEX(DarlBelegt,15)=0,0,IF(INDEX(DarlOhneTilgung,15)=1,IF(INDEX(DarlBindung,15)="",1,$G7193),IF($J7193&gt;0.005,1,0)))</f>
      </c>
      <c r="J7193" s="43">
        <f>IF($I7192=0,0,$R7192)</f>
      </c>
      <c r="K7193" s="43">
        <f>IF($I7193=0,0,IF(INDEX(DarlOhneTilgung,15)=1,0,IF(AND(INDEX(DarlTilgStart,15)&gt;0,$E7193=INDEX(DarlTilgStart,15)),$J7193*($H7193+INDEX(DarlTilgung,15))/100/12,IF(AND($G7193=0,$G7192=1),MAX($K7192,$J7193*($H7193+1)/100/12),$K7192))))</f>
      </c>
      <c r="L7193" s="43">
        <f>IF($I7193=0,0,$J7193*$H7193/100/12)</f>
      </c>
      <c r="M7193" s="43">
        <f>IF($I7193=0,0,IF(OR(INDEX(DarlOhneTilgung,15)=1,AND(INDEX(DarlTilgStart,15)&gt;0,$E7193&lt;INDEX(DarlTilgStart,15))),0,MIN(MAX(0,$K7193-$L7193),$J7193)))</f>
      </c>
      <c r="N7193" s="43">
        <f>IF($I7193=0,0,MIN(SUMIFS(SondBetrag,SondDarl,15,SondDatum,"&gt;="&amp;$E7193,SondDatum,"&lt;="&amp;EOMONTH($E7193,0)),$J7193-$M7193))</f>
      </c>
      <c r="O7193" s="43">
        <f>IF($I7193=0,0,INDEX(DarlErsatzRate,15))</f>
      </c>
      <c r="P7193" s="43">
        <f>IF($I7193=0,0,$Q7192*INDEX(DarlErsatzZins,15))</f>
      </c>
      <c r="Q7193" s="43">
        <f>IF($I7193=0,0,$Q7192+$P7193+$O7193)</f>
      </c>
      <c r="R7193" s="43">
        <f>IF($I7193=0,0,$J7193-$M7193-$N7193)</f>
      </c>
    </row>
    <row r="7194">
      <c r="A7194"/>
      <c r="B7194">
        <v>15</v>
      </c>
      <c r="C7194" s="43">
        <f>INDEX(DarlObj,15)</f>
      </c>
      <c r="D7194">
        <v>471</v>
      </c>
      <c r="E7194" s="51">
        <f>IF(INDEX(DarlBelegt,15)=0,0,EOMONTH(INDEX(DarlAuszahlung,15),470)+1)</f>
      </c>
      <c r="F7194" s="43">
        <f>IF($E7194=0,0,YEAR($E7194))</f>
      </c>
      <c r="G7194" s="43">
        <f>IF(INDEX(DarlBindung,15)="",1,IF($E7194&lt;=INDEX(DarlBindung,15),1,0))</f>
      </c>
      <c r="H7194" s="43">
        <f>IF($G7194=1,INDEX(DarlSollzins,15),INDEX(DarlAnschluss,15))</f>
      </c>
      <c r="I7194" s="43">
        <f>IF(INDEX(DarlBelegt,15)=0,0,IF(INDEX(DarlOhneTilgung,15)=1,IF(INDEX(DarlBindung,15)="",1,$G7194),IF($J7194&gt;0.005,1,0)))</f>
      </c>
      <c r="J7194" s="43">
        <f>IF($I7193=0,0,$R7193)</f>
      </c>
      <c r="K7194" s="43">
        <f>IF($I7194=0,0,IF(INDEX(DarlOhneTilgung,15)=1,0,IF(AND(INDEX(DarlTilgStart,15)&gt;0,$E7194=INDEX(DarlTilgStart,15)),$J7194*($H7194+INDEX(DarlTilgung,15))/100/12,IF(AND($G7194=0,$G7193=1),MAX($K7193,$J7194*($H7194+1)/100/12),$K7193))))</f>
      </c>
      <c r="L7194" s="43">
        <f>IF($I7194=0,0,$J7194*$H7194/100/12)</f>
      </c>
      <c r="M7194" s="43">
        <f>IF($I7194=0,0,IF(OR(INDEX(DarlOhneTilgung,15)=1,AND(INDEX(DarlTilgStart,15)&gt;0,$E7194&lt;INDEX(DarlTilgStart,15))),0,MIN(MAX(0,$K7194-$L7194),$J7194)))</f>
      </c>
      <c r="N7194" s="43">
        <f>IF($I7194=0,0,MIN(SUMIFS(SondBetrag,SondDarl,15,SondDatum,"&gt;="&amp;$E7194,SondDatum,"&lt;="&amp;EOMONTH($E7194,0)),$J7194-$M7194))</f>
      </c>
      <c r="O7194" s="43">
        <f>IF($I7194=0,0,INDEX(DarlErsatzRate,15))</f>
      </c>
      <c r="P7194" s="43">
        <f>IF($I7194=0,0,$Q7193*INDEX(DarlErsatzZins,15))</f>
      </c>
      <c r="Q7194" s="43">
        <f>IF($I7194=0,0,$Q7193+$P7194+$O7194)</f>
      </c>
      <c r="R7194" s="43">
        <f>IF($I7194=0,0,$J7194-$M7194-$N7194)</f>
      </c>
    </row>
    <row r="7195">
      <c r="A7195"/>
      <c r="B7195">
        <v>15</v>
      </c>
      <c r="C7195" s="43">
        <f>INDEX(DarlObj,15)</f>
      </c>
      <c r="D7195">
        <v>472</v>
      </c>
      <c r="E7195" s="51">
        <f>IF(INDEX(DarlBelegt,15)=0,0,EOMONTH(INDEX(DarlAuszahlung,15),471)+1)</f>
      </c>
      <c r="F7195" s="43">
        <f>IF($E7195=0,0,YEAR($E7195))</f>
      </c>
      <c r="G7195" s="43">
        <f>IF(INDEX(DarlBindung,15)="",1,IF($E7195&lt;=INDEX(DarlBindung,15),1,0))</f>
      </c>
      <c r="H7195" s="43">
        <f>IF($G7195=1,INDEX(DarlSollzins,15),INDEX(DarlAnschluss,15))</f>
      </c>
      <c r="I7195" s="43">
        <f>IF(INDEX(DarlBelegt,15)=0,0,IF(INDEX(DarlOhneTilgung,15)=1,IF(INDEX(DarlBindung,15)="",1,$G7195),IF($J7195&gt;0.005,1,0)))</f>
      </c>
      <c r="J7195" s="43">
        <f>IF($I7194=0,0,$R7194)</f>
      </c>
      <c r="K7195" s="43">
        <f>IF($I7195=0,0,IF(INDEX(DarlOhneTilgung,15)=1,0,IF(AND(INDEX(DarlTilgStart,15)&gt;0,$E7195=INDEX(DarlTilgStart,15)),$J7195*($H7195+INDEX(DarlTilgung,15))/100/12,IF(AND($G7195=0,$G7194=1),MAX($K7194,$J7195*($H7195+1)/100/12),$K7194))))</f>
      </c>
      <c r="L7195" s="43">
        <f>IF($I7195=0,0,$J7195*$H7195/100/12)</f>
      </c>
      <c r="M7195" s="43">
        <f>IF($I7195=0,0,IF(OR(INDEX(DarlOhneTilgung,15)=1,AND(INDEX(DarlTilgStart,15)&gt;0,$E7195&lt;INDEX(DarlTilgStart,15))),0,MIN(MAX(0,$K7195-$L7195),$J7195)))</f>
      </c>
      <c r="N7195" s="43">
        <f>IF($I7195=0,0,MIN(SUMIFS(SondBetrag,SondDarl,15,SondDatum,"&gt;="&amp;$E7195,SondDatum,"&lt;="&amp;EOMONTH($E7195,0)),$J7195-$M7195))</f>
      </c>
      <c r="O7195" s="43">
        <f>IF($I7195=0,0,INDEX(DarlErsatzRate,15))</f>
      </c>
      <c r="P7195" s="43">
        <f>IF($I7195=0,0,$Q7194*INDEX(DarlErsatzZins,15))</f>
      </c>
      <c r="Q7195" s="43">
        <f>IF($I7195=0,0,$Q7194+$P7195+$O7195)</f>
      </c>
      <c r="R7195" s="43">
        <f>IF($I7195=0,0,$J7195-$M7195-$N7195)</f>
      </c>
    </row>
    <row r="7196">
      <c r="A7196"/>
      <c r="B7196">
        <v>15</v>
      </c>
      <c r="C7196" s="43">
        <f>INDEX(DarlObj,15)</f>
      </c>
      <c r="D7196">
        <v>473</v>
      </c>
      <c r="E7196" s="51">
        <f>IF(INDEX(DarlBelegt,15)=0,0,EOMONTH(INDEX(DarlAuszahlung,15),472)+1)</f>
      </c>
      <c r="F7196" s="43">
        <f>IF($E7196=0,0,YEAR($E7196))</f>
      </c>
      <c r="G7196" s="43">
        <f>IF(INDEX(DarlBindung,15)="",1,IF($E7196&lt;=INDEX(DarlBindung,15),1,0))</f>
      </c>
      <c r="H7196" s="43">
        <f>IF($G7196=1,INDEX(DarlSollzins,15),INDEX(DarlAnschluss,15))</f>
      </c>
      <c r="I7196" s="43">
        <f>IF(INDEX(DarlBelegt,15)=0,0,IF(INDEX(DarlOhneTilgung,15)=1,IF(INDEX(DarlBindung,15)="",1,$G7196),IF($J7196&gt;0.005,1,0)))</f>
      </c>
      <c r="J7196" s="43">
        <f>IF($I7195=0,0,$R7195)</f>
      </c>
      <c r="K7196" s="43">
        <f>IF($I7196=0,0,IF(INDEX(DarlOhneTilgung,15)=1,0,IF(AND(INDEX(DarlTilgStart,15)&gt;0,$E7196=INDEX(DarlTilgStart,15)),$J7196*($H7196+INDEX(DarlTilgung,15))/100/12,IF(AND($G7196=0,$G7195=1),MAX($K7195,$J7196*($H7196+1)/100/12),$K7195))))</f>
      </c>
      <c r="L7196" s="43">
        <f>IF($I7196=0,0,$J7196*$H7196/100/12)</f>
      </c>
      <c r="M7196" s="43">
        <f>IF($I7196=0,0,IF(OR(INDEX(DarlOhneTilgung,15)=1,AND(INDEX(DarlTilgStart,15)&gt;0,$E7196&lt;INDEX(DarlTilgStart,15))),0,MIN(MAX(0,$K7196-$L7196),$J7196)))</f>
      </c>
      <c r="N7196" s="43">
        <f>IF($I7196=0,0,MIN(SUMIFS(SondBetrag,SondDarl,15,SondDatum,"&gt;="&amp;$E7196,SondDatum,"&lt;="&amp;EOMONTH($E7196,0)),$J7196-$M7196))</f>
      </c>
      <c r="O7196" s="43">
        <f>IF($I7196=0,0,INDEX(DarlErsatzRate,15))</f>
      </c>
      <c r="P7196" s="43">
        <f>IF($I7196=0,0,$Q7195*INDEX(DarlErsatzZins,15))</f>
      </c>
      <c r="Q7196" s="43">
        <f>IF($I7196=0,0,$Q7195+$P7196+$O7196)</f>
      </c>
      <c r="R7196" s="43">
        <f>IF($I7196=0,0,$J7196-$M7196-$N7196)</f>
      </c>
    </row>
    <row r="7197">
      <c r="A7197"/>
      <c r="B7197">
        <v>15</v>
      </c>
      <c r="C7197" s="43">
        <f>INDEX(DarlObj,15)</f>
      </c>
      <c r="D7197">
        <v>474</v>
      </c>
      <c r="E7197" s="51">
        <f>IF(INDEX(DarlBelegt,15)=0,0,EOMONTH(INDEX(DarlAuszahlung,15),473)+1)</f>
      </c>
      <c r="F7197" s="43">
        <f>IF($E7197=0,0,YEAR($E7197))</f>
      </c>
      <c r="G7197" s="43">
        <f>IF(INDEX(DarlBindung,15)="",1,IF($E7197&lt;=INDEX(DarlBindung,15),1,0))</f>
      </c>
      <c r="H7197" s="43">
        <f>IF($G7197=1,INDEX(DarlSollzins,15),INDEX(DarlAnschluss,15))</f>
      </c>
      <c r="I7197" s="43">
        <f>IF(INDEX(DarlBelegt,15)=0,0,IF(INDEX(DarlOhneTilgung,15)=1,IF(INDEX(DarlBindung,15)="",1,$G7197),IF($J7197&gt;0.005,1,0)))</f>
      </c>
      <c r="J7197" s="43">
        <f>IF($I7196=0,0,$R7196)</f>
      </c>
      <c r="K7197" s="43">
        <f>IF($I7197=0,0,IF(INDEX(DarlOhneTilgung,15)=1,0,IF(AND(INDEX(DarlTilgStart,15)&gt;0,$E7197=INDEX(DarlTilgStart,15)),$J7197*($H7197+INDEX(DarlTilgung,15))/100/12,IF(AND($G7197=0,$G7196=1),MAX($K7196,$J7197*($H7197+1)/100/12),$K7196))))</f>
      </c>
      <c r="L7197" s="43">
        <f>IF($I7197=0,0,$J7197*$H7197/100/12)</f>
      </c>
      <c r="M7197" s="43">
        <f>IF($I7197=0,0,IF(OR(INDEX(DarlOhneTilgung,15)=1,AND(INDEX(DarlTilgStart,15)&gt;0,$E7197&lt;INDEX(DarlTilgStart,15))),0,MIN(MAX(0,$K7197-$L7197),$J7197)))</f>
      </c>
      <c r="N7197" s="43">
        <f>IF($I7197=0,0,MIN(SUMIFS(SondBetrag,SondDarl,15,SondDatum,"&gt;="&amp;$E7197,SondDatum,"&lt;="&amp;EOMONTH($E7197,0)),$J7197-$M7197))</f>
      </c>
      <c r="O7197" s="43">
        <f>IF($I7197=0,0,INDEX(DarlErsatzRate,15))</f>
      </c>
      <c r="P7197" s="43">
        <f>IF($I7197=0,0,$Q7196*INDEX(DarlErsatzZins,15))</f>
      </c>
      <c r="Q7197" s="43">
        <f>IF($I7197=0,0,$Q7196+$P7197+$O7197)</f>
      </c>
      <c r="R7197" s="43">
        <f>IF($I7197=0,0,$J7197-$M7197-$N7197)</f>
      </c>
    </row>
    <row r="7198">
      <c r="A7198"/>
      <c r="B7198">
        <v>15</v>
      </c>
      <c r="C7198" s="43">
        <f>INDEX(DarlObj,15)</f>
      </c>
      <c r="D7198">
        <v>475</v>
      </c>
      <c r="E7198" s="51">
        <f>IF(INDEX(DarlBelegt,15)=0,0,EOMONTH(INDEX(DarlAuszahlung,15),474)+1)</f>
      </c>
      <c r="F7198" s="43">
        <f>IF($E7198=0,0,YEAR($E7198))</f>
      </c>
      <c r="G7198" s="43">
        <f>IF(INDEX(DarlBindung,15)="",1,IF($E7198&lt;=INDEX(DarlBindung,15),1,0))</f>
      </c>
      <c r="H7198" s="43">
        <f>IF($G7198=1,INDEX(DarlSollzins,15),INDEX(DarlAnschluss,15))</f>
      </c>
      <c r="I7198" s="43">
        <f>IF(INDEX(DarlBelegt,15)=0,0,IF(INDEX(DarlOhneTilgung,15)=1,IF(INDEX(DarlBindung,15)="",1,$G7198),IF($J7198&gt;0.005,1,0)))</f>
      </c>
      <c r="J7198" s="43">
        <f>IF($I7197=0,0,$R7197)</f>
      </c>
      <c r="K7198" s="43">
        <f>IF($I7198=0,0,IF(INDEX(DarlOhneTilgung,15)=1,0,IF(AND(INDEX(DarlTilgStart,15)&gt;0,$E7198=INDEX(DarlTilgStart,15)),$J7198*($H7198+INDEX(DarlTilgung,15))/100/12,IF(AND($G7198=0,$G7197=1),MAX($K7197,$J7198*($H7198+1)/100/12),$K7197))))</f>
      </c>
      <c r="L7198" s="43">
        <f>IF($I7198=0,0,$J7198*$H7198/100/12)</f>
      </c>
      <c r="M7198" s="43">
        <f>IF($I7198=0,0,IF(OR(INDEX(DarlOhneTilgung,15)=1,AND(INDEX(DarlTilgStart,15)&gt;0,$E7198&lt;INDEX(DarlTilgStart,15))),0,MIN(MAX(0,$K7198-$L7198),$J7198)))</f>
      </c>
      <c r="N7198" s="43">
        <f>IF($I7198=0,0,MIN(SUMIFS(SondBetrag,SondDarl,15,SondDatum,"&gt;="&amp;$E7198,SondDatum,"&lt;="&amp;EOMONTH($E7198,0)),$J7198-$M7198))</f>
      </c>
      <c r="O7198" s="43">
        <f>IF($I7198=0,0,INDEX(DarlErsatzRate,15))</f>
      </c>
      <c r="P7198" s="43">
        <f>IF($I7198=0,0,$Q7197*INDEX(DarlErsatzZins,15))</f>
      </c>
      <c r="Q7198" s="43">
        <f>IF($I7198=0,0,$Q7197+$P7198+$O7198)</f>
      </c>
      <c r="R7198" s="43">
        <f>IF($I7198=0,0,$J7198-$M7198-$N7198)</f>
      </c>
    </row>
    <row r="7199">
      <c r="A7199"/>
      <c r="B7199">
        <v>15</v>
      </c>
      <c r="C7199" s="43">
        <f>INDEX(DarlObj,15)</f>
      </c>
      <c r="D7199">
        <v>476</v>
      </c>
      <c r="E7199" s="51">
        <f>IF(INDEX(DarlBelegt,15)=0,0,EOMONTH(INDEX(DarlAuszahlung,15),475)+1)</f>
      </c>
      <c r="F7199" s="43">
        <f>IF($E7199=0,0,YEAR($E7199))</f>
      </c>
      <c r="G7199" s="43">
        <f>IF(INDEX(DarlBindung,15)="",1,IF($E7199&lt;=INDEX(DarlBindung,15),1,0))</f>
      </c>
      <c r="H7199" s="43">
        <f>IF($G7199=1,INDEX(DarlSollzins,15),INDEX(DarlAnschluss,15))</f>
      </c>
      <c r="I7199" s="43">
        <f>IF(INDEX(DarlBelegt,15)=0,0,IF(INDEX(DarlOhneTilgung,15)=1,IF(INDEX(DarlBindung,15)="",1,$G7199),IF($J7199&gt;0.005,1,0)))</f>
      </c>
      <c r="J7199" s="43">
        <f>IF($I7198=0,0,$R7198)</f>
      </c>
      <c r="K7199" s="43">
        <f>IF($I7199=0,0,IF(INDEX(DarlOhneTilgung,15)=1,0,IF(AND(INDEX(DarlTilgStart,15)&gt;0,$E7199=INDEX(DarlTilgStart,15)),$J7199*($H7199+INDEX(DarlTilgung,15))/100/12,IF(AND($G7199=0,$G7198=1),MAX($K7198,$J7199*($H7199+1)/100/12),$K7198))))</f>
      </c>
      <c r="L7199" s="43">
        <f>IF($I7199=0,0,$J7199*$H7199/100/12)</f>
      </c>
      <c r="M7199" s="43">
        <f>IF($I7199=0,0,IF(OR(INDEX(DarlOhneTilgung,15)=1,AND(INDEX(DarlTilgStart,15)&gt;0,$E7199&lt;INDEX(DarlTilgStart,15))),0,MIN(MAX(0,$K7199-$L7199),$J7199)))</f>
      </c>
      <c r="N7199" s="43">
        <f>IF($I7199=0,0,MIN(SUMIFS(SondBetrag,SondDarl,15,SondDatum,"&gt;="&amp;$E7199,SondDatum,"&lt;="&amp;EOMONTH($E7199,0)),$J7199-$M7199))</f>
      </c>
      <c r="O7199" s="43">
        <f>IF($I7199=0,0,INDEX(DarlErsatzRate,15))</f>
      </c>
      <c r="P7199" s="43">
        <f>IF($I7199=0,0,$Q7198*INDEX(DarlErsatzZins,15))</f>
      </c>
      <c r="Q7199" s="43">
        <f>IF($I7199=0,0,$Q7198+$P7199+$O7199)</f>
      </c>
      <c r="R7199" s="43">
        <f>IF($I7199=0,0,$J7199-$M7199-$N7199)</f>
      </c>
    </row>
    <row r="7200">
      <c r="A7200"/>
      <c r="B7200">
        <v>15</v>
      </c>
      <c r="C7200" s="43">
        <f>INDEX(DarlObj,15)</f>
      </c>
      <c r="D7200">
        <v>477</v>
      </c>
      <c r="E7200" s="51">
        <f>IF(INDEX(DarlBelegt,15)=0,0,EOMONTH(INDEX(DarlAuszahlung,15),476)+1)</f>
      </c>
      <c r="F7200" s="43">
        <f>IF($E7200=0,0,YEAR($E7200))</f>
      </c>
      <c r="G7200" s="43">
        <f>IF(INDEX(DarlBindung,15)="",1,IF($E7200&lt;=INDEX(DarlBindung,15),1,0))</f>
      </c>
      <c r="H7200" s="43">
        <f>IF($G7200=1,INDEX(DarlSollzins,15),INDEX(DarlAnschluss,15))</f>
      </c>
      <c r="I7200" s="43">
        <f>IF(INDEX(DarlBelegt,15)=0,0,IF(INDEX(DarlOhneTilgung,15)=1,IF(INDEX(DarlBindung,15)="",1,$G7200),IF($J7200&gt;0.005,1,0)))</f>
      </c>
      <c r="J7200" s="43">
        <f>IF($I7199=0,0,$R7199)</f>
      </c>
      <c r="K7200" s="43">
        <f>IF($I7200=0,0,IF(INDEX(DarlOhneTilgung,15)=1,0,IF(AND(INDEX(DarlTilgStart,15)&gt;0,$E7200=INDEX(DarlTilgStart,15)),$J7200*($H7200+INDEX(DarlTilgung,15))/100/12,IF(AND($G7200=0,$G7199=1),MAX($K7199,$J7200*($H7200+1)/100/12),$K7199))))</f>
      </c>
      <c r="L7200" s="43">
        <f>IF($I7200=0,0,$J7200*$H7200/100/12)</f>
      </c>
      <c r="M7200" s="43">
        <f>IF($I7200=0,0,IF(OR(INDEX(DarlOhneTilgung,15)=1,AND(INDEX(DarlTilgStart,15)&gt;0,$E7200&lt;INDEX(DarlTilgStart,15))),0,MIN(MAX(0,$K7200-$L7200),$J7200)))</f>
      </c>
      <c r="N7200" s="43">
        <f>IF($I7200=0,0,MIN(SUMIFS(SondBetrag,SondDarl,15,SondDatum,"&gt;="&amp;$E7200,SondDatum,"&lt;="&amp;EOMONTH($E7200,0)),$J7200-$M7200))</f>
      </c>
      <c r="O7200" s="43">
        <f>IF($I7200=0,0,INDEX(DarlErsatzRate,15))</f>
      </c>
      <c r="P7200" s="43">
        <f>IF($I7200=0,0,$Q7199*INDEX(DarlErsatzZins,15))</f>
      </c>
      <c r="Q7200" s="43">
        <f>IF($I7200=0,0,$Q7199+$P7200+$O7200)</f>
      </c>
      <c r="R7200" s="43">
        <f>IF($I7200=0,0,$J7200-$M7200-$N7200)</f>
      </c>
    </row>
    <row r="7201">
      <c r="A7201"/>
      <c r="B7201">
        <v>15</v>
      </c>
      <c r="C7201" s="43">
        <f>INDEX(DarlObj,15)</f>
      </c>
      <c r="D7201">
        <v>478</v>
      </c>
      <c r="E7201" s="51">
        <f>IF(INDEX(DarlBelegt,15)=0,0,EOMONTH(INDEX(DarlAuszahlung,15),477)+1)</f>
      </c>
      <c r="F7201" s="43">
        <f>IF($E7201=0,0,YEAR($E7201))</f>
      </c>
      <c r="G7201" s="43">
        <f>IF(INDEX(DarlBindung,15)="",1,IF($E7201&lt;=INDEX(DarlBindung,15),1,0))</f>
      </c>
      <c r="H7201" s="43">
        <f>IF($G7201=1,INDEX(DarlSollzins,15),INDEX(DarlAnschluss,15))</f>
      </c>
      <c r="I7201" s="43">
        <f>IF(INDEX(DarlBelegt,15)=0,0,IF(INDEX(DarlOhneTilgung,15)=1,IF(INDEX(DarlBindung,15)="",1,$G7201),IF($J7201&gt;0.005,1,0)))</f>
      </c>
      <c r="J7201" s="43">
        <f>IF($I7200=0,0,$R7200)</f>
      </c>
      <c r="K7201" s="43">
        <f>IF($I7201=0,0,IF(INDEX(DarlOhneTilgung,15)=1,0,IF(AND(INDEX(DarlTilgStart,15)&gt;0,$E7201=INDEX(DarlTilgStart,15)),$J7201*($H7201+INDEX(DarlTilgung,15))/100/12,IF(AND($G7201=0,$G7200=1),MAX($K7200,$J7201*($H7201+1)/100/12),$K7200))))</f>
      </c>
      <c r="L7201" s="43">
        <f>IF($I7201=0,0,$J7201*$H7201/100/12)</f>
      </c>
      <c r="M7201" s="43">
        <f>IF($I7201=0,0,IF(OR(INDEX(DarlOhneTilgung,15)=1,AND(INDEX(DarlTilgStart,15)&gt;0,$E7201&lt;INDEX(DarlTilgStart,15))),0,MIN(MAX(0,$K7201-$L7201),$J7201)))</f>
      </c>
      <c r="N7201" s="43">
        <f>IF($I7201=0,0,MIN(SUMIFS(SondBetrag,SondDarl,15,SondDatum,"&gt;="&amp;$E7201,SondDatum,"&lt;="&amp;EOMONTH($E7201,0)),$J7201-$M7201))</f>
      </c>
      <c r="O7201" s="43">
        <f>IF($I7201=0,0,INDEX(DarlErsatzRate,15))</f>
      </c>
      <c r="P7201" s="43">
        <f>IF($I7201=0,0,$Q7200*INDEX(DarlErsatzZins,15))</f>
      </c>
      <c r="Q7201" s="43">
        <f>IF($I7201=0,0,$Q7200+$P7201+$O7201)</f>
      </c>
      <c r="R7201" s="43">
        <f>IF($I7201=0,0,$J7201-$M7201-$N7201)</f>
      </c>
    </row>
    <row r="7202">
      <c r="A7202"/>
      <c r="B7202">
        <v>15</v>
      </c>
      <c r="C7202" s="43">
        <f>INDEX(DarlObj,15)</f>
      </c>
      <c r="D7202">
        <v>479</v>
      </c>
      <c r="E7202" s="51">
        <f>IF(INDEX(DarlBelegt,15)=0,0,EOMONTH(INDEX(DarlAuszahlung,15),478)+1)</f>
      </c>
      <c r="F7202" s="43">
        <f>IF($E7202=0,0,YEAR($E7202))</f>
      </c>
      <c r="G7202" s="43">
        <f>IF(INDEX(DarlBindung,15)="",1,IF($E7202&lt;=INDEX(DarlBindung,15),1,0))</f>
      </c>
      <c r="H7202" s="43">
        <f>IF($G7202=1,INDEX(DarlSollzins,15),INDEX(DarlAnschluss,15))</f>
      </c>
      <c r="I7202" s="43">
        <f>IF(INDEX(DarlBelegt,15)=0,0,IF(INDEX(DarlOhneTilgung,15)=1,IF(INDEX(DarlBindung,15)="",1,$G7202),IF($J7202&gt;0.005,1,0)))</f>
      </c>
      <c r="J7202" s="43">
        <f>IF($I7201=0,0,$R7201)</f>
      </c>
      <c r="K7202" s="43">
        <f>IF($I7202=0,0,IF(INDEX(DarlOhneTilgung,15)=1,0,IF(AND(INDEX(DarlTilgStart,15)&gt;0,$E7202=INDEX(DarlTilgStart,15)),$J7202*($H7202+INDEX(DarlTilgung,15))/100/12,IF(AND($G7202=0,$G7201=1),MAX($K7201,$J7202*($H7202+1)/100/12),$K7201))))</f>
      </c>
      <c r="L7202" s="43">
        <f>IF($I7202=0,0,$J7202*$H7202/100/12)</f>
      </c>
      <c r="M7202" s="43">
        <f>IF($I7202=0,0,IF(OR(INDEX(DarlOhneTilgung,15)=1,AND(INDEX(DarlTilgStart,15)&gt;0,$E7202&lt;INDEX(DarlTilgStart,15))),0,MIN(MAX(0,$K7202-$L7202),$J7202)))</f>
      </c>
      <c r="N7202" s="43">
        <f>IF($I7202=0,0,MIN(SUMIFS(SondBetrag,SondDarl,15,SondDatum,"&gt;="&amp;$E7202,SondDatum,"&lt;="&amp;EOMONTH($E7202,0)),$J7202-$M7202))</f>
      </c>
      <c r="O7202" s="43">
        <f>IF($I7202=0,0,INDEX(DarlErsatzRate,15))</f>
      </c>
      <c r="P7202" s="43">
        <f>IF($I7202=0,0,$Q7201*INDEX(DarlErsatzZins,15))</f>
      </c>
      <c r="Q7202" s="43">
        <f>IF($I7202=0,0,$Q7201+$P7202+$O7202)</f>
      </c>
      <c r="R7202" s="43">
        <f>IF($I7202=0,0,$J7202-$M7202-$N7202)</f>
      </c>
    </row>
    <row r="7203">
      <c r="A7203"/>
      <c r="B7203">
        <v>15</v>
      </c>
      <c r="C7203" s="43">
        <f>INDEX(DarlObj,15)</f>
      </c>
      <c r="D7203">
        <v>480</v>
      </c>
      <c r="E7203" s="51">
        <f>IF(INDEX(DarlBelegt,15)=0,0,EOMONTH(INDEX(DarlAuszahlung,15),479)+1)</f>
      </c>
      <c r="F7203" s="43">
        <f>IF($E7203=0,0,YEAR($E7203))</f>
      </c>
      <c r="G7203" s="43">
        <f>IF(INDEX(DarlBindung,15)="",1,IF($E7203&lt;=INDEX(DarlBindung,15),1,0))</f>
      </c>
      <c r="H7203" s="43">
        <f>IF($G7203=1,INDEX(DarlSollzins,15),INDEX(DarlAnschluss,15))</f>
      </c>
      <c r="I7203" s="43">
        <f>IF(INDEX(DarlBelegt,15)=0,0,IF(INDEX(DarlOhneTilgung,15)=1,IF(INDEX(DarlBindung,15)="",1,$G7203),IF($J7203&gt;0.005,1,0)))</f>
      </c>
      <c r="J7203" s="43">
        <f>IF($I7202=0,0,$R7202)</f>
      </c>
      <c r="K7203" s="43">
        <f>IF($I7203=0,0,IF(INDEX(DarlOhneTilgung,15)=1,0,IF(AND(INDEX(DarlTilgStart,15)&gt;0,$E7203=INDEX(DarlTilgStart,15)),$J7203*($H7203+INDEX(DarlTilgung,15))/100/12,IF(AND($G7203=0,$G7202=1),MAX($K7202,$J7203*($H7203+1)/100/12),$K7202))))</f>
      </c>
      <c r="L7203" s="43">
        <f>IF($I7203=0,0,$J7203*$H7203/100/12)</f>
      </c>
      <c r="M7203" s="43">
        <f>IF($I7203=0,0,IF(OR(INDEX(DarlOhneTilgung,15)=1,AND(INDEX(DarlTilgStart,15)&gt;0,$E7203&lt;INDEX(DarlTilgStart,15))),0,MIN(MAX(0,$K7203-$L7203),$J7203)))</f>
      </c>
      <c r="N7203" s="43">
        <f>IF($I7203=0,0,MIN(SUMIFS(SondBetrag,SondDarl,15,SondDatum,"&gt;="&amp;$E7203,SondDatum,"&lt;="&amp;EOMONTH($E7203,0)),$J7203-$M7203))</f>
      </c>
      <c r="O7203" s="43">
        <f>IF($I7203=0,0,INDEX(DarlErsatzRate,15))</f>
      </c>
      <c r="P7203" s="43">
        <f>IF($I7203=0,0,$Q7202*INDEX(DarlErsatzZins,15))</f>
      </c>
      <c r="Q7203" s="43">
        <f>IF($I7203=0,0,$Q7202+$P7203+$O7203)</f>
      </c>
      <c r="R7203" s="43">
        <f>IF($I7203=0,0,$J7203-$M7203-$N7203)</f>
      </c>
    </row>
    <row r="7204">
      <c r="A7204"/>
      <c r="B7204">
        <v>16</v>
      </c>
      <c r="C7204" s="43">
        <f>INDEX(DarlObj,16)</f>
      </c>
      <c r="D7204">
        <v>1</v>
      </c>
      <c r="E7204" s="51">
        <f>IF(INDEX(DarlBelegt,16)=0,0,EOMONTH(INDEX(DarlAuszahlung,16),0)+1)</f>
      </c>
      <c r="F7204" s="43">
        <f>IF($E7204=0,0,YEAR($E7204))</f>
      </c>
      <c r="G7204" s="43">
        <f>IF(INDEX(DarlBindung,16)="",1,IF($E7204&lt;=INDEX(DarlBindung,16),1,0))</f>
      </c>
      <c r="H7204" s="43">
        <f>IF($G7204=1,INDEX(DarlSollzins,16),INDEX(DarlAnschluss,16))</f>
      </c>
      <c r="I7204" s="43">
        <f>IF(INDEX(DarlBelegt,16)=0,0,IF(INDEX(DarlOhneTilgung,16)=1,IF(INDEX(DarlBindung,16)="",1,$G7204),IF($J7204&gt;0.005,1,0)))</f>
      </c>
      <c r="J7204" s="43">
        <f>IF(INDEX(DarlBelegt,16)=0,0,INDEX(DarlBetrag,16))</f>
      </c>
      <c r="K7204" s="43">
        <f>IF($I7204=0,0,IF(INDEX(DarlOhneTilgung,16)=1,0,INDEX(DarlRate1,16)))</f>
      </c>
      <c r="L7204" s="43">
        <f>IF($I7204=0,0,$J7204*$H7204/100/12)</f>
      </c>
      <c r="M7204" s="43">
        <f>IF($I7204=0,0,IF(OR(INDEX(DarlOhneTilgung,16)=1,AND(INDEX(DarlTilgStart,16)&gt;0,$E7204&lt;INDEX(DarlTilgStart,16))),0,MIN(MAX(0,$K7204-$L7204),$J7204)))</f>
      </c>
      <c r="N7204" s="43">
        <f>IF($I7204=0,0,MIN(SUMIFS(SondBetrag,SondDarl,16,SondDatum,"&gt;="&amp;$E7204,SondDatum,"&lt;="&amp;EOMONTH($E7204,0)),$J7204-$M7204))</f>
      </c>
      <c r="O7204" s="43">
        <f>IF($I7204=0,0,INDEX(DarlErsatzRate,16))</f>
      </c>
      <c r="P7204" s="43">
        <f>0</f>
      </c>
      <c r="Q7204" s="43">
        <f>IF($I7204=0,0,$P7204+$O7204)</f>
      </c>
      <c r="R7204" s="43">
        <f>IF($I7204=0,0,$J7204-$M7204-$N7204)</f>
      </c>
    </row>
    <row r="7205">
      <c r="A7205"/>
      <c r="B7205">
        <v>16</v>
      </c>
      <c r="C7205" s="43">
        <f>INDEX(DarlObj,16)</f>
      </c>
      <c r="D7205">
        <v>2</v>
      </c>
      <c r="E7205" s="51">
        <f>IF(INDEX(DarlBelegt,16)=0,0,EOMONTH(INDEX(DarlAuszahlung,16),1)+1)</f>
      </c>
      <c r="F7205" s="43">
        <f>IF($E7205=0,0,YEAR($E7205))</f>
      </c>
      <c r="G7205" s="43">
        <f>IF(INDEX(DarlBindung,16)="",1,IF($E7205&lt;=INDEX(DarlBindung,16),1,0))</f>
      </c>
      <c r="H7205" s="43">
        <f>IF($G7205=1,INDEX(DarlSollzins,16),INDEX(DarlAnschluss,16))</f>
      </c>
      <c r="I7205" s="43">
        <f>IF(INDEX(DarlBelegt,16)=0,0,IF(INDEX(DarlOhneTilgung,16)=1,IF(INDEX(DarlBindung,16)="",1,$G7205),IF($J7205&gt;0.005,1,0)))</f>
      </c>
      <c r="J7205" s="43">
        <f>IF($I7204=0,0,$R7204)</f>
      </c>
      <c r="K7205" s="43">
        <f>IF($I7205=0,0,IF(INDEX(DarlOhneTilgung,16)=1,0,IF(AND(INDEX(DarlTilgStart,16)&gt;0,$E7205=INDEX(DarlTilgStart,16)),$J7205*($H7205+INDEX(DarlTilgung,16))/100/12,IF(AND($G7205=0,$G7204=1),MAX($K7204,$J7205*($H7205+1)/100/12),$K7204))))</f>
      </c>
      <c r="L7205" s="43">
        <f>IF($I7205=0,0,$J7205*$H7205/100/12)</f>
      </c>
      <c r="M7205" s="43">
        <f>IF($I7205=0,0,IF(OR(INDEX(DarlOhneTilgung,16)=1,AND(INDEX(DarlTilgStart,16)&gt;0,$E7205&lt;INDEX(DarlTilgStart,16))),0,MIN(MAX(0,$K7205-$L7205),$J7205)))</f>
      </c>
      <c r="N7205" s="43">
        <f>IF($I7205=0,0,MIN(SUMIFS(SondBetrag,SondDarl,16,SondDatum,"&gt;="&amp;$E7205,SondDatum,"&lt;="&amp;EOMONTH($E7205,0)),$J7205-$M7205))</f>
      </c>
      <c r="O7205" s="43">
        <f>IF($I7205=0,0,INDEX(DarlErsatzRate,16))</f>
      </c>
      <c r="P7205" s="43">
        <f>IF($I7205=0,0,$Q7204*INDEX(DarlErsatzZins,16))</f>
      </c>
      <c r="Q7205" s="43">
        <f>IF($I7205=0,0,$Q7204+$P7205+$O7205)</f>
      </c>
      <c r="R7205" s="43">
        <f>IF($I7205=0,0,$J7205-$M7205-$N7205)</f>
      </c>
    </row>
    <row r="7206">
      <c r="A7206"/>
      <c r="B7206">
        <v>16</v>
      </c>
      <c r="C7206" s="43">
        <f>INDEX(DarlObj,16)</f>
      </c>
      <c r="D7206">
        <v>3</v>
      </c>
      <c r="E7206" s="51">
        <f>IF(INDEX(DarlBelegt,16)=0,0,EOMONTH(INDEX(DarlAuszahlung,16),2)+1)</f>
      </c>
      <c r="F7206" s="43">
        <f>IF($E7206=0,0,YEAR($E7206))</f>
      </c>
      <c r="G7206" s="43">
        <f>IF(INDEX(DarlBindung,16)="",1,IF($E7206&lt;=INDEX(DarlBindung,16),1,0))</f>
      </c>
      <c r="H7206" s="43">
        <f>IF($G7206=1,INDEX(DarlSollzins,16),INDEX(DarlAnschluss,16))</f>
      </c>
      <c r="I7206" s="43">
        <f>IF(INDEX(DarlBelegt,16)=0,0,IF(INDEX(DarlOhneTilgung,16)=1,IF(INDEX(DarlBindung,16)="",1,$G7206),IF($J7206&gt;0.005,1,0)))</f>
      </c>
      <c r="J7206" s="43">
        <f>IF($I7205=0,0,$R7205)</f>
      </c>
      <c r="K7206" s="43">
        <f>IF($I7206=0,0,IF(INDEX(DarlOhneTilgung,16)=1,0,IF(AND(INDEX(DarlTilgStart,16)&gt;0,$E7206=INDEX(DarlTilgStart,16)),$J7206*($H7206+INDEX(DarlTilgung,16))/100/12,IF(AND($G7206=0,$G7205=1),MAX($K7205,$J7206*($H7206+1)/100/12),$K7205))))</f>
      </c>
      <c r="L7206" s="43">
        <f>IF($I7206=0,0,$J7206*$H7206/100/12)</f>
      </c>
      <c r="M7206" s="43">
        <f>IF($I7206=0,0,IF(OR(INDEX(DarlOhneTilgung,16)=1,AND(INDEX(DarlTilgStart,16)&gt;0,$E7206&lt;INDEX(DarlTilgStart,16))),0,MIN(MAX(0,$K7206-$L7206),$J7206)))</f>
      </c>
      <c r="N7206" s="43">
        <f>IF($I7206=0,0,MIN(SUMIFS(SondBetrag,SondDarl,16,SondDatum,"&gt;="&amp;$E7206,SondDatum,"&lt;="&amp;EOMONTH($E7206,0)),$J7206-$M7206))</f>
      </c>
      <c r="O7206" s="43">
        <f>IF($I7206=0,0,INDEX(DarlErsatzRate,16))</f>
      </c>
      <c r="P7206" s="43">
        <f>IF($I7206=0,0,$Q7205*INDEX(DarlErsatzZins,16))</f>
      </c>
      <c r="Q7206" s="43">
        <f>IF($I7206=0,0,$Q7205+$P7206+$O7206)</f>
      </c>
      <c r="R7206" s="43">
        <f>IF($I7206=0,0,$J7206-$M7206-$N7206)</f>
      </c>
    </row>
    <row r="7207">
      <c r="A7207"/>
      <c r="B7207">
        <v>16</v>
      </c>
      <c r="C7207" s="43">
        <f>INDEX(DarlObj,16)</f>
      </c>
      <c r="D7207">
        <v>4</v>
      </c>
      <c r="E7207" s="51">
        <f>IF(INDEX(DarlBelegt,16)=0,0,EOMONTH(INDEX(DarlAuszahlung,16),3)+1)</f>
      </c>
      <c r="F7207" s="43">
        <f>IF($E7207=0,0,YEAR($E7207))</f>
      </c>
      <c r="G7207" s="43">
        <f>IF(INDEX(DarlBindung,16)="",1,IF($E7207&lt;=INDEX(DarlBindung,16),1,0))</f>
      </c>
      <c r="H7207" s="43">
        <f>IF($G7207=1,INDEX(DarlSollzins,16),INDEX(DarlAnschluss,16))</f>
      </c>
      <c r="I7207" s="43">
        <f>IF(INDEX(DarlBelegt,16)=0,0,IF(INDEX(DarlOhneTilgung,16)=1,IF(INDEX(DarlBindung,16)="",1,$G7207),IF($J7207&gt;0.005,1,0)))</f>
      </c>
      <c r="J7207" s="43">
        <f>IF($I7206=0,0,$R7206)</f>
      </c>
      <c r="K7207" s="43">
        <f>IF($I7207=0,0,IF(INDEX(DarlOhneTilgung,16)=1,0,IF(AND(INDEX(DarlTilgStart,16)&gt;0,$E7207=INDEX(DarlTilgStart,16)),$J7207*($H7207+INDEX(DarlTilgung,16))/100/12,IF(AND($G7207=0,$G7206=1),MAX($K7206,$J7207*($H7207+1)/100/12),$K7206))))</f>
      </c>
      <c r="L7207" s="43">
        <f>IF($I7207=0,0,$J7207*$H7207/100/12)</f>
      </c>
      <c r="M7207" s="43">
        <f>IF($I7207=0,0,IF(OR(INDEX(DarlOhneTilgung,16)=1,AND(INDEX(DarlTilgStart,16)&gt;0,$E7207&lt;INDEX(DarlTilgStart,16))),0,MIN(MAX(0,$K7207-$L7207),$J7207)))</f>
      </c>
      <c r="N7207" s="43">
        <f>IF($I7207=0,0,MIN(SUMIFS(SondBetrag,SondDarl,16,SondDatum,"&gt;="&amp;$E7207,SondDatum,"&lt;="&amp;EOMONTH($E7207,0)),$J7207-$M7207))</f>
      </c>
      <c r="O7207" s="43">
        <f>IF($I7207=0,0,INDEX(DarlErsatzRate,16))</f>
      </c>
      <c r="P7207" s="43">
        <f>IF($I7207=0,0,$Q7206*INDEX(DarlErsatzZins,16))</f>
      </c>
      <c r="Q7207" s="43">
        <f>IF($I7207=0,0,$Q7206+$P7207+$O7207)</f>
      </c>
      <c r="R7207" s="43">
        <f>IF($I7207=0,0,$J7207-$M7207-$N7207)</f>
      </c>
    </row>
    <row r="7208">
      <c r="A7208"/>
      <c r="B7208">
        <v>16</v>
      </c>
      <c r="C7208" s="43">
        <f>INDEX(DarlObj,16)</f>
      </c>
      <c r="D7208">
        <v>5</v>
      </c>
      <c r="E7208" s="51">
        <f>IF(INDEX(DarlBelegt,16)=0,0,EOMONTH(INDEX(DarlAuszahlung,16),4)+1)</f>
      </c>
      <c r="F7208" s="43">
        <f>IF($E7208=0,0,YEAR($E7208))</f>
      </c>
      <c r="G7208" s="43">
        <f>IF(INDEX(DarlBindung,16)="",1,IF($E7208&lt;=INDEX(DarlBindung,16),1,0))</f>
      </c>
      <c r="H7208" s="43">
        <f>IF($G7208=1,INDEX(DarlSollzins,16),INDEX(DarlAnschluss,16))</f>
      </c>
      <c r="I7208" s="43">
        <f>IF(INDEX(DarlBelegt,16)=0,0,IF(INDEX(DarlOhneTilgung,16)=1,IF(INDEX(DarlBindung,16)="",1,$G7208),IF($J7208&gt;0.005,1,0)))</f>
      </c>
      <c r="J7208" s="43">
        <f>IF($I7207=0,0,$R7207)</f>
      </c>
      <c r="K7208" s="43">
        <f>IF($I7208=0,0,IF(INDEX(DarlOhneTilgung,16)=1,0,IF(AND(INDEX(DarlTilgStart,16)&gt;0,$E7208=INDEX(DarlTilgStart,16)),$J7208*($H7208+INDEX(DarlTilgung,16))/100/12,IF(AND($G7208=0,$G7207=1),MAX($K7207,$J7208*($H7208+1)/100/12),$K7207))))</f>
      </c>
      <c r="L7208" s="43">
        <f>IF($I7208=0,0,$J7208*$H7208/100/12)</f>
      </c>
      <c r="M7208" s="43">
        <f>IF($I7208=0,0,IF(OR(INDEX(DarlOhneTilgung,16)=1,AND(INDEX(DarlTilgStart,16)&gt;0,$E7208&lt;INDEX(DarlTilgStart,16))),0,MIN(MAX(0,$K7208-$L7208),$J7208)))</f>
      </c>
      <c r="N7208" s="43">
        <f>IF($I7208=0,0,MIN(SUMIFS(SondBetrag,SondDarl,16,SondDatum,"&gt;="&amp;$E7208,SondDatum,"&lt;="&amp;EOMONTH($E7208,0)),$J7208-$M7208))</f>
      </c>
      <c r="O7208" s="43">
        <f>IF($I7208=0,0,INDEX(DarlErsatzRate,16))</f>
      </c>
      <c r="P7208" s="43">
        <f>IF($I7208=0,0,$Q7207*INDEX(DarlErsatzZins,16))</f>
      </c>
      <c r="Q7208" s="43">
        <f>IF($I7208=0,0,$Q7207+$P7208+$O7208)</f>
      </c>
      <c r="R7208" s="43">
        <f>IF($I7208=0,0,$J7208-$M7208-$N7208)</f>
      </c>
    </row>
    <row r="7209">
      <c r="A7209"/>
      <c r="B7209">
        <v>16</v>
      </c>
      <c r="C7209" s="43">
        <f>INDEX(DarlObj,16)</f>
      </c>
      <c r="D7209">
        <v>6</v>
      </c>
      <c r="E7209" s="51">
        <f>IF(INDEX(DarlBelegt,16)=0,0,EOMONTH(INDEX(DarlAuszahlung,16),5)+1)</f>
      </c>
      <c r="F7209" s="43">
        <f>IF($E7209=0,0,YEAR($E7209))</f>
      </c>
      <c r="G7209" s="43">
        <f>IF(INDEX(DarlBindung,16)="",1,IF($E7209&lt;=INDEX(DarlBindung,16),1,0))</f>
      </c>
      <c r="H7209" s="43">
        <f>IF($G7209=1,INDEX(DarlSollzins,16),INDEX(DarlAnschluss,16))</f>
      </c>
      <c r="I7209" s="43">
        <f>IF(INDEX(DarlBelegt,16)=0,0,IF(INDEX(DarlOhneTilgung,16)=1,IF(INDEX(DarlBindung,16)="",1,$G7209),IF($J7209&gt;0.005,1,0)))</f>
      </c>
      <c r="J7209" s="43">
        <f>IF($I7208=0,0,$R7208)</f>
      </c>
      <c r="K7209" s="43">
        <f>IF($I7209=0,0,IF(INDEX(DarlOhneTilgung,16)=1,0,IF(AND(INDEX(DarlTilgStart,16)&gt;0,$E7209=INDEX(DarlTilgStart,16)),$J7209*($H7209+INDEX(DarlTilgung,16))/100/12,IF(AND($G7209=0,$G7208=1),MAX($K7208,$J7209*($H7209+1)/100/12),$K7208))))</f>
      </c>
      <c r="L7209" s="43">
        <f>IF($I7209=0,0,$J7209*$H7209/100/12)</f>
      </c>
      <c r="M7209" s="43">
        <f>IF($I7209=0,0,IF(OR(INDEX(DarlOhneTilgung,16)=1,AND(INDEX(DarlTilgStart,16)&gt;0,$E7209&lt;INDEX(DarlTilgStart,16))),0,MIN(MAX(0,$K7209-$L7209),$J7209)))</f>
      </c>
      <c r="N7209" s="43">
        <f>IF($I7209=0,0,MIN(SUMIFS(SondBetrag,SondDarl,16,SondDatum,"&gt;="&amp;$E7209,SondDatum,"&lt;="&amp;EOMONTH($E7209,0)),$J7209-$M7209))</f>
      </c>
      <c r="O7209" s="43">
        <f>IF($I7209=0,0,INDEX(DarlErsatzRate,16))</f>
      </c>
      <c r="P7209" s="43">
        <f>IF($I7209=0,0,$Q7208*INDEX(DarlErsatzZins,16))</f>
      </c>
      <c r="Q7209" s="43">
        <f>IF($I7209=0,0,$Q7208+$P7209+$O7209)</f>
      </c>
      <c r="R7209" s="43">
        <f>IF($I7209=0,0,$J7209-$M7209-$N7209)</f>
      </c>
    </row>
    <row r="7210">
      <c r="A7210"/>
      <c r="B7210">
        <v>16</v>
      </c>
      <c r="C7210" s="43">
        <f>INDEX(DarlObj,16)</f>
      </c>
      <c r="D7210">
        <v>7</v>
      </c>
      <c r="E7210" s="51">
        <f>IF(INDEX(DarlBelegt,16)=0,0,EOMONTH(INDEX(DarlAuszahlung,16),6)+1)</f>
      </c>
      <c r="F7210" s="43">
        <f>IF($E7210=0,0,YEAR($E7210))</f>
      </c>
      <c r="G7210" s="43">
        <f>IF(INDEX(DarlBindung,16)="",1,IF($E7210&lt;=INDEX(DarlBindung,16),1,0))</f>
      </c>
      <c r="H7210" s="43">
        <f>IF($G7210=1,INDEX(DarlSollzins,16),INDEX(DarlAnschluss,16))</f>
      </c>
      <c r="I7210" s="43">
        <f>IF(INDEX(DarlBelegt,16)=0,0,IF(INDEX(DarlOhneTilgung,16)=1,IF(INDEX(DarlBindung,16)="",1,$G7210),IF($J7210&gt;0.005,1,0)))</f>
      </c>
      <c r="J7210" s="43">
        <f>IF($I7209=0,0,$R7209)</f>
      </c>
      <c r="K7210" s="43">
        <f>IF($I7210=0,0,IF(INDEX(DarlOhneTilgung,16)=1,0,IF(AND(INDEX(DarlTilgStart,16)&gt;0,$E7210=INDEX(DarlTilgStart,16)),$J7210*($H7210+INDEX(DarlTilgung,16))/100/12,IF(AND($G7210=0,$G7209=1),MAX($K7209,$J7210*($H7210+1)/100/12),$K7209))))</f>
      </c>
      <c r="L7210" s="43">
        <f>IF($I7210=0,0,$J7210*$H7210/100/12)</f>
      </c>
      <c r="M7210" s="43">
        <f>IF($I7210=0,0,IF(OR(INDEX(DarlOhneTilgung,16)=1,AND(INDEX(DarlTilgStart,16)&gt;0,$E7210&lt;INDEX(DarlTilgStart,16))),0,MIN(MAX(0,$K7210-$L7210),$J7210)))</f>
      </c>
      <c r="N7210" s="43">
        <f>IF($I7210=0,0,MIN(SUMIFS(SondBetrag,SondDarl,16,SondDatum,"&gt;="&amp;$E7210,SondDatum,"&lt;="&amp;EOMONTH($E7210,0)),$J7210-$M7210))</f>
      </c>
      <c r="O7210" s="43">
        <f>IF($I7210=0,0,INDEX(DarlErsatzRate,16))</f>
      </c>
      <c r="P7210" s="43">
        <f>IF($I7210=0,0,$Q7209*INDEX(DarlErsatzZins,16))</f>
      </c>
      <c r="Q7210" s="43">
        <f>IF($I7210=0,0,$Q7209+$P7210+$O7210)</f>
      </c>
      <c r="R7210" s="43">
        <f>IF($I7210=0,0,$J7210-$M7210-$N7210)</f>
      </c>
    </row>
    <row r="7211">
      <c r="A7211"/>
      <c r="B7211">
        <v>16</v>
      </c>
      <c r="C7211" s="43">
        <f>INDEX(DarlObj,16)</f>
      </c>
      <c r="D7211">
        <v>8</v>
      </c>
      <c r="E7211" s="51">
        <f>IF(INDEX(DarlBelegt,16)=0,0,EOMONTH(INDEX(DarlAuszahlung,16),7)+1)</f>
      </c>
      <c r="F7211" s="43">
        <f>IF($E7211=0,0,YEAR($E7211))</f>
      </c>
      <c r="G7211" s="43">
        <f>IF(INDEX(DarlBindung,16)="",1,IF($E7211&lt;=INDEX(DarlBindung,16),1,0))</f>
      </c>
      <c r="H7211" s="43">
        <f>IF($G7211=1,INDEX(DarlSollzins,16),INDEX(DarlAnschluss,16))</f>
      </c>
      <c r="I7211" s="43">
        <f>IF(INDEX(DarlBelegt,16)=0,0,IF(INDEX(DarlOhneTilgung,16)=1,IF(INDEX(DarlBindung,16)="",1,$G7211),IF($J7211&gt;0.005,1,0)))</f>
      </c>
      <c r="J7211" s="43">
        <f>IF($I7210=0,0,$R7210)</f>
      </c>
      <c r="K7211" s="43">
        <f>IF($I7211=0,0,IF(INDEX(DarlOhneTilgung,16)=1,0,IF(AND(INDEX(DarlTilgStart,16)&gt;0,$E7211=INDEX(DarlTilgStart,16)),$J7211*($H7211+INDEX(DarlTilgung,16))/100/12,IF(AND($G7211=0,$G7210=1),MAX($K7210,$J7211*($H7211+1)/100/12),$K7210))))</f>
      </c>
      <c r="L7211" s="43">
        <f>IF($I7211=0,0,$J7211*$H7211/100/12)</f>
      </c>
      <c r="M7211" s="43">
        <f>IF($I7211=0,0,IF(OR(INDEX(DarlOhneTilgung,16)=1,AND(INDEX(DarlTilgStart,16)&gt;0,$E7211&lt;INDEX(DarlTilgStart,16))),0,MIN(MAX(0,$K7211-$L7211),$J7211)))</f>
      </c>
      <c r="N7211" s="43">
        <f>IF($I7211=0,0,MIN(SUMIFS(SondBetrag,SondDarl,16,SondDatum,"&gt;="&amp;$E7211,SondDatum,"&lt;="&amp;EOMONTH($E7211,0)),$J7211-$M7211))</f>
      </c>
      <c r="O7211" s="43">
        <f>IF($I7211=0,0,INDEX(DarlErsatzRate,16))</f>
      </c>
      <c r="P7211" s="43">
        <f>IF($I7211=0,0,$Q7210*INDEX(DarlErsatzZins,16))</f>
      </c>
      <c r="Q7211" s="43">
        <f>IF($I7211=0,0,$Q7210+$P7211+$O7211)</f>
      </c>
      <c r="R7211" s="43">
        <f>IF($I7211=0,0,$J7211-$M7211-$N7211)</f>
      </c>
    </row>
    <row r="7212">
      <c r="A7212"/>
      <c r="B7212">
        <v>16</v>
      </c>
      <c r="C7212" s="43">
        <f>INDEX(DarlObj,16)</f>
      </c>
      <c r="D7212">
        <v>9</v>
      </c>
      <c r="E7212" s="51">
        <f>IF(INDEX(DarlBelegt,16)=0,0,EOMONTH(INDEX(DarlAuszahlung,16),8)+1)</f>
      </c>
      <c r="F7212" s="43">
        <f>IF($E7212=0,0,YEAR($E7212))</f>
      </c>
      <c r="G7212" s="43">
        <f>IF(INDEX(DarlBindung,16)="",1,IF($E7212&lt;=INDEX(DarlBindung,16),1,0))</f>
      </c>
      <c r="H7212" s="43">
        <f>IF($G7212=1,INDEX(DarlSollzins,16),INDEX(DarlAnschluss,16))</f>
      </c>
      <c r="I7212" s="43">
        <f>IF(INDEX(DarlBelegt,16)=0,0,IF(INDEX(DarlOhneTilgung,16)=1,IF(INDEX(DarlBindung,16)="",1,$G7212),IF($J7212&gt;0.005,1,0)))</f>
      </c>
      <c r="J7212" s="43">
        <f>IF($I7211=0,0,$R7211)</f>
      </c>
      <c r="K7212" s="43">
        <f>IF($I7212=0,0,IF(INDEX(DarlOhneTilgung,16)=1,0,IF(AND(INDEX(DarlTilgStart,16)&gt;0,$E7212=INDEX(DarlTilgStart,16)),$J7212*($H7212+INDEX(DarlTilgung,16))/100/12,IF(AND($G7212=0,$G7211=1),MAX($K7211,$J7212*($H7212+1)/100/12),$K7211))))</f>
      </c>
      <c r="L7212" s="43">
        <f>IF($I7212=0,0,$J7212*$H7212/100/12)</f>
      </c>
      <c r="M7212" s="43">
        <f>IF($I7212=0,0,IF(OR(INDEX(DarlOhneTilgung,16)=1,AND(INDEX(DarlTilgStart,16)&gt;0,$E7212&lt;INDEX(DarlTilgStart,16))),0,MIN(MAX(0,$K7212-$L7212),$J7212)))</f>
      </c>
      <c r="N7212" s="43">
        <f>IF($I7212=0,0,MIN(SUMIFS(SondBetrag,SondDarl,16,SondDatum,"&gt;="&amp;$E7212,SondDatum,"&lt;="&amp;EOMONTH($E7212,0)),$J7212-$M7212))</f>
      </c>
      <c r="O7212" s="43">
        <f>IF($I7212=0,0,INDEX(DarlErsatzRate,16))</f>
      </c>
      <c r="P7212" s="43">
        <f>IF($I7212=0,0,$Q7211*INDEX(DarlErsatzZins,16))</f>
      </c>
      <c r="Q7212" s="43">
        <f>IF($I7212=0,0,$Q7211+$P7212+$O7212)</f>
      </c>
      <c r="R7212" s="43">
        <f>IF($I7212=0,0,$J7212-$M7212-$N7212)</f>
      </c>
    </row>
    <row r="7213">
      <c r="A7213"/>
      <c r="B7213">
        <v>16</v>
      </c>
      <c r="C7213" s="43">
        <f>INDEX(DarlObj,16)</f>
      </c>
      <c r="D7213">
        <v>10</v>
      </c>
      <c r="E7213" s="51">
        <f>IF(INDEX(DarlBelegt,16)=0,0,EOMONTH(INDEX(DarlAuszahlung,16),9)+1)</f>
      </c>
      <c r="F7213" s="43">
        <f>IF($E7213=0,0,YEAR($E7213))</f>
      </c>
      <c r="G7213" s="43">
        <f>IF(INDEX(DarlBindung,16)="",1,IF($E7213&lt;=INDEX(DarlBindung,16),1,0))</f>
      </c>
      <c r="H7213" s="43">
        <f>IF($G7213=1,INDEX(DarlSollzins,16),INDEX(DarlAnschluss,16))</f>
      </c>
      <c r="I7213" s="43">
        <f>IF(INDEX(DarlBelegt,16)=0,0,IF(INDEX(DarlOhneTilgung,16)=1,IF(INDEX(DarlBindung,16)="",1,$G7213),IF($J7213&gt;0.005,1,0)))</f>
      </c>
      <c r="J7213" s="43">
        <f>IF($I7212=0,0,$R7212)</f>
      </c>
      <c r="K7213" s="43">
        <f>IF($I7213=0,0,IF(INDEX(DarlOhneTilgung,16)=1,0,IF(AND(INDEX(DarlTilgStart,16)&gt;0,$E7213=INDEX(DarlTilgStart,16)),$J7213*($H7213+INDEX(DarlTilgung,16))/100/12,IF(AND($G7213=0,$G7212=1),MAX($K7212,$J7213*($H7213+1)/100/12),$K7212))))</f>
      </c>
      <c r="L7213" s="43">
        <f>IF($I7213=0,0,$J7213*$H7213/100/12)</f>
      </c>
      <c r="M7213" s="43">
        <f>IF($I7213=0,0,IF(OR(INDEX(DarlOhneTilgung,16)=1,AND(INDEX(DarlTilgStart,16)&gt;0,$E7213&lt;INDEX(DarlTilgStart,16))),0,MIN(MAX(0,$K7213-$L7213),$J7213)))</f>
      </c>
      <c r="N7213" s="43">
        <f>IF($I7213=0,0,MIN(SUMIFS(SondBetrag,SondDarl,16,SondDatum,"&gt;="&amp;$E7213,SondDatum,"&lt;="&amp;EOMONTH($E7213,0)),$J7213-$M7213))</f>
      </c>
      <c r="O7213" s="43">
        <f>IF($I7213=0,0,INDEX(DarlErsatzRate,16))</f>
      </c>
      <c r="P7213" s="43">
        <f>IF($I7213=0,0,$Q7212*INDEX(DarlErsatzZins,16))</f>
      </c>
      <c r="Q7213" s="43">
        <f>IF($I7213=0,0,$Q7212+$P7213+$O7213)</f>
      </c>
      <c r="R7213" s="43">
        <f>IF($I7213=0,0,$J7213-$M7213-$N7213)</f>
      </c>
    </row>
    <row r="7214">
      <c r="A7214"/>
      <c r="B7214">
        <v>16</v>
      </c>
      <c r="C7214" s="43">
        <f>INDEX(DarlObj,16)</f>
      </c>
      <c r="D7214">
        <v>11</v>
      </c>
      <c r="E7214" s="51">
        <f>IF(INDEX(DarlBelegt,16)=0,0,EOMONTH(INDEX(DarlAuszahlung,16),10)+1)</f>
      </c>
      <c r="F7214" s="43">
        <f>IF($E7214=0,0,YEAR($E7214))</f>
      </c>
      <c r="G7214" s="43">
        <f>IF(INDEX(DarlBindung,16)="",1,IF($E7214&lt;=INDEX(DarlBindung,16),1,0))</f>
      </c>
      <c r="H7214" s="43">
        <f>IF($G7214=1,INDEX(DarlSollzins,16),INDEX(DarlAnschluss,16))</f>
      </c>
      <c r="I7214" s="43">
        <f>IF(INDEX(DarlBelegt,16)=0,0,IF(INDEX(DarlOhneTilgung,16)=1,IF(INDEX(DarlBindung,16)="",1,$G7214),IF($J7214&gt;0.005,1,0)))</f>
      </c>
      <c r="J7214" s="43">
        <f>IF($I7213=0,0,$R7213)</f>
      </c>
      <c r="K7214" s="43">
        <f>IF($I7214=0,0,IF(INDEX(DarlOhneTilgung,16)=1,0,IF(AND(INDEX(DarlTilgStart,16)&gt;0,$E7214=INDEX(DarlTilgStart,16)),$J7214*($H7214+INDEX(DarlTilgung,16))/100/12,IF(AND($G7214=0,$G7213=1),MAX($K7213,$J7214*($H7214+1)/100/12),$K7213))))</f>
      </c>
      <c r="L7214" s="43">
        <f>IF($I7214=0,0,$J7214*$H7214/100/12)</f>
      </c>
      <c r="M7214" s="43">
        <f>IF($I7214=0,0,IF(OR(INDEX(DarlOhneTilgung,16)=1,AND(INDEX(DarlTilgStart,16)&gt;0,$E7214&lt;INDEX(DarlTilgStart,16))),0,MIN(MAX(0,$K7214-$L7214),$J7214)))</f>
      </c>
      <c r="N7214" s="43">
        <f>IF($I7214=0,0,MIN(SUMIFS(SondBetrag,SondDarl,16,SondDatum,"&gt;="&amp;$E7214,SondDatum,"&lt;="&amp;EOMONTH($E7214,0)),$J7214-$M7214))</f>
      </c>
      <c r="O7214" s="43">
        <f>IF($I7214=0,0,INDEX(DarlErsatzRate,16))</f>
      </c>
      <c r="P7214" s="43">
        <f>IF($I7214=0,0,$Q7213*INDEX(DarlErsatzZins,16))</f>
      </c>
      <c r="Q7214" s="43">
        <f>IF($I7214=0,0,$Q7213+$P7214+$O7214)</f>
      </c>
      <c r="R7214" s="43">
        <f>IF($I7214=0,0,$J7214-$M7214-$N7214)</f>
      </c>
    </row>
    <row r="7215">
      <c r="A7215"/>
      <c r="B7215">
        <v>16</v>
      </c>
      <c r="C7215" s="43">
        <f>INDEX(DarlObj,16)</f>
      </c>
      <c r="D7215">
        <v>12</v>
      </c>
      <c r="E7215" s="51">
        <f>IF(INDEX(DarlBelegt,16)=0,0,EOMONTH(INDEX(DarlAuszahlung,16),11)+1)</f>
      </c>
      <c r="F7215" s="43">
        <f>IF($E7215=0,0,YEAR($E7215))</f>
      </c>
      <c r="G7215" s="43">
        <f>IF(INDEX(DarlBindung,16)="",1,IF($E7215&lt;=INDEX(DarlBindung,16),1,0))</f>
      </c>
      <c r="H7215" s="43">
        <f>IF($G7215=1,INDEX(DarlSollzins,16),INDEX(DarlAnschluss,16))</f>
      </c>
      <c r="I7215" s="43">
        <f>IF(INDEX(DarlBelegt,16)=0,0,IF(INDEX(DarlOhneTilgung,16)=1,IF(INDEX(DarlBindung,16)="",1,$G7215),IF($J7215&gt;0.005,1,0)))</f>
      </c>
      <c r="J7215" s="43">
        <f>IF($I7214=0,0,$R7214)</f>
      </c>
      <c r="K7215" s="43">
        <f>IF($I7215=0,0,IF(INDEX(DarlOhneTilgung,16)=1,0,IF(AND(INDEX(DarlTilgStart,16)&gt;0,$E7215=INDEX(DarlTilgStart,16)),$J7215*($H7215+INDEX(DarlTilgung,16))/100/12,IF(AND($G7215=0,$G7214=1),MAX($K7214,$J7215*($H7215+1)/100/12),$K7214))))</f>
      </c>
      <c r="L7215" s="43">
        <f>IF($I7215=0,0,$J7215*$H7215/100/12)</f>
      </c>
      <c r="M7215" s="43">
        <f>IF($I7215=0,0,IF(OR(INDEX(DarlOhneTilgung,16)=1,AND(INDEX(DarlTilgStart,16)&gt;0,$E7215&lt;INDEX(DarlTilgStart,16))),0,MIN(MAX(0,$K7215-$L7215),$J7215)))</f>
      </c>
      <c r="N7215" s="43">
        <f>IF($I7215=0,0,MIN(SUMIFS(SondBetrag,SondDarl,16,SondDatum,"&gt;="&amp;$E7215,SondDatum,"&lt;="&amp;EOMONTH($E7215,0)),$J7215-$M7215))</f>
      </c>
      <c r="O7215" s="43">
        <f>IF($I7215=0,0,INDEX(DarlErsatzRate,16))</f>
      </c>
      <c r="P7215" s="43">
        <f>IF($I7215=0,0,$Q7214*INDEX(DarlErsatzZins,16))</f>
      </c>
      <c r="Q7215" s="43">
        <f>IF($I7215=0,0,$Q7214+$P7215+$O7215)</f>
      </c>
      <c r="R7215" s="43">
        <f>IF($I7215=0,0,$J7215-$M7215-$N7215)</f>
      </c>
    </row>
    <row r="7216">
      <c r="A7216"/>
      <c r="B7216">
        <v>16</v>
      </c>
      <c r="C7216" s="43">
        <f>INDEX(DarlObj,16)</f>
      </c>
      <c r="D7216">
        <v>13</v>
      </c>
      <c r="E7216" s="51">
        <f>IF(INDEX(DarlBelegt,16)=0,0,EOMONTH(INDEX(DarlAuszahlung,16),12)+1)</f>
      </c>
      <c r="F7216" s="43">
        <f>IF($E7216=0,0,YEAR($E7216))</f>
      </c>
      <c r="G7216" s="43">
        <f>IF(INDEX(DarlBindung,16)="",1,IF($E7216&lt;=INDEX(DarlBindung,16),1,0))</f>
      </c>
      <c r="H7216" s="43">
        <f>IF($G7216=1,INDEX(DarlSollzins,16),INDEX(DarlAnschluss,16))</f>
      </c>
      <c r="I7216" s="43">
        <f>IF(INDEX(DarlBelegt,16)=0,0,IF(INDEX(DarlOhneTilgung,16)=1,IF(INDEX(DarlBindung,16)="",1,$G7216),IF($J7216&gt;0.005,1,0)))</f>
      </c>
      <c r="J7216" s="43">
        <f>IF($I7215=0,0,$R7215)</f>
      </c>
      <c r="K7216" s="43">
        <f>IF($I7216=0,0,IF(INDEX(DarlOhneTilgung,16)=1,0,IF(AND(INDEX(DarlTilgStart,16)&gt;0,$E7216=INDEX(DarlTilgStart,16)),$J7216*($H7216+INDEX(DarlTilgung,16))/100/12,IF(AND($G7216=0,$G7215=1),MAX($K7215,$J7216*($H7216+1)/100/12),$K7215))))</f>
      </c>
      <c r="L7216" s="43">
        <f>IF($I7216=0,0,$J7216*$H7216/100/12)</f>
      </c>
      <c r="M7216" s="43">
        <f>IF($I7216=0,0,IF(OR(INDEX(DarlOhneTilgung,16)=1,AND(INDEX(DarlTilgStart,16)&gt;0,$E7216&lt;INDEX(DarlTilgStart,16))),0,MIN(MAX(0,$K7216-$L7216),$J7216)))</f>
      </c>
      <c r="N7216" s="43">
        <f>IF($I7216=0,0,MIN(SUMIFS(SondBetrag,SondDarl,16,SondDatum,"&gt;="&amp;$E7216,SondDatum,"&lt;="&amp;EOMONTH($E7216,0)),$J7216-$M7216))</f>
      </c>
      <c r="O7216" s="43">
        <f>IF($I7216=0,0,INDEX(DarlErsatzRate,16))</f>
      </c>
      <c r="P7216" s="43">
        <f>IF($I7216=0,0,$Q7215*INDEX(DarlErsatzZins,16))</f>
      </c>
      <c r="Q7216" s="43">
        <f>IF($I7216=0,0,$Q7215+$P7216+$O7216)</f>
      </c>
      <c r="R7216" s="43">
        <f>IF($I7216=0,0,$J7216-$M7216-$N7216)</f>
      </c>
    </row>
    <row r="7217">
      <c r="A7217"/>
      <c r="B7217">
        <v>16</v>
      </c>
      <c r="C7217" s="43">
        <f>INDEX(DarlObj,16)</f>
      </c>
      <c r="D7217">
        <v>14</v>
      </c>
      <c r="E7217" s="51">
        <f>IF(INDEX(DarlBelegt,16)=0,0,EOMONTH(INDEX(DarlAuszahlung,16),13)+1)</f>
      </c>
      <c r="F7217" s="43">
        <f>IF($E7217=0,0,YEAR($E7217))</f>
      </c>
      <c r="G7217" s="43">
        <f>IF(INDEX(DarlBindung,16)="",1,IF($E7217&lt;=INDEX(DarlBindung,16),1,0))</f>
      </c>
      <c r="H7217" s="43">
        <f>IF($G7217=1,INDEX(DarlSollzins,16),INDEX(DarlAnschluss,16))</f>
      </c>
      <c r="I7217" s="43">
        <f>IF(INDEX(DarlBelegt,16)=0,0,IF(INDEX(DarlOhneTilgung,16)=1,IF(INDEX(DarlBindung,16)="",1,$G7217),IF($J7217&gt;0.005,1,0)))</f>
      </c>
      <c r="J7217" s="43">
        <f>IF($I7216=0,0,$R7216)</f>
      </c>
      <c r="K7217" s="43">
        <f>IF($I7217=0,0,IF(INDEX(DarlOhneTilgung,16)=1,0,IF(AND(INDEX(DarlTilgStart,16)&gt;0,$E7217=INDEX(DarlTilgStart,16)),$J7217*($H7217+INDEX(DarlTilgung,16))/100/12,IF(AND($G7217=0,$G7216=1),MAX($K7216,$J7217*($H7217+1)/100/12),$K7216))))</f>
      </c>
      <c r="L7217" s="43">
        <f>IF($I7217=0,0,$J7217*$H7217/100/12)</f>
      </c>
      <c r="M7217" s="43">
        <f>IF($I7217=0,0,IF(OR(INDEX(DarlOhneTilgung,16)=1,AND(INDEX(DarlTilgStart,16)&gt;0,$E7217&lt;INDEX(DarlTilgStart,16))),0,MIN(MAX(0,$K7217-$L7217),$J7217)))</f>
      </c>
      <c r="N7217" s="43">
        <f>IF($I7217=0,0,MIN(SUMIFS(SondBetrag,SondDarl,16,SondDatum,"&gt;="&amp;$E7217,SondDatum,"&lt;="&amp;EOMONTH($E7217,0)),$J7217-$M7217))</f>
      </c>
      <c r="O7217" s="43">
        <f>IF($I7217=0,0,INDEX(DarlErsatzRate,16))</f>
      </c>
      <c r="P7217" s="43">
        <f>IF($I7217=0,0,$Q7216*INDEX(DarlErsatzZins,16))</f>
      </c>
      <c r="Q7217" s="43">
        <f>IF($I7217=0,0,$Q7216+$P7217+$O7217)</f>
      </c>
      <c r="R7217" s="43">
        <f>IF($I7217=0,0,$J7217-$M7217-$N7217)</f>
      </c>
    </row>
    <row r="7218">
      <c r="A7218"/>
      <c r="B7218">
        <v>16</v>
      </c>
      <c r="C7218" s="43">
        <f>INDEX(DarlObj,16)</f>
      </c>
      <c r="D7218">
        <v>15</v>
      </c>
      <c r="E7218" s="51">
        <f>IF(INDEX(DarlBelegt,16)=0,0,EOMONTH(INDEX(DarlAuszahlung,16),14)+1)</f>
      </c>
      <c r="F7218" s="43">
        <f>IF($E7218=0,0,YEAR($E7218))</f>
      </c>
      <c r="G7218" s="43">
        <f>IF(INDEX(DarlBindung,16)="",1,IF($E7218&lt;=INDEX(DarlBindung,16),1,0))</f>
      </c>
      <c r="H7218" s="43">
        <f>IF($G7218=1,INDEX(DarlSollzins,16),INDEX(DarlAnschluss,16))</f>
      </c>
      <c r="I7218" s="43">
        <f>IF(INDEX(DarlBelegt,16)=0,0,IF(INDEX(DarlOhneTilgung,16)=1,IF(INDEX(DarlBindung,16)="",1,$G7218),IF($J7218&gt;0.005,1,0)))</f>
      </c>
      <c r="J7218" s="43">
        <f>IF($I7217=0,0,$R7217)</f>
      </c>
      <c r="K7218" s="43">
        <f>IF($I7218=0,0,IF(INDEX(DarlOhneTilgung,16)=1,0,IF(AND(INDEX(DarlTilgStart,16)&gt;0,$E7218=INDEX(DarlTilgStart,16)),$J7218*($H7218+INDEX(DarlTilgung,16))/100/12,IF(AND($G7218=0,$G7217=1),MAX($K7217,$J7218*($H7218+1)/100/12),$K7217))))</f>
      </c>
      <c r="L7218" s="43">
        <f>IF($I7218=0,0,$J7218*$H7218/100/12)</f>
      </c>
      <c r="M7218" s="43">
        <f>IF($I7218=0,0,IF(OR(INDEX(DarlOhneTilgung,16)=1,AND(INDEX(DarlTilgStart,16)&gt;0,$E7218&lt;INDEX(DarlTilgStart,16))),0,MIN(MAX(0,$K7218-$L7218),$J7218)))</f>
      </c>
      <c r="N7218" s="43">
        <f>IF($I7218=0,0,MIN(SUMIFS(SondBetrag,SondDarl,16,SondDatum,"&gt;="&amp;$E7218,SondDatum,"&lt;="&amp;EOMONTH($E7218,0)),$J7218-$M7218))</f>
      </c>
      <c r="O7218" s="43">
        <f>IF($I7218=0,0,INDEX(DarlErsatzRate,16))</f>
      </c>
      <c r="P7218" s="43">
        <f>IF($I7218=0,0,$Q7217*INDEX(DarlErsatzZins,16))</f>
      </c>
      <c r="Q7218" s="43">
        <f>IF($I7218=0,0,$Q7217+$P7218+$O7218)</f>
      </c>
      <c r="R7218" s="43">
        <f>IF($I7218=0,0,$J7218-$M7218-$N7218)</f>
      </c>
    </row>
    <row r="7219">
      <c r="A7219"/>
      <c r="B7219">
        <v>16</v>
      </c>
      <c r="C7219" s="43">
        <f>INDEX(DarlObj,16)</f>
      </c>
      <c r="D7219">
        <v>16</v>
      </c>
      <c r="E7219" s="51">
        <f>IF(INDEX(DarlBelegt,16)=0,0,EOMONTH(INDEX(DarlAuszahlung,16),15)+1)</f>
      </c>
      <c r="F7219" s="43">
        <f>IF($E7219=0,0,YEAR($E7219))</f>
      </c>
      <c r="G7219" s="43">
        <f>IF(INDEX(DarlBindung,16)="",1,IF($E7219&lt;=INDEX(DarlBindung,16),1,0))</f>
      </c>
      <c r="H7219" s="43">
        <f>IF($G7219=1,INDEX(DarlSollzins,16),INDEX(DarlAnschluss,16))</f>
      </c>
      <c r="I7219" s="43">
        <f>IF(INDEX(DarlBelegt,16)=0,0,IF(INDEX(DarlOhneTilgung,16)=1,IF(INDEX(DarlBindung,16)="",1,$G7219),IF($J7219&gt;0.005,1,0)))</f>
      </c>
      <c r="J7219" s="43">
        <f>IF($I7218=0,0,$R7218)</f>
      </c>
      <c r="K7219" s="43">
        <f>IF($I7219=0,0,IF(INDEX(DarlOhneTilgung,16)=1,0,IF(AND(INDEX(DarlTilgStart,16)&gt;0,$E7219=INDEX(DarlTilgStart,16)),$J7219*($H7219+INDEX(DarlTilgung,16))/100/12,IF(AND($G7219=0,$G7218=1),MAX($K7218,$J7219*($H7219+1)/100/12),$K7218))))</f>
      </c>
      <c r="L7219" s="43">
        <f>IF($I7219=0,0,$J7219*$H7219/100/12)</f>
      </c>
      <c r="M7219" s="43">
        <f>IF($I7219=0,0,IF(OR(INDEX(DarlOhneTilgung,16)=1,AND(INDEX(DarlTilgStart,16)&gt;0,$E7219&lt;INDEX(DarlTilgStart,16))),0,MIN(MAX(0,$K7219-$L7219),$J7219)))</f>
      </c>
      <c r="N7219" s="43">
        <f>IF($I7219=0,0,MIN(SUMIFS(SondBetrag,SondDarl,16,SondDatum,"&gt;="&amp;$E7219,SondDatum,"&lt;="&amp;EOMONTH($E7219,0)),$J7219-$M7219))</f>
      </c>
      <c r="O7219" s="43">
        <f>IF($I7219=0,0,INDEX(DarlErsatzRate,16))</f>
      </c>
      <c r="P7219" s="43">
        <f>IF($I7219=0,0,$Q7218*INDEX(DarlErsatzZins,16))</f>
      </c>
      <c r="Q7219" s="43">
        <f>IF($I7219=0,0,$Q7218+$P7219+$O7219)</f>
      </c>
      <c r="R7219" s="43">
        <f>IF($I7219=0,0,$J7219-$M7219-$N7219)</f>
      </c>
    </row>
    <row r="7220">
      <c r="A7220"/>
      <c r="B7220">
        <v>16</v>
      </c>
      <c r="C7220" s="43">
        <f>INDEX(DarlObj,16)</f>
      </c>
      <c r="D7220">
        <v>17</v>
      </c>
      <c r="E7220" s="51">
        <f>IF(INDEX(DarlBelegt,16)=0,0,EOMONTH(INDEX(DarlAuszahlung,16),16)+1)</f>
      </c>
      <c r="F7220" s="43">
        <f>IF($E7220=0,0,YEAR($E7220))</f>
      </c>
      <c r="G7220" s="43">
        <f>IF(INDEX(DarlBindung,16)="",1,IF($E7220&lt;=INDEX(DarlBindung,16),1,0))</f>
      </c>
      <c r="H7220" s="43">
        <f>IF($G7220=1,INDEX(DarlSollzins,16),INDEX(DarlAnschluss,16))</f>
      </c>
      <c r="I7220" s="43">
        <f>IF(INDEX(DarlBelegt,16)=0,0,IF(INDEX(DarlOhneTilgung,16)=1,IF(INDEX(DarlBindung,16)="",1,$G7220),IF($J7220&gt;0.005,1,0)))</f>
      </c>
      <c r="J7220" s="43">
        <f>IF($I7219=0,0,$R7219)</f>
      </c>
      <c r="K7220" s="43">
        <f>IF($I7220=0,0,IF(INDEX(DarlOhneTilgung,16)=1,0,IF(AND(INDEX(DarlTilgStart,16)&gt;0,$E7220=INDEX(DarlTilgStart,16)),$J7220*($H7220+INDEX(DarlTilgung,16))/100/12,IF(AND($G7220=0,$G7219=1),MAX($K7219,$J7220*($H7220+1)/100/12),$K7219))))</f>
      </c>
      <c r="L7220" s="43">
        <f>IF($I7220=0,0,$J7220*$H7220/100/12)</f>
      </c>
      <c r="M7220" s="43">
        <f>IF($I7220=0,0,IF(OR(INDEX(DarlOhneTilgung,16)=1,AND(INDEX(DarlTilgStart,16)&gt;0,$E7220&lt;INDEX(DarlTilgStart,16))),0,MIN(MAX(0,$K7220-$L7220),$J7220)))</f>
      </c>
      <c r="N7220" s="43">
        <f>IF($I7220=0,0,MIN(SUMIFS(SondBetrag,SondDarl,16,SondDatum,"&gt;="&amp;$E7220,SondDatum,"&lt;="&amp;EOMONTH($E7220,0)),$J7220-$M7220))</f>
      </c>
      <c r="O7220" s="43">
        <f>IF($I7220=0,0,INDEX(DarlErsatzRate,16))</f>
      </c>
      <c r="P7220" s="43">
        <f>IF($I7220=0,0,$Q7219*INDEX(DarlErsatzZins,16))</f>
      </c>
      <c r="Q7220" s="43">
        <f>IF($I7220=0,0,$Q7219+$P7220+$O7220)</f>
      </c>
      <c r="R7220" s="43">
        <f>IF($I7220=0,0,$J7220-$M7220-$N7220)</f>
      </c>
    </row>
    <row r="7221">
      <c r="A7221"/>
      <c r="B7221">
        <v>16</v>
      </c>
      <c r="C7221" s="43">
        <f>INDEX(DarlObj,16)</f>
      </c>
      <c r="D7221">
        <v>18</v>
      </c>
      <c r="E7221" s="51">
        <f>IF(INDEX(DarlBelegt,16)=0,0,EOMONTH(INDEX(DarlAuszahlung,16),17)+1)</f>
      </c>
      <c r="F7221" s="43">
        <f>IF($E7221=0,0,YEAR($E7221))</f>
      </c>
      <c r="G7221" s="43">
        <f>IF(INDEX(DarlBindung,16)="",1,IF($E7221&lt;=INDEX(DarlBindung,16),1,0))</f>
      </c>
      <c r="H7221" s="43">
        <f>IF($G7221=1,INDEX(DarlSollzins,16),INDEX(DarlAnschluss,16))</f>
      </c>
      <c r="I7221" s="43">
        <f>IF(INDEX(DarlBelegt,16)=0,0,IF(INDEX(DarlOhneTilgung,16)=1,IF(INDEX(DarlBindung,16)="",1,$G7221),IF($J7221&gt;0.005,1,0)))</f>
      </c>
      <c r="J7221" s="43">
        <f>IF($I7220=0,0,$R7220)</f>
      </c>
      <c r="K7221" s="43">
        <f>IF($I7221=0,0,IF(INDEX(DarlOhneTilgung,16)=1,0,IF(AND(INDEX(DarlTilgStart,16)&gt;0,$E7221=INDEX(DarlTilgStart,16)),$J7221*($H7221+INDEX(DarlTilgung,16))/100/12,IF(AND($G7221=0,$G7220=1),MAX($K7220,$J7221*($H7221+1)/100/12),$K7220))))</f>
      </c>
      <c r="L7221" s="43">
        <f>IF($I7221=0,0,$J7221*$H7221/100/12)</f>
      </c>
      <c r="M7221" s="43">
        <f>IF($I7221=0,0,IF(OR(INDEX(DarlOhneTilgung,16)=1,AND(INDEX(DarlTilgStart,16)&gt;0,$E7221&lt;INDEX(DarlTilgStart,16))),0,MIN(MAX(0,$K7221-$L7221),$J7221)))</f>
      </c>
      <c r="N7221" s="43">
        <f>IF($I7221=0,0,MIN(SUMIFS(SondBetrag,SondDarl,16,SondDatum,"&gt;="&amp;$E7221,SondDatum,"&lt;="&amp;EOMONTH($E7221,0)),$J7221-$M7221))</f>
      </c>
      <c r="O7221" s="43">
        <f>IF($I7221=0,0,INDEX(DarlErsatzRate,16))</f>
      </c>
      <c r="P7221" s="43">
        <f>IF($I7221=0,0,$Q7220*INDEX(DarlErsatzZins,16))</f>
      </c>
      <c r="Q7221" s="43">
        <f>IF($I7221=0,0,$Q7220+$P7221+$O7221)</f>
      </c>
      <c r="R7221" s="43">
        <f>IF($I7221=0,0,$J7221-$M7221-$N7221)</f>
      </c>
    </row>
    <row r="7222">
      <c r="A7222"/>
      <c r="B7222">
        <v>16</v>
      </c>
      <c r="C7222" s="43">
        <f>INDEX(DarlObj,16)</f>
      </c>
      <c r="D7222">
        <v>19</v>
      </c>
      <c r="E7222" s="51">
        <f>IF(INDEX(DarlBelegt,16)=0,0,EOMONTH(INDEX(DarlAuszahlung,16),18)+1)</f>
      </c>
      <c r="F7222" s="43">
        <f>IF($E7222=0,0,YEAR($E7222))</f>
      </c>
      <c r="G7222" s="43">
        <f>IF(INDEX(DarlBindung,16)="",1,IF($E7222&lt;=INDEX(DarlBindung,16),1,0))</f>
      </c>
      <c r="H7222" s="43">
        <f>IF($G7222=1,INDEX(DarlSollzins,16),INDEX(DarlAnschluss,16))</f>
      </c>
      <c r="I7222" s="43">
        <f>IF(INDEX(DarlBelegt,16)=0,0,IF(INDEX(DarlOhneTilgung,16)=1,IF(INDEX(DarlBindung,16)="",1,$G7222),IF($J7222&gt;0.005,1,0)))</f>
      </c>
      <c r="J7222" s="43">
        <f>IF($I7221=0,0,$R7221)</f>
      </c>
      <c r="K7222" s="43">
        <f>IF($I7222=0,0,IF(INDEX(DarlOhneTilgung,16)=1,0,IF(AND(INDEX(DarlTilgStart,16)&gt;0,$E7222=INDEX(DarlTilgStart,16)),$J7222*($H7222+INDEX(DarlTilgung,16))/100/12,IF(AND($G7222=0,$G7221=1),MAX($K7221,$J7222*($H7222+1)/100/12),$K7221))))</f>
      </c>
      <c r="L7222" s="43">
        <f>IF($I7222=0,0,$J7222*$H7222/100/12)</f>
      </c>
      <c r="M7222" s="43">
        <f>IF($I7222=0,0,IF(OR(INDEX(DarlOhneTilgung,16)=1,AND(INDEX(DarlTilgStart,16)&gt;0,$E7222&lt;INDEX(DarlTilgStart,16))),0,MIN(MAX(0,$K7222-$L7222),$J7222)))</f>
      </c>
      <c r="N7222" s="43">
        <f>IF($I7222=0,0,MIN(SUMIFS(SondBetrag,SondDarl,16,SondDatum,"&gt;="&amp;$E7222,SondDatum,"&lt;="&amp;EOMONTH($E7222,0)),$J7222-$M7222))</f>
      </c>
      <c r="O7222" s="43">
        <f>IF($I7222=0,0,INDEX(DarlErsatzRate,16))</f>
      </c>
      <c r="P7222" s="43">
        <f>IF($I7222=0,0,$Q7221*INDEX(DarlErsatzZins,16))</f>
      </c>
      <c r="Q7222" s="43">
        <f>IF($I7222=0,0,$Q7221+$P7222+$O7222)</f>
      </c>
      <c r="R7222" s="43">
        <f>IF($I7222=0,0,$J7222-$M7222-$N7222)</f>
      </c>
    </row>
    <row r="7223">
      <c r="A7223"/>
      <c r="B7223">
        <v>16</v>
      </c>
      <c r="C7223" s="43">
        <f>INDEX(DarlObj,16)</f>
      </c>
      <c r="D7223">
        <v>20</v>
      </c>
      <c r="E7223" s="51">
        <f>IF(INDEX(DarlBelegt,16)=0,0,EOMONTH(INDEX(DarlAuszahlung,16),19)+1)</f>
      </c>
      <c r="F7223" s="43">
        <f>IF($E7223=0,0,YEAR($E7223))</f>
      </c>
      <c r="G7223" s="43">
        <f>IF(INDEX(DarlBindung,16)="",1,IF($E7223&lt;=INDEX(DarlBindung,16),1,0))</f>
      </c>
      <c r="H7223" s="43">
        <f>IF($G7223=1,INDEX(DarlSollzins,16),INDEX(DarlAnschluss,16))</f>
      </c>
      <c r="I7223" s="43">
        <f>IF(INDEX(DarlBelegt,16)=0,0,IF(INDEX(DarlOhneTilgung,16)=1,IF(INDEX(DarlBindung,16)="",1,$G7223),IF($J7223&gt;0.005,1,0)))</f>
      </c>
      <c r="J7223" s="43">
        <f>IF($I7222=0,0,$R7222)</f>
      </c>
      <c r="K7223" s="43">
        <f>IF($I7223=0,0,IF(INDEX(DarlOhneTilgung,16)=1,0,IF(AND(INDEX(DarlTilgStart,16)&gt;0,$E7223=INDEX(DarlTilgStart,16)),$J7223*($H7223+INDEX(DarlTilgung,16))/100/12,IF(AND($G7223=0,$G7222=1),MAX($K7222,$J7223*($H7223+1)/100/12),$K7222))))</f>
      </c>
      <c r="L7223" s="43">
        <f>IF($I7223=0,0,$J7223*$H7223/100/12)</f>
      </c>
      <c r="M7223" s="43">
        <f>IF($I7223=0,0,IF(OR(INDEX(DarlOhneTilgung,16)=1,AND(INDEX(DarlTilgStart,16)&gt;0,$E7223&lt;INDEX(DarlTilgStart,16))),0,MIN(MAX(0,$K7223-$L7223),$J7223)))</f>
      </c>
      <c r="N7223" s="43">
        <f>IF($I7223=0,0,MIN(SUMIFS(SondBetrag,SondDarl,16,SondDatum,"&gt;="&amp;$E7223,SondDatum,"&lt;="&amp;EOMONTH($E7223,0)),$J7223-$M7223))</f>
      </c>
      <c r="O7223" s="43">
        <f>IF($I7223=0,0,INDEX(DarlErsatzRate,16))</f>
      </c>
      <c r="P7223" s="43">
        <f>IF($I7223=0,0,$Q7222*INDEX(DarlErsatzZins,16))</f>
      </c>
      <c r="Q7223" s="43">
        <f>IF($I7223=0,0,$Q7222+$P7223+$O7223)</f>
      </c>
      <c r="R7223" s="43">
        <f>IF($I7223=0,0,$J7223-$M7223-$N7223)</f>
      </c>
    </row>
    <row r="7224">
      <c r="A7224"/>
      <c r="B7224">
        <v>16</v>
      </c>
      <c r="C7224" s="43">
        <f>INDEX(DarlObj,16)</f>
      </c>
      <c r="D7224">
        <v>21</v>
      </c>
      <c r="E7224" s="51">
        <f>IF(INDEX(DarlBelegt,16)=0,0,EOMONTH(INDEX(DarlAuszahlung,16),20)+1)</f>
      </c>
      <c r="F7224" s="43">
        <f>IF($E7224=0,0,YEAR($E7224))</f>
      </c>
      <c r="G7224" s="43">
        <f>IF(INDEX(DarlBindung,16)="",1,IF($E7224&lt;=INDEX(DarlBindung,16),1,0))</f>
      </c>
      <c r="H7224" s="43">
        <f>IF($G7224=1,INDEX(DarlSollzins,16),INDEX(DarlAnschluss,16))</f>
      </c>
      <c r="I7224" s="43">
        <f>IF(INDEX(DarlBelegt,16)=0,0,IF(INDEX(DarlOhneTilgung,16)=1,IF(INDEX(DarlBindung,16)="",1,$G7224),IF($J7224&gt;0.005,1,0)))</f>
      </c>
      <c r="J7224" s="43">
        <f>IF($I7223=0,0,$R7223)</f>
      </c>
      <c r="K7224" s="43">
        <f>IF($I7224=0,0,IF(INDEX(DarlOhneTilgung,16)=1,0,IF(AND(INDEX(DarlTilgStart,16)&gt;0,$E7224=INDEX(DarlTilgStart,16)),$J7224*($H7224+INDEX(DarlTilgung,16))/100/12,IF(AND($G7224=0,$G7223=1),MAX($K7223,$J7224*($H7224+1)/100/12),$K7223))))</f>
      </c>
      <c r="L7224" s="43">
        <f>IF($I7224=0,0,$J7224*$H7224/100/12)</f>
      </c>
      <c r="M7224" s="43">
        <f>IF($I7224=0,0,IF(OR(INDEX(DarlOhneTilgung,16)=1,AND(INDEX(DarlTilgStart,16)&gt;0,$E7224&lt;INDEX(DarlTilgStart,16))),0,MIN(MAX(0,$K7224-$L7224),$J7224)))</f>
      </c>
      <c r="N7224" s="43">
        <f>IF($I7224=0,0,MIN(SUMIFS(SondBetrag,SondDarl,16,SondDatum,"&gt;="&amp;$E7224,SondDatum,"&lt;="&amp;EOMONTH($E7224,0)),$J7224-$M7224))</f>
      </c>
      <c r="O7224" s="43">
        <f>IF($I7224=0,0,INDEX(DarlErsatzRate,16))</f>
      </c>
      <c r="P7224" s="43">
        <f>IF($I7224=0,0,$Q7223*INDEX(DarlErsatzZins,16))</f>
      </c>
      <c r="Q7224" s="43">
        <f>IF($I7224=0,0,$Q7223+$P7224+$O7224)</f>
      </c>
      <c r="R7224" s="43">
        <f>IF($I7224=0,0,$J7224-$M7224-$N7224)</f>
      </c>
    </row>
    <row r="7225">
      <c r="A7225"/>
      <c r="B7225">
        <v>16</v>
      </c>
      <c r="C7225" s="43">
        <f>INDEX(DarlObj,16)</f>
      </c>
      <c r="D7225">
        <v>22</v>
      </c>
      <c r="E7225" s="51">
        <f>IF(INDEX(DarlBelegt,16)=0,0,EOMONTH(INDEX(DarlAuszahlung,16),21)+1)</f>
      </c>
      <c r="F7225" s="43">
        <f>IF($E7225=0,0,YEAR($E7225))</f>
      </c>
      <c r="G7225" s="43">
        <f>IF(INDEX(DarlBindung,16)="",1,IF($E7225&lt;=INDEX(DarlBindung,16),1,0))</f>
      </c>
      <c r="H7225" s="43">
        <f>IF($G7225=1,INDEX(DarlSollzins,16),INDEX(DarlAnschluss,16))</f>
      </c>
      <c r="I7225" s="43">
        <f>IF(INDEX(DarlBelegt,16)=0,0,IF(INDEX(DarlOhneTilgung,16)=1,IF(INDEX(DarlBindung,16)="",1,$G7225),IF($J7225&gt;0.005,1,0)))</f>
      </c>
      <c r="J7225" s="43">
        <f>IF($I7224=0,0,$R7224)</f>
      </c>
      <c r="K7225" s="43">
        <f>IF($I7225=0,0,IF(INDEX(DarlOhneTilgung,16)=1,0,IF(AND(INDEX(DarlTilgStart,16)&gt;0,$E7225=INDEX(DarlTilgStart,16)),$J7225*($H7225+INDEX(DarlTilgung,16))/100/12,IF(AND($G7225=0,$G7224=1),MAX($K7224,$J7225*($H7225+1)/100/12),$K7224))))</f>
      </c>
      <c r="L7225" s="43">
        <f>IF($I7225=0,0,$J7225*$H7225/100/12)</f>
      </c>
      <c r="M7225" s="43">
        <f>IF($I7225=0,0,IF(OR(INDEX(DarlOhneTilgung,16)=1,AND(INDEX(DarlTilgStart,16)&gt;0,$E7225&lt;INDEX(DarlTilgStart,16))),0,MIN(MAX(0,$K7225-$L7225),$J7225)))</f>
      </c>
      <c r="N7225" s="43">
        <f>IF($I7225=0,0,MIN(SUMIFS(SondBetrag,SondDarl,16,SondDatum,"&gt;="&amp;$E7225,SondDatum,"&lt;="&amp;EOMONTH($E7225,0)),$J7225-$M7225))</f>
      </c>
      <c r="O7225" s="43">
        <f>IF($I7225=0,0,INDEX(DarlErsatzRate,16))</f>
      </c>
      <c r="P7225" s="43">
        <f>IF($I7225=0,0,$Q7224*INDEX(DarlErsatzZins,16))</f>
      </c>
      <c r="Q7225" s="43">
        <f>IF($I7225=0,0,$Q7224+$P7225+$O7225)</f>
      </c>
      <c r="R7225" s="43">
        <f>IF($I7225=0,0,$J7225-$M7225-$N7225)</f>
      </c>
    </row>
    <row r="7226">
      <c r="A7226"/>
      <c r="B7226">
        <v>16</v>
      </c>
      <c r="C7226" s="43">
        <f>INDEX(DarlObj,16)</f>
      </c>
      <c r="D7226">
        <v>23</v>
      </c>
      <c r="E7226" s="51">
        <f>IF(INDEX(DarlBelegt,16)=0,0,EOMONTH(INDEX(DarlAuszahlung,16),22)+1)</f>
      </c>
      <c r="F7226" s="43">
        <f>IF($E7226=0,0,YEAR($E7226))</f>
      </c>
      <c r="G7226" s="43">
        <f>IF(INDEX(DarlBindung,16)="",1,IF($E7226&lt;=INDEX(DarlBindung,16),1,0))</f>
      </c>
      <c r="H7226" s="43">
        <f>IF($G7226=1,INDEX(DarlSollzins,16),INDEX(DarlAnschluss,16))</f>
      </c>
      <c r="I7226" s="43">
        <f>IF(INDEX(DarlBelegt,16)=0,0,IF(INDEX(DarlOhneTilgung,16)=1,IF(INDEX(DarlBindung,16)="",1,$G7226),IF($J7226&gt;0.005,1,0)))</f>
      </c>
      <c r="J7226" s="43">
        <f>IF($I7225=0,0,$R7225)</f>
      </c>
      <c r="K7226" s="43">
        <f>IF($I7226=0,0,IF(INDEX(DarlOhneTilgung,16)=1,0,IF(AND(INDEX(DarlTilgStart,16)&gt;0,$E7226=INDEX(DarlTilgStart,16)),$J7226*($H7226+INDEX(DarlTilgung,16))/100/12,IF(AND($G7226=0,$G7225=1),MAX($K7225,$J7226*($H7226+1)/100/12),$K7225))))</f>
      </c>
      <c r="L7226" s="43">
        <f>IF($I7226=0,0,$J7226*$H7226/100/12)</f>
      </c>
      <c r="M7226" s="43">
        <f>IF($I7226=0,0,IF(OR(INDEX(DarlOhneTilgung,16)=1,AND(INDEX(DarlTilgStart,16)&gt;0,$E7226&lt;INDEX(DarlTilgStart,16))),0,MIN(MAX(0,$K7226-$L7226),$J7226)))</f>
      </c>
      <c r="N7226" s="43">
        <f>IF($I7226=0,0,MIN(SUMIFS(SondBetrag,SondDarl,16,SondDatum,"&gt;="&amp;$E7226,SondDatum,"&lt;="&amp;EOMONTH($E7226,0)),$J7226-$M7226))</f>
      </c>
      <c r="O7226" s="43">
        <f>IF($I7226=0,0,INDEX(DarlErsatzRate,16))</f>
      </c>
      <c r="P7226" s="43">
        <f>IF($I7226=0,0,$Q7225*INDEX(DarlErsatzZins,16))</f>
      </c>
      <c r="Q7226" s="43">
        <f>IF($I7226=0,0,$Q7225+$P7226+$O7226)</f>
      </c>
      <c r="R7226" s="43">
        <f>IF($I7226=0,0,$J7226-$M7226-$N7226)</f>
      </c>
    </row>
    <row r="7227">
      <c r="A7227"/>
      <c r="B7227">
        <v>16</v>
      </c>
      <c r="C7227" s="43">
        <f>INDEX(DarlObj,16)</f>
      </c>
      <c r="D7227">
        <v>24</v>
      </c>
      <c r="E7227" s="51">
        <f>IF(INDEX(DarlBelegt,16)=0,0,EOMONTH(INDEX(DarlAuszahlung,16),23)+1)</f>
      </c>
      <c r="F7227" s="43">
        <f>IF($E7227=0,0,YEAR($E7227))</f>
      </c>
      <c r="G7227" s="43">
        <f>IF(INDEX(DarlBindung,16)="",1,IF($E7227&lt;=INDEX(DarlBindung,16),1,0))</f>
      </c>
      <c r="H7227" s="43">
        <f>IF($G7227=1,INDEX(DarlSollzins,16),INDEX(DarlAnschluss,16))</f>
      </c>
      <c r="I7227" s="43">
        <f>IF(INDEX(DarlBelegt,16)=0,0,IF(INDEX(DarlOhneTilgung,16)=1,IF(INDEX(DarlBindung,16)="",1,$G7227),IF($J7227&gt;0.005,1,0)))</f>
      </c>
      <c r="J7227" s="43">
        <f>IF($I7226=0,0,$R7226)</f>
      </c>
      <c r="K7227" s="43">
        <f>IF($I7227=0,0,IF(INDEX(DarlOhneTilgung,16)=1,0,IF(AND(INDEX(DarlTilgStart,16)&gt;0,$E7227=INDEX(DarlTilgStart,16)),$J7227*($H7227+INDEX(DarlTilgung,16))/100/12,IF(AND($G7227=0,$G7226=1),MAX($K7226,$J7227*($H7227+1)/100/12),$K7226))))</f>
      </c>
      <c r="L7227" s="43">
        <f>IF($I7227=0,0,$J7227*$H7227/100/12)</f>
      </c>
      <c r="M7227" s="43">
        <f>IF($I7227=0,0,IF(OR(INDEX(DarlOhneTilgung,16)=1,AND(INDEX(DarlTilgStart,16)&gt;0,$E7227&lt;INDEX(DarlTilgStart,16))),0,MIN(MAX(0,$K7227-$L7227),$J7227)))</f>
      </c>
      <c r="N7227" s="43">
        <f>IF($I7227=0,0,MIN(SUMIFS(SondBetrag,SondDarl,16,SondDatum,"&gt;="&amp;$E7227,SondDatum,"&lt;="&amp;EOMONTH($E7227,0)),$J7227-$M7227))</f>
      </c>
      <c r="O7227" s="43">
        <f>IF($I7227=0,0,INDEX(DarlErsatzRate,16))</f>
      </c>
      <c r="P7227" s="43">
        <f>IF($I7227=0,0,$Q7226*INDEX(DarlErsatzZins,16))</f>
      </c>
      <c r="Q7227" s="43">
        <f>IF($I7227=0,0,$Q7226+$P7227+$O7227)</f>
      </c>
      <c r="R7227" s="43">
        <f>IF($I7227=0,0,$J7227-$M7227-$N7227)</f>
      </c>
    </row>
    <row r="7228">
      <c r="A7228"/>
      <c r="B7228">
        <v>16</v>
      </c>
      <c r="C7228" s="43">
        <f>INDEX(DarlObj,16)</f>
      </c>
      <c r="D7228">
        <v>25</v>
      </c>
      <c r="E7228" s="51">
        <f>IF(INDEX(DarlBelegt,16)=0,0,EOMONTH(INDEX(DarlAuszahlung,16),24)+1)</f>
      </c>
      <c r="F7228" s="43">
        <f>IF($E7228=0,0,YEAR($E7228))</f>
      </c>
      <c r="G7228" s="43">
        <f>IF(INDEX(DarlBindung,16)="",1,IF($E7228&lt;=INDEX(DarlBindung,16),1,0))</f>
      </c>
      <c r="H7228" s="43">
        <f>IF($G7228=1,INDEX(DarlSollzins,16),INDEX(DarlAnschluss,16))</f>
      </c>
      <c r="I7228" s="43">
        <f>IF(INDEX(DarlBelegt,16)=0,0,IF(INDEX(DarlOhneTilgung,16)=1,IF(INDEX(DarlBindung,16)="",1,$G7228),IF($J7228&gt;0.005,1,0)))</f>
      </c>
      <c r="J7228" s="43">
        <f>IF($I7227=0,0,$R7227)</f>
      </c>
      <c r="K7228" s="43">
        <f>IF($I7228=0,0,IF(INDEX(DarlOhneTilgung,16)=1,0,IF(AND(INDEX(DarlTilgStart,16)&gt;0,$E7228=INDEX(DarlTilgStart,16)),$J7228*($H7228+INDEX(DarlTilgung,16))/100/12,IF(AND($G7228=0,$G7227=1),MAX($K7227,$J7228*($H7228+1)/100/12),$K7227))))</f>
      </c>
      <c r="L7228" s="43">
        <f>IF($I7228=0,0,$J7228*$H7228/100/12)</f>
      </c>
      <c r="M7228" s="43">
        <f>IF($I7228=0,0,IF(OR(INDEX(DarlOhneTilgung,16)=1,AND(INDEX(DarlTilgStart,16)&gt;0,$E7228&lt;INDEX(DarlTilgStart,16))),0,MIN(MAX(0,$K7228-$L7228),$J7228)))</f>
      </c>
      <c r="N7228" s="43">
        <f>IF($I7228=0,0,MIN(SUMIFS(SondBetrag,SondDarl,16,SondDatum,"&gt;="&amp;$E7228,SondDatum,"&lt;="&amp;EOMONTH($E7228,0)),$J7228-$M7228))</f>
      </c>
      <c r="O7228" s="43">
        <f>IF($I7228=0,0,INDEX(DarlErsatzRate,16))</f>
      </c>
      <c r="P7228" s="43">
        <f>IF($I7228=0,0,$Q7227*INDEX(DarlErsatzZins,16))</f>
      </c>
      <c r="Q7228" s="43">
        <f>IF($I7228=0,0,$Q7227+$P7228+$O7228)</f>
      </c>
      <c r="R7228" s="43">
        <f>IF($I7228=0,0,$J7228-$M7228-$N7228)</f>
      </c>
    </row>
    <row r="7229">
      <c r="A7229"/>
      <c r="B7229">
        <v>16</v>
      </c>
      <c r="C7229" s="43">
        <f>INDEX(DarlObj,16)</f>
      </c>
      <c r="D7229">
        <v>26</v>
      </c>
      <c r="E7229" s="51">
        <f>IF(INDEX(DarlBelegt,16)=0,0,EOMONTH(INDEX(DarlAuszahlung,16),25)+1)</f>
      </c>
      <c r="F7229" s="43">
        <f>IF($E7229=0,0,YEAR($E7229))</f>
      </c>
      <c r="G7229" s="43">
        <f>IF(INDEX(DarlBindung,16)="",1,IF($E7229&lt;=INDEX(DarlBindung,16),1,0))</f>
      </c>
      <c r="H7229" s="43">
        <f>IF($G7229=1,INDEX(DarlSollzins,16),INDEX(DarlAnschluss,16))</f>
      </c>
      <c r="I7229" s="43">
        <f>IF(INDEX(DarlBelegt,16)=0,0,IF(INDEX(DarlOhneTilgung,16)=1,IF(INDEX(DarlBindung,16)="",1,$G7229),IF($J7229&gt;0.005,1,0)))</f>
      </c>
      <c r="J7229" s="43">
        <f>IF($I7228=0,0,$R7228)</f>
      </c>
      <c r="K7229" s="43">
        <f>IF($I7229=0,0,IF(INDEX(DarlOhneTilgung,16)=1,0,IF(AND(INDEX(DarlTilgStart,16)&gt;0,$E7229=INDEX(DarlTilgStart,16)),$J7229*($H7229+INDEX(DarlTilgung,16))/100/12,IF(AND($G7229=0,$G7228=1),MAX($K7228,$J7229*($H7229+1)/100/12),$K7228))))</f>
      </c>
      <c r="L7229" s="43">
        <f>IF($I7229=0,0,$J7229*$H7229/100/12)</f>
      </c>
      <c r="M7229" s="43">
        <f>IF($I7229=0,0,IF(OR(INDEX(DarlOhneTilgung,16)=1,AND(INDEX(DarlTilgStart,16)&gt;0,$E7229&lt;INDEX(DarlTilgStart,16))),0,MIN(MAX(0,$K7229-$L7229),$J7229)))</f>
      </c>
      <c r="N7229" s="43">
        <f>IF($I7229=0,0,MIN(SUMIFS(SondBetrag,SondDarl,16,SondDatum,"&gt;="&amp;$E7229,SondDatum,"&lt;="&amp;EOMONTH($E7229,0)),$J7229-$M7229))</f>
      </c>
      <c r="O7229" s="43">
        <f>IF($I7229=0,0,INDEX(DarlErsatzRate,16))</f>
      </c>
      <c r="P7229" s="43">
        <f>IF($I7229=0,0,$Q7228*INDEX(DarlErsatzZins,16))</f>
      </c>
      <c r="Q7229" s="43">
        <f>IF($I7229=0,0,$Q7228+$P7229+$O7229)</f>
      </c>
      <c r="R7229" s="43">
        <f>IF($I7229=0,0,$J7229-$M7229-$N7229)</f>
      </c>
    </row>
    <row r="7230">
      <c r="A7230"/>
      <c r="B7230">
        <v>16</v>
      </c>
      <c r="C7230" s="43">
        <f>INDEX(DarlObj,16)</f>
      </c>
      <c r="D7230">
        <v>27</v>
      </c>
      <c r="E7230" s="51">
        <f>IF(INDEX(DarlBelegt,16)=0,0,EOMONTH(INDEX(DarlAuszahlung,16),26)+1)</f>
      </c>
      <c r="F7230" s="43">
        <f>IF($E7230=0,0,YEAR($E7230))</f>
      </c>
      <c r="G7230" s="43">
        <f>IF(INDEX(DarlBindung,16)="",1,IF($E7230&lt;=INDEX(DarlBindung,16),1,0))</f>
      </c>
      <c r="H7230" s="43">
        <f>IF($G7230=1,INDEX(DarlSollzins,16),INDEX(DarlAnschluss,16))</f>
      </c>
      <c r="I7230" s="43">
        <f>IF(INDEX(DarlBelegt,16)=0,0,IF(INDEX(DarlOhneTilgung,16)=1,IF(INDEX(DarlBindung,16)="",1,$G7230),IF($J7230&gt;0.005,1,0)))</f>
      </c>
      <c r="J7230" s="43">
        <f>IF($I7229=0,0,$R7229)</f>
      </c>
      <c r="K7230" s="43">
        <f>IF($I7230=0,0,IF(INDEX(DarlOhneTilgung,16)=1,0,IF(AND(INDEX(DarlTilgStart,16)&gt;0,$E7230=INDEX(DarlTilgStart,16)),$J7230*($H7230+INDEX(DarlTilgung,16))/100/12,IF(AND($G7230=0,$G7229=1),MAX($K7229,$J7230*($H7230+1)/100/12),$K7229))))</f>
      </c>
      <c r="L7230" s="43">
        <f>IF($I7230=0,0,$J7230*$H7230/100/12)</f>
      </c>
      <c r="M7230" s="43">
        <f>IF($I7230=0,0,IF(OR(INDEX(DarlOhneTilgung,16)=1,AND(INDEX(DarlTilgStart,16)&gt;0,$E7230&lt;INDEX(DarlTilgStart,16))),0,MIN(MAX(0,$K7230-$L7230),$J7230)))</f>
      </c>
      <c r="N7230" s="43">
        <f>IF($I7230=0,0,MIN(SUMIFS(SondBetrag,SondDarl,16,SondDatum,"&gt;="&amp;$E7230,SondDatum,"&lt;="&amp;EOMONTH($E7230,0)),$J7230-$M7230))</f>
      </c>
      <c r="O7230" s="43">
        <f>IF($I7230=0,0,INDEX(DarlErsatzRate,16))</f>
      </c>
      <c r="P7230" s="43">
        <f>IF($I7230=0,0,$Q7229*INDEX(DarlErsatzZins,16))</f>
      </c>
      <c r="Q7230" s="43">
        <f>IF($I7230=0,0,$Q7229+$P7230+$O7230)</f>
      </c>
      <c r="R7230" s="43">
        <f>IF($I7230=0,0,$J7230-$M7230-$N7230)</f>
      </c>
    </row>
    <row r="7231">
      <c r="A7231"/>
      <c r="B7231">
        <v>16</v>
      </c>
      <c r="C7231" s="43">
        <f>INDEX(DarlObj,16)</f>
      </c>
      <c r="D7231">
        <v>28</v>
      </c>
      <c r="E7231" s="51">
        <f>IF(INDEX(DarlBelegt,16)=0,0,EOMONTH(INDEX(DarlAuszahlung,16),27)+1)</f>
      </c>
      <c r="F7231" s="43">
        <f>IF($E7231=0,0,YEAR($E7231))</f>
      </c>
      <c r="G7231" s="43">
        <f>IF(INDEX(DarlBindung,16)="",1,IF($E7231&lt;=INDEX(DarlBindung,16),1,0))</f>
      </c>
      <c r="H7231" s="43">
        <f>IF($G7231=1,INDEX(DarlSollzins,16),INDEX(DarlAnschluss,16))</f>
      </c>
      <c r="I7231" s="43">
        <f>IF(INDEX(DarlBelegt,16)=0,0,IF(INDEX(DarlOhneTilgung,16)=1,IF(INDEX(DarlBindung,16)="",1,$G7231),IF($J7231&gt;0.005,1,0)))</f>
      </c>
      <c r="J7231" s="43">
        <f>IF($I7230=0,0,$R7230)</f>
      </c>
      <c r="K7231" s="43">
        <f>IF($I7231=0,0,IF(INDEX(DarlOhneTilgung,16)=1,0,IF(AND(INDEX(DarlTilgStart,16)&gt;0,$E7231=INDEX(DarlTilgStart,16)),$J7231*($H7231+INDEX(DarlTilgung,16))/100/12,IF(AND($G7231=0,$G7230=1),MAX($K7230,$J7231*($H7231+1)/100/12),$K7230))))</f>
      </c>
      <c r="L7231" s="43">
        <f>IF($I7231=0,0,$J7231*$H7231/100/12)</f>
      </c>
      <c r="M7231" s="43">
        <f>IF($I7231=0,0,IF(OR(INDEX(DarlOhneTilgung,16)=1,AND(INDEX(DarlTilgStart,16)&gt;0,$E7231&lt;INDEX(DarlTilgStart,16))),0,MIN(MAX(0,$K7231-$L7231),$J7231)))</f>
      </c>
      <c r="N7231" s="43">
        <f>IF($I7231=0,0,MIN(SUMIFS(SondBetrag,SondDarl,16,SondDatum,"&gt;="&amp;$E7231,SondDatum,"&lt;="&amp;EOMONTH($E7231,0)),$J7231-$M7231))</f>
      </c>
      <c r="O7231" s="43">
        <f>IF($I7231=0,0,INDEX(DarlErsatzRate,16))</f>
      </c>
      <c r="P7231" s="43">
        <f>IF($I7231=0,0,$Q7230*INDEX(DarlErsatzZins,16))</f>
      </c>
      <c r="Q7231" s="43">
        <f>IF($I7231=0,0,$Q7230+$P7231+$O7231)</f>
      </c>
      <c r="R7231" s="43">
        <f>IF($I7231=0,0,$J7231-$M7231-$N7231)</f>
      </c>
    </row>
    <row r="7232">
      <c r="A7232"/>
      <c r="B7232">
        <v>16</v>
      </c>
      <c r="C7232" s="43">
        <f>INDEX(DarlObj,16)</f>
      </c>
      <c r="D7232">
        <v>29</v>
      </c>
      <c r="E7232" s="51">
        <f>IF(INDEX(DarlBelegt,16)=0,0,EOMONTH(INDEX(DarlAuszahlung,16),28)+1)</f>
      </c>
      <c r="F7232" s="43">
        <f>IF($E7232=0,0,YEAR($E7232))</f>
      </c>
      <c r="G7232" s="43">
        <f>IF(INDEX(DarlBindung,16)="",1,IF($E7232&lt;=INDEX(DarlBindung,16),1,0))</f>
      </c>
      <c r="H7232" s="43">
        <f>IF($G7232=1,INDEX(DarlSollzins,16),INDEX(DarlAnschluss,16))</f>
      </c>
      <c r="I7232" s="43">
        <f>IF(INDEX(DarlBelegt,16)=0,0,IF(INDEX(DarlOhneTilgung,16)=1,IF(INDEX(DarlBindung,16)="",1,$G7232),IF($J7232&gt;0.005,1,0)))</f>
      </c>
      <c r="J7232" s="43">
        <f>IF($I7231=0,0,$R7231)</f>
      </c>
      <c r="K7232" s="43">
        <f>IF($I7232=0,0,IF(INDEX(DarlOhneTilgung,16)=1,0,IF(AND(INDEX(DarlTilgStart,16)&gt;0,$E7232=INDEX(DarlTilgStart,16)),$J7232*($H7232+INDEX(DarlTilgung,16))/100/12,IF(AND($G7232=0,$G7231=1),MAX($K7231,$J7232*($H7232+1)/100/12),$K7231))))</f>
      </c>
      <c r="L7232" s="43">
        <f>IF($I7232=0,0,$J7232*$H7232/100/12)</f>
      </c>
      <c r="M7232" s="43">
        <f>IF($I7232=0,0,IF(OR(INDEX(DarlOhneTilgung,16)=1,AND(INDEX(DarlTilgStart,16)&gt;0,$E7232&lt;INDEX(DarlTilgStart,16))),0,MIN(MAX(0,$K7232-$L7232),$J7232)))</f>
      </c>
      <c r="N7232" s="43">
        <f>IF($I7232=0,0,MIN(SUMIFS(SondBetrag,SondDarl,16,SondDatum,"&gt;="&amp;$E7232,SondDatum,"&lt;="&amp;EOMONTH($E7232,0)),$J7232-$M7232))</f>
      </c>
      <c r="O7232" s="43">
        <f>IF($I7232=0,0,INDEX(DarlErsatzRate,16))</f>
      </c>
      <c r="P7232" s="43">
        <f>IF($I7232=0,0,$Q7231*INDEX(DarlErsatzZins,16))</f>
      </c>
      <c r="Q7232" s="43">
        <f>IF($I7232=0,0,$Q7231+$P7232+$O7232)</f>
      </c>
      <c r="R7232" s="43">
        <f>IF($I7232=0,0,$J7232-$M7232-$N7232)</f>
      </c>
    </row>
    <row r="7233">
      <c r="A7233"/>
      <c r="B7233">
        <v>16</v>
      </c>
      <c r="C7233" s="43">
        <f>INDEX(DarlObj,16)</f>
      </c>
      <c r="D7233">
        <v>30</v>
      </c>
      <c r="E7233" s="51">
        <f>IF(INDEX(DarlBelegt,16)=0,0,EOMONTH(INDEX(DarlAuszahlung,16),29)+1)</f>
      </c>
      <c r="F7233" s="43">
        <f>IF($E7233=0,0,YEAR($E7233))</f>
      </c>
      <c r="G7233" s="43">
        <f>IF(INDEX(DarlBindung,16)="",1,IF($E7233&lt;=INDEX(DarlBindung,16),1,0))</f>
      </c>
      <c r="H7233" s="43">
        <f>IF($G7233=1,INDEX(DarlSollzins,16),INDEX(DarlAnschluss,16))</f>
      </c>
      <c r="I7233" s="43">
        <f>IF(INDEX(DarlBelegt,16)=0,0,IF(INDEX(DarlOhneTilgung,16)=1,IF(INDEX(DarlBindung,16)="",1,$G7233),IF($J7233&gt;0.005,1,0)))</f>
      </c>
      <c r="J7233" s="43">
        <f>IF($I7232=0,0,$R7232)</f>
      </c>
      <c r="K7233" s="43">
        <f>IF($I7233=0,0,IF(INDEX(DarlOhneTilgung,16)=1,0,IF(AND(INDEX(DarlTilgStart,16)&gt;0,$E7233=INDEX(DarlTilgStart,16)),$J7233*($H7233+INDEX(DarlTilgung,16))/100/12,IF(AND($G7233=0,$G7232=1),MAX($K7232,$J7233*($H7233+1)/100/12),$K7232))))</f>
      </c>
      <c r="L7233" s="43">
        <f>IF($I7233=0,0,$J7233*$H7233/100/12)</f>
      </c>
      <c r="M7233" s="43">
        <f>IF($I7233=0,0,IF(OR(INDEX(DarlOhneTilgung,16)=1,AND(INDEX(DarlTilgStart,16)&gt;0,$E7233&lt;INDEX(DarlTilgStart,16))),0,MIN(MAX(0,$K7233-$L7233),$J7233)))</f>
      </c>
      <c r="N7233" s="43">
        <f>IF($I7233=0,0,MIN(SUMIFS(SondBetrag,SondDarl,16,SondDatum,"&gt;="&amp;$E7233,SondDatum,"&lt;="&amp;EOMONTH($E7233,0)),$J7233-$M7233))</f>
      </c>
      <c r="O7233" s="43">
        <f>IF($I7233=0,0,INDEX(DarlErsatzRate,16))</f>
      </c>
      <c r="P7233" s="43">
        <f>IF($I7233=0,0,$Q7232*INDEX(DarlErsatzZins,16))</f>
      </c>
      <c r="Q7233" s="43">
        <f>IF($I7233=0,0,$Q7232+$P7233+$O7233)</f>
      </c>
      <c r="R7233" s="43">
        <f>IF($I7233=0,0,$J7233-$M7233-$N7233)</f>
      </c>
    </row>
    <row r="7234">
      <c r="A7234"/>
      <c r="B7234">
        <v>16</v>
      </c>
      <c r="C7234" s="43">
        <f>INDEX(DarlObj,16)</f>
      </c>
      <c r="D7234">
        <v>31</v>
      </c>
      <c r="E7234" s="51">
        <f>IF(INDEX(DarlBelegt,16)=0,0,EOMONTH(INDEX(DarlAuszahlung,16),30)+1)</f>
      </c>
      <c r="F7234" s="43">
        <f>IF($E7234=0,0,YEAR($E7234))</f>
      </c>
      <c r="G7234" s="43">
        <f>IF(INDEX(DarlBindung,16)="",1,IF($E7234&lt;=INDEX(DarlBindung,16),1,0))</f>
      </c>
      <c r="H7234" s="43">
        <f>IF($G7234=1,INDEX(DarlSollzins,16),INDEX(DarlAnschluss,16))</f>
      </c>
      <c r="I7234" s="43">
        <f>IF(INDEX(DarlBelegt,16)=0,0,IF(INDEX(DarlOhneTilgung,16)=1,IF(INDEX(DarlBindung,16)="",1,$G7234),IF($J7234&gt;0.005,1,0)))</f>
      </c>
      <c r="J7234" s="43">
        <f>IF($I7233=0,0,$R7233)</f>
      </c>
      <c r="K7234" s="43">
        <f>IF($I7234=0,0,IF(INDEX(DarlOhneTilgung,16)=1,0,IF(AND(INDEX(DarlTilgStart,16)&gt;0,$E7234=INDEX(DarlTilgStart,16)),$J7234*($H7234+INDEX(DarlTilgung,16))/100/12,IF(AND($G7234=0,$G7233=1),MAX($K7233,$J7234*($H7234+1)/100/12),$K7233))))</f>
      </c>
      <c r="L7234" s="43">
        <f>IF($I7234=0,0,$J7234*$H7234/100/12)</f>
      </c>
      <c r="M7234" s="43">
        <f>IF($I7234=0,0,IF(OR(INDEX(DarlOhneTilgung,16)=1,AND(INDEX(DarlTilgStart,16)&gt;0,$E7234&lt;INDEX(DarlTilgStart,16))),0,MIN(MAX(0,$K7234-$L7234),$J7234)))</f>
      </c>
      <c r="N7234" s="43">
        <f>IF($I7234=0,0,MIN(SUMIFS(SondBetrag,SondDarl,16,SondDatum,"&gt;="&amp;$E7234,SondDatum,"&lt;="&amp;EOMONTH($E7234,0)),$J7234-$M7234))</f>
      </c>
      <c r="O7234" s="43">
        <f>IF($I7234=0,0,INDEX(DarlErsatzRate,16))</f>
      </c>
      <c r="P7234" s="43">
        <f>IF($I7234=0,0,$Q7233*INDEX(DarlErsatzZins,16))</f>
      </c>
      <c r="Q7234" s="43">
        <f>IF($I7234=0,0,$Q7233+$P7234+$O7234)</f>
      </c>
      <c r="R7234" s="43">
        <f>IF($I7234=0,0,$J7234-$M7234-$N7234)</f>
      </c>
    </row>
    <row r="7235">
      <c r="A7235"/>
      <c r="B7235">
        <v>16</v>
      </c>
      <c r="C7235" s="43">
        <f>INDEX(DarlObj,16)</f>
      </c>
      <c r="D7235">
        <v>32</v>
      </c>
      <c r="E7235" s="51">
        <f>IF(INDEX(DarlBelegt,16)=0,0,EOMONTH(INDEX(DarlAuszahlung,16),31)+1)</f>
      </c>
      <c r="F7235" s="43">
        <f>IF($E7235=0,0,YEAR($E7235))</f>
      </c>
      <c r="G7235" s="43">
        <f>IF(INDEX(DarlBindung,16)="",1,IF($E7235&lt;=INDEX(DarlBindung,16),1,0))</f>
      </c>
      <c r="H7235" s="43">
        <f>IF($G7235=1,INDEX(DarlSollzins,16),INDEX(DarlAnschluss,16))</f>
      </c>
      <c r="I7235" s="43">
        <f>IF(INDEX(DarlBelegt,16)=0,0,IF(INDEX(DarlOhneTilgung,16)=1,IF(INDEX(DarlBindung,16)="",1,$G7235),IF($J7235&gt;0.005,1,0)))</f>
      </c>
      <c r="J7235" s="43">
        <f>IF($I7234=0,0,$R7234)</f>
      </c>
      <c r="K7235" s="43">
        <f>IF($I7235=0,0,IF(INDEX(DarlOhneTilgung,16)=1,0,IF(AND(INDEX(DarlTilgStart,16)&gt;0,$E7235=INDEX(DarlTilgStart,16)),$J7235*($H7235+INDEX(DarlTilgung,16))/100/12,IF(AND($G7235=0,$G7234=1),MAX($K7234,$J7235*($H7235+1)/100/12),$K7234))))</f>
      </c>
      <c r="L7235" s="43">
        <f>IF($I7235=0,0,$J7235*$H7235/100/12)</f>
      </c>
      <c r="M7235" s="43">
        <f>IF($I7235=0,0,IF(OR(INDEX(DarlOhneTilgung,16)=1,AND(INDEX(DarlTilgStart,16)&gt;0,$E7235&lt;INDEX(DarlTilgStart,16))),0,MIN(MAX(0,$K7235-$L7235),$J7235)))</f>
      </c>
      <c r="N7235" s="43">
        <f>IF($I7235=0,0,MIN(SUMIFS(SondBetrag,SondDarl,16,SondDatum,"&gt;="&amp;$E7235,SondDatum,"&lt;="&amp;EOMONTH($E7235,0)),$J7235-$M7235))</f>
      </c>
      <c r="O7235" s="43">
        <f>IF($I7235=0,0,INDEX(DarlErsatzRate,16))</f>
      </c>
      <c r="P7235" s="43">
        <f>IF($I7235=0,0,$Q7234*INDEX(DarlErsatzZins,16))</f>
      </c>
      <c r="Q7235" s="43">
        <f>IF($I7235=0,0,$Q7234+$P7235+$O7235)</f>
      </c>
      <c r="R7235" s="43">
        <f>IF($I7235=0,0,$J7235-$M7235-$N7235)</f>
      </c>
    </row>
    <row r="7236">
      <c r="A7236"/>
      <c r="B7236">
        <v>16</v>
      </c>
      <c r="C7236" s="43">
        <f>INDEX(DarlObj,16)</f>
      </c>
      <c r="D7236">
        <v>33</v>
      </c>
      <c r="E7236" s="51">
        <f>IF(INDEX(DarlBelegt,16)=0,0,EOMONTH(INDEX(DarlAuszahlung,16),32)+1)</f>
      </c>
      <c r="F7236" s="43">
        <f>IF($E7236=0,0,YEAR($E7236))</f>
      </c>
      <c r="G7236" s="43">
        <f>IF(INDEX(DarlBindung,16)="",1,IF($E7236&lt;=INDEX(DarlBindung,16),1,0))</f>
      </c>
      <c r="H7236" s="43">
        <f>IF($G7236=1,INDEX(DarlSollzins,16),INDEX(DarlAnschluss,16))</f>
      </c>
      <c r="I7236" s="43">
        <f>IF(INDEX(DarlBelegt,16)=0,0,IF(INDEX(DarlOhneTilgung,16)=1,IF(INDEX(DarlBindung,16)="",1,$G7236),IF($J7236&gt;0.005,1,0)))</f>
      </c>
      <c r="J7236" s="43">
        <f>IF($I7235=0,0,$R7235)</f>
      </c>
      <c r="K7236" s="43">
        <f>IF($I7236=0,0,IF(INDEX(DarlOhneTilgung,16)=1,0,IF(AND(INDEX(DarlTilgStart,16)&gt;0,$E7236=INDEX(DarlTilgStart,16)),$J7236*($H7236+INDEX(DarlTilgung,16))/100/12,IF(AND($G7236=0,$G7235=1),MAX($K7235,$J7236*($H7236+1)/100/12),$K7235))))</f>
      </c>
      <c r="L7236" s="43">
        <f>IF($I7236=0,0,$J7236*$H7236/100/12)</f>
      </c>
      <c r="M7236" s="43">
        <f>IF($I7236=0,0,IF(OR(INDEX(DarlOhneTilgung,16)=1,AND(INDEX(DarlTilgStart,16)&gt;0,$E7236&lt;INDEX(DarlTilgStart,16))),0,MIN(MAX(0,$K7236-$L7236),$J7236)))</f>
      </c>
      <c r="N7236" s="43">
        <f>IF($I7236=0,0,MIN(SUMIFS(SondBetrag,SondDarl,16,SondDatum,"&gt;="&amp;$E7236,SondDatum,"&lt;="&amp;EOMONTH($E7236,0)),$J7236-$M7236))</f>
      </c>
      <c r="O7236" s="43">
        <f>IF($I7236=0,0,INDEX(DarlErsatzRate,16))</f>
      </c>
      <c r="P7236" s="43">
        <f>IF($I7236=0,0,$Q7235*INDEX(DarlErsatzZins,16))</f>
      </c>
      <c r="Q7236" s="43">
        <f>IF($I7236=0,0,$Q7235+$P7236+$O7236)</f>
      </c>
      <c r="R7236" s="43">
        <f>IF($I7236=0,0,$J7236-$M7236-$N7236)</f>
      </c>
    </row>
    <row r="7237">
      <c r="A7237"/>
      <c r="B7237">
        <v>16</v>
      </c>
      <c r="C7237" s="43">
        <f>INDEX(DarlObj,16)</f>
      </c>
      <c r="D7237">
        <v>34</v>
      </c>
      <c r="E7237" s="51">
        <f>IF(INDEX(DarlBelegt,16)=0,0,EOMONTH(INDEX(DarlAuszahlung,16),33)+1)</f>
      </c>
      <c r="F7237" s="43">
        <f>IF($E7237=0,0,YEAR($E7237))</f>
      </c>
      <c r="G7237" s="43">
        <f>IF(INDEX(DarlBindung,16)="",1,IF($E7237&lt;=INDEX(DarlBindung,16),1,0))</f>
      </c>
      <c r="H7237" s="43">
        <f>IF($G7237=1,INDEX(DarlSollzins,16),INDEX(DarlAnschluss,16))</f>
      </c>
      <c r="I7237" s="43">
        <f>IF(INDEX(DarlBelegt,16)=0,0,IF(INDEX(DarlOhneTilgung,16)=1,IF(INDEX(DarlBindung,16)="",1,$G7237),IF($J7237&gt;0.005,1,0)))</f>
      </c>
      <c r="J7237" s="43">
        <f>IF($I7236=0,0,$R7236)</f>
      </c>
      <c r="K7237" s="43">
        <f>IF($I7237=0,0,IF(INDEX(DarlOhneTilgung,16)=1,0,IF(AND(INDEX(DarlTilgStart,16)&gt;0,$E7237=INDEX(DarlTilgStart,16)),$J7237*($H7237+INDEX(DarlTilgung,16))/100/12,IF(AND($G7237=0,$G7236=1),MAX($K7236,$J7237*($H7237+1)/100/12),$K7236))))</f>
      </c>
      <c r="L7237" s="43">
        <f>IF($I7237=0,0,$J7237*$H7237/100/12)</f>
      </c>
      <c r="M7237" s="43">
        <f>IF($I7237=0,0,IF(OR(INDEX(DarlOhneTilgung,16)=1,AND(INDEX(DarlTilgStart,16)&gt;0,$E7237&lt;INDEX(DarlTilgStart,16))),0,MIN(MAX(0,$K7237-$L7237),$J7237)))</f>
      </c>
      <c r="N7237" s="43">
        <f>IF($I7237=0,0,MIN(SUMIFS(SondBetrag,SondDarl,16,SondDatum,"&gt;="&amp;$E7237,SondDatum,"&lt;="&amp;EOMONTH($E7237,0)),$J7237-$M7237))</f>
      </c>
      <c r="O7237" s="43">
        <f>IF($I7237=0,0,INDEX(DarlErsatzRate,16))</f>
      </c>
      <c r="P7237" s="43">
        <f>IF($I7237=0,0,$Q7236*INDEX(DarlErsatzZins,16))</f>
      </c>
      <c r="Q7237" s="43">
        <f>IF($I7237=0,0,$Q7236+$P7237+$O7237)</f>
      </c>
      <c r="R7237" s="43">
        <f>IF($I7237=0,0,$J7237-$M7237-$N7237)</f>
      </c>
    </row>
    <row r="7238">
      <c r="A7238"/>
      <c r="B7238">
        <v>16</v>
      </c>
      <c r="C7238" s="43">
        <f>INDEX(DarlObj,16)</f>
      </c>
      <c r="D7238">
        <v>35</v>
      </c>
      <c r="E7238" s="51">
        <f>IF(INDEX(DarlBelegt,16)=0,0,EOMONTH(INDEX(DarlAuszahlung,16),34)+1)</f>
      </c>
      <c r="F7238" s="43">
        <f>IF($E7238=0,0,YEAR($E7238))</f>
      </c>
      <c r="G7238" s="43">
        <f>IF(INDEX(DarlBindung,16)="",1,IF($E7238&lt;=INDEX(DarlBindung,16),1,0))</f>
      </c>
      <c r="H7238" s="43">
        <f>IF($G7238=1,INDEX(DarlSollzins,16),INDEX(DarlAnschluss,16))</f>
      </c>
      <c r="I7238" s="43">
        <f>IF(INDEX(DarlBelegt,16)=0,0,IF(INDEX(DarlOhneTilgung,16)=1,IF(INDEX(DarlBindung,16)="",1,$G7238),IF($J7238&gt;0.005,1,0)))</f>
      </c>
      <c r="J7238" s="43">
        <f>IF($I7237=0,0,$R7237)</f>
      </c>
      <c r="K7238" s="43">
        <f>IF($I7238=0,0,IF(INDEX(DarlOhneTilgung,16)=1,0,IF(AND(INDEX(DarlTilgStart,16)&gt;0,$E7238=INDEX(DarlTilgStart,16)),$J7238*($H7238+INDEX(DarlTilgung,16))/100/12,IF(AND($G7238=0,$G7237=1),MAX($K7237,$J7238*($H7238+1)/100/12),$K7237))))</f>
      </c>
      <c r="L7238" s="43">
        <f>IF($I7238=0,0,$J7238*$H7238/100/12)</f>
      </c>
      <c r="M7238" s="43">
        <f>IF($I7238=0,0,IF(OR(INDEX(DarlOhneTilgung,16)=1,AND(INDEX(DarlTilgStart,16)&gt;0,$E7238&lt;INDEX(DarlTilgStart,16))),0,MIN(MAX(0,$K7238-$L7238),$J7238)))</f>
      </c>
      <c r="N7238" s="43">
        <f>IF($I7238=0,0,MIN(SUMIFS(SondBetrag,SondDarl,16,SondDatum,"&gt;="&amp;$E7238,SondDatum,"&lt;="&amp;EOMONTH($E7238,0)),$J7238-$M7238))</f>
      </c>
      <c r="O7238" s="43">
        <f>IF($I7238=0,0,INDEX(DarlErsatzRate,16))</f>
      </c>
      <c r="P7238" s="43">
        <f>IF($I7238=0,0,$Q7237*INDEX(DarlErsatzZins,16))</f>
      </c>
      <c r="Q7238" s="43">
        <f>IF($I7238=0,0,$Q7237+$P7238+$O7238)</f>
      </c>
      <c r="R7238" s="43">
        <f>IF($I7238=0,0,$J7238-$M7238-$N7238)</f>
      </c>
    </row>
    <row r="7239">
      <c r="A7239"/>
      <c r="B7239">
        <v>16</v>
      </c>
      <c r="C7239" s="43">
        <f>INDEX(DarlObj,16)</f>
      </c>
      <c r="D7239">
        <v>36</v>
      </c>
      <c r="E7239" s="51">
        <f>IF(INDEX(DarlBelegt,16)=0,0,EOMONTH(INDEX(DarlAuszahlung,16),35)+1)</f>
      </c>
      <c r="F7239" s="43">
        <f>IF($E7239=0,0,YEAR($E7239))</f>
      </c>
      <c r="G7239" s="43">
        <f>IF(INDEX(DarlBindung,16)="",1,IF($E7239&lt;=INDEX(DarlBindung,16),1,0))</f>
      </c>
      <c r="H7239" s="43">
        <f>IF($G7239=1,INDEX(DarlSollzins,16),INDEX(DarlAnschluss,16))</f>
      </c>
      <c r="I7239" s="43">
        <f>IF(INDEX(DarlBelegt,16)=0,0,IF(INDEX(DarlOhneTilgung,16)=1,IF(INDEX(DarlBindung,16)="",1,$G7239),IF($J7239&gt;0.005,1,0)))</f>
      </c>
      <c r="J7239" s="43">
        <f>IF($I7238=0,0,$R7238)</f>
      </c>
      <c r="K7239" s="43">
        <f>IF($I7239=0,0,IF(INDEX(DarlOhneTilgung,16)=1,0,IF(AND(INDEX(DarlTilgStart,16)&gt;0,$E7239=INDEX(DarlTilgStart,16)),$J7239*($H7239+INDEX(DarlTilgung,16))/100/12,IF(AND($G7239=0,$G7238=1),MAX($K7238,$J7239*($H7239+1)/100/12),$K7238))))</f>
      </c>
      <c r="L7239" s="43">
        <f>IF($I7239=0,0,$J7239*$H7239/100/12)</f>
      </c>
      <c r="M7239" s="43">
        <f>IF($I7239=0,0,IF(OR(INDEX(DarlOhneTilgung,16)=1,AND(INDEX(DarlTilgStart,16)&gt;0,$E7239&lt;INDEX(DarlTilgStart,16))),0,MIN(MAX(0,$K7239-$L7239),$J7239)))</f>
      </c>
      <c r="N7239" s="43">
        <f>IF($I7239=0,0,MIN(SUMIFS(SondBetrag,SondDarl,16,SondDatum,"&gt;="&amp;$E7239,SondDatum,"&lt;="&amp;EOMONTH($E7239,0)),$J7239-$M7239))</f>
      </c>
      <c r="O7239" s="43">
        <f>IF($I7239=0,0,INDEX(DarlErsatzRate,16))</f>
      </c>
      <c r="P7239" s="43">
        <f>IF($I7239=0,0,$Q7238*INDEX(DarlErsatzZins,16))</f>
      </c>
      <c r="Q7239" s="43">
        <f>IF($I7239=0,0,$Q7238+$P7239+$O7239)</f>
      </c>
      <c r="R7239" s="43">
        <f>IF($I7239=0,0,$J7239-$M7239-$N7239)</f>
      </c>
    </row>
    <row r="7240">
      <c r="A7240"/>
      <c r="B7240">
        <v>16</v>
      </c>
      <c r="C7240" s="43">
        <f>INDEX(DarlObj,16)</f>
      </c>
      <c r="D7240">
        <v>37</v>
      </c>
      <c r="E7240" s="51">
        <f>IF(INDEX(DarlBelegt,16)=0,0,EOMONTH(INDEX(DarlAuszahlung,16),36)+1)</f>
      </c>
      <c r="F7240" s="43">
        <f>IF($E7240=0,0,YEAR($E7240))</f>
      </c>
      <c r="G7240" s="43">
        <f>IF(INDEX(DarlBindung,16)="",1,IF($E7240&lt;=INDEX(DarlBindung,16),1,0))</f>
      </c>
      <c r="H7240" s="43">
        <f>IF($G7240=1,INDEX(DarlSollzins,16),INDEX(DarlAnschluss,16))</f>
      </c>
      <c r="I7240" s="43">
        <f>IF(INDEX(DarlBelegt,16)=0,0,IF(INDEX(DarlOhneTilgung,16)=1,IF(INDEX(DarlBindung,16)="",1,$G7240),IF($J7240&gt;0.005,1,0)))</f>
      </c>
      <c r="J7240" s="43">
        <f>IF($I7239=0,0,$R7239)</f>
      </c>
      <c r="K7240" s="43">
        <f>IF($I7240=0,0,IF(INDEX(DarlOhneTilgung,16)=1,0,IF(AND(INDEX(DarlTilgStart,16)&gt;0,$E7240=INDEX(DarlTilgStart,16)),$J7240*($H7240+INDEX(DarlTilgung,16))/100/12,IF(AND($G7240=0,$G7239=1),MAX($K7239,$J7240*($H7240+1)/100/12),$K7239))))</f>
      </c>
      <c r="L7240" s="43">
        <f>IF($I7240=0,0,$J7240*$H7240/100/12)</f>
      </c>
      <c r="M7240" s="43">
        <f>IF($I7240=0,0,IF(OR(INDEX(DarlOhneTilgung,16)=1,AND(INDEX(DarlTilgStart,16)&gt;0,$E7240&lt;INDEX(DarlTilgStart,16))),0,MIN(MAX(0,$K7240-$L7240),$J7240)))</f>
      </c>
      <c r="N7240" s="43">
        <f>IF($I7240=0,0,MIN(SUMIFS(SondBetrag,SondDarl,16,SondDatum,"&gt;="&amp;$E7240,SondDatum,"&lt;="&amp;EOMONTH($E7240,0)),$J7240-$M7240))</f>
      </c>
      <c r="O7240" s="43">
        <f>IF($I7240=0,0,INDEX(DarlErsatzRate,16))</f>
      </c>
      <c r="P7240" s="43">
        <f>IF($I7240=0,0,$Q7239*INDEX(DarlErsatzZins,16))</f>
      </c>
      <c r="Q7240" s="43">
        <f>IF($I7240=0,0,$Q7239+$P7240+$O7240)</f>
      </c>
      <c r="R7240" s="43">
        <f>IF($I7240=0,0,$J7240-$M7240-$N7240)</f>
      </c>
    </row>
    <row r="7241">
      <c r="A7241"/>
      <c r="B7241">
        <v>16</v>
      </c>
      <c r="C7241" s="43">
        <f>INDEX(DarlObj,16)</f>
      </c>
      <c r="D7241">
        <v>38</v>
      </c>
      <c r="E7241" s="51">
        <f>IF(INDEX(DarlBelegt,16)=0,0,EOMONTH(INDEX(DarlAuszahlung,16),37)+1)</f>
      </c>
      <c r="F7241" s="43">
        <f>IF($E7241=0,0,YEAR($E7241))</f>
      </c>
      <c r="G7241" s="43">
        <f>IF(INDEX(DarlBindung,16)="",1,IF($E7241&lt;=INDEX(DarlBindung,16),1,0))</f>
      </c>
      <c r="H7241" s="43">
        <f>IF($G7241=1,INDEX(DarlSollzins,16),INDEX(DarlAnschluss,16))</f>
      </c>
      <c r="I7241" s="43">
        <f>IF(INDEX(DarlBelegt,16)=0,0,IF(INDEX(DarlOhneTilgung,16)=1,IF(INDEX(DarlBindung,16)="",1,$G7241),IF($J7241&gt;0.005,1,0)))</f>
      </c>
      <c r="J7241" s="43">
        <f>IF($I7240=0,0,$R7240)</f>
      </c>
      <c r="K7241" s="43">
        <f>IF($I7241=0,0,IF(INDEX(DarlOhneTilgung,16)=1,0,IF(AND(INDEX(DarlTilgStart,16)&gt;0,$E7241=INDEX(DarlTilgStart,16)),$J7241*($H7241+INDEX(DarlTilgung,16))/100/12,IF(AND($G7241=0,$G7240=1),MAX($K7240,$J7241*($H7241+1)/100/12),$K7240))))</f>
      </c>
      <c r="L7241" s="43">
        <f>IF($I7241=0,0,$J7241*$H7241/100/12)</f>
      </c>
      <c r="M7241" s="43">
        <f>IF($I7241=0,0,IF(OR(INDEX(DarlOhneTilgung,16)=1,AND(INDEX(DarlTilgStart,16)&gt;0,$E7241&lt;INDEX(DarlTilgStart,16))),0,MIN(MAX(0,$K7241-$L7241),$J7241)))</f>
      </c>
      <c r="N7241" s="43">
        <f>IF($I7241=0,0,MIN(SUMIFS(SondBetrag,SondDarl,16,SondDatum,"&gt;="&amp;$E7241,SondDatum,"&lt;="&amp;EOMONTH($E7241,0)),$J7241-$M7241))</f>
      </c>
      <c r="O7241" s="43">
        <f>IF($I7241=0,0,INDEX(DarlErsatzRate,16))</f>
      </c>
      <c r="P7241" s="43">
        <f>IF($I7241=0,0,$Q7240*INDEX(DarlErsatzZins,16))</f>
      </c>
      <c r="Q7241" s="43">
        <f>IF($I7241=0,0,$Q7240+$P7241+$O7241)</f>
      </c>
      <c r="R7241" s="43">
        <f>IF($I7241=0,0,$J7241-$M7241-$N7241)</f>
      </c>
    </row>
    <row r="7242">
      <c r="A7242"/>
      <c r="B7242">
        <v>16</v>
      </c>
      <c r="C7242" s="43">
        <f>INDEX(DarlObj,16)</f>
      </c>
      <c r="D7242">
        <v>39</v>
      </c>
      <c r="E7242" s="51">
        <f>IF(INDEX(DarlBelegt,16)=0,0,EOMONTH(INDEX(DarlAuszahlung,16),38)+1)</f>
      </c>
      <c r="F7242" s="43">
        <f>IF($E7242=0,0,YEAR($E7242))</f>
      </c>
      <c r="G7242" s="43">
        <f>IF(INDEX(DarlBindung,16)="",1,IF($E7242&lt;=INDEX(DarlBindung,16),1,0))</f>
      </c>
      <c r="H7242" s="43">
        <f>IF($G7242=1,INDEX(DarlSollzins,16),INDEX(DarlAnschluss,16))</f>
      </c>
      <c r="I7242" s="43">
        <f>IF(INDEX(DarlBelegt,16)=0,0,IF(INDEX(DarlOhneTilgung,16)=1,IF(INDEX(DarlBindung,16)="",1,$G7242),IF($J7242&gt;0.005,1,0)))</f>
      </c>
      <c r="J7242" s="43">
        <f>IF($I7241=0,0,$R7241)</f>
      </c>
      <c r="K7242" s="43">
        <f>IF($I7242=0,0,IF(INDEX(DarlOhneTilgung,16)=1,0,IF(AND(INDEX(DarlTilgStart,16)&gt;0,$E7242=INDEX(DarlTilgStart,16)),$J7242*($H7242+INDEX(DarlTilgung,16))/100/12,IF(AND($G7242=0,$G7241=1),MAX($K7241,$J7242*($H7242+1)/100/12),$K7241))))</f>
      </c>
      <c r="L7242" s="43">
        <f>IF($I7242=0,0,$J7242*$H7242/100/12)</f>
      </c>
      <c r="M7242" s="43">
        <f>IF($I7242=0,0,IF(OR(INDEX(DarlOhneTilgung,16)=1,AND(INDEX(DarlTilgStart,16)&gt;0,$E7242&lt;INDEX(DarlTilgStart,16))),0,MIN(MAX(0,$K7242-$L7242),$J7242)))</f>
      </c>
      <c r="N7242" s="43">
        <f>IF($I7242=0,0,MIN(SUMIFS(SondBetrag,SondDarl,16,SondDatum,"&gt;="&amp;$E7242,SondDatum,"&lt;="&amp;EOMONTH($E7242,0)),$J7242-$M7242))</f>
      </c>
      <c r="O7242" s="43">
        <f>IF($I7242=0,0,INDEX(DarlErsatzRate,16))</f>
      </c>
      <c r="P7242" s="43">
        <f>IF($I7242=0,0,$Q7241*INDEX(DarlErsatzZins,16))</f>
      </c>
      <c r="Q7242" s="43">
        <f>IF($I7242=0,0,$Q7241+$P7242+$O7242)</f>
      </c>
      <c r="R7242" s="43">
        <f>IF($I7242=0,0,$J7242-$M7242-$N7242)</f>
      </c>
    </row>
    <row r="7243">
      <c r="A7243"/>
      <c r="B7243">
        <v>16</v>
      </c>
      <c r="C7243" s="43">
        <f>INDEX(DarlObj,16)</f>
      </c>
      <c r="D7243">
        <v>40</v>
      </c>
      <c r="E7243" s="51">
        <f>IF(INDEX(DarlBelegt,16)=0,0,EOMONTH(INDEX(DarlAuszahlung,16),39)+1)</f>
      </c>
      <c r="F7243" s="43">
        <f>IF($E7243=0,0,YEAR($E7243))</f>
      </c>
      <c r="G7243" s="43">
        <f>IF(INDEX(DarlBindung,16)="",1,IF($E7243&lt;=INDEX(DarlBindung,16),1,0))</f>
      </c>
      <c r="H7243" s="43">
        <f>IF($G7243=1,INDEX(DarlSollzins,16),INDEX(DarlAnschluss,16))</f>
      </c>
      <c r="I7243" s="43">
        <f>IF(INDEX(DarlBelegt,16)=0,0,IF(INDEX(DarlOhneTilgung,16)=1,IF(INDEX(DarlBindung,16)="",1,$G7243),IF($J7243&gt;0.005,1,0)))</f>
      </c>
      <c r="J7243" s="43">
        <f>IF($I7242=0,0,$R7242)</f>
      </c>
      <c r="K7243" s="43">
        <f>IF($I7243=0,0,IF(INDEX(DarlOhneTilgung,16)=1,0,IF(AND(INDEX(DarlTilgStart,16)&gt;0,$E7243=INDEX(DarlTilgStart,16)),$J7243*($H7243+INDEX(DarlTilgung,16))/100/12,IF(AND($G7243=0,$G7242=1),MAX($K7242,$J7243*($H7243+1)/100/12),$K7242))))</f>
      </c>
      <c r="L7243" s="43">
        <f>IF($I7243=0,0,$J7243*$H7243/100/12)</f>
      </c>
      <c r="M7243" s="43">
        <f>IF($I7243=0,0,IF(OR(INDEX(DarlOhneTilgung,16)=1,AND(INDEX(DarlTilgStart,16)&gt;0,$E7243&lt;INDEX(DarlTilgStart,16))),0,MIN(MAX(0,$K7243-$L7243),$J7243)))</f>
      </c>
      <c r="N7243" s="43">
        <f>IF($I7243=0,0,MIN(SUMIFS(SondBetrag,SondDarl,16,SondDatum,"&gt;="&amp;$E7243,SondDatum,"&lt;="&amp;EOMONTH($E7243,0)),$J7243-$M7243))</f>
      </c>
      <c r="O7243" s="43">
        <f>IF($I7243=0,0,INDEX(DarlErsatzRate,16))</f>
      </c>
      <c r="P7243" s="43">
        <f>IF($I7243=0,0,$Q7242*INDEX(DarlErsatzZins,16))</f>
      </c>
      <c r="Q7243" s="43">
        <f>IF($I7243=0,0,$Q7242+$P7243+$O7243)</f>
      </c>
      <c r="R7243" s="43">
        <f>IF($I7243=0,0,$J7243-$M7243-$N7243)</f>
      </c>
    </row>
    <row r="7244">
      <c r="A7244"/>
      <c r="B7244">
        <v>16</v>
      </c>
      <c r="C7244" s="43">
        <f>INDEX(DarlObj,16)</f>
      </c>
      <c r="D7244">
        <v>41</v>
      </c>
      <c r="E7244" s="51">
        <f>IF(INDEX(DarlBelegt,16)=0,0,EOMONTH(INDEX(DarlAuszahlung,16),40)+1)</f>
      </c>
      <c r="F7244" s="43">
        <f>IF($E7244=0,0,YEAR($E7244))</f>
      </c>
      <c r="G7244" s="43">
        <f>IF(INDEX(DarlBindung,16)="",1,IF($E7244&lt;=INDEX(DarlBindung,16),1,0))</f>
      </c>
      <c r="H7244" s="43">
        <f>IF($G7244=1,INDEX(DarlSollzins,16),INDEX(DarlAnschluss,16))</f>
      </c>
      <c r="I7244" s="43">
        <f>IF(INDEX(DarlBelegt,16)=0,0,IF(INDEX(DarlOhneTilgung,16)=1,IF(INDEX(DarlBindung,16)="",1,$G7244),IF($J7244&gt;0.005,1,0)))</f>
      </c>
      <c r="J7244" s="43">
        <f>IF($I7243=0,0,$R7243)</f>
      </c>
      <c r="K7244" s="43">
        <f>IF($I7244=0,0,IF(INDEX(DarlOhneTilgung,16)=1,0,IF(AND(INDEX(DarlTilgStart,16)&gt;0,$E7244=INDEX(DarlTilgStart,16)),$J7244*($H7244+INDEX(DarlTilgung,16))/100/12,IF(AND($G7244=0,$G7243=1),MAX($K7243,$J7244*($H7244+1)/100/12),$K7243))))</f>
      </c>
      <c r="L7244" s="43">
        <f>IF($I7244=0,0,$J7244*$H7244/100/12)</f>
      </c>
      <c r="M7244" s="43">
        <f>IF($I7244=0,0,IF(OR(INDEX(DarlOhneTilgung,16)=1,AND(INDEX(DarlTilgStart,16)&gt;0,$E7244&lt;INDEX(DarlTilgStart,16))),0,MIN(MAX(0,$K7244-$L7244),$J7244)))</f>
      </c>
      <c r="N7244" s="43">
        <f>IF($I7244=0,0,MIN(SUMIFS(SondBetrag,SondDarl,16,SondDatum,"&gt;="&amp;$E7244,SondDatum,"&lt;="&amp;EOMONTH($E7244,0)),$J7244-$M7244))</f>
      </c>
      <c r="O7244" s="43">
        <f>IF($I7244=0,0,INDEX(DarlErsatzRate,16))</f>
      </c>
      <c r="P7244" s="43">
        <f>IF($I7244=0,0,$Q7243*INDEX(DarlErsatzZins,16))</f>
      </c>
      <c r="Q7244" s="43">
        <f>IF($I7244=0,0,$Q7243+$P7244+$O7244)</f>
      </c>
      <c r="R7244" s="43">
        <f>IF($I7244=0,0,$J7244-$M7244-$N7244)</f>
      </c>
    </row>
    <row r="7245">
      <c r="A7245"/>
      <c r="B7245">
        <v>16</v>
      </c>
      <c r="C7245" s="43">
        <f>INDEX(DarlObj,16)</f>
      </c>
      <c r="D7245">
        <v>42</v>
      </c>
      <c r="E7245" s="51">
        <f>IF(INDEX(DarlBelegt,16)=0,0,EOMONTH(INDEX(DarlAuszahlung,16),41)+1)</f>
      </c>
      <c r="F7245" s="43">
        <f>IF($E7245=0,0,YEAR($E7245))</f>
      </c>
      <c r="G7245" s="43">
        <f>IF(INDEX(DarlBindung,16)="",1,IF($E7245&lt;=INDEX(DarlBindung,16),1,0))</f>
      </c>
      <c r="H7245" s="43">
        <f>IF($G7245=1,INDEX(DarlSollzins,16),INDEX(DarlAnschluss,16))</f>
      </c>
      <c r="I7245" s="43">
        <f>IF(INDEX(DarlBelegt,16)=0,0,IF(INDEX(DarlOhneTilgung,16)=1,IF(INDEX(DarlBindung,16)="",1,$G7245),IF($J7245&gt;0.005,1,0)))</f>
      </c>
      <c r="J7245" s="43">
        <f>IF($I7244=0,0,$R7244)</f>
      </c>
      <c r="K7245" s="43">
        <f>IF($I7245=0,0,IF(INDEX(DarlOhneTilgung,16)=1,0,IF(AND(INDEX(DarlTilgStart,16)&gt;0,$E7245=INDEX(DarlTilgStart,16)),$J7245*($H7245+INDEX(DarlTilgung,16))/100/12,IF(AND($G7245=0,$G7244=1),MAX($K7244,$J7245*($H7245+1)/100/12),$K7244))))</f>
      </c>
      <c r="L7245" s="43">
        <f>IF($I7245=0,0,$J7245*$H7245/100/12)</f>
      </c>
      <c r="M7245" s="43">
        <f>IF($I7245=0,0,IF(OR(INDEX(DarlOhneTilgung,16)=1,AND(INDEX(DarlTilgStart,16)&gt;0,$E7245&lt;INDEX(DarlTilgStart,16))),0,MIN(MAX(0,$K7245-$L7245),$J7245)))</f>
      </c>
      <c r="N7245" s="43">
        <f>IF($I7245=0,0,MIN(SUMIFS(SondBetrag,SondDarl,16,SondDatum,"&gt;="&amp;$E7245,SondDatum,"&lt;="&amp;EOMONTH($E7245,0)),$J7245-$M7245))</f>
      </c>
      <c r="O7245" s="43">
        <f>IF($I7245=0,0,INDEX(DarlErsatzRate,16))</f>
      </c>
      <c r="P7245" s="43">
        <f>IF($I7245=0,0,$Q7244*INDEX(DarlErsatzZins,16))</f>
      </c>
      <c r="Q7245" s="43">
        <f>IF($I7245=0,0,$Q7244+$P7245+$O7245)</f>
      </c>
      <c r="R7245" s="43">
        <f>IF($I7245=0,0,$J7245-$M7245-$N7245)</f>
      </c>
    </row>
    <row r="7246">
      <c r="A7246"/>
      <c r="B7246">
        <v>16</v>
      </c>
      <c r="C7246" s="43">
        <f>INDEX(DarlObj,16)</f>
      </c>
      <c r="D7246">
        <v>43</v>
      </c>
      <c r="E7246" s="51">
        <f>IF(INDEX(DarlBelegt,16)=0,0,EOMONTH(INDEX(DarlAuszahlung,16),42)+1)</f>
      </c>
      <c r="F7246" s="43">
        <f>IF($E7246=0,0,YEAR($E7246))</f>
      </c>
      <c r="G7246" s="43">
        <f>IF(INDEX(DarlBindung,16)="",1,IF($E7246&lt;=INDEX(DarlBindung,16),1,0))</f>
      </c>
      <c r="H7246" s="43">
        <f>IF($G7246=1,INDEX(DarlSollzins,16),INDEX(DarlAnschluss,16))</f>
      </c>
      <c r="I7246" s="43">
        <f>IF(INDEX(DarlBelegt,16)=0,0,IF(INDEX(DarlOhneTilgung,16)=1,IF(INDEX(DarlBindung,16)="",1,$G7246),IF($J7246&gt;0.005,1,0)))</f>
      </c>
      <c r="J7246" s="43">
        <f>IF($I7245=0,0,$R7245)</f>
      </c>
      <c r="K7246" s="43">
        <f>IF($I7246=0,0,IF(INDEX(DarlOhneTilgung,16)=1,0,IF(AND(INDEX(DarlTilgStart,16)&gt;0,$E7246=INDEX(DarlTilgStart,16)),$J7246*($H7246+INDEX(DarlTilgung,16))/100/12,IF(AND($G7246=0,$G7245=1),MAX($K7245,$J7246*($H7246+1)/100/12),$K7245))))</f>
      </c>
      <c r="L7246" s="43">
        <f>IF($I7246=0,0,$J7246*$H7246/100/12)</f>
      </c>
      <c r="M7246" s="43">
        <f>IF($I7246=0,0,IF(OR(INDEX(DarlOhneTilgung,16)=1,AND(INDEX(DarlTilgStart,16)&gt;0,$E7246&lt;INDEX(DarlTilgStart,16))),0,MIN(MAX(0,$K7246-$L7246),$J7246)))</f>
      </c>
      <c r="N7246" s="43">
        <f>IF($I7246=0,0,MIN(SUMIFS(SondBetrag,SondDarl,16,SondDatum,"&gt;="&amp;$E7246,SondDatum,"&lt;="&amp;EOMONTH($E7246,0)),$J7246-$M7246))</f>
      </c>
      <c r="O7246" s="43">
        <f>IF($I7246=0,0,INDEX(DarlErsatzRate,16))</f>
      </c>
      <c r="P7246" s="43">
        <f>IF($I7246=0,0,$Q7245*INDEX(DarlErsatzZins,16))</f>
      </c>
      <c r="Q7246" s="43">
        <f>IF($I7246=0,0,$Q7245+$P7246+$O7246)</f>
      </c>
      <c r="R7246" s="43">
        <f>IF($I7246=0,0,$J7246-$M7246-$N7246)</f>
      </c>
    </row>
    <row r="7247">
      <c r="A7247"/>
      <c r="B7247">
        <v>16</v>
      </c>
      <c r="C7247" s="43">
        <f>INDEX(DarlObj,16)</f>
      </c>
      <c r="D7247">
        <v>44</v>
      </c>
      <c r="E7247" s="51">
        <f>IF(INDEX(DarlBelegt,16)=0,0,EOMONTH(INDEX(DarlAuszahlung,16),43)+1)</f>
      </c>
      <c r="F7247" s="43">
        <f>IF($E7247=0,0,YEAR($E7247))</f>
      </c>
      <c r="G7247" s="43">
        <f>IF(INDEX(DarlBindung,16)="",1,IF($E7247&lt;=INDEX(DarlBindung,16),1,0))</f>
      </c>
      <c r="H7247" s="43">
        <f>IF($G7247=1,INDEX(DarlSollzins,16),INDEX(DarlAnschluss,16))</f>
      </c>
      <c r="I7247" s="43">
        <f>IF(INDEX(DarlBelegt,16)=0,0,IF(INDEX(DarlOhneTilgung,16)=1,IF(INDEX(DarlBindung,16)="",1,$G7247),IF($J7247&gt;0.005,1,0)))</f>
      </c>
      <c r="J7247" s="43">
        <f>IF($I7246=0,0,$R7246)</f>
      </c>
      <c r="K7247" s="43">
        <f>IF($I7247=0,0,IF(INDEX(DarlOhneTilgung,16)=1,0,IF(AND(INDEX(DarlTilgStart,16)&gt;0,$E7247=INDEX(DarlTilgStart,16)),$J7247*($H7247+INDEX(DarlTilgung,16))/100/12,IF(AND($G7247=0,$G7246=1),MAX($K7246,$J7247*($H7247+1)/100/12),$K7246))))</f>
      </c>
      <c r="L7247" s="43">
        <f>IF($I7247=0,0,$J7247*$H7247/100/12)</f>
      </c>
      <c r="M7247" s="43">
        <f>IF($I7247=0,0,IF(OR(INDEX(DarlOhneTilgung,16)=1,AND(INDEX(DarlTilgStart,16)&gt;0,$E7247&lt;INDEX(DarlTilgStart,16))),0,MIN(MAX(0,$K7247-$L7247),$J7247)))</f>
      </c>
      <c r="N7247" s="43">
        <f>IF($I7247=0,0,MIN(SUMIFS(SondBetrag,SondDarl,16,SondDatum,"&gt;="&amp;$E7247,SondDatum,"&lt;="&amp;EOMONTH($E7247,0)),$J7247-$M7247))</f>
      </c>
      <c r="O7247" s="43">
        <f>IF($I7247=0,0,INDEX(DarlErsatzRate,16))</f>
      </c>
      <c r="P7247" s="43">
        <f>IF($I7247=0,0,$Q7246*INDEX(DarlErsatzZins,16))</f>
      </c>
      <c r="Q7247" s="43">
        <f>IF($I7247=0,0,$Q7246+$P7247+$O7247)</f>
      </c>
      <c r="R7247" s="43">
        <f>IF($I7247=0,0,$J7247-$M7247-$N7247)</f>
      </c>
    </row>
    <row r="7248">
      <c r="A7248"/>
      <c r="B7248">
        <v>16</v>
      </c>
      <c r="C7248" s="43">
        <f>INDEX(DarlObj,16)</f>
      </c>
      <c r="D7248">
        <v>45</v>
      </c>
      <c r="E7248" s="51">
        <f>IF(INDEX(DarlBelegt,16)=0,0,EOMONTH(INDEX(DarlAuszahlung,16),44)+1)</f>
      </c>
      <c r="F7248" s="43">
        <f>IF($E7248=0,0,YEAR($E7248))</f>
      </c>
      <c r="G7248" s="43">
        <f>IF(INDEX(DarlBindung,16)="",1,IF($E7248&lt;=INDEX(DarlBindung,16),1,0))</f>
      </c>
      <c r="H7248" s="43">
        <f>IF($G7248=1,INDEX(DarlSollzins,16),INDEX(DarlAnschluss,16))</f>
      </c>
      <c r="I7248" s="43">
        <f>IF(INDEX(DarlBelegt,16)=0,0,IF(INDEX(DarlOhneTilgung,16)=1,IF(INDEX(DarlBindung,16)="",1,$G7248),IF($J7248&gt;0.005,1,0)))</f>
      </c>
      <c r="J7248" s="43">
        <f>IF($I7247=0,0,$R7247)</f>
      </c>
      <c r="K7248" s="43">
        <f>IF($I7248=0,0,IF(INDEX(DarlOhneTilgung,16)=1,0,IF(AND(INDEX(DarlTilgStart,16)&gt;0,$E7248=INDEX(DarlTilgStart,16)),$J7248*($H7248+INDEX(DarlTilgung,16))/100/12,IF(AND($G7248=0,$G7247=1),MAX($K7247,$J7248*($H7248+1)/100/12),$K7247))))</f>
      </c>
      <c r="L7248" s="43">
        <f>IF($I7248=0,0,$J7248*$H7248/100/12)</f>
      </c>
      <c r="M7248" s="43">
        <f>IF($I7248=0,0,IF(OR(INDEX(DarlOhneTilgung,16)=1,AND(INDEX(DarlTilgStart,16)&gt;0,$E7248&lt;INDEX(DarlTilgStart,16))),0,MIN(MAX(0,$K7248-$L7248),$J7248)))</f>
      </c>
      <c r="N7248" s="43">
        <f>IF($I7248=0,0,MIN(SUMIFS(SondBetrag,SondDarl,16,SondDatum,"&gt;="&amp;$E7248,SondDatum,"&lt;="&amp;EOMONTH($E7248,0)),$J7248-$M7248))</f>
      </c>
      <c r="O7248" s="43">
        <f>IF($I7248=0,0,INDEX(DarlErsatzRate,16))</f>
      </c>
      <c r="P7248" s="43">
        <f>IF($I7248=0,0,$Q7247*INDEX(DarlErsatzZins,16))</f>
      </c>
      <c r="Q7248" s="43">
        <f>IF($I7248=0,0,$Q7247+$P7248+$O7248)</f>
      </c>
      <c r="R7248" s="43">
        <f>IF($I7248=0,0,$J7248-$M7248-$N7248)</f>
      </c>
    </row>
    <row r="7249">
      <c r="A7249"/>
      <c r="B7249">
        <v>16</v>
      </c>
      <c r="C7249" s="43">
        <f>INDEX(DarlObj,16)</f>
      </c>
      <c r="D7249">
        <v>46</v>
      </c>
      <c r="E7249" s="51">
        <f>IF(INDEX(DarlBelegt,16)=0,0,EOMONTH(INDEX(DarlAuszahlung,16),45)+1)</f>
      </c>
      <c r="F7249" s="43">
        <f>IF($E7249=0,0,YEAR($E7249))</f>
      </c>
      <c r="G7249" s="43">
        <f>IF(INDEX(DarlBindung,16)="",1,IF($E7249&lt;=INDEX(DarlBindung,16),1,0))</f>
      </c>
      <c r="H7249" s="43">
        <f>IF($G7249=1,INDEX(DarlSollzins,16),INDEX(DarlAnschluss,16))</f>
      </c>
      <c r="I7249" s="43">
        <f>IF(INDEX(DarlBelegt,16)=0,0,IF(INDEX(DarlOhneTilgung,16)=1,IF(INDEX(DarlBindung,16)="",1,$G7249),IF($J7249&gt;0.005,1,0)))</f>
      </c>
      <c r="J7249" s="43">
        <f>IF($I7248=0,0,$R7248)</f>
      </c>
      <c r="K7249" s="43">
        <f>IF($I7249=0,0,IF(INDEX(DarlOhneTilgung,16)=1,0,IF(AND(INDEX(DarlTilgStart,16)&gt;0,$E7249=INDEX(DarlTilgStart,16)),$J7249*($H7249+INDEX(DarlTilgung,16))/100/12,IF(AND($G7249=0,$G7248=1),MAX($K7248,$J7249*($H7249+1)/100/12),$K7248))))</f>
      </c>
      <c r="L7249" s="43">
        <f>IF($I7249=0,0,$J7249*$H7249/100/12)</f>
      </c>
      <c r="M7249" s="43">
        <f>IF($I7249=0,0,IF(OR(INDEX(DarlOhneTilgung,16)=1,AND(INDEX(DarlTilgStart,16)&gt;0,$E7249&lt;INDEX(DarlTilgStart,16))),0,MIN(MAX(0,$K7249-$L7249),$J7249)))</f>
      </c>
      <c r="N7249" s="43">
        <f>IF($I7249=0,0,MIN(SUMIFS(SondBetrag,SondDarl,16,SondDatum,"&gt;="&amp;$E7249,SondDatum,"&lt;="&amp;EOMONTH($E7249,0)),$J7249-$M7249))</f>
      </c>
      <c r="O7249" s="43">
        <f>IF($I7249=0,0,INDEX(DarlErsatzRate,16))</f>
      </c>
      <c r="P7249" s="43">
        <f>IF($I7249=0,0,$Q7248*INDEX(DarlErsatzZins,16))</f>
      </c>
      <c r="Q7249" s="43">
        <f>IF($I7249=0,0,$Q7248+$P7249+$O7249)</f>
      </c>
      <c r="R7249" s="43">
        <f>IF($I7249=0,0,$J7249-$M7249-$N7249)</f>
      </c>
    </row>
    <row r="7250">
      <c r="A7250"/>
      <c r="B7250">
        <v>16</v>
      </c>
      <c r="C7250" s="43">
        <f>INDEX(DarlObj,16)</f>
      </c>
      <c r="D7250">
        <v>47</v>
      </c>
      <c r="E7250" s="51">
        <f>IF(INDEX(DarlBelegt,16)=0,0,EOMONTH(INDEX(DarlAuszahlung,16),46)+1)</f>
      </c>
      <c r="F7250" s="43">
        <f>IF($E7250=0,0,YEAR($E7250))</f>
      </c>
      <c r="G7250" s="43">
        <f>IF(INDEX(DarlBindung,16)="",1,IF($E7250&lt;=INDEX(DarlBindung,16),1,0))</f>
      </c>
      <c r="H7250" s="43">
        <f>IF($G7250=1,INDEX(DarlSollzins,16),INDEX(DarlAnschluss,16))</f>
      </c>
      <c r="I7250" s="43">
        <f>IF(INDEX(DarlBelegt,16)=0,0,IF(INDEX(DarlOhneTilgung,16)=1,IF(INDEX(DarlBindung,16)="",1,$G7250),IF($J7250&gt;0.005,1,0)))</f>
      </c>
      <c r="J7250" s="43">
        <f>IF($I7249=0,0,$R7249)</f>
      </c>
      <c r="K7250" s="43">
        <f>IF($I7250=0,0,IF(INDEX(DarlOhneTilgung,16)=1,0,IF(AND(INDEX(DarlTilgStart,16)&gt;0,$E7250=INDEX(DarlTilgStart,16)),$J7250*($H7250+INDEX(DarlTilgung,16))/100/12,IF(AND($G7250=0,$G7249=1),MAX($K7249,$J7250*($H7250+1)/100/12),$K7249))))</f>
      </c>
      <c r="L7250" s="43">
        <f>IF($I7250=0,0,$J7250*$H7250/100/12)</f>
      </c>
      <c r="M7250" s="43">
        <f>IF($I7250=0,0,IF(OR(INDEX(DarlOhneTilgung,16)=1,AND(INDEX(DarlTilgStart,16)&gt;0,$E7250&lt;INDEX(DarlTilgStart,16))),0,MIN(MAX(0,$K7250-$L7250),$J7250)))</f>
      </c>
      <c r="N7250" s="43">
        <f>IF($I7250=0,0,MIN(SUMIFS(SondBetrag,SondDarl,16,SondDatum,"&gt;="&amp;$E7250,SondDatum,"&lt;="&amp;EOMONTH($E7250,0)),$J7250-$M7250))</f>
      </c>
      <c r="O7250" s="43">
        <f>IF($I7250=0,0,INDEX(DarlErsatzRate,16))</f>
      </c>
      <c r="P7250" s="43">
        <f>IF($I7250=0,0,$Q7249*INDEX(DarlErsatzZins,16))</f>
      </c>
      <c r="Q7250" s="43">
        <f>IF($I7250=0,0,$Q7249+$P7250+$O7250)</f>
      </c>
      <c r="R7250" s="43">
        <f>IF($I7250=0,0,$J7250-$M7250-$N7250)</f>
      </c>
    </row>
    <row r="7251">
      <c r="A7251"/>
      <c r="B7251">
        <v>16</v>
      </c>
      <c r="C7251" s="43">
        <f>INDEX(DarlObj,16)</f>
      </c>
      <c r="D7251">
        <v>48</v>
      </c>
      <c r="E7251" s="51">
        <f>IF(INDEX(DarlBelegt,16)=0,0,EOMONTH(INDEX(DarlAuszahlung,16),47)+1)</f>
      </c>
      <c r="F7251" s="43">
        <f>IF($E7251=0,0,YEAR($E7251))</f>
      </c>
      <c r="G7251" s="43">
        <f>IF(INDEX(DarlBindung,16)="",1,IF($E7251&lt;=INDEX(DarlBindung,16),1,0))</f>
      </c>
      <c r="H7251" s="43">
        <f>IF($G7251=1,INDEX(DarlSollzins,16),INDEX(DarlAnschluss,16))</f>
      </c>
      <c r="I7251" s="43">
        <f>IF(INDEX(DarlBelegt,16)=0,0,IF(INDEX(DarlOhneTilgung,16)=1,IF(INDEX(DarlBindung,16)="",1,$G7251),IF($J7251&gt;0.005,1,0)))</f>
      </c>
      <c r="J7251" s="43">
        <f>IF($I7250=0,0,$R7250)</f>
      </c>
      <c r="K7251" s="43">
        <f>IF($I7251=0,0,IF(INDEX(DarlOhneTilgung,16)=1,0,IF(AND(INDEX(DarlTilgStart,16)&gt;0,$E7251=INDEX(DarlTilgStart,16)),$J7251*($H7251+INDEX(DarlTilgung,16))/100/12,IF(AND($G7251=0,$G7250=1),MAX($K7250,$J7251*($H7251+1)/100/12),$K7250))))</f>
      </c>
      <c r="L7251" s="43">
        <f>IF($I7251=0,0,$J7251*$H7251/100/12)</f>
      </c>
      <c r="M7251" s="43">
        <f>IF($I7251=0,0,IF(OR(INDEX(DarlOhneTilgung,16)=1,AND(INDEX(DarlTilgStart,16)&gt;0,$E7251&lt;INDEX(DarlTilgStart,16))),0,MIN(MAX(0,$K7251-$L7251),$J7251)))</f>
      </c>
      <c r="N7251" s="43">
        <f>IF($I7251=0,0,MIN(SUMIFS(SondBetrag,SondDarl,16,SondDatum,"&gt;="&amp;$E7251,SondDatum,"&lt;="&amp;EOMONTH($E7251,0)),$J7251-$M7251))</f>
      </c>
      <c r="O7251" s="43">
        <f>IF($I7251=0,0,INDEX(DarlErsatzRate,16))</f>
      </c>
      <c r="P7251" s="43">
        <f>IF($I7251=0,0,$Q7250*INDEX(DarlErsatzZins,16))</f>
      </c>
      <c r="Q7251" s="43">
        <f>IF($I7251=0,0,$Q7250+$P7251+$O7251)</f>
      </c>
      <c r="R7251" s="43">
        <f>IF($I7251=0,0,$J7251-$M7251-$N7251)</f>
      </c>
    </row>
    <row r="7252">
      <c r="A7252"/>
      <c r="B7252">
        <v>16</v>
      </c>
      <c r="C7252" s="43">
        <f>INDEX(DarlObj,16)</f>
      </c>
      <c r="D7252">
        <v>49</v>
      </c>
      <c r="E7252" s="51">
        <f>IF(INDEX(DarlBelegt,16)=0,0,EOMONTH(INDEX(DarlAuszahlung,16),48)+1)</f>
      </c>
      <c r="F7252" s="43">
        <f>IF($E7252=0,0,YEAR($E7252))</f>
      </c>
      <c r="G7252" s="43">
        <f>IF(INDEX(DarlBindung,16)="",1,IF($E7252&lt;=INDEX(DarlBindung,16),1,0))</f>
      </c>
      <c r="H7252" s="43">
        <f>IF($G7252=1,INDEX(DarlSollzins,16),INDEX(DarlAnschluss,16))</f>
      </c>
      <c r="I7252" s="43">
        <f>IF(INDEX(DarlBelegt,16)=0,0,IF(INDEX(DarlOhneTilgung,16)=1,IF(INDEX(DarlBindung,16)="",1,$G7252),IF($J7252&gt;0.005,1,0)))</f>
      </c>
      <c r="J7252" s="43">
        <f>IF($I7251=0,0,$R7251)</f>
      </c>
      <c r="K7252" s="43">
        <f>IF($I7252=0,0,IF(INDEX(DarlOhneTilgung,16)=1,0,IF(AND(INDEX(DarlTilgStart,16)&gt;0,$E7252=INDEX(DarlTilgStart,16)),$J7252*($H7252+INDEX(DarlTilgung,16))/100/12,IF(AND($G7252=0,$G7251=1),MAX($K7251,$J7252*($H7252+1)/100/12),$K7251))))</f>
      </c>
      <c r="L7252" s="43">
        <f>IF($I7252=0,0,$J7252*$H7252/100/12)</f>
      </c>
      <c r="M7252" s="43">
        <f>IF($I7252=0,0,IF(OR(INDEX(DarlOhneTilgung,16)=1,AND(INDEX(DarlTilgStart,16)&gt;0,$E7252&lt;INDEX(DarlTilgStart,16))),0,MIN(MAX(0,$K7252-$L7252),$J7252)))</f>
      </c>
      <c r="N7252" s="43">
        <f>IF($I7252=0,0,MIN(SUMIFS(SondBetrag,SondDarl,16,SondDatum,"&gt;="&amp;$E7252,SondDatum,"&lt;="&amp;EOMONTH($E7252,0)),$J7252-$M7252))</f>
      </c>
      <c r="O7252" s="43">
        <f>IF($I7252=0,0,INDEX(DarlErsatzRate,16))</f>
      </c>
      <c r="P7252" s="43">
        <f>IF($I7252=0,0,$Q7251*INDEX(DarlErsatzZins,16))</f>
      </c>
      <c r="Q7252" s="43">
        <f>IF($I7252=0,0,$Q7251+$P7252+$O7252)</f>
      </c>
      <c r="R7252" s="43">
        <f>IF($I7252=0,0,$J7252-$M7252-$N7252)</f>
      </c>
    </row>
    <row r="7253">
      <c r="A7253"/>
      <c r="B7253">
        <v>16</v>
      </c>
      <c r="C7253" s="43">
        <f>INDEX(DarlObj,16)</f>
      </c>
      <c r="D7253">
        <v>50</v>
      </c>
      <c r="E7253" s="51">
        <f>IF(INDEX(DarlBelegt,16)=0,0,EOMONTH(INDEX(DarlAuszahlung,16),49)+1)</f>
      </c>
      <c r="F7253" s="43">
        <f>IF($E7253=0,0,YEAR($E7253))</f>
      </c>
      <c r="G7253" s="43">
        <f>IF(INDEX(DarlBindung,16)="",1,IF($E7253&lt;=INDEX(DarlBindung,16),1,0))</f>
      </c>
      <c r="H7253" s="43">
        <f>IF($G7253=1,INDEX(DarlSollzins,16),INDEX(DarlAnschluss,16))</f>
      </c>
      <c r="I7253" s="43">
        <f>IF(INDEX(DarlBelegt,16)=0,0,IF(INDEX(DarlOhneTilgung,16)=1,IF(INDEX(DarlBindung,16)="",1,$G7253),IF($J7253&gt;0.005,1,0)))</f>
      </c>
      <c r="J7253" s="43">
        <f>IF($I7252=0,0,$R7252)</f>
      </c>
      <c r="K7253" s="43">
        <f>IF($I7253=0,0,IF(INDEX(DarlOhneTilgung,16)=1,0,IF(AND(INDEX(DarlTilgStart,16)&gt;0,$E7253=INDEX(DarlTilgStart,16)),$J7253*($H7253+INDEX(DarlTilgung,16))/100/12,IF(AND($G7253=0,$G7252=1),MAX($K7252,$J7253*($H7253+1)/100/12),$K7252))))</f>
      </c>
      <c r="L7253" s="43">
        <f>IF($I7253=0,0,$J7253*$H7253/100/12)</f>
      </c>
      <c r="M7253" s="43">
        <f>IF($I7253=0,0,IF(OR(INDEX(DarlOhneTilgung,16)=1,AND(INDEX(DarlTilgStart,16)&gt;0,$E7253&lt;INDEX(DarlTilgStart,16))),0,MIN(MAX(0,$K7253-$L7253),$J7253)))</f>
      </c>
      <c r="N7253" s="43">
        <f>IF($I7253=0,0,MIN(SUMIFS(SondBetrag,SondDarl,16,SondDatum,"&gt;="&amp;$E7253,SondDatum,"&lt;="&amp;EOMONTH($E7253,0)),$J7253-$M7253))</f>
      </c>
      <c r="O7253" s="43">
        <f>IF($I7253=0,0,INDEX(DarlErsatzRate,16))</f>
      </c>
      <c r="P7253" s="43">
        <f>IF($I7253=0,0,$Q7252*INDEX(DarlErsatzZins,16))</f>
      </c>
      <c r="Q7253" s="43">
        <f>IF($I7253=0,0,$Q7252+$P7253+$O7253)</f>
      </c>
      <c r="R7253" s="43">
        <f>IF($I7253=0,0,$J7253-$M7253-$N7253)</f>
      </c>
    </row>
    <row r="7254">
      <c r="A7254"/>
      <c r="B7254">
        <v>16</v>
      </c>
      <c r="C7254" s="43">
        <f>INDEX(DarlObj,16)</f>
      </c>
      <c r="D7254">
        <v>51</v>
      </c>
      <c r="E7254" s="51">
        <f>IF(INDEX(DarlBelegt,16)=0,0,EOMONTH(INDEX(DarlAuszahlung,16),50)+1)</f>
      </c>
      <c r="F7254" s="43">
        <f>IF($E7254=0,0,YEAR($E7254))</f>
      </c>
      <c r="G7254" s="43">
        <f>IF(INDEX(DarlBindung,16)="",1,IF($E7254&lt;=INDEX(DarlBindung,16),1,0))</f>
      </c>
      <c r="H7254" s="43">
        <f>IF($G7254=1,INDEX(DarlSollzins,16),INDEX(DarlAnschluss,16))</f>
      </c>
      <c r="I7254" s="43">
        <f>IF(INDEX(DarlBelegt,16)=0,0,IF(INDEX(DarlOhneTilgung,16)=1,IF(INDEX(DarlBindung,16)="",1,$G7254),IF($J7254&gt;0.005,1,0)))</f>
      </c>
      <c r="J7254" s="43">
        <f>IF($I7253=0,0,$R7253)</f>
      </c>
      <c r="K7254" s="43">
        <f>IF($I7254=0,0,IF(INDEX(DarlOhneTilgung,16)=1,0,IF(AND(INDEX(DarlTilgStart,16)&gt;0,$E7254=INDEX(DarlTilgStart,16)),$J7254*($H7254+INDEX(DarlTilgung,16))/100/12,IF(AND($G7254=0,$G7253=1),MAX($K7253,$J7254*($H7254+1)/100/12),$K7253))))</f>
      </c>
      <c r="L7254" s="43">
        <f>IF($I7254=0,0,$J7254*$H7254/100/12)</f>
      </c>
      <c r="M7254" s="43">
        <f>IF($I7254=0,0,IF(OR(INDEX(DarlOhneTilgung,16)=1,AND(INDEX(DarlTilgStart,16)&gt;0,$E7254&lt;INDEX(DarlTilgStart,16))),0,MIN(MAX(0,$K7254-$L7254),$J7254)))</f>
      </c>
      <c r="N7254" s="43">
        <f>IF($I7254=0,0,MIN(SUMIFS(SondBetrag,SondDarl,16,SondDatum,"&gt;="&amp;$E7254,SondDatum,"&lt;="&amp;EOMONTH($E7254,0)),$J7254-$M7254))</f>
      </c>
      <c r="O7254" s="43">
        <f>IF($I7254=0,0,INDEX(DarlErsatzRate,16))</f>
      </c>
      <c r="P7254" s="43">
        <f>IF($I7254=0,0,$Q7253*INDEX(DarlErsatzZins,16))</f>
      </c>
      <c r="Q7254" s="43">
        <f>IF($I7254=0,0,$Q7253+$P7254+$O7254)</f>
      </c>
      <c r="R7254" s="43">
        <f>IF($I7254=0,0,$J7254-$M7254-$N7254)</f>
      </c>
    </row>
    <row r="7255">
      <c r="A7255"/>
      <c r="B7255">
        <v>16</v>
      </c>
      <c r="C7255" s="43">
        <f>INDEX(DarlObj,16)</f>
      </c>
      <c r="D7255">
        <v>52</v>
      </c>
      <c r="E7255" s="51">
        <f>IF(INDEX(DarlBelegt,16)=0,0,EOMONTH(INDEX(DarlAuszahlung,16),51)+1)</f>
      </c>
      <c r="F7255" s="43">
        <f>IF($E7255=0,0,YEAR($E7255))</f>
      </c>
      <c r="G7255" s="43">
        <f>IF(INDEX(DarlBindung,16)="",1,IF($E7255&lt;=INDEX(DarlBindung,16),1,0))</f>
      </c>
      <c r="H7255" s="43">
        <f>IF($G7255=1,INDEX(DarlSollzins,16),INDEX(DarlAnschluss,16))</f>
      </c>
      <c r="I7255" s="43">
        <f>IF(INDEX(DarlBelegt,16)=0,0,IF(INDEX(DarlOhneTilgung,16)=1,IF(INDEX(DarlBindung,16)="",1,$G7255),IF($J7255&gt;0.005,1,0)))</f>
      </c>
      <c r="J7255" s="43">
        <f>IF($I7254=0,0,$R7254)</f>
      </c>
      <c r="K7255" s="43">
        <f>IF($I7255=0,0,IF(INDEX(DarlOhneTilgung,16)=1,0,IF(AND(INDEX(DarlTilgStart,16)&gt;0,$E7255=INDEX(DarlTilgStart,16)),$J7255*($H7255+INDEX(DarlTilgung,16))/100/12,IF(AND($G7255=0,$G7254=1),MAX($K7254,$J7255*($H7255+1)/100/12),$K7254))))</f>
      </c>
      <c r="L7255" s="43">
        <f>IF($I7255=0,0,$J7255*$H7255/100/12)</f>
      </c>
      <c r="M7255" s="43">
        <f>IF($I7255=0,0,IF(OR(INDEX(DarlOhneTilgung,16)=1,AND(INDEX(DarlTilgStart,16)&gt;0,$E7255&lt;INDEX(DarlTilgStart,16))),0,MIN(MAX(0,$K7255-$L7255),$J7255)))</f>
      </c>
      <c r="N7255" s="43">
        <f>IF($I7255=0,0,MIN(SUMIFS(SondBetrag,SondDarl,16,SondDatum,"&gt;="&amp;$E7255,SondDatum,"&lt;="&amp;EOMONTH($E7255,0)),$J7255-$M7255))</f>
      </c>
      <c r="O7255" s="43">
        <f>IF($I7255=0,0,INDEX(DarlErsatzRate,16))</f>
      </c>
      <c r="P7255" s="43">
        <f>IF($I7255=0,0,$Q7254*INDEX(DarlErsatzZins,16))</f>
      </c>
      <c r="Q7255" s="43">
        <f>IF($I7255=0,0,$Q7254+$P7255+$O7255)</f>
      </c>
      <c r="R7255" s="43">
        <f>IF($I7255=0,0,$J7255-$M7255-$N7255)</f>
      </c>
    </row>
    <row r="7256">
      <c r="A7256"/>
      <c r="B7256">
        <v>16</v>
      </c>
      <c r="C7256" s="43">
        <f>INDEX(DarlObj,16)</f>
      </c>
      <c r="D7256">
        <v>53</v>
      </c>
      <c r="E7256" s="51">
        <f>IF(INDEX(DarlBelegt,16)=0,0,EOMONTH(INDEX(DarlAuszahlung,16),52)+1)</f>
      </c>
      <c r="F7256" s="43">
        <f>IF($E7256=0,0,YEAR($E7256))</f>
      </c>
      <c r="G7256" s="43">
        <f>IF(INDEX(DarlBindung,16)="",1,IF($E7256&lt;=INDEX(DarlBindung,16),1,0))</f>
      </c>
      <c r="H7256" s="43">
        <f>IF($G7256=1,INDEX(DarlSollzins,16),INDEX(DarlAnschluss,16))</f>
      </c>
      <c r="I7256" s="43">
        <f>IF(INDEX(DarlBelegt,16)=0,0,IF(INDEX(DarlOhneTilgung,16)=1,IF(INDEX(DarlBindung,16)="",1,$G7256),IF($J7256&gt;0.005,1,0)))</f>
      </c>
      <c r="J7256" s="43">
        <f>IF($I7255=0,0,$R7255)</f>
      </c>
      <c r="K7256" s="43">
        <f>IF($I7256=0,0,IF(INDEX(DarlOhneTilgung,16)=1,0,IF(AND(INDEX(DarlTilgStart,16)&gt;0,$E7256=INDEX(DarlTilgStart,16)),$J7256*($H7256+INDEX(DarlTilgung,16))/100/12,IF(AND($G7256=0,$G7255=1),MAX($K7255,$J7256*($H7256+1)/100/12),$K7255))))</f>
      </c>
      <c r="L7256" s="43">
        <f>IF($I7256=0,0,$J7256*$H7256/100/12)</f>
      </c>
      <c r="M7256" s="43">
        <f>IF($I7256=0,0,IF(OR(INDEX(DarlOhneTilgung,16)=1,AND(INDEX(DarlTilgStart,16)&gt;0,$E7256&lt;INDEX(DarlTilgStart,16))),0,MIN(MAX(0,$K7256-$L7256),$J7256)))</f>
      </c>
      <c r="N7256" s="43">
        <f>IF($I7256=0,0,MIN(SUMIFS(SondBetrag,SondDarl,16,SondDatum,"&gt;="&amp;$E7256,SondDatum,"&lt;="&amp;EOMONTH($E7256,0)),$J7256-$M7256))</f>
      </c>
      <c r="O7256" s="43">
        <f>IF($I7256=0,0,INDEX(DarlErsatzRate,16))</f>
      </c>
      <c r="P7256" s="43">
        <f>IF($I7256=0,0,$Q7255*INDEX(DarlErsatzZins,16))</f>
      </c>
      <c r="Q7256" s="43">
        <f>IF($I7256=0,0,$Q7255+$P7256+$O7256)</f>
      </c>
      <c r="R7256" s="43">
        <f>IF($I7256=0,0,$J7256-$M7256-$N7256)</f>
      </c>
    </row>
    <row r="7257">
      <c r="A7257"/>
      <c r="B7257">
        <v>16</v>
      </c>
      <c r="C7257" s="43">
        <f>INDEX(DarlObj,16)</f>
      </c>
      <c r="D7257">
        <v>54</v>
      </c>
      <c r="E7257" s="51">
        <f>IF(INDEX(DarlBelegt,16)=0,0,EOMONTH(INDEX(DarlAuszahlung,16),53)+1)</f>
      </c>
      <c r="F7257" s="43">
        <f>IF($E7257=0,0,YEAR($E7257))</f>
      </c>
      <c r="G7257" s="43">
        <f>IF(INDEX(DarlBindung,16)="",1,IF($E7257&lt;=INDEX(DarlBindung,16),1,0))</f>
      </c>
      <c r="H7257" s="43">
        <f>IF($G7257=1,INDEX(DarlSollzins,16),INDEX(DarlAnschluss,16))</f>
      </c>
      <c r="I7257" s="43">
        <f>IF(INDEX(DarlBelegt,16)=0,0,IF(INDEX(DarlOhneTilgung,16)=1,IF(INDEX(DarlBindung,16)="",1,$G7257),IF($J7257&gt;0.005,1,0)))</f>
      </c>
      <c r="J7257" s="43">
        <f>IF($I7256=0,0,$R7256)</f>
      </c>
      <c r="K7257" s="43">
        <f>IF($I7257=0,0,IF(INDEX(DarlOhneTilgung,16)=1,0,IF(AND(INDEX(DarlTilgStart,16)&gt;0,$E7257=INDEX(DarlTilgStart,16)),$J7257*($H7257+INDEX(DarlTilgung,16))/100/12,IF(AND($G7257=0,$G7256=1),MAX($K7256,$J7257*($H7257+1)/100/12),$K7256))))</f>
      </c>
      <c r="L7257" s="43">
        <f>IF($I7257=0,0,$J7257*$H7257/100/12)</f>
      </c>
      <c r="M7257" s="43">
        <f>IF($I7257=0,0,IF(OR(INDEX(DarlOhneTilgung,16)=1,AND(INDEX(DarlTilgStart,16)&gt;0,$E7257&lt;INDEX(DarlTilgStart,16))),0,MIN(MAX(0,$K7257-$L7257),$J7257)))</f>
      </c>
      <c r="N7257" s="43">
        <f>IF($I7257=0,0,MIN(SUMIFS(SondBetrag,SondDarl,16,SondDatum,"&gt;="&amp;$E7257,SondDatum,"&lt;="&amp;EOMONTH($E7257,0)),$J7257-$M7257))</f>
      </c>
      <c r="O7257" s="43">
        <f>IF($I7257=0,0,INDEX(DarlErsatzRate,16))</f>
      </c>
      <c r="P7257" s="43">
        <f>IF($I7257=0,0,$Q7256*INDEX(DarlErsatzZins,16))</f>
      </c>
      <c r="Q7257" s="43">
        <f>IF($I7257=0,0,$Q7256+$P7257+$O7257)</f>
      </c>
      <c r="R7257" s="43">
        <f>IF($I7257=0,0,$J7257-$M7257-$N7257)</f>
      </c>
    </row>
    <row r="7258">
      <c r="A7258"/>
      <c r="B7258">
        <v>16</v>
      </c>
      <c r="C7258" s="43">
        <f>INDEX(DarlObj,16)</f>
      </c>
      <c r="D7258">
        <v>55</v>
      </c>
      <c r="E7258" s="51">
        <f>IF(INDEX(DarlBelegt,16)=0,0,EOMONTH(INDEX(DarlAuszahlung,16),54)+1)</f>
      </c>
      <c r="F7258" s="43">
        <f>IF($E7258=0,0,YEAR($E7258))</f>
      </c>
      <c r="G7258" s="43">
        <f>IF(INDEX(DarlBindung,16)="",1,IF($E7258&lt;=INDEX(DarlBindung,16),1,0))</f>
      </c>
      <c r="H7258" s="43">
        <f>IF($G7258=1,INDEX(DarlSollzins,16),INDEX(DarlAnschluss,16))</f>
      </c>
      <c r="I7258" s="43">
        <f>IF(INDEX(DarlBelegt,16)=0,0,IF(INDEX(DarlOhneTilgung,16)=1,IF(INDEX(DarlBindung,16)="",1,$G7258),IF($J7258&gt;0.005,1,0)))</f>
      </c>
      <c r="J7258" s="43">
        <f>IF($I7257=0,0,$R7257)</f>
      </c>
      <c r="K7258" s="43">
        <f>IF($I7258=0,0,IF(INDEX(DarlOhneTilgung,16)=1,0,IF(AND(INDEX(DarlTilgStart,16)&gt;0,$E7258=INDEX(DarlTilgStart,16)),$J7258*($H7258+INDEX(DarlTilgung,16))/100/12,IF(AND($G7258=0,$G7257=1),MAX($K7257,$J7258*($H7258+1)/100/12),$K7257))))</f>
      </c>
      <c r="L7258" s="43">
        <f>IF($I7258=0,0,$J7258*$H7258/100/12)</f>
      </c>
      <c r="M7258" s="43">
        <f>IF($I7258=0,0,IF(OR(INDEX(DarlOhneTilgung,16)=1,AND(INDEX(DarlTilgStart,16)&gt;0,$E7258&lt;INDEX(DarlTilgStart,16))),0,MIN(MAX(0,$K7258-$L7258),$J7258)))</f>
      </c>
      <c r="N7258" s="43">
        <f>IF($I7258=0,0,MIN(SUMIFS(SondBetrag,SondDarl,16,SondDatum,"&gt;="&amp;$E7258,SondDatum,"&lt;="&amp;EOMONTH($E7258,0)),$J7258-$M7258))</f>
      </c>
      <c r="O7258" s="43">
        <f>IF($I7258=0,0,INDEX(DarlErsatzRate,16))</f>
      </c>
      <c r="P7258" s="43">
        <f>IF($I7258=0,0,$Q7257*INDEX(DarlErsatzZins,16))</f>
      </c>
      <c r="Q7258" s="43">
        <f>IF($I7258=0,0,$Q7257+$P7258+$O7258)</f>
      </c>
      <c r="R7258" s="43">
        <f>IF($I7258=0,0,$J7258-$M7258-$N7258)</f>
      </c>
    </row>
    <row r="7259">
      <c r="A7259"/>
      <c r="B7259">
        <v>16</v>
      </c>
      <c r="C7259" s="43">
        <f>INDEX(DarlObj,16)</f>
      </c>
      <c r="D7259">
        <v>56</v>
      </c>
      <c r="E7259" s="51">
        <f>IF(INDEX(DarlBelegt,16)=0,0,EOMONTH(INDEX(DarlAuszahlung,16),55)+1)</f>
      </c>
      <c r="F7259" s="43">
        <f>IF($E7259=0,0,YEAR($E7259))</f>
      </c>
      <c r="G7259" s="43">
        <f>IF(INDEX(DarlBindung,16)="",1,IF($E7259&lt;=INDEX(DarlBindung,16),1,0))</f>
      </c>
      <c r="H7259" s="43">
        <f>IF($G7259=1,INDEX(DarlSollzins,16),INDEX(DarlAnschluss,16))</f>
      </c>
      <c r="I7259" s="43">
        <f>IF(INDEX(DarlBelegt,16)=0,0,IF(INDEX(DarlOhneTilgung,16)=1,IF(INDEX(DarlBindung,16)="",1,$G7259),IF($J7259&gt;0.005,1,0)))</f>
      </c>
      <c r="J7259" s="43">
        <f>IF($I7258=0,0,$R7258)</f>
      </c>
      <c r="K7259" s="43">
        <f>IF($I7259=0,0,IF(INDEX(DarlOhneTilgung,16)=1,0,IF(AND(INDEX(DarlTilgStart,16)&gt;0,$E7259=INDEX(DarlTilgStart,16)),$J7259*($H7259+INDEX(DarlTilgung,16))/100/12,IF(AND($G7259=0,$G7258=1),MAX($K7258,$J7259*($H7259+1)/100/12),$K7258))))</f>
      </c>
      <c r="L7259" s="43">
        <f>IF($I7259=0,0,$J7259*$H7259/100/12)</f>
      </c>
      <c r="M7259" s="43">
        <f>IF($I7259=0,0,IF(OR(INDEX(DarlOhneTilgung,16)=1,AND(INDEX(DarlTilgStart,16)&gt;0,$E7259&lt;INDEX(DarlTilgStart,16))),0,MIN(MAX(0,$K7259-$L7259),$J7259)))</f>
      </c>
      <c r="N7259" s="43">
        <f>IF($I7259=0,0,MIN(SUMIFS(SondBetrag,SondDarl,16,SondDatum,"&gt;="&amp;$E7259,SondDatum,"&lt;="&amp;EOMONTH($E7259,0)),$J7259-$M7259))</f>
      </c>
      <c r="O7259" s="43">
        <f>IF($I7259=0,0,INDEX(DarlErsatzRate,16))</f>
      </c>
      <c r="P7259" s="43">
        <f>IF($I7259=0,0,$Q7258*INDEX(DarlErsatzZins,16))</f>
      </c>
      <c r="Q7259" s="43">
        <f>IF($I7259=0,0,$Q7258+$P7259+$O7259)</f>
      </c>
      <c r="R7259" s="43">
        <f>IF($I7259=0,0,$J7259-$M7259-$N7259)</f>
      </c>
    </row>
    <row r="7260">
      <c r="A7260"/>
      <c r="B7260">
        <v>16</v>
      </c>
      <c r="C7260" s="43">
        <f>INDEX(DarlObj,16)</f>
      </c>
      <c r="D7260">
        <v>57</v>
      </c>
      <c r="E7260" s="51">
        <f>IF(INDEX(DarlBelegt,16)=0,0,EOMONTH(INDEX(DarlAuszahlung,16),56)+1)</f>
      </c>
      <c r="F7260" s="43">
        <f>IF($E7260=0,0,YEAR($E7260))</f>
      </c>
      <c r="G7260" s="43">
        <f>IF(INDEX(DarlBindung,16)="",1,IF($E7260&lt;=INDEX(DarlBindung,16),1,0))</f>
      </c>
      <c r="H7260" s="43">
        <f>IF($G7260=1,INDEX(DarlSollzins,16),INDEX(DarlAnschluss,16))</f>
      </c>
      <c r="I7260" s="43">
        <f>IF(INDEX(DarlBelegt,16)=0,0,IF(INDEX(DarlOhneTilgung,16)=1,IF(INDEX(DarlBindung,16)="",1,$G7260),IF($J7260&gt;0.005,1,0)))</f>
      </c>
      <c r="J7260" s="43">
        <f>IF($I7259=0,0,$R7259)</f>
      </c>
      <c r="K7260" s="43">
        <f>IF($I7260=0,0,IF(INDEX(DarlOhneTilgung,16)=1,0,IF(AND(INDEX(DarlTilgStart,16)&gt;0,$E7260=INDEX(DarlTilgStart,16)),$J7260*($H7260+INDEX(DarlTilgung,16))/100/12,IF(AND($G7260=0,$G7259=1),MAX($K7259,$J7260*($H7260+1)/100/12),$K7259))))</f>
      </c>
      <c r="L7260" s="43">
        <f>IF($I7260=0,0,$J7260*$H7260/100/12)</f>
      </c>
      <c r="M7260" s="43">
        <f>IF($I7260=0,0,IF(OR(INDEX(DarlOhneTilgung,16)=1,AND(INDEX(DarlTilgStart,16)&gt;0,$E7260&lt;INDEX(DarlTilgStart,16))),0,MIN(MAX(0,$K7260-$L7260),$J7260)))</f>
      </c>
      <c r="N7260" s="43">
        <f>IF($I7260=0,0,MIN(SUMIFS(SondBetrag,SondDarl,16,SondDatum,"&gt;="&amp;$E7260,SondDatum,"&lt;="&amp;EOMONTH($E7260,0)),$J7260-$M7260))</f>
      </c>
      <c r="O7260" s="43">
        <f>IF($I7260=0,0,INDEX(DarlErsatzRate,16))</f>
      </c>
      <c r="P7260" s="43">
        <f>IF($I7260=0,0,$Q7259*INDEX(DarlErsatzZins,16))</f>
      </c>
      <c r="Q7260" s="43">
        <f>IF($I7260=0,0,$Q7259+$P7260+$O7260)</f>
      </c>
      <c r="R7260" s="43">
        <f>IF($I7260=0,0,$J7260-$M7260-$N7260)</f>
      </c>
    </row>
    <row r="7261">
      <c r="A7261"/>
      <c r="B7261">
        <v>16</v>
      </c>
      <c r="C7261" s="43">
        <f>INDEX(DarlObj,16)</f>
      </c>
      <c r="D7261">
        <v>58</v>
      </c>
      <c r="E7261" s="51">
        <f>IF(INDEX(DarlBelegt,16)=0,0,EOMONTH(INDEX(DarlAuszahlung,16),57)+1)</f>
      </c>
      <c r="F7261" s="43">
        <f>IF($E7261=0,0,YEAR($E7261))</f>
      </c>
      <c r="G7261" s="43">
        <f>IF(INDEX(DarlBindung,16)="",1,IF($E7261&lt;=INDEX(DarlBindung,16),1,0))</f>
      </c>
      <c r="H7261" s="43">
        <f>IF($G7261=1,INDEX(DarlSollzins,16),INDEX(DarlAnschluss,16))</f>
      </c>
      <c r="I7261" s="43">
        <f>IF(INDEX(DarlBelegt,16)=0,0,IF(INDEX(DarlOhneTilgung,16)=1,IF(INDEX(DarlBindung,16)="",1,$G7261),IF($J7261&gt;0.005,1,0)))</f>
      </c>
      <c r="J7261" s="43">
        <f>IF($I7260=0,0,$R7260)</f>
      </c>
      <c r="K7261" s="43">
        <f>IF($I7261=0,0,IF(INDEX(DarlOhneTilgung,16)=1,0,IF(AND(INDEX(DarlTilgStart,16)&gt;0,$E7261=INDEX(DarlTilgStart,16)),$J7261*($H7261+INDEX(DarlTilgung,16))/100/12,IF(AND($G7261=0,$G7260=1),MAX($K7260,$J7261*($H7261+1)/100/12),$K7260))))</f>
      </c>
      <c r="L7261" s="43">
        <f>IF($I7261=0,0,$J7261*$H7261/100/12)</f>
      </c>
      <c r="M7261" s="43">
        <f>IF($I7261=0,0,IF(OR(INDEX(DarlOhneTilgung,16)=1,AND(INDEX(DarlTilgStart,16)&gt;0,$E7261&lt;INDEX(DarlTilgStart,16))),0,MIN(MAX(0,$K7261-$L7261),$J7261)))</f>
      </c>
      <c r="N7261" s="43">
        <f>IF($I7261=0,0,MIN(SUMIFS(SondBetrag,SondDarl,16,SondDatum,"&gt;="&amp;$E7261,SondDatum,"&lt;="&amp;EOMONTH($E7261,0)),$J7261-$M7261))</f>
      </c>
      <c r="O7261" s="43">
        <f>IF($I7261=0,0,INDEX(DarlErsatzRate,16))</f>
      </c>
      <c r="P7261" s="43">
        <f>IF($I7261=0,0,$Q7260*INDEX(DarlErsatzZins,16))</f>
      </c>
      <c r="Q7261" s="43">
        <f>IF($I7261=0,0,$Q7260+$P7261+$O7261)</f>
      </c>
      <c r="R7261" s="43">
        <f>IF($I7261=0,0,$J7261-$M7261-$N7261)</f>
      </c>
    </row>
    <row r="7262">
      <c r="A7262"/>
      <c r="B7262">
        <v>16</v>
      </c>
      <c r="C7262" s="43">
        <f>INDEX(DarlObj,16)</f>
      </c>
      <c r="D7262">
        <v>59</v>
      </c>
      <c r="E7262" s="51">
        <f>IF(INDEX(DarlBelegt,16)=0,0,EOMONTH(INDEX(DarlAuszahlung,16),58)+1)</f>
      </c>
      <c r="F7262" s="43">
        <f>IF($E7262=0,0,YEAR($E7262))</f>
      </c>
      <c r="G7262" s="43">
        <f>IF(INDEX(DarlBindung,16)="",1,IF($E7262&lt;=INDEX(DarlBindung,16),1,0))</f>
      </c>
      <c r="H7262" s="43">
        <f>IF($G7262=1,INDEX(DarlSollzins,16),INDEX(DarlAnschluss,16))</f>
      </c>
      <c r="I7262" s="43">
        <f>IF(INDEX(DarlBelegt,16)=0,0,IF(INDEX(DarlOhneTilgung,16)=1,IF(INDEX(DarlBindung,16)="",1,$G7262),IF($J7262&gt;0.005,1,0)))</f>
      </c>
      <c r="J7262" s="43">
        <f>IF($I7261=0,0,$R7261)</f>
      </c>
      <c r="K7262" s="43">
        <f>IF($I7262=0,0,IF(INDEX(DarlOhneTilgung,16)=1,0,IF(AND(INDEX(DarlTilgStart,16)&gt;0,$E7262=INDEX(DarlTilgStart,16)),$J7262*($H7262+INDEX(DarlTilgung,16))/100/12,IF(AND($G7262=0,$G7261=1),MAX($K7261,$J7262*($H7262+1)/100/12),$K7261))))</f>
      </c>
      <c r="L7262" s="43">
        <f>IF($I7262=0,0,$J7262*$H7262/100/12)</f>
      </c>
      <c r="M7262" s="43">
        <f>IF($I7262=0,0,IF(OR(INDEX(DarlOhneTilgung,16)=1,AND(INDEX(DarlTilgStart,16)&gt;0,$E7262&lt;INDEX(DarlTilgStart,16))),0,MIN(MAX(0,$K7262-$L7262),$J7262)))</f>
      </c>
      <c r="N7262" s="43">
        <f>IF($I7262=0,0,MIN(SUMIFS(SondBetrag,SondDarl,16,SondDatum,"&gt;="&amp;$E7262,SondDatum,"&lt;="&amp;EOMONTH($E7262,0)),$J7262-$M7262))</f>
      </c>
      <c r="O7262" s="43">
        <f>IF($I7262=0,0,INDEX(DarlErsatzRate,16))</f>
      </c>
      <c r="P7262" s="43">
        <f>IF($I7262=0,0,$Q7261*INDEX(DarlErsatzZins,16))</f>
      </c>
      <c r="Q7262" s="43">
        <f>IF($I7262=0,0,$Q7261+$P7262+$O7262)</f>
      </c>
      <c r="R7262" s="43">
        <f>IF($I7262=0,0,$J7262-$M7262-$N7262)</f>
      </c>
    </row>
    <row r="7263">
      <c r="A7263"/>
      <c r="B7263">
        <v>16</v>
      </c>
      <c r="C7263" s="43">
        <f>INDEX(DarlObj,16)</f>
      </c>
      <c r="D7263">
        <v>60</v>
      </c>
      <c r="E7263" s="51">
        <f>IF(INDEX(DarlBelegt,16)=0,0,EOMONTH(INDEX(DarlAuszahlung,16),59)+1)</f>
      </c>
      <c r="F7263" s="43">
        <f>IF($E7263=0,0,YEAR($E7263))</f>
      </c>
      <c r="G7263" s="43">
        <f>IF(INDEX(DarlBindung,16)="",1,IF($E7263&lt;=INDEX(DarlBindung,16),1,0))</f>
      </c>
      <c r="H7263" s="43">
        <f>IF($G7263=1,INDEX(DarlSollzins,16),INDEX(DarlAnschluss,16))</f>
      </c>
      <c r="I7263" s="43">
        <f>IF(INDEX(DarlBelegt,16)=0,0,IF(INDEX(DarlOhneTilgung,16)=1,IF(INDEX(DarlBindung,16)="",1,$G7263),IF($J7263&gt;0.005,1,0)))</f>
      </c>
      <c r="J7263" s="43">
        <f>IF($I7262=0,0,$R7262)</f>
      </c>
      <c r="K7263" s="43">
        <f>IF($I7263=0,0,IF(INDEX(DarlOhneTilgung,16)=1,0,IF(AND(INDEX(DarlTilgStart,16)&gt;0,$E7263=INDEX(DarlTilgStart,16)),$J7263*($H7263+INDEX(DarlTilgung,16))/100/12,IF(AND($G7263=0,$G7262=1),MAX($K7262,$J7263*($H7263+1)/100/12),$K7262))))</f>
      </c>
      <c r="L7263" s="43">
        <f>IF($I7263=0,0,$J7263*$H7263/100/12)</f>
      </c>
      <c r="M7263" s="43">
        <f>IF($I7263=0,0,IF(OR(INDEX(DarlOhneTilgung,16)=1,AND(INDEX(DarlTilgStart,16)&gt;0,$E7263&lt;INDEX(DarlTilgStart,16))),0,MIN(MAX(0,$K7263-$L7263),$J7263)))</f>
      </c>
      <c r="N7263" s="43">
        <f>IF($I7263=0,0,MIN(SUMIFS(SondBetrag,SondDarl,16,SondDatum,"&gt;="&amp;$E7263,SondDatum,"&lt;="&amp;EOMONTH($E7263,0)),$J7263-$M7263))</f>
      </c>
      <c r="O7263" s="43">
        <f>IF($I7263=0,0,INDEX(DarlErsatzRate,16))</f>
      </c>
      <c r="P7263" s="43">
        <f>IF($I7263=0,0,$Q7262*INDEX(DarlErsatzZins,16))</f>
      </c>
      <c r="Q7263" s="43">
        <f>IF($I7263=0,0,$Q7262+$P7263+$O7263)</f>
      </c>
      <c r="R7263" s="43">
        <f>IF($I7263=0,0,$J7263-$M7263-$N7263)</f>
      </c>
    </row>
    <row r="7264">
      <c r="A7264"/>
      <c r="B7264">
        <v>16</v>
      </c>
      <c r="C7264" s="43">
        <f>INDEX(DarlObj,16)</f>
      </c>
      <c r="D7264">
        <v>61</v>
      </c>
      <c r="E7264" s="51">
        <f>IF(INDEX(DarlBelegt,16)=0,0,EOMONTH(INDEX(DarlAuszahlung,16),60)+1)</f>
      </c>
      <c r="F7264" s="43">
        <f>IF($E7264=0,0,YEAR($E7264))</f>
      </c>
      <c r="G7264" s="43">
        <f>IF(INDEX(DarlBindung,16)="",1,IF($E7264&lt;=INDEX(DarlBindung,16),1,0))</f>
      </c>
      <c r="H7264" s="43">
        <f>IF($G7264=1,INDEX(DarlSollzins,16),INDEX(DarlAnschluss,16))</f>
      </c>
      <c r="I7264" s="43">
        <f>IF(INDEX(DarlBelegt,16)=0,0,IF(INDEX(DarlOhneTilgung,16)=1,IF(INDEX(DarlBindung,16)="",1,$G7264),IF($J7264&gt;0.005,1,0)))</f>
      </c>
      <c r="J7264" s="43">
        <f>IF($I7263=0,0,$R7263)</f>
      </c>
      <c r="K7264" s="43">
        <f>IF($I7264=0,0,IF(INDEX(DarlOhneTilgung,16)=1,0,IF(AND(INDEX(DarlTilgStart,16)&gt;0,$E7264=INDEX(DarlTilgStart,16)),$J7264*($H7264+INDEX(DarlTilgung,16))/100/12,IF(AND($G7264=0,$G7263=1),MAX($K7263,$J7264*($H7264+1)/100/12),$K7263))))</f>
      </c>
      <c r="L7264" s="43">
        <f>IF($I7264=0,0,$J7264*$H7264/100/12)</f>
      </c>
      <c r="M7264" s="43">
        <f>IF($I7264=0,0,IF(OR(INDEX(DarlOhneTilgung,16)=1,AND(INDEX(DarlTilgStart,16)&gt;0,$E7264&lt;INDEX(DarlTilgStart,16))),0,MIN(MAX(0,$K7264-$L7264),$J7264)))</f>
      </c>
      <c r="N7264" s="43">
        <f>IF($I7264=0,0,MIN(SUMIFS(SondBetrag,SondDarl,16,SondDatum,"&gt;="&amp;$E7264,SondDatum,"&lt;="&amp;EOMONTH($E7264,0)),$J7264-$M7264))</f>
      </c>
      <c r="O7264" s="43">
        <f>IF($I7264=0,0,INDEX(DarlErsatzRate,16))</f>
      </c>
      <c r="P7264" s="43">
        <f>IF($I7264=0,0,$Q7263*INDEX(DarlErsatzZins,16))</f>
      </c>
      <c r="Q7264" s="43">
        <f>IF($I7264=0,0,$Q7263+$P7264+$O7264)</f>
      </c>
      <c r="R7264" s="43">
        <f>IF($I7264=0,0,$J7264-$M7264-$N7264)</f>
      </c>
    </row>
    <row r="7265">
      <c r="A7265"/>
      <c r="B7265">
        <v>16</v>
      </c>
      <c r="C7265" s="43">
        <f>INDEX(DarlObj,16)</f>
      </c>
      <c r="D7265">
        <v>62</v>
      </c>
      <c r="E7265" s="51">
        <f>IF(INDEX(DarlBelegt,16)=0,0,EOMONTH(INDEX(DarlAuszahlung,16),61)+1)</f>
      </c>
      <c r="F7265" s="43">
        <f>IF($E7265=0,0,YEAR($E7265))</f>
      </c>
      <c r="G7265" s="43">
        <f>IF(INDEX(DarlBindung,16)="",1,IF($E7265&lt;=INDEX(DarlBindung,16),1,0))</f>
      </c>
      <c r="H7265" s="43">
        <f>IF($G7265=1,INDEX(DarlSollzins,16),INDEX(DarlAnschluss,16))</f>
      </c>
      <c r="I7265" s="43">
        <f>IF(INDEX(DarlBelegt,16)=0,0,IF(INDEX(DarlOhneTilgung,16)=1,IF(INDEX(DarlBindung,16)="",1,$G7265),IF($J7265&gt;0.005,1,0)))</f>
      </c>
      <c r="J7265" s="43">
        <f>IF($I7264=0,0,$R7264)</f>
      </c>
      <c r="K7265" s="43">
        <f>IF($I7265=0,0,IF(INDEX(DarlOhneTilgung,16)=1,0,IF(AND(INDEX(DarlTilgStart,16)&gt;0,$E7265=INDEX(DarlTilgStart,16)),$J7265*($H7265+INDEX(DarlTilgung,16))/100/12,IF(AND($G7265=0,$G7264=1),MAX($K7264,$J7265*($H7265+1)/100/12),$K7264))))</f>
      </c>
      <c r="L7265" s="43">
        <f>IF($I7265=0,0,$J7265*$H7265/100/12)</f>
      </c>
      <c r="M7265" s="43">
        <f>IF($I7265=0,0,IF(OR(INDEX(DarlOhneTilgung,16)=1,AND(INDEX(DarlTilgStart,16)&gt;0,$E7265&lt;INDEX(DarlTilgStart,16))),0,MIN(MAX(0,$K7265-$L7265),$J7265)))</f>
      </c>
      <c r="N7265" s="43">
        <f>IF($I7265=0,0,MIN(SUMIFS(SondBetrag,SondDarl,16,SondDatum,"&gt;="&amp;$E7265,SondDatum,"&lt;="&amp;EOMONTH($E7265,0)),$J7265-$M7265))</f>
      </c>
      <c r="O7265" s="43">
        <f>IF($I7265=0,0,INDEX(DarlErsatzRate,16))</f>
      </c>
      <c r="P7265" s="43">
        <f>IF($I7265=0,0,$Q7264*INDEX(DarlErsatzZins,16))</f>
      </c>
      <c r="Q7265" s="43">
        <f>IF($I7265=0,0,$Q7264+$P7265+$O7265)</f>
      </c>
      <c r="R7265" s="43">
        <f>IF($I7265=0,0,$J7265-$M7265-$N7265)</f>
      </c>
    </row>
    <row r="7266">
      <c r="A7266"/>
      <c r="B7266">
        <v>16</v>
      </c>
      <c r="C7266" s="43">
        <f>INDEX(DarlObj,16)</f>
      </c>
      <c r="D7266">
        <v>63</v>
      </c>
      <c r="E7266" s="51">
        <f>IF(INDEX(DarlBelegt,16)=0,0,EOMONTH(INDEX(DarlAuszahlung,16),62)+1)</f>
      </c>
      <c r="F7266" s="43">
        <f>IF($E7266=0,0,YEAR($E7266))</f>
      </c>
      <c r="G7266" s="43">
        <f>IF(INDEX(DarlBindung,16)="",1,IF($E7266&lt;=INDEX(DarlBindung,16),1,0))</f>
      </c>
      <c r="H7266" s="43">
        <f>IF($G7266=1,INDEX(DarlSollzins,16),INDEX(DarlAnschluss,16))</f>
      </c>
      <c r="I7266" s="43">
        <f>IF(INDEX(DarlBelegt,16)=0,0,IF(INDEX(DarlOhneTilgung,16)=1,IF(INDEX(DarlBindung,16)="",1,$G7266),IF($J7266&gt;0.005,1,0)))</f>
      </c>
      <c r="J7266" s="43">
        <f>IF($I7265=0,0,$R7265)</f>
      </c>
      <c r="K7266" s="43">
        <f>IF($I7266=0,0,IF(INDEX(DarlOhneTilgung,16)=1,0,IF(AND(INDEX(DarlTilgStart,16)&gt;0,$E7266=INDEX(DarlTilgStart,16)),$J7266*($H7266+INDEX(DarlTilgung,16))/100/12,IF(AND($G7266=0,$G7265=1),MAX($K7265,$J7266*($H7266+1)/100/12),$K7265))))</f>
      </c>
      <c r="L7266" s="43">
        <f>IF($I7266=0,0,$J7266*$H7266/100/12)</f>
      </c>
      <c r="M7266" s="43">
        <f>IF($I7266=0,0,IF(OR(INDEX(DarlOhneTilgung,16)=1,AND(INDEX(DarlTilgStart,16)&gt;0,$E7266&lt;INDEX(DarlTilgStart,16))),0,MIN(MAX(0,$K7266-$L7266),$J7266)))</f>
      </c>
      <c r="N7266" s="43">
        <f>IF($I7266=0,0,MIN(SUMIFS(SondBetrag,SondDarl,16,SondDatum,"&gt;="&amp;$E7266,SondDatum,"&lt;="&amp;EOMONTH($E7266,0)),$J7266-$M7266))</f>
      </c>
      <c r="O7266" s="43">
        <f>IF($I7266=0,0,INDEX(DarlErsatzRate,16))</f>
      </c>
      <c r="P7266" s="43">
        <f>IF($I7266=0,0,$Q7265*INDEX(DarlErsatzZins,16))</f>
      </c>
      <c r="Q7266" s="43">
        <f>IF($I7266=0,0,$Q7265+$P7266+$O7266)</f>
      </c>
      <c r="R7266" s="43">
        <f>IF($I7266=0,0,$J7266-$M7266-$N7266)</f>
      </c>
    </row>
    <row r="7267">
      <c r="A7267"/>
      <c r="B7267">
        <v>16</v>
      </c>
      <c r="C7267" s="43">
        <f>INDEX(DarlObj,16)</f>
      </c>
      <c r="D7267">
        <v>64</v>
      </c>
      <c r="E7267" s="51">
        <f>IF(INDEX(DarlBelegt,16)=0,0,EOMONTH(INDEX(DarlAuszahlung,16),63)+1)</f>
      </c>
      <c r="F7267" s="43">
        <f>IF($E7267=0,0,YEAR($E7267))</f>
      </c>
      <c r="G7267" s="43">
        <f>IF(INDEX(DarlBindung,16)="",1,IF($E7267&lt;=INDEX(DarlBindung,16),1,0))</f>
      </c>
      <c r="H7267" s="43">
        <f>IF($G7267=1,INDEX(DarlSollzins,16),INDEX(DarlAnschluss,16))</f>
      </c>
      <c r="I7267" s="43">
        <f>IF(INDEX(DarlBelegt,16)=0,0,IF(INDEX(DarlOhneTilgung,16)=1,IF(INDEX(DarlBindung,16)="",1,$G7267),IF($J7267&gt;0.005,1,0)))</f>
      </c>
      <c r="J7267" s="43">
        <f>IF($I7266=0,0,$R7266)</f>
      </c>
      <c r="K7267" s="43">
        <f>IF($I7267=0,0,IF(INDEX(DarlOhneTilgung,16)=1,0,IF(AND(INDEX(DarlTilgStart,16)&gt;0,$E7267=INDEX(DarlTilgStart,16)),$J7267*($H7267+INDEX(DarlTilgung,16))/100/12,IF(AND($G7267=0,$G7266=1),MAX($K7266,$J7267*($H7267+1)/100/12),$K7266))))</f>
      </c>
      <c r="L7267" s="43">
        <f>IF($I7267=0,0,$J7267*$H7267/100/12)</f>
      </c>
      <c r="M7267" s="43">
        <f>IF($I7267=0,0,IF(OR(INDEX(DarlOhneTilgung,16)=1,AND(INDEX(DarlTilgStart,16)&gt;0,$E7267&lt;INDEX(DarlTilgStart,16))),0,MIN(MAX(0,$K7267-$L7267),$J7267)))</f>
      </c>
      <c r="N7267" s="43">
        <f>IF($I7267=0,0,MIN(SUMIFS(SondBetrag,SondDarl,16,SondDatum,"&gt;="&amp;$E7267,SondDatum,"&lt;="&amp;EOMONTH($E7267,0)),$J7267-$M7267))</f>
      </c>
      <c r="O7267" s="43">
        <f>IF($I7267=0,0,INDEX(DarlErsatzRate,16))</f>
      </c>
      <c r="P7267" s="43">
        <f>IF($I7267=0,0,$Q7266*INDEX(DarlErsatzZins,16))</f>
      </c>
      <c r="Q7267" s="43">
        <f>IF($I7267=0,0,$Q7266+$P7267+$O7267)</f>
      </c>
      <c r="R7267" s="43">
        <f>IF($I7267=0,0,$J7267-$M7267-$N7267)</f>
      </c>
    </row>
    <row r="7268">
      <c r="A7268"/>
      <c r="B7268">
        <v>16</v>
      </c>
      <c r="C7268" s="43">
        <f>INDEX(DarlObj,16)</f>
      </c>
      <c r="D7268">
        <v>65</v>
      </c>
      <c r="E7268" s="51">
        <f>IF(INDEX(DarlBelegt,16)=0,0,EOMONTH(INDEX(DarlAuszahlung,16),64)+1)</f>
      </c>
      <c r="F7268" s="43">
        <f>IF($E7268=0,0,YEAR($E7268))</f>
      </c>
      <c r="G7268" s="43">
        <f>IF(INDEX(DarlBindung,16)="",1,IF($E7268&lt;=INDEX(DarlBindung,16),1,0))</f>
      </c>
      <c r="H7268" s="43">
        <f>IF($G7268=1,INDEX(DarlSollzins,16),INDEX(DarlAnschluss,16))</f>
      </c>
      <c r="I7268" s="43">
        <f>IF(INDEX(DarlBelegt,16)=0,0,IF(INDEX(DarlOhneTilgung,16)=1,IF(INDEX(DarlBindung,16)="",1,$G7268),IF($J7268&gt;0.005,1,0)))</f>
      </c>
      <c r="J7268" s="43">
        <f>IF($I7267=0,0,$R7267)</f>
      </c>
      <c r="K7268" s="43">
        <f>IF($I7268=0,0,IF(INDEX(DarlOhneTilgung,16)=1,0,IF(AND(INDEX(DarlTilgStart,16)&gt;0,$E7268=INDEX(DarlTilgStart,16)),$J7268*($H7268+INDEX(DarlTilgung,16))/100/12,IF(AND($G7268=0,$G7267=1),MAX($K7267,$J7268*($H7268+1)/100/12),$K7267))))</f>
      </c>
      <c r="L7268" s="43">
        <f>IF($I7268=0,0,$J7268*$H7268/100/12)</f>
      </c>
      <c r="M7268" s="43">
        <f>IF($I7268=0,0,IF(OR(INDEX(DarlOhneTilgung,16)=1,AND(INDEX(DarlTilgStart,16)&gt;0,$E7268&lt;INDEX(DarlTilgStart,16))),0,MIN(MAX(0,$K7268-$L7268),$J7268)))</f>
      </c>
      <c r="N7268" s="43">
        <f>IF($I7268=0,0,MIN(SUMIFS(SondBetrag,SondDarl,16,SondDatum,"&gt;="&amp;$E7268,SondDatum,"&lt;="&amp;EOMONTH($E7268,0)),$J7268-$M7268))</f>
      </c>
      <c r="O7268" s="43">
        <f>IF($I7268=0,0,INDEX(DarlErsatzRate,16))</f>
      </c>
      <c r="P7268" s="43">
        <f>IF($I7268=0,0,$Q7267*INDEX(DarlErsatzZins,16))</f>
      </c>
      <c r="Q7268" s="43">
        <f>IF($I7268=0,0,$Q7267+$P7268+$O7268)</f>
      </c>
      <c r="R7268" s="43">
        <f>IF($I7268=0,0,$J7268-$M7268-$N7268)</f>
      </c>
    </row>
    <row r="7269">
      <c r="A7269"/>
      <c r="B7269">
        <v>16</v>
      </c>
      <c r="C7269" s="43">
        <f>INDEX(DarlObj,16)</f>
      </c>
      <c r="D7269">
        <v>66</v>
      </c>
      <c r="E7269" s="51">
        <f>IF(INDEX(DarlBelegt,16)=0,0,EOMONTH(INDEX(DarlAuszahlung,16),65)+1)</f>
      </c>
      <c r="F7269" s="43">
        <f>IF($E7269=0,0,YEAR($E7269))</f>
      </c>
      <c r="G7269" s="43">
        <f>IF(INDEX(DarlBindung,16)="",1,IF($E7269&lt;=INDEX(DarlBindung,16),1,0))</f>
      </c>
      <c r="H7269" s="43">
        <f>IF($G7269=1,INDEX(DarlSollzins,16),INDEX(DarlAnschluss,16))</f>
      </c>
      <c r="I7269" s="43">
        <f>IF(INDEX(DarlBelegt,16)=0,0,IF(INDEX(DarlOhneTilgung,16)=1,IF(INDEX(DarlBindung,16)="",1,$G7269),IF($J7269&gt;0.005,1,0)))</f>
      </c>
      <c r="J7269" s="43">
        <f>IF($I7268=0,0,$R7268)</f>
      </c>
      <c r="K7269" s="43">
        <f>IF($I7269=0,0,IF(INDEX(DarlOhneTilgung,16)=1,0,IF(AND(INDEX(DarlTilgStart,16)&gt;0,$E7269=INDEX(DarlTilgStart,16)),$J7269*($H7269+INDEX(DarlTilgung,16))/100/12,IF(AND($G7269=0,$G7268=1),MAX($K7268,$J7269*($H7269+1)/100/12),$K7268))))</f>
      </c>
      <c r="L7269" s="43">
        <f>IF($I7269=0,0,$J7269*$H7269/100/12)</f>
      </c>
      <c r="M7269" s="43">
        <f>IF($I7269=0,0,IF(OR(INDEX(DarlOhneTilgung,16)=1,AND(INDEX(DarlTilgStart,16)&gt;0,$E7269&lt;INDEX(DarlTilgStart,16))),0,MIN(MAX(0,$K7269-$L7269),$J7269)))</f>
      </c>
      <c r="N7269" s="43">
        <f>IF($I7269=0,0,MIN(SUMIFS(SondBetrag,SondDarl,16,SondDatum,"&gt;="&amp;$E7269,SondDatum,"&lt;="&amp;EOMONTH($E7269,0)),$J7269-$M7269))</f>
      </c>
      <c r="O7269" s="43">
        <f>IF($I7269=0,0,INDEX(DarlErsatzRate,16))</f>
      </c>
      <c r="P7269" s="43">
        <f>IF($I7269=0,0,$Q7268*INDEX(DarlErsatzZins,16))</f>
      </c>
      <c r="Q7269" s="43">
        <f>IF($I7269=0,0,$Q7268+$P7269+$O7269)</f>
      </c>
      <c r="R7269" s="43">
        <f>IF($I7269=0,0,$J7269-$M7269-$N7269)</f>
      </c>
    </row>
    <row r="7270">
      <c r="A7270"/>
      <c r="B7270">
        <v>16</v>
      </c>
      <c r="C7270" s="43">
        <f>INDEX(DarlObj,16)</f>
      </c>
      <c r="D7270">
        <v>67</v>
      </c>
      <c r="E7270" s="51">
        <f>IF(INDEX(DarlBelegt,16)=0,0,EOMONTH(INDEX(DarlAuszahlung,16),66)+1)</f>
      </c>
      <c r="F7270" s="43">
        <f>IF($E7270=0,0,YEAR($E7270))</f>
      </c>
      <c r="G7270" s="43">
        <f>IF(INDEX(DarlBindung,16)="",1,IF($E7270&lt;=INDEX(DarlBindung,16),1,0))</f>
      </c>
      <c r="H7270" s="43">
        <f>IF($G7270=1,INDEX(DarlSollzins,16),INDEX(DarlAnschluss,16))</f>
      </c>
      <c r="I7270" s="43">
        <f>IF(INDEX(DarlBelegt,16)=0,0,IF(INDEX(DarlOhneTilgung,16)=1,IF(INDEX(DarlBindung,16)="",1,$G7270),IF($J7270&gt;0.005,1,0)))</f>
      </c>
      <c r="J7270" s="43">
        <f>IF($I7269=0,0,$R7269)</f>
      </c>
      <c r="K7270" s="43">
        <f>IF($I7270=0,0,IF(INDEX(DarlOhneTilgung,16)=1,0,IF(AND(INDEX(DarlTilgStart,16)&gt;0,$E7270=INDEX(DarlTilgStart,16)),$J7270*($H7270+INDEX(DarlTilgung,16))/100/12,IF(AND($G7270=0,$G7269=1),MAX($K7269,$J7270*($H7270+1)/100/12),$K7269))))</f>
      </c>
      <c r="L7270" s="43">
        <f>IF($I7270=0,0,$J7270*$H7270/100/12)</f>
      </c>
      <c r="M7270" s="43">
        <f>IF($I7270=0,0,IF(OR(INDEX(DarlOhneTilgung,16)=1,AND(INDEX(DarlTilgStart,16)&gt;0,$E7270&lt;INDEX(DarlTilgStart,16))),0,MIN(MAX(0,$K7270-$L7270),$J7270)))</f>
      </c>
      <c r="N7270" s="43">
        <f>IF($I7270=0,0,MIN(SUMIFS(SondBetrag,SondDarl,16,SondDatum,"&gt;="&amp;$E7270,SondDatum,"&lt;="&amp;EOMONTH($E7270,0)),$J7270-$M7270))</f>
      </c>
      <c r="O7270" s="43">
        <f>IF($I7270=0,0,INDEX(DarlErsatzRate,16))</f>
      </c>
      <c r="P7270" s="43">
        <f>IF($I7270=0,0,$Q7269*INDEX(DarlErsatzZins,16))</f>
      </c>
      <c r="Q7270" s="43">
        <f>IF($I7270=0,0,$Q7269+$P7270+$O7270)</f>
      </c>
      <c r="R7270" s="43">
        <f>IF($I7270=0,0,$J7270-$M7270-$N7270)</f>
      </c>
    </row>
    <row r="7271">
      <c r="A7271"/>
      <c r="B7271">
        <v>16</v>
      </c>
      <c r="C7271" s="43">
        <f>INDEX(DarlObj,16)</f>
      </c>
      <c r="D7271">
        <v>68</v>
      </c>
      <c r="E7271" s="51">
        <f>IF(INDEX(DarlBelegt,16)=0,0,EOMONTH(INDEX(DarlAuszahlung,16),67)+1)</f>
      </c>
      <c r="F7271" s="43">
        <f>IF($E7271=0,0,YEAR($E7271))</f>
      </c>
      <c r="G7271" s="43">
        <f>IF(INDEX(DarlBindung,16)="",1,IF($E7271&lt;=INDEX(DarlBindung,16),1,0))</f>
      </c>
      <c r="H7271" s="43">
        <f>IF($G7271=1,INDEX(DarlSollzins,16),INDEX(DarlAnschluss,16))</f>
      </c>
      <c r="I7271" s="43">
        <f>IF(INDEX(DarlBelegt,16)=0,0,IF(INDEX(DarlOhneTilgung,16)=1,IF(INDEX(DarlBindung,16)="",1,$G7271),IF($J7271&gt;0.005,1,0)))</f>
      </c>
      <c r="J7271" s="43">
        <f>IF($I7270=0,0,$R7270)</f>
      </c>
      <c r="K7271" s="43">
        <f>IF($I7271=0,0,IF(INDEX(DarlOhneTilgung,16)=1,0,IF(AND(INDEX(DarlTilgStart,16)&gt;0,$E7271=INDEX(DarlTilgStart,16)),$J7271*($H7271+INDEX(DarlTilgung,16))/100/12,IF(AND($G7271=0,$G7270=1),MAX($K7270,$J7271*($H7271+1)/100/12),$K7270))))</f>
      </c>
      <c r="L7271" s="43">
        <f>IF($I7271=0,0,$J7271*$H7271/100/12)</f>
      </c>
      <c r="M7271" s="43">
        <f>IF($I7271=0,0,IF(OR(INDEX(DarlOhneTilgung,16)=1,AND(INDEX(DarlTilgStart,16)&gt;0,$E7271&lt;INDEX(DarlTilgStart,16))),0,MIN(MAX(0,$K7271-$L7271),$J7271)))</f>
      </c>
      <c r="N7271" s="43">
        <f>IF($I7271=0,0,MIN(SUMIFS(SondBetrag,SondDarl,16,SondDatum,"&gt;="&amp;$E7271,SondDatum,"&lt;="&amp;EOMONTH($E7271,0)),$J7271-$M7271))</f>
      </c>
      <c r="O7271" s="43">
        <f>IF($I7271=0,0,INDEX(DarlErsatzRate,16))</f>
      </c>
      <c r="P7271" s="43">
        <f>IF($I7271=0,0,$Q7270*INDEX(DarlErsatzZins,16))</f>
      </c>
      <c r="Q7271" s="43">
        <f>IF($I7271=0,0,$Q7270+$P7271+$O7271)</f>
      </c>
      <c r="R7271" s="43">
        <f>IF($I7271=0,0,$J7271-$M7271-$N7271)</f>
      </c>
    </row>
    <row r="7272">
      <c r="A7272"/>
      <c r="B7272">
        <v>16</v>
      </c>
      <c r="C7272" s="43">
        <f>INDEX(DarlObj,16)</f>
      </c>
      <c r="D7272">
        <v>69</v>
      </c>
      <c r="E7272" s="51">
        <f>IF(INDEX(DarlBelegt,16)=0,0,EOMONTH(INDEX(DarlAuszahlung,16),68)+1)</f>
      </c>
      <c r="F7272" s="43">
        <f>IF($E7272=0,0,YEAR($E7272))</f>
      </c>
      <c r="G7272" s="43">
        <f>IF(INDEX(DarlBindung,16)="",1,IF($E7272&lt;=INDEX(DarlBindung,16),1,0))</f>
      </c>
      <c r="H7272" s="43">
        <f>IF($G7272=1,INDEX(DarlSollzins,16),INDEX(DarlAnschluss,16))</f>
      </c>
      <c r="I7272" s="43">
        <f>IF(INDEX(DarlBelegt,16)=0,0,IF(INDEX(DarlOhneTilgung,16)=1,IF(INDEX(DarlBindung,16)="",1,$G7272),IF($J7272&gt;0.005,1,0)))</f>
      </c>
      <c r="J7272" s="43">
        <f>IF($I7271=0,0,$R7271)</f>
      </c>
      <c r="K7272" s="43">
        <f>IF($I7272=0,0,IF(INDEX(DarlOhneTilgung,16)=1,0,IF(AND(INDEX(DarlTilgStart,16)&gt;0,$E7272=INDEX(DarlTilgStart,16)),$J7272*($H7272+INDEX(DarlTilgung,16))/100/12,IF(AND($G7272=0,$G7271=1),MAX($K7271,$J7272*($H7272+1)/100/12),$K7271))))</f>
      </c>
      <c r="L7272" s="43">
        <f>IF($I7272=0,0,$J7272*$H7272/100/12)</f>
      </c>
      <c r="M7272" s="43">
        <f>IF($I7272=0,0,IF(OR(INDEX(DarlOhneTilgung,16)=1,AND(INDEX(DarlTilgStart,16)&gt;0,$E7272&lt;INDEX(DarlTilgStart,16))),0,MIN(MAX(0,$K7272-$L7272),$J7272)))</f>
      </c>
      <c r="N7272" s="43">
        <f>IF($I7272=0,0,MIN(SUMIFS(SondBetrag,SondDarl,16,SondDatum,"&gt;="&amp;$E7272,SondDatum,"&lt;="&amp;EOMONTH($E7272,0)),$J7272-$M7272))</f>
      </c>
      <c r="O7272" s="43">
        <f>IF($I7272=0,0,INDEX(DarlErsatzRate,16))</f>
      </c>
      <c r="P7272" s="43">
        <f>IF($I7272=0,0,$Q7271*INDEX(DarlErsatzZins,16))</f>
      </c>
      <c r="Q7272" s="43">
        <f>IF($I7272=0,0,$Q7271+$P7272+$O7272)</f>
      </c>
      <c r="R7272" s="43">
        <f>IF($I7272=0,0,$J7272-$M7272-$N7272)</f>
      </c>
    </row>
    <row r="7273">
      <c r="A7273"/>
      <c r="B7273">
        <v>16</v>
      </c>
      <c r="C7273" s="43">
        <f>INDEX(DarlObj,16)</f>
      </c>
      <c r="D7273">
        <v>70</v>
      </c>
      <c r="E7273" s="51">
        <f>IF(INDEX(DarlBelegt,16)=0,0,EOMONTH(INDEX(DarlAuszahlung,16),69)+1)</f>
      </c>
      <c r="F7273" s="43">
        <f>IF($E7273=0,0,YEAR($E7273))</f>
      </c>
      <c r="G7273" s="43">
        <f>IF(INDEX(DarlBindung,16)="",1,IF($E7273&lt;=INDEX(DarlBindung,16),1,0))</f>
      </c>
      <c r="H7273" s="43">
        <f>IF($G7273=1,INDEX(DarlSollzins,16),INDEX(DarlAnschluss,16))</f>
      </c>
      <c r="I7273" s="43">
        <f>IF(INDEX(DarlBelegt,16)=0,0,IF(INDEX(DarlOhneTilgung,16)=1,IF(INDEX(DarlBindung,16)="",1,$G7273),IF($J7273&gt;0.005,1,0)))</f>
      </c>
      <c r="J7273" s="43">
        <f>IF($I7272=0,0,$R7272)</f>
      </c>
      <c r="K7273" s="43">
        <f>IF($I7273=0,0,IF(INDEX(DarlOhneTilgung,16)=1,0,IF(AND(INDEX(DarlTilgStart,16)&gt;0,$E7273=INDEX(DarlTilgStart,16)),$J7273*($H7273+INDEX(DarlTilgung,16))/100/12,IF(AND($G7273=0,$G7272=1),MAX($K7272,$J7273*($H7273+1)/100/12),$K7272))))</f>
      </c>
      <c r="L7273" s="43">
        <f>IF($I7273=0,0,$J7273*$H7273/100/12)</f>
      </c>
      <c r="M7273" s="43">
        <f>IF($I7273=0,0,IF(OR(INDEX(DarlOhneTilgung,16)=1,AND(INDEX(DarlTilgStart,16)&gt;0,$E7273&lt;INDEX(DarlTilgStart,16))),0,MIN(MAX(0,$K7273-$L7273),$J7273)))</f>
      </c>
      <c r="N7273" s="43">
        <f>IF($I7273=0,0,MIN(SUMIFS(SondBetrag,SondDarl,16,SondDatum,"&gt;="&amp;$E7273,SondDatum,"&lt;="&amp;EOMONTH($E7273,0)),$J7273-$M7273))</f>
      </c>
      <c r="O7273" s="43">
        <f>IF($I7273=0,0,INDEX(DarlErsatzRate,16))</f>
      </c>
      <c r="P7273" s="43">
        <f>IF($I7273=0,0,$Q7272*INDEX(DarlErsatzZins,16))</f>
      </c>
      <c r="Q7273" s="43">
        <f>IF($I7273=0,0,$Q7272+$P7273+$O7273)</f>
      </c>
      <c r="R7273" s="43">
        <f>IF($I7273=0,0,$J7273-$M7273-$N7273)</f>
      </c>
    </row>
    <row r="7274">
      <c r="A7274"/>
      <c r="B7274">
        <v>16</v>
      </c>
      <c r="C7274" s="43">
        <f>INDEX(DarlObj,16)</f>
      </c>
      <c r="D7274">
        <v>71</v>
      </c>
      <c r="E7274" s="51">
        <f>IF(INDEX(DarlBelegt,16)=0,0,EOMONTH(INDEX(DarlAuszahlung,16),70)+1)</f>
      </c>
      <c r="F7274" s="43">
        <f>IF($E7274=0,0,YEAR($E7274))</f>
      </c>
      <c r="G7274" s="43">
        <f>IF(INDEX(DarlBindung,16)="",1,IF($E7274&lt;=INDEX(DarlBindung,16),1,0))</f>
      </c>
      <c r="H7274" s="43">
        <f>IF($G7274=1,INDEX(DarlSollzins,16),INDEX(DarlAnschluss,16))</f>
      </c>
      <c r="I7274" s="43">
        <f>IF(INDEX(DarlBelegt,16)=0,0,IF(INDEX(DarlOhneTilgung,16)=1,IF(INDEX(DarlBindung,16)="",1,$G7274),IF($J7274&gt;0.005,1,0)))</f>
      </c>
      <c r="J7274" s="43">
        <f>IF($I7273=0,0,$R7273)</f>
      </c>
      <c r="K7274" s="43">
        <f>IF($I7274=0,0,IF(INDEX(DarlOhneTilgung,16)=1,0,IF(AND(INDEX(DarlTilgStart,16)&gt;0,$E7274=INDEX(DarlTilgStart,16)),$J7274*($H7274+INDEX(DarlTilgung,16))/100/12,IF(AND($G7274=0,$G7273=1),MAX($K7273,$J7274*($H7274+1)/100/12),$K7273))))</f>
      </c>
      <c r="L7274" s="43">
        <f>IF($I7274=0,0,$J7274*$H7274/100/12)</f>
      </c>
      <c r="M7274" s="43">
        <f>IF($I7274=0,0,IF(OR(INDEX(DarlOhneTilgung,16)=1,AND(INDEX(DarlTilgStart,16)&gt;0,$E7274&lt;INDEX(DarlTilgStart,16))),0,MIN(MAX(0,$K7274-$L7274),$J7274)))</f>
      </c>
      <c r="N7274" s="43">
        <f>IF($I7274=0,0,MIN(SUMIFS(SondBetrag,SondDarl,16,SondDatum,"&gt;="&amp;$E7274,SondDatum,"&lt;="&amp;EOMONTH($E7274,0)),$J7274-$M7274))</f>
      </c>
      <c r="O7274" s="43">
        <f>IF($I7274=0,0,INDEX(DarlErsatzRate,16))</f>
      </c>
      <c r="P7274" s="43">
        <f>IF($I7274=0,0,$Q7273*INDEX(DarlErsatzZins,16))</f>
      </c>
      <c r="Q7274" s="43">
        <f>IF($I7274=0,0,$Q7273+$P7274+$O7274)</f>
      </c>
      <c r="R7274" s="43">
        <f>IF($I7274=0,0,$J7274-$M7274-$N7274)</f>
      </c>
    </row>
    <row r="7275">
      <c r="A7275"/>
      <c r="B7275">
        <v>16</v>
      </c>
      <c r="C7275" s="43">
        <f>INDEX(DarlObj,16)</f>
      </c>
      <c r="D7275">
        <v>72</v>
      </c>
      <c r="E7275" s="51">
        <f>IF(INDEX(DarlBelegt,16)=0,0,EOMONTH(INDEX(DarlAuszahlung,16),71)+1)</f>
      </c>
      <c r="F7275" s="43">
        <f>IF($E7275=0,0,YEAR($E7275))</f>
      </c>
      <c r="G7275" s="43">
        <f>IF(INDEX(DarlBindung,16)="",1,IF($E7275&lt;=INDEX(DarlBindung,16),1,0))</f>
      </c>
      <c r="H7275" s="43">
        <f>IF($G7275=1,INDEX(DarlSollzins,16),INDEX(DarlAnschluss,16))</f>
      </c>
      <c r="I7275" s="43">
        <f>IF(INDEX(DarlBelegt,16)=0,0,IF(INDEX(DarlOhneTilgung,16)=1,IF(INDEX(DarlBindung,16)="",1,$G7275),IF($J7275&gt;0.005,1,0)))</f>
      </c>
      <c r="J7275" s="43">
        <f>IF($I7274=0,0,$R7274)</f>
      </c>
      <c r="K7275" s="43">
        <f>IF($I7275=0,0,IF(INDEX(DarlOhneTilgung,16)=1,0,IF(AND(INDEX(DarlTilgStart,16)&gt;0,$E7275=INDEX(DarlTilgStart,16)),$J7275*($H7275+INDEX(DarlTilgung,16))/100/12,IF(AND($G7275=0,$G7274=1),MAX($K7274,$J7275*($H7275+1)/100/12),$K7274))))</f>
      </c>
      <c r="L7275" s="43">
        <f>IF($I7275=0,0,$J7275*$H7275/100/12)</f>
      </c>
      <c r="M7275" s="43">
        <f>IF($I7275=0,0,IF(OR(INDEX(DarlOhneTilgung,16)=1,AND(INDEX(DarlTilgStart,16)&gt;0,$E7275&lt;INDEX(DarlTilgStart,16))),0,MIN(MAX(0,$K7275-$L7275),$J7275)))</f>
      </c>
      <c r="N7275" s="43">
        <f>IF($I7275=0,0,MIN(SUMIFS(SondBetrag,SondDarl,16,SondDatum,"&gt;="&amp;$E7275,SondDatum,"&lt;="&amp;EOMONTH($E7275,0)),$J7275-$M7275))</f>
      </c>
      <c r="O7275" s="43">
        <f>IF($I7275=0,0,INDEX(DarlErsatzRate,16))</f>
      </c>
      <c r="P7275" s="43">
        <f>IF($I7275=0,0,$Q7274*INDEX(DarlErsatzZins,16))</f>
      </c>
      <c r="Q7275" s="43">
        <f>IF($I7275=0,0,$Q7274+$P7275+$O7275)</f>
      </c>
      <c r="R7275" s="43">
        <f>IF($I7275=0,0,$J7275-$M7275-$N7275)</f>
      </c>
    </row>
    <row r="7276">
      <c r="A7276"/>
      <c r="B7276">
        <v>16</v>
      </c>
      <c r="C7276" s="43">
        <f>INDEX(DarlObj,16)</f>
      </c>
      <c r="D7276">
        <v>73</v>
      </c>
      <c r="E7276" s="51">
        <f>IF(INDEX(DarlBelegt,16)=0,0,EOMONTH(INDEX(DarlAuszahlung,16),72)+1)</f>
      </c>
      <c r="F7276" s="43">
        <f>IF($E7276=0,0,YEAR($E7276))</f>
      </c>
      <c r="G7276" s="43">
        <f>IF(INDEX(DarlBindung,16)="",1,IF($E7276&lt;=INDEX(DarlBindung,16),1,0))</f>
      </c>
      <c r="H7276" s="43">
        <f>IF($G7276=1,INDEX(DarlSollzins,16),INDEX(DarlAnschluss,16))</f>
      </c>
      <c r="I7276" s="43">
        <f>IF(INDEX(DarlBelegt,16)=0,0,IF(INDEX(DarlOhneTilgung,16)=1,IF(INDEX(DarlBindung,16)="",1,$G7276),IF($J7276&gt;0.005,1,0)))</f>
      </c>
      <c r="J7276" s="43">
        <f>IF($I7275=0,0,$R7275)</f>
      </c>
      <c r="K7276" s="43">
        <f>IF($I7276=0,0,IF(INDEX(DarlOhneTilgung,16)=1,0,IF(AND(INDEX(DarlTilgStart,16)&gt;0,$E7276=INDEX(DarlTilgStart,16)),$J7276*($H7276+INDEX(DarlTilgung,16))/100/12,IF(AND($G7276=0,$G7275=1),MAX($K7275,$J7276*($H7276+1)/100/12),$K7275))))</f>
      </c>
      <c r="L7276" s="43">
        <f>IF($I7276=0,0,$J7276*$H7276/100/12)</f>
      </c>
      <c r="M7276" s="43">
        <f>IF($I7276=0,0,IF(OR(INDEX(DarlOhneTilgung,16)=1,AND(INDEX(DarlTilgStart,16)&gt;0,$E7276&lt;INDEX(DarlTilgStart,16))),0,MIN(MAX(0,$K7276-$L7276),$J7276)))</f>
      </c>
      <c r="N7276" s="43">
        <f>IF($I7276=0,0,MIN(SUMIFS(SondBetrag,SondDarl,16,SondDatum,"&gt;="&amp;$E7276,SondDatum,"&lt;="&amp;EOMONTH($E7276,0)),$J7276-$M7276))</f>
      </c>
      <c r="O7276" s="43">
        <f>IF($I7276=0,0,INDEX(DarlErsatzRate,16))</f>
      </c>
      <c r="P7276" s="43">
        <f>IF($I7276=0,0,$Q7275*INDEX(DarlErsatzZins,16))</f>
      </c>
      <c r="Q7276" s="43">
        <f>IF($I7276=0,0,$Q7275+$P7276+$O7276)</f>
      </c>
      <c r="R7276" s="43">
        <f>IF($I7276=0,0,$J7276-$M7276-$N7276)</f>
      </c>
    </row>
    <row r="7277">
      <c r="A7277"/>
      <c r="B7277">
        <v>16</v>
      </c>
      <c r="C7277" s="43">
        <f>INDEX(DarlObj,16)</f>
      </c>
      <c r="D7277">
        <v>74</v>
      </c>
      <c r="E7277" s="51">
        <f>IF(INDEX(DarlBelegt,16)=0,0,EOMONTH(INDEX(DarlAuszahlung,16),73)+1)</f>
      </c>
      <c r="F7277" s="43">
        <f>IF($E7277=0,0,YEAR($E7277))</f>
      </c>
      <c r="G7277" s="43">
        <f>IF(INDEX(DarlBindung,16)="",1,IF($E7277&lt;=INDEX(DarlBindung,16),1,0))</f>
      </c>
      <c r="H7277" s="43">
        <f>IF($G7277=1,INDEX(DarlSollzins,16),INDEX(DarlAnschluss,16))</f>
      </c>
      <c r="I7277" s="43">
        <f>IF(INDEX(DarlBelegt,16)=0,0,IF(INDEX(DarlOhneTilgung,16)=1,IF(INDEX(DarlBindung,16)="",1,$G7277),IF($J7277&gt;0.005,1,0)))</f>
      </c>
      <c r="J7277" s="43">
        <f>IF($I7276=0,0,$R7276)</f>
      </c>
      <c r="K7277" s="43">
        <f>IF($I7277=0,0,IF(INDEX(DarlOhneTilgung,16)=1,0,IF(AND(INDEX(DarlTilgStart,16)&gt;0,$E7277=INDEX(DarlTilgStart,16)),$J7277*($H7277+INDEX(DarlTilgung,16))/100/12,IF(AND($G7277=0,$G7276=1),MAX($K7276,$J7277*($H7277+1)/100/12),$K7276))))</f>
      </c>
      <c r="L7277" s="43">
        <f>IF($I7277=0,0,$J7277*$H7277/100/12)</f>
      </c>
      <c r="M7277" s="43">
        <f>IF($I7277=0,0,IF(OR(INDEX(DarlOhneTilgung,16)=1,AND(INDEX(DarlTilgStart,16)&gt;0,$E7277&lt;INDEX(DarlTilgStart,16))),0,MIN(MAX(0,$K7277-$L7277),$J7277)))</f>
      </c>
      <c r="N7277" s="43">
        <f>IF($I7277=0,0,MIN(SUMIFS(SondBetrag,SondDarl,16,SondDatum,"&gt;="&amp;$E7277,SondDatum,"&lt;="&amp;EOMONTH($E7277,0)),$J7277-$M7277))</f>
      </c>
      <c r="O7277" s="43">
        <f>IF($I7277=0,0,INDEX(DarlErsatzRate,16))</f>
      </c>
      <c r="P7277" s="43">
        <f>IF($I7277=0,0,$Q7276*INDEX(DarlErsatzZins,16))</f>
      </c>
      <c r="Q7277" s="43">
        <f>IF($I7277=0,0,$Q7276+$P7277+$O7277)</f>
      </c>
      <c r="R7277" s="43">
        <f>IF($I7277=0,0,$J7277-$M7277-$N7277)</f>
      </c>
    </row>
    <row r="7278">
      <c r="A7278"/>
      <c r="B7278">
        <v>16</v>
      </c>
      <c r="C7278" s="43">
        <f>INDEX(DarlObj,16)</f>
      </c>
      <c r="D7278">
        <v>75</v>
      </c>
      <c r="E7278" s="51">
        <f>IF(INDEX(DarlBelegt,16)=0,0,EOMONTH(INDEX(DarlAuszahlung,16),74)+1)</f>
      </c>
      <c r="F7278" s="43">
        <f>IF($E7278=0,0,YEAR($E7278))</f>
      </c>
      <c r="G7278" s="43">
        <f>IF(INDEX(DarlBindung,16)="",1,IF($E7278&lt;=INDEX(DarlBindung,16),1,0))</f>
      </c>
      <c r="H7278" s="43">
        <f>IF($G7278=1,INDEX(DarlSollzins,16),INDEX(DarlAnschluss,16))</f>
      </c>
      <c r="I7278" s="43">
        <f>IF(INDEX(DarlBelegt,16)=0,0,IF(INDEX(DarlOhneTilgung,16)=1,IF(INDEX(DarlBindung,16)="",1,$G7278),IF($J7278&gt;0.005,1,0)))</f>
      </c>
      <c r="J7278" s="43">
        <f>IF($I7277=0,0,$R7277)</f>
      </c>
      <c r="K7278" s="43">
        <f>IF($I7278=0,0,IF(INDEX(DarlOhneTilgung,16)=1,0,IF(AND(INDEX(DarlTilgStart,16)&gt;0,$E7278=INDEX(DarlTilgStart,16)),$J7278*($H7278+INDEX(DarlTilgung,16))/100/12,IF(AND($G7278=0,$G7277=1),MAX($K7277,$J7278*($H7278+1)/100/12),$K7277))))</f>
      </c>
      <c r="L7278" s="43">
        <f>IF($I7278=0,0,$J7278*$H7278/100/12)</f>
      </c>
      <c r="M7278" s="43">
        <f>IF($I7278=0,0,IF(OR(INDEX(DarlOhneTilgung,16)=1,AND(INDEX(DarlTilgStart,16)&gt;0,$E7278&lt;INDEX(DarlTilgStart,16))),0,MIN(MAX(0,$K7278-$L7278),$J7278)))</f>
      </c>
      <c r="N7278" s="43">
        <f>IF($I7278=0,0,MIN(SUMIFS(SondBetrag,SondDarl,16,SondDatum,"&gt;="&amp;$E7278,SondDatum,"&lt;="&amp;EOMONTH($E7278,0)),$J7278-$M7278))</f>
      </c>
      <c r="O7278" s="43">
        <f>IF($I7278=0,0,INDEX(DarlErsatzRate,16))</f>
      </c>
      <c r="P7278" s="43">
        <f>IF($I7278=0,0,$Q7277*INDEX(DarlErsatzZins,16))</f>
      </c>
      <c r="Q7278" s="43">
        <f>IF($I7278=0,0,$Q7277+$P7278+$O7278)</f>
      </c>
      <c r="R7278" s="43">
        <f>IF($I7278=0,0,$J7278-$M7278-$N7278)</f>
      </c>
    </row>
    <row r="7279">
      <c r="A7279"/>
      <c r="B7279">
        <v>16</v>
      </c>
      <c r="C7279" s="43">
        <f>INDEX(DarlObj,16)</f>
      </c>
      <c r="D7279">
        <v>76</v>
      </c>
      <c r="E7279" s="51">
        <f>IF(INDEX(DarlBelegt,16)=0,0,EOMONTH(INDEX(DarlAuszahlung,16),75)+1)</f>
      </c>
      <c r="F7279" s="43">
        <f>IF($E7279=0,0,YEAR($E7279))</f>
      </c>
      <c r="G7279" s="43">
        <f>IF(INDEX(DarlBindung,16)="",1,IF($E7279&lt;=INDEX(DarlBindung,16),1,0))</f>
      </c>
      <c r="H7279" s="43">
        <f>IF($G7279=1,INDEX(DarlSollzins,16),INDEX(DarlAnschluss,16))</f>
      </c>
      <c r="I7279" s="43">
        <f>IF(INDEX(DarlBelegt,16)=0,0,IF(INDEX(DarlOhneTilgung,16)=1,IF(INDEX(DarlBindung,16)="",1,$G7279),IF($J7279&gt;0.005,1,0)))</f>
      </c>
      <c r="J7279" s="43">
        <f>IF($I7278=0,0,$R7278)</f>
      </c>
      <c r="K7279" s="43">
        <f>IF($I7279=0,0,IF(INDEX(DarlOhneTilgung,16)=1,0,IF(AND(INDEX(DarlTilgStart,16)&gt;0,$E7279=INDEX(DarlTilgStart,16)),$J7279*($H7279+INDEX(DarlTilgung,16))/100/12,IF(AND($G7279=0,$G7278=1),MAX($K7278,$J7279*($H7279+1)/100/12),$K7278))))</f>
      </c>
      <c r="L7279" s="43">
        <f>IF($I7279=0,0,$J7279*$H7279/100/12)</f>
      </c>
      <c r="M7279" s="43">
        <f>IF($I7279=0,0,IF(OR(INDEX(DarlOhneTilgung,16)=1,AND(INDEX(DarlTilgStart,16)&gt;0,$E7279&lt;INDEX(DarlTilgStart,16))),0,MIN(MAX(0,$K7279-$L7279),$J7279)))</f>
      </c>
      <c r="N7279" s="43">
        <f>IF($I7279=0,0,MIN(SUMIFS(SondBetrag,SondDarl,16,SondDatum,"&gt;="&amp;$E7279,SondDatum,"&lt;="&amp;EOMONTH($E7279,0)),$J7279-$M7279))</f>
      </c>
      <c r="O7279" s="43">
        <f>IF($I7279=0,0,INDEX(DarlErsatzRate,16))</f>
      </c>
      <c r="P7279" s="43">
        <f>IF($I7279=0,0,$Q7278*INDEX(DarlErsatzZins,16))</f>
      </c>
      <c r="Q7279" s="43">
        <f>IF($I7279=0,0,$Q7278+$P7279+$O7279)</f>
      </c>
      <c r="R7279" s="43">
        <f>IF($I7279=0,0,$J7279-$M7279-$N7279)</f>
      </c>
    </row>
    <row r="7280">
      <c r="A7280"/>
      <c r="B7280">
        <v>16</v>
      </c>
      <c r="C7280" s="43">
        <f>INDEX(DarlObj,16)</f>
      </c>
      <c r="D7280">
        <v>77</v>
      </c>
      <c r="E7280" s="51">
        <f>IF(INDEX(DarlBelegt,16)=0,0,EOMONTH(INDEX(DarlAuszahlung,16),76)+1)</f>
      </c>
      <c r="F7280" s="43">
        <f>IF($E7280=0,0,YEAR($E7280))</f>
      </c>
      <c r="G7280" s="43">
        <f>IF(INDEX(DarlBindung,16)="",1,IF($E7280&lt;=INDEX(DarlBindung,16),1,0))</f>
      </c>
      <c r="H7280" s="43">
        <f>IF($G7280=1,INDEX(DarlSollzins,16),INDEX(DarlAnschluss,16))</f>
      </c>
      <c r="I7280" s="43">
        <f>IF(INDEX(DarlBelegt,16)=0,0,IF(INDEX(DarlOhneTilgung,16)=1,IF(INDEX(DarlBindung,16)="",1,$G7280),IF($J7280&gt;0.005,1,0)))</f>
      </c>
      <c r="J7280" s="43">
        <f>IF($I7279=0,0,$R7279)</f>
      </c>
      <c r="K7280" s="43">
        <f>IF($I7280=0,0,IF(INDEX(DarlOhneTilgung,16)=1,0,IF(AND(INDEX(DarlTilgStart,16)&gt;0,$E7280=INDEX(DarlTilgStart,16)),$J7280*($H7280+INDEX(DarlTilgung,16))/100/12,IF(AND($G7280=0,$G7279=1),MAX($K7279,$J7280*($H7280+1)/100/12),$K7279))))</f>
      </c>
      <c r="L7280" s="43">
        <f>IF($I7280=0,0,$J7280*$H7280/100/12)</f>
      </c>
      <c r="M7280" s="43">
        <f>IF($I7280=0,0,IF(OR(INDEX(DarlOhneTilgung,16)=1,AND(INDEX(DarlTilgStart,16)&gt;0,$E7280&lt;INDEX(DarlTilgStart,16))),0,MIN(MAX(0,$K7280-$L7280),$J7280)))</f>
      </c>
      <c r="N7280" s="43">
        <f>IF($I7280=0,0,MIN(SUMIFS(SondBetrag,SondDarl,16,SondDatum,"&gt;="&amp;$E7280,SondDatum,"&lt;="&amp;EOMONTH($E7280,0)),$J7280-$M7280))</f>
      </c>
      <c r="O7280" s="43">
        <f>IF($I7280=0,0,INDEX(DarlErsatzRate,16))</f>
      </c>
      <c r="P7280" s="43">
        <f>IF($I7280=0,0,$Q7279*INDEX(DarlErsatzZins,16))</f>
      </c>
      <c r="Q7280" s="43">
        <f>IF($I7280=0,0,$Q7279+$P7280+$O7280)</f>
      </c>
      <c r="R7280" s="43">
        <f>IF($I7280=0,0,$J7280-$M7280-$N7280)</f>
      </c>
    </row>
    <row r="7281">
      <c r="A7281"/>
      <c r="B7281">
        <v>16</v>
      </c>
      <c r="C7281" s="43">
        <f>INDEX(DarlObj,16)</f>
      </c>
      <c r="D7281">
        <v>78</v>
      </c>
      <c r="E7281" s="51">
        <f>IF(INDEX(DarlBelegt,16)=0,0,EOMONTH(INDEX(DarlAuszahlung,16),77)+1)</f>
      </c>
      <c r="F7281" s="43">
        <f>IF($E7281=0,0,YEAR($E7281))</f>
      </c>
      <c r="G7281" s="43">
        <f>IF(INDEX(DarlBindung,16)="",1,IF($E7281&lt;=INDEX(DarlBindung,16),1,0))</f>
      </c>
      <c r="H7281" s="43">
        <f>IF($G7281=1,INDEX(DarlSollzins,16),INDEX(DarlAnschluss,16))</f>
      </c>
      <c r="I7281" s="43">
        <f>IF(INDEX(DarlBelegt,16)=0,0,IF(INDEX(DarlOhneTilgung,16)=1,IF(INDEX(DarlBindung,16)="",1,$G7281),IF($J7281&gt;0.005,1,0)))</f>
      </c>
      <c r="J7281" s="43">
        <f>IF($I7280=0,0,$R7280)</f>
      </c>
      <c r="K7281" s="43">
        <f>IF($I7281=0,0,IF(INDEX(DarlOhneTilgung,16)=1,0,IF(AND(INDEX(DarlTilgStart,16)&gt;0,$E7281=INDEX(DarlTilgStart,16)),$J7281*($H7281+INDEX(DarlTilgung,16))/100/12,IF(AND($G7281=0,$G7280=1),MAX($K7280,$J7281*($H7281+1)/100/12),$K7280))))</f>
      </c>
      <c r="L7281" s="43">
        <f>IF($I7281=0,0,$J7281*$H7281/100/12)</f>
      </c>
      <c r="M7281" s="43">
        <f>IF($I7281=0,0,IF(OR(INDEX(DarlOhneTilgung,16)=1,AND(INDEX(DarlTilgStart,16)&gt;0,$E7281&lt;INDEX(DarlTilgStart,16))),0,MIN(MAX(0,$K7281-$L7281),$J7281)))</f>
      </c>
      <c r="N7281" s="43">
        <f>IF($I7281=0,0,MIN(SUMIFS(SondBetrag,SondDarl,16,SondDatum,"&gt;="&amp;$E7281,SondDatum,"&lt;="&amp;EOMONTH($E7281,0)),$J7281-$M7281))</f>
      </c>
      <c r="O7281" s="43">
        <f>IF($I7281=0,0,INDEX(DarlErsatzRate,16))</f>
      </c>
      <c r="P7281" s="43">
        <f>IF($I7281=0,0,$Q7280*INDEX(DarlErsatzZins,16))</f>
      </c>
      <c r="Q7281" s="43">
        <f>IF($I7281=0,0,$Q7280+$P7281+$O7281)</f>
      </c>
      <c r="R7281" s="43">
        <f>IF($I7281=0,0,$J7281-$M7281-$N7281)</f>
      </c>
    </row>
    <row r="7282">
      <c r="A7282"/>
      <c r="B7282">
        <v>16</v>
      </c>
      <c r="C7282" s="43">
        <f>INDEX(DarlObj,16)</f>
      </c>
      <c r="D7282">
        <v>79</v>
      </c>
      <c r="E7282" s="51">
        <f>IF(INDEX(DarlBelegt,16)=0,0,EOMONTH(INDEX(DarlAuszahlung,16),78)+1)</f>
      </c>
      <c r="F7282" s="43">
        <f>IF($E7282=0,0,YEAR($E7282))</f>
      </c>
      <c r="G7282" s="43">
        <f>IF(INDEX(DarlBindung,16)="",1,IF($E7282&lt;=INDEX(DarlBindung,16),1,0))</f>
      </c>
      <c r="H7282" s="43">
        <f>IF($G7282=1,INDEX(DarlSollzins,16),INDEX(DarlAnschluss,16))</f>
      </c>
      <c r="I7282" s="43">
        <f>IF(INDEX(DarlBelegt,16)=0,0,IF(INDEX(DarlOhneTilgung,16)=1,IF(INDEX(DarlBindung,16)="",1,$G7282),IF($J7282&gt;0.005,1,0)))</f>
      </c>
      <c r="J7282" s="43">
        <f>IF($I7281=0,0,$R7281)</f>
      </c>
      <c r="K7282" s="43">
        <f>IF($I7282=0,0,IF(INDEX(DarlOhneTilgung,16)=1,0,IF(AND(INDEX(DarlTilgStart,16)&gt;0,$E7282=INDEX(DarlTilgStart,16)),$J7282*($H7282+INDEX(DarlTilgung,16))/100/12,IF(AND($G7282=0,$G7281=1),MAX($K7281,$J7282*($H7282+1)/100/12),$K7281))))</f>
      </c>
      <c r="L7282" s="43">
        <f>IF($I7282=0,0,$J7282*$H7282/100/12)</f>
      </c>
      <c r="M7282" s="43">
        <f>IF($I7282=0,0,IF(OR(INDEX(DarlOhneTilgung,16)=1,AND(INDEX(DarlTilgStart,16)&gt;0,$E7282&lt;INDEX(DarlTilgStart,16))),0,MIN(MAX(0,$K7282-$L7282),$J7282)))</f>
      </c>
      <c r="N7282" s="43">
        <f>IF($I7282=0,0,MIN(SUMIFS(SondBetrag,SondDarl,16,SondDatum,"&gt;="&amp;$E7282,SondDatum,"&lt;="&amp;EOMONTH($E7282,0)),$J7282-$M7282))</f>
      </c>
      <c r="O7282" s="43">
        <f>IF($I7282=0,0,INDEX(DarlErsatzRate,16))</f>
      </c>
      <c r="P7282" s="43">
        <f>IF($I7282=0,0,$Q7281*INDEX(DarlErsatzZins,16))</f>
      </c>
      <c r="Q7282" s="43">
        <f>IF($I7282=0,0,$Q7281+$P7282+$O7282)</f>
      </c>
      <c r="R7282" s="43">
        <f>IF($I7282=0,0,$J7282-$M7282-$N7282)</f>
      </c>
    </row>
    <row r="7283">
      <c r="A7283"/>
      <c r="B7283">
        <v>16</v>
      </c>
      <c r="C7283" s="43">
        <f>INDEX(DarlObj,16)</f>
      </c>
      <c r="D7283">
        <v>80</v>
      </c>
      <c r="E7283" s="51">
        <f>IF(INDEX(DarlBelegt,16)=0,0,EOMONTH(INDEX(DarlAuszahlung,16),79)+1)</f>
      </c>
      <c r="F7283" s="43">
        <f>IF($E7283=0,0,YEAR($E7283))</f>
      </c>
      <c r="G7283" s="43">
        <f>IF(INDEX(DarlBindung,16)="",1,IF($E7283&lt;=INDEX(DarlBindung,16),1,0))</f>
      </c>
      <c r="H7283" s="43">
        <f>IF($G7283=1,INDEX(DarlSollzins,16),INDEX(DarlAnschluss,16))</f>
      </c>
      <c r="I7283" s="43">
        <f>IF(INDEX(DarlBelegt,16)=0,0,IF(INDEX(DarlOhneTilgung,16)=1,IF(INDEX(DarlBindung,16)="",1,$G7283),IF($J7283&gt;0.005,1,0)))</f>
      </c>
      <c r="J7283" s="43">
        <f>IF($I7282=0,0,$R7282)</f>
      </c>
      <c r="K7283" s="43">
        <f>IF($I7283=0,0,IF(INDEX(DarlOhneTilgung,16)=1,0,IF(AND(INDEX(DarlTilgStart,16)&gt;0,$E7283=INDEX(DarlTilgStart,16)),$J7283*($H7283+INDEX(DarlTilgung,16))/100/12,IF(AND($G7283=0,$G7282=1),MAX($K7282,$J7283*($H7283+1)/100/12),$K7282))))</f>
      </c>
      <c r="L7283" s="43">
        <f>IF($I7283=0,0,$J7283*$H7283/100/12)</f>
      </c>
      <c r="M7283" s="43">
        <f>IF($I7283=0,0,IF(OR(INDEX(DarlOhneTilgung,16)=1,AND(INDEX(DarlTilgStart,16)&gt;0,$E7283&lt;INDEX(DarlTilgStart,16))),0,MIN(MAX(0,$K7283-$L7283),$J7283)))</f>
      </c>
      <c r="N7283" s="43">
        <f>IF($I7283=0,0,MIN(SUMIFS(SondBetrag,SondDarl,16,SondDatum,"&gt;="&amp;$E7283,SondDatum,"&lt;="&amp;EOMONTH($E7283,0)),$J7283-$M7283))</f>
      </c>
      <c r="O7283" s="43">
        <f>IF($I7283=0,0,INDEX(DarlErsatzRate,16))</f>
      </c>
      <c r="P7283" s="43">
        <f>IF($I7283=0,0,$Q7282*INDEX(DarlErsatzZins,16))</f>
      </c>
      <c r="Q7283" s="43">
        <f>IF($I7283=0,0,$Q7282+$P7283+$O7283)</f>
      </c>
      <c r="R7283" s="43">
        <f>IF($I7283=0,0,$J7283-$M7283-$N7283)</f>
      </c>
    </row>
    <row r="7284">
      <c r="A7284"/>
      <c r="B7284">
        <v>16</v>
      </c>
      <c r="C7284" s="43">
        <f>INDEX(DarlObj,16)</f>
      </c>
      <c r="D7284">
        <v>81</v>
      </c>
      <c r="E7284" s="51">
        <f>IF(INDEX(DarlBelegt,16)=0,0,EOMONTH(INDEX(DarlAuszahlung,16),80)+1)</f>
      </c>
      <c r="F7284" s="43">
        <f>IF($E7284=0,0,YEAR($E7284))</f>
      </c>
      <c r="G7284" s="43">
        <f>IF(INDEX(DarlBindung,16)="",1,IF($E7284&lt;=INDEX(DarlBindung,16),1,0))</f>
      </c>
      <c r="H7284" s="43">
        <f>IF($G7284=1,INDEX(DarlSollzins,16),INDEX(DarlAnschluss,16))</f>
      </c>
      <c r="I7284" s="43">
        <f>IF(INDEX(DarlBelegt,16)=0,0,IF(INDEX(DarlOhneTilgung,16)=1,IF(INDEX(DarlBindung,16)="",1,$G7284),IF($J7284&gt;0.005,1,0)))</f>
      </c>
      <c r="J7284" s="43">
        <f>IF($I7283=0,0,$R7283)</f>
      </c>
      <c r="K7284" s="43">
        <f>IF($I7284=0,0,IF(INDEX(DarlOhneTilgung,16)=1,0,IF(AND(INDEX(DarlTilgStart,16)&gt;0,$E7284=INDEX(DarlTilgStart,16)),$J7284*($H7284+INDEX(DarlTilgung,16))/100/12,IF(AND($G7284=0,$G7283=1),MAX($K7283,$J7284*($H7284+1)/100/12),$K7283))))</f>
      </c>
      <c r="L7284" s="43">
        <f>IF($I7284=0,0,$J7284*$H7284/100/12)</f>
      </c>
      <c r="M7284" s="43">
        <f>IF($I7284=0,0,IF(OR(INDEX(DarlOhneTilgung,16)=1,AND(INDEX(DarlTilgStart,16)&gt;0,$E7284&lt;INDEX(DarlTilgStart,16))),0,MIN(MAX(0,$K7284-$L7284),$J7284)))</f>
      </c>
      <c r="N7284" s="43">
        <f>IF($I7284=0,0,MIN(SUMIFS(SondBetrag,SondDarl,16,SondDatum,"&gt;="&amp;$E7284,SondDatum,"&lt;="&amp;EOMONTH($E7284,0)),$J7284-$M7284))</f>
      </c>
      <c r="O7284" s="43">
        <f>IF($I7284=0,0,INDEX(DarlErsatzRate,16))</f>
      </c>
      <c r="P7284" s="43">
        <f>IF($I7284=0,0,$Q7283*INDEX(DarlErsatzZins,16))</f>
      </c>
      <c r="Q7284" s="43">
        <f>IF($I7284=0,0,$Q7283+$P7284+$O7284)</f>
      </c>
      <c r="R7284" s="43">
        <f>IF($I7284=0,0,$J7284-$M7284-$N7284)</f>
      </c>
    </row>
    <row r="7285">
      <c r="A7285"/>
      <c r="B7285">
        <v>16</v>
      </c>
      <c r="C7285" s="43">
        <f>INDEX(DarlObj,16)</f>
      </c>
      <c r="D7285">
        <v>82</v>
      </c>
      <c r="E7285" s="51">
        <f>IF(INDEX(DarlBelegt,16)=0,0,EOMONTH(INDEX(DarlAuszahlung,16),81)+1)</f>
      </c>
      <c r="F7285" s="43">
        <f>IF($E7285=0,0,YEAR($E7285))</f>
      </c>
      <c r="G7285" s="43">
        <f>IF(INDEX(DarlBindung,16)="",1,IF($E7285&lt;=INDEX(DarlBindung,16),1,0))</f>
      </c>
      <c r="H7285" s="43">
        <f>IF($G7285=1,INDEX(DarlSollzins,16),INDEX(DarlAnschluss,16))</f>
      </c>
      <c r="I7285" s="43">
        <f>IF(INDEX(DarlBelegt,16)=0,0,IF(INDEX(DarlOhneTilgung,16)=1,IF(INDEX(DarlBindung,16)="",1,$G7285),IF($J7285&gt;0.005,1,0)))</f>
      </c>
      <c r="J7285" s="43">
        <f>IF($I7284=0,0,$R7284)</f>
      </c>
      <c r="K7285" s="43">
        <f>IF($I7285=0,0,IF(INDEX(DarlOhneTilgung,16)=1,0,IF(AND(INDEX(DarlTilgStart,16)&gt;0,$E7285=INDEX(DarlTilgStart,16)),$J7285*($H7285+INDEX(DarlTilgung,16))/100/12,IF(AND($G7285=0,$G7284=1),MAX($K7284,$J7285*($H7285+1)/100/12),$K7284))))</f>
      </c>
      <c r="L7285" s="43">
        <f>IF($I7285=0,0,$J7285*$H7285/100/12)</f>
      </c>
      <c r="M7285" s="43">
        <f>IF($I7285=0,0,IF(OR(INDEX(DarlOhneTilgung,16)=1,AND(INDEX(DarlTilgStart,16)&gt;0,$E7285&lt;INDEX(DarlTilgStart,16))),0,MIN(MAX(0,$K7285-$L7285),$J7285)))</f>
      </c>
      <c r="N7285" s="43">
        <f>IF($I7285=0,0,MIN(SUMIFS(SondBetrag,SondDarl,16,SondDatum,"&gt;="&amp;$E7285,SondDatum,"&lt;="&amp;EOMONTH($E7285,0)),$J7285-$M7285))</f>
      </c>
      <c r="O7285" s="43">
        <f>IF($I7285=0,0,INDEX(DarlErsatzRate,16))</f>
      </c>
      <c r="P7285" s="43">
        <f>IF($I7285=0,0,$Q7284*INDEX(DarlErsatzZins,16))</f>
      </c>
      <c r="Q7285" s="43">
        <f>IF($I7285=0,0,$Q7284+$P7285+$O7285)</f>
      </c>
      <c r="R7285" s="43">
        <f>IF($I7285=0,0,$J7285-$M7285-$N7285)</f>
      </c>
    </row>
    <row r="7286">
      <c r="A7286"/>
      <c r="B7286">
        <v>16</v>
      </c>
      <c r="C7286" s="43">
        <f>INDEX(DarlObj,16)</f>
      </c>
      <c r="D7286">
        <v>83</v>
      </c>
      <c r="E7286" s="51">
        <f>IF(INDEX(DarlBelegt,16)=0,0,EOMONTH(INDEX(DarlAuszahlung,16),82)+1)</f>
      </c>
      <c r="F7286" s="43">
        <f>IF($E7286=0,0,YEAR($E7286))</f>
      </c>
      <c r="G7286" s="43">
        <f>IF(INDEX(DarlBindung,16)="",1,IF($E7286&lt;=INDEX(DarlBindung,16),1,0))</f>
      </c>
      <c r="H7286" s="43">
        <f>IF($G7286=1,INDEX(DarlSollzins,16),INDEX(DarlAnschluss,16))</f>
      </c>
      <c r="I7286" s="43">
        <f>IF(INDEX(DarlBelegt,16)=0,0,IF(INDEX(DarlOhneTilgung,16)=1,IF(INDEX(DarlBindung,16)="",1,$G7286),IF($J7286&gt;0.005,1,0)))</f>
      </c>
      <c r="J7286" s="43">
        <f>IF($I7285=0,0,$R7285)</f>
      </c>
      <c r="K7286" s="43">
        <f>IF($I7286=0,0,IF(INDEX(DarlOhneTilgung,16)=1,0,IF(AND(INDEX(DarlTilgStart,16)&gt;0,$E7286=INDEX(DarlTilgStart,16)),$J7286*($H7286+INDEX(DarlTilgung,16))/100/12,IF(AND($G7286=0,$G7285=1),MAX($K7285,$J7286*($H7286+1)/100/12),$K7285))))</f>
      </c>
      <c r="L7286" s="43">
        <f>IF($I7286=0,0,$J7286*$H7286/100/12)</f>
      </c>
      <c r="M7286" s="43">
        <f>IF($I7286=0,0,IF(OR(INDEX(DarlOhneTilgung,16)=1,AND(INDEX(DarlTilgStart,16)&gt;0,$E7286&lt;INDEX(DarlTilgStart,16))),0,MIN(MAX(0,$K7286-$L7286),$J7286)))</f>
      </c>
      <c r="N7286" s="43">
        <f>IF($I7286=0,0,MIN(SUMIFS(SondBetrag,SondDarl,16,SondDatum,"&gt;="&amp;$E7286,SondDatum,"&lt;="&amp;EOMONTH($E7286,0)),$J7286-$M7286))</f>
      </c>
      <c r="O7286" s="43">
        <f>IF($I7286=0,0,INDEX(DarlErsatzRate,16))</f>
      </c>
      <c r="P7286" s="43">
        <f>IF($I7286=0,0,$Q7285*INDEX(DarlErsatzZins,16))</f>
      </c>
      <c r="Q7286" s="43">
        <f>IF($I7286=0,0,$Q7285+$P7286+$O7286)</f>
      </c>
      <c r="R7286" s="43">
        <f>IF($I7286=0,0,$J7286-$M7286-$N7286)</f>
      </c>
    </row>
    <row r="7287">
      <c r="A7287"/>
      <c r="B7287">
        <v>16</v>
      </c>
      <c r="C7287" s="43">
        <f>INDEX(DarlObj,16)</f>
      </c>
      <c r="D7287">
        <v>84</v>
      </c>
      <c r="E7287" s="51">
        <f>IF(INDEX(DarlBelegt,16)=0,0,EOMONTH(INDEX(DarlAuszahlung,16),83)+1)</f>
      </c>
      <c r="F7287" s="43">
        <f>IF($E7287=0,0,YEAR($E7287))</f>
      </c>
      <c r="G7287" s="43">
        <f>IF(INDEX(DarlBindung,16)="",1,IF($E7287&lt;=INDEX(DarlBindung,16),1,0))</f>
      </c>
      <c r="H7287" s="43">
        <f>IF($G7287=1,INDEX(DarlSollzins,16),INDEX(DarlAnschluss,16))</f>
      </c>
      <c r="I7287" s="43">
        <f>IF(INDEX(DarlBelegt,16)=0,0,IF(INDEX(DarlOhneTilgung,16)=1,IF(INDEX(DarlBindung,16)="",1,$G7287),IF($J7287&gt;0.005,1,0)))</f>
      </c>
      <c r="J7287" s="43">
        <f>IF($I7286=0,0,$R7286)</f>
      </c>
      <c r="K7287" s="43">
        <f>IF($I7287=0,0,IF(INDEX(DarlOhneTilgung,16)=1,0,IF(AND(INDEX(DarlTilgStart,16)&gt;0,$E7287=INDEX(DarlTilgStart,16)),$J7287*($H7287+INDEX(DarlTilgung,16))/100/12,IF(AND($G7287=0,$G7286=1),MAX($K7286,$J7287*($H7287+1)/100/12),$K7286))))</f>
      </c>
      <c r="L7287" s="43">
        <f>IF($I7287=0,0,$J7287*$H7287/100/12)</f>
      </c>
      <c r="M7287" s="43">
        <f>IF($I7287=0,0,IF(OR(INDEX(DarlOhneTilgung,16)=1,AND(INDEX(DarlTilgStart,16)&gt;0,$E7287&lt;INDEX(DarlTilgStart,16))),0,MIN(MAX(0,$K7287-$L7287),$J7287)))</f>
      </c>
      <c r="N7287" s="43">
        <f>IF($I7287=0,0,MIN(SUMIFS(SondBetrag,SondDarl,16,SondDatum,"&gt;="&amp;$E7287,SondDatum,"&lt;="&amp;EOMONTH($E7287,0)),$J7287-$M7287))</f>
      </c>
      <c r="O7287" s="43">
        <f>IF($I7287=0,0,INDEX(DarlErsatzRate,16))</f>
      </c>
      <c r="P7287" s="43">
        <f>IF($I7287=0,0,$Q7286*INDEX(DarlErsatzZins,16))</f>
      </c>
      <c r="Q7287" s="43">
        <f>IF($I7287=0,0,$Q7286+$P7287+$O7287)</f>
      </c>
      <c r="R7287" s="43">
        <f>IF($I7287=0,0,$J7287-$M7287-$N7287)</f>
      </c>
    </row>
    <row r="7288">
      <c r="A7288"/>
      <c r="B7288">
        <v>16</v>
      </c>
      <c r="C7288" s="43">
        <f>INDEX(DarlObj,16)</f>
      </c>
      <c r="D7288">
        <v>85</v>
      </c>
      <c r="E7288" s="51">
        <f>IF(INDEX(DarlBelegt,16)=0,0,EOMONTH(INDEX(DarlAuszahlung,16),84)+1)</f>
      </c>
      <c r="F7288" s="43">
        <f>IF($E7288=0,0,YEAR($E7288))</f>
      </c>
      <c r="G7288" s="43">
        <f>IF(INDEX(DarlBindung,16)="",1,IF($E7288&lt;=INDEX(DarlBindung,16),1,0))</f>
      </c>
      <c r="H7288" s="43">
        <f>IF($G7288=1,INDEX(DarlSollzins,16),INDEX(DarlAnschluss,16))</f>
      </c>
      <c r="I7288" s="43">
        <f>IF(INDEX(DarlBelegt,16)=0,0,IF(INDEX(DarlOhneTilgung,16)=1,IF(INDEX(DarlBindung,16)="",1,$G7288),IF($J7288&gt;0.005,1,0)))</f>
      </c>
      <c r="J7288" s="43">
        <f>IF($I7287=0,0,$R7287)</f>
      </c>
      <c r="K7288" s="43">
        <f>IF($I7288=0,0,IF(INDEX(DarlOhneTilgung,16)=1,0,IF(AND(INDEX(DarlTilgStart,16)&gt;0,$E7288=INDEX(DarlTilgStart,16)),$J7288*($H7288+INDEX(DarlTilgung,16))/100/12,IF(AND($G7288=0,$G7287=1),MAX($K7287,$J7288*($H7288+1)/100/12),$K7287))))</f>
      </c>
      <c r="L7288" s="43">
        <f>IF($I7288=0,0,$J7288*$H7288/100/12)</f>
      </c>
      <c r="M7288" s="43">
        <f>IF($I7288=0,0,IF(OR(INDEX(DarlOhneTilgung,16)=1,AND(INDEX(DarlTilgStart,16)&gt;0,$E7288&lt;INDEX(DarlTilgStart,16))),0,MIN(MAX(0,$K7288-$L7288),$J7288)))</f>
      </c>
      <c r="N7288" s="43">
        <f>IF($I7288=0,0,MIN(SUMIFS(SondBetrag,SondDarl,16,SondDatum,"&gt;="&amp;$E7288,SondDatum,"&lt;="&amp;EOMONTH($E7288,0)),$J7288-$M7288))</f>
      </c>
      <c r="O7288" s="43">
        <f>IF($I7288=0,0,INDEX(DarlErsatzRate,16))</f>
      </c>
      <c r="P7288" s="43">
        <f>IF($I7288=0,0,$Q7287*INDEX(DarlErsatzZins,16))</f>
      </c>
      <c r="Q7288" s="43">
        <f>IF($I7288=0,0,$Q7287+$P7288+$O7288)</f>
      </c>
      <c r="R7288" s="43">
        <f>IF($I7288=0,0,$J7288-$M7288-$N7288)</f>
      </c>
    </row>
    <row r="7289">
      <c r="A7289"/>
      <c r="B7289">
        <v>16</v>
      </c>
      <c r="C7289" s="43">
        <f>INDEX(DarlObj,16)</f>
      </c>
      <c r="D7289">
        <v>86</v>
      </c>
      <c r="E7289" s="51">
        <f>IF(INDEX(DarlBelegt,16)=0,0,EOMONTH(INDEX(DarlAuszahlung,16),85)+1)</f>
      </c>
      <c r="F7289" s="43">
        <f>IF($E7289=0,0,YEAR($E7289))</f>
      </c>
      <c r="G7289" s="43">
        <f>IF(INDEX(DarlBindung,16)="",1,IF($E7289&lt;=INDEX(DarlBindung,16),1,0))</f>
      </c>
      <c r="H7289" s="43">
        <f>IF($G7289=1,INDEX(DarlSollzins,16),INDEX(DarlAnschluss,16))</f>
      </c>
      <c r="I7289" s="43">
        <f>IF(INDEX(DarlBelegt,16)=0,0,IF(INDEX(DarlOhneTilgung,16)=1,IF(INDEX(DarlBindung,16)="",1,$G7289),IF($J7289&gt;0.005,1,0)))</f>
      </c>
      <c r="J7289" s="43">
        <f>IF($I7288=0,0,$R7288)</f>
      </c>
      <c r="K7289" s="43">
        <f>IF($I7289=0,0,IF(INDEX(DarlOhneTilgung,16)=1,0,IF(AND(INDEX(DarlTilgStart,16)&gt;0,$E7289=INDEX(DarlTilgStart,16)),$J7289*($H7289+INDEX(DarlTilgung,16))/100/12,IF(AND($G7289=0,$G7288=1),MAX($K7288,$J7289*($H7289+1)/100/12),$K7288))))</f>
      </c>
      <c r="L7289" s="43">
        <f>IF($I7289=0,0,$J7289*$H7289/100/12)</f>
      </c>
      <c r="M7289" s="43">
        <f>IF($I7289=0,0,IF(OR(INDEX(DarlOhneTilgung,16)=1,AND(INDEX(DarlTilgStart,16)&gt;0,$E7289&lt;INDEX(DarlTilgStart,16))),0,MIN(MAX(0,$K7289-$L7289),$J7289)))</f>
      </c>
      <c r="N7289" s="43">
        <f>IF($I7289=0,0,MIN(SUMIFS(SondBetrag,SondDarl,16,SondDatum,"&gt;="&amp;$E7289,SondDatum,"&lt;="&amp;EOMONTH($E7289,0)),$J7289-$M7289))</f>
      </c>
      <c r="O7289" s="43">
        <f>IF($I7289=0,0,INDEX(DarlErsatzRate,16))</f>
      </c>
      <c r="P7289" s="43">
        <f>IF($I7289=0,0,$Q7288*INDEX(DarlErsatzZins,16))</f>
      </c>
      <c r="Q7289" s="43">
        <f>IF($I7289=0,0,$Q7288+$P7289+$O7289)</f>
      </c>
      <c r="R7289" s="43">
        <f>IF($I7289=0,0,$J7289-$M7289-$N7289)</f>
      </c>
    </row>
    <row r="7290">
      <c r="A7290"/>
      <c r="B7290">
        <v>16</v>
      </c>
      <c r="C7290" s="43">
        <f>INDEX(DarlObj,16)</f>
      </c>
      <c r="D7290">
        <v>87</v>
      </c>
      <c r="E7290" s="51">
        <f>IF(INDEX(DarlBelegt,16)=0,0,EOMONTH(INDEX(DarlAuszahlung,16),86)+1)</f>
      </c>
      <c r="F7290" s="43">
        <f>IF($E7290=0,0,YEAR($E7290))</f>
      </c>
      <c r="G7290" s="43">
        <f>IF(INDEX(DarlBindung,16)="",1,IF($E7290&lt;=INDEX(DarlBindung,16),1,0))</f>
      </c>
      <c r="H7290" s="43">
        <f>IF($G7290=1,INDEX(DarlSollzins,16),INDEX(DarlAnschluss,16))</f>
      </c>
      <c r="I7290" s="43">
        <f>IF(INDEX(DarlBelegt,16)=0,0,IF(INDEX(DarlOhneTilgung,16)=1,IF(INDEX(DarlBindung,16)="",1,$G7290),IF($J7290&gt;0.005,1,0)))</f>
      </c>
      <c r="J7290" s="43">
        <f>IF($I7289=0,0,$R7289)</f>
      </c>
      <c r="K7290" s="43">
        <f>IF($I7290=0,0,IF(INDEX(DarlOhneTilgung,16)=1,0,IF(AND(INDEX(DarlTilgStart,16)&gt;0,$E7290=INDEX(DarlTilgStart,16)),$J7290*($H7290+INDEX(DarlTilgung,16))/100/12,IF(AND($G7290=0,$G7289=1),MAX($K7289,$J7290*($H7290+1)/100/12),$K7289))))</f>
      </c>
      <c r="L7290" s="43">
        <f>IF($I7290=0,0,$J7290*$H7290/100/12)</f>
      </c>
      <c r="M7290" s="43">
        <f>IF($I7290=0,0,IF(OR(INDEX(DarlOhneTilgung,16)=1,AND(INDEX(DarlTilgStart,16)&gt;0,$E7290&lt;INDEX(DarlTilgStart,16))),0,MIN(MAX(0,$K7290-$L7290),$J7290)))</f>
      </c>
      <c r="N7290" s="43">
        <f>IF($I7290=0,0,MIN(SUMIFS(SondBetrag,SondDarl,16,SondDatum,"&gt;="&amp;$E7290,SondDatum,"&lt;="&amp;EOMONTH($E7290,0)),$J7290-$M7290))</f>
      </c>
      <c r="O7290" s="43">
        <f>IF($I7290=0,0,INDEX(DarlErsatzRate,16))</f>
      </c>
      <c r="P7290" s="43">
        <f>IF($I7290=0,0,$Q7289*INDEX(DarlErsatzZins,16))</f>
      </c>
      <c r="Q7290" s="43">
        <f>IF($I7290=0,0,$Q7289+$P7290+$O7290)</f>
      </c>
      <c r="R7290" s="43">
        <f>IF($I7290=0,0,$J7290-$M7290-$N7290)</f>
      </c>
    </row>
    <row r="7291">
      <c r="A7291"/>
      <c r="B7291">
        <v>16</v>
      </c>
      <c r="C7291" s="43">
        <f>INDEX(DarlObj,16)</f>
      </c>
      <c r="D7291">
        <v>88</v>
      </c>
      <c r="E7291" s="51">
        <f>IF(INDEX(DarlBelegt,16)=0,0,EOMONTH(INDEX(DarlAuszahlung,16),87)+1)</f>
      </c>
      <c r="F7291" s="43">
        <f>IF($E7291=0,0,YEAR($E7291))</f>
      </c>
      <c r="G7291" s="43">
        <f>IF(INDEX(DarlBindung,16)="",1,IF($E7291&lt;=INDEX(DarlBindung,16),1,0))</f>
      </c>
      <c r="H7291" s="43">
        <f>IF($G7291=1,INDEX(DarlSollzins,16),INDEX(DarlAnschluss,16))</f>
      </c>
      <c r="I7291" s="43">
        <f>IF(INDEX(DarlBelegt,16)=0,0,IF(INDEX(DarlOhneTilgung,16)=1,IF(INDEX(DarlBindung,16)="",1,$G7291),IF($J7291&gt;0.005,1,0)))</f>
      </c>
      <c r="J7291" s="43">
        <f>IF($I7290=0,0,$R7290)</f>
      </c>
      <c r="K7291" s="43">
        <f>IF($I7291=0,0,IF(INDEX(DarlOhneTilgung,16)=1,0,IF(AND(INDEX(DarlTilgStart,16)&gt;0,$E7291=INDEX(DarlTilgStart,16)),$J7291*($H7291+INDEX(DarlTilgung,16))/100/12,IF(AND($G7291=0,$G7290=1),MAX($K7290,$J7291*($H7291+1)/100/12),$K7290))))</f>
      </c>
      <c r="L7291" s="43">
        <f>IF($I7291=0,0,$J7291*$H7291/100/12)</f>
      </c>
      <c r="M7291" s="43">
        <f>IF($I7291=0,0,IF(OR(INDEX(DarlOhneTilgung,16)=1,AND(INDEX(DarlTilgStart,16)&gt;0,$E7291&lt;INDEX(DarlTilgStart,16))),0,MIN(MAX(0,$K7291-$L7291),$J7291)))</f>
      </c>
      <c r="N7291" s="43">
        <f>IF($I7291=0,0,MIN(SUMIFS(SondBetrag,SondDarl,16,SondDatum,"&gt;="&amp;$E7291,SondDatum,"&lt;="&amp;EOMONTH($E7291,0)),$J7291-$M7291))</f>
      </c>
      <c r="O7291" s="43">
        <f>IF($I7291=0,0,INDEX(DarlErsatzRate,16))</f>
      </c>
      <c r="P7291" s="43">
        <f>IF($I7291=0,0,$Q7290*INDEX(DarlErsatzZins,16))</f>
      </c>
      <c r="Q7291" s="43">
        <f>IF($I7291=0,0,$Q7290+$P7291+$O7291)</f>
      </c>
      <c r="R7291" s="43">
        <f>IF($I7291=0,0,$J7291-$M7291-$N7291)</f>
      </c>
    </row>
    <row r="7292">
      <c r="A7292"/>
      <c r="B7292">
        <v>16</v>
      </c>
      <c r="C7292" s="43">
        <f>INDEX(DarlObj,16)</f>
      </c>
      <c r="D7292">
        <v>89</v>
      </c>
      <c r="E7292" s="51">
        <f>IF(INDEX(DarlBelegt,16)=0,0,EOMONTH(INDEX(DarlAuszahlung,16),88)+1)</f>
      </c>
      <c r="F7292" s="43">
        <f>IF($E7292=0,0,YEAR($E7292))</f>
      </c>
      <c r="G7292" s="43">
        <f>IF(INDEX(DarlBindung,16)="",1,IF($E7292&lt;=INDEX(DarlBindung,16),1,0))</f>
      </c>
      <c r="H7292" s="43">
        <f>IF($G7292=1,INDEX(DarlSollzins,16),INDEX(DarlAnschluss,16))</f>
      </c>
      <c r="I7292" s="43">
        <f>IF(INDEX(DarlBelegt,16)=0,0,IF(INDEX(DarlOhneTilgung,16)=1,IF(INDEX(DarlBindung,16)="",1,$G7292),IF($J7292&gt;0.005,1,0)))</f>
      </c>
      <c r="J7292" s="43">
        <f>IF($I7291=0,0,$R7291)</f>
      </c>
      <c r="K7292" s="43">
        <f>IF($I7292=0,0,IF(INDEX(DarlOhneTilgung,16)=1,0,IF(AND(INDEX(DarlTilgStart,16)&gt;0,$E7292=INDEX(DarlTilgStart,16)),$J7292*($H7292+INDEX(DarlTilgung,16))/100/12,IF(AND($G7292=0,$G7291=1),MAX($K7291,$J7292*($H7292+1)/100/12),$K7291))))</f>
      </c>
      <c r="L7292" s="43">
        <f>IF($I7292=0,0,$J7292*$H7292/100/12)</f>
      </c>
      <c r="M7292" s="43">
        <f>IF($I7292=0,0,IF(OR(INDEX(DarlOhneTilgung,16)=1,AND(INDEX(DarlTilgStart,16)&gt;0,$E7292&lt;INDEX(DarlTilgStart,16))),0,MIN(MAX(0,$K7292-$L7292),$J7292)))</f>
      </c>
      <c r="N7292" s="43">
        <f>IF($I7292=0,0,MIN(SUMIFS(SondBetrag,SondDarl,16,SondDatum,"&gt;="&amp;$E7292,SondDatum,"&lt;="&amp;EOMONTH($E7292,0)),$J7292-$M7292))</f>
      </c>
      <c r="O7292" s="43">
        <f>IF($I7292=0,0,INDEX(DarlErsatzRate,16))</f>
      </c>
      <c r="P7292" s="43">
        <f>IF($I7292=0,0,$Q7291*INDEX(DarlErsatzZins,16))</f>
      </c>
      <c r="Q7292" s="43">
        <f>IF($I7292=0,0,$Q7291+$P7292+$O7292)</f>
      </c>
      <c r="R7292" s="43">
        <f>IF($I7292=0,0,$J7292-$M7292-$N7292)</f>
      </c>
    </row>
    <row r="7293">
      <c r="A7293"/>
      <c r="B7293">
        <v>16</v>
      </c>
      <c r="C7293" s="43">
        <f>INDEX(DarlObj,16)</f>
      </c>
      <c r="D7293">
        <v>90</v>
      </c>
      <c r="E7293" s="51">
        <f>IF(INDEX(DarlBelegt,16)=0,0,EOMONTH(INDEX(DarlAuszahlung,16),89)+1)</f>
      </c>
      <c r="F7293" s="43">
        <f>IF($E7293=0,0,YEAR($E7293))</f>
      </c>
      <c r="G7293" s="43">
        <f>IF(INDEX(DarlBindung,16)="",1,IF($E7293&lt;=INDEX(DarlBindung,16),1,0))</f>
      </c>
      <c r="H7293" s="43">
        <f>IF($G7293=1,INDEX(DarlSollzins,16),INDEX(DarlAnschluss,16))</f>
      </c>
      <c r="I7293" s="43">
        <f>IF(INDEX(DarlBelegt,16)=0,0,IF(INDEX(DarlOhneTilgung,16)=1,IF(INDEX(DarlBindung,16)="",1,$G7293),IF($J7293&gt;0.005,1,0)))</f>
      </c>
      <c r="J7293" s="43">
        <f>IF($I7292=0,0,$R7292)</f>
      </c>
      <c r="K7293" s="43">
        <f>IF($I7293=0,0,IF(INDEX(DarlOhneTilgung,16)=1,0,IF(AND(INDEX(DarlTilgStart,16)&gt;0,$E7293=INDEX(DarlTilgStart,16)),$J7293*($H7293+INDEX(DarlTilgung,16))/100/12,IF(AND($G7293=0,$G7292=1),MAX($K7292,$J7293*($H7293+1)/100/12),$K7292))))</f>
      </c>
      <c r="L7293" s="43">
        <f>IF($I7293=0,0,$J7293*$H7293/100/12)</f>
      </c>
      <c r="M7293" s="43">
        <f>IF($I7293=0,0,IF(OR(INDEX(DarlOhneTilgung,16)=1,AND(INDEX(DarlTilgStart,16)&gt;0,$E7293&lt;INDEX(DarlTilgStart,16))),0,MIN(MAX(0,$K7293-$L7293),$J7293)))</f>
      </c>
      <c r="N7293" s="43">
        <f>IF($I7293=0,0,MIN(SUMIFS(SondBetrag,SondDarl,16,SondDatum,"&gt;="&amp;$E7293,SondDatum,"&lt;="&amp;EOMONTH($E7293,0)),$J7293-$M7293))</f>
      </c>
      <c r="O7293" s="43">
        <f>IF($I7293=0,0,INDEX(DarlErsatzRate,16))</f>
      </c>
      <c r="P7293" s="43">
        <f>IF($I7293=0,0,$Q7292*INDEX(DarlErsatzZins,16))</f>
      </c>
      <c r="Q7293" s="43">
        <f>IF($I7293=0,0,$Q7292+$P7293+$O7293)</f>
      </c>
      <c r="R7293" s="43">
        <f>IF($I7293=0,0,$J7293-$M7293-$N7293)</f>
      </c>
    </row>
    <row r="7294">
      <c r="A7294"/>
      <c r="B7294">
        <v>16</v>
      </c>
      <c r="C7294" s="43">
        <f>INDEX(DarlObj,16)</f>
      </c>
      <c r="D7294">
        <v>91</v>
      </c>
      <c r="E7294" s="51">
        <f>IF(INDEX(DarlBelegt,16)=0,0,EOMONTH(INDEX(DarlAuszahlung,16),90)+1)</f>
      </c>
      <c r="F7294" s="43">
        <f>IF($E7294=0,0,YEAR($E7294))</f>
      </c>
      <c r="G7294" s="43">
        <f>IF(INDEX(DarlBindung,16)="",1,IF($E7294&lt;=INDEX(DarlBindung,16),1,0))</f>
      </c>
      <c r="H7294" s="43">
        <f>IF($G7294=1,INDEX(DarlSollzins,16),INDEX(DarlAnschluss,16))</f>
      </c>
      <c r="I7294" s="43">
        <f>IF(INDEX(DarlBelegt,16)=0,0,IF(INDEX(DarlOhneTilgung,16)=1,IF(INDEX(DarlBindung,16)="",1,$G7294),IF($J7294&gt;0.005,1,0)))</f>
      </c>
      <c r="J7294" s="43">
        <f>IF($I7293=0,0,$R7293)</f>
      </c>
      <c r="K7294" s="43">
        <f>IF($I7294=0,0,IF(INDEX(DarlOhneTilgung,16)=1,0,IF(AND(INDEX(DarlTilgStart,16)&gt;0,$E7294=INDEX(DarlTilgStart,16)),$J7294*($H7294+INDEX(DarlTilgung,16))/100/12,IF(AND($G7294=0,$G7293=1),MAX($K7293,$J7294*($H7294+1)/100/12),$K7293))))</f>
      </c>
      <c r="L7294" s="43">
        <f>IF($I7294=0,0,$J7294*$H7294/100/12)</f>
      </c>
      <c r="M7294" s="43">
        <f>IF($I7294=0,0,IF(OR(INDEX(DarlOhneTilgung,16)=1,AND(INDEX(DarlTilgStart,16)&gt;0,$E7294&lt;INDEX(DarlTilgStart,16))),0,MIN(MAX(0,$K7294-$L7294),$J7294)))</f>
      </c>
      <c r="N7294" s="43">
        <f>IF($I7294=0,0,MIN(SUMIFS(SondBetrag,SondDarl,16,SondDatum,"&gt;="&amp;$E7294,SondDatum,"&lt;="&amp;EOMONTH($E7294,0)),$J7294-$M7294))</f>
      </c>
      <c r="O7294" s="43">
        <f>IF($I7294=0,0,INDEX(DarlErsatzRate,16))</f>
      </c>
      <c r="P7294" s="43">
        <f>IF($I7294=0,0,$Q7293*INDEX(DarlErsatzZins,16))</f>
      </c>
      <c r="Q7294" s="43">
        <f>IF($I7294=0,0,$Q7293+$P7294+$O7294)</f>
      </c>
      <c r="R7294" s="43">
        <f>IF($I7294=0,0,$J7294-$M7294-$N7294)</f>
      </c>
    </row>
    <row r="7295">
      <c r="A7295"/>
      <c r="B7295">
        <v>16</v>
      </c>
      <c r="C7295" s="43">
        <f>INDEX(DarlObj,16)</f>
      </c>
      <c r="D7295">
        <v>92</v>
      </c>
      <c r="E7295" s="51">
        <f>IF(INDEX(DarlBelegt,16)=0,0,EOMONTH(INDEX(DarlAuszahlung,16),91)+1)</f>
      </c>
      <c r="F7295" s="43">
        <f>IF($E7295=0,0,YEAR($E7295))</f>
      </c>
      <c r="G7295" s="43">
        <f>IF(INDEX(DarlBindung,16)="",1,IF($E7295&lt;=INDEX(DarlBindung,16),1,0))</f>
      </c>
      <c r="H7295" s="43">
        <f>IF($G7295=1,INDEX(DarlSollzins,16),INDEX(DarlAnschluss,16))</f>
      </c>
      <c r="I7295" s="43">
        <f>IF(INDEX(DarlBelegt,16)=0,0,IF(INDEX(DarlOhneTilgung,16)=1,IF(INDEX(DarlBindung,16)="",1,$G7295),IF($J7295&gt;0.005,1,0)))</f>
      </c>
      <c r="J7295" s="43">
        <f>IF($I7294=0,0,$R7294)</f>
      </c>
      <c r="K7295" s="43">
        <f>IF($I7295=0,0,IF(INDEX(DarlOhneTilgung,16)=1,0,IF(AND(INDEX(DarlTilgStart,16)&gt;0,$E7295=INDEX(DarlTilgStart,16)),$J7295*($H7295+INDEX(DarlTilgung,16))/100/12,IF(AND($G7295=0,$G7294=1),MAX($K7294,$J7295*($H7295+1)/100/12),$K7294))))</f>
      </c>
      <c r="L7295" s="43">
        <f>IF($I7295=0,0,$J7295*$H7295/100/12)</f>
      </c>
      <c r="M7295" s="43">
        <f>IF($I7295=0,0,IF(OR(INDEX(DarlOhneTilgung,16)=1,AND(INDEX(DarlTilgStart,16)&gt;0,$E7295&lt;INDEX(DarlTilgStart,16))),0,MIN(MAX(0,$K7295-$L7295),$J7295)))</f>
      </c>
      <c r="N7295" s="43">
        <f>IF($I7295=0,0,MIN(SUMIFS(SondBetrag,SondDarl,16,SondDatum,"&gt;="&amp;$E7295,SondDatum,"&lt;="&amp;EOMONTH($E7295,0)),$J7295-$M7295))</f>
      </c>
      <c r="O7295" s="43">
        <f>IF($I7295=0,0,INDEX(DarlErsatzRate,16))</f>
      </c>
      <c r="P7295" s="43">
        <f>IF($I7295=0,0,$Q7294*INDEX(DarlErsatzZins,16))</f>
      </c>
      <c r="Q7295" s="43">
        <f>IF($I7295=0,0,$Q7294+$P7295+$O7295)</f>
      </c>
      <c r="R7295" s="43">
        <f>IF($I7295=0,0,$J7295-$M7295-$N7295)</f>
      </c>
    </row>
    <row r="7296">
      <c r="A7296"/>
      <c r="B7296">
        <v>16</v>
      </c>
      <c r="C7296" s="43">
        <f>INDEX(DarlObj,16)</f>
      </c>
      <c r="D7296">
        <v>93</v>
      </c>
      <c r="E7296" s="51">
        <f>IF(INDEX(DarlBelegt,16)=0,0,EOMONTH(INDEX(DarlAuszahlung,16),92)+1)</f>
      </c>
      <c r="F7296" s="43">
        <f>IF($E7296=0,0,YEAR($E7296))</f>
      </c>
      <c r="G7296" s="43">
        <f>IF(INDEX(DarlBindung,16)="",1,IF($E7296&lt;=INDEX(DarlBindung,16),1,0))</f>
      </c>
      <c r="H7296" s="43">
        <f>IF($G7296=1,INDEX(DarlSollzins,16),INDEX(DarlAnschluss,16))</f>
      </c>
      <c r="I7296" s="43">
        <f>IF(INDEX(DarlBelegt,16)=0,0,IF(INDEX(DarlOhneTilgung,16)=1,IF(INDEX(DarlBindung,16)="",1,$G7296),IF($J7296&gt;0.005,1,0)))</f>
      </c>
      <c r="J7296" s="43">
        <f>IF($I7295=0,0,$R7295)</f>
      </c>
      <c r="K7296" s="43">
        <f>IF($I7296=0,0,IF(INDEX(DarlOhneTilgung,16)=1,0,IF(AND(INDEX(DarlTilgStart,16)&gt;0,$E7296=INDEX(DarlTilgStart,16)),$J7296*($H7296+INDEX(DarlTilgung,16))/100/12,IF(AND($G7296=0,$G7295=1),MAX($K7295,$J7296*($H7296+1)/100/12),$K7295))))</f>
      </c>
      <c r="L7296" s="43">
        <f>IF($I7296=0,0,$J7296*$H7296/100/12)</f>
      </c>
      <c r="M7296" s="43">
        <f>IF($I7296=0,0,IF(OR(INDEX(DarlOhneTilgung,16)=1,AND(INDEX(DarlTilgStart,16)&gt;0,$E7296&lt;INDEX(DarlTilgStart,16))),0,MIN(MAX(0,$K7296-$L7296),$J7296)))</f>
      </c>
      <c r="N7296" s="43">
        <f>IF($I7296=0,0,MIN(SUMIFS(SondBetrag,SondDarl,16,SondDatum,"&gt;="&amp;$E7296,SondDatum,"&lt;="&amp;EOMONTH($E7296,0)),$J7296-$M7296))</f>
      </c>
      <c r="O7296" s="43">
        <f>IF($I7296=0,0,INDEX(DarlErsatzRate,16))</f>
      </c>
      <c r="P7296" s="43">
        <f>IF($I7296=0,0,$Q7295*INDEX(DarlErsatzZins,16))</f>
      </c>
      <c r="Q7296" s="43">
        <f>IF($I7296=0,0,$Q7295+$P7296+$O7296)</f>
      </c>
      <c r="R7296" s="43">
        <f>IF($I7296=0,0,$J7296-$M7296-$N7296)</f>
      </c>
    </row>
    <row r="7297">
      <c r="A7297"/>
      <c r="B7297">
        <v>16</v>
      </c>
      <c r="C7297" s="43">
        <f>INDEX(DarlObj,16)</f>
      </c>
      <c r="D7297">
        <v>94</v>
      </c>
      <c r="E7297" s="51">
        <f>IF(INDEX(DarlBelegt,16)=0,0,EOMONTH(INDEX(DarlAuszahlung,16),93)+1)</f>
      </c>
      <c r="F7297" s="43">
        <f>IF($E7297=0,0,YEAR($E7297))</f>
      </c>
      <c r="G7297" s="43">
        <f>IF(INDEX(DarlBindung,16)="",1,IF($E7297&lt;=INDEX(DarlBindung,16),1,0))</f>
      </c>
      <c r="H7297" s="43">
        <f>IF($G7297=1,INDEX(DarlSollzins,16),INDEX(DarlAnschluss,16))</f>
      </c>
      <c r="I7297" s="43">
        <f>IF(INDEX(DarlBelegt,16)=0,0,IF(INDEX(DarlOhneTilgung,16)=1,IF(INDEX(DarlBindung,16)="",1,$G7297),IF($J7297&gt;0.005,1,0)))</f>
      </c>
      <c r="J7297" s="43">
        <f>IF($I7296=0,0,$R7296)</f>
      </c>
      <c r="K7297" s="43">
        <f>IF($I7297=0,0,IF(INDEX(DarlOhneTilgung,16)=1,0,IF(AND(INDEX(DarlTilgStart,16)&gt;0,$E7297=INDEX(DarlTilgStart,16)),$J7297*($H7297+INDEX(DarlTilgung,16))/100/12,IF(AND($G7297=0,$G7296=1),MAX($K7296,$J7297*($H7297+1)/100/12),$K7296))))</f>
      </c>
      <c r="L7297" s="43">
        <f>IF($I7297=0,0,$J7297*$H7297/100/12)</f>
      </c>
      <c r="M7297" s="43">
        <f>IF($I7297=0,0,IF(OR(INDEX(DarlOhneTilgung,16)=1,AND(INDEX(DarlTilgStart,16)&gt;0,$E7297&lt;INDEX(DarlTilgStart,16))),0,MIN(MAX(0,$K7297-$L7297),$J7297)))</f>
      </c>
      <c r="N7297" s="43">
        <f>IF($I7297=0,0,MIN(SUMIFS(SondBetrag,SondDarl,16,SondDatum,"&gt;="&amp;$E7297,SondDatum,"&lt;="&amp;EOMONTH($E7297,0)),$J7297-$M7297))</f>
      </c>
      <c r="O7297" s="43">
        <f>IF($I7297=0,0,INDEX(DarlErsatzRate,16))</f>
      </c>
      <c r="P7297" s="43">
        <f>IF($I7297=0,0,$Q7296*INDEX(DarlErsatzZins,16))</f>
      </c>
      <c r="Q7297" s="43">
        <f>IF($I7297=0,0,$Q7296+$P7297+$O7297)</f>
      </c>
      <c r="R7297" s="43">
        <f>IF($I7297=0,0,$J7297-$M7297-$N7297)</f>
      </c>
    </row>
    <row r="7298">
      <c r="A7298"/>
      <c r="B7298">
        <v>16</v>
      </c>
      <c r="C7298" s="43">
        <f>INDEX(DarlObj,16)</f>
      </c>
      <c r="D7298">
        <v>95</v>
      </c>
      <c r="E7298" s="51">
        <f>IF(INDEX(DarlBelegt,16)=0,0,EOMONTH(INDEX(DarlAuszahlung,16),94)+1)</f>
      </c>
      <c r="F7298" s="43">
        <f>IF($E7298=0,0,YEAR($E7298))</f>
      </c>
      <c r="G7298" s="43">
        <f>IF(INDEX(DarlBindung,16)="",1,IF($E7298&lt;=INDEX(DarlBindung,16),1,0))</f>
      </c>
      <c r="H7298" s="43">
        <f>IF($G7298=1,INDEX(DarlSollzins,16),INDEX(DarlAnschluss,16))</f>
      </c>
      <c r="I7298" s="43">
        <f>IF(INDEX(DarlBelegt,16)=0,0,IF(INDEX(DarlOhneTilgung,16)=1,IF(INDEX(DarlBindung,16)="",1,$G7298),IF($J7298&gt;0.005,1,0)))</f>
      </c>
      <c r="J7298" s="43">
        <f>IF($I7297=0,0,$R7297)</f>
      </c>
      <c r="K7298" s="43">
        <f>IF($I7298=0,0,IF(INDEX(DarlOhneTilgung,16)=1,0,IF(AND(INDEX(DarlTilgStart,16)&gt;0,$E7298=INDEX(DarlTilgStart,16)),$J7298*($H7298+INDEX(DarlTilgung,16))/100/12,IF(AND($G7298=0,$G7297=1),MAX($K7297,$J7298*($H7298+1)/100/12),$K7297))))</f>
      </c>
      <c r="L7298" s="43">
        <f>IF($I7298=0,0,$J7298*$H7298/100/12)</f>
      </c>
      <c r="M7298" s="43">
        <f>IF($I7298=0,0,IF(OR(INDEX(DarlOhneTilgung,16)=1,AND(INDEX(DarlTilgStart,16)&gt;0,$E7298&lt;INDEX(DarlTilgStart,16))),0,MIN(MAX(0,$K7298-$L7298),$J7298)))</f>
      </c>
      <c r="N7298" s="43">
        <f>IF($I7298=0,0,MIN(SUMIFS(SondBetrag,SondDarl,16,SondDatum,"&gt;="&amp;$E7298,SondDatum,"&lt;="&amp;EOMONTH($E7298,0)),$J7298-$M7298))</f>
      </c>
      <c r="O7298" s="43">
        <f>IF($I7298=0,0,INDEX(DarlErsatzRate,16))</f>
      </c>
      <c r="P7298" s="43">
        <f>IF($I7298=0,0,$Q7297*INDEX(DarlErsatzZins,16))</f>
      </c>
      <c r="Q7298" s="43">
        <f>IF($I7298=0,0,$Q7297+$P7298+$O7298)</f>
      </c>
      <c r="R7298" s="43">
        <f>IF($I7298=0,0,$J7298-$M7298-$N7298)</f>
      </c>
    </row>
    <row r="7299">
      <c r="A7299"/>
      <c r="B7299">
        <v>16</v>
      </c>
      <c r="C7299" s="43">
        <f>INDEX(DarlObj,16)</f>
      </c>
      <c r="D7299">
        <v>96</v>
      </c>
      <c r="E7299" s="51">
        <f>IF(INDEX(DarlBelegt,16)=0,0,EOMONTH(INDEX(DarlAuszahlung,16),95)+1)</f>
      </c>
      <c r="F7299" s="43">
        <f>IF($E7299=0,0,YEAR($E7299))</f>
      </c>
      <c r="G7299" s="43">
        <f>IF(INDEX(DarlBindung,16)="",1,IF($E7299&lt;=INDEX(DarlBindung,16),1,0))</f>
      </c>
      <c r="H7299" s="43">
        <f>IF($G7299=1,INDEX(DarlSollzins,16),INDEX(DarlAnschluss,16))</f>
      </c>
      <c r="I7299" s="43">
        <f>IF(INDEX(DarlBelegt,16)=0,0,IF(INDEX(DarlOhneTilgung,16)=1,IF(INDEX(DarlBindung,16)="",1,$G7299),IF($J7299&gt;0.005,1,0)))</f>
      </c>
      <c r="J7299" s="43">
        <f>IF($I7298=0,0,$R7298)</f>
      </c>
      <c r="K7299" s="43">
        <f>IF($I7299=0,0,IF(INDEX(DarlOhneTilgung,16)=1,0,IF(AND(INDEX(DarlTilgStart,16)&gt;0,$E7299=INDEX(DarlTilgStart,16)),$J7299*($H7299+INDEX(DarlTilgung,16))/100/12,IF(AND($G7299=0,$G7298=1),MAX($K7298,$J7299*($H7299+1)/100/12),$K7298))))</f>
      </c>
      <c r="L7299" s="43">
        <f>IF($I7299=0,0,$J7299*$H7299/100/12)</f>
      </c>
      <c r="M7299" s="43">
        <f>IF($I7299=0,0,IF(OR(INDEX(DarlOhneTilgung,16)=1,AND(INDEX(DarlTilgStart,16)&gt;0,$E7299&lt;INDEX(DarlTilgStart,16))),0,MIN(MAX(0,$K7299-$L7299),$J7299)))</f>
      </c>
      <c r="N7299" s="43">
        <f>IF($I7299=0,0,MIN(SUMIFS(SondBetrag,SondDarl,16,SondDatum,"&gt;="&amp;$E7299,SondDatum,"&lt;="&amp;EOMONTH($E7299,0)),$J7299-$M7299))</f>
      </c>
      <c r="O7299" s="43">
        <f>IF($I7299=0,0,INDEX(DarlErsatzRate,16))</f>
      </c>
      <c r="P7299" s="43">
        <f>IF($I7299=0,0,$Q7298*INDEX(DarlErsatzZins,16))</f>
      </c>
      <c r="Q7299" s="43">
        <f>IF($I7299=0,0,$Q7298+$P7299+$O7299)</f>
      </c>
      <c r="R7299" s="43">
        <f>IF($I7299=0,0,$J7299-$M7299-$N7299)</f>
      </c>
    </row>
    <row r="7300">
      <c r="A7300"/>
      <c r="B7300">
        <v>16</v>
      </c>
      <c r="C7300" s="43">
        <f>INDEX(DarlObj,16)</f>
      </c>
      <c r="D7300">
        <v>97</v>
      </c>
      <c r="E7300" s="51">
        <f>IF(INDEX(DarlBelegt,16)=0,0,EOMONTH(INDEX(DarlAuszahlung,16),96)+1)</f>
      </c>
      <c r="F7300" s="43">
        <f>IF($E7300=0,0,YEAR($E7300))</f>
      </c>
      <c r="G7300" s="43">
        <f>IF(INDEX(DarlBindung,16)="",1,IF($E7300&lt;=INDEX(DarlBindung,16),1,0))</f>
      </c>
      <c r="H7300" s="43">
        <f>IF($G7300=1,INDEX(DarlSollzins,16),INDEX(DarlAnschluss,16))</f>
      </c>
      <c r="I7300" s="43">
        <f>IF(INDEX(DarlBelegt,16)=0,0,IF(INDEX(DarlOhneTilgung,16)=1,IF(INDEX(DarlBindung,16)="",1,$G7300),IF($J7300&gt;0.005,1,0)))</f>
      </c>
      <c r="J7300" s="43">
        <f>IF($I7299=0,0,$R7299)</f>
      </c>
      <c r="K7300" s="43">
        <f>IF($I7300=0,0,IF(INDEX(DarlOhneTilgung,16)=1,0,IF(AND(INDEX(DarlTilgStart,16)&gt;0,$E7300=INDEX(DarlTilgStart,16)),$J7300*($H7300+INDEX(DarlTilgung,16))/100/12,IF(AND($G7300=0,$G7299=1),MAX($K7299,$J7300*($H7300+1)/100/12),$K7299))))</f>
      </c>
      <c r="L7300" s="43">
        <f>IF($I7300=0,0,$J7300*$H7300/100/12)</f>
      </c>
      <c r="M7300" s="43">
        <f>IF($I7300=0,0,IF(OR(INDEX(DarlOhneTilgung,16)=1,AND(INDEX(DarlTilgStart,16)&gt;0,$E7300&lt;INDEX(DarlTilgStart,16))),0,MIN(MAX(0,$K7300-$L7300),$J7300)))</f>
      </c>
      <c r="N7300" s="43">
        <f>IF($I7300=0,0,MIN(SUMIFS(SondBetrag,SondDarl,16,SondDatum,"&gt;="&amp;$E7300,SondDatum,"&lt;="&amp;EOMONTH($E7300,0)),$J7300-$M7300))</f>
      </c>
      <c r="O7300" s="43">
        <f>IF($I7300=0,0,INDEX(DarlErsatzRate,16))</f>
      </c>
      <c r="P7300" s="43">
        <f>IF($I7300=0,0,$Q7299*INDEX(DarlErsatzZins,16))</f>
      </c>
      <c r="Q7300" s="43">
        <f>IF($I7300=0,0,$Q7299+$P7300+$O7300)</f>
      </c>
      <c r="R7300" s="43">
        <f>IF($I7300=0,0,$J7300-$M7300-$N7300)</f>
      </c>
    </row>
    <row r="7301">
      <c r="A7301"/>
      <c r="B7301">
        <v>16</v>
      </c>
      <c r="C7301" s="43">
        <f>INDEX(DarlObj,16)</f>
      </c>
      <c r="D7301">
        <v>98</v>
      </c>
      <c r="E7301" s="51">
        <f>IF(INDEX(DarlBelegt,16)=0,0,EOMONTH(INDEX(DarlAuszahlung,16),97)+1)</f>
      </c>
      <c r="F7301" s="43">
        <f>IF($E7301=0,0,YEAR($E7301))</f>
      </c>
      <c r="G7301" s="43">
        <f>IF(INDEX(DarlBindung,16)="",1,IF($E7301&lt;=INDEX(DarlBindung,16),1,0))</f>
      </c>
      <c r="H7301" s="43">
        <f>IF($G7301=1,INDEX(DarlSollzins,16),INDEX(DarlAnschluss,16))</f>
      </c>
      <c r="I7301" s="43">
        <f>IF(INDEX(DarlBelegt,16)=0,0,IF(INDEX(DarlOhneTilgung,16)=1,IF(INDEX(DarlBindung,16)="",1,$G7301),IF($J7301&gt;0.005,1,0)))</f>
      </c>
      <c r="J7301" s="43">
        <f>IF($I7300=0,0,$R7300)</f>
      </c>
      <c r="K7301" s="43">
        <f>IF($I7301=0,0,IF(INDEX(DarlOhneTilgung,16)=1,0,IF(AND(INDEX(DarlTilgStart,16)&gt;0,$E7301=INDEX(DarlTilgStart,16)),$J7301*($H7301+INDEX(DarlTilgung,16))/100/12,IF(AND($G7301=0,$G7300=1),MAX($K7300,$J7301*($H7301+1)/100/12),$K7300))))</f>
      </c>
      <c r="L7301" s="43">
        <f>IF($I7301=0,0,$J7301*$H7301/100/12)</f>
      </c>
      <c r="M7301" s="43">
        <f>IF($I7301=0,0,IF(OR(INDEX(DarlOhneTilgung,16)=1,AND(INDEX(DarlTilgStart,16)&gt;0,$E7301&lt;INDEX(DarlTilgStart,16))),0,MIN(MAX(0,$K7301-$L7301),$J7301)))</f>
      </c>
      <c r="N7301" s="43">
        <f>IF($I7301=0,0,MIN(SUMIFS(SondBetrag,SondDarl,16,SondDatum,"&gt;="&amp;$E7301,SondDatum,"&lt;="&amp;EOMONTH($E7301,0)),$J7301-$M7301))</f>
      </c>
      <c r="O7301" s="43">
        <f>IF($I7301=0,0,INDEX(DarlErsatzRate,16))</f>
      </c>
      <c r="P7301" s="43">
        <f>IF($I7301=0,0,$Q7300*INDEX(DarlErsatzZins,16))</f>
      </c>
      <c r="Q7301" s="43">
        <f>IF($I7301=0,0,$Q7300+$P7301+$O7301)</f>
      </c>
      <c r="R7301" s="43">
        <f>IF($I7301=0,0,$J7301-$M7301-$N7301)</f>
      </c>
    </row>
    <row r="7302">
      <c r="A7302"/>
      <c r="B7302">
        <v>16</v>
      </c>
      <c r="C7302" s="43">
        <f>INDEX(DarlObj,16)</f>
      </c>
      <c r="D7302">
        <v>99</v>
      </c>
      <c r="E7302" s="51">
        <f>IF(INDEX(DarlBelegt,16)=0,0,EOMONTH(INDEX(DarlAuszahlung,16),98)+1)</f>
      </c>
      <c r="F7302" s="43">
        <f>IF($E7302=0,0,YEAR($E7302))</f>
      </c>
      <c r="G7302" s="43">
        <f>IF(INDEX(DarlBindung,16)="",1,IF($E7302&lt;=INDEX(DarlBindung,16),1,0))</f>
      </c>
      <c r="H7302" s="43">
        <f>IF($G7302=1,INDEX(DarlSollzins,16),INDEX(DarlAnschluss,16))</f>
      </c>
      <c r="I7302" s="43">
        <f>IF(INDEX(DarlBelegt,16)=0,0,IF(INDEX(DarlOhneTilgung,16)=1,IF(INDEX(DarlBindung,16)="",1,$G7302),IF($J7302&gt;0.005,1,0)))</f>
      </c>
      <c r="J7302" s="43">
        <f>IF($I7301=0,0,$R7301)</f>
      </c>
      <c r="K7302" s="43">
        <f>IF($I7302=0,0,IF(INDEX(DarlOhneTilgung,16)=1,0,IF(AND(INDEX(DarlTilgStart,16)&gt;0,$E7302=INDEX(DarlTilgStart,16)),$J7302*($H7302+INDEX(DarlTilgung,16))/100/12,IF(AND($G7302=0,$G7301=1),MAX($K7301,$J7302*($H7302+1)/100/12),$K7301))))</f>
      </c>
      <c r="L7302" s="43">
        <f>IF($I7302=0,0,$J7302*$H7302/100/12)</f>
      </c>
      <c r="M7302" s="43">
        <f>IF($I7302=0,0,IF(OR(INDEX(DarlOhneTilgung,16)=1,AND(INDEX(DarlTilgStart,16)&gt;0,$E7302&lt;INDEX(DarlTilgStart,16))),0,MIN(MAX(0,$K7302-$L7302),$J7302)))</f>
      </c>
      <c r="N7302" s="43">
        <f>IF($I7302=0,0,MIN(SUMIFS(SondBetrag,SondDarl,16,SondDatum,"&gt;="&amp;$E7302,SondDatum,"&lt;="&amp;EOMONTH($E7302,0)),$J7302-$M7302))</f>
      </c>
      <c r="O7302" s="43">
        <f>IF($I7302=0,0,INDEX(DarlErsatzRate,16))</f>
      </c>
      <c r="P7302" s="43">
        <f>IF($I7302=0,0,$Q7301*INDEX(DarlErsatzZins,16))</f>
      </c>
      <c r="Q7302" s="43">
        <f>IF($I7302=0,0,$Q7301+$P7302+$O7302)</f>
      </c>
      <c r="R7302" s="43">
        <f>IF($I7302=0,0,$J7302-$M7302-$N7302)</f>
      </c>
    </row>
    <row r="7303">
      <c r="A7303"/>
      <c r="B7303">
        <v>16</v>
      </c>
      <c r="C7303" s="43">
        <f>INDEX(DarlObj,16)</f>
      </c>
      <c r="D7303">
        <v>100</v>
      </c>
      <c r="E7303" s="51">
        <f>IF(INDEX(DarlBelegt,16)=0,0,EOMONTH(INDEX(DarlAuszahlung,16),99)+1)</f>
      </c>
      <c r="F7303" s="43">
        <f>IF($E7303=0,0,YEAR($E7303))</f>
      </c>
      <c r="G7303" s="43">
        <f>IF(INDEX(DarlBindung,16)="",1,IF($E7303&lt;=INDEX(DarlBindung,16),1,0))</f>
      </c>
      <c r="H7303" s="43">
        <f>IF($G7303=1,INDEX(DarlSollzins,16),INDEX(DarlAnschluss,16))</f>
      </c>
      <c r="I7303" s="43">
        <f>IF(INDEX(DarlBelegt,16)=0,0,IF(INDEX(DarlOhneTilgung,16)=1,IF(INDEX(DarlBindung,16)="",1,$G7303),IF($J7303&gt;0.005,1,0)))</f>
      </c>
      <c r="J7303" s="43">
        <f>IF($I7302=0,0,$R7302)</f>
      </c>
      <c r="K7303" s="43">
        <f>IF($I7303=0,0,IF(INDEX(DarlOhneTilgung,16)=1,0,IF(AND(INDEX(DarlTilgStart,16)&gt;0,$E7303=INDEX(DarlTilgStart,16)),$J7303*($H7303+INDEX(DarlTilgung,16))/100/12,IF(AND($G7303=0,$G7302=1),MAX($K7302,$J7303*($H7303+1)/100/12),$K7302))))</f>
      </c>
      <c r="L7303" s="43">
        <f>IF($I7303=0,0,$J7303*$H7303/100/12)</f>
      </c>
      <c r="M7303" s="43">
        <f>IF($I7303=0,0,IF(OR(INDEX(DarlOhneTilgung,16)=1,AND(INDEX(DarlTilgStart,16)&gt;0,$E7303&lt;INDEX(DarlTilgStart,16))),0,MIN(MAX(0,$K7303-$L7303),$J7303)))</f>
      </c>
      <c r="N7303" s="43">
        <f>IF($I7303=0,0,MIN(SUMIFS(SondBetrag,SondDarl,16,SondDatum,"&gt;="&amp;$E7303,SondDatum,"&lt;="&amp;EOMONTH($E7303,0)),$J7303-$M7303))</f>
      </c>
      <c r="O7303" s="43">
        <f>IF($I7303=0,0,INDEX(DarlErsatzRate,16))</f>
      </c>
      <c r="P7303" s="43">
        <f>IF($I7303=0,0,$Q7302*INDEX(DarlErsatzZins,16))</f>
      </c>
      <c r="Q7303" s="43">
        <f>IF($I7303=0,0,$Q7302+$P7303+$O7303)</f>
      </c>
      <c r="R7303" s="43">
        <f>IF($I7303=0,0,$J7303-$M7303-$N7303)</f>
      </c>
    </row>
    <row r="7304">
      <c r="A7304"/>
      <c r="B7304">
        <v>16</v>
      </c>
      <c r="C7304" s="43">
        <f>INDEX(DarlObj,16)</f>
      </c>
      <c r="D7304">
        <v>101</v>
      </c>
      <c r="E7304" s="51">
        <f>IF(INDEX(DarlBelegt,16)=0,0,EOMONTH(INDEX(DarlAuszahlung,16),100)+1)</f>
      </c>
      <c r="F7304" s="43">
        <f>IF($E7304=0,0,YEAR($E7304))</f>
      </c>
      <c r="G7304" s="43">
        <f>IF(INDEX(DarlBindung,16)="",1,IF($E7304&lt;=INDEX(DarlBindung,16),1,0))</f>
      </c>
      <c r="H7304" s="43">
        <f>IF($G7304=1,INDEX(DarlSollzins,16),INDEX(DarlAnschluss,16))</f>
      </c>
      <c r="I7304" s="43">
        <f>IF(INDEX(DarlBelegt,16)=0,0,IF(INDEX(DarlOhneTilgung,16)=1,IF(INDEX(DarlBindung,16)="",1,$G7304),IF($J7304&gt;0.005,1,0)))</f>
      </c>
      <c r="J7304" s="43">
        <f>IF($I7303=0,0,$R7303)</f>
      </c>
      <c r="K7304" s="43">
        <f>IF($I7304=0,0,IF(INDEX(DarlOhneTilgung,16)=1,0,IF(AND(INDEX(DarlTilgStart,16)&gt;0,$E7304=INDEX(DarlTilgStart,16)),$J7304*($H7304+INDEX(DarlTilgung,16))/100/12,IF(AND($G7304=0,$G7303=1),MAX($K7303,$J7304*($H7304+1)/100/12),$K7303))))</f>
      </c>
      <c r="L7304" s="43">
        <f>IF($I7304=0,0,$J7304*$H7304/100/12)</f>
      </c>
      <c r="M7304" s="43">
        <f>IF($I7304=0,0,IF(OR(INDEX(DarlOhneTilgung,16)=1,AND(INDEX(DarlTilgStart,16)&gt;0,$E7304&lt;INDEX(DarlTilgStart,16))),0,MIN(MAX(0,$K7304-$L7304),$J7304)))</f>
      </c>
      <c r="N7304" s="43">
        <f>IF($I7304=0,0,MIN(SUMIFS(SondBetrag,SondDarl,16,SondDatum,"&gt;="&amp;$E7304,SondDatum,"&lt;="&amp;EOMONTH($E7304,0)),$J7304-$M7304))</f>
      </c>
      <c r="O7304" s="43">
        <f>IF($I7304=0,0,INDEX(DarlErsatzRate,16))</f>
      </c>
      <c r="P7304" s="43">
        <f>IF($I7304=0,0,$Q7303*INDEX(DarlErsatzZins,16))</f>
      </c>
      <c r="Q7304" s="43">
        <f>IF($I7304=0,0,$Q7303+$P7304+$O7304)</f>
      </c>
      <c r="R7304" s="43">
        <f>IF($I7304=0,0,$J7304-$M7304-$N7304)</f>
      </c>
    </row>
    <row r="7305">
      <c r="A7305"/>
      <c r="B7305">
        <v>16</v>
      </c>
      <c r="C7305" s="43">
        <f>INDEX(DarlObj,16)</f>
      </c>
      <c r="D7305">
        <v>102</v>
      </c>
      <c r="E7305" s="51">
        <f>IF(INDEX(DarlBelegt,16)=0,0,EOMONTH(INDEX(DarlAuszahlung,16),101)+1)</f>
      </c>
      <c r="F7305" s="43">
        <f>IF($E7305=0,0,YEAR($E7305))</f>
      </c>
      <c r="G7305" s="43">
        <f>IF(INDEX(DarlBindung,16)="",1,IF($E7305&lt;=INDEX(DarlBindung,16),1,0))</f>
      </c>
      <c r="H7305" s="43">
        <f>IF($G7305=1,INDEX(DarlSollzins,16),INDEX(DarlAnschluss,16))</f>
      </c>
      <c r="I7305" s="43">
        <f>IF(INDEX(DarlBelegt,16)=0,0,IF(INDEX(DarlOhneTilgung,16)=1,IF(INDEX(DarlBindung,16)="",1,$G7305),IF($J7305&gt;0.005,1,0)))</f>
      </c>
      <c r="J7305" s="43">
        <f>IF($I7304=0,0,$R7304)</f>
      </c>
      <c r="K7305" s="43">
        <f>IF($I7305=0,0,IF(INDEX(DarlOhneTilgung,16)=1,0,IF(AND(INDEX(DarlTilgStart,16)&gt;0,$E7305=INDEX(DarlTilgStart,16)),$J7305*($H7305+INDEX(DarlTilgung,16))/100/12,IF(AND($G7305=0,$G7304=1),MAX($K7304,$J7305*($H7305+1)/100/12),$K7304))))</f>
      </c>
      <c r="L7305" s="43">
        <f>IF($I7305=0,0,$J7305*$H7305/100/12)</f>
      </c>
      <c r="M7305" s="43">
        <f>IF($I7305=0,0,IF(OR(INDEX(DarlOhneTilgung,16)=1,AND(INDEX(DarlTilgStart,16)&gt;0,$E7305&lt;INDEX(DarlTilgStart,16))),0,MIN(MAX(0,$K7305-$L7305),$J7305)))</f>
      </c>
      <c r="N7305" s="43">
        <f>IF($I7305=0,0,MIN(SUMIFS(SondBetrag,SondDarl,16,SondDatum,"&gt;="&amp;$E7305,SondDatum,"&lt;="&amp;EOMONTH($E7305,0)),$J7305-$M7305))</f>
      </c>
      <c r="O7305" s="43">
        <f>IF($I7305=0,0,INDEX(DarlErsatzRate,16))</f>
      </c>
      <c r="P7305" s="43">
        <f>IF($I7305=0,0,$Q7304*INDEX(DarlErsatzZins,16))</f>
      </c>
      <c r="Q7305" s="43">
        <f>IF($I7305=0,0,$Q7304+$P7305+$O7305)</f>
      </c>
      <c r="R7305" s="43">
        <f>IF($I7305=0,0,$J7305-$M7305-$N7305)</f>
      </c>
    </row>
    <row r="7306">
      <c r="A7306"/>
      <c r="B7306">
        <v>16</v>
      </c>
      <c r="C7306" s="43">
        <f>INDEX(DarlObj,16)</f>
      </c>
      <c r="D7306">
        <v>103</v>
      </c>
      <c r="E7306" s="51">
        <f>IF(INDEX(DarlBelegt,16)=0,0,EOMONTH(INDEX(DarlAuszahlung,16),102)+1)</f>
      </c>
      <c r="F7306" s="43">
        <f>IF($E7306=0,0,YEAR($E7306))</f>
      </c>
      <c r="G7306" s="43">
        <f>IF(INDEX(DarlBindung,16)="",1,IF($E7306&lt;=INDEX(DarlBindung,16),1,0))</f>
      </c>
      <c r="H7306" s="43">
        <f>IF($G7306=1,INDEX(DarlSollzins,16),INDEX(DarlAnschluss,16))</f>
      </c>
      <c r="I7306" s="43">
        <f>IF(INDEX(DarlBelegt,16)=0,0,IF(INDEX(DarlOhneTilgung,16)=1,IF(INDEX(DarlBindung,16)="",1,$G7306),IF($J7306&gt;0.005,1,0)))</f>
      </c>
      <c r="J7306" s="43">
        <f>IF($I7305=0,0,$R7305)</f>
      </c>
      <c r="K7306" s="43">
        <f>IF($I7306=0,0,IF(INDEX(DarlOhneTilgung,16)=1,0,IF(AND(INDEX(DarlTilgStart,16)&gt;0,$E7306=INDEX(DarlTilgStart,16)),$J7306*($H7306+INDEX(DarlTilgung,16))/100/12,IF(AND($G7306=0,$G7305=1),MAX($K7305,$J7306*($H7306+1)/100/12),$K7305))))</f>
      </c>
      <c r="L7306" s="43">
        <f>IF($I7306=0,0,$J7306*$H7306/100/12)</f>
      </c>
      <c r="M7306" s="43">
        <f>IF($I7306=0,0,IF(OR(INDEX(DarlOhneTilgung,16)=1,AND(INDEX(DarlTilgStart,16)&gt;0,$E7306&lt;INDEX(DarlTilgStart,16))),0,MIN(MAX(0,$K7306-$L7306),$J7306)))</f>
      </c>
      <c r="N7306" s="43">
        <f>IF($I7306=0,0,MIN(SUMIFS(SondBetrag,SondDarl,16,SondDatum,"&gt;="&amp;$E7306,SondDatum,"&lt;="&amp;EOMONTH($E7306,0)),$J7306-$M7306))</f>
      </c>
      <c r="O7306" s="43">
        <f>IF($I7306=0,0,INDEX(DarlErsatzRate,16))</f>
      </c>
      <c r="P7306" s="43">
        <f>IF($I7306=0,0,$Q7305*INDEX(DarlErsatzZins,16))</f>
      </c>
      <c r="Q7306" s="43">
        <f>IF($I7306=0,0,$Q7305+$P7306+$O7306)</f>
      </c>
      <c r="R7306" s="43">
        <f>IF($I7306=0,0,$J7306-$M7306-$N7306)</f>
      </c>
    </row>
    <row r="7307">
      <c r="A7307"/>
      <c r="B7307">
        <v>16</v>
      </c>
      <c r="C7307" s="43">
        <f>INDEX(DarlObj,16)</f>
      </c>
      <c r="D7307">
        <v>104</v>
      </c>
      <c r="E7307" s="51">
        <f>IF(INDEX(DarlBelegt,16)=0,0,EOMONTH(INDEX(DarlAuszahlung,16),103)+1)</f>
      </c>
      <c r="F7307" s="43">
        <f>IF($E7307=0,0,YEAR($E7307))</f>
      </c>
      <c r="G7307" s="43">
        <f>IF(INDEX(DarlBindung,16)="",1,IF($E7307&lt;=INDEX(DarlBindung,16),1,0))</f>
      </c>
      <c r="H7307" s="43">
        <f>IF($G7307=1,INDEX(DarlSollzins,16),INDEX(DarlAnschluss,16))</f>
      </c>
      <c r="I7307" s="43">
        <f>IF(INDEX(DarlBelegt,16)=0,0,IF(INDEX(DarlOhneTilgung,16)=1,IF(INDEX(DarlBindung,16)="",1,$G7307),IF($J7307&gt;0.005,1,0)))</f>
      </c>
      <c r="J7307" s="43">
        <f>IF($I7306=0,0,$R7306)</f>
      </c>
      <c r="K7307" s="43">
        <f>IF($I7307=0,0,IF(INDEX(DarlOhneTilgung,16)=1,0,IF(AND(INDEX(DarlTilgStart,16)&gt;0,$E7307=INDEX(DarlTilgStart,16)),$J7307*($H7307+INDEX(DarlTilgung,16))/100/12,IF(AND($G7307=0,$G7306=1),MAX($K7306,$J7307*($H7307+1)/100/12),$K7306))))</f>
      </c>
      <c r="L7307" s="43">
        <f>IF($I7307=0,0,$J7307*$H7307/100/12)</f>
      </c>
      <c r="M7307" s="43">
        <f>IF($I7307=0,0,IF(OR(INDEX(DarlOhneTilgung,16)=1,AND(INDEX(DarlTilgStart,16)&gt;0,$E7307&lt;INDEX(DarlTilgStart,16))),0,MIN(MAX(0,$K7307-$L7307),$J7307)))</f>
      </c>
      <c r="N7307" s="43">
        <f>IF($I7307=0,0,MIN(SUMIFS(SondBetrag,SondDarl,16,SondDatum,"&gt;="&amp;$E7307,SondDatum,"&lt;="&amp;EOMONTH($E7307,0)),$J7307-$M7307))</f>
      </c>
      <c r="O7307" s="43">
        <f>IF($I7307=0,0,INDEX(DarlErsatzRate,16))</f>
      </c>
      <c r="P7307" s="43">
        <f>IF($I7307=0,0,$Q7306*INDEX(DarlErsatzZins,16))</f>
      </c>
      <c r="Q7307" s="43">
        <f>IF($I7307=0,0,$Q7306+$P7307+$O7307)</f>
      </c>
      <c r="R7307" s="43">
        <f>IF($I7307=0,0,$J7307-$M7307-$N7307)</f>
      </c>
    </row>
    <row r="7308">
      <c r="A7308"/>
      <c r="B7308">
        <v>16</v>
      </c>
      <c r="C7308" s="43">
        <f>INDEX(DarlObj,16)</f>
      </c>
      <c r="D7308">
        <v>105</v>
      </c>
      <c r="E7308" s="51">
        <f>IF(INDEX(DarlBelegt,16)=0,0,EOMONTH(INDEX(DarlAuszahlung,16),104)+1)</f>
      </c>
      <c r="F7308" s="43">
        <f>IF($E7308=0,0,YEAR($E7308))</f>
      </c>
      <c r="G7308" s="43">
        <f>IF(INDEX(DarlBindung,16)="",1,IF($E7308&lt;=INDEX(DarlBindung,16),1,0))</f>
      </c>
      <c r="H7308" s="43">
        <f>IF($G7308=1,INDEX(DarlSollzins,16),INDEX(DarlAnschluss,16))</f>
      </c>
      <c r="I7308" s="43">
        <f>IF(INDEX(DarlBelegt,16)=0,0,IF(INDEX(DarlOhneTilgung,16)=1,IF(INDEX(DarlBindung,16)="",1,$G7308),IF($J7308&gt;0.005,1,0)))</f>
      </c>
      <c r="J7308" s="43">
        <f>IF($I7307=0,0,$R7307)</f>
      </c>
      <c r="K7308" s="43">
        <f>IF($I7308=0,0,IF(INDEX(DarlOhneTilgung,16)=1,0,IF(AND(INDEX(DarlTilgStart,16)&gt;0,$E7308=INDEX(DarlTilgStart,16)),$J7308*($H7308+INDEX(DarlTilgung,16))/100/12,IF(AND($G7308=0,$G7307=1),MAX($K7307,$J7308*($H7308+1)/100/12),$K7307))))</f>
      </c>
      <c r="L7308" s="43">
        <f>IF($I7308=0,0,$J7308*$H7308/100/12)</f>
      </c>
      <c r="M7308" s="43">
        <f>IF($I7308=0,0,IF(OR(INDEX(DarlOhneTilgung,16)=1,AND(INDEX(DarlTilgStart,16)&gt;0,$E7308&lt;INDEX(DarlTilgStart,16))),0,MIN(MAX(0,$K7308-$L7308),$J7308)))</f>
      </c>
      <c r="N7308" s="43">
        <f>IF($I7308=0,0,MIN(SUMIFS(SondBetrag,SondDarl,16,SondDatum,"&gt;="&amp;$E7308,SondDatum,"&lt;="&amp;EOMONTH($E7308,0)),$J7308-$M7308))</f>
      </c>
      <c r="O7308" s="43">
        <f>IF($I7308=0,0,INDEX(DarlErsatzRate,16))</f>
      </c>
      <c r="P7308" s="43">
        <f>IF($I7308=0,0,$Q7307*INDEX(DarlErsatzZins,16))</f>
      </c>
      <c r="Q7308" s="43">
        <f>IF($I7308=0,0,$Q7307+$P7308+$O7308)</f>
      </c>
      <c r="R7308" s="43">
        <f>IF($I7308=0,0,$J7308-$M7308-$N7308)</f>
      </c>
    </row>
    <row r="7309">
      <c r="A7309"/>
      <c r="B7309">
        <v>16</v>
      </c>
      <c r="C7309" s="43">
        <f>INDEX(DarlObj,16)</f>
      </c>
      <c r="D7309">
        <v>106</v>
      </c>
      <c r="E7309" s="51">
        <f>IF(INDEX(DarlBelegt,16)=0,0,EOMONTH(INDEX(DarlAuszahlung,16),105)+1)</f>
      </c>
      <c r="F7309" s="43">
        <f>IF($E7309=0,0,YEAR($E7309))</f>
      </c>
      <c r="G7309" s="43">
        <f>IF(INDEX(DarlBindung,16)="",1,IF($E7309&lt;=INDEX(DarlBindung,16),1,0))</f>
      </c>
      <c r="H7309" s="43">
        <f>IF($G7309=1,INDEX(DarlSollzins,16),INDEX(DarlAnschluss,16))</f>
      </c>
      <c r="I7309" s="43">
        <f>IF(INDEX(DarlBelegt,16)=0,0,IF(INDEX(DarlOhneTilgung,16)=1,IF(INDEX(DarlBindung,16)="",1,$G7309),IF($J7309&gt;0.005,1,0)))</f>
      </c>
      <c r="J7309" s="43">
        <f>IF($I7308=0,0,$R7308)</f>
      </c>
      <c r="K7309" s="43">
        <f>IF($I7309=0,0,IF(INDEX(DarlOhneTilgung,16)=1,0,IF(AND(INDEX(DarlTilgStart,16)&gt;0,$E7309=INDEX(DarlTilgStart,16)),$J7309*($H7309+INDEX(DarlTilgung,16))/100/12,IF(AND($G7309=0,$G7308=1),MAX($K7308,$J7309*($H7309+1)/100/12),$K7308))))</f>
      </c>
      <c r="L7309" s="43">
        <f>IF($I7309=0,0,$J7309*$H7309/100/12)</f>
      </c>
      <c r="M7309" s="43">
        <f>IF($I7309=0,0,IF(OR(INDEX(DarlOhneTilgung,16)=1,AND(INDEX(DarlTilgStart,16)&gt;0,$E7309&lt;INDEX(DarlTilgStart,16))),0,MIN(MAX(0,$K7309-$L7309),$J7309)))</f>
      </c>
      <c r="N7309" s="43">
        <f>IF($I7309=0,0,MIN(SUMIFS(SondBetrag,SondDarl,16,SondDatum,"&gt;="&amp;$E7309,SondDatum,"&lt;="&amp;EOMONTH($E7309,0)),$J7309-$M7309))</f>
      </c>
      <c r="O7309" s="43">
        <f>IF($I7309=0,0,INDEX(DarlErsatzRate,16))</f>
      </c>
      <c r="P7309" s="43">
        <f>IF($I7309=0,0,$Q7308*INDEX(DarlErsatzZins,16))</f>
      </c>
      <c r="Q7309" s="43">
        <f>IF($I7309=0,0,$Q7308+$P7309+$O7309)</f>
      </c>
      <c r="R7309" s="43">
        <f>IF($I7309=0,0,$J7309-$M7309-$N7309)</f>
      </c>
    </row>
    <row r="7310">
      <c r="A7310"/>
      <c r="B7310">
        <v>16</v>
      </c>
      <c r="C7310" s="43">
        <f>INDEX(DarlObj,16)</f>
      </c>
      <c r="D7310">
        <v>107</v>
      </c>
      <c r="E7310" s="51">
        <f>IF(INDEX(DarlBelegt,16)=0,0,EOMONTH(INDEX(DarlAuszahlung,16),106)+1)</f>
      </c>
      <c r="F7310" s="43">
        <f>IF($E7310=0,0,YEAR($E7310))</f>
      </c>
      <c r="G7310" s="43">
        <f>IF(INDEX(DarlBindung,16)="",1,IF($E7310&lt;=INDEX(DarlBindung,16),1,0))</f>
      </c>
      <c r="H7310" s="43">
        <f>IF($G7310=1,INDEX(DarlSollzins,16),INDEX(DarlAnschluss,16))</f>
      </c>
      <c r="I7310" s="43">
        <f>IF(INDEX(DarlBelegt,16)=0,0,IF(INDEX(DarlOhneTilgung,16)=1,IF(INDEX(DarlBindung,16)="",1,$G7310),IF($J7310&gt;0.005,1,0)))</f>
      </c>
      <c r="J7310" s="43">
        <f>IF($I7309=0,0,$R7309)</f>
      </c>
      <c r="K7310" s="43">
        <f>IF($I7310=0,0,IF(INDEX(DarlOhneTilgung,16)=1,0,IF(AND(INDEX(DarlTilgStart,16)&gt;0,$E7310=INDEX(DarlTilgStart,16)),$J7310*($H7310+INDEX(DarlTilgung,16))/100/12,IF(AND($G7310=0,$G7309=1),MAX($K7309,$J7310*($H7310+1)/100/12),$K7309))))</f>
      </c>
      <c r="L7310" s="43">
        <f>IF($I7310=0,0,$J7310*$H7310/100/12)</f>
      </c>
      <c r="M7310" s="43">
        <f>IF($I7310=0,0,IF(OR(INDEX(DarlOhneTilgung,16)=1,AND(INDEX(DarlTilgStart,16)&gt;0,$E7310&lt;INDEX(DarlTilgStart,16))),0,MIN(MAX(0,$K7310-$L7310),$J7310)))</f>
      </c>
      <c r="N7310" s="43">
        <f>IF($I7310=0,0,MIN(SUMIFS(SondBetrag,SondDarl,16,SondDatum,"&gt;="&amp;$E7310,SondDatum,"&lt;="&amp;EOMONTH($E7310,0)),$J7310-$M7310))</f>
      </c>
      <c r="O7310" s="43">
        <f>IF($I7310=0,0,INDEX(DarlErsatzRate,16))</f>
      </c>
      <c r="P7310" s="43">
        <f>IF($I7310=0,0,$Q7309*INDEX(DarlErsatzZins,16))</f>
      </c>
      <c r="Q7310" s="43">
        <f>IF($I7310=0,0,$Q7309+$P7310+$O7310)</f>
      </c>
      <c r="R7310" s="43">
        <f>IF($I7310=0,0,$J7310-$M7310-$N7310)</f>
      </c>
    </row>
    <row r="7311">
      <c r="A7311"/>
      <c r="B7311">
        <v>16</v>
      </c>
      <c r="C7311" s="43">
        <f>INDEX(DarlObj,16)</f>
      </c>
      <c r="D7311">
        <v>108</v>
      </c>
      <c r="E7311" s="51">
        <f>IF(INDEX(DarlBelegt,16)=0,0,EOMONTH(INDEX(DarlAuszahlung,16),107)+1)</f>
      </c>
      <c r="F7311" s="43">
        <f>IF($E7311=0,0,YEAR($E7311))</f>
      </c>
      <c r="G7311" s="43">
        <f>IF(INDEX(DarlBindung,16)="",1,IF($E7311&lt;=INDEX(DarlBindung,16),1,0))</f>
      </c>
      <c r="H7311" s="43">
        <f>IF($G7311=1,INDEX(DarlSollzins,16),INDEX(DarlAnschluss,16))</f>
      </c>
      <c r="I7311" s="43">
        <f>IF(INDEX(DarlBelegt,16)=0,0,IF(INDEX(DarlOhneTilgung,16)=1,IF(INDEX(DarlBindung,16)="",1,$G7311),IF($J7311&gt;0.005,1,0)))</f>
      </c>
      <c r="J7311" s="43">
        <f>IF($I7310=0,0,$R7310)</f>
      </c>
      <c r="K7311" s="43">
        <f>IF($I7311=0,0,IF(INDEX(DarlOhneTilgung,16)=1,0,IF(AND(INDEX(DarlTilgStart,16)&gt;0,$E7311=INDEX(DarlTilgStart,16)),$J7311*($H7311+INDEX(DarlTilgung,16))/100/12,IF(AND($G7311=0,$G7310=1),MAX($K7310,$J7311*($H7311+1)/100/12),$K7310))))</f>
      </c>
      <c r="L7311" s="43">
        <f>IF($I7311=0,0,$J7311*$H7311/100/12)</f>
      </c>
      <c r="M7311" s="43">
        <f>IF($I7311=0,0,IF(OR(INDEX(DarlOhneTilgung,16)=1,AND(INDEX(DarlTilgStart,16)&gt;0,$E7311&lt;INDEX(DarlTilgStart,16))),0,MIN(MAX(0,$K7311-$L7311),$J7311)))</f>
      </c>
      <c r="N7311" s="43">
        <f>IF($I7311=0,0,MIN(SUMIFS(SondBetrag,SondDarl,16,SondDatum,"&gt;="&amp;$E7311,SondDatum,"&lt;="&amp;EOMONTH($E7311,0)),$J7311-$M7311))</f>
      </c>
      <c r="O7311" s="43">
        <f>IF($I7311=0,0,INDEX(DarlErsatzRate,16))</f>
      </c>
      <c r="P7311" s="43">
        <f>IF($I7311=0,0,$Q7310*INDEX(DarlErsatzZins,16))</f>
      </c>
      <c r="Q7311" s="43">
        <f>IF($I7311=0,0,$Q7310+$P7311+$O7311)</f>
      </c>
      <c r="R7311" s="43">
        <f>IF($I7311=0,0,$J7311-$M7311-$N7311)</f>
      </c>
    </row>
    <row r="7312">
      <c r="A7312"/>
      <c r="B7312">
        <v>16</v>
      </c>
      <c r="C7312" s="43">
        <f>INDEX(DarlObj,16)</f>
      </c>
      <c r="D7312">
        <v>109</v>
      </c>
      <c r="E7312" s="51">
        <f>IF(INDEX(DarlBelegt,16)=0,0,EOMONTH(INDEX(DarlAuszahlung,16),108)+1)</f>
      </c>
      <c r="F7312" s="43">
        <f>IF($E7312=0,0,YEAR($E7312))</f>
      </c>
      <c r="G7312" s="43">
        <f>IF(INDEX(DarlBindung,16)="",1,IF($E7312&lt;=INDEX(DarlBindung,16),1,0))</f>
      </c>
      <c r="H7312" s="43">
        <f>IF($G7312=1,INDEX(DarlSollzins,16),INDEX(DarlAnschluss,16))</f>
      </c>
      <c r="I7312" s="43">
        <f>IF(INDEX(DarlBelegt,16)=0,0,IF(INDEX(DarlOhneTilgung,16)=1,IF(INDEX(DarlBindung,16)="",1,$G7312),IF($J7312&gt;0.005,1,0)))</f>
      </c>
      <c r="J7312" s="43">
        <f>IF($I7311=0,0,$R7311)</f>
      </c>
      <c r="K7312" s="43">
        <f>IF($I7312=0,0,IF(INDEX(DarlOhneTilgung,16)=1,0,IF(AND(INDEX(DarlTilgStart,16)&gt;0,$E7312=INDEX(DarlTilgStart,16)),$J7312*($H7312+INDEX(DarlTilgung,16))/100/12,IF(AND($G7312=0,$G7311=1),MAX($K7311,$J7312*($H7312+1)/100/12),$K7311))))</f>
      </c>
      <c r="L7312" s="43">
        <f>IF($I7312=0,0,$J7312*$H7312/100/12)</f>
      </c>
      <c r="M7312" s="43">
        <f>IF($I7312=0,0,IF(OR(INDEX(DarlOhneTilgung,16)=1,AND(INDEX(DarlTilgStart,16)&gt;0,$E7312&lt;INDEX(DarlTilgStart,16))),0,MIN(MAX(0,$K7312-$L7312),$J7312)))</f>
      </c>
      <c r="N7312" s="43">
        <f>IF($I7312=0,0,MIN(SUMIFS(SondBetrag,SondDarl,16,SondDatum,"&gt;="&amp;$E7312,SondDatum,"&lt;="&amp;EOMONTH($E7312,0)),$J7312-$M7312))</f>
      </c>
      <c r="O7312" s="43">
        <f>IF($I7312=0,0,INDEX(DarlErsatzRate,16))</f>
      </c>
      <c r="P7312" s="43">
        <f>IF($I7312=0,0,$Q7311*INDEX(DarlErsatzZins,16))</f>
      </c>
      <c r="Q7312" s="43">
        <f>IF($I7312=0,0,$Q7311+$P7312+$O7312)</f>
      </c>
      <c r="R7312" s="43">
        <f>IF($I7312=0,0,$J7312-$M7312-$N7312)</f>
      </c>
    </row>
    <row r="7313">
      <c r="A7313"/>
      <c r="B7313">
        <v>16</v>
      </c>
      <c r="C7313" s="43">
        <f>INDEX(DarlObj,16)</f>
      </c>
      <c r="D7313">
        <v>110</v>
      </c>
      <c r="E7313" s="51">
        <f>IF(INDEX(DarlBelegt,16)=0,0,EOMONTH(INDEX(DarlAuszahlung,16),109)+1)</f>
      </c>
      <c r="F7313" s="43">
        <f>IF($E7313=0,0,YEAR($E7313))</f>
      </c>
      <c r="G7313" s="43">
        <f>IF(INDEX(DarlBindung,16)="",1,IF($E7313&lt;=INDEX(DarlBindung,16),1,0))</f>
      </c>
      <c r="H7313" s="43">
        <f>IF($G7313=1,INDEX(DarlSollzins,16),INDEX(DarlAnschluss,16))</f>
      </c>
      <c r="I7313" s="43">
        <f>IF(INDEX(DarlBelegt,16)=0,0,IF(INDEX(DarlOhneTilgung,16)=1,IF(INDEX(DarlBindung,16)="",1,$G7313),IF($J7313&gt;0.005,1,0)))</f>
      </c>
      <c r="J7313" s="43">
        <f>IF($I7312=0,0,$R7312)</f>
      </c>
      <c r="K7313" s="43">
        <f>IF($I7313=0,0,IF(INDEX(DarlOhneTilgung,16)=1,0,IF(AND(INDEX(DarlTilgStart,16)&gt;0,$E7313=INDEX(DarlTilgStart,16)),$J7313*($H7313+INDEX(DarlTilgung,16))/100/12,IF(AND($G7313=0,$G7312=1),MAX($K7312,$J7313*($H7313+1)/100/12),$K7312))))</f>
      </c>
      <c r="L7313" s="43">
        <f>IF($I7313=0,0,$J7313*$H7313/100/12)</f>
      </c>
      <c r="M7313" s="43">
        <f>IF($I7313=0,0,IF(OR(INDEX(DarlOhneTilgung,16)=1,AND(INDEX(DarlTilgStart,16)&gt;0,$E7313&lt;INDEX(DarlTilgStart,16))),0,MIN(MAX(0,$K7313-$L7313),$J7313)))</f>
      </c>
      <c r="N7313" s="43">
        <f>IF($I7313=0,0,MIN(SUMIFS(SondBetrag,SondDarl,16,SondDatum,"&gt;="&amp;$E7313,SondDatum,"&lt;="&amp;EOMONTH($E7313,0)),$J7313-$M7313))</f>
      </c>
      <c r="O7313" s="43">
        <f>IF($I7313=0,0,INDEX(DarlErsatzRate,16))</f>
      </c>
      <c r="P7313" s="43">
        <f>IF($I7313=0,0,$Q7312*INDEX(DarlErsatzZins,16))</f>
      </c>
      <c r="Q7313" s="43">
        <f>IF($I7313=0,0,$Q7312+$P7313+$O7313)</f>
      </c>
      <c r="R7313" s="43">
        <f>IF($I7313=0,0,$J7313-$M7313-$N7313)</f>
      </c>
    </row>
    <row r="7314">
      <c r="A7314"/>
      <c r="B7314">
        <v>16</v>
      </c>
      <c r="C7314" s="43">
        <f>INDEX(DarlObj,16)</f>
      </c>
      <c r="D7314">
        <v>111</v>
      </c>
      <c r="E7314" s="51">
        <f>IF(INDEX(DarlBelegt,16)=0,0,EOMONTH(INDEX(DarlAuszahlung,16),110)+1)</f>
      </c>
      <c r="F7314" s="43">
        <f>IF($E7314=0,0,YEAR($E7314))</f>
      </c>
      <c r="G7314" s="43">
        <f>IF(INDEX(DarlBindung,16)="",1,IF($E7314&lt;=INDEX(DarlBindung,16),1,0))</f>
      </c>
      <c r="H7314" s="43">
        <f>IF($G7314=1,INDEX(DarlSollzins,16),INDEX(DarlAnschluss,16))</f>
      </c>
      <c r="I7314" s="43">
        <f>IF(INDEX(DarlBelegt,16)=0,0,IF(INDEX(DarlOhneTilgung,16)=1,IF(INDEX(DarlBindung,16)="",1,$G7314),IF($J7314&gt;0.005,1,0)))</f>
      </c>
      <c r="J7314" s="43">
        <f>IF($I7313=0,0,$R7313)</f>
      </c>
      <c r="K7314" s="43">
        <f>IF($I7314=0,0,IF(INDEX(DarlOhneTilgung,16)=1,0,IF(AND(INDEX(DarlTilgStart,16)&gt;0,$E7314=INDEX(DarlTilgStart,16)),$J7314*($H7314+INDEX(DarlTilgung,16))/100/12,IF(AND($G7314=0,$G7313=1),MAX($K7313,$J7314*($H7314+1)/100/12),$K7313))))</f>
      </c>
      <c r="L7314" s="43">
        <f>IF($I7314=0,0,$J7314*$H7314/100/12)</f>
      </c>
      <c r="M7314" s="43">
        <f>IF($I7314=0,0,IF(OR(INDEX(DarlOhneTilgung,16)=1,AND(INDEX(DarlTilgStart,16)&gt;0,$E7314&lt;INDEX(DarlTilgStart,16))),0,MIN(MAX(0,$K7314-$L7314),$J7314)))</f>
      </c>
      <c r="N7314" s="43">
        <f>IF($I7314=0,0,MIN(SUMIFS(SondBetrag,SondDarl,16,SondDatum,"&gt;="&amp;$E7314,SondDatum,"&lt;="&amp;EOMONTH($E7314,0)),$J7314-$M7314))</f>
      </c>
      <c r="O7314" s="43">
        <f>IF($I7314=0,0,INDEX(DarlErsatzRate,16))</f>
      </c>
      <c r="P7314" s="43">
        <f>IF($I7314=0,0,$Q7313*INDEX(DarlErsatzZins,16))</f>
      </c>
      <c r="Q7314" s="43">
        <f>IF($I7314=0,0,$Q7313+$P7314+$O7314)</f>
      </c>
      <c r="R7314" s="43">
        <f>IF($I7314=0,0,$J7314-$M7314-$N7314)</f>
      </c>
    </row>
    <row r="7315">
      <c r="A7315"/>
      <c r="B7315">
        <v>16</v>
      </c>
      <c r="C7315" s="43">
        <f>INDEX(DarlObj,16)</f>
      </c>
      <c r="D7315">
        <v>112</v>
      </c>
      <c r="E7315" s="51">
        <f>IF(INDEX(DarlBelegt,16)=0,0,EOMONTH(INDEX(DarlAuszahlung,16),111)+1)</f>
      </c>
      <c r="F7315" s="43">
        <f>IF($E7315=0,0,YEAR($E7315))</f>
      </c>
      <c r="G7315" s="43">
        <f>IF(INDEX(DarlBindung,16)="",1,IF($E7315&lt;=INDEX(DarlBindung,16),1,0))</f>
      </c>
      <c r="H7315" s="43">
        <f>IF($G7315=1,INDEX(DarlSollzins,16),INDEX(DarlAnschluss,16))</f>
      </c>
      <c r="I7315" s="43">
        <f>IF(INDEX(DarlBelegt,16)=0,0,IF(INDEX(DarlOhneTilgung,16)=1,IF(INDEX(DarlBindung,16)="",1,$G7315),IF($J7315&gt;0.005,1,0)))</f>
      </c>
      <c r="J7315" s="43">
        <f>IF($I7314=0,0,$R7314)</f>
      </c>
      <c r="K7315" s="43">
        <f>IF($I7315=0,0,IF(INDEX(DarlOhneTilgung,16)=1,0,IF(AND(INDEX(DarlTilgStart,16)&gt;0,$E7315=INDEX(DarlTilgStart,16)),$J7315*($H7315+INDEX(DarlTilgung,16))/100/12,IF(AND($G7315=0,$G7314=1),MAX($K7314,$J7315*($H7315+1)/100/12),$K7314))))</f>
      </c>
      <c r="L7315" s="43">
        <f>IF($I7315=0,0,$J7315*$H7315/100/12)</f>
      </c>
      <c r="M7315" s="43">
        <f>IF($I7315=0,0,IF(OR(INDEX(DarlOhneTilgung,16)=1,AND(INDEX(DarlTilgStart,16)&gt;0,$E7315&lt;INDEX(DarlTilgStart,16))),0,MIN(MAX(0,$K7315-$L7315),$J7315)))</f>
      </c>
      <c r="N7315" s="43">
        <f>IF($I7315=0,0,MIN(SUMIFS(SondBetrag,SondDarl,16,SondDatum,"&gt;="&amp;$E7315,SondDatum,"&lt;="&amp;EOMONTH($E7315,0)),$J7315-$M7315))</f>
      </c>
      <c r="O7315" s="43">
        <f>IF($I7315=0,0,INDEX(DarlErsatzRate,16))</f>
      </c>
      <c r="P7315" s="43">
        <f>IF($I7315=0,0,$Q7314*INDEX(DarlErsatzZins,16))</f>
      </c>
      <c r="Q7315" s="43">
        <f>IF($I7315=0,0,$Q7314+$P7315+$O7315)</f>
      </c>
      <c r="R7315" s="43">
        <f>IF($I7315=0,0,$J7315-$M7315-$N7315)</f>
      </c>
    </row>
    <row r="7316">
      <c r="A7316"/>
      <c r="B7316">
        <v>16</v>
      </c>
      <c r="C7316" s="43">
        <f>INDEX(DarlObj,16)</f>
      </c>
      <c r="D7316">
        <v>113</v>
      </c>
      <c r="E7316" s="51">
        <f>IF(INDEX(DarlBelegt,16)=0,0,EOMONTH(INDEX(DarlAuszahlung,16),112)+1)</f>
      </c>
      <c r="F7316" s="43">
        <f>IF($E7316=0,0,YEAR($E7316))</f>
      </c>
      <c r="G7316" s="43">
        <f>IF(INDEX(DarlBindung,16)="",1,IF($E7316&lt;=INDEX(DarlBindung,16),1,0))</f>
      </c>
      <c r="H7316" s="43">
        <f>IF($G7316=1,INDEX(DarlSollzins,16),INDEX(DarlAnschluss,16))</f>
      </c>
      <c r="I7316" s="43">
        <f>IF(INDEX(DarlBelegt,16)=0,0,IF(INDEX(DarlOhneTilgung,16)=1,IF(INDEX(DarlBindung,16)="",1,$G7316),IF($J7316&gt;0.005,1,0)))</f>
      </c>
      <c r="J7316" s="43">
        <f>IF($I7315=0,0,$R7315)</f>
      </c>
      <c r="K7316" s="43">
        <f>IF($I7316=0,0,IF(INDEX(DarlOhneTilgung,16)=1,0,IF(AND(INDEX(DarlTilgStart,16)&gt;0,$E7316=INDEX(DarlTilgStart,16)),$J7316*($H7316+INDEX(DarlTilgung,16))/100/12,IF(AND($G7316=0,$G7315=1),MAX($K7315,$J7316*($H7316+1)/100/12),$K7315))))</f>
      </c>
      <c r="L7316" s="43">
        <f>IF($I7316=0,0,$J7316*$H7316/100/12)</f>
      </c>
      <c r="M7316" s="43">
        <f>IF($I7316=0,0,IF(OR(INDEX(DarlOhneTilgung,16)=1,AND(INDEX(DarlTilgStart,16)&gt;0,$E7316&lt;INDEX(DarlTilgStart,16))),0,MIN(MAX(0,$K7316-$L7316),$J7316)))</f>
      </c>
      <c r="N7316" s="43">
        <f>IF($I7316=0,0,MIN(SUMIFS(SondBetrag,SondDarl,16,SondDatum,"&gt;="&amp;$E7316,SondDatum,"&lt;="&amp;EOMONTH($E7316,0)),$J7316-$M7316))</f>
      </c>
      <c r="O7316" s="43">
        <f>IF($I7316=0,0,INDEX(DarlErsatzRate,16))</f>
      </c>
      <c r="P7316" s="43">
        <f>IF($I7316=0,0,$Q7315*INDEX(DarlErsatzZins,16))</f>
      </c>
      <c r="Q7316" s="43">
        <f>IF($I7316=0,0,$Q7315+$P7316+$O7316)</f>
      </c>
      <c r="R7316" s="43">
        <f>IF($I7316=0,0,$J7316-$M7316-$N7316)</f>
      </c>
    </row>
    <row r="7317">
      <c r="A7317"/>
      <c r="B7317">
        <v>16</v>
      </c>
      <c r="C7317" s="43">
        <f>INDEX(DarlObj,16)</f>
      </c>
      <c r="D7317">
        <v>114</v>
      </c>
      <c r="E7317" s="51">
        <f>IF(INDEX(DarlBelegt,16)=0,0,EOMONTH(INDEX(DarlAuszahlung,16),113)+1)</f>
      </c>
      <c r="F7317" s="43">
        <f>IF($E7317=0,0,YEAR($E7317))</f>
      </c>
      <c r="G7317" s="43">
        <f>IF(INDEX(DarlBindung,16)="",1,IF($E7317&lt;=INDEX(DarlBindung,16),1,0))</f>
      </c>
      <c r="H7317" s="43">
        <f>IF($G7317=1,INDEX(DarlSollzins,16),INDEX(DarlAnschluss,16))</f>
      </c>
      <c r="I7317" s="43">
        <f>IF(INDEX(DarlBelegt,16)=0,0,IF(INDEX(DarlOhneTilgung,16)=1,IF(INDEX(DarlBindung,16)="",1,$G7317),IF($J7317&gt;0.005,1,0)))</f>
      </c>
      <c r="J7317" s="43">
        <f>IF($I7316=0,0,$R7316)</f>
      </c>
      <c r="K7317" s="43">
        <f>IF($I7317=0,0,IF(INDEX(DarlOhneTilgung,16)=1,0,IF(AND(INDEX(DarlTilgStart,16)&gt;0,$E7317=INDEX(DarlTilgStart,16)),$J7317*($H7317+INDEX(DarlTilgung,16))/100/12,IF(AND($G7317=0,$G7316=1),MAX($K7316,$J7317*($H7317+1)/100/12),$K7316))))</f>
      </c>
      <c r="L7317" s="43">
        <f>IF($I7317=0,0,$J7317*$H7317/100/12)</f>
      </c>
      <c r="M7317" s="43">
        <f>IF($I7317=0,0,IF(OR(INDEX(DarlOhneTilgung,16)=1,AND(INDEX(DarlTilgStart,16)&gt;0,$E7317&lt;INDEX(DarlTilgStart,16))),0,MIN(MAX(0,$K7317-$L7317),$J7317)))</f>
      </c>
      <c r="N7317" s="43">
        <f>IF($I7317=0,0,MIN(SUMIFS(SondBetrag,SondDarl,16,SondDatum,"&gt;="&amp;$E7317,SondDatum,"&lt;="&amp;EOMONTH($E7317,0)),$J7317-$M7317))</f>
      </c>
      <c r="O7317" s="43">
        <f>IF($I7317=0,0,INDEX(DarlErsatzRate,16))</f>
      </c>
      <c r="P7317" s="43">
        <f>IF($I7317=0,0,$Q7316*INDEX(DarlErsatzZins,16))</f>
      </c>
      <c r="Q7317" s="43">
        <f>IF($I7317=0,0,$Q7316+$P7317+$O7317)</f>
      </c>
      <c r="R7317" s="43">
        <f>IF($I7317=0,0,$J7317-$M7317-$N7317)</f>
      </c>
    </row>
    <row r="7318">
      <c r="A7318"/>
      <c r="B7318">
        <v>16</v>
      </c>
      <c r="C7318" s="43">
        <f>INDEX(DarlObj,16)</f>
      </c>
      <c r="D7318">
        <v>115</v>
      </c>
      <c r="E7318" s="51">
        <f>IF(INDEX(DarlBelegt,16)=0,0,EOMONTH(INDEX(DarlAuszahlung,16),114)+1)</f>
      </c>
      <c r="F7318" s="43">
        <f>IF($E7318=0,0,YEAR($E7318))</f>
      </c>
      <c r="G7318" s="43">
        <f>IF(INDEX(DarlBindung,16)="",1,IF($E7318&lt;=INDEX(DarlBindung,16),1,0))</f>
      </c>
      <c r="H7318" s="43">
        <f>IF($G7318=1,INDEX(DarlSollzins,16),INDEX(DarlAnschluss,16))</f>
      </c>
      <c r="I7318" s="43">
        <f>IF(INDEX(DarlBelegt,16)=0,0,IF(INDEX(DarlOhneTilgung,16)=1,IF(INDEX(DarlBindung,16)="",1,$G7318),IF($J7318&gt;0.005,1,0)))</f>
      </c>
      <c r="J7318" s="43">
        <f>IF($I7317=0,0,$R7317)</f>
      </c>
      <c r="K7318" s="43">
        <f>IF($I7318=0,0,IF(INDEX(DarlOhneTilgung,16)=1,0,IF(AND(INDEX(DarlTilgStart,16)&gt;0,$E7318=INDEX(DarlTilgStart,16)),$J7318*($H7318+INDEX(DarlTilgung,16))/100/12,IF(AND($G7318=0,$G7317=1),MAX($K7317,$J7318*($H7318+1)/100/12),$K7317))))</f>
      </c>
      <c r="L7318" s="43">
        <f>IF($I7318=0,0,$J7318*$H7318/100/12)</f>
      </c>
      <c r="M7318" s="43">
        <f>IF($I7318=0,0,IF(OR(INDEX(DarlOhneTilgung,16)=1,AND(INDEX(DarlTilgStart,16)&gt;0,$E7318&lt;INDEX(DarlTilgStart,16))),0,MIN(MAX(0,$K7318-$L7318),$J7318)))</f>
      </c>
      <c r="N7318" s="43">
        <f>IF($I7318=0,0,MIN(SUMIFS(SondBetrag,SondDarl,16,SondDatum,"&gt;="&amp;$E7318,SondDatum,"&lt;="&amp;EOMONTH($E7318,0)),$J7318-$M7318))</f>
      </c>
      <c r="O7318" s="43">
        <f>IF($I7318=0,0,INDEX(DarlErsatzRate,16))</f>
      </c>
      <c r="P7318" s="43">
        <f>IF($I7318=0,0,$Q7317*INDEX(DarlErsatzZins,16))</f>
      </c>
      <c r="Q7318" s="43">
        <f>IF($I7318=0,0,$Q7317+$P7318+$O7318)</f>
      </c>
      <c r="R7318" s="43">
        <f>IF($I7318=0,0,$J7318-$M7318-$N7318)</f>
      </c>
    </row>
    <row r="7319">
      <c r="A7319"/>
      <c r="B7319">
        <v>16</v>
      </c>
      <c r="C7319" s="43">
        <f>INDEX(DarlObj,16)</f>
      </c>
      <c r="D7319">
        <v>116</v>
      </c>
      <c r="E7319" s="51">
        <f>IF(INDEX(DarlBelegt,16)=0,0,EOMONTH(INDEX(DarlAuszahlung,16),115)+1)</f>
      </c>
      <c r="F7319" s="43">
        <f>IF($E7319=0,0,YEAR($E7319))</f>
      </c>
      <c r="G7319" s="43">
        <f>IF(INDEX(DarlBindung,16)="",1,IF($E7319&lt;=INDEX(DarlBindung,16),1,0))</f>
      </c>
      <c r="H7319" s="43">
        <f>IF($G7319=1,INDEX(DarlSollzins,16),INDEX(DarlAnschluss,16))</f>
      </c>
      <c r="I7319" s="43">
        <f>IF(INDEX(DarlBelegt,16)=0,0,IF(INDEX(DarlOhneTilgung,16)=1,IF(INDEX(DarlBindung,16)="",1,$G7319),IF($J7319&gt;0.005,1,0)))</f>
      </c>
      <c r="J7319" s="43">
        <f>IF($I7318=0,0,$R7318)</f>
      </c>
      <c r="K7319" s="43">
        <f>IF($I7319=0,0,IF(INDEX(DarlOhneTilgung,16)=1,0,IF(AND(INDEX(DarlTilgStart,16)&gt;0,$E7319=INDEX(DarlTilgStart,16)),$J7319*($H7319+INDEX(DarlTilgung,16))/100/12,IF(AND($G7319=0,$G7318=1),MAX($K7318,$J7319*($H7319+1)/100/12),$K7318))))</f>
      </c>
      <c r="L7319" s="43">
        <f>IF($I7319=0,0,$J7319*$H7319/100/12)</f>
      </c>
      <c r="M7319" s="43">
        <f>IF($I7319=0,0,IF(OR(INDEX(DarlOhneTilgung,16)=1,AND(INDEX(DarlTilgStart,16)&gt;0,$E7319&lt;INDEX(DarlTilgStart,16))),0,MIN(MAX(0,$K7319-$L7319),$J7319)))</f>
      </c>
      <c r="N7319" s="43">
        <f>IF($I7319=0,0,MIN(SUMIFS(SondBetrag,SondDarl,16,SondDatum,"&gt;="&amp;$E7319,SondDatum,"&lt;="&amp;EOMONTH($E7319,0)),$J7319-$M7319))</f>
      </c>
      <c r="O7319" s="43">
        <f>IF($I7319=0,0,INDEX(DarlErsatzRate,16))</f>
      </c>
      <c r="P7319" s="43">
        <f>IF($I7319=0,0,$Q7318*INDEX(DarlErsatzZins,16))</f>
      </c>
      <c r="Q7319" s="43">
        <f>IF($I7319=0,0,$Q7318+$P7319+$O7319)</f>
      </c>
      <c r="R7319" s="43">
        <f>IF($I7319=0,0,$J7319-$M7319-$N7319)</f>
      </c>
    </row>
    <row r="7320">
      <c r="A7320"/>
      <c r="B7320">
        <v>16</v>
      </c>
      <c r="C7320" s="43">
        <f>INDEX(DarlObj,16)</f>
      </c>
      <c r="D7320">
        <v>117</v>
      </c>
      <c r="E7320" s="51">
        <f>IF(INDEX(DarlBelegt,16)=0,0,EOMONTH(INDEX(DarlAuszahlung,16),116)+1)</f>
      </c>
      <c r="F7320" s="43">
        <f>IF($E7320=0,0,YEAR($E7320))</f>
      </c>
      <c r="G7320" s="43">
        <f>IF(INDEX(DarlBindung,16)="",1,IF($E7320&lt;=INDEX(DarlBindung,16),1,0))</f>
      </c>
      <c r="H7320" s="43">
        <f>IF($G7320=1,INDEX(DarlSollzins,16),INDEX(DarlAnschluss,16))</f>
      </c>
      <c r="I7320" s="43">
        <f>IF(INDEX(DarlBelegt,16)=0,0,IF(INDEX(DarlOhneTilgung,16)=1,IF(INDEX(DarlBindung,16)="",1,$G7320),IF($J7320&gt;0.005,1,0)))</f>
      </c>
      <c r="J7320" s="43">
        <f>IF($I7319=0,0,$R7319)</f>
      </c>
      <c r="K7320" s="43">
        <f>IF($I7320=0,0,IF(INDEX(DarlOhneTilgung,16)=1,0,IF(AND(INDEX(DarlTilgStart,16)&gt;0,$E7320=INDEX(DarlTilgStart,16)),$J7320*($H7320+INDEX(DarlTilgung,16))/100/12,IF(AND($G7320=0,$G7319=1),MAX($K7319,$J7320*($H7320+1)/100/12),$K7319))))</f>
      </c>
      <c r="L7320" s="43">
        <f>IF($I7320=0,0,$J7320*$H7320/100/12)</f>
      </c>
      <c r="M7320" s="43">
        <f>IF($I7320=0,0,IF(OR(INDEX(DarlOhneTilgung,16)=1,AND(INDEX(DarlTilgStart,16)&gt;0,$E7320&lt;INDEX(DarlTilgStart,16))),0,MIN(MAX(0,$K7320-$L7320),$J7320)))</f>
      </c>
      <c r="N7320" s="43">
        <f>IF($I7320=0,0,MIN(SUMIFS(SondBetrag,SondDarl,16,SondDatum,"&gt;="&amp;$E7320,SondDatum,"&lt;="&amp;EOMONTH($E7320,0)),$J7320-$M7320))</f>
      </c>
      <c r="O7320" s="43">
        <f>IF($I7320=0,0,INDEX(DarlErsatzRate,16))</f>
      </c>
      <c r="P7320" s="43">
        <f>IF($I7320=0,0,$Q7319*INDEX(DarlErsatzZins,16))</f>
      </c>
      <c r="Q7320" s="43">
        <f>IF($I7320=0,0,$Q7319+$P7320+$O7320)</f>
      </c>
      <c r="R7320" s="43">
        <f>IF($I7320=0,0,$J7320-$M7320-$N7320)</f>
      </c>
    </row>
    <row r="7321">
      <c r="A7321"/>
      <c r="B7321">
        <v>16</v>
      </c>
      <c r="C7321" s="43">
        <f>INDEX(DarlObj,16)</f>
      </c>
      <c r="D7321">
        <v>118</v>
      </c>
      <c r="E7321" s="51">
        <f>IF(INDEX(DarlBelegt,16)=0,0,EOMONTH(INDEX(DarlAuszahlung,16),117)+1)</f>
      </c>
      <c r="F7321" s="43">
        <f>IF($E7321=0,0,YEAR($E7321))</f>
      </c>
      <c r="G7321" s="43">
        <f>IF(INDEX(DarlBindung,16)="",1,IF($E7321&lt;=INDEX(DarlBindung,16),1,0))</f>
      </c>
      <c r="H7321" s="43">
        <f>IF($G7321=1,INDEX(DarlSollzins,16),INDEX(DarlAnschluss,16))</f>
      </c>
      <c r="I7321" s="43">
        <f>IF(INDEX(DarlBelegt,16)=0,0,IF(INDEX(DarlOhneTilgung,16)=1,IF(INDEX(DarlBindung,16)="",1,$G7321),IF($J7321&gt;0.005,1,0)))</f>
      </c>
      <c r="J7321" s="43">
        <f>IF($I7320=0,0,$R7320)</f>
      </c>
      <c r="K7321" s="43">
        <f>IF($I7321=0,0,IF(INDEX(DarlOhneTilgung,16)=1,0,IF(AND(INDEX(DarlTilgStart,16)&gt;0,$E7321=INDEX(DarlTilgStart,16)),$J7321*($H7321+INDEX(DarlTilgung,16))/100/12,IF(AND($G7321=0,$G7320=1),MAX($K7320,$J7321*($H7321+1)/100/12),$K7320))))</f>
      </c>
      <c r="L7321" s="43">
        <f>IF($I7321=0,0,$J7321*$H7321/100/12)</f>
      </c>
      <c r="M7321" s="43">
        <f>IF($I7321=0,0,IF(OR(INDEX(DarlOhneTilgung,16)=1,AND(INDEX(DarlTilgStart,16)&gt;0,$E7321&lt;INDEX(DarlTilgStart,16))),0,MIN(MAX(0,$K7321-$L7321),$J7321)))</f>
      </c>
      <c r="N7321" s="43">
        <f>IF($I7321=0,0,MIN(SUMIFS(SondBetrag,SondDarl,16,SondDatum,"&gt;="&amp;$E7321,SondDatum,"&lt;="&amp;EOMONTH($E7321,0)),$J7321-$M7321))</f>
      </c>
      <c r="O7321" s="43">
        <f>IF($I7321=0,0,INDEX(DarlErsatzRate,16))</f>
      </c>
      <c r="P7321" s="43">
        <f>IF($I7321=0,0,$Q7320*INDEX(DarlErsatzZins,16))</f>
      </c>
      <c r="Q7321" s="43">
        <f>IF($I7321=0,0,$Q7320+$P7321+$O7321)</f>
      </c>
      <c r="R7321" s="43">
        <f>IF($I7321=0,0,$J7321-$M7321-$N7321)</f>
      </c>
    </row>
    <row r="7322">
      <c r="A7322"/>
      <c r="B7322">
        <v>16</v>
      </c>
      <c r="C7322" s="43">
        <f>INDEX(DarlObj,16)</f>
      </c>
      <c r="D7322">
        <v>119</v>
      </c>
      <c r="E7322" s="51">
        <f>IF(INDEX(DarlBelegt,16)=0,0,EOMONTH(INDEX(DarlAuszahlung,16),118)+1)</f>
      </c>
      <c r="F7322" s="43">
        <f>IF($E7322=0,0,YEAR($E7322))</f>
      </c>
      <c r="G7322" s="43">
        <f>IF(INDEX(DarlBindung,16)="",1,IF($E7322&lt;=INDEX(DarlBindung,16),1,0))</f>
      </c>
      <c r="H7322" s="43">
        <f>IF($G7322=1,INDEX(DarlSollzins,16),INDEX(DarlAnschluss,16))</f>
      </c>
      <c r="I7322" s="43">
        <f>IF(INDEX(DarlBelegt,16)=0,0,IF(INDEX(DarlOhneTilgung,16)=1,IF(INDEX(DarlBindung,16)="",1,$G7322),IF($J7322&gt;0.005,1,0)))</f>
      </c>
      <c r="J7322" s="43">
        <f>IF($I7321=0,0,$R7321)</f>
      </c>
      <c r="K7322" s="43">
        <f>IF($I7322=0,0,IF(INDEX(DarlOhneTilgung,16)=1,0,IF(AND(INDEX(DarlTilgStart,16)&gt;0,$E7322=INDEX(DarlTilgStart,16)),$J7322*($H7322+INDEX(DarlTilgung,16))/100/12,IF(AND($G7322=0,$G7321=1),MAX($K7321,$J7322*($H7322+1)/100/12),$K7321))))</f>
      </c>
      <c r="L7322" s="43">
        <f>IF($I7322=0,0,$J7322*$H7322/100/12)</f>
      </c>
      <c r="M7322" s="43">
        <f>IF($I7322=0,0,IF(OR(INDEX(DarlOhneTilgung,16)=1,AND(INDEX(DarlTilgStart,16)&gt;0,$E7322&lt;INDEX(DarlTilgStart,16))),0,MIN(MAX(0,$K7322-$L7322),$J7322)))</f>
      </c>
      <c r="N7322" s="43">
        <f>IF($I7322=0,0,MIN(SUMIFS(SondBetrag,SondDarl,16,SondDatum,"&gt;="&amp;$E7322,SondDatum,"&lt;="&amp;EOMONTH($E7322,0)),$J7322-$M7322))</f>
      </c>
      <c r="O7322" s="43">
        <f>IF($I7322=0,0,INDEX(DarlErsatzRate,16))</f>
      </c>
      <c r="P7322" s="43">
        <f>IF($I7322=0,0,$Q7321*INDEX(DarlErsatzZins,16))</f>
      </c>
      <c r="Q7322" s="43">
        <f>IF($I7322=0,0,$Q7321+$P7322+$O7322)</f>
      </c>
      <c r="R7322" s="43">
        <f>IF($I7322=0,0,$J7322-$M7322-$N7322)</f>
      </c>
    </row>
    <row r="7323">
      <c r="A7323"/>
      <c r="B7323">
        <v>16</v>
      </c>
      <c r="C7323" s="43">
        <f>INDEX(DarlObj,16)</f>
      </c>
      <c r="D7323">
        <v>120</v>
      </c>
      <c r="E7323" s="51">
        <f>IF(INDEX(DarlBelegt,16)=0,0,EOMONTH(INDEX(DarlAuszahlung,16),119)+1)</f>
      </c>
      <c r="F7323" s="43">
        <f>IF($E7323=0,0,YEAR($E7323))</f>
      </c>
      <c r="G7323" s="43">
        <f>IF(INDEX(DarlBindung,16)="",1,IF($E7323&lt;=INDEX(DarlBindung,16),1,0))</f>
      </c>
      <c r="H7323" s="43">
        <f>IF($G7323=1,INDEX(DarlSollzins,16),INDEX(DarlAnschluss,16))</f>
      </c>
      <c r="I7323" s="43">
        <f>IF(INDEX(DarlBelegt,16)=0,0,IF(INDEX(DarlOhneTilgung,16)=1,IF(INDEX(DarlBindung,16)="",1,$G7323),IF($J7323&gt;0.005,1,0)))</f>
      </c>
      <c r="J7323" s="43">
        <f>IF($I7322=0,0,$R7322)</f>
      </c>
      <c r="K7323" s="43">
        <f>IF($I7323=0,0,IF(INDEX(DarlOhneTilgung,16)=1,0,IF(AND(INDEX(DarlTilgStart,16)&gt;0,$E7323=INDEX(DarlTilgStart,16)),$J7323*($H7323+INDEX(DarlTilgung,16))/100/12,IF(AND($G7323=0,$G7322=1),MAX($K7322,$J7323*($H7323+1)/100/12),$K7322))))</f>
      </c>
      <c r="L7323" s="43">
        <f>IF($I7323=0,0,$J7323*$H7323/100/12)</f>
      </c>
      <c r="M7323" s="43">
        <f>IF($I7323=0,0,IF(OR(INDEX(DarlOhneTilgung,16)=1,AND(INDEX(DarlTilgStart,16)&gt;0,$E7323&lt;INDEX(DarlTilgStart,16))),0,MIN(MAX(0,$K7323-$L7323),$J7323)))</f>
      </c>
      <c r="N7323" s="43">
        <f>IF($I7323=0,0,MIN(SUMIFS(SondBetrag,SondDarl,16,SondDatum,"&gt;="&amp;$E7323,SondDatum,"&lt;="&amp;EOMONTH($E7323,0)),$J7323-$M7323))</f>
      </c>
      <c r="O7323" s="43">
        <f>IF($I7323=0,0,INDEX(DarlErsatzRate,16))</f>
      </c>
      <c r="P7323" s="43">
        <f>IF($I7323=0,0,$Q7322*INDEX(DarlErsatzZins,16))</f>
      </c>
      <c r="Q7323" s="43">
        <f>IF($I7323=0,0,$Q7322+$P7323+$O7323)</f>
      </c>
      <c r="R7323" s="43">
        <f>IF($I7323=0,0,$J7323-$M7323-$N7323)</f>
      </c>
    </row>
    <row r="7324">
      <c r="A7324"/>
      <c r="B7324">
        <v>16</v>
      </c>
      <c r="C7324" s="43">
        <f>INDEX(DarlObj,16)</f>
      </c>
      <c r="D7324">
        <v>121</v>
      </c>
      <c r="E7324" s="51">
        <f>IF(INDEX(DarlBelegt,16)=0,0,EOMONTH(INDEX(DarlAuszahlung,16),120)+1)</f>
      </c>
      <c r="F7324" s="43">
        <f>IF($E7324=0,0,YEAR($E7324))</f>
      </c>
      <c r="G7324" s="43">
        <f>IF(INDEX(DarlBindung,16)="",1,IF($E7324&lt;=INDEX(DarlBindung,16),1,0))</f>
      </c>
      <c r="H7324" s="43">
        <f>IF($G7324=1,INDEX(DarlSollzins,16),INDEX(DarlAnschluss,16))</f>
      </c>
      <c r="I7324" s="43">
        <f>IF(INDEX(DarlBelegt,16)=0,0,IF(INDEX(DarlOhneTilgung,16)=1,IF(INDEX(DarlBindung,16)="",1,$G7324),IF($J7324&gt;0.005,1,0)))</f>
      </c>
      <c r="J7324" s="43">
        <f>IF($I7323=0,0,$R7323)</f>
      </c>
      <c r="K7324" s="43">
        <f>IF($I7324=0,0,IF(INDEX(DarlOhneTilgung,16)=1,0,IF(AND(INDEX(DarlTilgStart,16)&gt;0,$E7324=INDEX(DarlTilgStart,16)),$J7324*($H7324+INDEX(DarlTilgung,16))/100/12,IF(AND($G7324=0,$G7323=1),MAX($K7323,$J7324*($H7324+1)/100/12),$K7323))))</f>
      </c>
      <c r="L7324" s="43">
        <f>IF($I7324=0,0,$J7324*$H7324/100/12)</f>
      </c>
      <c r="M7324" s="43">
        <f>IF($I7324=0,0,IF(OR(INDEX(DarlOhneTilgung,16)=1,AND(INDEX(DarlTilgStart,16)&gt;0,$E7324&lt;INDEX(DarlTilgStart,16))),0,MIN(MAX(0,$K7324-$L7324),$J7324)))</f>
      </c>
      <c r="N7324" s="43">
        <f>IF($I7324=0,0,MIN(SUMIFS(SondBetrag,SondDarl,16,SondDatum,"&gt;="&amp;$E7324,SondDatum,"&lt;="&amp;EOMONTH($E7324,0)),$J7324-$M7324))</f>
      </c>
      <c r="O7324" s="43">
        <f>IF($I7324=0,0,INDEX(DarlErsatzRate,16))</f>
      </c>
      <c r="P7324" s="43">
        <f>IF($I7324=0,0,$Q7323*INDEX(DarlErsatzZins,16))</f>
      </c>
      <c r="Q7324" s="43">
        <f>IF($I7324=0,0,$Q7323+$P7324+$O7324)</f>
      </c>
      <c r="R7324" s="43">
        <f>IF($I7324=0,0,$J7324-$M7324-$N7324)</f>
      </c>
    </row>
    <row r="7325">
      <c r="A7325"/>
      <c r="B7325">
        <v>16</v>
      </c>
      <c r="C7325" s="43">
        <f>INDEX(DarlObj,16)</f>
      </c>
      <c r="D7325">
        <v>122</v>
      </c>
      <c r="E7325" s="51">
        <f>IF(INDEX(DarlBelegt,16)=0,0,EOMONTH(INDEX(DarlAuszahlung,16),121)+1)</f>
      </c>
      <c r="F7325" s="43">
        <f>IF($E7325=0,0,YEAR($E7325))</f>
      </c>
      <c r="G7325" s="43">
        <f>IF(INDEX(DarlBindung,16)="",1,IF($E7325&lt;=INDEX(DarlBindung,16),1,0))</f>
      </c>
      <c r="H7325" s="43">
        <f>IF($G7325=1,INDEX(DarlSollzins,16),INDEX(DarlAnschluss,16))</f>
      </c>
      <c r="I7325" s="43">
        <f>IF(INDEX(DarlBelegt,16)=0,0,IF(INDEX(DarlOhneTilgung,16)=1,IF(INDEX(DarlBindung,16)="",1,$G7325),IF($J7325&gt;0.005,1,0)))</f>
      </c>
      <c r="J7325" s="43">
        <f>IF($I7324=0,0,$R7324)</f>
      </c>
      <c r="K7325" s="43">
        <f>IF($I7325=0,0,IF(INDEX(DarlOhneTilgung,16)=1,0,IF(AND(INDEX(DarlTilgStart,16)&gt;0,$E7325=INDEX(DarlTilgStart,16)),$J7325*($H7325+INDEX(DarlTilgung,16))/100/12,IF(AND($G7325=0,$G7324=1),MAX($K7324,$J7325*($H7325+1)/100/12),$K7324))))</f>
      </c>
      <c r="L7325" s="43">
        <f>IF($I7325=0,0,$J7325*$H7325/100/12)</f>
      </c>
      <c r="M7325" s="43">
        <f>IF($I7325=0,0,IF(OR(INDEX(DarlOhneTilgung,16)=1,AND(INDEX(DarlTilgStart,16)&gt;0,$E7325&lt;INDEX(DarlTilgStart,16))),0,MIN(MAX(0,$K7325-$L7325),$J7325)))</f>
      </c>
      <c r="N7325" s="43">
        <f>IF($I7325=0,0,MIN(SUMIFS(SondBetrag,SondDarl,16,SondDatum,"&gt;="&amp;$E7325,SondDatum,"&lt;="&amp;EOMONTH($E7325,0)),$J7325-$M7325))</f>
      </c>
      <c r="O7325" s="43">
        <f>IF($I7325=0,0,INDEX(DarlErsatzRate,16))</f>
      </c>
      <c r="P7325" s="43">
        <f>IF($I7325=0,0,$Q7324*INDEX(DarlErsatzZins,16))</f>
      </c>
      <c r="Q7325" s="43">
        <f>IF($I7325=0,0,$Q7324+$P7325+$O7325)</f>
      </c>
      <c r="R7325" s="43">
        <f>IF($I7325=0,0,$J7325-$M7325-$N7325)</f>
      </c>
    </row>
    <row r="7326">
      <c r="A7326"/>
      <c r="B7326">
        <v>16</v>
      </c>
      <c r="C7326" s="43">
        <f>INDEX(DarlObj,16)</f>
      </c>
      <c r="D7326">
        <v>123</v>
      </c>
      <c r="E7326" s="51">
        <f>IF(INDEX(DarlBelegt,16)=0,0,EOMONTH(INDEX(DarlAuszahlung,16),122)+1)</f>
      </c>
      <c r="F7326" s="43">
        <f>IF($E7326=0,0,YEAR($E7326))</f>
      </c>
      <c r="G7326" s="43">
        <f>IF(INDEX(DarlBindung,16)="",1,IF($E7326&lt;=INDEX(DarlBindung,16),1,0))</f>
      </c>
      <c r="H7326" s="43">
        <f>IF($G7326=1,INDEX(DarlSollzins,16),INDEX(DarlAnschluss,16))</f>
      </c>
      <c r="I7326" s="43">
        <f>IF(INDEX(DarlBelegt,16)=0,0,IF(INDEX(DarlOhneTilgung,16)=1,IF(INDEX(DarlBindung,16)="",1,$G7326),IF($J7326&gt;0.005,1,0)))</f>
      </c>
      <c r="J7326" s="43">
        <f>IF($I7325=0,0,$R7325)</f>
      </c>
      <c r="K7326" s="43">
        <f>IF($I7326=0,0,IF(INDEX(DarlOhneTilgung,16)=1,0,IF(AND(INDEX(DarlTilgStart,16)&gt;0,$E7326=INDEX(DarlTilgStart,16)),$J7326*($H7326+INDEX(DarlTilgung,16))/100/12,IF(AND($G7326=0,$G7325=1),MAX($K7325,$J7326*($H7326+1)/100/12),$K7325))))</f>
      </c>
      <c r="L7326" s="43">
        <f>IF($I7326=0,0,$J7326*$H7326/100/12)</f>
      </c>
      <c r="M7326" s="43">
        <f>IF($I7326=0,0,IF(OR(INDEX(DarlOhneTilgung,16)=1,AND(INDEX(DarlTilgStart,16)&gt;0,$E7326&lt;INDEX(DarlTilgStart,16))),0,MIN(MAX(0,$K7326-$L7326),$J7326)))</f>
      </c>
      <c r="N7326" s="43">
        <f>IF($I7326=0,0,MIN(SUMIFS(SondBetrag,SondDarl,16,SondDatum,"&gt;="&amp;$E7326,SondDatum,"&lt;="&amp;EOMONTH($E7326,0)),$J7326-$M7326))</f>
      </c>
      <c r="O7326" s="43">
        <f>IF($I7326=0,0,INDEX(DarlErsatzRate,16))</f>
      </c>
      <c r="P7326" s="43">
        <f>IF($I7326=0,0,$Q7325*INDEX(DarlErsatzZins,16))</f>
      </c>
      <c r="Q7326" s="43">
        <f>IF($I7326=0,0,$Q7325+$P7326+$O7326)</f>
      </c>
      <c r="R7326" s="43">
        <f>IF($I7326=0,0,$J7326-$M7326-$N7326)</f>
      </c>
    </row>
    <row r="7327">
      <c r="A7327"/>
      <c r="B7327">
        <v>16</v>
      </c>
      <c r="C7327" s="43">
        <f>INDEX(DarlObj,16)</f>
      </c>
      <c r="D7327">
        <v>124</v>
      </c>
      <c r="E7327" s="51">
        <f>IF(INDEX(DarlBelegt,16)=0,0,EOMONTH(INDEX(DarlAuszahlung,16),123)+1)</f>
      </c>
      <c r="F7327" s="43">
        <f>IF($E7327=0,0,YEAR($E7327))</f>
      </c>
      <c r="G7327" s="43">
        <f>IF(INDEX(DarlBindung,16)="",1,IF($E7327&lt;=INDEX(DarlBindung,16),1,0))</f>
      </c>
      <c r="H7327" s="43">
        <f>IF($G7327=1,INDEX(DarlSollzins,16),INDEX(DarlAnschluss,16))</f>
      </c>
      <c r="I7327" s="43">
        <f>IF(INDEX(DarlBelegt,16)=0,0,IF(INDEX(DarlOhneTilgung,16)=1,IF(INDEX(DarlBindung,16)="",1,$G7327),IF($J7327&gt;0.005,1,0)))</f>
      </c>
      <c r="J7327" s="43">
        <f>IF($I7326=0,0,$R7326)</f>
      </c>
      <c r="K7327" s="43">
        <f>IF($I7327=0,0,IF(INDEX(DarlOhneTilgung,16)=1,0,IF(AND(INDEX(DarlTilgStart,16)&gt;0,$E7327=INDEX(DarlTilgStart,16)),$J7327*($H7327+INDEX(DarlTilgung,16))/100/12,IF(AND($G7327=0,$G7326=1),MAX($K7326,$J7327*($H7327+1)/100/12),$K7326))))</f>
      </c>
      <c r="L7327" s="43">
        <f>IF($I7327=0,0,$J7327*$H7327/100/12)</f>
      </c>
      <c r="M7327" s="43">
        <f>IF($I7327=0,0,IF(OR(INDEX(DarlOhneTilgung,16)=1,AND(INDEX(DarlTilgStart,16)&gt;0,$E7327&lt;INDEX(DarlTilgStart,16))),0,MIN(MAX(0,$K7327-$L7327),$J7327)))</f>
      </c>
      <c r="N7327" s="43">
        <f>IF($I7327=0,0,MIN(SUMIFS(SondBetrag,SondDarl,16,SondDatum,"&gt;="&amp;$E7327,SondDatum,"&lt;="&amp;EOMONTH($E7327,0)),$J7327-$M7327))</f>
      </c>
      <c r="O7327" s="43">
        <f>IF($I7327=0,0,INDEX(DarlErsatzRate,16))</f>
      </c>
      <c r="P7327" s="43">
        <f>IF($I7327=0,0,$Q7326*INDEX(DarlErsatzZins,16))</f>
      </c>
      <c r="Q7327" s="43">
        <f>IF($I7327=0,0,$Q7326+$P7327+$O7327)</f>
      </c>
      <c r="R7327" s="43">
        <f>IF($I7327=0,0,$J7327-$M7327-$N7327)</f>
      </c>
    </row>
    <row r="7328">
      <c r="A7328"/>
      <c r="B7328">
        <v>16</v>
      </c>
      <c r="C7328" s="43">
        <f>INDEX(DarlObj,16)</f>
      </c>
      <c r="D7328">
        <v>125</v>
      </c>
      <c r="E7328" s="51">
        <f>IF(INDEX(DarlBelegt,16)=0,0,EOMONTH(INDEX(DarlAuszahlung,16),124)+1)</f>
      </c>
      <c r="F7328" s="43">
        <f>IF($E7328=0,0,YEAR($E7328))</f>
      </c>
      <c r="G7328" s="43">
        <f>IF(INDEX(DarlBindung,16)="",1,IF($E7328&lt;=INDEX(DarlBindung,16),1,0))</f>
      </c>
      <c r="H7328" s="43">
        <f>IF($G7328=1,INDEX(DarlSollzins,16),INDEX(DarlAnschluss,16))</f>
      </c>
      <c r="I7328" s="43">
        <f>IF(INDEX(DarlBelegt,16)=0,0,IF(INDEX(DarlOhneTilgung,16)=1,IF(INDEX(DarlBindung,16)="",1,$G7328),IF($J7328&gt;0.005,1,0)))</f>
      </c>
      <c r="J7328" s="43">
        <f>IF($I7327=0,0,$R7327)</f>
      </c>
      <c r="K7328" s="43">
        <f>IF($I7328=0,0,IF(INDEX(DarlOhneTilgung,16)=1,0,IF(AND(INDEX(DarlTilgStart,16)&gt;0,$E7328=INDEX(DarlTilgStart,16)),$J7328*($H7328+INDEX(DarlTilgung,16))/100/12,IF(AND($G7328=0,$G7327=1),MAX($K7327,$J7328*($H7328+1)/100/12),$K7327))))</f>
      </c>
      <c r="L7328" s="43">
        <f>IF($I7328=0,0,$J7328*$H7328/100/12)</f>
      </c>
      <c r="M7328" s="43">
        <f>IF($I7328=0,0,IF(OR(INDEX(DarlOhneTilgung,16)=1,AND(INDEX(DarlTilgStart,16)&gt;0,$E7328&lt;INDEX(DarlTilgStart,16))),0,MIN(MAX(0,$K7328-$L7328),$J7328)))</f>
      </c>
      <c r="N7328" s="43">
        <f>IF($I7328=0,0,MIN(SUMIFS(SondBetrag,SondDarl,16,SondDatum,"&gt;="&amp;$E7328,SondDatum,"&lt;="&amp;EOMONTH($E7328,0)),$J7328-$M7328))</f>
      </c>
      <c r="O7328" s="43">
        <f>IF($I7328=0,0,INDEX(DarlErsatzRate,16))</f>
      </c>
      <c r="P7328" s="43">
        <f>IF($I7328=0,0,$Q7327*INDEX(DarlErsatzZins,16))</f>
      </c>
      <c r="Q7328" s="43">
        <f>IF($I7328=0,0,$Q7327+$P7328+$O7328)</f>
      </c>
      <c r="R7328" s="43">
        <f>IF($I7328=0,0,$J7328-$M7328-$N7328)</f>
      </c>
    </row>
    <row r="7329">
      <c r="A7329"/>
      <c r="B7329">
        <v>16</v>
      </c>
      <c r="C7329" s="43">
        <f>INDEX(DarlObj,16)</f>
      </c>
      <c r="D7329">
        <v>126</v>
      </c>
      <c r="E7329" s="51">
        <f>IF(INDEX(DarlBelegt,16)=0,0,EOMONTH(INDEX(DarlAuszahlung,16),125)+1)</f>
      </c>
      <c r="F7329" s="43">
        <f>IF($E7329=0,0,YEAR($E7329))</f>
      </c>
      <c r="G7329" s="43">
        <f>IF(INDEX(DarlBindung,16)="",1,IF($E7329&lt;=INDEX(DarlBindung,16),1,0))</f>
      </c>
      <c r="H7329" s="43">
        <f>IF($G7329=1,INDEX(DarlSollzins,16),INDEX(DarlAnschluss,16))</f>
      </c>
      <c r="I7329" s="43">
        <f>IF(INDEX(DarlBelegt,16)=0,0,IF(INDEX(DarlOhneTilgung,16)=1,IF(INDEX(DarlBindung,16)="",1,$G7329),IF($J7329&gt;0.005,1,0)))</f>
      </c>
      <c r="J7329" s="43">
        <f>IF($I7328=0,0,$R7328)</f>
      </c>
      <c r="K7329" s="43">
        <f>IF($I7329=0,0,IF(INDEX(DarlOhneTilgung,16)=1,0,IF(AND(INDEX(DarlTilgStart,16)&gt;0,$E7329=INDEX(DarlTilgStart,16)),$J7329*($H7329+INDEX(DarlTilgung,16))/100/12,IF(AND($G7329=0,$G7328=1),MAX($K7328,$J7329*($H7329+1)/100/12),$K7328))))</f>
      </c>
      <c r="L7329" s="43">
        <f>IF($I7329=0,0,$J7329*$H7329/100/12)</f>
      </c>
      <c r="M7329" s="43">
        <f>IF($I7329=0,0,IF(OR(INDEX(DarlOhneTilgung,16)=1,AND(INDEX(DarlTilgStart,16)&gt;0,$E7329&lt;INDEX(DarlTilgStart,16))),0,MIN(MAX(0,$K7329-$L7329),$J7329)))</f>
      </c>
      <c r="N7329" s="43">
        <f>IF($I7329=0,0,MIN(SUMIFS(SondBetrag,SondDarl,16,SondDatum,"&gt;="&amp;$E7329,SondDatum,"&lt;="&amp;EOMONTH($E7329,0)),$J7329-$M7329))</f>
      </c>
      <c r="O7329" s="43">
        <f>IF($I7329=0,0,INDEX(DarlErsatzRate,16))</f>
      </c>
      <c r="P7329" s="43">
        <f>IF($I7329=0,0,$Q7328*INDEX(DarlErsatzZins,16))</f>
      </c>
      <c r="Q7329" s="43">
        <f>IF($I7329=0,0,$Q7328+$P7329+$O7329)</f>
      </c>
      <c r="R7329" s="43">
        <f>IF($I7329=0,0,$J7329-$M7329-$N7329)</f>
      </c>
    </row>
    <row r="7330">
      <c r="A7330"/>
      <c r="B7330">
        <v>16</v>
      </c>
      <c r="C7330" s="43">
        <f>INDEX(DarlObj,16)</f>
      </c>
      <c r="D7330">
        <v>127</v>
      </c>
      <c r="E7330" s="51">
        <f>IF(INDEX(DarlBelegt,16)=0,0,EOMONTH(INDEX(DarlAuszahlung,16),126)+1)</f>
      </c>
      <c r="F7330" s="43">
        <f>IF($E7330=0,0,YEAR($E7330))</f>
      </c>
      <c r="G7330" s="43">
        <f>IF(INDEX(DarlBindung,16)="",1,IF($E7330&lt;=INDEX(DarlBindung,16),1,0))</f>
      </c>
      <c r="H7330" s="43">
        <f>IF($G7330=1,INDEX(DarlSollzins,16),INDEX(DarlAnschluss,16))</f>
      </c>
      <c r="I7330" s="43">
        <f>IF(INDEX(DarlBelegt,16)=0,0,IF(INDEX(DarlOhneTilgung,16)=1,IF(INDEX(DarlBindung,16)="",1,$G7330),IF($J7330&gt;0.005,1,0)))</f>
      </c>
      <c r="J7330" s="43">
        <f>IF($I7329=0,0,$R7329)</f>
      </c>
      <c r="K7330" s="43">
        <f>IF($I7330=0,0,IF(INDEX(DarlOhneTilgung,16)=1,0,IF(AND(INDEX(DarlTilgStart,16)&gt;0,$E7330=INDEX(DarlTilgStart,16)),$J7330*($H7330+INDEX(DarlTilgung,16))/100/12,IF(AND($G7330=0,$G7329=1),MAX($K7329,$J7330*($H7330+1)/100/12),$K7329))))</f>
      </c>
      <c r="L7330" s="43">
        <f>IF($I7330=0,0,$J7330*$H7330/100/12)</f>
      </c>
      <c r="M7330" s="43">
        <f>IF($I7330=0,0,IF(OR(INDEX(DarlOhneTilgung,16)=1,AND(INDEX(DarlTilgStart,16)&gt;0,$E7330&lt;INDEX(DarlTilgStart,16))),0,MIN(MAX(0,$K7330-$L7330),$J7330)))</f>
      </c>
      <c r="N7330" s="43">
        <f>IF($I7330=0,0,MIN(SUMIFS(SondBetrag,SondDarl,16,SondDatum,"&gt;="&amp;$E7330,SondDatum,"&lt;="&amp;EOMONTH($E7330,0)),$J7330-$M7330))</f>
      </c>
      <c r="O7330" s="43">
        <f>IF($I7330=0,0,INDEX(DarlErsatzRate,16))</f>
      </c>
      <c r="P7330" s="43">
        <f>IF($I7330=0,0,$Q7329*INDEX(DarlErsatzZins,16))</f>
      </c>
      <c r="Q7330" s="43">
        <f>IF($I7330=0,0,$Q7329+$P7330+$O7330)</f>
      </c>
      <c r="R7330" s="43">
        <f>IF($I7330=0,0,$J7330-$M7330-$N7330)</f>
      </c>
    </row>
    <row r="7331">
      <c r="A7331"/>
      <c r="B7331">
        <v>16</v>
      </c>
      <c r="C7331" s="43">
        <f>INDEX(DarlObj,16)</f>
      </c>
      <c r="D7331">
        <v>128</v>
      </c>
      <c r="E7331" s="51">
        <f>IF(INDEX(DarlBelegt,16)=0,0,EOMONTH(INDEX(DarlAuszahlung,16),127)+1)</f>
      </c>
      <c r="F7331" s="43">
        <f>IF($E7331=0,0,YEAR($E7331))</f>
      </c>
      <c r="G7331" s="43">
        <f>IF(INDEX(DarlBindung,16)="",1,IF($E7331&lt;=INDEX(DarlBindung,16),1,0))</f>
      </c>
      <c r="H7331" s="43">
        <f>IF($G7331=1,INDEX(DarlSollzins,16),INDEX(DarlAnschluss,16))</f>
      </c>
      <c r="I7331" s="43">
        <f>IF(INDEX(DarlBelegt,16)=0,0,IF(INDEX(DarlOhneTilgung,16)=1,IF(INDEX(DarlBindung,16)="",1,$G7331),IF($J7331&gt;0.005,1,0)))</f>
      </c>
      <c r="J7331" s="43">
        <f>IF($I7330=0,0,$R7330)</f>
      </c>
      <c r="K7331" s="43">
        <f>IF($I7331=0,0,IF(INDEX(DarlOhneTilgung,16)=1,0,IF(AND(INDEX(DarlTilgStart,16)&gt;0,$E7331=INDEX(DarlTilgStart,16)),$J7331*($H7331+INDEX(DarlTilgung,16))/100/12,IF(AND($G7331=0,$G7330=1),MAX($K7330,$J7331*($H7331+1)/100/12),$K7330))))</f>
      </c>
      <c r="L7331" s="43">
        <f>IF($I7331=0,0,$J7331*$H7331/100/12)</f>
      </c>
      <c r="M7331" s="43">
        <f>IF($I7331=0,0,IF(OR(INDEX(DarlOhneTilgung,16)=1,AND(INDEX(DarlTilgStart,16)&gt;0,$E7331&lt;INDEX(DarlTilgStart,16))),0,MIN(MAX(0,$K7331-$L7331),$J7331)))</f>
      </c>
      <c r="N7331" s="43">
        <f>IF($I7331=0,0,MIN(SUMIFS(SondBetrag,SondDarl,16,SondDatum,"&gt;="&amp;$E7331,SondDatum,"&lt;="&amp;EOMONTH($E7331,0)),$J7331-$M7331))</f>
      </c>
      <c r="O7331" s="43">
        <f>IF($I7331=0,0,INDEX(DarlErsatzRate,16))</f>
      </c>
      <c r="P7331" s="43">
        <f>IF($I7331=0,0,$Q7330*INDEX(DarlErsatzZins,16))</f>
      </c>
      <c r="Q7331" s="43">
        <f>IF($I7331=0,0,$Q7330+$P7331+$O7331)</f>
      </c>
      <c r="R7331" s="43">
        <f>IF($I7331=0,0,$J7331-$M7331-$N7331)</f>
      </c>
    </row>
    <row r="7332">
      <c r="A7332"/>
      <c r="B7332">
        <v>16</v>
      </c>
      <c r="C7332" s="43">
        <f>INDEX(DarlObj,16)</f>
      </c>
      <c r="D7332">
        <v>129</v>
      </c>
      <c r="E7332" s="51">
        <f>IF(INDEX(DarlBelegt,16)=0,0,EOMONTH(INDEX(DarlAuszahlung,16),128)+1)</f>
      </c>
      <c r="F7332" s="43">
        <f>IF($E7332=0,0,YEAR($E7332))</f>
      </c>
      <c r="G7332" s="43">
        <f>IF(INDEX(DarlBindung,16)="",1,IF($E7332&lt;=INDEX(DarlBindung,16),1,0))</f>
      </c>
      <c r="H7332" s="43">
        <f>IF($G7332=1,INDEX(DarlSollzins,16),INDEX(DarlAnschluss,16))</f>
      </c>
      <c r="I7332" s="43">
        <f>IF(INDEX(DarlBelegt,16)=0,0,IF(INDEX(DarlOhneTilgung,16)=1,IF(INDEX(DarlBindung,16)="",1,$G7332),IF($J7332&gt;0.005,1,0)))</f>
      </c>
      <c r="J7332" s="43">
        <f>IF($I7331=0,0,$R7331)</f>
      </c>
      <c r="K7332" s="43">
        <f>IF($I7332=0,0,IF(INDEX(DarlOhneTilgung,16)=1,0,IF(AND(INDEX(DarlTilgStart,16)&gt;0,$E7332=INDEX(DarlTilgStart,16)),$J7332*($H7332+INDEX(DarlTilgung,16))/100/12,IF(AND($G7332=0,$G7331=1),MAX($K7331,$J7332*($H7332+1)/100/12),$K7331))))</f>
      </c>
      <c r="L7332" s="43">
        <f>IF($I7332=0,0,$J7332*$H7332/100/12)</f>
      </c>
      <c r="M7332" s="43">
        <f>IF($I7332=0,0,IF(OR(INDEX(DarlOhneTilgung,16)=1,AND(INDEX(DarlTilgStart,16)&gt;0,$E7332&lt;INDEX(DarlTilgStart,16))),0,MIN(MAX(0,$K7332-$L7332),$J7332)))</f>
      </c>
      <c r="N7332" s="43">
        <f>IF($I7332=0,0,MIN(SUMIFS(SondBetrag,SondDarl,16,SondDatum,"&gt;="&amp;$E7332,SondDatum,"&lt;="&amp;EOMONTH($E7332,0)),$J7332-$M7332))</f>
      </c>
      <c r="O7332" s="43">
        <f>IF($I7332=0,0,INDEX(DarlErsatzRate,16))</f>
      </c>
      <c r="P7332" s="43">
        <f>IF($I7332=0,0,$Q7331*INDEX(DarlErsatzZins,16))</f>
      </c>
      <c r="Q7332" s="43">
        <f>IF($I7332=0,0,$Q7331+$P7332+$O7332)</f>
      </c>
      <c r="R7332" s="43">
        <f>IF($I7332=0,0,$J7332-$M7332-$N7332)</f>
      </c>
    </row>
    <row r="7333">
      <c r="A7333"/>
      <c r="B7333">
        <v>16</v>
      </c>
      <c r="C7333" s="43">
        <f>INDEX(DarlObj,16)</f>
      </c>
      <c r="D7333">
        <v>130</v>
      </c>
      <c r="E7333" s="51">
        <f>IF(INDEX(DarlBelegt,16)=0,0,EOMONTH(INDEX(DarlAuszahlung,16),129)+1)</f>
      </c>
      <c r="F7333" s="43">
        <f>IF($E7333=0,0,YEAR($E7333))</f>
      </c>
      <c r="G7333" s="43">
        <f>IF(INDEX(DarlBindung,16)="",1,IF($E7333&lt;=INDEX(DarlBindung,16),1,0))</f>
      </c>
      <c r="H7333" s="43">
        <f>IF($G7333=1,INDEX(DarlSollzins,16),INDEX(DarlAnschluss,16))</f>
      </c>
      <c r="I7333" s="43">
        <f>IF(INDEX(DarlBelegt,16)=0,0,IF(INDEX(DarlOhneTilgung,16)=1,IF(INDEX(DarlBindung,16)="",1,$G7333),IF($J7333&gt;0.005,1,0)))</f>
      </c>
      <c r="J7333" s="43">
        <f>IF($I7332=0,0,$R7332)</f>
      </c>
      <c r="K7333" s="43">
        <f>IF($I7333=0,0,IF(INDEX(DarlOhneTilgung,16)=1,0,IF(AND(INDEX(DarlTilgStart,16)&gt;0,$E7333=INDEX(DarlTilgStart,16)),$J7333*($H7333+INDEX(DarlTilgung,16))/100/12,IF(AND($G7333=0,$G7332=1),MAX($K7332,$J7333*($H7333+1)/100/12),$K7332))))</f>
      </c>
      <c r="L7333" s="43">
        <f>IF($I7333=0,0,$J7333*$H7333/100/12)</f>
      </c>
      <c r="M7333" s="43">
        <f>IF($I7333=0,0,IF(OR(INDEX(DarlOhneTilgung,16)=1,AND(INDEX(DarlTilgStart,16)&gt;0,$E7333&lt;INDEX(DarlTilgStart,16))),0,MIN(MAX(0,$K7333-$L7333),$J7333)))</f>
      </c>
      <c r="N7333" s="43">
        <f>IF($I7333=0,0,MIN(SUMIFS(SondBetrag,SondDarl,16,SondDatum,"&gt;="&amp;$E7333,SondDatum,"&lt;="&amp;EOMONTH($E7333,0)),$J7333-$M7333))</f>
      </c>
      <c r="O7333" s="43">
        <f>IF($I7333=0,0,INDEX(DarlErsatzRate,16))</f>
      </c>
      <c r="P7333" s="43">
        <f>IF($I7333=0,0,$Q7332*INDEX(DarlErsatzZins,16))</f>
      </c>
      <c r="Q7333" s="43">
        <f>IF($I7333=0,0,$Q7332+$P7333+$O7333)</f>
      </c>
      <c r="R7333" s="43">
        <f>IF($I7333=0,0,$J7333-$M7333-$N7333)</f>
      </c>
    </row>
    <row r="7334">
      <c r="A7334"/>
      <c r="B7334">
        <v>16</v>
      </c>
      <c r="C7334" s="43">
        <f>INDEX(DarlObj,16)</f>
      </c>
      <c r="D7334">
        <v>131</v>
      </c>
      <c r="E7334" s="51">
        <f>IF(INDEX(DarlBelegt,16)=0,0,EOMONTH(INDEX(DarlAuszahlung,16),130)+1)</f>
      </c>
      <c r="F7334" s="43">
        <f>IF($E7334=0,0,YEAR($E7334))</f>
      </c>
      <c r="G7334" s="43">
        <f>IF(INDEX(DarlBindung,16)="",1,IF($E7334&lt;=INDEX(DarlBindung,16),1,0))</f>
      </c>
      <c r="H7334" s="43">
        <f>IF($G7334=1,INDEX(DarlSollzins,16),INDEX(DarlAnschluss,16))</f>
      </c>
      <c r="I7334" s="43">
        <f>IF(INDEX(DarlBelegt,16)=0,0,IF(INDEX(DarlOhneTilgung,16)=1,IF(INDEX(DarlBindung,16)="",1,$G7334),IF($J7334&gt;0.005,1,0)))</f>
      </c>
      <c r="J7334" s="43">
        <f>IF($I7333=0,0,$R7333)</f>
      </c>
      <c r="K7334" s="43">
        <f>IF($I7334=0,0,IF(INDEX(DarlOhneTilgung,16)=1,0,IF(AND(INDEX(DarlTilgStart,16)&gt;0,$E7334=INDEX(DarlTilgStart,16)),$J7334*($H7334+INDEX(DarlTilgung,16))/100/12,IF(AND($G7334=0,$G7333=1),MAX($K7333,$J7334*($H7334+1)/100/12),$K7333))))</f>
      </c>
      <c r="L7334" s="43">
        <f>IF($I7334=0,0,$J7334*$H7334/100/12)</f>
      </c>
      <c r="M7334" s="43">
        <f>IF($I7334=0,0,IF(OR(INDEX(DarlOhneTilgung,16)=1,AND(INDEX(DarlTilgStart,16)&gt;0,$E7334&lt;INDEX(DarlTilgStart,16))),0,MIN(MAX(0,$K7334-$L7334),$J7334)))</f>
      </c>
      <c r="N7334" s="43">
        <f>IF($I7334=0,0,MIN(SUMIFS(SondBetrag,SondDarl,16,SondDatum,"&gt;="&amp;$E7334,SondDatum,"&lt;="&amp;EOMONTH($E7334,0)),$J7334-$M7334))</f>
      </c>
      <c r="O7334" s="43">
        <f>IF($I7334=0,0,INDEX(DarlErsatzRate,16))</f>
      </c>
      <c r="P7334" s="43">
        <f>IF($I7334=0,0,$Q7333*INDEX(DarlErsatzZins,16))</f>
      </c>
      <c r="Q7334" s="43">
        <f>IF($I7334=0,0,$Q7333+$P7334+$O7334)</f>
      </c>
      <c r="R7334" s="43">
        <f>IF($I7334=0,0,$J7334-$M7334-$N7334)</f>
      </c>
    </row>
    <row r="7335">
      <c r="A7335"/>
      <c r="B7335">
        <v>16</v>
      </c>
      <c r="C7335" s="43">
        <f>INDEX(DarlObj,16)</f>
      </c>
      <c r="D7335">
        <v>132</v>
      </c>
      <c r="E7335" s="51">
        <f>IF(INDEX(DarlBelegt,16)=0,0,EOMONTH(INDEX(DarlAuszahlung,16),131)+1)</f>
      </c>
      <c r="F7335" s="43">
        <f>IF($E7335=0,0,YEAR($E7335))</f>
      </c>
      <c r="G7335" s="43">
        <f>IF(INDEX(DarlBindung,16)="",1,IF($E7335&lt;=INDEX(DarlBindung,16),1,0))</f>
      </c>
      <c r="H7335" s="43">
        <f>IF($G7335=1,INDEX(DarlSollzins,16),INDEX(DarlAnschluss,16))</f>
      </c>
      <c r="I7335" s="43">
        <f>IF(INDEX(DarlBelegt,16)=0,0,IF(INDEX(DarlOhneTilgung,16)=1,IF(INDEX(DarlBindung,16)="",1,$G7335),IF($J7335&gt;0.005,1,0)))</f>
      </c>
      <c r="J7335" s="43">
        <f>IF($I7334=0,0,$R7334)</f>
      </c>
      <c r="K7335" s="43">
        <f>IF($I7335=0,0,IF(INDEX(DarlOhneTilgung,16)=1,0,IF(AND(INDEX(DarlTilgStart,16)&gt;0,$E7335=INDEX(DarlTilgStart,16)),$J7335*($H7335+INDEX(DarlTilgung,16))/100/12,IF(AND($G7335=0,$G7334=1),MAX($K7334,$J7335*($H7335+1)/100/12),$K7334))))</f>
      </c>
      <c r="L7335" s="43">
        <f>IF($I7335=0,0,$J7335*$H7335/100/12)</f>
      </c>
      <c r="M7335" s="43">
        <f>IF($I7335=0,0,IF(OR(INDEX(DarlOhneTilgung,16)=1,AND(INDEX(DarlTilgStart,16)&gt;0,$E7335&lt;INDEX(DarlTilgStart,16))),0,MIN(MAX(0,$K7335-$L7335),$J7335)))</f>
      </c>
      <c r="N7335" s="43">
        <f>IF($I7335=0,0,MIN(SUMIFS(SondBetrag,SondDarl,16,SondDatum,"&gt;="&amp;$E7335,SondDatum,"&lt;="&amp;EOMONTH($E7335,0)),$J7335-$M7335))</f>
      </c>
      <c r="O7335" s="43">
        <f>IF($I7335=0,0,INDEX(DarlErsatzRate,16))</f>
      </c>
      <c r="P7335" s="43">
        <f>IF($I7335=0,0,$Q7334*INDEX(DarlErsatzZins,16))</f>
      </c>
      <c r="Q7335" s="43">
        <f>IF($I7335=0,0,$Q7334+$P7335+$O7335)</f>
      </c>
      <c r="R7335" s="43">
        <f>IF($I7335=0,0,$J7335-$M7335-$N7335)</f>
      </c>
    </row>
    <row r="7336">
      <c r="A7336"/>
      <c r="B7336">
        <v>16</v>
      </c>
      <c r="C7336" s="43">
        <f>INDEX(DarlObj,16)</f>
      </c>
      <c r="D7336">
        <v>133</v>
      </c>
      <c r="E7336" s="51">
        <f>IF(INDEX(DarlBelegt,16)=0,0,EOMONTH(INDEX(DarlAuszahlung,16),132)+1)</f>
      </c>
      <c r="F7336" s="43">
        <f>IF($E7336=0,0,YEAR($E7336))</f>
      </c>
      <c r="G7336" s="43">
        <f>IF(INDEX(DarlBindung,16)="",1,IF($E7336&lt;=INDEX(DarlBindung,16),1,0))</f>
      </c>
      <c r="H7336" s="43">
        <f>IF($G7336=1,INDEX(DarlSollzins,16),INDEX(DarlAnschluss,16))</f>
      </c>
      <c r="I7336" s="43">
        <f>IF(INDEX(DarlBelegt,16)=0,0,IF(INDEX(DarlOhneTilgung,16)=1,IF(INDEX(DarlBindung,16)="",1,$G7336),IF($J7336&gt;0.005,1,0)))</f>
      </c>
      <c r="J7336" s="43">
        <f>IF($I7335=0,0,$R7335)</f>
      </c>
      <c r="K7336" s="43">
        <f>IF($I7336=0,0,IF(INDEX(DarlOhneTilgung,16)=1,0,IF(AND(INDEX(DarlTilgStart,16)&gt;0,$E7336=INDEX(DarlTilgStart,16)),$J7336*($H7336+INDEX(DarlTilgung,16))/100/12,IF(AND($G7336=0,$G7335=1),MAX($K7335,$J7336*($H7336+1)/100/12),$K7335))))</f>
      </c>
      <c r="L7336" s="43">
        <f>IF($I7336=0,0,$J7336*$H7336/100/12)</f>
      </c>
      <c r="M7336" s="43">
        <f>IF($I7336=0,0,IF(OR(INDEX(DarlOhneTilgung,16)=1,AND(INDEX(DarlTilgStart,16)&gt;0,$E7336&lt;INDEX(DarlTilgStart,16))),0,MIN(MAX(0,$K7336-$L7336),$J7336)))</f>
      </c>
      <c r="N7336" s="43">
        <f>IF($I7336=0,0,MIN(SUMIFS(SondBetrag,SondDarl,16,SondDatum,"&gt;="&amp;$E7336,SondDatum,"&lt;="&amp;EOMONTH($E7336,0)),$J7336-$M7336))</f>
      </c>
      <c r="O7336" s="43">
        <f>IF($I7336=0,0,INDEX(DarlErsatzRate,16))</f>
      </c>
      <c r="P7336" s="43">
        <f>IF($I7336=0,0,$Q7335*INDEX(DarlErsatzZins,16))</f>
      </c>
      <c r="Q7336" s="43">
        <f>IF($I7336=0,0,$Q7335+$P7336+$O7336)</f>
      </c>
      <c r="R7336" s="43">
        <f>IF($I7336=0,0,$J7336-$M7336-$N7336)</f>
      </c>
    </row>
    <row r="7337">
      <c r="A7337"/>
      <c r="B7337">
        <v>16</v>
      </c>
      <c r="C7337" s="43">
        <f>INDEX(DarlObj,16)</f>
      </c>
      <c r="D7337">
        <v>134</v>
      </c>
      <c r="E7337" s="51">
        <f>IF(INDEX(DarlBelegt,16)=0,0,EOMONTH(INDEX(DarlAuszahlung,16),133)+1)</f>
      </c>
      <c r="F7337" s="43">
        <f>IF($E7337=0,0,YEAR($E7337))</f>
      </c>
      <c r="G7337" s="43">
        <f>IF(INDEX(DarlBindung,16)="",1,IF($E7337&lt;=INDEX(DarlBindung,16),1,0))</f>
      </c>
      <c r="H7337" s="43">
        <f>IF($G7337=1,INDEX(DarlSollzins,16),INDEX(DarlAnschluss,16))</f>
      </c>
      <c r="I7337" s="43">
        <f>IF(INDEX(DarlBelegt,16)=0,0,IF(INDEX(DarlOhneTilgung,16)=1,IF(INDEX(DarlBindung,16)="",1,$G7337),IF($J7337&gt;0.005,1,0)))</f>
      </c>
      <c r="J7337" s="43">
        <f>IF($I7336=0,0,$R7336)</f>
      </c>
      <c r="K7337" s="43">
        <f>IF($I7337=0,0,IF(INDEX(DarlOhneTilgung,16)=1,0,IF(AND(INDEX(DarlTilgStart,16)&gt;0,$E7337=INDEX(DarlTilgStart,16)),$J7337*($H7337+INDEX(DarlTilgung,16))/100/12,IF(AND($G7337=0,$G7336=1),MAX($K7336,$J7337*($H7337+1)/100/12),$K7336))))</f>
      </c>
      <c r="L7337" s="43">
        <f>IF($I7337=0,0,$J7337*$H7337/100/12)</f>
      </c>
      <c r="M7337" s="43">
        <f>IF($I7337=0,0,IF(OR(INDEX(DarlOhneTilgung,16)=1,AND(INDEX(DarlTilgStart,16)&gt;0,$E7337&lt;INDEX(DarlTilgStart,16))),0,MIN(MAX(0,$K7337-$L7337),$J7337)))</f>
      </c>
      <c r="N7337" s="43">
        <f>IF($I7337=0,0,MIN(SUMIFS(SondBetrag,SondDarl,16,SondDatum,"&gt;="&amp;$E7337,SondDatum,"&lt;="&amp;EOMONTH($E7337,0)),$J7337-$M7337))</f>
      </c>
      <c r="O7337" s="43">
        <f>IF($I7337=0,0,INDEX(DarlErsatzRate,16))</f>
      </c>
      <c r="P7337" s="43">
        <f>IF($I7337=0,0,$Q7336*INDEX(DarlErsatzZins,16))</f>
      </c>
      <c r="Q7337" s="43">
        <f>IF($I7337=0,0,$Q7336+$P7337+$O7337)</f>
      </c>
      <c r="R7337" s="43">
        <f>IF($I7337=0,0,$J7337-$M7337-$N7337)</f>
      </c>
    </row>
    <row r="7338">
      <c r="A7338"/>
      <c r="B7338">
        <v>16</v>
      </c>
      <c r="C7338" s="43">
        <f>INDEX(DarlObj,16)</f>
      </c>
      <c r="D7338">
        <v>135</v>
      </c>
      <c r="E7338" s="51">
        <f>IF(INDEX(DarlBelegt,16)=0,0,EOMONTH(INDEX(DarlAuszahlung,16),134)+1)</f>
      </c>
      <c r="F7338" s="43">
        <f>IF($E7338=0,0,YEAR($E7338))</f>
      </c>
      <c r="G7338" s="43">
        <f>IF(INDEX(DarlBindung,16)="",1,IF($E7338&lt;=INDEX(DarlBindung,16),1,0))</f>
      </c>
      <c r="H7338" s="43">
        <f>IF($G7338=1,INDEX(DarlSollzins,16),INDEX(DarlAnschluss,16))</f>
      </c>
      <c r="I7338" s="43">
        <f>IF(INDEX(DarlBelegt,16)=0,0,IF(INDEX(DarlOhneTilgung,16)=1,IF(INDEX(DarlBindung,16)="",1,$G7338),IF($J7338&gt;0.005,1,0)))</f>
      </c>
      <c r="J7338" s="43">
        <f>IF($I7337=0,0,$R7337)</f>
      </c>
      <c r="K7338" s="43">
        <f>IF($I7338=0,0,IF(INDEX(DarlOhneTilgung,16)=1,0,IF(AND(INDEX(DarlTilgStart,16)&gt;0,$E7338=INDEX(DarlTilgStart,16)),$J7338*($H7338+INDEX(DarlTilgung,16))/100/12,IF(AND($G7338=0,$G7337=1),MAX($K7337,$J7338*($H7338+1)/100/12),$K7337))))</f>
      </c>
      <c r="L7338" s="43">
        <f>IF($I7338=0,0,$J7338*$H7338/100/12)</f>
      </c>
      <c r="M7338" s="43">
        <f>IF($I7338=0,0,IF(OR(INDEX(DarlOhneTilgung,16)=1,AND(INDEX(DarlTilgStart,16)&gt;0,$E7338&lt;INDEX(DarlTilgStart,16))),0,MIN(MAX(0,$K7338-$L7338),$J7338)))</f>
      </c>
      <c r="N7338" s="43">
        <f>IF($I7338=0,0,MIN(SUMIFS(SondBetrag,SondDarl,16,SondDatum,"&gt;="&amp;$E7338,SondDatum,"&lt;="&amp;EOMONTH($E7338,0)),$J7338-$M7338))</f>
      </c>
      <c r="O7338" s="43">
        <f>IF($I7338=0,0,INDEX(DarlErsatzRate,16))</f>
      </c>
      <c r="P7338" s="43">
        <f>IF($I7338=0,0,$Q7337*INDEX(DarlErsatzZins,16))</f>
      </c>
      <c r="Q7338" s="43">
        <f>IF($I7338=0,0,$Q7337+$P7338+$O7338)</f>
      </c>
      <c r="R7338" s="43">
        <f>IF($I7338=0,0,$J7338-$M7338-$N7338)</f>
      </c>
    </row>
    <row r="7339">
      <c r="A7339"/>
      <c r="B7339">
        <v>16</v>
      </c>
      <c r="C7339" s="43">
        <f>INDEX(DarlObj,16)</f>
      </c>
      <c r="D7339">
        <v>136</v>
      </c>
      <c r="E7339" s="51">
        <f>IF(INDEX(DarlBelegt,16)=0,0,EOMONTH(INDEX(DarlAuszahlung,16),135)+1)</f>
      </c>
      <c r="F7339" s="43">
        <f>IF($E7339=0,0,YEAR($E7339))</f>
      </c>
      <c r="G7339" s="43">
        <f>IF(INDEX(DarlBindung,16)="",1,IF($E7339&lt;=INDEX(DarlBindung,16),1,0))</f>
      </c>
      <c r="H7339" s="43">
        <f>IF($G7339=1,INDEX(DarlSollzins,16),INDEX(DarlAnschluss,16))</f>
      </c>
      <c r="I7339" s="43">
        <f>IF(INDEX(DarlBelegt,16)=0,0,IF(INDEX(DarlOhneTilgung,16)=1,IF(INDEX(DarlBindung,16)="",1,$G7339),IF($J7339&gt;0.005,1,0)))</f>
      </c>
      <c r="J7339" s="43">
        <f>IF($I7338=0,0,$R7338)</f>
      </c>
      <c r="K7339" s="43">
        <f>IF($I7339=0,0,IF(INDEX(DarlOhneTilgung,16)=1,0,IF(AND(INDEX(DarlTilgStart,16)&gt;0,$E7339=INDEX(DarlTilgStart,16)),$J7339*($H7339+INDEX(DarlTilgung,16))/100/12,IF(AND($G7339=0,$G7338=1),MAX($K7338,$J7339*($H7339+1)/100/12),$K7338))))</f>
      </c>
      <c r="L7339" s="43">
        <f>IF($I7339=0,0,$J7339*$H7339/100/12)</f>
      </c>
      <c r="M7339" s="43">
        <f>IF($I7339=0,0,IF(OR(INDEX(DarlOhneTilgung,16)=1,AND(INDEX(DarlTilgStart,16)&gt;0,$E7339&lt;INDEX(DarlTilgStart,16))),0,MIN(MAX(0,$K7339-$L7339),$J7339)))</f>
      </c>
      <c r="N7339" s="43">
        <f>IF($I7339=0,0,MIN(SUMIFS(SondBetrag,SondDarl,16,SondDatum,"&gt;="&amp;$E7339,SondDatum,"&lt;="&amp;EOMONTH($E7339,0)),$J7339-$M7339))</f>
      </c>
      <c r="O7339" s="43">
        <f>IF($I7339=0,0,INDEX(DarlErsatzRate,16))</f>
      </c>
      <c r="P7339" s="43">
        <f>IF($I7339=0,0,$Q7338*INDEX(DarlErsatzZins,16))</f>
      </c>
      <c r="Q7339" s="43">
        <f>IF($I7339=0,0,$Q7338+$P7339+$O7339)</f>
      </c>
      <c r="R7339" s="43">
        <f>IF($I7339=0,0,$J7339-$M7339-$N7339)</f>
      </c>
    </row>
    <row r="7340">
      <c r="A7340"/>
      <c r="B7340">
        <v>16</v>
      </c>
      <c r="C7340" s="43">
        <f>INDEX(DarlObj,16)</f>
      </c>
      <c r="D7340">
        <v>137</v>
      </c>
      <c r="E7340" s="51">
        <f>IF(INDEX(DarlBelegt,16)=0,0,EOMONTH(INDEX(DarlAuszahlung,16),136)+1)</f>
      </c>
      <c r="F7340" s="43">
        <f>IF($E7340=0,0,YEAR($E7340))</f>
      </c>
      <c r="G7340" s="43">
        <f>IF(INDEX(DarlBindung,16)="",1,IF($E7340&lt;=INDEX(DarlBindung,16),1,0))</f>
      </c>
      <c r="H7340" s="43">
        <f>IF($G7340=1,INDEX(DarlSollzins,16),INDEX(DarlAnschluss,16))</f>
      </c>
      <c r="I7340" s="43">
        <f>IF(INDEX(DarlBelegt,16)=0,0,IF(INDEX(DarlOhneTilgung,16)=1,IF(INDEX(DarlBindung,16)="",1,$G7340),IF($J7340&gt;0.005,1,0)))</f>
      </c>
      <c r="J7340" s="43">
        <f>IF($I7339=0,0,$R7339)</f>
      </c>
      <c r="K7340" s="43">
        <f>IF($I7340=0,0,IF(INDEX(DarlOhneTilgung,16)=1,0,IF(AND(INDEX(DarlTilgStart,16)&gt;0,$E7340=INDEX(DarlTilgStart,16)),$J7340*($H7340+INDEX(DarlTilgung,16))/100/12,IF(AND($G7340=0,$G7339=1),MAX($K7339,$J7340*($H7340+1)/100/12),$K7339))))</f>
      </c>
      <c r="L7340" s="43">
        <f>IF($I7340=0,0,$J7340*$H7340/100/12)</f>
      </c>
      <c r="M7340" s="43">
        <f>IF($I7340=0,0,IF(OR(INDEX(DarlOhneTilgung,16)=1,AND(INDEX(DarlTilgStart,16)&gt;0,$E7340&lt;INDEX(DarlTilgStart,16))),0,MIN(MAX(0,$K7340-$L7340),$J7340)))</f>
      </c>
      <c r="N7340" s="43">
        <f>IF($I7340=0,0,MIN(SUMIFS(SondBetrag,SondDarl,16,SondDatum,"&gt;="&amp;$E7340,SondDatum,"&lt;="&amp;EOMONTH($E7340,0)),$J7340-$M7340))</f>
      </c>
      <c r="O7340" s="43">
        <f>IF($I7340=0,0,INDEX(DarlErsatzRate,16))</f>
      </c>
      <c r="P7340" s="43">
        <f>IF($I7340=0,0,$Q7339*INDEX(DarlErsatzZins,16))</f>
      </c>
      <c r="Q7340" s="43">
        <f>IF($I7340=0,0,$Q7339+$P7340+$O7340)</f>
      </c>
      <c r="R7340" s="43">
        <f>IF($I7340=0,0,$J7340-$M7340-$N7340)</f>
      </c>
    </row>
    <row r="7341">
      <c r="A7341"/>
      <c r="B7341">
        <v>16</v>
      </c>
      <c r="C7341" s="43">
        <f>INDEX(DarlObj,16)</f>
      </c>
      <c r="D7341">
        <v>138</v>
      </c>
      <c r="E7341" s="51">
        <f>IF(INDEX(DarlBelegt,16)=0,0,EOMONTH(INDEX(DarlAuszahlung,16),137)+1)</f>
      </c>
      <c r="F7341" s="43">
        <f>IF($E7341=0,0,YEAR($E7341))</f>
      </c>
      <c r="G7341" s="43">
        <f>IF(INDEX(DarlBindung,16)="",1,IF($E7341&lt;=INDEX(DarlBindung,16),1,0))</f>
      </c>
      <c r="H7341" s="43">
        <f>IF($G7341=1,INDEX(DarlSollzins,16),INDEX(DarlAnschluss,16))</f>
      </c>
      <c r="I7341" s="43">
        <f>IF(INDEX(DarlBelegt,16)=0,0,IF(INDEX(DarlOhneTilgung,16)=1,IF(INDEX(DarlBindung,16)="",1,$G7341),IF($J7341&gt;0.005,1,0)))</f>
      </c>
      <c r="J7341" s="43">
        <f>IF($I7340=0,0,$R7340)</f>
      </c>
      <c r="K7341" s="43">
        <f>IF($I7341=0,0,IF(INDEX(DarlOhneTilgung,16)=1,0,IF(AND(INDEX(DarlTilgStart,16)&gt;0,$E7341=INDEX(DarlTilgStart,16)),$J7341*($H7341+INDEX(DarlTilgung,16))/100/12,IF(AND($G7341=0,$G7340=1),MAX($K7340,$J7341*($H7341+1)/100/12),$K7340))))</f>
      </c>
      <c r="L7341" s="43">
        <f>IF($I7341=0,0,$J7341*$H7341/100/12)</f>
      </c>
      <c r="M7341" s="43">
        <f>IF($I7341=0,0,IF(OR(INDEX(DarlOhneTilgung,16)=1,AND(INDEX(DarlTilgStart,16)&gt;0,$E7341&lt;INDEX(DarlTilgStart,16))),0,MIN(MAX(0,$K7341-$L7341),$J7341)))</f>
      </c>
      <c r="N7341" s="43">
        <f>IF($I7341=0,0,MIN(SUMIFS(SondBetrag,SondDarl,16,SondDatum,"&gt;="&amp;$E7341,SondDatum,"&lt;="&amp;EOMONTH($E7341,0)),$J7341-$M7341))</f>
      </c>
      <c r="O7341" s="43">
        <f>IF($I7341=0,0,INDEX(DarlErsatzRate,16))</f>
      </c>
      <c r="P7341" s="43">
        <f>IF($I7341=0,0,$Q7340*INDEX(DarlErsatzZins,16))</f>
      </c>
      <c r="Q7341" s="43">
        <f>IF($I7341=0,0,$Q7340+$P7341+$O7341)</f>
      </c>
      <c r="R7341" s="43">
        <f>IF($I7341=0,0,$J7341-$M7341-$N7341)</f>
      </c>
    </row>
    <row r="7342">
      <c r="A7342"/>
      <c r="B7342">
        <v>16</v>
      </c>
      <c r="C7342" s="43">
        <f>INDEX(DarlObj,16)</f>
      </c>
      <c r="D7342">
        <v>139</v>
      </c>
      <c r="E7342" s="51">
        <f>IF(INDEX(DarlBelegt,16)=0,0,EOMONTH(INDEX(DarlAuszahlung,16),138)+1)</f>
      </c>
      <c r="F7342" s="43">
        <f>IF($E7342=0,0,YEAR($E7342))</f>
      </c>
      <c r="G7342" s="43">
        <f>IF(INDEX(DarlBindung,16)="",1,IF($E7342&lt;=INDEX(DarlBindung,16),1,0))</f>
      </c>
      <c r="H7342" s="43">
        <f>IF($G7342=1,INDEX(DarlSollzins,16),INDEX(DarlAnschluss,16))</f>
      </c>
      <c r="I7342" s="43">
        <f>IF(INDEX(DarlBelegt,16)=0,0,IF(INDEX(DarlOhneTilgung,16)=1,IF(INDEX(DarlBindung,16)="",1,$G7342),IF($J7342&gt;0.005,1,0)))</f>
      </c>
      <c r="J7342" s="43">
        <f>IF($I7341=0,0,$R7341)</f>
      </c>
      <c r="K7342" s="43">
        <f>IF($I7342=0,0,IF(INDEX(DarlOhneTilgung,16)=1,0,IF(AND(INDEX(DarlTilgStart,16)&gt;0,$E7342=INDEX(DarlTilgStart,16)),$J7342*($H7342+INDEX(DarlTilgung,16))/100/12,IF(AND($G7342=0,$G7341=1),MAX($K7341,$J7342*($H7342+1)/100/12),$K7341))))</f>
      </c>
      <c r="L7342" s="43">
        <f>IF($I7342=0,0,$J7342*$H7342/100/12)</f>
      </c>
      <c r="M7342" s="43">
        <f>IF($I7342=0,0,IF(OR(INDEX(DarlOhneTilgung,16)=1,AND(INDEX(DarlTilgStart,16)&gt;0,$E7342&lt;INDEX(DarlTilgStart,16))),0,MIN(MAX(0,$K7342-$L7342),$J7342)))</f>
      </c>
      <c r="N7342" s="43">
        <f>IF($I7342=0,0,MIN(SUMIFS(SondBetrag,SondDarl,16,SondDatum,"&gt;="&amp;$E7342,SondDatum,"&lt;="&amp;EOMONTH($E7342,0)),$J7342-$M7342))</f>
      </c>
      <c r="O7342" s="43">
        <f>IF($I7342=0,0,INDEX(DarlErsatzRate,16))</f>
      </c>
      <c r="P7342" s="43">
        <f>IF($I7342=0,0,$Q7341*INDEX(DarlErsatzZins,16))</f>
      </c>
      <c r="Q7342" s="43">
        <f>IF($I7342=0,0,$Q7341+$P7342+$O7342)</f>
      </c>
      <c r="R7342" s="43">
        <f>IF($I7342=0,0,$J7342-$M7342-$N7342)</f>
      </c>
    </row>
    <row r="7343">
      <c r="A7343"/>
      <c r="B7343">
        <v>16</v>
      </c>
      <c r="C7343" s="43">
        <f>INDEX(DarlObj,16)</f>
      </c>
      <c r="D7343">
        <v>140</v>
      </c>
      <c r="E7343" s="51">
        <f>IF(INDEX(DarlBelegt,16)=0,0,EOMONTH(INDEX(DarlAuszahlung,16),139)+1)</f>
      </c>
      <c r="F7343" s="43">
        <f>IF($E7343=0,0,YEAR($E7343))</f>
      </c>
      <c r="G7343" s="43">
        <f>IF(INDEX(DarlBindung,16)="",1,IF($E7343&lt;=INDEX(DarlBindung,16),1,0))</f>
      </c>
      <c r="H7343" s="43">
        <f>IF($G7343=1,INDEX(DarlSollzins,16),INDEX(DarlAnschluss,16))</f>
      </c>
      <c r="I7343" s="43">
        <f>IF(INDEX(DarlBelegt,16)=0,0,IF(INDEX(DarlOhneTilgung,16)=1,IF(INDEX(DarlBindung,16)="",1,$G7343),IF($J7343&gt;0.005,1,0)))</f>
      </c>
      <c r="J7343" s="43">
        <f>IF($I7342=0,0,$R7342)</f>
      </c>
      <c r="K7343" s="43">
        <f>IF($I7343=0,0,IF(INDEX(DarlOhneTilgung,16)=1,0,IF(AND(INDEX(DarlTilgStart,16)&gt;0,$E7343=INDEX(DarlTilgStart,16)),$J7343*($H7343+INDEX(DarlTilgung,16))/100/12,IF(AND($G7343=0,$G7342=1),MAX($K7342,$J7343*($H7343+1)/100/12),$K7342))))</f>
      </c>
      <c r="L7343" s="43">
        <f>IF($I7343=0,0,$J7343*$H7343/100/12)</f>
      </c>
      <c r="M7343" s="43">
        <f>IF($I7343=0,0,IF(OR(INDEX(DarlOhneTilgung,16)=1,AND(INDEX(DarlTilgStart,16)&gt;0,$E7343&lt;INDEX(DarlTilgStart,16))),0,MIN(MAX(0,$K7343-$L7343),$J7343)))</f>
      </c>
      <c r="N7343" s="43">
        <f>IF($I7343=0,0,MIN(SUMIFS(SondBetrag,SondDarl,16,SondDatum,"&gt;="&amp;$E7343,SondDatum,"&lt;="&amp;EOMONTH($E7343,0)),$J7343-$M7343))</f>
      </c>
      <c r="O7343" s="43">
        <f>IF($I7343=0,0,INDEX(DarlErsatzRate,16))</f>
      </c>
      <c r="P7343" s="43">
        <f>IF($I7343=0,0,$Q7342*INDEX(DarlErsatzZins,16))</f>
      </c>
      <c r="Q7343" s="43">
        <f>IF($I7343=0,0,$Q7342+$P7343+$O7343)</f>
      </c>
      <c r="R7343" s="43">
        <f>IF($I7343=0,0,$J7343-$M7343-$N7343)</f>
      </c>
    </row>
    <row r="7344">
      <c r="A7344"/>
      <c r="B7344">
        <v>16</v>
      </c>
      <c r="C7344" s="43">
        <f>INDEX(DarlObj,16)</f>
      </c>
      <c r="D7344">
        <v>141</v>
      </c>
      <c r="E7344" s="51">
        <f>IF(INDEX(DarlBelegt,16)=0,0,EOMONTH(INDEX(DarlAuszahlung,16),140)+1)</f>
      </c>
      <c r="F7344" s="43">
        <f>IF($E7344=0,0,YEAR($E7344))</f>
      </c>
      <c r="G7344" s="43">
        <f>IF(INDEX(DarlBindung,16)="",1,IF($E7344&lt;=INDEX(DarlBindung,16),1,0))</f>
      </c>
      <c r="H7344" s="43">
        <f>IF($G7344=1,INDEX(DarlSollzins,16),INDEX(DarlAnschluss,16))</f>
      </c>
      <c r="I7344" s="43">
        <f>IF(INDEX(DarlBelegt,16)=0,0,IF(INDEX(DarlOhneTilgung,16)=1,IF(INDEX(DarlBindung,16)="",1,$G7344),IF($J7344&gt;0.005,1,0)))</f>
      </c>
      <c r="J7344" s="43">
        <f>IF($I7343=0,0,$R7343)</f>
      </c>
      <c r="K7344" s="43">
        <f>IF($I7344=0,0,IF(INDEX(DarlOhneTilgung,16)=1,0,IF(AND(INDEX(DarlTilgStart,16)&gt;0,$E7344=INDEX(DarlTilgStart,16)),$J7344*($H7344+INDEX(DarlTilgung,16))/100/12,IF(AND($G7344=0,$G7343=1),MAX($K7343,$J7344*($H7344+1)/100/12),$K7343))))</f>
      </c>
      <c r="L7344" s="43">
        <f>IF($I7344=0,0,$J7344*$H7344/100/12)</f>
      </c>
      <c r="M7344" s="43">
        <f>IF($I7344=0,0,IF(OR(INDEX(DarlOhneTilgung,16)=1,AND(INDEX(DarlTilgStart,16)&gt;0,$E7344&lt;INDEX(DarlTilgStart,16))),0,MIN(MAX(0,$K7344-$L7344),$J7344)))</f>
      </c>
      <c r="N7344" s="43">
        <f>IF($I7344=0,0,MIN(SUMIFS(SondBetrag,SondDarl,16,SondDatum,"&gt;="&amp;$E7344,SondDatum,"&lt;="&amp;EOMONTH($E7344,0)),$J7344-$M7344))</f>
      </c>
      <c r="O7344" s="43">
        <f>IF($I7344=0,0,INDEX(DarlErsatzRate,16))</f>
      </c>
      <c r="P7344" s="43">
        <f>IF($I7344=0,0,$Q7343*INDEX(DarlErsatzZins,16))</f>
      </c>
      <c r="Q7344" s="43">
        <f>IF($I7344=0,0,$Q7343+$P7344+$O7344)</f>
      </c>
      <c r="R7344" s="43">
        <f>IF($I7344=0,0,$J7344-$M7344-$N7344)</f>
      </c>
    </row>
    <row r="7345">
      <c r="A7345"/>
      <c r="B7345">
        <v>16</v>
      </c>
      <c r="C7345" s="43">
        <f>INDEX(DarlObj,16)</f>
      </c>
      <c r="D7345">
        <v>142</v>
      </c>
      <c r="E7345" s="51">
        <f>IF(INDEX(DarlBelegt,16)=0,0,EOMONTH(INDEX(DarlAuszahlung,16),141)+1)</f>
      </c>
      <c r="F7345" s="43">
        <f>IF($E7345=0,0,YEAR($E7345))</f>
      </c>
      <c r="G7345" s="43">
        <f>IF(INDEX(DarlBindung,16)="",1,IF($E7345&lt;=INDEX(DarlBindung,16),1,0))</f>
      </c>
      <c r="H7345" s="43">
        <f>IF($G7345=1,INDEX(DarlSollzins,16),INDEX(DarlAnschluss,16))</f>
      </c>
      <c r="I7345" s="43">
        <f>IF(INDEX(DarlBelegt,16)=0,0,IF(INDEX(DarlOhneTilgung,16)=1,IF(INDEX(DarlBindung,16)="",1,$G7345),IF($J7345&gt;0.005,1,0)))</f>
      </c>
      <c r="J7345" s="43">
        <f>IF($I7344=0,0,$R7344)</f>
      </c>
      <c r="K7345" s="43">
        <f>IF($I7345=0,0,IF(INDEX(DarlOhneTilgung,16)=1,0,IF(AND(INDEX(DarlTilgStart,16)&gt;0,$E7345=INDEX(DarlTilgStart,16)),$J7345*($H7345+INDEX(DarlTilgung,16))/100/12,IF(AND($G7345=0,$G7344=1),MAX($K7344,$J7345*($H7345+1)/100/12),$K7344))))</f>
      </c>
      <c r="L7345" s="43">
        <f>IF($I7345=0,0,$J7345*$H7345/100/12)</f>
      </c>
      <c r="M7345" s="43">
        <f>IF($I7345=0,0,IF(OR(INDEX(DarlOhneTilgung,16)=1,AND(INDEX(DarlTilgStart,16)&gt;0,$E7345&lt;INDEX(DarlTilgStart,16))),0,MIN(MAX(0,$K7345-$L7345),$J7345)))</f>
      </c>
      <c r="N7345" s="43">
        <f>IF($I7345=0,0,MIN(SUMIFS(SondBetrag,SondDarl,16,SondDatum,"&gt;="&amp;$E7345,SondDatum,"&lt;="&amp;EOMONTH($E7345,0)),$J7345-$M7345))</f>
      </c>
      <c r="O7345" s="43">
        <f>IF($I7345=0,0,INDEX(DarlErsatzRate,16))</f>
      </c>
      <c r="P7345" s="43">
        <f>IF($I7345=0,0,$Q7344*INDEX(DarlErsatzZins,16))</f>
      </c>
      <c r="Q7345" s="43">
        <f>IF($I7345=0,0,$Q7344+$P7345+$O7345)</f>
      </c>
      <c r="R7345" s="43">
        <f>IF($I7345=0,0,$J7345-$M7345-$N7345)</f>
      </c>
    </row>
    <row r="7346">
      <c r="A7346"/>
      <c r="B7346">
        <v>16</v>
      </c>
      <c r="C7346" s="43">
        <f>INDEX(DarlObj,16)</f>
      </c>
      <c r="D7346">
        <v>143</v>
      </c>
      <c r="E7346" s="51">
        <f>IF(INDEX(DarlBelegt,16)=0,0,EOMONTH(INDEX(DarlAuszahlung,16),142)+1)</f>
      </c>
      <c r="F7346" s="43">
        <f>IF($E7346=0,0,YEAR($E7346))</f>
      </c>
      <c r="G7346" s="43">
        <f>IF(INDEX(DarlBindung,16)="",1,IF($E7346&lt;=INDEX(DarlBindung,16),1,0))</f>
      </c>
      <c r="H7346" s="43">
        <f>IF($G7346=1,INDEX(DarlSollzins,16),INDEX(DarlAnschluss,16))</f>
      </c>
      <c r="I7346" s="43">
        <f>IF(INDEX(DarlBelegt,16)=0,0,IF(INDEX(DarlOhneTilgung,16)=1,IF(INDEX(DarlBindung,16)="",1,$G7346),IF($J7346&gt;0.005,1,0)))</f>
      </c>
      <c r="J7346" s="43">
        <f>IF($I7345=0,0,$R7345)</f>
      </c>
      <c r="K7346" s="43">
        <f>IF($I7346=0,0,IF(INDEX(DarlOhneTilgung,16)=1,0,IF(AND(INDEX(DarlTilgStart,16)&gt;0,$E7346=INDEX(DarlTilgStart,16)),$J7346*($H7346+INDEX(DarlTilgung,16))/100/12,IF(AND($G7346=0,$G7345=1),MAX($K7345,$J7346*($H7346+1)/100/12),$K7345))))</f>
      </c>
      <c r="L7346" s="43">
        <f>IF($I7346=0,0,$J7346*$H7346/100/12)</f>
      </c>
      <c r="M7346" s="43">
        <f>IF($I7346=0,0,IF(OR(INDEX(DarlOhneTilgung,16)=1,AND(INDEX(DarlTilgStart,16)&gt;0,$E7346&lt;INDEX(DarlTilgStart,16))),0,MIN(MAX(0,$K7346-$L7346),$J7346)))</f>
      </c>
      <c r="N7346" s="43">
        <f>IF($I7346=0,0,MIN(SUMIFS(SondBetrag,SondDarl,16,SondDatum,"&gt;="&amp;$E7346,SondDatum,"&lt;="&amp;EOMONTH($E7346,0)),$J7346-$M7346))</f>
      </c>
      <c r="O7346" s="43">
        <f>IF($I7346=0,0,INDEX(DarlErsatzRate,16))</f>
      </c>
      <c r="P7346" s="43">
        <f>IF($I7346=0,0,$Q7345*INDEX(DarlErsatzZins,16))</f>
      </c>
      <c r="Q7346" s="43">
        <f>IF($I7346=0,0,$Q7345+$P7346+$O7346)</f>
      </c>
      <c r="R7346" s="43">
        <f>IF($I7346=0,0,$J7346-$M7346-$N7346)</f>
      </c>
    </row>
    <row r="7347">
      <c r="A7347"/>
      <c r="B7347">
        <v>16</v>
      </c>
      <c r="C7347" s="43">
        <f>INDEX(DarlObj,16)</f>
      </c>
      <c r="D7347">
        <v>144</v>
      </c>
      <c r="E7347" s="51">
        <f>IF(INDEX(DarlBelegt,16)=0,0,EOMONTH(INDEX(DarlAuszahlung,16),143)+1)</f>
      </c>
      <c r="F7347" s="43">
        <f>IF($E7347=0,0,YEAR($E7347))</f>
      </c>
      <c r="G7347" s="43">
        <f>IF(INDEX(DarlBindung,16)="",1,IF($E7347&lt;=INDEX(DarlBindung,16),1,0))</f>
      </c>
      <c r="H7347" s="43">
        <f>IF($G7347=1,INDEX(DarlSollzins,16),INDEX(DarlAnschluss,16))</f>
      </c>
      <c r="I7347" s="43">
        <f>IF(INDEX(DarlBelegt,16)=0,0,IF(INDEX(DarlOhneTilgung,16)=1,IF(INDEX(DarlBindung,16)="",1,$G7347),IF($J7347&gt;0.005,1,0)))</f>
      </c>
      <c r="J7347" s="43">
        <f>IF($I7346=0,0,$R7346)</f>
      </c>
      <c r="K7347" s="43">
        <f>IF($I7347=0,0,IF(INDEX(DarlOhneTilgung,16)=1,0,IF(AND(INDEX(DarlTilgStart,16)&gt;0,$E7347=INDEX(DarlTilgStart,16)),$J7347*($H7347+INDEX(DarlTilgung,16))/100/12,IF(AND($G7347=0,$G7346=1),MAX($K7346,$J7347*($H7347+1)/100/12),$K7346))))</f>
      </c>
      <c r="L7347" s="43">
        <f>IF($I7347=0,0,$J7347*$H7347/100/12)</f>
      </c>
      <c r="M7347" s="43">
        <f>IF($I7347=0,0,IF(OR(INDEX(DarlOhneTilgung,16)=1,AND(INDEX(DarlTilgStart,16)&gt;0,$E7347&lt;INDEX(DarlTilgStart,16))),0,MIN(MAX(0,$K7347-$L7347),$J7347)))</f>
      </c>
      <c r="N7347" s="43">
        <f>IF($I7347=0,0,MIN(SUMIFS(SondBetrag,SondDarl,16,SondDatum,"&gt;="&amp;$E7347,SondDatum,"&lt;="&amp;EOMONTH($E7347,0)),$J7347-$M7347))</f>
      </c>
      <c r="O7347" s="43">
        <f>IF($I7347=0,0,INDEX(DarlErsatzRate,16))</f>
      </c>
      <c r="P7347" s="43">
        <f>IF($I7347=0,0,$Q7346*INDEX(DarlErsatzZins,16))</f>
      </c>
      <c r="Q7347" s="43">
        <f>IF($I7347=0,0,$Q7346+$P7347+$O7347)</f>
      </c>
      <c r="R7347" s="43">
        <f>IF($I7347=0,0,$J7347-$M7347-$N7347)</f>
      </c>
    </row>
    <row r="7348">
      <c r="A7348"/>
      <c r="B7348">
        <v>16</v>
      </c>
      <c r="C7348" s="43">
        <f>INDEX(DarlObj,16)</f>
      </c>
      <c r="D7348">
        <v>145</v>
      </c>
      <c r="E7348" s="51">
        <f>IF(INDEX(DarlBelegt,16)=0,0,EOMONTH(INDEX(DarlAuszahlung,16),144)+1)</f>
      </c>
      <c r="F7348" s="43">
        <f>IF($E7348=0,0,YEAR($E7348))</f>
      </c>
      <c r="G7348" s="43">
        <f>IF(INDEX(DarlBindung,16)="",1,IF($E7348&lt;=INDEX(DarlBindung,16),1,0))</f>
      </c>
      <c r="H7348" s="43">
        <f>IF($G7348=1,INDEX(DarlSollzins,16),INDEX(DarlAnschluss,16))</f>
      </c>
      <c r="I7348" s="43">
        <f>IF(INDEX(DarlBelegt,16)=0,0,IF(INDEX(DarlOhneTilgung,16)=1,IF(INDEX(DarlBindung,16)="",1,$G7348),IF($J7348&gt;0.005,1,0)))</f>
      </c>
      <c r="J7348" s="43">
        <f>IF($I7347=0,0,$R7347)</f>
      </c>
      <c r="K7348" s="43">
        <f>IF($I7348=0,0,IF(INDEX(DarlOhneTilgung,16)=1,0,IF(AND(INDEX(DarlTilgStart,16)&gt;0,$E7348=INDEX(DarlTilgStart,16)),$J7348*($H7348+INDEX(DarlTilgung,16))/100/12,IF(AND($G7348=0,$G7347=1),MAX($K7347,$J7348*($H7348+1)/100/12),$K7347))))</f>
      </c>
      <c r="L7348" s="43">
        <f>IF($I7348=0,0,$J7348*$H7348/100/12)</f>
      </c>
      <c r="M7348" s="43">
        <f>IF($I7348=0,0,IF(OR(INDEX(DarlOhneTilgung,16)=1,AND(INDEX(DarlTilgStart,16)&gt;0,$E7348&lt;INDEX(DarlTilgStart,16))),0,MIN(MAX(0,$K7348-$L7348),$J7348)))</f>
      </c>
      <c r="N7348" s="43">
        <f>IF($I7348=0,0,MIN(SUMIFS(SondBetrag,SondDarl,16,SondDatum,"&gt;="&amp;$E7348,SondDatum,"&lt;="&amp;EOMONTH($E7348,0)),$J7348-$M7348))</f>
      </c>
      <c r="O7348" s="43">
        <f>IF($I7348=0,0,INDEX(DarlErsatzRate,16))</f>
      </c>
      <c r="P7348" s="43">
        <f>IF($I7348=0,0,$Q7347*INDEX(DarlErsatzZins,16))</f>
      </c>
      <c r="Q7348" s="43">
        <f>IF($I7348=0,0,$Q7347+$P7348+$O7348)</f>
      </c>
      <c r="R7348" s="43">
        <f>IF($I7348=0,0,$J7348-$M7348-$N7348)</f>
      </c>
    </row>
    <row r="7349">
      <c r="A7349"/>
      <c r="B7349">
        <v>16</v>
      </c>
      <c r="C7349" s="43">
        <f>INDEX(DarlObj,16)</f>
      </c>
      <c r="D7349">
        <v>146</v>
      </c>
      <c r="E7349" s="51">
        <f>IF(INDEX(DarlBelegt,16)=0,0,EOMONTH(INDEX(DarlAuszahlung,16),145)+1)</f>
      </c>
      <c r="F7349" s="43">
        <f>IF($E7349=0,0,YEAR($E7349))</f>
      </c>
      <c r="G7349" s="43">
        <f>IF(INDEX(DarlBindung,16)="",1,IF($E7349&lt;=INDEX(DarlBindung,16),1,0))</f>
      </c>
      <c r="H7349" s="43">
        <f>IF($G7349=1,INDEX(DarlSollzins,16),INDEX(DarlAnschluss,16))</f>
      </c>
      <c r="I7349" s="43">
        <f>IF(INDEX(DarlBelegt,16)=0,0,IF(INDEX(DarlOhneTilgung,16)=1,IF(INDEX(DarlBindung,16)="",1,$G7349),IF($J7349&gt;0.005,1,0)))</f>
      </c>
      <c r="J7349" s="43">
        <f>IF($I7348=0,0,$R7348)</f>
      </c>
      <c r="K7349" s="43">
        <f>IF($I7349=0,0,IF(INDEX(DarlOhneTilgung,16)=1,0,IF(AND(INDEX(DarlTilgStart,16)&gt;0,$E7349=INDEX(DarlTilgStart,16)),$J7349*($H7349+INDEX(DarlTilgung,16))/100/12,IF(AND($G7349=0,$G7348=1),MAX($K7348,$J7349*($H7349+1)/100/12),$K7348))))</f>
      </c>
      <c r="L7349" s="43">
        <f>IF($I7349=0,0,$J7349*$H7349/100/12)</f>
      </c>
      <c r="M7349" s="43">
        <f>IF($I7349=0,0,IF(OR(INDEX(DarlOhneTilgung,16)=1,AND(INDEX(DarlTilgStart,16)&gt;0,$E7349&lt;INDEX(DarlTilgStart,16))),0,MIN(MAX(0,$K7349-$L7349),$J7349)))</f>
      </c>
      <c r="N7349" s="43">
        <f>IF($I7349=0,0,MIN(SUMIFS(SondBetrag,SondDarl,16,SondDatum,"&gt;="&amp;$E7349,SondDatum,"&lt;="&amp;EOMONTH($E7349,0)),$J7349-$M7349))</f>
      </c>
      <c r="O7349" s="43">
        <f>IF($I7349=0,0,INDEX(DarlErsatzRate,16))</f>
      </c>
      <c r="P7349" s="43">
        <f>IF($I7349=0,0,$Q7348*INDEX(DarlErsatzZins,16))</f>
      </c>
      <c r="Q7349" s="43">
        <f>IF($I7349=0,0,$Q7348+$P7349+$O7349)</f>
      </c>
      <c r="R7349" s="43">
        <f>IF($I7349=0,0,$J7349-$M7349-$N7349)</f>
      </c>
    </row>
    <row r="7350">
      <c r="A7350"/>
      <c r="B7350">
        <v>16</v>
      </c>
      <c r="C7350" s="43">
        <f>INDEX(DarlObj,16)</f>
      </c>
      <c r="D7350">
        <v>147</v>
      </c>
      <c r="E7350" s="51">
        <f>IF(INDEX(DarlBelegt,16)=0,0,EOMONTH(INDEX(DarlAuszahlung,16),146)+1)</f>
      </c>
      <c r="F7350" s="43">
        <f>IF($E7350=0,0,YEAR($E7350))</f>
      </c>
      <c r="G7350" s="43">
        <f>IF(INDEX(DarlBindung,16)="",1,IF($E7350&lt;=INDEX(DarlBindung,16),1,0))</f>
      </c>
      <c r="H7350" s="43">
        <f>IF($G7350=1,INDEX(DarlSollzins,16),INDEX(DarlAnschluss,16))</f>
      </c>
      <c r="I7350" s="43">
        <f>IF(INDEX(DarlBelegt,16)=0,0,IF(INDEX(DarlOhneTilgung,16)=1,IF(INDEX(DarlBindung,16)="",1,$G7350),IF($J7350&gt;0.005,1,0)))</f>
      </c>
      <c r="J7350" s="43">
        <f>IF($I7349=0,0,$R7349)</f>
      </c>
      <c r="K7350" s="43">
        <f>IF($I7350=0,0,IF(INDEX(DarlOhneTilgung,16)=1,0,IF(AND(INDEX(DarlTilgStart,16)&gt;0,$E7350=INDEX(DarlTilgStart,16)),$J7350*($H7350+INDEX(DarlTilgung,16))/100/12,IF(AND($G7350=0,$G7349=1),MAX($K7349,$J7350*($H7350+1)/100/12),$K7349))))</f>
      </c>
      <c r="L7350" s="43">
        <f>IF($I7350=0,0,$J7350*$H7350/100/12)</f>
      </c>
      <c r="M7350" s="43">
        <f>IF($I7350=0,0,IF(OR(INDEX(DarlOhneTilgung,16)=1,AND(INDEX(DarlTilgStart,16)&gt;0,$E7350&lt;INDEX(DarlTilgStart,16))),0,MIN(MAX(0,$K7350-$L7350),$J7350)))</f>
      </c>
      <c r="N7350" s="43">
        <f>IF($I7350=0,0,MIN(SUMIFS(SondBetrag,SondDarl,16,SondDatum,"&gt;="&amp;$E7350,SondDatum,"&lt;="&amp;EOMONTH($E7350,0)),$J7350-$M7350))</f>
      </c>
      <c r="O7350" s="43">
        <f>IF($I7350=0,0,INDEX(DarlErsatzRate,16))</f>
      </c>
      <c r="P7350" s="43">
        <f>IF($I7350=0,0,$Q7349*INDEX(DarlErsatzZins,16))</f>
      </c>
      <c r="Q7350" s="43">
        <f>IF($I7350=0,0,$Q7349+$P7350+$O7350)</f>
      </c>
      <c r="R7350" s="43">
        <f>IF($I7350=0,0,$J7350-$M7350-$N7350)</f>
      </c>
    </row>
    <row r="7351">
      <c r="A7351"/>
      <c r="B7351">
        <v>16</v>
      </c>
      <c r="C7351" s="43">
        <f>INDEX(DarlObj,16)</f>
      </c>
      <c r="D7351">
        <v>148</v>
      </c>
      <c r="E7351" s="51">
        <f>IF(INDEX(DarlBelegt,16)=0,0,EOMONTH(INDEX(DarlAuszahlung,16),147)+1)</f>
      </c>
      <c r="F7351" s="43">
        <f>IF($E7351=0,0,YEAR($E7351))</f>
      </c>
      <c r="G7351" s="43">
        <f>IF(INDEX(DarlBindung,16)="",1,IF($E7351&lt;=INDEX(DarlBindung,16),1,0))</f>
      </c>
      <c r="H7351" s="43">
        <f>IF($G7351=1,INDEX(DarlSollzins,16),INDEX(DarlAnschluss,16))</f>
      </c>
      <c r="I7351" s="43">
        <f>IF(INDEX(DarlBelegt,16)=0,0,IF(INDEX(DarlOhneTilgung,16)=1,IF(INDEX(DarlBindung,16)="",1,$G7351),IF($J7351&gt;0.005,1,0)))</f>
      </c>
      <c r="J7351" s="43">
        <f>IF($I7350=0,0,$R7350)</f>
      </c>
      <c r="K7351" s="43">
        <f>IF($I7351=0,0,IF(INDEX(DarlOhneTilgung,16)=1,0,IF(AND(INDEX(DarlTilgStart,16)&gt;0,$E7351=INDEX(DarlTilgStart,16)),$J7351*($H7351+INDEX(DarlTilgung,16))/100/12,IF(AND($G7351=0,$G7350=1),MAX($K7350,$J7351*($H7351+1)/100/12),$K7350))))</f>
      </c>
      <c r="L7351" s="43">
        <f>IF($I7351=0,0,$J7351*$H7351/100/12)</f>
      </c>
      <c r="M7351" s="43">
        <f>IF($I7351=0,0,IF(OR(INDEX(DarlOhneTilgung,16)=1,AND(INDEX(DarlTilgStart,16)&gt;0,$E7351&lt;INDEX(DarlTilgStart,16))),0,MIN(MAX(0,$K7351-$L7351),$J7351)))</f>
      </c>
      <c r="N7351" s="43">
        <f>IF($I7351=0,0,MIN(SUMIFS(SondBetrag,SondDarl,16,SondDatum,"&gt;="&amp;$E7351,SondDatum,"&lt;="&amp;EOMONTH($E7351,0)),$J7351-$M7351))</f>
      </c>
      <c r="O7351" s="43">
        <f>IF($I7351=0,0,INDEX(DarlErsatzRate,16))</f>
      </c>
      <c r="P7351" s="43">
        <f>IF($I7351=0,0,$Q7350*INDEX(DarlErsatzZins,16))</f>
      </c>
      <c r="Q7351" s="43">
        <f>IF($I7351=0,0,$Q7350+$P7351+$O7351)</f>
      </c>
      <c r="R7351" s="43">
        <f>IF($I7351=0,0,$J7351-$M7351-$N7351)</f>
      </c>
    </row>
    <row r="7352">
      <c r="A7352"/>
      <c r="B7352">
        <v>16</v>
      </c>
      <c r="C7352" s="43">
        <f>INDEX(DarlObj,16)</f>
      </c>
      <c r="D7352">
        <v>149</v>
      </c>
      <c r="E7352" s="51">
        <f>IF(INDEX(DarlBelegt,16)=0,0,EOMONTH(INDEX(DarlAuszahlung,16),148)+1)</f>
      </c>
      <c r="F7352" s="43">
        <f>IF($E7352=0,0,YEAR($E7352))</f>
      </c>
      <c r="G7352" s="43">
        <f>IF(INDEX(DarlBindung,16)="",1,IF($E7352&lt;=INDEX(DarlBindung,16),1,0))</f>
      </c>
      <c r="H7352" s="43">
        <f>IF($G7352=1,INDEX(DarlSollzins,16),INDEX(DarlAnschluss,16))</f>
      </c>
      <c r="I7352" s="43">
        <f>IF(INDEX(DarlBelegt,16)=0,0,IF(INDEX(DarlOhneTilgung,16)=1,IF(INDEX(DarlBindung,16)="",1,$G7352),IF($J7352&gt;0.005,1,0)))</f>
      </c>
      <c r="J7352" s="43">
        <f>IF($I7351=0,0,$R7351)</f>
      </c>
      <c r="K7352" s="43">
        <f>IF($I7352=0,0,IF(INDEX(DarlOhneTilgung,16)=1,0,IF(AND(INDEX(DarlTilgStart,16)&gt;0,$E7352=INDEX(DarlTilgStart,16)),$J7352*($H7352+INDEX(DarlTilgung,16))/100/12,IF(AND($G7352=0,$G7351=1),MAX($K7351,$J7352*($H7352+1)/100/12),$K7351))))</f>
      </c>
      <c r="L7352" s="43">
        <f>IF($I7352=0,0,$J7352*$H7352/100/12)</f>
      </c>
      <c r="M7352" s="43">
        <f>IF($I7352=0,0,IF(OR(INDEX(DarlOhneTilgung,16)=1,AND(INDEX(DarlTilgStart,16)&gt;0,$E7352&lt;INDEX(DarlTilgStart,16))),0,MIN(MAX(0,$K7352-$L7352),$J7352)))</f>
      </c>
      <c r="N7352" s="43">
        <f>IF($I7352=0,0,MIN(SUMIFS(SondBetrag,SondDarl,16,SondDatum,"&gt;="&amp;$E7352,SondDatum,"&lt;="&amp;EOMONTH($E7352,0)),$J7352-$M7352))</f>
      </c>
      <c r="O7352" s="43">
        <f>IF($I7352=0,0,INDEX(DarlErsatzRate,16))</f>
      </c>
      <c r="P7352" s="43">
        <f>IF($I7352=0,0,$Q7351*INDEX(DarlErsatzZins,16))</f>
      </c>
      <c r="Q7352" s="43">
        <f>IF($I7352=0,0,$Q7351+$P7352+$O7352)</f>
      </c>
      <c r="R7352" s="43">
        <f>IF($I7352=0,0,$J7352-$M7352-$N7352)</f>
      </c>
    </row>
    <row r="7353">
      <c r="A7353"/>
      <c r="B7353">
        <v>16</v>
      </c>
      <c r="C7353" s="43">
        <f>INDEX(DarlObj,16)</f>
      </c>
      <c r="D7353">
        <v>150</v>
      </c>
      <c r="E7353" s="51">
        <f>IF(INDEX(DarlBelegt,16)=0,0,EOMONTH(INDEX(DarlAuszahlung,16),149)+1)</f>
      </c>
      <c r="F7353" s="43">
        <f>IF($E7353=0,0,YEAR($E7353))</f>
      </c>
      <c r="G7353" s="43">
        <f>IF(INDEX(DarlBindung,16)="",1,IF($E7353&lt;=INDEX(DarlBindung,16),1,0))</f>
      </c>
      <c r="H7353" s="43">
        <f>IF($G7353=1,INDEX(DarlSollzins,16),INDEX(DarlAnschluss,16))</f>
      </c>
      <c r="I7353" s="43">
        <f>IF(INDEX(DarlBelegt,16)=0,0,IF(INDEX(DarlOhneTilgung,16)=1,IF(INDEX(DarlBindung,16)="",1,$G7353),IF($J7353&gt;0.005,1,0)))</f>
      </c>
      <c r="J7353" s="43">
        <f>IF($I7352=0,0,$R7352)</f>
      </c>
      <c r="K7353" s="43">
        <f>IF($I7353=0,0,IF(INDEX(DarlOhneTilgung,16)=1,0,IF(AND(INDEX(DarlTilgStart,16)&gt;0,$E7353=INDEX(DarlTilgStart,16)),$J7353*($H7353+INDEX(DarlTilgung,16))/100/12,IF(AND($G7353=0,$G7352=1),MAX($K7352,$J7353*($H7353+1)/100/12),$K7352))))</f>
      </c>
      <c r="L7353" s="43">
        <f>IF($I7353=0,0,$J7353*$H7353/100/12)</f>
      </c>
      <c r="M7353" s="43">
        <f>IF($I7353=0,0,IF(OR(INDEX(DarlOhneTilgung,16)=1,AND(INDEX(DarlTilgStart,16)&gt;0,$E7353&lt;INDEX(DarlTilgStart,16))),0,MIN(MAX(0,$K7353-$L7353),$J7353)))</f>
      </c>
      <c r="N7353" s="43">
        <f>IF($I7353=0,0,MIN(SUMIFS(SondBetrag,SondDarl,16,SondDatum,"&gt;="&amp;$E7353,SondDatum,"&lt;="&amp;EOMONTH($E7353,0)),$J7353-$M7353))</f>
      </c>
      <c r="O7353" s="43">
        <f>IF($I7353=0,0,INDEX(DarlErsatzRate,16))</f>
      </c>
      <c r="P7353" s="43">
        <f>IF($I7353=0,0,$Q7352*INDEX(DarlErsatzZins,16))</f>
      </c>
      <c r="Q7353" s="43">
        <f>IF($I7353=0,0,$Q7352+$P7353+$O7353)</f>
      </c>
      <c r="R7353" s="43">
        <f>IF($I7353=0,0,$J7353-$M7353-$N7353)</f>
      </c>
    </row>
    <row r="7354">
      <c r="A7354"/>
      <c r="B7354">
        <v>16</v>
      </c>
      <c r="C7354" s="43">
        <f>INDEX(DarlObj,16)</f>
      </c>
      <c r="D7354">
        <v>151</v>
      </c>
      <c r="E7354" s="51">
        <f>IF(INDEX(DarlBelegt,16)=0,0,EOMONTH(INDEX(DarlAuszahlung,16),150)+1)</f>
      </c>
      <c r="F7354" s="43">
        <f>IF($E7354=0,0,YEAR($E7354))</f>
      </c>
      <c r="G7354" s="43">
        <f>IF(INDEX(DarlBindung,16)="",1,IF($E7354&lt;=INDEX(DarlBindung,16),1,0))</f>
      </c>
      <c r="H7354" s="43">
        <f>IF($G7354=1,INDEX(DarlSollzins,16),INDEX(DarlAnschluss,16))</f>
      </c>
      <c r="I7354" s="43">
        <f>IF(INDEX(DarlBelegt,16)=0,0,IF(INDEX(DarlOhneTilgung,16)=1,IF(INDEX(DarlBindung,16)="",1,$G7354),IF($J7354&gt;0.005,1,0)))</f>
      </c>
      <c r="J7354" s="43">
        <f>IF($I7353=0,0,$R7353)</f>
      </c>
      <c r="K7354" s="43">
        <f>IF($I7354=0,0,IF(INDEX(DarlOhneTilgung,16)=1,0,IF(AND(INDEX(DarlTilgStart,16)&gt;0,$E7354=INDEX(DarlTilgStart,16)),$J7354*($H7354+INDEX(DarlTilgung,16))/100/12,IF(AND($G7354=0,$G7353=1),MAX($K7353,$J7354*($H7354+1)/100/12),$K7353))))</f>
      </c>
      <c r="L7354" s="43">
        <f>IF($I7354=0,0,$J7354*$H7354/100/12)</f>
      </c>
      <c r="M7354" s="43">
        <f>IF($I7354=0,0,IF(OR(INDEX(DarlOhneTilgung,16)=1,AND(INDEX(DarlTilgStart,16)&gt;0,$E7354&lt;INDEX(DarlTilgStart,16))),0,MIN(MAX(0,$K7354-$L7354),$J7354)))</f>
      </c>
      <c r="N7354" s="43">
        <f>IF($I7354=0,0,MIN(SUMIFS(SondBetrag,SondDarl,16,SondDatum,"&gt;="&amp;$E7354,SondDatum,"&lt;="&amp;EOMONTH($E7354,0)),$J7354-$M7354))</f>
      </c>
      <c r="O7354" s="43">
        <f>IF($I7354=0,0,INDEX(DarlErsatzRate,16))</f>
      </c>
      <c r="P7354" s="43">
        <f>IF($I7354=0,0,$Q7353*INDEX(DarlErsatzZins,16))</f>
      </c>
      <c r="Q7354" s="43">
        <f>IF($I7354=0,0,$Q7353+$P7354+$O7354)</f>
      </c>
      <c r="R7354" s="43">
        <f>IF($I7354=0,0,$J7354-$M7354-$N7354)</f>
      </c>
    </row>
    <row r="7355">
      <c r="A7355"/>
      <c r="B7355">
        <v>16</v>
      </c>
      <c r="C7355" s="43">
        <f>INDEX(DarlObj,16)</f>
      </c>
      <c r="D7355">
        <v>152</v>
      </c>
      <c r="E7355" s="51">
        <f>IF(INDEX(DarlBelegt,16)=0,0,EOMONTH(INDEX(DarlAuszahlung,16),151)+1)</f>
      </c>
      <c r="F7355" s="43">
        <f>IF($E7355=0,0,YEAR($E7355))</f>
      </c>
      <c r="G7355" s="43">
        <f>IF(INDEX(DarlBindung,16)="",1,IF($E7355&lt;=INDEX(DarlBindung,16),1,0))</f>
      </c>
      <c r="H7355" s="43">
        <f>IF($G7355=1,INDEX(DarlSollzins,16),INDEX(DarlAnschluss,16))</f>
      </c>
      <c r="I7355" s="43">
        <f>IF(INDEX(DarlBelegt,16)=0,0,IF(INDEX(DarlOhneTilgung,16)=1,IF(INDEX(DarlBindung,16)="",1,$G7355),IF($J7355&gt;0.005,1,0)))</f>
      </c>
      <c r="J7355" s="43">
        <f>IF($I7354=0,0,$R7354)</f>
      </c>
      <c r="K7355" s="43">
        <f>IF($I7355=0,0,IF(INDEX(DarlOhneTilgung,16)=1,0,IF(AND(INDEX(DarlTilgStart,16)&gt;0,$E7355=INDEX(DarlTilgStart,16)),$J7355*($H7355+INDEX(DarlTilgung,16))/100/12,IF(AND($G7355=0,$G7354=1),MAX($K7354,$J7355*($H7355+1)/100/12),$K7354))))</f>
      </c>
      <c r="L7355" s="43">
        <f>IF($I7355=0,0,$J7355*$H7355/100/12)</f>
      </c>
      <c r="M7355" s="43">
        <f>IF($I7355=0,0,IF(OR(INDEX(DarlOhneTilgung,16)=1,AND(INDEX(DarlTilgStart,16)&gt;0,$E7355&lt;INDEX(DarlTilgStart,16))),0,MIN(MAX(0,$K7355-$L7355),$J7355)))</f>
      </c>
      <c r="N7355" s="43">
        <f>IF($I7355=0,0,MIN(SUMIFS(SondBetrag,SondDarl,16,SondDatum,"&gt;="&amp;$E7355,SondDatum,"&lt;="&amp;EOMONTH($E7355,0)),$J7355-$M7355))</f>
      </c>
      <c r="O7355" s="43">
        <f>IF($I7355=0,0,INDEX(DarlErsatzRate,16))</f>
      </c>
      <c r="P7355" s="43">
        <f>IF($I7355=0,0,$Q7354*INDEX(DarlErsatzZins,16))</f>
      </c>
      <c r="Q7355" s="43">
        <f>IF($I7355=0,0,$Q7354+$P7355+$O7355)</f>
      </c>
      <c r="R7355" s="43">
        <f>IF($I7355=0,0,$J7355-$M7355-$N7355)</f>
      </c>
    </row>
    <row r="7356">
      <c r="A7356"/>
      <c r="B7356">
        <v>16</v>
      </c>
      <c r="C7356" s="43">
        <f>INDEX(DarlObj,16)</f>
      </c>
      <c r="D7356">
        <v>153</v>
      </c>
      <c r="E7356" s="51">
        <f>IF(INDEX(DarlBelegt,16)=0,0,EOMONTH(INDEX(DarlAuszahlung,16),152)+1)</f>
      </c>
      <c r="F7356" s="43">
        <f>IF($E7356=0,0,YEAR($E7356))</f>
      </c>
      <c r="G7356" s="43">
        <f>IF(INDEX(DarlBindung,16)="",1,IF($E7356&lt;=INDEX(DarlBindung,16),1,0))</f>
      </c>
      <c r="H7356" s="43">
        <f>IF($G7356=1,INDEX(DarlSollzins,16),INDEX(DarlAnschluss,16))</f>
      </c>
      <c r="I7356" s="43">
        <f>IF(INDEX(DarlBelegt,16)=0,0,IF(INDEX(DarlOhneTilgung,16)=1,IF(INDEX(DarlBindung,16)="",1,$G7356),IF($J7356&gt;0.005,1,0)))</f>
      </c>
      <c r="J7356" s="43">
        <f>IF($I7355=0,0,$R7355)</f>
      </c>
      <c r="K7356" s="43">
        <f>IF($I7356=0,0,IF(INDEX(DarlOhneTilgung,16)=1,0,IF(AND(INDEX(DarlTilgStart,16)&gt;0,$E7356=INDEX(DarlTilgStart,16)),$J7356*($H7356+INDEX(DarlTilgung,16))/100/12,IF(AND($G7356=0,$G7355=1),MAX($K7355,$J7356*($H7356+1)/100/12),$K7355))))</f>
      </c>
      <c r="L7356" s="43">
        <f>IF($I7356=0,0,$J7356*$H7356/100/12)</f>
      </c>
      <c r="M7356" s="43">
        <f>IF($I7356=0,0,IF(OR(INDEX(DarlOhneTilgung,16)=1,AND(INDEX(DarlTilgStart,16)&gt;0,$E7356&lt;INDEX(DarlTilgStart,16))),0,MIN(MAX(0,$K7356-$L7356),$J7356)))</f>
      </c>
      <c r="N7356" s="43">
        <f>IF($I7356=0,0,MIN(SUMIFS(SondBetrag,SondDarl,16,SondDatum,"&gt;="&amp;$E7356,SondDatum,"&lt;="&amp;EOMONTH($E7356,0)),$J7356-$M7356))</f>
      </c>
      <c r="O7356" s="43">
        <f>IF($I7356=0,0,INDEX(DarlErsatzRate,16))</f>
      </c>
      <c r="P7356" s="43">
        <f>IF($I7356=0,0,$Q7355*INDEX(DarlErsatzZins,16))</f>
      </c>
      <c r="Q7356" s="43">
        <f>IF($I7356=0,0,$Q7355+$P7356+$O7356)</f>
      </c>
      <c r="R7356" s="43">
        <f>IF($I7356=0,0,$J7356-$M7356-$N7356)</f>
      </c>
    </row>
    <row r="7357">
      <c r="A7357"/>
      <c r="B7357">
        <v>16</v>
      </c>
      <c r="C7357" s="43">
        <f>INDEX(DarlObj,16)</f>
      </c>
      <c r="D7357">
        <v>154</v>
      </c>
      <c r="E7357" s="51">
        <f>IF(INDEX(DarlBelegt,16)=0,0,EOMONTH(INDEX(DarlAuszahlung,16),153)+1)</f>
      </c>
      <c r="F7357" s="43">
        <f>IF($E7357=0,0,YEAR($E7357))</f>
      </c>
      <c r="G7357" s="43">
        <f>IF(INDEX(DarlBindung,16)="",1,IF($E7357&lt;=INDEX(DarlBindung,16),1,0))</f>
      </c>
      <c r="H7357" s="43">
        <f>IF($G7357=1,INDEX(DarlSollzins,16),INDEX(DarlAnschluss,16))</f>
      </c>
      <c r="I7357" s="43">
        <f>IF(INDEX(DarlBelegt,16)=0,0,IF(INDEX(DarlOhneTilgung,16)=1,IF(INDEX(DarlBindung,16)="",1,$G7357),IF($J7357&gt;0.005,1,0)))</f>
      </c>
      <c r="J7357" s="43">
        <f>IF($I7356=0,0,$R7356)</f>
      </c>
      <c r="K7357" s="43">
        <f>IF($I7357=0,0,IF(INDEX(DarlOhneTilgung,16)=1,0,IF(AND(INDEX(DarlTilgStart,16)&gt;0,$E7357=INDEX(DarlTilgStart,16)),$J7357*($H7357+INDEX(DarlTilgung,16))/100/12,IF(AND($G7357=0,$G7356=1),MAX($K7356,$J7357*($H7357+1)/100/12),$K7356))))</f>
      </c>
      <c r="L7357" s="43">
        <f>IF($I7357=0,0,$J7357*$H7357/100/12)</f>
      </c>
      <c r="M7357" s="43">
        <f>IF($I7357=0,0,IF(OR(INDEX(DarlOhneTilgung,16)=1,AND(INDEX(DarlTilgStart,16)&gt;0,$E7357&lt;INDEX(DarlTilgStart,16))),0,MIN(MAX(0,$K7357-$L7357),$J7357)))</f>
      </c>
      <c r="N7357" s="43">
        <f>IF($I7357=0,0,MIN(SUMIFS(SondBetrag,SondDarl,16,SondDatum,"&gt;="&amp;$E7357,SondDatum,"&lt;="&amp;EOMONTH($E7357,0)),$J7357-$M7357))</f>
      </c>
      <c r="O7357" s="43">
        <f>IF($I7357=0,0,INDEX(DarlErsatzRate,16))</f>
      </c>
      <c r="P7357" s="43">
        <f>IF($I7357=0,0,$Q7356*INDEX(DarlErsatzZins,16))</f>
      </c>
      <c r="Q7357" s="43">
        <f>IF($I7357=0,0,$Q7356+$P7357+$O7357)</f>
      </c>
      <c r="R7357" s="43">
        <f>IF($I7357=0,0,$J7357-$M7357-$N7357)</f>
      </c>
    </row>
    <row r="7358">
      <c r="A7358"/>
      <c r="B7358">
        <v>16</v>
      </c>
      <c r="C7358" s="43">
        <f>INDEX(DarlObj,16)</f>
      </c>
      <c r="D7358">
        <v>155</v>
      </c>
      <c r="E7358" s="51">
        <f>IF(INDEX(DarlBelegt,16)=0,0,EOMONTH(INDEX(DarlAuszahlung,16),154)+1)</f>
      </c>
      <c r="F7358" s="43">
        <f>IF($E7358=0,0,YEAR($E7358))</f>
      </c>
      <c r="G7358" s="43">
        <f>IF(INDEX(DarlBindung,16)="",1,IF($E7358&lt;=INDEX(DarlBindung,16),1,0))</f>
      </c>
      <c r="H7358" s="43">
        <f>IF($G7358=1,INDEX(DarlSollzins,16),INDEX(DarlAnschluss,16))</f>
      </c>
      <c r="I7358" s="43">
        <f>IF(INDEX(DarlBelegt,16)=0,0,IF(INDEX(DarlOhneTilgung,16)=1,IF(INDEX(DarlBindung,16)="",1,$G7358),IF($J7358&gt;0.005,1,0)))</f>
      </c>
      <c r="J7358" s="43">
        <f>IF($I7357=0,0,$R7357)</f>
      </c>
      <c r="K7358" s="43">
        <f>IF($I7358=0,0,IF(INDEX(DarlOhneTilgung,16)=1,0,IF(AND(INDEX(DarlTilgStart,16)&gt;0,$E7358=INDEX(DarlTilgStart,16)),$J7358*($H7358+INDEX(DarlTilgung,16))/100/12,IF(AND($G7358=0,$G7357=1),MAX($K7357,$J7358*($H7358+1)/100/12),$K7357))))</f>
      </c>
      <c r="L7358" s="43">
        <f>IF($I7358=0,0,$J7358*$H7358/100/12)</f>
      </c>
      <c r="M7358" s="43">
        <f>IF($I7358=0,0,IF(OR(INDEX(DarlOhneTilgung,16)=1,AND(INDEX(DarlTilgStart,16)&gt;0,$E7358&lt;INDEX(DarlTilgStart,16))),0,MIN(MAX(0,$K7358-$L7358),$J7358)))</f>
      </c>
      <c r="N7358" s="43">
        <f>IF($I7358=0,0,MIN(SUMIFS(SondBetrag,SondDarl,16,SondDatum,"&gt;="&amp;$E7358,SondDatum,"&lt;="&amp;EOMONTH($E7358,0)),$J7358-$M7358))</f>
      </c>
      <c r="O7358" s="43">
        <f>IF($I7358=0,0,INDEX(DarlErsatzRate,16))</f>
      </c>
      <c r="P7358" s="43">
        <f>IF($I7358=0,0,$Q7357*INDEX(DarlErsatzZins,16))</f>
      </c>
      <c r="Q7358" s="43">
        <f>IF($I7358=0,0,$Q7357+$P7358+$O7358)</f>
      </c>
      <c r="R7358" s="43">
        <f>IF($I7358=0,0,$J7358-$M7358-$N7358)</f>
      </c>
    </row>
    <row r="7359">
      <c r="A7359"/>
      <c r="B7359">
        <v>16</v>
      </c>
      <c r="C7359" s="43">
        <f>INDEX(DarlObj,16)</f>
      </c>
      <c r="D7359">
        <v>156</v>
      </c>
      <c r="E7359" s="51">
        <f>IF(INDEX(DarlBelegt,16)=0,0,EOMONTH(INDEX(DarlAuszahlung,16),155)+1)</f>
      </c>
      <c r="F7359" s="43">
        <f>IF($E7359=0,0,YEAR($E7359))</f>
      </c>
      <c r="G7359" s="43">
        <f>IF(INDEX(DarlBindung,16)="",1,IF($E7359&lt;=INDEX(DarlBindung,16),1,0))</f>
      </c>
      <c r="H7359" s="43">
        <f>IF($G7359=1,INDEX(DarlSollzins,16),INDEX(DarlAnschluss,16))</f>
      </c>
      <c r="I7359" s="43">
        <f>IF(INDEX(DarlBelegt,16)=0,0,IF(INDEX(DarlOhneTilgung,16)=1,IF(INDEX(DarlBindung,16)="",1,$G7359),IF($J7359&gt;0.005,1,0)))</f>
      </c>
      <c r="J7359" s="43">
        <f>IF($I7358=0,0,$R7358)</f>
      </c>
      <c r="K7359" s="43">
        <f>IF($I7359=0,0,IF(INDEX(DarlOhneTilgung,16)=1,0,IF(AND(INDEX(DarlTilgStart,16)&gt;0,$E7359=INDEX(DarlTilgStart,16)),$J7359*($H7359+INDEX(DarlTilgung,16))/100/12,IF(AND($G7359=0,$G7358=1),MAX($K7358,$J7359*($H7359+1)/100/12),$K7358))))</f>
      </c>
      <c r="L7359" s="43">
        <f>IF($I7359=0,0,$J7359*$H7359/100/12)</f>
      </c>
      <c r="M7359" s="43">
        <f>IF($I7359=0,0,IF(OR(INDEX(DarlOhneTilgung,16)=1,AND(INDEX(DarlTilgStart,16)&gt;0,$E7359&lt;INDEX(DarlTilgStart,16))),0,MIN(MAX(0,$K7359-$L7359),$J7359)))</f>
      </c>
      <c r="N7359" s="43">
        <f>IF($I7359=0,0,MIN(SUMIFS(SondBetrag,SondDarl,16,SondDatum,"&gt;="&amp;$E7359,SondDatum,"&lt;="&amp;EOMONTH($E7359,0)),$J7359-$M7359))</f>
      </c>
      <c r="O7359" s="43">
        <f>IF($I7359=0,0,INDEX(DarlErsatzRate,16))</f>
      </c>
      <c r="P7359" s="43">
        <f>IF($I7359=0,0,$Q7358*INDEX(DarlErsatzZins,16))</f>
      </c>
      <c r="Q7359" s="43">
        <f>IF($I7359=0,0,$Q7358+$P7359+$O7359)</f>
      </c>
      <c r="R7359" s="43">
        <f>IF($I7359=0,0,$J7359-$M7359-$N7359)</f>
      </c>
    </row>
    <row r="7360">
      <c r="A7360"/>
      <c r="B7360">
        <v>16</v>
      </c>
      <c r="C7360" s="43">
        <f>INDEX(DarlObj,16)</f>
      </c>
      <c r="D7360">
        <v>157</v>
      </c>
      <c r="E7360" s="51">
        <f>IF(INDEX(DarlBelegt,16)=0,0,EOMONTH(INDEX(DarlAuszahlung,16),156)+1)</f>
      </c>
      <c r="F7360" s="43">
        <f>IF($E7360=0,0,YEAR($E7360))</f>
      </c>
      <c r="G7360" s="43">
        <f>IF(INDEX(DarlBindung,16)="",1,IF($E7360&lt;=INDEX(DarlBindung,16),1,0))</f>
      </c>
      <c r="H7360" s="43">
        <f>IF($G7360=1,INDEX(DarlSollzins,16),INDEX(DarlAnschluss,16))</f>
      </c>
      <c r="I7360" s="43">
        <f>IF(INDEX(DarlBelegt,16)=0,0,IF(INDEX(DarlOhneTilgung,16)=1,IF(INDEX(DarlBindung,16)="",1,$G7360),IF($J7360&gt;0.005,1,0)))</f>
      </c>
      <c r="J7360" s="43">
        <f>IF($I7359=0,0,$R7359)</f>
      </c>
      <c r="K7360" s="43">
        <f>IF($I7360=0,0,IF(INDEX(DarlOhneTilgung,16)=1,0,IF(AND(INDEX(DarlTilgStart,16)&gt;0,$E7360=INDEX(DarlTilgStart,16)),$J7360*($H7360+INDEX(DarlTilgung,16))/100/12,IF(AND($G7360=0,$G7359=1),MAX($K7359,$J7360*($H7360+1)/100/12),$K7359))))</f>
      </c>
      <c r="L7360" s="43">
        <f>IF($I7360=0,0,$J7360*$H7360/100/12)</f>
      </c>
      <c r="M7360" s="43">
        <f>IF($I7360=0,0,IF(OR(INDEX(DarlOhneTilgung,16)=1,AND(INDEX(DarlTilgStart,16)&gt;0,$E7360&lt;INDEX(DarlTilgStart,16))),0,MIN(MAX(0,$K7360-$L7360),$J7360)))</f>
      </c>
      <c r="N7360" s="43">
        <f>IF($I7360=0,0,MIN(SUMIFS(SondBetrag,SondDarl,16,SondDatum,"&gt;="&amp;$E7360,SondDatum,"&lt;="&amp;EOMONTH($E7360,0)),$J7360-$M7360))</f>
      </c>
      <c r="O7360" s="43">
        <f>IF($I7360=0,0,INDEX(DarlErsatzRate,16))</f>
      </c>
      <c r="P7360" s="43">
        <f>IF($I7360=0,0,$Q7359*INDEX(DarlErsatzZins,16))</f>
      </c>
      <c r="Q7360" s="43">
        <f>IF($I7360=0,0,$Q7359+$P7360+$O7360)</f>
      </c>
      <c r="R7360" s="43">
        <f>IF($I7360=0,0,$J7360-$M7360-$N7360)</f>
      </c>
    </row>
    <row r="7361">
      <c r="A7361"/>
      <c r="B7361">
        <v>16</v>
      </c>
      <c r="C7361" s="43">
        <f>INDEX(DarlObj,16)</f>
      </c>
      <c r="D7361">
        <v>158</v>
      </c>
      <c r="E7361" s="51">
        <f>IF(INDEX(DarlBelegt,16)=0,0,EOMONTH(INDEX(DarlAuszahlung,16),157)+1)</f>
      </c>
      <c r="F7361" s="43">
        <f>IF($E7361=0,0,YEAR($E7361))</f>
      </c>
      <c r="G7361" s="43">
        <f>IF(INDEX(DarlBindung,16)="",1,IF($E7361&lt;=INDEX(DarlBindung,16),1,0))</f>
      </c>
      <c r="H7361" s="43">
        <f>IF($G7361=1,INDEX(DarlSollzins,16),INDEX(DarlAnschluss,16))</f>
      </c>
      <c r="I7361" s="43">
        <f>IF(INDEX(DarlBelegt,16)=0,0,IF(INDEX(DarlOhneTilgung,16)=1,IF(INDEX(DarlBindung,16)="",1,$G7361),IF($J7361&gt;0.005,1,0)))</f>
      </c>
      <c r="J7361" s="43">
        <f>IF($I7360=0,0,$R7360)</f>
      </c>
      <c r="K7361" s="43">
        <f>IF($I7361=0,0,IF(INDEX(DarlOhneTilgung,16)=1,0,IF(AND(INDEX(DarlTilgStart,16)&gt;0,$E7361=INDEX(DarlTilgStart,16)),$J7361*($H7361+INDEX(DarlTilgung,16))/100/12,IF(AND($G7361=0,$G7360=1),MAX($K7360,$J7361*($H7361+1)/100/12),$K7360))))</f>
      </c>
      <c r="L7361" s="43">
        <f>IF($I7361=0,0,$J7361*$H7361/100/12)</f>
      </c>
      <c r="M7361" s="43">
        <f>IF($I7361=0,0,IF(OR(INDEX(DarlOhneTilgung,16)=1,AND(INDEX(DarlTilgStart,16)&gt;0,$E7361&lt;INDEX(DarlTilgStart,16))),0,MIN(MAX(0,$K7361-$L7361),$J7361)))</f>
      </c>
      <c r="N7361" s="43">
        <f>IF($I7361=0,0,MIN(SUMIFS(SondBetrag,SondDarl,16,SondDatum,"&gt;="&amp;$E7361,SondDatum,"&lt;="&amp;EOMONTH($E7361,0)),$J7361-$M7361))</f>
      </c>
      <c r="O7361" s="43">
        <f>IF($I7361=0,0,INDEX(DarlErsatzRate,16))</f>
      </c>
      <c r="P7361" s="43">
        <f>IF($I7361=0,0,$Q7360*INDEX(DarlErsatzZins,16))</f>
      </c>
      <c r="Q7361" s="43">
        <f>IF($I7361=0,0,$Q7360+$P7361+$O7361)</f>
      </c>
      <c r="R7361" s="43">
        <f>IF($I7361=0,0,$J7361-$M7361-$N7361)</f>
      </c>
    </row>
    <row r="7362">
      <c r="A7362"/>
      <c r="B7362">
        <v>16</v>
      </c>
      <c r="C7362" s="43">
        <f>INDEX(DarlObj,16)</f>
      </c>
      <c r="D7362">
        <v>159</v>
      </c>
      <c r="E7362" s="51">
        <f>IF(INDEX(DarlBelegt,16)=0,0,EOMONTH(INDEX(DarlAuszahlung,16),158)+1)</f>
      </c>
      <c r="F7362" s="43">
        <f>IF($E7362=0,0,YEAR($E7362))</f>
      </c>
      <c r="G7362" s="43">
        <f>IF(INDEX(DarlBindung,16)="",1,IF($E7362&lt;=INDEX(DarlBindung,16),1,0))</f>
      </c>
      <c r="H7362" s="43">
        <f>IF($G7362=1,INDEX(DarlSollzins,16),INDEX(DarlAnschluss,16))</f>
      </c>
      <c r="I7362" s="43">
        <f>IF(INDEX(DarlBelegt,16)=0,0,IF(INDEX(DarlOhneTilgung,16)=1,IF(INDEX(DarlBindung,16)="",1,$G7362),IF($J7362&gt;0.005,1,0)))</f>
      </c>
      <c r="J7362" s="43">
        <f>IF($I7361=0,0,$R7361)</f>
      </c>
      <c r="K7362" s="43">
        <f>IF($I7362=0,0,IF(INDEX(DarlOhneTilgung,16)=1,0,IF(AND(INDEX(DarlTilgStart,16)&gt;0,$E7362=INDEX(DarlTilgStart,16)),$J7362*($H7362+INDEX(DarlTilgung,16))/100/12,IF(AND($G7362=0,$G7361=1),MAX($K7361,$J7362*($H7362+1)/100/12),$K7361))))</f>
      </c>
      <c r="L7362" s="43">
        <f>IF($I7362=0,0,$J7362*$H7362/100/12)</f>
      </c>
      <c r="M7362" s="43">
        <f>IF($I7362=0,0,IF(OR(INDEX(DarlOhneTilgung,16)=1,AND(INDEX(DarlTilgStart,16)&gt;0,$E7362&lt;INDEX(DarlTilgStart,16))),0,MIN(MAX(0,$K7362-$L7362),$J7362)))</f>
      </c>
      <c r="N7362" s="43">
        <f>IF($I7362=0,0,MIN(SUMIFS(SondBetrag,SondDarl,16,SondDatum,"&gt;="&amp;$E7362,SondDatum,"&lt;="&amp;EOMONTH($E7362,0)),$J7362-$M7362))</f>
      </c>
      <c r="O7362" s="43">
        <f>IF($I7362=0,0,INDEX(DarlErsatzRate,16))</f>
      </c>
      <c r="P7362" s="43">
        <f>IF($I7362=0,0,$Q7361*INDEX(DarlErsatzZins,16))</f>
      </c>
      <c r="Q7362" s="43">
        <f>IF($I7362=0,0,$Q7361+$P7362+$O7362)</f>
      </c>
      <c r="R7362" s="43">
        <f>IF($I7362=0,0,$J7362-$M7362-$N7362)</f>
      </c>
    </row>
    <row r="7363">
      <c r="A7363"/>
      <c r="B7363">
        <v>16</v>
      </c>
      <c r="C7363" s="43">
        <f>INDEX(DarlObj,16)</f>
      </c>
      <c r="D7363">
        <v>160</v>
      </c>
      <c r="E7363" s="51">
        <f>IF(INDEX(DarlBelegt,16)=0,0,EOMONTH(INDEX(DarlAuszahlung,16),159)+1)</f>
      </c>
      <c r="F7363" s="43">
        <f>IF($E7363=0,0,YEAR($E7363))</f>
      </c>
      <c r="G7363" s="43">
        <f>IF(INDEX(DarlBindung,16)="",1,IF($E7363&lt;=INDEX(DarlBindung,16),1,0))</f>
      </c>
      <c r="H7363" s="43">
        <f>IF($G7363=1,INDEX(DarlSollzins,16),INDEX(DarlAnschluss,16))</f>
      </c>
      <c r="I7363" s="43">
        <f>IF(INDEX(DarlBelegt,16)=0,0,IF(INDEX(DarlOhneTilgung,16)=1,IF(INDEX(DarlBindung,16)="",1,$G7363),IF($J7363&gt;0.005,1,0)))</f>
      </c>
      <c r="J7363" s="43">
        <f>IF($I7362=0,0,$R7362)</f>
      </c>
      <c r="K7363" s="43">
        <f>IF($I7363=0,0,IF(INDEX(DarlOhneTilgung,16)=1,0,IF(AND(INDEX(DarlTilgStart,16)&gt;0,$E7363=INDEX(DarlTilgStart,16)),$J7363*($H7363+INDEX(DarlTilgung,16))/100/12,IF(AND($G7363=0,$G7362=1),MAX($K7362,$J7363*($H7363+1)/100/12),$K7362))))</f>
      </c>
      <c r="L7363" s="43">
        <f>IF($I7363=0,0,$J7363*$H7363/100/12)</f>
      </c>
      <c r="M7363" s="43">
        <f>IF($I7363=0,0,IF(OR(INDEX(DarlOhneTilgung,16)=1,AND(INDEX(DarlTilgStart,16)&gt;0,$E7363&lt;INDEX(DarlTilgStart,16))),0,MIN(MAX(0,$K7363-$L7363),$J7363)))</f>
      </c>
      <c r="N7363" s="43">
        <f>IF($I7363=0,0,MIN(SUMIFS(SondBetrag,SondDarl,16,SondDatum,"&gt;="&amp;$E7363,SondDatum,"&lt;="&amp;EOMONTH($E7363,0)),$J7363-$M7363))</f>
      </c>
      <c r="O7363" s="43">
        <f>IF($I7363=0,0,INDEX(DarlErsatzRate,16))</f>
      </c>
      <c r="P7363" s="43">
        <f>IF($I7363=0,0,$Q7362*INDEX(DarlErsatzZins,16))</f>
      </c>
      <c r="Q7363" s="43">
        <f>IF($I7363=0,0,$Q7362+$P7363+$O7363)</f>
      </c>
      <c r="R7363" s="43">
        <f>IF($I7363=0,0,$J7363-$M7363-$N7363)</f>
      </c>
    </row>
    <row r="7364">
      <c r="A7364"/>
      <c r="B7364">
        <v>16</v>
      </c>
      <c r="C7364" s="43">
        <f>INDEX(DarlObj,16)</f>
      </c>
      <c r="D7364">
        <v>161</v>
      </c>
      <c r="E7364" s="51">
        <f>IF(INDEX(DarlBelegt,16)=0,0,EOMONTH(INDEX(DarlAuszahlung,16),160)+1)</f>
      </c>
      <c r="F7364" s="43">
        <f>IF($E7364=0,0,YEAR($E7364))</f>
      </c>
      <c r="G7364" s="43">
        <f>IF(INDEX(DarlBindung,16)="",1,IF($E7364&lt;=INDEX(DarlBindung,16),1,0))</f>
      </c>
      <c r="H7364" s="43">
        <f>IF($G7364=1,INDEX(DarlSollzins,16),INDEX(DarlAnschluss,16))</f>
      </c>
      <c r="I7364" s="43">
        <f>IF(INDEX(DarlBelegt,16)=0,0,IF(INDEX(DarlOhneTilgung,16)=1,IF(INDEX(DarlBindung,16)="",1,$G7364),IF($J7364&gt;0.005,1,0)))</f>
      </c>
      <c r="J7364" s="43">
        <f>IF($I7363=0,0,$R7363)</f>
      </c>
      <c r="K7364" s="43">
        <f>IF($I7364=0,0,IF(INDEX(DarlOhneTilgung,16)=1,0,IF(AND(INDEX(DarlTilgStart,16)&gt;0,$E7364=INDEX(DarlTilgStart,16)),$J7364*($H7364+INDEX(DarlTilgung,16))/100/12,IF(AND($G7364=0,$G7363=1),MAX($K7363,$J7364*($H7364+1)/100/12),$K7363))))</f>
      </c>
      <c r="L7364" s="43">
        <f>IF($I7364=0,0,$J7364*$H7364/100/12)</f>
      </c>
      <c r="M7364" s="43">
        <f>IF($I7364=0,0,IF(OR(INDEX(DarlOhneTilgung,16)=1,AND(INDEX(DarlTilgStart,16)&gt;0,$E7364&lt;INDEX(DarlTilgStart,16))),0,MIN(MAX(0,$K7364-$L7364),$J7364)))</f>
      </c>
      <c r="N7364" s="43">
        <f>IF($I7364=0,0,MIN(SUMIFS(SondBetrag,SondDarl,16,SondDatum,"&gt;="&amp;$E7364,SondDatum,"&lt;="&amp;EOMONTH($E7364,0)),$J7364-$M7364))</f>
      </c>
      <c r="O7364" s="43">
        <f>IF($I7364=0,0,INDEX(DarlErsatzRate,16))</f>
      </c>
      <c r="P7364" s="43">
        <f>IF($I7364=0,0,$Q7363*INDEX(DarlErsatzZins,16))</f>
      </c>
      <c r="Q7364" s="43">
        <f>IF($I7364=0,0,$Q7363+$P7364+$O7364)</f>
      </c>
      <c r="R7364" s="43">
        <f>IF($I7364=0,0,$J7364-$M7364-$N7364)</f>
      </c>
    </row>
    <row r="7365">
      <c r="A7365"/>
      <c r="B7365">
        <v>16</v>
      </c>
      <c r="C7365" s="43">
        <f>INDEX(DarlObj,16)</f>
      </c>
      <c r="D7365">
        <v>162</v>
      </c>
      <c r="E7365" s="51">
        <f>IF(INDEX(DarlBelegt,16)=0,0,EOMONTH(INDEX(DarlAuszahlung,16),161)+1)</f>
      </c>
      <c r="F7365" s="43">
        <f>IF($E7365=0,0,YEAR($E7365))</f>
      </c>
      <c r="G7365" s="43">
        <f>IF(INDEX(DarlBindung,16)="",1,IF($E7365&lt;=INDEX(DarlBindung,16),1,0))</f>
      </c>
      <c r="H7365" s="43">
        <f>IF($G7365=1,INDEX(DarlSollzins,16),INDEX(DarlAnschluss,16))</f>
      </c>
      <c r="I7365" s="43">
        <f>IF(INDEX(DarlBelegt,16)=0,0,IF(INDEX(DarlOhneTilgung,16)=1,IF(INDEX(DarlBindung,16)="",1,$G7365),IF($J7365&gt;0.005,1,0)))</f>
      </c>
      <c r="J7365" s="43">
        <f>IF($I7364=0,0,$R7364)</f>
      </c>
      <c r="K7365" s="43">
        <f>IF($I7365=0,0,IF(INDEX(DarlOhneTilgung,16)=1,0,IF(AND(INDEX(DarlTilgStart,16)&gt;0,$E7365=INDEX(DarlTilgStart,16)),$J7365*($H7365+INDEX(DarlTilgung,16))/100/12,IF(AND($G7365=0,$G7364=1),MAX($K7364,$J7365*($H7365+1)/100/12),$K7364))))</f>
      </c>
      <c r="L7365" s="43">
        <f>IF($I7365=0,0,$J7365*$H7365/100/12)</f>
      </c>
      <c r="M7365" s="43">
        <f>IF($I7365=0,0,IF(OR(INDEX(DarlOhneTilgung,16)=1,AND(INDEX(DarlTilgStart,16)&gt;0,$E7365&lt;INDEX(DarlTilgStart,16))),0,MIN(MAX(0,$K7365-$L7365),$J7365)))</f>
      </c>
      <c r="N7365" s="43">
        <f>IF($I7365=0,0,MIN(SUMIFS(SondBetrag,SondDarl,16,SondDatum,"&gt;="&amp;$E7365,SondDatum,"&lt;="&amp;EOMONTH($E7365,0)),$J7365-$M7365))</f>
      </c>
      <c r="O7365" s="43">
        <f>IF($I7365=0,0,INDEX(DarlErsatzRate,16))</f>
      </c>
      <c r="P7365" s="43">
        <f>IF($I7365=0,0,$Q7364*INDEX(DarlErsatzZins,16))</f>
      </c>
      <c r="Q7365" s="43">
        <f>IF($I7365=0,0,$Q7364+$P7365+$O7365)</f>
      </c>
      <c r="R7365" s="43">
        <f>IF($I7365=0,0,$J7365-$M7365-$N7365)</f>
      </c>
    </row>
    <row r="7366">
      <c r="A7366"/>
      <c r="B7366">
        <v>16</v>
      </c>
      <c r="C7366" s="43">
        <f>INDEX(DarlObj,16)</f>
      </c>
      <c r="D7366">
        <v>163</v>
      </c>
      <c r="E7366" s="51">
        <f>IF(INDEX(DarlBelegt,16)=0,0,EOMONTH(INDEX(DarlAuszahlung,16),162)+1)</f>
      </c>
      <c r="F7366" s="43">
        <f>IF($E7366=0,0,YEAR($E7366))</f>
      </c>
      <c r="G7366" s="43">
        <f>IF(INDEX(DarlBindung,16)="",1,IF($E7366&lt;=INDEX(DarlBindung,16),1,0))</f>
      </c>
      <c r="H7366" s="43">
        <f>IF($G7366=1,INDEX(DarlSollzins,16),INDEX(DarlAnschluss,16))</f>
      </c>
      <c r="I7366" s="43">
        <f>IF(INDEX(DarlBelegt,16)=0,0,IF(INDEX(DarlOhneTilgung,16)=1,IF(INDEX(DarlBindung,16)="",1,$G7366),IF($J7366&gt;0.005,1,0)))</f>
      </c>
      <c r="J7366" s="43">
        <f>IF($I7365=0,0,$R7365)</f>
      </c>
      <c r="K7366" s="43">
        <f>IF($I7366=0,0,IF(INDEX(DarlOhneTilgung,16)=1,0,IF(AND(INDEX(DarlTilgStart,16)&gt;0,$E7366=INDEX(DarlTilgStart,16)),$J7366*($H7366+INDEX(DarlTilgung,16))/100/12,IF(AND($G7366=0,$G7365=1),MAX($K7365,$J7366*($H7366+1)/100/12),$K7365))))</f>
      </c>
      <c r="L7366" s="43">
        <f>IF($I7366=0,0,$J7366*$H7366/100/12)</f>
      </c>
      <c r="M7366" s="43">
        <f>IF($I7366=0,0,IF(OR(INDEX(DarlOhneTilgung,16)=1,AND(INDEX(DarlTilgStart,16)&gt;0,$E7366&lt;INDEX(DarlTilgStart,16))),0,MIN(MAX(0,$K7366-$L7366),$J7366)))</f>
      </c>
      <c r="N7366" s="43">
        <f>IF($I7366=0,0,MIN(SUMIFS(SondBetrag,SondDarl,16,SondDatum,"&gt;="&amp;$E7366,SondDatum,"&lt;="&amp;EOMONTH($E7366,0)),$J7366-$M7366))</f>
      </c>
      <c r="O7366" s="43">
        <f>IF($I7366=0,0,INDEX(DarlErsatzRate,16))</f>
      </c>
      <c r="P7366" s="43">
        <f>IF($I7366=0,0,$Q7365*INDEX(DarlErsatzZins,16))</f>
      </c>
      <c r="Q7366" s="43">
        <f>IF($I7366=0,0,$Q7365+$P7366+$O7366)</f>
      </c>
      <c r="R7366" s="43">
        <f>IF($I7366=0,0,$J7366-$M7366-$N7366)</f>
      </c>
    </row>
    <row r="7367">
      <c r="A7367"/>
      <c r="B7367">
        <v>16</v>
      </c>
      <c r="C7367" s="43">
        <f>INDEX(DarlObj,16)</f>
      </c>
      <c r="D7367">
        <v>164</v>
      </c>
      <c r="E7367" s="51">
        <f>IF(INDEX(DarlBelegt,16)=0,0,EOMONTH(INDEX(DarlAuszahlung,16),163)+1)</f>
      </c>
      <c r="F7367" s="43">
        <f>IF($E7367=0,0,YEAR($E7367))</f>
      </c>
      <c r="G7367" s="43">
        <f>IF(INDEX(DarlBindung,16)="",1,IF($E7367&lt;=INDEX(DarlBindung,16),1,0))</f>
      </c>
      <c r="H7367" s="43">
        <f>IF($G7367=1,INDEX(DarlSollzins,16),INDEX(DarlAnschluss,16))</f>
      </c>
      <c r="I7367" s="43">
        <f>IF(INDEX(DarlBelegt,16)=0,0,IF(INDEX(DarlOhneTilgung,16)=1,IF(INDEX(DarlBindung,16)="",1,$G7367),IF($J7367&gt;0.005,1,0)))</f>
      </c>
      <c r="J7367" s="43">
        <f>IF($I7366=0,0,$R7366)</f>
      </c>
      <c r="K7367" s="43">
        <f>IF($I7367=0,0,IF(INDEX(DarlOhneTilgung,16)=1,0,IF(AND(INDEX(DarlTilgStart,16)&gt;0,$E7367=INDEX(DarlTilgStart,16)),$J7367*($H7367+INDEX(DarlTilgung,16))/100/12,IF(AND($G7367=0,$G7366=1),MAX($K7366,$J7367*($H7367+1)/100/12),$K7366))))</f>
      </c>
      <c r="L7367" s="43">
        <f>IF($I7367=0,0,$J7367*$H7367/100/12)</f>
      </c>
      <c r="M7367" s="43">
        <f>IF($I7367=0,0,IF(OR(INDEX(DarlOhneTilgung,16)=1,AND(INDEX(DarlTilgStart,16)&gt;0,$E7367&lt;INDEX(DarlTilgStart,16))),0,MIN(MAX(0,$K7367-$L7367),$J7367)))</f>
      </c>
      <c r="N7367" s="43">
        <f>IF($I7367=0,0,MIN(SUMIFS(SondBetrag,SondDarl,16,SondDatum,"&gt;="&amp;$E7367,SondDatum,"&lt;="&amp;EOMONTH($E7367,0)),$J7367-$M7367))</f>
      </c>
      <c r="O7367" s="43">
        <f>IF($I7367=0,0,INDEX(DarlErsatzRate,16))</f>
      </c>
      <c r="P7367" s="43">
        <f>IF($I7367=0,0,$Q7366*INDEX(DarlErsatzZins,16))</f>
      </c>
      <c r="Q7367" s="43">
        <f>IF($I7367=0,0,$Q7366+$P7367+$O7367)</f>
      </c>
      <c r="R7367" s="43">
        <f>IF($I7367=0,0,$J7367-$M7367-$N7367)</f>
      </c>
    </row>
    <row r="7368">
      <c r="A7368"/>
      <c r="B7368">
        <v>16</v>
      </c>
      <c r="C7368" s="43">
        <f>INDEX(DarlObj,16)</f>
      </c>
      <c r="D7368">
        <v>165</v>
      </c>
      <c r="E7368" s="51">
        <f>IF(INDEX(DarlBelegt,16)=0,0,EOMONTH(INDEX(DarlAuszahlung,16),164)+1)</f>
      </c>
      <c r="F7368" s="43">
        <f>IF($E7368=0,0,YEAR($E7368))</f>
      </c>
      <c r="G7368" s="43">
        <f>IF(INDEX(DarlBindung,16)="",1,IF($E7368&lt;=INDEX(DarlBindung,16),1,0))</f>
      </c>
      <c r="H7368" s="43">
        <f>IF($G7368=1,INDEX(DarlSollzins,16),INDEX(DarlAnschluss,16))</f>
      </c>
      <c r="I7368" s="43">
        <f>IF(INDEX(DarlBelegt,16)=0,0,IF(INDEX(DarlOhneTilgung,16)=1,IF(INDEX(DarlBindung,16)="",1,$G7368),IF($J7368&gt;0.005,1,0)))</f>
      </c>
      <c r="J7368" s="43">
        <f>IF($I7367=0,0,$R7367)</f>
      </c>
      <c r="K7368" s="43">
        <f>IF($I7368=0,0,IF(INDEX(DarlOhneTilgung,16)=1,0,IF(AND(INDEX(DarlTilgStart,16)&gt;0,$E7368=INDEX(DarlTilgStart,16)),$J7368*($H7368+INDEX(DarlTilgung,16))/100/12,IF(AND($G7368=0,$G7367=1),MAX($K7367,$J7368*($H7368+1)/100/12),$K7367))))</f>
      </c>
      <c r="L7368" s="43">
        <f>IF($I7368=0,0,$J7368*$H7368/100/12)</f>
      </c>
      <c r="M7368" s="43">
        <f>IF($I7368=0,0,IF(OR(INDEX(DarlOhneTilgung,16)=1,AND(INDEX(DarlTilgStart,16)&gt;0,$E7368&lt;INDEX(DarlTilgStart,16))),0,MIN(MAX(0,$K7368-$L7368),$J7368)))</f>
      </c>
      <c r="N7368" s="43">
        <f>IF($I7368=0,0,MIN(SUMIFS(SondBetrag,SondDarl,16,SondDatum,"&gt;="&amp;$E7368,SondDatum,"&lt;="&amp;EOMONTH($E7368,0)),$J7368-$M7368))</f>
      </c>
      <c r="O7368" s="43">
        <f>IF($I7368=0,0,INDEX(DarlErsatzRate,16))</f>
      </c>
      <c r="P7368" s="43">
        <f>IF($I7368=0,0,$Q7367*INDEX(DarlErsatzZins,16))</f>
      </c>
      <c r="Q7368" s="43">
        <f>IF($I7368=0,0,$Q7367+$P7368+$O7368)</f>
      </c>
      <c r="R7368" s="43">
        <f>IF($I7368=0,0,$J7368-$M7368-$N7368)</f>
      </c>
    </row>
    <row r="7369">
      <c r="A7369"/>
      <c r="B7369">
        <v>16</v>
      </c>
      <c r="C7369" s="43">
        <f>INDEX(DarlObj,16)</f>
      </c>
      <c r="D7369">
        <v>166</v>
      </c>
      <c r="E7369" s="51">
        <f>IF(INDEX(DarlBelegt,16)=0,0,EOMONTH(INDEX(DarlAuszahlung,16),165)+1)</f>
      </c>
      <c r="F7369" s="43">
        <f>IF($E7369=0,0,YEAR($E7369))</f>
      </c>
      <c r="G7369" s="43">
        <f>IF(INDEX(DarlBindung,16)="",1,IF($E7369&lt;=INDEX(DarlBindung,16),1,0))</f>
      </c>
      <c r="H7369" s="43">
        <f>IF($G7369=1,INDEX(DarlSollzins,16),INDEX(DarlAnschluss,16))</f>
      </c>
      <c r="I7369" s="43">
        <f>IF(INDEX(DarlBelegt,16)=0,0,IF(INDEX(DarlOhneTilgung,16)=1,IF(INDEX(DarlBindung,16)="",1,$G7369),IF($J7369&gt;0.005,1,0)))</f>
      </c>
      <c r="J7369" s="43">
        <f>IF($I7368=0,0,$R7368)</f>
      </c>
      <c r="K7369" s="43">
        <f>IF($I7369=0,0,IF(INDEX(DarlOhneTilgung,16)=1,0,IF(AND(INDEX(DarlTilgStart,16)&gt;0,$E7369=INDEX(DarlTilgStart,16)),$J7369*($H7369+INDEX(DarlTilgung,16))/100/12,IF(AND($G7369=0,$G7368=1),MAX($K7368,$J7369*($H7369+1)/100/12),$K7368))))</f>
      </c>
      <c r="L7369" s="43">
        <f>IF($I7369=0,0,$J7369*$H7369/100/12)</f>
      </c>
      <c r="M7369" s="43">
        <f>IF($I7369=0,0,IF(OR(INDEX(DarlOhneTilgung,16)=1,AND(INDEX(DarlTilgStart,16)&gt;0,$E7369&lt;INDEX(DarlTilgStart,16))),0,MIN(MAX(0,$K7369-$L7369),$J7369)))</f>
      </c>
      <c r="N7369" s="43">
        <f>IF($I7369=0,0,MIN(SUMIFS(SondBetrag,SondDarl,16,SondDatum,"&gt;="&amp;$E7369,SondDatum,"&lt;="&amp;EOMONTH($E7369,0)),$J7369-$M7369))</f>
      </c>
      <c r="O7369" s="43">
        <f>IF($I7369=0,0,INDEX(DarlErsatzRate,16))</f>
      </c>
      <c r="P7369" s="43">
        <f>IF($I7369=0,0,$Q7368*INDEX(DarlErsatzZins,16))</f>
      </c>
      <c r="Q7369" s="43">
        <f>IF($I7369=0,0,$Q7368+$P7369+$O7369)</f>
      </c>
      <c r="R7369" s="43">
        <f>IF($I7369=0,0,$J7369-$M7369-$N7369)</f>
      </c>
    </row>
    <row r="7370">
      <c r="A7370"/>
      <c r="B7370">
        <v>16</v>
      </c>
      <c r="C7370" s="43">
        <f>INDEX(DarlObj,16)</f>
      </c>
      <c r="D7370">
        <v>167</v>
      </c>
      <c r="E7370" s="51">
        <f>IF(INDEX(DarlBelegt,16)=0,0,EOMONTH(INDEX(DarlAuszahlung,16),166)+1)</f>
      </c>
      <c r="F7370" s="43">
        <f>IF($E7370=0,0,YEAR($E7370))</f>
      </c>
      <c r="G7370" s="43">
        <f>IF(INDEX(DarlBindung,16)="",1,IF($E7370&lt;=INDEX(DarlBindung,16),1,0))</f>
      </c>
      <c r="H7370" s="43">
        <f>IF($G7370=1,INDEX(DarlSollzins,16),INDEX(DarlAnschluss,16))</f>
      </c>
      <c r="I7370" s="43">
        <f>IF(INDEX(DarlBelegt,16)=0,0,IF(INDEX(DarlOhneTilgung,16)=1,IF(INDEX(DarlBindung,16)="",1,$G7370),IF($J7370&gt;0.005,1,0)))</f>
      </c>
      <c r="J7370" s="43">
        <f>IF($I7369=0,0,$R7369)</f>
      </c>
      <c r="K7370" s="43">
        <f>IF($I7370=0,0,IF(INDEX(DarlOhneTilgung,16)=1,0,IF(AND(INDEX(DarlTilgStart,16)&gt;0,$E7370=INDEX(DarlTilgStart,16)),$J7370*($H7370+INDEX(DarlTilgung,16))/100/12,IF(AND($G7370=0,$G7369=1),MAX($K7369,$J7370*($H7370+1)/100/12),$K7369))))</f>
      </c>
      <c r="L7370" s="43">
        <f>IF($I7370=0,0,$J7370*$H7370/100/12)</f>
      </c>
      <c r="M7370" s="43">
        <f>IF($I7370=0,0,IF(OR(INDEX(DarlOhneTilgung,16)=1,AND(INDEX(DarlTilgStart,16)&gt;0,$E7370&lt;INDEX(DarlTilgStart,16))),0,MIN(MAX(0,$K7370-$L7370),$J7370)))</f>
      </c>
      <c r="N7370" s="43">
        <f>IF($I7370=0,0,MIN(SUMIFS(SondBetrag,SondDarl,16,SondDatum,"&gt;="&amp;$E7370,SondDatum,"&lt;="&amp;EOMONTH($E7370,0)),$J7370-$M7370))</f>
      </c>
      <c r="O7370" s="43">
        <f>IF($I7370=0,0,INDEX(DarlErsatzRate,16))</f>
      </c>
      <c r="P7370" s="43">
        <f>IF($I7370=0,0,$Q7369*INDEX(DarlErsatzZins,16))</f>
      </c>
      <c r="Q7370" s="43">
        <f>IF($I7370=0,0,$Q7369+$P7370+$O7370)</f>
      </c>
      <c r="R7370" s="43">
        <f>IF($I7370=0,0,$J7370-$M7370-$N7370)</f>
      </c>
    </row>
    <row r="7371">
      <c r="A7371"/>
      <c r="B7371">
        <v>16</v>
      </c>
      <c r="C7371" s="43">
        <f>INDEX(DarlObj,16)</f>
      </c>
      <c r="D7371">
        <v>168</v>
      </c>
      <c r="E7371" s="51">
        <f>IF(INDEX(DarlBelegt,16)=0,0,EOMONTH(INDEX(DarlAuszahlung,16),167)+1)</f>
      </c>
      <c r="F7371" s="43">
        <f>IF($E7371=0,0,YEAR($E7371))</f>
      </c>
      <c r="G7371" s="43">
        <f>IF(INDEX(DarlBindung,16)="",1,IF($E7371&lt;=INDEX(DarlBindung,16),1,0))</f>
      </c>
      <c r="H7371" s="43">
        <f>IF($G7371=1,INDEX(DarlSollzins,16),INDEX(DarlAnschluss,16))</f>
      </c>
      <c r="I7371" s="43">
        <f>IF(INDEX(DarlBelegt,16)=0,0,IF(INDEX(DarlOhneTilgung,16)=1,IF(INDEX(DarlBindung,16)="",1,$G7371),IF($J7371&gt;0.005,1,0)))</f>
      </c>
      <c r="J7371" s="43">
        <f>IF($I7370=0,0,$R7370)</f>
      </c>
      <c r="K7371" s="43">
        <f>IF($I7371=0,0,IF(INDEX(DarlOhneTilgung,16)=1,0,IF(AND(INDEX(DarlTilgStart,16)&gt;0,$E7371=INDEX(DarlTilgStart,16)),$J7371*($H7371+INDEX(DarlTilgung,16))/100/12,IF(AND($G7371=0,$G7370=1),MAX($K7370,$J7371*($H7371+1)/100/12),$K7370))))</f>
      </c>
      <c r="L7371" s="43">
        <f>IF($I7371=0,0,$J7371*$H7371/100/12)</f>
      </c>
      <c r="M7371" s="43">
        <f>IF($I7371=0,0,IF(OR(INDEX(DarlOhneTilgung,16)=1,AND(INDEX(DarlTilgStart,16)&gt;0,$E7371&lt;INDEX(DarlTilgStart,16))),0,MIN(MAX(0,$K7371-$L7371),$J7371)))</f>
      </c>
      <c r="N7371" s="43">
        <f>IF($I7371=0,0,MIN(SUMIFS(SondBetrag,SondDarl,16,SondDatum,"&gt;="&amp;$E7371,SondDatum,"&lt;="&amp;EOMONTH($E7371,0)),$J7371-$M7371))</f>
      </c>
      <c r="O7371" s="43">
        <f>IF($I7371=0,0,INDEX(DarlErsatzRate,16))</f>
      </c>
      <c r="P7371" s="43">
        <f>IF($I7371=0,0,$Q7370*INDEX(DarlErsatzZins,16))</f>
      </c>
      <c r="Q7371" s="43">
        <f>IF($I7371=0,0,$Q7370+$P7371+$O7371)</f>
      </c>
      <c r="R7371" s="43">
        <f>IF($I7371=0,0,$J7371-$M7371-$N7371)</f>
      </c>
    </row>
    <row r="7372">
      <c r="A7372"/>
      <c r="B7372">
        <v>16</v>
      </c>
      <c r="C7372" s="43">
        <f>INDEX(DarlObj,16)</f>
      </c>
      <c r="D7372">
        <v>169</v>
      </c>
      <c r="E7372" s="51">
        <f>IF(INDEX(DarlBelegt,16)=0,0,EOMONTH(INDEX(DarlAuszahlung,16),168)+1)</f>
      </c>
      <c r="F7372" s="43">
        <f>IF($E7372=0,0,YEAR($E7372))</f>
      </c>
      <c r="G7372" s="43">
        <f>IF(INDEX(DarlBindung,16)="",1,IF($E7372&lt;=INDEX(DarlBindung,16),1,0))</f>
      </c>
      <c r="H7372" s="43">
        <f>IF($G7372=1,INDEX(DarlSollzins,16),INDEX(DarlAnschluss,16))</f>
      </c>
      <c r="I7372" s="43">
        <f>IF(INDEX(DarlBelegt,16)=0,0,IF(INDEX(DarlOhneTilgung,16)=1,IF(INDEX(DarlBindung,16)="",1,$G7372),IF($J7372&gt;0.005,1,0)))</f>
      </c>
      <c r="J7372" s="43">
        <f>IF($I7371=0,0,$R7371)</f>
      </c>
      <c r="K7372" s="43">
        <f>IF($I7372=0,0,IF(INDEX(DarlOhneTilgung,16)=1,0,IF(AND(INDEX(DarlTilgStart,16)&gt;0,$E7372=INDEX(DarlTilgStart,16)),$J7372*($H7372+INDEX(DarlTilgung,16))/100/12,IF(AND($G7372=0,$G7371=1),MAX($K7371,$J7372*($H7372+1)/100/12),$K7371))))</f>
      </c>
      <c r="L7372" s="43">
        <f>IF($I7372=0,0,$J7372*$H7372/100/12)</f>
      </c>
      <c r="M7372" s="43">
        <f>IF($I7372=0,0,IF(OR(INDEX(DarlOhneTilgung,16)=1,AND(INDEX(DarlTilgStart,16)&gt;0,$E7372&lt;INDEX(DarlTilgStart,16))),0,MIN(MAX(0,$K7372-$L7372),$J7372)))</f>
      </c>
      <c r="N7372" s="43">
        <f>IF($I7372=0,0,MIN(SUMIFS(SondBetrag,SondDarl,16,SondDatum,"&gt;="&amp;$E7372,SondDatum,"&lt;="&amp;EOMONTH($E7372,0)),$J7372-$M7372))</f>
      </c>
      <c r="O7372" s="43">
        <f>IF($I7372=0,0,INDEX(DarlErsatzRate,16))</f>
      </c>
      <c r="P7372" s="43">
        <f>IF($I7372=0,0,$Q7371*INDEX(DarlErsatzZins,16))</f>
      </c>
      <c r="Q7372" s="43">
        <f>IF($I7372=0,0,$Q7371+$P7372+$O7372)</f>
      </c>
      <c r="R7372" s="43">
        <f>IF($I7372=0,0,$J7372-$M7372-$N7372)</f>
      </c>
    </row>
    <row r="7373">
      <c r="A7373"/>
      <c r="B7373">
        <v>16</v>
      </c>
      <c r="C7373" s="43">
        <f>INDEX(DarlObj,16)</f>
      </c>
      <c r="D7373">
        <v>170</v>
      </c>
      <c r="E7373" s="51">
        <f>IF(INDEX(DarlBelegt,16)=0,0,EOMONTH(INDEX(DarlAuszahlung,16),169)+1)</f>
      </c>
      <c r="F7373" s="43">
        <f>IF($E7373=0,0,YEAR($E7373))</f>
      </c>
      <c r="G7373" s="43">
        <f>IF(INDEX(DarlBindung,16)="",1,IF($E7373&lt;=INDEX(DarlBindung,16),1,0))</f>
      </c>
      <c r="H7373" s="43">
        <f>IF($G7373=1,INDEX(DarlSollzins,16),INDEX(DarlAnschluss,16))</f>
      </c>
      <c r="I7373" s="43">
        <f>IF(INDEX(DarlBelegt,16)=0,0,IF(INDEX(DarlOhneTilgung,16)=1,IF(INDEX(DarlBindung,16)="",1,$G7373),IF($J7373&gt;0.005,1,0)))</f>
      </c>
      <c r="J7373" s="43">
        <f>IF($I7372=0,0,$R7372)</f>
      </c>
      <c r="K7373" s="43">
        <f>IF($I7373=0,0,IF(INDEX(DarlOhneTilgung,16)=1,0,IF(AND(INDEX(DarlTilgStart,16)&gt;0,$E7373=INDEX(DarlTilgStart,16)),$J7373*($H7373+INDEX(DarlTilgung,16))/100/12,IF(AND($G7373=0,$G7372=1),MAX($K7372,$J7373*($H7373+1)/100/12),$K7372))))</f>
      </c>
      <c r="L7373" s="43">
        <f>IF($I7373=0,0,$J7373*$H7373/100/12)</f>
      </c>
      <c r="M7373" s="43">
        <f>IF($I7373=0,0,IF(OR(INDEX(DarlOhneTilgung,16)=1,AND(INDEX(DarlTilgStart,16)&gt;0,$E7373&lt;INDEX(DarlTilgStart,16))),0,MIN(MAX(0,$K7373-$L7373),$J7373)))</f>
      </c>
      <c r="N7373" s="43">
        <f>IF($I7373=0,0,MIN(SUMIFS(SondBetrag,SondDarl,16,SondDatum,"&gt;="&amp;$E7373,SondDatum,"&lt;="&amp;EOMONTH($E7373,0)),$J7373-$M7373))</f>
      </c>
      <c r="O7373" s="43">
        <f>IF($I7373=0,0,INDEX(DarlErsatzRate,16))</f>
      </c>
      <c r="P7373" s="43">
        <f>IF($I7373=0,0,$Q7372*INDEX(DarlErsatzZins,16))</f>
      </c>
      <c r="Q7373" s="43">
        <f>IF($I7373=0,0,$Q7372+$P7373+$O7373)</f>
      </c>
      <c r="R7373" s="43">
        <f>IF($I7373=0,0,$J7373-$M7373-$N7373)</f>
      </c>
    </row>
    <row r="7374">
      <c r="A7374"/>
      <c r="B7374">
        <v>16</v>
      </c>
      <c r="C7374" s="43">
        <f>INDEX(DarlObj,16)</f>
      </c>
      <c r="D7374">
        <v>171</v>
      </c>
      <c r="E7374" s="51">
        <f>IF(INDEX(DarlBelegt,16)=0,0,EOMONTH(INDEX(DarlAuszahlung,16),170)+1)</f>
      </c>
      <c r="F7374" s="43">
        <f>IF($E7374=0,0,YEAR($E7374))</f>
      </c>
      <c r="G7374" s="43">
        <f>IF(INDEX(DarlBindung,16)="",1,IF($E7374&lt;=INDEX(DarlBindung,16),1,0))</f>
      </c>
      <c r="H7374" s="43">
        <f>IF($G7374=1,INDEX(DarlSollzins,16),INDEX(DarlAnschluss,16))</f>
      </c>
      <c r="I7374" s="43">
        <f>IF(INDEX(DarlBelegt,16)=0,0,IF(INDEX(DarlOhneTilgung,16)=1,IF(INDEX(DarlBindung,16)="",1,$G7374),IF($J7374&gt;0.005,1,0)))</f>
      </c>
      <c r="J7374" s="43">
        <f>IF($I7373=0,0,$R7373)</f>
      </c>
      <c r="K7374" s="43">
        <f>IF($I7374=0,0,IF(INDEX(DarlOhneTilgung,16)=1,0,IF(AND(INDEX(DarlTilgStart,16)&gt;0,$E7374=INDEX(DarlTilgStart,16)),$J7374*($H7374+INDEX(DarlTilgung,16))/100/12,IF(AND($G7374=0,$G7373=1),MAX($K7373,$J7374*($H7374+1)/100/12),$K7373))))</f>
      </c>
      <c r="L7374" s="43">
        <f>IF($I7374=0,0,$J7374*$H7374/100/12)</f>
      </c>
      <c r="M7374" s="43">
        <f>IF($I7374=0,0,IF(OR(INDEX(DarlOhneTilgung,16)=1,AND(INDEX(DarlTilgStart,16)&gt;0,$E7374&lt;INDEX(DarlTilgStart,16))),0,MIN(MAX(0,$K7374-$L7374),$J7374)))</f>
      </c>
      <c r="N7374" s="43">
        <f>IF($I7374=0,0,MIN(SUMIFS(SondBetrag,SondDarl,16,SondDatum,"&gt;="&amp;$E7374,SondDatum,"&lt;="&amp;EOMONTH($E7374,0)),$J7374-$M7374))</f>
      </c>
      <c r="O7374" s="43">
        <f>IF($I7374=0,0,INDEX(DarlErsatzRate,16))</f>
      </c>
      <c r="P7374" s="43">
        <f>IF($I7374=0,0,$Q7373*INDEX(DarlErsatzZins,16))</f>
      </c>
      <c r="Q7374" s="43">
        <f>IF($I7374=0,0,$Q7373+$P7374+$O7374)</f>
      </c>
      <c r="R7374" s="43">
        <f>IF($I7374=0,0,$J7374-$M7374-$N7374)</f>
      </c>
    </row>
    <row r="7375">
      <c r="A7375"/>
      <c r="B7375">
        <v>16</v>
      </c>
      <c r="C7375" s="43">
        <f>INDEX(DarlObj,16)</f>
      </c>
      <c r="D7375">
        <v>172</v>
      </c>
      <c r="E7375" s="51">
        <f>IF(INDEX(DarlBelegt,16)=0,0,EOMONTH(INDEX(DarlAuszahlung,16),171)+1)</f>
      </c>
      <c r="F7375" s="43">
        <f>IF($E7375=0,0,YEAR($E7375))</f>
      </c>
      <c r="G7375" s="43">
        <f>IF(INDEX(DarlBindung,16)="",1,IF($E7375&lt;=INDEX(DarlBindung,16),1,0))</f>
      </c>
      <c r="H7375" s="43">
        <f>IF($G7375=1,INDEX(DarlSollzins,16),INDEX(DarlAnschluss,16))</f>
      </c>
      <c r="I7375" s="43">
        <f>IF(INDEX(DarlBelegt,16)=0,0,IF(INDEX(DarlOhneTilgung,16)=1,IF(INDEX(DarlBindung,16)="",1,$G7375),IF($J7375&gt;0.005,1,0)))</f>
      </c>
      <c r="J7375" s="43">
        <f>IF($I7374=0,0,$R7374)</f>
      </c>
      <c r="K7375" s="43">
        <f>IF($I7375=0,0,IF(INDEX(DarlOhneTilgung,16)=1,0,IF(AND(INDEX(DarlTilgStart,16)&gt;0,$E7375=INDEX(DarlTilgStart,16)),$J7375*($H7375+INDEX(DarlTilgung,16))/100/12,IF(AND($G7375=0,$G7374=1),MAX($K7374,$J7375*($H7375+1)/100/12),$K7374))))</f>
      </c>
      <c r="L7375" s="43">
        <f>IF($I7375=0,0,$J7375*$H7375/100/12)</f>
      </c>
      <c r="M7375" s="43">
        <f>IF($I7375=0,0,IF(OR(INDEX(DarlOhneTilgung,16)=1,AND(INDEX(DarlTilgStart,16)&gt;0,$E7375&lt;INDEX(DarlTilgStart,16))),0,MIN(MAX(0,$K7375-$L7375),$J7375)))</f>
      </c>
      <c r="N7375" s="43">
        <f>IF($I7375=0,0,MIN(SUMIFS(SondBetrag,SondDarl,16,SondDatum,"&gt;="&amp;$E7375,SondDatum,"&lt;="&amp;EOMONTH($E7375,0)),$J7375-$M7375))</f>
      </c>
      <c r="O7375" s="43">
        <f>IF($I7375=0,0,INDEX(DarlErsatzRate,16))</f>
      </c>
      <c r="P7375" s="43">
        <f>IF($I7375=0,0,$Q7374*INDEX(DarlErsatzZins,16))</f>
      </c>
      <c r="Q7375" s="43">
        <f>IF($I7375=0,0,$Q7374+$P7375+$O7375)</f>
      </c>
      <c r="R7375" s="43">
        <f>IF($I7375=0,0,$J7375-$M7375-$N7375)</f>
      </c>
    </row>
    <row r="7376">
      <c r="A7376"/>
      <c r="B7376">
        <v>16</v>
      </c>
      <c r="C7376" s="43">
        <f>INDEX(DarlObj,16)</f>
      </c>
      <c r="D7376">
        <v>173</v>
      </c>
      <c r="E7376" s="51">
        <f>IF(INDEX(DarlBelegt,16)=0,0,EOMONTH(INDEX(DarlAuszahlung,16),172)+1)</f>
      </c>
      <c r="F7376" s="43">
        <f>IF($E7376=0,0,YEAR($E7376))</f>
      </c>
      <c r="G7376" s="43">
        <f>IF(INDEX(DarlBindung,16)="",1,IF($E7376&lt;=INDEX(DarlBindung,16),1,0))</f>
      </c>
      <c r="H7376" s="43">
        <f>IF($G7376=1,INDEX(DarlSollzins,16),INDEX(DarlAnschluss,16))</f>
      </c>
      <c r="I7376" s="43">
        <f>IF(INDEX(DarlBelegt,16)=0,0,IF(INDEX(DarlOhneTilgung,16)=1,IF(INDEX(DarlBindung,16)="",1,$G7376),IF($J7376&gt;0.005,1,0)))</f>
      </c>
      <c r="J7376" s="43">
        <f>IF($I7375=0,0,$R7375)</f>
      </c>
      <c r="K7376" s="43">
        <f>IF($I7376=0,0,IF(INDEX(DarlOhneTilgung,16)=1,0,IF(AND(INDEX(DarlTilgStart,16)&gt;0,$E7376=INDEX(DarlTilgStart,16)),$J7376*($H7376+INDEX(DarlTilgung,16))/100/12,IF(AND($G7376=0,$G7375=1),MAX($K7375,$J7376*($H7376+1)/100/12),$K7375))))</f>
      </c>
      <c r="L7376" s="43">
        <f>IF($I7376=0,0,$J7376*$H7376/100/12)</f>
      </c>
      <c r="M7376" s="43">
        <f>IF($I7376=0,0,IF(OR(INDEX(DarlOhneTilgung,16)=1,AND(INDEX(DarlTilgStart,16)&gt;0,$E7376&lt;INDEX(DarlTilgStart,16))),0,MIN(MAX(0,$K7376-$L7376),$J7376)))</f>
      </c>
      <c r="N7376" s="43">
        <f>IF($I7376=0,0,MIN(SUMIFS(SondBetrag,SondDarl,16,SondDatum,"&gt;="&amp;$E7376,SondDatum,"&lt;="&amp;EOMONTH($E7376,0)),$J7376-$M7376))</f>
      </c>
      <c r="O7376" s="43">
        <f>IF($I7376=0,0,INDEX(DarlErsatzRate,16))</f>
      </c>
      <c r="P7376" s="43">
        <f>IF($I7376=0,0,$Q7375*INDEX(DarlErsatzZins,16))</f>
      </c>
      <c r="Q7376" s="43">
        <f>IF($I7376=0,0,$Q7375+$P7376+$O7376)</f>
      </c>
      <c r="R7376" s="43">
        <f>IF($I7376=0,0,$J7376-$M7376-$N7376)</f>
      </c>
    </row>
    <row r="7377">
      <c r="A7377"/>
      <c r="B7377">
        <v>16</v>
      </c>
      <c r="C7377" s="43">
        <f>INDEX(DarlObj,16)</f>
      </c>
      <c r="D7377">
        <v>174</v>
      </c>
      <c r="E7377" s="51">
        <f>IF(INDEX(DarlBelegt,16)=0,0,EOMONTH(INDEX(DarlAuszahlung,16),173)+1)</f>
      </c>
      <c r="F7377" s="43">
        <f>IF($E7377=0,0,YEAR($E7377))</f>
      </c>
      <c r="G7377" s="43">
        <f>IF(INDEX(DarlBindung,16)="",1,IF($E7377&lt;=INDEX(DarlBindung,16),1,0))</f>
      </c>
      <c r="H7377" s="43">
        <f>IF($G7377=1,INDEX(DarlSollzins,16),INDEX(DarlAnschluss,16))</f>
      </c>
      <c r="I7377" s="43">
        <f>IF(INDEX(DarlBelegt,16)=0,0,IF(INDEX(DarlOhneTilgung,16)=1,IF(INDEX(DarlBindung,16)="",1,$G7377),IF($J7377&gt;0.005,1,0)))</f>
      </c>
      <c r="J7377" s="43">
        <f>IF($I7376=0,0,$R7376)</f>
      </c>
      <c r="K7377" s="43">
        <f>IF($I7377=0,0,IF(INDEX(DarlOhneTilgung,16)=1,0,IF(AND(INDEX(DarlTilgStart,16)&gt;0,$E7377=INDEX(DarlTilgStart,16)),$J7377*($H7377+INDEX(DarlTilgung,16))/100/12,IF(AND($G7377=0,$G7376=1),MAX($K7376,$J7377*($H7377+1)/100/12),$K7376))))</f>
      </c>
      <c r="L7377" s="43">
        <f>IF($I7377=0,0,$J7377*$H7377/100/12)</f>
      </c>
      <c r="M7377" s="43">
        <f>IF($I7377=0,0,IF(OR(INDEX(DarlOhneTilgung,16)=1,AND(INDEX(DarlTilgStart,16)&gt;0,$E7377&lt;INDEX(DarlTilgStart,16))),0,MIN(MAX(0,$K7377-$L7377),$J7377)))</f>
      </c>
      <c r="N7377" s="43">
        <f>IF($I7377=0,0,MIN(SUMIFS(SondBetrag,SondDarl,16,SondDatum,"&gt;="&amp;$E7377,SondDatum,"&lt;="&amp;EOMONTH($E7377,0)),$J7377-$M7377))</f>
      </c>
      <c r="O7377" s="43">
        <f>IF($I7377=0,0,INDEX(DarlErsatzRate,16))</f>
      </c>
      <c r="P7377" s="43">
        <f>IF($I7377=0,0,$Q7376*INDEX(DarlErsatzZins,16))</f>
      </c>
      <c r="Q7377" s="43">
        <f>IF($I7377=0,0,$Q7376+$P7377+$O7377)</f>
      </c>
      <c r="R7377" s="43">
        <f>IF($I7377=0,0,$J7377-$M7377-$N7377)</f>
      </c>
    </row>
    <row r="7378">
      <c r="A7378"/>
      <c r="B7378">
        <v>16</v>
      </c>
      <c r="C7378" s="43">
        <f>INDEX(DarlObj,16)</f>
      </c>
      <c r="D7378">
        <v>175</v>
      </c>
      <c r="E7378" s="51">
        <f>IF(INDEX(DarlBelegt,16)=0,0,EOMONTH(INDEX(DarlAuszahlung,16),174)+1)</f>
      </c>
      <c r="F7378" s="43">
        <f>IF($E7378=0,0,YEAR($E7378))</f>
      </c>
      <c r="G7378" s="43">
        <f>IF(INDEX(DarlBindung,16)="",1,IF($E7378&lt;=INDEX(DarlBindung,16),1,0))</f>
      </c>
      <c r="H7378" s="43">
        <f>IF($G7378=1,INDEX(DarlSollzins,16),INDEX(DarlAnschluss,16))</f>
      </c>
      <c r="I7378" s="43">
        <f>IF(INDEX(DarlBelegt,16)=0,0,IF(INDEX(DarlOhneTilgung,16)=1,IF(INDEX(DarlBindung,16)="",1,$G7378),IF($J7378&gt;0.005,1,0)))</f>
      </c>
      <c r="J7378" s="43">
        <f>IF($I7377=0,0,$R7377)</f>
      </c>
      <c r="K7378" s="43">
        <f>IF($I7378=0,0,IF(INDEX(DarlOhneTilgung,16)=1,0,IF(AND(INDEX(DarlTilgStart,16)&gt;0,$E7378=INDEX(DarlTilgStart,16)),$J7378*($H7378+INDEX(DarlTilgung,16))/100/12,IF(AND($G7378=0,$G7377=1),MAX($K7377,$J7378*($H7378+1)/100/12),$K7377))))</f>
      </c>
      <c r="L7378" s="43">
        <f>IF($I7378=0,0,$J7378*$H7378/100/12)</f>
      </c>
      <c r="M7378" s="43">
        <f>IF($I7378=0,0,IF(OR(INDEX(DarlOhneTilgung,16)=1,AND(INDEX(DarlTilgStart,16)&gt;0,$E7378&lt;INDEX(DarlTilgStart,16))),0,MIN(MAX(0,$K7378-$L7378),$J7378)))</f>
      </c>
      <c r="N7378" s="43">
        <f>IF($I7378=0,0,MIN(SUMIFS(SondBetrag,SondDarl,16,SondDatum,"&gt;="&amp;$E7378,SondDatum,"&lt;="&amp;EOMONTH($E7378,0)),$J7378-$M7378))</f>
      </c>
      <c r="O7378" s="43">
        <f>IF($I7378=0,0,INDEX(DarlErsatzRate,16))</f>
      </c>
      <c r="P7378" s="43">
        <f>IF($I7378=0,0,$Q7377*INDEX(DarlErsatzZins,16))</f>
      </c>
      <c r="Q7378" s="43">
        <f>IF($I7378=0,0,$Q7377+$P7378+$O7378)</f>
      </c>
      <c r="R7378" s="43">
        <f>IF($I7378=0,0,$J7378-$M7378-$N7378)</f>
      </c>
    </row>
    <row r="7379">
      <c r="A7379"/>
      <c r="B7379">
        <v>16</v>
      </c>
      <c r="C7379" s="43">
        <f>INDEX(DarlObj,16)</f>
      </c>
      <c r="D7379">
        <v>176</v>
      </c>
      <c r="E7379" s="51">
        <f>IF(INDEX(DarlBelegt,16)=0,0,EOMONTH(INDEX(DarlAuszahlung,16),175)+1)</f>
      </c>
      <c r="F7379" s="43">
        <f>IF($E7379=0,0,YEAR($E7379))</f>
      </c>
      <c r="G7379" s="43">
        <f>IF(INDEX(DarlBindung,16)="",1,IF($E7379&lt;=INDEX(DarlBindung,16),1,0))</f>
      </c>
      <c r="H7379" s="43">
        <f>IF($G7379=1,INDEX(DarlSollzins,16),INDEX(DarlAnschluss,16))</f>
      </c>
      <c r="I7379" s="43">
        <f>IF(INDEX(DarlBelegt,16)=0,0,IF(INDEX(DarlOhneTilgung,16)=1,IF(INDEX(DarlBindung,16)="",1,$G7379),IF($J7379&gt;0.005,1,0)))</f>
      </c>
      <c r="J7379" s="43">
        <f>IF($I7378=0,0,$R7378)</f>
      </c>
      <c r="K7379" s="43">
        <f>IF($I7379=0,0,IF(INDEX(DarlOhneTilgung,16)=1,0,IF(AND(INDEX(DarlTilgStart,16)&gt;0,$E7379=INDEX(DarlTilgStart,16)),$J7379*($H7379+INDEX(DarlTilgung,16))/100/12,IF(AND($G7379=0,$G7378=1),MAX($K7378,$J7379*($H7379+1)/100/12),$K7378))))</f>
      </c>
      <c r="L7379" s="43">
        <f>IF($I7379=0,0,$J7379*$H7379/100/12)</f>
      </c>
      <c r="M7379" s="43">
        <f>IF($I7379=0,0,IF(OR(INDEX(DarlOhneTilgung,16)=1,AND(INDEX(DarlTilgStart,16)&gt;0,$E7379&lt;INDEX(DarlTilgStart,16))),0,MIN(MAX(0,$K7379-$L7379),$J7379)))</f>
      </c>
      <c r="N7379" s="43">
        <f>IF($I7379=0,0,MIN(SUMIFS(SondBetrag,SondDarl,16,SondDatum,"&gt;="&amp;$E7379,SondDatum,"&lt;="&amp;EOMONTH($E7379,0)),$J7379-$M7379))</f>
      </c>
      <c r="O7379" s="43">
        <f>IF($I7379=0,0,INDEX(DarlErsatzRate,16))</f>
      </c>
      <c r="P7379" s="43">
        <f>IF($I7379=0,0,$Q7378*INDEX(DarlErsatzZins,16))</f>
      </c>
      <c r="Q7379" s="43">
        <f>IF($I7379=0,0,$Q7378+$P7379+$O7379)</f>
      </c>
      <c r="R7379" s="43">
        <f>IF($I7379=0,0,$J7379-$M7379-$N7379)</f>
      </c>
    </row>
    <row r="7380">
      <c r="A7380"/>
      <c r="B7380">
        <v>16</v>
      </c>
      <c r="C7380" s="43">
        <f>INDEX(DarlObj,16)</f>
      </c>
      <c r="D7380">
        <v>177</v>
      </c>
      <c r="E7380" s="51">
        <f>IF(INDEX(DarlBelegt,16)=0,0,EOMONTH(INDEX(DarlAuszahlung,16),176)+1)</f>
      </c>
      <c r="F7380" s="43">
        <f>IF($E7380=0,0,YEAR($E7380))</f>
      </c>
      <c r="G7380" s="43">
        <f>IF(INDEX(DarlBindung,16)="",1,IF($E7380&lt;=INDEX(DarlBindung,16),1,0))</f>
      </c>
      <c r="H7380" s="43">
        <f>IF($G7380=1,INDEX(DarlSollzins,16),INDEX(DarlAnschluss,16))</f>
      </c>
      <c r="I7380" s="43">
        <f>IF(INDEX(DarlBelegt,16)=0,0,IF(INDEX(DarlOhneTilgung,16)=1,IF(INDEX(DarlBindung,16)="",1,$G7380),IF($J7380&gt;0.005,1,0)))</f>
      </c>
      <c r="J7380" s="43">
        <f>IF($I7379=0,0,$R7379)</f>
      </c>
      <c r="K7380" s="43">
        <f>IF($I7380=0,0,IF(INDEX(DarlOhneTilgung,16)=1,0,IF(AND(INDEX(DarlTilgStart,16)&gt;0,$E7380=INDEX(DarlTilgStart,16)),$J7380*($H7380+INDEX(DarlTilgung,16))/100/12,IF(AND($G7380=0,$G7379=1),MAX($K7379,$J7380*($H7380+1)/100/12),$K7379))))</f>
      </c>
      <c r="L7380" s="43">
        <f>IF($I7380=0,0,$J7380*$H7380/100/12)</f>
      </c>
      <c r="M7380" s="43">
        <f>IF($I7380=0,0,IF(OR(INDEX(DarlOhneTilgung,16)=1,AND(INDEX(DarlTilgStart,16)&gt;0,$E7380&lt;INDEX(DarlTilgStart,16))),0,MIN(MAX(0,$K7380-$L7380),$J7380)))</f>
      </c>
      <c r="N7380" s="43">
        <f>IF($I7380=0,0,MIN(SUMIFS(SondBetrag,SondDarl,16,SondDatum,"&gt;="&amp;$E7380,SondDatum,"&lt;="&amp;EOMONTH($E7380,0)),$J7380-$M7380))</f>
      </c>
      <c r="O7380" s="43">
        <f>IF($I7380=0,0,INDEX(DarlErsatzRate,16))</f>
      </c>
      <c r="P7380" s="43">
        <f>IF($I7380=0,0,$Q7379*INDEX(DarlErsatzZins,16))</f>
      </c>
      <c r="Q7380" s="43">
        <f>IF($I7380=0,0,$Q7379+$P7380+$O7380)</f>
      </c>
      <c r="R7380" s="43">
        <f>IF($I7380=0,0,$J7380-$M7380-$N7380)</f>
      </c>
    </row>
    <row r="7381">
      <c r="A7381"/>
      <c r="B7381">
        <v>16</v>
      </c>
      <c r="C7381" s="43">
        <f>INDEX(DarlObj,16)</f>
      </c>
      <c r="D7381">
        <v>178</v>
      </c>
      <c r="E7381" s="51">
        <f>IF(INDEX(DarlBelegt,16)=0,0,EOMONTH(INDEX(DarlAuszahlung,16),177)+1)</f>
      </c>
      <c r="F7381" s="43">
        <f>IF($E7381=0,0,YEAR($E7381))</f>
      </c>
      <c r="G7381" s="43">
        <f>IF(INDEX(DarlBindung,16)="",1,IF($E7381&lt;=INDEX(DarlBindung,16),1,0))</f>
      </c>
      <c r="H7381" s="43">
        <f>IF($G7381=1,INDEX(DarlSollzins,16),INDEX(DarlAnschluss,16))</f>
      </c>
      <c r="I7381" s="43">
        <f>IF(INDEX(DarlBelegt,16)=0,0,IF(INDEX(DarlOhneTilgung,16)=1,IF(INDEX(DarlBindung,16)="",1,$G7381),IF($J7381&gt;0.005,1,0)))</f>
      </c>
      <c r="J7381" s="43">
        <f>IF($I7380=0,0,$R7380)</f>
      </c>
      <c r="K7381" s="43">
        <f>IF($I7381=0,0,IF(INDEX(DarlOhneTilgung,16)=1,0,IF(AND(INDEX(DarlTilgStart,16)&gt;0,$E7381=INDEX(DarlTilgStart,16)),$J7381*($H7381+INDEX(DarlTilgung,16))/100/12,IF(AND($G7381=0,$G7380=1),MAX($K7380,$J7381*($H7381+1)/100/12),$K7380))))</f>
      </c>
      <c r="L7381" s="43">
        <f>IF($I7381=0,0,$J7381*$H7381/100/12)</f>
      </c>
      <c r="M7381" s="43">
        <f>IF($I7381=0,0,IF(OR(INDEX(DarlOhneTilgung,16)=1,AND(INDEX(DarlTilgStart,16)&gt;0,$E7381&lt;INDEX(DarlTilgStart,16))),0,MIN(MAX(0,$K7381-$L7381),$J7381)))</f>
      </c>
      <c r="N7381" s="43">
        <f>IF($I7381=0,0,MIN(SUMIFS(SondBetrag,SondDarl,16,SondDatum,"&gt;="&amp;$E7381,SondDatum,"&lt;="&amp;EOMONTH($E7381,0)),$J7381-$M7381))</f>
      </c>
      <c r="O7381" s="43">
        <f>IF($I7381=0,0,INDEX(DarlErsatzRate,16))</f>
      </c>
      <c r="P7381" s="43">
        <f>IF($I7381=0,0,$Q7380*INDEX(DarlErsatzZins,16))</f>
      </c>
      <c r="Q7381" s="43">
        <f>IF($I7381=0,0,$Q7380+$P7381+$O7381)</f>
      </c>
      <c r="R7381" s="43">
        <f>IF($I7381=0,0,$J7381-$M7381-$N7381)</f>
      </c>
    </row>
    <row r="7382">
      <c r="A7382"/>
      <c r="B7382">
        <v>16</v>
      </c>
      <c r="C7382" s="43">
        <f>INDEX(DarlObj,16)</f>
      </c>
      <c r="D7382">
        <v>179</v>
      </c>
      <c r="E7382" s="51">
        <f>IF(INDEX(DarlBelegt,16)=0,0,EOMONTH(INDEX(DarlAuszahlung,16),178)+1)</f>
      </c>
      <c r="F7382" s="43">
        <f>IF($E7382=0,0,YEAR($E7382))</f>
      </c>
      <c r="G7382" s="43">
        <f>IF(INDEX(DarlBindung,16)="",1,IF($E7382&lt;=INDEX(DarlBindung,16),1,0))</f>
      </c>
      <c r="H7382" s="43">
        <f>IF($G7382=1,INDEX(DarlSollzins,16),INDEX(DarlAnschluss,16))</f>
      </c>
      <c r="I7382" s="43">
        <f>IF(INDEX(DarlBelegt,16)=0,0,IF(INDEX(DarlOhneTilgung,16)=1,IF(INDEX(DarlBindung,16)="",1,$G7382),IF($J7382&gt;0.005,1,0)))</f>
      </c>
      <c r="J7382" s="43">
        <f>IF($I7381=0,0,$R7381)</f>
      </c>
      <c r="K7382" s="43">
        <f>IF($I7382=0,0,IF(INDEX(DarlOhneTilgung,16)=1,0,IF(AND(INDEX(DarlTilgStart,16)&gt;0,$E7382=INDEX(DarlTilgStart,16)),$J7382*($H7382+INDEX(DarlTilgung,16))/100/12,IF(AND($G7382=0,$G7381=1),MAX($K7381,$J7382*($H7382+1)/100/12),$K7381))))</f>
      </c>
      <c r="L7382" s="43">
        <f>IF($I7382=0,0,$J7382*$H7382/100/12)</f>
      </c>
      <c r="M7382" s="43">
        <f>IF($I7382=0,0,IF(OR(INDEX(DarlOhneTilgung,16)=1,AND(INDEX(DarlTilgStart,16)&gt;0,$E7382&lt;INDEX(DarlTilgStart,16))),0,MIN(MAX(0,$K7382-$L7382),$J7382)))</f>
      </c>
      <c r="N7382" s="43">
        <f>IF($I7382=0,0,MIN(SUMIFS(SondBetrag,SondDarl,16,SondDatum,"&gt;="&amp;$E7382,SondDatum,"&lt;="&amp;EOMONTH($E7382,0)),$J7382-$M7382))</f>
      </c>
      <c r="O7382" s="43">
        <f>IF($I7382=0,0,INDEX(DarlErsatzRate,16))</f>
      </c>
      <c r="P7382" s="43">
        <f>IF($I7382=0,0,$Q7381*INDEX(DarlErsatzZins,16))</f>
      </c>
      <c r="Q7382" s="43">
        <f>IF($I7382=0,0,$Q7381+$P7382+$O7382)</f>
      </c>
      <c r="R7382" s="43">
        <f>IF($I7382=0,0,$J7382-$M7382-$N7382)</f>
      </c>
    </row>
    <row r="7383">
      <c r="A7383"/>
      <c r="B7383">
        <v>16</v>
      </c>
      <c r="C7383" s="43">
        <f>INDEX(DarlObj,16)</f>
      </c>
      <c r="D7383">
        <v>180</v>
      </c>
      <c r="E7383" s="51">
        <f>IF(INDEX(DarlBelegt,16)=0,0,EOMONTH(INDEX(DarlAuszahlung,16),179)+1)</f>
      </c>
      <c r="F7383" s="43">
        <f>IF($E7383=0,0,YEAR($E7383))</f>
      </c>
      <c r="G7383" s="43">
        <f>IF(INDEX(DarlBindung,16)="",1,IF($E7383&lt;=INDEX(DarlBindung,16),1,0))</f>
      </c>
      <c r="H7383" s="43">
        <f>IF($G7383=1,INDEX(DarlSollzins,16),INDEX(DarlAnschluss,16))</f>
      </c>
      <c r="I7383" s="43">
        <f>IF(INDEX(DarlBelegt,16)=0,0,IF(INDEX(DarlOhneTilgung,16)=1,IF(INDEX(DarlBindung,16)="",1,$G7383),IF($J7383&gt;0.005,1,0)))</f>
      </c>
      <c r="J7383" s="43">
        <f>IF($I7382=0,0,$R7382)</f>
      </c>
      <c r="K7383" s="43">
        <f>IF($I7383=0,0,IF(INDEX(DarlOhneTilgung,16)=1,0,IF(AND(INDEX(DarlTilgStart,16)&gt;0,$E7383=INDEX(DarlTilgStart,16)),$J7383*($H7383+INDEX(DarlTilgung,16))/100/12,IF(AND($G7383=0,$G7382=1),MAX($K7382,$J7383*($H7383+1)/100/12),$K7382))))</f>
      </c>
      <c r="L7383" s="43">
        <f>IF($I7383=0,0,$J7383*$H7383/100/12)</f>
      </c>
      <c r="M7383" s="43">
        <f>IF($I7383=0,0,IF(OR(INDEX(DarlOhneTilgung,16)=1,AND(INDEX(DarlTilgStart,16)&gt;0,$E7383&lt;INDEX(DarlTilgStart,16))),0,MIN(MAX(0,$K7383-$L7383),$J7383)))</f>
      </c>
      <c r="N7383" s="43">
        <f>IF($I7383=0,0,MIN(SUMIFS(SondBetrag,SondDarl,16,SondDatum,"&gt;="&amp;$E7383,SondDatum,"&lt;="&amp;EOMONTH($E7383,0)),$J7383-$M7383))</f>
      </c>
      <c r="O7383" s="43">
        <f>IF($I7383=0,0,INDEX(DarlErsatzRate,16))</f>
      </c>
      <c r="P7383" s="43">
        <f>IF($I7383=0,0,$Q7382*INDEX(DarlErsatzZins,16))</f>
      </c>
      <c r="Q7383" s="43">
        <f>IF($I7383=0,0,$Q7382+$P7383+$O7383)</f>
      </c>
      <c r="R7383" s="43">
        <f>IF($I7383=0,0,$J7383-$M7383-$N7383)</f>
      </c>
    </row>
    <row r="7384">
      <c r="A7384"/>
      <c r="B7384">
        <v>16</v>
      </c>
      <c r="C7384" s="43">
        <f>INDEX(DarlObj,16)</f>
      </c>
      <c r="D7384">
        <v>181</v>
      </c>
      <c r="E7384" s="51">
        <f>IF(INDEX(DarlBelegt,16)=0,0,EOMONTH(INDEX(DarlAuszahlung,16),180)+1)</f>
      </c>
      <c r="F7384" s="43">
        <f>IF($E7384=0,0,YEAR($E7384))</f>
      </c>
      <c r="G7384" s="43">
        <f>IF(INDEX(DarlBindung,16)="",1,IF($E7384&lt;=INDEX(DarlBindung,16),1,0))</f>
      </c>
      <c r="H7384" s="43">
        <f>IF($G7384=1,INDEX(DarlSollzins,16),INDEX(DarlAnschluss,16))</f>
      </c>
      <c r="I7384" s="43">
        <f>IF(INDEX(DarlBelegt,16)=0,0,IF(INDEX(DarlOhneTilgung,16)=1,IF(INDEX(DarlBindung,16)="",1,$G7384),IF($J7384&gt;0.005,1,0)))</f>
      </c>
      <c r="J7384" s="43">
        <f>IF($I7383=0,0,$R7383)</f>
      </c>
      <c r="K7384" s="43">
        <f>IF($I7384=0,0,IF(INDEX(DarlOhneTilgung,16)=1,0,IF(AND(INDEX(DarlTilgStart,16)&gt;0,$E7384=INDEX(DarlTilgStart,16)),$J7384*($H7384+INDEX(DarlTilgung,16))/100/12,IF(AND($G7384=0,$G7383=1),MAX($K7383,$J7384*($H7384+1)/100/12),$K7383))))</f>
      </c>
      <c r="L7384" s="43">
        <f>IF($I7384=0,0,$J7384*$H7384/100/12)</f>
      </c>
      <c r="M7384" s="43">
        <f>IF($I7384=0,0,IF(OR(INDEX(DarlOhneTilgung,16)=1,AND(INDEX(DarlTilgStart,16)&gt;0,$E7384&lt;INDEX(DarlTilgStart,16))),0,MIN(MAX(0,$K7384-$L7384),$J7384)))</f>
      </c>
      <c r="N7384" s="43">
        <f>IF($I7384=0,0,MIN(SUMIFS(SondBetrag,SondDarl,16,SondDatum,"&gt;="&amp;$E7384,SondDatum,"&lt;="&amp;EOMONTH($E7384,0)),$J7384-$M7384))</f>
      </c>
      <c r="O7384" s="43">
        <f>IF($I7384=0,0,INDEX(DarlErsatzRate,16))</f>
      </c>
      <c r="P7384" s="43">
        <f>IF($I7384=0,0,$Q7383*INDEX(DarlErsatzZins,16))</f>
      </c>
      <c r="Q7384" s="43">
        <f>IF($I7384=0,0,$Q7383+$P7384+$O7384)</f>
      </c>
      <c r="R7384" s="43">
        <f>IF($I7384=0,0,$J7384-$M7384-$N7384)</f>
      </c>
    </row>
    <row r="7385">
      <c r="A7385"/>
      <c r="B7385">
        <v>16</v>
      </c>
      <c r="C7385" s="43">
        <f>INDEX(DarlObj,16)</f>
      </c>
      <c r="D7385">
        <v>182</v>
      </c>
      <c r="E7385" s="51">
        <f>IF(INDEX(DarlBelegt,16)=0,0,EOMONTH(INDEX(DarlAuszahlung,16),181)+1)</f>
      </c>
      <c r="F7385" s="43">
        <f>IF($E7385=0,0,YEAR($E7385))</f>
      </c>
      <c r="G7385" s="43">
        <f>IF(INDEX(DarlBindung,16)="",1,IF($E7385&lt;=INDEX(DarlBindung,16),1,0))</f>
      </c>
      <c r="H7385" s="43">
        <f>IF($G7385=1,INDEX(DarlSollzins,16),INDEX(DarlAnschluss,16))</f>
      </c>
      <c r="I7385" s="43">
        <f>IF(INDEX(DarlBelegt,16)=0,0,IF(INDEX(DarlOhneTilgung,16)=1,IF(INDEX(DarlBindung,16)="",1,$G7385),IF($J7385&gt;0.005,1,0)))</f>
      </c>
      <c r="J7385" s="43">
        <f>IF($I7384=0,0,$R7384)</f>
      </c>
      <c r="K7385" s="43">
        <f>IF($I7385=0,0,IF(INDEX(DarlOhneTilgung,16)=1,0,IF(AND(INDEX(DarlTilgStart,16)&gt;0,$E7385=INDEX(DarlTilgStart,16)),$J7385*($H7385+INDEX(DarlTilgung,16))/100/12,IF(AND($G7385=0,$G7384=1),MAX($K7384,$J7385*($H7385+1)/100/12),$K7384))))</f>
      </c>
      <c r="L7385" s="43">
        <f>IF($I7385=0,0,$J7385*$H7385/100/12)</f>
      </c>
      <c r="M7385" s="43">
        <f>IF($I7385=0,0,IF(OR(INDEX(DarlOhneTilgung,16)=1,AND(INDEX(DarlTilgStart,16)&gt;0,$E7385&lt;INDEX(DarlTilgStart,16))),0,MIN(MAX(0,$K7385-$L7385),$J7385)))</f>
      </c>
      <c r="N7385" s="43">
        <f>IF($I7385=0,0,MIN(SUMIFS(SondBetrag,SondDarl,16,SondDatum,"&gt;="&amp;$E7385,SondDatum,"&lt;="&amp;EOMONTH($E7385,0)),$J7385-$M7385))</f>
      </c>
      <c r="O7385" s="43">
        <f>IF($I7385=0,0,INDEX(DarlErsatzRate,16))</f>
      </c>
      <c r="P7385" s="43">
        <f>IF($I7385=0,0,$Q7384*INDEX(DarlErsatzZins,16))</f>
      </c>
      <c r="Q7385" s="43">
        <f>IF($I7385=0,0,$Q7384+$P7385+$O7385)</f>
      </c>
      <c r="R7385" s="43">
        <f>IF($I7385=0,0,$J7385-$M7385-$N7385)</f>
      </c>
    </row>
    <row r="7386">
      <c r="A7386"/>
      <c r="B7386">
        <v>16</v>
      </c>
      <c r="C7386" s="43">
        <f>INDEX(DarlObj,16)</f>
      </c>
      <c r="D7386">
        <v>183</v>
      </c>
      <c r="E7386" s="51">
        <f>IF(INDEX(DarlBelegt,16)=0,0,EOMONTH(INDEX(DarlAuszahlung,16),182)+1)</f>
      </c>
      <c r="F7386" s="43">
        <f>IF($E7386=0,0,YEAR($E7386))</f>
      </c>
      <c r="G7386" s="43">
        <f>IF(INDEX(DarlBindung,16)="",1,IF($E7386&lt;=INDEX(DarlBindung,16),1,0))</f>
      </c>
      <c r="H7386" s="43">
        <f>IF($G7386=1,INDEX(DarlSollzins,16),INDEX(DarlAnschluss,16))</f>
      </c>
      <c r="I7386" s="43">
        <f>IF(INDEX(DarlBelegt,16)=0,0,IF(INDEX(DarlOhneTilgung,16)=1,IF(INDEX(DarlBindung,16)="",1,$G7386),IF($J7386&gt;0.005,1,0)))</f>
      </c>
      <c r="J7386" s="43">
        <f>IF($I7385=0,0,$R7385)</f>
      </c>
      <c r="K7386" s="43">
        <f>IF($I7386=0,0,IF(INDEX(DarlOhneTilgung,16)=1,0,IF(AND(INDEX(DarlTilgStart,16)&gt;0,$E7386=INDEX(DarlTilgStart,16)),$J7386*($H7386+INDEX(DarlTilgung,16))/100/12,IF(AND($G7386=0,$G7385=1),MAX($K7385,$J7386*($H7386+1)/100/12),$K7385))))</f>
      </c>
      <c r="L7386" s="43">
        <f>IF($I7386=0,0,$J7386*$H7386/100/12)</f>
      </c>
      <c r="M7386" s="43">
        <f>IF($I7386=0,0,IF(OR(INDEX(DarlOhneTilgung,16)=1,AND(INDEX(DarlTilgStart,16)&gt;0,$E7386&lt;INDEX(DarlTilgStart,16))),0,MIN(MAX(0,$K7386-$L7386),$J7386)))</f>
      </c>
      <c r="N7386" s="43">
        <f>IF($I7386=0,0,MIN(SUMIFS(SondBetrag,SondDarl,16,SondDatum,"&gt;="&amp;$E7386,SondDatum,"&lt;="&amp;EOMONTH($E7386,0)),$J7386-$M7386))</f>
      </c>
      <c r="O7386" s="43">
        <f>IF($I7386=0,0,INDEX(DarlErsatzRate,16))</f>
      </c>
      <c r="P7386" s="43">
        <f>IF($I7386=0,0,$Q7385*INDEX(DarlErsatzZins,16))</f>
      </c>
      <c r="Q7386" s="43">
        <f>IF($I7386=0,0,$Q7385+$P7386+$O7386)</f>
      </c>
      <c r="R7386" s="43">
        <f>IF($I7386=0,0,$J7386-$M7386-$N7386)</f>
      </c>
    </row>
    <row r="7387">
      <c r="A7387"/>
      <c r="B7387">
        <v>16</v>
      </c>
      <c r="C7387" s="43">
        <f>INDEX(DarlObj,16)</f>
      </c>
      <c r="D7387">
        <v>184</v>
      </c>
      <c r="E7387" s="51">
        <f>IF(INDEX(DarlBelegt,16)=0,0,EOMONTH(INDEX(DarlAuszahlung,16),183)+1)</f>
      </c>
      <c r="F7387" s="43">
        <f>IF($E7387=0,0,YEAR($E7387))</f>
      </c>
      <c r="G7387" s="43">
        <f>IF(INDEX(DarlBindung,16)="",1,IF($E7387&lt;=INDEX(DarlBindung,16),1,0))</f>
      </c>
      <c r="H7387" s="43">
        <f>IF($G7387=1,INDEX(DarlSollzins,16),INDEX(DarlAnschluss,16))</f>
      </c>
      <c r="I7387" s="43">
        <f>IF(INDEX(DarlBelegt,16)=0,0,IF(INDEX(DarlOhneTilgung,16)=1,IF(INDEX(DarlBindung,16)="",1,$G7387),IF($J7387&gt;0.005,1,0)))</f>
      </c>
      <c r="J7387" s="43">
        <f>IF($I7386=0,0,$R7386)</f>
      </c>
      <c r="K7387" s="43">
        <f>IF($I7387=0,0,IF(INDEX(DarlOhneTilgung,16)=1,0,IF(AND(INDEX(DarlTilgStart,16)&gt;0,$E7387=INDEX(DarlTilgStart,16)),$J7387*($H7387+INDEX(DarlTilgung,16))/100/12,IF(AND($G7387=0,$G7386=1),MAX($K7386,$J7387*($H7387+1)/100/12),$K7386))))</f>
      </c>
      <c r="L7387" s="43">
        <f>IF($I7387=0,0,$J7387*$H7387/100/12)</f>
      </c>
      <c r="M7387" s="43">
        <f>IF($I7387=0,0,IF(OR(INDEX(DarlOhneTilgung,16)=1,AND(INDEX(DarlTilgStart,16)&gt;0,$E7387&lt;INDEX(DarlTilgStart,16))),0,MIN(MAX(0,$K7387-$L7387),$J7387)))</f>
      </c>
      <c r="N7387" s="43">
        <f>IF($I7387=0,0,MIN(SUMIFS(SondBetrag,SondDarl,16,SondDatum,"&gt;="&amp;$E7387,SondDatum,"&lt;="&amp;EOMONTH($E7387,0)),$J7387-$M7387))</f>
      </c>
      <c r="O7387" s="43">
        <f>IF($I7387=0,0,INDEX(DarlErsatzRate,16))</f>
      </c>
      <c r="P7387" s="43">
        <f>IF($I7387=0,0,$Q7386*INDEX(DarlErsatzZins,16))</f>
      </c>
      <c r="Q7387" s="43">
        <f>IF($I7387=0,0,$Q7386+$P7387+$O7387)</f>
      </c>
      <c r="R7387" s="43">
        <f>IF($I7387=0,0,$J7387-$M7387-$N7387)</f>
      </c>
    </row>
    <row r="7388">
      <c r="A7388"/>
      <c r="B7388">
        <v>16</v>
      </c>
      <c r="C7388" s="43">
        <f>INDEX(DarlObj,16)</f>
      </c>
      <c r="D7388">
        <v>185</v>
      </c>
      <c r="E7388" s="51">
        <f>IF(INDEX(DarlBelegt,16)=0,0,EOMONTH(INDEX(DarlAuszahlung,16),184)+1)</f>
      </c>
      <c r="F7388" s="43">
        <f>IF($E7388=0,0,YEAR($E7388))</f>
      </c>
      <c r="G7388" s="43">
        <f>IF(INDEX(DarlBindung,16)="",1,IF($E7388&lt;=INDEX(DarlBindung,16),1,0))</f>
      </c>
      <c r="H7388" s="43">
        <f>IF($G7388=1,INDEX(DarlSollzins,16),INDEX(DarlAnschluss,16))</f>
      </c>
      <c r="I7388" s="43">
        <f>IF(INDEX(DarlBelegt,16)=0,0,IF(INDEX(DarlOhneTilgung,16)=1,IF(INDEX(DarlBindung,16)="",1,$G7388),IF($J7388&gt;0.005,1,0)))</f>
      </c>
      <c r="J7388" s="43">
        <f>IF($I7387=0,0,$R7387)</f>
      </c>
      <c r="K7388" s="43">
        <f>IF($I7388=0,0,IF(INDEX(DarlOhneTilgung,16)=1,0,IF(AND(INDEX(DarlTilgStart,16)&gt;0,$E7388=INDEX(DarlTilgStart,16)),$J7388*($H7388+INDEX(DarlTilgung,16))/100/12,IF(AND($G7388=0,$G7387=1),MAX($K7387,$J7388*($H7388+1)/100/12),$K7387))))</f>
      </c>
      <c r="L7388" s="43">
        <f>IF($I7388=0,0,$J7388*$H7388/100/12)</f>
      </c>
      <c r="M7388" s="43">
        <f>IF($I7388=0,0,IF(OR(INDEX(DarlOhneTilgung,16)=1,AND(INDEX(DarlTilgStart,16)&gt;0,$E7388&lt;INDEX(DarlTilgStart,16))),0,MIN(MAX(0,$K7388-$L7388),$J7388)))</f>
      </c>
      <c r="N7388" s="43">
        <f>IF($I7388=0,0,MIN(SUMIFS(SondBetrag,SondDarl,16,SondDatum,"&gt;="&amp;$E7388,SondDatum,"&lt;="&amp;EOMONTH($E7388,0)),$J7388-$M7388))</f>
      </c>
      <c r="O7388" s="43">
        <f>IF($I7388=0,0,INDEX(DarlErsatzRate,16))</f>
      </c>
      <c r="P7388" s="43">
        <f>IF($I7388=0,0,$Q7387*INDEX(DarlErsatzZins,16))</f>
      </c>
      <c r="Q7388" s="43">
        <f>IF($I7388=0,0,$Q7387+$P7388+$O7388)</f>
      </c>
      <c r="R7388" s="43">
        <f>IF($I7388=0,0,$J7388-$M7388-$N7388)</f>
      </c>
    </row>
    <row r="7389">
      <c r="A7389"/>
      <c r="B7389">
        <v>16</v>
      </c>
      <c r="C7389" s="43">
        <f>INDEX(DarlObj,16)</f>
      </c>
      <c r="D7389">
        <v>186</v>
      </c>
      <c r="E7389" s="51">
        <f>IF(INDEX(DarlBelegt,16)=0,0,EOMONTH(INDEX(DarlAuszahlung,16),185)+1)</f>
      </c>
      <c r="F7389" s="43">
        <f>IF($E7389=0,0,YEAR($E7389))</f>
      </c>
      <c r="G7389" s="43">
        <f>IF(INDEX(DarlBindung,16)="",1,IF($E7389&lt;=INDEX(DarlBindung,16),1,0))</f>
      </c>
      <c r="H7389" s="43">
        <f>IF($G7389=1,INDEX(DarlSollzins,16),INDEX(DarlAnschluss,16))</f>
      </c>
      <c r="I7389" s="43">
        <f>IF(INDEX(DarlBelegt,16)=0,0,IF(INDEX(DarlOhneTilgung,16)=1,IF(INDEX(DarlBindung,16)="",1,$G7389),IF($J7389&gt;0.005,1,0)))</f>
      </c>
      <c r="J7389" s="43">
        <f>IF($I7388=0,0,$R7388)</f>
      </c>
      <c r="K7389" s="43">
        <f>IF($I7389=0,0,IF(INDEX(DarlOhneTilgung,16)=1,0,IF(AND(INDEX(DarlTilgStart,16)&gt;0,$E7389=INDEX(DarlTilgStart,16)),$J7389*($H7389+INDEX(DarlTilgung,16))/100/12,IF(AND($G7389=0,$G7388=1),MAX($K7388,$J7389*($H7389+1)/100/12),$K7388))))</f>
      </c>
      <c r="L7389" s="43">
        <f>IF($I7389=0,0,$J7389*$H7389/100/12)</f>
      </c>
      <c r="M7389" s="43">
        <f>IF($I7389=0,0,IF(OR(INDEX(DarlOhneTilgung,16)=1,AND(INDEX(DarlTilgStart,16)&gt;0,$E7389&lt;INDEX(DarlTilgStart,16))),0,MIN(MAX(0,$K7389-$L7389),$J7389)))</f>
      </c>
      <c r="N7389" s="43">
        <f>IF($I7389=0,0,MIN(SUMIFS(SondBetrag,SondDarl,16,SondDatum,"&gt;="&amp;$E7389,SondDatum,"&lt;="&amp;EOMONTH($E7389,0)),$J7389-$M7389))</f>
      </c>
      <c r="O7389" s="43">
        <f>IF($I7389=0,0,INDEX(DarlErsatzRate,16))</f>
      </c>
      <c r="P7389" s="43">
        <f>IF($I7389=0,0,$Q7388*INDEX(DarlErsatzZins,16))</f>
      </c>
      <c r="Q7389" s="43">
        <f>IF($I7389=0,0,$Q7388+$P7389+$O7389)</f>
      </c>
      <c r="R7389" s="43">
        <f>IF($I7389=0,0,$J7389-$M7389-$N7389)</f>
      </c>
    </row>
    <row r="7390">
      <c r="A7390"/>
      <c r="B7390">
        <v>16</v>
      </c>
      <c r="C7390" s="43">
        <f>INDEX(DarlObj,16)</f>
      </c>
      <c r="D7390">
        <v>187</v>
      </c>
      <c r="E7390" s="51">
        <f>IF(INDEX(DarlBelegt,16)=0,0,EOMONTH(INDEX(DarlAuszahlung,16),186)+1)</f>
      </c>
      <c r="F7390" s="43">
        <f>IF($E7390=0,0,YEAR($E7390))</f>
      </c>
      <c r="G7390" s="43">
        <f>IF(INDEX(DarlBindung,16)="",1,IF($E7390&lt;=INDEX(DarlBindung,16),1,0))</f>
      </c>
      <c r="H7390" s="43">
        <f>IF($G7390=1,INDEX(DarlSollzins,16),INDEX(DarlAnschluss,16))</f>
      </c>
      <c r="I7390" s="43">
        <f>IF(INDEX(DarlBelegt,16)=0,0,IF(INDEX(DarlOhneTilgung,16)=1,IF(INDEX(DarlBindung,16)="",1,$G7390),IF($J7390&gt;0.005,1,0)))</f>
      </c>
      <c r="J7390" s="43">
        <f>IF($I7389=0,0,$R7389)</f>
      </c>
      <c r="K7390" s="43">
        <f>IF($I7390=0,0,IF(INDEX(DarlOhneTilgung,16)=1,0,IF(AND(INDEX(DarlTilgStart,16)&gt;0,$E7390=INDEX(DarlTilgStart,16)),$J7390*($H7390+INDEX(DarlTilgung,16))/100/12,IF(AND($G7390=0,$G7389=1),MAX($K7389,$J7390*($H7390+1)/100/12),$K7389))))</f>
      </c>
      <c r="L7390" s="43">
        <f>IF($I7390=0,0,$J7390*$H7390/100/12)</f>
      </c>
      <c r="M7390" s="43">
        <f>IF($I7390=0,0,IF(OR(INDEX(DarlOhneTilgung,16)=1,AND(INDEX(DarlTilgStart,16)&gt;0,$E7390&lt;INDEX(DarlTilgStart,16))),0,MIN(MAX(0,$K7390-$L7390),$J7390)))</f>
      </c>
      <c r="N7390" s="43">
        <f>IF($I7390=0,0,MIN(SUMIFS(SondBetrag,SondDarl,16,SondDatum,"&gt;="&amp;$E7390,SondDatum,"&lt;="&amp;EOMONTH($E7390,0)),$J7390-$M7390))</f>
      </c>
      <c r="O7390" s="43">
        <f>IF($I7390=0,0,INDEX(DarlErsatzRate,16))</f>
      </c>
      <c r="P7390" s="43">
        <f>IF($I7390=0,0,$Q7389*INDEX(DarlErsatzZins,16))</f>
      </c>
      <c r="Q7390" s="43">
        <f>IF($I7390=0,0,$Q7389+$P7390+$O7390)</f>
      </c>
      <c r="R7390" s="43">
        <f>IF($I7390=0,0,$J7390-$M7390-$N7390)</f>
      </c>
    </row>
    <row r="7391">
      <c r="A7391"/>
      <c r="B7391">
        <v>16</v>
      </c>
      <c r="C7391" s="43">
        <f>INDEX(DarlObj,16)</f>
      </c>
      <c r="D7391">
        <v>188</v>
      </c>
      <c r="E7391" s="51">
        <f>IF(INDEX(DarlBelegt,16)=0,0,EOMONTH(INDEX(DarlAuszahlung,16),187)+1)</f>
      </c>
      <c r="F7391" s="43">
        <f>IF($E7391=0,0,YEAR($E7391))</f>
      </c>
      <c r="G7391" s="43">
        <f>IF(INDEX(DarlBindung,16)="",1,IF($E7391&lt;=INDEX(DarlBindung,16),1,0))</f>
      </c>
      <c r="H7391" s="43">
        <f>IF($G7391=1,INDEX(DarlSollzins,16),INDEX(DarlAnschluss,16))</f>
      </c>
      <c r="I7391" s="43">
        <f>IF(INDEX(DarlBelegt,16)=0,0,IF(INDEX(DarlOhneTilgung,16)=1,IF(INDEX(DarlBindung,16)="",1,$G7391),IF($J7391&gt;0.005,1,0)))</f>
      </c>
      <c r="J7391" s="43">
        <f>IF($I7390=0,0,$R7390)</f>
      </c>
      <c r="K7391" s="43">
        <f>IF($I7391=0,0,IF(INDEX(DarlOhneTilgung,16)=1,0,IF(AND(INDEX(DarlTilgStart,16)&gt;0,$E7391=INDEX(DarlTilgStart,16)),$J7391*($H7391+INDEX(DarlTilgung,16))/100/12,IF(AND($G7391=0,$G7390=1),MAX($K7390,$J7391*($H7391+1)/100/12),$K7390))))</f>
      </c>
      <c r="L7391" s="43">
        <f>IF($I7391=0,0,$J7391*$H7391/100/12)</f>
      </c>
      <c r="M7391" s="43">
        <f>IF($I7391=0,0,IF(OR(INDEX(DarlOhneTilgung,16)=1,AND(INDEX(DarlTilgStart,16)&gt;0,$E7391&lt;INDEX(DarlTilgStart,16))),0,MIN(MAX(0,$K7391-$L7391),$J7391)))</f>
      </c>
      <c r="N7391" s="43">
        <f>IF($I7391=0,0,MIN(SUMIFS(SondBetrag,SondDarl,16,SondDatum,"&gt;="&amp;$E7391,SondDatum,"&lt;="&amp;EOMONTH($E7391,0)),$J7391-$M7391))</f>
      </c>
      <c r="O7391" s="43">
        <f>IF($I7391=0,0,INDEX(DarlErsatzRate,16))</f>
      </c>
      <c r="P7391" s="43">
        <f>IF($I7391=0,0,$Q7390*INDEX(DarlErsatzZins,16))</f>
      </c>
      <c r="Q7391" s="43">
        <f>IF($I7391=0,0,$Q7390+$P7391+$O7391)</f>
      </c>
      <c r="R7391" s="43">
        <f>IF($I7391=0,0,$J7391-$M7391-$N7391)</f>
      </c>
    </row>
    <row r="7392">
      <c r="A7392"/>
      <c r="B7392">
        <v>16</v>
      </c>
      <c r="C7392" s="43">
        <f>INDEX(DarlObj,16)</f>
      </c>
      <c r="D7392">
        <v>189</v>
      </c>
      <c r="E7392" s="51">
        <f>IF(INDEX(DarlBelegt,16)=0,0,EOMONTH(INDEX(DarlAuszahlung,16),188)+1)</f>
      </c>
      <c r="F7392" s="43">
        <f>IF($E7392=0,0,YEAR($E7392))</f>
      </c>
      <c r="G7392" s="43">
        <f>IF(INDEX(DarlBindung,16)="",1,IF($E7392&lt;=INDEX(DarlBindung,16),1,0))</f>
      </c>
      <c r="H7392" s="43">
        <f>IF($G7392=1,INDEX(DarlSollzins,16),INDEX(DarlAnschluss,16))</f>
      </c>
      <c r="I7392" s="43">
        <f>IF(INDEX(DarlBelegt,16)=0,0,IF(INDEX(DarlOhneTilgung,16)=1,IF(INDEX(DarlBindung,16)="",1,$G7392),IF($J7392&gt;0.005,1,0)))</f>
      </c>
      <c r="J7392" s="43">
        <f>IF($I7391=0,0,$R7391)</f>
      </c>
      <c r="K7392" s="43">
        <f>IF($I7392=0,0,IF(INDEX(DarlOhneTilgung,16)=1,0,IF(AND(INDEX(DarlTilgStart,16)&gt;0,$E7392=INDEX(DarlTilgStart,16)),$J7392*($H7392+INDEX(DarlTilgung,16))/100/12,IF(AND($G7392=0,$G7391=1),MAX($K7391,$J7392*($H7392+1)/100/12),$K7391))))</f>
      </c>
      <c r="L7392" s="43">
        <f>IF($I7392=0,0,$J7392*$H7392/100/12)</f>
      </c>
      <c r="M7392" s="43">
        <f>IF($I7392=0,0,IF(OR(INDEX(DarlOhneTilgung,16)=1,AND(INDEX(DarlTilgStart,16)&gt;0,$E7392&lt;INDEX(DarlTilgStart,16))),0,MIN(MAX(0,$K7392-$L7392),$J7392)))</f>
      </c>
      <c r="N7392" s="43">
        <f>IF($I7392=0,0,MIN(SUMIFS(SondBetrag,SondDarl,16,SondDatum,"&gt;="&amp;$E7392,SondDatum,"&lt;="&amp;EOMONTH($E7392,0)),$J7392-$M7392))</f>
      </c>
      <c r="O7392" s="43">
        <f>IF($I7392=0,0,INDEX(DarlErsatzRate,16))</f>
      </c>
      <c r="P7392" s="43">
        <f>IF($I7392=0,0,$Q7391*INDEX(DarlErsatzZins,16))</f>
      </c>
      <c r="Q7392" s="43">
        <f>IF($I7392=0,0,$Q7391+$P7392+$O7392)</f>
      </c>
      <c r="R7392" s="43">
        <f>IF($I7392=0,0,$J7392-$M7392-$N7392)</f>
      </c>
    </row>
    <row r="7393">
      <c r="A7393"/>
      <c r="B7393">
        <v>16</v>
      </c>
      <c r="C7393" s="43">
        <f>INDEX(DarlObj,16)</f>
      </c>
      <c r="D7393">
        <v>190</v>
      </c>
      <c r="E7393" s="51">
        <f>IF(INDEX(DarlBelegt,16)=0,0,EOMONTH(INDEX(DarlAuszahlung,16),189)+1)</f>
      </c>
      <c r="F7393" s="43">
        <f>IF($E7393=0,0,YEAR($E7393))</f>
      </c>
      <c r="G7393" s="43">
        <f>IF(INDEX(DarlBindung,16)="",1,IF($E7393&lt;=INDEX(DarlBindung,16),1,0))</f>
      </c>
      <c r="H7393" s="43">
        <f>IF($G7393=1,INDEX(DarlSollzins,16),INDEX(DarlAnschluss,16))</f>
      </c>
      <c r="I7393" s="43">
        <f>IF(INDEX(DarlBelegt,16)=0,0,IF(INDEX(DarlOhneTilgung,16)=1,IF(INDEX(DarlBindung,16)="",1,$G7393),IF($J7393&gt;0.005,1,0)))</f>
      </c>
      <c r="J7393" s="43">
        <f>IF($I7392=0,0,$R7392)</f>
      </c>
      <c r="K7393" s="43">
        <f>IF($I7393=0,0,IF(INDEX(DarlOhneTilgung,16)=1,0,IF(AND(INDEX(DarlTilgStart,16)&gt;0,$E7393=INDEX(DarlTilgStart,16)),$J7393*($H7393+INDEX(DarlTilgung,16))/100/12,IF(AND($G7393=0,$G7392=1),MAX($K7392,$J7393*($H7393+1)/100/12),$K7392))))</f>
      </c>
      <c r="L7393" s="43">
        <f>IF($I7393=0,0,$J7393*$H7393/100/12)</f>
      </c>
      <c r="M7393" s="43">
        <f>IF($I7393=0,0,IF(OR(INDEX(DarlOhneTilgung,16)=1,AND(INDEX(DarlTilgStart,16)&gt;0,$E7393&lt;INDEX(DarlTilgStart,16))),0,MIN(MAX(0,$K7393-$L7393),$J7393)))</f>
      </c>
      <c r="N7393" s="43">
        <f>IF($I7393=0,0,MIN(SUMIFS(SondBetrag,SondDarl,16,SondDatum,"&gt;="&amp;$E7393,SondDatum,"&lt;="&amp;EOMONTH($E7393,0)),$J7393-$M7393))</f>
      </c>
      <c r="O7393" s="43">
        <f>IF($I7393=0,0,INDEX(DarlErsatzRate,16))</f>
      </c>
      <c r="P7393" s="43">
        <f>IF($I7393=0,0,$Q7392*INDEX(DarlErsatzZins,16))</f>
      </c>
      <c r="Q7393" s="43">
        <f>IF($I7393=0,0,$Q7392+$P7393+$O7393)</f>
      </c>
      <c r="R7393" s="43">
        <f>IF($I7393=0,0,$J7393-$M7393-$N7393)</f>
      </c>
    </row>
    <row r="7394">
      <c r="A7394"/>
      <c r="B7394">
        <v>16</v>
      </c>
      <c r="C7394" s="43">
        <f>INDEX(DarlObj,16)</f>
      </c>
      <c r="D7394">
        <v>191</v>
      </c>
      <c r="E7394" s="51">
        <f>IF(INDEX(DarlBelegt,16)=0,0,EOMONTH(INDEX(DarlAuszahlung,16),190)+1)</f>
      </c>
      <c r="F7394" s="43">
        <f>IF($E7394=0,0,YEAR($E7394))</f>
      </c>
      <c r="G7394" s="43">
        <f>IF(INDEX(DarlBindung,16)="",1,IF($E7394&lt;=INDEX(DarlBindung,16),1,0))</f>
      </c>
      <c r="H7394" s="43">
        <f>IF($G7394=1,INDEX(DarlSollzins,16),INDEX(DarlAnschluss,16))</f>
      </c>
      <c r="I7394" s="43">
        <f>IF(INDEX(DarlBelegt,16)=0,0,IF(INDEX(DarlOhneTilgung,16)=1,IF(INDEX(DarlBindung,16)="",1,$G7394),IF($J7394&gt;0.005,1,0)))</f>
      </c>
      <c r="J7394" s="43">
        <f>IF($I7393=0,0,$R7393)</f>
      </c>
      <c r="K7394" s="43">
        <f>IF($I7394=0,0,IF(INDEX(DarlOhneTilgung,16)=1,0,IF(AND(INDEX(DarlTilgStart,16)&gt;0,$E7394=INDEX(DarlTilgStart,16)),$J7394*($H7394+INDEX(DarlTilgung,16))/100/12,IF(AND($G7394=0,$G7393=1),MAX($K7393,$J7394*($H7394+1)/100/12),$K7393))))</f>
      </c>
      <c r="L7394" s="43">
        <f>IF($I7394=0,0,$J7394*$H7394/100/12)</f>
      </c>
      <c r="M7394" s="43">
        <f>IF($I7394=0,0,IF(OR(INDEX(DarlOhneTilgung,16)=1,AND(INDEX(DarlTilgStart,16)&gt;0,$E7394&lt;INDEX(DarlTilgStart,16))),0,MIN(MAX(0,$K7394-$L7394),$J7394)))</f>
      </c>
      <c r="N7394" s="43">
        <f>IF($I7394=0,0,MIN(SUMIFS(SondBetrag,SondDarl,16,SondDatum,"&gt;="&amp;$E7394,SondDatum,"&lt;="&amp;EOMONTH($E7394,0)),$J7394-$M7394))</f>
      </c>
      <c r="O7394" s="43">
        <f>IF($I7394=0,0,INDEX(DarlErsatzRate,16))</f>
      </c>
      <c r="P7394" s="43">
        <f>IF($I7394=0,0,$Q7393*INDEX(DarlErsatzZins,16))</f>
      </c>
      <c r="Q7394" s="43">
        <f>IF($I7394=0,0,$Q7393+$P7394+$O7394)</f>
      </c>
      <c r="R7394" s="43">
        <f>IF($I7394=0,0,$J7394-$M7394-$N7394)</f>
      </c>
    </row>
    <row r="7395">
      <c r="A7395"/>
      <c r="B7395">
        <v>16</v>
      </c>
      <c r="C7395" s="43">
        <f>INDEX(DarlObj,16)</f>
      </c>
      <c r="D7395">
        <v>192</v>
      </c>
      <c r="E7395" s="51">
        <f>IF(INDEX(DarlBelegt,16)=0,0,EOMONTH(INDEX(DarlAuszahlung,16),191)+1)</f>
      </c>
      <c r="F7395" s="43">
        <f>IF($E7395=0,0,YEAR($E7395))</f>
      </c>
      <c r="G7395" s="43">
        <f>IF(INDEX(DarlBindung,16)="",1,IF($E7395&lt;=INDEX(DarlBindung,16),1,0))</f>
      </c>
      <c r="H7395" s="43">
        <f>IF($G7395=1,INDEX(DarlSollzins,16),INDEX(DarlAnschluss,16))</f>
      </c>
      <c r="I7395" s="43">
        <f>IF(INDEX(DarlBelegt,16)=0,0,IF(INDEX(DarlOhneTilgung,16)=1,IF(INDEX(DarlBindung,16)="",1,$G7395),IF($J7395&gt;0.005,1,0)))</f>
      </c>
      <c r="J7395" s="43">
        <f>IF($I7394=0,0,$R7394)</f>
      </c>
      <c r="K7395" s="43">
        <f>IF($I7395=0,0,IF(INDEX(DarlOhneTilgung,16)=1,0,IF(AND(INDEX(DarlTilgStart,16)&gt;0,$E7395=INDEX(DarlTilgStart,16)),$J7395*($H7395+INDEX(DarlTilgung,16))/100/12,IF(AND($G7395=0,$G7394=1),MAX($K7394,$J7395*($H7395+1)/100/12),$K7394))))</f>
      </c>
      <c r="L7395" s="43">
        <f>IF($I7395=0,0,$J7395*$H7395/100/12)</f>
      </c>
      <c r="M7395" s="43">
        <f>IF($I7395=0,0,IF(OR(INDEX(DarlOhneTilgung,16)=1,AND(INDEX(DarlTilgStart,16)&gt;0,$E7395&lt;INDEX(DarlTilgStart,16))),0,MIN(MAX(0,$K7395-$L7395),$J7395)))</f>
      </c>
      <c r="N7395" s="43">
        <f>IF($I7395=0,0,MIN(SUMIFS(SondBetrag,SondDarl,16,SondDatum,"&gt;="&amp;$E7395,SondDatum,"&lt;="&amp;EOMONTH($E7395,0)),$J7395-$M7395))</f>
      </c>
      <c r="O7395" s="43">
        <f>IF($I7395=0,0,INDEX(DarlErsatzRate,16))</f>
      </c>
      <c r="P7395" s="43">
        <f>IF($I7395=0,0,$Q7394*INDEX(DarlErsatzZins,16))</f>
      </c>
      <c r="Q7395" s="43">
        <f>IF($I7395=0,0,$Q7394+$P7395+$O7395)</f>
      </c>
      <c r="R7395" s="43">
        <f>IF($I7395=0,0,$J7395-$M7395-$N7395)</f>
      </c>
    </row>
    <row r="7396">
      <c r="A7396"/>
      <c r="B7396">
        <v>16</v>
      </c>
      <c r="C7396" s="43">
        <f>INDEX(DarlObj,16)</f>
      </c>
      <c r="D7396">
        <v>193</v>
      </c>
      <c r="E7396" s="51">
        <f>IF(INDEX(DarlBelegt,16)=0,0,EOMONTH(INDEX(DarlAuszahlung,16),192)+1)</f>
      </c>
      <c r="F7396" s="43">
        <f>IF($E7396=0,0,YEAR($E7396))</f>
      </c>
      <c r="G7396" s="43">
        <f>IF(INDEX(DarlBindung,16)="",1,IF($E7396&lt;=INDEX(DarlBindung,16),1,0))</f>
      </c>
      <c r="H7396" s="43">
        <f>IF($G7396=1,INDEX(DarlSollzins,16),INDEX(DarlAnschluss,16))</f>
      </c>
      <c r="I7396" s="43">
        <f>IF(INDEX(DarlBelegt,16)=0,0,IF(INDEX(DarlOhneTilgung,16)=1,IF(INDEX(DarlBindung,16)="",1,$G7396),IF($J7396&gt;0.005,1,0)))</f>
      </c>
      <c r="J7396" s="43">
        <f>IF($I7395=0,0,$R7395)</f>
      </c>
      <c r="K7396" s="43">
        <f>IF($I7396=0,0,IF(INDEX(DarlOhneTilgung,16)=1,0,IF(AND(INDEX(DarlTilgStart,16)&gt;0,$E7396=INDEX(DarlTilgStart,16)),$J7396*($H7396+INDEX(DarlTilgung,16))/100/12,IF(AND($G7396=0,$G7395=1),MAX($K7395,$J7396*($H7396+1)/100/12),$K7395))))</f>
      </c>
      <c r="L7396" s="43">
        <f>IF($I7396=0,0,$J7396*$H7396/100/12)</f>
      </c>
      <c r="M7396" s="43">
        <f>IF($I7396=0,0,IF(OR(INDEX(DarlOhneTilgung,16)=1,AND(INDEX(DarlTilgStart,16)&gt;0,$E7396&lt;INDEX(DarlTilgStart,16))),0,MIN(MAX(0,$K7396-$L7396),$J7396)))</f>
      </c>
      <c r="N7396" s="43">
        <f>IF($I7396=0,0,MIN(SUMIFS(SondBetrag,SondDarl,16,SondDatum,"&gt;="&amp;$E7396,SondDatum,"&lt;="&amp;EOMONTH($E7396,0)),$J7396-$M7396))</f>
      </c>
      <c r="O7396" s="43">
        <f>IF($I7396=0,0,INDEX(DarlErsatzRate,16))</f>
      </c>
      <c r="P7396" s="43">
        <f>IF($I7396=0,0,$Q7395*INDEX(DarlErsatzZins,16))</f>
      </c>
      <c r="Q7396" s="43">
        <f>IF($I7396=0,0,$Q7395+$P7396+$O7396)</f>
      </c>
      <c r="R7396" s="43">
        <f>IF($I7396=0,0,$J7396-$M7396-$N7396)</f>
      </c>
    </row>
    <row r="7397">
      <c r="A7397"/>
      <c r="B7397">
        <v>16</v>
      </c>
      <c r="C7397" s="43">
        <f>INDEX(DarlObj,16)</f>
      </c>
      <c r="D7397">
        <v>194</v>
      </c>
      <c r="E7397" s="51">
        <f>IF(INDEX(DarlBelegt,16)=0,0,EOMONTH(INDEX(DarlAuszahlung,16),193)+1)</f>
      </c>
      <c r="F7397" s="43">
        <f>IF($E7397=0,0,YEAR($E7397))</f>
      </c>
      <c r="G7397" s="43">
        <f>IF(INDEX(DarlBindung,16)="",1,IF($E7397&lt;=INDEX(DarlBindung,16),1,0))</f>
      </c>
      <c r="H7397" s="43">
        <f>IF($G7397=1,INDEX(DarlSollzins,16),INDEX(DarlAnschluss,16))</f>
      </c>
      <c r="I7397" s="43">
        <f>IF(INDEX(DarlBelegt,16)=0,0,IF(INDEX(DarlOhneTilgung,16)=1,IF(INDEX(DarlBindung,16)="",1,$G7397),IF($J7397&gt;0.005,1,0)))</f>
      </c>
      <c r="J7397" s="43">
        <f>IF($I7396=0,0,$R7396)</f>
      </c>
      <c r="K7397" s="43">
        <f>IF($I7397=0,0,IF(INDEX(DarlOhneTilgung,16)=1,0,IF(AND(INDEX(DarlTilgStart,16)&gt;0,$E7397=INDEX(DarlTilgStart,16)),$J7397*($H7397+INDEX(DarlTilgung,16))/100/12,IF(AND($G7397=0,$G7396=1),MAX($K7396,$J7397*($H7397+1)/100/12),$K7396))))</f>
      </c>
      <c r="L7397" s="43">
        <f>IF($I7397=0,0,$J7397*$H7397/100/12)</f>
      </c>
      <c r="M7397" s="43">
        <f>IF($I7397=0,0,IF(OR(INDEX(DarlOhneTilgung,16)=1,AND(INDEX(DarlTilgStart,16)&gt;0,$E7397&lt;INDEX(DarlTilgStart,16))),0,MIN(MAX(0,$K7397-$L7397),$J7397)))</f>
      </c>
      <c r="N7397" s="43">
        <f>IF($I7397=0,0,MIN(SUMIFS(SondBetrag,SondDarl,16,SondDatum,"&gt;="&amp;$E7397,SondDatum,"&lt;="&amp;EOMONTH($E7397,0)),$J7397-$M7397))</f>
      </c>
      <c r="O7397" s="43">
        <f>IF($I7397=0,0,INDEX(DarlErsatzRate,16))</f>
      </c>
      <c r="P7397" s="43">
        <f>IF($I7397=0,0,$Q7396*INDEX(DarlErsatzZins,16))</f>
      </c>
      <c r="Q7397" s="43">
        <f>IF($I7397=0,0,$Q7396+$P7397+$O7397)</f>
      </c>
      <c r="R7397" s="43">
        <f>IF($I7397=0,0,$J7397-$M7397-$N7397)</f>
      </c>
    </row>
    <row r="7398">
      <c r="A7398"/>
      <c r="B7398">
        <v>16</v>
      </c>
      <c r="C7398" s="43">
        <f>INDEX(DarlObj,16)</f>
      </c>
      <c r="D7398">
        <v>195</v>
      </c>
      <c r="E7398" s="51">
        <f>IF(INDEX(DarlBelegt,16)=0,0,EOMONTH(INDEX(DarlAuszahlung,16),194)+1)</f>
      </c>
      <c r="F7398" s="43">
        <f>IF($E7398=0,0,YEAR($E7398))</f>
      </c>
      <c r="G7398" s="43">
        <f>IF(INDEX(DarlBindung,16)="",1,IF($E7398&lt;=INDEX(DarlBindung,16),1,0))</f>
      </c>
      <c r="H7398" s="43">
        <f>IF($G7398=1,INDEX(DarlSollzins,16),INDEX(DarlAnschluss,16))</f>
      </c>
      <c r="I7398" s="43">
        <f>IF(INDEX(DarlBelegt,16)=0,0,IF(INDEX(DarlOhneTilgung,16)=1,IF(INDEX(DarlBindung,16)="",1,$G7398),IF($J7398&gt;0.005,1,0)))</f>
      </c>
      <c r="J7398" s="43">
        <f>IF($I7397=0,0,$R7397)</f>
      </c>
      <c r="K7398" s="43">
        <f>IF($I7398=0,0,IF(INDEX(DarlOhneTilgung,16)=1,0,IF(AND(INDEX(DarlTilgStart,16)&gt;0,$E7398=INDEX(DarlTilgStart,16)),$J7398*($H7398+INDEX(DarlTilgung,16))/100/12,IF(AND($G7398=0,$G7397=1),MAX($K7397,$J7398*($H7398+1)/100/12),$K7397))))</f>
      </c>
      <c r="L7398" s="43">
        <f>IF($I7398=0,0,$J7398*$H7398/100/12)</f>
      </c>
      <c r="M7398" s="43">
        <f>IF($I7398=0,0,IF(OR(INDEX(DarlOhneTilgung,16)=1,AND(INDEX(DarlTilgStart,16)&gt;0,$E7398&lt;INDEX(DarlTilgStart,16))),0,MIN(MAX(0,$K7398-$L7398),$J7398)))</f>
      </c>
      <c r="N7398" s="43">
        <f>IF($I7398=0,0,MIN(SUMIFS(SondBetrag,SondDarl,16,SondDatum,"&gt;="&amp;$E7398,SondDatum,"&lt;="&amp;EOMONTH($E7398,0)),$J7398-$M7398))</f>
      </c>
      <c r="O7398" s="43">
        <f>IF($I7398=0,0,INDEX(DarlErsatzRate,16))</f>
      </c>
      <c r="P7398" s="43">
        <f>IF($I7398=0,0,$Q7397*INDEX(DarlErsatzZins,16))</f>
      </c>
      <c r="Q7398" s="43">
        <f>IF($I7398=0,0,$Q7397+$P7398+$O7398)</f>
      </c>
      <c r="R7398" s="43">
        <f>IF($I7398=0,0,$J7398-$M7398-$N7398)</f>
      </c>
    </row>
    <row r="7399">
      <c r="A7399"/>
      <c r="B7399">
        <v>16</v>
      </c>
      <c r="C7399" s="43">
        <f>INDEX(DarlObj,16)</f>
      </c>
      <c r="D7399">
        <v>196</v>
      </c>
      <c r="E7399" s="51">
        <f>IF(INDEX(DarlBelegt,16)=0,0,EOMONTH(INDEX(DarlAuszahlung,16),195)+1)</f>
      </c>
      <c r="F7399" s="43">
        <f>IF($E7399=0,0,YEAR($E7399))</f>
      </c>
      <c r="G7399" s="43">
        <f>IF(INDEX(DarlBindung,16)="",1,IF($E7399&lt;=INDEX(DarlBindung,16),1,0))</f>
      </c>
      <c r="H7399" s="43">
        <f>IF($G7399=1,INDEX(DarlSollzins,16),INDEX(DarlAnschluss,16))</f>
      </c>
      <c r="I7399" s="43">
        <f>IF(INDEX(DarlBelegt,16)=0,0,IF(INDEX(DarlOhneTilgung,16)=1,IF(INDEX(DarlBindung,16)="",1,$G7399),IF($J7399&gt;0.005,1,0)))</f>
      </c>
      <c r="J7399" s="43">
        <f>IF($I7398=0,0,$R7398)</f>
      </c>
      <c r="K7399" s="43">
        <f>IF($I7399=0,0,IF(INDEX(DarlOhneTilgung,16)=1,0,IF(AND(INDEX(DarlTilgStart,16)&gt;0,$E7399=INDEX(DarlTilgStart,16)),$J7399*($H7399+INDEX(DarlTilgung,16))/100/12,IF(AND($G7399=0,$G7398=1),MAX($K7398,$J7399*($H7399+1)/100/12),$K7398))))</f>
      </c>
      <c r="L7399" s="43">
        <f>IF($I7399=0,0,$J7399*$H7399/100/12)</f>
      </c>
      <c r="M7399" s="43">
        <f>IF($I7399=0,0,IF(OR(INDEX(DarlOhneTilgung,16)=1,AND(INDEX(DarlTilgStart,16)&gt;0,$E7399&lt;INDEX(DarlTilgStart,16))),0,MIN(MAX(0,$K7399-$L7399),$J7399)))</f>
      </c>
      <c r="N7399" s="43">
        <f>IF($I7399=0,0,MIN(SUMIFS(SondBetrag,SondDarl,16,SondDatum,"&gt;="&amp;$E7399,SondDatum,"&lt;="&amp;EOMONTH($E7399,0)),$J7399-$M7399))</f>
      </c>
      <c r="O7399" s="43">
        <f>IF($I7399=0,0,INDEX(DarlErsatzRate,16))</f>
      </c>
      <c r="P7399" s="43">
        <f>IF($I7399=0,0,$Q7398*INDEX(DarlErsatzZins,16))</f>
      </c>
      <c r="Q7399" s="43">
        <f>IF($I7399=0,0,$Q7398+$P7399+$O7399)</f>
      </c>
      <c r="R7399" s="43">
        <f>IF($I7399=0,0,$J7399-$M7399-$N7399)</f>
      </c>
    </row>
    <row r="7400">
      <c r="A7400"/>
      <c r="B7400">
        <v>16</v>
      </c>
      <c r="C7400" s="43">
        <f>INDEX(DarlObj,16)</f>
      </c>
      <c r="D7400">
        <v>197</v>
      </c>
      <c r="E7400" s="51">
        <f>IF(INDEX(DarlBelegt,16)=0,0,EOMONTH(INDEX(DarlAuszahlung,16),196)+1)</f>
      </c>
      <c r="F7400" s="43">
        <f>IF($E7400=0,0,YEAR($E7400))</f>
      </c>
      <c r="G7400" s="43">
        <f>IF(INDEX(DarlBindung,16)="",1,IF($E7400&lt;=INDEX(DarlBindung,16),1,0))</f>
      </c>
      <c r="H7400" s="43">
        <f>IF($G7400=1,INDEX(DarlSollzins,16),INDEX(DarlAnschluss,16))</f>
      </c>
      <c r="I7400" s="43">
        <f>IF(INDEX(DarlBelegt,16)=0,0,IF(INDEX(DarlOhneTilgung,16)=1,IF(INDEX(DarlBindung,16)="",1,$G7400),IF($J7400&gt;0.005,1,0)))</f>
      </c>
      <c r="J7400" s="43">
        <f>IF($I7399=0,0,$R7399)</f>
      </c>
      <c r="K7400" s="43">
        <f>IF($I7400=0,0,IF(INDEX(DarlOhneTilgung,16)=1,0,IF(AND(INDEX(DarlTilgStart,16)&gt;0,$E7400=INDEX(DarlTilgStart,16)),$J7400*($H7400+INDEX(DarlTilgung,16))/100/12,IF(AND($G7400=0,$G7399=1),MAX($K7399,$J7400*($H7400+1)/100/12),$K7399))))</f>
      </c>
      <c r="L7400" s="43">
        <f>IF($I7400=0,0,$J7400*$H7400/100/12)</f>
      </c>
      <c r="M7400" s="43">
        <f>IF($I7400=0,0,IF(OR(INDEX(DarlOhneTilgung,16)=1,AND(INDEX(DarlTilgStart,16)&gt;0,$E7400&lt;INDEX(DarlTilgStart,16))),0,MIN(MAX(0,$K7400-$L7400),$J7400)))</f>
      </c>
      <c r="N7400" s="43">
        <f>IF($I7400=0,0,MIN(SUMIFS(SondBetrag,SondDarl,16,SondDatum,"&gt;="&amp;$E7400,SondDatum,"&lt;="&amp;EOMONTH($E7400,0)),$J7400-$M7400))</f>
      </c>
      <c r="O7400" s="43">
        <f>IF($I7400=0,0,INDEX(DarlErsatzRate,16))</f>
      </c>
      <c r="P7400" s="43">
        <f>IF($I7400=0,0,$Q7399*INDEX(DarlErsatzZins,16))</f>
      </c>
      <c r="Q7400" s="43">
        <f>IF($I7400=0,0,$Q7399+$P7400+$O7400)</f>
      </c>
      <c r="R7400" s="43">
        <f>IF($I7400=0,0,$J7400-$M7400-$N7400)</f>
      </c>
    </row>
    <row r="7401">
      <c r="A7401"/>
      <c r="B7401">
        <v>16</v>
      </c>
      <c r="C7401" s="43">
        <f>INDEX(DarlObj,16)</f>
      </c>
      <c r="D7401">
        <v>198</v>
      </c>
      <c r="E7401" s="51">
        <f>IF(INDEX(DarlBelegt,16)=0,0,EOMONTH(INDEX(DarlAuszahlung,16),197)+1)</f>
      </c>
      <c r="F7401" s="43">
        <f>IF($E7401=0,0,YEAR($E7401))</f>
      </c>
      <c r="G7401" s="43">
        <f>IF(INDEX(DarlBindung,16)="",1,IF($E7401&lt;=INDEX(DarlBindung,16),1,0))</f>
      </c>
      <c r="H7401" s="43">
        <f>IF($G7401=1,INDEX(DarlSollzins,16),INDEX(DarlAnschluss,16))</f>
      </c>
      <c r="I7401" s="43">
        <f>IF(INDEX(DarlBelegt,16)=0,0,IF(INDEX(DarlOhneTilgung,16)=1,IF(INDEX(DarlBindung,16)="",1,$G7401),IF($J7401&gt;0.005,1,0)))</f>
      </c>
      <c r="J7401" s="43">
        <f>IF($I7400=0,0,$R7400)</f>
      </c>
      <c r="K7401" s="43">
        <f>IF($I7401=0,0,IF(INDEX(DarlOhneTilgung,16)=1,0,IF(AND(INDEX(DarlTilgStart,16)&gt;0,$E7401=INDEX(DarlTilgStart,16)),$J7401*($H7401+INDEX(DarlTilgung,16))/100/12,IF(AND($G7401=0,$G7400=1),MAX($K7400,$J7401*($H7401+1)/100/12),$K7400))))</f>
      </c>
      <c r="L7401" s="43">
        <f>IF($I7401=0,0,$J7401*$H7401/100/12)</f>
      </c>
      <c r="M7401" s="43">
        <f>IF($I7401=0,0,IF(OR(INDEX(DarlOhneTilgung,16)=1,AND(INDEX(DarlTilgStart,16)&gt;0,$E7401&lt;INDEX(DarlTilgStart,16))),0,MIN(MAX(0,$K7401-$L7401),$J7401)))</f>
      </c>
      <c r="N7401" s="43">
        <f>IF($I7401=0,0,MIN(SUMIFS(SondBetrag,SondDarl,16,SondDatum,"&gt;="&amp;$E7401,SondDatum,"&lt;="&amp;EOMONTH($E7401,0)),$J7401-$M7401))</f>
      </c>
      <c r="O7401" s="43">
        <f>IF($I7401=0,0,INDEX(DarlErsatzRate,16))</f>
      </c>
      <c r="P7401" s="43">
        <f>IF($I7401=0,0,$Q7400*INDEX(DarlErsatzZins,16))</f>
      </c>
      <c r="Q7401" s="43">
        <f>IF($I7401=0,0,$Q7400+$P7401+$O7401)</f>
      </c>
      <c r="R7401" s="43">
        <f>IF($I7401=0,0,$J7401-$M7401-$N7401)</f>
      </c>
    </row>
    <row r="7402">
      <c r="A7402"/>
      <c r="B7402">
        <v>16</v>
      </c>
      <c r="C7402" s="43">
        <f>INDEX(DarlObj,16)</f>
      </c>
      <c r="D7402">
        <v>199</v>
      </c>
      <c r="E7402" s="51">
        <f>IF(INDEX(DarlBelegt,16)=0,0,EOMONTH(INDEX(DarlAuszahlung,16),198)+1)</f>
      </c>
      <c r="F7402" s="43">
        <f>IF($E7402=0,0,YEAR($E7402))</f>
      </c>
      <c r="G7402" s="43">
        <f>IF(INDEX(DarlBindung,16)="",1,IF($E7402&lt;=INDEX(DarlBindung,16),1,0))</f>
      </c>
      <c r="H7402" s="43">
        <f>IF($G7402=1,INDEX(DarlSollzins,16),INDEX(DarlAnschluss,16))</f>
      </c>
      <c r="I7402" s="43">
        <f>IF(INDEX(DarlBelegt,16)=0,0,IF(INDEX(DarlOhneTilgung,16)=1,IF(INDEX(DarlBindung,16)="",1,$G7402),IF($J7402&gt;0.005,1,0)))</f>
      </c>
      <c r="J7402" s="43">
        <f>IF($I7401=0,0,$R7401)</f>
      </c>
      <c r="K7402" s="43">
        <f>IF($I7402=0,0,IF(INDEX(DarlOhneTilgung,16)=1,0,IF(AND(INDEX(DarlTilgStart,16)&gt;0,$E7402=INDEX(DarlTilgStart,16)),$J7402*($H7402+INDEX(DarlTilgung,16))/100/12,IF(AND($G7402=0,$G7401=1),MAX($K7401,$J7402*($H7402+1)/100/12),$K7401))))</f>
      </c>
      <c r="L7402" s="43">
        <f>IF($I7402=0,0,$J7402*$H7402/100/12)</f>
      </c>
      <c r="M7402" s="43">
        <f>IF($I7402=0,0,IF(OR(INDEX(DarlOhneTilgung,16)=1,AND(INDEX(DarlTilgStart,16)&gt;0,$E7402&lt;INDEX(DarlTilgStart,16))),0,MIN(MAX(0,$K7402-$L7402),$J7402)))</f>
      </c>
      <c r="N7402" s="43">
        <f>IF($I7402=0,0,MIN(SUMIFS(SondBetrag,SondDarl,16,SondDatum,"&gt;="&amp;$E7402,SondDatum,"&lt;="&amp;EOMONTH($E7402,0)),$J7402-$M7402))</f>
      </c>
      <c r="O7402" s="43">
        <f>IF($I7402=0,0,INDEX(DarlErsatzRate,16))</f>
      </c>
      <c r="P7402" s="43">
        <f>IF($I7402=0,0,$Q7401*INDEX(DarlErsatzZins,16))</f>
      </c>
      <c r="Q7402" s="43">
        <f>IF($I7402=0,0,$Q7401+$P7402+$O7402)</f>
      </c>
      <c r="R7402" s="43">
        <f>IF($I7402=0,0,$J7402-$M7402-$N7402)</f>
      </c>
    </row>
    <row r="7403">
      <c r="A7403"/>
      <c r="B7403">
        <v>16</v>
      </c>
      <c r="C7403" s="43">
        <f>INDEX(DarlObj,16)</f>
      </c>
      <c r="D7403">
        <v>200</v>
      </c>
      <c r="E7403" s="51">
        <f>IF(INDEX(DarlBelegt,16)=0,0,EOMONTH(INDEX(DarlAuszahlung,16),199)+1)</f>
      </c>
      <c r="F7403" s="43">
        <f>IF($E7403=0,0,YEAR($E7403))</f>
      </c>
      <c r="G7403" s="43">
        <f>IF(INDEX(DarlBindung,16)="",1,IF($E7403&lt;=INDEX(DarlBindung,16),1,0))</f>
      </c>
      <c r="H7403" s="43">
        <f>IF($G7403=1,INDEX(DarlSollzins,16),INDEX(DarlAnschluss,16))</f>
      </c>
      <c r="I7403" s="43">
        <f>IF(INDEX(DarlBelegt,16)=0,0,IF(INDEX(DarlOhneTilgung,16)=1,IF(INDEX(DarlBindung,16)="",1,$G7403),IF($J7403&gt;0.005,1,0)))</f>
      </c>
      <c r="J7403" s="43">
        <f>IF($I7402=0,0,$R7402)</f>
      </c>
      <c r="K7403" s="43">
        <f>IF($I7403=0,0,IF(INDEX(DarlOhneTilgung,16)=1,0,IF(AND(INDEX(DarlTilgStart,16)&gt;0,$E7403=INDEX(DarlTilgStart,16)),$J7403*($H7403+INDEX(DarlTilgung,16))/100/12,IF(AND($G7403=0,$G7402=1),MAX($K7402,$J7403*($H7403+1)/100/12),$K7402))))</f>
      </c>
      <c r="L7403" s="43">
        <f>IF($I7403=0,0,$J7403*$H7403/100/12)</f>
      </c>
      <c r="M7403" s="43">
        <f>IF($I7403=0,0,IF(OR(INDEX(DarlOhneTilgung,16)=1,AND(INDEX(DarlTilgStart,16)&gt;0,$E7403&lt;INDEX(DarlTilgStart,16))),0,MIN(MAX(0,$K7403-$L7403),$J7403)))</f>
      </c>
      <c r="N7403" s="43">
        <f>IF($I7403=0,0,MIN(SUMIFS(SondBetrag,SondDarl,16,SondDatum,"&gt;="&amp;$E7403,SondDatum,"&lt;="&amp;EOMONTH($E7403,0)),$J7403-$M7403))</f>
      </c>
      <c r="O7403" s="43">
        <f>IF($I7403=0,0,INDEX(DarlErsatzRate,16))</f>
      </c>
      <c r="P7403" s="43">
        <f>IF($I7403=0,0,$Q7402*INDEX(DarlErsatzZins,16))</f>
      </c>
      <c r="Q7403" s="43">
        <f>IF($I7403=0,0,$Q7402+$P7403+$O7403)</f>
      </c>
      <c r="R7403" s="43">
        <f>IF($I7403=0,0,$J7403-$M7403-$N7403)</f>
      </c>
    </row>
    <row r="7404">
      <c r="A7404"/>
      <c r="B7404">
        <v>16</v>
      </c>
      <c r="C7404" s="43">
        <f>INDEX(DarlObj,16)</f>
      </c>
      <c r="D7404">
        <v>201</v>
      </c>
      <c r="E7404" s="51">
        <f>IF(INDEX(DarlBelegt,16)=0,0,EOMONTH(INDEX(DarlAuszahlung,16),200)+1)</f>
      </c>
      <c r="F7404" s="43">
        <f>IF($E7404=0,0,YEAR($E7404))</f>
      </c>
      <c r="G7404" s="43">
        <f>IF(INDEX(DarlBindung,16)="",1,IF($E7404&lt;=INDEX(DarlBindung,16),1,0))</f>
      </c>
      <c r="H7404" s="43">
        <f>IF($G7404=1,INDEX(DarlSollzins,16),INDEX(DarlAnschluss,16))</f>
      </c>
      <c r="I7404" s="43">
        <f>IF(INDEX(DarlBelegt,16)=0,0,IF(INDEX(DarlOhneTilgung,16)=1,IF(INDEX(DarlBindung,16)="",1,$G7404),IF($J7404&gt;0.005,1,0)))</f>
      </c>
      <c r="J7404" s="43">
        <f>IF($I7403=0,0,$R7403)</f>
      </c>
      <c r="K7404" s="43">
        <f>IF($I7404=0,0,IF(INDEX(DarlOhneTilgung,16)=1,0,IF(AND(INDEX(DarlTilgStart,16)&gt;0,$E7404=INDEX(DarlTilgStart,16)),$J7404*($H7404+INDEX(DarlTilgung,16))/100/12,IF(AND($G7404=0,$G7403=1),MAX($K7403,$J7404*($H7404+1)/100/12),$K7403))))</f>
      </c>
      <c r="L7404" s="43">
        <f>IF($I7404=0,0,$J7404*$H7404/100/12)</f>
      </c>
      <c r="M7404" s="43">
        <f>IF($I7404=0,0,IF(OR(INDEX(DarlOhneTilgung,16)=1,AND(INDEX(DarlTilgStart,16)&gt;0,$E7404&lt;INDEX(DarlTilgStart,16))),0,MIN(MAX(0,$K7404-$L7404),$J7404)))</f>
      </c>
      <c r="N7404" s="43">
        <f>IF($I7404=0,0,MIN(SUMIFS(SondBetrag,SondDarl,16,SondDatum,"&gt;="&amp;$E7404,SondDatum,"&lt;="&amp;EOMONTH($E7404,0)),$J7404-$M7404))</f>
      </c>
      <c r="O7404" s="43">
        <f>IF($I7404=0,0,INDEX(DarlErsatzRate,16))</f>
      </c>
      <c r="P7404" s="43">
        <f>IF($I7404=0,0,$Q7403*INDEX(DarlErsatzZins,16))</f>
      </c>
      <c r="Q7404" s="43">
        <f>IF($I7404=0,0,$Q7403+$P7404+$O7404)</f>
      </c>
      <c r="R7404" s="43">
        <f>IF($I7404=0,0,$J7404-$M7404-$N7404)</f>
      </c>
    </row>
    <row r="7405">
      <c r="A7405"/>
      <c r="B7405">
        <v>16</v>
      </c>
      <c r="C7405" s="43">
        <f>INDEX(DarlObj,16)</f>
      </c>
      <c r="D7405">
        <v>202</v>
      </c>
      <c r="E7405" s="51">
        <f>IF(INDEX(DarlBelegt,16)=0,0,EOMONTH(INDEX(DarlAuszahlung,16),201)+1)</f>
      </c>
      <c r="F7405" s="43">
        <f>IF($E7405=0,0,YEAR($E7405))</f>
      </c>
      <c r="G7405" s="43">
        <f>IF(INDEX(DarlBindung,16)="",1,IF($E7405&lt;=INDEX(DarlBindung,16),1,0))</f>
      </c>
      <c r="H7405" s="43">
        <f>IF($G7405=1,INDEX(DarlSollzins,16),INDEX(DarlAnschluss,16))</f>
      </c>
      <c r="I7405" s="43">
        <f>IF(INDEX(DarlBelegt,16)=0,0,IF(INDEX(DarlOhneTilgung,16)=1,IF(INDEX(DarlBindung,16)="",1,$G7405),IF($J7405&gt;0.005,1,0)))</f>
      </c>
      <c r="J7405" s="43">
        <f>IF($I7404=0,0,$R7404)</f>
      </c>
      <c r="K7405" s="43">
        <f>IF($I7405=0,0,IF(INDEX(DarlOhneTilgung,16)=1,0,IF(AND(INDEX(DarlTilgStart,16)&gt;0,$E7405=INDEX(DarlTilgStart,16)),$J7405*($H7405+INDEX(DarlTilgung,16))/100/12,IF(AND($G7405=0,$G7404=1),MAX($K7404,$J7405*($H7405+1)/100/12),$K7404))))</f>
      </c>
      <c r="L7405" s="43">
        <f>IF($I7405=0,0,$J7405*$H7405/100/12)</f>
      </c>
      <c r="M7405" s="43">
        <f>IF($I7405=0,0,IF(OR(INDEX(DarlOhneTilgung,16)=1,AND(INDEX(DarlTilgStart,16)&gt;0,$E7405&lt;INDEX(DarlTilgStart,16))),0,MIN(MAX(0,$K7405-$L7405),$J7405)))</f>
      </c>
      <c r="N7405" s="43">
        <f>IF($I7405=0,0,MIN(SUMIFS(SondBetrag,SondDarl,16,SondDatum,"&gt;="&amp;$E7405,SondDatum,"&lt;="&amp;EOMONTH($E7405,0)),$J7405-$M7405))</f>
      </c>
      <c r="O7405" s="43">
        <f>IF($I7405=0,0,INDEX(DarlErsatzRate,16))</f>
      </c>
      <c r="P7405" s="43">
        <f>IF($I7405=0,0,$Q7404*INDEX(DarlErsatzZins,16))</f>
      </c>
      <c r="Q7405" s="43">
        <f>IF($I7405=0,0,$Q7404+$P7405+$O7405)</f>
      </c>
      <c r="R7405" s="43">
        <f>IF($I7405=0,0,$J7405-$M7405-$N7405)</f>
      </c>
    </row>
    <row r="7406">
      <c r="A7406"/>
      <c r="B7406">
        <v>16</v>
      </c>
      <c r="C7406" s="43">
        <f>INDEX(DarlObj,16)</f>
      </c>
      <c r="D7406">
        <v>203</v>
      </c>
      <c r="E7406" s="51">
        <f>IF(INDEX(DarlBelegt,16)=0,0,EOMONTH(INDEX(DarlAuszahlung,16),202)+1)</f>
      </c>
      <c r="F7406" s="43">
        <f>IF($E7406=0,0,YEAR($E7406))</f>
      </c>
      <c r="G7406" s="43">
        <f>IF(INDEX(DarlBindung,16)="",1,IF($E7406&lt;=INDEX(DarlBindung,16),1,0))</f>
      </c>
      <c r="H7406" s="43">
        <f>IF($G7406=1,INDEX(DarlSollzins,16),INDEX(DarlAnschluss,16))</f>
      </c>
      <c r="I7406" s="43">
        <f>IF(INDEX(DarlBelegt,16)=0,0,IF(INDEX(DarlOhneTilgung,16)=1,IF(INDEX(DarlBindung,16)="",1,$G7406),IF($J7406&gt;0.005,1,0)))</f>
      </c>
      <c r="J7406" s="43">
        <f>IF($I7405=0,0,$R7405)</f>
      </c>
      <c r="K7406" s="43">
        <f>IF($I7406=0,0,IF(INDEX(DarlOhneTilgung,16)=1,0,IF(AND(INDEX(DarlTilgStart,16)&gt;0,$E7406=INDEX(DarlTilgStart,16)),$J7406*($H7406+INDEX(DarlTilgung,16))/100/12,IF(AND($G7406=0,$G7405=1),MAX($K7405,$J7406*($H7406+1)/100/12),$K7405))))</f>
      </c>
      <c r="L7406" s="43">
        <f>IF($I7406=0,0,$J7406*$H7406/100/12)</f>
      </c>
      <c r="M7406" s="43">
        <f>IF($I7406=0,0,IF(OR(INDEX(DarlOhneTilgung,16)=1,AND(INDEX(DarlTilgStart,16)&gt;0,$E7406&lt;INDEX(DarlTilgStart,16))),0,MIN(MAX(0,$K7406-$L7406),$J7406)))</f>
      </c>
      <c r="N7406" s="43">
        <f>IF($I7406=0,0,MIN(SUMIFS(SondBetrag,SondDarl,16,SondDatum,"&gt;="&amp;$E7406,SondDatum,"&lt;="&amp;EOMONTH($E7406,0)),$J7406-$M7406))</f>
      </c>
      <c r="O7406" s="43">
        <f>IF($I7406=0,0,INDEX(DarlErsatzRate,16))</f>
      </c>
      <c r="P7406" s="43">
        <f>IF($I7406=0,0,$Q7405*INDEX(DarlErsatzZins,16))</f>
      </c>
      <c r="Q7406" s="43">
        <f>IF($I7406=0,0,$Q7405+$P7406+$O7406)</f>
      </c>
      <c r="R7406" s="43">
        <f>IF($I7406=0,0,$J7406-$M7406-$N7406)</f>
      </c>
    </row>
    <row r="7407">
      <c r="A7407"/>
      <c r="B7407">
        <v>16</v>
      </c>
      <c r="C7407" s="43">
        <f>INDEX(DarlObj,16)</f>
      </c>
      <c r="D7407">
        <v>204</v>
      </c>
      <c r="E7407" s="51">
        <f>IF(INDEX(DarlBelegt,16)=0,0,EOMONTH(INDEX(DarlAuszahlung,16),203)+1)</f>
      </c>
      <c r="F7407" s="43">
        <f>IF($E7407=0,0,YEAR($E7407))</f>
      </c>
      <c r="G7407" s="43">
        <f>IF(INDEX(DarlBindung,16)="",1,IF($E7407&lt;=INDEX(DarlBindung,16),1,0))</f>
      </c>
      <c r="H7407" s="43">
        <f>IF($G7407=1,INDEX(DarlSollzins,16),INDEX(DarlAnschluss,16))</f>
      </c>
      <c r="I7407" s="43">
        <f>IF(INDEX(DarlBelegt,16)=0,0,IF(INDEX(DarlOhneTilgung,16)=1,IF(INDEX(DarlBindung,16)="",1,$G7407),IF($J7407&gt;0.005,1,0)))</f>
      </c>
      <c r="J7407" s="43">
        <f>IF($I7406=0,0,$R7406)</f>
      </c>
      <c r="K7407" s="43">
        <f>IF($I7407=0,0,IF(INDEX(DarlOhneTilgung,16)=1,0,IF(AND(INDEX(DarlTilgStart,16)&gt;0,$E7407=INDEX(DarlTilgStart,16)),$J7407*($H7407+INDEX(DarlTilgung,16))/100/12,IF(AND($G7407=0,$G7406=1),MAX($K7406,$J7407*($H7407+1)/100/12),$K7406))))</f>
      </c>
      <c r="L7407" s="43">
        <f>IF($I7407=0,0,$J7407*$H7407/100/12)</f>
      </c>
      <c r="M7407" s="43">
        <f>IF($I7407=0,0,IF(OR(INDEX(DarlOhneTilgung,16)=1,AND(INDEX(DarlTilgStart,16)&gt;0,$E7407&lt;INDEX(DarlTilgStart,16))),0,MIN(MAX(0,$K7407-$L7407),$J7407)))</f>
      </c>
      <c r="N7407" s="43">
        <f>IF($I7407=0,0,MIN(SUMIFS(SondBetrag,SondDarl,16,SondDatum,"&gt;="&amp;$E7407,SondDatum,"&lt;="&amp;EOMONTH($E7407,0)),$J7407-$M7407))</f>
      </c>
      <c r="O7407" s="43">
        <f>IF($I7407=0,0,INDEX(DarlErsatzRate,16))</f>
      </c>
      <c r="P7407" s="43">
        <f>IF($I7407=0,0,$Q7406*INDEX(DarlErsatzZins,16))</f>
      </c>
      <c r="Q7407" s="43">
        <f>IF($I7407=0,0,$Q7406+$P7407+$O7407)</f>
      </c>
      <c r="R7407" s="43">
        <f>IF($I7407=0,0,$J7407-$M7407-$N7407)</f>
      </c>
    </row>
    <row r="7408">
      <c r="A7408"/>
      <c r="B7408">
        <v>16</v>
      </c>
      <c r="C7408" s="43">
        <f>INDEX(DarlObj,16)</f>
      </c>
      <c r="D7408">
        <v>205</v>
      </c>
      <c r="E7408" s="51">
        <f>IF(INDEX(DarlBelegt,16)=0,0,EOMONTH(INDEX(DarlAuszahlung,16),204)+1)</f>
      </c>
      <c r="F7408" s="43">
        <f>IF($E7408=0,0,YEAR($E7408))</f>
      </c>
      <c r="G7408" s="43">
        <f>IF(INDEX(DarlBindung,16)="",1,IF($E7408&lt;=INDEX(DarlBindung,16),1,0))</f>
      </c>
      <c r="H7408" s="43">
        <f>IF($G7408=1,INDEX(DarlSollzins,16),INDEX(DarlAnschluss,16))</f>
      </c>
      <c r="I7408" s="43">
        <f>IF(INDEX(DarlBelegt,16)=0,0,IF(INDEX(DarlOhneTilgung,16)=1,IF(INDEX(DarlBindung,16)="",1,$G7408),IF($J7408&gt;0.005,1,0)))</f>
      </c>
      <c r="J7408" s="43">
        <f>IF($I7407=0,0,$R7407)</f>
      </c>
      <c r="K7408" s="43">
        <f>IF($I7408=0,0,IF(INDEX(DarlOhneTilgung,16)=1,0,IF(AND(INDEX(DarlTilgStart,16)&gt;0,$E7408=INDEX(DarlTilgStart,16)),$J7408*($H7408+INDEX(DarlTilgung,16))/100/12,IF(AND($G7408=0,$G7407=1),MAX($K7407,$J7408*($H7408+1)/100/12),$K7407))))</f>
      </c>
      <c r="L7408" s="43">
        <f>IF($I7408=0,0,$J7408*$H7408/100/12)</f>
      </c>
      <c r="M7408" s="43">
        <f>IF($I7408=0,0,IF(OR(INDEX(DarlOhneTilgung,16)=1,AND(INDEX(DarlTilgStart,16)&gt;0,$E7408&lt;INDEX(DarlTilgStart,16))),0,MIN(MAX(0,$K7408-$L7408),$J7408)))</f>
      </c>
      <c r="N7408" s="43">
        <f>IF($I7408=0,0,MIN(SUMIFS(SondBetrag,SondDarl,16,SondDatum,"&gt;="&amp;$E7408,SondDatum,"&lt;="&amp;EOMONTH($E7408,0)),$J7408-$M7408))</f>
      </c>
      <c r="O7408" s="43">
        <f>IF($I7408=0,0,INDEX(DarlErsatzRate,16))</f>
      </c>
      <c r="P7408" s="43">
        <f>IF($I7408=0,0,$Q7407*INDEX(DarlErsatzZins,16))</f>
      </c>
      <c r="Q7408" s="43">
        <f>IF($I7408=0,0,$Q7407+$P7408+$O7408)</f>
      </c>
      <c r="R7408" s="43">
        <f>IF($I7408=0,0,$J7408-$M7408-$N7408)</f>
      </c>
    </row>
    <row r="7409">
      <c r="A7409"/>
      <c r="B7409">
        <v>16</v>
      </c>
      <c r="C7409" s="43">
        <f>INDEX(DarlObj,16)</f>
      </c>
      <c r="D7409">
        <v>206</v>
      </c>
      <c r="E7409" s="51">
        <f>IF(INDEX(DarlBelegt,16)=0,0,EOMONTH(INDEX(DarlAuszahlung,16),205)+1)</f>
      </c>
      <c r="F7409" s="43">
        <f>IF($E7409=0,0,YEAR($E7409))</f>
      </c>
      <c r="G7409" s="43">
        <f>IF(INDEX(DarlBindung,16)="",1,IF($E7409&lt;=INDEX(DarlBindung,16),1,0))</f>
      </c>
      <c r="H7409" s="43">
        <f>IF($G7409=1,INDEX(DarlSollzins,16),INDEX(DarlAnschluss,16))</f>
      </c>
      <c r="I7409" s="43">
        <f>IF(INDEX(DarlBelegt,16)=0,0,IF(INDEX(DarlOhneTilgung,16)=1,IF(INDEX(DarlBindung,16)="",1,$G7409),IF($J7409&gt;0.005,1,0)))</f>
      </c>
      <c r="J7409" s="43">
        <f>IF($I7408=0,0,$R7408)</f>
      </c>
      <c r="K7409" s="43">
        <f>IF($I7409=0,0,IF(INDEX(DarlOhneTilgung,16)=1,0,IF(AND(INDEX(DarlTilgStart,16)&gt;0,$E7409=INDEX(DarlTilgStart,16)),$J7409*($H7409+INDEX(DarlTilgung,16))/100/12,IF(AND($G7409=0,$G7408=1),MAX($K7408,$J7409*($H7409+1)/100/12),$K7408))))</f>
      </c>
      <c r="L7409" s="43">
        <f>IF($I7409=0,0,$J7409*$H7409/100/12)</f>
      </c>
      <c r="M7409" s="43">
        <f>IF($I7409=0,0,IF(OR(INDEX(DarlOhneTilgung,16)=1,AND(INDEX(DarlTilgStart,16)&gt;0,$E7409&lt;INDEX(DarlTilgStart,16))),0,MIN(MAX(0,$K7409-$L7409),$J7409)))</f>
      </c>
      <c r="N7409" s="43">
        <f>IF($I7409=0,0,MIN(SUMIFS(SondBetrag,SondDarl,16,SondDatum,"&gt;="&amp;$E7409,SondDatum,"&lt;="&amp;EOMONTH($E7409,0)),$J7409-$M7409))</f>
      </c>
      <c r="O7409" s="43">
        <f>IF($I7409=0,0,INDEX(DarlErsatzRate,16))</f>
      </c>
      <c r="P7409" s="43">
        <f>IF($I7409=0,0,$Q7408*INDEX(DarlErsatzZins,16))</f>
      </c>
      <c r="Q7409" s="43">
        <f>IF($I7409=0,0,$Q7408+$P7409+$O7409)</f>
      </c>
      <c r="R7409" s="43">
        <f>IF($I7409=0,0,$J7409-$M7409-$N7409)</f>
      </c>
    </row>
    <row r="7410">
      <c r="A7410"/>
      <c r="B7410">
        <v>16</v>
      </c>
      <c r="C7410" s="43">
        <f>INDEX(DarlObj,16)</f>
      </c>
      <c r="D7410">
        <v>207</v>
      </c>
      <c r="E7410" s="51">
        <f>IF(INDEX(DarlBelegt,16)=0,0,EOMONTH(INDEX(DarlAuszahlung,16),206)+1)</f>
      </c>
      <c r="F7410" s="43">
        <f>IF($E7410=0,0,YEAR($E7410))</f>
      </c>
      <c r="G7410" s="43">
        <f>IF(INDEX(DarlBindung,16)="",1,IF($E7410&lt;=INDEX(DarlBindung,16),1,0))</f>
      </c>
      <c r="H7410" s="43">
        <f>IF($G7410=1,INDEX(DarlSollzins,16),INDEX(DarlAnschluss,16))</f>
      </c>
      <c r="I7410" s="43">
        <f>IF(INDEX(DarlBelegt,16)=0,0,IF(INDEX(DarlOhneTilgung,16)=1,IF(INDEX(DarlBindung,16)="",1,$G7410),IF($J7410&gt;0.005,1,0)))</f>
      </c>
      <c r="J7410" s="43">
        <f>IF($I7409=0,0,$R7409)</f>
      </c>
      <c r="K7410" s="43">
        <f>IF($I7410=0,0,IF(INDEX(DarlOhneTilgung,16)=1,0,IF(AND(INDEX(DarlTilgStart,16)&gt;0,$E7410=INDEX(DarlTilgStart,16)),$J7410*($H7410+INDEX(DarlTilgung,16))/100/12,IF(AND($G7410=0,$G7409=1),MAX($K7409,$J7410*($H7410+1)/100/12),$K7409))))</f>
      </c>
      <c r="L7410" s="43">
        <f>IF($I7410=0,0,$J7410*$H7410/100/12)</f>
      </c>
      <c r="M7410" s="43">
        <f>IF($I7410=0,0,IF(OR(INDEX(DarlOhneTilgung,16)=1,AND(INDEX(DarlTilgStart,16)&gt;0,$E7410&lt;INDEX(DarlTilgStart,16))),0,MIN(MAX(0,$K7410-$L7410),$J7410)))</f>
      </c>
      <c r="N7410" s="43">
        <f>IF($I7410=0,0,MIN(SUMIFS(SondBetrag,SondDarl,16,SondDatum,"&gt;="&amp;$E7410,SondDatum,"&lt;="&amp;EOMONTH($E7410,0)),$J7410-$M7410))</f>
      </c>
      <c r="O7410" s="43">
        <f>IF($I7410=0,0,INDEX(DarlErsatzRate,16))</f>
      </c>
      <c r="P7410" s="43">
        <f>IF($I7410=0,0,$Q7409*INDEX(DarlErsatzZins,16))</f>
      </c>
      <c r="Q7410" s="43">
        <f>IF($I7410=0,0,$Q7409+$P7410+$O7410)</f>
      </c>
      <c r="R7410" s="43">
        <f>IF($I7410=0,0,$J7410-$M7410-$N7410)</f>
      </c>
    </row>
    <row r="7411">
      <c r="A7411"/>
      <c r="B7411">
        <v>16</v>
      </c>
      <c r="C7411" s="43">
        <f>INDEX(DarlObj,16)</f>
      </c>
      <c r="D7411">
        <v>208</v>
      </c>
      <c r="E7411" s="51">
        <f>IF(INDEX(DarlBelegt,16)=0,0,EOMONTH(INDEX(DarlAuszahlung,16),207)+1)</f>
      </c>
      <c r="F7411" s="43">
        <f>IF($E7411=0,0,YEAR($E7411))</f>
      </c>
      <c r="G7411" s="43">
        <f>IF(INDEX(DarlBindung,16)="",1,IF($E7411&lt;=INDEX(DarlBindung,16),1,0))</f>
      </c>
      <c r="H7411" s="43">
        <f>IF($G7411=1,INDEX(DarlSollzins,16),INDEX(DarlAnschluss,16))</f>
      </c>
      <c r="I7411" s="43">
        <f>IF(INDEX(DarlBelegt,16)=0,0,IF(INDEX(DarlOhneTilgung,16)=1,IF(INDEX(DarlBindung,16)="",1,$G7411),IF($J7411&gt;0.005,1,0)))</f>
      </c>
      <c r="J7411" s="43">
        <f>IF($I7410=0,0,$R7410)</f>
      </c>
      <c r="K7411" s="43">
        <f>IF($I7411=0,0,IF(INDEX(DarlOhneTilgung,16)=1,0,IF(AND(INDEX(DarlTilgStart,16)&gt;0,$E7411=INDEX(DarlTilgStart,16)),$J7411*($H7411+INDEX(DarlTilgung,16))/100/12,IF(AND($G7411=0,$G7410=1),MAX($K7410,$J7411*($H7411+1)/100/12),$K7410))))</f>
      </c>
      <c r="L7411" s="43">
        <f>IF($I7411=0,0,$J7411*$H7411/100/12)</f>
      </c>
      <c r="M7411" s="43">
        <f>IF($I7411=0,0,IF(OR(INDEX(DarlOhneTilgung,16)=1,AND(INDEX(DarlTilgStart,16)&gt;0,$E7411&lt;INDEX(DarlTilgStart,16))),0,MIN(MAX(0,$K7411-$L7411),$J7411)))</f>
      </c>
      <c r="N7411" s="43">
        <f>IF($I7411=0,0,MIN(SUMIFS(SondBetrag,SondDarl,16,SondDatum,"&gt;="&amp;$E7411,SondDatum,"&lt;="&amp;EOMONTH($E7411,0)),$J7411-$M7411))</f>
      </c>
      <c r="O7411" s="43">
        <f>IF($I7411=0,0,INDEX(DarlErsatzRate,16))</f>
      </c>
      <c r="P7411" s="43">
        <f>IF($I7411=0,0,$Q7410*INDEX(DarlErsatzZins,16))</f>
      </c>
      <c r="Q7411" s="43">
        <f>IF($I7411=0,0,$Q7410+$P7411+$O7411)</f>
      </c>
      <c r="R7411" s="43">
        <f>IF($I7411=0,0,$J7411-$M7411-$N7411)</f>
      </c>
    </row>
    <row r="7412">
      <c r="A7412"/>
      <c r="B7412">
        <v>16</v>
      </c>
      <c r="C7412" s="43">
        <f>INDEX(DarlObj,16)</f>
      </c>
      <c r="D7412">
        <v>209</v>
      </c>
      <c r="E7412" s="51">
        <f>IF(INDEX(DarlBelegt,16)=0,0,EOMONTH(INDEX(DarlAuszahlung,16),208)+1)</f>
      </c>
      <c r="F7412" s="43">
        <f>IF($E7412=0,0,YEAR($E7412))</f>
      </c>
      <c r="G7412" s="43">
        <f>IF(INDEX(DarlBindung,16)="",1,IF($E7412&lt;=INDEX(DarlBindung,16),1,0))</f>
      </c>
      <c r="H7412" s="43">
        <f>IF($G7412=1,INDEX(DarlSollzins,16),INDEX(DarlAnschluss,16))</f>
      </c>
      <c r="I7412" s="43">
        <f>IF(INDEX(DarlBelegt,16)=0,0,IF(INDEX(DarlOhneTilgung,16)=1,IF(INDEX(DarlBindung,16)="",1,$G7412),IF($J7412&gt;0.005,1,0)))</f>
      </c>
      <c r="J7412" s="43">
        <f>IF($I7411=0,0,$R7411)</f>
      </c>
      <c r="K7412" s="43">
        <f>IF($I7412=0,0,IF(INDEX(DarlOhneTilgung,16)=1,0,IF(AND(INDEX(DarlTilgStart,16)&gt;0,$E7412=INDEX(DarlTilgStart,16)),$J7412*($H7412+INDEX(DarlTilgung,16))/100/12,IF(AND($G7412=0,$G7411=1),MAX($K7411,$J7412*($H7412+1)/100/12),$K7411))))</f>
      </c>
      <c r="L7412" s="43">
        <f>IF($I7412=0,0,$J7412*$H7412/100/12)</f>
      </c>
      <c r="M7412" s="43">
        <f>IF($I7412=0,0,IF(OR(INDEX(DarlOhneTilgung,16)=1,AND(INDEX(DarlTilgStart,16)&gt;0,$E7412&lt;INDEX(DarlTilgStart,16))),0,MIN(MAX(0,$K7412-$L7412),$J7412)))</f>
      </c>
      <c r="N7412" s="43">
        <f>IF($I7412=0,0,MIN(SUMIFS(SondBetrag,SondDarl,16,SondDatum,"&gt;="&amp;$E7412,SondDatum,"&lt;="&amp;EOMONTH($E7412,0)),$J7412-$M7412))</f>
      </c>
      <c r="O7412" s="43">
        <f>IF($I7412=0,0,INDEX(DarlErsatzRate,16))</f>
      </c>
      <c r="P7412" s="43">
        <f>IF($I7412=0,0,$Q7411*INDEX(DarlErsatzZins,16))</f>
      </c>
      <c r="Q7412" s="43">
        <f>IF($I7412=0,0,$Q7411+$P7412+$O7412)</f>
      </c>
      <c r="R7412" s="43">
        <f>IF($I7412=0,0,$J7412-$M7412-$N7412)</f>
      </c>
    </row>
    <row r="7413">
      <c r="A7413"/>
      <c r="B7413">
        <v>16</v>
      </c>
      <c r="C7413" s="43">
        <f>INDEX(DarlObj,16)</f>
      </c>
      <c r="D7413">
        <v>210</v>
      </c>
      <c r="E7413" s="51">
        <f>IF(INDEX(DarlBelegt,16)=0,0,EOMONTH(INDEX(DarlAuszahlung,16),209)+1)</f>
      </c>
      <c r="F7413" s="43">
        <f>IF($E7413=0,0,YEAR($E7413))</f>
      </c>
      <c r="G7413" s="43">
        <f>IF(INDEX(DarlBindung,16)="",1,IF($E7413&lt;=INDEX(DarlBindung,16),1,0))</f>
      </c>
      <c r="H7413" s="43">
        <f>IF($G7413=1,INDEX(DarlSollzins,16),INDEX(DarlAnschluss,16))</f>
      </c>
      <c r="I7413" s="43">
        <f>IF(INDEX(DarlBelegt,16)=0,0,IF(INDEX(DarlOhneTilgung,16)=1,IF(INDEX(DarlBindung,16)="",1,$G7413),IF($J7413&gt;0.005,1,0)))</f>
      </c>
      <c r="J7413" s="43">
        <f>IF($I7412=0,0,$R7412)</f>
      </c>
      <c r="K7413" s="43">
        <f>IF($I7413=0,0,IF(INDEX(DarlOhneTilgung,16)=1,0,IF(AND(INDEX(DarlTilgStart,16)&gt;0,$E7413=INDEX(DarlTilgStart,16)),$J7413*($H7413+INDEX(DarlTilgung,16))/100/12,IF(AND($G7413=0,$G7412=1),MAX($K7412,$J7413*($H7413+1)/100/12),$K7412))))</f>
      </c>
      <c r="L7413" s="43">
        <f>IF($I7413=0,0,$J7413*$H7413/100/12)</f>
      </c>
      <c r="M7413" s="43">
        <f>IF($I7413=0,0,IF(OR(INDEX(DarlOhneTilgung,16)=1,AND(INDEX(DarlTilgStart,16)&gt;0,$E7413&lt;INDEX(DarlTilgStart,16))),0,MIN(MAX(0,$K7413-$L7413),$J7413)))</f>
      </c>
      <c r="N7413" s="43">
        <f>IF($I7413=0,0,MIN(SUMIFS(SondBetrag,SondDarl,16,SondDatum,"&gt;="&amp;$E7413,SondDatum,"&lt;="&amp;EOMONTH($E7413,0)),$J7413-$M7413))</f>
      </c>
      <c r="O7413" s="43">
        <f>IF($I7413=0,0,INDEX(DarlErsatzRate,16))</f>
      </c>
      <c r="P7413" s="43">
        <f>IF($I7413=0,0,$Q7412*INDEX(DarlErsatzZins,16))</f>
      </c>
      <c r="Q7413" s="43">
        <f>IF($I7413=0,0,$Q7412+$P7413+$O7413)</f>
      </c>
      <c r="R7413" s="43">
        <f>IF($I7413=0,0,$J7413-$M7413-$N7413)</f>
      </c>
    </row>
    <row r="7414">
      <c r="A7414"/>
      <c r="B7414">
        <v>16</v>
      </c>
      <c r="C7414" s="43">
        <f>INDEX(DarlObj,16)</f>
      </c>
      <c r="D7414">
        <v>211</v>
      </c>
      <c r="E7414" s="51">
        <f>IF(INDEX(DarlBelegt,16)=0,0,EOMONTH(INDEX(DarlAuszahlung,16),210)+1)</f>
      </c>
      <c r="F7414" s="43">
        <f>IF($E7414=0,0,YEAR($E7414))</f>
      </c>
      <c r="G7414" s="43">
        <f>IF(INDEX(DarlBindung,16)="",1,IF($E7414&lt;=INDEX(DarlBindung,16),1,0))</f>
      </c>
      <c r="H7414" s="43">
        <f>IF($G7414=1,INDEX(DarlSollzins,16),INDEX(DarlAnschluss,16))</f>
      </c>
      <c r="I7414" s="43">
        <f>IF(INDEX(DarlBelegt,16)=0,0,IF(INDEX(DarlOhneTilgung,16)=1,IF(INDEX(DarlBindung,16)="",1,$G7414),IF($J7414&gt;0.005,1,0)))</f>
      </c>
      <c r="J7414" s="43">
        <f>IF($I7413=0,0,$R7413)</f>
      </c>
      <c r="K7414" s="43">
        <f>IF($I7414=0,0,IF(INDEX(DarlOhneTilgung,16)=1,0,IF(AND(INDEX(DarlTilgStart,16)&gt;0,$E7414=INDEX(DarlTilgStart,16)),$J7414*($H7414+INDEX(DarlTilgung,16))/100/12,IF(AND($G7414=0,$G7413=1),MAX($K7413,$J7414*($H7414+1)/100/12),$K7413))))</f>
      </c>
      <c r="L7414" s="43">
        <f>IF($I7414=0,0,$J7414*$H7414/100/12)</f>
      </c>
      <c r="M7414" s="43">
        <f>IF($I7414=0,0,IF(OR(INDEX(DarlOhneTilgung,16)=1,AND(INDEX(DarlTilgStart,16)&gt;0,$E7414&lt;INDEX(DarlTilgStart,16))),0,MIN(MAX(0,$K7414-$L7414),$J7414)))</f>
      </c>
      <c r="N7414" s="43">
        <f>IF($I7414=0,0,MIN(SUMIFS(SondBetrag,SondDarl,16,SondDatum,"&gt;="&amp;$E7414,SondDatum,"&lt;="&amp;EOMONTH($E7414,0)),$J7414-$M7414))</f>
      </c>
      <c r="O7414" s="43">
        <f>IF($I7414=0,0,INDEX(DarlErsatzRate,16))</f>
      </c>
      <c r="P7414" s="43">
        <f>IF($I7414=0,0,$Q7413*INDEX(DarlErsatzZins,16))</f>
      </c>
      <c r="Q7414" s="43">
        <f>IF($I7414=0,0,$Q7413+$P7414+$O7414)</f>
      </c>
      <c r="R7414" s="43">
        <f>IF($I7414=0,0,$J7414-$M7414-$N7414)</f>
      </c>
    </row>
    <row r="7415">
      <c r="A7415"/>
      <c r="B7415">
        <v>16</v>
      </c>
      <c r="C7415" s="43">
        <f>INDEX(DarlObj,16)</f>
      </c>
      <c r="D7415">
        <v>212</v>
      </c>
      <c r="E7415" s="51">
        <f>IF(INDEX(DarlBelegt,16)=0,0,EOMONTH(INDEX(DarlAuszahlung,16),211)+1)</f>
      </c>
      <c r="F7415" s="43">
        <f>IF($E7415=0,0,YEAR($E7415))</f>
      </c>
      <c r="G7415" s="43">
        <f>IF(INDEX(DarlBindung,16)="",1,IF($E7415&lt;=INDEX(DarlBindung,16),1,0))</f>
      </c>
      <c r="H7415" s="43">
        <f>IF($G7415=1,INDEX(DarlSollzins,16),INDEX(DarlAnschluss,16))</f>
      </c>
      <c r="I7415" s="43">
        <f>IF(INDEX(DarlBelegt,16)=0,0,IF(INDEX(DarlOhneTilgung,16)=1,IF(INDEX(DarlBindung,16)="",1,$G7415),IF($J7415&gt;0.005,1,0)))</f>
      </c>
      <c r="J7415" s="43">
        <f>IF($I7414=0,0,$R7414)</f>
      </c>
      <c r="K7415" s="43">
        <f>IF($I7415=0,0,IF(INDEX(DarlOhneTilgung,16)=1,0,IF(AND(INDEX(DarlTilgStart,16)&gt;0,$E7415=INDEX(DarlTilgStart,16)),$J7415*($H7415+INDEX(DarlTilgung,16))/100/12,IF(AND($G7415=0,$G7414=1),MAX($K7414,$J7415*($H7415+1)/100/12),$K7414))))</f>
      </c>
      <c r="L7415" s="43">
        <f>IF($I7415=0,0,$J7415*$H7415/100/12)</f>
      </c>
      <c r="M7415" s="43">
        <f>IF($I7415=0,0,IF(OR(INDEX(DarlOhneTilgung,16)=1,AND(INDEX(DarlTilgStart,16)&gt;0,$E7415&lt;INDEX(DarlTilgStart,16))),0,MIN(MAX(0,$K7415-$L7415),$J7415)))</f>
      </c>
      <c r="N7415" s="43">
        <f>IF($I7415=0,0,MIN(SUMIFS(SondBetrag,SondDarl,16,SondDatum,"&gt;="&amp;$E7415,SondDatum,"&lt;="&amp;EOMONTH($E7415,0)),$J7415-$M7415))</f>
      </c>
      <c r="O7415" s="43">
        <f>IF($I7415=0,0,INDEX(DarlErsatzRate,16))</f>
      </c>
      <c r="P7415" s="43">
        <f>IF($I7415=0,0,$Q7414*INDEX(DarlErsatzZins,16))</f>
      </c>
      <c r="Q7415" s="43">
        <f>IF($I7415=0,0,$Q7414+$P7415+$O7415)</f>
      </c>
      <c r="R7415" s="43">
        <f>IF($I7415=0,0,$J7415-$M7415-$N7415)</f>
      </c>
    </row>
    <row r="7416">
      <c r="A7416"/>
      <c r="B7416">
        <v>16</v>
      </c>
      <c r="C7416" s="43">
        <f>INDEX(DarlObj,16)</f>
      </c>
      <c r="D7416">
        <v>213</v>
      </c>
      <c r="E7416" s="51">
        <f>IF(INDEX(DarlBelegt,16)=0,0,EOMONTH(INDEX(DarlAuszahlung,16),212)+1)</f>
      </c>
      <c r="F7416" s="43">
        <f>IF($E7416=0,0,YEAR($E7416))</f>
      </c>
      <c r="G7416" s="43">
        <f>IF(INDEX(DarlBindung,16)="",1,IF($E7416&lt;=INDEX(DarlBindung,16),1,0))</f>
      </c>
      <c r="H7416" s="43">
        <f>IF($G7416=1,INDEX(DarlSollzins,16),INDEX(DarlAnschluss,16))</f>
      </c>
      <c r="I7416" s="43">
        <f>IF(INDEX(DarlBelegt,16)=0,0,IF(INDEX(DarlOhneTilgung,16)=1,IF(INDEX(DarlBindung,16)="",1,$G7416),IF($J7416&gt;0.005,1,0)))</f>
      </c>
      <c r="J7416" s="43">
        <f>IF($I7415=0,0,$R7415)</f>
      </c>
      <c r="K7416" s="43">
        <f>IF($I7416=0,0,IF(INDEX(DarlOhneTilgung,16)=1,0,IF(AND(INDEX(DarlTilgStart,16)&gt;0,$E7416=INDEX(DarlTilgStart,16)),$J7416*($H7416+INDEX(DarlTilgung,16))/100/12,IF(AND($G7416=0,$G7415=1),MAX($K7415,$J7416*($H7416+1)/100/12),$K7415))))</f>
      </c>
      <c r="L7416" s="43">
        <f>IF($I7416=0,0,$J7416*$H7416/100/12)</f>
      </c>
      <c r="M7416" s="43">
        <f>IF($I7416=0,0,IF(OR(INDEX(DarlOhneTilgung,16)=1,AND(INDEX(DarlTilgStart,16)&gt;0,$E7416&lt;INDEX(DarlTilgStart,16))),0,MIN(MAX(0,$K7416-$L7416),$J7416)))</f>
      </c>
      <c r="N7416" s="43">
        <f>IF($I7416=0,0,MIN(SUMIFS(SondBetrag,SondDarl,16,SondDatum,"&gt;="&amp;$E7416,SondDatum,"&lt;="&amp;EOMONTH($E7416,0)),$J7416-$M7416))</f>
      </c>
      <c r="O7416" s="43">
        <f>IF($I7416=0,0,INDEX(DarlErsatzRate,16))</f>
      </c>
      <c r="P7416" s="43">
        <f>IF($I7416=0,0,$Q7415*INDEX(DarlErsatzZins,16))</f>
      </c>
      <c r="Q7416" s="43">
        <f>IF($I7416=0,0,$Q7415+$P7416+$O7416)</f>
      </c>
      <c r="R7416" s="43">
        <f>IF($I7416=0,0,$J7416-$M7416-$N7416)</f>
      </c>
    </row>
    <row r="7417">
      <c r="A7417"/>
      <c r="B7417">
        <v>16</v>
      </c>
      <c r="C7417" s="43">
        <f>INDEX(DarlObj,16)</f>
      </c>
      <c r="D7417">
        <v>214</v>
      </c>
      <c r="E7417" s="51">
        <f>IF(INDEX(DarlBelegt,16)=0,0,EOMONTH(INDEX(DarlAuszahlung,16),213)+1)</f>
      </c>
      <c r="F7417" s="43">
        <f>IF($E7417=0,0,YEAR($E7417))</f>
      </c>
      <c r="G7417" s="43">
        <f>IF(INDEX(DarlBindung,16)="",1,IF($E7417&lt;=INDEX(DarlBindung,16),1,0))</f>
      </c>
      <c r="H7417" s="43">
        <f>IF($G7417=1,INDEX(DarlSollzins,16),INDEX(DarlAnschluss,16))</f>
      </c>
      <c r="I7417" s="43">
        <f>IF(INDEX(DarlBelegt,16)=0,0,IF(INDEX(DarlOhneTilgung,16)=1,IF(INDEX(DarlBindung,16)="",1,$G7417),IF($J7417&gt;0.005,1,0)))</f>
      </c>
      <c r="J7417" s="43">
        <f>IF($I7416=0,0,$R7416)</f>
      </c>
      <c r="K7417" s="43">
        <f>IF($I7417=0,0,IF(INDEX(DarlOhneTilgung,16)=1,0,IF(AND(INDEX(DarlTilgStart,16)&gt;0,$E7417=INDEX(DarlTilgStart,16)),$J7417*($H7417+INDEX(DarlTilgung,16))/100/12,IF(AND($G7417=0,$G7416=1),MAX($K7416,$J7417*($H7417+1)/100/12),$K7416))))</f>
      </c>
      <c r="L7417" s="43">
        <f>IF($I7417=0,0,$J7417*$H7417/100/12)</f>
      </c>
      <c r="M7417" s="43">
        <f>IF($I7417=0,0,IF(OR(INDEX(DarlOhneTilgung,16)=1,AND(INDEX(DarlTilgStart,16)&gt;0,$E7417&lt;INDEX(DarlTilgStart,16))),0,MIN(MAX(0,$K7417-$L7417),$J7417)))</f>
      </c>
      <c r="N7417" s="43">
        <f>IF($I7417=0,0,MIN(SUMIFS(SondBetrag,SondDarl,16,SondDatum,"&gt;="&amp;$E7417,SondDatum,"&lt;="&amp;EOMONTH($E7417,0)),$J7417-$M7417))</f>
      </c>
      <c r="O7417" s="43">
        <f>IF($I7417=0,0,INDEX(DarlErsatzRate,16))</f>
      </c>
      <c r="P7417" s="43">
        <f>IF($I7417=0,0,$Q7416*INDEX(DarlErsatzZins,16))</f>
      </c>
      <c r="Q7417" s="43">
        <f>IF($I7417=0,0,$Q7416+$P7417+$O7417)</f>
      </c>
      <c r="R7417" s="43">
        <f>IF($I7417=0,0,$J7417-$M7417-$N7417)</f>
      </c>
    </row>
    <row r="7418">
      <c r="A7418"/>
      <c r="B7418">
        <v>16</v>
      </c>
      <c r="C7418" s="43">
        <f>INDEX(DarlObj,16)</f>
      </c>
      <c r="D7418">
        <v>215</v>
      </c>
      <c r="E7418" s="51">
        <f>IF(INDEX(DarlBelegt,16)=0,0,EOMONTH(INDEX(DarlAuszahlung,16),214)+1)</f>
      </c>
      <c r="F7418" s="43">
        <f>IF($E7418=0,0,YEAR($E7418))</f>
      </c>
      <c r="G7418" s="43">
        <f>IF(INDEX(DarlBindung,16)="",1,IF($E7418&lt;=INDEX(DarlBindung,16),1,0))</f>
      </c>
      <c r="H7418" s="43">
        <f>IF($G7418=1,INDEX(DarlSollzins,16),INDEX(DarlAnschluss,16))</f>
      </c>
      <c r="I7418" s="43">
        <f>IF(INDEX(DarlBelegt,16)=0,0,IF(INDEX(DarlOhneTilgung,16)=1,IF(INDEX(DarlBindung,16)="",1,$G7418),IF($J7418&gt;0.005,1,0)))</f>
      </c>
      <c r="J7418" s="43">
        <f>IF($I7417=0,0,$R7417)</f>
      </c>
      <c r="K7418" s="43">
        <f>IF($I7418=0,0,IF(INDEX(DarlOhneTilgung,16)=1,0,IF(AND(INDEX(DarlTilgStart,16)&gt;0,$E7418=INDEX(DarlTilgStart,16)),$J7418*($H7418+INDEX(DarlTilgung,16))/100/12,IF(AND($G7418=0,$G7417=1),MAX($K7417,$J7418*($H7418+1)/100/12),$K7417))))</f>
      </c>
      <c r="L7418" s="43">
        <f>IF($I7418=0,0,$J7418*$H7418/100/12)</f>
      </c>
      <c r="M7418" s="43">
        <f>IF($I7418=0,0,IF(OR(INDEX(DarlOhneTilgung,16)=1,AND(INDEX(DarlTilgStart,16)&gt;0,$E7418&lt;INDEX(DarlTilgStart,16))),0,MIN(MAX(0,$K7418-$L7418),$J7418)))</f>
      </c>
      <c r="N7418" s="43">
        <f>IF($I7418=0,0,MIN(SUMIFS(SondBetrag,SondDarl,16,SondDatum,"&gt;="&amp;$E7418,SondDatum,"&lt;="&amp;EOMONTH($E7418,0)),$J7418-$M7418))</f>
      </c>
      <c r="O7418" s="43">
        <f>IF($I7418=0,0,INDEX(DarlErsatzRate,16))</f>
      </c>
      <c r="P7418" s="43">
        <f>IF($I7418=0,0,$Q7417*INDEX(DarlErsatzZins,16))</f>
      </c>
      <c r="Q7418" s="43">
        <f>IF($I7418=0,0,$Q7417+$P7418+$O7418)</f>
      </c>
      <c r="R7418" s="43">
        <f>IF($I7418=0,0,$J7418-$M7418-$N7418)</f>
      </c>
    </row>
    <row r="7419">
      <c r="A7419"/>
      <c r="B7419">
        <v>16</v>
      </c>
      <c r="C7419" s="43">
        <f>INDEX(DarlObj,16)</f>
      </c>
      <c r="D7419">
        <v>216</v>
      </c>
      <c r="E7419" s="51">
        <f>IF(INDEX(DarlBelegt,16)=0,0,EOMONTH(INDEX(DarlAuszahlung,16),215)+1)</f>
      </c>
      <c r="F7419" s="43">
        <f>IF($E7419=0,0,YEAR($E7419))</f>
      </c>
      <c r="G7419" s="43">
        <f>IF(INDEX(DarlBindung,16)="",1,IF($E7419&lt;=INDEX(DarlBindung,16),1,0))</f>
      </c>
      <c r="H7419" s="43">
        <f>IF($G7419=1,INDEX(DarlSollzins,16),INDEX(DarlAnschluss,16))</f>
      </c>
      <c r="I7419" s="43">
        <f>IF(INDEX(DarlBelegt,16)=0,0,IF(INDEX(DarlOhneTilgung,16)=1,IF(INDEX(DarlBindung,16)="",1,$G7419),IF($J7419&gt;0.005,1,0)))</f>
      </c>
      <c r="J7419" s="43">
        <f>IF($I7418=0,0,$R7418)</f>
      </c>
      <c r="K7419" s="43">
        <f>IF($I7419=0,0,IF(INDEX(DarlOhneTilgung,16)=1,0,IF(AND(INDEX(DarlTilgStart,16)&gt;0,$E7419=INDEX(DarlTilgStart,16)),$J7419*($H7419+INDEX(DarlTilgung,16))/100/12,IF(AND($G7419=0,$G7418=1),MAX($K7418,$J7419*($H7419+1)/100/12),$K7418))))</f>
      </c>
      <c r="L7419" s="43">
        <f>IF($I7419=0,0,$J7419*$H7419/100/12)</f>
      </c>
      <c r="M7419" s="43">
        <f>IF($I7419=0,0,IF(OR(INDEX(DarlOhneTilgung,16)=1,AND(INDEX(DarlTilgStart,16)&gt;0,$E7419&lt;INDEX(DarlTilgStart,16))),0,MIN(MAX(0,$K7419-$L7419),$J7419)))</f>
      </c>
      <c r="N7419" s="43">
        <f>IF($I7419=0,0,MIN(SUMIFS(SondBetrag,SondDarl,16,SondDatum,"&gt;="&amp;$E7419,SondDatum,"&lt;="&amp;EOMONTH($E7419,0)),$J7419-$M7419))</f>
      </c>
      <c r="O7419" s="43">
        <f>IF($I7419=0,0,INDEX(DarlErsatzRate,16))</f>
      </c>
      <c r="P7419" s="43">
        <f>IF($I7419=0,0,$Q7418*INDEX(DarlErsatzZins,16))</f>
      </c>
      <c r="Q7419" s="43">
        <f>IF($I7419=0,0,$Q7418+$P7419+$O7419)</f>
      </c>
      <c r="R7419" s="43">
        <f>IF($I7419=0,0,$J7419-$M7419-$N7419)</f>
      </c>
    </row>
    <row r="7420">
      <c r="A7420"/>
      <c r="B7420">
        <v>16</v>
      </c>
      <c r="C7420" s="43">
        <f>INDEX(DarlObj,16)</f>
      </c>
      <c r="D7420">
        <v>217</v>
      </c>
      <c r="E7420" s="51">
        <f>IF(INDEX(DarlBelegt,16)=0,0,EOMONTH(INDEX(DarlAuszahlung,16),216)+1)</f>
      </c>
      <c r="F7420" s="43">
        <f>IF($E7420=0,0,YEAR($E7420))</f>
      </c>
      <c r="G7420" s="43">
        <f>IF(INDEX(DarlBindung,16)="",1,IF($E7420&lt;=INDEX(DarlBindung,16),1,0))</f>
      </c>
      <c r="H7420" s="43">
        <f>IF($G7420=1,INDEX(DarlSollzins,16),INDEX(DarlAnschluss,16))</f>
      </c>
      <c r="I7420" s="43">
        <f>IF(INDEX(DarlBelegt,16)=0,0,IF(INDEX(DarlOhneTilgung,16)=1,IF(INDEX(DarlBindung,16)="",1,$G7420),IF($J7420&gt;0.005,1,0)))</f>
      </c>
      <c r="J7420" s="43">
        <f>IF($I7419=0,0,$R7419)</f>
      </c>
      <c r="K7420" s="43">
        <f>IF($I7420=0,0,IF(INDEX(DarlOhneTilgung,16)=1,0,IF(AND(INDEX(DarlTilgStart,16)&gt;0,$E7420=INDEX(DarlTilgStart,16)),$J7420*($H7420+INDEX(DarlTilgung,16))/100/12,IF(AND($G7420=0,$G7419=1),MAX($K7419,$J7420*($H7420+1)/100/12),$K7419))))</f>
      </c>
      <c r="L7420" s="43">
        <f>IF($I7420=0,0,$J7420*$H7420/100/12)</f>
      </c>
      <c r="M7420" s="43">
        <f>IF($I7420=0,0,IF(OR(INDEX(DarlOhneTilgung,16)=1,AND(INDEX(DarlTilgStart,16)&gt;0,$E7420&lt;INDEX(DarlTilgStart,16))),0,MIN(MAX(0,$K7420-$L7420),$J7420)))</f>
      </c>
      <c r="N7420" s="43">
        <f>IF($I7420=0,0,MIN(SUMIFS(SondBetrag,SondDarl,16,SondDatum,"&gt;="&amp;$E7420,SondDatum,"&lt;="&amp;EOMONTH($E7420,0)),$J7420-$M7420))</f>
      </c>
      <c r="O7420" s="43">
        <f>IF($I7420=0,0,INDEX(DarlErsatzRate,16))</f>
      </c>
      <c r="P7420" s="43">
        <f>IF($I7420=0,0,$Q7419*INDEX(DarlErsatzZins,16))</f>
      </c>
      <c r="Q7420" s="43">
        <f>IF($I7420=0,0,$Q7419+$P7420+$O7420)</f>
      </c>
      <c r="R7420" s="43">
        <f>IF($I7420=0,0,$J7420-$M7420-$N7420)</f>
      </c>
    </row>
    <row r="7421">
      <c r="A7421"/>
      <c r="B7421">
        <v>16</v>
      </c>
      <c r="C7421" s="43">
        <f>INDEX(DarlObj,16)</f>
      </c>
      <c r="D7421">
        <v>218</v>
      </c>
      <c r="E7421" s="51">
        <f>IF(INDEX(DarlBelegt,16)=0,0,EOMONTH(INDEX(DarlAuszahlung,16),217)+1)</f>
      </c>
      <c r="F7421" s="43">
        <f>IF($E7421=0,0,YEAR($E7421))</f>
      </c>
      <c r="G7421" s="43">
        <f>IF(INDEX(DarlBindung,16)="",1,IF($E7421&lt;=INDEX(DarlBindung,16),1,0))</f>
      </c>
      <c r="H7421" s="43">
        <f>IF($G7421=1,INDEX(DarlSollzins,16),INDEX(DarlAnschluss,16))</f>
      </c>
      <c r="I7421" s="43">
        <f>IF(INDEX(DarlBelegt,16)=0,0,IF(INDEX(DarlOhneTilgung,16)=1,IF(INDEX(DarlBindung,16)="",1,$G7421),IF($J7421&gt;0.005,1,0)))</f>
      </c>
      <c r="J7421" s="43">
        <f>IF($I7420=0,0,$R7420)</f>
      </c>
      <c r="K7421" s="43">
        <f>IF($I7421=0,0,IF(INDEX(DarlOhneTilgung,16)=1,0,IF(AND(INDEX(DarlTilgStart,16)&gt;0,$E7421=INDEX(DarlTilgStart,16)),$J7421*($H7421+INDEX(DarlTilgung,16))/100/12,IF(AND($G7421=0,$G7420=1),MAX($K7420,$J7421*($H7421+1)/100/12),$K7420))))</f>
      </c>
      <c r="L7421" s="43">
        <f>IF($I7421=0,0,$J7421*$H7421/100/12)</f>
      </c>
      <c r="M7421" s="43">
        <f>IF($I7421=0,0,IF(OR(INDEX(DarlOhneTilgung,16)=1,AND(INDEX(DarlTilgStart,16)&gt;0,$E7421&lt;INDEX(DarlTilgStart,16))),0,MIN(MAX(0,$K7421-$L7421),$J7421)))</f>
      </c>
      <c r="N7421" s="43">
        <f>IF($I7421=0,0,MIN(SUMIFS(SondBetrag,SondDarl,16,SondDatum,"&gt;="&amp;$E7421,SondDatum,"&lt;="&amp;EOMONTH($E7421,0)),$J7421-$M7421))</f>
      </c>
      <c r="O7421" s="43">
        <f>IF($I7421=0,0,INDEX(DarlErsatzRate,16))</f>
      </c>
      <c r="P7421" s="43">
        <f>IF($I7421=0,0,$Q7420*INDEX(DarlErsatzZins,16))</f>
      </c>
      <c r="Q7421" s="43">
        <f>IF($I7421=0,0,$Q7420+$P7421+$O7421)</f>
      </c>
      <c r="R7421" s="43">
        <f>IF($I7421=0,0,$J7421-$M7421-$N7421)</f>
      </c>
    </row>
    <row r="7422">
      <c r="A7422"/>
      <c r="B7422">
        <v>16</v>
      </c>
      <c r="C7422" s="43">
        <f>INDEX(DarlObj,16)</f>
      </c>
      <c r="D7422">
        <v>219</v>
      </c>
      <c r="E7422" s="51">
        <f>IF(INDEX(DarlBelegt,16)=0,0,EOMONTH(INDEX(DarlAuszahlung,16),218)+1)</f>
      </c>
      <c r="F7422" s="43">
        <f>IF($E7422=0,0,YEAR($E7422))</f>
      </c>
      <c r="G7422" s="43">
        <f>IF(INDEX(DarlBindung,16)="",1,IF($E7422&lt;=INDEX(DarlBindung,16),1,0))</f>
      </c>
      <c r="H7422" s="43">
        <f>IF($G7422=1,INDEX(DarlSollzins,16),INDEX(DarlAnschluss,16))</f>
      </c>
      <c r="I7422" s="43">
        <f>IF(INDEX(DarlBelegt,16)=0,0,IF(INDEX(DarlOhneTilgung,16)=1,IF(INDEX(DarlBindung,16)="",1,$G7422),IF($J7422&gt;0.005,1,0)))</f>
      </c>
      <c r="J7422" s="43">
        <f>IF($I7421=0,0,$R7421)</f>
      </c>
      <c r="K7422" s="43">
        <f>IF($I7422=0,0,IF(INDEX(DarlOhneTilgung,16)=1,0,IF(AND(INDEX(DarlTilgStart,16)&gt;0,$E7422=INDEX(DarlTilgStart,16)),$J7422*($H7422+INDEX(DarlTilgung,16))/100/12,IF(AND($G7422=0,$G7421=1),MAX($K7421,$J7422*($H7422+1)/100/12),$K7421))))</f>
      </c>
      <c r="L7422" s="43">
        <f>IF($I7422=0,0,$J7422*$H7422/100/12)</f>
      </c>
      <c r="M7422" s="43">
        <f>IF($I7422=0,0,IF(OR(INDEX(DarlOhneTilgung,16)=1,AND(INDEX(DarlTilgStart,16)&gt;0,$E7422&lt;INDEX(DarlTilgStart,16))),0,MIN(MAX(0,$K7422-$L7422),$J7422)))</f>
      </c>
      <c r="N7422" s="43">
        <f>IF($I7422=0,0,MIN(SUMIFS(SondBetrag,SondDarl,16,SondDatum,"&gt;="&amp;$E7422,SondDatum,"&lt;="&amp;EOMONTH($E7422,0)),$J7422-$M7422))</f>
      </c>
      <c r="O7422" s="43">
        <f>IF($I7422=0,0,INDEX(DarlErsatzRate,16))</f>
      </c>
      <c r="P7422" s="43">
        <f>IF($I7422=0,0,$Q7421*INDEX(DarlErsatzZins,16))</f>
      </c>
      <c r="Q7422" s="43">
        <f>IF($I7422=0,0,$Q7421+$P7422+$O7422)</f>
      </c>
      <c r="R7422" s="43">
        <f>IF($I7422=0,0,$J7422-$M7422-$N7422)</f>
      </c>
    </row>
    <row r="7423">
      <c r="A7423"/>
      <c r="B7423">
        <v>16</v>
      </c>
      <c r="C7423" s="43">
        <f>INDEX(DarlObj,16)</f>
      </c>
      <c r="D7423">
        <v>220</v>
      </c>
      <c r="E7423" s="51">
        <f>IF(INDEX(DarlBelegt,16)=0,0,EOMONTH(INDEX(DarlAuszahlung,16),219)+1)</f>
      </c>
      <c r="F7423" s="43">
        <f>IF($E7423=0,0,YEAR($E7423))</f>
      </c>
      <c r="G7423" s="43">
        <f>IF(INDEX(DarlBindung,16)="",1,IF($E7423&lt;=INDEX(DarlBindung,16),1,0))</f>
      </c>
      <c r="H7423" s="43">
        <f>IF($G7423=1,INDEX(DarlSollzins,16),INDEX(DarlAnschluss,16))</f>
      </c>
      <c r="I7423" s="43">
        <f>IF(INDEX(DarlBelegt,16)=0,0,IF(INDEX(DarlOhneTilgung,16)=1,IF(INDEX(DarlBindung,16)="",1,$G7423),IF($J7423&gt;0.005,1,0)))</f>
      </c>
      <c r="J7423" s="43">
        <f>IF($I7422=0,0,$R7422)</f>
      </c>
      <c r="K7423" s="43">
        <f>IF($I7423=0,0,IF(INDEX(DarlOhneTilgung,16)=1,0,IF(AND(INDEX(DarlTilgStart,16)&gt;0,$E7423=INDEX(DarlTilgStart,16)),$J7423*($H7423+INDEX(DarlTilgung,16))/100/12,IF(AND($G7423=0,$G7422=1),MAX($K7422,$J7423*($H7423+1)/100/12),$K7422))))</f>
      </c>
      <c r="L7423" s="43">
        <f>IF($I7423=0,0,$J7423*$H7423/100/12)</f>
      </c>
      <c r="M7423" s="43">
        <f>IF($I7423=0,0,IF(OR(INDEX(DarlOhneTilgung,16)=1,AND(INDEX(DarlTilgStart,16)&gt;0,$E7423&lt;INDEX(DarlTilgStart,16))),0,MIN(MAX(0,$K7423-$L7423),$J7423)))</f>
      </c>
      <c r="N7423" s="43">
        <f>IF($I7423=0,0,MIN(SUMIFS(SondBetrag,SondDarl,16,SondDatum,"&gt;="&amp;$E7423,SondDatum,"&lt;="&amp;EOMONTH($E7423,0)),$J7423-$M7423))</f>
      </c>
      <c r="O7423" s="43">
        <f>IF($I7423=0,0,INDEX(DarlErsatzRate,16))</f>
      </c>
      <c r="P7423" s="43">
        <f>IF($I7423=0,0,$Q7422*INDEX(DarlErsatzZins,16))</f>
      </c>
      <c r="Q7423" s="43">
        <f>IF($I7423=0,0,$Q7422+$P7423+$O7423)</f>
      </c>
      <c r="R7423" s="43">
        <f>IF($I7423=0,0,$J7423-$M7423-$N7423)</f>
      </c>
    </row>
    <row r="7424">
      <c r="A7424"/>
      <c r="B7424">
        <v>16</v>
      </c>
      <c r="C7424" s="43">
        <f>INDEX(DarlObj,16)</f>
      </c>
      <c r="D7424">
        <v>221</v>
      </c>
      <c r="E7424" s="51">
        <f>IF(INDEX(DarlBelegt,16)=0,0,EOMONTH(INDEX(DarlAuszahlung,16),220)+1)</f>
      </c>
      <c r="F7424" s="43">
        <f>IF($E7424=0,0,YEAR($E7424))</f>
      </c>
      <c r="G7424" s="43">
        <f>IF(INDEX(DarlBindung,16)="",1,IF($E7424&lt;=INDEX(DarlBindung,16),1,0))</f>
      </c>
      <c r="H7424" s="43">
        <f>IF($G7424=1,INDEX(DarlSollzins,16),INDEX(DarlAnschluss,16))</f>
      </c>
      <c r="I7424" s="43">
        <f>IF(INDEX(DarlBelegt,16)=0,0,IF(INDEX(DarlOhneTilgung,16)=1,IF(INDEX(DarlBindung,16)="",1,$G7424),IF($J7424&gt;0.005,1,0)))</f>
      </c>
      <c r="J7424" s="43">
        <f>IF($I7423=0,0,$R7423)</f>
      </c>
      <c r="K7424" s="43">
        <f>IF($I7424=0,0,IF(INDEX(DarlOhneTilgung,16)=1,0,IF(AND(INDEX(DarlTilgStart,16)&gt;0,$E7424=INDEX(DarlTilgStart,16)),$J7424*($H7424+INDEX(DarlTilgung,16))/100/12,IF(AND($G7424=0,$G7423=1),MAX($K7423,$J7424*($H7424+1)/100/12),$K7423))))</f>
      </c>
      <c r="L7424" s="43">
        <f>IF($I7424=0,0,$J7424*$H7424/100/12)</f>
      </c>
      <c r="M7424" s="43">
        <f>IF($I7424=0,0,IF(OR(INDEX(DarlOhneTilgung,16)=1,AND(INDEX(DarlTilgStart,16)&gt;0,$E7424&lt;INDEX(DarlTilgStart,16))),0,MIN(MAX(0,$K7424-$L7424),$J7424)))</f>
      </c>
      <c r="N7424" s="43">
        <f>IF($I7424=0,0,MIN(SUMIFS(SondBetrag,SondDarl,16,SondDatum,"&gt;="&amp;$E7424,SondDatum,"&lt;="&amp;EOMONTH($E7424,0)),$J7424-$M7424))</f>
      </c>
      <c r="O7424" s="43">
        <f>IF($I7424=0,0,INDEX(DarlErsatzRate,16))</f>
      </c>
      <c r="P7424" s="43">
        <f>IF($I7424=0,0,$Q7423*INDEX(DarlErsatzZins,16))</f>
      </c>
      <c r="Q7424" s="43">
        <f>IF($I7424=0,0,$Q7423+$P7424+$O7424)</f>
      </c>
      <c r="R7424" s="43">
        <f>IF($I7424=0,0,$J7424-$M7424-$N7424)</f>
      </c>
    </row>
    <row r="7425">
      <c r="A7425"/>
      <c r="B7425">
        <v>16</v>
      </c>
      <c r="C7425" s="43">
        <f>INDEX(DarlObj,16)</f>
      </c>
      <c r="D7425">
        <v>222</v>
      </c>
      <c r="E7425" s="51">
        <f>IF(INDEX(DarlBelegt,16)=0,0,EOMONTH(INDEX(DarlAuszahlung,16),221)+1)</f>
      </c>
      <c r="F7425" s="43">
        <f>IF($E7425=0,0,YEAR($E7425))</f>
      </c>
      <c r="G7425" s="43">
        <f>IF(INDEX(DarlBindung,16)="",1,IF($E7425&lt;=INDEX(DarlBindung,16),1,0))</f>
      </c>
      <c r="H7425" s="43">
        <f>IF($G7425=1,INDEX(DarlSollzins,16),INDEX(DarlAnschluss,16))</f>
      </c>
      <c r="I7425" s="43">
        <f>IF(INDEX(DarlBelegt,16)=0,0,IF(INDEX(DarlOhneTilgung,16)=1,IF(INDEX(DarlBindung,16)="",1,$G7425),IF($J7425&gt;0.005,1,0)))</f>
      </c>
      <c r="J7425" s="43">
        <f>IF($I7424=0,0,$R7424)</f>
      </c>
      <c r="K7425" s="43">
        <f>IF($I7425=0,0,IF(INDEX(DarlOhneTilgung,16)=1,0,IF(AND(INDEX(DarlTilgStart,16)&gt;0,$E7425=INDEX(DarlTilgStart,16)),$J7425*($H7425+INDEX(DarlTilgung,16))/100/12,IF(AND($G7425=0,$G7424=1),MAX($K7424,$J7425*($H7425+1)/100/12),$K7424))))</f>
      </c>
      <c r="L7425" s="43">
        <f>IF($I7425=0,0,$J7425*$H7425/100/12)</f>
      </c>
      <c r="M7425" s="43">
        <f>IF($I7425=0,0,IF(OR(INDEX(DarlOhneTilgung,16)=1,AND(INDEX(DarlTilgStart,16)&gt;0,$E7425&lt;INDEX(DarlTilgStart,16))),0,MIN(MAX(0,$K7425-$L7425),$J7425)))</f>
      </c>
      <c r="N7425" s="43">
        <f>IF($I7425=0,0,MIN(SUMIFS(SondBetrag,SondDarl,16,SondDatum,"&gt;="&amp;$E7425,SondDatum,"&lt;="&amp;EOMONTH($E7425,0)),$J7425-$M7425))</f>
      </c>
      <c r="O7425" s="43">
        <f>IF($I7425=0,0,INDEX(DarlErsatzRate,16))</f>
      </c>
      <c r="P7425" s="43">
        <f>IF($I7425=0,0,$Q7424*INDEX(DarlErsatzZins,16))</f>
      </c>
      <c r="Q7425" s="43">
        <f>IF($I7425=0,0,$Q7424+$P7425+$O7425)</f>
      </c>
      <c r="R7425" s="43">
        <f>IF($I7425=0,0,$J7425-$M7425-$N7425)</f>
      </c>
    </row>
    <row r="7426">
      <c r="A7426"/>
      <c r="B7426">
        <v>16</v>
      </c>
      <c r="C7426" s="43">
        <f>INDEX(DarlObj,16)</f>
      </c>
      <c r="D7426">
        <v>223</v>
      </c>
      <c r="E7426" s="51">
        <f>IF(INDEX(DarlBelegt,16)=0,0,EOMONTH(INDEX(DarlAuszahlung,16),222)+1)</f>
      </c>
      <c r="F7426" s="43">
        <f>IF($E7426=0,0,YEAR($E7426))</f>
      </c>
      <c r="G7426" s="43">
        <f>IF(INDEX(DarlBindung,16)="",1,IF($E7426&lt;=INDEX(DarlBindung,16),1,0))</f>
      </c>
      <c r="H7426" s="43">
        <f>IF($G7426=1,INDEX(DarlSollzins,16),INDEX(DarlAnschluss,16))</f>
      </c>
      <c r="I7426" s="43">
        <f>IF(INDEX(DarlBelegt,16)=0,0,IF(INDEX(DarlOhneTilgung,16)=1,IF(INDEX(DarlBindung,16)="",1,$G7426),IF($J7426&gt;0.005,1,0)))</f>
      </c>
      <c r="J7426" s="43">
        <f>IF($I7425=0,0,$R7425)</f>
      </c>
      <c r="K7426" s="43">
        <f>IF($I7426=0,0,IF(INDEX(DarlOhneTilgung,16)=1,0,IF(AND(INDEX(DarlTilgStart,16)&gt;0,$E7426=INDEX(DarlTilgStart,16)),$J7426*($H7426+INDEX(DarlTilgung,16))/100/12,IF(AND($G7426=0,$G7425=1),MAX($K7425,$J7426*($H7426+1)/100/12),$K7425))))</f>
      </c>
      <c r="L7426" s="43">
        <f>IF($I7426=0,0,$J7426*$H7426/100/12)</f>
      </c>
      <c r="M7426" s="43">
        <f>IF($I7426=0,0,IF(OR(INDEX(DarlOhneTilgung,16)=1,AND(INDEX(DarlTilgStart,16)&gt;0,$E7426&lt;INDEX(DarlTilgStart,16))),0,MIN(MAX(0,$K7426-$L7426),$J7426)))</f>
      </c>
      <c r="N7426" s="43">
        <f>IF($I7426=0,0,MIN(SUMIFS(SondBetrag,SondDarl,16,SondDatum,"&gt;="&amp;$E7426,SondDatum,"&lt;="&amp;EOMONTH($E7426,0)),$J7426-$M7426))</f>
      </c>
      <c r="O7426" s="43">
        <f>IF($I7426=0,0,INDEX(DarlErsatzRate,16))</f>
      </c>
      <c r="P7426" s="43">
        <f>IF($I7426=0,0,$Q7425*INDEX(DarlErsatzZins,16))</f>
      </c>
      <c r="Q7426" s="43">
        <f>IF($I7426=0,0,$Q7425+$P7426+$O7426)</f>
      </c>
      <c r="R7426" s="43">
        <f>IF($I7426=0,0,$J7426-$M7426-$N7426)</f>
      </c>
    </row>
    <row r="7427">
      <c r="A7427"/>
      <c r="B7427">
        <v>16</v>
      </c>
      <c r="C7427" s="43">
        <f>INDEX(DarlObj,16)</f>
      </c>
      <c r="D7427">
        <v>224</v>
      </c>
      <c r="E7427" s="51">
        <f>IF(INDEX(DarlBelegt,16)=0,0,EOMONTH(INDEX(DarlAuszahlung,16),223)+1)</f>
      </c>
      <c r="F7427" s="43">
        <f>IF($E7427=0,0,YEAR($E7427))</f>
      </c>
      <c r="G7427" s="43">
        <f>IF(INDEX(DarlBindung,16)="",1,IF($E7427&lt;=INDEX(DarlBindung,16),1,0))</f>
      </c>
      <c r="H7427" s="43">
        <f>IF($G7427=1,INDEX(DarlSollzins,16),INDEX(DarlAnschluss,16))</f>
      </c>
      <c r="I7427" s="43">
        <f>IF(INDEX(DarlBelegt,16)=0,0,IF(INDEX(DarlOhneTilgung,16)=1,IF(INDEX(DarlBindung,16)="",1,$G7427),IF($J7427&gt;0.005,1,0)))</f>
      </c>
      <c r="J7427" s="43">
        <f>IF($I7426=0,0,$R7426)</f>
      </c>
      <c r="K7427" s="43">
        <f>IF($I7427=0,0,IF(INDEX(DarlOhneTilgung,16)=1,0,IF(AND(INDEX(DarlTilgStart,16)&gt;0,$E7427=INDEX(DarlTilgStart,16)),$J7427*($H7427+INDEX(DarlTilgung,16))/100/12,IF(AND($G7427=0,$G7426=1),MAX($K7426,$J7427*($H7427+1)/100/12),$K7426))))</f>
      </c>
      <c r="L7427" s="43">
        <f>IF($I7427=0,0,$J7427*$H7427/100/12)</f>
      </c>
      <c r="M7427" s="43">
        <f>IF($I7427=0,0,IF(OR(INDEX(DarlOhneTilgung,16)=1,AND(INDEX(DarlTilgStart,16)&gt;0,$E7427&lt;INDEX(DarlTilgStart,16))),0,MIN(MAX(0,$K7427-$L7427),$J7427)))</f>
      </c>
      <c r="N7427" s="43">
        <f>IF($I7427=0,0,MIN(SUMIFS(SondBetrag,SondDarl,16,SondDatum,"&gt;="&amp;$E7427,SondDatum,"&lt;="&amp;EOMONTH($E7427,0)),$J7427-$M7427))</f>
      </c>
      <c r="O7427" s="43">
        <f>IF($I7427=0,0,INDEX(DarlErsatzRate,16))</f>
      </c>
      <c r="P7427" s="43">
        <f>IF($I7427=0,0,$Q7426*INDEX(DarlErsatzZins,16))</f>
      </c>
      <c r="Q7427" s="43">
        <f>IF($I7427=0,0,$Q7426+$P7427+$O7427)</f>
      </c>
      <c r="R7427" s="43">
        <f>IF($I7427=0,0,$J7427-$M7427-$N7427)</f>
      </c>
    </row>
    <row r="7428">
      <c r="A7428"/>
      <c r="B7428">
        <v>16</v>
      </c>
      <c r="C7428" s="43">
        <f>INDEX(DarlObj,16)</f>
      </c>
      <c r="D7428">
        <v>225</v>
      </c>
      <c r="E7428" s="51">
        <f>IF(INDEX(DarlBelegt,16)=0,0,EOMONTH(INDEX(DarlAuszahlung,16),224)+1)</f>
      </c>
      <c r="F7428" s="43">
        <f>IF($E7428=0,0,YEAR($E7428))</f>
      </c>
      <c r="G7428" s="43">
        <f>IF(INDEX(DarlBindung,16)="",1,IF($E7428&lt;=INDEX(DarlBindung,16),1,0))</f>
      </c>
      <c r="H7428" s="43">
        <f>IF($G7428=1,INDEX(DarlSollzins,16),INDEX(DarlAnschluss,16))</f>
      </c>
      <c r="I7428" s="43">
        <f>IF(INDEX(DarlBelegt,16)=0,0,IF(INDEX(DarlOhneTilgung,16)=1,IF(INDEX(DarlBindung,16)="",1,$G7428),IF($J7428&gt;0.005,1,0)))</f>
      </c>
      <c r="J7428" s="43">
        <f>IF($I7427=0,0,$R7427)</f>
      </c>
      <c r="K7428" s="43">
        <f>IF($I7428=0,0,IF(INDEX(DarlOhneTilgung,16)=1,0,IF(AND(INDEX(DarlTilgStart,16)&gt;0,$E7428=INDEX(DarlTilgStart,16)),$J7428*($H7428+INDEX(DarlTilgung,16))/100/12,IF(AND($G7428=0,$G7427=1),MAX($K7427,$J7428*($H7428+1)/100/12),$K7427))))</f>
      </c>
      <c r="L7428" s="43">
        <f>IF($I7428=0,0,$J7428*$H7428/100/12)</f>
      </c>
      <c r="M7428" s="43">
        <f>IF($I7428=0,0,IF(OR(INDEX(DarlOhneTilgung,16)=1,AND(INDEX(DarlTilgStart,16)&gt;0,$E7428&lt;INDEX(DarlTilgStart,16))),0,MIN(MAX(0,$K7428-$L7428),$J7428)))</f>
      </c>
      <c r="N7428" s="43">
        <f>IF($I7428=0,0,MIN(SUMIFS(SondBetrag,SondDarl,16,SondDatum,"&gt;="&amp;$E7428,SondDatum,"&lt;="&amp;EOMONTH($E7428,0)),$J7428-$M7428))</f>
      </c>
      <c r="O7428" s="43">
        <f>IF($I7428=0,0,INDEX(DarlErsatzRate,16))</f>
      </c>
      <c r="P7428" s="43">
        <f>IF($I7428=0,0,$Q7427*INDEX(DarlErsatzZins,16))</f>
      </c>
      <c r="Q7428" s="43">
        <f>IF($I7428=0,0,$Q7427+$P7428+$O7428)</f>
      </c>
      <c r="R7428" s="43">
        <f>IF($I7428=0,0,$J7428-$M7428-$N7428)</f>
      </c>
    </row>
    <row r="7429">
      <c r="A7429"/>
      <c r="B7429">
        <v>16</v>
      </c>
      <c r="C7429" s="43">
        <f>INDEX(DarlObj,16)</f>
      </c>
      <c r="D7429">
        <v>226</v>
      </c>
      <c r="E7429" s="51">
        <f>IF(INDEX(DarlBelegt,16)=0,0,EOMONTH(INDEX(DarlAuszahlung,16),225)+1)</f>
      </c>
      <c r="F7429" s="43">
        <f>IF($E7429=0,0,YEAR($E7429))</f>
      </c>
      <c r="G7429" s="43">
        <f>IF(INDEX(DarlBindung,16)="",1,IF($E7429&lt;=INDEX(DarlBindung,16),1,0))</f>
      </c>
      <c r="H7429" s="43">
        <f>IF($G7429=1,INDEX(DarlSollzins,16),INDEX(DarlAnschluss,16))</f>
      </c>
      <c r="I7429" s="43">
        <f>IF(INDEX(DarlBelegt,16)=0,0,IF(INDEX(DarlOhneTilgung,16)=1,IF(INDEX(DarlBindung,16)="",1,$G7429),IF($J7429&gt;0.005,1,0)))</f>
      </c>
      <c r="J7429" s="43">
        <f>IF($I7428=0,0,$R7428)</f>
      </c>
      <c r="K7429" s="43">
        <f>IF($I7429=0,0,IF(INDEX(DarlOhneTilgung,16)=1,0,IF(AND(INDEX(DarlTilgStart,16)&gt;0,$E7429=INDEX(DarlTilgStart,16)),$J7429*($H7429+INDEX(DarlTilgung,16))/100/12,IF(AND($G7429=0,$G7428=1),MAX($K7428,$J7429*($H7429+1)/100/12),$K7428))))</f>
      </c>
      <c r="L7429" s="43">
        <f>IF($I7429=0,0,$J7429*$H7429/100/12)</f>
      </c>
      <c r="M7429" s="43">
        <f>IF($I7429=0,0,IF(OR(INDEX(DarlOhneTilgung,16)=1,AND(INDEX(DarlTilgStart,16)&gt;0,$E7429&lt;INDEX(DarlTilgStart,16))),0,MIN(MAX(0,$K7429-$L7429),$J7429)))</f>
      </c>
      <c r="N7429" s="43">
        <f>IF($I7429=0,0,MIN(SUMIFS(SondBetrag,SondDarl,16,SondDatum,"&gt;="&amp;$E7429,SondDatum,"&lt;="&amp;EOMONTH($E7429,0)),$J7429-$M7429))</f>
      </c>
      <c r="O7429" s="43">
        <f>IF($I7429=0,0,INDEX(DarlErsatzRate,16))</f>
      </c>
      <c r="P7429" s="43">
        <f>IF($I7429=0,0,$Q7428*INDEX(DarlErsatzZins,16))</f>
      </c>
      <c r="Q7429" s="43">
        <f>IF($I7429=0,0,$Q7428+$P7429+$O7429)</f>
      </c>
      <c r="R7429" s="43">
        <f>IF($I7429=0,0,$J7429-$M7429-$N7429)</f>
      </c>
    </row>
    <row r="7430">
      <c r="A7430"/>
      <c r="B7430">
        <v>16</v>
      </c>
      <c r="C7430" s="43">
        <f>INDEX(DarlObj,16)</f>
      </c>
      <c r="D7430">
        <v>227</v>
      </c>
      <c r="E7430" s="51">
        <f>IF(INDEX(DarlBelegt,16)=0,0,EOMONTH(INDEX(DarlAuszahlung,16),226)+1)</f>
      </c>
      <c r="F7430" s="43">
        <f>IF($E7430=0,0,YEAR($E7430))</f>
      </c>
      <c r="G7430" s="43">
        <f>IF(INDEX(DarlBindung,16)="",1,IF($E7430&lt;=INDEX(DarlBindung,16),1,0))</f>
      </c>
      <c r="H7430" s="43">
        <f>IF($G7430=1,INDEX(DarlSollzins,16),INDEX(DarlAnschluss,16))</f>
      </c>
      <c r="I7430" s="43">
        <f>IF(INDEX(DarlBelegt,16)=0,0,IF(INDEX(DarlOhneTilgung,16)=1,IF(INDEX(DarlBindung,16)="",1,$G7430),IF($J7430&gt;0.005,1,0)))</f>
      </c>
      <c r="J7430" s="43">
        <f>IF($I7429=0,0,$R7429)</f>
      </c>
      <c r="K7430" s="43">
        <f>IF($I7430=0,0,IF(INDEX(DarlOhneTilgung,16)=1,0,IF(AND(INDEX(DarlTilgStart,16)&gt;0,$E7430=INDEX(DarlTilgStart,16)),$J7430*($H7430+INDEX(DarlTilgung,16))/100/12,IF(AND($G7430=0,$G7429=1),MAX($K7429,$J7430*($H7430+1)/100/12),$K7429))))</f>
      </c>
      <c r="L7430" s="43">
        <f>IF($I7430=0,0,$J7430*$H7430/100/12)</f>
      </c>
      <c r="M7430" s="43">
        <f>IF($I7430=0,0,IF(OR(INDEX(DarlOhneTilgung,16)=1,AND(INDEX(DarlTilgStart,16)&gt;0,$E7430&lt;INDEX(DarlTilgStart,16))),0,MIN(MAX(0,$K7430-$L7430),$J7430)))</f>
      </c>
      <c r="N7430" s="43">
        <f>IF($I7430=0,0,MIN(SUMIFS(SondBetrag,SondDarl,16,SondDatum,"&gt;="&amp;$E7430,SondDatum,"&lt;="&amp;EOMONTH($E7430,0)),$J7430-$M7430))</f>
      </c>
      <c r="O7430" s="43">
        <f>IF($I7430=0,0,INDEX(DarlErsatzRate,16))</f>
      </c>
      <c r="P7430" s="43">
        <f>IF($I7430=0,0,$Q7429*INDEX(DarlErsatzZins,16))</f>
      </c>
      <c r="Q7430" s="43">
        <f>IF($I7430=0,0,$Q7429+$P7430+$O7430)</f>
      </c>
      <c r="R7430" s="43">
        <f>IF($I7430=0,0,$J7430-$M7430-$N7430)</f>
      </c>
    </row>
    <row r="7431">
      <c r="A7431"/>
      <c r="B7431">
        <v>16</v>
      </c>
      <c r="C7431" s="43">
        <f>INDEX(DarlObj,16)</f>
      </c>
      <c r="D7431">
        <v>228</v>
      </c>
      <c r="E7431" s="51">
        <f>IF(INDEX(DarlBelegt,16)=0,0,EOMONTH(INDEX(DarlAuszahlung,16),227)+1)</f>
      </c>
      <c r="F7431" s="43">
        <f>IF($E7431=0,0,YEAR($E7431))</f>
      </c>
      <c r="G7431" s="43">
        <f>IF(INDEX(DarlBindung,16)="",1,IF($E7431&lt;=INDEX(DarlBindung,16),1,0))</f>
      </c>
      <c r="H7431" s="43">
        <f>IF($G7431=1,INDEX(DarlSollzins,16),INDEX(DarlAnschluss,16))</f>
      </c>
      <c r="I7431" s="43">
        <f>IF(INDEX(DarlBelegt,16)=0,0,IF(INDEX(DarlOhneTilgung,16)=1,IF(INDEX(DarlBindung,16)="",1,$G7431),IF($J7431&gt;0.005,1,0)))</f>
      </c>
      <c r="J7431" s="43">
        <f>IF($I7430=0,0,$R7430)</f>
      </c>
      <c r="K7431" s="43">
        <f>IF($I7431=0,0,IF(INDEX(DarlOhneTilgung,16)=1,0,IF(AND(INDEX(DarlTilgStart,16)&gt;0,$E7431=INDEX(DarlTilgStart,16)),$J7431*($H7431+INDEX(DarlTilgung,16))/100/12,IF(AND($G7431=0,$G7430=1),MAX($K7430,$J7431*($H7431+1)/100/12),$K7430))))</f>
      </c>
      <c r="L7431" s="43">
        <f>IF($I7431=0,0,$J7431*$H7431/100/12)</f>
      </c>
      <c r="M7431" s="43">
        <f>IF($I7431=0,0,IF(OR(INDEX(DarlOhneTilgung,16)=1,AND(INDEX(DarlTilgStart,16)&gt;0,$E7431&lt;INDEX(DarlTilgStart,16))),0,MIN(MAX(0,$K7431-$L7431),$J7431)))</f>
      </c>
      <c r="N7431" s="43">
        <f>IF($I7431=0,0,MIN(SUMIFS(SondBetrag,SondDarl,16,SondDatum,"&gt;="&amp;$E7431,SondDatum,"&lt;="&amp;EOMONTH($E7431,0)),$J7431-$M7431))</f>
      </c>
      <c r="O7431" s="43">
        <f>IF($I7431=0,0,INDEX(DarlErsatzRate,16))</f>
      </c>
      <c r="P7431" s="43">
        <f>IF($I7431=0,0,$Q7430*INDEX(DarlErsatzZins,16))</f>
      </c>
      <c r="Q7431" s="43">
        <f>IF($I7431=0,0,$Q7430+$P7431+$O7431)</f>
      </c>
      <c r="R7431" s="43">
        <f>IF($I7431=0,0,$J7431-$M7431-$N7431)</f>
      </c>
    </row>
    <row r="7432">
      <c r="A7432"/>
      <c r="B7432">
        <v>16</v>
      </c>
      <c r="C7432" s="43">
        <f>INDEX(DarlObj,16)</f>
      </c>
      <c r="D7432">
        <v>229</v>
      </c>
      <c r="E7432" s="51">
        <f>IF(INDEX(DarlBelegt,16)=0,0,EOMONTH(INDEX(DarlAuszahlung,16),228)+1)</f>
      </c>
      <c r="F7432" s="43">
        <f>IF($E7432=0,0,YEAR($E7432))</f>
      </c>
      <c r="G7432" s="43">
        <f>IF(INDEX(DarlBindung,16)="",1,IF($E7432&lt;=INDEX(DarlBindung,16),1,0))</f>
      </c>
      <c r="H7432" s="43">
        <f>IF($G7432=1,INDEX(DarlSollzins,16),INDEX(DarlAnschluss,16))</f>
      </c>
      <c r="I7432" s="43">
        <f>IF(INDEX(DarlBelegt,16)=0,0,IF(INDEX(DarlOhneTilgung,16)=1,IF(INDEX(DarlBindung,16)="",1,$G7432),IF($J7432&gt;0.005,1,0)))</f>
      </c>
      <c r="J7432" s="43">
        <f>IF($I7431=0,0,$R7431)</f>
      </c>
      <c r="K7432" s="43">
        <f>IF($I7432=0,0,IF(INDEX(DarlOhneTilgung,16)=1,0,IF(AND(INDEX(DarlTilgStart,16)&gt;0,$E7432=INDEX(DarlTilgStart,16)),$J7432*($H7432+INDEX(DarlTilgung,16))/100/12,IF(AND($G7432=0,$G7431=1),MAX($K7431,$J7432*($H7432+1)/100/12),$K7431))))</f>
      </c>
      <c r="L7432" s="43">
        <f>IF($I7432=0,0,$J7432*$H7432/100/12)</f>
      </c>
      <c r="M7432" s="43">
        <f>IF($I7432=0,0,IF(OR(INDEX(DarlOhneTilgung,16)=1,AND(INDEX(DarlTilgStart,16)&gt;0,$E7432&lt;INDEX(DarlTilgStart,16))),0,MIN(MAX(0,$K7432-$L7432),$J7432)))</f>
      </c>
      <c r="N7432" s="43">
        <f>IF($I7432=0,0,MIN(SUMIFS(SondBetrag,SondDarl,16,SondDatum,"&gt;="&amp;$E7432,SondDatum,"&lt;="&amp;EOMONTH($E7432,0)),$J7432-$M7432))</f>
      </c>
      <c r="O7432" s="43">
        <f>IF($I7432=0,0,INDEX(DarlErsatzRate,16))</f>
      </c>
      <c r="P7432" s="43">
        <f>IF($I7432=0,0,$Q7431*INDEX(DarlErsatzZins,16))</f>
      </c>
      <c r="Q7432" s="43">
        <f>IF($I7432=0,0,$Q7431+$P7432+$O7432)</f>
      </c>
      <c r="R7432" s="43">
        <f>IF($I7432=0,0,$J7432-$M7432-$N7432)</f>
      </c>
    </row>
    <row r="7433">
      <c r="A7433"/>
      <c r="B7433">
        <v>16</v>
      </c>
      <c r="C7433" s="43">
        <f>INDEX(DarlObj,16)</f>
      </c>
      <c r="D7433">
        <v>230</v>
      </c>
      <c r="E7433" s="51">
        <f>IF(INDEX(DarlBelegt,16)=0,0,EOMONTH(INDEX(DarlAuszahlung,16),229)+1)</f>
      </c>
      <c r="F7433" s="43">
        <f>IF($E7433=0,0,YEAR($E7433))</f>
      </c>
      <c r="G7433" s="43">
        <f>IF(INDEX(DarlBindung,16)="",1,IF($E7433&lt;=INDEX(DarlBindung,16),1,0))</f>
      </c>
      <c r="H7433" s="43">
        <f>IF($G7433=1,INDEX(DarlSollzins,16),INDEX(DarlAnschluss,16))</f>
      </c>
      <c r="I7433" s="43">
        <f>IF(INDEX(DarlBelegt,16)=0,0,IF(INDEX(DarlOhneTilgung,16)=1,IF(INDEX(DarlBindung,16)="",1,$G7433),IF($J7433&gt;0.005,1,0)))</f>
      </c>
      <c r="J7433" s="43">
        <f>IF($I7432=0,0,$R7432)</f>
      </c>
      <c r="K7433" s="43">
        <f>IF($I7433=0,0,IF(INDEX(DarlOhneTilgung,16)=1,0,IF(AND(INDEX(DarlTilgStart,16)&gt;0,$E7433=INDEX(DarlTilgStart,16)),$J7433*($H7433+INDEX(DarlTilgung,16))/100/12,IF(AND($G7433=0,$G7432=1),MAX($K7432,$J7433*($H7433+1)/100/12),$K7432))))</f>
      </c>
      <c r="L7433" s="43">
        <f>IF($I7433=0,0,$J7433*$H7433/100/12)</f>
      </c>
      <c r="M7433" s="43">
        <f>IF($I7433=0,0,IF(OR(INDEX(DarlOhneTilgung,16)=1,AND(INDEX(DarlTilgStart,16)&gt;0,$E7433&lt;INDEX(DarlTilgStart,16))),0,MIN(MAX(0,$K7433-$L7433),$J7433)))</f>
      </c>
      <c r="N7433" s="43">
        <f>IF($I7433=0,0,MIN(SUMIFS(SondBetrag,SondDarl,16,SondDatum,"&gt;="&amp;$E7433,SondDatum,"&lt;="&amp;EOMONTH($E7433,0)),$J7433-$M7433))</f>
      </c>
      <c r="O7433" s="43">
        <f>IF($I7433=0,0,INDEX(DarlErsatzRate,16))</f>
      </c>
      <c r="P7433" s="43">
        <f>IF($I7433=0,0,$Q7432*INDEX(DarlErsatzZins,16))</f>
      </c>
      <c r="Q7433" s="43">
        <f>IF($I7433=0,0,$Q7432+$P7433+$O7433)</f>
      </c>
      <c r="R7433" s="43">
        <f>IF($I7433=0,0,$J7433-$M7433-$N7433)</f>
      </c>
    </row>
    <row r="7434">
      <c r="A7434"/>
      <c r="B7434">
        <v>16</v>
      </c>
      <c r="C7434" s="43">
        <f>INDEX(DarlObj,16)</f>
      </c>
      <c r="D7434">
        <v>231</v>
      </c>
      <c r="E7434" s="51">
        <f>IF(INDEX(DarlBelegt,16)=0,0,EOMONTH(INDEX(DarlAuszahlung,16),230)+1)</f>
      </c>
      <c r="F7434" s="43">
        <f>IF($E7434=0,0,YEAR($E7434))</f>
      </c>
      <c r="G7434" s="43">
        <f>IF(INDEX(DarlBindung,16)="",1,IF($E7434&lt;=INDEX(DarlBindung,16),1,0))</f>
      </c>
      <c r="H7434" s="43">
        <f>IF($G7434=1,INDEX(DarlSollzins,16),INDEX(DarlAnschluss,16))</f>
      </c>
      <c r="I7434" s="43">
        <f>IF(INDEX(DarlBelegt,16)=0,0,IF(INDEX(DarlOhneTilgung,16)=1,IF(INDEX(DarlBindung,16)="",1,$G7434),IF($J7434&gt;0.005,1,0)))</f>
      </c>
      <c r="J7434" s="43">
        <f>IF($I7433=0,0,$R7433)</f>
      </c>
      <c r="K7434" s="43">
        <f>IF($I7434=0,0,IF(INDEX(DarlOhneTilgung,16)=1,0,IF(AND(INDEX(DarlTilgStart,16)&gt;0,$E7434=INDEX(DarlTilgStart,16)),$J7434*($H7434+INDEX(DarlTilgung,16))/100/12,IF(AND($G7434=0,$G7433=1),MAX($K7433,$J7434*($H7434+1)/100/12),$K7433))))</f>
      </c>
      <c r="L7434" s="43">
        <f>IF($I7434=0,0,$J7434*$H7434/100/12)</f>
      </c>
      <c r="M7434" s="43">
        <f>IF($I7434=0,0,IF(OR(INDEX(DarlOhneTilgung,16)=1,AND(INDEX(DarlTilgStart,16)&gt;0,$E7434&lt;INDEX(DarlTilgStart,16))),0,MIN(MAX(0,$K7434-$L7434),$J7434)))</f>
      </c>
      <c r="N7434" s="43">
        <f>IF($I7434=0,0,MIN(SUMIFS(SondBetrag,SondDarl,16,SondDatum,"&gt;="&amp;$E7434,SondDatum,"&lt;="&amp;EOMONTH($E7434,0)),$J7434-$M7434))</f>
      </c>
      <c r="O7434" s="43">
        <f>IF($I7434=0,0,INDEX(DarlErsatzRate,16))</f>
      </c>
      <c r="P7434" s="43">
        <f>IF($I7434=0,0,$Q7433*INDEX(DarlErsatzZins,16))</f>
      </c>
      <c r="Q7434" s="43">
        <f>IF($I7434=0,0,$Q7433+$P7434+$O7434)</f>
      </c>
      <c r="R7434" s="43">
        <f>IF($I7434=0,0,$J7434-$M7434-$N7434)</f>
      </c>
    </row>
    <row r="7435">
      <c r="A7435"/>
      <c r="B7435">
        <v>16</v>
      </c>
      <c r="C7435" s="43">
        <f>INDEX(DarlObj,16)</f>
      </c>
      <c r="D7435">
        <v>232</v>
      </c>
      <c r="E7435" s="51">
        <f>IF(INDEX(DarlBelegt,16)=0,0,EOMONTH(INDEX(DarlAuszahlung,16),231)+1)</f>
      </c>
      <c r="F7435" s="43">
        <f>IF($E7435=0,0,YEAR($E7435))</f>
      </c>
      <c r="G7435" s="43">
        <f>IF(INDEX(DarlBindung,16)="",1,IF($E7435&lt;=INDEX(DarlBindung,16),1,0))</f>
      </c>
      <c r="H7435" s="43">
        <f>IF($G7435=1,INDEX(DarlSollzins,16),INDEX(DarlAnschluss,16))</f>
      </c>
      <c r="I7435" s="43">
        <f>IF(INDEX(DarlBelegt,16)=0,0,IF(INDEX(DarlOhneTilgung,16)=1,IF(INDEX(DarlBindung,16)="",1,$G7435),IF($J7435&gt;0.005,1,0)))</f>
      </c>
      <c r="J7435" s="43">
        <f>IF($I7434=0,0,$R7434)</f>
      </c>
      <c r="K7435" s="43">
        <f>IF($I7435=0,0,IF(INDEX(DarlOhneTilgung,16)=1,0,IF(AND(INDEX(DarlTilgStart,16)&gt;0,$E7435=INDEX(DarlTilgStart,16)),$J7435*($H7435+INDEX(DarlTilgung,16))/100/12,IF(AND($G7435=0,$G7434=1),MAX($K7434,$J7435*($H7435+1)/100/12),$K7434))))</f>
      </c>
      <c r="L7435" s="43">
        <f>IF($I7435=0,0,$J7435*$H7435/100/12)</f>
      </c>
      <c r="M7435" s="43">
        <f>IF($I7435=0,0,IF(OR(INDEX(DarlOhneTilgung,16)=1,AND(INDEX(DarlTilgStart,16)&gt;0,$E7435&lt;INDEX(DarlTilgStart,16))),0,MIN(MAX(0,$K7435-$L7435),$J7435)))</f>
      </c>
      <c r="N7435" s="43">
        <f>IF($I7435=0,0,MIN(SUMIFS(SondBetrag,SondDarl,16,SondDatum,"&gt;="&amp;$E7435,SondDatum,"&lt;="&amp;EOMONTH($E7435,0)),$J7435-$M7435))</f>
      </c>
      <c r="O7435" s="43">
        <f>IF($I7435=0,0,INDEX(DarlErsatzRate,16))</f>
      </c>
      <c r="P7435" s="43">
        <f>IF($I7435=0,0,$Q7434*INDEX(DarlErsatzZins,16))</f>
      </c>
      <c r="Q7435" s="43">
        <f>IF($I7435=0,0,$Q7434+$P7435+$O7435)</f>
      </c>
      <c r="R7435" s="43">
        <f>IF($I7435=0,0,$J7435-$M7435-$N7435)</f>
      </c>
    </row>
    <row r="7436">
      <c r="A7436"/>
      <c r="B7436">
        <v>16</v>
      </c>
      <c r="C7436" s="43">
        <f>INDEX(DarlObj,16)</f>
      </c>
      <c r="D7436">
        <v>233</v>
      </c>
      <c r="E7436" s="51">
        <f>IF(INDEX(DarlBelegt,16)=0,0,EOMONTH(INDEX(DarlAuszahlung,16),232)+1)</f>
      </c>
      <c r="F7436" s="43">
        <f>IF($E7436=0,0,YEAR($E7436))</f>
      </c>
      <c r="G7436" s="43">
        <f>IF(INDEX(DarlBindung,16)="",1,IF($E7436&lt;=INDEX(DarlBindung,16),1,0))</f>
      </c>
      <c r="H7436" s="43">
        <f>IF($G7436=1,INDEX(DarlSollzins,16),INDEX(DarlAnschluss,16))</f>
      </c>
      <c r="I7436" s="43">
        <f>IF(INDEX(DarlBelegt,16)=0,0,IF(INDEX(DarlOhneTilgung,16)=1,IF(INDEX(DarlBindung,16)="",1,$G7436),IF($J7436&gt;0.005,1,0)))</f>
      </c>
      <c r="J7436" s="43">
        <f>IF($I7435=0,0,$R7435)</f>
      </c>
      <c r="K7436" s="43">
        <f>IF($I7436=0,0,IF(INDEX(DarlOhneTilgung,16)=1,0,IF(AND(INDEX(DarlTilgStart,16)&gt;0,$E7436=INDEX(DarlTilgStart,16)),$J7436*($H7436+INDEX(DarlTilgung,16))/100/12,IF(AND($G7436=0,$G7435=1),MAX($K7435,$J7436*($H7436+1)/100/12),$K7435))))</f>
      </c>
      <c r="L7436" s="43">
        <f>IF($I7436=0,0,$J7436*$H7436/100/12)</f>
      </c>
      <c r="M7436" s="43">
        <f>IF($I7436=0,0,IF(OR(INDEX(DarlOhneTilgung,16)=1,AND(INDEX(DarlTilgStart,16)&gt;0,$E7436&lt;INDEX(DarlTilgStart,16))),0,MIN(MAX(0,$K7436-$L7436),$J7436)))</f>
      </c>
      <c r="N7436" s="43">
        <f>IF($I7436=0,0,MIN(SUMIFS(SondBetrag,SondDarl,16,SondDatum,"&gt;="&amp;$E7436,SondDatum,"&lt;="&amp;EOMONTH($E7436,0)),$J7436-$M7436))</f>
      </c>
      <c r="O7436" s="43">
        <f>IF($I7436=0,0,INDEX(DarlErsatzRate,16))</f>
      </c>
      <c r="P7436" s="43">
        <f>IF($I7436=0,0,$Q7435*INDEX(DarlErsatzZins,16))</f>
      </c>
      <c r="Q7436" s="43">
        <f>IF($I7436=0,0,$Q7435+$P7436+$O7436)</f>
      </c>
      <c r="R7436" s="43">
        <f>IF($I7436=0,0,$J7436-$M7436-$N7436)</f>
      </c>
    </row>
    <row r="7437">
      <c r="A7437"/>
      <c r="B7437">
        <v>16</v>
      </c>
      <c r="C7437" s="43">
        <f>INDEX(DarlObj,16)</f>
      </c>
      <c r="D7437">
        <v>234</v>
      </c>
      <c r="E7437" s="51">
        <f>IF(INDEX(DarlBelegt,16)=0,0,EOMONTH(INDEX(DarlAuszahlung,16),233)+1)</f>
      </c>
      <c r="F7437" s="43">
        <f>IF($E7437=0,0,YEAR($E7437))</f>
      </c>
      <c r="G7437" s="43">
        <f>IF(INDEX(DarlBindung,16)="",1,IF($E7437&lt;=INDEX(DarlBindung,16),1,0))</f>
      </c>
      <c r="H7437" s="43">
        <f>IF($G7437=1,INDEX(DarlSollzins,16),INDEX(DarlAnschluss,16))</f>
      </c>
      <c r="I7437" s="43">
        <f>IF(INDEX(DarlBelegt,16)=0,0,IF(INDEX(DarlOhneTilgung,16)=1,IF(INDEX(DarlBindung,16)="",1,$G7437),IF($J7437&gt;0.005,1,0)))</f>
      </c>
      <c r="J7437" s="43">
        <f>IF($I7436=0,0,$R7436)</f>
      </c>
      <c r="K7437" s="43">
        <f>IF($I7437=0,0,IF(INDEX(DarlOhneTilgung,16)=1,0,IF(AND(INDEX(DarlTilgStart,16)&gt;0,$E7437=INDEX(DarlTilgStart,16)),$J7437*($H7437+INDEX(DarlTilgung,16))/100/12,IF(AND($G7437=0,$G7436=1),MAX($K7436,$J7437*($H7437+1)/100/12),$K7436))))</f>
      </c>
      <c r="L7437" s="43">
        <f>IF($I7437=0,0,$J7437*$H7437/100/12)</f>
      </c>
      <c r="M7437" s="43">
        <f>IF($I7437=0,0,IF(OR(INDEX(DarlOhneTilgung,16)=1,AND(INDEX(DarlTilgStart,16)&gt;0,$E7437&lt;INDEX(DarlTilgStart,16))),0,MIN(MAX(0,$K7437-$L7437),$J7437)))</f>
      </c>
      <c r="N7437" s="43">
        <f>IF($I7437=0,0,MIN(SUMIFS(SondBetrag,SondDarl,16,SondDatum,"&gt;="&amp;$E7437,SondDatum,"&lt;="&amp;EOMONTH($E7437,0)),$J7437-$M7437))</f>
      </c>
      <c r="O7437" s="43">
        <f>IF($I7437=0,0,INDEX(DarlErsatzRate,16))</f>
      </c>
      <c r="P7437" s="43">
        <f>IF($I7437=0,0,$Q7436*INDEX(DarlErsatzZins,16))</f>
      </c>
      <c r="Q7437" s="43">
        <f>IF($I7437=0,0,$Q7436+$P7437+$O7437)</f>
      </c>
      <c r="R7437" s="43">
        <f>IF($I7437=0,0,$J7437-$M7437-$N7437)</f>
      </c>
    </row>
    <row r="7438">
      <c r="A7438"/>
      <c r="B7438">
        <v>16</v>
      </c>
      <c r="C7438" s="43">
        <f>INDEX(DarlObj,16)</f>
      </c>
      <c r="D7438">
        <v>235</v>
      </c>
      <c r="E7438" s="51">
        <f>IF(INDEX(DarlBelegt,16)=0,0,EOMONTH(INDEX(DarlAuszahlung,16),234)+1)</f>
      </c>
      <c r="F7438" s="43">
        <f>IF($E7438=0,0,YEAR($E7438))</f>
      </c>
      <c r="G7438" s="43">
        <f>IF(INDEX(DarlBindung,16)="",1,IF($E7438&lt;=INDEX(DarlBindung,16),1,0))</f>
      </c>
      <c r="H7438" s="43">
        <f>IF($G7438=1,INDEX(DarlSollzins,16),INDEX(DarlAnschluss,16))</f>
      </c>
      <c r="I7438" s="43">
        <f>IF(INDEX(DarlBelegt,16)=0,0,IF(INDEX(DarlOhneTilgung,16)=1,IF(INDEX(DarlBindung,16)="",1,$G7438),IF($J7438&gt;0.005,1,0)))</f>
      </c>
      <c r="J7438" s="43">
        <f>IF($I7437=0,0,$R7437)</f>
      </c>
      <c r="K7438" s="43">
        <f>IF($I7438=0,0,IF(INDEX(DarlOhneTilgung,16)=1,0,IF(AND(INDEX(DarlTilgStart,16)&gt;0,$E7438=INDEX(DarlTilgStart,16)),$J7438*($H7438+INDEX(DarlTilgung,16))/100/12,IF(AND($G7438=0,$G7437=1),MAX($K7437,$J7438*($H7438+1)/100/12),$K7437))))</f>
      </c>
      <c r="L7438" s="43">
        <f>IF($I7438=0,0,$J7438*$H7438/100/12)</f>
      </c>
      <c r="M7438" s="43">
        <f>IF($I7438=0,0,IF(OR(INDEX(DarlOhneTilgung,16)=1,AND(INDEX(DarlTilgStart,16)&gt;0,$E7438&lt;INDEX(DarlTilgStart,16))),0,MIN(MAX(0,$K7438-$L7438),$J7438)))</f>
      </c>
      <c r="N7438" s="43">
        <f>IF($I7438=0,0,MIN(SUMIFS(SondBetrag,SondDarl,16,SondDatum,"&gt;="&amp;$E7438,SondDatum,"&lt;="&amp;EOMONTH($E7438,0)),$J7438-$M7438))</f>
      </c>
      <c r="O7438" s="43">
        <f>IF($I7438=0,0,INDEX(DarlErsatzRate,16))</f>
      </c>
      <c r="P7438" s="43">
        <f>IF($I7438=0,0,$Q7437*INDEX(DarlErsatzZins,16))</f>
      </c>
      <c r="Q7438" s="43">
        <f>IF($I7438=0,0,$Q7437+$P7438+$O7438)</f>
      </c>
      <c r="R7438" s="43">
        <f>IF($I7438=0,0,$J7438-$M7438-$N7438)</f>
      </c>
    </row>
    <row r="7439">
      <c r="A7439"/>
      <c r="B7439">
        <v>16</v>
      </c>
      <c r="C7439" s="43">
        <f>INDEX(DarlObj,16)</f>
      </c>
      <c r="D7439">
        <v>236</v>
      </c>
      <c r="E7439" s="51">
        <f>IF(INDEX(DarlBelegt,16)=0,0,EOMONTH(INDEX(DarlAuszahlung,16),235)+1)</f>
      </c>
      <c r="F7439" s="43">
        <f>IF($E7439=0,0,YEAR($E7439))</f>
      </c>
      <c r="G7439" s="43">
        <f>IF(INDEX(DarlBindung,16)="",1,IF($E7439&lt;=INDEX(DarlBindung,16),1,0))</f>
      </c>
      <c r="H7439" s="43">
        <f>IF($G7439=1,INDEX(DarlSollzins,16),INDEX(DarlAnschluss,16))</f>
      </c>
      <c r="I7439" s="43">
        <f>IF(INDEX(DarlBelegt,16)=0,0,IF(INDEX(DarlOhneTilgung,16)=1,IF(INDEX(DarlBindung,16)="",1,$G7439),IF($J7439&gt;0.005,1,0)))</f>
      </c>
      <c r="J7439" s="43">
        <f>IF($I7438=0,0,$R7438)</f>
      </c>
      <c r="K7439" s="43">
        <f>IF($I7439=0,0,IF(INDEX(DarlOhneTilgung,16)=1,0,IF(AND(INDEX(DarlTilgStart,16)&gt;0,$E7439=INDEX(DarlTilgStart,16)),$J7439*($H7439+INDEX(DarlTilgung,16))/100/12,IF(AND($G7439=0,$G7438=1),MAX($K7438,$J7439*($H7439+1)/100/12),$K7438))))</f>
      </c>
      <c r="L7439" s="43">
        <f>IF($I7439=0,0,$J7439*$H7439/100/12)</f>
      </c>
      <c r="M7439" s="43">
        <f>IF($I7439=0,0,IF(OR(INDEX(DarlOhneTilgung,16)=1,AND(INDEX(DarlTilgStart,16)&gt;0,$E7439&lt;INDEX(DarlTilgStart,16))),0,MIN(MAX(0,$K7439-$L7439),$J7439)))</f>
      </c>
      <c r="N7439" s="43">
        <f>IF($I7439=0,0,MIN(SUMIFS(SondBetrag,SondDarl,16,SondDatum,"&gt;="&amp;$E7439,SondDatum,"&lt;="&amp;EOMONTH($E7439,0)),$J7439-$M7439))</f>
      </c>
      <c r="O7439" s="43">
        <f>IF($I7439=0,0,INDEX(DarlErsatzRate,16))</f>
      </c>
      <c r="P7439" s="43">
        <f>IF($I7439=0,0,$Q7438*INDEX(DarlErsatzZins,16))</f>
      </c>
      <c r="Q7439" s="43">
        <f>IF($I7439=0,0,$Q7438+$P7439+$O7439)</f>
      </c>
      <c r="R7439" s="43">
        <f>IF($I7439=0,0,$J7439-$M7439-$N7439)</f>
      </c>
    </row>
    <row r="7440">
      <c r="A7440"/>
      <c r="B7440">
        <v>16</v>
      </c>
      <c r="C7440" s="43">
        <f>INDEX(DarlObj,16)</f>
      </c>
      <c r="D7440">
        <v>237</v>
      </c>
      <c r="E7440" s="51">
        <f>IF(INDEX(DarlBelegt,16)=0,0,EOMONTH(INDEX(DarlAuszahlung,16),236)+1)</f>
      </c>
      <c r="F7440" s="43">
        <f>IF($E7440=0,0,YEAR($E7440))</f>
      </c>
      <c r="G7440" s="43">
        <f>IF(INDEX(DarlBindung,16)="",1,IF($E7440&lt;=INDEX(DarlBindung,16),1,0))</f>
      </c>
      <c r="H7440" s="43">
        <f>IF($G7440=1,INDEX(DarlSollzins,16),INDEX(DarlAnschluss,16))</f>
      </c>
      <c r="I7440" s="43">
        <f>IF(INDEX(DarlBelegt,16)=0,0,IF(INDEX(DarlOhneTilgung,16)=1,IF(INDEX(DarlBindung,16)="",1,$G7440),IF($J7440&gt;0.005,1,0)))</f>
      </c>
      <c r="J7440" s="43">
        <f>IF($I7439=0,0,$R7439)</f>
      </c>
      <c r="K7440" s="43">
        <f>IF($I7440=0,0,IF(INDEX(DarlOhneTilgung,16)=1,0,IF(AND(INDEX(DarlTilgStart,16)&gt;0,$E7440=INDEX(DarlTilgStart,16)),$J7440*($H7440+INDEX(DarlTilgung,16))/100/12,IF(AND($G7440=0,$G7439=1),MAX($K7439,$J7440*($H7440+1)/100/12),$K7439))))</f>
      </c>
      <c r="L7440" s="43">
        <f>IF($I7440=0,0,$J7440*$H7440/100/12)</f>
      </c>
      <c r="M7440" s="43">
        <f>IF($I7440=0,0,IF(OR(INDEX(DarlOhneTilgung,16)=1,AND(INDEX(DarlTilgStart,16)&gt;0,$E7440&lt;INDEX(DarlTilgStart,16))),0,MIN(MAX(0,$K7440-$L7440),$J7440)))</f>
      </c>
      <c r="N7440" s="43">
        <f>IF($I7440=0,0,MIN(SUMIFS(SondBetrag,SondDarl,16,SondDatum,"&gt;="&amp;$E7440,SondDatum,"&lt;="&amp;EOMONTH($E7440,0)),$J7440-$M7440))</f>
      </c>
      <c r="O7440" s="43">
        <f>IF($I7440=0,0,INDEX(DarlErsatzRate,16))</f>
      </c>
      <c r="P7440" s="43">
        <f>IF($I7440=0,0,$Q7439*INDEX(DarlErsatzZins,16))</f>
      </c>
      <c r="Q7440" s="43">
        <f>IF($I7440=0,0,$Q7439+$P7440+$O7440)</f>
      </c>
      <c r="R7440" s="43">
        <f>IF($I7440=0,0,$J7440-$M7440-$N7440)</f>
      </c>
    </row>
    <row r="7441">
      <c r="A7441"/>
      <c r="B7441">
        <v>16</v>
      </c>
      <c r="C7441" s="43">
        <f>INDEX(DarlObj,16)</f>
      </c>
      <c r="D7441">
        <v>238</v>
      </c>
      <c r="E7441" s="51">
        <f>IF(INDEX(DarlBelegt,16)=0,0,EOMONTH(INDEX(DarlAuszahlung,16),237)+1)</f>
      </c>
      <c r="F7441" s="43">
        <f>IF($E7441=0,0,YEAR($E7441))</f>
      </c>
      <c r="G7441" s="43">
        <f>IF(INDEX(DarlBindung,16)="",1,IF($E7441&lt;=INDEX(DarlBindung,16),1,0))</f>
      </c>
      <c r="H7441" s="43">
        <f>IF($G7441=1,INDEX(DarlSollzins,16),INDEX(DarlAnschluss,16))</f>
      </c>
      <c r="I7441" s="43">
        <f>IF(INDEX(DarlBelegt,16)=0,0,IF(INDEX(DarlOhneTilgung,16)=1,IF(INDEX(DarlBindung,16)="",1,$G7441),IF($J7441&gt;0.005,1,0)))</f>
      </c>
      <c r="J7441" s="43">
        <f>IF($I7440=0,0,$R7440)</f>
      </c>
      <c r="K7441" s="43">
        <f>IF($I7441=0,0,IF(INDEX(DarlOhneTilgung,16)=1,0,IF(AND(INDEX(DarlTilgStart,16)&gt;0,$E7441=INDEX(DarlTilgStart,16)),$J7441*($H7441+INDEX(DarlTilgung,16))/100/12,IF(AND($G7441=0,$G7440=1),MAX($K7440,$J7441*($H7441+1)/100/12),$K7440))))</f>
      </c>
      <c r="L7441" s="43">
        <f>IF($I7441=0,0,$J7441*$H7441/100/12)</f>
      </c>
      <c r="M7441" s="43">
        <f>IF($I7441=0,0,IF(OR(INDEX(DarlOhneTilgung,16)=1,AND(INDEX(DarlTilgStart,16)&gt;0,$E7441&lt;INDEX(DarlTilgStart,16))),0,MIN(MAX(0,$K7441-$L7441),$J7441)))</f>
      </c>
      <c r="N7441" s="43">
        <f>IF($I7441=0,0,MIN(SUMIFS(SondBetrag,SondDarl,16,SondDatum,"&gt;="&amp;$E7441,SondDatum,"&lt;="&amp;EOMONTH($E7441,0)),$J7441-$M7441))</f>
      </c>
      <c r="O7441" s="43">
        <f>IF($I7441=0,0,INDEX(DarlErsatzRate,16))</f>
      </c>
      <c r="P7441" s="43">
        <f>IF($I7441=0,0,$Q7440*INDEX(DarlErsatzZins,16))</f>
      </c>
      <c r="Q7441" s="43">
        <f>IF($I7441=0,0,$Q7440+$P7441+$O7441)</f>
      </c>
      <c r="R7441" s="43">
        <f>IF($I7441=0,0,$J7441-$M7441-$N7441)</f>
      </c>
    </row>
    <row r="7442">
      <c r="A7442"/>
      <c r="B7442">
        <v>16</v>
      </c>
      <c r="C7442" s="43">
        <f>INDEX(DarlObj,16)</f>
      </c>
      <c r="D7442">
        <v>239</v>
      </c>
      <c r="E7442" s="51">
        <f>IF(INDEX(DarlBelegt,16)=0,0,EOMONTH(INDEX(DarlAuszahlung,16),238)+1)</f>
      </c>
      <c r="F7442" s="43">
        <f>IF($E7442=0,0,YEAR($E7442))</f>
      </c>
      <c r="G7442" s="43">
        <f>IF(INDEX(DarlBindung,16)="",1,IF($E7442&lt;=INDEX(DarlBindung,16),1,0))</f>
      </c>
      <c r="H7442" s="43">
        <f>IF($G7442=1,INDEX(DarlSollzins,16),INDEX(DarlAnschluss,16))</f>
      </c>
      <c r="I7442" s="43">
        <f>IF(INDEX(DarlBelegt,16)=0,0,IF(INDEX(DarlOhneTilgung,16)=1,IF(INDEX(DarlBindung,16)="",1,$G7442),IF($J7442&gt;0.005,1,0)))</f>
      </c>
      <c r="J7442" s="43">
        <f>IF($I7441=0,0,$R7441)</f>
      </c>
      <c r="K7442" s="43">
        <f>IF($I7442=0,0,IF(INDEX(DarlOhneTilgung,16)=1,0,IF(AND(INDEX(DarlTilgStart,16)&gt;0,$E7442=INDEX(DarlTilgStart,16)),$J7442*($H7442+INDEX(DarlTilgung,16))/100/12,IF(AND($G7442=0,$G7441=1),MAX($K7441,$J7442*($H7442+1)/100/12),$K7441))))</f>
      </c>
      <c r="L7442" s="43">
        <f>IF($I7442=0,0,$J7442*$H7442/100/12)</f>
      </c>
      <c r="M7442" s="43">
        <f>IF($I7442=0,0,IF(OR(INDEX(DarlOhneTilgung,16)=1,AND(INDEX(DarlTilgStart,16)&gt;0,$E7442&lt;INDEX(DarlTilgStart,16))),0,MIN(MAX(0,$K7442-$L7442),$J7442)))</f>
      </c>
      <c r="N7442" s="43">
        <f>IF($I7442=0,0,MIN(SUMIFS(SondBetrag,SondDarl,16,SondDatum,"&gt;="&amp;$E7442,SondDatum,"&lt;="&amp;EOMONTH($E7442,0)),$J7442-$M7442))</f>
      </c>
      <c r="O7442" s="43">
        <f>IF($I7442=0,0,INDEX(DarlErsatzRate,16))</f>
      </c>
      <c r="P7442" s="43">
        <f>IF($I7442=0,0,$Q7441*INDEX(DarlErsatzZins,16))</f>
      </c>
      <c r="Q7442" s="43">
        <f>IF($I7442=0,0,$Q7441+$P7442+$O7442)</f>
      </c>
      <c r="R7442" s="43">
        <f>IF($I7442=0,0,$J7442-$M7442-$N7442)</f>
      </c>
    </row>
    <row r="7443">
      <c r="A7443"/>
      <c r="B7443">
        <v>16</v>
      </c>
      <c r="C7443" s="43">
        <f>INDEX(DarlObj,16)</f>
      </c>
      <c r="D7443">
        <v>240</v>
      </c>
      <c r="E7443" s="51">
        <f>IF(INDEX(DarlBelegt,16)=0,0,EOMONTH(INDEX(DarlAuszahlung,16),239)+1)</f>
      </c>
      <c r="F7443" s="43">
        <f>IF($E7443=0,0,YEAR($E7443))</f>
      </c>
      <c r="G7443" s="43">
        <f>IF(INDEX(DarlBindung,16)="",1,IF($E7443&lt;=INDEX(DarlBindung,16),1,0))</f>
      </c>
      <c r="H7443" s="43">
        <f>IF($G7443=1,INDEX(DarlSollzins,16),INDEX(DarlAnschluss,16))</f>
      </c>
      <c r="I7443" s="43">
        <f>IF(INDEX(DarlBelegt,16)=0,0,IF(INDEX(DarlOhneTilgung,16)=1,IF(INDEX(DarlBindung,16)="",1,$G7443),IF($J7443&gt;0.005,1,0)))</f>
      </c>
      <c r="J7443" s="43">
        <f>IF($I7442=0,0,$R7442)</f>
      </c>
      <c r="K7443" s="43">
        <f>IF($I7443=0,0,IF(INDEX(DarlOhneTilgung,16)=1,0,IF(AND(INDEX(DarlTilgStart,16)&gt;0,$E7443=INDEX(DarlTilgStart,16)),$J7443*($H7443+INDEX(DarlTilgung,16))/100/12,IF(AND($G7443=0,$G7442=1),MAX($K7442,$J7443*($H7443+1)/100/12),$K7442))))</f>
      </c>
      <c r="L7443" s="43">
        <f>IF($I7443=0,0,$J7443*$H7443/100/12)</f>
      </c>
      <c r="M7443" s="43">
        <f>IF($I7443=0,0,IF(OR(INDEX(DarlOhneTilgung,16)=1,AND(INDEX(DarlTilgStart,16)&gt;0,$E7443&lt;INDEX(DarlTilgStart,16))),0,MIN(MAX(0,$K7443-$L7443),$J7443)))</f>
      </c>
      <c r="N7443" s="43">
        <f>IF($I7443=0,0,MIN(SUMIFS(SondBetrag,SondDarl,16,SondDatum,"&gt;="&amp;$E7443,SondDatum,"&lt;="&amp;EOMONTH($E7443,0)),$J7443-$M7443))</f>
      </c>
      <c r="O7443" s="43">
        <f>IF($I7443=0,0,INDEX(DarlErsatzRate,16))</f>
      </c>
      <c r="P7443" s="43">
        <f>IF($I7443=0,0,$Q7442*INDEX(DarlErsatzZins,16))</f>
      </c>
      <c r="Q7443" s="43">
        <f>IF($I7443=0,0,$Q7442+$P7443+$O7443)</f>
      </c>
      <c r="R7443" s="43">
        <f>IF($I7443=0,0,$J7443-$M7443-$N7443)</f>
      </c>
    </row>
    <row r="7444">
      <c r="A7444"/>
      <c r="B7444">
        <v>16</v>
      </c>
      <c r="C7444" s="43">
        <f>INDEX(DarlObj,16)</f>
      </c>
      <c r="D7444">
        <v>241</v>
      </c>
      <c r="E7444" s="51">
        <f>IF(INDEX(DarlBelegt,16)=0,0,EOMONTH(INDEX(DarlAuszahlung,16),240)+1)</f>
      </c>
      <c r="F7444" s="43">
        <f>IF($E7444=0,0,YEAR($E7444))</f>
      </c>
      <c r="G7444" s="43">
        <f>IF(INDEX(DarlBindung,16)="",1,IF($E7444&lt;=INDEX(DarlBindung,16),1,0))</f>
      </c>
      <c r="H7444" s="43">
        <f>IF($G7444=1,INDEX(DarlSollzins,16),INDEX(DarlAnschluss,16))</f>
      </c>
      <c r="I7444" s="43">
        <f>IF(INDEX(DarlBelegt,16)=0,0,IF(INDEX(DarlOhneTilgung,16)=1,IF(INDEX(DarlBindung,16)="",1,$G7444),IF($J7444&gt;0.005,1,0)))</f>
      </c>
      <c r="J7444" s="43">
        <f>IF($I7443=0,0,$R7443)</f>
      </c>
      <c r="K7444" s="43">
        <f>IF($I7444=0,0,IF(INDEX(DarlOhneTilgung,16)=1,0,IF(AND(INDEX(DarlTilgStart,16)&gt;0,$E7444=INDEX(DarlTilgStart,16)),$J7444*($H7444+INDEX(DarlTilgung,16))/100/12,IF(AND($G7444=0,$G7443=1),MAX($K7443,$J7444*($H7444+1)/100/12),$K7443))))</f>
      </c>
      <c r="L7444" s="43">
        <f>IF($I7444=0,0,$J7444*$H7444/100/12)</f>
      </c>
      <c r="M7444" s="43">
        <f>IF($I7444=0,0,IF(OR(INDEX(DarlOhneTilgung,16)=1,AND(INDEX(DarlTilgStart,16)&gt;0,$E7444&lt;INDEX(DarlTilgStart,16))),0,MIN(MAX(0,$K7444-$L7444),$J7444)))</f>
      </c>
      <c r="N7444" s="43">
        <f>IF($I7444=0,0,MIN(SUMIFS(SondBetrag,SondDarl,16,SondDatum,"&gt;="&amp;$E7444,SondDatum,"&lt;="&amp;EOMONTH($E7444,0)),$J7444-$M7444))</f>
      </c>
      <c r="O7444" s="43">
        <f>IF($I7444=0,0,INDEX(DarlErsatzRate,16))</f>
      </c>
      <c r="P7444" s="43">
        <f>IF($I7444=0,0,$Q7443*INDEX(DarlErsatzZins,16))</f>
      </c>
      <c r="Q7444" s="43">
        <f>IF($I7444=0,0,$Q7443+$P7444+$O7444)</f>
      </c>
      <c r="R7444" s="43">
        <f>IF($I7444=0,0,$J7444-$M7444-$N7444)</f>
      </c>
    </row>
    <row r="7445">
      <c r="A7445"/>
      <c r="B7445">
        <v>16</v>
      </c>
      <c r="C7445" s="43">
        <f>INDEX(DarlObj,16)</f>
      </c>
      <c r="D7445">
        <v>242</v>
      </c>
      <c r="E7445" s="51">
        <f>IF(INDEX(DarlBelegt,16)=0,0,EOMONTH(INDEX(DarlAuszahlung,16),241)+1)</f>
      </c>
      <c r="F7445" s="43">
        <f>IF($E7445=0,0,YEAR($E7445))</f>
      </c>
      <c r="G7445" s="43">
        <f>IF(INDEX(DarlBindung,16)="",1,IF($E7445&lt;=INDEX(DarlBindung,16),1,0))</f>
      </c>
      <c r="H7445" s="43">
        <f>IF($G7445=1,INDEX(DarlSollzins,16),INDEX(DarlAnschluss,16))</f>
      </c>
      <c r="I7445" s="43">
        <f>IF(INDEX(DarlBelegt,16)=0,0,IF(INDEX(DarlOhneTilgung,16)=1,IF(INDEX(DarlBindung,16)="",1,$G7445),IF($J7445&gt;0.005,1,0)))</f>
      </c>
      <c r="J7445" s="43">
        <f>IF($I7444=0,0,$R7444)</f>
      </c>
      <c r="K7445" s="43">
        <f>IF($I7445=0,0,IF(INDEX(DarlOhneTilgung,16)=1,0,IF(AND(INDEX(DarlTilgStart,16)&gt;0,$E7445=INDEX(DarlTilgStart,16)),$J7445*($H7445+INDEX(DarlTilgung,16))/100/12,IF(AND($G7445=0,$G7444=1),MAX($K7444,$J7445*($H7445+1)/100/12),$K7444))))</f>
      </c>
      <c r="L7445" s="43">
        <f>IF($I7445=0,0,$J7445*$H7445/100/12)</f>
      </c>
      <c r="M7445" s="43">
        <f>IF($I7445=0,0,IF(OR(INDEX(DarlOhneTilgung,16)=1,AND(INDEX(DarlTilgStart,16)&gt;0,$E7445&lt;INDEX(DarlTilgStart,16))),0,MIN(MAX(0,$K7445-$L7445),$J7445)))</f>
      </c>
      <c r="N7445" s="43">
        <f>IF($I7445=0,0,MIN(SUMIFS(SondBetrag,SondDarl,16,SondDatum,"&gt;="&amp;$E7445,SondDatum,"&lt;="&amp;EOMONTH($E7445,0)),$J7445-$M7445))</f>
      </c>
      <c r="O7445" s="43">
        <f>IF($I7445=0,0,INDEX(DarlErsatzRate,16))</f>
      </c>
      <c r="P7445" s="43">
        <f>IF($I7445=0,0,$Q7444*INDEX(DarlErsatzZins,16))</f>
      </c>
      <c r="Q7445" s="43">
        <f>IF($I7445=0,0,$Q7444+$P7445+$O7445)</f>
      </c>
      <c r="R7445" s="43">
        <f>IF($I7445=0,0,$J7445-$M7445-$N7445)</f>
      </c>
    </row>
    <row r="7446">
      <c r="A7446"/>
      <c r="B7446">
        <v>16</v>
      </c>
      <c r="C7446" s="43">
        <f>INDEX(DarlObj,16)</f>
      </c>
      <c r="D7446">
        <v>243</v>
      </c>
      <c r="E7446" s="51">
        <f>IF(INDEX(DarlBelegt,16)=0,0,EOMONTH(INDEX(DarlAuszahlung,16),242)+1)</f>
      </c>
      <c r="F7446" s="43">
        <f>IF($E7446=0,0,YEAR($E7446))</f>
      </c>
      <c r="G7446" s="43">
        <f>IF(INDEX(DarlBindung,16)="",1,IF($E7446&lt;=INDEX(DarlBindung,16),1,0))</f>
      </c>
      <c r="H7446" s="43">
        <f>IF($G7446=1,INDEX(DarlSollzins,16),INDEX(DarlAnschluss,16))</f>
      </c>
      <c r="I7446" s="43">
        <f>IF(INDEX(DarlBelegt,16)=0,0,IF(INDEX(DarlOhneTilgung,16)=1,IF(INDEX(DarlBindung,16)="",1,$G7446),IF($J7446&gt;0.005,1,0)))</f>
      </c>
      <c r="J7446" s="43">
        <f>IF($I7445=0,0,$R7445)</f>
      </c>
      <c r="K7446" s="43">
        <f>IF($I7446=0,0,IF(INDEX(DarlOhneTilgung,16)=1,0,IF(AND(INDEX(DarlTilgStart,16)&gt;0,$E7446=INDEX(DarlTilgStart,16)),$J7446*($H7446+INDEX(DarlTilgung,16))/100/12,IF(AND($G7446=0,$G7445=1),MAX($K7445,$J7446*($H7446+1)/100/12),$K7445))))</f>
      </c>
      <c r="L7446" s="43">
        <f>IF($I7446=0,0,$J7446*$H7446/100/12)</f>
      </c>
      <c r="M7446" s="43">
        <f>IF($I7446=0,0,IF(OR(INDEX(DarlOhneTilgung,16)=1,AND(INDEX(DarlTilgStart,16)&gt;0,$E7446&lt;INDEX(DarlTilgStart,16))),0,MIN(MAX(0,$K7446-$L7446),$J7446)))</f>
      </c>
      <c r="N7446" s="43">
        <f>IF($I7446=0,0,MIN(SUMIFS(SondBetrag,SondDarl,16,SondDatum,"&gt;="&amp;$E7446,SondDatum,"&lt;="&amp;EOMONTH($E7446,0)),$J7446-$M7446))</f>
      </c>
      <c r="O7446" s="43">
        <f>IF($I7446=0,0,INDEX(DarlErsatzRate,16))</f>
      </c>
      <c r="P7446" s="43">
        <f>IF($I7446=0,0,$Q7445*INDEX(DarlErsatzZins,16))</f>
      </c>
      <c r="Q7446" s="43">
        <f>IF($I7446=0,0,$Q7445+$P7446+$O7446)</f>
      </c>
      <c r="R7446" s="43">
        <f>IF($I7446=0,0,$J7446-$M7446-$N7446)</f>
      </c>
    </row>
    <row r="7447">
      <c r="A7447"/>
      <c r="B7447">
        <v>16</v>
      </c>
      <c r="C7447" s="43">
        <f>INDEX(DarlObj,16)</f>
      </c>
      <c r="D7447">
        <v>244</v>
      </c>
      <c r="E7447" s="51">
        <f>IF(INDEX(DarlBelegt,16)=0,0,EOMONTH(INDEX(DarlAuszahlung,16),243)+1)</f>
      </c>
      <c r="F7447" s="43">
        <f>IF($E7447=0,0,YEAR($E7447))</f>
      </c>
      <c r="G7447" s="43">
        <f>IF(INDEX(DarlBindung,16)="",1,IF($E7447&lt;=INDEX(DarlBindung,16),1,0))</f>
      </c>
      <c r="H7447" s="43">
        <f>IF($G7447=1,INDEX(DarlSollzins,16),INDEX(DarlAnschluss,16))</f>
      </c>
      <c r="I7447" s="43">
        <f>IF(INDEX(DarlBelegt,16)=0,0,IF(INDEX(DarlOhneTilgung,16)=1,IF(INDEX(DarlBindung,16)="",1,$G7447),IF($J7447&gt;0.005,1,0)))</f>
      </c>
      <c r="J7447" s="43">
        <f>IF($I7446=0,0,$R7446)</f>
      </c>
      <c r="K7447" s="43">
        <f>IF($I7447=0,0,IF(INDEX(DarlOhneTilgung,16)=1,0,IF(AND(INDEX(DarlTilgStart,16)&gt;0,$E7447=INDEX(DarlTilgStart,16)),$J7447*($H7447+INDEX(DarlTilgung,16))/100/12,IF(AND($G7447=0,$G7446=1),MAX($K7446,$J7447*($H7447+1)/100/12),$K7446))))</f>
      </c>
      <c r="L7447" s="43">
        <f>IF($I7447=0,0,$J7447*$H7447/100/12)</f>
      </c>
      <c r="M7447" s="43">
        <f>IF($I7447=0,0,IF(OR(INDEX(DarlOhneTilgung,16)=1,AND(INDEX(DarlTilgStart,16)&gt;0,$E7447&lt;INDEX(DarlTilgStart,16))),0,MIN(MAX(0,$K7447-$L7447),$J7447)))</f>
      </c>
      <c r="N7447" s="43">
        <f>IF($I7447=0,0,MIN(SUMIFS(SondBetrag,SondDarl,16,SondDatum,"&gt;="&amp;$E7447,SondDatum,"&lt;="&amp;EOMONTH($E7447,0)),$J7447-$M7447))</f>
      </c>
      <c r="O7447" s="43">
        <f>IF($I7447=0,0,INDEX(DarlErsatzRate,16))</f>
      </c>
      <c r="P7447" s="43">
        <f>IF($I7447=0,0,$Q7446*INDEX(DarlErsatzZins,16))</f>
      </c>
      <c r="Q7447" s="43">
        <f>IF($I7447=0,0,$Q7446+$P7447+$O7447)</f>
      </c>
      <c r="R7447" s="43">
        <f>IF($I7447=0,0,$J7447-$M7447-$N7447)</f>
      </c>
    </row>
    <row r="7448">
      <c r="A7448"/>
      <c r="B7448">
        <v>16</v>
      </c>
      <c r="C7448" s="43">
        <f>INDEX(DarlObj,16)</f>
      </c>
      <c r="D7448">
        <v>245</v>
      </c>
      <c r="E7448" s="51">
        <f>IF(INDEX(DarlBelegt,16)=0,0,EOMONTH(INDEX(DarlAuszahlung,16),244)+1)</f>
      </c>
      <c r="F7448" s="43">
        <f>IF($E7448=0,0,YEAR($E7448))</f>
      </c>
      <c r="G7448" s="43">
        <f>IF(INDEX(DarlBindung,16)="",1,IF($E7448&lt;=INDEX(DarlBindung,16),1,0))</f>
      </c>
      <c r="H7448" s="43">
        <f>IF($G7448=1,INDEX(DarlSollzins,16),INDEX(DarlAnschluss,16))</f>
      </c>
      <c r="I7448" s="43">
        <f>IF(INDEX(DarlBelegt,16)=0,0,IF(INDEX(DarlOhneTilgung,16)=1,IF(INDEX(DarlBindung,16)="",1,$G7448),IF($J7448&gt;0.005,1,0)))</f>
      </c>
      <c r="J7448" s="43">
        <f>IF($I7447=0,0,$R7447)</f>
      </c>
      <c r="K7448" s="43">
        <f>IF($I7448=0,0,IF(INDEX(DarlOhneTilgung,16)=1,0,IF(AND(INDEX(DarlTilgStart,16)&gt;0,$E7448=INDEX(DarlTilgStart,16)),$J7448*($H7448+INDEX(DarlTilgung,16))/100/12,IF(AND($G7448=0,$G7447=1),MAX($K7447,$J7448*($H7448+1)/100/12),$K7447))))</f>
      </c>
      <c r="L7448" s="43">
        <f>IF($I7448=0,0,$J7448*$H7448/100/12)</f>
      </c>
      <c r="M7448" s="43">
        <f>IF($I7448=0,0,IF(OR(INDEX(DarlOhneTilgung,16)=1,AND(INDEX(DarlTilgStart,16)&gt;0,$E7448&lt;INDEX(DarlTilgStart,16))),0,MIN(MAX(0,$K7448-$L7448),$J7448)))</f>
      </c>
      <c r="N7448" s="43">
        <f>IF($I7448=0,0,MIN(SUMIFS(SondBetrag,SondDarl,16,SondDatum,"&gt;="&amp;$E7448,SondDatum,"&lt;="&amp;EOMONTH($E7448,0)),$J7448-$M7448))</f>
      </c>
      <c r="O7448" s="43">
        <f>IF($I7448=0,0,INDEX(DarlErsatzRate,16))</f>
      </c>
      <c r="P7448" s="43">
        <f>IF($I7448=0,0,$Q7447*INDEX(DarlErsatzZins,16))</f>
      </c>
      <c r="Q7448" s="43">
        <f>IF($I7448=0,0,$Q7447+$P7448+$O7448)</f>
      </c>
      <c r="R7448" s="43">
        <f>IF($I7448=0,0,$J7448-$M7448-$N7448)</f>
      </c>
    </row>
    <row r="7449">
      <c r="A7449"/>
      <c r="B7449">
        <v>16</v>
      </c>
      <c r="C7449" s="43">
        <f>INDEX(DarlObj,16)</f>
      </c>
      <c r="D7449">
        <v>246</v>
      </c>
      <c r="E7449" s="51">
        <f>IF(INDEX(DarlBelegt,16)=0,0,EOMONTH(INDEX(DarlAuszahlung,16),245)+1)</f>
      </c>
      <c r="F7449" s="43">
        <f>IF($E7449=0,0,YEAR($E7449))</f>
      </c>
      <c r="G7449" s="43">
        <f>IF(INDEX(DarlBindung,16)="",1,IF($E7449&lt;=INDEX(DarlBindung,16),1,0))</f>
      </c>
      <c r="H7449" s="43">
        <f>IF($G7449=1,INDEX(DarlSollzins,16),INDEX(DarlAnschluss,16))</f>
      </c>
      <c r="I7449" s="43">
        <f>IF(INDEX(DarlBelegt,16)=0,0,IF(INDEX(DarlOhneTilgung,16)=1,IF(INDEX(DarlBindung,16)="",1,$G7449),IF($J7449&gt;0.005,1,0)))</f>
      </c>
      <c r="J7449" s="43">
        <f>IF($I7448=0,0,$R7448)</f>
      </c>
      <c r="K7449" s="43">
        <f>IF($I7449=0,0,IF(INDEX(DarlOhneTilgung,16)=1,0,IF(AND(INDEX(DarlTilgStart,16)&gt;0,$E7449=INDEX(DarlTilgStart,16)),$J7449*($H7449+INDEX(DarlTilgung,16))/100/12,IF(AND($G7449=0,$G7448=1),MAX($K7448,$J7449*($H7449+1)/100/12),$K7448))))</f>
      </c>
      <c r="L7449" s="43">
        <f>IF($I7449=0,0,$J7449*$H7449/100/12)</f>
      </c>
      <c r="M7449" s="43">
        <f>IF($I7449=0,0,IF(OR(INDEX(DarlOhneTilgung,16)=1,AND(INDEX(DarlTilgStart,16)&gt;0,$E7449&lt;INDEX(DarlTilgStart,16))),0,MIN(MAX(0,$K7449-$L7449),$J7449)))</f>
      </c>
      <c r="N7449" s="43">
        <f>IF($I7449=0,0,MIN(SUMIFS(SondBetrag,SondDarl,16,SondDatum,"&gt;="&amp;$E7449,SondDatum,"&lt;="&amp;EOMONTH($E7449,0)),$J7449-$M7449))</f>
      </c>
      <c r="O7449" s="43">
        <f>IF($I7449=0,0,INDEX(DarlErsatzRate,16))</f>
      </c>
      <c r="P7449" s="43">
        <f>IF($I7449=0,0,$Q7448*INDEX(DarlErsatzZins,16))</f>
      </c>
      <c r="Q7449" s="43">
        <f>IF($I7449=0,0,$Q7448+$P7449+$O7449)</f>
      </c>
      <c r="R7449" s="43">
        <f>IF($I7449=0,0,$J7449-$M7449-$N7449)</f>
      </c>
    </row>
    <row r="7450">
      <c r="A7450"/>
      <c r="B7450">
        <v>16</v>
      </c>
      <c r="C7450" s="43">
        <f>INDEX(DarlObj,16)</f>
      </c>
      <c r="D7450">
        <v>247</v>
      </c>
      <c r="E7450" s="51">
        <f>IF(INDEX(DarlBelegt,16)=0,0,EOMONTH(INDEX(DarlAuszahlung,16),246)+1)</f>
      </c>
      <c r="F7450" s="43">
        <f>IF($E7450=0,0,YEAR($E7450))</f>
      </c>
      <c r="G7450" s="43">
        <f>IF(INDEX(DarlBindung,16)="",1,IF($E7450&lt;=INDEX(DarlBindung,16),1,0))</f>
      </c>
      <c r="H7450" s="43">
        <f>IF($G7450=1,INDEX(DarlSollzins,16),INDEX(DarlAnschluss,16))</f>
      </c>
      <c r="I7450" s="43">
        <f>IF(INDEX(DarlBelegt,16)=0,0,IF(INDEX(DarlOhneTilgung,16)=1,IF(INDEX(DarlBindung,16)="",1,$G7450),IF($J7450&gt;0.005,1,0)))</f>
      </c>
      <c r="J7450" s="43">
        <f>IF($I7449=0,0,$R7449)</f>
      </c>
      <c r="K7450" s="43">
        <f>IF($I7450=0,0,IF(INDEX(DarlOhneTilgung,16)=1,0,IF(AND(INDEX(DarlTilgStart,16)&gt;0,$E7450=INDEX(DarlTilgStart,16)),$J7450*($H7450+INDEX(DarlTilgung,16))/100/12,IF(AND($G7450=0,$G7449=1),MAX($K7449,$J7450*($H7450+1)/100/12),$K7449))))</f>
      </c>
      <c r="L7450" s="43">
        <f>IF($I7450=0,0,$J7450*$H7450/100/12)</f>
      </c>
      <c r="M7450" s="43">
        <f>IF($I7450=0,0,IF(OR(INDEX(DarlOhneTilgung,16)=1,AND(INDEX(DarlTilgStart,16)&gt;0,$E7450&lt;INDEX(DarlTilgStart,16))),0,MIN(MAX(0,$K7450-$L7450),$J7450)))</f>
      </c>
      <c r="N7450" s="43">
        <f>IF($I7450=0,0,MIN(SUMIFS(SondBetrag,SondDarl,16,SondDatum,"&gt;="&amp;$E7450,SondDatum,"&lt;="&amp;EOMONTH($E7450,0)),$J7450-$M7450))</f>
      </c>
      <c r="O7450" s="43">
        <f>IF($I7450=0,0,INDEX(DarlErsatzRate,16))</f>
      </c>
      <c r="P7450" s="43">
        <f>IF($I7450=0,0,$Q7449*INDEX(DarlErsatzZins,16))</f>
      </c>
      <c r="Q7450" s="43">
        <f>IF($I7450=0,0,$Q7449+$P7450+$O7450)</f>
      </c>
      <c r="R7450" s="43">
        <f>IF($I7450=0,0,$J7450-$M7450-$N7450)</f>
      </c>
    </row>
    <row r="7451">
      <c r="A7451"/>
      <c r="B7451">
        <v>16</v>
      </c>
      <c r="C7451" s="43">
        <f>INDEX(DarlObj,16)</f>
      </c>
      <c r="D7451">
        <v>248</v>
      </c>
      <c r="E7451" s="51">
        <f>IF(INDEX(DarlBelegt,16)=0,0,EOMONTH(INDEX(DarlAuszahlung,16),247)+1)</f>
      </c>
      <c r="F7451" s="43">
        <f>IF($E7451=0,0,YEAR($E7451))</f>
      </c>
      <c r="G7451" s="43">
        <f>IF(INDEX(DarlBindung,16)="",1,IF($E7451&lt;=INDEX(DarlBindung,16),1,0))</f>
      </c>
      <c r="H7451" s="43">
        <f>IF($G7451=1,INDEX(DarlSollzins,16),INDEX(DarlAnschluss,16))</f>
      </c>
      <c r="I7451" s="43">
        <f>IF(INDEX(DarlBelegt,16)=0,0,IF(INDEX(DarlOhneTilgung,16)=1,IF(INDEX(DarlBindung,16)="",1,$G7451),IF($J7451&gt;0.005,1,0)))</f>
      </c>
      <c r="J7451" s="43">
        <f>IF($I7450=0,0,$R7450)</f>
      </c>
      <c r="K7451" s="43">
        <f>IF($I7451=0,0,IF(INDEX(DarlOhneTilgung,16)=1,0,IF(AND(INDEX(DarlTilgStart,16)&gt;0,$E7451=INDEX(DarlTilgStart,16)),$J7451*($H7451+INDEX(DarlTilgung,16))/100/12,IF(AND($G7451=0,$G7450=1),MAX($K7450,$J7451*($H7451+1)/100/12),$K7450))))</f>
      </c>
      <c r="L7451" s="43">
        <f>IF($I7451=0,0,$J7451*$H7451/100/12)</f>
      </c>
      <c r="M7451" s="43">
        <f>IF($I7451=0,0,IF(OR(INDEX(DarlOhneTilgung,16)=1,AND(INDEX(DarlTilgStart,16)&gt;0,$E7451&lt;INDEX(DarlTilgStart,16))),0,MIN(MAX(0,$K7451-$L7451),$J7451)))</f>
      </c>
      <c r="N7451" s="43">
        <f>IF($I7451=0,0,MIN(SUMIFS(SondBetrag,SondDarl,16,SondDatum,"&gt;="&amp;$E7451,SondDatum,"&lt;="&amp;EOMONTH($E7451,0)),$J7451-$M7451))</f>
      </c>
      <c r="O7451" s="43">
        <f>IF($I7451=0,0,INDEX(DarlErsatzRate,16))</f>
      </c>
      <c r="P7451" s="43">
        <f>IF($I7451=0,0,$Q7450*INDEX(DarlErsatzZins,16))</f>
      </c>
      <c r="Q7451" s="43">
        <f>IF($I7451=0,0,$Q7450+$P7451+$O7451)</f>
      </c>
      <c r="R7451" s="43">
        <f>IF($I7451=0,0,$J7451-$M7451-$N7451)</f>
      </c>
    </row>
    <row r="7452">
      <c r="A7452"/>
      <c r="B7452">
        <v>16</v>
      </c>
      <c r="C7452" s="43">
        <f>INDEX(DarlObj,16)</f>
      </c>
      <c r="D7452">
        <v>249</v>
      </c>
      <c r="E7452" s="51">
        <f>IF(INDEX(DarlBelegt,16)=0,0,EOMONTH(INDEX(DarlAuszahlung,16),248)+1)</f>
      </c>
      <c r="F7452" s="43">
        <f>IF($E7452=0,0,YEAR($E7452))</f>
      </c>
      <c r="G7452" s="43">
        <f>IF(INDEX(DarlBindung,16)="",1,IF($E7452&lt;=INDEX(DarlBindung,16),1,0))</f>
      </c>
      <c r="H7452" s="43">
        <f>IF($G7452=1,INDEX(DarlSollzins,16),INDEX(DarlAnschluss,16))</f>
      </c>
      <c r="I7452" s="43">
        <f>IF(INDEX(DarlBelegt,16)=0,0,IF(INDEX(DarlOhneTilgung,16)=1,IF(INDEX(DarlBindung,16)="",1,$G7452),IF($J7452&gt;0.005,1,0)))</f>
      </c>
      <c r="J7452" s="43">
        <f>IF($I7451=0,0,$R7451)</f>
      </c>
      <c r="K7452" s="43">
        <f>IF($I7452=0,0,IF(INDEX(DarlOhneTilgung,16)=1,0,IF(AND(INDEX(DarlTilgStart,16)&gt;0,$E7452=INDEX(DarlTilgStart,16)),$J7452*($H7452+INDEX(DarlTilgung,16))/100/12,IF(AND($G7452=0,$G7451=1),MAX($K7451,$J7452*($H7452+1)/100/12),$K7451))))</f>
      </c>
      <c r="L7452" s="43">
        <f>IF($I7452=0,0,$J7452*$H7452/100/12)</f>
      </c>
      <c r="M7452" s="43">
        <f>IF($I7452=0,0,IF(OR(INDEX(DarlOhneTilgung,16)=1,AND(INDEX(DarlTilgStart,16)&gt;0,$E7452&lt;INDEX(DarlTilgStart,16))),0,MIN(MAX(0,$K7452-$L7452),$J7452)))</f>
      </c>
      <c r="N7452" s="43">
        <f>IF($I7452=0,0,MIN(SUMIFS(SondBetrag,SondDarl,16,SondDatum,"&gt;="&amp;$E7452,SondDatum,"&lt;="&amp;EOMONTH($E7452,0)),$J7452-$M7452))</f>
      </c>
      <c r="O7452" s="43">
        <f>IF($I7452=0,0,INDEX(DarlErsatzRate,16))</f>
      </c>
      <c r="P7452" s="43">
        <f>IF($I7452=0,0,$Q7451*INDEX(DarlErsatzZins,16))</f>
      </c>
      <c r="Q7452" s="43">
        <f>IF($I7452=0,0,$Q7451+$P7452+$O7452)</f>
      </c>
      <c r="R7452" s="43">
        <f>IF($I7452=0,0,$J7452-$M7452-$N7452)</f>
      </c>
    </row>
    <row r="7453">
      <c r="A7453"/>
      <c r="B7453">
        <v>16</v>
      </c>
      <c r="C7453" s="43">
        <f>INDEX(DarlObj,16)</f>
      </c>
      <c r="D7453">
        <v>250</v>
      </c>
      <c r="E7453" s="51">
        <f>IF(INDEX(DarlBelegt,16)=0,0,EOMONTH(INDEX(DarlAuszahlung,16),249)+1)</f>
      </c>
      <c r="F7453" s="43">
        <f>IF($E7453=0,0,YEAR($E7453))</f>
      </c>
      <c r="G7453" s="43">
        <f>IF(INDEX(DarlBindung,16)="",1,IF($E7453&lt;=INDEX(DarlBindung,16),1,0))</f>
      </c>
      <c r="H7453" s="43">
        <f>IF($G7453=1,INDEX(DarlSollzins,16),INDEX(DarlAnschluss,16))</f>
      </c>
      <c r="I7453" s="43">
        <f>IF(INDEX(DarlBelegt,16)=0,0,IF(INDEX(DarlOhneTilgung,16)=1,IF(INDEX(DarlBindung,16)="",1,$G7453),IF($J7453&gt;0.005,1,0)))</f>
      </c>
      <c r="J7453" s="43">
        <f>IF($I7452=0,0,$R7452)</f>
      </c>
      <c r="K7453" s="43">
        <f>IF($I7453=0,0,IF(INDEX(DarlOhneTilgung,16)=1,0,IF(AND(INDEX(DarlTilgStart,16)&gt;0,$E7453=INDEX(DarlTilgStart,16)),$J7453*($H7453+INDEX(DarlTilgung,16))/100/12,IF(AND($G7453=0,$G7452=1),MAX($K7452,$J7453*($H7453+1)/100/12),$K7452))))</f>
      </c>
      <c r="L7453" s="43">
        <f>IF($I7453=0,0,$J7453*$H7453/100/12)</f>
      </c>
      <c r="M7453" s="43">
        <f>IF($I7453=0,0,IF(OR(INDEX(DarlOhneTilgung,16)=1,AND(INDEX(DarlTilgStart,16)&gt;0,$E7453&lt;INDEX(DarlTilgStart,16))),0,MIN(MAX(0,$K7453-$L7453),$J7453)))</f>
      </c>
      <c r="N7453" s="43">
        <f>IF($I7453=0,0,MIN(SUMIFS(SondBetrag,SondDarl,16,SondDatum,"&gt;="&amp;$E7453,SondDatum,"&lt;="&amp;EOMONTH($E7453,0)),$J7453-$M7453))</f>
      </c>
      <c r="O7453" s="43">
        <f>IF($I7453=0,0,INDEX(DarlErsatzRate,16))</f>
      </c>
      <c r="P7453" s="43">
        <f>IF($I7453=0,0,$Q7452*INDEX(DarlErsatzZins,16))</f>
      </c>
      <c r="Q7453" s="43">
        <f>IF($I7453=0,0,$Q7452+$P7453+$O7453)</f>
      </c>
      <c r="R7453" s="43">
        <f>IF($I7453=0,0,$J7453-$M7453-$N7453)</f>
      </c>
    </row>
    <row r="7454">
      <c r="A7454"/>
      <c r="B7454">
        <v>16</v>
      </c>
      <c r="C7454" s="43">
        <f>INDEX(DarlObj,16)</f>
      </c>
      <c r="D7454">
        <v>251</v>
      </c>
      <c r="E7454" s="51">
        <f>IF(INDEX(DarlBelegt,16)=0,0,EOMONTH(INDEX(DarlAuszahlung,16),250)+1)</f>
      </c>
      <c r="F7454" s="43">
        <f>IF($E7454=0,0,YEAR($E7454))</f>
      </c>
      <c r="G7454" s="43">
        <f>IF(INDEX(DarlBindung,16)="",1,IF($E7454&lt;=INDEX(DarlBindung,16),1,0))</f>
      </c>
      <c r="H7454" s="43">
        <f>IF($G7454=1,INDEX(DarlSollzins,16),INDEX(DarlAnschluss,16))</f>
      </c>
      <c r="I7454" s="43">
        <f>IF(INDEX(DarlBelegt,16)=0,0,IF(INDEX(DarlOhneTilgung,16)=1,IF(INDEX(DarlBindung,16)="",1,$G7454),IF($J7454&gt;0.005,1,0)))</f>
      </c>
      <c r="J7454" s="43">
        <f>IF($I7453=0,0,$R7453)</f>
      </c>
      <c r="K7454" s="43">
        <f>IF($I7454=0,0,IF(INDEX(DarlOhneTilgung,16)=1,0,IF(AND(INDEX(DarlTilgStart,16)&gt;0,$E7454=INDEX(DarlTilgStart,16)),$J7454*($H7454+INDEX(DarlTilgung,16))/100/12,IF(AND($G7454=0,$G7453=1),MAX($K7453,$J7454*($H7454+1)/100/12),$K7453))))</f>
      </c>
      <c r="L7454" s="43">
        <f>IF($I7454=0,0,$J7454*$H7454/100/12)</f>
      </c>
      <c r="M7454" s="43">
        <f>IF($I7454=0,0,IF(OR(INDEX(DarlOhneTilgung,16)=1,AND(INDEX(DarlTilgStart,16)&gt;0,$E7454&lt;INDEX(DarlTilgStart,16))),0,MIN(MAX(0,$K7454-$L7454),$J7454)))</f>
      </c>
      <c r="N7454" s="43">
        <f>IF($I7454=0,0,MIN(SUMIFS(SondBetrag,SondDarl,16,SondDatum,"&gt;="&amp;$E7454,SondDatum,"&lt;="&amp;EOMONTH($E7454,0)),$J7454-$M7454))</f>
      </c>
      <c r="O7454" s="43">
        <f>IF($I7454=0,0,INDEX(DarlErsatzRate,16))</f>
      </c>
      <c r="P7454" s="43">
        <f>IF($I7454=0,0,$Q7453*INDEX(DarlErsatzZins,16))</f>
      </c>
      <c r="Q7454" s="43">
        <f>IF($I7454=0,0,$Q7453+$P7454+$O7454)</f>
      </c>
      <c r="R7454" s="43">
        <f>IF($I7454=0,0,$J7454-$M7454-$N7454)</f>
      </c>
    </row>
    <row r="7455">
      <c r="A7455"/>
      <c r="B7455">
        <v>16</v>
      </c>
      <c r="C7455" s="43">
        <f>INDEX(DarlObj,16)</f>
      </c>
      <c r="D7455">
        <v>252</v>
      </c>
      <c r="E7455" s="51">
        <f>IF(INDEX(DarlBelegt,16)=0,0,EOMONTH(INDEX(DarlAuszahlung,16),251)+1)</f>
      </c>
      <c r="F7455" s="43">
        <f>IF($E7455=0,0,YEAR($E7455))</f>
      </c>
      <c r="G7455" s="43">
        <f>IF(INDEX(DarlBindung,16)="",1,IF($E7455&lt;=INDEX(DarlBindung,16),1,0))</f>
      </c>
      <c r="H7455" s="43">
        <f>IF($G7455=1,INDEX(DarlSollzins,16),INDEX(DarlAnschluss,16))</f>
      </c>
      <c r="I7455" s="43">
        <f>IF(INDEX(DarlBelegt,16)=0,0,IF(INDEX(DarlOhneTilgung,16)=1,IF(INDEX(DarlBindung,16)="",1,$G7455),IF($J7455&gt;0.005,1,0)))</f>
      </c>
      <c r="J7455" s="43">
        <f>IF($I7454=0,0,$R7454)</f>
      </c>
      <c r="K7455" s="43">
        <f>IF($I7455=0,0,IF(INDEX(DarlOhneTilgung,16)=1,0,IF(AND(INDEX(DarlTilgStart,16)&gt;0,$E7455=INDEX(DarlTilgStart,16)),$J7455*($H7455+INDEX(DarlTilgung,16))/100/12,IF(AND($G7455=0,$G7454=1),MAX($K7454,$J7455*($H7455+1)/100/12),$K7454))))</f>
      </c>
      <c r="L7455" s="43">
        <f>IF($I7455=0,0,$J7455*$H7455/100/12)</f>
      </c>
      <c r="M7455" s="43">
        <f>IF($I7455=0,0,IF(OR(INDEX(DarlOhneTilgung,16)=1,AND(INDEX(DarlTilgStart,16)&gt;0,$E7455&lt;INDEX(DarlTilgStart,16))),0,MIN(MAX(0,$K7455-$L7455),$J7455)))</f>
      </c>
      <c r="N7455" s="43">
        <f>IF($I7455=0,0,MIN(SUMIFS(SondBetrag,SondDarl,16,SondDatum,"&gt;="&amp;$E7455,SondDatum,"&lt;="&amp;EOMONTH($E7455,0)),$J7455-$M7455))</f>
      </c>
      <c r="O7455" s="43">
        <f>IF($I7455=0,0,INDEX(DarlErsatzRate,16))</f>
      </c>
      <c r="P7455" s="43">
        <f>IF($I7455=0,0,$Q7454*INDEX(DarlErsatzZins,16))</f>
      </c>
      <c r="Q7455" s="43">
        <f>IF($I7455=0,0,$Q7454+$P7455+$O7455)</f>
      </c>
      <c r="R7455" s="43">
        <f>IF($I7455=0,0,$J7455-$M7455-$N7455)</f>
      </c>
    </row>
    <row r="7456">
      <c r="A7456"/>
      <c r="B7456">
        <v>16</v>
      </c>
      <c r="C7456" s="43">
        <f>INDEX(DarlObj,16)</f>
      </c>
      <c r="D7456">
        <v>253</v>
      </c>
      <c r="E7456" s="51">
        <f>IF(INDEX(DarlBelegt,16)=0,0,EOMONTH(INDEX(DarlAuszahlung,16),252)+1)</f>
      </c>
      <c r="F7456" s="43">
        <f>IF($E7456=0,0,YEAR($E7456))</f>
      </c>
      <c r="G7456" s="43">
        <f>IF(INDEX(DarlBindung,16)="",1,IF($E7456&lt;=INDEX(DarlBindung,16),1,0))</f>
      </c>
      <c r="H7456" s="43">
        <f>IF($G7456=1,INDEX(DarlSollzins,16),INDEX(DarlAnschluss,16))</f>
      </c>
      <c r="I7456" s="43">
        <f>IF(INDEX(DarlBelegt,16)=0,0,IF(INDEX(DarlOhneTilgung,16)=1,IF(INDEX(DarlBindung,16)="",1,$G7456),IF($J7456&gt;0.005,1,0)))</f>
      </c>
      <c r="J7456" s="43">
        <f>IF($I7455=0,0,$R7455)</f>
      </c>
      <c r="K7456" s="43">
        <f>IF($I7456=0,0,IF(INDEX(DarlOhneTilgung,16)=1,0,IF(AND(INDEX(DarlTilgStart,16)&gt;0,$E7456=INDEX(DarlTilgStart,16)),$J7456*($H7456+INDEX(DarlTilgung,16))/100/12,IF(AND($G7456=0,$G7455=1),MAX($K7455,$J7456*($H7456+1)/100/12),$K7455))))</f>
      </c>
      <c r="L7456" s="43">
        <f>IF($I7456=0,0,$J7456*$H7456/100/12)</f>
      </c>
      <c r="M7456" s="43">
        <f>IF($I7456=0,0,IF(OR(INDEX(DarlOhneTilgung,16)=1,AND(INDEX(DarlTilgStart,16)&gt;0,$E7456&lt;INDEX(DarlTilgStart,16))),0,MIN(MAX(0,$K7456-$L7456),$J7456)))</f>
      </c>
      <c r="N7456" s="43">
        <f>IF($I7456=0,0,MIN(SUMIFS(SondBetrag,SondDarl,16,SondDatum,"&gt;="&amp;$E7456,SondDatum,"&lt;="&amp;EOMONTH($E7456,0)),$J7456-$M7456))</f>
      </c>
      <c r="O7456" s="43">
        <f>IF($I7456=0,0,INDEX(DarlErsatzRate,16))</f>
      </c>
      <c r="P7456" s="43">
        <f>IF($I7456=0,0,$Q7455*INDEX(DarlErsatzZins,16))</f>
      </c>
      <c r="Q7456" s="43">
        <f>IF($I7456=0,0,$Q7455+$P7456+$O7456)</f>
      </c>
      <c r="R7456" s="43">
        <f>IF($I7456=0,0,$J7456-$M7456-$N7456)</f>
      </c>
    </row>
    <row r="7457">
      <c r="A7457"/>
      <c r="B7457">
        <v>16</v>
      </c>
      <c r="C7457" s="43">
        <f>INDEX(DarlObj,16)</f>
      </c>
      <c r="D7457">
        <v>254</v>
      </c>
      <c r="E7457" s="51">
        <f>IF(INDEX(DarlBelegt,16)=0,0,EOMONTH(INDEX(DarlAuszahlung,16),253)+1)</f>
      </c>
      <c r="F7457" s="43">
        <f>IF($E7457=0,0,YEAR($E7457))</f>
      </c>
      <c r="G7457" s="43">
        <f>IF(INDEX(DarlBindung,16)="",1,IF($E7457&lt;=INDEX(DarlBindung,16),1,0))</f>
      </c>
      <c r="H7457" s="43">
        <f>IF($G7457=1,INDEX(DarlSollzins,16),INDEX(DarlAnschluss,16))</f>
      </c>
      <c r="I7457" s="43">
        <f>IF(INDEX(DarlBelegt,16)=0,0,IF(INDEX(DarlOhneTilgung,16)=1,IF(INDEX(DarlBindung,16)="",1,$G7457),IF($J7457&gt;0.005,1,0)))</f>
      </c>
      <c r="J7457" s="43">
        <f>IF($I7456=0,0,$R7456)</f>
      </c>
      <c r="K7457" s="43">
        <f>IF($I7457=0,0,IF(INDEX(DarlOhneTilgung,16)=1,0,IF(AND(INDEX(DarlTilgStart,16)&gt;0,$E7457=INDEX(DarlTilgStart,16)),$J7457*($H7457+INDEX(DarlTilgung,16))/100/12,IF(AND($G7457=0,$G7456=1),MAX($K7456,$J7457*($H7457+1)/100/12),$K7456))))</f>
      </c>
      <c r="L7457" s="43">
        <f>IF($I7457=0,0,$J7457*$H7457/100/12)</f>
      </c>
      <c r="M7457" s="43">
        <f>IF($I7457=0,0,IF(OR(INDEX(DarlOhneTilgung,16)=1,AND(INDEX(DarlTilgStart,16)&gt;0,$E7457&lt;INDEX(DarlTilgStart,16))),0,MIN(MAX(0,$K7457-$L7457),$J7457)))</f>
      </c>
      <c r="N7457" s="43">
        <f>IF($I7457=0,0,MIN(SUMIFS(SondBetrag,SondDarl,16,SondDatum,"&gt;="&amp;$E7457,SondDatum,"&lt;="&amp;EOMONTH($E7457,0)),$J7457-$M7457))</f>
      </c>
      <c r="O7457" s="43">
        <f>IF($I7457=0,0,INDEX(DarlErsatzRate,16))</f>
      </c>
      <c r="P7457" s="43">
        <f>IF($I7457=0,0,$Q7456*INDEX(DarlErsatzZins,16))</f>
      </c>
      <c r="Q7457" s="43">
        <f>IF($I7457=0,0,$Q7456+$P7457+$O7457)</f>
      </c>
      <c r="R7457" s="43">
        <f>IF($I7457=0,0,$J7457-$M7457-$N7457)</f>
      </c>
    </row>
    <row r="7458">
      <c r="A7458"/>
      <c r="B7458">
        <v>16</v>
      </c>
      <c r="C7458" s="43">
        <f>INDEX(DarlObj,16)</f>
      </c>
      <c r="D7458">
        <v>255</v>
      </c>
      <c r="E7458" s="51">
        <f>IF(INDEX(DarlBelegt,16)=0,0,EOMONTH(INDEX(DarlAuszahlung,16),254)+1)</f>
      </c>
      <c r="F7458" s="43">
        <f>IF($E7458=0,0,YEAR($E7458))</f>
      </c>
      <c r="G7458" s="43">
        <f>IF(INDEX(DarlBindung,16)="",1,IF($E7458&lt;=INDEX(DarlBindung,16),1,0))</f>
      </c>
      <c r="H7458" s="43">
        <f>IF($G7458=1,INDEX(DarlSollzins,16),INDEX(DarlAnschluss,16))</f>
      </c>
      <c r="I7458" s="43">
        <f>IF(INDEX(DarlBelegt,16)=0,0,IF(INDEX(DarlOhneTilgung,16)=1,IF(INDEX(DarlBindung,16)="",1,$G7458),IF($J7458&gt;0.005,1,0)))</f>
      </c>
      <c r="J7458" s="43">
        <f>IF($I7457=0,0,$R7457)</f>
      </c>
      <c r="K7458" s="43">
        <f>IF($I7458=0,0,IF(INDEX(DarlOhneTilgung,16)=1,0,IF(AND(INDEX(DarlTilgStart,16)&gt;0,$E7458=INDEX(DarlTilgStart,16)),$J7458*($H7458+INDEX(DarlTilgung,16))/100/12,IF(AND($G7458=0,$G7457=1),MAX($K7457,$J7458*($H7458+1)/100/12),$K7457))))</f>
      </c>
      <c r="L7458" s="43">
        <f>IF($I7458=0,0,$J7458*$H7458/100/12)</f>
      </c>
      <c r="M7458" s="43">
        <f>IF($I7458=0,0,IF(OR(INDEX(DarlOhneTilgung,16)=1,AND(INDEX(DarlTilgStart,16)&gt;0,$E7458&lt;INDEX(DarlTilgStart,16))),0,MIN(MAX(0,$K7458-$L7458),$J7458)))</f>
      </c>
      <c r="N7458" s="43">
        <f>IF($I7458=0,0,MIN(SUMIFS(SondBetrag,SondDarl,16,SondDatum,"&gt;="&amp;$E7458,SondDatum,"&lt;="&amp;EOMONTH($E7458,0)),$J7458-$M7458))</f>
      </c>
      <c r="O7458" s="43">
        <f>IF($I7458=0,0,INDEX(DarlErsatzRate,16))</f>
      </c>
      <c r="P7458" s="43">
        <f>IF($I7458=0,0,$Q7457*INDEX(DarlErsatzZins,16))</f>
      </c>
      <c r="Q7458" s="43">
        <f>IF($I7458=0,0,$Q7457+$P7458+$O7458)</f>
      </c>
      <c r="R7458" s="43">
        <f>IF($I7458=0,0,$J7458-$M7458-$N7458)</f>
      </c>
    </row>
    <row r="7459">
      <c r="A7459"/>
      <c r="B7459">
        <v>16</v>
      </c>
      <c r="C7459" s="43">
        <f>INDEX(DarlObj,16)</f>
      </c>
      <c r="D7459">
        <v>256</v>
      </c>
      <c r="E7459" s="51">
        <f>IF(INDEX(DarlBelegt,16)=0,0,EOMONTH(INDEX(DarlAuszahlung,16),255)+1)</f>
      </c>
      <c r="F7459" s="43">
        <f>IF($E7459=0,0,YEAR($E7459))</f>
      </c>
      <c r="G7459" s="43">
        <f>IF(INDEX(DarlBindung,16)="",1,IF($E7459&lt;=INDEX(DarlBindung,16),1,0))</f>
      </c>
      <c r="H7459" s="43">
        <f>IF($G7459=1,INDEX(DarlSollzins,16),INDEX(DarlAnschluss,16))</f>
      </c>
      <c r="I7459" s="43">
        <f>IF(INDEX(DarlBelegt,16)=0,0,IF(INDEX(DarlOhneTilgung,16)=1,IF(INDEX(DarlBindung,16)="",1,$G7459),IF($J7459&gt;0.005,1,0)))</f>
      </c>
      <c r="J7459" s="43">
        <f>IF($I7458=0,0,$R7458)</f>
      </c>
      <c r="K7459" s="43">
        <f>IF($I7459=0,0,IF(INDEX(DarlOhneTilgung,16)=1,0,IF(AND(INDEX(DarlTilgStart,16)&gt;0,$E7459=INDEX(DarlTilgStart,16)),$J7459*($H7459+INDEX(DarlTilgung,16))/100/12,IF(AND($G7459=0,$G7458=1),MAX($K7458,$J7459*($H7459+1)/100/12),$K7458))))</f>
      </c>
      <c r="L7459" s="43">
        <f>IF($I7459=0,0,$J7459*$H7459/100/12)</f>
      </c>
      <c r="M7459" s="43">
        <f>IF($I7459=0,0,IF(OR(INDEX(DarlOhneTilgung,16)=1,AND(INDEX(DarlTilgStart,16)&gt;0,$E7459&lt;INDEX(DarlTilgStart,16))),0,MIN(MAX(0,$K7459-$L7459),$J7459)))</f>
      </c>
      <c r="N7459" s="43">
        <f>IF($I7459=0,0,MIN(SUMIFS(SondBetrag,SondDarl,16,SondDatum,"&gt;="&amp;$E7459,SondDatum,"&lt;="&amp;EOMONTH($E7459,0)),$J7459-$M7459))</f>
      </c>
      <c r="O7459" s="43">
        <f>IF($I7459=0,0,INDEX(DarlErsatzRate,16))</f>
      </c>
      <c r="P7459" s="43">
        <f>IF($I7459=0,0,$Q7458*INDEX(DarlErsatzZins,16))</f>
      </c>
      <c r="Q7459" s="43">
        <f>IF($I7459=0,0,$Q7458+$P7459+$O7459)</f>
      </c>
      <c r="R7459" s="43">
        <f>IF($I7459=0,0,$J7459-$M7459-$N7459)</f>
      </c>
    </row>
    <row r="7460">
      <c r="A7460"/>
      <c r="B7460">
        <v>16</v>
      </c>
      <c r="C7460" s="43">
        <f>INDEX(DarlObj,16)</f>
      </c>
      <c r="D7460">
        <v>257</v>
      </c>
      <c r="E7460" s="51">
        <f>IF(INDEX(DarlBelegt,16)=0,0,EOMONTH(INDEX(DarlAuszahlung,16),256)+1)</f>
      </c>
      <c r="F7460" s="43">
        <f>IF($E7460=0,0,YEAR($E7460))</f>
      </c>
      <c r="G7460" s="43">
        <f>IF(INDEX(DarlBindung,16)="",1,IF($E7460&lt;=INDEX(DarlBindung,16),1,0))</f>
      </c>
      <c r="H7460" s="43">
        <f>IF($G7460=1,INDEX(DarlSollzins,16),INDEX(DarlAnschluss,16))</f>
      </c>
      <c r="I7460" s="43">
        <f>IF(INDEX(DarlBelegt,16)=0,0,IF(INDEX(DarlOhneTilgung,16)=1,IF(INDEX(DarlBindung,16)="",1,$G7460),IF($J7460&gt;0.005,1,0)))</f>
      </c>
      <c r="J7460" s="43">
        <f>IF($I7459=0,0,$R7459)</f>
      </c>
      <c r="K7460" s="43">
        <f>IF($I7460=0,0,IF(INDEX(DarlOhneTilgung,16)=1,0,IF(AND(INDEX(DarlTilgStart,16)&gt;0,$E7460=INDEX(DarlTilgStart,16)),$J7460*($H7460+INDEX(DarlTilgung,16))/100/12,IF(AND($G7460=0,$G7459=1),MAX($K7459,$J7460*($H7460+1)/100/12),$K7459))))</f>
      </c>
      <c r="L7460" s="43">
        <f>IF($I7460=0,0,$J7460*$H7460/100/12)</f>
      </c>
      <c r="M7460" s="43">
        <f>IF($I7460=0,0,IF(OR(INDEX(DarlOhneTilgung,16)=1,AND(INDEX(DarlTilgStart,16)&gt;0,$E7460&lt;INDEX(DarlTilgStart,16))),0,MIN(MAX(0,$K7460-$L7460),$J7460)))</f>
      </c>
      <c r="N7460" s="43">
        <f>IF($I7460=0,0,MIN(SUMIFS(SondBetrag,SondDarl,16,SondDatum,"&gt;="&amp;$E7460,SondDatum,"&lt;="&amp;EOMONTH($E7460,0)),$J7460-$M7460))</f>
      </c>
      <c r="O7460" s="43">
        <f>IF($I7460=0,0,INDEX(DarlErsatzRate,16))</f>
      </c>
      <c r="P7460" s="43">
        <f>IF($I7460=0,0,$Q7459*INDEX(DarlErsatzZins,16))</f>
      </c>
      <c r="Q7460" s="43">
        <f>IF($I7460=0,0,$Q7459+$P7460+$O7460)</f>
      </c>
      <c r="R7460" s="43">
        <f>IF($I7460=0,0,$J7460-$M7460-$N7460)</f>
      </c>
    </row>
    <row r="7461">
      <c r="A7461"/>
      <c r="B7461">
        <v>16</v>
      </c>
      <c r="C7461" s="43">
        <f>INDEX(DarlObj,16)</f>
      </c>
      <c r="D7461">
        <v>258</v>
      </c>
      <c r="E7461" s="51">
        <f>IF(INDEX(DarlBelegt,16)=0,0,EOMONTH(INDEX(DarlAuszahlung,16),257)+1)</f>
      </c>
      <c r="F7461" s="43">
        <f>IF($E7461=0,0,YEAR($E7461))</f>
      </c>
      <c r="G7461" s="43">
        <f>IF(INDEX(DarlBindung,16)="",1,IF($E7461&lt;=INDEX(DarlBindung,16),1,0))</f>
      </c>
      <c r="H7461" s="43">
        <f>IF($G7461=1,INDEX(DarlSollzins,16),INDEX(DarlAnschluss,16))</f>
      </c>
      <c r="I7461" s="43">
        <f>IF(INDEX(DarlBelegt,16)=0,0,IF(INDEX(DarlOhneTilgung,16)=1,IF(INDEX(DarlBindung,16)="",1,$G7461),IF($J7461&gt;0.005,1,0)))</f>
      </c>
      <c r="J7461" s="43">
        <f>IF($I7460=0,0,$R7460)</f>
      </c>
      <c r="K7461" s="43">
        <f>IF($I7461=0,0,IF(INDEX(DarlOhneTilgung,16)=1,0,IF(AND(INDEX(DarlTilgStart,16)&gt;0,$E7461=INDEX(DarlTilgStart,16)),$J7461*($H7461+INDEX(DarlTilgung,16))/100/12,IF(AND($G7461=0,$G7460=1),MAX($K7460,$J7461*($H7461+1)/100/12),$K7460))))</f>
      </c>
      <c r="L7461" s="43">
        <f>IF($I7461=0,0,$J7461*$H7461/100/12)</f>
      </c>
      <c r="M7461" s="43">
        <f>IF($I7461=0,0,IF(OR(INDEX(DarlOhneTilgung,16)=1,AND(INDEX(DarlTilgStart,16)&gt;0,$E7461&lt;INDEX(DarlTilgStart,16))),0,MIN(MAX(0,$K7461-$L7461),$J7461)))</f>
      </c>
      <c r="N7461" s="43">
        <f>IF($I7461=0,0,MIN(SUMIFS(SondBetrag,SondDarl,16,SondDatum,"&gt;="&amp;$E7461,SondDatum,"&lt;="&amp;EOMONTH($E7461,0)),$J7461-$M7461))</f>
      </c>
      <c r="O7461" s="43">
        <f>IF($I7461=0,0,INDEX(DarlErsatzRate,16))</f>
      </c>
      <c r="P7461" s="43">
        <f>IF($I7461=0,0,$Q7460*INDEX(DarlErsatzZins,16))</f>
      </c>
      <c r="Q7461" s="43">
        <f>IF($I7461=0,0,$Q7460+$P7461+$O7461)</f>
      </c>
      <c r="R7461" s="43">
        <f>IF($I7461=0,0,$J7461-$M7461-$N7461)</f>
      </c>
    </row>
    <row r="7462">
      <c r="A7462"/>
      <c r="B7462">
        <v>16</v>
      </c>
      <c r="C7462" s="43">
        <f>INDEX(DarlObj,16)</f>
      </c>
      <c r="D7462">
        <v>259</v>
      </c>
      <c r="E7462" s="51">
        <f>IF(INDEX(DarlBelegt,16)=0,0,EOMONTH(INDEX(DarlAuszahlung,16),258)+1)</f>
      </c>
      <c r="F7462" s="43">
        <f>IF($E7462=0,0,YEAR($E7462))</f>
      </c>
      <c r="G7462" s="43">
        <f>IF(INDEX(DarlBindung,16)="",1,IF($E7462&lt;=INDEX(DarlBindung,16),1,0))</f>
      </c>
      <c r="H7462" s="43">
        <f>IF($G7462=1,INDEX(DarlSollzins,16),INDEX(DarlAnschluss,16))</f>
      </c>
      <c r="I7462" s="43">
        <f>IF(INDEX(DarlBelegt,16)=0,0,IF(INDEX(DarlOhneTilgung,16)=1,IF(INDEX(DarlBindung,16)="",1,$G7462),IF($J7462&gt;0.005,1,0)))</f>
      </c>
      <c r="J7462" s="43">
        <f>IF($I7461=0,0,$R7461)</f>
      </c>
      <c r="K7462" s="43">
        <f>IF($I7462=0,0,IF(INDEX(DarlOhneTilgung,16)=1,0,IF(AND(INDEX(DarlTilgStart,16)&gt;0,$E7462=INDEX(DarlTilgStart,16)),$J7462*($H7462+INDEX(DarlTilgung,16))/100/12,IF(AND($G7462=0,$G7461=1),MAX($K7461,$J7462*($H7462+1)/100/12),$K7461))))</f>
      </c>
      <c r="L7462" s="43">
        <f>IF($I7462=0,0,$J7462*$H7462/100/12)</f>
      </c>
      <c r="M7462" s="43">
        <f>IF($I7462=0,0,IF(OR(INDEX(DarlOhneTilgung,16)=1,AND(INDEX(DarlTilgStart,16)&gt;0,$E7462&lt;INDEX(DarlTilgStart,16))),0,MIN(MAX(0,$K7462-$L7462),$J7462)))</f>
      </c>
      <c r="N7462" s="43">
        <f>IF($I7462=0,0,MIN(SUMIFS(SondBetrag,SondDarl,16,SondDatum,"&gt;="&amp;$E7462,SondDatum,"&lt;="&amp;EOMONTH($E7462,0)),$J7462-$M7462))</f>
      </c>
      <c r="O7462" s="43">
        <f>IF($I7462=0,0,INDEX(DarlErsatzRate,16))</f>
      </c>
      <c r="P7462" s="43">
        <f>IF($I7462=0,0,$Q7461*INDEX(DarlErsatzZins,16))</f>
      </c>
      <c r="Q7462" s="43">
        <f>IF($I7462=0,0,$Q7461+$P7462+$O7462)</f>
      </c>
      <c r="R7462" s="43">
        <f>IF($I7462=0,0,$J7462-$M7462-$N7462)</f>
      </c>
    </row>
    <row r="7463">
      <c r="A7463"/>
      <c r="B7463">
        <v>16</v>
      </c>
      <c r="C7463" s="43">
        <f>INDEX(DarlObj,16)</f>
      </c>
      <c r="D7463">
        <v>260</v>
      </c>
      <c r="E7463" s="51">
        <f>IF(INDEX(DarlBelegt,16)=0,0,EOMONTH(INDEX(DarlAuszahlung,16),259)+1)</f>
      </c>
      <c r="F7463" s="43">
        <f>IF($E7463=0,0,YEAR($E7463))</f>
      </c>
      <c r="G7463" s="43">
        <f>IF(INDEX(DarlBindung,16)="",1,IF($E7463&lt;=INDEX(DarlBindung,16),1,0))</f>
      </c>
      <c r="H7463" s="43">
        <f>IF($G7463=1,INDEX(DarlSollzins,16),INDEX(DarlAnschluss,16))</f>
      </c>
      <c r="I7463" s="43">
        <f>IF(INDEX(DarlBelegt,16)=0,0,IF(INDEX(DarlOhneTilgung,16)=1,IF(INDEX(DarlBindung,16)="",1,$G7463),IF($J7463&gt;0.005,1,0)))</f>
      </c>
      <c r="J7463" s="43">
        <f>IF($I7462=0,0,$R7462)</f>
      </c>
      <c r="K7463" s="43">
        <f>IF($I7463=0,0,IF(INDEX(DarlOhneTilgung,16)=1,0,IF(AND(INDEX(DarlTilgStart,16)&gt;0,$E7463=INDEX(DarlTilgStart,16)),$J7463*($H7463+INDEX(DarlTilgung,16))/100/12,IF(AND($G7463=0,$G7462=1),MAX($K7462,$J7463*($H7463+1)/100/12),$K7462))))</f>
      </c>
      <c r="L7463" s="43">
        <f>IF($I7463=0,0,$J7463*$H7463/100/12)</f>
      </c>
      <c r="M7463" s="43">
        <f>IF($I7463=0,0,IF(OR(INDEX(DarlOhneTilgung,16)=1,AND(INDEX(DarlTilgStart,16)&gt;0,$E7463&lt;INDEX(DarlTilgStart,16))),0,MIN(MAX(0,$K7463-$L7463),$J7463)))</f>
      </c>
      <c r="N7463" s="43">
        <f>IF($I7463=0,0,MIN(SUMIFS(SondBetrag,SondDarl,16,SondDatum,"&gt;="&amp;$E7463,SondDatum,"&lt;="&amp;EOMONTH($E7463,0)),$J7463-$M7463))</f>
      </c>
      <c r="O7463" s="43">
        <f>IF($I7463=0,0,INDEX(DarlErsatzRate,16))</f>
      </c>
      <c r="P7463" s="43">
        <f>IF($I7463=0,0,$Q7462*INDEX(DarlErsatzZins,16))</f>
      </c>
      <c r="Q7463" s="43">
        <f>IF($I7463=0,0,$Q7462+$P7463+$O7463)</f>
      </c>
      <c r="R7463" s="43">
        <f>IF($I7463=0,0,$J7463-$M7463-$N7463)</f>
      </c>
    </row>
    <row r="7464">
      <c r="A7464"/>
      <c r="B7464">
        <v>16</v>
      </c>
      <c r="C7464" s="43">
        <f>INDEX(DarlObj,16)</f>
      </c>
      <c r="D7464">
        <v>261</v>
      </c>
      <c r="E7464" s="51">
        <f>IF(INDEX(DarlBelegt,16)=0,0,EOMONTH(INDEX(DarlAuszahlung,16),260)+1)</f>
      </c>
      <c r="F7464" s="43">
        <f>IF($E7464=0,0,YEAR($E7464))</f>
      </c>
      <c r="G7464" s="43">
        <f>IF(INDEX(DarlBindung,16)="",1,IF($E7464&lt;=INDEX(DarlBindung,16),1,0))</f>
      </c>
      <c r="H7464" s="43">
        <f>IF($G7464=1,INDEX(DarlSollzins,16),INDEX(DarlAnschluss,16))</f>
      </c>
      <c r="I7464" s="43">
        <f>IF(INDEX(DarlBelegt,16)=0,0,IF(INDEX(DarlOhneTilgung,16)=1,IF(INDEX(DarlBindung,16)="",1,$G7464),IF($J7464&gt;0.005,1,0)))</f>
      </c>
      <c r="J7464" s="43">
        <f>IF($I7463=0,0,$R7463)</f>
      </c>
      <c r="K7464" s="43">
        <f>IF($I7464=0,0,IF(INDEX(DarlOhneTilgung,16)=1,0,IF(AND(INDEX(DarlTilgStart,16)&gt;0,$E7464=INDEX(DarlTilgStart,16)),$J7464*($H7464+INDEX(DarlTilgung,16))/100/12,IF(AND($G7464=0,$G7463=1),MAX($K7463,$J7464*($H7464+1)/100/12),$K7463))))</f>
      </c>
      <c r="L7464" s="43">
        <f>IF($I7464=0,0,$J7464*$H7464/100/12)</f>
      </c>
      <c r="M7464" s="43">
        <f>IF($I7464=0,0,IF(OR(INDEX(DarlOhneTilgung,16)=1,AND(INDEX(DarlTilgStart,16)&gt;0,$E7464&lt;INDEX(DarlTilgStart,16))),0,MIN(MAX(0,$K7464-$L7464),$J7464)))</f>
      </c>
      <c r="N7464" s="43">
        <f>IF($I7464=0,0,MIN(SUMIFS(SondBetrag,SondDarl,16,SondDatum,"&gt;="&amp;$E7464,SondDatum,"&lt;="&amp;EOMONTH($E7464,0)),$J7464-$M7464))</f>
      </c>
      <c r="O7464" s="43">
        <f>IF($I7464=0,0,INDEX(DarlErsatzRate,16))</f>
      </c>
      <c r="P7464" s="43">
        <f>IF($I7464=0,0,$Q7463*INDEX(DarlErsatzZins,16))</f>
      </c>
      <c r="Q7464" s="43">
        <f>IF($I7464=0,0,$Q7463+$P7464+$O7464)</f>
      </c>
      <c r="R7464" s="43">
        <f>IF($I7464=0,0,$J7464-$M7464-$N7464)</f>
      </c>
    </row>
    <row r="7465">
      <c r="A7465"/>
      <c r="B7465">
        <v>16</v>
      </c>
      <c r="C7465" s="43">
        <f>INDEX(DarlObj,16)</f>
      </c>
      <c r="D7465">
        <v>262</v>
      </c>
      <c r="E7465" s="51">
        <f>IF(INDEX(DarlBelegt,16)=0,0,EOMONTH(INDEX(DarlAuszahlung,16),261)+1)</f>
      </c>
      <c r="F7465" s="43">
        <f>IF($E7465=0,0,YEAR($E7465))</f>
      </c>
      <c r="G7465" s="43">
        <f>IF(INDEX(DarlBindung,16)="",1,IF($E7465&lt;=INDEX(DarlBindung,16),1,0))</f>
      </c>
      <c r="H7465" s="43">
        <f>IF($G7465=1,INDEX(DarlSollzins,16),INDEX(DarlAnschluss,16))</f>
      </c>
      <c r="I7465" s="43">
        <f>IF(INDEX(DarlBelegt,16)=0,0,IF(INDEX(DarlOhneTilgung,16)=1,IF(INDEX(DarlBindung,16)="",1,$G7465),IF($J7465&gt;0.005,1,0)))</f>
      </c>
      <c r="J7465" s="43">
        <f>IF($I7464=0,0,$R7464)</f>
      </c>
      <c r="K7465" s="43">
        <f>IF($I7465=0,0,IF(INDEX(DarlOhneTilgung,16)=1,0,IF(AND(INDEX(DarlTilgStart,16)&gt;0,$E7465=INDEX(DarlTilgStart,16)),$J7465*($H7465+INDEX(DarlTilgung,16))/100/12,IF(AND($G7465=0,$G7464=1),MAX($K7464,$J7465*($H7465+1)/100/12),$K7464))))</f>
      </c>
      <c r="L7465" s="43">
        <f>IF($I7465=0,0,$J7465*$H7465/100/12)</f>
      </c>
      <c r="M7465" s="43">
        <f>IF($I7465=0,0,IF(OR(INDEX(DarlOhneTilgung,16)=1,AND(INDEX(DarlTilgStart,16)&gt;0,$E7465&lt;INDEX(DarlTilgStart,16))),0,MIN(MAX(0,$K7465-$L7465),$J7465)))</f>
      </c>
      <c r="N7465" s="43">
        <f>IF($I7465=0,0,MIN(SUMIFS(SondBetrag,SondDarl,16,SondDatum,"&gt;="&amp;$E7465,SondDatum,"&lt;="&amp;EOMONTH($E7465,0)),$J7465-$M7465))</f>
      </c>
      <c r="O7465" s="43">
        <f>IF($I7465=0,0,INDEX(DarlErsatzRate,16))</f>
      </c>
      <c r="P7465" s="43">
        <f>IF($I7465=0,0,$Q7464*INDEX(DarlErsatzZins,16))</f>
      </c>
      <c r="Q7465" s="43">
        <f>IF($I7465=0,0,$Q7464+$P7465+$O7465)</f>
      </c>
      <c r="R7465" s="43">
        <f>IF($I7465=0,0,$J7465-$M7465-$N7465)</f>
      </c>
    </row>
    <row r="7466">
      <c r="A7466"/>
      <c r="B7466">
        <v>16</v>
      </c>
      <c r="C7466" s="43">
        <f>INDEX(DarlObj,16)</f>
      </c>
      <c r="D7466">
        <v>263</v>
      </c>
      <c r="E7466" s="51">
        <f>IF(INDEX(DarlBelegt,16)=0,0,EOMONTH(INDEX(DarlAuszahlung,16),262)+1)</f>
      </c>
      <c r="F7466" s="43">
        <f>IF($E7466=0,0,YEAR($E7466))</f>
      </c>
      <c r="G7466" s="43">
        <f>IF(INDEX(DarlBindung,16)="",1,IF($E7466&lt;=INDEX(DarlBindung,16),1,0))</f>
      </c>
      <c r="H7466" s="43">
        <f>IF($G7466=1,INDEX(DarlSollzins,16),INDEX(DarlAnschluss,16))</f>
      </c>
      <c r="I7466" s="43">
        <f>IF(INDEX(DarlBelegt,16)=0,0,IF(INDEX(DarlOhneTilgung,16)=1,IF(INDEX(DarlBindung,16)="",1,$G7466),IF($J7466&gt;0.005,1,0)))</f>
      </c>
      <c r="J7466" s="43">
        <f>IF($I7465=0,0,$R7465)</f>
      </c>
      <c r="K7466" s="43">
        <f>IF($I7466=0,0,IF(INDEX(DarlOhneTilgung,16)=1,0,IF(AND(INDEX(DarlTilgStart,16)&gt;0,$E7466=INDEX(DarlTilgStart,16)),$J7466*($H7466+INDEX(DarlTilgung,16))/100/12,IF(AND($G7466=0,$G7465=1),MAX($K7465,$J7466*($H7466+1)/100/12),$K7465))))</f>
      </c>
      <c r="L7466" s="43">
        <f>IF($I7466=0,0,$J7466*$H7466/100/12)</f>
      </c>
      <c r="M7466" s="43">
        <f>IF($I7466=0,0,IF(OR(INDEX(DarlOhneTilgung,16)=1,AND(INDEX(DarlTilgStart,16)&gt;0,$E7466&lt;INDEX(DarlTilgStart,16))),0,MIN(MAX(0,$K7466-$L7466),$J7466)))</f>
      </c>
      <c r="N7466" s="43">
        <f>IF($I7466=0,0,MIN(SUMIFS(SondBetrag,SondDarl,16,SondDatum,"&gt;="&amp;$E7466,SondDatum,"&lt;="&amp;EOMONTH($E7466,0)),$J7466-$M7466))</f>
      </c>
      <c r="O7466" s="43">
        <f>IF($I7466=0,0,INDEX(DarlErsatzRate,16))</f>
      </c>
      <c r="P7466" s="43">
        <f>IF($I7466=0,0,$Q7465*INDEX(DarlErsatzZins,16))</f>
      </c>
      <c r="Q7466" s="43">
        <f>IF($I7466=0,0,$Q7465+$P7466+$O7466)</f>
      </c>
      <c r="R7466" s="43">
        <f>IF($I7466=0,0,$J7466-$M7466-$N7466)</f>
      </c>
    </row>
    <row r="7467">
      <c r="A7467"/>
      <c r="B7467">
        <v>16</v>
      </c>
      <c r="C7467" s="43">
        <f>INDEX(DarlObj,16)</f>
      </c>
      <c r="D7467">
        <v>264</v>
      </c>
      <c r="E7467" s="51">
        <f>IF(INDEX(DarlBelegt,16)=0,0,EOMONTH(INDEX(DarlAuszahlung,16),263)+1)</f>
      </c>
      <c r="F7467" s="43">
        <f>IF($E7467=0,0,YEAR($E7467))</f>
      </c>
      <c r="G7467" s="43">
        <f>IF(INDEX(DarlBindung,16)="",1,IF($E7467&lt;=INDEX(DarlBindung,16),1,0))</f>
      </c>
      <c r="H7467" s="43">
        <f>IF($G7467=1,INDEX(DarlSollzins,16),INDEX(DarlAnschluss,16))</f>
      </c>
      <c r="I7467" s="43">
        <f>IF(INDEX(DarlBelegt,16)=0,0,IF(INDEX(DarlOhneTilgung,16)=1,IF(INDEX(DarlBindung,16)="",1,$G7467),IF($J7467&gt;0.005,1,0)))</f>
      </c>
      <c r="J7467" s="43">
        <f>IF($I7466=0,0,$R7466)</f>
      </c>
      <c r="K7467" s="43">
        <f>IF($I7467=0,0,IF(INDEX(DarlOhneTilgung,16)=1,0,IF(AND(INDEX(DarlTilgStart,16)&gt;0,$E7467=INDEX(DarlTilgStart,16)),$J7467*($H7467+INDEX(DarlTilgung,16))/100/12,IF(AND($G7467=0,$G7466=1),MAX($K7466,$J7467*($H7467+1)/100/12),$K7466))))</f>
      </c>
      <c r="L7467" s="43">
        <f>IF($I7467=0,0,$J7467*$H7467/100/12)</f>
      </c>
      <c r="M7467" s="43">
        <f>IF($I7467=0,0,IF(OR(INDEX(DarlOhneTilgung,16)=1,AND(INDEX(DarlTilgStart,16)&gt;0,$E7467&lt;INDEX(DarlTilgStart,16))),0,MIN(MAX(0,$K7467-$L7467),$J7467)))</f>
      </c>
      <c r="N7467" s="43">
        <f>IF($I7467=0,0,MIN(SUMIFS(SondBetrag,SondDarl,16,SondDatum,"&gt;="&amp;$E7467,SondDatum,"&lt;="&amp;EOMONTH($E7467,0)),$J7467-$M7467))</f>
      </c>
      <c r="O7467" s="43">
        <f>IF($I7467=0,0,INDEX(DarlErsatzRate,16))</f>
      </c>
      <c r="P7467" s="43">
        <f>IF($I7467=0,0,$Q7466*INDEX(DarlErsatzZins,16))</f>
      </c>
      <c r="Q7467" s="43">
        <f>IF($I7467=0,0,$Q7466+$P7467+$O7467)</f>
      </c>
      <c r="R7467" s="43">
        <f>IF($I7467=0,0,$J7467-$M7467-$N7467)</f>
      </c>
    </row>
    <row r="7468">
      <c r="A7468"/>
      <c r="B7468">
        <v>16</v>
      </c>
      <c r="C7468" s="43">
        <f>INDEX(DarlObj,16)</f>
      </c>
      <c r="D7468">
        <v>265</v>
      </c>
      <c r="E7468" s="51">
        <f>IF(INDEX(DarlBelegt,16)=0,0,EOMONTH(INDEX(DarlAuszahlung,16),264)+1)</f>
      </c>
      <c r="F7468" s="43">
        <f>IF($E7468=0,0,YEAR($E7468))</f>
      </c>
      <c r="G7468" s="43">
        <f>IF(INDEX(DarlBindung,16)="",1,IF($E7468&lt;=INDEX(DarlBindung,16),1,0))</f>
      </c>
      <c r="H7468" s="43">
        <f>IF($G7468=1,INDEX(DarlSollzins,16),INDEX(DarlAnschluss,16))</f>
      </c>
      <c r="I7468" s="43">
        <f>IF(INDEX(DarlBelegt,16)=0,0,IF(INDEX(DarlOhneTilgung,16)=1,IF(INDEX(DarlBindung,16)="",1,$G7468),IF($J7468&gt;0.005,1,0)))</f>
      </c>
      <c r="J7468" s="43">
        <f>IF($I7467=0,0,$R7467)</f>
      </c>
      <c r="K7468" s="43">
        <f>IF($I7468=0,0,IF(INDEX(DarlOhneTilgung,16)=1,0,IF(AND(INDEX(DarlTilgStart,16)&gt;0,$E7468=INDEX(DarlTilgStart,16)),$J7468*($H7468+INDEX(DarlTilgung,16))/100/12,IF(AND($G7468=0,$G7467=1),MAX($K7467,$J7468*($H7468+1)/100/12),$K7467))))</f>
      </c>
      <c r="L7468" s="43">
        <f>IF($I7468=0,0,$J7468*$H7468/100/12)</f>
      </c>
      <c r="M7468" s="43">
        <f>IF($I7468=0,0,IF(OR(INDEX(DarlOhneTilgung,16)=1,AND(INDEX(DarlTilgStart,16)&gt;0,$E7468&lt;INDEX(DarlTilgStart,16))),0,MIN(MAX(0,$K7468-$L7468),$J7468)))</f>
      </c>
      <c r="N7468" s="43">
        <f>IF($I7468=0,0,MIN(SUMIFS(SondBetrag,SondDarl,16,SondDatum,"&gt;="&amp;$E7468,SondDatum,"&lt;="&amp;EOMONTH($E7468,0)),$J7468-$M7468))</f>
      </c>
      <c r="O7468" s="43">
        <f>IF($I7468=0,0,INDEX(DarlErsatzRate,16))</f>
      </c>
      <c r="P7468" s="43">
        <f>IF($I7468=0,0,$Q7467*INDEX(DarlErsatzZins,16))</f>
      </c>
      <c r="Q7468" s="43">
        <f>IF($I7468=0,0,$Q7467+$P7468+$O7468)</f>
      </c>
      <c r="R7468" s="43">
        <f>IF($I7468=0,0,$J7468-$M7468-$N7468)</f>
      </c>
    </row>
    <row r="7469">
      <c r="A7469"/>
      <c r="B7469">
        <v>16</v>
      </c>
      <c r="C7469" s="43">
        <f>INDEX(DarlObj,16)</f>
      </c>
      <c r="D7469">
        <v>266</v>
      </c>
      <c r="E7469" s="51">
        <f>IF(INDEX(DarlBelegt,16)=0,0,EOMONTH(INDEX(DarlAuszahlung,16),265)+1)</f>
      </c>
      <c r="F7469" s="43">
        <f>IF($E7469=0,0,YEAR($E7469))</f>
      </c>
      <c r="G7469" s="43">
        <f>IF(INDEX(DarlBindung,16)="",1,IF($E7469&lt;=INDEX(DarlBindung,16),1,0))</f>
      </c>
      <c r="H7469" s="43">
        <f>IF($G7469=1,INDEX(DarlSollzins,16),INDEX(DarlAnschluss,16))</f>
      </c>
      <c r="I7469" s="43">
        <f>IF(INDEX(DarlBelegt,16)=0,0,IF(INDEX(DarlOhneTilgung,16)=1,IF(INDEX(DarlBindung,16)="",1,$G7469),IF($J7469&gt;0.005,1,0)))</f>
      </c>
      <c r="J7469" s="43">
        <f>IF($I7468=0,0,$R7468)</f>
      </c>
      <c r="K7469" s="43">
        <f>IF($I7469=0,0,IF(INDEX(DarlOhneTilgung,16)=1,0,IF(AND(INDEX(DarlTilgStart,16)&gt;0,$E7469=INDEX(DarlTilgStart,16)),$J7469*($H7469+INDEX(DarlTilgung,16))/100/12,IF(AND($G7469=0,$G7468=1),MAX($K7468,$J7469*($H7469+1)/100/12),$K7468))))</f>
      </c>
      <c r="L7469" s="43">
        <f>IF($I7469=0,0,$J7469*$H7469/100/12)</f>
      </c>
      <c r="M7469" s="43">
        <f>IF($I7469=0,0,IF(OR(INDEX(DarlOhneTilgung,16)=1,AND(INDEX(DarlTilgStart,16)&gt;0,$E7469&lt;INDEX(DarlTilgStart,16))),0,MIN(MAX(0,$K7469-$L7469),$J7469)))</f>
      </c>
      <c r="N7469" s="43">
        <f>IF($I7469=0,0,MIN(SUMIFS(SondBetrag,SondDarl,16,SondDatum,"&gt;="&amp;$E7469,SondDatum,"&lt;="&amp;EOMONTH($E7469,0)),$J7469-$M7469))</f>
      </c>
      <c r="O7469" s="43">
        <f>IF($I7469=0,0,INDEX(DarlErsatzRate,16))</f>
      </c>
      <c r="P7469" s="43">
        <f>IF($I7469=0,0,$Q7468*INDEX(DarlErsatzZins,16))</f>
      </c>
      <c r="Q7469" s="43">
        <f>IF($I7469=0,0,$Q7468+$P7469+$O7469)</f>
      </c>
      <c r="R7469" s="43">
        <f>IF($I7469=0,0,$J7469-$M7469-$N7469)</f>
      </c>
    </row>
    <row r="7470">
      <c r="A7470"/>
      <c r="B7470">
        <v>16</v>
      </c>
      <c r="C7470" s="43">
        <f>INDEX(DarlObj,16)</f>
      </c>
      <c r="D7470">
        <v>267</v>
      </c>
      <c r="E7470" s="51">
        <f>IF(INDEX(DarlBelegt,16)=0,0,EOMONTH(INDEX(DarlAuszahlung,16),266)+1)</f>
      </c>
      <c r="F7470" s="43">
        <f>IF($E7470=0,0,YEAR($E7470))</f>
      </c>
      <c r="G7470" s="43">
        <f>IF(INDEX(DarlBindung,16)="",1,IF($E7470&lt;=INDEX(DarlBindung,16),1,0))</f>
      </c>
      <c r="H7470" s="43">
        <f>IF($G7470=1,INDEX(DarlSollzins,16),INDEX(DarlAnschluss,16))</f>
      </c>
      <c r="I7470" s="43">
        <f>IF(INDEX(DarlBelegt,16)=0,0,IF(INDEX(DarlOhneTilgung,16)=1,IF(INDEX(DarlBindung,16)="",1,$G7470),IF($J7470&gt;0.005,1,0)))</f>
      </c>
      <c r="J7470" s="43">
        <f>IF($I7469=0,0,$R7469)</f>
      </c>
      <c r="K7470" s="43">
        <f>IF($I7470=0,0,IF(INDEX(DarlOhneTilgung,16)=1,0,IF(AND(INDEX(DarlTilgStart,16)&gt;0,$E7470=INDEX(DarlTilgStart,16)),$J7470*($H7470+INDEX(DarlTilgung,16))/100/12,IF(AND($G7470=0,$G7469=1),MAX($K7469,$J7470*($H7470+1)/100/12),$K7469))))</f>
      </c>
      <c r="L7470" s="43">
        <f>IF($I7470=0,0,$J7470*$H7470/100/12)</f>
      </c>
      <c r="M7470" s="43">
        <f>IF($I7470=0,0,IF(OR(INDEX(DarlOhneTilgung,16)=1,AND(INDEX(DarlTilgStart,16)&gt;0,$E7470&lt;INDEX(DarlTilgStart,16))),0,MIN(MAX(0,$K7470-$L7470),$J7470)))</f>
      </c>
      <c r="N7470" s="43">
        <f>IF($I7470=0,0,MIN(SUMIFS(SondBetrag,SondDarl,16,SondDatum,"&gt;="&amp;$E7470,SondDatum,"&lt;="&amp;EOMONTH($E7470,0)),$J7470-$M7470))</f>
      </c>
      <c r="O7470" s="43">
        <f>IF($I7470=0,0,INDEX(DarlErsatzRate,16))</f>
      </c>
      <c r="P7470" s="43">
        <f>IF($I7470=0,0,$Q7469*INDEX(DarlErsatzZins,16))</f>
      </c>
      <c r="Q7470" s="43">
        <f>IF($I7470=0,0,$Q7469+$P7470+$O7470)</f>
      </c>
      <c r="R7470" s="43">
        <f>IF($I7470=0,0,$J7470-$M7470-$N7470)</f>
      </c>
    </row>
    <row r="7471">
      <c r="A7471"/>
      <c r="B7471">
        <v>16</v>
      </c>
      <c r="C7471" s="43">
        <f>INDEX(DarlObj,16)</f>
      </c>
      <c r="D7471">
        <v>268</v>
      </c>
      <c r="E7471" s="51">
        <f>IF(INDEX(DarlBelegt,16)=0,0,EOMONTH(INDEX(DarlAuszahlung,16),267)+1)</f>
      </c>
      <c r="F7471" s="43">
        <f>IF($E7471=0,0,YEAR($E7471))</f>
      </c>
      <c r="G7471" s="43">
        <f>IF(INDEX(DarlBindung,16)="",1,IF($E7471&lt;=INDEX(DarlBindung,16),1,0))</f>
      </c>
      <c r="H7471" s="43">
        <f>IF($G7471=1,INDEX(DarlSollzins,16),INDEX(DarlAnschluss,16))</f>
      </c>
      <c r="I7471" s="43">
        <f>IF(INDEX(DarlBelegt,16)=0,0,IF(INDEX(DarlOhneTilgung,16)=1,IF(INDEX(DarlBindung,16)="",1,$G7471),IF($J7471&gt;0.005,1,0)))</f>
      </c>
      <c r="J7471" s="43">
        <f>IF($I7470=0,0,$R7470)</f>
      </c>
      <c r="K7471" s="43">
        <f>IF($I7471=0,0,IF(INDEX(DarlOhneTilgung,16)=1,0,IF(AND(INDEX(DarlTilgStart,16)&gt;0,$E7471=INDEX(DarlTilgStart,16)),$J7471*($H7471+INDEX(DarlTilgung,16))/100/12,IF(AND($G7471=0,$G7470=1),MAX($K7470,$J7471*($H7471+1)/100/12),$K7470))))</f>
      </c>
      <c r="L7471" s="43">
        <f>IF($I7471=0,0,$J7471*$H7471/100/12)</f>
      </c>
      <c r="M7471" s="43">
        <f>IF($I7471=0,0,IF(OR(INDEX(DarlOhneTilgung,16)=1,AND(INDEX(DarlTilgStart,16)&gt;0,$E7471&lt;INDEX(DarlTilgStart,16))),0,MIN(MAX(0,$K7471-$L7471),$J7471)))</f>
      </c>
      <c r="N7471" s="43">
        <f>IF($I7471=0,0,MIN(SUMIFS(SondBetrag,SondDarl,16,SondDatum,"&gt;="&amp;$E7471,SondDatum,"&lt;="&amp;EOMONTH($E7471,0)),$J7471-$M7471))</f>
      </c>
      <c r="O7471" s="43">
        <f>IF($I7471=0,0,INDEX(DarlErsatzRate,16))</f>
      </c>
      <c r="P7471" s="43">
        <f>IF($I7471=0,0,$Q7470*INDEX(DarlErsatzZins,16))</f>
      </c>
      <c r="Q7471" s="43">
        <f>IF($I7471=0,0,$Q7470+$P7471+$O7471)</f>
      </c>
      <c r="R7471" s="43">
        <f>IF($I7471=0,0,$J7471-$M7471-$N7471)</f>
      </c>
    </row>
    <row r="7472">
      <c r="A7472"/>
      <c r="B7472">
        <v>16</v>
      </c>
      <c r="C7472" s="43">
        <f>INDEX(DarlObj,16)</f>
      </c>
      <c r="D7472">
        <v>269</v>
      </c>
      <c r="E7472" s="51">
        <f>IF(INDEX(DarlBelegt,16)=0,0,EOMONTH(INDEX(DarlAuszahlung,16),268)+1)</f>
      </c>
      <c r="F7472" s="43">
        <f>IF($E7472=0,0,YEAR($E7472))</f>
      </c>
      <c r="G7472" s="43">
        <f>IF(INDEX(DarlBindung,16)="",1,IF($E7472&lt;=INDEX(DarlBindung,16),1,0))</f>
      </c>
      <c r="H7472" s="43">
        <f>IF($G7472=1,INDEX(DarlSollzins,16),INDEX(DarlAnschluss,16))</f>
      </c>
      <c r="I7472" s="43">
        <f>IF(INDEX(DarlBelegt,16)=0,0,IF(INDEX(DarlOhneTilgung,16)=1,IF(INDEX(DarlBindung,16)="",1,$G7472),IF($J7472&gt;0.005,1,0)))</f>
      </c>
      <c r="J7472" s="43">
        <f>IF($I7471=0,0,$R7471)</f>
      </c>
      <c r="K7472" s="43">
        <f>IF($I7472=0,0,IF(INDEX(DarlOhneTilgung,16)=1,0,IF(AND(INDEX(DarlTilgStart,16)&gt;0,$E7472=INDEX(DarlTilgStart,16)),$J7472*($H7472+INDEX(DarlTilgung,16))/100/12,IF(AND($G7472=0,$G7471=1),MAX($K7471,$J7472*($H7472+1)/100/12),$K7471))))</f>
      </c>
      <c r="L7472" s="43">
        <f>IF($I7472=0,0,$J7472*$H7472/100/12)</f>
      </c>
      <c r="M7472" s="43">
        <f>IF($I7472=0,0,IF(OR(INDEX(DarlOhneTilgung,16)=1,AND(INDEX(DarlTilgStart,16)&gt;0,$E7472&lt;INDEX(DarlTilgStart,16))),0,MIN(MAX(0,$K7472-$L7472),$J7472)))</f>
      </c>
      <c r="N7472" s="43">
        <f>IF($I7472=0,0,MIN(SUMIFS(SondBetrag,SondDarl,16,SondDatum,"&gt;="&amp;$E7472,SondDatum,"&lt;="&amp;EOMONTH($E7472,0)),$J7472-$M7472))</f>
      </c>
      <c r="O7472" s="43">
        <f>IF($I7472=0,0,INDEX(DarlErsatzRate,16))</f>
      </c>
      <c r="P7472" s="43">
        <f>IF($I7472=0,0,$Q7471*INDEX(DarlErsatzZins,16))</f>
      </c>
      <c r="Q7472" s="43">
        <f>IF($I7472=0,0,$Q7471+$P7472+$O7472)</f>
      </c>
      <c r="R7472" s="43">
        <f>IF($I7472=0,0,$J7472-$M7472-$N7472)</f>
      </c>
    </row>
    <row r="7473">
      <c r="A7473"/>
      <c r="B7473">
        <v>16</v>
      </c>
      <c r="C7473" s="43">
        <f>INDEX(DarlObj,16)</f>
      </c>
      <c r="D7473">
        <v>270</v>
      </c>
      <c r="E7473" s="51">
        <f>IF(INDEX(DarlBelegt,16)=0,0,EOMONTH(INDEX(DarlAuszahlung,16),269)+1)</f>
      </c>
      <c r="F7473" s="43">
        <f>IF($E7473=0,0,YEAR($E7473))</f>
      </c>
      <c r="G7473" s="43">
        <f>IF(INDEX(DarlBindung,16)="",1,IF($E7473&lt;=INDEX(DarlBindung,16),1,0))</f>
      </c>
      <c r="H7473" s="43">
        <f>IF($G7473=1,INDEX(DarlSollzins,16),INDEX(DarlAnschluss,16))</f>
      </c>
      <c r="I7473" s="43">
        <f>IF(INDEX(DarlBelegt,16)=0,0,IF(INDEX(DarlOhneTilgung,16)=1,IF(INDEX(DarlBindung,16)="",1,$G7473),IF($J7473&gt;0.005,1,0)))</f>
      </c>
      <c r="J7473" s="43">
        <f>IF($I7472=0,0,$R7472)</f>
      </c>
      <c r="K7473" s="43">
        <f>IF($I7473=0,0,IF(INDEX(DarlOhneTilgung,16)=1,0,IF(AND(INDEX(DarlTilgStart,16)&gt;0,$E7473=INDEX(DarlTilgStart,16)),$J7473*($H7473+INDEX(DarlTilgung,16))/100/12,IF(AND($G7473=0,$G7472=1),MAX($K7472,$J7473*($H7473+1)/100/12),$K7472))))</f>
      </c>
      <c r="L7473" s="43">
        <f>IF($I7473=0,0,$J7473*$H7473/100/12)</f>
      </c>
      <c r="M7473" s="43">
        <f>IF($I7473=0,0,IF(OR(INDEX(DarlOhneTilgung,16)=1,AND(INDEX(DarlTilgStart,16)&gt;0,$E7473&lt;INDEX(DarlTilgStart,16))),0,MIN(MAX(0,$K7473-$L7473),$J7473)))</f>
      </c>
      <c r="N7473" s="43">
        <f>IF($I7473=0,0,MIN(SUMIFS(SondBetrag,SondDarl,16,SondDatum,"&gt;="&amp;$E7473,SondDatum,"&lt;="&amp;EOMONTH($E7473,0)),$J7473-$M7473))</f>
      </c>
      <c r="O7473" s="43">
        <f>IF($I7473=0,0,INDEX(DarlErsatzRate,16))</f>
      </c>
      <c r="P7473" s="43">
        <f>IF($I7473=0,0,$Q7472*INDEX(DarlErsatzZins,16))</f>
      </c>
      <c r="Q7473" s="43">
        <f>IF($I7473=0,0,$Q7472+$P7473+$O7473)</f>
      </c>
      <c r="R7473" s="43">
        <f>IF($I7473=0,0,$J7473-$M7473-$N7473)</f>
      </c>
    </row>
    <row r="7474">
      <c r="A7474"/>
      <c r="B7474">
        <v>16</v>
      </c>
      <c r="C7474" s="43">
        <f>INDEX(DarlObj,16)</f>
      </c>
      <c r="D7474">
        <v>271</v>
      </c>
      <c r="E7474" s="51">
        <f>IF(INDEX(DarlBelegt,16)=0,0,EOMONTH(INDEX(DarlAuszahlung,16),270)+1)</f>
      </c>
      <c r="F7474" s="43">
        <f>IF($E7474=0,0,YEAR($E7474))</f>
      </c>
      <c r="G7474" s="43">
        <f>IF(INDEX(DarlBindung,16)="",1,IF($E7474&lt;=INDEX(DarlBindung,16),1,0))</f>
      </c>
      <c r="H7474" s="43">
        <f>IF($G7474=1,INDEX(DarlSollzins,16),INDEX(DarlAnschluss,16))</f>
      </c>
      <c r="I7474" s="43">
        <f>IF(INDEX(DarlBelegt,16)=0,0,IF(INDEX(DarlOhneTilgung,16)=1,IF(INDEX(DarlBindung,16)="",1,$G7474),IF($J7474&gt;0.005,1,0)))</f>
      </c>
      <c r="J7474" s="43">
        <f>IF($I7473=0,0,$R7473)</f>
      </c>
      <c r="K7474" s="43">
        <f>IF($I7474=0,0,IF(INDEX(DarlOhneTilgung,16)=1,0,IF(AND(INDEX(DarlTilgStart,16)&gt;0,$E7474=INDEX(DarlTilgStart,16)),$J7474*($H7474+INDEX(DarlTilgung,16))/100/12,IF(AND($G7474=0,$G7473=1),MAX($K7473,$J7474*($H7474+1)/100/12),$K7473))))</f>
      </c>
      <c r="L7474" s="43">
        <f>IF($I7474=0,0,$J7474*$H7474/100/12)</f>
      </c>
      <c r="M7474" s="43">
        <f>IF($I7474=0,0,IF(OR(INDEX(DarlOhneTilgung,16)=1,AND(INDEX(DarlTilgStart,16)&gt;0,$E7474&lt;INDEX(DarlTilgStart,16))),0,MIN(MAX(0,$K7474-$L7474),$J7474)))</f>
      </c>
      <c r="N7474" s="43">
        <f>IF($I7474=0,0,MIN(SUMIFS(SondBetrag,SondDarl,16,SondDatum,"&gt;="&amp;$E7474,SondDatum,"&lt;="&amp;EOMONTH($E7474,0)),$J7474-$M7474))</f>
      </c>
      <c r="O7474" s="43">
        <f>IF($I7474=0,0,INDEX(DarlErsatzRate,16))</f>
      </c>
      <c r="P7474" s="43">
        <f>IF($I7474=0,0,$Q7473*INDEX(DarlErsatzZins,16))</f>
      </c>
      <c r="Q7474" s="43">
        <f>IF($I7474=0,0,$Q7473+$P7474+$O7474)</f>
      </c>
      <c r="R7474" s="43">
        <f>IF($I7474=0,0,$J7474-$M7474-$N7474)</f>
      </c>
    </row>
    <row r="7475">
      <c r="A7475"/>
      <c r="B7475">
        <v>16</v>
      </c>
      <c r="C7475" s="43">
        <f>INDEX(DarlObj,16)</f>
      </c>
      <c r="D7475">
        <v>272</v>
      </c>
      <c r="E7475" s="51">
        <f>IF(INDEX(DarlBelegt,16)=0,0,EOMONTH(INDEX(DarlAuszahlung,16),271)+1)</f>
      </c>
      <c r="F7475" s="43">
        <f>IF($E7475=0,0,YEAR($E7475))</f>
      </c>
      <c r="G7475" s="43">
        <f>IF(INDEX(DarlBindung,16)="",1,IF($E7475&lt;=INDEX(DarlBindung,16),1,0))</f>
      </c>
      <c r="H7475" s="43">
        <f>IF($G7475=1,INDEX(DarlSollzins,16),INDEX(DarlAnschluss,16))</f>
      </c>
      <c r="I7475" s="43">
        <f>IF(INDEX(DarlBelegt,16)=0,0,IF(INDEX(DarlOhneTilgung,16)=1,IF(INDEX(DarlBindung,16)="",1,$G7475),IF($J7475&gt;0.005,1,0)))</f>
      </c>
      <c r="J7475" s="43">
        <f>IF($I7474=0,0,$R7474)</f>
      </c>
      <c r="K7475" s="43">
        <f>IF($I7475=0,0,IF(INDEX(DarlOhneTilgung,16)=1,0,IF(AND(INDEX(DarlTilgStart,16)&gt;0,$E7475=INDEX(DarlTilgStart,16)),$J7475*($H7475+INDEX(DarlTilgung,16))/100/12,IF(AND($G7475=0,$G7474=1),MAX($K7474,$J7475*($H7475+1)/100/12),$K7474))))</f>
      </c>
      <c r="L7475" s="43">
        <f>IF($I7475=0,0,$J7475*$H7475/100/12)</f>
      </c>
      <c r="M7475" s="43">
        <f>IF($I7475=0,0,IF(OR(INDEX(DarlOhneTilgung,16)=1,AND(INDEX(DarlTilgStart,16)&gt;0,$E7475&lt;INDEX(DarlTilgStart,16))),0,MIN(MAX(0,$K7475-$L7475),$J7475)))</f>
      </c>
      <c r="N7475" s="43">
        <f>IF($I7475=0,0,MIN(SUMIFS(SondBetrag,SondDarl,16,SondDatum,"&gt;="&amp;$E7475,SondDatum,"&lt;="&amp;EOMONTH($E7475,0)),$J7475-$M7475))</f>
      </c>
      <c r="O7475" s="43">
        <f>IF($I7475=0,0,INDEX(DarlErsatzRate,16))</f>
      </c>
      <c r="P7475" s="43">
        <f>IF($I7475=0,0,$Q7474*INDEX(DarlErsatzZins,16))</f>
      </c>
      <c r="Q7475" s="43">
        <f>IF($I7475=0,0,$Q7474+$P7475+$O7475)</f>
      </c>
      <c r="R7475" s="43">
        <f>IF($I7475=0,0,$J7475-$M7475-$N7475)</f>
      </c>
    </row>
    <row r="7476">
      <c r="A7476"/>
      <c r="B7476">
        <v>16</v>
      </c>
      <c r="C7476" s="43">
        <f>INDEX(DarlObj,16)</f>
      </c>
      <c r="D7476">
        <v>273</v>
      </c>
      <c r="E7476" s="51">
        <f>IF(INDEX(DarlBelegt,16)=0,0,EOMONTH(INDEX(DarlAuszahlung,16),272)+1)</f>
      </c>
      <c r="F7476" s="43">
        <f>IF($E7476=0,0,YEAR($E7476))</f>
      </c>
      <c r="G7476" s="43">
        <f>IF(INDEX(DarlBindung,16)="",1,IF($E7476&lt;=INDEX(DarlBindung,16),1,0))</f>
      </c>
      <c r="H7476" s="43">
        <f>IF($G7476=1,INDEX(DarlSollzins,16),INDEX(DarlAnschluss,16))</f>
      </c>
      <c r="I7476" s="43">
        <f>IF(INDEX(DarlBelegt,16)=0,0,IF(INDEX(DarlOhneTilgung,16)=1,IF(INDEX(DarlBindung,16)="",1,$G7476),IF($J7476&gt;0.005,1,0)))</f>
      </c>
      <c r="J7476" s="43">
        <f>IF($I7475=0,0,$R7475)</f>
      </c>
      <c r="K7476" s="43">
        <f>IF($I7476=0,0,IF(INDEX(DarlOhneTilgung,16)=1,0,IF(AND(INDEX(DarlTilgStart,16)&gt;0,$E7476=INDEX(DarlTilgStart,16)),$J7476*($H7476+INDEX(DarlTilgung,16))/100/12,IF(AND($G7476=0,$G7475=1),MAX($K7475,$J7476*($H7476+1)/100/12),$K7475))))</f>
      </c>
      <c r="L7476" s="43">
        <f>IF($I7476=0,0,$J7476*$H7476/100/12)</f>
      </c>
      <c r="M7476" s="43">
        <f>IF($I7476=0,0,IF(OR(INDEX(DarlOhneTilgung,16)=1,AND(INDEX(DarlTilgStart,16)&gt;0,$E7476&lt;INDEX(DarlTilgStart,16))),0,MIN(MAX(0,$K7476-$L7476),$J7476)))</f>
      </c>
      <c r="N7476" s="43">
        <f>IF($I7476=0,0,MIN(SUMIFS(SondBetrag,SondDarl,16,SondDatum,"&gt;="&amp;$E7476,SondDatum,"&lt;="&amp;EOMONTH($E7476,0)),$J7476-$M7476))</f>
      </c>
      <c r="O7476" s="43">
        <f>IF($I7476=0,0,INDEX(DarlErsatzRate,16))</f>
      </c>
      <c r="P7476" s="43">
        <f>IF($I7476=0,0,$Q7475*INDEX(DarlErsatzZins,16))</f>
      </c>
      <c r="Q7476" s="43">
        <f>IF($I7476=0,0,$Q7475+$P7476+$O7476)</f>
      </c>
      <c r="R7476" s="43">
        <f>IF($I7476=0,0,$J7476-$M7476-$N7476)</f>
      </c>
    </row>
    <row r="7477">
      <c r="A7477"/>
      <c r="B7477">
        <v>16</v>
      </c>
      <c r="C7477" s="43">
        <f>INDEX(DarlObj,16)</f>
      </c>
      <c r="D7477">
        <v>274</v>
      </c>
      <c r="E7477" s="51">
        <f>IF(INDEX(DarlBelegt,16)=0,0,EOMONTH(INDEX(DarlAuszahlung,16),273)+1)</f>
      </c>
      <c r="F7477" s="43">
        <f>IF($E7477=0,0,YEAR($E7477))</f>
      </c>
      <c r="G7477" s="43">
        <f>IF(INDEX(DarlBindung,16)="",1,IF($E7477&lt;=INDEX(DarlBindung,16),1,0))</f>
      </c>
      <c r="H7477" s="43">
        <f>IF($G7477=1,INDEX(DarlSollzins,16),INDEX(DarlAnschluss,16))</f>
      </c>
      <c r="I7477" s="43">
        <f>IF(INDEX(DarlBelegt,16)=0,0,IF(INDEX(DarlOhneTilgung,16)=1,IF(INDEX(DarlBindung,16)="",1,$G7477),IF($J7477&gt;0.005,1,0)))</f>
      </c>
      <c r="J7477" s="43">
        <f>IF($I7476=0,0,$R7476)</f>
      </c>
      <c r="K7477" s="43">
        <f>IF($I7477=0,0,IF(INDEX(DarlOhneTilgung,16)=1,0,IF(AND(INDEX(DarlTilgStart,16)&gt;0,$E7477=INDEX(DarlTilgStart,16)),$J7477*($H7477+INDEX(DarlTilgung,16))/100/12,IF(AND($G7477=0,$G7476=1),MAX($K7476,$J7477*($H7477+1)/100/12),$K7476))))</f>
      </c>
      <c r="L7477" s="43">
        <f>IF($I7477=0,0,$J7477*$H7477/100/12)</f>
      </c>
      <c r="M7477" s="43">
        <f>IF($I7477=0,0,IF(OR(INDEX(DarlOhneTilgung,16)=1,AND(INDEX(DarlTilgStart,16)&gt;0,$E7477&lt;INDEX(DarlTilgStart,16))),0,MIN(MAX(0,$K7477-$L7477),$J7477)))</f>
      </c>
      <c r="N7477" s="43">
        <f>IF($I7477=0,0,MIN(SUMIFS(SondBetrag,SondDarl,16,SondDatum,"&gt;="&amp;$E7477,SondDatum,"&lt;="&amp;EOMONTH($E7477,0)),$J7477-$M7477))</f>
      </c>
      <c r="O7477" s="43">
        <f>IF($I7477=0,0,INDEX(DarlErsatzRate,16))</f>
      </c>
      <c r="P7477" s="43">
        <f>IF($I7477=0,0,$Q7476*INDEX(DarlErsatzZins,16))</f>
      </c>
      <c r="Q7477" s="43">
        <f>IF($I7477=0,0,$Q7476+$P7477+$O7477)</f>
      </c>
      <c r="R7477" s="43">
        <f>IF($I7477=0,0,$J7477-$M7477-$N7477)</f>
      </c>
    </row>
    <row r="7478">
      <c r="A7478"/>
      <c r="B7478">
        <v>16</v>
      </c>
      <c r="C7478" s="43">
        <f>INDEX(DarlObj,16)</f>
      </c>
      <c r="D7478">
        <v>275</v>
      </c>
      <c r="E7478" s="51">
        <f>IF(INDEX(DarlBelegt,16)=0,0,EOMONTH(INDEX(DarlAuszahlung,16),274)+1)</f>
      </c>
      <c r="F7478" s="43">
        <f>IF($E7478=0,0,YEAR($E7478))</f>
      </c>
      <c r="G7478" s="43">
        <f>IF(INDEX(DarlBindung,16)="",1,IF($E7478&lt;=INDEX(DarlBindung,16),1,0))</f>
      </c>
      <c r="H7478" s="43">
        <f>IF($G7478=1,INDEX(DarlSollzins,16),INDEX(DarlAnschluss,16))</f>
      </c>
      <c r="I7478" s="43">
        <f>IF(INDEX(DarlBelegt,16)=0,0,IF(INDEX(DarlOhneTilgung,16)=1,IF(INDEX(DarlBindung,16)="",1,$G7478),IF($J7478&gt;0.005,1,0)))</f>
      </c>
      <c r="J7478" s="43">
        <f>IF($I7477=0,0,$R7477)</f>
      </c>
      <c r="K7478" s="43">
        <f>IF($I7478=0,0,IF(INDEX(DarlOhneTilgung,16)=1,0,IF(AND(INDEX(DarlTilgStart,16)&gt;0,$E7478=INDEX(DarlTilgStart,16)),$J7478*($H7478+INDEX(DarlTilgung,16))/100/12,IF(AND($G7478=0,$G7477=1),MAX($K7477,$J7478*($H7478+1)/100/12),$K7477))))</f>
      </c>
      <c r="L7478" s="43">
        <f>IF($I7478=0,0,$J7478*$H7478/100/12)</f>
      </c>
      <c r="M7478" s="43">
        <f>IF($I7478=0,0,IF(OR(INDEX(DarlOhneTilgung,16)=1,AND(INDEX(DarlTilgStart,16)&gt;0,$E7478&lt;INDEX(DarlTilgStart,16))),0,MIN(MAX(0,$K7478-$L7478),$J7478)))</f>
      </c>
      <c r="N7478" s="43">
        <f>IF($I7478=0,0,MIN(SUMIFS(SondBetrag,SondDarl,16,SondDatum,"&gt;="&amp;$E7478,SondDatum,"&lt;="&amp;EOMONTH($E7478,0)),$J7478-$M7478))</f>
      </c>
      <c r="O7478" s="43">
        <f>IF($I7478=0,0,INDEX(DarlErsatzRate,16))</f>
      </c>
      <c r="P7478" s="43">
        <f>IF($I7478=0,0,$Q7477*INDEX(DarlErsatzZins,16))</f>
      </c>
      <c r="Q7478" s="43">
        <f>IF($I7478=0,0,$Q7477+$P7478+$O7478)</f>
      </c>
      <c r="R7478" s="43">
        <f>IF($I7478=0,0,$J7478-$M7478-$N7478)</f>
      </c>
    </row>
    <row r="7479">
      <c r="A7479"/>
      <c r="B7479">
        <v>16</v>
      </c>
      <c r="C7479" s="43">
        <f>INDEX(DarlObj,16)</f>
      </c>
      <c r="D7479">
        <v>276</v>
      </c>
      <c r="E7479" s="51">
        <f>IF(INDEX(DarlBelegt,16)=0,0,EOMONTH(INDEX(DarlAuszahlung,16),275)+1)</f>
      </c>
      <c r="F7479" s="43">
        <f>IF($E7479=0,0,YEAR($E7479))</f>
      </c>
      <c r="G7479" s="43">
        <f>IF(INDEX(DarlBindung,16)="",1,IF($E7479&lt;=INDEX(DarlBindung,16),1,0))</f>
      </c>
      <c r="H7479" s="43">
        <f>IF($G7479=1,INDEX(DarlSollzins,16),INDEX(DarlAnschluss,16))</f>
      </c>
      <c r="I7479" s="43">
        <f>IF(INDEX(DarlBelegt,16)=0,0,IF(INDEX(DarlOhneTilgung,16)=1,IF(INDEX(DarlBindung,16)="",1,$G7479),IF($J7479&gt;0.005,1,0)))</f>
      </c>
      <c r="J7479" s="43">
        <f>IF($I7478=0,0,$R7478)</f>
      </c>
      <c r="K7479" s="43">
        <f>IF($I7479=0,0,IF(INDEX(DarlOhneTilgung,16)=1,0,IF(AND(INDEX(DarlTilgStart,16)&gt;0,$E7479=INDEX(DarlTilgStart,16)),$J7479*($H7479+INDEX(DarlTilgung,16))/100/12,IF(AND($G7479=0,$G7478=1),MAX($K7478,$J7479*($H7479+1)/100/12),$K7478))))</f>
      </c>
      <c r="L7479" s="43">
        <f>IF($I7479=0,0,$J7479*$H7479/100/12)</f>
      </c>
      <c r="M7479" s="43">
        <f>IF($I7479=0,0,IF(OR(INDEX(DarlOhneTilgung,16)=1,AND(INDEX(DarlTilgStart,16)&gt;0,$E7479&lt;INDEX(DarlTilgStart,16))),0,MIN(MAX(0,$K7479-$L7479),$J7479)))</f>
      </c>
      <c r="N7479" s="43">
        <f>IF($I7479=0,0,MIN(SUMIFS(SondBetrag,SondDarl,16,SondDatum,"&gt;="&amp;$E7479,SondDatum,"&lt;="&amp;EOMONTH($E7479,0)),$J7479-$M7479))</f>
      </c>
      <c r="O7479" s="43">
        <f>IF($I7479=0,0,INDEX(DarlErsatzRate,16))</f>
      </c>
      <c r="P7479" s="43">
        <f>IF($I7479=0,0,$Q7478*INDEX(DarlErsatzZins,16))</f>
      </c>
      <c r="Q7479" s="43">
        <f>IF($I7479=0,0,$Q7478+$P7479+$O7479)</f>
      </c>
      <c r="R7479" s="43">
        <f>IF($I7479=0,0,$J7479-$M7479-$N7479)</f>
      </c>
    </row>
    <row r="7480">
      <c r="A7480"/>
      <c r="B7480">
        <v>16</v>
      </c>
      <c r="C7480" s="43">
        <f>INDEX(DarlObj,16)</f>
      </c>
      <c r="D7480">
        <v>277</v>
      </c>
      <c r="E7480" s="51">
        <f>IF(INDEX(DarlBelegt,16)=0,0,EOMONTH(INDEX(DarlAuszahlung,16),276)+1)</f>
      </c>
      <c r="F7480" s="43">
        <f>IF($E7480=0,0,YEAR($E7480))</f>
      </c>
      <c r="G7480" s="43">
        <f>IF(INDEX(DarlBindung,16)="",1,IF($E7480&lt;=INDEX(DarlBindung,16),1,0))</f>
      </c>
      <c r="H7480" s="43">
        <f>IF($G7480=1,INDEX(DarlSollzins,16),INDEX(DarlAnschluss,16))</f>
      </c>
      <c r="I7480" s="43">
        <f>IF(INDEX(DarlBelegt,16)=0,0,IF(INDEX(DarlOhneTilgung,16)=1,IF(INDEX(DarlBindung,16)="",1,$G7480),IF($J7480&gt;0.005,1,0)))</f>
      </c>
      <c r="J7480" s="43">
        <f>IF($I7479=0,0,$R7479)</f>
      </c>
      <c r="K7480" s="43">
        <f>IF($I7480=0,0,IF(INDEX(DarlOhneTilgung,16)=1,0,IF(AND(INDEX(DarlTilgStart,16)&gt;0,$E7480=INDEX(DarlTilgStart,16)),$J7480*($H7480+INDEX(DarlTilgung,16))/100/12,IF(AND($G7480=0,$G7479=1),MAX($K7479,$J7480*($H7480+1)/100/12),$K7479))))</f>
      </c>
      <c r="L7480" s="43">
        <f>IF($I7480=0,0,$J7480*$H7480/100/12)</f>
      </c>
      <c r="M7480" s="43">
        <f>IF($I7480=0,0,IF(OR(INDEX(DarlOhneTilgung,16)=1,AND(INDEX(DarlTilgStart,16)&gt;0,$E7480&lt;INDEX(DarlTilgStart,16))),0,MIN(MAX(0,$K7480-$L7480),$J7480)))</f>
      </c>
      <c r="N7480" s="43">
        <f>IF($I7480=0,0,MIN(SUMIFS(SondBetrag,SondDarl,16,SondDatum,"&gt;="&amp;$E7480,SondDatum,"&lt;="&amp;EOMONTH($E7480,0)),$J7480-$M7480))</f>
      </c>
      <c r="O7480" s="43">
        <f>IF($I7480=0,0,INDEX(DarlErsatzRate,16))</f>
      </c>
      <c r="P7480" s="43">
        <f>IF($I7480=0,0,$Q7479*INDEX(DarlErsatzZins,16))</f>
      </c>
      <c r="Q7480" s="43">
        <f>IF($I7480=0,0,$Q7479+$P7480+$O7480)</f>
      </c>
      <c r="R7480" s="43">
        <f>IF($I7480=0,0,$J7480-$M7480-$N7480)</f>
      </c>
    </row>
    <row r="7481">
      <c r="A7481"/>
      <c r="B7481">
        <v>16</v>
      </c>
      <c r="C7481" s="43">
        <f>INDEX(DarlObj,16)</f>
      </c>
      <c r="D7481">
        <v>278</v>
      </c>
      <c r="E7481" s="51">
        <f>IF(INDEX(DarlBelegt,16)=0,0,EOMONTH(INDEX(DarlAuszahlung,16),277)+1)</f>
      </c>
      <c r="F7481" s="43">
        <f>IF($E7481=0,0,YEAR($E7481))</f>
      </c>
      <c r="G7481" s="43">
        <f>IF(INDEX(DarlBindung,16)="",1,IF($E7481&lt;=INDEX(DarlBindung,16),1,0))</f>
      </c>
      <c r="H7481" s="43">
        <f>IF($G7481=1,INDEX(DarlSollzins,16),INDEX(DarlAnschluss,16))</f>
      </c>
      <c r="I7481" s="43">
        <f>IF(INDEX(DarlBelegt,16)=0,0,IF(INDEX(DarlOhneTilgung,16)=1,IF(INDEX(DarlBindung,16)="",1,$G7481),IF($J7481&gt;0.005,1,0)))</f>
      </c>
      <c r="J7481" s="43">
        <f>IF($I7480=0,0,$R7480)</f>
      </c>
      <c r="K7481" s="43">
        <f>IF($I7481=0,0,IF(INDEX(DarlOhneTilgung,16)=1,0,IF(AND(INDEX(DarlTilgStart,16)&gt;0,$E7481=INDEX(DarlTilgStart,16)),$J7481*($H7481+INDEX(DarlTilgung,16))/100/12,IF(AND($G7481=0,$G7480=1),MAX($K7480,$J7481*($H7481+1)/100/12),$K7480))))</f>
      </c>
      <c r="L7481" s="43">
        <f>IF($I7481=0,0,$J7481*$H7481/100/12)</f>
      </c>
      <c r="M7481" s="43">
        <f>IF($I7481=0,0,IF(OR(INDEX(DarlOhneTilgung,16)=1,AND(INDEX(DarlTilgStart,16)&gt;0,$E7481&lt;INDEX(DarlTilgStart,16))),0,MIN(MAX(0,$K7481-$L7481),$J7481)))</f>
      </c>
      <c r="N7481" s="43">
        <f>IF($I7481=0,0,MIN(SUMIFS(SondBetrag,SondDarl,16,SondDatum,"&gt;="&amp;$E7481,SondDatum,"&lt;="&amp;EOMONTH($E7481,0)),$J7481-$M7481))</f>
      </c>
      <c r="O7481" s="43">
        <f>IF($I7481=0,0,INDEX(DarlErsatzRate,16))</f>
      </c>
      <c r="P7481" s="43">
        <f>IF($I7481=0,0,$Q7480*INDEX(DarlErsatzZins,16))</f>
      </c>
      <c r="Q7481" s="43">
        <f>IF($I7481=0,0,$Q7480+$P7481+$O7481)</f>
      </c>
      <c r="R7481" s="43">
        <f>IF($I7481=0,0,$J7481-$M7481-$N7481)</f>
      </c>
    </row>
    <row r="7482">
      <c r="A7482"/>
      <c r="B7482">
        <v>16</v>
      </c>
      <c r="C7482" s="43">
        <f>INDEX(DarlObj,16)</f>
      </c>
      <c r="D7482">
        <v>279</v>
      </c>
      <c r="E7482" s="51">
        <f>IF(INDEX(DarlBelegt,16)=0,0,EOMONTH(INDEX(DarlAuszahlung,16),278)+1)</f>
      </c>
      <c r="F7482" s="43">
        <f>IF($E7482=0,0,YEAR($E7482))</f>
      </c>
      <c r="G7482" s="43">
        <f>IF(INDEX(DarlBindung,16)="",1,IF($E7482&lt;=INDEX(DarlBindung,16),1,0))</f>
      </c>
      <c r="H7482" s="43">
        <f>IF($G7482=1,INDEX(DarlSollzins,16),INDEX(DarlAnschluss,16))</f>
      </c>
      <c r="I7482" s="43">
        <f>IF(INDEX(DarlBelegt,16)=0,0,IF(INDEX(DarlOhneTilgung,16)=1,IF(INDEX(DarlBindung,16)="",1,$G7482),IF($J7482&gt;0.005,1,0)))</f>
      </c>
      <c r="J7482" s="43">
        <f>IF($I7481=0,0,$R7481)</f>
      </c>
      <c r="K7482" s="43">
        <f>IF($I7482=0,0,IF(INDEX(DarlOhneTilgung,16)=1,0,IF(AND(INDEX(DarlTilgStart,16)&gt;0,$E7482=INDEX(DarlTilgStart,16)),$J7482*($H7482+INDEX(DarlTilgung,16))/100/12,IF(AND($G7482=0,$G7481=1),MAX($K7481,$J7482*($H7482+1)/100/12),$K7481))))</f>
      </c>
      <c r="L7482" s="43">
        <f>IF($I7482=0,0,$J7482*$H7482/100/12)</f>
      </c>
      <c r="M7482" s="43">
        <f>IF($I7482=0,0,IF(OR(INDEX(DarlOhneTilgung,16)=1,AND(INDEX(DarlTilgStart,16)&gt;0,$E7482&lt;INDEX(DarlTilgStart,16))),0,MIN(MAX(0,$K7482-$L7482),$J7482)))</f>
      </c>
      <c r="N7482" s="43">
        <f>IF($I7482=0,0,MIN(SUMIFS(SondBetrag,SondDarl,16,SondDatum,"&gt;="&amp;$E7482,SondDatum,"&lt;="&amp;EOMONTH($E7482,0)),$J7482-$M7482))</f>
      </c>
      <c r="O7482" s="43">
        <f>IF($I7482=0,0,INDEX(DarlErsatzRate,16))</f>
      </c>
      <c r="P7482" s="43">
        <f>IF($I7482=0,0,$Q7481*INDEX(DarlErsatzZins,16))</f>
      </c>
      <c r="Q7482" s="43">
        <f>IF($I7482=0,0,$Q7481+$P7482+$O7482)</f>
      </c>
      <c r="R7482" s="43">
        <f>IF($I7482=0,0,$J7482-$M7482-$N7482)</f>
      </c>
    </row>
    <row r="7483">
      <c r="A7483"/>
      <c r="B7483">
        <v>16</v>
      </c>
      <c r="C7483" s="43">
        <f>INDEX(DarlObj,16)</f>
      </c>
      <c r="D7483">
        <v>280</v>
      </c>
      <c r="E7483" s="51">
        <f>IF(INDEX(DarlBelegt,16)=0,0,EOMONTH(INDEX(DarlAuszahlung,16),279)+1)</f>
      </c>
      <c r="F7483" s="43">
        <f>IF($E7483=0,0,YEAR($E7483))</f>
      </c>
      <c r="G7483" s="43">
        <f>IF(INDEX(DarlBindung,16)="",1,IF($E7483&lt;=INDEX(DarlBindung,16),1,0))</f>
      </c>
      <c r="H7483" s="43">
        <f>IF($G7483=1,INDEX(DarlSollzins,16),INDEX(DarlAnschluss,16))</f>
      </c>
      <c r="I7483" s="43">
        <f>IF(INDEX(DarlBelegt,16)=0,0,IF(INDEX(DarlOhneTilgung,16)=1,IF(INDEX(DarlBindung,16)="",1,$G7483),IF($J7483&gt;0.005,1,0)))</f>
      </c>
      <c r="J7483" s="43">
        <f>IF($I7482=0,0,$R7482)</f>
      </c>
      <c r="K7483" s="43">
        <f>IF($I7483=0,0,IF(INDEX(DarlOhneTilgung,16)=1,0,IF(AND(INDEX(DarlTilgStart,16)&gt;0,$E7483=INDEX(DarlTilgStart,16)),$J7483*($H7483+INDEX(DarlTilgung,16))/100/12,IF(AND($G7483=0,$G7482=1),MAX($K7482,$J7483*($H7483+1)/100/12),$K7482))))</f>
      </c>
      <c r="L7483" s="43">
        <f>IF($I7483=0,0,$J7483*$H7483/100/12)</f>
      </c>
      <c r="M7483" s="43">
        <f>IF($I7483=0,0,IF(OR(INDEX(DarlOhneTilgung,16)=1,AND(INDEX(DarlTilgStart,16)&gt;0,$E7483&lt;INDEX(DarlTilgStart,16))),0,MIN(MAX(0,$K7483-$L7483),$J7483)))</f>
      </c>
      <c r="N7483" s="43">
        <f>IF($I7483=0,0,MIN(SUMIFS(SondBetrag,SondDarl,16,SondDatum,"&gt;="&amp;$E7483,SondDatum,"&lt;="&amp;EOMONTH($E7483,0)),$J7483-$M7483))</f>
      </c>
      <c r="O7483" s="43">
        <f>IF($I7483=0,0,INDEX(DarlErsatzRate,16))</f>
      </c>
      <c r="P7483" s="43">
        <f>IF($I7483=0,0,$Q7482*INDEX(DarlErsatzZins,16))</f>
      </c>
      <c r="Q7483" s="43">
        <f>IF($I7483=0,0,$Q7482+$P7483+$O7483)</f>
      </c>
      <c r="R7483" s="43">
        <f>IF($I7483=0,0,$J7483-$M7483-$N7483)</f>
      </c>
    </row>
    <row r="7484">
      <c r="A7484"/>
      <c r="B7484">
        <v>16</v>
      </c>
      <c r="C7484" s="43">
        <f>INDEX(DarlObj,16)</f>
      </c>
      <c r="D7484">
        <v>281</v>
      </c>
      <c r="E7484" s="51">
        <f>IF(INDEX(DarlBelegt,16)=0,0,EOMONTH(INDEX(DarlAuszahlung,16),280)+1)</f>
      </c>
      <c r="F7484" s="43">
        <f>IF($E7484=0,0,YEAR($E7484))</f>
      </c>
      <c r="G7484" s="43">
        <f>IF(INDEX(DarlBindung,16)="",1,IF($E7484&lt;=INDEX(DarlBindung,16),1,0))</f>
      </c>
      <c r="H7484" s="43">
        <f>IF($G7484=1,INDEX(DarlSollzins,16),INDEX(DarlAnschluss,16))</f>
      </c>
      <c r="I7484" s="43">
        <f>IF(INDEX(DarlBelegt,16)=0,0,IF(INDEX(DarlOhneTilgung,16)=1,IF(INDEX(DarlBindung,16)="",1,$G7484),IF($J7484&gt;0.005,1,0)))</f>
      </c>
      <c r="J7484" s="43">
        <f>IF($I7483=0,0,$R7483)</f>
      </c>
      <c r="K7484" s="43">
        <f>IF($I7484=0,0,IF(INDEX(DarlOhneTilgung,16)=1,0,IF(AND(INDEX(DarlTilgStart,16)&gt;0,$E7484=INDEX(DarlTilgStart,16)),$J7484*($H7484+INDEX(DarlTilgung,16))/100/12,IF(AND($G7484=0,$G7483=1),MAX($K7483,$J7484*($H7484+1)/100/12),$K7483))))</f>
      </c>
      <c r="L7484" s="43">
        <f>IF($I7484=0,0,$J7484*$H7484/100/12)</f>
      </c>
      <c r="M7484" s="43">
        <f>IF($I7484=0,0,IF(OR(INDEX(DarlOhneTilgung,16)=1,AND(INDEX(DarlTilgStart,16)&gt;0,$E7484&lt;INDEX(DarlTilgStart,16))),0,MIN(MAX(0,$K7484-$L7484),$J7484)))</f>
      </c>
      <c r="N7484" s="43">
        <f>IF($I7484=0,0,MIN(SUMIFS(SondBetrag,SondDarl,16,SondDatum,"&gt;="&amp;$E7484,SondDatum,"&lt;="&amp;EOMONTH($E7484,0)),$J7484-$M7484))</f>
      </c>
      <c r="O7484" s="43">
        <f>IF($I7484=0,0,INDEX(DarlErsatzRate,16))</f>
      </c>
      <c r="P7484" s="43">
        <f>IF($I7484=0,0,$Q7483*INDEX(DarlErsatzZins,16))</f>
      </c>
      <c r="Q7484" s="43">
        <f>IF($I7484=0,0,$Q7483+$P7484+$O7484)</f>
      </c>
      <c r="R7484" s="43">
        <f>IF($I7484=0,0,$J7484-$M7484-$N7484)</f>
      </c>
    </row>
    <row r="7485">
      <c r="A7485"/>
      <c r="B7485">
        <v>16</v>
      </c>
      <c r="C7485" s="43">
        <f>INDEX(DarlObj,16)</f>
      </c>
      <c r="D7485">
        <v>282</v>
      </c>
      <c r="E7485" s="51">
        <f>IF(INDEX(DarlBelegt,16)=0,0,EOMONTH(INDEX(DarlAuszahlung,16),281)+1)</f>
      </c>
      <c r="F7485" s="43">
        <f>IF($E7485=0,0,YEAR($E7485))</f>
      </c>
      <c r="G7485" s="43">
        <f>IF(INDEX(DarlBindung,16)="",1,IF($E7485&lt;=INDEX(DarlBindung,16),1,0))</f>
      </c>
      <c r="H7485" s="43">
        <f>IF($G7485=1,INDEX(DarlSollzins,16),INDEX(DarlAnschluss,16))</f>
      </c>
      <c r="I7485" s="43">
        <f>IF(INDEX(DarlBelegt,16)=0,0,IF(INDEX(DarlOhneTilgung,16)=1,IF(INDEX(DarlBindung,16)="",1,$G7485),IF($J7485&gt;0.005,1,0)))</f>
      </c>
      <c r="J7485" s="43">
        <f>IF($I7484=0,0,$R7484)</f>
      </c>
      <c r="K7485" s="43">
        <f>IF($I7485=0,0,IF(INDEX(DarlOhneTilgung,16)=1,0,IF(AND(INDEX(DarlTilgStart,16)&gt;0,$E7485=INDEX(DarlTilgStart,16)),$J7485*($H7485+INDEX(DarlTilgung,16))/100/12,IF(AND($G7485=0,$G7484=1),MAX($K7484,$J7485*($H7485+1)/100/12),$K7484))))</f>
      </c>
      <c r="L7485" s="43">
        <f>IF($I7485=0,0,$J7485*$H7485/100/12)</f>
      </c>
      <c r="M7485" s="43">
        <f>IF($I7485=0,0,IF(OR(INDEX(DarlOhneTilgung,16)=1,AND(INDEX(DarlTilgStart,16)&gt;0,$E7485&lt;INDEX(DarlTilgStart,16))),0,MIN(MAX(0,$K7485-$L7485),$J7485)))</f>
      </c>
      <c r="N7485" s="43">
        <f>IF($I7485=0,0,MIN(SUMIFS(SondBetrag,SondDarl,16,SondDatum,"&gt;="&amp;$E7485,SondDatum,"&lt;="&amp;EOMONTH($E7485,0)),$J7485-$M7485))</f>
      </c>
      <c r="O7485" s="43">
        <f>IF($I7485=0,0,INDEX(DarlErsatzRate,16))</f>
      </c>
      <c r="P7485" s="43">
        <f>IF($I7485=0,0,$Q7484*INDEX(DarlErsatzZins,16))</f>
      </c>
      <c r="Q7485" s="43">
        <f>IF($I7485=0,0,$Q7484+$P7485+$O7485)</f>
      </c>
      <c r="R7485" s="43">
        <f>IF($I7485=0,0,$J7485-$M7485-$N7485)</f>
      </c>
    </row>
    <row r="7486">
      <c r="A7486"/>
      <c r="B7486">
        <v>16</v>
      </c>
      <c r="C7486" s="43">
        <f>INDEX(DarlObj,16)</f>
      </c>
      <c r="D7486">
        <v>283</v>
      </c>
      <c r="E7486" s="51">
        <f>IF(INDEX(DarlBelegt,16)=0,0,EOMONTH(INDEX(DarlAuszahlung,16),282)+1)</f>
      </c>
      <c r="F7486" s="43">
        <f>IF($E7486=0,0,YEAR($E7486))</f>
      </c>
      <c r="G7486" s="43">
        <f>IF(INDEX(DarlBindung,16)="",1,IF($E7486&lt;=INDEX(DarlBindung,16),1,0))</f>
      </c>
      <c r="H7486" s="43">
        <f>IF($G7486=1,INDEX(DarlSollzins,16),INDEX(DarlAnschluss,16))</f>
      </c>
      <c r="I7486" s="43">
        <f>IF(INDEX(DarlBelegt,16)=0,0,IF(INDEX(DarlOhneTilgung,16)=1,IF(INDEX(DarlBindung,16)="",1,$G7486),IF($J7486&gt;0.005,1,0)))</f>
      </c>
      <c r="J7486" s="43">
        <f>IF($I7485=0,0,$R7485)</f>
      </c>
      <c r="K7486" s="43">
        <f>IF($I7486=0,0,IF(INDEX(DarlOhneTilgung,16)=1,0,IF(AND(INDEX(DarlTilgStart,16)&gt;0,$E7486=INDEX(DarlTilgStart,16)),$J7486*($H7486+INDEX(DarlTilgung,16))/100/12,IF(AND($G7486=0,$G7485=1),MAX($K7485,$J7486*($H7486+1)/100/12),$K7485))))</f>
      </c>
      <c r="L7486" s="43">
        <f>IF($I7486=0,0,$J7486*$H7486/100/12)</f>
      </c>
      <c r="M7486" s="43">
        <f>IF($I7486=0,0,IF(OR(INDEX(DarlOhneTilgung,16)=1,AND(INDEX(DarlTilgStart,16)&gt;0,$E7486&lt;INDEX(DarlTilgStart,16))),0,MIN(MAX(0,$K7486-$L7486),$J7486)))</f>
      </c>
      <c r="N7486" s="43">
        <f>IF($I7486=0,0,MIN(SUMIFS(SondBetrag,SondDarl,16,SondDatum,"&gt;="&amp;$E7486,SondDatum,"&lt;="&amp;EOMONTH($E7486,0)),$J7486-$M7486))</f>
      </c>
      <c r="O7486" s="43">
        <f>IF($I7486=0,0,INDEX(DarlErsatzRate,16))</f>
      </c>
      <c r="P7486" s="43">
        <f>IF($I7486=0,0,$Q7485*INDEX(DarlErsatzZins,16))</f>
      </c>
      <c r="Q7486" s="43">
        <f>IF($I7486=0,0,$Q7485+$P7486+$O7486)</f>
      </c>
      <c r="R7486" s="43">
        <f>IF($I7486=0,0,$J7486-$M7486-$N7486)</f>
      </c>
    </row>
    <row r="7487">
      <c r="A7487"/>
      <c r="B7487">
        <v>16</v>
      </c>
      <c r="C7487" s="43">
        <f>INDEX(DarlObj,16)</f>
      </c>
      <c r="D7487">
        <v>284</v>
      </c>
      <c r="E7487" s="51">
        <f>IF(INDEX(DarlBelegt,16)=0,0,EOMONTH(INDEX(DarlAuszahlung,16),283)+1)</f>
      </c>
      <c r="F7487" s="43">
        <f>IF($E7487=0,0,YEAR($E7487))</f>
      </c>
      <c r="G7487" s="43">
        <f>IF(INDEX(DarlBindung,16)="",1,IF($E7487&lt;=INDEX(DarlBindung,16),1,0))</f>
      </c>
      <c r="H7487" s="43">
        <f>IF($G7487=1,INDEX(DarlSollzins,16),INDEX(DarlAnschluss,16))</f>
      </c>
      <c r="I7487" s="43">
        <f>IF(INDEX(DarlBelegt,16)=0,0,IF(INDEX(DarlOhneTilgung,16)=1,IF(INDEX(DarlBindung,16)="",1,$G7487),IF($J7487&gt;0.005,1,0)))</f>
      </c>
      <c r="J7487" s="43">
        <f>IF($I7486=0,0,$R7486)</f>
      </c>
      <c r="K7487" s="43">
        <f>IF($I7487=0,0,IF(INDEX(DarlOhneTilgung,16)=1,0,IF(AND(INDEX(DarlTilgStart,16)&gt;0,$E7487=INDEX(DarlTilgStart,16)),$J7487*($H7487+INDEX(DarlTilgung,16))/100/12,IF(AND($G7487=0,$G7486=1),MAX($K7486,$J7487*($H7487+1)/100/12),$K7486))))</f>
      </c>
      <c r="L7487" s="43">
        <f>IF($I7487=0,0,$J7487*$H7487/100/12)</f>
      </c>
      <c r="M7487" s="43">
        <f>IF($I7487=0,0,IF(OR(INDEX(DarlOhneTilgung,16)=1,AND(INDEX(DarlTilgStart,16)&gt;0,$E7487&lt;INDEX(DarlTilgStart,16))),0,MIN(MAX(0,$K7487-$L7487),$J7487)))</f>
      </c>
      <c r="N7487" s="43">
        <f>IF($I7487=0,0,MIN(SUMIFS(SondBetrag,SondDarl,16,SondDatum,"&gt;="&amp;$E7487,SondDatum,"&lt;="&amp;EOMONTH($E7487,0)),$J7487-$M7487))</f>
      </c>
      <c r="O7487" s="43">
        <f>IF($I7487=0,0,INDEX(DarlErsatzRate,16))</f>
      </c>
      <c r="P7487" s="43">
        <f>IF($I7487=0,0,$Q7486*INDEX(DarlErsatzZins,16))</f>
      </c>
      <c r="Q7487" s="43">
        <f>IF($I7487=0,0,$Q7486+$P7487+$O7487)</f>
      </c>
      <c r="R7487" s="43">
        <f>IF($I7487=0,0,$J7487-$M7487-$N7487)</f>
      </c>
    </row>
    <row r="7488">
      <c r="A7488"/>
      <c r="B7488">
        <v>16</v>
      </c>
      <c r="C7488" s="43">
        <f>INDEX(DarlObj,16)</f>
      </c>
      <c r="D7488">
        <v>285</v>
      </c>
      <c r="E7488" s="51">
        <f>IF(INDEX(DarlBelegt,16)=0,0,EOMONTH(INDEX(DarlAuszahlung,16),284)+1)</f>
      </c>
      <c r="F7488" s="43">
        <f>IF($E7488=0,0,YEAR($E7488))</f>
      </c>
      <c r="G7488" s="43">
        <f>IF(INDEX(DarlBindung,16)="",1,IF($E7488&lt;=INDEX(DarlBindung,16),1,0))</f>
      </c>
      <c r="H7488" s="43">
        <f>IF($G7488=1,INDEX(DarlSollzins,16),INDEX(DarlAnschluss,16))</f>
      </c>
      <c r="I7488" s="43">
        <f>IF(INDEX(DarlBelegt,16)=0,0,IF(INDEX(DarlOhneTilgung,16)=1,IF(INDEX(DarlBindung,16)="",1,$G7488),IF($J7488&gt;0.005,1,0)))</f>
      </c>
      <c r="J7488" s="43">
        <f>IF($I7487=0,0,$R7487)</f>
      </c>
      <c r="K7488" s="43">
        <f>IF($I7488=0,0,IF(INDEX(DarlOhneTilgung,16)=1,0,IF(AND(INDEX(DarlTilgStart,16)&gt;0,$E7488=INDEX(DarlTilgStart,16)),$J7488*($H7488+INDEX(DarlTilgung,16))/100/12,IF(AND($G7488=0,$G7487=1),MAX($K7487,$J7488*($H7488+1)/100/12),$K7487))))</f>
      </c>
      <c r="L7488" s="43">
        <f>IF($I7488=0,0,$J7488*$H7488/100/12)</f>
      </c>
      <c r="M7488" s="43">
        <f>IF($I7488=0,0,IF(OR(INDEX(DarlOhneTilgung,16)=1,AND(INDEX(DarlTilgStart,16)&gt;0,$E7488&lt;INDEX(DarlTilgStart,16))),0,MIN(MAX(0,$K7488-$L7488),$J7488)))</f>
      </c>
      <c r="N7488" s="43">
        <f>IF($I7488=0,0,MIN(SUMIFS(SondBetrag,SondDarl,16,SondDatum,"&gt;="&amp;$E7488,SondDatum,"&lt;="&amp;EOMONTH($E7488,0)),$J7488-$M7488))</f>
      </c>
      <c r="O7488" s="43">
        <f>IF($I7488=0,0,INDEX(DarlErsatzRate,16))</f>
      </c>
      <c r="P7488" s="43">
        <f>IF($I7488=0,0,$Q7487*INDEX(DarlErsatzZins,16))</f>
      </c>
      <c r="Q7488" s="43">
        <f>IF($I7488=0,0,$Q7487+$P7488+$O7488)</f>
      </c>
      <c r="R7488" s="43">
        <f>IF($I7488=0,0,$J7488-$M7488-$N7488)</f>
      </c>
    </row>
    <row r="7489">
      <c r="A7489"/>
      <c r="B7489">
        <v>16</v>
      </c>
      <c r="C7489" s="43">
        <f>INDEX(DarlObj,16)</f>
      </c>
      <c r="D7489">
        <v>286</v>
      </c>
      <c r="E7489" s="51">
        <f>IF(INDEX(DarlBelegt,16)=0,0,EOMONTH(INDEX(DarlAuszahlung,16),285)+1)</f>
      </c>
      <c r="F7489" s="43">
        <f>IF($E7489=0,0,YEAR($E7489))</f>
      </c>
      <c r="G7489" s="43">
        <f>IF(INDEX(DarlBindung,16)="",1,IF($E7489&lt;=INDEX(DarlBindung,16),1,0))</f>
      </c>
      <c r="H7489" s="43">
        <f>IF($G7489=1,INDEX(DarlSollzins,16),INDEX(DarlAnschluss,16))</f>
      </c>
      <c r="I7489" s="43">
        <f>IF(INDEX(DarlBelegt,16)=0,0,IF(INDEX(DarlOhneTilgung,16)=1,IF(INDEX(DarlBindung,16)="",1,$G7489),IF($J7489&gt;0.005,1,0)))</f>
      </c>
      <c r="J7489" s="43">
        <f>IF($I7488=0,0,$R7488)</f>
      </c>
      <c r="K7489" s="43">
        <f>IF($I7489=0,0,IF(INDEX(DarlOhneTilgung,16)=1,0,IF(AND(INDEX(DarlTilgStart,16)&gt;0,$E7489=INDEX(DarlTilgStart,16)),$J7489*($H7489+INDEX(DarlTilgung,16))/100/12,IF(AND($G7489=0,$G7488=1),MAX($K7488,$J7489*($H7489+1)/100/12),$K7488))))</f>
      </c>
      <c r="L7489" s="43">
        <f>IF($I7489=0,0,$J7489*$H7489/100/12)</f>
      </c>
      <c r="M7489" s="43">
        <f>IF($I7489=0,0,IF(OR(INDEX(DarlOhneTilgung,16)=1,AND(INDEX(DarlTilgStart,16)&gt;0,$E7489&lt;INDEX(DarlTilgStart,16))),0,MIN(MAX(0,$K7489-$L7489),$J7489)))</f>
      </c>
      <c r="N7489" s="43">
        <f>IF($I7489=0,0,MIN(SUMIFS(SondBetrag,SondDarl,16,SondDatum,"&gt;="&amp;$E7489,SondDatum,"&lt;="&amp;EOMONTH($E7489,0)),$J7489-$M7489))</f>
      </c>
      <c r="O7489" s="43">
        <f>IF($I7489=0,0,INDEX(DarlErsatzRate,16))</f>
      </c>
      <c r="P7489" s="43">
        <f>IF($I7489=0,0,$Q7488*INDEX(DarlErsatzZins,16))</f>
      </c>
      <c r="Q7489" s="43">
        <f>IF($I7489=0,0,$Q7488+$P7489+$O7489)</f>
      </c>
      <c r="R7489" s="43">
        <f>IF($I7489=0,0,$J7489-$M7489-$N7489)</f>
      </c>
    </row>
    <row r="7490">
      <c r="A7490"/>
      <c r="B7490">
        <v>16</v>
      </c>
      <c r="C7490" s="43">
        <f>INDEX(DarlObj,16)</f>
      </c>
      <c r="D7490">
        <v>287</v>
      </c>
      <c r="E7490" s="51">
        <f>IF(INDEX(DarlBelegt,16)=0,0,EOMONTH(INDEX(DarlAuszahlung,16),286)+1)</f>
      </c>
      <c r="F7490" s="43">
        <f>IF($E7490=0,0,YEAR($E7490))</f>
      </c>
      <c r="G7490" s="43">
        <f>IF(INDEX(DarlBindung,16)="",1,IF($E7490&lt;=INDEX(DarlBindung,16),1,0))</f>
      </c>
      <c r="H7490" s="43">
        <f>IF($G7490=1,INDEX(DarlSollzins,16),INDEX(DarlAnschluss,16))</f>
      </c>
      <c r="I7490" s="43">
        <f>IF(INDEX(DarlBelegt,16)=0,0,IF(INDEX(DarlOhneTilgung,16)=1,IF(INDEX(DarlBindung,16)="",1,$G7490),IF($J7490&gt;0.005,1,0)))</f>
      </c>
      <c r="J7490" s="43">
        <f>IF($I7489=0,0,$R7489)</f>
      </c>
      <c r="K7490" s="43">
        <f>IF($I7490=0,0,IF(INDEX(DarlOhneTilgung,16)=1,0,IF(AND(INDEX(DarlTilgStart,16)&gt;0,$E7490=INDEX(DarlTilgStart,16)),$J7490*($H7490+INDEX(DarlTilgung,16))/100/12,IF(AND($G7490=0,$G7489=1),MAX($K7489,$J7490*($H7490+1)/100/12),$K7489))))</f>
      </c>
      <c r="L7490" s="43">
        <f>IF($I7490=0,0,$J7490*$H7490/100/12)</f>
      </c>
      <c r="M7490" s="43">
        <f>IF($I7490=0,0,IF(OR(INDEX(DarlOhneTilgung,16)=1,AND(INDEX(DarlTilgStart,16)&gt;0,$E7490&lt;INDEX(DarlTilgStart,16))),0,MIN(MAX(0,$K7490-$L7490),$J7490)))</f>
      </c>
      <c r="N7490" s="43">
        <f>IF($I7490=0,0,MIN(SUMIFS(SondBetrag,SondDarl,16,SondDatum,"&gt;="&amp;$E7490,SondDatum,"&lt;="&amp;EOMONTH($E7490,0)),$J7490-$M7490))</f>
      </c>
      <c r="O7490" s="43">
        <f>IF($I7490=0,0,INDEX(DarlErsatzRate,16))</f>
      </c>
      <c r="P7490" s="43">
        <f>IF($I7490=0,0,$Q7489*INDEX(DarlErsatzZins,16))</f>
      </c>
      <c r="Q7490" s="43">
        <f>IF($I7490=0,0,$Q7489+$P7490+$O7490)</f>
      </c>
      <c r="R7490" s="43">
        <f>IF($I7490=0,0,$J7490-$M7490-$N7490)</f>
      </c>
    </row>
    <row r="7491">
      <c r="A7491"/>
      <c r="B7491">
        <v>16</v>
      </c>
      <c r="C7491" s="43">
        <f>INDEX(DarlObj,16)</f>
      </c>
      <c r="D7491">
        <v>288</v>
      </c>
      <c r="E7491" s="51">
        <f>IF(INDEX(DarlBelegt,16)=0,0,EOMONTH(INDEX(DarlAuszahlung,16),287)+1)</f>
      </c>
      <c r="F7491" s="43">
        <f>IF($E7491=0,0,YEAR($E7491))</f>
      </c>
      <c r="G7491" s="43">
        <f>IF(INDEX(DarlBindung,16)="",1,IF($E7491&lt;=INDEX(DarlBindung,16),1,0))</f>
      </c>
      <c r="H7491" s="43">
        <f>IF($G7491=1,INDEX(DarlSollzins,16),INDEX(DarlAnschluss,16))</f>
      </c>
      <c r="I7491" s="43">
        <f>IF(INDEX(DarlBelegt,16)=0,0,IF(INDEX(DarlOhneTilgung,16)=1,IF(INDEX(DarlBindung,16)="",1,$G7491),IF($J7491&gt;0.005,1,0)))</f>
      </c>
      <c r="J7491" s="43">
        <f>IF($I7490=0,0,$R7490)</f>
      </c>
      <c r="K7491" s="43">
        <f>IF($I7491=0,0,IF(INDEX(DarlOhneTilgung,16)=1,0,IF(AND(INDEX(DarlTilgStart,16)&gt;0,$E7491=INDEX(DarlTilgStart,16)),$J7491*($H7491+INDEX(DarlTilgung,16))/100/12,IF(AND($G7491=0,$G7490=1),MAX($K7490,$J7491*($H7491+1)/100/12),$K7490))))</f>
      </c>
      <c r="L7491" s="43">
        <f>IF($I7491=0,0,$J7491*$H7491/100/12)</f>
      </c>
      <c r="M7491" s="43">
        <f>IF($I7491=0,0,IF(OR(INDEX(DarlOhneTilgung,16)=1,AND(INDEX(DarlTilgStart,16)&gt;0,$E7491&lt;INDEX(DarlTilgStart,16))),0,MIN(MAX(0,$K7491-$L7491),$J7491)))</f>
      </c>
      <c r="N7491" s="43">
        <f>IF($I7491=0,0,MIN(SUMIFS(SondBetrag,SondDarl,16,SondDatum,"&gt;="&amp;$E7491,SondDatum,"&lt;="&amp;EOMONTH($E7491,0)),$J7491-$M7491))</f>
      </c>
      <c r="O7491" s="43">
        <f>IF($I7491=0,0,INDEX(DarlErsatzRate,16))</f>
      </c>
      <c r="P7491" s="43">
        <f>IF($I7491=0,0,$Q7490*INDEX(DarlErsatzZins,16))</f>
      </c>
      <c r="Q7491" s="43">
        <f>IF($I7491=0,0,$Q7490+$P7491+$O7491)</f>
      </c>
      <c r="R7491" s="43">
        <f>IF($I7491=0,0,$J7491-$M7491-$N7491)</f>
      </c>
    </row>
    <row r="7492">
      <c r="A7492"/>
      <c r="B7492">
        <v>16</v>
      </c>
      <c r="C7492" s="43">
        <f>INDEX(DarlObj,16)</f>
      </c>
      <c r="D7492">
        <v>289</v>
      </c>
      <c r="E7492" s="51">
        <f>IF(INDEX(DarlBelegt,16)=0,0,EOMONTH(INDEX(DarlAuszahlung,16),288)+1)</f>
      </c>
      <c r="F7492" s="43">
        <f>IF($E7492=0,0,YEAR($E7492))</f>
      </c>
      <c r="G7492" s="43">
        <f>IF(INDEX(DarlBindung,16)="",1,IF($E7492&lt;=INDEX(DarlBindung,16),1,0))</f>
      </c>
      <c r="H7492" s="43">
        <f>IF($G7492=1,INDEX(DarlSollzins,16),INDEX(DarlAnschluss,16))</f>
      </c>
      <c r="I7492" s="43">
        <f>IF(INDEX(DarlBelegt,16)=0,0,IF(INDEX(DarlOhneTilgung,16)=1,IF(INDEX(DarlBindung,16)="",1,$G7492),IF($J7492&gt;0.005,1,0)))</f>
      </c>
      <c r="J7492" s="43">
        <f>IF($I7491=0,0,$R7491)</f>
      </c>
      <c r="K7492" s="43">
        <f>IF($I7492=0,0,IF(INDEX(DarlOhneTilgung,16)=1,0,IF(AND(INDEX(DarlTilgStart,16)&gt;0,$E7492=INDEX(DarlTilgStart,16)),$J7492*($H7492+INDEX(DarlTilgung,16))/100/12,IF(AND($G7492=0,$G7491=1),MAX($K7491,$J7492*($H7492+1)/100/12),$K7491))))</f>
      </c>
      <c r="L7492" s="43">
        <f>IF($I7492=0,0,$J7492*$H7492/100/12)</f>
      </c>
      <c r="M7492" s="43">
        <f>IF($I7492=0,0,IF(OR(INDEX(DarlOhneTilgung,16)=1,AND(INDEX(DarlTilgStart,16)&gt;0,$E7492&lt;INDEX(DarlTilgStart,16))),0,MIN(MAX(0,$K7492-$L7492),$J7492)))</f>
      </c>
      <c r="N7492" s="43">
        <f>IF($I7492=0,0,MIN(SUMIFS(SondBetrag,SondDarl,16,SondDatum,"&gt;="&amp;$E7492,SondDatum,"&lt;="&amp;EOMONTH($E7492,0)),$J7492-$M7492))</f>
      </c>
      <c r="O7492" s="43">
        <f>IF($I7492=0,0,INDEX(DarlErsatzRate,16))</f>
      </c>
      <c r="P7492" s="43">
        <f>IF($I7492=0,0,$Q7491*INDEX(DarlErsatzZins,16))</f>
      </c>
      <c r="Q7492" s="43">
        <f>IF($I7492=0,0,$Q7491+$P7492+$O7492)</f>
      </c>
      <c r="R7492" s="43">
        <f>IF($I7492=0,0,$J7492-$M7492-$N7492)</f>
      </c>
    </row>
    <row r="7493">
      <c r="A7493"/>
      <c r="B7493">
        <v>16</v>
      </c>
      <c r="C7493" s="43">
        <f>INDEX(DarlObj,16)</f>
      </c>
      <c r="D7493">
        <v>290</v>
      </c>
      <c r="E7493" s="51">
        <f>IF(INDEX(DarlBelegt,16)=0,0,EOMONTH(INDEX(DarlAuszahlung,16),289)+1)</f>
      </c>
      <c r="F7493" s="43">
        <f>IF($E7493=0,0,YEAR($E7493))</f>
      </c>
      <c r="G7493" s="43">
        <f>IF(INDEX(DarlBindung,16)="",1,IF($E7493&lt;=INDEX(DarlBindung,16),1,0))</f>
      </c>
      <c r="H7493" s="43">
        <f>IF($G7493=1,INDEX(DarlSollzins,16),INDEX(DarlAnschluss,16))</f>
      </c>
      <c r="I7493" s="43">
        <f>IF(INDEX(DarlBelegt,16)=0,0,IF(INDEX(DarlOhneTilgung,16)=1,IF(INDEX(DarlBindung,16)="",1,$G7493),IF($J7493&gt;0.005,1,0)))</f>
      </c>
      <c r="J7493" s="43">
        <f>IF($I7492=0,0,$R7492)</f>
      </c>
      <c r="K7493" s="43">
        <f>IF($I7493=0,0,IF(INDEX(DarlOhneTilgung,16)=1,0,IF(AND(INDEX(DarlTilgStart,16)&gt;0,$E7493=INDEX(DarlTilgStart,16)),$J7493*($H7493+INDEX(DarlTilgung,16))/100/12,IF(AND($G7493=0,$G7492=1),MAX($K7492,$J7493*($H7493+1)/100/12),$K7492))))</f>
      </c>
      <c r="L7493" s="43">
        <f>IF($I7493=0,0,$J7493*$H7493/100/12)</f>
      </c>
      <c r="M7493" s="43">
        <f>IF($I7493=0,0,IF(OR(INDEX(DarlOhneTilgung,16)=1,AND(INDEX(DarlTilgStart,16)&gt;0,$E7493&lt;INDEX(DarlTilgStart,16))),0,MIN(MAX(0,$K7493-$L7493),$J7493)))</f>
      </c>
      <c r="N7493" s="43">
        <f>IF($I7493=0,0,MIN(SUMIFS(SondBetrag,SondDarl,16,SondDatum,"&gt;="&amp;$E7493,SondDatum,"&lt;="&amp;EOMONTH($E7493,0)),$J7493-$M7493))</f>
      </c>
      <c r="O7493" s="43">
        <f>IF($I7493=0,0,INDEX(DarlErsatzRate,16))</f>
      </c>
      <c r="P7493" s="43">
        <f>IF($I7493=0,0,$Q7492*INDEX(DarlErsatzZins,16))</f>
      </c>
      <c r="Q7493" s="43">
        <f>IF($I7493=0,0,$Q7492+$P7493+$O7493)</f>
      </c>
      <c r="R7493" s="43">
        <f>IF($I7493=0,0,$J7493-$M7493-$N7493)</f>
      </c>
    </row>
    <row r="7494">
      <c r="A7494"/>
      <c r="B7494">
        <v>16</v>
      </c>
      <c r="C7494" s="43">
        <f>INDEX(DarlObj,16)</f>
      </c>
      <c r="D7494">
        <v>291</v>
      </c>
      <c r="E7494" s="51">
        <f>IF(INDEX(DarlBelegt,16)=0,0,EOMONTH(INDEX(DarlAuszahlung,16),290)+1)</f>
      </c>
      <c r="F7494" s="43">
        <f>IF($E7494=0,0,YEAR($E7494))</f>
      </c>
      <c r="G7494" s="43">
        <f>IF(INDEX(DarlBindung,16)="",1,IF($E7494&lt;=INDEX(DarlBindung,16),1,0))</f>
      </c>
      <c r="H7494" s="43">
        <f>IF($G7494=1,INDEX(DarlSollzins,16),INDEX(DarlAnschluss,16))</f>
      </c>
      <c r="I7494" s="43">
        <f>IF(INDEX(DarlBelegt,16)=0,0,IF(INDEX(DarlOhneTilgung,16)=1,IF(INDEX(DarlBindung,16)="",1,$G7494),IF($J7494&gt;0.005,1,0)))</f>
      </c>
      <c r="J7494" s="43">
        <f>IF($I7493=0,0,$R7493)</f>
      </c>
      <c r="K7494" s="43">
        <f>IF($I7494=0,0,IF(INDEX(DarlOhneTilgung,16)=1,0,IF(AND(INDEX(DarlTilgStart,16)&gt;0,$E7494=INDEX(DarlTilgStart,16)),$J7494*($H7494+INDEX(DarlTilgung,16))/100/12,IF(AND($G7494=0,$G7493=1),MAX($K7493,$J7494*($H7494+1)/100/12),$K7493))))</f>
      </c>
      <c r="L7494" s="43">
        <f>IF($I7494=0,0,$J7494*$H7494/100/12)</f>
      </c>
      <c r="M7494" s="43">
        <f>IF($I7494=0,0,IF(OR(INDEX(DarlOhneTilgung,16)=1,AND(INDEX(DarlTilgStart,16)&gt;0,$E7494&lt;INDEX(DarlTilgStart,16))),0,MIN(MAX(0,$K7494-$L7494),$J7494)))</f>
      </c>
      <c r="N7494" s="43">
        <f>IF($I7494=0,0,MIN(SUMIFS(SondBetrag,SondDarl,16,SondDatum,"&gt;="&amp;$E7494,SondDatum,"&lt;="&amp;EOMONTH($E7494,0)),$J7494-$M7494))</f>
      </c>
      <c r="O7494" s="43">
        <f>IF($I7494=0,0,INDEX(DarlErsatzRate,16))</f>
      </c>
      <c r="P7494" s="43">
        <f>IF($I7494=0,0,$Q7493*INDEX(DarlErsatzZins,16))</f>
      </c>
      <c r="Q7494" s="43">
        <f>IF($I7494=0,0,$Q7493+$P7494+$O7494)</f>
      </c>
      <c r="R7494" s="43">
        <f>IF($I7494=0,0,$J7494-$M7494-$N7494)</f>
      </c>
    </row>
    <row r="7495">
      <c r="A7495"/>
      <c r="B7495">
        <v>16</v>
      </c>
      <c r="C7495" s="43">
        <f>INDEX(DarlObj,16)</f>
      </c>
      <c r="D7495">
        <v>292</v>
      </c>
      <c r="E7495" s="51">
        <f>IF(INDEX(DarlBelegt,16)=0,0,EOMONTH(INDEX(DarlAuszahlung,16),291)+1)</f>
      </c>
      <c r="F7495" s="43">
        <f>IF($E7495=0,0,YEAR($E7495))</f>
      </c>
      <c r="G7495" s="43">
        <f>IF(INDEX(DarlBindung,16)="",1,IF($E7495&lt;=INDEX(DarlBindung,16),1,0))</f>
      </c>
      <c r="H7495" s="43">
        <f>IF($G7495=1,INDEX(DarlSollzins,16),INDEX(DarlAnschluss,16))</f>
      </c>
      <c r="I7495" s="43">
        <f>IF(INDEX(DarlBelegt,16)=0,0,IF(INDEX(DarlOhneTilgung,16)=1,IF(INDEX(DarlBindung,16)="",1,$G7495),IF($J7495&gt;0.005,1,0)))</f>
      </c>
      <c r="J7495" s="43">
        <f>IF($I7494=0,0,$R7494)</f>
      </c>
      <c r="K7495" s="43">
        <f>IF($I7495=0,0,IF(INDEX(DarlOhneTilgung,16)=1,0,IF(AND(INDEX(DarlTilgStart,16)&gt;0,$E7495=INDEX(DarlTilgStart,16)),$J7495*($H7495+INDEX(DarlTilgung,16))/100/12,IF(AND($G7495=0,$G7494=1),MAX($K7494,$J7495*($H7495+1)/100/12),$K7494))))</f>
      </c>
      <c r="L7495" s="43">
        <f>IF($I7495=0,0,$J7495*$H7495/100/12)</f>
      </c>
      <c r="M7495" s="43">
        <f>IF($I7495=0,0,IF(OR(INDEX(DarlOhneTilgung,16)=1,AND(INDEX(DarlTilgStart,16)&gt;0,$E7495&lt;INDEX(DarlTilgStart,16))),0,MIN(MAX(0,$K7495-$L7495),$J7495)))</f>
      </c>
      <c r="N7495" s="43">
        <f>IF($I7495=0,0,MIN(SUMIFS(SondBetrag,SondDarl,16,SondDatum,"&gt;="&amp;$E7495,SondDatum,"&lt;="&amp;EOMONTH($E7495,0)),$J7495-$M7495))</f>
      </c>
      <c r="O7495" s="43">
        <f>IF($I7495=0,0,INDEX(DarlErsatzRate,16))</f>
      </c>
      <c r="P7495" s="43">
        <f>IF($I7495=0,0,$Q7494*INDEX(DarlErsatzZins,16))</f>
      </c>
      <c r="Q7495" s="43">
        <f>IF($I7495=0,0,$Q7494+$P7495+$O7495)</f>
      </c>
      <c r="R7495" s="43">
        <f>IF($I7495=0,0,$J7495-$M7495-$N7495)</f>
      </c>
    </row>
    <row r="7496">
      <c r="A7496"/>
      <c r="B7496">
        <v>16</v>
      </c>
      <c r="C7496" s="43">
        <f>INDEX(DarlObj,16)</f>
      </c>
      <c r="D7496">
        <v>293</v>
      </c>
      <c r="E7496" s="51">
        <f>IF(INDEX(DarlBelegt,16)=0,0,EOMONTH(INDEX(DarlAuszahlung,16),292)+1)</f>
      </c>
      <c r="F7496" s="43">
        <f>IF($E7496=0,0,YEAR($E7496))</f>
      </c>
      <c r="G7496" s="43">
        <f>IF(INDEX(DarlBindung,16)="",1,IF($E7496&lt;=INDEX(DarlBindung,16),1,0))</f>
      </c>
      <c r="H7496" s="43">
        <f>IF($G7496=1,INDEX(DarlSollzins,16),INDEX(DarlAnschluss,16))</f>
      </c>
      <c r="I7496" s="43">
        <f>IF(INDEX(DarlBelegt,16)=0,0,IF(INDEX(DarlOhneTilgung,16)=1,IF(INDEX(DarlBindung,16)="",1,$G7496),IF($J7496&gt;0.005,1,0)))</f>
      </c>
      <c r="J7496" s="43">
        <f>IF($I7495=0,0,$R7495)</f>
      </c>
      <c r="K7496" s="43">
        <f>IF($I7496=0,0,IF(INDEX(DarlOhneTilgung,16)=1,0,IF(AND(INDEX(DarlTilgStart,16)&gt;0,$E7496=INDEX(DarlTilgStart,16)),$J7496*($H7496+INDEX(DarlTilgung,16))/100/12,IF(AND($G7496=0,$G7495=1),MAX($K7495,$J7496*($H7496+1)/100/12),$K7495))))</f>
      </c>
      <c r="L7496" s="43">
        <f>IF($I7496=0,0,$J7496*$H7496/100/12)</f>
      </c>
      <c r="M7496" s="43">
        <f>IF($I7496=0,0,IF(OR(INDEX(DarlOhneTilgung,16)=1,AND(INDEX(DarlTilgStart,16)&gt;0,$E7496&lt;INDEX(DarlTilgStart,16))),0,MIN(MAX(0,$K7496-$L7496),$J7496)))</f>
      </c>
      <c r="N7496" s="43">
        <f>IF($I7496=0,0,MIN(SUMIFS(SondBetrag,SondDarl,16,SondDatum,"&gt;="&amp;$E7496,SondDatum,"&lt;="&amp;EOMONTH($E7496,0)),$J7496-$M7496))</f>
      </c>
      <c r="O7496" s="43">
        <f>IF($I7496=0,0,INDEX(DarlErsatzRate,16))</f>
      </c>
      <c r="P7496" s="43">
        <f>IF($I7496=0,0,$Q7495*INDEX(DarlErsatzZins,16))</f>
      </c>
      <c r="Q7496" s="43">
        <f>IF($I7496=0,0,$Q7495+$P7496+$O7496)</f>
      </c>
      <c r="R7496" s="43">
        <f>IF($I7496=0,0,$J7496-$M7496-$N7496)</f>
      </c>
    </row>
    <row r="7497">
      <c r="A7497"/>
      <c r="B7497">
        <v>16</v>
      </c>
      <c r="C7497" s="43">
        <f>INDEX(DarlObj,16)</f>
      </c>
      <c r="D7497">
        <v>294</v>
      </c>
      <c r="E7497" s="51">
        <f>IF(INDEX(DarlBelegt,16)=0,0,EOMONTH(INDEX(DarlAuszahlung,16),293)+1)</f>
      </c>
      <c r="F7497" s="43">
        <f>IF($E7497=0,0,YEAR($E7497))</f>
      </c>
      <c r="G7497" s="43">
        <f>IF(INDEX(DarlBindung,16)="",1,IF($E7497&lt;=INDEX(DarlBindung,16),1,0))</f>
      </c>
      <c r="H7497" s="43">
        <f>IF($G7497=1,INDEX(DarlSollzins,16),INDEX(DarlAnschluss,16))</f>
      </c>
      <c r="I7497" s="43">
        <f>IF(INDEX(DarlBelegt,16)=0,0,IF(INDEX(DarlOhneTilgung,16)=1,IF(INDEX(DarlBindung,16)="",1,$G7497),IF($J7497&gt;0.005,1,0)))</f>
      </c>
      <c r="J7497" s="43">
        <f>IF($I7496=0,0,$R7496)</f>
      </c>
      <c r="K7497" s="43">
        <f>IF($I7497=0,0,IF(INDEX(DarlOhneTilgung,16)=1,0,IF(AND(INDEX(DarlTilgStart,16)&gt;0,$E7497=INDEX(DarlTilgStart,16)),$J7497*($H7497+INDEX(DarlTilgung,16))/100/12,IF(AND($G7497=0,$G7496=1),MAX($K7496,$J7497*($H7497+1)/100/12),$K7496))))</f>
      </c>
      <c r="L7497" s="43">
        <f>IF($I7497=0,0,$J7497*$H7497/100/12)</f>
      </c>
      <c r="M7497" s="43">
        <f>IF($I7497=0,0,IF(OR(INDEX(DarlOhneTilgung,16)=1,AND(INDEX(DarlTilgStart,16)&gt;0,$E7497&lt;INDEX(DarlTilgStart,16))),0,MIN(MAX(0,$K7497-$L7497),$J7497)))</f>
      </c>
      <c r="N7497" s="43">
        <f>IF($I7497=0,0,MIN(SUMIFS(SondBetrag,SondDarl,16,SondDatum,"&gt;="&amp;$E7497,SondDatum,"&lt;="&amp;EOMONTH($E7497,0)),$J7497-$M7497))</f>
      </c>
      <c r="O7497" s="43">
        <f>IF($I7497=0,0,INDEX(DarlErsatzRate,16))</f>
      </c>
      <c r="P7497" s="43">
        <f>IF($I7497=0,0,$Q7496*INDEX(DarlErsatzZins,16))</f>
      </c>
      <c r="Q7497" s="43">
        <f>IF($I7497=0,0,$Q7496+$P7497+$O7497)</f>
      </c>
      <c r="R7497" s="43">
        <f>IF($I7497=0,0,$J7497-$M7497-$N7497)</f>
      </c>
    </row>
    <row r="7498">
      <c r="A7498"/>
      <c r="B7498">
        <v>16</v>
      </c>
      <c r="C7498" s="43">
        <f>INDEX(DarlObj,16)</f>
      </c>
      <c r="D7498">
        <v>295</v>
      </c>
      <c r="E7498" s="51">
        <f>IF(INDEX(DarlBelegt,16)=0,0,EOMONTH(INDEX(DarlAuszahlung,16),294)+1)</f>
      </c>
      <c r="F7498" s="43">
        <f>IF($E7498=0,0,YEAR($E7498))</f>
      </c>
      <c r="G7498" s="43">
        <f>IF(INDEX(DarlBindung,16)="",1,IF($E7498&lt;=INDEX(DarlBindung,16),1,0))</f>
      </c>
      <c r="H7498" s="43">
        <f>IF($G7498=1,INDEX(DarlSollzins,16),INDEX(DarlAnschluss,16))</f>
      </c>
      <c r="I7498" s="43">
        <f>IF(INDEX(DarlBelegt,16)=0,0,IF(INDEX(DarlOhneTilgung,16)=1,IF(INDEX(DarlBindung,16)="",1,$G7498),IF($J7498&gt;0.005,1,0)))</f>
      </c>
      <c r="J7498" s="43">
        <f>IF($I7497=0,0,$R7497)</f>
      </c>
      <c r="K7498" s="43">
        <f>IF($I7498=0,0,IF(INDEX(DarlOhneTilgung,16)=1,0,IF(AND(INDEX(DarlTilgStart,16)&gt;0,$E7498=INDEX(DarlTilgStart,16)),$J7498*($H7498+INDEX(DarlTilgung,16))/100/12,IF(AND($G7498=0,$G7497=1),MAX($K7497,$J7498*($H7498+1)/100/12),$K7497))))</f>
      </c>
      <c r="L7498" s="43">
        <f>IF($I7498=0,0,$J7498*$H7498/100/12)</f>
      </c>
      <c r="M7498" s="43">
        <f>IF($I7498=0,0,IF(OR(INDEX(DarlOhneTilgung,16)=1,AND(INDEX(DarlTilgStart,16)&gt;0,$E7498&lt;INDEX(DarlTilgStart,16))),0,MIN(MAX(0,$K7498-$L7498),$J7498)))</f>
      </c>
      <c r="N7498" s="43">
        <f>IF($I7498=0,0,MIN(SUMIFS(SondBetrag,SondDarl,16,SondDatum,"&gt;="&amp;$E7498,SondDatum,"&lt;="&amp;EOMONTH($E7498,0)),$J7498-$M7498))</f>
      </c>
      <c r="O7498" s="43">
        <f>IF($I7498=0,0,INDEX(DarlErsatzRate,16))</f>
      </c>
      <c r="P7498" s="43">
        <f>IF($I7498=0,0,$Q7497*INDEX(DarlErsatzZins,16))</f>
      </c>
      <c r="Q7498" s="43">
        <f>IF($I7498=0,0,$Q7497+$P7498+$O7498)</f>
      </c>
      <c r="R7498" s="43">
        <f>IF($I7498=0,0,$J7498-$M7498-$N7498)</f>
      </c>
    </row>
    <row r="7499">
      <c r="A7499"/>
      <c r="B7499">
        <v>16</v>
      </c>
      <c r="C7499" s="43">
        <f>INDEX(DarlObj,16)</f>
      </c>
      <c r="D7499">
        <v>296</v>
      </c>
      <c r="E7499" s="51">
        <f>IF(INDEX(DarlBelegt,16)=0,0,EOMONTH(INDEX(DarlAuszahlung,16),295)+1)</f>
      </c>
      <c r="F7499" s="43">
        <f>IF($E7499=0,0,YEAR($E7499))</f>
      </c>
      <c r="G7499" s="43">
        <f>IF(INDEX(DarlBindung,16)="",1,IF($E7499&lt;=INDEX(DarlBindung,16),1,0))</f>
      </c>
      <c r="H7499" s="43">
        <f>IF($G7499=1,INDEX(DarlSollzins,16),INDEX(DarlAnschluss,16))</f>
      </c>
      <c r="I7499" s="43">
        <f>IF(INDEX(DarlBelegt,16)=0,0,IF(INDEX(DarlOhneTilgung,16)=1,IF(INDEX(DarlBindung,16)="",1,$G7499),IF($J7499&gt;0.005,1,0)))</f>
      </c>
      <c r="J7499" s="43">
        <f>IF($I7498=0,0,$R7498)</f>
      </c>
      <c r="K7499" s="43">
        <f>IF($I7499=0,0,IF(INDEX(DarlOhneTilgung,16)=1,0,IF(AND(INDEX(DarlTilgStart,16)&gt;0,$E7499=INDEX(DarlTilgStart,16)),$J7499*($H7499+INDEX(DarlTilgung,16))/100/12,IF(AND($G7499=0,$G7498=1),MAX($K7498,$J7499*($H7499+1)/100/12),$K7498))))</f>
      </c>
      <c r="L7499" s="43">
        <f>IF($I7499=0,0,$J7499*$H7499/100/12)</f>
      </c>
      <c r="M7499" s="43">
        <f>IF($I7499=0,0,IF(OR(INDEX(DarlOhneTilgung,16)=1,AND(INDEX(DarlTilgStart,16)&gt;0,$E7499&lt;INDEX(DarlTilgStart,16))),0,MIN(MAX(0,$K7499-$L7499),$J7499)))</f>
      </c>
      <c r="N7499" s="43">
        <f>IF($I7499=0,0,MIN(SUMIFS(SondBetrag,SondDarl,16,SondDatum,"&gt;="&amp;$E7499,SondDatum,"&lt;="&amp;EOMONTH($E7499,0)),$J7499-$M7499))</f>
      </c>
      <c r="O7499" s="43">
        <f>IF($I7499=0,0,INDEX(DarlErsatzRate,16))</f>
      </c>
      <c r="P7499" s="43">
        <f>IF($I7499=0,0,$Q7498*INDEX(DarlErsatzZins,16))</f>
      </c>
      <c r="Q7499" s="43">
        <f>IF($I7499=0,0,$Q7498+$P7499+$O7499)</f>
      </c>
      <c r="R7499" s="43">
        <f>IF($I7499=0,0,$J7499-$M7499-$N7499)</f>
      </c>
    </row>
    <row r="7500">
      <c r="A7500"/>
      <c r="B7500">
        <v>16</v>
      </c>
      <c r="C7500" s="43">
        <f>INDEX(DarlObj,16)</f>
      </c>
      <c r="D7500">
        <v>297</v>
      </c>
      <c r="E7500" s="51">
        <f>IF(INDEX(DarlBelegt,16)=0,0,EOMONTH(INDEX(DarlAuszahlung,16),296)+1)</f>
      </c>
      <c r="F7500" s="43">
        <f>IF($E7500=0,0,YEAR($E7500))</f>
      </c>
      <c r="G7500" s="43">
        <f>IF(INDEX(DarlBindung,16)="",1,IF($E7500&lt;=INDEX(DarlBindung,16),1,0))</f>
      </c>
      <c r="H7500" s="43">
        <f>IF($G7500=1,INDEX(DarlSollzins,16),INDEX(DarlAnschluss,16))</f>
      </c>
      <c r="I7500" s="43">
        <f>IF(INDEX(DarlBelegt,16)=0,0,IF(INDEX(DarlOhneTilgung,16)=1,IF(INDEX(DarlBindung,16)="",1,$G7500),IF($J7500&gt;0.005,1,0)))</f>
      </c>
      <c r="J7500" s="43">
        <f>IF($I7499=0,0,$R7499)</f>
      </c>
      <c r="K7500" s="43">
        <f>IF($I7500=0,0,IF(INDEX(DarlOhneTilgung,16)=1,0,IF(AND(INDEX(DarlTilgStart,16)&gt;0,$E7500=INDEX(DarlTilgStart,16)),$J7500*($H7500+INDEX(DarlTilgung,16))/100/12,IF(AND($G7500=0,$G7499=1),MAX($K7499,$J7500*($H7500+1)/100/12),$K7499))))</f>
      </c>
      <c r="L7500" s="43">
        <f>IF($I7500=0,0,$J7500*$H7500/100/12)</f>
      </c>
      <c r="M7500" s="43">
        <f>IF($I7500=0,0,IF(OR(INDEX(DarlOhneTilgung,16)=1,AND(INDEX(DarlTilgStart,16)&gt;0,$E7500&lt;INDEX(DarlTilgStart,16))),0,MIN(MAX(0,$K7500-$L7500),$J7500)))</f>
      </c>
      <c r="N7500" s="43">
        <f>IF($I7500=0,0,MIN(SUMIFS(SondBetrag,SondDarl,16,SondDatum,"&gt;="&amp;$E7500,SondDatum,"&lt;="&amp;EOMONTH($E7500,0)),$J7500-$M7500))</f>
      </c>
      <c r="O7500" s="43">
        <f>IF($I7500=0,0,INDEX(DarlErsatzRate,16))</f>
      </c>
      <c r="P7500" s="43">
        <f>IF($I7500=0,0,$Q7499*INDEX(DarlErsatzZins,16))</f>
      </c>
      <c r="Q7500" s="43">
        <f>IF($I7500=0,0,$Q7499+$P7500+$O7500)</f>
      </c>
      <c r="R7500" s="43">
        <f>IF($I7500=0,0,$J7500-$M7500-$N7500)</f>
      </c>
    </row>
    <row r="7501">
      <c r="A7501"/>
      <c r="B7501">
        <v>16</v>
      </c>
      <c r="C7501" s="43">
        <f>INDEX(DarlObj,16)</f>
      </c>
      <c r="D7501">
        <v>298</v>
      </c>
      <c r="E7501" s="51">
        <f>IF(INDEX(DarlBelegt,16)=0,0,EOMONTH(INDEX(DarlAuszahlung,16),297)+1)</f>
      </c>
      <c r="F7501" s="43">
        <f>IF($E7501=0,0,YEAR($E7501))</f>
      </c>
      <c r="G7501" s="43">
        <f>IF(INDEX(DarlBindung,16)="",1,IF($E7501&lt;=INDEX(DarlBindung,16),1,0))</f>
      </c>
      <c r="H7501" s="43">
        <f>IF($G7501=1,INDEX(DarlSollzins,16),INDEX(DarlAnschluss,16))</f>
      </c>
      <c r="I7501" s="43">
        <f>IF(INDEX(DarlBelegt,16)=0,0,IF(INDEX(DarlOhneTilgung,16)=1,IF(INDEX(DarlBindung,16)="",1,$G7501),IF($J7501&gt;0.005,1,0)))</f>
      </c>
      <c r="J7501" s="43">
        <f>IF($I7500=0,0,$R7500)</f>
      </c>
      <c r="K7501" s="43">
        <f>IF($I7501=0,0,IF(INDEX(DarlOhneTilgung,16)=1,0,IF(AND(INDEX(DarlTilgStart,16)&gt;0,$E7501=INDEX(DarlTilgStart,16)),$J7501*($H7501+INDEX(DarlTilgung,16))/100/12,IF(AND($G7501=0,$G7500=1),MAX($K7500,$J7501*($H7501+1)/100/12),$K7500))))</f>
      </c>
      <c r="L7501" s="43">
        <f>IF($I7501=0,0,$J7501*$H7501/100/12)</f>
      </c>
      <c r="M7501" s="43">
        <f>IF($I7501=0,0,IF(OR(INDEX(DarlOhneTilgung,16)=1,AND(INDEX(DarlTilgStart,16)&gt;0,$E7501&lt;INDEX(DarlTilgStart,16))),0,MIN(MAX(0,$K7501-$L7501),$J7501)))</f>
      </c>
      <c r="N7501" s="43">
        <f>IF($I7501=0,0,MIN(SUMIFS(SondBetrag,SondDarl,16,SondDatum,"&gt;="&amp;$E7501,SondDatum,"&lt;="&amp;EOMONTH($E7501,0)),$J7501-$M7501))</f>
      </c>
      <c r="O7501" s="43">
        <f>IF($I7501=0,0,INDEX(DarlErsatzRate,16))</f>
      </c>
      <c r="P7501" s="43">
        <f>IF($I7501=0,0,$Q7500*INDEX(DarlErsatzZins,16))</f>
      </c>
      <c r="Q7501" s="43">
        <f>IF($I7501=0,0,$Q7500+$P7501+$O7501)</f>
      </c>
      <c r="R7501" s="43">
        <f>IF($I7501=0,0,$J7501-$M7501-$N7501)</f>
      </c>
    </row>
    <row r="7502">
      <c r="A7502"/>
      <c r="B7502">
        <v>16</v>
      </c>
      <c r="C7502" s="43">
        <f>INDEX(DarlObj,16)</f>
      </c>
      <c r="D7502">
        <v>299</v>
      </c>
      <c r="E7502" s="51">
        <f>IF(INDEX(DarlBelegt,16)=0,0,EOMONTH(INDEX(DarlAuszahlung,16),298)+1)</f>
      </c>
      <c r="F7502" s="43">
        <f>IF($E7502=0,0,YEAR($E7502))</f>
      </c>
      <c r="G7502" s="43">
        <f>IF(INDEX(DarlBindung,16)="",1,IF($E7502&lt;=INDEX(DarlBindung,16),1,0))</f>
      </c>
      <c r="H7502" s="43">
        <f>IF($G7502=1,INDEX(DarlSollzins,16),INDEX(DarlAnschluss,16))</f>
      </c>
      <c r="I7502" s="43">
        <f>IF(INDEX(DarlBelegt,16)=0,0,IF(INDEX(DarlOhneTilgung,16)=1,IF(INDEX(DarlBindung,16)="",1,$G7502),IF($J7502&gt;0.005,1,0)))</f>
      </c>
      <c r="J7502" s="43">
        <f>IF($I7501=0,0,$R7501)</f>
      </c>
      <c r="K7502" s="43">
        <f>IF($I7502=0,0,IF(INDEX(DarlOhneTilgung,16)=1,0,IF(AND(INDEX(DarlTilgStart,16)&gt;0,$E7502=INDEX(DarlTilgStart,16)),$J7502*($H7502+INDEX(DarlTilgung,16))/100/12,IF(AND($G7502=0,$G7501=1),MAX($K7501,$J7502*($H7502+1)/100/12),$K7501))))</f>
      </c>
      <c r="L7502" s="43">
        <f>IF($I7502=0,0,$J7502*$H7502/100/12)</f>
      </c>
      <c r="M7502" s="43">
        <f>IF($I7502=0,0,IF(OR(INDEX(DarlOhneTilgung,16)=1,AND(INDEX(DarlTilgStart,16)&gt;0,$E7502&lt;INDEX(DarlTilgStart,16))),0,MIN(MAX(0,$K7502-$L7502),$J7502)))</f>
      </c>
      <c r="N7502" s="43">
        <f>IF($I7502=0,0,MIN(SUMIFS(SondBetrag,SondDarl,16,SondDatum,"&gt;="&amp;$E7502,SondDatum,"&lt;="&amp;EOMONTH($E7502,0)),$J7502-$M7502))</f>
      </c>
      <c r="O7502" s="43">
        <f>IF($I7502=0,0,INDEX(DarlErsatzRate,16))</f>
      </c>
      <c r="P7502" s="43">
        <f>IF($I7502=0,0,$Q7501*INDEX(DarlErsatzZins,16))</f>
      </c>
      <c r="Q7502" s="43">
        <f>IF($I7502=0,0,$Q7501+$P7502+$O7502)</f>
      </c>
      <c r="R7502" s="43">
        <f>IF($I7502=0,0,$J7502-$M7502-$N7502)</f>
      </c>
    </row>
    <row r="7503">
      <c r="A7503"/>
      <c r="B7503">
        <v>16</v>
      </c>
      <c r="C7503" s="43">
        <f>INDEX(DarlObj,16)</f>
      </c>
      <c r="D7503">
        <v>300</v>
      </c>
      <c r="E7503" s="51">
        <f>IF(INDEX(DarlBelegt,16)=0,0,EOMONTH(INDEX(DarlAuszahlung,16),299)+1)</f>
      </c>
      <c r="F7503" s="43">
        <f>IF($E7503=0,0,YEAR($E7503))</f>
      </c>
      <c r="G7503" s="43">
        <f>IF(INDEX(DarlBindung,16)="",1,IF($E7503&lt;=INDEX(DarlBindung,16),1,0))</f>
      </c>
      <c r="H7503" s="43">
        <f>IF($G7503=1,INDEX(DarlSollzins,16),INDEX(DarlAnschluss,16))</f>
      </c>
      <c r="I7503" s="43">
        <f>IF(INDEX(DarlBelegt,16)=0,0,IF(INDEX(DarlOhneTilgung,16)=1,IF(INDEX(DarlBindung,16)="",1,$G7503),IF($J7503&gt;0.005,1,0)))</f>
      </c>
      <c r="J7503" s="43">
        <f>IF($I7502=0,0,$R7502)</f>
      </c>
      <c r="K7503" s="43">
        <f>IF($I7503=0,0,IF(INDEX(DarlOhneTilgung,16)=1,0,IF(AND(INDEX(DarlTilgStart,16)&gt;0,$E7503=INDEX(DarlTilgStart,16)),$J7503*($H7503+INDEX(DarlTilgung,16))/100/12,IF(AND($G7503=0,$G7502=1),MAX($K7502,$J7503*($H7503+1)/100/12),$K7502))))</f>
      </c>
      <c r="L7503" s="43">
        <f>IF($I7503=0,0,$J7503*$H7503/100/12)</f>
      </c>
      <c r="M7503" s="43">
        <f>IF($I7503=0,0,IF(OR(INDEX(DarlOhneTilgung,16)=1,AND(INDEX(DarlTilgStart,16)&gt;0,$E7503&lt;INDEX(DarlTilgStart,16))),0,MIN(MAX(0,$K7503-$L7503),$J7503)))</f>
      </c>
      <c r="N7503" s="43">
        <f>IF($I7503=0,0,MIN(SUMIFS(SondBetrag,SondDarl,16,SondDatum,"&gt;="&amp;$E7503,SondDatum,"&lt;="&amp;EOMONTH($E7503,0)),$J7503-$M7503))</f>
      </c>
      <c r="O7503" s="43">
        <f>IF($I7503=0,0,INDEX(DarlErsatzRate,16))</f>
      </c>
      <c r="P7503" s="43">
        <f>IF($I7503=0,0,$Q7502*INDEX(DarlErsatzZins,16))</f>
      </c>
      <c r="Q7503" s="43">
        <f>IF($I7503=0,0,$Q7502+$P7503+$O7503)</f>
      </c>
      <c r="R7503" s="43">
        <f>IF($I7503=0,0,$J7503-$M7503-$N7503)</f>
      </c>
    </row>
    <row r="7504">
      <c r="A7504"/>
      <c r="B7504">
        <v>16</v>
      </c>
      <c r="C7504" s="43">
        <f>INDEX(DarlObj,16)</f>
      </c>
      <c r="D7504">
        <v>301</v>
      </c>
      <c r="E7504" s="51">
        <f>IF(INDEX(DarlBelegt,16)=0,0,EOMONTH(INDEX(DarlAuszahlung,16),300)+1)</f>
      </c>
      <c r="F7504" s="43">
        <f>IF($E7504=0,0,YEAR($E7504))</f>
      </c>
      <c r="G7504" s="43">
        <f>IF(INDEX(DarlBindung,16)="",1,IF($E7504&lt;=INDEX(DarlBindung,16),1,0))</f>
      </c>
      <c r="H7504" s="43">
        <f>IF($G7504=1,INDEX(DarlSollzins,16),INDEX(DarlAnschluss,16))</f>
      </c>
      <c r="I7504" s="43">
        <f>IF(INDEX(DarlBelegt,16)=0,0,IF(INDEX(DarlOhneTilgung,16)=1,IF(INDEX(DarlBindung,16)="",1,$G7504),IF($J7504&gt;0.005,1,0)))</f>
      </c>
      <c r="J7504" s="43">
        <f>IF($I7503=0,0,$R7503)</f>
      </c>
      <c r="K7504" s="43">
        <f>IF($I7504=0,0,IF(INDEX(DarlOhneTilgung,16)=1,0,IF(AND(INDEX(DarlTilgStart,16)&gt;0,$E7504=INDEX(DarlTilgStart,16)),$J7504*($H7504+INDEX(DarlTilgung,16))/100/12,IF(AND($G7504=0,$G7503=1),MAX($K7503,$J7504*($H7504+1)/100/12),$K7503))))</f>
      </c>
      <c r="L7504" s="43">
        <f>IF($I7504=0,0,$J7504*$H7504/100/12)</f>
      </c>
      <c r="M7504" s="43">
        <f>IF($I7504=0,0,IF(OR(INDEX(DarlOhneTilgung,16)=1,AND(INDEX(DarlTilgStart,16)&gt;0,$E7504&lt;INDEX(DarlTilgStart,16))),0,MIN(MAX(0,$K7504-$L7504),$J7504)))</f>
      </c>
      <c r="N7504" s="43">
        <f>IF($I7504=0,0,MIN(SUMIFS(SondBetrag,SondDarl,16,SondDatum,"&gt;="&amp;$E7504,SondDatum,"&lt;="&amp;EOMONTH($E7504,0)),$J7504-$M7504))</f>
      </c>
      <c r="O7504" s="43">
        <f>IF($I7504=0,0,INDEX(DarlErsatzRate,16))</f>
      </c>
      <c r="P7504" s="43">
        <f>IF($I7504=0,0,$Q7503*INDEX(DarlErsatzZins,16))</f>
      </c>
      <c r="Q7504" s="43">
        <f>IF($I7504=0,0,$Q7503+$P7504+$O7504)</f>
      </c>
      <c r="R7504" s="43">
        <f>IF($I7504=0,0,$J7504-$M7504-$N7504)</f>
      </c>
    </row>
    <row r="7505">
      <c r="A7505"/>
      <c r="B7505">
        <v>16</v>
      </c>
      <c r="C7505" s="43">
        <f>INDEX(DarlObj,16)</f>
      </c>
      <c r="D7505">
        <v>302</v>
      </c>
      <c r="E7505" s="51">
        <f>IF(INDEX(DarlBelegt,16)=0,0,EOMONTH(INDEX(DarlAuszahlung,16),301)+1)</f>
      </c>
      <c r="F7505" s="43">
        <f>IF($E7505=0,0,YEAR($E7505))</f>
      </c>
      <c r="G7505" s="43">
        <f>IF(INDEX(DarlBindung,16)="",1,IF($E7505&lt;=INDEX(DarlBindung,16),1,0))</f>
      </c>
      <c r="H7505" s="43">
        <f>IF($G7505=1,INDEX(DarlSollzins,16),INDEX(DarlAnschluss,16))</f>
      </c>
      <c r="I7505" s="43">
        <f>IF(INDEX(DarlBelegt,16)=0,0,IF(INDEX(DarlOhneTilgung,16)=1,IF(INDEX(DarlBindung,16)="",1,$G7505),IF($J7505&gt;0.005,1,0)))</f>
      </c>
      <c r="J7505" s="43">
        <f>IF($I7504=0,0,$R7504)</f>
      </c>
      <c r="K7505" s="43">
        <f>IF($I7505=0,0,IF(INDEX(DarlOhneTilgung,16)=1,0,IF(AND(INDEX(DarlTilgStart,16)&gt;0,$E7505=INDEX(DarlTilgStart,16)),$J7505*($H7505+INDEX(DarlTilgung,16))/100/12,IF(AND($G7505=0,$G7504=1),MAX($K7504,$J7505*($H7505+1)/100/12),$K7504))))</f>
      </c>
      <c r="L7505" s="43">
        <f>IF($I7505=0,0,$J7505*$H7505/100/12)</f>
      </c>
      <c r="M7505" s="43">
        <f>IF($I7505=0,0,IF(OR(INDEX(DarlOhneTilgung,16)=1,AND(INDEX(DarlTilgStart,16)&gt;0,$E7505&lt;INDEX(DarlTilgStart,16))),0,MIN(MAX(0,$K7505-$L7505),$J7505)))</f>
      </c>
      <c r="N7505" s="43">
        <f>IF($I7505=0,0,MIN(SUMIFS(SondBetrag,SondDarl,16,SondDatum,"&gt;="&amp;$E7505,SondDatum,"&lt;="&amp;EOMONTH($E7505,0)),$J7505-$M7505))</f>
      </c>
      <c r="O7505" s="43">
        <f>IF($I7505=0,0,INDEX(DarlErsatzRate,16))</f>
      </c>
      <c r="P7505" s="43">
        <f>IF($I7505=0,0,$Q7504*INDEX(DarlErsatzZins,16))</f>
      </c>
      <c r="Q7505" s="43">
        <f>IF($I7505=0,0,$Q7504+$P7505+$O7505)</f>
      </c>
      <c r="R7505" s="43">
        <f>IF($I7505=0,0,$J7505-$M7505-$N7505)</f>
      </c>
    </row>
    <row r="7506">
      <c r="A7506"/>
      <c r="B7506">
        <v>16</v>
      </c>
      <c r="C7506" s="43">
        <f>INDEX(DarlObj,16)</f>
      </c>
      <c r="D7506">
        <v>303</v>
      </c>
      <c r="E7506" s="51">
        <f>IF(INDEX(DarlBelegt,16)=0,0,EOMONTH(INDEX(DarlAuszahlung,16),302)+1)</f>
      </c>
      <c r="F7506" s="43">
        <f>IF($E7506=0,0,YEAR($E7506))</f>
      </c>
      <c r="G7506" s="43">
        <f>IF(INDEX(DarlBindung,16)="",1,IF($E7506&lt;=INDEX(DarlBindung,16),1,0))</f>
      </c>
      <c r="H7506" s="43">
        <f>IF($G7506=1,INDEX(DarlSollzins,16),INDEX(DarlAnschluss,16))</f>
      </c>
      <c r="I7506" s="43">
        <f>IF(INDEX(DarlBelegt,16)=0,0,IF(INDEX(DarlOhneTilgung,16)=1,IF(INDEX(DarlBindung,16)="",1,$G7506),IF($J7506&gt;0.005,1,0)))</f>
      </c>
      <c r="J7506" s="43">
        <f>IF($I7505=0,0,$R7505)</f>
      </c>
      <c r="K7506" s="43">
        <f>IF($I7506=0,0,IF(INDEX(DarlOhneTilgung,16)=1,0,IF(AND(INDEX(DarlTilgStart,16)&gt;0,$E7506=INDEX(DarlTilgStart,16)),$J7506*($H7506+INDEX(DarlTilgung,16))/100/12,IF(AND($G7506=0,$G7505=1),MAX($K7505,$J7506*($H7506+1)/100/12),$K7505))))</f>
      </c>
      <c r="L7506" s="43">
        <f>IF($I7506=0,0,$J7506*$H7506/100/12)</f>
      </c>
      <c r="M7506" s="43">
        <f>IF($I7506=0,0,IF(OR(INDEX(DarlOhneTilgung,16)=1,AND(INDEX(DarlTilgStart,16)&gt;0,$E7506&lt;INDEX(DarlTilgStart,16))),0,MIN(MAX(0,$K7506-$L7506),$J7506)))</f>
      </c>
      <c r="N7506" s="43">
        <f>IF($I7506=0,0,MIN(SUMIFS(SondBetrag,SondDarl,16,SondDatum,"&gt;="&amp;$E7506,SondDatum,"&lt;="&amp;EOMONTH($E7506,0)),$J7506-$M7506))</f>
      </c>
      <c r="O7506" s="43">
        <f>IF($I7506=0,0,INDEX(DarlErsatzRate,16))</f>
      </c>
      <c r="P7506" s="43">
        <f>IF($I7506=0,0,$Q7505*INDEX(DarlErsatzZins,16))</f>
      </c>
      <c r="Q7506" s="43">
        <f>IF($I7506=0,0,$Q7505+$P7506+$O7506)</f>
      </c>
      <c r="R7506" s="43">
        <f>IF($I7506=0,0,$J7506-$M7506-$N7506)</f>
      </c>
    </row>
    <row r="7507">
      <c r="A7507"/>
      <c r="B7507">
        <v>16</v>
      </c>
      <c r="C7507" s="43">
        <f>INDEX(DarlObj,16)</f>
      </c>
      <c r="D7507">
        <v>304</v>
      </c>
      <c r="E7507" s="51">
        <f>IF(INDEX(DarlBelegt,16)=0,0,EOMONTH(INDEX(DarlAuszahlung,16),303)+1)</f>
      </c>
      <c r="F7507" s="43">
        <f>IF($E7507=0,0,YEAR($E7507))</f>
      </c>
      <c r="G7507" s="43">
        <f>IF(INDEX(DarlBindung,16)="",1,IF($E7507&lt;=INDEX(DarlBindung,16),1,0))</f>
      </c>
      <c r="H7507" s="43">
        <f>IF($G7507=1,INDEX(DarlSollzins,16),INDEX(DarlAnschluss,16))</f>
      </c>
      <c r="I7507" s="43">
        <f>IF(INDEX(DarlBelegt,16)=0,0,IF(INDEX(DarlOhneTilgung,16)=1,IF(INDEX(DarlBindung,16)="",1,$G7507),IF($J7507&gt;0.005,1,0)))</f>
      </c>
      <c r="J7507" s="43">
        <f>IF($I7506=0,0,$R7506)</f>
      </c>
      <c r="K7507" s="43">
        <f>IF($I7507=0,0,IF(INDEX(DarlOhneTilgung,16)=1,0,IF(AND(INDEX(DarlTilgStart,16)&gt;0,$E7507=INDEX(DarlTilgStart,16)),$J7507*($H7507+INDEX(DarlTilgung,16))/100/12,IF(AND($G7507=0,$G7506=1),MAX($K7506,$J7507*($H7507+1)/100/12),$K7506))))</f>
      </c>
      <c r="L7507" s="43">
        <f>IF($I7507=0,0,$J7507*$H7507/100/12)</f>
      </c>
      <c r="M7507" s="43">
        <f>IF($I7507=0,0,IF(OR(INDEX(DarlOhneTilgung,16)=1,AND(INDEX(DarlTilgStart,16)&gt;0,$E7507&lt;INDEX(DarlTilgStart,16))),0,MIN(MAX(0,$K7507-$L7507),$J7507)))</f>
      </c>
      <c r="N7507" s="43">
        <f>IF($I7507=0,0,MIN(SUMIFS(SondBetrag,SondDarl,16,SondDatum,"&gt;="&amp;$E7507,SondDatum,"&lt;="&amp;EOMONTH($E7507,0)),$J7507-$M7507))</f>
      </c>
      <c r="O7507" s="43">
        <f>IF($I7507=0,0,INDEX(DarlErsatzRate,16))</f>
      </c>
      <c r="P7507" s="43">
        <f>IF($I7507=0,0,$Q7506*INDEX(DarlErsatzZins,16))</f>
      </c>
      <c r="Q7507" s="43">
        <f>IF($I7507=0,0,$Q7506+$P7507+$O7507)</f>
      </c>
      <c r="R7507" s="43">
        <f>IF($I7507=0,0,$J7507-$M7507-$N7507)</f>
      </c>
    </row>
    <row r="7508">
      <c r="A7508"/>
      <c r="B7508">
        <v>16</v>
      </c>
      <c r="C7508" s="43">
        <f>INDEX(DarlObj,16)</f>
      </c>
      <c r="D7508">
        <v>305</v>
      </c>
      <c r="E7508" s="51">
        <f>IF(INDEX(DarlBelegt,16)=0,0,EOMONTH(INDEX(DarlAuszahlung,16),304)+1)</f>
      </c>
      <c r="F7508" s="43">
        <f>IF($E7508=0,0,YEAR($E7508))</f>
      </c>
      <c r="G7508" s="43">
        <f>IF(INDEX(DarlBindung,16)="",1,IF($E7508&lt;=INDEX(DarlBindung,16),1,0))</f>
      </c>
      <c r="H7508" s="43">
        <f>IF($G7508=1,INDEX(DarlSollzins,16),INDEX(DarlAnschluss,16))</f>
      </c>
      <c r="I7508" s="43">
        <f>IF(INDEX(DarlBelegt,16)=0,0,IF(INDEX(DarlOhneTilgung,16)=1,IF(INDEX(DarlBindung,16)="",1,$G7508),IF($J7508&gt;0.005,1,0)))</f>
      </c>
      <c r="J7508" s="43">
        <f>IF($I7507=0,0,$R7507)</f>
      </c>
      <c r="K7508" s="43">
        <f>IF($I7508=0,0,IF(INDEX(DarlOhneTilgung,16)=1,0,IF(AND(INDEX(DarlTilgStart,16)&gt;0,$E7508=INDEX(DarlTilgStart,16)),$J7508*($H7508+INDEX(DarlTilgung,16))/100/12,IF(AND($G7508=0,$G7507=1),MAX($K7507,$J7508*($H7508+1)/100/12),$K7507))))</f>
      </c>
      <c r="L7508" s="43">
        <f>IF($I7508=0,0,$J7508*$H7508/100/12)</f>
      </c>
      <c r="M7508" s="43">
        <f>IF($I7508=0,0,IF(OR(INDEX(DarlOhneTilgung,16)=1,AND(INDEX(DarlTilgStart,16)&gt;0,$E7508&lt;INDEX(DarlTilgStart,16))),0,MIN(MAX(0,$K7508-$L7508),$J7508)))</f>
      </c>
      <c r="N7508" s="43">
        <f>IF($I7508=0,0,MIN(SUMIFS(SondBetrag,SondDarl,16,SondDatum,"&gt;="&amp;$E7508,SondDatum,"&lt;="&amp;EOMONTH($E7508,0)),$J7508-$M7508))</f>
      </c>
      <c r="O7508" s="43">
        <f>IF($I7508=0,0,INDEX(DarlErsatzRate,16))</f>
      </c>
      <c r="P7508" s="43">
        <f>IF($I7508=0,0,$Q7507*INDEX(DarlErsatzZins,16))</f>
      </c>
      <c r="Q7508" s="43">
        <f>IF($I7508=0,0,$Q7507+$P7508+$O7508)</f>
      </c>
      <c r="R7508" s="43">
        <f>IF($I7508=0,0,$J7508-$M7508-$N7508)</f>
      </c>
    </row>
    <row r="7509">
      <c r="A7509"/>
      <c r="B7509">
        <v>16</v>
      </c>
      <c r="C7509" s="43">
        <f>INDEX(DarlObj,16)</f>
      </c>
      <c r="D7509">
        <v>306</v>
      </c>
      <c r="E7509" s="51">
        <f>IF(INDEX(DarlBelegt,16)=0,0,EOMONTH(INDEX(DarlAuszahlung,16),305)+1)</f>
      </c>
      <c r="F7509" s="43">
        <f>IF($E7509=0,0,YEAR($E7509))</f>
      </c>
      <c r="G7509" s="43">
        <f>IF(INDEX(DarlBindung,16)="",1,IF($E7509&lt;=INDEX(DarlBindung,16),1,0))</f>
      </c>
      <c r="H7509" s="43">
        <f>IF($G7509=1,INDEX(DarlSollzins,16),INDEX(DarlAnschluss,16))</f>
      </c>
      <c r="I7509" s="43">
        <f>IF(INDEX(DarlBelegt,16)=0,0,IF(INDEX(DarlOhneTilgung,16)=1,IF(INDEX(DarlBindung,16)="",1,$G7509),IF($J7509&gt;0.005,1,0)))</f>
      </c>
      <c r="J7509" s="43">
        <f>IF($I7508=0,0,$R7508)</f>
      </c>
      <c r="K7509" s="43">
        <f>IF($I7509=0,0,IF(INDEX(DarlOhneTilgung,16)=1,0,IF(AND(INDEX(DarlTilgStart,16)&gt;0,$E7509=INDEX(DarlTilgStart,16)),$J7509*($H7509+INDEX(DarlTilgung,16))/100/12,IF(AND($G7509=0,$G7508=1),MAX($K7508,$J7509*($H7509+1)/100/12),$K7508))))</f>
      </c>
      <c r="L7509" s="43">
        <f>IF($I7509=0,0,$J7509*$H7509/100/12)</f>
      </c>
      <c r="M7509" s="43">
        <f>IF($I7509=0,0,IF(OR(INDEX(DarlOhneTilgung,16)=1,AND(INDEX(DarlTilgStart,16)&gt;0,$E7509&lt;INDEX(DarlTilgStart,16))),0,MIN(MAX(0,$K7509-$L7509),$J7509)))</f>
      </c>
      <c r="N7509" s="43">
        <f>IF($I7509=0,0,MIN(SUMIFS(SondBetrag,SondDarl,16,SondDatum,"&gt;="&amp;$E7509,SondDatum,"&lt;="&amp;EOMONTH($E7509,0)),$J7509-$M7509))</f>
      </c>
      <c r="O7509" s="43">
        <f>IF($I7509=0,0,INDEX(DarlErsatzRate,16))</f>
      </c>
      <c r="P7509" s="43">
        <f>IF($I7509=0,0,$Q7508*INDEX(DarlErsatzZins,16))</f>
      </c>
      <c r="Q7509" s="43">
        <f>IF($I7509=0,0,$Q7508+$P7509+$O7509)</f>
      </c>
      <c r="R7509" s="43">
        <f>IF($I7509=0,0,$J7509-$M7509-$N7509)</f>
      </c>
    </row>
    <row r="7510">
      <c r="A7510"/>
      <c r="B7510">
        <v>16</v>
      </c>
      <c r="C7510" s="43">
        <f>INDEX(DarlObj,16)</f>
      </c>
      <c r="D7510">
        <v>307</v>
      </c>
      <c r="E7510" s="51">
        <f>IF(INDEX(DarlBelegt,16)=0,0,EOMONTH(INDEX(DarlAuszahlung,16),306)+1)</f>
      </c>
      <c r="F7510" s="43">
        <f>IF($E7510=0,0,YEAR($E7510))</f>
      </c>
      <c r="G7510" s="43">
        <f>IF(INDEX(DarlBindung,16)="",1,IF($E7510&lt;=INDEX(DarlBindung,16),1,0))</f>
      </c>
      <c r="H7510" s="43">
        <f>IF($G7510=1,INDEX(DarlSollzins,16),INDEX(DarlAnschluss,16))</f>
      </c>
      <c r="I7510" s="43">
        <f>IF(INDEX(DarlBelegt,16)=0,0,IF(INDEX(DarlOhneTilgung,16)=1,IF(INDEX(DarlBindung,16)="",1,$G7510),IF($J7510&gt;0.005,1,0)))</f>
      </c>
      <c r="J7510" s="43">
        <f>IF($I7509=0,0,$R7509)</f>
      </c>
      <c r="K7510" s="43">
        <f>IF($I7510=0,0,IF(INDEX(DarlOhneTilgung,16)=1,0,IF(AND(INDEX(DarlTilgStart,16)&gt;0,$E7510=INDEX(DarlTilgStart,16)),$J7510*($H7510+INDEX(DarlTilgung,16))/100/12,IF(AND($G7510=0,$G7509=1),MAX($K7509,$J7510*($H7510+1)/100/12),$K7509))))</f>
      </c>
      <c r="L7510" s="43">
        <f>IF($I7510=0,0,$J7510*$H7510/100/12)</f>
      </c>
      <c r="M7510" s="43">
        <f>IF($I7510=0,0,IF(OR(INDEX(DarlOhneTilgung,16)=1,AND(INDEX(DarlTilgStart,16)&gt;0,$E7510&lt;INDEX(DarlTilgStart,16))),0,MIN(MAX(0,$K7510-$L7510),$J7510)))</f>
      </c>
      <c r="N7510" s="43">
        <f>IF($I7510=0,0,MIN(SUMIFS(SondBetrag,SondDarl,16,SondDatum,"&gt;="&amp;$E7510,SondDatum,"&lt;="&amp;EOMONTH($E7510,0)),$J7510-$M7510))</f>
      </c>
      <c r="O7510" s="43">
        <f>IF($I7510=0,0,INDEX(DarlErsatzRate,16))</f>
      </c>
      <c r="P7510" s="43">
        <f>IF($I7510=0,0,$Q7509*INDEX(DarlErsatzZins,16))</f>
      </c>
      <c r="Q7510" s="43">
        <f>IF($I7510=0,0,$Q7509+$P7510+$O7510)</f>
      </c>
      <c r="R7510" s="43">
        <f>IF($I7510=0,0,$J7510-$M7510-$N7510)</f>
      </c>
    </row>
    <row r="7511">
      <c r="A7511"/>
      <c r="B7511">
        <v>16</v>
      </c>
      <c r="C7511" s="43">
        <f>INDEX(DarlObj,16)</f>
      </c>
      <c r="D7511">
        <v>308</v>
      </c>
      <c r="E7511" s="51">
        <f>IF(INDEX(DarlBelegt,16)=0,0,EOMONTH(INDEX(DarlAuszahlung,16),307)+1)</f>
      </c>
      <c r="F7511" s="43">
        <f>IF($E7511=0,0,YEAR($E7511))</f>
      </c>
      <c r="G7511" s="43">
        <f>IF(INDEX(DarlBindung,16)="",1,IF($E7511&lt;=INDEX(DarlBindung,16),1,0))</f>
      </c>
      <c r="H7511" s="43">
        <f>IF($G7511=1,INDEX(DarlSollzins,16),INDEX(DarlAnschluss,16))</f>
      </c>
      <c r="I7511" s="43">
        <f>IF(INDEX(DarlBelegt,16)=0,0,IF(INDEX(DarlOhneTilgung,16)=1,IF(INDEX(DarlBindung,16)="",1,$G7511),IF($J7511&gt;0.005,1,0)))</f>
      </c>
      <c r="J7511" s="43">
        <f>IF($I7510=0,0,$R7510)</f>
      </c>
      <c r="K7511" s="43">
        <f>IF($I7511=0,0,IF(INDEX(DarlOhneTilgung,16)=1,0,IF(AND(INDEX(DarlTilgStart,16)&gt;0,$E7511=INDEX(DarlTilgStart,16)),$J7511*($H7511+INDEX(DarlTilgung,16))/100/12,IF(AND($G7511=0,$G7510=1),MAX($K7510,$J7511*($H7511+1)/100/12),$K7510))))</f>
      </c>
      <c r="L7511" s="43">
        <f>IF($I7511=0,0,$J7511*$H7511/100/12)</f>
      </c>
      <c r="M7511" s="43">
        <f>IF($I7511=0,0,IF(OR(INDEX(DarlOhneTilgung,16)=1,AND(INDEX(DarlTilgStart,16)&gt;0,$E7511&lt;INDEX(DarlTilgStart,16))),0,MIN(MAX(0,$K7511-$L7511),$J7511)))</f>
      </c>
      <c r="N7511" s="43">
        <f>IF($I7511=0,0,MIN(SUMIFS(SondBetrag,SondDarl,16,SondDatum,"&gt;="&amp;$E7511,SondDatum,"&lt;="&amp;EOMONTH($E7511,0)),$J7511-$M7511))</f>
      </c>
      <c r="O7511" s="43">
        <f>IF($I7511=0,0,INDEX(DarlErsatzRate,16))</f>
      </c>
      <c r="P7511" s="43">
        <f>IF($I7511=0,0,$Q7510*INDEX(DarlErsatzZins,16))</f>
      </c>
      <c r="Q7511" s="43">
        <f>IF($I7511=0,0,$Q7510+$P7511+$O7511)</f>
      </c>
      <c r="R7511" s="43">
        <f>IF($I7511=0,0,$J7511-$M7511-$N7511)</f>
      </c>
    </row>
    <row r="7512">
      <c r="A7512"/>
      <c r="B7512">
        <v>16</v>
      </c>
      <c r="C7512" s="43">
        <f>INDEX(DarlObj,16)</f>
      </c>
      <c r="D7512">
        <v>309</v>
      </c>
      <c r="E7512" s="51">
        <f>IF(INDEX(DarlBelegt,16)=0,0,EOMONTH(INDEX(DarlAuszahlung,16),308)+1)</f>
      </c>
      <c r="F7512" s="43">
        <f>IF($E7512=0,0,YEAR($E7512))</f>
      </c>
      <c r="G7512" s="43">
        <f>IF(INDEX(DarlBindung,16)="",1,IF($E7512&lt;=INDEX(DarlBindung,16),1,0))</f>
      </c>
      <c r="H7512" s="43">
        <f>IF($G7512=1,INDEX(DarlSollzins,16),INDEX(DarlAnschluss,16))</f>
      </c>
      <c r="I7512" s="43">
        <f>IF(INDEX(DarlBelegt,16)=0,0,IF(INDEX(DarlOhneTilgung,16)=1,IF(INDEX(DarlBindung,16)="",1,$G7512),IF($J7512&gt;0.005,1,0)))</f>
      </c>
      <c r="J7512" s="43">
        <f>IF($I7511=0,0,$R7511)</f>
      </c>
      <c r="K7512" s="43">
        <f>IF($I7512=0,0,IF(INDEX(DarlOhneTilgung,16)=1,0,IF(AND(INDEX(DarlTilgStart,16)&gt;0,$E7512=INDEX(DarlTilgStart,16)),$J7512*($H7512+INDEX(DarlTilgung,16))/100/12,IF(AND($G7512=0,$G7511=1),MAX($K7511,$J7512*($H7512+1)/100/12),$K7511))))</f>
      </c>
      <c r="L7512" s="43">
        <f>IF($I7512=0,0,$J7512*$H7512/100/12)</f>
      </c>
      <c r="M7512" s="43">
        <f>IF($I7512=0,0,IF(OR(INDEX(DarlOhneTilgung,16)=1,AND(INDEX(DarlTilgStart,16)&gt;0,$E7512&lt;INDEX(DarlTilgStart,16))),0,MIN(MAX(0,$K7512-$L7512),$J7512)))</f>
      </c>
      <c r="N7512" s="43">
        <f>IF($I7512=0,0,MIN(SUMIFS(SondBetrag,SondDarl,16,SondDatum,"&gt;="&amp;$E7512,SondDatum,"&lt;="&amp;EOMONTH($E7512,0)),$J7512-$M7512))</f>
      </c>
      <c r="O7512" s="43">
        <f>IF($I7512=0,0,INDEX(DarlErsatzRate,16))</f>
      </c>
      <c r="P7512" s="43">
        <f>IF($I7512=0,0,$Q7511*INDEX(DarlErsatzZins,16))</f>
      </c>
      <c r="Q7512" s="43">
        <f>IF($I7512=0,0,$Q7511+$P7512+$O7512)</f>
      </c>
      <c r="R7512" s="43">
        <f>IF($I7512=0,0,$J7512-$M7512-$N7512)</f>
      </c>
    </row>
    <row r="7513">
      <c r="A7513"/>
      <c r="B7513">
        <v>16</v>
      </c>
      <c r="C7513" s="43">
        <f>INDEX(DarlObj,16)</f>
      </c>
      <c r="D7513">
        <v>310</v>
      </c>
      <c r="E7513" s="51">
        <f>IF(INDEX(DarlBelegt,16)=0,0,EOMONTH(INDEX(DarlAuszahlung,16),309)+1)</f>
      </c>
      <c r="F7513" s="43">
        <f>IF($E7513=0,0,YEAR($E7513))</f>
      </c>
      <c r="G7513" s="43">
        <f>IF(INDEX(DarlBindung,16)="",1,IF($E7513&lt;=INDEX(DarlBindung,16),1,0))</f>
      </c>
      <c r="H7513" s="43">
        <f>IF($G7513=1,INDEX(DarlSollzins,16),INDEX(DarlAnschluss,16))</f>
      </c>
      <c r="I7513" s="43">
        <f>IF(INDEX(DarlBelegt,16)=0,0,IF(INDEX(DarlOhneTilgung,16)=1,IF(INDEX(DarlBindung,16)="",1,$G7513),IF($J7513&gt;0.005,1,0)))</f>
      </c>
      <c r="J7513" s="43">
        <f>IF($I7512=0,0,$R7512)</f>
      </c>
      <c r="K7513" s="43">
        <f>IF($I7513=0,0,IF(INDEX(DarlOhneTilgung,16)=1,0,IF(AND(INDEX(DarlTilgStart,16)&gt;0,$E7513=INDEX(DarlTilgStart,16)),$J7513*($H7513+INDEX(DarlTilgung,16))/100/12,IF(AND($G7513=0,$G7512=1),MAX($K7512,$J7513*($H7513+1)/100/12),$K7512))))</f>
      </c>
      <c r="L7513" s="43">
        <f>IF($I7513=0,0,$J7513*$H7513/100/12)</f>
      </c>
      <c r="M7513" s="43">
        <f>IF($I7513=0,0,IF(OR(INDEX(DarlOhneTilgung,16)=1,AND(INDEX(DarlTilgStart,16)&gt;0,$E7513&lt;INDEX(DarlTilgStart,16))),0,MIN(MAX(0,$K7513-$L7513),$J7513)))</f>
      </c>
      <c r="N7513" s="43">
        <f>IF($I7513=0,0,MIN(SUMIFS(SondBetrag,SondDarl,16,SondDatum,"&gt;="&amp;$E7513,SondDatum,"&lt;="&amp;EOMONTH($E7513,0)),$J7513-$M7513))</f>
      </c>
      <c r="O7513" s="43">
        <f>IF($I7513=0,0,INDEX(DarlErsatzRate,16))</f>
      </c>
      <c r="P7513" s="43">
        <f>IF($I7513=0,0,$Q7512*INDEX(DarlErsatzZins,16))</f>
      </c>
      <c r="Q7513" s="43">
        <f>IF($I7513=0,0,$Q7512+$P7513+$O7513)</f>
      </c>
      <c r="R7513" s="43">
        <f>IF($I7513=0,0,$J7513-$M7513-$N7513)</f>
      </c>
    </row>
    <row r="7514">
      <c r="A7514"/>
      <c r="B7514">
        <v>16</v>
      </c>
      <c r="C7514" s="43">
        <f>INDEX(DarlObj,16)</f>
      </c>
      <c r="D7514">
        <v>311</v>
      </c>
      <c r="E7514" s="51">
        <f>IF(INDEX(DarlBelegt,16)=0,0,EOMONTH(INDEX(DarlAuszahlung,16),310)+1)</f>
      </c>
      <c r="F7514" s="43">
        <f>IF($E7514=0,0,YEAR($E7514))</f>
      </c>
      <c r="G7514" s="43">
        <f>IF(INDEX(DarlBindung,16)="",1,IF($E7514&lt;=INDEX(DarlBindung,16),1,0))</f>
      </c>
      <c r="H7514" s="43">
        <f>IF($G7514=1,INDEX(DarlSollzins,16),INDEX(DarlAnschluss,16))</f>
      </c>
      <c r="I7514" s="43">
        <f>IF(INDEX(DarlBelegt,16)=0,0,IF(INDEX(DarlOhneTilgung,16)=1,IF(INDEX(DarlBindung,16)="",1,$G7514),IF($J7514&gt;0.005,1,0)))</f>
      </c>
      <c r="J7514" s="43">
        <f>IF($I7513=0,0,$R7513)</f>
      </c>
      <c r="K7514" s="43">
        <f>IF($I7514=0,0,IF(INDEX(DarlOhneTilgung,16)=1,0,IF(AND(INDEX(DarlTilgStart,16)&gt;0,$E7514=INDEX(DarlTilgStart,16)),$J7514*($H7514+INDEX(DarlTilgung,16))/100/12,IF(AND($G7514=0,$G7513=1),MAX($K7513,$J7514*($H7514+1)/100/12),$K7513))))</f>
      </c>
      <c r="L7514" s="43">
        <f>IF($I7514=0,0,$J7514*$H7514/100/12)</f>
      </c>
      <c r="M7514" s="43">
        <f>IF($I7514=0,0,IF(OR(INDEX(DarlOhneTilgung,16)=1,AND(INDEX(DarlTilgStart,16)&gt;0,$E7514&lt;INDEX(DarlTilgStart,16))),0,MIN(MAX(0,$K7514-$L7514),$J7514)))</f>
      </c>
      <c r="N7514" s="43">
        <f>IF($I7514=0,0,MIN(SUMIFS(SondBetrag,SondDarl,16,SondDatum,"&gt;="&amp;$E7514,SondDatum,"&lt;="&amp;EOMONTH($E7514,0)),$J7514-$M7514))</f>
      </c>
      <c r="O7514" s="43">
        <f>IF($I7514=0,0,INDEX(DarlErsatzRate,16))</f>
      </c>
      <c r="P7514" s="43">
        <f>IF($I7514=0,0,$Q7513*INDEX(DarlErsatzZins,16))</f>
      </c>
      <c r="Q7514" s="43">
        <f>IF($I7514=0,0,$Q7513+$P7514+$O7514)</f>
      </c>
      <c r="R7514" s="43">
        <f>IF($I7514=0,0,$J7514-$M7514-$N7514)</f>
      </c>
    </row>
    <row r="7515">
      <c r="A7515"/>
      <c r="B7515">
        <v>16</v>
      </c>
      <c r="C7515" s="43">
        <f>INDEX(DarlObj,16)</f>
      </c>
      <c r="D7515">
        <v>312</v>
      </c>
      <c r="E7515" s="51">
        <f>IF(INDEX(DarlBelegt,16)=0,0,EOMONTH(INDEX(DarlAuszahlung,16),311)+1)</f>
      </c>
      <c r="F7515" s="43">
        <f>IF($E7515=0,0,YEAR($E7515))</f>
      </c>
      <c r="G7515" s="43">
        <f>IF(INDEX(DarlBindung,16)="",1,IF($E7515&lt;=INDEX(DarlBindung,16),1,0))</f>
      </c>
      <c r="H7515" s="43">
        <f>IF($G7515=1,INDEX(DarlSollzins,16),INDEX(DarlAnschluss,16))</f>
      </c>
      <c r="I7515" s="43">
        <f>IF(INDEX(DarlBelegt,16)=0,0,IF(INDEX(DarlOhneTilgung,16)=1,IF(INDEX(DarlBindung,16)="",1,$G7515),IF($J7515&gt;0.005,1,0)))</f>
      </c>
      <c r="J7515" s="43">
        <f>IF($I7514=0,0,$R7514)</f>
      </c>
      <c r="K7515" s="43">
        <f>IF($I7515=0,0,IF(INDEX(DarlOhneTilgung,16)=1,0,IF(AND(INDEX(DarlTilgStart,16)&gt;0,$E7515=INDEX(DarlTilgStart,16)),$J7515*($H7515+INDEX(DarlTilgung,16))/100/12,IF(AND($G7515=0,$G7514=1),MAX($K7514,$J7515*($H7515+1)/100/12),$K7514))))</f>
      </c>
      <c r="L7515" s="43">
        <f>IF($I7515=0,0,$J7515*$H7515/100/12)</f>
      </c>
      <c r="M7515" s="43">
        <f>IF($I7515=0,0,IF(OR(INDEX(DarlOhneTilgung,16)=1,AND(INDEX(DarlTilgStart,16)&gt;0,$E7515&lt;INDEX(DarlTilgStart,16))),0,MIN(MAX(0,$K7515-$L7515),$J7515)))</f>
      </c>
      <c r="N7515" s="43">
        <f>IF($I7515=0,0,MIN(SUMIFS(SondBetrag,SondDarl,16,SondDatum,"&gt;="&amp;$E7515,SondDatum,"&lt;="&amp;EOMONTH($E7515,0)),$J7515-$M7515))</f>
      </c>
      <c r="O7515" s="43">
        <f>IF($I7515=0,0,INDEX(DarlErsatzRate,16))</f>
      </c>
      <c r="P7515" s="43">
        <f>IF($I7515=0,0,$Q7514*INDEX(DarlErsatzZins,16))</f>
      </c>
      <c r="Q7515" s="43">
        <f>IF($I7515=0,0,$Q7514+$P7515+$O7515)</f>
      </c>
      <c r="R7515" s="43">
        <f>IF($I7515=0,0,$J7515-$M7515-$N7515)</f>
      </c>
    </row>
    <row r="7516">
      <c r="A7516"/>
      <c r="B7516">
        <v>16</v>
      </c>
      <c r="C7516" s="43">
        <f>INDEX(DarlObj,16)</f>
      </c>
      <c r="D7516">
        <v>313</v>
      </c>
      <c r="E7516" s="51">
        <f>IF(INDEX(DarlBelegt,16)=0,0,EOMONTH(INDEX(DarlAuszahlung,16),312)+1)</f>
      </c>
      <c r="F7516" s="43">
        <f>IF($E7516=0,0,YEAR($E7516))</f>
      </c>
      <c r="G7516" s="43">
        <f>IF(INDEX(DarlBindung,16)="",1,IF($E7516&lt;=INDEX(DarlBindung,16),1,0))</f>
      </c>
      <c r="H7516" s="43">
        <f>IF($G7516=1,INDEX(DarlSollzins,16),INDEX(DarlAnschluss,16))</f>
      </c>
      <c r="I7516" s="43">
        <f>IF(INDEX(DarlBelegt,16)=0,0,IF(INDEX(DarlOhneTilgung,16)=1,IF(INDEX(DarlBindung,16)="",1,$G7516),IF($J7516&gt;0.005,1,0)))</f>
      </c>
      <c r="J7516" s="43">
        <f>IF($I7515=0,0,$R7515)</f>
      </c>
      <c r="K7516" s="43">
        <f>IF($I7516=0,0,IF(INDEX(DarlOhneTilgung,16)=1,0,IF(AND(INDEX(DarlTilgStart,16)&gt;0,$E7516=INDEX(DarlTilgStart,16)),$J7516*($H7516+INDEX(DarlTilgung,16))/100/12,IF(AND($G7516=0,$G7515=1),MAX($K7515,$J7516*($H7516+1)/100/12),$K7515))))</f>
      </c>
      <c r="L7516" s="43">
        <f>IF($I7516=0,0,$J7516*$H7516/100/12)</f>
      </c>
      <c r="M7516" s="43">
        <f>IF($I7516=0,0,IF(OR(INDEX(DarlOhneTilgung,16)=1,AND(INDEX(DarlTilgStart,16)&gt;0,$E7516&lt;INDEX(DarlTilgStart,16))),0,MIN(MAX(0,$K7516-$L7516),$J7516)))</f>
      </c>
      <c r="N7516" s="43">
        <f>IF($I7516=0,0,MIN(SUMIFS(SondBetrag,SondDarl,16,SondDatum,"&gt;="&amp;$E7516,SondDatum,"&lt;="&amp;EOMONTH($E7516,0)),$J7516-$M7516))</f>
      </c>
      <c r="O7516" s="43">
        <f>IF($I7516=0,0,INDEX(DarlErsatzRate,16))</f>
      </c>
      <c r="P7516" s="43">
        <f>IF($I7516=0,0,$Q7515*INDEX(DarlErsatzZins,16))</f>
      </c>
      <c r="Q7516" s="43">
        <f>IF($I7516=0,0,$Q7515+$P7516+$O7516)</f>
      </c>
      <c r="R7516" s="43">
        <f>IF($I7516=0,0,$J7516-$M7516-$N7516)</f>
      </c>
    </row>
    <row r="7517">
      <c r="A7517"/>
      <c r="B7517">
        <v>16</v>
      </c>
      <c r="C7517" s="43">
        <f>INDEX(DarlObj,16)</f>
      </c>
      <c r="D7517">
        <v>314</v>
      </c>
      <c r="E7517" s="51">
        <f>IF(INDEX(DarlBelegt,16)=0,0,EOMONTH(INDEX(DarlAuszahlung,16),313)+1)</f>
      </c>
      <c r="F7517" s="43">
        <f>IF($E7517=0,0,YEAR($E7517))</f>
      </c>
      <c r="G7517" s="43">
        <f>IF(INDEX(DarlBindung,16)="",1,IF($E7517&lt;=INDEX(DarlBindung,16),1,0))</f>
      </c>
      <c r="H7517" s="43">
        <f>IF($G7517=1,INDEX(DarlSollzins,16),INDEX(DarlAnschluss,16))</f>
      </c>
      <c r="I7517" s="43">
        <f>IF(INDEX(DarlBelegt,16)=0,0,IF(INDEX(DarlOhneTilgung,16)=1,IF(INDEX(DarlBindung,16)="",1,$G7517),IF($J7517&gt;0.005,1,0)))</f>
      </c>
      <c r="J7517" s="43">
        <f>IF($I7516=0,0,$R7516)</f>
      </c>
      <c r="K7517" s="43">
        <f>IF($I7517=0,0,IF(INDEX(DarlOhneTilgung,16)=1,0,IF(AND(INDEX(DarlTilgStart,16)&gt;0,$E7517=INDEX(DarlTilgStart,16)),$J7517*($H7517+INDEX(DarlTilgung,16))/100/12,IF(AND($G7517=0,$G7516=1),MAX($K7516,$J7517*($H7517+1)/100/12),$K7516))))</f>
      </c>
      <c r="L7517" s="43">
        <f>IF($I7517=0,0,$J7517*$H7517/100/12)</f>
      </c>
      <c r="M7517" s="43">
        <f>IF($I7517=0,0,IF(OR(INDEX(DarlOhneTilgung,16)=1,AND(INDEX(DarlTilgStart,16)&gt;0,$E7517&lt;INDEX(DarlTilgStart,16))),0,MIN(MAX(0,$K7517-$L7517),$J7517)))</f>
      </c>
      <c r="N7517" s="43">
        <f>IF($I7517=0,0,MIN(SUMIFS(SondBetrag,SondDarl,16,SondDatum,"&gt;="&amp;$E7517,SondDatum,"&lt;="&amp;EOMONTH($E7517,0)),$J7517-$M7517))</f>
      </c>
      <c r="O7517" s="43">
        <f>IF($I7517=0,0,INDEX(DarlErsatzRate,16))</f>
      </c>
      <c r="P7517" s="43">
        <f>IF($I7517=0,0,$Q7516*INDEX(DarlErsatzZins,16))</f>
      </c>
      <c r="Q7517" s="43">
        <f>IF($I7517=0,0,$Q7516+$P7517+$O7517)</f>
      </c>
      <c r="R7517" s="43">
        <f>IF($I7517=0,0,$J7517-$M7517-$N7517)</f>
      </c>
    </row>
    <row r="7518">
      <c r="A7518"/>
      <c r="B7518">
        <v>16</v>
      </c>
      <c r="C7518" s="43">
        <f>INDEX(DarlObj,16)</f>
      </c>
      <c r="D7518">
        <v>315</v>
      </c>
      <c r="E7518" s="51">
        <f>IF(INDEX(DarlBelegt,16)=0,0,EOMONTH(INDEX(DarlAuszahlung,16),314)+1)</f>
      </c>
      <c r="F7518" s="43">
        <f>IF($E7518=0,0,YEAR($E7518))</f>
      </c>
      <c r="G7518" s="43">
        <f>IF(INDEX(DarlBindung,16)="",1,IF($E7518&lt;=INDEX(DarlBindung,16),1,0))</f>
      </c>
      <c r="H7518" s="43">
        <f>IF($G7518=1,INDEX(DarlSollzins,16),INDEX(DarlAnschluss,16))</f>
      </c>
      <c r="I7518" s="43">
        <f>IF(INDEX(DarlBelegt,16)=0,0,IF(INDEX(DarlOhneTilgung,16)=1,IF(INDEX(DarlBindung,16)="",1,$G7518),IF($J7518&gt;0.005,1,0)))</f>
      </c>
      <c r="J7518" s="43">
        <f>IF($I7517=0,0,$R7517)</f>
      </c>
      <c r="K7518" s="43">
        <f>IF($I7518=0,0,IF(INDEX(DarlOhneTilgung,16)=1,0,IF(AND(INDEX(DarlTilgStart,16)&gt;0,$E7518=INDEX(DarlTilgStart,16)),$J7518*($H7518+INDEX(DarlTilgung,16))/100/12,IF(AND($G7518=0,$G7517=1),MAX($K7517,$J7518*($H7518+1)/100/12),$K7517))))</f>
      </c>
      <c r="L7518" s="43">
        <f>IF($I7518=0,0,$J7518*$H7518/100/12)</f>
      </c>
      <c r="M7518" s="43">
        <f>IF($I7518=0,0,IF(OR(INDEX(DarlOhneTilgung,16)=1,AND(INDEX(DarlTilgStart,16)&gt;0,$E7518&lt;INDEX(DarlTilgStart,16))),0,MIN(MAX(0,$K7518-$L7518),$J7518)))</f>
      </c>
      <c r="N7518" s="43">
        <f>IF($I7518=0,0,MIN(SUMIFS(SondBetrag,SondDarl,16,SondDatum,"&gt;="&amp;$E7518,SondDatum,"&lt;="&amp;EOMONTH($E7518,0)),$J7518-$M7518))</f>
      </c>
      <c r="O7518" s="43">
        <f>IF($I7518=0,0,INDEX(DarlErsatzRate,16))</f>
      </c>
      <c r="P7518" s="43">
        <f>IF($I7518=0,0,$Q7517*INDEX(DarlErsatzZins,16))</f>
      </c>
      <c r="Q7518" s="43">
        <f>IF($I7518=0,0,$Q7517+$P7518+$O7518)</f>
      </c>
      <c r="R7518" s="43">
        <f>IF($I7518=0,0,$J7518-$M7518-$N7518)</f>
      </c>
    </row>
    <row r="7519">
      <c r="A7519"/>
      <c r="B7519">
        <v>16</v>
      </c>
      <c r="C7519" s="43">
        <f>INDEX(DarlObj,16)</f>
      </c>
      <c r="D7519">
        <v>316</v>
      </c>
      <c r="E7519" s="51">
        <f>IF(INDEX(DarlBelegt,16)=0,0,EOMONTH(INDEX(DarlAuszahlung,16),315)+1)</f>
      </c>
      <c r="F7519" s="43">
        <f>IF($E7519=0,0,YEAR($E7519))</f>
      </c>
      <c r="G7519" s="43">
        <f>IF(INDEX(DarlBindung,16)="",1,IF($E7519&lt;=INDEX(DarlBindung,16),1,0))</f>
      </c>
      <c r="H7519" s="43">
        <f>IF($G7519=1,INDEX(DarlSollzins,16),INDEX(DarlAnschluss,16))</f>
      </c>
      <c r="I7519" s="43">
        <f>IF(INDEX(DarlBelegt,16)=0,0,IF(INDEX(DarlOhneTilgung,16)=1,IF(INDEX(DarlBindung,16)="",1,$G7519),IF($J7519&gt;0.005,1,0)))</f>
      </c>
      <c r="J7519" s="43">
        <f>IF($I7518=0,0,$R7518)</f>
      </c>
      <c r="K7519" s="43">
        <f>IF($I7519=0,0,IF(INDEX(DarlOhneTilgung,16)=1,0,IF(AND(INDEX(DarlTilgStart,16)&gt;0,$E7519=INDEX(DarlTilgStart,16)),$J7519*($H7519+INDEX(DarlTilgung,16))/100/12,IF(AND($G7519=0,$G7518=1),MAX($K7518,$J7519*($H7519+1)/100/12),$K7518))))</f>
      </c>
      <c r="L7519" s="43">
        <f>IF($I7519=0,0,$J7519*$H7519/100/12)</f>
      </c>
      <c r="M7519" s="43">
        <f>IF($I7519=0,0,IF(OR(INDEX(DarlOhneTilgung,16)=1,AND(INDEX(DarlTilgStart,16)&gt;0,$E7519&lt;INDEX(DarlTilgStart,16))),0,MIN(MAX(0,$K7519-$L7519),$J7519)))</f>
      </c>
      <c r="N7519" s="43">
        <f>IF($I7519=0,0,MIN(SUMIFS(SondBetrag,SondDarl,16,SondDatum,"&gt;="&amp;$E7519,SondDatum,"&lt;="&amp;EOMONTH($E7519,0)),$J7519-$M7519))</f>
      </c>
      <c r="O7519" s="43">
        <f>IF($I7519=0,0,INDEX(DarlErsatzRate,16))</f>
      </c>
      <c r="P7519" s="43">
        <f>IF($I7519=0,0,$Q7518*INDEX(DarlErsatzZins,16))</f>
      </c>
      <c r="Q7519" s="43">
        <f>IF($I7519=0,0,$Q7518+$P7519+$O7519)</f>
      </c>
      <c r="R7519" s="43">
        <f>IF($I7519=0,0,$J7519-$M7519-$N7519)</f>
      </c>
    </row>
    <row r="7520">
      <c r="A7520"/>
      <c r="B7520">
        <v>16</v>
      </c>
      <c r="C7520" s="43">
        <f>INDEX(DarlObj,16)</f>
      </c>
      <c r="D7520">
        <v>317</v>
      </c>
      <c r="E7520" s="51">
        <f>IF(INDEX(DarlBelegt,16)=0,0,EOMONTH(INDEX(DarlAuszahlung,16),316)+1)</f>
      </c>
      <c r="F7520" s="43">
        <f>IF($E7520=0,0,YEAR($E7520))</f>
      </c>
      <c r="G7520" s="43">
        <f>IF(INDEX(DarlBindung,16)="",1,IF($E7520&lt;=INDEX(DarlBindung,16),1,0))</f>
      </c>
      <c r="H7520" s="43">
        <f>IF($G7520=1,INDEX(DarlSollzins,16),INDEX(DarlAnschluss,16))</f>
      </c>
      <c r="I7520" s="43">
        <f>IF(INDEX(DarlBelegt,16)=0,0,IF(INDEX(DarlOhneTilgung,16)=1,IF(INDEX(DarlBindung,16)="",1,$G7520),IF($J7520&gt;0.005,1,0)))</f>
      </c>
      <c r="J7520" s="43">
        <f>IF($I7519=0,0,$R7519)</f>
      </c>
      <c r="K7520" s="43">
        <f>IF($I7520=0,0,IF(INDEX(DarlOhneTilgung,16)=1,0,IF(AND(INDEX(DarlTilgStart,16)&gt;0,$E7520=INDEX(DarlTilgStart,16)),$J7520*($H7520+INDEX(DarlTilgung,16))/100/12,IF(AND($G7520=0,$G7519=1),MAX($K7519,$J7520*($H7520+1)/100/12),$K7519))))</f>
      </c>
      <c r="L7520" s="43">
        <f>IF($I7520=0,0,$J7520*$H7520/100/12)</f>
      </c>
      <c r="M7520" s="43">
        <f>IF($I7520=0,0,IF(OR(INDEX(DarlOhneTilgung,16)=1,AND(INDEX(DarlTilgStart,16)&gt;0,$E7520&lt;INDEX(DarlTilgStart,16))),0,MIN(MAX(0,$K7520-$L7520),$J7520)))</f>
      </c>
      <c r="N7520" s="43">
        <f>IF($I7520=0,0,MIN(SUMIFS(SondBetrag,SondDarl,16,SondDatum,"&gt;="&amp;$E7520,SondDatum,"&lt;="&amp;EOMONTH($E7520,0)),$J7520-$M7520))</f>
      </c>
      <c r="O7520" s="43">
        <f>IF($I7520=0,0,INDEX(DarlErsatzRate,16))</f>
      </c>
      <c r="P7520" s="43">
        <f>IF($I7520=0,0,$Q7519*INDEX(DarlErsatzZins,16))</f>
      </c>
      <c r="Q7520" s="43">
        <f>IF($I7520=0,0,$Q7519+$P7520+$O7520)</f>
      </c>
      <c r="R7520" s="43">
        <f>IF($I7520=0,0,$J7520-$M7520-$N7520)</f>
      </c>
    </row>
    <row r="7521">
      <c r="A7521"/>
      <c r="B7521">
        <v>16</v>
      </c>
      <c r="C7521" s="43">
        <f>INDEX(DarlObj,16)</f>
      </c>
      <c r="D7521">
        <v>318</v>
      </c>
      <c r="E7521" s="51">
        <f>IF(INDEX(DarlBelegt,16)=0,0,EOMONTH(INDEX(DarlAuszahlung,16),317)+1)</f>
      </c>
      <c r="F7521" s="43">
        <f>IF($E7521=0,0,YEAR($E7521))</f>
      </c>
      <c r="G7521" s="43">
        <f>IF(INDEX(DarlBindung,16)="",1,IF($E7521&lt;=INDEX(DarlBindung,16),1,0))</f>
      </c>
      <c r="H7521" s="43">
        <f>IF($G7521=1,INDEX(DarlSollzins,16),INDEX(DarlAnschluss,16))</f>
      </c>
      <c r="I7521" s="43">
        <f>IF(INDEX(DarlBelegt,16)=0,0,IF(INDEX(DarlOhneTilgung,16)=1,IF(INDEX(DarlBindung,16)="",1,$G7521),IF($J7521&gt;0.005,1,0)))</f>
      </c>
      <c r="J7521" s="43">
        <f>IF($I7520=0,0,$R7520)</f>
      </c>
      <c r="K7521" s="43">
        <f>IF($I7521=0,0,IF(INDEX(DarlOhneTilgung,16)=1,0,IF(AND(INDEX(DarlTilgStart,16)&gt;0,$E7521=INDEX(DarlTilgStart,16)),$J7521*($H7521+INDEX(DarlTilgung,16))/100/12,IF(AND($G7521=0,$G7520=1),MAX($K7520,$J7521*($H7521+1)/100/12),$K7520))))</f>
      </c>
      <c r="L7521" s="43">
        <f>IF($I7521=0,0,$J7521*$H7521/100/12)</f>
      </c>
      <c r="M7521" s="43">
        <f>IF($I7521=0,0,IF(OR(INDEX(DarlOhneTilgung,16)=1,AND(INDEX(DarlTilgStart,16)&gt;0,$E7521&lt;INDEX(DarlTilgStart,16))),0,MIN(MAX(0,$K7521-$L7521),$J7521)))</f>
      </c>
      <c r="N7521" s="43">
        <f>IF($I7521=0,0,MIN(SUMIFS(SondBetrag,SondDarl,16,SondDatum,"&gt;="&amp;$E7521,SondDatum,"&lt;="&amp;EOMONTH($E7521,0)),$J7521-$M7521))</f>
      </c>
      <c r="O7521" s="43">
        <f>IF($I7521=0,0,INDEX(DarlErsatzRate,16))</f>
      </c>
      <c r="P7521" s="43">
        <f>IF($I7521=0,0,$Q7520*INDEX(DarlErsatzZins,16))</f>
      </c>
      <c r="Q7521" s="43">
        <f>IF($I7521=0,0,$Q7520+$P7521+$O7521)</f>
      </c>
      <c r="R7521" s="43">
        <f>IF($I7521=0,0,$J7521-$M7521-$N7521)</f>
      </c>
    </row>
    <row r="7522">
      <c r="A7522"/>
      <c r="B7522">
        <v>16</v>
      </c>
      <c r="C7522" s="43">
        <f>INDEX(DarlObj,16)</f>
      </c>
      <c r="D7522">
        <v>319</v>
      </c>
      <c r="E7522" s="51">
        <f>IF(INDEX(DarlBelegt,16)=0,0,EOMONTH(INDEX(DarlAuszahlung,16),318)+1)</f>
      </c>
      <c r="F7522" s="43">
        <f>IF($E7522=0,0,YEAR($E7522))</f>
      </c>
      <c r="G7522" s="43">
        <f>IF(INDEX(DarlBindung,16)="",1,IF($E7522&lt;=INDEX(DarlBindung,16),1,0))</f>
      </c>
      <c r="H7522" s="43">
        <f>IF($G7522=1,INDEX(DarlSollzins,16),INDEX(DarlAnschluss,16))</f>
      </c>
      <c r="I7522" s="43">
        <f>IF(INDEX(DarlBelegt,16)=0,0,IF(INDEX(DarlOhneTilgung,16)=1,IF(INDEX(DarlBindung,16)="",1,$G7522),IF($J7522&gt;0.005,1,0)))</f>
      </c>
      <c r="J7522" s="43">
        <f>IF($I7521=0,0,$R7521)</f>
      </c>
      <c r="K7522" s="43">
        <f>IF($I7522=0,0,IF(INDEX(DarlOhneTilgung,16)=1,0,IF(AND(INDEX(DarlTilgStart,16)&gt;0,$E7522=INDEX(DarlTilgStart,16)),$J7522*($H7522+INDEX(DarlTilgung,16))/100/12,IF(AND($G7522=0,$G7521=1),MAX($K7521,$J7522*($H7522+1)/100/12),$K7521))))</f>
      </c>
      <c r="L7522" s="43">
        <f>IF($I7522=0,0,$J7522*$H7522/100/12)</f>
      </c>
      <c r="M7522" s="43">
        <f>IF($I7522=0,0,IF(OR(INDEX(DarlOhneTilgung,16)=1,AND(INDEX(DarlTilgStart,16)&gt;0,$E7522&lt;INDEX(DarlTilgStart,16))),0,MIN(MAX(0,$K7522-$L7522),$J7522)))</f>
      </c>
      <c r="N7522" s="43">
        <f>IF($I7522=0,0,MIN(SUMIFS(SondBetrag,SondDarl,16,SondDatum,"&gt;="&amp;$E7522,SondDatum,"&lt;="&amp;EOMONTH($E7522,0)),$J7522-$M7522))</f>
      </c>
      <c r="O7522" s="43">
        <f>IF($I7522=0,0,INDEX(DarlErsatzRate,16))</f>
      </c>
      <c r="P7522" s="43">
        <f>IF($I7522=0,0,$Q7521*INDEX(DarlErsatzZins,16))</f>
      </c>
      <c r="Q7522" s="43">
        <f>IF($I7522=0,0,$Q7521+$P7522+$O7522)</f>
      </c>
      <c r="R7522" s="43">
        <f>IF($I7522=0,0,$J7522-$M7522-$N7522)</f>
      </c>
    </row>
    <row r="7523">
      <c r="A7523"/>
      <c r="B7523">
        <v>16</v>
      </c>
      <c r="C7523" s="43">
        <f>INDEX(DarlObj,16)</f>
      </c>
      <c r="D7523">
        <v>320</v>
      </c>
      <c r="E7523" s="51">
        <f>IF(INDEX(DarlBelegt,16)=0,0,EOMONTH(INDEX(DarlAuszahlung,16),319)+1)</f>
      </c>
      <c r="F7523" s="43">
        <f>IF($E7523=0,0,YEAR($E7523))</f>
      </c>
      <c r="G7523" s="43">
        <f>IF(INDEX(DarlBindung,16)="",1,IF($E7523&lt;=INDEX(DarlBindung,16),1,0))</f>
      </c>
      <c r="H7523" s="43">
        <f>IF($G7523=1,INDEX(DarlSollzins,16),INDEX(DarlAnschluss,16))</f>
      </c>
      <c r="I7523" s="43">
        <f>IF(INDEX(DarlBelegt,16)=0,0,IF(INDEX(DarlOhneTilgung,16)=1,IF(INDEX(DarlBindung,16)="",1,$G7523),IF($J7523&gt;0.005,1,0)))</f>
      </c>
      <c r="J7523" s="43">
        <f>IF($I7522=0,0,$R7522)</f>
      </c>
      <c r="K7523" s="43">
        <f>IF($I7523=0,0,IF(INDEX(DarlOhneTilgung,16)=1,0,IF(AND(INDEX(DarlTilgStart,16)&gt;0,$E7523=INDEX(DarlTilgStart,16)),$J7523*($H7523+INDEX(DarlTilgung,16))/100/12,IF(AND($G7523=0,$G7522=1),MAX($K7522,$J7523*($H7523+1)/100/12),$K7522))))</f>
      </c>
      <c r="L7523" s="43">
        <f>IF($I7523=0,0,$J7523*$H7523/100/12)</f>
      </c>
      <c r="M7523" s="43">
        <f>IF($I7523=0,0,IF(OR(INDEX(DarlOhneTilgung,16)=1,AND(INDEX(DarlTilgStart,16)&gt;0,$E7523&lt;INDEX(DarlTilgStart,16))),0,MIN(MAX(0,$K7523-$L7523),$J7523)))</f>
      </c>
      <c r="N7523" s="43">
        <f>IF($I7523=0,0,MIN(SUMIFS(SondBetrag,SondDarl,16,SondDatum,"&gt;="&amp;$E7523,SondDatum,"&lt;="&amp;EOMONTH($E7523,0)),$J7523-$M7523))</f>
      </c>
      <c r="O7523" s="43">
        <f>IF($I7523=0,0,INDEX(DarlErsatzRate,16))</f>
      </c>
      <c r="P7523" s="43">
        <f>IF($I7523=0,0,$Q7522*INDEX(DarlErsatzZins,16))</f>
      </c>
      <c r="Q7523" s="43">
        <f>IF($I7523=0,0,$Q7522+$P7523+$O7523)</f>
      </c>
      <c r="R7523" s="43">
        <f>IF($I7523=0,0,$J7523-$M7523-$N7523)</f>
      </c>
    </row>
    <row r="7524">
      <c r="A7524"/>
      <c r="B7524">
        <v>16</v>
      </c>
      <c r="C7524" s="43">
        <f>INDEX(DarlObj,16)</f>
      </c>
      <c r="D7524">
        <v>321</v>
      </c>
      <c r="E7524" s="51">
        <f>IF(INDEX(DarlBelegt,16)=0,0,EOMONTH(INDEX(DarlAuszahlung,16),320)+1)</f>
      </c>
      <c r="F7524" s="43">
        <f>IF($E7524=0,0,YEAR($E7524))</f>
      </c>
      <c r="G7524" s="43">
        <f>IF(INDEX(DarlBindung,16)="",1,IF($E7524&lt;=INDEX(DarlBindung,16),1,0))</f>
      </c>
      <c r="H7524" s="43">
        <f>IF($G7524=1,INDEX(DarlSollzins,16),INDEX(DarlAnschluss,16))</f>
      </c>
      <c r="I7524" s="43">
        <f>IF(INDEX(DarlBelegt,16)=0,0,IF(INDEX(DarlOhneTilgung,16)=1,IF(INDEX(DarlBindung,16)="",1,$G7524),IF($J7524&gt;0.005,1,0)))</f>
      </c>
      <c r="J7524" s="43">
        <f>IF($I7523=0,0,$R7523)</f>
      </c>
      <c r="K7524" s="43">
        <f>IF($I7524=0,0,IF(INDEX(DarlOhneTilgung,16)=1,0,IF(AND(INDEX(DarlTilgStart,16)&gt;0,$E7524=INDEX(DarlTilgStart,16)),$J7524*($H7524+INDEX(DarlTilgung,16))/100/12,IF(AND($G7524=0,$G7523=1),MAX($K7523,$J7524*($H7524+1)/100/12),$K7523))))</f>
      </c>
      <c r="L7524" s="43">
        <f>IF($I7524=0,0,$J7524*$H7524/100/12)</f>
      </c>
      <c r="M7524" s="43">
        <f>IF($I7524=0,0,IF(OR(INDEX(DarlOhneTilgung,16)=1,AND(INDEX(DarlTilgStart,16)&gt;0,$E7524&lt;INDEX(DarlTilgStart,16))),0,MIN(MAX(0,$K7524-$L7524),$J7524)))</f>
      </c>
      <c r="N7524" s="43">
        <f>IF($I7524=0,0,MIN(SUMIFS(SondBetrag,SondDarl,16,SondDatum,"&gt;="&amp;$E7524,SondDatum,"&lt;="&amp;EOMONTH($E7524,0)),$J7524-$M7524))</f>
      </c>
      <c r="O7524" s="43">
        <f>IF($I7524=0,0,INDEX(DarlErsatzRate,16))</f>
      </c>
      <c r="P7524" s="43">
        <f>IF($I7524=0,0,$Q7523*INDEX(DarlErsatzZins,16))</f>
      </c>
      <c r="Q7524" s="43">
        <f>IF($I7524=0,0,$Q7523+$P7524+$O7524)</f>
      </c>
      <c r="R7524" s="43">
        <f>IF($I7524=0,0,$J7524-$M7524-$N7524)</f>
      </c>
    </row>
    <row r="7525">
      <c r="A7525"/>
      <c r="B7525">
        <v>16</v>
      </c>
      <c r="C7525" s="43">
        <f>INDEX(DarlObj,16)</f>
      </c>
      <c r="D7525">
        <v>322</v>
      </c>
      <c r="E7525" s="51">
        <f>IF(INDEX(DarlBelegt,16)=0,0,EOMONTH(INDEX(DarlAuszahlung,16),321)+1)</f>
      </c>
      <c r="F7525" s="43">
        <f>IF($E7525=0,0,YEAR($E7525))</f>
      </c>
      <c r="G7525" s="43">
        <f>IF(INDEX(DarlBindung,16)="",1,IF($E7525&lt;=INDEX(DarlBindung,16),1,0))</f>
      </c>
      <c r="H7525" s="43">
        <f>IF($G7525=1,INDEX(DarlSollzins,16),INDEX(DarlAnschluss,16))</f>
      </c>
      <c r="I7525" s="43">
        <f>IF(INDEX(DarlBelegt,16)=0,0,IF(INDEX(DarlOhneTilgung,16)=1,IF(INDEX(DarlBindung,16)="",1,$G7525),IF($J7525&gt;0.005,1,0)))</f>
      </c>
      <c r="J7525" s="43">
        <f>IF($I7524=0,0,$R7524)</f>
      </c>
      <c r="K7525" s="43">
        <f>IF($I7525=0,0,IF(INDEX(DarlOhneTilgung,16)=1,0,IF(AND(INDEX(DarlTilgStart,16)&gt;0,$E7525=INDEX(DarlTilgStart,16)),$J7525*($H7525+INDEX(DarlTilgung,16))/100/12,IF(AND($G7525=0,$G7524=1),MAX($K7524,$J7525*($H7525+1)/100/12),$K7524))))</f>
      </c>
      <c r="L7525" s="43">
        <f>IF($I7525=0,0,$J7525*$H7525/100/12)</f>
      </c>
      <c r="M7525" s="43">
        <f>IF($I7525=0,0,IF(OR(INDEX(DarlOhneTilgung,16)=1,AND(INDEX(DarlTilgStart,16)&gt;0,$E7525&lt;INDEX(DarlTilgStart,16))),0,MIN(MAX(0,$K7525-$L7525),$J7525)))</f>
      </c>
      <c r="N7525" s="43">
        <f>IF($I7525=0,0,MIN(SUMIFS(SondBetrag,SondDarl,16,SondDatum,"&gt;="&amp;$E7525,SondDatum,"&lt;="&amp;EOMONTH($E7525,0)),$J7525-$M7525))</f>
      </c>
      <c r="O7525" s="43">
        <f>IF($I7525=0,0,INDEX(DarlErsatzRate,16))</f>
      </c>
      <c r="P7525" s="43">
        <f>IF($I7525=0,0,$Q7524*INDEX(DarlErsatzZins,16))</f>
      </c>
      <c r="Q7525" s="43">
        <f>IF($I7525=0,0,$Q7524+$P7525+$O7525)</f>
      </c>
      <c r="R7525" s="43">
        <f>IF($I7525=0,0,$J7525-$M7525-$N7525)</f>
      </c>
    </row>
    <row r="7526">
      <c r="A7526"/>
      <c r="B7526">
        <v>16</v>
      </c>
      <c r="C7526" s="43">
        <f>INDEX(DarlObj,16)</f>
      </c>
      <c r="D7526">
        <v>323</v>
      </c>
      <c r="E7526" s="51">
        <f>IF(INDEX(DarlBelegt,16)=0,0,EOMONTH(INDEX(DarlAuszahlung,16),322)+1)</f>
      </c>
      <c r="F7526" s="43">
        <f>IF($E7526=0,0,YEAR($E7526))</f>
      </c>
      <c r="G7526" s="43">
        <f>IF(INDEX(DarlBindung,16)="",1,IF($E7526&lt;=INDEX(DarlBindung,16),1,0))</f>
      </c>
      <c r="H7526" s="43">
        <f>IF($G7526=1,INDEX(DarlSollzins,16),INDEX(DarlAnschluss,16))</f>
      </c>
      <c r="I7526" s="43">
        <f>IF(INDEX(DarlBelegt,16)=0,0,IF(INDEX(DarlOhneTilgung,16)=1,IF(INDEX(DarlBindung,16)="",1,$G7526),IF($J7526&gt;0.005,1,0)))</f>
      </c>
      <c r="J7526" s="43">
        <f>IF($I7525=0,0,$R7525)</f>
      </c>
      <c r="K7526" s="43">
        <f>IF($I7526=0,0,IF(INDEX(DarlOhneTilgung,16)=1,0,IF(AND(INDEX(DarlTilgStart,16)&gt;0,$E7526=INDEX(DarlTilgStart,16)),$J7526*($H7526+INDEX(DarlTilgung,16))/100/12,IF(AND($G7526=0,$G7525=1),MAX($K7525,$J7526*($H7526+1)/100/12),$K7525))))</f>
      </c>
      <c r="L7526" s="43">
        <f>IF($I7526=0,0,$J7526*$H7526/100/12)</f>
      </c>
      <c r="M7526" s="43">
        <f>IF($I7526=0,0,IF(OR(INDEX(DarlOhneTilgung,16)=1,AND(INDEX(DarlTilgStart,16)&gt;0,$E7526&lt;INDEX(DarlTilgStart,16))),0,MIN(MAX(0,$K7526-$L7526),$J7526)))</f>
      </c>
      <c r="N7526" s="43">
        <f>IF($I7526=0,0,MIN(SUMIFS(SondBetrag,SondDarl,16,SondDatum,"&gt;="&amp;$E7526,SondDatum,"&lt;="&amp;EOMONTH($E7526,0)),$J7526-$M7526))</f>
      </c>
      <c r="O7526" s="43">
        <f>IF($I7526=0,0,INDEX(DarlErsatzRate,16))</f>
      </c>
      <c r="P7526" s="43">
        <f>IF($I7526=0,0,$Q7525*INDEX(DarlErsatzZins,16))</f>
      </c>
      <c r="Q7526" s="43">
        <f>IF($I7526=0,0,$Q7525+$P7526+$O7526)</f>
      </c>
      <c r="R7526" s="43">
        <f>IF($I7526=0,0,$J7526-$M7526-$N7526)</f>
      </c>
    </row>
    <row r="7527">
      <c r="A7527"/>
      <c r="B7527">
        <v>16</v>
      </c>
      <c r="C7527" s="43">
        <f>INDEX(DarlObj,16)</f>
      </c>
      <c r="D7527">
        <v>324</v>
      </c>
      <c r="E7527" s="51">
        <f>IF(INDEX(DarlBelegt,16)=0,0,EOMONTH(INDEX(DarlAuszahlung,16),323)+1)</f>
      </c>
      <c r="F7527" s="43">
        <f>IF($E7527=0,0,YEAR($E7527))</f>
      </c>
      <c r="G7527" s="43">
        <f>IF(INDEX(DarlBindung,16)="",1,IF($E7527&lt;=INDEX(DarlBindung,16),1,0))</f>
      </c>
      <c r="H7527" s="43">
        <f>IF($G7527=1,INDEX(DarlSollzins,16),INDEX(DarlAnschluss,16))</f>
      </c>
      <c r="I7527" s="43">
        <f>IF(INDEX(DarlBelegt,16)=0,0,IF(INDEX(DarlOhneTilgung,16)=1,IF(INDEX(DarlBindung,16)="",1,$G7527),IF($J7527&gt;0.005,1,0)))</f>
      </c>
      <c r="J7527" s="43">
        <f>IF($I7526=0,0,$R7526)</f>
      </c>
      <c r="K7527" s="43">
        <f>IF($I7527=0,0,IF(INDEX(DarlOhneTilgung,16)=1,0,IF(AND(INDEX(DarlTilgStart,16)&gt;0,$E7527=INDEX(DarlTilgStart,16)),$J7527*($H7527+INDEX(DarlTilgung,16))/100/12,IF(AND($G7527=0,$G7526=1),MAX($K7526,$J7527*($H7527+1)/100/12),$K7526))))</f>
      </c>
      <c r="L7527" s="43">
        <f>IF($I7527=0,0,$J7527*$H7527/100/12)</f>
      </c>
      <c r="M7527" s="43">
        <f>IF($I7527=0,0,IF(OR(INDEX(DarlOhneTilgung,16)=1,AND(INDEX(DarlTilgStart,16)&gt;0,$E7527&lt;INDEX(DarlTilgStart,16))),0,MIN(MAX(0,$K7527-$L7527),$J7527)))</f>
      </c>
      <c r="N7527" s="43">
        <f>IF($I7527=0,0,MIN(SUMIFS(SondBetrag,SondDarl,16,SondDatum,"&gt;="&amp;$E7527,SondDatum,"&lt;="&amp;EOMONTH($E7527,0)),$J7527-$M7527))</f>
      </c>
      <c r="O7527" s="43">
        <f>IF($I7527=0,0,INDEX(DarlErsatzRate,16))</f>
      </c>
      <c r="P7527" s="43">
        <f>IF($I7527=0,0,$Q7526*INDEX(DarlErsatzZins,16))</f>
      </c>
      <c r="Q7527" s="43">
        <f>IF($I7527=0,0,$Q7526+$P7527+$O7527)</f>
      </c>
      <c r="R7527" s="43">
        <f>IF($I7527=0,0,$J7527-$M7527-$N7527)</f>
      </c>
    </row>
    <row r="7528">
      <c r="A7528"/>
      <c r="B7528">
        <v>16</v>
      </c>
      <c r="C7528" s="43">
        <f>INDEX(DarlObj,16)</f>
      </c>
      <c r="D7528">
        <v>325</v>
      </c>
      <c r="E7528" s="51">
        <f>IF(INDEX(DarlBelegt,16)=0,0,EOMONTH(INDEX(DarlAuszahlung,16),324)+1)</f>
      </c>
      <c r="F7528" s="43">
        <f>IF($E7528=0,0,YEAR($E7528))</f>
      </c>
      <c r="G7528" s="43">
        <f>IF(INDEX(DarlBindung,16)="",1,IF($E7528&lt;=INDEX(DarlBindung,16),1,0))</f>
      </c>
      <c r="H7528" s="43">
        <f>IF($G7528=1,INDEX(DarlSollzins,16),INDEX(DarlAnschluss,16))</f>
      </c>
      <c r="I7528" s="43">
        <f>IF(INDEX(DarlBelegt,16)=0,0,IF(INDEX(DarlOhneTilgung,16)=1,IF(INDEX(DarlBindung,16)="",1,$G7528),IF($J7528&gt;0.005,1,0)))</f>
      </c>
      <c r="J7528" s="43">
        <f>IF($I7527=0,0,$R7527)</f>
      </c>
      <c r="K7528" s="43">
        <f>IF($I7528=0,0,IF(INDEX(DarlOhneTilgung,16)=1,0,IF(AND(INDEX(DarlTilgStart,16)&gt;0,$E7528=INDEX(DarlTilgStart,16)),$J7528*($H7528+INDEX(DarlTilgung,16))/100/12,IF(AND($G7528=0,$G7527=1),MAX($K7527,$J7528*($H7528+1)/100/12),$K7527))))</f>
      </c>
      <c r="L7528" s="43">
        <f>IF($I7528=0,0,$J7528*$H7528/100/12)</f>
      </c>
      <c r="M7528" s="43">
        <f>IF($I7528=0,0,IF(OR(INDEX(DarlOhneTilgung,16)=1,AND(INDEX(DarlTilgStart,16)&gt;0,$E7528&lt;INDEX(DarlTilgStart,16))),0,MIN(MAX(0,$K7528-$L7528),$J7528)))</f>
      </c>
      <c r="N7528" s="43">
        <f>IF($I7528=0,0,MIN(SUMIFS(SondBetrag,SondDarl,16,SondDatum,"&gt;="&amp;$E7528,SondDatum,"&lt;="&amp;EOMONTH($E7528,0)),$J7528-$M7528))</f>
      </c>
      <c r="O7528" s="43">
        <f>IF($I7528=0,0,INDEX(DarlErsatzRate,16))</f>
      </c>
      <c r="P7528" s="43">
        <f>IF($I7528=0,0,$Q7527*INDEX(DarlErsatzZins,16))</f>
      </c>
      <c r="Q7528" s="43">
        <f>IF($I7528=0,0,$Q7527+$P7528+$O7528)</f>
      </c>
      <c r="R7528" s="43">
        <f>IF($I7528=0,0,$J7528-$M7528-$N7528)</f>
      </c>
    </row>
    <row r="7529">
      <c r="A7529"/>
      <c r="B7529">
        <v>16</v>
      </c>
      <c r="C7529" s="43">
        <f>INDEX(DarlObj,16)</f>
      </c>
      <c r="D7529">
        <v>326</v>
      </c>
      <c r="E7529" s="51">
        <f>IF(INDEX(DarlBelegt,16)=0,0,EOMONTH(INDEX(DarlAuszahlung,16),325)+1)</f>
      </c>
      <c r="F7529" s="43">
        <f>IF($E7529=0,0,YEAR($E7529))</f>
      </c>
      <c r="G7529" s="43">
        <f>IF(INDEX(DarlBindung,16)="",1,IF($E7529&lt;=INDEX(DarlBindung,16),1,0))</f>
      </c>
      <c r="H7529" s="43">
        <f>IF($G7529=1,INDEX(DarlSollzins,16),INDEX(DarlAnschluss,16))</f>
      </c>
      <c r="I7529" s="43">
        <f>IF(INDEX(DarlBelegt,16)=0,0,IF(INDEX(DarlOhneTilgung,16)=1,IF(INDEX(DarlBindung,16)="",1,$G7529),IF($J7529&gt;0.005,1,0)))</f>
      </c>
      <c r="J7529" s="43">
        <f>IF($I7528=0,0,$R7528)</f>
      </c>
      <c r="K7529" s="43">
        <f>IF($I7529=0,0,IF(INDEX(DarlOhneTilgung,16)=1,0,IF(AND(INDEX(DarlTilgStart,16)&gt;0,$E7529=INDEX(DarlTilgStart,16)),$J7529*($H7529+INDEX(DarlTilgung,16))/100/12,IF(AND($G7529=0,$G7528=1),MAX($K7528,$J7529*($H7529+1)/100/12),$K7528))))</f>
      </c>
      <c r="L7529" s="43">
        <f>IF($I7529=0,0,$J7529*$H7529/100/12)</f>
      </c>
      <c r="M7529" s="43">
        <f>IF($I7529=0,0,IF(OR(INDEX(DarlOhneTilgung,16)=1,AND(INDEX(DarlTilgStart,16)&gt;0,$E7529&lt;INDEX(DarlTilgStart,16))),0,MIN(MAX(0,$K7529-$L7529),$J7529)))</f>
      </c>
      <c r="N7529" s="43">
        <f>IF($I7529=0,0,MIN(SUMIFS(SondBetrag,SondDarl,16,SondDatum,"&gt;="&amp;$E7529,SondDatum,"&lt;="&amp;EOMONTH($E7529,0)),$J7529-$M7529))</f>
      </c>
      <c r="O7529" s="43">
        <f>IF($I7529=0,0,INDEX(DarlErsatzRate,16))</f>
      </c>
      <c r="P7529" s="43">
        <f>IF($I7529=0,0,$Q7528*INDEX(DarlErsatzZins,16))</f>
      </c>
      <c r="Q7529" s="43">
        <f>IF($I7529=0,0,$Q7528+$P7529+$O7529)</f>
      </c>
      <c r="R7529" s="43">
        <f>IF($I7529=0,0,$J7529-$M7529-$N7529)</f>
      </c>
    </row>
    <row r="7530">
      <c r="A7530"/>
      <c r="B7530">
        <v>16</v>
      </c>
      <c r="C7530" s="43">
        <f>INDEX(DarlObj,16)</f>
      </c>
      <c r="D7530">
        <v>327</v>
      </c>
      <c r="E7530" s="51">
        <f>IF(INDEX(DarlBelegt,16)=0,0,EOMONTH(INDEX(DarlAuszahlung,16),326)+1)</f>
      </c>
      <c r="F7530" s="43">
        <f>IF($E7530=0,0,YEAR($E7530))</f>
      </c>
      <c r="G7530" s="43">
        <f>IF(INDEX(DarlBindung,16)="",1,IF($E7530&lt;=INDEX(DarlBindung,16),1,0))</f>
      </c>
      <c r="H7530" s="43">
        <f>IF($G7530=1,INDEX(DarlSollzins,16),INDEX(DarlAnschluss,16))</f>
      </c>
      <c r="I7530" s="43">
        <f>IF(INDEX(DarlBelegt,16)=0,0,IF(INDEX(DarlOhneTilgung,16)=1,IF(INDEX(DarlBindung,16)="",1,$G7530),IF($J7530&gt;0.005,1,0)))</f>
      </c>
      <c r="J7530" s="43">
        <f>IF($I7529=0,0,$R7529)</f>
      </c>
      <c r="K7530" s="43">
        <f>IF($I7530=0,0,IF(INDEX(DarlOhneTilgung,16)=1,0,IF(AND(INDEX(DarlTilgStart,16)&gt;0,$E7530=INDEX(DarlTilgStart,16)),$J7530*($H7530+INDEX(DarlTilgung,16))/100/12,IF(AND($G7530=0,$G7529=1),MAX($K7529,$J7530*($H7530+1)/100/12),$K7529))))</f>
      </c>
      <c r="L7530" s="43">
        <f>IF($I7530=0,0,$J7530*$H7530/100/12)</f>
      </c>
      <c r="M7530" s="43">
        <f>IF($I7530=0,0,IF(OR(INDEX(DarlOhneTilgung,16)=1,AND(INDEX(DarlTilgStart,16)&gt;0,$E7530&lt;INDEX(DarlTilgStart,16))),0,MIN(MAX(0,$K7530-$L7530),$J7530)))</f>
      </c>
      <c r="N7530" s="43">
        <f>IF($I7530=0,0,MIN(SUMIFS(SondBetrag,SondDarl,16,SondDatum,"&gt;="&amp;$E7530,SondDatum,"&lt;="&amp;EOMONTH($E7530,0)),$J7530-$M7530))</f>
      </c>
      <c r="O7530" s="43">
        <f>IF($I7530=0,0,INDEX(DarlErsatzRate,16))</f>
      </c>
      <c r="P7530" s="43">
        <f>IF($I7530=0,0,$Q7529*INDEX(DarlErsatzZins,16))</f>
      </c>
      <c r="Q7530" s="43">
        <f>IF($I7530=0,0,$Q7529+$P7530+$O7530)</f>
      </c>
      <c r="R7530" s="43">
        <f>IF($I7530=0,0,$J7530-$M7530-$N7530)</f>
      </c>
    </row>
    <row r="7531">
      <c r="A7531"/>
      <c r="B7531">
        <v>16</v>
      </c>
      <c r="C7531" s="43">
        <f>INDEX(DarlObj,16)</f>
      </c>
      <c r="D7531">
        <v>328</v>
      </c>
      <c r="E7531" s="51">
        <f>IF(INDEX(DarlBelegt,16)=0,0,EOMONTH(INDEX(DarlAuszahlung,16),327)+1)</f>
      </c>
      <c r="F7531" s="43">
        <f>IF($E7531=0,0,YEAR($E7531))</f>
      </c>
      <c r="G7531" s="43">
        <f>IF(INDEX(DarlBindung,16)="",1,IF($E7531&lt;=INDEX(DarlBindung,16),1,0))</f>
      </c>
      <c r="H7531" s="43">
        <f>IF($G7531=1,INDEX(DarlSollzins,16),INDEX(DarlAnschluss,16))</f>
      </c>
      <c r="I7531" s="43">
        <f>IF(INDEX(DarlBelegt,16)=0,0,IF(INDEX(DarlOhneTilgung,16)=1,IF(INDEX(DarlBindung,16)="",1,$G7531),IF($J7531&gt;0.005,1,0)))</f>
      </c>
      <c r="J7531" s="43">
        <f>IF($I7530=0,0,$R7530)</f>
      </c>
      <c r="K7531" s="43">
        <f>IF($I7531=0,0,IF(INDEX(DarlOhneTilgung,16)=1,0,IF(AND(INDEX(DarlTilgStart,16)&gt;0,$E7531=INDEX(DarlTilgStart,16)),$J7531*($H7531+INDEX(DarlTilgung,16))/100/12,IF(AND($G7531=0,$G7530=1),MAX($K7530,$J7531*($H7531+1)/100/12),$K7530))))</f>
      </c>
      <c r="L7531" s="43">
        <f>IF($I7531=0,0,$J7531*$H7531/100/12)</f>
      </c>
      <c r="M7531" s="43">
        <f>IF($I7531=0,0,IF(OR(INDEX(DarlOhneTilgung,16)=1,AND(INDEX(DarlTilgStart,16)&gt;0,$E7531&lt;INDEX(DarlTilgStart,16))),0,MIN(MAX(0,$K7531-$L7531),$J7531)))</f>
      </c>
      <c r="N7531" s="43">
        <f>IF($I7531=0,0,MIN(SUMIFS(SondBetrag,SondDarl,16,SondDatum,"&gt;="&amp;$E7531,SondDatum,"&lt;="&amp;EOMONTH($E7531,0)),$J7531-$M7531))</f>
      </c>
      <c r="O7531" s="43">
        <f>IF($I7531=0,0,INDEX(DarlErsatzRate,16))</f>
      </c>
      <c r="P7531" s="43">
        <f>IF($I7531=0,0,$Q7530*INDEX(DarlErsatzZins,16))</f>
      </c>
      <c r="Q7531" s="43">
        <f>IF($I7531=0,0,$Q7530+$P7531+$O7531)</f>
      </c>
      <c r="R7531" s="43">
        <f>IF($I7531=0,0,$J7531-$M7531-$N7531)</f>
      </c>
    </row>
    <row r="7532">
      <c r="A7532"/>
      <c r="B7532">
        <v>16</v>
      </c>
      <c r="C7532" s="43">
        <f>INDEX(DarlObj,16)</f>
      </c>
      <c r="D7532">
        <v>329</v>
      </c>
      <c r="E7532" s="51">
        <f>IF(INDEX(DarlBelegt,16)=0,0,EOMONTH(INDEX(DarlAuszahlung,16),328)+1)</f>
      </c>
      <c r="F7532" s="43">
        <f>IF($E7532=0,0,YEAR($E7532))</f>
      </c>
      <c r="G7532" s="43">
        <f>IF(INDEX(DarlBindung,16)="",1,IF($E7532&lt;=INDEX(DarlBindung,16),1,0))</f>
      </c>
      <c r="H7532" s="43">
        <f>IF($G7532=1,INDEX(DarlSollzins,16),INDEX(DarlAnschluss,16))</f>
      </c>
      <c r="I7532" s="43">
        <f>IF(INDEX(DarlBelegt,16)=0,0,IF(INDEX(DarlOhneTilgung,16)=1,IF(INDEX(DarlBindung,16)="",1,$G7532),IF($J7532&gt;0.005,1,0)))</f>
      </c>
      <c r="J7532" s="43">
        <f>IF($I7531=0,0,$R7531)</f>
      </c>
      <c r="K7532" s="43">
        <f>IF($I7532=0,0,IF(INDEX(DarlOhneTilgung,16)=1,0,IF(AND(INDEX(DarlTilgStart,16)&gt;0,$E7532=INDEX(DarlTilgStart,16)),$J7532*($H7532+INDEX(DarlTilgung,16))/100/12,IF(AND($G7532=0,$G7531=1),MAX($K7531,$J7532*($H7532+1)/100/12),$K7531))))</f>
      </c>
      <c r="L7532" s="43">
        <f>IF($I7532=0,0,$J7532*$H7532/100/12)</f>
      </c>
      <c r="M7532" s="43">
        <f>IF($I7532=0,0,IF(OR(INDEX(DarlOhneTilgung,16)=1,AND(INDEX(DarlTilgStart,16)&gt;0,$E7532&lt;INDEX(DarlTilgStart,16))),0,MIN(MAX(0,$K7532-$L7532),$J7532)))</f>
      </c>
      <c r="N7532" s="43">
        <f>IF($I7532=0,0,MIN(SUMIFS(SondBetrag,SondDarl,16,SondDatum,"&gt;="&amp;$E7532,SondDatum,"&lt;="&amp;EOMONTH($E7532,0)),$J7532-$M7532))</f>
      </c>
      <c r="O7532" s="43">
        <f>IF($I7532=0,0,INDEX(DarlErsatzRate,16))</f>
      </c>
      <c r="P7532" s="43">
        <f>IF($I7532=0,0,$Q7531*INDEX(DarlErsatzZins,16))</f>
      </c>
      <c r="Q7532" s="43">
        <f>IF($I7532=0,0,$Q7531+$P7532+$O7532)</f>
      </c>
      <c r="R7532" s="43">
        <f>IF($I7532=0,0,$J7532-$M7532-$N7532)</f>
      </c>
    </row>
    <row r="7533">
      <c r="A7533"/>
      <c r="B7533">
        <v>16</v>
      </c>
      <c r="C7533" s="43">
        <f>INDEX(DarlObj,16)</f>
      </c>
      <c r="D7533">
        <v>330</v>
      </c>
      <c r="E7533" s="51">
        <f>IF(INDEX(DarlBelegt,16)=0,0,EOMONTH(INDEX(DarlAuszahlung,16),329)+1)</f>
      </c>
      <c r="F7533" s="43">
        <f>IF($E7533=0,0,YEAR($E7533))</f>
      </c>
      <c r="G7533" s="43">
        <f>IF(INDEX(DarlBindung,16)="",1,IF($E7533&lt;=INDEX(DarlBindung,16),1,0))</f>
      </c>
      <c r="H7533" s="43">
        <f>IF($G7533=1,INDEX(DarlSollzins,16),INDEX(DarlAnschluss,16))</f>
      </c>
      <c r="I7533" s="43">
        <f>IF(INDEX(DarlBelegt,16)=0,0,IF(INDEX(DarlOhneTilgung,16)=1,IF(INDEX(DarlBindung,16)="",1,$G7533),IF($J7533&gt;0.005,1,0)))</f>
      </c>
      <c r="J7533" s="43">
        <f>IF($I7532=0,0,$R7532)</f>
      </c>
      <c r="K7533" s="43">
        <f>IF($I7533=0,0,IF(INDEX(DarlOhneTilgung,16)=1,0,IF(AND(INDEX(DarlTilgStart,16)&gt;0,$E7533=INDEX(DarlTilgStart,16)),$J7533*($H7533+INDEX(DarlTilgung,16))/100/12,IF(AND($G7533=0,$G7532=1),MAX($K7532,$J7533*($H7533+1)/100/12),$K7532))))</f>
      </c>
      <c r="L7533" s="43">
        <f>IF($I7533=0,0,$J7533*$H7533/100/12)</f>
      </c>
      <c r="M7533" s="43">
        <f>IF($I7533=0,0,IF(OR(INDEX(DarlOhneTilgung,16)=1,AND(INDEX(DarlTilgStart,16)&gt;0,$E7533&lt;INDEX(DarlTilgStart,16))),0,MIN(MAX(0,$K7533-$L7533),$J7533)))</f>
      </c>
      <c r="N7533" s="43">
        <f>IF($I7533=0,0,MIN(SUMIFS(SondBetrag,SondDarl,16,SondDatum,"&gt;="&amp;$E7533,SondDatum,"&lt;="&amp;EOMONTH($E7533,0)),$J7533-$M7533))</f>
      </c>
      <c r="O7533" s="43">
        <f>IF($I7533=0,0,INDEX(DarlErsatzRate,16))</f>
      </c>
      <c r="P7533" s="43">
        <f>IF($I7533=0,0,$Q7532*INDEX(DarlErsatzZins,16))</f>
      </c>
      <c r="Q7533" s="43">
        <f>IF($I7533=0,0,$Q7532+$P7533+$O7533)</f>
      </c>
      <c r="R7533" s="43">
        <f>IF($I7533=0,0,$J7533-$M7533-$N7533)</f>
      </c>
    </row>
    <row r="7534">
      <c r="A7534"/>
      <c r="B7534">
        <v>16</v>
      </c>
      <c r="C7534" s="43">
        <f>INDEX(DarlObj,16)</f>
      </c>
      <c r="D7534">
        <v>331</v>
      </c>
      <c r="E7534" s="51">
        <f>IF(INDEX(DarlBelegt,16)=0,0,EOMONTH(INDEX(DarlAuszahlung,16),330)+1)</f>
      </c>
      <c r="F7534" s="43">
        <f>IF($E7534=0,0,YEAR($E7534))</f>
      </c>
      <c r="G7534" s="43">
        <f>IF(INDEX(DarlBindung,16)="",1,IF($E7534&lt;=INDEX(DarlBindung,16),1,0))</f>
      </c>
      <c r="H7534" s="43">
        <f>IF($G7534=1,INDEX(DarlSollzins,16),INDEX(DarlAnschluss,16))</f>
      </c>
      <c r="I7534" s="43">
        <f>IF(INDEX(DarlBelegt,16)=0,0,IF(INDEX(DarlOhneTilgung,16)=1,IF(INDEX(DarlBindung,16)="",1,$G7534),IF($J7534&gt;0.005,1,0)))</f>
      </c>
      <c r="J7534" s="43">
        <f>IF($I7533=0,0,$R7533)</f>
      </c>
      <c r="K7534" s="43">
        <f>IF($I7534=0,0,IF(INDEX(DarlOhneTilgung,16)=1,0,IF(AND(INDEX(DarlTilgStart,16)&gt;0,$E7534=INDEX(DarlTilgStart,16)),$J7534*($H7534+INDEX(DarlTilgung,16))/100/12,IF(AND($G7534=0,$G7533=1),MAX($K7533,$J7534*($H7534+1)/100/12),$K7533))))</f>
      </c>
      <c r="L7534" s="43">
        <f>IF($I7534=0,0,$J7534*$H7534/100/12)</f>
      </c>
      <c r="M7534" s="43">
        <f>IF($I7534=0,0,IF(OR(INDEX(DarlOhneTilgung,16)=1,AND(INDEX(DarlTilgStart,16)&gt;0,$E7534&lt;INDEX(DarlTilgStart,16))),0,MIN(MAX(0,$K7534-$L7534),$J7534)))</f>
      </c>
      <c r="N7534" s="43">
        <f>IF($I7534=0,0,MIN(SUMIFS(SondBetrag,SondDarl,16,SondDatum,"&gt;="&amp;$E7534,SondDatum,"&lt;="&amp;EOMONTH($E7534,0)),$J7534-$M7534))</f>
      </c>
      <c r="O7534" s="43">
        <f>IF($I7534=0,0,INDEX(DarlErsatzRate,16))</f>
      </c>
      <c r="P7534" s="43">
        <f>IF($I7534=0,0,$Q7533*INDEX(DarlErsatzZins,16))</f>
      </c>
      <c r="Q7534" s="43">
        <f>IF($I7534=0,0,$Q7533+$P7534+$O7534)</f>
      </c>
      <c r="R7534" s="43">
        <f>IF($I7534=0,0,$J7534-$M7534-$N7534)</f>
      </c>
    </row>
    <row r="7535">
      <c r="A7535"/>
      <c r="B7535">
        <v>16</v>
      </c>
      <c r="C7535" s="43">
        <f>INDEX(DarlObj,16)</f>
      </c>
      <c r="D7535">
        <v>332</v>
      </c>
      <c r="E7535" s="51">
        <f>IF(INDEX(DarlBelegt,16)=0,0,EOMONTH(INDEX(DarlAuszahlung,16),331)+1)</f>
      </c>
      <c r="F7535" s="43">
        <f>IF($E7535=0,0,YEAR($E7535))</f>
      </c>
      <c r="G7535" s="43">
        <f>IF(INDEX(DarlBindung,16)="",1,IF($E7535&lt;=INDEX(DarlBindung,16),1,0))</f>
      </c>
      <c r="H7535" s="43">
        <f>IF($G7535=1,INDEX(DarlSollzins,16),INDEX(DarlAnschluss,16))</f>
      </c>
      <c r="I7535" s="43">
        <f>IF(INDEX(DarlBelegt,16)=0,0,IF(INDEX(DarlOhneTilgung,16)=1,IF(INDEX(DarlBindung,16)="",1,$G7535),IF($J7535&gt;0.005,1,0)))</f>
      </c>
      <c r="J7535" s="43">
        <f>IF($I7534=0,0,$R7534)</f>
      </c>
      <c r="K7535" s="43">
        <f>IF($I7535=0,0,IF(INDEX(DarlOhneTilgung,16)=1,0,IF(AND(INDEX(DarlTilgStart,16)&gt;0,$E7535=INDEX(DarlTilgStart,16)),$J7535*($H7535+INDEX(DarlTilgung,16))/100/12,IF(AND($G7535=0,$G7534=1),MAX($K7534,$J7535*($H7535+1)/100/12),$K7534))))</f>
      </c>
      <c r="L7535" s="43">
        <f>IF($I7535=0,0,$J7535*$H7535/100/12)</f>
      </c>
      <c r="M7535" s="43">
        <f>IF($I7535=0,0,IF(OR(INDEX(DarlOhneTilgung,16)=1,AND(INDEX(DarlTilgStart,16)&gt;0,$E7535&lt;INDEX(DarlTilgStart,16))),0,MIN(MAX(0,$K7535-$L7535),$J7535)))</f>
      </c>
      <c r="N7535" s="43">
        <f>IF($I7535=0,0,MIN(SUMIFS(SondBetrag,SondDarl,16,SondDatum,"&gt;="&amp;$E7535,SondDatum,"&lt;="&amp;EOMONTH($E7535,0)),$J7535-$M7535))</f>
      </c>
      <c r="O7535" s="43">
        <f>IF($I7535=0,0,INDEX(DarlErsatzRate,16))</f>
      </c>
      <c r="P7535" s="43">
        <f>IF($I7535=0,0,$Q7534*INDEX(DarlErsatzZins,16))</f>
      </c>
      <c r="Q7535" s="43">
        <f>IF($I7535=0,0,$Q7534+$P7535+$O7535)</f>
      </c>
      <c r="R7535" s="43">
        <f>IF($I7535=0,0,$J7535-$M7535-$N7535)</f>
      </c>
    </row>
    <row r="7536">
      <c r="A7536"/>
      <c r="B7536">
        <v>16</v>
      </c>
      <c r="C7536" s="43">
        <f>INDEX(DarlObj,16)</f>
      </c>
      <c r="D7536">
        <v>333</v>
      </c>
      <c r="E7536" s="51">
        <f>IF(INDEX(DarlBelegt,16)=0,0,EOMONTH(INDEX(DarlAuszahlung,16),332)+1)</f>
      </c>
      <c r="F7536" s="43">
        <f>IF($E7536=0,0,YEAR($E7536))</f>
      </c>
      <c r="G7536" s="43">
        <f>IF(INDEX(DarlBindung,16)="",1,IF($E7536&lt;=INDEX(DarlBindung,16),1,0))</f>
      </c>
      <c r="H7536" s="43">
        <f>IF($G7536=1,INDEX(DarlSollzins,16),INDEX(DarlAnschluss,16))</f>
      </c>
      <c r="I7536" s="43">
        <f>IF(INDEX(DarlBelegt,16)=0,0,IF(INDEX(DarlOhneTilgung,16)=1,IF(INDEX(DarlBindung,16)="",1,$G7536),IF($J7536&gt;0.005,1,0)))</f>
      </c>
      <c r="J7536" s="43">
        <f>IF($I7535=0,0,$R7535)</f>
      </c>
      <c r="K7536" s="43">
        <f>IF($I7536=0,0,IF(INDEX(DarlOhneTilgung,16)=1,0,IF(AND(INDEX(DarlTilgStart,16)&gt;0,$E7536=INDEX(DarlTilgStart,16)),$J7536*($H7536+INDEX(DarlTilgung,16))/100/12,IF(AND($G7536=0,$G7535=1),MAX($K7535,$J7536*($H7536+1)/100/12),$K7535))))</f>
      </c>
      <c r="L7536" s="43">
        <f>IF($I7536=0,0,$J7536*$H7536/100/12)</f>
      </c>
      <c r="M7536" s="43">
        <f>IF($I7536=0,0,IF(OR(INDEX(DarlOhneTilgung,16)=1,AND(INDEX(DarlTilgStart,16)&gt;0,$E7536&lt;INDEX(DarlTilgStart,16))),0,MIN(MAX(0,$K7536-$L7536),$J7536)))</f>
      </c>
      <c r="N7536" s="43">
        <f>IF($I7536=0,0,MIN(SUMIFS(SondBetrag,SondDarl,16,SondDatum,"&gt;="&amp;$E7536,SondDatum,"&lt;="&amp;EOMONTH($E7536,0)),$J7536-$M7536))</f>
      </c>
      <c r="O7536" s="43">
        <f>IF($I7536=0,0,INDEX(DarlErsatzRate,16))</f>
      </c>
      <c r="P7536" s="43">
        <f>IF($I7536=0,0,$Q7535*INDEX(DarlErsatzZins,16))</f>
      </c>
      <c r="Q7536" s="43">
        <f>IF($I7536=0,0,$Q7535+$P7536+$O7536)</f>
      </c>
      <c r="R7536" s="43">
        <f>IF($I7536=0,0,$J7536-$M7536-$N7536)</f>
      </c>
    </row>
    <row r="7537">
      <c r="A7537"/>
      <c r="B7537">
        <v>16</v>
      </c>
      <c r="C7537" s="43">
        <f>INDEX(DarlObj,16)</f>
      </c>
      <c r="D7537">
        <v>334</v>
      </c>
      <c r="E7537" s="51">
        <f>IF(INDEX(DarlBelegt,16)=0,0,EOMONTH(INDEX(DarlAuszahlung,16),333)+1)</f>
      </c>
      <c r="F7537" s="43">
        <f>IF($E7537=0,0,YEAR($E7537))</f>
      </c>
      <c r="G7537" s="43">
        <f>IF(INDEX(DarlBindung,16)="",1,IF($E7537&lt;=INDEX(DarlBindung,16),1,0))</f>
      </c>
      <c r="H7537" s="43">
        <f>IF($G7537=1,INDEX(DarlSollzins,16),INDEX(DarlAnschluss,16))</f>
      </c>
      <c r="I7537" s="43">
        <f>IF(INDEX(DarlBelegt,16)=0,0,IF(INDEX(DarlOhneTilgung,16)=1,IF(INDEX(DarlBindung,16)="",1,$G7537),IF($J7537&gt;0.005,1,0)))</f>
      </c>
      <c r="J7537" s="43">
        <f>IF($I7536=0,0,$R7536)</f>
      </c>
      <c r="K7537" s="43">
        <f>IF($I7537=0,0,IF(INDEX(DarlOhneTilgung,16)=1,0,IF(AND(INDEX(DarlTilgStart,16)&gt;0,$E7537=INDEX(DarlTilgStart,16)),$J7537*($H7537+INDEX(DarlTilgung,16))/100/12,IF(AND($G7537=0,$G7536=1),MAX($K7536,$J7537*($H7537+1)/100/12),$K7536))))</f>
      </c>
      <c r="L7537" s="43">
        <f>IF($I7537=0,0,$J7537*$H7537/100/12)</f>
      </c>
      <c r="M7537" s="43">
        <f>IF($I7537=0,0,IF(OR(INDEX(DarlOhneTilgung,16)=1,AND(INDEX(DarlTilgStart,16)&gt;0,$E7537&lt;INDEX(DarlTilgStart,16))),0,MIN(MAX(0,$K7537-$L7537),$J7537)))</f>
      </c>
      <c r="N7537" s="43">
        <f>IF($I7537=0,0,MIN(SUMIFS(SondBetrag,SondDarl,16,SondDatum,"&gt;="&amp;$E7537,SondDatum,"&lt;="&amp;EOMONTH($E7537,0)),$J7537-$M7537))</f>
      </c>
      <c r="O7537" s="43">
        <f>IF($I7537=0,0,INDEX(DarlErsatzRate,16))</f>
      </c>
      <c r="P7537" s="43">
        <f>IF($I7537=0,0,$Q7536*INDEX(DarlErsatzZins,16))</f>
      </c>
      <c r="Q7537" s="43">
        <f>IF($I7537=0,0,$Q7536+$P7537+$O7537)</f>
      </c>
      <c r="R7537" s="43">
        <f>IF($I7537=0,0,$J7537-$M7537-$N7537)</f>
      </c>
    </row>
    <row r="7538">
      <c r="A7538"/>
      <c r="B7538">
        <v>16</v>
      </c>
      <c r="C7538" s="43">
        <f>INDEX(DarlObj,16)</f>
      </c>
      <c r="D7538">
        <v>335</v>
      </c>
      <c r="E7538" s="51">
        <f>IF(INDEX(DarlBelegt,16)=0,0,EOMONTH(INDEX(DarlAuszahlung,16),334)+1)</f>
      </c>
      <c r="F7538" s="43">
        <f>IF($E7538=0,0,YEAR($E7538))</f>
      </c>
      <c r="G7538" s="43">
        <f>IF(INDEX(DarlBindung,16)="",1,IF($E7538&lt;=INDEX(DarlBindung,16),1,0))</f>
      </c>
      <c r="H7538" s="43">
        <f>IF($G7538=1,INDEX(DarlSollzins,16),INDEX(DarlAnschluss,16))</f>
      </c>
      <c r="I7538" s="43">
        <f>IF(INDEX(DarlBelegt,16)=0,0,IF(INDEX(DarlOhneTilgung,16)=1,IF(INDEX(DarlBindung,16)="",1,$G7538),IF($J7538&gt;0.005,1,0)))</f>
      </c>
      <c r="J7538" s="43">
        <f>IF($I7537=0,0,$R7537)</f>
      </c>
      <c r="K7538" s="43">
        <f>IF($I7538=0,0,IF(INDEX(DarlOhneTilgung,16)=1,0,IF(AND(INDEX(DarlTilgStart,16)&gt;0,$E7538=INDEX(DarlTilgStart,16)),$J7538*($H7538+INDEX(DarlTilgung,16))/100/12,IF(AND($G7538=0,$G7537=1),MAX($K7537,$J7538*($H7538+1)/100/12),$K7537))))</f>
      </c>
      <c r="L7538" s="43">
        <f>IF($I7538=0,0,$J7538*$H7538/100/12)</f>
      </c>
      <c r="M7538" s="43">
        <f>IF($I7538=0,0,IF(OR(INDEX(DarlOhneTilgung,16)=1,AND(INDEX(DarlTilgStart,16)&gt;0,$E7538&lt;INDEX(DarlTilgStart,16))),0,MIN(MAX(0,$K7538-$L7538),$J7538)))</f>
      </c>
      <c r="N7538" s="43">
        <f>IF($I7538=0,0,MIN(SUMIFS(SondBetrag,SondDarl,16,SondDatum,"&gt;="&amp;$E7538,SondDatum,"&lt;="&amp;EOMONTH($E7538,0)),$J7538-$M7538))</f>
      </c>
      <c r="O7538" s="43">
        <f>IF($I7538=0,0,INDEX(DarlErsatzRate,16))</f>
      </c>
      <c r="P7538" s="43">
        <f>IF($I7538=0,0,$Q7537*INDEX(DarlErsatzZins,16))</f>
      </c>
      <c r="Q7538" s="43">
        <f>IF($I7538=0,0,$Q7537+$P7538+$O7538)</f>
      </c>
      <c r="R7538" s="43">
        <f>IF($I7538=0,0,$J7538-$M7538-$N7538)</f>
      </c>
    </row>
    <row r="7539">
      <c r="A7539"/>
      <c r="B7539">
        <v>16</v>
      </c>
      <c r="C7539" s="43">
        <f>INDEX(DarlObj,16)</f>
      </c>
      <c r="D7539">
        <v>336</v>
      </c>
      <c r="E7539" s="51">
        <f>IF(INDEX(DarlBelegt,16)=0,0,EOMONTH(INDEX(DarlAuszahlung,16),335)+1)</f>
      </c>
      <c r="F7539" s="43">
        <f>IF($E7539=0,0,YEAR($E7539))</f>
      </c>
      <c r="G7539" s="43">
        <f>IF(INDEX(DarlBindung,16)="",1,IF($E7539&lt;=INDEX(DarlBindung,16),1,0))</f>
      </c>
      <c r="H7539" s="43">
        <f>IF($G7539=1,INDEX(DarlSollzins,16),INDEX(DarlAnschluss,16))</f>
      </c>
      <c r="I7539" s="43">
        <f>IF(INDEX(DarlBelegt,16)=0,0,IF(INDEX(DarlOhneTilgung,16)=1,IF(INDEX(DarlBindung,16)="",1,$G7539),IF($J7539&gt;0.005,1,0)))</f>
      </c>
      <c r="J7539" s="43">
        <f>IF($I7538=0,0,$R7538)</f>
      </c>
      <c r="K7539" s="43">
        <f>IF($I7539=0,0,IF(INDEX(DarlOhneTilgung,16)=1,0,IF(AND(INDEX(DarlTilgStart,16)&gt;0,$E7539=INDEX(DarlTilgStart,16)),$J7539*($H7539+INDEX(DarlTilgung,16))/100/12,IF(AND($G7539=0,$G7538=1),MAX($K7538,$J7539*($H7539+1)/100/12),$K7538))))</f>
      </c>
      <c r="L7539" s="43">
        <f>IF($I7539=0,0,$J7539*$H7539/100/12)</f>
      </c>
      <c r="M7539" s="43">
        <f>IF($I7539=0,0,IF(OR(INDEX(DarlOhneTilgung,16)=1,AND(INDEX(DarlTilgStart,16)&gt;0,$E7539&lt;INDEX(DarlTilgStart,16))),0,MIN(MAX(0,$K7539-$L7539),$J7539)))</f>
      </c>
      <c r="N7539" s="43">
        <f>IF($I7539=0,0,MIN(SUMIFS(SondBetrag,SondDarl,16,SondDatum,"&gt;="&amp;$E7539,SondDatum,"&lt;="&amp;EOMONTH($E7539,0)),$J7539-$M7539))</f>
      </c>
      <c r="O7539" s="43">
        <f>IF($I7539=0,0,INDEX(DarlErsatzRate,16))</f>
      </c>
      <c r="P7539" s="43">
        <f>IF($I7539=0,0,$Q7538*INDEX(DarlErsatzZins,16))</f>
      </c>
      <c r="Q7539" s="43">
        <f>IF($I7539=0,0,$Q7538+$P7539+$O7539)</f>
      </c>
      <c r="R7539" s="43">
        <f>IF($I7539=0,0,$J7539-$M7539-$N7539)</f>
      </c>
    </row>
    <row r="7540">
      <c r="A7540"/>
      <c r="B7540">
        <v>16</v>
      </c>
      <c r="C7540" s="43">
        <f>INDEX(DarlObj,16)</f>
      </c>
      <c r="D7540">
        <v>337</v>
      </c>
      <c r="E7540" s="51">
        <f>IF(INDEX(DarlBelegt,16)=0,0,EOMONTH(INDEX(DarlAuszahlung,16),336)+1)</f>
      </c>
      <c r="F7540" s="43">
        <f>IF($E7540=0,0,YEAR($E7540))</f>
      </c>
      <c r="G7540" s="43">
        <f>IF(INDEX(DarlBindung,16)="",1,IF($E7540&lt;=INDEX(DarlBindung,16),1,0))</f>
      </c>
      <c r="H7540" s="43">
        <f>IF($G7540=1,INDEX(DarlSollzins,16),INDEX(DarlAnschluss,16))</f>
      </c>
      <c r="I7540" s="43">
        <f>IF(INDEX(DarlBelegt,16)=0,0,IF(INDEX(DarlOhneTilgung,16)=1,IF(INDEX(DarlBindung,16)="",1,$G7540),IF($J7540&gt;0.005,1,0)))</f>
      </c>
      <c r="J7540" s="43">
        <f>IF($I7539=0,0,$R7539)</f>
      </c>
      <c r="K7540" s="43">
        <f>IF($I7540=0,0,IF(INDEX(DarlOhneTilgung,16)=1,0,IF(AND(INDEX(DarlTilgStart,16)&gt;0,$E7540=INDEX(DarlTilgStart,16)),$J7540*($H7540+INDEX(DarlTilgung,16))/100/12,IF(AND($G7540=0,$G7539=1),MAX($K7539,$J7540*($H7540+1)/100/12),$K7539))))</f>
      </c>
      <c r="L7540" s="43">
        <f>IF($I7540=0,0,$J7540*$H7540/100/12)</f>
      </c>
      <c r="M7540" s="43">
        <f>IF($I7540=0,0,IF(OR(INDEX(DarlOhneTilgung,16)=1,AND(INDEX(DarlTilgStart,16)&gt;0,$E7540&lt;INDEX(DarlTilgStart,16))),0,MIN(MAX(0,$K7540-$L7540),$J7540)))</f>
      </c>
      <c r="N7540" s="43">
        <f>IF($I7540=0,0,MIN(SUMIFS(SondBetrag,SondDarl,16,SondDatum,"&gt;="&amp;$E7540,SondDatum,"&lt;="&amp;EOMONTH($E7540,0)),$J7540-$M7540))</f>
      </c>
      <c r="O7540" s="43">
        <f>IF($I7540=0,0,INDEX(DarlErsatzRate,16))</f>
      </c>
      <c r="P7540" s="43">
        <f>IF($I7540=0,0,$Q7539*INDEX(DarlErsatzZins,16))</f>
      </c>
      <c r="Q7540" s="43">
        <f>IF($I7540=0,0,$Q7539+$P7540+$O7540)</f>
      </c>
      <c r="R7540" s="43">
        <f>IF($I7540=0,0,$J7540-$M7540-$N7540)</f>
      </c>
    </row>
    <row r="7541">
      <c r="A7541"/>
      <c r="B7541">
        <v>16</v>
      </c>
      <c r="C7541" s="43">
        <f>INDEX(DarlObj,16)</f>
      </c>
      <c r="D7541">
        <v>338</v>
      </c>
      <c r="E7541" s="51">
        <f>IF(INDEX(DarlBelegt,16)=0,0,EOMONTH(INDEX(DarlAuszahlung,16),337)+1)</f>
      </c>
      <c r="F7541" s="43">
        <f>IF($E7541=0,0,YEAR($E7541))</f>
      </c>
      <c r="G7541" s="43">
        <f>IF(INDEX(DarlBindung,16)="",1,IF($E7541&lt;=INDEX(DarlBindung,16),1,0))</f>
      </c>
      <c r="H7541" s="43">
        <f>IF($G7541=1,INDEX(DarlSollzins,16),INDEX(DarlAnschluss,16))</f>
      </c>
      <c r="I7541" s="43">
        <f>IF(INDEX(DarlBelegt,16)=0,0,IF(INDEX(DarlOhneTilgung,16)=1,IF(INDEX(DarlBindung,16)="",1,$G7541),IF($J7541&gt;0.005,1,0)))</f>
      </c>
      <c r="J7541" s="43">
        <f>IF($I7540=0,0,$R7540)</f>
      </c>
      <c r="K7541" s="43">
        <f>IF($I7541=0,0,IF(INDEX(DarlOhneTilgung,16)=1,0,IF(AND(INDEX(DarlTilgStart,16)&gt;0,$E7541=INDEX(DarlTilgStart,16)),$J7541*($H7541+INDEX(DarlTilgung,16))/100/12,IF(AND($G7541=0,$G7540=1),MAX($K7540,$J7541*($H7541+1)/100/12),$K7540))))</f>
      </c>
      <c r="L7541" s="43">
        <f>IF($I7541=0,0,$J7541*$H7541/100/12)</f>
      </c>
      <c r="M7541" s="43">
        <f>IF($I7541=0,0,IF(OR(INDEX(DarlOhneTilgung,16)=1,AND(INDEX(DarlTilgStart,16)&gt;0,$E7541&lt;INDEX(DarlTilgStart,16))),0,MIN(MAX(0,$K7541-$L7541),$J7541)))</f>
      </c>
      <c r="N7541" s="43">
        <f>IF($I7541=0,0,MIN(SUMIFS(SondBetrag,SondDarl,16,SondDatum,"&gt;="&amp;$E7541,SondDatum,"&lt;="&amp;EOMONTH($E7541,0)),$J7541-$M7541))</f>
      </c>
      <c r="O7541" s="43">
        <f>IF($I7541=0,0,INDEX(DarlErsatzRate,16))</f>
      </c>
      <c r="P7541" s="43">
        <f>IF($I7541=0,0,$Q7540*INDEX(DarlErsatzZins,16))</f>
      </c>
      <c r="Q7541" s="43">
        <f>IF($I7541=0,0,$Q7540+$P7541+$O7541)</f>
      </c>
      <c r="R7541" s="43">
        <f>IF($I7541=0,0,$J7541-$M7541-$N7541)</f>
      </c>
    </row>
    <row r="7542">
      <c r="A7542"/>
      <c r="B7542">
        <v>16</v>
      </c>
      <c r="C7542" s="43">
        <f>INDEX(DarlObj,16)</f>
      </c>
      <c r="D7542">
        <v>339</v>
      </c>
      <c r="E7542" s="51">
        <f>IF(INDEX(DarlBelegt,16)=0,0,EOMONTH(INDEX(DarlAuszahlung,16),338)+1)</f>
      </c>
      <c r="F7542" s="43">
        <f>IF($E7542=0,0,YEAR($E7542))</f>
      </c>
      <c r="G7542" s="43">
        <f>IF(INDEX(DarlBindung,16)="",1,IF($E7542&lt;=INDEX(DarlBindung,16),1,0))</f>
      </c>
      <c r="H7542" s="43">
        <f>IF($G7542=1,INDEX(DarlSollzins,16),INDEX(DarlAnschluss,16))</f>
      </c>
      <c r="I7542" s="43">
        <f>IF(INDEX(DarlBelegt,16)=0,0,IF(INDEX(DarlOhneTilgung,16)=1,IF(INDEX(DarlBindung,16)="",1,$G7542),IF($J7542&gt;0.005,1,0)))</f>
      </c>
      <c r="J7542" s="43">
        <f>IF($I7541=0,0,$R7541)</f>
      </c>
      <c r="K7542" s="43">
        <f>IF($I7542=0,0,IF(INDEX(DarlOhneTilgung,16)=1,0,IF(AND(INDEX(DarlTilgStart,16)&gt;0,$E7542=INDEX(DarlTilgStart,16)),$J7542*($H7542+INDEX(DarlTilgung,16))/100/12,IF(AND($G7542=0,$G7541=1),MAX($K7541,$J7542*($H7542+1)/100/12),$K7541))))</f>
      </c>
      <c r="L7542" s="43">
        <f>IF($I7542=0,0,$J7542*$H7542/100/12)</f>
      </c>
      <c r="M7542" s="43">
        <f>IF($I7542=0,0,IF(OR(INDEX(DarlOhneTilgung,16)=1,AND(INDEX(DarlTilgStart,16)&gt;0,$E7542&lt;INDEX(DarlTilgStart,16))),0,MIN(MAX(0,$K7542-$L7542),$J7542)))</f>
      </c>
      <c r="N7542" s="43">
        <f>IF($I7542=0,0,MIN(SUMIFS(SondBetrag,SondDarl,16,SondDatum,"&gt;="&amp;$E7542,SondDatum,"&lt;="&amp;EOMONTH($E7542,0)),$J7542-$M7542))</f>
      </c>
      <c r="O7542" s="43">
        <f>IF($I7542=0,0,INDEX(DarlErsatzRate,16))</f>
      </c>
      <c r="P7542" s="43">
        <f>IF($I7542=0,0,$Q7541*INDEX(DarlErsatzZins,16))</f>
      </c>
      <c r="Q7542" s="43">
        <f>IF($I7542=0,0,$Q7541+$P7542+$O7542)</f>
      </c>
      <c r="R7542" s="43">
        <f>IF($I7542=0,0,$J7542-$M7542-$N7542)</f>
      </c>
    </row>
    <row r="7543">
      <c r="A7543"/>
      <c r="B7543">
        <v>16</v>
      </c>
      <c r="C7543" s="43">
        <f>INDEX(DarlObj,16)</f>
      </c>
      <c r="D7543">
        <v>340</v>
      </c>
      <c r="E7543" s="51">
        <f>IF(INDEX(DarlBelegt,16)=0,0,EOMONTH(INDEX(DarlAuszahlung,16),339)+1)</f>
      </c>
      <c r="F7543" s="43">
        <f>IF($E7543=0,0,YEAR($E7543))</f>
      </c>
      <c r="G7543" s="43">
        <f>IF(INDEX(DarlBindung,16)="",1,IF($E7543&lt;=INDEX(DarlBindung,16),1,0))</f>
      </c>
      <c r="H7543" s="43">
        <f>IF($G7543=1,INDEX(DarlSollzins,16),INDEX(DarlAnschluss,16))</f>
      </c>
      <c r="I7543" s="43">
        <f>IF(INDEX(DarlBelegt,16)=0,0,IF(INDEX(DarlOhneTilgung,16)=1,IF(INDEX(DarlBindung,16)="",1,$G7543),IF($J7543&gt;0.005,1,0)))</f>
      </c>
      <c r="J7543" s="43">
        <f>IF($I7542=0,0,$R7542)</f>
      </c>
      <c r="K7543" s="43">
        <f>IF($I7543=0,0,IF(INDEX(DarlOhneTilgung,16)=1,0,IF(AND(INDEX(DarlTilgStart,16)&gt;0,$E7543=INDEX(DarlTilgStart,16)),$J7543*($H7543+INDEX(DarlTilgung,16))/100/12,IF(AND($G7543=0,$G7542=1),MAX($K7542,$J7543*($H7543+1)/100/12),$K7542))))</f>
      </c>
      <c r="L7543" s="43">
        <f>IF($I7543=0,0,$J7543*$H7543/100/12)</f>
      </c>
      <c r="M7543" s="43">
        <f>IF($I7543=0,0,IF(OR(INDEX(DarlOhneTilgung,16)=1,AND(INDEX(DarlTilgStart,16)&gt;0,$E7543&lt;INDEX(DarlTilgStart,16))),0,MIN(MAX(0,$K7543-$L7543),$J7543)))</f>
      </c>
      <c r="N7543" s="43">
        <f>IF($I7543=0,0,MIN(SUMIFS(SondBetrag,SondDarl,16,SondDatum,"&gt;="&amp;$E7543,SondDatum,"&lt;="&amp;EOMONTH($E7543,0)),$J7543-$M7543))</f>
      </c>
      <c r="O7543" s="43">
        <f>IF($I7543=0,0,INDEX(DarlErsatzRate,16))</f>
      </c>
      <c r="P7543" s="43">
        <f>IF($I7543=0,0,$Q7542*INDEX(DarlErsatzZins,16))</f>
      </c>
      <c r="Q7543" s="43">
        <f>IF($I7543=0,0,$Q7542+$P7543+$O7543)</f>
      </c>
      <c r="R7543" s="43">
        <f>IF($I7543=0,0,$J7543-$M7543-$N7543)</f>
      </c>
    </row>
    <row r="7544">
      <c r="A7544"/>
      <c r="B7544">
        <v>16</v>
      </c>
      <c r="C7544" s="43">
        <f>INDEX(DarlObj,16)</f>
      </c>
      <c r="D7544">
        <v>341</v>
      </c>
      <c r="E7544" s="51">
        <f>IF(INDEX(DarlBelegt,16)=0,0,EOMONTH(INDEX(DarlAuszahlung,16),340)+1)</f>
      </c>
      <c r="F7544" s="43">
        <f>IF($E7544=0,0,YEAR($E7544))</f>
      </c>
      <c r="G7544" s="43">
        <f>IF(INDEX(DarlBindung,16)="",1,IF($E7544&lt;=INDEX(DarlBindung,16),1,0))</f>
      </c>
      <c r="H7544" s="43">
        <f>IF($G7544=1,INDEX(DarlSollzins,16),INDEX(DarlAnschluss,16))</f>
      </c>
      <c r="I7544" s="43">
        <f>IF(INDEX(DarlBelegt,16)=0,0,IF(INDEX(DarlOhneTilgung,16)=1,IF(INDEX(DarlBindung,16)="",1,$G7544),IF($J7544&gt;0.005,1,0)))</f>
      </c>
      <c r="J7544" s="43">
        <f>IF($I7543=0,0,$R7543)</f>
      </c>
      <c r="K7544" s="43">
        <f>IF($I7544=0,0,IF(INDEX(DarlOhneTilgung,16)=1,0,IF(AND(INDEX(DarlTilgStart,16)&gt;0,$E7544=INDEX(DarlTilgStart,16)),$J7544*($H7544+INDEX(DarlTilgung,16))/100/12,IF(AND($G7544=0,$G7543=1),MAX($K7543,$J7544*($H7544+1)/100/12),$K7543))))</f>
      </c>
      <c r="L7544" s="43">
        <f>IF($I7544=0,0,$J7544*$H7544/100/12)</f>
      </c>
      <c r="M7544" s="43">
        <f>IF($I7544=0,0,IF(OR(INDEX(DarlOhneTilgung,16)=1,AND(INDEX(DarlTilgStart,16)&gt;0,$E7544&lt;INDEX(DarlTilgStart,16))),0,MIN(MAX(0,$K7544-$L7544),$J7544)))</f>
      </c>
      <c r="N7544" s="43">
        <f>IF($I7544=0,0,MIN(SUMIFS(SondBetrag,SondDarl,16,SondDatum,"&gt;="&amp;$E7544,SondDatum,"&lt;="&amp;EOMONTH($E7544,0)),$J7544-$M7544))</f>
      </c>
      <c r="O7544" s="43">
        <f>IF($I7544=0,0,INDEX(DarlErsatzRate,16))</f>
      </c>
      <c r="P7544" s="43">
        <f>IF($I7544=0,0,$Q7543*INDEX(DarlErsatzZins,16))</f>
      </c>
      <c r="Q7544" s="43">
        <f>IF($I7544=0,0,$Q7543+$P7544+$O7544)</f>
      </c>
      <c r="R7544" s="43">
        <f>IF($I7544=0,0,$J7544-$M7544-$N7544)</f>
      </c>
    </row>
    <row r="7545">
      <c r="A7545"/>
      <c r="B7545">
        <v>16</v>
      </c>
      <c r="C7545" s="43">
        <f>INDEX(DarlObj,16)</f>
      </c>
      <c r="D7545">
        <v>342</v>
      </c>
      <c r="E7545" s="51">
        <f>IF(INDEX(DarlBelegt,16)=0,0,EOMONTH(INDEX(DarlAuszahlung,16),341)+1)</f>
      </c>
      <c r="F7545" s="43">
        <f>IF($E7545=0,0,YEAR($E7545))</f>
      </c>
      <c r="G7545" s="43">
        <f>IF(INDEX(DarlBindung,16)="",1,IF($E7545&lt;=INDEX(DarlBindung,16),1,0))</f>
      </c>
      <c r="H7545" s="43">
        <f>IF($G7545=1,INDEX(DarlSollzins,16),INDEX(DarlAnschluss,16))</f>
      </c>
      <c r="I7545" s="43">
        <f>IF(INDEX(DarlBelegt,16)=0,0,IF(INDEX(DarlOhneTilgung,16)=1,IF(INDEX(DarlBindung,16)="",1,$G7545),IF($J7545&gt;0.005,1,0)))</f>
      </c>
      <c r="J7545" s="43">
        <f>IF($I7544=0,0,$R7544)</f>
      </c>
      <c r="K7545" s="43">
        <f>IF($I7545=0,0,IF(INDEX(DarlOhneTilgung,16)=1,0,IF(AND(INDEX(DarlTilgStart,16)&gt;0,$E7545=INDEX(DarlTilgStart,16)),$J7545*($H7545+INDEX(DarlTilgung,16))/100/12,IF(AND($G7545=0,$G7544=1),MAX($K7544,$J7545*($H7545+1)/100/12),$K7544))))</f>
      </c>
      <c r="L7545" s="43">
        <f>IF($I7545=0,0,$J7545*$H7545/100/12)</f>
      </c>
      <c r="M7545" s="43">
        <f>IF($I7545=0,0,IF(OR(INDEX(DarlOhneTilgung,16)=1,AND(INDEX(DarlTilgStart,16)&gt;0,$E7545&lt;INDEX(DarlTilgStart,16))),0,MIN(MAX(0,$K7545-$L7545),$J7545)))</f>
      </c>
      <c r="N7545" s="43">
        <f>IF($I7545=0,0,MIN(SUMIFS(SondBetrag,SondDarl,16,SondDatum,"&gt;="&amp;$E7545,SondDatum,"&lt;="&amp;EOMONTH($E7545,0)),$J7545-$M7545))</f>
      </c>
      <c r="O7545" s="43">
        <f>IF($I7545=0,0,INDEX(DarlErsatzRate,16))</f>
      </c>
      <c r="P7545" s="43">
        <f>IF($I7545=0,0,$Q7544*INDEX(DarlErsatzZins,16))</f>
      </c>
      <c r="Q7545" s="43">
        <f>IF($I7545=0,0,$Q7544+$P7545+$O7545)</f>
      </c>
      <c r="R7545" s="43">
        <f>IF($I7545=0,0,$J7545-$M7545-$N7545)</f>
      </c>
    </row>
    <row r="7546">
      <c r="A7546"/>
      <c r="B7546">
        <v>16</v>
      </c>
      <c r="C7546" s="43">
        <f>INDEX(DarlObj,16)</f>
      </c>
      <c r="D7546">
        <v>343</v>
      </c>
      <c r="E7546" s="51">
        <f>IF(INDEX(DarlBelegt,16)=0,0,EOMONTH(INDEX(DarlAuszahlung,16),342)+1)</f>
      </c>
      <c r="F7546" s="43">
        <f>IF($E7546=0,0,YEAR($E7546))</f>
      </c>
      <c r="G7546" s="43">
        <f>IF(INDEX(DarlBindung,16)="",1,IF($E7546&lt;=INDEX(DarlBindung,16),1,0))</f>
      </c>
      <c r="H7546" s="43">
        <f>IF($G7546=1,INDEX(DarlSollzins,16),INDEX(DarlAnschluss,16))</f>
      </c>
      <c r="I7546" s="43">
        <f>IF(INDEX(DarlBelegt,16)=0,0,IF(INDEX(DarlOhneTilgung,16)=1,IF(INDEX(DarlBindung,16)="",1,$G7546),IF($J7546&gt;0.005,1,0)))</f>
      </c>
      <c r="J7546" s="43">
        <f>IF($I7545=0,0,$R7545)</f>
      </c>
      <c r="K7546" s="43">
        <f>IF($I7546=0,0,IF(INDEX(DarlOhneTilgung,16)=1,0,IF(AND(INDEX(DarlTilgStart,16)&gt;0,$E7546=INDEX(DarlTilgStart,16)),$J7546*($H7546+INDEX(DarlTilgung,16))/100/12,IF(AND($G7546=0,$G7545=1),MAX($K7545,$J7546*($H7546+1)/100/12),$K7545))))</f>
      </c>
      <c r="L7546" s="43">
        <f>IF($I7546=0,0,$J7546*$H7546/100/12)</f>
      </c>
      <c r="M7546" s="43">
        <f>IF($I7546=0,0,IF(OR(INDEX(DarlOhneTilgung,16)=1,AND(INDEX(DarlTilgStart,16)&gt;0,$E7546&lt;INDEX(DarlTilgStart,16))),0,MIN(MAX(0,$K7546-$L7546),$J7546)))</f>
      </c>
      <c r="N7546" s="43">
        <f>IF($I7546=0,0,MIN(SUMIFS(SondBetrag,SondDarl,16,SondDatum,"&gt;="&amp;$E7546,SondDatum,"&lt;="&amp;EOMONTH($E7546,0)),$J7546-$M7546))</f>
      </c>
      <c r="O7546" s="43">
        <f>IF($I7546=0,0,INDEX(DarlErsatzRate,16))</f>
      </c>
      <c r="P7546" s="43">
        <f>IF($I7546=0,0,$Q7545*INDEX(DarlErsatzZins,16))</f>
      </c>
      <c r="Q7546" s="43">
        <f>IF($I7546=0,0,$Q7545+$P7546+$O7546)</f>
      </c>
      <c r="R7546" s="43">
        <f>IF($I7546=0,0,$J7546-$M7546-$N7546)</f>
      </c>
    </row>
    <row r="7547">
      <c r="A7547"/>
      <c r="B7547">
        <v>16</v>
      </c>
      <c r="C7547" s="43">
        <f>INDEX(DarlObj,16)</f>
      </c>
      <c r="D7547">
        <v>344</v>
      </c>
      <c r="E7547" s="51">
        <f>IF(INDEX(DarlBelegt,16)=0,0,EOMONTH(INDEX(DarlAuszahlung,16),343)+1)</f>
      </c>
      <c r="F7547" s="43">
        <f>IF($E7547=0,0,YEAR($E7547))</f>
      </c>
      <c r="G7547" s="43">
        <f>IF(INDEX(DarlBindung,16)="",1,IF($E7547&lt;=INDEX(DarlBindung,16),1,0))</f>
      </c>
      <c r="H7547" s="43">
        <f>IF($G7547=1,INDEX(DarlSollzins,16),INDEX(DarlAnschluss,16))</f>
      </c>
      <c r="I7547" s="43">
        <f>IF(INDEX(DarlBelegt,16)=0,0,IF(INDEX(DarlOhneTilgung,16)=1,IF(INDEX(DarlBindung,16)="",1,$G7547),IF($J7547&gt;0.005,1,0)))</f>
      </c>
      <c r="J7547" s="43">
        <f>IF($I7546=0,0,$R7546)</f>
      </c>
      <c r="K7547" s="43">
        <f>IF($I7547=0,0,IF(INDEX(DarlOhneTilgung,16)=1,0,IF(AND(INDEX(DarlTilgStart,16)&gt;0,$E7547=INDEX(DarlTilgStart,16)),$J7547*($H7547+INDEX(DarlTilgung,16))/100/12,IF(AND($G7547=0,$G7546=1),MAX($K7546,$J7547*($H7547+1)/100/12),$K7546))))</f>
      </c>
      <c r="L7547" s="43">
        <f>IF($I7547=0,0,$J7547*$H7547/100/12)</f>
      </c>
      <c r="M7547" s="43">
        <f>IF($I7547=0,0,IF(OR(INDEX(DarlOhneTilgung,16)=1,AND(INDEX(DarlTilgStart,16)&gt;0,$E7547&lt;INDEX(DarlTilgStart,16))),0,MIN(MAX(0,$K7547-$L7547),$J7547)))</f>
      </c>
      <c r="N7547" s="43">
        <f>IF($I7547=0,0,MIN(SUMIFS(SondBetrag,SondDarl,16,SondDatum,"&gt;="&amp;$E7547,SondDatum,"&lt;="&amp;EOMONTH($E7547,0)),$J7547-$M7547))</f>
      </c>
      <c r="O7547" s="43">
        <f>IF($I7547=0,0,INDEX(DarlErsatzRate,16))</f>
      </c>
      <c r="P7547" s="43">
        <f>IF($I7547=0,0,$Q7546*INDEX(DarlErsatzZins,16))</f>
      </c>
      <c r="Q7547" s="43">
        <f>IF($I7547=0,0,$Q7546+$P7547+$O7547)</f>
      </c>
      <c r="R7547" s="43">
        <f>IF($I7547=0,0,$J7547-$M7547-$N7547)</f>
      </c>
    </row>
    <row r="7548">
      <c r="A7548"/>
      <c r="B7548">
        <v>16</v>
      </c>
      <c r="C7548" s="43">
        <f>INDEX(DarlObj,16)</f>
      </c>
      <c r="D7548">
        <v>345</v>
      </c>
      <c r="E7548" s="51">
        <f>IF(INDEX(DarlBelegt,16)=0,0,EOMONTH(INDEX(DarlAuszahlung,16),344)+1)</f>
      </c>
      <c r="F7548" s="43">
        <f>IF($E7548=0,0,YEAR($E7548))</f>
      </c>
      <c r="G7548" s="43">
        <f>IF(INDEX(DarlBindung,16)="",1,IF($E7548&lt;=INDEX(DarlBindung,16),1,0))</f>
      </c>
      <c r="H7548" s="43">
        <f>IF($G7548=1,INDEX(DarlSollzins,16),INDEX(DarlAnschluss,16))</f>
      </c>
      <c r="I7548" s="43">
        <f>IF(INDEX(DarlBelegt,16)=0,0,IF(INDEX(DarlOhneTilgung,16)=1,IF(INDEX(DarlBindung,16)="",1,$G7548),IF($J7548&gt;0.005,1,0)))</f>
      </c>
      <c r="J7548" s="43">
        <f>IF($I7547=0,0,$R7547)</f>
      </c>
      <c r="K7548" s="43">
        <f>IF($I7548=0,0,IF(INDEX(DarlOhneTilgung,16)=1,0,IF(AND(INDEX(DarlTilgStart,16)&gt;0,$E7548=INDEX(DarlTilgStart,16)),$J7548*($H7548+INDEX(DarlTilgung,16))/100/12,IF(AND($G7548=0,$G7547=1),MAX($K7547,$J7548*($H7548+1)/100/12),$K7547))))</f>
      </c>
      <c r="L7548" s="43">
        <f>IF($I7548=0,0,$J7548*$H7548/100/12)</f>
      </c>
      <c r="M7548" s="43">
        <f>IF($I7548=0,0,IF(OR(INDEX(DarlOhneTilgung,16)=1,AND(INDEX(DarlTilgStart,16)&gt;0,$E7548&lt;INDEX(DarlTilgStart,16))),0,MIN(MAX(0,$K7548-$L7548),$J7548)))</f>
      </c>
      <c r="N7548" s="43">
        <f>IF($I7548=0,0,MIN(SUMIFS(SondBetrag,SondDarl,16,SondDatum,"&gt;="&amp;$E7548,SondDatum,"&lt;="&amp;EOMONTH($E7548,0)),$J7548-$M7548))</f>
      </c>
      <c r="O7548" s="43">
        <f>IF($I7548=0,0,INDEX(DarlErsatzRate,16))</f>
      </c>
      <c r="P7548" s="43">
        <f>IF($I7548=0,0,$Q7547*INDEX(DarlErsatzZins,16))</f>
      </c>
      <c r="Q7548" s="43">
        <f>IF($I7548=0,0,$Q7547+$P7548+$O7548)</f>
      </c>
      <c r="R7548" s="43">
        <f>IF($I7548=0,0,$J7548-$M7548-$N7548)</f>
      </c>
    </row>
    <row r="7549">
      <c r="A7549"/>
      <c r="B7549">
        <v>16</v>
      </c>
      <c r="C7549" s="43">
        <f>INDEX(DarlObj,16)</f>
      </c>
      <c r="D7549">
        <v>346</v>
      </c>
      <c r="E7549" s="51">
        <f>IF(INDEX(DarlBelegt,16)=0,0,EOMONTH(INDEX(DarlAuszahlung,16),345)+1)</f>
      </c>
      <c r="F7549" s="43">
        <f>IF($E7549=0,0,YEAR($E7549))</f>
      </c>
      <c r="G7549" s="43">
        <f>IF(INDEX(DarlBindung,16)="",1,IF($E7549&lt;=INDEX(DarlBindung,16),1,0))</f>
      </c>
      <c r="H7549" s="43">
        <f>IF($G7549=1,INDEX(DarlSollzins,16),INDEX(DarlAnschluss,16))</f>
      </c>
      <c r="I7549" s="43">
        <f>IF(INDEX(DarlBelegt,16)=0,0,IF(INDEX(DarlOhneTilgung,16)=1,IF(INDEX(DarlBindung,16)="",1,$G7549),IF($J7549&gt;0.005,1,0)))</f>
      </c>
      <c r="J7549" s="43">
        <f>IF($I7548=0,0,$R7548)</f>
      </c>
      <c r="K7549" s="43">
        <f>IF($I7549=0,0,IF(INDEX(DarlOhneTilgung,16)=1,0,IF(AND(INDEX(DarlTilgStart,16)&gt;0,$E7549=INDEX(DarlTilgStart,16)),$J7549*($H7549+INDEX(DarlTilgung,16))/100/12,IF(AND($G7549=0,$G7548=1),MAX($K7548,$J7549*($H7549+1)/100/12),$K7548))))</f>
      </c>
      <c r="L7549" s="43">
        <f>IF($I7549=0,0,$J7549*$H7549/100/12)</f>
      </c>
      <c r="M7549" s="43">
        <f>IF($I7549=0,0,IF(OR(INDEX(DarlOhneTilgung,16)=1,AND(INDEX(DarlTilgStart,16)&gt;0,$E7549&lt;INDEX(DarlTilgStart,16))),0,MIN(MAX(0,$K7549-$L7549),$J7549)))</f>
      </c>
      <c r="N7549" s="43">
        <f>IF($I7549=0,0,MIN(SUMIFS(SondBetrag,SondDarl,16,SondDatum,"&gt;="&amp;$E7549,SondDatum,"&lt;="&amp;EOMONTH($E7549,0)),$J7549-$M7549))</f>
      </c>
      <c r="O7549" s="43">
        <f>IF($I7549=0,0,INDEX(DarlErsatzRate,16))</f>
      </c>
      <c r="P7549" s="43">
        <f>IF($I7549=0,0,$Q7548*INDEX(DarlErsatzZins,16))</f>
      </c>
      <c r="Q7549" s="43">
        <f>IF($I7549=0,0,$Q7548+$P7549+$O7549)</f>
      </c>
      <c r="R7549" s="43">
        <f>IF($I7549=0,0,$J7549-$M7549-$N7549)</f>
      </c>
    </row>
    <row r="7550">
      <c r="A7550"/>
      <c r="B7550">
        <v>16</v>
      </c>
      <c r="C7550" s="43">
        <f>INDEX(DarlObj,16)</f>
      </c>
      <c r="D7550">
        <v>347</v>
      </c>
      <c r="E7550" s="51">
        <f>IF(INDEX(DarlBelegt,16)=0,0,EOMONTH(INDEX(DarlAuszahlung,16),346)+1)</f>
      </c>
      <c r="F7550" s="43">
        <f>IF($E7550=0,0,YEAR($E7550))</f>
      </c>
      <c r="G7550" s="43">
        <f>IF(INDEX(DarlBindung,16)="",1,IF($E7550&lt;=INDEX(DarlBindung,16),1,0))</f>
      </c>
      <c r="H7550" s="43">
        <f>IF($G7550=1,INDEX(DarlSollzins,16),INDEX(DarlAnschluss,16))</f>
      </c>
      <c r="I7550" s="43">
        <f>IF(INDEX(DarlBelegt,16)=0,0,IF(INDEX(DarlOhneTilgung,16)=1,IF(INDEX(DarlBindung,16)="",1,$G7550),IF($J7550&gt;0.005,1,0)))</f>
      </c>
      <c r="J7550" s="43">
        <f>IF($I7549=0,0,$R7549)</f>
      </c>
      <c r="K7550" s="43">
        <f>IF($I7550=0,0,IF(INDEX(DarlOhneTilgung,16)=1,0,IF(AND(INDEX(DarlTilgStart,16)&gt;0,$E7550=INDEX(DarlTilgStart,16)),$J7550*($H7550+INDEX(DarlTilgung,16))/100/12,IF(AND($G7550=0,$G7549=1),MAX($K7549,$J7550*($H7550+1)/100/12),$K7549))))</f>
      </c>
      <c r="L7550" s="43">
        <f>IF($I7550=0,0,$J7550*$H7550/100/12)</f>
      </c>
      <c r="M7550" s="43">
        <f>IF($I7550=0,0,IF(OR(INDEX(DarlOhneTilgung,16)=1,AND(INDEX(DarlTilgStart,16)&gt;0,$E7550&lt;INDEX(DarlTilgStart,16))),0,MIN(MAX(0,$K7550-$L7550),$J7550)))</f>
      </c>
      <c r="N7550" s="43">
        <f>IF($I7550=0,0,MIN(SUMIFS(SondBetrag,SondDarl,16,SondDatum,"&gt;="&amp;$E7550,SondDatum,"&lt;="&amp;EOMONTH($E7550,0)),$J7550-$M7550))</f>
      </c>
      <c r="O7550" s="43">
        <f>IF($I7550=0,0,INDEX(DarlErsatzRate,16))</f>
      </c>
      <c r="P7550" s="43">
        <f>IF($I7550=0,0,$Q7549*INDEX(DarlErsatzZins,16))</f>
      </c>
      <c r="Q7550" s="43">
        <f>IF($I7550=0,0,$Q7549+$P7550+$O7550)</f>
      </c>
      <c r="R7550" s="43">
        <f>IF($I7550=0,0,$J7550-$M7550-$N7550)</f>
      </c>
    </row>
    <row r="7551">
      <c r="A7551"/>
      <c r="B7551">
        <v>16</v>
      </c>
      <c r="C7551" s="43">
        <f>INDEX(DarlObj,16)</f>
      </c>
      <c r="D7551">
        <v>348</v>
      </c>
      <c r="E7551" s="51">
        <f>IF(INDEX(DarlBelegt,16)=0,0,EOMONTH(INDEX(DarlAuszahlung,16),347)+1)</f>
      </c>
      <c r="F7551" s="43">
        <f>IF($E7551=0,0,YEAR($E7551))</f>
      </c>
      <c r="G7551" s="43">
        <f>IF(INDEX(DarlBindung,16)="",1,IF($E7551&lt;=INDEX(DarlBindung,16),1,0))</f>
      </c>
      <c r="H7551" s="43">
        <f>IF($G7551=1,INDEX(DarlSollzins,16),INDEX(DarlAnschluss,16))</f>
      </c>
      <c r="I7551" s="43">
        <f>IF(INDEX(DarlBelegt,16)=0,0,IF(INDEX(DarlOhneTilgung,16)=1,IF(INDEX(DarlBindung,16)="",1,$G7551),IF($J7551&gt;0.005,1,0)))</f>
      </c>
      <c r="J7551" s="43">
        <f>IF($I7550=0,0,$R7550)</f>
      </c>
      <c r="K7551" s="43">
        <f>IF($I7551=0,0,IF(INDEX(DarlOhneTilgung,16)=1,0,IF(AND(INDEX(DarlTilgStart,16)&gt;0,$E7551=INDEX(DarlTilgStart,16)),$J7551*($H7551+INDEX(DarlTilgung,16))/100/12,IF(AND($G7551=0,$G7550=1),MAX($K7550,$J7551*($H7551+1)/100/12),$K7550))))</f>
      </c>
      <c r="L7551" s="43">
        <f>IF($I7551=0,0,$J7551*$H7551/100/12)</f>
      </c>
      <c r="M7551" s="43">
        <f>IF($I7551=0,0,IF(OR(INDEX(DarlOhneTilgung,16)=1,AND(INDEX(DarlTilgStart,16)&gt;0,$E7551&lt;INDEX(DarlTilgStart,16))),0,MIN(MAX(0,$K7551-$L7551),$J7551)))</f>
      </c>
      <c r="N7551" s="43">
        <f>IF($I7551=0,0,MIN(SUMIFS(SondBetrag,SondDarl,16,SondDatum,"&gt;="&amp;$E7551,SondDatum,"&lt;="&amp;EOMONTH($E7551,0)),$J7551-$M7551))</f>
      </c>
      <c r="O7551" s="43">
        <f>IF($I7551=0,0,INDEX(DarlErsatzRate,16))</f>
      </c>
      <c r="P7551" s="43">
        <f>IF($I7551=0,0,$Q7550*INDEX(DarlErsatzZins,16))</f>
      </c>
      <c r="Q7551" s="43">
        <f>IF($I7551=0,0,$Q7550+$P7551+$O7551)</f>
      </c>
      <c r="R7551" s="43">
        <f>IF($I7551=0,0,$J7551-$M7551-$N7551)</f>
      </c>
    </row>
    <row r="7552">
      <c r="A7552"/>
      <c r="B7552">
        <v>16</v>
      </c>
      <c r="C7552" s="43">
        <f>INDEX(DarlObj,16)</f>
      </c>
      <c r="D7552">
        <v>349</v>
      </c>
      <c r="E7552" s="51">
        <f>IF(INDEX(DarlBelegt,16)=0,0,EOMONTH(INDEX(DarlAuszahlung,16),348)+1)</f>
      </c>
      <c r="F7552" s="43">
        <f>IF($E7552=0,0,YEAR($E7552))</f>
      </c>
      <c r="G7552" s="43">
        <f>IF(INDEX(DarlBindung,16)="",1,IF($E7552&lt;=INDEX(DarlBindung,16),1,0))</f>
      </c>
      <c r="H7552" s="43">
        <f>IF($G7552=1,INDEX(DarlSollzins,16),INDEX(DarlAnschluss,16))</f>
      </c>
      <c r="I7552" s="43">
        <f>IF(INDEX(DarlBelegt,16)=0,0,IF(INDEX(DarlOhneTilgung,16)=1,IF(INDEX(DarlBindung,16)="",1,$G7552),IF($J7552&gt;0.005,1,0)))</f>
      </c>
      <c r="J7552" s="43">
        <f>IF($I7551=0,0,$R7551)</f>
      </c>
      <c r="K7552" s="43">
        <f>IF($I7552=0,0,IF(INDEX(DarlOhneTilgung,16)=1,0,IF(AND(INDEX(DarlTilgStart,16)&gt;0,$E7552=INDEX(DarlTilgStart,16)),$J7552*($H7552+INDEX(DarlTilgung,16))/100/12,IF(AND($G7552=0,$G7551=1),MAX($K7551,$J7552*($H7552+1)/100/12),$K7551))))</f>
      </c>
      <c r="L7552" s="43">
        <f>IF($I7552=0,0,$J7552*$H7552/100/12)</f>
      </c>
      <c r="M7552" s="43">
        <f>IF($I7552=0,0,IF(OR(INDEX(DarlOhneTilgung,16)=1,AND(INDEX(DarlTilgStart,16)&gt;0,$E7552&lt;INDEX(DarlTilgStart,16))),0,MIN(MAX(0,$K7552-$L7552),$J7552)))</f>
      </c>
      <c r="N7552" s="43">
        <f>IF($I7552=0,0,MIN(SUMIFS(SondBetrag,SondDarl,16,SondDatum,"&gt;="&amp;$E7552,SondDatum,"&lt;="&amp;EOMONTH($E7552,0)),$J7552-$M7552))</f>
      </c>
      <c r="O7552" s="43">
        <f>IF($I7552=0,0,INDEX(DarlErsatzRate,16))</f>
      </c>
      <c r="P7552" s="43">
        <f>IF($I7552=0,0,$Q7551*INDEX(DarlErsatzZins,16))</f>
      </c>
      <c r="Q7552" s="43">
        <f>IF($I7552=0,0,$Q7551+$P7552+$O7552)</f>
      </c>
      <c r="R7552" s="43">
        <f>IF($I7552=0,0,$J7552-$M7552-$N7552)</f>
      </c>
    </row>
    <row r="7553">
      <c r="A7553"/>
      <c r="B7553">
        <v>16</v>
      </c>
      <c r="C7553" s="43">
        <f>INDEX(DarlObj,16)</f>
      </c>
      <c r="D7553">
        <v>350</v>
      </c>
      <c r="E7553" s="51">
        <f>IF(INDEX(DarlBelegt,16)=0,0,EOMONTH(INDEX(DarlAuszahlung,16),349)+1)</f>
      </c>
      <c r="F7553" s="43">
        <f>IF($E7553=0,0,YEAR($E7553))</f>
      </c>
      <c r="G7553" s="43">
        <f>IF(INDEX(DarlBindung,16)="",1,IF($E7553&lt;=INDEX(DarlBindung,16),1,0))</f>
      </c>
      <c r="H7553" s="43">
        <f>IF($G7553=1,INDEX(DarlSollzins,16),INDEX(DarlAnschluss,16))</f>
      </c>
      <c r="I7553" s="43">
        <f>IF(INDEX(DarlBelegt,16)=0,0,IF(INDEX(DarlOhneTilgung,16)=1,IF(INDEX(DarlBindung,16)="",1,$G7553),IF($J7553&gt;0.005,1,0)))</f>
      </c>
      <c r="J7553" s="43">
        <f>IF($I7552=0,0,$R7552)</f>
      </c>
      <c r="K7553" s="43">
        <f>IF($I7553=0,0,IF(INDEX(DarlOhneTilgung,16)=1,0,IF(AND(INDEX(DarlTilgStart,16)&gt;0,$E7553=INDEX(DarlTilgStart,16)),$J7553*($H7553+INDEX(DarlTilgung,16))/100/12,IF(AND($G7553=0,$G7552=1),MAX($K7552,$J7553*($H7553+1)/100/12),$K7552))))</f>
      </c>
      <c r="L7553" s="43">
        <f>IF($I7553=0,0,$J7553*$H7553/100/12)</f>
      </c>
      <c r="M7553" s="43">
        <f>IF($I7553=0,0,IF(OR(INDEX(DarlOhneTilgung,16)=1,AND(INDEX(DarlTilgStart,16)&gt;0,$E7553&lt;INDEX(DarlTilgStart,16))),0,MIN(MAX(0,$K7553-$L7553),$J7553)))</f>
      </c>
      <c r="N7553" s="43">
        <f>IF($I7553=0,0,MIN(SUMIFS(SondBetrag,SondDarl,16,SondDatum,"&gt;="&amp;$E7553,SondDatum,"&lt;="&amp;EOMONTH($E7553,0)),$J7553-$M7553))</f>
      </c>
      <c r="O7553" s="43">
        <f>IF($I7553=0,0,INDEX(DarlErsatzRate,16))</f>
      </c>
      <c r="P7553" s="43">
        <f>IF($I7553=0,0,$Q7552*INDEX(DarlErsatzZins,16))</f>
      </c>
      <c r="Q7553" s="43">
        <f>IF($I7553=0,0,$Q7552+$P7553+$O7553)</f>
      </c>
      <c r="R7553" s="43">
        <f>IF($I7553=0,0,$J7553-$M7553-$N7553)</f>
      </c>
    </row>
    <row r="7554">
      <c r="A7554"/>
      <c r="B7554">
        <v>16</v>
      </c>
      <c r="C7554" s="43">
        <f>INDEX(DarlObj,16)</f>
      </c>
      <c r="D7554">
        <v>351</v>
      </c>
      <c r="E7554" s="51">
        <f>IF(INDEX(DarlBelegt,16)=0,0,EOMONTH(INDEX(DarlAuszahlung,16),350)+1)</f>
      </c>
      <c r="F7554" s="43">
        <f>IF($E7554=0,0,YEAR($E7554))</f>
      </c>
      <c r="G7554" s="43">
        <f>IF(INDEX(DarlBindung,16)="",1,IF($E7554&lt;=INDEX(DarlBindung,16),1,0))</f>
      </c>
      <c r="H7554" s="43">
        <f>IF($G7554=1,INDEX(DarlSollzins,16),INDEX(DarlAnschluss,16))</f>
      </c>
      <c r="I7554" s="43">
        <f>IF(INDEX(DarlBelegt,16)=0,0,IF(INDEX(DarlOhneTilgung,16)=1,IF(INDEX(DarlBindung,16)="",1,$G7554),IF($J7554&gt;0.005,1,0)))</f>
      </c>
      <c r="J7554" s="43">
        <f>IF($I7553=0,0,$R7553)</f>
      </c>
      <c r="K7554" s="43">
        <f>IF($I7554=0,0,IF(INDEX(DarlOhneTilgung,16)=1,0,IF(AND(INDEX(DarlTilgStart,16)&gt;0,$E7554=INDEX(DarlTilgStart,16)),$J7554*($H7554+INDEX(DarlTilgung,16))/100/12,IF(AND($G7554=0,$G7553=1),MAX($K7553,$J7554*($H7554+1)/100/12),$K7553))))</f>
      </c>
      <c r="L7554" s="43">
        <f>IF($I7554=0,0,$J7554*$H7554/100/12)</f>
      </c>
      <c r="M7554" s="43">
        <f>IF($I7554=0,0,IF(OR(INDEX(DarlOhneTilgung,16)=1,AND(INDEX(DarlTilgStart,16)&gt;0,$E7554&lt;INDEX(DarlTilgStart,16))),0,MIN(MAX(0,$K7554-$L7554),$J7554)))</f>
      </c>
      <c r="N7554" s="43">
        <f>IF($I7554=0,0,MIN(SUMIFS(SondBetrag,SondDarl,16,SondDatum,"&gt;="&amp;$E7554,SondDatum,"&lt;="&amp;EOMONTH($E7554,0)),$J7554-$M7554))</f>
      </c>
      <c r="O7554" s="43">
        <f>IF($I7554=0,0,INDEX(DarlErsatzRate,16))</f>
      </c>
      <c r="P7554" s="43">
        <f>IF($I7554=0,0,$Q7553*INDEX(DarlErsatzZins,16))</f>
      </c>
      <c r="Q7554" s="43">
        <f>IF($I7554=0,0,$Q7553+$P7554+$O7554)</f>
      </c>
      <c r="R7554" s="43">
        <f>IF($I7554=0,0,$J7554-$M7554-$N7554)</f>
      </c>
    </row>
    <row r="7555">
      <c r="A7555"/>
      <c r="B7555">
        <v>16</v>
      </c>
      <c r="C7555" s="43">
        <f>INDEX(DarlObj,16)</f>
      </c>
      <c r="D7555">
        <v>352</v>
      </c>
      <c r="E7555" s="51">
        <f>IF(INDEX(DarlBelegt,16)=0,0,EOMONTH(INDEX(DarlAuszahlung,16),351)+1)</f>
      </c>
      <c r="F7555" s="43">
        <f>IF($E7555=0,0,YEAR($E7555))</f>
      </c>
      <c r="G7555" s="43">
        <f>IF(INDEX(DarlBindung,16)="",1,IF($E7555&lt;=INDEX(DarlBindung,16),1,0))</f>
      </c>
      <c r="H7555" s="43">
        <f>IF($G7555=1,INDEX(DarlSollzins,16),INDEX(DarlAnschluss,16))</f>
      </c>
      <c r="I7555" s="43">
        <f>IF(INDEX(DarlBelegt,16)=0,0,IF(INDEX(DarlOhneTilgung,16)=1,IF(INDEX(DarlBindung,16)="",1,$G7555),IF($J7555&gt;0.005,1,0)))</f>
      </c>
      <c r="J7555" s="43">
        <f>IF($I7554=0,0,$R7554)</f>
      </c>
      <c r="K7555" s="43">
        <f>IF($I7555=0,0,IF(INDEX(DarlOhneTilgung,16)=1,0,IF(AND(INDEX(DarlTilgStart,16)&gt;0,$E7555=INDEX(DarlTilgStart,16)),$J7555*($H7555+INDEX(DarlTilgung,16))/100/12,IF(AND($G7555=0,$G7554=1),MAX($K7554,$J7555*($H7555+1)/100/12),$K7554))))</f>
      </c>
      <c r="L7555" s="43">
        <f>IF($I7555=0,0,$J7555*$H7555/100/12)</f>
      </c>
      <c r="M7555" s="43">
        <f>IF($I7555=0,0,IF(OR(INDEX(DarlOhneTilgung,16)=1,AND(INDEX(DarlTilgStart,16)&gt;0,$E7555&lt;INDEX(DarlTilgStart,16))),0,MIN(MAX(0,$K7555-$L7555),$J7555)))</f>
      </c>
      <c r="N7555" s="43">
        <f>IF($I7555=0,0,MIN(SUMIFS(SondBetrag,SondDarl,16,SondDatum,"&gt;="&amp;$E7555,SondDatum,"&lt;="&amp;EOMONTH($E7555,0)),$J7555-$M7555))</f>
      </c>
      <c r="O7555" s="43">
        <f>IF($I7555=0,0,INDEX(DarlErsatzRate,16))</f>
      </c>
      <c r="P7555" s="43">
        <f>IF($I7555=0,0,$Q7554*INDEX(DarlErsatzZins,16))</f>
      </c>
      <c r="Q7555" s="43">
        <f>IF($I7555=0,0,$Q7554+$P7555+$O7555)</f>
      </c>
      <c r="R7555" s="43">
        <f>IF($I7555=0,0,$J7555-$M7555-$N7555)</f>
      </c>
    </row>
    <row r="7556">
      <c r="A7556"/>
      <c r="B7556">
        <v>16</v>
      </c>
      <c r="C7556" s="43">
        <f>INDEX(DarlObj,16)</f>
      </c>
      <c r="D7556">
        <v>353</v>
      </c>
      <c r="E7556" s="51">
        <f>IF(INDEX(DarlBelegt,16)=0,0,EOMONTH(INDEX(DarlAuszahlung,16),352)+1)</f>
      </c>
      <c r="F7556" s="43">
        <f>IF($E7556=0,0,YEAR($E7556))</f>
      </c>
      <c r="G7556" s="43">
        <f>IF(INDEX(DarlBindung,16)="",1,IF($E7556&lt;=INDEX(DarlBindung,16),1,0))</f>
      </c>
      <c r="H7556" s="43">
        <f>IF($G7556=1,INDEX(DarlSollzins,16),INDEX(DarlAnschluss,16))</f>
      </c>
      <c r="I7556" s="43">
        <f>IF(INDEX(DarlBelegt,16)=0,0,IF(INDEX(DarlOhneTilgung,16)=1,IF(INDEX(DarlBindung,16)="",1,$G7556),IF($J7556&gt;0.005,1,0)))</f>
      </c>
      <c r="J7556" s="43">
        <f>IF($I7555=0,0,$R7555)</f>
      </c>
      <c r="K7556" s="43">
        <f>IF($I7556=0,0,IF(INDEX(DarlOhneTilgung,16)=1,0,IF(AND(INDEX(DarlTilgStart,16)&gt;0,$E7556=INDEX(DarlTilgStart,16)),$J7556*($H7556+INDEX(DarlTilgung,16))/100/12,IF(AND($G7556=0,$G7555=1),MAX($K7555,$J7556*($H7556+1)/100/12),$K7555))))</f>
      </c>
      <c r="L7556" s="43">
        <f>IF($I7556=0,0,$J7556*$H7556/100/12)</f>
      </c>
      <c r="M7556" s="43">
        <f>IF($I7556=0,0,IF(OR(INDEX(DarlOhneTilgung,16)=1,AND(INDEX(DarlTilgStart,16)&gt;0,$E7556&lt;INDEX(DarlTilgStart,16))),0,MIN(MAX(0,$K7556-$L7556),$J7556)))</f>
      </c>
      <c r="N7556" s="43">
        <f>IF($I7556=0,0,MIN(SUMIFS(SondBetrag,SondDarl,16,SondDatum,"&gt;="&amp;$E7556,SondDatum,"&lt;="&amp;EOMONTH($E7556,0)),$J7556-$M7556))</f>
      </c>
      <c r="O7556" s="43">
        <f>IF($I7556=0,0,INDEX(DarlErsatzRate,16))</f>
      </c>
      <c r="P7556" s="43">
        <f>IF($I7556=0,0,$Q7555*INDEX(DarlErsatzZins,16))</f>
      </c>
      <c r="Q7556" s="43">
        <f>IF($I7556=0,0,$Q7555+$P7556+$O7556)</f>
      </c>
      <c r="R7556" s="43">
        <f>IF($I7556=0,0,$J7556-$M7556-$N7556)</f>
      </c>
    </row>
    <row r="7557">
      <c r="A7557"/>
      <c r="B7557">
        <v>16</v>
      </c>
      <c r="C7557" s="43">
        <f>INDEX(DarlObj,16)</f>
      </c>
      <c r="D7557">
        <v>354</v>
      </c>
      <c r="E7557" s="51">
        <f>IF(INDEX(DarlBelegt,16)=0,0,EOMONTH(INDEX(DarlAuszahlung,16),353)+1)</f>
      </c>
      <c r="F7557" s="43">
        <f>IF($E7557=0,0,YEAR($E7557))</f>
      </c>
      <c r="G7557" s="43">
        <f>IF(INDEX(DarlBindung,16)="",1,IF($E7557&lt;=INDEX(DarlBindung,16),1,0))</f>
      </c>
      <c r="H7557" s="43">
        <f>IF($G7557=1,INDEX(DarlSollzins,16),INDEX(DarlAnschluss,16))</f>
      </c>
      <c r="I7557" s="43">
        <f>IF(INDEX(DarlBelegt,16)=0,0,IF(INDEX(DarlOhneTilgung,16)=1,IF(INDEX(DarlBindung,16)="",1,$G7557),IF($J7557&gt;0.005,1,0)))</f>
      </c>
      <c r="J7557" s="43">
        <f>IF($I7556=0,0,$R7556)</f>
      </c>
      <c r="K7557" s="43">
        <f>IF($I7557=0,0,IF(INDEX(DarlOhneTilgung,16)=1,0,IF(AND(INDEX(DarlTilgStart,16)&gt;0,$E7557=INDEX(DarlTilgStart,16)),$J7557*($H7557+INDEX(DarlTilgung,16))/100/12,IF(AND($G7557=0,$G7556=1),MAX($K7556,$J7557*($H7557+1)/100/12),$K7556))))</f>
      </c>
      <c r="L7557" s="43">
        <f>IF($I7557=0,0,$J7557*$H7557/100/12)</f>
      </c>
      <c r="M7557" s="43">
        <f>IF($I7557=0,0,IF(OR(INDEX(DarlOhneTilgung,16)=1,AND(INDEX(DarlTilgStart,16)&gt;0,$E7557&lt;INDEX(DarlTilgStart,16))),0,MIN(MAX(0,$K7557-$L7557),$J7557)))</f>
      </c>
      <c r="N7557" s="43">
        <f>IF($I7557=0,0,MIN(SUMIFS(SondBetrag,SondDarl,16,SondDatum,"&gt;="&amp;$E7557,SondDatum,"&lt;="&amp;EOMONTH($E7557,0)),$J7557-$M7557))</f>
      </c>
      <c r="O7557" s="43">
        <f>IF($I7557=0,0,INDEX(DarlErsatzRate,16))</f>
      </c>
      <c r="P7557" s="43">
        <f>IF($I7557=0,0,$Q7556*INDEX(DarlErsatzZins,16))</f>
      </c>
      <c r="Q7557" s="43">
        <f>IF($I7557=0,0,$Q7556+$P7557+$O7557)</f>
      </c>
      <c r="R7557" s="43">
        <f>IF($I7557=0,0,$J7557-$M7557-$N7557)</f>
      </c>
    </row>
    <row r="7558">
      <c r="A7558"/>
      <c r="B7558">
        <v>16</v>
      </c>
      <c r="C7558" s="43">
        <f>INDEX(DarlObj,16)</f>
      </c>
      <c r="D7558">
        <v>355</v>
      </c>
      <c r="E7558" s="51">
        <f>IF(INDEX(DarlBelegt,16)=0,0,EOMONTH(INDEX(DarlAuszahlung,16),354)+1)</f>
      </c>
      <c r="F7558" s="43">
        <f>IF($E7558=0,0,YEAR($E7558))</f>
      </c>
      <c r="G7558" s="43">
        <f>IF(INDEX(DarlBindung,16)="",1,IF($E7558&lt;=INDEX(DarlBindung,16),1,0))</f>
      </c>
      <c r="H7558" s="43">
        <f>IF($G7558=1,INDEX(DarlSollzins,16),INDEX(DarlAnschluss,16))</f>
      </c>
      <c r="I7558" s="43">
        <f>IF(INDEX(DarlBelegt,16)=0,0,IF(INDEX(DarlOhneTilgung,16)=1,IF(INDEX(DarlBindung,16)="",1,$G7558),IF($J7558&gt;0.005,1,0)))</f>
      </c>
      <c r="J7558" s="43">
        <f>IF($I7557=0,0,$R7557)</f>
      </c>
      <c r="K7558" s="43">
        <f>IF($I7558=0,0,IF(INDEX(DarlOhneTilgung,16)=1,0,IF(AND(INDEX(DarlTilgStart,16)&gt;0,$E7558=INDEX(DarlTilgStart,16)),$J7558*($H7558+INDEX(DarlTilgung,16))/100/12,IF(AND($G7558=0,$G7557=1),MAX($K7557,$J7558*($H7558+1)/100/12),$K7557))))</f>
      </c>
      <c r="L7558" s="43">
        <f>IF($I7558=0,0,$J7558*$H7558/100/12)</f>
      </c>
      <c r="M7558" s="43">
        <f>IF($I7558=0,0,IF(OR(INDEX(DarlOhneTilgung,16)=1,AND(INDEX(DarlTilgStart,16)&gt;0,$E7558&lt;INDEX(DarlTilgStart,16))),0,MIN(MAX(0,$K7558-$L7558),$J7558)))</f>
      </c>
      <c r="N7558" s="43">
        <f>IF($I7558=0,0,MIN(SUMIFS(SondBetrag,SondDarl,16,SondDatum,"&gt;="&amp;$E7558,SondDatum,"&lt;="&amp;EOMONTH($E7558,0)),$J7558-$M7558))</f>
      </c>
      <c r="O7558" s="43">
        <f>IF($I7558=0,0,INDEX(DarlErsatzRate,16))</f>
      </c>
      <c r="P7558" s="43">
        <f>IF($I7558=0,0,$Q7557*INDEX(DarlErsatzZins,16))</f>
      </c>
      <c r="Q7558" s="43">
        <f>IF($I7558=0,0,$Q7557+$P7558+$O7558)</f>
      </c>
      <c r="R7558" s="43">
        <f>IF($I7558=0,0,$J7558-$M7558-$N7558)</f>
      </c>
    </row>
    <row r="7559">
      <c r="A7559"/>
      <c r="B7559">
        <v>16</v>
      </c>
      <c r="C7559" s="43">
        <f>INDEX(DarlObj,16)</f>
      </c>
      <c r="D7559">
        <v>356</v>
      </c>
      <c r="E7559" s="51">
        <f>IF(INDEX(DarlBelegt,16)=0,0,EOMONTH(INDEX(DarlAuszahlung,16),355)+1)</f>
      </c>
      <c r="F7559" s="43">
        <f>IF($E7559=0,0,YEAR($E7559))</f>
      </c>
      <c r="G7559" s="43">
        <f>IF(INDEX(DarlBindung,16)="",1,IF($E7559&lt;=INDEX(DarlBindung,16),1,0))</f>
      </c>
      <c r="H7559" s="43">
        <f>IF($G7559=1,INDEX(DarlSollzins,16),INDEX(DarlAnschluss,16))</f>
      </c>
      <c r="I7559" s="43">
        <f>IF(INDEX(DarlBelegt,16)=0,0,IF(INDEX(DarlOhneTilgung,16)=1,IF(INDEX(DarlBindung,16)="",1,$G7559),IF($J7559&gt;0.005,1,0)))</f>
      </c>
      <c r="J7559" s="43">
        <f>IF($I7558=0,0,$R7558)</f>
      </c>
      <c r="K7559" s="43">
        <f>IF($I7559=0,0,IF(INDEX(DarlOhneTilgung,16)=1,0,IF(AND(INDEX(DarlTilgStart,16)&gt;0,$E7559=INDEX(DarlTilgStart,16)),$J7559*($H7559+INDEX(DarlTilgung,16))/100/12,IF(AND($G7559=0,$G7558=1),MAX($K7558,$J7559*($H7559+1)/100/12),$K7558))))</f>
      </c>
      <c r="L7559" s="43">
        <f>IF($I7559=0,0,$J7559*$H7559/100/12)</f>
      </c>
      <c r="M7559" s="43">
        <f>IF($I7559=0,0,IF(OR(INDEX(DarlOhneTilgung,16)=1,AND(INDEX(DarlTilgStart,16)&gt;0,$E7559&lt;INDEX(DarlTilgStart,16))),0,MIN(MAX(0,$K7559-$L7559),$J7559)))</f>
      </c>
      <c r="N7559" s="43">
        <f>IF($I7559=0,0,MIN(SUMIFS(SondBetrag,SondDarl,16,SondDatum,"&gt;="&amp;$E7559,SondDatum,"&lt;="&amp;EOMONTH($E7559,0)),$J7559-$M7559))</f>
      </c>
      <c r="O7559" s="43">
        <f>IF($I7559=0,0,INDEX(DarlErsatzRate,16))</f>
      </c>
      <c r="P7559" s="43">
        <f>IF($I7559=0,0,$Q7558*INDEX(DarlErsatzZins,16))</f>
      </c>
      <c r="Q7559" s="43">
        <f>IF($I7559=0,0,$Q7558+$P7559+$O7559)</f>
      </c>
      <c r="R7559" s="43">
        <f>IF($I7559=0,0,$J7559-$M7559-$N7559)</f>
      </c>
    </row>
    <row r="7560">
      <c r="A7560"/>
      <c r="B7560">
        <v>16</v>
      </c>
      <c r="C7560" s="43">
        <f>INDEX(DarlObj,16)</f>
      </c>
      <c r="D7560">
        <v>357</v>
      </c>
      <c r="E7560" s="51">
        <f>IF(INDEX(DarlBelegt,16)=0,0,EOMONTH(INDEX(DarlAuszahlung,16),356)+1)</f>
      </c>
      <c r="F7560" s="43">
        <f>IF($E7560=0,0,YEAR($E7560))</f>
      </c>
      <c r="G7560" s="43">
        <f>IF(INDEX(DarlBindung,16)="",1,IF($E7560&lt;=INDEX(DarlBindung,16),1,0))</f>
      </c>
      <c r="H7560" s="43">
        <f>IF($G7560=1,INDEX(DarlSollzins,16),INDEX(DarlAnschluss,16))</f>
      </c>
      <c r="I7560" s="43">
        <f>IF(INDEX(DarlBelegt,16)=0,0,IF(INDEX(DarlOhneTilgung,16)=1,IF(INDEX(DarlBindung,16)="",1,$G7560),IF($J7560&gt;0.005,1,0)))</f>
      </c>
      <c r="J7560" s="43">
        <f>IF($I7559=0,0,$R7559)</f>
      </c>
      <c r="K7560" s="43">
        <f>IF($I7560=0,0,IF(INDEX(DarlOhneTilgung,16)=1,0,IF(AND(INDEX(DarlTilgStart,16)&gt;0,$E7560=INDEX(DarlTilgStart,16)),$J7560*($H7560+INDEX(DarlTilgung,16))/100/12,IF(AND($G7560=0,$G7559=1),MAX($K7559,$J7560*($H7560+1)/100/12),$K7559))))</f>
      </c>
      <c r="L7560" s="43">
        <f>IF($I7560=0,0,$J7560*$H7560/100/12)</f>
      </c>
      <c r="M7560" s="43">
        <f>IF($I7560=0,0,IF(OR(INDEX(DarlOhneTilgung,16)=1,AND(INDEX(DarlTilgStart,16)&gt;0,$E7560&lt;INDEX(DarlTilgStart,16))),0,MIN(MAX(0,$K7560-$L7560),$J7560)))</f>
      </c>
      <c r="N7560" s="43">
        <f>IF($I7560=0,0,MIN(SUMIFS(SondBetrag,SondDarl,16,SondDatum,"&gt;="&amp;$E7560,SondDatum,"&lt;="&amp;EOMONTH($E7560,0)),$J7560-$M7560))</f>
      </c>
      <c r="O7560" s="43">
        <f>IF($I7560=0,0,INDEX(DarlErsatzRate,16))</f>
      </c>
      <c r="P7560" s="43">
        <f>IF($I7560=0,0,$Q7559*INDEX(DarlErsatzZins,16))</f>
      </c>
      <c r="Q7560" s="43">
        <f>IF($I7560=0,0,$Q7559+$P7560+$O7560)</f>
      </c>
      <c r="R7560" s="43">
        <f>IF($I7560=0,0,$J7560-$M7560-$N7560)</f>
      </c>
    </row>
    <row r="7561">
      <c r="A7561"/>
      <c r="B7561">
        <v>16</v>
      </c>
      <c r="C7561" s="43">
        <f>INDEX(DarlObj,16)</f>
      </c>
      <c r="D7561">
        <v>358</v>
      </c>
      <c r="E7561" s="51">
        <f>IF(INDEX(DarlBelegt,16)=0,0,EOMONTH(INDEX(DarlAuszahlung,16),357)+1)</f>
      </c>
      <c r="F7561" s="43">
        <f>IF($E7561=0,0,YEAR($E7561))</f>
      </c>
      <c r="G7561" s="43">
        <f>IF(INDEX(DarlBindung,16)="",1,IF($E7561&lt;=INDEX(DarlBindung,16),1,0))</f>
      </c>
      <c r="H7561" s="43">
        <f>IF($G7561=1,INDEX(DarlSollzins,16),INDEX(DarlAnschluss,16))</f>
      </c>
      <c r="I7561" s="43">
        <f>IF(INDEX(DarlBelegt,16)=0,0,IF(INDEX(DarlOhneTilgung,16)=1,IF(INDEX(DarlBindung,16)="",1,$G7561),IF($J7561&gt;0.005,1,0)))</f>
      </c>
      <c r="J7561" s="43">
        <f>IF($I7560=0,0,$R7560)</f>
      </c>
      <c r="K7561" s="43">
        <f>IF($I7561=0,0,IF(INDEX(DarlOhneTilgung,16)=1,0,IF(AND(INDEX(DarlTilgStart,16)&gt;0,$E7561=INDEX(DarlTilgStart,16)),$J7561*($H7561+INDEX(DarlTilgung,16))/100/12,IF(AND($G7561=0,$G7560=1),MAX($K7560,$J7561*($H7561+1)/100/12),$K7560))))</f>
      </c>
      <c r="L7561" s="43">
        <f>IF($I7561=0,0,$J7561*$H7561/100/12)</f>
      </c>
      <c r="M7561" s="43">
        <f>IF($I7561=0,0,IF(OR(INDEX(DarlOhneTilgung,16)=1,AND(INDEX(DarlTilgStart,16)&gt;0,$E7561&lt;INDEX(DarlTilgStart,16))),0,MIN(MAX(0,$K7561-$L7561),$J7561)))</f>
      </c>
      <c r="N7561" s="43">
        <f>IF($I7561=0,0,MIN(SUMIFS(SondBetrag,SondDarl,16,SondDatum,"&gt;="&amp;$E7561,SondDatum,"&lt;="&amp;EOMONTH($E7561,0)),$J7561-$M7561))</f>
      </c>
      <c r="O7561" s="43">
        <f>IF($I7561=0,0,INDEX(DarlErsatzRate,16))</f>
      </c>
      <c r="P7561" s="43">
        <f>IF($I7561=0,0,$Q7560*INDEX(DarlErsatzZins,16))</f>
      </c>
      <c r="Q7561" s="43">
        <f>IF($I7561=0,0,$Q7560+$P7561+$O7561)</f>
      </c>
      <c r="R7561" s="43">
        <f>IF($I7561=0,0,$J7561-$M7561-$N7561)</f>
      </c>
    </row>
    <row r="7562">
      <c r="A7562"/>
      <c r="B7562">
        <v>16</v>
      </c>
      <c r="C7562" s="43">
        <f>INDEX(DarlObj,16)</f>
      </c>
      <c r="D7562">
        <v>359</v>
      </c>
      <c r="E7562" s="51">
        <f>IF(INDEX(DarlBelegt,16)=0,0,EOMONTH(INDEX(DarlAuszahlung,16),358)+1)</f>
      </c>
      <c r="F7562" s="43">
        <f>IF($E7562=0,0,YEAR($E7562))</f>
      </c>
      <c r="G7562" s="43">
        <f>IF(INDEX(DarlBindung,16)="",1,IF($E7562&lt;=INDEX(DarlBindung,16),1,0))</f>
      </c>
      <c r="H7562" s="43">
        <f>IF($G7562=1,INDEX(DarlSollzins,16),INDEX(DarlAnschluss,16))</f>
      </c>
      <c r="I7562" s="43">
        <f>IF(INDEX(DarlBelegt,16)=0,0,IF(INDEX(DarlOhneTilgung,16)=1,IF(INDEX(DarlBindung,16)="",1,$G7562),IF($J7562&gt;0.005,1,0)))</f>
      </c>
      <c r="J7562" s="43">
        <f>IF($I7561=0,0,$R7561)</f>
      </c>
      <c r="K7562" s="43">
        <f>IF($I7562=0,0,IF(INDEX(DarlOhneTilgung,16)=1,0,IF(AND(INDEX(DarlTilgStart,16)&gt;0,$E7562=INDEX(DarlTilgStart,16)),$J7562*($H7562+INDEX(DarlTilgung,16))/100/12,IF(AND($G7562=0,$G7561=1),MAX($K7561,$J7562*($H7562+1)/100/12),$K7561))))</f>
      </c>
      <c r="L7562" s="43">
        <f>IF($I7562=0,0,$J7562*$H7562/100/12)</f>
      </c>
      <c r="M7562" s="43">
        <f>IF($I7562=0,0,IF(OR(INDEX(DarlOhneTilgung,16)=1,AND(INDEX(DarlTilgStart,16)&gt;0,$E7562&lt;INDEX(DarlTilgStart,16))),0,MIN(MAX(0,$K7562-$L7562),$J7562)))</f>
      </c>
      <c r="N7562" s="43">
        <f>IF($I7562=0,0,MIN(SUMIFS(SondBetrag,SondDarl,16,SondDatum,"&gt;="&amp;$E7562,SondDatum,"&lt;="&amp;EOMONTH($E7562,0)),$J7562-$M7562))</f>
      </c>
      <c r="O7562" s="43">
        <f>IF($I7562=0,0,INDEX(DarlErsatzRate,16))</f>
      </c>
      <c r="P7562" s="43">
        <f>IF($I7562=0,0,$Q7561*INDEX(DarlErsatzZins,16))</f>
      </c>
      <c r="Q7562" s="43">
        <f>IF($I7562=0,0,$Q7561+$P7562+$O7562)</f>
      </c>
      <c r="R7562" s="43">
        <f>IF($I7562=0,0,$J7562-$M7562-$N7562)</f>
      </c>
    </row>
    <row r="7563">
      <c r="A7563"/>
      <c r="B7563">
        <v>16</v>
      </c>
      <c r="C7563" s="43">
        <f>INDEX(DarlObj,16)</f>
      </c>
      <c r="D7563">
        <v>360</v>
      </c>
      <c r="E7563" s="51">
        <f>IF(INDEX(DarlBelegt,16)=0,0,EOMONTH(INDEX(DarlAuszahlung,16),359)+1)</f>
      </c>
      <c r="F7563" s="43">
        <f>IF($E7563=0,0,YEAR($E7563))</f>
      </c>
      <c r="G7563" s="43">
        <f>IF(INDEX(DarlBindung,16)="",1,IF($E7563&lt;=INDEX(DarlBindung,16),1,0))</f>
      </c>
      <c r="H7563" s="43">
        <f>IF($G7563=1,INDEX(DarlSollzins,16),INDEX(DarlAnschluss,16))</f>
      </c>
      <c r="I7563" s="43">
        <f>IF(INDEX(DarlBelegt,16)=0,0,IF(INDEX(DarlOhneTilgung,16)=1,IF(INDEX(DarlBindung,16)="",1,$G7563),IF($J7563&gt;0.005,1,0)))</f>
      </c>
      <c r="J7563" s="43">
        <f>IF($I7562=0,0,$R7562)</f>
      </c>
      <c r="K7563" s="43">
        <f>IF($I7563=0,0,IF(INDEX(DarlOhneTilgung,16)=1,0,IF(AND(INDEX(DarlTilgStart,16)&gt;0,$E7563=INDEX(DarlTilgStart,16)),$J7563*($H7563+INDEX(DarlTilgung,16))/100/12,IF(AND($G7563=0,$G7562=1),MAX($K7562,$J7563*($H7563+1)/100/12),$K7562))))</f>
      </c>
      <c r="L7563" s="43">
        <f>IF($I7563=0,0,$J7563*$H7563/100/12)</f>
      </c>
      <c r="M7563" s="43">
        <f>IF($I7563=0,0,IF(OR(INDEX(DarlOhneTilgung,16)=1,AND(INDEX(DarlTilgStart,16)&gt;0,$E7563&lt;INDEX(DarlTilgStart,16))),0,MIN(MAX(0,$K7563-$L7563),$J7563)))</f>
      </c>
      <c r="N7563" s="43">
        <f>IF($I7563=0,0,MIN(SUMIFS(SondBetrag,SondDarl,16,SondDatum,"&gt;="&amp;$E7563,SondDatum,"&lt;="&amp;EOMONTH($E7563,0)),$J7563-$M7563))</f>
      </c>
      <c r="O7563" s="43">
        <f>IF($I7563=0,0,INDEX(DarlErsatzRate,16))</f>
      </c>
      <c r="P7563" s="43">
        <f>IF($I7563=0,0,$Q7562*INDEX(DarlErsatzZins,16))</f>
      </c>
      <c r="Q7563" s="43">
        <f>IF($I7563=0,0,$Q7562+$P7563+$O7563)</f>
      </c>
      <c r="R7563" s="43">
        <f>IF($I7563=0,0,$J7563-$M7563-$N7563)</f>
      </c>
    </row>
    <row r="7564">
      <c r="A7564"/>
      <c r="B7564">
        <v>16</v>
      </c>
      <c r="C7564" s="43">
        <f>INDEX(DarlObj,16)</f>
      </c>
      <c r="D7564">
        <v>361</v>
      </c>
      <c r="E7564" s="51">
        <f>IF(INDEX(DarlBelegt,16)=0,0,EOMONTH(INDEX(DarlAuszahlung,16),360)+1)</f>
      </c>
      <c r="F7564" s="43">
        <f>IF($E7564=0,0,YEAR($E7564))</f>
      </c>
      <c r="G7564" s="43">
        <f>IF(INDEX(DarlBindung,16)="",1,IF($E7564&lt;=INDEX(DarlBindung,16),1,0))</f>
      </c>
      <c r="H7564" s="43">
        <f>IF($G7564=1,INDEX(DarlSollzins,16),INDEX(DarlAnschluss,16))</f>
      </c>
      <c r="I7564" s="43">
        <f>IF(INDEX(DarlBelegt,16)=0,0,IF(INDEX(DarlOhneTilgung,16)=1,IF(INDEX(DarlBindung,16)="",1,$G7564),IF($J7564&gt;0.005,1,0)))</f>
      </c>
      <c r="J7564" s="43">
        <f>IF($I7563=0,0,$R7563)</f>
      </c>
      <c r="K7564" s="43">
        <f>IF($I7564=0,0,IF(INDEX(DarlOhneTilgung,16)=1,0,IF(AND(INDEX(DarlTilgStart,16)&gt;0,$E7564=INDEX(DarlTilgStart,16)),$J7564*($H7564+INDEX(DarlTilgung,16))/100/12,IF(AND($G7564=0,$G7563=1),MAX($K7563,$J7564*($H7564+1)/100/12),$K7563))))</f>
      </c>
      <c r="L7564" s="43">
        <f>IF($I7564=0,0,$J7564*$H7564/100/12)</f>
      </c>
      <c r="M7564" s="43">
        <f>IF($I7564=0,0,IF(OR(INDEX(DarlOhneTilgung,16)=1,AND(INDEX(DarlTilgStart,16)&gt;0,$E7564&lt;INDEX(DarlTilgStart,16))),0,MIN(MAX(0,$K7564-$L7564),$J7564)))</f>
      </c>
      <c r="N7564" s="43">
        <f>IF($I7564=0,0,MIN(SUMIFS(SondBetrag,SondDarl,16,SondDatum,"&gt;="&amp;$E7564,SondDatum,"&lt;="&amp;EOMONTH($E7564,0)),$J7564-$M7564))</f>
      </c>
      <c r="O7564" s="43">
        <f>IF($I7564=0,0,INDEX(DarlErsatzRate,16))</f>
      </c>
      <c r="P7564" s="43">
        <f>IF($I7564=0,0,$Q7563*INDEX(DarlErsatzZins,16))</f>
      </c>
      <c r="Q7564" s="43">
        <f>IF($I7564=0,0,$Q7563+$P7564+$O7564)</f>
      </c>
      <c r="R7564" s="43">
        <f>IF($I7564=0,0,$J7564-$M7564-$N7564)</f>
      </c>
    </row>
    <row r="7565">
      <c r="A7565"/>
      <c r="B7565">
        <v>16</v>
      </c>
      <c r="C7565" s="43">
        <f>INDEX(DarlObj,16)</f>
      </c>
      <c r="D7565">
        <v>362</v>
      </c>
      <c r="E7565" s="51">
        <f>IF(INDEX(DarlBelegt,16)=0,0,EOMONTH(INDEX(DarlAuszahlung,16),361)+1)</f>
      </c>
      <c r="F7565" s="43">
        <f>IF($E7565=0,0,YEAR($E7565))</f>
      </c>
      <c r="G7565" s="43">
        <f>IF(INDEX(DarlBindung,16)="",1,IF($E7565&lt;=INDEX(DarlBindung,16),1,0))</f>
      </c>
      <c r="H7565" s="43">
        <f>IF($G7565=1,INDEX(DarlSollzins,16),INDEX(DarlAnschluss,16))</f>
      </c>
      <c r="I7565" s="43">
        <f>IF(INDEX(DarlBelegt,16)=0,0,IF(INDEX(DarlOhneTilgung,16)=1,IF(INDEX(DarlBindung,16)="",1,$G7565),IF($J7565&gt;0.005,1,0)))</f>
      </c>
      <c r="J7565" s="43">
        <f>IF($I7564=0,0,$R7564)</f>
      </c>
      <c r="K7565" s="43">
        <f>IF($I7565=0,0,IF(INDEX(DarlOhneTilgung,16)=1,0,IF(AND(INDEX(DarlTilgStart,16)&gt;0,$E7565=INDEX(DarlTilgStart,16)),$J7565*($H7565+INDEX(DarlTilgung,16))/100/12,IF(AND($G7565=0,$G7564=1),MAX($K7564,$J7565*($H7565+1)/100/12),$K7564))))</f>
      </c>
      <c r="L7565" s="43">
        <f>IF($I7565=0,0,$J7565*$H7565/100/12)</f>
      </c>
      <c r="M7565" s="43">
        <f>IF($I7565=0,0,IF(OR(INDEX(DarlOhneTilgung,16)=1,AND(INDEX(DarlTilgStart,16)&gt;0,$E7565&lt;INDEX(DarlTilgStart,16))),0,MIN(MAX(0,$K7565-$L7565),$J7565)))</f>
      </c>
      <c r="N7565" s="43">
        <f>IF($I7565=0,0,MIN(SUMIFS(SondBetrag,SondDarl,16,SondDatum,"&gt;="&amp;$E7565,SondDatum,"&lt;="&amp;EOMONTH($E7565,0)),$J7565-$M7565))</f>
      </c>
      <c r="O7565" s="43">
        <f>IF($I7565=0,0,INDEX(DarlErsatzRate,16))</f>
      </c>
      <c r="P7565" s="43">
        <f>IF($I7565=0,0,$Q7564*INDEX(DarlErsatzZins,16))</f>
      </c>
      <c r="Q7565" s="43">
        <f>IF($I7565=0,0,$Q7564+$P7565+$O7565)</f>
      </c>
      <c r="R7565" s="43">
        <f>IF($I7565=0,0,$J7565-$M7565-$N7565)</f>
      </c>
    </row>
    <row r="7566">
      <c r="A7566"/>
      <c r="B7566">
        <v>16</v>
      </c>
      <c r="C7566" s="43">
        <f>INDEX(DarlObj,16)</f>
      </c>
      <c r="D7566">
        <v>363</v>
      </c>
      <c r="E7566" s="51">
        <f>IF(INDEX(DarlBelegt,16)=0,0,EOMONTH(INDEX(DarlAuszahlung,16),362)+1)</f>
      </c>
      <c r="F7566" s="43">
        <f>IF($E7566=0,0,YEAR($E7566))</f>
      </c>
      <c r="G7566" s="43">
        <f>IF(INDEX(DarlBindung,16)="",1,IF($E7566&lt;=INDEX(DarlBindung,16),1,0))</f>
      </c>
      <c r="H7566" s="43">
        <f>IF($G7566=1,INDEX(DarlSollzins,16),INDEX(DarlAnschluss,16))</f>
      </c>
      <c r="I7566" s="43">
        <f>IF(INDEX(DarlBelegt,16)=0,0,IF(INDEX(DarlOhneTilgung,16)=1,IF(INDEX(DarlBindung,16)="",1,$G7566),IF($J7566&gt;0.005,1,0)))</f>
      </c>
      <c r="J7566" s="43">
        <f>IF($I7565=0,0,$R7565)</f>
      </c>
      <c r="K7566" s="43">
        <f>IF($I7566=0,0,IF(INDEX(DarlOhneTilgung,16)=1,0,IF(AND(INDEX(DarlTilgStart,16)&gt;0,$E7566=INDEX(DarlTilgStart,16)),$J7566*($H7566+INDEX(DarlTilgung,16))/100/12,IF(AND($G7566=0,$G7565=1),MAX($K7565,$J7566*($H7566+1)/100/12),$K7565))))</f>
      </c>
      <c r="L7566" s="43">
        <f>IF($I7566=0,0,$J7566*$H7566/100/12)</f>
      </c>
      <c r="M7566" s="43">
        <f>IF($I7566=0,0,IF(OR(INDEX(DarlOhneTilgung,16)=1,AND(INDEX(DarlTilgStart,16)&gt;0,$E7566&lt;INDEX(DarlTilgStart,16))),0,MIN(MAX(0,$K7566-$L7566),$J7566)))</f>
      </c>
      <c r="N7566" s="43">
        <f>IF($I7566=0,0,MIN(SUMIFS(SondBetrag,SondDarl,16,SondDatum,"&gt;="&amp;$E7566,SondDatum,"&lt;="&amp;EOMONTH($E7566,0)),$J7566-$M7566))</f>
      </c>
      <c r="O7566" s="43">
        <f>IF($I7566=0,0,INDEX(DarlErsatzRate,16))</f>
      </c>
      <c r="P7566" s="43">
        <f>IF($I7566=0,0,$Q7565*INDEX(DarlErsatzZins,16))</f>
      </c>
      <c r="Q7566" s="43">
        <f>IF($I7566=0,0,$Q7565+$P7566+$O7566)</f>
      </c>
      <c r="R7566" s="43">
        <f>IF($I7566=0,0,$J7566-$M7566-$N7566)</f>
      </c>
    </row>
    <row r="7567">
      <c r="A7567"/>
      <c r="B7567">
        <v>16</v>
      </c>
      <c r="C7567" s="43">
        <f>INDEX(DarlObj,16)</f>
      </c>
      <c r="D7567">
        <v>364</v>
      </c>
      <c r="E7567" s="51">
        <f>IF(INDEX(DarlBelegt,16)=0,0,EOMONTH(INDEX(DarlAuszahlung,16),363)+1)</f>
      </c>
      <c r="F7567" s="43">
        <f>IF($E7567=0,0,YEAR($E7567))</f>
      </c>
      <c r="G7567" s="43">
        <f>IF(INDEX(DarlBindung,16)="",1,IF($E7567&lt;=INDEX(DarlBindung,16),1,0))</f>
      </c>
      <c r="H7567" s="43">
        <f>IF($G7567=1,INDEX(DarlSollzins,16),INDEX(DarlAnschluss,16))</f>
      </c>
      <c r="I7567" s="43">
        <f>IF(INDEX(DarlBelegt,16)=0,0,IF(INDEX(DarlOhneTilgung,16)=1,IF(INDEX(DarlBindung,16)="",1,$G7567),IF($J7567&gt;0.005,1,0)))</f>
      </c>
      <c r="J7567" s="43">
        <f>IF($I7566=0,0,$R7566)</f>
      </c>
      <c r="K7567" s="43">
        <f>IF($I7567=0,0,IF(INDEX(DarlOhneTilgung,16)=1,0,IF(AND(INDEX(DarlTilgStart,16)&gt;0,$E7567=INDEX(DarlTilgStart,16)),$J7567*($H7567+INDEX(DarlTilgung,16))/100/12,IF(AND($G7567=0,$G7566=1),MAX($K7566,$J7567*($H7567+1)/100/12),$K7566))))</f>
      </c>
      <c r="L7567" s="43">
        <f>IF($I7567=0,0,$J7567*$H7567/100/12)</f>
      </c>
      <c r="M7567" s="43">
        <f>IF($I7567=0,0,IF(OR(INDEX(DarlOhneTilgung,16)=1,AND(INDEX(DarlTilgStart,16)&gt;0,$E7567&lt;INDEX(DarlTilgStart,16))),0,MIN(MAX(0,$K7567-$L7567),$J7567)))</f>
      </c>
      <c r="N7567" s="43">
        <f>IF($I7567=0,0,MIN(SUMIFS(SondBetrag,SondDarl,16,SondDatum,"&gt;="&amp;$E7567,SondDatum,"&lt;="&amp;EOMONTH($E7567,0)),$J7567-$M7567))</f>
      </c>
      <c r="O7567" s="43">
        <f>IF($I7567=0,0,INDEX(DarlErsatzRate,16))</f>
      </c>
      <c r="P7567" s="43">
        <f>IF($I7567=0,0,$Q7566*INDEX(DarlErsatzZins,16))</f>
      </c>
      <c r="Q7567" s="43">
        <f>IF($I7567=0,0,$Q7566+$P7567+$O7567)</f>
      </c>
      <c r="R7567" s="43">
        <f>IF($I7567=0,0,$J7567-$M7567-$N7567)</f>
      </c>
    </row>
    <row r="7568">
      <c r="A7568"/>
      <c r="B7568">
        <v>16</v>
      </c>
      <c r="C7568" s="43">
        <f>INDEX(DarlObj,16)</f>
      </c>
      <c r="D7568">
        <v>365</v>
      </c>
      <c r="E7568" s="51">
        <f>IF(INDEX(DarlBelegt,16)=0,0,EOMONTH(INDEX(DarlAuszahlung,16),364)+1)</f>
      </c>
      <c r="F7568" s="43">
        <f>IF($E7568=0,0,YEAR($E7568))</f>
      </c>
      <c r="G7568" s="43">
        <f>IF(INDEX(DarlBindung,16)="",1,IF($E7568&lt;=INDEX(DarlBindung,16),1,0))</f>
      </c>
      <c r="H7568" s="43">
        <f>IF($G7568=1,INDEX(DarlSollzins,16),INDEX(DarlAnschluss,16))</f>
      </c>
      <c r="I7568" s="43">
        <f>IF(INDEX(DarlBelegt,16)=0,0,IF(INDEX(DarlOhneTilgung,16)=1,IF(INDEX(DarlBindung,16)="",1,$G7568),IF($J7568&gt;0.005,1,0)))</f>
      </c>
      <c r="J7568" s="43">
        <f>IF($I7567=0,0,$R7567)</f>
      </c>
      <c r="K7568" s="43">
        <f>IF($I7568=0,0,IF(INDEX(DarlOhneTilgung,16)=1,0,IF(AND(INDEX(DarlTilgStart,16)&gt;0,$E7568=INDEX(DarlTilgStart,16)),$J7568*($H7568+INDEX(DarlTilgung,16))/100/12,IF(AND($G7568=0,$G7567=1),MAX($K7567,$J7568*($H7568+1)/100/12),$K7567))))</f>
      </c>
      <c r="L7568" s="43">
        <f>IF($I7568=0,0,$J7568*$H7568/100/12)</f>
      </c>
      <c r="M7568" s="43">
        <f>IF($I7568=0,0,IF(OR(INDEX(DarlOhneTilgung,16)=1,AND(INDEX(DarlTilgStart,16)&gt;0,$E7568&lt;INDEX(DarlTilgStart,16))),0,MIN(MAX(0,$K7568-$L7568),$J7568)))</f>
      </c>
      <c r="N7568" s="43">
        <f>IF($I7568=0,0,MIN(SUMIFS(SondBetrag,SondDarl,16,SondDatum,"&gt;="&amp;$E7568,SondDatum,"&lt;="&amp;EOMONTH($E7568,0)),$J7568-$M7568))</f>
      </c>
      <c r="O7568" s="43">
        <f>IF($I7568=0,0,INDEX(DarlErsatzRate,16))</f>
      </c>
      <c r="P7568" s="43">
        <f>IF($I7568=0,0,$Q7567*INDEX(DarlErsatzZins,16))</f>
      </c>
      <c r="Q7568" s="43">
        <f>IF($I7568=0,0,$Q7567+$P7568+$O7568)</f>
      </c>
      <c r="R7568" s="43">
        <f>IF($I7568=0,0,$J7568-$M7568-$N7568)</f>
      </c>
    </row>
    <row r="7569">
      <c r="A7569"/>
      <c r="B7569">
        <v>16</v>
      </c>
      <c r="C7569" s="43">
        <f>INDEX(DarlObj,16)</f>
      </c>
      <c r="D7569">
        <v>366</v>
      </c>
      <c r="E7569" s="51">
        <f>IF(INDEX(DarlBelegt,16)=0,0,EOMONTH(INDEX(DarlAuszahlung,16),365)+1)</f>
      </c>
      <c r="F7569" s="43">
        <f>IF($E7569=0,0,YEAR($E7569))</f>
      </c>
      <c r="G7569" s="43">
        <f>IF(INDEX(DarlBindung,16)="",1,IF($E7569&lt;=INDEX(DarlBindung,16),1,0))</f>
      </c>
      <c r="H7569" s="43">
        <f>IF($G7569=1,INDEX(DarlSollzins,16),INDEX(DarlAnschluss,16))</f>
      </c>
      <c r="I7569" s="43">
        <f>IF(INDEX(DarlBelegt,16)=0,0,IF(INDEX(DarlOhneTilgung,16)=1,IF(INDEX(DarlBindung,16)="",1,$G7569),IF($J7569&gt;0.005,1,0)))</f>
      </c>
      <c r="J7569" s="43">
        <f>IF($I7568=0,0,$R7568)</f>
      </c>
      <c r="K7569" s="43">
        <f>IF($I7569=0,0,IF(INDEX(DarlOhneTilgung,16)=1,0,IF(AND(INDEX(DarlTilgStart,16)&gt;0,$E7569=INDEX(DarlTilgStart,16)),$J7569*($H7569+INDEX(DarlTilgung,16))/100/12,IF(AND($G7569=0,$G7568=1),MAX($K7568,$J7569*($H7569+1)/100/12),$K7568))))</f>
      </c>
      <c r="L7569" s="43">
        <f>IF($I7569=0,0,$J7569*$H7569/100/12)</f>
      </c>
      <c r="M7569" s="43">
        <f>IF($I7569=0,0,IF(OR(INDEX(DarlOhneTilgung,16)=1,AND(INDEX(DarlTilgStart,16)&gt;0,$E7569&lt;INDEX(DarlTilgStart,16))),0,MIN(MAX(0,$K7569-$L7569),$J7569)))</f>
      </c>
      <c r="N7569" s="43">
        <f>IF($I7569=0,0,MIN(SUMIFS(SondBetrag,SondDarl,16,SondDatum,"&gt;="&amp;$E7569,SondDatum,"&lt;="&amp;EOMONTH($E7569,0)),$J7569-$M7569))</f>
      </c>
      <c r="O7569" s="43">
        <f>IF($I7569=0,0,INDEX(DarlErsatzRate,16))</f>
      </c>
      <c r="P7569" s="43">
        <f>IF($I7569=0,0,$Q7568*INDEX(DarlErsatzZins,16))</f>
      </c>
      <c r="Q7569" s="43">
        <f>IF($I7569=0,0,$Q7568+$P7569+$O7569)</f>
      </c>
      <c r="R7569" s="43">
        <f>IF($I7569=0,0,$J7569-$M7569-$N7569)</f>
      </c>
    </row>
    <row r="7570">
      <c r="A7570"/>
      <c r="B7570">
        <v>16</v>
      </c>
      <c r="C7570" s="43">
        <f>INDEX(DarlObj,16)</f>
      </c>
      <c r="D7570">
        <v>367</v>
      </c>
      <c r="E7570" s="51">
        <f>IF(INDEX(DarlBelegt,16)=0,0,EOMONTH(INDEX(DarlAuszahlung,16),366)+1)</f>
      </c>
      <c r="F7570" s="43">
        <f>IF($E7570=0,0,YEAR($E7570))</f>
      </c>
      <c r="G7570" s="43">
        <f>IF(INDEX(DarlBindung,16)="",1,IF($E7570&lt;=INDEX(DarlBindung,16),1,0))</f>
      </c>
      <c r="H7570" s="43">
        <f>IF($G7570=1,INDEX(DarlSollzins,16),INDEX(DarlAnschluss,16))</f>
      </c>
      <c r="I7570" s="43">
        <f>IF(INDEX(DarlBelegt,16)=0,0,IF(INDEX(DarlOhneTilgung,16)=1,IF(INDEX(DarlBindung,16)="",1,$G7570),IF($J7570&gt;0.005,1,0)))</f>
      </c>
      <c r="J7570" s="43">
        <f>IF($I7569=0,0,$R7569)</f>
      </c>
      <c r="K7570" s="43">
        <f>IF($I7570=0,0,IF(INDEX(DarlOhneTilgung,16)=1,0,IF(AND(INDEX(DarlTilgStart,16)&gt;0,$E7570=INDEX(DarlTilgStart,16)),$J7570*($H7570+INDEX(DarlTilgung,16))/100/12,IF(AND($G7570=0,$G7569=1),MAX($K7569,$J7570*($H7570+1)/100/12),$K7569))))</f>
      </c>
      <c r="L7570" s="43">
        <f>IF($I7570=0,0,$J7570*$H7570/100/12)</f>
      </c>
      <c r="M7570" s="43">
        <f>IF($I7570=0,0,IF(OR(INDEX(DarlOhneTilgung,16)=1,AND(INDEX(DarlTilgStart,16)&gt;0,$E7570&lt;INDEX(DarlTilgStart,16))),0,MIN(MAX(0,$K7570-$L7570),$J7570)))</f>
      </c>
      <c r="N7570" s="43">
        <f>IF($I7570=0,0,MIN(SUMIFS(SondBetrag,SondDarl,16,SondDatum,"&gt;="&amp;$E7570,SondDatum,"&lt;="&amp;EOMONTH($E7570,0)),$J7570-$M7570))</f>
      </c>
      <c r="O7570" s="43">
        <f>IF($I7570=0,0,INDEX(DarlErsatzRate,16))</f>
      </c>
      <c r="P7570" s="43">
        <f>IF($I7570=0,0,$Q7569*INDEX(DarlErsatzZins,16))</f>
      </c>
      <c r="Q7570" s="43">
        <f>IF($I7570=0,0,$Q7569+$P7570+$O7570)</f>
      </c>
      <c r="R7570" s="43">
        <f>IF($I7570=0,0,$J7570-$M7570-$N7570)</f>
      </c>
    </row>
    <row r="7571">
      <c r="A7571"/>
      <c r="B7571">
        <v>16</v>
      </c>
      <c r="C7571" s="43">
        <f>INDEX(DarlObj,16)</f>
      </c>
      <c r="D7571">
        <v>368</v>
      </c>
      <c r="E7571" s="51">
        <f>IF(INDEX(DarlBelegt,16)=0,0,EOMONTH(INDEX(DarlAuszahlung,16),367)+1)</f>
      </c>
      <c r="F7571" s="43">
        <f>IF($E7571=0,0,YEAR($E7571))</f>
      </c>
      <c r="G7571" s="43">
        <f>IF(INDEX(DarlBindung,16)="",1,IF($E7571&lt;=INDEX(DarlBindung,16),1,0))</f>
      </c>
      <c r="H7571" s="43">
        <f>IF($G7571=1,INDEX(DarlSollzins,16),INDEX(DarlAnschluss,16))</f>
      </c>
      <c r="I7571" s="43">
        <f>IF(INDEX(DarlBelegt,16)=0,0,IF(INDEX(DarlOhneTilgung,16)=1,IF(INDEX(DarlBindung,16)="",1,$G7571),IF($J7571&gt;0.005,1,0)))</f>
      </c>
      <c r="J7571" s="43">
        <f>IF($I7570=0,0,$R7570)</f>
      </c>
      <c r="K7571" s="43">
        <f>IF($I7571=0,0,IF(INDEX(DarlOhneTilgung,16)=1,0,IF(AND(INDEX(DarlTilgStart,16)&gt;0,$E7571=INDEX(DarlTilgStart,16)),$J7571*($H7571+INDEX(DarlTilgung,16))/100/12,IF(AND($G7571=0,$G7570=1),MAX($K7570,$J7571*($H7571+1)/100/12),$K7570))))</f>
      </c>
      <c r="L7571" s="43">
        <f>IF($I7571=0,0,$J7571*$H7571/100/12)</f>
      </c>
      <c r="M7571" s="43">
        <f>IF($I7571=0,0,IF(OR(INDEX(DarlOhneTilgung,16)=1,AND(INDEX(DarlTilgStart,16)&gt;0,$E7571&lt;INDEX(DarlTilgStart,16))),0,MIN(MAX(0,$K7571-$L7571),$J7571)))</f>
      </c>
      <c r="N7571" s="43">
        <f>IF($I7571=0,0,MIN(SUMIFS(SondBetrag,SondDarl,16,SondDatum,"&gt;="&amp;$E7571,SondDatum,"&lt;="&amp;EOMONTH($E7571,0)),$J7571-$M7571))</f>
      </c>
      <c r="O7571" s="43">
        <f>IF($I7571=0,0,INDEX(DarlErsatzRate,16))</f>
      </c>
      <c r="P7571" s="43">
        <f>IF($I7571=0,0,$Q7570*INDEX(DarlErsatzZins,16))</f>
      </c>
      <c r="Q7571" s="43">
        <f>IF($I7571=0,0,$Q7570+$P7571+$O7571)</f>
      </c>
      <c r="R7571" s="43">
        <f>IF($I7571=0,0,$J7571-$M7571-$N7571)</f>
      </c>
    </row>
    <row r="7572">
      <c r="A7572"/>
      <c r="B7572">
        <v>16</v>
      </c>
      <c r="C7572" s="43">
        <f>INDEX(DarlObj,16)</f>
      </c>
      <c r="D7572">
        <v>369</v>
      </c>
      <c r="E7572" s="51">
        <f>IF(INDEX(DarlBelegt,16)=0,0,EOMONTH(INDEX(DarlAuszahlung,16),368)+1)</f>
      </c>
      <c r="F7572" s="43">
        <f>IF($E7572=0,0,YEAR($E7572))</f>
      </c>
      <c r="G7572" s="43">
        <f>IF(INDEX(DarlBindung,16)="",1,IF($E7572&lt;=INDEX(DarlBindung,16),1,0))</f>
      </c>
      <c r="H7572" s="43">
        <f>IF($G7572=1,INDEX(DarlSollzins,16),INDEX(DarlAnschluss,16))</f>
      </c>
      <c r="I7572" s="43">
        <f>IF(INDEX(DarlBelegt,16)=0,0,IF(INDEX(DarlOhneTilgung,16)=1,IF(INDEX(DarlBindung,16)="",1,$G7572),IF($J7572&gt;0.005,1,0)))</f>
      </c>
      <c r="J7572" s="43">
        <f>IF($I7571=0,0,$R7571)</f>
      </c>
      <c r="K7572" s="43">
        <f>IF($I7572=0,0,IF(INDEX(DarlOhneTilgung,16)=1,0,IF(AND(INDEX(DarlTilgStart,16)&gt;0,$E7572=INDEX(DarlTilgStart,16)),$J7572*($H7572+INDEX(DarlTilgung,16))/100/12,IF(AND($G7572=0,$G7571=1),MAX($K7571,$J7572*($H7572+1)/100/12),$K7571))))</f>
      </c>
      <c r="L7572" s="43">
        <f>IF($I7572=0,0,$J7572*$H7572/100/12)</f>
      </c>
      <c r="M7572" s="43">
        <f>IF($I7572=0,0,IF(OR(INDEX(DarlOhneTilgung,16)=1,AND(INDEX(DarlTilgStart,16)&gt;0,$E7572&lt;INDEX(DarlTilgStart,16))),0,MIN(MAX(0,$K7572-$L7572),$J7572)))</f>
      </c>
      <c r="N7572" s="43">
        <f>IF($I7572=0,0,MIN(SUMIFS(SondBetrag,SondDarl,16,SondDatum,"&gt;="&amp;$E7572,SondDatum,"&lt;="&amp;EOMONTH($E7572,0)),$J7572-$M7572))</f>
      </c>
      <c r="O7572" s="43">
        <f>IF($I7572=0,0,INDEX(DarlErsatzRate,16))</f>
      </c>
      <c r="P7572" s="43">
        <f>IF($I7572=0,0,$Q7571*INDEX(DarlErsatzZins,16))</f>
      </c>
      <c r="Q7572" s="43">
        <f>IF($I7572=0,0,$Q7571+$P7572+$O7572)</f>
      </c>
      <c r="R7572" s="43">
        <f>IF($I7572=0,0,$J7572-$M7572-$N7572)</f>
      </c>
    </row>
    <row r="7573">
      <c r="A7573"/>
      <c r="B7573">
        <v>16</v>
      </c>
      <c r="C7573" s="43">
        <f>INDEX(DarlObj,16)</f>
      </c>
      <c r="D7573">
        <v>370</v>
      </c>
      <c r="E7573" s="51">
        <f>IF(INDEX(DarlBelegt,16)=0,0,EOMONTH(INDEX(DarlAuszahlung,16),369)+1)</f>
      </c>
      <c r="F7573" s="43">
        <f>IF($E7573=0,0,YEAR($E7573))</f>
      </c>
      <c r="G7573" s="43">
        <f>IF(INDEX(DarlBindung,16)="",1,IF($E7573&lt;=INDEX(DarlBindung,16),1,0))</f>
      </c>
      <c r="H7573" s="43">
        <f>IF($G7573=1,INDEX(DarlSollzins,16),INDEX(DarlAnschluss,16))</f>
      </c>
      <c r="I7573" s="43">
        <f>IF(INDEX(DarlBelegt,16)=0,0,IF(INDEX(DarlOhneTilgung,16)=1,IF(INDEX(DarlBindung,16)="",1,$G7573),IF($J7573&gt;0.005,1,0)))</f>
      </c>
      <c r="J7573" s="43">
        <f>IF($I7572=0,0,$R7572)</f>
      </c>
      <c r="K7573" s="43">
        <f>IF($I7573=0,0,IF(INDEX(DarlOhneTilgung,16)=1,0,IF(AND(INDEX(DarlTilgStart,16)&gt;0,$E7573=INDEX(DarlTilgStart,16)),$J7573*($H7573+INDEX(DarlTilgung,16))/100/12,IF(AND($G7573=0,$G7572=1),MAX($K7572,$J7573*($H7573+1)/100/12),$K7572))))</f>
      </c>
      <c r="L7573" s="43">
        <f>IF($I7573=0,0,$J7573*$H7573/100/12)</f>
      </c>
      <c r="M7573" s="43">
        <f>IF($I7573=0,0,IF(OR(INDEX(DarlOhneTilgung,16)=1,AND(INDEX(DarlTilgStart,16)&gt;0,$E7573&lt;INDEX(DarlTilgStart,16))),0,MIN(MAX(0,$K7573-$L7573),$J7573)))</f>
      </c>
      <c r="N7573" s="43">
        <f>IF($I7573=0,0,MIN(SUMIFS(SondBetrag,SondDarl,16,SondDatum,"&gt;="&amp;$E7573,SondDatum,"&lt;="&amp;EOMONTH($E7573,0)),$J7573-$M7573))</f>
      </c>
      <c r="O7573" s="43">
        <f>IF($I7573=0,0,INDEX(DarlErsatzRate,16))</f>
      </c>
      <c r="P7573" s="43">
        <f>IF($I7573=0,0,$Q7572*INDEX(DarlErsatzZins,16))</f>
      </c>
      <c r="Q7573" s="43">
        <f>IF($I7573=0,0,$Q7572+$P7573+$O7573)</f>
      </c>
      <c r="R7573" s="43">
        <f>IF($I7573=0,0,$J7573-$M7573-$N7573)</f>
      </c>
    </row>
    <row r="7574">
      <c r="A7574"/>
      <c r="B7574">
        <v>16</v>
      </c>
      <c r="C7574" s="43">
        <f>INDEX(DarlObj,16)</f>
      </c>
      <c r="D7574">
        <v>371</v>
      </c>
      <c r="E7574" s="51">
        <f>IF(INDEX(DarlBelegt,16)=0,0,EOMONTH(INDEX(DarlAuszahlung,16),370)+1)</f>
      </c>
      <c r="F7574" s="43">
        <f>IF($E7574=0,0,YEAR($E7574))</f>
      </c>
      <c r="G7574" s="43">
        <f>IF(INDEX(DarlBindung,16)="",1,IF($E7574&lt;=INDEX(DarlBindung,16),1,0))</f>
      </c>
      <c r="H7574" s="43">
        <f>IF($G7574=1,INDEX(DarlSollzins,16),INDEX(DarlAnschluss,16))</f>
      </c>
      <c r="I7574" s="43">
        <f>IF(INDEX(DarlBelegt,16)=0,0,IF(INDEX(DarlOhneTilgung,16)=1,IF(INDEX(DarlBindung,16)="",1,$G7574),IF($J7574&gt;0.005,1,0)))</f>
      </c>
      <c r="J7574" s="43">
        <f>IF($I7573=0,0,$R7573)</f>
      </c>
      <c r="K7574" s="43">
        <f>IF($I7574=0,0,IF(INDEX(DarlOhneTilgung,16)=1,0,IF(AND(INDEX(DarlTilgStart,16)&gt;0,$E7574=INDEX(DarlTilgStart,16)),$J7574*($H7574+INDEX(DarlTilgung,16))/100/12,IF(AND($G7574=0,$G7573=1),MAX($K7573,$J7574*($H7574+1)/100/12),$K7573))))</f>
      </c>
      <c r="L7574" s="43">
        <f>IF($I7574=0,0,$J7574*$H7574/100/12)</f>
      </c>
      <c r="M7574" s="43">
        <f>IF($I7574=0,0,IF(OR(INDEX(DarlOhneTilgung,16)=1,AND(INDEX(DarlTilgStart,16)&gt;0,$E7574&lt;INDEX(DarlTilgStart,16))),0,MIN(MAX(0,$K7574-$L7574),$J7574)))</f>
      </c>
      <c r="N7574" s="43">
        <f>IF($I7574=0,0,MIN(SUMIFS(SondBetrag,SondDarl,16,SondDatum,"&gt;="&amp;$E7574,SondDatum,"&lt;="&amp;EOMONTH($E7574,0)),$J7574-$M7574))</f>
      </c>
      <c r="O7574" s="43">
        <f>IF($I7574=0,0,INDEX(DarlErsatzRate,16))</f>
      </c>
      <c r="P7574" s="43">
        <f>IF($I7574=0,0,$Q7573*INDEX(DarlErsatzZins,16))</f>
      </c>
      <c r="Q7574" s="43">
        <f>IF($I7574=0,0,$Q7573+$P7574+$O7574)</f>
      </c>
      <c r="R7574" s="43">
        <f>IF($I7574=0,0,$J7574-$M7574-$N7574)</f>
      </c>
    </row>
    <row r="7575">
      <c r="A7575"/>
      <c r="B7575">
        <v>16</v>
      </c>
      <c r="C7575" s="43">
        <f>INDEX(DarlObj,16)</f>
      </c>
      <c r="D7575">
        <v>372</v>
      </c>
      <c r="E7575" s="51">
        <f>IF(INDEX(DarlBelegt,16)=0,0,EOMONTH(INDEX(DarlAuszahlung,16),371)+1)</f>
      </c>
      <c r="F7575" s="43">
        <f>IF($E7575=0,0,YEAR($E7575))</f>
      </c>
      <c r="G7575" s="43">
        <f>IF(INDEX(DarlBindung,16)="",1,IF($E7575&lt;=INDEX(DarlBindung,16),1,0))</f>
      </c>
      <c r="H7575" s="43">
        <f>IF($G7575=1,INDEX(DarlSollzins,16),INDEX(DarlAnschluss,16))</f>
      </c>
      <c r="I7575" s="43">
        <f>IF(INDEX(DarlBelegt,16)=0,0,IF(INDEX(DarlOhneTilgung,16)=1,IF(INDEX(DarlBindung,16)="",1,$G7575),IF($J7575&gt;0.005,1,0)))</f>
      </c>
      <c r="J7575" s="43">
        <f>IF($I7574=0,0,$R7574)</f>
      </c>
      <c r="K7575" s="43">
        <f>IF($I7575=0,0,IF(INDEX(DarlOhneTilgung,16)=1,0,IF(AND(INDEX(DarlTilgStart,16)&gt;0,$E7575=INDEX(DarlTilgStart,16)),$J7575*($H7575+INDEX(DarlTilgung,16))/100/12,IF(AND($G7575=0,$G7574=1),MAX($K7574,$J7575*($H7575+1)/100/12),$K7574))))</f>
      </c>
      <c r="L7575" s="43">
        <f>IF($I7575=0,0,$J7575*$H7575/100/12)</f>
      </c>
      <c r="M7575" s="43">
        <f>IF($I7575=0,0,IF(OR(INDEX(DarlOhneTilgung,16)=1,AND(INDEX(DarlTilgStart,16)&gt;0,$E7575&lt;INDEX(DarlTilgStart,16))),0,MIN(MAX(0,$K7575-$L7575),$J7575)))</f>
      </c>
      <c r="N7575" s="43">
        <f>IF($I7575=0,0,MIN(SUMIFS(SondBetrag,SondDarl,16,SondDatum,"&gt;="&amp;$E7575,SondDatum,"&lt;="&amp;EOMONTH($E7575,0)),$J7575-$M7575))</f>
      </c>
      <c r="O7575" s="43">
        <f>IF($I7575=0,0,INDEX(DarlErsatzRate,16))</f>
      </c>
      <c r="P7575" s="43">
        <f>IF($I7575=0,0,$Q7574*INDEX(DarlErsatzZins,16))</f>
      </c>
      <c r="Q7575" s="43">
        <f>IF($I7575=0,0,$Q7574+$P7575+$O7575)</f>
      </c>
      <c r="R7575" s="43">
        <f>IF($I7575=0,0,$J7575-$M7575-$N7575)</f>
      </c>
    </row>
    <row r="7576">
      <c r="A7576"/>
      <c r="B7576">
        <v>16</v>
      </c>
      <c r="C7576" s="43">
        <f>INDEX(DarlObj,16)</f>
      </c>
      <c r="D7576">
        <v>373</v>
      </c>
      <c r="E7576" s="51">
        <f>IF(INDEX(DarlBelegt,16)=0,0,EOMONTH(INDEX(DarlAuszahlung,16),372)+1)</f>
      </c>
      <c r="F7576" s="43">
        <f>IF($E7576=0,0,YEAR($E7576))</f>
      </c>
      <c r="G7576" s="43">
        <f>IF(INDEX(DarlBindung,16)="",1,IF($E7576&lt;=INDEX(DarlBindung,16),1,0))</f>
      </c>
      <c r="H7576" s="43">
        <f>IF($G7576=1,INDEX(DarlSollzins,16),INDEX(DarlAnschluss,16))</f>
      </c>
      <c r="I7576" s="43">
        <f>IF(INDEX(DarlBelegt,16)=0,0,IF(INDEX(DarlOhneTilgung,16)=1,IF(INDEX(DarlBindung,16)="",1,$G7576),IF($J7576&gt;0.005,1,0)))</f>
      </c>
      <c r="J7576" s="43">
        <f>IF($I7575=0,0,$R7575)</f>
      </c>
      <c r="K7576" s="43">
        <f>IF($I7576=0,0,IF(INDEX(DarlOhneTilgung,16)=1,0,IF(AND(INDEX(DarlTilgStart,16)&gt;0,$E7576=INDEX(DarlTilgStart,16)),$J7576*($H7576+INDEX(DarlTilgung,16))/100/12,IF(AND($G7576=0,$G7575=1),MAX($K7575,$J7576*($H7576+1)/100/12),$K7575))))</f>
      </c>
      <c r="L7576" s="43">
        <f>IF($I7576=0,0,$J7576*$H7576/100/12)</f>
      </c>
      <c r="M7576" s="43">
        <f>IF($I7576=0,0,IF(OR(INDEX(DarlOhneTilgung,16)=1,AND(INDEX(DarlTilgStart,16)&gt;0,$E7576&lt;INDEX(DarlTilgStart,16))),0,MIN(MAX(0,$K7576-$L7576),$J7576)))</f>
      </c>
      <c r="N7576" s="43">
        <f>IF($I7576=0,0,MIN(SUMIFS(SondBetrag,SondDarl,16,SondDatum,"&gt;="&amp;$E7576,SondDatum,"&lt;="&amp;EOMONTH($E7576,0)),$J7576-$M7576))</f>
      </c>
      <c r="O7576" s="43">
        <f>IF($I7576=0,0,INDEX(DarlErsatzRate,16))</f>
      </c>
      <c r="P7576" s="43">
        <f>IF($I7576=0,0,$Q7575*INDEX(DarlErsatzZins,16))</f>
      </c>
      <c r="Q7576" s="43">
        <f>IF($I7576=0,0,$Q7575+$P7576+$O7576)</f>
      </c>
      <c r="R7576" s="43">
        <f>IF($I7576=0,0,$J7576-$M7576-$N7576)</f>
      </c>
    </row>
    <row r="7577">
      <c r="A7577"/>
      <c r="B7577">
        <v>16</v>
      </c>
      <c r="C7577" s="43">
        <f>INDEX(DarlObj,16)</f>
      </c>
      <c r="D7577">
        <v>374</v>
      </c>
      <c r="E7577" s="51">
        <f>IF(INDEX(DarlBelegt,16)=0,0,EOMONTH(INDEX(DarlAuszahlung,16),373)+1)</f>
      </c>
      <c r="F7577" s="43">
        <f>IF($E7577=0,0,YEAR($E7577))</f>
      </c>
      <c r="G7577" s="43">
        <f>IF(INDEX(DarlBindung,16)="",1,IF($E7577&lt;=INDEX(DarlBindung,16),1,0))</f>
      </c>
      <c r="H7577" s="43">
        <f>IF($G7577=1,INDEX(DarlSollzins,16),INDEX(DarlAnschluss,16))</f>
      </c>
      <c r="I7577" s="43">
        <f>IF(INDEX(DarlBelegt,16)=0,0,IF(INDEX(DarlOhneTilgung,16)=1,IF(INDEX(DarlBindung,16)="",1,$G7577),IF($J7577&gt;0.005,1,0)))</f>
      </c>
      <c r="J7577" s="43">
        <f>IF($I7576=0,0,$R7576)</f>
      </c>
      <c r="K7577" s="43">
        <f>IF($I7577=0,0,IF(INDEX(DarlOhneTilgung,16)=1,0,IF(AND(INDEX(DarlTilgStart,16)&gt;0,$E7577=INDEX(DarlTilgStart,16)),$J7577*($H7577+INDEX(DarlTilgung,16))/100/12,IF(AND($G7577=0,$G7576=1),MAX($K7576,$J7577*($H7577+1)/100/12),$K7576))))</f>
      </c>
      <c r="L7577" s="43">
        <f>IF($I7577=0,0,$J7577*$H7577/100/12)</f>
      </c>
      <c r="M7577" s="43">
        <f>IF($I7577=0,0,IF(OR(INDEX(DarlOhneTilgung,16)=1,AND(INDEX(DarlTilgStart,16)&gt;0,$E7577&lt;INDEX(DarlTilgStart,16))),0,MIN(MAX(0,$K7577-$L7577),$J7577)))</f>
      </c>
      <c r="N7577" s="43">
        <f>IF($I7577=0,0,MIN(SUMIFS(SondBetrag,SondDarl,16,SondDatum,"&gt;="&amp;$E7577,SondDatum,"&lt;="&amp;EOMONTH($E7577,0)),$J7577-$M7577))</f>
      </c>
      <c r="O7577" s="43">
        <f>IF($I7577=0,0,INDEX(DarlErsatzRate,16))</f>
      </c>
      <c r="P7577" s="43">
        <f>IF($I7577=0,0,$Q7576*INDEX(DarlErsatzZins,16))</f>
      </c>
      <c r="Q7577" s="43">
        <f>IF($I7577=0,0,$Q7576+$P7577+$O7577)</f>
      </c>
      <c r="R7577" s="43">
        <f>IF($I7577=0,0,$J7577-$M7577-$N7577)</f>
      </c>
    </row>
    <row r="7578">
      <c r="A7578"/>
      <c r="B7578">
        <v>16</v>
      </c>
      <c r="C7578" s="43">
        <f>INDEX(DarlObj,16)</f>
      </c>
      <c r="D7578">
        <v>375</v>
      </c>
      <c r="E7578" s="51">
        <f>IF(INDEX(DarlBelegt,16)=0,0,EOMONTH(INDEX(DarlAuszahlung,16),374)+1)</f>
      </c>
      <c r="F7578" s="43">
        <f>IF($E7578=0,0,YEAR($E7578))</f>
      </c>
      <c r="G7578" s="43">
        <f>IF(INDEX(DarlBindung,16)="",1,IF($E7578&lt;=INDEX(DarlBindung,16),1,0))</f>
      </c>
      <c r="H7578" s="43">
        <f>IF($G7578=1,INDEX(DarlSollzins,16),INDEX(DarlAnschluss,16))</f>
      </c>
      <c r="I7578" s="43">
        <f>IF(INDEX(DarlBelegt,16)=0,0,IF(INDEX(DarlOhneTilgung,16)=1,IF(INDEX(DarlBindung,16)="",1,$G7578),IF($J7578&gt;0.005,1,0)))</f>
      </c>
      <c r="J7578" s="43">
        <f>IF($I7577=0,0,$R7577)</f>
      </c>
      <c r="K7578" s="43">
        <f>IF($I7578=0,0,IF(INDEX(DarlOhneTilgung,16)=1,0,IF(AND(INDEX(DarlTilgStart,16)&gt;0,$E7578=INDEX(DarlTilgStart,16)),$J7578*($H7578+INDEX(DarlTilgung,16))/100/12,IF(AND($G7578=0,$G7577=1),MAX($K7577,$J7578*($H7578+1)/100/12),$K7577))))</f>
      </c>
      <c r="L7578" s="43">
        <f>IF($I7578=0,0,$J7578*$H7578/100/12)</f>
      </c>
      <c r="M7578" s="43">
        <f>IF($I7578=0,0,IF(OR(INDEX(DarlOhneTilgung,16)=1,AND(INDEX(DarlTilgStart,16)&gt;0,$E7578&lt;INDEX(DarlTilgStart,16))),0,MIN(MAX(0,$K7578-$L7578),$J7578)))</f>
      </c>
      <c r="N7578" s="43">
        <f>IF($I7578=0,0,MIN(SUMIFS(SondBetrag,SondDarl,16,SondDatum,"&gt;="&amp;$E7578,SondDatum,"&lt;="&amp;EOMONTH($E7578,0)),$J7578-$M7578))</f>
      </c>
      <c r="O7578" s="43">
        <f>IF($I7578=0,0,INDEX(DarlErsatzRate,16))</f>
      </c>
      <c r="P7578" s="43">
        <f>IF($I7578=0,0,$Q7577*INDEX(DarlErsatzZins,16))</f>
      </c>
      <c r="Q7578" s="43">
        <f>IF($I7578=0,0,$Q7577+$P7578+$O7578)</f>
      </c>
      <c r="R7578" s="43">
        <f>IF($I7578=0,0,$J7578-$M7578-$N7578)</f>
      </c>
    </row>
    <row r="7579">
      <c r="A7579"/>
      <c r="B7579">
        <v>16</v>
      </c>
      <c r="C7579" s="43">
        <f>INDEX(DarlObj,16)</f>
      </c>
      <c r="D7579">
        <v>376</v>
      </c>
      <c r="E7579" s="51">
        <f>IF(INDEX(DarlBelegt,16)=0,0,EOMONTH(INDEX(DarlAuszahlung,16),375)+1)</f>
      </c>
      <c r="F7579" s="43">
        <f>IF($E7579=0,0,YEAR($E7579))</f>
      </c>
      <c r="G7579" s="43">
        <f>IF(INDEX(DarlBindung,16)="",1,IF($E7579&lt;=INDEX(DarlBindung,16),1,0))</f>
      </c>
      <c r="H7579" s="43">
        <f>IF($G7579=1,INDEX(DarlSollzins,16),INDEX(DarlAnschluss,16))</f>
      </c>
      <c r="I7579" s="43">
        <f>IF(INDEX(DarlBelegt,16)=0,0,IF(INDEX(DarlOhneTilgung,16)=1,IF(INDEX(DarlBindung,16)="",1,$G7579),IF($J7579&gt;0.005,1,0)))</f>
      </c>
      <c r="J7579" s="43">
        <f>IF($I7578=0,0,$R7578)</f>
      </c>
      <c r="K7579" s="43">
        <f>IF($I7579=0,0,IF(INDEX(DarlOhneTilgung,16)=1,0,IF(AND(INDEX(DarlTilgStart,16)&gt;0,$E7579=INDEX(DarlTilgStart,16)),$J7579*($H7579+INDEX(DarlTilgung,16))/100/12,IF(AND($G7579=0,$G7578=1),MAX($K7578,$J7579*($H7579+1)/100/12),$K7578))))</f>
      </c>
      <c r="L7579" s="43">
        <f>IF($I7579=0,0,$J7579*$H7579/100/12)</f>
      </c>
      <c r="M7579" s="43">
        <f>IF($I7579=0,0,IF(OR(INDEX(DarlOhneTilgung,16)=1,AND(INDEX(DarlTilgStart,16)&gt;0,$E7579&lt;INDEX(DarlTilgStart,16))),0,MIN(MAX(0,$K7579-$L7579),$J7579)))</f>
      </c>
      <c r="N7579" s="43">
        <f>IF($I7579=0,0,MIN(SUMIFS(SondBetrag,SondDarl,16,SondDatum,"&gt;="&amp;$E7579,SondDatum,"&lt;="&amp;EOMONTH($E7579,0)),$J7579-$M7579))</f>
      </c>
      <c r="O7579" s="43">
        <f>IF($I7579=0,0,INDEX(DarlErsatzRate,16))</f>
      </c>
      <c r="P7579" s="43">
        <f>IF($I7579=0,0,$Q7578*INDEX(DarlErsatzZins,16))</f>
      </c>
      <c r="Q7579" s="43">
        <f>IF($I7579=0,0,$Q7578+$P7579+$O7579)</f>
      </c>
      <c r="R7579" s="43">
        <f>IF($I7579=0,0,$J7579-$M7579-$N7579)</f>
      </c>
    </row>
    <row r="7580">
      <c r="A7580"/>
      <c r="B7580">
        <v>16</v>
      </c>
      <c r="C7580" s="43">
        <f>INDEX(DarlObj,16)</f>
      </c>
      <c r="D7580">
        <v>377</v>
      </c>
      <c r="E7580" s="51">
        <f>IF(INDEX(DarlBelegt,16)=0,0,EOMONTH(INDEX(DarlAuszahlung,16),376)+1)</f>
      </c>
      <c r="F7580" s="43">
        <f>IF($E7580=0,0,YEAR($E7580))</f>
      </c>
      <c r="G7580" s="43">
        <f>IF(INDEX(DarlBindung,16)="",1,IF($E7580&lt;=INDEX(DarlBindung,16),1,0))</f>
      </c>
      <c r="H7580" s="43">
        <f>IF($G7580=1,INDEX(DarlSollzins,16),INDEX(DarlAnschluss,16))</f>
      </c>
      <c r="I7580" s="43">
        <f>IF(INDEX(DarlBelegt,16)=0,0,IF(INDEX(DarlOhneTilgung,16)=1,IF(INDEX(DarlBindung,16)="",1,$G7580),IF($J7580&gt;0.005,1,0)))</f>
      </c>
      <c r="J7580" s="43">
        <f>IF($I7579=0,0,$R7579)</f>
      </c>
      <c r="K7580" s="43">
        <f>IF($I7580=0,0,IF(INDEX(DarlOhneTilgung,16)=1,0,IF(AND(INDEX(DarlTilgStart,16)&gt;0,$E7580=INDEX(DarlTilgStart,16)),$J7580*($H7580+INDEX(DarlTilgung,16))/100/12,IF(AND($G7580=0,$G7579=1),MAX($K7579,$J7580*($H7580+1)/100/12),$K7579))))</f>
      </c>
      <c r="L7580" s="43">
        <f>IF($I7580=0,0,$J7580*$H7580/100/12)</f>
      </c>
      <c r="M7580" s="43">
        <f>IF($I7580=0,0,IF(OR(INDEX(DarlOhneTilgung,16)=1,AND(INDEX(DarlTilgStart,16)&gt;0,$E7580&lt;INDEX(DarlTilgStart,16))),0,MIN(MAX(0,$K7580-$L7580),$J7580)))</f>
      </c>
      <c r="N7580" s="43">
        <f>IF($I7580=0,0,MIN(SUMIFS(SondBetrag,SondDarl,16,SondDatum,"&gt;="&amp;$E7580,SondDatum,"&lt;="&amp;EOMONTH($E7580,0)),$J7580-$M7580))</f>
      </c>
      <c r="O7580" s="43">
        <f>IF($I7580=0,0,INDEX(DarlErsatzRate,16))</f>
      </c>
      <c r="P7580" s="43">
        <f>IF($I7580=0,0,$Q7579*INDEX(DarlErsatzZins,16))</f>
      </c>
      <c r="Q7580" s="43">
        <f>IF($I7580=0,0,$Q7579+$P7580+$O7580)</f>
      </c>
      <c r="R7580" s="43">
        <f>IF($I7580=0,0,$J7580-$M7580-$N7580)</f>
      </c>
    </row>
    <row r="7581">
      <c r="A7581"/>
      <c r="B7581">
        <v>16</v>
      </c>
      <c r="C7581" s="43">
        <f>INDEX(DarlObj,16)</f>
      </c>
      <c r="D7581">
        <v>378</v>
      </c>
      <c r="E7581" s="51">
        <f>IF(INDEX(DarlBelegt,16)=0,0,EOMONTH(INDEX(DarlAuszahlung,16),377)+1)</f>
      </c>
      <c r="F7581" s="43">
        <f>IF($E7581=0,0,YEAR($E7581))</f>
      </c>
      <c r="G7581" s="43">
        <f>IF(INDEX(DarlBindung,16)="",1,IF($E7581&lt;=INDEX(DarlBindung,16),1,0))</f>
      </c>
      <c r="H7581" s="43">
        <f>IF($G7581=1,INDEX(DarlSollzins,16),INDEX(DarlAnschluss,16))</f>
      </c>
      <c r="I7581" s="43">
        <f>IF(INDEX(DarlBelegt,16)=0,0,IF(INDEX(DarlOhneTilgung,16)=1,IF(INDEX(DarlBindung,16)="",1,$G7581),IF($J7581&gt;0.005,1,0)))</f>
      </c>
      <c r="J7581" s="43">
        <f>IF($I7580=0,0,$R7580)</f>
      </c>
      <c r="K7581" s="43">
        <f>IF($I7581=0,0,IF(INDEX(DarlOhneTilgung,16)=1,0,IF(AND(INDEX(DarlTilgStart,16)&gt;0,$E7581=INDEX(DarlTilgStart,16)),$J7581*($H7581+INDEX(DarlTilgung,16))/100/12,IF(AND($G7581=0,$G7580=1),MAX($K7580,$J7581*($H7581+1)/100/12),$K7580))))</f>
      </c>
      <c r="L7581" s="43">
        <f>IF($I7581=0,0,$J7581*$H7581/100/12)</f>
      </c>
      <c r="M7581" s="43">
        <f>IF($I7581=0,0,IF(OR(INDEX(DarlOhneTilgung,16)=1,AND(INDEX(DarlTilgStart,16)&gt;0,$E7581&lt;INDEX(DarlTilgStart,16))),0,MIN(MAX(0,$K7581-$L7581),$J7581)))</f>
      </c>
      <c r="N7581" s="43">
        <f>IF($I7581=0,0,MIN(SUMIFS(SondBetrag,SondDarl,16,SondDatum,"&gt;="&amp;$E7581,SondDatum,"&lt;="&amp;EOMONTH($E7581,0)),$J7581-$M7581))</f>
      </c>
      <c r="O7581" s="43">
        <f>IF($I7581=0,0,INDEX(DarlErsatzRate,16))</f>
      </c>
      <c r="P7581" s="43">
        <f>IF($I7581=0,0,$Q7580*INDEX(DarlErsatzZins,16))</f>
      </c>
      <c r="Q7581" s="43">
        <f>IF($I7581=0,0,$Q7580+$P7581+$O7581)</f>
      </c>
      <c r="R7581" s="43">
        <f>IF($I7581=0,0,$J7581-$M7581-$N7581)</f>
      </c>
    </row>
    <row r="7582">
      <c r="A7582"/>
      <c r="B7582">
        <v>16</v>
      </c>
      <c r="C7582" s="43">
        <f>INDEX(DarlObj,16)</f>
      </c>
      <c r="D7582">
        <v>379</v>
      </c>
      <c r="E7582" s="51">
        <f>IF(INDEX(DarlBelegt,16)=0,0,EOMONTH(INDEX(DarlAuszahlung,16),378)+1)</f>
      </c>
      <c r="F7582" s="43">
        <f>IF($E7582=0,0,YEAR($E7582))</f>
      </c>
      <c r="G7582" s="43">
        <f>IF(INDEX(DarlBindung,16)="",1,IF($E7582&lt;=INDEX(DarlBindung,16),1,0))</f>
      </c>
      <c r="H7582" s="43">
        <f>IF($G7582=1,INDEX(DarlSollzins,16),INDEX(DarlAnschluss,16))</f>
      </c>
      <c r="I7582" s="43">
        <f>IF(INDEX(DarlBelegt,16)=0,0,IF(INDEX(DarlOhneTilgung,16)=1,IF(INDEX(DarlBindung,16)="",1,$G7582),IF($J7582&gt;0.005,1,0)))</f>
      </c>
      <c r="J7582" s="43">
        <f>IF($I7581=0,0,$R7581)</f>
      </c>
      <c r="K7582" s="43">
        <f>IF($I7582=0,0,IF(INDEX(DarlOhneTilgung,16)=1,0,IF(AND(INDEX(DarlTilgStart,16)&gt;0,$E7582=INDEX(DarlTilgStart,16)),$J7582*($H7582+INDEX(DarlTilgung,16))/100/12,IF(AND($G7582=0,$G7581=1),MAX($K7581,$J7582*($H7582+1)/100/12),$K7581))))</f>
      </c>
      <c r="L7582" s="43">
        <f>IF($I7582=0,0,$J7582*$H7582/100/12)</f>
      </c>
      <c r="M7582" s="43">
        <f>IF($I7582=0,0,IF(OR(INDEX(DarlOhneTilgung,16)=1,AND(INDEX(DarlTilgStart,16)&gt;0,$E7582&lt;INDEX(DarlTilgStart,16))),0,MIN(MAX(0,$K7582-$L7582),$J7582)))</f>
      </c>
      <c r="N7582" s="43">
        <f>IF($I7582=0,0,MIN(SUMIFS(SondBetrag,SondDarl,16,SondDatum,"&gt;="&amp;$E7582,SondDatum,"&lt;="&amp;EOMONTH($E7582,0)),$J7582-$M7582))</f>
      </c>
      <c r="O7582" s="43">
        <f>IF($I7582=0,0,INDEX(DarlErsatzRate,16))</f>
      </c>
      <c r="P7582" s="43">
        <f>IF($I7582=0,0,$Q7581*INDEX(DarlErsatzZins,16))</f>
      </c>
      <c r="Q7582" s="43">
        <f>IF($I7582=0,0,$Q7581+$P7582+$O7582)</f>
      </c>
      <c r="R7582" s="43">
        <f>IF($I7582=0,0,$J7582-$M7582-$N7582)</f>
      </c>
    </row>
    <row r="7583">
      <c r="A7583"/>
      <c r="B7583">
        <v>16</v>
      </c>
      <c r="C7583" s="43">
        <f>INDEX(DarlObj,16)</f>
      </c>
      <c r="D7583">
        <v>380</v>
      </c>
      <c r="E7583" s="51">
        <f>IF(INDEX(DarlBelegt,16)=0,0,EOMONTH(INDEX(DarlAuszahlung,16),379)+1)</f>
      </c>
      <c r="F7583" s="43">
        <f>IF($E7583=0,0,YEAR($E7583))</f>
      </c>
      <c r="G7583" s="43">
        <f>IF(INDEX(DarlBindung,16)="",1,IF($E7583&lt;=INDEX(DarlBindung,16),1,0))</f>
      </c>
      <c r="H7583" s="43">
        <f>IF($G7583=1,INDEX(DarlSollzins,16),INDEX(DarlAnschluss,16))</f>
      </c>
      <c r="I7583" s="43">
        <f>IF(INDEX(DarlBelegt,16)=0,0,IF(INDEX(DarlOhneTilgung,16)=1,IF(INDEX(DarlBindung,16)="",1,$G7583),IF($J7583&gt;0.005,1,0)))</f>
      </c>
      <c r="J7583" s="43">
        <f>IF($I7582=0,0,$R7582)</f>
      </c>
      <c r="K7583" s="43">
        <f>IF($I7583=0,0,IF(INDEX(DarlOhneTilgung,16)=1,0,IF(AND(INDEX(DarlTilgStart,16)&gt;0,$E7583=INDEX(DarlTilgStart,16)),$J7583*($H7583+INDEX(DarlTilgung,16))/100/12,IF(AND($G7583=0,$G7582=1),MAX($K7582,$J7583*($H7583+1)/100/12),$K7582))))</f>
      </c>
      <c r="L7583" s="43">
        <f>IF($I7583=0,0,$J7583*$H7583/100/12)</f>
      </c>
      <c r="M7583" s="43">
        <f>IF($I7583=0,0,IF(OR(INDEX(DarlOhneTilgung,16)=1,AND(INDEX(DarlTilgStart,16)&gt;0,$E7583&lt;INDEX(DarlTilgStart,16))),0,MIN(MAX(0,$K7583-$L7583),$J7583)))</f>
      </c>
      <c r="N7583" s="43">
        <f>IF($I7583=0,0,MIN(SUMIFS(SondBetrag,SondDarl,16,SondDatum,"&gt;="&amp;$E7583,SondDatum,"&lt;="&amp;EOMONTH($E7583,0)),$J7583-$M7583))</f>
      </c>
      <c r="O7583" s="43">
        <f>IF($I7583=0,0,INDEX(DarlErsatzRate,16))</f>
      </c>
      <c r="P7583" s="43">
        <f>IF($I7583=0,0,$Q7582*INDEX(DarlErsatzZins,16))</f>
      </c>
      <c r="Q7583" s="43">
        <f>IF($I7583=0,0,$Q7582+$P7583+$O7583)</f>
      </c>
      <c r="R7583" s="43">
        <f>IF($I7583=0,0,$J7583-$M7583-$N7583)</f>
      </c>
    </row>
    <row r="7584">
      <c r="A7584"/>
      <c r="B7584">
        <v>16</v>
      </c>
      <c r="C7584" s="43">
        <f>INDEX(DarlObj,16)</f>
      </c>
      <c r="D7584">
        <v>381</v>
      </c>
      <c r="E7584" s="51">
        <f>IF(INDEX(DarlBelegt,16)=0,0,EOMONTH(INDEX(DarlAuszahlung,16),380)+1)</f>
      </c>
      <c r="F7584" s="43">
        <f>IF($E7584=0,0,YEAR($E7584))</f>
      </c>
      <c r="G7584" s="43">
        <f>IF(INDEX(DarlBindung,16)="",1,IF($E7584&lt;=INDEX(DarlBindung,16),1,0))</f>
      </c>
      <c r="H7584" s="43">
        <f>IF($G7584=1,INDEX(DarlSollzins,16),INDEX(DarlAnschluss,16))</f>
      </c>
      <c r="I7584" s="43">
        <f>IF(INDEX(DarlBelegt,16)=0,0,IF(INDEX(DarlOhneTilgung,16)=1,IF(INDEX(DarlBindung,16)="",1,$G7584),IF($J7584&gt;0.005,1,0)))</f>
      </c>
      <c r="J7584" s="43">
        <f>IF($I7583=0,0,$R7583)</f>
      </c>
      <c r="K7584" s="43">
        <f>IF($I7584=0,0,IF(INDEX(DarlOhneTilgung,16)=1,0,IF(AND(INDEX(DarlTilgStart,16)&gt;0,$E7584=INDEX(DarlTilgStart,16)),$J7584*($H7584+INDEX(DarlTilgung,16))/100/12,IF(AND($G7584=0,$G7583=1),MAX($K7583,$J7584*($H7584+1)/100/12),$K7583))))</f>
      </c>
      <c r="L7584" s="43">
        <f>IF($I7584=0,0,$J7584*$H7584/100/12)</f>
      </c>
      <c r="M7584" s="43">
        <f>IF($I7584=0,0,IF(OR(INDEX(DarlOhneTilgung,16)=1,AND(INDEX(DarlTilgStart,16)&gt;0,$E7584&lt;INDEX(DarlTilgStart,16))),0,MIN(MAX(0,$K7584-$L7584),$J7584)))</f>
      </c>
      <c r="N7584" s="43">
        <f>IF($I7584=0,0,MIN(SUMIFS(SondBetrag,SondDarl,16,SondDatum,"&gt;="&amp;$E7584,SondDatum,"&lt;="&amp;EOMONTH($E7584,0)),$J7584-$M7584))</f>
      </c>
      <c r="O7584" s="43">
        <f>IF($I7584=0,0,INDEX(DarlErsatzRate,16))</f>
      </c>
      <c r="P7584" s="43">
        <f>IF($I7584=0,0,$Q7583*INDEX(DarlErsatzZins,16))</f>
      </c>
      <c r="Q7584" s="43">
        <f>IF($I7584=0,0,$Q7583+$P7584+$O7584)</f>
      </c>
      <c r="R7584" s="43">
        <f>IF($I7584=0,0,$J7584-$M7584-$N7584)</f>
      </c>
    </row>
    <row r="7585">
      <c r="A7585"/>
      <c r="B7585">
        <v>16</v>
      </c>
      <c r="C7585" s="43">
        <f>INDEX(DarlObj,16)</f>
      </c>
      <c r="D7585">
        <v>382</v>
      </c>
      <c r="E7585" s="51">
        <f>IF(INDEX(DarlBelegt,16)=0,0,EOMONTH(INDEX(DarlAuszahlung,16),381)+1)</f>
      </c>
      <c r="F7585" s="43">
        <f>IF($E7585=0,0,YEAR($E7585))</f>
      </c>
      <c r="G7585" s="43">
        <f>IF(INDEX(DarlBindung,16)="",1,IF($E7585&lt;=INDEX(DarlBindung,16),1,0))</f>
      </c>
      <c r="H7585" s="43">
        <f>IF($G7585=1,INDEX(DarlSollzins,16),INDEX(DarlAnschluss,16))</f>
      </c>
      <c r="I7585" s="43">
        <f>IF(INDEX(DarlBelegt,16)=0,0,IF(INDEX(DarlOhneTilgung,16)=1,IF(INDEX(DarlBindung,16)="",1,$G7585),IF($J7585&gt;0.005,1,0)))</f>
      </c>
      <c r="J7585" s="43">
        <f>IF($I7584=0,0,$R7584)</f>
      </c>
      <c r="K7585" s="43">
        <f>IF($I7585=0,0,IF(INDEX(DarlOhneTilgung,16)=1,0,IF(AND(INDEX(DarlTilgStart,16)&gt;0,$E7585=INDEX(DarlTilgStart,16)),$J7585*($H7585+INDEX(DarlTilgung,16))/100/12,IF(AND($G7585=0,$G7584=1),MAX($K7584,$J7585*($H7585+1)/100/12),$K7584))))</f>
      </c>
      <c r="L7585" s="43">
        <f>IF($I7585=0,0,$J7585*$H7585/100/12)</f>
      </c>
      <c r="M7585" s="43">
        <f>IF($I7585=0,0,IF(OR(INDEX(DarlOhneTilgung,16)=1,AND(INDEX(DarlTilgStart,16)&gt;0,$E7585&lt;INDEX(DarlTilgStart,16))),0,MIN(MAX(0,$K7585-$L7585),$J7585)))</f>
      </c>
      <c r="N7585" s="43">
        <f>IF($I7585=0,0,MIN(SUMIFS(SondBetrag,SondDarl,16,SondDatum,"&gt;="&amp;$E7585,SondDatum,"&lt;="&amp;EOMONTH($E7585,0)),$J7585-$M7585))</f>
      </c>
      <c r="O7585" s="43">
        <f>IF($I7585=0,0,INDEX(DarlErsatzRate,16))</f>
      </c>
      <c r="P7585" s="43">
        <f>IF($I7585=0,0,$Q7584*INDEX(DarlErsatzZins,16))</f>
      </c>
      <c r="Q7585" s="43">
        <f>IF($I7585=0,0,$Q7584+$P7585+$O7585)</f>
      </c>
      <c r="R7585" s="43">
        <f>IF($I7585=0,0,$J7585-$M7585-$N7585)</f>
      </c>
    </row>
    <row r="7586">
      <c r="A7586"/>
      <c r="B7586">
        <v>16</v>
      </c>
      <c r="C7586" s="43">
        <f>INDEX(DarlObj,16)</f>
      </c>
      <c r="D7586">
        <v>383</v>
      </c>
      <c r="E7586" s="51">
        <f>IF(INDEX(DarlBelegt,16)=0,0,EOMONTH(INDEX(DarlAuszahlung,16),382)+1)</f>
      </c>
      <c r="F7586" s="43">
        <f>IF($E7586=0,0,YEAR($E7586))</f>
      </c>
      <c r="G7586" s="43">
        <f>IF(INDEX(DarlBindung,16)="",1,IF($E7586&lt;=INDEX(DarlBindung,16),1,0))</f>
      </c>
      <c r="H7586" s="43">
        <f>IF($G7586=1,INDEX(DarlSollzins,16),INDEX(DarlAnschluss,16))</f>
      </c>
      <c r="I7586" s="43">
        <f>IF(INDEX(DarlBelegt,16)=0,0,IF(INDEX(DarlOhneTilgung,16)=1,IF(INDEX(DarlBindung,16)="",1,$G7586),IF($J7586&gt;0.005,1,0)))</f>
      </c>
      <c r="J7586" s="43">
        <f>IF($I7585=0,0,$R7585)</f>
      </c>
      <c r="K7586" s="43">
        <f>IF($I7586=0,0,IF(INDEX(DarlOhneTilgung,16)=1,0,IF(AND(INDEX(DarlTilgStart,16)&gt;0,$E7586=INDEX(DarlTilgStart,16)),$J7586*($H7586+INDEX(DarlTilgung,16))/100/12,IF(AND($G7586=0,$G7585=1),MAX($K7585,$J7586*($H7586+1)/100/12),$K7585))))</f>
      </c>
      <c r="L7586" s="43">
        <f>IF($I7586=0,0,$J7586*$H7586/100/12)</f>
      </c>
      <c r="M7586" s="43">
        <f>IF($I7586=0,0,IF(OR(INDEX(DarlOhneTilgung,16)=1,AND(INDEX(DarlTilgStart,16)&gt;0,$E7586&lt;INDEX(DarlTilgStart,16))),0,MIN(MAX(0,$K7586-$L7586),$J7586)))</f>
      </c>
      <c r="N7586" s="43">
        <f>IF($I7586=0,0,MIN(SUMIFS(SondBetrag,SondDarl,16,SondDatum,"&gt;="&amp;$E7586,SondDatum,"&lt;="&amp;EOMONTH($E7586,0)),$J7586-$M7586))</f>
      </c>
      <c r="O7586" s="43">
        <f>IF($I7586=0,0,INDEX(DarlErsatzRate,16))</f>
      </c>
      <c r="P7586" s="43">
        <f>IF($I7586=0,0,$Q7585*INDEX(DarlErsatzZins,16))</f>
      </c>
      <c r="Q7586" s="43">
        <f>IF($I7586=0,0,$Q7585+$P7586+$O7586)</f>
      </c>
      <c r="R7586" s="43">
        <f>IF($I7586=0,0,$J7586-$M7586-$N7586)</f>
      </c>
    </row>
    <row r="7587">
      <c r="A7587"/>
      <c r="B7587">
        <v>16</v>
      </c>
      <c r="C7587" s="43">
        <f>INDEX(DarlObj,16)</f>
      </c>
      <c r="D7587">
        <v>384</v>
      </c>
      <c r="E7587" s="51">
        <f>IF(INDEX(DarlBelegt,16)=0,0,EOMONTH(INDEX(DarlAuszahlung,16),383)+1)</f>
      </c>
      <c r="F7587" s="43">
        <f>IF($E7587=0,0,YEAR($E7587))</f>
      </c>
      <c r="G7587" s="43">
        <f>IF(INDEX(DarlBindung,16)="",1,IF($E7587&lt;=INDEX(DarlBindung,16),1,0))</f>
      </c>
      <c r="H7587" s="43">
        <f>IF($G7587=1,INDEX(DarlSollzins,16),INDEX(DarlAnschluss,16))</f>
      </c>
      <c r="I7587" s="43">
        <f>IF(INDEX(DarlBelegt,16)=0,0,IF(INDEX(DarlOhneTilgung,16)=1,IF(INDEX(DarlBindung,16)="",1,$G7587),IF($J7587&gt;0.005,1,0)))</f>
      </c>
      <c r="J7587" s="43">
        <f>IF($I7586=0,0,$R7586)</f>
      </c>
      <c r="K7587" s="43">
        <f>IF($I7587=0,0,IF(INDEX(DarlOhneTilgung,16)=1,0,IF(AND(INDEX(DarlTilgStart,16)&gt;0,$E7587=INDEX(DarlTilgStart,16)),$J7587*($H7587+INDEX(DarlTilgung,16))/100/12,IF(AND($G7587=0,$G7586=1),MAX($K7586,$J7587*($H7587+1)/100/12),$K7586))))</f>
      </c>
      <c r="L7587" s="43">
        <f>IF($I7587=0,0,$J7587*$H7587/100/12)</f>
      </c>
      <c r="M7587" s="43">
        <f>IF($I7587=0,0,IF(OR(INDEX(DarlOhneTilgung,16)=1,AND(INDEX(DarlTilgStart,16)&gt;0,$E7587&lt;INDEX(DarlTilgStart,16))),0,MIN(MAX(0,$K7587-$L7587),$J7587)))</f>
      </c>
      <c r="N7587" s="43">
        <f>IF($I7587=0,0,MIN(SUMIFS(SondBetrag,SondDarl,16,SondDatum,"&gt;="&amp;$E7587,SondDatum,"&lt;="&amp;EOMONTH($E7587,0)),$J7587-$M7587))</f>
      </c>
      <c r="O7587" s="43">
        <f>IF($I7587=0,0,INDEX(DarlErsatzRate,16))</f>
      </c>
      <c r="P7587" s="43">
        <f>IF($I7587=0,0,$Q7586*INDEX(DarlErsatzZins,16))</f>
      </c>
      <c r="Q7587" s="43">
        <f>IF($I7587=0,0,$Q7586+$P7587+$O7587)</f>
      </c>
      <c r="R7587" s="43">
        <f>IF($I7587=0,0,$J7587-$M7587-$N7587)</f>
      </c>
    </row>
    <row r="7588">
      <c r="A7588"/>
      <c r="B7588">
        <v>16</v>
      </c>
      <c r="C7588" s="43">
        <f>INDEX(DarlObj,16)</f>
      </c>
      <c r="D7588">
        <v>385</v>
      </c>
      <c r="E7588" s="51">
        <f>IF(INDEX(DarlBelegt,16)=0,0,EOMONTH(INDEX(DarlAuszahlung,16),384)+1)</f>
      </c>
      <c r="F7588" s="43">
        <f>IF($E7588=0,0,YEAR($E7588))</f>
      </c>
      <c r="G7588" s="43">
        <f>IF(INDEX(DarlBindung,16)="",1,IF($E7588&lt;=INDEX(DarlBindung,16),1,0))</f>
      </c>
      <c r="H7588" s="43">
        <f>IF($G7588=1,INDEX(DarlSollzins,16),INDEX(DarlAnschluss,16))</f>
      </c>
      <c r="I7588" s="43">
        <f>IF(INDEX(DarlBelegt,16)=0,0,IF(INDEX(DarlOhneTilgung,16)=1,IF(INDEX(DarlBindung,16)="",1,$G7588),IF($J7588&gt;0.005,1,0)))</f>
      </c>
      <c r="J7588" s="43">
        <f>IF($I7587=0,0,$R7587)</f>
      </c>
      <c r="K7588" s="43">
        <f>IF($I7588=0,0,IF(INDEX(DarlOhneTilgung,16)=1,0,IF(AND(INDEX(DarlTilgStart,16)&gt;0,$E7588=INDEX(DarlTilgStart,16)),$J7588*($H7588+INDEX(DarlTilgung,16))/100/12,IF(AND($G7588=0,$G7587=1),MAX($K7587,$J7588*($H7588+1)/100/12),$K7587))))</f>
      </c>
      <c r="L7588" s="43">
        <f>IF($I7588=0,0,$J7588*$H7588/100/12)</f>
      </c>
      <c r="M7588" s="43">
        <f>IF($I7588=0,0,IF(OR(INDEX(DarlOhneTilgung,16)=1,AND(INDEX(DarlTilgStart,16)&gt;0,$E7588&lt;INDEX(DarlTilgStart,16))),0,MIN(MAX(0,$K7588-$L7588),$J7588)))</f>
      </c>
      <c r="N7588" s="43">
        <f>IF($I7588=0,0,MIN(SUMIFS(SondBetrag,SondDarl,16,SondDatum,"&gt;="&amp;$E7588,SondDatum,"&lt;="&amp;EOMONTH($E7588,0)),$J7588-$M7588))</f>
      </c>
      <c r="O7588" s="43">
        <f>IF($I7588=0,0,INDEX(DarlErsatzRate,16))</f>
      </c>
      <c r="P7588" s="43">
        <f>IF($I7588=0,0,$Q7587*INDEX(DarlErsatzZins,16))</f>
      </c>
      <c r="Q7588" s="43">
        <f>IF($I7588=0,0,$Q7587+$P7588+$O7588)</f>
      </c>
      <c r="R7588" s="43">
        <f>IF($I7588=0,0,$J7588-$M7588-$N7588)</f>
      </c>
    </row>
    <row r="7589">
      <c r="A7589"/>
      <c r="B7589">
        <v>16</v>
      </c>
      <c r="C7589" s="43">
        <f>INDEX(DarlObj,16)</f>
      </c>
      <c r="D7589">
        <v>386</v>
      </c>
      <c r="E7589" s="51">
        <f>IF(INDEX(DarlBelegt,16)=0,0,EOMONTH(INDEX(DarlAuszahlung,16),385)+1)</f>
      </c>
      <c r="F7589" s="43">
        <f>IF($E7589=0,0,YEAR($E7589))</f>
      </c>
      <c r="G7589" s="43">
        <f>IF(INDEX(DarlBindung,16)="",1,IF($E7589&lt;=INDEX(DarlBindung,16),1,0))</f>
      </c>
      <c r="H7589" s="43">
        <f>IF($G7589=1,INDEX(DarlSollzins,16),INDEX(DarlAnschluss,16))</f>
      </c>
      <c r="I7589" s="43">
        <f>IF(INDEX(DarlBelegt,16)=0,0,IF(INDEX(DarlOhneTilgung,16)=1,IF(INDEX(DarlBindung,16)="",1,$G7589),IF($J7589&gt;0.005,1,0)))</f>
      </c>
      <c r="J7589" s="43">
        <f>IF($I7588=0,0,$R7588)</f>
      </c>
      <c r="K7589" s="43">
        <f>IF($I7589=0,0,IF(INDEX(DarlOhneTilgung,16)=1,0,IF(AND(INDEX(DarlTilgStart,16)&gt;0,$E7589=INDEX(DarlTilgStart,16)),$J7589*($H7589+INDEX(DarlTilgung,16))/100/12,IF(AND($G7589=0,$G7588=1),MAX($K7588,$J7589*($H7589+1)/100/12),$K7588))))</f>
      </c>
      <c r="L7589" s="43">
        <f>IF($I7589=0,0,$J7589*$H7589/100/12)</f>
      </c>
      <c r="M7589" s="43">
        <f>IF($I7589=0,0,IF(OR(INDEX(DarlOhneTilgung,16)=1,AND(INDEX(DarlTilgStart,16)&gt;0,$E7589&lt;INDEX(DarlTilgStart,16))),0,MIN(MAX(0,$K7589-$L7589),$J7589)))</f>
      </c>
      <c r="N7589" s="43">
        <f>IF($I7589=0,0,MIN(SUMIFS(SondBetrag,SondDarl,16,SondDatum,"&gt;="&amp;$E7589,SondDatum,"&lt;="&amp;EOMONTH($E7589,0)),$J7589-$M7589))</f>
      </c>
      <c r="O7589" s="43">
        <f>IF($I7589=0,0,INDEX(DarlErsatzRate,16))</f>
      </c>
      <c r="P7589" s="43">
        <f>IF($I7589=0,0,$Q7588*INDEX(DarlErsatzZins,16))</f>
      </c>
      <c r="Q7589" s="43">
        <f>IF($I7589=0,0,$Q7588+$P7589+$O7589)</f>
      </c>
      <c r="R7589" s="43">
        <f>IF($I7589=0,0,$J7589-$M7589-$N7589)</f>
      </c>
    </row>
    <row r="7590">
      <c r="A7590"/>
      <c r="B7590">
        <v>16</v>
      </c>
      <c r="C7590" s="43">
        <f>INDEX(DarlObj,16)</f>
      </c>
      <c r="D7590">
        <v>387</v>
      </c>
      <c r="E7590" s="51">
        <f>IF(INDEX(DarlBelegt,16)=0,0,EOMONTH(INDEX(DarlAuszahlung,16),386)+1)</f>
      </c>
      <c r="F7590" s="43">
        <f>IF($E7590=0,0,YEAR($E7590))</f>
      </c>
      <c r="G7590" s="43">
        <f>IF(INDEX(DarlBindung,16)="",1,IF($E7590&lt;=INDEX(DarlBindung,16),1,0))</f>
      </c>
      <c r="H7590" s="43">
        <f>IF($G7590=1,INDEX(DarlSollzins,16),INDEX(DarlAnschluss,16))</f>
      </c>
      <c r="I7590" s="43">
        <f>IF(INDEX(DarlBelegt,16)=0,0,IF(INDEX(DarlOhneTilgung,16)=1,IF(INDEX(DarlBindung,16)="",1,$G7590),IF($J7590&gt;0.005,1,0)))</f>
      </c>
      <c r="J7590" s="43">
        <f>IF($I7589=0,0,$R7589)</f>
      </c>
      <c r="K7590" s="43">
        <f>IF($I7590=0,0,IF(INDEX(DarlOhneTilgung,16)=1,0,IF(AND(INDEX(DarlTilgStart,16)&gt;0,$E7590=INDEX(DarlTilgStart,16)),$J7590*($H7590+INDEX(DarlTilgung,16))/100/12,IF(AND($G7590=0,$G7589=1),MAX($K7589,$J7590*($H7590+1)/100/12),$K7589))))</f>
      </c>
      <c r="L7590" s="43">
        <f>IF($I7590=0,0,$J7590*$H7590/100/12)</f>
      </c>
      <c r="M7590" s="43">
        <f>IF($I7590=0,0,IF(OR(INDEX(DarlOhneTilgung,16)=1,AND(INDEX(DarlTilgStart,16)&gt;0,$E7590&lt;INDEX(DarlTilgStart,16))),0,MIN(MAX(0,$K7590-$L7590),$J7590)))</f>
      </c>
      <c r="N7590" s="43">
        <f>IF($I7590=0,0,MIN(SUMIFS(SondBetrag,SondDarl,16,SondDatum,"&gt;="&amp;$E7590,SondDatum,"&lt;="&amp;EOMONTH($E7590,0)),$J7590-$M7590))</f>
      </c>
      <c r="O7590" s="43">
        <f>IF($I7590=0,0,INDEX(DarlErsatzRate,16))</f>
      </c>
      <c r="P7590" s="43">
        <f>IF($I7590=0,0,$Q7589*INDEX(DarlErsatzZins,16))</f>
      </c>
      <c r="Q7590" s="43">
        <f>IF($I7590=0,0,$Q7589+$P7590+$O7590)</f>
      </c>
      <c r="R7590" s="43">
        <f>IF($I7590=0,0,$J7590-$M7590-$N7590)</f>
      </c>
    </row>
    <row r="7591">
      <c r="A7591"/>
      <c r="B7591">
        <v>16</v>
      </c>
      <c r="C7591" s="43">
        <f>INDEX(DarlObj,16)</f>
      </c>
      <c r="D7591">
        <v>388</v>
      </c>
      <c r="E7591" s="51">
        <f>IF(INDEX(DarlBelegt,16)=0,0,EOMONTH(INDEX(DarlAuszahlung,16),387)+1)</f>
      </c>
      <c r="F7591" s="43">
        <f>IF($E7591=0,0,YEAR($E7591))</f>
      </c>
      <c r="G7591" s="43">
        <f>IF(INDEX(DarlBindung,16)="",1,IF($E7591&lt;=INDEX(DarlBindung,16),1,0))</f>
      </c>
      <c r="H7591" s="43">
        <f>IF($G7591=1,INDEX(DarlSollzins,16),INDEX(DarlAnschluss,16))</f>
      </c>
      <c r="I7591" s="43">
        <f>IF(INDEX(DarlBelegt,16)=0,0,IF(INDEX(DarlOhneTilgung,16)=1,IF(INDEX(DarlBindung,16)="",1,$G7591),IF($J7591&gt;0.005,1,0)))</f>
      </c>
      <c r="J7591" s="43">
        <f>IF($I7590=0,0,$R7590)</f>
      </c>
      <c r="K7591" s="43">
        <f>IF($I7591=0,0,IF(INDEX(DarlOhneTilgung,16)=1,0,IF(AND(INDEX(DarlTilgStart,16)&gt;0,$E7591=INDEX(DarlTilgStart,16)),$J7591*($H7591+INDEX(DarlTilgung,16))/100/12,IF(AND($G7591=0,$G7590=1),MAX($K7590,$J7591*($H7591+1)/100/12),$K7590))))</f>
      </c>
      <c r="L7591" s="43">
        <f>IF($I7591=0,0,$J7591*$H7591/100/12)</f>
      </c>
      <c r="M7591" s="43">
        <f>IF($I7591=0,0,IF(OR(INDEX(DarlOhneTilgung,16)=1,AND(INDEX(DarlTilgStart,16)&gt;0,$E7591&lt;INDEX(DarlTilgStart,16))),0,MIN(MAX(0,$K7591-$L7591),$J7591)))</f>
      </c>
      <c r="N7591" s="43">
        <f>IF($I7591=0,0,MIN(SUMIFS(SondBetrag,SondDarl,16,SondDatum,"&gt;="&amp;$E7591,SondDatum,"&lt;="&amp;EOMONTH($E7591,0)),$J7591-$M7591))</f>
      </c>
      <c r="O7591" s="43">
        <f>IF($I7591=0,0,INDEX(DarlErsatzRate,16))</f>
      </c>
      <c r="P7591" s="43">
        <f>IF($I7591=0,0,$Q7590*INDEX(DarlErsatzZins,16))</f>
      </c>
      <c r="Q7591" s="43">
        <f>IF($I7591=0,0,$Q7590+$P7591+$O7591)</f>
      </c>
      <c r="R7591" s="43">
        <f>IF($I7591=0,0,$J7591-$M7591-$N7591)</f>
      </c>
    </row>
    <row r="7592">
      <c r="A7592"/>
      <c r="B7592">
        <v>16</v>
      </c>
      <c r="C7592" s="43">
        <f>INDEX(DarlObj,16)</f>
      </c>
      <c r="D7592">
        <v>389</v>
      </c>
      <c r="E7592" s="51">
        <f>IF(INDEX(DarlBelegt,16)=0,0,EOMONTH(INDEX(DarlAuszahlung,16),388)+1)</f>
      </c>
      <c r="F7592" s="43">
        <f>IF($E7592=0,0,YEAR($E7592))</f>
      </c>
      <c r="G7592" s="43">
        <f>IF(INDEX(DarlBindung,16)="",1,IF($E7592&lt;=INDEX(DarlBindung,16),1,0))</f>
      </c>
      <c r="H7592" s="43">
        <f>IF($G7592=1,INDEX(DarlSollzins,16),INDEX(DarlAnschluss,16))</f>
      </c>
      <c r="I7592" s="43">
        <f>IF(INDEX(DarlBelegt,16)=0,0,IF(INDEX(DarlOhneTilgung,16)=1,IF(INDEX(DarlBindung,16)="",1,$G7592),IF($J7592&gt;0.005,1,0)))</f>
      </c>
      <c r="J7592" s="43">
        <f>IF($I7591=0,0,$R7591)</f>
      </c>
      <c r="K7592" s="43">
        <f>IF($I7592=0,0,IF(INDEX(DarlOhneTilgung,16)=1,0,IF(AND(INDEX(DarlTilgStart,16)&gt;0,$E7592=INDEX(DarlTilgStart,16)),$J7592*($H7592+INDEX(DarlTilgung,16))/100/12,IF(AND($G7592=0,$G7591=1),MAX($K7591,$J7592*($H7592+1)/100/12),$K7591))))</f>
      </c>
      <c r="L7592" s="43">
        <f>IF($I7592=0,0,$J7592*$H7592/100/12)</f>
      </c>
      <c r="M7592" s="43">
        <f>IF($I7592=0,0,IF(OR(INDEX(DarlOhneTilgung,16)=1,AND(INDEX(DarlTilgStart,16)&gt;0,$E7592&lt;INDEX(DarlTilgStart,16))),0,MIN(MAX(0,$K7592-$L7592),$J7592)))</f>
      </c>
      <c r="N7592" s="43">
        <f>IF($I7592=0,0,MIN(SUMIFS(SondBetrag,SondDarl,16,SondDatum,"&gt;="&amp;$E7592,SondDatum,"&lt;="&amp;EOMONTH($E7592,0)),$J7592-$M7592))</f>
      </c>
      <c r="O7592" s="43">
        <f>IF($I7592=0,0,INDEX(DarlErsatzRate,16))</f>
      </c>
      <c r="P7592" s="43">
        <f>IF($I7592=0,0,$Q7591*INDEX(DarlErsatzZins,16))</f>
      </c>
      <c r="Q7592" s="43">
        <f>IF($I7592=0,0,$Q7591+$P7592+$O7592)</f>
      </c>
      <c r="R7592" s="43">
        <f>IF($I7592=0,0,$J7592-$M7592-$N7592)</f>
      </c>
    </row>
    <row r="7593">
      <c r="A7593"/>
      <c r="B7593">
        <v>16</v>
      </c>
      <c r="C7593" s="43">
        <f>INDEX(DarlObj,16)</f>
      </c>
      <c r="D7593">
        <v>390</v>
      </c>
      <c r="E7593" s="51">
        <f>IF(INDEX(DarlBelegt,16)=0,0,EOMONTH(INDEX(DarlAuszahlung,16),389)+1)</f>
      </c>
      <c r="F7593" s="43">
        <f>IF($E7593=0,0,YEAR($E7593))</f>
      </c>
      <c r="G7593" s="43">
        <f>IF(INDEX(DarlBindung,16)="",1,IF($E7593&lt;=INDEX(DarlBindung,16),1,0))</f>
      </c>
      <c r="H7593" s="43">
        <f>IF($G7593=1,INDEX(DarlSollzins,16),INDEX(DarlAnschluss,16))</f>
      </c>
      <c r="I7593" s="43">
        <f>IF(INDEX(DarlBelegt,16)=0,0,IF(INDEX(DarlOhneTilgung,16)=1,IF(INDEX(DarlBindung,16)="",1,$G7593),IF($J7593&gt;0.005,1,0)))</f>
      </c>
      <c r="J7593" s="43">
        <f>IF($I7592=0,0,$R7592)</f>
      </c>
      <c r="K7593" s="43">
        <f>IF($I7593=0,0,IF(INDEX(DarlOhneTilgung,16)=1,0,IF(AND(INDEX(DarlTilgStart,16)&gt;0,$E7593=INDEX(DarlTilgStart,16)),$J7593*($H7593+INDEX(DarlTilgung,16))/100/12,IF(AND($G7593=0,$G7592=1),MAX($K7592,$J7593*($H7593+1)/100/12),$K7592))))</f>
      </c>
      <c r="L7593" s="43">
        <f>IF($I7593=0,0,$J7593*$H7593/100/12)</f>
      </c>
      <c r="M7593" s="43">
        <f>IF($I7593=0,0,IF(OR(INDEX(DarlOhneTilgung,16)=1,AND(INDEX(DarlTilgStart,16)&gt;0,$E7593&lt;INDEX(DarlTilgStart,16))),0,MIN(MAX(0,$K7593-$L7593),$J7593)))</f>
      </c>
      <c r="N7593" s="43">
        <f>IF($I7593=0,0,MIN(SUMIFS(SondBetrag,SondDarl,16,SondDatum,"&gt;="&amp;$E7593,SondDatum,"&lt;="&amp;EOMONTH($E7593,0)),$J7593-$M7593))</f>
      </c>
      <c r="O7593" s="43">
        <f>IF($I7593=0,0,INDEX(DarlErsatzRate,16))</f>
      </c>
      <c r="P7593" s="43">
        <f>IF($I7593=0,0,$Q7592*INDEX(DarlErsatzZins,16))</f>
      </c>
      <c r="Q7593" s="43">
        <f>IF($I7593=0,0,$Q7592+$P7593+$O7593)</f>
      </c>
      <c r="R7593" s="43">
        <f>IF($I7593=0,0,$J7593-$M7593-$N7593)</f>
      </c>
    </row>
    <row r="7594">
      <c r="A7594"/>
      <c r="B7594">
        <v>16</v>
      </c>
      <c r="C7594" s="43">
        <f>INDEX(DarlObj,16)</f>
      </c>
      <c r="D7594">
        <v>391</v>
      </c>
      <c r="E7594" s="51">
        <f>IF(INDEX(DarlBelegt,16)=0,0,EOMONTH(INDEX(DarlAuszahlung,16),390)+1)</f>
      </c>
      <c r="F7594" s="43">
        <f>IF($E7594=0,0,YEAR($E7594))</f>
      </c>
      <c r="G7594" s="43">
        <f>IF(INDEX(DarlBindung,16)="",1,IF($E7594&lt;=INDEX(DarlBindung,16),1,0))</f>
      </c>
      <c r="H7594" s="43">
        <f>IF($G7594=1,INDEX(DarlSollzins,16),INDEX(DarlAnschluss,16))</f>
      </c>
      <c r="I7594" s="43">
        <f>IF(INDEX(DarlBelegt,16)=0,0,IF(INDEX(DarlOhneTilgung,16)=1,IF(INDEX(DarlBindung,16)="",1,$G7594),IF($J7594&gt;0.005,1,0)))</f>
      </c>
      <c r="J7594" s="43">
        <f>IF($I7593=0,0,$R7593)</f>
      </c>
      <c r="K7594" s="43">
        <f>IF($I7594=0,0,IF(INDEX(DarlOhneTilgung,16)=1,0,IF(AND(INDEX(DarlTilgStart,16)&gt;0,$E7594=INDEX(DarlTilgStart,16)),$J7594*($H7594+INDEX(DarlTilgung,16))/100/12,IF(AND($G7594=0,$G7593=1),MAX($K7593,$J7594*($H7594+1)/100/12),$K7593))))</f>
      </c>
      <c r="L7594" s="43">
        <f>IF($I7594=0,0,$J7594*$H7594/100/12)</f>
      </c>
      <c r="M7594" s="43">
        <f>IF($I7594=0,0,IF(OR(INDEX(DarlOhneTilgung,16)=1,AND(INDEX(DarlTilgStart,16)&gt;0,$E7594&lt;INDEX(DarlTilgStart,16))),0,MIN(MAX(0,$K7594-$L7594),$J7594)))</f>
      </c>
      <c r="N7594" s="43">
        <f>IF($I7594=0,0,MIN(SUMIFS(SondBetrag,SondDarl,16,SondDatum,"&gt;="&amp;$E7594,SondDatum,"&lt;="&amp;EOMONTH($E7594,0)),$J7594-$M7594))</f>
      </c>
      <c r="O7594" s="43">
        <f>IF($I7594=0,0,INDEX(DarlErsatzRate,16))</f>
      </c>
      <c r="P7594" s="43">
        <f>IF($I7594=0,0,$Q7593*INDEX(DarlErsatzZins,16))</f>
      </c>
      <c r="Q7594" s="43">
        <f>IF($I7594=0,0,$Q7593+$P7594+$O7594)</f>
      </c>
      <c r="R7594" s="43">
        <f>IF($I7594=0,0,$J7594-$M7594-$N7594)</f>
      </c>
    </row>
    <row r="7595">
      <c r="A7595"/>
      <c r="B7595">
        <v>16</v>
      </c>
      <c r="C7595" s="43">
        <f>INDEX(DarlObj,16)</f>
      </c>
      <c r="D7595">
        <v>392</v>
      </c>
      <c r="E7595" s="51">
        <f>IF(INDEX(DarlBelegt,16)=0,0,EOMONTH(INDEX(DarlAuszahlung,16),391)+1)</f>
      </c>
      <c r="F7595" s="43">
        <f>IF($E7595=0,0,YEAR($E7595))</f>
      </c>
      <c r="G7595" s="43">
        <f>IF(INDEX(DarlBindung,16)="",1,IF($E7595&lt;=INDEX(DarlBindung,16),1,0))</f>
      </c>
      <c r="H7595" s="43">
        <f>IF($G7595=1,INDEX(DarlSollzins,16),INDEX(DarlAnschluss,16))</f>
      </c>
      <c r="I7595" s="43">
        <f>IF(INDEX(DarlBelegt,16)=0,0,IF(INDEX(DarlOhneTilgung,16)=1,IF(INDEX(DarlBindung,16)="",1,$G7595),IF($J7595&gt;0.005,1,0)))</f>
      </c>
      <c r="J7595" s="43">
        <f>IF($I7594=0,0,$R7594)</f>
      </c>
      <c r="K7595" s="43">
        <f>IF($I7595=0,0,IF(INDEX(DarlOhneTilgung,16)=1,0,IF(AND(INDEX(DarlTilgStart,16)&gt;0,$E7595=INDEX(DarlTilgStart,16)),$J7595*($H7595+INDEX(DarlTilgung,16))/100/12,IF(AND($G7595=0,$G7594=1),MAX($K7594,$J7595*($H7595+1)/100/12),$K7594))))</f>
      </c>
      <c r="L7595" s="43">
        <f>IF($I7595=0,0,$J7595*$H7595/100/12)</f>
      </c>
      <c r="M7595" s="43">
        <f>IF($I7595=0,0,IF(OR(INDEX(DarlOhneTilgung,16)=1,AND(INDEX(DarlTilgStart,16)&gt;0,$E7595&lt;INDEX(DarlTilgStart,16))),0,MIN(MAX(0,$K7595-$L7595),$J7595)))</f>
      </c>
      <c r="N7595" s="43">
        <f>IF($I7595=0,0,MIN(SUMIFS(SondBetrag,SondDarl,16,SondDatum,"&gt;="&amp;$E7595,SondDatum,"&lt;="&amp;EOMONTH($E7595,0)),$J7595-$M7595))</f>
      </c>
      <c r="O7595" s="43">
        <f>IF($I7595=0,0,INDEX(DarlErsatzRate,16))</f>
      </c>
      <c r="P7595" s="43">
        <f>IF($I7595=0,0,$Q7594*INDEX(DarlErsatzZins,16))</f>
      </c>
      <c r="Q7595" s="43">
        <f>IF($I7595=0,0,$Q7594+$P7595+$O7595)</f>
      </c>
      <c r="R7595" s="43">
        <f>IF($I7595=0,0,$J7595-$M7595-$N7595)</f>
      </c>
    </row>
    <row r="7596">
      <c r="A7596"/>
      <c r="B7596">
        <v>16</v>
      </c>
      <c r="C7596" s="43">
        <f>INDEX(DarlObj,16)</f>
      </c>
      <c r="D7596">
        <v>393</v>
      </c>
      <c r="E7596" s="51">
        <f>IF(INDEX(DarlBelegt,16)=0,0,EOMONTH(INDEX(DarlAuszahlung,16),392)+1)</f>
      </c>
      <c r="F7596" s="43">
        <f>IF($E7596=0,0,YEAR($E7596))</f>
      </c>
      <c r="G7596" s="43">
        <f>IF(INDEX(DarlBindung,16)="",1,IF($E7596&lt;=INDEX(DarlBindung,16),1,0))</f>
      </c>
      <c r="H7596" s="43">
        <f>IF($G7596=1,INDEX(DarlSollzins,16),INDEX(DarlAnschluss,16))</f>
      </c>
      <c r="I7596" s="43">
        <f>IF(INDEX(DarlBelegt,16)=0,0,IF(INDEX(DarlOhneTilgung,16)=1,IF(INDEX(DarlBindung,16)="",1,$G7596),IF($J7596&gt;0.005,1,0)))</f>
      </c>
      <c r="J7596" s="43">
        <f>IF($I7595=0,0,$R7595)</f>
      </c>
      <c r="K7596" s="43">
        <f>IF($I7596=0,0,IF(INDEX(DarlOhneTilgung,16)=1,0,IF(AND(INDEX(DarlTilgStart,16)&gt;0,$E7596=INDEX(DarlTilgStart,16)),$J7596*($H7596+INDEX(DarlTilgung,16))/100/12,IF(AND($G7596=0,$G7595=1),MAX($K7595,$J7596*($H7596+1)/100/12),$K7595))))</f>
      </c>
      <c r="L7596" s="43">
        <f>IF($I7596=0,0,$J7596*$H7596/100/12)</f>
      </c>
      <c r="M7596" s="43">
        <f>IF($I7596=0,0,IF(OR(INDEX(DarlOhneTilgung,16)=1,AND(INDEX(DarlTilgStart,16)&gt;0,$E7596&lt;INDEX(DarlTilgStart,16))),0,MIN(MAX(0,$K7596-$L7596),$J7596)))</f>
      </c>
      <c r="N7596" s="43">
        <f>IF($I7596=0,0,MIN(SUMIFS(SondBetrag,SondDarl,16,SondDatum,"&gt;="&amp;$E7596,SondDatum,"&lt;="&amp;EOMONTH($E7596,0)),$J7596-$M7596))</f>
      </c>
      <c r="O7596" s="43">
        <f>IF($I7596=0,0,INDEX(DarlErsatzRate,16))</f>
      </c>
      <c r="P7596" s="43">
        <f>IF($I7596=0,0,$Q7595*INDEX(DarlErsatzZins,16))</f>
      </c>
      <c r="Q7596" s="43">
        <f>IF($I7596=0,0,$Q7595+$P7596+$O7596)</f>
      </c>
      <c r="R7596" s="43">
        <f>IF($I7596=0,0,$J7596-$M7596-$N7596)</f>
      </c>
    </row>
    <row r="7597">
      <c r="A7597"/>
      <c r="B7597">
        <v>16</v>
      </c>
      <c r="C7597" s="43">
        <f>INDEX(DarlObj,16)</f>
      </c>
      <c r="D7597">
        <v>394</v>
      </c>
      <c r="E7597" s="51">
        <f>IF(INDEX(DarlBelegt,16)=0,0,EOMONTH(INDEX(DarlAuszahlung,16),393)+1)</f>
      </c>
      <c r="F7597" s="43">
        <f>IF($E7597=0,0,YEAR($E7597))</f>
      </c>
      <c r="G7597" s="43">
        <f>IF(INDEX(DarlBindung,16)="",1,IF($E7597&lt;=INDEX(DarlBindung,16),1,0))</f>
      </c>
      <c r="H7597" s="43">
        <f>IF($G7597=1,INDEX(DarlSollzins,16),INDEX(DarlAnschluss,16))</f>
      </c>
      <c r="I7597" s="43">
        <f>IF(INDEX(DarlBelegt,16)=0,0,IF(INDEX(DarlOhneTilgung,16)=1,IF(INDEX(DarlBindung,16)="",1,$G7597),IF($J7597&gt;0.005,1,0)))</f>
      </c>
      <c r="J7597" s="43">
        <f>IF($I7596=0,0,$R7596)</f>
      </c>
      <c r="K7597" s="43">
        <f>IF($I7597=0,0,IF(INDEX(DarlOhneTilgung,16)=1,0,IF(AND(INDEX(DarlTilgStart,16)&gt;0,$E7597=INDEX(DarlTilgStart,16)),$J7597*($H7597+INDEX(DarlTilgung,16))/100/12,IF(AND($G7597=0,$G7596=1),MAX($K7596,$J7597*($H7597+1)/100/12),$K7596))))</f>
      </c>
      <c r="L7597" s="43">
        <f>IF($I7597=0,0,$J7597*$H7597/100/12)</f>
      </c>
      <c r="M7597" s="43">
        <f>IF($I7597=0,0,IF(OR(INDEX(DarlOhneTilgung,16)=1,AND(INDEX(DarlTilgStart,16)&gt;0,$E7597&lt;INDEX(DarlTilgStart,16))),0,MIN(MAX(0,$K7597-$L7597),$J7597)))</f>
      </c>
      <c r="N7597" s="43">
        <f>IF($I7597=0,0,MIN(SUMIFS(SondBetrag,SondDarl,16,SondDatum,"&gt;="&amp;$E7597,SondDatum,"&lt;="&amp;EOMONTH($E7597,0)),$J7597-$M7597))</f>
      </c>
      <c r="O7597" s="43">
        <f>IF($I7597=0,0,INDEX(DarlErsatzRate,16))</f>
      </c>
      <c r="P7597" s="43">
        <f>IF($I7597=0,0,$Q7596*INDEX(DarlErsatzZins,16))</f>
      </c>
      <c r="Q7597" s="43">
        <f>IF($I7597=0,0,$Q7596+$P7597+$O7597)</f>
      </c>
      <c r="R7597" s="43">
        <f>IF($I7597=0,0,$J7597-$M7597-$N7597)</f>
      </c>
    </row>
    <row r="7598">
      <c r="A7598"/>
      <c r="B7598">
        <v>16</v>
      </c>
      <c r="C7598" s="43">
        <f>INDEX(DarlObj,16)</f>
      </c>
      <c r="D7598">
        <v>395</v>
      </c>
      <c r="E7598" s="51">
        <f>IF(INDEX(DarlBelegt,16)=0,0,EOMONTH(INDEX(DarlAuszahlung,16),394)+1)</f>
      </c>
      <c r="F7598" s="43">
        <f>IF($E7598=0,0,YEAR($E7598))</f>
      </c>
      <c r="G7598" s="43">
        <f>IF(INDEX(DarlBindung,16)="",1,IF($E7598&lt;=INDEX(DarlBindung,16),1,0))</f>
      </c>
      <c r="H7598" s="43">
        <f>IF($G7598=1,INDEX(DarlSollzins,16),INDEX(DarlAnschluss,16))</f>
      </c>
      <c r="I7598" s="43">
        <f>IF(INDEX(DarlBelegt,16)=0,0,IF(INDEX(DarlOhneTilgung,16)=1,IF(INDEX(DarlBindung,16)="",1,$G7598),IF($J7598&gt;0.005,1,0)))</f>
      </c>
      <c r="J7598" s="43">
        <f>IF($I7597=0,0,$R7597)</f>
      </c>
      <c r="K7598" s="43">
        <f>IF($I7598=0,0,IF(INDEX(DarlOhneTilgung,16)=1,0,IF(AND(INDEX(DarlTilgStart,16)&gt;0,$E7598=INDEX(DarlTilgStart,16)),$J7598*($H7598+INDEX(DarlTilgung,16))/100/12,IF(AND($G7598=0,$G7597=1),MAX($K7597,$J7598*($H7598+1)/100/12),$K7597))))</f>
      </c>
      <c r="L7598" s="43">
        <f>IF($I7598=0,0,$J7598*$H7598/100/12)</f>
      </c>
      <c r="M7598" s="43">
        <f>IF($I7598=0,0,IF(OR(INDEX(DarlOhneTilgung,16)=1,AND(INDEX(DarlTilgStart,16)&gt;0,$E7598&lt;INDEX(DarlTilgStart,16))),0,MIN(MAX(0,$K7598-$L7598),$J7598)))</f>
      </c>
      <c r="N7598" s="43">
        <f>IF($I7598=0,0,MIN(SUMIFS(SondBetrag,SondDarl,16,SondDatum,"&gt;="&amp;$E7598,SondDatum,"&lt;="&amp;EOMONTH($E7598,0)),$J7598-$M7598))</f>
      </c>
      <c r="O7598" s="43">
        <f>IF($I7598=0,0,INDEX(DarlErsatzRate,16))</f>
      </c>
      <c r="P7598" s="43">
        <f>IF($I7598=0,0,$Q7597*INDEX(DarlErsatzZins,16))</f>
      </c>
      <c r="Q7598" s="43">
        <f>IF($I7598=0,0,$Q7597+$P7598+$O7598)</f>
      </c>
      <c r="R7598" s="43">
        <f>IF($I7598=0,0,$J7598-$M7598-$N7598)</f>
      </c>
    </row>
    <row r="7599">
      <c r="A7599"/>
      <c r="B7599">
        <v>16</v>
      </c>
      <c r="C7599" s="43">
        <f>INDEX(DarlObj,16)</f>
      </c>
      <c r="D7599">
        <v>396</v>
      </c>
      <c r="E7599" s="51">
        <f>IF(INDEX(DarlBelegt,16)=0,0,EOMONTH(INDEX(DarlAuszahlung,16),395)+1)</f>
      </c>
      <c r="F7599" s="43">
        <f>IF($E7599=0,0,YEAR($E7599))</f>
      </c>
      <c r="G7599" s="43">
        <f>IF(INDEX(DarlBindung,16)="",1,IF($E7599&lt;=INDEX(DarlBindung,16),1,0))</f>
      </c>
      <c r="H7599" s="43">
        <f>IF($G7599=1,INDEX(DarlSollzins,16),INDEX(DarlAnschluss,16))</f>
      </c>
      <c r="I7599" s="43">
        <f>IF(INDEX(DarlBelegt,16)=0,0,IF(INDEX(DarlOhneTilgung,16)=1,IF(INDEX(DarlBindung,16)="",1,$G7599),IF($J7599&gt;0.005,1,0)))</f>
      </c>
      <c r="J7599" s="43">
        <f>IF($I7598=0,0,$R7598)</f>
      </c>
      <c r="K7599" s="43">
        <f>IF($I7599=0,0,IF(INDEX(DarlOhneTilgung,16)=1,0,IF(AND(INDEX(DarlTilgStart,16)&gt;0,$E7599=INDEX(DarlTilgStart,16)),$J7599*($H7599+INDEX(DarlTilgung,16))/100/12,IF(AND($G7599=0,$G7598=1),MAX($K7598,$J7599*($H7599+1)/100/12),$K7598))))</f>
      </c>
      <c r="L7599" s="43">
        <f>IF($I7599=0,0,$J7599*$H7599/100/12)</f>
      </c>
      <c r="M7599" s="43">
        <f>IF($I7599=0,0,IF(OR(INDEX(DarlOhneTilgung,16)=1,AND(INDEX(DarlTilgStart,16)&gt;0,$E7599&lt;INDEX(DarlTilgStart,16))),0,MIN(MAX(0,$K7599-$L7599),$J7599)))</f>
      </c>
      <c r="N7599" s="43">
        <f>IF($I7599=0,0,MIN(SUMIFS(SondBetrag,SondDarl,16,SondDatum,"&gt;="&amp;$E7599,SondDatum,"&lt;="&amp;EOMONTH($E7599,0)),$J7599-$M7599))</f>
      </c>
      <c r="O7599" s="43">
        <f>IF($I7599=0,0,INDEX(DarlErsatzRate,16))</f>
      </c>
      <c r="P7599" s="43">
        <f>IF($I7599=0,0,$Q7598*INDEX(DarlErsatzZins,16))</f>
      </c>
      <c r="Q7599" s="43">
        <f>IF($I7599=0,0,$Q7598+$P7599+$O7599)</f>
      </c>
      <c r="R7599" s="43">
        <f>IF($I7599=0,0,$J7599-$M7599-$N7599)</f>
      </c>
    </row>
    <row r="7600">
      <c r="A7600"/>
      <c r="B7600">
        <v>16</v>
      </c>
      <c r="C7600" s="43">
        <f>INDEX(DarlObj,16)</f>
      </c>
      <c r="D7600">
        <v>397</v>
      </c>
      <c r="E7600" s="51">
        <f>IF(INDEX(DarlBelegt,16)=0,0,EOMONTH(INDEX(DarlAuszahlung,16),396)+1)</f>
      </c>
      <c r="F7600" s="43">
        <f>IF($E7600=0,0,YEAR($E7600))</f>
      </c>
      <c r="G7600" s="43">
        <f>IF(INDEX(DarlBindung,16)="",1,IF($E7600&lt;=INDEX(DarlBindung,16),1,0))</f>
      </c>
      <c r="H7600" s="43">
        <f>IF($G7600=1,INDEX(DarlSollzins,16),INDEX(DarlAnschluss,16))</f>
      </c>
      <c r="I7600" s="43">
        <f>IF(INDEX(DarlBelegt,16)=0,0,IF(INDEX(DarlOhneTilgung,16)=1,IF(INDEX(DarlBindung,16)="",1,$G7600),IF($J7600&gt;0.005,1,0)))</f>
      </c>
      <c r="J7600" s="43">
        <f>IF($I7599=0,0,$R7599)</f>
      </c>
      <c r="K7600" s="43">
        <f>IF($I7600=0,0,IF(INDEX(DarlOhneTilgung,16)=1,0,IF(AND(INDEX(DarlTilgStart,16)&gt;0,$E7600=INDEX(DarlTilgStart,16)),$J7600*($H7600+INDEX(DarlTilgung,16))/100/12,IF(AND($G7600=0,$G7599=1),MAX($K7599,$J7600*($H7600+1)/100/12),$K7599))))</f>
      </c>
      <c r="L7600" s="43">
        <f>IF($I7600=0,0,$J7600*$H7600/100/12)</f>
      </c>
      <c r="M7600" s="43">
        <f>IF($I7600=0,0,IF(OR(INDEX(DarlOhneTilgung,16)=1,AND(INDEX(DarlTilgStart,16)&gt;0,$E7600&lt;INDEX(DarlTilgStart,16))),0,MIN(MAX(0,$K7600-$L7600),$J7600)))</f>
      </c>
      <c r="N7600" s="43">
        <f>IF($I7600=0,0,MIN(SUMIFS(SondBetrag,SondDarl,16,SondDatum,"&gt;="&amp;$E7600,SondDatum,"&lt;="&amp;EOMONTH($E7600,0)),$J7600-$M7600))</f>
      </c>
      <c r="O7600" s="43">
        <f>IF($I7600=0,0,INDEX(DarlErsatzRate,16))</f>
      </c>
      <c r="P7600" s="43">
        <f>IF($I7600=0,0,$Q7599*INDEX(DarlErsatzZins,16))</f>
      </c>
      <c r="Q7600" s="43">
        <f>IF($I7600=0,0,$Q7599+$P7600+$O7600)</f>
      </c>
      <c r="R7600" s="43">
        <f>IF($I7600=0,0,$J7600-$M7600-$N7600)</f>
      </c>
    </row>
    <row r="7601">
      <c r="A7601"/>
      <c r="B7601">
        <v>16</v>
      </c>
      <c r="C7601" s="43">
        <f>INDEX(DarlObj,16)</f>
      </c>
      <c r="D7601">
        <v>398</v>
      </c>
      <c r="E7601" s="51">
        <f>IF(INDEX(DarlBelegt,16)=0,0,EOMONTH(INDEX(DarlAuszahlung,16),397)+1)</f>
      </c>
      <c r="F7601" s="43">
        <f>IF($E7601=0,0,YEAR($E7601))</f>
      </c>
      <c r="G7601" s="43">
        <f>IF(INDEX(DarlBindung,16)="",1,IF($E7601&lt;=INDEX(DarlBindung,16),1,0))</f>
      </c>
      <c r="H7601" s="43">
        <f>IF($G7601=1,INDEX(DarlSollzins,16),INDEX(DarlAnschluss,16))</f>
      </c>
      <c r="I7601" s="43">
        <f>IF(INDEX(DarlBelegt,16)=0,0,IF(INDEX(DarlOhneTilgung,16)=1,IF(INDEX(DarlBindung,16)="",1,$G7601),IF($J7601&gt;0.005,1,0)))</f>
      </c>
      <c r="J7601" s="43">
        <f>IF($I7600=0,0,$R7600)</f>
      </c>
      <c r="K7601" s="43">
        <f>IF($I7601=0,0,IF(INDEX(DarlOhneTilgung,16)=1,0,IF(AND(INDEX(DarlTilgStart,16)&gt;0,$E7601=INDEX(DarlTilgStart,16)),$J7601*($H7601+INDEX(DarlTilgung,16))/100/12,IF(AND($G7601=0,$G7600=1),MAX($K7600,$J7601*($H7601+1)/100/12),$K7600))))</f>
      </c>
      <c r="L7601" s="43">
        <f>IF($I7601=0,0,$J7601*$H7601/100/12)</f>
      </c>
      <c r="M7601" s="43">
        <f>IF($I7601=0,0,IF(OR(INDEX(DarlOhneTilgung,16)=1,AND(INDEX(DarlTilgStart,16)&gt;0,$E7601&lt;INDEX(DarlTilgStart,16))),0,MIN(MAX(0,$K7601-$L7601),$J7601)))</f>
      </c>
      <c r="N7601" s="43">
        <f>IF($I7601=0,0,MIN(SUMIFS(SondBetrag,SondDarl,16,SondDatum,"&gt;="&amp;$E7601,SondDatum,"&lt;="&amp;EOMONTH($E7601,0)),$J7601-$M7601))</f>
      </c>
      <c r="O7601" s="43">
        <f>IF($I7601=0,0,INDEX(DarlErsatzRate,16))</f>
      </c>
      <c r="P7601" s="43">
        <f>IF($I7601=0,0,$Q7600*INDEX(DarlErsatzZins,16))</f>
      </c>
      <c r="Q7601" s="43">
        <f>IF($I7601=0,0,$Q7600+$P7601+$O7601)</f>
      </c>
      <c r="R7601" s="43">
        <f>IF($I7601=0,0,$J7601-$M7601-$N7601)</f>
      </c>
    </row>
    <row r="7602">
      <c r="A7602"/>
      <c r="B7602">
        <v>16</v>
      </c>
      <c r="C7602" s="43">
        <f>INDEX(DarlObj,16)</f>
      </c>
      <c r="D7602">
        <v>399</v>
      </c>
      <c r="E7602" s="51">
        <f>IF(INDEX(DarlBelegt,16)=0,0,EOMONTH(INDEX(DarlAuszahlung,16),398)+1)</f>
      </c>
      <c r="F7602" s="43">
        <f>IF($E7602=0,0,YEAR($E7602))</f>
      </c>
      <c r="G7602" s="43">
        <f>IF(INDEX(DarlBindung,16)="",1,IF($E7602&lt;=INDEX(DarlBindung,16),1,0))</f>
      </c>
      <c r="H7602" s="43">
        <f>IF($G7602=1,INDEX(DarlSollzins,16),INDEX(DarlAnschluss,16))</f>
      </c>
      <c r="I7602" s="43">
        <f>IF(INDEX(DarlBelegt,16)=0,0,IF(INDEX(DarlOhneTilgung,16)=1,IF(INDEX(DarlBindung,16)="",1,$G7602),IF($J7602&gt;0.005,1,0)))</f>
      </c>
      <c r="J7602" s="43">
        <f>IF($I7601=0,0,$R7601)</f>
      </c>
      <c r="K7602" s="43">
        <f>IF($I7602=0,0,IF(INDEX(DarlOhneTilgung,16)=1,0,IF(AND(INDEX(DarlTilgStart,16)&gt;0,$E7602=INDEX(DarlTilgStart,16)),$J7602*($H7602+INDEX(DarlTilgung,16))/100/12,IF(AND($G7602=0,$G7601=1),MAX($K7601,$J7602*($H7602+1)/100/12),$K7601))))</f>
      </c>
      <c r="L7602" s="43">
        <f>IF($I7602=0,0,$J7602*$H7602/100/12)</f>
      </c>
      <c r="M7602" s="43">
        <f>IF($I7602=0,0,IF(OR(INDEX(DarlOhneTilgung,16)=1,AND(INDEX(DarlTilgStart,16)&gt;0,$E7602&lt;INDEX(DarlTilgStart,16))),0,MIN(MAX(0,$K7602-$L7602),$J7602)))</f>
      </c>
      <c r="N7602" s="43">
        <f>IF($I7602=0,0,MIN(SUMIFS(SondBetrag,SondDarl,16,SondDatum,"&gt;="&amp;$E7602,SondDatum,"&lt;="&amp;EOMONTH($E7602,0)),$J7602-$M7602))</f>
      </c>
      <c r="O7602" s="43">
        <f>IF($I7602=0,0,INDEX(DarlErsatzRate,16))</f>
      </c>
      <c r="P7602" s="43">
        <f>IF($I7602=0,0,$Q7601*INDEX(DarlErsatzZins,16))</f>
      </c>
      <c r="Q7602" s="43">
        <f>IF($I7602=0,0,$Q7601+$P7602+$O7602)</f>
      </c>
      <c r="R7602" s="43">
        <f>IF($I7602=0,0,$J7602-$M7602-$N7602)</f>
      </c>
    </row>
    <row r="7603">
      <c r="A7603"/>
      <c r="B7603">
        <v>16</v>
      </c>
      <c r="C7603" s="43">
        <f>INDEX(DarlObj,16)</f>
      </c>
      <c r="D7603">
        <v>400</v>
      </c>
      <c r="E7603" s="51">
        <f>IF(INDEX(DarlBelegt,16)=0,0,EOMONTH(INDEX(DarlAuszahlung,16),399)+1)</f>
      </c>
      <c r="F7603" s="43">
        <f>IF($E7603=0,0,YEAR($E7603))</f>
      </c>
      <c r="G7603" s="43">
        <f>IF(INDEX(DarlBindung,16)="",1,IF($E7603&lt;=INDEX(DarlBindung,16),1,0))</f>
      </c>
      <c r="H7603" s="43">
        <f>IF($G7603=1,INDEX(DarlSollzins,16),INDEX(DarlAnschluss,16))</f>
      </c>
      <c r="I7603" s="43">
        <f>IF(INDEX(DarlBelegt,16)=0,0,IF(INDEX(DarlOhneTilgung,16)=1,IF(INDEX(DarlBindung,16)="",1,$G7603),IF($J7603&gt;0.005,1,0)))</f>
      </c>
      <c r="J7603" s="43">
        <f>IF($I7602=0,0,$R7602)</f>
      </c>
      <c r="K7603" s="43">
        <f>IF($I7603=0,0,IF(INDEX(DarlOhneTilgung,16)=1,0,IF(AND(INDEX(DarlTilgStart,16)&gt;0,$E7603=INDEX(DarlTilgStart,16)),$J7603*($H7603+INDEX(DarlTilgung,16))/100/12,IF(AND($G7603=0,$G7602=1),MAX($K7602,$J7603*($H7603+1)/100/12),$K7602))))</f>
      </c>
      <c r="L7603" s="43">
        <f>IF($I7603=0,0,$J7603*$H7603/100/12)</f>
      </c>
      <c r="M7603" s="43">
        <f>IF($I7603=0,0,IF(OR(INDEX(DarlOhneTilgung,16)=1,AND(INDEX(DarlTilgStart,16)&gt;0,$E7603&lt;INDEX(DarlTilgStart,16))),0,MIN(MAX(0,$K7603-$L7603),$J7603)))</f>
      </c>
      <c r="N7603" s="43">
        <f>IF($I7603=0,0,MIN(SUMIFS(SondBetrag,SondDarl,16,SondDatum,"&gt;="&amp;$E7603,SondDatum,"&lt;="&amp;EOMONTH($E7603,0)),$J7603-$M7603))</f>
      </c>
      <c r="O7603" s="43">
        <f>IF($I7603=0,0,INDEX(DarlErsatzRate,16))</f>
      </c>
      <c r="P7603" s="43">
        <f>IF($I7603=0,0,$Q7602*INDEX(DarlErsatzZins,16))</f>
      </c>
      <c r="Q7603" s="43">
        <f>IF($I7603=0,0,$Q7602+$P7603+$O7603)</f>
      </c>
      <c r="R7603" s="43">
        <f>IF($I7603=0,0,$J7603-$M7603-$N7603)</f>
      </c>
    </row>
    <row r="7604">
      <c r="A7604"/>
      <c r="B7604">
        <v>16</v>
      </c>
      <c r="C7604" s="43">
        <f>INDEX(DarlObj,16)</f>
      </c>
      <c r="D7604">
        <v>401</v>
      </c>
      <c r="E7604" s="51">
        <f>IF(INDEX(DarlBelegt,16)=0,0,EOMONTH(INDEX(DarlAuszahlung,16),400)+1)</f>
      </c>
      <c r="F7604" s="43">
        <f>IF($E7604=0,0,YEAR($E7604))</f>
      </c>
      <c r="G7604" s="43">
        <f>IF(INDEX(DarlBindung,16)="",1,IF($E7604&lt;=INDEX(DarlBindung,16),1,0))</f>
      </c>
      <c r="H7604" s="43">
        <f>IF($G7604=1,INDEX(DarlSollzins,16),INDEX(DarlAnschluss,16))</f>
      </c>
      <c r="I7604" s="43">
        <f>IF(INDEX(DarlBelegt,16)=0,0,IF(INDEX(DarlOhneTilgung,16)=1,IF(INDEX(DarlBindung,16)="",1,$G7604),IF($J7604&gt;0.005,1,0)))</f>
      </c>
      <c r="J7604" s="43">
        <f>IF($I7603=0,0,$R7603)</f>
      </c>
      <c r="K7604" s="43">
        <f>IF($I7604=0,0,IF(INDEX(DarlOhneTilgung,16)=1,0,IF(AND(INDEX(DarlTilgStart,16)&gt;0,$E7604=INDEX(DarlTilgStart,16)),$J7604*($H7604+INDEX(DarlTilgung,16))/100/12,IF(AND($G7604=0,$G7603=1),MAX($K7603,$J7604*($H7604+1)/100/12),$K7603))))</f>
      </c>
      <c r="L7604" s="43">
        <f>IF($I7604=0,0,$J7604*$H7604/100/12)</f>
      </c>
      <c r="M7604" s="43">
        <f>IF($I7604=0,0,IF(OR(INDEX(DarlOhneTilgung,16)=1,AND(INDEX(DarlTilgStart,16)&gt;0,$E7604&lt;INDEX(DarlTilgStart,16))),0,MIN(MAX(0,$K7604-$L7604),$J7604)))</f>
      </c>
      <c r="N7604" s="43">
        <f>IF($I7604=0,0,MIN(SUMIFS(SondBetrag,SondDarl,16,SondDatum,"&gt;="&amp;$E7604,SondDatum,"&lt;="&amp;EOMONTH($E7604,0)),$J7604-$M7604))</f>
      </c>
      <c r="O7604" s="43">
        <f>IF($I7604=0,0,INDEX(DarlErsatzRate,16))</f>
      </c>
      <c r="P7604" s="43">
        <f>IF($I7604=0,0,$Q7603*INDEX(DarlErsatzZins,16))</f>
      </c>
      <c r="Q7604" s="43">
        <f>IF($I7604=0,0,$Q7603+$P7604+$O7604)</f>
      </c>
      <c r="R7604" s="43">
        <f>IF($I7604=0,0,$J7604-$M7604-$N7604)</f>
      </c>
    </row>
    <row r="7605">
      <c r="A7605"/>
      <c r="B7605">
        <v>16</v>
      </c>
      <c r="C7605" s="43">
        <f>INDEX(DarlObj,16)</f>
      </c>
      <c r="D7605">
        <v>402</v>
      </c>
      <c r="E7605" s="51">
        <f>IF(INDEX(DarlBelegt,16)=0,0,EOMONTH(INDEX(DarlAuszahlung,16),401)+1)</f>
      </c>
      <c r="F7605" s="43">
        <f>IF($E7605=0,0,YEAR($E7605))</f>
      </c>
      <c r="G7605" s="43">
        <f>IF(INDEX(DarlBindung,16)="",1,IF($E7605&lt;=INDEX(DarlBindung,16),1,0))</f>
      </c>
      <c r="H7605" s="43">
        <f>IF($G7605=1,INDEX(DarlSollzins,16),INDEX(DarlAnschluss,16))</f>
      </c>
      <c r="I7605" s="43">
        <f>IF(INDEX(DarlBelegt,16)=0,0,IF(INDEX(DarlOhneTilgung,16)=1,IF(INDEX(DarlBindung,16)="",1,$G7605),IF($J7605&gt;0.005,1,0)))</f>
      </c>
      <c r="J7605" s="43">
        <f>IF($I7604=0,0,$R7604)</f>
      </c>
      <c r="K7605" s="43">
        <f>IF($I7605=0,0,IF(INDEX(DarlOhneTilgung,16)=1,0,IF(AND(INDEX(DarlTilgStart,16)&gt;0,$E7605=INDEX(DarlTilgStart,16)),$J7605*($H7605+INDEX(DarlTilgung,16))/100/12,IF(AND($G7605=0,$G7604=1),MAX($K7604,$J7605*($H7605+1)/100/12),$K7604))))</f>
      </c>
      <c r="L7605" s="43">
        <f>IF($I7605=0,0,$J7605*$H7605/100/12)</f>
      </c>
      <c r="M7605" s="43">
        <f>IF($I7605=0,0,IF(OR(INDEX(DarlOhneTilgung,16)=1,AND(INDEX(DarlTilgStart,16)&gt;0,$E7605&lt;INDEX(DarlTilgStart,16))),0,MIN(MAX(0,$K7605-$L7605),$J7605)))</f>
      </c>
      <c r="N7605" s="43">
        <f>IF($I7605=0,0,MIN(SUMIFS(SondBetrag,SondDarl,16,SondDatum,"&gt;="&amp;$E7605,SondDatum,"&lt;="&amp;EOMONTH($E7605,0)),$J7605-$M7605))</f>
      </c>
      <c r="O7605" s="43">
        <f>IF($I7605=0,0,INDEX(DarlErsatzRate,16))</f>
      </c>
      <c r="P7605" s="43">
        <f>IF($I7605=0,0,$Q7604*INDEX(DarlErsatzZins,16))</f>
      </c>
      <c r="Q7605" s="43">
        <f>IF($I7605=0,0,$Q7604+$P7605+$O7605)</f>
      </c>
      <c r="R7605" s="43">
        <f>IF($I7605=0,0,$J7605-$M7605-$N7605)</f>
      </c>
    </row>
    <row r="7606">
      <c r="A7606"/>
      <c r="B7606">
        <v>16</v>
      </c>
      <c r="C7606" s="43">
        <f>INDEX(DarlObj,16)</f>
      </c>
      <c r="D7606">
        <v>403</v>
      </c>
      <c r="E7606" s="51">
        <f>IF(INDEX(DarlBelegt,16)=0,0,EOMONTH(INDEX(DarlAuszahlung,16),402)+1)</f>
      </c>
      <c r="F7606" s="43">
        <f>IF($E7606=0,0,YEAR($E7606))</f>
      </c>
      <c r="G7606" s="43">
        <f>IF(INDEX(DarlBindung,16)="",1,IF($E7606&lt;=INDEX(DarlBindung,16),1,0))</f>
      </c>
      <c r="H7606" s="43">
        <f>IF($G7606=1,INDEX(DarlSollzins,16),INDEX(DarlAnschluss,16))</f>
      </c>
      <c r="I7606" s="43">
        <f>IF(INDEX(DarlBelegt,16)=0,0,IF(INDEX(DarlOhneTilgung,16)=1,IF(INDEX(DarlBindung,16)="",1,$G7606),IF($J7606&gt;0.005,1,0)))</f>
      </c>
      <c r="J7606" s="43">
        <f>IF($I7605=0,0,$R7605)</f>
      </c>
      <c r="K7606" s="43">
        <f>IF($I7606=0,0,IF(INDEX(DarlOhneTilgung,16)=1,0,IF(AND(INDEX(DarlTilgStart,16)&gt;0,$E7606=INDEX(DarlTilgStart,16)),$J7606*($H7606+INDEX(DarlTilgung,16))/100/12,IF(AND($G7606=0,$G7605=1),MAX($K7605,$J7606*($H7606+1)/100/12),$K7605))))</f>
      </c>
      <c r="L7606" s="43">
        <f>IF($I7606=0,0,$J7606*$H7606/100/12)</f>
      </c>
      <c r="M7606" s="43">
        <f>IF($I7606=0,0,IF(OR(INDEX(DarlOhneTilgung,16)=1,AND(INDEX(DarlTilgStart,16)&gt;0,$E7606&lt;INDEX(DarlTilgStart,16))),0,MIN(MAX(0,$K7606-$L7606),$J7606)))</f>
      </c>
      <c r="N7606" s="43">
        <f>IF($I7606=0,0,MIN(SUMIFS(SondBetrag,SondDarl,16,SondDatum,"&gt;="&amp;$E7606,SondDatum,"&lt;="&amp;EOMONTH($E7606,0)),$J7606-$M7606))</f>
      </c>
      <c r="O7606" s="43">
        <f>IF($I7606=0,0,INDEX(DarlErsatzRate,16))</f>
      </c>
      <c r="P7606" s="43">
        <f>IF($I7606=0,0,$Q7605*INDEX(DarlErsatzZins,16))</f>
      </c>
      <c r="Q7606" s="43">
        <f>IF($I7606=0,0,$Q7605+$P7606+$O7606)</f>
      </c>
      <c r="R7606" s="43">
        <f>IF($I7606=0,0,$J7606-$M7606-$N7606)</f>
      </c>
    </row>
    <row r="7607">
      <c r="A7607"/>
      <c r="B7607">
        <v>16</v>
      </c>
      <c r="C7607" s="43">
        <f>INDEX(DarlObj,16)</f>
      </c>
      <c r="D7607">
        <v>404</v>
      </c>
      <c r="E7607" s="51">
        <f>IF(INDEX(DarlBelegt,16)=0,0,EOMONTH(INDEX(DarlAuszahlung,16),403)+1)</f>
      </c>
      <c r="F7607" s="43">
        <f>IF($E7607=0,0,YEAR($E7607))</f>
      </c>
      <c r="G7607" s="43">
        <f>IF(INDEX(DarlBindung,16)="",1,IF($E7607&lt;=INDEX(DarlBindung,16),1,0))</f>
      </c>
      <c r="H7607" s="43">
        <f>IF($G7607=1,INDEX(DarlSollzins,16),INDEX(DarlAnschluss,16))</f>
      </c>
      <c r="I7607" s="43">
        <f>IF(INDEX(DarlBelegt,16)=0,0,IF(INDEX(DarlOhneTilgung,16)=1,IF(INDEX(DarlBindung,16)="",1,$G7607),IF($J7607&gt;0.005,1,0)))</f>
      </c>
      <c r="J7607" s="43">
        <f>IF($I7606=0,0,$R7606)</f>
      </c>
      <c r="K7607" s="43">
        <f>IF($I7607=0,0,IF(INDEX(DarlOhneTilgung,16)=1,0,IF(AND(INDEX(DarlTilgStart,16)&gt;0,$E7607=INDEX(DarlTilgStart,16)),$J7607*($H7607+INDEX(DarlTilgung,16))/100/12,IF(AND($G7607=0,$G7606=1),MAX($K7606,$J7607*($H7607+1)/100/12),$K7606))))</f>
      </c>
      <c r="L7607" s="43">
        <f>IF($I7607=0,0,$J7607*$H7607/100/12)</f>
      </c>
      <c r="M7607" s="43">
        <f>IF($I7607=0,0,IF(OR(INDEX(DarlOhneTilgung,16)=1,AND(INDEX(DarlTilgStart,16)&gt;0,$E7607&lt;INDEX(DarlTilgStart,16))),0,MIN(MAX(0,$K7607-$L7607),$J7607)))</f>
      </c>
      <c r="N7607" s="43">
        <f>IF($I7607=0,0,MIN(SUMIFS(SondBetrag,SondDarl,16,SondDatum,"&gt;="&amp;$E7607,SondDatum,"&lt;="&amp;EOMONTH($E7607,0)),$J7607-$M7607))</f>
      </c>
      <c r="O7607" s="43">
        <f>IF($I7607=0,0,INDEX(DarlErsatzRate,16))</f>
      </c>
      <c r="P7607" s="43">
        <f>IF($I7607=0,0,$Q7606*INDEX(DarlErsatzZins,16))</f>
      </c>
      <c r="Q7607" s="43">
        <f>IF($I7607=0,0,$Q7606+$P7607+$O7607)</f>
      </c>
      <c r="R7607" s="43">
        <f>IF($I7607=0,0,$J7607-$M7607-$N7607)</f>
      </c>
    </row>
    <row r="7608">
      <c r="A7608"/>
      <c r="B7608">
        <v>16</v>
      </c>
      <c r="C7608" s="43">
        <f>INDEX(DarlObj,16)</f>
      </c>
      <c r="D7608">
        <v>405</v>
      </c>
      <c r="E7608" s="51">
        <f>IF(INDEX(DarlBelegt,16)=0,0,EOMONTH(INDEX(DarlAuszahlung,16),404)+1)</f>
      </c>
      <c r="F7608" s="43">
        <f>IF($E7608=0,0,YEAR($E7608))</f>
      </c>
      <c r="G7608" s="43">
        <f>IF(INDEX(DarlBindung,16)="",1,IF($E7608&lt;=INDEX(DarlBindung,16),1,0))</f>
      </c>
      <c r="H7608" s="43">
        <f>IF($G7608=1,INDEX(DarlSollzins,16),INDEX(DarlAnschluss,16))</f>
      </c>
      <c r="I7608" s="43">
        <f>IF(INDEX(DarlBelegt,16)=0,0,IF(INDEX(DarlOhneTilgung,16)=1,IF(INDEX(DarlBindung,16)="",1,$G7608),IF($J7608&gt;0.005,1,0)))</f>
      </c>
      <c r="J7608" s="43">
        <f>IF($I7607=0,0,$R7607)</f>
      </c>
      <c r="K7608" s="43">
        <f>IF($I7608=0,0,IF(INDEX(DarlOhneTilgung,16)=1,0,IF(AND(INDEX(DarlTilgStart,16)&gt;0,$E7608=INDEX(DarlTilgStart,16)),$J7608*($H7608+INDEX(DarlTilgung,16))/100/12,IF(AND($G7608=0,$G7607=1),MAX($K7607,$J7608*($H7608+1)/100/12),$K7607))))</f>
      </c>
      <c r="L7608" s="43">
        <f>IF($I7608=0,0,$J7608*$H7608/100/12)</f>
      </c>
      <c r="M7608" s="43">
        <f>IF($I7608=0,0,IF(OR(INDEX(DarlOhneTilgung,16)=1,AND(INDEX(DarlTilgStart,16)&gt;0,$E7608&lt;INDEX(DarlTilgStart,16))),0,MIN(MAX(0,$K7608-$L7608),$J7608)))</f>
      </c>
      <c r="N7608" s="43">
        <f>IF($I7608=0,0,MIN(SUMIFS(SondBetrag,SondDarl,16,SondDatum,"&gt;="&amp;$E7608,SondDatum,"&lt;="&amp;EOMONTH($E7608,0)),$J7608-$M7608))</f>
      </c>
      <c r="O7608" s="43">
        <f>IF($I7608=0,0,INDEX(DarlErsatzRate,16))</f>
      </c>
      <c r="P7608" s="43">
        <f>IF($I7608=0,0,$Q7607*INDEX(DarlErsatzZins,16))</f>
      </c>
      <c r="Q7608" s="43">
        <f>IF($I7608=0,0,$Q7607+$P7608+$O7608)</f>
      </c>
      <c r="R7608" s="43">
        <f>IF($I7608=0,0,$J7608-$M7608-$N7608)</f>
      </c>
    </row>
    <row r="7609">
      <c r="A7609"/>
      <c r="B7609">
        <v>16</v>
      </c>
      <c r="C7609" s="43">
        <f>INDEX(DarlObj,16)</f>
      </c>
      <c r="D7609">
        <v>406</v>
      </c>
      <c r="E7609" s="51">
        <f>IF(INDEX(DarlBelegt,16)=0,0,EOMONTH(INDEX(DarlAuszahlung,16),405)+1)</f>
      </c>
      <c r="F7609" s="43">
        <f>IF($E7609=0,0,YEAR($E7609))</f>
      </c>
      <c r="G7609" s="43">
        <f>IF(INDEX(DarlBindung,16)="",1,IF($E7609&lt;=INDEX(DarlBindung,16),1,0))</f>
      </c>
      <c r="H7609" s="43">
        <f>IF($G7609=1,INDEX(DarlSollzins,16),INDEX(DarlAnschluss,16))</f>
      </c>
      <c r="I7609" s="43">
        <f>IF(INDEX(DarlBelegt,16)=0,0,IF(INDEX(DarlOhneTilgung,16)=1,IF(INDEX(DarlBindung,16)="",1,$G7609),IF($J7609&gt;0.005,1,0)))</f>
      </c>
      <c r="J7609" s="43">
        <f>IF($I7608=0,0,$R7608)</f>
      </c>
      <c r="K7609" s="43">
        <f>IF($I7609=0,0,IF(INDEX(DarlOhneTilgung,16)=1,0,IF(AND(INDEX(DarlTilgStart,16)&gt;0,$E7609=INDEX(DarlTilgStart,16)),$J7609*($H7609+INDEX(DarlTilgung,16))/100/12,IF(AND($G7609=0,$G7608=1),MAX($K7608,$J7609*($H7609+1)/100/12),$K7608))))</f>
      </c>
      <c r="L7609" s="43">
        <f>IF($I7609=0,0,$J7609*$H7609/100/12)</f>
      </c>
      <c r="M7609" s="43">
        <f>IF($I7609=0,0,IF(OR(INDEX(DarlOhneTilgung,16)=1,AND(INDEX(DarlTilgStart,16)&gt;0,$E7609&lt;INDEX(DarlTilgStart,16))),0,MIN(MAX(0,$K7609-$L7609),$J7609)))</f>
      </c>
      <c r="N7609" s="43">
        <f>IF($I7609=0,0,MIN(SUMIFS(SondBetrag,SondDarl,16,SondDatum,"&gt;="&amp;$E7609,SondDatum,"&lt;="&amp;EOMONTH($E7609,0)),$J7609-$M7609))</f>
      </c>
      <c r="O7609" s="43">
        <f>IF($I7609=0,0,INDEX(DarlErsatzRate,16))</f>
      </c>
      <c r="P7609" s="43">
        <f>IF($I7609=0,0,$Q7608*INDEX(DarlErsatzZins,16))</f>
      </c>
      <c r="Q7609" s="43">
        <f>IF($I7609=0,0,$Q7608+$P7609+$O7609)</f>
      </c>
      <c r="R7609" s="43">
        <f>IF($I7609=0,0,$J7609-$M7609-$N7609)</f>
      </c>
    </row>
    <row r="7610">
      <c r="A7610"/>
      <c r="B7610">
        <v>16</v>
      </c>
      <c r="C7610" s="43">
        <f>INDEX(DarlObj,16)</f>
      </c>
      <c r="D7610">
        <v>407</v>
      </c>
      <c r="E7610" s="51">
        <f>IF(INDEX(DarlBelegt,16)=0,0,EOMONTH(INDEX(DarlAuszahlung,16),406)+1)</f>
      </c>
      <c r="F7610" s="43">
        <f>IF($E7610=0,0,YEAR($E7610))</f>
      </c>
      <c r="G7610" s="43">
        <f>IF(INDEX(DarlBindung,16)="",1,IF($E7610&lt;=INDEX(DarlBindung,16),1,0))</f>
      </c>
      <c r="H7610" s="43">
        <f>IF($G7610=1,INDEX(DarlSollzins,16),INDEX(DarlAnschluss,16))</f>
      </c>
      <c r="I7610" s="43">
        <f>IF(INDEX(DarlBelegt,16)=0,0,IF(INDEX(DarlOhneTilgung,16)=1,IF(INDEX(DarlBindung,16)="",1,$G7610),IF($J7610&gt;0.005,1,0)))</f>
      </c>
      <c r="J7610" s="43">
        <f>IF($I7609=0,0,$R7609)</f>
      </c>
      <c r="K7610" s="43">
        <f>IF($I7610=0,0,IF(INDEX(DarlOhneTilgung,16)=1,0,IF(AND(INDEX(DarlTilgStart,16)&gt;0,$E7610=INDEX(DarlTilgStart,16)),$J7610*($H7610+INDEX(DarlTilgung,16))/100/12,IF(AND($G7610=0,$G7609=1),MAX($K7609,$J7610*($H7610+1)/100/12),$K7609))))</f>
      </c>
      <c r="L7610" s="43">
        <f>IF($I7610=0,0,$J7610*$H7610/100/12)</f>
      </c>
      <c r="M7610" s="43">
        <f>IF($I7610=0,0,IF(OR(INDEX(DarlOhneTilgung,16)=1,AND(INDEX(DarlTilgStart,16)&gt;0,$E7610&lt;INDEX(DarlTilgStart,16))),0,MIN(MAX(0,$K7610-$L7610),$J7610)))</f>
      </c>
      <c r="N7610" s="43">
        <f>IF($I7610=0,0,MIN(SUMIFS(SondBetrag,SondDarl,16,SondDatum,"&gt;="&amp;$E7610,SondDatum,"&lt;="&amp;EOMONTH($E7610,0)),$J7610-$M7610))</f>
      </c>
      <c r="O7610" s="43">
        <f>IF($I7610=0,0,INDEX(DarlErsatzRate,16))</f>
      </c>
      <c r="P7610" s="43">
        <f>IF($I7610=0,0,$Q7609*INDEX(DarlErsatzZins,16))</f>
      </c>
      <c r="Q7610" s="43">
        <f>IF($I7610=0,0,$Q7609+$P7610+$O7610)</f>
      </c>
      <c r="R7610" s="43">
        <f>IF($I7610=0,0,$J7610-$M7610-$N7610)</f>
      </c>
    </row>
    <row r="7611">
      <c r="A7611"/>
      <c r="B7611">
        <v>16</v>
      </c>
      <c r="C7611" s="43">
        <f>INDEX(DarlObj,16)</f>
      </c>
      <c r="D7611">
        <v>408</v>
      </c>
      <c r="E7611" s="51">
        <f>IF(INDEX(DarlBelegt,16)=0,0,EOMONTH(INDEX(DarlAuszahlung,16),407)+1)</f>
      </c>
      <c r="F7611" s="43">
        <f>IF($E7611=0,0,YEAR($E7611))</f>
      </c>
      <c r="G7611" s="43">
        <f>IF(INDEX(DarlBindung,16)="",1,IF($E7611&lt;=INDEX(DarlBindung,16),1,0))</f>
      </c>
      <c r="H7611" s="43">
        <f>IF($G7611=1,INDEX(DarlSollzins,16),INDEX(DarlAnschluss,16))</f>
      </c>
      <c r="I7611" s="43">
        <f>IF(INDEX(DarlBelegt,16)=0,0,IF(INDEX(DarlOhneTilgung,16)=1,IF(INDEX(DarlBindung,16)="",1,$G7611),IF($J7611&gt;0.005,1,0)))</f>
      </c>
      <c r="J7611" s="43">
        <f>IF($I7610=0,0,$R7610)</f>
      </c>
      <c r="K7611" s="43">
        <f>IF($I7611=0,0,IF(INDEX(DarlOhneTilgung,16)=1,0,IF(AND(INDEX(DarlTilgStart,16)&gt;0,$E7611=INDEX(DarlTilgStart,16)),$J7611*($H7611+INDEX(DarlTilgung,16))/100/12,IF(AND($G7611=0,$G7610=1),MAX($K7610,$J7611*($H7611+1)/100/12),$K7610))))</f>
      </c>
      <c r="L7611" s="43">
        <f>IF($I7611=0,0,$J7611*$H7611/100/12)</f>
      </c>
      <c r="M7611" s="43">
        <f>IF($I7611=0,0,IF(OR(INDEX(DarlOhneTilgung,16)=1,AND(INDEX(DarlTilgStart,16)&gt;0,$E7611&lt;INDEX(DarlTilgStart,16))),0,MIN(MAX(0,$K7611-$L7611),$J7611)))</f>
      </c>
      <c r="N7611" s="43">
        <f>IF($I7611=0,0,MIN(SUMIFS(SondBetrag,SondDarl,16,SondDatum,"&gt;="&amp;$E7611,SondDatum,"&lt;="&amp;EOMONTH($E7611,0)),$J7611-$M7611))</f>
      </c>
      <c r="O7611" s="43">
        <f>IF($I7611=0,0,INDEX(DarlErsatzRate,16))</f>
      </c>
      <c r="P7611" s="43">
        <f>IF($I7611=0,0,$Q7610*INDEX(DarlErsatzZins,16))</f>
      </c>
      <c r="Q7611" s="43">
        <f>IF($I7611=0,0,$Q7610+$P7611+$O7611)</f>
      </c>
      <c r="R7611" s="43">
        <f>IF($I7611=0,0,$J7611-$M7611-$N7611)</f>
      </c>
    </row>
    <row r="7612">
      <c r="A7612"/>
      <c r="B7612">
        <v>16</v>
      </c>
      <c r="C7612" s="43">
        <f>INDEX(DarlObj,16)</f>
      </c>
      <c r="D7612">
        <v>409</v>
      </c>
      <c r="E7612" s="51">
        <f>IF(INDEX(DarlBelegt,16)=0,0,EOMONTH(INDEX(DarlAuszahlung,16),408)+1)</f>
      </c>
      <c r="F7612" s="43">
        <f>IF($E7612=0,0,YEAR($E7612))</f>
      </c>
      <c r="G7612" s="43">
        <f>IF(INDEX(DarlBindung,16)="",1,IF($E7612&lt;=INDEX(DarlBindung,16),1,0))</f>
      </c>
      <c r="H7612" s="43">
        <f>IF($G7612=1,INDEX(DarlSollzins,16),INDEX(DarlAnschluss,16))</f>
      </c>
      <c r="I7612" s="43">
        <f>IF(INDEX(DarlBelegt,16)=0,0,IF(INDEX(DarlOhneTilgung,16)=1,IF(INDEX(DarlBindung,16)="",1,$G7612),IF($J7612&gt;0.005,1,0)))</f>
      </c>
      <c r="J7612" s="43">
        <f>IF($I7611=0,0,$R7611)</f>
      </c>
      <c r="K7612" s="43">
        <f>IF($I7612=0,0,IF(INDEX(DarlOhneTilgung,16)=1,0,IF(AND(INDEX(DarlTilgStart,16)&gt;0,$E7612=INDEX(DarlTilgStart,16)),$J7612*($H7612+INDEX(DarlTilgung,16))/100/12,IF(AND($G7612=0,$G7611=1),MAX($K7611,$J7612*($H7612+1)/100/12),$K7611))))</f>
      </c>
      <c r="L7612" s="43">
        <f>IF($I7612=0,0,$J7612*$H7612/100/12)</f>
      </c>
      <c r="M7612" s="43">
        <f>IF($I7612=0,0,IF(OR(INDEX(DarlOhneTilgung,16)=1,AND(INDEX(DarlTilgStart,16)&gt;0,$E7612&lt;INDEX(DarlTilgStart,16))),0,MIN(MAX(0,$K7612-$L7612),$J7612)))</f>
      </c>
      <c r="N7612" s="43">
        <f>IF($I7612=0,0,MIN(SUMIFS(SondBetrag,SondDarl,16,SondDatum,"&gt;="&amp;$E7612,SondDatum,"&lt;="&amp;EOMONTH($E7612,0)),$J7612-$M7612))</f>
      </c>
      <c r="O7612" s="43">
        <f>IF($I7612=0,0,INDEX(DarlErsatzRate,16))</f>
      </c>
      <c r="P7612" s="43">
        <f>IF($I7612=0,0,$Q7611*INDEX(DarlErsatzZins,16))</f>
      </c>
      <c r="Q7612" s="43">
        <f>IF($I7612=0,0,$Q7611+$P7612+$O7612)</f>
      </c>
      <c r="R7612" s="43">
        <f>IF($I7612=0,0,$J7612-$M7612-$N7612)</f>
      </c>
    </row>
    <row r="7613">
      <c r="A7613"/>
      <c r="B7613">
        <v>16</v>
      </c>
      <c r="C7613" s="43">
        <f>INDEX(DarlObj,16)</f>
      </c>
      <c r="D7613">
        <v>410</v>
      </c>
      <c r="E7613" s="51">
        <f>IF(INDEX(DarlBelegt,16)=0,0,EOMONTH(INDEX(DarlAuszahlung,16),409)+1)</f>
      </c>
      <c r="F7613" s="43">
        <f>IF($E7613=0,0,YEAR($E7613))</f>
      </c>
      <c r="G7613" s="43">
        <f>IF(INDEX(DarlBindung,16)="",1,IF($E7613&lt;=INDEX(DarlBindung,16),1,0))</f>
      </c>
      <c r="H7613" s="43">
        <f>IF($G7613=1,INDEX(DarlSollzins,16),INDEX(DarlAnschluss,16))</f>
      </c>
      <c r="I7613" s="43">
        <f>IF(INDEX(DarlBelegt,16)=0,0,IF(INDEX(DarlOhneTilgung,16)=1,IF(INDEX(DarlBindung,16)="",1,$G7613),IF($J7613&gt;0.005,1,0)))</f>
      </c>
      <c r="J7613" s="43">
        <f>IF($I7612=0,0,$R7612)</f>
      </c>
      <c r="K7613" s="43">
        <f>IF($I7613=0,0,IF(INDEX(DarlOhneTilgung,16)=1,0,IF(AND(INDEX(DarlTilgStart,16)&gt;0,$E7613=INDEX(DarlTilgStart,16)),$J7613*($H7613+INDEX(DarlTilgung,16))/100/12,IF(AND($G7613=0,$G7612=1),MAX($K7612,$J7613*($H7613+1)/100/12),$K7612))))</f>
      </c>
      <c r="L7613" s="43">
        <f>IF($I7613=0,0,$J7613*$H7613/100/12)</f>
      </c>
      <c r="M7613" s="43">
        <f>IF($I7613=0,0,IF(OR(INDEX(DarlOhneTilgung,16)=1,AND(INDEX(DarlTilgStart,16)&gt;0,$E7613&lt;INDEX(DarlTilgStart,16))),0,MIN(MAX(0,$K7613-$L7613),$J7613)))</f>
      </c>
      <c r="N7613" s="43">
        <f>IF($I7613=0,0,MIN(SUMIFS(SondBetrag,SondDarl,16,SondDatum,"&gt;="&amp;$E7613,SondDatum,"&lt;="&amp;EOMONTH($E7613,0)),$J7613-$M7613))</f>
      </c>
      <c r="O7613" s="43">
        <f>IF($I7613=0,0,INDEX(DarlErsatzRate,16))</f>
      </c>
      <c r="P7613" s="43">
        <f>IF($I7613=0,0,$Q7612*INDEX(DarlErsatzZins,16))</f>
      </c>
      <c r="Q7613" s="43">
        <f>IF($I7613=0,0,$Q7612+$P7613+$O7613)</f>
      </c>
      <c r="R7613" s="43">
        <f>IF($I7613=0,0,$J7613-$M7613-$N7613)</f>
      </c>
    </row>
    <row r="7614">
      <c r="A7614"/>
      <c r="B7614">
        <v>16</v>
      </c>
      <c r="C7614" s="43">
        <f>INDEX(DarlObj,16)</f>
      </c>
      <c r="D7614">
        <v>411</v>
      </c>
      <c r="E7614" s="51">
        <f>IF(INDEX(DarlBelegt,16)=0,0,EOMONTH(INDEX(DarlAuszahlung,16),410)+1)</f>
      </c>
      <c r="F7614" s="43">
        <f>IF($E7614=0,0,YEAR($E7614))</f>
      </c>
      <c r="G7614" s="43">
        <f>IF(INDEX(DarlBindung,16)="",1,IF($E7614&lt;=INDEX(DarlBindung,16),1,0))</f>
      </c>
      <c r="H7614" s="43">
        <f>IF($G7614=1,INDEX(DarlSollzins,16),INDEX(DarlAnschluss,16))</f>
      </c>
      <c r="I7614" s="43">
        <f>IF(INDEX(DarlBelegt,16)=0,0,IF(INDEX(DarlOhneTilgung,16)=1,IF(INDEX(DarlBindung,16)="",1,$G7614),IF($J7614&gt;0.005,1,0)))</f>
      </c>
      <c r="J7614" s="43">
        <f>IF($I7613=0,0,$R7613)</f>
      </c>
      <c r="K7614" s="43">
        <f>IF($I7614=0,0,IF(INDEX(DarlOhneTilgung,16)=1,0,IF(AND(INDEX(DarlTilgStart,16)&gt;0,$E7614=INDEX(DarlTilgStart,16)),$J7614*($H7614+INDEX(DarlTilgung,16))/100/12,IF(AND($G7614=0,$G7613=1),MAX($K7613,$J7614*($H7614+1)/100/12),$K7613))))</f>
      </c>
      <c r="L7614" s="43">
        <f>IF($I7614=0,0,$J7614*$H7614/100/12)</f>
      </c>
      <c r="M7614" s="43">
        <f>IF($I7614=0,0,IF(OR(INDEX(DarlOhneTilgung,16)=1,AND(INDEX(DarlTilgStart,16)&gt;0,$E7614&lt;INDEX(DarlTilgStart,16))),0,MIN(MAX(0,$K7614-$L7614),$J7614)))</f>
      </c>
      <c r="N7614" s="43">
        <f>IF($I7614=0,0,MIN(SUMIFS(SondBetrag,SondDarl,16,SondDatum,"&gt;="&amp;$E7614,SondDatum,"&lt;="&amp;EOMONTH($E7614,0)),$J7614-$M7614))</f>
      </c>
      <c r="O7614" s="43">
        <f>IF($I7614=0,0,INDEX(DarlErsatzRate,16))</f>
      </c>
      <c r="P7614" s="43">
        <f>IF($I7614=0,0,$Q7613*INDEX(DarlErsatzZins,16))</f>
      </c>
      <c r="Q7614" s="43">
        <f>IF($I7614=0,0,$Q7613+$P7614+$O7614)</f>
      </c>
      <c r="R7614" s="43">
        <f>IF($I7614=0,0,$J7614-$M7614-$N7614)</f>
      </c>
    </row>
    <row r="7615">
      <c r="A7615"/>
      <c r="B7615">
        <v>16</v>
      </c>
      <c r="C7615" s="43">
        <f>INDEX(DarlObj,16)</f>
      </c>
      <c r="D7615">
        <v>412</v>
      </c>
      <c r="E7615" s="51">
        <f>IF(INDEX(DarlBelegt,16)=0,0,EOMONTH(INDEX(DarlAuszahlung,16),411)+1)</f>
      </c>
      <c r="F7615" s="43">
        <f>IF($E7615=0,0,YEAR($E7615))</f>
      </c>
      <c r="G7615" s="43">
        <f>IF(INDEX(DarlBindung,16)="",1,IF($E7615&lt;=INDEX(DarlBindung,16),1,0))</f>
      </c>
      <c r="H7615" s="43">
        <f>IF($G7615=1,INDEX(DarlSollzins,16),INDEX(DarlAnschluss,16))</f>
      </c>
      <c r="I7615" s="43">
        <f>IF(INDEX(DarlBelegt,16)=0,0,IF(INDEX(DarlOhneTilgung,16)=1,IF(INDEX(DarlBindung,16)="",1,$G7615),IF($J7615&gt;0.005,1,0)))</f>
      </c>
      <c r="J7615" s="43">
        <f>IF($I7614=0,0,$R7614)</f>
      </c>
      <c r="K7615" s="43">
        <f>IF($I7615=0,0,IF(INDEX(DarlOhneTilgung,16)=1,0,IF(AND(INDEX(DarlTilgStart,16)&gt;0,$E7615=INDEX(DarlTilgStart,16)),$J7615*($H7615+INDEX(DarlTilgung,16))/100/12,IF(AND($G7615=0,$G7614=1),MAX($K7614,$J7615*($H7615+1)/100/12),$K7614))))</f>
      </c>
      <c r="L7615" s="43">
        <f>IF($I7615=0,0,$J7615*$H7615/100/12)</f>
      </c>
      <c r="M7615" s="43">
        <f>IF($I7615=0,0,IF(OR(INDEX(DarlOhneTilgung,16)=1,AND(INDEX(DarlTilgStart,16)&gt;0,$E7615&lt;INDEX(DarlTilgStart,16))),0,MIN(MAX(0,$K7615-$L7615),$J7615)))</f>
      </c>
      <c r="N7615" s="43">
        <f>IF($I7615=0,0,MIN(SUMIFS(SondBetrag,SondDarl,16,SondDatum,"&gt;="&amp;$E7615,SondDatum,"&lt;="&amp;EOMONTH($E7615,0)),$J7615-$M7615))</f>
      </c>
      <c r="O7615" s="43">
        <f>IF($I7615=0,0,INDEX(DarlErsatzRate,16))</f>
      </c>
      <c r="P7615" s="43">
        <f>IF($I7615=0,0,$Q7614*INDEX(DarlErsatzZins,16))</f>
      </c>
      <c r="Q7615" s="43">
        <f>IF($I7615=0,0,$Q7614+$P7615+$O7615)</f>
      </c>
      <c r="R7615" s="43">
        <f>IF($I7615=0,0,$J7615-$M7615-$N7615)</f>
      </c>
    </row>
    <row r="7616">
      <c r="A7616"/>
      <c r="B7616">
        <v>16</v>
      </c>
      <c r="C7616" s="43">
        <f>INDEX(DarlObj,16)</f>
      </c>
      <c r="D7616">
        <v>413</v>
      </c>
      <c r="E7616" s="51">
        <f>IF(INDEX(DarlBelegt,16)=0,0,EOMONTH(INDEX(DarlAuszahlung,16),412)+1)</f>
      </c>
      <c r="F7616" s="43">
        <f>IF($E7616=0,0,YEAR($E7616))</f>
      </c>
      <c r="G7616" s="43">
        <f>IF(INDEX(DarlBindung,16)="",1,IF($E7616&lt;=INDEX(DarlBindung,16),1,0))</f>
      </c>
      <c r="H7616" s="43">
        <f>IF($G7616=1,INDEX(DarlSollzins,16),INDEX(DarlAnschluss,16))</f>
      </c>
      <c r="I7616" s="43">
        <f>IF(INDEX(DarlBelegt,16)=0,0,IF(INDEX(DarlOhneTilgung,16)=1,IF(INDEX(DarlBindung,16)="",1,$G7616),IF($J7616&gt;0.005,1,0)))</f>
      </c>
      <c r="J7616" s="43">
        <f>IF($I7615=0,0,$R7615)</f>
      </c>
      <c r="K7616" s="43">
        <f>IF($I7616=0,0,IF(INDEX(DarlOhneTilgung,16)=1,0,IF(AND(INDEX(DarlTilgStart,16)&gt;0,$E7616=INDEX(DarlTilgStart,16)),$J7616*($H7616+INDEX(DarlTilgung,16))/100/12,IF(AND($G7616=0,$G7615=1),MAX($K7615,$J7616*($H7616+1)/100/12),$K7615))))</f>
      </c>
      <c r="L7616" s="43">
        <f>IF($I7616=0,0,$J7616*$H7616/100/12)</f>
      </c>
      <c r="M7616" s="43">
        <f>IF($I7616=0,0,IF(OR(INDEX(DarlOhneTilgung,16)=1,AND(INDEX(DarlTilgStart,16)&gt;0,$E7616&lt;INDEX(DarlTilgStart,16))),0,MIN(MAX(0,$K7616-$L7616),$J7616)))</f>
      </c>
      <c r="N7616" s="43">
        <f>IF($I7616=0,0,MIN(SUMIFS(SondBetrag,SondDarl,16,SondDatum,"&gt;="&amp;$E7616,SondDatum,"&lt;="&amp;EOMONTH($E7616,0)),$J7616-$M7616))</f>
      </c>
      <c r="O7616" s="43">
        <f>IF($I7616=0,0,INDEX(DarlErsatzRate,16))</f>
      </c>
      <c r="P7616" s="43">
        <f>IF($I7616=0,0,$Q7615*INDEX(DarlErsatzZins,16))</f>
      </c>
      <c r="Q7616" s="43">
        <f>IF($I7616=0,0,$Q7615+$P7616+$O7616)</f>
      </c>
      <c r="R7616" s="43">
        <f>IF($I7616=0,0,$J7616-$M7616-$N7616)</f>
      </c>
    </row>
    <row r="7617">
      <c r="A7617"/>
      <c r="B7617">
        <v>16</v>
      </c>
      <c r="C7617" s="43">
        <f>INDEX(DarlObj,16)</f>
      </c>
      <c r="D7617">
        <v>414</v>
      </c>
      <c r="E7617" s="51">
        <f>IF(INDEX(DarlBelegt,16)=0,0,EOMONTH(INDEX(DarlAuszahlung,16),413)+1)</f>
      </c>
      <c r="F7617" s="43">
        <f>IF($E7617=0,0,YEAR($E7617))</f>
      </c>
      <c r="G7617" s="43">
        <f>IF(INDEX(DarlBindung,16)="",1,IF($E7617&lt;=INDEX(DarlBindung,16),1,0))</f>
      </c>
      <c r="H7617" s="43">
        <f>IF($G7617=1,INDEX(DarlSollzins,16),INDEX(DarlAnschluss,16))</f>
      </c>
      <c r="I7617" s="43">
        <f>IF(INDEX(DarlBelegt,16)=0,0,IF(INDEX(DarlOhneTilgung,16)=1,IF(INDEX(DarlBindung,16)="",1,$G7617),IF($J7617&gt;0.005,1,0)))</f>
      </c>
      <c r="J7617" s="43">
        <f>IF($I7616=0,0,$R7616)</f>
      </c>
      <c r="K7617" s="43">
        <f>IF($I7617=0,0,IF(INDEX(DarlOhneTilgung,16)=1,0,IF(AND(INDEX(DarlTilgStart,16)&gt;0,$E7617=INDEX(DarlTilgStart,16)),$J7617*($H7617+INDEX(DarlTilgung,16))/100/12,IF(AND($G7617=0,$G7616=1),MAX($K7616,$J7617*($H7617+1)/100/12),$K7616))))</f>
      </c>
      <c r="L7617" s="43">
        <f>IF($I7617=0,0,$J7617*$H7617/100/12)</f>
      </c>
      <c r="M7617" s="43">
        <f>IF($I7617=0,0,IF(OR(INDEX(DarlOhneTilgung,16)=1,AND(INDEX(DarlTilgStart,16)&gt;0,$E7617&lt;INDEX(DarlTilgStart,16))),0,MIN(MAX(0,$K7617-$L7617),$J7617)))</f>
      </c>
      <c r="N7617" s="43">
        <f>IF($I7617=0,0,MIN(SUMIFS(SondBetrag,SondDarl,16,SondDatum,"&gt;="&amp;$E7617,SondDatum,"&lt;="&amp;EOMONTH($E7617,0)),$J7617-$M7617))</f>
      </c>
      <c r="O7617" s="43">
        <f>IF($I7617=0,0,INDEX(DarlErsatzRate,16))</f>
      </c>
      <c r="P7617" s="43">
        <f>IF($I7617=0,0,$Q7616*INDEX(DarlErsatzZins,16))</f>
      </c>
      <c r="Q7617" s="43">
        <f>IF($I7617=0,0,$Q7616+$P7617+$O7617)</f>
      </c>
      <c r="R7617" s="43">
        <f>IF($I7617=0,0,$J7617-$M7617-$N7617)</f>
      </c>
    </row>
    <row r="7618">
      <c r="A7618"/>
      <c r="B7618">
        <v>16</v>
      </c>
      <c r="C7618" s="43">
        <f>INDEX(DarlObj,16)</f>
      </c>
      <c r="D7618">
        <v>415</v>
      </c>
      <c r="E7618" s="51">
        <f>IF(INDEX(DarlBelegt,16)=0,0,EOMONTH(INDEX(DarlAuszahlung,16),414)+1)</f>
      </c>
      <c r="F7618" s="43">
        <f>IF($E7618=0,0,YEAR($E7618))</f>
      </c>
      <c r="G7618" s="43">
        <f>IF(INDEX(DarlBindung,16)="",1,IF($E7618&lt;=INDEX(DarlBindung,16),1,0))</f>
      </c>
      <c r="H7618" s="43">
        <f>IF($G7618=1,INDEX(DarlSollzins,16),INDEX(DarlAnschluss,16))</f>
      </c>
      <c r="I7618" s="43">
        <f>IF(INDEX(DarlBelegt,16)=0,0,IF(INDEX(DarlOhneTilgung,16)=1,IF(INDEX(DarlBindung,16)="",1,$G7618),IF($J7618&gt;0.005,1,0)))</f>
      </c>
      <c r="J7618" s="43">
        <f>IF($I7617=0,0,$R7617)</f>
      </c>
      <c r="K7618" s="43">
        <f>IF($I7618=0,0,IF(INDEX(DarlOhneTilgung,16)=1,0,IF(AND(INDEX(DarlTilgStart,16)&gt;0,$E7618=INDEX(DarlTilgStart,16)),$J7618*($H7618+INDEX(DarlTilgung,16))/100/12,IF(AND($G7618=0,$G7617=1),MAX($K7617,$J7618*($H7618+1)/100/12),$K7617))))</f>
      </c>
      <c r="L7618" s="43">
        <f>IF($I7618=0,0,$J7618*$H7618/100/12)</f>
      </c>
      <c r="M7618" s="43">
        <f>IF($I7618=0,0,IF(OR(INDEX(DarlOhneTilgung,16)=1,AND(INDEX(DarlTilgStart,16)&gt;0,$E7618&lt;INDEX(DarlTilgStart,16))),0,MIN(MAX(0,$K7618-$L7618),$J7618)))</f>
      </c>
      <c r="N7618" s="43">
        <f>IF($I7618=0,0,MIN(SUMIFS(SondBetrag,SondDarl,16,SondDatum,"&gt;="&amp;$E7618,SondDatum,"&lt;="&amp;EOMONTH($E7618,0)),$J7618-$M7618))</f>
      </c>
      <c r="O7618" s="43">
        <f>IF($I7618=0,0,INDEX(DarlErsatzRate,16))</f>
      </c>
      <c r="P7618" s="43">
        <f>IF($I7618=0,0,$Q7617*INDEX(DarlErsatzZins,16))</f>
      </c>
      <c r="Q7618" s="43">
        <f>IF($I7618=0,0,$Q7617+$P7618+$O7618)</f>
      </c>
      <c r="R7618" s="43">
        <f>IF($I7618=0,0,$J7618-$M7618-$N7618)</f>
      </c>
    </row>
    <row r="7619">
      <c r="A7619"/>
      <c r="B7619">
        <v>16</v>
      </c>
      <c r="C7619" s="43">
        <f>INDEX(DarlObj,16)</f>
      </c>
      <c r="D7619">
        <v>416</v>
      </c>
      <c r="E7619" s="51">
        <f>IF(INDEX(DarlBelegt,16)=0,0,EOMONTH(INDEX(DarlAuszahlung,16),415)+1)</f>
      </c>
      <c r="F7619" s="43">
        <f>IF($E7619=0,0,YEAR($E7619))</f>
      </c>
      <c r="G7619" s="43">
        <f>IF(INDEX(DarlBindung,16)="",1,IF($E7619&lt;=INDEX(DarlBindung,16),1,0))</f>
      </c>
      <c r="H7619" s="43">
        <f>IF($G7619=1,INDEX(DarlSollzins,16),INDEX(DarlAnschluss,16))</f>
      </c>
      <c r="I7619" s="43">
        <f>IF(INDEX(DarlBelegt,16)=0,0,IF(INDEX(DarlOhneTilgung,16)=1,IF(INDEX(DarlBindung,16)="",1,$G7619),IF($J7619&gt;0.005,1,0)))</f>
      </c>
      <c r="J7619" s="43">
        <f>IF($I7618=0,0,$R7618)</f>
      </c>
      <c r="K7619" s="43">
        <f>IF($I7619=0,0,IF(INDEX(DarlOhneTilgung,16)=1,0,IF(AND(INDEX(DarlTilgStart,16)&gt;0,$E7619=INDEX(DarlTilgStart,16)),$J7619*($H7619+INDEX(DarlTilgung,16))/100/12,IF(AND($G7619=0,$G7618=1),MAX($K7618,$J7619*($H7619+1)/100/12),$K7618))))</f>
      </c>
      <c r="L7619" s="43">
        <f>IF($I7619=0,0,$J7619*$H7619/100/12)</f>
      </c>
      <c r="M7619" s="43">
        <f>IF($I7619=0,0,IF(OR(INDEX(DarlOhneTilgung,16)=1,AND(INDEX(DarlTilgStart,16)&gt;0,$E7619&lt;INDEX(DarlTilgStart,16))),0,MIN(MAX(0,$K7619-$L7619),$J7619)))</f>
      </c>
      <c r="N7619" s="43">
        <f>IF($I7619=0,0,MIN(SUMIFS(SondBetrag,SondDarl,16,SondDatum,"&gt;="&amp;$E7619,SondDatum,"&lt;="&amp;EOMONTH($E7619,0)),$J7619-$M7619))</f>
      </c>
      <c r="O7619" s="43">
        <f>IF($I7619=0,0,INDEX(DarlErsatzRate,16))</f>
      </c>
      <c r="P7619" s="43">
        <f>IF($I7619=0,0,$Q7618*INDEX(DarlErsatzZins,16))</f>
      </c>
      <c r="Q7619" s="43">
        <f>IF($I7619=0,0,$Q7618+$P7619+$O7619)</f>
      </c>
      <c r="R7619" s="43">
        <f>IF($I7619=0,0,$J7619-$M7619-$N7619)</f>
      </c>
    </row>
    <row r="7620">
      <c r="A7620"/>
      <c r="B7620">
        <v>16</v>
      </c>
      <c r="C7620" s="43">
        <f>INDEX(DarlObj,16)</f>
      </c>
      <c r="D7620">
        <v>417</v>
      </c>
      <c r="E7620" s="51">
        <f>IF(INDEX(DarlBelegt,16)=0,0,EOMONTH(INDEX(DarlAuszahlung,16),416)+1)</f>
      </c>
      <c r="F7620" s="43">
        <f>IF($E7620=0,0,YEAR($E7620))</f>
      </c>
      <c r="G7620" s="43">
        <f>IF(INDEX(DarlBindung,16)="",1,IF($E7620&lt;=INDEX(DarlBindung,16),1,0))</f>
      </c>
      <c r="H7620" s="43">
        <f>IF($G7620=1,INDEX(DarlSollzins,16),INDEX(DarlAnschluss,16))</f>
      </c>
      <c r="I7620" s="43">
        <f>IF(INDEX(DarlBelegt,16)=0,0,IF(INDEX(DarlOhneTilgung,16)=1,IF(INDEX(DarlBindung,16)="",1,$G7620),IF($J7620&gt;0.005,1,0)))</f>
      </c>
      <c r="J7620" s="43">
        <f>IF($I7619=0,0,$R7619)</f>
      </c>
      <c r="K7620" s="43">
        <f>IF($I7620=0,0,IF(INDEX(DarlOhneTilgung,16)=1,0,IF(AND(INDEX(DarlTilgStart,16)&gt;0,$E7620=INDEX(DarlTilgStart,16)),$J7620*($H7620+INDEX(DarlTilgung,16))/100/12,IF(AND($G7620=0,$G7619=1),MAX($K7619,$J7620*($H7620+1)/100/12),$K7619))))</f>
      </c>
      <c r="L7620" s="43">
        <f>IF($I7620=0,0,$J7620*$H7620/100/12)</f>
      </c>
      <c r="M7620" s="43">
        <f>IF($I7620=0,0,IF(OR(INDEX(DarlOhneTilgung,16)=1,AND(INDEX(DarlTilgStart,16)&gt;0,$E7620&lt;INDEX(DarlTilgStart,16))),0,MIN(MAX(0,$K7620-$L7620),$J7620)))</f>
      </c>
      <c r="N7620" s="43">
        <f>IF($I7620=0,0,MIN(SUMIFS(SondBetrag,SondDarl,16,SondDatum,"&gt;="&amp;$E7620,SondDatum,"&lt;="&amp;EOMONTH($E7620,0)),$J7620-$M7620))</f>
      </c>
      <c r="O7620" s="43">
        <f>IF($I7620=0,0,INDEX(DarlErsatzRate,16))</f>
      </c>
      <c r="P7620" s="43">
        <f>IF($I7620=0,0,$Q7619*INDEX(DarlErsatzZins,16))</f>
      </c>
      <c r="Q7620" s="43">
        <f>IF($I7620=0,0,$Q7619+$P7620+$O7620)</f>
      </c>
      <c r="R7620" s="43">
        <f>IF($I7620=0,0,$J7620-$M7620-$N7620)</f>
      </c>
    </row>
    <row r="7621">
      <c r="A7621"/>
      <c r="B7621">
        <v>16</v>
      </c>
      <c r="C7621" s="43">
        <f>INDEX(DarlObj,16)</f>
      </c>
      <c r="D7621">
        <v>418</v>
      </c>
      <c r="E7621" s="51">
        <f>IF(INDEX(DarlBelegt,16)=0,0,EOMONTH(INDEX(DarlAuszahlung,16),417)+1)</f>
      </c>
      <c r="F7621" s="43">
        <f>IF($E7621=0,0,YEAR($E7621))</f>
      </c>
      <c r="G7621" s="43">
        <f>IF(INDEX(DarlBindung,16)="",1,IF($E7621&lt;=INDEX(DarlBindung,16),1,0))</f>
      </c>
      <c r="H7621" s="43">
        <f>IF($G7621=1,INDEX(DarlSollzins,16),INDEX(DarlAnschluss,16))</f>
      </c>
      <c r="I7621" s="43">
        <f>IF(INDEX(DarlBelegt,16)=0,0,IF(INDEX(DarlOhneTilgung,16)=1,IF(INDEX(DarlBindung,16)="",1,$G7621),IF($J7621&gt;0.005,1,0)))</f>
      </c>
      <c r="J7621" s="43">
        <f>IF($I7620=0,0,$R7620)</f>
      </c>
      <c r="K7621" s="43">
        <f>IF($I7621=0,0,IF(INDEX(DarlOhneTilgung,16)=1,0,IF(AND(INDEX(DarlTilgStart,16)&gt;0,$E7621=INDEX(DarlTilgStart,16)),$J7621*($H7621+INDEX(DarlTilgung,16))/100/12,IF(AND($G7621=0,$G7620=1),MAX($K7620,$J7621*($H7621+1)/100/12),$K7620))))</f>
      </c>
      <c r="L7621" s="43">
        <f>IF($I7621=0,0,$J7621*$H7621/100/12)</f>
      </c>
      <c r="M7621" s="43">
        <f>IF($I7621=0,0,IF(OR(INDEX(DarlOhneTilgung,16)=1,AND(INDEX(DarlTilgStart,16)&gt;0,$E7621&lt;INDEX(DarlTilgStart,16))),0,MIN(MAX(0,$K7621-$L7621),$J7621)))</f>
      </c>
      <c r="N7621" s="43">
        <f>IF($I7621=0,0,MIN(SUMIFS(SondBetrag,SondDarl,16,SondDatum,"&gt;="&amp;$E7621,SondDatum,"&lt;="&amp;EOMONTH($E7621,0)),$J7621-$M7621))</f>
      </c>
      <c r="O7621" s="43">
        <f>IF($I7621=0,0,INDEX(DarlErsatzRate,16))</f>
      </c>
      <c r="P7621" s="43">
        <f>IF($I7621=0,0,$Q7620*INDEX(DarlErsatzZins,16))</f>
      </c>
      <c r="Q7621" s="43">
        <f>IF($I7621=0,0,$Q7620+$P7621+$O7621)</f>
      </c>
      <c r="R7621" s="43">
        <f>IF($I7621=0,0,$J7621-$M7621-$N7621)</f>
      </c>
    </row>
    <row r="7622">
      <c r="A7622"/>
      <c r="B7622">
        <v>16</v>
      </c>
      <c r="C7622" s="43">
        <f>INDEX(DarlObj,16)</f>
      </c>
      <c r="D7622">
        <v>419</v>
      </c>
      <c r="E7622" s="51">
        <f>IF(INDEX(DarlBelegt,16)=0,0,EOMONTH(INDEX(DarlAuszahlung,16),418)+1)</f>
      </c>
      <c r="F7622" s="43">
        <f>IF($E7622=0,0,YEAR($E7622))</f>
      </c>
      <c r="G7622" s="43">
        <f>IF(INDEX(DarlBindung,16)="",1,IF($E7622&lt;=INDEX(DarlBindung,16),1,0))</f>
      </c>
      <c r="H7622" s="43">
        <f>IF($G7622=1,INDEX(DarlSollzins,16),INDEX(DarlAnschluss,16))</f>
      </c>
      <c r="I7622" s="43">
        <f>IF(INDEX(DarlBelegt,16)=0,0,IF(INDEX(DarlOhneTilgung,16)=1,IF(INDEX(DarlBindung,16)="",1,$G7622),IF($J7622&gt;0.005,1,0)))</f>
      </c>
      <c r="J7622" s="43">
        <f>IF($I7621=0,0,$R7621)</f>
      </c>
      <c r="K7622" s="43">
        <f>IF($I7622=0,0,IF(INDEX(DarlOhneTilgung,16)=1,0,IF(AND(INDEX(DarlTilgStart,16)&gt;0,$E7622=INDEX(DarlTilgStart,16)),$J7622*($H7622+INDEX(DarlTilgung,16))/100/12,IF(AND($G7622=0,$G7621=1),MAX($K7621,$J7622*($H7622+1)/100/12),$K7621))))</f>
      </c>
      <c r="L7622" s="43">
        <f>IF($I7622=0,0,$J7622*$H7622/100/12)</f>
      </c>
      <c r="M7622" s="43">
        <f>IF($I7622=0,0,IF(OR(INDEX(DarlOhneTilgung,16)=1,AND(INDEX(DarlTilgStart,16)&gt;0,$E7622&lt;INDEX(DarlTilgStart,16))),0,MIN(MAX(0,$K7622-$L7622),$J7622)))</f>
      </c>
      <c r="N7622" s="43">
        <f>IF($I7622=0,0,MIN(SUMIFS(SondBetrag,SondDarl,16,SondDatum,"&gt;="&amp;$E7622,SondDatum,"&lt;="&amp;EOMONTH($E7622,0)),$J7622-$M7622))</f>
      </c>
      <c r="O7622" s="43">
        <f>IF($I7622=0,0,INDEX(DarlErsatzRate,16))</f>
      </c>
      <c r="P7622" s="43">
        <f>IF($I7622=0,0,$Q7621*INDEX(DarlErsatzZins,16))</f>
      </c>
      <c r="Q7622" s="43">
        <f>IF($I7622=0,0,$Q7621+$P7622+$O7622)</f>
      </c>
      <c r="R7622" s="43">
        <f>IF($I7622=0,0,$J7622-$M7622-$N7622)</f>
      </c>
    </row>
    <row r="7623">
      <c r="A7623"/>
      <c r="B7623">
        <v>16</v>
      </c>
      <c r="C7623" s="43">
        <f>INDEX(DarlObj,16)</f>
      </c>
      <c r="D7623">
        <v>420</v>
      </c>
      <c r="E7623" s="51">
        <f>IF(INDEX(DarlBelegt,16)=0,0,EOMONTH(INDEX(DarlAuszahlung,16),419)+1)</f>
      </c>
      <c r="F7623" s="43">
        <f>IF($E7623=0,0,YEAR($E7623))</f>
      </c>
      <c r="G7623" s="43">
        <f>IF(INDEX(DarlBindung,16)="",1,IF($E7623&lt;=INDEX(DarlBindung,16),1,0))</f>
      </c>
      <c r="H7623" s="43">
        <f>IF($G7623=1,INDEX(DarlSollzins,16),INDEX(DarlAnschluss,16))</f>
      </c>
      <c r="I7623" s="43">
        <f>IF(INDEX(DarlBelegt,16)=0,0,IF(INDEX(DarlOhneTilgung,16)=1,IF(INDEX(DarlBindung,16)="",1,$G7623),IF($J7623&gt;0.005,1,0)))</f>
      </c>
      <c r="J7623" s="43">
        <f>IF($I7622=0,0,$R7622)</f>
      </c>
      <c r="K7623" s="43">
        <f>IF($I7623=0,0,IF(INDEX(DarlOhneTilgung,16)=1,0,IF(AND(INDEX(DarlTilgStart,16)&gt;0,$E7623=INDEX(DarlTilgStart,16)),$J7623*($H7623+INDEX(DarlTilgung,16))/100/12,IF(AND($G7623=0,$G7622=1),MAX($K7622,$J7623*($H7623+1)/100/12),$K7622))))</f>
      </c>
      <c r="L7623" s="43">
        <f>IF($I7623=0,0,$J7623*$H7623/100/12)</f>
      </c>
      <c r="M7623" s="43">
        <f>IF($I7623=0,0,IF(OR(INDEX(DarlOhneTilgung,16)=1,AND(INDEX(DarlTilgStart,16)&gt;0,$E7623&lt;INDEX(DarlTilgStart,16))),0,MIN(MAX(0,$K7623-$L7623),$J7623)))</f>
      </c>
      <c r="N7623" s="43">
        <f>IF($I7623=0,0,MIN(SUMIFS(SondBetrag,SondDarl,16,SondDatum,"&gt;="&amp;$E7623,SondDatum,"&lt;="&amp;EOMONTH($E7623,0)),$J7623-$M7623))</f>
      </c>
      <c r="O7623" s="43">
        <f>IF($I7623=0,0,INDEX(DarlErsatzRate,16))</f>
      </c>
      <c r="P7623" s="43">
        <f>IF($I7623=0,0,$Q7622*INDEX(DarlErsatzZins,16))</f>
      </c>
      <c r="Q7623" s="43">
        <f>IF($I7623=0,0,$Q7622+$P7623+$O7623)</f>
      </c>
      <c r="R7623" s="43">
        <f>IF($I7623=0,0,$J7623-$M7623-$N7623)</f>
      </c>
    </row>
    <row r="7624">
      <c r="A7624"/>
      <c r="B7624">
        <v>16</v>
      </c>
      <c r="C7624" s="43">
        <f>INDEX(DarlObj,16)</f>
      </c>
      <c r="D7624">
        <v>421</v>
      </c>
      <c r="E7624" s="51">
        <f>IF(INDEX(DarlBelegt,16)=0,0,EOMONTH(INDEX(DarlAuszahlung,16),420)+1)</f>
      </c>
      <c r="F7624" s="43">
        <f>IF($E7624=0,0,YEAR($E7624))</f>
      </c>
      <c r="G7624" s="43">
        <f>IF(INDEX(DarlBindung,16)="",1,IF($E7624&lt;=INDEX(DarlBindung,16),1,0))</f>
      </c>
      <c r="H7624" s="43">
        <f>IF($G7624=1,INDEX(DarlSollzins,16),INDEX(DarlAnschluss,16))</f>
      </c>
      <c r="I7624" s="43">
        <f>IF(INDEX(DarlBelegt,16)=0,0,IF(INDEX(DarlOhneTilgung,16)=1,IF(INDEX(DarlBindung,16)="",1,$G7624),IF($J7624&gt;0.005,1,0)))</f>
      </c>
      <c r="J7624" s="43">
        <f>IF($I7623=0,0,$R7623)</f>
      </c>
      <c r="K7624" s="43">
        <f>IF($I7624=0,0,IF(INDEX(DarlOhneTilgung,16)=1,0,IF(AND(INDEX(DarlTilgStart,16)&gt;0,$E7624=INDEX(DarlTilgStart,16)),$J7624*($H7624+INDEX(DarlTilgung,16))/100/12,IF(AND($G7624=0,$G7623=1),MAX($K7623,$J7624*($H7624+1)/100/12),$K7623))))</f>
      </c>
      <c r="L7624" s="43">
        <f>IF($I7624=0,0,$J7624*$H7624/100/12)</f>
      </c>
      <c r="M7624" s="43">
        <f>IF($I7624=0,0,IF(OR(INDEX(DarlOhneTilgung,16)=1,AND(INDEX(DarlTilgStart,16)&gt;0,$E7624&lt;INDEX(DarlTilgStart,16))),0,MIN(MAX(0,$K7624-$L7624),$J7624)))</f>
      </c>
      <c r="N7624" s="43">
        <f>IF($I7624=0,0,MIN(SUMIFS(SondBetrag,SondDarl,16,SondDatum,"&gt;="&amp;$E7624,SondDatum,"&lt;="&amp;EOMONTH($E7624,0)),$J7624-$M7624))</f>
      </c>
      <c r="O7624" s="43">
        <f>IF($I7624=0,0,INDEX(DarlErsatzRate,16))</f>
      </c>
      <c r="P7624" s="43">
        <f>IF($I7624=0,0,$Q7623*INDEX(DarlErsatzZins,16))</f>
      </c>
      <c r="Q7624" s="43">
        <f>IF($I7624=0,0,$Q7623+$P7624+$O7624)</f>
      </c>
      <c r="R7624" s="43">
        <f>IF($I7624=0,0,$J7624-$M7624-$N7624)</f>
      </c>
    </row>
    <row r="7625">
      <c r="A7625"/>
      <c r="B7625">
        <v>16</v>
      </c>
      <c r="C7625" s="43">
        <f>INDEX(DarlObj,16)</f>
      </c>
      <c r="D7625">
        <v>422</v>
      </c>
      <c r="E7625" s="51">
        <f>IF(INDEX(DarlBelegt,16)=0,0,EOMONTH(INDEX(DarlAuszahlung,16),421)+1)</f>
      </c>
      <c r="F7625" s="43">
        <f>IF($E7625=0,0,YEAR($E7625))</f>
      </c>
      <c r="G7625" s="43">
        <f>IF(INDEX(DarlBindung,16)="",1,IF($E7625&lt;=INDEX(DarlBindung,16),1,0))</f>
      </c>
      <c r="H7625" s="43">
        <f>IF($G7625=1,INDEX(DarlSollzins,16),INDEX(DarlAnschluss,16))</f>
      </c>
      <c r="I7625" s="43">
        <f>IF(INDEX(DarlBelegt,16)=0,0,IF(INDEX(DarlOhneTilgung,16)=1,IF(INDEX(DarlBindung,16)="",1,$G7625),IF($J7625&gt;0.005,1,0)))</f>
      </c>
      <c r="J7625" s="43">
        <f>IF($I7624=0,0,$R7624)</f>
      </c>
      <c r="K7625" s="43">
        <f>IF($I7625=0,0,IF(INDEX(DarlOhneTilgung,16)=1,0,IF(AND(INDEX(DarlTilgStart,16)&gt;0,$E7625=INDEX(DarlTilgStart,16)),$J7625*($H7625+INDEX(DarlTilgung,16))/100/12,IF(AND($G7625=0,$G7624=1),MAX($K7624,$J7625*($H7625+1)/100/12),$K7624))))</f>
      </c>
      <c r="L7625" s="43">
        <f>IF($I7625=0,0,$J7625*$H7625/100/12)</f>
      </c>
      <c r="M7625" s="43">
        <f>IF($I7625=0,0,IF(OR(INDEX(DarlOhneTilgung,16)=1,AND(INDEX(DarlTilgStart,16)&gt;0,$E7625&lt;INDEX(DarlTilgStart,16))),0,MIN(MAX(0,$K7625-$L7625),$J7625)))</f>
      </c>
      <c r="N7625" s="43">
        <f>IF($I7625=0,0,MIN(SUMIFS(SondBetrag,SondDarl,16,SondDatum,"&gt;="&amp;$E7625,SondDatum,"&lt;="&amp;EOMONTH($E7625,0)),$J7625-$M7625))</f>
      </c>
      <c r="O7625" s="43">
        <f>IF($I7625=0,0,INDEX(DarlErsatzRate,16))</f>
      </c>
      <c r="P7625" s="43">
        <f>IF($I7625=0,0,$Q7624*INDEX(DarlErsatzZins,16))</f>
      </c>
      <c r="Q7625" s="43">
        <f>IF($I7625=0,0,$Q7624+$P7625+$O7625)</f>
      </c>
      <c r="R7625" s="43">
        <f>IF($I7625=0,0,$J7625-$M7625-$N7625)</f>
      </c>
    </row>
    <row r="7626">
      <c r="A7626"/>
      <c r="B7626">
        <v>16</v>
      </c>
      <c r="C7626" s="43">
        <f>INDEX(DarlObj,16)</f>
      </c>
      <c r="D7626">
        <v>423</v>
      </c>
      <c r="E7626" s="51">
        <f>IF(INDEX(DarlBelegt,16)=0,0,EOMONTH(INDEX(DarlAuszahlung,16),422)+1)</f>
      </c>
      <c r="F7626" s="43">
        <f>IF($E7626=0,0,YEAR($E7626))</f>
      </c>
      <c r="G7626" s="43">
        <f>IF(INDEX(DarlBindung,16)="",1,IF($E7626&lt;=INDEX(DarlBindung,16),1,0))</f>
      </c>
      <c r="H7626" s="43">
        <f>IF($G7626=1,INDEX(DarlSollzins,16),INDEX(DarlAnschluss,16))</f>
      </c>
      <c r="I7626" s="43">
        <f>IF(INDEX(DarlBelegt,16)=0,0,IF(INDEX(DarlOhneTilgung,16)=1,IF(INDEX(DarlBindung,16)="",1,$G7626),IF($J7626&gt;0.005,1,0)))</f>
      </c>
      <c r="J7626" s="43">
        <f>IF($I7625=0,0,$R7625)</f>
      </c>
      <c r="K7626" s="43">
        <f>IF($I7626=0,0,IF(INDEX(DarlOhneTilgung,16)=1,0,IF(AND(INDEX(DarlTilgStart,16)&gt;0,$E7626=INDEX(DarlTilgStart,16)),$J7626*($H7626+INDEX(DarlTilgung,16))/100/12,IF(AND($G7626=0,$G7625=1),MAX($K7625,$J7626*($H7626+1)/100/12),$K7625))))</f>
      </c>
      <c r="L7626" s="43">
        <f>IF($I7626=0,0,$J7626*$H7626/100/12)</f>
      </c>
      <c r="M7626" s="43">
        <f>IF($I7626=0,0,IF(OR(INDEX(DarlOhneTilgung,16)=1,AND(INDEX(DarlTilgStart,16)&gt;0,$E7626&lt;INDEX(DarlTilgStart,16))),0,MIN(MAX(0,$K7626-$L7626),$J7626)))</f>
      </c>
      <c r="N7626" s="43">
        <f>IF($I7626=0,0,MIN(SUMIFS(SondBetrag,SondDarl,16,SondDatum,"&gt;="&amp;$E7626,SondDatum,"&lt;="&amp;EOMONTH($E7626,0)),$J7626-$M7626))</f>
      </c>
      <c r="O7626" s="43">
        <f>IF($I7626=0,0,INDEX(DarlErsatzRate,16))</f>
      </c>
      <c r="P7626" s="43">
        <f>IF($I7626=0,0,$Q7625*INDEX(DarlErsatzZins,16))</f>
      </c>
      <c r="Q7626" s="43">
        <f>IF($I7626=0,0,$Q7625+$P7626+$O7626)</f>
      </c>
      <c r="R7626" s="43">
        <f>IF($I7626=0,0,$J7626-$M7626-$N7626)</f>
      </c>
    </row>
    <row r="7627">
      <c r="A7627"/>
      <c r="B7627">
        <v>16</v>
      </c>
      <c r="C7627" s="43">
        <f>INDEX(DarlObj,16)</f>
      </c>
      <c r="D7627">
        <v>424</v>
      </c>
      <c r="E7627" s="51">
        <f>IF(INDEX(DarlBelegt,16)=0,0,EOMONTH(INDEX(DarlAuszahlung,16),423)+1)</f>
      </c>
      <c r="F7627" s="43">
        <f>IF($E7627=0,0,YEAR($E7627))</f>
      </c>
      <c r="G7627" s="43">
        <f>IF(INDEX(DarlBindung,16)="",1,IF($E7627&lt;=INDEX(DarlBindung,16),1,0))</f>
      </c>
      <c r="H7627" s="43">
        <f>IF($G7627=1,INDEX(DarlSollzins,16),INDEX(DarlAnschluss,16))</f>
      </c>
      <c r="I7627" s="43">
        <f>IF(INDEX(DarlBelegt,16)=0,0,IF(INDEX(DarlOhneTilgung,16)=1,IF(INDEX(DarlBindung,16)="",1,$G7627),IF($J7627&gt;0.005,1,0)))</f>
      </c>
      <c r="J7627" s="43">
        <f>IF($I7626=0,0,$R7626)</f>
      </c>
      <c r="K7627" s="43">
        <f>IF($I7627=0,0,IF(INDEX(DarlOhneTilgung,16)=1,0,IF(AND(INDEX(DarlTilgStart,16)&gt;0,$E7627=INDEX(DarlTilgStart,16)),$J7627*($H7627+INDEX(DarlTilgung,16))/100/12,IF(AND($G7627=0,$G7626=1),MAX($K7626,$J7627*($H7627+1)/100/12),$K7626))))</f>
      </c>
      <c r="L7627" s="43">
        <f>IF($I7627=0,0,$J7627*$H7627/100/12)</f>
      </c>
      <c r="M7627" s="43">
        <f>IF($I7627=0,0,IF(OR(INDEX(DarlOhneTilgung,16)=1,AND(INDEX(DarlTilgStart,16)&gt;0,$E7627&lt;INDEX(DarlTilgStart,16))),0,MIN(MAX(0,$K7627-$L7627),$J7627)))</f>
      </c>
      <c r="N7627" s="43">
        <f>IF($I7627=0,0,MIN(SUMIFS(SondBetrag,SondDarl,16,SondDatum,"&gt;="&amp;$E7627,SondDatum,"&lt;="&amp;EOMONTH($E7627,0)),$J7627-$M7627))</f>
      </c>
      <c r="O7627" s="43">
        <f>IF($I7627=0,0,INDEX(DarlErsatzRate,16))</f>
      </c>
      <c r="P7627" s="43">
        <f>IF($I7627=0,0,$Q7626*INDEX(DarlErsatzZins,16))</f>
      </c>
      <c r="Q7627" s="43">
        <f>IF($I7627=0,0,$Q7626+$P7627+$O7627)</f>
      </c>
      <c r="R7627" s="43">
        <f>IF($I7627=0,0,$J7627-$M7627-$N7627)</f>
      </c>
    </row>
    <row r="7628">
      <c r="A7628"/>
      <c r="B7628">
        <v>16</v>
      </c>
      <c r="C7628" s="43">
        <f>INDEX(DarlObj,16)</f>
      </c>
      <c r="D7628">
        <v>425</v>
      </c>
      <c r="E7628" s="51">
        <f>IF(INDEX(DarlBelegt,16)=0,0,EOMONTH(INDEX(DarlAuszahlung,16),424)+1)</f>
      </c>
      <c r="F7628" s="43">
        <f>IF($E7628=0,0,YEAR($E7628))</f>
      </c>
      <c r="G7628" s="43">
        <f>IF(INDEX(DarlBindung,16)="",1,IF($E7628&lt;=INDEX(DarlBindung,16),1,0))</f>
      </c>
      <c r="H7628" s="43">
        <f>IF($G7628=1,INDEX(DarlSollzins,16),INDEX(DarlAnschluss,16))</f>
      </c>
      <c r="I7628" s="43">
        <f>IF(INDEX(DarlBelegt,16)=0,0,IF(INDEX(DarlOhneTilgung,16)=1,IF(INDEX(DarlBindung,16)="",1,$G7628),IF($J7628&gt;0.005,1,0)))</f>
      </c>
      <c r="J7628" s="43">
        <f>IF($I7627=0,0,$R7627)</f>
      </c>
      <c r="K7628" s="43">
        <f>IF($I7628=0,0,IF(INDEX(DarlOhneTilgung,16)=1,0,IF(AND(INDEX(DarlTilgStart,16)&gt;0,$E7628=INDEX(DarlTilgStart,16)),$J7628*($H7628+INDEX(DarlTilgung,16))/100/12,IF(AND($G7628=0,$G7627=1),MAX($K7627,$J7628*($H7628+1)/100/12),$K7627))))</f>
      </c>
      <c r="L7628" s="43">
        <f>IF($I7628=0,0,$J7628*$H7628/100/12)</f>
      </c>
      <c r="M7628" s="43">
        <f>IF($I7628=0,0,IF(OR(INDEX(DarlOhneTilgung,16)=1,AND(INDEX(DarlTilgStart,16)&gt;0,$E7628&lt;INDEX(DarlTilgStart,16))),0,MIN(MAX(0,$K7628-$L7628),$J7628)))</f>
      </c>
      <c r="N7628" s="43">
        <f>IF($I7628=0,0,MIN(SUMIFS(SondBetrag,SondDarl,16,SondDatum,"&gt;="&amp;$E7628,SondDatum,"&lt;="&amp;EOMONTH($E7628,0)),$J7628-$M7628))</f>
      </c>
      <c r="O7628" s="43">
        <f>IF($I7628=0,0,INDEX(DarlErsatzRate,16))</f>
      </c>
      <c r="P7628" s="43">
        <f>IF($I7628=0,0,$Q7627*INDEX(DarlErsatzZins,16))</f>
      </c>
      <c r="Q7628" s="43">
        <f>IF($I7628=0,0,$Q7627+$P7628+$O7628)</f>
      </c>
      <c r="R7628" s="43">
        <f>IF($I7628=0,0,$J7628-$M7628-$N7628)</f>
      </c>
    </row>
    <row r="7629">
      <c r="A7629"/>
      <c r="B7629">
        <v>16</v>
      </c>
      <c r="C7629" s="43">
        <f>INDEX(DarlObj,16)</f>
      </c>
      <c r="D7629">
        <v>426</v>
      </c>
      <c r="E7629" s="51">
        <f>IF(INDEX(DarlBelegt,16)=0,0,EOMONTH(INDEX(DarlAuszahlung,16),425)+1)</f>
      </c>
      <c r="F7629" s="43">
        <f>IF($E7629=0,0,YEAR($E7629))</f>
      </c>
      <c r="G7629" s="43">
        <f>IF(INDEX(DarlBindung,16)="",1,IF($E7629&lt;=INDEX(DarlBindung,16),1,0))</f>
      </c>
      <c r="H7629" s="43">
        <f>IF($G7629=1,INDEX(DarlSollzins,16),INDEX(DarlAnschluss,16))</f>
      </c>
      <c r="I7629" s="43">
        <f>IF(INDEX(DarlBelegt,16)=0,0,IF(INDEX(DarlOhneTilgung,16)=1,IF(INDEX(DarlBindung,16)="",1,$G7629),IF($J7629&gt;0.005,1,0)))</f>
      </c>
      <c r="J7629" s="43">
        <f>IF($I7628=0,0,$R7628)</f>
      </c>
      <c r="K7629" s="43">
        <f>IF($I7629=0,0,IF(INDEX(DarlOhneTilgung,16)=1,0,IF(AND(INDEX(DarlTilgStart,16)&gt;0,$E7629=INDEX(DarlTilgStart,16)),$J7629*($H7629+INDEX(DarlTilgung,16))/100/12,IF(AND($G7629=0,$G7628=1),MAX($K7628,$J7629*($H7629+1)/100/12),$K7628))))</f>
      </c>
      <c r="L7629" s="43">
        <f>IF($I7629=0,0,$J7629*$H7629/100/12)</f>
      </c>
      <c r="M7629" s="43">
        <f>IF($I7629=0,0,IF(OR(INDEX(DarlOhneTilgung,16)=1,AND(INDEX(DarlTilgStart,16)&gt;0,$E7629&lt;INDEX(DarlTilgStart,16))),0,MIN(MAX(0,$K7629-$L7629),$J7629)))</f>
      </c>
      <c r="N7629" s="43">
        <f>IF($I7629=0,0,MIN(SUMIFS(SondBetrag,SondDarl,16,SondDatum,"&gt;="&amp;$E7629,SondDatum,"&lt;="&amp;EOMONTH($E7629,0)),$J7629-$M7629))</f>
      </c>
      <c r="O7629" s="43">
        <f>IF($I7629=0,0,INDEX(DarlErsatzRate,16))</f>
      </c>
      <c r="P7629" s="43">
        <f>IF($I7629=0,0,$Q7628*INDEX(DarlErsatzZins,16))</f>
      </c>
      <c r="Q7629" s="43">
        <f>IF($I7629=0,0,$Q7628+$P7629+$O7629)</f>
      </c>
      <c r="R7629" s="43">
        <f>IF($I7629=0,0,$J7629-$M7629-$N7629)</f>
      </c>
    </row>
    <row r="7630">
      <c r="A7630"/>
      <c r="B7630">
        <v>16</v>
      </c>
      <c r="C7630" s="43">
        <f>INDEX(DarlObj,16)</f>
      </c>
      <c r="D7630">
        <v>427</v>
      </c>
      <c r="E7630" s="51">
        <f>IF(INDEX(DarlBelegt,16)=0,0,EOMONTH(INDEX(DarlAuszahlung,16),426)+1)</f>
      </c>
      <c r="F7630" s="43">
        <f>IF($E7630=0,0,YEAR($E7630))</f>
      </c>
      <c r="G7630" s="43">
        <f>IF(INDEX(DarlBindung,16)="",1,IF($E7630&lt;=INDEX(DarlBindung,16),1,0))</f>
      </c>
      <c r="H7630" s="43">
        <f>IF($G7630=1,INDEX(DarlSollzins,16),INDEX(DarlAnschluss,16))</f>
      </c>
      <c r="I7630" s="43">
        <f>IF(INDEX(DarlBelegt,16)=0,0,IF(INDEX(DarlOhneTilgung,16)=1,IF(INDEX(DarlBindung,16)="",1,$G7630),IF($J7630&gt;0.005,1,0)))</f>
      </c>
      <c r="J7630" s="43">
        <f>IF($I7629=0,0,$R7629)</f>
      </c>
      <c r="K7630" s="43">
        <f>IF($I7630=0,0,IF(INDEX(DarlOhneTilgung,16)=1,0,IF(AND(INDEX(DarlTilgStart,16)&gt;0,$E7630=INDEX(DarlTilgStart,16)),$J7630*($H7630+INDEX(DarlTilgung,16))/100/12,IF(AND($G7630=0,$G7629=1),MAX($K7629,$J7630*($H7630+1)/100/12),$K7629))))</f>
      </c>
      <c r="L7630" s="43">
        <f>IF($I7630=0,0,$J7630*$H7630/100/12)</f>
      </c>
      <c r="M7630" s="43">
        <f>IF($I7630=0,0,IF(OR(INDEX(DarlOhneTilgung,16)=1,AND(INDEX(DarlTilgStart,16)&gt;0,$E7630&lt;INDEX(DarlTilgStart,16))),0,MIN(MAX(0,$K7630-$L7630),$J7630)))</f>
      </c>
      <c r="N7630" s="43">
        <f>IF($I7630=0,0,MIN(SUMIFS(SondBetrag,SondDarl,16,SondDatum,"&gt;="&amp;$E7630,SondDatum,"&lt;="&amp;EOMONTH($E7630,0)),$J7630-$M7630))</f>
      </c>
      <c r="O7630" s="43">
        <f>IF($I7630=0,0,INDEX(DarlErsatzRate,16))</f>
      </c>
      <c r="P7630" s="43">
        <f>IF($I7630=0,0,$Q7629*INDEX(DarlErsatzZins,16))</f>
      </c>
      <c r="Q7630" s="43">
        <f>IF($I7630=0,0,$Q7629+$P7630+$O7630)</f>
      </c>
      <c r="R7630" s="43">
        <f>IF($I7630=0,0,$J7630-$M7630-$N7630)</f>
      </c>
    </row>
    <row r="7631">
      <c r="A7631"/>
      <c r="B7631">
        <v>16</v>
      </c>
      <c r="C7631" s="43">
        <f>INDEX(DarlObj,16)</f>
      </c>
      <c r="D7631">
        <v>428</v>
      </c>
      <c r="E7631" s="51">
        <f>IF(INDEX(DarlBelegt,16)=0,0,EOMONTH(INDEX(DarlAuszahlung,16),427)+1)</f>
      </c>
      <c r="F7631" s="43">
        <f>IF($E7631=0,0,YEAR($E7631))</f>
      </c>
      <c r="G7631" s="43">
        <f>IF(INDEX(DarlBindung,16)="",1,IF($E7631&lt;=INDEX(DarlBindung,16),1,0))</f>
      </c>
      <c r="H7631" s="43">
        <f>IF($G7631=1,INDEX(DarlSollzins,16),INDEX(DarlAnschluss,16))</f>
      </c>
      <c r="I7631" s="43">
        <f>IF(INDEX(DarlBelegt,16)=0,0,IF(INDEX(DarlOhneTilgung,16)=1,IF(INDEX(DarlBindung,16)="",1,$G7631),IF($J7631&gt;0.005,1,0)))</f>
      </c>
      <c r="J7631" s="43">
        <f>IF($I7630=0,0,$R7630)</f>
      </c>
      <c r="K7631" s="43">
        <f>IF($I7631=0,0,IF(INDEX(DarlOhneTilgung,16)=1,0,IF(AND(INDEX(DarlTilgStart,16)&gt;0,$E7631=INDEX(DarlTilgStart,16)),$J7631*($H7631+INDEX(DarlTilgung,16))/100/12,IF(AND($G7631=0,$G7630=1),MAX($K7630,$J7631*($H7631+1)/100/12),$K7630))))</f>
      </c>
      <c r="L7631" s="43">
        <f>IF($I7631=0,0,$J7631*$H7631/100/12)</f>
      </c>
      <c r="M7631" s="43">
        <f>IF($I7631=0,0,IF(OR(INDEX(DarlOhneTilgung,16)=1,AND(INDEX(DarlTilgStart,16)&gt;0,$E7631&lt;INDEX(DarlTilgStart,16))),0,MIN(MAX(0,$K7631-$L7631),$J7631)))</f>
      </c>
      <c r="N7631" s="43">
        <f>IF($I7631=0,0,MIN(SUMIFS(SondBetrag,SondDarl,16,SondDatum,"&gt;="&amp;$E7631,SondDatum,"&lt;="&amp;EOMONTH($E7631,0)),$J7631-$M7631))</f>
      </c>
      <c r="O7631" s="43">
        <f>IF($I7631=0,0,INDEX(DarlErsatzRate,16))</f>
      </c>
      <c r="P7631" s="43">
        <f>IF($I7631=0,0,$Q7630*INDEX(DarlErsatzZins,16))</f>
      </c>
      <c r="Q7631" s="43">
        <f>IF($I7631=0,0,$Q7630+$P7631+$O7631)</f>
      </c>
      <c r="R7631" s="43">
        <f>IF($I7631=0,0,$J7631-$M7631-$N7631)</f>
      </c>
    </row>
    <row r="7632">
      <c r="A7632"/>
      <c r="B7632">
        <v>16</v>
      </c>
      <c r="C7632" s="43">
        <f>INDEX(DarlObj,16)</f>
      </c>
      <c r="D7632">
        <v>429</v>
      </c>
      <c r="E7632" s="51">
        <f>IF(INDEX(DarlBelegt,16)=0,0,EOMONTH(INDEX(DarlAuszahlung,16),428)+1)</f>
      </c>
      <c r="F7632" s="43">
        <f>IF($E7632=0,0,YEAR($E7632))</f>
      </c>
      <c r="G7632" s="43">
        <f>IF(INDEX(DarlBindung,16)="",1,IF($E7632&lt;=INDEX(DarlBindung,16),1,0))</f>
      </c>
      <c r="H7632" s="43">
        <f>IF($G7632=1,INDEX(DarlSollzins,16),INDEX(DarlAnschluss,16))</f>
      </c>
      <c r="I7632" s="43">
        <f>IF(INDEX(DarlBelegt,16)=0,0,IF(INDEX(DarlOhneTilgung,16)=1,IF(INDEX(DarlBindung,16)="",1,$G7632),IF($J7632&gt;0.005,1,0)))</f>
      </c>
      <c r="J7632" s="43">
        <f>IF($I7631=0,0,$R7631)</f>
      </c>
      <c r="K7632" s="43">
        <f>IF($I7632=0,0,IF(INDEX(DarlOhneTilgung,16)=1,0,IF(AND(INDEX(DarlTilgStart,16)&gt;0,$E7632=INDEX(DarlTilgStart,16)),$J7632*($H7632+INDEX(DarlTilgung,16))/100/12,IF(AND($G7632=0,$G7631=1),MAX($K7631,$J7632*($H7632+1)/100/12),$K7631))))</f>
      </c>
      <c r="L7632" s="43">
        <f>IF($I7632=0,0,$J7632*$H7632/100/12)</f>
      </c>
      <c r="M7632" s="43">
        <f>IF($I7632=0,0,IF(OR(INDEX(DarlOhneTilgung,16)=1,AND(INDEX(DarlTilgStart,16)&gt;0,$E7632&lt;INDEX(DarlTilgStart,16))),0,MIN(MAX(0,$K7632-$L7632),$J7632)))</f>
      </c>
      <c r="N7632" s="43">
        <f>IF($I7632=0,0,MIN(SUMIFS(SondBetrag,SondDarl,16,SondDatum,"&gt;="&amp;$E7632,SondDatum,"&lt;="&amp;EOMONTH($E7632,0)),$J7632-$M7632))</f>
      </c>
      <c r="O7632" s="43">
        <f>IF($I7632=0,0,INDEX(DarlErsatzRate,16))</f>
      </c>
      <c r="P7632" s="43">
        <f>IF($I7632=0,0,$Q7631*INDEX(DarlErsatzZins,16))</f>
      </c>
      <c r="Q7632" s="43">
        <f>IF($I7632=0,0,$Q7631+$P7632+$O7632)</f>
      </c>
      <c r="R7632" s="43">
        <f>IF($I7632=0,0,$J7632-$M7632-$N7632)</f>
      </c>
    </row>
    <row r="7633">
      <c r="A7633"/>
      <c r="B7633">
        <v>16</v>
      </c>
      <c r="C7633" s="43">
        <f>INDEX(DarlObj,16)</f>
      </c>
      <c r="D7633">
        <v>430</v>
      </c>
      <c r="E7633" s="51">
        <f>IF(INDEX(DarlBelegt,16)=0,0,EOMONTH(INDEX(DarlAuszahlung,16),429)+1)</f>
      </c>
      <c r="F7633" s="43">
        <f>IF($E7633=0,0,YEAR($E7633))</f>
      </c>
      <c r="G7633" s="43">
        <f>IF(INDEX(DarlBindung,16)="",1,IF($E7633&lt;=INDEX(DarlBindung,16),1,0))</f>
      </c>
      <c r="H7633" s="43">
        <f>IF($G7633=1,INDEX(DarlSollzins,16),INDEX(DarlAnschluss,16))</f>
      </c>
      <c r="I7633" s="43">
        <f>IF(INDEX(DarlBelegt,16)=0,0,IF(INDEX(DarlOhneTilgung,16)=1,IF(INDEX(DarlBindung,16)="",1,$G7633),IF($J7633&gt;0.005,1,0)))</f>
      </c>
      <c r="J7633" s="43">
        <f>IF($I7632=0,0,$R7632)</f>
      </c>
      <c r="K7633" s="43">
        <f>IF($I7633=0,0,IF(INDEX(DarlOhneTilgung,16)=1,0,IF(AND(INDEX(DarlTilgStart,16)&gt;0,$E7633=INDEX(DarlTilgStart,16)),$J7633*($H7633+INDEX(DarlTilgung,16))/100/12,IF(AND($G7633=0,$G7632=1),MAX($K7632,$J7633*($H7633+1)/100/12),$K7632))))</f>
      </c>
      <c r="L7633" s="43">
        <f>IF($I7633=0,0,$J7633*$H7633/100/12)</f>
      </c>
      <c r="M7633" s="43">
        <f>IF($I7633=0,0,IF(OR(INDEX(DarlOhneTilgung,16)=1,AND(INDEX(DarlTilgStart,16)&gt;0,$E7633&lt;INDEX(DarlTilgStart,16))),0,MIN(MAX(0,$K7633-$L7633),$J7633)))</f>
      </c>
      <c r="N7633" s="43">
        <f>IF($I7633=0,0,MIN(SUMIFS(SondBetrag,SondDarl,16,SondDatum,"&gt;="&amp;$E7633,SondDatum,"&lt;="&amp;EOMONTH($E7633,0)),$J7633-$M7633))</f>
      </c>
      <c r="O7633" s="43">
        <f>IF($I7633=0,0,INDEX(DarlErsatzRate,16))</f>
      </c>
      <c r="P7633" s="43">
        <f>IF($I7633=0,0,$Q7632*INDEX(DarlErsatzZins,16))</f>
      </c>
      <c r="Q7633" s="43">
        <f>IF($I7633=0,0,$Q7632+$P7633+$O7633)</f>
      </c>
      <c r="R7633" s="43">
        <f>IF($I7633=0,0,$J7633-$M7633-$N7633)</f>
      </c>
    </row>
    <row r="7634">
      <c r="A7634"/>
      <c r="B7634">
        <v>16</v>
      </c>
      <c r="C7634" s="43">
        <f>INDEX(DarlObj,16)</f>
      </c>
      <c r="D7634">
        <v>431</v>
      </c>
      <c r="E7634" s="51">
        <f>IF(INDEX(DarlBelegt,16)=0,0,EOMONTH(INDEX(DarlAuszahlung,16),430)+1)</f>
      </c>
      <c r="F7634" s="43">
        <f>IF($E7634=0,0,YEAR($E7634))</f>
      </c>
      <c r="G7634" s="43">
        <f>IF(INDEX(DarlBindung,16)="",1,IF($E7634&lt;=INDEX(DarlBindung,16),1,0))</f>
      </c>
      <c r="H7634" s="43">
        <f>IF($G7634=1,INDEX(DarlSollzins,16),INDEX(DarlAnschluss,16))</f>
      </c>
      <c r="I7634" s="43">
        <f>IF(INDEX(DarlBelegt,16)=0,0,IF(INDEX(DarlOhneTilgung,16)=1,IF(INDEX(DarlBindung,16)="",1,$G7634),IF($J7634&gt;0.005,1,0)))</f>
      </c>
      <c r="J7634" s="43">
        <f>IF($I7633=0,0,$R7633)</f>
      </c>
      <c r="K7634" s="43">
        <f>IF($I7634=0,0,IF(INDEX(DarlOhneTilgung,16)=1,0,IF(AND(INDEX(DarlTilgStart,16)&gt;0,$E7634=INDEX(DarlTilgStart,16)),$J7634*($H7634+INDEX(DarlTilgung,16))/100/12,IF(AND($G7634=0,$G7633=1),MAX($K7633,$J7634*($H7634+1)/100/12),$K7633))))</f>
      </c>
      <c r="L7634" s="43">
        <f>IF($I7634=0,0,$J7634*$H7634/100/12)</f>
      </c>
      <c r="M7634" s="43">
        <f>IF($I7634=0,0,IF(OR(INDEX(DarlOhneTilgung,16)=1,AND(INDEX(DarlTilgStart,16)&gt;0,$E7634&lt;INDEX(DarlTilgStart,16))),0,MIN(MAX(0,$K7634-$L7634),$J7634)))</f>
      </c>
      <c r="N7634" s="43">
        <f>IF($I7634=0,0,MIN(SUMIFS(SondBetrag,SondDarl,16,SondDatum,"&gt;="&amp;$E7634,SondDatum,"&lt;="&amp;EOMONTH($E7634,0)),$J7634-$M7634))</f>
      </c>
      <c r="O7634" s="43">
        <f>IF($I7634=0,0,INDEX(DarlErsatzRate,16))</f>
      </c>
      <c r="P7634" s="43">
        <f>IF($I7634=0,0,$Q7633*INDEX(DarlErsatzZins,16))</f>
      </c>
      <c r="Q7634" s="43">
        <f>IF($I7634=0,0,$Q7633+$P7634+$O7634)</f>
      </c>
      <c r="R7634" s="43">
        <f>IF($I7634=0,0,$J7634-$M7634-$N7634)</f>
      </c>
    </row>
    <row r="7635">
      <c r="A7635"/>
      <c r="B7635">
        <v>16</v>
      </c>
      <c r="C7635" s="43">
        <f>INDEX(DarlObj,16)</f>
      </c>
      <c r="D7635">
        <v>432</v>
      </c>
      <c r="E7635" s="51">
        <f>IF(INDEX(DarlBelegt,16)=0,0,EOMONTH(INDEX(DarlAuszahlung,16),431)+1)</f>
      </c>
      <c r="F7635" s="43">
        <f>IF($E7635=0,0,YEAR($E7635))</f>
      </c>
      <c r="G7635" s="43">
        <f>IF(INDEX(DarlBindung,16)="",1,IF($E7635&lt;=INDEX(DarlBindung,16),1,0))</f>
      </c>
      <c r="H7635" s="43">
        <f>IF($G7635=1,INDEX(DarlSollzins,16),INDEX(DarlAnschluss,16))</f>
      </c>
      <c r="I7635" s="43">
        <f>IF(INDEX(DarlBelegt,16)=0,0,IF(INDEX(DarlOhneTilgung,16)=1,IF(INDEX(DarlBindung,16)="",1,$G7635),IF($J7635&gt;0.005,1,0)))</f>
      </c>
      <c r="J7635" s="43">
        <f>IF($I7634=0,0,$R7634)</f>
      </c>
      <c r="K7635" s="43">
        <f>IF($I7635=0,0,IF(INDEX(DarlOhneTilgung,16)=1,0,IF(AND(INDEX(DarlTilgStart,16)&gt;0,$E7635=INDEX(DarlTilgStart,16)),$J7635*($H7635+INDEX(DarlTilgung,16))/100/12,IF(AND($G7635=0,$G7634=1),MAX($K7634,$J7635*($H7635+1)/100/12),$K7634))))</f>
      </c>
      <c r="L7635" s="43">
        <f>IF($I7635=0,0,$J7635*$H7635/100/12)</f>
      </c>
      <c r="M7635" s="43">
        <f>IF($I7635=0,0,IF(OR(INDEX(DarlOhneTilgung,16)=1,AND(INDEX(DarlTilgStart,16)&gt;0,$E7635&lt;INDEX(DarlTilgStart,16))),0,MIN(MAX(0,$K7635-$L7635),$J7635)))</f>
      </c>
      <c r="N7635" s="43">
        <f>IF($I7635=0,0,MIN(SUMIFS(SondBetrag,SondDarl,16,SondDatum,"&gt;="&amp;$E7635,SondDatum,"&lt;="&amp;EOMONTH($E7635,0)),$J7635-$M7635))</f>
      </c>
      <c r="O7635" s="43">
        <f>IF($I7635=0,0,INDEX(DarlErsatzRate,16))</f>
      </c>
      <c r="P7635" s="43">
        <f>IF($I7635=0,0,$Q7634*INDEX(DarlErsatzZins,16))</f>
      </c>
      <c r="Q7635" s="43">
        <f>IF($I7635=0,0,$Q7634+$P7635+$O7635)</f>
      </c>
      <c r="R7635" s="43">
        <f>IF($I7635=0,0,$J7635-$M7635-$N7635)</f>
      </c>
    </row>
    <row r="7636">
      <c r="A7636"/>
      <c r="B7636">
        <v>16</v>
      </c>
      <c r="C7636" s="43">
        <f>INDEX(DarlObj,16)</f>
      </c>
      <c r="D7636">
        <v>433</v>
      </c>
      <c r="E7636" s="51">
        <f>IF(INDEX(DarlBelegt,16)=0,0,EOMONTH(INDEX(DarlAuszahlung,16),432)+1)</f>
      </c>
      <c r="F7636" s="43">
        <f>IF($E7636=0,0,YEAR($E7636))</f>
      </c>
      <c r="G7636" s="43">
        <f>IF(INDEX(DarlBindung,16)="",1,IF($E7636&lt;=INDEX(DarlBindung,16),1,0))</f>
      </c>
      <c r="H7636" s="43">
        <f>IF($G7636=1,INDEX(DarlSollzins,16),INDEX(DarlAnschluss,16))</f>
      </c>
      <c r="I7636" s="43">
        <f>IF(INDEX(DarlBelegt,16)=0,0,IF(INDEX(DarlOhneTilgung,16)=1,IF(INDEX(DarlBindung,16)="",1,$G7636),IF($J7636&gt;0.005,1,0)))</f>
      </c>
      <c r="J7636" s="43">
        <f>IF($I7635=0,0,$R7635)</f>
      </c>
      <c r="K7636" s="43">
        <f>IF($I7636=0,0,IF(INDEX(DarlOhneTilgung,16)=1,0,IF(AND(INDEX(DarlTilgStart,16)&gt;0,$E7636=INDEX(DarlTilgStart,16)),$J7636*($H7636+INDEX(DarlTilgung,16))/100/12,IF(AND($G7636=0,$G7635=1),MAX($K7635,$J7636*($H7636+1)/100/12),$K7635))))</f>
      </c>
      <c r="L7636" s="43">
        <f>IF($I7636=0,0,$J7636*$H7636/100/12)</f>
      </c>
      <c r="M7636" s="43">
        <f>IF($I7636=0,0,IF(OR(INDEX(DarlOhneTilgung,16)=1,AND(INDEX(DarlTilgStart,16)&gt;0,$E7636&lt;INDEX(DarlTilgStart,16))),0,MIN(MAX(0,$K7636-$L7636),$J7636)))</f>
      </c>
      <c r="N7636" s="43">
        <f>IF($I7636=0,0,MIN(SUMIFS(SondBetrag,SondDarl,16,SondDatum,"&gt;="&amp;$E7636,SondDatum,"&lt;="&amp;EOMONTH($E7636,0)),$J7636-$M7636))</f>
      </c>
      <c r="O7636" s="43">
        <f>IF($I7636=0,0,INDEX(DarlErsatzRate,16))</f>
      </c>
      <c r="P7636" s="43">
        <f>IF($I7636=0,0,$Q7635*INDEX(DarlErsatzZins,16))</f>
      </c>
      <c r="Q7636" s="43">
        <f>IF($I7636=0,0,$Q7635+$P7636+$O7636)</f>
      </c>
      <c r="R7636" s="43">
        <f>IF($I7636=0,0,$J7636-$M7636-$N7636)</f>
      </c>
    </row>
    <row r="7637">
      <c r="A7637"/>
      <c r="B7637">
        <v>16</v>
      </c>
      <c r="C7637" s="43">
        <f>INDEX(DarlObj,16)</f>
      </c>
      <c r="D7637">
        <v>434</v>
      </c>
      <c r="E7637" s="51">
        <f>IF(INDEX(DarlBelegt,16)=0,0,EOMONTH(INDEX(DarlAuszahlung,16),433)+1)</f>
      </c>
      <c r="F7637" s="43">
        <f>IF($E7637=0,0,YEAR($E7637))</f>
      </c>
      <c r="G7637" s="43">
        <f>IF(INDEX(DarlBindung,16)="",1,IF($E7637&lt;=INDEX(DarlBindung,16),1,0))</f>
      </c>
      <c r="H7637" s="43">
        <f>IF($G7637=1,INDEX(DarlSollzins,16),INDEX(DarlAnschluss,16))</f>
      </c>
      <c r="I7637" s="43">
        <f>IF(INDEX(DarlBelegt,16)=0,0,IF(INDEX(DarlOhneTilgung,16)=1,IF(INDEX(DarlBindung,16)="",1,$G7637),IF($J7637&gt;0.005,1,0)))</f>
      </c>
      <c r="J7637" s="43">
        <f>IF($I7636=0,0,$R7636)</f>
      </c>
      <c r="K7637" s="43">
        <f>IF($I7637=0,0,IF(INDEX(DarlOhneTilgung,16)=1,0,IF(AND(INDEX(DarlTilgStart,16)&gt;0,$E7637=INDEX(DarlTilgStart,16)),$J7637*($H7637+INDEX(DarlTilgung,16))/100/12,IF(AND($G7637=0,$G7636=1),MAX($K7636,$J7637*($H7637+1)/100/12),$K7636))))</f>
      </c>
      <c r="L7637" s="43">
        <f>IF($I7637=0,0,$J7637*$H7637/100/12)</f>
      </c>
      <c r="M7637" s="43">
        <f>IF($I7637=0,0,IF(OR(INDEX(DarlOhneTilgung,16)=1,AND(INDEX(DarlTilgStart,16)&gt;0,$E7637&lt;INDEX(DarlTilgStart,16))),0,MIN(MAX(0,$K7637-$L7637),$J7637)))</f>
      </c>
      <c r="N7637" s="43">
        <f>IF($I7637=0,0,MIN(SUMIFS(SondBetrag,SondDarl,16,SondDatum,"&gt;="&amp;$E7637,SondDatum,"&lt;="&amp;EOMONTH($E7637,0)),$J7637-$M7637))</f>
      </c>
      <c r="O7637" s="43">
        <f>IF($I7637=0,0,INDEX(DarlErsatzRate,16))</f>
      </c>
      <c r="P7637" s="43">
        <f>IF($I7637=0,0,$Q7636*INDEX(DarlErsatzZins,16))</f>
      </c>
      <c r="Q7637" s="43">
        <f>IF($I7637=0,0,$Q7636+$P7637+$O7637)</f>
      </c>
      <c r="R7637" s="43">
        <f>IF($I7637=0,0,$J7637-$M7637-$N7637)</f>
      </c>
    </row>
    <row r="7638">
      <c r="A7638"/>
      <c r="B7638">
        <v>16</v>
      </c>
      <c r="C7638" s="43">
        <f>INDEX(DarlObj,16)</f>
      </c>
      <c r="D7638">
        <v>435</v>
      </c>
      <c r="E7638" s="51">
        <f>IF(INDEX(DarlBelegt,16)=0,0,EOMONTH(INDEX(DarlAuszahlung,16),434)+1)</f>
      </c>
      <c r="F7638" s="43">
        <f>IF($E7638=0,0,YEAR($E7638))</f>
      </c>
      <c r="G7638" s="43">
        <f>IF(INDEX(DarlBindung,16)="",1,IF($E7638&lt;=INDEX(DarlBindung,16),1,0))</f>
      </c>
      <c r="H7638" s="43">
        <f>IF($G7638=1,INDEX(DarlSollzins,16),INDEX(DarlAnschluss,16))</f>
      </c>
      <c r="I7638" s="43">
        <f>IF(INDEX(DarlBelegt,16)=0,0,IF(INDEX(DarlOhneTilgung,16)=1,IF(INDEX(DarlBindung,16)="",1,$G7638),IF($J7638&gt;0.005,1,0)))</f>
      </c>
      <c r="J7638" s="43">
        <f>IF($I7637=0,0,$R7637)</f>
      </c>
      <c r="K7638" s="43">
        <f>IF($I7638=0,0,IF(INDEX(DarlOhneTilgung,16)=1,0,IF(AND(INDEX(DarlTilgStart,16)&gt;0,$E7638=INDEX(DarlTilgStart,16)),$J7638*($H7638+INDEX(DarlTilgung,16))/100/12,IF(AND($G7638=0,$G7637=1),MAX($K7637,$J7638*($H7638+1)/100/12),$K7637))))</f>
      </c>
      <c r="L7638" s="43">
        <f>IF($I7638=0,0,$J7638*$H7638/100/12)</f>
      </c>
      <c r="M7638" s="43">
        <f>IF($I7638=0,0,IF(OR(INDEX(DarlOhneTilgung,16)=1,AND(INDEX(DarlTilgStart,16)&gt;0,$E7638&lt;INDEX(DarlTilgStart,16))),0,MIN(MAX(0,$K7638-$L7638),$J7638)))</f>
      </c>
      <c r="N7638" s="43">
        <f>IF($I7638=0,0,MIN(SUMIFS(SondBetrag,SondDarl,16,SondDatum,"&gt;="&amp;$E7638,SondDatum,"&lt;="&amp;EOMONTH($E7638,0)),$J7638-$M7638))</f>
      </c>
      <c r="O7638" s="43">
        <f>IF($I7638=0,0,INDEX(DarlErsatzRate,16))</f>
      </c>
      <c r="P7638" s="43">
        <f>IF($I7638=0,0,$Q7637*INDEX(DarlErsatzZins,16))</f>
      </c>
      <c r="Q7638" s="43">
        <f>IF($I7638=0,0,$Q7637+$P7638+$O7638)</f>
      </c>
      <c r="R7638" s="43">
        <f>IF($I7638=0,0,$J7638-$M7638-$N7638)</f>
      </c>
    </row>
    <row r="7639">
      <c r="A7639"/>
      <c r="B7639">
        <v>16</v>
      </c>
      <c r="C7639" s="43">
        <f>INDEX(DarlObj,16)</f>
      </c>
      <c r="D7639">
        <v>436</v>
      </c>
      <c r="E7639" s="51">
        <f>IF(INDEX(DarlBelegt,16)=0,0,EOMONTH(INDEX(DarlAuszahlung,16),435)+1)</f>
      </c>
      <c r="F7639" s="43">
        <f>IF($E7639=0,0,YEAR($E7639))</f>
      </c>
      <c r="G7639" s="43">
        <f>IF(INDEX(DarlBindung,16)="",1,IF($E7639&lt;=INDEX(DarlBindung,16),1,0))</f>
      </c>
      <c r="H7639" s="43">
        <f>IF($G7639=1,INDEX(DarlSollzins,16),INDEX(DarlAnschluss,16))</f>
      </c>
      <c r="I7639" s="43">
        <f>IF(INDEX(DarlBelegt,16)=0,0,IF(INDEX(DarlOhneTilgung,16)=1,IF(INDEX(DarlBindung,16)="",1,$G7639),IF($J7639&gt;0.005,1,0)))</f>
      </c>
      <c r="J7639" s="43">
        <f>IF($I7638=0,0,$R7638)</f>
      </c>
      <c r="K7639" s="43">
        <f>IF($I7639=0,0,IF(INDEX(DarlOhneTilgung,16)=1,0,IF(AND(INDEX(DarlTilgStart,16)&gt;0,$E7639=INDEX(DarlTilgStart,16)),$J7639*($H7639+INDEX(DarlTilgung,16))/100/12,IF(AND($G7639=0,$G7638=1),MAX($K7638,$J7639*($H7639+1)/100/12),$K7638))))</f>
      </c>
      <c r="L7639" s="43">
        <f>IF($I7639=0,0,$J7639*$H7639/100/12)</f>
      </c>
      <c r="M7639" s="43">
        <f>IF($I7639=0,0,IF(OR(INDEX(DarlOhneTilgung,16)=1,AND(INDEX(DarlTilgStart,16)&gt;0,$E7639&lt;INDEX(DarlTilgStart,16))),0,MIN(MAX(0,$K7639-$L7639),$J7639)))</f>
      </c>
      <c r="N7639" s="43">
        <f>IF($I7639=0,0,MIN(SUMIFS(SondBetrag,SondDarl,16,SondDatum,"&gt;="&amp;$E7639,SondDatum,"&lt;="&amp;EOMONTH($E7639,0)),$J7639-$M7639))</f>
      </c>
      <c r="O7639" s="43">
        <f>IF($I7639=0,0,INDEX(DarlErsatzRate,16))</f>
      </c>
      <c r="P7639" s="43">
        <f>IF($I7639=0,0,$Q7638*INDEX(DarlErsatzZins,16))</f>
      </c>
      <c r="Q7639" s="43">
        <f>IF($I7639=0,0,$Q7638+$P7639+$O7639)</f>
      </c>
      <c r="R7639" s="43">
        <f>IF($I7639=0,0,$J7639-$M7639-$N7639)</f>
      </c>
    </row>
    <row r="7640">
      <c r="A7640"/>
      <c r="B7640">
        <v>16</v>
      </c>
      <c r="C7640" s="43">
        <f>INDEX(DarlObj,16)</f>
      </c>
      <c r="D7640">
        <v>437</v>
      </c>
      <c r="E7640" s="51">
        <f>IF(INDEX(DarlBelegt,16)=0,0,EOMONTH(INDEX(DarlAuszahlung,16),436)+1)</f>
      </c>
      <c r="F7640" s="43">
        <f>IF($E7640=0,0,YEAR($E7640))</f>
      </c>
      <c r="G7640" s="43">
        <f>IF(INDEX(DarlBindung,16)="",1,IF($E7640&lt;=INDEX(DarlBindung,16),1,0))</f>
      </c>
      <c r="H7640" s="43">
        <f>IF($G7640=1,INDEX(DarlSollzins,16),INDEX(DarlAnschluss,16))</f>
      </c>
      <c r="I7640" s="43">
        <f>IF(INDEX(DarlBelegt,16)=0,0,IF(INDEX(DarlOhneTilgung,16)=1,IF(INDEX(DarlBindung,16)="",1,$G7640),IF($J7640&gt;0.005,1,0)))</f>
      </c>
      <c r="J7640" s="43">
        <f>IF($I7639=0,0,$R7639)</f>
      </c>
      <c r="K7640" s="43">
        <f>IF($I7640=0,0,IF(INDEX(DarlOhneTilgung,16)=1,0,IF(AND(INDEX(DarlTilgStart,16)&gt;0,$E7640=INDEX(DarlTilgStart,16)),$J7640*($H7640+INDEX(DarlTilgung,16))/100/12,IF(AND($G7640=0,$G7639=1),MAX($K7639,$J7640*($H7640+1)/100/12),$K7639))))</f>
      </c>
      <c r="L7640" s="43">
        <f>IF($I7640=0,0,$J7640*$H7640/100/12)</f>
      </c>
      <c r="M7640" s="43">
        <f>IF($I7640=0,0,IF(OR(INDEX(DarlOhneTilgung,16)=1,AND(INDEX(DarlTilgStart,16)&gt;0,$E7640&lt;INDEX(DarlTilgStart,16))),0,MIN(MAX(0,$K7640-$L7640),$J7640)))</f>
      </c>
      <c r="N7640" s="43">
        <f>IF($I7640=0,0,MIN(SUMIFS(SondBetrag,SondDarl,16,SondDatum,"&gt;="&amp;$E7640,SondDatum,"&lt;="&amp;EOMONTH($E7640,0)),$J7640-$M7640))</f>
      </c>
      <c r="O7640" s="43">
        <f>IF($I7640=0,0,INDEX(DarlErsatzRate,16))</f>
      </c>
      <c r="P7640" s="43">
        <f>IF($I7640=0,0,$Q7639*INDEX(DarlErsatzZins,16))</f>
      </c>
      <c r="Q7640" s="43">
        <f>IF($I7640=0,0,$Q7639+$P7640+$O7640)</f>
      </c>
      <c r="R7640" s="43">
        <f>IF($I7640=0,0,$J7640-$M7640-$N7640)</f>
      </c>
    </row>
    <row r="7641">
      <c r="A7641"/>
      <c r="B7641">
        <v>16</v>
      </c>
      <c r="C7641" s="43">
        <f>INDEX(DarlObj,16)</f>
      </c>
      <c r="D7641">
        <v>438</v>
      </c>
      <c r="E7641" s="51">
        <f>IF(INDEX(DarlBelegt,16)=0,0,EOMONTH(INDEX(DarlAuszahlung,16),437)+1)</f>
      </c>
      <c r="F7641" s="43">
        <f>IF($E7641=0,0,YEAR($E7641))</f>
      </c>
      <c r="G7641" s="43">
        <f>IF(INDEX(DarlBindung,16)="",1,IF($E7641&lt;=INDEX(DarlBindung,16),1,0))</f>
      </c>
      <c r="H7641" s="43">
        <f>IF($G7641=1,INDEX(DarlSollzins,16),INDEX(DarlAnschluss,16))</f>
      </c>
      <c r="I7641" s="43">
        <f>IF(INDEX(DarlBelegt,16)=0,0,IF(INDEX(DarlOhneTilgung,16)=1,IF(INDEX(DarlBindung,16)="",1,$G7641),IF($J7641&gt;0.005,1,0)))</f>
      </c>
      <c r="J7641" s="43">
        <f>IF($I7640=0,0,$R7640)</f>
      </c>
      <c r="K7641" s="43">
        <f>IF($I7641=0,0,IF(INDEX(DarlOhneTilgung,16)=1,0,IF(AND(INDEX(DarlTilgStart,16)&gt;0,$E7641=INDEX(DarlTilgStart,16)),$J7641*($H7641+INDEX(DarlTilgung,16))/100/12,IF(AND($G7641=0,$G7640=1),MAX($K7640,$J7641*($H7641+1)/100/12),$K7640))))</f>
      </c>
      <c r="L7641" s="43">
        <f>IF($I7641=0,0,$J7641*$H7641/100/12)</f>
      </c>
      <c r="M7641" s="43">
        <f>IF($I7641=0,0,IF(OR(INDEX(DarlOhneTilgung,16)=1,AND(INDEX(DarlTilgStart,16)&gt;0,$E7641&lt;INDEX(DarlTilgStart,16))),0,MIN(MAX(0,$K7641-$L7641),$J7641)))</f>
      </c>
      <c r="N7641" s="43">
        <f>IF($I7641=0,0,MIN(SUMIFS(SondBetrag,SondDarl,16,SondDatum,"&gt;="&amp;$E7641,SondDatum,"&lt;="&amp;EOMONTH($E7641,0)),$J7641-$M7641))</f>
      </c>
      <c r="O7641" s="43">
        <f>IF($I7641=0,0,INDEX(DarlErsatzRate,16))</f>
      </c>
      <c r="P7641" s="43">
        <f>IF($I7641=0,0,$Q7640*INDEX(DarlErsatzZins,16))</f>
      </c>
      <c r="Q7641" s="43">
        <f>IF($I7641=0,0,$Q7640+$P7641+$O7641)</f>
      </c>
      <c r="R7641" s="43">
        <f>IF($I7641=0,0,$J7641-$M7641-$N7641)</f>
      </c>
    </row>
    <row r="7642">
      <c r="A7642"/>
      <c r="B7642">
        <v>16</v>
      </c>
      <c r="C7642" s="43">
        <f>INDEX(DarlObj,16)</f>
      </c>
      <c r="D7642">
        <v>439</v>
      </c>
      <c r="E7642" s="51">
        <f>IF(INDEX(DarlBelegt,16)=0,0,EOMONTH(INDEX(DarlAuszahlung,16),438)+1)</f>
      </c>
      <c r="F7642" s="43">
        <f>IF($E7642=0,0,YEAR($E7642))</f>
      </c>
      <c r="G7642" s="43">
        <f>IF(INDEX(DarlBindung,16)="",1,IF($E7642&lt;=INDEX(DarlBindung,16),1,0))</f>
      </c>
      <c r="H7642" s="43">
        <f>IF($G7642=1,INDEX(DarlSollzins,16),INDEX(DarlAnschluss,16))</f>
      </c>
      <c r="I7642" s="43">
        <f>IF(INDEX(DarlBelegt,16)=0,0,IF(INDEX(DarlOhneTilgung,16)=1,IF(INDEX(DarlBindung,16)="",1,$G7642),IF($J7642&gt;0.005,1,0)))</f>
      </c>
      <c r="J7642" s="43">
        <f>IF($I7641=0,0,$R7641)</f>
      </c>
      <c r="K7642" s="43">
        <f>IF($I7642=0,0,IF(INDEX(DarlOhneTilgung,16)=1,0,IF(AND(INDEX(DarlTilgStart,16)&gt;0,$E7642=INDEX(DarlTilgStart,16)),$J7642*($H7642+INDEX(DarlTilgung,16))/100/12,IF(AND($G7642=0,$G7641=1),MAX($K7641,$J7642*($H7642+1)/100/12),$K7641))))</f>
      </c>
      <c r="L7642" s="43">
        <f>IF($I7642=0,0,$J7642*$H7642/100/12)</f>
      </c>
      <c r="M7642" s="43">
        <f>IF($I7642=0,0,IF(OR(INDEX(DarlOhneTilgung,16)=1,AND(INDEX(DarlTilgStart,16)&gt;0,$E7642&lt;INDEX(DarlTilgStart,16))),0,MIN(MAX(0,$K7642-$L7642),$J7642)))</f>
      </c>
      <c r="N7642" s="43">
        <f>IF($I7642=0,0,MIN(SUMIFS(SondBetrag,SondDarl,16,SondDatum,"&gt;="&amp;$E7642,SondDatum,"&lt;="&amp;EOMONTH($E7642,0)),$J7642-$M7642))</f>
      </c>
      <c r="O7642" s="43">
        <f>IF($I7642=0,0,INDEX(DarlErsatzRate,16))</f>
      </c>
      <c r="P7642" s="43">
        <f>IF($I7642=0,0,$Q7641*INDEX(DarlErsatzZins,16))</f>
      </c>
      <c r="Q7642" s="43">
        <f>IF($I7642=0,0,$Q7641+$P7642+$O7642)</f>
      </c>
      <c r="R7642" s="43">
        <f>IF($I7642=0,0,$J7642-$M7642-$N7642)</f>
      </c>
    </row>
    <row r="7643">
      <c r="A7643"/>
      <c r="B7643">
        <v>16</v>
      </c>
      <c r="C7643" s="43">
        <f>INDEX(DarlObj,16)</f>
      </c>
      <c r="D7643">
        <v>440</v>
      </c>
      <c r="E7643" s="51">
        <f>IF(INDEX(DarlBelegt,16)=0,0,EOMONTH(INDEX(DarlAuszahlung,16),439)+1)</f>
      </c>
      <c r="F7643" s="43">
        <f>IF($E7643=0,0,YEAR($E7643))</f>
      </c>
      <c r="G7643" s="43">
        <f>IF(INDEX(DarlBindung,16)="",1,IF($E7643&lt;=INDEX(DarlBindung,16),1,0))</f>
      </c>
      <c r="H7643" s="43">
        <f>IF($G7643=1,INDEX(DarlSollzins,16),INDEX(DarlAnschluss,16))</f>
      </c>
      <c r="I7643" s="43">
        <f>IF(INDEX(DarlBelegt,16)=0,0,IF(INDEX(DarlOhneTilgung,16)=1,IF(INDEX(DarlBindung,16)="",1,$G7643),IF($J7643&gt;0.005,1,0)))</f>
      </c>
      <c r="J7643" s="43">
        <f>IF($I7642=0,0,$R7642)</f>
      </c>
      <c r="K7643" s="43">
        <f>IF($I7643=0,0,IF(INDEX(DarlOhneTilgung,16)=1,0,IF(AND(INDEX(DarlTilgStart,16)&gt;0,$E7643=INDEX(DarlTilgStart,16)),$J7643*($H7643+INDEX(DarlTilgung,16))/100/12,IF(AND($G7643=0,$G7642=1),MAX($K7642,$J7643*($H7643+1)/100/12),$K7642))))</f>
      </c>
      <c r="L7643" s="43">
        <f>IF($I7643=0,0,$J7643*$H7643/100/12)</f>
      </c>
      <c r="M7643" s="43">
        <f>IF($I7643=0,0,IF(OR(INDEX(DarlOhneTilgung,16)=1,AND(INDEX(DarlTilgStart,16)&gt;0,$E7643&lt;INDEX(DarlTilgStart,16))),0,MIN(MAX(0,$K7643-$L7643),$J7643)))</f>
      </c>
      <c r="N7643" s="43">
        <f>IF($I7643=0,0,MIN(SUMIFS(SondBetrag,SondDarl,16,SondDatum,"&gt;="&amp;$E7643,SondDatum,"&lt;="&amp;EOMONTH($E7643,0)),$J7643-$M7643))</f>
      </c>
      <c r="O7643" s="43">
        <f>IF($I7643=0,0,INDEX(DarlErsatzRate,16))</f>
      </c>
      <c r="P7643" s="43">
        <f>IF($I7643=0,0,$Q7642*INDEX(DarlErsatzZins,16))</f>
      </c>
      <c r="Q7643" s="43">
        <f>IF($I7643=0,0,$Q7642+$P7643+$O7643)</f>
      </c>
      <c r="R7643" s="43">
        <f>IF($I7643=0,0,$J7643-$M7643-$N7643)</f>
      </c>
    </row>
    <row r="7644">
      <c r="A7644"/>
      <c r="B7644">
        <v>16</v>
      </c>
      <c r="C7644" s="43">
        <f>INDEX(DarlObj,16)</f>
      </c>
      <c r="D7644">
        <v>441</v>
      </c>
      <c r="E7644" s="51">
        <f>IF(INDEX(DarlBelegt,16)=0,0,EOMONTH(INDEX(DarlAuszahlung,16),440)+1)</f>
      </c>
      <c r="F7644" s="43">
        <f>IF($E7644=0,0,YEAR($E7644))</f>
      </c>
      <c r="G7644" s="43">
        <f>IF(INDEX(DarlBindung,16)="",1,IF($E7644&lt;=INDEX(DarlBindung,16),1,0))</f>
      </c>
      <c r="H7644" s="43">
        <f>IF($G7644=1,INDEX(DarlSollzins,16),INDEX(DarlAnschluss,16))</f>
      </c>
      <c r="I7644" s="43">
        <f>IF(INDEX(DarlBelegt,16)=0,0,IF(INDEX(DarlOhneTilgung,16)=1,IF(INDEX(DarlBindung,16)="",1,$G7644),IF($J7644&gt;0.005,1,0)))</f>
      </c>
      <c r="J7644" s="43">
        <f>IF($I7643=0,0,$R7643)</f>
      </c>
      <c r="K7644" s="43">
        <f>IF($I7644=0,0,IF(INDEX(DarlOhneTilgung,16)=1,0,IF(AND(INDEX(DarlTilgStart,16)&gt;0,$E7644=INDEX(DarlTilgStart,16)),$J7644*($H7644+INDEX(DarlTilgung,16))/100/12,IF(AND($G7644=0,$G7643=1),MAX($K7643,$J7644*($H7644+1)/100/12),$K7643))))</f>
      </c>
      <c r="L7644" s="43">
        <f>IF($I7644=0,0,$J7644*$H7644/100/12)</f>
      </c>
      <c r="M7644" s="43">
        <f>IF($I7644=0,0,IF(OR(INDEX(DarlOhneTilgung,16)=1,AND(INDEX(DarlTilgStart,16)&gt;0,$E7644&lt;INDEX(DarlTilgStart,16))),0,MIN(MAX(0,$K7644-$L7644),$J7644)))</f>
      </c>
      <c r="N7644" s="43">
        <f>IF($I7644=0,0,MIN(SUMIFS(SondBetrag,SondDarl,16,SondDatum,"&gt;="&amp;$E7644,SondDatum,"&lt;="&amp;EOMONTH($E7644,0)),$J7644-$M7644))</f>
      </c>
      <c r="O7644" s="43">
        <f>IF($I7644=0,0,INDEX(DarlErsatzRate,16))</f>
      </c>
      <c r="P7644" s="43">
        <f>IF($I7644=0,0,$Q7643*INDEX(DarlErsatzZins,16))</f>
      </c>
      <c r="Q7644" s="43">
        <f>IF($I7644=0,0,$Q7643+$P7644+$O7644)</f>
      </c>
      <c r="R7644" s="43">
        <f>IF($I7644=0,0,$J7644-$M7644-$N7644)</f>
      </c>
    </row>
    <row r="7645">
      <c r="A7645"/>
      <c r="B7645">
        <v>16</v>
      </c>
      <c r="C7645" s="43">
        <f>INDEX(DarlObj,16)</f>
      </c>
      <c r="D7645">
        <v>442</v>
      </c>
      <c r="E7645" s="51">
        <f>IF(INDEX(DarlBelegt,16)=0,0,EOMONTH(INDEX(DarlAuszahlung,16),441)+1)</f>
      </c>
      <c r="F7645" s="43">
        <f>IF($E7645=0,0,YEAR($E7645))</f>
      </c>
      <c r="G7645" s="43">
        <f>IF(INDEX(DarlBindung,16)="",1,IF($E7645&lt;=INDEX(DarlBindung,16),1,0))</f>
      </c>
      <c r="H7645" s="43">
        <f>IF($G7645=1,INDEX(DarlSollzins,16),INDEX(DarlAnschluss,16))</f>
      </c>
      <c r="I7645" s="43">
        <f>IF(INDEX(DarlBelegt,16)=0,0,IF(INDEX(DarlOhneTilgung,16)=1,IF(INDEX(DarlBindung,16)="",1,$G7645),IF($J7645&gt;0.005,1,0)))</f>
      </c>
      <c r="J7645" s="43">
        <f>IF($I7644=0,0,$R7644)</f>
      </c>
      <c r="K7645" s="43">
        <f>IF($I7645=0,0,IF(INDEX(DarlOhneTilgung,16)=1,0,IF(AND(INDEX(DarlTilgStart,16)&gt;0,$E7645=INDEX(DarlTilgStart,16)),$J7645*($H7645+INDEX(DarlTilgung,16))/100/12,IF(AND($G7645=0,$G7644=1),MAX($K7644,$J7645*($H7645+1)/100/12),$K7644))))</f>
      </c>
      <c r="L7645" s="43">
        <f>IF($I7645=0,0,$J7645*$H7645/100/12)</f>
      </c>
      <c r="M7645" s="43">
        <f>IF($I7645=0,0,IF(OR(INDEX(DarlOhneTilgung,16)=1,AND(INDEX(DarlTilgStart,16)&gt;0,$E7645&lt;INDEX(DarlTilgStart,16))),0,MIN(MAX(0,$K7645-$L7645),$J7645)))</f>
      </c>
      <c r="N7645" s="43">
        <f>IF($I7645=0,0,MIN(SUMIFS(SondBetrag,SondDarl,16,SondDatum,"&gt;="&amp;$E7645,SondDatum,"&lt;="&amp;EOMONTH($E7645,0)),$J7645-$M7645))</f>
      </c>
      <c r="O7645" s="43">
        <f>IF($I7645=0,0,INDEX(DarlErsatzRate,16))</f>
      </c>
      <c r="P7645" s="43">
        <f>IF($I7645=0,0,$Q7644*INDEX(DarlErsatzZins,16))</f>
      </c>
      <c r="Q7645" s="43">
        <f>IF($I7645=0,0,$Q7644+$P7645+$O7645)</f>
      </c>
      <c r="R7645" s="43">
        <f>IF($I7645=0,0,$J7645-$M7645-$N7645)</f>
      </c>
    </row>
    <row r="7646">
      <c r="A7646"/>
      <c r="B7646">
        <v>16</v>
      </c>
      <c r="C7646" s="43">
        <f>INDEX(DarlObj,16)</f>
      </c>
      <c r="D7646">
        <v>443</v>
      </c>
      <c r="E7646" s="51">
        <f>IF(INDEX(DarlBelegt,16)=0,0,EOMONTH(INDEX(DarlAuszahlung,16),442)+1)</f>
      </c>
      <c r="F7646" s="43">
        <f>IF($E7646=0,0,YEAR($E7646))</f>
      </c>
      <c r="G7646" s="43">
        <f>IF(INDEX(DarlBindung,16)="",1,IF($E7646&lt;=INDEX(DarlBindung,16),1,0))</f>
      </c>
      <c r="H7646" s="43">
        <f>IF($G7646=1,INDEX(DarlSollzins,16),INDEX(DarlAnschluss,16))</f>
      </c>
      <c r="I7646" s="43">
        <f>IF(INDEX(DarlBelegt,16)=0,0,IF(INDEX(DarlOhneTilgung,16)=1,IF(INDEX(DarlBindung,16)="",1,$G7646),IF($J7646&gt;0.005,1,0)))</f>
      </c>
      <c r="J7646" s="43">
        <f>IF($I7645=0,0,$R7645)</f>
      </c>
      <c r="K7646" s="43">
        <f>IF($I7646=0,0,IF(INDEX(DarlOhneTilgung,16)=1,0,IF(AND(INDEX(DarlTilgStart,16)&gt;0,$E7646=INDEX(DarlTilgStart,16)),$J7646*($H7646+INDEX(DarlTilgung,16))/100/12,IF(AND($G7646=0,$G7645=1),MAX($K7645,$J7646*($H7646+1)/100/12),$K7645))))</f>
      </c>
      <c r="L7646" s="43">
        <f>IF($I7646=0,0,$J7646*$H7646/100/12)</f>
      </c>
      <c r="M7646" s="43">
        <f>IF($I7646=0,0,IF(OR(INDEX(DarlOhneTilgung,16)=1,AND(INDEX(DarlTilgStart,16)&gt;0,$E7646&lt;INDEX(DarlTilgStart,16))),0,MIN(MAX(0,$K7646-$L7646),$J7646)))</f>
      </c>
      <c r="N7646" s="43">
        <f>IF($I7646=0,0,MIN(SUMIFS(SondBetrag,SondDarl,16,SondDatum,"&gt;="&amp;$E7646,SondDatum,"&lt;="&amp;EOMONTH($E7646,0)),$J7646-$M7646))</f>
      </c>
      <c r="O7646" s="43">
        <f>IF($I7646=0,0,INDEX(DarlErsatzRate,16))</f>
      </c>
      <c r="P7646" s="43">
        <f>IF($I7646=0,0,$Q7645*INDEX(DarlErsatzZins,16))</f>
      </c>
      <c r="Q7646" s="43">
        <f>IF($I7646=0,0,$Q7645+$P7646+$O7646)</f>
      </c>
      <c r="R7646" s="43">
        <f>IF($I7646=0,0,$J7646-$M7646-$N7646)</f>
      </c>
    </row>
    <row r="7647">
      <c r="A7647"/>
      <c r="B7647">
        <v>16</v>
      </c>
      <c r="C7647" s="43">
        <f>INDEX(DarlObj,16)</f>
      </c>
      <c r="D7647">
        <v>444</v>
      </c>
      <c r="E7647" s="51">
        <f>IF(INDEX(DarlBelegt,16)=0,0,EOMONTH(INDEX(DarlAuszahlung,16),443)+1)</f>
      </c>
      <c r="F7647" s="43">
        <f>IF($E7647=0,0,YEAR($E7647))</f>
      </c>
      <c r="G7647" s="43">
        <f>IF(INDEX(DarlBindung,16)="",1,IF($E7647&lt;=INDEX(DarlBindung,16),1,0))</f>
      </c>
      <c r="H7647" s="43">
        <f>IF($G7647=1,INDEX(DarlSollzins,16),INDEX(DarlAnschluss,16))</f>
      </c>
      <c r="I7647" s="43">
        <f>IF(INDEX(DarlBelegt,16)=0,0,IF(INDEX(DarlOhneTilgung,16)=1,IF(INDEX(DarlBindung,16)="",1,$G7647),IF($J7647&gt;0.005,1,0)))</f>
      </c>
      <c r="J7647" s="43">
        <f>IF($I7646=0,0,$R7646)</f>
      </c>
      <c r="K7647" s="43">
        <f>IF($I7647=0,0,IF(INDEX(DarlOhneTilgung,16)=1,0,IF(AND(INDEX(DarlTilgStart,16)&gt;0,$E7647=INDEX(DarlTilgStart,16)),$J7647*($H7647+INDEX(DarlTilgung,16))/100/12,IF(AND($G7647=0,$G7646=1),MAX($K7646,$J7647*($H7647+1)/100/12),$K7646))))</f>
      </c>
      <c r="L7647" s="43">
        <f>IF($I7647=0,0,$J7647*$H7647/100/12)</f>
      </c>
      <c r="M7647" s="43">
        <f>IF($I7647=0,0,IF(OR(INDEX(DarlOhneTilgung,16)=1,AND(INDEX(DarlTilgStart,16)&gt;0,$E7647&lt;INDEX(DarlTilgStart,16))),0,MIN(MAX(0,$K7647-$L7647),$J7647)))</f>
      </c>
      <c r="N7647" s="43">
        <f>IF($I7647=0,0,MIN(SUMIFS(SondBetrag,SondDarl,16,SondDatum,"&gt;="&amp;$E7647,SondDatum,"&lt;="&amp;EOMONTH($E7647,0)),$J7647-$M7647))</f>
      </c>
      <c r="O7647" s="43">
        <f>IF($I7647=0,0,INDEX(DarlErsatzRate,16))</f>
      </c>
      <c r="P7647" s="43">
        <f>IF($I7647=0,0,$Q7646*INDEX(DarlErsatzZins,16))</f>
      </c>
      <c r="Q7647" s="43">
        <f>IF($I7647=0,0,$Q7646+$P7647+$O7647)</f>
      </c>
      <c r="R7647" s="43">
        <f>IF($I7647=0,0,$J7647-$M7647-$N7647)</f>
      </c>
    </row>
    <row r="7648">
      <c r="A7648"/>
      <c r="B7648">
        <v>16</v>
      </c>
      <c r="C7648" s="43">
        <f>INDEX(DarlObj,16)</f>
      </c>
      <c r="D7648">
        <v>445</v>
      </c>
      <c r="E7648" s="51">
        <f>IF(INDEX(DarlBelegt,16)=0,0,EOMONTH(INDEX(DarlAuszahlung,16),444)+1)</f>
      </c>
      <c r="F7648" s="43">
        <f>IF($E7648=0,0,YEAR($E7648))</f>
      </c>
      <c r="G7648" s="43">
        <f>IF(INDEX(DarlBindung,16)="",1,IF($E7648&lt;=INDEX(DarlBindung,16),1,0))</f>
      </c>
      <c r="H7648" s="43">
        <f>IF($G7648=1,INDEX(DarlSollzins,16),INDEX(DarlAnschluss,16))</f>
      </c>
      <c r="I7648" s="43">
        <f>IF(INDEX(DarlBelegt,16)=0,0,IF(INDEX(DarlOhneTilgung,16)=1,IF(INDEX(DarlBindung,16)="",1,$G7648),IF($J7648&gt;0.005,1,0)))</f>
      </c>
      <c r="J7648" s="43">
        <f>IF($I7647=0,0,$R7647)</f>
      </c>
      <c r="K7648" s="43">
        <f>IF($I7648=0,0,IF(INDEX(DarlOhneTilgung,16)=1,0,IF(AND(INDEX(DarlTilgStart,16)&gt;0,$E7648=INDEX(DarlTilgStart,16)),$J7648*($H7648+INDEX(DarlTilgung,16))/100/12,IF(AND($G7648=0,$G7647=1),MAX($K7647,$J7648*($H7648+1)/100/12),$K7647))))</f>
      </c>
      <c r="L7648" s="43">
        <f>IF($I7648=0,0,$J7648*$H7648/100/12)</f>
      </c>
      <c r="M7648" s="43">
        <f>IF($I7648=0,0,IF(OR(INDEX(DarlOhneTilgung,16)=1,AND(INDEX(DarlTilgStart,16)&gt;0,$E7648&lt;INDEX(DarlTilgStart,16))),0,MIN(MAX(0,$K7648-$L7648),$J7648)))</f>
      </c>
      <c r="N7648" s="43">
        <f>IF($I7648=0,0,MIN(SUMIFS(SondBetrag,SondDarl,16,SondDatum,"&gt;="&amp;$E7648,SondDatum,"&lt;="&amp;EOMONTH($E7648,0)),$J7648-$M7648))</f>
      </c>
      <c r="O7648" s="43">
        <f>IF($I7648=0,0,INDEX(DarlErsatzRate,16))</f>
      </c>
      <c r="P7648" s="43">
        <f>IF($I7648=0,0,$Q7647*INDEX(DarlErsatzZins,16))</f>
      </c>
      <c r="Q7648" s="43">
        <f>IF($I7648=0,0,$Q7647+$P7648+$O7648)</f>
      </c>
      <c r="R7648" s="43">
        <f>IF($I7648=0,0,$J7648-$M7648-$N7648)</f>
      </c>
    </row>
    <row r="7649">
      <c r="A7649"/>
      <c r="B7649">
        <v>16</v>
      </c>
      <c r="C7649" s="43">
        <f>INDEX(DarlObj,16)</f>
      </c>
      <c r="D7649">
        <v>446</v>
      </c>
      <c r="E7649" s="51">
        <f>IF(INDEX(DarlBelegt,16)=0,0,EOMONTH(INDEX(DarlAuszahlung,16),445)+1)</f>
      </c>
      <c r="F7649" s="43">
        <f>IF($E7649=0,0,YEAR($E7649))</f>
      </c>
      <c r="G7649" s="43">
        <f>IF(INDEX(DarlBindung,16)="",1,IF($E7649&lt;=INDEX(DarlBindung,16),1,0))</f>
      </c>
      <c r="H7649" s="43">
        <f>IF($G7649=1,INDEX(DarlSollzins,16),INDEX(DarlAnschluss,16))</f>
      </c>
      <c r="I7649" s="43">
        <f>IF(INDEX(DarlBelegt,16)=0,0,IF(INDEX(DarlOhneTilgung,16)=1,IF(INDEX(DarlBindung,16)="",1,$G7649),IF($J7649&gt;0.005,1,0)))</f>
      </c>
      <c r="J7649" s="43">
        <f>IF($I7648=0,0,$R7648)</f>
      </c>
      <c r="K7649" s="43">
        <f>IF($I7649=0,0,IF(INDEX(DarlOhneTilgung,16)=1,0,IF(AND(INDEX(DarlTilgStart,16)&gt;0,$E7649=INDEX(DarlTilgStart,16)),$J7649*($H7649+INDEX(DarlTilgung,16))/100/12,IF(AND($G7649=0,$G7648=1),MAX($K7648,$J7649*($H7649+1)/100/12),$K7648))))</f>
      </c>
      <c r="L7649" s="43">
        <f>IF($I7649=0,0,$J7649*$H7649/100/12)</f>
      </c>
      <c r="M7649" s="43">
        <f>IF($I7649=0,0,IF(OR(INDEX(DarlOhneTilgung,16)=1,AND(INDEX(DarlTilgStart,16)&gt;0,$E7649&lt;INDEX(DarlTilgStart,16))),0,MIN(MAX(0,$K7649-$L7649),$J7649)))</f>
      </c>
      <c r="N7649" s="43">
        <f>IF($I7649=0,0,MIN(SUMIFS(SondBetrag,SondDarl,16,SondDatum,"&gt;="&amp;$E7649,SondDatum,"&lt;="&amp;EOMONTH($E7649,0)),$J7649-$M7649))</f>
      </c>
      <c r="O7649" s="43">
        <f>IF($I7649=0,0,INDEX(DarlErsatzRate,16))</f>
      </c>
      <c r="P7649" s="43">
        <f>IF($I7649=0,0,$Q7648*INDEX(DarlErsatzZins,16))</f>
      </c>
      <c r="Q7649" s="43">
        <f>IF($I7649=0,0,$Q7648+$P7649+$O7649)</f>
      </c>
      <c r="R7649" s="43">
        <f>IF($I7649=0,0,$J7649-$M7649-$N7649)</f>
      </c>
    </row>
    <row r="7650">
      <c r="A7650"/>
      <c r="B7650">
        <v>16</v>
      </c>
      <c r="C7650" s="43">
        <f>INDEX(DarlObj,16)</f>
      </c>
      <c r="D7650">
        <v>447</v>
      </c>
      <c r="E7650" s="51">
        <f>IF(INDEX(DarlBelegt,16)=0,0,EOMONTH(INDEX(DarlAuszahlung,16),446)+1)</f>
      </c>
      <c r="F7650" s="43">
        <f>IF($E7650=0,0,YEAR($E7650))</f>
      </c>
      <c r="G7650" s="43">
        <f>IF(INDEX(DarlBindung,16)="",1,IF($E7650&lt;=INDEX(DarlBindung,16),1,0))</f>
      </c>
      <c r="H7650" s="43">
        <f>IF($G7650=1,INDEX(DarlSollzins,16),INDEX(DarlAnschluss,16))</f>
      </c>
      <c r="I7650" s="43">
        <f>IF(INDEX(DarlBelegt,16)=0,0,IF(INDEX(DarlOhneTilgung,16)=1,IF(INDEX(DarlBindung,16)="",1,$G7650),IF($J7650&gt;0.005,1,0)))</f>
      </c>
      <c r="J7650" s="43">
        <f>IF($I7649=0,0,$R7649)</f>
      </c>
      <c r="K7650" s="43">
        <f>IF($I7650=0,0,IF(INDEX(DarlOhneTilgung,16)=1,0,IF(AND(INDEX(DarlTilgStart,16)&gt;0,$E7650=INDEX(DarlTilgStart,16)),$J7650*($H7650+INDEX(DarlTilgung,16))/100/12,IF(AND($G7650=0,$G7649=1),MAX($K7649,$J7650*($H7650+1)/100/12),$K7649))))</f>
      </c>
      <c r="L7650" s="43">
        <f>IF($I7650=0,0,$J7650*$H7650/100/12)</f>
      </c>
      <c r="M7650" s="43">
        <f>IF($I7650=0,0,IF(OR(INDEX(DarlOhneTilgung,16)=1,AND(INDEX(DarlTilgStart,16)&gt;0,$E7650&lt;INDEX(DarlTilgStart,16))),0,MIN(MAX(0,$K7650-$L7650),$J7650)))</f>
      </c>
      <c r="N7650" s="43">
        <f>IF($I7650=0,0,MIN(SUMIFS(SondBetrag,SondDarl,16,SondDatum,"&gt;="&amp;$E7650,SondDatum,"&lt;="&amp;EOMONTH($E7650,0)),$J7650-$M7650))</f>
      </c>
      <c r="O7650" s="43">
        <f>IF($I7650=0,0,INDEX(DarlErsatzRate,16))</f>
      </c>
      <c r="P7650" s="43">
        <f>IF($I7650=0,0,$Q7649*INDEX(DarlErsatzZins,16))</f>
      </c>
      <c r="Q7650" s="43">
        <f>IF($I7650=0,0,$Q7649+$P7650+$O7650)</f>
      </c>
      <c r="R7650" s="43">
        <f>IF($I7650=0,0,$J7650-$M7650-$N7650)</f>
      </c>
    </row>
    <row r="7651">
      <c r="A7651"/>
      <c r="B7651">
        <v>16</v>
      </c>
      <c r="C7651" s="43">
        <f>INDEX(DarlObj,16)</f>
      </c>
      <c r="D7651">
        <v>448</v>
      </c>
      <c r="E7651" s="51">
        <f>IF(INDEX(DarlBelegt,16)=0,0,EOMONTH(INDEX(DarlAuszahlung,16),447)+1)</f>
      </c>
      <c r="F7651" s="43">
        <f>IF($E7651=0,0,YEAR($E7651))</f>
      </c>
      <c r="G7651" s="43">
        <f>IF(INDEX(DarlBindung,16)="",1,IF($E7651&lt;=INDEX(DarlBindung,16),1,0))</f>
      </c>
      <c r="H7651" s="43">
        <f>IF($G7651=1,INDEX(DarlSollzins,16),INDEX(DarlAnschluss,16))</f>
      </c>
      <c r="I7651" s="43">
        <f>IF(INDEX(DarlBelegt,16)=0,0,IF(INDEX(DarlOhneTilgung,16)=1,IF(INDEX(DarlBindung,16)="",1,$G7651),IF($J7651&gt;0.005,1,0)))</f>
      </c>
      <c r="J7651" s="43">
        <f>IF($I7650=0,0,$R7650)</f>
      </c>
      <c r="K7651" s="43">
        <f>IF($I7651=0,0,IF(INDEX(DarlOhneTilgung,16)=1,0,IF(AND(INDEX(DarlTilgStart,16)&gt;0,$E7651=INDEX(DarlTilgStart,16)),$J7651*($H7651+INDEX(DarlTilgung,16))/100/12,IF(AND($G7651=0,$G7650=1),MAX($K7650,$J7651*($H7651+1)/100/12),$K7650))))</f>
      </c>
      <c r="L7651" s="43">
        <f>IF($I7651=0,0,$J7651*$H7651/100/12)</f>
      </c>
      <c r="M7651" s="43">
        <f>IF($I7651=0,0,IF(OR(INDEX(DarlOhneTilgung,16)=1,AND(INDEX(DarlTilgStart,16)&gt;0,$E7651&lt;INDEX(DarlTilgStart,16))),0,MIN(MAX(0,$K7651-$L7651),$J7651)))</f>
      </c>
      <c r="N7651" s="43">
        <f>IF($I7651=0,0,MIN(SUMIFS(SondBetrag,SondDarl,16,SondDatum,"&gt;="&amp;$E7651,SondDatum,"&lt;="&amp;EOMONTH($E7651,0)),$J7651-$M7651))</f>
      </c>
      <c r="O7651" s="43">
        <f>IF($I7651=0,0,INDEX(DarlErsatzRate,16))</f>
      </c>
      <c r="P7651" s="43">
        <f>IF($I7651=0,0,$Q7650*INDEX(DarlErsatzZins,16))</f>
      </c>
      <c r="Q7651" s="43">
        <f>IF($I7651=0,0,$Q7650+$P7651+$O7651)</f>
      </c>
      <c r="R7651" s="43">
        <f>IF($I7651=0,0,$J7651-$M7651-$N7651)</f>
      </c>
    </row>
    <row r="7652">
      <c r="A7652"/>
      <c r="B7652">
        <v>16</v>
      </c>
      <c r="C7652" s="43">
        <f>INDEX(DarlObj,16)</f>
      </c>
      <c r="D7652">
        <v>449</v>
      </c>
      <c r="E7652" s="51">
        <f>IF(INDEX(DarlBelegt,16)=0,0,EOMONTH(INDEX(DarlAuszahlung,16),448)+1)</f>
      </c>
      <c r="F7652" s="43">
        <f>IF($E7652=0,0,YEAR($E7652))</f>
      </c>
      <c r="G7652" s="43">
        <f>IF(INDEX(DarlBindung,16)="",1,IF($E7652&lt;=INDEX(DarlBindung,16),1,0))</f>
      </c>
      <c r="H7652" s="43">
        <f>IF($G7652=1,INDEX(DarlSollzins,16),INDEX(DarlAnschluss,16))</f>
      </c>
      <c r="I7652" s="43">
        <f>IF(INDEX(DarlBelegt,16)=0,0,IF(INDEX(DarlOhneTilgung,16)=1,IF(INDEX(DarlBindung,16)="",1,$G7652),IF($J7652&gt;0.005,1,0)))</f>
      </c>
      <c r="J7652" s="43">
        <f>IF($I7651=0,0,$R7651)</f>
      </c>
      <c r="K7652" s="43">
        <f>IF($I7652=0,0,IF(INDEX(DarlOhneTilgung,16)=1,0,IF(AND(INDEX(DarlTilgStart,16)&gt;0,$E7652=INDEX(DarlTilgStart,16)),$J7652*($H7652+INDEX(DarlTilgung,16))/100/12,IF(AND($G7652=0,$G7651=1),MAX($K7651,$J7652*($H7652+1)/100/12),$K7651))))</f>
      </c>
      <c r="L7652" s="43">
        <f>IF($I7652=0,0,$J7652*$H7652/100/12)</f>
      </c>
      <c r="M7652" s="43">
        <f>IF($I7652=0,0,IF(OR(INDEX(DarlOhneTilgung,16)=1,AND(INDEX(DarlTilgStart,16)&gt;0,$E7652&lt;INDEX(DarlTilgStart,16))),0,MIN(MAX(0,$K7652-$L7652),$J7652)))</f>
      </c>
      <c r="N7652" s="43">
        <f>IF($I7652=0,0,MIN(SUMIFS(SondBetrag,SondDarl,16,SondDatum,"&gt;="&amp;$E7652,SondDatum,"&lt;="&amp;EOMONTH($E7652,0)),$J7652-$M7652))</f>
      </c>
      <c r="O7652" s="43">
        <f>IF($I7652=0,0,INDEX(DarlErsatzRate,16))</f>
      </c>
      <c r="P7652" s="43">
        <f>IF($I7652=0,0,$Q7651*INDEX(DarlErsatzZins,16))</f>
      </c>
      <c r="Q7652" s="43">
        <f>IF($I7652=0,0,$Q7651+$P7652+$O7652)</f>
      </c>
      <c r="R7652" s="43">
        <f>IF($I7652=0,0,$J7652-$M7652-$N7652)</f>
      </c>
    </row>
    <row r="7653">
      <c r="A7653"/>
      <c r="B7653">
        <v>16</v>
      </c>
      <c r="C7653" s="43">
        <f>INDEX(DarlObj,16)</f>
      </c>
      <c r="D7653">
        <v>450</v>
      </c>
      <c r="E7653" s="51">
        <f>IF(INDEX(DarlBelegt,16)=0,0,EOMONTH(INDEX(DarlAuszahlung,16),449)+1)</f>
      </c>
      <c r="F7653" s="43">
        <f>IF($E7653=0,0,YEAR($E7653))</f>
      </c>
      <c r="G7653" s="43">
        <f>IF(INDEX(DarlBindung,16)="",1,IF($E7653&lt;=INDEX(DarlBindung,16),1,0))</f>
      </c>
      <c r="H7653" s="43">
        <f>IF($G7653=1,INDEX(DarlSollzins,16),INDEX(DarlAnschluss,16))</f>
      </c>
      <c r="I7653" s="43">
        <f>IF(INDEX(DarlBelegt,16)=0,0,IF(INDEX(DarlOhneTilgung,16)=1,IF(INDEX(DarlBindung,16)="",1,$G7653),IF($J7653&gt;0.005,1,0)))</f>
      </c>
      <c r="J7653" s="43">
        <f>IF($I7652=0,0,$R7652)</f>
      </c>
      <c r="K7653" s="43">
        <f>IF($I7653=0,0,IF(INDEX(DarlOhneTilgung,16)=1,0,IF(AND(INDEX(DarlTilgStart,16)&gt;0,$E7653=INDEX(DarlTilgStart,16)),$J7653*($H7653+INDEX(DarlTilgung,16))/100/12,IF(AND($G7653=0,$G7652=1),MAX($K7652,$J7653*($H7653+1)/100/12),$K7652))))</f>
      </c>
      <c r="L7653" s="43">
        <f>IF($I7653=0,0,$J7653*$H7653/100/12)</f>
      </c>
      <c r="M7653" s="43">
        <f>IF($I7653=0,0,IF(OR(INDEX(DarlOhneTilgung,16)=1,AND(INDEX(DarlTilgStart,16)&gt;0,$E7653&lt;INDEX(DarlTilgStart,16))),0,MIN(MAX(0,$K7653-$L7653),$J7653)))</f>
      </c>
      <c r="N7653" s="43">
        <f>IF($I7653=0,0,MIN(SUMIFS(SondBetrag,SondDarl,16,SondDatum,"&gt;="&amp;$E7653,SondDatum,"&lt;="&amp;EOMONTH($E7653,0)),$J7653-$M7653))</f>
      </c>
      <c r="O7653" s="43">
        <f>IF($I7653=0,0,INDEX(DarlErsatzRate,16))</f>
      </c>
      <c r="P7653" s="43">
        <f>IF($I7653=0,0,$Q7652*INDEX(DarlErsatzZins,16))</f>
      </c>
      <c r="Q7653" s="43">
        <f>IF($I7653=0,0,$Q7652+$P7653+$O7653)</f>
      </c>
      <c r="R7653" s="43">
        <f>IF($I7653=0,0,$J7653-$M7653-$N7653)</f>
      </c>
    </row>
    <row r="7654">
      <c r="A7654"/>
      <c r="B7654">
        <v>16</v>
      </c>
      <c r="C7654" s="43">
        <f>INDEX(DarlObj,16)</f>
      </c>
      <c r="D7654">
        <v>451</v>
      </c>
      <c r="E7654" s="51">
        <f>IF(INDEX(DarlBelegt,16)=0,0,EOMONTH(INDEX(DarlAuszahlung,16),450)+1)</f>
      </c>
      <c r="F7654" s="43">
        <f>IF($E7654=0,0,YEAR($E7654))</f>
      </c>
      <c r="G7654" s="43">
        <f>IF(INDEX(DarlBindung,16)="",1,IF($E7654&lt;=INDEX(DarlBindung,16),1,0))</f>
      </c>
      <c r="H7654" s="43">
        <f>IF($G7654=1,INDEX(DarlSollzins,16),INDEX(DarlAnschluss,16))</f>
      </c>
      <c r="I7654" s="43">
        <f>IF(INDEX(DarlBelegt,16)=0,0,IF(INDEX(DarlOhneTilgung,16)=1,IF(INDEX(DarlBindung,16)="",1,$G7654),IF($J7654&gt;0.005,1,0)))</f>
      </c>
      <c r="J7654" s="43">
        <f>IF($I7653=0,0,$R7653)</f>
      </c>
      <c r="K7654" s="43">
        <f>IF($I7654=0,0,IF(INDEX(DarlOhneTilgung,16)=1,0,IF(AND(INDEX(DarlTilgStart,16)&gt;0,$E7654=INDEX(DarlTilgStart,16)),$J7654*($H7654+INDEX(DarlTilgung,16))/100/12,IF(AND($G7654=0,$G7653=1),MAX($K7653,$J7654*($H7654+1)/100/12),$K7653))))</f>
      </c>
      <c r="L7654" s="43">
        <f>IF($I7654=0,0,$J7654*$H7654/100/12)</f>
      </c>
      <c r="M7654" s="43">
        <f>IF($I7654=0,0,IF(OR(INDEX(DarlOhneTilgung,16)=1,AND(INDEX(DarlTilgStart,16)&gt;0,$E7654&lt;INDEX(DarlTilgStart,16))),0,MIN(MAX(0,$K7654-$L7654),$J7654)))</f>
      </c>
      <c r="N7654" s="43">
        <f>IF($I7654=0,0,MIN(SUMIFS(SondBetrag,SondDarl,16,SondDatum,"&gt;="&amp;$E7654,SondDatum,"&lt;="&amp;EOMONTH($E7654,0)),$J7654-$M7654))</f>
      </c>
      <c r="O7654" s="43">
        <f>IF($I7654=0,0,INDEX(DarlErsatzRate,16))</f>
      </c>
      <c r="P7654" s="43">
        <f>IF($I7654=0,0,$Q7653*INDEX(DarlErsatzZins,16))</f>
      </c>
      <c r="Q7654" s="43">
        <f>IF($I7654=0,0,$Q7653+$P7654+$O7654)</f>
      </c>
      <c r="R7654" s="43">
        <f>IF($I7654=0,0,$J7654-$M7654-$N7654)</f>
      </c>
    </row>
    <row r="7655">
      <c r="A7655"/>
      <c r="B7655">
        <v>16</v>
      </c>
      <c r="C7655" s="43">
        <f>INDEX(DarlObj,16)</f>
      </c>
      <c r="D7655">
        <v>452</v>
      </c>
      <c r="E7655" s="51">
        <f>IF(INDEX(DarlBelegt,16)=0,0,EOMONTH(INDEX(DarlAuszahlung,16),451)+1)</f>
      </c>
      <c r="F7655" s="43">
        <f>IF($E7655=0,0,YEAR($E7655))</f>
      </c>
      <c r="G7655" s="43">
        <f>IF(INDEX(DarlBindung,16)="",1,IF($E7655&lt;=INDEX(DarlBindung,16),1,0))</f>
      </c>
      <c r="H7655" s="43">
        <f>IF($G7655=1,INDEX(DarlSollzins,16),INDEX(DarlAnschluss,16))</f>
      </c>
      <c r="I7655" s="43">
        <f>IF(INDEX(DarlBelegt,16)=0,0,IF(INDEX(DarlOhneTilgung,16)=1,IF(INDEX(DarlBindung,16)="",1,$G7655),IF($J7655&gt;0.005,1,0)))</f>
      </c>
      <c r="J7655" s="43">
        <f>IF($I7654=0,0,$R7654)</f>
      </c>
      <c r="K7655" s="43">
        <f>IF($I7655=0,0,IF(INDEX(DarlOhneTilgung,16)=1,0,IF(AND(INDEX(DarlTilgStart,16)&gt;0,$E7655=INDEX(DarlTilgStart,16)),$J7655*($H7655+INDEX(DarlTilgung,16))/100/12,IF(AND($G7655=0,$G7654=1),MAX($K7654,$J7655*($H7655+1)/100/12),$K7654))))</f>
      </c>
      <c r="L7655" s="43">
        <f>IF($I7655=0,0,$J7655*$H7655/100/12)</f>
      </c>
      <c r="M7655" s="43">
        <f>IF($I7655=0,0,IF(OR(INDEX(DarlOhneTilgung,16)=1,AND(INDEX(DarlTilgStart,16)&gt;0,$E7655&lt;INDEX(DarlTilgStart,16))),0,MIN(MAX(0,$K7655-$L7655),$J7655)))</f>
      </c>
      <c r="N7655" s="43">
        <f>IF($I7655=0,0,MIN(SUMIFS(SondBetrag,SondDarl,16,SondDatum,"&gt;="&amp;$E7655,SondDatum,"&lt;="&amp;EOMONTH($E7655,0)),$J7655-$M7655))</f>
      </c>
      <c r="O7655" s="43">
        <f>IF($I7655=0,0,INDEX(DarlErsatzRate,16))</f>
      </c>
      <c r="P7655" s="43">
        <f>IF($I7655=0,0,$Q7654*INDEX(DarlErsatzZins,16))</f>
      </c>
      <c r="Q7655" s="43">
        <f>IF($I7655=0,0,$Q7654+$P7655+$O7655)</f>
      </c>
      <c r="R7655" s="43">
        <f>IF($I7655=0,0,$J7655-$M7655-$N7655)</f>
      </c>
    </row>
    <row r="7656">
      <c r="A7656"/>
      <c r="B7656">
        <v>16</v>
      </c>
      <c r="C7656" s="43">
        <f>INDEX(DarlObj,16)</f>
      </c>
      <c r="D7656">
        <v>453</v>
      </c>
      <c r="E7656" s="51">
        <f>IF(INDEX(DarlBelegt,16)=0,0,EOMONTH(INDEX(DarlAuszahlung,16),452)+1)</f>
      </c>
      <c r="F7656" s="43">
        <f>IF($E7656=0,0,YEAR($E7656))</f>
      </c>
      <c r="G7656" s="43">
        <f>IF(INDEX(DarlBindung,16)="",1,IF($E7656&lt;=INDEX(DarlBindung,16),1,0))</f>
      </c>
      <c r="H7656" s="43">
        <f>IF($G7656=1,INDEX(DarlSollzins,16),INDEX(DarlAnschluss,16))</f>
      </c>
      <c r="I7656" s="43">
        <f>IF(INDEX(DarlBelegt,16)=0,0,IF(INDEX(DarlOhneTilgung,16)=1,IF(INDEX(DarlBindung,16)="",1,$G7656),IF($J7656&gt;0.005,1,0)))</f>
      </c>
      <c r="J7656" s="43">
        <f>IF($I7655=0,0,$R7655)</f>
      </c>
      <c r="K7656" s="43">
        <f>IF($I7656=0,0,IF(INDEX(DarlOhneTilgung,16)=1,0,IF(AND(INDEX(DarlTilgStart,16)&gt;0,$E7656=INDEX(DarlTilgStart,16)),$J7656*($H7656+INDEX(DarlTilgung,16))/100/12,IF(AND($G7656=0,$G7655=1),MAX($K7655,$J7656*($H7656+1)/100/12),$K7655))))</f>
      </c>
      <c r="L7656" s="43">
        <f>IF($I7656=0,0,$J7656*$H7656/100/12)</f>
      </c>
      <c r="M7656" s="43">
        <f>IF($I7656=0,0,IF(OR(INDEX(DarlOhneTilgung,16)=1,AND(INDEX(DarlTilgStart,16)&gt;0,$E7656&lt;INDEX(DarlTilgStart,16))),0,MIN(MAX(0,$K7656-$L7656),$J7656)))</f>
      </c>
      <c r="N7656" s="43">
        <f>IF($I7656=0,0,MIN(SUMIFS(SondBetrag,SondDarl,16,SondDatum,"&gt;="&amp;$E7656,SondDatum,"&lt;="&amp;EOMONTH($E7656,0)),$J7656-$M7656))</f>
      </c>
      <c r="O7656" s="43">
        <f>IF($I7656=0,0,INDEX(DarlErsatzRate,16))</f>
      </c>
      <c r="P7656" s="43">
        <f>IF($I7656=0,0,$Q7655*INDEX(DarlErsatzZins,16))</f>
      </c>
      <c r="Q7656" s="43">
        <f>IF($I7656=0,0,$Q7655+$P7656+$O7656)</f>
      </c>
      <c r="R7656" s="43">
        <f>IF($I7656=0,0,$J7656-$M7656-$N7656)</f>
      </c>
    </row>
    <row r="7657">
      <c r="A7657"/>
      <c r="B7657">
        <v>16</v>
      </c>
      <c r="C7657" s="43">
        <f>INDEX(DarlObj,16)</f>
      </c>
      <c r="D7657">
        <v>454</v>
      </c>
      <c r="E7657" s="51">
        <f>IF(INDEX(DarlBelegt,16)=0,0,EOMONTH(INDEX(DarlAuszahlung,16),453)+1)</f>
      </c>
      <c r="F7657" s="43">
        <f>IF($E7657=0,0,YEAR($E7657))</f>
      </c>
      <c r="G7657" s="43">
        <f>IF(INDEX(DarlBindung,16)="",1,IF($E7657&lt;=INDEX(DarlBindung,16),1,0))</f>
      </c>
      <c r="H7657" s="43">
        <f>IF($G7657=1,INDEX(DarlSollzins,16),INDEX(DarlAnschluss,16))</f>
      </c>
      <c r="I7657" s="43">
        <f>IF(INDEX(DarlBelegt,16)=0,0,IF(INDEX(DarlOhneTilgung,16)=1,IF(INDEX(DarlBindung,16)="",1,$G7657),IF($J7657&gt;0.005,1,0)))</f>
      </c>
      <c r="J7657" s="43">
        <f>IF($I7656=0,0,$R7656)</f>
      </c>
      <c r="K7657" s="43">
        <f>IF($I7657=0,0,IF(INDEX(DarlOhneTilgung,16)=1,0,IF(AND(INDEX(DarlTilgStart,16)&gt;0,$E7657=INDEX(DarlTilgStart,16)),$J7657*($H7657+INDEX(DarlTilgung,16))/100/12,IF(AND($G7657=0,$G7656=1),MAX($K7656,$J7657*($H7657+1)/100/12),$K7656))))</f>
      </c>
      <c r="L7657" s="43">
        <f>IF($I7657=0,0,$J7657*$H7657/100/12)</f>
      </c>
      <c r="M7657" s="43">
        <f>IF($I7657=0,0,IF(OR(INDEX(DarlOhneTilgung,16)=1,AND(INDEX(DarlTilgStart,16)&gt;0,$E7657&lt;INDEX(DarlTilgStart,16))),0,MIN(MAX(0,$K7657-$L7657),$J7657)))</f>
      </c>
      <c r="N7657" s="43">
        <f>IF($I7657=0,0,MIN(SUMIFS(SondBetrag,SondDarl,16,SondDatum,"&gt;="&amp;$E7657,SondDatum,"&lt;="&amp;EOMONTH($E7657,0)),$J7657-$M7657))</f>
      </c>
      <c r="O7657" s="43">
        <f>IF($I7657=0,0,INDEX(DarlErsatzRate,16))</f>
      </c>
      <c r="P7657" s="43">
        <f>IF($I7657=0,0,$Q7656*INDEX(DarlErsatzZins,16))</f>
      </c>
      <c r="Q7657" s="43">
        <f>IF($I7657=0,0,$Q7656+$P7657+$O7657)</f>
      </c>
      <c r="R7657" s="43">
        <f>IF($I7657=0,0,$J7657-$M7657-$N7657)</f>
      </c>
    </row>
    <row r="7658">
      <c r="A7658"/>
      <c r="B7658">
        <v>16</v>
      </c>
      <c r="C7658" s="43">
        <f>INDEX(DarlObj,16)</f>
      </c>
      <c r="D7658">
        <v>455</v>
      </c>
      <c r="E7658" s="51">
        <f>IF(INDEX(DarlBelegt,16)=0,0,EOMONTH(INDEX(DarlAuszahlung,16),454)+1)</f>
      </c>
      <c r="F7658" s="43">
        <f>IF($E7658=0,0,YEAR($E7658))</f>
      </c>
      <c r="G7658" s="43">
        <f>IF(INDEX(DarlBindung,16)="",1,IF($E7658&lt;=INDEX(DarlBindung,16),1,0))</f>
      </c>
      <c r="H7658" s="43">
        <f>IF($G7658=1,INDEX(DarlSollzins,16),INDEX(DarlAnschluss,16))</f>
      </c>
      <c r="I7658" s="43">
        <f>IF(INDEX(DarlBelegt,16)=0,0,IF(INDEX(DarlOhneTilgung,16)=1,IF(INDEX(DarlBindung,16)="",1,$G7658),IF($J7658&gt;0.005,1,0)))</f>
      </c>
      <c r="J7658" s="43">
        <f>IF($I7657=0,0,$R7657)</f>
      </c>
      <c r="K7658" s="43">
        <f>IF($I7658=0,0,IF(INDEX(DarlOhneTilgung,16)=1,0,IF(AND(INDEX(DarlTilgStart,16)&gt;0,$E7658=INDEX(DarlTilgStart,16)),$J7658*($H7658+INDEX(DarlTilgung,16))/100/12,IF(AND($G7658=0,$G7657=1),MAX($K7657,$J7658*($H7658+1)/100/12),$K7657))))</f>
      </c>
      <c r="L7658" s="43">
        <f>IF($I7658=0,0,$J7658*$H7658/100/12)</f>
      </c>
      <c r="M7658" s="43">
        <f>IF($I7658=0,0,IF(OR(INDEX(DarlOhneTilgung,16)=1,AND(INDEX(DarlTilgStart,16)&gt;0,$E7658&lt;INDEX(DarlTilgStart,16))),0,MIN(MAX(0,$K7658-$L7658),$J7658)))</f>
      </c>
      <c r="N7658" s="43">
        <f>IF($I7658=0,0,MIN(SUMIFS(SondBetrag,SondDarl,16,SondDatum,"&gt;="&amp;$E7658,SondDatum,"&lt;="&amp;EOMONTH($E7658,0)),$J7658-$M7658))</f>
      </c>
      <c r="O7658" s="43">
        <f>IF($I7658=0,0,INDEX(DarlErsatzRate,16))</f>
      </c>
      <c r="P7658" s="43">
        <f>IF($I7658=0,0,$Q7657*INDEX(DarlErsatzZins,16))</f>
      </c>
      <c r="Q7658" s="43">
        <f>IF($I7658=0,0,$Q7657+$P7658+$O7658)</f>
      </c>
      <c r="R7658" s="43">
        <f>IF($I7658=0,0,$J7658-$M7658-$N7658)</f>
      </c>
    </row>
    <row r="7659">
      <c r="A7659"/>
      <c r="B7659">
        <v>16</v>
      </c>
      <c r="C7659" s="43">
        <f>INDEX(DarlObj,16)</f>
      </c>
      <c r="D7659">
        <v>456</v>
      </c>
      <c r="E7659" s="51">
        <f>IF(INDEX(DarlBelegt,16)=0,0,EOMONTH(INDEX(DarlAuszahlung,16),455)+1)</f>
      </c>
      <c r="F7659" s="43">
        <f>IF($E7659=0,0,YEAR($E7659))</f>
      </c>
      <c r="G7659" s="43">
        <f>IF(INDEX(DarlBindung,16)="",1,IF($E7659&lt;=INDEX(DarlBindung,16),1,0))</f>
      </c>
      <c r="H7659" s="43">
        <f>IF($G7659=1,INDEX(DarlSollzins,16),INDEX(DarlAnschluss,16))</f>
      </c>
      <c r="I7659" s="43">
        <f>IF(INDEX(DarlBelegt,16)=0,0,IF(INDEX(DarlOhneTilgung,16)=1,IF(INDEX(DarlBindung,16)="",1,$G7659),IF($J7659&gt;0.005,1,0)))</f>
      </c>
      <c r="J7659" s="43">
        <f>IF($I7658=0,0,$R7658)</f>
      </c>
      <c r="K7659" s="43">
        <f>IF($I7659=0,0,IF(INDEX(DarlOhneTilgung,16)=1,0,IF(AND(INDEX(DarlTilgStart,16)&gt;0,$E7659=INDEX(DarlTilgStart,16)),$J7659*($H7659+INDEX(DarlTilgung,16))/100/12,IF(AND($G7659=0,$G7658=1),MAX($K7658,$J7659*($H7659+1)/100/12),$K7658))))</f>
      </c>
      <c r="L7659" s="43">
        <f>IF($I7659=0,0,$J7659*$H7659/100/12)</f>
      </c>
      <c r="M7659" s="43">
        <f>IF($I7659=0,0,IF(OR(INDEX(DarlOhneTilgung,16)=1,AND(INDEX(DarlTilgStart,16)&gt;0,$E7659&lt;INDEX(DarlTilgStart,16))),0,MIN(MAX(0,$K7659-$L7659),$J7659)))</f>
      </c>
      <c r="N7659" s="43">
        <f>IF($I7659=0,0,MIN(SUMIFS(SondBetrag,SondDarl,16,SondDatum,"&gt;="&amp;$E7659,SondDatum,"&lt;="&amp;EOMONTH($E7659,0)),$J7659-$M7659))</f>
      </c>
      <c r="O7659" s="43">
        <f>IF($I7659=0,0,INDEX(DarlErsatzRate,16))</f>
      </c>
      <c r="P7659" s="43">
        <f>IF($I7659=0,0,$Q7658*INDEX(DarlErsatzZins,16))</f>
      </c>
      <c r="Q7659" s="43">
        <f>IF($I7659=0,0,$Q7658+$P7659+$O7659)</f>
      </c>
      <c r="R7659" s="43">
        <f>IF($I7659=0,0,$J7659-$M7659-$N7659)</f>
      </c>
    </row>
    <row r="7660">
      <c r="A7660"/>
      <c r="B7660">
        <v>16</v>
      </c>
      <c r="C7660" s="43">
        <f>INDEX(DarlObj,16)</f>
      </c>
      <c r="D7660">
        <v>457</v>
      </c>
      <c r="E7660" s="51">
        <f>IF(INDEX(DarlBelegt,16)=0,0,EOMONTH(INDEX(DarlAuszahlung,16),456)+1)</f>
      </c>
      <c r="F7660" s="43">
        <f>IF($E7660=0,0,YEAR($E7660))</f>
      </c>
      <c r="G7660" s="43">
        <f>IF(INDEX(DarlBindung,16)="",1,IF($E7660&lt;=INDEX(DarlBindung,16),1,0))</f>
      </c>
      <c r="H7660" s="43">
        <f>IF($G7660=1,INDEX(DarlSollzins,16),INDEX(DarlAnschluss,16))</f>
      </c>
      <c r="I7660" s="43">
        <f>IF(INDEX(DarlBelegt,16)=0,0,IF(INDEX(DarlOhneTilgung,16)=1,IF(INDEX(DarlBindung,16)="",1,$G7660),IF($J7660&gt;0.005,1,0)))</f>
      </c>
      <c r="J7660" s="43">
        <f>IF($I7659=0,0,$R7659)</f>
      </c>
      <c r="K7660" s="43">
        <f>IF($I7660=0,0,IF(INDEX(DarlOhneTilgung,16)=1,0,IF(AND(INDEX(DarlTilgStart,16)&gt;0,$E7660=INDEX(DarlTilgStart,16)),$J7660*($H7660+INDEX(DarlTilgung,16))/100/12,IF(AND($G7660=0,$G7659=1),MAX($K7659,$J7660*($H7660+1)/100/12),$K7659))))</f>
      </c>
      <c r="L7660" s="43">
        <f>IF($I7660=0,0,$J7660*$H7660/100/12)</f>
      </c>
      <c r="M7660" s="43">
        <f>IF($I7660=0,0,IF(OR(INDEX(DarlOhneTilgung,16)=1,AND(INDEX(DarlTilgStart,16)&gt;0,$E7660&lt;INDEX(DarlTilgStart,16))),0,MIN(MAX(0,$K7660-$L7660),$J7660)))</f>
      </c>
      <c r="N7660" s="43">
        <f>IF($I7660=0,0,MIN(SUMIFS(SondBetrag,SondDarl,16,SondDatum,"&gt;="&amp;$E7660,SondDatum,"&lt;="&amp;EOMONTH($E7660,0)),$J7660-$M7660))</f>
      </c>
      <c r="O7660" s="43">
        <f>IF($I7660=0,0,INDEX(DarlErsatzRate,16))</f>
      </c>
      <c r="P7660" s="43">
        <f>IF($I7660=0,0,$Q7659*INDEX(DarlErsatzZins,16))</f>
      </c>
      <c r="Q7660" s="43">
        <f>IF($I7660=0,0,$Q7659+$P7660+$O7660)</f>
      </c>
      <c r="R7660" s="43">
        <f>IF($I7660=0,0,$J7660-$M7660-$N7660)</f>
      </c>
    </row>
    <row r="7661">
      <c r="A7661"/>
      <c r="B7661">
        <v>16</v>
      </c>
      <c r="C7661" s="43">
        <f>INDEX(DarlObj,16)</f>
      </c>
      <c r="D7661">
        <v>458</v>
      </c>
      <c r="E7661" s="51">
        <f>IF(INDEX(DarlBelegt,16)=0,0,EOMONTH(INDEX(DarlAuszahlung,16),457)+1)</f>
      </c>
      <c r="F7661" s="43">
        <f>IF($E7661=0,0,YEAR($E7661))</f>
      </c>
      <c r="G7661" s="43">
        <f>IF(INDEX(DarlBindung,16)="",1,IF($E7661&lt;=INDEX(DarlBindung,16),1,0))</f>
      </c>
      <c r="H7661" s="43">
        <f>IF($G7661=1,INDEX(DarlSollzins,16),INDEX(DarlAnschluss,16))</f>
      </c>
      <c r="I7661" s="43">
        <f>IF(INDEX(DarlBelegt,16)=0,0,IF(INDEX(DarlOhneTilgung,16)=1,IF(INDEX(DarlBindung,16)="",1,$G7661),IF($J7661&gt;0.005,1,0)))</f>
      </c>
      <c r="J7661" s="43">
        <f>IF($I7660=0,0,$R7660)</f>
      </c>
      <c r="K7661" s="43">
        <f>IF($I7661=0,0,IF(INDEX(DarlOhneTilgung,16)=1,0,IF(AND(INDEX(DarlTilgStart,16)&gt;0,$E7661=INDEX(DarlTilgStart,16)),$J7661*($H7661+INDEX(DarlTilgung,16))/100/12,IF(AND($G7661=0,$G7660=1),MAX($K7660,$J7661*($H7661+1)/100/12),$K7660))))</f>
      </c>
      <c r="L7661" s="43">
        <f>IF($I7661=0,0,$J7661*$H7661/100/12)</f>
      </c>
      <c r="M7661" s="43">
        <f>IF($I7661=0,0,IF(OR(INDEX(DarlOhneTilgung,16)=1,AND(INDEX(DarlTilgStart,16)&gt;0,$E7661&lt;INDEX(DarlTilgStart,16))),0,MIN(MAX(0,$K7661-$L7661),$J7661)))</f>
      </c>
      <c r="N7661" s="43">
        <f>IF($I7661=0,0,MIN(SUMIFS(SondBetrag,SondDarl,16,SondDatum,"&gt;="&amp;$E7661,SondDatum,"&lt;="&amp;EOMONTH($E7661,0)),$J7661-$M7661))</f>
      </c>
      <c r="O7661" s="43">
        <f>IF($I7661=0,0,INDEX(DarlErsatzRate,16))</f>
      </c>
      <c r="P7661" s="43">
        <f>IF($I7661=0,0,$Q7660*INDEX(DarlErsatzZins,16))</f>
      </c>
      <c r="Q7661" s="43">
        <f>IF($I7661=0,0,$Q7660+$P7661+$O7661)</f>
      </c>
      <c r="R7661" s="43">
        <f>IF($I7661=0,0,$J7661-$M7661-$N7661)</f>
      </c>
    </row>
    <row r="7662">
      <c r="A7662"/>
      <c r="B7662">
        <v>16</v>
      </c>
      <c r="C7662" s="43">
        <f>INDEX(DarlObj,16)</f>
      </c>
      <c r="D7662">
        <v>459</v>
      </c>
      <c r="E7662" s="51">
        <f>IF(INDEX(DarlBelegt,16)=0,0,EOMONTH(INDEX(DarlAuszahlung,16),458)+1)</f>
      </c>
      <c r="F7662" s="43">
        <f>IF($E7662=0,0,YEAR($E7662))</f>
      </c>
      <c r="G7662" s="43">
        <f>IF(INDEX(DarlBindung,16)="",1,IF($E7662&lt;=INDEX(DarlBindung,16),1,0))</f>
      </c>
      <c r="H7662" s="43">
        <f>IF($G7662=1,INDEX(DarlSollzins,16),INDEX(DarlAnschluss,16))</f>
      </c>
      <c r="I7662" s="43">
        <f>IF(INDEX(DarlBelegt,16)=0,0,IF(INDEX(DarlOhneTilgung,16)=1,IF(INDEX(DarlBindung,16)="",1,$G7662),IF($J7662&gt;0.005,1,0)))</f>
      </c>
      <c r="J7662" s="43">
        <f>IF($I7661=0,0,$R7661)</f>
      </c>
      <c r="K7662" s="43">
        <f>IF($I7662=0,0,IF(INDEX(DarlOhneTilgung,16)=1,0,IF(AND(INDEX(DarlTilgStart,16)&gt;0,$E7662=INDEX(DarlTilgStart,16)),$J7662*($H7662+INDEX(DarlTilgung,16))/100/12,IF(AND($G7662=0,$G7661=1),MAX($K7661,$J7662*($H7662+1)/100/12),$K7661))))</f>
      </c>
      <c r="L7662" s="43">
        <f>IF($I7662=0,0,$J7662*$H7662/100/12)</f>
      </c>
      <c r="M7662" s="43">
        <f>IF($I7662=0,0,IF(OR(INDEX(DarlOhneTilgung,16)=1,AND(INDEX(DarlTilgStart,16)&gt;0,$E7662&lt;INDEX(DarlTilgStart,16))),0,MIN(MAX(0,$K7662-$L7662),$J7662)))</f>
      </c>
      <c r="N7662" s="43">
        <f>IF($I7662=0,0,MIN(SUMIFS(SondBetrag,SondDarl,16,SondDatum,"&gt;="&amp;$E7662,SondDatum,"&lt;="&amp;EOMONTH($E7662,0)),$J7662-$M7662))</f>
      </c>
      <c r="O7662" s="43">
        <f>IF($I7662=0,0,INDEX(DarlErsatzRate,16))</f>
      </c>
      <c r="P7662" s="43">
        <f>IF($I7662=0,0,$Q7661*INDEX(DarlErsatzZins,16))</f>
      </c>
      <c r="Q7662" s="43">
        <f>IF($I7662=0,0,$Q7661+$P7662+$O7662)</f>
      </c>
      <c r="R7662" s="43">
        <f>IF($I7662=0,0,$J7662-$M7662-$N7662)</f>
      </c>
    </row>
    <row r="7663">
      <c r="A7663"/>
      <c r="B7663">
        <v>16</v>
      </c>
      <c r="C7663" s="43">
        <f>INDEX(DarlObj,16)</f>
      </c>
      <c r="D7663">
        <v>460</v>
      </c>
      <c r="E7663" s="51">
        <f>IF(INDEX(DarlBelegt,16)=0,0,EOMONTH(INDEX(DarlAuszahlung,16),459)+1)</f>
      </c>
      <c r="F7663" s="43">
        <f>IF($E7663=0,0,YEAR($E7663))</f>
      </c>
      <c r="G7663" s="43">
        <f>IF(INDEX(DarlBindung,16)="",1,IF($E7663&lt;=INDEX(DarlBindung,16),1,0))</f>
      </c>
      <c r="H7663" s="43">
        <f>IF($G7663=1,INDEX(DarlSollzins,16),INDEX(DarlAnschluss,16))</f>
      </c>
      <c r="I7663" s="43">
        <f>IF(INDEX(DarlBelegt,16)=0,0,IF(INDEX(DarlOhneTilgung,16)=1,IF(INDEX(DarlBindung,16)="",1,$G7663),IF($J7663&gt;0.005,1,0)))</f>
      </c>
      <c r="J7663" s="43">
        <f>IF($I7662=0,0,$R7662)</f>
      </c>
      <c r="K7663" s="43">
        <f>IF($I7663=0,0,IF(INDEX(DarlOhneTilgung,16)=1,0,IF(AND(INDEX(DarlTilgStart,16)&gt;0,$E7663=INDEX(DarlTilgStart,16)),$J7663*($H7663+INDEX(DarlTilgung,16))/100/12,IF(AND($G7663=0,$G7662=1),MAX($K7662,$J7663*($H7663+1)/100/12),$K7662))))</f>
      </c>
      <c r="L7663" s="43">
        <f>IF($I7663=0,0,$J7663*$H7663/100/12)</f>
      </c>
      <c r="M7663" s="43">
        <f>IF($I7663=0,0,IF(OR(INDEX(DarlOhneTilgung,16)=1,AND(INDEX(DarlTilgStart,16)&gt;0,$E7663&lt;INDEX(DarlTilgStart,16))),0,MIN(MAX(0,$K7663-$L7663),$J7663)))</f>
      </c>
      <c r="N7663" s="43">
        <f>IF($I7663=0,0,MIN(SUMIFS(SondBetrag,SondDarl,16,SondDatum,"&gt;="&amp;$E7663,SondDatum,"&lt;="&amp;EOMONTH($E7663,0)),$J7663-$M7663))</f>
      </c>
      <c r="O7663" s="43">
        <f>IF($I7663=0,0,INDEX(DarlErsatzRate,16))</f>
      </c>
      <c r="P7663" s="43">
        <f>IF($I7663=0,0,$Q7662*INDEX(DarlErsatzZins,16))</f>
      </c>
      <c r="Q7663" s="43">
        <f>IF($I7663=0,0,$Q7662+$P7663+$O7663)</f>
      </c>
      <c r="R7663" s="43">
        <f>IF($I7663=0,0,$J7663-$M7663-$N7663)</f>
      </c>
    </row>
    <row r="7664">
      <c r="A7664"/>
      <c r="B7664">
        <v>16</v>
      </c>
      <c r="C7664" s="43">
        <f>INDEX(DarlObj,16)</f>
      </c>
      <c r="D7664">
        <v>461</v>
      </c>
      <c r="E7664" s="51">
        <f>IF(INDEX(DarlBelegt,16)=0,0,EOMONTH(INDEX(DarlAuszahlung,16),460)+1)</f>
      </c>
      <c r="F7664" s="43">
        <f>IF($E7664=0,0,YEAR($E7664))</f>
      </c>
      <c r="G7664" s="43">
        <f>IF(INDEX(DarlBindung,16)="",1,IF($E7664&lt;=INDEX(DarlBindung,16),1,0))</f>
      </c>
      <c r="H7664" s="43">
        <f>IF($G7664=1,INDEX(DarlSollzins,16),INDEX(DarlAnschluss,16))</f>
      </c>
      <c r="I7664" s="43">
        <f>IF(INDEX(DarlBelegt,16)=0,0,IF(INDEX(DarlOhneTilgung,16)=1,IF(INDEX(DarlBindung,16)="",1,$G7664),IF($J7664&gt;0.005,1,0)))</f>
      </c>
      <c r="J7664" s="43">
        <f>IF($I7663=0,0,$R7663)</f>
      </c>
      <c r="K7664" s="43">
        <f>IF($I7664=0,0,IF(INDEX(DarlOhneTilgung,16)=1,0,IF(AND(INDEX(DarlTilgStart,16)&gt;0,$E7664=INDEX(DarlTilgStart,16)),$J7664*($H7664+INDEX(DarlTilgung,16))/100/12,IF(AND($G7664=0,$G7663=1),MAX($K7663,$J7664*($H7664+1)/100/12),$K7663))))</f>
      </c>
      <c r="L7664" s="43">
        <f>IF($I7664=0,0,$J7664*$H7664/100/12)</f>
      </c>
      <c r="M7664" s="43">
        <f>IF($I7664=0,0,IF(OR(INDEX(DarlOhneTilgung,16)=1,AND(INDEX(DarlTilgStart,16)&gt;0,$E7664&lt;INDEX(DarlTilgStart,16))),0,MIN(MAX(0,$K7664-$L7664),$J7664)))</f>
      </c>
      <c r="N7664" s="43">
        <f>IF($I7664=0,0,MIN(SUMIFS(SondBetrag,SondDarl,16,SondDatum,"&gt;="&amp;$E7664,SondDatum,"&lt;="&amp;EOMONTH($E7664,0)),$J7664-$M7664))</f>
      </c>
      <c r="O7664" s="43">
        <f>IF($I7664=0,0,INDEX(DarlErsatzRate,16))</f>
      </c>
      <c r="P7664" s="43">
        <f>IF($I7664=0,0,$Q7663*INDEX(DarlErsatzZins,16))</f>
      </c>
      <c r="Q7664" s="43">
        <f>IF($I7664=0,0,$Q7663+$P7664+$O7664)</f>
      </c>
      <c r="R7664" s="43">
        <f>IF($I7664=0,0,$J7664-$M7664-$N7664)</f>
      </c>
    </row>
    <row r="7665">
      <c r="A7665"/>
      <c r="B7665">
        <v>16</v>
      </c>
      <c r="C7665" s="43">
        <f>INDEX(DarlObj,16)</f>
      </c>
      <c r="D7665">
        <v>462</v>
      </c>
      <c r="E7665" s="51">
        <f>IF(INDEX(DarlBelegt,16)=0,0,EOMONTH(INDEX(DarlAuszahlung,16),461)+1)</f>
      </c>
      <c r="F7665" s="43">
        <f>IF($E7665=0,0,YEAR($E7665))</f>
      </c>
      <c r="G7665" s="43">
        <f>IF(INDEX(DarlBindung,16)="",1,IF($E7665&lt;=INDEX(DarlBindung,16),1,0))</f>
      </c>
      <c r="H7665" s="43">
        <f>IF($G7665=1,INDEX(DarlSollzins,16),INDEX(DarlAnschluss,16))</f>
      </c>
      <c r="I7665" s="43">
        <f>IF(INDEX(DarlBelegt,16)=0,0,IF(INDEX(DarlOhneTilgung,16)=1,IF(INDEX(DarlBindung,16)="",1,$G7665),IF($J7665&gt;0.005,1,0)))</f>
      </c>
      <c r="J7665" s="43">
        <f>IF($I7664=0,0,$R7664)</f>
      </c>
      <c r="K7665" s="43">
        <f>IF($I7665=0,0,IF(INDEX(DarlOhneTilgung,16)=1,0,IF(AND(INDEX(DarlTilgStart,16)&gt;0,$E7665=INDEX(DarlTilgStart,16)),$J7665*($H7665+INDEX(DarlTilgung,16))/100/12,IF(AND($G7665=0,$G7664=1),MAX($K7664,$J7665*($H7665+1)/100/12),$K7664))))</f>
      </c>
      <c r="L7665" s="43">
        <f>IF($I7665=0,0,$J7665*$H7665/100/12)</f>
      </c>
      <c r="M7665" s="43">
        <f>IF($I7665=0,0,IF(OR(INDEX(DarlOhneTilgung,16)=1,AND(INDEX(DarlTilgStart,16)&gt;0,$E7665&lt;INDEX(DarlTilgStart,16))),0,MIN(MAX(0,$K7665-$L7665),$J7665)))</f>
      </c>
      <c r="N7665" s="43">
        <f>IF($I7665=0,0,MIN(SUMIFS(SondBetrag,SondDarl,16,SondDatum,"&gt;="&amp;$E7665,SondDatum,"&lt;="&amp;EOMONTH($E7665,0)),$J7665-$M7665))</f>
      </c>
      <c r="O7665" s="43">
        <f>IF($I7665=0,0,INDEX(DarlErsatzRate,16))</f>
      </c>
      <c r="P7665" s="43">
        <f>IF($I7665=0,0,$Q7664*INDEX(DarlErsatzZins,16))</f>
      </c>
      <c r="Q7665" s="43">
        <f>IF($I7665=0,0,$Q7664+$P7665+$O7665)</f>
      </c>
      <c r="R7665" s="43">
        <f>IF($I7665=0,0,$J7665-$M7665-$N7665)</f>
      </c>
    </row>
    <row r="7666">
      <c r="A7666"/>
      <c r="B7666">
        <v>16</v>
      </c>
      <c r="C7666" s="43">
        <f>INDEX(DarlObj,16)</f>
      </c>
      <c r="D7666">
        <v>463</v>
      </c>
      <c r="E7666" s="51">
        <f>IF(INDEX(DarlBelegt,16)=0,0,EOMONTH(INDEX(DarlAuszahlung,16),462)+1)</f>
      </c>
      <c r="F7666" s="43">
        <f>IF($E7666=0,0,YEAR($E7666))</f>
      </c>
      <c r="G7666" s="43">
        <f>IF(INDEX(DarlBindung,16)="",1,IF($E7666&lt;=INDEX(DarlBindung,16),1,0))</f>
      </c>
      <c r="H7666" s="43">
        <f>IF($G7666=1,INDEX(DarlSollzins,16),INDEX(DarlAnschluss,16))</f>
      </c>
      <c r="I7666" s="43">
        <f>IF(INDEX(DarlBelegt,16)=0,0,IF(INDEX(DarlOhneTilgung,16)=1,IF(INDEX(DarlBindung,16)="",1,$G7666),IF($J7666&gt;0.005,1,0)))</f>
      </c>
      <c r="J7666" s="43">
        <f>IF($I7665=0,0,$R7665)</f>
      </c>
      <c r="K7666" s="43">
        <f>IF($I7666=0,0,IF(INDEX(DarlOhneTilgung,16)=1,0,IF(AND(INDEX(DarlTilgStart,16)&gt;0,$E7666=INDEX(DarlTilgStart,16)),$J7666*($H7666+INDEX(DarlTilgung,16))/100/12,IF(AND($G7666=0,$G7665=1),MAX($K7665,$J7666*($H7666+1)/100/12),$K7665))))</f>
      </c>
      <c r="L7666" s="43">
        <f>IF($I7666=0,0,$J7666*$H7666/100/12)</f>
      </c>
      <c r="M7666" s="43">
        <f>IF($I7666=0,0,IF(OR(INDEX(DarlOhneTilgung,16)=1,AND(INDEX(DarlTilgStart,16)&gt;0,$E7666&lt;INDEX(DarlTilgStart,16))),0,MIN(MAX(0,$K7666-$L7666),$J7666)))</f>
      </c>
      <c r="N7666" s="43">
        <f>IF($I7666=0,0,MIN(SUMIFS(SondBetrag,SondDarl,16,SondDatum,"&gt;="&amp;$E7666,SondDatum,"&lt;="&amp;EOMONTH($E7666,0)),$J7666-$M7666))</f>
      </c>
      <c r="O7666" s="43">
        <f>IF($I7666=0,0,INDEX(DarlErsatzRate,16))</f>
      </c>
      <c r="P7666" s="43">
        <f>IF($I7666=0,0,$Q7665*INDEX(DarlErsatzZins,16))</f>
      </c>
      <c r="Q7666" s="43">
        <f>IF($I7666=0,0,$Q7665+$P7666+$O7666)</f>
      </c>
      <c r="R7666" s="43">
        <f>IF($I7666=0,0,$J7666-$M7666-$N7666)</f>
      </c>
    </row>
    <row r="7667">
      <c r="A7667"/>
      <c r="B7667">
        <v>16</v>
      </c>
      <c r="C7667" s="43">
        <f>INDEX(DarlObj,16)</f>
      </c>
      <c r="D7667">
        <v>464</v>
      </c>
      <c r="E7667" s="51">
        <f>IF(INDEX(DarlBelegt,16)=0,0,EOMONTH(INDEX(DarlAuszahlung,16),463)+1)</f>
      </c>
      <c r="F7667" s="43">
        <f>IF($E7667=0,0,YEAR($E7667))</f>
      </c>
      <c r="G7667" s="43">
        <f>IF(INDEX(DarlBindung,16)="",1,IF($E7667&lt;=INDEX(DarlBindung,16),1,0))</f>
      </c>
      <c r="H7667" s="43">
        <f>IF($G7667=1,INDEX(DarlSollzins,16),INDEX(DarlAnschluss,16))</f>
      </c>
      <c r="I7667" s="43">
        <f>IF(INDEX(DarlBelegt,16)=0,0,IF(INDEX(DarlOhneTilgung,16)=1,IF(INDEX(DarlBindung,16)="",1,$G7667),IF($J7667&gt;0.005,1,0)))</f>
      </c>
      <c r="J7667" s="43">
        <f>IF($I7666=0,0,$R7666)</f>
      </c>
      <c r="K7667" s="43">
        <f>IF($I7667=0,0,IF(INDEX(DarlOhneTilgung,16)=1,0,IF(AND(INDEX(DarlTilgStart,16)&gt;0,$E7667=INDEX(DarlTilgStart,16)),$J7667*($H7667+INDEX(DarlTilgung,16))/100/12,IF(AND($G7667=0,$G7666=1),MAX($K7666,$J7667*($H7667+1)/100/12),$K7666))))</f>
      </c>
      <c r="L7667" s="43">
        <f>IF($I7667=0,0,$J7667*$H7667/100/12)</f>
      </c>
      <c r="M7667" s="43">
        <f>IF($I7667=0,0,IF(OR(INDEX(DarlOhneTilgung,16)=1,AND(INDEX(DarlTilgStart,16)&gt;0,$E7667&lt;INDEX(DarlTilgStart,16))),0,MIN(MAX(0,$K7667-$L7667),$J7667)))</f>
      </c>
      <c r="N7667" s="43">
        <f>IF($I7667=0,0,MIN(SUMIFS(SondBetrag,SondDarl,16,SondDatum,"&gt;="&amp;$E7667,SondDatum,"&lt;="&amp;EOMONTH($E7667,0)),$J7667-$M7667))</f>
      </c>
      <c r="O7667" s="43">
        <f>IF($I7667=0,0,INDEX(DarlErsatzRate,16))</f>
      </c>
      <c r="P7667" s="43">
        <f>IF($I7667=0,0,$Q7666*INDEX(DarlErsatzZins,16))</f>
      </c>
      <c r="Q7667" s="43">
        <f>IF($I7667=0,0,$Q7666+$P7667+$O7667)</f>
      </c>
      <c r="R7667" s="43">
        <f>IF($I7667=0,0,$J7667-$M7667-$N7667)</f>
      </c>
    </row>
    <row r="7668">
      <c r="A7668"/>
      <c r="B7668">
        <v>16</v>
      </c>
      <c r="C7668" s="43">
        <f>INDEX(DarlObj,16)</f>
      </c>
      <c r="D7668">
        <v>465</v>
      </c>
      <c r="E7668" s="51">
        <f>IF(INDEX(DarlBelegt,16)=0,0,EOMONTH(INDEX(DarlAuszahlung,16),464)+1)</f>
      </c>
      <c r="F7668" s="43">
        <f>IF($E7668=0,0,YEAR($E7668))</f>
      </c>
      <c r="G7668" s="43">
        <f>IF(INDEX(DarlBindung,16)="",1,IF($E7668&lt;=INDEX(DarlBindung,16),1,0))</f>
      </c>
      <c r="H7668" s="43">
        <f>IF($G7668=1,INDEX(DarlSollzins,16),INDEX(DarlAnschluss,16))</f>
      </c>
      <c r="I7668" s="43">
        <f>IF(INDEX(DarlBelegt,16)=0,0,IF(INDEX(DarlOhneTilgung,16)=1,IF(INDEX(DarlBindung,16)="",1,$G7668),IF($J7668&gt;0.005,1,0)))</f>
      </c>
      <c r="J7668" s="43">
        <f>IF($I7667=0,0,$R7667)</f>
      </c>
      <c r="K7668" s="43">
        <f>IF($I7668=0,0,IF(INDEX(DarlOhneTilgung,16)=1,0,IF(AND(INDEX(DarlTilgStart,16)&gt;0,$E7668=INDEX(DarlTilgStart,16)),$J7668*($H7668+INDEX(DarlTilgung,16))/100/12,IF(AND($G7668=0,$G7667=1),MAX($K7667,$J7668*($H7668+1)/100/12),$K7667))))</f>
      </c>
      <c r="L7668" s="43">
        <f>IF($I7668=0,0,$J7668*$H7668/100/12)</f>
      </c>
      <c r="M7668" s="43">
        <f>IF($I7668=0,0,IF(OR(INDEX(DarlOhneTilgung,16)=1,AND(INDEX(DarlTilgStart,16)&gt;0,$E7668&lt;INDEX(DarlTilgStart,16))),0,MIN(MAX(0,$K7668-$L7668),$J7668)))</f>
      </c>
      <c r="N7668" s="43">
        <f>IF($I7668=0,0,MIN(SUMIFS(SondBetrag,SondDarl,16,SondDatum,"&gt;="&amp;$E7668,SondDatum,"&lt;="&amp;EOMONTH($E7668,0)),$J7668-$M7668))</f>
      </c>
      <c r="O7668" s="43">
        <f>IF($I7668=0,0,INDEX(DarlErsatzRate,16))</f>
      </c>
      <c r="P7668" s="43">
        <f>IF($I7668=0,0,$Q7667*INDEX(DarlErsatzZins,16))</f>
      </c>
      <c r="Q7668" s="43">
        <f>IF($I7668=0,0,$Q7667+$P7668+$O7668)</f>
      </c>
      <c r="R7668" s="43">
        <f>IF($I7668=0,0,$J7668-$M7668-$N7668)</f>
      </c>
    </row>
    <row r="7669">
      <c r="A7669"/>
      <c r="B7669">
        <v>16</v>
      </c>
      <c r="C7669" s="43">
        <f>INDEX(DarlObj,16)</f>
      </c>
      <c r="D7669">
        <v>466</v>
      </c>
      <c r="E7669" s="51">
        <f>IF(INDEX(DarlBelegt,16)=0,0,EOMONTH(INDEX(DarlAuszahlung,16),465)+1)</f>
      </c>
      <c r="F7669" s="43">
        <f>IF($E7669=0,0,YEAR($E7669))</f>
      </c>
      <c r="G7669" s="43">
        <f>IF(INDEX(DarlBindung,16)="",1,IF($E7669&lt;=INDEX(DarlBindung,16),1,0))</f>
      </c>
      <c r="H7669" s="43">
        <f>IF($G7669=1,INDEX(DarlSollzins,16),INDEX(DarlAnschluss,16))</f>
      </c>
      <c r="I7669" s="43">
        <f>IF(INDEX(DarlBelegt,16)=0,0,IF(INDEX(DarlOhneTilgung,16)=1,IF(INDEX(DarlBindung,16)="",1,$G7669),IF($J7669&gt;0.005,1,0)))</f>
      </c>
      <c r="J7669" s="43">
        <f>IF($I7668=0,0,$R7668)</f>
      </c>
      <c r="K7669" s="43">
        <f>IF($I7669=0,0,IF(INDEX(DarlOhneTilgung,16)=1,0,IF(AND(INDEX(DarlTilgStart,16)&gt;0,$E7669=INDEX(DarlTilgStart,16)),$J7669*($H7669+INDEX(DarlTilgung,16))/100/12,IF(AND($G7669=0,$G7668=1),MAX($K7668,$J7669*($H7669+1)/100/12),$K7668))))</f>
      </c>
      <c r="L7669" s="43">
        <f>IF($I7669=0,0,$J7669*$H7669/100/12)</f>
      </c>
      <c r="M7669" s="43">
        <f>IF($I7669=0,0,IF(OR(INDEX(DarlOhneTilgung,16)=1,AND(INDEX(DarlTilgStart,16)&gt;0,$E7669&lt;INDEX(DarlTilgStart,16))),0,MIN(MAX(0,$K7669-$L7669),$J7669)))</f>
      </c>
      <c r="N7669" s="43">
        <f>IF($I7669=0,0,MIN(SUMIFS(SondBetrag,SondDarl,16,SondDatum,"&gt;="&amp;$E7669,SondDatum,"&lt;="&amp;EOMONTH($E7669,0)),$J7669-$M7669))</f>
      </c>
      <c r="O7669" s="43">
        <f>IF($I7669=0,0,INDEX(DarlErsatzRate,16))</f>
      </c>
      <c r="P7669" s="43">
        <f>IF($I7669=0,0,$Q7668*INDEX(DarlErsatzZins,16))</f>
      </c>
      <c r="Q7669" s="43">
        <f>IF($I7669=0,0,$Q7668+$P7669+$O7669)</f>
      </c>
      <c r="R7669" s="43">
        <f>IF($I7669=0,0,$J7669-$M7669-$N7669)</f>
      </c>
    </row>
    <row r="7670">
      <c r="A7670"/>
      <c r="B7670">
        <v>16</v>
      </c>
      <c r="C7670" s="43">
        <f>INDEX(DarlObj,16)</f>
      </c>
      <c r="D7670">
        <v>467</v>
      </c>
      <c r="E7670" s="51">
        <f>IF(INDEX(DarlBelegt,16)=0,0,EOMONTH(INDEX(DarlAuszahlung,16),466)+1)</f>
      </c>
      <c r="F7670" s="43">
        <f>IF($E7670=0,0,YEAR($E7670))</f>
      </c>
      <c r="G7670" s="43">
        <f>IF(INDEX(DarlBindung,16)="",1,IF($E7670&lt;=INDEX(DarlBindung,16),1,0))</f>
      </c>
      <c r="H7670" s="43">
        <f>IF($G7670=1,INDEX(DarlSollzins,16),INDEX(DarlAnschluss,16))</f>
      </c>
      <c r="I7670" s="43">
        <f>IF(INDEX(DarlBelegt,16)=0,0,IF(INDEX(DarlOhneTilgung,16)=1,IF(INDEX(DarlBindung,16)="",1,$G7670),IF($J7670&gt;0.005,1,0)))</f>
      </c>
      <c r="J7670" s="43">
        <f>IF($I7669=0,0,$R7669)</f>
      </c>
      <c r="K7670" s="43">
        <f>IF($I7670=0,0,IF(INDEX(DarlOhneTilgung,16)=1,0,IF(AND(INDEX(DarlTilgStart,16)&gt;0,$E7670=INDEX(DarlTilgStart,16)),$J7670*($H7670+INDEX(DarlTilgung,16))/100/12,IF(AND($G7670=0,$G7669=1),MAX($K7669,$J7670*($H7670+1)/100/12),$K7669))))</f>
      </c>
      <c r="L7670" s="43">
        <f>IF($I7670=0,0,$J7670*$H7670/100/12)</f>
      </c>
      <c r="M7670" s="43">
        <f>IF($I7670=0,0,IF(OR(INDEX(DarlOhneTilgung,16)=1,AND(INDEX(DarlTilgStart,16)&gt;0,$E7670&lt;INDEX(DarlTilgStart,16))),0,MIN(MAX(0,$K7670-$L7670),$J7670)))</f>
      </c>
      <c r="N7670" s="43">
        <f>IF($I7670=0,0,MIN(SUMIFS(SondBetrag,SondDarl,16,SondDatum,"&gt;="&amp;$E7670,SondDatum,"&lt;="&amp;EOMONTH($E7670,0)),$J7670-$M7670))</f>
      </c>
      <c r="O7670" s="43">
        <f>IF($I7670=0,0,INDEX(DarlErsatzRate,16))</f>
      </c>
      <c r="P7670" s="43">
        <f>IF($I7670=0,0,$Q7669*INDEX(DarlErsatzZins,16))</f>
      </c>
      <c r="Q7670" s="43">
        <f>IF($I7670=0,0,$Q7669+$P7670+$O7670)</f>
      </c>
      <c r="R7670" s="43">
        <f>IF($I7670=0,0,$J7670-$M7670-$N7670)</f>
      </c>
    </row>
    <row r="7671">
      <c r="A7671"/>
      <c r="B7671">
        <v>16</v>
      </c>
      <c r="C7671" s="43">
        <f>INDEX(DarlObj,16)</f>
      </c>
      <c r="D7671">
        <v>468</v>
      </c>
      <c r="E7671" s="51">
        <f>IF(INDEX(DarlBelegt,16)=0,0,EOMONTH(INDEX(DarlAuszahlung,16),467)+1)</f>
      </c>
      <c r="F7671" s="43">
        <f>IF($E7671=0,0,YEAR($E7671))</f>
      </c>
      <c r="G7671" s="43">
        <f>IF(INDEX(DarlBindung,16)="",1,IF($E7671&lt;=INDEX(DarlBindung,16),1,0))</f>
      </c>
      <c r="H7671" s="43">
        <f>IF($G7671=1,INDEX(DarlSollzins,16),INDEX(DarlAnschluss,16))</f>
      </c>
      <c r="I7671" s="43">
        <f>IF(INDEX(DarlBelegt,16)=0,0,IF(INDEX(DarlOhneTilgung,16)=1,IF(INDEX(DarlBindung,16)="",1,$G7671),IF($J7671&gt;0.005,1,0)))</f>
      </c>
      <c r="J7671" s="43">
        <f>IF($I7670=0,0,$R7670)</f>
      </c>
      <c r="K7671" s="43">
        <f>IF($I7671=0,0,IF(INDEX(DarlOhneTilgung,16)=1,0,IF(AND(INDEX(DarlTilgStart,16)&gt;0,$E7671=INDEX(DarlTilgStart,16)),$J7671*($H7671+INDEX(DarlTilgung,16))/100/12,IF(AND($G7671=0,$G7670=1),MAX($K7670,$J7671*($H7671+1)/100/12),$K7670))))</f>
      </c>
      <c r="L7671" s="43">
        <f>IF($I7671=0,0,$J7671*$H7671/100/12)</f>
      </c>
      <c r="M7671" s="43">
        <f>IF($I7671=0,0,IF(OR(INDEX(DarlOhneTilgung,16)=1,AND(INDEX(DarlTilgStart,16)&gt;0,$E7671&lt;INDEX(DarlTilgStart,16))),0,MIN(MAX(0,$K7671-$L7671),$J7671)))</f>
      </c>
      <c r="N7671" s="43">
        <f>IF($I7671=0,0,MIN(SUMIFS(SondBetrag,SondDarl,16,SondDatum,"&gt;="&amp;$E7671,SondDatum,"&lt;="&amp;EOMONTH($E7671,0)),$J7671-$M7671))</f>
      </c>
      <c r="O7671" s="43">
        <f>IF($I7671=0,0,INDEX(DarlErsatzRate,16))</f>
      </c>
      <c r="P7671" s="43">
        <f>IF($I7671=0,0,$Q7670*INDEX(DarlErsatzZins,16))</f>
      </c>
      <c r="Q7671" s="43">
        <f>IF($I7671=0,0,$Q7670+$P7671+$O7671)</f>
      </c>
      <c r="R7671" s="43">
        <f>IF($I7671=0,0,$J7671-$M7671-$N7671)</f>
      </c>
    </row>
    <row r="7672">
      <c r="A7672"/>
      <c r="B7672">
        <v>16</v>
      </c>
      <c r="C7672" s="43">
        <f>INDEX(DarlObj,16)</f>
      </c>
      <c r="D7672">
        <v>469</v>
      </c>
      <c r="E7672" s="51">
        <f>IF(INDEX(DarlBelegt,16)=0,0,EOMONTH(INDEX(DarlAuszahlung,16),468)+1)</f>
      </c>
      <c r="F7672" s="43">
        <f>IF($E7672=0,0,YEAR($E7672))</f>
      </c>
      <c r="G7672" s="43">
        <f>IF(INDEX(DarlBindung,16)="",1,IF($E7672&lt;=INDEX(DarlBindung,16),1,0))</f>
      </c>
      <c r="H7672" s="43">
        <f>IF($G7672=1,INDEX(DarlSollzins,16),INDEX(DarlAnschluss,16))</f>
      </c>
      <c r="I7672" s="43">
        <f>IF(INDEX(DarlBelegt,16)=0,0,IF(INDEX(DarlOhneTilgung,16)=1,IF(INDEX(DarlBindung,16)="",1,$G7672),IF($J7672&gt;0.005,1,0)))</f>
      </c>
      <c r="J7672" s="43">
        <f>IF($I7671=0,0,$R7671)</f>
      </c>
      <c r="K7672" s="43">
        <f>IF($I7672=0,0,IF(INDEX(DarlOhneTilgung,16)=1,0,IF(AND(INDEX(DarlTilgStart,16)&gt;0,$E7672=INDEX(DarlTilgStart,16)),$J7672*($H7672+INDEX(DarlTilgung,16))/100/12,IF(AND($G7672=0,$G7671=1),MAX($K7671,$J7672*($H7672+1)/100/12),$K7671))))</f>
      </c>
      <c r="L7672" s="43">
        <f>IF($I7672=0,0,$J7672*$H7672/100/12)</f>
      </c>
      <c r="M7672" s="43">
        <f>IF($I7672=0,0,IF(OR(INDEX(DarlOhneTilgung,16)=1,AND(INDEX(DarlTilgStart,16)&gt;0,$E7672&lt;INDEX(DarlTilgStart,16))),0,MIN(MAX(0,$K7672-$L7672),$J7672)))</f>
      </c>
      <c r="N7672" s="43">
        <f>IF($I7672=0,0,MIN(SUMIFS(SondBetrag,SondDarl,16,SondDatum,"&gt;="&amp;$E7672,SondDatum,"&lt;="&amp;EOMONTH($E7672,0)),$J7672-$M7672))</f>
      </c>
      <c r="O7672" s="43">
        <f>IF($I7672=0,0,INDEX(DarlErsatzRate,16))</f>
      </c>
      <c r="P7672" s="43">
        <f>IF($I7672=0,0,$Q7671*INDEX(DarlErsatzZins,16))</f>
      </c>
      <c r="Q7672" s="43">
        <f>IF($I7672=0,0,$Q7671+$P7672+$O7672)</f>
      </c>
      <c r="R7672" s="43">
        <f>IF($I7672=0,0,$J7672-$M7672-$N7672)</f>
      </c>
    </row>
    <row r="7673">
      <c r="A7673"/>
      <c r="B7673">
        <v>16</v>
      </c>
      <c r="C7673" s="43">
        <f>INDEX(DarlObj,16)</f>
      </c>
      <c r="D7673">
        <v>470</v>
      </c>
      <c r="E7673" s="51">
        <f>IF(INDEX(DarlBelegt,16)=0,0,EOMONTH(INDEX(DarlAuszahlung,16),469)+1)</f>
      </c>
      <c r="F7673" s="43">
        <f>IF($E7673=0,0,YEAR($E7673))</f>
      </c>
      <c r="G7673" s="43">
        <f>IF(INDEX(DarlBindung,16)="",1,IF($E7673&lt;=INDEX(DarlBindung,16),1,0))</f>
      </c>
      <c r="H7673" s="43">
        <f>IF($G7673=1,INDEX(DarlSollzins,16),INDEX(DarlAnschluss,16))</f>
      </c>
      <c r="I7673" s="43">
        <f>IF(INDEX(DarlBelegt,16)=0,0,IF(INDEX(DarlOhneTilgung,16)=1,IF(INDEX(DarlBindung,16)="",1,$G7673),IF($J7673&gt;0.005,1,0)))</f>
      </c>
      <c r="J7673" s="43">
        <f>IF($I7672=0,0,$R7672)</f>
      </c>
      <c r="K7673" s="43">
        <f>IF($I7673=0,0,IF(INDEX(DarlOhneTilgung,16)=1,0,IF(AND(INDEX(DarlTilgStart,16)&gt;0,$E7673=INDEX(DarlTilgStart,16)),$J7673*($H7673+INDEX(DarlTilgung,16))/100/12,IF(AND($G7673=0,$G7672=1),MAX($K7672,$J7673*($H7673+1)/100/12),$K7672))))</f>
      </c>
      <c r="L7673" s="43">
        <f>IF($I7673=0,0,$J7673*$H7673/100/12)</f>
      </c>
      <c r="M7673" s="43">
        <f>IF($I7673=0,0,IF(OR(INDEX(DarlOhneTilgung,16)=1,AND(INDEX(DarlTilgStart,16)&gt;0,$E7673&lt;INDEX(DarlTilgStart,16))),0,MIN(MAX(0,$K7673-$L7673),$J7673)))</f>
      </c>
      <c r="N7673" s="43">
        <f>IF($I7673=0,0,MIN(SUMIFS(SondBetrag,SondDarl,16,SondDatum,"&gt;="&amp;$E7673,SondDatum,"&lt;="&amp;EOMONTH($E7673,0)),$J7673-$M7673))</f>
      </c>
      <c r="O7673" s="43">
        <f>IF($I7673=0,0,INDEX(DarlErsatzRate,16))</f>
      </c>
      <c r="P7673" s="43">
        <f>IF($I7673=0,0,$Q7672*INDEX(DarlErsatzZins,16))</f>
      </c>
      <c r="Q7673" s="43">
        <f>IF($I7673=0,0,$Q7672+$P7673+$O7673)</f>
      </c>
      <c r="R7673" s="43">
        <f>IF($I7673=0,0,$J7673-$M7673-$N7673)</f>
      </c>
    </row>
    <row r="7674">
      <c r="A7674"/>
      <c r="B7674">
        <v>16</v>
      </c>
      <c r="C7674" s="43">
        <f>INDEX(DarlObj,16)</f>
      </c>
      <c r="D7674">
        <v>471</v>
      </c>
      <c r="E7674" s="51">
        <f>IF(INDEX(DarlBelegt,16)=0,0,EOMONTH(INDEX(DarlAuszahlung,16),470)+1)</f>
      </c>
      <c r="F7674" s="43">
        <f>IF($E7674=0,0,YEAR($E7674))</f>
      </c>
      <c r="G7674" s="43">
        <f>IF(INDEX(DarlBindung,16)="",1,IF($E7674&lt;=INDEX(DarlBindung,16),1,0))</f>
      </c>
      <c r="H7674" s="43">
        <f>IF($G7674=1,INDEX(DarlSollzins,16),INDEX(DarlAnschluss,16))</f>
      </c>
      <c r="I7674" s="43">
        <f>IF(INDEX(DarlBelegt,16)=0,0,IF(INDEX(DarlOhneTilgung,16)=1,IF(INDEX(DarlBindung,16)="",1,$G7674),IF($J7674&gt;0.005,1,0)))</f>
      </c>
      <c r="J7674" s="43">
        <f>IF($I7673=0,0,$R7673)</f>
      </c>
      <c r="K7674" s="43">
        <f>IF($I7674=0,0,IF(INDEX(DarlOhneTilgung,16)=1,0,IF(AND(INDEX(DarlTilgStart,16)&gt;0,$E7674=INDEX(DarlTilgStart,16)),$J7674*($H7674+INDEX(DarlTilgung,16))/100/12,IF(AND($G7674=0,$G7673=1),MAX($K7673,$J7674*($H7674+1)/100/12),$K7673))))</f>
      </c>
      <c r="L7674" s="43">
        <f>IF($I7674=0,0,$J7674*$H7674/100/12)</f>
      </c>
      <c r="M7674" s="43">
        <f>IF($I7674=0,0,IF(OR(INDEX(DarlOhneTilgung,16)=1,AND(INDEX(DarlTilgStart,16)&gt;0,$E7674&lt;INDEX(DarlTilgStart,16))),0,MIN(MAX(0,$K7674-$L7674),$J7674)))</f>
      </c>
      <c r="N7674" s="43">
        <f>IF($I7674=0,0,MIN(SUMIFS(SondBetrag,SondDarl,16,SondDatum,"&gt;="&amp;$E7674,SondDatum,"&lt;="&amp;EOMONTH($E7674,0)),$J7674-$M7674))</f>
      </c>
      <c r="O7674" s="43">
        <f>IF($I7674=0,0,INDEX(DarlErsatzRate,16))</f>
      </c>
      <c r="P7674" s="43">
        <f>IF($I7674=0,0,$Q7673*INDEX(DarlErsatzZins,16))</f>
      </c>
      <c r="Q7674" s="43">
        <f>IF($I7674=0,0,$Q7673+$P7674+$O7674)</f>
      </c>
      <c r="R7674" s="43">
        <f>IF($I7674=0,0,$J7674-$M7674-$N7674)</f>
      </c>
    </row>
    <row r="7675">
      <c r="A7675"/>
      <c r="B7675">
        <v>16</v>
      </c>
      <c r="C7675" s="43">
        <f>INDEX(DarlObj,16)</f>
      </c>
      <c r="D7675">
        <v>472</v>
      </c>
      <c r="E7675" s="51">
        <f>IF(INDEX(DarlBelegt,16)=0,0,EOMONTH(INDEX(DarlAuszahlung,16),471)+1)</f>
      </c>
      <c r="F7675" s="43">
        <f>IF($E7675=0,0,YEAR($E7675))</f>
      </c>
      <c r="G7675" s="43">
        <f>IF(INDEX(DarlBindung,16)="",1,IF($E7675&lt;=INDEX(DarlBindung,16),1,0))</f>
      </c>
      <c r="H7675" s="43">
        <f>IF($G7675=1,INDEX(DarlSollzins,16),INDEX(DarlAnschluss,16))</f>
      </c>
      <c r="I7675" s="43">
        <f>IF(INDEX(DarlBelegt,16)=0,0,IF(INDEX(DarlOhneTilgung,16)=1,IF(INDEX(DarlBindung,16)="",1,$G7675),IF($J7675&gt;0.005,1,0)))</f>
      </c>
      <c r="J7675" s="43">
        <f>IF($I7674=0,0,$R7674)</f>
      </c>
      <c r="K7675" s="43">
        <f>IF($I7675=0,0,IF(INDEX(DarlOhneTilgung,16)=1,0,IF(AND(INDEX(DarlTilgStart,16)&gt;0,$E7675=INDEX(DarlTilgStart,16)),$J7675*($H7675+INDEX(DarlTilgung,16))/100/12,IF(AND($G7675=0,$G7674=1),MAX($K7674,$J7675*($H7675+1)/100/12),$K7674))))</f>
      </c>
      <c r="L7675" s="43">
        <f>IF($I7675=0,0,$J7675*$H7675/100/12)</f>
      </c>
      <c r="M7675" s="43">
        <f>IF($I7675=0,0,IF(OR(INDEX(DarlOhneTilgung,16)=1,AND(INDEX(DarlTilgStart,16)&gt;0,$E7675&lt;INDEX(DarlTilgStart,16))),0,MIN(MAX(0,$K7675-$L7675),$J7675)))</f>
      </c>
      <c r="N7675" s="43">
        <f>IF($I7675=0,0,MIN(SUMIFS(SondBetrag,SondDarl,16,SondDatum,"&gt;="&amp;$E7675,SondDatum,"&lt;="&amp;EOMONTH($E7675,0)),$J7675-$M7675))</f>
      </c>
      <c r="O7675" s="43">
        <f>IF($I7675=0,0,INDEX(DarlErsatzRate,16))</f>
      </c>
      <c r="P7675" s="43">
        <f>IF($I7675=0,0,$Q7674*INDEX(DarlErsatzZins,16))</f>
      </c>
      <c r="Q7675" s="43">
        <f>IF($I7675=0,0,$Q7674+$P7675+$O7675)</f>
      </c>
      <c r="R7675" s="43">
        <f>IF($I7675=0,0,$J7675-$M7675-$N7675)</f>
      </c>
    </row>
    <row r="7676">
      <c r="A7676"/>
      <c r="B7676">
        <v>16</v>
      </c>
      <c r="C7676" s="43">
        <f>INDEX(DarlObj,16)</f>
      </c>
      <c r="D7676">
        <v>473</v>
      </c>
      <c r="E7676" s="51">
        <f>IF(INDEX(DarlBelegt,16)=0,0,EOMONTH(INDEX(DarlAuszahlung,16),472)+1)</f>
      </c>
      <c r="F7676" s="43">
        <f>IF($E7676=0,0,YEAR($E7676))</f>
      </c>
      <c r="G7676" s="43">
        <f>IF(INDEX(DarlBindung,16)="",1,IF($E7676&lt;=INDEX(DarlBindung,16),1,0))</f>
      </c>
      <c r="H7676" s="43">
        <f>IF($G7676=1,INDEX(DarlSollzins,16),INDEX(DarlAnschluss,16))</f>
      </c>
      <c r="I7676" s="43">
        <f>IF(INDEX(DarlBelegt,16)=0,0,IF(INDEX(DarlOhneTilgung,16)=1,IF(INDEX(DarlBindung,16)="",1,$G7676),IF($J7676&gt;0.005,1,0)))</f>
      </c>
      <c r="J7676" s="43">
        <f>IF($I7675=0,0,$R7675)</f>
      </c>
      <c r="K7676" s="43">
        <f>IF($I7676=0,0,IF(INDEX(DarlOhneTilgung,16)=1,0,IF(AND(INDEX(DarlTilgStart,16)&gt;0,$E7676=INDEX(DarlTilgStart,16)),$J7676*($H7676+INDEX(DarlTilgung,16))/100/12,IF(AND($G7676=0,$G7675=1),MAX($K7675,$J7676*($H7676+1)/100/12),$K7675))))</f>
      </c>
      <c r="L7676" s="43">
        <f>IF($I7676=0,0,$J7676*$H7676/100/12)</f>
      </c>
      <c r="M7676" s="43">
        <f>IF($I7676=0,0,IF(OR(INDEX(DarlOhneTilgung,16)=1,AND(INDEX(DarlTilgStart,16)&gt;0,$E7676&lt;INDEX(DarlTilgStart,16))),0,MIN(MAX(0,$K7676-$L7676),$J7676)))</f>
      </c>
      <c r="N7676" s="43">
        <f>IF($I7676=0,0,MIN(SUMIFS(SondBetrag,SondDarl,16,SondDatum,"&gt;="&amp;$E7676,SondDatum,"&lt;="&amp;EOMONTH($E7676,0)),$J7676-$M7676))</f>
      </c>
      <c r="O7676" s="43">
        <f>IF($I7676=0,0,INDEX(DarlErsatzRate,16))</f>
      </c>
      <c r="P7676" s="43">
        <f>IF($I7676=0,0,$Q7675*INDEX(DarlErsatzZins,16))</f>
      </c>
      <c r="Q7676" s="43">
        <f>IF($I7676=0,0,$Q7675+$P7676+$O7676)</f>
      </c>
      <c r="R7676" s="43">
        <f>IF($I7676=0,0,$J7676-$M7676-$N7676)</f>
      </c>
    </row>
    <row r="7677">
      <c r="A7677"/>
      <c r="B7677">
        <v>16</v>
      </c>
      <c r="C7677" s="43">
        <f>INDEX(DarlObj,16)</f>
      </c>
      <c r="D7677">
        <v>474</v>
      </c>
      <c r="E7677" s="51">
        <f>IF(INDEX(DarlBelegt,16)=0,0,EOMONTH(INDEX(DarlAuszahlung,16),473)+1)</f>
      </c>
      <c r="F7677" s="43">
        <f>IF($E7677=0,0,YEAR($E7677))</f>
      </c>
      <c r="G7677" s="43">
        <f>IF(INDEX(DarlBindung,16)="",1,IF($E7677&lt;=INDEX(DarlBindung,16),1,0))</f>
      </c>
      <c r="H7677" s="43">
        <f>IF($G7677=1,INDEX(DarlSollzins,16),INDEX(DarlAnschluss,16))</f>
      </c>
      <c r="I7677" s="43">
        <f>IF(INDEX(DarlBelegt,16)=0,0,IF(INDEX(DarlOhneTilgung,16)=1,IF(INDEX(DarlBindung,16)="",1,$G7677),IF($J7677&gt;0.005,1,0)))</f>
      </c>
      <c r="J7677" s="43">
        <f>IF($I7676=0,0,$R7676)</f>
      </c>
      <c r="K7677" s="43">
        <f>IF($I7677=0,0,IF(INDEX(DarlOhneTilgung,16)=1,0,IF(AND(INDEX(DarlTilgStart,16)&gt;0,$E7677=INDEX(DarlTilgStart,16)),$J7677*($H7677+INDEX(DarlTilgung,16))/100/12,IF(AND($G7677=0,$G7676=1),MAX($K7676,$J7677*($H7677+1)/100/12),$K7676))))</f>
      </c>
      <c r="L7677" s="43">
        <f>IF($I7677=0,0,$J7677*$H7677/100/12)</f>
      </c>
      <c r="M7677" s="43">
        <f>IF($I7677=0,0,IF(OR(INDEX(DarlOhneTilgung,16)=1,AND(INDEX(DarlTilgStart,16)&gt;0,$E7677&lt;INDEX(DarlTilgStart,16))),0,MIN(MAX(0,$K7677-$L7677),$J7677)))</f>
      </c>
      <c r="N7677" s="43">
        <f>IF($I7677=0,0,MIN(SUMIFS(SondBetrag,SondDarl,16,SondDatum,"&gt;="&amp;$E7677,SondDatum,"&lt;="&amp;EOMONTH($E7677,0)),$J7677-$M7677))</f>
      </c>
      <c r="O7677" s="43">
        <f>IF($I7677=0,0,INDEX(DarlErsatzRate,16))</f>
      </c>
      <c r="P7677" s="43">
        <f>IF($I7677=0,0,$Q7676*INDEX(DarlErsatzZins,16))</f>
      </c>
      <c r="Q7677" s="43">
        <f>IF($I7677=0,0,$Q7676+$P7677+$O7677)</f>
      </c>
      <c r="R7677" s="43">
        <f>IF($I7677=0,0,$J7677-$M7677-$N7677)</f>
      </c>
    </row>
    <row r="7678">
      <c r="A7678"/>
      <c r="B7678">
        <v>16</v>
      </c>
      <c r="C7678" s="43">
        <f>INDEX(DarlObj,16)</f>
      </c>
      <c r="D7678">
        <v>475</v>
      </c>
      <c r="E7678" s="51">
        <f>IF(INDEX(DarlBelegt,16)=0,0,EOMONTH(INDEX(DarlAuszahlung,16),474)+1)</f>
      </c>
      <c r="F7678" s="43">
        <f>IF($E7678=0,0,YEAR($E7678))</f>
      </c>
      <c r="G7678" s="43">
        <f>IF(INDEX(DarlBindung,16)="",1,IF($E7678&lt;=INDEX(DarlBindung,16),1,0))</f>
      </c>
      <c r="H7678" s="43">
        <f>IF($G7678=1,INDEX(DarlSollzins,16),INDEX(DarlAnschluss,16))</f>
      </c>
      <c r="I7678" s="43">
        <f>IF(INDEX(DarlBelegt,16)=0,0,IF(INDEX(DarlOhneTilgung,16)=1,IF(INDEX(DarlBindung,16)="",1,$G7678),IF($J7678&gt;0.005,1,0)))</f>
      </c>
      <c r="J7678" s="43">
        <f>IF($I7677=0,0,$R7677)</f>
      </c>
      <c r="K7678" s="43">
        <f>IF($I7678=0,0,IF(INDEX(DarlOhneTilgung,16)=1,0,IF(AND(INDEX(DarlTilgStart,16)&gt;0,$E7678=INDEX(DarlTilgStart,16)),$J7678*($H7678+INDEX(DarlTilgung,16))/100/12,IF(AND($G7678=0,$G7677=1),MAX($K7677,$J7678*($H7678+1)/100/12),$K7677))))</f>
      </c>
      <c r="L7678" s="43">
        <f>IF($I7678=0,0,$J7678*$H7678/100/12)</f>
      </c>
      <c r="M7678" s="43">
        <f>IF($I7678=0,0,IF(OR(INDEX(DarlOhneTilgung,16)=1,AND(INDEX(DarlTilgStart,16)&gt;0,$E7678&lt;INDEX(DarlTilgStart,16))),0,MIN(MAX(0,$K7678-$L7678),$J7678)))</f>
      </c>
      <c r="N7678" s="43">
        <f>IF($I7678=0,0,MIN(SUMIFS(SondBetrag,SondDarl,16,SondDatum,"&gt;="&amp;$E7678,SondDatum,"&lt;="&amp;EOMONTH($E7678,0)),$J7678-$M7678))</f>
      </c>
      <c r="O7678" s="43">
        <f>IF($I7678=0,0,INDEX(DarlErsatzRate,16))</f>
      </c>
      <c r="P7678" s="43">
        <f>IF($I7678=0,0,$Q7677*INDEX(DarlErsatzZins,16))</f>
      </c>
      <c r="Q7678" s="43">
        <f>IF($I7678=0,0,$Q7677+$P7678+$O7678)</f>
      </c>
      <c r="R7678" s="43">
        <f>IF($I7678=0,0,$J7678-$M7678-$N7678)</f>
      </c>
    </row>
    <row r="7679">
      <c r="A7679"/>
      <c r="B7679">
        <v>16</v>
      </c>
      <c r="C7679" s="43">
        <f>INDEX(DarlObj,16)</f>
      </c>
      <c r="D7679">
        <v>476</v>
      </c>
      <c r="E7679" s="51">
        <f>IF(INDEX(DarlBelegt,16)=0,0,EOMONTH(INDEX(DarlAuszahlung,16),475)+1)</f>
      </c>
      <c r="F7679" s="43">
        <f>IF($E7679=0,0,YEAR($E7679))</f>
      </c>
      <c r="G7679" s="43">
        <f>IF(INDEX(DarlBindung,16)="",1,IF($E7679&lt;=INDEX(DarlBindung,16),1,0))</f>
      </c>
      <c r="H7679" s="43">
        <f>IF($G7679=1,INDEX(DarlSollzins,16),INDEX(DarlAnschluss,16))</f>
      </c>
      <c r="I7679" s="43">
        <f>IF(INDEX(DarlBelegt,16)=0,0,IF(INDEX(DarlOhneTilgung,16)=1,IF(INDEX(DarlBindung,16)="",1,$G7679),IF($J7679&gt;0.005,1,0)))</f>
      </c>
      <c r="J7679" s="43">
        <f>IF($I7678=0,0,$R7678)</f>
      </c>
      <c r="K7679" s="43">
        <f>IF($I7679=0,0,IF(INDEX(DarlOhneTilgung,16)=1,0,IF(AND(INDEX(DarlTilgStart,16)&gt;0,$E7679=INDEX(DarlTilgStart,16)),$J7679*($H7679+INDEX(DarlTilgung,16))/100/12,IF(AND($G7679=0,$G7678=1),MAX($K7678,$J7679*($H7679+1)/100/12),$K7678))))</f>
      </c>
      <c r="L7679" s="43">
        <f>IF($I7679=0,0,$J7679*$H7679/100/12)</f>
      </c>
      <c r="M7679" s="43">
        <f>IF($I7679=0,0,IF(OR(INDEX(DarlOhneTilgung,16)=1,AND(INDEX(DarlTilgStart,16)&gt;0,$E7679&lt;INDEX(DarlTilgStart,16))),0,MIN(MAX(0,$K7679-$L7679),$J7679)))</f>
      </c>
      <c r="N7679" s="43">
        <f>IF($I7679=0,0,MIN(SUMIFS(SondBetrag,SondDarl,16,SondDatum,"&gt;="&amp;$E7679,SondDatum,"&lt;="&amp;EOMONTH($E7679,0)),$J7679-$M7679))</f>
      </c>
      <c r="O7679" s="43">
        <f>IF($I7679=0,0,INDEX(DarlErsatzRate,16))</f>
      </c>
      <c r="P7679" s="43">
        <f>IF($I7679=0,0,$Q7678*INDEX(DarlErsatzZins,16))</f>
      </c>
      <c r="Q7679" s="43">
        <f>IF($I7679=0,0,$Q7678+$P7679+$O7679)</f>
      </c>
      <c r="R7679" s="43">
        <f>IF($I7679=0,0,$J7679-$M7679-$N7679)</f>
      </c>
    </row>
    <row r="7680">
      <c r="A7680"/>
      <c r="B7680">
        <v>16</v>
      </c>
      <c r="C7680" s="43">
        <f>INDEX(DarlObj,16)</f>
      </c>
      <c r="D7680">
        <v>477</v>
      </c>
      <c r="E7680" s="51">
        <f>IF(INDEX(DarlBelegt,16)=0,0,EOMONTH(INDEX(DarlAuszahlung,16),476)+1)</f>
      </c>
      <c r="F7680" s="43">
        <f>IF($E7680=0,0,YEAR($E7680))</f>
      </c>
      <c r="G7680" s="43">
        <f>IF(INDEX(DarlBindung,16)="",1,IF($E7680&lt;=INDEX(DarlBindung,16),1,0))</f>
      </c>
      <c r="H7680" s="43">
        <f>IF($G7680=1,INDEX(DarlSollzins,16),INDEX(DarlAnschluss,16))</f>
      </c>
      <c r="I7680" s="43">
        <f>IF(INDEX(DarlBelegt,16)=0,0,IF(INDEX(DarlOhneTilgung,16)=1,IF(INDEX(DarlBindung,16)="",1,$G7680),IF($J7680&gt;0.005,1,0)))</f>
      </c>
      <c r="J7680" s="43">
        <f>IF($I7679=0,0,$R7679)</f>
      </c>
      <c r="K7680" s="43">
        <f>IF($I7680=0,0,IF(INDEX(DarlOhneTilgung,16)=1,0,IF(AND(INDEX(DarlTilgStart,16)&gt;0,$E7680=INDEX(DarlTilgStart,16)),$J7680*($H7680+INDEX(DarlTilgung,16))/100/12,IF(AND($G7680=0,$G7679=1),MAX($K7679,$J7680*($H7680+1)/100/12),$K7679))))</f>
      </c>
      <c r="L7680" s="43">
        <f>IF($I7680=0,0,$J7680*$H7680/100/12)</f>
      </c>
      <c r="M7680" s="43">
        <f>IF($I7680=0,0,IF(OR(INDEX(DarlOhneTilgung,16)=1,AND(INDEX(DarlTilgStart,16)&gt;0,$E7680&lt;INDEX(DarlTilgStart,16))),0,MIN(MAX(0,$K7680-$L7680),$J7680)))</f>
      </c>
      <c r="N7680" s="43">
        <f>IF($I7680=0,0,MIN(SUMIFS(SondBetrag,SondDarl,16,SondDatum,"&gt;="&amp;$E7680,SondDatum,"&lt;="&amp;EOMONTH($E7680,0)),$J7680-$M7680))</f>
      </c>
      <c r="O7680" s="43">
        <f>IF($I7680=0,0,INDEX(DarlErsatzRate,16))</f>
      </c>
      <c r="P7680" s="43">
        <f>IF($I7680=0,0,$Q7679*INDEX(DarlErsatzZins,16))</f>
      </c>
      <c r="Q7680" s="43">
        <f>IF($I7680=0,0,$Q7679+$P7680+$O7680)</f>
      </c>
      <c r="R7680" s="43">
        <f>IF($I7680=0,0,$J7680-$M7680-$N7680)</f>
      </c>
    </row>
    <row r="7681">
      <c r="A7681"/>
      <c r="B7681">
        <v>16</v>
      </c>
      <c r="C7681" s="43">
        <f>INDEX(DarlObj,16)</f>
      </c>
      <c r="D7681">
        <v>478</v>
      </c>
      <c r="E7681" s="51">
        <f>IF(INDEX(DarlBelegt,16)=0,0,EOMONTH(INDEX(DarlAuszahlung,16),477)+1)</f>
      </c>
      <c r="F7681" s="43">
        <f>IF($E7681=0,0,YEAR($E7681))</f>
      </c>
      <c r="G7681" s="43">
        <f>IF(INDEX(DarlBindung,16)="",1,IF($E7681&lt;=INDEX(DarlBindung,16),1,0))</f>
      </c>
      <c r="H7681" s="43">
        <f>IF($G7681=1,INDEX(DarlSollzins,16),INDEX(DarlAnschluss,16))</f>
      </c>
      <c r="I7681" s="43">
        <f>IF(INDEX(DarlBelegt,16)=0,0,IF(INDEX(DarlOhneTilgung,16)=1,IF(INDEX(DarlBindung,16)="",1,$G7681),IF($J7681&gt;0.005,1,0)))</f>
      </c>
      <c r="J7681" s="43">
        <f>IF($I7680=0,0,$R7680)</f>
      </c>
      <c r="K7681" s="43">
        <f>IF($I7681=0,0,IF(INDEX(DarlOhneTilgung,16)=1,0,IF(AND(INDEX(DarlTilgStart,16)&gt;0,$E7681=INDEX(DarlTilgStart,16)),$J7681*($H7681+INDEX(DarlTilgung,16))/100/12,IF(AND($G7681=0,$G7680=1),MAX($K7680,$J7681*($H7681+1)/100/12),$K7680))))</f>
      </c>
      <c r="L7681" s="43">
        <f>IF($I7681=0,0,$J7681*$H7681/100/12)</f>
      </c>
      <c r="M7681" s="43">
        <f>IF($I7681=0,0,IF(OR(INDEX(DarlOhneTilgung,16)=1,AND(INDEX(DarlTilgStart,16)&gt;0,$E7681&lt;INDEX(DarlTilgStart,16))),0,MIN(MAX(0,$K7681-$L7681),$J7681)))</f>
      </c>
      <c r="N7681" s="43">
        <f>IF($I7681=0,0,MIN(SUMIFS(SondBetrag,SondDarl,16,SondDatum,"&gt;="&amp;$E7681,SondDatum,"&lt;="&amp;EOMONTH($E7681,0)),$J7681-$M7681))</f>
      </c>
      <c r="O7681" s="43">
        <f>IF($I7681=0,0,INDEX(DarlErsatzRate,16))</f>
      </c>
      <c r="P7681" s="43">
        <f>IF($I7681=0,0,$Q7680*INDEX(DarlErsatzZins,16))</f>
      </c>
      <c r="Q7681" s="43">
        <f>IF($I7681=0,0,$Q7680+$P7681+$O7681)</f>
      </c>
      <c r="R7681" s="43">
        <f>IF($I7681=0,0,$J7681-$M7681-$N7681)</f>
      </c>
    </row>
    <row r="7682">
      <c r="A7682"/>
      <c r="B7682">
        <v>16</v>
      </c>
      <c r="C7682" s="43">
        <f>INDEX(DarlObj,16)</f>
      </c>
      <c r="D7682">
        <v>479</v>
      </c>
      <c r="E7682" s="51">
        <f>IF(INDEX(DarlBelegt,16)=0,0,EOMONTH(INDEX(DarlAuszahlung,16),478)+1)</f>
      </c>
      <c r="F7682" s="43">
        <f>IF($E7682=0,0,YEAR($E7682))</f>
      </c>
      <c r="G7682" s="43">
        <f>IF(INDEX(DarlBindung,16)="",1,IF($E7682&lt;=INDEX(DarlBindung,16),1,0))</f>
      </c>
      <c r="H7682" s="43">
        <f>IF($G7682=1,INDEX(DarlSollzins,16),INDEX(DarlAnschluss,16))</f>
      </c>
      <c r="I7682" s="43">
        <f>IF(INDEX(DarlBelegt,16)=0,0,IF(INDEX(DarlOhneTilgung,16)=1,IF(INDEX(DarlBindung,16)="",1,$G7682),IF($J7682&gt;0.005,1,0)))</f>
      </c>
      <c r="J7682" s="43">
        <f>IF($I7681=0,0,$R7681)</f>
      </c>
      <c r="K7682" s="43">
        <f>IF($I7682=0,0,IF(INDEX(DarlOhneTilgung,16)=1,0,IF(AND(INDEX(DarlTilgStart,16)&gt;0,$E7682=INDEX(DarlTilgStart,16)),$J7682*($H7682+INDEX(DarlTilgung,16))/100/12,IF(AND($G7682=0,$G7681=1),MAX($K7681,$J7682*($H7682+1)/100/12),$K7681))))</f>
      </c>
      <c r="L7682" s="43">
        <f>IF($I7682=0,0,$J7682*$H7682/100/12)</f>
      </c>
      <c r="M7682" s="43">
        <f>IF($I7682=0,0,IF(OR(INDEX(DarlOhneTilgung,16)=1,AND(INDEX(DarlTilgStart,16)&gt;0,$E7682&lt;INDEX(DarlTilgStart,16))),0,MIN(MAX(0,$K7682-$L7682),$J7682)))</f>
      </c>
      <c r="N7682" s="43">
        <f>IF($I7682=0,0,MIN(SUMIFS(SondBetrag,SondDarl,16,SondDatum,"&gt;="&amp;$E7682,SondDatum,"&lt;="&amp;EOMONTH($E7682,0)),$J7682-$M7682))</f>
      </c>
      <c r="O7682" s="43">
        <f>IF($I7682=0,0,INDEX(DarlErsatzRate,16))</f>
      </c>
      <c r="P7682" s="43">
        <f>IF($I7682=0,0,$Q7681*INDEX(DarlErsatzZins,16))</f>
      </c>
      <c r="Q7682" s="43">
        <f>IF($I7682=0,0,$Q7681+$P7682+$O7682)</f>
      </c>
      <c r="R7682" s="43">
        <f>IF($I7682=0,0,$J7682-$M7682-$N7682)</f>
      </c>
    </row>
    <row r="7683">
      <c r="A7683"/>
      <c r="B7683">
        <v>16</v>
      </c>
      <c r="C7683" s="43">
        <f>INDEX(DarlObj,16)</f>
      </c>
      <c r="D7683">
        <v>480</v>
      </c>
      <c r="E7683" s="51">
        <f>IF(INDEX(DarlBelegt,16)=0,0,EOMONTH(INDEX(DarlAuszahlung,16),479)+1)</f>
      </c>
      <c r="F7683" s="43">
        <f>IF($E7683=0,0,YEAR($E7683))</f>
      </c>
      <c r="G7683" s="43">
        <f>IF(INDEX(DarlBindung,16)="",1,IF($E7683&lt;=INDEX(DarlBindung,16),1,0))</f>
      </c>
      <c r="H7683" s="43">
        <f>IF($G7683=1,INDEX(DarlSollzins,16),INDEX(DarlAnschluss,16))</f>
      </c>
      <c r="I7683" s="43">
        <f>IF(INDEX(DarlBelegt,16)=0,0,IF(INDEX(DarlOhneTilgung,16)=1,IF(INDEX(DarlBindung,16)="",1,$G7683),IF($J7683&gt;0.005,1,0)))</f>
      </c>
      <c r="J7683" s="43">
        <f>IF($I7682=0,0,$R7682)</f>
      </c>
      <c r="K7683" s="43">
        <f>IF($I7683=0,0,IF(INDEX(DarlOhneTilgung,16)=1,0,IF(AND(INDEX(DarlTilgStart,16)&gt;0,$E7683=INDEX(DarlTilgStart,16)),$J7683*($H7683+INDEX(DarlTilgung,16))/100/12,IF(AND($G7683=0,$G7682=1),MAX($K7682,$J7683*($H7683+1)/100/12),$K7682))))</f>
      </c>
      <c r="L7683" s="43">
        <f>IF($I7683=0,0,$J7683*$H7683/100/12)</f>
      </c>
      <c r="M7683" s="43">
        <f>IF($I7683=0,0,IF(OR(INDEX(DarlOhneTilgung,16)=1,AND(INDEX(DarlTilgStart,16)&gt;0,$E7683&lt;INDEX(DarlTilgStart,16))),0,MIN(MAX(0,$K7683-$L7683),$J7683)))</f>
      </c>
      <c r="N7683" s="43">
        <f>IF($I7683=0,0,MIN(SUMIFS(SondBetrag,SondDarl,16,SondDatum,"&gt;="&amp;$E7683,SondDatum,"&lt;="&amp;EOMONTH($E7683,0)),$J7683-$M7683))</f>
      </c>
      <c r="O7683" s="43">
        <f>IF($I7683=0,0,INDEX(DarlErsatzRate,16))</f>
      </c>
      <c r="P7683" s="43">
        <f>IF($I7683=0,0,$Q7682*INDEX(DarlErsatzZins,16))</f>
      </c>
      <c r="Q7683" s="43">
        <f>IF($I7683=0,0,$Q7682+$P7683+$O7683)</f>
      </c>
      <c r="R7683" s="43">
        <f>IF($I7683=0,0,$J7683-$M7683-$N7683)</f>
      </c>
    </row>
    <row r="7684">
      <c r="A7684"/>
      <c r="B7684">
        <v>17</v>
      </c>
      <c r="C7684" s="43">
        <f>INDEX(DarlObj,17)</f>
      </c>
      <c r="D7684">
        <v>1</v>
      </c>
      <c r="E7684" s="51">
        <f>IF(INDEX(DarlBelegt,17)=0,0,EOMONTH(INDEX(DarlAuszahlung,17),0)+1)</f>
      </c>
      <c r="F7684" s="43">
        <f>IF($E7684=0,0,YEAR($E7684))</f>
      </c>
      <c r="G7684" s="43">
        <f>IF(INDEX(DarlBindung,17)="",1,IF($E7684&lt;=INDEX(DarlBindung,17),1,0))</f>
      </c>
      <c r="H7684" s="43">
        <f>IF($G7684=1,INDEX(DarlSollzins,17),INDEX(DarlAnschluss,17))</f>
      </c>
      <c r="I7684" s="43">
        <f>IF(INDEX(DarlBelegt,17)=0,0,IF(INDEX(DarlOhneTilgung,17)=1,IF(INDEX(DarlBindung,17)="",1,$G7684),IF($J7684&gt;0.005,1,0)))</f>
      </c>
      <c r="J7684" s="43">
        <f>IF(INDEX(DarlBelegt,17)=0,0,INDEX(DarlBetrag,17))</f>
      </c>
      <c r="K7684" s="43">
        <f>IF($I7684=0,0,IF(INDEX(DarlOhneTilgung,17)=1,0,INDEX(DarlRate1,17)))</f>
      </c>
      <c r="L7684" s="43">
        <f>IF($I7684=0,0,$J7684*$H7684/100/12)</f>
      </c>
      <c r="M7684" s="43">
        <f>IF($I7684=0,0,IF(OR(INDEX(DarlOhneTilgung,17)=1,AND(INDEX(DarlTilgStart,17)&gt;0,$E7684&lt;INDEX(DarlTilgStart,17))),0,MIN(MAX(0,$K7684-$L7684),$J7684)))</f>
      </c>
      <c r="N7684" s="43">
        <f>IF($I7684=0,0,MIN(SUMIFS(SondBetrag,SondDarl,17,SondDatum,"&gt;="&amp;$E7684,SondDatum,"&lt;="&amp;EOMONTH($E7684,0)),$J7684-$M7684))</f>
      </c>
      <c r="O7684" s="43">
        <f>IF($I7684=0,0,INDEX(DarlErsatzRate,17))</f>
      </c>
      <c r="P7684" s="43">
        <f>0</f>
      </c>
      <c r="Q7684" s="43">
        <f>IF($I7684=0,0,$P7684+$O7684)</f>
      </c>
      <c r="R7684" s="43">
        <f>IF($I7684=0,0,$J7684-$M7684-$N7684)</f>
      </c>
    </row>
    <row r="7685">
      <c r="A7685"/>
      <c r="B7685">
        <v>17</v>
      </c>
      <c r="C7685" s="43">
        <f>INDEX(DarlObj,17)</f>
      </c>
      <c r="D7685">
        <v>2</v>
      </c>
      <c r="E7685" s="51">
        <f>IF(INDEX(DarlBelegt,17)=0,0,EOMONTH(INDEX(DarlAuszahlung,17),1)+1)</f>
      </c>
      <c r="F7685" s="43">
        <f>IF($E7685=0,0,YEAR($E7685))</f>
      </c>
      <c r="G7685" s="43">
        <f>IF(INDEX(DarlBindung,17)="",1,IF($E7685&lt;=INDEX(DarlBindung,17),1,0))</f>
      </c>
      <c r="H7685" s="43">
        <f>IF($G7685=1,INDEX(DarlSollzins,17),INDEX(DarlAnschluss,17))</f>
      </c>
      <c r="I7685" s="43">
        <f>IF(INDEX(DarlBelegt,17)=0,0,IF(INDEX(DarlOhneTilgung,17)=1,IF(INDEX(DarlBindung,17)="",1,$G7685),IF($J7685&gt;0.005,1,0)))</f>
      </c>
      <c r="J7685" s="43">
        <f>IF($I7684=0,0,$R7684)</f>
      </c>
      <c r="K7685" s="43">
        <f>IF($I7685=0,0,IF(INDEX(DarlOhneTilgung,17)=1,0,IF(AND(INDEX(DarlTilgStart,17)&gt;0,$E7685=INDEX(DarlTilgStart,17)),$J7685*($H7685+INDEX(DarlTilgung,17))/100/12,IF(AND($G7685=0,$G7684=1),MAX($K7684,$J7685*($H7685+1)/100/12),$K7684))))</f>
      </c>
      <c r="L7685" s="43">
        <f>IF($I7685=0,0,$J7685*$H7685/100/12)</f>
      </c>
      <c r="M7685" s="43">
        <f>IF($I7685=0,0,IF(OR(INDEX(DarlOhneTilgung,17)=1,AND(INDEX(DarlTilgStart,17)&gt;0,$E7685&lt;INDEX(DarlTilgStart,17))),0,MIN(MAX(0,$K7685-$L7685),$J7685)))</f>
      </c>
      <c r="N7685" s="43">
        <f>IF($I7685=0,0,MIN(SUMIFS(SondBetrag,SondDarl,17,SondDatum,"&gt;="&amp;$E7685,SondDatum,"&lt;="&amp;EOMONTH($E7685,0)),$J7685-$M7685))</f>
      </c>
      <c r="O7685" s="43">
        <f>IF($I7685=0,0,INDEX(DarlErsatzRate,17))</f>
      </c>
      <c r="P7685" s="43">
        <f>IF($I7685=0,0,$Q7684*INDEX(DarlErsatzZins,17))</f>
      </c>
      <c r="Q7685" s="43">
        <f>IF($I7685=0,0,$Q7684+$P7685+$O7685)</f>
      </c>
      <c r="R7685" s="43">
        <f>IF($I7685=0,0,$J7685-$M7685-$N7685)</f>
      </c>
    </row>
    <row r="7686">
      <c r="A7686"/>
      <c r="B7686">
        <v>17</v>
      </c>
      <c r="C7686" s="43">
        <f>INDEX(DarlObj,17)</f>
      </c>
      <c r="D7686">
        <v>3</v>
      </c>
      <c r="E7686" s="51">
        <f>IF(INDEX(DarlBelegt,17)=0,0,EOMONTH(INDEX(DarlAuszahlung,17),2)+1)</f>
      </c>
      <c r="F7686" s="43">
        <f>IF($E7686=0,0,YEAR($E7686))</f>
      </c>
      <c r="G7686" s="43">
        <f>IF(INDEX(DarlBindung,17)="",1,IF($E7686&lt;=INDEX(DarlBindung,17),1,0))</f>
      </c>
      <c r="H7686" s="43">
        <f>IF($G7686=1,INDEX(DarlSollzins,17),INDEX(DarlAnschluss,17))</f>
      </c>
      <c r="I7686" s="43">
        <f>IF(INDEX(DarlBelegt,17)=0,0,IF(INDEX(DarlOhneTilgung,17)=1,IF(INDEX(DarlBindung,17)="",1,$G7686),IF($J7686&gt;0.005,1,0)))</f>
      </c>
      <c r="J7686" s="43">
        <f>IF($I7685=0,0,$R7685)</f>
      </c>
      <c r="K7686" s="43">
        <f>IF($I7686=0,0,IF(INDEX(DarlOhneTilgung,17)=1,0,IF(AND(INDEX(DarlTilgStart,17)&gt;0,$E7686=INDEX(DarlTilgStart,17)),$J7686*($H7686+INDEX(DarlTilgung,17))/100/12,IF(AND($G7686=0,$G7685=1),MAX($K7685,$J7686*($H7686+1)/100/12),$K7685))))</f>
      </c>
      <c r="L7686" s="43">
        <f>IF($I7686=0,0,$J7686*$H7686/100/12)</f>
      </c>
      <c r="M7686" s="43">
        <f>IF($I7686=0,0,IF(OR(INDEX(DarlOhneTilgung,17)=1,AND(INDEX(DarlTilgStart,17)&gt;0,$E7686&lt;INDEX(DarlTilgStart,17))),0,MIN(MAX(0,$K7686-$L7686),$J7686)))</f>
      </c>
      <c r="N7686" s="43">
        <f>IF($I7686=0,0,MIN(SUMIFS(SondBetrag,SondDarl,17,SondDatum,"&gt;="&amp;$E7686,SondDatum,"&lt;="&amp;EOMONTH($E7686,0)),$J7686-$M7686))</f>
      </c>
      <c r="O7686" s="43">
        <f>IF($I7686=0,0,INDEX(DarlErsatzRate,17))</f>
      </c>
      <c r="P7686" s="43">
        <f>IF($I7686=0,0,$Q7685*INDEX(DarlErsatzZins,17))</f>
      </c>
      <c r="Q7686" s="43">
        <f>IF($I7686=0,0,$Q7685+$P7686+$O7686)</f>
      </c>
      <c r="R7686" s="43">
        <f>IF($I7686=0,0,$J7686-$M7686-$N7686)</f>
      </c>
    </row>
    <row r="7687">
      <c r="A7687"/>
      <c r="B7687">
        <v>17</v>
      </c>
      <c r="C7687" s="43">
        <f>INDEX(DarlObj,17)</f>
      </c>
      <c r="D7687">
        <v>4</v>
      </c>
      <c r="E7687" s="51">
        <f>IF(INDEX(DarlBelegt,17)=0,0,EOMONTH(INDEX(DarlAuszahlung,17),3)+1)</f>
      </c>
      <c r="F7687" s="43">
        <f>IF($E7687=0,0,YEAR($E7687))</f>
      </c>
      <c r="G7687" s="43">
        <f>IF(INDEX(DarlBindung,17)="",1,IF($E7687&lt;=INDEX(DarlBindung,17),1,0))</f>
      </c>
      <c r="H7687" s="43">
        <f>IF($G7687=1,INDEX(DarlSollzins,17),INDEX(DarlAnschluss,17))</f>
      </c>
      <c r="I7687" s="43">
        <f>IF(INDEX(DarlBelegt,17)=0,0,IF(INDEX(DarlOhneTilgung,17)=1,IF(INDEX(DarlBindung,17)="",1,$G7687),IF($J7687&gt;0.005,1,0)))</f>
      </c>
      <c r="J7687" s="43">
        <f>IF($I7686=0,0,$R7686)</f>
      </c>
      <c r="K7687" s="43">
        <f>IF($I7687=0,0,IF(INDEX(DarlOhneTilgung,17)=1,0,IF(AND(INDEX(DarlTilgStart,17)&gt;0,$E7687=INDEX(DarlTilgStart,17)),$J7687*($H7687+INDEX(DarlTilgung,17))/100/12,IF(AND($G7687=0,$G7686=1),MAX($K7686,$J7687*($H7687+1)/100/12),$K7686))))</f>
      </c>
      <c r="L7687" s="43">
        <f>IF($I7687=0,0,$J7687*$H7687/100/12)</f>
      </c>
      <c r="M7687" s="43">
        <f>IF($I7687=0,0,IF(OR(INDEX(DarlOhneTilgung,17)=1,AND(INDEX(DarlTilgStart,17)&gt;0,$E7687&lt;INDEX(DarlTilgStart,17))),0,MIN(MAX(0,$K7687-$L7687),$J7687)))</f>
      </c>
      <c r="N7687" s="43">
        <f>IF($I7687=0,0,MIN(SUMIFS(SondBetrag,SondDarl,17,SondDatum,"&gt;="&amp;$E7687,SondDatum,"&lt;="&amp;EOMONTH($E7687,0)),$J7687-$M7687))</f>
      </c>
      <c r="O7687" s="43">
        <f>IF($I7687=0,0,INDEX(DarlErsatzRate,17))</f>
      </c>
      <c r="P7687" s="43">
        <f>IF($I7687=0,0,$Q7686*INDEX(DarlErsatzZins,17))</f>
      </c>
      <c r="Q7687" s="43">
        <f>IF($I7687=0,0,$Q7686+$P7687+$O7687)</f>
      </c>
      <c r="R7687" s="43">
        <f>IF($I7687=0,0,$J7687-$M7687-$N7687)</f>
      </c>
    </row>
    <row r="7688">
      <c r="A7688"/>
      <c r="B7688">
        <v>17</v>
      </c>
      <c r="C7688" s="43">
        <f>INDEX(DarlObj,17)</f>
      </c>
      <c r="D7688">
        <v>5</v>
      </c>
      <c r="E7688" s="51">
        <f>IF(INDEX(DarlBelegt,17)=0,0,EOMONTH(INDEX(DarlAuszahlung,17),4)+1)</f>
      </c>
      <c r="F7688" s="43">
        <f>IF($E7688=0,0,YEAR($E7688))</f>
      </c>
      <c r="G7688" s="43">
        <f>IF(INDEX(DarlBindung,17)="",1,IF($E7688&lt;=INDEX(DarlBindung,17),1,0))</f>
      </c>
      <c r="H7688" s="43">
        <f>IF($G7688=1,INDEX(DarlSollzins,17),INDEX(DarlAnschluss,17))</f>
      </c>
      <c r="I7688" s="43">
        <f>IF(INDEX(DarlBelegt,17)=0,0,IF(INDEX(DarlOhneTilgung,17)=1,IF(INDEX(DarlBindung,17)="",1,$G7688),IF($J7688&gt;0.005,1,0)))</f>
      </c>
      <c r="J7688" s="43">
        <f>IF($I7687=0,0,$R7687)</f>
      </c>
      <c r="K7688" s="43">
        <f>IF($I7688=0,0,IF(INDEX(DarlOhneTilgung,17)=1,0,IF(AND(INDEX(DarlTilgStart,17)&gt;0,$E7688=INDEX(DarlTilgStart,17)),$J7688*($H7688+INDEX(DarlTilgung,17))/100/12,IF(AND($G7688=0,$G7687=1),MAX($K7687,$J7688*($H7688+1)/100/12),$K7687))))</f>
      </c>
      <c r="L7688" s="43">
        <f>IF($I7688=0,0,$J7688*$H7688/100/12)</f>
      </c>
      <c r="M7688" s="43">
        <f>IF($I7688=0,0,IF(OR(INDEX(DarlOhneTilgung,17)=1,AND(INDEX(DarlTilgStart,17)&gt;0,$E7688&lt;INDEX(DarlTilgStart,17))),0,MIN(MAX(0,$K7688-$L7688),$J7688)))</f>
      </c>
      <c r="N7688" s="43">
        <f>IF($I7688=0,0,MIN(SUMIFS(SondBetrag,SondDarl,17,SondDatum,"&gt;="&amp;$E7688,SondDatum,"&lt;="&amp;EOMONTH($E7688,0)),$J7688-$M7688))</f>
      </c>
      <c r="O7688" s="43">
        <f>IF($I7688=0,0,INDEX(DarlErsatzRate,17))</f>
      </c>
      <c r="P7688" s="43">
        <f>IF($I7688=0,0,$Q7687*INDEX(DarlErsatzZins,17))</f>
      </c>
      <c r="Q7688" s="43">
        <f>IF($I7688=0,0,$Q7687+$P7688+$O7688)</f>
      </c>
      <c r="R7688" s="43">
        <f>IF($I7688=0,0,$J7688-$M7688-$N7688)</f>
      </c>
    </row>
    <row r="7689">
      <c r="A7689"/>
      <c r="B7689">
        <v>17</v>
      </c>
      <c r="C7689" s="43">
        <f>INDEX(DarlObj,17)</f>
      </c>
      <c r="D7689">
        <v>6</v>
      </c>
      <c r="E7689" s="51">
        <f>IF(INDEX(DarlBelegt,17)=0,0,EOMONTH(INDEX(DarlAuszahlung,17),5)+1)</f>
      </c>
      <c r="F7689" s="43">
        <f>IF($E7689=0,0,YEAR($E7689))</f>
      </c>
      <c r="G7689" s="43">
        <f>IF(INDEX(DarlBindung,17)="",1,IF($E7689&lt;=INDEX(DarlBindung,17),1,0))</f>
      </c>
      <c r="H7689" s="43">
        <f>IF($G7689=1,INDEX(DarlSollzins,17),INDEX(DarlAnschluss,17))</f>
      </c>
      <c r="I7689" s="43">
        <f>IF(INDEX(DarlBelegt,17)=0,0,IF(INDEX(DarlOhneTilgung,17)=1,IF(INDEX(DarlBindung,17)="",1,$G7689),IF($J7689&gt;0.005,1,0)))</f>
      </c>
      <c r="J7689" s="43">
        <f>IF($I7688=0,0,$R7688)</f>
      </c>
      <c r="K7689" s="43">
        <f>IF($I7689=0,0,IF(INDEX(DarlOhneTilgung,17)=1,0,IF(AND(INDEX(DarlTilgStart,17)&gt;0,$E7689=INDEX(DarlTilgStart,17)),$J7689*($H7689+INDEX(DarlTilgung,17))/100/12,IF(AND($G7689=0,$G7688=1),MAX($K7688,$J7689*($H7689+1)/100/12),$K7688))))</f>
      </c>
      <c r="L7689" s="43">
        <f>IF($I7689=0,0,$J7689*$H7689/100/12)</f>
      </c>
      <c r="M7689" s="43">
        <f>IF($I7689=0,0,IF(OR(INDEX(DarlOhneTilgung,17)=1,AND(INDEX(DarlTilgStart,17)&gt;0,$E7689&lt;INDEX(DarlTilgStart,17))),0,MIN(MAX(0,$K7689-$L7689),$J7689)))</f>
      </c>
      <c r="N7689" s="43">
        <f>IF($I7689=0,0,MIN(SUMIFS(SondBetrag,SondDarl,17,SondDatum,"&gt;="&amp;$E7689,SondDatum,"&lt;="&amp;EOMONTH($E7689,0)),$J7689-$M7689))</f>
      </c>
      <c r="O7689" s="43">
        <f>IF($I7689=0,0,INDEX(DarlErsatzRate,17))</f>
      </c>
      <c r="P7689" s="43">
        <f>IF($I7689=0,0,$Q7688*INDEX(DarlErsatzZins,17))</f>
      </c>
      <c r="Q7689" s="43">
        <f>IF($I7689=0,0,$Q7688+$P7689+$O7689)</f>
      </c>
      <c r="R7689" s="43">
        <f>IF($I7689=0,0,$J7689-$M7689-$N7689)</f>
      </c>
    </row>
    <row r="7690">
      <c r="A7690"/>
      <c r="B7690">
        <v>17</v>
      </c>
      <c r="C7690" s="43">
        <f>INDEX(DarlObj,17)</f>
      </c>
      <c r="D7690">
        <v>7</v>
      </c>
      <c r="E7690" s="51">
        <f>IF(INDEX(DarlBelegt,17)=0,0,EOMONTH(INDEX(DarlAuszahlung,17),6)+1)</f>
      </c>
      <c r="F7690" s="43">
        <f>IF($E7690=0,0,YEAR($E7690))</f>
      </c>
      <c r="G7690" s="43">
        <f>IF(INDEX(DarlBindung,17)="",1,IF($E7690&lt;=INDEX(DarlBindung,17),1,0))</f>
      </c>
      <c r="H7690" s="43">
        <f>IF($G7690=1,INDEX(DarlSollzins,17),INDEX(DarlAnschluss,17))</f>
      </c>
      <c r="I7690" s="43">
        <f>IF(INDEX(DarlBelegt,17)=0,0,IF(INDEX(DarlOhneTilgung,17)=1,IF(INDEX(DarlBindung,17)="",1,$G7690),IF($J7690&gt;0.005,1,0)))</f>
      </c>
      <c r="J7690" s="43">
        <f>IF($I7689=0,0,$R7689)</f>
      </c>
      <c r="K7690" s="43">
        <f>IF($I7690=0,0,IF(INDEX(DarlOhneTilgung,17)=1,0,IF(AND(INDEX(DarlTilgStart,17)&gt;0,$E7690=INDEX(DarlTilgStart,17)),$J7690*($H7690+INDEX(DarlTilgung,17))/100/12,IF(AND($G7690=0,$G7689=1),MAX($K7689,$J7690*($H7690+1)/100/12),$K7689))))</f>
      </c>
      <c r="L7690" s="43">
        <f>IF($I7690=0,0,$J7690*$H7690/100/12)</f>
      </c>
      <c r="M7690" s="43">
        <f>IF($I7690=0,0,IF(OR(INDEX(DarlOhneTilgung,17)=1,AND(INDEX(DarlTilgStart,17)&gt;0,$E7690&lt;INDEX(DarlTilgStart,17))),0,MIN(MAX(0,$K7690-$L7690),$J7690)))</f>
      </c>
      <c r="N7690" s="43">
        <f>IF($I7690=0,0,MIN(SUMIFS(SondBetrag,SondDarl,17,SondDatum,"&gt;="&amp;$E7690,SondDatum,"&lt;="&amp;EOMONTH($E7690,0)),$J7690-$M7690))</f>
      </c>
      <c r="O7690" s="43">
        <f>IF($I7690=0,0,INDEX(DarlErsatzRate,17))</f>
      </c>
      <c r="P7690" s="43">
        <f>IF($I7690=0,0,$Q7689*INDEX(DarlErsatzZins,17))</f>
      </c>
      <c r="Q7690" s="43">
        <f>IF($I7690=0,0,$Q7689+$P7690+$O7690)</f>
      </c>
      <c r="R7690" s="43">
        <f>IF($I7690=0,0,$J7690-$M7690-$N7690)</f>
      </c>
    </row>
    <row r="7691">
      <c r="A7691"/>
      <c r="B7691">
        <v>17</v>
      </c>
      <c r="C7691" s="43">
        <f>INDEX(DarlObj,17)</f>
      </c>
      <c r="D7691">
        <v>8</v>
      </c>
      <c r="E7691" s="51">
        <f>IF(INDEX(DarlBelegt,17)=0,0,EOMONTH(INDEX(DarlAuszahlung,17),7)+1)</f>
      </c>
      <c r="F7691" s="43">
        <f>IF($E7691=0,0,YEAR($E7691))</f>
      </c>
      <c r="G7691" s="43">
        <f>IF(INDEX(DarlBindung,17)="",1,IF($E7691&lt;=INDEX(DarlBindung,17),1,0))</f>
      </c>
      <c r="H7691" s="43">
        <f>IF($G7691=1,INDEX(DarlSollzins,17),INDEX(DarlAnschluss,17))</f>
      </c>
      <c r="I7691" s="43">
        <f>IF(INDEX(DarlBelegt,17)=0,0,IF(INDEX(DarlOhneTilgung,17)=1,IF(INDEX(DarlBindung,17)="",1,$G7691),IF($J7691&gt;0.005,1,0)))</f>
      </c>
      <c r="J7691" s="43">
        <f>IF($I7690=0,0,$R7690)</f>
      </c>
      <c r="K7691" s="43">
        <f>IF($I7691=0,0,IF(INDEX(DarlOhneTilgung,17)=1,0,IF(AND(INDEX(DarlTilgStart,17)&gt;0,$E7691=INDEX(DarlTilgStart,17)),$J7691*($H7691+INDEX(DarlTilgung,17))/100/12,IF(AND($G7691=0,$G7690=1),MAX($K7690,$J7691*($H7691+1)/100/12),$K7690))))</f>
      </c>
      <c r="L7691" s="43">
        <f>IF($I7691=0,0,$J7691*$H7691/100/12)</f>
      </c>
      <c r="M7691" s="43">
        <f>IF($I7691=0,0,IF(OR(INDEX(DarlOhneTilgung,17)=1,AND(INDEX(DarlTilgStart,17)&gt;0,$E7691&lt;INDEX(DarlTilgStart,17))),0,MIN(MAX(0,$K7691-$L7691),$J7691)))</f>
      </c>
      <c r="N7691" s="43">
        <f>IF($I7691=0,0,MIN(SUMIFS(SondBetrag,SondDarl,17,SondDatum,"&gt;="&amp;$E7691,SondDatum,"&lt;="&amp;EOMONTH($E7691,0)),$J7691-$M7691))</f>
      </c>
      <c r="O7691" s="43">
        <f>IF($I7691=0,0,INDEX(DarlErsatzRate,17))</f>
      </c>
      <c r="P7691" s="43">
        <f>IF($I7691=0,0,$Q7690*INDEX(DarlErsatzZins,17))</f>
      </c>
      <c r="Q7691" s="43">
        <f>IF($I7691=0,0,$Q7690+$P7691+$O7691)</f>
      </c>
      <c r="R7691" s="43">
        <f>IF($I7691=0,0,$J7691-$M7691-$N7691)</f>
      </c>
    </row>
    <row r="7692">
      <c r="A7692"/>
      <c r="B7692">
        <v>17</v>
      </c>
      <c r="C7692" s="43">
        <f>INDEX(DarlObj,17)</f>
      </c>
      <c r="D7692">
        <v>9</v>
      </c>
      <c r="E7692" s="51">
        <f>IF(INDEX(DarlBelegt,17)=0,0,EOMONTH(INDEX(DarlAuszahlung,17),8)+1)</f>
      </c>
      <c r="F7692" s="43">
        <f>IF($E7692=0,0,YEAR($E7692))</f>
      </c>
      <c r="G7692" s="43">
        <f>IF(INDEX(DarlBindung,17)="",1,IF($E7692&lt;=INDEX(DarlBindung,17),1,0))</f>
      </c>
      <c r="H7692" s="43">
        <f>IF($G7692=1,INDEX(DarlSollzins,17),INDEX(DarlAnschluss,17))</f>
      </c>
      <c r="I7692" s="43">
        <f>IF(INDEX(DarlBelegt,17)=0,0,IF(INDEX(DarlOhneTilgung,17)=1,IF(INDEX(DarlBindung,17)="",1,$G7692),IF($J7692&gt;0.005,1,0)))</f>
      </c>
      <c r="J7692" s="43">
        <f>IF($I7691=0,0,$R7691)</f>
      </c>
      <c r="K7692" s="43">
        <f>IF($I7692=0,0,IF(INDEX(DarlOhneTilgung,17)=1,0,IF(AND(INDEX(DarlTilgStart,17)&gt;0,$E7692=INDEX(DarlTilgStart,17)),$J7692*($H7692+INDEX(DarlTilgung,17))/100/12,IF(AND($G7692=0,$G7691=1),MAX($K7691,$J7692*($H7692+1)/100/12),$K7691))))</f>
      </c>
      <c r="L7692" s="43">
        <f>IF($I7692=0,0,$J7692*$H7692/100/12)</f>
      </c>
      <c r="M7692" s="43">
        <f>IF($I7692=0,0,IF(OR(INDEX(DarlOhneTilgung,17)=1,AND(INDEX(DarlTilgStart,17)&gt;0,$E7692&lt;INDEX(DarlTilgStart,17))),0,MIN(MAX(0,$K7692-$L7692),$J7692)))</f>
      </c>
      <c r="N7692" s="43">
        <f>IF($I7692=0,0,MIN(SUMIFS(SondBetrag,SondDarl,17,SondDatum,"&gt;="&amp;$E7692,SondDatum,"&lt;="&amp;EOMONTH($E7692,0)),$J7692-$M7692))</f>
      </c>
      <c r="O7692" s="43">
        <f>IF($I7692=0,0,INDEX(DarlErsatzRate,17))</f>
      </c>
      <c r="P7692" s="43">
        <f>IF($I7692=0,0,$Q7691*INDEX(DarlErsatzZins,17))</f>
      </c>
      <c r="Q7692" s="43">
        <f>IF($I7692=0,0,$Q7691+$P7692+$O7692)</f>
      </c>
      <c r="R7692" s="43">
        <f>IF($I7692=0,0,$J7692-$M7692-$N7692)</f>
      </c>
    </row>
    <row r="7693">
      <c r="A7693"/>
      <c r="B7693">
        <v>17</v>
      </c>
      <c r="C7693" s="43">
        <f>INDEX(DarlObj,17)</f>
      </c>
      <c r="D7693">
        <v>10</v>
      </c>
      <c r="E7693" s="51">
        <f>IF(INDEX(DarlBelegt,17)=0,0,EOMONTH(INDEX(DarlAuszahlung,17),9)+1)</f>
      </c>
      <c r="F7693" s="43">
        <f>IF($E7693=0,0,YEAR($E7693))</f>
      </c>
      <c r="G7693" s="43">
        <f>IF(INDEX(DarlBindung,17)="",1,IF($E7693&lt;=INDEX(DarlBindung,17),1,0))</f>
      </c>
      <c r="H7693" s="43">
        <f>IF($G7693=1,INDEX(DarlSollzins,17),INDEX(DarlAnschluss,17))</f>
      </c>
      <c r="I7693" s="43">
        <f>IF(INDEX(DarlBelegt,17)=0,0,IF(INDEX(DarlOhneTilgung,17)=1,IF(INDEX(DarlBindung,17)="",1,$G7693),IF($J7693&gt;0.005,1,0)))</f>
      </c>
      <c r="J7693" s="43">
        <f>IF($I7692=0,0,$R7692)</f>
      </c>
      <c r="K7693" s="43">
        <f>IF($I7693=0,0,IF(INDEX(DarlOhneTilgung,17)=1,0,IF(AND(INDEX(DarlTilgStart,17)&gt;0,$E7693=INDEX(DarlTilgStart,17)),$J7693*($H7693+INDEX(DarlTilgung,17))/100/12,IF(AND($G7693=0,$G7692=1),MAX($K7692,$J7693*($H7693+1)/100/12),$K7692))))</f>
      </c>
      <c r="L7693" s="43">
        <f>IF($I7693=0,0,$J7693*$H7693/100/12)</f>
      </c>
      <c r="M7693" s="43">
        <f>IF($I7693=0,0,IF(OR(INDEX(DarlOhneTilgung,17)=1,AND(INDEX(DarlTilgStart,17)&gt;0,$E7693&lt;INDEX(DarlTilgStart,17))),0,MIN(MAX(0,$K7693-$L7693),$J7693)))</f>
      </c>
      <c r="N7693" s="43">
        <f>IF($I7693=0,0,MIN(SUMIFS(SondBetrag,SondDarl,17,SondDatum,"&gt;="&amp;$E7693,SondDatum,"&lt;="&amp;EOMONTH($E7693,0)),$J7693-$M7693))</f>
      </c>
      <c r="O7693" s="43">
        <f>IF($I7693=0,0,INDEX(DarlErsatzRate,17))</f>
      </c>
      <c r="P7693" s="43">
        <f>IF($I7693=0,0,$Q7692*INDEX(DarlErsatzZins,17))</f>
      </c>
      <c r="Q7693" s="43">
        <f>IF($I7693=0,0,$Q7692+$P7693+$O7693)</f>
      </c>
      <c r="R7693" s="43">
        <f>IF($I7693=0,0,$J7693-$M7693-$N7693)</f>
      </c>
    </row>
    <row r="7694">
      <c r="A7694"/>
      <c r="B7694">
        <v>17</v>
      </c>
      <c r="C7694" s="43">
        <f>INDEX(DarlObj,17)</f>
      </c>
      <c r="D7694">
        <v>11</v>
      </c>
      <c r="E7694" s="51">
        <f>IF(INDEX(DarlBelegt,17)=0,0,EOMONTH(INDEX(DarlAuszahlung,17),10)+1)</f>
      </c>
      <c r="F7694" s="43">
        <f>IF($E7694=0,0,YEAR($E7694))</f>
      </c>
      <c r="G7694" s="43">
        <f>IF(INDEX(DarlBindung,17)="",1,IF($E7694&lt;=INDEX(DarlBindung,17),1,0))</f>
      </c>
      <c r="H7694" s="43">
        <f>IF($G7694=1,INDEX(DarlSollzins,17),INDEX(DarlAnschluss,17))</f>
      </c>
      <c r="I7694" s="43">
        <f>IF(INDEX(DarlBelegt,17)=0,0,IF(INDEX(DarlOhneTilgung,17)=1,IF(INDEX(DarlBindung,17)="",1,$G7694),IF($J7694&gt;0.005,1,0)))</f>
      </c>
      <c r="J7694" s="43">
        <f>IF($I7693=0,0,$R7693)</f>
      </c>
      <c r="K7694" s="43">
        <f>IF($I7694=0,0,IF(INDEX(DarlOhneTilgung,17)=1,0,IF(AND(INDEX(DarlTilgStart,17)&gt;0,$E7694=INDEX(DarlTilgStart,17)),$J7694*($H7694+INDEX(DarlTilgung,17))/100/12,IF(AND($G7694=0,$G7693=1),MAX($K7693,$J7694*($H7694+1)/100/12),$K7693))))</f>
      </c>
      <c r="L7694" s="43">
        <f>IF($I7694=0,0,$J7694*$H7694/100/12)</f>
      </c>
      <c r="M7694" s="43">
        <f>IF($I7694=0,0,IF(OR(INDEX(DarlOhneTilgung,17)=1,AND(INDEX(DarlTilgStart,17)&gt;0,$E7694&lt;INDEX(DarlTilgStart,17))),0,MIN(MAX(0,$K7694-$L7694),$J7694)))</f>
      </c>
      <c r="N7694" s="43">
        <f>IF($I7694=0,0,MIN(SUMIFS(SondBetrag,SondDarl,17,SondDatum,"&gt;="&amp;$E7694,SondDatum,"&lt;="&amp;EOMONTH($E7694,0)),$J7694-$M7694))</f>
      </c>
      <c r="O7694" s="43">
        <f>IF($I7694=0,0,INDEX(DarlErsatzRate,17))</f>
      </c>
      <c r="P7694" s="43">
        <f>IF($I7694=0,0,$Q7693*INDEX(DarlErsatzZins,17))</f>
      </c>
      <c r="Q7694" s="43">
        <f>IF($I7694=0,0,$Q7693+$P7694+$O7694)</f>
      </c>
      <c r="R7694" s="43">
        <f>IF($I7694=0,0,$J7694-$M7694-$N7694)</f>
      </c>
    </row>
    <row r="7695">
      <c r="A7695"/>
      <c r="B7695">
        <v>17</v>
      </c>
      <c r="C7695" s="43">
        <f>INDEX(DarlObj,17)</f>
      </c>
      <c r="D7695">
        <v>12</v>
      </c>
      <c r="E7695" s="51">
        <f>IF(INDEX(DarlBelegt,17)=0,0,EOMONTH(INDEX(DarlAuszahlung,17),11)+1)</f>
      </c>
      <c r="F7695" s="43">
        <f>IF($E7695=0,0,YEAR($E7695))</f>
      </c>
      <c r="G7695" s="43">
        <f>IF(INDEX(DarlBindung,17)="",1,IF($E7695&lt;=INDEX(DarlBindung,17),1,0))</f>
      </c>
      <c r="H7695" s="43">
        <f>IF($G7695=1,INDEX(DarlSollzins,17),INDEX(DarlAnschluss,17))</f>
      </c>
      <c r="I7695" s="43">
        <f>IF(INDEX(DarlBelegt,17)=0,0,IF(INDEX(DarlOhneTilgung,17)=1,IF(INDEX(DarlBindung,17)="",1,$G7695),IF($J7695&gt;0.005,1,0)))</f>
      </c>
      <c r="J7695" s="43">
        <f>IF($I7694=0,0,$R7694)</f>
      </c>
      <c r="K7695" s="43">
        <f>IF($I7695=0,0,IF(INDEX(DarlOhneTilgung,17)=1,0,IF(AND(INDEX(DarlTilgStart,17)&gt;0,$E7695=INDEX(DarlTilgStart,17)),$J7695*($H7695+INDEX(DarlTilgung,17))/100/12,IF(AND($G7695=0,$G7694=1),MAX($K7694,$J7695*($H7695+1)/100/12),$K7694))))</f>
      </c>
      <c r="L7695" s="43">
        <f>IF($I7695=0,0,$J7695*$H7695/100/12)</f>
      </c>
      <c r="M7695" s="43">
        <f>IF($I7695=0,0,IF(OR(INDEX(DarlOhneTilgung,17)=1,AND(INDEX(DarlTilgStart,17)&gt;0,$E7695&lt;INDEX(DarlTilgStart,17))),0,MIN(MAX(0,$K7695-$L7695),$J7695)))</f>
      </c>
      <c r="N7695" s="43">
        <f>IF($I7695=0,0,MIN(SUMIFS(SondBetrag,SondDarl,17,SondDatum,"&gt;="&amp;$E7695,SondDatum,"&lt;="&amp;EOMONTH($E7695,0)),$J7695-$M7695))</f>
      </c>
      <c r="O7695" s="43">
        <f>IF($I7695=0,0,INDEX(DarlErsatzRate,17))</f>
      </c>
      <c r="P7695" s="43">
        <f>IF($I7695=0,0,$Q7694*INDEX(DarlErsatzZins,17))</f>
      </c>
      <c r="Q7695" s="43">
        <f>IF($I7695=0,0,$Q7694+$P7695+$O7695)</f>
      </c>
      <c r="R7695" s="43">
        <f>IF($I7695=0,0,$J7695-$M7695-$N7695)</f>
      </c>
    </row>
    <row r="7696">
      <c r="A7696"/>
      <c r="B7696">
        <v>17</v>
      </c>
      <c r="C7696" s="43">
        <f>INDEX(DarlObj,17)</f>
      </c>
      <c r="D7696">
        <v>13</v>
      </c>
      <c r="E7696" s="51">
        <f>IF(INDEX(DarlBelegt,17)=0,0,EOMONTH(INDEX(DarlAuszahlung,17),12)+1)</f>
      </c>
      <c r="F7696" s="43">
        <f>IF($E7696=0,0,YEAR($E7696))</f>
      </c>
      <c r="G7696" s="43">
        <f>IF(INDEX(DarlBindung,17)="",1,IF($E7696&lt;=INDEX(DarlBindung,17),1,0))</f>
      </c>
      <c r="H7696" s="43">
        <f>IF($G7696=1,INDEX(DarlSollzins,17),INDEX(DarlAnschluss,17))</f>
      </c>
      <c r="I7696" s="43">
        <f>IF(INDEX(DarlBelegt,17)=0,0,IF(INDEX(DarlOhneTilgung,17)=1,IF(INDEX(DarlBindung,17)="",1,$G7696),IF($J7696&gt;0.005,1,0)))</f>
      </c>
      <c r="J7696" s="43">
        <f>IF($I7695=0,0,$R7695)</f>
      </c>
      <c r="K7696" s="43">
        <f>IF($I7696=0,0,IF(INDEX(DarlOhneTilgung,17)=1,0,IF(AND(INDEX(DarlTilgStart,17)&gt;0,$E7696=INDEX(DarlTilgStart,17)),$J7696*($H7696+INDEX(DarlTilgung,17))/100/12,IF(AND($G7696=0,$G7695=1),MAX($K7695,$J7696*($H7696+1)/100/12),$K7695))))</f>
      </c>
      <c r="L7696" s="43">
        <f>IF($I7696=0,0,$J7696*$H7696/100/12)</f>
      </c>
      <c r="M7696" s="43">
        <f>IF($I7696=0,0,IF(OR(INDEX(DarlOhneTilgung,17)=1,AND(INDEX(DarlTilgStart,17)&gt;0,$E7696&lt;INDEX(DarlTilgStart,17))),0,MIN(MAX(0,$K7696-$L7696),$J7696)))</f>
      </c>
      <c r="N7696" s="43">
        <f>IF($I7696=0,0,MIN(SUMIFS(SondBetrag,SondDarl,17,SondDatum,"&gt;="&amp;$E7696,SondDatum,"&lt;="&amp;EOMONTH($E7696,0)),$J7696-$M7696))</f>
      </c>
      <c r="O7696" s="43">
        <f>IF($I7696=0,0,INDEX(DarlErsatzRate,17))</f>
      </c>
      <c r="P7696" s="43">
        <f>IF($I7696=0,0,$Q7695*INDEX(DarlErsatzZins,17))</f>
      </c>
      <c r="Q7696" s="43">
        <f>IF($I7696=0,0,$Q7695+$P7696+$O7696)</f>
      </c>
      <c r="R7696" s="43">
        <f>IF($I7696=0,0,$J7696-$M7696-$N7696)</f>
      </c>
    </row>
    <row r="7697">
      <c r="A7697"/>
      <c r="B7697">
        <v>17</v>
      </c>
      <c r="C7697" s="43">
        <f>INDEX(DarlObj,17)</f>
      </c>
      <c r="D7697">
        <v>14</v>
      </c>
      <c r="E7697" s="51">
        <f>IF(INDEX(DarlBelegt,17)=0,0,EOMONTH(INDEX(DarlAuszahlung,17),13)+1)</f>
      </c>
      <c r="F7697" s="43">
        <f>IF($E7697=0,0,YEAR($E7697))</f>
      </c>
      <c r="G7697" s="43">
        <f>IF(INDEX(DarlBindung,17)="",1,IF($E7697&lt;=INDEX(DarlBindung,17),1,0))</f>
      </c>
      <c r="H7697" s="43">
        <f>IF($G7697=1,INDEX(DarlSollzins,17),INDEX(DarlAnschluss,17))</f>
      </c>
      <c r="I7697" s="43">
        <f>IF(INDEX(DarlBelegt,17)=0,0,IF(INDEX(DarlOhneTilgung,17)=1,IF(INDEX(DarlBindung,17)="",1,$G7697),IF($J7697&gt;0.005,1,0)))</f>
      </c>
      <c r="J7697" s="43">
        <f>IF($I7696=0,0,$R7696)</f>
      </c>
      <c r="K7697" s="43">
        <f>IF($I7697=0,0,IF(INDEX(DarlOhneTilgung,17)=1,0,IF(AND(INDEX(DarlTilgStart,17)&gt;0,$E7697=INDEX(DarlTilgStart,17)),$J7697*($H7697+INDEX(DarlTilgung,17))/100/12,IF(AND($G7697=0,$G7696=1),MAX($K7696,$J7697*($H7697+1)/100/12),$K7696))))</f>
      </c>
      <c r="L7697" s="43">
        <f>IF($I7697=0,0,$J7697*$H7697/100/12)</f>
      </c>
      <c r="M7697" s="43">
        <f>IF($I7697=0,0,IF(OR(INDEX(DarlOhneTilgung,17)=1,AND(INDEX(DarlTilgStart,17)&gt;0,$E7697&lt;INDEX(DarlTilgStart,17))),0,MIN(MAX(0,$K7697-$L7697),$J7697)))</f>
      </c>
      <c r="N7697" s="43">
        <f>IF($I7697=0,0,MIN(SUMIFS(SondBetrag,SondDarl,17,SondDatum,"&gt;="&amp;$E7697,SondDatum,"&lt;="&amp;EOMONTH($E7697,0)),$J7697-$M7697))</f>
      </c>
      <c r="O7697" s="43">
        <f>IF($I7697=0,0,INDEX(DarlErsatzRate,17))</f>
      </c>
      <c r="P7697" s="43">
        <f>IF($I7697=0,0,$Q7696*INDEX(DarlErsatzZins,17))</f>
      </c>
      <c r="Q7697" s="43">
        <f>IF($I7697=0,0,$Q7696+$P7697+$O7697)</f>
      </c>
      <c r="R7697" s="43">
        <f>IF($I7697=0,0,$J7697-$M7697-$N7697)</f>
      </c>
    </row>
    <row r="7698">
      <c r="A7698"/>
      <c r="B7698">
        <v>17</v>
      </c>
      <c r="C7698" s="43">
        <f>INDEX(DarlObj,17)</f>
      </c>
      <c r="D7698">
        <v>15</v>
      </c>
      <c r="E7698" s="51">
        <f>IF(INDEX(DarlBelegt,17)=0,0,EOMONTH(INDEX(DarlAuszahlung,17),14)+1)</f>
      </c>
      <c r="F7698" s="43">
        <f>IF($E7698=0,0,YEAR($E7698))</f>
      </c>
      <c r="G7698" s="43">
        <f>IF(INDEX(DarlBindung,17)="",1,IF($E7698&lt;=INDEX(DarlBindung,17),1,0))</f>
      </c>
      <c r="H7698" s="43">
        <f>IF($G7698=1,INDEX(DarlSollzins,17),INDEX(DarlAnschluss,17))</f>
      </c>
      <c r="I7698" s="43">
        <f>IF(INDEX(DarlBelegt,17)=0,0,IF(INDEX(DarlOhneTilgung,17)=1,IF(INDEX(DarlBindung,17)="",1,$G7698),IF($J7698&gt;0.005,1,0)))</f>
      </c>
      <c r="J7698" s="43">
        <f>IF($I7697=0,0,$R7697)</f>
      </c>
      <c r="K7698" s="43">
        <f>IF($I7698=0,0,IF(INDEX(DarlOhneTilgung,17)=1,0,IF(AND(INDEX(DarlTilgStart,17)&gt;0,$E7698=INDEX(DarlTilgStart,17)),$J7698*($H7698+INDEX(DarlTilgung,17))/100/12,IF(AND($G7698=0,$G7697=1),MAX($K7697,$J7698*($H7698+1)/100/12),$K7697))))</f>
      </c>
      <c r="L7698" s="43">
        <f>IF($I7698=0,0,$J7698*$H7698/100/12)</f>
      </c>
      <c r="M7698" s="43">
        <f>IF($I7698=0,0,IF(OR(INDEX(DarlOhneTilgung,17)=1,AND(INDEX(DarlTilgStart,17)&gt;0,$E7698&lt;INDEX(DarlTilgStart,17))),0,MIN(MAX(0,$K7698-$L7698),$J7698)))</f>
      </c>
      <c r="N7698" s="43">
        <f>IF($I7698=0,0,MIN(SUMIFS(SondBetrag,SondDarl,17,SondDatum,"&gt;="&amp;$E7698,SondDatum,"&lt;="&amp;EOMONTH($E7698,0)),$J7698-$M7698))</f>
      </c>
      <c r="O7698" s="43">
        <f>IF($I7698=0,0,INDEX(DarlErsatzRate,17))</f>
      </c>
      <c r="P7698" s="43">
        <f>IF($I7698=0,0,$Q7697*INDEX(DarlErsatzZins,17))</f>
      </c>
      <c r="Q7698" s="43">
        <f>IF($I7698=0,0,$Q7697+$P7698+$O7698)</f>
      </c>
      <c r="R7698" s="43">
        <f>IF($I7698=0,0,$J7698-$M7698-$N7698)</f>
      </c>
    </row>
    <row r="7699">
      <c r="A7699"/>
      <c r="B7699">
        <v>17</v>
      </c>
      <c r="C7699" s="43">
        <f>INDEX(DarlObj,17)</f>
      </c>
      <c r="D7699">
        <v>16</v>
      </c>
      <c r="E7699" s="51">
        <f>IF(INDEX(DarlBelegt,17)=0,0,EOMONTH(INDEX(DarlAuszahlung,17),15)+1)</f>
      </c>
      <c r="F7699" s="43">
        <f>IF($E7699=0,0,YEAR($E7699))</f>
      </c>
      <c r="G7699" s="43">
        <f>IF(INDEX(DarlBindung,17)="",1,IF($E7699&lt;=INDEX(DarlBindung,17),1,0))</f>
      </c>
      <c r="H7699" s="43">
        <f>IF($G7699=1,INDEX(DarlSollzins,17),INDEX(DarlAnschluss,17))</f>
      </c>
      <c r="I7699" s="43">
        <f>IF(INDEX(DarlBelegt,17)=0,0,IF(INDEX(DarlOhneTilgung,17)=1,IF(INDEX(DarlBindung,17)="",1,$G7699),IF($J7699&gt;0.005,1,0)))</f>
      </c>
      <c r="J7699" s="43">
        <f>IF($I7698=0,0,$R7698)</f>
      </c>
      <c r="K7699" s="43">
        <f>IF($I7699=0,0,IF(INDEX(DarlOhneTilgung,17)=1,0,IF(AND(INDEX(DarlTilgStart,17)&gt;0,$E7699=INDEX(DarlTilgStart,17)),$J7699*($H7699+INDEX(DarlTilgung,17))/100/12,IF(AND($G7699=0,$G7698=1),MAX($K7698,$J7699*($H7699+1)/100/12),$K7698))))</f>
      </c>
      <c r="L7699" s="43">
        <f>IF($I7699=0,0,$J7699*$H7699/100/12)</f>
      </c>
      <c r="M7699" s="43">
        <f>IF($I7699=0,0,IF(OR(INDEX(DarlOhneTilgung,17)=1,AND(INDEX(DarlTilgStart,17)&gt;0,$E7699&lt;INDEX(DarlTilgStart,17))),0,MIN(MAX(0,$K7699-$L7699),$J7699)))</f>
      </c>
      <c r="N7699" s="43">
        <f>IF($I7699=0,0,MIN(SUMIFS(SondBetrag,SondDarl,17,SondDatum,"&gt;="&amp;$E7699,SondDatum,"&lt;="&amp;EOMONTH($E7699,0)),$J7699-$M7699))</f>
      </c>
      <c r="O7699" s="43">
        <f>IF($I7699=0,0,INDEX(DarlErsatzRate,17))</f>
      </c>
      <c r="P7699" s="43">
        <f>IF($I7699=0,0,$Q7698*INDEX(DarlErsatzZins,17))</f>
      </c>
      <c r="Q7699" s="43">
        <f>IF($I7699=0,0,$Q7698+$P7699+$O7699)</f>
      </c>
      <c r="R7699" s="43">
        <f>IF($I7699=0,0,$J7699-$M7699-$N7699)</f>
      </c>
    </row>
    <row r="7700">
      <c r="A7700"/>
      <c r="B7700">
        <v>17</v>
      </c>
      <c r="C7700" s="43">
        <f>INDEX(DarlObj,17)</f>
      </c>
      <c r="D7700">
        <v>17</v>
      </c>
      <c r="E7700" s="51">
        <f>IF(INDEX(DarlBelegt,17)=0,0,EOMONTH(INDEX(DarlAuszahlung,17),16)+1)</f>
      </c>
      <c r="F7700" s="43">
        <f>IF($E7700=0,0,YEAR($E7700))</f>
      </c>
      <c r="G7700" s="43">
        <f>IF(INDEX(DarlBindung,17)="",1,IF($E7700&lt;=INDEX(DarlBindung,17),1,0))</f>
      </c>
      <c r="H7700" s="43">
        <f>IF($G7700=1,INDEX(DarlSollzins,17),INDEX(DarlAnschluss,17))</f>
      </c>
      <c r="I7700" s="43">
        <f>IF(INDEX(DarlBelegt,17)=0,0,IF(INDEX(DarlOhneTilgung,17)=1,IF(INDEX(DarlBindung,17)="",1,$G7700),IF($J7700&gt;0.005,1,0)))</f>
      </c>
      <c r="J7700" s="43">
        <f>IF($I7699=0,0,$R7699)</f>
      </c>
      <c r="K7700" s="43">
        <f>IF($I7700=0,0,IF(INDEX(DarlOhneTilgung,17)=1,0,IF(AND(INDEX(DarlTilgStart,17)&gt;0,$E7700=INDEX(DarlTilgStart,17)),$J7700*($H7700+INDEX(DarlTilgung,17))/100/12,IF(AND($G7700=0,$G7699=1),MAX($K7699,$J7700*($H7700+1)/100/12),$K7699))))</f>
      </c>
      <c r="L7700" s="43">
        <f>IF($I7700=0,0,$J7700*$H7700/100/12)</f>
      </c>
      <c r="M7700" s="43">
        <f>IF($I7700=0,0,IF(OR(INDEX(DarlOhneTilgung,17)=1,AND(INDEX(DarlTilgStart,17)&gt;0,$E7700&lt;INDEX(DarlTilgStart,17))),0,MIN(MAX(0,$K7700-$L7700),$J7700)))</f>
      </c>
      <c r="N7700" s="43">
        <f>IF($I7700=0,0,MIN(SUMIFS(SondBetrag,SondDarl,17,SondDatum,"&gt;="&amp;$E7700,SondDatum,"&lt;="&amp;EOMONTH($E7700,0)),$J7700-$M7700))</f>
      </c>
      <c r="O7700" s="43">
        <f>IF($I7700=0,0,INDEX(DarlErsatzRate,17))</f>
      </c>
      <c r="P7700" s="43">
        <f>IF($I7700=0,0,$Q7699*INDEX(DarlErsatzZins,17))</f>
      </c>
      <c r="Q7700" s="43">
        <f>IF($I7700=0,0,$Q7699+$P7700+$O7700)</f>
      </c>
      <c r="R7700" s="43">
        <f>IF($I7700=0,0,$J7700-$M7700-$N7700)</f>
      </c>
    </row>
    <row r="7701">
      <c r="A7701"/>
      <c r="B7701">
        <v>17</v>
      </c>
      <c r="C7701" s="43">
        <f>INDEX(DarlObj,17)</f>
      </c>
      <c r="D7701">
        <v>18</v>
      </c>
      <c r="E7701" s="51">
        <f>IF(INDEX(DarlBelegt,17)=0,0,EOMONTH(INDEX(DarlAuszahlung,17),17)+1)</f>
      </c>
      <c r="F7701" s="43">
        <f>IF($E7701=0,0,YEAR($E7701))</f>
      </c>
      <c r="G7701" s="43">
        <f>IF(INDEX(DarlBindung,17)="",1,IF($E7701&lt;=INDEX(DarlBindung,17),1,0))</f>
      </c>
      <c r="H7701" s="43">
        <f>IF($G7701=1,INDEX(DarlSollzins,17),INDEX(DarlAnschluss,17))</f>
      </c>
      <c r="I7701" s="43">
        <f>IF(INDEX(DarlBelegt,17)=0,0,IF(INDEX(DarlOhneTilgung,17)=1,IF(INDEX(DarlBindung,17)="",1,$G7701),IF($J7701&gt;0.005,1,0)))</f>
      </c>
      <c r="J7701" s="43">
        <f>IF($I7700=0,0,$R7700)</f>
      </c>
      <c r="K7701" s="43">
        <f>IF($I7701=0,0,IF(INDEX(DarlOhneTilgung,17)=1,0,IF(AND(INDEX(DarlTilgStart,17)&gt;0,$E7701=INDEX(DarlTilgStart,17)),$J7701*($H7701+INDEX(DarlTilgung,17))/100/12,IF(AND($G7701=0,$G7700=1),MAX($K7700,$J7701*($H7701+1)/100/12),$K7700))))</f>
      </c>
      <c r="L7701" s="43">
        <f>IF($I7701=0,0,$J7701*$H7701/100/12)</f>
      </c>
      <c r="M7701" s="43">
        <f>IF($I7701=0,0,IF(OR(INDEX(DarlOhneTilgung,17)=1,AND(INDEX(DarlTilgStart,17)&gt;0,$E7701&lt;INDEX(DarlTilgStart,17))),0,MIN(MAX(0,$K7701-$L7701),$J7701)))</f>
      </c>
      <c r="N7701" s="43">
        <f>IF($I7701=0,0,MIN(SUMIFS(SondBetrag,SondDarl,17,SondDatum,"&gt;="&amp;$E7701,SondDatum,"&lt;="&amp;EOMONTH($E7701,0)),$J7701-$M7701))</f>
      </c>
      <c r="O7701" s="43">
        <f>IF($I7701=0,0,INDEX(DarlErsatzRate,17))</f>
      </c>
      <c r="P7701" s="43">
        <f>IF($I7701=0,0,$Q7700*INDEX(DarlErsatzZins,17))</f>
      </c>
      <c r="Q7701" s="43">
        <f>IF($I7701=0,0,$Q7700+$P7701+$O7701)</f>
      </c>
      <c r="R7701" s="43">
        <f>IF($I7701=0,0,$J7701-$M7701-$N7701)</f>
      </c>
    </row>
    <row r="7702">
      <c r="A7702"/>
      <c r="B7702">
        <v>17</v>
      </c>
      <c r="C7702" s="43">
        <f>INDEX(DarlObj,17)</f>
      </c>
      <c r="D7702">
        <v>19</v>
      </c>
      <c r="E7702" s="51">
        <f>IF(INDEX(DarlBelegt,17)=0,0,EOMONTH(INDEX(DarlAuszahlung,17),18)+1)</f>
      </c>
      <c r="F7702" s="43">
        <f>IF($E7702=0,0,YEAR($E7702))</f>
      </c>
      <c r="G7702" s="43">
        <f>IF(INDEX(DarlBindung,17)="",1,IF($E7702&lt;=INDEX(DarlBindung,17),1,0))</f>
      </c>
      <c r="H7702" s="43">
        <f>IF($G7702=1,INDEX(DarlSollzins,17),INDEX(DarlAnschluss,17))</f>
      </c>
      <c r="I7702" s="43">
        <f>IF(INDEX(DarlBelegt,17)=0,0,IF(INDEX(DarlOhneTilgung,17)=1,IF(INDEX(DarlBindung,17)="",1,$G7702),IF($J7702&gt;0.005,1,0)))</f>
      </c>
      <c r="J7702" s="43">
        <f>IF($I7701=0,0,$R7701)</f>
      </c>
      <c r="K7702" s="43">
        <f>IF($I7702=0,0,IF(INDEX(DarlOhneTilgung,17)=1,0,IF(AND(INDEX(DarlTilgStart,17)&gt;0,$E7702=INDEX(DarlTilgStart,17)),$J7702*($H7702+INDEX(DarlTilgung,17))/100/12,IF(AND($G7702=0,$G7701=1),MAX($K7701,$J7702*($H7702+1)/100/12),$K7701))))</f>
      </c>
      <c r="L7702" s="43">
        <f>IF($I7702=0,0,$J7702*$H7702/100/12)</f>
      </c>
      <c r="M7702" s="43">
        <f>IF($I7702=0,0,IF(OR(INDEX(DarlOhneTilgung,17)=1,AND(INDEX(DarlTilgStart,17)&gt;0,$E7702&lt;INDEX(DarlTilgStart,17))),0,MIN(MAX(0,$K7702-$L7702),$J7702)))</f>
      </c>
      <c r="N7702" s="43">
        <f>IF($I7702=0,0,MIN(SUMIFS(SondBetrag,SondDarl,17,SondDatum,"&gt;="&amp;$E7702,SondDatum,"&lt;="&amp;EOMONTH($E7702,0)),$J7702-$M7702))</f>
      </c>
      <c r="O7702" s="43">
        <f>IF($I7702=0,0,INDEX(DarlErsatzRate,17))</f>
      </c>
      <c r="P7702" s="43">
        <f>IF($I7702=0,0,$Q7701*INDEX(DarlErsatzZins,17))</f>
      </c>
      <c r="Q7702" s="43">
        <f>IF($I7702=0,0,$Q7701+$P7702+$O7702)</f>
      </c>
      <c r="R7702" s="43">
        <f>IF($I7702=0,0,$J7702-$M7702-$N7702)</f>
      </c>
    </row>
    <row r="7703">
      <c r="A7703"/>
      <c r="B7703">
        <v>17</v>
      </c>
      <c r="C7703" s="43">
        <f>INDEX(DarlObj,17)</f>
      </c>
      <c r="D7703">
        <v>20</v>
      </c>
      <c r="E7703" s="51">
        <f>IF(INDEX(DarlBelegt,17)=0,0,EOMONTH(INDEX(DarlAuszahlung,17),19)+1)</f>
      </c>
      <c r="F7703" s="43">
        <f>IF($E7703=0,0,YEAR($E7703))</f>
      </c>
      <c r="G7703" s="43">
        <f>IF(INDEX(DarlBindung,17)="",1,IF($E7703&lt;=INDEX(DarlBindung,17),1,0))</f>
      </c>
      <c r="H7703" s="43">
        <f>IF($G7703=1,INDEX(DarlSollzins,17),INDEX(DarlAnschluss,17))</f>
      </c>
      <c r="I7703" s="43">
        <f>IF(INDEX(DarlBelegt,17)=0,0,IF(INDEX(DarlOhneTilgung,17)=1,IF(INDEX(DarlBindung,17)="",1,$G7703),IF($J7703&gt;0.005,1,0)))</f>
      </c>
      <c r="J7703" s="43">
        <f>IF($I7702=0,0,$R7702)</f>
      </c>
      <c r="K7703" s="43">
        <f>IF($I7703=0,0,IF(INDEX(DarlOhneTilgung,17)=1,0,IF(AND(INDEX(DarlTilgStart,17)&gt;0,$E7703=INDEX(DarlTilgStart,17)),$J7703*($H7703+INDEX(DarlTilgung,17))/100/12,IF(AND($G7703=0,$G7702=1),MAX($K7702,$J7703*($H7703+1)/100/12),$K7702))))</f>
      </c>
      <c r="L7703" s="43">
        <f>IF($I7703=0,0,$J7703*$H7703/100/12)</f>
      </c>
      <c r="M7703" s="43">
        <f>IF($I7703=0,0,IF(OR(INDEX(DarlOhneTilgung,17)=1,AND(INDEX(DarlTilgStart,17)&gt;0,$E7703&lt;INDEX(DarlTilgStart,17))),0,MIN(MAX(0,$K7703-$L7703),$J7703)))</f>
      </c>
      <c r="N7703" s="43">
        <f>IF($I7703=0,0,MIN(SUMIFS(SondBetrag,SondDarl,17,SondDatum,"&gt;="&amp;$E7703,SondDatum,"&lt;="&amp;EOMONTH($E7703,0)),$J7703-$M7703))</f>
      </c>
      <c r="O7703" s="43">
        <f>IF($I7703=0,0,INDEX(DarlErsatzRate,17))</f>
      </c>
      <c r="P7703" s="43">
        <f>IF($I7703=0,0,$Q7702*INDEX(DarlErsatzZins,17))</f>
      </c>
      <c r="Q7703" s="43">
        <f>IF($I7703=0,0,$Q7702+$P7703+$O7703)</f>
      </c>
      <c r="R7703" s="43">
        <f>IF($I7703=0,0,$J7703-$M7703-$N7703)</f>
      </c>
    </row>
    <row r="7704">
      <c r="A7704"/>
      <c r="B7704">
        <v>17</v>
      </c>
      <c r="C7704" s="43">
        <f>INDEX(DarlObj,17)</f>
      </c>
      <c r="D7704">
        <v>21</v>
      </c>
      <c r="E7704" s="51">
        <f>IF(INDEX(DarlBelegt,17)=0,0,EOMONTH(INDEX(DarlAuszahlung,17),20)+1)</f>
      </c>
      <c r="F7704" s="43">
        <f>IF($E7704=0,0,YEAR($E7704))</f>
      </c>
      <c r="G7704" s="43">
        <f>IF(INDEX(DarlBindung,17)="",1,IF($E7704&lt;=INDEX(DarlBindung,17),1,0))</f>
      </c>
      <c r="H7704" s="43">
        <f>IF($G7704=1,INDEX(DarlSollzins,17),INDEX(DarlAnschluss,17))</f>
      </c>
      <c r="I7704" s="43">
        <f>IF(INDEX(DarlBelegt,17)=0,0,IF(INDEX(DarlOhneTilgung,17)=1,IF(INDEX(DarlBindung,17)="",1,$G7704),IF($J7704&gt;0.005,1,0)))</f>
      </c>
      <c r="J7704" s="43">
        <f>IF($I7703=0,0,$R7703)</f>
      </c>
      <c r="K7704" s="43">
        <f>IF($I7704=0,0,IF(INDEX(DarlOhneTilgung,17)=1,0,IF(AND(INDEX(DarlTilgStart,17)&gt;0,$E7704=INDEX(DarlTilgStart,17)),$J7704*($H7704+INDEX(DarlTilgung,17))/100/12,IF(AND($G7704=0,$G7703=1),MAX($K7703,$J7704*($H7704+1)/100/12),$K7703))))</f>
      </c>
      <c r="L7704" s="43">
        <f>IF($I7704=0,0,$J7704*$H7704/100/12)</f>
      </c>
      <c r="M7704" s="43">
        <f>IF($I7704=0,0,IF(OR(INDEX(DarlOhneTilgung,17)=1,AND(INDEX(DarlTilgStart,17)&gt;0,$E7704&lt;INDEX(DarlTilgStart,17))),0,MIN(MAX(0,$K7704-$L7704),$J7704)))</f>
      </c>
      <c r="N7704" s="43">
        <f>IF($I7704=0,0,MIN(SUMIFS(SondBetrag,SondDarl,17,SondDatum,"&gt;="&amp;$E7704,SondDatum,"&lt;="&amp;EOMONTH($E7704,0)),$J7704-$M7704))</f>
      </c>
      <c r="O7704" s="43">
        <f>IF($I7704=0,0,INDEX(DarlErsatzRate,17))</f>
      </c>
      <c r="P7704" s="43">
        <f>IF($I7704=0,0,$Q7703*INDEX(DarlErsatzZins,17))</f>
      </c>
      <c r="Q7704" s="43">
        <f>IF($I7704=0,0,$Q7703+$P7704+$O7704)</f>
      </c>
      <c r="R7704" s="43">
        <f>IF($I7704=0,0,$J7704-$M7704-$N7704)</f>
      </c>
    </row>
    <row r="7705">
      <c r="A7705"/>
      <c r="B7705">
        <v>17</v>
      </c>
      <c r="C7705" s="43">
        <f>INDEX(DarlObj,17)</f>
      </c>
      <c r="D7705">
        <v>22</v>
      </c>
      <c r="E7705" s="51">
        <f>IF(INDEX(DarlBelegt,17)=0,0,EOMONTH(INDEX(DarlAuszahlung,17),21)+1)</f>
      </c>
      <c r="F7705" s="43">
        <f>IF($E7705=0,0,YEAR($E7705))</f>
      </c>
      <c r="G7705" s="43">
        <f>IF(INDEX(DarlBindung,17)="",1,IF($E7705&lt;=INDEX(DarlBindung,17),1,0))</f>
      </c>
      <c r="H7705" s="43">
        <f>IF($G7705=1,INDEX(DarlSollzins,17),INDEX(DarlAnschluss,17))</f>
      </c>
      <c r="I7705" s="43">
        <f>IF(INDEX(DarlBelegt,17)=0,0,IF(INDEX(DarlOhneTilgung,17)=1,IF(INDEX(DarlBindung,17)="",1,$G7705),IF($J7705&gt;0.005,1,0)))</f>
      </c>
      <c r="J7705" s="43">
        <f>IF($I7704=0,0,$R7704)</f>
      </c>
      <c r="K7705" s="43">
        <f>IF($I7705=0,0,IF(INDEX(DarlOhneTilgung,17)=1,0,IF(AND(INDEX(DarlTilgStart,17)&gt;0,$E7705=INDEX(DarlTilgStart,17)),$J7705*($H7705+INDEX(DarlTilgung,17))/100/12,IF(AND($G7705=0,$G7704=1),MAX($K7704,$J7705*($H7705+1)/100/12),$K7704))))</f>
      </c>
      <c r="L7705" s="43">
        <f>IF($I7705=0,0,$J7705*$H7705/100/12)</f>
      </c>
      <c r="M7705" s="43">
        <f>IF($I7705=0,0,IF(OR(INDEX(DarlOhneTilgung,17)=1,AND(INDEX(DarlTilgStart,17)&gt;0,$E7705&lt;INDEX(DarlTilgStart,17))),0,MIN(MAX(0,$K7705-$L7705),$J7705)))</f>
      </c>
      <c r="N7705" s="43">
        <f>IF($I7705=0,0,MIN(SUMIFS(SondBetrag,SondDarl,17,SondDatum,"&gt;="&amp;$E7705,SondDatum,"&lt;="&amp;EOMONTH($E7705,0)),$J7705-$M7705))</f>
      </c>
      <c r="O7705" s="43">
        <f>IF($I7705=0,0,INDEX(DarlErsatzRate,17))</f>
      </c>
      <c r="P7705" s="43">
        <f>IF($I7705=0,0,$Q7704*INDEX(DarlErsatzZins,17))</f>
      </c>
      <c r="Q7705" s="43">
        <f>IF($I7705=0,0,$Q7704+$P7705+$O7705)</f>
      </c>
      <c r="R7705" s="43">
        <f>IF($I7705=0,0,$J7705-$M7705-$N7705)</f>
      </c>
    </row>
    <row r="7706">
      <c r="A7706"/>
      <c r="B7706">
        <v>17</v>
      </c>
      <c r="C7706" s="43">
        <f>INDEX(DarlObj,17)</f>
      </c>
      <c r="D7706">
        <v>23</v>
      </c>
      <c r="E7706" s="51">
        <f>IF(INDEX(DarlBelegt,17)=0,0,EOMONTH(INDEX(DarlAuszahlung,17),22)+1)</f>
      </c>
      <c r="F7706" s="43">
        <f>IF($E7706=0,0,YEAR($E7706))</f>
      </c>
      <c r="G7706" s="43">
        <f>IF(INDEX(DarlBindung,17)="",1,IF($E7706&lt;=INDEX(DarlBindung,17),1,0))</f>
      </c>
      <c r="H7706" s="43">
        <f>IF($G7706=1,INDEX(DarlSollzins,17),INDEX(DarlAnschluss,17))</f>
      </c>
      <c r="I7706" s="43">
        <f>IF(INDEX(DarlBelegt,17)=0,0,IF(INDEX(DarlOhneTilgung,17)=1,IF(INDEX(DarlBindung,17)="",1,$G7706),IF($J7706&gt;0.005,1,0)))</f>
      </c>
      <c r="J7706" s="43">
        <f>IF($I7705=0,0,$R7705)</f>
      </c>
      <c r="K7706" s="43">
        <f>IF($I7706=0,0,IF(INDEX(DarlOhneTilgung,17)=1,0,IF(AND(INDEX(DarlTilgStart,17)&gt;0,$E7706=INDEX(DarlTilgStart,17)),$J7706*($H7706+INDEX(DarlTilgung,17))/100/12,IF(AND($G7706=0,$G7705=1),MAX($K7705,$J7706*($H7706+1)/100/12),$K7705))))</f>
      </c>
      <c r="L7706" s="43">
        <f>IF($I7706=0,0,$J7706*$H7706/100/12)</f>
      </c>
      <c r="M7706" s="43">
        <f>IF($I7706=0,0,IF(OR(INDEX(DarlOhneTilgung,17)=1,AND(INDEX(DarlTilgStart,17)&gt;0,$E7706&lt;INDEX(DarlTilgStart,17))),0,MIN(MAX(0,$K7706-$L7706),$J7706)))</f>
      </c>
      <c r="N7706" s="43">
        <f>IF($I7706=0,0,MIN(SUMIFS(SondBetrag,SondDarl,17,SondDatum,"&gt;="&amp;$E7706,SondDatum,"&lt;="&amp;EOMONTH($E7706,0)),$J7706-$M7706))</f>
      </c>
      <c r="O7706" s="43">
        <f>IF($I7706=0,0,INDEX(DarlErsatzRate,17))</f>
      </c>
      <c r="P7706" s="43">
        <f>IF($I7706=0,0,$Q7705*INDEX(DarlErsatzZins,17))</f>
      </c>
      <c r="Q7706" s="43">
        <f>IF($I7706=0,0,$Q7705+$P7706+$O7706)</f>
      </c>
      <c r="R7706" s="43">
        <f>IF($I7706=0,0,$J7706-$M7706-$N7706)</f>
      </c>
    </row>
    <row r="7707">
      <c r="A7707"/>
      <c r="B7707">
        <v>17</v>
      </c>
      <c r="C7707" s="43">
        <f>INDEX(DarlObj,17)</f>
      </c>
      <c r="D7707">
        <v>24</v>
      </c>
      <c r="E7707" s="51">
        <f>IF(INDEX(DarlBelegt,17)=0,0,EOMONTH(INDEX(DarlAuszahlung,17),23)+1)</f>
      </c>
      <c r="F7707" s="43">
        <f>IF($E7707=0,0,YEAR($E7707))</f>
      </c>
      <c r="G7707" s="43">
        <f>IF(INDEX(DarlBindung,17)="",1,IF($E7707&lt;=INDEX(DarlBindung,17),1,0))</f>
      </c>
      <c r="H7707" s="43">
        <f>IF($G7707=1,INDEX(DarlSollzins,17),INDEX(DarlAnschluss,17))</f>
      </c>
      <c r="I7707" s="43">
        <f>IF(INDEX(DarlBelegt,17)=0,0,IF(INDEX(DarlOhneTilgung,17)=1,IF(INDEX(DarlBindung,17)="",1,$G7707),IF($J7707&gt;0.005,1,0)))</f>
      </c>
      <c r="J7707" s="43">
        <f>IF($I7706=0,0,$R7706)</f>
      </c>
      <c r="K7707" s="43">
        <f>IF($I7707=0,0,IF(INDEX(DarlOhneTilgung,17)=1,0,IF(AND(INDEX(DarlTilgStart,17)&gt;0,$E7707=INDEX(DarlTilgStart,17)),$J7707*($H7707+INDEX(DarlTilgung,17))/100/12,IF(AND($G7707=0,$G7706=1),MAX($K7706,$J7707*($H7707+1)/100/12),$K7706))))</f>
      </c>
      <c r="L7707" s="43">
        <f>IF($I7707=0,0,$J7707*$H7707/100/12)</f>
      </c>
      <c r="M7707" s="43">
        <f>IF($I7707=0,0,IF(OR(INDEX(DarlOhneTilgung,17)=1,AND(INDEX(DarlTilgStart,17)&gt;0,$E7707&lt;INDEX(DarlTilgStart,17))),0,MIN(MAX(0,$K7707-$L7707),$J7707)))</f>
      </c>
      <c r="N7707" s="43">
        <f>IF($I7707=0,0,MIN(SUMIFS(SondBetrag,SondDarl,17,SondDatum,"&gt;="&amp;$E7707,SondDatum,"&lt;="&amp;EOMONTH($E7707,0)),$J7707-$M7707))</f>
      </c>
      <c r="O7707" s="43">
        <f>IF($I7707=0,0,INDEX(DarlErsatzRate,17))</f>
      </c>
      <c r="P7707" s="43">
        <f>IF($I7707=0,0,$Q7706*INDEX(DarlErsatzZins,17))</f>
      </c>
      <c r="Q7707" s="43">
        <f>IF($I7707=0,0,$Q7706+$P7707+$O7707)</f>
      </c>
      <c r="R7707" s="43">
        <f>IF($I7707=0,0,$J7707-$M7707-$N7707)</f>
      </c>
    </row>
    <row r="7708">
      <c r="A7708"/>
      <c r="B7708">
        <v>17</v>
      </c>
      <c r="C7708" s="43">
        <f>INDEX(DarlObj,17)</f>
      </c>
      <c r="D7708">
        <v>25</v>
      </c>
      <c r="E7708" s="51">
        <f>IF(INDEX(DarlBelegt,17)=0,0,EOMONTH(INDEX(DarlAuszahlung,17),24)+1)</f>
      </c>
      <c r="F7708" s="43">
        <f>IF($E7708=0,0,YEAR($E7708))</f>
      </c>
      <c r="G7708" s="43">
        <f>IF(INDEX(DarlBindung,17)="",1,IF($E7708&lt;=INDEX(DarlBindung,17),1,0))</f>
      </c>
      <c r="H7708" s="43">
        <f>IF($G7708=1,INDEX(DarlSollzins,17),INDEX(DarlAnschluss,17))</f>
      </c>
      <c r="I7708" s="43">
        <f>IF(INDEX(DarlBelegt,17)=0,0,IF(INDEX(DarlOhneTilgung,17)=1,IF(INDEX(DarlBindung,17)="",1,$G7708),IF($J7708&gt;0.005,1,0)))</f>
      </c>
      <c r="J7708" s="43">
        <f>IF($I7707=0,0,$R7707)</f>
      </c>
      <c r="K7708" s="43">
        <f>IF($I7708=0,0,IF(INDEX(DarlOhneTilgung,17)=1,0,IF(AND(INDEX(DarlTilgStart,17)&gt;0,$E7708=INDEX(DarlTilgStart,17)),$J7708*($H7708+INDEX(DarlTilgung,17))/100/12,IF(AND($G7708=0,$G7707=1),MAX($K7707,$J7708*($H7708+1)/100/12),$K7707))))</f>
      </c>
      <c r="L7708" s="43">
        <f>IF($I7708=0,0,$J7708*$H7708/100/12)</f>
      </c>
      <c r="M7708" s="43">
        <f>IF($I7708=0,0,IF(OR(INDEX(DarlOhneTilgung,17)=1,AND(INDEX(DarlTilgStart,17)&gt;0,$E7708&lt;INDEX(DarlTilgStart,17))),0,MIN(MAX(0,$K7708-$L7708),$J7708)))</f>
      </c>
      <c r="N7708" s="43">
        <f>IF($I7708=0,0,MIN(SUMIFS(SondBetrag,SondDarl,17,SondDatum,"&gt;="&amp;$E7708,SondDatum,"&lt;="&amp;EOMONTH($E7708,0)),$J7708-$M7708))</f>
      </c>
      <c r="O7708" s="43">
        <f>IF($I7708=0,0,INDEX(DarlErsatzRate,17))</f>
      </c>
      <c r="P7708" s="43">
        <f>IF($I7708=0,0,$Q7707*INDEX(DarlErsatzZins,17))</f>
      </c>
      <c r="Q7708" s="43">
        <f>IF($I7708=0,0,$Q7707+$P7708+$O7708)</f>
      </c>
      <c r="R7708" s="43">
        <f>IF($I7708=0,0,$J7708-$M7708-$N7708)</f>
      </c>
    </row>
    <row r="7709">
      <c r="A7709"/>
      <c r="B7709">
        <v>17</v>
      </c>
      <c r="C7709" s="43">
        <f>INDEX(DarlObj,17)</f>
      </c>
      <c r="D7709">
        <v>26</v>
      </c>
      <c r="E7709" s="51">
        <f>IF(INDEX(DarlBelegt,17)=0,0,EOMONTH(INDEX(DarlAuszahlung,17),25)+1)</f>
      </c>
      <c r="F7709" s="43">
        <f>IF($E7709=0,0,YEAR($E7709))</f>
      </c>
      <c r="G7709" s="43">
        <f>IF(INDEX(DarlBindung,17)="",1,IF($E7709&lt;=INDEX(DarlBindung,17),1,0))</f>
      </c>
      <c r="H7709" s="43">
        <f>IF($G7709=1,INDEX(DarlSollzins,17),INDEX(DarlAnschluss,17))</f>
      </c>
      <c r="I7709" s="43">
        <f>IF(INDEX(DarlBelegt,17)=0,0,IF(INDEX(DarlOhneTilgung,17)=1,IF(INDEX(DarlBindung,17)="",1,$G7709),IF($J7709&gt;0.005,1,0)))</f>
      </c>
      <c r="J7709" s="43">
        <f>IF($I7708=0,0,$R7708)</f>
      </c>
      <c r="K7709" s="43">
        <f>IF($I7709=0,0,IF(INDEX(DarlOhneTilgung,17)=1,0,IF(AND(INDEX(DarlTilgStart,17)&gt;0,$E7709=INDEX(DarlTilgStart,17)),$J7709*($H7709+INDEX(DarlTilgung,17))/100/12,IF(AND($G7709=0,$G7708=1),MAX($K7708,$J7709*($H7709+1)/100/12),$K7708))))</f>
      </c>
      <c r="L7709" s="43">
        <f>IF($I7709=0,0,$J7709*$H7709/100/12)</f>
      </c>
      <c r="M7709" s="43">
        <f>IF($I7709=0,0,IF(OR(INDEX(DarlOhneTilgung,17)=1,AND(INDEX(DarlTilgStart,17)&gt;0,$E7709&lt;INDEX(DarlTilgStart,17))),0,MIN(MAX(0,$K7709-$L7709),$J7709)))</f>
      </c>
      <c r="N7709" s="43">
        <f>IF($I7709=0,0,MIN(SUMIFS(SondBetrag,SondDarl,17,SondDatum,"&gt;="&amp;$E7709,SondDatum,"&lt;="&amp;EOMONTH($E7709,0)),$J7709-$M7709))</f>
      </c>
      <c r="O7709" s="43">
        <f>IF($I7709=0,0,INDEX(DarlErsatzRate,17))</f>
      </c>
      <c r="P7709" s="43">
        <f>IF($I7709=0,0,$Q7708*INDEX(DarlErsatzZins,17))</f>
      </c>
      <c r="Q7709" s="43">
        <f>IF($I7709=0,0,$Q7708+$P7709+$O7709)</f>
      </c>
      <c r="R7709" s="43">
        <f>IF($I7709=0,0,$J7709-$M7709-$N7709)</f>
      </c>
    </row>
    <row r="7710">
      <c r="A7710"/>
      <c r="B7710">
        <v>17</v>
      </c>
      <c r="C7710" s="43">
        <f>INDEX(DarlObj,17)</f>
      </c>
      <c r="D7710">
        <v>27</v>
      </c>
      <c r="E7710" s="51">
        <f>IF(INDEX(DarlBelegt,17)=0,0,EOMONTH(INDEX(DarlAuszahlung,17),26)+1)</f>
      </c>
      <c r="F7710" s="43">
        <f>IF($E7710=0,0,YEAR($E7710))</f>
      </c>
      <c r="G7710" s="43">
        <f>IF(INDEX(DarlBindung,17)="",1,IF($E7710&lt;=INDEX(DarlBindung,17),1,0))</f>
      </c>
      <c r="H7710" s="43">
        <f>IF($G7710=1,INDEX(DarlSollzins,17),INDEX(DarlAnschluss,17))</f>
      </c>
      <c r="I7710" s="43">
        <f>IF(INDEX(DarlBelegt,17)=0,0,IF(INDEX(DarlOhneTilgung,17)=1,IF(INDEX(DarlBindung,17)="",1,$G7710),IF($J7710&gt;0.005,1,0)))</f>
      </c>
      <c r="J7710" s="43">
        <f>IF($I7709=0,0,$R7709)</f>
      </c>
      <c r="K7710" s="43">
        <f>IF($I7710=0,0,IF(INDEX(DarlOhneTilgung,17)=1,0,IF(AND(INDEX(DarlTilgStart,17)&gt;0,$E7710=INDEX(DarlTilgStart,17)),$J7710*($H7710+INDEX(DarlTilgung,17))/100/12,IF(AND($G7710=0,$G7709=1),MAX($K7709,$J7710*($H7710+1)/100/12),$K7709))))</f>
      </c>
      <c r="L7710" s="43">
        <f>IF($I7710=0,0,$J7710*$H7710/100/12)</f>
      </c>
      <c r="M7710" s="43">
        <f>IF($I7710=0,0,IF(OR(INDEX(DarlOhneTilgung,17)=1,AND(INDEX(DarlTilgStart,17)&gt;0,$E7710&lt;INDEX(DarlTilgStart,17))),0,MIN(MAX(0,$K7710-$L7710),$J7710)))</f>
      </c>
      <c r="N7710" s="43">
        <f>IF($I7710=0,0,MIN(SUMIFS(SondBetrag,SondDarl,17,SondDatum,"&gt;="&amp;$E7710,SondDatum,"&lt;="&amp;EOMONTH($E7710,0)),$J7710-$M7710))</f>
      </c>
      <c r="O7710" s="43">
        <f>IF($I7710=0,0,INDEX(DarlErsatzRate,17))</f>
      </c>
      <c r="P7710" s="43">
        <f>IF($I7710=0,0,$Q7709*INDEX(DarlErsatzZins,17))</f>
      </c>
      <c r="Q7710" s="43">
        <f>IF($I7710=0,0,$Q7709+$P7710+$O7710)</f>
      </c>
      <c r="R7710" s="43">
        <f>IF($I7710=0,0,$J7710-$M7710-$N7710)</f>
      </c>
    </row>
    <row r="7711">
      <c r="A7711"/>
      <c r="B7711">
        <v>17</v>
      </c>
      <c r="C7711" s="43">
        <f>INDEX(DarlObj,17)</f>
      </c>
      <c r="D7711">
        <v>28</v>
      </c>
      <c r="E7711" s="51">
        <f>IF(INDEX(DarlBelegt,17)=0,0,EOMONTH(INDEX(DarlAuszahlung,17),27)+1)</f>
      </c>
      <c r="F7711" s="43">
        <f>IF($E7711=0,0,YEAR($E7711))</f>
      </c>
      <c r="G7711" s="43">
        <f>IF(INDEX(DarlBindung,17)="",1,IF($E7711&lt;=INDEX(DarlBindung,17),1,0))</f>
      </c>
      <c r="H7711" s="43">
        <f>IF($G7711=1,INDEX(DarlSollzins,17),INDEX(DarlAnschluss,17))</f>
      </c>
      <c r="I7711" s="43">
        <f>IF(INDEX(DarlBelegt,17)=0,0,IF(INDEX(DarlOhneTilgung,17)=1,IF(INDEX(DarlBindung,17)="",1,$G7711),IF($J7711&gt;0.005,1,0)))</f>
      </c>
      <c r="J7711" s="43">
        <f>IF($I7710=0,0,$R7710)</f>
      </c>
      <c r="K7711" s="43">
        <f>IF($I7711=0,0,IF(INDEX(DarlOhneTilgung,17)=1,0,IF(AND(INDEX(DarlTilgStart,17)&gt;0,$E7711=INDEX(DarlTilgStart,17)),$J7711*($H7711+INDEX(DarlTilgung,17))/100/12,IF(AND($G7711=0,$G7710=1),MAX($K7710,$J7711*($H7711+1)/100/12),$K7710))))</f>
      </c>
      <c r="L7711" s="43">
        <f>IF($I7711=0,0,$J7711*$H7711/100/12)</f>
      </c>
      <c r="M7711" s="43">
        <f>IF($I7711=0,0,IF(OR(INDEX(DarlOhneTilgung,17)=1,AND(INDEX(DarlTilgStart,17)&gt;0,$E7711&lt;INDEX(DarlTilgStart,17))),0,MIN(MAX(0,$K7711-$L7711),$J7711)))</f>
      </c>
      <c r="N7711" s="43">
        <f>IF($I7711=0,0,MIN(SUMIFS(SondBetrag,SondDarl,17,SondDatum,"&gt;="&amp;$E7711,SondDatum,"&lt;="&amp;EOMONTH($E7711,0)),$J7711-$M7711))</f>
      </c>
      <c r="O7711" s="43">
        <f>IF($I7711=0,0,INDEX(DarlErsatzRate,17))</f>
      </c>
      <c r="P7711" s="43">
        <f>IF($I7711=0,0,$Q7710*INDEX(DarlErsatzZins,17))</f>
      </c>
      <c r="Q7711" s="43">
        <f>IF($I7711=0,0,$Q7710+$P7711+$O7711)</f>
      </c>
      <c r="R7711" s="43">
        <f>IF($I7711=0,0,$J7711-$M7711-$N7711)</f>
      </c>
    </row>
    <row r="7712">
      <c r="A7712"/>
      <c r="B7712">
        <v>17</v>
      </c>
      <c r="C7712" s="43">
        <f>INDEX(DarlObj,17)</f>
      </c>
      <c r="D7712">
        <v>29</v>
      </c>
      <c r="E7712" s="51">
        <f>IF(INDEX(DarlBelegt,17)=0,0,EOMONTH(INDEX(DarlAuszahlung,17),28)+1)</f>
      </c>
      <c r="F7712" s="43">
        <f>IF($E7712=0,0,YEAR($E7712))</f>
      </c>
      <c r="G7712" s="43">
        <f>IF(INDEX(DarlBindung,17)="",1,IF($E7712&lt;=INDEX(DarlBindung,17),1,0))</f>
      </c>
      <c r="H7712" s="43">
        <f>IF($G7712=1,INDEX(DarlSollzins,17),INDEX(DarlAnschluss,17))</f>
      </c>
      <c r="I7712" s="43">
        <f>IF(INDEX(DarlBelegt,17)=0,0,IF(INDEX(DarlOhneTilgung,17)=1,IF(INDEX(DarlBindung,17)="",1,$G7712),IF($J7712&gt;0.005,1,0)))</f>
      </c>
      <c r="J7712" s="43">
        <f>IF($I7711=0,0,$R7711)</f>
      </c>
      <c r="K7712" s="43">
        <f>IF($I7712=0,0,IF(INDEX(DarlOhneTilgung,17)=1,0,IF(AND(INDEX(DarlTilgStart,17)&gt;0,$E7712=INDEX(DarlTilgStart,17)),$J7712*($H7712+INDEX(DarlTilgung,17))/100/12,IF(AND($G7712=0,$G7711=1),MAX($K7711,$J7712*($H7712+1)/100/12),$K7711))))</f>
      </c>
      <c r="L7712" s="43">
        <f>IF($I7712=0,0,$J7712*$H7712/100/12)</f>
      </c>
      <c r="M7712" s="43">
        <f>IF($I7712=0,0,IF(OR(INDEX(DarlOhneTilgung,17)=1,AND(INDEX(DarlTilgStart,17)&gt;0,$E7712&lt;INDEX(DarlTilgStart,17))),0,MIN(MAX(0,$K7712-$L7712),$J7712)))</f>
      </c>
      <c r="N7712" s="43">
        <f>IF($I7712=0,0,MIN(SUMIFS(SondBetrag,SondDarl,17,SondDatum,"&gt;="&amp;$E7712,SondDatum,"&lt;="&amp;EOMONTH($E7712,0)),$J7712-$M7712))</f>
      </c>
      <c r="O7712" s="43">
        <f>IF($I7712=0,0,INDEX(DarlErsatzRate,17))</f>
      </c>
      <c r="P7712" s="43">
        <f>IF($I7712=0,0,$Q7711*INDEX(DarlErsatzZins,17))</f>
      </c>
      <c r="Q7712" s="43">
        <f>IF($I7712=0,0,$Q7711+$P7712+$O7712)</f>
      </c>
      <c r="R7712" s="43">
        <f>IF($I7712=0,0,$J7712-$M7712-$N7712)</f>
      </c>
    </row>
    <row r="7713">
      <c r="A7713"/>
      <c r="B7713">
        <v>17</v>
      </c>
      <c r="C7713" s="43">
        <f>INDEX(DarlObj,17)</f>
      </c>
      <c r="D7713">
        <v>30</v>
      </c>
      <c r="E7713" s="51">
        <f>IF(INDEX(DarlBelegt,17)=0,0,EOMONTH(INDEX(DarlAuszahlung,17),29)+1)</f>
      </c>
      <c r="F7713" s="43">
        <f>IF($E7713=0,0,YEAR($E7713))</f>
      </c>
      <c r="G7713" s="43">
        <f>IF(INDEX(DarlBindung,17)="",1,IF($E7713&lt;=INDEX(DarlBindung,17),1,0))</f>
      </c>
      <c r="H7713" s="43">
        <f>IF($G7713=1,INDEX(DarlSollzins,17),INDEX(DarlAnschluss,17))</f>
      </c>
      <c r="I7713" s="43">
        <f>IF(INDEX(DarlBelegt,17)=0,0,IF(INDEX(DarlOhneTilgung,17)=1,IF(INDEX(DarlBindung,17)="",1,$G7713),IF($J7713&gt;0.005,1,0)))</f>
      </c>
      <c r="J7713" s="43">
        <f>IF($I7712=0,0,$R7712)</f>
      </c>
      <c r="K7713" s="43">
        <f>IF($I7713=0,0,IF(INDEX(DarlOhneTilgung,17)=1,0,IF(AND(INDEX(DarlTilgStart,17)&gt;0,$E7713=INDEX(DarlTilgStart,17)),$J7713*($H7713+INDEX(DarlTilgung,17))/100/12,IF(AND($G7713=0,$G7712=1),MAX($K7712,$J7713*($H7713+1)/100/12),$K7712))))</f>
      </c>
      <c r="L7713" s="43">
        <f>IF($I7713=0,0,$J7713*$H7713/100/12)</f>
      </c>
      <c r="M7713" s="43">
        <f>IF($I7713=0,0,IF(OR(INDEX(DarlOhneTilgung,17)=1,AND(INDEX(DarlTilgStart,17)&gt;0,$E7713&lt;INDEX(DarlTilgStart,17))),0,MIN(MAX(0,$K7713-$L7713),$J7713)))</f>
      </c>
      <c r="N7713" s="43">
        <f>IF($I7713=0,0,MIN(SUMIFS(SondBetrag,SondDarl,17,SondDatum,"&gt;="&amp;$E7713,SondDatum,"&lt;="&amp;EOMONTH($E7713,0)),$J7713-$M7713))</f>
      </c>
      <c r="O7713" s="43">
        <f>IF($I7713=0,0,INDEX(DarlErsatzRate,17))</f>
      </c>
      <c r="P7713" s="43">
        <f>IF($I7713=0,0,$Q7712*INDEX(DarlErsatzZins,17))</f>
      </c>
      <c r="Q7713" s="43">
        <f>IF($I7713=0,0,$Q7712+$P7713+$O7713)</f>
      </c>
      <c r="R7713" s="43">
        <f>IF($I7713=0,0,$J7713-$M7713-$N7713)</f>
      </c>
    </row>
    <row r="7714">
      <c r="A7714"/>
      <c r="B7714">
        <v>17</v>
      </c>
      <c r="C7714" s="43">
        <f>INDEX(DarlObj,17)</f>
      </c>
      <c r="D7714">
        <v>31</v>
      </c>
      <c r="E7714" s="51">
        <f>IF(INDEX(DarlBelegt,17)=0,0,EOMONTH(INDEX(DarlAuszahlung,17),30)+1)</f>
      </c>
      <c r="F7714" s="43">
        <f>IF($E7714=0,0,YEAR($E7714))</f>
      </c>
      <c r="G7714" s="43">
        <f>IF(INDEX(DarlBindung,17)="",1,IF($E7714&lt;=INDEX(DarlBindung,17),1,0))</f>
      </c>
      <c r="H7714" s="43">
        <f>IF($G7714=1,INDEX(DarlSollzins,17),INDEX(DarlAnschluss,17))</f>
      </c>
      <c r="I7714" s="43">
        <f>IF(INDEX(DarlBelegt,17)=0,0,IF(INDEX(DarlOhneTilgung,17)=1,IF(INDEX(DarlBindung,17)="",1,$G7714),IF($J7714&gt;0.005,1,0)))</f>
      </c>
      <c r="J7714" s="43">
        <f>IF($I7713=0,0,$R7713)</f>
      </c>
      <c r="K7714" s="43">
        <f>IF($I7714=0,0,IF(INDEX(DarlOhneTilgung,17)=1,0,IF(AND(INDEX(DarlTilgStart,17)&gt;0,$E7714=INDEX(DarlTilgStart,17)),$J7714*($H7714+INDEX(DarlTilgung,17))/100/12,IF(AND($G7714=0,$G7713=1),MAX($K7713,$J7714*($H7714+1)/100/12),$K7713))))</f>
      </c>
      <c r="L7714" s="43">
        <f>IF($I7714=0,0,$J7714*$H7714/100/12)</f>
      </c>
      <c r="M7714" s="43">
        <f>IF($I7714=0,0,IF(OR(INDEX(DarlOhneTilgung,17)=1,AND(INDEX(DarlTilgStart,17)&gt;0,$E7714&lt;INDEX(DarlTilgStart,17))),0,MIN(MAX(0,$K7714-$L7714),$J7714)))</f>
      </c>
      <c r="N7714" s="43">
        <f>IF($I7714=0,0,MIN(SUMIFS(SondBetrag,SondDarl,17,SondDatum,"&gt;="&amp;$E7714,SondDatum,"&lt;="&amp;EOMONTH($E7714,0)),$J7714-$M7714))</f>
      </c>
      <c r="O7714" s="43">
        <f>IF($I7714=0,0,INDEX(DarlErsatzRate,17))</f>
      </c>
      <c r="P7714" s="43">
        <f>IF($I7714=0,0,$Q7713*INDEX(DarlErsatzZins,17))</f>
      </c>
      <c r="Q7714" s="43">
        <f>IF($I7714=0,0,$Q7713+$P7714+$O7714)</f>
      </c>
      <c r="R7714" s="43">
        <f>IF($I7714=0,0,$J7714-$M7714-$N7714)</f>
      </c>
    </row>
    <row r="7715">
      <c r="A7715"/>
      <c r="B7715">
        <v>17</v>
      </c>
      <c r="C7715" s="43">
        <f>INDEX(DarlObj,17)</f>
      </c>
      <c r="D7715">
        <v>32</v>
      </c>
      <c r="E7715" s="51">
        <f>IF(INDEX(DarlBelegt,17)=0,0,EOMONTH(INDEX(DarlAuszahlung,17),31)+1)</f>
      </c>
      <c r="F7715" s="43">
        <f>IF($E7715=0,0,YEAR($E7715))</f>
      </c>
      <c r="G7715" s="43">
        <f>IF(INDEX(DarlBindung,17)="",1,IF($E7715&lt;=INDEX(DarlBindung,17),1,0))</f>
      </c>
      <c r="H7715" s="43">
        <f>IF($G7715=1,INDEX(DarlSollzins,17),INDEX(DarlAnschluss,17))</f>
      </c>
      <c r="I7715" s="43">
        <f>IF(INDEX(DarlBelegt,17)=0,0,IF(INDEX(DarlOhneTilgung,17)=1,IF(INDEX(DarlBindung,17)="",1,$G7715),IF($J7715&gt;0.005,1,0)))</f>
      </c>
      <c r="J7715" s="43">
        <f>IF($I7714=0,0,$R7714)</f>
      </c>
      <c r="K7715" s="43">
        <f>IF($I7715=0,0,IF(INDEX(DarlOhneTilgung,17)=1,0,IF(AND(INDEX(DarlTilgStart,17)&gt;0,$E7715=INDEX(DarlTilgStart,17)),$J7715*($H7715+INDEX(DarlTilgung,17))/100/12,IF(AND($G7715=0,$G7714=1),MAX($K7714,$J7715*($H7715+1)/100/12),$K7714))))</f>
      </c>
      <c r="L7715" s="43">
        <f>IF($I7715=0,0,$J7715*$H7715/100/12)</f>
      </c>
      <c r="M7715" s="43">
        <f>IF($I7715=0,0,IF(OR(INDEX(DarlOhneTilgung,17)=1,AND(INDEX(DarlTilgStart,17)&gt;0,$E7715&lt;INDEX(DarlTilgStart,17))),0,MIN(MAX(0,$K7715-$L7715),$J7715)))</f>
      </c>
      <c r="N7715" s="43">
        <f>IF($I7715=0,0,MIN(SUMIFS(SondBetrag,SondDarl,17,SondDatum,"&gt;="&amp;$E7715,SondDatum,"&lt;="&amp;EOMONTH($E7715,0)),$J7715-$M7715))</f>
      </c>
      <c r="O7715" s="43">
        <f>IF($I7715=0,0,INDEX(DarlErsatzRate,17))</f>
      </c>
      <c r="P7715" s="43">
        <f>IF($I7715=0,0,$Q7714*INDEX(DarlErsatzZins,17))</f>
      </c>
      <c r="Q7715" s="43">
        <f>IF($I7715=0,0,$Q7714+$P7715+$O7715)</f>
      </c>
      <c r="R7715" s="43">
        <f>IF($I7715=0,0,$J7715-$M7715-$N7715)</f>
      </c>
    </row>
    <row r="7716">
      <c r="A7716"/>
      <c r="B7716">
        <v>17</v>
      </c>
      <c r="C7716" s="43">
        <f>INDEX(DarlObj,17)</f>
      </c>
      <c r="D7716">
        <v>33</v>
      </c>
      <c r="E7716" s="51">
        <f>IF(INDEX(DarlBelegt,17)=0,0,EOMONTH(INDEX(DarlAuszahlung,17),32)+1)</f>
      </c>
      <c r="F7716" s="43">
        <f>IF($E7716=0,0,YEAR($E7716))</f>
      </c>
      <c r="G7716" s="43">
        <f>IF(INDEX(DarlBindung,17)="",1,IF($E7716&lt;=INDEX(DarlBindung,17),1,0))</f>
      </c>
      <c r="H7716" s="43">
        <f>IF($G7716=1,INDEX(DarlSollzins,17),INDEX(DarlAnschluss,17))</f>
      </c>
      <c r="I7716" s="43">
        <f>IF(INDEX(DarlBelegt,17)=0,0,IF(INDEX(DarlOhneTilgung,17)=1,IF(INDEX(DarlBindung,17)="",1,$G7716),IF($J7716&gt;0.005,1,0)))</f>
      </c>
      <c r="J7716" s="43">
        <f>IF($I7715=0,0,$R7715)</f>
      </c>
      <c r="K7716" s="43">
        <f>IF($I7716=0,0,IF(INDEX(DarlOhneTilgung,17)=1,0,IF(AND(INDEX(DarlTilgStart,17)&gt;0,$E7716=INDEX(DarlTilgStart,17)),$J7716*($H7716+INDEX(DarlTilgung,17))/100/12,IF(AND($G7716=0,$G7715=1),MAX($K7715,$J7716*($H7716+1)/100/12),$K7715))))</f>
      </c>
      <c r="L7716" s="43">
        <f>IF($I7716=0,0,$J7716*$H7716/100/12)</f>
      </c>
      <c r="M7716" s="43">
        <f>IF($I7716=0,0,IF(OR(INDEX(DarlOhneTilgung,17)=1,AND(INDEX(DarlTilgStart,17)&gt;0,$E7716&lt;INDEX(DarlTilgStart,17))),0,MIN(MAX(0,$K7716-$L7716),$J7716)))</f>
      </c>
      <c r="N7716" s="43">
        <f>IF($I7716=0,0,MIN(SUMIFS(SondBetrag,SondDarl,17,SondDatum,"&gt;="&amp;$E7716,SondDatum,"&lt;="&amp;EOMONTH($E7716,0)),$J7716-$M7716))</f>
      </c>
      <c r="O7716" s="43">
        <f>IF($I7716=0,0,INDEX(DarlErsatzRate,17))</f>
      </c>
      <c r="P7716" s="43">
        <f>IF($I7716=0,0,$Q7715*INDEX(DarlErsatzZins,17))</f>
      </c>
      <c r="Q7716" s="43">
        <f>IF($I7716=0,0,$Q7715+$P7716+$O7716)</f>
      </c>
      <c r="R7716" s="43">
        <f>IF($I7716=0,0,$J7716-$M7716-$N7716)</f>
      </c>
    </row>
    <row r="7717">
      <c r="A7717"/>
      <c r="B7717">
        <v>17</v>
      </c>
      <c r="C7717" s="43">
        <f>INDEX(DarlObj,17)</f>
      </c>
      <c r="D7717">
        <v>34</v>
      </c>
      <c r="E7717" s="51">
        <f>IF(INDEX(DarlBelegt,17)=0,0,EOMONTH(INDEX(DarlAuszahlung,17),33)+1)</f>
      </c>
      <c r="F7717" s="43">
        <f>IF($E7717=0,0,YEAR($E7717))</f>
      </c>
      <c r="G7717" s="43">
        <f>IF(INDEX(DarlBindung,17)="",1,IF($E7717&lt;=INDEX(DarlBindung,17),1,0))</f>
      </c>
      <c r="H7717" s="43">
        <f>IF($G7717=1,INDEX(DarlSollzins,17),INDEX(DarlAnschluss,17))</f>
      </c>
      <c r="I7717" s="43">
        <f>IF(INDEX(DarlBelegt,17)=0,0,IF(INDEX(DarlOhneTilgung,17)=1,IF(INDEX(DarlBindung,17)="",1,$G7717),IF($J7717&gt;0.005,1,0)))</f>
      </c>
      <c r="J7717" s="43">
        <f>IF($I7716=0,0,$R7716)</f>
      </c>
      <c r="K7717" s="43">
        <f>IF($I7717=0,0,IF(INDEX(DarlOhneTilgung,17)=1,0,IF(AND(INDEX(DarlTilgStart,17)&gt;0,$E7717=INDEX(DarlTilgStart,17)),$J7717*($H7717+INDEX(DarlTilgung,17))/100/12,IF(AND($G7717=0,$G7716=1),MAX($K7716,$J7717*($H7717+1)/100/12),$K7716))))</f>
      </c>
      <c r="L7717" s="43">
        <f>IF($I7717=0,0,$J7717*$H7717/100/12)</f>
      </c>
      <c r="M7717" s="43">
        <f>IF($I7717=0,0,IF(OR(INDEX(DarlOhneTilgung,17)=1,AND(INDEX(DarlTilgStart,17)&gt;0,$E7717&lt;INDEX(DarlTilgStart,17))),0,MIN(MAX(0,$K7717-$L7717),$J7717)))</f>
      </c>
      <c r="N7717" s="43">
        <f>IF($I7717=0,0,MIN(SUMIFS(SondBetrag,SondDarl,17,SondDatum,"&gt;="&amp;$E7717,SondDatum,"&lt;="&amp;EOMONTH($E7717,0)),$J7717-$M7717))</f>
      </c>
      <c r="O7717" s="43">
        <f>IF($I7717=0,0,INDEX(DarlErsatzRate,17))</f>
      </c>
      <c r="P7717" s="43">
        <f>IF($I7717=0,0,$Q7716*INDEX(DarlErsatzZins,17))</f>
      </c>
      <c r="Q7717" s="43">
        <f>IF($I7717=0,0,$Q7716+$P7717+$O7717)</f>
      </c>
      <c r="R7717" s="43">
        <f>IF($I7717=0,0,$J7717-$M7717-$N7717)</f>
      </c>
    </row>
    <row r="7718">
      <c r="A7718"/>
      <c r="B7718">
        <v>17</v>
      </c>
      <c r="C7718" s="43">
        <f>INDEX(DarlObj,17)</f>
      </c>
      <c r="D7718">
        <v>35</v>
      </c>
      <c r="E7718" s="51">
        <f>IF(INDEX(DarlBelegt,17)=0,0,EOMONTH(INDEX(DarlAuszahlung,17),34)+1)</f>
      </c>
      <c r="F7718" s="43">
        <f>IF($E7718=0,0,YEAR($E7718))</f>
      </c>
      <c r="G7718" s="43">
        <f>IF(INDEX(DarlBindung,17)="",1,IF($E7718&lt;=INDEX(DarlBindung,17),1,0))</f>
      </c>
      <c r="H7718" s="43">
        <f>IF($G7718=1,INDEX(DarlSollzins,17),INDEX(DarlAnschluss,17))</f>
      </c>
      <c r="I7718" s="43">
        <f>IF(INDEX(DarlBelegt,17)=0,0,IF(INDEX(DarlOhneTilgung,17)=1,IF(INDEX(DarlBindung,17)="",1,$G7718),IF($J7718&gt;0.005,1,0)))</f>
      </c>
      <c r="J7718" s="43">
        <f>IF($I7717=0,0,$R7717)</f>
      </c>
      <c r="K7718" s="43">
        <f>IF($I7718=0,0,IF(INDEX(DarlOhneTilgung,17)=1,0,IF(AND(INDEX(DarlTilgStart,17)&gt;0,$E7718=INDEX(DarlTilgStart,17)),$J7718*($H7718+INDEX(DarlTilgung,17))/100/12,IF(AND($G7718=0,$G7717=1),MAX($K7717,$J7718*($H7718+1)/100/12),$K7717))))</f>
      </c>
      <c r="L7718" s="43">
        <f>IF($I7718=0,0,$J7718*$H7718/100/12)</f>
      </c>
      <c r="M7718" s="43">
        <f>IF($I7718=0,0,IF(OR(INDEX(DarlOhneTilgung,17)=1,AND(INDEX(DarlTilgStart,17)&gt;0,$E7718&lt;INDEX(DarlTilgStart,17))),0,MIN(MAX(0,$K7718-$L7718),$J7718)))</f>
      </c>
      <c r="N7718" s="43">
        <f>IF($I7718=0,0,MIN(SUMIFS(SondBetrag,SondDarl,17,SondDatum,"&gt;="&amp;$E7718,SondDatum,"&lt;="&amp;EOMONTH($E7718,0)),$J7718-$M7718))</f>
      </c>
      <c r="O7718" s="43">
        <f>IF($I7718=0,0,INDEX(DarlErsatzRate,17))</f>
      </c>
      <c r="P7718" s="43">
        <f>IF($I7718=0,0,$Q7717*INDEX(DarlErsatzZins,17))</f>
      </c>
      <c r="Q7718" s="43">
        <f>IF($I7718=0,0,$Q7717+$P7718+$O7718)</f>
      </c>
      <c r="R7718" s="43">
        <f>IF($I7718=0,0,$J7718-$M7718-$N7718)</f>
      </c>
    </row>
    <row r="7719">
      <c r="A7719"/>
      <c r="B7719">
        <v>17</v>
      </c>
      <c r="C7719" s="43">
        <f>INDEX(DarlObj,17)</f>
      </c>
      <c r="D7719">
        <v>36</v>
      </c>
      <c r="E7719" s="51">
        <f>IF(INDEX(DarlBelegt,17)=0,0,EOMONTH(INDEX(DarlAuszahlung,17),35)+1)</f>
      </c>
      <c r="F7719" s="43">
        <f>IF($E7719=0,0,YEAR($E7719))</f>
      </c>
      <c r="G7719" s="43">
        <f>IF(INDEX(DarlBindung,17)="",1,IF($E7719&lt;=INDEX(DarlBindung,17),1,0))</f>
      </c>
      <c r="H7719" s="43">
        <f>IF($G7719=1,INDEX(DarlSollzins,17),INDEX(DarlAnschluss,17))</f>
      </c>
      <c r="I7719" s="43">
        <f>IF(INDEX(DarlBelegt,17)=0,0,IF(INDEX(DarlOhneTilgung,17)=1,IF(INDEX(DarlBindung,17)="",1,$G7719),IF($J7719&gt;0.005,1,0)))</f>
      </c>
      <c r="J7719" s="43">
        <f>IF($I7718=0,0,$R7718)</f>
      </c>
      <c r="K7719" s="43">
        <f>IF($I7719=0,0,IF(INDEX(DarlOhneTilgung,17)=1,0,IF(AND(INDEX(DarlTilgStart,17)&gt;0,$E7719=INDEX(DarlTilgStart,17)),$J7719*($H7719+INDEX(DarlTilgung,17))/100/12,IF(AND($G7719=0,$G7718=1),MAX($K7718,$J7719*($H7719+1)/100/12),$K7718))))</f>
      </c>
      <c r="L7719" s="43">
        <f>IF($I7719=0,0,$J7719*$H7719/100/12)</f>
      </c>
      <c r="M7719" s="43">
        <f>IF($I7719=0,0,IF(OR(INDEX(DarlOhneTilgung,17)=1,AND(INDEX(DarlTilgStart,17)&gt;0,$E7719&lt;INDEX(DarlTilgStart,17))),0,MIN(MAX(0,$K7719-$L7719),$J7719)))</f>
      </c>
      <c r="N7719" s="43">
        <f>IF($I7719=0,0,MIN(SUMIFS(SondBetrag,SondDarl,17,SondDatum,"&gt;="&amp;$E7719,SondDatum,"&lt;="&amp;EOMONTH($E7719,0)),$J7719-$M7719))</f>
      </c>
      <c r="O7719" s="43">
        <f>IF($I7719=0,0,INDEX(DarlErsatzRate,17))</f>
      </c>
      <c r="P7719" s="43">
        <f>IF($I7719=0,0,$Q7718*INDEX(DarlErsatzZins,17))</f>
      </c>
      <c r="Q7719" s="43">
        <f>IF($I7719=0,0,$Q7718+$P7719+$O7719)</f>
      </c>
      <c r="R7719" s="43">
        <f>IF($I7719=0,0,$J7719-$M7719-$N7719)</f>
      </c>
    </row>
    <row r="7720">
      <c r="A7720"/>
      <c r="B7720">
        <v>17</v>
      </c>
      <c r="C7720" s="43">
        <f>INDEX(DarlObj,17)</f>
      </c>
      <c r="D7720">
        <v>37</v>
      </c>
      <c r="E7720" s="51">
        <f>IF(INDEX(DarlBelegt,17)=0,0,EOMONTH(INDEX(DarlAuszahlung,17),36)+1)</f>
      </c>
      <c r="F7720" s="43">
        <f>IF($E7720=0,0,YEAR($E7720))</f>
      </c>
      <c r="G7720" s="43">
        <f>IF(INDEX(DarlBindung,17)="",1,IF($E7720&lt;=INDEX(DarlBindung,17),1,0))</f>
      </c>
      <c r="H7720" s="43">
        <f>IF($G7720=1,INDEX(DarlSollzins,17),INDEX(DarlAnschluss,17))</f>
      </c>
      <c r="I7720" s="43">
        <f>IF(INDEX(DarlBelegt,17)=0,0,IF(INDEX(DarlOhneTilgung,17)=1,IF(INDEX(DarlBindung,17)="",1,$G7720),IF($J7720&gt;0.005,1,0)))</f>
      </c>
      <c r="J7720" s="43">
        <f>IF($I7719=0,0,$R7719)</f>
      </c>
      <c r="K7720" s="43">
        <f>IF($I7720=0,0,IF(INDEX(DarlOhneTilgung,17)=1,0,IF(AND(INDEX(DarlTilgStart,17)&gt;0,$E7720=INDEX(DarlTilgStart,17)),$J7720*($H7720+INDEX(DarlTilgung,17))/100/12,IF(AND($G7720=0,$G7719=1),MAX($K7719,$J7720*($H7720+1)/100/12),$K7719))))</f>
      </c>
      <c r="L7720" s="43">
        <f>IF($I7720=0,0,$J7720*$H7720/100/12)</f>
      </c>
      <c r="M7720" s="43">
        <f>IF($I7720=0,0,IF(OR(INDEX(DarlOhneTilgung,17)=1,AND(INDEX(DarlTilgStart,17)&gt;0,$E7720&lt;INDEX(DarlTilgStart,17))),0,MIN(MAX(0,$K7720-$L7720),$J7720)))</f>
      </c>
      <c r="N7720" s="43">
        <f>IF($I7720=0,0,MIN(SUMIFS(SondBetrag,SondDarl,17,SondDatum,"&gt;="&amp;$E7720,SondDatum,"&lt;="&amp;EOMONTH($E7720,0)),$J7720-$M7720))</f>
      </c>
      <c r="O7720" s="43">
        <f>IF($I7720=0,0,INDEX(DarlErsatzRate,17))</f>
      </c>
      <c r="P7720" s="43">
        <f>IF($I7720=0,0,$Q7719*INDEX(DarlErsatzZins,17))</f>
      </c>
      <c r="Q7720" s="43">
        <f>IF($I7720=0,0,$Q7719+$P7720+$O7720)</f>
      </c>
      <c r="R7720" s="43">
        <f>IF($I7720=0,0,$J7720-$M7720-$N7720)</f>
      </c>
    </row>
    <row r="7721">
      <c r="A7721"/>
      <c r="B7721">
        <v>17</v>
      </c>
      <c r="C7721" s="43">
        <f>INDEX(DarlObj,17)</f>
      </c>
      <c r="D7721">
        <v>38</v>
      </c>
      <c r="E7721" s="51">
        <f>IF(INDEX(DarlBelegt,17)=0,0,EOMONTH(INDEX(DarlAuszahlung,17),37)+1)</f>
      </c>
      <c r="F7721" s="43">
        <f>IF($E7721=0,0,YEAR($E7721))</f>
      </c>
      <c r="G7721" s="43">
        <f>IF(INDEX(DarlBindung,17)="",1,IF($E7721&lt;=INDEX(DarlBindung,17),1,0))</f>
      </c>
      <c r="H7721" s="43">
        <f>IF($G7721=1,INDEX(DarlSollzins,17),INDEX(DarlAnschluss,17))</f>
      </c>
      <c r="I7721" s="43">
        <f>IF(INDEX(DarlBelegt,17)=0,0,IF(INDEX(DarlOhneTilgung,17)=1,IF(INDEX(DarlBindung,17)="",1,$G7721),IF($J7721&gt;0.005,1,0)))</f>
      </c>
      <c r="J7721" s="43">
        <f>IF($I7720=0,0,$R7720)</f>
      </c>
      <c r="K7721" s="43">
        <f>IF($I7721=0,0,IF(INDEX(DarlOhneTilgung,17)=1,0,IF(AND(INDEX(DarlTilgStart,17)&gt;0,$E7721=INDEX(DarlTilgStart,17)),$J7721*($H7721+INDEX(DarlTilgung,17))/100/12,IF(AND($G7721=0,$G7720=1),MAX($K7720,$J7721*($H7721+1)/100/12),$K7720))))</f>
      </c>
      <c r="L7721" s="43">
        <f>IF($I7721=0,0,$J7721*$H7721/100/12)</f>
      </c>
      <c r="M7721" s="43">
        <f>IF($I7721=0,0,IF(OR(INDEX(DarlOhneTilgung,17)=1,AND(INDEX(DarlTilgStart,17)&gt;0,$E7721&lt;INDEX(DarlTilgStart,17))),0,MIN(MAX(0,$K7721-$L7721),$J7721)))</f>
      </c>
      <c r="N7721" s="43">
        <f>IF($I7721=0,0,MIN(SUMIFS(SondBetrag,SondDarl,17,SondDatum,"&gt;="&amp;$E7721,SondDatum,"&lt;="&amp;EOMONTH($E7721,0)),$J7721-$M7721))</f>
      </c>
      <c r="O7721" s="43">
        <f>IF($I7721=0,0,INDEX(DarlErsatzRate,17))</f>
      </c>
      <c r="P7721" s="43">
        <f>IF($I7721=0,0,$Q7720*INDEX(DarlErsatzZins,17))</f>
      </c>
      <c r="Q7721" s="43">
        <f>IF($I7721=0,0,$Q7720+$P7721+$O7721)</f>
      </c>
      <c r="R7721" s="43">
        <f>IF($I7721=0,0,$J7721-$M7721-$N7721)</f>
      </c>
    </row>
    <row r="7722">
      <c r="A7722"/>
      <c r="B7722">
        <v>17</v>
      </c>
      <c r="C7722" s="43">
        <f>INDEX(DarlObj,17)</f>
      </c>
      <c r="D7722">
        <v>39</v>
      </c>
      <c r="E7722" s="51">
        <f>IF(INDEX(DarlBelegt,17)=0,0,EOMONTH(INDEX(DarlAuszahlung,17),38)+1)</f>
      </c>
      <c r="F7722" s="43">
        <f>IF($E7722=0,0,YEAR($E7722))</f>
      </c>
      <c r="G7722" s="43">
        <f>IF(INDEX(DarlBindung,17)="",1,IF($E7722&lt;=INDEX(DarlBindung,17),1,0))</f>
      </c>
      <c r="H7722" s="43">
        <f>IF($G7722=1,INDEX(DarlSollzins,17),INDEX(DarlAnschluss,17))</f>
      </c>
      <c r="I7722" s="43">
        <f>IF(INDEX(DarlBelegt,17)=0,0,IF(INDEX(DarlOhneTilgung,17)=1,IF(INDEX(DarlBindung,17)="",1,$G7722),IF($J7722&gt;0.005,1,0)))</f>
      </c>
      <c r="J7722" s="43">
        <f>IF($I7721=0,0,$R7721)</f>
      </c>
      <c r="K7722" s="43">
        <f>IF($I7722=0,0,IF(INDEX(DarlOhneTilgung,17)=1,0,IF(AND(INDEX(DarlTilgStart,17)&gt;0,$E7722=INDEX(DarlTilgStart,17)),$J7722*($H7722+INDEX(DarlTilgung,17))/100/12,IF(AND($G7722=0,$G7721=1),MAX($K7721,$J7722*($H7722+1)/100/12),$K7721))))</f>
      </c>
      <c r="L7722" s="43">
        <f>IF($I7722=0,0,$J7722*$H7722/100/12)</f>
      </c>
      <c r="M7722" s="43">
        <f>IF($I7722=0,0,IF(OR(INDEX(DarlOhneTilgung,17)=1,AND(INDEX(DarlTilgStart,17)&gt;0,$E7722&lt;INDEX(DarlTilgStart,17))),0,MIN(MAX(0,$K7722-$L7722),$J7722)))</f>
      </c>
      <c r="N7722" s="43">
        <f>IF($I7722=0,0,MIN(SUMIFS(SondBetrag,SondDarl,17,SondDatum,"&gt;="&amp;$E7722,SondDatum,"&lt;="&amp;EOMONTH($E7722,0)),$J7722-$M7722))</f>
      </c>
      <c r="O7722" s="43">
        <f>IF($I7722=0,0,INDEX(DarlErsatzRate,17))</f>
      </c>
      <c r="P7722" s="43">
        <f>IF($I7722=0,0,$Q7721*INDEX(DarlErsatzZins,17))</f>
      </c>
      <c r="Q7722" s="43">
        <f>IF($I7722=0,0,$Q7721+$P7722+$O7722)</f>
      </c>
      <c r="R7722" s="43">
        <f>IF($I7722=0,0,$J7722-$M7722-$N7722)</f>
      </c>
    </row>
    <row r="7723">
      <c r="A7723"/>
      <c r="B7723">
        <v>17</v>
      </c>
      <c r="C7723" s="43">
        <f>INDEX(DarlObj,17)</f>
      </c>
      <c r="D7723">
        <v>40</v>
      </c>
      <c r="E7723" s="51">
        <f>IF(INDEX(DarlBelegt,17)=0,0,EOMONTH(INDEX(DarlAuszahlung,17),39)+1)</f>
      </c>
      <c r="F7723" s="43">
        <f>IF($E7723=0,0,YEAR($E7723))</f>
      </c>
      <c r="G7723" s="43">
        <f>IF(INDEX(DarlBindung,17)="",1,IF($E7723&lt;=INDEX(DarlBindung,17),1,0))</f>
      </c>
      <c r="H7723" s="43">
        <f>IF($G7723=1,INDEX(DarlSollzins,17),INDEX(DarlAnschluss,17))</f>
      </c>
      <c r="I7723" s="43">
        <f>IF(INDEX(DarlBelegt,17)=0,0,IF(INDEX(DarlOhneTilgung,17)=1,IF(INDEX(DarlBindung,17)="",1,$G7723),IF($J7723&gt;0.005,1,0)))</f>
      </c>
      <c r="J7723" s="43">
        <f>IF($I7722=0,0,$R7722)</f>
      </c>
      <c r="K7723" s="43">
        <f>IF($I7723=0,0,IF(INDEX(DarlOhneTilgung,17)=1,0,IF(AND(INDEX(DarlTilgStart,17)&gt;0,$E7723=INDEX(DarlTilgStart,17)),$J7723*($H7723+INDEX(DarlTilgung,17))/100/12,IF(AND($G7723=0,$G7722=1),MAX($K7722,$J7723*($H7723+1)/100/12),$K7722))))</f>
      </c>
      <c r="L7723" s="43">
        <f>IF($I7723=0,0,$J7723*$H7723/100/12)</f>
      </c>
      <c r="M7723" s="43">
        <f>IF($I7723=0,0,IF(OR(INDEX(DarlOhneTilgung,17)=1,AND(INDEX(DarlTilgStart,17)&gt;0,$E7723&lt;INDEX(DarlTilgStart,17))),0,MIN(MAX(0,$K7723-$L7723),$J7723)))</f>
      </c>
      <c r="N7723" s="43">
        <f>IF($I7723=0,0,MIN(SUMIFS(SondBetrag,SondDarl,17,SondDatum,"&gt;="&amp;$E7723,SondDatum,"&lt;="&amp;EOMONTH($E7723,0)),$J7723-$M7723))</f>
      </c>
      <c r="O7723" s="43">
        <f>IF($I7723=0,0,INDEX(DarlErsatzRate,17))</f>
      </c>
      <c r="P7723" s="43">
        <f>IF($I7723=0,0,$Q7722*INDEX(DarlErsatzZins,17))</f>
      </c>
      <c r="Q7723" s="43">
        <f>IF($I7723=0,0,$Q7722+$P7723+$O7723)</f>
      </c>
      <c r="R7723" s="43">
        <f>IF($I7723=0,0,$J7723-$M7723-$N7723)</f>
      </c>
    </row>
    <row r="7724">
      <c r="A7724"/>
      <c r="B7724">
        <v>17</v>
      </c>
      <c r="C7724" s="43">
        <f>INDEX(DarlObj,17)</f>
      </c>
      <c r="D7724">
        <v>41</v>
      </c>
      <c r="E7724" s="51">
        <f>IF(INDEX(DarlBelegt,17)=0,0,EOMONTH(INDEX(DarlAuszahlung,17),40)+1)</f>
      </c>
      <c r="F7724" s="43">
        <f>IF($E7724=0,0,YEAR($E7724))</f>
      </c>
      <c r="G7724" s="43">
        <f>IF(INDEX(DarlBindung,17)="",1,IF($E7724&lt;=INDEX(DarlBindung,17),1,0))</f>
      </c>
      <c r="H7724" s="43">
        <f>IF($G7724=1,INDEX(DarlSollzins,17),INDEX(DarlAnschluss,17))</f>
      </c>
      <c r="I7724" s="43">
        <f>IF(INDEX(DarlBelegt,17)=0,0,IF(INDEX(DarlOhneTilgung,17)=1,IF(INDEX(DarlBindung,17)="",1,$G7724),IF($J7724&gt;0.005,1,0)))</f>
      </c>
      <c r="J7724" s="43">
        <f>IF($I7723=0,0,$R7723)</f>
      </c>
      <c r="K7724" s="43">
        <f>IF($I7724=0,0,IF(INDEX(DarlOhneTilgung,17)=1,0,IF(AND(INDEX(DarlTilgStart,17)&gt;0,$E7724=INDEX(DarlTilgStart,17)),$J7724*($H7724+INDEX(DarlTilgung,17))/100/12,IF(AND($G7724=0,$G7723=1),MAX($K7723,$J7724*($H7724+1)/100/12),$K7723))))</f>
      </c>
      <c r="L7724" s="43">
        <f>IF($I7724=0,0,$J7724*$H7724/100/12)</f>
      </c>
      <c r="M7724" s="43">
        <f>IF($I7724=0,0,IF(OR(INDEX(DarlOhneTilgung,17)=1,AND(INDEX(DarlTilgStart,17)&gt;0,$E7724&lt;INDEX(DarlTilgStart,17))),0,MIN(MAX(0,$K7724-$L7724),$J7724)))</f>
      </c>
      <c r="N7724" s="43">
        <f>IF($I7724=0,0,MIN(SUMIFS(SondBetrag,SondDarl,17,SondDatum,"&gt;="&amp;$E7724,SondDatum,"&lt;="&amp;EOMONTH($E7724,0)),$J7724-$M7724))</f>
      </c>
      <c r="O7724" s="43">
        <f>IF($I7724=0,0,INDEX(DarlErsatzRate,17))</f>
      </c>
      <c r="P7724" s="43">
        <f>IF($I7724=0,0,$Q7723*INDEX(DarlErsatzZins,17))</f>
      </c>
      <c r="Q7724" s="43">
        <f>IF($I7724=0,0,$Q7723+$P7724+$O7724)</f>
      </c>
      <c r="R7724" s="43">
        <f>IF($I7724=0,0,$J7724-$M7724-$N7724)</f>
      </c>
    </row>
    <row r="7725">
      <c r="A7725"/>
      <c r="B7725">
        <v>17</v>
      </c>
      <c r="C7725" s="43">
        <f>INDEX(DarlObj,17)</f>
      </c>
      <c r="D7725">
        <v>42</v>
      </c>
      <c r="E7725" s="51">
        <f>IF(INDEX(DarlBelegt,17)=0,0,EOMONTH(INDEX(DarlAuszahlung,17),41)+1)</f>
      </c>
      <c r="F7725" s="43">
        <f>IF($E7725=0,0,YEAR($E7725))</f>
      </c>
      <c r="G7725" s="43">
        <f>IF(INDEX(DarlBindung,17)="",1,IF($E7725&lt;=INDEX(DarlBindung,17),1,0))</f>
      </c>
      <c r="H7725" s="43">
        <f>IF($G7725=1,INDEX(DarlSollzins,17),INDEX(DarlAnschluss,17))</f>
      </c>
      <c r="I7725" s="43">
        <f>IF(INDEX(DarlBelegt,17)=0,0,IF(INDEX(DarlOhneTilgung,17)=1,IF(INDEX(DarlBindung,17)="",1,$G7725),IF($J7725&gt;0.005,1,0)))</f>
      </c>
      <c r="J7725" s="43">
        <f>IF($I7724=0,0,$R7724)</f>
      </c>
      <c r="K7725" s="43">
        <f>IF($I7725=0,0,IF(INDEX(DarlOhneTilgung,17)=1,0,IF(AND(INDEX(DarlTilgStart,17)&gt;0,$E7725=INDEX(DarlTilgStart,17)),$J7725*($H7725+INDEX(DarlTilgung,17))/100/12,IF(AND($G7725=0,$G7724=1),MAX($K7724,$J7725*($H7725+1)/100/12),$K7724))))</f>
      </c>
      <c r="L7725" s="43">
        <f>IF($I7725=0,0,$J7725*$H7725/100/12)</f>
      </c>
      <c r="M7725" s="43">
        <f>IF($I7725=0,0,IF(OR(INDEX(DarlOhneTilgung,17)=1,AND(INDEX(DarlTilgStart,17)&gt;0,$E7725&lt;INDEX(DarlTilgStart,17))),0,MIN(MAX(0,$K7725-$L7725),$J7725)))</f>
      </c>
      <c r="N7725" s="43">
        <f>IF($I7725=0,0,MIN(SUMIFS(SondBetrag,SondDarl,17,SondDatum,"&gt;="&amp;$E7725,SondDatum,"&lt;="&amp;EOMONTH($E7725,0)),$J7725-$M7725))</f>
      </c>
      <c r="O7725" s="43">
        <f>IF($I7725=0,0,INDEX(DarlErsatzRate,17))</f>
      </c>
      <c r="P7725" s="43">
        <f>IF($I7725=0,0,$Q7724*INDEX(DarlErsatzZins,17))</f>
      </c>
      <c r="Q7725" s="43">
        <f>IF($I7725=0,0,$Q7724+$P7725+$O7725)</f>
      </c>
      <c r="R7725" s="43">
        <f>IF($I7725=0,0,$J7725-$M7725-$N7725)</f>
      </c>
    </row>
    <row r="7726">
      <c r="A7726"/>
      <c r="B7726">
        <v>17</v>
      </c>
      <c r="C7726" s="43">
        <f>INDEX(DarlObj,17)</f>
      </c>
      <c r="D7726">
        <v>43</v>
      </c>
      <c r="E7726" s="51">
        <f>IF(INDEX(DarlBelegt,17)=0,0,EOMONTH(INDEX(DarlAuszahlung,17),42)+1)</f>
      </c>
      <c r="F7726" s="43">
        <f>IF($E7726=0,0,YEAR($E7726))</f>
      </c>
      <c r="G7726" s="43">
        <f>IF(INDEX(DarlBindung,17)="",1,IF($E7726&lt;=INDEX(DarlBindung,17),1,0))</f>
      </c>
      <c r="H7726" s="43">
        <f>IF($G7726=1,INDEX(DarlSollzins,17),INDEX(DarlAnschluss,17))</f>
      </c>
      <c r="I7726" s="43">
        <f>IF(INDEX(DarlBelegt,17)=0,0,IF(INDEX(DarlOhneTilgung,17)=1,IF(INDEX(DarlBindung,17)="",1,$G7726),IF($J7726&gt;0.005,1,0)))</f>
      </c>
      <c r="J7726" s="43">
        <f>IF($I7725=0,0,$R7725)</f>
      </c>
      <c r="K7726" s="43">
        <f>IF($I7726=0,0,IF(INDEX(DarlOhneTilgung,17)=1,0,IF(AND(INDEX(DarlTilgStart,17)&gt;0,$E7726=INDEX(DarlTilgStart,17)),$J7726*($H7726+INDEX(DarlTilgung,17))/100/12,IF(AND($G7726=0,$G7725=1),MAX($K7725,$J7726*($H7726+1)/100/12),$K7725))))</f>
      </c>
      <c r="L7726" s="43">
        <f>IF($I7726=0,0,$J7726*$H7726/100/12)</f>
      </c>
      <c r="M7726" s="43">
        <f>IF($I7726=0,0,IF(OR(INDEX(DarlOhneTilgung,17)=1,AND(INDEX(DarlTilgStart,17)&gt;0,$E7726&lt;INDEX(DarlTilgStart,17))),0,MIN(MAX(0,$K7726-$L7726),$J7726)))</f>
      </c>
      <c r="N7726" s="43">
        <f>IF($I7726=0,0,MIN(SUMIFS(SondBetrag,SondDarl,17,SondDatum,"&gt;="&amp;$E7726,SondDatum,"&lt;="&amp;EOMONTH($E7726,0)),$J7726-$M7726))</f>
      </c>
      <c r="O7726" s="43">
        <f>IF($I7726=0,0,INDEX(DarlErsatzRate,17))</f>
      </c>
      <c r="P7726" s="43">
        <f>IF($I7726=0,0,$Q7725*INDEX(DarlErsatzZins,17))</f>
      </c>
      <c r="Q7726" s="43">
        <f>IF($I7726=0,0,$Q7725+$P7726+$O7726)</f>
      </c>
      <c r="R7726" s="43">
        <f>IF($I7726=0,0,$J7726-$M7726-$N7726)</f>
      </c>
    </row>
    <row r="7727">
      <c r="A7727"/>
      <c r="B7727">
        <v>17</v>
      </c>
      <c r="C7727" s="43">
        <f>INDEX(DarlObj,17)</f>
      </c>
      <c r="D7727">
        <v>44</v>
      </c>
      <c r="E7727" s="51">
        <f>IF(INDEX(DarlBelegt,17)=0,0,EOMONTH(INDEX(DarlAuszahlung,17),43)+1)</f>
      </c>
      <c r="F7727" s="43">
        <f>IF($E7727=0,0,YEAR($E7727))</f>
      </c>
      <c r="G7727" s="43">
        <f>IF(INDEX(DarlBindung,17)="",1,IF($E7727&lt;=INDEX(DarlBindung,17),1,0))</f>
      </c>
      <c r="H7727" s="43">
        <f>IF($G7727=1,INDEX(DarlSollzins,17),INDEX(DarlAnschluss,17))</f>
      </c>
      <c r="I7727" s="43">
        <f>IF(INDEX(DarlBelegt,17)=0,0,IF(INDEX(DarlOhneTilgung,17)=1,IF(INDEX(DarlBindung,17)="",1,$G7727),IF($J7727&gt;0.005,1,0)))</f>
      </c>
      <c r="J7727" s="43">
        <f>IF($I7726=0,0,$R7726)</f>
      </c>
      <c r="K7727" s="43">
        <f>IF($I7727=0,0,IF(INDEX(DarlOhneTilgung,17)=1,0,IF(AND(INDEX(DarlTilgStart,17)&gt;0,$E7727=INDEX(DarlTilgStart,17)),$J7727*($H7727+INDEX(DarlTilgung,17))/100/12,IF(AND($G7727=0,$G7726=1),MAX($K7726,$J7727*($H7727+1)/100/12),$K7726))))</f>
      </c>
      <c r="L7727" s="43">
        <f>IF($I7727=0,0,$J7727*$H7727/100/12)</f>
      </c>
      <c r="M7727" s="43">
        <f>IF($I7727=0,0,IF(OR(INDEX(DarlOhneTilgung,17)=1,AND(INDEX(DarlTilgStart,17)&gt;0,$E7727&lt;INDEX(DarlTilgStart,17))),0,MIN(MAX(0,$K7727-$L7727),$J7727)))</f>
      </c>
      <c r="N7727" s="43">
        <f>IF($I7727=0,0,MIN(SUMIFS(SondBetrag,SondDarl,17,SondDatum,"&gt;="&amp;$E7727,SondDatum,"&lt;="&amp;EOMONTH($E7727,0)),$J7727-$M7727))</f>
      </c>
      <c r="O7727" s="43">
        <f>IF($I7727=0,0,INDEX(DarlErsatzRate,17))</f>
      </c>
      <c r="P7727" s="43">
        <f>IF($I7727=0,0,$Q7726*INDEX(DarlErsatzZins,17))</f>
      </c>
      <c r="Q7727" s="43">
        <f>IF($I7727=0,0,$Q7726+$P7727+$O7727)</f>
      </c>
      <c r="R7727" s="43">
        <f>IF($I7727=0,0,$J7727-$M7727-$N7727)</f>
      </c>
    </row>
    <row r="7728">
      <c r="A7728"/>
      <c r="B7728">
        <v>17</v>
      </c>
      <c r="C7728" s="43">
        <f>INDEX(DarlObj,17)</f>
      </c>
      <c r="D7728">
        <v>45</v>
      </c>
      <c r="E7728" s="51">
        <f>IF(INDEX(DarlBelegt,17)=0,0,EOMONTH(INDEX(DarlAuszahlung,17),44)+1)</f>
      </c>
      <c r="F7728" s="43">
        <f>IF($E7728=0,0,YEAR($E7728))</f>
      </c>
      <c r="G7728" s="43">
        <f>IF(INDEX(DarlBindung,17)="",1,IF($E7728&lt;=INDEX(DarlBindung,17),1,0))</f>
      </c>
      <c r="H7728" s="43">
        <f>IF($G7728=1,INDEX(DarlSollzins,17),INDEX(DarlAnschluss,17))</f>
      </c>
      <c r="I7728" s="43">
        <f>IF(INDEX(DarlBelegt,17)=0,0,IF(INDEX(DarlOhneTilgung,17)=1,IF(INDEX(DarlBindung,17)="",1,$G7728),IF($J7728&gt;0.005,1,0)))</f>
      </c>
      <c r="J7728" s="43">
        <f>IF($I7727=0,0,$R7727)</f>
      </c>
      <c r="K7728" s="43">
        <f>IF($I7728=0,0,IF(INDEX(DarlOhneTilgung,17)=1,0,IF(AND(INDEX(DarlTilgStart,17)&gt;0,$E7728=INDEX(DarlTilgStart,17)),$J7728*($H7728+INDEX(DarlTilgung,17))/100/12,IF(AND($G7728=0,$G7727=1),MAX($K7727,$J7728*($H7728+1)/100/12),$K7727))))</f>
      </c>
      <c r="L7728" s="43">
        <f>IF($I7728=0,0,$J7728*$H7728/100/12)</f>
      </c>
      <c r="M7728" s="43">
        <f>IF($I7728=0,0,IF(OR(INDEX(DarlOhneTilgung,17)=1,AND(INDEX(DarlTilgStart,17)&gt;0,$E7728&lt;INDEX(DarlTilgStart,17))),0,MIN(MAX(0,$K7728-$L7728),$J7728)))</f>
      </c>
      <c r="N7728" s="43">
        <f>IF($I7728=0,0,MIN(SUMIFS(SondBetrag,SondDarl,17,SondDatum,"&gt;="&amp;$E7728,SondDatum,"&lt;="&amp;EOMONTH($E7728,0)),$J7728-$M7728))</f>
      </c>
      <c r="O7728" s="43">
        <f>IF($I7728=0,0,INDEX(DarlErsatzRate,17))</f>
      </c>
      <c r="P7728" s="43">
        <f>IF($I7728=0,0,$Q7727*INDEX(DarlErsatzZins,17))</f>
      </c>
      <c r="Q7728" s="43">
        <f>IF($I7728=0,0,$Q7727+$P7728+$O7728)</f>
      </c>
      <c r="R7728" s="43">
        <f>IF($I7728=0,0,$J7728-$M7728-$N7728)</f>
      </c>
    </row>
    <row r="7729">
      <c r="A7729"/>
      <c r="B7729">
        <v>17</v>
      </c>
      <c r="C7729" s="43">
        <f>INDEX(DarlObj,17)</f>
      </c>
      <c r="D7729">
        <v>46</v>
      </c>
      <c r="E7729" s="51">
        <f>IF(INDEX(DarlBelegt,17)=0,0,EOMONTH(INDEX(DarlAuszahlung,17),45)+1)</f>
      </c>
      <c r="F7729" s="43">
        <f>IF($E7729=0,0,YEAR($E7729))</f>
      </c>
      <c r="G7729" s="43">
        <f>IF(INDEX(DarlBindung,17)="",1,IF($E7729&lt;=INDEX(DarlBindung,17),1,0))</f>
      </c>
      <c r="H7729" s="43">
        <f>IF($G7729=1,INDEX(DarlSollzins,17),INDEX(DarlAnschluss,17))</f>
      </c>
      <c r="I7729" s="43">
        <f>IF(INDEX(DarlBelegt,17)=0,0,IF(INDEX(DarlOhneTilgung,17)=1,IF(INDEX(DarlBindung,17)="",1,$G7729),IF($J7729&gt;0.005,1,0)))</f>
      </c>
      <c r="J7729" s="43">
        <f>IF($I7728=0,0,$R7728)</f>
      </c>
      <c r="K7729" s="43">
        <f>IF($I7729=0,0,IF(INDEX(DarlOhneTilgung,17)=1,0,IF(AND(INDEX(DarlTilgStart,17)&gt;0,$E7729=INDEX(DarlTilgStart,17)),$J7729*($H7729+INDEX(DarlTilgung,17))/100/12,IF(AND($G7729=0,$G7728=1),MAX($K7728,$J7729*($H7729+1)/100/12),$K7728))))</f>
      </c>
      <c r="L7729" s="43">
        <f>IF($I7729=0,0,$J7729*$H7729/100/12)</f>
      </c>
      <c r="M7729" s="43">
        <f>IF($I7729=0,0,IF(OR(INDEX(DarlOhneTilgung,17)=1,AND(INDEX(DarlTilgStart,17)&gt;0,$E7729&lt;INDEX(DarlTilgStart,17))),0,MIN(MAX(0,$K7729-$L7729),$J7729)))</f>
      </c>
      <c r="N7729" s="43">
        <f>IF($I7729=0,0,MIN(SUMIFS(SondBetrag,SondDarl,17,SondDatum,"&gt;="&amp;$E7729,SondDatum,"&lt;="&amp;EOMONTH($E7729,0)),$J7729-$M7729))</f>
      </c>
      <c r="O7729" s="43">
        <f>IF($I7729=0,0,INDEX(DarlErsatzRate,17))</f>
      </c>
      <c r="P7729" s="43">
        <f>IF($I7729=0,0,$Q7728*INDEX(DarlErsatzZins,17))</f>
      </c>
      <c r="Q7729" s="43">
        <f>IF($I7729=0,0,$Q7728+$P7729+$O7729)</f>
      </c>
      <c r="R7729" s="43">
        <f>IF($I7729=0,0,$J7729-$M7729-$N7729)</f>
      </c>
    </row>
    <row r="7730">
      <c r="A7730"/>
      <c r="B7730">
        <v>17</v>
      </c>
      <c r="C7730" s="43">
        <f>INDEX(DarlObj,17)</f>
      </c>
      <c r="D7730">
        <v>47</v>
      </c>
      <c r="E7730" s="51">
        <f>IF(INDEX(DarlBelegt,17)=0,0,EOMONTH(INDEX(DarlAuszahlung,17),46)+1)</f>
      </c>
      <c r="F7730" s="43">
        <f>IF($E7730=0,0,YEAR($E7730))</f>
      </c>
      <c r="G7730" s="43">
        <f>IF(INDEX(DarlBindung,17)="",1,IF($E7730&lt;=INDEX(DarlBindung,17),1,0))</f>
      </c>
      <c r="H7730" s="43">
        <f>IF($G7730=1,INDEX(DarlSollzins,17),INDEX(DarlAnschluss,17))</f>
      </c>
      <c r="I7730" s="43">
        <f>IF(INDEX(DarlBelegt,17)=0,0,IF(INDEX(DarlOhneTilgung,17)=1,IF(INDEX(DarlBindung,17)="",1,$G7730),IF($J7730&gt;0.005,1,0)))</f>
      </c>
      <c r="J7730" s="43">
        <f>IF($I7729=0,0,$R7729)</f>
      </c>
      <c r="K7730" s="43">
        <f>IF($I7730=0,0,IF(INDEX(DarlOhneTilgung,17)=1,0,IF(AND(INDEX(DarlTilgStart,17)&gt;0,$E7730=INDEX(DarlTilgStart,17)),$J7730*($H7730+INDEX(DarlTilgung,17))/100/12,IF(AND($G7730=0,$G7729=1),MAX($K7729,$J7730*($H7730+1)/100/12),$K7729))))</f>
      </c>
      <c r="L7730" s="43">
        <f>IF($I7730=0,0,$J7730*$H7730/100/12)</f>
      </c>
      <c r="M7730" s="43">
        <f>IF($I7730=0,0,IF(OR(INDEX(DarlOhneTilgung,17)=1,AND(INDEX(DarlTilgStart,17)&gt;0,$E7730&lt;INDEX(DarlTilgStart,17))),0,MIN(MAX(0,$K7730-$L7730),$J7730)))</f>
      </c>
      <c r="N7730" s="43">
        <f>IF($I7730=0,0,MIN(SUMIFS(SondBetrag,SondDarl,17,SondDatum,"&gt;="&amp;$E7730,SondDatum,"&lt;="&amp;EOMONTH($E7730,0)),$J7730-$M7730))</f>
      </c>
      <c r="O7730" s="43">
        <f>IF($I7730=0,0,INDEX(DarlErsatzRate,17))</f>
      </c>
      <c r="P7730" s="43">
        <f>IF($I7730=0,0,$Q7729*INDEX(DarlErsatzZins,17))</f>
      </c>
      <c r="Q7730" s="43">
        <f>IF($I7730=0,0,$Q7729+$P7730+$O7730)</f>
      </c>
      <c r="R7730" s="43">
        <f>IF($I7730=0,0,$J7730-$M7730-$N7730)</f>
      </c>
    </row>
    <row r="7731">
      <c r="A7731"/>
      <c r="B7731">
        <v>17</v>
      </c>
      <c r="C7731" s="43">
        <f>INDEX(DarlObj,17)</f>
      </c>
      <c r="D7731">
        <v>48</v>
      </c>
      <c r="E7731" s="51">
        <f>IF(INDEX(DarlBelegt,17)=0,0,EOMONTH(INDEX(DarlAuszahlung,17),47)+1)</f>
      </c>
      <c r="F7731" s="43">
        <f>IF($E7731=0,0,YEAR($E7731))</f>
      </c>
      <c r="G7731" s="43">
        <f>IF(INDEX(DarlBindung,17)="",1,IF($E7731&lt;=INDEX(DarlBindung,17),1,0))</f>
      </c>
      <c r="H7731" s="43">
        <f>IF($G7731=1,INDEX(DarlSollzins,17),INDEX(DarlAnschluss,17))</f>
      </c>
      <c r="I7731" s="43">
        <f>IF(INDEX(DarlBelegt,17)=0,0,IF(INDEX(DarlOhneTilgung,17)=1,IF(INDEX(DarlBindung,17)="",1,$G7731),IF($J7731&gt;0.005,1,0)))</f>
      </c>
      <c r="J7731" s="43">
        <f>IF($I7730=0,0,$R7730)</f>
      </c>
      <c r="K7731" s="43">
        <f>IF($I7731=0,0,IF(INDEX(DarlOhneTilgung,17)=1,0,IF(AND(INDEX(DarlTilgStart,17)&gt;0,$E7731=INDEX(DarlTilgStart,17)),$J7731*($H7731+INDEX(DarlTilgung,17))/100/12,IF(AND($G7731=0,$G7730=1),MAX($K7730,$J7731*($H7731+1)/100/12),$K7730))))</f>
      </c>
      <c r="L7731" s="43">
        <f>IF($I7731=0,0,$J7731*$H7731/100/12)</f>
      </c>
      <c r="M7731" s="43">
        <f>IF($I7731=0,0,IF(OR(INDEX(DarlOhneTilgung,17)=1,AND(INDEX(DarlTilgStart,17)&gt;0,$E7731&lt;INDEX(DarlTilgStart,17))),0,MIN(MAX(0,$K7731-$L7731),$J7731)))</f>
      </c>
      <c r="N7731" s="43">
        <f>IF($I7731=0,0,MIN(SUMIFS(SondBetrag,SondDarl,17,SondDatum,"&gt;="&amp;$E7731,SondDatum,"&lt;="&amp;EOMONTH($E7731,0)),$J7731-$M7731))</f>
      </c>
      <c r="O7731" s="43">
        <f>IF($I7731=0,0,INDEX(DarlErsatzRate,17))</f>
      </c>
      <c r="P7731" s="43">
        <f>IF($I7731=0,0,$Q7730*INDEX(DarlErsatzZins,17))</f>
      </c>
      <c r="Q7731" s="43">
        <f>IF($I7731=0,0,$Q7730+$P7731+$O7731)</f>
      </c>
      <c r="R7731" s="43">
        <f>IF($I7731=0,0,$J7731-$M7731-$N7731)</f>
      </c>
    </row>
    <row r="7732">
      <c r="A7732"/>
      <c r="B7732">
        <v>17</v>
      </c>
      <c r="C7732" s="43">
        <f>INDEX(DarlObj,17)</f>
      </c>
      <c r="D7732">
        <v>49</v>
      </c>
      <c r="E7732" s="51">
        <f>IF(INDEX(DarlBelegt,17)=0,0,EOMONTH(INDEX(DarlAuszahlung,17),48)+1)</f>
      </c>
      <c r="F7732" s="43">
        <f>IF($E7732=0,0,YEAR($E7732))</f>
      </c>
      <c r="G7732" s="43">
        <f>IF(INDEX(DarlBindung,17)="",1,IF($E7732&lt;=INDEX(DarlBindung,17),1,0))</f>
      </c>
      <c r="H7732" s="43">
        <f>IF($G7732=1,INDEX(DarlSollzins,17),INDEX(DarlAnschluss,17))</f>
      </c>
      <c r="I7732" s="43">
        <f>IF(INDEX(DarlBelegt,17)=0,0,IF(INDEX(DarlOhneTilgung,17)=1,IF(INDEX(DarlBindung,17)="",1,$G7732),IF($J7732&gt;0.005,1,0)))</f>
      </c>
      <c r="J7732" s="43">
        <f>IF($I7731=0,0,$R7731)</f>
      </c>
      <c r="K7732" s="43">
        <f>IF($I7732=0,0,IF(INDEX(DarlOhneTilgung,17)=1,0,IF(AND(INDEX(DarlTilgStart,17)&gt;0,$E7732=INDEX(DarlTilgStart,17)),$J7732*($H7732+INDEX(DarlTilgung,17))/100/12,IF(AND($G7732=0,$G7731=1),MAX($K7731,$J7732*($H7732+1)/100/12),$K7731))))</f>
      </c>
      <c r="L7732" s="43">
        <f>IF($I7732=0,0,$J7732*$H7732/100/12)</f>
      </c>
      <c r="M7732" s="43">
        <f>IF($I7732=0,0,IF(OR(INDEX(DarlOhneTilgung,17)=1,AND(INDEX(DarlTilgStart,17)&gt;0,$E7732&lt;INDEX(DarlTilgStart,17))),0,MIN(MAX(0,$K7732-$L7732),$J7732)))</f>
      </c>
      <c r="N7732" s="43">
        <f>IF($I7732=0,0,MIN(SUMIFS(SondBetrag,SondDarl,17,SondDatum,"&gt;="&amp;$E7732,SondDatum,"&lt;="&amp;EOMONTH($E7732,0)),$J7732-$M7732))</f>
      </c>
      <c r="O7732" s="43">
        <f>IF($I7732=0,0,INDEX(DarlErsatzRate,17))</f>
      </c>
      <c r="P7732" s="43">
        <f>IF($I7732=0,0,$Q7731*INDEX(DarlErsatzZins,17))</f>
      </c>
      <c r="Q7732" s="43">
        <f>IF($I7732=0,0,$Q7731+$P7732+$O7732)</f>
      </c>
      <c r="R7732" s="43">
        <f>IF($I7732=0,0,$J7732-$M7732-$N7732)</f>
      </c>
    </row>
    <row r="7733">
      <c r="A7733"/>
      <c r="B7733">
        <v>17</v>
      </c>
      <c r="C7733" s="43">
        <f>INDEX(DarlObj,17)</f>
      </c>
      <c r="D7733">
        <v>50</v>
      </c>
      <c r="E7733" s="51">
        <f>IF(INDEX(DarlBelegt,17)=0,0,EOMONTH(INDEX(DarlAuszahlung,17),49)+1)</f>
      </c>
      <c r="F7733" s="43">
        <f>IF($E7733=0,0,YEAR($E7733))</f>
      </c>
      <c r="G7733" s="43">
        <f>IF(INDEX(DarlBindung,17)="",1,IF($E7733&lt;=INDEX(DarlBindung,17),1,0))</f>
      </c>
      <c r="H7733" s="43">
        <f>IF($G7733=1,INDEX(DarlSollzins,17),INDEX(DarlAnschluss,17))</f>
      </c>
      <c r="I7733" s="43">
        <f>IF(INDEX(DarlBelegt,17)=0,0,IF(INDEX(DarlOhneTilgung,17)=1,IF(INDEX(DarlBindung,17)="",1,$G7733),IF($J7733&gt;0.005,1,0)))</f>
      </c>
      <c r="J7733" s="43">
        <f>IF($I7732=0,0,$R7732)</f>
      </c>
      <c r="K7733" s="43">
        <f>IF($I7733=0,0,IF(INDEX(DarlOhneTilgung,17)=1,0,IF(AND(INDEX(DarlTilgStart,17)&gt;0,$E7733=INDEX(DarlTilgStart,17)),$J7733*($H7733+INDEX(DarlTilgung,17))/100/12,IF(AND($G7733=0,$G7732=1),MAX($K7732,$J7733*($H7733+1)/100/12),$K7732))))</f>
      </c>
      <c r="L7733" s="43">
        <f>IF($I7733=0,0,$J7733*$H7733/100/12)</f>
      </c>
      <c r="M7733" s="43">
        <f>IF($I7733=0,0,IF(OR(INDEX(DarlOhneTilgung,17)=1,AND(INDEX(DarlTilgStart,17)&gt;0,$E7733&lt;INDEX(DarlTilgStart,17))),0,MIN(MAX(0,$K7733-$L7733),$J7733)))</f>
      </c>
      <c r="N7733" s="43">
        <f>IF($I7733=0,0,MIN(SUMIFS(SondBetrag,SondDarl,17,SondDatum,"&gt;="&amp;$E7733,SondDatum,"&lt;="&amp;EOMONTH($E7733,0)),$J7733-$M7733))</f>
      </c>
      <c r="O7733" s="43">
        <f>IF($I7733=0,0,INDEX(DarlErsatzRate,17))</f>
      </c>
      <c r="P7733" s="43">
        <f>IF($I7733=0,0,$Q7732*INDEX(DarlErsatzZins,17))</f>
      </c>
      <c r="Q7733" s="43">
        <f>IF($I7733=0,0,$Q7732+$P7733+$O7733)</f>
      </c>
      <c r="R7733" s="43">
        <f>IF($I7733=0,0,$J7733-$M7733-$N7733)</f>
      </c>
    </row>
    <row r="7734">
      <c r="A7734"/>
      <c r="B7734">
        <v>17</v>
      </c>
      <c r="C7734" s="43">
        <f>INDEX(DarlObj,17)</f>
      </c>
      <c r="D7734">
        <v>51</v>
      </c>
      <c r="E7734" s="51">
        <f>IF(INDEX(DarlBelegt,17)=0,0,EOMONTH(INDEX(DarlAuszahlung,17),50)+1)</f>
      </c>
      <c r="F7734" s="43">
        <f>IF($E7734=0,0,YEAR($E7734))</f>
      </c>
      <c r="G7734" s="43">
        <f>IF(INDEX(DarlBindung,17)="",1,IF($E7734&lt;=INDEX(DarlBindung,17),1,0))</f>
      </c>
      <c r="H7734" s="43">
        <f>IF($G7734=1,INDEX(DarlSollzins,17),INDEX(DarlAnschluss,17))</f>
      </c>
      <c r="I7734" s="43">
        <f>IF(INDEX(DarlBelegt,17)=0,0,IF(INDEX(DarlOhneTilgung,17)=1,IF(INDEX(DarlBindung,17)="",1,$G7734),IF($J7734&gt;0.005,1,0)))</f>
      </c>
      <c r="J7734" s="43">
        <f>IF($I7733=0,0,$R7733)</f>
      </c>
      <c r="K7734" s="43">
        <f>IF($I7734=0,0,IF(INDEX(DarlOhneTilgung,17)=1,0,IF(AND(INDEX(DarlTilgStart,17)&gt;0,$E7734=INDEX(DarlTilgStart,17)),$J7734*($H7734+INDEX(DarlTilgung,17))/100/12,IF(AND($G7734=0,$G7733=1),MAX($K7733,$J7734*($H7734+1)/100/12),$K7733))))</f>
      </c>
      <c r="L7734" s="43">
        <f>IF($I7734=0,0,$J7734*$H7734/100/12)</f>
      </c>
      <c r="M7734" s="43">
        <f>IF($I7734=0,0,IF(OR(INDEX(DarlOhneTilgung,17)=1,AND(INDEX(DarlTilgStart,17)&gt;0,$E7734&lt;INDEX(DarlTilgStart,17))),0,MIN(MAX(0,$K7734-$L7734),$J7734)))</f>
      </c>
      <c r="N7734" s="43">
        <f>IF($I7734=0,0,MIN(SUMIFS(SondBetrag,SondDarl,17,SondDatum,"&gt;="&amp;$E7734,SondDatum,"&lt;="&amp;EOMONTH($E7734,0)),$J7734-$M7734))</f>
      </c>
      <c r="O7734" s="43">
        <f>IF($I7734=0,0,INDEX(DarlErsatzRate,17))</f>
      </c>
      <c r="P7734" s="43">
        <f>IF($I7734=0,0,$Q7733*INDEX(DarlErsatzZins,17))</f>
      </c>
      <c r="Q7734" s="43">
        <f>IF($I7734=0,0,$Q7733+$P7734+$O7734)</f>
      </c>
      <c r="R7734" s="43">
        <f>IF($I7734=0,0,$J7734-$M7734-$N7734)</f>
      </c>
    </row>
    <row r="7735">
      <c r="A7735"/>
      <c r="B7735">
        <v>17</v>
      </c>
      <c r="C7735" s="43">
        <f>INDEX(DarlObj,17)</f>
      </c>
      <c r="D7735">
        <v>52</v>
      </c>
      <c r="E7735" s="51">
        <f>IF(INDEX(DarlBelegt,17)=0,0,EOMONTH(INDEX(DarlAuszahlung,17),51)+1)</f>
      </c>
      <c r="F7735" s="43">
        <f>IF($E7735=0,0,YEAR($E7735))</f>
      </c>
      <c r="G7735" s="43">
        <f>IF(INDEX(DarlBindung,17)="",1,IF($E7735&lt;=INDEX(DarlBindung,17),1,0))</f>
      </c>
      <c r="H7735" s="43">
        <f>IF($G7735=1,INDEX(DarlSollzins,17),INDEX(DarlAnschluss,17))</f>
      </c>
      <c r="I7735" s="43">
        <f>IF(INDEX(DarlBelegt,17)=0,0,IF(INDEX(DarlOhneTilgung,17)=1,IF(INDEX(DarlBindung,17)="",1,$G7735),IF($J7735&gt;0.005,1,0)))</f>
      </c>
      <c r="J7735" s="43">
        <f>IF($I7734=0,0,$R7734)</f>
      </c>
      <c r="K7735" s="43">
        <f>IF($I7735=0,0,IF(INDEX(DarlOhneTilgung,17)=1,0,IF(AND(INDEX(DarlTilgStart,17)&gt;0,$E7735=INDEX(DarlTilgStart,17)),$J7735*($H7735+INDEX(DarlTilgung,17))/100/12,IF(AND($G7735=0,$G7734=1),MAX($K7734,$J7735*($H7735+1)/100/12),$K7734))))</f>
      </c>
      <c r="L7735" s="43">
        <f>IF($I7735=0,0,$J7735*$H7735/100/12)</f>
      </c>
      <c r="M7735" s="43">
        <f>IF($I7735=0,0,IF(OR(INDEX(DarlOhneTilgung,17)=1,AND(INDEX(DarlTilgStart,17)&gt;0,$E7735&lt;INDEX(DarlTilgStart,17))),0,MIN(MAX(0,$K7735-$L7735),$J7735)))</f>
      </c>
      <c r="N7735" s="43">
        <f>IF($I7735=0,0,MIN(SUMIFS(SondBetrag,SondDarl,17,SondDatum,"&gt;="&amp;$E7735,SondDatum,"&lt;="&amp;EOMONTH($E7735,0)),$J7735-$M7735))</f>
      </c>
      <c r="O7735" s="43">
        <f>IF($I7735=0,0,INDEX(DarlErsatzRate,17))</f>
      </c>
      <c r="P7735" s="43">
        <f>IF($I7735=0,0,$Q7734*INDEX(DarlErsatzZins,17))</f>
      </c>
      <c r="Q7735" s="43">
        <f>IF($I7735=0,0,$Q7734+$P7735+$O7735)</f>
      </c>
      <c r="R7735" s="43">
        <f>IF($I7735=0,0,$J7735-$M7735-$N7735)</f>
      </c>
    </row>
    <row r="7736">
      <c r="A7736"/>
      <c r="B7736">
        <v>17</v>
      </c>
      <c r="C7736" s="43">
        <f>INDEX(DarlObj,17)</f>
      </c>
      <c r="D7736">
        <v>53</v>
      </c>
      <c r="E7736" s="51">
        <f>IF(INDEX(DarlBelegt,17)=0,0,EOMONTH(INDEX(DarlAuszahlung,17),52)+1)</f>
      </c>
      <c r="F7736" s="43">
        <f>IF($E7736=0,0,YEAR($E7736))</f>
      </c>
      <c r="G7736" s="43">
        <f>IF(INDEX(DarlBindung,17)="",1,IF($E7736&lt;=INDEX(DarlBindung,17),1,0))</f>
      </c>
      <c r="H7736" s="43">
        <f>IF($G7736=1,INDEX(DarlSollzins,17),INDEX(DarlAnschluss,17))</f>
      </c>
      <c r="I7736" s="43">
        <f>IF(INDEX(DarlBelegt,17)=0,0,IF(INDEX(DarlOhneTilgung,17)=1,IF(INDEX(DarlBindung,17)="",1,$G7736),IF($J7736&gt;0.005,1,0)))</f>
      </c>
      <c r="J7736" s="43">
        <f>IF($I7735=0,0,$R7735)</f>
      </c>
      <c r="K7736" s="43">
        <f>IF($I7736=0,0,IF(INDEX(DarlOhneTilgung,17)=1,0,IF(AND(INDEX(DarlTilgStart,17)&gt;0,$E7736=INDEX(DarlTilgStart,17)),$J7736*($H7736+INDEX(DarlTilgung,17))/100/12,IF(AND($G7736=0,$G7735=1),MAX($K7735,$J7736*($H7736+1)/100/12),$K7735))))</f>
      </c>
      <c r="L7736" s="43">
        <f>IF($I7736=0,0,$J7736*$H7736/100/12)</f>
      </c>
      <c r="M7736" s="43">
        <f>IF($I7736=0,0,IF(OR(INDEX(DarlOhneTilgung,17)=1,AND(INDEX(DarlTilgStart,17)&gt;0,$E7736&lt;INDEX(DarlTilgStart,17))),0,MIN(MAX(0,$K7736-$L7736),$J7736)))</f>
      </c>
      <c r="N7736" s="43">
        <f>IF($I7736=0,0,MIN(SUMIFS(SondBetrag,SondDarl,17,SondDatum,"&gt;="&amp;$E7736,SondDatum,"&lt;="&amp;EOMONTH($E7736,0)),$J7736-$M7736))</f>
      </c>
      <c r="O7736" s="43">
        <f>IF($I7736=0,0,INDEX(DarlErsatzRate,17))</f>
      </c>
      <c r="P7736" s="43">
        <f>IF($I7736=0,0,$Q7735*INDEX(DarlErsatzZins,17))</f>
      </c>
      <c r="Q7736" s="43">
        <f>IF($I7736=0,0,$Q7735+$P7736+$O7736)</f>
      </c>
      <c r="R7736" s="43">
        <f>IF($I7736=0,0,$J7736-$M7736-$N7736)</f>
      </c>
    </row>
    <row r="7737">
      <c r="A7737"/>
      <c r="B7737">
        <v>17</v>
      </c>
      <c r="C7737" s="43">
        <f>INDEX(DarlObj,17)</f>
      </c>
      <c r="D7737">
        <v>54</v>
      </c>
      <c r="E7737" s="51">
        <f>IF(INDEX(DarlBelegt,17)=0,0,EOMONTH(INDEX(DarlAuszahlung,17),53)+1)</f>
      </c>
      <c r="F7737" s="43">
        <f>IF($E7737=0,0,YEAR($E7737))</f>
      </c>
      <c r="G7737" s="43">
        <f>IF(INDEX(DarlBindung,17)="",1,IF($E7737&lt;=INDEX(DarlBindung,17),1,0))</f>
      </c>
      <c r="H7737" s="43">
        <f>IF($G7737=1,INDEX(DarlSollzins,17),INDEX(DarlAnschluss,17))</f>
      </c>
      <c r="I7737" s="43">
        <f>IF(INDEX(DarlBelegt,17)=0,0,IF(INDEX(DarlOhneTilgung,17)=1,IF(INDEX(DarlBindung,17)="",1,$G7737),IF($J7737&gt;0.005,1,0)))</f>
      </c>
      <c r="J7737" s="43">
        <f>IF($I7736=0,0,$R7736)</f>
      </c>
      <c r="K7737" s="43">
        <f>IF($I7737=0,0,IF(INDEX(DarlOhneTilgung,17)=1,0,IF(AND(INDEX(DarlTilgStart,17)&gt;0,$E7737=INDEX(DarlTilgStart,17)),$J7737*($H7737+INDEX(DarlTilgung,17))/100/12,IF(AND($G7737=0,$G7736=1),MAX($K7736,$J7737*($H7737+1)/100/12),$K7736))))</f>
      </c>
      <c r="L7737" s="43">
        <f>IF($I7737=0,0,$J7737*$H7737/100/12)</f>
      </c>
      <c r="M7737" s="43">
        <f>IF($I7737=0,0,IF(OR(INDEX(DarlOhneTilgung,17)=1,AND(INDEX(DarlTilgStart,17)&gt;0,$E7737&lt;INDEX(DarlTilgStart,17))),0,MIN(MAX(0,$K7737-$L7737),$J7737)))</f>
      </c>
      <c r="N7737" s="43">
        <f>IF($I7737=0,0,MIN(SUMIFS(SondBetrag,SondDarl,17,SondDatum,"&gt;="&amp;$E7737,SondDatum,"&lt;="&amp;EOMONTH($E7737,0)),$J7737-$M7737))</f>
      </c>
      <c r="O7737" s="43">
        <f>IF($I7737=0,0,INDEX(DarlErsatzRate,17))</f>
      </c>
      <c r="P7737" s="43">
        <f>IF($I7737=0,0,$Q7736*INDEX(DarlErsatzZins,17))</f>
      </c>
      <c r="Q7737" s="43">
        <f>IF($I7737=0,0,$Q7736+$P7737+$O7737)</f>
      </c>
      <c r="R7737" s="43">
        <f>IF($I7737=0,0,$J7737-$M7737-$N7737)</f>
      </c>
    </row>
    <row r="7738">
      <c r="A7738"/>
      <c r="B7738">
        <v>17</v>
      </c>
      <c r="C7738" s="43">
        <f>INDEX(DarlObj,17)</f>
      </c>
      <c r="D7738">
        <v>55</v>
      </c>
      <c r="E7738" s="51">
        <f>IF(INDEX(DarlBelegt,17)=0,0,EOMONTH(INDEX(DarlAuszahlung,17),54)+1)</f>
      </c>
      <c r="F7738" s="43">
        <f>IF($E7738=0,0,YEAR($E7738))</f>
      </c>
      <c r="G7738" s="43">
        <f>IF(INDEX(DarlBindung,17)="",1,IF($E7738&lt;=INDEX(DarlBindung,17),1,0))</f>
      </c>
      <c r="H7738" s="43">
        <f>IF($G7738=1,INDEX(DarlSollzins,17),INDEX(DarlAnschluss,17))</f>
      </c>
      <c r="I7738" s="43">
        <f>IF(INDEX(DarlBelegt,17)=0,0,IF(INDEX(DarlOhneTilgung,17)=1,IF(INDEX(DarlBindung,17)="",1,$G7738),IF($J7738&gt;0.005,1,0)))</f>
      </c>
      <c r="J7738" s="43">
        <f>IF($I7737=0,0,$R7737)</f>
      </c>
      <c r="K7738" s="43">
        <f>IF($I7738=0,0,IF(INDEX(DarlOhneTilgung,17)=1,0,IF(AND(INDEX(DarlTilgStart,17)&gt;0,$E7738=INDEX(DarlTilgStart,17)),$J7738*($H7738+INDEX(DarlTilgung,17))/100/12,IF(AND($G7738=0,$G7737=1),MAX($K7737,$J7738*($H7738+1)/100/12),$K7737))))</f>
      </c>
      <c r="L7738" s="43">
        <f>IF($I7738=0,0,$J7738*$H7738/100/12)</f>
      </c>
      <c r="M7738" s="43">
        <f>IF($I7738=0,0,IF(OR(INDEX(DarlOhneTilgung,17)=1,AND(INDEX(DarlTilgStart,17)&gt;0,$E7738&lt;INDEX(DarlTilgStart,17))),0,MIN(MAX(0,$K7738-$L7738),$J7738)))</f>
      </c>
      <c r="N7738" s="43">
        <f>IF($I7738=0,0,MIN(SUMIFS(SondBetrag,SondDarl,17,SondDatum,"&gt;="&amp;$E7738,SondDatum,"&lt;="&amp;EOMONTH($E7738,0)),$J7738-$M7738))</f>
      </c>
      <c r="O7738" s="43">
        <f>IF($I7738=0,0,INDEX(DarlErsatzRate,17))</f>
      </c>
      <c r="P7738" s="43">
        <f>IF($I7738=0,0,$Q7737*INDEX(DarlErsatzZins,17))</f>
      </c>
      <c r="Q7738" s="43">
        <f>IF($I7738=0,0,$Q7737+$P7738+$O7738)</f>
      </c>
      <c r="R7738" s="43">
        <f>IF($I7738=0,0,$J7738-$M7738-$N7738)</f>
      </c>
    </row>
    <row r="7739">
      <c r="A7739"/>
      <c r="B7739">
        <v>17</v>
      </c>
      <c r="C7739" s="43">
        <f>INDEX(DarlObj,17)</f>
      </c>
      <c r="D7739">
        <v>56</v>
      </c>
      <c r="E7739" s="51">
        <f>IF(INDEX(DarlBelegt,17)=0,0,EOMONTH(INDEX(DarlAuszahlung,17),55)+1)</f>
      </c>
      <c r="F7739" s="43">
        <f>IF($E7739=0,0,YEAR($E7739))</f>
      </c>
      <c r="G7739" s="43">
        <f>IF(INDEX(DarlBindung,17)="",1,IF($E7739&lt;=INDEX(DarlBindung,17),1,0))</f>
      </c>
      <c r="H7739" s="43">
        <f>IF($G7739=1,INDEX(DarlSollzins,17),INDEX(DarlAnschluss,17))</f>
      </c>
      <c r="I7739" s="43">
        <f>IF(INDEX(DarlBelegt,17)=0,0,IF(INDEX(DarlOhneTilgung,17)=1,IF(INDEX(DarlBindung,17)="",1,$G7739),IF($J7739&gt;0.005,1,0)))</f>
      </c>
      <c r="J7739" s="43">
        <f>IF($I7738=0,0,$R7738)</f>
      </c>
      <c r="K7739" s="43">
        <f>IF($I7739=0,0,IF(INDEX(DarlOhneTilgung,17)=1,0,IF(AND(INDEX(DarlTilgStart,17)&gt;0,$E7739=INDEX(DarlTilgStart,17)),$J7739*($H7739+INDEX(DarlTilgung,17))/100/12,IF(AND($G7739=0,$G7738=1),MAX($K7738,$J7739*($H7739+1)/100/12),$K7738))))</f>
      </c>
      <c r="L7739" s="43">
        <f>IF($I7739=0,0,$J7739*$H7739/100/12)</f>
      </c>
      <c r="M7739" s="43">
        <f>IF($I7739=0,0,IF(OR(INDEX(DarlOhneTilgung,17)=1,AND(INDEX(DarlTilgStart,17)&gt;0,$E7739&lt;INDEX(DarlTilgStart,17))),0,MIN(MAX(0,$K7739-$L7739),$J7739)))</f>
      </c>
      <c r="N7739" s="43">
        <f>IF($I7739=0,0,MIN(SUMIFS(SondBetrag,SondDarl,17,SondDatum,"&gt;="&amp;$E7739,SondDatum,"&lt;="&amp;EOMONTH($E7739,0)),$J7739-$M7739))</f>
      </c>
      <c r="O7739" s="43">
        <f>IF($I7739=0,0,INDEX(DarlErsatzRate,17))</f>
      </c>
      <c r="P7739" s="43">
        <f>IF($I7739=0,0,$Q7738*INDEX(DarlErsatzZins,17))</f>
      </c>
      <c r="Q7739" s="43">
        <f>IF($I7739=0,0,$Q7738+$P7739+$O7739)</f>
      </c>
      <c r="R7739" s="43">
        <f>IF($I7739=0,0,$J7739-$M7739-$N7739)</f>
      </c>
    </row>
    <row r="7740">
      <c r="A7740"/>
      <c r="B7740">
        <v>17</v>
      </c>
      <c r="C7740" s="43">
        <f>INDEX(DarlObj,17)</f>
      </c>
      <c r="D7740">
        <v>57</v>
      </c>
      <c r="E7740" s="51">
        <f>IF(INDEX(DarlBelegt,17)=0,0,EOMONTH(INDEX(DarlAuszahlung,17),56)+1)</f>
      </c>
      <c r="F7740" s="43">
        <f>IF($E7740=0,0,YEAR($E7740))</f>
      </c>
      <c r="G7740" s="43">
        <f>IF(INDEX(DarlBindung,17)="",1,IF($E7740&lt;=INDEX(DarlBindung,17),1,0))</f>
      </c>
      <c r="H7740" s="43">
        <f>IF($G7740=1,INDEX(DarlSollzins,17),INDEX(DarlAnschluss,17))</f>
      </c>
      <c r="I7740" s="43">
        <f>IF(INDEX(DarlBelegt,17)=0,0,IF(INDEX(DarlOhneTilgung,17)=1,IF(INDEX(DarlBindung,17)="",1,$G7740),IF($J7740&gt;0.005,1,0)))</f>
      </c>
      <c r="J7740" s="43">
        <f>IF($I7739=0,0,$R7739)</f>
      </c>
      <c r="K7740" s="43">
        <f>IF($I7740=0,0,IF(INDEX(DarlOhneTilgung,17)=1,0,IF(AND(INDEX(DarlTilgStart,17)&gt;0,$E7740=INDEX(DarlTilgStart,17)),$J7740*($H7740+INDEX(DarlTilgung,17))/100/12,IF(AND($G7740=0,$G7739=1),MAX($K7739,$J7740*($H7740+1)/100/12),$K7739))))</f>
      </c>
      <c r="L7740" s="43">
        <f>IF($I7740=0,0,$J7740*$H7740/100/12)</f>
      </c>
      <c r="M7740" s="43">
        <f>IF($I7740=0,0,IF(OR(INDEX(DarlOhneTilgung,17)=1,AND(INDEX(DarlTilgStart,17)&gt;0,$E7740&lt;INDEX(DarlTilgStart,17))),0,MIN(MAX(0,$K7740-$L7740),$J7740)))</f>
      </c>
      <c r="N7740" s="43">
        <f>IF($I7740=0,0,MIN(SUMIFS(SondBetrag,SondDarl,17,SondDatum,"&gt;="&amp;$E7740,SondDatum,"&lt;="&amp;EOMONTH($E7740,0)),$J7740-$M7740))</f>
      </c>
      <c r="O7740" s="43">
        <f>IF($I7740=0,0,INDEX(DarlErsatzRate,17))</f>
      </c>
      <c r="P7740" s="43">
        <f>IF($I7740=0,0,$Q7739*INDEX(DarlErsatzZins,17))</f>
      </c>
      <c r="Q7740" s="43">
        <f>IF($I7740=0,0,$Q7739+$P7740+$O7740)</f>
      </c>
      <c r="R7740" s="43">
        <f>IF($I7740=0,0,$J7740-$M7740-$N7740)</f>
      </c>
    </row>
    <row r="7741">
      <c r="A7741"/>
      <c r="B7741">
        <v>17</v>
      </c>
      <c r="C7741" s="43">
        <f>INDEX(DarlObj,17)</f>
      </c>
      <c r="D7741">
        <v>58</v>
      </c>
      <c r="E7741" s="51">
        <f>IF(INDEX(DarlBelegt,17)=0,0,EOMONTH(INDEX(DarlAuszahlung,17),57)+1)</f>
      </c>
      <c r="F7741" s="43">
        <f>IF($E7741=0,0,YEAR($E7741))</f>
      </c>
      <c r="G7741" s="43">
        <f>IF(INDEX(DarlBindung,17)="",1,IF($E7741&lt;=INDEX(DarlBindung,17),1,0))</f>
      </c>
      <c r="H7741" s="43">
        <f>IF($G7741=1,INDEX(DarlSollzins,17),INDEX(DarlAnschluss,17))</f>
      </c>
      <c r="I7741" s="43">
        <f>IF(INDEX(DarlBelegt,17)=0,0,IF(INDEX(DarlOhneTilgung,17)=1,IF(INDEX(DarlBindung,17)="",1,$G7741),IF($J7741&gt;0.005,1,0)))</f>
      </c>
      <c r="J7741" s="43">
        <f>IF($I7740=0,0,$R7740)</f>
      </c>
      <c r="K7741" s="43">
        <f>IF($I7741=0,0,IF(INDEX(DarlOhneTilgung,17)=1,0,IF(AND(INDEX(DarlTilgStart,17)&gt;0,$E7741=INDEX(DarlTilgStart,17)),$J7741*($H7741+INDEX(DarlTilgung,17))/100/12,IF(AND($G7741=0,$G7740=1),MAX($K7740,$J7741*($H7741+1)/100/12),$K7740))))</f>
      </c>
      <c r="L7741" s="43">
        <f>IF($I7741=0,0,$J7741*$H7741/100/12)</f>
      </c>
      <c r="M7741" s="43">
        <f>IF($I7741=0,0,IF(OR(INDEX(DarlOhneTilgung,17)=1,AND(INDEX(DarlTilgStart,17)&gt;0,$E7741&lt;INDEX(DarlTilgStart,17))),0,MIN(MAX(0,$K7741-$L7741),$J7741)))</f>
      </c>
      <c r="N7741" s="43">
        <f>IF($I7741=0,0,MIN(SUMIFS(SondBetrag,SondDarl,17,SondDatum,"&gt;="&amp;$E7741,SondDatum,"&lt;="&amp;EOMONTH($E7741,0)),$J7741-$M7741))</f>
      </c>
      <c r="O7741" s="43">
        <f>IF($I7741=0,0,INDEX(DarlErsatzRate,17))</f>
      </c>
      <c r="P7741" s="43">
        <f>IF($I7741=0,0,$Q7740*INDEX(DarlErsatzZins,17))</f>
      </c>
      <c r="Q7741" s="43">
        <f>IF($I7741=0,0,$Q7740+$P7741+$O7741)</f>
      </c>
      <c r="R7741" s="43">
        <f>IF($I7741=0,0,$J7741-$M7741-$N7741)</f>
      </c>
    </row>
    <row r="7742">
      <c r="A7742"/>
      <c r="B7742">
        <v>17</v>
      </c>
      <c r="C7742" s="43">
        <f>INDEX(DarlObj,17)</f>
      </c>
      <c r="D7742">
        <v>59</v>
      </c>
      <c r="E7742" s="51">
        <f>IF(INDEX(DarlBelegt,17)=0,0,EOMONTH(INDEX(DarlAuszahlung,17),58)+1)</f>
      </c>
      <c r="F7742" s="43">
        <f>IF($E7742=0,0,YEAR($E7742))</f>
      </c>
      <c r="G7742" s="43">
        <f>IF(INDEX(DarlBindung,17)="",1,IF($E7742&lt;=INDEX(DarlBindung,17),1,0))</f>
      </c>
      <c r="H7742" s="43">
        <f>IF($G7742=1,INDEX(DarlSollzins,17),INDEX(DarlAnschluss,17))</f>
      </c>
      <c r="I7742" s="43">
        <f>IF(INDEX(DarlBelegt,17)=0,0,IF(INDEX(DarlOhneTilgung,17)=1,IF(INDEX(DarlBindung,17)="",1,$G7742),IF($J7742&gt;0.005,1,0)))</f>
      </c>
      <c r="J7742" s="43">
        <f>IF($I7741=0,0,$R7741)</f>
      </c>
      <c r="K7742" s="43">
        <f>IF($I7742=0,0,IF(INDEX(DarlOhneTilgung,17)=1,0,IF(AND(INDEX(DarlTilgStart,17)&gt;0,$E7742=INDEX(DarlTilgStart,17)),$J7742*($H7742+INDEX(DarlTilgung,17))/100/12,IF(AND($G7742=0,$G7741=1),MAX($K7741,$J7742*($H7742+1)/100/12),$K7741))))</f>
      </c>
      <c r="L7742" s="43">
        <f>IF($I7742=0,0,$J7742*$H7742/100/12)</f>
      </c>
      <c r="M7742" s="43">
        <f>IF($I7742=0,0,IF(OR(INDEX(DarlOhneTilgung,17)=1,AND(INDEX(DarlTilgStart,17)&gt;0,$E7742&lt;INDEX(DarlTilgStart,17))),0,MIN(MAX(0,$K7742-$L7742),$J7742)))</f>
      </c>
      <c r="N7742" s="43">
        <f>IF($I7742=0,0,MIN(SUMIFS(SondBetrag,SondDarl,17,SondDatum,"&gt;="&amp;$E7742,SondDatum,"&lt;="&amp;EOMONTH($E7742,0)),$J7742-$M7742))</f>
      </c>
      <c r="O7742" s="43">
        <f>IF($I7742=0,0,INDEX(DarlErsatzRate,17))</f>
      </c>
      <c r="P7742" s="43">
        <f>IF($I7742=0,0,$Q7741*INDEX(DarlErsatzZins,17))</f>
      </c>
      <c r="Q7742" s="43">
        <f>IF($I7742=0,0,$Q7741+$P7742+$O7742)</f>
      </c>
      <c r="R7742" s="43">
        <f>IF($I7742=0,0,$J7742-$M7742-$N7742)</f>
      </c>
    </row>
    <row r="7743">
      <c r="A7743"/>
      <c r="B7743">
        <v>17</v>
      </c>
      <c r="C7743" s="43">
        <f>INDEX(DarlObj,17)</f>
      </c>
      <c r="D7743">
        <v>60</v>
      </c>
      <c r="E7743" s="51">
        <f>IF(INDEX(DarlBelegt,17)=0,0,EOMONTH(INDEX(DarlAuszahlung,17),59)+1)</f>
      </c>
      <c r="F7743" s="43">
        <f>IF($E7743=0,0,YEAR($E7743))</f>
      </c>
      <c r="G7743" s="43">
        <f>IF(INDEX(DarlBindung,17)="",1,IF($E7743&lt;=INDEX(DarlBindung,17),1,0))</f>
      </c>
      <c r="H7743" s="43">
        <f>IF($G7743=1,INDEX(DarlSollzins,17),INDEX(DarlAnschluss,17))</f>
      </c>
      <c r="I7743" s="43">
        <f>IF(INDEX(DarlBelegt,17)=0,0,IF(INDEX(DarlOhneTilgung,17)=1,IF(INDEX(DarlBindung,17)="",1,$G7743),IF($J7743&gt;0.005,1,0)))</f>
      </c>
      <c r="J7743" s="43">
        <f>IF($I7742=0,0,$R7742)</f>
      </c>
      <c r="K7743" s="43">
        <f>IF($I7743=0,0,IF(INDEX(DarlOhneTilgung,17)=1,0,IF(AND(INDEX(DarlTilgStart,17)&gt;0,$E7743=INDEX(DarlTilgStart,17)),$J7743*($H7743+INDEX(DarlTilgung,17))/100/12,IF(AND($G7743=0,$G7742=1),MAX($K7742,$J7743*($H7743+1)/100/12),$K7742))))</f>
      </c>
      <c r="L7743" s="43">
        <f>IF($I7743=0,0,$J7743*$H7743/100/12)</f>
      </c>
      <c r="M7743" s="43">
        <f>IF($I7743=0,0,IF(OR(INDEX(DarlOhneTilgung,17)=1,AND(INDEX(DarlTilgStart,17)&gt;0,$E7743&lt;INDEX(DarlTilgStart,17))),0,MIN(MAX(0,$K7743-$L7743),$J7743)))</f>
      </c>
      <c r="N7743" s="43">
        <f>IF($I7743=0,0,MIN(SUMIFS(SondBetrag,SondDarl,17,SondDatum,"&gt;="&amp;$E7743,SondDatum,"&lt;="&amp;EOMONTH($E7743,0)),$J7743-$M7743))</f>
      </c>
      <c r="O7743" s="43">
        <f>IF($I7743=0,0,INDEX(DarlErsatzRate,17))</f>
      </c>
      <c r="P7743" s="43">
        <f>IF($I7743=0,0,$Q7742*INDEX(DarlErsatzZins,17))</f>
      </c>
      <c r="Q7743" s="43">
        <f>IF($I7743=0,0,$Q7742+$P7743+$O7743)</f>
      </c>
      <c r="R7743" s="43">
        <f>IF($I7743=0,0,$J7743-$M7743-$N7743)</f>
      </c>
    </row>
    <row r="7744">
      <c r="A7744"/>
      <c r="B7744">
        <v>17</v>
      </c>
      <c r="C7744" s="43">
        <f>INDEX(DarlObj,17)</f>
      </c>
      <c r="D7744">
        <v>61</v>
      </c>
      <c r="E7744" s="51">
        <f>IF(INDEX(DarlBelegt,17)=0,0,EOMONTH(INDEX(DarlAuszahlung,17),60)+1)</f>
      </c>
      <c r="F7744" s="43">
        <f>IF($E7744=0,0,YEAR($E7744))</f>
      </c>
      <c r="G7744" s="43">
        <f>IF(INDEX(DarlBindung,17)="",1,IF($E7744&lt;=INDEX(DarlBindung,17),1,0))</f>
      </c>
      <c r="H7744" s="43">
        <f>IF($G7744=1,INDEX(DarlSollzins,17),INDEX(DarlAnschluss,17))</f>
      </c>
      <c r="I7744" s="43">
        <f>IF(INDEX(DarlBelegt,17)=0,0,IF(INDEX(DarlOhneTilgung,17)=1,IF(INDEX(DarlBindung,17)="",1,$G7744),IF($J7744&gt;0.005,1,0)))</f>
      </c>
      <c r="J7744" s="43">
        <f>IF($I7743=0,0,$R7743)</f>
      </c>
      <c r="K7744" s="43">
        <f>IF($I7744=0,0,IF(INDEX(DarlOhneTilgung,17)=1,0,IF(AND(INDEX(DarlTilgStart,17)&gt;0,$E7744=INDEX(DarlTilgStart,17)),$J7744*($H7744+INDEX(DarlTilgung,17))/100/12,IF(AND($G7744=0,$G7743=1),MAX($K7743,$J7744*($H7744+1)/100/12),$K7743))))</f>
      </c>
      <c r="L7744" s="43">
        <f>IF($I7744=0,0,$J7744*$H7744/100/12)</f>
      </c>
      <c r="M7744" s="43">
        <f>IF($I7744=0,0,IF(OR(INDEX(DarlOhneTilgung,17)=1,AND(INDEX(DarlTilgStart,17)&gt;0,$E7744&lt;INDEX(DarlTilgStart,17))),0,MIN(MAX(0,$K7744-$L7744),$J7744)))</f>
      </c>
      <c r="N7744" s="43">
        <f>IF($I7744=0,0,MIN(SUMIFS(SondBetrag,SondDarl,17,SondDatum,"&gt;="&amp;$E7744,SondDatum,"&lt;="&amp;EOMONTH($E7744,0)),$J7744-$M7744))</f>
      </c>
      <c r="O7744" s="43">
        <f>IF($I7744=0,0,INDEX(DarlErsatzRate,17))</f>
      </c>
      <c r="P7744" s="43">
        <f>IF($I7744=0,0,$Q7743*INDEX(DarlErsatzZins,17))</f>
      </c>
      <c r="Q7744" s="43">
        <f>IF($I7744=0,0,$Q7743+$P7744+$O7744)</f>
      </c>
      <c r="R7744" s="43">
        <f>IF($I7744=0,0,$J7744-$M7744-$N7744)</f>
      </c>
    </row>
    <row r="7745">
      <c r="A7745"/>
      <c r="B7745">
        <v>17</v>
      </c>
      <c r="C7745" s="43">
        <f>INDEX(DarlObj,17)</f>
      </c>
      <c r="D7745">
        <v>62</v>
      </c>
      <c r="E7745" s="51">
        <f>IF(INDEX(DarlBelegt,17)=0,0,EOMONTH(INDEX(DarlAuszahlung,17),61)+1)</f>
      </c>
      <c r="F7745" s="43">
        <f>IF($E7745=0,0,YEAR($E7745))</f>
      </c>
      <c r="G7745" s="43">
        <f>IF(INDEX(DarlBindung,17)="",1,IF($E7745&lt;=INDEX(DarlBindung,17),1,0))</f>
      </c>
      <c r="H7745" s="43">
        <f>IF($G7745=1,INDEX(DarlSollzins,17),INDEX(DarlAnschluss,17))</f>
      </c>
      <c r="I7745" s="43">
        <f>IF(INDEX(DarlBelegt,17)=0,0,IF(INDEX(DarlOhneTilgung,17)=1,IF(INDEX(DarlBindung,17)="",1,$G7745),IF($J7745&gt;0.005,1,0)))</f>
      </c>
      <c r="J7745" s="43">
        <f>IF($I7744=0,0,$R7744)</f>
      </c>
      <c r="K7745" s="43">
        <f>IF($I7745=0,0,IF(INDEX(DarlOhneTilgung,17)=1,0,IF(AND(INDEX(DarlTilgStart,17)&gt;0,$E7745=INDEX(DarlTilgStart,17)),$J7745*($H7745+INDEX(DarlTilgung,17))/100/12,IF(AND($G7745=0,$G7744=1),MAX($K7744,$J7745*($H7745+1)/100/12),$K7744))))</f>
      </c>
      <c r="L7745" s="43">
        <f>IF($I7745=0,0,$J7745*$H7745/100/12)</f>
      </c>
      <c r="M7745" s="43">
        <f>IF($I7745=0,0,IF(OR(INDEX(DarlOhneTilgung,17)=1,AND(INDEX(DarlTilgStart,17)&gt;0,$E7745&lt;INDEX(DarlTilgStart,17))),0,MIN(MAX(0,$K7745-$L7745),$J7745)))</f>
      </c>
      <c r="N7745" s="43">
        <f>IF($I7745=0,0,MIN(SUMIFS(SondBetrag,SondDarl,17,SondDatum,"&gt;="&amp;$E7745,SondDatum,"&lt;="&amp;EOMONTH($E7745,0)),$J7745-$M7745))</f>
      </c>
      <c r="O7745" s="43">
        <f>IF($I7745=0,0,INDEX(DarlErsatzRate,17))</f>
      </c>
      <c r="P7745" s="43">
        <f>IF($I7745=0,0,$Q7744*INDEX(DarlErsatzZins,17))</f>
      </c>
      <c r="Q7745" s="43">
        <f>IF($I7745=0,0,$Q7744+$P7745+$O7745)</f>
      </c>
      <c r="R7745" s="43">
        <f>IF($I7745=0,0,$J7745-$M7745-$N7745)</f>
      </c>
    </row>
    <row r="7746">
      <c r="A7746"/>
      <c r="B7746">
        <v>17</v>
      </c>
      <c r="C7746" s="43">
        <f>INDEX(DarlObj,17)</f>
      </c>
      <c r="D7746">
        <v>63</v>
      </c>
      <c r="E7746" s="51">
        <f>IF(INDEX(DarlBelegt,17)=0,0,EOMONTH(INDEX(DarlAuszahlung,17),62)+1)</f>
      </c>
      <c r="F7746" s="43">
        <f>IF($E7746=0,0,YEAR($E7746))</f>
      </c>
      <c r="G7746" s="43">
        <f>IF(INDEX(DarlBindung,17)="",1,IF($E7746&lt;=INDEX(DarlBindung,17),1,0))</f>
      </c>
      <c r="H7746" s="43">
        <f>IF($G7746=1,INDEX(DarlSollzins,17),INDEX(DarlAnschluss,17))</f>
      </c>
      <c r="I7746" s="43">
        <f>IF(INDEX(DarlBelegt,17)=0,0,IF(INDEX(DarlOhneTilgung,17)=1,IF(INDEX(DarlBindung,17)="",1,$G7746),IF($J7746&gt;0.005,1,0)))</f>
      </c>
      <c r="J7746" s="43">
        <f>IF($I7745=0,0,$R7745)</f>
      </c>
      <c r="K7746" s="43">
        <f>IF($I7746=0,0,IF(INDEX(DarlOhneTilgung,17)=1,0,IF(AND(INDEX(DarlTilgStart,17)&gt;0,$E7746=INDEX(DarlTilgStart,17)),$J7746*($H7746+INDEX(DarlTilgung,17))/100/12,IF(AND($G7746=0,$G7745=1),MAX($K7745,$J7746*($H7746+1)/100/12),$K7745))))</f>
      </c>
      <c r="L7746" s="43">
        <f>IF($I7746=0,0,$J7746*$H7746/100/12)</f>
      </c>
      <c r="M7746" s="43">
        <f>IF($I7746=0,0,IF(OR(INDEX(DarlOhneTilgung,17)=1,AND(INDEX(DarlTilgStart,17)&gt;0,$E7746&lt;INDEX(DarlTilgStart,17))),0,MIN(MAX(0,$K7746-$L7746),$J7746)))</f>
      </c>
      <c r="N7746" s="43">
        <f>IF($I7746=0,0,MIN(SUMIFS(SondBetrag,SondDarl,17,SondDatum,"&gt;="&amp;$E7746,SondDatum,"&lt;="&amp;EOMONTH($E7746,0)),$J7746-$M7746))</f>
      </c>
      <c r="O7746" s="43">
        <f>IF($I7746=0,0,INDEX(DarlErsatzRate,17))</f>
      </c>
      <c r="P7746" s="43">
        <f>IF($I7746=0,0,$Q7745*INDEX(DarlErsatzZins,17))</f>
      </c>
      <c r="Q7746" s="43">
        <f>IF($I7746=0,0,$Q7745+$P7746+$O7746)</f>
      </c>
      <c r="R7746" s="43">
        <f>IF($I7746=0,0,$J7746-$M7746-$N7746)</f>
      </c>
    </row>
    <row r="7747">
      <c r="A7747"/>
      <c r="B7747">
        <v>17</v>
      </c>
      <c r="C7747" s="43">
        <f>INDEX(DarlObj,17)</f>
      </c>
      <c r="D7747">
        <v>64</v>
      </c>
      <c r="E7747" s="51">
        <f>IF(INDEX(DarlBelegt,17)=0,0,EOMONTH(INDEX(DarlAuszahlung,17),63)+1)</f>
      </c>
      <c r="F7747" s="43">
        <f>IF($E7747=0,0,YEAR($E7747))</f>
      </c>
      <c r="G7747" s="43">
        <f>IF(INDEX(DarlBindung,17)="",1,IF($E7747&lt;=INDEX(DarlBindung,17),1,0))</f>
      </c>
      <c r="H7747" s="43">
        <f>IF($G7747=1,INDEX(DarlSollzins,17),INDEX(DarlAnschluss,17))</f>
      </c>
      <c r="I7747" s="43">
        <f>IF(INDEX(DarlBelegt,17)=0,0,IF(INDEX(DarlOhneTilgung,17)=1,IF(INDEX(DarlBindung,17)="",1,$G7747),IF($J7747&gt;0.005,1,0)))</f>
      </c>
      <c r="J7747" s="43">
        <f>IF($I7746=0,0,$R7746)</f>
      </c>
      <c r="K7747" s="43">
        <f>IF($I7747=0,0,IF(INDEX(DarlOhneTilgung,17)=1,0,IF(AND(INDEX(DarlTilgStart,17)&gt;0,$E7747=INDEX(DarlTilgStart,17)),$J7747*($H7747+INDEX(DarlTilgung,17))/100/12,IF(AND($G7747=0,$G7746=1),MAX($K7746,$J7747*($H7747+1)/100/12),$K7746))))</f>
      </c>
      <c r="L7747" s="43">
        <f>IF($I7747=0,0,$J7747*$H7747/100/12)</f>
      </c>
      <c r="M7747" s="43">
        <f>IF($I7747=0,0,IF(OR(INDEX(DarlOhneTilgung,17)=1,AND(INDEX(DarlTilgStart,17)&gt;0,$E7747&lt;INDEX(DarlTilgStart,17))),0,MIN(MAX(0,$K7747-$L7747),$J7747)))</f>
      </c>
      <c r="N7747" s="43">
        <f>IF($I7747=0,0,MIN(SUMIFS(SondBetrag,SondDarl,17,SondDatum,"&gt;="&amp;$E7747,SondDatum,"&lt;="&amp;EOMONTH($E7747,0)),$J7747-$M7747))</f>
      </c>
      <c r="O7747" s="43">
        <f>IF($I7747=0,0,INDEX(DarlErsatzRate,17))</f>
      </c>
      <c r="P7747" s="43">
        <f>IF($I7747=0,0,$Q7746*INDEX(DarlErsatzZins,17))</f>
      </c>
      <c r="Q7747" s="43">
        <f>IF($I7747=0,0,$Q7746+$P7747+$O7747)</f>
      </c>
      <c r="R7747" s="43">
        <f>IF($I7747=0,0,$J7747-$M7747-$N7747)</f>
      </c>
    </row>
    <row r="7748">
      <c r="A7748"/>
      <c r="B7748">
        <v>17</v>
      </c>
      <c r="C7748" s="43">
        <f>INDEX(DarlObj,17)</f>
      </c>
      <c r="D7748">
        <v>65</v>
      </c>
      <c r="E7748" s="51">
        <f>IF(INDEX(DarlBelegt,17)=0,0,EOMONTH(INDEX(DarlAuszahlung,17),64)+1)</f>
      </c>
      <c r="F7748" s="43">
        <f>IF($E7748=0,0,YEAR($E7748))</f>
      </c>
      <c r="G7748" s="43">
        <f>IF(INDEX(DarlBindung,17)="",1,IF($E7748&lt;=INDEX(DarlBindung,17),1,0))</f>
      </c>
      <c r="H7748" s="43">
        <f>IF($G7748=1,INDEX(DarlSollzins,17),INDEX(DarlAnschluss,17))</f>
      </c>
      <c r="I7748" s="43">
        <f>IF(INDEX(DarlBelegt,17)=0,0,IF(INDEX(DarlOhneTilgung,17)=1,IF(INDEX(DarlBindung,17)="",1,$G7748),IF($J7748&gt;0.005,1,0)))</f>
      </c>
      <c r="J7748" s="43">
        <f>IF($I7747=0,0,$R7747)</f>
      </c>
      <c r="K7748" s="43">
        <f>IF($I7748=0,0,IF(INDEX(DarlOhneTilgung,17)=1,0,IF(AND(INDEX(DarlTilgStart,17)&gt;0,$E7748=INDEX(DarlTilgStart,17)),$J7748*($H7748+INDEX(DarlTilgung,17))/100/12,IF(AND($G7748=0,$G7747=1),MAX($K7747,$J7748*($H7748+1)/100/12),$K7747))))</f>
      </c>
      <c r="L7748" s="43">
        <f>IF($I7748=0,0,$J7748*$H7748/100/12)</f>
      </c>
      <c r="M7748" s="43">
        <f>IF($I7748=0,0,IF(OR(INDEX(DarlOhneTilgung,17)=1,AND(INDEX(DarlTilgStart,17)&gt;0,$E7748&lt;INDEX(DarlTilgStart,17))),0,MIN(MAX(0,$K7748-$L7748),$J7748)))</f>
      </c>
      <c r="N7748" s="43">
        <f>IF($I7748=0,0,MIN(SUMIFS(SondBetrag,SondDarl,17,SondDatum,"&gt;="&amp;$E7748,SondDatum,"&lt;="&amp;EOMONTH($E7748,0)),$J7748-$M7748))</f>
      </c>
      <c r="O7748" s="43">
        <f>IF($I7748=0,0,INDEX(DarlErsatzRate,17))</f>
      </c>
      <c r="P7748" s="43">
        <f>IF($I7748=0,0,$Q7747*INDEX(DarlErsatzZins,17))</f>
      </c>
      <c r="Q7748" s="43">
        <f>IF($I7748=0,0,$Q7747+$P7748+$O7748)</f>
      </c>
      <c r="R7748" s="43">
        <f>IF($I7748=0,0,$J7748-$M7748-$N7748)</f>
      </c>
    </row>
    <row r="7749">
      <c r="A7749"/>
      <c r="B7749">
        <v>17</v>
      </c>
      <c r="C7749" s="43">
        <f>INDEX(DarlObj,17)</f>
      </c>
      <c r="D7749">
        <v>66</v>
      </c>
      <c r="E7749" s="51">
        <f>IF(INDEX(DarlBelegt,17)=0,0,EOMONTH(INDEX(DarlAuszahlung,17),65)+1)</f>
      </c>
      <c r="F7749" s="43">
        <f>IF($E7749=0,0,YEAR($E7749))</f>
      </c>
      <c r="G7749" s="43">
        <f>IF(INDEX(DarlBindung,17)="",1,IF($E7749&lt;=INDEX(DarlBindung,17),1,0))</f>
      </c>
      <c r="H7749" s="43">
        <f>IF($G7749=1,INDEX(DarlSollzins,17),INDEX(DarlAnschluss,17))</f>
      </c>
      <c r="I7749" s="43">
        <f>IF(INDEX(DarlBelegt,17)=0,0,IF(INDEX(DarlOhneTilgung,17)=1,IF(INDEX(DarlBindung,17)="",1,$G7749),IF($J7749&gt;0.005,1,0)))</f>
      </c>
      <c r="J7749" s="43">
        <f>IF($I7748=0,0,$R7748)</f>
      </c>
      <c r="K7749" s="43">
        <f>IF($I7749=0,0,IF(INDEX(DarlOhneTilgung,17)=1,0,IF(AND(INDEX(DarlTilgStart,17)&gt;0,$E7749=INDEX(DarlTilgStart,17)),$J7749*($H7749+INDEX(DarlTilgung,17))/100/12,IF(AND($G7749=0,$G7748=1),MAX($K7748,$J7749*($H7749+1)/100/12),$K7748))))</f>
      </c>
      <c r="L7749" s="43">
        <f>IF($I7749=0,0,$J7749*$H7749/100/12)</f>
      </c>
      <c r="M7749" s="43">
        <f>IF($I7749=0,0,IF(OR(INDEX(DarlOhneTilgung,17)=1,AND(INDEX(DarlTilgStart,17)&gt;0,$E7749&lt;INDEX(DarlTilgStart,17))),0,MIN(MAX(0,$K7749-$L7749),$J7749)))</f>
      </c>
      <c r="N7749" s="43">
        <f>IF($I7749=0,0,MIN(SUMIFS(SondBetrag,SondDarl,17,SondDatum,"&gt;="&amp;$E7749,SondDatum,"&lt;="&amp;EOMONTH($E7749,0)),$J7749-$M7749))</f>
      </c>
      <c r="O7749" s="43">
        <f>IF($I7749=0,0,INDEX(DarlErsatzRate,17))</f>
      </c>
      <c r="P7749" s="43">
        <f>IF($I7749=0,0,$Q7748*INDEX(DarlErsatzZins,17))</f>
      </c>
      <c r="Q7749" s="43">
        <f>IF($I7749=0,0,$Q7748+$P7749+$O7749)</f>
      </c>
      <c r="R7749" s="43">
        <f>IF($I7749=0,0,$J7749-$M7749-$N7749)</f>
      </c>
    </row>
    <row r="7750">
      <c r="A7750"/>
      <c r="B7750">
        <v>17</v>
      </c>
      <c r="C7750" s="43">
        <f>INDEX(DarlObj,17)</f>
      </c>
      <c r="D7750">
        <v>67</v>
      </c>
      <c r="E7750" s="51">
        <f>IF(INDEX(DarlBelegt,17)=0,0,EOMONTH(INDEX(DarlAuszahlung,17),66)+1)</f>
      </c>
      <c r="F7750" s="43">
        <f>IF($E7750=0,0,YEAR($E7750))</f>
      </c>
      <c r="G7750" s="43">
        <f>IF(INDEX(DarlBindung,17)="",1,IF($E7750&lt;=INDEX(DarlBindung,17),1,0))</f>
      </c>
      <c r="H7750" s="43">
        <f>IF($G7750=1,INDEX(DarlSollzins,17),INDEX(DarlAnschluss,17))</f>
      </c>
      <c r="I7750" s="43">
        <f>IF(INDEX(DarlBelegt,17)=0,0,IF(INDEX(DarlOhneTilgung,17)=1,IF(INDEX(DarlBindung,17)="",1,$G7750),IF($J7750&gt;0.005,1,0)))</f>
      </c>
      <c r="J7750" s="43">
        <f>IF($I7749=0,0,$R7749)</f>
      </c>
      <c r="K7750" s="43">
        <f>IF($I7750=0,0,IF(INDEX(DarlOhneTilgung,17)=1,0,IF(AND(INDEX(DarlTilgStart,17)&gt;0,$E7750=INDEX(DarlTilgStart,17)),$J7750*($H7750+INDEX(DarlTilgung,17))/100/12,IF(AND($G7750=0,$G7749=1),MAX($K7749,$J7750*($H7750+1)/100/12),$K7749))))</f>
      </c>
      <c r="L7750" s="43">
        <f>IF($I7750=0,0,$J7750*$H7750/100/12)</f>
      </c>
      <c r="M7750" s="43">
        <f>IF($I7750=0,0,IF(OR(INDEX(DarlOhneTilgung,17)=1,AND(INDEX(DarlTilgStart,17)&gt;0,$E7750&lt;INDEX(DarlTilgStart,17))),0,MIN(MAX(0,$K7750-$L7750),$J7750)))</f>
      </c>
      <c r="N7750" s="43">
        <f>IF($I7750=0,0,MIN(SUMIFS(SondBetrag,SondDarl,17,SondDatum,"&gt;="&amp;$E7750,SondDatum,"&lt;="&amp;EOMONTH($E7750,0)),$J7750-$M7750))</f>
      </c>
      <c r="O7750" s="43">
        <f>IF($I7750=0,0,INDEX(DarlErsatzRate,17))</f>
      </c>
      <c r="P7750" s="43">
        <f>IF($I7750=0,0,$Q7749*INDEX(DarlErsatzZins,17))</f>
      </c>
      <c r="Q7750" s="43">
        <f>IF($I7750=0,0,$Q7749+$P7750+$O7750)</f>
      </c>
      <c r="R7750" s="43">
        <f>IF($I7750=0,0,$J7750-$M7750-$N7750)</f>
      </c>
    </row>
    <row r="7751">
      <c r="A7751"/>
      <c r="B7751">
        <v>17</v>
      </c>
      <c r="C7751" s="43">
        <f>INDEX(DarlObj,17)</f>
      </c>
      <c r="D7751">
        <v>68</v>
      </c>
      <c r="E7751" s="51">
        <f>IF(INDEX(DarlBelegt,17)=0,0,EOMONTH(INDEX(DarlAuszahlung,17),67)+1)</f>
      </c>
      <c r="F7751" s="43">
        <f>IF($E7751=0,0,YEAR($E7751))</f>
      </c>
      <c r="G7751" s="43">
        <f>IF(INDEX(DarlBindung,17)="",1,IF($E7751&lt;=INDEX(DarlBindung,17),1,0))</f>
      </c>
      <c r="H7751" s="43">
        <f>IF($G7751=1,INDEX(DarlSollzins,17),INDEX(DarlAnschluss,17))</f>
      </c>
      <c r="I7751" s="43">
        <f>IF(INDEX(DarlBelegt,17)=0,0,IF(INDEX(DarlOhneTilgung,17)=1,IF(INDEX(DarlBindung,17)="",1,$G7751),IF($J7751&gt;0.005,1,0)))</f>
      </c>
      <c r="J7751" s="43">
        <f>IF($I7750=0,0,$R7750)</f>
      </c>
      <c r="K7751" s="43">
        <f>IF($I7751=0,0,IF(INDEX(DarlOhneTilgung,17)=1,0,IF(AND(INDEX(DarlTilgStart,17)&gt;0,$E7751=INDEX(DarlTilgStart,17)),$J7751*($H7751+INDEX(DarlTilgung,17))/100/12,IF(AND($G7751=0,$G7750=1),MAX($K7750,$J7751*($H7751+1)/100/12),$K7750))))</f>
      </c>
      <c r="L7751" s="43">
        <f>IF($I7751=0,0,$J7751*$H7751/100/12)</f>
      </c>
      <c r="M7751" s="43">
        <f>IF($I7751=0,0,IF(OR(INDEX(DarlOhneTilgung,17)=1,AND(INDEX(DarlTilgStart,17)&gt;0,$E7751&lt;INDEX(DarlTilgStart,17))),0,MIN(MAX(0,$K7751-$L7751),$J7751)))</f>
      </c>
      <c r="N7751" s="43">
        <f>IF($I7751=0,0,MIN(SUMIFS(SondBetrag,SondDarl,17,SondDatum,"&gt;="&amp;$E7751,SondDatum,"&lt;="&amp;EOMONTH($E7751,0)),$J7751-$M7751))</f>
      </c>
      <c r="O7751" s="43">
        <f>IF($I7751=0,0,INDEX(DarlErsatzRate,17))</f>
      </c>
      <c r="P7751" s="43">
        <f>IF($I7751=0,0,$Q7750*INDEX(DarlErsatzZins,17))</f>
      </c>
      <c r="Q7751" s="43">
        <f>IF($I7751=0,0,$Q7750+$P7751+$O7751)</f>
      </c>
      <c r="R7751" s="43">
        <f>IF($I7751=0,0,$J7751-$M7751-$N7751)</f>
      </c>
    </row>
    <row r="7752">
      <c r="A7752"/>
      <c r="B7752">
        <v>17</v>
      </c>
      <c r="C7752" s="43">
        <f>INDEX(DarlObj,17)</f>
      </c>
      <c r="D7752">
        <v>69</v>
      </c>
      <c r="E7752" s="51">
        <f>IF(INDEX(DarlBelegt,17)=0,0,EOMONTH(INDEX(DarlAuszahlung,17),68)+1)</f>
      </c>
      <c r="F7752" s="43">
        <f>IF($E7752=0,0,YEAR($E7752))</f>
      </c>
      <c r="G7752" s="43">
        <f>IF(INDEX(DarlBindung,17)="",1,IF($E7752&lt;=INDEX(DarlBindung,17),1,0))</f>
      </c>
      <c r="H7752" s="43">
        <f>IF($G7752=1,INDEX(DarlSollzins,17),INDEX(DarlAnschluss,17))</f>
      </c>
      <c r="I7752" s="43">
        <f>IF(INDEX(DarlBelegt,17)=0,0,IF(INDEX(DarlOhneTilgung,17)=1,IF(INDEX(DarlBindung,17)="",1,$G7752),IF($J7752&gt;0.005,1,0)))</f>
      </c>
      <c r="J7752" s="43">
        <f>IF($I7751=0,0,$R7751)</f>
      </c>
      <c r="K7752" s="43">
        <f>IF($I7752=0,0,IF(INDEX(DarlOhneTilgung,17)=1,0,IF(AND(INDEX(DarlTilgStart,17)&gt;0,$E7752=INDEX(DarlTilgStart,17)),$J7752*($H7752+INDEX(DarlTilgung,17))/100/12,IF(AND($G7752=0,$G7751=1),MAX($K7751,$J7752*($H7752+1)/100/12),$K7751))))</f>
      </c>
      <c r="L7752" s="43">
        <f>IF($I7752=0,0,$J7752*$H7752/100/12)</f>
      </c>
      <c r="M7752" s="43">
        <f>IF($I7752=0,0,IF(OR(INDEX(DarlOhneTilgung,17)=1,AND(INDEX(DarlTilgStart,17)&gt;0,$E7752&lt;INDEX(DarlTilgStart,17))),0,MIN(MAX(0,$K7752-$L7752),$J7752)))</f>
      </c>
      <c r="N7752" s="43">
        <f>IF($I7752=0,0,MIN(SUMIFS(SondBetrag,SondDarl,17,SondDatum,"&gt;="&amp;$E7752,SondDatum,"&lt;="&amp;EOMONTH($E7752,0)),$J7752-$M7752))</f>
      </c>
      <c r="O7752" s="43">
        <f>IF($I7752=0,0,INDEX(DarlErsatzRate,17))</f>
      </c>
      <c r="P7752" s="43">
        <f>IF($I7752=0,0,$Q7751*INDEX(DarlErsatzZins,17))</f>
      </c>
      <c r="Q7752" s="43">
        <f>IF($I7752=0,0,$Q7751+$P7752+$O7752)</f>
      </c>
      <c r="R7752" s="43">
        <f>IF($I7752=0,0,$J7752-$M7752-$N7752)</f>
      </c>
    </row>
    <row r="7753">
      <c r="A7753"/>
      <c r="B7753">
        <v>17</v>
      </c>
      <c r="C7753" s="43">
        <f>INDEX(DarlObj,17)</f>
      </c>
      <c r="D7753">
        <v>70</v>
      </c>
      <c r="E7753" s="51">
        <f>IF(INDEX(DarlBelegt,17)=0,0,EOMONTH(INDEX(DarlAuszahlung,17),69)+1)</f>
      </c>
      <c r="F7753" s="43">
        <f>IF($E7753=0,0,YEAR($E7753))</f>
      </c>
      <c r="G7753" s="43">
        <f>IF(INDEX(DarlBindung,17)="",1,IF($E7753&lt;=INDEX(DarlBindung,17),1,0))</f>
      </c>
      <c r="H7753" s="43">
        <f>IF($G7753=1,INDEX(DarlSollzins,17),INDEX(DarlAnschluss,17))</f>
      </c>
      <c r="I7753" s="43">
        <f>IF(INDEX(DarlBelegt,17)=0,0,IF(INDEX(DarlOhneTilgung,17)=1,IF(INDEX(DarlBindung,17)="",1,$G7753),IF($J7753&gt;0.005,1,0)))</f>
      </c>
      <c r="J7753" s="43">
        <f>IF($I7752=0,0,$R7752)</f>
      </c>
      <c r="K7753" s="43">
        <f>IF($I7753=0,0,IF(INDEX(DarlOhneTilgung,17)=1,0,IF(AND(INDEX(DarlTilgStart,17)&gt;0,$E7753=INDEX(DarlTilgStart,17)),$J7753*($H7753+INDEX(DarlTilgung,17))/100/12,IF(AND($G7753=0,$G7752=1),MAX($K7752,$J7753*($H7753+1)/100/12),$K7752))))</f>
      </c>
      <c r="L7753" s="43">
        <f>IF($I7753=0,0,$J7753*$H7753/100/12)</f>
      </c>
      <c r="M7753" s="43">
        <f>IF($I7753=0,0,IF(OR(INDEX(DarlOhneTilgung,17)=1,AND(INDEX(DarlTilgStart,17)&gt;0,$E7753&lt;INDEX(DarlTilgStart,17))),0,MIN(MAX(0,$K7753-$L7753),$J7753)))</f>
      </c>
      <c r="N7753" s="43">
        <f>IF($I7753=0,0,MIN(SUMIFS(SondBetrag,SondDarl,17,SondDatum,"&gt;="&amp;$E7753,SondDatum,"&lt;="&amp;EOMONTH($E7753,0)),$J7753-$M7753))</f>
      </c>
      <c r="O7753" s="43">
        <f>IF($I7753=0,0,INDEX(DarlErsatzRate,17))</f>
      </c>
      <c r="P7753" s="43">
        <f>IF($I7753=0,0,$Q7752*INDEX(DarlErsatzZins,17))</f>
      </c>
      <c r="Q7753" s="43">
        <f>IF($I7753=0,0,$Q7752+$P7753+$O7753)</f>
      </c>
      <c r="R7753" s="43">
        <f>IF($I7753=0,0,$J7753-$M7753-$N7753)</f>
      </c>
    </row>
    <row r="7754">
      <c r="A7754"/>
      <c r="B7754">
        <v>17</v>
      </c>
      <c r="C7754" s="43">
        <f>INDEX(DarlObj,17)</f>
      </c>
      <c r="D7754">
        <v>71</v>
      </c>
      <c r="E7754" s="51">
        <f>IF(INDEX(DarlBelegt,17)=0,0,EOMONTH(INDEX(DarlAuszahlung,17),70)+1)</f>
      </c>
      <c r="F7754" s="43">
        <f>IF($E7754=0,0,YEAR($E7754))</f>
      </c>
      <c r="G7754" s="43">
        <f>IF(INDEX(DarlBindung,17)="",1,IF($E7754&lt;=INDEX(DarlBindung,17),1,0))</f>
      </c>
      <c r="H7754" s="43">
        <f>IF($G7754=1,INDEX(DarlSollzins,17),INDEX(DarlAnschluss,17))</f>
      </c>
      <c r="I7754" s="43">
        <f>IF(INDEX(DarlBelegt,17)=0,0,IF(INDEX(DarlOhneTilgung,17)=1,IF(INDEX(DarlBindung,17)="",1,$G7754),IF($J7754&gt;0.005,1,0)))</f>
      </c>
      <c r="J7754" s="43">
        <f>IF($I7753=0,0,$R7753)</f>
      </c>
      <c r="K7754" s="43">
        <f>IF($I7754=0,0,IF(INDEX(DarlOhneTilgung,17)=1,0,IF(AND(INDEX(DarlTilgStart,17)&gt;0,$E7754=INDEX(DarlTilgStart,17)),$J7754*($H7754+INDEX(DarlTilgung,17))/100/12,IF(AND($G7754=0,$G7753=1),MAX($K7753,$J7754*($H7754+1)/100/12),$K7753))))</f>
      </c>
      <c r="L7754" s="43">
        <f>IF($I7754=0,0,$J7754*$H7754/100/12)</f>
      </c>
      <c r="M7754" s="43">
        <f>IF($I7754=0,0,IF(OR(INDEX(DarlOhneTilgung,17)=1,AND(INDEX(DarlTilgStart,17)&gt;0,$E7754&lt;INDEX(DarlTilgStart,17))),0,MIN(MAX(0,$K7754-$L7754),$J7754)))</f>
      </c>
      <c r="N7754" s="43">
        <f>IF($I7754=0,0,MIN(SUMIFS(SondBetrag,SondDarl,17,SondDatum,"&gt;="&amp;$E7754,SondDatum,"&lt;="&amp;EOMONTH($E7754,0)),$J7754-$M7754))</f>
      </c>
      <c r="O7754" s="43">
        <f>IF($I7754=0,0,INDEX(DarlErsatzRate,17))</f>
      </c>
      <c r="P7754" s="43">
        <f>IF($I7754=0,0,$Q7753*INDEX(DarlErsatzZins,17))</f>
      </c>
      <c r="Q7754" s="43">
        <f>IF($I7754=0,0,$Q7753+$P7754+$O7754)</f>
      </c>
      <c r="R7754" s="43">
        <f>IF($I7754=0,0,$J7754-$M7754-$N7754)</f>
      </c>
    </row>
    <row r="7755">
      <c r="A7755"/>
      <c r="B7755">
        <v>17</v>
      </c>
      <c r="C7755" s="43">
        <f>INDEX(DarlObj,17)</f>
      </c>
      <c r="D7755">
        <v>72</v>
      </c>
      <c r="E7755" s="51">
        <f>IF(INDEX(DarlBelegt,17)=0,0,EOMONTH(INDEX(DarlAuszahlung,17),71)+1)</f>
      </c>
      <c r="F7755" s="43">
        <f>IF($E7755=0,0,YEAR($E7755))</f>
      </c>
      <c r="G7755" s="43">
        <f>IF(INDEX(DarlBindung,17)="",1,IF($E7755&lt;=INDEX(DarlBindung,17),1,0))</f>
      </c>
      <c r="H7755" s="43">
        <f>IF($G7755=1,INDEX(DarlSollzins,17),INDEX(DarlAnschluss,17))</f>
      </c>
      <c r="I7755" s="43">
        <f>IF(INDEX(DarlBelegt,17)=0,0,IF(INDEX(DarlOhneTilgung,17)=1,IF(INDEX(DarlBindung,17)="",1,$G7755),IF($J7755&gt;0.005,1,0)))</f>
      </c>
      <c r="J7755" s="43">
        <f>IF($I7754=0,0,$R7754)</f>
      </c>
      <c r="K7755" s="43">
        <f>IF($I7755=0,0,IF(INDEX(DarlOhneTilgung,17)=1,0,IF(AND(INDEX(DarlTilgStart,17)&gt;0,$E7755=INDEX(DarlTilgStart,17)),$J7755*($H7755+INDEX(DarlTilgung,17))/100/12,IF(AND($G7755=0,$G7754=1),MAX($K7754,$J7755*($H7755+1)/100/12),$K7754))))</f>
      </c>
      <c r="L7755" s="43">
        <f>IF($I7755=0,0,$J7755*$H7755/100/12)</f>
      </c>
      <c r="M7755" s="43">
        <f>IF($I7755=0,0,IF(OR(INDEX(DarlOhneTilgung,17)=1,AND(INDEX(DarlTilgStart,17)&gt;0,$E7755&lt;INDEX(DarlTilgStart,17))),0,MIN(MAX(0,$K7755-$L7755),$J7755)))</f>
      </c>
      <c r="N7755" s="43">
        <f>IF($I7755=0,0,MIN(SUMIFS(SondBetrag,SondDarl,17,SondDatum,"&gt;="&amp;$E7755,SondDatum,"&lt;="&amp;EOMONTH($E7755,0)),$J7755-$M7755))</f>
      </c>
      <c r="O7755" s="43">
        <f>IF($I7755=0,0,INDEX(DarlErsatzRate,17))</f>
      </c>
      <c r="P7755" s="43">
        <f>IF($I7755=0,0,$Q7754*INDEX(DarlErsatzZins,17))</f>
      </c>
      <c r="Q7755" s="43">
        <f>IF($I7755=0,0,$Q7754+$P7755+$O7755)</f>
      </c>
      <c r="R7755" s="43">
        <f>IF($I7755=0,0,$J7755-$M7755-$N7755)</f>
      </c>
    </row>
    <row r="7756">
      <c r="A7756"/>
      <c r="B7756">
        <v>17</v>
      </c>
      <c r="C7756" s="43">
        <f>INDEX(DarlObj,17)</f>
      </c>
      <c r="D7756">
        <v>73</v>
      </c>
      <c r="E7756" s="51">
        <f>IF(INDEX(DarlBelegt,17)=0,0,EOMONTH(INDEX(DarlAuszahlung,17),72)+1)</f>
      </c>
      <c r="F7756" s="43">
        <f>IF($E7756=0,0,YEAR($E7756))</f>
      </c>
      <c r="G7756" s="43">
        <f>IF(INDEX(DarlBindung,17)="",1,IF($E7756&lt;=INDEX(DarlBindung,17),1,0))</f>
      </c>
      <c r="H7756" s="43">
        <f>IF($G7756=1,INDEX(DarlSollzins,17),INDEX(DarlAnschluss,17))</f>
      </c>
      <c r="I7756" s="43">
        <f>IF(INDEX(DarlBelegt,17)=0,0,IF(INDEX(DarlOhneTilgung,17)=1,IF(INDEX(DarlBindung,17)="",1,$G7756),IF($J7756&gt;0.005,1,0)))</f>
      </c>
      <c r="J7756" s="43">
        <f>IF($I7755=0,0,$R7755)</f>
      </c>
      <c r="K7756" s="43">
        <f>IF($I7756=0,0,IF(INDEX(DarlOhneTilgung,17)=1,0,IF(AND(INDEX(DarlTilgStart,17)&gt;0,$E7756=INDEX(DarlTilgStart,17)),$J7756*($H7756+INDEX(DarlTilgung,17))/100/12,IF(AND($G7756=0,$G7755=1),MAX($K7755,$J7756*($H7756+1)/100/12),$K7755))))</f>
      </c>
      <c r="L7756" s="43">
        <f>IF($I7756=0,0,$J7756*$H7756/100/12)</f>
      </c>
      <c r="M7756" s="43">
        <f>IF($I7756=0,0,IF(OR(INDEX(DarlOhneTilgung,17)=1,AND(INDEX(DarlTilgStart,17)&gt;0,$E7756&lt;INDEX(DarlTilgStart,17))),0,MIN(MAX(0,$K7756-$L7756),$J7756)))</f>
      </c>
      <c r="N7756" s="43">
        <f>IF($I7756=0,0,MIN(SUMIFS(SondBetrag,SondDarl,17,SondDatum,"&gt;="&amp;$E7756,SondDatum,"&lt;="&amp;EOMONTH($E7756,0)),$J7756-$M7756))</f>
      </c>
      <c r="O7756" s="43">
        <f>IF($I7756=0,0,INDEX(DarlErsatzRate,17))</f>
      </c>
      <c r="P7756" s="43">
        <f>IF($I7756=0,0,$Q7755*INDEX(DarlErsatzZins,17))</f>
      </c>
      <c r="Q7756" s="43">
        <f>IF($I7756=0,0,$Q7755+$P7756+$O7756)</f>
      </c>
      <c r="R7756" s="43">
        <f>IF($I7756=0,0,$J7756-$M7756-$N7756)</f>
      </c>
    </row>
    <row r="7757">
      <c r="A7757"/>
      <c r="B7757">
        <v>17</v>
      </c>
      <c r="C7757" s="43">
        <f>INDEX(DarlObj,17)</f>
      </c>
      <c r="D7757">
        <v>74</v>
      </c>
      <c r="E7757" s="51">
        <f>IF(INDEX(DarlBelegt,17)=0,0,EOMONTH(INDEX(DarlAuszahlung,17),73)+1)</f>
      </c>
      <c r="F7757" s="43">
        <f>IF($E7757=0,0,YEAR($E7757))</f>
      </c>
      <c r="G7757" s="43">
        <f>IF(INDEX(DarlBindung,17)="",1,IF($E7757&lt;=INDEX(DarlBindung,17),1,0))</f>
      </c>
      <c r="H7757" s="43">
        <f>IF($G7757=1,INDEX(DarlSollzins,17),INDEX(DarlAnschluss,17))</f>
      </c>
      <c r="I7757" s="43">
        <f>IF(INDEX(DarlBelegt,17)=0,0,IF(INDEX(DarlOhneTilgung,17)=1,IF(INDEX(DarlBindung,17)="",1,$G7757),IF($J7757&gt;0.005,1,0)))</f>
      </c>
      <c r="J7757" s="43">
        <f>IF($I7756=0,0,$R7756)</f>
      </c>
      <c r="K7757" s="43">
        <f>IF($I7757=0,0,IF(INDEX(DarlOhneTilgung,17)=1,0,IF(AND(INDEX(DarlTilgStart,17)&gt;0,$E7757=INDEX(DarlTilgStart,17)),$J7757*($H7757+INDEX(DarlTilgung,17))/100/12,IF(AND($G7757=0,$G7756=1),MAX($K7756,$J7757*($H7757+1)/100/12),$K7756))))</f>
      </c>
      <c r="L7757" s="43">
        <f>IF($I7757=0,0,$J7757*$H7757/100/12)</f>
      </c>
      <c r="M7757" s="43">
        <f>IF($I7757=0,0,IF(OR(INDEX(DarlOhneTilgung,17)=1,AND(INDEX(DarlTilgStart,17)&gt;0,$E7757&lt;INDEX(DarlTilgStart,17))),0,MIN(MAX(0,$K7757-$L7757),$J7757)))</f>
      </c>
      <c r="N7757" s="43">
        <f>IF($I7757=0,0,MIN(SUMIFS(SondBetrag,SondDarl,17,SondDatum,"&gt;="&amp;$E7757,SondDatum,"&lt;="&amp;EOMONTH($E7757,0)),$J7757-$M7757))</f>
      </c>
      <c r="O7757" s="43">
        <f>IF($I7757=0,0,INDEX(DarlErsatzRate,17))</f>
      </c>
      <c r="P7757" s="43">
        <f>IF($I7757=0,0,$Q7756*INDEX(DarlErsatzZins,17))</f>
      </c>
      <c r="Q7757" s="43">
        <f>IF($I7757=0,0,$Q7756+$P7757+$O7757)</f>
      </c>
      <c r="R7757" s="43">
        <f>IF($I7757=0,0,$J7757-$M7757-$N7757)</f>
      </c>
    </row>
    <row r="7758">
      <c r="A7758"/>
      <c r="B7758">
        <v>17</v>
      </c>
      <c r="C7758" s="43">
        <f>INDEX(DarlObj,17)</f>
      </c>
      <c r="D7758">
        <v>75</v>
      </c>
      <c r="E7758" s="51">
        <f>IF(INDEX(DarlBelegt,17)=0,0,EOMONTH(INDEX(DarlAuszahlung,17),74)+1)</f>
      </c>
      <c r="F7758" s="43">
        <f>IF($E7758=0,0,YEAR($E7758))</f>
      </c>
      <c r="G7758" s="43">
        <f>IF(INDEX(DarlBindung,17)="",1,IF($E7758&lt;=INDEX(DarlBindung,17),1,0))</f>
      </c>
      <c r="H7758" s="43">
        <f>IF($G7758=1,INDEX(DarlSollzins,17),INDEX(DarlAnschluss,17))</f>
      </c>
      <c r="I7758" s="43">
        <f>IF(INDEX(DarlBelegt,17)=0,0,IF(INDEX(DarlOhneTilgung,17)=1,IF(INDEX(DarlBindung,17)="",1,$G7758),IF($J7758&gt;0.005,1,0)))</f>
      </c>
      <c r="J7758" s="43">
        <f>IF($I7757=0,0,$R7757)</f>
      </c>
      <c r="K7758" s="43">
        <f>IF($I7758=0,0,IF(INDEX(DarlOhneTilgung,17)=1,0,IF(AND(INDEX(DarlTilgStart,17)&gt;0,$E7758=INDEX(DarlTilgStart,17)),$J7758*($H7758+INDEX(DarlTilgung,17))/100/12,IF(AND($G7758=0,$G7757=1),MAX($K7757,$J7758*($H7758+1)/100/12),$K7757))))</f>
      </c>
      <c r="L7758" s="43">
        <f>IF($I7758=0,0,$J7758*$H7758/100/12)</f>
      </c>
      <c r="M7758" s="43">
        <f>IF($I7758=0,0,IF(OR(INDEX(DarlOhneTilgung,17)=1,AND(INDEX(DarlTilgStart,17)&gt;0,$E7758&lt;INDEX(DarlTilgStart,17))),0,MIN(MAX(0,$K7758-$L7758),$J7758)))</f>
      </c>
      <c r="N7758" s="43">
        <f>IF($I7758=0,0,MIN(SUMIFS(SondBetrag,SondDarl,17,SondDatum,"&gt;="&amp;$E7758,SondDatum,"&lt;="&amp;EOMONTH($E7758,0)),$J7758-$M7758))</f>
      </c>
      <c r="O7758" s="43">
        <f>IF($I7758=0,0,INDEX(DarlErsatzRate,17))</f>
      </c>
      <c r="P7758" s="43">
        <f>IF($I7758=0,0,$Q7757*INDEX(DarlErsatzZins,17))</f>
      </c>
      <c r="Q7758" s="43">
        <f>IF($I7758=0,0,$Q7757+$P7758+$O7758)</f>
      </c>
      <c r="R7758" s="43">
        <f>IF($I7758=0,0,$J7758-$M7758-$N7758)</f>
      </c>
    </row>
    <row r="7759">
      <c r="A7759"/>
      <c r="B7759">
        <v>17</v>
      </c>
      <c r="C7759" s="43">
        <f>INDEX(DarlObj,17)</f>
      </c>
      <c r="D7759">
        <v>76</v>
      </c>
      <c r="E7759" s="51">
        <f>IF(INDEX(DarlBelegt,17)=0,0,EOMONTH(INDEX(DarlAuszahlung,17),75)+1)</f>
      </c>
      <c r="F7759" s="43">
        <f>IF($E7759=0,0,YEAR($E7759))</f>
      </c>
      <c r="G7759" s="43">
        <f>IF(INDEX(DarlBindung,17)="",1,IF($E7759&lt;=INDEX(DarlBindung,17),1,0))</f>
      </c>
      <c r="H7759" s="43">
        <f>IF($G7759=1,INDEX(DarlSollzins,17),INDEX(DarlAnschluss,17))</f>
      </c>
      <c r="I7759" s="43">
        <f>IF(INDEX(DarlBelegt,17)=0,0,IF(INDEX(DarlOhneTilgung,17)=1,IF(INDEX(DarlBindung,17)="",1,$G7759),IF($J7759&gt;0.005,1,0)))</f>
      </c>
      <c r="J7759" s="43">
        <f>IF($I7758=0,0,$R7758)</f>
      </c>
      <c r="K7759" s="43">
        <f>IF($I7759=0,0,IF(INDEX(DarlOhneTilgung,17)=1,0,IF(AND(INDEX(DarlTilgStart,17)&gt;0,$E7759=INDEX(DarlTilgStart,17)),$J7759*($H7759+INDEX(DarlTilgung,17))/100/12,IF(AND($G7759=0,$G7758=1),MAX($K7758,$J7759*($H7759+1)/100/12),$K7758))))</f>
      </c>
      <c r="L7759" s="43">
        <f>IF($I7759=0,0,$J7759*$H7759/100/12)</f>
      </c>
      <c r="M7759" s="43">
        <f>IF($I7759=0,0,IF(OR(INDEX(DarlOhneTilgung,17)=1,AND(INDEX(DarlTilgStart,17)&gt;0,$E7759&lt;INDEX(DarlTilgStart,17))),0,MIN(MAX(0,$K7759-$L7759),$J7759)))</f>
      </c>
      <c r="N7759" s="43">
        <f>IF($I7759=0,0,MIN(SUMIFS(SondBetrag,SondDarl,17,SondDatum,"&gt;="&amp;$E7759,SondDatum,"&lt;="&amp;EOMONTH($E7759,0)),$J7759-$M7759))</f>
      </c>
      <c r="O7759" s="43">
        <f>IF($I7759=0,0,INDEX(DarlErsatzRate,17))</f>
      </c>
      <c r="P7759" s="43">
        <f>IF($I7759=0,0,$Q7758*INDEX(DarlErsatzZins,17))</f>
      </c>
      <c r="Q7759" s="43">
        <f>IF($I7759=0,0,$Q7758+$P7759+$O7759)</f>
      </c>
      <c r="R7759" s="43">
        <f>IF($I7759=0,0,$J7759-$M7759-$N7759)</f>
      </c>
    </row>
    <row r="7760">
      <c r="A7760"/>
      <c r="B7760">
        <v>17</v>
      </c>
      <c r="C7760" s="43">
        <f>INDEX(DarlObj,17)</f>
      </c>
      <c r="D7760">
        <v>77</v>
      </c>
      <c r="E7760" s="51">
        <f>IF(INDEX(DarlBelegt,17)=0,0,EOMONTH(INDEX(DarlAuszahlung,17),76)+1)</f>
      </c>
      <c r="F7760" s="43">
        <f>IF($E7760=0,0,YEAR($E7760))</f>
      </c>
      <c r="G7760" s="43">
        <f>IF(INDEX(DarlBindung,17)="",1,IF($E7760&lt;=INDEX(DarlBindung,17),1,0))</f>
      </c>
      <c r="H7760" s="43">
        <f>IF($G7760=1,INDEX(DarlSollzins,17),INDEX(DarlAnschluss,17))</f>
      </c>
      <c r="I7760" s="43">
        <f>IF(INDEX(DarlBelegt,17)=0,0,IF(INDEX(DarlOhneTilgung,17)=1,IF(INDEX(DarlBindung,17)="",1,$G7760),IF($J7760&gt;0.005,1,0)))</f>
      </c>
      <c r="J7760" s="43">
        <f>IF($I7759=0,0,$R7759)</f>
      </c>
      <c r="K7760" s="43">
        <f>IF($I7760=0,0,IF(INDEX(DarlOhneTilgung,17)=1,0,IF(AND(INDEX(DarlTilgStart,17)&gt;0,$E7760=INDEX(DarlTilgStart,17)),$J7760*($H7760+INDEX(DarlTilgung,17))/100/12,IF(AND($G7760=0,$G7759=1),MAX($K7759,$J7760*($H7760+1)/100/12),$K7759))))</f>
      </c>
      <c r="L7760" s="43">
        <f>IF($I7760=0,0,$J7760*$H7760/100/12)</f>
      </c>
      <c r="M7760" s="43">
        <f>IF($I7760=0,0,IF(OR(INDEX(DarlOhneTilgung,17)=1,AND(INDEX(DarlTilgStart,17)&gt;0,$E7760&lt;INDEX(DarlTilgStart,17))),0,MIN(MAX(0,$K7760-$L7760),$J7760)))</f>
      </c>
      <c r="N7760" s="43">
        <f>IF($I7760=0,0,MIN(SUMIFS(SondBetrag,SondDarl,17,SondDatum,"&gt;="&amp;$E7760,SondDatum,"&lt;="&amp;EOMONTH($E7760,0)),$J7760-$M7760))</f>
      </c>
      <c r="O7760" s="43">
        <f>IF($I7760=0,0,INDEX(DarlErsatzRate,17))</f>
      </c>
      <c r="P7760" s="43">
        <f>IF($I7760=0,0,$Q7759*INDEX(DarlErsatzZins,17))</f>
      </c>
      <c r="Q7760" s="43">
        <f>IF($I7760=0,0,$Q7759+$P7760+$O7760)</f>
      </c>
      <c r="R7760" s="43">
        <f>IF($I7760=0,0,$J7760-$M7760-$N7760)</f>
      </c>
    </row>
    <row r="7761">
      <c r="A7761"/>
      <c r="B7761">
        <v>17</v>
      </c>
      <c r="C7761" s="43">
        <f>INDEX(DarlObj,17)</f>
      </c>
      <c r="D7761">
        <v>78</v>
      </c>
      <c r="E7761" s="51">
        <f>IF(INDEX(DarlBelegt,17)=0,0,EOMONTH(INDEX(DarlAuszahlung,17),77)+1)</f>
      </c>
      <c r="F7761" s="43">
        <f>IF($E7761=0,0,YEAR($E7761))</f>
      </c>
      <c r="G7761" s="43">
        <f>IF(INDEX(DarlBindung,17)="",1,IF($E7761&lt;=INDEX(DarlBindung,17),1,0))</f>
      </c>
      <c r="H7761" s="43">
        <f>IF($G7761=1,INDEX(DarlSollzins,17),INDEX(DarlAnschluss,17))</f>
      </c>
      <c r="I7761" s="43">
        <f>IF(INDEX(DarlBelegt,17)=0,0,IF(INDEX(DarlOhneTilgung,17)=1,IF(INDEX(DarlBindung,17)="",1,$G7761),IF($J7761&gt;0.005,1,0)))</f>
      </c>
      <c r="J7761" s="43">
        <f>IF($I7760=0,0,$R7760)</f>
      </c>
      <c r="K7761" s="43">
        <f>IF($I7761=0,0,IF(INDEX(DarlOhneTilgung,17)=1,0,IF(AND(INDEX(DarlTilgStart,17)&gt;0,$E7761=INDEX(DarlTilgStart,17)),$J7761*($H7761+INDEX(DarlTilgung,17))/100/12,IF(AND($G7761=0,$G7760=1),MAX($K7760,$J7761*($H7761+1)/100/12),$K7760))))</f>
      </c>
      <c r="L7761" s="43">
        <f>IF($I7761=0,0,$J7761*$H7761/100/12)</f>
      </c>
      <c r="M7761" s="43">
        <f>IF($I7761=0,0,IF(OR(INDEX(DarlOhneTilgung,17)=1,AND(INDEX(DarlTilgStart,17)&gt;0,$E7761&lt;INDEX(DarlTilgStart,17))),0,MIN(MAX(0,$K7761-$L7761),$J7761)))</f>
      </c>
      <c r="N7761" s="43">
        <f>IF($I7761=0,0,MIN(SUMIFS(SondBetrag,SondDarl,17,SondDatum,"&gt;="&amp;$E7761,SondDatum,"&lt;="&amp;EOMONTH($E7761,0)),$J7761-$M7761))</f>
      </c>
      <c r="O7761" s="43">
        <f>IF($I7761=0,0,INDEX(DarlErsatzRate,17))</f>
      </c>
      <c r="P7761" s="43">
        <f>IF($I7761=0,0,$Q7760*INDEX(DarlErsatzZins,17))</f>
      </c>
      <c r="Q7761" s="43">
        <f>IF($I7761=0,0,$Q7760+$P7761+$O7761)</f>
      </c>
      <c r="R7761" s="43">
        <f>IF($I7761=0,0,$J7761-$M7761-$N7761)</f>
      </c>
    </row>
    <row r="7762">
      <c r="A7762"/>
      <c r="B7762">
        <v>17</v>
      </c>
      <c r="C7762" s="43">
        <f>INDEX(DarlObj,17)</f>
      </c>
      <c r="D7762">
        <v>79</v>
      </c>
      <c r="E7762" s="51">
        <f>IF(INDEX(DarlBelegt,17)=0,0,EOMONTH(INDEX(DarlAuszahlung,17),78)+1)</f>
      </c>
      <c r="F7762" s="43">
        <f>IF($E7762=0,0,YEAR($E7762))</f>
      </c>
      <c r="G7762" s="43">
        <f>IF(INDEX(DarlBindung,17)="",1,IF($E7762&lt;=INDEX(DarlBindung,17),1,0))</f>
      </c>
      <c r="H7762" s="43">
        <f>IF($G7762=1,INDEX(DarlSollzins,17),INDEX(DarlAnschluss,17))</f>
      </c>
      <c r="I7762" s="43">
        <f>IF(INDEX(DarlBelegt,17)=0,0,IF(INDEX(DarlOhneTilgung,17)=1,IF(INDEX(DarlBindung,17)="",1,$G7762),IF($J7762&gt;0.005,1,0)))</f>
      </c>
      <c r="J7762" s="43">
        <f>IF($I7761=0,0,$R7761)</f>
      </c>
      <c r="K7762" s="43">
        <f>IF($I7762=0,0,IF(INDEX(DarlOhneTilgung,17)=1,0,IF(AND(INDEX(DarlTilgStart,17)&gt;0,$E7762=INDEX(DarlTilgStart,17)),$J7762*($H7762+INDEX(DarlTilgung,17))/100/12,IF(AND($G7762=0,$G7761=1),MAX($K7761,$J7762*($H7762+1)/100/12),$K7761))))</f>
      </c>
      <c r="L7762" s="43">
        <f>IF($I7762=0,0,$J7762*$H7762/100/12)</f>
      </c>
      <c r="M7762" s="43">
        <f>IF($I7762=0,0,IF(OR(INDEX(DarlOhneTilgung,17)=1,AND(INDEX(DarlTilgStart,17)&gt;0,$E7762&lt;INDEX(DarlTilgStart,17))),0,MIN(MAX(0,$K7762-$L7762),$J7762)))</f>
      </c>
      <c r="N7762" s="43">
        <f>IF($I7762=0,0,MIN(SUMIFS(SondBetrag,SondDarl,17,SondDatum,"&gt;="&amp;$E7762,SondDatum,"&lt;="&amp;EOMONTH($E7762,0)),$J7762-$M7762))</f>
      </c>
      <c r="O7762" s="43">
        <f>IF($I7762=0,0,INDEX(DarlErsatzRate,17))</f>
      </c>
      <c r="P7762" s="43">
        <f>IF($I7762=0,0,$Q7761*INDEX(DarlErsatzZins,17))</f>
      </c>
      <c r="Q7762" s="43">
        <f>IF($I7762=0,0,$Q7761+$P7762+$O7762)</f>
      </c>
      <c r="R7762" s="43">
        <f>IF($I7762=0,0,$J7762-$M7762-$N7762)</f>
      </c>
    </row>
    <row r="7763">
      <c r="A7763"/>
      <c r="B7763">
        <v>17</v>
      </c>
      <c r="C7763" s="43">
        <f>INDEX(DarlObj,17)</f>
      </c>
      <c r="D7763">
        <v>80</v>
      </c>
      <c r="E7763" s="51">
        <f>IF(INDEX(DarlBelegt,17)=0,0,EOMONTH(INDEX(DarlAuszahlung,17),79)+1)</f>
      </c>
      <c r="F7763" s="43">
        <f>IF($E7763=0,0,YEAR($E7763))</f>
      </c>
      <c r="G7763" s="43">
        <f>IF(INDEX(DarlBindung,17)="",1,IF($E7763&lt;=INDEX(DarlBindung,17),1,0))</f>
      </c>
      <c r="H7763" s="43">
        <f>IF($G7763=1,INDEX(DarlSollzins,17),INDEX(DarlAnschluss,17))</f>
      </c>
      <c r="I7763" s="43">
        <f>IF(INDEX(DarlBelegt,17)=0,0,IF(INDEX(DarlOhneTilgung,17)=1,IF(INDEX(DarlBindung,17)="",1,$G7763),IF($J7763&gt;0.005,1,0)))</f>
      </c>
      <c r="J7763" s="43">
        <f>IF($I7762=0,0,$R7762)</f>
      </c>
      <c r="K7763" s="43">
        <f>IF($I7763=0,0,IF(INDEX(DarlOhneTilgung,17)=1,0,IF(AND(INDEX(DarlTilgStart,17)&gt;0,$E7763=INDEX(DarlTilgStart,17)),$J7763*($H7763+INDEX(DarlTilgung,17))/100/12,IF(AND($G7763=0,$G7762=1),MAX($K7762,$J7763*($H7763+1)/100/12),$K7762))))</f>
      </c>
      <c r="L7763" s="43">
        <f>IF($I7763=0,0,$J7763*$H7763/100/12)</f>
      </c>
      <c r="M7763" s="43">
        <f>IF($I7763=0,0,IF(OR(INDEX(DarlOhneTilgung,17)=1,AND(INDEX(DarlTilgStart,17)&gt;0,$E7763&lt;INDEX(DarlTilgStart,17))),0,MIN(MAX(0,$K7763-$L7763),$J7763)))</f>
      </c>
      <c r="N7763" s="43">
        <f>IF($I7763=0,0,MIN(SUMIFS(SondBetrag,SondDarl,17,SondDatum,"&gt;="&amp;$E7763,SondDatum,"&lt;="&amp;EOMONTH($E7763,0)),$J7763-$M7763))</f>
      </c>
      <c r="O7763" s="43">
        <f>IF($I7763=0,0,INDEX(DarlErsatzRate,17))</f>
      </c>
      <c r="P7763" s="43">
        <f>IF($I7763=0,0,$Q7762*INDEX(DarlErsatzZins,17))</f>
      </c>
      <c r="Q7763" s="43">
        <f>IF($I7763=0,0,$Q7762+$P7763+$O7763)</f>
      </c>
      <c r="R7763" s="43">
        <f>IF($I7763=0,0,$J7763-$M7763-$N7763)</f>
      </c>
    </row>
    <row r="7764">
      <c r="A7764"/>
      <c r="B7764">
        <v>17</v>
      </c>
      <c r="C7764" s="43">
        <f>INDEX(DarlObj,17)</f>
      </c>
      <c r="D7764">
        <v>81</v>
      </c>
      <c r="E7764" s="51">
        <f>IF(INDEX(DarlBelegt,17)=0,0,EOMONTH(INDEX(DarlAuszahlung,17),80)+1)</f>
      </c>
      <c r="F7764" s="43">
        <f>IF($E7764=0,0,YEAR($E7764))</f>
      </c>
      <c r="G7764" s="43">
        <f>IF(INDEX(DarlBindung,17)="",1,IF($E7764&lt;=INDEX(DarlBindung,17),1,0))</f>
      </c>
      <c r="H7764" s="43">
        <f>IF($G7764=1,INDEX(DarlSollzins,17),INDEX(DarlAnschluss,17))</f>
      </c>
      <c r="I7764" s="43">
        <f>IF(INDEX(DarlBelegt,17)=0,0,IF(INDEX(DarlOhneTilgung,17)=1,IF(INDEX(DarlBindung,17)="",1,$G7764),IF($J7764&gt;0.005,1,0)))</f>
      </c>
      <c r="J7764" s="43">
        <f>IF($I7763=0,0,$R7763)</f>
      </c>
      <c r="K7764" s="43">
        <f>IF($I7764=0,0,IF(INDEX(DarlOhneTilgung,17)=1,0,IF(AND(INDEX(DarlTilgStart,17)&gt;0,$E7764=INDEX(DarlTilgStart,17)),$J7764*($H7764+INDEX(DarlTilgung,17))/100/12,IF(AND($G7764=0,$G7763=1),MAX($K7763,$J7764*($H7764+1)/100/12),$K7763))))</f>
      </c>
      <c r="L7764" s="43">
        <f>IF($I7764=0,0,$J7764*$H7764/100/12)</f>
      </c>
      <c r="M7764" s="43">
        <f>IF($I7764=0,0,IF(OR(INDEX(DarlOhneTilgung,17)=1,AND(INDEX(DarlTilgStart,17)&gt;0,$E7764&lt;INDEX(DarlTilgStart,17))),0,MIN(MAX(0,$K7764-$L7764),$J7764)))</f>
      </c>
      <c r="N7764" s="43">
        <f>IF($I7764=0,0,MIN(SUMIFS(SondBetrag,SondDarl,17,SondDatum,"&gt;="&amp;$E7764,SondDatum,"&lt;="&amp;EOMONTH($E7764,0)),$J7764-$M7764))</f>
      </c>
      <c r="O7764" s="43">
        <f>IF($I7764=0,0,INDEX(DarlErsatzRate,17))</f>
      </c>
      <c r="P7764" s="43">
        <f>IF($I7764=0,0,$Q7763*INDEX(DarlErsatzZins,17))</f>
      </c>
      <c r="Q7764" s="43">
        <f>IF($I7764=0,0,$Q7763+$P7764+$O7764)</f>
      </c>
      <c r="R7764" s="43">
        <f>IF($I7764=0,0,$J7764-$M7764-$N7764)</f>
      </c>
    </row>
    <row r="7765">
      <c r="A7765"/>
      <c r="B7765">
        <v>17</v>
      </c>
      <c r="C7765" s="43">
        <f>INDEX(DarlObj,17)</f>
      </c>
      <c r="D7765">
        <v>82</v>
      </c>
      <c r="E7765" s="51">
        <f>IF(INDEX(DarlBelegt,17)=0,0,EOMONTH(INDEX(DarlAuszahlung,17),81)+1)</f>
      </c>
      <c r="F7765" s="43">
        <f>IF($E7765=0,0,YEAR($E7765))</f>
      </c>
      <c r="G7765" s="43">
        <f>IF(INDEX(DarlBindung,17)="",1,IF($E7765&lt;=INDEX(DarlBindung,17),1,0))</f>
      </c>
      <c r="H7765" s="43">
        <f>IF($G7765=1,INDEX(DarlSollzins,17),INDEX(DarlAnschluss,17))</f>
      </c>
      <c r="I7765" s="43">
        <f>IF(INDEX(DarlBelegt,17)=0,0,IF(INDEX(DarlOhneTilgung,17)=1,IF(INDEX(DarlBindung,17)="",1,$G7765),IF($J7765&gt;0.005,1,0)))</f>
      </c>
      <c r="J7765" s="43">
        <f>IF($I7764=0,0,$R7764)</f>
      </c>
      <c r="K7765" s="43">
        <f>IF($I7765=0,0,IF(INDEX(DarlOhneTilgung,17)=1,0,IF(AND(INDEX(DarlTilgStart,17)&gt;0,$E7765=INDEX(DarlTilgStart,17)),$J7765*($H7765+INDEX(DarlTilgung,17))/100/12,IF(AND($G7765=0,$G7764=1),MAX($K7764,$J7765*($H7765+1)/100/12),$K7764))))</f>
      </c>
      <c r="L7765" s="43">
        <f>IF($I7765=0,0,$J7765*$H7765/100/12)</f>
      </c>
      <c r="M7765" s="43">
        <f>IF($I7765=0,0,IF(OR(INDEX(DarlOhneTilgung,17)=1,AND(INDEX(DarlTilgStart,17)&gt;0,$E7765&lt;INDEX(DarlTilgStart,17))),0,MIN(MAX(0,$K7765-$L7765),$J7765)))</f>
      </c>
      <c r="N7765" s="43">
        <f>IF($I7765=0,0,MIN(SUMIFS(SondBetrag,SondDarl,17,SondDatum,"&gt;="&amp;$E7765,SondDatum,"&lt;="&amp;EOMONTH($E7765,0)),$J7765-$M7765))</f>
      </c>
      <c r="O7765" s="43">
        <f>IF($I7765=0,0,INDEX(DarlErsatzRate,17))</f>
      </c>
      <c r="P7765" s="43">
        <f>IF($I7765=0,0,$Q7764*INDEX(DarlErsatzZins,17))</f>
      </c>
      <c r="Q7765" s="43">
        <f>IF($I7765=0,0,$Q7764+$P7765+$O7765)</f>
      </c>
      <c r="R7765" s="43">
        <f>IF($I7765=0,0,$J7765-$M7765-$N7765)</f>
      </c>
    </row>
    <row r="7766">
      <c r="A7766"/>
      <c r="B7766">
        <v>17</v>
      </c>
      <c r="C7766" s="43">
        <f>INDEX(DarlObj,17)</f>
      </c>
      <c r="D7766">
        <v>83</v>
      </c>
      <c r="E7766" s="51">
        <f>IF(INDEX(DarlBelegt,17)=0,0,EOMONTH(INDEX(DarlAuszahlung,17),82)+1)</f>
      </c>
      <c r="F7766" s="43">
        <f>IF($E7766=0,0,YEAR($E7766))</f>
      </c>
      <c r="G7766" s="43">
        <f>IF(INDEX(DarlBindung,17)="",1,IF($E7766&lt;=INDEX(DarlBindung,17),1,0))</f>
      </c>
      <c r="H7766" s="43">
        <f>IF($G7766=1,INDEX(DarlSollzins,17),INDEX(DarlAnschluss,17))</f>
      </c>
      <c r="I7766" s="43">
        <f>IF(INDEX(DarlBelegt,17)=0,0,IF(INDEX(DarlOhneTilgung,17)=1,IF(INDEX(DarlBindung,17)="",1,$G7766),IF($J7766&gt;0.005,1,0)))</f>
      </c>
      <c r="J7766" s="43">
        <f>IF($I7765=0,0,$R7765)</f>
      </c>
      <c r="K7766" s="43">
        <f>IF($I7766=0,0,IF(INDEX(DarlOhneTilgung,17)=1,0,IF(AND(INDEX(DarlTilgStart,17)&gt;0,$E7766=INDEX(DarlTilgStart,17)),$J7766*($H7766+INDEX(DarlTilgung,17))/100/12,IF(AND($G7766=0,$G7765=1),MAX($K7765,$J7766*($H7766+1)/100/12),$K7765))))</f>
      </c>
      <c r="L7766" s="43">
        <f>IF($I7766=0,0,$J7766*$H7766/100/12)</f>
      </c>
      <c r="M7766" s="43">
        <f>IF($I7766=0,0,IF(OR(INDEX(DarlOhneTilgung,17)=1,AND(INDEX(DarlTilgStart,17)&gt;0,$E7766&lt;INDEX(DarlTilgStart,17))),0,MIN(MAX(0,$K7766-$L7766),$J7766)))</f>
      </c>
      <c r="N7766" s="43">
        <f>IF($I7766=0,0,MIN(SUMIFS(SondBetrag,SondDarl,17,SondDatum,"&gt;="&amp;$E7766,SondDatum,"&lt;="&amp;EOMONTH($E7766,0)),$J7766-$M7766))</f>
      </c>
      <c r="O7766" s="43">
        <f>IF($I7766=0,0,INDEX(DarlErsatzRate,17))</f>
      </c>
      <c r="P7766" s="43">
        <f>IF($I7766=0,0,$Q7765*INDEX(DarlErsatzZins,17))</f>
      </c>
      <c r="Q7766" s="43">
        <f>IF($I7766=0,0,$Q7765+$P7766+$O7766)</f>
      </c>
      <c r="R7766" s="43">
        <f>IF($I7766=0,0,$J7766-$M7766-$N7766)</f>
      </c>
    </row>
    <row r="7767">
      <c r="A7767"/>
      <c r="B7767">
        <v>17</v>
      </c>
      <c r="C7767" s="43">
        <f>INDEX(DarlObj,17)</f>
      </c>
      <c r="D7767">
        <v>84</v>
      </c>
      <c r="E7767" s="51">
        <f>IF(INDEX(DarlBelegt,17)=0,0,EOMONTH(INDEX(DarlAuszahlung,17),83)+1)</f>
      </c>
      <c r="F7767" s="43">
        <f>IF($E7767=0,0,YEAR($E7767))</f>
      </c>
      <c r="G7767" s="43">
        <f>IF(INDEX(DarlBindung,17)="",1,IF($E7767&lt;=INDEX(DarlBindung,17),1,0))</f>
      </c>
      <c r="H7767" s="43">
        <f>IF($G7767=1,INDEX(DarlSollzins,17),INDEX(DarlAnschluss,17))</f>
      </c>
      <c r="I7767" s="43">
        <f>IF(INDEX(DarlBelegt,17)=0,0,IF(INDEX(DarlOhneTilgung,17)=1,IF(INDEX(DarlBindung,17)="",1,$G7767),IF($J7767&gt;0.005,1,0)))</f>
      </c>
      <c r="J7767" s="43">
        <f>IF($I7766=0,0,$R7766)</f>
      </c>
      <c r="K7767" s="43">
        <f>IF($I7767=0,0,IF(INDEX(DarlOhneTilgung,17)=1,0,IF(AND(INDEX(DarlTilgStart,17)&gt;0,$E7767=INDEX(DarlTilgStart,17)),$J7767*($H7767+INDEX(DarlTilgung,17))/100/12,IF(AND($G7767=0,$G7766=1),MAX($K7766,$J7767*($H7767+1)/100/12),$K7766))))</f>
      </c>
      <c r="L7767" s="43">
        <f>IF($I7767=0,0,$J7767*$H7767/100/12)</f>
      </c>
      <c r="M7767" s="43">
        <f>IF($I7767=0,0,IF(OR(INDEX(DarlOhneTilgung,17)=1,AND(INDEX(DarlTilgStart,17)&gt;0,$E7767&lt;INDEX(DarlTilgStart,17))),0,MIN(MAX(0,$K7767-$L7767),$J7767)))</f>
      </c>
      <c r="N7767" s="43">
        <f>IF($I7767=0,0,MIN(SUMIFS(SondBetrag,SondDarl,17,SondDatum,"&gt;="&amp;$E7767,SondDatum,"&lt;="&amp;EOMONTH($E7767,0)),$J7767-$M7767))</f>
      </c>
      <c r="O7767" s="43">
        <f>IF($I7767=0,0,INDEX(DarlErsatzRate,17))</f>
      </c>
      <c r="P7767" s="43">
        <f>IF($I7767=0,0,$Q7766*INDEX(DarlErsatzZins,17))</f>
      </c>
      <c r="Q7767" s="43">
        <f>IF($I7767=0,0,$Q7766+$P7767+$O7767)</f>
      </c>
      <c r="R7767" s="43">
        <f>IF($I7767=0,0,$J7767-$M7767-$N7767)</f>
      </c>
    </row>
    <row r="7768">
      <c r="A7768"/>
      <c r="B7768">
        <v>17</v>
      </c>
      <c r="C7768" s="43">
        <f>INDEX(DarlObj,17)</f>
      </c>
      <c r="D7768">
        <v>85</v>
      </c>
      <c r="E7768" s="51">
        <f>IF(INDEX(DarlBelegt,17)=0,0,EOMONTH(INDEX(DarlAuszahlung,17),84)+1)</f>
      </c>
      <c r="F7768" s="43">
        <f>IF($E7768=0,0,YEAR($E7768))</f>
      </c>
      <c r="G7768" s="43">
        <f>IF(INDEX(DarlBindung,17)="",1,IF($E7768&lt;=INDEX(DarlBindung,17),1,0))</f>
      </c>
      <c r="H7768" s="43">
        <f>IF($G7768=1,INDEX(DarlSollzins,17),INDEX(DarlAnschluss,17))</f>
      </c>
      <c r="I7768" s="43">
        <f>IF(INDEX(DarlBelegt,17)=0,0,IF(INDEX(DarlOhneTilgung,17)=1,IF(INDEX(DarlBindung,17)="",1,$G7768),IF($J7768&gt;0.005,1,0)))</f>
      </c>
      <c r="J7768" s="43">
        <f>IF($I7767=0,0,$R7767)</f>
      </c>
      <c r="K7768" s="43">
        <f>IF($I7768=0,0,IF(INDEX(DarlOhneTilgung,17)=1,0,IF(AND(INDEX(DarlTilgStart,17)&gt;0,$E7768=INDEX(DarlTilgStart,17)),$J7768*($H7768+INDEX(DarlTilgung,17))/100/12,IF(AND($G7768=0,$G7767=1),MAX($K7767,$J7768*($H7768+1)/100/12),$K7767))))</f>
      </c>
      <c r="L7768" s="43">
        <f>IF($I7768=0,0,$J7768*$H7768/100/12)</f>
      </c>
      <c r="M7768" s="43">
        <f>IF($I7768=0,0,IF(OR(INDEX(DarlOhneTilgung,17)=1,AND(INDEX(DarlTilgStart,17)&gt;0,$E7768&lt;INDEX(DarlTilgStart,17))),0,MIN(MAX(0,$K7768-$L7768),$J7768)))</f>
      </c>
      <c r="N7768" s="43">
        <f>IF($I7768=0,0,MIN(SUMIFS(SondBetrag,SondDarl,17,SondDatum,"&gt;="&amp;$E7768,SondDatum,"&lt;="&amp;EOMONTH($E7768,0)),$J7768-$M7768))</f>
      </c>
      <c r="O7768" s="43">
        <f>IF($I7768=0,0,INDEX(DarlErsatzRate,17))</f>
      </c>
      <c r="P7768" s="43">
        <f>IF($I7768=0,0,$Q7767*INDEX(DarlErsatzZins,17))</f>
      </c>
      <c r="Q7768" s="43">
        <f>IF($I7768=0,0,$Q7767+$P7768+$O7768)</f>
      </c>
      <c r="R7768" s="43">
        <f>IF($I7768=0,0,$J7768-$M7768-$N7768)</f>
      </c>
    </row>
    <row r="7769">
      <c r="A7769"/>
      <c r="B7769">
        <v>17</v>
      </c>
      <c r="C7769" s="43">
        <f>INDEX(DarlObj,17)</f>
      </c>
      <c r="D7769">
        <v>86</v>
      </c>
      <c r="E7769" s="51">
        <f>IF(INDEX(DarlBelegt,17)=0,0,EOMONTH(INDEX(DarlAuszahlung,17),85)+1)</f>
      </c>
      <c r="F7769" s="43">
        <f>IF($E7769=0,0,YEAR($E7769))</f>
      </c>
      <c r="G7769" s="43">
        <f>IF(INDEX(DarlBindung,17)="",1,IF($E7769&lt;=INDEX(DarlBindung,17),1,0))</f>
      </c>
      <c r="H7769" s="43">
        <f>IF($G7769=1,INDEX(DarlSollzins,17),INDEX(DarlAnschluss,17))</f>
      </c>
      <c r="I7769" s="43">
        <f>IF(INDEX(DarlBelegt,17)=0,0,IF(INDEX(DarlOhneTilgung,17)=1,IF(INDEX(DarlBindung,17)="",1,$G7769),IF($J7769&gt;0.005,1,0)))</f>
      </c>
      <c r="J7769" s="43">
        <f>IF($I7768=0,0,$R7768)</f>
      </c>
      <c r="K7769" s="43">
        <f>IF($I7769=0,0,IF(INDEX(DarlOhneTilgung,17)=1,0,IF(AND(INDEX(DarlTilgStart,17)&gt;0,$E7769=INDEX(DarlTilgStart,17)),$J7769*($H7769+INDEX(DarlTilgung,17))/100/12,IF(AND($G7769=0,$G7768=1),MAX($K7768,$J7769*($H7769+1)/100/12),$K7768))))</f>
      </c>
      <c r="L7769" s="43">
        <f>IF($I7769=0,0,$J7769*$H7769/100/12)</f>
      </c>
      <c r="M7769" s="43">
        <f>IF($I7769=0,0,IF(OR(INDEX(DarlOhneTilgung,17)=1,AND(INDEX(DarlTilgStart,17)&gt;0,$E7769&lt;INDEX(DarlTilgStart,17))),0,MIN(MAX(0,$K7769-$L7769),$J7769)))</f>
      </c>
      <c r="N7769" s="43">
        <f>IF($I7769=0,0,MIN(SUMIFS(SondBetrag,SondDarl,17,SondDatum,"&gt;="&amp;$E7769,SondDatum,"&lt;="&amp;EOMONTH($E7769,0)),$J7769-$M7769))</f>
      </c>
      <c r="O7769" s="43">
        <f>IF($I7769=0,0,INDEX(DarlErsatzRate,17))</f>
      </c>
      <c r="P7769" s="43">
        <f>IF($I7769=0,0,$Q7768*INDEX(DarlErsatzZins,17))</f>
      </c>
      <c r="Q7769" s="43">
        <f>IF($I7769=0,0,$Q7768+$P7769+$O7769)</f>
      </c>
      <c r="R7769" s="43">
        <f>IF($I7769=0,0,$J7769-$M7769-$N7769)</f>
      </c>
    </row>
    <row r="7770">
      <c r="A7770"/>
      <c r="B7770">
        <v>17</v>
      </c>
      <c r="C7770" s="43">
        <f>INDEX(DarlObj,17)</f>
      </c>
      <c r="D7770">
        <v>87</v>
      </c>
      <c r="E7770" s="51">
        <f>IF(INDEX(DarlBelegt,17)=0,0,EOMONTH(INDEX(DarlAuszahlung,17),86)+1)</f>
      </c>
      <c r="F7770" s="43">
        <f>IF($E7770=0,0,YEAR($E7770))</f>
      </c>
      <c r="G7770" s="43">
        <f>IF(INDEX(DarlBindung,17)="",1,IF($E7770&lt;=INDEX(DarlBindung,17),1,0))</f>
      </c>
      <c r="H7770" s="43">
        <f>IF($G7770=1,INDEX(DarlSollzins,17),INDEX(DarlAnschluss,17))</f>
      </c>
      <c r="I7770" s="43">
        <f>IF(INDEX(DarlBelegt,17)=0,0,IF(INDEX(DarlOhneTilgung,17)=1,IF(INDEX(DarlBindung,17)="",1,$G7770),IF($J7770&gt;0.005,1,0)))</f>
      </c>
      <c r="J7770" s="43">
        <f>IF($I7769=0,0,$R7769)</f>
      </c>
      <c r="K7770" s="43">
        <f>IF($I7770=0,0,IF(INDEX(DarlOhneTilgung,17)=1,0,IF(AND(INDEX(DarlTilgStart,17)&gt;0,$E7770=INDEX(DarlTilgStart,17)),$J7770*($H7770+INDEX(DarlTilgung,17))/100/12,IF(AND($G7770=0,$G7769=1),MAX($K7769,$J7770*($H7770+1)/100/12),$K7769))))</f>
      </c>
      <c r="L7770" s="43">
        <f>IF($I7770=0,0,$J7770*$H7770/100/12)</f>
      </c>
      <c r="M7770" s="43">
        <f>IF($I7770=0,0,IF(OR(INDEX(DarlOhneTilgung,17)=1,AND(INDEX(DarlTilgStart,17)&gt;0,$E7770&lt;INDEX(DarlTilgStart,17))),0,MIN(MAX(0,$K7770-$L7770),$J7770)))</f>
      </c>
      <c r="N7770" s="43">
        <f>IF($I7770=0,0,MIN(SUMIFS(SondBetrag,SondDarl,17,SondDatum,"&gt;="&amp;$E7770,SondDatum,"&lt;="&amp;EOMONTH($E7770,0)),$J7770-$M7770))</f>
      </c>
      <c r="O7770" s="43">
        <f>IF($I7770=0,0,INDEX(DarlErsatzRate,17))</f>
      </c>
      <c r="P7770" s="43">
        <f>IF($I7770=0,0,$Q7769*INDEX(DarlErsatzZins,17))</f>
      </c>
      <c r="Q7770" s="43">
        <f>IF($I7770=0,0,$Q7769+$P7770+$O7770)</f>
      </c>
      <c r="R7770" s="43">
        <f>IF($I7770=0,0,$J7770-$M7770-$N7770)</f>
      </c>
    </row>
    <row r="7771">
      <c r="A7771"/>
      <c r="B7771">
        <v>17</v>
      </c>
      <c r="C7771" s="43">
        <f>INDEX(DarlObj,17)</f>
      </c>
      <c r="D7771">
        <v>88</v>
      </c>
      <c r="E7771" s="51">
        <f>IF(INDEX(DarlBelegt,17)=0,0,EOMONTH(INDEX(DarlAuszahlung,17),87)+1)</f>
      </c>
      <c r="F7771" s="43">
        <f>IF($E7771=0,0,YEAR($E7771))</f>
      </c>
      <c r="G7771" s="43">
        <f>IF(INDEX(DarlBindung,17)="",1,IF($E7771&lt;=INDEX(DarlBindung,17),1,0))</f>
      </c>
      <c r="H7771" s="43">
        <f>IF($G7771=1,INDEX(DarlSollzins,17),INDEX(DarlAnschluss,17))</f>
      </c>
      <c r="I7771" s="43">
        <f>IF(INDEX(DarlBelegt,17)=0,0,IF(INDEX(DarlOhneTilgung,17)=1,IF(INDEX(DarlBindung,17)="",1,$G7771),IF($J7771&gt;0.005,1,0)))</f>
      </c>
      <c r="J7771" s="43">
        <f>IF($I7770=0,0,$R7770)</f>
      </c>
      <c r="K7771" s="43">
        <f>IF($I7771=0,0,IF(INDEX(DarlOhneTilgung,17)=1,0,IF(AND(INDEX(DarlTilgStart,17)&gt;0,$E7771=INDEX(DarlTilgStart,17)),$J7771*($H7771+INDEX(DarlTilgung,17))/100/12,IF(AND($G7771=0,$G7770=1),MAX($K7770,$J7771*($H7771+1)/100/12),$K7770))))</f>
      </c>
      <c r="L7771" s="43">
        <f>IF($I7771=0,0,$J7771*$H7771/100/12)</f>
      </c>
      <c r="M7771" s="43">
        <f>IF($I7771=0,0,IF(OR(INDEX(DarlOhneTilgung,17)=1,AND(INDEX(DarlTilgStart,17)&gt;0,$E7771&lt;INDEX(DarlTilgStart,17))),0,MIN(MAX(0,$K7771-$L7771),$J7771)))</f>
      </c>
      <c r="N7771" s="43">
        <f>IF($I7771=0,0,MIN(SUMIFS(SondBetrag,SondDarl,17,SondDatum,"&gt;="&amp;$E7771,SondDatum,"&lt;="&amp;EOMONTH($E7771,0)),$J7771-$M7771))</f>
      </c>
      <c r="O7771" s="43">
        <f>IF($I7771=0,0,INDEX(DarlErsatzRate,17))</f>
      </c>
      <c r="P7771" s="43">
        <f>IF($I7771=0,0,$Q7770*INDEX(DarlErsatzZins,17))</f>
      </c>
      <c r="Q7771" s="43">
        <f>IF($I7771=0,0,$Q7770+$P7771+$O7771)</f>
      </c>
      <c r="R7771" s="43">
        <f>IF($I7771=0,0,$J7771-$M7771-$N7771)</f>
      </c>
    </row>
    <row r="7772">
      <c r="A7772"/>
      <c r="B7772">
        <v>17</v>
      </c>
      <c r="C7772" s="43">
        <f>INDEX(DarlObj,17)</f>
      </c>
      <c r="D7772">
        <v>89</v>
      </c>
      <c r="E7772" s="51">
        <f>IF(INDEX(DarlBelegt,17)=0,0,EOMONTH(INDEX(DarlAuszahlung,17),88)+1)</f>
      </c>
      <c r="F7772" s="43">
        <f>IF($E7772=0,0,YEAR($E7772))</f>
      </c>
      <c r="G7772" s="43">
        <f>IF(INDEX(DarlBindung,17)="",1,IF($E7772&lt;=INDEX(DarlBindung,17),1,0))</f>
      </c>
      <c r="H7772" s="43">
        <f>IF($G7772=1,INDEX(DarlSollzins,17),INDEX(DarlAnschluss,17))</f>
      </c>
      <c r="I7772" s="43">
        <f>IF(INDEX(DarlBelegt,17)=0,0,IF(INDEX(DarlOhneTilgung,17)=1,IF(INDEX(DarlBindung,17)="",1,$G7772),IF($J7772&gt;0.005,1,0)))</f>
      </c>
      <c r="J7772" s="43">
        <f>IF($I7771=0,0,$R7771)</f>
      </c>
      <c r="K7772" s="43">
        <f>IF($I7772=0,0,IF(INDEX(DarlOhneTilgung,17)=1,0,IF(AND(INDEX(DarlTilgStart,17)&gt;0,$E7772=INDEX(DarlTilgStart,17)),$J7772*($H7772+INDEX(DarlTilgung,17))/100/12,IF(AND($G7772=0,$G7771=1),MAX($K7771,$J7772*($H7772+1)/100/12),$K7771))))</f>
      </c>
      <c r="L7772" s="43">
        <f>IF($I7772=0,0,$J7772*$H7772/100/12)</f>
      </c>
      <c r="M7772" s="43">
        <f>IF($I7772=0,0,IF(OR(INDEX(DarlOhneTilgung,17)=1,AND(INDEX(DarlTilgStart,17)&gt;0,$E7772&lt;INDEX(DarlTilgStart,17))),0,MIN(MAX(0,$K7772-$L7772),$J7772)))</f>
      </c>
      <c r="N7772" s="43">
        <f>IF($I7772=0,0,MIN(SUMIFS(SondBetrag,SondDarl,17,SondDatum,"&gt;="&amp;$E7772,SondDatum,"&lt;="&amp;EOMONTH($E7772,0)),$J7772-$M7772))</f>
      </c>
      <c r="O7772" s="43">
        <f>IF($I7772=0,0,INDEX(DarlErsatzRate,17))</f>
      </c>
      <c r="P7772" s="43">
        <f>IF($I7772=0,0,$Q7771*INDEX(DarlErsatzZins,17))</f>
      </c>
      <c r="Q7772" s="43">
        <f>IF($I7772=0,0,$Q7771+$P7772+$O7772)</f>
      </c>
      <c r="R7772" s="43">
        <f>IF($I7772=0,0,$J7772-$M7772-$N7772)</f>
      </c>
    </row>
    <row r="7773">
      <c r="A7773"/>
      <c r="B7773">
        <v>17</v>
      </c>
      <c r="C7773" s="43">
        <f>INDEX(DarlObj,17)</f>
      </c>
      <c r="D7773">
        <v>90</v>
      </c>
      <c r="E7773" s="51">
        <f>IF(INDEX(DarlBelegt,17)=0,0,EOMONTH(INDEX(DarlAuszahlung,17),89)+1)</f>
      </c>
      <c r="F7773" s="43">
        <f>IF($E7773=0,0,YEAR($E7773))</f>
      </c>
      <c r="G7773" s="43">
        <f>IF(INDEX(DarlBindung,17)="",1,IF($E7773&lt;=INDEX(DarlBindung,17),1,0))</f>
      </c>
      <c r="H7773" s="43">
        <f>IF($G7773=1,INDEX(DarlSollzins,17),INDEX(DarlAnschluss,17))</f>
      </c>
      <c r="I7773" s="43">
        <f>IF(INDEX(DarlBelegt,17)=0,0,IF(INDEX(DarlOhneTilgung,17)=1,IF(INDEX(DarlBindung,17)="",1,$G7773),IF($J7773&gt;0.005,1,0)))</f>
      </c>
      <c r="J7773" s="43">
        <f>IF($I7772=0,0,$R7772)</f>
      </c>
      <c r="K7773" s="43">
        <f>IF($I7773=0,0,IF(INDEX(DarlOhneTilgung,17)=1,0,IF(AND(INDEX(DarlTilgStart,17)&gt;0,$E7773=INDEX(DarlTilgStart,17)),$J7773*($H7773+INDEX(DarlTilgung,17))/100/12,IF(AND($G7773=0,$G7772=1),MAX($K7772,$J7773*($H7773+1)/100/12),$K7772))))</f>
      </c>
      <c r="L7773" s="43">
        <f>IF($I7773=0,0,$J7773*$H7773/100/12)</f>
      </c>
      <c r="M7773" s="43">
        <f>IF($I7773=0,0,IF(OR(INDEX(DarlOhneTilgung,17)=1,AND(INDEX(DarlTilgStart,17)&gt;0,$E7773&lt;INDEX(DarlTilgStart,17))),0,MIN(MAX(0,$K7773-$L7773),$J7773)))</f>
      </c>
      <c r="N7773" s="43">
        <f>IF($I7773=0,0,MIN(SUMIFS(SondBetrag,SondDarl,17,SondDatum,"&gt;="&amp;$E7773,SondDatum,"&lt;="&amp;EOMONTH($E7773,0)),$J7773-$M7773))</f>
      </c>
      <c r="O7773" s="43">
        <f>IF($I7773=0,0,INDEX(DarlErsatzRate,17))</f>
      </c>
      <c r="P7773" s="43">
        <f>IF($I7773=0,0,$Q7772*INDEX(DarlErsatzZins,17))</f>
      </c>
      <c r="Q7773" s="43">
        <f>IF($I7773=0,0,$Q7772+$P7773+$O7773)</f>
      </c>
      <c r="R7773" s="43">
        <f>IF($I7773=0,0,$J7773-$M7773-$N7773)</f>
      </c>
    </row>
    <row r="7774">
      <c r="A7774"/>
      <c r="B7774">
        <v>17</v>
      </c>
      <c r="C7774" s="43">
        <f>INDEX(DarlObj,17)</f>
      </c>
      <c r="D7774">
        <v>91</v>
      </c>
      <c r="E7774" s="51">
        <f>IF(INDEX(DarlBelegt,17)=0,0,EOMONTH(INDEX(DarlAuszahlung,17),90)+1)</f>
      </c>
      <c r="F7774" s="43">
        <f>IF($E7774=0,0,YEAR($E7774))</f>
      </c>
      <c r="G7774" s="43">
        <f>IF(INDEX(DarlBindung,17)="",1,IF($E7774&lt;=INDEX(DarlBindung,17),1,0))</f>
      </c>
      <c r="H7774" s="43">
        <f>IF($G7774=1,INDEX(DarlSollzins,17),INDEX(DarlAnschluss,17))</f>
      </c>
      <c r="I7774" s="43">
        <f>IF(INDEX(DarlBelegt,17)=0,0,IF(INDEX(DarlOhneTilgung,17)=1,IF(INDEX(DarlBindung,17)="",1,$G7774),IF($J7774&gt;0.005,1,0)))</f>
      </c>
      <c r="J7774" s="43">
        <f>IF($I7773=0,0,$R7773)</f>
      </c>
      <c r="K7774" s="43">
        <f>IF($I7774=0,0,IF(INDEX(DarlOhneTilgung,17)=1,0,IF(AND(INDEX(DarlTilgStart,17)&gt;0,$E7774=INDEX(DarlTilgStart,17)),$J7774*($H7774+INDEX(DarlTilgung,17))/100/12,IF(AND($G7774=0,$G7773=1),MAX($K7773,$J7774*($H7774+1)/100/12),$K7773))))</f>
      </c>
      <c r="L7774" s="43">
        <f>IF($I7774=0,0,$J7774*$H7774/100/12)</f>
      </c>
      <c r="M7774" s="43">
        <f>IF($I7774=0,0,IF(OR(INDEX(DarlOhneTilgung,17)=1,AND(INDEX(DarlTilgStart,17)&gt;0,$E7774&lt;INDEX(DarlTilgStart,17))),0,MIN(MAX(0,$K7774-$L7774),$J7774)))</f>
      </c>
      <c r="N7774" s="43">
        <f>IF($I7774=0,0,MIN(SUMIFS(SondBetrag,SondDarl,17,SondDatum,"&gt;="&amp;$E7774,SondDatum,"&lt;="&amp;EOMONTH($E7774,0)),$J7774-$M7774))</f>
      </c>
      <c r="O7774" s="43">
        <f>IF($I7774=0,0,INDEX(DarlErsatzRate,17))</f>
      </c>
      <c r="P7774" s="43">
        <f>IF($I7774=0,0,$Q7773*INDEX(DarlErsatzZins,17))</f>
      </c>
      <c r="Q7774" s="43">
        <f>IF($I7774=0,0,$Q7773+$P7774+$O7774)</f>
      </c>
      <c r="R7774" s="43">
        <f>IF($I7774=0,0,$J7774-$M7774-$N7774)</f>
      </c>
    </row>
    <row r="7775">
      <c r="A7775"/>
      <c r="B7775">
        <v>17</v>
      </c>
      <c r="C7775" s="43">
        <f>INDEX(DarlObj,17)</f>
      </c>
      <c r="D7775">
        <v>92</v>
      </c>
      <c r="E7775" s="51">
        <f>IF(INDEX(DarlBelegt,17)=0,0,EOMONTH(INDEX(DarlAuszahlung,17),91)+1)</f>
      </c>
      <c r="F7775" s="43">
        <f>IF($E7775=0,0,YEAR($E7775))</f>
      </c>
      <c r="G7775" s="43">
        <f>IF(INDEX(DarlBindung,17)="",1,IF($E7775&lt;=INDEX(DarlBindung,17),1,0))</f>
      </c>
      <c r="H7775" s="43">
        <f>IF($G7775=1,INDEX(DarlSollzins,17),INDEX(DarlAnschluss,17))</f>
      </c>
      <c r="I7775" s="43">
        <f>IF(INDEX(DarlBelegt,17)=0,0,IF(INDEX(DarlOhneTilgung,17)=1,IF(INDEX(DarlBindung,17)="",1,$G7775),IF($J7775&gt;0.005,1,0)))</f>
      </c>
      <c r="J7775" s="43">
        <f>IF($I7774=0,0,$R7774)</f>
      </c>
      <c r="K7775" s="43">
        <f>IF($I7775=0,0,IF(INDEX(DarlOhneTilgung,17)=1,0,IF(AND(INDEX(DarlTilgStart,17)&gt;0,$E7775=INDEX(DarlTilgStart,17)),$J7775*($H7775+INDEX(DarlTilgung,17))/100/12,IF(AND($G7775=0,$G7774=1),MAX($K7774,$J7775*($H7775+1)/100/12),$K7774))))</f>
      </c>
      <c r="L7775" s="43">
        <f>IF($I7775=0,0,$J7775*$H7775/100/12)</f>
      </c>
      <c r="M7775" s="43">
        <f>IF($I7775=0,0,IF(OR(INDEX(DarlOhneTilgung,17)=1,AND(INDEX(DarlTilgStart,17)&gt;0,$E7775&lt;INDEX(DarlTilgStart,17))),0,MIN(MAX(0,$K7775-$L7775),$J7775)))</f>
      </c>
      <c r="N7775" s="43">
        <f>IF($I7775=0,0,MIN(SUMIFS(SondBetrag,SondDarl,17,SondDatum,"&gt;="&amp;$E7775,SondDatum,"&lt;="&amp;EOMONTH($E7775,0)),$J7775-$M7775))</f>
      </c>
      <c r="O7775" s="43">
        <f>IF($I7775=0,0,INDEX(DarlErsatzRate,17))</f>
      </c>
      <c r="P7775" s="43">
        <f>IF($I7775=0,0,$Q7774*INDEX(DarlErsatzZins,17))</f>
      </c>
      <c r="Q7775" s="43">
        <f>IF($I7775=0,0,$Q7774+$P7775+$O7775)</f>
      </c>
      <c r="R7775" s="43">
        <f>IF($I7775=0,0,$J7775-$M7775-$N7775)</f>
      </c>
    </row>
    <row r="7776">
      <c r="A7776"/>
      <c r="B7776">
        <v>17</v>
      </c>
      <c r="C7776" s="43">
        <f>INDEX(DarlObj,17)</f>
      </c>
      <c r="D7776">
        <v>93</v>
      </c>
      <c r="E7776" s="51">
        <f>IF(INDEX(DarlBelegt,17)=0,0,EOMONTH(INDEX(DarlAuszahlung,17),92)+1)</f>
      </c>
      <c r="F7776" s="43">
        <f>IF($E7776=0,0,YEAR($E7776))</f>
      </c>
      <c r="G7776" s="43">
        <f>IF(INDEX(DarlBindung,17)="",1,IF($E7776&lt;=INDEX(DarlBindung,17),1,0))</f>
      </c>
      <c r="H7776" s="43">
        <f>IF($G7776=1,INDEX(DarlSollzins,17),INDEX(DarlAnschluss,17))</f>
      </c>
      <c r="I7776" s="43">
        <f>IF(INDEX(DarlBelegt,17)=0,0,IF(INDEX(DarlOhneTilgung,17)=1,IF(INDEX(DarlBindung,17)="",1,$G7776),IF($J7776&gt;0.005,1,0)))</f>
      </c>
      <c r="J7776" s="43">
        <f>IF($I7775=0,0,$R7775)</f>
      </c>
      <c r="K7776" s="43">
        <f>IF($I7776=0,0,IF(INDEX(DarlOhneTilgung,17)=1,0,IF(AND(INDEX(DarlTilgStart,17)&gt;0,$E7776=INDEX(DarlTilgStart,17)),$J7776*($H7776+INDEX(DarlTilgung,17))/100/12,IF(AND($G7776=0,$G7775=1),MAX($K7775,$J7776*($H7776+1)/100/12),$K7775))))</f>
      </c>
      <c r="L7776" s="43">
        <f>IF($I7776=0,0,$J7776*$H7776/100/12)</f>
      </c>
      <c r="M7776" s="43">
        <f>IF($I7776=0,0,IF(OR(INDEX(DarlOhneTilgung,17)=1,AND(INDEX(DarlTilgStart,17)&gt;0,$E7776&lt;INDEX(DarlTilgStart,17))),0,MIN(MAX(0,$K7776-$L7776),$J7776)))</f>
      </c>
      <c r="N7776" s="43">
        <f>IF($I7776=0,0,MIN(SUMIFS(SondBetrag,SondDarl,17,SondDatum,"&gt;="&amp;$E7776,SondDatum,"&lt;="&amp;EOMONTH($E7776,0)),$J7776-$M7776))</f>
      </c>
      <c r="O7776" s="43">
        <f>IF($I7776=0,0,INDEX(DarlErsatzRate,17))</f>
      </c>
      <c r="P7776" s="43">
        <f>IF($I7776=0,0,$Q7775*INDEX(DarlErsatzZins,17))</f>
      </c>
      <c r="Q7776" s="43">
        <f>IF($I7776=0,0,$Q7775+$P7776+$O7776)</f>
      </c>
      <c r="R7776" s="43">
        <f>IF($I7776=0,0,$J7776-$M7776-$N7776)</f>
      </c>
    </row>
    <row r="7777">
      <c r="A7777"/>
      <c r="B7777">
        <v>17</v>
      </c>
      <c r="C7777" s="43">
        <f>INDEX(DarlObj,17)</f>
      </c>
      <c r="D7777">
        <v>94</v>
      </c>
      <c r="E7777" s="51">
        <f>IF(INDEX(DarlBelegt,17)=0,0,EOMONTH(INDEX(DarlAuszahlung,17),93)+1)</f>
      </c>
      <c r="F7777" s="43">
        <f>IF($E7777=0,0,YEAR($E7777))</f>
      </c>
      <c r="G7777" s="43">
        <f>IF(INDEX(DarlBindung,17)="",1,IF($E7777&lt;=INDEX(DarlBindung,17),1,0))</f>
      </c>
      <c r="H7777" s="43">
        <f>IF($G7777=1,INDEX(DarlSollzins,17),INDEX(DarlAnschluss,17))</f>
      </c>
      <c r="I7777" s="43">
        <f>IF(INDEX(DarlBelegt,17)=0,0,IF(INDEX(DarlOhneTilgung,17)=1,IF(INDEX(DarlBindung,17)="",1,$G7777),IF($J7777&gt;0.005,1,0)))</f>
      </c>
      <c r="J7777" s="43">
        <f>IF($I7776=0,0,$R7776)</f>
      </c>
      <c r="K7777" s="43">
        <f>IF($I7777=0,0,IF(INDEX(DarlOhneTilgung,17)=1,0,IF(AND(INDEX(DarlTilgStart,17)&gt;0,$E7777=INDEX(DarlTilgStart,17)),$J7777*($H7777+INDEX(DarlTilgung,17))/100/12,IF(AND($G7777=0,$G7776=1),MAX($K7776,$J7777*($H7777+1)/100/12),$K7776))))</f>
      </c>
      <c r="L7777" s="43">
        <f>IF($I7777=0,0,$J7777*$H7777/100/12)</f>
      </c>
      <c r="M7777" s="43">
        <f>IF($I7777=0,0,IF(OR(INDEX(DarlOhneTilgung,17)=1,AND(INDEX(DarlTilgStart,17)&gt;0,$E7777&lt;INDEX(DarlTilgStart,17))),0,MIN(MAX(0,$K7777-$L7777),$J7777)))</f>
      </c>
      <c r="N7777" s="43">
        <f>IF($I7777=0,0,MIN(SUMIFS(SondBetrag,SondDarl,17,SondDatum,"&gt;="&amp;$E7777,SondDatum,"&lt;="&amp;EOMONTH($E7777,0)),$J7777-$M7777))</f>
      </c>
      <c r="O7777" s="43">
        <f>IF($I7777=0,0,INDEX(DarlErsatzRate,17))</f>
      </c>
      <c r="P7777" s="43">
        <f>IF($I7777=0,0,$Q7776*INDEX(DarlErsatzZins,17))</f>
      </c>
      <c r="Q7777" s="43">
        <f>IF($I7777=0,0,$Q7776+$P7777+$O7777)</f>
      </c>
      <c r="R7777" s="43">
        <f>IF($I7777=0,0,$J7777-$M7777-$N7777)</f>
      </c>
    </row>
    <row r="7778">
      <c r="A7778"/>
      <c r="B7778">
        <v>17</v>
      </c>
      <c r="C7778" s="43">
        <f>INDEX(DarlObj,17)</f>
      </c>
      <c r="D7778">
        <v>95</v>
      </c>
      <c r="E7778" s="51">
        <f>IF(INDEX(DarlBelegt,17)=0,0,EOMONTH(INDEX(DarlAuszahlung,17),94)+1)</f>
      </c>
      <c r="F7778" s="43">
        <f>IF($E7778=0,0,YEAR($E7778))</f>
      </c>
      <c r="G7778" s="43">
        <f>IF(INDEX(DarlBindung,17)="",1,IF($E7778&lt;=INDEX(DarlBindung,17),1,0))</f>
      </c>
      <c r="H7778" s="43">
        <f>IF($G7778=1,INDEX(DarlSollzins,17),INDEX(DarlAnschluss,17))</f>
      </c>
      <c r="I7778" s="43">
        <f>IF(INDEX(DarlBelegt,17)=0,0,IF(INDEX(DarlOhneTilgung,17)=1,IF(INDEX(DarlBindung,17)="",1,$G7778),IF($J7778&gt;0.005,1,0)))</f>
      </c>
      <c r="J7778" s="43">
        <f>IF($I7777=0,0,$R7777)</f>
      </c>
      <c r="K7778" s="43">
        <f>IF($I7778=0,0,IF(INDEX(DarlOhneTilgung,17)=1,0,IF(AND(INDEX(DarlTilgStart,17)&gt;0,$E7778=INDEX(DarlTilgStart,17)),$J7778*($H7778+INDEX(DarlTilgung,17))/100/12,IF(AND($G7778=0,$G7777=1),MAX($K7777,$J7778*($H7778+1)/100/12),$K7777))))</f>
      </c>
      <c r="L7778" s="43">
        <f>IF($I7778=0,0,$J7778*$H7778/100/12)</f>
      </c>
      <c r="M7778" s="43">
        <f>IF($I7778=0,0,IF(OR(INDEX(DarlOhneTilgung,17)=1,AND(INDEX(DarlTilgStart,17)&gt;0,$E7778&lt;INDEX(DarlTilgStart,17))),0,MIN(MAX(0,$K7778-$L7778),$J7778)))</f>
      </c>
      <c r="N7778" s="43">
        <f>IF($I7778=0,0,MIN(SUMIFS(SondBetrag,SondDarl,17,SondDatum,"&gt;="&amp;$E7778,SondDatum,"&lt;="&amp;EOMONTH($E7778,0)),$J7778-$M7778))</f>
      </c>
      <c r="O7778" s="43">
        <f>IF($I7778=0,0,INDEX(DarlErsatzRate,17))</f>
      </c>
      <c r="P7778" s="43">
        <f>IF($I7778=0,0,$Q7777*INDEX(DarlErsatzZins,17))</f>
      </c>
      <c r="Q7778" s="43">
        <f>IF($I7778=0,0,$Q7777+$P7778+$O7778)</f>
      </c>
      <c r="R7778" s="43">
        <f>IF($I7778=0,0,$J7778-$M7778-$N7778)</f>
      </c>
    </row>
    <row r="7779">
      <c r="A7779"/>
      <c r="B7779">
        <v>17</v>
      </c>
      <c r="C7779" s="43">
        <f>INDEX(DarlObj,17)</f>
      </c>
      <c r="D7779">
        <v>96</v>
      </c>
      <c r="E7779" s="51">
        <f>IF(INDEX(DarlBelegt,17)=0,0,EOMONTH(INDEX(DarlAuszahlung,17),95)+1)</f>
      </c>
      <c r="F7779" s="43">
        <f>IF($E7779=0,0,YEAR($E7779))</f>
      </c>
      <c r="G7779" s="43">
        <f>IF(INDEX(DarlBindung,17)="",1,IF($E7779&lt;=INDEX(DarlBindung,17),1,0))</f>
      </c>
      <c r="H7779" s="43">
        <f>IF($G7779=1,INDEX(DarlSollzins,17),INDEX(DarlAnschluss,17))</f>
      </c>
      <c r="I7779" s="43">
        <f>IF(INDEX(DarlBelegt,17)=0,0,IF(INDEX(DarlOhneTilgung,17)=1,IF(INDEX(DarlBindung,17)="",1,$G7779),IF($J7779&gt;0.005,1,0)))</f>
      </c>
      <c r="J7779" s="43">
        <f>IF($I7778=0,0,$R7778)</f>
      </c>
      <c r="K7779" s="43">
        <f>IF($I7779=0,0,IF(INDEX(DarlOhneTilgung,17)=1,0,IF(AND(INDEX(DarlTilgStart,17)&gt;0,$E7779=INDEX(DarlTilgStart,17)),$J7779*($H7779+INDEX(DarlTilgung,17))/100/12,IF(AND($G7779=0,$G7778=1),MAX($K7778,$J7779*($H7779+1)/100/12),$K7778))))</f>
      </c>
      <c r="L7779" s="43">
        <f>IF($I7779=0,0,$J7779*$H7779/100/12)</f>
      </c>
      <c r="M7779" s="43">
        <f>IF($I7779=0,0,IF(OR(INDEX(DarlOhneTilgung,17)=1,AND(INDEX(DarlTilgStart,17)&gt;0,$E7779&lt;INDEX(DarlTilgStart,17))),0,MIN(MAX(0,$K7779-$L7779),$J7779)))</f>
      </c>
      <c r="N7779" s="43">
        <f>IF($I7779=0,0,MIN(SUMIFS(SondBetrag,SondDarl,17,SondDatum,"&gt;="&amp;$E7779,SondDatum,"&lt;="&amp;EOMONTH($E7779,0)),$J7779-$M7779))</f>
      </c>
      <c r="O7779" s="43">
        <f>IF($I7779=0,0,INDEX(DarlErsatzRate,17))</f>
      </c>
      <c r="P7779" s="43">
        <f>IF($I7779=0,0,$Q7778*INDEX(DarlErsatzZins,17))</f>
      </c>
      <c r="Q7779" s="43">
        <f>IF($I7779=0,0,$Q7778+$P7779+$O7779)</f>
      </c>
      <c r="R7779" s="43">
        <f>IF($I7779=0,0,$J7779-$M7779-$N7779)</f>
      </c>
    </row>
    <row r="7780">
      <c r="A7780"/>
      <c r="B7780">
        <v>17</v>
      </c>
      <c r="C7780" s="43">
        <f>INDEX(DarlObj,17)</f>
      </c>
      <c r="D7780">
        <v>97</v>
      </c>
      <c r="E7780" s="51">
        <f>IF(INDEX(DarlBelegt,17)=0,0,EOMONTH(INDEX(DarlAuszahlung,17),96)+1)</f>
      </c>
      <c r="F7780" s="43">
        <f>IF($E7780=0,0,YEAR($E7780))</f>
      </c>
      <c r="G7780" s="43">
        <f>IF(INDEX(DarlBindung,17)="",1,IF($E7780&lt;=INDEX(DarlBindung,17),1,0))</f>
      </c>
      <c r="H7780" s="43">
        <f>IF($G7780=1,INDEX(DarlSollzins,17),INDEX(DarlAnschluss,17))</f>
      </c>
      <c r="I7780" s="43">
        <f>IF(INDEX(DarlBelegt,17)=0,0,IF(INDEX(DarlOhneTilgung,17)=1,IF(INDEX(DarlBindung,17)="",1,$G7780),IF($J7780&gt;0.005,1,0)))</f>
      </c>
      <c r="J7780" s="43">
        <f>IF($I7779=0,0,$R7779)</f>
      </c>
      <c r="K7780" s="43">
        <f>IF($I7780=0,0,IF(INDEX(DarlOhneTilgung,17)=1,0,IF(AND(INDEX(DarlTilgStart,17)&gt;0,$E7780=INDEX(DarlTilgStart,17)),$J7780*($H7780+INDEX(DarlTilgung,17))/100/12,IF(AND($G7780=0,$G7779=1),MAX($K7779,$J7780*($H7780+1)/100/12),$K7779))))</f>
      </c>
      <c r="L7780" s="43">
        <f>IF($I7780=0,0,$J7780*$H7780/100/12)</f>
      </c>
      <c r="M7780" s="43">
        <f>IF($I7780=0,0,IF(OR(INDEX(DarlOhneTilgung,17)=1,AND(INDEX(DarlTilgStart,17)&gt;0,$E7780&lt;INDEX(DarlTilgStart,17))),0,MIN(MAX(0,$K7780-$L7780),$J7780)))</f>
      </c>
      <c r="N7780" s="43">
        <f>IF($I7780=0,0,MIN(SUMIFS(SondBetrag,SondDarl,17,SondDatum,"&gt;="&amp;$E7780,SondDatum,"&lt;="&amp;EOMONTH($E7780,0)),$J7780-$M7780))</f>
      </c>
      <c r="O7780" s="43">
        <f>IF($I7780=0,0,INDEX(DarlErsatzRate,17))</f>
      </c>
      <c r="P7780" s="43">
        <f>IF($I7780=0,0,$Q7779*INDEX(DarlErsatzZins,17))</f>
      </c>
      <c r="Q7780" s="43">
        <f>IF($I7780=0,0,$Q7779+$P7780+$O7780)</f>
      </c>
      <c r="R7780" s="43">
        <f>IF($I7780=0,0,$J7780-$M7780-$N7780)</f>
      </c>
    </row>
    <row r="7781">
      <c r="A7781"/>
      <c r="B7781">
        <v>17</v>
      </c>
      <c r="C7781" s="43">
        <f>INDEX(DarlObj,17)</f>
      </c>
      <c r="D7781">
        <v>98</v>
      </c>
      <c r="E7781" s="51">
        <f>IF(INDEX(DarlBelegt,17)=0,0,EOMONTH(INDEX(DarlAuszahlung,17),97)+1)</f>
      </c>
      <c r="F7781" s="43">
        <f>IF($E7781=0,0,YEAR($E7781))</f>
      </c>
      <c r="G7781" s="43">
        <f>IF(INDEX(DarlBindung,17)="",1,IF($E7781&lt;=INDEX(DarlBindung,17),1,0))</f>
      </c>
      <c r="H7781" s="43">
        <f>IF($G7781=1,INDEX(DarlSollzins,17),INDEX(DarlAnschluss,17))</f>
      </c>
      <c r="I7781" s="43">
        <f>IF(INDEX(DarlBelegt,17)=0,0,IF(INDEX(DarlOhneTilgung,17)=1,IF(INDEX(DarlBindung,17)="",1,$G7781),IF($J7781&gt;0.005,1,0)))</f>
      </c>
      <c r="J7781" s="43">
        <f>IF($I7780=0,0,$R7780)</f>
      </c>
      <c r="K7781" s="43">
        <f>IF($I7781=0,0,IF(INDEX(DarlOhneTilgung,17)=1,0,IF(AND(INDEX(DarlTilgStart,17)&gt;0,$E7781=INDEX(DarlTilgStart,17)),$J7781*($H7781+INDEX(DarlTilgung,17))/100/12,IF(AND($G7781=0,$G7780=1),MAX($K7780,$J7781*($H7781+1)/100/12),$K7780))))</f>
      </c>
      <c r="L7781" s="43">
        <f>IF($I7781=0,0,$J7781*$H7781/100/12)</f>
      </c>
      <c r="M7781" s="43">
        <f>IF($I7781=0,0,IF(OR(INDEX(DarlOhneTilgung,17)=1,AND(INDEX(DarlTilgStart,17)&gt;0,$E7781&lt;INDEX(DarlTilgStart,17))),0,MIN(MAX(0,$K7781-$L7781),$J7781)))</f>
      </c>
      <c r="N7781" s="43">
        <f>IF($I7781=0,0,MIN(SUMIFS(SondBetrag,SondDarl,17,SondDatum,"&gt;="&amp;$E7781,SondDatum,"&lt;="&amp;EOMONTH($E7781,0)),$J7781-$M7781))</f>
      </c>
      <c r="O7781" s="43">
        <f>IF($I7781=0,0,INDEX(DarlErsatzRate,17))</f>
      </c>
      <c r="P7781" s="43">
        <f>IF($I7781=0,0,$Q7780*INDEX(DarlErsatzZins,17))</f>
      </c>
      <c r="Q7781" s="43">
        <f>IF($I7781=0,0,$Q7780+$P7781+$O7781)</f>
      </c>
      <c r="R7781" s="43">
        <f>IF($I7781=0,0,$J7781-$M7781-$N7781)</f>
      </c>
    </row>
    <row r="7782">
      <c r="A7782"/>
      <c r="B7782">
        <v>17</v>
      </c>
      <c r="C7782" s="43">
        <f>INDEX(DarlObj,17)</f>
      </c>
      <c r="D7782">
        <v>99</v>
      </c>
      <c r="E7782" s="51">
        <f>IF(INDEX(DarlBelegt,17)=0,0,EOMONTH(INDEX(DarlAuszahlung,17),98)+1)</f>
      </c>
      <c r="F7782" s="43">
        <f>IF($E7782=0,0,YEAR($E7782))</f>
      </c>
      <c r="G7782" s="43">
        <f>IF(INDEX(DarlBindung,17)="",1,IF($E7782&lt;=INDEX(DarlBindung,17),1,0))</f>
      </c>
      <c r="H7782" s="43">
        <f>IF($G7782=1,INDEX(DarlSollzins,17),INDEX(DarlAnschluss,17))</f>
      </c>
      <c r="I7782" s="43">
        <f>IF(INDEX(DarlBelegt,17)=0,0,IF(INDEX(DarlOhneTilgung,17)=1,IF(INDEX(DarlBindung,17)="",1,$G7782),IF($J7782&gt;0.005,1,0)))</f>
      </c>
      <c r="J7782" s="43">
        <f>IF($I7781=0,0,$R7781)</f>
      </c>
      <c r="K7782" s="43">
        <f>IF($I7782=0,0,IF(INDEX(DarlOhneTilgung,17)=1,0,IF(AND(INDEX(DarlTilgStart,17)&gt;0,$E7782=INDEX(DarlTilgStart,17)),$J7782*($H7782+INDEX(DarlTilgung,17))/100/12,IF(AND($G7782=0,$G7781=1),MAX($K7781,$J7782*($H7782+1)/100/12),$K7781))))</f>
      </c>
      <c r="L7782" s="43">
        <f>IF($I7782=0,0,$J7782*$H7782/100/12)</f>
      </c>
      <c r="M7782" s="43">
        <f>IF($I7782=0,0,IF(OR(INDEX(DarlOhneTilgung,17)=1,AND(INDEX(DarlTilgStart,17)&gt;0,$E7782&lt;INDEX(DarlTilgStart,17))),0,MIN(MAX(0,$K7782-$L7782),$J7782)))</f>
      </c>
      <c r="N7782" s="43">
        <f>IF($I7782=0,0,MIN(SUMIFS(SondBetrag,SondDarl,17,SondDatum,"&gt;="&amp;$E7782,SondDatum,"&lt;="&amp;EOMONTH($E7782,0)),$J7782-$M7782))</f>
      </c>
      <c r="O7782" s="43">
        <f>IF($I7782=0,0,INDEX(DarlErsatzRate,17))</f>
      </c>
      <c r="P7782" s="43">
        <f>IF($I7782=0,0,$Q7781*INDEX(DarlErsatzZins,17))</f>
      </c>
      <c r="Q7782" s="43">
        <f>IF($I7782=0,0,$Q7781+$P7782+$O7782)</f>
      </c>
      <c r="R7782" s="43">
        <f>IF($I7782=0,0,$J7782-$M7782-$N7782)</f>
      </c>
    </row>
    <row r="7783">
      <c r="A7783"/>
      <c r="B7783">
        <v>17</v>
      </c>
      <c r="C7783" s="43">
        <f>INDEX(DarlObj,17)</f>
      </c>
      <c r="D7783">
        <v>100</v>
      </c>
      <c r="E7783" s="51">
        <f>IF(INDEX(DarlBelegt,17)=0,0,EOMONTH(INDEX(DarlAuszahlung,17),99)+1)</f>
      </c>
      <c r="F7783" s="43">
        <f>IF($E7783=0,0,YEAR($E7783))</f>
      </c>
      <c r="G7783" s="43">
        <f>IF(INDEX(DarlBindung,17)="",1,IF($E7783&lt;=INDEX(DarlBindung,17),1,0))</f>
      </c>
      <c r="H7783" s="43">
        <f>IF($G7783=1,INDEX(DarlSollzins,17),INDEX(DarlAnschluss,17))</f>
      </c>
      <c r="I7783" s="43">
        <f>IF(INDEX(DarlBelegt,17)=0,0,IF(INDEX(DarlOhneTilgung,17)=1,IF(INDEX(DarlBindung,17)="",1,$G7783),IF($J7783&gt;0.005,1,0)))</f>
      </c>
      <c r="J7783" s="43">
        <f>IF($I7782=0,0,$R7782)</f>
      </c>
      <c r="K7783" s="43">
        <f>IF($I7783=0,0,IF(INDEX(DarlOhneTilgung,17)=1,0,IF(AND(INDEX(DarlTilgStart,17)&gt;0,$E7783=INDEX(DarlTilgStart,17)),$J7783*($H7783+INDEX(DarlTilgung,17))/100/12,IF(AND($G7783=0,$G7782=1),MAX($K7782,$J7783*($H7783+1)/100/12),$K7782))))</f>
      </c>
      <c r="L7783" s="43">
        <f>IF($I7783=0,0,$J7783*$H7783/100/12)</f>
      </c>
      <c r="M7783" s="43">
        <f>IF($I7783=0,0,IF(OR(INDEX(DarlOhneTilgung,17)=1,AND(INDEX(DarlTilgStart,17)&gt;0,$E7783&lt;INDEX(DarlTilgStart,17))),0,MIN(MAX(0,$K7783-$L7783),$J7783)))</f>
      </c>
      <c r="N7783" s="43">
        <f>IF($I7783=0,0,MIN(SUMIFS(SondBetrag,SondDarl,17,SondDatum,"&gt;="&amp;$E7783,SondDatum,"&lt;="&amp;EOMONTH($E7783,0)),$J7783-$M7783))</f>
      </c>
      <c r="O7783" s="43">
        <f>IF($I7783=0,0,INDEX(DarlErsatzRate,17))</f>
      </c>
      <c r="P7783" s="43">
        <f>IF($I7783=0,0,$Q7782*INDEX(DarlErsatzZins,17))</f>
      </c>
      <c r="Q7783" s="43">
        <f>IF($I7783=0,0,$Q7782+$P7783+$O7783)</f>
      </c>
      <c r="R7783" s="43">
        <f>IF($I7783=0,0,$J7783-$M7783-$N7783)</f>
      </c>
    </row>
    <row r="7784">
      <c r="A7784"/>
      <c r="B7784">
        <v>17</v>
      </c>
      <c r="C7784" s="43">
        <f>INDEX(DarlObj,17)</f>
      </c>
      <c r="D7784">
        <v>101</v>
      </c>
      <c r="E7784" s="51">
        <f>IF(INDEX(DarlBelegt,17)=0,0,EOMONTH(INDEX(DarlAuszahlung,17),100)+1)</f>
      </c>
      <c r="F7784" s="43">
        <f>IF($E7784=0,0,YEAR($E7784))</f>
      </c>
      <c r="G7784" s="43">
        <f>IF(INDEX(DarlBindung,17)="",1,IF($E7784&lt;=INDEX(DarlBindung,17),1,0))</f>
      </c>
      <c r="H7784" s="43">
        <f>IF($G7784=1,INDEX(DarlSollzins,17),INDEX(DarlAnschluss,17))</f>
      </c>
      <c r="I7784" s="43">
        <f>IF(INDEX(DarlBelegt,17)=0,0,IF(INDEX(DarlOhneTilgung,17)=1,IF(INDEX(DarlBindung,17)="",1,$G7784),IF($J7784&gt;0.005,1,0)))</f>
      </c>
      <c r="J7784" s="43">
        <f>IF($I7783=0,0,$R7783)</f>
      </c>
      <c r="K7784" s="43">
        <f>IF($I7784=0,0,IF(INDEX(DarlOhneTilgung,17)=1,0,IF(AND(INDEX(DarlTilgStart,17)&gt;0,$E7784=INDEX(DarlTilgStart,17)),$J7784*($H7784+INDEX(DarlTilgung,17))/100/12,IF(AND($G7784=0,$G7783=1),MAX($K7783,$J7784*($H7784+1)/100/12),$K7783))))</f>
      </c>
      <c r="L7784" s="43">
        <f>IF($I7784=0,0,$J7784*$H7784/100/12)</f>
      </c>
      <c r="M7784" s="43">
        <f>IF($I7784=0,0,IF(OR(INDEX(DarlOhneTilgung,17)=1,AND(INDEX(DarlTilgStart,17)&gt;0,$E7784&lt;INDEX(DarlTilgStart,17))),0,MIN(MAX(0,$K7784-$L7784),$J7784)))</f>
      </c>
      <c r="N7784" s="43">
        <f>IF($I7784=0,0,MIN(SUMIFS(SondBetrag,SondDarl,17,SondDatum,"&gt;="&amp;$E7784,SondDatum,"&lt;="&amp;EOMONTH($E7784,0)),$J7784-$M7784))</f>
      </c>
      <c r="O7784" s="43">
        <f>IF($I7784=0,0,INDEX(DarlErsatzRate,17))</f>
      </c>
      <c r="P7784" s="43">
        <f>IF($I7784=0,0,$Q7783*INDEX(DarlErsatzZins,17))</f>
      </c>
      <c r="Q7784" s="43">
        <f>IF($I7784=0,0,$Q7783+$P7784+$O7784)</f>
      </c>
      <c r="R7784" s="43">
        <f>IF($I7784=0,0,$J7784-$M7784-$N7784)</f>
      </c>
    </row>
    <row r="7785">
      <c r="A7785"/>
      <c r="B7785">
        <v>17</v>
      </c>
      <c r="C7785" s="43">
        <f>INDEX(DarlObj,17)</f>
      </c>
      <c r="D7785">
        <v>102</v>
      </c>
      <c r="E7785" s="51">
        <f>IF(INDEX(DarlBelegt,17)=0,0,EOMONTH(INDEX(DarlAuszahlung,17),101)+1)</f>
      </c>
      <c r="F7785" s="43">
        <f>IF($E7785=0,0,YEAR($E7785))</f>
      </c>
      <c r="G7785" s="43">
        <f>IF(INDEX(DarlBindung,17)="",1,IF($E7785&lt;=INDEX(DarlBindung,17),1,0))</f>
      </c>
      <c r="H7785" s="43">
        <f>IF($G7785=1,INDEX(DarlSollzins,17),INDEX(DarlAnschluss,17))</f>
      </c>
      <c r="I7785" s="43">
        <f>IF(INDEX(DarlBelegt,17)=0,0,IF(INDEX(DarlOhneTilgung,17)=1,IF(INDEX(DarlBindung,17)="",1,$G7785),IF($J7785&gt;0.005,1,0)))</f>
      </c>
      <c r="J7785" s="43">
        <f>IF($I7784=0,0,$R7784)</f>
      </c>
      <c r="K7785" s="43">
        <f>IF($I7785=0,0,IF(INDEX(DarlOhneTilgung,17)=1,0,IF(AND(INDEX(DarlTilgStart,17)&gt;0,$E7785=INDEX(DarlTilgStart,17)),$J7785*($H7785+INDEX(DarlTilgung,17))/100/12,IF(AND($G7785=0,$G7784=1),MAX($K7784,$J7785*($H7785+1)/100/12),$K7784))))</f>
      </c>
      <c r="L7785" s="43">
        <f>IF($I7785=0,0,$J7785*$H7785/100/12)</f>
      </c>
      <c r="M7785" s="43">
        <f>IF($I7785=0,0,IF(OR(INDEX(DarlOhneTilgung,17)=1,AND(INDEX(DarlTilgStart,17)&gt;0,$E7785&lt;INDEX(DarlTilgStart,17))),0,MIN(MAX(0,$K7785-$L7785),$J7785)))</f>
      </c>
      <c r="N7785" s="43">
        <f>IF($I7785=0,0,MIN(SUMIFS(SondBetrag,SondDarl,17,SondDatum,"&gt;="&amp;$E7785,SondDatum,"&lt;="&amp;EOMONTH($E7785,0)),$J7785-$M7785))</f>
      </c>
      <c r="O7785" s="43">
        <f>IF($I7785=0,0,INDEX(DarlErsatzRate,17))</f>
      </c>
      <c r="P7785" s="43">
        <f>IF($I7785=0,0,$Q7784*INDEX(DarlErsatzZins,17))</f>
      </c>
      <c r="Q7785" s="43">
        <f>IF($I7785=0,0,$Q7784+$P7785+$O7785)</f>
      </c>
      <c r="R7785" s="43">
        <f>IF($I7785=0,0,$J7785-$M7785-$N7785)</f>
      </c>
    </row>
    <row r="7786">
      <c r="A7786"/>
      <c r="B7786">
        <v>17</v>
      </c>
      <c r="C7786" s="43">
        <f>INDEX(DarlObj,17)</f>
      </c>
      <c r="D7786">
        <v>103</v>
      </c>
      <c r="E7786" s="51">
        <f>IF(INDEX(DarlBelegt,17)=0,0,EOMONTH(INDEX(DarlAuszahlung,17),102)+1)</f>
      </c>
      <c r="F7786" s="43">
        <f>IF($E7786=0,0,YEAR($E7786))</f>
      </c>
      <c r="G7786" s="43">
        <f>IF(INDEX(DarlBindung,17)="",1,IF($E7786&lt;=INDEX(DarlBindung,17),1,0))</f>
      </c>
      <c r="H7786" s="43">
        <f>IF($G7786=1,INDEX(DarlSollzins,17),INDEX(DarlAnschluss,17))</f>
      </c>
      <c r="I7786" s="43">
        <f>IF(INDEX(DarlBelegt,17)=0,0,IF(INDEX(DarlOhneTilgung,17)=1,IF(INDEX(DarlBindung,17)="",1,$G7786),IF($J7786&gt;0.005,1,0)))</f>
      </c>
      <c r="J7786" s="43">
        <f>IF($I7785=0,0,$R7785)</f>
      </c>
      <c r="K7786" s="43">
        <f>IF($I7786=0,0,IF(INDEX(DarlOhneTilgung,17)=1,0,IF(AND(INDEX(DarlTilgStart,17)&gt;0,$E7786=INDEX(DarlTilgStart,17)),$J7786*($H7786+INDEX(DarlTilgung,17))/100/12,IF(AND($G7786=0,$G7785=1),MAX($K7785,$J7786*($H7786+1)/100/12),$K7785))))</f>
      </c>
      <c r="L7786" s="43">
        <f>IF($I7786=0,0,$J7786*$H7786/100/12)</f>
      </c>
      <c r="M7786" s="43">
        <f>IF($I7786=0,0,IF(OR(INDEX(DarlOhneTilgung,17)=1,AND(INDEX(DarlTilgStart,17)&gt;0,$E7786&lt;INDEX(DarlTilgStart,17))),0,MIN(MAX(0,$K7786-$L7786),$J7786)))</f>
      </c>
      <c r="N7786" s="43">
        <f>IF($I7786=0,0,MIN(SUMIFS(SondBetrag,SondDarl,17,SondDatum,"&gt;="&amp;$E7786,SondDatum,"&lt;="&amp;EOMONTH($E7786,0)),$J7786-$M7786))</f>
      </c>
      <c r="O7786" s="43">
        <f>IF($I7786=0,0,INDEX(DarlErsatzRate,17))</f>
      </c>
      <c r="P7786" s="43">
        <f>IF($I7786=0,0,$Q7785*INDEX(DarlErsatzZins,17))</f>
      </c>
      <c r="Q7786" s="43">
        <f>IF($I7786=0,0,$Q7785+$P7786+$O7786)</f>
      </c>
      <c r="R7786" s="43">
        <f>IF($I7786=0,0,$J7786-$M7786-$N7786)</f>
      </c>
    </row>
    <row r="7787">
      <c r="A7787"/>
      <c r="B7787">
        <v>17</v>
      </c>
      <c r="C7787" s="43">
        <f>INDEX(DarlObj,17)</f>
      </c>
      <c r="D7787">
        <v>104</v>
      </c>
      <c r="E7787" s="51">
        <f>IF(INDEX(DarlBelegt,17)=0,0,EOMONTH(INDEX(DarlAuszahlung,17),103)+1)</f>
      </c>
      <c r="F7787" s="43">
        <f>IF($E7787=0,0,YEAR($E7787))</f>
      </c>
      <c r="G7787" s="43">
        <f>IF(INDEX(DarlBindung,17)="",1,IF($E7787&lt;=INDEX(DarlBindung,17),1,0))</f>
      </c>
      <c r="H7787" s="43">
        <f>IF($G7787=1,INDEX(DarlSollzins,17),INDEX(DarlAnschluss,17))</f>
      </c>
      <c r="I7787" s="43">
        <f>IF(INDEX(DarlBelegt,17)=0,0,IF(INDEX(DarlOhneTilgung,17)=1,IF(INDEX(DarlBindung,17)="",1,$G7787),IF($J7787&gt;0.005,1,0)))</f>
      </c>
      <c r="J7787" s="43">
        <f>IF($I7786=0,0,$R7786)</f>
      </c>
      <c r="K7787" s="43">
        <f>IF($I7787=0,0,IF(INDEX(DarlOhneTilgung,17)=1,0,IF(AND(INDEX(DarlTilgStart,17)&gt;0,$E7787=INDEX(DarlTilgStart,17)),$J7787*($H7787+INDEX(DarlTilgung,17))/100/12,IF(AND($G7787=0,$G7786=1),MAX($K7786,$J7787*($H7787+1)/100/12),$K7786))))</f>
      </c>
      <c r="L7787" s="43">
        <f>IF($I7787=0,0,$J7787*$H7787/100/12)</f>
      </c>
      <c r="M7787" s="43">
        <f>IF($I7787=0,0,IF(OR(INDEX(DarlOhneTilgung,17)=1,AND(INDEX(DarlTilgStart,17)&gt;0,$E7787&lt;INDEX(DarlTilgStart,17))),0,MIN(MAX(0,$K7787-$L7787),$J7787)))</f>
      </c>
      <c r="N7787" s="43">
        <f>IF($I7787=0,0,MIN(SUMIFS(SondBetrag,SondDarl,17,SondDatum,"&gt;="&amp;$E7787,SondDatum,"&lt;="&amp;EOMONTH($E7787,0)),$J7787-$M7787))</f>
      </c>
      <c r="O7787" s="43">
        <f>IF($I7787=0,0,INDEX(DarlErsatzRate,17))</f>
      </c>
      <c r="P7787" s="43">
        <f>IF($I7787=0,0,$Q7786*INDEX(DarlErsatzZins,17))</f>
      </c>
      <c r="Q7787" s="43">
        <f>IF($I7787=0,0,$Q7786+$P7787+$O7787)</f>
      </c>
      <c r="R7787" s="43">
        <f>IF($I7787=0,0,$J7787-$M7787-$N7787)</f>
      </c>
    </row>
    <row r="7788">
      <c r="A7788"/>
      <c r="B7788">
        <v>17</v>
      </c>
      <c r="C7788" s="43">
        <f>INDEX(DarlObj,17)</f>
      </c>
      <c r="D7788">
        <v>105</v>
      </c>
      <c r="E7788" s="51">
        <f>IF(INDEX(DarlBelegt,17)=0,0,EOMONTH(INDEX(DarlAuszahlung,17),104)+1)</f>
      </c>
      <c r="F7788" s="43">
        <f>IF($E7788=0,0,YEAR($E7788))</f>
      </c>
      <c r="G7788" s="43">
        <f>IF(INDEX(DarlBindung,17)="",1,IF($E7788&lt;=INDEX(DarlBindung,17),1,0))</f>
      </c>
      <c r="H7788" s="43">
        <f>IF($G7788=1,INDEX(DarlSollzins,17),INDEX(DarlAnschluss,17))</f>
      </c>
      <c r="I7788" s="43">
        <f>IF(INDEX(DarlBelegt,17)=0,0,IF(INDEX(DarlOhneTilgung,17)=1,IF(INDEX(DarlBindung,17)="",1,$G7788),IF($J7788&gt;0.005,1,0)))</f>
      </c>
      <c r="J7788" s="43">
        <f>IF($I7787=0,0,$R7787)</f>
      </c>
      <c r="K7788" s="43">
        <f>IF($I7788=0,0,IF(INDEX(DarlOhneTilgung,17)=1,0,IF(AND(INDEX(DarlTilgStart,17)&gt;0,$E7788=INDEX(DarlTilgStart,17)),$J7788*($H7788+INDEX(DarlTilgung,17))/100/12,IF(AND($G7788=0,$G7787=1),MAX($K7787,$J7788*($H7788+1)/100/12),$K7787))))</f>
      </c>
      <c r="L7788" s="43">
        <f>IF($I7788=0,0,$J7788*$H7788/100/12)</f>
      </c>
      <c r="M7788" s="43">
        <f>IF($I7788=0,0,IF(OR(INDEX(DarlOhneTilgung,17)=1,AND(INDEX(DarlTilgStart,17)&gt;0,$E7788&lt;INDEX(DarlTilgStart,17))),0,MIN(MAX(0,$K7788-$L7788),$J7788)))</f>
      </c>
      <c r="N7788" s="43">
        <f>IF($I7788=0,0,MIN(SUMIFS(SondBetrag,SondDarl,17,SondDatum,"&gt;="&amp;$E7788,SondDatum,"&lt;="&amp;EOMONTH($E7788,0)),$J7788-$M7788))</f>
      </c>
      <c r="O7788" s="43">
        <f>IF($I7788=0,0,INDEX(DarlErsatzRate,17))</f>
      </c>
      <c r="P7788" s="43">
        <f>IF($I7788=0,0,$Q7787*INDEX(DarlErsatzZins,17))</f>
      </c>
      <c r="Q7788" s="43">
        <f>IF($I7788=0,0,$Q7787+$P7788+$O7788)</f>
      </c>
      <c r="R7788" s="43">
        <f>IF($I7788=0,0,$J7788-$M7788-$N7788)</f>
      </c>
    </row>
    <row r="7789">
      <c r="A7789"/>
      <c r="B7789">
        <v>17</v>
      </c>
      <c r="C7789" s="43">
        <f>INDEX(DarlObj,17)</f>
      </c>
      <c r="D7789">
        <v>106</v>
      </c>
      <c r="E7789" s="51">
        <f>IF(INDEX(DarlBelegt,17)=0,0,EOMONTH(INDEX(DarlAuszahlung,17),105)+1)</f>
      </c>
      <c r="F7789" s="43">
        <f>IF($E7789=0,0,YEAR($E7789))</f>
      </c>
      <c r="G7789" s="43">
        <f>IF(INDEX(DarlBindung,17)="",1,IF($E7789&lt;=INDEX(DarlBindung,17),1,0))</f>
      </c>
      <c r="H7789" s="43">
        <f>IF($G7789=1,INDEX(DarlSollzins,17),INDEX(DarlAnschluss,17))</f>
      </c>
      <c r="I7789" s="43">
        <f>IF(INDEX(DarlBelegt,17)=0,0,IF(INDEX(DarlOhneTilgung,17)=1,IF(INDEX(DarlBindung,17)="",1,$G7789),IF($J7789&gt;0.005,1,0)))</f>
      </c>
      <c r="J7789" s="43">
        <f>IF($I7788=0,0,$R7788)</f>
      </c>
      <c r="K7789" s="43">
        <f>IF($I7789=0,0,IF(INDEX(DarlOhneTilgung,17)=1,0,IF(AND(INDEX(DarlTilgStart,17)&gt;0,$E7789=INDEX(DarlTilgStart,17)),$J7789*($H7789+INDEX(DarlTilgung,17))/100/12,IF(AND($G7789=0,$G7788=1),MAX($K7788,$J7789*($H7789+1)/100/12),$K7788))))</f>
      </c>
      <c r="L7789" s="43">
        <f>IF($I7789=0,0,$J7789*$H7789/100/12)</f>
      </c>
      <c r="M7789" s="43">
        <f>IF($I7789=0,0,IF(OR(INDEX(DarlOhneTilgung,17)=1,AND(INDEX(DarlTilgStart,17)&gt;0,$E7789&lt;INDEX(DarlTilgStart,17))),0,MIN(MAX(0,$K7789-$L7789),$J7789)))</f>
      </c>
      <c r="N7789" s="43">
        <f>IF($I7789=0,0,MIN(SUMIFS(SondBetrag,SondDarl,17,SondDatum,"&gt;="&amp;$E7789,SondDatum,"&lt;="&amp;EOMONTH($E7789,0)),$J7789-$M7789))</f>
      </c>
      <c r="O7789" s="43">
        <f>IF($I7789=0,0,INDEX(DarlErsatzRate,17))</f>
      </c>
      <c r="P7789" s="43">
        <f>IF($I7789=0,0,$Q7788*INDEX(DarlErsatzZins,17))</f>
      </c>
      <c r="Q7789" s="43">
        <f>IF($I7789=0,0,$Q7788+$P7789+$O7789)</f>
      </c>
      <c r="R7789" s="43">
        <f>IF($I7789=0,0,$J7789-$M7789-$N7789)</f>
      </c>
    </row>
    <row r="7790">
      <c r="A7790"/>
      <c r="B7790">
        <v>17</v>
      </c>
      <c r="C7790" s="43">
        <f>INDEX(DarlObj,17)</f>
      </c>
      <c r="D7790">
        <v>107</v>
      </c>
      <c r="E7790" s="51">
        <f>IF(INDEX(DarlBelegt,17)=0,0,EOMONTH(INDEX(DarlAuszahlung,17),106)+1)</f>
      </c>
      <c r="F7790" s="43">
        <f>IF($E7790=0,0,YEAR($E7790))</f>
      </c>
      <c r="G7790" s="43">
        <f>IF(INDEX(DarlBindung,17)="",1,IF($E7790&lt;=INDEX(DarlBindung,17),1,0))</f>
      </c>
      <c r="H7790" s="43">
        <f>IF($G7790=1,INDEX(DarlSollzins,17),INDEX(DarlAnschluss,17))</f>
      </c>
      <c r="I7790" s="43">
        <f>IF(INDEX(DarlBelegt,17)=0,0,IF(INDEX(DarlOhneTilgung,17)=1,IF(INDEX(DarlBindung,17)="",1,$G7790),IF($J7790&gt;0.005,1,0)))</f>
      </c>
      <c r="J7790" s="43">
        <f>IF($I7789=0,0,$R7789)</f>
      </c>
      <c r="K7790" s="43">
        <f>IF($I7790=0,0,IF(INDEX(DarlOhneTilgung,17)=1,0,IF(AND(INDEX(DarlTilgStart,17)&gt;0,$E7790=INDEX(DarlTilgStart,17)),$J7790*($H7790+INDEX(DarlTilgung,17))/100/12,IF(AND($G7790=0,$G7789=1),MAX($K7789,$J7790*($H7790+1)/100/12),$K7789))))</f>
      </c>
      <c r="L7790" s="43">
        <f>IF($I7790=0,0,$J7790*$H7790/100/12)</f>
      </c>
      <c r="M7790" s="43">
        <f>IF($I7790=0,0,IF(OR(INDEX(DarlOhneTilgung,17)=1,AND(INDEX(DarlTilgStart,17)&gt;0,$E7790&lt;INDEX(DarlTilgStart,17))),0,MIN(MAX(0,$K7790-$L7790),$J7790)))</f>
      </c>
      <c r="N7790" s="43">
        <f>IF($I7790=0,0,MIN(SUMIFS(SondBetrag,SondDarl,17,SondDatum,"&gt;="&amp;$E7790,SondDatum,"&lt;="&amp;EOMONTH($E7790,0)),$J7790-$M7790))</f>
      </c>
      <c r="O7790" s="43">
        <f>IF($I7790=0,0,INDEX(DarlErsatzRate,17))</f>
      </c>
      <c r="P7790" s="43">
        <f>IF($I7790=0,0,$Q7789*INDEX(DarlErsatzZins,17))</f>
      </c>
      <c r="Q7790" s="43">
        <f>IF($I7790=0,0,$Q7789+$P7790+$O7790)</f>
      </c>
      <c r="R7790" s="43">
        <f>IF($I7790=0,0,$J7790-$M7790-$N7790)</f>
      </c>
    </row>
    <row r="7791">
      <c r="A7791"/>
      <c r="B7791">
        <v>17</v>
      </c>
      <c r="C7791" s="43">
        <f>INDEX(DarlObj,17)</f>
      </c>
      <c r="D7791">
        <v>108</v>
      </c>
      <c r="E7791" s="51">
        <f>IF(INDEX(DarlBelegt,17)=0,0,EOMONTH(INDEX(DarlAuszahlung,17),107)+1)</f>
      </c>
      <c r="F7791" s="43">
        <f>IF($E7791=0,0,YEAR($E7791))</f>
      </c>
      <c r="G7791" s="43">
        <f>IF(INDEX(DarlBindung,17)="",1,IF($E7791&lt;=INDEX(DarlBindung,17),1,0))</f>
      </c>
      <c r="H7791" s="43">
        <f>IF($G7791=1,INDEX(DarlSollzins,17),INDEX(DarlAnschluss,17))</f>
      </c>
      <c r="I7791" s="43">
        <f>IF(INDEX(DarlBelegt,17)=0,0,IF(INDEX(DarlOhneTilgung,17)=1,IF(INDEX(DarlBindung,17)="",1,$G7791),IF($J7791&gt;0.005,1,0)))</f>
      </c>
      <c r="J7791" s="43">
        <f>IF($I7790=0,0,$R7790)</f>
      </c>
      <c r="K7791" s="43">
        <f>IF($I7791=0,0,IF(INDEX(DarlOhneTilgung,17)=1,0,IF(AND(INDEX(DarlTilgStart,17)&gt;0,$E7791=INDEX(DarlTilgStart,17)),$J7791*($H7791+INDEX(DarlTilgung,17))/100/12,IF(AND($G7791=0,$G7790=1),MAX($K7790,$J7791*($H7791+1)/100/12),$K7790))))</f>
      </c>
      <c r="L7791" s="43">
        <f>IF($I7791=0,0,$J7791*$H7791/100/12)</f>
      </c>
      <c r="M7791" s="43">
        <f>IF($I7791=0,0,IF(OR(INDEX(DarlOhneTilgung,17)=1,AND(INDEX(DarlTilgStart,17)&gt;0,$E7791&lt;INDEX(DarlTilgStart,17))),0,MIN(MAX(0,$K7791-$L7791),$J7791)))</f>
      </c>
      <c r="N7791" s="43">
        <f>IF($I7791=0,0,MIN(SUMIFS(SondBetrag,SondDarl,17,SondDatum,"&gt;="&amp;$E7791,SondDatum,"&lt;="&amp;EOMONTH($E7791,0)),$J7791-$M7791))</f>
      </c>
      <c r="O7791" s="43">
        <f>IF($I7791=0,0,INDEX(DarlErsatzRate,17))</f>
      </c>
      <c r="P7791" s="43">
        <f>IF($I7791=0,0,$Q7790*INDEX(DarlErsatzZins,17))</f>
      </c>
      <c r="Q7791" s="43">
        <f>IF($I7791=0,0,$Q7790+$P7791+$O7791)</f>
      </c>
      <c r="R7791" s="43">
        <f>IF($I7791=0,0,$J7791-$M7791-$N7791)</f>
      </c>
    </row>
    <row r="7792">
      <c r="A7792"/>
      <c r="B7792">
        <v>17</v>
      </c>
      <c r="C7792" s="43">
        <f>INDEX(DarlObj,17)</f>
      </c>
      <c r="D7792">
        <v>109</v>
      </c>
      <c r="E7792" s="51">
        <f>IF(INDEX(DarlBelegt,17)=0,0,EOMONTH(INDEX(DarlAuszahlung,17),108)+1)</f>
      </c>
      <c r="F7792" s="43">
        <f>IF($E7792=0,0,YEAR($E7792))</f>
      </c>
      <c r="G7792" s="43">
        <f>IF(INDEX(DarlBindung,17)="",1,IF($E7792&lt;=INDEX(DarlBindung,17),1,0))</f>
      </c>
      <c r="H7792" s="43">
        <f>IF($G7792=1,INDEX(DarlSollzins,17),INDEX(DarlAnschluss,17))</f>
      </c>
      <c r="I7792" s="43">
        <f>IF(INDEX(DarlBelegt,17)=0,0,IF(INDEX(DarlOhneTilgung,17)=1,IF(INDEX(DarlBindung,17)="",1,$G7792),IF($J7792&gt;0.005,1,0)))</f>
      </c>
      <c r="J7792" s="43">
        <f>IF($I7791=0,0,$R7791)</f>
      </c>
      <c r="K7792" s="43">
        <f>IF($I7792=0,0,IF(INDEX(DarlOhneTilgung,17)=1,0,IF(AND(INDEX(DarlTilgStart,17)&gt;0,$E7792=INDEX(DarlTilgStart,17)),$J7792*($H7792+INDEX(DarlTilgung,17))/100/12,IF(AND($G7792=0,$G7791=1),MAX($K7791,$J7792*($H7792+1)/100/12),$K7791))))</f>
      </c>
      <c r="L7792" s="43">
        <f>IF($I7792=0,0,$J7792*$H7792/100/12)</f>
      </c>
      <c r="M7792" s="43">
        <f>IF($I7792=0,0,IF(OR(INDEX(DarlOhneTilgung,17)=1,AND(INDEX(DarlTilgStart,17)&gt;0,$E7792&lt;INDEX(DarlTilgStart,17))),0,MIN(MAX(0,$K7792-$L7792),$J7792)))</f>
      </c>
      <c r="N7792" s="43">
        <f>IF($I7792=0,0,MIN(SUMIFS(SondBetrag,SondDarl,17,SondDatum,"&gt;="&amp;$E7792,SondDatum,"&lt;="&amp;EOMONTH($E7792,0)),$J7792-$M7792))</f>
      </c>
      <c r="O7792" s="43">
        <f>IF($I7792=0,0,INDEX(DarlErsatzRate,17))</f>
      </c>
      <c r="P7792" s="43">
        <f>IF($I7792=0,0,$Q7791*INDEX(DarlErsatzZins,17))</f>
      </c>
      <c r="Q7792" s="43">
        <f>IF($I7792=0,0,$Q7791+$P7792+$O7792)</f>
      </c>
      <c r="R7792" s="43">
        <f>IF($I7792=0,0,$J7792-$M7792-$N7792)</f>
      </c>
    </row>
    <row r="7793">
      <c r="A7793"/>
      <c r="B7793">
        <v>17</v>
      </c>
      <c r="C7793" s="43">
        <f>INDEX(DarlObj,17)</f>
      </c>
      <c r="D7793">
        <v>110</v>
      </c>
      <c r="E7793" s="51">
        <f>IF(INDEX(DarlBelegt,17)=0,0,EOMONTH(INDEX(DarlAuszahlung,17),109)+1)</f>
      </c>
      <c r="F7793" s="43">
        <f>IF($E7793=0,0,YEAR($E7793))</f>
      </c>
      <c r="G7793" s="43">
        <f>IF(INDEX(DarlBindung,17)="",1,IF($E7793&lt;=INDEX(DarlBindung,17),1,0))</f>
      </c>
      <c r="H7793" s="43">
        <f>IF($G7793=1,INDEX(DarlSollzins,17),INDEX(DarlAnschluss,17))</f>
      </c>
      <c r="I7793" s="43">
        <f>IF(INDEX(DarlBelegt,17)=0,0,IF(INDEX(DarlOhneTilgung,17)=1,IF(INDEX(DarlBindung,17)="",1,$G7793),IF($J7793&gt;0.005,1,0)))</f>
      </c>
      <c r="J7793" s="43">
        <f>IF($I7792=0,0,$R7792)</f>
      </c>
      <c r="K7793" s="43">
        <f>IF($I7793=0,0,IF(INDEX(DarlOhneTilgung,17)=1,0,IF(AND(INDEX(DarlTilgStart,17)&gt;0,$E7793=INDEX(DarlTilgStart,17)),$J7793*($H7793+INDEX(DarlTilgung,17))/100/12,IF(AND($G7793=0,$G7792=1),MAX($K7792,$J7793*($H7793+1)/100/12),$K7792))))</f>
      </c>
      <c r="L7793" s="43">
        <f>IF($I7793=0,0,$J7793*$H7793/100/12)</f>
      </c>
      <c r="M7793" s="43">
        <f>IF($I7793=0,0,IF(OR(INDEX(DarlOhneTilgung,17)=1,AND(INDEX(DarlTilgStart,17)&gt;0,$E7793&lt;INDEX(DarlTilgStart,17))),0,MIN(MAX(0,$K7793-$L7793),$J7793)))</f>
      </c>
      <c r="N7793" s="43">
        <f>IF($I7793=0,0,MIN(SUMIFS(SondBetrag,SondDarl,17,SondDatum,"&gt;="&amp;$E7793,SondDatum,"&lt;="&amp;EOMONTH($E7793,0)),$J7793-$M7793))</f>
      </c>
      <c r="O7793" s="43">
        <f>IF($I7793=0,0,INDEX(DarlErsatzRate,17))</f>
      </c>
      <c r="P7793" s="43">
        <f>IF($I7793=0,0,$Q7792*INDEX(DarlErsatzZins,17))</f>
      </c>
      <c r="Q7793" s="43">
        <f>IF($I7793=0,0,$Q7792+$P7793+$O7793)</f>
      </c>
      <c r="R7793" s="43">
        <f>IF($I7793=0,0,$J7793-$M7793-$N7793)</f>
      </c>
    </row>
    <row r="7794">
      <c r="A7794"/>
      <c r="B7794">
        <v>17</v>
      </c>
      <c r="C7794" s="43">
        <f>INDEX(DarlObj,17)</f>
      </c>
      <c r="D7794">
        <v>111</v>
      </c>
      <c r="E7794" s="51">
        <f>IF(INDEX(DarlBelegt,17)=0,0,EOMONTH(INDEX(DarlAuszahlung,17),110)+1)</f>
      </c>
      <c r="F7794" s="43">
        <f>IF($E7794=0,0,YEAR($E7794))</f>
      </c>
      <c r="G7794" s="43">
        <f>IF(INDEX(DarlBindung,17)="",1,IF($E7794&lt;=INDEX(DarlBindung,17),1,0))</f>
      </c>
      <c r="H7794" s="43">
        <f>IF($G7794=1,INDEX(DarlSollzins,17),INDEX(DarlAnschluss,17))</f>
      </c>
      <c r="I7794" s="43">
        <f>IF(INDEX(DarlBelegt,17)=0,0,IF(INDEX(DarlOhneTilgung,17)=1,IF(INDEX(DarlBindung,17)="",1,$G7794),IF($J7794&gt;0.005,1,0)))</f>
      </c>
      <c r="J7794" s="43">
        <f>IF($I7793=0,0,$R7793)</f>
      </c>
      <c r="K7794" s="43">
        <f>IF($I7794=0,0,IF(INDEX(DarlOhneTilgung,17)=1,0,IF(AND(INDEX(DarlTilgStart,17)&gt;0,$E7794=INDEX(DarlTilgStart,17)),$J7794*($H7794+INDEX(DarlTilgung,17))/100/12,IF(AND($G7794=0,$G7793=1),MAX($K7793,$J7794*($H7794+1)/100/12),$K7793))))</f>
      </c>
      <c r="L7794" s="43">
        <f>IF($I7794=0,0,$J7794*$H7794/100/12)</f>
      </c>
      <c r="M7794" s="43">
        <f>IF($I7794=0,0,IF(OR(INDEX(DarlOhneTilgung,17)=1,AND(INDEX(DarlTilgStart,17)&gt;0,$E7794&lt;INDEX(DarlTilgStart,17))),0,MIN(MAX(0,$K7794-$L7794),$J7794)))</f>
      </c>
      <c r="N7794" s="43">
        <f>IF($I7794=0,0,MIN(SUMIFS(SondBetrag,SondDarl,17,SondDatum,"&gt;="&amp;$E7794,SondDatum,"&lt;="&amp;EOMONTH($E7794,0)),$J7794-$M7794))</f>
      </c>
      <c r="O7794" s="43">
        <f>IF($I7794=0,0,INDEX(DarlErsatzRate,17))</f>
      </c>
      <c r="P7794" s="43">
        <f>IF($I7794=0,0,$Q7793*INDEX(DarlErsatzZins,17))</f>
      </c>
      <c r="Q7794" s="43">
        <f>IF($I7794=0,0,$Q7793+$P7794+$O7794)</f>
      </c>
      <c r="R7794" s="43">
        <f>IF($I7794=0,0,$J7794-$M7794-$N7794)</f>
      </c>
    </row>
    <row r="7795">
      <c r="A7795"/>
      <c r="B7795">
        <v>17</v>
      </c>
      <c r="C7795" s="43">
        <f>INDEX(DarlObj,17)</f>
      </c>
      <c r="D7795">
        <v>112</v>
      </c>
      <c r="E7795" s="51">
        <f>IF(INDEX(DarlBelegt,17)=0,0,EOMONTH(INDEX(DarlAuszahlung,17),111)+1)</f>
      </c>
      <c r="F7795" s="43">
        <f>IF($E7795=0,0,YEAR($E7795))</f>
      </c>
      <c r="G7795" s="43">
        <f>IF(INDEX(DarlBindung,17)="",1,IF($E7795&lt;=INDEX(DarlBindung,17),1,0))</f>
      </c>
      <c r="H7795" s="43">
        <f>IF($G7795=1,INDEX(DarlSollzins,17),INDEX(DarlAnschluss,17))</f>
      </c>
      <c r="I7795" s="43">
        <f>IF(INDEX(DarlBelegt,17)=0,0,IF(INDEX(DarlOhneTilgung,17)=1,IF(INDEX(DarlBindung,17)="",1,$G7795),IF($J7795&gt;0.005,1,0)))</f>
      </c>
      <c r="J7795" s="43">
        <f>IF($I7794=0,0,$R7794)</f>
      </c>
      <c r="K7795" s="43">
        <f>IF($I7795=0,0,IF(INDEX(DarlOhneTilgung,17)=1,0,IF(AND(INDEX(DarlTilgStart,17)&gt;0,$E7795=INDEX(DarlTilgStart,17)),$J7795*($H7795+INDEX(DarlTilgung,17))/100/12,IF(AND($G7795=0,$G7794=1),MAX($K7794,$J7795*($H7795+1)/100/12),$K7794))))</f>
      </c>
      <c r="L7795" s="43">
        <f>IF($I7795=0,0,$J7795*$H7795/100/12)</f>
      </c>
      <c r="M7795" s="43">
        <f>IF($I7795=0,0,IF(OR(INDEX(DarlOhneTilgung,17)=1,AND(INDEX(DarlTilgStart,17)&gt;0,$E7795&lt;INDEX(DarlTilgStart,17))),0,MIN(MAX(0,$K7795-$L7795),$J7795)))</f>
      </c>
      <c r="N7795" s="43">
        <f>IF($I7795=0,0,MIN(SUMIFS(SondBetrag,SondDarl,17,SondDatum,"&gt;="&amp;$E7795,SondDatum,"&lt;="&amp;EOMONTH($E7795,0)),$J7795-$M7795))</f>
      </c>
      <c r="O7795" s="43">
        <f>IF($I7795=0,0,INDEX(DarlErsatzRate,17))</f>
      </c>
      <c r="P7795" s="43">
        <f>IF($I7795=0,0,$Q7794*INDEX(DarlErsatzZins,17))</f>
      </c>
      <c r="Q7795" s="43">
        <f>IF($I7795=0,0,$Q7794+$P7795+$O7795)</f>
      </c>
      <c r="R7795" s="43">
        <f>IF($I7795=0,0,$J7795-$M7795-$N7795)</f>
      </c>
    </row>
    <row r="7796">
      <c r="A7796"/>
      <c r="B7796">
        <v>17</v>
      </c>
      <c r="C7796" s="43">
        <f>INDEX(DarlObj,17)</f>
      </c>
      <c r="D7796">
        <v>113</v>
      </c>
      <c r="E7796" s="51">
        <f>IF(INDEX(DarlBelegt,17)=0,0,EOMONTH(INDEX(DarlAuszahlung,17),112)+1)</f>
      </c>
      <c r="F7796" s="43">
        <f>IF($E7796=0,0,YEAR($E7796))</f>
      </c>
      <c r="G7796" s="43">
        <f>IF(INDEX(DarlBindung,17)="",1,IF($E7796&lt;=INDEX(DarlBindung,17),1,0))</f>
      </c>
      <c r="H7796" s="43">
        <f>IF($G7796=1,INDEX(DarlSollzins,17),INDEX(DarlAnschluss,17))</f>
      </c>
      <c r="I7796" s="43">
        <f>IF(INDEX(DarlBelegt,17)=0,0,IF(INDEX(DarlOhneTilgung,17)=1,IF(INDEX(DarlBindung,17)="",1,$G7796),IF($J7796&gt;0.005,1,0)))</f>
      </c>
      <c r="J7796" s="43">
        <f>IF($I7795=0,0,$R7795)</f>
      </c>
      <c r="K7796" s="43">
        <f>IF($I7796=0,0,IF(INDEX(DarlOhneTilgung,17)=1,0,IF(AND(INDEX(DarlTilgStart,17)&gt;0,$E7796=INDEX(DarlTilgStart,17)),$J7796*($H7796+INDEX(DarlTilgung,17))/100/12,IF(AND($G7796=0,$G7795=1),MAX($K7795,$J7796*($H7796+1)/100/12),$K7795))))</f>
      </c>
      <c r="L7796" s="43">
        <f>IF($I7796=0,0,$J7796*$H7796/100/12)</f>
      </c>
      <c r="M7796" s="43">
        <f>IF($I7796=0,0,IF(OR(INDEX(DarlOhneTilgung,17)=1,AND(INDEX(DarlTilgStart,17)&gt;0,$E7796&lt;INDEX(DarlTilgStart,17))),0,MIN(MAX(0,$K7796-$L7796),$J7796)))</f>
      </c>
      <c r="N7796" s="43">
        <f>IF($I7796=0,0,MIN(SUMIFS(SondBetrag,SondDarl,17,SondDatum,"&gt;="&amp;$E7796,SondDatum,"&lt;="&amp;EOMONTH($E7796,0)),$J7796-$M7796))</f>
      </c>
      <c r="O7796" s="43">
        <f>IF($I7796=0,0,INDEX(DarlErsatzRate,17))</f>
      </c>
      <c r="P7796" s="43">
        <f>IF($I7796=0,0,$Q7795*INDEX(DarlErsatzZins,17))</f>
      </c>
      <c r="Q7796" s="43">
        <f>IF($I7796=0,0,$Q7795+$P7796+$O7796)</f>
      </c>
      <c r="R7796" s="43">
        <f>IF($I7796=0,0,$J7796-$M7796-$N7796)</f>
      </c>
    </row>
    <row r="7797">
      <c r="A7797"/>
      <c r="B7797">
        <v>17</v>
      </c>
      <c r="C7797" s="43">
        <f>INDEX(DarlObj,17)</f>
      </c>
      <c r="D7797">
        <v>114</v>
      </c>
      <c r="E7797" s="51">
        <f>IF(INDEX(DarlBelegt,17)=0,0,EOMONTH(INDEX(DarlAuszahlung,17),113)+1)</f>
      </c>
      <c r="F7797" s="43">
        <f>IF($E7797=0,0,YEAR($E7797))</f>
      </c>
      <c r="G7797" s="43">
        <f>IF(INDEX(DarlBindung,17)="",1,IF($E7797&lt;=INDEX(DarlBindung,17),1,0))</f>
      </c>
      <c r="H7797" s="43">
        <f>IF($G7797=1,INDEX(DarlSollzins,17),INDEX(DarlAnschluss,17))</f>
      </c>
      <c r="I7797" s="43">
        <f>IF(INDEX(DarlBelegt,17)=0,0,IF(INDEX(DarlOhneTilgung,17)=1,IF(INDEX(DarlBindung,17)="",1,$G7797),IF($J7797&gt;0.005,1,0)))</f>
      </c>
      <c r="J7797" s="43">
        <f>IF($I7796=0,0,$R7796)</f>
      </c>
      <c r="K7797" s="43">
        <f>IF($I7797=0,0,IF(INDEX(DarlOhneTilgung,17)=1,0,IF(AND(INDEX(DarlTilgStart,17)&gt;0,$E7797=INDEX(DarlTilgStart,17)),$J7797*($H7797+INDEX(DarlTilgung,17))/100/12,IF(AND($G7797=0,$G7796=1),MAX($K7796,$J7797*($H7797+1)/100/12),$K7796))))</f>
      </c>
      <c r="L7797" s="43">
        <f>IF($I7797=0,0,$J7797*$H7797/100/12)</f>
      </c>
      <c r="M7797" s="43">
        <f>IF($I7797=0,0,IF(OR(INDEX(DarlOhneTilgung,17)=1,AND(INDEX(DarlTilgStart,17)&gt;0,$E7797&lt;INDEX(DarlTilgStart,17))),0,MIN(MAX(0,$K7797-$L7797),$J7797)))</f>
      </c>
      <c r="N7797" s="43">
        <f>IF($I7797=0,0,MIN(SUMIFS(SondBetrag,SondDarl,17,SondDatum,"&gt;="&amp;$E7797,SondDatum,"&lt;="&amp;EOMONTH($E7797,0)),$J7797-$M7797))</f>
      </c>
      <c r="O7797" s="43">
        <f>IF($I7797=0,0,INDEX(DarlErsatzRate,17))</f>
      </c>
      <c r="P7797" s="43">
        <f>IF($I7797=0,0,$Q7796*INDEX(DarlErsatzZins,17))</f>
      </c>
      <c r="Q7797" s="43">
        <f>IF($I7797=0,0,$Q7796+$P7797+$O7797)</f>
      </c>
      <c r="R7797" s="43">
        <f>IF($I7797=0,0,$J7797-$M7797-$N7797)</f>
      </c>
    </row>
    <row r="7798">
      <c r="A7798"/>
      <c r="B7798">
        <v>17</v>
      </c>
      <c r="C7798" s="43">
        <f>INDEX(DarlObj,17)</f>
      </c>
      <c r="D7798">
        <v>115</v>
      </c>
      <c r="E7798" s="51">
        <f>IF(INDEX(DarlBelegt,17)=0,0,EOMONTH(INDEX(DarlAuszahlung,17),114)+1)</f>
      </c>
      <c r="F7798" s="43">
        <f>IF($E7798=0,0,YEAR($E7798))</f>
      </c>
      <c r="G7798" s="43">
        <f>IF(INDEX(DarlBindung,17)="",1,IF($E7798&lt;=INDEX(DarlBindung,17),1,0))</f>
      </c>
      <c r="H7798" s="43">
        <f>IF($G7798=1,INDEX(DarlSollzins,17),INDEX(DarlAnschluss,17))</f>
      </c>
      <c r="I7798" s="43">
        <f>IF(INDEX(DarlBelegt,17)=0,0,IF(INDEX(DarlOhneTilgung,17)=1,IF(INDEX(DarlBindung,17)="",1,$G7798),IF($J7798&gt;0.005,1,0)))</f>
      </c>
      <c r="J7798" s="43">
        <f>IF($I7797=0,0,$R7797)</f>
      </c>
      <c r="K7798" s="43">
        <f>IF($I7798=0,0,IF(INDEX(DarlOhneTilgung,17)=1,0,IF(AND(INDEX(DarlTilgStart,17)&gt;0,$E7798=INDEX(DarlTilgStart,17)),$J7798*($H7798+INDEX(DarlTilgung,17))/100/12,IF(AND($G7798=0,$G7797=1),MAX($K7797,$J7798*($H7798+1)/100/12),$K7797))))</f>
      </c>
      <c r="L7798" s="43">
        <f>IF($I7798=0,0,$J7798*$H7798/100/12)</f>
      </c>
      <c r="M7798" s="43">
        <f>IF($I7798=0,0,IF(OR(INDEX(DarlOhneTilgung,17)=1,AND(INDEX(DarlTilgStart,17)&gt;0,$E7798&lt;INDEX(DarlTilgStart,17))),0,MIN(MAX(0,$K7798-$L7798),$J7798)))</f>
      </c>
      <c r="N7798" s="43">
        <f>IF($I7798=0,0,MIN(SUMIFS(SondBetrag,SondDarl,17,SondDatum,"&gt;="&amp;$E7798,SondDatum,"&lt;="&amp;EOMONTH($E7798,0)),$J7798-$M7798))</f>
      </c>
      <c r="O7798" s="43">
        <f>IF($I7798=0,0,INDEX(DarlErsatzRate,17))</f>
      </c>
      <c r="P7798" s="43">
        <f>IF($I7798=0,0,$Q7797*INDEX(DarlErsatzZins,17))</f>
      </c>
      <c r="Q7798" s="43">
        <f>IF($I7798=0,0,$Q7797+$P7798+$O7798)</f>
      </c>
      <c r="R7798" s="43">
        <f>IF($I7798=0,0,$J7798-$M7798-$N7798)</f>
      </c>
    </row>
    <row r="7799">
      <c r="A7799"/>
      <c r="B7799">
        <v>17</v>
      </c>
      <c r="C7799" s="43">
        <f>INDEX(DarlObj,17)</f>
      </c>
      <c r="D7799">
        <v>116</v>
      </c>
      <c r="E7799" s="51">
        <f>IF(INDEX(DarlBelegt,17)=0,0,EOMONTH(INDEX(DarlAuszahlung,17),115)+1)</f>
      </c>
      <c r="F7799" s="43">
        <f>IF($E7799=0,0,YEAR($E7799))</f>
      </c>
      <c r="G7799" s="43">
        <f>IF(INDEX(DarlBindung,17)="",1,IF($E7799&lt;=INDEX(DarlBindung,17),1,0))</f>
      </c>
      <c r="H7799" s="43">
        <f>IF($G7799=1,INDEX(DarlSollzins,17),INDEX(DarlAnschluss,17))</f>
      </c>
      <c r="I7799" s="43">
        <f>IF(INDEX(DarlBelegt,17)=0,0,IF(INDEX(DarlOhneTilgung,17)=1,IF(INDEX(DarlBindung,17)="",1,$G7799),IF($J7799&gt;0.005,1,0)))</f>
      </c>
      <c r="J7799" s="43">
        <f>IF($I7798=0,0,$R7798)</f>
      </c>
      <c r="K7799" s="43">
        <f>IF($I7799=0,0,IF(INDEX(DarlOhneTilgung,17)=1,0,IF(AND(INDEX(DarlTilgStart,17)&gt;0,$E7799=INDEX(DarlTilgStart,17)),$J7799*($H7799+INDEX(DarlTilgung,17))/100/12,IF(AND($G7799=0,$G7798=1),MAX($K7798,$J7799*($H7799+1)/100/12),$K7798))))</f>
      </c>
      <c r="L7799" s="43">
        <f>IF($I7799=0,0,$J7799*$H7799/100/12)</f>
      </c>
      <c r="M7799" s="43">
        <f>IF($I7799=0,0,IF(OR(INDEX(DarlOhneTilgung,17)=1,AND(INDEX(DarlTilgStart,17)&gt;0,$E7799&lt;INDEX(DarlTilgStart,17))),0,MIN(MAX(0,$K7799-$L7799),$J7799)))</f>
      </c>
      <c r="N7799" s="43">
        <f>IF($I7799=0,0,MIN(SUMIFS(SondBetrag,SondDarl,17,SondDatum,"&gt;="&amp;$E7799,SondDatum,"&lt;="&amp;EOMONTH($E7799,0)),$J7799-$M7799))</f>
      </c>
      <c r="O7799" s="43">
        <f>IF($I7799=0,0,INDEX(DarlErsatzRate,17))</f>
      </c>
      <c r="P7799" s="43">
        <f>IF($I7799=0,0,$Q7798*INDEX(DarlErsatzZins,17))</f>
      </c>
      <c r="Q7799" s="43">
        <f>IF($I7799=0,0,$Q7798+$P7799+$O7799)</f>
      </c>
      <c r="R7799" s="43">
        <f>IF($I7799=0,0,$J7799-$M7799-$N7799)</f>
      </c>
    </row>
    <row r="7800">
      <c r="A7800"/>
      <c r="B7800">
        <v>17</v>
      </c>
      <c r="C7800" s="43">
        <f>INDEX(DarlObj,17)</f>
      </c>
      <c r="D7800">
        <v>117</v>
      </c>
      <c r="E7800" s="51">
        <f>IF(INDEX(DarlBelegt,17)=0,0,EOMONTH(INDEX(DarlAuszahlung,17),116)+1)</f>
      </c>
      <c r="F7800" s="43">
        <f>IF($E7800=0,0,YEAR($E7800))</f>
      </c>
      <c r="G7800" s="43">
        <f>IF(INDEX(DarlBindung,17)="",1,IF($E7800&lt;=INDEX(DarlBindung,17),1,0))</f>
      </c>
      <c r="H7800" s="43">
        <f>IF($G7800=1,INDEX(DarlSollzins,17),INDEX(DarlAnschluss,17))</f>
      </c>
      <c r="I7800" s="43">
        <f>IF(INDEX(DarlBelegt,17)=0,0,IF(INDEX(DarlOhneTilgung,17)=1,IF(INDEX(DarlBindung,17)="",1,$G7800),IF($J7800&gt;0.005,1,0)))</f>
      </c>
      <c r="J7800" s="43">
        <f>IF($I7799=0,0,$R7799)</f>
      </c>
      <c r="K7800" s="43">
        <f>IF($I7800=0,0,IF(INDEX(DarlOhneTilgung,17)=1,0,IF(AND(INDEX(DarlTilgStart,17)&gt;0,$E7800=INDEX(DarlTilgStart,17)),$J7800*($H7800+INDEX(DarlTilgung,17))/100/12,IF(AND($G7800=0,$G7799=1),MAX($K7799,$J7800*($H7800+1)/100/12),$K7799))))</f>
      </c>
      <c r="L7800" s="43">
        <f>IF($I7800=0,0,$J7800*$H7800/100/12)</f>
      </c>
      <c r="M7800" s="43">
        <f>IF($I7800=0,0,IF(OR(INDEX(DarlOhneTilgung,17)=1,AND(INDEX(DarlTilgStart,17)&gt;0,$E7800&lt;INDEX(DarlTilgStart,17))),0,MIN(MAX(0,$K7800-$L7800),$J7800)))</f>
      </c>
      <c r="N7800" s="43">
        <f>IF($I7800=0,0,MIN(SUMIFS(SondBetrag,SondDarl,17,SondDatum,"&gt;="&amp;$E7800,SondDatum,"&lt;="&amp;EOMONTH($E7800,0)),$J7800-$M7800))</f>
      </c>
      <c r="O7800" s="43">
        <f>IF($I7800=0,0,INDEX(DarlErsatzRate,17))</f>
      </c>
      <c r="P7800" s="43">
        <f>IF($I7800=0,0,$Q7799*INDEX(DarlErsatzZins,17))</f>
      </c>
      <c r="Q7800" s="43">
        <f>IF($I7800=0,0,$Q7799+$P7800+$O7800)</f>
      </c>
      <c r="R7800" s="43">
        <f>IF($I7800=0,0,$J7800-$M7800-$N7800)</f>
      </c>
    </row>
    <row r="7801">
      <c r="A7801"/>
      <c r="B7801">
        <v>17</v>
      </c>
      <c r="C7801" s="43">
        <f>INDEX(DarlObj,17)</f>
      </c>
      <c r="D7801">
        <v>118</v>
      </c>
      <c r="E7801" s="51">
        <f>IF(INDEX(DarlBelegt,17)=0,0,EOMONTH(INDEX(DarlAuszahlung,17),117)+1)</f>
      </c>
      <c r="F7801" s="43">
        <f>IF($E7801=0,0,YEAR($E7801))</f>
      </c>
      <c r="G7801" s="43">
        <f>IF(INDEX(DarlBindung,17)="",1,IF($E7801&lt;=INDEX(DarlBindung,17),1,0))</f>
      </c>
      <c r="H7801" s="43">
        <f>IF($G7801=1,INDEX(DarlSollzins,17),INDEX(DarlAnschluss,17))</f>
      </c>
      <c r="I7801" s="43">
        <f>IF(INDEX(DarlBelegt,17)=0,0,IF(INDEX(DarlOhneTilgung,17)=1,IF(INDEX(DarlBindung,17)="",1,$G7801),IF($J7801&gt;0.005,1,0)))</f>
      </c>
      <c r="J7801" s="43">
        <f>IF($I7800=0,0,$R7800)</f>
      </c>
      <c r="K7801" s="43">
        <f>IF($I7801=0,0,IF(INDEX(DarlOhneTilgung,17)=1,0,IF(AND(INDEX(DarlTilgStart,17)&gt;0,$E7801=INDEX(DarlTilgStart,17)),$J7801*($H7801+INDEX(DarlTilgung,17))/100/12,IF(AND($G7801=0,$G7800=1),MAX($K7800,$J7801*($H7801+1)/100/12),$K7800))))</f>
      </c>
      <c r="L7801" s="43">
        <f>IF($I7801=0,0,$J7801*$H7801/100/12)</f>
      </c>
      <c r="M7801" s="43">
        <f>IF($I7801=0,0,IF(OR(INDEX(DarlOhneTilgung,17)=1,AND(INDEX(DarlTilgStart,17)&gt;0,$E7801&lt;INDEX(DarlTilgStart,17))),0,MIN(MAX(0,$K7801-$L7801),$J7801)))</f>
      </c>
      <c r="N7801" s="43">
        <f>IF($I7801=0,0,MIN(SUMIFS(SondBetrag,SondDarl,17,SondDatum,"&gt;="&amp;$E7801,SondDatum,"&lt;="&amp;EOMONTH($E7801,0)),$J7801-$M7801))</f>
      </c>
      <c r="O7801" s="43">
        <f>IF($I7801=0,0,INDEX(DarlErsatzRate,17))</f>
      </c>
      <c r="P7801" s="43">
        <f>IF($I7801=0,0,$Q7800*INDEX(DarlErsatzZins,17))</f>
      </c>
      <c r="Q7801" s="43">
        <f>IF($I7801=0,0,$Q7800+$P7801+$O7801)</f>
      </c>
      <c r="R7801" s="43">
        <f>IF($I7801=0,0,$J7801-$M7801-$N7801)</f>
      </c>
    </row>
    <row r="7802">
      <c r="A7802"/>
      <c r="B7802">
        <v>17</v>
      </c>
      <c r="C7802" s="43">
        <f>INDEX(DarlObj,17)</f>
      </c>
      <c r="D7802">
        <v>119</v>
      </c>
      <c r="E7802" s="51">
        <f>IF(INDEX(DarlBelegt,17)=0,0,EOMONTH(INDEX(DarlAuszahlung,17),118)+1)</f>
      </c>
      <c r="F7802" s="43">
        <f>IF($E7802=0,0,YEAR($E7802))</f>
      </c>
      <c r="G7802" s="43">
        <f>IF(INDEX(DarlBindung,17)="",1,IF($E7802&lt;=INDEX(DarlBindung,17),1,0))</f>
      </c>
      <c r="H7802" s="43">
        <f>IF($G7802=1,INDEX(DarlSollzins,17),INDEX(DarlAnschluss,17))</f>
      </c>
      <c r="I7802" s="43">
        <f>IF(INDEX(DarlBelegt,17)=0,0,IF(INDEX(DarlOhneTilgung,17)=1,IF(INDEX(DarlBindung,17)="",1,$G7802),IF($J7802&gt;0.005,1,0)))</f>
      </c>
      <c r="J7802" s="43">
        <f>IF($I7801=0,0,$R7801)</f>
      </c>
      <c r="K7802" s="43">
        <f>IF($I7802=0,0,IF(INDEX(DarlOhneTilgung,17)=1,0,IF(AND(INDEX(DarlTilgStart,17)&gt;0,$E7802=INDEX(DarlTilgStart,17)),$J7802*($H7802+INDEX(DarlTilgung,17))/100/12,IF(AND($G7802=0,$G7801=1),MAX($K7801,$J7802*($H7802+1)/100/12),$K7801))))</f>
      </c>
      <c r="L7802" s="43">
        <f>IF($I7802=0,0,$J7802*$H7802/100/12)</f>
      </c>
      <c r="M7802" s="43">
        <f>IF($I7802=0,0,IF(OR(INDEX(DarlOhneTilgung,17)=1,AND(INDEX(DarlTilgStart,17)&gt;0,$E7802&lt;INDEX(DarlTilgStart,17))),0,MIN(MAX(0,$K7802-$L7802),$J7802)))</f>
      </c>
      <c r="N7802" s="43">
        <f>IF($I7802=0,0,MIN(SUMIFS(SondBetrag,SondDarl,17,SondDatum,"&gt;="&amp;$E7802,SondDatum,"&lt;="&amp;EOMONTH($E7802,0)),$J7802-$M7802))</f>
      </c>
      <c r="O7802" s="43">
        <f>IF($I7802=0,0,INDEX(DarlErsatzRate,17))</f>
      </c>
      <c r="P7802" s="43">
        <f>IF($I7802=0,0,$Q7801*INDEX(DarlErsatzZins,17))</f>
      </c>
      <c r="Q7802" s="43">
        <f>IF($I7802=0,0,$Q7801+$P7802+$O7802)</f>
      </c>
      <c r="R7802" s="43">
        <f>IF($I7802=0,0,$J7802-$M7802-$N7802)</f>
      </c>
    </row>
    <row r="7803">
      <c r="A7803"/>
      <c r="B7803">
        <v>17</v>
      </c>
      <c r="C7803" s="43">
        <f>INDEX(DarlObj,17)</f>
      </c>
      <c r="D7803">
        <v>120</v>
      </c>
      <c r="E7803" s="51">
        <f>IF(INDEX(DarlBelegt,17)=0,0,EOMONTH(INDEX(DarlAuszahlung,17),119)+1)</f>
      </c>
      <c r="F7803" s="43">
        <f>IF($E7803=0,0,YEAR($E7803))</f>
      </c>
      <c r="G7803" s="43">
        <f>IF(INDEX(DarlBindung,17)="",1,IF($E7803&lt;=INDEX(DarlBindung,17),1,0))</f>
      </c>
      <c r="H7803" s="43">
        <f>IF($G7803=1,INDEX(DarlSollzins,17),INDEX(DarlAnschluss,17))</f>
      </c>
      <c r="I7803" s="43">
        <f>IF(INDEX(DarlBelegt,17)=0,0,IF(INDEX(DarlOhneTilgung,17)=1,IF(INDEX(DarlBindung,17)="",1,$G7803),IF($J7803&gt;0.005,1,0)))</f>
      </c>
      <c r="J7803" s="43">
        <f>IF($I7802=0,0,$R7802)</f>
      </c>
      <c r="K7803" s="43">
        <f>IF($I7803=0,0,IF(INDEX(DarlOhneTilgung,17)=1,0,IF(AND(INDEX(DarlTilgStart,17)&gt;0,$E7803=INDEX(DarlTilgStart,17)),$J7803*($H7803+INDEX(DarlTilgung,17))/100/12,IF(AND($G7803=0,$G7802=1),MAX($K7802,$J7803*($H7803+1)/100/12),$K7802))))</f>
      </c>
      <c r="L7803" s="43">
        <f>IF($I7803=0,0,$J7803*$H7803/100/12)</f>
      </c>
      <c r="M7803" s="43">
        <f>IF($I7803=0,0,IF(OR(INDEX(DarlOhneTilgung,17)=1,AND(INDEX(DarlTilgStart,17)&gt;0,$E7803&lt;INDEX(DarlTilgStart,17))),0,MIN(MAX(0,$K7803-$L7803),$J7803)))</f>
      </c>
      <c r="N7803" s="43">
        <f>IF($I7803=0,0,MIN(SUMIFS(SondBetrag,SondDarl,17,SondDatum,"&gt;="&amp;$E7803,SondDatum,"&lt;="&amp;EOMONTH($E7803,0)),$J7803-$M7803))</f>
      </c>
      <c r="O7803" s="43">
        <f>IF($I7803=0,0,INDEX(DarlErsatzRate,17))</f>
      </c>
      <c r="P7803" s="43">
        <f>IF($I7803=0,0,$Q7802*INDEX(DarlErsatzZins,17))</f>
      </c>
      <c r="Q7803" s="43">
        <f>IF($I7803=0,0,$Q7802+$P7803+$O7803)</f>
      </c>
      <c r="R7803" s="43">
        <f>IF($I7803=0,0,$J7803-$M7803-$N7803)</f>
      </c>
    </row>
    <row r="7804">
      <c r="A7804"/>
      <c r="B7804">
        <v>17</v>
      </c>
      <c r="C7804" s="43">
        <f>INDEX(DarlObj,17)</f>
      </c>
      <c r="D7804">
        <v>121</v>
      </c>
      <c r="E7804" s="51">
        <f>IF(INDEX(DarlBelegt,17)=0,0,EOMONTH(INDEX(DarlAuszahlung,17),120)+1)</f>
      </c>
      <c r="F7804" s="43">
        <f>IF($E7804=0,0,YEAR($E7804))</f>
      </c>
      <c r="G7804" s="43">
        <f>IF(INDEX(DarlBindung,17)="",1,IF($E7804&lt;=INDEX(DarlBindung,17),1,0))</f>
      </c>
      <c r="H7804" s="43">
        <f>IF($G7804=1,INDEX(DarlSollzins,17),INDEX(DarlAnschluss,17))</f>
      </c>
      <c r="I7804" s="43">
        <f>IF(INDEX(DarlBelegt,17)=0,0,IF(INDEX(DarlOhneTilgung,17)=1,IF(INDEX(DarlBindung,17)="",1,$G7804),IF($J7804&gt;0.005,1,0)))</f>
      </c>
      <c r="J7804" s="43">
        <f>IF($I7803=0,0,$R7803)</f>
      </c>
      <c r="K7804" s="43">
        <f>IF($I7804=0,0,IF(INDEX(DarlOhneTilgung,17)=1,0,IF(AND(INDEX(DarlTilgStart,17)&gt;0,$E7804=INDEX(DarlTilgStart,17)),$J7804*($H7804+INDEX(DarlTilgung,17))/100/12,IF(AND($G7804=0,$G7803=1),MAX($K7803,$J7804*($H7804+1)/100/12),$K7803))))</f>
      </c>
      <c r="L7804" s="43">
        <f>IF($I7804=0,0,$J7804*$H7804/100/12)</f>
      </c>
      <c r="M7804" s="43">
        <f>IF($I7804=0,0,IF(OR(INDEX(DarlOhneTilgung,17)=1,AND(INDEX(DarlTilgStart,17)&gt;0,$E7804&lt;INDEX(DarlTilgStart,17))),0,MIN(MAX(0,$K7804-$L7804),$J7804)))</f>
      </c>
      <c r="N7804" s="43">
        <f>IF($I7804=0,0,MIN(SUMIFS(SondBetrag,SondDarl,17,SondDatum,"&gt;="&amp;$E7804,SondDatum,"&lt;="&amp;EOMONTH($E7804,0)),$J7804-$M7804))</f>
      </c>
      <c r="O7804" s="43">
        <f>IF($I7804=0,0,INDEX(DarlErsatzRate,17))</f>
      </c>
      <c r="P7804" s="43">
        <f>IF($I7804=0,0,$Q7803*INDEX(DarlErsatzZins,17))</f>
      </c>
      <c r="Q7804" s="43">
        <f>IF($I7804=0,0,$Q7803+$P7804+$O7804)</f>
      </c>
      <c r="R7804" s="43">
        <f>IF($I7804=0,0,$J7804-$M7804-$N7804)</f>
      </c>
    </row>
    <row r="7805">
      <c r="A7805"/>
      <c r="B7805">
        <v>17</v>
      </c>
      <c r="C7805" s="43">
        <f>INDEX(DarlObj,17)</f>
      </c>
      <c r="D7805">
        <v>122</v>
      </c>
      <c r="E7805" s="51">
        <f>IF(INDEX(DarlBelegt,17)=0,0,EOMONTH(INDEX(DarlAuszahlung,17),121)+1)</f>
      </c>
      <c r="F7805" s="43">
        <f>IF($E7805=0,0,YEAR($E7805))</f>
      </c>
      <c r="G7805" s="43">
        <f>IF(INDEX(DarlBindung,17)="",1,IF($E7805&lt;=INDEX(DarlBindung,17),1,0))</f>
      </c>
      <c r="H7805" s="43">
        <f>IF($G7805=1,INDEX(DarlSollzins,17),INDEX(DarlAnschluss,17))</f>
      </c>
      <c r="I7805" s="43">
        <f>IF(INDEX(DarlBelegt,17)=0,0,IF(INDEX(DarlOhneTilgung,17)=1,IF(INDEX(DarlBindung,17)="",1,$G7805),IF($J7805&gt;0.005,1,0)))</f>
      </c>
      <c r="J7805" s="43">
        <f>IF($I7804=0,0,$R7804)</f>
      </c>
      <c r="K7805" s="43">
        <f>IF($I7805=0,0,IF(INDEX(DarlOhneTilgung,17)=1,0,IF(AND(INDEX(DarlTilgStart,17)&gt;0,$E7805=INDEX(DarlTilgStart,17)),$J7805*($H7805+INDEX(DarlTilgung,17))/100/12,IF(AND($G7805=0,$G7804=1),MAX($K7804,$J7805*($H7805+1)/100/12),$K7804))))</f>
      </c>
      <c r="L7805" s="43">
        <f>IF($I7805=0,0,$J7805*$H7805/100/12)</f>
      </c>
      <c r="M7805" s="43">
        <f>IF($I7805=0,0,IF(OR(INDEX(DarlOhneTilgung,17)=1,AND(INDEX(DarlTilgStart,17)&gt;0,$E7805&lt;INDEX(DarlTilgStart,17))),0,MIN(MAX(0,$K7805-$L7805),$J7805)))</f>
      </c>
      <c r="N7805" s="43">
        <f>IF($I7805=0,0,MIN(SUMIFS(SondBetrag,SondDarl,17,SondDatum,"&gt;="&amp;$E7805,SondDatum,"&lt;="&amp;EOMONTH($E7805,0)),$J7805-$M7805))</f>
      </c>
      <c r="O7805" s="43">
        <f>IF($I7805=0,0,INDEX(DarlErsatzRate,17))</f>
      </c>
      <c r="P7805" s="43">
        <f>IF($I7805=0,0,$Q7804*INDEX(DarlErsatzZins,17))</f>
      </c>
      <c r="Q7805" s="43">
        <f>IF($I7805=0,0,$Q7804+$P7805+$O7805)</f>
      </c>
      <c r="R7805" s="43">
        <f>IF($I7805=0,0,$J7805-$M7805-$N7805)</f>
      </c>
    </row>
    <row r="7806">
      <c r="A7806"/>
      <c r="B7806">
        <v>17</v>
      </c>
      <c r="C7806" s="43">
        <f>INDEX(DarlObj,17)</f>
      </c>
      <c r="D7806">
        <v>123</v>
      </c>
      <c r="E7806" s="51">
        <f>IF(INDEX(DarlBelegt,17)=0,0,EOMONTH(INDEX(DarlAuszahlung,17),122)+1)</f>
      </c>
      <c r="F7806" s="43">
        <f>IF($E7806=0,0,YEAR($E7806))</f>
      </c>
      <c r="G7806" s="43">
        <f>IF(INDEX(DarlBindung,17)="",1,IF($E7806&lt;=INDEX(DarlBindung,17),1,0))</f>
      </c>
      <c r="H7806" s="43">
        <f>IF($G7806=1,INDEX(DarlSollzins,17),INDEX(DarlAnschluss,17))</f>
      </c>
      <c r="I7806" s="43">
        <f>IF(INDEX(DarlBelegt,17)=0,0,IF(INDEX(DarlOhneTilgung,17)=1,IF(INDEX(DarlBindung,17)="",1,$G7806),IF($J7806&gt;0.005,1,0)))</f>
      </c>
      <c r="J7806" s="43">
        <f>IF($I7805=0,0,$R7805)</f>
      </c>
      <c r="K7806" s="43">
        <f>IF($I7806=0,0,IF(INDEX(DarlOhneTilgung,17)=1,0,IF(AND(INDEX(DarlTilgStart,17)&gt;0,$E7806=INDEX(DarlTilgStart,17)),$J7806*($H7806+INDEX(DarlTilgung,17))/100/12,IF(AND($G7806=0,$G7805=1),MAX($K7805,$J7806*($H7806+1)/100/12),$K7805))))</f>
      </c>
      <c r="L7806" s="43">
        <f>IF($I7806=0,0,$J7806*$H7806/100/12)</f>
      </c>
      <c r="M7806" s="43">
        <f>IF($I7806=0,0,IF(OR(INDEX(DarlOhneTilgung,17)=1,AND(INDEX(DarlTilgStart,17)&gt;0,$E7806&lt;INDEX(DarlTilgStart,17))),0,MIN(MAX(0,$K7806-$L7806),$J7806)))</f>
      </c>
      <c r="N7806" s="43">
        <f>IF($I7806=0,0,MIN(SUMIFS(SondBetrag,SondDarl,17,SondDatum,"&gt;="&amp;$E7806,SondDatum,"&lt;="&amp;EOMONTH($E7806,0)),$J7806-$M7806))</f>
      </c>
      <c r="O7806" s="43">
        <f>IF($I7806=0,0,INDEX(DarlErsatzRate,17))</f>
      </c>
      <c r="P7806" s="43">
        <f>IF($I7806=0,0,$Q7805*INDEX(DarlErsatzZins,17))</f>
      </c>
      <c r="Q7806" s="43">
        <f>IF($I7806=0,0,$Q7805+$P7806+$O7806)</f>
      </c>
      <c r="R7806" s="43">
        <f>IF($I7806=0,0,$J7806-$M7806-$N7806)</f>
      </c>
    </row>
    <row r="7807">
      <c r="A7807"/>
      <c r="B7807">
        <v>17</v>
      </c>
      <c r="C7807" s="43">
        <f>INDEX(DarlObj,17)</f>
      </c>
      <c r="D7807">
        <v>124</v>
      </c>
      <c r="E7807" s="51">
        <f>IF(INDEX(DarlBelegt,17)=0,0,EOMONTH(INDEX(DarlAuszahlung,17),123)+1)</f>
      </c>
      <c r="F7807" s="43">
        <f>IF($E7807=0,0,YEAR($E7807))</f>
      </c>
      <c r="G7807" s="43">
        <f>IF(INDEX(DarlBindung,17)="",1,IF($E7807&lt;=INDEX(DarlBindung,17),1,0))</f>
      </c>
      <c r="H7807" s="43">
        <f>IF($G7807=1,INDEX(DarlSollzins,17),INDEX(DarlAnschluss,17))</f>
      </c>
      <c r="I7807" s="43">
        <f>IF(INDEX(DarlBelegt,17)=0,0,IF(INDEX(DarlOhneTilgung,17)=1,IF(INDEX(DarlBindung,17)="",1,$G7807),IF($J7807&gt;0.005,1,0)))</f>
      </c>
      <c r="J7807" s="43">
        <f>IF($I7806=0,0,$R7806)</f>
      </c>
      <c r="K7807" s="43">
        <f>IF($I7807=0,0,IF(INDEX(DarlOhneTilgung,17)=1,0,IF(AND(INDEX(DarlTilgStart,17)&gt;0,$E7807=INDEX(DarlTilgStart,17)),$J7807*($H7807+INDEX(DarlTilgung,17))/100/12,IF(AND($G7807=0,$G7806=1),MAX($K7806,$J7807*($H7807+1)/100/12),$K7806))))</f>
      </c>
      <c r="L7807" s="43">
        <f>IF($I7807=0,0,$J7807*$H7807/100/12)</f>
      </c>
      <c r="M7807" s="43">
        <f>IF($I7807=0,0,IF(OR(INDEX(DarlOhneTilgung,17)=1,AND(INDEX(DarlTilgStart,17)&gt;0,$E7807&lt;INDEX(DarlTilgStart,17))),0,MIN(MAX(0,$K7807-$L7807),$J7807)))</f>
      </c>
      <c r="N7807" s="43">
        <f>IF($I7807=0,0,MIN(SUMIFS(SondBetrag,SondDarl,17,SondDatum,"&gt;="&amp;$E7807,SondDatum,"&lt;="&amp;EOMONTH($E7807,0)),$J7807-$M7807))</f>
      </c>
      <c r="O7807" s="43">
        <f>IF($I7807=0,0,INDEX(DarlErsatzRate,17))</f>
      </c>
      <c r="P7807" s="43">
        <f>IF($I7807=0,0,$Q7806*INDEX(DarlErsatzZins,17))</f>
      </c>
      <c r="Q7807" s="43">
        <f>IF($I7807=0,0,$Q7806+$P7807+$O7807)</f>
      </c>
      <c r="R7807" s="43">
        <f>IF($I7807=0,0,$J7807-$M7807-$N7807)</f>
      </c>
    </row>
    <row r="7808">
      <c r="A7808"/>
      <c r="B7808">
        <v>17</v>
      </c>
      <c r="C7808" s="43">
        <f>INDEX(DarlObj,17)</f>
      </c>
      <c r="D7808">
        <v>125</v>
      </c>
      <c r="E7808" s="51">
        <f>IF(INDEX(DarlBelegt,17)=0,0,EOMONTH(INDEX(DarlAuszahlung,17),124)+1)</f>
      </c>
      <c r="F7808" s="43">
        <f>IF($E7808=0,0,YEAR($E7808))</f>
      </c>
      <c r="G7808" s="43">
        <f>IF(INDEX(DarlBindung,17)="",1,IF($E7808&lt;=INDEX(DarlBindung,17),1,0))</f>
      </c>
      <c r="H7808" s="43">
        <f>IF($G7808=1,INDEX(DarlSollzins,17),INDEX(DarlAnschluss,17))</f>
      </c>
      <c r="I7808" s="43">
        <f>IF(INDEX(DarlBelegt,17)=0,0,IF(INDEX(DarlOhneTilgung,17)=1,IF(INDEX(DarlBindung,17)="",1,$G7808),IF($J7808&gt;0.005,1,0)))</f>
      </c>
      <c r="J7808" s="43">
        <f>IF($I7807=0,0,$R7807)</f>
      </c>
      <c r="K7808" s="43">
        <f>IF($I7808=0,0,IF(INDEX(DarlOhneTilgung,17)=1,0,IF(AND(INDEX(DarlTilgStart,17)&gt;0,$E7808=INDEX(DarlTilgStart,17)),$J7808*($H7808+INDEX(DarlTilgung,17))/100/12,IF(AND($G7808=0,$G7807=1),MAX($K7807,$J7808*($H7808+1)/100/12),$K7807))))</f>
      </c>
      <c r="L7808" s="43">
        <f>IF($I7808=0,0,$J7808*$H7808/100/12)</f>
      </c>
      <c r="M7808" s="43">
        <f>IF($I7808=0,0,IF(OR(INDEX(DarlOhneTilgung,17)=1,AND(INDEX(DarlTilgStart,17)&gt;0,$E7808&lt;INDEX(DarlTilgStart,17))),0,MIN(MAX(0,$K7808-$L7808),$J7808)))</f>
      </c>
      <c r="N7808" s="43">
        <f>IF($I7808=0,0,MIN(SUMIFS(SondBetrag,SondDarl,17,SondDatum,"&gt;="&amp;$E7808,SondDatum,"&lt;="&amp;EOMONTH($E7808,0)),$J7808-$M7808))</f>
      </c>
      <c r="O7808" s="43">
        <f>IF($I7808=0,0,INDEX(DarlErsatzRate,17))</f>
      </c>
      <c r="P7808" s="43">
        <f>IF($I7808=0,0,$Q7807*INDEX(DarlErsatzZins,17))</f>
      </c>
      <c r="Q7808" s="43">
        <f>IF($I7808=0,0,$Q7807+$P7808+$O7808)</f>
      </c>
      <c r="R7808" s="43">
        <f>IF($I7808=0,0,$J7808-$M7808-$N7808)</f>
      </c>
    </row>
    <row r="7809">
      <c r="A7809"/>
      <c r="B7809">
        <v>17</v>
      </c>
      <c r="C7809" s="43">
        <f>INDEX(DarlObj,17)</f>
      </c>
      <c r="D7809">
        <v>126</v>
      </c>
      <c r="E7809" s="51">
        <f>IF(INDEX(DarlBelegt,17)=0,0,EOMONTH(INDEX(DarlAuszahlung,17),125)+1)</f>
      </c>
      <c r="F7809" s="43">
        <f>IF($E7809=0,0,YEAR($E7809))</f>
      </c>
      <c r="G7809" s="43">
        <f>IF(INDEX(DarlBindung,17)="",1,IF($E7809&lt;=INDEX(DarlBindung,17),1,0))</f>
      </c>
      <c r="H7809" s="43">
        <f>IF($G7809=1,INDEX(DarlSollzins,17),INDEX(DarlAnschluss,17))</f>
      </c>
      <c r="I7809" s="43">
        <f>IF(INDEX(DarlBelegt,17)=0,0,IF(INDEX(DarlOhneTilgung,17)=1,IF(INDEX(DarlBindung,17)="",1,$G7809),IF($J7809&gt;0.005,1,0)))</f>
      </c>
      <c r="J7809" s="43">
        <f>IF($I7808=0,0,$R7808)</f>
      </c>
      <c r="K7809" s="43">
        <f>IF($I7809=0,0,IF(INDEX(DarlOhneTilgung,17)=1,0,IF(AND(INDEX(DarlTilgStart,17)&gt;0,$E7809=INDEX(DarlTilgStart,17)),$J7809*($H7809+INDEX(DarlTilgung,17))/100/12,IF(AND($G7809=0,$G7808=1),MAX($K7808,$J7809*($H7809+1)/100/12),$K7808))))</f>
      </c>
      <c r="L7809" s="43">
        <f>IF($I7809=0,0,$J7809*$H7809/100/12)</f>
      </c>
      <c r="M7809" s="43">
        <f>IF($I7809=0,0,IF(OR(INDEX(DarlOhneTilgung,17)=1,AND(INDEX(DarlTilgStart,17)&gt;0,$E7809&lt;INDEX(DarlTilgStart,17))),0,MIN(MAX(0,$K7809-$L7809),$J7809)))</f>
      </c>
      <c r="N7809" s="43">
        <f>IF($I7809=0,0,MIN(SUMIFS(SondBetrag,SondDarl,17,SondDatum,"&gt;="&amp;$E7809,SondDatum,"&lt;="&amp;EOMONTH($E7809,0)),$J7809-$M7809))</f>
      </c>
      <c r="O7809" s="43">
        <f>IF($I7809=0,0,INDEX(DarlErsatzRate,17))</f>
      </c>
      <c r="P7809" s="43">
        <f>IF($I7809=0,0,$Q7808*INDEX(DarlErsatzZins,17))</f>
      </c>
      <c r="Q7809" s="43">
        <f>IF($I7809=0,0,$Q7808+$P7809+$O7809)</f>
      </c>
      <c r="R7809" s="43">
        <f>IF($I7809=0,0,$J7809-$M7809-$N7809)</f>
      </c>
    </row>
    <row r="7810">
      <c r="A7810"/>
      <c r="B7810">
        <v>17</v>
      </c>
      <c r="C7810" s="43">
        <f>INDEX(DarlObj,17)</f>
      </c>
      <c r="D7810">
        <v>127</v>
      </c>
      <c r="E7810" s="51">
        <f>IF(INDEX(DarlBelegt,17)=0,0,EOMONTH(INDEX(DarlAuszahlung,17),126)+1)</f>
      </c>
      <c r="F7810" s="43">
        <f>IF($E7810=0,0,YEAR($E7810))</f>
      </c>
      <c r="G7810" s="43">
        <f>IF(INDEX(DarlBindung,17)="",1,IF($E7810&lt;=INDEX(DarlBindung,17),1,0))</f>
      </c>
      <c r="H7810" s="43">
        <f>IF($G7810=1,INDEX(DarlSollzins,17),INDEX(DarlAnschluss,17))</f>
      </c>
      <c r="I7810" s="43">
        <f>IF(INDEX(DarlBelegt,17)=0,0,IF(INDEX(DarlOhneTilgung,17)=1,IF(INDEX(DarlBindung,17)="",1,$G7810),IF($J7810&gt;0.005,1,0)))</f>
      </c>
      <c r="J7810" s="43">
        <f>IF($I7809=0,0,$R7809)</f>
      </c>
      <c r="K7810" s="43">
        <f>IF($I7810=0,0,IF(INDEX(DarlOhneTilgung,17)=1,0,IF(AND(INDEX(DarlTilgStart,17)&gt;0,$E7810=INDEX(DarlTilgStart,17)),$J7810*($H7810+INDEX(DarlTilgung,17))/100/12,IF(AND($G7810=0,$G7809=1),MAX($K7809,$J7810*($H7810+1)/100/12),$K7809))))</f>
      </c>
      <c r="L7810" s="43">
        <f>IF($I7810=0,0,$J7810*$H7810/100/12)</f>
      </c>
      <c r="M7810" s="43">
        <f>IF($I7810=0,0,IF(OR(INDEX(DarlOhneTilgung,17)=1,AND(INDEX(DarlTilgStart,17)&gt;0,$E7810&lt;INDEX(DarlTilgStart,17))),0,MIN(MAX(0,$K7810-$L7810),$J7810)))</f>
      </c>
      <c r="N7810" s="43">
        <f>IF($I7810=0,0,MIN(SUMIFS(SondBetrag,SondDarl,17,SondDatum,"&gt;="&amp;$E7810,SondDatum,"&lt;="&amp;EOMONTH($E7810,0)),$J7810-$M7810))</f>
      </c>
      <c r="O7810" s="43">
        <f>IF($I7810=0,0,INDEX(DarlErsatzRate,17))</f>
      </c>
      <c r="P7810" s="43">
        <f>IF($I7810=0,0,$Q7809*INDEX(DarlErsatzZins,17))</f>
      </c>
      <c r="Q7810" s="43">
        <f>IF($I7810=0,0,$Q7809+$P7810+$O7810)</f>
      </c>
      <c r="R7810" s="43">
        <f>IF($I7810=0,0,$J7810-$M7810-$N7810)</f>
      </c>
    </row>
    <row r="7811">
      <c r="A7811"/>
      <c r="B7811">
        <v>17</v>
      </c>
      <c r="C7811" s="43">
        <f>INDEX(DarlObj,17)</f>
      </c>
      <c r="D7811">
        <v>128</v>
      </c>
      <c r="E7811" s="51">
        <f>IF(INDEX(DarlBelegt,17)=0,0,EOMONTH(INDEX(DarlAuszahlung,17),127)+1)</f>
      </c>
      <c r="F7811" s="43">
        <f>IF($E7811=0,0,YEAR($E7811))</f>
      </c>
      <c r="G7811" s="43">
        <f>IF(INDEX(DarlBindung,17)="",1,IF($E7811&lt;=INDEX(DarlBindung,17),1,0))</f>
      </c>
      <c r="H7811" s="43">
        <f>IF($G7811=1,INDEX(DarlSollzins,17),INDEX(DarlAnschluss,17))</f>
      </c>
      <c r="I7811" s="43">
        <f>IF(INDEX(DarlBelegt,17)=0,0,IF(INDEX(DarlOhneTilgung,17)=1,IF(INDEX(DarlBindung,17)="",1,$G7811),IF($J7811&gt;0.005,1,0)))</f>
      </c>
      <c r="J7811" s="43">
        <f>IF($I7810=0,0,$R7810)</f>
      </c>
      <c r="K7811" s="43">
        <f>IF($I7811=0,0,IF(INDEX(DarlOhneTilgung,17)=1,0,IF(AND(INDEX(DarlTilgStart,17)&gt;0,$E7811=INDEX(DarlTilgStart,17)),$J7811*($H7811+INDEX(DarlTilgung,17))/100/12,IF(AND($G7811=0,$G7810=1),MAX($K7810,$J7811*($H7811+1)/100/12),$K7810))))</f>
      </c>
      <c r="L7811" s="43">
        <f>IF($I7811=0,0,$J7811*$H7811/100/12)</f>
      </c>
      <c r="M7811" s="43">
        <f>IF($I7811=0,0,IF(OR(INDEX(DarlOhneTilgung,17)=1,AND(INDEX(DarlTilgStart,17)&gt;0,$E7811&lt;INDEX(DarlTilgStart,17))),0,MIN(MAX(0,$K7811-$L7811),$J7811)))</f>
      </c>
      <c r="N7811" s="43">
        <f>IF($I7811=0,0,MIN(SUMIFS(SondBetrag,SondDarl,17,SondDatum,"&gt;="&amp;$E7811,SondDatum,"&lt;="&amp;EOMONTH($E7811,0)),$J7811-$M7811))</f>
      </c>
      <c r="O7811" s="43">
        <f>IF($I7811=0,0,INDEX(DarlErsatzRate,17))</f>
      </c>
      <c r="P7811" s="43">
        <f>IF($I7811=0,0,$Q7810*INDEX(DarlErsatzZins,17))</f>
      </c>
      <c r="Q7811" s="43">
        <f>IF($I7811=0,0,$Q7810+$P7811+$O7811)</f>
      </c>
      <c r="R7811" s="43">
        <f>IF($I7811=0,0,$J7811-$M7811-$N7811)</f>
      </c>
    </row>
    <row r="7812">
      <c r="A7812"/>
      <c r="B7812">
        <v>17</v>
      </c>
      <c r="C7812" s="43">
        <f>INDEX(DarlObj,17)</f>
      </c>
      <c r="D7812">
        <v>129</v>
      </c>
      <c r="E7812" s="51">
        <f>IF(INDEX(DarlBelegt,17)=0,0,EOMONTH(INDEX(DarlAuszahlung,17),128)+1)</f>
      </c>
      <c r="F7812" s="43">
        <f>IF($E7812=0,0,YEAR($E7812))</f>
      </c>
      <c r="G7812" s="43">
        <f>IF(INDEX(DarlBindung,17)="",1,IF($E7812&lt;=INDEX(DarlBindung,17),1,0))</f>
      </c>
      <c r="H7812" s="43">
        <f>IF($G7812=1,INDEX(DarlSollzins,17),INDEX(DarlAnschluss,17))</f>
      </c>
      <c r="I7812" s="43">
        <f>IF(INDEX(DarlBelegt,17)=0,0,IF(INDEX(DarlOhneTilgung,17)=1,IF(INDEX(DarlBindung,17)="",1,$G7812),IF($J7812&gt;0.005,1,0)))</f>
      </c>
      <c r="J7812" s="43">
        <f>IF($I7811=0,0,$R7811)</f>
      </c>
      <c r="K7812" s="43">
        <f>IF($I7812=0,0,IF(INDEX(DarlOhneTilgung,17)=1,0,IF(AND(INDEX(DarlTilgStart,17)&gt;0,$E7812=INDEX(DarlTilgStart,17)),$J7812*($H7812+INDEX(DarlTilgung,17))/100/12,IF(AND($G7812=0,$G7811=1),MAX($K7811,$J7812*($H7812+1)/100/12),$K7811))))</f>
      </c>
      <c r="L7812" s="43">
        <f>IF($I7812=0,0,$J7812*$H7812/100/12)</f>
      </c>
      <c r="M7812" s="43">
        <f>IF($I7812=0,0,IF(OR(INDEX(DarlOhneTilgung,17)=1,AND(INDEX(DarlTilgStart,17)&gt;0,$E7812&lt;INDEX(DarlTilgStart,17))),0,MIN(MAX(0,$K7812-$L7812),$J7812)))</f>
      </c>
      <c r="N7812" s="43">
        <f>IF($I7812=0,0,MIN(SUMIFS(SondBetrag,SondDarl,17,SondDatum,"&gt;="&amp;$E7812,SondDatum,"&lt;="&amp;EOMONTH($E7812,0)),$J7812-$M7812))</f>
      </c>
      <c r="O7812" s="43">
        <f>IF($I7812=0,0,INDEX(DarlErsatzRate,17))</f>
      </c>
      <c r="P7812" s="43">
        <f>IF($I7812=0,0,$Q7811*INDEX(DarlErsatzZins,17))</f>
      </c>
      <c r="Q7812" s="43">
        <f>IF($I7812=0,0,$Q7811+$P7812+$O7812)</f>
      </c>
      <c r="R7812" s="43">
        <f>IF($I7812=0,0,$J7812-$M7812-$N7812)</f>
      </c>
    </row>
    <row r="7813">
      <c r="A7813"/>
      <c r="B7813">
        <v>17</v>
      </c>
      <c r="C7813" s="43">
        <f>INDEX(DarlObj,17)</f>
      </c>
      <c r="D7813">
        <v>130</v>
      </c>
      <c r="E7813" s="51">
        <f>IF(INDEX(DarlBelegt,17)=0,0,EOMONTH(INDEX(DarlAuszahlung,17),129)+1)</f>
      </c>
      <c r="F7813" s="43">
        <f>IF($E7813=0,0,YEAR($E7813))</f>
      </c>
      <c r="G7813" s="43">
        <f>IF(INDEX(DarlBindung,17)="",1,IF($E7813&lt;=INDEX(DarlBindung,17),1,0))</f>
      </c>
      <c r="H7813" s="43">
        <f>IF($G7813=1,INDEX(DarlSollzins,17),INDEX(DarlAnschluss,17))</f>
      </c>
      <c r="I7813" s="43">
        <f>IF(INDEX(DarlBelegt,17)=0,0,IF(INDEX(DarlOhneTilgung,17)=1,IF(INDEX(DarlBindung,17)="",1,$G7813),IF($J7813&gt;0.005,1,0)))</f>
      </c>
      <c r="J7813" s="43">
        <f>IF($I7812=0,0,$R7812)</f>
      </c>
      <c r="K7813" s="43">
        <f>IF($I7813=0,0,IF(INDEX(DarlOhneTilgung,17)=1,0,IF(AND(INDEX(DarlTilgStart,17)&gt;0,$E7813=INDEX(DarlTilgStart,17)),$J7813*($H7813+INDEX(DarlTilgung,17))/100/12,IF(AND($G7813=0,$G7812=1),MAX($K7812,$J7813*($H7813+1)/100/12),$K7812))))</f>
      </c>
      <c r="L7813" s="43">
        <f>IF($I7813=0,0,$J7813*$H7813/100/12)</f>
      </c>
      <c r="M7813" s="43">
        <f>IF($I7813=0,0,IF(OR(INDEX(DarlOhneTilgung,17)=1,AND(INDEX(DarlTilgStart,17)&gt;0,$E7813&lt;INDEX(DarlTilgStart,17))),0,MIN(MAX(0,$K7813-$L7813),$J7813)))</f>
      </c>
      <c r="N7813" s="43">
        <f>IF($I7813=0,0,MIN(SUMIFS(SondBetrag,SondDarl,17,SondDatum,"&gt;="&amp;$E7813,SondDatum,"&lt;="&amp;EOMONTH($E7813,0)),$J7813-$M7813))</f>
      </c>
      <c r="O7813" s="43">
        <f>IF($I7813=0,0,INDEX(DarlErsatzRate,17))</f>
      </c>
      <c r="P7813" s="43">
        <f>IF($I7813=0,0,$Q7812*INDEX(DarlErsatzZins,17))</f>
      </c>
      <c r="Q7813" s="43">
        <f>IF($I7813=0,0,$Q7812+$P7813+$O7813)</f>
      </c>
      <c r="R7813" s="43">
        <f>IF($I7813=0,0,$J7813-$M7813-$N7813)</f>
      </c>
    </row>
    <row r="7814">
      <c r="A7814"/>
      <c r="B7814">
        <v>17</v>
      </c>
      <c r="C7814" s="43">
        <f>INDEX(DarlObj,17)</f>
      </c>
      <c r="D7814">
        <v>131</v>
      </c>
      <c r="E7814" s="51">
        <f>IF(INDEX(DarlBelegt,17)=0,0,EOMONTH(INDEX(DarlAuszahlung,17),130)+1)</f>
      </c>
      <c r="F7814" s="43">
        <f>IF($E7814=0,0,YEAR($E7814))</f>
      </c>
      <c r="G7814" s="43">
        <f>IF(INDEX(DarlBindung,17)="",1,IF($E7814&lt;=INDEX(DarlBindung,17),1,0))</f>
      </c>
      <c r="H7814" s="43">
        <f>IF($G7814=1,INDEX(DarlSollzins,17),INDEX(DarlAnschluss,17))</f>
      </c>
      <c r="I7814" s="43">
        <f>IF(INDEX(DarlBelegt,17)=0,0,IF(INDEX(DarlOhneTilgung,17)=1,IF(INDEX(DarlBindung,17)="",1,$G7814),IF($J7814&gt;0.005,1,0)))</f>
      </c>
      <c r="J7814" s="43">
        <f>IF($I7813=0,0,$R7813)</f>
      </c>
      <c r="K7814" s="43">
        <f>IF($I7814=0,0,IF(INDEX(DarlOhneTilgung,17)=1,0,IF(AND(INDEX(DarlTilgStart,17)&gt;0,$E7814=INDEX(DarlTilgStart,17)),$J7814*($H7814+INDEX(DarlTilgung,17))/100/12,IF(AND($G7814=0,$G7813=1),MAX($K7813,$J7814*($H7814+1)/100/12),$K7813))))</f>
      </c>
      <c r="L7814" s="43">
        <f>IF($I7814=0,0,$J7814*$H7814/100/12)</f>
      </c>
      <c r="M7814" s="43">
        <f>IF($I7814=0,0,IF(OR(INDEX(DarlOhneTilgung,17)=1,AND(INDEX(DarlTilgStart,17)&gt;0,$E7814&lt;INDEX(DarlTilgStart,17))),0,MIN(MAX(0,$K7814-$L7814),$J7814)))</f>
      </c>
      <c r="N7814" s="43">
        <f>IF($I7814=0,0,MIN(SUMIFS(SondBetrag,SondDarl,17,SondDatum,"&gt;="&amp;$E7814,SondDatum,"&lt;="&amp;EOMONTH($E7814,0)),$J7814-$M7814))</f>
      </c>
      <c r="O7814" s="43">
        <f>IF($I7814=0,0,INDEX(DarlErsatzRate,17))</f>
      </c>
      <c r="P7814" s="43">
        <f>IF($I7814=0,0,$Q7813*INDEX(DarlErsatzZins,17))</f>
      </c>
      <c r="Q7814" s="43">
        <f>IF($I7814=0,0,$Q7813+$P7814+$O7814)</f>
      </c>
      <c r="R7814" s="43">
        <f>IF($I7814=0,0,$J7814-$M7814-$N7814)</f>
      </c>
    </row>
    <row r="7815">
      <c r="A7815"/>
      <c r="B7815">
        <v>17</v>
      </c>
      <c r="C7815" s="43">
        <f>INDEX(DarlObj,17)</f>
      </c>
      <c r="D7815">
        <v>132</v>
      </c>
      <c r="E7815" s="51">
        <f>IF(INDEX(DarlBelegt,17)=0,0,EOMONTH(INDEX(DarlAuszahlung,17),131)+1)</f>
      </c>
      <c r="F7815" s="43">
        <f>IF($E7815=0,0,YEAR($E7815))</f>
      </c>
      <c r="G7815" s="43">
        <f>IF(INDEX(DarlBindung,17)="",1,IF($E7815&lt;=INDEX(DarlBindung,17),1,0))</f>
      </c>
      <c r="H7815" s="43">
        <f>IF($G7815=1,INDEX(DarlSollzins,17),INDEX(DarlAnschluss,17))</f>
      </c>
      <c r="I7815" s="43">
        <f>IF(INDEX(DarlBelegt,17)=0,0,IF(INDEX(DarlOhneTilgung,17)=1,IF(INDEX(DarlBindung,17)="",1,$G7815),IF($J7815&gt;0.005,1,0)))</f>
      </c>
      <c r="J7815" s="43">
        <f>IF($I7814=0,0,$R7814)</f>
      </c>
      <c r="K7815" s="43">
        <f>IF($I7815=0,0,IF(INDEX(DarlOhneTilgung,17)=1,0,IF(AND(INDEX(DarlTilgStart,17)&gt;0,$E7815=INDEX(DarlTilgStart,17)),$J7815*($H7815+INDEX(DarlTilgung,17))/100/12,IF(AND($G7815=0,$G7814=1),MAX($K7814,$J7815*($H7815+1)/100/12),$K7814))))</f>
      </c>
      <c r="L7815" s="43">
        <f>IF($I7815=0,0,$J7815*$H7815/100/12)</f>
      </c>
      <c r="M7815" s="43">
        <f>IF($I7815=0,0,IF(OR(INDEX(DarlOhneTilgung,17)=1,AND(INDEX(DarlTilgStart,17)&gt;0,$E7815&lt;INDEX(DarlTilgStart,17))),0,MIN(MAX(0,$K7815-$L7815),$J7815)))</f>
      </c>
      <c r="N7815" s="43">
        <f>IF($I7815=0,0,MIN(SUMIFS(SondBetrag,SondDarl,17,SondDatum,"&gt;="&amp;$E7815,SondDatum,"&lt;="&amp;EOMONTH($E7815,0)),$J7815-$M7815))</f>
      </c>
      <c r="O7815" s="43">
        <f>IF($I7815=0,0,INDEX(DarlErsatzRate,17))</f>
      </c>
      <c r="P7815" s="43">
        <f>IF($I7815=0,0,$Q7814*INDEX(DarlErsatzZins,17))</f>
      </c>
      <c r="Q7815" s="43">
        <f>IF($I7815=0,0,$Q7814+$P7815+$O7815)</f>
      </c>
      <c r="R7815" s="43">
        <f>IF($I7815=0,0,$J7815-$M7815-$N7815)</f>
      </c>
    </row>
    <row r="7816">
      <c r="A7816"/>
      <c r="B7816">
        <v>17</v>
      </c>
      <c r="C7816" s="43">
        <f>INDEX(DarlObj,17)</f>
      </c>
      <c r="D7816">
        <v>133</v>
      </c>
      <c r="E7816" s="51">
        <f>IF(INDEX(DarlBelegt,17)=0,0,EOMONTH(INDEX(DarlAuszahlung,17),132)+1)</f>
      </c>
      <c r="F7816" s="43">
        <f>IF($E7816=0,0,YEAR($E7816))</f>
      </c>
      <c r="G7816" s="43">
        <f>IF(INDEX(DarlBindung,17)="",1,IF($E7816&lt;=INDEX(DarlBindung,17),1,0))</f>
      </c>
      <c r="H7816" s="43">
        <f>IF($G7816=1,INDEX(DarlSollzins,17),INDEX(DarlAnschluss,17))</f>
      </c>
      <c r="I7816" s="43">
        <f>IF(INDEX(DarlBelegt,17)=0,0,IF(INDEX(DarlOhneTilgung,17)=1,IF(INDEX(DarlBindung,17)="",1,$G7816),IF($J7816&gt;0.005,1,0)))</f>
      </c>
      <c r="J7816" s="43">
        <f>IF($I7815=0,0,$R7815)</f>
      </c>
      <c r="K7816" s="43">
        <f>IF($I7816=0,0,IF(INDEX(DarlOhneTilgung,17)=1,0,IF(AND(INDEX(DarlTilgStart,17)&gt;0,$E7816=INDEX(DarlTilgStart,17)),$J7816*($H7816+INDEX(DarlTilgung,17))/100/12,IF(AND($G7816=0,$G7815=1),MAX($K7815,$J7816*($H7816+1)/100/12),$K7815))))</f>
      </c>
      <c r="L7816" s="43">
        <f>IF($I7816=0,0,$J7816*$H7816/100/12)</f>
      </c>
      <c r="M7816" s="43">
        <f>IF($I7816=0,0,IF(OR(INDEX(DarlOhneTilgung,17)=1,AND(INDEX(DarlTilgStart,17)&gt;0,$E7816&lt;INDEX(DarlTilgStart,17))),0,MIN(MAX(0,$K7816-$L7816),$J7816)))</f>
      </c>
      <c r="N7816" s="43">
        <f>IF($I7816=0,0,MIN(SUMIFS(SondBetrag,SondDarl,17,SondDatum,"&gt;="&amp;$E7816,SondDatum,"&lt;="&amp;EOMONTH($E7816,0)),$J7816-$M7816))</f>
      </c>
      <c r="O7816" s="43">
        <f>IF($I7816=0,0,INDEX(DarlErsatzRate,17))</f>
      </c>
      <c r="P7816" s="43">
        <f>IF($I7816=0,0,$Q7815*INDEX(DarlErsatzZins,17))</f>
      </c>
      <c r="Q7816" s="43">
        <f>IF($I7816=0,0,$Q7815+$P7816+$O7816)</f>
      </c>
      <c r="R7816" s="43">
        <f>IF($I7816=0,0,$J7816-$M7816-$N7816)</f>
      </c>
    </row>
    <row r="7817">
      <c r="A7817"/>
      <c r="B7817">
        <v>17</v>
      </c>
      <c r="C7817" s="43">
        <f>INDEX(DarlObj,17)</f>
      </c>
      <c r="D7817">
        <v>134</v>
      </c>
      <c r="E7817" s="51">
        <f>IF(INDEX(DarlBelegt,17)=0,0,EOMONTH(INDEX(DarlAuszahlung,17),133)+1)</f>
      </c>
      <c r="F7817" s="43">
        <f>IF($E7817=0,0,YEAR($E7817))</f>
      </c>
      <c r="G7817" s="43">
        <f>IF(INDEX(DarlBindung,17)="",1,IF($E7817&lt;=INDEX(DarlBindung,17),1,0))</f>
      </c>
      <c r="H7817" s="43">
        <f>IF($G7817=1,INDEX(DarlSollzins,17),INDEX(DarlAnschluss,17))</f>
      </c>
      <c r="I7817" s="43">
        <f>IF(INDEX(DarlBelegt,17)=0,0,IF(INDEX(DarlOhneTilgung,17)=1,IF(INDEX(DarlBindung,17)="",1,$G7817),IF($J7817&gt;0.005,1,0)))</f>
      </c>
      <c r="J7817" s="43">
        <f>IF($I7816=0,0,$R7816)</f>
      </c>
      <c r="K7817" s="43">
        <f>IF($I7817=0,0,IF(INDEX(DarlOhneTilgung,17)=1,0,IF(AND(INDEX(DarlTilgStart,17)&gt;0,$E7817=INDEX(DarlTilgStart,17)),$J7817*($H7817+INDEX(DarlTilgung,17))/100/12,IF(AND($G7817=0,$G7816=1),MAX($K7816,$J7817*($H7817+1)/100/12),$K7816))))</f>
      </c>
      <c r="L7817" s="43">
        <f>IF($I7817=0,0,$J7817*$H7817/100/12)</f>
      </c>
      <c r="M7817" s="43">
        <f>IF($I7817=0,0,IF(OR(INDEX(DarlOhneTilgung,17)=1,AND(INDEX(DarlTilgStart,17)&gt;0,$E7817&lt;INDEX(DarlTilgStart,17))),0,MIN(MAX(0,$K7817-$L7817),$J7817)))</f>
      </c>
      <c r="N7817" s="43">
        <f>IF($I7817=0,0,MIN(SUMIFS(SondBetrag,SondDarl,17,SondDatum,"&gt;="&amp;$E7817,SondDatum,"&lt;="&amp;EOMONTH($E7817,0)),$J7817-$M7817))</f>
      </c>
      <c r="O7817" s="43">
        <f>IF($I7817=0,0,INDEX(DarlErsatzRate,17))</f>
      </c>
      <c r="P7817" s="43">
        <f>IF($I7817=0,0,$Q7816*INDEX(DarlErsatzZins,17))</f>
      </c>
      <c r="Q7817" s="43">
        <f>IF($I7817=0,0,$Q7816+$P7817+$O7817)</f>
      </c>
      <c r="R7817" s="43">
        <f>IF($I7817=0,0,$J7817-$M7817-$N7817)</f>
      </c>
    </row>
    <row r="7818">
      <c r="A7818"/>
      <c r="B7818">
        <v>17</v>
      </c>
      <c r="C7818" s="43">
        <f>INDEX(DarlObj,17)</f>
      </c>
      <c r="D7818">
        <v>135</v>
      </c>
      <c r="E7818" s="51">
        <f>IF(INDEX(DarlBelegt,17)=0,0,EOMONTH(INDEX(DarlAuszahlung,17),134)+1)</f>
      </c>
      <c r="F7818" s="43">
        <f>IF($E7818=0,0,YEAR($E7818))</f>
      </c>
      <c r="G7818" s="43">
        <f>IF(INDEX(DarlBindung,17)="",1,IF($E7818&lt;=INDEX(DarlBindung,17),1,0))</f>
      </c>
      <c r="H7818" s="43">
        <f>IF($G7818=1,INDEX(DarlSollzins,17),INDEX(DarlAnschluss,17))</f>
      </c>
      <c r="I7818" s="43">
        <f>IF(INDEX(DarlBelegt,17)=0,0,IF(INDEX(DarlOhneTilgung,17)=1,IF(INDEX(DarlBindung,17)="",1,$G7818),IF($J7818&gt;0.005,1,0)))</f>
      </c>
      <c r="J7818" s="43">
        <f>IF($I7817=0,0,$R7817)</f>
      </c>
      <c r="K7818" s="43">
        <f>IF($I7818=0,0,IF(INDEX(DarlOhneTilgung,17)=1,0,IF(AND(INDEX(DarlTilgStart,17)&gt;0,$E7818=INDEX(DarlTilgStart,17)),$J7818*($H7818+INDEX(DarlTilgung,17))/100/12,IF(AND($G7818=0,$G7817=1),MAX($K7817,$J7818*($H7818+1)/100/12),$K7817))))</f>
      </c>
      <c r="L7818" s="43">
        <f>IF($I7818=0,0,$J7818*$H7818/100/12)</f>
      </c>
      <c r="M7818" s="43">
        <f>IF($I7818=0,0,IF(OR(INDEX(DarlOhneTilgung,17)=1,AND(INDEX(DarlTilgStart,17)&gt;0,$E7818&lt;INDEX(DarlTilgStart,17))),0,MIN(MAX(0,$K7818-$L7818),$J7818)))</f>
      </c>
      <c r="N7818" s="43">
        <f>IF($I7818=0,0,MIN(SUMIFS(SondBetrag,SondDarl,17,SondDatum,"&gt;="&amp;$E7818,SondDatum,"&lt;="&amp;EOMONTH($E7818,0)),$J7818-$M7818))</f>
      </c>
      <c r="O7818" s="43">
        <f>IF($I7818=0,0,INDEX(DarlErsatzRate,17))</f>
      </c>
      <c r="P7818" s="43">
        <f>IF($I7818=0,0,$Q7817*INDEX(DarlErsatzZins,17))</f>
      </c>
      <c r="Q7818" s="43">
        <f>IF($I7818=0,0,$Q7817+$P7818+$O7818)</f>
      </c>
      <c r="R7818" s="43">
        <f>IF($I7818=0,0,$J7818-$M7818-$N7818)</f>
      </c>
    </row>
    <row r="7819">
      <c r="A7819"/>
      <c r="B7819">
        <v>17</v>
      </c>
      <c r="C7819" s="43">
        <f>INDEX(DarlObj,17)</f>
      </c>
      <c r="D7819">
        <v>136</v>
      </c>
      <c r="E7819" s="51">
        <f>IF(INDEX(DarlBelegt,17)=0,0,EOMONTH(INDEX(DarlAuszahlung,17),135)+1)</f>
      </c>
      <c r="F7819" s="43">
        <f>IF($E7819=0,0,YEAR($E7819))</f>
      </c>
      <c r="G7819" s="43">
        <f>IF(INDEX(DarlBindung,17)="",1,IF($E7819&lt;=INDEX(DarlBindung,17),1,0))</f>
      </c>
      <c r="H7819" s="43">
        <f>IF($G7819=1,INDEX(DarlSollzins,17),INDEX(DarlAnschluss,17))</f>
      </c>
      <c r="I7819" s="43">
        <f>IF(INDEX(DarlBelegt,17)=0,0,IF(INDEX(DarlOhneTilgung,17)=1,IF(INDEX(DarlBindung,17)="",1,$G7819),IF($J7819&gt;0.005,1,0)))</f>
      </c>
      <c r="J7819" s="43">
        <f>IF($I7818=0,0,$R7818)</f>
      </c>
      <c r="K7819" s="43">
        <f>IF($I7819=0,0,IF(INDEX(DarlOhneTilgung,17)=1,0,IF(AND(INDEX(DarlTilgStart,17)&gt;0,$E7819=INDEX(DarlTilgStart,17)),$J7819*($H7819+INDEX(DarlTilgung,17))/100/12,IF(AND($G7819=0,$G7818=1),MAX($K7818,$J7819*($H7819+1)/100/12),$K7818))))</f>
      </c>
      <c r="L7819" s="43">
        <f>IF($I7819=0,0,$J7819*$H7819/100/12)</f>
      </c>
      <c r="M7819" s="43">
        <f>IF($I7819=0,0,IF(OR(INDEX(DarlOhneTilgung,17)=1,AND(INDEX(DarlTilgStart,17)&gt;0,$E7819&lt;INDEX(DarlTilgStart,17))),0,MIN(MAX(0,$K7819-$L7819),$J7819)))</f>
      </c>
      <c r="N7819" s="43">
        <f>IF($I7819=0,0,MIN(SUMIFS(SondBetrag,SondDarl,17,SondDatum,"&gt;="&amp;$E7819,SondDatum,"&lt;="&amp;EOMONTH($E7819,0)),$J7819-$M7819))</f>
      </c>
      <c r="O7819" s="43">
        <f>IF($I7819=0,0,INDEX(DarlErsatzRate,17))</f>
      </c>
      <c r="P7819" s="43">
        <f>IF($I7819=0,0,$Q7818*INDEX(DarlErsatzZins,17))</f>
      </c>
      <c r="Q7819" s="43">
        <f>IF($I7819=0,0,$Q7818+$P7819+$O7819)</f>
      </c>
      <c r="R7819" s="43">
        <f>IF($I7819=0,0,$J7819-$M7819-$N7819)</f>
      </c>
    </row>
    <row r="7820">
      <c r="A7820"/>
      <c r="B7820">
        <v>17</v>
      </c>
      <c r="C7820" s="43">
        <f>INDEX(DarlObj,17)</f>
      </c>
      <c r="D7820">
        <v>137</v>
      </c>
      <c r="E7820" s="51">
        <f>IF(INDEX(DarlBelegt,17)=0,0,EOMONTH(INDEX(DarlAuszahlung,17),136)+1)</f>
      </c>
      <c r="F7820" s="43">
        <f>IF($E7820=0,0,YEAR($E7820))</f>
      </c>
      <c r="G7820" s="43">
        <f>IF(INDEX(DarlBindung,17)="",1,IF($E7820&lt;=INDEX(DarlBindung,17),1,0))</f>
      </c>
      <c r="H7820" s="43">
        <f>IF($G7820=1,INDEX(DarlSollzins,17),INDEX(DarlAnschluss,17))</f>
      </c>
      <c r="I7820" s="43">
        <f>IF(INDEX(DarlBelegt,17)=0,0,IF(INDEX(DarlOhneTilgung,17)=1,IF(INDEX(DarlBindung,17)="",1,$G7820),IF($J7820&gt;0.005,1,0)))</f>
      </c>
      <c r="J7820" s="43">
        <f>IF($I7819=0,0,$R7819)</f>
      </c>
      <c r="K7820" s="43">
        <f>IF($I7820=0,0,IF(INDEX(DarlOhneTilgung,17)=1,0,IF(AND(INDEX(DarlTilgStart,17)&gt;0,$E7820=INDEX(DarlTilgStart,17)),$J7820*($H7820+INDEX(DarlTilgung,17))/100/12,IF(AND($G7820=0,$G7819=1),MAX($K7819,$J7820*($H7820+1)/100/12),$K7819))))</f>
      </c>
      <c r="L7820" s="43">
        <f>IF($I7820=0,0,$J7820*$H7820/100/12)</f>
      </c>
      <c r="M7820" s="43">
        <f>IF($I7820=0,0,IF(OR(INDEX(DarlOhneTilgung,17)=1,AND(INDEX(DarlTilgStart,17)&gt;0,$E7820&lt;INDEX(DarlTilgStart,17))),0,MIN(MAX(0,$K7820-$L7820),$J7820)))</f>
      </c>
      <c r="N7820" s="43">
        <f>IF($I7820=0,0,MIN(SUMIFS(SondBetrag,SondDarl,17,SondDatum,"&gt;="&amp;$E7820,SondDatum,"&lt;="&amp;EOMONTH($E7820,0)),$J7820-$M7820))</f>
      </c>
      <c r="O7820" s="43">
        <f>IF($I7820=0,0,INDEX(DarlErsatzRate,17))</f>
      </c>
      <c r="P7820" s="43">
        <f>IF($I7820=0,0,$Q7819*INDEX(DarlErsatzZins,17))</f>
      </c>
      <c r="Q7820" s="43">
        <f>IF($I7820=0,0,$Q7819+$P7820+$O7820)</f>
      </c>
      <c r="R7820" s="43">
        <f>IF($I7820=0,0,$J7820-$M7820-$N7820)</f>
      </c>
    </row>
    <row r="7821">
      <c r="A7821"/>
      <c r="B7821">
        <v>17</v>
      </c>
      <c r="C7821" s="43">
        <f>INDEX(DarlObj,17)</f>
      </c>
      <c r="D7821">
        <v>138</v>
      </c>
      <c r="E7821" s="51">
        <f>IF(INDEX(DarlBelegt,17)=0,0,EOMONTH(INDEX(DarlAuszahlung,17),137)+1)</f>
      </c>
      <c r="F7821" s="43">
        <f>IF($E7821=0,0,YEAR($E7821))</f>
      </c>
      <c r="G7821" s="43">
        <f>IF(INDEX(DarlBindung,17)="",1,IF($E7821&lt;=INDEX(DarlBindung,17),1,0))</f>
      </c>
      <c r="H7821" s="43">
        <f>IF($G7821=1,INDEX(DarlSollzins,17),INDEX(DarlAnschluss,17))</f>
      </c>
      <c r="I7821" s="43">
        <f>IF(INDEX(DarlBelegt,17)=0,0,IF(INDEX(DarlOhneTilgung,17)=1,IF(INDEX(DarlBindung,17)="",1,$G7821),IF($J7821&gt;0.005,1,0)))</f>
      </c>
      <c r="J7821" s="43">
        <f>IF($I7820=0,0,$R7820)</f>
      </c>
      <c r="K7821" s="43">
        <f>IF($I7821=0,0,IF(INDEX(DarlOhneTilgung,17)=1,0,IF(AND(INDEX(DarlTilgStart,17)&gt;0,$E7821=INDEX(DarlTilgStart,17)),$J7821*($H7821+INDEX(DarlTilgung,17))/100/12,IF(AND($G7821=0,$G7820=1),MAX($K7820,$J7821*($H7821+1)/100/12),$K7820))))</f>
      </c>
      <c r="L7821" s="43">
        <f>IF($I7821=0,0,$J7821*$H7821/100/12)</f>
      </c>
      <c r="M7821" s="43">
        <f>IF($I7821=0,0,IF(OR(INDEX(DarlOhneTilgung,17)=1,AND(INDEX(DarlTilgStart,17)&gt;0,$E7821&lt;INDEX(DarlTilgStart,17))),0,MIN(MAX(0,$K7821-$L7821),$J7821)))</f>
      </c>
      <c r="N7821" s="43">
        <f>IF($I7821=0,0,MIN(SUMIFS(SondBetrag,SondDarl,17,SondDatum,"&gt;="&amp;$E7821,SondDatum,"&lt;="&amp;EOMONTH($E7821,0)),$J7821-$M7821))</f>
      </c>
      <c r="O7821" s="43">
        <f>IF($I7821=0,0,INDEX(DarlErsatzRate,17))</f>
      </c>
      <c r="P7821" s="43">
        <f>IF($I7821=0,0,$Q7820*INDEX(DarlErsatzZins,17))</f>
      </c>
      <c r="Q7821" s="43">
        <f>IF($I7821=0,0,$Q7820+$P7821+$O7821)</f>
      </c>
      <c r="R7821" s="43">
        <f>IF($I7821=0,0,$J7821-$M7821-$N7821)</f>
      </c>
    </row>
    <row r="7822">
      <c r="A7822"/>
      <c r="B7822">
        <v>17</v>
      </c>
      <c r="C7822" s="43">
        <f>INDEX(DarlObj,17)</f>
      </c>
      <c r="D7822">
        <v>139</v>
      </c>
      <c r="E7822" s="51">
        <f>IF(INDEX(DarlBelegt,17)=0,0,EOMONTH(INDEX(DarlAuszahlung,17),138)+1)</f>
      </c>
      <c r="F7822" s="43">
        <f>IF($E7822=0,0,YEAR($E7822))</f>
      </c>
      <c r="G7822" s="43">
        <f>IF(INDEX(DarlBindung,17)="",1,IF($E7822&lt;=INDEX(DarlBindung,17),1,0))</f>
      </c>
      <c r="H7822" s="43">
        <f>IF($G7822=1,INDEX(DarlSollzins,17),INDEX(DarlAnschluss,17))</f>
      </c>
      <c r="I7822" s="43">
        <f>IF(INDEX(DarlBelegt,17)=0,0,IF(INDEX(DarlOhneTilgung,17)=1,IF(INDEX(DarlBindung,17)="",1,$G7822),IF($J7822&gt;0.005,1,0)))</f>
      </c>
      <c r="J7822" s="43">
        <f>IF($I7821=0,0,$R7821)</f>
      </c>
      <c r="K7822" s="43">
        <f>IF($I7822=0,0,IF(INDEX(DarlOhneTilgung,17)=1,0,IF(AND(INDEX(DarlTilgStart,17)&gt;0,$E7822=INDEX(DarlTilgStart,17)),$J7822*($H7822+INDEX(DarlTilgung,17))/100/12,IF(AND($G7822=0,$G7821=1),MAX($K7821,$J7822*($H7822+1)/100/12),$K7821))))</f>
      </c>
      <c r="L7822" s="43">
        <f>IF($I7822=0,0,$J7822*$H7822/100/12)</f>
      </c>
      <c r="M7822" s="43">
        <f>IF($I7822=0,0,IF(OR(INDEX(DarlOhneTilgung,17)=1,AND(INDEX(DarlTilgStart,17)&gt;0,$E7822&lt;INDEX(DarlTilgStart,17))),0,MIN(MAX(0,$K7822-$L7822),$J7822)))</f>
      </c>
      <c r="N7822" s="43">
        <f>IF($I7822=0,0,MIN(SUMIFS(SondBetrag,SondDarl,17,SondDatum,"&gt;="&amp;$E7822,SondDatum,"&lt;="&amp;EOMONTH($E7822,0)),$J7822-$M7822))</f>
      </c>
      <c r="O7822" s="43">
        <f>IF($I7822=0,0,INDEX(DarlErsatzRate,17))</f>
      </c>
      <c r="P7822" s="43">
        <f>IF($I7822=0,0,$Q7821*INDEX(DarlErsatzZins,17))</f>
      </c>
      <c r="Q7822" s="43">
        <f>IF($I7822=0,0,$Q7821+$P7822+$O7822)</f>
      </c>
      <c r="R7822" s="43">
        <f>IF($I7822=0,0,$J7822-$M7822-$N7822)</f>
      </c>
    </row>
    <row r="7823">
      <c r="A7823"/>
      <c r="B7823">
        <v>17</v>
      </c>
      <c r="C7823" s="43">
        <f>INDEX(DarlObj,17)</f>
      </c>
      <c r="D7823">
        <v>140</v>
      </c>
      <c r="E7823" s="51">
        <f>IF(INDEX(DarlBelegt,17)=0,0,EOMONTH(INDEX(DarlAuszahlung,17),139)+1)</f>
      </c>
      <c r="F7823" s="43">
        <f>IF($E7823=0,0,YEAR($E7823))</f>
      </c>
      <c r="G7823" s="43">
        <f>IF(INDEX(DarlBindung,17)="",1,IF($E7823&lt;=INDEX(DarlBindung,17),1,0))</f>
      </c>
      <c r="H7823" s="43">
        <f>IF($G7823=1,INDEX(DarlSollzins,17),INDEX(DarlAnschluss,17))</f>
      </c>
      <c r="I7823" s="43">
        <f>IF(INDEX(DarlBelegt,17)=0,0,IF(INDEX(DarlOhneTilgung,17)=1,IF(INDEX(DarlBindung,17)="",1,$G7823),IF($J7823&gt;0.005,1,0)))</f>
      </c>
      <c r="J7823" s="43">
        <f>IF($I7822=0,0,$R7822)</f>
      </c>
      <c r="K7823" s="43">
        <f>IF($I7823=0,0,IF(INDEX(DarlOhneTilgung,17)=1,0,IF(AND(INDEX(DarlTilgStart,17)&gt;0,$E7823=INDEX(DarlTilgStart,17)),$J7823*($H7823+INDEX(DarlTilgung,17))/100/12,IF(AND($G7823=0,$G7822=1),MAX($K7822,$J7823*($H7823+1)/100/12),$K7822))))</f>
      </c>
      <c r="L7823" s="43">
        <f>IF($I7823=0,0,$J7823*$H7823/100/12)</f>
      </c>
      <c r="M7823" s="43">
        <f>IF($I7823=0,0,IF(OR(INDEX(DarlOhneTilgung,17)=1,AND(INDEX(DarlTilgStart,17)&gt;0,$E7823&lt;INDEX(DarlTilgStart,17))),0,MIN(MAX(0,$K7823-$L7823),$J7823)))</f>
      </c>
      <c r="N7823" s="43">
        <f>IF($I7823=0,0,MIN(SUMIFS(SondBetrag,SondDarl,17,SondDatum,"&gt;="&amp;$E7823,SondDatum,"&lt;="&amp;EOMONTH($E7823,0)),$J7823-$M7823))</f>
      </c>
      <c r="O7823" s="43">
        <f>IF($I7823=0,0,INDEX(DarlErsatzRate,17))</f>
      </c>
      <c r="P7823" s="43">
        <f>IF($I7823=0,0,$Q7822*INDEX(DarlErsatzZins,17))</f>
      </c>
      <c r="Q7823" s="43">
        <f>IF($I7823=0,0,$Q7822+$P7823+$O7823)</f>
      </c>
      <c r="R7823" s="43">
        <f>IF($I7823=0,0,$J7823-$M7823-$N7823)</f>
      </c>
    </row>
    <row r="7824">
      <c r="A7824"/>
      <c r="B7824">
        <v>17</v>
      </c>
      <c r="C7824" s="43">
        <f>INDEX(DarlObj,17)</f>
      </c>
      <c r="D7824">
        <v>141</v>
      </c>
      <c r="E7824" s="51">
        <f>IF(INDEX(DarlBelegt,17)=0,0,EOMONTH(INDEX(DarlAuszahlung,17),140)+1)</f>
      </c>
      <c r="F7824" s="43">
        <f>IF($E7824=0,0,YEAR($E7824))</f>
      </c>
      <c r="G7824" s="43">
        <f>IF(INDEX(DarlBindung,17)="",1,IF($E7824&lt;=INDEX(DarlBindung,17),1,0))</f>
      </c>
      <c r="H7824" s="43">
        <f>IF($G7824=1,INDEX(DarlSollzins,17),INDEX(DarlAnschluss,17))</f>
      </c>
      <c r="I7824" s="43">
        <f>IF(INDEX(DarlBelegt,17)=0,0,IF(INDEX(DarlOhneTilgung,17)=1,IF(INDEX(DarlBindung,17)="",1,$G7824),IF($J7824&gt;0.005,1,0)))</f>
      </c>
      <c r="J7824" s="43">
        <f>IF($I7823=0,0,$R7823)</f>
      </c>
      <c r="K7824" s="43">
        <f>IF($I7824=0,0,IF(INDEX(DarlOhneTilgung,17)=1,0,IF(AND(INDEX(DarlTilgStart,17)&gt;0,$E7824=INDEX(DarlTilgStart,17)),$J7824*($H7824+INDEX(DarlTilgung,17))/100/12,IF(AND($G7824=0,$G7823=1),MAX($K7823,$J7824*($H7824+1)/100/12),$K7823))))</f>
      </c>
      <c r="L7824" s="43">
        <f>IF($I7824=0,0,$J7824*$H7824/100/12)</f>
      </c>
      <c r="M7824" s="43">
        <f>IF($I7824=0,0,IF(OR(INDEX(DarlOhneTilgung,17)=1,AND(INDEX(DarlTilgStart,17)&gt;0,$E7824&lt;INDEX(DarlTilgStart,17))),0,MIN(MAX(0,$K7824-$L7824),$J7824)))</f>
      </c>
      <c r="N7824" s="43">
        <f>IF($I7824=0,0,MIN(SUMIFS(SondBetrag,SondDarl,17,SondDatum,"&gt;="&amp;$E7824,SondDatum,"&lt;="&amp;EOMONTH($E7824,0)),$J7824-$M7824))</f>
      </c>
      <c r="O7824" s="43">
        <f>IF($I7824=0,0,INDEX(DarlErsatzRate,17))</f>
      </c>
      <c r="P7824" s="43">
        <f>IF($I7824=0,0,$Q7823*INDEX(DarlErsatzZins,17))</f>
      </c>
      <c r="Q7824" s="43">
        <f>IF($I7824=0,0,$Q7823+$P7824+$O7824)</f>
      </c>
      <c r="R7824" s="43">
        <f>IF($I7824=0,0,$J7824-$M7824-$N7824)</f>
      </c>
    </row>
    <row r="7825">
      <c r="A7825"/>
      <c r="B7825">
        <v>17</v>
      </c>
      <c r="C7825" s="43">
        <f>INDEX(DarlObj,17)</f>
      </c>
      <c r="D7825">
        <v>142</v>
      </c>
      <c r="E7825" s="51">
        <f>IF(INDEX(DarlBelegt,17)=0,0,EOMONTH(INDEX(DarlAuszahlung,17),141)+1)</f>
      </c>
      <c r="F7825" s="43">
        <f>IF($E7825=0,0,YEAR($E7825))</f>
      </c>
      <c r="G7825" s="43">
        <f>IF(INDEX(DarlBindung,17)="",1,IF($E7825&lt;=INDEX(DarlBindung,17),1,0))</f>
      </c>
      <c r="H7825" s="43">
        <f>IF($G7825=1,INDEX(DarlSollzins,17),INDEX(DarlAnschluss,17))</f>
      </c>
      <c r="I7825" s="43">
        <f>IF(INDEX(DarlBelegt,17)=0,0,IF(INDEX(DarlOhneTilgung,17)=1,IF(INDEX(DarlBindung,17)="",1,$G7825),IF($J7825&gt;0.005,1,0)))</f>
      </c>
      <c r="J7825" s="43">
        <f>IF($I7824=0,0,$R7824)</f>
      </c>
      <c r="K7825" s="43">
        <f>IF($I7825=0,0,IF(INDEX(DarlOhneTilgung,17)=1,0,IF(AND(INDEX(DarlTilgStart,17)&gt;0,$E7825=INDEX(DarlTilgStart,17)),$J7825*($H7825+INDEX(DarlTilgung,17))/100/12,IF(AND($G7825=0,$G7824=1),MAX($K7824,$J7825*($H7825+1)/100/12),$K7824))))</f>
      </c>
      <c r="L7825" s="43">
        <f>IF($I7825=0,0,$J7825*$H7825/100/12)</f>
      </c>
      <c r="M7825" s="43">
        <f>IF($I7825=0,0,IF(OR(INDEX(DarlOhneTilgung,17)=1,AND(INDEX(DarlTilgStart,17)&gt;0,$E7825&lt;INDEX(DarlTilgStart,17))),0,MIN(MAX(0,$K7825-$L7825),$J7825)))</f>
      </c>
      <c r="N7825" s="43">
        <f>IF($I7825=0,0,MIN(SUMIFS(SondBetrag,SondDarl,17,SondDatum,"&gt;="&amp;$E7825,SondDatum,"&lt;="&amp;EOMONTH($E7825,0)),$J7825-$M7825))</f>
      </c>
      <c r="O7825" s="43">
        <f>IF($I7825=0,0,INDEX(DarlErsatzRate,17))</f>
      </c>
      <c r="P7825" s="43">
        <f>IF($I7825=0,0,$Q7824*INDEX(DarlErsatzZins,17))</f>
      </c>
      <c r="Q7825" s="43">
        <f>IF($I7825=0,0,$Q7824+$P7825+$O7825)</f>
      </c>
      <c r="R7825" s="43">
        <f>IF($I7825=0,0,$J7825-$M7825-$N7825)</f>
      </c>
    </row>
    <row r="7826">
      <c r="A7826"/>
      <c r="B7826">
        <v>17</v>
      </c>
      <c r="C7826" s="43">
        <f>INDEX(DarlObj,17)</f>
      </c>
      <c r="D7826">
        <v>143</v>
      </c>
      <c r="E7826" s="51">
        <f>IF(INDEX(DarlBelegt,17)=0,0,EOMONTH(INDEX(DarlAuszahlung,17),142)+1)</f>
      </c>
      <c r="F7826" s="43">
        <f>IF($E7826=0,0,YEAR($E7826))</f>
      </c>
      <c r="G7826" s="43">
        <f>IF(INDEX(DarlBindung,17)="",1,IF($E7826&lt;=INDEX(DarlBindung,17),1,0))</f>
      </c>
      <c r="H7826" s="43">
        <f>IF($G7826=1,INDEX(DarlSollzins,17),INDEX(DarlAnschluss,17))</f>
      </c>
      <c r="I7826" s="43">
        <f>IF(INDEX(DarlBelegt,17)=0,0,IF(INDEX(DarlOhneTilgung,17)=1,IF(INDEX(DarlBindung,17)="",1,$G7826),IF($J7826&gt;0.005,1,0)))</f>
      </c>
      <c r="J7826" s="43">
        <f>IF($I7825=0,0,$R7825)</f>
      </c>
      <c r="K7826" s="43">
        <f>IF($I7826=0,0,IF(INDEX(DarlOhneTilgung,17)=1,0,IF(AND(INDEX(DarlTilgStart,17)&gt;0,$E7826=INDEX(DarlTilgStart,17)),$J7826*($H7826+INDEX(DarlTilgung,17))/100/12,IF(AND($G7826=0,$G7825=1),MAX($K7825,$J7826*($H7826+1)/100/12),$K7825))))</f>
      </c>
      <c r="L7826" s="43">
        <f>IF($I7826=0,0,$J7826*$H7826/100/12)</f>
      </c>
      <c r="M7826" s="43">
        <f>IF($I7826=0,0,IF(OR(INDEX(DarlOhneTilgung,17)=1,AND(INDEX(DarlTilgStart,17)&gt;0,$E7826&lt;INDEX(DarlTilgStart,17))),0,MIN(MAX(0,$K7826-$L7826),$J7826)))</f>
      </c>
      <c r="N7826" s="43">
        <f>IF($I7826=0,0,MIN(SUMIFS(SondBetrag,SondDarl,17,SondDatum,"&gt;="&amp;$E7826,SondDatum,"&lt;="&amp;EOMONTH($E7826,0)),$J7826-$M7826))</f>
      </c>
      <c r="O7826" s="43">
        <f>IF($I7826=0,0,INDEX(DarlErsatzRate,17))</f>
      </c>
      <c r="P7826" s="43">
        <f>IF($I7826=0,0,$Q7825*INDEX(DarlErsatzZins,17))</f>
      </c>
      <c r="Q7826" s="43">
        <f>IF($I7826=0,0,$Q7825+$P7826+$O7826)</f>
      </c>
      <c r="R7826" s="43">
        <f>IF($I7826=0,0,$J7826-$M7826-$N7826)</f>
      </c>
    </row>
    <row r="7827">
      <c r="A7827"/>
      <c r="B7827">
        <v>17</v>
      </c>
      <c r="C7827" s="43">
        <f>INDEX(DarlObj,17)</f>
      </c>
      <c r="D7827">
        <v>144</v>
      </c>
      <c r="E7827" s="51">
        <f>IF(INDEX(DarlBelegt,17)=0,0,EOMONTH(INDEX(DarlAuszahlung,17),143)+1)</f>
      </c>
      <c r="F7827" s="43">
        <f>IF($E7827=0,0,YEAR($E7827))</f>
      </c>
      <c r="G7827" s="43">
        <f>IF(INDEX(DarlBindung,17)="",1,IF($E7827&lt;=INDEX(DarlBindung,17),1,0))</f>
      </c>
      <c r="H7827" s="43">
        <f>IF($G7827=1,INDEX(DarlSollzins,17),INDEX(DarlAnschluss,17))</f>
      </c>
      <c r="I7827" s="43">
        <f>IF(INDEX(DarlBelegt,17)=0,0,IF(INDEX(DarlOhneTilgung,17)=1,IF(INDEX(DarlBindung,17)="",1,$G7827),IF($J7827&gt;0.005,1,0)))</f>
      </c>
      <c r="J7827" s="43">
        <f>IF($I7826=0,0,$R7826)</f>
      </c>
      <c r="K7827" s="43">
        <f>IF($I7827=0,0,IF(INDEX(DarlOhneTilgung,17)=1,0,IF(AND(INDEX(DarlTilgStart,17)&gt;0,$E7827=INDEX(DarlTilgStart,17)),$J7827*($H7827+INDEX(DarlTilgung,17))/100/12,IF(AND($G7827=0,$G7826=1),MAX($K7826,$J7827*($H7827+1)/100/12),$K7826))))</f>
      </c>
      <c r="L7827" s="43">
        <f>IF($I7827=0,0,$J7827*$H7827/100/12)</f>
      </c>
      <c r="M7827" s="43">
        <f>IF($I7827=0,0,IF(OR(INDEX(DarlOhneTilgung,17)=1,AND(INDEX(DarlTilgStart,17)&gt;0,$E7827&lt;INDEX(DarlTilgStart,17))),0,MIN(MAX(0,$K7827-$L7827),$J7827)))</f>
      </c>
      <c r="N7827" s="43">
        <f>IF($I7827=0,0,MIN(SUMIFS(SondBetrag,SondDarl,17,SondDatum,"&gt;="&amp;$E7827,SondDatum,"&lt;="&amp;EOMONTH($E7827,0)),$J7827-$M7827))</f>
      </c>
      <c r="O7827" s="43">
        <f>IF($I7827=0,0,INDEX(DarlErsatzRate,17))</f>
      </c>
      <c r="P7827" s="43">
        <f>IF($I7827=0,0,$Q7826*INDEX(DarlErsatzZins,17))</f>
      </c>
      <c r="Q7827" s="43">
        <f>IF($I7827=0,0,$Q7826+$P7827+$O7827)</f>
      </c>
      <c r="R7827" s="43">
        <f>IF($I7827=0,0,$J7827-$M7827-$N7827)</f>
      </c>
    </row>
    <row r="7828">
      <c r="A7828"/>
      <c r="B7828">
        <v>17</v>
      </c>
      <c r="C7828" s="43">
        <f>INDEX(DarlObj,17)</f>
      </c>
      <c r="D7828">
        <v>145</v>
      </c>
      <c r="E7828" s="51">
        <f>IF(INDEX(DarlBelegt,17)=0,0,EOMONTH(INDEX(DarlAuszahlung,17),144)+1)</f>
      </c>
      <c r="F7828" s="43">
        <f>IF($E7828=0,0,YEAR($E7828))</f>
      </c>
      <c r="G7828" s="43">
        <f>IF(INDEX(DarlBindung,17)="",1,IF($E7828&lt;=INDEX(DarlBindung,17),1,0))</f>
      </c>
      <c r="H7828" s="43">
        <f>IF($G7828=1,INDEX(DarlSollzins,17),INDEX(DarlAnschluss,17))</f>
      </c>
      <c r="I7828" s="43">
        <f>IF(INDEX(DarlBelegt,17)=0,0,IF(INDEX(DarlOhneTilgung,17)=1,IF(INDEX(DarlBindung,17)="",1,$G7828),IF($J7828&gt;0.005,1,0)))</f>
      </c>
      <c r="J7828" s="43">
        <f>IF($I7827=0,0,$R7827)</f>
      </c>
      <c r="K7828" s="43">
        <f>IF($I7828=0,0,IF(INDEX(DarlOhneTilgung,17)=1,0,IF(AND(INDEX(DarlTilgStart,17)&gt;0,$E7828=INDEX(DarlTilgStart,17)),$J7828*($H7828+INDEX(DarlTilgung,17))/100/12,IF(AND($G7828=0,$G7827=1),MAX($K7827,$J7828*($H7828+1)/100/12),$K7827))))</f>
      </c>
      <c r="L7828" s="43">
        <f>IF($I7828=0,0,$J7828*$H7828/100/12)</f>
      </c>
      <c r="M7828" s="43">
        <f>IF($I7828=0,0,IF(OR(INDEX(DarlOhneTilgung,17)=1,AND(INDEX(DarlTilgStart,17)&gt;0,$E7828&lt;INDEX(DarlTilgStart,17))),0,MIN(MAX(0,$K7828-$L7828),$J7828)))</f>
      </c>
      <c r="N7828" s="43">
        <f>IF($I7828=0,0,MIN(SUMIFS(SondBetrag,SondDarl,17,SondDatum,"&gt;="&amp;$E7828,SondDatum,"&lt;="&amp;EOMONTH($E7828,0)),$J7828-$M7828))</f>
      </c>
      <c r="O7828" s="43">
        <f>IF($I7828=0,0,INDEX(DarlErsatzRate,17))</f>
      </c>
      <c r="P7828" s="43">
        <f>IF($I7828=0,0,$Q7827*INDEX(DarlErsatzZins,17))</f>
      </c>
      <c r="Q7828" s="43">
        <f>IF($I7828=0,0,$Q7827+$P7828+$O7828)</f>
      </c>
      <c r="R7828" s="43">
        <f>IF($I7828=0,0,$J7828-$M7828-$N7828)</f>
      </c>
    </row>
    <row r="7829">
      <c r="A7829"/>
      <c r="B7829">
        <v>17</v>
      </c>
      <c r="C7829" s="43">
        <f>INDEX(DarlObj,17)</f>
      </c>
      <c r="D7829">
        <v>146</v>
      </c>
      <c r="E7829" s="51">
        <f>IF(INDEX(DarlBelegt,17)=0,0,EOMONTH(INDEX(DarlAuszahlung,17),145)+1)</f>
      </c>
      <c r="F7829" s="43">
        <f>IF($E7829=0,0,YEAR($E7829))</f>
      </c>
      <c r="G7829" s="43">
        <f>IF(INDEX(DarlBindung,17)="",1,IF($E7829&lt;=INDEX(DarlBindung,17),1,0))</f>
      </c>
      <c r="H7829" s="43">
        <f>IF($G7829=1,INDEX(DarlSollzins,17),INDEX(DarlAnschluss,17))</f>
      </c>
      <c r="I7829" s="43">
        <f>IF(INDEX(DarlBelegt,17)=0,0,IF(INDEX(DarlOhneTilgung,17)=1,IF(INDEX(DarlBindung,17)="",1,$G7829),IF($J7829&gt;0.005,1,0)))</f>
      </c>
      <c r="J7829" s="43">
        <f>IF($I7828=0,0,$R7828)</f>
      </c>
      <c r="K7829" s="43">
        <f>IF($I7829=0,0,IF(INDEX(DarlOhneTilgung,17)=1,0,IF(AND(INDEX(DarlTilgStart,17)&gt;0,$E7829=INDEX(DarlTilgStart,17)),$J7829*($H7829+INDEX(DarlTilgung,17))/100/12,IF(AND($G7829=0,$G7828=1),MAX($K7828,$J7829*($H7829+1)/100/12),$K7828))))</f>
      </c>
      <c r="L7829" s="43">
        <f>IF($I7829=0,0,$J7829*$H7829/100/12)</f>
      </c>
      <c r="M7829" s="43">
        <f>IF($I7829=0,0,IF(OR(INDEX(DarlOhneTilgung,17)=1,AND(INDEX(DarlTilgStart,17)&gt;0,$E7829&lt;INDEX(DarlTilgStart,17))),0,MIN(MAX(0,$K7829-$L7829),$J7829)))</f>
      </c>
      <c r="N7829" s="43">
        <f>IF($I7829=0,0,MIN(SUMIFS(SondBetrag,SondDarl,17,SondDatum,"&gt;="&amp;$E7829,SondDatum,"&lt;="&amp;EOMONTH($E7829,0)),$J7829-$M7829))</f>
      </c>
      <c r="O7829" s="43">
        <f>IF($I7829=0,0,INDEX(DarlErsatzRate,17))</f>
      </c>
      <c r="P7829" s="43">
        <f>IF($I7829=0,0,$Q7828*INDEX(DarlErsatzZins,17))</f>
      </c>
      <c r="Q7829" s="43">
        <f>IF($I7829=0,0,$Q7828+$P7829+$O7829)</f>
      </c>
      <c r="R7829" s="43">
        <f>IF($I7829=0,0,$J7829-$M7829-$N7829)</f>
      </c>
    </row>
    <row r="7830">
      <c r="A7830"/>
      <c r="B7830">
        <v>17</v>
      </c>
      <c r="C7830" s="43">
        <f>INDEX(DarlObj,17)</f>
      </c>
      <c r="D7830">
        <v>147</v>
      </c>
      <c r="E7830" s="51">
        <f>IF(INDEX(DarlBelegt,17)=0,0,EOMONTH(INDEX(DarlAuszahlung,17),146)+1)</f>
      </c>
      <c r="F7830" s="43">
        <f>IF($E7830=0,0,YEAR($E7830))</f>
      </c>
      <c r="G7830" s="43">
        <f>IF(INDEX(DarlBindung,17)="",1,IF($E7830&lt;=INDEX(DarlBindung,17),1,0))</f>
      </c>
      <c r="H7830" s="43">
        <f>IF($G7830=1,INDEX(DarlSollzins,17),INDEX(DarlAnschluss,17))</f>
      </c>
      <c r="I7830" s="43">
        <f>IF(INDEX(DarlBelegt,17)=0,0,IF(INDEX(DarlOhneTilgung,17)=1,IF(INDEX(DarlBindung,17)="",1,$G7830),IF($J7830&gt;0.005,1,0)))</f>
      </c>
      <c r="J7830" s="43">
        <f>IF($I7829=0,0,$R7829)</f>
      </c>
      <c r="K7830" s="43">
        <f>IF($I7830=0,0,IF(INDEX(DarlOhneTilgung,17)=1,0,IF(AND(INDEX(DarlTilgStart,17)&gt;0,$E7830=INDEX(DarlTilgStart,17)),$J7830*($H7830+INDEX(DarlTilgung,17))/100/12,IF(AND($G7830=0,$G7829=1),MAX($K7829,$J7830*($H7830+1)/100/12),$K7829))))</f>
      </c>
      <c r="L7830" s="43">
        <f>IF($I7830=0,0,$J7830*$H7830/100/12)</f>
      </c>
      <c r="M7830" s="43">
        <f>IF($I7830=0,0,IF(OR(INDEX(DarlOhneTilgung,17)=1,AND(INDEX(DarlTilgStart,17)&gt;0,$E7830&lt;INDEX(DarlTilgStart,17))),0,MIN(MAX(0,$K7830-$L7830),$J7830)))</f>
      </c>
      <c r="N7830" s="43">
        <f>IF($I7830=0,0,MIN(SUMIFS(SondBetrag,SondDarl,17,SondDatum,"&gt;="&amp;$E7830,SondDatum,"&lt;="&amp;EOMONTH($E7830,0)),$J7830-$M7830))</f>
      </c>
      <c r="O7830" s="43">
        <f>IF($I7830=0,0,INDEX(DarlErsatzRate,17))</f>
      </c>
      <c r="P7830" s="43">
        <f>IF($I7830=0,0,$Q7829*INDEX(DarlErsatzZins,17))</f>
      </c>
      <c r="Q7830" s="43">
        <f>IF($I7830=0,0,$Q7829+$P7830+$O7830)</f>
      </c>
      <c r="R7830" s="43">
        <f>IF($I7830=0,0,$J7830-$M7830-$N7830)</f>
      </c>
    </row>
    <row r="7831">
      <c r="A7831"/>
      <c r="B7831">
        <v>17</v>
      </c>
      <c r="C7831" s="43">
        <f>INDEX(DarlObj,17)</f>
      </c>
      <c r="D7831">
        <v>148</v>
      </c>
      <c r="E7831" s="51">
        <f>IF(INDEX(DarlBelegt,17)=0,0,EOMONTH(INDEX(DarlAuszahlung,17),147)+1)</f>
      </c>
      <c r="F7831" s="43">
        <f>IF($E7831=0,0,YEAR($E7831))</f>
      </c>
      <c r="G7831" s="43">
        <f>IF(INDEX(DarlBindung,17)="",1,IF($E7831&lt;=INDEX(DarlBindung,17),1,0))</f>
      </c>
      <c r="H7831" s="43">
        <f>IF($G7831=1,INDEX(DarlSollzins,17),INDEX(DarlAnschluss,17))</f>
      </c>
      <c r="I7831" s="43">
        <f>IF(INDEX(DarlBelegt,17)=0,0,IF(INDEX(DarlOhneTilgung,17)=1,IF(INDEX(DarlBindung,17)="",1,$G7831),IF($J7831&gt;0.005,1,0)))</f>
      </c>
      <c r="J7831" s="43">
        <f>IF($I7830=0,0,$R7830)</f>
      </c>
      <c r="K7831" s="43">
        <f>IF($I7831=0,0,IF(INDEX(DarlOhneTilgung,17)=1,0,IF(AND(INDEX(DarlTilgStart,17)&gt;0,$E7831=INDEX(DarlTilgStart,17)),$J7831*($H7831+INDEX(DarlTilgung,17))/100/12,IF(AND($G7831=0,$G7830=1),MAX($K7830,$J7831*($H7831+1)/100/12),$K7830))))</f>
      </c>
      <c r="L7831" s="43">
        <f>IF($I7831=0,0,$J7831*$H7831/100/12)</f>
      </c>
      <c r="M7831" s="43">
        <f>IF($I7831=0,0,IF(OR(INDEX(DarlOhneTilgung,17)=1,AND(INDEX(DarlTilgStart,17)&gt;0,$E7831&lt;INDEX(DarlTilgStart,17))),0,MIN(MAX(0,$K7831-$L7831),$J7831)))</f>
      </c>
      <c r="N7831" s="43">
        <f>IF($I7831=0,0,MIN(SUMIFS(SondBetrag,SondDarl,17,SondDatum,"&gt;="&amp;$E7831,SondDatum,"&lt;="&amp;EOMONTH($E7831,0)),$J7831-$M7831))</f>
      </c>
      <c r="O7831" s="43">
        <f>IF($I7831=0,0,INDEX(DarlErsatzRate,17))</f>
      </c>
      <c r="P7831" s="43">
        <f>IF($I7831=0,0,$Q7830*INDEX(DarlErsatzZins,17))</f>
      </c>
      <c r="Q7831" s="43">
        <f>IF($I7831=0,0,$Q7830+$P7831+$O7831)</f>
      </c>
      <c r="R7831" s="43">
        <f>IF($I7831=0,0,$J7831-$M7831-$N7831)</f>
      </c>
    </row>
    <row r="7832">
      <c r="A7832"/>
      <c r="B7832">
        <v>17</v>
      </c>
      <c r="C7832" s="43">
        <f>INDEX(DarlObj,17)</f>
      </c>
      <c r="D7832">
        <v>149</v>
      </c>
      <c r="E7832" s="51">
        <f>IF(INDEX(DarlBelegt,17)=0,0,EOMONTH(INDEX(DarlAuszahlung,17),148)+1)</f>
      </c>
      <c r="F7832" s="43">
        <f>IF($E7832=0,0,YEAR($E7832))</f>
      </c>
      <c r="G7832" s="43">
        <f>IF(INDEX(DarlBindung,17)="",1,IF($E7832&lt;=INDEX(DarlBindung,17),1,0))</f>
      </c>
      <c r="H7832" s="43">
        <f>IF($G7832=1,INDEX(DarlSollzins,17),INDEX(DarlAnschluss,17))</f>
      </c>
      <c r="I7832" s="43">
        <f>IF(INDEX(DarlBelegt,17)=0,0,IF(INDEX(DarlOhneTilgung,17)=1,IF(INDEX(DarlBindung,17)="",1,$G7832),IF($J7832&gt;0.005,1,0)))</f>
      </c>
      <c r="J7832" s="43">
        <f>IF($I7831=0,0,$R7831)</f>
      </c>
      <c r="K7832" s="43">
        <f>IF($I7832=0,0,IF(INDEX(DarlOhneTilgung,17)=1,0,IF(AND(INDEX(DarlTilgStart,17)&gt;0,$E7832=INDEX(DarlTilgStart,17)),$J7832*($H7832+INDEX(DarlTilgung,17))/100/12,IF(AND($G7832=0,$G7831=1),MAX($K7831,$J7832*($H7832+1)/100/12),$K7831))))</f>
      </c>
      <c r="L7832" s="43">
        <f>IF($I7832=0,0,$J7832*$H7832/100/12)</f>
      </c>
      <c r="M7832" s="43">
        <f>IF($I7832=0,0,IF(OR(INDEX(DarlOhneTilgung,17)=1,AND(INDEX(DarlTilgStart,17)&gt;0,$E7832&lt;INDEX(DarlTilgStart,17))),0,MIN(MAX(0,$K7832-$L7832),$J7832)))</f>
      </c>
      <c r="N7832" s="43">
        <f>IF($I7832=0,0,MIN(SUMIFS(SondBetrag,SondDarl,17,SondDatum,"&gt;="&amp;$E7832,SondDatum,"&lt;="&amp;EOMONTH($E7832,0)),$J7832-$M7832))</f>
      </c>
      <c r="O7832" s="43">
        <f>IF($I7832=0,0,INDEX(DarlErsatzRate,17))</f>
      </c>
      <c r="P7832" s="43">
        <f>IF($I7832=0,0,$Q7831*INDEX(DarlErsatzZins,17))</f>
      </c>
      <c r="Q7832" s="43">
        <f>IF($I7832=0,0,$Q7831+$P7832+$O7832)</f>
      </c>
      <c r="R7832" s="43">
        <f>IF($I7832=0,0,$J7832-$M7832-$N7832)</f>
      </c>
    </row>
    <row r="7833">
      <c r="A7833"/>
      <c r="B7833">
        <v>17</v>
      </c>
      <c r="C7833" s="43">
        <f>INDEX(DarlObj,17)</f>
      </c>
      <c r="D7833">
        <v>150</v>
      </c>
      <c r="E7833" s="51">
        <f>IF(INDEX(DarlBelegt,17)=0,0,EOMONTH(INDEX(DarlAuszahlung,17),149)+1)</f>
      </c>
      <c r="F7833" s="43">
        <f>IF($E7833=0,0,YEAR($E7833))</f>
      </c>
      <c r="G7833" s="43">
        <f>IF(INDEX(DarlBindung,17)="",1,IF($E7833&lt;=INDEX(DarlBindung,17),1,0))</f>
      </c>
      <c r="H7833" s="43">
        <f>IF($G7833=1,INDEX(DarlSollzins,17),INDEX(DarlAnschluss,17))</f>
      </c>
      <c r="I7833" s="43">
        <f>IF(INDEX(DarlBelegt,17)=0,0,IF(INDEX(DarlOhneTilgung,17)=1,IF(INDEX(DarlBindung,17)="",1,$G7833),IF($J7833&gt;0.005,1,0)))</f>
      </c>
      <c r="J7833" s="43">
        <f>IF($I7832=0,0,$R7832)</f>
      </c>
      <c r="K7833" s="43">
        <f>IF($I7833=0,0,IF(INDEX(DarlOhneTilgung,17)=1,0,IF(AND(INDEX(DarlTilgStart,17)&gt;0,$E7833=INDEX(DarlTilgStart,17)),$J7833*($H7833+INDEX(DarlTilgung,17))/100/12,IF(AND($G7833=0,$G7832=1),MAX($K7832,$J7833*($H7833+1)/100/12),$K7832))))</f>
      </c>
      <c r="L7833" s="43">
        <f>IF($I7833=0,0,$J7833*$H7833/100/12)</f>
      </c>
      <c r="M7833" s="43">
        <f>IF($I7833=0,0,IF(OR(INDEX(DarlOhneTilgung,17)=1,AND(INDEX(DarlTilgStart,17)&gt;0,$E7833&lt;INDEX(DarlTilgStart,17))),0,MIN(MAX(0,$K7833-$L7833),$J7833)))</f>
      </c>
      <c r="N7833" s="43">
        <f>IF($I7833=0,0,MIN(SUMIFS(SondBetrag,SondDarl,17,SondDatum,"&gt;="&amp;$E7833,SondDatum,"&lt;="&amp;EOMONTH($E7833,0)),$J7833-$M7833))</f>
      </c>
      <c r="O7833" s="43">
        <f>IF($I7833=0,0,INDEX(DarlErsatzRate,17))</f>
      </c>
      <c r="P7833" s="43">
        <f>IF($I7833=0,0,$Q7832*INDEX(DarlErsatzZins,17))</f>
      </c>
      <c r="Q7833" s="43">
        <f>IF($I7833=0,0,$Q7832+$P7833+$O7833)</f>
      </c>
      <c r="R7833" s="43">
        <f>IF($I7833=0,0,$J7833-$M7833-$N7833)</f>
      </c>
    </row>
    <row r="7834">
      <c r="A7834"/>
      <c r="B7834">
        <v>17</v>
      </c>
      <c r="C7834" s="43">
        <f>INDEX(DarlObj,17)</f>
      </c>
      <c r="D7834">
        <v>151</v>
      </c>
      <c r="E7834" s="51">
        <f>IF(INDEX(DarlBelegt,17)=0,0,EOMONTH(INDEX(DarlAuszahlung,17),150)+1)</f>
      </c>
      <c r="F7834" s="43">
        <f>IF($E7834=0,0,YEAR($E7834))</f>
      </c>
      <c r="G7834" s="43">
        <f>IF(INDEX(DarlBindung,17)="",1,IF($E7834&lt;=INDEX(DarlBindung,17),1,0))</f>
      </c>
      <c r="H7834" s="43">
        <f>IF($G7834=1,INDEX(DarlSollzins,17),INDEX(DarlAnschluss,17))</f>
      </c>
      <c r="I7834" s="43">
        <f>IF(INDEX(DarlBelegt,17)=0,0,IF(INDEX(DarlOhneTilgung,17)=1,IF(INDEX(DarlBindung,17)="",1,$G7834),IF($J7834&gt;0.005,1,0)))</f>
      </c>
      <c r="J7834" s="43">
        <f>IF($I7833=0,0,$R7833)</f>
      </c>
      <c r="K7834" s="43">
        <f>IF($I7834=0,0,IF(INDEX(DarlOhneTilgung,17)=1,0,IF(AND(INDEX(DarlTilgStart,17)&gt;0,$E7834=INDEX(DarlTilgStart,17)),$J7834*($H7834+INDEX(DarlTilgung,17))/100/12,IF(AND($G7834=0,$G7833=1),MAX($K7833,$J7834*($H7834+1)/100/12),$K7833))))</f>
      </c>
      <c r="L7834" s="43">
        <f>IF($I7834=0,0,$J7834*$H7834/100/12)</f>
      </c>
      <c r="M7834" s="43">
        <f>IF($I7834=0,0,IF(OR(INDEX(DarlOhneTilgung,17)=1,AND(INDEX(DarlTilgStart,17)&gt;0,$E7834&lt;INDEX(DarlTilgStart,17))),0,MIN(MAX(0,$K7834-$L7834),$J7834)))</f>
      </c>
      <c r="N7834" s="43">
        <f>IF($I7834=0,0,MIN(SUMIFS(SondBetrag,SondDarl,17,SondDatum,"&gt;="&amp;$E7834,SondDatum,"&lt;="&amp;EOMONTH($E7834,0)),$J7834-$M7834))</f>
      </c>
      <c r="O7834" s="43">
        <f>IF($I7834=0,0,INDEX(DarlErsatzRate,17))</f>
      </c>
      <c r="P7834" s="43">
        <f>IF($I7834=0,0,$Q7833*INDEX(DarlErsatzZins,17))</f>
      </c>
      <c r="Q7834" s="43">
        <f>IF($I7834=0,0,$Q7833+$P7834+$O7834)</f>
      </c>
      <c r="R7834" s="43">
        <f>IF($I7834=0,0,$J7834-$M7834-$N7834)</f>
      </c>
    </row>
    <row r="7835">
      <c r="A7835"/>
      <c r="B7835">
        <v>17</v>
      </c>
      <c r="C7835" s="43">
        <f>INDEX(DarlObj,17)</f>
      </c>
      <c r="D7835">
        <v>152</v>
      </c>
      <c r="E7835" s="51">
        <f>IF(INDEX(DarlBelegt,17)=0,0,EOMONTH(INDEX(DarlAuszahlung,17),151)+1)</f>
      </c>
      <c r="F7835" s="43">
        <f>IF($E7835=0,0,YEAR($E7835))</f>
      </c>
      <c r="G7835" s="43">
        <f>IF(INDEX(DarlBindung,17)="",1,IF($E7835&lt;=INDEX(DarlBindung,17),1,0))</f>
      </c>
      <c r="H7835" s="43">
        <f>IF($G7835=1,INDEX(DarlSollzins,17),INDEX(DarlAnschluss,17))</f>
      </c>
      <c r="I7835" s="43">
        <f>IF(INDEX(DarlBelegt,17)=0,0,IF(INDEX(DarlOhneTilgung,17)=1,IF(INDEX(DarlBindung,17)="",1,$G7835),IF($J7835&gt;0.005,1,0)))</f>
      </c>
      <c r="J7835" s="43">
        <f>IF($I7834=0,0,$R7834)</f>
      </c>
      <c r="K7835" s="43">
        <f>IF($I7835=0,0,IF(INDEX(DarlOhneTilgung,17)=1,0,IF(AND(INDEX(DarlTilgStart,17)&gt;0,$E7835=INDEX(DarlTilgStart,17)),$J7835*($H7835+INDEX(DarlTilgung,17))/100/12,IF(AND($G7835=0,$G7834=1),MAX($K7834,$J7835*($H7835+1)/100/12),$K7834))))</f>
      </c>
      <c r="L7835" s="43">
        <f>IF($I7835=0,0,$J7835*$H7835/100/12)</f>
      </c>
      <c r="M7835" s="43">
        <f>IF($I7835=0,0,IF(OR(INDEX(DarlOhneTilgung,17)=1,AND(INDEX(DarlTilgStart,17)&gt;0,$E7835&lt;INDEX(DarlTilgStart,17))),0,MIN(MAX(0,$K7835-$L7835),$J7835)))</f>
      </c>
      <c r="N7835" s="43">
        <f>IF($I7835=0,0,MIN(SUMIFS(SondBetrag,SondDarl,17,SondDatum,"&gt;="&amp;$E7835,SondDatum,"&lt;="&amp;EOMONTH($E7835,0)),$J7835-$M7835))</f>
      </c>
      <c r="O7835" s="43">
        <f>IF($I7835=0,0,INDEX(DarlErsatzRate,17))</f>
      </c>
      <c r="P7835" s="43">
        <f>IF($I7835=0,0,$Q7834*INDEX(DarlErsatzZins,17))</f>
      </c>
      <c r="Q7835" s="43">
        <f>IF($I7835=0,0,$Q7834+$P7835+$O7835)</f>
      </c>
      <c r="R7835" s="43">
        <f>IF($I7835=0,0,$J7835-$M7835-$N7835)</f>
      </c>
    </row>
    <row r="7836">
      <c r="A7836"/>
      <c r="B7836">
        <v>17</v>
      </c>
      <c r="C7836" s="43">
        <f>INDEX(DarlObj,17)</f>
      </c>
      <c r="D7836">
        <v>153</v>
      </c>
      <c r="E7836" s="51">
        <f>IF(INDEX(DarlBelegt,17)=0,0,EOMONTH(INDEX(DarlAuszahlung,17),152)+1)</f>
      </c>
      <c r="F7836" s="43">
        <f>IF($E7836=0,0,YEAR($E7836))</f>
      </c>
      <c r="G7836" s="43">
        <f>IF(INDEX(DarlBindung,17)="",1,IF($E7836&lt;=INDEX(DarlBindung,17),1,0))</f>
      </c>
      <c r="H7836" s="43">
        <f>IF($G7836=1,INDEX(DarlSollzins,17),INDEX(DarlAnschluss,17))</f>
      </c>
      <c r="I7836" s="43">
        <f>IF(INDEX(DarlBelegt,17)=0,0,IF(INDEX(DarlOhneTilgung,17)=1,IF(INDEX(DarlBindung,17)="",1,$G7836),IF($J7836&gt;0.005,1,0)))</f>
      </c>
      <c r="J7836" s="43">
        <f>IF($I7835=0,0,$R7835)</f>
      </c>
      <c r="K7836" s="43">
        <f>IF($I7836=0,0,IF(INDEX(DarlOhneTilgung,17)=1,0,IF(AND(INDEX(DarlTilgStart,17)&gt;0,$E7836=INDEX(DarlTilgStart,17)),$J7836*($H7836+INDEX(DarlTilgung,17))/100/12,IF(AND($G7836=0,$G7835=1),MAX($K7835,$J7836*($H7836+1)/100/12),$K7835))))</f>
      </c>
      <c r="L7836" s="43">
        <f>IF($I7836=0,0,$J7836*$H7836/100/12)</f>
      </c>
      <c r="M7836" s="43">
        <f>IF($I7836=0,0,IF(OR(INDEX(DarlOhneTilgung,17)=1,AND(INDEX(DarlTilgStart,17)&gt;0,$E7836&lt;INDEX(DarlTilgStart,17))),0,MIN(MAX(0,$K7836-$L7836),$J7836)))</f>
      </c>
      <c r="N7836" s="43">
        <f>IF($I7836=0,0,MIN(SUMIFS(SondBetrag,SondDarl,17,SondDatum,"&gt;="&amp;$E7836,SondDatum,"&lt;="&amp;EOMONTH($E7836,0)),$J7836-$M7836))</f>
      </c>
      <c r="O7836" s="43">
        <f>IF($I7836=0,0,INDEX(DarlErsatzRate,17))</f>
      </c>
      <c r="P7836" s="43">
        <f>IF($I7836=0,0,$Q7835*INDEX(DarlErsatzZins,17))</f>
      </c>
      <c r="Q7836" s="43">
        <f>IF($I7836=0,0,$Q7835+$P7836+$O7836)</f>
      </c>
      <c r="R7836" s="43">
        <f>IF($I7836=0,0,$J7836-$M7836-$N7836)</f>
      </c>
    </row>
    <row r="7837">
      <c r="A7837"/>
      <c r="B7837">
        <v>17</v>
      </c>
      <c r="C7837" s="43">
        <f>INDEX(DarlObj,17)</f>
      </c>
      <c r="D7837">
        <v>154</v>
      </c>
      <c r="E7837" s="51">
        <f>IF(INDEX(DarlBelegt,17)=0,0,EOMONTH(INDEX(DarlAuszahlung,17),153)+1)</f>
      </c>
      <c r="F7837" s="43">
        <f>IF($E7837=0,0,YEAR($E7837))</f>
      </c>
      <c r="G7837" s="43">
        <f>IF(INDEX(DarlBindung,17)="",1,IF($E7837&lt;=INDEX(DarlBindung,17),1,0))</f>
      </c>
      <c r="H7837" s="43">
        <f>IF($G7837=1,INDEX(DarlSollzins,17),INDEX(DarlAnschluss,17))</f>
      </c>
      <c r="I7837" s="43">
        <f>IF(INDEX(DarlBelegt,17)=0,0,IF(INDEX(DarlOhneTilgung,17)=1,IF(INDEX(DarlBindung,17)="",1,$G7837),IF($J7837&gt;0.005,1,0)))</f>
      </c>
      <c r="J7837" s="43">
        <f>IF($I7836=0,0,$R7836)</f>
      </c>
      <c r="K7837" s="43">
        <f>IF($I7837=0,0,IF(INDEX(DarlOhneTilgung,17)=1,0,IF(AND(INDEX(DarlTilgStart,17)&gt;0,$E7837=INDEX(DarlTilgStart,17)),$J7837*($H7837+INDEX(DarlTilgung,17))/100/12,IF(AND($G7837=0,$G7836=1),MAX($K7836,$J7837*($H7837+1)/100/12),$K7836))))</f>
      </c>
      <c r="L7837" s="43">
        <f>IF($I7837=0,0,$J7837*$H7837/100/12)</f>
      </c>
      <c r="M7837" s="43">
        <f>IF($I7837=0,0,IF(OR(INDEX(DarlOhneTilgung,17)=1,AND(INDEX(DarlTilgStart,17)&gt;0,$E7837&lt;INDEX(DarlTilgStart,17))),0,MIN(MAX(0,$K7837-$L7837),$J7837)))</f>
      </c>
      <c r="N7837" s="43">
        <f>IF($I7837=0,0,MIN(SUMIFS(SondBetrag,SondDarl,17,SondDatum,"&gt;="&amp;$E7837,SondDatum,"&lt;="&amp;EOMONTH($E7837,0)),$J7837-$M7837))</f>
      </c>
      <c r="O7837" s="43">
        <f>IF($I7837=0,0,INDEX(DarlErsatzRate,17))</f>
      </c>
      <c r="P7837" s="43">
        <f>IF($I7837=0,0,$Q7836*INDEX(DarlErsatzZins,17))</f>
      </c>
      <c r="Q7837" s="43">
        <f>IF($I7837=0,0,$Q7836+$P7837+$O7837)</f>
      </c>
      <c r="R7837" s="43">
        <f>IF($I7837=0,0,$J7837-$M7837-$N7837)</f>
      </c>
    </row>
    <row r="7838">
      <c r="A7838"/>
      <c r="B7838">
        <v>17</v>
      </c>
      <c r="C7838" s="43">
        <f>INDEX(DarlObj,17)</f>
      </c>
      <c r="D7838">
        <v>155</v>
      </c>
      <c r="E7838" s="51">
        <f>IF(INDEX(DarlBelegt,17)=0,0,EOMONTH(INDEX(DarlAuszahlung,17),154)+1)</f>
      </c>
      <c r="F7838" s="43">
        <f>IF($E7838=0,0,YEAR($E7838))</f>
      </c>
      <c r="G7838" s="43">
        <f>IF(INDEX(DarlBindung,17)="",1,IF($E7838&lt;=INDEX(DarlBindung,17),1,0))</f>
      </c>
      <c r="H7838" s="43">
        <f>IF($G7838=1,INDEX(DarlSollzins,17),INDEX(DarlAnschluss,17))</f>
      </c>
      <c r="I7838" s="43">
        <f>IF(INDEX(DarlBelegt,17)=0,0,IF(INDEX(DarlOhneTilgung,17)=1,IF(INDEX(DarlBindung,17)="",1,$G7838),IF($J7838&gt;0.005,1,0)))</f>
      </c>
      <c r="J7838" s="43">
        <f>IF($I7837=0,0,$R7837)</f>
      </c>
      <c r="K7838" s="43">
        <f>IF($I7838=0,0,IF(INDEX(DarlOhneTilgung,17)=1,0,IF(AND(INDEX(DarlTilgStart,17)&gt;0,$E7838=INDEX(DarlTilgStart,17)),$J7838*($H7838+INDEX(DarlTilgung,17))/100/12,IF(AND($G7838=0,$G7837=1),MAX($K7837,$J7838*($H7838+1)/100/12),$K7837))))</f>
      </c>
      <c r="L7838" s="43">
        <f>IF($I7838=0,0,$J7838*$H7838/100/12)</f>
      </c>
      <c r="M7838" s="43">
        <f>IF($I7838=0,0,IF(OR(INDEX(DarlOhneTilgung,17)=1,AND(INDEX(DarlTilgStart,17)&gt;0,$E7838&lt;INDEX(DarlTilgStart,17))),0,MIN(MAX(0,$K7838-$L7838),$J7838)))</f>
      </c>
      <c r="N7838" s="43">
        <f>IF($I7838=0,0,MIN(SUMIFS(SondBetrag,SondDarl,17,SondDatum,"&gt;="&amp;$E7838,SondDatum,"&lt;="&amp;EOMONTH($E7838,0)),$J7838-$M7838))</f>
      </c>
      <c r="O7838" s="43">
        <f>IF($I7838=0,0,INDEX(DarlErsatzRate,17))</f>
      </c>
      <c r="P7838" s="43">
        <f>IF($I7838=0,0,$Q7837*INDEX(DarlErsatzZins,17))</f>
      </c>
      <c r="Q7838" s="43">
        <f>IF($I7838=0,0,$Q7837+$P7838+$O7838)</f>
      </c>
      <c r="R7838" s="43">
        <f>IF($I7838=0,0,$J7838-$M7838-$N7838)</f>
      </c>
    </row>
    <row r="7839">
      <c r="A7839"/>
      <c r="B7839">
        <v>17</v>
      </c>
      <c r="C7839" s="43">
        <f>INDEX(DarlObj,17)</f>
      </c>
      <c r="D7839">
        <v>156</v>
      </c>
      <c r="E7839" s="51">
        <f>IF(INDEX(DarlBelegt,17)=0,0,EOMONTH(INDEX(DarlAuszahlung,17),155)+1)</f>
      </c>
      <c r="F7839" s="43">
        <f>IF($E7839=0,0,YEAR($E7839))</f>
      </c>
      <c r="G7839" s="43">
        <f>IF(INDEX(DarlBindung,17)="",1,IF($E7839&lt;=INDEX(DarlBindung,17),1,0))</f>
      </c>
      <c r="H7839" s="43">
        <f>IF($G7839=1,INDEX(DarlSollzins,17),INDEX(DarlAnschluss,17))</f>
      </c>
      <c r="I7839" s="43">
        <f>IF(INDEX(DarlBelegt,17)=0,0,IF(INDEX(DarlOhneTilgung,17)=1,IF(INDEX(DarlBindung,17)="",1,$G7839),IF($J7839&gt;0.005,1,0)))</f>
      </c>
      <c r="J7839" s="43">
        <f>IF($I7838=0,0,$R7838)</f>
      </c>
      <c r="K7839" s="43">
        <f>IF($I7839=0,0,IF(INDEX(DarlOhneTilgung,17)=1,0,IF(AND(INDEX(DarlTilgStart,17)&gt;0,$E7839=INDEX(DarlTilgStart,17)),$J7839*($H7839+INDEX(DarlTilgung,17))/100/12,IF(AND($G7839=0,$G7838=1),MAX($K7838,$J7839*($H7839+1)/100/12),$K7838))))</f>
      </c>
      <c r="L7839" s="43">
        <f>IF($I7839=0,0,$J7839*$H7839/100/12)</f>
      </c>
      <c r="M7839" s="43">
        <f>IF($I7839=0,0,IF(OR(INDEX(DarlOhneTilgung,17)=1,AND(INDEX(DarlTilgStart,17)&gt;0,$E7839&lt;INDEX(DarlTilgStart,17))),0,MIN(MAX(0,$K7839-$L7839),$J7839)))</f>
      </c>
      <c r="N7839" s="43">
        <f>IF($I7839=0,0,MIN(SUMIFS(SondBetrag,SondDarl,17,SondDatum,"&gt;="&amp;$E7839,SondDatum,"&lt;="&amp;EOMONTH($E7839,0)),$J7839-$M7839))</f>
      </c>
      <c r="O7839" s="43">
        <f>IF($I7839=0,0,INDEX(DarlErsatzRate,17))</f>
      </c>
      <c r="P7839" s="43">
        <f>IF($I7839=0,0,$Q7838*INDEX(DarlErsatzZins,17))</f>
      </c>
      <c r="Q7839" s="43">
        <f>IF($I7839=0,0,$Q7838+$P7839+$O7839)</f>
      </c>
      <c r="R7839" s="43">
        <f>IF($I7839=0,0,$J7839-$M7839-$N7839)</f>
      </c>
    </row>
    <row r="7840">
      <c r="A7840"/>
      <c r="B7840">
        <v>17</v>
      </c>
      <c r="C7840" s="43">
        <f>INDEX(DarlObj,17)</f>
      </c>
      <c r="D7840">
        <v>157</v>
      </c>
      <c r="E7840" s="51">
        <f>IF(INDEX(DarlBelegt,17)=0,0,EOMONTH(INDEX(DarlAuszahlung,17),156)+1)</f>
      </c>
      <c r="F7840" s="43">
        <f>IF($E7840=0,0,YEAR($E7840))</f>
      </c>
      <c r="G7840" s="43">
        <f>IF(INDEX(DarlBindung,17)="",1,IF($E7840&lt;=INDEX(DarlBindung,17),1,0))</f>
      </c>
      <c r="H7840" s="43">
        <f>IF($G7840=1,INDEX(DarlSollzins,17),INDEX(DarlAnschluss,17))</f>
      </c>
      <c r="I7840" s="43">
        <f>IF(INDEX(DarlBelegt,17)=0,0,IF(INDEX(DarlOhneTilgung,17)=1,IF(INDEX(DarlBindung,17)="",1,$G7840),IF($J7840&gt;0.005,1,0)))</f>
      </c>
      <c r="J7840" s="43">
        <f>IF($I7839=0,0,$R7839)</f>
      </c>
      <c r="K7840" s="43">
        <f>IF($I7840=0,0,IF(INDEX(DarlOhneTilgung,17)=1,0,IF(AND(INDEX(DarlTilgStart,17)&gt;0,$E7840=INDEX(DarlTilgStart,17)),$J7840*($H7840+INDEX(DarlTilgung,17))/100/12,IF(AND($G7840=0,$G7839=1),MAX($K7839,$J7840*($H7840+1)/100/12),$K7839))))</f>
      </c>
      <c r="L7840" s="43">
        <f>IF($I7840=0,0,$J7840*$H7840/100/12)</f>
      </c>
      <c r="M7840" s="43">
        <f>IF($I7840=0,0,IF(OR(INDEX(DarlOhneTilgung,17)=1,AND(INDEX(DarlTilgStart,17)&gt;0,$E7840&lt;INDEX(DarlTilgStart,17))),0,MIN(MAX(0,$K7840-$L7840),$J7840)))</f>
      </c>
      <c r="N7840" s="43">
        <f>IF($I7840=0,0,MIN(SUMIFS(SondBetrag,SondDarl,17,SondDatum,"&gt;="&amp;$E7840,SondDatum,"&lt;="&amp;EOMONTH($E7840,0)),$J7840-$M7840))</f>
      </c>
      <c r="O7840" s="43">
        <f>IF($I7840=0,0,INDEX(DarlErsatzRate,17))</f>
      </c>
      <c r="P7840" s="43">
        <f>IF($I7840=0,0,$Q7839*INDEX(DarlErsatzZins,17))</f>
      </c>
      <c r="Q7840" s="43">
        <f>IF($I7840=0,0,$Q7839+$P7840+$O7840)</f>
      </c>
      <c r="R7840" s="43">
        <f>IF($I7840=0,0,$J7840-$M7840-$N7840)</f>
      </c>
    </row>
    <row r="7841">
      <c r="A7841"/>
      <c r="B7841">
        <v>17</v>
      </c>
      <c r="C7841" s="43">
        <f>INDEX(DarlObj,17)</f>
      </c>
      <c r="D7841">
        <v>158</v>
      </c>
      <c r="E7841" s="51">
        <f>IF(INDEX(DarlBelegt,17)=0,0,EOMONTH(INDEX(DarlAuszahlung,17),157)+1)</f>
      </c>
      <c r="F7841" s="43">
        <f>IF($E7841=0,0,YEAR($E7841))</f>
      </c>
      <c r="G7841" s="43">
        <f>IF(INDEX(DarlBindung,17)="",1,IF($E7841&lt;=INDEX(DarlBindung,17),1,0))</f>
      </c>
      <c r="H7841" s="43">
        <f>IF($G7841=1,INDEX(DarlSollzins,17),INDEX(DarlAnschluss,17))</f>
      </c>
      <c r="I7841" s="43">
        <f>IF(INDEX(DarlBelegt,17)=0,0,IF(INDEX(DarlOhneTilgung,17)=1,IF(INDEX(DarlBindung,17)="",1,$G7841),IF($J7841&gt;0.005,1,0)))</f>
      </c>
      <c r="J7841" s="43">
        <f>IF($I7840=0,0,$R7840)</f>
      </c>
      <c r="K7841" s="43">
        <f>IF($I7841=0,0,IF(INDEX(DarlOhneTilgung,17)=1,0,IF(AND(INDEX(DarlTilgStart,17)&gt;0,$E7841=INDEX(DarlTilgStart,17)),$J7841*($H7841+INDEX(DarlTilgung,17))/100/12,IF(AND($G7841=0,$G7840=1),MAX($K7840,$J7841*($H7841+1)/100/12),$K7840))))</f>
      </c>
      <c r="L7841" s="43">
        <f>IF($I7841=0,0,$J7841*$H7841/100/12)</f>
      </c>
      <c r="M7841" s="43">
        <f>IF($I7841=0,0,IF(OR(INDEX(DarlOhneTilgung,17)=1,AND(INDEX(DarlTilgStart,17)&gt;0,$E7841&lt;INDEX(DarlTilgStart,17))),0,MIN(MAX(0,$K7841-$L7841),$J7841)))</f>
      </c>
      <c r="N7841" s="43">
        <f>IF($I7841=0,0,MIN(SUMIFS(SondBetrag,SondDarl,17,SondDatum,"&gt;="&amp;$E7841,SondDatum,"&lt;="&amp;EOMONTH($E7841,0)),$J7841-$M7841))</f>
      </c>
      <c r="O7841" s="43">
        <f>IF($I7841=0,0,INDEX(DarlErsatzRate,17))</f>
      </c>
      <c r="P7841" s="43">
        <f>IF($I7841=0,0,$Q7840*INDEX(DarlErsatzZins,17))</f>
      </c>
      <c r="Q7841" s="43">
        <f>IF($I7841=0,0,$Q7840+$P7841+$O7841)</f>
      </c>
      <c r="R7841" s="43">
        <f>IF($I7841=0,0,$J7841-$M7841-$N7841)</f>
      </c>
    </row>
    <row r="7842">
      <c r="A7842"/>
      <c r="B7842">
        <v>17</v>
      </c>
      <c r="C7842" s="43">
        <f>INDEX(DarlObj,17)</f>
      </c>
      <c r="D7842">
        <v>159</v>
      </c>
      <c r="E7842" s="51">
        <f>IF(INDEX(DarlBelegt,17)=0,0,EOMONTH(INDEX(DarlAuszahlung,17),158)+1)</f>
      </c>
      <c r="F7842" s="43">
        <f>IF($E7842=0,0,YEAR($E7842))</f>
      </c>
      <c r="G7842" s="43">
        <f>IF(INDEX(DarlBindung,17)="",1,IF($E7842&lt;=INDEX(DarlBindung,17),1,0))</f>
      </c>
      <c r="H7842" s="43">
        <f>IF($G7842=1,INDEX(DarlSollzins,17),INDEX(DarlAnschluss,17))</f>
      </c>
      <c r="I7842" s="43">
        <f>IF(INDEX(DarlBelegt,17)=0,0,IF(INDEX(DarlOhneTilgung,17)=1,IF(INDEX(DarlBindung,17)="",1,$G7842),IF($J7842&gt;0.005,1,0)))</f>
      </c>
      <c r="J7842" s="43">
        <f>IF($I7841=0,0,$R7841)</f>
      </c>
      <c r="K7842" s="43">
        <f>IF($I7842=0,0,IF(INDEX(DarlOhneTilgung,17)=1,0,IF(AND(INDEX(DarlTilgStart,17)&gt;0,$E7842=INDEX(DarlTilgStart,17)),$J7842*($H7842+INDEX(DarlTilgung,17))/100/12,IF(AND($G7842=0,$G7841=1),MAX($K7841,$J7842*($H7842+1)/100/12),$K7841))))</f>
      </c>
      <c r="L7842" s="43">
        <f>IF($I7842=0,0,$J7842*$H7842/100/12)</f>
      </c>
      <c r="M7842" s="43">
        <f>IF($I7842=0,0,IF(OR(INDEX(DarlOhneTilgung,17)=1,AND(INDEX(DarlTilgStart,17)&gt;0,$E7842&lt;INDEX(DarlTilgStart,17))),0,MIN(MAX(0,$K7842-$L7842),$J7842)))</f>
      </c>
      <c r="N7842" s="43">
        <f>IF($I7842=0,0,MIN(SUMIFS(SondBetrag,SondDarl,17,SondDatum,"&gt;="&amp;$E7842,SondDatum,"&lt;="&amp;EOMONTH($E7842,0)),$J7842-$M7842))</f>
      </c>
      <c r="O7842" s="43">
        <f>IF($I7842=0,0,INDEX(DarlErsatzRate,17))</f>
      </c>
      <c r="P7842" s="43">
        <f>IF($I7842=0,0,$Q7841*INDEX(DarlErsatzZins,17))</f>
      </c>
      <c r="Q7842" s="43">
        <f>IF($I7842=0,0,$Q7841+$P7842+$O7842)</f>
      </c>
      <c r="R7842" s="43">
        <f>IF($I7842=0,0,$J7842-$M7842-$N7842)</f>
      </c>
    </row>
    <row r="7843">
      <c r="A7843"/>
      <c r="B7843">
        <v>17</v>
      </c>
      <c r="C7843" s="43">
        <f>INDEX(DarlObj,17)</f>
      </c>
      <c r="D7843">
        <v>160</v>
      </c>
      <c r="E7843" s="51">
        <f>IF(INDEX(DarlBelegt,17)=0,0,EOMONTH(INDEX(DarlAuszahlung,17),159)+1)</f>
      </c>
      <c r="F7843" s="43">
        <f>IF($E7843=0,0,YEAR($E7843))</f>
      </c>
      <c r="G7843" s="43">
        <f>IF(INDEX(DarlBindung,17)="",1,IF($E7843&lt;=INDEX(DarlBindung,17),1,0))</f>
      </c>
      <c r="H7843" s="43">
        <f>IF($G7843=1,INDEX(DarlSollzins,17),INDEX(DarlAnschluss,17))</f>
      </c>
      <c r="I7843" s="43">
        <f>IF(INDEX(DarlBelegt,17)=0,0,IF(INDEX(DarlOhneTilgung,17)=1,IF(INDEX(DarlBindung,17)="",1,$G7843),IF($J7843&gt;0.005,1,0)))</f>
      </c>
      <c r="J7843" s="43">
        <f>IF($I7842=0,0,$R7842)</f>
      </c>
      <c r="K7843" s="43">
        <f>IF($I7843=0,0,IF(INDEX(DarlOhneTilgung,17)=1,0,IF(AND(INDEX(DarlTilgStart,17)&gt;0,$E7843=INDEX(DarlTilgStart,17)),$J7843*($H7843+INDEX(DarlTilgung,17))/100/12,IF(AND($G7843=0,$G7842=1),MAX($K7842,$J7843*($H7843+1)/100/12),$K7842))))</f>
      </c>
      <c r="L7843" s="43">
        <f>IF($I7843=0,0,$J7843*$H7843/100/12)</f>
      </c>
      <c r="M7843" s="43">
        <f>IF($I7843=0,0,IF(OR(INDEX(DarlOhneTilgung,17)=1,AND(INDEX(DarlTilgStart,17)&gt;0,$E7843&lt;INDEX(DarlTilgStart,17))),0,MIN(MAX(0,$K7843-$L7843),$J7843)))</f>
      </c>
      <c r="N7843" s="43">
        <f>IF($I7843=0,0,MIN(SUMIFS(SondBetrag,SondDarl,17,SondDatum,"&gt;="&amp;$E7843,SondDatum,"&lt;="&amp;EOMONTH($E7843,0)),$J7843-$M7843))</f>
      </c>
      <c r="O7843" s="43">
        <f>IF($I7843=0,0,INDEX(DarlErsatzRate,17))</f>
      </c>
      <c r="P7843" s="43">
        <f>IF($I7843=0,0,$Q7842*INDEX(DarlErsatzZins,17))</f>
      </c>
      <c r="Q7843" s="43">
        <f>IF($I7843=0,0,$Q7842+$P7843+$O7843)</f>
      </c>
      <c r="R7843" s="43">
        <f>IF($I7843=0,0,$J7843-$M7843-$N7843)</f>
      </c>
    </row>
    <row r="7844">
      <c r="A7844"/>
      <c r="B7844">
        <v>17</v>
      </c>
      <c r="C7844" s="43">
        <f>INDEX(DarlObj,17)</f>
      </c>
      <c r="D7844">
        <v>161</v>
      </c>
      <c r="E7844" s="51">
        <f>IF(INDEX(DarlBelegt,17)=0,0,EOMONTH(INDEX(DarlAuszahlung,17),160)+1)</f>
      </c>
      <c r="F7844" s="43">
        <f>IF($E7844=0,0,YEAR($E7844))</f>
      </c>
      <c r="G7844" s="43">
        <f>IF(INDEX(DarlBindung,17)="",1,IF($E7844&lt;=INDEX(DarlBindung,17),1,0))</f>
      </c>
      <c r="H7844" s="43">
        <f>IF($G7844=1,INDEX(DarlSollzins,17),INDEX(DarlAnschluss,17))</f>
      </c>
      <c r="I7844" s="43">
        <f>IF(INDEX(DarlBelegt,17)=0,0,IF(INDEX(DarlOhneTilgung,17)=1,IF(INDEX(DarlBindung,17)="",1,$G7844),IF($J7844&gt;0.005,1,0)))</f>
      </c>
      <c r="J7844" s="43">
        <f>IF($I7843=0,0,$R7843)</f>
      </c>
      <c r="K7844" s="43">
        <f>IF($I7844=0,0,IF(INDEX(DarlOhneTilgung,17)=1,0,IF(AND(INDEX(DarlTilgStart,17)&gt;0,$E7844=INDEX(DarlTilgStart,17)),$J7844*($H7844+INDEX(DarlTilgung,17))/100/12,IF(AND($G7844=0,$G7843=1),MAX($K7843,$J7844*($H7844+1)/100/12),$K7843))))</f>
      </c>
      <c r="L7844" s="43">
        <f>IF($I7844=0,0,$J7844*$H7844/100/12)</f>
      </c>
      <c r="M7844" s="43">
        <f>IF($I7844=0,0,IF(OR(INDEX(DarlOhneTilgung,17)=1,AND(INDEX(DarlTilgStart,17)&gt;0,$E7844&lt;INDEX(DarlTilgStart,17))),0,MIN(MAX(0,$K7844-$L7844),$J7844)))</f>
      </c>
      <c r="N7844" s="43">
        <f>IF($I7844=0,0,MIN(SUMIFS(SondBetrag,SondDarl,17,SondDatum,"&gt;="&amp;$E7844,SondDatum,"&lt;="&amp;EOMONTH($E7844,0)),$J7844-$M7844))</f>
      </c>
      <c r="O7844" s="43">
        <f>IF($I7844=0,0,INDEX(DarlErsatzRate,17))</f>
      </c>
      <c r="P7844" s="43">
        <f>IF($I7844=0,0,$Q7843*INDEX(DarlErsatzZins,17))</f>
      </c>
      <c r="Q7844" s="43">
        <f>IF($I7844=0,0,$Q7843+$P7844+$O7844)</f>
      </c>
      <c r="R7844" s="43">
        <f>IF($I7844=0,0,$J7844-$M7844-$N7844)</f>
      </c>
    </row>
    <row r="7845">
      <c r="A7845"/>
      <c r="B7845">
        <v>17</v>
      </c>
      <c r="C7845" s="43">
        <f>INDEX(DarlObj,17)</f>
      </c>
      <c r="D7845">
        <v>162</v>
      </c>
      <c r="E7845" s="51">
        <f>IF(INDEX(DarlBelegt,17)=0,0,EOMONTH(INDEX(DarlAuszahlung,17),161)+1)</f>
      </c>
      <c r="F7845" s="43">
        <f>IF($E7845=0,0,YEAR($E7845))</f>
      </c>
      <c r="G7845" s="43">
        <f>IF(INDEX(DarlBindung,17)="",1,IF($E7845&lt;=INDEX(DarlBindung,17),1,0))</f>
      </c>
      <c r="H7845" s="43">
        <f>IF($G7845=1,INDEX(DarlSollzins,17),INDEX(DarlAnschluss,17))</f>
      </c>
      <c r="I7845" s="43">
        <f>IF(INDEX(DarlBelegt,17)=0,0,IF(INDEX(DarlOhneTilgung,17)=1,IF(INDEX(DarlBindung,17)="",1,$G7845),IF($J7845&gt;0.005,1,0)))</f>
      </c>
      <c r="J7845" s="43">
        <f>IF($I7844=0,0,$R7844)</f>
      </c>
      <c r="K7845" s="43">
        <f>IF($I7845=0,0,IF(INDEX(DarlOhneTilgung,17)=1,0,IF(AND(INDEX(DarlTilgStart,17)&gt;0,$E7845=INDEX(DarlTilgStart,17)),$J7845*($H7845+INDEX(DarlTilgung,17))/100/12,IF(AND($G7845=0,$G7844=1),MAX($K7844,$J7845*($H7845+1)/100/12),$K7844))))</f>
      </c>
      <c r="L7845" s="43">
        <f>IF($I7845=0,0,$J7845*$H7845/100/12)</f>
      </c>
      <c r="M7845" s="43">
        <f>IF($I7845=0,0,IF(OR(INDEX(DarlOhneTilgung,17)=1,AND(INDEX(DarlTilgStart,17)&gt;0,$E7845&lt;INDEX(DarlTilgStart,17))),0,MIN(MAX(0,$K7845-$L7845),$J7845)))</f>
      </c>
      <c r="N7845" s="43">
        <f>IF($I7845=0,0,MIN(SUMIFS(SondBetrag,SondDarl,17,SondDatum,"&gt;="&amp;$E7845,SondDatum,"&lt;="&amp;EOMONTH($E7845,0)),$J7845-$M7845))</f>
      </c>
      <c r="O7845" s="43">
        <f>IF($I7845=0,0,INDEX(DarlErsatzRate,17))</f>
      </c>
      <c r="P7845" s="43">
        <f>IF($I7845=0,0,$Q7844*INDEX(DarlErsatzZins,17))</f>
      </c>
      <c r="Q7845" s="43">
        <f>IF($I7845=0,0,$Q7844+$P7845+$O7845)</f>
      </c>
      <c r="R7845" s="43">
        <f>IF($I7845=0,0,$J7845-$M7845-$N7845)</f>
      </c>
    </row>
    <row r="7846">
      <c r="A7846"/>
      <c r="B7846">
        <v>17</v>
      </c>
      <c r="C7846" s="43">
        <f>INDEX(DarlObj,17)</f>
      </c>
      <c r="D7846">
        <v>163</v>
      </c>
      <c r="E7846" s="51">
        <f>IF(INDEX(DarlBelegt,17)=0,0,EOMONTH(INDEX(DarlAuszahlung,17),162)+1)</f>
      </c>
      <c r="F7846" s="43">
        <f>IF($E7846=0,0,YEAR($E7846))</f>
      </c>
      <c r="G7846" s="43">
        <f>IF(INDEX(DarlBindung,17)="",1,IF($E7846&lt;=INDEX(DarlBindung,17),1,0))</f>
      </c>
      <c r="H7846" s="43">
        <f>IF($G7846=1,INDEX(DarlSollzins,17),INDEX(DarlAnschluss,17))</f>
      </c>
      <c r="I7846" s="43">
        <f>IF(INDEX(DarlBelegt,17)=0,0,IF(INDEX(DarlOhneTilgung,17)=1,IF(INDEX(DarlBindung,17)="",1,$G7846),IF($J7846&gt;0.005,1,0)))</f>
      </c>
      <c r="J7846" s="43">
        <f>IF($I7845=0,0,$R7845)</f>
      </c>
      <c r="K7846" s="43">
        <f>IF($I7846=0,0,IF(INDEX(DarlOhneTilgung,17)=1,0,IF(AND(INDEX(DarlTilgStart,17)&gt;0,$E7846=INDEX(DarlTilgStart,17)),$J7846*($H7846+INDEX(DarlTilgung,17))/100/12,IF(AND($G7846=0,$G7845=1),MAX($K7845,$J7846*($H7846+1)/100/12),$K7845))))</f>
      </c>
      <c r="L7846" s="43">
        <f>IF($I7846=0,0,$J7846*$H7846/100/12)</f>
      </c>
      <c r="M7846" s="43">
        <f>IF($I7846=0,0,IF(OR(INDEX(DarlOhneTilgung,17)=1,AND(INDEX(DarlTilgStart,17)&gt;0,$E7846&lt;INDEX(DarlTilgStart,17))),0,MIN(MAX(0,$K7846-$L7846),$J7846)))</f>
      </c>
      <c r="N7846" s="43">
        <f>IF($I7846=0,0,MIN(SUMIFS(SondBetrag,SondDarl,17,SondDatum,"&gt;="&amp;$E7846,SondDatum,"&lt;="&amp;EOMONTH($E7846,0)),$J7846-$M7846))</f>
      </c>
      <c r="O7846" s="43">
        <f>IF($I7846=0,0,INDEX(DarlErsatzRate,17))</f>
      </c>
      <c r="P7846" s="43">
        <f>IF($I7846=0,0,$Q7845*INDEX(DarlErsatzZins,17))</f>
      </c>
      <c r="Q7846" s="43">
        <f>IF($I7846=0,0,$Q7845+$P7846+$O7846)</f>
      </c>
      <c r="R7846" s="43">
        <f>IF($I7846=0,0,$J7846-$M7846-$N7846)</f>
      </c>
    </row>
    <row r="7847">
      <c r="A7847"/>
      <c r="B7847">
        <v>17</v>
      </c>
      <c r="C7847" s="43">
        <f>INDEX(DarlObj,17)</f>
      </c>
      <c r="D7847">
        <v>164</v>
      </c>
      <c r="E7847" s="51">
        <f>IF(INDEX(DarlBelegt,17)=0,0,EOMONTH(INDEX(DarlAuszahlung,17),163)+1)</f>
      </c>
      <c r="F7847" s="43">
        <f>IF($E7847=0,0,YEAR($E7847))</f>
      </c>
      <c r="G7847" s="43">
        <f>IF(INDEX(DarlBindung,17)="",1,IF($E7847&lt;=INDEX(DarlBindung,17),1,0))</f>
      </c>
      <c r="H7847" s="43">
        <f>IF($G7847=1,INDEX(DarlSollzins,17),INDEX(DarlAnschluss,17))</f>
      </c>
      <c r="I7847" s="43">
        <f>IF(INDEX(DarlBelegt,17)=0,0,IF(INDEX(DarlOhneTilgung,17)=1,IF(INDEX(DarlBindung,17)="",1,$G7847),IF($J7847&gt;0.005,1,0)))</f>
      </c>
      <c r="J7847" s="43">
        <f>IF($I7846=0,0,$R7846)</f>
      </c>
      <c r="K7847" s="43">
        <f>IF($I7847=0,0,IF(INDEX(DarlOhneTilgung,17)=1,0,IF(AND(INDEX(DarlTilgStart,17)&gt;0,$E7847=INDEX(DarlTilgStart,17)),$J7847*($H7847+INDEX(DarlTilgung,17))/100/12,IF(AND($G7847=0,$G7846=1),MAX($K7846,$J7847*($H7847+1)/100/12),$K7846))))</f>
      </c>
      <c r="L7847" s="43">
        <f>IF($I7847=0,0,$J7847*$H7847/100/12)</f>
      </c>
      <c r="M7847" s="43">
        <f>IF($I7847=0,0,IF(OR(INDEX(DarlOhneTilgung,17)=1,AND(INDEX(DarlTilgStart,17)&gt;0,$E7847&lt;INDEX(DarlTilgStart,17))),0,MIN(MAX(0,$K7847-$L7847),$J7847)))</f>
      </c>
      <c r="N7847" s="43">
        <f>IF($I7847=0,0,MIN(SUMIFS(SondBetrag,SondDarl,17,SondDatum,"&gt;="&amp;$E7847,SondDatum,"&lt;="&amp;EOMONTH($E7847,0)),$J7847-$M7847))</f>
      </c>
      <c r="O7847" s="43">
        <f>IF($I7847=0,0,INDEX(DarlErsatzRate,17))</f>
      </c>
      <c r="P7847" s="43">
        <f>IF($I7847=0,0,$Q7846*INDEX(DarlErsatzZins,17))</f>
      </c>
      <c r="Q7847" s="43">
        <f>IF($I7847=0,0,$Q7846+$P7847+$O7847)</f>
      </c>
      <c r="R7847" s="43">
        <f>IF($I7847=0,0,$J7847-$M7847-$N7847)</f>
      </c>
    </row>
    <row r="7848">
      <c r="A7848"/>
      <c r="B7848">
        <v>17</v>
      </c>
      <c r="C7848" s="43">
        <f>INDEX(DarlObj,17)</f>
      </c>
      <c r="D7848">
        <v>165</v>
      </c>
      <c r="E7848" s="51">
        <f>IF(INDEX(DarlBelegt,17)=0,0,EOMONTH(INDEX(DarlAuszahlung,17),164)+1)</f>
      </c>
      <c r="F7848" s="43">
        <f>IF($E7848=0,0,YEAR($E7848))</f>
      </c>
      <c r="G7848" s="43">
        <f>IF(INDEX(DarlBindung,17)="",1,IF($E7848&lt;=INDEX(DarlBindung,17),1,0))</f>
      </c>
      <c r="H7848" s="43">
        <f>IF($G7848=1,INDEX(DarlSollzins,17),INDEX(DarlAnschluss,17))</f>
      </c>
      <c r="I7848" s="43">
        <f>IF(INDEX(DarlBelegt,17)=0,0,IF(INDEX(DarlOhneTilgung,17)=1,IF(INDEX(DarlBindung,17)="",1,$G7848),IF($J7848&gt;0.005,1,0)))</f>
      </c>
      <c r="J7848" s="43">
        <f>IF($I7847=0,0,$R7847)</f>
      </c>
      <c r="K7848" s="43">
        <f>IF($I7848=0,0,IF(INDEX(DarlOhneTilgung,17)=1,0,IF(AND(INDEX(DarlTilgStart,17)&gt;0,$E7848=INDEX(DarlTilgStart,17)),$J7848*($H7848+INDEX(DarlTilgung,17))/100/12,IF(AND($G7848=0,$G7847=1),MAX($K7847,$J7848*($H7848+1)/100/12),$K7847))))</f>
      </c>
      <c r="L7848" s="43">
        <f>IF($I7848=0,0,$J7848*$H7848/100/12)</f>
      </c>
      <c r="M7848" s="43">
        <f>IF($I7848=0,0,IF(OR(INDEX(DarlOhneTilgung,17)=1,AND(INDEX(DarlTilgStart,17)&gt;0,$E7848&lt;INDEX(DarlTilgStart,17))),0,MIN(MAX(0,$K7848-$L7848),$J7848)))</f>
      </c>
      <c r="N7848" s="43">
        <f>IF($I7848=0,0,MIN(SUMIFS(SondBetrag,SondDarl,17,SondDatum,"&gt;="&amp;$E7848,SondDatum,"&lt;="&amp;EOMONTH($E7848,0)),$J7848-$M7848))</f>
      </c>
      <c r="O7848" s="43">
        <f>IF($I7848=0,0,INDEX(DarlErsatzRate,17))</f>
      </c>
      <c r="P7848" s="43">
        <f>IF($I7848=0,0,$Q7847*INDEX(DarlErsatzZins,17))</f>
      </c>
      <c r="Q7848" s="43">
        <f>IF($I7848=0,0,$Q7847+$P7848+$O7848)</f>
      </c>
      <c r="R7848" s="43">
        <f>IF($I7848=0,0,$J7848-$M7848-$N7848)</f>
      </c>
    </row>
    <row r="7849">
      <c r="A7849"/>
      <c r="B7849">
        <v>17</v>
      </c>
      <c r="C7849" s="43">
        <f>INDEX(DarlObj,17)</f>
      </c>
      <c r="D7849">
        <v>166</v>
      </c>
      <c r="E7849" s="51">
        <f>IF(INDEX(DarlBelegt,17)=0,0,EOMONTH(INDEX(DarlAuszahlung,17),165)+1)</f>
      </c>
      <c r="F7849" s="43">
        <f>IF($E7849=0,0,YEAR($E7849))</f>
      </c>
      <c r="G7849" s="43">
        <f>IF(INDEX(DarlBindung,17)="",1,IF($E7849&lt;=INDEX(DarlBindung,17),1,0))</f>
      </c>
      <c r="H7849" s="43">
        <f>IF($G7849=1,INDEX(DarlSollzins,17),INDEX(DarlAnschluss,17))</f>
      </c>
      <c r="I7849" s="43">
        <f>IF(INDEX(DarlBelegt,17)=0,0,IF(INDEX(DarlOhneTilgung,17)=1,IF(INDEX(DarlBindung,17)="",1,$G7849),IF($J7849&gt;0.005,1,0)))</f>
      </c>
      <c r="J7849" s="43">
        <f>IF($I7848=0,0,$R7848)</f>
      </c>
      <c r="K7849" s="43">
        <f>IF($I7849=0,0,IF(INDEX(DarlOhneTilgung,17)=1,0,IF(AND(INDEX(DarlTilgStart,17)&gt;0,$E7849=INDEX(DarlTilgStart,17)),$J7849*($H7849+INDEX(DarlTilgung,17))/100/12,IF(AND($G7849=0,$G7848=1),MAX($K7848,$J7849*($H7849+1)/100/12),$K7848))))</f>
      </c>
      <c r="L7849" s="43">
        <f>IF($I7849=0,0,$J7849*$H7849/100/12)</f>
      </c>
      <c r="M7849" s="43">
        <f>IF($I7849=0,0,IF(OR(INDEX(DarlOhneTilgung,17)=1,AND(INDEX(DarlTilgStart,17)&gt;0,$E7849&lt;INDEX(DarlTilgStart,17))),0,MIN(MAX(0,$K7849-$L7849),$J7849)))</f>
      </c>
      <c r="N7849" s="43">
        <f>IF($I7849=0,0,MIN(SUMIFS(SondBetrag,SondDarl,17,SondDatum,"&gt;="&amp;$E7849,SondDatum,"&lt;="&amp;EOMONTH($E7849,0)),$J7849-$M7849))</f>
      </c>
      <c r="O7849" s="43">
        <f>IF($I7849=0,0,INDEX(DarlErsatzRate,17))</f>
      </c>
      <c r="P7849" s="43">
        <f>IF($I7849=0,0,$Q7848*INDEX(DarlErsatzZins,17))</f>
      </c>
      <c r="Q7849" s="43">
        <f>IF($I7849=0,0,$Q7848+$P7849+$O7849)</f>
      </c>
      <c r="R7849" s="43">
        <f>IF($I7849=0,0,$J7849-$M7849-$N7849)</f>
      </c>
    </row>
    <row r="7850">
      <c r="A7850"/>
      <c r="B7850">
        <v>17</v>
      </c>
      <c r="C7850" s="43">
        <f>INDEX(DarlObj,17)</f>
      </c>
      <c r="D7850">
        <v>167</v>
      </c>
      <c r="E7850" s="51">
        <f>IF(INDEX(DarlBelegt,17)=0,0,EOMONTH(INDEX(DarlAuszahlung,17),166)+1)</f>
      </c>
      <c r="F7850" s="43">
        <f>IF($E7850=0,0,YEAR($E7850))</f>
      </c>
      <c r="G7850" s="43">
        <f>IF(INDEX(DarlBindung,17)="",1,IF($E7850&lt;=INDEX(DarlBindung,17),1,0))</f>
      </c>
      <c r="H7850" s="43">
        <f>IF($G7850=1,INDEX(DarlSollzins,17),INDEX(DarlAnschluss,17))</f>
      </c>
      <c r="I7850" s="43">
        <f>IF(INDEX(DarlBelegt,17)=0,0,IF(INDEX(DarlOhneTilgung,17)=1,IF(INDEX(DarlBindung,17)="",1,$G7850),IF($J7850&gt;0.005,1,0)))</f>
      </c>
      <c r="J7850" s="43">
        <f>IF($I7849=0,0,$R7849)</f>
      </c>
      <c r="K7850" s="43">
        <f>IF($I7850=0,0,IF(INDEX(DarlOhneTilgung,17)=1,0,IF(AND(INDEX(DarlTilgStart,17)&gt;0,$E7850=INDEX(DarlTilgStart,17)),$J7850*($H7850+INDEX(DarlTilgung,17))/100/12,IF(AND($G7850=0,$G7849=1),MAX($K7849,$J7850*($H7850+1)/100/12),$K7849))))</f>
      </c>
      <c r="L7850" s="43">
        <f>IF($I7850=0,0,$J7850*$H7850/100/12)</f>
      </c>
      <c r="M7850" s="43">
        <f>IF($I7850=0,0,IF(OR(INDEX(DarlOhneTilgung,17)=1,AND(INDEX(DarlTilgStart,17)&gt;0,$E7850&lt;INDEX(DarlTilgStart,17))),0,MIN(MAX(0,$K7850-$L7850),$J7850)))</f>
      </c>
      <c r="N7850" s="43">
        <f>IF($I7850=0,0,MIN(SUMIFS(SondBetrag,SondDarl,17,SondDatum,"&gt;="&amp;$E7850,SondDatum,"&lt;="&amp;EOMONTH($E7850,0)),$J7850-$M7850))</f>
      </c>
      <c r="O7850" s="43">
        <f>IF($I7850=0,0,INDEX(DarlErsatzRate,17))</f>
      </c>
      <c r="P7850" s="43">
        <f>IF($I7850=0,0,$Q7849*INDEX(DarlErsatzZins,17))</f>
      </c>
      <c r="Q7850" s="43">
        <f>IF($I7850=0,0,$Q7849+$P7850+$O7850)</f>
      </c>
      <c r="R7850" s="43">
        <f>IF($I7850=0,0,$J7850-$M7850-$N7850)</f>
      </c>
    </row>
    <row r="7851">
      <c r="A7851"/>
      <c r="B7851">
        <v>17</v>
      </c>
      <c r="C7851" s="43">
        <f>INDEX(DarlObj,17)</f>
      </c>
      <c r="D7851">
        <v>168</v>
      </c>
      <c r="E7851" s="51">
        <f>IF(INDEX(DarlBelegt,17)=0,0,EOMONTH(INDEX(DarlAuszahlung,17),167)+1)</f>
      </c>
      <c r="F7851" s="43">
        <f>IF($E7851=0,0,YEAR($E7851))</f>
      </c>
      <c r="G7851" s="43">
        <f>IF(INDEX(DarlBindung,17)="",1,IF($E7851&lt;=INDEX(DarlBindung,17),1,0))</f>
      </c>
      <c r="H7851" s="43">
        <f>IF($G7851=1,INDEX(DarlSollzins,17),INDEX(DarlAnschluss,17))</f>
      </c>
      <c r="I7851" s="43">
        <f>IF(INDEX(DarlBelegt,17)=0,0,IF(INDEX(DarlOhneTilgung,17)=1,IF(INDEX(DarlBindung,17)="",1,$G7851),IF($J7851&gt;0.005,1,0)))</f>
      </c>
      <c r="J7851" s="43">
        <f>IF($I7850=0,0,$R7850)</f>
      </c>
      <c r="K7851" s="43">
        <f>IF($I7851=0,0,IF(INDEX(DarlOhneTilgung,17)=1,0,IF(AND(INDEX(DarlTilgStart,17)&gt;0,$E7851=INDEX(DarlTilgStart,17)),$J7851*($H7851+INDEX(DarlTilgung,17))/100/12,IF(AND($G7851=0,$G7850=1),MAX($K7850,$J7851*($H7851+1)/100/12),$K7850))))</f>
      </c>
      <c r="L7851" s="43">
        <f>IF($I7851=0,0,$J7851*$H7851/100/12)</f>
      </c>
      <c r="M7851" s="43">
        <f>IF($I7851=0,0,IF(OR(INDEX(DarlOhneTilgung,17)=1,AND(INDEX(DarlTilgStart,17)&gt;0,$E7851&lt;INDEX(DarlTilgStart,17))),0,MIN(MAX(0,$K7851-$L7851),$J7851)))</f>
      </c>
      <c r="N7851" s="43">
        <f>IF($I7851=0,0,MIN(SUMIFS(SondBetrag,SondDarl,17,SondDatum,"&gt;="&amp;$E7851,SondDatum,"&lt;="&amp;EOMONTH($E7851,0)),$J7851-$M7851))</f>
      </c>
      <c r="O7851" s="43">
        <f>IF($I7851=0,0,INDEX(DarlErsatzRate,17))</f>
      </c>
      <c r="P7851" s="43">
        <f>IF($I7851=0,0,$Q7850*INDEX(DarlErsatzZins,17))</f>
      </c>
      <c r="Q7851" s="43">
        <f>IF($I7851=0,0,$Q7850+$P7851+$O7851)</f>
      </c>
      <c r="R7851" s="43">
        <f>IF($I7851=0,0,$J7851-$M7851-$N7851)</f>
      </c>
    </row>
    <row r="7852">
      <c r="A7852"/>
      <c r="B7852">
        <v>17</v>
      </c>
      <c r="C7852" s="43">
        <f>INDEX(DarlObj,17)</f>
      </c>
      <c r="D7852">
        <v>169</v>
      </c>
      <c r="E7852" s="51">
        <f>IF(INDEX(DarlBelegt,17)=0,0,EOMONTH(INDEX(DarlAuszahlung,17),168)+1)</f>
      </c>
      <c r="F7852" s="43">
        <f>IF($E7852=0,0,YEAR($E7852))</f>
      </c>
      <c r="G7852" s="43">
        <f>IF(INDEX(DarlBindung,17)="",1,IF($E7852&lt;=INDEX(DarlBindung,17),1,0))</f>
      </c>
      <c r="H7852" s="43">
        <f>IF($G7852=1,INDEX(DarlSollzins,17),INDEX(DarlAnschluss,17))</f>
      </c>
      <c r="I7852" s="43">
        <f>IF(INDEX(DarlBelegt,17)=0,0,IF(INDEX(DarlOhneTilgung,17)=1,IF(INDEX(DarlBindung,17)="",1,$G7852),IF($J7852&gt;0.005,1,0)))</f>
      </c>
      <c r="J7852" s="43">
        <f>IF($I7851=0,0,$R7851)</f>
      </c>
      <c r="K7852" s="43">
        <f>IF($I7852=0,0,IF(INDEX(DarlOhneTilgung,17)=1,0,IF(AND(INDEX(DarlTilgStart,17)&gt;0,$E7852=INDEX(DarlTilgStart,17)),$J7852*($H7852+INDEX(DarlTilgung,17))/100/12,IF(AND($G7852=0,$G7851=1),MAX($K7851,$J7852*($H7852+1)/100/12),$K7851))))</f>
      </c>
      <c r="L7852" s="43">
        <f>IF($I7852=0,0,$J7852*$H7852/100/12)</f>
      </c>
      <c r="M7852" s="43">
        <f>IF($I7852=0,0,IF(OR(INDEX(DarlOhneTilgung,17)=1,AND(INDEX(DarlTilgStart,17)&gt;0,$E7852&lt;INDEX(DarlTilgStart,17))),0,MIN(MAX(0,$K7852-$L7852),$J7852)))</f>
      </c>
      <c r="N7852" s="43">
        <f>IF($I7852=0,0,MIN(SUMIFS(SondBetrag,SondDarl,17,SondDatum,"&gt;="&amp;$E7852,SondDatum,"&lt;="&amp;EOMONTH($E7852,0)),$J7852-$M7852))</f>
      </c>
      <c r="O7852" s="43">
        <f>IF($I7852=0,0,INDEX(DarlErsatzRate,17))</f>
      </c>
      <c r="P7852" s="43">
        <f>IF($I7852=0,0,$Q7851*INDEX(DarlErsatzZins,17))</f>
      </c>
      <c r="Q7852" s="43">
        <f>IF($I7852=0,0,$Q7851+$P7852+$O7852)</f>
      </c>
      <c r="R7852" s="43">
        <f>IF($I7852=0,0,$J7852-$M7852-$N7852)</f>
      </c>
    </row>
    <row r="7853">
      <c r="A7853"/>
      <c r="B7853">
        <v>17</v>
      </c>
      <c r="C7853" s="43">
        <f>INDEX(DarlObj,17)</f>
      </c>
      <c r="D7853">
        <v>170</v>
      </c>
      <c r="E7853" s="51">
        <f>IF(INDEX(DarlBelegt,17)=0,0,EOMONTH(INDEX(DarlAuszahlung,17),169)+1)</f>
      </c>
      <c r="F7853" s="43">
        <f>IF($E7853=0,0,YEAR($E7853))</f>
      </c>
      <c r="G7853" s="43">
        <f>IF(INDEX(DarlBindung,17)="",1,IF($E7853&lt;=INDEX(DarlBindung,17),1,0))</f>
      </c>
      <c r="H7853" s="43">
        <f>IF($G7853=1,INDEX(DarlSollzins,17),INDEX(DarlAnschluss,17))</f>
      </c>
      <c r="I7853" s="43">
        <f>IF(INDEX(DarlBelegt,17)=0,0,IF(INDEX(DarlOhneTilgung,17)=1,IF(INDEX(DarlBindung,17)="",1,$G7853),IF($J7853&gt;0.005,1,0)))</f>
      </c>
      <c r="J7853" s="43">
        <f>IF($I7852=0,0,$R7852)</f>
      </c>
      <c r="K7853" s="43">
        <f>IF($I7853=0,0,IF(INDEX(DarlOhneTilgung,17)=1,0,IF(AND(INDEX(DarlTilgStart,17)&gt;0,$E7853=INDEX(DarlTilgStart,17)),$J7853*($H7853+INDEX(DarlTilgung,17))/100/12,IF(AND($G7853=0,$G7852=1),MAX($K7852,$J7853*($H7853+1)/100/12),$K7852))))</f>
      </c>
      <c r="L7853" s="43">
        <f>IF($I7853=0,0,$J7853*$H7853/100/12)</f>
      </c>
      <c r="M7853" s="43">
        <f>IF($I7853=0,0,IF(OR(INDEX(DarlOhneTilgung,17)=1,AND(INDEX(DarlTilgStart,17)&gt;0,$E7853&lt;INDEX(DarlTilgStart,17))),0,MIN(MAX(0,$K7853-$L7853),$J7853)))</f>
      </c>
      <c r="N7853" s="43">
        <f>IF($I7853=0,0,MIN(SUMIFS(SondBetrag,SondDarl,17,SondDatum,"&gt;="&amp;$E7853,SondDatum,"&lt;="&amp;EOMONTH($E7853,0)),$J7853-$M7853))</f>
      </c>
      <c r="O7853" s="43">
        <f>IF($I7853=0,0,INDEX(DarlErsatzRate,17))</f>
      </c>
      <c r="P7853" s="43">
        <f>IF($I7853=0,0,$Q7852*INDEX(DarlErsatzZins,17))</f>
      </c>
      <c r="Q7853" s="43">
        <f>IF($I7853=0,0,$Q7852+$P7853+$O7853)</f>
      </c>
      <c r="R7853" s="43">
        <f>IF($I7853=0,0,$J7853-$M7853-$N7853)</f>
      </c>
    </row>
    <row r="7854">
      <c r="A7854"/>
      <c r="B7854">
        <v>17</v>
      </c>
      <c r="C7854" s="43">
        <f>INDEX(DarlObj,17)</f>
      </c>
      <c r="D7854">
        <v>171</v>
      </c>
      <c r="E7854" s="51">
        <f>IF(INDEX(DarlBelegt,17)=0,0,EOMONTH(INDEX(DarlAuszahlung,17),170)+1)</f>
      </c>
      <c r="F7854" s="43">
        <f>IF($E7854=0,0,YEAR($E7854))</f>
      </c>
      <c r="G7854" s="43">
        <f>IF(INDEX(DarlBindung,17)="",1,IF($E7854&lt;=INDEX(DarlBindung,17),1,0))</f>
      </c>
      <c r="H7854" s="43">
        <f>IF($G7854=1,INDEX(DarlSollzins,17),INDEX(DarlAnschluss,17))</f>
      </c>
      <c r="I7854" s="43">
        <f>IF(INDEX(DarlBelegt,17)=0,0,IF(INDEX(DarlOhneTilgung,17)=1,IF(INDEX(DarlBindung,17)="",1,$G7854),IF($J7854&gt;0.005,1,0)))</f>
      </c>
      <c r="J7854" s="43">
        <f>IF($I7853=0,0,$R7853)</f>
      </c>
      <c r="K7854" s="43">
        <f>IF($I7854=0,0,IF(INDEX(DarlOhneTilgung,17)=1,0,IF(AND(INDEX(DarlTilgStart,17)&gt;0,$E7854=INDEX(DarlTilgStart,17)),$J7854*($H7854+INDEX(DarlTilgung,17))/100/12,IF(AND($G7854=0,$G7853=1),MAX($K7853,$J7854*($H7854+1)/100/12),$K7853))))</f>
      </c>
      <c r="L7854" s="43">
        <f>IF($I7854=0,0,$J7854*$H7854/100/12)</f>
      </c>
      <c r="M7854" s="43">
        <f>IF($I7854=0,0,IF(OR(INDEX(DarlOhneTilgung,17)=1,AND(INDEX(DarlTilgStart,17)&gt;0,$E7854&lt;INDEX(DarlTilgStart,17))),0,MIN(MAX(0,$K7854-$L7854),$J7854)))</f>
      </c>
      <c r="N7854" s="43">
        <f>IF($I7854=0,0,MIN(SUMIFS(SondBetrag,SondDarl,17,SondDatum,"&gt;="&amp;$E7854,SondDatum,"&lt;="&amp;EOMONTH($E7854,0)),$J7854-$M7854))</f>
      </c>
      <c r="O7854" s="43">
        <f>IF($I7854=0,0,INDEX(DarlErsatzRate,17))</f>
      </c>
      <c r="P7854" s="43">
        <f>IF($I7854=0,0,$Q7853*INDEX(DarlErsatzZins,17))</f>
      </c>
      <c r="Q7854" s="43">
        <f>IF($I7854=0,0,$Q7853+$P7854+$O7854)</f>
      </c>
      <c r="R7854" s="43">
        <f>IF($I7854=0,0,$J7854-$M7854-$N7854)</f>
      </c>
    </row>
    <row r="7855">
      <c r="A7855"/>
      <c r="B7855">
        <v>17</v>
      </c>
      <c r="C7855" s="43">
        <f>INDEX(DarlObj,17)</f>
      </c>
      <c r="D7855">
        <v>172</v>
      </c>
      <c r="E7855" s="51">
        <f>IF(INDEX(DarlBelegt,17)=0,0,EOMONTH(INDEX(DarlAuszahlung,17),171)+1)</f>
      </c>
      <c r="F7855" s="43">
        <f>IF($E7855=0,0,YEAR($E7855))</f>
      </c>
      <c r="G7855" s="43">
        <f>IF(INDEX(DarlBindung,17)="",1,IF($E7855&lt;=INDEX(DarlBindung,17),1,0))</f>
      </c>
      <c r="H7855" s="43">
        <f>IF($G7855=1,INDEX(DarlSollzins,17),INDEX(DarlAnschluss,17))</f>
      </c>
      <c r="I7855" s="43">
        <f>IF(INDEX(DarlBelegt,17)=0,0,IF(INDEX(DarlOhneTilgung,17)=1,IF(INDEX(DarlBindung,17)="",1,$G7855),IF($J7855&gt;0.005,1,0)))</f>
      </c>
      <c r="J7855" s="43">
        <f>IF($I7854=0,0,$R7854)</f>
      </c>
      <c r="K7855" s="43">
        <f>IF($I7855=0,0,IF(INDEX(DarlOhneTilgung,17)=1,0,IF(AND(INDEX(DarlTilgStart,17)&gt;0,$E7855=INDEX(DarlTilgStart,17)),$J7855*($H7855+INDEX(DarlTilgung,17))/100/12,IF(AND($G7855=0,$G7854=1),MAX($K7854,$J7855*($H7855+1)/100/12),$K7854))))</f>
      </c>
      <c r="L7855" s="43">
        <f>IF($I7855=0,0,$J7855*$H7855/100/12)</f>
      </c>
      <c r="M7855" s="43">
        <f>IF($I7855=0,0,IF(OR(INDEX(DarlOhneTilgung,17)=1,AND(INDEX(DarlTilgStart,17)&gt;0,$E7855&lt;INDEX(DarlTilgStart,17))),0,MIN(MAX(0,$K7855-$L7855),$J7855)))</f>
      </c>
      <c r="N7855" s="43">
        <f>IF($I7855=0,0,MIN(SUMIFS(SondBetrag,SondDarl,17,SondDatum,"&gt;="&amp;$E7855,SondDatum,"&lt;="&amp;EOMONTH($E7855,0)),$J7855-$M7855))</f>
      </c>
      <c r="O7855" s="43">
        <f>IF($I7855=0,0,INDEX(DarlErsatzRate,17))</f>
      </c>
      <c r="P7855" s="43">
        <f>IF($I7855=0,0,$Q7854*INDEX(DarlErsatzZins,17))</f>
      </c>
      <c r="Q7855" s="43">
        <f>IF($I7855=0,0,$Q7854+$P7855+$O7855)</f>
      </c>
      <c r="R7855" s="43">
        <f>IF($I7855=0,0,$J7855-$M7855-$N7855)</f>
      </c>
    </row>
    <row r="7856">
      <c r="A7856"/>
      <c r="B7856">
        <v>17</v>
      </c>
      <c r="C7856" s="43">
        <f>INDEX(DarlObj,17)</f>
      </c>
      <c r="D7856">
        <v>173</v>
      </c>
      <c r="E7856" s="51">
        <f>IF(INDEX(DarlBelegt,17)=0,0,EOMONTH(INDEX(DarlAuszahlung,17),172)+1)</f>
      </c>
      <c r="F7856" s="43">
        <f>IF($E7856=0,0,YEAR($E7856))</f>
      </c>
      <c r="G7856" s="43">
        <f>IF(INDEX(DarlBindung,17)="",1,IF($E7856&lt;=INDEX(DarlBindung,17),1,0))</f>
      </c>
      <c r="H7856" s="43">
        <f>IF($G7856=1,INDEX(DarlSollzins,17),INDEX(DarlAnschluss,17))</f>
      </c>
      <c r="I7856" s="43">
        <f>IF(INDEX(DarlBelegt,17)=0,0,IF(INDEX(DarlOhneTilgung,17)=1,IF(INDEX(DarlBindung,17)="",1,$G7856),IF($J7856&gt;0.005,1,0)))</f>
      </c>
      <c r="J7856" s="43">
        <f>IF($I7855=0,0,$R7855)</f>
      </c>
      <c r="K7856" s="43">
        <f>IF($I7856=0,0,IF(INDEX(DarlOhneTilgung,17)=1,0,IF(AND(INDEX(DarlTilgStart,17)&gt;0,$E7856=INDEX(DarlTilgStart,17)),$J7856*($H7856+INDEX(DarlTilgung,17))/100/12,IF(AND($G7856=0,$G7855=1),MAX($K7855,$J7856*($H7856+1)/100/12),$K7855))))</f>
      </c>
      <c r="L7856" s="43">
        <f>IF($I7856=0,0,$J7856*$H7856/100/12)</f>
      </c>
      <c r="M7856" s="43">
        <f>IF($I7856=0,0,IF(OR(INDEX(DarlOhneTilgung,17)=1,AND(INDEX(DarlTilgStart,17)&gt;0,$E7856&lt;INDEX(DarlTilgStart,17))),0,MIN(MAX(0,$K7856-$L7856),$J7856)))</f>
      </c>
      <c r="N7856" s="43">
        <f>IF($I7856=0,0,MIN(SUMIFS(SondBetrag,SondDarl,17,SondDatum,"&gt;="&amp;$E7856,SondDatum,"&lt;="&amp;EOMONTH($E7856,0)),$J7856-$M7856))</f>
      </c>
      <c r="O7856" s="43">
        <f>IF($I7856=0,0,INDEX(DarlErsatzRate,17))</f>
      </c>
      <c r="P7856" s="43">
        <f>IF($I7856=0,0,$Q7855*INDEX(DarlErsatzZins,17))</f>
      </c>
      <c r="Q7856" s="43">
        <f>IF($I7856=0,0,$Q7855+$P7856+$O7856)</f>
      </c>
      <c r="R7856" s="43">
        <f>IF($I7856=0,0,$J7856-$M7856-$N7856)</f>
      </c>
    </row>
    <row r="7857">
      <c r="A7857"/>
      <c r="B7857">
        <v>17</v>
      </c>
      <c r="C7857" s="43">
        <f>INDEX(DarlObj,17)</f>
      </c>
      <c r="D7857">
        <v>174</v>
      </c>
      <c r="E7857" s="51">
        <f>IF(INDEX(DarlBelegt,17)=0,0,EOMONTH(INDEX(DarlAuszahlung,17),173)+1)</f>
      </c>
      <c r="F7857" s="43">
        <f>IF($E7857=0,0,YEAR($E7857))</f>
      </c>
      <c r="G7857" s="43">
        <f>IF(INDEX(DarlBindung,17)="",1,IF($E7857&lt;=INDEX(DarlBindung,17),1,0))</f>
      </c>
      <c r="H7857" s="43">
        <f>IF($G7857=1,INDEX(DarlSollzins,17),INDEX(DarlAnschluss,17))</f>
      </c>
      <c r="I7857" s="43">
        <f>IF(INDEX(DarlBelegt,17)=0,0,IF(INDEX(DarlOhneTilgung,17)=1,IF(INDEX(DarlBindung,17)="",1,$G7857),IF($J7857&gt;0.005,1,0)))</f>
      </c>
      <c r="J7857" s="43">
        <f>IF($I7856=0,0,$R7856)</f>
      </c>
      <c r="K7857" s="43">
        <f>IF($I7857=0,0,IF(INDEX(DarlOhneTilgung,17)=1,0,IF(AND(INDEX(DarlTilgStart,17)&gt;0,$E7857=INDEX(DarlTilgStart,17)),$J7857*($H7857+INDEX(DarlTilgung,17))/100/12,IF(AND($G7857=0,$G7856=1),MAX($K7856,$J7857*($H7857+1)/100/12),$K7856))))</f>
      </c>
      <c r="L7857" s="43">
        <f>IF($I7857=0,0,$J7857*$H7857/100/12)</f>
      </c>
      <c r="M7857" s="43">
        <f>IF($I7857=0,0,IF(OR(INDEX(DarlOhneTilgung,17)=1,AND(INDEX(DarlTilgStart,17)&gt;0,$E7857&lt;INDEX(DarlTilgStart,17))),0,MIN(MAX(0,$K7857-$L7857),$J7857)))</f>
      </c>
      <c r="N7857" s="43">
        <f>IF($I7857=0,0,MIN(SUMIFS(SondBetrag,SondDarl,17,SondDatum,"&gt;="&amp;$E7857,SondDatum,"&lt;="&amp;EOMONTH($E7857,0)),$J7857-$M7857))</f>
      </c>
      <c r="O7857" s="43">
        <f>IF($I7857=0,0,INDEX(DarlErsatzRate,17))</f>
      </c>
      <c r="P7857" s="43">
        <f>IF($I7857=0,0,$Q7856*INDEX(DarlErsatzZins,17))</f>
      </c>
      <c r="Q7857" s="43">
        <f>IF($I7857=0,0,$Q7856+$P7857+$O7857)</f>
      </c>
      <c r="R7857" s="43">
        <f>IF($I7857=0,0,$J7857-$M7857-$N7857)</f>
      </c>
    </row>
    <row r="7858">
      <c r="A7858"/>
      <c r="B7858">
        <v>17</v>
      </c>
      <c r="C7858" s="43">
        <f>INDEX(DarlObj,17)</f>
      </c>
      <c r="D7858">
        <v>175</v>
      </c>
      <c r="E7858" s="51">
        <f>IF(INDEX(DarlBelegt,17)=0,0,EOMONTH(INDEX(DarlAuszahlung,17),174)+1)</f>
      </c>
      <c r="F7858" s="43">
        <f>IF($E7858=0,0,YEAR($E7858))</f>
      </c>
      <c r="G7858" s="43">
        <f>IF(INDEX(DarlBindung,17)="",1,IF($E7858&lt;=INDEX(DarlBindung,17),1,0))</f>
      </c>
      <c r="H7858" s="43">
        <f>IF($G7858=1,INDEX(DarlSollzins,17),INDEX(DarlAnschluss,17))</f>
      </c>
      <c r="I7858" s="43">
        <f>IF(INDEX(DarlBelegt,17)=0,0,IF(INDEX(DarlOhneTilgung,17)=1,IF(INDEX(DarlBindung,17)="",1,$G7858),IF($J7858&gt;0.005,1,0)))</f>
      </c>
      <c r="J7858" s="43">
        <f>IF($I7857=0,0,$R7857)</f>
      </c>
      <c r="K7858" s="43">
        <f>IF($I7858=0,0,IF(INDEX(DarlOhneTilgung,17)=1,0,IF(AND(INDEX(DarlTilgStart,17)&gt;0,$E7858=INDEX(DarlTilgStart,17)),$J7858*($H7858+INDEX(DarlTilgung,17))/100/12,IF(AND($G7858=0,$G7857=1),MAX($K7857,$J7858*($H7858+1)/100/12),$K7857))))</f>
      </c>
      <c r="L7858" s="43">
        <f>IF($I7858=0,0,$J7858*$H7858/100/12)</f>
      </c>
      <c r="M7858" s="43">
        <f>IF($I7858=0,0,IF(OR(INDEX(DarlOhneTilgung,17)=1,AND(INDEX(DarlTilgStart,17)&gt;0,$E7858&lt;INDEX(DarlTilgStart,17))),0,MIN(MAX(0,$K7858-$L7858),$J7858)))</f>
      </c>
      <c r="N7858" s="43">
        <f>IF($I7858=0,0,MIN(SUMIFS(SondBetrag,SondDarl,17,SondDatum,"&gt;="&amp;$E7858,SondDatum,"&lt;="&amp;EOMONTH($E7858,0)),$J7858-$M7858))</f>
      </c>
      <c r="O7858" s="43">
        <f>IF($I7858=0,0,INDEX(DarlErsatzRate,17))</f>
      </c>
      <c r="P7858" s="43">
        <f>IF($I7858=0,0,$Q7857*INDEX(DarlErsatzZins,17))</f>
      </c>
      <c r="Q7858" s="43">
        <f>IF($I7858=0,0,$Q7857+$P7858+$O7858)</f>
      </c>
      <c r="R7858" s="43">
        <f>IF($I7858=0,0,$J7858-$M7858-$N7858)</f>
      </c>
    </row>
    <row r="7859">
      <c r="A7859"/>
      <c r="B7859">
        <v>17</v>
      </c>
      <c r="C7859" s="43">
        <f>INDEX(DarlObj,17)</f>
      </c>
      <c r="D7859">
        <v>176</v>
      </c>
      <c r="E7859" s="51">
        <f>IF(INDEX(DarlBelegt,17)=0,0,EOMONTH(INDEX(DarlAuszahlung,17),175)+1)</f>
      </c>
      <c r="F7859" s="43">
        <f>IF($E7859=0,0,YEAR($E7859))</f>
      </c>
      <c r="G7859" s="43">
        <f>IF(INDEX(DarlBindung,17)="",1,IF($E7859&lt;=INDEX(DarlBindung,17),1,0))</f>
      </c>
      <c r="H7859" s="43">
        <f>IF($G7859=1,INDEX(DarlSollzins,17),INDEX(DarlAnschluss,17))</f>
      </c>
      <c r="I7859" s="43">
        <f>IF(INDEX(DarlBelegt,17)=0,0,IF(INDEX(DarlOhneTilgung,17)=1,IF(INDEX(DarlBindung,17)="",1,$G7859),IF($J7859&gt;0.005,1,0)))</f>
      </c>
      <c r="J7859" s="43">
        <f>IF($I7858=0,0,$R7858)</f>
      </c>
      <c r="K7859" s="43">
        <f>IF($I7859=0,0,IF(INDEX(DarlOhneTilgung,17)=1,0,IF(AND(INDEX(DarlTilgStart,17)&gt;0,$E7859=INDEX(DarlTilgStart,17)),$J7859*($H7859+INDEX(DarlTilgung,17))/100/12,IF(AND($G7859=0,$G7858=1),MAX($K7858,$J7859*($H7859+1)/100/12),$K7858))))</f>
      </c>
      <c r="L7859" s="43">
        <f>IF($I7859=0,0,$J7859*$H7859/100/12)</f>
      </c>
      <c r="M7859" s="43">
        <f>IF($I7859=0,0,IF(OR(INDEX(DarlOhneTilgung,17)=1,AND(INDEX(DarlTilgStart,17)&gt;0,$E7859&lt;INDEX(DarlTilgStart,17))),0,MIN(MAX(0,$K7859-$L7859),$J7859)))</f>
      </c>
      <c r="N7859" s="43">
        <f>IF($I7859=0,0,MIN(SUMIFS(SondBetrag,SondDarl,17,SondDatum,"&gt;="&amp;$E7859,SondDatum,"&lt;="&amp;EOMONTH($E7859,0)),$J7859-$M7859))</f>
      </c>
      <c r="O7859" s="43">
        <f>IF($I7859=0,0,INDEX(DarlErsatzRate,17))</f>
      </c>
      <c r="P7859" s="43">
        <f>IF($I7859=0,0,$Q7858*INDEX(DarlErsatzZins,17))</f>
      </c>
      <c r="Q7859" s="43">
        <f>IF($I7859=0,0,$Q7858+$P7859+$O7859)</f>
      </c>
      <c r="R7859" s="43">
        <f>IF($I7859=0,0,$J7859-$M7859-$N7859)</f>
      </c>
    </row>
    <row r="7860">
      <c r="A7860"/>
      <c r="B7860">
        <v>17</v>
      </c>
      <c r="C7860" s="43">
        <f>INDEX(DarlObj,17)</f>
      </c>
      <c r="D7860">
        <v>177</v>
      </c>
      <c r="E7860" s="51">
        <f>IF(INDEX(DarlBelegt,17)=0,0,EOMONTH(INDEX(DarlAuszahlung,17),176)+1)</f>
      </c>
      <c r="F7860" s="43">
        <f>IF($E7860=0,0,YEAR($E7860))</f>
      </c>
      <c r="G7860" s="43">
        <f>IF(INDEX(DarlBindung,17)="",1,IF($E7860&lt;=INDEX(DarlBindung,17),1,0))</f>
      </c>
      <c r="H7860" s="43">
        <f>IF($G7860=1,INDEX(DarlSollzins,17),INDEX(DarlAnschluss,17))</f>
      </c>
      <c r="I7860" s="43">
        <f>IF(INDEX(DarlBelegt,17)=0,0,IF(INDEX(DarlOhneTilgung,17)=1,IF(INDEX(DarlBindung,17)="",1,$G7860),IF($J7860&gt;0.005,1,0)))</f>
      </c>
      <c r="J7860" s="43">
        <f>IF($I7859=0,0,$R7859)</f>
      </c>
      <c r="K7860" s="43">
        <f>IF($I7860=0,0,IF(INDEX(DarlOhneTilgung,17)=1,0,IF(AND(INDEX(DarlTilgStart,17)&gt;0,$E7860=INDEX(DarlTilgStart,17)),$J7860*($H7860+INDEX(DarlTilgung,17))/100/12,IF(AND($G7860=0,$G7859=1),MAX($K7859,$J7860*($H7860+1)/100/12),$K7859))))</f>
      </c>
      <c r="L7860" s="43">
        <f>IF($I7860=0,0,$J7860*$H7860/100/12)</f>
      </c>
      <c r="M7860" s="43">
        <f>IF($I7860=0,0,IF(OR(INDEX(DarlOhneTilgung,17)=1,AND(INDEX(DarlTilgStart,17)&gt;0,$E7860&lt;INDEX(DarlTilgStart,17))),0,MIN(MAX(0,$K7860-$L7860),$J7860)))</f>
      </c>
      <c r="N7860" s="43">
        <f>IF($I7860=0,0,MIN(SUMIFS(SondBetrag,SondDarl,17,SondDatum,"&gt;="&amp;$E7860,SondDatum,"&lt;="&amp;EOMONTH($E7860,0)),$J7860-$M7860))</f>
      </c>
      <c r="O7860" s="43">
        <f>IF($I7860=0,0,INDEX(DarlErsatzRate,17))</f>
      </c>
      <c r="P7860" s="43">
        <f>IF($I7860=0,0,$Q7859*INDEX(DarlErsatzZins,17))</f>
      </c>
      <c r="Q7860" s="43">
        <f>IF($I7860=0,0,$Q7859+$P7860+$O7860)</f>
      </c>
      <c r="R7860" s="43">
        <f>IF($I7860=0,0,$J7860-$M7860-$N7860)</f>
      </c>
    </row>
    <row r="7861">
      <c r="A7861"/>
      <c r="B7861">
        <v>17</v>
      </c>
      <c r="C7861" s="43">
        <f>INDEX(DarlObj,17)</f>
      </c>
      <c r="D7861">
        <v>178</v>
      </c>
      <c r="E7861" s="51">
        <f>IF(INDEX(DarlBelegt,17)=0,0,EOMONTH(INDEX(DarlAuszahlung,17),177)+1)</f>
      </c>
      <c r="F7861" s="43">
        <f>IF($E7861=0,0,YEAR($E7861))</f>
      </c>
      <c r="G7861" s="43">
        <f>IF(INDEX(DarlBindung,17)="",1,IF($E7861&lt;=INDEX(DarlBindung,17),1,0))</f>
      </c>
      <c r="H7861" s="43">
        <f>IF($G7861=1,INDEX(DarlSollzins,17),INDEX(DarlAnschluss,17))</f>
      </c>
      <c r="I7861" s="43">
        <f>IF(INDEX(DarlBelegt,17)=0,0,IF(INDEX(DarlOhneTilgung,17)=1,IF(INDEX(DarlBindung,17)="",1,$G7861),IF($J7861&gt;0.005,1,0)))</f>
      </c>
      <c r="J7861" s="43">
        <f>IF($I7860=0,0,$R7860)</f>
      </c>
      <c r="K7861" s="43">
        <f>IF($I7861=0,0,IF(INDEX(DarlOhneTilgung,17)=1,0,IF(AND(INDEX(DarlTilgStart,17)&gt;0,$E7861=INDEX(DarlTilgStart,17)),$J7861*($H7861+INDEX(DarlTilgung,17))/100/12,IF(AND($G7861=0,$G7860=1),MAX($K7860,$J7861*($H7861+1)/100/12),$K7860))))</f>
      </c>
      <c r="L7861" s="43">
        <f>IF($I7861=0,0,$J7861*$H7861/100/12)</f>
      </c>
      <c r="M7861" s="43">
        <f>IF($I7861=0,0,IF(OR(INDEX(DarlOhneTilgung,17)=1,AND(INDEX(DarlTilgStart,17)&gt;0,$E7861&lt;INDEX(DarlTilgStart,17))),0,MIN(MAX(0,$K7861-$L7861),$J7861)))</f>
      </c>
      <c r="N7861" s="43">
        <f>IF($I7861=0,0,MIN(SUMIFS(SondBetrag,SondDarl,17,SondDatum,"&gt;="&amp;$E7861,SondDatum,"&lt;="&amp;EOMONTH($E7861,0)),$J7861-$M7861))</f>
      </c>
      <c r="O7861" s="43">
        <f>IF($I7861=0,0,INDEX(DarlErsatzRate,17))</f>
      </c>
      <c r="P7861" s="43">
        <f>IF($I7861=0,0,$Q7860*INDEX(DarlErsatzZins,17))</f>
      </c>
      <c r="Q7861" s="43">
        <f>IF($I7861=0,0,$Q7860+$P7861+$O7861)</f>
      </c>
      <c r="R7861" s="43">
        <f>IF($I7861=0,0,$J7861-$M7861-$N7861)</f>
      </c>
    </row>
    <row r="7862">
      <c r="A7862"/>
      <c r="B7862">
        <v>17</v>
      </c>
      <c r="C7862" s="43">
        <f>INDEX(DarlObj,17)</f>
      </c>
      <c r="D7862">
        <v>179</v>
      </c>
      <c r="E7862" s="51">
        <f>IF(INDEX(DarlBelegt,17)=0,0,EOMONTH(INDEX(DarlAuszahlung,17),178)+1)</f>
      </c>
      <c r="F7862" s="43">
        <f>IF($E7862=0,0,YEAR($E7862))</f>
      </c>
      <c r="G7862" s="43">
        <f>IF(INDEX(DarlBindung,17)="",1,IF($E7862&lt;=INDEX(DarlBindung,17),1,0))</f>
      </c>
      <c r="H7862" s="43">
        <f>IF($G7862=1,INDEX(DarlSollzins,17),INDEX(DarlAnschluss,17))</f>
      </c>
      <c r="I7862" s="43">
        <f>IF(INDEX(DarlBelegt,17)=0,0,IF(INDEX(DarlOhneTilgung,17)=1,IF(INDEX(DarlBindung,17)="",1,$G7862),IF($J7862&gt;0.005,1,0)))</f>
      </c>
      <c r="J7862" s="43">
        <f>IF($I7861=0,0,$R7861)</f>
      </c>
      <c r="K7862" s="43">
        <f>IF($I7862=0,0,IF(INDEX(DarlOhneTilgung,17)=1,0,IF(AND(INDEX(DarlTilgStart,17)&gt;0,$E7862=INDEX(DarlTilgStart,17)),$J7862*($H7862+INDEX(DarlTilgung,17))/100/12,IF(AND($G7862=0,$G7861=1),MAX($K7861,$J7862*($H7862+1)/100/12),$K7861))))</f>
      </c>
      <c r="L7862" s="43">
        <f>IF($I7862=0,0,$J7862*$H7862/100/12)</f>
      </c>
      <c r="M7862" s="43">
        <f>IF($I7862=0,0,IF(OR(INDEX(DarlOhneTilgung,17)=1,AND(INDEX(DarlTilgStart,17)&gt;0,$E7862&lt;INDEX(DarlTilgStart,17))),0,MIN(MAX(0,$K7862-$L7862),$J7862)))</f>
      </c>
      <c r="N7862" s="43">
        <f>IF($I7862=0,0,MIN(SUMIFS(SondBetrag,SondDarl,17,SondDatum,"&gt;="&amp;$E7862,SondDatum,"&lt;="&amp;EOMONTH($E7862,0)),$J7862-$M7862))</f>
      </c>
      <c r="O7862" s="43">
        <f>IF($I7862=0,0,INDEX(DarlErsatzRate,17))</f>
      </c>
      <c r="P7862" s="43">
        <f>IF($I7862=0,0,$Q7861*INDEX(DarlErsatzZins,17))</f>
      </c>
      <c r="Q7862" s="43">
        <f>IF($I7862=0,0,$Q7861+$P7862+$O7862)</f>
      </c>
      <c r="R7862" s="43">
        <f>IF($I7862=0,0,$J7862-$M7862-$N7862)</f>
      </c>
    </row>
    <row r="7863">
      <c r="A7863"/>
      <c r="B7863">
        <v>17</v>
      </c>
      <c r="C7863" s="43">
        <f>INDEX(DarlObj,17)</f>
      </c>
      <c r="D7863">
        <v>180</v>
      </c>
      <c r="E7863" s="51">
        <f>IF(INDEX(DarlBelegt,17)=0,0,EOMONTH(INDEX(DarlAuszahlung,17),179)+1)</f>
      </c>
      <c r="F7863" s="43">
        <f>IF($E7863=0,0,YEAR($E7863))</f>
      </c>
      <c r="G7863" s="43">
        <f>IF(INDEX(DarlBindung,17)="",1,IF($E7863&lt;=INDEX(DarlBindung,17),1,0))</f>
      </c>
      <c r="H7863" s="43">
        <f>IF($G7863=1,INDEX(DarlSollzins,17),INDEX(DarlAnschluss,17))</f>
      </c>
      <c r="I7863" s="43">
        <f>IF(INDEX(DarlBelegt,17)=0,0,IF(INDEX(DarlOhneTilgung,17)=1,IF(INDEX(DarlBindung,17)="",1,$G7863),IF($J7863&gt;0.005,1,0)))</f>
      </c>
      <c r="J7863" s="43">
        <f>IF($I7862=0,0,$R7862)</f>
      </c>
      <c r="K7863" s="43">
        <f>IF($I7863=0,0,IF(INDEX(DarlOhneTilgung,17)=1,0,IF(AND(INDEX(DarlTilgStart,17)&gt;0,$E7863=INDEX(DarlTilgStart,17)),$J7863*($H7863+INDEX(DarlTilgung,17))/100/12,IF(AND($G7863=0,$G7862=1),MAX($K7862,$J7863*($H7863+1)/100/12),$K7862))))</f>
      </c>
      <c r="L7863" s="43">
        <f>IF($I7863=0,0,$J7863*$H7863/100/12)</f>
      </c>
      <c r="M7863" s="43">
        <f>IF($I7863=0,0,IF(OR(INDEX(DarlOhneTilgung,17)=1,AND(INDEX(DarlTilgStart,17)&gt;0,$E7863&lt;INDEX(DarlTilgStart,17))),0,MIN(MAX(0,$K7863-$L7863),$J7863)))</f>
      </c>
      <c r="N7863" s="43">
        <f>IF($I7863=0,0,MIN(SUMIFS(SondBetrag,SondDarl,17,SondDatum,"&gt;="&amp;$E7863,SondDatum,"&lt;="&amp;EOMONTH($E7863,0)),$J7863-$M7863))</f>
      </c>
      <c r="O7863" s="43">
        <f>IF($I7863=0,0,INDEX(DarlErsatzRate,17))</f>
      </c>
      <c r="P7863" s="43">
        <f>IF($I7863=0,0,$Q7862*INDEX(DarlErsatzZins,17))</f>
      </c>
      <c r="Q7863" s="43">
        <f>IF($I7863=0,0,$Q7862+$P7863+$O7863)</f>
      </c>
      <c r="R7863" s="43">
        <f>IF($I7863=0,0,$J7863-$M7863-$N7863)</f>
      </c>
    </row>
    <row r="7864">
      <c r="A7864"/>
      <c r="B7864">
        <v>17</v>
      </c>
      <c r="C7864" s="43">
        <f>INDEX(DarlObj,17)</f>
      </c>
      <c r="D7864">
        <v>181</v>
      </c>
      <c r="E7864" s="51">
        <f>IF(INDEX(DarlBelegt,17)=0,0,EOMONTH(INDEX(DarlAuszahlung,17),180)+1)</f>
      </c>
      <c r="F7864" s="43">
        <f>IF($E7864=0,0,YEAR($E7864))</f>
      </c>
      <c r="G7864" s="43">
        <f>IF(INDEX(DarlBindung,17)="",1,IF($E7864&lt;=INDEX(DarlBindung,17),1,0))</f>
      </c>
      <c r="H7864" s="43">
        <f>IF($G7864=1,INDEX(DarlSollzins,17),INDEX(DarlAnschluss,17))</f>
      </c>
      <c r="I7864" s="43">
        <f>IF(INDEX(DarlBelegt,17)=0,0,IF(INDEX(DarlOhneTilgung,17)=1,IF(INDEX(DarlBindung,17)="",1,$G7864),IF($J7864&gt;0.005,1,0)))</f>
      </c>
      <c r="J7864" s="43">
        <f>IF($I7863=0,0,$R7863)</f>
      </c>
      <c r="K7864" s="43">
        <f>IF($I7864=0,0,IF(INDEX(DarlOhneTilgung,17)=1,0,IF(AND(INDEX(DarlTilgStart,17)&gt;0,$E7864=INDEX(DarlTilgStart,17)),$J7864*($H7864+INDEX(DarlTilgung,17))/100/12,IF(AND($G7864=0,$G7863=1),MAX($K7863,$J7864*($H7864+1)/100/12),$K7863))))</f>
      </c>
      <c r="L7864" s="43">
        <f>IF($I7864=0,0,$J7864*$H7864/100/12)</f>
      </c>
      <c r="M7864" s="43">
        <f>IF($I7864=0,0,IF(OR(INDEX(DarlOhneTilgung,17)=1,AND(INDEX(DarlTilgStart,17)&gt;0,$E7864&lt;INDEX(DarlTilgStart,17))),0,MIN(MAX(0,$K7864-$L7864),$J7864)))</f>
      </c>
      <c r="N7864" s="43">
        <f>IF($I7864=0,0,MIN(SUMIFS(SondBetrag,SondDarl,17,SondDatum,"&gt;="&amp;$E7864,SondDatum,"&lt;="&amp;EOMONTH($E7864,0)),$J7864-$M7864))</f>
      </c>
      <c r="O7864" s="43">
        <f>IF($I7864=0,0,INDEX(DarlErsatzRate,17))</f>
      </c>
      <c r="P7864" s="43">
        <f>IF($I7864=0,0,$Q7863*INDEX(DarlErsatzZins,17))</f>
      </c>
      <c r="Q7864" s="43">
        <f>IF($I7864=0,0,$Q7863+$P7864+$O7864)</f>
      </c>
      <c r="R7864" s="43">
        <f>IF($I7864=0,0,$J7864-$M7864-$N7864)</f>
      </c>
    </row>
    <row r="7865">
      <c r="A7865"/>
      <c r="B7865">
        <v>17</v>
      </c>
      <c r="C7865" s="43">
        <f>INDEX(DarlObj,17)</f>
      </c>
      <c r="D7865">
        <v>182</v>
      </c>
      <c r="E7865" s="51">
        <f>IF(INDEX(DarlBelegt,17)=0,0,EOMONTH(INDEX(DarlAuszahlung,17),181)+1)</f>
      </c>
      <c r="F7865" s="43">
        <f>IF($E7865=0,0,YEAR($E7865))</f>
      </c>
      <c r="G7865" s="43">
        <f>IF(INDEX(DarlBindung,17)="",1,IF($E7865&lt;=INDEX(DarlBindung,17),1,0))</f>
      </c>
      <c r="H7865" s="43">
        <f>IF($G7865=1,INDEX(DarlSollzins,17),INDEX(DarlAnschluss,17))</f>
      </c>
      <c r="I7865" s="43">
        <f>IF(INDEX(DarlBelegt,17)=0,0,IF(INDEX(DarlOhneTilgung,17)=1,IF(INDEX(DarlBindung,17)="",1,$G7865),IF($J7865&gt;0.005,1,0)))</f>
      </c>
      <c r="J7865" s="43">
        <f>IF($I7864=0,0,$R7864)</f>
      </c>
      <c r="K7865" s="43">
        <f>IF($I7865=0,0,IF(INDEX(DarlOhneTilgung,17)=1,0,IF(AND(INDEX(DarlTilgStart,17)&gt;0,$E7865=INDEX(DarlTilgStart,17)),$J7865*($H7865+INDEX(DarlTilgung,17))/100/12,IF(AND($G7865=0,$G7864=1),MAX($K7864,$J7865*($H7865+1)/100/12),$K7864))))</f>
      </c>
      <c r="L7865" s="43">
        <f>IF($I7865=0,0,$J7865*$H7865/100/12)</f>
      </c>
      <c r="M7865" s="43">
        <f>IF($I7865=0,0,IF(OR(INDEX(DarlOhneTilgung,17)=1,AND(INDEX(DarlTilgStart,17)&gt;0,$E7865&lt;INDEX(DarlTilgStart,17))),0,MIN(MAX(0,$K7865-$L7865),$J7865)))</f>
      </c>
      <c r="N7865" s="43">
        <f>IF($I7865=0,0,MIN(SUMIFS(SondBetrag,SondDarl,17,SondDatum,"&gt;="&amp;$E7865,SondDatum,"&lt;="&amp;EOMONTH($E7865,0)),$J7865-$M7865))</f>
      </c>
      <c r="O7865" s="43">
        <f>IF($I7865=0,0,INDEX(DarlErsatzRate,17))</f>
      </c>
      <c r="P7865" s="43">
        <f>IF($I7865=0,0,$Q7864*INDEX(DarlErsatzZins,17))</f>
      </c>
      <c r="Q7865" s="43">
        <f>IF($I7865=0,0,$Q7864+$P7865+$O7865)</f>
      </c>
      <c r="R7865" s="43">
        <f>IF($I7865=0,0,$J7865-$M7865-$N7865)</f>
      </c>
    </row>
    <row r="7866">
      <c r="A7866"/>
      <c r="B7866">
        <v>17</v>
      </c>
      <c r="C7866" s="43">
        <f>INDEX(DarlObj,17)</f>
      </c>
      <c r="D7866">
        <v>183</v>
      </c>
      <c r="E7866" s="51">
        <f>IF(INDEX(DarlBelegt,17)=0,0,EOMONTH(INDEX(DarlAuszahlung,17),182)+1)</f>
      </c>
      <c r="F7866" s="43">
        <f>IF($E7866=0,0,YEAR($E7866))</f>
      </c>
      <c r="G7866" s="43">
        <f>IF(INDEX(DarlBindung,17)="",1,IF($E7866&lt;=INDEX(DarlBindung,17),1,0))</f>
      </c>
      <c r="H7866" s="43">
        <f>IF($G7866=1,INDEX(DarlSollzins,17),INDEX(DarlAnschluss,17))</f>
      </c>
      <c r="I7866" s="43">
        <f>IF(INDEX(DarlBelegt,17)=0,0,IF(INDEX(DarlOhneTilgung,17)=1,IF(INDEX(DarlBindung,17)="",1,$G7866),IF($J7866&gt;0.005,1,0)))</f>
      </c>
      <c r="J7866" s="43">
        <f>IF($I7865=0,0,$R7865)</f>
      </c>
      <c r="K7866" s="43">
        <f>IF($I7866=0,0,IF(INDEX(DarlOhneTilgung,17)=1,0,IF(AND(INDEX(DarlTilgStart,17)&gt;0,$E7866=INDEX(DarlTilgStart,17)),$J7866*($H7866+INDEX(DarlTilgung,17))/100/12,IF(AND($G7866=0,$G7865=1),MAX($K7865,$J7866*($H7866+1)/100/12),$K7865))))</f>
      </c>
      <c r="L7866" s="43">
        <f>IF($I7866=0,0,$J7866*$H7866/100/12)</f>
      </c>
      <c r="M7866" s="43">
        <f>IF($I7866=0,0,IF(OR(INDEX(DarlOhneTilgung,17)=1,AND(INDEX(DarlTilgStart,17)&gt;0,$E7866&lt;INDEX(DarlTilgStart,17))),0,MIN(MAX(0,$K7866-$L7866),$J7866)))</f>
      </c>
      <c r="N7866" s="43">
        <f>IF($I7866=0,0,MIN(SUMIFS(SondBetrag,SondDarl,17,SondDatum,"&gt;="&amp;$E7866,SondDatum,"&lt;="&amp;EOMONTH($E7866,0)),$J7866-$M7866))</f>
      </c>
      <c r="O7866" s="43">
        <f>IF($I7866=0,0,INDEX(DarlErsatzRate,17))</f>
      </c>
      <c r="P7866" s="43">
        <f>IF($I7866=0,0,$Q7865*INDEX(DarlErsatzZins,17))</f>
      </c>
      <c r="Q7866" s="43">
        <f>IF($I7866=0,0,$Q7865+$P7866+$O7866)</f>
      </c>
      <c r="R7866" s="43">
        <f>IF($I7866=0,0,$J7866-$M7866-$N7866)</f>
      </c>
    </row>
    <row r="7867">
      <c r="A7867"/>
      <c r="B7867">
        <v>17</v>
      </c>
      <c r="C7867" s="43">
        <f>INDEX(DarlObj,17)</f>
      </c>
      <c r="D7867">
        <v>184</v>
      </c>
      <c r="E7867" s="51">
        <f>IF(INDEX(DarlBelegt,17)=0,0,EOMONTH(INDEX(DarlAuszahlung,17),183)+1)</f>
      </c>
      <c r="F7867" s="43">
        <f>IF($E7867=0,0,YEAR($E7867))</f>
      </c>
      <c r="G7867" s="43">
        <f>IF(INDEX(DarlBindung,17)="",1,IF($E7867&lt;=INDEX(DarlBindung,17),1,0))</f>
      </c>
      <c r="H7867" s="43">
        <f>IF($G7867=1,INDEX(DarlSollzins,17),INDEX(DarlAnschluss,17))</f>
      </c>
      <c r="I7867" s="43">
        <f>IF(INDEX(DarlBelegt,17)=0,0,IF(INDEX(DarlOhneTilgung,17)=1,IF(INDEX(DarlBindung,17)="",1,$G7867),IF($J7867&gt;0.005,1,0)))</f>
      </c>
      <c r="J7867" s="43">
        <f>IF($I7866=0,0,$R7866)</f>
      </c>
      <c r="K7867" s="43">
        <f>IF($I7867=0,0,IF(INDEX(DarlOhneTilgung,17)=1,0,IF(AND(INDEX(DarlTilgStart,17)&gt;0,$E7867=INDEX(DarlTilgStart,17)),$J7867*($H7867+INDEX(DarlTilgung,17))/100/12,IF(AND($G7867=0,$G7866=1),MAX($K7866,$J7867*($H7867+1)/100/12),$K7866))))</f>
      </c>
      <c r="L7867" s="43">
        <f>IF($I7867=0,0,$J7867*$H7867/100/12)</f>
      </c>
      <c r="M7867" s="43">
        <f>IF($I7867=0,0,IF(OR(INDEX(DarlOhneTilgung,17)=1,AND(INDEX(DarlTilgStart,17)&gt;0,$E7867&lt;INDEX(DarlTilgStart,17))),0,MIN(MAX(0,$K7867-$L7867),$J7867)))</f>
      </c>
      <c r="N7867" s="43">
        <f>IF($I7867=0,0,MIN(SUMIFS(SondBetrag,SondDarl,17,SondDatum,"&gt;="&amp;$E7867,SondDatum,"&lt;="&amp;EOMONTH($E7867,0)),$J7867-$M7867))</f>
      </c>
      <c r="O7867" s="43">
        <f>IF($I7867=0,0,INDEX(DarlErsatzRate,17))</f>
      </c>
      <c r="P7867" s="43">
        <f>IF($I7867=0,0,$Q7866*INDEX(DarlErsatzZins,17))</f>
      </c>
      <c r="Q7867" s="43">
        <f>IF($I7867=0,0,$Q7866+$P7867+$O7867)</f>
      </c>
      <c r="R7867" s="43">
        <f>IF($I7867=0,0,$J7867-$M7867-$N7867)</f>
      </c>
    </row>
    <row r="7868">
      <c r="A7868"/>
      <c r="B7868">
        <v>17</v>
      </c>
      <c r="C7868" s="43">
        <f>INDEX(DarlObj,17)</f>
      </c>
      <c r="D7868">
        <v>185</v>
      </c>
      <c r="E7868" s="51">
        <f>IF(INDEX(DarlBelegt,17)=0,0,EOMONTH(INDEX(DarlAuszahlung,17),184)+1)</f>
      </c>
      <c r="F7868" s="43">
        <f>IF($E7868=0,0,YEAR($E7868))</f>
      </c>
      <c r="G7868" s="43">
        <f>IF(INDEX(DarlBindung,17)="",1,IF($E7868&lt;=INDEX(DarlBindung,17),1,0))</f>
      </c>
      <c r="H7868" s="43">
        <f>IF($G7868=1,INDEX(DarlSollzins,17),INDEX(DarlAnschluss,17))</f>
      </c>
      <c r="I7868" s="43">
        <f>IF(INDEX(DarlBelegt,17)=0,0,IF(INDEX(DarlOhneTilgung,17)=1,IF(INDEX(DarlBindung,17)="",1,$G7868),IF($J7868&gt;0.005,1,0)))</f>
      </c>
      <c r="J7868" s="43">
        <f>IF($I7867=0,0,$R7867)</f>
      </c>
      <c r="K7868" s="43">
        <f>IF($I7868=0,0,IF(INDEX(DarlOhneTilgung,17)=1,0,IF(AND(INDEX(DarlTilgStart,17)&gt;0,$E7868=INDEX(DarlTilgStart,17)),$J7868*($H7868+INDEX(DarlTilgung,17))/100/12,IF(AND($G7868=0,$G7867=1),MAX($K7867,$J7868*($H7868+1)/100/12),$K7867))))</f>
      </c>
      <c r="L7868" s="43">
        <f>IF($I7868=0,0,$J7868*$H7868/100/12)</f>
      </c>
      <c r="M7868" s="43">
        <f>IF($I7868=0,0,IF(OR(INDEX(DarlOhneTilgung,17)=1,AND(INDEX(DarlTilgStart,17)&gt;0,$E7868&lt;INDEX(DarlTilgStart,17))),0,MIN(MAX(0,$K7868-$L7868),$J7868)))</f>
      </c>
      <c r="N7868" s="43">
        <f>IF($I7868=0,0,MIN(SUMIFS(SondBetrag,SondDarl,17,SondDatum,"&gt;="&amp;$E7868,SondDatum,"&lt;="&amp;EOMONTH($E7868,0)),$J7868-$M7868))</f>
      </c>
      <c r="O7868" s="43">
        <f>IF($I7868=0,0,INDEX(DarlErsatzRate,17))</f>
      </c>
      <c r="P7868" s="43">
        <f>IF($I7868=0,0,$Q7867*INDEX(DarlErsatzZins,17))</f>
      </c>
      <c r="Q7868" s="43">
        <f>IF($I7868=0,0,$Q7867+$P7868+$O7868)</f>
      </c>
      <c r="R7868" s="43">
        <f>IF($I7868=0,0,$J7868-$M7868-$N7868)</f>
      </c>
    </row>
    <row r="7869">
      <c r="A7869"/>
      <c r="B7869">
        <v>17</v>
      </c>
      <c r="C7869" s="43">
        <f>INDEX(DarlObj,17)</f>
      </c>
      <c r="D7869">
        <v>186</v>
      </c>
      <c r="E7869" s="51">
        <f>IF(INDEX(DarlBelegt,17)=0,0,EOMONTH(INDEX(DarlAuszahlung,17),185)+1)</f>
      </c>
      <c r="F7869" s="43">
        <f>IF($E7869=0,0,YEAR($E7869))</f>
      </c>
      <c r="G7869" s="43">
        <f>IF(INDEX(DarlBindung,17)="",1,IF($E7869&lt;=INDEX(DarlBindung,17),1,0))</f>
      </c>
      <c r="H7869" s="43">
        <f>IF($G7869=1,INDEX(DarlSollzins,17),INDEX(DarlAnschluss,17))</f>
      </c>
      <c r="I7869" s="43">
        <f>IF(INDEX(DarlBelegt,17)=0,0,IF(INDEX(DarlOhneTilgung,17)=1,IF(INDEX(DarlBindung,17)="",1,$G7869),IF($J7869&gt;0.005,1,0)))</f>
      </c>
      <c r="J7869" s="43">
        <f>IF($I7868=0,0,$R7868)</f>
      </c>
      <c r="K7869" s="43">
        <f>IF($I7869=0,0,IF(INDEX(DarlOhneTilgung,17)=1,0,IF(AND(INDEX(DarlTilgStart,17)&gt;0,$E7869=INDEX(DarlTilgStart,17)),$J7869*($H7869+INDEX(DarlTilgung,17))/100/12,IF(AND($G7869=0,$G7868=1),MAX($K7868,$J7869*($H7869+1)/100/12),$K7868))))</f>
      </c>
      <c r="L7869" s="43">
        <f>IF($I7869=0,0,$J7869*$H7869/100/12)</f>
      </c>
      <c r="M7869" s="43">
        <f>IF($I7869=0,0,IF(OR(INDEX(DarlOhneTilgung,17)=1,AND(INDEX(DarlTilgStart,17)&gt;0,$E7869&lt;INDEX(DarlTilgStart,17))),0,MIN(MAX(0,$K7869-$L7869),$J7869)))</f>
      </c>
      <c r="N7869" s="43">
        <f>IF($I7869=0,0,MIN(SUMIFS(SondBetrag,SondDarl,17,SondDatum,"&gt;="&amp;$E7869,SondDatum,"&lt;="&amp;EOMONTH($E7869,0)),$J7869-$M7869))</f>
      </c>
      <c r="O7869" s="43">
        <f>IF($I7869=0,0,INDEX(DarlErsatzRate,17))</f>
      </c>
      <c r="P7869" s="43">
        <f>IF($I7869=0,0,$Q7868*INDEX(DarlErsatzZins,17))</f>
      </c>
      <c r="Q7869" s="43">
        <f>IF($I7869=0,0,$Q7868+$P7869+$O7869)</f>
      </c>
      <c r="R7869" s="43">
        <f>IF($I7869=0,0,$J7869-$M7869-$N7869)</f>
      </c>
    </row>
    <row r="7870">
      <c r="A7870"/>
      <c r="B7870">
        <v>17</v>
      </c>
      <c r="C7870" s="43">
        <f>INDEX(DarlObj,17)</f>
      </c>
      <c r="D7870">
        <v>187</v>
      </c>
      <c r="E7870" s="51">
        <f>IF(INDEX(DarlBelegt,17)=0,0,EOMONTH(INDEX(DarlAuszahlung,17),186)+1)</f>
      </c>
      <c r="F7870" s="43">
        <f>IF($E7870=0,0,YEAR($E7870))</f>
      </c>
      <c r="G7870" s="43">
        <f>IF(INDEX(DarlBindung,17)="",1,IF($E7870&lt;=INDEX(DarlBindung,17),1,0))</f>
      </c>
      <c r="H7870" s="43">
        <f>IF($G7870=1,INDEX(DarlSollzins,17),INDEX(DarlAnschluss,17))</f>
      </c>
      <c r="I7870" s="43">
        <f>IF(INDEX(DarlBelegt,17)=0,0,IF(INDEX(DarlOhneTilgung,17)=1,IF(INDEX(DarlBindung,17)="",1,$G7870),IF($J7870&gt;0.005,1,0)))</f>
      </c>
      <c r="J7870" s="43">
        <f>IF($I7869=0,0,$R7869)</f>
      </c>
      <c r="K7870" s="43">
        <f>IF($I7870=0,0,IF(INDEX(DarlOhneTilgung,17)=1,0,IF(AND(INDEX(DarlTilgStart,17)&gt;0,$E7870=INDEX(DarlTilgStart,17)),$J7870*($H7870+INDEX(DarlTilgung,17))/100/12,IF(AND($G7870=0,$G7869=1),MAX($K7869,$J7870*($H7870+1)/100/12),$K7869))))</f>
      </c>
      <c r="L7870" s="43">
        <f>IF($I7870=0,0,$J7870*$H7870/100/12)</f>
      </c>
      <c r="M7870" s="43">
        <f>IF($I7870=0,0,IF(OR(INDEX(DarlOhneTilgung,17)=1,AND(INDEX(DarlTilgStart,17)&gt;0,$E7870&lt;INDEX(DarlTilgStart,17))),0,MIN(MAX(0,$K7870-$L7870),$J7870)))</f>
      </c>
      <c r="N7870" s="43">
        <f>IF($I7870=0,0,MIN(SUMIFS(SondBetrag,SondDarl,17,SondDatum,"&gt;="&amp;$E7870,SondDatum,"&lt;="&amp;EOMONTH($E7870,0)),$J7870-$M7870))</f>
      </c>
      <c r="O7870" s="43">
        <f>IF($I7870=0,0,INDEX(DarlErsatzRate,17))</f>
      </c>
      <c r="P7870" s="43">
        <f>IF($I7870=0,0,$Q7869*INDEX(DarlErsatzZins,17))</f>
      </c>
      <c r="Q7870" s="43">
        <f>IF($I7870=0,0,$Q7869+$P7870+$O7870)</f>
      </c>
      <c r="R7870" s="43">
        <f>IF($I7870=0,0,$J7870-$M7870-$N7870)</f>
      </c>
    </row>
    <row r="7871">
      <c r="A7871"/>
      <c r="B7871">
        <v>17</v>
      </c>
      <c r="C7871" s="43">
        <f>INDEX(DarlObj,17)</f>
      </c>
      <c r="D7871">
        <v>188</v>
      </c>
      <c r="E7871" s="51">
        <f>IF(INDEX(DarlBelegt,17)=0,0,EOMONTH(INDEX(DarlAuszahlung,17),187)+1)</f>
      </c>
      <c r="F7871" s="43">
        <f>IF($E7871=0,0,YEAR($E7871))</f>
      </c>
      <c r="G7871" s="43">
        <f>IF(INDEX(DarlBindung,17)="",1,IF($E7871&lt;=INDEX(DarlBindung,17),1,0))</f>
      </c>
      <c r="H7871" s="43">
        <f>IF($G7871=1,INDEX(DarlSollzins,17),INDEX(DarlAnschluss,17))</f>
      </c>
      <c r="I7871" s="43">
        <f>IF(INDEX(DarlBelegt,17)=0,0,IF(INDEX(DarlOhneTilgung,17)=1,IF(INDEX(DarlBindung,17)="",1,$G7871),IF($J7871&gt;0.005,1,0)))</f>
      </c>
      <c r="J7871" s="43">
        <f>IF($I7870=0,0,$R7870)</f>
      </c>
      <c r="K7871" s="43">
        <f>IF($I7871=0,0,IF(INDEX(DarlOhneTilgung,17)=1,0,IF(AND(INDEX(DarlTilgStart,17)&gt;0,$E7871=INDEX(DarlTilgStart,17)),$J7871*($H7871+INDEX(DarlTilgung,17))/100/12,IF(AND($G7871=0,$G7870=1),MAX($K7870,$J7871*($H7871+1)/100/12),$K7870))))</f>
      </c>
      <c r="L7871" s="43">
        <f>IF($I7871=0,0,$J7871*$H7871/100/12)</f>
      </c>
      <c r="M7871" s="43">
        <f>IF($I7871=0,0,IF(OR(INDEX(DarlOhneTilgung,17)=1,AND(INDEX(DarlTilgStart,17)&gt;0,$E7871&lt;INDEX(DarlTilgStart,17))),0,MIN(MAX(0,$K7871-$L7871),$J7871)))</f>
      </c>
      <c r="N7871" s="43">
        <f>IF($I7871=0,0,MIN(SUMIFS(SondBetrag,SondDarl,17,SondDatum,"&gt;="&amp;$E7871,SondDatum,"&lt;="&amp;EOMONTH($E7871,0)),$J7871-$M7871))</f>
      </c>
      <c r="O7871" s="43">
        <f>IF($I7871=0,0,INDEX(DarlErsatzRate,17))</f>
      </c>
      <c r="P7871" s="43">
        <f>IF($I7871=0,0,$Q7870*INDEX(DarlErsatzZins,17))</f>
      </c>
      <c r="Q7871" s="43">
        <f>IF($I7871=0,0,$Q7870+$P7871+$O7871)</f>
      </c>
      <c r="R7871" s="43">
        <f>IF($I7871=0,0,$J7871-$M7871-$N7871)</f>
      </c>
    </row>
    <row r="7872">
      <c r="A7872"/>
      <c r="B7872">
        <v>17</v>
      </c>
      <c r="C7872" s="43">
        <f>INDEX(DarlObj,17)</f>
      </c>
      <c r="D7872">
        <v>189</v>
      </c>
      <c r="E7872" s="51">
        <f>IF(INDEX(DarlBelegt,17)=0,0,EOMONTH(INDEX(DarlAuszahlung,17),188)+1)</f>
      </c>
      <c r="F7872" s="43">
        <f>IF($E7872=0,0,YEAR($E7872))</f>
      </c>
      <c r="G7872" s="43">
        <f>IF(INDEX(DarlBindung,17)="",1,IF($E7872&lt;=INDEX(DarlBindung,17),1,0))</f>
      </c>
      <c r="H7872" s="43">
        <f>IF($G7872=1,INDEX(DarlSollzins,17),INDEX(DarlAnschluss,17))</f>
      </c>
      <c r="I7872" s="43">
        <f>IF(INDEX(DarlBelegt,17)=0,0,IF(INDEX(DarlOhneTilgung,17)=1,IF(INDEX(DarlBindung,17)="",1,$G7872),IF($J7872&gt;0.005,1,0)))</f>
      </c>
      <c r="J7872" s="43">
        <f>IF($I7871=0,0,$R7871)</f>
      </c>
      <c r="K7872" s="43">
        <f>IF($I7872=0,0,IF(INDEX(DarlOhneTilgung,17)=1,0,IF(AND(INDEX(DarlTilgStart,17)&gt;0,$E7872=INDEX(DarlTilgStart,17)),$J7872*($H7872+INDEX(DarlTilgung,17))/100/12,IF(AND($G7872=0,$G7871=1),MAX($K7871,$J7872*($H7872+1)/100/12),$K7871))))</f>
      </c>
      <c r="L7872" s="43">
        <f>IF($I7872=0,0,$J7872*$H7872/100/12)</f>
      </c>
      <c r="M7872" s="43">
        <f>IF($I7872=0,0,IF(OR(INDEX(DarlOhneTilgung,17)=1,AND(INDEX(DarlTilgStart,17)&gt;0,$E7872&lt;INDEX(DarlTilgStart,17))),0,MIN(MAX(0,$K7872-$L7872),$J7872)))</f>
      </c>
      <c r="N7872" s="43">
        <f>IF($I7872=0,0,MIN(SUMIFS(SondBetrag,SondDarl,17,SondDatum,"&gt;="&amp;$E7872,SondDatum,"&lt;="&amp;EOMONTH($E7872,0)),$J7872-$M7872))</f>
      </c>
      <c r="O7872" s="43">
        <f>IF($I7872=0,0,INDEX(DarlErsatzRate,17))</f>
      </c>
      <c r="P7872" s="43">
        <f>IF($I7872=0,0,$Q7871*INDEX(DarlErsatzZins,17))</f>
      </c>
      <c r="Q7872" s="43">
        <f>IF($I7872=0,0,$Q7871+$P7872+$O7872)</f>
      </c>
      <c r="R7872" s="43">
        <f>IF($I7872=0,0,$J7872-$M7872-$N7872)</f>
      </c>
    </row>
    <row r="7873">
      <c r="A7873"/>
      <c r="B7873">
        <v>17</v>
      </c>
      <c r="C7873" s="43">
        <f>INDEX(DarlObj,17)</f>
      </c>
      <c r="D7873">
        <v>190</v>
      </c>
      <c r="E7873" s="51">
        <f>IF(INDEX(DarlBelegt,17)=0,0,EOMONTH(INDEX(DarlAuszahlung,17),189)+1)</f>
      </c>
      <c r="F7873" s="43">
        <f>IF($E7873=0,0,YEAR($E7873))</f>
      </c>
      <c r="G7873" s="43">
        <f>IF(INDEX(DarlBindung,17)="",1,IF($E7873&lt;=INDEX(DarlBindung,17),1,0))</f>
      </c>
      <c r="H7873" s="43">
        <f>IF($G7873=1,INDEX(DarlSollzins,17),INDEX(DarlAnschluss,17))</f>
      </c>
      <c r="I7873" s="43">
        <f>IF(INDEX(DarlBelegt,17)=0,0,IF(INDEX(DarlOhneTilgung,17)=1,IF(INDEX(DarlBindung,17)="",1,$G7873),IF($J7873&gt;0.005,1,0)))</f>
      </c>
      <c r="J7873" s="43">
        <f>IF($I7872=0,0,$R7872)</f>
      </c>
      <c r="K7873" s="43">
        <f>IF($I7873=0,0,IF(INDEX(DarlOhneTilgung,17)=1,0,IF(AND(INDEX(DarlTilgStart,17)&gt;0,$E7873=INDEX(DarlTilgStart,17)),$J7873*($H7873+INDEX(DarlTilgung,17))/100/12,IF(AND($G7873=0,$G7872=1),MAX($K7872,$J7873*($H7873+1)/100/12),$K7872))))</f>
      </c>
      <c r="L7873" s="43">
        <f>IF($I7873=0,0,$J7873*$H7873/100/12)</f>
      </c>
      <c r="M7873" s="43">
        <f>IF($I7873=0,0,IF(OR(INDEX(DarlOhneTilgung,17)=1,AND(INDEX(DarlTilgStart,17)&gt;0,$E7873&lt;INDEX(DarlTilgStart,17))),0,MIN(MAX(0,$K7873-$L7873),$J7873)))</f>
      </c>
      <c r="N7873" s="43">
        <f>IF($I7873=0,0,MIN(SUMIFS(SondBetrag,SondDarl,17,SondDatum,"&gt;="&amp;$E7873,SondDatum,"&lt;="&amp;EOMONTH($E7873,0)),$J7873-$M7873))</f>
      </c>
      <c r="O7873" s="43">
        <f>IF($I7873=0,0,INDEX(DarlErsatzRate,17))</f>
      </c>
      <c r="P7873" s="43">
        <f>IF($I7873=0,0,$Q7872*INDEX(DarlErsatzZins,17))</f>
      </c>
      <c r="Q7873" s="43">
        <f>IF($I7873=0,0,$Q7872+$P7873+$O7873)</f>
      </c>
      <c r="R7873" s="43">
        <f>IF($I7873=0,0,$J7873-$M7873-$N7873)</f>
      </c>
    </row>
    <row r="7874">
      <c r="A7874"/>
      <c r="B7874">
        <v>17</v>
      </c>
      <c r="C7874" s="43">
        <f>INDEX(DarlObj,17)</f>
      </c>
      <c r="D7874">
        <v>191</v>
      </c>
      <c r="E7874" s="51">
        <f>IF(INDEX(DarlBelegt,17)=0,0,EOMONTH(INDEX(DarlAuszahlung,17),190)+1)</f>
      </c>
      <c r="F7874" s="43">
        <f>IF($E7874=0,0,YEAR($E7874))</f>
      </c>
      <c r="G7874" s="43">
        <f>IF(INDEX(DarlBindung,17)="",1,IF($E7874&lt;=INDEX(DarlBindung,17),1,0))</f>
      </c>
      <c r="H7874" s="43">
        <f>IF($G7874=1,INDEX(DarlSollzins,17),INDEX(DarlAnschluss,17))</f>
      </c>
      <c r="I7874" s="43">
        <f>IF(INDEX(DarlBelegt,17)=0,0,IF(INDEX(DarlOhneTilgung,17)=1,IF(INDEX(DarlBindung,17)="",1,$G7874),IF($J7874&gt;0.005,1,0)))</f>
      </c>
      <c r="J7874" s="43">
        <f>IF($I7873=0,0,$R7873)</f>
      </c>
      <c r="K7874" s="43">
        <f>IF($I7874=0,0,IF(INDEX(DarlOhneTilgung,17)=1,0,IF(AND(INDEX(DarlTilgStart,17)&gt;0,$E7874=INDEX(DarlTilgStart,17)),$J7874*($H7874+INDEX(DarlTilgung,17))/100/12,IF(AND($G7874=0,$G7873=1),MAX($K7873,$J7874*($H7874+1)/100/12),$K7873))))</f>
      </c>
      <c r="L7874" s="43">
        <f>IF($I7874=0,0,$J7874*$H7874/100/12)</f>
      </c>
      <c r="M7874" s="43">
        <f>IF($I7874=0,0,IF(OR(INDEX(DarlOhneTilgung,17)=1,AND(INDEX(DarlTilgStart,17)&gt;0,$E7874&lt;INDEX(DarlTilgStart,17))),0,MIN(MAX(0,$K7874-$L7874),$J7874)))</f>
      </c>
      <c r="N7874" s="43">
        <f>IF($I7874=0,0,MIN(SUMIFS(SondBetrag,SondDarl,17,SondDatum,"&gt;="&amp;$E7874,SondDatum,"&lt;="&amp;EOMONTH($E7874,0)),$J7874-$M7874))</f>
      </c>
      <c r="O7874" s="43">
        <f>IF($I7874=0,0,INDEX(DarlErsatzRate,17))</f>
      </c>
      <c r="P7874" s="43">
        <f>IF($I7874=0,0,$Q7873*INDEX(DarlErsatzZins,17))</f>
      </c>
      <c r="Q7874" s="43">
        <f>IF($I7874=0,0,$Q7873+$P7874+$O7874)</f>
      </c>
      <c r="R7874" s="43">
        <f>IF($I7874=0,0,$J7874-$M7874-$N7874)</f>
      </c>
    </row>
    <row r="7875">
      <c r="A7875"/>
      <c r="B7875">
        <v>17</v>
      </c>
      <c r="C7875" s="43">
        <f>INDEX(DarlObj,17)</f>
      </c>
      <c r="D7875">
        <v>192</v>
      </c>
      <c r="E7875" s="51">
        <f>IF(INDEX(DarlBelegt,17)=0,0,EOMONTH(INDEX(DarlAuszahlung,17),191)+1)</f>
      </c>
      <c r="F7875" s="43">
        <f>IF($E7875=0,0,YEAR($E7875))</f>
      </c>
      <c r="G7875" s="43">
        <f>IF(INDEX(DarlBindung,17)="",1,IF($E7875&lt;=INDEX(DarlBindung,17),1,0))</f>
      </c>
      <c r="H7875" s="43">
        <f>IF($G7875=1,INDEX(DarlSollzins,17),INDEX(DarlAnschluss,17))</f>
      </c>
      <c r="I7875" s="43">
        <f>IF(INDEX(DarlBelegt,17)=0,0,IF(INDEX(DarlOhneTilgung,17)=1,IF(INDEX(DarlBindung,17)="",1,$G7875),IF($J7875&gt;0.005,1,0)))</f>
      </c>
      <c r="J7875" s="43">
        <f>IF($I7874=0,0,$R7874)</f>
      </c>
      <c r="K7875" s="43">
        <f>IF($I7875=0,0,IF(INDEX(DarlOhneTilgung,17)=1,0,IF(AND(INDEX(DarlTilgStart,17)&gt;0,$E7875=INDEX(DarlTilgStart,17)),$J7875*($H7875+INDEX(DarlTilgung,17))/100/12,IF(AND($G7875=0,$G7874=1),MAX($K7874,$J7875*($H7875+1)/100/12),$K7874))))</f>
      </c>
      <c r="L7875" s="43">
        <f>IF($I7875=0,0,$J7875*$H7875/100/12)</f>
      </c>
      <c r="M7875" s="43">
        <f>IF($I7875=0,0,IF(OR(INDEX(DarlOhneTilgung,17)=1,AND(INDEX(DarlTilgStart,17)&gt;0,$E7875&lt;INDEX(DarlTilgStart,17))),0,MIN(MAX(0,$K7875-$L7875),$J7875)))</f>
      </c>
      <c r="N7875" s="43">
        <f>IF($I7875=0,0,MIN(SUMIFS(SondBetrag,SondDarl,17,SondDatum,"&gt;="&amp;$E7875,SondDatum,"&lt;="&amp;EOMONTH($E7875,0)),$J7875-$M7875))</f>
      </c>
      <c r="O7875" s="43">
        <f>IF($I7875=0,0,INDEX(DarlErsatzRate,17))</f>
      </c>
      <c r="P7875" s="43">
        <f>IF($I7875=0,0,$Q7874*INDEX(DarlErsatzZins,17))</f>
      </c>
      <c r="Q7875" s="43">
        <f>IF($I7875=0,0,$Q7874+$P7875+$O7875)</f>
      </c>
      <c r="R7875" s="43">
        <f>IF($I7875=0,0,$J7875-$M7875-$N7875)</f>
      </c>
    </row>
    <row r="7876">
      <c r="A7876"/>
      <c r="B7876">
        <v>17</v>
      </c>
      <c r="C7876" s="43">
        <f>INDEX(DarlObj,17)</f>
      </c>
      <c r="D7876">
        <v>193</v>
      </c>
      <c r="E7876" s="51">
        <f>IF(INDEX(DarlBelegt,17)=0,0,EOMONTH(INDEX(DarlAuszahlung,17),192)+1)</f>
      </c>
      <c r="F7876" s="43">
        <f>IF($E7876=0,0,YEAR($E7876))</f>
      </c>
      <c r="G7876" s="43">
        <f>IF(INDEX(DarlBindung,17)="",1,IF($E7876&lt;=INDEX(DarlBindung,17),1,0))</f>
      </c>
      <c r="H7876" s="43">
        <f>IF($G7876=1,INDEX(DarlSollzins,17),INDEX(DarlAnschluss,17))</f>
      </c>
      <c r="I7876" s="43">
        <f>IF(INDEX(DarlBelegt,17)=0,0,IF(INDEX(DarlOhneTilgung,17)=1,IF(INDEX(DarlBindung,17)="",1,$G7876),IF($J7876&gt;0.005,1,0)))</f>
      </c>
      <c r="J7876" s="43">
        <f>IF($I7875=0,0,$R7875)</f>
      </c>
      <c r="K7876" s="43">
        <f>IF($I7876=0,0,IF(INDEX(DarlOhneTilgung,17)=1,0,IF(AND(INDEX(DarlTilgStart,17)&gt;0,$E7876=INDEX(DarlTilgStart,17)),$J7876*($H7876+INDEX(DarlTilgung,17))/100/12,IF(AND($G7876=0,$G7875=1),MAX($K7875,$J7876*($H7876+1)/100/12),$K7875))))</f>
      </c>
      <c r="L7876" s="43">
        <f>IF($I7876=0,0,$J7876*$H7876/100/12)</f>
      </c>
      <c r="M7876" s="43">
        <f>IF($I7876=0,0,IF(OR(INDEX(DarlOhneTilgung,17)=1,AND(INDEX(DarlTilgStart,17)&gt;0,$E7876&lt;INDEX(DarlTilgStart,17))),0,MIN(MAX(0,$K7876-$L7876),$J7876)))</f>
      </c>
      <c r="N7876" s="43">
        <f>IF($I7876=0,0,MIN(SUMIFS(SondBetrag,SondDarl,17,SondDatum,"&gt;="&amp;$E7876,SondDatum,"&lt;="&amp;EOMONTH($E7876,0)),$J7876-$M7876))</f>
      </c>
      <c r="O7876" s="43">
        <f>IF($I7876=0,0,INDEX(DarlErsatzRate,17))</f>
      </c>
      <c r="P7876" s="43">
        <f>IF($I7876=0,0,$Q7875*INDEX(DarlErsatzZins,17))</f>
      </c>
      <c r="Q7876" s="43">
        <f>IF($I7876=0,0,$Q7875+$P7876+$O7876)</f>
      </c>
      <c r="R7876" s="43">
        <f>IF($I7876=0,0,$J7876-$M7876-$N7876)</f>
      </c>
    </row>
    <row r="7877">
      <c r="A7877"/>
      <c r="B7877">
        <v>17</v>
      </c>
      <c r="C7877" s="43">
        <f>INDEX(DarlObj,17)</f>
      </c>
      <c r="D7877">
        <v>194</v>
      </c>
      <c r="E7877" s="51">
        <f>IF(INDEX(DarlBelegt,17)=0,0,EOMONTH(INDEX(DarlAuszahlung,17),193)+1)</f>
      </c>
      <c r="F7877" s="43">
        <f>IF($E7877=0,0,YEAR($E7877))</f>
      </c>
      <c r="G7877" s="43">
        <f>IF(INDEX(DarlBindung,17)="",1,IF($E7877&lt;=INDEX(DarlBindung,17),1,0))</f>
      </c>
      <c r="H7877" s="43">
        <f>IF($G7877=1,INDEX(DarlSollzins,17),INDEX(DarlAnschluss,17))</f>
      </c>
      <c r="I7877" s="43">
        <f>IF(INDEX(DarlBelegt,17)=0,0,IF(INDEX(DarlOhneTilgung,17)=1,IF(INDEX(DarlBindung,17)="",1,$G7877),IF($J7877&gt;0.005,1,0)))</f>
      </c>
      <c r="J7877" s="43">
        <f>IF($I7876=0,0,$R7876)</f>
      </c>
      <c r="K7877" s="43">
        <f>IF($I7877=0,0,IF(INDEX(DarlOhneTilgung,17)=1,0,IF(AND(INDEX(DarlTilgStart,17)&gt;0,$E7877=INDEX(DarlTilgStart,17)),$J7877*($H7877+INDEX(DarlTilgung,17))/100/12,IF(AND($G7877=0,$G7876=1),MAX($K7876,$J7877*($H7877+1)/100/12),$K7876))))</f>
      </c>
      <c r="L7877" s="43">
        <f>IF($I7877=0,0,$J7877*$H7877/100/12)</f>
      </c>
      <c r="M7877" s="43">
        <f>IF($I7877=0,0,IF(OR(INDEX(DarlOhneTilgung,17)=1,AND(INDEX(DarlTilgStart,17)&gt;0,$E7877&lt;INDEX(DarlTilgStart,17))),0,MIN(MAX(0,$K7877-$L7877),$J7877)))</f>
      </c>
      <c r="N7877" s="43">
        <f>IF($I7877=0,0,MIN(SUMIFS(SondBetrag,SondDarl,17,SondDatum,"&gt;="&amp;$E7877,SondDatum,"&lt;="&amp;EOMONTH($E7877,0)),$J7877-$M7877))</f>
      </c>
      <c r="O7877" s="43">
        <f>IF($I7877=0,0,INDEX(DarlErsatzRate,17))</f>
      </c>
      <c r="P7877" s="43">
        <f>IF($I7877=0,0,$Q7876*INDEX(DarlErsatzZins,17))</f>
      </c>
      <c r="Q7877" s="43">
        <f>IF($I7877=0,0,$Q7876+$P7877+$O7877)</f>
      </c>
      <c r="R7877" s="43">
        <f>IF($I7877=0,0,$J7877-$M7877-$N7877)</f>
      </c>
    </row>
    <row r="7878">
      <c r="A7878"/>
      <c r="B7878">
        <v>17</v>
      </c>
      <c r="C7878" s="43">
        <f>INDEX(DarlObj,17)</f>
      </c>
      <c r="D7878">
        <v>195</v>
      </c>
      <c r="E7878" s="51">
        <f>IF(INDEX(DarlBelegt,17)=0,0,EOMONTH(INDEX(DarlAuszahlung,17),194)+1)</f>
      </c>
      <c r="F7878" s="43">
        <f>IF($E7878=0,0,YEAR($E7878))</f>
      </c>
      <c r="G7878" s="43">
        <f>IF(INDEX(DarlBindung,17)="",1,IF($E7878&lt;=INDEX(DarlBindung,17),1,0))</f>
      </c>
      <c r="H7878" s="43">
        <f>IF($G7878=1,INDEX(DarlSollzins,17),INDEX(DarlAnschluss,17))</f>
      </c>
      <c r="I7878" s="43">
        <f>IF(INDEX(DarlBelegt,17)=0,0,IF(INDEX(DarlOhneTilgung,17)=1,IF(INDEX(DarlBindung,17)="",1,$G7878),IF($J7878&gt;0.005,1,0)))</f>
      </c>
      <c r="J7878" s="43">
        <f>IF($I7877=0,0,$R7877)</f>
      </c>
      <c r="K7878" s="43">
        <f>IF($I7878=0,0,IF(INDEX(DarlOhneTilgung,17)=1,0,IF(AND(INDEX(DarlTilgStart,17)&gt;0,$E7878=INDEX(DarlTilgStart,17)),$J7878*($H7878+INDEX(DarlTilgung,17))/100/12,IF(AND($G7878=0,$G7877=1),MAX($K7877,$J7878*($H7878+1)/100/12),$K7877))))</f>
      </c>
      <c r="L7878" s="43">
        <f>IF($I7878=0,0,$J7878*$H7878/100/12)</f>
      </c>
      <c r="M7878" s="43">
        <f>IF($I7878=0,0,IF(OR(INDEX(DarlOhneTilgung,17)=1,AND(INDEX(DarlTilgStart,17)&gt;0,$E7878&lt;INDEX(DarlTilgStart,17))),0,MIN(MAX(0,$K7878-$L7878),$J7878)))</f>
      </c>
      <c r="N7878" s="43">
        <f>IF($I7878=0,0,MIN(SUMIFS(SondBetrag,SondDarl,17,SondDatum,"&gt;="&amp;$E7878,SondDatum,"&lt;="&amp;EOMONTH($E7878,0)),$J7878-$M7878))</f>
      </c>
      <c r="O7878" s="43">
        <f>IF($I7878=0,0,INDEX(DarlErsatzRate,17))</f>
      </c>
      <c r="P7878" s="43">
        <f>IF($I7878=0,0,$Q7877*INDEX(DarlErsatzZins,17))</f>
      </c>
      <c r="Q7878" s="43">
        <f>IF($I7878=0,0,$Q7877+$P7878+$O7878)</f>
      </c>
      <c r="R7878" s="43">
        <f>IF($I7878=0,0,$J7878-$M7878-$N7878)</f>
      </c>
    </row>
    <row r="7879">
      <c r="A7879"/>
      <c r="B7879">
        <v>17</v>
      </c>
      <c r="C7879" s="43">
        <f>INDEX(DarlObj,17)</f>
      </c>
      <c r="D7879">
        <v>196</v>
      </c>
      <c r="E7879" s="51">
        <f>IF(INDEX(DarlBelegt,17)=0,0,EOMONTH(INDEX(DarlAuszahlung,17),195)+1)</f>
      </c>
      <c r="F7879" s="43">
        <f>IF($E7879=0,0,YEAR($E7879))</f>
      </c>
      <c r="G7879" s="43">
        <f>IF(INDEX(DarlBindung,17)="",1,IF($E7879&lt;=INDEX(DarlBindung,17),1,0))</f>
      </c>
      <c r="H7879" s="43">
        <f>IF($G7879=1,INDEX(DarlSollzins,17),INDEX(DarlAnschluss,17))</f>
      </c>
      <c r="I7879" s="43">
        <f>IF(INDEX(DarlBelegt,17)=0,0,IF(INDEX(DarlOhneTilgung,17)=1,IF(INDEX(DarlBindung,17)="",1,$G7879),IF($J7879&gt;0.005,1,0)))</f>
      </c>
      <c r="J7879" s="43">
        <f>IF($I7878=0,0,$R7878)</f>
      </c>
      <c r="K7879" s="43">
        <f>IF($I7879=0,0,IF(INDEX(DarlOhneTilgung,17)=1,0,IF(AND(INDEX(DarlTilgStart,17)&gt;0,$E7879=INDEX(DarlTilgStart,17)),$J7879*($H7879+INDEX(DarlTilgung,17))/100/12,IF(AND($G7879=0,$G7878=1),MAX($K7878,$J7879*($H7879+1)/100/12),$K7878))))</f>
      </c>
      <c r="L7879" s="43">
        <f>IF($I7879=0,0,$J7879*$H7879/100/12)</f>
      </c>
      <c r="M7879" s="43">
        <f>IF($I7879=0,0,IF(OR(INDEX(DarlOhneTilgung,17)=1,AND(INDEX(DarlTilgStart,17)&gt;0,$E7879&lt;INDEX(DarlTilgStart,17))),0,MIN(MAX(0,$K7879-$L7879),$J7879)))</f>
      </c>
      <c r="N7879" s="43">
        <f>IF($I7879=0,0,MIN(SUMIFS(SondBetrag,SondDarl,17,SondDatum,"&gt;="&amp;$E7879,SondDatum,"&lt;="&amp;EOMONTH($E7879,0)),$J7879-$M7879))</f>
      </c>
      <c r="O7879" s="43">
        <f>IF($I7879=0,0,INDEX(DarlErsatzRate,17))</f>
      </c>
      <c r="P7879" s="43">
        <f>IF($I7879=0,0,$Q7878*INDEX(DarlErsatzZins,17))</f>
      </c>
      <c r="Q7879" s="43">
        <f>IF($I7879=0,0,$Q7878+$P7879+$O7879)</f>
      </c>
      <c r="R7879" s="43">
        <f>IF($I7879=0,0,$J7879-$M7879-$N7879)</f>
      </c>
    </row>
    <row r="7880">
      <c r="A7880"/>
      <c r="B7880">
        <v>17</v>
      </c>
      <c r="C7880" s="43">
        <f>INDEX(DarlObj,17)</f>
      </c>
      <c r="D7880">
        <v>197</v>
      </c>
      <c r="E7880" s="51">
        <f>IF(INDEX(DarlBelegt,17)=0,0,EOMONTH(INDEX(DarlAuszahlung,17),196)+1)</f>
      </c>
      <c r="F7880" s="43">
        <f>IF($E7880=0,0,YEAR($E7880))</f>
      </c>
      <c r="G7880" s="43">
        <f>IF(INDEX(DarlBindung,17)="",1,IF($E7880&lt;=INDEX(DarlBindung,17),1,0))</f>
      </c>
      <c r="H7880" s="43">
        <f>IF($G7880=1,INDEX(DarlSollzins,17),INDEX(DarlAnschluss,17))</f>
      </c>
      <c r="I7880" s="43">
        <f>IF(INDEX(DarlBelegt,17)=0,0,IF(INDEX(DarlOhneTilgung,17)=1,IF(INDEX(DarlBindung,17)="",1,$G7880),IF($J7880&gt;0.005,1,0)))</f>
      </c>
      <c r="J7880" s="43">
        <f>IF($I7879=0,0,$R7879)</f>
      </c>
      <c r="K7880" s="43">
        <f>IF($I7880=0,0,IF(INDEX(DarlOhneTilgung,17)=1,0,IF(AND(INDEX(DarlTilgStart,17)&gt;0,$E7880=INDEX(DarlTilgStart,17)),$J7880*($H7880+INDEX(DarlTilgung,17))/100/12,IF(AND($G7880=0,$G7879=1),MAX($K7879,$J7880*($H7880+1)/100/12),$K7879))))</f>
      </c>
      <c r="L7880" s="43">
        <f>IF($I7880=0,0,$J7880*$H7880/100/12)</f>
      </c>
      <c r="M7880" s="43">
        <f>IF($I7880=0,0,IF(OR(INDEX(DarlOhneTilgung,17)=1,AND(INDEX(DarlTilgStart,17)&gt;0,$E7880&lt;INDEX(DarlTilgStart,17))),0,MIN(MAX(0,$K7880-$L7880),$J7880)))</f>
      </c>
      <c r="N7880" s="43">
        <f>IF($I7880=0,0,MIN(SUMIFS(SondBetrag,SondDarl,17,SondDatum,"&gt;="&amp;$E7880,SondDatum,"&lt;="&amp;EOMONTH($E7880,0)),$J7880-$M7880))</f>
      </c>
      <c r="O7880" s="43">
        <f>IF($I7880=0,0,INDEX(DarlErsatzRate,17))</f>
      </c>
      <c r="P7880" s="43">
        <f>IF($I7880=0,0,$Q7879*INDEX(DarlErsatzZins,17))</f>
      </c>
      <c r="Q7880" s="43">
        <f>IF($I7880=0,0,$Q7879+$P7880+$O7880)</f>
      </c>
      <c r="R7880" s="43">
        <f>IF($I7880=0,0,$J7880-$M7880-$N7880)</f>
      </c>
    </row>
    <row r="7881">
      <c r="A7881"/>
      <c r="B7881">
        <v>17</v>
      </c>
      <c r="C7881" s="43">
        <f>INDEX(DarlObj,17)</f>
      </c>
      <c r="D7881">
        <v>198</v>
      </c>
      <c r="E7881" s="51">
        <f>IF(INDEX(DarlBelegt,17)=0,0,EOMONTH(INDEX(DarlAuszahlung,17),197)+1)</f>
      </c>
      <c r="F7881" s="43">
        <f>IF($E7881=0,0,YEAR($E7881))</f>
      </c>
      <c r="G7881" s="43">
        <f>IF(INDEX(DarlBindung,17)="",1,IF($E7881&lt;=INDEX(DarlBindung,17),1,0))</f>
      </c>
      <c r="H7881" s="43">
        <f>IF($G7881=1,INDEX(DarlSollzins,17),INDEX(DarlAnschluss,17))</f>
      </c>
      <c r="I7881" s="43">
        <f>IF(INDEX(DarlBelegt,17)=0,0,IF(INDEX(DarlOhneTilgung,17)=1,IF(INDEX(DarlBindung,17)="",1,$G7881),IF($J7881&gt;0.005,1,0)))</f>
      </c>
      <c r="J7881" s="43">
        <f>IF($I7880=0,0,$R7880)</f>
      </c>
      <c r="K7881" s="43">
        <f>IF($I7881=0,0,IF(INDEX(DarlOhneTilgung,17)=1,0,IF(AND(INDEX(DarlTilgStart,17)&gt;0,$E7881=INDEX(DarlTilgStart,17)),$J7881*($H7881+INDEX(DarlTilgung,17))/100/12,IF(AND($G7881=0,$G7880=1),MAX($K7880,$J7881*($H7881+1)/100/12),$K7880))))</f>
      </c>
      <c r="L7881" s="43">
        <f>IF($I7881=0,0,$J7881*$H7881/100/12)</f>
      </c>
      <c r="M7881" s="43">
        <f>IF($I7881=0,0,IF(OR(INDEX(DarlOhneTilgung,17)=1,AND(INDEX(DarlTilgStart,17)&gt;0,$E7881&lt;INDEX(DarlTilgStart,17))),0,MIN(MAX(0,$K7881-$L7881),$J7881)))</f>
      </c>
      <c r="N7881" s="43">
        <f>IF($I7881=0,0,MIN(SUMIFS(SondBetrag,SondDarl,17,SondDatum,"&gt;="&amp;$E7881,SondDatum,"&lt;="&amp;EOMONTH($E7881,0)),$J7881-$M7881))</f>
      </c>
      <c r="O7881" s="43">
        <f>IF($I7881=0,0,INDEX(DarlErsatzRate,17))</f>
      </c>
      <c r="P7881" s="43">
        <f>IF($I7881=0,0,$Q7880*INDEX(DarlErsatzZins,17))</f>
      </c>
      <c r="Q7881" s="43">
        <f>IF($I7881=0,0,$Q7880+$P7881+$O7881)</f>
      </c>
      <c r="R7881" s="43">
        <f>IF($I7881=0,0,$J7881-$M7881-$N7881)</f>
      </c>
    </row>
    <row r="7882">
      <c r="A7882"/>
      <c r="B7882">
        <v>17</v>
      </c>
      <c r="C7882" s="43">
        <f>INDEX(DarlObj,17)</f>
      </c>
      <c r="D7882">
        <v>199</v>
      </c>
      <c r="E7882" s="51">
        <f>IF(INDEX(DarlBelegt,17)=0,0,EOMONTH(INDEX(DarlAuszahlung,17),198)+1)</f>
      </c>
      <c r="F7882" s="43">
        <f>IF($E7882=0,0,YEAR($E7882))</f>
      </c>
      <c r="G7882" s="43">
        <f>IF(INDEX(DarlBindung,17)="",1,IF($E7882&lt;=INDEX(DarlBindung,17),1,0))</f>
      </c>
      <c r="H7882" s="43">
        <f>IF($G7882=1,INDEX(DarlSollzins,17),INDEX(DarlAnschluss,17))</f>
      </c>
      <c r="I7882" s="43">
        <f>IF(INDEX(DarlBelegt,17)=0,0,IF(INDEX(DarlOhneTilgung,17)=1,IF(INDEX(DarlBindung,17)="",1,$G7882),IF($J7882&gt;0.005,1,0)))</f>
      </c>
      <c r="J7882" s="43">
        <f>IF($I7881=0,0,$R7881)</f>
      </c>
      <c r="K7882" s="43">
        <f>IF($I7882=0,0,IF(INDEX(DarlOhneTilgung,17)=1,0,IF(AND(INDEX(DarlTilgStart,17)&gt;0,$E7882=INDEX(DarlTilgStart,17)),$J7882*($H7882+INDEX(DarlTilgung,17))/100/12,IF(AND($G7882=0,$G7881=1),MAX($K7881,$J7882*($H7882+1)/100/12),$K7881))))</f>
      </c>
      <c r="L7882" s="43">
        <f>IF($I7882=0,0,$J7882*$H7882/100/12)</f>
      </c>
      <c r="M7882" s="43">
        <f>IF($I7882=0,0,IF(OR(INDEX(DarlOhneTilgung,17)=1,AND(INDEX(DarlTilgStart,17)&gt;0,$E7882&lt;INDEX(DarlTilgStart,17))),0,MIN(MAX(0,$K7882-$L7882),$J7882)))</f>
      </c>
      <c r="N7882" s="43">
        <f>IF($I7882=0,0,MIN(SUMIFS(SondBetrag,SondDarl,17,SondDatum,"&gt;="&amp;$E7882,SondDatum,"&lt;="&amp;EOMONTH($E7882,0)),$J7882-$M7882))</f>
      </c>
      <c r="O7882" s="43">
        <f>IF($I7882=0,0,INDEX(DarlErsatzRate,17))</f>
      </c>
      <c r="P7882" s="43">
        <f>IF($I7882=0,0,$Q7881*INDEX(DarlErsatzZins,17))</f>
      </c>
      <c r="Q7882" s="43">
        <f>IF($I7882=0,0,$Q7881+$P7882+$O7882)</f>
      </c>
      <c r="R7882" s="43">
        <f>IF($I7882=0,0,$J7882-$M7882-$N7882)</f>
      </c>
    </row>
    <row r="7883">
      <c r="A7883"/>
      <c r="B7883">
        <v>17</v>
      </c>
      <c r="C7883" s="43">
        <f>INDEX(DarlObj,17)</f>
      </c>
      <c r="D7883">
        <v>200</v>
      </c>
      <c r="E7883" s="51">
        <f>IF(INDEX(DarlBelegt,17)=0,0,EOMONTH(INDEX(DarlAuszahlung,17),199)+1)</f>
      </c>
      <c r="F7883" s="43">
        <f>IF($E7883=0,0,YEAR($E7883))</f>
      </c>
      <c r="G7883" s="43">
        <f>IF(INDEX(DarlBindung,17)="",1,IF($E7883&lt;=INDEX(DarlBindung,17),1,0))</f>
      </c>
      <c r="H7883" s="43">
        <f>IF($G7883=1,INDEX(DarlSollzins,17),INDEX(DarlAnschluss,17))</f>
      </c>
      <c r="I7883" s="43">
        <f>IF(INDEX(DarlBelegt,17)=0,0,IF(INDEX(DarlOhneTilgung,17)=1,IF(INDEX(DarlBindung,17)="",1,$G7883),IF($J7883&gt;0.005,1,0)))</f>
      </c>
      <c r="J7883" s="43">
        <f>IF($I7882=0,0,$R7882)</f>
      </c>
      <c r="K7883" s="43">
        <f>IF($I7883=0,0,IF(INDEX(DarlOhneTilgung,17)=1,0,IF(AND(INDEX(DarlTilgStart,17)&gt;0,$E7883=INDEX(DarlTilgStart,17)),$J7883*($H7883+INDEX(DarlTilgung,17))/100/12,IF(AND($G7883=0,$G7882=1),MAX($K7882,$J7883*($H7883+1)/100/12),$K7882))))</f>
      </c>
      <c r="L7883" s="43">
        <f>IF($I7883=0,0,$J7883*$H7883/100/12)</f>
      </c>
      <c r="M7883" s="43">
        <f>IF($I7883=0,0,IF(OR(INDEX(DarlOhneTilgung,17)=1,AND(INDEX(DarlTilgStart,17)&gt;0,$E7883&lt;INDEX(DarlTilgStart,17))),0,MIN(MAX(0,$K7883-$L7883),$J7883)))</f>
      </c>
      <c r="N7883" s="43">
        <f>IF($I7883=0,0,MIN(SUMIFS(SondBetrag,SondDarl,17,SondDatum,"&gt;="&amp;$E7883,SondDatum,"&lt;="&amp;EOMONTH($E7883,0)),$J7883-$M7883))</f>
      </c>
      <c r="O7883" s="43">
        <f>IF($I7883=0,0,INDEX(DarlErsatzRate,17))</f>
      </c>
      <c r="P7883" s="43">
        <f>IF($I7883=0,0,$Q7882*INDEX(DarlErsatzZins,17))</f>
      </c>
      <c r="Q7883" s="43">
        <f>IF($I7883=0,0,$Q7882+$P7883+$O7883)</f>
      </c>
      <c r="R7883" s="43">
        <f>IF($I7883=0,0,$J7883-$M7883-$N7883)</f>
      </c>
    </row>
    <row r="7884">
      <c r="A7884"/>
      <c r="B7884">
        <v>17</v>
      </c>
      <c r="C7884" s="43">
        <f>INDEX(DarlObj,17)</f>
      </c>
      <c r="D7884">
        <v>201</v>
      </c>
      <c r="E7884" s="51">
        <f>IF(INDEX(DarlBelegt,17)=0,0,EOMONTH(INDEX(DarlAuszahlung,17),200)+1)</f>
      </c>
      <c r="F7884" s="43">
        <f>IF($E7884=0,0,YEAR($E7884))</f>
      </c>
      <c r="G7884" s="43">
        <f>IF(INDEX(DarlBindung,17)="",1,IF($E7884&lt;=INDEX(DarlBindung,17),1,0))</f>
      </c>
      <c r="H7884" s="43">
        <f>IF($G7884=1,INDEX(DarlSollzins,17),INDEX(DarlAnschluss,17))</f>
      </c>
      <c r="I7884" s="43">
        <f>IF(INDEX(DarlBelegt,17)=0,0,IF(INDEX(DarlOhneTilgung,17)=1,IF(INDEX(DarlBindung,17)="",1,$G7884),IF($J7884&gt;0.005,1,0)))</f>
      </c>
      <c r="J7884" s="43">
        <f>IF($I7883=0,0,$R7883)</f>
      </c>
      <c r="K7884" s="43">
        <f>IF($I7884=0,0,IF(INDEX(DarlOhneTilgung,17)=1,0,IF(AND(INDEX(DarlTilgStart,17)&gt;0,$E7884=INDEX(DarlTilgStart,17)),$J7884*($H7884+INDEX(DarlTilgung,17))/100/12,IF(AND($G7884=0,$G7883=1),MAX($K7883,$J7884*($H7884+1)/100/12),$K7883))))</f>
      </c>
      <c r="L7884" s="43">
        <f>IF($I7884=0,0,$J7884*$H7884/100/12)</f>
      </c>
      <c r="M7884" s="43">
        <f>IF($I7884=0,0,IF(OR(INDEX(DarlOhneTilgung,17)=1,AND(INDEX(DarlTilgStart,17)&gt;0,$E7884&lt;INDEX(DarlTilgStart,17))),0,MIN(MAX(0,$K7884-$L7884),$J7884)))</f>
      </c>
      <c r="N7884" s="43">
        <f>IF($I7884=0,0,MIN(SUMIFS(SondBetrag,SondDarl,17,SondDatum,"&gt;="&amp;$E7884,SondDatum,"&lt;="&amp;EOMONTH($E7884,0)),$J7884-$M7884))</f>
      </c>
      <c r="O7884" s="43">
        <f>IF($I7884=0,0,INDEX(DarlErsatzRate,17))</f>
      </c>
      <c r="P7884" s="43">
        <f>IF($I7884=0,0,$Q7883*INDEX(DarlErsatzZins,17))</f>
      </c>
      <c r="Q7884" s="43">
        <f>IF($I7884=0,0,$Q7883+$P7884+$O7884)</f>
      </c>
      <c r="R7884" s="43">
        <f>IF($I7884=0,0,$J7884-$M7884-$N7884)</f>
      </c>
    </row>
    <row r="7885">
      <c r="A7885"/>
      <c r="B7885">
        <v>17</v>
      </c>
      <c r="C7885" s="43">
        <f>INDEX(DarlObj,17)</f>
      </c>
      <c r="D7885">
        <v>202</v>
      </c>
      <c r="E7885" s="51">
        <f>IF(INDEX(DarlBelegt,17)=0,0,EOMONTH(INDEX(DarlAuszahlung,17),201)+1)</f>
      </c>
      <c r="F7885" s="43">
        <f>IF($E7885=0,0,YEAR($E7885))</f>
      </c>
      <c r="G7885" s="43">
        <f>IF(INDEX(DarlBindung,17)="",1,IF($E7885&lt;=INDEX(DarlBindung,17),1,0))</f>
      </c>
      <c r="H7885" s="43">
        <f>IF($G7885=1,INDEX(DarlSollzins,17),INDEX(DarlAnschluss,17))</f>
      </c>
      <c r="I7885" s="43">
        <f>IF(INDEX(DarlBelegt,17)=0,0,IF(INDEX(DarlOhneTilgung,17)=1,IF(INDEX(DarlBindung,17)="",1,$G7885),IF($J7885&gt;0.005,1,0)))</f>
      </c>
      <c r="J7885" s="43">
        <f>IF($I7884=0,0,$R7884)</f>
      </c>
      <c r="K7885" s="43">
        <f>IF($I7885=0,0,IF(INDEX(DarlOhneTilgung,17)=1,0,IF(AND(INDEX(DarlTilgStart,17)&gt;0,$E7885=INDEX(DarlTilgStart,17)),$J7885*($H7885+INDEX(DarlTilgung,17))/100/12,IF(AND($G7885=0,$G7884=1),MAX($K7884,$J7885*($H7885+1)/100/12),$K7884))))</f>
      </c>
      <c r="L7885" s="43">
        <f>IF($I7885=0,0,$J7885*$H7885/100/12)</f>
      </c>
      <c r="M7885" s="43">
        <f>IF($I7885=0,0,IF(OR(INDEX(DarlOhneTilgung,17)=1,AND(INDEX(DarlTilgStart,17)&gt;0,$E7885&lt;INDEX(DarlTilgStart,17))),0,MIN(MAX(0,$K7885-$L7885),$J7885)))</f>
      </c>
      <c r="N7885" s="43">
        <f>IF($I7885=0,0,MIN(SUMIFS(SondBetrag,SondDarl,17,SondDatum,"&gt;="&amp;$E7885,SondDatum,"&lt;="&amp;EOMONTH($E7885,0)),$J7885-$M7885))</f>
      </c>
      <c r="O7885" s="43">
        <f>IF($I7885=0,0,INDEX(DarlErsatzRate,17))</f>
      </c>
      <c r="P7885" s="43">
        <f>IF($I7885=0,0,$Q7884*INDEX(DarlErsatzZins,17))</f>
      </c>
      <c r="Q7885" s="43">
        <f>IF($I7885=0,0,$Q7884+$P7885+$O7885)</f>
      </c>
      <c r="R7885" s="43">
        <f>IF($I7885=0,0,$J7885-$M7885-$N7885)</f>
      </c>
    </row>
    <row r="7886">
      <c r="A7886"/>
      <c r="B7886">
        <v>17</v>
      </c>
      <c r="C7886" s="43">
        <f>INDEX(DarlObj,17)</f>
      </c>
      <c r="D7886">
        <v>203</v>
      </c>
      <c r="E7886" s="51">
        <f>IF(INDEX(DarlBelegt,17)=0,0,EOMONTH(INDEX(DarlAuszahlung,17),202)+1)</f>
      </c>
      <c r="F7886" s="43">
        <f>IF($E7886=0,0,YEAR($E7886))</f>
      </c>
      <c r="G7886" s="43">
        <f>IF(INDEX(DarlBindung,17)="",1,IF($E7886&lt;=INDEX(DarlBindung,17),1,0))</f>
      </c>
      <c r="H7886" s="43">
        <f>IF($G7886=1,INDEX(DarlSollzins,17),INDEX(DarlAnschluss,17))</f>
      </c>
      <c r="I7886" s="43">
        <f>IF(INDEX(DarlBelegt,17)=0,0,IF(INDEX(DarlOhneTilgung,17)=1,IF(INDEX(DarlBindung,17)="",1,$G7886),IF($J7886&gt;0.005,1,0)))</f>
      </c>
      <c r="J7886" s="43">
        <f>IF($I7885=0,0,$R7885)</f>
      </c>
      <c r="K7886" s="43">
        <f>IF($I7886=0,0,IF(INDEX(DarlOhneTilgung,17)=1,0,IF(AND(INDEX(DarlTilgStart,17)&gt;0,$E7886=INDEX(DarlTilgStart,17)),$J7886*($H7886+INDEX(DarlTilgung,17))/100/12,IF(AND($G7886=0,$G7885=1),MAX($K7885,$J7886*($H7886+1)/100/12),$K7885))))</f>
      </c>
      <c r="L7886" s="43">
        <f>IF($I7886=0,0,$J7886*$H7886/100/12)</f>
      </c>
      <c r="M7886" s="43">
        <f>IF($I7886=0,0,IF(OR(INDEX(DarlOhneTilgung,17)=1,AND(INDEX(DarlTilgStart,17)&gt;0,$E7886&lt;INDEX(DarlTilgStart,17))),0,MIN(MAX(0,$K7886-$L7886),$J7886)))</f>
      </c>
      <c r="N7886" s="43">
        <f>IF($I7886=0,0,MIN(SUMIFS(SondBetrag,SondDarl,17,SondDatum,"&gt;="&amp;$E7886,SondDatum,"&lt;="&amp;EOMONTH($E7886,0)),$J7886-$M7886))</f>
      </c>
      <c r="O7886" s="43">
        <f>IF($I7886=0,0,INDEX(DarlErsatzRate,17))</f>
      </c>
      <c r="P7886" s="43">
        <f>IF($I7886=0,0,$Q7885*INDEX(DarlErsatzZins,17))</f>
      </c>
      <c r="Q7886" s="43">
        <f>IF($I7886=0,0,$Q7885+$P7886+$O7886)</f>
      </c>
      <c r="R7886" s="43">
        <f>IF($I7886=0,0,$J7886-$M7886-$N7886)</f>
      </c>
    </row>
    <row r="7887">
      <c r="A7887"/>
      <c r="B7887">
        <v>17</v>
      </c>
      <c r="C7887" s="43">
        <f>INDEX(DarlObj,17)</f>
      </c>
      <c r="D7887">
        <v>204</v>
      </c>
      <c r="E7887" s="51">
        <f>IF(INDEX(DarlBelegt,17)=0,0,EOMONTH(INDEX(DarlAuszahlung,17),203)+1)</f>
      </c>
      <c r="F7887" s="43">
        <f>IF($E7887=0,0,YEAR($E7887))</f>
      </c>
      <c r="G7887" s="43">
        <f>IF(INDEX(DarlBindung,17)="",1,IF($E7887&lt;=INDEX(DarlBindung,17),1,0))</f>
      </c>
      <c r="H7887" s="43">
        <f>IF($G7887=1,INDEX(DarlSollzins,17),INDEX(DarlAnschluss,17))</f>
      </c>
      <c r="I7887" s="43">
        <f>IF(INDEX(DarlBelegt,17)=0,0,IF(INDEX(DarlOhneTilgung,17)=1,IF(INDEX(DarlBindung,17)="",1,$G7887),IF($J7887&gt;0.005,1,0)))</f>
      </c>
      <c r="J7887" s="43">
        <f>IF($I7886=0,0,$R7886)</f>
      </c>
      <c r="K7887" s="43">
        <f>IF($I7887=0,0,IF(INDEX(DarlOhneTilgung,17)=1,0,IF(AND(INDEX(DarlTilgStart,17)&gt;0,$E7887=INDEX(DarlTilgStart,17)),$J7887*($H7887+INDEX(DarlTilgung,17))/100/12,IF(AND($G7887=0,$G7886=1),MAX($K7886,$J7887*($H7887+1)/100/12),$K7886))))</f>
      </c>
      <c r="L7887" s="43">
        <f>IF($I7887=0,0,$J7887*$H7887/100/12)</f>
      </c>
      <c r="M7887" s="43">
        <f>IF($I7887=0,0,IF(OR(INDEX(DarlOhneTilgung,17)=1,AND(INDEX(DarlTilgStart,17)&gt;0,$E7887&lt;INDEX(DarlTilgStart,17))),0,MIN(MAX(0,$K7887-$L7887),$J7887)))</f>
      </c>
      <c r="N7887" s="43">
        <f>IF($I7887=0,0,MIN(SUMIFS(SondBetrag,SondDarl,17,SondDatum,"&gt;="&amp;$E7887,SondDatum,"&lt;="&amp;EOMONTH($E7887,0)),$J7887-$M7887))</f>
      </c>
      <c r="O7887" s="43">
        <f>IF($I7887=0,0,INDEX(DarlErsatzRate,17))</f>
      </c>
      <c r="P7887" s="43">
        <f>IF($I7887=0,0,$Q7886*INDEX(DarlErsatzZins,17))</f>
      </c>
      <c r="Q7887" s="43">
        <f>IF($I7887=0,0,$Q7886+$P7887+$O7887)</f>
      </c>
      <c r="R7887" s="43">
        <f>IF($I7887=0,0,$J7887-$M7887-$N7887)</f>
      </c>
    </row>
    <row r="7888">
      <c r="A7888"/>
      <c r="B7888">
        <v>17</v>
      </c>
      <c r="C7888" s="43">
        <f>INDEX(DarlObj,17)</f>
      </c>
      <c r="D7888">
        <v>205</v>
      </c>
      <c r="E7888" s="51">
        <f>IF(INDEX(DarlBelegt,17)=0,0,EOMONTH(INDEX(DarlAuszahlung,17),204)+1)</f>
      </c>
      <c r="F7888" s="43">
        <f>IF($E7888=0,0,YEAR($E7888))</f>
      </c>
      <c r="G7888" s="43">
        <f>IF(INDEX(DarlBindung,17)="",1,IF($E7888&lt;=INDEX(DarlBindung,17),1,0))</f>
      </c>
      <c r="H7888" s="43">
        <f>IF($G7888=1,INDEX(DarlSollzins,17),INDEX(DarlAnschluss,17))</f>
      </c>
      <c r="I7888" s="43">
        <f>IF(INDEX(DarlBelegt,17)=0,0,IF(INDEX(DarlOhneTilgung,17)=1,IF(INDEX(DarlBindung,17)="",1,$G7888),IF($J7888&gt;0.005,1,0)))</f>
      </c>
      <c r="J7888" s="43">
        <f>IF($I7887=0,0,$R7887)</f>
      </c>
      <c r="K7888" s="43">
        <f>IF($I7888=0,0,IF(INDEX(DarlOhneTilgung,17)=1,0,IF(AND(INDEX(DarlTilgStart,17)&gt;0,$E7888=INDEX(DarlTilgStart,17)),$J7888*($H7888+INDEX(DarlTilgung,17))/100/12,IF(AND($G7888=0,$G7887=1),MAX($K7887,$J7888*($H7888+1)/100/12),$K7887))))</f>
      </c>
      <c r="L7888" s="43">
        <f>IF($I7888=0,0,$J7888*$H7888/100/12)</f>
      </c>
      <c r="M7888" s="43">
        <f>IF($I7888=0,0,IF(OR(INDEX(DarlOhneTilgung,17)=1,AND(INDEX(DarlTilgStart,17)&gt;0,$E7888&lt;INDEX(DarlTilgStart,17))),0,MIN(MAX(0,$K7888-$L7888),$J7888)))</f>
      </c>
      <c r="N7888" s="43">
        <f>IF($I7888=0,0,MIN(SUMIFS(SondBetrag,SondDarl,17,SondDatum,"&gt;="&amp;$E7888,SondDatum,"&lt;="&amp;EOMONTH($E7888,0)),$J7888-$M7888))</f>
      </c>
      <c r="O7888" s="43">
        <f>IF($I7888=0,0,INDEX(DarlErsatzRate,17))</f>
      </c>
      <c r="P7888" s="43">
        <f>IF($I7888=0,0,$Q7887*INDEX(DarlErsatzZins,17))</f>
      </c>
      <c r="Q7888" s="43">
        <f>IF($I7888=0,0,$Q7887+$P7888+$O7888)</f>
      </c>
      <c r="R7888" s="43">
        <f>IF($I7888=0,0,$J7888-$M7888-$N7888)</f>
      </c>
    </row>
    <row r="7889">
      <c r="A7889"/>
      <c r="B7889">
        <v>17</v>
      </c>
      <c r="C7889" s="43">
        <f>INDEX(DarlObj,17)</f>
      </c>
      <c r="D7889">
        <v>206</v>
      </c>
      <c r="E7889" s="51">
        <f>IF(INDEX(DarlBelegt,17)=0,0,EOMONTH(INDEX(DarlAuszahlung,17),205)+1)</f>
      </c>
      <c r="F7889" s="43">
        <f>IF($E7889=0,0,YEAR($E7889))</f>
      </c>
      <c r="G7889" s="43">
        <f>IF(INDEX(DarlBindung,17)="",1,IF($E7889&lt;=INDEX(DarlBindung,17),1,0))</f>
      </c>
      <c r="H7889" s="43">
        <f>IF($G7889=1,INDEX(DarlSollzins,17),INDEX(DarlAnschluss,17))</f>
      </c>
      <c r="I7889" s="43">
        <f>IF(INDEX(DarlBelegt,17)=0,0,IF(INDEX(DarlOhneTilgung,17)=1,IF(INDEX(DarlBindung,17)="",1,$G7889),IF($J7889&gt;0.005,1,0)))</f>
      </c>
      <c r="J7889" s="43">
        <f>IF($I7888=0,0,$R7888)</f>
      </c>
      <c r="K7889" s="43">
        <f>IF($I7889=0,0,IF(INDEX(DarlOhneTilgung,17)=1,0,IF(AND(INDEX(DarlTilgStart,17)&gt;0,$E7889=INDEX(DarlTilgStart,17)),$J7889*($H7889+INDEX(DarlTilgung,17))/100/12,IF(AND($G7889=0,$G7888=1),MAX($K7888,$J7889*($H7889+1)/100/12),$K7888))))</f>
      </c>
      <c r="L7889" s="43">
        <f>IF($I7889=0,0,$J7889*$H7889/100/12)</f>
      </c>
      <c r="M7889" s="43">
        <f>IF($I7889=0,0,IF(OR(INDEX(DarlOhneTilgung,17)=1,AND(INDEX(DarlTilgStart,17)&gt;0,$E7889&lt;INDEX(DarlTilgStart,17))),0,MIN(MAX(0,$K7889-$L7889),$J7889)))</f>
      </c>
      <c r="N7889" s="43">
        <f>IF($I7889=0,0,MIN(SUMIFS(SondBetrag,SondDarl,17,SondDatum,"&gt;="&amp;$E7889,SondDatum,"&lt;="&amp;EOMONTH($E7889,0)),$J7889-$M7889))</f>
      </c>
      <c r="O7889" s="43">
        <f>IF($I7889=0,0,INDEX(DarlErsatzRate,17))</f>
      </c>
      <c r="P7889" s="43">
        <f>IF($I7889=0,0,$Q7888*INDEX(DarlErsatzZins,17))</f>
      </c>
      <c r="Q7889" s="43">
        <f>IF($I7889=0,0,$Q7888+$P7889+$O7889)</f>
      </c>
      <c r="R7889" s="43">
        <f>IF($I7889=0,0,$J7889-$M7889-$N7889)</f>
      </c>
    </row>
    <row r="7890">
      <c r="A7890"/>
      <c r="B7890">
        <v>17</v>
      </c>
      <c r="C7890" s="43">
        <f>INDEX(DarlObj,17)</f>
      </c>
      <c r="D7890">
        <v>207</v>
      </c>
      <c r="E7890" s="51">
        <f>IF(INDEX(DarlBelegt,17)=0,0,EOMONTH(INDEX(DarlAuszahlung,17),206)+1)</f>
      </c>
      <c r="F7890" s="43">
        <f>IF($E7890=0,0,YEAR($E7890))</f>
      </c>
      <c r="G7890" s="43">
        <f>IF(INDEX(DarlBindung,17)="",1,IF($E7890&lt;=INDEX(DarlBindung,17),1,0))</f>
      </c>
      <c r="H7890" s="43">
        <f>IF($G7890=1,INDEX(DarlSollzins,17),INDEX(DarlAnschluss,17))</f>
      </c>
      <c r="I7890" s="43">
        <f>IF(INDEX(DarlBelegt,17)=0,0,IF(INDEX(DarlOhneTilgung,17)=1,IF(INDEX(DarlBindung,17)="",1,$G7890),IF($J7890&gt;0.005,1,0)))</f>
      </c>
      <c r="J7890" s="43">
        <f>IF($I7889=0,0,$R7889)</f>
      </c>
      <c r="K7890" s="43">
        <f>IF($I7890=0,0,IF(INDEX(DarlOhneTilgung,17)=1,0,IF(AND(INDEX(DarlTilgStart,17)&gt;0,$E7890=INDEX(DarlTilgStart,17)),$J7890*($H7890+INDEX(DarlTilgung,17))/100/12,IF(AND($G7890=0,$G7889=1),MAX($K7889,$J7890*($H7890+1)/100/12),$K7889))))</f>
      </c>
      <c r="L7890" s="43">
        <f>IF($I7890=0,0,$J7890*$H7890/100/12)</f>
      </c>
      <c r="M7890" s="43">
        <f>IF($I7890=0,0,IF(OR(INDEX(DarlOhneTilgung,17)=1,AND(INDEX(DarlTilgStart,17)&gt;0,$E7890&lt;INDEX(DarlTilgStart,17))),0,MIN(MAX(0,$K7890-$L7890),$J7890)))</f>
      </c>
      <c r="N7890" s="43">
        <f>IF($I7890=0,0,MIN(SUMIFS(SondBetrag,SondDarl,17,SondDatum,"&gt;="&amp;$E7890,SondDatum,"&lt;="&amp;EOMONTH($E7890,0)),$J7890-$M7890))</f>
      </c>
      <c r="O7890" s="43">
        <f>IF($I7890=0,0,INDEX(DarlErsatzRate,17))</f>
      </c>
      <c r="P7890" s="43">
        <f>IF($I7890=0,0,$Q7889*INDEX(DarlErsatzZins,17))</f>
      </c>
      <c r="Q7890" s="43">
        <f>IF($I7890=0,0,$Q7889+$P7890+$O7890)</f>
      </c>
      <c r="R7890" s="43">
        <f>IF($I7890=0,0,$J7890-$M7890-$N7890)</f>
      </c>
    </row>
    <row r="7891">
      <c r="A7891"/>
      <c r="B7891">
        <v>17</v>
      </c>
      <c r="C7891" s="43">
        <f>INDEX(DarlObj,17)</f>
      </c>
      <c r="D7891">
        <v>208</v>
      </c>
      <c r="E7891" s="51">
        <f>IF(INDEX(DarlBelegt,17)=0,0,EOMONTH(INDEX(DarlAuszahlung,17),207)+1)</f>
      </c>
      <c r="F7891" s="43">
        <f>IF($E7891=0,0,YEAR($E7891))</f>
      </c>
      <c r="G7891" s="43">
        <f>IF(INDEX(DarlBindung,17)="",1,IF($E7891&lt;=INDEX(DarlBindung,17),1,0))</f>
      </c>
      <c r="H7891" s="43">
        <f>IF($G7891=1,INDEX(DarlSollzins,17),INDEX(DarlAnschluss,17))</f>
      </c>
      <c r="I7891" s="43">
        <f>IF(INDEX(DarlBelegt,17)=0,0,IF(INDEX(DarlOhneTilgung,17)=1,IF(INDEX(DarlBindung,17)="",1,$G7891),IF($J7891&gt;0.005,1,0)))</f>
      </c>
      <c r="J7891" s="43">
        <f>IF($I7890=0,0,$R7890)</f>
      </c>
      <c r="K7891" s="43">
        <f>IF($I7891=0,0,IF(INDEX(DarlOhneTilgung,17)=1,0,IF(AND(INDEX(DarlTilgStart,17)&gt;0,$E7891=INDEX(DarlTilgStart,17)),$J7891*($H7891+INDEX(DarlTilgung,17))/100/12,IF(AND($G7891=0,$G7890=1),MAX($K7890,$J7891*($H7891+1)/100/12),$K7890))))</f>
      </c>
      <c r="L7891" s="43">
        <f>IF($I7891=0,0,$J7891*$H7891/100/12)</f>
      </c>
      <c r="M7891" s="43">
        <f>IF($I7891=0,0,IF(OR(INDEX(DarlOhneTilgung,17)=1,AND(INDEX(DarlTilgStart,17)&gt;0,$E7891&lt;INDEX(DarlTilgStart,17))),0,MIN(MAX(0,$K7891-$L7891),$J7891)))</f>
      </c>
      <c r="N7891" s="43">
        <f>IF($I7891=0,0,MIN(SUMIFS(SondBetrag,SondDarl,17,SondDatum,"&gt;="&amp;$E7891,SondDatum,"&lt;="&amp;EOMONTH($E7891,0)),$J7891-$M7891))</f>
      </c>
      <c r="O7891" s="43">
        <f>IF($I7891=0,0,INDEX(DarlErsatzRate,17))</f>
      </c>
      <c r="P7891" s="43">
        <f>IF($I7891=0,0,$Q7890*INDEX(DarlErsatzZins,17))</f>
      </c>
      <c r="Q7891" s="43">
        <f>IF($I7891=0,0,$Q7890+$P7891+$O7891)</f>
      </c>
      <c r="R7891" s="43">
        <f>IF($I7891=0,0,$J7891-$M7891-$N7891)</f>
      </c>
    </row>
    <row r="7892">
      <c r="A7892"/>
      <c r="B7892">
        <v>17</v>
      </c>
      <c r="C7892" s="43">
        <f>INDEX(DarlObj,17)</f>
      </c>
      <c r="D7892">
        <v>209</v>
      </c>
      <c r="E7892" s="51">
        <f>IF(INDEX(DarlBelegt,17)=0,0,EOMONTH(INDEX(DarlAuszahlung,17),208)+1)</f>
      </c>
      <c r="F7892" s="43">
        <f>IF($E7892=0,0,YEAR($E7892))</f>
      </c>
      <c r="G7892" s="43">
        <f>IF(INDEX(DarlBindung,17)="",1,IF($E7892&lt;=INDEX(DarlBindung,17),1,0))</f>
      </c>
      <c r="H7892" s="43">
        <f>IF($G7892=1,INDEX(DarlSollzins,17),INDEX(DarlAnschluss,17))</f>
      </c>
      <c r="I7892" s="43">
        <f>IF(INDEX(DarlBelegt,17)=0,0,IF(INDEX(DarlOhneTilgung,17)=1,IF(INDEX(DarlBindung,17)="",1,$G7892),IF($J7892&gt;0.005,1,0)))</f>
      </c>
      <c r="J7892" s="43">
        <f>IF($I7891=0,0,$R7891)</f>
      </c>
      <c r="K7892" s="43">
        <f>IF($I7892=0,0,IF(INDEX(DarlOhneTilgung,17)=1,0,IF(AND(INDEX(DarlTilgStart,17)&gt;0,$E7892=INDEX(DarlTilgStart,17)),$J7892*($H7892+INDEX(DarlTilgung,17))/100/12,IF(AND($G7892=0,$G7891=1),MAX($K7891,$J7892*($H7892+1)/100/12),$K7891))))</f>
      </c>
      <c r="L7892" s="43">
        <f>IF($I7892=0,0,$J7892*$H7892/100/12)</f>
      </c>
      <c r="M7892" s="43">
        <f>IF($I7892=0,0,IF(OR(INDEX(DarlOhneTilgung,17)=1,AND(INDEX(DarlTilgStart,17)&gt;0,$E7892&lt;INDEX(DarlTilgStart,17))),0,MIN(MAX(0,$K7892-$L7892),$J7892)))</f>
      </c>
      <c r="N7892" s="43">
        <f>IF($I7892=0,0,MIN(SUMIFS(SondBetrag,SondDarl,17,SondDatum,"&gt;="&amp;$E7892,SondDatum,"&lt;="&amp;EOMONTH($E7892,0)),$J7892-$M7892))</f>
      </c>
      <c r="O7892" s="43">
        <f>IF($I7892=0,0,INDEX(DarlErsatzRate,17))</f>
      </c>
      <c r="P7892" s="43">
        <f>IF($I7892=0,0,$Q7891*INDEX(DarlErsatzZins,17))</f>
      </c>
      <c r="Q7892" s="43">
        <f>IF($I7892=0,0,$Q7891+$P7892+$O7892)</f>
      </c>
      <c r="R7892" s="43">
        <f>IF($I7892=0,0,$J7892-$M7892-$N7892)</f>
      </c>
    </row>
    <row r="7893">
      <c r="A7893"/>
      <c r="B7893">
        <v>17</v>
      </c>
      <c r="C7893" s="43">
        <f>INDEX(DarlObj,17)</f>
      </c>
      <c r="D7893">
        <v>210</v>
      </c>
      <c r="E7893" s="51">
        <f>IF(INDEX(DarlBelegt,17)=0,0,EOMONTH(INDEX(DarlAuszahlung,17),209)+1)</f>
      </c>
      <c r="F7893" s="43">
        <f>IF($E7893=0,0,YEAR($E7893))</f>
      </c>
      <c r="G7893" s="43">
        <f>IF(INDEX(DarlBindung,17)="",1,IF($E7893&lt;=INDEX(DarlBindung,17),1,0))</f>
      </c>
      <c r="H7893" s="43">
        <f>IF($G7893=1,INDEX(DarlSollzins,17),INDEX(DarlAnschluss,17))</f>
      </c>
      <c r="I7893" s="43">
        <f>IF(INDEX(DarlBelegt,17)=0,0,IF(INDEX(DarlOhneTilgung,17)=1,IF(INDEX(DarlBindung,17)="",1,$G7893),IF($J7893&gt;0.005,1,0)))</f>
      </c>
      <c r="J7893" s="43">
        <f>IF($I7892=0,0,$R7892)</f>
      </c>
      <c r="K7893" s="43">
        <f>IF($I7893=0,0,IF(INDEX(DarlOhneTilgung,17)=1,0,IF(AND(INDEX(DarlTilgStart,17)&gt;0,$E7893=INDEX(DarlTilgStart,17)),$J7893*($H7893+INDEX(DarlTilgung,17))/100/12,IF(AND($G7893=0,$G7892=1),MAX($K7892,$J7893*($H7893+1)/100/12),$K7892))))</f>
      </c>
      <c r="L7893" s="43">
        <f>IF($I7893=0,0,$J7893*$H7893/100/12)</f>
      </c>
      <c r="M7893" s="43">
        <f>IF($I7893=0,0,IF(OR(INDEX(DarlOhneTilgung,17)=1,AND(INDEX(DarlTilgStart,17)&gt;0,$E7893&lt;INDEX(DarlTilgStart,17))),0,MIN(MAX(0,$K7893-$L7893),$J7893)))</f>
      </c>
      <c r="N7893" s="43">
        <f>IF($I7893=0,0,MIN(SUMIFS(SondBetrag,SondDarl,17,SondDatum,"&gt;="&amp;$E7893,SondDatum,"&lt;="&amp;EOMONTH($E7893,0)),$J7893-$M7893))</f>
      </c>
      <c r="O7893" s="43">
        <f>IF($I7893=0,0,INDEX(DarlErsatzRate,17))</f>
      </c>
      <c r="P7893" s="43">
        <f>IF($I7893=0,0,$Q7892*INDEX(DarlErsatzZins,17))</f>
      </c>
      <c r="Q7893" s="43">
        <f>IF($I7893=0,0,$Q7892+$P7893+$O7893)</f>
      </c>
      <c r="R7893" s="43">
        <f>IF($I7893=0,0,$J7893-$M7893-$N7893)</f>
      </c>
    </row>
    <row r="7894">
      <c r="A7894"/>
      <c r="B7894">
        <v>17</v>
      </c>
      <c r="C7894" s="43">
        <f>INDEX(DarlObj,17)</f>
      </c>
      <c r="D7894">
        <v>211</v>
      </c>
      <c r="E7894" s="51">
        <f>IF(INDEX(DarlBelegt,17)=0,0,EOMONTH(INDEX(DarlAuszahlung,17),210)+1)</f>
      </c>
      <c r="F7894" s="43">
        <f>IF($E7894=0,0,YEAR($E7894))</f>
      </c>
      <c r="G7894" s="43">
        <f>IF(INDEX(DarlBindung,17)="",1,IF($E7894&lt;=INDEX(DarlBindung,17),1,0))</f>
      </c>
      <c r="H7894" s="43">
        <f>IF($G7894=1,INDEX(DarlSollzins,17),INDEX(DarlAnschluss,17))</f>
      </c>
      <c r="I7894" s="43">
        <f>IF(INDEX(DarlBelegt,17)=0,0,IF(INDEX(DarlOhneTilgung,17)=1,IF(INDEX(DarlBindung,17)="",1,$G7894),IF($J7894&gt;0.005,1,0)))</f>
      </c>
      <c r="J7894" s="43">
        <f>IF($I7893=0,0,$R7893)</f>
      </c>
      <c r="K7894" s="43">
        <f>IF($I7894=0,0,IF(INDEX(DarlOhneTilgung,17)=1,0,IF(AND(INDEX(DarlTilgStart,17)&gt;0,$E7894=INDEX(DarlTilgStart,17)),$J7894*($H7894+INDEX(DarlTilgung,17))/100/12,IF(AND($G7894=0,$G7893=1),MAX($K7893,$J7894*($H7894+1)/100/12),$K7893))))</f>
      </c>
      <c r="L7894" s="43">
        <f>IF($I7894=0,0,$J7894*$H7894/100/12)</f>
      </c>
      <c r="M7894" s="43">
        <f>IF($I7894=0,0,IF(OR(INDEX(DarlOhneTilgung,17)=1,AND(INDEX(DarlTilgStart,17)&gt;0,$E7894&lt;INDEX(DarlTilgStart,17))),0,MIN(MAX(0,$K7894-$L7894),$J7894)))</f>
      </c>
      <c r="N7894" s="43">
        <f>IF($I7894=0,0,MIN(SUMIFS(SondBetrag,SondDarl,17,SondDatum,"&gt;="&amp;$E7894,SondDatum,"&lt;="&amp;EOMONTH($E7894,0)),$J7894-$M7894))</f>
      </c>
      <c r="O7894" s="43">
        <f>IF($I7894=0,0,INDEX(DarlErsatzRate,17))</f>
      </c>
      <c r="P7894" s="43">
        <f>IF($I7894=0,0,$Q7893*INDEX(DarlErsatzZins,17))</f>
      </c>
      <c r="Q7894" s="43">
        <f>IF($I7894=0,0,$Q7893+$P7894+$O7894)</f>
      </c>
      <c r="R7894" s="43">
        <f>IF($I7894=0,0,$J7894-$M7894-$N7894)</f>
      </c>
    </row>
    <row r="7895">
      <c r="A7895"/>
      <c r="B7895">
        <v>17</v>
      </c>
      <c r="C7895" s="43">
        <f>INDEX(DarlObj,17)</f>
      </c>
      <c r="D7895">
        <v>212</v>
      </c>
      <c r="E7895" s="51">
        <f>IF(INDEX(DarlBelegt,17)=0,0,EOMONTH(INDEX(DarlAuszahlung,17),211)+1)</f>
      </c>
      <c r="F7895" s="43">
        <f>IF($E7895=0,0,YEAR($E7895))</f>
      </c>
      <c r="G7895" s="43">
        <f>IF(INDEX(DarlBindung,17)="",1,IF($E7895&lt;=INDEX(DarlBindung,17),1,0))</f>
      </c>
      <c r="H7895" s="43">
        <f>IF($G7895=1,INDEX(DarlSollzins,17),INDEX(DarlAnschluss,17))</f>
      </c>
      <c r="I7895" s="43">
        <f>IF(INDEX(DarlBelegt,17)=0,0,IF(INDEX(DarlOhneTilgung,17)=1,IF(INDEX(DarlBindung,17)="",1,$G7895),IF($J7895&gt;0.005,1,0)))</f>
      </c>
      <c r="J7895" s="43">
        <f>IF($I7894=0,0,$R7894)</f>
      </c>
      <c r="K7895" s="43">
        <f>IF($I7895=0,0,IF(INDEX(DarlOhneTilgung,17)=1,0,IF(AND(INDEX(DarlTilgStart,17)&gt;0,$E7895=INDEX(DarlTilgStart,17)),$J7895*($H7895+INDEX(DarlTilgung,17))/100/12,IF(AND($G7895=0,$G7894=1),MAX($K7894,$J7895*($H7895+1)/100/12),$K7894))))</f>
      </c>
      <c r="L7895" s="43">
        <f>IF($I7895=0,0,$J7895*$H7895/100/12)</f>
      </c>
      <c r="M7895" s="43">
        <f>IF($I7895=0,0,IF(OR(INDEX(DarlOhneTilgung,17)=1,AND(INDEX(DarlTilgStart,17)&gt;0,$E7895&lt;INDEX(DarlTilgStart,17))),0,MIN(MAX(0,$K7895-$L7895),$J7895)))</f>
      </c>
      <c r="N7895" s="43">
        <f>IF($I7895=0,0,MIN(SUMIFS(SondBetrag,SondDarl,17,SondDatum,"&gt;="&amp;$E7895,SondDatum,"&lt;="&amp;EOMONTH($E7895,0)),$J7895-$M7895))</f>
      </c>
      <c r="O7895" s="43">
        <f>IF($I7895=0,0,INDEX(DarlErsatzRate,17))</f>
      </c>
      <c r="P7895" s="43">
        <f>IF($I7895=0,0,$Q7894*INDEX(DarlErsatzZins,17))</f>
      </c>
      <c r="Q7895" s="43">
        <f>IF($I7895=0,0,$Q7894+$P7895+$O7895)</f>
      </c>
      <c r="R7895" s="43">
        <f>IF($I7895=0,0,$J7895-$M7895-$N7895)</f>
      </c>
    </row>
    <row r="7896">
      <c r="A7896"/>
      <c r="B7896">
        <v>17</v>
      </c>
      <c r="C7896" s="43">
        <f>INDEX(DarlObj,17)</f>
      </c>
      <c r="D7896">
        <v>213</v>
      </c>
      <c r="E7896" s="51">
        <f>IF(INDEX(DarlBelegt,17)=0,0,EOMONTH(INDEX(DarlAuszahlung,17),212)+1)</f>
      </c>
      <c r="F7896" s="43">
        <f>IF($E7896=0,0,YEAR($E7896))</f>
      </c>
      <c r="G7896" s="43">
        <f>IF(INDEX(DarlBindung,17)="",1,IF($E7896&lt;=INDEX(DarlBindung,17),1,0))</f>
      </c>
      <c r="H7896" s="43">
        <f>IF($G7896=1,INDEX(DarlSollzins,17),INDEX(DarlAnschluss,17))</f>
      </c>
      <c r="I7896" s="43">
        <f>IF(INDEX(DarlBelegt,17)=0,0,IF(INDEX(DarlOhneTilgung,17)=1,IF(INDEX(DarlBindung,17)="",1,$G7896),IF($J7896&gt;0.005,1,0)))</f>
      </c>
      <c r="J7896" s="43">
        <f>IF($I7895=0,0,$R7895)</f>
      </c>
      <c r="K7896" s="43">
        <f>IF($I7896=0,0,IF(INDEX(DarlOhneTilgung,17)=1,0,IF(AND(INDEX(DarlTilgStart,17)&gt;0,$E7896=INDEX(DarlTilgStart,17)),$J7896*($H7896+INDEX(DarlTilgung,17))/100/12,IF(AND($G7896=0,$G7895=1),MAX($K7895,$J7896*($H7896+1)/100/12),$K7895))))</f>
      </c>
      <c r="L7896" s="43">
        <f>IF($I7896=0,0,$J7896*$H7896/100/12)</f>
      </c>
      <c r="M7896" s="43">
        <f>IF($I7896=0,0,IF(OR(INDEX(DarlOhneTilgung,17)=1,AND(INDEX(DarlTilgStart,17)&gt;0,$E7896&lt;INDEX(DarlTilgStart,17))),0,MIN(MAX(0,$K7896-$L7896),$J7896)))</f>
      </c>
      <c r="N7896" s="43">
        <f>IF($I7896=0,0,MIN(SUMIFS(SondBetrag,SondDarl,17,SondDatum,"&gt;="&amp;$E7896,SondDatum,"&lt;="&amp;EOMONTH($E7896,0)),$J7896-$M7896))</f>
      </c>
      <c r="O7896" s="43">
        <f>IF($I7896=0,0,INDEX(DarlErsatzRate,17))</f>
      </c>
      <c r="P7896" s="43">
        <f>IF($I7896=0,0,$Q7895*INDEX(DarlErsatzZins,17))</f>
      </c>
      <c r="Q7896" s="43">
        <f>IF($I7896=0,0,$Q7895+$P7896+$O7896)</f>
      </c>
      <c r="R7896" s="43">
        <f>IF($I7896=0,0,$J7896-$M7896-$N7896)</f>
      </c>
    </row>
    <row r="7897">
      <c r="A7897"/>
      <c r="B7897">
        <v>17</v>
      </c>
      <c r="C7897" s="43">
        <f>INDEX(DarlObj,17)</f>
      </c>
      <c r="D7897">
        <v>214</v>
      </c>
      <c r="E7897" s="51">
        <f>IF(INDEX(DarlBelegt,17)=0,0,EOMONTH(INDEX(DarlAuszahlung,17),213)+1)</f>
      </c>
      <c r="F7897" s="43">
        <f>IF($E7897=0,0,YEAR($E7897))</f>
      </c>
      <c r="G7897" s="43">
        <f>IF(INDEX(DarlBindung,17)="",1,IF($E7897&lt;=INDEX(DarlBindung,17),1,0))</f>
      </c>
      <c r="H7897" s="43">
        <f>IF($G7897=1,INDEX(DarlSollzins,17),INDEX(DarlAnschluss,17))</f>
      </c>
      <c r="I7897" s="43">
        <f>IF(INDEX(DarlBelegt,17)=0,0,IF(INDEX(DarlOhneTilgung,17)=1,IF(INDEX(DarlBindung,17)="",1,$G7897),IF($J7897&gt;0.005,1,0)))</f>
      </c>
      <c r="J7897" s="43">
        <f>IF($I7896=0,0,$R7896)</f>
      </c>
      <c r="K7897" s="43">
        <f>IF($I7897=0,0,IF(INDEX(DarlOhneTilgung,17)=1,0,IF(AND(INDEX(DarlTilgStart,17)&gt;0,$E7897=INDEX(DarlTilgStart,17)),$J7897*($H7897+INDEX(DarlTilgung,17))/100/12,IF(AND($G7897=0,$G7896=1),MAX($K7896,$J7897*($H7897+1)/100/12),$K7896))))</f>
      </c>
      <c r="L7897" s="43">
        <f>IF($I7897=0,0,$J7897*$H7897/100/12)</f>
      </c>
      <c r="M7897" s="43">
        <f>IF($I7897=0,0,IF(OR(INDEX(DarlOhneTilgung,17)=1,AND(INDEX(DarlTilgStart,17)&gt;0,$E7897&lt;INDEX(DarlTilgStart,17))),0,MIN(MAX(0,$K7897-$L7897),$J7897)))</f>
      </c>
      <c r="N7897" s="43">
        <f>IF($I7897=0,0,MIN(SUMIFS(SondBetrag,SondDarl,17,SondDatum,"&gt;="&amp;$E7897,SondDatum,"&lt;="&amp;EOMONTH($E7897,0)),$J7897-$M7897))</f>
      </c>
      <c r="O7897" s="43">
        <f>IF($I7897=0,0,INDEX(DarlErsatzRate,17))</f>
      </c>
      <c r="P7897" s="43">
        <f>IF($I7897=0,0,$Q7896*INDEX(DarlErsatzZins,17))</f>
      </c>
      <c r="Q7897" s="43">
        <f>IF($I7897=0,0,$Q7896+$P7897+$O7897)</f>
      </c>
      <c r="R7897" s="43">
        <f>IF($I7897=0,0,$J7897-$M7897-$N7897)</f>
      </c>
    </row>
    <row r="7898">
      <c r="A7898"/>
      <c r="B7898">
        <v>17</v>
      </c>
      <c r="C7898" s="43">
        <f>INDEX(DarlObj,17)</f>
      </c>
      <c r="D7898">
        <v>215</v>
      </c>
      <c r="E7898" s="51">
        <f>IF(INDEX(DarlBelegt,17)=0,0,EOMONTH(INDEX(DarlAuszahlung,17),214)+1)</f>
      </c>
      <c r="F7898" s="43">
        <f>IF($E7898=0,0,YEAR($E7898))</f>
      </c>
      <c r="G7898" s="43">
        <f>IF(INDEX(DarlBindung,17)="",1,IF($E7898&lt;=INDEX(DarlBindung,17),1,0))</f>
      </c>
      <c r="H7898" s="43">
        <f>IF($G7898=1,INDEX(DarlSollzins,17),INDEX(DarlAnschluss,17))</f>
      </c>
      <c r="I7898" s="43">
        <f>IF(INDEX(DarlBelegt,17)=0,0,IF(INDEX(DarlOhneTilgung,17)=1,IF(INDEX(DarlBindung,17)="",1,$G7898),IF($J7898&gt;0.005,1,0)))</f>
      </c>
      <c r="J7898" s="43">
        <f>IF($I7897=0,0,$R7897)</f>
      </c>
      <c r="K7898" s="43">
        <f>IF($I7898=0,0,IF(INDEX(DarlOhneTilgung,17)=1,0,IF(AND(INDEX(DarlTilgStart,17)&gt;0,$E7898=INDEX(DarlTilgStart,17)),$J7898*($H7898+INDEX(DarlTilgung,17))/100/12,IF(AND($G7898=0,$G7897=1),MAX($K7897,$J7898*($H7898+1)/100/12),$K7897))))</f>
      </c>
      <c r="L7898" s="43">
        <f>IF($I7898=0,0,$J7898*$H7898/100/12)</f>
      </c>
      <c r="M7898" s="43">
        <f>IF($I7898=0,0,IF(OR(INDEX(DarlOhneTilgung,17)=1,AND(INDEX(DarlTilgStart,17)&gt;0,$E7898&lt;INDEX(DarlTilgStart,17))),0,MIN(MAX(0,$K7898-$L7898),$J7898)))</f>
      </c>
      <c r="N7898" s="43">
        <f>IF($I7898=0,0,MIN(SUMIFS(SondBetrag,SondDarl,17,SondDatum,"&gt;="&amp;$E7898,SondDatum,"&lt;="&amp;EOMONTH($E7898,0)),$J7898-$M7898))</f>
      </c>
      <c r="O7898" s="43">
        <f>IF($I7898=0,0,INDEX(DarlErsatzRate,17))</f>
      </c>
      <c r="P7898" s="43">
        <f>IF($I7898=0,0,$Q7897*INDEX(DarlErsatzZins,17))</f>
      </c>
      <c r="Q7898" s="43">
        <f>IF($I7898=0,0,$Q7897+$P7898+$O7898)</f>
      </c>
      <c r="R7898" s="43">
        <f>IF($I7898=0,0,$J7898-$M7898-$N7898)</f>
      </c>
    </row>
    <row r="7899">
      <c r="A7899"/>
      <c r="B7899">
        <v>17</v>
      </c>
      <c r="C7899" s="43">
        <f>INDEX(DarlObj,17)</f>
      </c>
      <c r="D7899">
        <v>216</v>
      </c>
      <c r="E7899" s="51">
        <f>IF(INDEX(DarlBelegt,17)=0,0,EOMONTH(INDEX(DarlAuszahlung,17),215)+1)</f>
      </c>
      <c r="F7899" s="43">
        <f>IF($E7899=0,0,YEAR($E7899))</f>
      </c>
      <c r="G7899" s="43">
        <f>IF(INDEX(DarlBindung,17)="",1,IF($E7899&lt;=INDEX(DarlBindung,17),1,0))</f>
      </c>
      <c r="H7899" s="43">
        <f>IF($G7899=1,INDEX(DarlSollzins,17),INDEX(DarlAnschluss,17))</f>
      </c>
      <c r="I7899" s="43">
        <f>IF(INDEX(DarlBelegt,17)=0,0,IF(INDEX(DarlOhneTilgung,17)=1,IF(INDEX(DarlBindung,17)="",1,$G7899),IF($J7899&gt;0.005,1,0)))</f>
      </c>
      <c r="J7899" s="43">
        <f>IF($I7898=0,0,$R7898)</f>
      </c>
      <c r="K7899" s="43">
        <f>IF($I7899=0,0,IF(INDEX(DarlOhneTilgung,17)=1,0,IF(AND(INDEX(DarlTilgStart,17)&gt;0,$E7899=INDEX(DarlTilgStart,17)),$J7899*($H7899+INDEX(DarlTilgung,17))/100/12,IF(AND($G7899=0,$G7898=1),MAX($K7898,$J7899*($H7899+1)/100/12),$K7898))))</f>
      </c>
      <c r="L7899" s="43">
        <f>IF($I7899=0,0,$J7899*$H7899/100/12)</f>
      </c>
      <c r="M7899" s="43">
        <f>IF($I7899=0,0,IF(OR(INDEX(DarlOhneTilgung,17)=1,AND(INDEX(DarlTilgStart,17)&gt;0,$E7899&lt;INDEX(DarlTilgStart,17))),0,MIN(MAX(0,$K7899-$L7899),$J7899)))</f>
      </c>
      <c r="N7899" s="43">
        <f>IF($I7899=0,0,MIN(SUMIFS(SondBetrag,SondDarl,17,SondDatum,"&gt;="&amp;$E7899,SondDatum,"&lt;="&amp;EOMONTH($E7899,0)),$J7899-$M7899))</f>
      </c>
      <c r="O7899" s="43">
        <f>IF($I7899=0,0,INDEX(DarlErsatzRate,17))</f>
      </c>
      <c r="P7899" s="43">
        <f>IF($I7899=0,0,$Q7898*INDEX(DarlErsatzZins,17))</f>
      </c>
      <c r="Q7899" s="43">
        <f>IF($I7899=0,0,$Q7898+$P7899+$O7899)</f>
      </c>
      <c r="R7899" s="43">
        <f>IF($I7899=0,0,$J7899-$M7899-$N7899)</f>
      </c>
    </row>
    <row r="7900">
      <c r="A7900"/>
      <c r="B7900">
        <v>17</v>
      </c>
      <c r="C7900" s="43">
        <f>INDEX(DarlObj,17)</f>
      </c>
      <c r="D7900">
        <v>217</v>
      </c>
      <c r="E7900" s="51">
        <f>IF(INDEX(DarlBelegt,17)=0,0,EOMONTH(INDEX(DarlAuszahlung,17),216)+1)</f>
      </c>
      <c r="F7900" s="43">
        <f>IF($E7900=0,0,YEAR($E7900))</f>
      </c>
      <c r="G7900" s="43">
        <f>IF(INDEX(DarlBindung,17)="",1,IF($E7900&lt;=INDEX(DarlBindung,17),1,0))</f>
      </c>
      <c r="H7900" s="43">
        <f>IF($G7900=1,INDEX(DarlSollzins,17),INDEX(DarlAnschluss,17))</f>
      </c>
      <c r="I7900" s="43">
        <f>IF(INDEX(DarlBelegt,17)=0,0,IF(INDEX(DarlOhneTilgung,17)=1,IF(INDEX(DarlBindung,17)="",1,$G7900),IF($J7900&gt;0.005,1,0)))</f>
      </c>
      <c r="J7900" s="43">
        <f>IF($I7899=0,0,$R7899)</f>
      </c>
      <c r="K7900" s="43">
        <f>IF($I7900=0,0,IF(INDEX(DarlOhneTilgung,17)=1,0,IF(AND(INDEX(DarlTilgStart,17)&gt;0,$E7900=INDEX(DarlTilgStart,17)),$J7900*($H7900+INDEX(DarlTilgung,17))/100/12,IF(AND($G7900=0,$G7899=1),MAX($K7899,$J7900*($H7900+1)/100/12),$K7899))))</f>
      </c>
      <c r="L7900" s="43">
        <f>IF($I7900=0,0,$J7900*$H7900/100/12)</f>
      </c>
      <c r="M7900" s="43">
        <f>IF($I7900=0,0,IF(OR(INDEX(DarlOhneTilgung,17)=1,AND(INDEX(DarlTilgStart,17)&gt;0,$E7900&lt;INDEX(DarlTilgStart,17))),0,MIN(MAX(0,$K7900-$L7900),$J7900)))</f>
      </c>
      <c r="N7900" s="43">
        <f>IF($I7900=0,0,MIN(SUMIFS(SondBetrag,SondDarl,17,SondDatum,"&gt;="&amp;$E7900,SondDatum,"&lt;="&amp;EOMONTH($E7900,0)),$J7900-$M7900))</f>
      </c>
      <c r="O7900" s="43">
        <f>IF($I7900=0,0,INDEX(DarlErsatzRate,17))</f>
      </c>
      <c r="P7900" s="43">
        <f>IF($I7900=0,0,$Q7899*INDEX(DarlErsatzZins,17))</f>
      </c>
      <c r="Q7900" s="43">
        <f>IF($I7900=0,0,$Q7899+$P7900+$O7900)</f>
      </c>
      <c r="R7900" s="43">
        <f>IF($I7900=0,0,$J7900-$M7900-$N7900)</f>
      </c>
    </row>
    <row r="7901">
      <c r="A7901"/>
      <c r="B7901">
        <v>17</v>
      </c>
      <c r="C7901" s="43">
        <f>INDEX(DarlObj,17)</f>
      </c>
      <c r="D7901">
        <v>218</v>
      </c>
      <c r="E7901" s="51">
        <f>IF(INDEX(DarlBelegt,17)=0,0,EOMONTH(INDEX(DarlAuszahlung,17),217)+1)</f>
      </c>
      <c r="F7901" s="43">
        <f>IF($E7901=0,0,YEAR($E7901))</f>
      </c>
      <c r="G7901" s="43">
        <f>IF(INDEX(DarlBindung,17)="",1,IF($E7901&lt;=INDEX(DarlBindung,17),1,0))</f>
      </c>
      <c r="H7901" s="43">
        <f>IF($G7901=1,INDEX(DarlSollzins,17),INDEX(DarlAnschluss,17))</f>
      </c>
      <c r="I7901" s="43">
        <f>IF(INDEX(DarlBelegt,17)=0,0,IF(INDEX(DarlOhneTilgung,17)=1,IF(INDEX(DarlBindung,17)="",1,$G7901),IF($J7901&gt;0.005,1,0)))</f>
      </c>
      <c r="J7901" s="43">
        <f>IF($I7900=0,0,$R7900)</f>
      </c>
      <c r="K7901" s="43">
        <f>IF($I7901=0,0,IF(INDEX(DarlOhneTilgung,17)=1,0,IF(AND(INDEX(DarlTilgStart,17)&gt;0,$E7901=INDEX(DarlTilgStart,17)),$J7901*($H7901+INDEX(DarlTilgung,17))/100/12,IF(AND($G7901=0,$G7900=1),MAX($K7900,$J7901*($H7901+1)/100/12),$K7900))))</f>
      </c>
      <c r="L7901" s="43">
        <f>IF($I7901=0,0,$J7901*$H7901/100/12)</f>
      </c>
      <c r="M7901" s="43">
        <f>IF($I7901=0,0,IF(OR(INDEX(DarlOhneTilgung,17)=1,AND(INDEX(DarlTilgStart,17)&gt;0,$E7901&lt;INDEX(DarlTilgStart,17))),0,MIN(MAX(0,$K7901-$L7901),$J7901)))</f>
      </c>
      <c r="N7901" s="43">
        <f>IF($I7901=0,0,MIN(SUMIFS(SondBetrag,SondDarl,17,SondDatum,"&gt;="&amp;$E7901,SondDatum,"&lt;="&amp;EOMONTH($E7901,0)),$J7901-$M7901))</f>
      </c>
      <c r="O7901" s="43">
        <f>IF($I7901=0,0,INDEX(DarlErsatzRate,17))</f>
      </c>
      <c r="P7901" s="43">
        <f>IF($I7901=0,0,$Q7900*INDEX(DarlErsatzZins,17))</f>
      </c>
      <c r="Q7901" s="43">
        <f>IF($I7901=0,0,$Q7900+$P7901+$O7901)</f>
      </c>
      <c r="R7901" s="43">
        <f>IF($I7901=0,0,$J7901-$M7901-$N7901)</f>
      </c>
    </row>
    <row r="7902">
      <c r="A7902"/>
      <c r="B7902">
        <v>17</v>
      </c>
      <c r="C7902" s="43">
        <f>INDEX(DarlObj,17)</f>
      </c>
      <c r="D7902">
        <v>219</v>
      </c>
      <c r="E7902" s="51">
        <f>IF(INDEX(DarlBelegt,17)=0,0,EOMONTH(INDEX(DarlAuszahlung,17),218)+1)</f>
      </c>
      <c r="F7902" s="43">
        <f>IF($E7902=0,0,YEAR($E7902))</f>
      </c>
      <c r="G7902" s="43">
        <f>IF(INDEX(DarlBindung,17)="",1,IF($E7902&lt;=INDEX(DarlBindung,17),1,0))</f>
      </c>
      <c r="H7902" s="43">
        <f>IF($G7902=1,INDEX(DarlSollzins,17),INDEX(DarlAnschluss,17))</f>
      </c>
      <c r="I7902" s="43">
        <f>IF(INDEX(DarlBelegt,17)=0,0,IF(INDEX(DarlOhneTilgung,17)=1,IF(INDEX(DarlBindung,17)="",1,$G7902),IF($J7902&gt;0.005,1,0)))</f>
      </c>
      <c r="J7902" s="43">
        <f>IF($I7901=0,0,$R7901)</f>
      </c>
      <c r="K7902" s="43">
        <f>IF($I7902=0,0,IF(INDEX(DarlOhneTilgung,17)=1,0,IF(AND(INDEX(DarlTilgStart,17)&gt;0,$E7902=INDEX(DarlTilgStart,17)),$J7902*($H7902+INDEX(DarlTilgung,17))/100/12,IF(AND($G7902=0,$G7901=1),MAX($K7901,$J7902*($H7902+1)/100/12),$K7901))))</f>
      </c>
      <c r="L7902" s="43">
        <f>IF($I7902=0,0,$J7902*$H7902/100/12)</f>
      </c>
      <c r="M7902" s="43">
        <f>IF($I7902=0,0,IF(OR(INDEX(DarlOhneTilgung,17)=1,AND(INDEX(DarlTilgStart,17)&gt;0,$E7902&lt;INDEX(DarlTilgStart,17))),0,MIN(MAX(0,$K7902-$L7902),$J7902)))</f>
      </c>
      <c r="N7902" s="43">
        <f>IF($I7902=0,0,MIN(SUMIFS(SondBetrag,SondDarl,17,SondDatum,"&gt;="&amp;$E7902,SondDatum,"&lt;="&amp;EOMONTH($E7902,0)),$J7902-$M7902))</f>
      </c>
      <c r="O7902" s="43">
        <f>IF($I7902=0,0,INDEX(DarlErsatzRate,17))</f>
      </c>
      <c r="P7902" s="43">
        <f>IF($I7902=0,0,$Q7901*INDEX(DarlErsatzZins,17))</f>
      </c>
      <c r="Q7902" s="43">
        <f>IF($I7902=0,0,$Q7901+$P7902+$O7902)</f>
      </c>
      <c r="R7902" s="43">
        <f>IF($I7902=0,0,$J7902-$M7902-$N7902)</f>
      </c>
    </row>
    <row r="7903">
      <c r="A7903"/>
      <c r="B7903">
        <v>17</v>
      </c>
      <c r="C7903" s="43">
        <f>INDEX(DarlObj,17)</f>
      </c>
      <c r="D7903">
        <v>220</v>
      </c>
      <c r="E7903" s="51">
        <f>IF(INDEX(DarlBelegt,17)=0,0,EOMONTH(INDEX(DarlAuszahlung,17),219)+1)</f>
      </c>
      <c r="F7903" s="43">
        <f>IF($E7903=0,0,YEAR($E7903))</f>
      </c>
      <c r="G7903" s="43">
        <f>IF(INDEX(DarlBindung,17)="",1,IF($E7903&lt;=INDEX(DarlBindung,17),1,0))</f>
      </c>
      <c r="H7903" s="43">
        <f>IF($G7903=1,INDEX(DarlSollzins,17),INDEX(DarlAnschluss,17))</f>
      </c>
      <c r="I7903" s="43">
        <f>IF(INDEX(DarlBelegt,17)=0,0,IF(INDEX(DarlOhneTilgung,17)=1,IF(INDEX(DarlBindung,17)="",1,$G7903),IF($J7903&gt;0.005,1,0)))</f>
      </c>
      <c r="J7903" s="43">
        <f>IF($I7902=0,0,$R7902)</f>
      </c>
      <c r="K7903" s="43">
        <f>IF($I7903=0,0,IF(INDEX(DarlOhneTilgung,17)=1,0,IF(AND(INDEX(DarlTilgStart,17)&gt;0,$E7903=INDEX(DarlTilgStart,17)),$J7903*($H7903+INDEX(DarlTilgung,17))/100/12,IF(AND($G7903=0,$G7902=1),MAX($K7902,$J7903*($H7903+1)/100/12),$K7902))))</f>
      </c>
      <c r="L7903" s="43">
        <f>IF($I7903=0,0,$J7903*$H7903/100/12)</f>
      </c>
      <c r="M7903" s="43">
        <f>IF($I7903=0,0,IF(OR(INDEX(DarlOhneTilgung,17)=1,AND(INDEX(DarlTilgStart,17)&gt;0,$E7903&lt;INDEX(DarlTilgStart,17))),0,MIN(MAX(0,$K7903-$L7903),$J7903)))</f>
      </c>
      <c r="N7903" s="43">
        <f>IF($I7903=0,0,MIN(SUMIFS(SondBetrag,SondDarl,17,SondDatum,"&gt;="&amp;$E7903,SondDatum,"&lt;="&amp;EOMONTH($E7903,0)),$J7903-$M7903))</f>
      </c>
      <c r="O7903" s="43">
        <f>IF($I7903=0,0,INDEX(DarlErsatzRate,17))</f>
      </c>
      <c r="P7903" s="43">
        <f>IF($I7903=0,0,$Q7902*INDEX(DarlErsatzZins,17))</f>
      </c>
      <c r="Q7903" s="43">
        <f>IF($I7903=0,0,$Q7902+$P7903+$O7903)</f>
      </c>
      <c r="R7903" s="43">
        <f>IF($I7903=0,0,$J7903-$M7903-$N7903)</f>
      </c>
    </row>
    <row r="7904">
      <c r="A7904"/>
      <c r="B7904">
        <v>17</v>
      </c>
      <c r="C7904" s="43">
        <f>INDEX(DarlObj,17)</f>
      </c>
      <c r="D7904">
        <v>221</v>
      </c>
      <c r="E7904" s="51">
        <f>IF(INDEX(DarlBelegt,17)=0,0,EOMONTH(INDEX(DarlAuszahlung,17),220)+1)</f>
      </c>
      <c r="F7904" s="43">
        <f>IF($E7904=0,0,YEAR($E7904))</f>
      </c>
      <c r="G7904" s="43">
        <f>IF(INDEX(DarlBindung,17)="",1,IF($E7904&lt;=INDEX(DarlBindung,17),1,0))</f>
      </c>
      <c r="H7904" s="43">
        <f>IF($G7904=1,INDEX(DarlSollzins,17),INDEX(DarlAnschluss,17))</f>
      </c>
      <c r="I7904" s="43">
        <f>IF(INDEX(DarlBelegt,17)=0,0,IF(INDEX(DarlOhneTilgung,17)=1,IF(INDEX(DarlBindung,17)="",1,$G7904),IF($J7904&gt;0.005,1,0)))</f>
      </c>
      <c r="J7904" s="43">
        <f>IF($I7903=0,0,$R7903)</f>
      </c>
      <c r="K7904" s="43">
        <f>IF($I7904=0,0,IF(INDEX(DarlOhneTilgung,17)=1,0,IF(AND(INDEX(DarlTilgStart,17)&gt;0,$E7904=INDEX(DarlTilgStart,17)),$J7904*($H7904+INDEX(DarlTilgung,17))/100/12,IF(AND($G7904=0,$G7903=1),MAX($K7903,$J7904*($H7904+1)/100/12),$K7903))))</f>
      </c>
      <c r="L7904" s="43">
        <f>IF($I7904=0,0,$J7904*$H7904/100/12)</f>
      </c>
      <c r="M7904" s="43">
        <f>IF($I7904=0,0,IF(OR(INDEX(DarlOhneTilgung,17)=1,AND(INDEX(DarlTilgStart,17)&gt;0,$E7904&lt;INDEX(DarlTilgStart,17))),0,MIN(MAX(0,$K7904-$L7904),$J7904)))</f>
      </c>
      <c r="N7904" s="43">
        <f>IF($I7904=0,0,MIN(SUMIFS(SondBetrag,SondDarl,17,SondDatum,"&gt;="&amp;$E7904,SondDatum,"&lt;="&amp;EOMONTH($E7904,0)),$J7904-$M7904))</f>
      </c>
      <c r="O7904" s="43">
        <f>IF($I7904=0,0,INDEX(DarlErsatzRate,17))</f>
      </c>
      <c r="P7904" s="43">
        <f>IF($I7904=0,0,$Q7903*INDEX(DarlErsatzZins,17))</f>
      </c>
      <c r="Q7904" s="43">
        <f>IF($I7904=0,0,$Q7903+$P7904+$O7904)</f>
      </c>
      <c r="R7904" s="43">
        <f>IF($I7904=0,0,$J7904-$M7904-$N7904)</f>
      </c>
    </row>
    <row r="7905">
      <c r="A7905"/>
      <c r="B7905">
        <v>17</v>
      </c>
      <c r="C7905" s="43">
        <f>INDEX(DarlObj,17)</f>
      </c>
      <c r="D7905">
        <v>222</v>
      </c>
      <c r="E7905" s="51">
        <f>IF(INDEX(DarlBelegt,17)=0,0,EOMONTH(INDEX(DarlAuszahlung,17),221)+1)</f>
      </c>
      <c r="F7905" s="43">
        <f>IF($E7905=0,0,YEAR($E7905))</f>
      </c>
      <c r="G7905" s="43">
        <f>IF(INDEX(DarlBindung,17)="",1,IF($E7905&lt;=INDEX(DarlBindung,17),1,0))</f>
      </c>
      <c r="H7905" s="43">
        <f>IF($G7905=1,INDEX(DarlSollzins,17),INDEX(DarlAnschluss,17))</f>
      </c>
      <c r="I7905" s="43">
        <f>IF(INDEX(DarlBelegt,17)=0,0,IF(INDEX(DarlOhneTilgung,17)=1,IF(INDEX(DarlBindung,17)="",1,$G7905),IF($J7905&gt;0.005,1,0)))</f>
      </c>
      <c r="J7905" s="43">
        <f>IF($I7904=0,0,$R7904)</f>
      </c>
      <c r="K7905" s="43">
        <f>IF($I7905=0,0,IF(INDEX(DarlOhneTilgung,17)=1,0,IF(AND(INDEX(DarlTilgStart,17)&gt;0,$E7905=INDEX(DarlTilgStart,17)),$J7905*($H7905+INDEX(DarlTilgung,17))/100/12,IF(AND($G7905=0,$G7904=1),MAX($K7904,$J7905*($H7905+1)/100/12),$K7904))))</f>
      </c>
      <c r="L7905" s="43">
        <f>IF($I7905=0,0,$J7905*$H7905/100/12)</f>
      </c>
      <c r="M7905" s="43">
        <f>IF($I7905=0,0,IF(OR(INDEX(DarlOhneTilgung,17)=1,AND(INDEX(DarlTilgStart,17)&gt;0,$E7905&lt;INDEX(DarlTilgStart,17))),0,MIN(MAX(0,$K7905-$L7905),$J7905)))</f>
      </c>
      <c r="N7905" s="43">
        <f>IF($I7905=0,0,MIN(SUMIFS(SondBetrag,SondDarl,17,SondDatum,"&gt;="&amp;$E7905,SondDatum,"&lt;="&amp;EOMONTH($E7905,0)),$J7905-$M7905))</f>
      </c>
      <c r="O7905" s="43">
        <f>IF($I7905=0,0,INDEX(DarlErsatzRate,17))</f>
      </c>
      <c r="P7905" s="43">
        <f>IF($I7905=0,0,$Q7904*INDEX(DarlErsatzZins,17))</f>
      </c>
      <c r="Q7905" s="43">
        <f>IF($I7905=0,0,$Q7904+$P7905+$O7905)</f>
      </c>
      <c r="R7905" s="43">
        <f>IF($I7905=0,0,$J7905-$M7905-$N7905)</f>
      </c>
    </row>
    <row r="7906">
      <c r="A7906"/>
      <c r="B7906">
        <v>17</v>
      </c>
      <c r="C7906" s="43">
        <f>INDEX(DarlObj,17)</f>
      </c>
      <c r="D7906">
        <v>223</v>
      </c>
      <c r="E7906" s="51">
        <f>IF(INDEX(DarlBelegt,17)=0,0,EOMONTH(INDEX(DarlAuszahlung,17),222)+1)</f>
      </c>
      <c r="F7906" s="43">
        <f>IF($E7906=0,0,YEAR($E7906))</f>
      </c>
      <c r="G7906" s="43">
        <f>IF(INDEX(DarlBindung,17)="",1,IF($E7906&lt;=INDEX(DarlBindung,17),1,0))</f>
      </c>
      <c r="H7906" s="43">
        <f>IF($G7906=1,INDEX(DarlSollzins,17),INDEX(DarlAnschluss,17))</f>
      </c>
      <c r="I7906" s="43">
        <f>IF(INDEX(DarlBelegt,17)=0,0,IF(INDEX(DarlOhneTilgung,17)=1,IF(INDEX(DarlBindung,17)="",1,$G7906),IF($J7906&gt;0.005,1,0)))</f>
      </c>
      <c r="J7906" s="43">
        <f>IF($I7905=0,0,$R7905)</f>
      </c>
      <c r="K7906" s="43">
        <f>IF($I7906=0,0,IF(INDEX(DarlOhneTilgung,17)=1,0,IF(AND(INDEX(DarlTilgStart,17)&gt;0,$E7906=INDEX(DarlTilgStart,17)),$J7906*($H7906+INDEX(DarlTilgung,17))/100/12,IF(AND($G7906=0,$G7905=1),MAX($K7905,$J7906*($H7906+1)/100/12),$K7905))))</f>
      </c>
      <c r="L7906" s="43">
        <f>IF($I7906=0,0,$J7906*$H7906/100/12)</f>
      </c>
      <c r="M7906" s="43">
        <f>IF($I7906=0,0,IF(OR(INDEX(DarlOhneTilgung,17)=1,AND(INDEX(DarlTilgStart,17)&gt;0,$E7906&lt;INDEX(DarlTilgStart,17))),0,MIN(MAX(0,$K7906-$L7906),$J7906)))</f>
      </c>
      <c r="N7906" s="43">
        <f>IF($I7906=0,0,MIN(SUMIFS(SondBetrag,SondDarl,17,SondDatum,"&gt;="&amp;$E7906,SondDatum,"&lt;="&amp;EOMONTH($E7906,0)),$J7906-$M7906))</f>
      </c>
      <c r="O7906" s="43">
        <f>IF($I7906=0,0,INDEX(DarlErsatzRate,17))</f>
      </c>
      <c r="P7906" s="43">
        <f>IF($I7906=0,0,$Q7905*INDEX(DarlErsatzZins,17))</f>
      </c>
      <c r="Q7906" s="43">
        <f>IF($I7906=0,0,$Q7905+$P7906+$O7906)</f>
      </c>
      <c r="R7906" s="43">
        <f>IF($I7906=0,0,$J7906-$M7906-$N7906)</f>
      </c>
    </row>
    <row r="7907">
      <c r="A7907"/>
      <c r="B7907">
        <v>17</v>
      </c>
      <c r="C7907" s="43">
        <f>INDEX(DarlObj,17)</f>
      </c>
      <c r="D7907">
        <v>224</v>
      </c>
      <c r="E7907" s="51">
        <f>IF(INDEX(DarlBelegt,17)=0,0,EOMONTH(INDEX(DarlAuszahlung,17),223)+1)</f>
      </c>
      <c r="F7907" s="43">
        <f>IF($E7907=0,0,YEAR($E7907))</f>
      </c>
      <c r="G7907" s="43">
        <f>IF(INDEX(DarlBindung,17)="",1,IF($E7907&lt;=INDEX(DarlBindung,17),1,0))</f>
      </c>
      <c r="H7907" s="43">
        <f>IF($G7907=1,INDEX(DarlSollzins,17),INDEX(DarlAnschluss,17))</f>
      </c>
      <c r="I7907" s="43">
        <f>IF(INDEX(DarlBelegt,17)=0,0,IF(INDEX(DarlOhneTilgung,17)=1,IF(INDEX(DarlBindung,17)="",1,$G7907),IF($J7907&gt;0.005,1,0)))</f>
      </c>
      <c r="J7907" s="43">
        <f>IF($I7906=0,0,$R7906)</f>
      </c>
      <c r="K7907" s="43">
        <f>IF($I7907=0,0,IF(INDEX(DarlOhneTilgung,17)=1,0,IF(AND(INDEX(DarlTilgStart,17)&gt;0,$E7907=INDEX(DarlTilgStart,17)),$J7907*($H7907+INDEX(DarlTilgung,17))/100/12,IF(AND($G7907=0,$G7906=1),MAX($K7906,$J7907*($H7907+1)/100/12),$K7906))))</f>
      </c>
      <c r="L7907" s="43">
        <f>IF($I7907=0,0,$J7907*$H7907/100/12)</f>
      </c>
      <c r="M7907" s="43">
        <f>IF($I7907=0,0,IF(OR(INDEX(DarlOhneTilgung,17)=1,AND(INDEX(DarlTilgStart,17)&gt;0,$E7907&lt;INDEX(DarlTilgStart,17))),0,MIN(MAX(0,$K7907-$L7907),$J7907)))</f>
      </c>
      <c r="N7907" s="43">
        <f>IF($I7907=0,0,MIN(SUMIFS(SondBetrag,SondDarl,17,SondDatum,"&gt;="&amp;$E7907,SondDatum,"&lt;="&amp;EOMONTH($E7907,0)),$J7907-$M7907))</f>
      </c>
      <c r="O7907" s="43">
        <f>IF($I7907=0,0,INDEX(DarlErsatzRate,17))</f>
      </c>
      <c r="P7907" s="43">
        <f>IF($I7907=0,0,$Q7906*INDEX(DarlErsatzZins,17))</f>
      </c>
      <c r="Q7907" s="43">
        <f>IF($I7907=0,0,$Q7906+$P7907+$O7907)</f>
      </c>
      <c r="R7907" s="43">
        <f>IF($I7907=0,0,$J7907-$M7907-$N7907)</f>
      </c>
    </row>
    <row r="7908">
      <c r="A7908"/>
      <c r="B7908">
        <v>17</v>
      </c>
      <c r="C7908" s="43">
        <f>INDEX(DarlObj,17)</f>
      </c>
      <c r="D7908">
        <v>225</v>
      </c>
      <c r="E7908" s="51">
        <f>IF(INDEX(DarlBelegt,17)=0,0,EOMONTH(INDEX(DarlAuszahlung,17),224)+1)</f>
      </c>
      <c r="F7908" s="43">
        <f>IF($E7908=0,0,YEAR($E7908))</f>
      </c>
      <c r="G7908" s="43">
        <f>IF(INDEX(DarlBindung,17)="",1,IF($E7908&lt;=INDEX(DarlBindung,17),1,0))</f>
      </c>
      <c r="H7908" s="43">
        <f>IF($G7908=1,INDEX(DarlSollzins,17),INDEX(DarlAnschluss,17))</f>
      </c>
      <c r="I7908" s="43">
        <f>IF(INDEX(DarlBelegt,17)=0,0,IF(INDEX(DarlOhneTilgung,17)=1,IF(INDEX(DarlBindung,17)="",1,$G7908),IF($J7908&gt;0.005,1,0)))</f>
      </c>
      <c r="J7908" s="43">
        <f>IF($I7907=0,0,$R7907)</f>
      </c>
      <c r="K7908" s="43">
        <f>IF($I7908=0,0,IF(INDEX(DarlOhneTilgung,17)=1,0,IF(AND(INDEX(DarlTilgStart,17)&gt;0,$E7908=INDEX(DarlTilgStart,17)),$J7908*($H7908+INDEX(DarlTilgung,17))/100/12,IF(AND($G7908=0,$G7907=1),MAX($K7907,$J7908*($H7908+1)/100/12),$K7907))))</f>
      </c>
      <c r="L7908" s="43">
        <f>IF($I7908=0,0,$J7908*$H7908/100/12)</f>
      </c>
      <c r="M7908" s="43">
        <f>IF($I7908=0,0,IF(OR(INDEX(DarlOhneTilgung,17)=1,AND(INDEX(DarlTilgStart,17)&gt;0,$E7908&lt;INDEX(DarlTilgStart,17))),0,MIN(MAX(0,$K7908-$L7908),$J7908)))</f>
      </c>
      <c r="N7908" s="43">
        <f>IF($I7908=0,0,MIN(SUMIFS(SondBetrag,SondDarl,17,SondDatum,"&gt;="&amp;$E7908,SondDatum,"&lt;="&amp;EOMONTH($E7908,0)),$J7908-$M7908))</f>
      </c>
      <c r="O7908" s="43">
        <f>IF($I7908=0,0,INDEX(DarlErsatzRate,17))</f>
      </c>
      <c r="P7908" s="43">
        <f>IF($I7908=0,0,$Q7907*INDEX(DarlErsatzZins,17))</f>
      </c>
      <c r="Q7908" s="43">
        <f>IF($I7908=0,0,$Q7907+$P7908+$O7908)</f>
      </c>
      <c r="R7908" s="43">
        <f>IF($I7908=0,0,$J7908-$M7908-$N7908)</f>
      </c>
    </row>
    <row r="7909">
      <c r="A7909"/>
      <c r="B7909">
        <v>17</v>
      </c>
      <c r="C7909" s="43">
        <f>INDEX(DarlObj,17)</f>
      </c>
      <c r="D7909">
        <v>226</v>
      </c>
      <c r="E7909" s="51">
        <f>IF(INDEX(DarlBelegt,17)=0,0,EOMONTH(INDEX(DarlAuszahlung,17),225)+1)</f>
      </c>
      <c r="F7909" s="43">
        <f>IF($E7909=0,0,YEAR($E7909))</f>
      </c>
      <c r="G7909" s="43">
        <f>IF(INDEX(DarlBindung,17)="",1,IF($E7909&lt;=INDEX(DarlBindung,17),1,0))</f>
      </c>
      <c r="H7909" s="43">
        <f>IF($G7909=1,INDEX(DarlSollzins,17),INDEX(DarlAnschluss,17))</f>
      </c>
      <c r="I7909" s="43">
        <f>IF(INDEX(DarlBelegt,17)=0,0,IF(INDEX(DarlOhneTilgung,17)=1,IF(INDEX(DarlBindung,17)="",1,$G7909),IF($J7909&gt;0.005,1,0)))</f>
      </c>
      <c r="J7909" s="43">
        <f>IF($I7908=0,0,$R7908)</f>
      </c>
      <c r="K7909" s="43">
        <f>IF($I7909=0,0,IF(INDEX(DarlOhneTilgung,17)=1,0,IF(AND(INDEX(DarlTilgStart,17)&gt;0,$E7909=INDEX(DarlTilgStart,17)),$J7909*($H7909+INDEX(DarlTilgung,17))/100/12,IF(AND($G7909=0,$G7908=1),MAX($K7908,$J7909*($H7909+1)/100/12),$K7908))))</f>
      </c>
      <c r="L7909" s="43">
        <f>IF($I7909=0,0,$J7909*$H7909/100/12)</f>
      </c>
      <c r="M7909" s="43">
        <f>IF($I7909=0,0,IF(OR(INDEX(DarlOhneTilgung,17)=1,AND(INDEX(DarlTilgStart,17)&gt;0,$E7909&lt;INDEX(DarlTilgStart,17))),0,MIN(MAX(0,$K7909-$L7909),$J7909)))</f>
      </c>
      <c r="N7909" s="43">
        <f>IF($I7909=0,0,MIN(SUMIFS(SondBetrag,SondDarl,17,SondDatum,"&gt;="&amp;$E7909,SondDatum,"&lt;="&amp;EOMONTH($E7909,0)),$J7909-$M7909))</f>
      </c>
      <c r="O7909" s="43">
        <f>IF($I7909=0,0,INDEX(DarlErsatzRate,17))</f>
      </c>
      <c r="P7909" s="43">
        <f>IF($I7909=0,0,$Q7908*INDEX(DarlErsatzZins,17))</f>
      </c>
      <c r="Q7909" s="43">
        <f>IF($I7909=0,0,$Q7908+$P7909+$O7909)</f>
      </c>
      <c r="R7909" s="43">
        <f>IF($I7909=0,0,$J7909-$M7909-$N7909)</f>
      </c>
    </row>
    <row r="7910">
      <c r="A7910"/>
      <c r="B7910">
        <v>17</v>
      </c>
      <c r="C7910" s="43">
        <f>INDEX(DarlObj,17)</f>
      </c>
      <c r="D7910">
        <v>227</v>
      </c>
      <c r="E7910" s="51">
        <f>IF(INDEX(DarlBelegt,17)=0,0,EOMONTH(INDEX(DarlAuszahlung,17),226)+1)</f>
      </c>
      <c r="F7910" s="43">
        <f>IF($E7910=0,0,YEAR($E7910))</f>
      </c>
      <c r="G7910" s="43">
        <f>IF(INDEX(DarlBindung,17)="",1,IF($E7910&lt;=INDEX(DarlBindung,17),1,0))</f>
      </c>
      <c r="H7910" s="43">
        <f>IF($G7910=1,INDEX(DarlSollzins,17),INDEX(DarlAnschluss,17))</f>
      </c>
      <c r="I7910" s="43">
        <f>IF(INDEX(DarlBelegt,17)=0,0,IF(INDEX(DarlOhneTilgung,17)=1,IF(INDEX(DarlBindung,17)="",1,$G7910),IF($J7910&gt;0.005,1,0)))</f>
      </c>
      <c r="J7910" s="43">
        <f>IF($I7909=0,0,$R7909)</f>
      </c>
      <c r="K7910" s="43">
        <f>IF($I7910=0,0,IF(INDEX(DarlOhneTilgung,17)=1,0,IF(AND(INDEX(DarlTilgStart,17)&gt;0,$E7910=INDEX(DarlTilgStart,17)),$J7910*($H7910+INDEX(DarlTilgung,17))/100/12,IF(AND($G7910=0,$G7909=1),MAX($K7909,$J7910*($H7910+1)/100/12),$K7909))))</f>
      </c>
      <c r="L7910" s="43">
        <f>IF($I7910=0,0,$J7910*$H7910/100/12)</f>
      </c>
      <c r="M7910" s="43">
        <f>IF($I7910=0,0,IF(OR(INDEX(DarlOhneTilgung,17)=1,AND(INDEX(DarlTilgStart,17)&gt;0,$E7910&lt;INDEX(DarlTilgStart,17))),0,MIN(MAX(0,$K7910-$L7910),$J7910)))</f>
      </c>
      <c r="N7910" s="43">
        <f>IF($I7910=0,0,MIN(SUMIFS(SondBetrag,SondDarl,17,SondDatum,"&gt;="&amp;$E7910,SondDatum,"&lt;="&amp;EOMONTH($E7910,0)),$J7910-$M7910))</f>
      </c>
      <c r="O7910" s="43">
        <f>IF($I7910=0,0,INDEX(DarlErsatzRate,17))</f>
      </c>
      <c r="P7910" s="43">
        <f>IF($I7910=0,0,$Q7909*INDEX(DarlErsatzZins,17))</f>
      </c>
      <c r="Q7910" s="43">
        <f>IF($I7910=0,0,$Q7909+$P7910+$O7910)</f>
      </c>
      <c r="R7910" s="43">
        <f>IF($I7910=0,0,$J7910-$M7910-$N7910)</f>
      </c>
    </row>
    <row r="7911">
      <c r="A7911"/>
      <c r="B7911">
        <v>17</v>
      </c>
      <c r="C7911" s="43">
        <f>INDEX(DarlObj,17)</f>
      </c>
      <c r="D7911">
        <v>228</v>
      </c>
      <c r="E7911" s="51">
        <f>IF(INDEX(DarlBelegt,17)=0,0,EOMONTH(INDEX(DarlAuszahlung,17),227)+1)</f>
      </c>
      <c r="F7911" s="43">
        <f>IF($E7911=0,0,YEAR($E7911))</f>
      </c>
      <c r="G7911" s="43">
        <f>IF(INDEX(DarlBindung,17)="",1,IF($E7911&lt;=INDEX(DarlBindung,17),1,0))</f>
      </c>
      <c r="H7911" s="43">
        <f>IF($G7911=1,INDEX(DarlSollzins,17),INDEX(DarlAnschluss,17))</f>
      </c>
      <c r="I7911" s="43">
        <f>IF(INDEX(DarlBelegt,17)=0,0,IF(INDEX(DarlOhneTilgung,17)=1,IF(INDEX(DarlBindung,17)="",1,$G7911),IF($J7911&gt;0.005,1,0)))</f>
      </c>
      <c r="J7911" s="43">
        <f>IF($I7910=0,0,$R7910)</f>
      </c>
      <c r="K7911" s="43">
        <f>IF($I7911=0,0,IF(INDEX(DarlOhneTilgung,17)=1,0,IF(AND(INDEX(DarlTilgStart,17)&gt;0,$E7911=INDEX(DarlTilgStart,17)),$J7911*($H7911+INDEX(DarlTilgung,17))/100/12,IF(AND($G7911=0,$G7910=1),MAX($K7910,$J7911*($H7911+1)/100/12),$K7910))))</f>
      </c>
      <c r="L7911" s="43">
        <f>IF($I7911=0,0,$J7911*$H7911/100/12)</f>
      </c>
      <c r="M7911" s="43">
        <f>IF($I7911=0,0,IF(OR(INDEX(DarlOhneTilgung,17)=1,AND(INDEX(DarlTilgStart,17)&gt;0,$E7911&lt;INDEX(DarlTilgStart,17))),0,MIN(MAX(0,$K7911-$L7911),$J7911)))</f>
      </c>
      <c r="N7911" s="43">
        <f>IF($I7911=0,0,MIN(SUMIFS(SondBetrag,SondDarl,17,SondDatum,"&gt;="&amp;$E7911,SondDatum,"&lt;="&amp;EOMONTH($E7911,0)),$J7911-$M7911))</f>
      </c>
      <c r="O7911" s="43">
        <f>IF($I7911=0,0,INDEX(DarlErsatzRate,17))</f>
      </c>
      <c r="P7911" s="43">
        <f>IF($I7911=0,0,$Q7910*INDEX(DarlErsatzZins,17))</f>
      </c>
      <c r="Q7911" s="43">
        <f>IF($I7911=0,0,$Q7910+$P7911+$O7911)</f>
      </c>
      <c r="R7911" s="43">
        <f>IF($I7911=0,0,$J7911-$M7911-$N7911)</f>
      </c>
    </row>
    <row r="7912">
      <c r="A7912"/>
      <c r="B7912">
        <v>17</v>
      </c>
      <c r="C7912" s="43">
        <f>INDEX(DarlObj,17)</f>
      </c>
      <c r="D7912">
        <v>229</v>
      </c>
      <c r="E7912" s="51">
        <f>IF(INDEX(DarlBelegt,17)=0,0,EOMONTH(INDEX(DarlAuszahlung,17),228)+1)</f>
      </c>
      <c r="F7912" s="43">
        <f>IF($E7912=0,0,YEAR($E7912))</f>
      </c>
      <c r="G7912" s="43">
        <f>IF(INDEX(DarlBindung,17)="",1,IF($E7912&lt;=INDEX(DarlBindung,17),1,0))</f>
      </c>
      <c r="H7912" s="43">
        <f>IF($G7912=1,INDEX(DarlSollzins,17),INDEX(DarlAnschluss,17))</f>
      </c>
      <c r="I7912" s="43">
        <f>IF(INDEX(DarlBelegt,17)=0,0,IF(INDEX(DarlOhneTilgung,17)=1,IF(INDEX(DarlBindung,17)="",1,$G7912),IF($J7912&gt;0.005,1,0)))</f>
      </c>
      <c r="J7912" s="43">
        <f>IF($I7911=0,0,$R7911)</f>
      </c>
      <c r="K7912" s="43">
        <f>IF($I7912=0,0,IF(INDEX(DarlOhneTilgung,17)=1,0,IF(AND(INDEX(DarlTilgStart,17)&gt;0,$E7912=INDEX(DarlTilgStart,17)),$J7912*($H7912+INDEX(DarlTilgung,17))/100/12,IF(AND($G7912=0,$G7911=1),MAX($K7911,$J7912*($H7912+1)/100/12),$K7911))))</f>
      </c>
      <c r="L7912" s="43">
        <f>IF($I7912=0,0,$J7912*$H7912/100/12)</f>
      </c>
      <c r="M7912" s="43">
        <f>IF($I7912=0,0,IF(OR(INDEX(DarlOhneTilgung,17)=1,AND(INDEX(DarlTilgStart,17)&gt;0,$E7912&lt;INDEX(DarlTilgStart,17))),0,MIN(MAX(0,$K7912-$L7912),$J7912)))</f>
      </c>
      <c r="N7912" s="43">
        <f>IF($I7912=0,0,MIN(SUMIFS(SondBetrag,SondDarl,17,SondDatum,"&gt;="&amp;$E7912,SondDatum,"&lt;="&amp;EOMONTH($E7912,0)),$J7912-$M7912))</f>
      </c>
      <c r="O7912" s="43">
        <f>IF($I7912=0,0,INDEX(DarlErsatzRate,17))</f>
      </c>
      <c r="P7912" s="43">
        <f>IF($I7912=0,0,$Q7911*INDEX(DarlErsatzZins,17))</f>
      </c>
      <c r="Q7912" s="43">
        <f>IF($I7912=0,0,$Q7911+$P7912+$O7912)</f>
      </c>
      <c r="R7912" s="43">
        <f>IF($I7912=0,0,$J7912-$M7912-$N7912)</f>
      </c>
    </row>
    <row r="7913">
      <c r="A7913"/>
      <c r="B7913">
        <v>17</v>
      </c>
      <c r="C7913" s="43">
        <f>INDEX(DarlObj,17)</f>
      </c>
      <c r="D7913">
        <v>230</v>
      </c>
      <c r="E7913" s="51">
        <f>IF(INDEX(DarlBelegt,17)=0,0,EOMONTH(INDEX(DarlAuszahlung,17),229)+1)</f>
      </c>
      <c r="F7913" s="43">
        <f>IF($E7913=0,0,YEAR($E7913))</f>
      </c>
      <c r="G7913" s="43">
        <f>IF(INDEX(DarlBindung,17)="",1,IF($E7913&lt;=INDEX(DarlBindung,17),1,0))</f>
      </c>
      <c r="H7913" s="43">
        <f>IF($G7913=1,INDEX(DarlSollzins,17),INDEX(DarlAnschluss,17))</f>
      </c>
      <c r="I7913" s="43">
        <f>IF(INDEX(DarlBelegt,17)=0,0,IF(INDEX(DarlOhneTilgung,17)=1,IF(INDEX(DarlBindung,17)="",1,$G7913),IF($J7913&gt;0.005,1,0)))</f>
      </c>
      <c r="J7913" s="43">
        <f>IF($I7912=0,0,$R7912)</f>
      </c>
      <c r="K7913" s="43">
        <f>IF($I7913=0,0,IF(INDEX(DarlOhneTilgung,17)=1,0,IF(AND(INDEX(DarlTilgStart,17)&gt;0,$E7913=INDEX(DarlTilgStart,17)),$J7913*($H7913+INDEX(DarlTilgung,17))/100/12,IF(AND($G7913=0,$G7912=1),MAX($K7912,$J7913*($H7913+1)/100/12),$K7912))))</f>
      </c>
      <c r="L7913" s="43">
        <f>IF($I7913=0,0,$J7913*$H7913/100/12)</f>
      </c>
      <c r="M7913" s="43">
        <f>IF($I7913=0,0,IF(OR(INDEX(DarlOhneTilgung,17)=1,AND(INDEX(DarlTilgStart,17)&gt;0,$E7913&lt;INDEX(DarlTilgStart,17))),0,MIN(MAX(0,$K7913-$L7913),$J7913)))</f>
      </c>
      <c r="N7913" s="43">
        <f>IF($I7913=0,0,MIN(SUMIFS(SondBetrag,SondDarl,17,SondDatum,"&gt;="&amp;$E7913,SondDatum,"&lt;="&amp;EOMONTH($E7913,0)),$J7913-$M7913))</f>
      </c>
      <c r="O7913" s="43">
        <f>IF($I7913=0,0,INDEX(DarlErsatzRate,17))</f>
      </c>
      <c r="P7913" s="43">
        <f>IF($I7913=0,0,$Q7912*INDEX(DarlErsatzZins,17))</f>
      </c>
      <c r="Q7913" s="43">
        <f>IF($I7913=0,0,$Q7912+$P7913+$O7913)</f>
      </c>
      <c r="R7913" s="43">
        <f>IF($I7913=0,0,$J7913-$M7913-$N7913)</f>
      </c>
    </row>
    <row r="7914">
      <c r="A7914"/>
      <c r="B7914">
        <v>17</v>
      </c>
      <c r="C7914" s="43">
        <f>INDEX(DarlObj,17)</f>
      </c>
      <c r="D7914">
        <v>231</v>
      </c>
      <c r="E7914" s="51">
        <f>IF(INDEX(DarlBelegt,17)=0,0,EOMONTH(INDEX(DarlAuszahlung,17),230)+1)</f>
      </c>
      <c r="F7914" s="43">
        <f>IF($E7914=0,0,YEAR($E7914))</f>
      </c>
      <c r="G7914" s="43">
        <f>IF(INDEX(DarlBindung,17)="",1,IF($E7914&lt;=INDEX(DarlBindung,17),1,0))</f>
      </c>
      <c r="H7914" s="43">
        <f>IF($G7914=1,INDEX(DarlSollzins,17),INDEX(DarlAnschluss,17))</f>
      </c>
      <c r="I7914" s="43">
        <f>IF(INDEX(DarlBelegt,17)=0,0,IF(INDEX(DarlOhneTilgung,17)=1,IF(INDEX(DarlBindung,17)="",1,$G7914),IF($J7914&gt;0.005,1,0)))</f>
      </c>
      <c r="J7914" s="43">
        <f>IF($I7913=0,0,$R7913)</f>
      </c>
      <c r="K7914" s="43">
        <f>IF($I7914=0,0,IF(INDEX(DarlOhneTilgung,17)=1,0,IF(AND(INDEX(DarlTilgStart,17)&gt;0,$E7914=INDEX(DarlTilgStart,17)),$J7914*($H7914+INDEX(DarlTilgung,17))/100/12,IF(AND($G7914=0,$G7913=1),MAX($K7913,$J7914*($H7914+1)/100/12),$K7913))))</f>
      </c>
      <c r="L7914" s="43">
        <f>IF($I7914=0,0,$J7914*$H7914/100/12)</f>
      </c>
      <c r="M7914" s="43">
        <f>IF($I7914=0,0,IF(OR(INDEX(DarlOhneTilgung,17)=1,AND(INDEX(DarlTilgStart,17)&gt;0,$E7914&lt;INDEX(DarlTilgStart,17))),0,MIN(MAX(0,$K7914-$L7914),$J7914)))</f>
      </c>
      <c r="N7914" s="43">
        <f>IF($I7914=0,0,MIN(SUMIFS(SondBetrag,SondDarl,17,SondDatum,"&gt;="&amp;$E7914,SondDatum,"&lt;="&amp;EOMONTH($E7914,0)),$J7914-$M7914))</f>
      </c>
      <c r="O7914" s="43">
        <f>IF($I7914=0,0,INDEX(DarlErsatzRate,17))</f>
      </c>
      <c r="P7914" s="43">
        <f>IF($I7914=0,0,$Q7913*INDEX(DarlErsatzZins,17))</f>
      </c>
      <c r="Q7914" s="43">
        <f>IF($I7914=0,0,$Q7913+$P7914+$O7914)</f>
      </c>
      <c r="R7914" s="43">
        <f>IF($I7914=0,0,$J7914-$M7914-$N7914)</f>
      </c>
    </row>
    <row r="7915">
      <c r="A7915"/>
      <c r="B7915">
        <v>17</v>
      </c>
      <c r="C7915" s="43">
        <f>INDEX(DarlObj,17)</f>
      </c>
      <c r="D7915">
        <v>232</v>
      </c>
      <c r="E7915" s="51">
        <f>IF(INDEX(DarlBelegt,17)=0,0,EOMONTH(INDEX(DarlAuszahlung,17),231)+1)</f>
      </c>
      <c r="F7915" s="43">
        <f>IF($E7915=0,0,YEAR($E7915))</f>
      </c>
      <c r="G7915" s="43">
        <f>IF(INDEX(DarlBindung,17)="",1,IF($E7915&lt;=INDEX(DarlBindung,17),1,0))</f>
      </c>
      <c r="H7915" s="43">
        <f>IF($G7915=1,INDEX(DarlSollzins,17),INDEX(DarlAnschluss,17))</f>
      </c>
      <c r="I7915" s="43">
        <f>IF(INDEX(DarlBelegt,17)=0,0,IF(INDEX(DarlOhneTilgung,17)=1,IF(INDEX(DarlBindung,17)="",1,$G7915),IF($J7915&gt;0.005,1,0)))</f>
      </c>
      <c r="J7915" s="43">
        <f>IF($I7914=0,0,$R7914)</f>
      </c>
      <c r="K7915" s="43">
        <f>IF($I7915=0,0,IF(INDEX(DarlOhneTilgung,17)=1,0,IF(AND(INDEX(DarlTilgStart,17)&gt;0,$E7915=INDEX(DarlTilgStart,17)),$J7915*($H7915+INDEX(DarlTilgung,17))/100/12,IF(AND($G7915=0,$G7914=1),MAX($K7914,$J7915*($H7915+1)/100/12),$K7914))))</f>
      </c>
      <c r="L7915" s="43">
        <f>IF($I7915=0,0,$J7915*$H7915/100/12)</f>
      </c>
      <c r="M7915" s="43">
        <f>IF($I7915=0,0,IF(OR(INDEX(DarlOhneTilgung,17)=1,AND(INDEX(DarlTilgStart,17)&gt;0,$E7915&lt;INDEX(DarlTilgStart,17))),0,MIN(MAX(0,$K7915-$L7915),$J7915)))</f>
      </c>
      <c r="N7915" s="43">
        <f>IF($I7915=0,0,MIN(SUMIFS(SondBetrag,SondDarl,17,SondDatum,"&gt;="&amp;$E7915,SondDatum,"&lt;="&amp;EOMONTH($E7915,0)),$J7915-$M7915))</f>
      </c>
      <c r="O7915" s="43">
        <f>IF($I7915=0,0,INDEX(DarlErsatzRate,17))</f>
      </c>
      <c r="P7915" s="43">
        <f>IF($I7915=0,0,$Q7914*INDEX(DarlErsatzZins,17))</f>
      </c>
      <c r="Q7915" s="43">
        <f>IF($I7915=0,0,$Q7914+$P7915+$O7915)</f>
      </c>
      <c r="R7915" s="43">
        <f>IF($I7915=0,0,$J7915-$M7915-$N7915)</f>
      </c>
    </row>
    <row r="7916">
      <c r="A7916"/>
      <c r="B7916">
        <v>17</v>
      </c>
      <c r="C7916" s="43">
        <f>INDEX(DarlObj,17)</f>
      </c>
      <c r="D7916">
        <v>233</v>
      </c>
      <c r="E7916" s="51">
        <f>IF(INDEX(DarlBelegt,17)=0,0,EOMONTH(INDEX(DarlAuszahlung,17),232)+1)</f>
      </c>
      <c r="F7916" s="43">
        <f>IF($E7916=0,0,YEAR($E7916))</f>
      </c>
      <c r="G7916" s="43">
        <f>IF(INDEX(DarlBindung,17)="",1,IF($E7916&lt;=INDEX(DarlBindung,17),1,0))</f>
      </c>
      <c r="H7916" s="43">
        <f>IF($G7916=1,INDEX(DarlSollzins,17),INDEX(DarlAnschluss,17))</f>
      </c>
      <c r="I7916" s="43">
        <f>IF(INDEX(DarlBelegt,17)=0,0,IF(INDEX(DarlOhneTilgung,17)=1,IF(INDEX(DarlBindung,17)="",1,$G7916),IF($J7916&gt;0.005,1,0)))</f>
      </c>
      <c r="J7916" s="43">
        <f>IF($I7915=0,0,$R7915)</f>
      </c>
      <c r="K7916" s="43">
        <f>IF($I7916=0,0,IF(INDEX(DarlOhneTilgung,17)=1,0,IF(AND(INDEX(DarlTilgStart,17)&gt;0,$E7916=INDEX(DarlTilgStart,17)),$J7916*($H7916+INDEX(DarlTilgung,17))/100/12,IF(AND($G7916=0,$G7915=1),MAX($K7915,$J7916*($H7916+1)/100/12),$K7915))))</f>
      </c>
      <c r="L7916" s="43">
        <f>IF($I7916=0,0,$J7916*$H7916/100/12)</f>
      </c>
      <c r="M7916" s="43">
        <f>IF($I7916=0,0,IF(OR(INDEX(DarlOhneTilgung,17)=1,AND(INDEX(DarlTilgStart,17)&gt;0,$E7916&lt;INDEX(DarlTilgStart,17))),0,MIN(MAX(0,$K7916-$L7916),$J7916)))</f>
      </c>
      <c r="N7916" s="43">
        <f>IF($I7916=0,0,MIN(SUMIFS(SondBetrag,SondDarl,17,SondDatum,"&gt;="&amp;$E7916,SondDatum,"&lt;="&amp;EOMONTH($E7916,0)),$J7916-$M7916))</f>
      </c>
      <c r="O7916" s="43">
        <f>IF($I7916=0,0,INDEX(DarlErsatzRate,17))</f>
      </c>
      <c r="P7916" s="43">
        <f>IF($I7916=0,0,$Q7915*INDEX(DarlErsatzZins,17))</f>
      </c>
      <c r="Q7916" s="43">
        <f>IF($I7916=0,0,$Q7915+$P7916+$O7916)</f>
      </c>
      <c r="R7916" s="43">
        <f>IF($I7916=0,0,$J7916-$M7916-$N7916)</f>
      </c>
    </row>
    <row r="7917">
      <c r="A7917"/>
      <c r="B7917">
        <v>17</v>
      </c>
      <c r="C7917" s="43">
        <f>INDEX(DarlObj,17)</f>
      </c>
      <c r="D7917">
        <v>234</v>
      </c>
      <c r="E7917" s="51">
        <f>IF(INDEX(DarlBelegt,17)=0,0,EOMONTH(INDEX(DarlAuszahlung,17),233)+1)</f>
      </c>
      <c r="F7917" s="43">
        <f>IF($E7917=0,0,YEAR($E7917))</f>
      </c>
      <c r="G7917" s="43">
        <f>IF(INDEX(DarlBindung,17)="",1,IF($E7917&lt;=INDEX(DarlBindung,17),1,0))</f>
      </c>
      <c r="H7917" s="43">
        <f>IF($G7917=1,INDEX(DarlSollzins,17),INDEX(DarlAnschluss,17))</f>
      </c>
      <c r="I7917" s="43">
        <f>IF(INDEX(DarlBelegt,17)=0,0,IF(INDEX(DarlOhneTilgung,17)=1,IF(INDEX(DarlBindung,17)="",1,$G7917),IF($J7917&gt;0.005,1,0)))</f>
      </c>
      <c r="J7917" s="43">
        <f>IF($I7916=0,0,$R7916)</f>
      </c>
      <c r="K7917" s="43">
        <f>IF($I7917=0,0,IF(INDEX(DarlOhneTilgung,17)=1,0,IF(AND(INDEX(DarlTilgStart,17)&gt;0,$E7917=INDEX(DarlTilgStart,17)),$J7917*($H7917+INDEX(DarlTilgung,17))/100/12,IF(AND($G7917=0,$G7916=1),MAX($K7916,$J7917*($H7917+1)/100/12),$K7916))))</f>
      </c>
      <c r="L7917" s="43">
        <f>IF($I7917=0,0,$J7917*$H7917/100/12)</f>
      </c>
      <c r="M7917" s="43">
        <f>IF($I7917=0,0,IF(OR(INDEX(DarlOhneTilgung,17)=1,AND(INDEX(DarlTilgStart,17)&gt;0,$E7917&lt;INDEX(DarlTilgStart,17))),0,MIN(MAX(0,$K7917-$L7917),$J7917)))</f>
      </c>
      <c r="N7917" s="43">
        <f>IF($I7917=0,0,MIN(SUMIFS(SondBetrag,SondDarl,17,SondDatum,"&gt;="&amp;$E7917,SondDatum,"&lt;="&amp;EOMONTH($E7917,0)),$J7917-$M7917))</f>
      </c>
      <c r="O7917" s="43">
        <f>IF($I7917=0,0,INDEX(DarlErsatzRate,17))</f>
      </c>
      <c r="P7917" s="43">
        <f>IF($I7917=0,0,$Q7916*INDEX(DarlErsatzZins,17))</f>
      </c>
      <c r="Q7917" s="43">
        <f>IF($I7917=0,0,$Q7916+$P7917+$O7917)</f>
      </c>
      <c r="R7917" s="43">
        <f>IF($I7917=0,0,$J7917-$M7917-$N7917)</f>
      </c>
    </row>
    <row r="7918">
      <c r="A7918"/>
      <c r="B7918">
        <v>17</v>
      </c>
      <c r="C7918" s="43">
        <f>INDEX(DarlObj,17)</f>
      </c>
      <c r="D7918">
        <v>235</v>
      </c>
      <c r="E7918" s="51">
        <f>IF(INDEX(DarlBelegt,17)=0,0,EOMONTH(INDEX(DarlAuszahlung,17),234)+1)</f>
      </c>
      <c r="F7918" s="43">
        <f>IF($E7918=0,0,YEAR($E7918))</f>
      </c>
      <c r="G7918" s="43">
        <f>IF(INDEX(DarlBindung,17)="",1,IF($E7918&lt;=INDEX(DarlBindung,17),1,0))</f>
      </c>
      <c r="H7918" s="43">
        <f>IF($G7918=1,INDEX(DarlSollzins,17),INDEX(DarlAnschluss,17))</f>
      </c>
      <c r="I7918" s="43">
        <f>IF(INDEX(DarlBelegt,17)=0,0,IF(INDEX(DarlOhneTilgung,17)=1,IF(INDEX(DarlBindung,17)="",1,$G7918),IF($J7918&gt;0.005,1,0)))</f>
      </c>
      <c r="J7918" s="43">
        <f>IF($I7917=0,0,$R7917)</f>
      </c>
      <c r="K7918" s="43">
        <f>IF($I7918=0,0,IF(INDEX(DarlOhneTilgung,17)=1,0,IF(AND(INDEX(DarlTilgStart,17)&gt;0,$E7918=INDEX(DarlTilgStart,17)),$J7918*($H7918+INDEX(DarlTilgung,17))/100/12,IF(AND($G7918=0,$G7917=1),MAX($K7917,$J7918*($H7918+1)/100/12),$K7917))))</f>
      </c>
      <c r="L7918" s="43">
        <f>IF($I7918=0,0,$J7918*$H7918/100/12)</f>
      </c>
      <c r="M7918" s="43">
        <f>IF($I7918=0,0,IF(OR(INDEX(DarlOhneTilgung,17)=1,AND(INDEX(DarlTilgStart,17)&gt;0,$E7918&lt;INDEX(DarlTilgStart,17))),0,MIN(MAX(0,$K7918-$L7918),$J7918)))</f>
      </c>
      <c r="N7918" s="43">
        <f>IF($I7918=0,0,MIN(SUMIFS(SondBetrag,SondDarl,17,SondDatum,"&gt;="&amp;$E7918,SondDatum,"&lt;="&amp;EOMONTH($E7918,0)),$J7918-$M7918))</f>
      </c>
      <c r="O7918" s="43">
        <f>IF($I7918=0,0,INDEX(DarlErsatzRate,17))</f>
      </c>
      <c r="P7918" s="43">
        <f>IF($I7918=0,0,$Q7917*INDEX(DarlErsatzZins,17))</f>
      </c>
      <c r="Q7918" s="43">
        <f>IF($I7918=0,0,$Q7917+$P7918+$O7918)</f>
      </c>
      <c r="R7918" s="43">
        <f>IF($I7918=0,0,$J7918-$M7918-$N7918)</f>
      </c>
    </row>
    <row r="7919">
      <c r="A7919"/>
      <c r="B7919">
        <v>17</v>
      </c>
      <c r="C7919" s="43">
        <f>INDEX(DarlObj,17)</f>
      </c>
      <c r="D7919">
        <v>236</v>
      </c>
      <c r="E7919" s="51">
        <f>IF(INDEX(DarlBelegt,17)=0,0,EOMONTH(INDEX(DarlAuszahlung,17),235)+1)</f>
      </c>
      <c r="F7919" s="43">
        <f>IF($E7919=0,0,YEAR($E7919))</f>
      </c>
      <c r="G7919" s="43">
        <f>IF(INDEX(DarlBindung,17)="",1,IF($E7919&lt;=INDEX(DarlBindung,17),1,0))</f>
      </c>
      <c r="H7919" s="43">
        <f>IF($G7919=1,INDEX(DarlSollzins,17),INDEX(DarlAnschluss,17))</f>
      </c>
      <c r="I7919" s="43">
        <f>IF(INDEX(DarlBelegt,17)=0,0,IF(INDEX(DarlOhneTilgung,17)=1,IF(INDEX(DarlBindung,17)="",1,$G7919),IF($J7919&gt;0.005,1,0)))</f>
      </c>
      <c r="J7919" s="43">
        <f>IF($I7918=0,0,$R7918)</f>
      </c>
      <c r="K7919" s="43">
        <f>IF($I7919=0,0,IF(INDEX(DarlOhneTilgung,17)=1,0,IF(AND(INDEX(DarlTilgStart,17)&gt;0,$E7919=INDEX(DarlTilgStart,17)),$J7919*($H7919+INDEX(DarlTilgung,17))/100/12,IF(AND($G7919=0,$G7918=1),MAX($K7918,$J7919*($H7919+1)/100/12),$K7918))))</f>
      </c>
      <c r="L7919" s="43">
        <f>IF($I7919=0,0,$J7919*$H7919/100/12)</f>
      </c>
      <c r="M7919" s="43">
        <f>IF($I7919=0,0,IF(OR(INDEX(DarlOhneTilgung,17)=1,AND(INDEX(DarlTilgStart,17)&gt;0,$E7919&lt;INDEX(DarlTilgStart,17))),0,MIN(MAX(0,$K7919-$L7919),$J7919)))</f>
      </c>
      <c r="N7919" s="43">
        <f>IF($I7919=0,0,MIN(SUMIFS(SondBetrag,SondDarl,17,SondDatum,"&gt;="&amp;$E7919,SondDatum,"&lt;="&amp;EOMONTH($E7919,0)),$J7919-$M7919))</f>
      </c>
      <c r="O7919" s="43">
        <f>IF($I7919=0,0,INDEX(DarlErsatzRate,17))</f>
      </c>
      <c r="P7919" s="43">
        <f>IF($I7919=0,0,$Q7918*INDEX(DarlErsatzZins,17))</f>
      </c>
      <c r="Q7919" s="43">
        <f>IF($I7919=0,0,$Q7918+$P7919+$O7919)</f>
      </c>
      <c r="R7919" s="43">
        <f>IF($I7919=0,0,$J7919-$M7919-$N7919)</f>
      </c>
    </row>
    <row r="7920">
      <c r="A7920"/>
      <c r="B7920">
        <v>17</v>
      </c>
      <c r="C7920" s="43">
        <f>INDEX(DarlObj,17)</f>
      </c>
      <c r="D7920">
        <v>237</v>
      </c>
      <c r="E7920" s="51">
        <f>IF(INDEX(DarlBelegt,17)=0,0,EOMONTH(INDEX(DarlAuszahlung,17),236)+1)</f>
      </c>
      <c r="F7920" s="43">
        <f>IF($E7920=0,0,YEAR($E7920))</f>
      </c>
      <c r="G7920" s="43">
        <f>IF(INDEX(DarlBindung,17)="",1,IF($E7920&lt;=INDEX(DarlBindung,17),1,0))</f>
      </c>
      <c r="H7920" s="43">
        <f>IF($G7920=1,INDEX(DarlSollzins,17),INDEX(DarlAnschluss,17))</f>
      </c>
      <c r="I7920" s="43">
        <f>IF(INDEX(DarlBelegt,17)=0,0,IF(INDEX(DarlOhneTilgung,17)=1,IF(INDEX(DarlBindung,17)="",1,$G7920),IF($J7920&gt;0.005,1,0)))</f>
      </c>
      <c r="J7920" s="43">
        <f>IF($I7919=0,0,$R7919)</f>
      </c>
      <c r="K7920" s="43">
        <f>IF($I7920=0,0,IF(INDEX(DarlOhneTilgung,17)=1,0,IF(AND(INDEX(DarlTilgStart,17)&gt;0,$E7920=INDEX(DarlTilgStart,17)),$J7920*($H7920+INDEX(DarlTilgung,17))/100/12,IF(AND($G7920=0,$G7919=1),MAX($K7919,$J7920*($H7920+1)/100/12),$K7919))))</f>
      </c>
      <c r="L7920" s="43">
        <f>IF($I7920=0,0,$J7920*$H7920/100/12)</f>
      </c>
      <c r="M7920" s="43">
        <f>IF($I7920=0,0,IF(OR(INDEX(DarlOhneTilgung,17)=1,AND(INDEX(DarlTilgStart,17)&gt;0,$E7920&lt;INDEX(DarlTilgStart,17))),0,MIN(MAX(0,$K7920-$L7920),$J7920)))</f>
      </c>
      <c r="N7920" s="43">
        <f>IF($I7920=0,0,MIN(SUMIFS(SondBetrag,SondDarl,17,SondDatum,"&gt;="&amp;$E7920,SondDatum,"&lt;="&amp;EOMONTH($E7920,0)),$J7920-$M7920))</f>
      </c>
      <c r="O7920" s="43">
        <f>IF($I7920=0,0,INDEX(DarlErsatzRate,17))</f>
      </c>
      <c r="P7920" s="43">
        <f>IF($I7920=0,0,$Q7919*INDEX(DarlErsatzZins,17))</f>
      </c>
      <c r="Q7920" s="43">
        <f>IF($I7920=0,0,$Q7919+$P7920+$O7920)</f>
      </c>
      <c r="R7920" s="43">
        <f>IF($I7920=0,0,$J7920-$M7920-$N7920)</f>
      </c>
    </row>
    <row r="7921">
      <c r="A7921"/>
      <c r="B7921">
        <v>17</v>
      </c>
      <c r="C7921" s="43">
        <f>INDEX(DarlObj,17)</f>
      </c>
      <c r="D7921">
        <v>238</v>
      </c>
      <c r="E7921" s="51">
        <f>IF(INDEX(DarlBelegt,17)=0,0,EOMONTH(INDEX(DarlAuszahlung,17),237)+1)</f>
      </c>
      <c r="F7921" s="43">
        <f>IF($E7921=0,0,YEAR($E7921))</f>
      </c>
      <c r="G7921" s="43">
        <f>IF(INDEX(DarlBindung,17)="",1,IF($E7921&lt;=INDEX(DarlBindung,17),1,0))</f>
      </c>
      <c r="H7921" s="43">
        <f>IF($G7921=1,INDEX(DarlSollzins,17),INDEX(DarlAnschluss,17))</f>
      </c>
      <c r="I7921" s="43">
        <f>IF(INDEX(DarlBelegt,17)=0,0,IF(INDEX(DarlOhneTilgung,17)=1,IF(INDEX(DarlBindung,17)="",1,$G7921),IF($J7921&gt;0.005,1,0)))</f>
      </c>
      <c r="J7921" s="43">
        <f>IF($I7920=0,0,$R7920)</f>
      </c>
      <c r="K7921" s="43">
        <f>IF($I7921=0,0,IF(INDEX(DarlOhneTilgung,17)=1,0,IF(AND(INDEX(DarlTilgStart,17)&gt;0,$E7921=INDEX(DarlTilgStart,17)),$J7921*($H7921+INDEX(DarlTilgung,17))/100/12,IF(AND($G7921=0,$G7920=1),MAX($K7920,$J7921*($H7921+1)/100/12),$K7920))))</f>
      </c>
      <c r="L7921" s="43">
        <f>IF($I7921=0,0,$J7921*$H7921/100/12)</f>
      </c>
      <c r="M7921" s="43">
        <f>IF($I7921=0,0,IF(OR(INDEX(DarlOhneTilgung,17)=1,AND(INDEX(DarlTilgStart,17)&gt;0,$E7921&lt;INDEX(DarlTilgStart,17))),0,MIN(MAX(0,$K7921-$L7921),$J7921)))</f>
      </c>
      <c r="N7921" s="43">
        <f>IF($I7921=0,0,MIN(SUMIFS(SondBetrag,SondDarl,17,SondDatum,"&gt;="&amp;$E7921,SondDatum,"&lt;="&amp;EOMONTH($E7921,0)),$J7921-$M7921))</f>
      </c>
      <c r="O7921" s="43">
        <f>IF($I7921=0,0,INDEX(DarlErsatzRate,17))</f>
      </c>
      <c r="P7921" s="43">
        <f>IF($I7921=0,0,$Q7920*INDEX(DarlErsatzZins,17))</f>
      </c>
      <c r="Q7921" s="43">
        <f>IF($I7921=0,0,$Q7920+$P7921+$O7921)</f>
      </c>
      <c r="R7921" s="43">
        <f>IF($I7921=0,0,$J7921-$M7921-$N7921)</f>
      </c>
    </row>
    <row r="7922">
      <c r="A7922"/>
      <c r="B7922">
        <v>17</v>
      </c>
      <c r="C7922" s="43">
        <f>INDEX(DarlObj,17)</f>
      </c>
      <c r="D7922">
        <v>239</v>
      </c>
      <c r="E7922" s="51">
        <f>IF(INDEX(DarlBelegt,17)=0,0,EOMONTH(INDEX(DarlAuszahlung,17),238)+1)</f>
      </c>
      <c r="F7922" s="43">
        <f>IF($E7922=0,0,YEAR($E7922))</f>
      </c>
      <c r="G7922" s="43">
        <f>IF(INDEX(DarlBindung,17)="",1,IF($E7922&lt;=INDEX(DarlBindung,17),1,0))</f>
      </c>
      <c r="H7922" s="43">
        <f>IF($G7922=1,INDEX(DarlSollzins,17),INDEX(DarlAnschluss,17))</f>
      </c>
      <c r="I7922" s="43">
        <f>IF(INDEX(DarlBelegt,17)=0,0,IF(INDEX(DarlOhneTilgung,17)=1,IF(INDEX(DarlBindung,17)="",1,$G7922),IF($J7922&gt;0.005,1,0)))</f>
      </c>
      <c r="J7922" s="43">
        <f>IF($I7921=0,0,$R7921)</f>
      </c>
      <c r="K7922" s="43">
        <f>IF($I7922=0,0,IF(INDEX(DarlOhneTilgung,17)=1,0,IF(AND(INDEX(DarlTilgStart,17)&gt;0,$E7922=INDEX(DarlTilgStart,17)),$J7922*($H7922+INDEX(DarlTilgung,17))/100/12,IF(AND($G7922=0,$G7921=1),MAX($K7921,$J7922*($H7922+1)/100/12),$K7921))))</f>
      </c>
      <c r="L7922" s="43">
        <f>IF($I7922=0,0,$J7922*$H7922/100/12)</f>
      </c>
      <c r="M7922" s="43">
        <f>IF($I7922=0,0,IF(OR(INDEX(DarlOhneTilgung,17)=1,AND(INDEX(DarlTilgStart,17)&gt;0,$E7922&lt;INDEX(DarlTilgStart,17))),0,MIN(MAX(0,$K7922-$L7922),$J7922)))</f>
      </c>
      <c r="N7922" s="43">
        <f>IF($I7922=0,0,MIN(SUMIFS(SondBetrag,SondDarl,17,SondDatum,"&gt;="&amp;$E7922,SondDatum,"&lt;="&amp;EOMONTH($E7922,0)),$J7922-$M7922))</f>
      </c>
      <c r="O7922" s="43">
        <f>IF($I7922=0,0,INDEX(DarlErsatzRate,17))</f>
      </c>
      <c r="P7922" s="43">
        <f>IF($I7922=0,0,$Q7921*INDEX(DarlErsatzZins,17))</f>
      </c>
      <c r="Q7922" s="43">
        <f>IF($I7922=0,0,$Q7921+$P7922+$O7922)</f>
      </c>
      <c r="R7922" s="43">
        <f>IF($I7922=0,0,$J7922-$M7922-$N7922)</f>
      </c>
    </row>
    <row r="7923">
      <c r="A7923"/>
      <c r="B7923">
        <v>17</v>
      </c>
      <c r="C7923" s="43">
        <f>INDEX(DarlObj,17)</f>
      </c>
      <c r="D7923">
        <v>240</v>
      </c>
      <c r="E7923" s="51">
        <f>IF(INDEX(DarlBelegt,17)=0,0,EOMONTH(INDEX(DarlAuszahlung,17),239)+1)</f>
      </c>
      <c r="F7923" s="43">
        <f>IF($E7923=0,0,YEAR($E7923))</f>
      </c>
      <c r="G7923" s="43">
        <f>IF(INDEX(DarlBindung,17)="",1,IF($E7923&lt;=INDEX(DarlBindung,17),1,0))</f>
      </c>
      <c r="H7923" s="43">
        <f>IF($G7923=1,INDEX(DarlSollzins,17),INDEX(DarlAnschluss,17))</f>
      </c>
      <c r="I7923" s="43">
        <f>IF(INDEX(DarlBelegt,17)=0,0,IF(INDEX(DarlOhneTilgung,17)=1,IF(INDEX(DarlBindung,17)="",1,$G7923),IF($J7923&gt;0.005,1,0)))</f>
      </c>
      <c r="J7923" s="43">
        <f>IF($I7922=0,0,$R7922)</f>
      </c>
      <c r="K7923" s="43">
        <f>IF($I7923=0,0,IF(INDEX(DarlOhneTilgung,17)=1,0,IF(AND(INDEX(DarlTilgStart,17)&gt;0,$E7923=INDEX(DarlTilgStart,17)),$J7923*($H7923+INDEX(DarlTilgung,17))/100/12,IF(AND($G7923=0,$G7922=1),MAX($K7922,$J7923*($H7923+1)/100/12),$K7922))))</f>
      </c>
      <c r="L7923" s="43">
        <f>IF($I7923=0,0,$J7923*$H7923/100/12)</f>
      </c>
      <c r="M7923" s="43">
        <f>IF($I7923=0,0,IF(OR(INDEX(DarlOhneTilgung,17)=1,AND(INDEX(DarlTilgStart,17)&gt;0,$E7923&lt;INDEX(DarlTilgStart,17))),0,MIN(MAX(0,$K7923-$L7923),$J7923)))</f>
      </c>
      <c r="N7923" s="43">
        <f>IF($I7923=0,0,MIN(SUMIFS(SondBetrag,SondDarl,17,SondDatum,"&gt;="&amp;$E7923,SondDatum,"&lt;="&amp;EOMONTH($E7923,0)),$J7923-$M7923))</f>
      </c>
      <c r="O7923" s="43">
        <f>IF($I7923=0,0,INDEX(DarlErsatzRate,17))</f>
      </c>
      <c r="P7923" s="43">
        <f>IF($I7923=0,0,$Q7922*INDEX(DarlErsatzZins,17))</f>
      </c>
      <c r="Q7923" s="43">
        <f>IF($I7923=0,0,$Q7922+$P7923+$O7923)</f>
      </c>
      <c r="R7923" s="43">
        <f>IF($I7923=0,0,$J7923-$M7923-$N7923)</f>
      </c>
    </row>
    <row r="7924">
      <c r="A7924"/>
      <c r="B7924">
        <v>17</v>
      </c>
      <c r="C7924" s="43">
        <f>INDEX(DarlObj,17)</f>
      </c>
      <c r="D7924">
        <v>241</v>
      </c>
      <c r="E7924" s="51">
        <f>IF(INDEX(DarlBelegt,17)=0,0,EOMONTH(INDEX(DarlAuszahlung,17),240)+1)</f>
      </c>
      <c r="F7924" s="43">
        <f>IF($E7924=0,0,YEAR($E7924))</f>
      </c>
      <c r="G7924" s="43">
        <f>IF(INDEX(DarlBindung,17)="",1,IF($E7924&lt;=INDEX(DarlBindung,17),1,0))</f>
      </c>
      <c r="H7924" s="43">
        <f>IF($G7924=1,INDEX(DarlSollzins,17),INDEX(DarlAnschluss,17))</f>
      </c>
      <c r="I7924" s="43">
        <f>IF(INDEX(DarlBelegt,17)=0,0,IF(INDEX(DarlOhneTilgung,17)=1,IF(INDEX(DarlBindung,17)="",1,$G7924),IF($J7924&gt;0.005,1,0)))</f>
      </c>
      <c r="J7924" s="43">
        <f>IF($I7923=0,0,$R7923)</f>
      </c>
      <c r="K7924" s="43">
        <f>IF($I7924=0,0,IF(INDEX(DarlOhneTilgung,17)=1,0,IF(AND(INDEX(DarlTilgStart,17)&gt;0,$E7924=INDEX(DarlTilgStart,17)),$J7924*($H7924+INDEX(DarlTilgung,17))/100/12,IF(AND($G7924=0,$G7923=1),MAX($K7923,$J7924*($H7924+1)/100/12),$K7923))))</f>
      </c>
      <c r="L7924" s="43">
        <f>IF($I7924=0,0,$J7924*$H7924/100/12)</f>
      </c>
      <c r="M7924" s="43">
        <f>IF($I7924=0,0,IF(OR(INDEX(DarlOhneTilgung,17)=1,AND(INDEX(DarlTilgStart,17)&gt;0,$E7924&lt;INDEX(DarlTilgStart,17))),0,MIN(MAX(0,$K7924-$L7924),$J7924)))</f>
      </c>
      <c r="N7924" s="43">
        <f>IF($I7924=0,0,MIN(SUMIFS(SondBetrag,SondDarl,17,SondDatum,"&gt;="&amp;$E7924,SondDatum,"&lt;="&amp;EOMONTH($E7924,0)),$J7924-$M7924))</f>
      </c>
      <c r="O7924" s="43">
        <f>IF($I7924=0,0,INDEX(DarlErsatzRate,17))</f>
      </c>
      <c r="P7924" s="43">
        <f>IF($I7924=0,0,$Q7923*INDEX(DarlErsatzZins,17))</f>
      </c>
      <c r="Q7924" s="43">
        <f>IF($I7924=0,0,$Q7923+$P7924+$O7924)</f>
      </c>
      <c r="R7924" s="43">
        <f>IF($I7924=0,0,$J7924-$M7924-$N7924)</f>
      </c>
    </row>
    <row r="7925">
      <c r="A7925"/>
      <c r="B7925">
        <v>17</v>
      </c>
      <c r="C7925" s="43">
        <f>INDEX(DarlObj,17)</f>
      </c>
      <c r="D7925">
        <v>242</v>
      </c>
      <c r="E7925" s="51">
        <f>IF(INDEX(DarlBelegt,17)=0,0,EOMONTH(INDEX(DarlAuszahlung,17),241)+1)</f>
      </c>
      <c r="F7925" s="43">
        <f>IF($E7925=0,0,YEAR($E7925))</f>
      </c>
      <c r="G7925" s="43">
        <f>IF(INDEX(DarlBindung,17)="",1,IF($E7925&lt;=INDEX(DarlBindung,17),1,0))</f>
      </c>
      <c r="H7925" s="43">
        <f>IF($G7925=1,INDEX(DarlSollzins,17),INDEX(DarlAnschluss,17))</f>
      </c>
      <c r="I7925" s="43">
        <f>IF(INDEX(DarlBelegt,17)=0,0,IF(INDEX(DarlOhneTilgung,17)=1,IF(INDEX(DarlBindung,17)="",1,$G7925),IF($J7925&gt;0.005,1,0)))</f>
      </c>
      <c r="J7925" s="43">
        <f>IF($I7924=0,0,$R7924)</f>
      </c>
      <c r="K7925" s="43">
        <f>IF($I7925=0,0,IF(INDEX(DarlOhneTilgung,17)=1,0,IF(AND(INDEX(DarlTilgStart,17)&gt;0,$E7925=INDEX(DarlTilgStart,17)),$J7925*($H7925+INDEX(DarlTilgung,17))/100/12,IF(AND($G7925=0,$G7924=1),MAX($K7924,$J7925*($H7925+1)/100/12),$K7924))))</f>
      </c>
      <c r="L7925" s="43">
        <f>IF($I7925=0,0,$J7925*$H7925/100/12)</f>
      </c>
      <c r="M7925" s="43">
        <f>IF($I7925=0,0,IF(OR(INDEX(DarlOhneTilgung,17)=1,AND(INDEX(DarlTilgStart,17)&gt;0,$E7925&lt;INDEX(DarlTilgStart,17))),0,MIN(MAX(0,$K7925-$L7925),$J7925)))</f>
      </c>
      <c r="N7925" s="43">
        <f>IF($I7925=0,0,MIN(SUMIFS(SondBetrag,SondDarl,17,SondDatum,"&gt;="&amp;$E7925,SondDatum,"&lt;="&amp;EOMONTH($E7925,0)),$J7925-$M7925))</f>
      </c>
      <c r="O7925" s="43">
        <f>IF($I7925=0,0,INDEX(DarlErsatzRate,17))</f>
      </c>
      <c r="P7925" s="43">
        <f>IF($I7925=0,0,$Q7924*INDEX(DarlErsatzZins,17))</f>
      </c>
      <c r="Q7925" s="43">
        <f>IF($I7925=0,0,$Q7924+$P7925+$O7925)</f>
      </c>
      <c r="R7925" s="43">
        <f>IF($I7925=0,0,$J7925-$M7925-$N7925)</f>
      </c>
    </row>
    <row r="7926">
      <c r="A7926"/>
      <c r="B7926">
        <v>17</v>
      </c>
      <c r="C7926" s="43">
        <f>INDEX(DarlObj,17)</f>
      </c>
      <c r="D7926">
        <v>243</v>
      </c>
      <c r="E7926" s="51">
        <f>IF(INDEX(DarlBelegt,17)=0,0,EOMONTH(INDEX(DarlAuszahlung,17),242)+1)</f>
      </c>
      <c r="F7926" s="43">
        <f>IF($E7926=0,0,YEAR($E7926))</f>
      </c>
      <c r="G7926" s="43">
        <f>IF(INDEX(DarlBindung,17)="",1,IF($E7926&lt;=INDEX(DarlBindung,17),1,0))</f>
      </c>
      <c r="H7926" s="43">
        <f>IF($G7926=1,INDEX(DarlSollzins,17),INDEX(DarlAnschluss,17))</f>
      </c>
      <c r="I7926" s="43">
        <f>IF(INDEX(DarlBelegt,17)=0,0,IF(INDEX(DarlOhneTilgung,17)=1,IF(INDEX(DarlBindung,17)="",1,$G7926),IF($J7926&gt;0.005,1,0)))</f>
      </c>
      <c r="J7926" s="43">
        <f>IF($I7925=0,0,$R7925)</f>
      </c>
      <c r="K7926" s="43">
        <f>IF($I7926=0,0,IF(INDEX(DarlOhneTilgung,17)=1,0,IF(AND(INDEX(DarlTilgStart,17)&gt;0,$E7926=INDEX(DarlTilgStart,17)),$J7926*($H7926+INDEX(DarlTilgung,17))/100/12,IF(AND($G7926=0,$G7925=1),MAX($K7925,$J7926*($H7926+1)/100/12),$K7925))))</f>
      </c>
      <c r="L7926" s="43">
        <f>IF($I7926=0,0,$J7926*$H7926/100/12)</f>
      </c>
      <c r="M7926" s="43">
        <f>IF($I7926=0,0,IF(OR(INDEX(DarlOhneTilgung,17)=1,AND(INDEX(DarlTilgStart,17)&gt;0,$E7926&lt;INDEX(DarlTilgStart,17))),0,MIN(MAX(0,$K7926-$L7926),$J7926)))</f>
      </c>
      <c r="N7926" s="43">
        <f>IF($I7926=0,0,MIN(SUMIFS(SondBetrag,SondDarl,17,SondDatum,"&gt;="&amp;$E7926,SondDatum,"&lt;="&amp;EOMONTH($E7926,0)),$J7926-$M7926))</f>
      </c>
      <c r="O7926" s="43">
        <f>IF($I7926=0,0,INDEX(DarlErsatzRate,17))</f>
      </c>
      <c r="P7926" s="43">
        <f>IF($I7926=0,0,$Q7925*INDEX(DarlErsatzZins,17))</f>
      </c>
      <c r="Q7926" s="43">
        <f>IF($I7926=0,0,$Q7925+$P7926+$O7926)</f>
      </c>
      <c r="R7926" s="43">
        <f>IF($I7926=0,0,$J7926-$M7926-$N7926)</f>
      </c>
    </row>
    <row r="7927">
      <c r="A7927"/>
      <c r="B7927">
        <v>17</v>
      </c>
      <c r="C7927" s="43">
        <f>INDEX(DarlObj,17)</f>
      </c>
      <c r="D7927">
        <v>244</v>
      </c>
      <c r="E7927" s="51">
        <f>IF(INDEX(DarlBelegt,17)=0,0,EOMONTH(INDEX(DarlAuszahlung,17),243)+1)</f>
      </c>
      <c r="F7927" s="43">
        <f>IF($E7927=0,0,YEAR($E7927))</f>
      </c>
      <c r="G7927" s="43">
        <f>IF(INDEX(DarlBindung,17)="",1,IF($E7927&lt;=INDEX(DarlBindung,17),1,0))</f>
      </c>
      <c r="H7927" s="43">
        <f>IF($G7927=1,INDEX(DarlSollzins,17),INDEX(DarlAnschluss,17))</f>
      </c>
      <c r="I7927" s="43">
        <f>IF(INDEX(DarlBelegt,17)=0,0,IF(INDEX(DarlOhneTilgung,17)=1,IF(INDEX(DarlBindung,17)="",1,$G7927),IF($J7927&gt;0.005,1,0)))</f>
      </c>
      <c r="J7927" s="43">
        <f>IF($I7926=0,0,$R7926)</f>
      </c>
      <c r="K7927" s="43">
        <f>IF($I7927=0,0,IF(INDEX(DarlOhneTilgung,17)=1,0,IF(AND(INDEX(DarlTilgStart,17)&gt;0,$E7927=INDEX(DarlTilgStart,17)),$J7927*($H7927+INDEX(DarlTilgung,17))/100/12,IF(AND($G7927=0,$G7926=1),MAX($K7926,$J7927*($H7927+1)/100/12),$K7926))))</f>
      </c>
      <c r="L7927" s="43">
        <f>IF($I7927=0,0,$J7927*$H7927/100/12)</f>
      </c>
      <c r="M7927" s="43">
        <f>IF($I7927=0,0,IF(OR(INDEX(DarlOhneTilgung,17)=1,AND(INDEX(DarlTilgStart,17)&gt;0,$E7927&lt;INDEX(DarlTilgStart,17))),0,MIN(MAX(0,$K7927-$L7927),$J7927)))</f>
      </c>
      <c r="N7927" s="43">
        <f>IF($I7927=0,0,MIN(SUMIFS(SondBetrag,SondDarl,17,SondDatum,"&gt;="&amp;$E7927,SondDatum,"&lt;="&amp;EOMONTH($E7927,0)),$J7927-$M7927))</f>
      </c>
      <c r="O7927" s="43">
        <f>IF($I7927=0,0,INDEX(DarlErsatzRate,17))</f>
      </c>
      <c r="P7927" s="43">
        <f>IF($I7927=0,0,$Q7926*INDEX(DarlErsatzZins,17))</f>
      </c>
      <c r="Q7927" s="43">
        <f>IF($I7927=0,0,$Q7926+$P7927+$O7927)</f>
      </c>
      <c r="R7927" s="43">
        <f>IF($I7927=0,0,$J7927-$M7927-$N7927)</f>
      </c>
    </row>
    <row r="7928">
      <c r="A7928"/>
      <c r="B7928">
        <v>17</v>
      </c>
      <c r="C7928" s="43">
        <f>INDEX(DarlObj,17)</f>
      </c>
      <c r="D7928">
        <v>245</v>
      </c>
      <c r="E7928" s="51">
        <f>IF(INDEX(DarlBelegt,17)=0,0,EOMONTH(INDEX(DarlAuszahlung,17),244)+1)</f>
      </c>
      <c r="F7928" s="43">
        <f>IF($E7928=0,0,YEAR($E7928))</f>
      </c>
      <c r="G7928" s="43">
        <f>IF(INDEX(DarlBindung,17)="",1,IF($E7928&lt;=INDEX(DarlBindung,17),1,0))</f>
      </c>
      <c r="H7928" s="43">
        <f>IF($G7928=1,INDEX(DarlSollzins,17),INDEX(DarlAnschluss,17))</f>
      </c>
      <c r="I7928" s="43">
        <f>IF(INDEX(DarlBelegt,17)=0,0,IF(INDEX(DarlOhneTilgung,17)=1,IF(INDEX(DarlBindung,17)="",1,$G7928),IF($J7928&gt;0.005,1,0)))</f>
      </c>
      <c r="J7928" s="43">
        <f>IF($I7927=0,0,$R7927)</f>
      </c>
      <c r="K7928" s="43">
        <f>IF($I7928=0,0,IF(INDEX(DarlOhneTilgung,17)=1,0,IF(AND(INDEX(DarlTilgStart,17)&gt;0,$E7928=INDEX(DarlTilgStart,17)),$J7928*($H7928+INDEX(DarlTilgung,17))/100/12,IF(AND($G7928=0,$G7927=1),MAX($K7927,$J7928*($H7928+1)/100/12),$K7927))))</f>
      </c>
      <c r="L7928" s="43">
        <f>IF($I7928=0,0,$J7928*$H7928/100/12)</f>
      </c>
      <c r="M7928" s="43">
        <f>IF($I7928=0,0,IF(OR(INDEX(DarlOhneTilgung,17)=1,AND(INDEX(DarlTilgStart,17)&gt;0,$E7928&lt;INDEX(DarlTilgStart,17))),0,MIN(MAX(0,$K7928-$L7928),$J7928)))</f>
      </c>
      <c r="N7928" s="43">
        <f>IF($I7928=0,0,MIN(SUMIFS(SondBetrag,SondDarl,17,SondDatum,"&gt;="&amp;$E7928,SondDatum,"&lt;="&amp;EOMONTH($E7928,0)),$J7928-$M7928))</f>
      </c>
      <c r="O7928" s="43">
        <f>IF($I7928=0,0,INDEX(DarlErsatzRate,17))</f>
      </c>
      <c r="P7928" s="43">
        <f>IF($I7928=0,0,$Q7927*INDEX(DarlErsatzZins,17))</f>
      </c>
      <c r="Q7928" s="43">
        <f>IF($I7928=0,0,$Q7927+$P7928+$O7928)</f>
      </c>
      <c r="R7928" s="43">
        <f>IF($I7928=0,0,$J7928-$M7928-$N7928)</f>
      </c>
    </row>
    <row r="7929">
      <c r="A7929"/>
      <c r="B7929">
        <v>17</v>
      </c>
      <c r="C7929" s="43">
        <f>INDEX(DarlObj,17)</f>
      </c>
      <c r="D7929">
        <v>246</v>
      </c>
      <c r="E7929" s="51">
        <f>IF(INDEX(DarlBelegt,17)=0,0,EOMONTH(INDEX(DarlAuszahlung,17),245)+1)</f>
      </c>
      <c r="F7929" s="43">
        <f>IF($E7929=0,0,YEAR($E7929))</f>
      </c>
      <c r="G7929" s="43">
        <f>IF(INDEX(DarlBindung,17)="",1,IF($E7929&lt;=INDEX(DarlBindung,17),1,0))</f>
      </c>
      <c r="H7929" s="43">
        <f>IF($G7929=1,INDEX(DarlSollzins,17),INDEX(DarlAnschluss,17))</f>
      </c>
      <c r="I7929" s="43">
        <f>IF(INDEX(DarlBelegt,17)=0,0,IF(INDEX(DarlOhneTilgung,17)=1,IF(INDEX(DarlBindung,17)="",1,$G7929),IF($J7929&gt;0.005,1,0)))</f>
      </c>
      <c r="J7929" s="43">
        <f>IF($I7928=0,0,$R7928)</f>
      </c>
      <c r="K7929" s="43">
        <f>IF($I7929=0,0,IF(INDEX(DarlOhneTilgung,17)=1,0,IF(AND(INDEX(DarlTilgStart,17)&gt;0,$E7929=INDEX(DarlTilgStart,17)),$J7929*($H7929+INDEX(DarlTilgung,17))/100/12,IF(AND($G7929=0,$G7928=1),MAX($K7928,$J7929*($H7929+1)/100/12),$K7928))))</f>
      </c>
      <c r="L7929" s="43">
        <f>IF($I7929=0,0,$J7929*$H7929/100/12)</f>
      </c>
      <c r="M7929" s="43">
        <f>IF($I7929=0,0,IF(OR(INDEX(DarlOhneTilgung,17)=1,AND(INDEX(DarlTilgStart,17)&gt;0,$E7929&lt;INDEX(DarlTilgStart,17))),0,MIN(MAX(0,$K7929-$L7929),$J7929)))</f>
      </c>
      <c r="N7929" s="43">
        <f>IF($I7929=0,0,MIN(SUMIFS(SondBetrag,SondDarl,17,SondDatum,"&gt;="&amp;$E7929,SondDatum,"&lt;="&amp;EOMONTH($E7929,0)),$J7929-$M7929))</f>
      </c>
      <c r="O7929" s="43">
        <f>IF($I7929=0,0,INDEX(DarlErsatzRate,17))</f>
      </c>
      <c r="P7929" s="43">
        <f>IF($I7929=0,0,$Q7928*INDEX(DarlErsatzZins,17))</f>
      </c>
      <c r="Q7929" s="43">
        <f>IF($I7929=0,0,$Q7928+$P7929+$O7929)</f>
      </c>
      <c r="R7929" s="43">
        <f>IF($I7929=0,0,$J7929-$M7929-$N7929)</f>
      </c>
    </row>
    <row r="7930">
      <c r="A7930"/>
      <c r="B7930">
        <v>17</v>
      </c>
      <c r="C7930" s="43">
        <f>INDEX(DarlObj,17)</f>
      </c>
      <c r="D7930">
        <v>247</v>
      </c>
      <c r="E7930" s="51">
        <f>IF(INDEX(DarlBelegt,17)=0,0,EOMONTH(INDEX(DarlAuszahlung,17),246)+1)</f>
      </c>
      <c r="F7930" s="43">
        <f>IF($E7930=0,0,YEAR($E7930))</f>
      </c>
      <c r="G7930" s="43">
        <f>IF(INDEX(DarlBindung,17)="",1,IF($E7930&lt;=INDEX(DarlBindung,17),1,0))</f>
      </c>
      <c r="H7930" s="43">
        <f>IF($G7930=1,INDEX(DarlSollzins,17),INDEX(DarlAnschluss,17))</f>
      </c>
      <c r="I7930" s="43">
        <f>IF(INDEX(DarlBelegt,17)=0,0,IF(INDEX(DarlOhneTilgung,17)=1,IF(INDEX(DarlBindung,17)="",1,$G7930),IF($J7930&gt;0.005,1,0)))</f>
      </c>
      <c r="J7930" s="43">
        <f>IF($I7929=0,0,$R7929)</f>
      </c>
      <c r="K7930" s="43">
        <f>IF($I7930=0,0,IF(INDEX(DarlOhneTilgung,17)=1,0,IF(AND(INDEX(DarlTilgStart,17)&gt;0,$E7930=INDEX(DarlTilgStart,17)),$J7930*($H7930+INDEX(DarlTilgung,17))/100/12,IF(AND($G7930=0,$G7929=1),MAX($K7929,$J7930*($H7930+1)/100/12),$K7929))))</f>
      </c>
      <c r="L7930" s="43">
        <f>IF($I7930=0,0,$J7930*$H7930/100/12)</f>
      </c>
      <c r="M7930" s="43">
        <f>IF($I7930=0,0,IF(OR(INDEX(DarlOhneTilgung,17)=1,AND(INDEX(DarlTilgStart,17)&gt;0,$E7930&lt;INDEX(DarlTilgStart,17))),0,MIN(MAX(0,$K7930-$L7930),$J7930)))</f>
      </c>
      <c r="N7930" s="43">
        <f>IF($I7930=0,0,MIN(SUMIFS(SondBetrag,SondDarl,17,SondDatum,"&gt;="&amp;$E7930,SondDatum,"&lt;="&amp;EOMONTH($E7930,0)),$J7930-$M7930))</f>
      </c>
      <c r="O7930" s="43">
        <f>IF($I7930=0,0,INDEX(DarlErsatzRate,17))</f>
      </c>
      <c r="P7930" s="43">
        <f>IF($I7930=0,0,$Q7929*INDEX(DarlErsatzZins,17))</f>
      </c>
      <c r="Q7930" s="43">
        <f>IF($I7930=0,0,$Q7929+$P7930+$O7930)</f>
      </c>
      <c r="R7930" s="43">
        <f>IF($I7930=0,0,$J7930-$M7930-$N7930)</f>
      </c>
    </row>
    <row r="7931">
      <c r="A7931"/>
      <c r="B7931">
        <v>17</v>
      </c>
      <c r="C7931" s="43">
        <f>INDEX(DarlObj,17)</f>
      </c>
      <c r="D7931">
        <v>248</v>
      </c>
      <c r="E7931" s="51">
        <f>IF(INDEX(DarlBelegt,17)=0,0,EOMONTH(INDEX(DarlAuszahlung,17),247)+1)</f>
      </c>
      <c r="F7931" s="43">
        <f>IF($E7931=0,0,YEAR($E7931))</f>
      </c>
      <c r="G7931" s="43">
        <f>IF(INDEX(DarlBindung,17)="",1,IF($E7931&lt;=INDEX(DarlBindung,17),1,0))</f>
      </c>
      <c r="H7931" s="43">
        <f>IF($G7931=1,INDEX(DarlSollzins,17),INDEX(DarlAnschluss,17))</f>
      </c>
      <c r="I7931" s="43">
        <f>IF(INDEX(DarlBelegt,17)=0,0,IF(INDEX(DarlOhneTilgung,17)=1,IF(INDEX(DarlBindung,17)="",1,$G7931),IF($J7931&gt;0.005,1,0)))</f>
      </c>
      <c r="J7931" s="43">
        <f>IF($I7930=0,0,$R7930)</f>
      </c>
      <c r="K7931" s="43">
        <f>IF($I7931=0,0,IF(INDEX(DarlOhneTilgung,17)=1,0,IF(AND(INDEX(DarlTilgStart,17)&gt;0,$E7931=INDEX(DarlTilgStart,17)),$J7931*($H7931+INDEX(DarlTilgung,17))/100/12,IF(AND($G7931=0,$G7930=1),MAX($K7930,$J7931*($H7931+1)/100/12),$K7930))))</f>
      </c>
      <c r="L7931" s="43">
        <f>IF($I7931=0,0,$J7931*$H7931/100/12)</f>
      </c>
      <c r="M7931" s="43">
        <f>IF($I7931=0,0,IF(OR(INDEX(DarlOhneTilgung,17)=1,AND(INDEX(DarlTilgStart,17)&gt;0,$E7931&lt;INDEX(DarlTilgStart,17))),0,MIN(MAX(0,$K7931-$L7931),$J7931)))</f>
      </c>
      <c r="N7931" s="43">
        <f>IF($I7931=0,0,MIN(SUMIFS(SondBetrag,SondDarl,17,SondDatum,"&gt;="&amp;$E7931,SondDatum,"&lt;="&amp;EOMONTH($E7931,0)),$J7931-$M7931))</f>
      </c>
      <c r="O7931" s="43">
        <f>IF($I7931=0,0,INDEX(DarlErsatzRate,17))</f>
      </c>
      <c r="P7931" s="43">
        <f>IF($I7931=0,0,$Q7930*INDEX(DarlErsatzZins,17))</f>
      </c>
      <c r="Q7931" s="43">
        <f>IF($I7931=0,0,$Q7930+$P7931+$O7931)</f>
      </c>
      <c r="R7931" s="43">
        <f>IF($I7931=0,0,$J7931-$M7931-$N7931)</f>
      </c>
    </row>
    <row r="7932">
      <c r="A7932"/>
      <c r="B7932">
        <v>17</v>
      </c>
      <c r="C7932" s="43">
        <f>INDEX(DarlObj,17)</f>
      </c>
      <c r="D7932">
        <v>249</v>
      </c>
      <c r="E7932" s="51">
        <f>IF(INDEX(DarlBelegt,17)=0,0,EOMONTH(INDEX(DarlAuszahlung,17),248)+1)</f>
      </c>
      <c r="F7932" s="43">
        <f>IF($E7932=0,0,YEAR($E7932))</f>
      </c>
      <c r="G7932" s="43">
        <f>IF(INDEX(DarlBindung,17)="",1,IF($E7932&lt;=INDEX(DarlBindung,17),1,0))</f>
      </c>
      <c r="H7932" s="43">
        <f>IF($G7932=1,INDEX(DarlSollzins,17),INDEX(DarlAnschluss,17))</f>
      </c>
      <c r="I7932" s="43">
        <f>IF(INDEX(DarlBelegt,17)=0,0,IF(INDEX(DarlOhneTilgung,17)=1,IF(INDEX(DarlBindung,17)="",1,$G7932),IF($J7932&gt;0.005,1,0)))</f>
      </c>
      <c r="J7932" s="43">
        <f>IF($I7931=0,0,$R7931)</f>
      </c>
      <c r="K7932" s="43">
        <f>IF($I7932=0,0,IF(INDEX(DarlOhneTilgung,17)=1,0,IF(AND(INDEX(DarlTilgStart,17)&gt;0,$E7932=INDEX(DarlTilgStart,17)),$J7932*($H7932+INDEX(DarlTilgung,17))/100/12,IF(AND($G7932=0,$G7931=1),MAX($K7931,$J7932*($H7932+1)/100/12),$K7931))))</f>
      </c>
      <c r="L7932" s="43">
        <f>IF($I7932=0,0,$J7932*$H7932/100/12)</f>
      </c>
      <c r="M7932" s="43">
        <f>IF($I7932=0,0,IF(OR(INDEX(DarlOhneTilgung,17)=1,AND(INDEX(DarlTilgStart,17)&gt;0,$E7932&lt;INDEX(DarlTilgStart,17))),0,MIN(MAX(0,$K7932-$L7932),$J7932)))</f>
      </c>
      <c r="N7932" s="43">
        <f>IF($I7932=0,0,MIN(SUMIFS(SondBetrag,SondDarl,17,SondDatum,"&gt;="&amp;$E7932,SondDatum,"&lt;="&amp;EOMONTH($E7932,0)),$J7932-$M7932))</f>
      </c>
      <c r="O7932" s="43">
        <f>IF($I7932=0,0,INDEX(DarlErsatzRate,17))</f>
      </c>
      <c r="P7932" s="43">
        <f>IF($I7932=0,0,$Q7931*INDEX(DarlErsatzZins,17))</f>
      </c>
      <c r="Q7932" s="43">
        <f>IF($I7932=0,0,$Q7931+$P7932+$O7932)</f>
      </c>
      <c r="R7932" s="43">
        <f>IF($I7932=0,0,$J7932-$M7932-$N7932)</f>
      </c>
    </row>
    <row r="7933">
      <c r="A7933"/>
      <c r="B7933">
        <v>17</v>
      </c>
      <c r="C7933" s="43">
        <f>INDEX(DarlObj,17)</f>
      </c>
      <c r="D7933">
        <v>250</v>
      </c>
      <c r="E7933" s="51">
        <f>IF(INDEX(DarlBelegt,17)=0,0,EOMONTH(INDEX(DarlAuszahlung,17),249)+1)</f>
      </c>
      <c r="F7933" s="43">
        <f>IF($E7933=0,0,YEAR($E7933))</f>
      </c>
      <c r="G7933" s="43">
        <f>IF(INDEX(DarlBindung,17)="",1,IF($E7933&lt;=INDEX(DarlBindung,17),1,0))</f>
      </c>
      <c r="H7933" s="43">
        <f>IF($G7933=1,INDEX(DarlSollzins,17),INDEX(DarlAnschluss,17))</f>
      </c>
      <c r="I7933" s="43">
        <f>IF(INDEX(DarlBelegt,17)=0,0,IF(INDEX(DarlOhneTilgung,17)=1,IF(INDEX(DarlBindung,17)="",1,$G7933),IF($J7933&gt;0.005,1,0)))</f>
      </c>
      <c r="J7933" s="43">
        <f>IF($I7932=0,0,$R7932)</f>
      </c>
      <c r="K7933" s="43">
        <f>IF($I7933=0,0,IF(INDEX(DarlOhneTilgung,17)=1,0,IF(AND(INDEX(DarlTilgStart,17)&gt;0,$E7933=INDEX(DarlTilgStart,17)),$J7933*($H7933+INDEX(DarlTilgung,17))/100/12,IF(AND($G7933=0,$G7932=1),MAX($K7932,$J7933*($H7933+1)/100/12),$K7932))))</f>
      </c>
      <c r="L7933" s="43">
        <f>IF($I7933=0,0,$J7933*$H7933/100/12)</f>
      </c>
      <c r="M7933" s="43">
        <f>IF($I7933=0,0,IF(OR(INDEX(DarlOhneTilgung,17)=1,AND(INDEX(DarlTilgStart,17)&gt;0,$E7933&lt;INDEX(DarlTilgStart,17))),0,MIN(MAX(0,$K7933-$L7933),$J7933)))</f>
      </c>
      <c r="N7933" s="43">
        <f>IF($I7933=0,0,MIN(SUMIFS(SondBetrag,SondDarl,17,SondDatum,"&gt;="&amp;$E7933,SondDatum,"&lt;="&amp;EOMONTH($E7933,0)),$J7933-$M7933))</f>
      </c>
      <c r="O7933" s="43">
        <f>IF($I7933=0,0,INDEX(DarlErsatzRate,17))</f>
      </c>
      <c r="P7933" s="43">
        <f>IF($I7933=0,0,$Q7932*INDEX(DarlErsatzZins,17))</f>
      </c>
      <c r="Q7933" s="43">
        <f>IF($I7933=0,0,$Q7932+$P7933+$O7933)</f>
      </c>
      <c r="R7933" s="43">
        <f>IF($I7933=0,0,$J7933-$M7933-$N7933)</f>
      </c>
    </row>
    <row r="7934">
      <c r="A7934"/>
      <c r="B7934">
        <v>17</v>
      </c>
      <c r="C7934" s="43">
        <f>INDEX(DarlObj,17)</f>
      </c>
      <c r="D7934">
        <v>251</v>
      </c>
      <c r="E7934" s="51">
        <f>IF(INDEX(DarlBelegt,17)=0,0,EOMONTH(INDEX(DarlAuszahlung,17),250)+1)</f>
      </c>
      <c r="F7934" s="43">
        <f>IF($E7934=0,0,YEAR($E7934))</f>
      </c>
      <c r="G7934" s="43">
        <f>IF(INDEX(DarlBindung,17)="",1,IF($E7934&lt;=INDEX(DarlBindung,17),1,0))</f>
      </c>
      <c r="H7934" s="43">
        <f>IF($G7934=1,INDEX(DarlSollzins,17),INDEX(DarlAnschluss,17))</f>
      </c>
      <c r="I7934" s="43">
        <f>IF(INDEX(DarlBelegt,17)=0,0,IF(INDEX(DarlOhneTilgung,17)=1,IF(INDEX(DarlBindung,17)="",1,$G7934),IF($J7934&gt;0.005,1,0)))</f>
      </c>
      <c r="J7934" s="43">
        <f>IF($I7933=0,0,$R7933)</f>
      </c>
      <c r="K7934" s="43">
        <f>IF($I7934=0,0,IF(INDEX(DarlOhneTilgung,17)=1,0,IF(AND(INDEX(DarlTilgStart,17)&gt;0,$E7934=INDEX(DarlTilgStart,17)),$J7934*($H7934+INDEX(DarlTilgung,17))/100/12,IF(AND($G7934=0,$G7933=1),MAX($K7933,$J7934*($H7934+1)/100/12),$K7933))))</f>
      </c>
      <c r="L7934" s="43">
        <f>IF($I7934=0,0,$J7934*$H7934/100/12)</f>
      </c>
      <c r="M7934" s="43">
        <f>IF($I7934=0,0,IF(OR(INDEX(DarlOhneTilgung,17)=1,AND(INDEX(DarlTilgStart,17)&gt;0,$E7934&lt;INDEX(DarlTilgStart,17))),0,MIN(MAX(0,$K7934-$L7934),$J7934)))</f>
      </c>
      <c r="N7934" s="43">
        <f>IF($I7934=0,0,MIN(SUMIFS(SondBetrag,SondDarl,17,SondDatum,"&gt;="&amp;$E7934,SondDatum,"&lt;="&amp;EOMONTH($E7934,0)),$J7934-$M7934))</f>
      </c>
      <c r="O7934" s="43">
        <f>IF($I7934=0,0,INDEX(DarlErsatzRate,17))</f>
      </c>
      <c r="P7934" s="43">
        <f>IF($I7934=0,0,$Q7933*INDEX(DarlErsatzZins,17))</f>
      </c>
      <c r="Q7934" s="43">
        <f>IF($I7934=0,0,$Q7933+$P7934+$O7934)</f>
      </c>
      <c r="R7934" s="43">
        <f>IF($I7934=0,0,$J7934-$M7934-$N7934)</f>
      </c>
    </row>
    <row r="7935">
      <c r="A7935"/>
      <c r="B7935">
        <v>17</v>
      </c>
      <c r="C7935" s="43">
        <f>INDEX(DarlObj,17)</f>
      </c>
      <c r="D7935">
        <v>252</v>
      </c>
      <c r="E7935" s="51">
        <f>IF(INDEX(DarlBelegt,17)=0,0,EOMONTH(INDEX(DarlAuszahlung,17),251)+1)</f>
      </c>
      <c r="F7935" s="43">
        <f>IF($E7935=0,0,YEAR($E7935))</f>
      </c>
      <c r="G7935" s="43">
        <f>IF(INDEX(DarlBindung,17)="",1,IF($E7935&lt;=INDEX(DarlBindung,17),1,0))</f>
      </c>
      <c r="H7935" s="43">
        <f>IF($G7935=1,INDEX(DarlSollzins,17),INDEX(DarlAnschluss,17))</f>
      </c>
      <c r="I7935" s="43">
        <f>IF(INDEX(DarlBelegt,17)=0,0,IF(INDEX(DarlOhneTilgung,17)=1,IF(INDEX(DarlBindung,17)="",1,$G7935),IF($J7935&gt;0.005,1,0)))</f>
      </c>
      <c r="J7935" s="43">
        <f>IF($I7934=0,0,$R7934)</f>
      </c>
      <c r="K7935" s="43">
        <f>IF($I7935=0,0,IF(INDEX(DarlOhneTilgung,17)=1,0,IF(AND(INDEX(DarlTilgStart,17)&gt;0,$E7935=INDEX(DarlTilgStart,17)),$J7935*($H7935+INDEX(DarlTilgung,17))/100/12,IF(AND($G7935=0,$G7934=1),MAX($K7934,$J7935*($H7935+1)/100/12),$K7934))))</f>
      </c>
      <c r="L7935" s="43">
        <f>IF($I7935=0,0,$J7935*$H7935/100/12)</f>
      </c>
      <c r="M7935" s="43">
        <f>IF($I7935=0,0,IF(OR(INDEX(DarlOhneTilgung,17)=1,AND(INDEX(DarlTilgStart,17)&gt;0,$E7935&lt;INDEX(DarlTilgStart,17))),0,MIN(MAX(0,$K7935-$L7935),$J7935)))</f>
      </c>
      <c r="N7935" s="43">
        <f>IF($I7935=0,0,MIN(SUMIFS(SondBetrag,SondDarl,17,SondDatum,"&gt;="&amp;$E7935,SondDatum,"&lt;="&amp;EOMONTH($E7935,0)),$J7935-$M7935))</f>
      </c>
      <c r="O7935" s="43">
        <f>IF($I7935=0,0,INDEX(DarlErsatzRate,17))</f>
      </c>
      <c r="P7935" s="43">
        <f>IF($I7935=0,0,$Q7934*INDEX(DarlErsatzZins,17))</f>
      </c>
      <c r="Q7935" s="43">
        <f>IF($I7935=0,0,$Q7934+$P7935+$O7935)</f>
      </c>
      <c r="R7935" s="43">
        <f>IF($I7935=0,0,$J7935-$M7935-$N7935)</f>
      </c>
    </row>
    <row r="7936">
      <c r="A7936"/>
      <c r="B7936">
        <v>17</v>
      </c>
      <c r="C7936" s="43">
        <f>INDEX(DarlObj,17)</f>
      </c>
      <c r="D7936">
        <v>253</v>
      </c>
      <c r="E7936" s="51">
        <f>IF(INDEX(DarlBelegt,17)=0,0,EOMONTH(INDEX(DarlAuszahlung,17),252)+1)</f>
      </c>
      <c r="F7936" s="43">
        <f>IF($E7936=0,0,YEAR($E7936))</f>
      </c>
      <c r="G7936" s="43">
        <f>IF(INDEX(DarlBindung,17)="",1,IF($E7936&lt;=INDEX(DarlBindung,17),1,0))</f>
      </c>
      <c r="H7936" s="43">
        <f>IF($G7936=1,INDEX(DarlSollzins,17),INDEX(DarlAnschluss,17))</f>
      </c>
      <c r="I7936" s="43">
        <f>IF(INDEX(DarlBelegt,17)=0,0,IF(INDEX(DarlOhneTilgung,17)=1,IF(INDEX(DarlBindung,17)="",1,$G7936),IF($J7936&gt;0.005,1,0)))</f>
      </c>
      <c r="J7936" s="43">
        <f>IF($I7935=0,0,$R7935)</f>
      </c>
      <c r="K7936" s="43">
        <f>IF($I7936=0,0,IF(INDEX(DarlOhneTilgung,17)=1,0,IF(AND(INDEX(DarlTilgStart,17)&gt;0,$E7936=INDEX(DarlTilgStart,17)),$J7936*($H7936+INDEX(DarlTilgung,17))/100/12,IF(AND($G7936=0,$G7935=1),MAX($K7935,$J7936*($H7936+1)/100/12),$K7935))))</f>
      </c>
      <c r="L7936" s="43">
        <f>IF($I7936=0,0,$J7936*$H7936/100/12)</f>
      </c>
      <c r="M7936" s="43">
        <f>IF($I7936=0,0,IF(OR(INDEX(DarlOhneTilgung,17)=1,AND(INDEX(DarlTilgStart,17)&gt;0,$E7936&lt;INDEX(DarlTilgStart,17))),0,MIN(MAX(0,$K7936-$L7936),$J7936)))</f>
      </c>
      <c r="N7936" s="43">
        <f>IF($I7936=0,0,MIN(SUMIFS(SondBetrag,SondDarl,17,SondDatum,"&gt;="&amp;$E7936,SondDatum,"&lt;="&amp;EOMONTH($E7936,0)),$J7936-$M7936))</f>
      </c>
      <c r="O7936" s="43">
        <f>IF($I7936=0,0,INDEX(DarlErsatzRate,17))</f>
      </c>
      <c r="P7936" s="43">
        <f>IF($I7936=0,0,$Q7935*INDEX(DarlErsatzZins,17))</f>
      </c>
      <c r="Q7936" s="43">
        <f>IF($I7936=0,0,$Q7935+$P7936+$O7936)</f>
      </c>
      <c r="R7936" s="43">
        <f>IF($I7936=0,0,$J7936-$M7936-$N7936)</f>
      </c>
    </row>
    <row r="7937">
      <c r="A7937"/>
      <c r="B7937">
        <v>17</v>
      </c>
      <c r="C7937" s="43">
        <f>INDEX(DarlObj,17)</f>
      </c>
      <c r="D7937">
        <v>254</v>
      </c>
      <c r="E7937" s="51">
        <f>IF(INDEX(DarlBelegt,17)=0,0,EOMONTH(INDEX(DarlAuszahlung,17),253)+1)</f>
      </c>
      <c r="F7937" s="43">
        <f>IF($E7937=0,0,YEAR($E7937))</f>
      </c>
      <c r="G7937" s="43">
        <f>IF(INDEX(DarlBindung,17)="",1,IF($E7937&lt;=INDEX(DarlBindung,17),1,0))</f>
      </c>
      <c r="H7937" s="43">
        <f>IF($G7937=1,INDEX(DarlSollzins,17),INDEX(DarlAnschluss,17))</f>
      </c>
      <c r="I7937" s="43">
        <f>IF(INDEX(DarlBelegt,17)=0,0,IF(INDEX(DarlOhneTilgung,17)=1,IF(INDEX(DarlBindung,17)="",1,$G7937),IF($J7937&gt;0.005,1,0)))</f>
      </c>
      <c r="J7937" s="43">
        <f>IF($I7936=0,0,$R7936)</f>
      </c>
      <c r="K7937" s="43">
        <f>IF($I7937=0,0,IF(INDEX(DarlOhneTilgung,17)=1,0,IF(AND(INDEX(DarlTilgStart,17)&gt;0,$E7937=INDEX(DarlTilgStart,17)),$J7937*($H7937+INDEX(DarlTilgung,17))/100/12,IF(AND($G7937=0,$G7936=1),MAX($K7936,$J7937*($H7937+1)/100/12),$K7936))))</f>
      </c>
      <c r="L7937" s="43">
        <f>IF($I7937=0,0,$J7937*$H7937/100/12)</f>
      </c>
      <c r="M7937" s="43">
        <f>IF($I7937=0,0,IF(OR(INDEX(DarlOhneTilgung,17)=1,AND(INDEX(DarlTilgStart,17)&gt;0,$E7937&lt;INDEX(DarlTilgStart,17))),0,MIN(MAX(0,$K7937-$L7937),$J7937)))</f>
      </c>
      <c r="N7937" s="43">
        <f>IF($I7937=0,0,MIN(SUMIFS(SondBetrag,SondDarl,17,SondDatum,"&gt;="&amp;$E7937,SondDatum,"&lt;="&amp;EOMONTH($E7937,0)),$J7937-$M7937))</f>
      </c>
      <c r="O7937" s="43">
        <f>IF($I7937=0,0,INDEX(DarlErsatzRate,17))</f>
      </c>
      <c r="P7937" s="43">
        <f>IF($I7937=0,0,$Q7936*INDEX(DarlErsatzZins,17))</f>
      </c>
      <c r="Q7937" s="43">
        <f>IF($I7937=0,0,$Q7936+$P7937+$O7937)</f>
      </c>
      <c r="R7937" s="43">
        <f>IF($I7937=0,0,$J7937-$M7937-$N7937)</f>
      </c>
    </row>
    <row r="7938">
      <c r="A7938"/>
      <c r="B7938">
        <v>17</v>
      </c>
      <c r="C7938" s="43">
        <f>INDEX(DarlObj,17)</f>
      </c>
      <c r="D7938">
        <v>255</v>
      </c>
      <c r="E7938" s="51">
        <f>IF(INDEX(DarlBelegt,17)=0,0,EOMONTH(INDEX(DarlAuszahlung,17),254)+1)</f>
      </c>
      <c r="F7938" s="43">
        <f>IF($E7938=0,0,YEAR($E7938))</f>
      </c>
      <c r="G7938" s="43">
        <f>IF(INDEX(DarlBindung,17)="",1,IF($E7938&lt;=INDEX(DarlBindung,17),1,0))</f>
      </c>
      <c r="H7938" s="43">
        <f>IF($G7938=1,INDEX(DarlSollzins,17),INDEX(DarlAnschluss,17))</f>
      </c>
      <c r="I7938" s="43">
        <f>IF(INDEX(DarlBelegt,17)=0,0,IF(INDEX(DarlOhneTilgung,17)=1,IF(INDEX(DarlBindung,17)="",1,$G7938),IF($J7938&gt;0.005,1,0)))</f>
      </c>
      <c r="J7938" s="43">
        <f>IF($I7937=0,0,$R7937)</f>
      </c>
      <c r="K7938" s="43">
        <f>IF($I7938=0,0,IF(INDEX(DarlOhneTilgung,17)=1,0,IF(AND(INDEX(DarlTilgStart,17)&gt;0,$E7938=INDEX(DarlTilgStart,17)),$J7938*($H7938+INDEX(DarlTilgung,17))/100/12,IF(AND($G7938=0,$G7937=1),MAX($K7937,$J7938*($H7938+1)/100/12),$K7937))))</f>
      </c>
      <c r="L7938" s="43">
        <f>IF($I7938=0,0,$J7938*$H7938/100/12)</f>
      </c>
      <c r="M7938" s="43">
        <f>IF($I7938=0,0,IF(OR(INDEX(DarlOhneTilgung,17)=1,AND(INDEX(DarlTilgStart,17)&gt;0,$E7938&lt;INDEX(DarlTilgStart,17))),0,MIN(MAX(0,$K7938-$L7938),$J7938)))</f>
      </c>
      <c r="N7938" s="43">
        <f>IF($I7938=0,0,MIN(SUMIFS(SondBetrag,SondDarl,17,SondDatum,"&gt;="&amp;$E7938,SondDatum,"&lt;="&amp;EOMONTH($E7938,0)),$J7938-$M7938))</f>
      </c>
      <c r="O7938" s="43">
        <f>IF($I7938=0,0,INDEX(DarlErsatzRate,17))</f>
      </c>
      <c r="P7938" s="43">
        <f>IF($I7938=0,0,$Q7937*INDEX(DarlErsatzZins,17))</f>
      </c>
      <c r="Q7938" s="43">
        <f>IF($I7938=0,0,$Q7937+$P7938+$O7938)</f>
      </c>
      <c r="R7938" s="43">
        <f>IF($I7938=0,0,$J7938-$M7938-$N7938)</f>
      </c>
    </row>
    <row r="7939">
      <c r="A7939"/>
      <c r="B7939">
        <v>17</v>
      </c>
      <c r="C7939" s="43">
        <f>INDEX(DarlObj,17)</f>
      </c>
      <c r="D7939">
        <v>256</v>
      </c>
      <c r="E7939" s="51">
        <f>IF(INDEX(DarlBelegt,17)=0,0,EOMONTH(INDEX(DarlAuszahlung,17),255)+1)</f>
      </c>
      <c r="F7939" s="43">
        <f>IF($E7939=0,0,YEAR($E7939))</f>
      </c>
      <c r="G7939" s="43">
        <f>IF(INDEX(DarlBindung,17)="",1,IF($E7939&lt;=INDEX(DarlBindung,17),1,0))</f>
      </c>
      <c r="H7939" s="43">
        <f>IF($G7939=1,INDEX(DarlSollzins,17),INDEX(DarlAnschluss,17))</f>
      </c>
      <c r="I7939" s="43">
        <f>IF(INDEX(DarlBelegt,17)=0,0,IF(INDEX(DarlOhneTilgung,17)=1,IF(INDEX(DarlBindung,17)="",1,$G7939),IF($J7939&gt;0.005,1,0)))</f>
      </c>
      <c r="J7939" s="43">
        <f>IF($I7938=0,0,$R7938)</f>
      </c>
      <c r="K7939" s="43">
        <f>IF($I7939=0,0,IF(INDEX(DarlOhneTilgung,17)=1,0,IF(AND(INDEX(DarlTilgStart,17)&gt;0,$E7939=INDEX(DarlTilgStart,17)),$J7939*($H7939+INDEX(DarlTilgung,17))/100/12,IF(AND($G7939=0,$G7938=1),MAX($K7938,$J7939*($H7939+1)/100/12),$K7938))))</f>
      </c>
      <c r="L7939" s="43">
        <f>IF($I7939=0,0,$J7939*$H7939/100/12)</f>
      </c>
      <c r="M7939" s="43">
        <f>IF($I7939=0,0,IF(OR(INDEX(DarlOhneTilgung,17)=1,AND(INDEX(DarlTilgStart,17)&gt;0,$E7939&lt;INDEX(DarlTilgStart,17))),0,MIN(MAX(0,$K7939-$L7939),$J7939)))</f>
      </c>
      <c r="N7939" s="43">
        <f>IF($I7939=0,0,MIN(SUMIFS(SondBetrag,SondDarl,17,SondDatum,"&gt;="&amp;$E7939,SondDatum,"&lt;="&amp;EOMONTH($E7939,0)),$J7939-$M7939))</f>
      </c>
      <c r="O7939" s="43">
        <f>IF($I7939=0,0,INDEX(DarlErsatzRate,17))</f>
      </c>
      <c r="P7939" s="43">
        <f>IF($I7939=0,0,$Q7938*INDEX(DarlErsatzZins,17))</f>
      </c>
      <c r="Q7939" s="43">
        <f>IF($I7939=0,0,$Q7938+$P7939+$O7939)</f>
      </c>
      <c r="R7939" s="43">
        <f>IF($I7939=0,0,$J7939-$M7939-$N7939)</f>
      </c>
    </row>
    <row r="7940">
      <c r="A7940"/>
      <c r="B7940">
        <v>17</v>
      </c>
      <c r="C7940" s="43">
        <f>INDEX(DarlObj,17)</f>
      </c>
      <c r="D7940">
        <v>257</v>
      </c>
      <c r="E7940" s="51">
        <f>IF(INDEX(DarlBelegt,17)=0,0,EOMONTH(INDEX(DarlAuszahlung,17),256)+1)</f>
      </c>
      <c r="F7940" s="43">
        <f>IF($E7940=0,0,YEAR($E7940))</f>
      </c>
      <c r="G7940" s="43">
        <f>IF(INDEX(DarlBindung,17)="",1,IF($E7940&lt;=INDEX(DarlBindung,17),1,0))</f>
      </c>
      <c r="H7940" s="43">
        <f>IF($G7940=1,INDEX(DarlSollzins,17),INDEX(DarlAnschluss,17))</f>
      </c>
      <c r="I7940" s="43">
        <f>IF(INDEX(DarlBelegt,17)=0,0,IF(INDEX(DarlOhneTilgung,17)=1,IF(INDEX(DarlBindung,17)="",1,$G7940),IF($J7940&gt;0.005,1,0)))</f>
      </c>
      <c r="J7940" s="43">
        <f>IF($I7939=0,0,$R7939)</f>
      </c>
      <c r="K7940" s="43">
        <f>IF($I7940=0,0,IF(INDEX(DarlOhneTilgung,17)=1,0,IF(AND(INDEX(DarlTilgStart,17)&gt;0,$E7940=INDEX(DarlTilgStart,17)),$J7940*($H7940+INDEX(DarlTilgung,17))/100/12,IF(AND($G7940=0,$G7939=1),MAX($K7939,$J7940*($H7940+1)/100/12),$K7939))))</f>
      </c>
      <c r="L7940" s="43">
        <f>IF($I7940=0,0,$J7940*$H7940/100/12)</f>
      </c>
      <c r="M7940" s="43">
        <f>IF($I7940=0,0,IF(OR(INDEX(DarlOhneTilgung,17)=1,AND(INDEX(DarlTilgStart,17)&gt;0,$E7940&lt;INDEX(DarlTilgStart,17))),0,MIN(MAX(0,$K7940-$L7940),$J7940)))</f>
      </c>
      <c r="N7940" s="43">
        <f>IF($I7940=0,0,MIN(SUMIFS(SondBetrag,SondDarl,17,SondDatum,"&gt;="&amp;$E7940,SondDatum,"&lt;="&amp;EOMONTH($E7940,0)),$J7940-$M7940))</f>
      </c>
      <c r="O7940" s="43">
        <f>IF($I7940=0,0,INDEX(DarlErsatzRate,17))</f>
      </c>
      <c r="P7940" s="43">
        <f>IF($I7940=0,0,$Q7939*INDEX(DarlErsatzZins,17))</f>
      </c>
      <c r="Q7940" s="43">
        <f>IF($I7940=0,0,$Q7939+$P7940+$O7940)</f>
      </c>
      <c r="R7940" s="43">
        <f>IF($I7940=0,0,$J7940-$M7940-$N7940)</f>
      </c>
    </row>
    <row r="7941">
      <c r="A7941"/>
      <c r="B7941">
        <v>17</v>
      </c>
      <c r="C7941" s="43">
        <f>INDEX(DarlObj,17)</f>
      </c>
      <c r="D7941">
        <v>258</v>
      </c>
      <c r="E7941" s="51">
        <f>IF(INDEX(DarlBelegt,17)=0,0,EOMONTH(INDEX(DarlAuszahlung,17),257)+1)</f>
      </c>
      <c r="F7941" s="43">
        <f>IF($E7941=0,0,YEAR($E7941))</f>
      </c>
      <c r="G7941" s="43">
        <f>IF(INDEX(DarlBindung,17)="",1,IF($E7941&lt;=INDEX(DarlBindung,17),1,0))</f>
      </c>
      <c r="H7941" s="43">
        <f>IF($G7941=1,INDEX(DarlSollzins,17),INDEX(DarlAnschluss,17))</f>
      </c>
      <c r="I7941" s="43">
        <f>IF(INDEX(DarlBelegt,17)=0,0,IF(INDEX(DarlOhneTilgung,17)=1,IF(INDEX(DarlBindung,17)="",1,$G7941),IF($J7941&gt;0.005,1,0)))</f>
      </c>
      <c r="J7941" s="43">
        <f>IF($I7940=0,0,$R7940)</f>
      </c>
      <c r="K7941" s="43">
        <f>IF($I7941=0,0,IF(INDEX(DarlOhneTilgung,17)=1,0,IF(AND(INDEX(DarlTilgStart,17)&gt;0,$E7941=INDEX(DarlTilgStart,17)),$J7941*($H7941+INDEX(DarlTilgung,17))/100/12,IF(AND($G7941=0,$G7940=1),MAX($K7940,$J7941*($H7941+1)/100/12),$K7940))))</f>
      </c>
      <c r="L7941" s="43">
        <f>IF($I7941=0,0,$J7941*$H7941/100/12)</f>
      </c>
      <c r="M7941" s="43">
        <f>IF($I7941=0,0,IF(OR(INDEX(DarlOhneTilgung,17)=1,AND(INDEX(DarlTilgStart,17)&gt;0,$E7941&lt;INDEX(DarlTilgStart,17))),0,MIN(MAX(0,$K7941-$L7941),$J7941)))</f>
      </c>
      <c r="N7941" s="43">
        <f>IF($I7941=0,0,MIN(SUMIFS(SondBetrag,SondDarl,17,SondDatum,"&gt;="&amp;$E7941,SondDatum,"&lt;="&amp;EOMONTH($E7941,0)),$J7941-$M7941))</f>
      </c>
      <c r="O7941" s="43">
        <f>IF($I7941=0,0,INDEX(DarlErsatzRate,17))</f>
      </c>
      <c r="P7941" s="43">
        <f>IF($I7941=0,0,$Q7940*INDEX(DarlErsatzZins,17))</f>
      </c>
      <c r="Q7941" s="43">
        <f>IF($I7941=0,0,$Q7940+$P7941+$O7941)</f>
      </c>
      <c r="R7941" s="43">
        <f>IF($I7941=0,0,$J7941-$M7941-$N7941)</f>
      </c>
    </row>
    <row r="7942">
      <c r="A7942"/>
      <c r="B7942">
        <v>17</v>
      </c>
      <c r="C7942" s="43">
        <f>INDEX(DarlObj,17)</f>
      </c>
      <c r="D7942">
        <v>259</v>
      </c>
      <c r="E7942" s="51">
        <f>IF(INDEX(DarlBelegt,17)=0,0,EOMONTH(INDEX(DarlAuszahlung,17),258)+1)</f>
      </c>
      <c r="F7942" s="43">
        <f>IF($E7942=0,0,YEAR($E7942))</f>
      </c>
      <c r="G7942" s="43">
        <f>IF(INDEX(DarlBindung,17)="",1,IF($E7942&lt;=INDEX(DarlBindung,17),1,0))</f>
      </c>
      <c r="H7942" s="43">
        <f>IF($G7942=1,INDEX(DarlSollzins,17),INDEX(DarlAnschluss,17))</f>
      </c>
      <c r="I7942" s="43">
        <f>IF(INDEX(DarlBelegt,17)=0,0,IF(INDEX(DarlOhneTilgung,17)=1,IF(INDEX(DarlBindung,17)="",1,$G7942),IF($J7942&gt;0.005,1,0)))</f>
      </c>
      <c r="J7942" s="43">
        <f>IF($I7941=0,0,$R7941)</f>
      </c>
      <c r="K7942" s="43">
        <f>IF($I7942=0,0,IF(INDEX(DarlOhneTilgung,17)=1,0,IF(AND(INDEX(DarlTilgStart,17)&gt;0,$E7942=INDEX(DarlTilgStart,17)),$J7942*($H7942+INDEX(DarlTilgung,17))/100/12,IF(AND($G7942=0,$G7941=1),MAX($K7941,$J7942*($H7942+1)/100/12),$K7941))))</f>
      </c>
      <c r="L7942" s="43">
        <f>IF($I7942=0,0,$J7942*$H7942/100/12)</f>
      </c>
      <c r="M7942" s="43">
        <f>IF($I7942=0,0,IF(OR(INDEX(DarlOhneTilgung,17)=1,AND(INDEX(DarlTilgStart,17)&gt;0,$E7942&lt;INDEX(DarlTilgStart,17))),0,MIN(MAX(0,$K7942-$L7942),$J7942)))</f>
      </c>
      <c r="N7942" s="43">
        <f>IF($I7942=0,0,MIN(SUMIFS(SondBetrag,SondDarl,17,SondDatum,"&gt;="&amp;$E7942,SondDatum,"&lt;="&amp;EOMONTH($E7942,0)),$J7942-$M7942))</f>
      </c>
      <c r="O7942" s="43">
        <f>IF($I7942=0,0,INDEX(DarlErsatzRate,17))</f>
      </c>
      <c r="P7942" s="43">
        <f>IF($I7942=0,0,$Q7941*INDEX(DarlErsatzZins,17))</f>
      </c>
      <c r="Q7942" s="43">
        <f>IF($I7942=0,0,$Q7941+$P7942+$O7942)</f>
      </c>
      <c r="R7942" s="43">
        <f>IF($I7942=0,0,$J7942-$M7942-$N7942)</f>
      </c>
    </row>
    <row r="7943">
      <c r="A7943"/>
      <c r="B7943">
        <v>17</v>
      </c>
      <c r="C7943" s="43">
        <f>INDEX(DarlObj,17)</f>
      </c>
      <c r="D7943">
        <v>260</v>
      </c>
      <c r="E7943" s="51">
        <f>IF(INDEX(DarlBelegt,17)=0,0,EOMONTH(INDEX(DarlAuszahlung,17),259)+1)</f>
      </c>
      <c r="F7943" s="43">
        <f>IF($E7943=0,0,YEAR($E7943))</f>
      </c>
      <c r="G7943" s="43">
        <f>IF(INDEX(DarlBindung,17)="",1,IF($E7943&lt;=INDEX(DarlBindung,17),1,0))</f>
      </c>
      <c r="H7943" s="43">
        <f>IF($G7943=1,INDEX(DarlSollzins,17),INDEX(DarlAnschluss,17))</f>
      </c>
      <c r="I7943" s="43">
        <f>IF(INDEX(DarlBelegt,17)=0,0,IF(INDEX(DarlOhneTilgung,17)=1,IF(INDEX(DarlBindung,17)="",1,$G7943),IF($J7943&gt;0.005,1,0)))</f>
      </c>
      <c r="J7943" s="43">
        <f>IF($I7942=0,0,$R7942)</f>
      </c>
      <c r="K7943" s="43">
        <f>IF($I7943=0,0,IF(INDEX(DarlOhneTilgung,17)=1,0,IF(AND(INDEX(DarlTilgStart,17)&gt;0,$E7943=INDEX(DarlTilgStart,17)),$J7943*($H7943+INDEX(DarlTilgung,17))/100/12,IF(AND($G7943=0,$G7942=1),MAX($K7942,$J7943*($H7943+1)/100/12),$K7942))))</f>
      </c>
      <c r="L7943" s="43">
        <f>IF($I7943=0,0,$J7943*$H7943/100/12)</f>
      </c>
      <c r="M7943" s="43">
        <f>IF($I7943=0,0,IF(OR(INDEX(DarlOhneTilgung,17)=1,AND(INDEX(DarlTilgStart,17)&gt;0,$E7943&lt;INDEX(DarlTilgStart,17))),0,MIN(MAX(0,$K7943-$L7943),$J7943)))</f>
      </c>
      <c r="N7943" s="43">
        <f>IF($I7943=0,0,MIN(SUMIFS(SondBetrag,SondDarl,17,SondDatum,"&gt;="&amp;$E7943,SondDatum,"&lt;="&amp;EOMONTH($E7943,0)),$J7943-$M7943))</f>
      </c>
      <c r="O7943" s="43">
        <f>IF($I7943=0,0,INDEX(DarlErsatzRate,17))</f>
      </c>
      <c r="P7943" s="43">
        <f>IF($I7943=0,0,$Q7942*INDEX(DarlErsatzZins,17))</f>
      </c>
      <c r="Q7943" s="43">
        <f>IF($I7943=0,0,$Q7942+$P7943+$O7943)</f>
      </c>
      <c r="R7943" s="43">
        <f>IF($I7943=0,0,$J7943-$M7943-$N7943)</f>
      </c>
    </row>
    <row r="7944">
      <c r="A7944"/>
      <c r="B7944">
        <v>17</v>
      </c>
      <c r="C7944" s="43">
        <f>INDEX(DarlObj,17)</f>
      </c>
      <c r="D7944">
        <v>261</v>
      </c>
      <c r="E7944" s="51">
        <f>IF(INDEX(DarlBelegt,17)=0,0,EOMONTH(INDEX(DarlAuszahlung,17),260)+1)</f>
      </c>
      <c r="F7944" s="43">
        <f>IF($E7944=0,0,YEAR($E7944))</f>
      </c>
      <c r="G7944" s="43">
        <f>IF(INDEX(DarlBindung,17)="",1,IF($E7944&lt;=INDEX(DarlBindung,17),1,0))</f>
      </c>
      <c r="H7944" s="43">
        <f>IF($G7944=1,INDEX(DarlSollzins,17),INDEX(DarlAnschluss,17))</f>
      </c>
      <c r="I7944" s="43">
        <f>IF(INDEX(DarlBelegt,17)=0,0,IF(INDEX(DarlOhneTilgung,17)=1,IF(INDEX(DarlBindung,17)="",1,$G7944),IF($J7944&gt;0.005,1,0)))</f>
      </c>
      <c r="J7944" s="43">
        <f>IF($I7943=0,0,$R7943)</f>
      </c>
      <c r="K7944" s="43">
        <f>IF($I7944=0,0,IF(INDEX(DarlOhneTilgung,17)=1,0,IF(AND(INDEX(DarlTilgStart,17)&gt;0,$E7944=INDEX(DarlTilgStart,17)),$J7944*($H7944+INDEX(DarlTilgung,17))/100/12,IF(AND($G7944=0,$G7943=1),MAX($K7943,$J7944*($H7944+1)/100/12),$K7943))))</f>
      </c>
      <c r="L7944" s="43">
        <f>IF($I7944=0,0,$J7944*$H7944/100/12)</f>
      </c>
      <c r="M7944" s="43">
        <f>IF($I7944=0,0,IF(OR(INDEX(DarlOhneTilgung,17)=1,AND(INDEX(DarlTilgStart,17)&gt;0,$E7944&lt;INDEX(DarlTilgStart,17))),0,MIN(MAX(0,$K7944-$L7944),$J7944)))</f>
      </c>
      <c r="N7944" s="43">
        <f>IF($I7944=0,0,MIN(SUMIFS(SondBetrag,SondDarl,17,SondDatum,"&gt;="&amp;$E7944,SondDatum,"&lt;="&amp;EOMONTH($E7944,0)),$J7944-$M7944))</f>
      </c>
      <c r="O7944" s="43">
        <f>IF($I7944=0,0,INDEX(DarlErsatzRate,17))</f>
      </c>
      <c r="P7944" s="43">
        <f>IF($I7944=0,0,$Q7943*INDEX(DarlErsatzZins,17))</f>
      </c>
      <c r="Q7944" s="43">
        <f>IF($I7944=0,0,$Q7943+$P7944+$O7944)</f>
      </c>
      <c r="R7944" s="43">
        <f>IF($I7944=0,0,$J7944-$M7944-$N7944)</f>
      </c>
    </row>
    <row r="7945">
      <c r="A7945"/>
      <c r="B7945">
        <v>17</v>
      </c>
      <c r="C7945" s="43">
        <f>INDEX(DarlObj,17)</f>
      </c>
      <c r="D7945">
        <v>262</v>
      </c>
      <c r="E7945" s="51">
        <f>IF(INDEX(DarlBelegt,17)=0,0,EOMONTH(INDEX(DarlAuszahlung,17),261)+1)</f>
      </c>
      <c r="F7945" s="43">
        <f>IF($E7945=0,0,YEAR($E7945))</f>
      </c>
      <c r="G7945" s="43">
        <f>IF(INDEX(DarlBindung,17)="",1,IF($E7945&lt;=INDEX(DarlBindung,17),1,0))</f>
      </c>
      <c r="H7945" s="43">
        <f>IF($G7945=1,INDEX(DarlSollzins,17),INDEX(DarlAnschluss,17))</f>
      </c>
      <c r="I7945" s="43">
        <f>IF(INDEX(DarlBelegt,17)=0,0,IF(INDEX(DarlOhneTilgung,17)=1,IF(INDEX(DarlBindung,17)="",1,$G7945),IF($J7945&gt;0.005,1,0)))</f>
      </c>
      <c r="J7945" s="43">
        <f>IF($I7944=0,0,$R7944)</f>
      </c>
      <c r="K7945" s="43">
        <f>IF($I7945=0,0,IF(INDEX(DarlOhneTilgung,17)=1,0,IF(AND(INDEX(DarlTilgStart,17)&gt;0,$E7945=INDEX(DarlTilgStart,17)),$J7945*($H7945+INDEX(DarlTilgung,17))/100/12,IF(AND($G7945=0,$G7944=1),MAX($K7944,$J7945*($H7945+1)/100/12),$K7944))))</f>
      </c>
      <c r="L7945" s="43">
        <f>IF($I7945=0,0,$J7945*$H7945/100/12)</f>
      </c>
      <c r="M7945" s="43">
        <f>IF($I7945=0,0,IF(OR(INDEX(DarlOhneTilgung,17)=1,AND(INDEX(DarlTilgStart,17)&gt;0,$E7945&lt;INDEX(DarlTilgStart,17))),0,MIN(MAX(0,$K7945-$L7945),$J7945)))</f>
      </c>
      <c r="N7945" s="43">
        <f>IF($I7945=0,0,MIN(SUMIFS(SondBetrag,SondDarl,17,SondDatum,"&gt;="&amp;$E7945,SondDatum,"&lt;="&amp;EOMONTH($E7945,0)),$J7945-$M7945))</f>
      </c>
      <c r="O7945" s="43">
        <f>IF($I7945=0,0,INDEX(DarlErsatzRate,17))</f>
      </c>
      <c r="P7945" s="43">
        <f>IF($I7945=0,0,$Q7944*INDEX(DarlErsatzZins,17))</f>
      </c>
      <c r="Q7945" s="43">
        <f>IF($I7945=0,0,$Q7944+$P7945+$O7945)</f>
      </c>
      <c r="R7945" s="43">
        <f>IF($I7945=0,0,$J7945-$M7945-$N7945)</f>
      </c>
    </row>
    <row r="7946">
      <c r="A7946"/>
      <c r="B7946">
        <v>17</v>
      </c>
      <c r="C7946" s="43">
        <f>INDEX(DarlObj,17)</f>
      </c>
      <c r="D7946">
        <v>263</v>
      </c>
      <c r="E7946" s="51">
        <f>IF(INDEX(DarlBelegt,17)=0,0,EOMONTH(INDEX(DarlAuszahlung,17),262)+1)</f>
      </c>
      <c r="F7946" s="43">
        <f>IF($E7946=0,0,YEAR($E7946))</f>
      </c>
      <c r="G7946" s="43">
        <f>IF(INDEX(DarlBindung,17)="",1,IF($E7946&lt;=INDEX(DarlBindung,17),1,0))</f>
      </c>
      <c r="H7946" s="43">
        <f>IF($G7946=1,INDEX(DarlSollzins,17),INDEX(DarlAnschluss,17))</f>
      </c>
      <c r="I7946" s="43">
        <f>IF(INDEX(DarlBelegt,17)=0,0,IF(INDEX(DarlOhneTilgung,17)=1,IF(INDEX(DarlBindung,17)="",1,$G7946),IF($J7946&gt;0.005,1,0)))</f>
      </c>
      <c r="J7946" s="43">
        <f>IF($I7945=0,0,$R7945)</f>
      </c>
      <c r="K7946" s="43">
        <f>IF($I7946=0,0,IF(INDEX(DarlOhneTilgung,17)=1,0,IF(AND(INDEX(DarlTilgStart,17)&gt;0,$E7946=INDEX(DarlTilgStart,17)),$J7946*($H7946+INDEX(DarlTilgung,17))/100/12,IF(AND($G7946=0,$G7945=1),MAX($K7945,$J7946*($H7946+1)/100/12),$K7945))))</f>
      </c>
      <c r="L7946" s="43">
        <f>IF($I7946=0,0,$J7946*$H7946/100/12)</f>
      </c>
      <c r="M7946" s="43">
        <f>IF($I7946=0,0,IF(OR(INDEX(DarlOhneTilgung,17)=1,AND(INDEX(DarlTilgStart,17)&gt;0,$E7946&lt;INDEX(DarlTilgStart,17))),0,MIN(MAX(0,$K7946-$L7946),$J7946)))</f>
      </c>
      <c r="N7946" s="43">
        <f>IF($I7946=0,0,MIN(SUMIFS(SondBetrag,SondDarl,17,SondDatum,"&gt;="&amp;$E7946,SondDatum,"&lt;="&amp;EOMONTH($E7946,0)),$J7946-$M7946))</f>
      </c>
      <c r="O7946" s="43">
        <f>IF($I7946=0,0,INDEX(DarlErsatzRate,17))</f>
      </c>
      <c r="P7946" s="43">
        <f>IF($I7946=0,0,$Q7945*INDEX(DarlErsatzZins,17))</f>
      </c>
      <c r="Q7946" s="43">
        <f>IF($I7946=0,0,$Q7945+$P7946+$O7946)</f>
      </c>
      <c r="R7946" s="43">
        <f>IF($I7946=0,0,$J7946-$M7946-$N7946)</f>
      </c>
    </row>
    <row r="7947">
      <c r="A7947"/>
      <c r="B7947">
        <v>17</v>
      </c>
      <c r="C7947" s="43">
        <f>INDEX(DarlObj,17)</f>
      </c>
      <c r="D7947">
        <v>264</v>
      </c>
      <c r="E7947" s="51">
        <f>IF(INDEX(DarlBelegt,17)=0,0,EOMONTH(INDEX(DarlAuszahlung,17),263)+1)</f>
      </c>
      <c r="F7947" s="43">
        <f>IF($E7947=0,0,YEAR($E7947))</f>
      </c>
      <c r="G7947" s="43">
        <f>IF(INDEX(DarlBindung,17)="",1,IF($E7947&lt;=INDEX(DarlBindung,17),1,0))</f>
      </c>
      <c r="H7947" s="43">
        <f>IF($G7947=1,INDEX(DarlSollzins,17),INDEX(DarlAnschluss,17))</f>
      </c>
      <c r="I7947" s="43">
        <f>IF(INDEX(DarlBelegt,17)=0,0,IF(INDEX(DarlOhneTilgung,17)=1,IF(INDEX(DarlBindung,17)="",1,$G7947),IF($J7947&gt;0.005,1,0)))</f>
      </c>
      <c r="J7947" s="43">
        <f>IF($I7946=0,0,$R7946)</f>
      </c>
      <c r="K7947" s="43">
        <f>IF($I7947=0,0,IF(INDEX(DarlOhneTilgung,17)=1,0,IF(AND(INDEX(DarlTilgStart,17)&gt;0,$E7947=INDEX(DarlTilgStart,17)),$J7947*($H7947+INDEX(DarlTilgung,17))/100/12,IF(AND($G7947=0,$G7946=1),MAX($K7946,$J7947*($H7947+1)/100/12),$K7946))))</f>
      </c>
      <c r="L7947" s="43">
        <f>IF($I7947=0,0,$J7947*$H7947/100/12)</f>
      </c>
      <c r="M7947" s="43">
        <f>IF($I7947=0,0,IF(OR(INDEX(DarlOhneTilgung,17)=1,AND(INDEX(DarlTilgStart,17)&gt;0,$E7947&lt;INDEX(DarlTilgStart,17))),0,MIN(MAX(0,$K7947-$L7947),$J7947)))</f>
      </c>
      <c r="N7947" s="43">
        <f>IF($I7947=0,0,MIN(SUMIFS(SondBetrag,SondDarl,17,SondDatum,"&gt;="&amp;$E7947,SondDatum,"&lt;="&amp;EOMONTH($E7947,0)),$J7947-$M7947))</f>
      </c>
      <c r="O7947" s="43">
        <f>IF($I7947=0,0,INDEX(DarlErsatzRate,17))</f>
      </c>
      <c r="P7947" s="43">
        <f>IF($I7947=0,0,$Q7946*INDEX(DarlErsatzZins,17))</f>
      </c>
      <c r="Q7947" s="43">
        <f>IF($I7947=0,0,$Q7946+$P7947+$O7947)</f>
      </c>
      <c r="R7947" s="43">
        <f>IF($I7947=0,0,$J7947-$M7947-$N7947)</f>
      </c>
    </row>
    <row r="7948">
      <c r="A7948"/>
      <c r="B7948">
        <v>17</v>
      </c>
      <c r="C7948" s="43">
        <f>INDEX(DarlObj,17)</f>
      </c>
      <c r="D7948">
        <v>265</v>
      </c>
      <c r="E7948" s="51">
        <f>IF(INDEX(DarlBelegt,17)=0,0,EOMONTH(INDEX(DarlAuszahlung,17),264)+1)</f>
      </c>
      <c r="F7948" s="43">
        <f>IF($E7948=0,0,YEAR($E7948))</f>
      </c>
      <c r="G7948" s="43">
        <f>IF(INDEX(DarlBindung,17)="",1,IF($E7948&lt;=INDEX(DarlBindung,17),1,0))</f>
      </c>
      <c r="H7948" s="43">
        <f>IF($G7948=1,INDEX(DarlSollzins,17),INDEX(DarlAnschluss,17))</f>
      </c>
      <c r="I7948" s="43">
        <f>IF(INDEX(DarlBelegt,17)=0,0,IF(INDEX(DarlOhneTilgung,17)=1,IF(INDEX(DarlBindung,17)="",1,$G7948),IF($J7948&gt;0.005,1,0)))</f>
      </c>
      <c r="J7948" s="43">
        <f>IF($I7947=0,0,$R7947)</f>
      </c>
      <c r="K7948" s="43">
        <f>IF($I7948=0,0,IF(INDEX(DarlOhneTilgung,17)=1,0,IF(AND(INDEX(DarlTilgStart,17)&gt;0,$E7948=INDEX(DarlTilgStart,17)),$J7948*($H7948+INDEX(DarlTilgung,17))/100/12,IF(AND($G7948=0,$G7947=1),MAX($K7947,$J7948*($H7948+1)/100/12),$K7947))))</f>
      </c>
      <c r="L7948" s="43">
        <f>IF($I7948=0,0,$J7948*$H7948/100/12)</f>
      </c>
      <c r="M7948" s="43">
        <f>IF($I7948=0,0,IF(OR(INDEX(DarlOhneTilgung,17)=1,AND(INDEX(DarlTilgStart,17)&gt;0,$E7948&lt;INDEX(DarlTilgStart,17))),0,MIN(MAX(0,$K7948-$L7948),$J7948)))</f>
      </c>
      <c r="N7948" s="43">
        <f>IF($I7948=0,0,MIN(SUMIFS(SondBetrag,SondDarl,17,SondDatum,"&gt;="&amp;$E7948,SondDatum,"&lt;="&amp;EOMONTH($E7948,0)),$J7948-$M7948))</f>
      </c>
      <c r="O7948" s="43">
        <f>IF($I7948=0,0,INDEX(DarlErsatzRate,17))</f>
      </c>
      <c r="P7948" s="43">
        <f>IF($I7948=0,0,$Q7947*INDEX(DarlErsatzZins,17))</f>
      </c>
      <c r="Q7948" s="43">
        <f>IF($I7948=0,0,$Q7947+$P7948+$O7948)</f>
      </c>
      <c r="R7948" s="43">
        <f>IF($I7948=0,0,$J7948-$M7948-$N7948)</f>
      </c>
    </row>
    <row r="7949">
      <c r="A7949"/>
      <c r="B7949">
        <v>17</v>
      </c>
      <c r="C7949" s="43">
        <f>INDEX(DarlObj,17)</f>
      </c>
      <c r="D7949">
        <v>266</v>
      </c>
      <c r="E7949" s="51">
        <f>IF(INDEX(DarlBelegt,17)=0,0,EOMONTH(INDEX(DarlAuszahlung,17),265)+1)</f>
      </c>
      <c r="F7949" s="43">
        <f>IF($E7949=0,0,YEAR($E7949))</f>
      </c>
      <c r="G7949" s="43">
        <f>IF(INDEX(DarlBindung,17)="",1,IF($E7949&lt;=INDEX(DarlBindung,17),1,0))</f>
      </c>
      <c r="H7949" s="43">
        <f>IF($G7949=1,INDEX(DarlSollzins,17),INDEX(DarlAnschluss,17))</f>
      </c>
      <c r="I7949" s="43">
        <f>IF(INDEX(DarlBelegt,17)=0,0,IF(INDEX(DarlOhneTilgung,17)=1,IF(INDEX(DarlBindung,17)="",1,$G7949),IF($J7949&gt;0.005,1,0)))</f>
      </c>
      <c r="J7949" s="43">
        <f>IF($I7948=0,0,$R7948)</f>
      </c>
      <c r="K7949" s="43">
        <f>IF($I7949=0,0,IF(INDEX(DarlOhneTilgung,17)=1,0,IF(AND(INDEX(DarlTilgStart,17)&gt;0,$E7949=INDEX(DarlTilgStart,17)),$J7949*($H7949+INDEX(DarlTilgung,17))/100/12,IF(AND($G7949=0,$G7948=1),MAX($K7948,$J7949*($H7949+1)/100/12),$K7948))))</f>
      </c>
      <c r="L7949" s="43">
        <f>IF($I7949=0,0,$J7949*$H7949/100/12)</f>
      </c>
      <c r="M7949" s="43">
        <f>IF($I7949=0,0,IF(OR(INDEX(DarlOhneTilgung,17)=1,AND(INDEX(DarlTilgStart,17)&gt;0,$E7949&lt;INDEX(DarlTilgStart,17))),0,MIN(MAX(0,$K7949-$L7949),$J7949)))</f>
      </c>
      <c r="N7949" s="43">
        <f>IF($I7949=0,0,MIN(SUMIFS(SondBetrag,SondDarl,17,SondDatum,"&gt;="&amp;$E7949,SondDatum,"&lt;="&amp;EOMONTH($E7949,0)),$J7949-$M7949))</f>
      </c>
      <c r="O7949" s="43">
        <f>IF($I7949=0,0,INDEX(DarlErsatzRate,17))</f>
      </c>
      <c r="P7949" s="43">
        <f>IF($I7949=0,0,$Q7948*INDEX(DarlErsatzZins,17))</f>
      </c>
      <c r="Q7949" s="43">
        <f>IF($I7949=0,0,$Q7948+$P7949+$O7949)</f>
      </c>
      <c r="R7949" s="43">
        <f>IF($I7949=0,0,$J7949-$M7949-$N7949)</f>
      </c>
    </row>
    <row r="7950">
      <c r="A7950"/>
      <c r="B7950">
        <v>17</v>
      </c>
      <c r="C7950" s="43">
        <f>INDEX(DarlObj,17)</f>
      </c>
      <c r="D7950">
        <v>267</v>
      </c>
      <c r="E7950" s="51">
        <f>IF(INDEX(DarlBelegt,17)=0,0,EOMONTH(INDEX(DarlAuszahlung,17),266)+1)</f>
      </c>
      <c r="F7950" s="43">
        <f>IF($E7950=0,0,YEAR($E7950))</f>
      </c>
      <c r="G7950" s="43">
        <f>IF(INDEX(DarlBindung,17)="",1,IF($E7950&lt;=INDEX(DarlBindung,17),1,0))</f>
      </c>
      <c r="H7950" s="43">
        <f>IF($G7950=1,INDEX(DarlSollzins,17),INDEX(DarlAnschluss,17))</f>
      </c>
      <c r="I7950" s="43">
        <f>IF(INDEX(DarlBelegt,17)=0,0,IF(INDEX(DarlOhneTilgung,17)=1,IF(INDEX(DarlBindung,17)="",1,$G7950),IF($J7950&gt;0.005,1,0)))</f>
      </c>
      <c r="J7950" s="43">
        <f>IF($I7949=0,0,$R7949)</f>
      </c>
      <c r="K7950" s="43">
        <f>IF($I7950=0,0,IF(INDEX(DarlOhneTilgung,17)=1,0,IF(AND(INDEX(DarlTilgStart,17)&gt;0,$E7950=INDEX(DarlTilgStart,17)),$J7950*($H7950+INDEX(DarlTilgung,17))/100/12,IF(AND($G7950=0,$G7949=1),MAX($K7949,$J7950*($H7950+1)/100/12),$K7949))))</f>
      </c>
      <c r="L7950" s="43">
        <f>IF($I7950=0,0,$J7950*$H7950/100/12)</f>
      </c>
      <c r="M7950" s="43">
        <f>IF($I7950=0,0,IF(OR(INDEX(DarlOhneTilgung,17)=1,AND(INDEX(DarlTilgStart,17)&gt;0,$E7950&lt;INDEX(DarlTilgStart,17))),0,MIN(MAX(0,$K7950-$L7950),$J7950)))</f>
      </c>
      <c r="N7950" s="43">
        <f>IF($I7950=0,0,MIN(SUMIFS(SondBetrag,SondDarl,17,SondDatum,"&gt;="&amp;$E7950,SondDatum,"&lt;="&amp;EOMONTH($E7950,0)),$J7950-$M7950))</f>
      </c>
      <c r="O7950" s="43">
        <f>IF($I7950=0,0,INDEX(DarlErsatzRate,17))</f>
      </c>
      <c r="P7950" s="43">
        <f>IF($I7950=0,0,$Q7949*INDEX(DarlErsatzZins,17))</f>
      </c>
      <c r="Q7950" s="43">
        <f>IF($I7950=0,0,$Q7949+$P7950+$O7950)</f>
      </c>
      <c r="R7950" s="43">
        <f>IF($I7950=0,0,$J7950-$M7950-$N7950)</f>
      </c>
    </row>
    <row r="7951">
      <c r="A7951"/>
      <c r="B7951">
        <v>17</v>
      </c>
      <c r="C7951" s="43">
        <f>INDEX(DarlObj,17)</f>
      </c>
      <c r="D7951">
        <v>268</v>
      </c>
      <c r="E7951" s="51">
        <f>IF(INDEX(DarlBelegt,17)=0,0,EOMONTH(INDEX(DarlAuszahlung,17),267)+1)</f>
      </c>
      <c r="F7951" s="43">
        <f>IF($E7951=0,0,YEAR($E7951))</f>
      </c>
      <c r="G7951" s="43">
        <f>IF(INDEX(DarlBindung,17)="",1,IF($E7951&lt;=INDEX(DarlBindung,17),1,0))</f>
      </c>
      <c r="H7951" s="43">
        <f>IF($G7951=1,INDEX(DarlSollzins,17),INDEX(DarlAnschluss,17))</f>
      </c>
      <c r="I7951" s="43">
        <f>IF(INDEX(DarlBelegt,17)=0,0,IF(INDEX(DarlOhneTilgung,17)=1,IF(INDEX(DarlBindung,17)="",1,$G7951),IF($J7951&gt;0.005,1,0)))</f>
      </c>
      <c r="J7951" s="43">
        <f>IF($I7950=0,0,$R7950)</f>
      </c>
      <c r="K7951" s="43">
        <f>IF($I7951=0,0,IF(INDEX(DarlOhneTilgung,17)=1,0,IF(AND(INDEX(DarlTilgStart,17)&gt;0,$E7951=INDEX(DarlTilgStart,17)),$J7951*($H7951+INDEX(DarlTilgung,17))/100/12,IF(AND($G7951=0,$G7950=1),MAX($K7950,$J7951*($H7951+1)/100/12),$K7950))))</f>
      </c>
      <c r="L7951" s="43">
        <f>IF($I7951=0,0,$J7951*$H7951/100/12)</f>
      </c>
      <c r="M7951" s="43">
        <f>IF($I7951=0,0,IF(OR(INDEX(DarlOhneTilgung,17)=1,AND(INDEX(DarlTilgStart,17)&gt;0,$E7951&lt;INDEX(DarlTilgStart,17))),0,MIN(MAX(0,$K7951-$L7951),$J7951)))</f>
      </c>
      <c r="N7951" s="43">
        <f>IF($I7951=0,0,MIN(SUMIFS(SondBetrag,SondDarl,17,SondDatum,"&gt;="&amp;$E7951,SondDatum,"&lt;="&amp;EOMONTH($E7951,0)),$J7951-$M7951))</f>
      </c>
      <c r="O7951" s="43">
        <f>IF($I7951=0,0,INDEX(DarlErsatzRate,17))</f>
      </c>
      <c r="P7951" s="43">
        <f>IF($I7951=0,0,$Q7950*INDEX(DarlErsatzZins,17))</f>
      </c>
      <c r="Q7951" s="43">
        <f>IF($I7951=0,0,$Q7950+$P7951+$O7951)</f>
      </c>
      <c r="R7951" s="43">
        <f>IF($I7951=0,0,$J7951-$M7951-$N7951)</f>
      </c>
    </row>
    <row r="7952">
      <c r="A7952"/>
      <c r="B7952">
        <v>17</v>
      </c>
      <c r="C7952" s="43">
        <f>INDEX(DarlObj,17)</f>
      </c>
      <c r="D7952">
        <v>269</v>
      </c>
      <c r="E7952" s="51">
        <f>IF(INDEX(DarlBelegt,17)=0,0,EOMONTH(INDEX(DarlAuszahlung,17),268)+1)</f>
      </c>
      <c r="F7952" s="43">
        <f>IF($E7952=0,0,YEAR($E7952))</f>
      </c>
      <c r="G7952" s="43">
        <f>IF(INDEX(DarlBindung,17)="",1,IF($E7952&lt;=INDEX(DarlBindung,17),1,0))</f>
      </c>
      <c r="H7952" s="43">
        <f>IF($G7952=1,INDEX(DarlSollzins,17),INDEX(DarlAnschluss,17))</f>
      </c>
      <c r="I7952" s="43">
        <f>IF(INDEX(DarlBelegt,17)=0,0,IF(INDEX(DarlOhneTilgung,17)=1,IF(INDEX(DarlBindung,17)="",1,$G7952),IF($J7952&gt;0.005,1,0)))</f>
      </c>
      <c r="J7952" s="43">
        <f>IF($I7951=0,0,$R7951)</f>
      </c>
      <c r="K7952" s="43">
        <f>IF($I7952=0,0,IF(INDEX(DarlOhneTilgung,17)=1,0,IF(AND(INDEX(DarlTilgStart,17)&gt;0,$E7952=INDEX(DarlTilgStart,17)),$J7952*($H7952+INDEX(DarlTilgung,17))/100/12,IF(AND($G7952=0,$G7951=1),MAX($K7951,$J7952*($H7952+1)/100/12),$K7951))))</f>
      </c>
      <c r="L7952" s="43">
        <f>IF($I7952=0,0,$J7952*$H7952/100/12)</f>
      </c>
      <c r="M7952" s="43">
        <f>IF($I7952=0,0,IF(OR(INDEX(DarlOhneTilgung,17)=1,AND(INDEX(DarlTilgStart,17)&gt;0,$E7952&lt;INDEX(DarlTilgStart,17))),0,MIN(MAX(0,$K7952-$L7952),$J7952)))</f>
      </c>
      <c r="N7952" s="43">
        <f>IF($I7952=0,0,MIN(SUMIFS(SondBetrag,SondDarl,17,SondDatum,"&gt;="&amp;$E7952,SondDatum,"&lt;="&amp;EOMONTH($E7952,0)),$J7952-$M7952))</f>
      </c>
      <c r="O7952" s="43">
        <f>IF($I7952=0,0,INDEX(DarlErsatzRate,17))</f>
      </c>
      <c r="P7952" s="43">
        <f>IF($I7952=0,0,$Q7951*INDEX(DarlErsatzZins,17))</f>
      </c>
      <c r="Q7952" s="43">
        <f>IF($I7952=0,0,$Q7951+$P7952+$O7952)</f>
      </c>
      <c r="R7952" s="43">
        <f>IF($I7952=0,0,$J7952-$M7952-$N7952)</f>
      </c>
    </row>
    <row r="7953">
      <c r="A7953"/>
      <c r="B7953">
        <v>17</v>
      </c>
      <c r="C7953" s="43">
        <f>INDEX(DarlObj,17)</f>
      </c>
      <c r="D7953">
        <v>270</v>
      </c>
      <c r="E7953" s="51">
        <f>IF(INDEX(DarlBelegt,17)=0,0,EOMONTH(INDEX(DarlAuszahlung,17),269)+1)</f>
      </c>
      <c r="F7953" s="43">
        <f>IF($E7953=0,0,YEAR($E7953))</f>
      </c>
      <c r="G7953" s="43">
        <f>IF(INDEX(DarlBindung,17)="",1,IF($E7953&lt;=INDEX(DarlBindung,17),1,0))</f>
      </c>
      <c r="H7953" s="43">
        <f>IF($G7953=1,INDEX(DarlSollzins,17),INDEX(DarlAnschluss,17))</f>
      </c>
      <c r="I7953" s="43">
        <f>IF(INDEX(DarlBelegt,17)=0,0,IF(INDEX(DarlOhneTilgung,17)=1,IF(INDEX(DarlBindung,17)="",1,$G7953),IF($J7953&gt;0.005,1,0)))</f>
      </c>
      <c r="J7953" s="43">
        <f>IF($I7952=0,0,$R7952)</f>
      </c>
      <c r="K7953" s="43">
        <f>IF($I7953=0,0,IF(INDEX(DarlOhneTilgung,17)=1,0,IF(AND(INDEX(DarlTilgStart,17)&gt;0,$E7953=INDEX(DarlTilgStart,17)),$J7953*($H7953+INDEX(DarlTilgung,17))/100/12,IF(AND($G7953=0,$G7952=1),MAX($K7952,$J7953*($H7953+1)/100/12),$K7952))))</f>
      </c>
      <c r="L7953" s="43">
        <f>IF($I7953=0,0,$J7953*$H7953/100/12)</f>
      </c>
      <c r="M7953" s="43">
        <f>IF($I7953=0,0,IF(OR(INDEX(DarlOhneTilgung,17)=1,AND(INDEX(DarlTilgStart,17)&gt;0,$E7953&lt;INDEX(DarlTilgStart,17))),0,MIN(MAX(0,$K7953-$L7953),$J7953)))</f>
      </c>
      <c r="N7953" s="43">
        <f>IF($I7953=0,0,MIN(SUMIFS(SondBetrag,SondDarl,17,SondDatum,"&gt;="&amp;$E7953,SondDatum,"&lt;="&amp;EOMONTH($E7953,0)),$J7953-$M7953))</f>
      </c>
      <c r="O7953" s="43">
        <f>IF($I7953=0,0,INDEX(DarlErsatzRate,17))</f>
      </c>
      <c r="P7953" s="43">
        <f>IF($I7953=0,0,$Q7952*INDEX(DarlErsatzZins,17))</f>
      </c>
      <c r="Q7953" s="43">
        <f>IF($I7953=0,0,$Q7952+$P7953+$O7953)</f>
      </c>
      <c r="R7953" s="43">
        <f>IF($I7953=0,0,$J7953-$M7953-$N7953)</f>
      </c>
    </row>
    <row r="7954">
      <c r="A7954"/>
      <c r="B7954">
        <v>17</v>
      </c>
      <c r="C7954" s="43">
        <f>INDEX(DarlObj,17)</f>
      </c>
      <c r="D7954">
        <v>271</v>
      </c>
      <c r="E7954" s="51">
        <f>IF(INDEX(DarlBelegt,17)=0,0,EOMONTH(INDEX(DarlAuszahlung,17),270)+1)</f>
      </c>
      <c r="F7954" s="43">
        <f>IF($E7954=0,0,YEAR($E7954))</f>
      </c>
      <c r="G7954" s="43">
        <f>IF(INDEX(DarlBindung,17)="",1,IF($E7954&lt;=INDEX(DarlBindung,17),1,0))</f>
      </c>
      <c r="H7954" s="43">
        <f>IF($G7954=1,INDEX(DarlSollzins,17),INDEX(DarlAnschluss,17))</f>
      </c>
      <c r="I7954" s="43">
        <f>IF(INDEX(DarlBelegt,17)=0,0,IF(INDEX(DarlOhneTilgung,17)=1,IF(INDEX(DarlBindung,17)="",1,$G7954),IF($J7954&gt;0.005,1,0)))</f>
      </c>
      <c r="J7954" s="43">
        <f>IF($I7953=0,0,$R7953)</f>
      </c>
      <c r="K7954" s="43">
        <f>IF($I7954=0,0,IF(INDEX(DarlOhneTilgung,17)=1,0,IF(AND(INDEX(DarlTilgStart,17)&gt;0,$E7954=INDEX(DarlTilgStart,17)),$J7954*($H7954+INDEX(DarlTilgung,17))/100/12,IF(AND($G7954=0,$G7953=1),MAX($K7953,$J7954*($H7954+1)/100/12),$K7953))))</f>
      </c>
      <c r="L7954" s="43">
        <f>IF($I7954=0,0,$J7954*$H7954/100/12)</f>
      </c>
      <c r="M7954" s="43">
        <f>IF($I7954=0,0,IF(OR(INDEX(DarlOhneTilgung,17)=1,AND(INDEX(DarlTilgStart,17)&gt;0,$E7954&lt;INDEX(DarlTilgStart,17))),0,MIN(MAX(0,$K7954-$L7954),$J7954)))</f>
      </c>
      <c r="N7954" s="43">
        <f>IF($I7954=0,0,MIN(SUMIFS(SondBetrag,SondDarl,17,SondDatum,"&gt;="&amp;$E7954,SondDatum,"&lt;="&amp;EOMONTH($E7954,0)),$J7954-$M7954))</f>
      </c>
      <c r="O7954" s="43">
        <f>IF($I7954=0,0,INDEX(DarlErsatzRate,17))</f>
      </c>
      <c r="P7954" s="43">
        <f>IF($I7954=0,0,$Q7953*INDEX(DarlErsatzZins,17))</f>
      </c>
      <c r="Q7954" s="43">
        <f>IF($I7954=0,0,$Q7953+$P7954+$O7954)</f>
      </c>
      <c r="R7954" s="43">
        <f>IF($I7954=0,0,$J7954-$M7954-$N7954)</f>
      </c>
    </row>
    <row r="7955">
      <c r="A7955"/>
      <c r="B7955">
        <v>17</v>
      </c>
      <c r="C7955" s="43">
        <f>INDEX(DarlObj,17)</f>
      </c>
      <c r="D7955">
        <v>272</v>
      </c>
      <c r="E7955" s="51">
        <f>IF(INDEX(DarlBelegt,17)=0,0,EOMONTH(INDEX(DarlAuszahlung,17),271)+1)</f>
      </c>
      <c r="F7955" s="43">
        <f>IF($E7955=0,0,YEAR($E7955))</f>
      </c>
      <c r="G7955" s="43">
        <f>IF(INDEX(DarlBindung,17)="",1,IF($E7955&lt;=INDEX(DarlBindung,17),1,0))</f>
      </c>
      <c r="H7955" s="43">
        <f>IF($G7955=1,INDEX(DarlSollzins,17),INDEX(DarlAnschluss,17))</f>
      </c>
      <c r="I7955" s="43">
        <f>IF(INDEX(DarlBelegt,17)=0,0,IF(INDEX(DarlOhneTilgung,17)=1,IF(INDEX(DarlBindung,17)="",1,$G7955),IF($J7955&gt;0.005,1,0)))</f>
      </c>
      <c r="J7955" s="43">
        <f>IF($I7954=0,0,$R7954)</f>
      </c>
      <c r="K7955" s="43">
        <f>IF($I7955=0,0,IF(INDEX(DarlOhneTilgung,17)=1,0,IF(AND(INDEX(DarlTilgStart,17)&gt;0,$E7955=INDEX(DarlTilgStart,17)),$J7955*($H7955+INDEX(DarlTilgung,17))/100/12,IF(AND($G7955=0,$G7954=1),MAX($K7954,$J7955*($H7955+1)/100/12),$K7954))))</f>
      </c>
      <c r="L7955" s="43">
        <f>IF($I7955=0,0,$J7955*$H7955/100/12)</f>
      </c>
      <c r="M7955" s="43">
        <f>IF($I7955=0,0,IF(OR(INDEX(DarlOhneTilgung,17)=1,AND(INDEX(DarlTilgStart,17)&gt;0,$E7955&lt;INDEX(DarlTilgStart,17))),0,MIN(MAX(0,$K7955-$L7955),$J7955)))</f>
      </c>
      <c r="N7955" s="43">
        <f>IF($I7955=0,0,MIN(SUMIFS(SondBetrag,SondDarl,17,SondDatum,"&gt;="&amp;$E7955,SondDatum,"&lt;="&amp;EOMONTH($E7955,0)),$J7955-$M7955))</f>
      </c>
      <c r="O7955" s="43">
        <f>IF($I7955=0,0,INDEX(DarlErsatzRate,17))</f>
      </c>
      <c r="P7955" s="43">
        <f>IF($I7955=0,0,$Q7954*INDEX(DarlErsatzZins,17))</f>
      </c>
      <c r="Q7955" s="43">
        <f>IF($I7955=0,0,$Q7954+$P7955+$O7955)</f>
      </c>
      <c r="R7955" s="43">
        <f>IF($I7955=0,0,$J7955-$M7955-$N7955)</f>
      </c>
    </row>
    <row r="7956">
      <c r="A7956"/>
      <c r="B7956">
        <v>17</v>
      </c>
      <c r="C7956" s="43">
        <f>INDEX(DarlObj,17)</f>
      </c>
      <c r="D7956">
        <v>273</v>
      </c>
      <c r="E7956" s="51">
        <f>IF(INDEX(DarlBelegt,17)=0,0,EOMONTH(INDEX(DarlAuszahlung,17),272)+1)</f>
      </c>
      <c r="F7956" s="43">
        <f>IF($E7956=0,0,YEAR($E7956))</f>
      </c>
      <c r="G7956" s="43">
        <f>IF(INDEX(DarlBindung,17)="",1,IF($E7956&lt;=INDEX(DarlBindung,17),1,0))</f>
      </c>
      <c r="H7956" s="43">
        <f>IF($G7956=1,INDEX(DarlSollzins,17),INDEX(DarlAnschluss,17))</f>
      </c>
      <c r="I7956" s="43">
        <f>IF(INDEX(DarlBelegt,17)=0,0,IF(INDEX(DarlOhneTilgung,17)=1,IF(INDEX(DarlBindung,17)="",1,$G7956),IF($J7956&gt;0.005,1,0)))</f>
      </c>
      <c r="J7956" s="43">
        <f>IF($I7955=0,0,$R7955)</f>
      </c>
      <c r="K7956" s="43">
        <f>IF($I7956=0,0,IF(INDEX(DarlOhneTilgung,17)=1,0,IF(AND(INDEX(DarlTilgStart,17)&gt;0,$E7956=INDEX(DarlTilgStart,17)),$J7956*($H7956+INDEX(DarlTilgung,17))/100/12,IF(AND($G7956=0,$G7955=1),MAX($K7955,$J7956*($H7956+1)/100/12),$K7955))))</f>
      </c>
      <c r="L7956" s="43">
        <f>IF($I7956=0,0,$J7956*$H7956/100/12)</f>
      </c>
      <c r="M7956" s="43">
        <f>IF($I7956=0,0,IF(OR(INDEX(DarlOhneTilgung,17)=1,AND(INDEX(DarlTilgStart,17)&gt;0,$E7956&lt;INDEX(DarlTilgStart,17))),0,MIN(MAX(0,$K7956-$L7956),$J7956)))</f>
      </c>
      <c r="N7956" s="43">
        <f>IF($I7956=0,0,MIN(SUMIFS(SondBetrag,SondDarl,17,SondDatum,"&gt;="&amp;$E7956,SondDatum,"&lt;="&amp;EOMONTH($E7956,0)),$J7956-$M7956))</f>
      </c>
      <c r="O7956" s="43">
        <f>IF($I7956=0,0,INDEX(DarlErsatzRate,17))</f>
      </c>
      <c r="P7956" s="43">
        <f>IF($I7956=0,0,$Q7955*INDEX(DarlErsatzZins,17))</f>
      </c>
      <c r="Q7956" s="43">
        <f>IF($I7956=0,0,$Q7955+$P7956+$O7956)</f>
      </c>
      <c r="R7956" s="43">
        <f>IF($I7956=0,0,$J7956-$M7956-$N7956)</f>
      </c>
    </row>
    <row r="7957">
      <c r="A7957"/>
      <c r="B7957">
        <v>17</v>
      </c>
      <c r="C7957" s="43">
        <f>INDEX(DarlObj,17)</f>
      </c>
      <c r="D7957">
        <v>274</v>
      </c>
      <c r="E7957" s="51">
        <f>IF(INDEX(DarlBelegt,17)=0,0,EOMONTH(INDEX(DarlAuszahlung,17),273)+1)</f>
      </c>
      <c r="F7957" s="43">
        <f>IF($E7957=0,0,YEAR($E7957))</f>
      </c>
      <c r="G7957" s="43">
        <f>IF(INDEX(DarlBindung,17)="",1,IF($E7957&lt;=INDEX(DarlBindung,17),1,0))</f>
      </c>
      <c r="H7957" s="43">
        <f>IF($G7957=1,INDEX(DarlSollzins,17),INDEX(DarlAnschluss,17))</f>
      </c>
      <c r="I7957" s="43">
        <f>IF(INDEX(DarlBelegt,17)=0,0,IF(INDEX(DarlOhneTilgung,17)=1,IF(INDEX(DarlBindung,17)="",1,$G7957),IF($J7957&gt;0.005,1,0)))</f>
      </c>
      <c r="J7957" s="43">
        <f>IF($I7956=0,0,$R7956)</f>
      </c>
      <c r="K7957" s="43">
        <f>IF($I7957=0,0,IF(INDEX(DarlOhneTilgung,17)=1,0,IF(AND(INDEX(DarlTilgStart,17)&gt;0,$E7957=INDEX(DarlTilgStart,17)),$J7957*($H7957+INDEX(DarlTilgung,17))/100/12,IF(AND($G7957=0,$G7956=1),MAX($K7956,$J7957*($H7957+1)/100/12),$K7956))))</f>
      </c>
      <c r="L7957" s="43">
        <f>IF($I7957=0,0,$J7957*$H7957/100/12)</f>
      </c>
      <c r="M7957" s="43">
        <f>IF($I7957=0,0,IF(OR(INDEX(DarlOhneTilgung,17)=1,AND(INDEX(DarlTilgStart,17)&gt;0,$E7957&lt;INDEX(DarlTilgStart,17))),0,MIN(MAX(0,$K7957-$L7957),$J7957)))</f>
      </c>
      <c r="N7957" s="43">
        <f>IF($I7957=0,0,MIN(SUMIFS(SondBetrag,SondDarl,17,SondDatum,"&gt;="&amp;$E7957,SondDatum,"&lt;="&amp;EOMONTH($E7957,0)),$J7957-$M7957))</f>
      </c>
      <c r="O7957" s="43">
        <f>IF($I7957=0,0,INDEX(DarlErsatzRate,17))</f>
      </c>
      <c r="P7957" s="43">
        <f>IF($I7957=0,0,$Q7956*INDEX(DarlErsatzZins,17))</f>
      </c>
      <c r="Q7957" s="43">
        <f>IF($I7957=0,0,$Q7956+$P7957+$O7957)</f>
      </c>
      <c r="R7957" s="43">
        <f>IF($I7957=0,0,$J7957-$M7957-$N7957)</f>
      </c>
    </row>
    <row r="7958">
      <c r="A7958"/>
      <c r="B7958">
        <v>17</v>
      </c>
      <c r="C7958" s="43">
        <f>INDEX(DarlObj,17)</f>
      </c>
      <c r="D7958">
        <v>275</v>
      </c>
      <c r="E7958" s="51">
        <f>IF(INDEX(DarlBelegt,17)=0,0,EOMONTH(INDEX(DarlAuszahlung,17),274)+1)</f>
      </c>
      <c r="F7958" s="43">
        <f>IF($E7958=0,0,YEAR($E7958))</f>
      </c>
      <c r="G7958" s="43">
        <f>IF(INDEX(DarlBindung,17)="",1,IF($E7958&lt;=INDEX(DarlBindung,17),1,0))</f>
      </c>
      <c r="H7958" s="43">
        <f>IF($G7958=1,INDEX(DarlSollzins,17),INDEX(DarlAnschluss,17))</f>
      </c>
      <c r="I7958" s="43">
        <f>IF(INDEX(DarlBelegt,17)=0,0,IF(INDEX(DarlOhneTilgung,17)=1,IF(INDEX(DarlBindung,17)="",1,$G7958),IF($J7958&gt;0.005,1,0)))</f>
      </c>
      <c r="J7958" s="43">
        <f>IF($I7957=0,0,$R7957)</f>
      </c>
      <c r="K7958" s="43">
        <f>IF($I7958=0,0,IF(INDEX(DarlOhneTilgung,17)=1,0,IF(AND(INDEX(DarlTilgStart,17)&gt;0,$E7958=INDEX(DarlTilgStart,17)),$J7958*($H7958+INDEX(DarlTilgung,17))/100/12,IF(AND($G7958=0,$G7957=1),MAX($K7957,$J7958*($H7958+1)/100/12),$K7957))))</f>
      </c>
      <c r="L7958" s="43">
        <f>IF($I7958=0,0,$J7958*$H7958/100/12)</f>
      </c>
      <c r="M7958" s="43">
        <f>IF($I7958=0,0,IF(OR(INDEX(DarlOhneTilgung,17)=1,AND(INDEX(DarlTilgStart,17)&gt;0,$E7958&lt;INDEX(DarlTilgStart,17))),0,MIN(MAX(0,$K7958-$L7958),$J7958)))</f>
      </c>
      <c r="N7958" s="43">
        <f>IF($I7958=0,0,MIN(SUMIFS(SondBetrag,SondDarl,17,SondDatum,"&gt;="&amp;$E7958,SondDatum,"&lt;="&amp;EOMONTH($E7958,0)),$J7958-$M7958))</f>
      </c>
      <c r="O7958" s="43">
        <f>IF($I7958=0,0,INDEX(DarlErsatzRate,17))</f>
      </c>
      <c r="P7958" s="43">
        <f>IF($I7958=0,0,$Q7957*INDEX(DarlErsatzZins,17))</f>
      </c>
      <c r="Q7958" s="43">
        <f>IF($I7958=0,0,$Q7957+$P7958+$O7958)</f>
      </c>
      <c r="R7958" s="43">
        <f>IF($I7958=0,0,$J7958-$M7958-$N7958)</f>
      </c>
    </row>
    <row r="7959">
      <c r="A7959"/>
      <c r="B7959">
        <v>17</v>
      </c>
      <c r="C7959" s="43">
        <f>INDEX(DarlObj,17)</f>
      </c>
      <c r="D7959">
        <v>276</v>
      </c>
      <c r="E7959" s="51">
        <f>IF(INDEX(DarlBelegt,17)=0,0,EOMONTH(INDEX(DarlAuszahlung,17),275)+1)</f>
      </c>
      <c r="F7959" s="43">
        <f>IF($E7959=0,0,YEAR($E7959))</f>
      </c>
      <c r="G7959" s="43">
        <f>IF(INDEX(DarlBindung,17)="",1,IF($E7959&lt;=INDEX(DarlBindung,17),1,0))</f>
      </c>
      <c r="H7959" s="43">
        <f>IF($G7959=1,INDEX(DarlSollzins,17),INDEX(DarlAnschluss,17))</f>
      </c>
      <c r="I7959" s="43">
        <f>IF(INDEX(DarlBelegt,17)=0,0,IF(INDEX(DarlOhneTilgung,17)=1,IF(INDEX(DarlBindung,17)="",1,$G7959),IF($J7959&gt;0.005,1,0)))</f>
      </c>
      <c r="J7959" s="43">
        <f>IF($I7958=0,0,$R7958)</f>
      </c>
      <c r="K7959" s="43">
        <f>IF($I7959=0,0,IF(INDEX(DarlOhneTilgung,17)=1,0,IF(AND(INDEX(DarlTilgStart,17)&gt;0,$E7959=INDEX(DarlTilgStart,17)),$J7959*($H7959+INDEX(DarlTilgung,17))/100/12,IF(AND($G7959=0,$G7958=1),MAX($K7958,$J7959*($H7959+1)/100/12),$K7958))))</f>
      </c>
      <c r="L7959" s="43">
        <f>IF($I7959=0,0,$J7959*$H7959/100/12)</f>
      </c>
      <c r="M7959" s="43">
        <f>IF($I7959=0,0,IF(OR(INDEX(DarlOhneTilgung,17)=1,AND(INDEX(DarlTilgStart,17)&gt;0,$E7959&lt;INDEX(DarlTilgStart,17))),0,MIN(MAX(0,$K7959-$L7959),$J7959)))</f>
      </c>
      <c r="N7959" s="43">
        <f>IF($I7959=0,0,MIN(SUMIFS(SondBetrag,SondDarl,17,SondDatum,"&gt;="&amp;$E7959,SondDatum,"&lt;="&amp;EOMONTH($E7959,0)),$J7959-$M7959))</f>
      </c>
      <c r="O7959" s="43">
        <f>IF($I7959=0,0,INDEX(DarlErsatzRate,17))</f>
      </c>
      <c r="P7959" s="43">
        <f>IF($I7959=0,0,$Q7958*INDEX(DarlErsatzZins,17))</f>
      </c>
      <c r="Q7959" s="43">
        <f>IF($I7959=0,0,$Q7958+$P7959+$O7959)</f>
      </c>
      <c r="R7959" s="43">
        <f>IF($I7959=0,0,$J7959-$M7959-$N7959)</f>
      </c>
    </row>
    <row r="7960">
      <c r="A7960"/>
      <c r="B7960">
        <v>17</v>
      </c>
      <c r="C7960" s="43">
        <f>INDEX(DarlObj,17)</f>
      </c>
      <c r="D7960">
        <v>277</v>
      </c>
      <c r="E7960" s="51">
        <f>IF(INDEX(DarlBelegt,17)=0,0,EOMONTH(INDEX(DarlAuszahlung,17),276)+1)</f>
      </c>
      <c r="F7960" s="43">
        <f>IF($E7960=0,0,YEAR($E7960))</f>
      </c>
      <c r="G7960" s="43">
        <f>IF(INDEX(DarlBindung,17)="",1,IF($E7960&lt;=INDEX(DarlBindung,17),1,0))</f>
      </c>
      <c r="H7960" s="43">
        <f>IF($G7960=1,INDEX(DarlSollzins,17),INDEX(DarlAnschluss,17))</f>
      </c>
      <c r="I7960" s="43">
        <f>IF(INDEX(DarlBelegt,17)=0,0,IF(INDEX(DarlOhneTilgung,17)=1,IF(INDEX(DarlBindung,17)="",1,$G7960),IF($J7960&gt;0.005,1,0)))</f>
      </c>
      <c r="J7960" s="43">
        <f>IF($I7959=0,0,$R7959)</f>
      </c>
      <c r="K7960" s="43">
        <f>IF($I7960=0,0,IF(INDEX(DarlOhneTilgung,17)=1,0,IF(AND(INDEX(DarlTilgStart,17)&gt;0,$E7960=INDEX(DarlTilgStart,17)),$J7960*($H7960+INDEX(DarlTilgung,17))/100/12,IF(AND($G7960=0,$G7959=1),MAX($K7959,$J7960*($H7960+1)/100/12),$K7959))))</f>
      </c>
      <c r="L7960" s="43">
        <f>IF($I7960=0,0,$J7960*$H7960/100/12)</f>
      </c>
      <c r="M7960" s="43">
        <f>IF($I7960=0,0,IF(OR(INDEX(DarlOhneTilgung,17)=1,AND(INDEX(DarlTilgStart,17)&gt;0,$E7960&lt;INDEX(DarlTilgStart,17))),0,MIN(MAX(0,$K7960-$L7960),$J7960)))</f>
      </c>
      <c r="N7960" s="43">
        <f>IF($I7960=0,0,MIN(SUMIFS(SondBetrag,SondDarl,17,SondDatum,"&gt;="&amp;$E7960,SondDatum,"&lt;="&amp;EOMONTH($E7960,0)),$J7960-$M7960))</f>
      </c>
      <c r="O7960" s="43">
        <f>IF($I7960=0,0,INDEX(DarlErsatzRate,17))</f>
      </c>
      <c r="P7960" s="43">
        <f>IF($I7960=0,0,$Q7959*INDEX(DarlErsatzZins,17))</f>
      </c>
      <c r="Q7960" s="43">
        <f>IF($I7960=0,0,$Q7959+$P7960+$O7960)</f>
      </c>
      <c r="R7960" s="43">
        <f>IF($I7960=0,0,$J7960-$M7960-$N7960)</f>
      </c>
    </row>
    <row r="7961">
      <c r="A7961"/>
      <c r="B7961">
        <v>17</v>
      </c>
      <c r="C7961" s="43">
        <f>INDEX(DarlObj,17)</f>
      </c>
      <c r="D7961">
        <v>278</v>
      </c>
      <c r="E7961" s="51">
        <f>IF(INDEX(DarlBelegt,17)=0,0,EOMONTH(INDEX(DarlAuszahlung,17),277)+1)</f>
      </c>
      <c r="F7961" s="43">
        <f>IF($E7961=0,0,YEAR($E7961))</f>
      </c>
      <c r="G7961" s="43">
        <f>IF(INDEX(DarlBindung,17)="",1,IF($E7961&lt;=INDEX(DarlBindung,17),1,0))</f>
      </c>
      <c r="H7961" s="43">
        <f>IF($G7961=1,INDEX(DarlSollzins,17),INDEX(DarlAnschluss,17))</f>
      </c>
      <c r="I7961" s="43">
        <f>IF(INDEX(DarlBelegt,17)=0,0,IF(INDEX(DarlOhneTilgung,17)=1,IF(INDEX(DarlBindung,17)="",1,$G7961),IF($J7961&gt;0.005,1,0)))</f>
      </c>
      <c r="J7961" s="43">
        <f>IF($I7960=0,0,$R7960)</f>
      </c>
      <c r="K7961" s="43">
        <f>IF($I7961=0,0,IF(INDEX(DarlOhneTilgung,17)=1,0,IF(AND(INDEX(DarlTilgStart,17)&gt;0,$E7961=INDEX(DarlTilgStart,17)),$J7961*($H7961+INDEX(DarlTilgung,17))/100/12,IF(AND($G7961=0,$G7960=1),MAX($K7960,$J7961*($H7961+1)/100/12),$K7960))))</f>
      </c>
      <c r="L7961" s="43">
        <f>IF($I7961=0,0,$J7961*$H7961/100/12)</f>
      </c>
      <c r="M7961" s="43">
        <f>IF($I7961=0,0,IF(OR(INDEX(DarlOhneTilgung,17)=1,AND(INDEX(DarlTilgStart,17)&gt;0,$E7961&lt;INDEX(DarlTilgStart,17))),0,MIN(MAX(0,$K7961-$L7961),$J7961)))</f>
      </c>
      <c r="N7961" s="43">
        <f>IF($I7961=0,0,MIN(SUMIFS(SondBetrag,SondDarl,17,SondDatum,"&gt;="&amp;$E7961,SondDatum,"&lt;="&amp;EOMONTH($E7961,0)),$J7961-$M7961))</f>
      </c>
      <c r="O7961" s="43">
        <f>IF($I7961=0,0,INDEX(DarlErsatzRate,17))</f>
      </c>
      <c r="P7961" s="43">
        <f>IF($I7961=0,0,$Q7960*INDEX(DarlErsatzZins,17))</f>
      </c>
      <c r="Q7961" s="43">
        <f>IF($I7961=0,0,$Q7960+$P7961+$O7961)</f>
      </c>
      <c r="R7961" s="43">
        <f>IF($I7961=0,0,$J7961-$M7961-$N7961)</f>
      </c>
    </row>
    <row r="7962">
      <c r="A7962"/>
      <c r="B7962">
        <v>17</v>
      </c>
      <c r="C7962" s="43">
        <f>INDEX(DarlObj,17)</f>
      </c>
      <c r="D7962">
        <v>279</v>
      </c>
      <c r="E7962" s="51">
        <f>IF(INDEX(DarlBelegt,17)=0,0,EOMONTH(INDEX(DarlAuszahlung,17),278)+1)</f>
      </c>
      <c r="F7962" s="43">
        <f>IF($E7962=0,0,YEAR($E7962))</f>
      </c>
      <c r="G7962" s="43">
        <f>IF(INDEX(DarlBindung,17)="",1,IF($E7962&lt;=INDEX(DarlBindung,17),1,0))</f>
      </c>
      <c r="H7962" s="43">
        <f>IF($G7962=1,INDEX(DarlSollzins,17),INDEX(DarlAnschluss,17))</f>
      </c>
      <c r="I7962" s="43">
        <f>IF(INDEX(DarlBelegt,17)=0,0,IF(INDEX(DarlOhneTilgung,17)=1,IF(INDEX(DarlBindung,17)="",1,$G7962),IF($J7962&gt;0.005,1,0)))</f>
      </c>
      <c r="J7962" s="43">
        <f>IF($I7961=0,0,$R7961)</f>
      </c>
      <c r="K7962" s="43">
        <f>IF($I7962=0,0,IF(INDEX(DarlOhneTilgung,17)=1,0,IF(AND(INDEX(DarlTilgStart,17)&gt;0,$E7962=INDEX(DarlTilgStart,17)),$J7962*($H7962+INDEX(DarlTilgung,17))/100/12,IF(AND($G7962=0,$G7961=1),MAX($K7961,$J7962*($H7962+1)/100/12),$K7961))))</f>
      </c>
      <c r="L7962" s="43">
        <f>IF($I7962=0,0,$J7962*$H7962/100/12)</f>
      </c>
      <c r="M7962" s="43">
        <f>IF($I7962=0,0,IF(OR(INDEX(DarlOhneTilgung,17)=1,AND(INDEX(DarlTilgStart,17)&gt;0,$E7962&lt;INDEX(DarlTilgStart,17))),0,MIN(MAX(0,$K7962-$L7962),$J7962)))</f>
      </c>
      <c r="N7962" s="43">
        <f>IF($I7962=0,0,MIN(SUMIFS(SondBetrag,SondDarl,17,SondDatum,"&gt;="&amp;$E7962,SondDatum,"&lt;="&amp;EOMONTH($E7962,0)),$J7962-$M7962))</f>
      </c>
      <c r="O7962" s="43">
        <f>IF($I7962=0,0,INDEX(DarlErsatzRate,17))</f>
      </c>
      <c r="P7962" s="43">
        <f>IF($I7962=0,0,$Q7961*INDEX(DarlErsatzZins,17))</f>
      </c>
      <c r="Q7962" s="43">
        <f>IF($I7962=0,0,$Q7961+$P7962+$O7962)</f>
      </c>
      <c r="R7962" s="43">
        <f>IF($I7962=0,0,$J7962-$M7962-$N7962)</f>
      </c>
    </row>
    <row r="7963">
      <c r="A7963"/>
      <c r="B7963">
        <v>17</v>
      </c>
      <c r="C7963" s="43">
        <f>INDEX(DarlObj,17)</f>
      </c>
      <c r="D7963">
        <v>280</v>
      </c>
      <c r="E7963" s="51">
        <f>IF(INDEX(DarlBelegt,17)=0,0,EOMONTH(INDEX(DarlAuszahlung,17),279)+1)</f>
      </c>
      <c r="F7963" s="43">
        <f>IF($E7963=0,0,YEAR($E7963))</f>
      </c>
      <c r="G7963" s="43">
        <f>IF(INDEX(DarlBindung,17)="",1,IF($E7963&lt;=INDEX(DarlBindung,17),1,0))</f>
      </c>
      <c r="H7963" s="43">
        <f>IF($G7963=1,INDEX(DarlSollzins,17),INDEX(DarlAnschluss,17))</f>
      </c>
      <c r="I7963" s="43">
        <f>IF(INDEX(DarlBelegt,17)=0,0,IF(INDEX(DarlOhneTilgung,17)=1,IF(INDEX(DarlBindung,17)="",1,$G7963),IF($J7963&gt;0.005,1,0)))</f>
      </c>
      <c r="J7963" s="43">
        <f>IF($I7962=0,0,$R7962)</f>
      </c>
      <c r="K7963" s="43">
        <f>IF($I7963=0,0,IF(INDEX(DarlOhneTilgung,17)=1,0,IF(AND(INDEX(DarlTilgStart,17)&gt;0,$E7963=INDEX(DarlTilgStart,17)),$J7963*($H7963+INDEX(DarlTilgung,17))/100/12,IF(AND($G7963=0,$G7962=1),MAX($K7962,$J7963*($H7963+1)/100/12),$K7962))))</f>
      </c>
      <c r="L7963" s="43">
        <f>IF($I7963=0,0,$J7963*$H7963/100/12)</f>
      </c>
      <c r="M7963" s="43">
        <f>IF($I7963=0,0,IF(OR(INDEX(DarlOhneTilgung,17)=1,AND(INDEX(DarlTilgStart,17)&gt;0,$E7963&lt;INDEX(DarlTilgStart,17))),0,MIN(MAX(0,$K7963-$L7963),$J7963)))</f>
      </c>
      <c r="N7963" s="43">
        <f>IF($I7963=0,0,MIN(SUMIFS(SondBetrag,SondDarl,17,SondDatum,"&gt;="&amp;$E7963,SondDatum,"&lt;="&amp;EOMONTH($E7963,0)),$J7963-$M7963))</f>
      </c>
      <c r="O7963" s="43">
        <f>IF($I7963=0,0,INDEX(DarlErsatzRate,17))</f>
      </c>
      <c r="P7963" s="43">
        <f>IF($I7963=0,0,$Q7962*INDEX(DarlErsatzZins,17))</f>
      </c>
      <c r="Q7963" s="43">
        <f>IF($I7963=0,0,$Q7962+$P7963+$O7963)</f>
      </c>
      <c r="R7963" s="43">
        <f>IF($I7963=0,0,$J7963-$M7963-$N7963)</f>
      </c>
    </row>
    <row r="7964">
      <c r="A7964"/>
      <c r="B7964">
        <v>17</v>
      </c>
      <c r="C7964" s="43">
        <f>INDEX(DarlObj,17)</f>
      </c>
      <c r="D7964">
        <v>281</v>
      </c>
      <c r="E7964" s="51">
        <f>IF(INDEX(DarlBelegt,17)=0,0,EOMONTH(INDEX(DarlAuszahlung,17),280)+1)</f>
      </c>
      <c r="F7964" s="43">
        <f>IF($E7964=0,0,YEAR($E7964))</f>
      </c>
      <c r="G7964" s="43">
        <f>IF(INDEX(DarlBindung,17)="",1,IF($E7964&lt;=INDEX(DarlBindung,17),1,0))</f>
      </c>
      <c r="H7964" s="43">
        <f>IF($G7964=1,INDEX(DarlSollzins,17),INDEX(DarlAnschluss,17))</f>
      </c>
      <c r="I7964" s="43">
        <f>IF(INDEX(DarlBelegt,17)=0,0,IF(INDEX(DarlOhneTilgung,17)=1,IF(INDEX(DarlBindung,17)="",1,$G7964),IF($J7964&gt;0.005,1,0)))</f>
      </c>
      <c r="J7964" s="43">
        <f>IF($I7963=0,0,$R7963)</f>
      </c>
      <c r="K7964" s="43">
        <f>IF($I7964=0,0,IF(INDEX(DarlOhneTilgung,17)=1,0,IF(AND(INDEX(DarlTilgStart,17)&gt;0,$E7964=INDEX(DarlTilgStart,17)),$J7964*($H7964+INDEX(DarlTilgung,17))/100/12,IF(AND($G7964=0,$G7963=1),MAX($K7963,$J7964*($H7964+1)/100/12),$K7963))))</f>
      </c>
      <c r="L7964" s="43">
        <f>IF($I7964=0,0,$J7964*$H7964/100/12)</f>
      </c>
      <c r="M7964" s="43">
        <f>IF($I7964=0,0,IF(OR(INDEX(DarlOhneTilgung,17)=1,AND(INDEX(DarlTilgStart,17)&gt;0,$E7964&lt;INDEX(DarlTilgStart,17))),0,MIN(MAX(0,$K7964-$L7964),$J7964)))</f>
      </c>
      <c r="N7964" s="43">
        <f>IF($I7964=0,0,MIN(SUMIFS(SondBetrag,SondDarl,17,SondDatum,"&gt;="&amp;$E7964,SondDatum,"&lt;="&amp;EOMONTH($E7964,0)),$J7964-$M7964))</f>
      </c>
      <c r="O7964" s="43">
        <f>IF($I7964=0,0,INDEX(DarlErsatzRate,17))</f>
      </c>
      <c r="P7964" s="43">
        <f>IF($I7964=0,0,$Q7963*INDEX(DarlErsatzZins,17))</f>
      </c>
      <c r="Q7964" s="43">
        <f>IF($I7964=0,0,$Q7963+$P7964+$O7964)</f>
      </c>
      <c r="R7964" s="43">
        <f>IF($I7964=0,0,$J7964-$M7964-$N7964)</f>
      </c>
    </row>
    <row r="7965">
      <c r="A7965"/>
      <c r="B7965">
        <v>17</v>
      </c>
      <c r="C7965" s="43">
        <f>INDEX(DarlObj,17)</f>
      </c>
      <c r="D7965">
        <v>282</v>
      </c>
      <c r="E7965" s="51">
        <f>IF(INDEX(DarlBelegt,17)=0,0,EOMONTH(INDEX(DarlAuszahlung,17),281)+1)</f>
      </c>
      <c r="F7965" s="43">
        <f>IF($E7965=0,0,YEAR($E7965))</f>
      </c>
      <c r="G7965" s="43">
        <f>IF(INDEX(DarlBindung,17)="",1,IF($E7965&lt;=INDEX(DarlBindung,17),1,0))</f>
      </c>
      <c r="H7965" s="43">
        <f>IF($G7965=1,INDEX(DarlSollzins,17),INDEX(DarlAnschluss,17))</f>
      </c>
      <c r="I7965" s="43">
        <f>IF(INDEX(DarlBelegt,17)=0,0,IF(INDEX(DarlOhneTilgung,17)=1,IF(INDEX(DarlBindung,17)="",1,$G7965),IF($J7965&gt;0.005,1,0)))</f>
      </c>
      <c r="J7965" s="43">
        <f>IF($I7964=0,0,$R7964)</f>
      </c>
      <c r="K7965" s="43">
        <f>IF($I7965=0,0,IF(INDEX(DarlOhneTilgung,17)=1,0,IF(AND(INDEX(DarlTilgStart,17)&gt;0,$E7965=INDEX(DarlTilgStart,17)),$J7965*($H7965+INDEX(DarlTilgung,17))/100/12,IF(AND($G7965=0,$G7964=1),MAX($K7964,$J7965*($H7965+1)/100/12),$K7964))))</f>
      </c>
      <c r="L7965" s="43">
        <f>IF($I7965=0,0,$J7965*$H7965/100/12)</f>
      </c>
      <c r="M7965" s="43">
        <f>IF($I7965=0,0,IF(OR(INDEX(DarlOhneTilgung,17)=1,AND(INDEX(DarlTilgStart,17)&gt;0,$E7965&lt;INDEX(DarlTilgStart,17))),0,MIN(MAX(0,$K7965-$L7965),$J7965)))</f>
      </c>
      <c r="N7965" s="43">
        <f>IF($I7965=0,0,MIN(SUMIFS(SondBetrag,SondDarl,17,SondDatum,"&gt;="&amp;$E7965,SondDatum,"&lt;="&amp;EOMONTH($E7965,0)),$J7965-$M7965))</f>
      </c>
      <c r="O7965" s="43">
        <f>IF($I7965=0,0,INDEX(DarlErsatzRate,17))</f>
      </c>
      <c r="P7965" s="43">
        <f>IF($I7965=0,0,$Q7964*INDEX(DarlErsatzZins,17))</f>
      </c>
      <c r="Q7965" s="43">
        <f>IF($I7965=0,0,$Q7964+$P7965+$O7965)</f>
      </c>
      <c r="R7965" s="43">
        <f>IF($I7965=0,0,$J7965-$M7965-$N7965)</f>
      </c>
    </row>
    <row r="7966">
      <c r="A7966"/>
      <c r="B7966">
        <v>17</v>
      </c>
      <c r="C7966" s="43">
        <f>INDEX(DarlObj,17)</f>
      </c>
      <c r="D7966">
        <v>283</v>
      </c>
      <c r="E7966" s="51">
        <f>IF(INDEX(DarlBelegt,17)=0,0,EOMONTH(INDEX(DarlAuszahlung,17),282)+1)</f>
      </c>
      <c r="F7966" s="43">
        <f>IF($E7966=0,0,YEAR($E7966))</f>
      </c>
      <c r="G7966" s="43">
        <f>IF(INDEX(DarlBindung,17)="",1,IF($E7966&lt;=INDEX(DarlBindung,17),1,0))</f>
      </c>
      <c r="H7966" s="43">
        <f>IF($G7966=1,INDEX(DarlSollzins,17),INDEX(DarlAnschluss,17))</f>
      </c>
      <c r="I7966" s="43">
        <f>IF(INDEX(DarlBelegt,17)=0,0,IF(INDEX(DarlOhneTilgung,17)=1,IF(INDEX(DarlBindung,17)="",1,$G7966),IF($J7966&gt;0.005,1,0)))</f>
      </c>
      <c r="J7966" s="43">
        <f>IF($I7965=0,0,$R7965)</f>
      </c>
      <c r="K7966" s="43">
        <f>IF($I7966=0,0,IF(INDEX(DarlOhneTilgung,17)=1,0,IF(AND(INDEX(DarlTilgStart,17)&gt;0,$E7966=INDEX(DarlTilgStart,17)),$J7966*($H7966+INDEX(DarlTilgung,17))/100/12,IF(AND($G7966=0,$G7965=1),MAX($K7965,$J7966*($H7966+1)/100/12),$K7965))))</f>
      </c>
      <c r="L7966" s="43">
        <f>IF($I7966=0,0,$J7966*$H7966/100/12)</f>
      </c>
      <c r="M7966" s="43">
        <f>IF($I7966=0,0,IF(OR(INDEX(DarlOhneTilgung,17)=1,AND(INDEX(DarlTilgStart,17)&gt;0,$E7966&lt;INDEX(DarlTilgStart,17))),0,MIN(MAX(0,$K7966-$L7966),$J7966)))</f>
      </c>
      <c r="N7966" s="43">
        <f>IF($I7966=0,0,MIN(SUMIFS(SondBetrag,SondDarl,17,SondDatum,"&gt;="&amp;$E7966,SondDatum,"&lt;="&amp;EOMONTH($E7966,0)),$J7966-$M7966))</f>
      </c>
      <c r="O7966" s="43">
        <f>IF($I7966=0,0,INDEX(DarlErsatzRate,17))</f>
      </c>
      <c r="P7966" s="43">
        <f>IF($I7966=0,0,$Q7965*INDEX(DarlErsatzZins,17))</f>
      </c>
      <c r="Q7966" s="43">
        <f>IF($I7966=0,0,$Q7965+$P7966+$O7966)</f>
      </c>
      <c r="R7966" s="43">
        <f>IF($I7966=0,0,$J7966-$M7966-$N7966)</f>
      </c>
    </row>
    <row r="7967">
      <c r="A7967"/>
      <c r="B7967">
        <v>17</v>
      </c>
      <c r="C7967" s="43">
        <f>INDEX(DarlObj,17)</f>
      </c>
      <c r="D7967">
        <v>284</v>
      </c>
      <c r="E7967" s="51">
        <f>IF(INDEX(DarlBelegt,17)=0,0,EOMONTH(INDEX(DarlAuszahlung,17),283)+1)</f>
      </c>
      <c r="F7967" s="43">
        <f>IF($E7967=0,0,YEAR($E7967))</f>
      </c>
      <c r="G7967" s="43">
        <f>IF(INDEX(DarlBindung,17)="",1,IF($E7967&lt;=INDEX(DarlBindung,17),1,0))</f>
      </c>
      <c r="H7967" s="43">
        <f>IF($G7967=1,INDEX(DarlSollzins,17),INDEX(DarlAnschluss,17))</f>
      </c>
      <c r="I7967" s="43">
        <f>IF(INDEX(DarlBelegt,17)=0,0,IF(INDEX(DarlOhneTilgung,17)=1,IF(INDEX(DarlBindung,17)="",1,$G7967),IF($J7967&gt;0.005,1,0)))</f>
      </c>
      <c r="J7967" s="43">
        <f>IF($I7966=0,0,$R7966)</f>
      </c>
      <c r="K7967" s="43">
        <f>IF($I7967=0,0,IF(INDEX(DarlOhneTilgung,17)=1,0,IF(AND(INDEX(DarlTilgStart,17)&gt;0,$E7967=INDEX(DarlTilgStart,17)),$J7967*($H7967+INDEX(DarlTilgung,17))/100/12,IF(AND($G7967=0,$G7966=1),MAX($K7966,$J7967*($H7967+1)/100/12),$K7966))))</f>
      </c>
      <c r="L7967" s="43">
        <f>IF($I7967=0,0,$J7967*$H7967/100/12)</f>
      </c>
      <c r="M7967" s="43">
        <f>IF($I7967=0,0,IF(OR(INDEX(DarlOhneTilgung,17)=1,AND(INDEX(DarlTilgStart,17)&gt;0,$E7967&lt;INDEX(DarlTilgStart,17))),0,MIN(MAX(0,$K7967-$L7967),$J7967)))</f>
      </c>
      <c r="N7967" s="43">
        <f>IF($I7967=0,0,MIN(SUMIFS(SondBetrag,SondDarl,17,SondDatum,"&gt;="&amp;$E7967,SondDatum,"&lt;="&amp;EOMONTH($E7967,0)),$J7967-$M7967))</f>
      </c>
      <c r="O7967" s="43">
        <f>IF($I7967=0,0,INDEX(DarlErsatzRate,17))</f>
      </c>
      <c r="P7967" s="43">
        <f>IF($I7967=0,0,$Q7966*INDEX(DarlErsatzZins,17))</f>
      </c>
      <c r="Q7967" s="43">
        <f>IF($I7967=0,0,$Q7966+$P7967+$O7967)</f>
      </c>
      <c r="R7967" s="43">
        <f>IF($I7967=0,0,$J7967-$M7967-$N7967)</f>
      </c>
    </row>
    <row r="7968">
      <c r="A7968"/>
      <c r="B7968">
        <v>17</v>
      </c>
      <c r="C7968" s="43">
        <f>INDEX(DarlObj,17)</f>
      </c>
      <c r="D7968">
        <v>285</v>
      </c>
      <c r="E7968" s="51">
        <f>IF(INDEX(DarlBelegt,17)=0,0,EOMONTH(INDEX(DarlAuszahlung,17),284)+1)</f>
      </c>
      <c r="F7968" s="43">
        <f>IF($E7968=0,0,YEAR($E7968))</f>
      </c>
      <c r="G7968" s="43">
        <f>IF(INDEX(DarlBindung,17)="",1,IF($E7968&lt;=INDEX(DarlBindung,17),1,0))</f>
      </c>
      <c r="H7968" s="43">
        <f>IF($G7968=1,INDEX(DarlSollzins,17),INDEX(DarlAnschluss,17))</f>
      </c>
      <c r="I7968" s="43">
        <f>IF(INDEX(DarlBelegt,17)=0,0,IF(INDEX(DarlOhneTilgung,17)=1,IF(INDEX(DarlBindung,17)="",1,$G7968),IF($J7968&gt;0.005,1,0)))</f>
      </c>
      <c r="J7968" s="43">
        <f>IF($I7967=0,0,$R7967)</f>
      </c>
      <c r="K7968" s="43">
        <f>IF($I7968=0,0,IF(INDEX(DarlOhneTilgung,17)=1,0,IF(AND(INDEX(DarlTilgStart,17)&gt;0,$E7968=INDEX(DarlTilgStart,17)),$J7968*($H7968+INDEX(DarlTilgung,17))/100/12,IF(AND($G7968=0,$G7967=1),MAX($K7967,$J7968*($H7968+1)/100/12),$K7967))))</f>
      </c>
      <c r="L7968" s="43">
        <f>IF($I7968=0,0,$J7968*$H7968/100/12)</f>
      </c>
      <c r="M7968" s="43">
        <f>IF($I7968=0,0,IF(OR(INDEX(DarlOhneTilgung,17)=1,AND(INDEX(DarlTilgStart,17)&gt;0,$E7968&lt;INDEX(DarlTilgStart,17))),0,MIN(MAX(0,$K7968-$L7968),$J7968)))</f>
      </c>
      <c r="N7968" s="43">
        <f>IF($I7968=0,0,MIN(SUMIFS(SondBetrag,SondDarl,17,SondDatum,"&gt;="&amp;$E7968,SondDatum,"&lt;="&amp;EOMONTH($E7968,0)),$J7968-$M7968))</f>
      </c>
      <c r="O7968" s="43">
        <f>IF($I7968=0,0,INDEX(DarlErsatzRate,17))</f>
      </c>
      <c r="P7968" s="43">
        <f>IF($I7968=0,0,$Q7967*INDEX(DarlErsatzZins,17))</f>
      </c>
      <c r="Q7968" s="43">
        <f>IF($I7968=0,0,$Q7967+$P7968+$O7968)</f>
      </c>
      <c r="R7968" s="43">
        <f>IF($I7968=0,0,$J7968-$M7968-$N7968)</f>
      </c>
    </row>
    <row r="7969">
      <c r="A7969"/>
      <c r="B7969">
        <v>17</v>
      </c>
      <c r="C7969" s="43">
        <f>INDEX(DarlObj,17)</f>
      </c>
      <c r="D7969">
        <v>286</v>
      </c>
      <c r="E7969" s="51">
        <f>IF(INDEX(DarlBelegt,17)=0,0,EOMONTH(INDEX(DarlAuszahlung,17),285)+1)</f>
      </c>
      <c r="F7969" s="43">
        <f>IF($E7969=0,0,YEAR($E7969))</f>
      </c>
      <c r="G7969" s="43">
        <f>IF(INDEX(DarlBindung,17)="",1,IF($E7969&lt;=INDEX(DarlBindung,17),1,0))</f>
      </c>
      <c r="H7969" s="43">
        <f>IF($G7969=1,INDEX(DarlSollzins,17),INDEX(DarlAnschluss,17))</f>
      </c>
      <c r="I7969" s="43">
        <f>IF(INDEX(DarlBelegt,17)=0,0,IF(INDEX(DarlOhneTilgung,17)=1,IF(INDEX(DarlBindung,17)="",1,$G7969),IF($J7969&gt;0.005,1,0)))</f>
      </c>
      <c r="J7969" s="43">
        <f>IF($I7968=0,0,$R7968)</f>
      </c>
      <c r="K7969" s="43">
        <f>IF($I7969=0,0,IF(INDEX(DarlOhneTilgung,17)=1,0,IF(AND(INDEX(DarlTilgStart,17)&gt;0,$E7969=INDEX(DarlTilgStart,17)),$J7969*($H7969+INDEX(DarlTilgung,17))/100/12,IF(AND($G7969=0,$G7968=1),MAX($K7968,$J7969*($H7969+1)/100/12),$K7968))))</f>
      </c>
      <c r="L7969" s="43">
        <f>IF($I7969=0,0,$J7969*$H7969/100/12)</f>
      </c>
      <c r="M7969" s="43">
        <f>IF($I7969=0,0,IF(OR(INDEX(DarlOhneTilgung,17)=1,AND(INDEX(DarlTilgStart,17)&gt;0,$E7969&lt;INDEX(DarlTilgStart,17))),0,MIN(MAX(0,$K7969-$L7969),$J7969)))</f>
      </c>
      <c r="N7969" s="43">
        <f>IF($I7969=0,0,MIN(SUMIFS(SondBetrag,SondDarl,17,SondDatum,"&gt;="&amp;$E7969,SondDatum,"&lt;="&amp;EOMONTH($E7969,0)),$J7969-$M7969))</f>
      </c>
      <c r="O7969" s="43">
        <f>IF($I7969=0,0,INDEX(DarlErsatzRate,17))</f>
      </c>
      <c r="P7969" s="43">
        <f>IF($I7969=0,0,$Q7968*INDEX(DarlErsatzZins,17))</f>
      </c>
      <c r="Q7969" s="43">
        <f>IF($I7969=0,0,$Q7968+$P7969+$O7969)</f>
      </c>
      <c r="R7969" s="43">
        <f>IF($I7969=0,0,$J7969-$M7969-$N7969)</f>
      </c>
    </row>
    <row r="7970">
      <c r="A7970"/>
      <c r="B7970">
        <v>17</v>
      </c>
      <c r="C7970" s="43">
        <f>INDEX(DarlObj,17)</f>
      </c>
      <c r="D7970">
        <v>287</v>
      </c>
      <c r="E7970" s="51">
        <f>IF(INDEX(DarlBelegt,17)=0,0,EOMONTH(INDEX(DarlAuszahlung,17),286)+1)</f>
      </c>
      <c r="F7970" s="43">
        <f>IF($E7970=0,0,YEAR($E7970))</f>
      </c>
      <c r="G7970" s="43">
        <f>IF(INDEX(DarlBindung,17)="",1,IF($E7970&lt;=INDEX(DarlBindung,17),1,0))</f>
      </c>
      <c r="H7970" s="43">
        <f>IF($G7970=1,INDEX(DarlSollzins,17),INDEX(DarlAnschluss,17))</f>
      </c>
      <c r="I7970" s="43">
        <f>IF(INDEX(DarlBelegt,17)=0,0,IF(INDEX(DarlOhneTilgung,17)=1,IF(INDEX(DarlBindung,17)="",1,$G7970),IF($J7970&gt;0.005,1,0)))</f>
      </c>
      <c r="J7970" s="43">
        <f>IF($I7969=0,0,$R7969)</f>
      </c>
      <c r="K7970" s="43">
        <f>IF($I7970=0,0,IF(INDEX(DarlOhneTilgung,17)=1,0,IF(AND(INDEX(DarlTilgStart,17)&gt;0,$E7970=INDEX(DarlTilgStart,17)),$J7970*($H7970+INDEX(DarlTilgung,17))/100/12,IF(AND($G7970=0,$G7969=1),MAX($K7969,$J7970*($H7970+1)/100/12),$K7969))))</f>
      </c>
      <c r="L7970" s="43">
        <f>IF($I7970=0,0,$J7970*$H7970/100/12)</f>
      </c>
      <c r="M7970" s="43">
        <f>IF($I7970=0,0,IF(OR(INDEX(DarlOhneTilgung,17)=1,AND(INDEX(DarlTilgStart,17)&gt;0,$E7970&lt;INDEX(DarlTilgStart,17))),0,MIN(MAX(0,$K7970-$L7970),$J7970)))</f>
      </c>
      <c r="N7970" s="43">
        <f>IF($I7970=0,0,MIN(SUMIFS(SondBetrag,SondDarl,17,SondDatum,"&gt;="&amp;$E7970,SondDatum,"&lt;="&amp;EOMONTH($E7970,0)),$J7970-$M7970))</f>
      </c>
      <c r="O7970" s="43">
        <f>IF($I7970=0,0,INDEX(DarlErsatzRate,17))</f>
      </c>
      <c r="P7970" s="43">
        <f>IF($I7970=0,0,$Q7969*INDEX(DarlErsatzZins,17))</f>
      </c>
      <c r="Q7970" s="43">
        <f>IF($I7970=0,0,$Q7969+$P7970+$O7970)</f>
      </c>
      <c r="R7970" s="43">
        <f>IF($I7970=0,0,$J7970-$M7970-$N7970)</f>
      </c>
    </row>
    <row r="7971">
      <c r="A7971"/>
      <c r="B7971">
        <v>17</v>
      </c>
      <c r="C7971" s="43">
        <f>INDEX(DarlObj,17)</f>
      </c>
      <c r="D7971">
        <v>288</v>
      </c>
      <c r="E7971" s="51">
        <f>IF(INDEX(DarlBelegt,17)=0,0,EOMONTH(INDEX(DarlAuszahlung,17),287)+1)</f>
      </c>
      <c r="F7971" s="43">
        <f>IF($E7971=0,0,YEAR($E7971))</f>
      </c>
      <c r="G7971" s="43">
        <f>IF(INDEX(DarlBindung,17)="",1,IF($E7971&lt;=INDEX(DarlBindung,17),1,0))</f>
      </c>
      <c r="H7971" s="43">
        <f>IF($G7971=1,INDEX(DarlSollzins,17),INDEX(DarlAnschluss,17))</f>
      </c>
      <c r="I7971" s="43">
        <f>IF(INDEX(DarlBelegt,17)=0,0,IF(INDEX(DarlOhneTilgung,17)=1,IF(INDEX(DarlBindung,17)="",1,$G7971),IF($J7971&gt;0.005,1,0)))</f>
      </c>
      <c r="J7971" s="43">
        <f>IF($I7970=0,0,$R7970)</f>
      </c>
      <c r="K7971" s="43">
        <f>IF($I7971=0,0,IF(INDEX(DarlOhneTilgung,17)=1,0,IF(AND(INDEX(DarlTilgStart,17)&gt;0,$E7971=INDEX(DarlTilgStart,17)),$J7971*($H7971+INDEX(DarlTilgung,17))/100/12,IF(AND($G7971=0,$G7970=1),MAX($K7970,$J7971*($H7971+1)/100/12),$K7970))))</f>
      </c>
      <c r="L7971" s="43">
        <f>IF($I7971=0,0,$J7971*$H7971/100/12)</f>
      </c>
      <c r="M7971" s="43">
        <f>IF($I7971=0,0,IF(OR(INDEX(DarlOhneTilgung,17)=1,AND(INDEX(DarlTilgStart,17)&gt;0,$E7971&lt;INDEX(DarlTilgStart,17))),0,MIN(MAX(0,$K7971-$L7971),$J7971)))</f>
      </c>
      <c r="N7971" s="43">
        <f>IF($I7971=0,0,MIN(SUMIFS(SondBetrag,SondDarl,17,SondDatum,"&gt;="&amp;$E7971,SondDatum,"&lt;="&amp;EOMONTH($E7971,0)),$J7971-$M7971))</f>
      </c>
      <c r="O7971" s="43">
        <f>IF($I7971=0,0,INDEX(DarlErsatzRate,17))</f>
      </c>
      <c r="P7971" s="43">
        <f>IF($I7971=0,0,$Q7970*INDEX(DarlErsatzZins,17))</f>
      </c>
      <c r="Q7971" s="43">
        <f>IF($I7971=0,0,$Q7970+$P7971+$O7971)</f>
      </c>
      <c r="R7971" s="43">
        <f>IF($I7971=0,0,$J7971-$M7971-$N7971)</f>
      </c>
    </row>
    <row r="7972">
      <c r="A7972"/>
      <c r="B7972">
        <v>17</v>
      </c>
      <c r="C7972" s="43">
        <f>INDEX(DarlObj,17)</f>
      </c>
      <c r="D7972">
        <v>289</v>
      </c>
      <c r="E7972" s="51">
        <f>IF(INDEX(DarlBelegt,17)=0,0,EOMONTH(INDEX(DarlAuszahlung,17),288)+1)</f>
      </c>
      <c r="F7972" s="43">
        <f>IF($E7972=0,0,YEAR($E7972))</f>
      </c>
      <c r="G7972" s="43">
        <f>IF(INDEX(DarlBindung,17)="",1,IF($E7972&lt;=INDEX(DarlBindung,17),1,0))</f>
      </c>
      <c r="H7972" s="43">
        <f>IF($G7972=1,INDEX(DarlSollzins,17),INDEX(DarlAnschluss,17))</f>
      </c>
      <c r="I7972" s="43">
        <f>IF(INDEX(DarlBelegt,17)=0,0,IF(INDEX(DarlOhneTilgung,17)=1,IF(INDEX(DarlBindung,17)="",1,$G7972),IF($J7972&gt;0.005,1,0)))</f>
      </c>
      <c r="J7972" s="43">
        <f>IF($I7971=0,0,$R7971)</f>
      </c>
      <c r="K7972" s="43">
        <f>IF($I7972=0,0,IF(INDEX(DarlOhneTilgung,17)=1,0,IF(AND(INDEX(DarlTilgStart,17)&gt;0,$E7972=INDEX(DarlTilgStart,17)),$J7972*($H7972+INDEX(DarlTilgung,17))/100/12,IF(AND($G7972=0,$G7971=1),MAX($K7971,$J7972*($H7972+1)/100/12),$K7971))))</f>
      </c>
      <c r="L7972" s="43">
        <f>IF($I7972=0,0,$J7972*$H7972/100/12)</f>
      </c>
      <c r="M7972" s="43">
        <f>IF($I7972=0,0,IF(OR(INDEX(DarlOhneTilgung,17)=1,AND(INDEX(DarlTilgStart,17)&gt;0,$E7972&lt;INDEX(DarlTilgStart,17))),0,MIN(MAX(0,$K7972-$L7972),$J7972)))</f>
      </c>
      <c r="N7972" s="43">
        <f>IF($I7972=0,0,MIN(SUMIFS(SondBetrag,SondDarl,17,SondDatum,"&gt;="&amp;$E7972,SondDatum,"&lt;="&amp;EOMONTH($E7972,0)),$J7972-$M7972))</f>
      </c>
      <c r="O7972" s="43">
        <f>IF($I7972=0,0,INDEX(DarlErsatzRate,17))</f>
      </c>
      <c r="P7972" s="43">
        <f>IF($I7972=0,0,$Q7971*INDEX(DarlErsatzZins,17))</f>
      </c>
      <c r="Q7972" s="43">
        <f>IF($I7972=0,0,$Q7971+$P7972+$O7972)</f>
      </c>
      <c r="R7972" s="43">
        <f>IF($I7972=0,0,$J7972-$M7972-$N7972)</f>
      </c>
    </row>
    <row r="7973">
      <c r="A7973"/>
      <c r="B7973">
        <v>17</v>
      </c>
      <c r="C7973" s="43">
        <f>INDEX(DarlObj,17)</f>
      </c>
      <c r="D7973">
        <v>290</v>
      </c>
      <c r="E7973" s="51">
        <f>IF(INDEX(DarlBelegt,17)=0,0,EOMONTH(INDEX(DarlAuszahlung,17),289)+1)</f>
      </c>
      <c r="F7973" s="43">
        <f>IF($E7973=0,0,YEAR($E7973))</f>
      </c>
      <c r="G7973" s="43">
        <f>IF(INDEX(DarlBindung,17)="",1,IF($E7973&lt;=INDEX(DarlBindung,17),1,0))</f>
      </c>
      <c r="H7973" s="43">
        <f>IF($G7973=1,INDEX(DarlSollzins,17),INDEX(DarlAnschluss,17))</f>
      </c>
      <c r="I7973" s="43">
        <f>IF(INDEX(DarlBelegt,17)=0,0,IF(INDEX(DarlOhneTilgung,17)=1,IF(INDEX(DarlBindung,17)="",1,$G7973),IF($J7973&gt;0.005,1,0)))</f>
      </c>
      <c r="J7973" s="43">
        <f>IF($I7972=0,0,$R7972)</f>
      </c>
      <c r="K7973" s="43">
        <f>IF($I7973=0,0,IF(INDEX(DarlOhneTilgung,17)=1,0,IF(AND(INDEX(DarlTilgStart,17)&gt;0,$E7973=INDEX(DarlTilgStart,17)),$J7973*($H7973+INDEX(DarlTilgung,17))/100/12,IF(AND($G7973=0,$G7972=1),MAX($K7972,$J7973*($H7973+1)/100/12),$K7972))))</f>
      </c>
      <c r="L7973" s="43">
        <f>IF($I7973=0,0,$J7973*$H7973/100/12)</f>
      </c>
      <c r="M7973" s="43">
        <f>IF($I7973=0,0,IF(OR(INDEX(DarlOhneTilgung,17)=1,AND(INDEX(DarlTilgStart,17)&gt;0,$E7973&lt;INDEX(DarlTilgStart,17))),0,MIN(MAX(0,$K7973-$L7973),$J7973)))</f>
      </c>
      <c r="N7973" s="43">
        <f>IF($I7973=0,0,MIN(SUMIFS(SondBetrag,SondDarl,17,SondDatum,"&gt;="&amp;$E7973,SondDatum,"&lt;="&amp;EOMONTH($E7973,0)),$J7973-$M7973))</f>
      </c>
      <c r="O7973" s="43">
        <f>IF($I7973=0,0,INDEX(DarlErsatzRate,17))</f>
      </c>
      <c r="P7973" s="43">
        <f>IF($I7973=0,0,$Q7972*INDEX(DarlErsatzZins,17))</f>
      </c>
      <c r="Q7973" s="43">
        <f>IF($I7973=0,0,$Q7972+$P7973+$O7973)</f>
      </c>
      <c r="R7973" s="43">
        <f>IF($I7973=0,0,$J7973-$M7973-$N7973)</f>
      </c>
    </row>
    <row r="7974">
      <c r="A7974"/>
      <c r="B7974">
        <v>17</v>
      </c>
      <c r="C7974" s="43">
        <f>INDEX(DarlObj,17)</f>
      </c>
      <c r="D7974">
        <v>291</v>
      </c>
      <c r="E7974" s="51">
        <f>IF(INDEX(DarlBelegt,17)=0,0,EOMONTH(INDEX(DarlAuszahlung,17),290)+1)</f>
      </c>
      <c r="F7974" s="43">
        <f>IF($E7974=0,0,YEAR($E7974))</f>
      </c>
      <c r="G7974" s="43">
        <f>IF(INDEX(DarlBindung,17)="",1,IF($E7974&lt;=INDEX(DarlBindung,17),1,0))</f>
      </c>
      <c r="H7974" s="43">
        <f>IF($G7974=1,INDEX(DarlSollzins,17),INDEX(DarlAnschluss,17))</f>
      </c>
      <c r="I7974" s="43">
        <f>IF(INDEX(DarlBelegt,17)=0,0,IF(INDEX(DarlOhneTilgung,17)=1,IF(INDEX(DarlBindung,17)="",1,$G7974),IF($J7974&gt;0.005,1,0)))</f>
      </c>
      <c r="J7974" s="43">
        <f>IF($I7973=0,0,$R7973)</f>
      </c>
      <c r="K7974" s="43">
        <f>IF($I7974=0,0,IF(INDEX(DarlOhneTilgung,17)=1,0,IF(AND(INDEX(DarlTilgStart,17)&gt;0,$E7974=INDEX(DarlTilgStart,17)),$J7974*($H7974+INDEX(DarlTilgung,17))/100/12,IF(AND($G7974=0,$G7973=1),MAX($K7973,$J7974*($H7974+1)/100/12),$K7973))))</f>
      </c>
      <c r="L7974" s="43">
        <f>IF($I7974=0,0,$J7974*$H7974/100/12)</f>
      </c>
      <c r="M7974" s="43">
        <f>IF($I7974=0,0,IF(OR(INDEX(DarlOhneTilgung,17)=1,AND(INDEX(DarlTilgStart,17)&gt;0,$E7974&lt;INDEX(DarlTilgStart,17))),0,MIN(MAX(0,$K7974-$L7974),$J7974)))</f>
      </c>
      <c r="N7974" s="43">
        <f>IF($I7974=0,0,MIN(SUMIFS(SondBetrag,SondDarl,17,SondDatum,"&gt;="&amp;$E7974,SondDatum,"&lt;="&amp;EOMONTH($E7974,0)),$J7974-$M7974))</f>
      </c>
      <c r="O7974" s="43">
        <f>IF($I7974=0,0,INDEX(DarlErsatzRate,17))</f>
      </c>
      <c r="P7974" s="43">
        <f>IF($I7974=0,0,$Q7973*INDEX(DarlErsatzZins,17))</f>
      </c>
      <c r="Q7974" s="43">
        <f>IF($I7974=0,0,$Q7973+$P7974+$O7974)</f>
      </c>
      <c r="R7974" s="43">
        <f>IF($I7974=0,0,$J7974-$M7974-$N7974)</f>
      </c>
    </row>
    <row r="7975">
      <c r="A7975"/>
      <c r="B7975">
        <v>17</v>
      </c>
      <c r="C7975" s="43">
        <f>INDEX(DarlObj,17)</f>
      </c>
      <c r="D7975">
        <v>292</v>
      </c>
      <c r="E7975" s="51">
        <f>IF(INDEX(DarlBelegt,17)=0,0,EOMONTH(INDEX(DarlAuszahlung,17),291)+1)</f>
      </c>
      <c r="F7975" s="43">
        <f>IF($E7975=0,0,YEAR($E7975))</f>
      </c>
      <c r="G7975" s="43">
        <f>IF(INDEX(DarlBindung,17)="",1,IF($E7975&lt;=INDEX(DarlBindung,17),1,0))</f>
      </c>
      <c r="H7975" s="43">
        <f>IF($G7975=1,INDEX(DarlSollzins,17),INDEX(DarlAnschluss,17))</f>
      </c>
      <c r="I7975" s="43">
        <f>IF(INDEX(DarlBelegt,17)=0,0,IF(INDEX(DarlOhneTilgung,17)=1,IF(INDEX(DarlBindung,17)="",1,$G7975),IF($J7975&gt;0.005,1,0)))</f>
      </c>
      <c r="J7975" s="43">
        <f>IF($I7974=0,0,$R7974)</f>
      </c>
      <c r="K7975" s="43">
        <f>IF($I7975=0,0,IF(INDEX(DarlOhneTilgung,17)=1,0,IF(AND(INDEX(DarlTilgStart,17)&gt;0,$E7975=INDEX(DarlTilgStart,17)),$J7975*($H7975+INDEX(DarlTilgung,17))/100/12,IF(AND($G7975=0,$G7974=1),MAX($K7974,$J7975*($H7975+1)/100/12),$K7974))))</f>
      </c>
      <c r="L7975" s="43">
        <f>IF($I7975=0,0,$J7975*$H7975/100/12)</f>
      </c>
      <c r="M7975" s="43">
        <f>IF($I7975=0,0,IF(OR(INDEX(DarlOhneTilgung,17)=1,AND(INDEX(DarlTilgStart,17)&gt;0,$E7975&lt;INDEX(DarlTilgStart,17))),0,MIN(MAX(0,$K7975-$L7975),$J7975)))</f>
      </c>
      <c r="N7975" s="43">
        <f>IF($I7975=0,0,MIN(SUMIFS(SondBetrag,SondDarl,17,SondDatum,"&gt;="&amp;$E7975,SondDatum,"&lt;="&amp;EOMONTH($E7975,0)),$J7975-$M7975))</f>
      </c>
      <c r="O7975" s="43">
        <f>IF($I7975=0,0,INDEX(DarlErsatzRate,17))</f>
      </c>
      <c r="P7975" s="43">
        <f>IF($I7975=0,0,$Q7974*INDEX(DarlErsatzZins,17))</f>
      </c>
      <c r="Q7975" s="43">
        <f>IF($I7975=0,0,$Q7974+$P7975+$O7975)</f>
      </c>
      <c r="R7975" s="43">
        <f>IF($I7975=0,0,$J7975-$M7975-$N7975)</f>
      </c>
    </row>
    <row r="7976">
      <c r="A7976"/>
      <c r="B7976">
        <v>17</v>
      </c>
      <c r="C7976" s="43">
        <f>INDEX(DarlObj,17)</f>
      </c>
      <c r="D7976">
        <v>293</v>
      </c>
      <c r="E7976" s="51">
        <f>IF(INDEX(DarlBelegt,17)=0,0,EOMONTH(INDEX(DarlAuszahlung,17),292)+1)</f>
      </c>
      <c r="F7976" s="43">
        <f>IF($E7976=0,0,YEAR($E7976))</f>
      </c>
      <c r="G7976" s="43">
        <f>IF(INDEX(DarlBindung,17)="",1,IF($E7976&lt;=INDEX(DarlBindung,17),1,0))</f>
      </c>
      <c r="H7976" s="43">
        <f>IF($G7976=1,INDEX(DarlSollzins,17),INDEX(DarlAnschluss,17))</f>
      </c>
      <c r="I7976" s="43">
        <f>IF(INDEX(DarlBelegt,17)=0,0,IF(INDEX(DarlOhneTilgung,17)=1,IF(INDEX(DarlBindung,17)="",1,$G7976),IF($J7976&gt;0.005,1,0)))</f>
      </c>
      <c r="J7976" s="43">
        <f>IF($I7975=0,0,$R7975)</f>
      </c>
      <c r="K7976" s="43">
        <f>IF($I7976=0,0,IF(INDEX(DarlOhneTilgung,17)=1,0,IF(AND(INDEX(DarlTilgStart,17)&gt;0,$E7976=INDEX(DarlTilgStart,17)),$J7976*($H7976+INDEX(DarlTilgung,17))/100/12,IF(AND($G7976=0,$G7975=1),MAX($K7975,$J7976*($H7976+1)/100/12),$K7975))))</f>
      </c>
      <c r="L7976" s="43">
        <f>IF($I7976=0,0,$J7976*$H7976/100/12)</f>
      </c>
      <c r="M7976" s="43">
        <f>IF($I7976=0,0,IF(OR(INDEX(DarlOhneTilgung,17)=1,AND(INDEX(DarlTilgStart,17)&gt;0,$E7976&lt;INDEX(DarlTilgStart,17))),0,MIN(MAX(0,$K7976-$L7976),$J7976)))</f>
      </c>
      <c r="N7976" s="43">
        <f>IF($I7976=0,0,MIN(SUMIFS(SondBetrag,SondDarl,17,SondDatum,"&gt;="&amp;$E7976,SondDatum,"&lt;="&amp;EOMONTH($E7976,0)),$J7976-$M7976))</f>
      </c>
      <c r="O7976" s="43">
        <f>IF($I7976=0,0,INDEX(DarlErsatzRate,17))</f>
      </c>
      <c r="P7976" s="43">
        <f>IF($I7976=0,0,$Q7975*INDEX(DarlErsatzZins,17))</f>
      </c>
      <c r="Q7976" s="43">
        <f>IF($I7976=0,0,$Q7975+$P7976+$O7976)</f>
      </c>
      <c r="R7976" s="43">
        <f>IF($I7976=0,0,$J7976-$M7976-$N7976)</f>
      </c>
    </row>
    <row r="7977">
      <c r="A7977"/>
      <c r="B7977">
        <v>17</v>
      </c>
      <c r="C7977" s="43">
        <f>INDEX(DarlObj,17)</f>
      </c>
      <c r="D7977">
        <v>294</v>
      </c>
      <c r="E7977" s="51">
        <f>IF(INDEX(DarlBelegt,17)=0,0,EOMONTH(INDEX(DarlAuszahlung,17),293)+1)</f>
      </c>
      <c r="F7977" s="43">
        <f>IF($E7977=0,0,YEAR($E7977))</f>
      </c>
      <c r="G7977" s="43">
        <f>IF(INDEX(DarlBindung,17)="",1,IF($E7977&lt;=INDEX(DarlBindung,17),1,0))</f>
      </c>
      <c r="H7977" s="43">
        <f>IF($G7977=1,INDEX(DarlSollzins,17),INDEX(DarlAnschluss,17))</f>
      </c>
      <c r="I7977" s="43">
        <f>IF(INDEX(DarlBelegt,17)=0,0,IF(INDEX(DarlOhneTilgung,17)=1,IF(INDEX(DarlBindung,17)="",1,$G7977),IF($J7977&gt;0.005,1,0)))</f>
      </c>
      <c r="J7977" s="43">
        <f>IF($I7976=0,0,$R7976)</f>
      </c>
      <c r="K7977" s="43">
        <f>IF($I7977=0,0,IF(INDEX(DarlOhneTilgung,17)=1,0,IF(AND(INDEX(DarlTilgStart,17)&gt;0,$E7977=INDEX(DarlTilgStart,17)),$J7977*($H7977+INDEX(DarlTilgung,17))/100/12,IF(AND($G7977=0,$G7976=1),MAX($K7976,$J7977*($H7977+1)/100/12),$K7976))))</f>
      </c>
      <c r="L7977" s="43">
        <f>IF($I7977=0,0,$J7977*$H7977/100/12)</f>
      </c>
      <c r="M7977" s="43">
        <f>IF($I7977=0,0,IF(OR(INDEX(DarlOhneTilgung,17)=1,AND(INDEX(DarlTilgStart,17)&gt;0,$E7977&lt;INDEX(DarlTilgStart,17))),0,MIN(MAX(0,$K7977-$L7977),$J7977)))</f>
      </c>
      <c r="N7977" s="43">
        <f>IF($I7977=0,0,MIN(SUMIFS(SondBetrag,SondDarl,17,SondDatum,"&gt;="&amp;$E7977,SondDatum,"&lt;="&amp;EOMONTH($E7977,0)),$J7977-$M7977))</f>
      </c>
      <c r="O7977" s="43">
        <f>IF($I7977=0,0,INDEX(DarlErsatzRate,17))</f>
      </c>
      <c r="P7977" s="43">
        <f>IF($I7977=0,0,$Q7976*INDEX(DarlErsatzZins,17))</f>
      </c>
      <c r="Q7977" s="43">
        <f>IF($I7977=0,0,$Q7976+$P7977+$O7977)</f>
      </c>
      <c r="R7977" s="43">
        <f>IF($I7977=0,0,$J7977-$M7977-$N7977)</f>
      </c>
    </row>
    <row r="7978">
      <c r="A7978"/>
      <c r="B7978">
        <v>17</v>
      </c>
      <c r="C7978" s="43">
        <f>INDEX(DarlObj,17)</f>
      </c>
      <c r="D7978">
        <v>295</v>
      </c>
      <c r="E7978" s="51">
        <f>IF(INDEX(DarlBelegt,17)=0,0,EOMONTH(INDEX(DarlAuszahlung,17),294)+1)</f>
      </c>
      <c r="F7978" s="43">
        <f>IF($E7978=0,0,YEAR($E7978))</f>
      </c>
      <c r="G7978" s="43">
        <f>IF(INDEX(DarlBindung,17)="",1,IF($E7978&lt;=INDEX(DarlBindung,17),1,0))</f>
      </c>
      <c r="H7978" s="43">
        <f>IF($G7978=1,INDEX(DarlSollzins,17),INDEX(DarlAnschluss,17))</f>
      </c>
      <c r="I7978" s="43">
        <f>IF(INDEX(DarlBelegt,17)=0,0,IF(INDEX(DarlOhneTilgung,17)=1,IF(INDEX(DarlBindung,17)="",1,$G7978),IF($J7978&gt;0.005,1,0)))</f>
      </c>
      <c r="J7978" s="43">
        <f>IF($I7977=0,0,$R7977)</f>
      </c>
      <c r="K7978" s="43">
        <f>IF($I7978=0,0,IF(INDEX(DarlOhneTilgung,17)=1,0,IF(AND(INDEX(DarlTilgStart,17)&gt;0,$E7978=INDEX(DarlTilgStart,17)),$J7978*($H7978+INDEX(DarlTilgung,17))/100/12,IF(AND($G7978=0,$G7977=1),MAX($K7977,$J7978*($H7978+1)/100/12),$K7977))))</f>
      </c>
      <c r="L7978" s="43">
        <f>IF($I7978=0,0,$J7978*$H7978/100/12)</f>
      </c>
      <c r="M7978" s="43">
        <f>IF($I7978=0,0,IF(OR(INDEX(DarlOhneTilgung,17)=1,AND(INDEX(DarlTilgStart,17)&gt;0,$E7978&lt;INDEX(DarlTilgStart,17))),0,MIN(MAX(0,$K7978-$L7978),$J7978)))</f>
      </c>
      <c r="N7978" s="43">
        <f>IF($I7978=0,0,MIN(SUMIFS(SondBetrag,SondDarl,17,SondDatum,"&gt;="&amp;$E7978,SondDatum,"&lt;="&amp;EOMONTH($E7978,0)),$J7978-$M7978))</f>
      </c>
      <c r="O7978" s="43">
        <f>IF($I7978=0,0,INDEX(DarlErsatzRate,17))</f>
      </c>
      <c r="P7978" s="43">
        <f>IF($I7978=0,0,$Q7977*INDEX(DarlErsatzZins,17))</f>
      </c>
      <c r="Q7978" s="43">
        <f>IF($I7978=0,0,$Q7977+$P7978+$O7978)</f>
      </c>
      <c r="R7978" s="43">
        <f>IF($I7978=0,0,$J7978-$M7978-$N7978)</f>
      </c>
    </row>
    <row r="7979">
      <c r="A7979"/>
      <c r="B7979">
        <v>17</v>
      </c>
      <c r="C7979" s="43">
        <f>INDEX(DarlObj,17)</f>
      </c>
      <c r="D7979">
        <v>296</v>
      </c>
      <c r="E7979" s="51">
        <f>IF(INDEX(DarlBelegt,17)=0,0,EOMONTH(INDEX(DarlAuszahlung,17),295)+1)</f>
      </c>
      <c r="F7979" s="43">
        <f>IF($E7979=0,0,YEAR($E7979))</f>
      </c>
      <c r="G7979" s="43">
        <f>IF(INDEX(DarlBindung,17)="",1,IF($E7979&lt;=INDEX(DarlBindung,17),1,0))</f>
      </c>
      <c r="H7979" s="43">
        <f>IF($G7979=1,INDEX(DarlSollzins,17),INDEX(DarlAnschluss,17))</f>
      </c>
      <c r="I7979" s="43">
        <f>IF(INDEX(DarlBelegt,17)=0,0,IF(INDEX(DarlOhneTilgung,17)=1,IF(INDEX(DarlBindung,17)="",1,$G7979),IF($J7979&gt;0.005,1,0)))</f>
      </c>
      <c r="J7979" s="43">
        <f>IF($I7978=0,0,$R7978)</f>
      </c>
      <c r="K7979" s="43">
        <f>IF($I7979=0,0,IF(INDEX(DarlOhneTilgung,17)=1,0,IF(AND(INDEX(DarlTilgStart,17)&gt;0,$E7979=INDEX(DarlTilgStart,17)),$J7979*($H7979+INDEX(DarlTilgung,17))/100/12,IF(AND($G7979=0,$G7978=1),MAX($K7978,$J7979*($H7979+1)/100/12),$K7978))))</f>
      </c>
      <c r="L7979" s="43">
        <f>IF($I7979=0,0,$J7979*$H7979/100/12)</f>
      </c>
      <c r="M7979" s="43">
        <f>IF($I7979=0,0,IF(OR(INDEX(DarlOhneTilgung,17)=1,AND(INDEX(DarlTilgStart,17)&gt;0,$E7979&lt;INDEX(DarlTilgStart,17))),0,MIN(MAX(0,$K7979-$L7979),$J7979)))</f>
      </c>
      <c r="N7979" s="43">
        <f>IF($I7979=0,0,MIN(SUMIFS(SondBetrag,SondDarl,17,SondDatum,"&gt;="&amp;$E7979,SondDatum,"&lt;="&amp;EOMONTH($E7979,0)),$J7979-$M7979))</f>
      </c>
      <c r="O7979" s="43">
        <f>IF($I7979=0,0,INDEX(DarlErsatzRate,17))</f>
      </c>
      <c r="P7979" s="43">
        <f>IF($I7979=0,0,$Q7978*INDEX(DarlErsatzZins,17))</f>
      </c>
      <c r="Q7979" s="43">
        <f>IF($I7979=0,0,$Q7978+$P7979+$O7979)</f>
      </c>
      <c r="R7979" s="43">
        <f>IF($I7979=0,0,$J7979-$M7979-$N7979)</f>
      </c>
    </row>
    <row r="7980">
      <c r="A7980"/>
      <c r="B7980">
        <v>17</v>
      </c>
      <c r="C7980" s="43">
        <f>INDEX(DarlObj,17)</f>
      </c>
      <c r="D7980">
        <v>297</v>
      </c>
      <c r="E7980" s="51">
        <f>IF(INDEX(DarlBelegt,17)=0,0,EOMONTH(INDEX(DarlAuszahlung,17),296)+1)</f>
      </c>
      <c r="F7980" s="43">
        <f>IF($E7980=0,0,YEAR($E7980))</f>
      </c>
      <c r="G7980" s="43">
        <f>IF(INDEX(DarlBindung,17)="",1,IF($E7980&lt;=INDEX(DarlBindung,17),1,0))</f>
      </c>
      <c r="H7980" s="43">
        <f>IF($G7980=1,INDEX(DarlSollzins,17),INDEX(DarlAnschluss,17))</f>
      </c>
      <c r="I7980" s="43">
        <f>IF(INDEX(DarlBelegt,17)=0,0,IF(INDEX(DarlOhneTilgung,17)=1,IF(INDEX(DarlBindung,17)="",1,$G7980),IF($J7980&gt;0.005,1,0)))</f>
      </c>
      <c r="J7980" s="43">
        <f>IF($I7979=0,0,$R7979)</f>
      </c>
      <c r="K7980" s="43">
        <f>IF($I7980=0,0,IF(INDEX(DarlOhneTilgung,17)=1,0,IF(AND(INDEX(DarlTilgStart,17)&gt;0,$E7980=INDEX(DarlTilgStart,17)),$J7980*($H7980+INDEX(DarlTilgung,17))/100/12,IF(AND($G7980=0,$G7979=1),MAX($K7979,$J7980*($H7980+1)/100/12),$K7979))))</f>
      </c>
      <c r="L7980" s="43">
        <f>IF($I7980=0,0,$J7980*$H7980/100/12)</f>
      </c>
      <c r="M7980" s="43">
        <f>IF($I7980=0,0,IF(OR(INDEX(DarlOhneTilgung,17)=1,AND(INDEX(DarlTilgStart,17)&gt;0,$E7980&lt;INDEX(DarlTilgStart,17))),0,MIN(MAX(0,$K7980-$L7980),$J7980)))</f>
      </c>
      <c r="N7980" s="43">
        <f>IF($I7980=0,0,MIN(SUMIFS(SondBetrag,SondDarl,17,SondDatum,"&gt;="&amp;$E7980,SondDatum,"&lt;="&amp;EOMONTH($E7980,0)),$J7980-$M7980))</f>
      </c>
      <c r="O7980" s="43">
        <f>IF($I7980=0,0,INDEX(DarlErsatzRate,17))</f>
      </c>
      <c r="P7980" s="43">
        <f>IF($I7980=0,0,$Q7979*INDEX(DarlErsatzZins,17))</f>
      </c>
      <c r="Q7980" s="43">
        <f>IF($I7980=0,0,$Q7979+$P7980+$O7980)</f>
      </c>
      <c r="R7980" s="43">
        <f>IF($I7980=0,0,$J7980-$M7980-$N7980)</f>
      </c>
    </row>
    <row r="7981">
      <c r="A7981"/>
      <c r="B7981">
        <v>17</v>
      </c>
      <c r="C7981" s="43">
        <f>INDEX(DarlObj,17)</f>
      </c>
      <c r="D7981">
        <v>298</v>
      </c>
      <c r="E7981" s="51">
        <f>IF(INDEX(DarlBelegt,17)=0,0,EOMONTH(INDEX(DarlAuszahlung,17),297)+1)</f>
      </c>
      <c r="F7981" s="43">
        <f>IF($E7981=0,0,YEAR($E7981))</f>
      </c>
      <c r="G7981" s="43">
        <f>IF(INDEX(DarlBindung,17)="",1,IF($E7981&lt;=INDEX(DarlBindung,17),1,0))</f>
      </c>
      <c r="H7981" s="43">
        <f>IF($G7981=1,INDEX(DarlSollzins,17),INDEX(DarlAnschluss,17))</f>
      </c>
      <c r="I7981" s="43">
        <f>IF(INDEX(DarlBelegt,17)=0,0,IF(INDEX(DarlOhneTilgung,17)=1,IF(INDEX(DarlBindung,17)="",1,$G7981),IF($J7981&gt;0.005,1,0)))</f>
      </c>
      <c r="J7981" s="43">
        <f>IF($I7980=0,0,$R7980)</f>
      </c>
      <c r="K7981" s="43">
        <f>IF($I7981=0,0,IF(INDEX(DarlOhneTilgung,17)=1,0,IF(AND(INDEX(DarlTilgStart,17)&gt;0,$E7981=INDEX(DarlTilgStart,17)),$J7981*($H7981+INDEX(DarlTilgung,17))/100/12,IF(AND($G7981=0,$G7980=1),MAX($K7980,$J7981*($H7981+1)/100/12),$K7980))))</f>
      </c>
      <c r="L7981" s="43">
        <f>IF($I7981=0,0,$J7981*$H7981/100/12)</f>
      </c>
      <c r="M7981" s="43">
        <f>IF($I7981=0,0,IF(OR(INDEX(DarlOhneTilgung,17)=1,AND(INDEX(DarlTilgStart,17)&gt;0,$E7981&lt;INDEX(DarlTilgStart,17))),0,MIN(MAX(0,$K7981-$L7981),$J7981)))</f>
      </c>
      <c r="N7981" s="43">
        <f>IF($I7981=0,0,MIN(SUMIFS(SondBetrag,SondDarl,17,SondDatum,"&gt;="&amp;$E7981,SondDatum,"&lt;="&amp;EOMONTH($E7981,0)),$J7981-$M7981))</f>
      </c>
      <c r="O7981" s="43">
        <f>IF($I7981=0,0,INDEX(DarlErsatzRate,17))</f>
      </c>
      <c r="P7981" s="43">
        <f>IF($I7981=0,0,$Q7980*INDEX(DarlErsatzZins,17))</f>
      </c>
      <c r="Q7981" s="43">
        <f>IF($I7981=0,0,$Q7980+$P7981+$O7981)</f>
      </c>
      <c r="R7981" s="43">
        <f>IF($I7981=0,0,$J7981-$M7981-$N7981)</f>
      </c>
    </row>
    <row r="7982">
      <c r="A7982"/>
      <c r="B7982">
        <v>17</v>
      </c>
      <c r="C7982" s="43">
        <f>INDEX(DarlObj,17)</f>
      </c>
      <c r="D7982">
        <v>299</v>
      </c>
      <c r="E7982" s="51">
        <f>IF(INDEX(DarlBelegt,17)=0,0,EOMONTH(INDEX(DarlAuszahlung,17),298)+1)</f>
      </c>
      <c r="F7982" s="43">
        <f>IF($E7982=0,0,YEAR($E7982))</f>
      </c>
      <c r="G7982" s="43">
        <f>IF(INDEX(DarlBindung,17)="",1,IF($E7982&lt;=INDEX(DarlBindung,17),1,0))</f>
      </c>
      <c r="H7982" s="43">
        <f>IF($G7982=1,INDEX(DarlSollzins,17),INDEX(DarlAnschluss,17))</f>
      </c>
      <c r="I7982" s="43">
        <f>IF(INDEX(DarlBelegt,17)=0,0,IF(INDEX(DarlOhneTilgung,17)=1,IF(INDEX(DarlBindung,17)="",1,$G7982),IF($J7982&gt;0.005,1,0)))</f>
      </c>
      <c r="J7982" s="43">
        <f>IF($I7981=0,0,$R7981)</f>
      </c>
      <c r="K7982" s="43">
        <f>IF($I7982=0,0,IF(INDEX(DarlOhneTilgung,17)=1,0,IF(AND(INDEX(DarlTilgStart,17)&gt;0,$E7982=INDEX(DarlTilgStart,17)),$J7982*($H7982+INDEX(DarlTilgung,17))/100/12,IF(AND($G7982=0,$G7981=1),MAX($K7981,$J7982*($H7982+1)/100/12),$K7981))))</f>
      </c>
      <c r="L7982" s="43">
        <f>IF($I7982=0,0,$J7982*$H7982/100/12)</f>
      </c>
      <c r="M7982" s="43">
        <f>IF($I7982=0,0,IF(OR(INDEX(DarlOhneTilgung,17)=1,AND(INDEX(DarlTilgStart,17)&gt;0,$E7982&lt;INDEX(DarlTilgStart,17))),0,MIN(MAX(0,$K7982-$L7982),$J7982)))</f>
      </c>
      <c r="N7982" s="43">
        <f>IF($I7982=0,0,MIN(SUMIFS(SondBetrag,SondDarl,17,SondDatum,"&gt;="&amp;$E7982,SondDatum,"&lt;="&amp;EOMONTH($E7982,0)),$J7982-$M7982))</f>
      </c>
      <c r="O7982" s="43">
        <f>IF($I7982=0,0,INDEX(DarlErsatzRate,17))</f>
      </c>
      <c r="P7982" s="43">
        <f>IF($I7982=0,0,$Q7981*INDEX(DarlErsatzZins,17))</f>
      </c>
      <c r="Q7982" s="43">
        <f>IF($I7982=0,0,$Q7981+$P7982+$O7982)</f>
      </c>
      <c r="R7982" s="43">
        <f>IF($I7982=0,0,$J7982-$M7982-$N7982)</f>
      </c>
    </row>
    <row r="7983">
      <c r="A7983"/>
      <c r="B7983">
        <v>17</v>
      </c>
      <c r="C7983" s="43">
        <f>INDEX(DarlObj,17)</f>
      </c>
      <c r="D7983">
        <v>300</v>
      </c>
      <c r="E7983" s="51">
        <f>IF(INDEX(DarlBelegt,17)=0,0,EOMONTH(INDEX(DarlAuszahlung,17),299)+1)</f>
      </c>
      <c r="F7983" s="43">
        <f>IF($E7983=0,0,YEAR($E7983))</f>
      </c>
      <c r="G7983" s="43">
        <f>IF(INDEX(DarlBindung,17)="",1,IF($E7983&lt;=INDEX(DarlBindung,17),1,0))</f>
      </c>
      <c r="H7983" s="43">
        <f>IF($G7983=1,INDEX(DarlSollzins,17),INDEX(DarlAnschluss,17))</f>
      </c>
      <c r="I7983" s="43">
        <f>IF(INDEX(DarlBelegt,17)=0,0,IF(INDEX(DarlOhneTilgung,17)=1,IF(INDEX(DarlBindung,17)="",1,$G7983),IF($J7983&gt;0.005,1,0)))</f>
      </c>
      <c r="J7983" s="43">
        <f>IF($I7982=0,0,$R7982)</f>
      </c>
      <c r="K7983" s="43">
        <f>IF($I7983=0,0,IF(INDEX(DarlOhneTilgung,17)=1,0,IF(AND(INDEX(DarlTilgStart,17)&gt;0,$E7983=INDEX(DarlTilgStart,17)),$J7983*($H7983+INDEX(DarlTilgung,17))/100/12,IF(AND($G7983=0,$G7982=1),MAX($K7982,$J7983*($H7983+1)/100/12),$K7982))))</f>
      </c>
      <c r="L7983" s="43">
        <f>IF($I7983=0,0,$J7983*$H7983/100/12)</f>
      </c>
      <c r="M7983" s="43">
        <f>IF($I7983=0,0,IF(OR(INDEX(DarlOhneTilgung,17)=1,AND(INDEX(DarlTilgStart,17)&gt;0,$E7983&lt;INDEX(DarlTilgStart,17))),0,MIN(MAX(0,$K7983-$L7983),$J7983)))</f>
      </c>
      <c r="N7983" s="43">
        <f>IF($I7983=0,0,MIN(SUMIFS(SondBetrag,SondDarl,17,SondDatum,"&gt;="&amp;$E7983,SondDatum,"&lt;="&amp;EOMONTH($E7983,0)),$J7983-$M7983))</f>
      </c>
      <c r="O7983" s="43">
        <f>IF($I7983=0,0,INDEX(DarlErsatzRate,17))</f>
      </c>
      <c r="P7983" s="43">
        <f>IF($I7983=0,0,$Q7982*INDEX(DarlErsatzZins,17))</f>
      </c>
      <c r="Q7983" s="43">
        <f>IF($I7983=0,0,$Q7982+$P7983+$O7983)</f>
      </c>
      <c r="R7983" s="43">
        <f>IF($I7983=0,0,$J7983-$M7983-$N7983)</f>
      </c>
    </row>
    <row r="7984">
      <c r="A7984"/>
      <c r="B7984">
        <v>17</v>
      </c>
      <c r="C7984" s="43">
        <f>INDEX(DarlObj,17)</f>
      </c>
      <c r="D7984">
        <v>301</v>
      </c>
      <c r="E7984" s="51">
        <f>IF(INDEX(DarlBelegt,17)=0,0,EOMONTH(INDEX(DarlAuszahlung,17),300)+1)</f>
      </c>
      <c r="F7984" s="43">
        <f>IF($E7984=0,0,YEAR($E7984))</f>
      </c>
      <c r="G7984" s="43">
        <f>IF(INDEX(DarlBindung,17)="",1,IF($E7984&lt;=INDEX(DarlBindung,17),1,0))</f>
      </c>
      <c r="H7984" s="43">
        <f>IF($G7984=1,INDEX(DarlSollzins,17),INDEX(DarlAnschluss,17))</f>
      </c>
      <c r="I7984" s="43">
        <f>IF(INDEX(DarlBelegt,17)=0,0,IF(INDEX(DarlOhneTilgung,17)=1,IF(INDEX(DarlBindung,17)="",1,$G7984),IF($J7984&gt;0.005,1,0)))</f>
      </c>
      <c r="J7984" s="43">
        <f>IF($I7983=0,0,$R7983)</f>
      </c>
      <c r="K7984" s="43">
        <f>IF($I7984=0,0,IF(INDEX(DarlOhneTilgung,17)=1,0,IF(AND(INDEX(DarlTilgStart,17)&gt;0,$E7984=INDEX(DarlTilgStart,17)),$J7984*($H7984+INDEX(DarlTilgung,17))/100/12,IF(AND($G7984=0,$G7983=1),MAX($K7983,$J7984*($H7984+1)/100/12),$K7983))))</f>
      </c>
      <c r="L7984" s="43">
        <f>IF($I7984=0,0,$J7984*$H7984/100/12)</f>
      </c>
      <c r="M7984" s="43">
        <f>IF($I7984=0,0,IF(OR(INDEX(DarlOhneTilgung,17)=1,AND(INDEX(DarlTilgStart,17)&gt;0,$E7984&lt;INDEX(DarlTilgStart,17))),0,MIN(MAX(0,$K7984-$L7984),$J7984)))</f>
      </c>
      <c r="N7984" s="43">
        <f>IF($I7984=0,0,MIN(SUMIFS(SondBetrag,SondDarl,17,SondDatum,"&gt;="&amp;$E7984,SondDatum,"&lt;="&amp;EOMONTH($E7984,0)),$J7984-$M7984))</f>
      </c>
      <c r="O7984" s="43">
        <f>IF($I7984=0,0,INDEX(DarlErsatzRate,17))</f>
      </c>
      <c r="P7984" s="43">
        <f>IF($I7984=0,0,$Q7983*INDEX(DarlErsatzZins,17))</f>
      </c>
      <c r="Q7984" s="43">
        <f>IF($I7984=0,0,$Q7983+$P7984+$O7984)</f>
      </c>
      <c r="R7984" s="43">
        <f>IF($I7984=0,0,$J7984-$M7984-$N7984)</f>
      </c>
    </row>
    <row r="7985">
      <c r="A7985"/>
      <c r="B7985">
        <v>17</v>
      </c>
      <c r="C7985" s="43">
        <f>INDEX(DarlObj,17)</f>
      </c>
      <c r="D7985">
        <v>302</v>
      </c>
      <c r="E7985" s="51">
        <f>IF(INDEX(DarlBelegt,17)=0,0,EOMONTH(INDEX(DarlAuszahlung,17),301)+1)</f>
      </c>
      <c r="F7985" s="43">
        <f>IF($E7985=0,0,YEAR($E7985))</f>
      </c>
      <c r="G7985" s="43">
        <f>IF(INDEX(DarlBindung,17)="",1,IF($E7985&lt;=INDEX(DarlBindung,17),1,0))</f>
      </c>
      <c r="H7985" s="43">
        <f>IF($G7985=1,INDEX(DarlSollzins,17),INDEX(DarlAnschluss,17))</f>
      </c>
      <c r="I7985" s="43">
        <f>IF(INDEX(DarlBelegt,17)=0,0,IF(INDEX(DarlOhneTilgung,17)=1,IF(INDEX(DarlBindung,17)="",1,$G7985),IF($J7985&gt;0.005,1,0)))</f>
      </c>
      <c r="J7985" s="43">
        <f>IF($I7984=0,0,$R7984)</f>
      </c>
      <c r="K7985" s="43">
        <f>IF($I7985=0,0,IF(INDEX(DarlOhneTilgung,17)=1,0,IF(AND(INDEX(DarlTilgStart,17)&gt;0,$E7985=INDEX(DarlTilgStart,17)),$J7985*($H7985+INDEX(DarlTilgung,17))/100/12,IF(AND($G7985=0,$G7984=1),MAX($K7984,$J7985*($H7985+1)/100/12),$K7984))))</f>
      </c>
      <c r="L7985" s="43">
        <f>IF($I7985=0,0,$J7985*$H7985/100/12)</f>
      </c>
      <c r="M7985" s="43">
        <f>IF($I7985=0,0,IF(OR(INDEX(DarlOhneTilgung,17)=1,AND(INDEX(DarlTilgStart,17)&gt;0,$E7985&lt;INDEX(DarlTilgStart,17))),0,MIN(MAX(0,$K7985-$L7985),$J7985)))</f>
      </c>
      <c r="N7985" s="43">
        <f>IF($I7985=0,0,MIN(SUMIFS(SondBetrag,SondDarl,17,SondDatum,"&gt;="&amp;$E7985,SondDatum,"&lt;="&amp;EOMONTH($E7985,0)),$J7985-$M7985))</f>
      </c>
      <c r="O7985" s="43">
        <f>IF($I7985=0,0,INDEX(DarlErsatzRate,17))</f>
      </c>
      <c r="P7985" s="43">
        <f>IF($I7985=0,0,$Q7984*INDEX(DarlErsatzZins,17))</f>
      </c>
      <c r="Q7985" s="43">
        <f>IF($I7985=0,0,$Q7984+$P7985+$O7985)</f>
      </c>
      <c r="R7985" s="43">
        <f>IF($I7985=0,0,$J7985-$M7985-$N7985)</f>
      </c>
    </row>
    <row r="7986">
      <c r="A7986"/>
      <c r="B7986">
        <v>17</v>
      </c>
      <c r="C7986" s="43">
        <f>INDEX(DarlObj,17)</f>
      </c>
      <c r="D7986">
        <v>303</v>
      </c>
      <c r="E7986" s="51">
        <f>IF(INDEX(DarlBelegt,17)=0,0,EOMONTH(INDEX(DarlAuszahlung,17),302)+1)</f>
      </c>
      <c r="F7986" s="43">
        <f>IF($E7986=0,0,YEAR($E7986))</f>
      </c>
      <c r="G7986" s="43">
        <f>IF(INDEX(DarlBindung,17)="",1,IF($E7986&lt;=INDEX(DarlBindung,17),1,0))</f>
      </c>
      <c r="H7986" s="43">
        <f>IF($G7986=1,INDEX(DarlSollzins,17),INDEX(DarlAnschluss,17))</f>
      </c>
      <c r="I7986" s="43">
        <f>IF(INDEX(DarlBelegt,17)=0,0,IF(INDEX(DarlOhneTilgung,17)=1,IF(INDEX(DarlBindung,17)="",1,$G7986),IF($J7986&gt;0.005,1,0)))</f>
      </c>
      <c r="J7986" s="43">
        <f>IF($I7985=0,0,$R7985)</f>
      </c>
      <c r="K7986" s="43">
        <f>IF($I7986=0,0,IF(INDEX(DarlOhneTilgung,17)=1,0,IF(AND(INDEX(DarlTilgStart,17)&gt;0,$E7986=INDEX(DarlTilgStart,17)),$J7986*($H7986+INDEX(DarlTilgung,17))/100/12,IF(AND($G7986=0,$G7985=1),MAX($K7985,$J7986*($H7986+1)/100/12),$K7985))))</f>
      </c>
      <c r="L7986" s="43">
        <f>IF($I7986=0,0,$J7986*$H7986/100/12)</f>
      </c>
      <c r="M7986" s="43">
        <f>IF($I7986=0,0,IF(OR(INDEX(DarlOhneTilgung,17)=1,AND(INDEX(DarlTilgStart,17)&gt;0,$E7986&lt;INDEX(DarlTilgStart,17))),0,MIN(MAX(0,$K7986-$L7986),$J7986)))</f>
      </c>
      <c r="N7986" s="43">
        <f>IF($I7986=0,0,MIN(SUMIFS(SondBetrag,SondDarl,17,SondDatum,"&gt;="&amp;$E7986,SondDatum,"&lt;="&amp;EOMONTH($E7986,0)),$J7986-$M7986))</f>
      </c>
      <c r="O7986" s="43">
        <f>IF($I7986=0,0,INDEX(DarlErsatzRate,17))</f>
      </c>
      <c r="P7986" s="43">
        <f>IF($I7986=0,0,$Q7985*INDEX(DarlErsatzZins,17))</f>
      </c>
      <c r="Q7986" s="43">
        <f>IF($I7986=0,0,$Q7985+$P7986+$O7986)</f>
      </c>
      <c r="R7986" s="43">
        <f>IF($I7986=0,0,$J7986-$M7986-$N7986)</f>
      </c>
    </row>
    <row r="7987">
      <c r="A7987"/>
      <c r="B7987">
        <v>17</v>
      </c>
      <c r="C7987" s="43">
        <f>INDEX(DarlObj,17)</f>
      </c>
      <c r="D7987">
        <v>304</v>
      </c>
      <c r="E7987" s="51">
        <f>IF(INDEX(DarlBelegt,17)=0,0,EOMONTH(INDEX(DarlAuszahlung,17),303)+1)</f>
      </c>
      <c r="F7987" s="43">
        <f>IF($E7987=0,0,YEAR($E7987))</f>
      </c>
      <c r="G7987" s="43">
        <f>IF(INDEX(DarlBindung,17)="",1,IF($E7987&lt;=INDEX(DarlBindung,17),1,0))</f>
      </c>
      <c r="H7987" s="43">
        <f>IF($G7987=1,INDEX(DarlSollzins,17),INDEX(DarlAnschluss,17))</f>
      </c>
      <c r="I7987" s="43">
        <f>IF(INDEX(DarlBelegt,17)=0,0,IF(INDEX(DarlOhneTilgung,17)=1,IF(INDEX(DarlBindung,17)="",1,$G7987),IF($J7987&gt;0.005,1,0)))</f>
      </c>
      <c r="J7987" s="43">
        <f>IF($I7986=0,0,$R7986)</f>
      </c>
      <c r="K7987" s="43">
        <f>IF($I7987=0,0,IF(INDEX(DarlOhneTilgung,17)=1,0,IF(AND(INDEX(DarlTilgStart,17)&gt;0,$E7987=INDEX(DarlTilgStart,17)),$J7987*($H7987+INDEX(DarlTilgung,17))/100/12,IF(AND($G7987=0,$G7986=1),MAX($K7986,$J7987*($H7987+1)/100/12),$K7986))))</f>
      </c>
      <c r="L7987" s="43">
        <f>IF($I7987=0,0,$J7987*$H7987/100/12)</f>
      </c>
      <c r="M7987" s="43">
        <f>IF($I7987=0,0,IF(OR(INDEX(DarlOhneTilgung,17)=1,AND(INDEX(DarlTilgStart,17)&gt;0,$E7987&lt;INDEX(DarlTilgStart,17))),0,MIN(MAX(0,$K7987-$L7987),$J7987)))</f>
      </c>
      <c r="N7987" s="43">
        <f>IF($I7987=0,0,MIN(SUMIFS(SondBetrag,SondDarl,17,SondDatum,"&gt;="&amp;$E7987,SondDatum,"&lt;="&amp;EOMONTH($E7987,0)),$J7987-$M7987))</f>
      </c>
      <c r="O7987" s="43">
        <f>IF($I7987=0,0,INDEX(DarlErsatzRate,17))</f>
      </c>
      <c r="P7987" s="43">
        <f>IF($I7987=0,0,$Q7986*INDEX(DarlErsatzZins,17))</f>
      </c>
      <c r="Q7987" s="43">
        <f>IF($I7987=0,0,$Q7986+$P7987+$O7987)</f>
      </c>
      <c r="R7987" s="43">
        <f>IF($I7987=0,0,$J7987-$M7987-$N7987)</f>
      </c>
    </row>
    <row r="7988">
      <c r="A7988"/>
      <c r="B7988">
        <v>17</v>
      </c>
      <c r="C7988" s="43">
        <f>INDEX(DarlObj,17)</f>
      </c>
      <c r="D7988">
        <v>305</v>
      </c>
      <c r="E7988" s="51">
        <f>IF(INDEX(DarlBelegt,17)=0,0,EOMONTH(INDEX(DarlAuszahlung,17),304)+1)</f>
      </c>
      <c r="F7988" s="43">
        <f>IF($E7988=0,0,YEAR($E7988))</f>
      </c>
      <c r="G7988" s="43">
        <f>IF(INDEX(DarlBindung,17)="",1,IF($E7988&lt;=INDEX(DarlBindung,17),1,0))</f>
      </c>
      <c r="H7988" s="43">
        <f>IF($G7988=1,INDEX(DarlSollzins,17),INDEX(DarlAnschluss,17))</f>
      </c>
      <c r="I7988" s="43">
        <f>IF(INDEX(DarlBelegt,17)=0,0,IF(INDEX(DarlOhneTilgung,17)=1,IF(INDEX(DarlBindung,17)="",1,$G7988),IF($J7988&gt;0.005,1,0)))</f>
      </c>
      <c r="J7988" s="43">
        <f>IF($I7987=0,0,$R7987)</f>
      </c>
      <c r="K7988" s="43">
        <f>IF($I7988=0,0,IF(INDEX(DarlOhneTilgung,17)=1,0,IF(AND(INDEX(DarlTilgStart,17)&gt;0,$E7988=INDEX(DarlTilgStart,17)),$J7988*($H7988+INDEX(DarlTilgung,17))/100/12,IF(AND($G7988=0,$G7987=1),MAX($K7987,$J7988*($H7988+1)/100/12),$K7987))))</f>
      </c>
      <c r="L7988" s="43">
        <f>IF($I7988=0,0,$J7988*$H7988/100/12)</f>
      </c>
      <c r="M7988" s="43">
        <f>IF($I7988=0,0,IF(OR(INDEX(DarlOhneTilgung,17)=1,AND(INDEX(DarlTilgStart,17)&gt;0,$E7988&lt;INDEX(DarlTilgStart,17))),0,MIN(MAX(0,$K7988-$L7988),$J7988)))</f>
      </c>
      <c r="N7988" s="43">
        <f>IF($I7988=0,0,MIN(SUMIFS(SondBetrag,SondDarl,17,SondDatum,"&gt;="&amp;$E7988,SondDatum,"&lt;="&amp;EOMONTH($E7988,0)),$J7988-$M7988))</f>
      </c>
      <c r="O7988" s="43">
        <f>IF($I7988=0,0,INDEX(DarlErsatzRate,17))</f>
      </c>
      <c r="P7988" s="43">
        <f>IF($I7988=0,0,$Q7987*INDEX(DarlErsatzZins,17))</f>
      </c>
      <c r="Q7988" s="43">
        <f>IF($I7988=0,0,$Q7987+$P7988+$O7988)</f>
      </c>
      <c r="R7988" s="43">
        <f>IF($I7988=0,0,$J7988-$M7988-$N7988)</f>
      </c>
    </row>
    <row r="7989">
      <c r="A7989"/>
      <c r="B7989">
        <v>17</v>
      </c>
      <c r="C7989" s="43">
        <f>INDEX(DarlObj,17)</f>
      </c>
      <c r="D7989">
        <v>306</v>
      </c>
      <c r="E7989" s="51">
        <f>IF(INDEX(DarlBelegt,17)=0,0,EOMONTH(INDEX(DarlAuszahlung,17),305)+1)</f>
      </c>
      <c r="F7989" s="43">
        <f>IF($E7989=0,0,YEAR($E7989))</f>
      </c>
      <c r="G7989" s="43">
        <f>IF(INDEX(DarlBindung,17)="",1,IF($E7989&lt;=INDEX(DarlBindung,17),1,0))</f>
      </c>
      <c r="H7989" s="43">
        <f>IF($G7989=1,INDEX(DarlSollzins,17),INDEX(DarlAnschluss,17))</f>
      </c>
      <c r="I7989" s="43">
        <f>IF(INDEX(DarlBelegt,17)=0,0,IF(INDEX(DarlOhneTilgung,17)=1,IF(INDEX(DarlBindung,17)="",1,$G7989),IF($J7989&gt;0.005,1,0)))</f>
      </c>
      <c r="J7989" s="43">
        <f>IF($I7988=0,0,$R7988)</f>
      </c>
      <c r="K7989" s="43">
        <f>IF($I7989=0,0,IF(INDEX(DarlOhneTilgung,17)=1,0,IF(AND(INDEX(DarlTilgStart,17)&gt;0,$E7989=INDEX(DarlTilgStart,17)),$J7989*($H7989+INDEX(DarlTilgung,17))/100/12,IF(AND($G7989=0,$G7988=1),MAX($K7988,$J7989*($H7989+1)/100/12),$K7988))))</f>
      </c>
      <c r="L7989" s="43">
        <f>IF($I7989=0,0,$J7989*$H7989/100/12)</f>
      </c>
      <c r="M7989" s="43">
        <f>IF($I7989=0,0,IF(OR(INDEX(DarlOhneTilgung,17)=1,AND(INDEX(DarlTilgStart,17)&gt;0,$E7989&lt;INDEX(DarlTilgStart,17))),0,MIN(MAX(0,$K7989-$L7989),$J7989)))</f>
      </c>
      <c r="N7989" s="43">
        <f>IF($I7989=0,0,MIN(SUMIFS(SondBetrag,SondDarl,17,SondDatum,"&gt;="&amp;$E7989,SondDatum,"&lt;="&amp;EOMONTH($E7989,0)),$J7989-$M7989))</f>
      </c>
      <c r="O7989" s="43">
        <f>IF($I7989=0,0,INDEX(DarlErsatzRate,17))</f>
      </c>
      <c r="P7989" s="43">
        <f>IF($I7989=0,0,$Q7988*INDEX(DarlErsatzZins,17))</f>
      </c>
      <c r="Q7989" s="43">
        <f>IF($I7989=0,0,$Q7988+$P7989+$O7989)</f>
      </c>
      <c r="R7989" s="43">
        <f>IF($I7989=0,0,$J7989-$M7989-$N7989)</f>
      </c>
    </row>
    <row r="7990">
      <c r="A7990"/>
      <c r="B7990">
        <v>17</v>
      </c>
      <c r="C7990" s="43">
        <f>INDEX(DarlObj,17)</f>
      </c>
      <c r="D7990">
        <v>307</v>
      </c>
      <c r="E7990" s="51">
        <f>IF(INDEX(DarlBelegt,17)=0,0,EOMONTH(INDEX(DarlAuszahlung,17),306)+1)</f>
      </c>
      <c r="F7990" s="43">
        <f>IF($E7990=0,0,YEAR($E7990))</f>
      </c>
      <c r="G7990" s="43">
        <f>IF(INDEX(DarlBindung,17)="",1,IF($E7990&lt;=INDEX(DarlBindung,17),1,0))</f>
      </c>
      <c r="H7990" s="43">
        <f>IF($G7990=1,INDEX(DarlSollzins,17),INDEX(DarlAnschluss,17))</f>
      </c>
      <c r="I7990" s="43">
        <f>IF(INDEX(DarlBelegt,17)=0,0,IF(INDEX(DarlOhneTilgung,17)=1,IF(INDEX(DarlBindung,17)="",1,$G7990),IF($J7990&gt;0.005,1,0)))</f>
      </c>
      <c r="J7990" s="43">
        <f>IF($I7989=0,0,$R7989)</f>
      </c>
      <c r="K7990" s="43">
        <f>IF($I7990=0,0,IF(INDEX(DarlOhneTilgung,17)=1,0,IF(AND(INDEX(DarlTilgStart,17)&gt;0,$E7990=INDEX(DarlTilgStart,17)),$J7990*($H7990+INDEX(DarlTilgung,17))/100/12,IF(AND($G7990=0,$G7989=1),MAX($K7989,$J7990*($H7990+1)/100/12),$K7989))))</f>
      </c>
      <c r="L7990" s="43">
        <f>IF($I7990=0,0,$J7990*$H7990/100/12)</f>
      </c>
      <c r="M7990" s="43">
        <f>IF($I7990=0,0,IF(OR(INDEX(DarlOhneTilgung,17)=1,AND(INDEX(DarlTilgStart,17)&gt;0,$E7990&lt;INDEX(DarlTilgStart,17))),0,MIN(MAX(0,$K7990-$L7990),$J7990)))</f>
      </c>
      <c r="N7990" s="43">
        <f>IF($I7990=0,0,MIN(SUMIFS(SondBetrag,SondDarl,17,SondDatum,"&gt;="&amp;$E7990,SondDatum,"&lt;="&amp;EOMONTH($E7990,0)),$J7990-$M7990))</f>
      </c>
      <c r="O7990" s="43">
        <f>IF($I7990=0,0,INDEX(DarlErsatzRate,17))</f>
      </c>
      <c r="P7990" s="43">
        <f>IF($I7990=0,0,$Q7989*INDEX(DarlErsatzZins,17))</f>
      </c>
      <c r="Q7990" s="43">
        <f>IF($I7990=0,0,$Q7989+$P7990+$O7990)</f>
      </c>
      <c r="R7990" s="43">
        <f>IF($I7990=0,0,$J7990-$M7990-$N7990)</f>
      </c>
    </row>
    <row r="7991">
      <c r="A7991"/>
      <c r="B7991">
        <v>17</v>
      </c>
      <c r="C7991" s="43">
        <f>INDEX(DarlObj,17)</f>
      </c>
      <c r="D7991">
        <v>308</v>
      </c>
      <c r="E7991" s="51">
        <f>IF(INDEX(DarlBelegt,17)=0,0,EOMONTH(INDEX(DarlAuszahlung,17),307)+1)</f>
      </c>
      <c r="F7991" s="43">
        <f>IF($E7991=0,0,YEAR($E7991))</f>
      </c>
      <c r="G7991" s="43">
        <f>IF(INDEX(DarlBindung,17)="",1,IF($E7991&lt;=INDEX(DarlBindung,17),1,0))</f>
      </c>
      <c r="H7991" s="43">
        <f>IF($G7991=1,INDEX(DarlSollzins,17),INDEX(DarlAnschluss,17))</f>
      </c>
      <c r="I7991" s="43">
        <f>IF(INDEX(DarlBelegt,17)=0,0,IF(INDEX(DarlOhneTilgung,17)=1,IF(INDEX(DarlBindung,17)="",1,$G7991),IF($J7991&gt;0.005,1,0)))</f>
      </c>
      <c r="J7991" s="43">
        <f>IF($I7990=0,0,$R7990)</f>
      </c>
      <c r="K7991" s="43">
        <f>IF($I7991=0,0,IF(INDEX(DarlOhneTilgung,17)=1,0,IF(AND(INDEX(DarlTilgStart,17)&gt;0,$E7991=INDEX(DarlTilgStart,17)),$J7991*($H7991+INDEX(DarlTilgung,17))/100/12,IF(AND($G7991=0,$G7990=1),MAX($K7990,$J7991*($H7991+1)/100/12),$K7990))))</f>
      </c>
      <c r="L7991" s="43">
        <f>IF($I7991=0,0,$J7991*$H7991/100/12)</f>
      </c>
      <c r="M7991" s="43">
        <f>IF($I7991=0,0,IF(OR(INDEX(DarlOhneTilgung,17)=1,AND(INDEX(DarlTilgStart,17)&gt;0,$E7991&lt;INDEX(DarlTilgStart,17))),0,MIN(MAX(0,$K7991-$L7991),$J7991)))</f>
      </c>
      <c r="N7991" s="43">
        <f>IF($I7991=0,0,MIN(SUMIFS(SondBetrag,SondDarl,17,SondDatum,"&gt;="&amp;$E7991,SondDatum,"&lt;="&amp;EOMONTH($E7991,0)),$J7991-$M7991))</f>
      </c>
      <c r="O7991" s="43">
        <f>IF($I7991=0,0,INDEX(DarlErsatzRate,17))</f>
      </c>
      <c r="P7991" s="43">
        <f>IF($I7991=0,0,$Q7990*INDEX(DarlErsatzZins,17))</f>
      </c>
      <c r="Q7991" s="43">
        <f>IF($I7991=0,0,$Q7990+$P7991+$O7991)</f>
      </c>
      <c r="R7991" s="43">
        <f>IF($I7991=0,0,$J7991-$M7991-$N7991)</f>
      </c>
    </row>
    <row r="7992">
      <c r="A7992"/>
      <c r="B7992">
        <v>17</v>
      </c>
      <c r="C7992" s="43">
        <f>INDEX(DarlObj,17)</f>
      </c>
      <c r="D7992">
        <v>309</v>
      </c>
      <c r="E7992" s="51">
        <f>IF(INDEX(DarlBelegt,17)=0,0,EOMONTH(INDEX(DarlAuszahlung,17),308)+1)</f>
      </c>
      <c r="F7992" s="43">
        <f>IF($E7992=0,0,YEAR($E7992))</f>
      </c>
      <c r="G7992" s="43">
        <f>IF(INDEX(DarlBindung,17)="",1,IF($E7992&lt;=INDEX(DarlBindung,17),1,0))</f>
      </c>
      <c r="H7992" s="43">
        <f>IF($G7992=1,INDEX(DarlSollzins,17),INDEX(DarlAnschluss,17))</f>
      </c>
      <c r="I7992" s="43">
        <f>IF(INDEX(DarlBelegt,17)=0,0,IF(INDEX(DarlOhneTilgung,17)=1,IF(INDEX(DarlBindung,17)="",1,$G7992),IF($J7992&gt;0.005,1,0)))</f>
      </c>
      <c r="J7992" s="43">
        <f>IF($I7991=0,0,$R7991)</f>
      </c>
      <c r="K7992" s="43">
        <f>IF($I7992=0,0,IF(INDEX(DarlOhneTilgung,17)=1,0,IF(AND(INDEX(DarlTilgStart,17)&gt;0,$E7992=INDEX(DarlTilgStart,17)),$J7992*($H7992+INDEX(DarlTilgung,17))/100/12,IF(AND($G7992=0,$G7991=1),MAX($K7991,$J7992*($H7992+1)/100/12),$K7991))))</f>
      </c>
      <c r="L7992" s="43">
        <f>IF($I7992=0,0,$J7992*$H7992/100/12)</f>
      </c>
      <c r="M7992" s="43">
        <f>IF($I7992=0,0,IF(OR(INDEX(DarlOhneTilgung,17)=1,AND(INDEX(DarlTilgStart,17)&gt;0,$E7992&lt;INDEX(DarlTilgStart,17))),0,MIN(MAX(0,$K7992-$L7992),$J7992)))</f>
      </c>
      <c r="N7992" s="43">
        <f>IF($I7992=0,0,MIN(SUMIFS(SondBetrag,SondDarl,17,SondDatum,"&gt;="&amp;$E7992,SondDatum,"&lt;="&amp;EOMONTH($E7992,0)),$J7992-$M7992))</f>
      </c>
      <c r="O7992" s="43">
        <f>IF($I7992=0,0,INDEX(DarlErsatzRate,17))</f>
      </c>
      <c r="P7992" s="43">
        <f>IF($I7992=0,0,$Q7991*INDEX(DarlErsatzZins,17))</f>
      </c>
      <c r="Q7992" s="43">
        <f>IF($I7992=0,0,$Q7991+$P7992+$O7992)</f>
      </c>
      <c r="R7992" s="43">
        <f>IF($I7992=0,0,$J7992-$M7992-$N7992)</f>
      </c>
    </row>
    <row r="7993">
      <c r="A7993"/>
      <c r="B7993">
        <v>17</v>
      </c>
      <c r="C7993" s="43">
        <f>INDEX(DarlObj,17)</f>
      </c>
      <c r="D7993">
        <v>310</v>
      </c>
      <c r="E7993" s="51">
        <f>IF(INDEX(DarlBelegt,17)=0,0,EOMONTH(INDEX(DarlAuszahlung,17),309)+1)</f>
      </c>
      <c r="F7993" s="43">
        <f>IF($E7993=0,0,YEAR($E7993))</f>
      </c>
      <c r="G7993" s="43">
        <f>IF(INDEX(DarlBindung,17)="",1,IF($E7993&lt;=INDEX(DarlBindung,17),1,0))</f>
      </c>
      <c r="H7993" s="43">
        <f>IF($G7993=1,INDEX(DarlSollzins,17),INDEX(DarlAnschluss,17))</f>
      </c>
      <c r="I7993" s="43">
        <f>IF(INDEX(DarlBelegt,17)=0,0,IF(INDEX(DarlOhneTilgung,17)=1,IF(INDEX(DarlBindung,17)="",1,$G7993),IF($J7993&gt;0.005,1,0)))</f>
      </c>
      <c r="J7993" s="43">
        <f>IF($I7992=0,0,$R7992)</f>
      </c>
      <c r="K7993" s="43">
        <f>IF($I7993=0,0,IF(INDEX(DarlOhneTilgung,17)=1,0,IF(AND(INDEX(DarlTilgStart,17)&gt;0,$E7993=INDEX(DarlTilgStart,17)),$J7993*($H7993+INDEX(DarlTilgung,17))/100/12,IF(AND($G7993=0,$G7992=1),MAX($K7992,$J7993*($H7993+1)/100/12),$K7992))))</f>
      </c>
      <c r="L7993" s="43">
        <f>IF($I7993=0,0,$J7993*$H7993/100/12)</f>
      </c>
      <c r="M7993" s="43">
        <f>IF($I7993=0,0,IF(OR(INDEX(DarlOhneTilgung,17)=1,AND(INDEX(DarlTilgStart,17)&gt;0,$E7993&lt;INDEX(DarlTilgStart,17))),0,MIN(MAX(0,$K7993-$L7993),$J7993)))</f>
      </c>
      <c r="N7993" s="43">
        <f>IF($I7993=0,0,MIN(SUMIFS(SondBetrag,SondDarl,17,SondDatum,"&gt;="&amp;$E7993,SondDatum,"&lt;="&amp;EOMONTH($E7993,0)),$J7993-$M7993))</f>
      </c>
      <c r="O7993" s="43">
        <f>IF($I7993=0,0,INDEX(DarlErsatzRate,17))</f>
      </c>
      <c r="P7993" s="43">
        <f>IF($I7993=0,0,$Q7992*INDEX(DarlErsatzZins,17))</f>
      </c>
      <c r="Q7993" s="43">
        <f>IF($I7993=0,0,$Q7992+$P7993+$O7993)</f>
      </c>
      <c r="R7993" s="43">
        <f>IF($I7993=0,0,$J7993-$M7993-$N7993)</f>
      </c>
    </row>
    <row r="7994">
      <c r="A7994"/>
      <c r="B7994">
        <v>17</v>
      </c>
      <c r="C7994" s="43">
        <f>INDEX(DarlObj,17)</f>
      </c>
      <c r="D7994">
        <v>311</v>
      </c>
      <c r="E7994" s="51">
        <f>IF(INDEX(DarlBelegt,17)=0,0,EOMONTH(INDEX(DarlAuszahlung,17),310)+1)</f>
      </c>
      <c r="F7994" s="43">
        <f>IF($E7994=0,0,YEAR($E7994))</f>
      </c>
      <c r="G7994" s="43">
        <f>IF(INDEX(DarlBindung,17)="",1,IF($E7994&lt;=INDEX(DarlBindung,17),1,0))</f>
      </c>
      <c r="H7994" s="43">
        <f>IF($G7994=1,INDEX(DarlSollzins,17),INDEX(DarlAnschluss,17))</f>
      </c>
      <c r="I7994" s="43">
        <f>IF(INDEX(DarlBelegt,17)=0,0,IF(INDEX(DarlOhneTilgung,17)=1,IF(INDEX(DarlBindung,17)="",1,$G7994),IF($J7994&gt;0.005,1,0)))</f>
      </c>
      <c r="J7994" s="43">
        <f>IF($I7993=0,0,$R7993)</f>
      </c>
      <c r="K7994" s="43">
        <f>IF($I7994=0,0,IF(INDEX(DarlOhneTilgung,17)=1,0,IF(AND(INDEX(DarlTilgStart,17)&gt;0,$E7994=INDEX(DarlTilgStart,17)),$J7994*($H7994+INDEX(DarlTilgung,17))/100/12,IF(AND($G7994=0,$G7993=1),MAX($K7993,$J7994*($H7994+1)/100/12),$K7993))))</f>
      </c>
      <c r="L7994" s="43">
        <f>IF($I7994=0,0,$J7994*$H7994/100/12)</f>
      </c>
      <c r="M7994" s="43">
        <f>IF($I7994=0,0,IF(OR(INDEX(DarlOhneTilgung,17)=1,AND(INDEX(DarlTilgStart,17)&gt;0,$E7994&lt;INDEX(DarlTilgStart,17))),0,MIN(MAX(0,$K7994-$L7994),$J7994)))</f>
      </c>
      <c r="N7994" s="43">
        <f>IF($I7994=0,0,MIN(SUMIFS(SondBetrag,SondDarl,17,SondDatum,"&gt;="&amp;$E7994,SondDatum,"&lt;="&amp;EOMONTH($E7994,0)),$J7994-$M7994))</f>
      </c>
      <c r="O7994" s="43">
        <f>IF($I7994=0,0,INDEX(DarlErsatzRate,17))</f>
      </c>
      <c r="P7994" s="43">
        <f>IF($I7994=0,0,$Q7993*INDEX(DarlErsatzZins,17))</f>
      </c>
      <c r="Q7994" s="43">
        <f>IF($I7994=0,0,$Q7993+$P7994+$O7994)</f>
      </c>
      <c r="R7994" s="43">
        <f>IF($I7994=0,0,$J7994-$M7994-$N7994)</f>
      </c>
    </row>
    <row r="7995">
      <c r="A7995"/>
      <c r="B7995">
        <v>17</v>
      </c>
      <c r="C7995" s="43">
        <f>INDEX(DarlObj,17)</f>
      </c>
      <c r="D7995">
        <v>312</v>
      </c>
      <c r="E7995" s="51">
        <f>IF(INDEX(DarlBelegt,17)=0,0,EOMONTH(INDEX(DarlAuszahlung,17),311)+1)</f>
      </c>
      <c r="F7995" s="43">
        <f>IF($E7995=0,0,YEAR($E7995))</f>
      </c>
      <c r="G7995" s="43">
        <f>IF(INDEX(DarlBindung,17)="",1,IF($E7995&lt;=INDEX(DarlBindung,17),1,0))</f>
      </c>
      <c r="H7995" s="43">
        <f>IF($G7995=1,INDEX(DarlSollzins,17),INDEX(DarlAnschluss,17))</f>
      </c>
      <c r="I7995" s="43">
        <f>IF(INDEX(DarlBelegt,17)=0,0,IF(INDEX(DarlOhneTilgung,17)=1,IF(INDEX(DarlBindung,17)="",1,$G7995),IF($J7995&gt;0.005,1,0)))</f>
      </c>
      <c r="J7995" s="43">
        <f>IF($I7994=0,0,$R7994)</f>
      </c>
      <c r="K7995" s="43">
        <f>IF($I7995=0,0,IF(INDEX(DarlOhneTilgung,17)=1,0,IF(AND(INDEX(DarlTilgStart,17)&gt;0,$E7995=INDEX(DarlTilgStart,17)),$J7995*($H7995+INDEX(DarlTilgung,17))/100/12,IF(AND($G7995=0,$G7994=1),MAX($K7994,$J7995*($H7995+1)/100/12),$K7994))))</f>
      </c>
      <c r="L7995" s="43">
        <f>IF($I7995=0,0,$J7995*$H7995/100/12)</f>
      </c>
      <c r="M7995" s="43">
        <f>IF($I7995=0,0,IF(OR(INDEX(DarlOhneTilgung,17)=1,AND(INDEX(DarlTilgStart,17)&gt;0,$E7995&lt;INDEX(DarlTilgStart,17))),0,MIN(MAX(0,$K7995-$L7995),$J7995)))</f>
      </c>
      <c r="N7995" s="43">
        <f>IF($I7995=0,0,MIN(SUMIFS(SondBetrag,SondDarl,17,SondDatum,"&gt;="&amp;$E7995,SondDatum,"&lt;="&amp;EOMONTH($E7995,0)),$J7995-$M7995))</f>
      </c>
      <c r="O7995" s="43">
        <f>IF($I7995=0,0,INDEX(DarlErsatzRate,17))</f>
      </c>
      <c r="P7995" s="43">
        <f>IF($I7995=0,0,$Q7994*INDEX(DarlErsatzZins,17))</f>
      </c>
      <c r="Q7995" s="43">
        <f>IF($I7995=0,0,$Q7994+$P7995+$O7995)</f>
      </c>
      <c r="R7995" s="43">
        <f>IF($I7995=0,0,$J7995-$M7995-$N7995)</f>
      </c>
    </row>
    <row r="7996">
      <c r="A7996"/>
      <c r="B7996">
        <v>17</v>
      </c>
      <c r="C7996" s="43">
        <f>INDEX(DarlObj,17)</f>
      </c>
      <c r="D7996">
        <v>313</v>
      </c>
      <c r="E7996" s="51">
        <f>IF(INDEX(DarlBelegt,17)=0,0,EOMONTH(INDEX(DarlAuszahlung,17),312)+1)</f>
      </c>
      <c r="F7996" s="43">
        <f>IF($E7996=0,0,YEAR($E7996))</f>
      </c>
      <c r="G7996" s="43">
        <f>IF(INDEX(DarlBindung,17)="",1,IF($E7996&lt;=INDEX(DarlBindung,17),1,0))</f>
      </c>
      <c r="H7996" s="43">
        <f>IF($G7996=1,INDEX(DarlSollzins,17),INDEX(DarlAnschluss,17))</f>
      </c>
      <c r="I7996" s="43">
        <f>IF(INDEX(DarlBelegt,17)=0,0,IF(INDEX(DarlOhneTilgung,17)=1,IF(INDEX(DarlBindung,17)="",1,$G7996),IF($J7996&gt;0.005,1,0)))</f>
      </c>
      <c r="J7996" s="43">
        <f>IF($I7995=0,0,$R7995)</f>
      </c>
      <c r="K7996" s="43">
        <f>IF($I7996=0,0,IF(INDEX(DarlOhneTilgung,17)=1,0,IF(AND(INDEX(DarlTilgStart,17)&gt;0,$E7996=INDEX(DarlTilgStart,17)),$J7996*($H7996+INDEX(DarlTilgung,17))/100/12,IF(AND($G7996=0,$G7995=1),MAX($K7995,$J7996*($H7996+1)/100/12),$K7995))))</f>
      </c>
      <c r="L7996" s="43">
        <f>IF($I7996=0,0,$J7996*$H7996/100/12)</f>
      </c>
      <c r="M7996" s="43">
        <f>IF($I7996=0,0,IF(OR(INDEX(DarlOhneTilgung,17)=1,AND(INDEX(DarlTilgStart,17)&gt;0,$E7996&lt;INDEX(DarlTilgStart,17))),0,MIN(MAX(0,$K7996-$L7996),$J7996)))</f>
      </c>
      <c r="N7996" s="43">
        <f>IF($I7996=0,0,MIN(SUMIFS(SondBetrag,SondDarl,17,SondDatum,"&gt;="&amp;$E7996,SondDatum,"&lt;="&amp;EOMONTH($E7996,0)),$J7996-$M7996))</f>
      </c>
      <c r="O7996" s="43">
        <f>IF($I7996=0,0,INDEX(DarlErsatzRate,17))</f>
      </c>
      <c r="P7996" s="43">
        <f>IF($I7996=0,0,$Q7995*INDEX(DarlErsatzZins,17))</f>
      </c>
      <c r="Q7996" s="43">
        <f>IF($I7996=0,0,$Q7995+$P7996+$O7996)</f>
      </c>
      <c r="R7996" s="43">
        <f>IF($I7996=0,0,$J7996-$M7996-$N7996)</f>
      </c>
    </row>
    <row r="7997">
      <c r="A7997"/>
      <c r="B7997">
        <v>17</v>
      </c>
      <c r="C7997" s="43">
        <f>INDEX(DarlObj,17)</f>
      </c>
      <c r="D7997">
        <v>314</v>
      </c>
      <c r="E7997" s="51">
        <f>IF(INDEX(DarlBelegt,17)=0,0,EOMONTH(INDEX(DarlAuszahlung,17),313)+1)</f>
      </c>
      <c r="F7997" s="43">
        <f>IF($E7997=0,0,YEAR($E7997))</f>
      </c>
      <c r="G7997" s="43">
        <f>IF(INDEX(DarlBindung,17)="",1,IF($E7997&lt;=INDEX(DarlBindung,17),1,0))</f>
      </c>
      <c r="H7997" s="43">
        <f>IF($G7997=1,INDEX(DarlSollzins,17),INDEX(DarlAnschluss,17))</f>
      </c>
      <c r="I7997" s="43">
        <f>IF(INDEX(DarlBelegt,17)=0,0,IF(INDEX(DarlOhneTilgung,17)=1,IF(INDEX(DarlBindung,17)="",1,$G7997),IF($J7997&gt;0.005,1,0)))</f>
      </c>
      <c r="J7997" s="43">
        <f>IF($I7996=0,0,$R7996)</f>
      </c>
      <c r="K7997" s="43">
        <f>IF($I7997=0,0,IF(INDEX(DarlOhneTilgung,17)=1,0,IF(AND(INDEX(DarlTilgStart,17)&gt;0,$E7997=INDEX(DarlTilgStart,17)),$J7997*($H7997+INDEX(DarlTilgung,17))/100/12,IF(AND($G7997=0,$G7996=1),MAX($K7996,$J7997*($H7997+1)/100/12),$K7996))))</f>
      </c>
      <c r="L7997" s="43">
        <f>IF($I7997=0,0,$J7997*$H7997/100/12)</f>
      </c>
      <c r="M7997" s="43">
        <f>IF($I7997=0,0,IF(OR(INDEX(DarlOhneTilgung,17)=1,AND(INDEX(DarlTilgStart,17)&gt;0,$E7997&lt;INDEX(DarlTilgStart,17))),0,MIN(MAX(0,$K7997-$L7997),$J7997)))</f>
      </c>
      <c r="N7997" s="43">
        <f>IF($I7997=0,0,MIN(SUMIFS(SondBetrag,SondDarl,17,SondDatum,"&gt;="&amp;$E7997,SondDatum,"&lt;="&amp;EOMONTH($E7997,0)),$J7997-$M7997))</f>
      </c>
      <c r="O7997" s="43">
        <f>IF($I7997=0,0,INDEX(DarlErsatzRate,17))</f>
      </c>
      <c r="P7997" s="43">
        <f>IF($I7997=0,0,$Q7996*INDEX(DarlErsatzZins,17))</f>
      </c>
      <c r="Q7997" s="43">
        <f>IF($I7997=0,0,$Q7996+$P7997+$O7997)</f>
      </c>
      <c r="R7997" s="43">
        <f>IF($I7997=0,0,$J7997-$M7997-$N7997)</f>
      </c>
    </row>
    <row r="7998">
      <c r="A7998"/>
      <c r="B7998">
        <v>17</v>
      </c>
      <c r="C7998" s="43">
        <f>INDEX(DarlObj,17)</f>
      </c>
      <c r="D7998">
        <v>315</v>
      </c>
      <c r="E7998" s="51">
        <f>IF(INDEX(DarlBelegt,17)=0,0,EOMONTH(INDEX(DarlAuszahlung,17),314)+1)</f>
      </c>
      <c r="F7998" s="43">
        <f>IF($E7998=0,0,YEAR($E7998))</f>
      </c>
      <c r="G7998" s="43">
        <f>IF(INDEX(DarlBindung,17)="",1,IF($E7998&lt;=INDEX(DarlBindung,17),1,0))</f>
      </c>
      <c r="H7998" s="43">
        <f>IF($G7998=1,INDEX(DarlSollzins,17),INDEX(DarlAnschluss,17))</f>
      </c>
      <c r="I7998" s="43">
        <f>IF(INDEX(DarlBelegt,17)=0,0,IF(INDEX(DarlOhneTilgung,17)=1,IF(INDEX(DarlBindung,17)="",1,$G7998),IF($J7998&gt;0.005,1,0)))</f>
      </c>
      <c r="J7998" s="43">
        <f>IF($I7997=0,0,$R7997)</f>
      </c>
      <c r="K7998" s="43">
        <f>IF($I7998=0,0,IF(INDEX(DarlOhneTilgung,17)=1,0,IF(AND(INDEX(DarlTilgStart,17)&gt;0,$E7998=INDEX(DarlTilgStart,17)),$J7998*($H7998+INDEX(DarlTilgung,17))/100/12,IF(AND($G7998=0,$G7997=1),MAX($K7997,$J7998*($H7998+1)/100/12),$K7997))))</f>
      </c>
      <c r="L7998" s="43">
        <f>IF($I7998=0,0,$J7998*$H7998/100/12)</f>
      </c>
      <c r="M7998" s="43">
        <f>IF($I7998=0,0,IF(OR(INDEX(DarlOhneTilgung,17)=1,AND(INDEX(DarlTilgStart,17)&gt;0,$E7998&lt;INDEX(DarlTilgStart,17))),0,MIN(MAX(0,$K7998-$L7998),$J7998)))</f>
      </c>
      <c r="N7998" s="43">
        <f>IF($I7998=0,0,MIN(SUMIFS(SondBetrag,SondDarl,17,SondDatum,"&gt;="&amp;$E7998,SondDatum,"&lt;="&amp;EOMONTH($E7998,0)),$J7998-$M7998))</f>
      </c>
      <c r="O7998" s="43">
        <f>IF($I7998=0,0,INDEX(DarlErsatzRate,17))</f>
      </c>
      <c r="P7998" s="43">
        <f>IF($I7998=0,0,$Q7997*INDEX(DarlErsatzZins,17))</f>
      </c>
      <c r="Q7998" s="43">
        <f>IF($I7998=0,0,$Q7997+$P7998+$O7998)</f>
      </c>
      <c r="R7998" s="43">
        <f>IF($I7998=0,0,$J7998-$M7998-$N7998)</f>
      </c>
    </row>
    <row r="7999">
      <c r="A7999"/>
      <c r="B7999">
        <v>17</v>
      </c>
      <c r="C7999" s="43">
        <f>INDEX(DarlObj,17)</f>
      </c>
      <c r="D7999">
        <v>316</v>
      </c>
      <c r="E7999" s="51">
        <f>IF(INDEX(DarlBelegt,17)=0,0,EOMONTH(INDEX(DarlAuszahlung,17),315)+1)</f>
      </c>
      <c r="F7999" s="43">
        <f>IF($E7999=0,0,YEAR($E7999))</f>
      </c>
      <c r="G7999" s="43">
        <f>IF(INDEX(DarlBindung,17)="",1,IF($E7999&lt;=INDEX(DarlBindung,17),1,0))</f>
      </c>
      <c r="H7999" s="43">
        <f>IF($G7999=1,INDEX(DarlSollzins,17),INDEX(DarlAnschluss,17))</f>
      </c>
      <c r="I7999" s="43">
        <f>IF(INDEX(DarlBelegt,17)=0,0,IF(INDEX(DarlOhneTilgung,17)=1,IF(INDEX(DarlBindung,17)="",1,$G7999),IF($J7999&gt;0.005,1,0)))</f>
      </c>
      <c r="J7999" s="43">
        <f>IF($I7998=0,0,$R7998)</f>
      </c>
      <c r="K7999" s="43">
        <f>IF($I7999=0,0,IF(INDEX(DarlOhneTilgung,17)=1,0,IF(AND(INDEX(DarlTilgStart,17)&gt;0,$E7999=INDEX(DarlTilgStart,17)),$J7999*($H7999+INDEX(DarlTilgung,17))/100/12,IF(AND($G7999=0,$G7998=1),MAX($K7998,$J7999*($H7999+1)/100/12),$K7998))))</f>
      </c>
      <c r="L7999" s="43">
        <f>IF($I7999=0,0,$J7999*$H7999/100/12)</f>
      </c>
      <c r="M7999" s="43">
        <f>IF($I7999=0,0,IF(OR(INDEX(DarlOhneTilgung,17)=1,AND(INDEX(DarlTilgStart,17)&gt;0,$E7999&lt;INDEX(DarlTilgStart,17))),0,MIN(MAX(0,$K7999-$L7999),$J7999)))</f>
      </c>
      <c r="N7999" s="43">
        <f>IF($I7999=0,0,MIN(SUMIFS(SondBetrag,SondDarl,17,SondDatum,"&gt;="&amp;$E7999,SondDatum,"&lt;="&amp;EOMONTH($E7999,0)),$J7999-$M7999))</f>
      </c>
      <c r="O7999" s="43">
        <f>IF($I7999=0,0,INDEX(DarlErsatzRate,17))</f>
      </c>
      <c r="P7999" s="43">
        <f>IF($I7999=0,0,$Q7998*INDEX(DarlErsatzZins,17))</f>
      </c>
      <c r="Q7999" s="43">
        <f>IF($I7999=0,0,$Q7998+$P7999+$O7999)</f>
      </c>
      <c r="R7999" s="43">
        <f>IF($I7999=0,0,$J7999-$M7999-$N7999)</f>
      </c>
    </row>
    <row r="8000">
      <c r="A8000"/>
      <c r="B8000">
        <v>17</v>
      </c>
      <c r="C8000" s="43">
        <f>INDEX(DarlObj,17)</f>
      </c>
      <c r="D8000">
        <v>317</v>
      </c>
      <c r="E8000" s="51">
        <f>IF(INDEX(DarlBelegt,17)=0,0,EOMONTH(INDEX(DarlAuszahlung,17),316)+1)</f>
      </c>
      <c r="F8000" s="43">
        <f>IF($E8000=0,0,YEAR($E8000))</f>
      </c>
      <c r="G8000" s="43">
        <f>IF(INDEX(DarlBindung,17)="",1,IF($E8000&lt;=INDEX(DarlBindung,17),1,0))</f>
      </c>
      <c r="H8000" s="43">
        <f>IF($G8000=1,INDEX(DarlSollzins,17),INDEX(DarlAnschluss,17))</f>
      </c>
      <c r="I8000" s="43">
        <f>IF(INDEX(DarlBelegt,17)=0,0,IF(INDEX(DarlOhneTilgung,17)=1,IF(INDEX(DarlBindung,17)="",1,$G8000),IF($J8000&gt;0.005,1,0)))</f>
      </c>
      <c r="J8000" s="43">
        <f>IF($I7999=0,0,$R7999)</f>
      </c>
      <c r="K8000" s="43">
        <f>IF($I8000=0,0,IF(INDEX(DarlOhneTilgung,17)=1,0,IF(AND(INDEX(DarlTilgStart,17)&gt;0,$E8000=INDEX(DarlTilgStart,17)),$J8000*($H8000+INDEX(DarlTilgung,17))/100/12,IF(AND($G8000=0,$G7999=1),MAX($K7999,$J8000*($H8000+1)/100/12),$K7999))))</f>
      </c>
      <c r="L8000" s="43">
        <f>IF($I8000=0,0,$J8000*$H8000/100/12)</f>
      </c>
      <c r="M8000" s="43">
        <f>IF($I8000=0,0,IF(OR(INDEX(DarlOhneTilgung,17)=1,AND(INDEX(DarlTilgStart,17)&gt;0,$E8000&lt;INDEX(DarlTilgStart,17))),0,MIN(MAX(0,$K8000-$L8000),$J8000)))</f>
      </c>
      <c r="N8000" s="43">
        <f>IF($I8000=0,0,MIN(SUMIFS(SondBetrag,SondDarl,17,SondDatum,"&gt;="&amp;$E8000,SondDatum,"&lt;="&amp;EOMONTH($E8000,0)),$J8000-$M8000))</f>
      </c>
      <c r="O8000" s="43">
        <f>IF($I8000=0,0,INDEX(DarlErsatzRate,17))</f>
      </c>
      <c r="P8000" s="43">
        <f>IF($I8000=0,0,$Q7999*INDEX(DarlErsatzZins,17))</f>
      </c>
      <c r="Q8000" s="43">
        <f>IF($I8000=0,0,$Q7999+$P8000+$O8000)</f>
      </c>
      <c r="R8000" s="43">
        <f>IF($I8000=0,0,$J8000-$M8000-$N8000)</f>
      </c>
    </row>
    <row r="8001">
      <c r="A8001"/>
      <c r="B8001">
        <v>17</v>
      </c>
      <c r="C8001" s="43">
        <f>INDEX(DarlObj,17)</f>
      </c>
      <c r="D8001">
        <v>318</v>
      </c>
      <c r="E8001" s="51">
        <f>IF(INDEX(DarlBelegt,17)=0,0,EOMONTH(INDEX(DarlAuszahlung,17),317)+1)</f>
      </c>
      <c r="F8001" s="43">
        <f>IF($E8001=0,0,YEAR($E8001))</f>
      </c>
      <c r="G8001" s="43">
        <f>IF(INDEX(DarlBindung,17)="",1,IF($E8001&lt;=INDEX(DarlBindung,17),1,0))</f>
      </c>
      <c r="H8001" s="43">
        <f>IF($G8001=1,INDEX(DarlSollzins,17),INDEX(DarlAnschluss,17))</f>
      </c>
      <c r="I8001" s="43">
        <f>IF(INDEX(DarlBelegt,17)=0,0,IF(INDEX(DarlOhneTilgung,17)=1,IF(INDEX(DarlBindung,17)="",1,$G8001),IF($J8001&gt;0.005,1,0)))</f>
      </c>
      <c r="J8001" s="43">
        <f>IF($I8000=0,0,$R8000)</f>
      </c>
      <c r="K8001" s="43">
        <f>IF($I8001=0,0,IF(INDEX(DarlOhneTilgung,17)=1,0,IF(AND(INDEX(DarlTilgStart,17)&gt;0,$E8001=INDEX(DarlTilgStart,17)),$J8001*($H8001+INDEX(DarlTilgung,17))/100/12,IF(AND($G8001=0,$G8000=1),MAX($K8000,$J8001*($H8001+1)/100/12),$K8000))))</f>
      </c>
      <c r="L8001" s="43">
        <f>IF($I8001=0,0,$J8001*$H8001/100/12)</f>
      </c>
      <c r="M8001" s="43">
        <f>IF($I8001=0,0,IF(OR(INDEX(DarlOhneTilgung,17)=1,AND(INDEX(DarlTilgStart,17)&gt;0,$E8001&lt;INDEX(DarlTilgStart,17))),0,MIN(MAX(0,$K8001-$L8001),$J8001)))</f>
      </c>
      <c r="N8001" s="43">
        <f>IF($I8001=0,0,MIN(SUMIFS(SondBetrag,SondDarl,17,SondDatum,"&gt;="&amp;$E8001,SondDatum,"&lt;="&amp;EOMONTH($E8001,0)),$J8001-$M8001))</f>
      </c>
      <c r="O8001" s="43">
        <f>IF($I8001=0,0,INDEX(DarlErsatzRate,17))</f>
      </c>
      <c r="P8001" s="43">
        <f>IF($I8001=0,0,$Q8000*INDEX(DarlErsatzZins,17))</f>
      </c>
      <c r="Q8001" s="43">
        <f>IF($I8001=0,0,$Q8000+$P8001+$O8001)</f>
      </c>
      <c r="R8001" s="43">
        <f>IF($I8001=0,0,$J8001-$M8001-$N8001)</f>
      </c>
    </row>
    <row r="8002">
      <c r="A8002"/>
      <c r="B8002">
        <v>17</v>
      </c>
      <c r="C8002" s="43">
        <f>INDEX(DarlObj,17)</f>
      </c>
      <c r="D8002">
        <v>319</v>
      </c>
      <c r="E8002" s="51">
        <f>IF(INDEX(DarlBelegt,17)=0,0,EOMONTH(INDEX(DarlAuszahlung,17),318)+1)</f>
      </c>
      <c r="F8002" s="43">
        <f>IF($E8002=0,0,YEAR($E8002))</f>
      </c>
      <c r="G8002" s="43">
        <f>IF(INDEX(DarlBindung,17)="",1,IF($E8002&lt;=INDEX(DarlBindung,17),1,0))</f>
      </c>
      <c r="H8002" s="43">
        <f>IF($G8002=1,INDEX(DarlSollzins,17),INDEX(DarlAnschluss,17))</f>
      </c>
      <c r="I8002" s="43">
        <f>IF(INDEX(DarlBelegt,17)=0,0,IF(INDEX(DarlOhneTilgung,17)=1,IF(INDEX(DarlBindung,17)="",1,$G8002),IF($J8002&gt;0.005,1,0)))</f>
      </c>
      <c r="J8002" s="43">
        <f>IF($I8001=0,0,$R8001)</f>
      </c>
      <c r="K8002" s="43">
        <f>IF($I8002=0,0,IF(INDEX(DarlOhneTilgung,17)=1,0,IF(AND(INDEX(DarlTilgStart,17)&gt;0,$E8002=INDEX(DarlTilgStart,17)),$J8002*($H8002+INDEX(DarlTilgung,17))/100/12,IF(AND($G8002=0,$G8001=1),MAX($K8001,$J8002*($H8002+1)/100/12),$K8001))))</f>
      </c>
      <c r="L8002" s="43">
        <f>IF($I8002=0,0,$J8002*$H8002/100/12)</f>
      </c>
      <c r="M8002" s="43">
        <f>IF($I8002=0,0,IF(OR(INDEX(DarlOhneTilgung,17)=1,AND(INDEX(DarlTilgStart,17)&gt;0,$E8002&lt;INDEX(DarlTilgStart,17))),0,MIN(MAX(0,$K8002-$L8002),$J8002)))</f>
      </c>
      <c r="N8002" s="43">
        <f>IF($I8002=0,0,MIN(SUMIFS(SondBetrag,SondDarl,17,SondDatum,"&gt;="&amp;$E8002,SondDatum,"&lt;="&amp;EOMONTH($E8002,0)),$J8002-$M8002))</f>
      </c>
      <c r="O8002" s="43">
        <f>IF($I8002=0,0,INDEX(DarlErsatzRate,17))</f>
      </c>
      <c r="P8002" s="43">
        <f>IF($I8002=0,0,$Q8001*INDEX(DarlErsatzZins,17))</f>
      </c>
      <c r="Q8002" s="43">
        <f>IF($I8002=0,0,$Q8001+$P8002+$O8002)</f>
      </c>
      <c r="R8002" s="43">
        <f>IF($I8002=0,0,$J8002-$M8002-$N8002)</f>
      </c>
    </row>
    <row r="8003">
      <c r="A8003"/>
      <c r="B8003">
        <v>17</v>
      </c>
      <c r="C8003" s="43">
        <f>INDEX(DarlObj,17)</f>
      </c>
      <c r="D8003">
        <v>320</v>
      </c>
      <c r="E8003" s="51">
        <f>IF(INDEX(DarlBelegt,17)=0,0,EOMONTH(INDEX(DarlAuszahlung,17),319)+1)</f>
      </c>
      <c r="F8003" s="43">
        <f>IF($E8003=0,0,YEAR($E8003))</f>
      </c>
      <c r="G8003" s="43">
        <f>IF(INDEX(DarlBindung,17)="",1,IF($E8003&lt;=INDEX(DarlBindung,17),1,0))</f>
      </c>
      <c r="H8003" s="43">
        <f>IF($G8003=1,INDEX(DarlSollzins,17),INDEX(DarlAnschluss,17))</f>
      </c>
      <c r="I8003" s="43">
        <f>IF(INDEX(DarlBelegt,17)=0,0,IF(INDEX(DarlOhneTilgung,17)=1,IF(INDEX(DarlBindung,17)="",1,$G8003),IF($J8003&gt;0.005,1,0)))</f>
      </c>
      <c r="J8003" s="43">
        <f>IF($I8002=0,0,$R8002)</f>
      </c>
      <c r="K8003" s="43">
        <f>IF($I8003=0,0,IF(INDEX(DarlOhneTilgung,17)=1,0,IF(AND(INDEX(DarlTilgStart,17)&gt;0,$E8003=INDEX(DarlTilgStart,17)),$J8003*($H8003+INDEX(DarlTilgung,17))/100/12,IF(AND($G8003=0,$G8002=1),MAX($K8002,$J8003*($H8003+1)/100/12),$K8002))))</f>
      </c>
      <c r="L8003" s="43">
        <f>IF($I8003=0,0,$J8003*$H8003/100/12)</f>
      </c>
      <c r="M8003" s="43">
        <f>IF($I8003=0,0,IF(OR(INDEX(DarlOhneTilgung,17)=1,AND(INDEX(DarlTilgStart,17)&gt;0,$E8003&lt;INDEX(DarlTilgStart,17))),0,MIN(MAX(0,$K8003-$L8003),$J8003)))</f>
      </c>
      <c r="N8003" s="43">
        <f>IF($I8003=0,0,MIN(SUMIFS(SondBetrag,SondDarl,17,SondDatum,"&gt;="&amp;$E8003,SondDatum,"&lt;="&amp;EOMONTH($E8003,0)),$J8003-$M8003))</f>
      </c>
      <c r="O8003" s="43">
        <f>IF($I8003=0,0,INDEX(DarlErsatzRate,17))</f>
      </c>
      <c r="P8003" s="43">
        <f>IF($I8003=0,0,$Q8002*INDEX(DarlErsatzZins,17))</f>
      </c>
      <c r="Q8003" s="43">
        <f>IF($I8003=0,0,$Q8002+$P8003+$O8003)</f>
      </c>
      <c r="R8003" s="43">
        <f>IF($I8003=0,0,$J8003-$M8003-$N8003)</f>
      </c>
    </row>
    <row r="8004">
      <c r="A8004"/>
      <c r="B8004">
        <v>17</v>
      </c>
      <c r="C8004" s="43">
        <f>INDEX(DarlObj,17)</f>
      </c>
      <c r="D8004">
        <v>321</v>
      </c>
      <c r="E8004" s="51">
        <f>IF(INDEX(DarlBelegt,17)=0,0,EOMONTH(INDEX(DarlAuszahlung,17),320)+1)</f>
      </c>
      <c r="F8004" s="43">
        <f>IF($E8004=0,0,YEAR($E8004))</f>
      </c>
      <c r="G8004" s="43">
        <f>IF(INDEX(DarlBindung,17)="",1,IF($E8004&lt;=INDEX(DarlBindung,17),1,0))</f>
      </c>
      <c r="H8004" s="43">
        <f>IF($G8004=1,INDEX(DarlSollzins,17),INDEX(DarlAnschluss,17))</f>
      </c>
      <c r="I8004" s="43">
        <f>IF(INDEX(DarlBelegt,17)=0,0,IF(INDEX(DarlOhneTilgung,17)=1,IF(INDEX(DarlBindung,17)="",1,$G8004),IF($J8004&gt;0.005,1,0)))</f>
      </c>
      <c r="J8004" s="43">
        <f>IF($I8003=0,0,$R8003)</f>
      </c>
      <c r="K8004" s="43">
        <f>IF($I8004=0,0,IF(INDEX(DarlOhneTilgung,17)=1,0,IF(AND(INDEX(DarlTilgStart,17)&gt;0,$E8004=INDEX(DarlTilgStart,17)),$J8004*($H8004+INDEX(DarlTilgung,17))/100/12,IF(AND($G8004=0,$G8003=1),MAX($K8003,$J8004*($H8004+1)/100/12),$K8003))))</f>
      </c>
      <c r="L8004" s="43">
        <f>IF($I8004=0,0,$J8004*$H8004/100/12)</f>
      </c>
      <c r="M8004" s="43">
        <f>IF($I8004=0,0,IF(OR(INDEX(DarlOhneTilgung,17)=1,AND(INDEX(DarlTilgStart,17)&gt;0,$E8004&lt;INDEX(DarlTilgStart,17))),0,MIN(MAX(0,$K8004-$L8004),$J8004)))</f>
      </c>
      <c r="N8004" s="43">
        <f>IF($I8004=0,0,MIN(SUMIFS(SondBetrag,SondDarl,17,SondDatum,"&gt;="&amp;$E8004,SondDatum,"&lt;="&amp;EOMONTH($E8004,0)),$J8004-$M8004))</f>
      </c>
      <c r="O8004" s="43">
        <f>IF($I8004=0,0,INDEX(DarlErsatzRate,17))</f>
      </c>
      <c r="P8004" s="43">
        <f>IF($I8004=0,0,$Q8003*INDEX(DarlErsatzZins,17))</f>
      </c>
      <c r="Q8004" s="43">
        <f>IF($I8004=0,0,$Q8003+$P8004+$O8004)</f>
      </c>
      <c r="R8004" s="43">
        <f>IF($I8004=0,0,$J8004-$M8004-$N8004)</f>
      </c>
    </row>
    <row r="8005">
      <c r="A8005"/>
      <c r="B8005">
        <v>17</v>
      </c>
      <c r="C8005" s="43">
        <f>INDEX(DarlObj,17)</f>
      </c>
      <c r="D8005">
        <v>322</v>
      </c>
      <c r="E8005" s="51">
        <f>IF(INDEX(DarlBelegt,17)=0,0,EOMONTH(INDEX(DarlAuszahlung,17),321)+1)</f>
      </c>
      <c r="F8005" s="43">
        <f>IF($E8005=0,0,YEAR($E8005))</f>
      </c>
      <c r="G8005" s="43">
        <f>IF(INDEX(DarlBindung,17)="",1,IF($E8005&lt;=INDEX(DarlBindung,17),1,0))</f>
      </c>
      <c r="H8005" s="43">
        <f>IF($G8005=1,INDEX(DarlSollzins,17),INDEX(DarlAnschluss,17))</f>
      </c>
      <c r="I8005" s="43">
        <f>IF(INDEX(DarlBelegt,17)=0,0,IF(INDEX(DarlOhneTilgung,17)=1,IF(INDEX(DarlBindung,17)="",1,$G8005),IF($J8005&gt;0.005,1,0)))</f>
      </c>
      <c r="J8005" s="43">
        <f>IF($I8004=0,0,$R8004)</f>
      </c>
      <c r="K8005" s="43">
        <f>IF($I8005=0,0,IF(INDEX(DarlOhneTilgung,17)=1,0,IF(AND(INDEX(DarlTilgStart,17)&gt;0,$E8005=INDEX(DarlTilgStart,17)),$J8005*($H8005+INDEX(DarlTilgung,17))/100/12,IF(AND($G8005=0,$G8004=1),MAX($K8004,$J8005*($H8005+1)/100/12),$K8004))))</f>
      </c>
      <c r="L8005" s="43">
        <f>IF($I8005=0,0,$J8005*$H8005/100/12)</f>
      </c>
      <c r="M8005" s="43">
        <f>IF($I8005=0,0,IF(OR(INDEX(DarlOhneTilgung,17)=1,AND(INDEX(DarlTilgStart,17)&gt;0,$E8005&lt;INDEX(DarlTilgStart,17))),0,MIN(MAX(0,$K8005-$L8005),$J8005)))</f>
      </c>
      <c r="N8005" s="43">
        <f>IF($I8005=0,0,MIN(SUMIFS(SondBetrag,SondDarl,17,SondDatum,"&gt;="&amp;$E8005,SondDatum,"&lt;="&amp;EOMONTH($E8005,0)),$J8005-$M8005))</f>
      </c>
      <c r="O8005" s="43">
        <f>IF($I8005=0,0,INDEX(DarlErsatzRate,17))</f>
      </c>
      <c r="P8005" s="43">
        <f>IF($I8005=0,0,$Q8004*INDEX(DarlErsatzZins,17))</f>
      </c>
      <c r="Q8005" s="43">
        <f>IF($I8005=0,0,$Q8004+$P8005+$O8005)</f>
      </c>
      <c r="R8005" s="43">
        <f>IF($I8005=0,0,$J8005-$M8005-$N8005)</f>
      </c>
    </row>
    <row r="8006">
      <c r="A8006"/>
      <c r="B8006">
        <v>17</v>
      </c>
      <c r="C8006" s="43">
        <f>INDEX(DarlObj,17)</f>
      </c>
      <c r="D8006">
        <v>323</v>
      </c>
      <c r="E8006" s="51">
        <f>IF(INDEX(DarlBelegt,17)=0,0,EOMONTH(INDEX(DarlAuszahlung,17),322)+1)</f>
      </c>
      <c r="F8006" s="43">
        <f>IF($E8006=0,0,YEAR($E8006))</f>
      </c>
      <c r="G8006" s="43">
        <f>IF(INDEX(DarlBindung,17)="",1,IF($E8006&lt;=INDEX(DarlBindung,17),1,0))</f>
      </c>
      <c r="H8006" s="43">
        <f>IF($G8006=1,INDEX(DarlSollzins,17),INDEX(DarlAnschluss,17))</f>
      </c>
      <c r="I8006" s="43">
        <f>IF(INDEX(DarlBelegt,17)=0,0,IF(INDEX(DarlOhneTilgung,17)=1,IF(INDEX(DarlBindung,17)="",1,$G8006),IF($J8006&gt;0.005,1,0)))</f>
      </c>
      <c r="J8006" s="43">
        <f>IF($I8005=0,0,$R8005)</f>
      </c>
      <c r="K8006" s="43">
        <f>IF($I8006=0,0,IF(INDEX(DarlOhneTilgung,17)=1,0,IF(AND(INDEX(DarlTilgStart,17)&gt;0,$E8006=INDEX(DarlTilgStart,17)),$J8006*($H8006+INDEX(DarlTilgung,17))/100/12,IF(AND($G8006=0,$G8005=1),MAX($K8005,$J8006*($H8006+1)/100/12),$K8005))))</f>
      </c>
      <c r="L8006" s="43">
        <f>IF($I8006=0,0,$J8006*$H8006/100/12)</f>
      </c>
      <c r="M8006" s="43">
        <f>IF($I8006=0,0,IF(OR(INDEX(DarlOhneTilgung,17)=1,AND(INDEX(DarlTilgStart,17)&gt;0,$E8006&lt;INDEX(DarlTilgStart,17))),0,MIN(MAX(0,$K8006-$L8006),$J8006)))</f>
      </c>
      <c r="N8006" s="43">
        <f>IF($I8006=0,0,MIN(SUMIFS(SondBetrag,SondDarl,17,SondDatum,"&gt;="&amp;$E8006,SondDatum,"&lt;="&amp;EOMONTH($E8006,0)),$J8006-$M8006))</f>
      </c>
      <c r="O8006" s="43">
        <f>IF($I8006=0,0,INDEX(DarlErsatzRate,17))</f>
      </c>
      <c r="P8006" s="43">
        <f>IF($I8006=0,0,$Q8005*INDEX(DarlErsatzZins,17))</f>
      </c>
      <c r="Q8006" s="43">
        <f>IF($I8006=0,0,$Q8005+$P8006+$O8006)</f>
      </c>
      <c r="R8006" s="43">
        <f>IF($I8006=0,0,$J8006-$M8006-$N8006)</f>
      </c>
    </row>
    <row r="8007">
      <c r="A8007"/>
      <c r="B8007">
        <v>17</v>
      </c>
      <c r="C8007" s="43">
        <f>INDEX(DarlObj,17)</f>
      </c>
      <c r="D8007">
        <v>324</v>
      </c>
      <c r="E8007" s="51">
        <f>IF(INDEX(DarlBelegt,17)=0,0,EOMONTH(INDEX(DarlAuszahlung,17),323)+1)</f>
      </c>
      <c r="F8007" s="43">
        <f>IF($E8007=0,0,YEAR($E8007))</f>
      </c>
      <c r="G8007" s="43">
        <f>IF(INDEX(DarlBindung,17)="",1,IF($E8007&lt;=INDEX(DarlBindung,17),1,0))</f>
      </c>
      <c r="H8007" s="43">
        <f>IF($G8007=1,INDEX(DarlSollzins,17),INDEX(DarlAnschluss,17))</f>
      </c>
      <c r="I8007" s="43">
        <f>IF(INDEX(DarlBelegt,17)=0,0,IF(INDEX(DarlOhneTilgung,17)=1,IF(INDEX(DarlBindung,17)="",1,$G8007),IF($J8007&gt;0.005,1,0)))</f>
      </c>
      <c r="J8007" s="43">
        <f>IF($I8006=0,0,$R8006)</f>
      </c>
      <c r="K8007" s="43">
        <f>IF($I8007=0,0,IF(INDEX(DarlOhneTilgung,17)=1,0,IF(AND(INDEX(DarlTilgStart,17)&gt;0,$E8007=INDEX(DarlTilgStart,17)),$J8007*($H8007+INDEX(DarlTilgung,17))/100/12,IF(AND($G8007=0,$G8006=1),MAX($K8006,$J8007*($H8007+1)/100/12),$K8006))))</f>
      </c>
      <c r="L8007" s="43">
        <f>IF($I8007=0,0,$J8007*$H8007/100/12)</f>
      </c>
      <c r="M8007" s="43">
        <f>IF($I8007=0,0,IF(OR(INDEX(DarlOhneTilgung,17)=1,AND(INDEX(DarlTilgStart,17)&gt;0,$E8007&lt;INDEX(DarlTilgStart,17))),0,MIN(MAX(0,$K8007-$L8007),$J8007)))</f>
      </c>
      <c r="N8007" s="43">
        <f>IF($I8007=0,0,MIN(SUMIFS(SondBetrag,SondDarl,17,SondDatum,"&gt;="&amp;$E8007,SondDatum,"&lt;="&amp;EOMONTH($E8007,0)),$J8007-$M8007))</f>
      </c>
      <c r="O8007" s="43">
        <f>IF($I8007=0,0,INDEX(DarlErsatzRate,17))</f>
      </c>
      <c r="P8007" s="43">
        <f>IF($I8007=0,0,$Q8006*INDEX(DarlErsatzZins,17))</f>
      </c>
      <c r="Q8007" s="43">
        <f>IF($I8007=0,0,$Q8006+$P8007+$O8007)</f>
      </c>
      <c r="R8007" s="43">
        <f>IF($I8007=0,0,$J8007-$M8007-$N8007)</f>
      </c>
    </row>
    <row r="8008">
      <c r="A8008"/>
      <c r="B8008">
        <v>17</v>
      </c>
      <c r="C8008" s="43">
        <f>INDEX(DarlObj,17)</f>
      </c>
      <c r="D8008">
        <v>325</v>
      </c>
      <c r="E8008" s="51">
        <f>IF(INDEX(DarlBelegt,17)=0,0,EOMONTH(INDEX(DarlAuszahlung,17),324)+1)</f>
      </c>
      <c r="F8008" s="43">
        <f>IF($E8008=0,0,YEAR($E8008))</f>
      </c>
      <c r="G8008" s="43">
        <f>IF(INDEX(DarlBindung,17)="",1,IF($E8008&lt;=INDEX(DarlBindung,17),1,0))</f>
      </c>
      <c r="H8008" s="43">
        <f>IF($G8008=1,INDEX(DarlSollzins,17),INDEX(DarlAnschluss,17))</f>
      </c>
      <c r="I8008" s="43">
        <f>IF(INDEX(DarlBelegt,17)=0,0,IF(INDEX(DarlOhneTilgung,17)=1,IF(INDEX(DarlBindung,17)="",1,$G8008),IF($J8008&gt;0.005,1,0)))</f>
      </c>
      <c r="J8008" s="43">
        <f>IF($I8007=0,0,$R8007)</f>
      </c>
      <c r="K8008" s="43">
        <f>IF($I8008=0,0,IF(INDEX(DarlOhneTilgung,17)=1,0,IF(AND(INDEX(DarlTilgStart,17)&gt;0,$E8008=INDEX(DarlTilgStart,17)),$J8008*($H8008+INDEX(DarlTilgung,17))/100/12,IF(AND($G8008=0,$G8007=1),MAX($K8007,$J8008*($H8008+1)/100/12),$K8007))))</f>
      </c>
      <c r="L8008" s="43">
        <f>IF($I8008=0,0,$J8008*$H8008/100/12)</f>
      </c>
      <c r="M8008" s="43">
        <f>IF($I8008=0,0,IF(OR(INDEX(DarlOhneTilgung,17)=1,AND(INDEX(DarlTilgStart,17)&gt;0,$E8008&lt;INDEX(DarlTilgStart,17))),0,MIN(MAX(0,$K8008-$L8008),$J8008)))</f>
      </c>
      <c r="N8008" s="43">
        <f>IF($I8008=0,0,MIN(SUMIFS(SondBetrag,SondDarl,17,SondDatum,"&gt;="&amp;$E8008,SondDatum,"&lt;="&amp;EOMONTH($E8008,0)),$J8008-$M8008))</f>
      </c>
      <c r="O8008" s="43">
        <f>IF($I8008=0,0,INDEX(DarlErsatzRate,17))</f>
      </c>
      <c r="P8008" s="43">
        <f>IF($I8008=0,0,$Q8007*INDEX(DarlErsatzZins,17))</f>
      </c>
      <c r="Q8008" s="43">
        <f>IF($I8008=0,0,$Q8007+$P8008+$O8008)</f>
      </c>
      <c r="R8008" s="43">
        <f>IF($I8008=0,0,$J8008-$M8008-$N8008)</f>
      </c>
    </row>
    <row r="8009">
      <c r="A8009"/>
      <c r="B8009">
        <v>17</v>
      </c>
      <c r="C8009" s="43">
        <f>INDEX(DarlObj,17)</f>
      </c>
      <c r="D8009">
        <v>326</v>
      </c>
      <c r="E8009" s="51">
        <f>IF(INDEX(DarlBelegt,17)=0,0,EOMONTH(INDEX(DarlAuszahlung,17),325)+1)</f>
      </c>
      <c r="F8009" s="43">
        <f>IF($E8009=0,0,YEAR($E8009))</f>
      </c>
      <c r="G8009" s="43">
        <f>IF(INDEX(DarlBindung,17)="",1,IF($E8009&lt;=INDEX(DarlBindung,17),1,0))</f>
      </c>
      <c r="H8009" s="43">
        <f>IF($G8009=1,INDEX(DarlSollzins,17),INDEX(DarlAnschluss,17))</f>
      </c>
      <c r="I8009" s="43">
        <f>IF(INDEX(DarlBelegt,17)=0,0,IF(INDEX(DarlOhneTilgung,17)=1,IF(INDEX(DarlBindung,17)="",1,$G8009),IF($J8009&gt;0.005,1,0)))</f>
      </c>
      <c r="J8009" s="43">
        <f>IF($I8008=0,0,$R8008)</f>
      </c>
      <c r="K8009" s="43">
        <f>IF($I8009=0,0,IF(INDEX(DarlOhneTilgung,17)=1,0,IF(AND(INDEX(DarlTilgStart,17)&gt;0,$E8009=INDEX(DarlTilgStart,17)),$J8009*($H8009+INDEX(DarlTilgung,17))/100/12,IF(AND($G8009=0,$G8008=1),MAX($K8008,$J8009*($H8009+1)/100/12),$K8008))))</f>
      </c>
      <c r="L8009" s="43">
        <f>IF($I8009=0,0,$J8009*$H8009/100/12)</f>
      </c>
      <c r="M8009" s="43">
        <f>IF($I8009=0,0,IF(OR(INDEX(DarlOhneTilgung,17)=1,AND(INDEX(DarlTilgStart,17)&gt;0,$E8009&lt;INDEX(DarlTilgStart,17))),0,MIN(MAX(0,$K8009-$L8009),$J8009)))</f>
      </c>
      <c r="N8009" s="43">
        <f>IF($I8009=0,0,MIN(SUMIFS(SondBetrag,SondDarl,17,SondDatum,"&gt;="&amp;$E8009,SondDatum,"&lt;="&amp;EOMONTH($E8009,0)),$J8009-$M8009))</f>
      </c>
      <c r="O8009" s="43">
        <f>IF($I8009=0,0,INDEX(DarlErsatzRate,17))</f>
      </c>
      <c r="P8009" s="43">
        <f>IF($I8009=0,0,$Q8008*INDEX(DarlErsatzZins,17))</f>
      </c>
      <c r="Q8009" s="43">
        <f>IF($I8009=0,0,$Q8008+$P8009+$O8009)</f>
      </c>
      <c r="R8009" s="43">
        <f>IF($I8009=0,0,$J8009-$M8009-$N8009)</f>
      </c>
    </row>
    <row r="8010">
      <c r="A8010"/>
      <c r="B8010">
        <v>17</v>
      </c>
      <c r="C8010" s="43">
        <f>INDEX(DarlObj,17)</f>
      </c>
      <c r="D8010">
        <v>327</v>
      </c>
      <c r="E8010" s="51">
        <f>IF(INDEX(DarlBelegt,17)=0,0,EOMONTH(INDEX(DarlAuszahlung,17),326)+1)</f>
      </c>
      <c r="F8010" s="43">
        <f>IF($E8010=0,0,YEAR($E8010))</f>
      </c>
      <c r="G8010" s="43">
        <f>IF(INDEX(DarlBindung,17)="",1,IF($E8010&lt;=INDEX(DarlBindung,17),1,0))</f>
      </c>
      <c r="H8010" s="43">
        <f>IF($G8010=1,INDEX(DarlSollzins,17),INDEX(DarlAnschluss,17))</f>
      </c>
      <c r="I8010" s="43">
        <f>IF(INDEX(DarlBelegt,17)=0,0,IF(INDEX(DarlOhneTilgung,17)=1,IF(INDEX(DarlBindung,17)="",1,$G8010),IF($J8010&gt;0.005,1,0)))</f>
      </c>
      <c r="J8010" s="43">
        <f>IF($I8009=0,0,$R8009)</f>
      </c>
      <c r="K8010" s="43">
        <f>IF($I8010=0,0,IF(INDEX(DarlOhneTilgung,17)=1,0,IF(AND(INDEX(DarlTilgStart,17)&gt;0,$E8010=INDEX(DarlTilgStart,17)),$J8010*($H8010+INDEX(DarlTilgung,17))/100/12,IF(AND($G8010=0,$G8009=1),MAX($K8009,$J8010*($H8010+1)/100/12),$K8009))))</f>
      </c>
      <c r="L8010" s="43">
        <f>IF($I8010=0,0,$J8010*$H8010/100/12)</f>
      </c>
      <c r="M8010" s="43">
        <f>IF($I8010=0,0,IF(OR(INDEX(DarlOhneTilgung,17)=1,AND(INDEX(DarlTilgStart,17)&gt;0,$E8010&lt;INDEX(DarlTilgStart,17))),0,MIN(MAX(0,$K8010-$L8010),$J8010)))</f>
      </c>
      <c r="N8010" s="43">
        <f>IF($I8010=0,0,MIN(SUMIFS(SondBetrag,SondDarl,17,SondDatum,"&gt;="&amp;$E8010,SondDatum,"&lt;="&amp;EOMONTH($E8010,0)),$J8010-$M8010))</f>
      </c>
      <c r="O8010" s="43">
        <f>IF($I8010=0,0,INDEX(DarlErsatzRate,17))</f>
      </c>
      <c r="P8010" s="43">
        <f>IF($I8010=0,0,$Q8009*INDEX(DarlErsatzZins,17))</f>
      </c>
      <c r="Q8010" s="43">
        <f>IF($I8010=0,0,$Q8009+$P8010+$O8010)</f>
      </c>
      <c r="R8010" s="43">
        <f>IF($I8010=0,0,$J8010-$M8010-$N8010)</f>
      </c>
    </row>
    <row r="8011">
      <c r="A8011"/>
      <c r="B8011">
        <v>17</v>
      </c>
      <c r="C8011" s="43">
        <f>INDEX(DarlObj,17)</f>
      </c>
      <c r="D8011">
        <v>328</v>
      </c>
      <c r="E8011" s="51">
        <f>IF(INDEX(DarlBelegt,17)=0,0,EOMONTH(INDEX(DarlAuszahlung,17),327)+1)</f>
      </c>
      <c r="F8011" s="43">
        <f>IF($E8011=0,0,YEAR($E8011))</f>
      </c>
      <c r="G8011" s="43">
        <f>IF(INDEX(DarlBindung,17)="",1,IF($E8011&lt;=INDEX(DarlBindung,17),1,0))</f>
      </c>
      <c r="H8011" s="43">
        <f>IF($G8011=1,INDEX(DarlSollzins,17),INDEX(DarlAnschluss,17))</f>
      </c>
      <c r="I8011" s="43">
        <f>IF(INDEX(DarlBelegt,17)=0,0,IF(INDEX(DarlOhneTilgung,17)=1,IF(INDEX(DarlBindung,17)="",1,$G8011),IF($J8011&gt;0.005,1,0)))</f>
      </c>
      <c r="J8011" s="43">
        <f>IF($I8010=0,0,$R8010)</f>
      </c>
      <c r="K8011" s="43">
        <f>IF($I8011=0,0,IF(INDEX(DarlOhneTilgung,17)=1,0,IF(AND(INDEX(DarlTilgStart,17)&gt;0,$E8011=INDEX(DarlTilgStart,17)),$J8011*($H8011+INDEX(DarlTilgung,17))/100/12,IF(AND($G8011=0,$G8010=1),MAX($K8010,$J8011*($H8011+1)/100/12),$K8010))))</f>
      </c>
      <c r="L8011" s="43">
        <f>IF($I8011=0,0,$J8011*$H8011/100/12)</f>
      </c>
      <c r="M8011" s="43">
        <f>IF($I8011=0,0,IF(OR(INDEX(DarlOhneTilgung,17)=1,AND(INDEX(DarlTilgStart,17)&gt;0,$E8011&lt;INDEX(DarlTilgStart,17))),0,MIN(MAX(0,$K8011-$L8011),$J8011)))</f>
      </c>
      <c r="N8011" s="43">
        <f>IF($I8011=0,0,MIN(SUMIFS(SondBetrag,SondDarl,17,SondDatum,"&gt;="&amp;$E8011,SondDatum,"&lt;="&amp;EOMONTH($E8011,0)),$J8011-$M8011))</f>
      </c>
      <c r="O8011" s="43">
        <f>IF($I8011=0,0,INDEX(DarlErsatzRate,17))</f>
      </c>
      <c r="P8011" s="43">
        <f>IF($I8011=0,0,$Q8010*INDEX(DarlErsatzZins,17))</f>
      </c>
      <c r="Q8011" s="43">
        <f>IF($I8011=0,0,$Q8010+$P8011+$O8011)</f>
      </c>
      <c r="R8011" s="43">
        <f>IF($I8011=0,0,$J8011-$M8011-$N8011)</f>
      </c>
    </row>
    <row r="8012">
      <c r="A8012"/>
      <c r="B8012">
        <v>17</v>
      </c>
      <c r="C8012" s="43">
        <f>INDEX(DarlObj,17)</f>
      </c>
      <c r="D8012">
        <v>329</v>
      </c>
      <c r="E8012" s="51">
        <f>IF(INDEX(DarlBelegt,17)=0,0,EOMONTH(INDEX(DarlAuszahlung,17),328)+1)</f>
      </c>
      <c r="F8012" s="43">
        <f>IF($E8012=0,0,YEAR($E8012))</f>
      </c>
      <c r="G8012" s="43">
        <f>IF(INDEX(DarlBindung,17)="",1,IF($E8012&lt;=INDEX(DarlBindung,17),1,0))</f>
      </c>
      <c r="H8012" s="43">
        <f>IF($G8012=1,INDEX(DarlSollzins,17),INDEX(DarlAnschluss,17))</f>
      </c>
      <c r="I8012" s="43">
        <f>IF(INDEX(DarlBelegt,17)=0,0,IF(INDEX(DarlOhneTilgung,17)=1,IF(INDEX(DarlBindung,17)="",1,$G8012),IF($J8012&gt;0.005,1,0)))</f>
      </c>
      <c r="J8012" s="43">
        <f>IF($I8011=0,0,$R8011)</f>
      </c>
      <c r="K8012" s="43">
        <f>IF($I8012=0,0,IF(INDEX(DarlOhneTilgung,17)=1,0,IF(AND(INDEX(DarlTilgStart,17)&gt;0,$E8012=INDEX(DarlTilgStart,17)),$J8012*($H8012+INDEX(DarlTilgung,17))/100/12,IF(AND($G8012=0,$G8011=1),MAX($K8011,$J8012*($H8012+1)/100/12),$K8011))))</f>
      </c>
      <c r="L8012" s="43">
        <f>IF($I8012=0,0,$J8012*$H8012/100/12)</f>
      </c>
      <c r="M8012" s="43">
        <f>IF($I8012=0,0,IF(OR(INDEX(DarlOhneTilgung,17)=1,AND(INDEX(DarlTilgStart,17)&gt;0,$E8012&lt;INDEX(DarlTilgStart,17))),0,MIN(MAX(0,$K8012-$L8012),$J8012)))</f>
      </c>
      <c r="N8012" s="43">
        <f>IF($I8012=0,0,MIN(SUMIFS(SondBetrag,SondDarl,17,SondDatum,"&gt;="&amp;$E8012,SondDatum,"&lt;="&amp;EOMONTH($E8012,0)),$J8012-$M8012))</f>
      </c>
      <c r="O8012" s="43">
        <f>IF($I8012=0,0,INDEX(DarlErsatzRate,17))</f>
      </c>
      <c r="P8012" s="43">
        <f>IF($I8012=0,0,$Q8011*INDEX(DarlErsatzZins,17))</f>
      </c>
      <c r="Q8012" s="43">
        <f>IF($I8012=0,0,$Q8011+$P8012+$O8012)</f>
      </c>
      <c r="R8012" s="43">
        <f>IF($I8012=0,0,$J8012-$M8012-$N8012)</f>
      </c>
    </row>
    <row r="8013">
      <c r="A8013"/>
      <c r="B8013">
        <v>17</v>
      </c>
      <c r="C8013" s="43">
        <f>INDEX(DarlObj,17)</f>
      </c>
      <c r="D8013">
        <v>330</v>
      </c>
      <c r="E8013" s="51">
        <f>IF(INDEX(DarlBelegt,17)=0,0,EOMONTH(INDEX(DarlAuszahlung,17),329)+1)</f>
      </c>
      <c r="F8013" s="43">
        <f>IF($E8013=0,0,YEAR($E8013))</f>
      </c>
      <c r="G8013" s="43">
        <f>IF(INDEX(DarlBindung,17)="",1,IF($E8013&lt;=INDEX(DarlBindung,17),1,0))</f>
      </c>
      <c r="H8013" s="43">
        <f>IF($G8013=1,INDEX(DarlSollzins,17),INDEX(DarlAnschluss,17))</f>
      </c>
      <c r="I8013" s="43">
        <f>IF(INDEX(DarlBelegt,17)=0,0,IF(INDEX(DarlOhneTilgung,17)=1,IF(INDEX(DarlBindung,17)="",1,$G8013),IF($J8013&gt;0.005,1,0)))</f>
      </c>
      <c r="J8013" s="43">
        <f>IF($I8012=0,0,$R8012)</f>
      </c>
      <c r="K8013" s="43">
        <f>IF($I8013=0,0,IF(INDEX(DarlOhneTilgung,17)=1,0,IF(AND(INDEX(DarlTilgStart,17)&gt;0,$E8013=INDEX(DarlTilgStart,17)),$J8013*($H8013+INDEX(DarlTilgung,17))/100/12,IF(AND($G8013=0,$G8012=1),MAX($K8012,$J8013*($H8013+1)/100/12),$K8012))))</f>
      </c>
      <c r="L8013" s="43">
        <f>IF($I8013=0,0,$J8013*$H8013/100/12)</f>
      </c>
      <c r="M8013" s="43">
        <f>IF($I8013=0,0,IF(OR(INDEX(DarlOhneTilgung,17)=1,AND(INDEX(DarlTilgStart,17)&gt;0,$E8013&lt;INDEX(DarlTilgStart,17))),0,MIN(MAX(0,$K8013-$L8013),$J8013)))</f>
      </c>
      <c r="N8013" s="43">
        <f>IF($I8013=0,0,MIN(SUMIFS(SondBetrag,SondDarl,17,SondDatum,"&gt;="&amp;$E8013,SondDatum,"&lt;="&amp;EOMONTH($E8013,0)),$J8013-$M8013))</f>
      </c>
      <c r="O8013" s="43">
        <f>IF($I8013=0,0,INDEX(DarlErsatzRate,17))</f>
      </c>
      <c r="P8013" s="43">
        <f>IF($I8013=0,0,$Q8012*INDEX(DarlErsatzZins,17))</f>
      </c>
      <c r="Q8013" s="43">
        <f>IF($I8013=0,0,$Q8012+$P8013+$O8013)</f>
      </c>
      <c r="R8013" s="43">
        <f>IF($I8013=0,0,$J8013-$M8013-$N8013)</f>
      </c>
    </row>
    <row r="8014">
      <c r="A8014"/>
      <c r="B8014">
        <v>17</v>
      </c>
      <c r="C8014" s="43">
        <f>INDEX(DarlObj,17)</f>
      </c>
      <c r="D8014">
        <v>331</v>
      </c>
      <c r="E8014" s="51">
        <f>IF(INDEX(DarlBelegt,17)=0,0,EOMONTH(INDEX(DarlAuszahlung,17),330)+1)</f>
      </c>
      <c r="F8014" s="43">
        <f>IF($E8014=0,0,YEAR($E8014))</f>
      </c>
      <c r="G8014" s="43">
        <f>IF(INDEX(DarlBindung,17)="",1,IF($E8014&lt;=INDEX(DarlBindung,17),1,0))</f>
      </c>
      <c r="H8014" s="43">
        <f>IF($G8014=1,INDEX(DarlSollzins,17),INDEX(DarlAnschluss,17))</f>
      </c>
      <c r="I8014" s="43">
        <f>IF(INDEX(DarlBelegt,17)=0,0,IF(INDEX(DarlOhneTilgung,17)=1,IF(INDEX(DarlBindung,17)="",1,$G8014),IF($J8014&gt;0.005,1,0)))</f>
      </c>
      <c r="J8014" s="43">
        <f>IF($I8013=0,0,$R8013)</f>
      </c>
      <c r="K8014" s="43">
        <f>IF($I8014=0,0,IF(INDEX(DarlOhneTilgung,17)=1,0,IF(AND(INDEX(DarlTilgStart,17)&gt;0,$E8014=INDEX(DarlTilgStart,17)),$J8014*($H8014+INDEX(DarlTilgung,17))/100/12,IF(AND($G8014=0,$G8013=1),MAX($K8013,$J8014*($H8014+1)/100/12),$K8013))))</f>
      </c>
      <c r="L8014" s="43">
        <f>IF($I8014=0,0,$J8014*$H8014/100/12)</f>
      </c>
      <c r="M8014" s="43">
        <f>IF($I8014=0,0,IF(OR(INDEX(DarlOhneTilgung,17)=1,AND(INDEX(DarlTilgStart,17)&gt;0,$E8014&lt;INDEX(DarlTilgStart,17))),0,MIN(MAX(0,$K8014-$L8014),$J8014)))</f>
      </c>
      <c r="N8014" s="43">
        <f>IF($I8014=0,0,MIN(SUMIFS(SondBetrag,SondDarl,17,SondDatum,"&gt;="&amp;$E8014,SondDatum,"&lt;="&amp;EOMONTH($E8014,0)),$J8014-$M8014))</f>
      </c>
      <c r="O8014" s="43">
        <f>IF($I8014=0,0,INDEX(DarlErsatzRate,17))</f>
      </c>
      <c r="P8014" s="43">
        <f>IF($I8014=0,0,$Q8013*INDEX(DarlErsatzZins,17))</f>
      </c>
      <c r="Q8014" s="43">
        <f>IF($I8014=0,0,$Q8013+$P8014+$O8014)</f>
      </c>
      <c r="R8014" s="43">
        <f>IF($I8014=0,0,$J8014-$M8014-$N8014)</f>
      </c>
    </row>
    <row r="8015">
      <c r="A8015"/>
      <c r="B8015">
        <v>17</v>
      </c>
      <c r="C8015" s="43">
        <f>INDEX(DarlObj,17)</f>
      </c>
      <c r="D8015">
        <v>332</v>
      </c>
      <c r="E8015" s="51">
        <f>IF(INDEX(DarlBelegt,17)=0,0,EOMONTH(INDEX(DarlAuszahlung,17),331)+1)</f>
      </c>
      <c r="F8015" s="43">
        <f>IF($E8015=0,0,YEAR($E8015))</f>
      </c>
      <c r="G8015" s="43">
        <f>IF(INDEX(DarlBindung,17)="",1,IF($E8015&lt;=INDEX(DarlBindung,17),1,0))</f>
      </c>
      <c r="H8015" s="43">
        <f>IF($G8015=1,INDEX(DarlSollzins,17),INDEX(DarlAnschluss,17))</f>
      </c>
      <c r="I8015" s="43">
        <f>IF(INDEX(DarlBelegt,17)=0,0,IF(INDEX(DarlOhneTilgung,17)=1,IF(INDEX(DarlBindung,17)="",1,$G8015),IF($J8015&gt;0.005,1,0)))</f>
      </c>
      <c r="J8015" s="43">
        <f>IF($I8014=0,0,$R8014)</f>
      </c>
      <c r="K8015" s="43">
        <f>IF($I8015=0,0,IF(INDEX(DarlOhneTilgung,17)=1,0,IF(AND(INDEX(DarlTilgStart,17)&gt;0,$E8015=INDEX(DarlTilgStart,17)),$J8015*($H8015+INDEX(DarlTilgung,17))/100/12,IF(AND($G8015=0,$G8014=1),MAX($K8014,$J8015*($H8015+1)/100/12),$K8014))))</f>
      </c>
      <c r="L8015" s="43">
        <f>IF($I8015=0,0,$J8015*$H8015/100/12)</f>
      </c>
      <c r="M8015" s="43">
        <f>IF($I8015=0,0,IF(OR(INDEX(DarlOhneTilgung,17)=1,AND(INDEX(DarlTilgStart,17)&gt;0,$E8015&lt;INDEX(DarlTilgStart,17))),0,MIN(MAX(0,$K8015-$L8015),$J8015)))</f>
      </c>
      <c r="N8015" s="43">
        <f>IF($I8015=0,0,MIN(SUMIFS(SondBetrag,SondDarl,17,SondDatum,"&gt;="&amp;$E8015,SondDatum,"&lt;="&amp;EOMONTH($E8015,0)),$J8015-$M8015))</f>
      </c>
      <c r="O8015" s="43">
        <f>IF($I8015=0,0,INDEX(DarlErsatzRate,17))</f>
      </c>
      <c r="P8015" s="43">
        <f>IF($I8015=0,0,$Q8014*INDEX(DarlErsatzZins,17))</f>
      </c>
      <c r="Q8015" s="43">
        <f>IF($I8015=0,0,$Q8014+$P8015+$O8015)</f>
      </c>
      <c r="R8015" s="43">
        <f>IF($I8015=0,0,$J8015-$M8015-$N8015)</f>
      </c>
    </row>
    <row r="8016">
      <c r="A8016"/>
      <c r="B8016">
        <v>17</v>
      </c>
      <c r="C8016" s="43">
        <f>INDEX(DarlObj,17)</f>
      </c>
      <c r="D8016">
        <v>333</v>
      </c>
      <c r="E8016" s="51">
        <f>IF(INDEX(DarlBelegt,17)=0,0,EOMONTH(INDEX(DarlAuszahlung,17),332)+1)</f>
      </c>
      <c r="F8016" s="43">
        <f>IF($E8016=0,0,YEAR($E8016))</f>
      </c>
      <c r="G8016" s="43">
        <f>IF(INDEX(DarlBindung,17)="",1,IF($E8016&lt;=INDEX(DarlBindung,17),1,0))</f>
      </c>
      <c r="H8016" s="43">
        <f>IF($G8016=1,INDEX(DarlSollzins,17),INDEX(DarlAnschluss,17))</f>
      </c>
      <c r="I8016" s="43">
        <f>IF(INDEX(DarlBelegt,17)=0,0,IF(INDEX(DarlOhneTilgung,17)=1,IF(INDEX(DarlBindung,17)="",1,$G8016),IF($J8016&gt;0.005,1,0)))</f>
      </c>
      <c r="J8016" s="43">
        <f>IF($I8015=0,0,$R8015)</f>
      </c>
      <c r="K8016" s="43">
        <f>IF($I8016=0,0,IF(INDEX(DarlOhneTilgung,17)=1,0,IF(AND(INDEX(DarlTilgStart,17)&gt;0,$E8016=INDEX(DarlTilgStart,17)),$J8016*($H8016+INDEX(DarlTilgung,17))/100/12,IF(AND($G8016=0,$G8015=1),MAX($K8015,$J8016*($H8016+1)/100/12),$K8015))))</f>
      </c>
      <c r="L8016" s="43">
        <f>IF($I8016=0,0,$J8016*$H8016/100/12)</f>
      </c>
      <c r="M8016" s="43">
        <f>IF($I8016=0,0,IF(OR(INDEX(DarlOhneTilgung,17)=1,AND(INDEX(DarlTilgStart,17)&gt;0,$E8016&lt;INDEX(DarlTilgStart,17))),0,MIN(MAX(0,$K8016-$L8016),$J8016)))</f>
      </c>
      <c r="N8016" s="43">
        <f>IF($I8016=0,0,MIN(SUMIFS(SondBetrag,SondDarl,17,SondDatum,"&gt;="&amp;$E8016,SondDatum,"&lt;="&amp;EOMONTH($E8016,0)),$J8016-$M8016))</f>
      </c>
      <c r="O8016" s="43">
        <f>IF($I8016=0,0,INDEX(DarlErsatzRate,17))</f>
      </c>
      <c r="P8016" s="43">
        <f>IF($I8016=0,0,$Q8015*INDEX(DarlErsatzZins,17))</f>
      </c>
      <c r="Q8016" s="43">
        <f>IF($I8016=0,0,$Q8015+$P8016+$O8016)</f>
      </c>
      <c r="R8016" s="43">
        <f>IF($I8016=0,0,$J8016-$M8016-$N8016)</f>
      </c>
    </row>
    <row r="8017">
      <c r="A8017"/>
      <c r="B8017">
        <v>17</v>
      </c>
      <c r="C8017" s="43">
        <f>INDEX(DarlObj,17)</f>
      </c>
      <c r="D8017">
        <v>334</v>
      </c>
      <c r="E8017" s="51">
        <f>IF(INDEX(DarlBelegt,17)=0,0,EOMONTH(INDEX(DarlAuszahlung,17),333)+1)</f>
      </c>
      <c r="F8017" s="43">
        <f>IF($E8017=0,0,YEAR($E8017))</f>
      </c>
      <c r="G8017" s="43">
        <f>IF(INDEX(DarlBindung,17)="",1,IF($E8017&lt;=INDEX(DarlBindung,17),1,0))</f>
      </c>
      <c r="H8017" s="43">
        <f>IF($G8017=1,INDEX(DarlSollzins,17),INDEX(DarlAnschluss,17))</f>
      </c>
      <c r="I8017" s="43">
        <f>IF(INDEX(DarlBelegt,17)=0,0,IF(INDEX(DarlOhneTilgung,17)=1,IF(INDEX(DarlBindung,17)="",1,$G8017),IF($J8017&gt;0.005,1,0)))</f>
      </c>
      <c r="J8017" s="43">
        <f>IF($I8016=0,0,$R8016)</f>
      </c>
      <c r="K8017" s="43">
        <f>IF($I8017=0,0,IF(INDEX(DarlOhneTilgung,17)=1,0,IF(AND(INDEX(DarlTilgStart,17)&gt;0,$E8017=INDEX(DarlTilgStart,17)),$J8017*($H8017+INDEX(DarlTilgung,17))/100/12,IF(AND($G8017=0,$G8016=1),MAX($K8016,$J8017*($H8017+1)/100/12),$K8016))))</f>
      </c>
      <c r="L8017" s="43">
        <f>IF($I8017=0,0,$J8017*$H8017/100/12)</f>
      </c>
      <c r="M8017" s="43">
        <f>IF($I8017=0,0,IF(OR(INDEX(DarlOhneTilgung,17)=1,AND(INDEX(DarlTilgStart,17)&gt;0,$E8017&lt;INDEX(DarlTilgStart,17))),0,MIN(MAX(0,$K8017-$L8017),$J8017)))</f>
      </c>
      <c r="N8017" s="43">
        <f>IF($I8017=0,0,MIN(SUMIFS(SondBetrag,SondDarl,17,SondDatum,"&gt;="&amp;$E8017,SondDatum,"&lt;="&amp;EOMONTH($E8017,0)),$J8017-$M8017))</f>
      </c>
      <c r="O8017" s="43">
        <f>IF($I8017=0,0,INDEX(DarlErsatzRate,17))</f>
      </c>
      <c r="P8017" s="43">
        <f>IF($I8017=0,0,$Q8016*INDEX(DarlErsatzZins,17))</f>
      </c>
      <c r="Q8017" s="43">
        <f>IF($I8017=0,0,$Q8016+$P8017+$O8017)</f>
      </c>
      <c r="R8017" s="43">
        <f>IF($I8017=0,0,$J8017-$M8017-$N8017)</f>
      </c>
    </row>
    <row r="8018">
      <c r="A8018"/>
      <c r="B8018">
        <v>17</v>
      </c>
      <c r="C8018" s="43">
        <f>INDEX(DarlObj,17)</f>
      </c>
      <c r="D8018">
        <v>335</v>
      </c>
      <c r="E8018" s="51">
        <f>IF(INDEX(DarlBelegt,17)=0,0,EOMONTH(INDEX(DarlAuszahlung,17),334)+1)</f>
      </c>
      <c r="F8018" s="43">
        <f>IF($E8018=0,0,YEAR($E8018))</f>
      </c>
      <c r="G8018" s="43">
        <f>IF(INDEX(DarlBindung,17)="",1,IF($E8018&lt;=INDEX(DarlBindung,17),1,0))</f>
      </c>
      <c r="H8018" s="43">
        <f>IF($G8018=1,INDEX(DarlSollzins,17),INDEX(DarlAnschluss,17))</f>
      </c>
      <c r="I8018" s="43">
        <f>IF(INDEX(DarlBelegt,17)=0,0,IF(INDEX(DarlOhneTilgung,17)=1,IF(INDEX(DarlBindung,17)="",1,$G8018),IF($J8018&gt;0.005,1,0)))</f>
      </c>
      <c r="J8018" s="43">
        <f>IF($I8017=0,0,$R8017)</f>
      </c>
      <c r="K8018" s="43">
        <f>IF($I8018=0,0,IF(INDEX(DarlOhneTilgung,17)=1,0,IF(AND(INDEX(DarlTilgStart,17)&gt;0,$E8018=INDEX(DarlTilgStart,17)),$J8018*($H8018+INDEX(DarlTilgung,17))/100/12,IF(AND($G8018=0,$G8017=1),MAX($K8017,$J8018*($H8018+1)/100/12),$K8017))))</f>
      </c>
      <c r="L8018" s="43">
        <f>IF($I8018=0,0,$J8018*$H8018/100/12)</f>
      </c>
      <c r="M8018" s="43">
        <f>IF($I8018=0,0,IF(OR(INDEX(DarlOhneTilgung,17)=1,AND(INDEX(DarlTilgStart,17)&gt;0,$E8018&lt;INDEX(DarlTilgStart,17))),0,MIN(MAX(0,$K8018-$L8018),$J8018)))</f>
      </c>
      <c r="N8018" s="43">
        <f>IF($I8018=0,0,MIN(SUMIFS(SondBetrag,SondDarl,17,SondDatum,"&gt;="&amp;$E8018,SondDatum,"&lt;="&amp;EOMONTH($E8018,0)),$J8018-$M8018))</f>
      </c>
      <c r="O8018" s="43">
        <f>IF($I8018=0,0,INDEX(DarlErsatzRate,17))</f>
      </c>
      <c r="P8018" s="43">
        <f>IF($I8018=0,0,$Q8017*INDEX(DarlErsatzZins,17))</f>
      </c>
      <c r="Q8018" s="43">
        <f>IF($I8018=0,0,$Q8017+$P8018+$O8018)</f>
      </c>
      <c r="R8018" s="43">
        <f>IF($I8018=0,0,$J8018-$M8018-$N8018)</f>
      </c>
    </row>
    <row r="8019">
      <c r="A8019"/>
      <c r="B8019">
        <v>17</v>
      </c>
      <c r="C8019" s="43">
        <f>INDEX(DarlObj,17)</f>
      </c>
      <c r="D8019">
        <v>336</v>
      </c>
      <c r="E8019" s="51">
        <f>IF(INDEX(DarlBelegt,17)=0,0,EOMONTH(INDEX(DarlAuszahlung,17),335)+1)</f>
      </c>
      <c r="F8019" s="43">
        <f>IF($E8019=0,0,YEAR($E8019))</f>
      </c>
      <c r="G8019" s="43">
        <f>IF(INDEX(DarlBindung,17)="",1,IF($E8019&lt;=INDEX(DarlBindung,17),1,0))</f>
      </c>
      <c r="H8019" s="43">
        <f>IF($G8019=1,INDEX(DarlSollzins,17),INDEX(DarlAnschluss,17))</f>
      </c>
      <c r="I8019" s="43">
        <f>IF(INDEX(DarlBelegt,17)=0,0,IF(INDEX(DarlOhneTilgung,17)=1,IF(INDEX(DarlBindung,17)="",1,$G8019),IF($J8019&gt;0.005,1,0)))</f>
      </c>
      <c r="J8019" s="43">
        <f>IF($I8018=0,0,$R8018)</f>
      </c>
      <c r="K8019" s="43">
        <f>IF($I8019=0,0,IF(INDEX(DarlOhneTilgung,17)=1,0,IF(AND(INDEX(DarlTilgStart,17)&gt;0,$E8019=INDEX(DarlTilgStart,17)),$J8019*($H8019+INDEX(DarlTilgung,17))/100/12,IF(AND($G8019=0,$G8018=1),MAX($K8018,$J8019*($H8019+1)/100/12),$K8018))))</f>
      </c>
      <c r="L8019" s="43">
        <f>IF($I8019=0,0,$J8019*$H8019/100/12)</f>
      </c>
      <c r="M8019" s="43">
        <f>IF($I8019=0,0,IF(OR(INDEX(DarlOhneTilgung,17)=1,AND(INDEX(DarlTilgStart,17)&gt;0,$E8019&lt;INDEX(DarlTilgStart,17))),0,MIN(MAX(0,$K8019-$L8019),$J8019)))</f>
      </c>
      <c r="N8019" s="43">
        <f>IF($I8019=0,0,MIN(SUMIFS(SondBetrag,SondDarl,17,SondDatum,"&gt;="&amp;$E8019,SondDatum,"&lt;="&amp;EOMONTH($E8019,0)),$J8019-$M8019))</f>
      </c>
      <c r="O8019" s="43">
        <f>IF($I8019=0,0,INDEX(DarlErsatzRate,17))</f>
      </c>
      <c r="P8019" s="43">
        <f>IF($I8019=0,0,$Q8018*INDEX(DarlErsatzZins,17))</f>
      </c>
      <c r="Q8019" s="43">
        <f>IF($I8019=0,0,$Q8018+$P8019+$O8019)</f>
      </c>
      <c r="R8019" s="43">
        <f>IF($I8019=0,0,$J8019-$M8019-$N8019)</f>
      </c>
    </row>
    <row r="8020">
      <c r="A8020"/>
      <c r="B8020">
        <v>17</v>
      </c>
      <c r="C8020" s="43">
        <f>INDEX(DarlObj,17)</f>
      </c>
      <c r="D8020">
        <v>337</v>
      </c>
      <c r="E8020" s="51">
        <f>IF(INDEX(DarlBelegt,17)=0,0,EOMONTH(INDEX(DarlAuszahlung,17),336)+1)</f>
      </c>
      <c r="F8020" s="43">
        <f>IF($E8020=0,0,YEAR($E8020))</f>
      </c>
      <c r="G8020" s="43">
        <f>IF(INDEX(DarlBindung,17)="",1,IF($E8020&lt;=INDEX(DarlBindung,17),1,0))</f>
      </c>
      <c r="H8020" s="43">
        <f>IF($G8020=1,INDEX(DarlSollzins,17),INDEX(DarlAnschluss,17))</f>
      </c>
      <c r="I8020" s="43">
        <f>IF(INDEX(DarlBelegt,17)=0,0,IF(INDEX(DarlOhneTilgung,17)=1,IF(INDEX(DarlBindung,17)="",1,$G8020),IF($J8020&gt;0.005,1,0)))</f>
      </c>
      <c r="J8020" s="43">
        <f>IF($I8019=0,0,$R8019)</f>
      </c>
      <c r="K8020" s="43">
        <f>IF($I8020=0,0,IF(INDEX(DarlOhneTilgung,17)=1,0,IF(AND(INDEX(DarlTilgStart,17)&gt;0,$E8020=INDEX(DarlTilgStart,17)),$J8020*($H8020+INDEX(DarlTilgung,17))/100/12,IF(AND($G8020=0,$G8019=1),MAX($K8019,$J8020*($H8020+1)/100/12),$K8019))))</f>
      </c>
      <c r="L8020" s="43">
        <f>IF($I8020=0,0,$J8020*$H8020/100/12)</f>
      </c>
      <c r="M8020" s="43">
        <f>IF($I8020=0,0,IF(OR(INDEX(DarlOhneTilgung,17)=1,AND(INDEX(DarlTilgStart,17)&gt;0,$E8020&lt;INDEX(DarlTilgStart,17))),0,MIN(MAX(0,$K8020-$L8020),$J8020)))</f>
      </c>
      <c r="N8020" s="43">
        <f>IF($I8020=0,0,MIN(SUMIFS(SondBetrag,SondDarl,17,SondDatum,"&gt;="&amp;$E8020,SondDatum,"&lt;="&amp;EOMONTH($E8020,0)),$J8020-$M8020))</f>
      </c>
      <c r="O8020" s="43">
        <f>IF($I8020=0,0,INDEX(DarlErsatzRate,17))</f>
      </c>
      <c r="P8020" s="43">
        <f>IF($I8020=0,0,$Q8019*INDEX(DarlErsatzZins,17))</f>
      </c>
      <c r="Q8020" s="43">
        <f>IF($I8020=0,0,$Q8019+$P8020+$O8020)</f>
      </c>
      <c r="R8020" s="43">
        <f>IF($I8020=0,0,$J8020-$M8020-$N8020)</f>
      </c>
    </row>
    <row r="8021">
      <c r="A8021"/>
      <c r="B8021">
        <v>17</v>
      </c>
      <c r="C8021" s="43">
        <f>INDEX(DarlObj,17)</f>
      </c>
      <c r="D8021">
        <v>338</v>
      </c>
      <c r="E8021" s="51">
        <f>IF(INDEX(DarlBelegt,17)=0,0,EOMONTH(INDEX(DarlAuszahlung,17),337)+1)</f>
      </c>
      <c r="F8021" s="43">
        <f>IF($E8021=0,0,YEAR($E8021))</f>
      </c>
      <c r="G8021" s="43">
        <f>IF(INDEX(DarlBindung,17)="",1,IF($E8021&lt;=INDEX(DarlBindung,17),1,0))</f>
      </c>
      <c r="H8021" s="43">
        <f>IF($G8021=1,INDEX(DarlSollzins,17),INDEX(DarlAnschluss,17))</f>
      </c>
      <c r="I8021" s="43">
        <f>IF(INDEX(DarlBelegt,17)=0,0,IF(INDEX(DarlOhneTilgung,17)=1,IF(INDEX(DarlBindung,17)="",1,$G8021),IF($J8021&gt;0.005,1,0)))</f>
      </c>
      <c r="J8021" s="43">
        <f>IF($I8020=0,0,$R8020)</f>
      </c>
      <c r="K8021" s="43">
        <f>IF($I8021=0,0,IF(INDEX(DarlOhneTilgung,17)=1,0,IF(AND(INDEX(DarlTilgStart,17)&gt;0,$E8021=INDEX(DarlTilgStart,17)),$J8021*($H8021+INDEX(DarlTilgung,17))/100/12,IF(AND($G8021=0,$G8020=1),MAX($K8020,$J8021*($H8021+1)/100/12),$K8020))))</f>
      </c>
      <c r="L8021" s="43">
        <f>IF($I8021=0,0,$J8021*$H8021/100/12)</f>
      </c>
      <c r="M8021" s="43">
        <f>IF($I8021=0,0,IF(OR(INDEX(DarlOhneTilgung,17)=1,AND(INDEX(DarlTilgStart,17)&gt;0,$E8021&lt;INDEX(DarlTilgStart,17))),0,MIN(MAX(0,$K8021-$L8021),$J8021)))</f>
      </c>
      <c r="N8021" s="43">
        <f>IF($I8021=0,0,MIN(SUMIFS(SondBetrag,SondDarl,17,SondDatum,"&gt;="&amp;$E8021,SondDatum,"&lt;="&amp;EOMONTH($E8021,0)),$J8021-$M8021))</f>
      </c>
      <c r="O8021" s="43">
        <f>IF($I8021=0,0,INDEX(DarlErsatzRate,17))</f>
      </c>
      <c r="P8021" s="43">
        <f>IF($I8021=0,0,$Q8020*INDEX(DarlErsatzZins,17))</f>
      </c>
      <c r="Q8021" s="43">
        <f>IF($I8021=0,0,$Q8020+$P8021+$O8021)</f>
      </c>
      <c r="R8021" s="43">
        <f>IF($I8021=0,0,$J8021-$M8021-$N8021)</f>
      </c>
    </row>
    <row r="8022">
      <c r="A8022"/>
      <c r="B8022">
        <v>17</v>
      </c>
      <c r="C8022" s="43">
        <f>INDEX(DarlObj,17)</f>
      </c>
      <c r="D8022">
        <v>339</v>
      </c>
      <c r="E8022" s="51">
        <f>IF(INDEX(DarlBelegt,17)=0,0,EOMONTH(INDEX(DarlAuszahlung,17),338)+1)</f>
      </c>
      <c r="F8022" s="43">
        <f>IF($E8022=0,0,YEAR($E8022))</f>
      </c>
      <c r="G8022" s="43">
        <f>IF(INDEX(DarlBindung,17)="",1,IF($E8022&lt;=INDEX(DarlBindung,17),1,0))</f>
      </c>
      <c r="H8022" s="43">
        <f>IF($G8022=1,INDEX(DarlSollzins,17),INDEX(DarlAnschluss,17))</f>
      </c>
      <c r="I8022" s="43">
        <f>IF(INDEX(DarlBelegt,17)=0,0,IF(INDEX(DarlOhneTilgung,17)=1,IF(INDEX(DarlBindung,17)="",1,$G8022),IF($J8022&gt;0.005,1,0)))</f>
      </c>
      <c r="J8022" s="43">
        <f>IF($I8021=0,0,$R8021)</f>
      </c>
      <c r="K8022" s="43">
        <f>IF($I8022=0,0,IF(INDEX(DarlOhneTilgung,17)=1,0,IF(AND(INDEX(DarlTilgStart,17)&gt;0,$E8022=INDEX(DarlTilgStart,17)),$J8022*($H8022+INDEX(DarlTilgung,17))/100/12,IF(AND($G8022=0,$G8021=1),MAX($K8021,$J8022*($H8022+1)/100/12),$K8021))))</f>
      </c>
      <c r="L8022" s="43">
        <f>IF($I8022=0,0,$J8022*$H8022/100/12)</f>
      </c>
      <c r="M8022" s="43">
        <f>IF($I8022=0,0,IF(OR(INDEX(DarlOhneTilgung,17)=1,AND(INDEX(DarlTilgStart,17)&gt;0,$E8022&lt;INDEX(DarlTilgStart,17))),0,MIN(MAX(0,$K8022-$L8022),$J8022)))</f>
      </c>
      <c r="N8022" s="43">
        <f>IF($I8022=0,0,MIN(SUMIFS(SondBetrag,SondDarl,17,SondDatum,"&gt;="&amp;$E8022,SondDatum,"&lt;="&amp;EOMONTH($E8022,0)),$J8022-$M8022))</f>
      </c>
      <c r="O8022" s="43">
        <f>IF($I8022=0,0,INDEX(DarlErsatzRate,17))</f>
      </c>
      <c r="P8022" s="43">
        <f>IF($I8022=0,0,$Q8021*INDEX(DarlErsatzZins,17))</f>
      </c>
      <c r="Q8022" s="43">
        <f>IF($I8022=0,0,$Q8021+$P8022+$O8022)</f>
      </c>
      <c r="R8022" s="43">
        <f>IF($I8022=0,0,$J8022-$M8022-$N8022)</f>
      </c>
    </row>
    <row r="8023">
      <c r="A8023"/>
      <c r="B8023">
        <v>17</v>
      </c>
      <c r="C8023" s="43">
        <f>INDEX(DarlObj,17)</f>
      </c>
      <c r="D8023">
        <v>340</v>
      </c>
      <c r="E8023" s="51">
        <f>IF(INDEX(DarlBelegt,17)=0,0,EOMONTH(INDEX(DarlAuszahlung,17),339)+1)</f>
      </c>
      <c r="F8023" s="43">
        <f>IF($E8023=0,0,YEAR($E8023))</f>
      </c>
      <c r="G8023" s="43">
        <f>IF(INDEX(DarlBindung,17)="",1,IF($E8023&lt;=INDEX(DarlBindung,17),1,0))</f>
      </c>
      <c r="H8023" s="43">
        <f>IF($G8023=1,INDEX(DarlSollzins,17),INDEX(DarlAnschluss,17))</f>
      </c>
      <c r="I8023" s="43">
        <f>IF(INDEX(DarlBelegt,17)=0,0,IF(INDEX(DarlOhneTilgung,17)=1,IF(INDEX(DarlBindung,17)="",1,$G8023),IF($J8023&gt;0.005,1,0)))</f>
      </c>
      <c r="J8023" s="43">
        <f>IF($I8022=0,0,$R8022)</f>
      </c>
      <c r="K8023" s="43">
        <f>IF($I8023=0,0,IF(INDEX(DarlOhneTilgung,17)=1,0,IF(AND(INDEX(DarlTilgStart,17)&gt;0,$E8023=INDEX(DarlTilgStart,17)),$J8023*($H8023+INDEX(DarlTilgung,17))/100/12,IF(AND($G8023=0,$G8022=1),MAX($K8022,$J8023*($H8023+1)/100/12),$K8022))))</f>
      </c>
      <c r="L8023" s="43">
        <f>IF($I8023=0,0,$J8023*$H8023/100/12)</f>
      </c>
      <c r="M8023" s="43">
        <f>IF($I8023=0,0,IF(OR(INDEX(DarlOhneTilgung,17)=1,AND(INDEX(DarlTilgStart,17)&gt;0,$E8023&lt;INDEX(DarlTilgStart,17))),0,MIN(MAX(0,$K8023-$L8023),$J8023)))</f>
      </c>
      <c r="N8023" s="43">
        <f>IF($I8023=0,0,MIN(SUMIFS(SondBetrag,SondDarl,17,SondDatum,"&gt;="&amp;$E8023,SondDatum,"&lt;="&amp;EOMONTH($E8023,0)),$J8023-$M8023))</f>
      </c>
      <c r="O8023" s="43">
        <f>IF($I8023=0,0,INDEX(DarlErsatzRate,17))</f>
      </c>
      <c r="P8023" s="43">
        <f>IF($I8023=0,0,$Q8022*INDEX(DarlErsatzZins,17))</f>
      </c>
      <c r="Q8023" s="43">
        <f>IF($I8023=0,0,$Q8022+$P8023+$O8023)</f>
      </c>
      <c r="R8023" s="43">
        <f>IF($I8023=0,0,$J8023-$M8023-$N8023)</f>
      </c>
    </row>
    <row r="8024">
      <c r="A8024"/>
      <c r="B8024">
        <v>17</v>
      </c>
      <c r="C8024" s="43">
        <f>INDEX(DarlObj,17)</f>
      </c>
      <c r="D8024">
        <v>341</v>
      </c>
      <c r="E8024" s="51">
        <f>IF(INDEX(DarlBelegt,17)=0,0,EOMONTH(INDEX(DarlAuszahlung,17),340)+1)</f>
      </c>
      <c r="F8024" s="43">
        <f>IF($E8024=0,0,YEAR($E8024))</f>
      </c>
      <c r="G8024" s="43">
        <f>IF(INDEX(DarlBindung,17)="",1,IF($E8024&lt;=INDEX(DarlBindung,17),1,0))</f>
      </c>
      <c r="H8024" s="43">
        <f>IF($G8024=1,INDEX(DarlSollzins,17),INDEX(DarlAnschluss,17))</f>
      </c>
      <c r="I8024" s="43">
        <f>IF(INDEX(DarlBelegt,17)=0,0,IF(INDEX(DarlOhneTilgung,17)=1,IF(INDEX(DarlBindung,17)="",1,$G8024),IF($J8024&gt;0.005,1,0)))</f>
      </c>
      <c r="J8024" s="43">
        <f>IF($I8023=0,0,$R8023)</f>
      </c>
      <c r="K8024" s="43">
        <f>IF($I8024=0,0,IF(INDEX(DarlOhneTilgung,17)=1,0,IF(AND(INDEX(DarlTilgStart,17)&gt;0,$E8024=INDEX(DarlTilgStart,17)),$J8024*($H8024+INDEX(DarlTilgung,17))/100/12,IF(AND($G8024=0,$G8023=1),MAX($K8023,$J8024*($H8024+1)/100/12),$K8023))))</f>
      </c>
      <c r="L8024" s="43">
        <f>IF($I8024=0,0,$J8024*$H8024/100/12)</f>
      </c>
      <c r="M8024" s="43">
        <f>IF($I8024=0,0,IF(OR(INDEX(DarlOhneTilgung,17)=1,AND(INDEX(DarlTilgStart,17)&gt;0,$E8024&lt;INDEX(DarlTilgStart,17))),0,MIN(MAX(0,$K8024-$L8024),$J8024)))</f>
      </c>
      <c r="N8024" s="43">
        <f>IF($I8024=0,0,MIN(SUMIFS(SondBetrag,SondDarl,17,SondDatum,"&gt;="&amp;$E8024,SondDatum,"&lt;="&amp;EOMONTH($E8024,0)),$J8024-$M8024))</f>
      </c>
      <c r="O8024" s="43">
        <f>IF($I8024=0,0,INDEX(DarlErsatzRate,17))</f>
      </c>
      <c r="P8024" s="43">
        <f>IF($I8024=0,0,$Q8023*INDEX(DarlErsatzZins,17))</f>
      </c>
      <c r="Q8024" s="43">
        <f>IF($I8024=0,0,$Q8023+$P8024+$O8024)</f>
      </c>
      <c r="R8024" s="43">
        <f>IF($I8024=0,0,$J8024-$M8024-$N8024)</f>
      </c>
    </row>
    <row r="8025">
      <c r="A8025"/>
      <c r="B8025">
        <v>17</v>
      </c>
      <c r="C8025" s="43">
        <f>INDEX(DarlObj,17)</f>
      </c>
      <c r="D8025">
        <v>342</v>
      </c>
      <c r="E8025" s="51">
        <f>IF(INDEX(DarlBelegt,17)=0,0,EOMONTH(INDEX(DarlAuszahlung,17),341)+1)</f>
      </c>
      <c r="F8025" s="43">
        <f>IF($E8025=0,0,YEAR($E8025))</f>
      </c>
      <c r="G8025" s="43">
        <f>IF(INDEX(DarlBindung,17)="",1,IF($E8025&lt;=INDEX(DarlBindung,17),1,0))</f>
      </c>
      <c r="H8025" s="43">
        <f>IF($G8025=1,INDEX(DarlSollzins,17),INDEX(DarlAnschluss,17))</f>
      </c>
      <c r="I8025" s="43">
        <f>IF(INDEX(DarlBelegt,17)=0,0,IF(INDEX(DarlOhneTilgung,17)=1,IF(INDEX(DarlBindung,17)="",1,$G8025),IF($J8025&gt;0.005,1,0)))</f>
      </c>
      <c r="J8025" s="43">
        <f>IF($I8024=0,0,$R8024)</f>
      </c>
      <c r="K8025" s="43">
        <f>IF($I8025=0,0,IF(INDEX(DarlOhneTilgung,17)=1,0,IF(AND(INDEX(DarlTilgStart,17)&gt;0,$E8025=INDEX(DarlTilgStart,17)),$J8025*($H8025+INDEX(DarlTilgung,17))/100/12,IF(AND($G8025=0,$G8024=1),MAX($K8024,$J8025*($H8025+1)/100/12),$K8024))))</f>
      </c>
      <c r="L8025" s="43">
        <f>IF($I8025=0,0,$J8025*$H8025/100/12)</f>
      </c>
      <c r="M8025" s="43">
        <f>IF($I8025=0,0,IF(OR(INDEX(DarlOhneTilgung,17)=1,AND(INDEX(DarlTilgStart,17)&gt;0,$E8025&lt;INDEX(DarlTilgStart,17))),0,MIN(MAX(0,$K8025-$L8025),$J8025)))</f>
      </c>
      <c r="N8025" s="43">
        <f>IF($I8025=0,0,MIN(SUMIFS(SondBetrag,SondDarl,17,SondDatum,"&gt;="&amp;$E8025,SondDatum,"&lt;="&amp;EOMONTH($E8025,0)),$J8025-$M8025))</f>
      </c>
      <c r="O8025" s="43">
        <f>IF($I8025=0,0,INDEX(DarlErsatzRate,17))</f>
      </c>
      <c r="P8025" s="43">
        <f>IF($I8025=0,0,$Q8024*INDEX(DarlErsatzZins,17))</f>
      </c>
      <c r="Q8025" s="43">
        <f>IF($I8025=0,0,$Q8024+$P8025+$O8025)</f>
      </c>
      <c r="R8025" s="43">
        <f>IF($I8025=0,0,$J8025-$M8025-$N8025)</f>
      </c>
    </row>
    <row r="8026">
      <c r="A8026"/>
      <c r="B8026">
        <v>17</v>
      </c>
      <c r="C8026" s="43">
        <f>INDEX(DarlObj,17)</f>
      </c>
      <c r="D8026">
        <v>343</v>
      </c>
      <c r="E8026" s="51">
        <f>IF(INDEX(DarlBelegt,17)=0,0,EOMONTH(INDEX(DarlAuszahlung,17),342)+1)</f>
      </c>
      <c r="F8026" s="43">
        <f>IF($E8026=0,0,YEAR($E8026))</f>
      </c>
      <c r="G8026" s="43">
        <f>IF(INDEX(DarlBindung,17)="",1,IF($E8026&lt;=INDEX(DarlBindung,17),1,0))</f>
      </c>
      <c r="H8026" s="43">
        <f>IF($G8026=1,INDEX(DarlSollzins,17),INDEX(DarlAnschluss,17))</f>
      </c>
      <c r="I8026" s="43">
        <f>IF(INDEX(DarlBelegt,17)=0,0,IF(INDEX(DarlOhneTilgung,17)=1,IF(INDEX(DarlBindung,17)="",1,$G8026),IF($J8026&gt;0.005,1,0)))</f>
      </c>
      <c r="J8026" s="43">
        <f>IF($I8025=0,0,$R8025)</f>
      </c>
      <c r="K8026" s="43">
        <f>IF($I8026=0,0,IF(INDEX(DarlOhneTilgung,17)=1,0,IF(AND(INDEX(DarlTilgStart,17)&gt;0,$E8026=INDEX(DarlTilgStart,17)),$J8026*($H8026+INDEX(DarlTilgung,17))/100/12,IF(AND($G8026=0,$G8025=1),MAX($K8025,$J8026*($H8026+1)/100/12),$K8025))))</f>
      </c>
      <c r="L8026" s="43">
        <f>IF($I8026=0,0,$J8026*$H8026/100/12)</f>
      </c>
      <c r="M8026" s="43">
        <f>IF($I8026=0,0,IF(OR(INDEX(DarlOhneTilgung,17)=1,AND(INDEX(DarlTilgStart,17)&gt;0,$E8026&lt;INDEX(DarlTilgStart,17))),0,MIN(MAX(0,$K8026-$L8026),$J8026)))</f>
      </c>
      <c r="N8026" s="43">
        <f>IF($I8026=0,0,MIN(SUMIFS(SondBetrag,SondDarl,17,SondDatum,"&gt;="&amp;$E8026,SondDatum,"&lt;="&amp;EOMONTH($E8026,0)),$J8026-$M8026))</f>
      </c>
      <c r="O8026" s="43">
        <f>IF($I8026=0,0,INDEX(DarlErsatzRate,17))</f>
      </c>
      <c r="P8026" s="43">
        <f>IF($I8026=0,0,$Q8025*INDEX(DarlErsatzZins,17))</f>
      </c>
      <c r="Q8026" s="43">
        <f>IF($I8026=0,0,$Q8025+$P8026+$O8026)</f>
      </c>
      <c r="R8026" s="43">
        <f>IF($I8026=0,0,$J8026-$M8026-$N8026)</f>
      </c>
    </row>
    <row r="8027">
      <c r="A8027"/>
      <c r="B8027">
        <v>17</v>
      </c>
      <c r="C8027" s="43">
        <f>INDEX(DarlObj,17)</f>
      </c>
      <c r="D8027">
        <v>344</v>
      </c>
      <c r="E8027" s="51">
        <f>IF(INDEX(DarlBelegt,17)=0,0,EOMONTH(INDEX(DarlAuszahlung,17),343)+1)</f>
      </c>
      <c r="F8027" s="43">
        <f>IF($E8027=0,0,YEAR($E8027))</f>
      </c>
      <c r="G8027" s="43">
        <f>IF(INDEX(DarlBindung,17)="",1,IF($E8027&lt;=INDEX(DarlBindung,17),1,0))</f>
      </c>
      <c r="H8027" s="43">
        <f>IF($G8027=1,INDEX(DarlSollzins,17),INDEX(DarlAnschluss,17))</f>
      </c>
      <c r="I8027" s="43">
        <f>IF(INDEX(DarlBelegt,17)=0,0,IF(INDEX(DarlOhneTilgung,17)=1,IF(INDEX(DarlBindung,17)="",1,$G8027),IF($J8027&gt;0.005,1,0)))</f>
      </c>
      <c r="J8027" s="43">
        <f>IF($I8026=0,0,$R8026)</f>
      </c>
      <c r="K8027" s="43">
        <f>IF($I8027=0,0,IF(INDEX(DarlOhneTilgung,17)=1,0,IF(AND(INDEX(DarlTilgStart,17)&gt;0,$E8027=INDEX(DarlTilgStart,17)),$J8027*($H8027+INDEX(DarlTilgung,17))/100/12,IF(AND($G8027=0,$G8026=1),MAX($K8026,$J8027*($H8027+1)/100/12),$K8026))))</f>
      </c>
      <c r="L8027" s="43">
        <f>IF($I8027=0,0,$J8027*$H8027/100/12)</f>
      </c>
      <c r="M8027" s="43">
        <f>IF($I8027=0,0,IF(OR(INDEX(DarlOhneTilgung,17)=1,AND(INDEX(DarlTilgStart,17)&gt;0,$E8027&lt;INDEX(DarlTilgStart,17))),0,MIN(MAX(0,$K8027-$L8027),$J8027)))</f>
      </c>
      <c r="N8027" s="43">
        <f>IF($I8027=0,0,MIN(SUMIFS(SondBetrag,SondDarl,17,SondDatum,"&gt;="&amp;$E8027,SondDatum,"&lt;="&amp;EOMONTH($E8027,0)),$J8027-$M8027))</f>
      </c>
      <c r="O8027" s="43">
        <f>IF($I8027=0,0,INDEX(DarlErsatzRate,17))</f>
      </c>
      <c r="P8027" s="43">
        <f>IF($I8027=0,0,$Q8026*INDEX(DarlErsatzZins,17))</f>
      </c>
      <c r="Q8027" s="43">
        <f>IF($I8027=0,0,$Q8026+$P8027+$O8027)</f>
      </c>
      <c r="R8027" s="43">
        <f>IF($I8027=0,0,$J8027-$M8027-$N8027)</f>
      </c>
    </row>
    <row r="8028">
      <c r="A8028"/>
      <c r="B8028">
        <v>17</v>
      </c>
      <c r="C8028" s="43">
        <f>INDEX(DarlObj,17)</f>
      </c>
      <c r="D8028">
        <v>345</v>
      </c>
      <c r="E8028" s="51">
        <f>IF(INDEX(DarlBelegt,17)=0,0,EOMONTH(INDEX(DarlAuszahlung,17),344)+1)</f>
      </c>
      <c r="F8028" s="43">
        <f>IF($E8028=0,0,YEAR($E8028))</f>
      </c>
      <c r="G8028" s="43">
        <f>IF(INDEX(DarlBindung,17)="",1,IF($E8028&lt;=INDEX(DarlBindung,17),1,0))</f>
      </c>
      <c r="H8028" s="43">
        <f>IF($G8028=1,INDEX(DarlSollzins,17),INDEX(DarlAnschluss,17))</f>
      </c>
      <c r="I8028" s="43">
        <f>IF(INDEX(DarlBelegt,17)=0,0,IF(INDEX(DarlOhneTilgung,17)=1,IF(INDEX(DarlBindung,17)="",1,$G8028),IF($J8028&gt;0.005,1,0)))</f>
      </c>
      <c r="J8028" s="43">
        <f>IF($I8027=0,0,$R8027)</f>
      </c>
      <c r="K8028" s="43">
        <f>IF($I8028=0,0,IF(INDEX(DarlOhneTilgung,17)=1,0,IF(AND(INDEX(DarlTilgStart,17)&gt;0,$E8028=INDEX(DarlTilgStart,17)),$J8028*($H8028+INDEX(DarlTilgung,17))/100/12,IF(AND($G8028=0,$G8027=1),MAX($K8027,$J8028*($H8028+1)/100/12),$K8027))))</f>
      </c>
      <c r="L8028" s="43">
        <f>IF($I8028=0,0,$J8028*$H8028/100/12)</f>
      </c>
      <c r="M8028" s="43">
        <f>IF($I8028=0,0,IF(OR(INDEX(DarlOhneTilgung,17)=1,AND(INDEX(DarlTilgStart,17)&gt;0,$E8028&lt;INDEX(DarlTilgStart,17))),0,MIN(MAX(0,$K8028-$L8028),$J8028)))</f>
      </c>
      <c r="N8028" s="43">
        <f>IF($I8028=0,0,MIN(SUMIFS(SondBetrag,SondDarl,17,SondDatum,"&gt;="&amp;$E8028,SondDatum,"&lt;="&amp;EOMONTH($E8028,0)),$J8028-$M8028))</f>
      </c>
      <c r="O8028" s="43">
        <f>IF($I8028=0,0,INDEX(DarlErsatzRate,17))</f>
      </c>
      <c r="P8028" s="43">
        <f>IF($I8028=0,0,$Q8027*INDEX(DarlErsatzZins,17))</f>
      </c>
      <c r="Q8028" s="43">
        <f>IF($I8028=0,0,$Q8027+$P8028+$O8028)</f>
      </c>
      <c r="R8028" s="43">
        <f>IF($I8028=0,0,$J8028-$M8028-$N8028)</f>
      </c>
    </row>
    <row r="8029">
      <c r="A8029"/>
      <c r="B8029">
        <v>17</v>
      </c>
      <c r="C8029" s="43">
        <f>INDEX(DarlObj,17)</f>
      </c>
      <c r="D8029">
        <v>346</v>
      </c>
      <c r="E8029" s="51">
        <f>IF(INDEX(DarlBelegt,17)=0,0,EOMONTH(INDEX(DarlAuszahlung,17),345)+1)</f>
      </c>
      <c r="F8029" s="43">
        <f>IF($E8029=0,0,YEAR($E8029))</f>
      </c>
      <c r="G8029" s="43">
        <f>IF(INDEX(DarlBindung,17)="",1,IF($E8029&lt;=INDEX(DarlBindung,17),1,0))</f>
      </c>
      <c r="H8029" s="43">
        <f>IF($G8029=1,INDEX(DarlSollzins,17),INDEX(DarlAnschluss,17))</f>
      </c>
      <c r="I8029" s="43">
        <f>IF(INDEX(DarlBelegt,17)=0,0,IF(INDEX(DarlOhneTilgung,17)=1,IF(INDEX(DarlBindung,17)="",1,$G8029),IF($J8029&gt;0.005,1,0)))</f>
      </c>
      <c r="J8029" s="43">
        <f>IF($I8028=0,0,$R8028)</f>
      </c>
      <c r="K8029" s="43">
        <f>IF($I8029=0,0,IF(INDEX(DarlOhneTilgung,17)=1,0,IF(AND(INDEX(DarlTilgStart,17)&gt;0,$E8029=INDEX(DarlTilgStart,17)),$J8029*($H8029+INDEX(DarlTilgung,17))/100/12,IF(AND($G8029=0,$G8028=1),MAX($K8028,$J8029*($H8029+1)/100/12),$K8028))))</f>
      </c>
      <c r="L8029" s="43">
        <f>IF($I8029=0,0,$J8029*$H8029/100/12)</f>
      </c>
      <c r="M8029" s="43">
        <f>IF($I8029=0,0,IF(OR(INDEX(DarlOhneTilgung,17)=1,AND(INDEX(DarlTilgStart,17)&gt;0,$E8029&lt;INDEX(DarlTilgStart,17))),0,MIN(MAX(0,$K8029-$L8029),$J8029)))</f>
      </c>
      <c r="N8029" s="43">
        <f>IF($I8029=0,0,MIN(SUMIFS(SondBetrag,SondDarl,17,SondDatum,"&gt;="&amp;$E8029,SondDatum,"&lt;="&amp;EOMONTH($E8029,0)),$J8029-$M8029))</f>
      </c>
      <c r="O8029" s="43">
        <f>IF($I8029=0,0,INDEX(DarlErsatzRate,17))</f>
      </c>
      <c r="P8029" s="43">
        <f>IF($I8029=0,0,$Q8028*INDEX(DarlErsatzZins,17))</f>
      </c>
      <c r="Q8029" s="43">
        <f>IF($I8029=0,0,$Q8028+$P8029+$O8029)</f>
      </c>
      <c r="R8029" s="43">
        <f>IF($I8029=0,0,$J8029-$M8029-$N8029)</f>
      </c>
    </row>
    <row r="8030">
      <c r="A8030"/>
      <c r="B8030">
        <v>17</v>
      </c>
      <c r="C8030" s="43">
        <f>INDEX(DarlObj,17)</f>
      </c>
      <c r="D8030">
        <v>347</v>
      </c>
      <c r="E8030" s="51">
        <f>IF(INDEX(DarlBelegt,17)=0,0,EOMONTH(INDEX(DarlAuszahlung,17),346)+1)</f>
      </c>
      <c r="F8030" s="43">
        <f>IF($E8030=0,0,YEAR($E8030))</f>
      </c>
      <c r="G8030" s="43">
        <f>IF(INDEX(DarlBindung,17)="",1,IF($E8030&lt;=INDEX(DarlBindung,17),1,0))</f>
      </c>
      <c r="H8030" s="43">
        <f>IF($G8030=1,INDEX(DarlSollzins,17),INDEX(DarlAnschluss,17))</f>
      </c>
      <c r="I8030" s="43">
        <f>IF(INDEX(DarlBelegt,17)=0,0,IF(INDEX(DarlOhneTilgung,17)=1,IF(INDEX(DarlBindung,17)="",1,$G8030),IF($J8030&gt;0.005,1,0)))</f>
      </c>
      <c r="J8030" s="43">
        <f>IF($I8029=0,0,$R8029)</f>
      </c>
      <c r="K8030" s="43">
        <f>IF($I8030=0,0,IF(INDEX(DarlOhneTilgung,17)=1,0,IF(AND(INDEX(DarlTilgStart,17)&gt;0,$E8030=INDEX(DarlTilgStart,17)),$J8030*($H8030+INDEX(DarlTilgung,17))/100/12,IF(AND($G8030=0,$G8029=1),MAX($K8029,$J8030*($H8030+1)/100/12),$K8029))))</f>
      </c>
      <c r="L8030" s="43">
        <f>IF($I8030=0,0,$J8030*$H8030/100/12)</f>
      </c>
      <c r="M8030" s="43">
        <f>IF($I8030=0,0,IF(OR(INDEX(DarlOhneTilgung,17)=1,AND(INDEX(DarlTilgStart,17)&gt;0,$E8030&lt;INDEX(DarlTilgStart,17))),0,MIN(MAX(0,$K8030-$L8030),$J8030)))</f>
      </c>
      <c r="N8030" s="43">
        <f>IF($I8030=0,0,MIN(SUMIFS(SondBetrag,SondDarl,17,SondDatum,"&gt;="&amp;$E8030,SondDatum,"&lt;="&amp;EOMONTH($E8030,0)),$J8030-$M8030))</f>
      </c>
      <c r="O8030" s="43">
        <f>IF($I8030=0,0,INDEX(DarlErsatzRate,17))</f>
      </c>
      <c r="P8030" s="43">
        <f>IF($I8030=0,0,$Q8029*INDEX(DarlErsatzZins,17))</f>
      </c>
      <c r="Q8030" s="43">
        <f>IF($I8030=0,0,$Q8029+$P8030+$O8030)</f>
      </c>
      <c r="R8030" s="43">
        <f>IF($I8030=0,0,$J8030-$M8030-$N8030)</f>
      </c>
    </row>
    <row r="8031">
      <c r="A8031"/>
      <c r="B8031">
        <v>17</v>
      </c>
      <c r="C8031" s="43">
        <f>INDEX(DarlObj,17)</f>
      </c>
      <c r="D8031">
        <v>348</v>
      </c>
      <c r="E8031" s="51">
        <f>IF(INDEX(DarlBelegt,17)=0,0,EOMONTH(INDEX(DarlAuszahlung,17),347)+1)</f>
      </c>
      <c r="F8031" s="43">
        <f>IF($E8031=0,0,YEAR($E8031))</f>
      </c>
      <c r="G8031" s="43">
        <f>IF(INDEX(DarlBindung,17)="",1,IF($E8031&lt;=INDEX(DarlBindung,17),1,0))</f>
      </c>
      <c r="H8031" s="43">
        <f>IF($G8031=1,INDEX(DarlSollzins,17),INDEX(DarlAnschluss,17))</f>
      </c>
      <c r="I8031" s="43">
        <f>IF(INDEX(DarlBelegt,17)=0,0,IF(INDEX(DarlOhneTilgung,17)=1,IF(INDEX(DarlBindung,17)="",1,$G8031),IF($J8031&gt;0.005,1,0)))</f>
      </c>
      <c r="J8031" s="43">
        <f>IF($I8030=0,0,$R8030)</f>
      </c>
      <c r="K8031" s="43">
        <f>IF($I8031=0,0,IF(INDEX(DarlOhneTilgung,17)=1,0,IF(AND(INDEX(DarlTilgStart,17)&gt;0,$E8031=INDEX(DarlTilgStart,17)),$J8031*($H8031+INDEX(DarlTilgung,17))/100/12,IF(AND($G8031=0,$G8030=1),MAX($K8030,$J8031*($H8031+1)/100/12),$K8030))))</f>
      </c>
      <c r="L8031" s="43">
        <f>IF($I8031=0,0,$J8031*$H8031/100/12)</f>
      </c>
      <c r="M8031" s="43">
        <f>IF($I8031=0,0,IF(OR(INDEX(DarlOhneTilgung,17)=1,AND(INDEX(DarlTilgStart,17)&gt;0,$E8031&lt;INDEX(DarlTilgStart,17))),0,MIN(MAX(0,$K8031-$L8031),$J8031)))</f>
      </c>
      <c r="N8031" s="43">
        <f>IF($I8031=0,0,MIN(SUMIFS(SondBetrag,SondDarl,17,SondDatum,"&gt;="&amp;$E8031,SondDatum,"&lt;="&amp;EOMONTH($E8031,0)),$J8031-$M8031))</f>
      </c>
      <c r="O8031" s="43">
        <f>IF($I8031=0,0,INDEX(DarlErsatzRate,17))</f>
      </c>
      <c r="P8031" s="43">
        <f>IF($I8031=0,0,$Q8030*INDEX(DarlErsatzZins,17))</f>
      </c>
      <c r="Q8031" s="43">
        <f>IF($I8031=0,0,$Q8030+$P8031+$O8031)</f>
      </c>
      <c r="R8031" s="43">
        <f>IF($I8031=0,0,$J8031-$M8031-$N8031)</f>
      </c>
    </row>
    <row r="8032">
      <c r="A8032"/>
      <c r="B8032">
        <v>17</v>
      </c>
      <c r="C8032" s="43">
        <f>INDEX(DarlObj,17)</f>
      </c>
      <c r="D8032">
        <v>349</v>
      </c>
      <c r="E8032" s="51">
        <f>IF(INDEX(DarlBelegt,17)=0,0,EOMONTH(INDEX(DarlAuszahlung,17),348)+1)</f>
      </c>
      <c r="F8032" s="43">
        <f>IF($E8032=0,0,YEAR($E8032))</f>
      </c>
      <c r="G8032" s="43">
        <f>IF(INDEX(DarlBindung,17)="",1,IF($E8032&lt;=INDEX(DarlBindung,17),1,0))</f>
      </c>
      <c r="H8032" s="43">
        <f>IF($G8032=1,INDEX(DarlSollzins,17),INDEX(DarlAnschluss,17))</f>
      </c>
      <c r="I8032" s="43">
        <f>IF(INDEX(DarlBelegt,17)=0,0,IF(INDEX(DarlOhneTilgung,17)=1,IF(INDEX(DarlBindung,17)="",1,$G8032),IF($J8032&gt;0.005,1,0)))</f>
      </c>
      <c r="J8032" s="43">
        <f>IF($I8031=0,0,$R8031)</f>
      </c>
      <c r="K8032" s="43">
        <f>IF($I8032=0,0,IF(INDEX(DarlOhneTilgung,17)=1,0,IF(AND(INDEX(DarlTilgStart,17)&gt;0,$E8032=INDEX(DarlTilgStart,17)),$J8032*($H8032+INDEX(DarlTilgung,17))/100/12,IF(AND($G8032=0,$G8031=1),MAX($K8031,$J8032*($H8032+1)/100/12),$K8031))))</f>
      </c>
      <c r="L8032" s="43">
        <f>IF($I8032=0,0,$J8032*$H8032/100/12)</f>
      </c>
      <c r="M8032" s="43">
        <f>IF($I8032=0,0,IF(OR(INDEX(DarlOhneTilgung,17)=1,AND(INDEX(DarlTilgStart,17)&gt;0,$E8032&lt;INDEX(DarlTilgStart,17))),0,MIN(MAX(0,$K8032-$L8032),$J8032)))</f>
      </c>
      <c r="N8032" s="43">
        <f>IF($I8032=0,0,MIN(SUMIFS(SondBetrag,SondDarl,17,SondDatum,"&gt;="&amp;$E8032,SondDatum,"&lt;="&amp;EOMONTH($E8032,0)),$J8032-$M8032))</f>
      </c>
      <c r="O8032" s="43">
        <f>IF($I8032=0,0,INDEX(DarlErsatzRate,17))</f>
      </c>
      <c r="P8032" s="43">
        <f>IF($I8032=0,0,$Q8031*INDEX(DarlErsatzZins,17))</f>
      </c>
      <c r="Q8032" s="43">
        <f>IF($I8032=0,0,$Q8031+$P8032+$O8032)</f>
      </c>
      <c r="R8032" s="43">
        <f>IF($I8032=0,0,$J8032-$M8032-$N8032)</f>
      </c>
    </row>
    <row r="8033">
      <c r="A8033"/>
      <c r="B8033">
        <v>17</v>
      </c>
      <c r="C8033" s="43">
        <f>INDEX(DarlObj,17)</f>
      </c>
      <c r="D8033">
        <v>350</v>
      </c>
      <c r="E8033" s="51">
        <f>IF(INDEX(DarlBelegt,17)=0,0,EOMONTH(INDEX(DarlAuszahlung,17),349)+1)</f>
      </c>
      <c r="F8033" s="43">
        <f>IF($E8033=0,0,YEAR($E8033))</f>
      </c>
      <c r="G8033" s="43">
        <f>IF(INDEX(DarlBindung,17)="",1,IF($E8033&lt;=INDEX(DarlBindung,17),1,0))</f>
      </c>
      <c r="H8033" s="43">
        <f>IF($G8033=1,INDEX(DarlSollzins,17),INDEX(DarlAnschluss,17))</f>
      </c>
      <c r="I8033" s="43">
        <f>IF(INDEX(DarlBelegt,17)=0,0,IF(INDEX(DarlOhneTilgung,17)=1,IF(INDEX(DarlBindung,17)="",1,$G8033),IF($J8033&gt;0.005,1,0)))</f>
      </c>
      <c r="J8033" s="43">
        <f>IF($I8032=0,0,$R8032)</f>
      </c>
      <c r="K8033" s="43">
        <f>IF($I8033=0,0,IF(INDEX(DarlOhneTilgung,17)=1,0,IF(AND(INDEX(DarlTilgStart,17)&gt;0,$E8033=INDEX(DarlTilgStart,17)),$J8033*($H8033+INDEX(DarlTilgung,17))/100/12,IF(AND($G8033=0,$G8032=1),MAX($K8032,$J8033*($H8033+1)/100/12),$K8032))))</f>
      </c>
      <c r="L8033" s="43">
        <f>IF($I8033=0,0,$J8033*$H8033/100/12)</f>
      </c>
      <c r="M8033" s="43">
        <f>IF($I8033=0,0,IF(OR(INDEX(DarlOhneTilgung,17)=1,AND(INDEX(DarlTilgStart,17)&gt;0,$E8033&lt;INDEX(DarlTilgStart,17))),0,MIN(MAX(0,$K8033-$L8033),$J8033)))</f>
      </c>
      <c r="N8033" s="43">
        <f>IF($I8033=0,0,MIN(SUMIFS(SondBetrag,SondDarl,17,SondDatum,"&gt;="&amp;$E8033,SondDatum,"&lt;="&amp;EOMONTH($E8033,0)),$J8033-$M8033))</f>
      </c>
      <c r="O8033" s="43">
        <f>IF($I8033=0,0,INDEX(DarlErsatzRate,17))</f>
      </c>
      <c r="P8033" s="43">
        <f>IF($I8033=0,0,$Q8032*INDEX(DarlErsatzZins,17))</f>
      </c>
      <c r="Q8033" s="43">
        <f>IF($I8033=0,0,$Q8032+$P8033+$O8033)</f>
      </c>
      <c r="R8033" s="43">
        <f>IF($I8033=0,0,$J8033-$M8033-$N8033)</f>
      </c>
    </row>
    <row r="8034">
      <c r="A8034"/>
      <c r="B8034">
        <v>17</v>
      </c>
      <c r="C8034" s="43">
        <f>INDEX(DarlObj,17)</f>
      </c>
      <c r="D8034">
        <v>351</v>
      </c>
      <c r="E8034" s="51">
        <f>IF(INDEX(DarlBelegt,17)=0,0,EOMONTH(INDEX(DarlAuszahlung,17),350)+1)</f>
      </c>
      <c r="F8034" s="43">
        <f>IF($E8034=0,0,YEAR($E8034))</f>
      </c>
      <c r="G8034" s="43">
        <f>IF(INDEX(DarlBindung,17)="",1,IF($E8034&lt;=INDEX(DarlBindung,17),1,0))</f>
      </c>
      <c r="H8034" s="43">
        <f>IF($G8034=1,INDEX(DarlSollzins,17),INDEX(DarlAnschluss,17))</f>
      </c>
      <c r="I8034" s="43">
        <f>IF(INDEX(DarlBelegt,17)=0,0,IF(INDEX(DarlOhneTilgung,17)=1,IF(INDEX(DarlBindung,17)="",1,$G8034),IF($J8034&gt;0.005,1,0)))</f>
      </c>
      <c r="J8034" s="43">
        <f>IF($I8033=0,0,$R8033)</f>
      </c>
      <c r="K8034" s="43">
        <f>IF($I8034=0,0,IF(INDEX(DarlOhneTilgung,17)=1,0,IF(AND(INDEX(DarlTilgStart,17)&gt;0,$E8034=INDEX(DarlTilgStart,17)),$J8034*($H8034+INDEX(DarlTilgung,17))/100/12,IF(AND($G8034=0,$G8033=1),MAX($K8033,$J8034*($H8034+1)/100/12),$K8033))))</f>
      </c>
      <c r="L8034" s="43">
        <f>IF($I8034=0,0,$J8034*$H8034/100/12)</f>
      </c>
      <c r="M8034" s="43">
        <f>IF($I8034=0,0,IF(OR(INDEX(DarlOhneTilgung,17)=1,AND(INDEX(DarlTilgStart,17)&gt;0,$E8034&lt;INDEX(DarlTilgStart,17))),0,MIN(MAX(0,$K8034-$L8034),$J8034)))</f>
      </c>
      <c r="N8034" s="43">
        <f>IF($I8034=0,0,MIN(SUMIFS(SondBetrag,SondDarl,17,SondDatum,"&gt;="&amp;$E8034,SondDatum,"&lt;="&amp;EOMONTH($E8034,0)),$J8034-$M8034))</f>
      </c>
      <c r="O8034" s="43">
        <f>IF($I8034=0,0,INDEX(DarlErsatzRate,17))</f>
      </c>
      <c r="P8034" s="43">
        <f>IF($I8034=0,0,$Q8033*INDEX(DarlErsatzZins,17))</f>
      </c>
      <c r="Q8034" s="43">
        <f>IF($I8034=0,0,$Q8033+$P8034+$O8034)</f>
      </c>
      <c r="R8034" s="43">
        <f>IF($I8034=0,0,$J8034-$M8034-$N8034)</f>
      </c>
    </row>
    <row r="8035">
      <c r="A8035"/>
      <c r="B8035">
        <v>17</v>
      </c>
      <c r="C8035" s="43">
        <f>INDEX(DarlObj,17)</f>
      </c>
      <c r="D8035">
        <v>352</v>
      </c>
      <c r="E8035" s="51">
        <f>IF(INDEX(DarlBelegt,17)=0,0,EOMONTH(INDEX(DarlAuszahlung,17),351)+1)</f>
      </c>
      <c r="F8035" s="43">
        <f>IF($E8035=0,0,YEAR($E8035))</f>
      </c>
      <c r="G8035" s="43">
        <f>IF(INDEX(DarlBindung,17)="",1,IF($E8035&lt;=INDEX(DarlBindung,17),1,0))</f>
      </c>
      <c r="H8035" s="43">
        <f>IF($G8035=1,INDEX(DarlSollzins,17),INDEX(DarlAnschluss,17))</f>
      </c>
      <c r="I8035" s="43">
        <f>IF(INDEX(DarlBelegt,17)=0,0,IF(INDEX(DarlOhneTilgung,17)=1,IF(INDEX(DarlBindung,17)="",1,$G8035),IF($J8035&gt;0.005,1,0)))</f>
      </c>
      <c r="J8035" s="43">
        <f>IF($I8034=0,0,$R8034)</f>
      </c>
      <c r="K8035" s="43">
        <f>IF($I8035=0,0,IF(INDEX(DarlOhneTilgung,17)=1,0,IF(AND(INDEX(DarlTilgStart,17)&gt;0,$E8035=INDEX(DarlTilgStart,17)),$J8035*($H8035+INDEX(DarlTilgung,17))/100/12,IF(AND($G8035=0,$G8034=1),MAX($K8034,$J8035*($H8035+1)/100/12),$K8034))))</f>
      </c>
      <c r="L8035" s="43">
        <f>IF($I8035=0,0,$J8035*$H8035/100/12)</f>
      </c>
      <c r="M8035" s="43">
        <f>IF($I8035=0,0,IF(OR(INDEX(DarlOhneTilgung,17)=1,AND(INDEX(DarlTilgStart,17)&gt;0,$E8035&lt;INDEX(DarlTilgStart,17))),0,MIN(MAX(0,$K8035-$L8035),$J8035)))</f>
      </c>
      <c r="N8035" s="43">
        <f>IF($I8035=0,0,MIN(SUMIFS(SondBetrag,SondDarl,17,SondDatum,"&gt;="&amp;$E8035,SondDatum,"&lt;="&amp;EOMONTH($E8035,0)),$J8035-$M8035))</f>
      </c>
      <c r="O8035" s="43">
        <f>IF($I8035=0,0,INDEX(DarlErsatzRate,17))</f>
      </c>
      <c r="P8035" s="43">
        <f>IF($I8035=0,0,$Q8034*INDEX(DarlErsatzZins,17))</f>
      </c>
      <c r="Q8035" s="43">
        <f>IF($I8035=0,0,$Q8034+$P8035+$O8035)</f>
      </c>
      <c r="R8035" s="43">
        <f>IF($I8035=0,0,$J8035-$M8035-$N8035)</f>
      </c>
    </row>
    <row r="8036">
      <c r="A8036"/>
      <c r="B8036">
        <v>17</v>
      </c>
      <c r="C8036" s="43">
        <f>INDEX(DarlObj,17)</f>
      </c>
      <c r="D8036">
        <v>353</v>
      </c>
      <c r="E8036" s="51">
        <f>IF(INDEX(DarlBelegt,17)=0,0,EOMONTH(INDEX(DarlAuszahlung,17),352)+1)</f>
      </c>
      <c r="F8036" s="43">
        <f>IF($E8036=0,0,YEAR($E8036))</f>
      </c>
      <c r="G8036" s="43">
        <f>IF(INDEX(DarlBindung,17)="",1,IF($E8036&lt;=INDEX(DarlBindung,17),1,0))</f>
      </c>
      <c r="H8036" s="43">
        <f>IF($G8036=1,INDEX(DarlSollzins,17),INDEX(DarlAnschluss,17))</f>
      </c>
      <c r="I8036" s="43">
        <f>IF(INDEX(DarlBelegt,17)=0,0,IF(INDEX(DarlOhneTilgung,17)=1,IF(INDEX(DarlBindung,17)="",1,$G8036),IF($J8036&gt;0.005,1,0)))</f>
      </c>
      <c r="J8036" s="43">
        <f>IF($I8035=0,0,$R8035)</f>
      </c>
      <c r="K8036" s="43">
        <f>IF($I8036=0,0,IF(INDEX(DarlOhneTilgung,17)=1,0,IF(AND(INDEX(DarlTilgStart,17)&gt;0,$E8036=INDEX(DarlTilgStart,17)),$J8036*($H8036+INDEX(DarlTilgung,17))/100/12,IF(AND($G8036=0,$G8035=1),MAX($K8035,$J8036*($H8036+1)/100/12),$K8035))))</f>
      </c>
      <c r="L8036" s="43">
        <f>IF($I8036=0,0,$J8036*$H8036/100/12)</f>
      </c>
      <c r="M8036" s="43">
        <f>IF($I8036=0,0,IF(OR(INDEX(DarlOhneTilgung,17)=1,AND(INDEX(DarlTilgStart,17)&gt;0,$E8036&lt;INDEX(DarlTilgStart,17))),0,MIN(MAX(0,$K8036-$L8036),$J8036)))</f>
      </c>
      <c r="N8036" s="43">
        <f>IF($I8036=0,0,MIN(SUMIFS(SondBetrag,SondDarl,17,SondDatum,"&gt;="&amp;$E8036,SondDatum,"&lt;="&amp;EOMONTH($E8036,0)),$J8036-$M8036))</f>
      </c>
      <c r="O8036" s="43">
        <f>IF($I8036=0,0,INDEX(DarlErsatzRate,17))</f>
      </c>
      <c r="P8036" s="43">
        <f>IF($I8036=0,0,$Q8035*INDEX(DarlErsatzZins,17))</f>
      </c>
      <c r="Q8036" s="43">
        <f>IF($I8036=0,0,$Q8035+$P8036+$O8036)</f>
      </c>
      <c r="R8036" s="43">
        <f>IF($I8036=0,0,$J8036-$M8036-$N8036)</f>
      </c>
    </row>
    <row r="8037">
      <c r="A8037"/>
      <c r="B8037">
        <v>17</v>
      </c>
      <c r="C8037" s="43">
        <f>INDEX(DarlObj,17)</f>
      </c>
      <c r="D8037">
        <v>354</v>
      </c>
      <c r="E8037" s="51">
        <f>IF(INDEX(DarlBelegt,17)=0,0,EOMONTH(INDEX(DarlAuszahlung,17),353)+1)</f>
      </c>
      <c r="F8037" s="43">
        <f>IF($E8037=0,0,YEAR($E8037))</f>
      </c>
      <c r="G8037" s="43">
        <f>IF(INDEX(DarlBindung,17)="",1,IF($E8037&lt;=INDEX(DarlBindung,17),1,0))</f>
      </c>
      <c r="H8037" s="43">
        <f>IF($G8037=1,INDEX(DarlSollzins,17),INDEX(DarlAnschluss,17))</f>
      </c>
      <c r="I8037" s="43">
        <f>IF(INDEX(DarlBelegt,17)=0,0,IF(INDEX(DarlOhneTilgung,17)=1,IF(INDEX(DarlBindung,17)="",1,$G8037),IF($J8037&gt;0.005,1,0)))</f>
      </c>
      <c r="J8037" s="43">
        <f>IF($I8036=0,0,$R8036)</f>
      </c>
      <c r="K8037" s="43">
        <f>IF($I8037=0,0,IF(INDEX(DarlOhneTilgung,17)=1,0,IF(AND(INDEX(DarlTilgStart,17)&gt;0,$E8037=INDEX(DarlTilgStart,17)),$J8037*($H8037+INDEX(DarlTilgung,17))/100/12,IF(AND($G8037=0,$G8036=1),MAX($K8036,$J8037*($H8037+1)/100/12),$K8036))))</f>
      </c>
      <c r="L8037" s="43">
        <f>IF($I8037=0,0,$J8037*$H8037/100/12)</f>
      </c>
      <c r="M8037" s="43">
        <f>IF($I8037=0,0,IF(OR(INDEX(DarlOhneTilgung,17)=1,AND(INDEX(DarlTilgStart,17)&gt;0,$E8037&lt;INDEX(DarlTilgStart,17))),0,MIN(MAX(0,$K8037-$L8037),$J8037)))</f>
      </c>
      <c r="N8037" s="43">
        <f>IF($I8037=0,0,MIN(SUMIFS(SondBetrag,SondDarl,17,SondDatum,"&gt;="&amp;$E8037,SondDatum,"&lt;="&amp;EOMONTH($E8037,0)),$J8037-$M8037))</f>
      </c>
      <c r="O8037" s="43">
        <f>IF($I8037=0,0,INDEX(DarlErsatzRate,17))</f>
      </c>
      <c r="P8037" s="43">
        <f>IF($I8037=0,0,$Q8036*INDEX(DarlErsatzZins,17))</f>
      </c>
      <c r="Q8037" s="43">
        <f>IF($I8037=0,0,$Q8036+$P8037+$O8037)</f>
      </c>
      <c r="R8037" s="43">
        <f>IF($I8037=0,0,$J8037-$M8037-$N8037)</f>
      </c>
    </row>
    <row r="8038">
      <c r="A8038"/>
      <c r="B8038">
        <v>17</v>
      </c>
      <c r="C8038" s="43">
        <f>INDEX(DarlObj,17)</f>
      </c>
      <c r="D8038">
        <v>355</v>
      </c>
      <c r="E8038" s="51">
        <f>IF(INDEX(DarlBelegt,17)=0,0,EOMONTH(INDEX(DarlAuszahlung,17),354)+1)</f>
      </c>
      <c r="F8038" s="43">
        <f>IF($E8038=0,0,YEAR($E8038))</f>
      </c>
      <c r="G8038" s="43">
        <f>IF(INDEX(DarlBindung,17)="",1,IF($E8038&lt;=INDEX(DarlBindung,17),1,0))</f>
      </c>
      <c r="H8038" s="43">
        <f>IF($G8038=1,INDEX(DarlSollzins,17),INDEX(DarlAnschluss,17))</f>
      </c>
      <c r="I8038" s="43">
        <f>IF(INDEX(DarlBelegt,17)=0,0,IF(INDEX(DarlOhneTilgung,17)=1,IF(INDEX(DarlBindung,17)="",1,$G8038),IF($J8038&gt;0.005,1,0)))</f>
      </c>
      <c r="J8038" s="43">
        <f>IF($I8037=0,0,$R8037)</f>
      </c>
      <c r="K8038" s="43">
        <f>IF($I8038=0,0,IF(INDEX(DarlOhneTilgung,17)=1,0,IF(AND(INDEX(DarlTilgStart,17)&gt;0,$E8038=INDEX(DarlTilgStart,17)),$J8038*($H8038+INDEX(DarlTilgung,17))/100/12,IF(AND($G8038=0,$G8037=1),MAX($K8037,$J8038*($H8038+1)/100/12),$K8037))))</f>
      </c>
      <c r="L8038" s="43">
        <f>IF($I8038=0,0,$J8038*$H8038/100/12)</f>
      </c>
      <c r="M8038" s="43">
        <f>IF($I8038=0,0,IF(OR(INDEX(DarlOhneTilgung,17)=1,AND(INDEX(DarlTilgStart,17)&gt;0,$E8038&lt;INDEX(DarlTilgStart,17))),0,MIN(MAX(0,$K8038-$L8038),$J8038)))</f>
      </c>
      <c r="N8038" s="43">
        <f>IF($I8038=0,0,MIN(SUMIFS(SondBetrag,SondDarl,17,SondDatum,"&gt;="&amp;$E8038,SondDatum,"&lt;="&amp;EOMONTH($E8038,0)),$J8038-$M8038))</f>
      </c>
      <c r="O8038" s="43">
        <f>IF($I8038=0,0,INDEX(DarlErsatzRate,17))</f>
      </c>
      <c r="P8038" s="43">
        <f>IF($I8038=0,0,$Q8037*INDEX(DarlErsatzZins,17))</f>
      </c>
      <c r="Q8038" s="43">
        <f>IF($I8038=0,0,$Q8037+$P8038+$O8038)</f>
      </c>
      <c r="R8038" s="43">
        <f>IF($I8038=0,0,$J8038-$M8038-$N8038)</f>
      </c>
    </row>
    <row r="8039">
      <c r="A8039"/>
      <c r="B8039">
        <v>17</v>
      </c>
      <c r="C8039" s="43">
        <f>INDEX(DarlObj,17)</f>
      </c>
      <c r="D8039">
        <v>356</v>
      </c>
      <c r="E8039" s="51">
        <f>IF(INDEX(DarlBelegt,17)=0,0,EOMONTH(INDEX(DarlAuszahlung,17),355)+1)</f>
      </c>
      <c r="F8039" s="43">
        <f>IF($E8039=0,0,YEAR($E8039))</f>
      </c>
      <c r="G8039" s="43">
        <f>IF(INDEX(DarlBindung,17)="",1,IF($E8039&lt;=INDEX(DarlBindung,17),1,0))</f>
      </c>
      <c r="H8039" s="43">
        <f>IF($G8039=1,INDEX(DarlSollzins,17),INDEX(DarlAnschluss,17))</f>
      </c>
      <c r="I8039" s="43">
        <f>IF(INDEX(DarlBelegt,17)=0,0,IF(INDEX(DarlOhneTilgung,17)=1,IF(INDEX(DarlBindung,17)="",1,$G8039),IF($J8039&gt;0.005,1,0)))</f>
      </c>
      <c r="J8039" s="43">
        <f>IF($I8038=0,0,$R8038)</f>
      </c>
      <c r="K8039" s="43">
        <f>IF($I8039=0,0,IF(INDEX(DarlOhneTilgung,17)=1,0,IF(AND(INDEX(DarlTilgStart,17)&gt;0,$E8039=INDEX(DarlTilgStart,17)),$J8039*($H8039+INDEX(DarlTilgung,17))/100/12,IF(AND($G8039=0,$G8038=1),MAX($K8038,$J8039*($H8039+1)/100/12),$K8038))))</f>
      </c>
      <c r="L8039" s="43">
        <f>IF($I8039=0,0,$J8039*$H8039/100/12)</f>
      </c>
      <c r="M8039" s="43">
        <f>IF($I8039=0,0,IF(OR(INDEX(DarlOhneTilgung,17)=1,AND(INDEX(DarlTilgStart,17)&gt;0,$E8039&lt;INDEX(DarlTilgStart,17))),0,MIN(MAX(0,$K8039-$L8039),$J8039)))</f>
      </c>
      <c r="N8039" s="43">
        <f>IF($I8039=0,0,MIN(SUMIFS(SondBetrag,SondDarl,17,SondDatum,"&gt;="&amp;$E8039,SondDatum,"&lt;="&amp;EOMONTH($E8039,0)),$J8039-$M8039))</f>
      </c>
      <c r="O8039" s="43">
        <f>IF($I8039=0,0,INDEX(DarlErsatzRate,17))</f>
      </c>
      <c r="P8039" s="43">
        <f>IF($I8039=0,0,$Q8038*INDEX(DarlErsatzZins,17))</f>
      </c>
      <c r="Q8039" s="43">
        <f>IF($I8039=0,0,$Q8038+$P8039+$O8039)</f>
      </c>
      <c r="R8039" s="43">
        <f>IF($I8039=0,0,$J8039-$M8039-$N8039)</f>
      </c>
    </row>
    <row r="8040">
      <c r="A8040"/>
      <c r="B8040">
        <v>17</v>
      </c>
      <c r="C8040" s="43">
        <f>INDEX(DarlObj,17)</f>
      </c>
      <c r="D8040">
        <v>357</v>
      </c>
      <c r="E8040" s="51">
        <f>IF(INDEX(DarlBelegt,17)=0,0,EOMONTH(INDEX(DarlAuszahlung,17),356)+1)</f>
      </c>
      <c r="F8040" s="43">
        <f>IF($E8040=0,0,YEAR($E8040))</f>
      </c>
      <c r="G8040" s="43">
        <f>IF(INDEX(DarlBindung,17)="",1,IF($E8040&lt;=INDEX(DarlBindung,17),1,0))</f>
      </c>
      <c r="H8040" s="43">
        <f>IF($G8040=1,INDEX(DarlSollzins,17),INDEX(DarlAnschluss,17))</f>
      </c>
      <c r="I8040" s="43">
        <f>IF(INDEX(DarlBelegt,17)=0,0,IF(INDEX(DarlOhneTilgung,17)=1,IF(INDEX(DarlBindung,17)="",1,$G8040),IF($J8040&gt;0.005,1,0)))</f>
      </c>
      <c r="J8040" s="43">
        <f>IF($I8039=0,0,$R8039)</f>
      </c>
      <c r="K8040" s="43">
        <f>IF($I8040=0,0,IF(INDEX(DarlOhneTilgung,17)=1,0,IF(AND(INDEX(DarlTilgStart,17)&gt;0,$E8040=INDEX(DarlTilgStart,17)),$J8040*($H8040+INDEX(DarlTilgung,17))/100/12,IF(AND($G8040=0,$G8039=1),MAX($K8039,$J8040*($H8040+1)/100/12),$K8039))))</f>
      </c>
      <c r="L8040" s="43">
        <f>IF($I8040=0,0,$J8040*$H8040/100/12)</f>
      </c>
      <c r="M8040" s="43">
        <f>IF($I8040=0,0,IF(OR(INDEX(DarlOhneTilgung,17)=1,AND(INDEX(DarlTilgStart,17)&gt;0,$E8040&lt;INDEX(DarlTilgStart,17))),0,MIN(MAX(0,$K8040-$L8040),$J8040)))</f>
      </c>
      <c r="N8040" s="43">
        <f>IF($I8040=0,0,MIN(SUMIFS(SondBetrag,SondDarl,17,SondDatum,"&gt;="&amp;$E8040,SondDatum,"&lt;="&amp;EOMONTH($E8040,0)),$J8040-$M8040))</f>
      </c>
      <c r="O8040" s="43">
        <f>IF($I8040=0,0,INDEX(DarlErsatzRate,17))</f>
      </c>
      <c r="P8040" s="43">
        <f>IF($I8040=0,0,$Q8039*INDEX(DarlErsatzZins,17))</f>
      </c>
      <c r="Q8040" s="43">
        <f>IF($I8040=0,0,$Q8039+$P8040+$O8040)</f>
      </c>
      <c r="R8040" s="43">
        <f>IF($I8040=0,0,$J8040-$M8040-$N8040)</f>
      </c>
    </row>
    <row r="8041">
      <c r="A8041"/>
      <c r="B8041">
        <v>17</v>
      </c>
      <c r="C8041" s="43">
        <f>INDEX(DarlObj,17)</f>
      </c>
      <c r="D8041">
        <v>358</v>
      </c>
      <c r="E8041" s="51">
        <f>IF(INDEX(DarlBelegt,17)=0,0,EOMONTH(INDEX(DarlAuszahlung,17),357)+1)</f>
      </c>
      <c r="F8041" s="43">
        <f>IF($E8041=0,0,YEAR($E8041))</f>
      </c>
      <c r="G8041" s="43">
        <f>IF(INDEX(DarlBindung,17)="",1,IF($E8041&lt;=INDEX(DarlBindung,17),1,0))</f>
      </c>
      <c r="H8041" s="43">
        <f>IF($G8041=1,INDEX(DarlSollzins,17),INDEX(DarlAnschluss,17))</f>
      </c>
      <c r="I8041" s="43">
        <f>IF(INDEX(DarlBelegt,17)=0,0,IF(INDEX(DarlOhneTilgung,17)=1,IF(INDEX(DarlBindung,17)="",1,$G8041),IF($J8041&gt;0.005,1,0)))</f>
      </c>
      <c r="J8041" s="43">
        <f>IF($I8040=0,0,$R8040)</f>
      </c>
      <c r="K8041" s="43">
        <f>IF($I8041=0,0,IF(INDEX(DarlOhneTilgung,17)=1,0,IF(AND(INDEX(DarlTilgStart,17)&gt;0,$E8041=INDEX(DarlTilgStart,17)),$J8041*($H8041+INDEX(DarlTilgung,17))/100/12,IF(AND($G8041=0,$G8040=1),MAX($K8040,$J8041*($H8041+1)/100/12),$K8040))))</f>
      </c>
      <c r="L8041" s="43">
        <f>IF($I8041=0,0,$J8041*$H8041/100/12)</f>
      </c>
      <c r="M8041" s="43">
        <f>IF($I8041=0,0,IF(OR(INDEX(DarlOhneTilgung,17)=1,AND(INDEX(DarlTilgStart,17)&gt;0,$E8041&lt;INDEX(DarlTilgStart,17))),0,MIN(MAX(0,$K8041-$L8041),$J8041)))</f>
      </c>
      <c r="N8041" s="43">
        <f>IF($I8041=0,0,MIN(SUMIFS(SondBetrag,SondDarl,17,SondDatum,"&gt;="&amp;$E8041,SondDatum,"&lt;="&amp;EOMONTH($E8041,0)),$J8041-$M8041))</f>
      </c>
      <c r="O8041" s="43">
        <f>IF($I8041=0,0,INDEX(DarlErsatzRate,17))</f>
      </c>
      <c r="P8041" s="43">
        <f>IF($I8041=0,0,$Q8040*INDEX(DarlErsatzZins,17))</f>
      </c>
      <c r="Q8041" s="43">
        <f>IF($I8041=0,0,$Q8040+$P8041+$O8041)</f>
      </c>
      <c r="R8041" s="43">
        <f>IF($I8041=0,0,$J8041-$M8041-$N8041)</f>
      </c>
    </row>
    <row r="8042">
      <c r="A8042"/>
      <c r="B8042">
        <v>17</v>
      </c>
      <c r="C8042" s="43">
        <f>INDEX(DarlObj,17)</f>
      </c>
      <c r="D8042">
        <v>359</v>
      </c>
      <c r="E8042" s="51">
        <f>IF(INDEX(DarlBelegt,17)=0,0,EOMONTH(INDEX(DarlAuszahlung,17),358)+1)</f>
      </c>
      <c r="F8042" s="43">
        <f>IF($E8042=0,0,YEAR($E8042))</f>
      </c>
      <c r="G8042" s="43">
        <f>IF(INDEX(DarlBindung,17)="",1,IF($E8042&lt;=INDEX(DarlBindung,17),1,0))</f>
      </c>
      <c r="H8042" s="43">
        <f>IF($G8042=1,INDEX(DarlSollzins,17),INDEX(DarlAnschluss,17))</f>
      </c>
      <c r="I8042" s="43">
        <f>IF(INDEX(DarlBelegt,17)=0,0,IF(INDEX(DarlOhneTilgung,17)=1,IF(INDEX(DarlBindung,17)="",1,$G8042),IF($J8042&gt;0.005,1,0)))</f>
      </c>
      <c r="J8042" s="43">
        <f>IF($I8041=0,0,$R8041)</f>
      </c>
      <c r="K8042" s="43">
        <f>IF($I8042=0,0,IF(INDEX(DarlOhneTilgung,17)=1,0,IF(AND(INDEX(DarlTilgStart,17)&gt;0,$E8042=INDEX(DarlTilgStart,17)),$J8042*($H8042+INDEX(DarlTilgung,17))/100/12,IF(AND($G8042=0,$G8041=1),MAX($K8041,$J8042*($H8042+1)/100/12),$K8041))))</f>
      </c>
      <c r="L8042" s="43">
        <f>IF($I8042=0,0,$J8042*$H8042/100/12)</f>
      </c>
      <c r="M8042" s="43">
        <f>IF($I8042=0,0,IF(OR(INDEX(DarlOhneTilgung,17)=1,AND(INDEX(DarlTilgStart,17)&gt;0,$E8042&lt;INDEX(DarlTilgStart,17))),0,MIN(MAX(0,$K8042-$L8042),$J8042)))</f>
      </c>
      <c r="N8042" s="43">
        <f>IF($I8042=0,0,MIN(SUMIFS(SondBetrag,SondDarl,17,SondDatum,"&gt;="&amp;$E8042,SondDatum,"&lt;="&amp;EOMONTH($E8042,0)),$J8042-$M8042))</f>
      </c>
      <c r="O8042" s="43">
        <f>IF($I8042=0,0,INDEX(DarlErsatzRate,17))</f>
      </c>
      <c r="P8042" s="43">
        <f>IF($I8042=0,0,$Q8041*INDEX(DarlErsatzZins,17))</f>
      </c>
      <c r="Q8042" s="43">
        <f>IF($I8042=0,0,$Q8041+$P8042+$O8042)</f>
      </c>
      <c r="R8042" s="43">
        <f>IF($I8042=0,0,$J8042-$M8042-$N8042)</f>
      </c>
    </row>
    <row r="8043">
      <c r="A8043"/>
      <c r="B8043">
        <v>17</v>
      </c>
      <c r="C8043" s="43">
        <f>INDEX(DarlObj,17)</f>
      </c>
      <c r="D8043">
        <v>360</v>
      </c>
      <c r="E8043" s="51">
        <f>IF(INDEX(DarlBelegt,17)=0,0,EOMONTH(INDEX(DarlAuszahlung,17),359)+1)</f>
      </c>
      <c r="F8043" s="43">
        <f>IF($E8043=0,0,YEAR($E8043))</f>
      </c>
      <c r="G8043" s="43">
        <f>IF(INDEX(DarlBindung,17)="",1,IF($E8043&lt;=INDEX(DarlBindung,17),1,0))</f>
      </c>
      <c r="H8043" s="43">
        <f>IF($G8043=1,INDEX(DarlSollzins,17),INDEX(DarlAnschluss,17))</f>
      </c>
      <c r="I8043" s="43">
        <f>IF(INDEX(DarlBelegt,17)=0,0,IF(INDEX(DarlOhneTilgung,17)=1,IF(INDEX(DarlBindung,17)="",1,$G8043),IF($J8043&gt;0.005,1,0)))</f>
      </c>
      <c r="J8043" s="43">
        <f>IF($I8042=0,0,$R8042)</f>
      </c>
      <c r="K8043" s="43">
        <f>IF($I8043=0,0,IF(INDEX(DarlOhneTilgung,17)=1,0,IF(AND(INDEX(DarlTilgStart,17)&gt;0,$E8043=INDEX(DarlTilgStart,17)),$J8043*($H8043+INDEX(DarlTilgung,17))/100/12,IF(AND($G8043=0,$G8042=1),MAX($K8042,$J8043*($H8043+1)/100/12),$K8042))))</f>
      </c>
      <c r="L8043" s="43">
        <f>IF($I8043=0,0,$J8043*$H8043/100/12)</f>
      </c>
      <c r="M8043" s="43">
        <f>IF($I8043=0,0,IF(OR(INDEX(DarlOhneTilgung,17)=1,AND(INDEX(DarlTilgStart,17)&gt;0,$E8043&lt;INDEX(DarlTilgStart,17))),0,MIN(MAX(0,$K8043-$L8043),$J8043)))</f>
      </c>
      <c r="N8043" s="43">
        <f>IF($I8043=0,0,MIN(SUMIFS(SondBetrag,SondDarl,17,SondDatum,"&gt;="&amp;$E8043,SondDatum,"&lt;="&amp;EOMONTH($E8043,0)),$J8043-$M8043))</f>
      </c>
      <c r="O8043" s="43">
        <f>IF($I8043=0,0,INDEX(DarlErsatzRate,17))</f>
      </c>
      <c r="P8043" s="43">
        <f>IF($I8043=0,0,$Q8042*INDEX(DarlErsatzZins,17))</f>
      </c>
      <c r="Q8043" s="43">
        <f>IF($I8043=0,0,$Q8042+$P8043+$O8043)</f>
      </c>
      <c r="R8043" s="43">
        <f>IF($I8043=0,0,$J8043-$M8043-$N8043)</f>
      </c>
    </row>
    <row r="8044">
      <c r="A8044"/>
      <c r="B8044">
        <v>17</v>
      </c>
      <c r="C8044" s="43">
        <f>INDEX(DarlObj,17)</f>
      </c>
      <c r="D8044">
        <v>361</v>
      </c>
      <c r="E8044" s="51">
        <f>IF(INDEX(DarlBelegt,17)=0,0,EOMONTH(INDEX(DarlAuszahlung,17),360)+1)</f>
      </c>
      <c r="F8044" s="43">
        <f>IF($E8044=0,0,YEAR($E8044))</f>
      </c>
      <c r="G8044" s="43">
        <f>IF(INDEX(DarlBindung,17)="",1,IF($E8044&lt;=INDEX(DarlBindung,17),1,0))</f>
      </c>
      <c r="H8044" s="43">
        <f>IF($G8044=1,INDEX(DarlSollzins,17),INDEX(DarlAnschluss,17))</f>
      </c>
      <c r="I8044" s="43">
        <f>IF(INDEX(DarlBelegt,17)=0,0,IF(INDEX(DarlOhneTilgung,17)=1,IF(INDEX(DarlBindung,17)="",1,$G8044),IF($J8044&gt;0.005,1,0)))</f>
      </c>
      <c r="J8044" s="43">
        <f>IF($I8043=0,0,$R8043)</f>
      </c>
      <c r="K8044" s="43">
        <f>IF($I8044=0,0,IF(INDEX(DarlOhneTilgung,17)=1,0,IF(AND(INDEX(DarlTilgStart,17)&gt;0,$E8044=INDEX(DarlTilgStart,17)),$J8044*($H8044+INDEX(DarlTilgung,17))/100/12,IF(AND($G8044=0,$G8043=1),MAX($K8043,$J8044*($H8044+1)/100/12),$K8043))))</f>
      </c>
      <c r="L8044" s="43">
        <f>IF($I8044=0,0,$J8044*$H8044/100/12)</f>
      </c>
      <c r="M8044" s="43">
        <f>IF($I8044=0,0,IF(OR(INDEX(DarlOhneTilgung,17)=1,AND(INDEX(DarlTilgStart,17)&gt;0,$E8044&lt;INDEX(DarlTilgStart,17))),0,MIN(MAX(0,$K8044-$L8044),$J8044)))</f>
      </c>
      <c r="N8044" s="43">
        <f>IF($I8044=0,0,MIN(SUMIFS(SondBetrag,SondDarl,17,SondDatum,"&gt;="&amp;$E8044,SondDatum,"&lt;="&amp;EOMONTH($E8044,0)),$J8044-$M8044))</f>
      </c>
      <c r="O8044" s="43">
        <f>IF($I8044=0,0,INDEX(DarlErsatzRate,17))</f>
      </c>
      <c r="P8044" s="43">
        <f>IF($I8044=0,0,$Q8043*INDEX(DarlErsatzZins,17))</f>
      </c>
      <c r="Q8044" s="43">
        <f>IF($I8044=0,0,$Q8043+$P8044+$O8044)</f>
      </c>
      <c r="R8044" s="43">
        <f>IF($I8044=0,0,$J8044-$M8044-$N8044)</f>
      </c>
    </row>
    <row r="8045">
      <c r="A8045"/>
      <c r="B8045">
        <v>17</v>
      </c>
      <c r="C8045" s="43">
        <f>INDEX(DarlObj,17)</f>
      </c>
      <c r="D8045">
        <v>362</v>
      </c>
      <c r="E8045" s="51">
        <f>IF(INDEX(DarlBelegt,17)=0,0,EOMONTH(INDEX(DarlAuszahlung,17),361)+1)</f>
      </c>
      <c r="F8045" s="43">
        <f>IF($E8045=0,0,YEAR($E8045))</f>
      </c>
      <c r="G8045" s="43">
        <f>IF(INDEX(DarlBindung,17)="",1,IF($E8045&lt;=INDEX(DarlBindung,17),1,0))</f>
      </c>
      <c r="H8045" s="43">
        <f>IF($G8045=1,INDEX(DarlSollzins,17),INDEX(DarlAnschluss,17))</f>
      </c>
      <c r="I8045" s="43">
        <f>IF(INDEX(DarlBelegt,17)=0,0,IF(INDEX(DarlOhneTilgung,17)=1,IF(INDEX(DarlBindung,17)="",1,$G8045),IF($J8045&gt;0.005,1,0)))</f>
      </c>
      <c r="J8045" s="43">
        <f>IF($I8044=0,0,$R8044)</f>
      </c>
      <c r="K8045" s="43">
        <f>IF($I8045=0,0,IF(INDEX(DarlOhneTilgung,17)=1,0,IF(AND(INDEX(DarlTilgStart,17)&gt;0,$E8045=INDEX(DarlTilgStart,17)),$J8045*($H8045+INDEX(DarlTilgung,17))/100/12,IF(AND($G8045=0,$G8044=1),MAX($K8044,$J8045*($H8045+1)/100/12),$K8044))))</f>
      </c>
      <c r="L8045" s="43">
        <f>IF($I8045=0,0,$J8045*$H8045/100/12)</f>
      </c>
      <c r="M8045" s="43">
        <f>IF($I8045=0,0,IF(OR(INDEX(DarlOhneTilgung,17)=1,AND(INDEX(DarlTilgStart,17)&gt;0,$E8045&lt;INDEX(DarlTilgStart,17))),0,MIN(MAX(0,$K8045-$L8045),$J8045)))</f>
      </c>
      <c r="N8045" s="43">
        <f>IF($I8045=0,0,MIN(SUMIFS(SondBetrag,SondDarl,17,SondDatum,"&gt;="&amp;$E8045,SondDatum,"&lt;="&amp;EOMONTH($E8045,0)),$J8045-$M8045))</f>
      </c>
      <c r="O8045" s="43">
        <f>IF($I8045=0,0,INDEX(DarlErsatzRate,17))</f>
      </c>
      <c r="P8045" s="43">
        <f>IF($I8045=0,0,$Q8044*INDEX(DarlErsatzZins,17))</f>
      </c>
      <c r="Q8045" s="43">
        <f>IF($I8045=0,0,$Q8044+$P8045+$O8045)</f>
      </c>
      <c r="R8045" s="43">
        <f>IF($I8045=0,0,$J8045-$M8045-$N8045)</f>
      </c>
    </row>
    <row r="8046">
      <c r="A8046"/>
      <c r="B8046">
        <v>17</v>
      </c>
      <c r="C8046" s="43">
        <f>INDEX(DarlObj,17)</f>
      </c>
      <c r="D8046">
        <v>363</v>
      </c>
      <c r="E8046" s="51">
        <f>IF(INDEX(DarlBelegt,17)=0,0,EOMONTH(INDEX(DarlAuszahlung,17),362)+1)</f>
      </c>
      <c r="F8046" s="43">
        <f>IF($E8046=0,0,YEAR($E8046))</f>
      </c>
      <c r="G8046" s="43">
        <f>IF(INDEX(DarlBindung,17)="",1,IF($E8046&lt;=INDEX(DarlBindung,17),1,0))</f>
      </c>
      <c r="H8046" s="43">
        <f>IF($G8046=1,INDEX(DarlSollzins,17),INDEX(DarlAnschluss,17))</f>
      </c>
      <c r="I8046" s="43">
        <f>IF(INDEX(DarlBelegt,17)=0,0,IF(INDEX(DarlOhneTilgung,17)=1,IF(INDEX(DarlBindung,17)="",1,$G8046),IF($J8046&gt;0.005,1,0)))</f>
      </c>
      <c r="J8046" s="43">
        <f>IF($I8045=0,0,$R8045)</f>
      </c>
      <c r="K8046" s="43">
        <f>IF($I8046=0,0,IF(INDEX(DarlOhneTilgung,17)=1,0,IF(AND(INDEX(DarlTilgStart,17)&gt;0,$E8046=INDEX(DarlTilgStart,17)),$J8046*($H8046+INDEX(DarlTilgung,17))/100/12,IF(AND($G8046=0,$G8045=1),MAX($K8045,$J8046*($H8046+1)/100/12),$K8045))))</f>
      </c>
      <c r="L8046" s="43">
        <f>IF($I8046=0,0,$J8046*$H8046/100/12)</f>
      </c>
      <c r="M8046" s="43">
        <f>IF($I8046=0,0,IF(OR(INDEX(DarlOhneTilgung,17)=1,AND(INDEX(DarlTilgStart,17)&gt;0,$E8046&lt;INDEX(DarlTilgStart,17))),0,MIN(MAX(0,$K8046-$L8046),$J8046)))</f>
      </c>
      <c r="N8046" s="43">
        <f>IF($I8046=0,0,MIN(SUMIFS(SondBetrag,SondDarl,17,SondDatum,"&gt;="&amp;$E8046,SondDatum,"&lt;="&amp;EOMONTH($E8046,0)),$J8046-$M8046))</f>
      </c>
      <c r="O8046" s="43">
        <f>IF($I8046=0,0,INDEX(DarlErsatzRate,17))</f>
      </c>
      <c r="P8046" s="43">
        <f>IF($I8046=0,0,$Q8045*INDEX(DarlErsatzZins,17))</f>
      </c>
      <c r="Q8046" s="43">
        <f>IF($I8046=0,0,$Q8045+$P8046+$O8046)</f>
      </c>
      <c r="R8046" s="43">
        <f>IF($I8046=0,0,$J8046-$M8046-$N8046)</f>
      </c>
    </row>
    <row r="8047">
      <c r="A8047"/>
      <c r="B8047">
        <v>17</v>
      </c>
      <c r="C8047" s="43">
        <f>INDEX(DarlObj,17)</f>
      </c>
      <c r="D8047">
        <v>364</v>
      </c>
      <c r="E8047" s="51">
        <f>IF(INDEX(DarlBelegt,17)=0,0,EOMONTH(INDEX(DarlAuszahlung,17),363)+1)</f>
      </c>
      <c r="F8047" s="43">
        <f>IF($E8047=0,0,YEAR($E8047))</f>
      </c>
      <c r="G8047" s="43">
        <f>IF(INDEX(DarlBindung,17)="",1,IF($E8047&lt;=INDEX(DarlBindung,17),1,0))</f>
      </c>
      <c r="H8047" s="43">
        <f>IF($G8047=1,INDEX(DarlSollzins,17),INDEX(DarlAnschluss,17))</f>
      </c>
      <c r="I8047" s="43">
        <f>IF(INDEX(DarlBelegt,17)=0,0,IF(INDEX(DarlOhneTilgung,17)=1,IF(INDEX(DarlBindung,17)="",1,$G8047),IF($J8047&gt;0.005,1,0)))</f>
      </c>
      <c r="J8047" s="43">
        <f>IF($I8046=0,0,$R8046)</f>
      </c>
      <c r="K8047" s="43">
        <f>IF($I8047=0,0,IF(INDEX(DarlOhneTilgung,17)=1,0,IF(AND(INDEX(DarlTilgStart,17)&gt;0,$E8047=INDEX(DarlTilgStart,17)),$J8047*($H8047+INDEX(DarlTilgung,17))/100/12,IF(AND($G8047=0,$G8046=1),MAX($K8046,$J8047*($H8047+1)/100/12),$K8046))))</f>
      </c>
      <c r="L8047" s="43">
        <f>IF($I8047=0,0,$J8047*$H8047/100/12)</f>
      </c>
      <c r="M8047" s="43">
        <f>IF($I8047=0,0,IF(OR(INDEX(DarlOhneTilgung,17)=1,AND(INDEX(DarlTilgStart,17)&gt;0,$E8047&lt;INDEX(DarlTilgStart,17))),0,MIN(MAX(0,$K8047-$L8047),$J8047)))</f>
      </c>
      <c r="N8047" s="43">
        <f>IF($I8047=0,0,MIN(SUMIFS(SondBetrag,SondDarl,17,SondDatum,"&gt;="&amp;$E8047,SondDatum,"&lt;="&amp;EOMONTH($E8047,0)),$J8047-$M8047))</f>
      </c>
      <c r="O8047" s="43">
        <f>IF($I8047=0,0,INDEX(DarlErsatzRate,17))</f>
      </c>
      <c r="P8047" s="43">
        <f>IF($I8047=0,0,$Q8046*INDEX(DarlErsatzZins,17))</f>
      </c>
      <c r="Q8047" s="43">
        <f>IF($I8047=0,0,$Q8046+$P8047+$O8047)</f>
      </c>
      <c r="R8047" s="43">
        <f>IF($I8047=0,0,$J8047-$M8047-$N8047)</f>
      </c>
    </row>
    <row r="8048">
      <c r="A8048"/>
      <c r="B8048">
        <v>17</v>
      </c>
      <c r="C8048" s="43">
        <f>INDEX(DarlObj,17)</f>
      </c>
      <c r="D8048">
        <v>365</v>
      </c>
      <c r="E8048" s="51">
        <f>IF(INDEX(DarlBelegt,17)=0,0,EOMONTH(INDEX(DarlAuszahlung,17),364)+1)</f>
      </c>
      <c r="F8048" s="43">
        <f>IF($E8048=0,0,YEAR($E8048))</f>
      </c>
      <c r="G8048" s="43">
        <f>IF(INDEX(DarlBindung,17)="",1,IF($E8048&lt;=INDEX(DarlBindung,17),1,0))</f>
      </c>
      <c r="H8048" s="43">
        <f>IF($G8048=1,INDEX(DarlSollzins,17),INDEX(DarlAnschluss,17))</f>
      </c>
      <c r="I8048" s="43">
        <f>IF(INDEX(DarlBelegt,17)=0,0,IF(INDEX(DarlOhneTilgung,17)=1,IF(INDEX(DarlBindung,17)="",1,$G8048),IF($J8048&gt;0.005,1,0)))</f>
      </c>
      <c r="J8048" s="43">
        <f>IF($I8047=0,0,$R8047)</f>
      </c>
      <c r="K8048" s="43">
        <f>IF($I8048=0,0,IF(INDEX(DarlOhneTilgung,17)=1,0,IF(AND(INDEX(DarlTilgStart,17)&gt;0,$E8048=INDEX(DarlTilgStart,17)),$J8048*($H8048+INDEX(DarlTilgung,17))/100/12,IF(AND($G8048=0,$G8047=1),MAX($K8047,$J8048*($H8048+1)/100/12),$K8047))))</f>
      </c>
      <c r="L8048" s="43">
        <f>IF($I8048=0,0,$J8048*$H8048/100/12)</f>
      </c>
      <c r="M8048" s="43">
        <f>IF($I8048=0,0,IF(OR(INDEX(DarlOhneTilgung,17)=1,AND(INDEX(DarlTilgStart,17)&gt;0,$E8048&lt;INDEX(DarlTilgStart,17))),0,MIN(MAX(0,$K8048-$L8048),$J8048)))</f>
      </c>
      <c r="N8048" s="43">
        <f>IF($I8048=0,0,MIN(SUMIFS(SondBetrag,SondDarl,17,SondDatum,"&gt;="&amp;$E8048,SondDatum,"&lt;="&amp;EOMONTH($E8048,0)),$J8048-$M8048))</f>
      </c>
      <c r="O8048" s="43">
        <f>IF($I8048=0,0,INDEX(DarlErsatzRate,17))</f>
      </c>
      <c r="P8048" s="43">
        <f>IF($I8048=0,0,$Q8047*INDEX(DarlErsatzZins,17))</f>
      </c>
      <c r="Q8048" s="43">
        <f>IF($I8048=0,0,$Q8047+$P8048+$O8048)</f>
      </c>
      <c r="R8048" s="43">
        <f>IF($I8048=0,0,$J8048-$M8048-$N8048)</f>
      </c>
    </row>
    <row r="8049">
      <c r="A8049"/>
      <c r="B8049">
        <v>17</v>
      </c>
      <c r="C8049" s="43">
        <f>INDEX(DarlObj,17)</f>
      </c>
      <c r="D8049">
        <v>366</v>
      </c>
      <c r="E8049" s="51">
        <f>IF(INDEX(DarlBelegt,17)=0,0,EOMONTH(INDEX(DarlAuszahlung,17),365)+1)</f>
      </c>
      <c r="F8049" s="43">
        <f>IF($E8049=0,0,YEAR($E8049))</f>
      </c>
      <c r="G8049" s="43">
        <f>IF(INDEX(DarlBindung,17)="",1,IF($E8049&lt;=INDEX(DarlBindung,17),1,0))</f>
      </c>
      <c r="H8049" s="43">
        <f>IF($G8049=1,INDEX(DarlSollzins,17),INDEX(DarlAnschluss,17))</f>
      </c>
      <c r="I8049" s="43">
        <f>IF(INDEX(DarlBelegt,17)=0,0,IF(INDEX(DarlOhneTilgung,17)=1,IF(INDEX(DarlBindung,17)="",1,$G8049),IF($J8049&gt;0.005,1,0)))</f>
      </c>
      <c r="J8049" s="43">
        <f>IF($I8048=0,0,$R8048)</f>
      </c>
      <c r="K8049" s="43">
        <f>IF($I8049=0,0,IF(INDEX(DarlOhneTilgung,17)=1,0,IF(AND(INDEX(DarlTilgStart,17)&gt;0,$E8049=INDEX(DarlTilgStart,17)),$J8049*($H8049+INDEX(DarlTilgung,17))/100/12,IF(AND($G8049=0,$G8048=1),MAX($K8048,$J8049*($H8049+1)/100/12),$K8048))))</f>
      </c>
      <c r="L8049" s="43">
        <f>IF($I8049=0,0,$J8049*$H8049/100/12)</f>
      </c>
      <c r="M8049" s="43">
        <f>IF($I8049=0,0,IF(OR(INDEX(DarlOhneTilgung,17)=1,AND(INDEX(DarlTilgStart,17)&gt;0,$E8049&lt;INDEX(DarlTilgStart,17))),0,MIN(MAX(0,$K8049-$L8049),$J8049)))</f>
      </c>
      <c r="N8049" s="43">
        <f>IF($I8049=0,0,MIN(SUMIFS(SondBetrag,SondDarl,17,SondDatum,"&gt;="&amp;$E8049,SondDatum,"&lt;="&amp;EOMONTH($E8049,0)),$J8049-$M8049))</f>
      </c>
      <c r="O8049" s="43">
        <f>IF($I8049=0,0,INDEX(DarlErsatzRate,17))</f>
      </c>
      <c r="P8049" s="43">
        <f>IF($I8049=0,0,$Q8048*INDEX(DarlErsatzZins,17))</f>
      </c>
      <c r="Q8049" s="43">
        <f>IF($I8049=0,0,$Q8048+$P8049+$O8049)</f>
      </c>
      <c r="R8049" s="43">
        <f>IF($I8049=0,0,$J8049-$M8049-$N8049)</f>
      </c>
    </row>
    <row r="8050">
      <c r="A8050"/>
      <c r="B8050">
        <v>17</v>
      </c>
      <c r="C8050" s="43">
        <f>INDEX(DarlObj,17)</f>
      </c>
      <c r="D8050">
        <v>367</v>
      </c>
      <c r="E8050" s="51">
        <f>IF(INDEX(DarlBelegt,17)=0,0,EOMONTH(INDEX(DarlAuszahlung,17),366)+1)</f>
      </c>
      <c r="F8050" s="43">
        <f>IF($E8050=0,0,YEAR($E8050))</f>
      </c>
      <c r="G8050" s="43">
        <f>IF(INDEX(DarlBindung,17)="",1,IF($E8050&lt;=INDEX(DarlBindung,17),1,0))</f>
      </c>
      <c r="H8050" s="43">
        <f>IF($G8050=1,INDEX(DarlSollzins,17),INDEX(DarlAnschluss,17))</f>
      </c>
      <c r="I8050" s="43">
        <f>IF(INDEX(DarlBelegt,17)=0,0,IF(INDEX(DarlOhneTilgung,17)=1,IF(INDEX(DarlBindung,17)="",1,$G8050),IF($J8050&gt;0.005,1,0)))</f>
      </c>
      <c r="J8050" s="43">
        <f>IF($I8049=0,0,$R8049)</f>
      </c>
      <c r="K8050" s="43">
        <f>IF($I8050=0,0,IF(INDEX(DarlOhneTilgung,17)=1,0,IF(AND(INDEX(DarlTilgStart,17)&gt;0,$E8050=INDEX(DarlTilgStart,17)),$J8050*($H8050+INDEX(DarlTilgung,17))/100/12,IF(AND($G8050=0,$G8049=1),MAX($K8049,$J8050*($H8050+1)/100/12),$K8049))))</f>
      </c>
      <c r="L8050" s="43">
        <f>IF($I8050=0,0,$J8050*$H8050/100/12)</f>
      </c>
      <c r="M8050" s="43">
        <f>IF($I8050=0,0,IF(OR(INDEX(DarlOhneTilgung,17)=1,AND(INDEX(DarlTilgStart,17)&gt;0,$E8050&lt;INDEX(DarlTilgStart,17))),0,MIN(MAX(0,$K8050-$L8050),$J8050)))</f>
      </c>
      <c r="N8050" s="43">
        <f>IF($I8050=0,0,MIN(SUMIFS(SondBetrag,SondDarl,17,SondDatum,"&gt;="&amp;$E8050,SondDatum,"&lt;="&amp;EOMONTH($E8050,0)),$J8050-$M8050))</f>
      </c>
      <c r="O8050" s="43">
        <f>IF($I8050=0,0,INDEX(DarlErsatzRate,17))</f>
      </c>
      <c r="P8050" s="43">
        <f>IF($I8050=0,0,$Q8049*INDEX(DarlErsatzZins,17))</f>
      </c>
      <c r="Q8050" s="43">
        <f>IF($I8050=0,0,$Q8049+$P8050+$O8050)</f>
      </c>
      <c r="R8050" s="43">
        <f>IF($I8050=0,0,$J8050-$M8050-$N8050)</f>
      </c>
    </row>
    <row r="8051">
      <c r="A8051"/>
      <c r="B8051">
        <v>17</v>
      </c>
      <c r="C8051" s="43">
        <f>INDEX(DarlObj,17)</f>
      </c>
      <c r="D8051">
        <v>368</v>
      </c>
      <c r="E8051" s="51">
        <f>IF(INDEX(DarlBelegt,17)=0,0,EOMONTH(INDEX(DarlAuszahlung,17),367)+1)</f>
      </c>
      <c r="F8051" s="43">
        <f>IF($E8051=0,0,YEAR($E8051))</f>
      </c>
      <c r="G8051" s="43">
        <f>IF(INDEX(DarlBindung,17)="",1,IF($E8051&lt;=INDEX(DarlBindung,17),1,0))</f>
      </c>
      <c r="H8051" s="43">
        <f>IF($G8051=1,INDEX(DarlSollzins,17),INDEX(DarlAnschluss,17))</f>
      </c>
      <c r="I8051" s="43">
        <f>IF(INDEX(DarlBelegt,17)=0,0,IF(INDEX(DarlOhneTilgung,17)=1,IF(INDEX(DarlBindung,17)="",1,$G8051),IF($J8051&gt;0.005,1,0)))</f>
      </c>
      <c r="J8051" s="43">
        <f>IF($I8050=0,0,$R8050)</f>
      </c>
      <c r="K8051" s="43">
        <f>IF($I8051=0,0,IF(INDEX(DarlOhneTilgung,17)=1,0,IF(AND(INDEX(DarlTilgStart,17)&gt;0,$E8051=INDEX(DarlTilgStart,17)),$J8051*($H8051+INDEX(DarlTilgung,17))/100/12,IF(AND($G8051=0,$G8050=1),MAX($K8050,$J8051*($H8051+1)/100/12),$K8050))))</f>
      </c>
      <c r="L8051" s="43">
        <f>IF($I8051=0,0,$J8051*$H8051/100/12)</f>
      </c>
      <c r="M8051" s="43">
        <f>IF($I8051=0,0,IF(OR(INDEX(DarlOhneTilgung,17)=1,AND(INDEX(DarlTilgStart,17)&gt;0,$E8051&lt;INDEX(DarlTilgStart,17))),0,MIN(MAX(0,$K8051-$L8051),$J8051)))</f>
      </c>
      <c r="N8051" s="43">
        <f>IF($I8051=0,0,MIN(SUMIFS(SondBetrag,SondDarl,17,SondDatum,"&gt;="&amp;$E8051,SondDatum,"&lt;="&amp;EOMONTH($E8051,0)),$J8051-$M8051))</f>
      </c>
      <c r="O8051" s="43">
        <f>IF($I8051=0,0,INDEX(DarlErsatzRate,17))</f>
      </c>
      <c r="P8051" s="43">
        <f>IF($I8051=0,0,$Q8050*INDEX(DarlErsatzZins,17))</f>
      </c>
      <c r="Q8051" s="43">
        <f>IF($I8051=0,0,$Q8050+$P8051+$O8051)</f>
      </c>
      <c r="R8051" s="43">
        <f>IF($I8051=0,0,$J8051-$M8051-$N8051)</f>
      </c>
    </row>
    <row r="8052">
      <c r="A8052"/>
      <c r="B8052">
        <v>17</v>
      </c>
      <c r="C8052" s="43">
        <f>INDEX(DarlObj,17)</f>
      </c>
      <c r="D8052">
        <v>369</v>
      </c>
      <c r="E8052" s="51">
        <f>IF(INDEX(DarlBelegt,17)=0,0,EOMONTH(INDEX(DarlAuszahlung,17),368)+1)</f>
      </c>
      <c r="F8052" s="43">
        <f>IF($E8052=0,0,YEAR($E8052))</f>
      </c>
      <c r="G8052" s="43">
        <f>IF(INDEX(DarlBindung,17)="",1,IF($E8052&lt;=INDEX(DarlBindung,17),1,0))</f>
      </c>
      <c r="H8052" s="43">
        <f>IF($G8052=1,INDEX(DarlSollzins,17),INDEX(DarlAnschluss,17))</f>
      </c>
      <c r="I8052" s="43">
        <f>IF(INDEX(DarlBelegt,17)=0,0,IF(INDEX(DarlOhneTilgung,17)=1,IF(INDEX(DarlBindung,17)="",1,$G8052),IF($J8052&gt;0.005,1,0)))</f>
      </c>
      <c r="J8052" s="43">
        <f>IF($I8051=0,0,$R8051)</f>
      </c>
      <c r="K8052" s="43">
        <f>IF($I8052=0,0,IF(INDEX(DarlOhneTilgung,17)=1,0,IF(AND(INDEX(DarlTilgStart,17)&gt;0,$E8052=INDEX(DarlTilgStart,17)),$J8052*($H8052+INDEX(DarlTilgung,17))/100/12,IF(AND($G8052=0,$G8051=1),MAX($K8051,$J8052*($H8052+1)/100/12),$K8051))))</f>
      </c>
      <c r="L8052" s="43">
        <f>IF($I8052=0,0,$J8052*$H8052/100/12)</f>
      </c>
      <c r="M8052" s="43">
        <f>IF($I8052=0,0,IF(OR(INDEX(DarlOhneTilgung,17)=1,AND(INDEX(DarlTilgStart,17)&gt;0,$E8052&lt;INDEX(DarlTilgStart,17))),0,MIN(MAX(0,$K8052-$L8052),$J8052)))</f>
      </c>
      <c r="N8052" s="43">
        <f>IF($I8052=0,0,MIN(SUMIFS(SondBetrag,SondDarl,17,SondDatum,"&gt;="&amp;$E8052,SondDatum,"&lt;="&amp;EOMONTH($E8052,0)),$J8052-$M8052))</f>
      </c>
      <c r="O8052" s="43">
        <f>IF($I8052=0,0,INDEX(DarlErsatzRate,17))</f>
      </c>
      <c r="P8052" s="43">
        <f>IF($I8052=0,0,$Q8051*INDEX(DarlErsatzZins,17))</f>
      </c>
      <c r="Q8052" s="43">
        <f>IF($I8052=0,0,$Q8051+$P8052+$O8052)</f>
      </c>
      <c r="R8052" s="43">
        <f>IF($I8052=0,0,$J8052-$M8052-$N8052)</f>
      </c>
    </row>
    <row r="8053">
      <c r="A8053"/>
      <c r="B8053">
        <v>17</v>
      </c>
      <c r="C8053" s="43">
        <f>INDEX(DarlObj,17)</f>
      </c>
      <c r="D8053">
        <v>370</v>
      </c>
      <c r="E8053" s="51">
        <f>IF(INDEX(DarlBelegt,17)=0,0,EOMONTH(INDEX(DarlAuszahlung,17),369)+1)</f>
      </c>
      <c r="F8053" s="43">
        <f>IF($E8053=0,0,YEAR($E8053))</f>
      </c>
      <c r="G8053" s="43">
        <f>IF(INDEX(DarlBindung,17)="",1,IF($E8053&lt;=INDEX(DarlBindung,17),1,0))</f>
      </c>
      <c r="H8053" s="43">
        <f>IF($G8053=1,INDEX(DarlSollzins,17),INDEX(DarlAnschluss,17))</f>
      </c>
      <c r="I8053" s="43">
        <f>IF(INDEX(DarlBelegt,17)=0,0,IF(INDEX(DarlOhneTilgung,17)=1,IF(INDEX(DarlBindung,17)="",1,$G8053),IF($J8053&gt;0.005,1,0)))</f>
      </c>
      <c r="J8053" s="43">
        <f>IF($I8052=0,0,$R8052)</f>
      </c>
      <c r="K8053" s="43">
        <f>IF($I8053=0,0,IF(INDEX(DarlOhneTilgung,17)=1,0,IF(AND(INDEX(DarlTilgStart,17)&gt;0,$E8053=INDEX(DarlTilgStart,17)),$J8053*($H8053+INDEX(DarlTilgung,17))/100/12,IF(AND($G8053=0,$G8052=1),MAX($K8052,$J8053*($H8053+1)/100/12),$K8052))))</f>
      </c>
      <c r="L8053" s="43">
        <f>IF($I8053=0,0,$J8053*$H8053/100/12)</f>
      </c>
      <c r="M8053" s="43">
        <f>IF($I8053=0,0,IF(OR(INDEX(DarlOhneTilgung,17)=1,AND(INDEX(DarlTilgStart,17)&gt;0,$E8053&lt;INDEX(DarlTilgStart,17))),0,MIN(MAX(0,$K8053-$L8053),$J8053)))</f>
      </c>
      <c r="N8053" s="43">
        <f>IF($I8053=0,0,MIN(SUMIFS(SondBetrag,SondDarl,17,SondDatum,"&gt;="&amp;$E8053,SondDatum,"&lt;="&amp;EOMONTH($E8053,0)),$J8053-$M8053))</f>
      </c>
      <c r="O8053" s="43">
        <f>IF($I8053=0,0,INDEX(DarlErsatzRate,17))</f>
      </c>
      <c r="P8053" s="43">
        <f>IF($I8053=0,0,$Q8052*INDEX(DarlErsatzZins,17))</f>
      </c>
      <c r="Q8053" s="43">
        <f>IF($I8053=0,0,$Q8052+$P8053+$O8053)</f>
      </c>
      <c r="R8053" s="43">
        <f>IF($I8053=0,0,$J8053-$M8053-$N8053)</f>
      </c>
    </row>
    <row r="8054">
      <c r="A8054"/>
      <c r="B8054">
        <v>17</v>
      </c>
      <c r="C8054" s="43">
        <f>INDEX(DarlObj,17)</f>
      </c>
      <c r="D8054">
        <v>371</v>
      </c>
      <c r="E8054" s="51">
        <f>IF(INDEX(DarlBelegt,17)=0,0,EOMONTH(INDEX(DarlAuszahlung,17),370)+1)</f>
      </c>
      <c r="F8054" s="43">
        <f>IF($E8054=0,0,YEAR($E8054))</f>
      </c>
      <c r="G8054" s="43">
        <f>IF(INDEX(DarlBindung,17)="",1,IF($E8054&lt;=INDEX(DarlBindung,17),1,0))</f>
      </c>
      <c r="H8054" s="43">
        <f>IF($G8054=1,INDEX(DarlSollzins,17),INDEX(DarlAnschluss,17))</f>
      </c>
      <c r="I8054" s="43">
        <f>IF(INDEX(DarlBelegt,17)=0,0,IF(INDEX(DarlOhneTilgung,17)=1,IF(INDEX(DarlBindung,17)="",1,$G8054),IF($J8054&gt;0.005,1,0)))</f>
      </c>
      <c r="J8054" s="43">
        <f>IF($I8053=0,0,$R8053)</f>
      </c>
      <c r="K8054" s="43">
        <f>IF($I8054=0,0,IF(INDEX(DarlOhneTilgung,17)=1,0,IF(AND(INDEX(DarlTilgStart,17)&gt;0,$E8054=INDEX(DarlTilgStart,17)),$J8054*($H8054+INDEX(DarlTilgung,17))/100/12,IF(AND($G8054=0,$G8053=1),MAX($K8053,$J8054*($H8054+1)/100/12),$K8053))))</f>
      </c>
      <c r="L8054" s="43">
        <f>IF($I8054=0,0,$J8054*$H8054/100/12)</f>
      </c>
      <c r="M8054" s="43">
        <f>IF($I8054=0,0,IF(OR(INDEX(DarlOhneTilgung,17)=1,AND(INDEX(DarlTilgStart,17)&gt;0,$E8054&lt;INDEX(DarlTilgStart,17))),0,MIN(MAX(0,$K8054-$L8054),$J8054)))</f>
      </c>
      <c r="N8054" s="43">
        <f>IF($I8054=0,0,MIN(SUMIFS(SondBetrag,SondDarl,17,SondDatum,"&gt;="&amp;$E8054,SondDatum,"&lt;="&amp;EOMONTH($E8054,0)),$J8054-$M8054))</f>
      </c>
      <c r="O8054" s="43">
        <f>IF($I8054=0,0,INDEX(DarlErsatzRate,17))</f>
      </c>
      <c r="P8054" s="43">
        <f>IF($I8054=0,0,$Q8053*INDEX(DarlErsatzZins,17))</f>
      </c>
      <c r="Q8054" s="43">
        <f>IF($I8054=0,0,$Q8053+$P8054+$O8054)</f>
      </c>
      <c r="R8054" s="43">
        <f>IF($I8054=0,0,$J8054-$M8054-$N8054)</f>
      </c>
    </row>
    <row r="8055">
      <c r="A8055"/>
      <c r="B8055">
        <v>17</v>
      </c>
      <c r="C8055" s="43">
        <f>INDEX(DarlObj,17)</f>
      </c>
      <c r="D8055">
        <v>372</v>
      </c>
      <c r="E8055" s="51">
        <f>IF(INDEX(DarlBelegt,17)=0,0,EOMONTH(INDEX(DarlAuszahlung,17),371)+1)</f>
      </c>
      <c r="F8055" s="43">
        <f>IF($E8055=0,0,YEAR($E8055))</f>
      </c>
      <c r="G8055" s="43">
        <f>IF(INDEX(DarlBindung,17)="",1,IF($E8055&lt;=INDEX(DarlBindung,17),1,0))</f>
      </c>
      <c r="H8055" s="43">
        <f>IF($G8055=1,INDEX(DarlSollzins,17),INDEX(DarlAnschluss,17))</f>
      </c>
      <c r="I8055" s="43">
        <f>IF(INDEX(DarlBelegt,17)=0,0,IF(INDEX(DarlOhneTilgung,17)=1,IF(INDEX(DarlBindung,17)="",1,$G8055),IF($J8055&gt;0.005,1,0)))</f>
      </c>
      <c r="J8055" s="43">
        <f>IF($I8054=0,0,$R8054)</f>
      </c>
      <c r="K8055" s="43">
        <f>IF($I8055=0,0,IF(INDEX(DarlOhneTilgung,17)=1,0,IF(AND(INDEX(DarlTilgStart,17)&gt;0,$E8055=INDEX(DarlTilgStart,17)),$J8055*($H8055+INDEX(DarlTilgung,17))/100/12,IF(AND($G8055=0,$G8054=1),MAX($K8054,$J8055*($H8055+1)/100/12),$K8054))))</f>
      </c>
      <c r="L8055" s="43">
        <f>IF($I8055=0,0,$J8055*$H8055/100/12)</f>
      </c>
      <c r="M8055" s="43">
        <f>IF($I8055=0,0,IF(OR(INDEX(DarlOhneTilgung,17)=1,AND(INDEX(DarlTilgStart,17)&gt;0,$E8055&lt;INDEX(DarlTilgStart,17))),0,MIN(MAX(0,$K8055-$L8055),$J8055)))</f>
      </c>
      <c r="N8055" s="43">
        <f>IF($I8055=0,0,MIN(SUMIFS(SondBetrag,SondDarl,17,SondDatum,"&gt;="&amp;$E8055,SondDatum,"&lt;="&amp;EOMONTH($E8055,0)),$J8055-$M8055))</f>
      </c>
      <c r="O8055" s="43">
        <f>IF($I8055=0,0,INDEX(DarlErsatzRate,17))</f>
      </c>
      <c r="P8055" s="43">
        <f>IF($I8055=0,0,$Q8054*INDEX(DarlErsatzZins,17))</f>
      </c>
      <c r="Q8055" s="43">
        <f>IF($I8055=0,0,$Q8054+$P8055+$O8055)</f>
      </c>
      <c r="R8055" s="43">
        <f>IF($I8055=0,0,$J8055-$M8055-$N8055)</f>
      </c>
    </row>
    <row r="8056">
      <c r="A8056"/>
      <c r="B8056">
        <v>17</v>
      </c>
      <c r="C8056" s="43">
        <f>INDEX(DarlObj,17)</f>
      </c>
      <c r="D8056">
        <v>373</v>
      </c>
      <c r="E8056" s="51">
        <f>IF(INDEX(DarlBelegt,17)=0,0,EOMONTH(INDEX(DarlAuszahlung,17),372)+1)</f>
      </c>
      <c r="F8056" s="43">
        <f>IF($E8056=0,0,YEAR($E8056))</f>
      </c>
      <c r="G8056" s="43">
        <f>IF(INDEX(DarlBindung,17)="",1,IF($E8056&lt;=INDEX(DarlBindung,17),1,0))</f>
      </c>
      <c r="H8056" s="43">
        <f>IF($G8056=1,INDEX(DarlSollzins,17),INDEX(DarlAnschluss,17))</f>
      </c>
      <c r="I8056" s="43">
        <f>IF(INDEX(DarlBelegt,17)=0,0,IF(INDEX(DarlOhneTilgung,17)=1,IF(INDEX(DarlBindung,17)="",1,$G8056),IF($J8056&gt;0.005,1,0)))</f>
      </c>
      <c r="J8056" s="43">
        <f>IF($I8055=0,0,$R8055)</f>
      </c>
      <c r="K8056" s="43">
        <f>IF($I8056=0,0,IF(INDEX(DarlOhneTilgung,17)=1,0,IF(AND(INDEX(DarlTilgStart,17)&gt;0,$E8056=INDEX(DarlTilgStart,17)),$J8056*($H8056+INDEX(DarlTilgung,17))/100/12,IF(AND($G8056=0,$G8055=1),MAX($K8055,$J8056*($H8056+1)/100/12),$K8055))))</f>
      </c>
      <c r="L8056" s="43">
        <f>IF($I8056=0,0,$J8056*$H8056/100/12)</f>
      </c>
      <c r="M8056" s="43">
        <f>IF($I8056=0,0,IF(OR(INDEX(DarlOhneTilgung,17)=1,AND(INDEX(DarlTilgStart,17)&gt;0,$E8056&lt;INDEX(DarlTilgStart,17))),0,MIN(MAX(0,$K8056-$L8056),$J8056)))</f>
      </c>
      <c r="N8056" s="43">
        <f>IF($I8056=0,0,MIN(SUMIFS(SondBetrag,SondDarl,17,SondDatum,"&gt;="&amp;$E8056,SondDatum,"&lt;="&amp;EOMONTH($E8056,0)),$J8056-$M8056))</f>
      </c>
      <c r="O8056" s="43">
        <f>IF($I8056=0,0,INDEX(DarlErsatzRate,17))</f>
      </c>
      <c r="P8056" s="43">
        <f>IF($I8056=0,0,$Q8055*INDEX(DarlErsatzZins,17))</f>
      </c>
      <c r="Q8056" s="43">
        <f>IF($I8056=0,0,$Q8055+$P8056+$O8056)</f>
      </c>
      <c r="R8056" s="43">
        <f>IF($I8056=0,0,$J8056-$M8056-$N8056)</f>
      </c>
    </row>
    <row r="8057">
      <c r="A8057"/>
      <c r="B8057">
        <v>17</v>
      </c>
      <c r="C8057" s="43">
        <f>INDEX(DarlObj,17)</f>
      </c>
      <c r="D8057">
        <v>374</v>
      </c>
      <c r="E8057" s="51">
        <f>IF(INDEX(DarlBelegt,17)=0,0,EOMONTH(INDEX(DarlAuszahlung,17),373)+1)</f>
      </c>
      <c r="F8057" s="43">
        <f>IF($E8057=0,0,YEAR($E8057))</f>
      </c>
      <c r="G8057" s="43">
        <f>IF(INDEX(DarlBindung,17)="",1,IF($E8057&lt;=INDEX(DarlBindung,17),1,0))</f>
      </c>
      <c r="H8057" s="43">
        <f>IF($G8057=1,INDEX(DarlSollzins,17),INDEX(DarlAnschluss,17))</f>
      </c>
      <c r="I8057" s="43">
        <f>IF(INDEX(DarlBelegt,17)=0,0,IF(INDEX(DarlOhneTilgung,17)=1,IF(INDEX(DarlBindung,17)="",1,$G8057),IF($J8057&gt;0.005,1,0)))</f>
      </c>
      <c r="J8057" s="43">
        <f>IF($I8056=0,0,$R8056)</f>
      </c>
      <c r="K8057" s="43">
        <f>IF($I8057=0,0,IF(INDEX(DarlOhneTilgung,17)=1,0,IF(AND(INDEX(DarlTilgStart,17)&gt;0,$E8057=INDEX(DarlTilgStart,17)),$J8057*($H8057+INDEX(DarlTilgung,17))/100/12,IF(AND($G8057=0,$G8056=1),MAX($K8056,$J8057*($H8057+1)/100/12),$K8056))))</f>
      </c>
      <c r="L8057" s="43">
        <f>IF($I8057=0,0,$J8057*$H8057/100/12)</f>
      </c>
      <c r="M8057" s="43">
        <f>IF($I8057=0,0,IF(OR(INDEX(DarlOhneTilgung,17)=1,AND(INDEX(DarlTilgStart,17)&gt;0,$E8057&lt;INDEX(DarlTilgStart,17))),0,MIN(MAX(0,$K8057-$L8057),$J8057)))</f>
      </c>
      <c r="N8057" s="43">
        <f>IF($I8057=0,0,MIN(SUMIFS(SondBetrag,SondDarl,17,SondDatum,"&gt;="&amp;$E8057,SondDatum,"&lt;="&amp;EOMONTH($E8057,0)),$J8057-$M8057))</f>
      </c>
      <c r="O8057" s="43">
        <f>IF($I8057=0,0,INDEX(DarlErsatzRate,17))</f>
      </c>
      <c r="P8057" s="43">
        <f>IF($I8057=0,0,$Q8056*INDEX(DarlErsatzZins,17))</f>
      </c>
      <c r="Q8057" s="43">
        <f>IF($I8057=0,0,$Q8056+$P8057+$O8057)</f>
      </c>
      <c r="R8057" s="43">
        <f>IF($I8057=0,0,$J8057-$M8057-$N8057)</f>
      </c>
    </row>
    <row r="8058">
      <c r="A8058"/>
      <c r="B8058">
        <v>17</v>
      </c>
      <c r="C8058" s="43">
        <f>INDEX(DarlObj,17)</f>
      </c>
      <c r="D8058">
        <v>375</v>
      </c>
      <c r="E8058" s="51">
        <f>IF(INDEX(DarlBelegt,17)=0,0,EOMONTH(INDEX(DarlAuszahlung,17),374)+1)</f>
      </c>
      <c r="F8058" s="43">
        <f>IF($E8058=0,0,YEAR($E8058))</f>
      </c>
      <c r="G8058" s="43">
        <f>IF(INDEX(DarlBindung,17)="",1,IF($E8058&lt;=INDEX(DarlBindung,17),1,0))</f>
      </c>
      <c r="H8058" s="43">
        <f>IF($G8058=1,INDEX(DarlSollzins,17),INDEX(DarlAnschluss,17))</f>
      </c>
      <c r="I8058" s="43">
        <f>IF(INDEX(DarlBelegt,17)=0,0,IF(INDEX(DarlOhneTilgung,17)=1,IF(INDEX(DarlBindung,17)="",1,$G8058),IF($J8058&gt;0.005,1,0)))</f>
      </c>
      <c r="J8058" s="43">
        <f>IF($I8057=0,0,$R8057)</f>
      </c>
      <c r="K8058" s="43">
        <f>IF($I8058=0,0,IF(INDEX(DarlOhneTilgung,17)=1,0,IF(AND(INDEX(DarlTilgStart,17)&gt;0,$E8058=INDEX(DarlTilgStart,17)),$J8058*($H8058+INDEX(DarlTilgung,17))/100/12,IF(AND($G8058=0,$G8057=1),MAX($K8057,$J8058*($H8058+1)/100/12),$K8057))))</f>
      </c>
      <c r="L8058" s="43">
        <f>IF($I8058=0,0,$J8058*$H8058/100/12)</f>
      </c>
      <c r="M8058" s="43">
        <f>IF($I8058=0,0,IF(OR(INDEX(DarlOhneTilgung,17)=1,AND(INDEX(DarlTilgStart,17)&gt;0,$E8058&lt;INDEX(DarlTilgStart,17))),0,MIN(MAX(0,$K8058-$L8058),$J8058)))</f>
      </c>
      <c r="N8058" s="43">
        <f>IF($I8058=0,0,MIN(SUMIFS(SondBetrag,SondDarl,17,SondDatum,"&gt;="&amp;$E8058,SondDatum,"&lt;="&amp;EOMONTH($E8058,0)),$J8058-$M8058))</f>
      </c>
      <c r="O8058" s="43">
        <f>IF($I8058=0,0,INDEX(DarlErsatzRate,17))</f>
      </c>
      <c r="P8058" s="43">
        <f>IF($I8058=0,0,$Q8057*INDEX(DarlErsatzZins,17))</f>
      </c>
      <c r="Q8058" s="43">
        <f>IF($I8058=0,0,$Q8057+$P8058+$O8058)</f>
      </c>
      <c r="R8058" s="43">
        <f>IF($I8058=0,0,$J8058-$M8058-$N8058)</f>
      </c>
    </row>
    <row r="8059">
      <c r="A8059"/>
      <c r="B8059">
        <v>17</v>
      </c>
      <c r="C8059" s="43">
        <f>INDEX(DarlObj,17)</f>
      </c>
      <c r="D8059">
        <v>376</v>
      </c>
      <c r="E8059" s="51">
        <f>IF(INDEX(DarlBelegt,17)=0,0,EOMONTH(INDEX(DarlAuszahlung,17),375)+1)</f>
      </c>
      <c r="F8059" s="43">
        <f>IF($E8059=0,0,YEAR($E8059))</f>
      </c>
      <c r="G8059" s="43">
        <f>IF(INDEX(DarlBindung,17)="",1,IF($E8059&lt;=INDEX(DarlBindung,17),1,0))</f>
      </c>
      <c r="H8059" s="43">
        <f>IF($G8059=1,INDEX(DarlSollzins,17),INDEX(DarlAnschluss,17))</f>
      </c>
      <c r="I8059" s="43">
        <f>IF(INDEX(DarlBelegt,17)=0,0,IF(INDEX(DarlOhneTilgung,17)=1,IF(INDEX(DarlBindung,17)="",1,$G8059),IF($J8059&gt;0.005,1,0)))</f>
      </c>
      <c r="J8059" s="43">
        <f>IF($I8058=0,0,$R8058)</f>
      </c>
      <c r="K8059" s="43">
        <f>IF($I8059=0,0,IF(INDEX(DarlOhneTilgung,17)=1,0,IF(AND(INDEX(DarlTilgStart,17)&gt;0,$E8059=INDEX(DarlTilgStart,17)),$J8059*($H8059+INDEX(DarlTilgung,17))/100/12,IF(AND($G8059=0,$G8058=1),MAX($K8058,$J8059*($H8059+1)/100/12),$K8058))))</f>
      </c>
      <c r="L8059" s="43">
        <f>IF($I8059=0,0,$J8059*$H8059/100/12)</f>
      </c>
      <c r="M8059" s="43">
        <f>IF($I8059=0,0,IF(OR(INDEX(DarlOhneTilgung,17)=1,AND(INDEX(DarlTilgStart,17)&gt;0,$E8059&lt;INDEX(DarlTilgStart,17))),0,MIN(MAX(0,$K8059-$L8059),$J8059)))</f>
      </c>
      <c r="N8059" s="43">
        <f>IF($I8059=0,0,MIN(SUMIFS(SondBetrag,SondDarl,17,SondDatum,"&gt;="&amp;$E8059,SondDatum,"&lt;="&amp;EOMONTH($E8059,0)),$J8059-$M8059))</f>
      </c>
      <c r="O8059" s="43">
        <f>IF($I8059=0,0,INDEX(DarlErsatzRate,17))</f>
      </c>
      <c r="P8059" s="43">
        <f>IF($I8059=0,0,$Q8058*INDEX(DarlErsatzZins,17))</f>
      </c>
      <c r="Q8059" s="43">
        <f>IF($I8059=0,0,$Q8058+$P8059+$O8059)</f>
      </c>
      <c r="R8059" s="43">
        <f>IF($I8059=0,0,$J8059-$M8059-$N8059)</f>
      </c>
    </row>
    <row r="8060">
      <c r="A8060"/>
      <c r="B8060">
        <v>17</v>
      </c>
      <c r="C8060" s="43">
        <f>INDEX(DarlObj,17)</f>
      </c>
      <c r="D8060">
        <v>377</v>
      </c>
      <c r="E8060" s="51">
        <f>IF(INDEX(DarlBelegt,17)=0,0,EOMONTH(INDEX(DarlAuszahlung,17),376)+1)</f>
      </c>
      <c r="F8060" s="43">
        <f>IF($E8060=0,0,YEAR($E8060))</f>
      </c>
      <c r="G8060" s="43">
        <f>IF(INDEX(DarlBindung,17)="",1,IF($E8060&lt;=INDEX(DarlBindung,17),1,0))</f>
      </c>
      <c r="H8060" s="43">
        <f>IF($G8060=1,INDEX(DarlSollzins,17),INDEX(DarlAnschluss,17))</f>
      </c>
      <c r="I8060" s="43">
        <f>IF(INDEX(DarlBelegt,17)=0,0,IF(INDEX(DarlOhneTilgung,17)=1,IF(INDEX(DarlBindung,17)="",1,$G8060),IF($J8060&gt;0.005,1,0)))</f>
      </c>
      <c r="J8060" s="43">
        <f>IF($I8059=0,0,$R8059)</f>
      </c>
      <c r="K8060" s="43">
        <f>IF($I8060=0,0,IF(INDEX(DarlOhneTilgung,17)=1,0,IF(AND(INDEX(DarlTilgStart,17)&gt;0,$E8060=INDEX(DarlTilgStart,17)),$J8060*($H8060+INDEX(DarlTilgung,17))/100/12,IF(AND($G8060=0,$G8059=1),MAX($K8059,$J8060*($H8060+1)/100/12),$K8059))))</f>
      </c>
      <c r="L8060" s="43">
        <f>IF($I8060=0,0,$J8060*$H8060/100/12)</f>
      </c>
      <c r="M8060" s="43">
        <f>IF($I8060=0,0,IF(OR(INDEX(DarlOhneTilgung,17)=1,AND(INDEX(DarlTilgStart,17)&gt;0,$E8060&lt;INDEX(DarlTilgStart,17))),0,MIN(MAX(0,$K8060-$L8060),$J8060)))</f>
      </c>
      <c r="N8060" s="43">
        <f>IF($I8060=0,0,MIN(SUMIFS(SondBetrag,SondDarl,17,SondDatum,"&gt;="&amp;$E8060,SondDatum,"&lt;="&amp;EOMONTH($E8060,0)),$J8060-$M8060))</f>
      </c>
      <c r="O8060" s="43">
        <f>IF($I8060=0,0,INDEX(DarlErsatzRate,17))</f>
      </c>
      <c r="P8060" s="43">
        <f>IF($I8060=0,0,$Q8059*INDEX(DarlErsatzZins,17))</f>
      </c>
      <c r="Q8060" s="43">
        <f>IF($I8060=0,0,$Q8059+$P8060+$O8060)</f>
      </c>
      <c r="R8060" s="43">
        <f>IF($I8060=0,0,$J8060-$M8060-$N8060)</f>
      </c>
    </row>
    <row r="8061">
      <c r="A8061"/>
      <c r="B8061">
        <v>17</v>
      </c>
      <c r="C8061" s="43">
        <f>INDEX(DarlObj,17)</f>
      </c>
      <c r="D8061">
        <v>378</v>
      </c>
      <c r="E8061" s="51">
        <f>IF(INDEX(DarlBelegt,17)=0,0,EOMONTH(INDEX(DarlAuszahlung,17),377)+1)</f>
      </c>
      <c r="F8061" s="43">
        <f>IF($E8061=0,0,YEAR($E8061))</f>
      </c>
      <c r="G8061" s="43">
        <f>IF(INDEX(DarlBindung,17)="",1,IF($E8061&lt;=INDEX(DarlBindung,17),1,0))</f>
      </c>
      <c r="H8061" s="43">
        <f>IF($G8061=1,INDEX(DarlSollzins,17),INDEX(DarlAnschluss,17))</f>
      </c>
      <c r="I8061" s="43">
        <f>IF(INDEX(DarlBelegt,17)=0,0,IF(INDEX(DarlOhneTilgung,17)=1,IF(INDEX(DarlBindung,17)="",1,$G8061),IF($J8061&gt;0.005,1,0)))</f>
      </c>
      <c r="J8061" s="43">
        <f>IF($I8060=0,0,$R8060)</f>
      </c>
      <c r="K8061" s="43">
        <f>IF($I8061=0,0,IF(INDEX(DarlOhneTilgung,17)=1,0,IF(AND(INDEX(DarlTilgStart,17)&gt;0,$E8061=INDEX(DarlTilgStart,17)),$J8061*($H8061+INDEX(DarlTilgung,17))/100/12,IF(AND($G8061=0,$G8060=1),MAX($K8060,$J8061*($H8061+1)/100/12),$K8060))))</f>
      </c>
      <c r="L8061" s="43">
        <f>IF($I8061=0,0,$J8061*$H8061/100/12)</f>
      </c>
      <c r="M8061" s="43">
        <f>IF($I8061=0,0,IF(OR(INDEX(DarlOhneTilgung,17)=1,AND(INDEX(DarlTilgStart,17)&gt;0,$E8061&lt;INDEX(DarlTilgStart,17))),0,MIN(MAX(0,$K8061-$L8061),$J8061)))</f>
      </c>
      <c r="N8061" s="43">
        <f>IF($I8061=0,0,MIN(SUMIFS(SondBetrag,SondDarl,17,SondDatum,"&gt;="&amp;$E8061,SondDatum,"&lt;="&amp;EOMONTH($E8061,0)),$J8061-$M8061))</f>
      </c>
      <c r="O8061" s="43">
        <f>IF($I8061=0,0,INDEX(DarlErsatzRate,17))</f>
      </c>
      <c r="P8061" s="43">
        <f>IF($I8061=0,0,$Q8060*INDEX(DarlErsatzZins,17))</f>
      </c>
      <c r="Q8061" s="43">
        <f>IF($I8061=0,0,$Q8060+$P8061+$O8061)</f>
      </c>
      <c r="R8061" s="43">
        <f>IF($I8061=0,0,$J8061-$M8061-$N8061)</f>
      </c>
    </row>
    <row r="8062">
      <c r="A8062"/>
      <c r="B8062">
        <v>17</v>
      </c>
      <c r="C8062" s="43">
        <f>INDEX(DarlObj,17)</f>
      </c>
      <c r="D8062">
        <v>379</v>
      </c>
      <c r="E8062" s="51">
        <f>IF(INDEX(DarlBelegt,17)=0,0,EOMONTH(INDEX(DarlAuszahlung,17),378)+1)</f>
      </c>
      <c r="F8062" s="43">
        <f>IF($E8062=0,0,YEAR($E8062))</f>
      </c>
      <c r="G8062" s="43">
        <f>IF(INDEX(DarlBindung,17)="",1,IF($E8062&lt;=INDEX(DarlBindung,17),1,0))</f>
      </c>
      <c r="H8062" s="43">
        <f>IF($G8062=1,INDEX(DarlSollzins,17),INDEX(DarlAnschluss,17))</f>
      </c>
      <c r="I8062" s="43">
        <f>IF(INDEX(DarlBelegt,17)=0,0,IF(INDEX(DarlOhneTilgung,17)=1,IF(INDEX(DarlBindung,17)="",1,$G8062),IF($J8062&gt;0.005,1,0)))</f>
      </c>
      <c r="J8062" s="43">
        <f>IF($I8061=0,0,$R8061)</f>
      </c>
      <c r="K8062" s="43">
        <f>IF($I8062=0,0,IF(INDEX(DarlOhneTilgung,17)=1,0,IF(AND(INDEX(DarlTilgStart,17)&gt;0,$E8062=INDEX(DarlTilgStart,17)),$J8062*($H8062+INDEX(DarlTilgung,17))/100/12,IF(AND($G8062=0,$G8061=1),MAX($K8061,$J8062*($H8062+1)/100/12),$K8061))))</f>
      </c>
      <c r="L8062" s="43">
        <f>IF($I8062=0,0,$J8062*$H8062/100/12)</f>
      </c>
      <c r="M8062" s="43">
        <f>IF($I8062=0,0,IF(OR(INDEX(DarlOhneTilgung,17)=1,AND(INDEX(DarlTilgStart,17)&gt;0,$E8062&lt;INDEX(DarlTilgStart,17))),0,MIN(MAX(0,$K8062-$L8062),$J8062)))</f>
      </c>
      <c r="N8062" s="43">
        <f>IF($I8062=0,0,MIN(SUMIFS(SondBetrag,SondDarl,17,SondDatum,"&gt;="&amp;$E8062,SondDatum,"&lt;="&amp;EOMONTH($E8062,0)),$J8062-$M8062))</f>
      </c>
      <c r="O8062" s="43">
        <f>IF($I8062=0,0,INDEX(DarlErsatzRate,17))</f>
      </c>
      <c r="P8062" s="43">
        <f>IF($I8062=0,0,$Q8061*INDEX(DarlErsatzZins,17))</f>
      </c>
      <c r="Q8062" s="43">
        <f>IF($I8062=0,0,$Q8061+$P8062+$O8062)</f>
      </c>
      <c r="R8062" s="43">
        <f>IF($I8062=0,0,$J8062-$M8062-$N8062)</f>
      </c>
    </row>
    <row r="8063">
      <c r="A8063"/>
      <c r="B8063">
        <v>17</v>
      </c>
      <c r="C8063" s="43">
        <f>INDEX(DarlObj,17)</f>
      </c>
      <c r="D8063">
        <v>380</v>
      </c>
      <c r="E8063" s="51">
        <f>IF(INDEX(DarlBelegt,17)=0,0,EOMONTH(INDEX(DarlAuszahlung,17),379)+1)</f>
      </c>
      <c r="F8063" s="43">
        <f>IF($E8063=0,0,YEAR($E8063))</f>
      </c>
      <c r="G8063" s="43">
        <f>IF(INDEX(DarlBindung,17)="",1,IF($E8063&lt;=INDEX(DarlBindung,17),1,0))</f>
      </c>
      <c r="H8063" s="43">
        <f>IF($G8063=1,INDEX(DarlSollzins,17),INDEX(DarlAnschluss,17))</f>
      </c>
      <c r="I8063" s="43">
        <f>IF(INDEX(DarlBelegt,17)=0,0,IF(INDEX(DarlOhneTilgung,17)=1,IF(INDEX(DarlBindung,17)="",1,$G8063),IF($J8063&gt;0.005,1,0)))</f>
      </c>
      <c r="J8063" s="43">
        <f>IF($I8062=0,0,$R8062)</f>
      </c>
      <c r="K8063" s="43">
        <f>IF($I8063=0,0,IF(INDEX(DarlOhneTilgung,17)=1,0,IF(AND(INDEX(DarlTilgStart,17)&gt;0,$E8063=INDEX(DarlTilgStart,17)),$J8063*($H8063+INDEX(DarlTilgung,17))/100/12,IF(AND($G8063=0,$G8062=1),MAX($K8062,$J8063*($H8063+1)/100/12),$K8062))))</f>
      </c>
      <c r="L8063" s="43">
        <f>IF($I8063=0,0,$J8063*$H8063/100/12)</f>
      </c>
      <c r="M8063" s="43">
        <f>IF($I8063=0,0,IF(OR(INDEX(DarlOhneTilgung,17)=1,AND(INDEX(DarlTilgStart,17)&gt;0,$E8063&lt;INDEX(DarlTilgStart,17))),0,MIN(MAX(0,$K8063-$L8063),$J8063)))</f>
      </c>
      <c r="N8063" s="43">
        <f>IF($I8063=0,0,MIN(SUMIFS(SondBetrag,SondDarl,17,SondDatum,"&gt;="&amp;$E8063,SondDatum,"&lt;="&amp;EOMONTH($E8063,0)),$J8063-$M8063))</f>
      </c>
      <c r="O8063" s="43">
        <f>IF($I8063=0,0,INDEX(DarlErsatzRate,17))</f>
      </c>
      <c r="P8063" s="43">
        <f>IF($I8063=0,0,$Q8062*INDEX(DarlErsatzZins,17))</f>
      </c>
      <c r="Q8063" s="43">
        <f>IF($I8063=0,0,$Q8062+$P8063+$O8063)</f>
      </c>
      <c r="R8063" s="43">
        <f>IF($I8063=0,0,$J8063-$M8063-$N8063)</f>
      </c>
    </row>
    <row r="8064">
      <c r="A8064"/>
      <c r="B8064">
        <v>17</v>
      </c>
      <c r="C8064" s="43">
        <f>INDEX(DarlObj,17)</f>
      </c>
      <c r="D8064">
        <v>381</v>
      </c>
      <c r="E8064" s="51">
        <f>IF(INDEX(DarlBelegt,17)=0,0,EOMONTH(INDEX(DarlAuszahlung,17),380)+1)</f>
      </c>
      <c r="F8064" s="43">
        <f>IF($E8064=0,0,YEAR($E8064))</f>
      </c>
      <c r="G8064" s="43">
        <f>IF(INDEX(DarlBindung,17)="",1,IF($E8064&lt;=INDEX(DarlBindung,17),1,0))</f>
      </c>
      <c r="H8064" s="43">
        <f>IF($G8064=1,INDEX(DarlSollzins,17),INDEX(DarlAnschluss,17))</f>
      </c>
      <c r="I8064" s="43">
        <f>IF(INDEX(DarlBelegt,17)=0,0,IF(INDEX(DarlOhneTilgung,17)=1,IF(INDEX(DarlBindung,17)="",1,$G8064),IF($J8064&gt;0.005,1,0)))</f>
      </c>
      <c r="J8064" s="43">
        <f>IF($I8063=0,0,$R8063)</f>
      </c>
      <c r="K8064" s="43">
        <f>IF($I8064=0,0,IF(INDEX(DarlOhneTilgung,17)=1,0,IF(AND(INDEX(DarlTilgStart,17)&gt;0,$E8064=INDEX(DarlTilgStart,17)),$J8064*($H8064+INDEX(DarlTilgung,17))/100/12,IF(AND($G8064=0,$G8063=1),MAX($K8063,$J8064*($H8064+1)/100/12),$K8063))))</f>
      </c>
      <c r="L8064" s="43">
        <f>IF($I8064=0,0,$J8064*$H8064/100/12)</f>
      </c>
      <c r="M8064" s="43">
        <f>IF($I8064=0,0,IF(OR(INDEX(DarlOhneTilgung,17)=1,AND(INDEX(DarlTilgStart,17)&gt;0,$E8064&lt;INDEX(DarlTilgStart,17))),0,MIN(MAX(0,$K8064-$L8064),$J8064)))</f>
      </c>
      <c r="N8064" s="43">
        <f>IF($I8064=0,0,MIN(SUMIFS(SondBetrag,SondDarl,17,SondDatum,"&gt;="&amp;$E8064,SondDatum,"&lt;="&amp;EOMONTH($E8064,0)),$J8064-$M8064))</f>
      </c>
      <c r="O8064" s="43">
        <f>IF($I8064=0,0,INDEX(DarlErsatzRate,17))</f>
      </c>
      <c r="P8064" s="43">
        <f>IF($I8064=0,0,$Q8063*INDEX(DarlErsatzZins,17))</f>
      </c>
      <c r="Q8064" s="43">
        <f>IF($I8064=0,0,$Q8063+$P8064+$O8064)</f>
      </c>
      <c r="R8064" s="43">
        <f>IF($I8064=0,0,$J8064-$M8064-$N8064)</f>
      </c>
    </row>
    <row r="8065">
      <c r="A8065"/>
      <c r="B8065">
        <v>17</v>
      </c>
      <c r="C8065" s="43">
        <f>INDEX(DarlObj,17)</f>
      </c>
      <c r="D8065">
        <v>382</v>
      </c>
      <c r="E8065" s="51">
        <f>IF(INDEX(DarlBelegt,17)=0,0,EOMONTH(INDEX(DarlAuszahlung,17),381)+1)</f>
      </c>
      <c r="F8065" s="43">
        <f>IF($E8065=0,0,YEAR($E8065))</f>
      </c>
      <c r="G8065" s="43">
        <f>IF(INDEX(DarlBindung,17)="",1,IF($E8065&lt;=INDEX(DarlBindung,17),1,0))</f>
      </c>
      <c r="H8065" s="43">
        <f>IF($G8065=1,INDEX(DarlSollzins,17),INDEX(DarlAnschluss,17))</f>
      </c>
      <c r="I8065" s="43">
        <f>IF(INDEX(DarlBelegt,17)=0,0,IF(INDEX(DarlOhneTilgung,17)=1,IF(INDEX(DarlBindung,17)="",1,$G8065),IF($J8065&gt;0.005,1,0)))</f>
      </c>
      <c r="J8065" s="43">
        <f>IF($I8064=0,0,$R8064)</f>
      </c>
      <c r="K8065" s="43">
        <f>IF($I8065=0,0,IF(INDEX(DarlOhneTilgung,17)=1,0,IF(AND(INDEX(DarlTilgStart,17)&gt;0,$E8065=INDEX(DarlTilgStart,17)),$J8065*($H8065+INDEX(DarlTilgung,17))/100/12,IF(AND($G8065=0,$G8064=1),MAX($K8064,$J8065*($H8065+1)/100/12),$K8064))))</f>
      </c>
      <c r="L8065" s="43">
        <f>IF($I8065=0,0,$J8065*$H8065/100/12)</f>
      </c>
      <c r="M8065" s="43">
        <f>IF($I8065=0,0,IF(OR(INDEX(DarlOhneTilgung,17)=1,AND(INDEX(DarlTilgStart,17)&gt;0,$E8065&lt;INDEX(DarlTilgStart,17))),0,MIN(MAX(0,$K8065-$L8065),$J8065)))</f>
      </c>
      <c r="N8065" s="43">
        <f>IF($I8065=0,0,MIN(SUMIFS(SondBetrag,SondDarl,17,SondDatum,"&gt;="&amp;$E8065,SondDatum,"&lt;="&amp;EOMONTH($E8065,0)),$J8065-$M8065))</f>
      </c>
      <c r="O8065" s="43">
        <f>IF($I8065=0,0,INDEX(DarlErsatzRate,17))</f>
      </c>
      <c r="P8065" s="43">
        <f>IF($I8065=0,0,$Q8064*INDEX(DarlErsatzZins,17))</f>
      </c>
      <c r="Q8065" s="43">
        <f>IF($I8065=0,0,$Q8064+$P8065+$O8065)</f>
      </c>
      <c r="R8065" s="43">
        <f>IF($I8065=0,0,$J8065-$M8065-$N8065)</f>
      </c>
    </row>
    <row r="8066">
      <c r="A8066"/>
      <c r="B8066">
        <v>17</v>
      </c>
      <c r="C8066" s="43">
        <f>INDEX(DarlObj,17)</f>
      </c>
      <c r="D8066">
        <v>383</v>
      </c>
      <c r="E8066" s="51">
        <f>IF(INDEX(DarlBelegt,17)=0,0,EOMONTH(INDEX(DarlAuszahlung,17),382)+1)</f>
      </c>
      <c r="F8066" s="43">
        <f>IF($E8066=0,0,YEAR($E8066))</f>
      </c>
      <c r="G8066" s="43">
        <f>IF(INDEX(DarlBindung,17)="",1,IF($E8066&lt;=INDEX(DarlBindung,17),1,0))</f>
      </c>
      <c r="H8066" s="43">
        <f>IF($G8066=1,INDEX(DarlSollzins,17),INDEX(DarlAnschluss,17))</f>
      </c>
      <c r="I8066" s="43">
        <f>IF(INDEX(DarlBelegt,17)=0,0,IF(INDEX(DarlOhneTilgung,17)=1,IF(INDEX(DarlBindung,17)="",1,$G8066),IF($J8066&gt;0.005,1,0)))</f>
      </c>
      <c r="J8066" s="43">
        <f>IF($I8065=0,0,$R8065)</f>
      </c>
      <c r="K8066" s="43">
        <f>IF($I8066=0,0,IF(INDEX(DarlOhneTilgung,17)=1,0,IF(AND(INDEX(DarlTilgStart,17)&gt;0,$E8066=INDEX(DarlTilgStart,17)),$J8066*($H8066+INDEX(DarlTilgung,17))/100/12,IF(AND($G8066=0,$G8065=1),MAX($K8065,$J8066*($H8066+1)/100/12),$K8065))))</f>
      </c>
      <c r="L8066" s="43">
        <f>IF($I8066=0,0,$J8066*$H8066/100/12)</f>
      </c>
      <c r="M8066" s="43">
        <f>IF($I8066=0,0,IF(OR(INDEX(DarlOhneTilgung,17)=1,AND(INDEX(DarlTilgStart,17)&gt;0,$E8066&lt;INDEX(DarlTilgStart,17))),0,MIN(MAX(0,$K8066-$L8066),$J8066)))</f>
      </c>
      <c r="N8066" s="43">
        <f>IF($I8066=0,0,MIN(SUMIFS(SondBetrag,SondDarl,17,SondDatum,"&gt;="&amp;$E8066,SondDatum,"&lt;="&amp;EOMONTH($E8066,0)),$J8066-$M8066))</f>
      </c>
      <c r="O8066" s="43">
        <f>IF($I8066=0,0,INDEX(DarlErsatzRate,17))</f>
      </c>
      <c r="P8066" s="43">
        <f>IF($I8066=0,0,$Q8065*INDEX(DarlErsatzZins,17))</f>
      </c>
      <c r="Q8066" s="43">
        <f>IF($I8066=0,0,$Q8065+$P8066+$O8066)</f>
      </c>
      <c r="R8066" s="43">
        <f>IF($I8066=0,0,$J8066-$M8066-$N8066)</f>
      </c>
    </row>
    <row r="8067">
      <c r="A8067"/>
      <c r="B8067">
        <v>17</v>
      </c>
      <c r="C8067" s="43">
        <f>INDEX(DarlObj,17)</f>
      </c>
      <c r="D8067">
        <v>384</v>
      </c>
      <c r="E8067" s="51">
        <f>IF(INDEX(DarlBelegt,17)=0,0,EOMONTH(INDEX(DarlAuszahlung,17),383)+1)</f>
      </c>
      <c r="F8067" s="43">
        <f>IF($E8067=0,0,YEAR($E8067))</f>
      </c>
      <c r="G8067" s="43">
        <f>IF(INDEX(DarlBindung,17)="",1,IF($E8067&lt;=INDEX(DarlBindung,17),1,0))</f>
      </c>
      <c r="H8067" s="43">
        <f>IF($G8067=1,INDEX(DarlSollzins,17),INDEX(DarlAnschluss,17))</f>
      </c>
      <c r="I8067" s="43">
        <f>IF(INDEX(DarlBelegt,17)=0,0,IF(INDEX(DarlOhneTilgung,17)=1,IF(INDEX(DarlBindung,17)="",1,$G8067),IF($J8067&gt;0.005,1,0)))</f>
      </c>
      <c r="J8067" s="43">
        <f>IF($I8066=0,0,$R8066)</f>
      </c>
      <c r="K8067" s="43">
        <f>IF($I8067=0,0,IF(INDEX(DarlOhneTilgung,17)=1,0,IF(AND(INDEX(DarlTilgStart,17)&gt;0,$E8067=INDEX(DarlTilgStart,17)),$J8067*($H8067+INDEX(DarlTilgung,17))/100/12,IF(AND($G8067=0,$G8066=1),MAX($K8066,$J8067*($H8067+1)/100/12),$K8066))))</f>
      </c>
      <c r="L8067" s="43">
        <f>IF($I8067=0,0,$J8067*$H8067/100/12)</f>
      </c>
      <c r="M8067" s="43">
        <f>IF($I8067=0,0,IF(OR(INDEX(DarlOhneTilgung,17)=1,AND(INDEX(DarlTilgStart,17)&gt;0,$E8067&lt;INDEX(DarlTilgStart,17))),0,MIN(MAX(0,$K8067-$L8067),$J8067)))</f>
      </c>
      <c r="N8067" s="43">
        <f>IF($I8067=0,0,MIN(SUMIFS(SondBetrag,SondDarl,17,SondDatum,"&gt;="&amp;$E8067,SondDatum,"&lt;="&amp;EOMONTH($E8067,0)),$J8067-$M8067))</f>
      </c>
      <c r="O8067" s="43">
        <f>IF($I8067=0,0,INDEX(DarlErsatzRate,17))</f>
      </c>
      <c r="P8067" s="43">
        <f>IF($I8067=0,0,$Q8066*INDEX(DarlErsatzZins,17))</f>
      </c>
      <c r="Q8067" s="43">
        <f>IF($I8067=0,0,$Q8066+$P8067+$O8067)</f>
      </c>
      <c r="R8067" s="43">
        <f>IF($I8067=0,0,$J8067-$M8067-$N8067)</f>
      </c>
    </row>
    <row r="8068">
      <c r="A8068"/>
      <c r="B8068">
        <v>17</v>
      </c>
      <c r="C8068" s="43">
        <f>INDEX(DarlObj,17)</f>
      </c>
      <c r="D8068">
        <v>385</v>
      </c>
      <c r="E8068" s="51">
        <f>IF(INDEX(DarlBelegt,17)=0,0,EOMONTH(INDEX(DarlAuszahlung,17),384)+1)</f>
      </c>
      <c r="F8068" s="43">
        <f>IF($E8068=0,0,YEAR($E8068))</f>
      </c>
      <c r="G8068" s="43">
        <f>IF(INDEX(DarlBindung,17)="",1,IF($E8068&lt;=INDEX(DarlBindung,17),1,0))</f>
      </c>
      <c r="H8068" s="43">
        <f>IF($G8068=1,INDEX(DarlSollzins,17),INDEX(DarlAnschluss,17))</f>
      </c>
      <c r="I8068" s="43">
        <f>IF(INDEX(DarlBelegt,17)=0,0,IF(INDEX(DarlOhneTilgung,17)=1,IF(INDEX(DarlBindung,17)="",1,$G8068),IF($J8068&gt;0.005,1,0)))</f>
      </c>
      <c r="J8068" s="43">
        <f>IF($I8067=0,0,$R8067)</f>
      </c>
      <c r="K8068" s="43">
        <f>IF($I8068=0,0,IF(INDEX(DarlOhneTilgung,17)=1,0,IF(AND(INDEX(DarlTilgStart,17)&gt;0,$E8068=INDEX(DarlTilgStart,17)),$J8068*($H8068+INDEX(DarlTilgung,17))/100/12,IF(AND($G8068=0,$G8067=1),MAX($K8067,$J8068*($H8068+1)/100/12),$K8067))))</f>
      </c>
      <c r="L8068" s="43">
        <f>IF($I8068=0,0,$J8068*$H8068/100/12)</f>
      </c>
      <c r="M8068" s="43">
        <f>IF($I8068=0,0,IF(OR(INDEX(DarlOhneTilgung,17)=1,AND(INDEX(DarlTilgStart,17)&gt;0,$E8068&lt;INDEX(DarlTilgStart,17))),0,MIN(MAX(0,$K8068-$L8068),$J8068)))</f>
      </c>
      <c r="N8068" s="43">
        <f>IF($I8068=0,0,MIN(SUMIFS(SondBetrag,SondDarl,17,SondDatum,"&gt;="&amp;$E8068,SondDatum,"&lt;="&amp;EOMONTH($E8068,0)),$J8068-$M8068))</f>
      </c>
      <c r="O8068" s="43">
        <f>IF($I8068=0,0,INDEX(DarlErsatzRate,17))</f>
      </c>
      <c r="P8068" s="43">
        <f>IF($I8068=0,0,$Q8067*INDEX(DarlErsatzZins,17))</f>
      </c>
      <c r="Q8068" s="43">
        <f>IF($I8068=0,0,$Q8067+$P8068+$O8068)</f>
      </c>
      <c r="R8068" s="43">
        <f>IF($I8068=0,0,$J8068-$M8068-$N8068)</f>
      </c>
    </row>
    <row r="8069">
      <c r="A8069"/>
      <c r="B8069">
        <v>17</v>
      </c>
      <c r="C8069" s="43">
        <f>INDEX(DarlObj,17)</f>
      </c>
      <c r="D8069">
        <v>386</v>
      </c>
      <c r="E8069" s="51">
        <f>IF(INDEX(DarlBelegt,17)=0,0,EOMONTH(INDEX(DarlAuszahlung,17),385)+1)</f>
      </c>
      <c r="F8069" s="43">
        <f>IF($E8069=0,0,YEAR($E8069))</f>
      </c>
      <c r="G8069" s="43">
        <f>IF(INDEX(DarlBindung,17)="",1,IF($E8069&lt;=INDEX(DarlBindung,17),1,0))</f>
      </c>
      <c r="H8069" s="43">
        <f>IF($G8069=1,INDEX(DarlSollzins,17),INDEX(DarlAnschluss,17))</f>
      </c>
      <c r="I8069" s="43">
        <f>IF(INDEX(DarlBelegt,17)=0,0,IF(INDEX(DarlOhneTilgung,17)=1,IF(INDEX(DarlBindung,17)="",1,$G8069),IF($J8069&gt;0.005,1,0)))</f>
      </c>
      <c r="J8069" s="43">
        <f>IF($I8068=0,0,$R8068)</f>
      </c>
      <c r="K8069" s="43">
        <f>IF($I8069=0,0,IF(INDEX(DarlOhneTilgung,17)=1,0,IF(AND(INDEX(DarlTilgStart,17)&gt;0,$E8069=INDEX(DarlTilgStart,17)),$J8069*($H8069+INDEX(DarlTilgung,17))/100/12,IF(AND($G8069=0,$G8068=1),MAX($K8068,$J8069*($H8069+1)/100/12),$K8068))))</f>
      </c>
      <c r="L8069" s="43">
        <f>IF($I8069=0,0,$J8069*$H8069/100/12)</f>
      </c>
      <c r="M8069" s="43">
        <f>IF($I8069=0,0,IF(OR(INDEX(DarlOhneTilgung,17)=1,AND(INDEX(DarlTilgStart,17)&gt;0,$E8069&lt;INDEX(DarlTilgStart,17))),0,MIN(MAX(0,$K8069-$L8069),$J8069)))</f>
      </c>
      <c r="N8069" s="43">
        <f>IF($I8069=0,0,MIN(SUMIFS(SondBetrag,SondDarl,17,SondDatum,"&gt;="&amp;$E8069,SondDatum,"&lt;="&amp;EOMONTH($E8069,0)),$J8069-$M8069))</f>
      </c>
      <c r="O8069" s="43">
        <f>IF($I8069=0,0,INDEX(DarlErsatzRate,17))</f>
      </c>
      <c r="P8069" s="43">
        <f>IF($I8069=0,0,$Q8068*INDEX(DarlErsatzZins,17))</f>
      </c>
      <c r="Q8069" s="43">
        <f>IF($I8069=0,0,$Q8068+$P8069+$O8069)</f>
      </c>
      <c r="R8069" s="43">
        <f>IF($I8069=0,0,$J8069-$M8069-$N8069)</f>
      </c>
    </row>
    <row r="8070">
      <c r="A8070"/>
      <c r="B8070">
        <v>17</v>
      </c>
      <c r="C8070" s="43">
        <f>INDEX(DarlObj,17)</f>
      </c>
      <c r="D8070">
        <v>387</v>
      </c>
      <c r="E8070" s="51">
        <f>IF(INDEX(DarlBelegt,17)=0,0,EOMONTH(INDEX(DarlAuszahlung,17),386)+1)</f>
      </c>
      <c r="F8070" s="43">
        <f>IF($E8070=0,0,YEAR($E8070))</f>
      </c>
      <c r="G8070" s="43">
        <f>IF(INDEX(DarlBindung,17)="",1,IF($E8070&lt;=INDEX(DarlBindung,17),1,0))</f>
      </c>
      <c r="H8070" s="43">
        <f>IF($G8070=1,INDEX(DarlSollzins,17),INDEX(DarlAnschluss,17))</f>
      </c>
      <c r="I8070" s="43">
        <f>IF(INDEX(DarlBelegt,17)=0,0,IF(INDEX(DarlOhneTilgung,17)=1,IF(INDEX(DarlBindung,17)="",1,$G8070),IF($J8070&gt;0.005,1,0)))</f>
      </c>
      <c r="J8070" s="43">
        <f>IF($I8069=0,0,$R8069)</f>
      </c>
      <c r="K8070" s="43">
        <f>IF($I8070=0,0,IF(INDEX(DarlOhneTilgung,17)=1,0,IF(AND(INDEX(DarlTilgStart,17)&gt;0,$E8070=INDEX(DarlTilgStart,17)),$J8070*($H8070+INDEX(DarlTilgung,17))/100/12,IF(AND($G8070=0,$G8069=1),MAX($K8069,$J8070*($H8070+1)/100/12),$K8069))))</f>
      </c>
      <c r="L8070" s="43">
        <f>IF($I8070=0,0,$J8070*$H8070/100/12)</f>
      </c>
      <c r="M8070" s="43">
        <f>IF($I8070=0,0,IF(OR(INDEX(DarlOhneTilgung,17)=1,AND(INDEX(DarlTilgStart,17)&gt;0,$E8070&lt;INDEX(DarlTilgStart,17))),0,MIN(MAX(0,$K8070-$L8070),$J8070)))</f>
      </c>
      <c r="N8070" s="43">
        <f>IF($I8070=0,0,MIN(SUMIFS(SondBetrag,SondDarl,17,SondDatum,"&gt;="&amp;$E8070,SondDatum,"&lt;="&amp;EOMONTH($E8070,0)),$J8070-$M8070))</f>
      </c>
      <c r="O8070" s="43">
        <f>IF($I8070=0,0,INDEX(DarlErsatzRate,17))</f>
      </c>
      <c r="P8070" s="43">
        <f>IF($I8070=0,0,$Q8069*INDEX(DarlErsatzZins,17))</f>
      </c>
      <c r="Q8070" s="43">
        <f>IF($I8070=0,0,$Q8069+$P8070+$O8070)</f>
      </c>
      <c r="R8070" s="43">
        <f>IF($I8070=0,0,$J8070-$M8070-$N8070)</f>
      </c>
    </row>
    <row r="8071">
      <c r="A8071"/>
      <c r="B8071">
        <v>17</v>
      </c>
      <c r="C8071" s="43">
        <f>INDEX(DarlObj,17)</f>
      </c>
      <c r="D8071">
        <v>388</v>
      </c>
      <c r="E8071" s="51">
        <f>IF(INDEX(DarlBelegt,17)=0,0,EOMONTH(INDEX(DarlAuszahlung,17),387)+1)</f>
      </c>
      <c r="F8071" s="43">
        <f>IF($E8071=0,0,YEAR($E8071))</f>
      </c>
      <c r="G8071" s="43">
        <f>IF(INDEX(DarlBindung,17)="",1,IF($E8071&lt;=INDEX(DarlBindung,17),1,0))</f>
      </c>
      <c r="H8071" s="43">
        <f>IF($G8071=1,INDEX(DarlSollzins,17),INDEX(DarlAnschluss,17))</f>
      </c>
      <c r="I8071" s="43">
        <f>IF(INDEX(DarlBelegt,17)=0,0,IF(INDEX(DarlOhneTilgung,17)=1,IF(INDEX(DarlBindung,17)="",1,$G8071),IF($J8071&gt;0.005,1,0)))</f>
      </c>
      <c r="J8071" s="43">
        <f>IF($I8070=0,0,$R8070)</f>
      </c>
      <c r="K8071" s="43">
        <f>IF($I8071=0,0,IF(INDEX(DarlOhneTilgung,17)=1,0,IF(AND(INDEX(DarlTilgStart,17)&gt;0,$E8071=INDEX(DarlTilgStart,17)),$J8071*($H8071+INDEX(DarlTilgung,17))/100/12,IF(AND($G8071=0,$G8070=1),MAX($K8070,$J8071*($H8071+1)/100/12),$K8070))))</f>
      </c>
      <c r="L8071" s="43">
        <f>IF($I8071=0,0,$J8071*$H8071/100/12)</f>
      </c>
      <c r="M8071" s="43">
        <f>IF($I8071=0,0,IF(OR(INDEX(DarlOhneTilgung,17)=1,AND(INDEX(DarlTilgStart,17)&gt;0,$E8071&lt;INDEX(DarlTilgStart,17))),0,MIN(MAX(0,$K8071-$L8071),$J8071)))</f>
      </c>
      <c r="N8071" s="43">
        <f>IF($I8071=0,0,MIN(SUMIFS(SondBetrag,SondDarl,17,SondDatum,"&gt;="&amp;$E8071,SondDatum,"&lt;="&amp;EOMONTH($E8071,0)),$J8071-$M8071))</f>
      </c>
      <c r="O8071" s="43">
        <f>IF($I8071=0,0,INDEX(DarlErsatzRate,17))</f>
      </c>
      <c r="P8071" s="43">
        <f>IF($I8071=0,0,$Q8070*INDEX(DarlErsatzZins,17))</f>
      </c>
      <c r="Q8071" s="43">
        <f>IF($I8071=0,0,$Q8070+$P8071+$O8071)</f>
      </c>
      <c r="R8071" s="43">
        <f>IF($I8071=0,0,$J8071-$M8071-$N8071)</f>
      </c>
    </row>
    <row r="8072">
      <c r="A8072"/>
      <c r="B8072">
        <v>17</v>
      </c>
      <c r="C8072" s="43">
        <f>INDEX(DarlObj,17)</f>
      </c>
      <c r="D8072">
        <v>389</v>
      </c>
      <c r="E8072" s="51">
        <f>IF(INDEX(DarlBelegt,17)=0,0,EOMONTH(INDEX(DarlAuszahlung,17),388)+1)</f>
      </c>
      <c r="F8072" s="43">
        <f>IF($E8072=0,0,YEAR($E8072))</f>
      </c>
      <c r="G8072" s="43">
        <f>IF(INDEX(DarlBindung,17)="",1,IF($E8072&lt;=INDEX(DarlBindung,17),1,0))</f>
      </c>
      <c r="H8072" s="43">
        <f>IF($G8072=1,INDEX(DarlSollzins,17),INDEX(DarlAnschluss,17))</f>
      </c>
      <c r="I8072" s="43">
        <f>IF(INDEX(DarlBelegt,17)=0,0,IF(INDEX(DarlOhneTilgung,17)=1,IF(INDEX(DarlBindung,17)="",1,$G8072),IF($J8072&gt;0.005,1,0)))</f>
      </c>
      <c r="J8072" s="43">
        <f>IF($I8071=0,0,$R8071)</f>
      </c>
      <c r="K8072" s="43">
        <f>IF($I8072=0,0,IF(INDEX(DarlOhneTilgung,17)=1,0,IF(AND(INDEX(DarlTilgStart,17)&gt;0,$E8072=INDEX(DarlTilgStart,17)),$J8072*($H8072+INDEX(DarlTilgung,17))/100/12,IF(AND($G8072=0,$G8071=1),MAX($K8071,$J8072*($H8072+1)/100/12),$K8071))))</f>
      </c>
      <c r="L8072" s="43">
        <f>IF($I8072=0,0,$J8072*$H8072/100/12)</f>
      </c>
      <c r="M8072" s="43">
        <f>IF($I8072=0,0,IF(OR(INDEX(DarlOhneTilgung,17)=1,AND(INDEX(DarlTilgStart,17)&gt;0,$E8072&lt;INDEX(DarlTilgStart,17))),0,MIN(MAX(0,$K8072-$L8072),$J8072)))</f>
      </c>
      <c r="N8072" s="43">
        <f>IF($I8072=0,0,MIN(SUMIFS(SondBetrag,SondDarl,17,SondDatum,"&gt;="&amp;$E8072,SondDatum,"&lt;="&amp;EOMONTH($E8072,0)),$J8072-$M8072))</f>
      </c>
      <c r="O8072" s="43">
        <f>IF($I8072=0,0,INDEX(DarlErsatzRate,17))</f>
      </c>
      <c r="P8072" s="43">
        <f>IF($I8072=0,0,$Q8071*INDEX(DarlErsatzZins,17))</f>
      </c>
      <c r="Q8072" s="43">
        <f>IF($I8072=0,0,$Q8071+$P8072+$O8072)</f>
      </c>
      <c r="R8072" s="43">
        <f>IF($I8072=0,0,$J8072-$M8072-$N8072)</f>
      </c>
    </row>
    <row r="8073">
      <c r="A8073"/>
      <c r="B8073">
        <v>17</v>
      </c>
      <c r="C8073" s="43">
        <f>INDEX(DarlObj,17)</f>
      </c>
      <c r="D8073">
        <v>390</v>
      </c>
      <c r="E8073" s="51">
        <f>IF(INDEX(DarlBelegt,17)=0,0,EOMONTH(INDEX(DarlAuszahlung,17),389)+1)</f>
      </c>
      <c r="F8073" s="43">
        <f>IF($E8073=0,0,YEAR($E8073))</f>
      </c>
      <c r="G8073" s="43">
        <f>IF(INDEX(DarlBindung,17)="",1,IF($E8073&lt;=INDEX(DarlBindung,17),1,0))</f>
      </c>
      <c r="H8073" s="43">
        <f>IF($G8073=1,INDEX(DarlSollzins,17),INDEX(DarlAnschluss,17))</f>
      </c>
      <c r="I8073" s="43">
        <f>IF(INDEX(DarlBelegt,17)=0,0,IF(INDEX(DarlOhneTilgung,17)=1,IF(INDEX(DarlBindung,17)="",1,$G8073),IF($J8073&gt;0.005,1,0)))</f>
      </c>
      <c r="J8073" s="43">
        <f>IF($I8072=0,0,$R8072)</f>
      </c>
      <c r="K8073" s="43">
        <f>IF($I8073=0,0,IF(INDEX(DarlOhneTilgung,17)=1,0,IF(AND(INDEX(DarlTilgStart,17)&gt;0,$E8073=INDEX(DarlTilgStart,17)),$J8073*($H8073+INDEX(DarlTilgung,17))/100/12,IF(AND($G8073=0,$G8072=1),MAX($K8072,$J8073*($H8073+1)/100/12),$K8072))))</f>
      </c>
      <c r="L8073" s="43">
        <f>IF($I8073=0,0,$J8073*$H8073/100/12)</f>
      </c>
      <c r="M8073" s="43">
        <f>IF($I8073=0,0,IF(OR(INDEX(DarlOhneTilgung,17)=1,AND(INDEX(DarlTilgStart,17)&gt;0,$E8073&lt;INDEX(DarlTilgStart,17))),0,MIN(MAX(0,$K8073-$L8073),$J8073)))</f>
      </c>
      <c r="N8073" s="43">
        <f>IF($I8073=0,0,MIN(SUMIFS(SondBetrag,SondDarl,17,SondDatum,"&gt;="&amp;$E8073,SondDatum,"&lt;="&amp;EOMONTH($E8073,0)),$J8073-$M8073))</f>
      </c>
      <c r="O8073" s="43">
        <f>IF($I8073=0,0,INDEX(DarlErsatzRate,17))</f>
      </c>
      <c r="P8073" s="43">
        <f>IF($I8073=0,0,$Q8072*INDEX(DarlErsatzZins,17))</f>
      </c>
      <c r="Q8073" s="43">
        <f>IF($I8073=0,0,$Q8072+$P8073+$O8073)</f>
      </c>
      <c r="R8073" s="43">
        <f>IF($I8073=0,0,$J8073-$M8073-$N8073)</f>
      </c>
    </row>
    <row r="8074">
      <c r="A8074"/>
      <c r="B8074">
        <v>17</v>
      </c>
      <c r="C8074" s="43">
        <f>INDEX(DarlObj,17)</f>
      </c>
      <c r="D8074">
        <v>391</v>
      </c>
      <c r="E8074" s="51">
        <f>IF(INDEX(DarlBelegt,17)=0,0,EOMONTH(INDEX(DarlAuszahlung,17),390)+1)</f>
      </c>
      <c r="F8074" s="43">
        <f>IF($E8074=0,0,YEAR($E8074))</f>
      </c>
      <c r="G8074" s="43">
        <f>IF(INDEX(DarlBindung,17)="",1,IF($E8074&lt;=INDEX(DarlBindung,17),1,0))</f>
      </c>
      <c r="H8074" s="43">
        <f>IF($G8074=1,INDEX(DarlSollzins,17),INDEX(DarlAnschluss,17))</f>
      </c>
      <c r="I8074" s="43">
        <f>IF(INDEX(DarlBelegt,17)=0,0,IF(INDEX(DarlOhneTilgung,17)=1,IF(INDEX(DarlBindung,17)="",1,$G8074),IF($J8074&gt;0.005,1,0)))</f>
      </c>
      <c r="J8074" s="43">
        <f>IF($I8073=0,0,$R8073)</f>
      </c>
      <c r="K8074" s="43">
        <f>IF($I8074=0,0,IF(INDEX(DarlOhneTilgung,17)=1,0,IF(AND(INDEX(DarlTilgStart,17)&gt;0,$E8074=INDEX(DarlTilgStart,17)),$J8074*($H8074+INDEX(DarlTilgung,17))/100/12,IF(AND($G8074=0,$G8073=1),MAX($K8073,$J8074*($H8074+1)/100/12),$K8073))))</f>
      </c>
      <c r="L8074" s="43">
        <f>IF($I8074=0,0,$J8074*$H8074/100/12)</f>
      </c>
      <c r="M8074" s="43">
        <f>IF($I8074=0,0,IF(OR(INDEX(DarlOhneTilgung,17)=1,AND(INDEX(DarlTilgStart,17)&gt;0,$E8074&lt;INDEX(DarlTilgStart,17))),0,MIN(MAX(0,$K8074-$L8074),$J8074)))</f>
      </c>
      <c r="N8074" s="43">
        <f>IF($I8074=0,0,MIN(SUMIFS(SondBetrag,SondDarl,17,SondDatum,"&gt;="&amp;$E8074,SondDatum,"&lt;="&amp;EOMONTH($E8074,0)),$J8074-$M8074))</f>
      </c>
      <c r="O8074" s="43">
        <f>IF($I8074=0,0,INDEX(DarlErsatzRate,17))</f>
      </c>
      <c r="P8074" s="43">
        <f>IF($I8074=0,0,$Q8073*INDEX(DarlErsatzZins,17))</f>
      </c>
      <c r="Q8074" s="43">
        <f>IF($I8074=0,0,$Q8073+$P8074+$O8074)</f>
      </c>
      <c r="R8074" s="43">
        <f>IF($I8074=0,0,$J8074-$M8074-$N8074)</f>
      </c>
    </row>
    <row r="8075">
      <c r="A8075"/>
      <c r="B8075">
        <v>17</v>
      </c>
      <c r="C8075" s="43">
        <f>INDEX(DarlObj,17)</f>
      </c>
      <c r="D8075">
        <v>392</v>
      </c>
      <c r="E8075" s="51">
        <f>IF(INDEX(DarlBelegt,17)=0,0,EOMONTH(INDEX(DarlAuszahlung,17),391)+1)</f>
      </c>
      <c r="F8075" s="43">
        <f>IF($E8075=0,0,YEAR($E8075))</f>
      </c>
      <c r="G8075" s="43">
        <f>IF(INDEX(DarlBindung,17)="",1,IF($E8075&lt;=INDEX(DarlBindung,17),1,0))</f>
      </c>
      <c r="H8075" s="43">
        <f>IF($G8075=1,INDEX(DarlSollzins,17),INDEX(DarlAnschluss,17))</f>
      </c>
      <c r="I8075" s="43">
        <f>IF(INDEX(DarlBelegt,17)=0,0,IF(INDEX(DarlOhneTilgung,17)=1,IF(INDEX(DarlBindung,17)="",1,$G8075),IF($J8075&gt;0.005,1,0)))</f>
      </c>
      <c r="J8075" s="43">
        <f>IF($I8074=0,0,$R8074)</f>
      </c>
      <c r="K8075" s="43">
        <f>IF($I8075=0,0,IF(INDEX(DarlOhneTilgung,17)=1,0,IF(AND(INDEX(DarlTilgStart,17)&gt;0,$E8075=INDEX(DarlTilgStart,17)),$J8075*($H8075+INDEX(DarlTilgung,17))/100/12,IF(AND($G8075=0,$G8074=1),MAX($K8074,$J8075*($H8075+1)/100/12),$K8074))))</f>
      </c>
      <c r="L8075" s="43">
        <f>IF($I8075=0,0,$J8075*$H8075/100/12)</f>
      </c>
      <c r="M8075" s="43">
        <f>IF($I8075=0,0,IF(OR(INDEX(DarlOhneTilgung,17)=1,AND(INDEX(DarlTilgStart,17)&gt;0,$E8075&lt;INDEX(DarlTilgStart,17))),0,MIN(MAX(0,$K8075-$L8075),$J8075)))</f>
      </c>
      <c r="N8075" s="43">
        <f>IF($I8075=0,0,MIN(SUMIFS(SondBetrag,SondDarl,17,SondDatum,"&gt;="&amp;$E8075,SondDatum,"&lt;="&amp;EOMONTH($E8075,0)),$J8075-$M8075))</f>
      </c>
      <c r="O8075" s="43">
        <f>IF($I8075=0,0,INDEX(DarlErsatzRate,17))</f>
      </c>
      <c r="P8075" s="43">
        <f>IF($I8075=0,0,$Q8074*INDEX(DarlErsatzZins,17))</f>
      </c>
      <c r="Q8075" s="43">
        <f>IF($I8075=0,0,$Q8074+$P8075+$O8075)</f>
      </c>
      <c r="R8075" s="43">
        <f>IF($I8075=0,0,$J8075-$M8075-$N8075)</f>
      </c>
    </row>
    <row r="8076">
      <c r="A8076"/>
      <c r="B8076">
        <v>17</v>
      </c>
      <c r="C8076" s="43">
        <f>INDEX(DarlObj,17)</f>
      </c>
      <c r="D8076">
        <v>393</v>
      </c>
      <c r="E8076" s="51">
        <f>IF(INDEX(DarlBelegt,17)=0,0,EOMONTH(INDEX(DarlAuszahlung,17),392)+1)</f>
      </c>
      <c r="F8076" s="43">
        <f>IF($E8076=0,0,YEAR($E8076))</f>
      </c>
      <c r="G8076" s="43">
        <f>IF(INDEX(DarlBindung,17)="",1,IF($E8076&lt;=INDEX(DarlBindung,17),1,0))</f>
      </c>
      <c r="H8076" s="43">
        <f>IF($G8076=1,INDEX(DarlSollzins,17),INDEX(DarlAnschluss,17))</f>
      </c>
      <c r="I8076" s="43">
        <f>IF(INDEX(DarlBelegt,17)=0,0,IF(INDEX(DarlOhneTilgung,17)=1,IF(INDEX(DarlBindung,17)="",1,$G8076),IF($J8076&gt;0.005,1,0)))</f>
      </c>
      <c r="J8076" s="43">
        <f>IF($I8075=0,0,$R8075)</f>
      </c>
      <c r="K8076" s="43">
        <f>IF($I8076=0,0,IF(INDEX(DarlOhneTilgung,17)=1,0,IF(AND(INDEX(DarlTilgStart,17)&gt;0,$E8076=INDEX(DarlTilgStart,17)),$J8076*($H8076+INDEX(DarlTilgung,17))/100/12,IF(AND($G8076=0,$G8075=1),MAX($K8075,$J8076*($H8076+1)/100/12),$K8075))))</f>
      </c>
      <c r="L8076" s="43">
        <f>IF($I8076=0,0,$J8076*$H8076/100/12)</f>
      </c>
      <c r="M8076" s="43">
        <f>IF($I8076=0,0,IF(OR(INDEX(DarlOhneTilgung,17)=1,AND(INDEX(DarlTilgStart,17)&gt;0,$E8076&lt;INDEX(DarlTilgStart,17))),0,MIN(MAX(0,$K8076-$L8076),$J8076)))</f>
      </c>
      <c r="N8076" s="43">
        <f>IF($I8076=0,0,MIN(SUMIFS(SondBetrag,SondDarl,17,SondDatum,"&gt;="&amp;$E8076,SondDatum,"&lt;="&amp;EOMONTH($E8076,0)),$J8076-$M8076))</f>
      </c>
      <c r="O8076" s="43">
        <f>IF($I8076=0,0,INDEX(DarlErsatzRate,17))</f>
      </c>
      <c r="P8076" s="43">
        <f>IF($I8076=0,0,$Q8075*INDEX(DarlErsatzZins,17))</f>
      </c>
      <c r="Q8076" s="43">
        <f>IF($I8076=0,0,$Q8075+$P8076+$O8076)</f>
      </c>
      <c r="R8076" s="43">
        <f>IF($I8076=0,0,$J8076-$M8076-$N8076)</f>
      </c>
    </row>
    <row r="8077">
      <c r="A8077"/>
      <c r="B8077">
        <v>17</v>
      </c>
      <c r="C8077" s="43">
        <f>INDEX(DarlObj,17)</f>
      </c>
      <c r="D8077">
        <v>394</v>
      </c>
      <c r="E8077" s="51">
        <f>IF(INDEX(DarlBelegt,17)=0,0,EOMONTH(INDEX(DarlAuszahlung,17),393)+1)</f>
      </c>
      <c r="F8077" s="43">
        <f>IF($E8077=0,0,YEAR($E8077))</f>
      </c>
      <c r="G8077" s="43">
        <f>IF(INDEX(DarlBindung,17)="",1,IF($E8077&lt;=INDEX(DarlBindung,17),1,0))</f>
      </c>
      <c r="H8077" s="43">
        <f>IF($G8077=1,INDEX(DarlSollzins,17),INDEX(DarlAnschluss,17))</f>
      </c>
      <c r="I8077" s="43">
        <f>IF(INDEX(DarlBelegt,17)=0,0,IF(INDEX(DarlOhneTilgung,17)=1,IF(INDEX(DarlBindung,17)="",1,$G8077),IF($J8077&gt;0.005,1,0)))</f>
      </c>
      <c r="J8077" s="43">
        <f>IF($I8076=0,0,$R8076)</f>
      </c>
      <c r="K8077" s="43">
        <f>IF($I8077=0,0,IF(INDEX(DarlOhneTilgung,17)=1,0,IF(AND(INDEX(DarlTilgStart,17)&gt;0,$E8077=INDEX(DarlTilgStart,17)),$J8077*($H8077+INDEX(DarlTilgung,17))/100/12,IF(AND($G8077=0,$G8076=1),MAX($K8076,$J8077*($H8077+1)/100/12),$K8076))))</f>
      </c>
      <c r="L8077" s="43">
        <f>IF($I8077=0,0,$J8077*$H8077/100/12)</f>
      </c>
      <c r="M8077" s="43">
        <f>IF($I8077=0,0,IF(OR(INDEX(DarlOhneTilgung,17)=1,AND(INDEX(DarlTilgStart,17)&gt;0,$E8077&lt;INDEX(DarlTilgStart,17))),0,MIN(MAX(0,$K8077-$L8077),$J8077)))</f>
      </c>
      <c r="N8077" s="43">
        <f>IF($I8077=0,0,MIN(SUMIFS(SondBetrag,SondDarl,17,SondDatum,"&gt;="&amp;$E8077,SondDatum,"&lt;="&amp;EOMONTH($E8077,0)),$J8077-$M8077))</f>
      </c>
      <c r="O8077" s="43">
        <f>IF($I8077=0,0,INDEX(DarlErsatzRate,17))</f>
      </c>
      <c r="P8077" s="43">
        <f>IF($I8077=0,0,$Q8076*INDEX(DarlErsatzZins,17))</f>
      </c>
      <c r="Q8077" s="43">
        <f>IF($I8077=0,0,$Q8076+$P8077+$O8077)</f>
      </c>
      <c r="R8077" s="43">
        <f>IF($I8077=0,0,$J8077-$M8077-$N8077)</f>
      </c>
    </row>
    <row r="8078">
      <c r="A8078"/>
      <c r="B8078">
        <v>17</v>
      </c>
      <c r="C8078" s="43">
        <f>INDEX(DarlObj,17)</f>
      </c>
      <c r="D8078">
        <v>395</v>
      </c>
      <c r="E8078" s="51">
        <f>IF(INDEX(DarlBelegt,17)=0,0,EOMONTH(INDEX(DarlAuszahlung,17),394)+1)</f>
      </c>
      <c r="F8078" s="43">
        <f>IF($E8078=0,0,YEAR($E8078))</f>
      </c>
      <c r="G8078" s="43">
        <f>IF(INDEX(DarlBindung,17)="",1,IF($E8078&lt;=INDEX(DarlBindung,17),1,0))</f>
      </c>
      <c r="H8078" s="43">
        <f>IF($G8078=1,INDEX(DarlSollzins,17),INDEX(DarlAnschluss,17))</f>
      </c>
      <c r="I8078" s="43">
        <f>IF(INDEX(DarlBelegt,17)=0,0,IF(INDEX(DarlOhneTilgung,17)=1,IF(INDEX(DarlBindung,17)="",1,$G8078),IF($J8078&gt;0.005,1,0)))</f>
      </c>
      <c r="J8078" s="43">
        <f>IF($I8077=0,0,$R8077)</f>
      </c>
      <c r="K8078" s="43">
        <f>IF($I8078=0,0,IF(INDEX(DarlOhneTilgung,17)=1,0,IF(AND(INDEX(DarlTilgStart,17)&gt;0,$E8078=INDEX(DarlTilgStart,17)),$J8078*($H8078+INDEX(DarlTilgung,17))/100/12,IF(AND($G8078=0,$G8077=1),MAX($K8077,$J8078*($H8078+1)/100/12),$K8077))))</f>
      </c>
      <c r="L8078" s="43">
        <f>IF($I8078=0,0,$J8078*$H8078/100/12)</f>
      </c>
      <c r="M8078" s="43">
        <f>IF($I8078=0,0,IF(OR(INDEX(DarlOhneTilgung,17)=1,AND(INDEX(DarlTilgStart,17)&gt;0,$E8078&lt;INDEX(DarlTilgStart,17))),0,MIN(MAX(0,$K8078-$L8078),$J8078)))</f>
      </c>
      <c r="N8078" s="43">
        <f>IF($I8078=0,0,MIN(SUMIFS(SondBetrag,SondDarl,17,SondDatum,"&gt;="&amp;$E8078,SondDatum,"&lt;="&amp;EOMONTH($E8078,0)),$J8078-$M8078))</f>
      </c>
      <c r="O8078" s="43">
        <f>IF($I8078=0,0,INDEX(DarlErsatzRate,17))</f>
      </c>
      <c r="P8078" s="43">
        <f>IF($I8078=0,0,$Q8077*INDEX(DarlErsatzZins,17))</f>
      </c>
      <c r="Q8078" s="43">
        <f>IF($I8078=0,0,$Q8077+$P8078+$O8078)</f>
      </c>
      <c r="R8078" s="43">
        <f>IF($I8078=0,0,$J8078-$M8078-$N8078)</f>
      </c>
    </row>
    <row r="8079">
      <c r="A8079"/>
      <c r="B8079">
        <v>17</v>
      </c>
      <c r="C8079" s="43">
        <f>INDEX(DarlObj,17)</f>
      </c>
      <c r="D8079">
        <v>396</v>
      </c>
      <c r="E8079" s="51">
        <f>IF(INDEX(DarlBelegt,17)=0,0,EOMONTH(INDEX(DarlAuszahlung,17),395)+1)</f>
      </c>
      <c r="F8079" s="43">
        <f>IF($E8079=0,0,YEAR($E8079))</f>
      </c>
      <c r="G8079" s="43">
        <f>IF(INDEX(DarlBindung,17)="",1,IF($E8079&lt;=INDEX(DarlBindung,17),1,0))</f>
      </c>
      <c r="H8079" s="43">
        <f>IF($G8079=1,INDEX(DarlSollzins,17),INDEX(DarlAnschluss,17))</f>
      </c>
      <c r="I8079" s="43">
        <f>IF(INDEX(DarlBelegt,17)=0,0,IF(INDEX(DarlOhneTilgung,17)=1,IF(INDEX(DarlBindung,17)="",1,$G8079),IF($J8079&gt;0.005,1,0)))</f>
      </c>
      <c r="J8079" s="43">
        <f>IF($I8078=0,0,$R8078)</f>
      </c>
      <c r="K8079" s="43">
        <f>IF($I8079=0,0,IF(INDEX(DarlOhneTilgung,17)=1,0,IF(AND(INDEX(DarlTilgStart,17)&gt;0,$E8079=INDEX(DarlTilgStart,17)),$J8079*($H8079+INDEX(DarlTilgung,17))/100/12,IF(AND($G8079=0,$G8078=1),MAX($K8078,$J8079*($H8079+1)/100/12),$K8078))))</f>
      </c>
      <c r="L8079" s="43">
        <f>IF($I8079=0,0,$J8079*$H8079/100/12)</f>
      </c>
      <c r="M8079" s="43">
        <f>IF($I8079=0,0,IF(OR(INDEX(DarlOhneTilgung,17)=1,AND(INDEX(DarlTilgStart,17)&gt;0,$E8079&lt;INDEX(DarlTilgStart,17))),0,MIN(MAX(0,$K8079-$L8079),$J8079)))</f>
      </c>
      <c r="N8079" s="43">
        <f>IF($I8079=0,0,MIN(SUMIFS(SondBetrag,SondDarl,17,SondDatum,"&gt;="&amp;$E8079,SondDatum,"&lt;="&amp;EOMONTH($E8079,0)),$J8079-$M8079))</f>
      </c>
      <c r="O8079" s="43">
        <f>IF($I8079=0,0,INDEX(DarlErsatzRate,17))</f>
      </c>
      <c r="P8079" s="43">
        <f>IF($I8079=0,0,$Q8078*INDEX(DarlErsatzZins,17))</f>
      </c>
      <c r="Q8079" s="43">
        <f>IF($I8079=0,0,$Q8078+$P8079+$O8079)</f>
      </c>
      <c r="R8079" s="43">
        <f>IF($I8079=0,0,$J8079-$M8079-$N8079)</f>
      </c>
    </row>
    <row r="8080">
      <c r="A8080"/>
      <c r="B8080">
        <v>17</v>
      </c>
      <c r="C8080" s="43">
        <f>INDEX(DarlObj,17)</f>
      </c>
      <c r="D8080">
        <v>397</v>
      </c>
      <c r="E8080" s="51">
        <f>IF(INDEX(DarlBelegt,17)=0,0,EOMONTH(INDEX(DarlAuszahlung,17),396)+1)</f>
      </c>
      <c r="F8080" s="43">
        <f>IF($E8080=0,0,YEAR($E8080))</f>
      </c>
      <c r="G8080" s="43">
        <f>IF(INDEX(DarlBindung,17)="",1,IF($E8080&lt;=INDEX(DarlBindung,17),1,0))</f>
      </c>
      <c r="H8080" s="43">
        <f>IF($G8080=1,INDEX(DarlSollzins,17),INDEX(DarlAnschluss,17))</f>
      </c>
      <c r="I8080" s="43">
        <f>IF(INDEX(DarlBelegt,17)=0,0,IF(INDEX(DarlOhneTilgung,17)=1,IF(INDEX(DarlBindung,17)="",1,$G8080),IF($J8080&gt;0.005,1,0)))</f>
      </c>
      <c r="J8080" s="43">
        <f>IF($I8079=0,0,$R8079)</f>
      </c>
      <c r="K8080" s="43">
        <f>IF($I8080=0,0,IF(INDEX(DarlOhneTilgung,17)=1,0,IF(AND(INDEX(DarlTilgStart,17)&gt;0,$E8080=INDEX(DarlTilgStart,17)),$J8080*($H8080+INDEX(DarlTilgung,17))/100/12,IF(AND($G8080=0,$G8079=1),MAX($K8079,$J8080*($H8080+1)/100/12),$K8079))))</f>
      </c>
      <c r="L8080" s="43">
        <f>IF($I8080=0,0,$J8080*$H8080/100/12)</f>
      </c>
      <c r="M8080" s="43">
        <f>IF($I8080=0,0,IF(OR(INDEX(DarlOhneTilgung,17)=1,AND(INDEX(DarlTilgStart,17)&gt;0,$E8080&lt;INDEX(DarlTilgStart,17))),0,MIN(MAX(0,$K8080-$L8080),$J8080)))</f>
      </c>
      <c r="N8080" s="43">
        <f>IF($I8080=0,0,MIN(SUMIFS(SondBetrag,SondDarl,17,SondDatum,"&gt;="&amp;$E8080,SondDatum,"&lt;="&amp;EOMONTH($E8080,0)),$J8080-$M8080))</f>
      </c>
      <c r="O8080" s="43">
        <f>IF($I8080=0,0,INDEX(DarlErsatzRate,17))</f>
      </c>
      <c r="P8080" s="43">
        <f>IF($I8080=0,0,$Q8079*INDEX(DarlErsatzZins,17))</f>
      </c>
      <c r="Q8080" s="43">
        <f>IF($I8080=0,0,$Q8079+$P8080+$O8080)</f>
      </c>
      <c r="R8080" s="43">
        <f>IF($I8080=0,0,$J8080-$M8080-$N8080)</f>
      </c>
    </row>
    <row r="8081">
      <c r="A8081"/>
      <c r="B8081">
        <v>17</v>
      </c>
      <c r="C8081" s="43">
        <f>INDEX(DarlObj,17)</f>
      </c>
      <c r="D8081">
        <v>398</v>
      </c>
      <c r="E8081" s="51">
        <f>IF(INDEX(DarlBelegt,17)=0,0,EOMONTH(INDEX(DarlAuszahlung,17),397)+1)</f>
      </c>
      <c r="F8081" s="43">
        <f>IF($E8081=0,0,YEAR($E8081))</f>
      </c>
      <c r="G8081" s="43">
        <f>IF(INDEX(DarlBindung,17)="",1,IF($E8081&lt;=INDEX(DarlBindung,17),1,0))</f>
      </c>
      <c r="H8081" s="43">
        <f>IF($G8081=1,INDEX(DarlSollzins,17),INDEX(DarlAnschluss,17))</f>
      </c>
      <c r="I8081" s="43">
        <f>IF(INDEX(DarlBelegt,17)=0,0,IF(INDEX(DarlOhneTilgung,17)=1,IF(INDEX(DarlBindung,17)="",1,$G8081),IF($J8081&gt;0.005,1,0)))</f>
      </c>
      <c r="J8081" s="43">
        <f>IF($I8080=0,0,$R8080)</f>
      </c>
      <c r="K8081" s="43">
        <f>IF($I8081=0,0,IF(INDEX(DarlOhneTilgung,17)=1,0,IF(AND(INDEX(DarlTilgStart,17)&gt;0,$E8081=INDEX(DarlTilgStart,17)),$J8081*($H8081+INDEX(DarlTilgung,17))/100/12,IF(AND($G8081=0,$G8080=1),MAX($K8080,$J8081*($H8081+1)/100/12),$K8080))))</f>
      </c>
      <c r="L8081" s="43">
        <f>IF($I8081=0,0,$J8081*$H8081/100/12)</f>
      </c>
      <c r="M8081" s="43">
        <f>IF($I8081=0,0,IF(OR(INDEX(DarlOhneTilgung,17)=1,AND(INDEX(DarlTilgStart,17)&gt;0,$E8081&lt;INDEX(DarlTilgStart,17))),0,MIN(MAX(0,$K8081-$L8081),$J8081)))</f>
      </c>
      <c r="N8081" s="43">
        <f>IF($I8081=0,0,MIN(SUMIFS(SondBetrag,SondDarl,17,SondDatum,"&gt;="&amp;$E8081,SondDatum,"&lt;="&amp;EOMONTH($E8081,0)),$J8081-$M8081))</f>
      </c>
      <c r="O8081" s="43">
        <f>IF($I8081=0,0,INDEX(DarlErsatzRate,17))</f>
      </c>
      <c r="P8081" s="43">
        <f>IF($I8081=0,0,$Q8080*INDEX(DarlErsatzZins,17))</f>
      </c>
      <c r="Q8081" s="43">
        <f>IF($I8081=0,0,$Q8080+$P8081+$O8081)</f>
      </c>
      <c r="R8081" s="43">
        <f>IF($I8081=0,0,$J8081-$M8081-$N8081)</f>
      </c>
    </row>
    <row r="8082">
      <c r="A8082"/>
      <c r="B8082">
        <v>17</v>
      </c>
      <c r="C8082" s="43">
        <f>INDEX(DarlObj,17)</f>
      </c>
      <c r="D8082">
        <v>399</v>
      </c>
      <c r="E8082" s="51">
        <f>IF(INDEX(DarlBelegt,17)=0,0,EOMONTH(INDEX(DarlAuszahlung,17),398)+1)</f>
      </c>
      <c r="F8082" s="43">
        <f>IF($E8082=0,0,YEAR($E8082))</f>
      </c>
      <c r="G8082" s="43">
        <f>IF(INDEX(DarlBindung,17)="",1,IF($E8082&lt;=INDEX(DarlBindung,17),1,0))</f>
      </c>
      <c r="H8082" s="43">
        <f>IF($G8082=1,INDEX(DarlSollzins,17),INDEX(DarlAnschluss,17))</f>
      </c>
      <c r="I8082" s="43">
        <f>IF(INDEX(DarlBelegt,17)=0,0,IF(INDEX(DarlOhneTilgung,17)=1,IF(INDEX(DarlBindung,17)="",1,$G8082),IF($J8082&gt;0.005,1,0)))</f>
      </c>
      <c r="J8082" s="43">
        <f>IF($I8081=0,0,$R8081)</f>
      </c>
      <c r="K8082" s="43">
        <f>IF($I8082=0,0,IF(INDEX(DarlOhneTilgung,17)=1,0,IF(AND(INDEX(DarlTilgStart,17)&gt;0,$E8082=INDEX(DarlTilgStart,17)),$J8082*($H8082+INDEX(DarlTilgung,17))/100/12,IF(AND($G8082=0,$G8081=1),MAX($K8081,$J8082*($H8082+1)/100/12),$K8081))))</f>
      </c>
      <c r="L8082" s="43">
        <f>IF($I8082=0,0,$J8082*$H8082/100/12)</f>
      </c>
      <c r="M8082" s="43">
        <f>IF($I8082=0,0,IF(OR(INDEX(DarlOhneTilgung,17)=1,AND(INDEX(DarlTilgStart,17)&gt;0,$E8082&lt;INDEX(DarlTilgStart,17))),0,MIN(MAX(0,$K8082-$L8082),$J8082)))</f>
      </c>
      <c r="N8082" s="43">
        <f>IF($I8082=0,0,MIN(SUMIFS(SondBetrag,SondDarl,17,SondDatum,"&gt;="&amp;$E8082,SondDatum,"&lt;="&amp;EOMONTH($E8082,0)),$J8082-$M8082))</f>
      </c>
      <c r="O8082" s="43">
        <f>IF($I8082=0,0,INDEX(DarlErsatzRate,17))</f>
      </c>
      <c r="P8082" s="43">
        <f>IF($I8082=0,0,$Q8081*INDEX(DarlErsatzZins,17))</f>
      </c>
      <c r="Q8082" s="43">
        <f>IF($I8082=0,0,$Q8081+$P8082+$O8082)</f>
      </c>
      <c r="R8082" s="43">
        <f>IF($I8082=0,0,$J8082-$M8082-$N8082)</f>
      </c>
    </row>
    <row r="8083">
      <c r="A8083"/>
      <c r="B8083">
        <v>17</v>
      </c>
      <c r="C8083" s="43">
        <f>INDEX(DarlObj,17)</f>
      </c>
      <c r="D8083">
        <v>400</v>
      </c>
      <c r="E8083" s="51">
        <f>IF(INDEX(DarlBelegt,17)=0,0,EOMONTH(INDEX(DarlAuszahlung,17),399)+1)</f>
      </c>
      <c r="F8083" s="43">
        <f>IF($E8083=0,0,YEAR($E8083))</f>
      </c>
      <c r="G8083" s="43">
        <f>IF(INDEX(DarlBindung,17)="",1,IF($E8083&lt;=INDEX(DarlBindung,17),1,0))</f>
      </c>
      <c r="H8083" s="43">
        <f>IF($G8083=1,INDEX(DarlSollzins,17),INDEX(DarlAnschluss,17))</f>
      </c>
      <c r="I8083" s="43">
        <f>IF(INDEX(DarlBelegt,17)=0,0,IF(INDEX(DarlOhneTilgung,17)=1,IF(INDEX(DarlBindung,17)="",1,$G8083),IF($J8083&gt;0.005,1,0)))</f>
      </c>
      <c r="J8083" s="43">
        <f>IF($I8082=0,0,$R8082)</f>
      </c>
      <c r="K8083" s="43">
        <f>IF($I8083=0,0,IF(INDEX(DarlOhneTilgung,17)=1,0,IF(AND(INDEX(DarlTilgStart,17)&gt;0,$E8083=INDEX(DarlTilgStart,17)),$J8083*($H8083+INDEX(DarlTilgung,17))/100/12,IF(AND($G8083=0,$G8082=1),MAX($K8082,$J8083*($H8083+1)/100/12),$K8082))))</f>
      </c>
      <c r="L8083" s="43">
        <f>IF($I8083=0,0,$J8083*$H8083/100/12)</f>
      </c>
      <c r="M8083" s="43">
        <f>IF($I8083=0,0,IF(OR(INDEX(DarlOhneTilgung,17)=1,AND(INDEX(DarlTilgStart,17)&gt;0,$E8083&lt;INDEX(DarlTilgStart,17))),0,MIN(MAX(0,$K8083-$L8083),$J8083)))</f>
      </c>
      <c r="N8083" s="43">
        <f>IF($I8083=0,0,MIN(SUMIFS(SondBetrag,SondDarl,17,SondDatum,"&gt;="&amp;$E8083,SondDatum,"&lt;="&amp;EOMONTH($E8083,0)),$J8083-$M8083))</f>
      </c>
      <c r="O8083" s="43">
        <f>IF($I8083=0,0,INDEX(DarlErsatzRate,17))</f>
      </c>
      <c r="P8083" s="43">
        <f>IF($I8083=0,0,$Q8082*INDEX(DarlErsatzZins,17))</f>
      </c>
      <c r="Q8083" s="43">
        <f>IF($I8083=0,0,$Q8082+$P8083+$O8083)</f>
      </c>
      <c r="R8083" s="43">
        <f>IF($I8083=0,0,$J8083-$M8083-$N8083)</f>
      </c>
    </row>
    <row r="8084">
      <c r="A8084"/>
      <c r="B8084">
        <v>17</v>
      </c>
      <c r="C8084" s="43">
        <f>INDEX(DarlObj,17)</f>
      </c>
      <c r="D8084">
        <v>401</v>
      </c>
      <c r="E8084" s="51">
        <f>IF(INDEX(DarlBelegt,17)=0,0,EOMONTH(INDEX(DarlAuszahlung,17),400)+1)</f>
      </c>
      <c r="F8084" s="43">
        <f>IF($E8084=0,0,YEAR($E8084))</f>
      </c>
      <c r="G8084" s="43">
        <f>IF(INDEX(DarlBindung,17)="",1,IF($E8084&lt;=INDEX(DarlBindung,17),1,0))</f>
      </c>
      <c r="H8084" s="43">
        <f>IF($G8084=1,INDEX(DarlSollzins,17),INDEX(DarlAnschluss,17))</f>
      </c>
      <c r="I8084" s="43">
        <f>IF(INDEX(DarlBelegt,17)=0,0,IF(INDEX(DarlOhneTilgung,17)=1,IF(INDEX(DarlBindung,17)="",1,$G8084),IF($J8084&gt;0.005,1,0)))</f>
      </c>
      <c r="J8084" s="43">
        <f>IF($I8083=0,0,$R8083)</f>
      </c>
      <c r="K8084" s="43">
        <f>IF($I8084=0,0,IF(INDEX(DarlOhneTilgung,17)=1,0,IF(AND(INDEX(DarlTilgStart,17)&gt;0,$E8084=INDEX(DarlTilgStart,17)),$J8084*($H8084+INDEX(DarlTilgung,17))/100/12,IF(AND($G8084=0,$G8083=1),MAX($K8083,$J8084*($H8084+1)/100/12),$K8083))))</f>
      </c>
      <c r="L8084" s="43">
        <f>IF($I8084=0,0,$J8084*$H8084/100/12)</f>
      </c>
      <c r="M8084" s="43">
        <f>IF($I8084=0,0,IF(OR(INDEX(DarlOhneTilgung,17)=1,AND(INDEX(DarlTilgStart,17)&gt;0,$E8084&lt;INDEX(DarlTilgStart,17))),0,MIN(MAX(0,$K8084-$L8084),$J8084)))</f>
      </c>
      <c r="N8084" s="43">
        <f>IF($I8084=0,0,MIN(SUMIFS(SondBetrag,SondDarl,17,SondDatum,"&gt;="&amp;$E8084,SondDatum,"&lt;="&amp;EOMONTH($E8084,0)),$J8084-$M8084))</f>
      </c>
      <c r="O8084" s="43">
        <f>IF($I8084=0,0,INDEX(DarlErsatzRate,17))</f>
      </c>
      <c r="P8084" s="43">
        <f>IF($I8084=0,0,$Q8083*INDEX(DarlErsatzZins,17))</f>
      </c>
      <c r="Q8084" s="43">
        <f>IF($I8084=0,0,$Q8083+$P8084+$O8084)</f>
      </c>
      <c r="R8084" s="43">
        <f>IF($I8084=0,0,$J8084-$M8084-$N8084)</f>
      </c>
    </row>
    <row r="8085">
      <c r="A8085"/>
      <c r="B8085">
        <v>17</v>
      </c>
      <c r="C8085" s="43">
        <f>INDEX(DarlObj,17)</f>
      </c>
      <c r="D8085">
        <v>402</v>
      </c>
      <c r="E8085" s="51">
        <f>IF(INDEX(DarlBelegt,17)=0,0,EOMONTH(INDEX(DarlAuszahlung,17),401)+1)</f>
      </c>
      <c r="F8085" s="43">
        <f>IF($E8085=0,0,YEAR($E8085))</f>
      </c>
      <c r="G8085" s="43">
        <f>IF(INDEX(DarlBindung,17)="",1,IF($E8085&lt;=INDEX(DarlBindung,17),1,0))</f>
      </c>
      <c r="H8085" s="43">
        <f>IF($G8085=1,INDEX(DarlSollzins,17),INDEX(DarlAnschluss,17))</f>
      </c>
      <c r="I8085" s="43">
        <f>IF(INDEX(DarlBelegt,17)=0,0,IF(INDEX(DarlOhneTilgung,17)=1,IF(INDEX(DarlBindung,17)="",1,$G8085),IF($J8085&gt;0.005,1,0)))</f>
      </c>
      <c r="J8085" s="43">
        <f>IF($I8084=0,0,$R8084)</f>
      </c>
      <c r="K8085" s="43">
        <f>IF($I8085=0,0,IF(INDEX(DarlOhneTilgung,17)=1,0,IF(AND(INDEX(DarlTilgStart,17)&gt;0,$E8085=INDEX(DarlTilgStart,17)),$J8085*($H8085+INDEX(DarlTilgung,17))/100/12,IF(AND($G8085=0,$G8084=1),MAX($K8084,$J8085*($H8085+1)/100/12),$K8084))))</f>
      </c>
      <c r="L8085" s="43">
        <f>IF($I8085=0,0,$J8085*$H8085/100/12)</f>
      </c>
      <c r="M8085" s="43">
        <f>IF($I8085=0,0,IF(OR(INDEX(DarlOhneTilgung,17)=1,AND(INDEX(DarlTilgStart,17)&gt;0,$E8085&lt;INDEX(DarlTilgStart,17))),0,MIN(MAX(0,$K8085-$L8085),$J8085)))</f>
      </c>
      <c r="N8085" s="43">
        <f>IF($I8085=0,0,MIN(SUMIFS(SondBetrag,SondDarl,17,SondDatum,"&gt;="&amp;$E8085,SondDatum,"&lt;="&amp;EOMONTH($E8085,0)),$J8085-$M8085))</f>
      </c>
      <c r="O8085" s="43">
        <f>IF($I8085=0,0,INDEX(DarlErsatzRate,17))</f>
      </c>
      <c r="P8085" s="43">
        <f>IF($I8085=0,0,$Q8084*INDEX(DarlErsatzZins,17))</f>
      </c>
      <c r="Q8085" s="43">
        <f>IF($I8085=0,0,$Q8084+$P8085+$O8085)</f>
      </c>
      <c r="R8085" s="43">
        <f>IF($I8085=0,0,$J8085-$M8085-$N8085)</f>
      </c>
    </row>
    <row r="8086">
      <c r="A8086"/>
      <c r="B8086">
        <v>17</v>
      </c>
      <c r="C8086" s="43">
        <f>INDEX(DarlObj,17)</f>
      </c>
      <c r="D8086">
        <v>403</v>
      </c>
      <c r="E8086" s="51">
        <f>IF(INDEX(DarlBelegt,17)=0,0,EOMONTH(INDEX(DarlAuszahlung,17),402)+1)</f>
      </c>
      <c r="F8086" s="43">
        <f>IF($E8086=0,0,YEAR($E8086))</f>
      </c>
      <c r="G8086" s="43">
        <f>IF(INDEX(DarlBindung,17)="",1,IF($E8086&lt;=INDEX(DarlBindung,17),1,0))</f>
      </c>
      <c r="H8086" s="43">
        <f>IF($G8086=1,INDEX(DarlSollzins,17),INDEX(DarlAnschluss,17))</f>
      </c>
      <c r="I8086" s="43">
        <f>IF(INDEX(DarlBelegt,17)=0,0,IF(INDEX(DarlOhneTilgung,17)=1,IF(INDEX(DarlBindung,17)="",1,$G8086),IF($J8086&gt;0.005,1,0)))</f>
      </c>
      <c r="J8086" s="43">
        <f>IF($I8085=0,0,$R8085)</f>
      </c>
      <c r="K8086" s="43">
        <f>IF($I8086=0,0,IF(INDEX(DarlOhneTilgung,17)=1,0,IF(AND(INDEX(DarlTilgStart,17)&gt;0,$E8086=INDEX(DarlTilgStart,17)),$J8086*($H8086+INDEX(DarlTilgung,17))/100/12,IF(AND($G8086=0,$G8085=1),MAX($K8085,$J8086*($H8086+1)/100/12),$K8085))))</f>
      </c>
      <c r="L8086" s="43">
        <f>IF($I8086=0,0,$J8086*$H8086/100/12)</f>
      </c>
      <c r="M8086" s="43">
        <f>IF($I8086=0,0,IF(OR(INDEX(DarlOhneTilgung,17)=1,AND(INDEX(DarlTilgStart,17)&gt;0,$E8086&lt;INDEX(DarlTilgStart,17))),0,MIN(MAX(0,$K8086-$L8086),$J8086)))</f>
      </c>
      <c r="N8086" s="43">
        <f>IF($I8086=0,0,MIN(SUMIFS(SondBetrag,SondDarl,17,SondDatum,"&gt;="&amp;$E8086,SondDatum,"&lt;="&amp;EOMONTH($E8086,0)),$J8086-$M8086))</f>
      </c>
      <c r="O8086" s="43">
        <f>IF($I8086=0,0,INDEX(DarlErsatzRate,17))</f>
      </c>
      <c r="P8086" s="43">
        <f>IF($I8086=0,0,$Q8085*INDEX(DarlErsatzZins,17))</f>
      </c>
      <c r="Q8086" s="43">
        <f>IF($I8086=0,0,$Q8085+$P8086+$O8086)</f>
      </c>
      <c r="R8086" s="43">
        <f>IF($I8086=0,0,$J8086-$M8086-$N8086)</f>
      </c>
    </row>
    <row r="8087">
      <c r="A8087"/>
      <c r="B8087">
        <v>17</v>
      </c>
      <c r="C8087" s="43">
        <f>INDEX(DarlObj,17)</f>
      </c>
      <c r="D8087">
        <v>404</v>
      </c>
      <c r="E8087" s="51">
        <f>IF(INDEX(DarlBelegt,17)=0,0,EOMONTH(INDEX(DarlAuszahlung,17),403)+1)</f>
      </c>
      <c r="F8087" s="43">
        <f>IF($E8087=0,0,YEAR($E8087))</f>
      </c>
      <c r="G8087" s="43">
        <f>IF(INDEX(DarlBindung,17)="",1,IF($E8087&lt;=INDEX(DarlBindung,17),1,0))</f>
      </c>
      <c r="H8087" s="43">
        <f>IF($G8087=1,INDEX(DarlSollzins,17),INDEX(DarlAnschluss,17))</f>
      </c>
      <c r="I8087" s="43">
        <f>IF(INDEX(DarlBelegt,17)=0,0,IF(INDEX(DarlOhneTilgung,17)=1,IF(INDEX(DarlBindung,17)="",1,$G8087),IF($J8087&gt;0.005,1,0)))</f>
      </c>
      <c r="J8087" s="43">
        <f>IF($I8086=0,0,$R8086)</f>
      </c>
      <c r="K8087" s="43">
        <f>IF($I8087=0,0,IF(INDEX(DarlOhneTilgung,17)=1,0,IF(AND(INDEX(DarlTilgStart,17)&gt;0,$E8087=INDEX(DarlTilgStart,17)),$J8087*($H8087+INDEX(DarlTilgung,17))/100/12,IF(AND($G8087=0,$G8086=1),MAX($K8086,$J8087*($H8087+1)/100/12),$K8086))))</f>
      </c>
      <c r="L8087" s="43">
        <f>IF($I8087=0,0,$J8087*$H8087/100/12)</f>
      </c>
      <c r="M8087" s="43">
        <f>IF($I8087=0,0,IF(OR(INDEX(DarlOhneTilgung,17)=1,AND(INDEX(DarlTilgStart,17)&gt;0,$E8087&lt;INDEX(DarlTilgStart,17))),0,MIN(MAX(0,$K8087-$L8087),$J8087)))</f>
      </c>
      <c r="N8087" s="43">
        <f>IF($I8087=0,0,MIN(SUMIFS(SondBetrag,SondDarl,17,SondDatum,"&gt;="&amp;$E8087,SondDatum,"&lt;="&amp;EOMONTH($E8087,0)),$J8087-$M8087))</f>
      </c>
      <c r="O8087" s="43">
        <f>IF($I8087=0,0,INDEX(DarlErsatzRate,17))</f>
      </c>
      <c r="P8087" s="43">
        <f>IF($I8087=0,0,$Q8086*INDEX(DarlErsatzZins,17))</f>
      </c>
      <c r="Q8087" s="43">
        <f>IF($I8087=0,0,$Q8086+$P8087+$O8087)</f>
      </c>
      <c r="R8087" s="43">
        <f>IF($I8087=0,0,$J8087-$M8087-$N8087)</f>
      </c>
    </row>
    <row r="8088">
      <c r="A8088"/>
      <c r="B8088">
        <v>17</v>
      </c>
      <c r="C8088" s="43">
        <f>INDEX(DarlObj,17)</f>
      </c>
      <c r="D8088">
        <v>405</v>
      </c>
      <c r="E8088" s="51">
        <f>IF(INDEX(DarlBelegt,17)=0,0,EOMONTH(INDEX(DarlAuszahlung,17),404)+1)</f>
      </c>
      <c r="F8088" s="43">
        <f>IF($E8088=0,0,YEAR($E8088))</f>
      </c>
      <c r="G8088" s="43">
        <f>IF(INDEX(DarlBindung,17)="",1,IF($E8088&lt;=INDEX(DarlBindung,17),1,0))</f>
      </c>
      <c r="H8088" s="43">
        <f>IF($G8088=1,INDEX(DarlSollzins,17),INDEX(DarlAnschluss,17))</f>
      </c>
      <c r="I8088" s="43">
        <f>IF(INDEX(DarlBelegt,17)=0,0,IF(INDEX(DarlOhneTilgung,17)=1,IF(INDEX(DarlBindung,17)="",1,$G8088),IF($J8088&gt;0.005,1,0)))</f>
      </c>
      <c r="J8088" s="43">
        <f>IF($I8087=0,0,$R8087)</f>
      </c>
      <c r="K8088" s="43">
        <f>IF($I8088=0,0,IF(INDEX(DarlOhneTilgung,17)=1,0,IF(AND(INDEX(DarlTilgStart,17)&gt;0,$E8088=INDEX(DarlTilgStart,17)),$J8088*($H8088+INDEX(DarlTilgung,17))/100/12,IF(AND($G8088=0,$G8087=1),MAX($K8087,$J8088*($H8088+1)/100/12),$K8087))))</f>
      </c>
      <c r="L8088" s="43">
        <f>IF($I8088=0,0,$J8088*$H8088/100/12)</f>
      </c>
      <c r="M8088" s="43">
        <f>IF($I8088=0,0,IF(OR(INDEX(DarlOhneTilgung,17)=1,AND(INDEX(DarlTilgStart,17)&gt;0,$E8088&lt;INDEX(DarlTilgStart,17))),0,MIN(MAX(0,$K8088-$L8088),$J8088)))</f>
      </c>
      <c r="N8088" s="43">
        <f>IF($I8088=0,0,MIN(SUMIFS(SondBetrag,SondDarl,17,SondDatum,"&gt;="&amp;$E8088,SondDatum,"&lt;="&amp;EOMONTH($E8088,0)),$J8088-$M8088))</f>
      </c>
      <c r="O8088" s="43">
        <f>IF($I8088=0,0,INDEX(DarlErsatzRate,17))</f>
      </c>
      <c r="P8088" s="43">
        <f>IF($I8088=0,0,$Q8087*INDEX(DarlErsatzZins,17))</f>
      </c>
      <c r="Q8088" s="43">
        <f>IF($I8088=0,0,$Q8087+$P8088+$O8088)</f>
      </c>
      <c r="R8088" s="43">
        <f>IF($I8088=0,0,$J8088-$M8088-$N8088)</f>
      </c>
    </row>
    <row r="8089">
      <c r="A8089"/>
      <c r="B8089">
        <v>17</v>
      </c>
      <c r="C8089" s="43">
        <f>INDEX(DarlObj,17)</f>
      </c>
      <c r="D8089">
        <v>406</v>
      </c>
      <c r="E8089" s="51">
        <f>IF(INDEX(DarlBelegt,17)=0,0,EOMONTH(INDEX(DarlAuszahlung,17),405)+1)</f>
      </c>
      <c r="F8089" s="43">
        <f>IF($E8089=0,0,YEAR($E8089))</f>
      </c>
      <c r="G8089" s="43">
        <f>IF(INDEX(DarlBindung,17)="",1,IF($E8089&lt;=INDEX(DarlBindung,17),1,0))</f>
      </c>
      <c r="H8089" s="43">
        <f>IF($G8089=1,INDEX(DarlSollzins,17),INDEX(DarlAnschluss,17))</f>
      </c>
      <c r="I8089" s="43">
        <f>IF(INDEX(DarlBelegt,17)=0,0,IF(INDEX(DarlOhneTilgung,17)=1,IF(INDEX(DarlBindung,17)="",1,$G8089),IF($J8089&gt;0.005,1,0)))</f>
      </c>
      <c r="J8089" s="43">
        <f>IF($I8088=0,0,$R8088)</f>
      </c>
      <c r="K8089" s="43">
        <f>IF($I8089=0,0,IF(INDEX(DarlOhneTilgung,17)=1,0,IF(AND(INDEX(DarlTilgStart,17)&gt;0,$E8089=INDEX(DarlTilgStart,17)),$J8089*($H8089+INDEX(DarlTilgung,17))/100/12,IF(AND($G8089=0,$G8088=1),MAX($K8088,$J8089*($H8089+1)/100/12),$K8088))))</f>
      </c>
      <c r="L8089" s="43">
        <f>IF($I8089=0,0,$J8089*$H8089/100/12)</f>
      </c>
      <c r="M8089" s="43">
        <f>IF($I8089=0,0,IF(OR(INDEX(DarlOhneTilgung,17)=1,AND(INDEX(DarlTilgStart,17)&gt;0,$E8089&lt;INDEX(DarlTilgStart,17))),0,MIN(MAX(0,$K8089-$L8089),$J8089)))</f>
      </c>
      <c r="N8089" s="43">
        <f>IF($I8089=0,0,MIN(SUMIFS(SondBetrag,SondDarl,17,SondDatum,"&gt;="&amp;$E8089,SondDatum,"&lt;="&amp;EOMONTH($E8089,0)),$J8089-$M8089))</f>
      </c>
      <c r="O8089" s="43">
        <f>IF($I8089=0,0,INDEX(DarlErsatzRate,17))</f>
      </c>
      <c r="P8089" s="43">
        <f>IF($I8089=0,0,$Q8088*INDEX(DarlErsatzZins,17))</f>
      </c>
      <c r="Q8089" s="43">
        <f>IF($I8089=0,0,$Q8088+$P8089+$O8089)</f>
      </c>
      <c r="R8089" s="43">
        <f>IF($I8089=0,0,$J8089-$M8089-$N8089)</f>
      </c>
    </row>
    <row r="8090">
      <c r="A8090"/>
      <c r="B8090">
        <v>17</v>
      </c>
      <c r="C8090" s="43">
        <f>INDEX(DarlObj,17)</f>
      </c>
      <c r="D8090">
        <v>407</v>
      </c>
      <c r="E8090" s="51">
        <f>IF(INDEX(DarlBelegt,17)=0,0,EOMONTH(INDEX(DarlAuszahlung,17),406)+1)</f>
      </c>
      <c r="F8090" s="43">
        <f>IF($E8090=0,0,YEAR($E8090))</f>
      </c>
      <c r="G8090" s="43">
        <f>IF(INDEX(DarlBindung,17)="",1,IF($E8090&lt;=INDEX(DarlBindung,17),1,0))</f>
      </c>
      <c r="H8090" s="43">
        <f>IF($G8090=1,INDEX(DarlSollzins,17),INDEX(DarlAnschluss,17))</f>
      </c>
      <c r="I8090" s="43">
        <f>IF(INDEX(DarlBelegt,17)=0,0,IF(INDEX(DarlOhneTilgung,17)=1,IF(INDEX(DarlBindung,17)="",1,$G8090),IF($J8090&gt;0.005,1,0)))</f>
      </c>
      <c r="J8090" s="43">
        <f>IF($I8089=0,0,$R8089)</f>
      </c>
      <c r="K8090" s="43">
        <f>IF($I8090=0,0,IF(INDEX(DarlOhneTilgung,17)=1,0,IF(AND(INDEX(DarlTilgStart,17)&gt;0,$E8090=INDEX(DarlTilgStart,17)),$J8090*($H8090+INDEX(DarlTilgung,17))/100/12,IF(AND($G8090=0,$G8089=1),MAX($K8089,$J8090*($H8090+1)/100/12),$K8089))))</f>
      </c>
      <c r="L8090" s="43">
        <f>IF($I8090=0,0,$J8090*$H8090/100/12)</f>
      </c>
      <c r="M8090" s="43">
        <f>IF($I8090=0,0,IF(OR(INDEX(DarlOhneTilgung,17)=1,AND(INDEX(DarlTilgStart,17)&gt;0,$E8090&lt;INDEX(DarlTilgStart,17))),0,MIN(MAX(0,$K8090-$L8090),$J8090)))</f>
      </c>
      <c r="N8090" s="43">
        <f>IF($I8090=0,0,MIN(SUMIFS(SondBetrag,SondDarl,17,SondDatum,"&gt;="&amp;$E8090,SondDatum,"&lt;="&amp;EOMONTH($E8090,0)),$J8090-$M8090))</f>
      </c>
      <c r="O8090" s="43">
        <f>IF($I8090=0,0,INDEX(DarlErsatzRate,17))</f>
      </c>
      <c r="P8090" s="43">
        <f>IF($I8090=0,0,$Q8089*INDEX(DarlErsatzZins,17))</f>
      </c>
      <c r="Q8090" s="43">
        <f>IF($I8090=0,0,$Q8089+$P8090+$O8090)</f>
      </c>
      <c r="R8090" s="43">
        <f>IF($I8090=0,0,$J8090-$M8090-$N8090)</f>
      </c>
    </row>
    <row r="8091">
      <c r="A8091"/>
      <c r="B8091">
        <v>17</v>
      </c>
      <c r="C8091" s="43">
        <f>INDEX(DarlObj,17)</f>
      </c>
      <c r="D8091">
        <v>408</v>
      </c>
      <c r="E8091" s="51">
        <f>IF(INDEX(DarlBelegt,17)=0,0,EOMONTH(INDEX(DarlAuszahlung,17),407)+1)</f>
      </c>
      <c r="F8091" s="43">
        <f>IF($E8091=0,0,YEAR($E8091))</f>
      </c>
      <c r="G8091" s="43">
        <f>IF(INDEX(DarlBindung,17)="",1,IF($E8091&lt;=INDEX(DarlBindung,17),1,0))</f>
      </c>
      <c r="H8091" s="43">
        <f>IF($G8091=1,INDEX(DarlSollzins,17),INDEX(DarlAnschluss,17))</f>
      </c>
      <c r="I8091" s="43">
        <f>IF(INDEX(DarlBelegt,17)=0,0,IF(INDEX(DarlOhneTilgung,17)=1,IF(INDEX(DarlBindung,17)="",1,$G8091),IF($J8091&gt;0.005,1,0)))</f>
      </c>
      <c r="J8091" s="43">
        <f>IF($I8090=0,0,$R8090)</f>
      </c>
      <c r="K8091" s="43">
        <f>IF($I8091=0,0,IF(INDEX(DarlOhneTilgung,17)=1,0,IF(AND(INDEX(DarlTilgStart,17)&gt;0,$E8091=INDEX(DarlTilgStart,17)),$J8091*($H8091+INDEX(DarlTilgung,17))/100/12,IF(AND($G8091=0,$G8090=1),MAX($K8090,$J8091*($H8091+1)/100/12),$K8090))))</f>
      </c>
      <c r="L8091" s="43">
        <f>IF($I8091=0,0,$J8091*$H8091/100/12)</f>
      </c>
      <c r="M8091" s="43">
        <f>IF($I8091=0,0,IF(OR(INDEX(DarlOhneTilgung,17)=1,AND(INDEX(DarlTilgStart,17)&gt;0,$E8091&lt;INDEX(DarlTilgStart,17))),0,MIN(MAX(0,$K8091-$L8091),$J8091)))</f>
      </c>
      <c r="N8091" s="43">
        <f>IF($I8091=0,0,MIN(SUMIFS(SondBetrag,SondDarl,17,SondDatum,"&gt;="&amp;$E8091,SondDatum,"&lt;="&amp;EOMONTH($E8091,0)),$J8091-$M8091))</f>
      </c>
      <c r="O8091" s="43">
        <f>IF($I8091=0,0,INDEX(DarlErsatzRate,17))</f>
      </c>
      <c r="P8091" s="43">
        <f>IF($I8091=0,0,$Q8090*INDEX(DarlErsatzZins,17))</f>
      </c>
      <c r="Q8091" s="43">
        <f>IF($I8091=0,0,$Q8090+$P8091+$O8091)</f>
      </c>
      <c r="R8091" s="43">
        <f>IF($I8091=0,0,$J8091-$M8091-$N8091)</f>
      </c>
    </row>
    <row r="8092">
      <c r="A8092"/>
      <c r="B8092">
        <v>17</v>
      </c>
      <c r="C8092" s="43">
        <f>INDEX(DarlObj,17)</f>
      </c>
      <c r="D8092">
        <v>409</v>
      </c>
      <c r="E8092" s="51">
        <f>IF(INDEX(DarlBelegt,17)=0,0,EOMONTH(INDEX(DarlAuszahlung,17),408)+1)</f>
      </c>
      <c r="F8092" s="43">
        <f>IF($E8092=0,0,YEAR($E8092))</f>
      </c>
      <c r="G8092" s="43">
        <f>IF(INDEX(DarlBindung,17)="",1,IF($E8092&lt;=INDEX(DarlBindung,17),1,0))</f>
      </c>
      <c r="H8092" s="43">
        <f>IF($G8092=1,INDEX(DarlSollzins,17),INDEX(DarlAnschluss,17))</f>
      </c>
      <c r="I8092" s="43">
        <f>IF(INDEX(DarlBelegt,17)=0,0,IF(INDEX(DarlOhneTilgung,17)=1,IF(INDEX(DarlBindung,17)="",1,$G8092),IF($J8092&gt;0.005,1,0)))</f>
      </c>
      <c r="J8092" s="43">
        <f>IF($I8091=0,0,$R8091)</f>
      </c>
      <c r="K8092" s="43">
        <f>IF($I8092=0,0,IF(INDEX(DarlOhneTilgung,17)=1,0,IF(AND(INDEX(DarlTilgStart,17)&gt;0,$E8092=INDEX(DarlTilgStart,17)),$J8092*($H8092+INDEX(DarlTilgung,17))/100/12,IF(AND($G8092=0,$G8091=1),MAX($K8091,$J8092*($H8092+1)/100/12),$K8091))))</f>
      </c>
      <c r="L8092" s="43">
        <f>IF($I8092=0,0,$J8092*$H8092/100/12)</f>
      </c>
      <c r="M8092" s="43">
        <f>IF($I8092=0,0,IF(OR(INDEX(DarlOhneTilgung,17)=1,AND(INDEX(DarlTilgStart,17)&gt;0,$E8092&lt;INDEX(DarlTilgStart,17))),0,MIN(MAX(0,$K8092-$L8092),$J8092)))</f>
      </c>
      <c r="N8092" s="43">
        <f>IF($I8092=0,0,MIN(SUMIFS(SondBetrag,SondDarl,17,SondDatum,"&gt;="&amp;$E8092,SondDatum,"&lt;="&amp;EOMONTH($E8092,0)),$J8092-$M8092))</f>
      </c>
      <c r="O8092" s="43">
        <f>IF($I8092=0,0,INDEX(DarlErsatzRate,17))</f>
      </c>
      <c r="P8092" s="43">
        <f>IF($I8092=0,0,$Q8091*INDEX(DarlErsatzZins,17))</f>
      </c>
      <c r="Q8092" s="43">
        <f>IF($I8092=0,0,$Q8091+$P8092+$O8092)</f>
      </c>
      <c r="R8092" s="43">
        <f>IF($I8092=0,0,$J8092-$M8092-$N8092)</f>
      </c>
    </row>
    <row r="8093">
      <c r="A8093"/>
      <c r="B8093">
        <v>17</v>
      </c>
      <c r="C8093" s="43">
        <f>INDEX(DarlObj,17)</f>
      </c>
      <c r="D8093">
        <v>410</v>
      </c>
      <c r="E8093" s="51">
        <f>IF(INDEX(DarlBelegt,17)=0,0,EOMONTH(INDEX(DarlAuszahlung,17),409)+1)</f>
      </c>
      <c r="F8093" s="43">
        <f>IF($E8093=0,0,YEAR($E8093))</f>
      </c>
      <c r="G8093" s="43">
        <f>IF(INDEX(DarlBindung,17)="",1,IF($E8093&lt;=INDEX(DarlBindung,17),1,0))</f>
      </c>
      <c r="H8093" s="43">
        <f>IF($G8093=1,INDEX(DarlSollzins,17),INDEX(DarlAnschluss,17))</f>
      </c>
      <c r="I8093" s="43">
        <f>IF(INDEX(DarlBelegt,17)=0,0,IF(INDEX(DarlOhneTilgung,17)=1,IF(INDEX(DarlBindung,17)="",1,$G8093),IF($J8093&gt;0.005,1,0)))</f>
      </c>
      <c r="J8093" s="43">
        <f>IF($I8092=0,0,$R8092)</f>
      </c>
      <c r="K8093" s="43">
        <f>IF($I8093=0,0,IF(INDEX(DarlOhneTilgung,17)=1,0,IF(AND(INDEX(DarlTilgStart,17)&gt;0,$E8093=INDEX(DarlTilgStart,17)),$J8093*($H8093+INDEX(DarlTilgung,17))/100/12,IF(AND($G8093=0,$G8092=1),MAX($K8092,$J8093*($H8093+1)/100/12),$K8092))))</f>
      </c>
      <c r="L8093" s="43">
        <f>IF($I8093=0,0,$J8093*$H8093/100/12)</f>
      </c>
      <c r="M8093" s="43">
        <f>IF($I8093=0,0,IF(OR(INDEX(DarlOhneTilgung,17)=1,AND(INDEX(DarlTilgStart,17)&gt;0,$E8093&lt;INDEX(DarlTilgStart,17))),0,MIN(MAX(0,$K8093-$L8093),$J8093)))</f>
      </c>
      <c r="N8093" s="43">
        <f>IF($I8093=0,0,MIN(SUMIFS(SondBetrag,SondDarl,17,SondDatum,"&gt;="&amp;$E8093,SondDatum,"&lt;="&amp;EOMONTH($E8093,0)),$J8093-$M8093))</f>
      </c>
      <c r="O8093" s="43">
        <f>IF($I8093=0,0,INDEX(DarlErsatzRate,17))</f>
      </c>
      <c r="P8093" s="43">
        <f>IF($I8093=0,0,$Q8092*INDEX(DarlErsatzZins,17))</f>
      </c>
      <c r="Q8093" s="43">
        <f>IF($I8093=0,0,$Q8092+$P8093+$O8093)</f>
      </c>
      <c r="R8093" s="43">
        <f>IF($I8093=0,0,$J8093-$M8093-$N8093)</f>
      </c>
    </row>
    <row r="8094">
      <c r="A8094"/>
      <c r="B8094">
        <v>17</v>
      </c>
      <c r="C8094" s="43">
        <f>INDEX(DarlObj,17)</f>
      </c>
      <c r="D8094">
        <v>411</v>
      </c>
      <c r="E8094" s="51">
        <f>IF(INDEX(DarlBelegt,17)=0,0,EOMONTH(INDEX(DarlAuszahlung,17),410)+1)</f>
      </c>
      <c r="F8094" s="43">
        <f>IF($E8094=0,0,YEAR($E8094))</f>
      </c>
      <c r="G8094" s="43">
        <f>IF(INDEX(DarlBindung,17)="",1,IF($E8094&lt;=INDEX(DarlBindung,17),1,0))</f>
      </c>
      <c r="H8094" s="43">
        <f>IF($G8094=1,INDEX(DarlSollzins,17),INDEX(DarlAnschluss,17))</f>
      </c>
      <c r="I8094" s="43">
        <f>IF(INDEX(DarlBelegt,17)=0,0,IF(INDEX(DarlOhneTilgung,17)=1,IF(INDEX(DarlBindung,17)="",1,$G8094),IF($J8094&gt;0.005,1,0)))</f>
      </c>
      <c r="J8094" s="43">
        <f>IF($I8093=0,0,$R8093)</f>
      </c>
      <c r="K8094" s="43">
        <f>IF($I8094=0,0,IF(INDEX(DarlOhneTilgung,17)=1,0,IF(AND(INDEX(DarlTilgStart,17)&gt;0,$E8094=INDEX(DarlTilgStart,17)),$J8094*($H8094+INDEX(DarlTilgung,17))/100/12,IF(AND($G8094=0,$G8093=1),MAX($K8093,$J8094*($H8094+1)/100/12),$K8093))))</f>
      </c>
      <c r="L8094" s="43">
        <f>IF($I8094=0,0,$J8094*$H8094/100/12)</f>
      </c>
      <c r="M8094" s="43">
        <f>IF($I8094=0,0,IF(OR(INDEX(DarlOhneTilgung,17)=1,AND(INDEX(DarlTilgStart,17)&gt;0,$E8094&lt;INDEX(DarlTilgStart,17))),0,MIN(MAX(0,$K8094-$L8094),$J8094)))</f>
      </c>
      <c r="N8094" s="43">
        <f>IF($I8094=0,0,MIN(SUMIFS(SondBetrag,SondDarl,17,SondDatum,"&gt;="&amp;$E8094,SondDatum,"&lt;="&amp;EOMONTH($E8094,0)),$J8094-$M8094))</f>
      </c>
      <c r="O8094" s="43">
        <f>IF($I8094=0,0,INDEX(DarlErsatzRate,17))</f>
      </c>
      <c r="P8094" s="43">
        <f>IF($I8094=0,0,$Q8093*INDEX(DarlErsatzZins,17))</f>
      </c>
      <c r="Q8094" s="43">
        <f>IF($I8094=0,0,$Q8093+$P8094+$O8094)</f>
      </c>
      <c r="R8094" s="43">
        <f>IF($I8094=0,0,$J8094-$M8094-$N8094)</f>
      </c>
    </row>
    <row r="8095">
      <c r="A8095"/>
      <c r="B8095">
        <v>17</v>
      </c>
      <c r="C8095" s="43">
        <f>INDEX(DarlObj,17)</f>
      </c>
      <c r="D8095">
        <v>412</v>
      </c>
      <c r="E8095" s="51">
        <f>IF(INDEX(DarlBelegt,17)=0,0,EOMONTH(INDEX(DarlAuszahlung,17),411)+1)</f>
      </c>
      <c r="F8095" s="43">
        <f>IF($E8095=0,0,YEAR($E8095))</f>
      </c>
      <c r="G8095" s="43">
        <f>IF(INDEX(DarlBindung,17)="",1,IF($E8095&lt;=INDEX(DarlBindung,17),1,0))</f>
      </c>
      <c r="H8095" s="43">
        <f>IF($G8095=1,INDEX(DarlSollzins,17),INDEX(DarlAnschluss,17))</f>
      </c>
      <c r="I8095" s="43">
        <f>IF(INDEX(DarlBelegt,17)=0,0,IF(INDEX(DarlOhneTilgung,17)=1,IF(INDEX(DarlBindung,17)="",1,$G8095),IF($J8095&gt;0.005,1,0)))</f>
      </c>
      <c r="J8095" s="43">
        <f>IF($I8094=0,0,$R8094)</f>
      </c>
      <c r="K8095" s="43">
        <f>IF($I8095=0,0,IF(INDEX(DarlOhneTilgung,17)=1,0,IF(AND(INDEX(DarlTilgStart,17)&gt;0,$E8095=INDEX(DarlTilgStart,17)),$J8095*($H8095+INDEX(DarlTilgung,17))/100/12,IF(AND($G8095=0,$G8094=1),MAX($K8094,$J8095*($H8095+1)/100/12),$K8094))))</f>
      </c>
      <c r="L8095" s="43">
        <f>IF($I8095=0,0,$J8095*$H8095/100/12)</f>
      </c>
      <c r="M8095" s="43">
        <f>IF($I8095=0,0,IF(OR(INDEX(DarlOhneTilgung,17)=1,AND(INDEX(DarlTilgStart,17)&gt;0,$E8095&lt;INDEX(DarlTilgStart,17))),0,MIN(MAX(0,$K8095-$L8095),$J8095)))</f>
      </c>
      <c r="N8095" s="43">
        <f>IF($I8095=0,0,MIN(SUMIFS(SondBetrag,SondDarl,17,SondDatum,"&gt;="&amp;$E8095,SondDatum,"&lt;="&amp;EOMONTH($E8095,0)),$J8095-$M8095))</f>
      </c>
      <c r="O8095" s="43">
        <f>IF($I8095=0,0,INDEX(DarlErsatzRate,17))</f>
      </c>
      <c r="P8095" s="43">
        <f>IF($I8095=0,0,$Q8094*INDEX(DarlErsatzZins,17))</f>
      </c>
      <c r="Q8095" s="43">
        <f>IF($I8095=0,0,$Q8094+$P8095+$O8095)</f>
      </c>
      <c r="R8095" s="43">
        <f>IF($I8095=0,0,$J8095-$M8095-$N8095)</f>
      </c>
    </row>
    <row r="8096">
      <c r="A8096"/>
      <c r="B8096">
        <v>17</v>
      </c>
      <c r="C8096" s="43">
        <f>INDEX(DarlObj,17)</f>
      </c>
      <c r="D8096">
        <v>413</v>
      </c>
      <c r="E8096" s="51">
        <f>IF(INDEX(DarlBelegt,17)=0,0,EOMONTH(INDEX(DarlAuszahlung,17),412)+1)</f>
      </c>
      <c r="F8096" s="43">
        <f>IF($E8096=0,0,YEAR($E8096))</f>
      </c>
      <c r="G8096" s="43">
        <f>IF(INDEX(DarlBindung,17)="",1,IF($E8096&lt;=INDEX(DarlBindung,17),1,0))</f>
      </c>
      <c r="H8096" s="43">
        <f>IF($G8096=1,INDEX(DarlSollzins,17),INDEX(DarlAnschluss,17))</f>
      </c>
      <c r="I8096" s="43">
        <f>IF(INDEX(DarlBelegt,17)=0,0,IF(INDEX(DarlOhneTilgung,17)=1,IF(INDEX(DarlBindung,17)="",1,$G8096),IF($J8096&gt;0.005,1,0)))</f>
      </c>
      <c r="J8096" s="43">
        <f>IF($I8095=0,0,$R8095)</f>
      </c>
      <c r="K8096" s="43">
        <f>IF($I8096=0,0,IF(INDEX(DarlOhneTilgung,17)=1,0,IF(AND(INDEX(DarlTilgStart,17)&gt;0,$E8096=INDEX(DarlTilgStart,17)),$J8096*($H8096+INDEX(DarlTilgung,17))/100/12,IF(AND($G8096=0,$G8095=1),MAX($K8095,$J8096*($H8096+1)/100/12),$K8095))))</f>
      </c>
      <c r="L8096" s="43">
        <f>IF($I8096=0,0,$J8096*$H8096/100/12)</f>
      </c>
      <c r="M8096" s="43">
        <f>IF($I8096=0,0,IF(OR(INDEX(DarlOhneTilgung,17)=1,AND(INDEX(DarlTilgStart,17)&gt;0,$E8096&lt;INDEX(DarlTilgStart,17))),0,MIN(MAX(0,$K8096-$L8096),$J8096)))</f>
      </c>
      <c r="N8096" s="43">
        <f>IF($I8096=0,0,MIN(SUMIFS(SondBetrag,SondDarl,17,SondDatum,"&gt;="&amp;$E8096,SondDatum,"&lt;="&amp;EOMONTH($E8096,0)),$J8096-$M8096))</f>
      </c>
      <c r="O8096" s="43">
        <f>IF($I8096=0,0,INDEX(DarlErsatzRate,17))</f>
      </c>
      <c r="P8096" s="43">
        <f>IF($I8096=0,0,$Q8095*INDEX(DarlErsatzZins,17))</f>
      </c>
      <c r="Q8096" s="43">
        <f>IF($I8096=0,0,$Q8095+$P8096+$O8096)</f>
      </c>
      <c r="R8096" s="43">
        <f>IF($I8096=0,0,$J8096-$M8096-$N8096)</f>
      </c>
    </row>
    <row r="8097">
      <c r="A8097"/>
      <c r="B8097">
        <v>17</v>
      </c>
      <c r="C8097" s="43">
        <f>INDEX(DarlObj,17)</f>
      </c>
      <c r="D8097">
        <v>414</v>
      </c>
      <c r="E8097" s="51">
        <f>IF(INDEX(DarlBelegt,17)=0,0,EOMONTH(INDEX(DarlAuszahlung,17),413)+1)</f>
      </c>
      <c r="F8097" s="43">
        <f>IF($E8097=0,0,YEAR($E8097))</f>
      </c>
      <c r="G8097" s="43">
        <f>IF(INDEX(DarlBindung,17)="",1,IF($E8097&lt;=INDEX(DarlBindung,17),1,0))</f>
      </c>
      <c r="H8097" s="43">
        <f>IF($G8097=1,INDEX(DarlSollzins,17),INDEX(DarlAnschluss,17))</f>
      </c>
      <c r="I8097" s="43">
        <f>IF(INDEX(DarlBelegt,17)=0,0,IF(INDEX(DarlOhneTilgung,17)=1,IF(INDEX(DarlBindung,17)="",1,$G8097),IF($J8097&gt;0.005,1,0)))</f>
      </c>
      <c r="J8097" s="43">
        <f>IF($I8096=0,0,$R8096)</f>
      </c>
      <c r="K8097" s="43">
        <f>IF($I8097=0,0,IF(INDEX(DarlOhneTilgung,17)=1,0,IF(AND(INDEX(DarlTilgStart,17)&gt;0,$E8097=INDEX(DarlTilgStart,17)),$J8097*($H8097+INDEX(DarlTilgung,17))/100/12,IF(AND($G8097=0,$G8096=1),MAX($K8096,$J8097*($H8097+1)/100/12),$K8096))))</f>
      </c>
      <c r="L8097" s="43">
        <f>IF($I8097=0,0,$J8097*$H8097/100/12)</f>
      </c>
      <c r="M8097" s="43">
        <f>IF($I8097=0,0,IF(OR(INDEX(DarlOhneTilgung,17)=1,AND(INDEX(DarlTilgStart,17)&gt;0,$E8097&lt;INDEX(DarlTilgStart,17))),0,MIN(MAX(0,$K8097-$L8097),$J8097)))</f>
      </c>
      <c r="N8097" s="43">
        <f>IF($I8097=0,0,MIN(SUMIFS(SondBetrag,SondDarl,17,SondDatum,"&gt;="&amp;$E8097,SondDatum,"&lt;="&amp;EOMONTH($E8097,0)),$J8097-$M8097))</f>
      </c>
      <c r="O8097" s="43">
        <f>IF($I8097=0,0,INDEX(DarlErsatzRate,17))</f>
      </c>
      <c r="P8097" s="43">
        <f>IF($I8097=0,0,$Q8096*INDEX(DarlErsatzZins,17))</f>
      </c>
      <c r="Q8097" s="43">
        <f>IF($I8097=0,0,$Q8096+$P8097+$O8097)</f>
      </c>
      <c r="R8097" s="43">
        <f>IF($I8097=0,0,$J8097-$M8097-$N8097)</f>
      </c>
    </row>
    <row r="8098">
      <c r="A8098"/>
      <c r="B8098">
        <v>17</v>
      </c>
      <c r="C8098" s="43">
        <f>INDEX(DarlObj,17)</f>
      </c>
      <c r="D8098">
        <v>415</v>
      </c>
      <c r="E8098" s="51">
        <f>IF(INDEX(DarlBelegt,17)=0,0,EOMONTH(INDEX(DarlAuszahlung,17),414)+1)</f>
      </c>
      <c r="F8098" s="43">
        <f>IF($E8098=0,0,YEAR($E8098))</f>
      </c>
      <c r="G8098" s="43">
        <f>IF(INDEX(DarlBindung,17)="",1,IF($E8098&lt;=INDEX(DarlBindung,17),1,0))</f>
      </c>
      <c r="H8098" s="43">
        <f>IF($G8098=1,INDEX(DarlSollzins,17),INDEX(DarlAnschluss,17))</f>
      </c>
      <c r="I8098" s="43">
        <f>IF(INDEX(DarlBelegt,17)=0,0,IF(INDEX(DarlOhneTilgung,17)=1,IF(INDEX(DarlBindung,17)="",1,$G8098),IF($J8098&gt;0.005,1,0)))</f>
      </c>
      <c r="J8098" s="43">
        <f>IF($I8097=0,0,$R8097)</f>
      </c>
      <c r="K8098" s="43">
        <f>IF($I8098=0,0,IF(INDEX(DarlOhneTilgung,17)=1,0,IF(AND(INDEX(DarlTilgStart,17)&gt;0,$E8098=INDEX(DarlTilgStart,17)),$J8098*($H8098+INDEX(DarlTilgung,17))/100/12,IF(AND($G8098=0,$G8097=1),MAX($K8097,$J8098*($H8098+1)/100/12),$K8097))))</f>
      </c>
      <c r="L8098" s="43">
        <f>IF($I8098=0,0,$J8098*$H8098/100/12)</f>
      </c>
      <c r="M8098" s="43">
        <f>IF($I8098=0,0,IF(OR(INDEX(DarlOhneTilgung,17)=1,AND(INDEX(DarlTilgStart,17)&gt;0,$E8098&lt;INDEX(DarlTilgStart,17))),0,MIN(MAX(0,$K8098-$L8098),$J8098)))</f>
      </c>
      <c r="N8098" s="43">
        <f>IF($I8098=0,0,MIN(SUMIFS(SondBetrag,SondDarl,17,SondDatum,"&gt;="&amp;$E8098,SondDatum,"&lt;="&amp;EOMONTH($E8098,0)),$J8098-$M8098))</f>
      </c>
      <c r="O8098" s="43">
        <f>IF($I8098=0,0,INDEX(DarlErsatzRate,17))</f>
      </c>
      <c r="P8098" s="43">
        <f>IF($I8098=0,0,$Q8097*INDEX(DarlErsatzZins,17))</f>
      </c>
      <c r="Q8098" s="43">
        <f>IF($I8098=0,0,$Q8097+$P8098+$O8098)</f>
      </c>
      <c r="R8098" s="43">
        <f>IF($I8098=0,0,$J8098-$M8098-$N8098)</f>
      </c>
    </row>
    <row r="8099">
      <c r="A8099"/>
      <c r="B8099">
        <v>17</v>
      </c>
      <c r="C8099" s="43">
        <f>INDEX(DarlObj,17)</f>
      </c>
      <c r="D8099">
        <v>416</v>
      </c>
      <c r="E8099" s="51">
        <f>IF(INDEX(DarlBelegt,17)=0,0,EOMONTH(INDEX(DarlAuszahlung,17),415)+1)</f>
      </c>
      <c r="F8099" s="43">
        <f>IF($E8099=0,0,YEAR($E8099))</f>
      </c>
      <c r="G8099" s="43">
        <f>IF(INDEX(DarlBindung,17)="",1,IF($E8099&lt;=INDEX(DarlBindung,17),1,0))</f>
      </c>
      <c r="H8099" s="43">
        <f>IF($G8099=1,INDEX(DarlSollzins,17),INDEX(DarlAnschluss,17))</f>
      </c>
      <c r="I8099" s="43">
        <f>IF(INDEX(DarlBelegt,17)=0,0,IF(INDEX(DarlOhneTilgung,17)=1,IF(INDEX(DarlBindung,17)="",1,$G8099),IF($J8099&gt;0.005,1,0)))</f>
      </c>
      <c r="J8099" s="43">
        <f>IF($I8098=0,0,$R8098)</f>
      </c>
      <c r="K8099" s="43">
        <f>IF($I8099=0,0,IF(INDEX(DarlOhneTilgung,17)=1,0,IF(AND(INDEX(DarlTilgStart,17)&gt;0,$E8099=INDEX(DarlTilgStart,17)),$J8099*($H8099+INDEX(DarlTilgung,17))/100/12,IF(AND($G8099=0,$G8098=1),MAX($K8098,$J8099*($H8099+1)/100/12),$K8098))))</f>
      </c>
      <c r="L8099" s="43">
        <f>IF($I8099=0,0,$J8099*$H8099/100/12)</f>
      </c>
      <c r="M8099" s="43">
        <f>IF($I8099=0,0,IF(OR(INDEX(DarlOhneTilgung,17)=1,AND(INDEX(DarlTilgStart,17)&gt;0,$E8099&lt;INDEX(DarlTilgStart,17))),0,MIN(MAX(0,$K8099-$L8099),$J8099)))</f>
      </c>
      <c r="N8099" s="43">
        <f>IF($I8099=0,0,MIN(SUMIFS(SondBetrag,SondDarl,17,SondDatum,"&gt;="&amp;$E8099,SondDatum,"&lt;="&amp;EOMONTH($E8099,0)),$J8099-$M8099))</f>
      </c>
      <c r="O8099" s="43">
        <f>IF($I8099=0,0,INDEX(DarlErsatzRate,17))</f>
      </c>
      <c r="P8099" s="43">
        <f>IF($I8099=0,0,$Q8098*INDEX(DarlErsatzZins,17))</f>
      </c>
      <c r="Q8099" s="43">
        <f>IF($I8099=0,0,$Q8098+$P8099+$O8099)</f>
      </c>
      <c r="R8099" s="43">
        <f>IF($I8099=0,0,$J8099-$M8099-$N8099)</f>
      </c>
    </row>
    <row r="8100">
      <c r="A8100"/>
      <c r="B8100">
        <v>17</v>
      </c>
      <c r="C8100" s="43">
        <f>INDEX(DarlObj,17)</f>
      </c>
      <c r="D8100">
        <v>417</v>
      </c>
      <c r="E8100" s="51">
        <f>IF(INDEX(DarlBelegt,17)=0,0,EOMONTH(INDEX(DarlAuszahlung,17),416)+1)</f>
      </c>
      <c r="F8100" s="43">
        <f>IF($E8100=0,0,YEAR($E8100))</f>
      </c>
      <c r="G8100" s="43">
        <f>IF(INDEX(DarlBindung,17)="",1,IF($E8100&lt;=INDEX(DarlBindung,17),1,0))</f>
      </c>
      <c r="H8100" s="43">
        <f>IF($G8100=1,INDEX(DarlSollzins,17),INDEX(DarlAnschluss,17))</f>
      </c>
      <c r="I8100" s="43">
        <f>IF(INDEX(DarlBelegt,17)=0,0,IF(INDEX(DarlOhneTilgung,17)=1,IF(INDEX(DarlBindung,17)="",1,$G8100),IF($J8100&gt;0.005,1,0)))</f>
      </c>
      <c r="J8100" s="43">
        <f>IF($I8099=0,0,$R8099)</f>
      </c>
      <c r="K8100" s="43">
        <f>IF($I8100=0,0,IF(INDEX(DarlOhneTilgung,17)=1,0,IF(AND(INDEX(DarlTilgStart,17)&gt;0,$E8100=INDEX(DarlTilgStart,17)),$J8100*($H8100+INDEX(DarlTilgung,17))/100/12,IF(AND($G8100=0,$G8099=1),MAX($K8099,$J8100*($H8100+1)/100/12),$K8099))))</f>
      </c>
      <c r="L8100" s="43">
        <f>IF($I8100=0,0,$J8100*$H8100/100/12)</f>
      </c>
      <c r="M8100" s="43">
        <f>IF($I8100=0,0,IF(OR(INDEX(DarlOhneTilgung,17)=1,AND(INDEX(DarlTilgStart,17)&gt;0,$E8100&lt;INDEX(DarlTilgStart,17))),0,MIN(MAX(0,$K8100-$L8100),$J8100)))</f>
      </c>
      <c r="N8100" s="43">
        <f>IF($I8100=0,0,MIN(SUMIFS(SondBetrag,SondDarl,17,SondDatum,"&gt;="&amp;$E8100,SondDatum,"&lt;="&amp;EOMONTH($E8100,0)),$J8100-$M8100))</f>
      </c>
      <c r="O8100" s="43">
        <f>IF($I8100=0,0,INDEX(DarlErsatzRate,17))</f>
      </c>
      <c r="P8100" s="43">
        <f>IF($I8100=0,0,$Q8099*INDEX(DarlErsatzZins,17))</f>
      </c>
      <c r="Q8100" s="43">
        <f>IF($I8100=0,0,$Q8099+$P8100+$O8100)</f>
      </c>
      <c r="R8100" s="43">
        <f>IF($I8100=0,0,$J8100-$M8100-$N8100)</f>
      </c>
    </row>
    <row r="8101">
      <c r="A8101"/>
      <c r="B8101">
        <v>17</v>
      </c>
      <c r="C8101" s="43">
        <f>INDEX(DarlObj,17)</f>
      </c>
      <c r="D8101">
        <v>418</v>
      </c>
      <c r="E8101" s="51">
        <f>IF(INDEX(DarlBelegt,17)=0,0,EOMONTH(INDEX(DarlAuszahlung,17),417)+1)</f>
      </c>
      <c r="F8101" s="43">
        <f>IF($E8101=0,0,YEAR($E8101))</f>
      </c>
      <c r="G8101" s="43">
        <f>IF(INDEX(DarlBindung,17)="",1,IF($E8101&lt;=INDEX(DarlBindung,17),1,0))</f>
      </c>
      <c r="H8101" s="43">
        <f>IF($G8101=1,INDEX(DarlSollzins,17),INDEX(DarlAnschluss,17))</f>
      </c>
      <c r="I8101" s="43">
        <f>IF(INDEX(DarlBelegt,17)=0,0,IF(INDEX(DarlOhneTilgung,17)=1,IF(INDEX(DarlBindung,17)="",1,$G8101),IF($J8101&gt;0.005,1,0)))</f>
      </c>
      <c r="J8101" s="43">
        <f>IF($I8100=0,0,$R8100)</f>
      </c>
      <c r="K8101" s="43">
        <f>IF($I8101=0,0,IF(INDEX(DarlOhneTilgung,17)=1,0,IF(AND(INDEX(DarlTilgStart,17)&gt;0,$E8101=INDEX(DarlTilgStart,17)),$J8101*($H8101+INDEX(DarlTilgung,17))/100/12,IF(AND($G8101=0,$G8100=1),MAX($K8100,$J8101*($H8101+1)/100/12),$K8100))))</f>
      </c>
      <c r="L8101" s="43">
        <f>IF($I8101=0,0,$J8101*$H8101/100/12)</f>
      </c>
      <c r="M8101" s="43">
        <f>IF($I8101=0,0,IF(OR(INDEX(DarlOhneTilgung,17)=1,AND(INDEX(DarlTilgStart,17)&gt;0,$E8101&lt;INDEX(DarlTilgStart,17))),0,MIN(MAX(0,$K8101-$L8101),$J8101)))</f>
      </c>
      <c r="N8101" s="43">
        <f>IF($I8101=0,0,MIN(SUMIFS(SondBetrag,SondDarl,17,SondDatum,"&gt;="&amp;$E8101,SondDatum,"&lt;="&amp;EOMONTH($E8101,0)),$J8101-$M8101))</f>
      </c>
      <c r="O8101" s="43">
        <f>IF($I8101=0,0,INDEX(DarlErsatzRate,17))</f>
      </c>
      <c r="P8101" s="43">
        <f>IF($I8101=0,0,$Q8100*INDEX(DarlErsatzZins,17))</f>
      </c>
      <c r="Q8101" s="43">
        <f>IF($I8101=0,0,$Q8100+$P8101+$O8101)</f>
      </c>
      <c r="R8101" s="43">
        <f>IF($I8101=0,0,$J8101-$M8101-$N8101)</f>
      </c>
    </row>
    <row r="8102">
      <c r="A8102"/>
      <c r="B8102">
        <v>17</v>
      </c>
      <c r="C8102" s="43">
        <f>INDEX(DarlObj,17)</f>
      </c>
      <c r="D8102">
        <v>419</v>
      </c>
      <c r="E8102" s="51">
        <f>IF(INDEX(DarlBelegt,17)=0,0,EOMONTH(INDEX(DarlAuszahlung,17),418)+1)</f>
      </c>
      <c r="F8102" s="43">
        <f>IF($E8102=0,0,YEAR($E8102))</f>
      </c>
      <c r="G8102" s="43">
        <f>IF(INDEX(DarlBindung,17)="",1,IF($E8102&lt;=INDEX(DarlBindung,17),1,0))</f>
      </c>
      <c r="H8102" s="43">
        <f>IF($G8102=1,INDEX(DarlSollzins,17),INDEX(DarlAnschluss,17))</f>
      </c>
      <c r="I8102" s="43">
        <f>IF(INDEX(DarlBelegt,17)=0,0,IF(INDEX(DarlOhneTilgung,17)=1,IF(INDEX(DarlBindung,17)="",1,$G8102),IF($J8102&gt;0.005,1,0)))</f>
      </c>
      <c r="J8102" s="43">
        <f>IF($I8101=0,0,$R8101)</f>
      </c>
      <c r="K8102" s="43">
        <f>IF($I8102=0,0,IF(INDEX(DarlOhneTilgung,17)=1,0,IF(AND(INDEX(DarlTilgStart,17)&gt;0,$E8102=INDEX(DarlTilgStart,17)),$J8102*($H8102+INDEX(DarlTilgung,17))/100/12,IF(AND($G8102=0,$G8101=1),MAX($K8101,$J8102*($H8102+1)/100/12),$K8101))))</f>
      </c>
      <c r="L8102" s="43">
        <f>IF($I8102=0,0,$J8102*$H8102/100/12)</f>
      </c>
      <c r="M8102" s="43">
        <f>IF($I8102=0,0,IF(OR(INDEX(DarlOhneTilgung,17)=1,AND(INDEX(DarlTilgStart,17)&gt;0,$E8102&lt;INDEX(DarlTilgStart,17))),0,MIN(MAX(0,$K8102-$L8102),$J8102)))</f>
      </c>
      <c r="N8102" s="43">
        <f>IF($I8102=0,0,MIN(SUMIFS(SondBetrag,SondDarl,17,SondDatum,"&gt;="&amp;$E8102,SondDatum,"&lt;="&amp;EOMONTH($E8102,0)),$J8102-$M8102))</f>
      </c>
      <c r="O8102" s="43">
        <f>IF($I8102=0,0,INDEX(DarlErsatzRate,17))</f>
      </c>
      <c r="P8102" s="43">
        <f>IF($I8102=0,0,$Q8101*INDEX(DarlErsatzZins,17))</f>
      </c>
      <c r="Q8102" s="43">
        <f>IF($I8102=0,0,$Q8101+$P8102+$O8102)</f>
      </c>
      <c r="R8102" s="43">
        <f>IF($I8102=0,0,$J8102-$M8102-$N8102)</f>
      </c>
    </row>
    <row r="8103">
      <c r="A8103"/>
      <c r="B8103">
        <v>17</v>
      </c>
      <c r="C8103" s="43">
        <f>INDEX(DarlObj,17)</f>
      </c>
      <c r="D8103">
        <v>420</v>
      </c>
      <c r="E8103" s="51">
        <f>IF(INDEX(DarlBelegt,17)=0,0,EOMONTH(INDEX(DarlAuszahlung,17),419)+1)</f>
      </c>
      <c r="F8103" s="43">
        <f>IF($E8103=0,0,YEAR($E8103))</f>
      </c>
      <c r="G8103" s="43">
        <f>IF(INDEX(DarlBindung,17)="",1,IF($E8103&lt;=INDEX(DarlBindung,17),1,0))</f>
      </c>
      <c r="H8103" s="43">
        <f>IF($G8103=1,INDEX(DarlSollzins,17),INDEX(DarlAnschluss,17))</f>
      </c>
      <c r="I8103" s="43">
        <f>IF(INDEX(DarlBelegt,17)=0,0,IF(INDEX(DarlOhneTilgung,17)=1,IF(INDEX(DarlBindung,17)="",1,$G8103),IF($J8103&gt;0.005,1,0)))</f>
      </c>
      <c r="J8103" s="43">
        <f>IF($I8102=0,0,$R8102)</f>
      </c>
      <c r="K8103" s="43">
        <f>IF($I8103=0,0,IF(INDEX(DarlOhneTilgung,17)=1,0,IF(AND(INDEX(DarlTilgStart,17)&gt;0,$E8103=INDEX(DarlTilgStart,17)),$J8103*($H8103+INDEX(DarlTilgung,17))/100/12,IF(AND($G8103=0,$G8102=1),MAX($K8102,$J8103*($H8103+1)/100/12),$K8102))))</f>
      </c>
      <c r="L8103" s="43">
        <f>IF($I8103=0,0,$J8103*$H8103/100/12)</f>
      </c>
      <c r="M8103" s="43">
        <f>IF($I8103=0,0,IF(OR(INDEX(DarlOhneTilgung,17)=1,AND(INDEX(DarlTilgStart,17)&gt;0,$E8103&lt;INDEX(DarlTilgStart,17))),0,MIN(MAX(0,$K8103-$L8103),$J8103)))</f>
      </c>
      <c r="N8103" s="43">
        <f>IF($I8103=0,0,MIN(SUMIFS(SondBetrag,SondDarl,17,SondDatum,"&gt;="&amp;$E8103,SondDatum,"&lt;="&amp;EOMONTH($E8103,0)),$J8103-$M8103))</f>
      </c>
      <c r="O8103" s="43">
        <f>IF($I8103=0,0,INDEX(DarlErsatzRate,17))</f>
      </c>
      <c r="P8103" s="43">
        <f>IF($I8103=0,0,$Q8102*INDEX(DarlErsatzZins,17))</f>
      </c>
      <c r="Q8103" s="43">
        <f>IF($I8103=0,0,$Q8102+$P8103+$O8103)</f>
      </c>
      <c r="R8103" s="43">
        <f>IF($I8103=0,0,$J8103-$M8103-$N8103)</f>
      </c>
    </row>
    <row r="8104">
      <c r="A8104"/>
      <c r="B8104">
        <v>17</v>
      </c>
      <c r="C8104" s="43">
        <f>INDEX(DarlObj,17)</f>
      </c>
      <c r="D8104">
        <v>421</v>
      </c>
      <c r="E8104" s="51">
        <f>IF(INDEX(DarlBelegt,17)=0,0,EOMONTH(INDEX(DarlAuszahlung,17),420)+1)</f>
      </c>
      <c r="F8104" s="43">
        <f>IF($E8104=0,0,YEAR($E8104))</f>
      </c>
      <c r="G8104" s="43">
        <f>IF(INDEX(DarlBindung,17)="",1,IF($E8104&lt;=INDEX(DarlBindung,17),1,0))</f>
      </c>
      <c r="H8104" s="43">
        <f>IF($G8104=1,INDEX(DarlSollzins,17),INDEX(DarlAnschluss,17))</f>
      </c>
      <c r="I8104" s="43">
        <f>IF(INDEX(DarlBelegt,17)=0,0,IF(INDEX(DarlOhneTilgung,17)=1,IF(INDEX(DarlBindung,17)="",1,$G8104),IF($J8104&gt;0.005,1,0)))</f>
      </c>
      <c r="J8104" s="43">
        <f>IF($I8103=0,0,$R8103)</f>
      </c>
      <c r="K8104" s="43">
        <f>IF($I8104=0,0,IF(INDEX(DarlOhneTilgung,17)=1,0,IF(AND(INDEX(DarlTilgStart,17)&gt;0,$E8104=INDEX(DarlTilgStart,17)),$J8104*($H8104+INDEX(DarlTilgung,17))/100/12,IF(AND($G8104=0,$G8103=1),MAX($K8103,$J8104*($H8104+1)/100/12),$K8103))))</f>
      </c>
      <c r="L8104" s="43">
        <f>IF($I8104=0,0,$J8104*$H8104/100/12)</f>
      </c>
      <c r="M8104" s="43">
        <f>IF($I8104=0,0,IF(OR(INDEX(DarlOhneTilgung,17)=1,AND(INDEX(DarlTilgStart,17)&gt;0,$E8104&lt;INDEX(DarlTilgStart,17))),0,MIN(MAX(0,$K8104-$L8104),$J8104)))</f>
      </c>
      <c r="N8104" s="43">
        <f>IF($I8104=0,0,MIN(SUMIFS(SondBetrag,SondDarl,17,SondDatum,"&gt;="&amp;$E8104,SondDatum,"&lt;="&amp;EOMONTH($E8104,0)),$J8104-$M8104))</f>
      </c>
      <c r="O8104" s="43">
        <f>IF($I8104=0,0,INDEX(DarlErsatzRate,17))</f>
      </c>
      <c r="P8104" s="43">
        <f>IF($I8104=0,0,$Q8103*INDEX(DarlErsatzZins,17))</f>
      </c>
      <c r="Q8104" s="43">
        <f>IF($I8104=0,0,$Q8103+$P8104+$O8104)</f>
      </c>
      <c r="R8104" s="43">
        <f>IF($I8104=0,0,$J8104-$M8104-$N8104)</f>
      </c>
    </row>
    <row r="8105">
      <c r="A8105"/>
      <c r="B8105">
        <v>17</v>
      </c>
      <c r="C8105" s="43">
        <f>INDEX(DarlObj,17)</f>
      </c>
      <c r="D8105">
        <v>422</v>
      </c>
      <c r="E8105" s="51">
        <f>IF(INDEX(DarlBelegt,17)=0,0,EOMONTH(INDEX(DarlAuszahlung,17),421)+1)</f>
      </c>
      <c r="F8105" s="43">
        <f>IF($E8105=0,0,YEAR($E8105))</f>
      </c>
      <c r="G8105" s="43">
        <f>IF(INDEX(DarlBindung,17)="",1,IF($E8105&lt;=INDEX(DarlBindung,17),1,0))</f>
      </c>
      <c r="H8105" s="43">
        <f>IF($G8105=1,INDEX(DarlSollzins,17),INDEX(DarlAnschluss,17))</f>
      </c>
      <c r="I8105" s="43">
        <f>IF(INDEX(DarlBelegt,17)=0,0,IF(INDEX(DarlOhneTilgung,17)=1,IF(INDEX(DarlBindung,17)="",1,$G8105),IF($J8105&gt;0.005,1,0)))</f>
      </c>
      <c r="J8105" s="43">
        <f>IF($I8104=0,0,$R8104)</f>
      </c>
      <c r="K8105" s="43">
        <f>IF($I8105=0,0,IF(INDEX(DarlOhneTilgung,17)=1,0,IF(AND(INDEX(DarlTilgStart,17)&gt;0,$E8105=INDEX(DarlTilgStart,17)),$J8105*($H8105+INDEX(DarlTilgung,17))/100/12,IF(AND($G8105=0,$G8104=1),MAX($K8104,$J8105*($H8105+1)/100/12),$K8104))))</f>
      </c>
      <c r="L8105" s="43">
        <f>IF($I8105=0,0,$J8105*$H8105/100/12)</f>
      </c>
      <c r="M8105" s="43">
        <f>IF($I8105=0,0,IF(OR(INDEX(DarlOhneTilgung,17)=1,AND(INDEX(DarlTilgStart,17)&gt;0,$E8105&lt;INDEX(DarlTilgStart,17))),0,MIN(MAX(0,$K8105-$L8105),$J8105)))</f>
      </c>
      <c r="N8105" s="43">
        <f>IF($I8105=0,0,MIN(SUMIFS(SondBetrag,SondDarl,17,SondDatum,"&gt;="&amp;$E8105,SondDatum,"&lt;="&amp;EOMONTH($E8105,0)),$J8105-$M8105))</f>
      </c>
      <c r="O8105" s="43">
        <f>IF($I8105=0,0,INDEX(DarlErsatzRate,17))</f>
      </c>
      <c r="P8105" s="43">
        <f>IF($I8105=0,0,$Q8104*INDEX(DarlErsatzZins,17))</f>
      </c>
      <c r="Q8105" s="43">
        <f>IF($I8105=0,0,$Q8104+$P8105+$O8105)</f>
      </c>
      <c r="R8105" s="43">
        <f>IF($I8105=0,0,$J8105-$M8105-$N8105)</f>
      </c>
    </row>
    <row r="8106">
      <c r="A8106"/>
      <c r="B8106">
        <v>17</v>
      </c>
      <c r="C8106" s="43">
        <f>INDEX(DarlObj,17)</f>
      </c>
      <c r="D8106">
        <v>423</v>
      </c>
      <c r="E8106" s="51">
        <f>IF(INDEX(DarlBelegt,17)=0,0,EOMONTH(INDEX(DarlAuszahlung,17),422)+1)</f>
      </c>
      <c r="F8106" s="43">
        <f>IF($E8106=0,0,YEAR($E8106))</f>
      </c>
      <c r="G8106" s="43">
        <f>IF(INDEX(DarlBindung,17)="",1,IF($E8106&lt;=INDEX(DarlBindung,17),1,0))</f>
      </c>
      <c r="H8106" s="43">
        <f>IF($G8106=1,INDEX(DarlSollzins,17),INDEX(DarlAnschluss,17))</f>
      </c>
      <c r="I8106" s="43">
        <f>IF(INDEX(DarlBelegt,17)=0,0,IF(INDEX(DarlOhneTilgung,17)=1,IF(INDEX(DarlBindung,17)="",1,$G8106),IF($J8106&gt;0.005,1,0)))</f>
      </c>
      <c r="J8106" s="43">
        <f>IF($I8105=0,0,$R8105)</f>
      </c>
      <c r="K8106" s="43">
        <f>IF($I8106=0,0,IF(INDEX(DarlOhneTilgung,17)=1,0,IF(AND(INDEX(DarlTilgStart,17)&gt;0,$E8106=INDEX(DarlTilgStart,17)),$J8106*($H8106+INDEX(DarlTilgung,17))/100/12,IF(AND($G8106=0,$G8105=1),MAX($K8105,$J8106*($H8106+1)/100/12),$K8105))))</f>
      </c>
      <c r="L8106" s="43">
        <f>IF($I8106=0,0,$J8106*$H8106/100/12)</f>
      </c>
      <c r="M8106" s="43">
        <f>IF($I8106=0,0,IF(OR(INDEX(DarlOhneTilgung,17)=1,AND(INDEX(DarlTilgStart,17)&gt;0,$E8106&lt;INDEX(DarlTilgStart,17))),0,MIN(MAX(0,$K8106-$L8106),$J8106)))</f>
      </c>
      <c r="N8106" s="43">
        <f>IF($I8106=0,0,MIN(SUMIFS(SondBetrag,SondDarl,17,SondDatum,"&gt;="&amp;$E8106,SondDatum,"&lt;="&amp;EOMONTH($E8106,0)),$J8106-$M8106))</f>
      </c>
      <c r="O8106" s="43">
        <f>IF($I8106=0,0,INDEX(DarlErsatzRate,17))</f>
      </c>
      <c r="P8106" s="43">
        <f>IF($I8106=0,0,$Q8105*INDEX(DarlErsatzZins,17))</f>
      </c>
      <c r="Q8106" s="43">
        <f>IF($I8106=0,0,$Q8105+$P8106+$O8106)</f>
      </c>
      <c r="R8106" s="43">
        <f>IF($I8106=0,0,$J8106-$M8106-$N8106)</f>
      </c>
    </row>
    <row r="8107">
      <c r="A8107"/>
      <c r="B8107">
        <v>17</v>
      </c>
      <c r="C8107" s="43">
        <f>INDEX(DarlObj,17)</f>
      </c>
      <c r="D8107">
        <v>424</v>
      </c>
      <c r="E8107" s="51">
        <f>IF(INDEX(DarlBelegt,17)=0,0,EOMONTH(INDEX(DarlAuszahlung,17),423)+1)</f>
      </c>
      <c r="F8107" s="43">
        <f>IF($E8107=0,0,YEAR($E8107))</f>
      </c>
      <c r="G8107" s="43">
        <f>IF(INDEX(DarlBindung,17)="",1,IF($E8107&lt;=INDEX(DarlBindung,17),1,0))</f>
      </c>
      <c r="H8107" s="43">
        <f>IF($G8107=1,INDEX(DarlSollzins,17),INDEX(DarlAnschluss,17))</f>
      </c>
      <c r="I8107" s="43">
        <f>IF(INDEX(DarlBelegt,17)=0,0,IF(INDEX(DarlOhneTilgung,17)=1,IF(INDEX(DarlBindung,17)="",1,$G8107),IF($J8107&gt;0.005,1,0)))</f>
      </c>
      <c r="J8107" s="43">
        <f>IF($I8106=0,0,$R8106)</f>
      </c>
      <c r="K8107" s="43">
        <f>IF($I8107=0,0,IF(INDEX(DarlOhneTilgung,17)=1,0,IF(AND(INDEX(DarlTilgStart,17)&gt;0,$E8107=INDEX(DarlTilgStart,17)),$J8107*($H8107+INDEX(DarlTilgung,17))/100/12,IF(AND($G8107=0,$G8106=1),MAX($K8106,$J8107*($H8107+1)/100/12),$K8106))))</f>
      </c>
      <c r="L8107" s="43">
        <f>IF($I8107=0,0,$J8107*$H8107/100/12)</f>
      </c>
      <c r="M8107" s="43">
        <f>IF($I8107=0,0,IF(OR(INDEX(DarlOhneTilgung,17)=1,AND(INDEX(DarlTilgStart,17)&gt;0,$E8107&lt;INDEX(DarlTilgStart,17))),0,MIN(MAX(0,$K8107-$L8107),$J8107)))</f>
      </c>
      <c r="N8107" s="43">
        <f>IF($I8107=0,0,MIN(SUMIFS(SondBetrag,SondDarl,17,SondDatum,"&gt;="&amp;$E8107,SondDatum,"&lt;="&amp;EOMONTH($E8107,0)),$J8107-$M8107))</f>
      </c>
      <c r="O8107" s="43">
        <f>IF($I8107=0,0,INDEX(DarlErsatzRate,17))</f>
      </c>
      <c r="P8107" s="43">
        <f>IF($I8107=0,0,$Q8106*INDEX(DarlErsatzZins,17))</f>
      </c>
      <c r="Q8107" s="43">
        <f>IF($I8107=0,0,$Q8106+$P8107+$O8107)</f>
      </c>
      <c r="R8107" s="43">
        <f>IF($I8107=0,0,$J8107-$M8107-$N8107)</f>
      </c>
    </row>
    <row r="8108">
      <c r="A8108"/>
      <c r="B8108">
        <v>17</v>
      </c>
      <c r="C8108" s="43">
        <f>INDEX(DarlObj,17)</f>
      </c>
      <c r="D8108">
        <v>425</v>
      </c>
      <c r="E8108" s="51">
        <f>IF(INDEX(DarlBelegt,17)=0,0,EOMONTH(INDEX(DarlAuszahlung,17),424)+1)</f>
      </c>
      <c r="F8108" s="43">
        <f>IF($E8108=0,0,YEAR($E8108))</f>
      </c>
      <c r="G8108" s="43">
        <f>IF(INDEX(DarlBindung,17)="",1,IF($E8108&lt;=INDEX(DarlBindung,17),1,0))</f>
      </c>
      <c r="H8108" s="43">
        <f>IF($G8108=1,INDEX(DarlSollzins,17),INDEX(DarlAnschluss,17))</f>
      </c>
      <c r="I8108" s="43">
        <f>IF(INDEX(DarlBelegt,17)=0,0,IF(INDEX(DarlOhneTilgung,17)=1,IF(INDEX(DarlBindung,17)="",1,$G8108),IF($J8108&gt;0.005,1,0)))</f>
      </c>
      <c r="J8108" s="43">
        <f>IF($I8107=0,0,$R8107)</f>
      </c>
      <c r="K8108" s="43">
        <f>IF($I8108=0,0,IF(INDEX(DarlOhneTilgung,17)=1,0,IF(AND(INDEX(DarlTilgStart,17)&gt;0,$E8108=INDEX(DarlTilgStart,17)),$J8108*($H8108+INDEX(DarlTilgung,17))/100/12,IF(AND($G8108=0,$G8107=1),MAX($K8107,$J8108*($H8108+1)/100/12),$K8107))))</f>
      </c>
      <c r="L8108" s="43">
        <f>IF($I8108=0,0,$J8108*$H8108/100/12)</f>
      </c>
      <c r="M8108" s="43">
        <f>IF($I8108=0,0,IF(OR(INDEX(DarlOhneTilgung,17)=1,AND(INDEX(DarlTilgStart,17)&gt;0,$E8108&lt;INDEX(DarlTilgStart,17))),0,MIN(MAX(0,$K8108-$L8108),$J8108)))</f>
      </c>
      <c r="N8108" s="43">
        <f>IF($I8108=0,0,MIN(SUMIFS(SondBetrag,SondDarl,17,SondDatum,"&gt;="&amp;$E8108,SondDatum,"&lt;="&amp;EOMONTH($E8108,0)),$J8108-$M8108))</f>
      </c>
      <c r="O8108" s="43">
        <f>IF($I8108=0,0,INDEX(DarlErsatzRate,17))</f>
      </c>
      <c r="P8108" s="43">
        <f>IF($I8108=0,0,$Q8107*INDEX(DarlErsatzZins,17))</f>
      </c>
      <c r="Q8108" s="43">
        <f>IF($I8108=0,0,$Q8107+$P8108+$O8108)</f>
      </c>
      <c r="R8108" s="43">
        <f>IF($I8108=0,0,$J8108-$M8108-$N8108)</f>
      </c>
    </row>
    <row r="8109">
      <c r="A8109"/>
      <c r="B8109">
        <v>17</v>
      </c>
      <c r="C8109" s="43">
        <f>INDEX(DarlObj,17)</f>
      </c>
      <c r="D8109">
        <v>426</v>
      </c>
      <c r="E8109" s="51">
        <f>IF(INDEX(DarlBelegt,17)=0,0,EOMONTH(INDEX(DarlAuszahlung,17),425)+1)</f>
      </c>
      <c r="F8109" s="43">
        <f>IF($E8109=0,0,YEAR($E8109))</f>
      </c>
      <c r="G8109" s="43">
        <f>IF(INDEX(DarlBindung,17)="",1,IF($E8109&lt;=INDEX(DarlBindung,17),1,0))</f>
      </c>
      <c r="H8109" s="43">
        <f>IF($G8109=1,INDEX(DarlSollzins,17),INDEX(DarlAnschluss,17))</f>
      </c>
      <c r="I8109" s="43">
        <f>IF(INDEX(DarlBelegt,17)=0,0,IF(INDEX(DarlOhneTilgung,17)=1,IF(INDEX(DarlBindung,17)="",1,$G8109),IF($J8109&gt;0.005,1,0)))</f>
      </c>
      <c r="J8109" s="43">
        <f>IF($I8108=0,0,$R8108)</f>
      </c>
      <c r="K8109" s="43">
        <f>IF($I8109=0,0,IF(INDEX(DarlOhneTilgung,17)=1,0,IF(AND(INDEX(DarlTilgStart,17)&gt;0,$E8109=INDEX(DarlTilgStart,17)),$J8109*($H8109+INDEX(DarlTilgung,17))/100/12,IF(AND($G8109=0,$G8108=1),MAX($K8108,$J8109*($H8109+1)/100/12),$K8108))))</f>
      </c>
      <c r="L8109" s="43">
        <f>IF($I8109=0,0,$J8109*$H8109/100/12)</f>
      </c>
      <c r="M8109" s="43">
        <f>IF($I8109=0,0,IF(OR(INDEX(DarlOhneTilgung,17)=1,AND(INDEX(DarlTilgStart,17)&gt;0,$E8109&lt;INDEX(DarlTilgStart,17))),0,MIN(MAX(0,$K8109-$L8109),$J8109)))</f>
      </c>
      <c r="N8109" s="43">
        <f>IF($I8109=0,0,MIN(SUMIFS(SondBetrag,SondDarl,17,SondDatum,"&gt;="&amp;$E8109,SondDatum,"&lt;="&amp;EOMONTH($E8109,0)),$J8109-$M8109))</f>
      </c>
      <c r="O8109" s="43">
        <f>IF($I8109=0,0,INDEX(DarlErsatzRate,17))</f>
      </c>
      <c r="P8109" s="43">
        <f>IF($I8109=0,0,$Q8108*INDEX(DarlErsatzZins,17))</f>
      </c>
      <c r="Q8109" s="43">
        <f>IF($I8109=0,0,$Q8108+$P8109+$O8109)</f>
      </c>
      <c r="R8109" s="43">
        <f>IF($I8109=0,0,$J8109-$M8109-$N8109)</f>
      </c>
    </row>
    <row r="8110">
      <c r="A8110"/>
      <c r="B8110">
        <v>17</v>
      </c>
      <c r="C8110" s="43">
        <f>INDEX(DarlObj,17)</f>
      </c>
      <c r="D8110">
        <v>427</v>
      </c>
      <c r="E8110" s="51">
        <f>IF(INDEX(DarlBelegt,17)=0,0,EOMONTH(INDEX(DarlAuszahlung,17),426)+1)</f>
      </c>
      <c r="F8110" s="43">
        <f>IF($E8110=0,0,YEAR($E8110))</f>
      </c>
      <c r="G8110" s="43">
        <f>IF(INDEX(DarlBindung,17)="",1,IF($E8110&lt;=INDEX(DarlBindung,17),1,0))</f>
      </c>
      <c r="H8110" s="43">
        <f>IF($G8110=1,INDEX(DarlSollzins,17),INDEX(DarlAnschluss,17))</f>
      </c>
      <c r="I8110" s="43">
        <f>IF(INDEX(DarlBelegt,17)=0,0,IF(INDEX(DarlOhneTilgung,17)=1,IF(INDEX(DarlBindung,17)="",1,$G8110),IF($J8110&gt;0.005,1,0)))</f>
      </c>
      <c r="J8110" s="43">
        <f>IF($I8109=0,0,$R8109)</f>
      </c>
      <c r="K8110" s="43">
        <f>IF($I8110=0,0,IF(INDEX(DarlOhneTilgung,17)=1,0,IF(AND(INDEX(DarlTilgStart,17)&gt;0,$E8110=INDEX(DarlTilgStart,17)),$J8110*($H8110+INDEX(DarlTilgung,17))/100/12,IF(AND($G8110=0,$G8109=1),MAX($K8109,$J8110*($H8110+1)/100/12),$K8109))))</f>
      </c>
      <c r="L8110" s="43">
        <f>IF($I8110=0,0,$J8110*$H8110/100/12)</f>
      </c>
      <c r="M8110" s="43">
        <f>IF($I8110=0,0,IF(OR(INDEX(DarlOhneTilgung,17)=1,AND(INDEX(DarlTilgStart,17)&gt;0,$E8110&lt;INDEX(DarlTilgStart,17))),0,MIN(MAX(0,$K8110-$L8110),$J8110)))</f>
      </c>
      <c r="N8110" s="43">
        <f>IF($I8110=0,0,MIN(SUMIFS(SondBetrag,SondDarl,17,SondDatum,"&gt;="&amp;$E8110,SondDatum,"&lt;="&amp;EOMONTH($E8110,0)),$J8110-$M8110))</f>
      </c>
      <c r="O8110" s="43">
        <f>IF($I8110=0,0,INDEX(DarlErsatzRate,17))</f>
      </c>
      <c r="P8110" s="43">
        <f>IF($I8110=0,0,$Q8109*INDEX(DarlErsatzZins,17))</f>
      </c>
      <c r="Q8110" s="43">
        <f>IF($I8110=0,0,$Q8109+$P8110+$O8110)</f>
      </c>
      <c r="R8110" s="43">
        <f>IF($I8110=0,0,$J8110-$M8110-$N8110)</f>
      </c>
    </row>
    <row r="8111">
      <c r="A8111"/>
      <c r="B8111">
        <v>17</v>
      </c>
      <c r="C8111" s="43">
        <f>INDEX(DarlObj,17)</f>
      </c>
      <c r="D8111">
        <v>428</v>
      </c>
      <c r="E8111" s="51">
        <f>IF(INDEX(DarlBelegt,17)=0,0,EOMONTH(INDEX(DarlAuszahlung,17),427)+1)</f>
      </c>
      <c r="F8111" s="43">
        <f>IF($E8111=0,0,YEAR($E8111))</f>
      </c>
      <c r="G8111" s="43">
        <f>IF(INDEX(DarlBindung,17)="",1,IF($E8111&lt;=INDEX(DarlBindung,17),1,0))</f>
      </c>
      <c r="H8111" s="43">
        <f>IF($G8111=1,INDEX(DarlSollzins,17),INDEX(DarlAnschluss,17))</f>
      </c>
      <c r="I8111" s="43">
        <f>IF(INDEX(DarlBelegt,17)=0,0,IF(INDEX(DarlOhneTilgung,17)=1,IF(INDEX(DarlBindung,17)="",1,$G8111),IF($J8111&gt;0.005,1,0)))</f>
      </c>
      <c r="J8111" s="43">
        <f>IF($I8110=0,0,$R8110)</f>
      </c>
      <c r="K8111" s="43">
        <f>IF($I8111=0,0,IF(INDEX(DarlOhneTilgung,17)=1,0,IF(AND(INDEX(DarlTilgStart,17)&gt;0,$E8111=INDEX(DarlTilgStart,17)),$J8111*($H8111+INDEX(DarlTilgung,17))/100/12,IF(AND($G8111=0,$G8110=1),MAX($K8110,$J8111*($H8111+1)/100/12),$K8110))))</f>
      </c>
      <c r="L8111" s="43">
        <f>IF($I8111=0,0,$J8111*$H8111/100/12)</f>
      </c>
      <c r="M8111" s="43">
        <f>IF($I8111=0,0,IF(OR(INDEX(DarlOhneTilgung,17)=1,AND(INDEX(DarlTilgStart,17)&gt;0,$E8111&lt;INDEX(DarlTilgStart,17))),0,MIN(MAX(0,$K8111-$L8111),$J8111)))</f>
      </c>
      <c r="N8111" s="43">
        <f>IF($I8111=0,0,MIN(SUMIFS(SondBetrag,SondDarl,17,SondDatum,"&gt;="&amp;$E8111,SondDatum,"&lt;="&amp;EOMONTH($E8111,0)),$J8111-$M8111))</f>
      </c>
      <c r="O8111" s="43">
        <f>IF($I8111=0,0,INDEX(DarlErsatzRate,17))</f>
      </c>
      <c r="P8111" s="43">
        <f>IF($I8111=0,0,$Q8110*INDEX(DarlErsatzZins,17))</f>
      </c>
      <c r="Q8111" s="43">
        <f>IF($I8111=0,0,$Q8110+$P8111+$O8111)</f>
      </c>
      <c r="R8111" s="43">
        <f>IF($I8111=0,0,$J8111-$M8111-$N8111)</f>
      </c>
    </row>
    <row r="8112">
      <c r="A8112"/>
      <c r="B8112">
        <v>17</v>
      </c>
      <c r="C8112" s="43">
        <f>INDEX(DarlObj,17)</f>
      </c>
      <c r="D8112">
        <v>429</v>
      </c>
      <c r="E8112" s="51">
        <f>IF(INDEX(DarlBelegt,17)=0,0,EOMONTH(INDEX(DarlAuszahlung,17),428)+1)</f>
      </c>
      <c r="F8112" s="43">
        <f>IF($E8112=0,0,YEAR($E8112))</f>
      </c>
      <c r="G8112" s="43">
        <f>IF(INDEX(DarlBindung,17)="",1,IF($E8112&lt;=INDEX(DarlBindung,17),1,0))</f>
      </c>
      <c r="H8112" s="43">
        <f>IF($G8112=1,INDEX(DarlSollzins,17),INDEX(DarlAnschluss,17))</f>
      </c>
      <c r="I8112" s="43">
        <f>IF(INDEX(DarlBelegt,17)=0,0,IF(INDEX(DarlOhneTilgung,17)=1,IF(INDEX(DarlBindung,17)="",1,$G8112),IF($J8112&gt;0.005,1,0)))</f>
      </c>
      <c r="J8112" s="43">
        <f>IF($I8111=0,0,$R8111)</f>
      </c>
      <c r="K8112" s="43">
        <f>IF($I8112=0,0,IF(INDEX(DarlOhneTilgung,17)=1,0,IF(AND(INDEX(DarlTilgStart,17)&gt;0,$E8112=INDEX(DarlTilgStart,17)),$J8112*($H8112+INDEX(DarlTilgung,17))/100/12,IF(AND($G8112=0,$G8111=1),MAX($K8111,$J8112*($H8112+1)/100/12),$K8111))))</f>
      </c>
      <c r="L8112" s="43">
        <f>IF($I8112=0,0,$J8112*$H8112/100/12)</f>
      </c>
      <c r="M8112" s="43">
        <f>IF($I8112=0,0,IF(OR(INDEX(DarlOhneTilgung,17)=1,AND(INDEX(DarlTilgStart,17)&gt;0,$E8112&lt;INDEX(DarlTilgStart,17))),0,MIN(MAX(0,$K8112-$L8112),$J8112)))</f>
      </c>
      <c r="N8112" s="43">
        <f>IF($I8112=0,0,MIN(SUMIFS(SondBetrag,SondDarl,17,SondDatum,"&gt;="&amp;$E8112,SondDatum,"&lt;="&amp;EOMONTH($E8112,0)),$J8112-$M8112))</f>
      </c>
      <c r="O8112" s="43">
        <f>IF($I8112=0,0,INDEX(DarlErsatzRate,17))</f>
      </c>
      <c r="P8112" s="43">
        <f>IF($I8112=0,0,$Q8111*INDEX(DarlErsatzZins,17))</f>
      </c>
      <c r="Q8112" s="43">
        <f>IF($I8112=0,0,$Q8111+$P8112+$O8112)</f>
      </c>
      <c r="R8112" s="43">
        <f>IF($I8112=0,0,$J8112-$M8112-$N8112)</f>
      </c>
    </row>
    <row r="8113">
      <c r="A8113"/>
      <c r="B8113">
        <v>17</v>
      </c>
      <c r="C8113" s="43">
        <f>INDEX(DarlObj,17)</f>
      </c>
      <c r="D8113">
        <v>430</v>
      </c>
      <c r="E8113" s="51">
        <f>IF(INDEX(DarlBelegt,17)=0,0,EOMONTH(INDEX(DarlAuszahlung,17),429)+1)</f>
      </c>
      <c r="F8113" s="43">
        <f>IF($E8113=0,0,YEAR($E8113))</f>
      </c>
      <c r="G8113" s="43">
        <f>IF(INDEX(DarlBindung,17)="",1,IF($E8113&lt;=INDEX(DarlBindung,17),1,0))</f>
      </c>
      <c r="H8113" s="43">
        <f>IF($G8113=1,INDEX(DarlSollzins,17),INDEX(DarlAnschluss,17))</f>
      </c>
      <c r="I8113" s="43">
        <f>IF(INDEX(DarlBelegt,17)=0,0,IF(INDEX(DarlOhneTilgung,17)=1,IF(INDEX(DarlBindung,17)="",1,$G8113),IF($J8113&gt;0.005,1,0)))</f>
      </c>
      <c r="J8113" s="43">
        <f>IF($I8112=0,0,$R8112)</f>
      </c>
      <c r="K8113" s="43">
        <f>IF($I8113=0,0,IF(INDEX(DarlOhneTilgung,17)=1,0,IF(AND(INDEX(DarlTilgStart,17)&gt;0,$E8113=INDEX(DarlTilgStart,17)),$J8113*($H8113+INDEX(DarlTilgung,17))/100/12,IF(AND($G8113=0,$G8112=1),MAX($K8112,$J8113*($H8113+1)/100/12),$K8112))))</f>
      </c>
      <c r="L8113" s="43">
        <f>IF($I8113=0,0,$J8113*$H8113/100/12)</f>
      </c>
      <c r="M8113" s="43">
        <f>IF($I8113=0,0,IF(OR(INDEX(DarlOhneTilgung,17)=1,AND(INDEX(DarlTilgStart,17)&gt;0,$E8113&lt;INDEX(DarlTilgStart,17))),0,MIN(MAX(0,$K8113-$L8113),$J8113)))</f>
      </c>
      <c r="N8113" s="43">
        <f>IF($I8113=0,0,MIN(SUMIFS(SondBetrag,SondDarl,17,SondDatum,"&gt;="&amp;$E8113,SondDatum,"&lt;="&amp;EOMONTH($E8113,0)),$J8113-$M8113))</f>
      </c>
      <c r="O8113" s="43">
        <f>IF($I8113=0,0,INDEX(DarlErsatzRate,17))</f>
      </c>
      <c r="P8113" s="43">
        <f>IF($I8113=0,0,$Q8112*INDEX(DarlErsatzZins,17))</f>
      </c>
      <c r="Q8113" s="43">
        <f>IF($I8113=0,0,$Q8112+$P8113+$O8113)</f>
      </c>
      <c r="R8113" s="43">
        <f>IF($I8113=0,0,$J8113-$M8113-$N8113)</f>
      </c>
    </row>
    <row r="8114">
      <c r="A8114"/>
      <c r="B8114">
        <v>17</v>
      </c>
      <c r="C8114" s="43">
        <f>INDEX(DarlObj,17)</f>
      </c>
      <c r="D8114">
        <v>431</v>
      </c>
      <c r="E8114" s="51">
        <f>IF(INDEX(DarlBelegt,17)=0,0,EOMONTH(INDEX(DarlAuszahlung,17),430)+1)</f>
      </c>
      <c r="F8114" s="43">
        <f>IF($E8114=0,0,YEAR($E8114))</f>
      </c>
      <c r="G8114" s="43">
        <f>IF(INDEX(DarlBindung,17)="",1,IF($E8114&lt;=INDEX(DarlBindung,17),1,0))</f>
      </c>
      <c r="H8114" s="43">
        <f>IF($G8114=1,INDEX(DarlSollzins,17),INDEX(DarlAnschluss,17))</f>
      </c>
      <c r="I8114" s="43">
        <f>IF(INDEX(DarlBelegt,17)=0,0,IF(INDEX(DarlOhneTilgung,17)=1,IF(INDEX(DarlBindung,17)="",1,$G8114),IF($J8114&gt;0.005,1,0)))</f>
      </c>
      <c r="J8114" s="43">
        <f>IF($I8113=0,0,$R8113)</f>
      </c>
      <c r="K8114" s="43">
        <f>IF($I8114=0,0,IF(INDEX(DarlOhneTilgung,17)=1,0,IF(AND(INDEX(DarlTilgStart,17)&gt;0,$E8114=INDEX(DarlTilgStart,17)),$J8114*($H8114+INDEX(DarlTilgung,17))/100/12,IF(AND($G8114=0,$G8113=1),MAX($K8113,$J8114*($H8114+1)/100/12),$K8113))))</f>
      </c>
      <c r="L8114" s="43">
        <f>IF($I8114=0,0,$J8114*$H8114/100/12)</f>
      </c>
      <c r="M8114" s="43">
        <f>IF($I8114=0,0,IF(OR(INDEX(DarlOhneTilgung,17)=1,AND(INDEX(DarlTilgStart,17)&gt;0,$E8114&lt;INDEX(DarlTilgStart,17))),0,MIN(MAX(0,$K8114-$L8114),$J8114)))</f>
      </c>
      <c r="N8114" s="43">
        <f>IF($I8114=0,0,MIN(SUMIFS(SondBetrag,SondDarl,17,SondDatum,"&gt;="&amp;$E8114,SondDatum,"&lt;="&amp;EOMONTH($E8114,0)),$J8114-$M8114))</f>
      </c>
      <c r="O8114" s="43">
        <f>IF($I8114=0,0,INDEX(DarlErsatzRate,17))</f>
      </c>
      <c r="P8114" s="43">
        <f>IF($I8114=0,0,$Q8113*INDEX(DarlErsatzZins,17))</f>
      </c>
      <c r="Q8114" s="43">
        <f>IF($I8114=0,0,$Q8113+$P8114+$O8114)</f>
      </c>
      <c r="R8114" s="43">
        <f>IF($I8114=0,0,$J8114-$M8114-$N8114)</f>
      </c>
    </row>
    <row r="8115">
      <c r="A8115"/>
      <c r="B8115">
        <v>17</v>
      </c>
      <c r="C8115" s="43">
        <f>INDEX(DarlObj,17)</f>
      </c>
      <c r="D8115">
        <v>432</v>
      </c>
      <c r="E8115" s="51">
        <f>IF(INDEX(DarlBelegt,17)=0,0,EOMONTH(INDEX(DarlAuszahlung,17),431)+1)</f>
      </c>
      <c r="F8115" s="43">
        <f>IF($E8115=0,0,YEAR($E8115))</f>
      </c>
      <c r="G8115" s="43">
        <f>IF(INDEX(DarlBindung,17)="",1,IF($E8115&lt;=INDEX(DarlBindung,17),1,0))</f>
      </c>
      <c r="H8115" s="43">
        <f>IF($G8115=1,INDEX(DarlSollzins,17),INDEX(DarlAnschluss,17))</f>
      </c>
      <c r="I8115" s="43">
        <f>IF(INDEX(DarlBelegt,17)=0,0,IF(INDEX(DarlOhneTilgung,17)=1,IF(INDEX(DarlBindung,17)="",1,$G8115),IF($J8115&gt;0.005,1,0)))</f>
      </c>
      <c r="J8115" s="43">
        <f>IF($I8114=0,0,$R8114)</f>
      </c>
      <c r="K8115" s="43">
        <f>IF($I8115=0,0,IF(INDEX(DarlOhneTilgung,17)=1,0,IF(AND(INDEX(DarlTilgStart,17)&gt;0,$E8115=INDEX(DarlTilgStart,17)),$J8115*($H8115+INDEX(DarlTilgung,17))/100/12,IF(AND($G8115=0,$G8114=1),MAX($K8114,$J8115*($H8115+1)/100/12),$K8114))))</f>
      </c>
      <c r="L8115" s="43">
        <f>IF($I8115=0,0,$J8115*$H8115/100/12)</f>
      </c>
      <c r="M8115" s="43">
        <f>IF($I8115=0,0,IF(OR(INDEX(DarlOhneTilgung,17)=1,AND(INDEX(DarlTilgStart,17)&gt;0,$E8115&lt;INDEX(DarlTilgStart,17))),0,MIN(MAX(0,$K8115-$L8115),$J8115)))</f>
      </c>
      <c r="N8115" s="43">
        <f>IF($I8115=0,0,MIN(SUMIFS(SondBetrag,SondDarl,17,SondDatum,"&gt;="&amp;$E8115,SondDatum,"&lt;="&amp;EOMONTH($E8115,0)),$J8115-$M8115))</f>
      </c>
      <c r="O8115" s="43">
        <f>IF($I8115=0,0,INDEX(DarlErsatzRate,17))</f>
      </c>
      <c r="P8115" s="43">
        <f>IF($I8115=0,0,$Q8114*INDEX(DarlErsatzZins,17))</f>
      </c>
      <c r="Q8115" s="43">
        <f>IF($I8115=0,0,$Q8114+$P8115+$O8115)</f>
      </c>
      <c r="R8115" s="43">
        <f>IF($I8115=0,0,$J8115-$M8115-$N8115)</f>
      </c>
    </row>
    <row r="8116">
      <c r="A8116"/>
      <c r="B8116">
        <v>17</v>
      </c>
      <c r="C8116" s="43">
        <f>INDEX(DarlObj,17)</f>
      </c>
      <c r="D8116">
        <v>433</v>
      </c>
      <c r="E8116" s="51">
        <f>IF(INDEX(DarlBelegt,17)=0,0,EOMONTH(INDEX(DarlAuszahlung,17),432)+1)</f>
      </c>
      <c r="F8116" s="43">
        <f>IF($E8116=0,0,YEAR($E8116))</f>
      </c>
      <c r="G8116" s="43">
        <f>IF(INDEX(DarlBindung,17)="",1,IF($E8116&lt;=INDEX(DarlBindung,17),1,0))</f>
      </c>
      <c r="H8116" s="43">
        <f>IF($G8116=1,INDEX(DarlSollzins,17),INDEX(DarlAnschluss,17))</f>
      </c>
      <c r="I8116" s="43">
        <f>IF(INDEX(DarlBelegt,17)=0,0,IF(INDEX(DarlOhneTilgung,17)=1,IF(INDEX(DarlBindung,17)="",1,$G8116),IF($J8116&gt;0.005,1,0)))</f>
      </c>
      <c r="J8116" s="43">
        <f>IF($I8115=0,0,$R8115)</f>
      </c>
      <c r="K8116" s="43">
        <f>IF($I8116=0,0,IF(INDEX(DarlOhneTilgung,17)=1,0,IF(AND(INDEX(DarlTilgStart,17)&gt;0,$E8116=INDEX(DarlTilgStart,17)),$J8116*($H8116+INDEX(DarlTilgung,17))/100/12,IF(AND($G8116=0,$G8115=1),MAX($K8115,$J8116*($H8116+1)/100/12),$K8115))))</f>
      </c>
      <c r="L8116" s="43">
        <f>IF($I8116=0,0,$J8116*$H8116/100/12)</f>
      </c>
      <c r="M8116" s="43">
        <f>IF($I8116=0,0,IF(OR(INDEX(DarlOhneTilgung,17)=1,AND(INDEX(DarlTilgStart,17)&gt;0,$E8116&lt;INDEX(DarlTilgStart,17))),0,MIN(MAX(0,$K8116-$L8116),$J8116)))</f>
      </c>
      <c r="N8116" s="43">
        <f>IF($I8116=0,0,MIN(SUMIFS(SondBetrag,SondDarl,17,SondDatum,"&gt;="&amp;$E8116,SondDatum,"&lt;="&amp;EOMONTH($E8116,0)),$J8116-$M8116))</f>
      </c>
      <c r="O8116" s="43">
        <f>IF($I8116=0,0,INDEX(DarlErsatzRate,17))</f>
      </c>
      <c r="P8116" s="43">
        <f>IF($I8116=0,0,$Q8115*INDEX(DarlErsatzZins,17))</f>
      </c>
      <c r="Q8116" s="43">
        <f>IF($I8116=0,0,$Q8115+$P8116+$O8116)</f>
      </c>
      <c r="R8116" s="43">
        <f>IF($I8116=0,0,$J8116-$M8116-$N8116)</f>
      </c>
    </row>
    <row r="8117">
      <c r="A8117"/>
      <c r="B8117">
        <v>17</v>
      </c>
      <c r="C8117" s="43">
        <f>INDEX(DarlObj,17)</f>
      </c>
      <c r="D8117">
        <v>434</v>
      </c>
      <c r="E8117" s="51">
        <f>IF(INDEX(DarlBelegt,17)=0,0,EOMONTH(INDEX(DarlAuszahlung,17),433)+1)</f>
      </c>
      <c r="F8117" s="43">
        <f>IF($E8117=0,0,YEAR($E8117))</f>
      </c>
      <c r="G8117" s="43">
        <f>IF(INDEX(DarlBindung,17)="",1,IF($E8117&lt;=INDEX(DarlBindung,17),1,0))</f>
      </c>
      <c r="H8117" s="43">
        <f>IF($G8117=1,INDEX(DarlSollzins,17),INDEX(DarlAnschluss,17))</f>
      </c>
      <c r="I8117" s="43">
        <f>IF(INDEX(DarlBelegt,17)=0,0,IF(INDEX(DarlOhneTilgung,17)=1,IF(INDEX(DarlBindung,17)="",1,$G8117),IF($J8117&gt;0.005,1,0)))</f>
      </c>
      <c r="J8117" s="43">
        <f>IF($I8116=0,0,$R8116)</f>
      </c>
      <c r="K8117" s="43">
        <f>IF($I8117=0,0,IF(INDEX(DarlOhneTilgung,17)=1,0,IF(AND(INDEX(DarlTilgStart,17)&gt;0,$E8117=INDEX(DarlTilgStart,17)),$J8117*($H8117+INDEX(DarlTilgung,17))/100/12,IF(AND($G8117=0,$G8116=1),MAX($K8116,$J8117*($H8117+1)/100/12),$K8116))))</f>
      </c>
      <c r="L8117" s="43">
        <f>IF($I8117=0,0,$J8117*$H8117/100/12)</f>
      </c>
      <c r="M8117" s="43">
        <f>IF($I8117=0,0,IF(OR(INDEX(DarlOhneTilgung,17)=1,AND(INDEX(DarlTilgStart,17)&gt;0,$E8117&lt;INDEX(DarlTilgStart,17))),0,MIN(MAX(0,$K8117-$L8117),$J8117)))</f>
      </c>
      <c r="N8117" s="43">
        <f>IF($I8117=0,0,MIN(SUMIFS(SondBetrag,SondDarl,17,SondDatum,"&gt;="&amp;$E8117,SondDatum,"&lt;="&amp;EOMONTH($E8117,0)),$J8117-$M8117))</f>
      </c>
      <c r="O8117" s="43">
        <f>IF($I8117=0,0,INDEX(DarlErsatzRate,17))</f>
      </c>
      <c r="P8117" s="43">
        <f>IF($I8117=0,0,$Q8116*INDEX(DarlErsatzZins,17))</f>
      </c>
      <c r="Q8117" s="43">
        <f>IF($I8117=0,0,$Q8116+$P8117+$O8117)</f>
      </c>
      <c r="R8117" s="43">
        <f>IF($I8117=0,0,$J8117-$M8117-$N8117)</f>
      </c>
    </row>
    <row r="8118">
      <c r="A8118"/>
      <c r="B8118">
        <v>17</v>
      </c>
      <c r="C8118" s="43">
        <f>INDEX(DarlObj,17)</f>
      </c>
      <c r="D8118">
        <v>435</v>
      </c>
      <c r="E8118" s="51">
        <f>IF(INDEX(DarlBelegt,17)=0,0,EOMONTH(INDEX(DarlAuszahlung,17),434)+1)</f>
      </c>
      <c r="F8118" s="43">
        <f>IF($E8118=0,0,YEAR($E8118))</f>
      </c>
      <c r="G8118" s="43">
        <f>IF(INDEX(DarlBindung,17)="",1,IF($E8118&lt;=INDEX(DarlBindung,17),1,0))</f>
      </c>
      <c r="H8118" s="43">
        <f>IF($G8118=1,INDEX(DarlSollzins,17),INDEX(DarlAnschluss,17))</f>
      </c>
      <c r="I8118" s="43">
        <f>IF(INDEX(DarlBelegt,17)=0,0,IF(INDEX(DarlOhneTilgung,17)=1,IF(INDEX(DarlBindung,17)="",1,$G8118),IF($J8118&gt;0.005,1,0)))</f>
      </c>
      <c r="J8118" s="43">
        <f>IF($I8117=0,0,$R8117)</f>
      </c>
      <c r="K8118" s="43">
        <f>IF($I8118=0,0,IF(INDEX(DarlOhneTilgung,17)=1,0,IF(AND(INDEX(DarlTilgStart,17)&gt;0,$E8118=INDEX(DarlTilgStart,17)),$J8118*($H8118+INDEX(DarlTilgung,17))/100/12,IF(AND($G8118=0,$G8117=1),MAX($K8117,$J8118*($H8118+1)/100/12),$K8117))))</f>
      </c>
      <c r="L8118" s="43">
        <f>IF($I8118=0,0,$J8118*$H8118/100/12)</f>
      </c>
      <c r="M8118" s="43">
        <f>IF($I8118=0,0,IF(OR(INDEX(DarlOhneTilgung,17)=1,AND(INDEX(DarlTilgStart,17)&gt;0,$E8118&lt;INDEX(DarlTilgStart,17))),0,MIN(MAX(0,$K8118-$L8118),$J8118)))</f>
      </c>
      <c r="N8118" s="43">
        <f>IF($I8118=0,0,MIN(SUMIFS(SondBetrag,SondDarl,17,SondDatum,"&gt;="&amp;$E8118,SondDatum,"&lt;="&amp;EOMONTH($E8118,0)),$J8118-$M8118))</f>
      </c>
      <c r="O8118" s="43">
        <f>IF($I8118=0,0,INDEX(DarlErsatzRate,17))</f>
      </c>
      <c r="P8118" s="43">
        <f>IF($I8118=0,0,$Q8117*INDEX(DarlErsatzZins,17))</f>
      </c>
      <c r="Q8118" s="43">
        <f>IF($I8118=0,0,$Q8117+$P8118+$O8118)</f>
      </c>
      <c r="R8118" s="43">
        <f>IF($I8118=0,0,$J8118-$M8118-$N8118)</f>
      </c>
    </row>
    <row r="8119">
      <c r="A8119"/>
      <c r="B8119">
        <v>17</v>
      </c>
      <c r="C8119" s="43">
        <f>INDEX(DarlObj,17)</f>
      </c>
      <c r="D8119">
        <v>436</v>
      </c>
      <c r="E8119" s="51">
        <f>IF(INDEX(DarlBelegt,17)=0,0,EOMONTH(INDEX(DarlAuszahlung,17),435)+1)</f>
      </c>
      <c r="F8119" s="43">
        <f>IF($E8119=0,0,YEAR($E8119))</f>
      </c>
      <c r="G8119" s="43">
        <f>IF(INDEX(DarlBindung,17)="",1,IF($E8119&lt;=INDEX(DarlBindung,17),1,0))</f>
      </c>
      <c r="H8119" s="43">
        <f>IF($G8119=1,INDEX(DarlSollzins,17),INDEX(DarlAnschluss,17))</f>
      </c>
      <c r="I8119" s="43">
        <f>IF(INDEX(DarlBelegt,17)=0,0,IF(INDEX(DarlOhneTilgung,17)=1,IF(INDEX(DarlBindung,17)="",1,$G8119),IF($J8119&gt;0.005,1,0)))</f>
      </c>
      <c r="J8119" s="43">
        <f>IF($I8118=0,0,$R8118)</f>
      </c>
      <c r="K8119" s="43">
        <f>IF($I8119=0,0,IF(INDEX(DarlOhneTilgung,17)=1,0,IF(AND(INDEX(DarlTilgStart,17)&gt;0,$E8119=INDEX(DarlTilgStart,17)),$J8119*($H8119+INDEX(DarlTilgung,17))/100/12,IF(AND($G8119=0,$G8118=1),MAX($K8118,$J8119*($H8119+1)/100/12),$K8118))))</f>
      </c>
      <c r="L8119" s="43">
        <f>IF($I8119=0,0,$J8119*$H8119/100/12)</f>
      </c>
      <c r="M8119" s="43">
        <f>IF($I8119=0,0,IF(OR(INDEX(DarlOhneTilgung,17)=1,AND(INDEX(DarlTilgStart,17)&gt;0,$E8119&lt;INDEX(DarlTilgStart,17))),0,MIN(MAX(0,$K8119-$L8119),$J8119)))</f>
      </c>
      <c r="N8119" s="43">
        <f>IF($I8119=0,0,MIN(SUMIFS(SondBetrag,SondDarl,17,SondDatum,"&gt;="&amp;$E8119,SondDatum,"&lt;="&amp;EOMONTH($E8119,0)),$J8119-$M8119))</f>
      </c>
      <c r="O8119" s="43">
        <f>IF($I8119=0,0,INDEX(DarlErsatzRate,17))</f>
      </c>
      <c r="P8119" s="43">
        <f>IF($I8119=0,0,$Q8118*INDEX(DarlErsatzZins,17))</f>
      </c>
      <c r="Q8119" s="43">
        <f>IF($I8119=0,0,$Q8118+$P8119+$O8119)</f>
      </c>
      <c r="R8119" s="43">
        <f>IF($I8119=0,0,$J8119-$M8119-$N8119)</f>
      </c>
    </row>
    <row r="8120">
      <c r="A8120"/>
      <c r="B8120">
        <v>17</v>
      </c>
      <c r="C8120" s="43">
        <f>INDEX(DarlObj,17)</f>
      </c>
      <c r="D8120">
        <v>437</v>
      </c>
      <c r="E8120" s="51">
        <f>IF(INDEX(DarlBelegt,17)=0,0,EOMONTH(INDEX(DarlAuszahlung,17),436)+1)</f>
      </c>
      <c r="F8120" s="43">
        <f>IF($E8120=0,0,YEAR($E8120))</f>
      </c>
      <c r="G8120" s="43">
        <f>IF(INDEX(DarlBindung,17)="",1,IF($E8120&lt;=INDEX(DarlBindung,17),1,0))</f>
      </c>
      <c r="H8120" s="43">
        <f>IF($G8120=1,INDEX(DarlSollzins,17),INDEX(DarlAnschluss,17))</f>
      </c>
      <c r="I8120" s="43">
        <f>IF(INDEX(DarlBelegt,17)=0,0,IF(INDEX(DarlOhneTilgung,17)=1,IF(INDEX(DarlBindung,17)="",1,$G8120),IF($J8120&gt;0.005,1,0)))</f>
      </c>
      <c r="J8120" s="43">
        <f>IF($I8119=0,0,$R8119)</f>
      </c>
      <c r="K8120" s="43">
        <f>IF($I8120=0,0,IF(INDEX(DarlOhneTilgung,17)=1,0,IF(AND(INDEX(DarlTilgStart,17)&gt;0,$E8120=INDEX(DarlTilgStart,17)),$J8120*($H8120+INDEX(DarlTilgung,17))/100/12,IF(AND($G8120=0,$G8119=1),MAX($K8119,$J8120*($H8120+1)/100/12),$K8119))))</f>
      </c>
      <c r="L8120" s="43">
        <f>IF($I8120=0,0,$J8120*$H8120/100/12)</f>
      </c>
      <c r="M8120" s="43">
        <f>IF($I8120=0,0,IF(OR(INDEX(DarlOhneTilgung,17)=1,AND(INDEX(DarlTilgStart,17)&gt;0,$E8120&lt;INDEX(DarlTilgStart,17))),0,MIN(MAX(0,$K8120-$L8120),$J8120)))</f>
      </c>
      <c r="N8120" s="43">
        <f>IF($I8120=0,0,MIN(SUMIFS(SondBetrag,SondDarl,17,SondDatum,"&gt;="&amp;$E8120,SondDatum,"&lt;="&amp;EOMONTH($E8120,0)),$J8120-$M8120))</f>
      </c>
      <c r="O8120" s="43">
        <f>IF($I8120=0,0,INDEX(DarlErsatzRate,17))</f>
      </c>
      <c r="P8120" s="43">
        <f>IF($I8120=0,0,$Q8119*INDEX(DarlErsatzZins,17))</f>
      </c>
      <c r="Q8120" s="43">
        <f>IF($I8120=0,0,$Q8119+$P8120+$O8120)</f>
      </c>
      <c r="R8120" s="43">
        <f>IF($I8120=0,0,$J8120-$M8120-$N8120)</f>
      </c>
    </row>
    <row r="8121">
      <c r="A8121"/>
      <c r="B8121">
        <v>17</v>
      </c>
      <c r="C8121" s="43">
        <f>INDEX(DarlObj,17)</f>
      </c>
      <c r="D8121">
        <v>438</v>
      </c>
      <c r="E8121" s="51">
        <f>IF(INDEX(DarlBelegt,17)=0,0,EOMONTH(INDEX(DarlAuszahlung,17),437)+1)</f>
      </c>
      <c r="F8121" s="43">
        <f>IF($E8121=0,0,YEAR($E8121))</f>
      </c>
      <c r="G8121" s="43">
        <f>IF(INDEX(DarlBindung,17)="",1,IF($E8121&lt;=INDEX(DarlBindung,17),1,0))</f>
      </c>
      <c r="H8121" s="43">
        <f>IF($G8121=1,INDEX(DarlSollzins,17),INDEX(DarlAnschluss,17))</f>
      </c>
      <c r="I8121" s="43">
        <f>IF(INDEX(DarlBelegt,17)=0,0,IF(INDEX(DarlOhneTilgung,17)=1,IF(INDEX(DarlBindung,17)="",1,$G8121),IF($J8121&gt;0.005,1,0)))</f>
      </c>
      <c r="J8121" s="43">
        <f>IF($I8120=0,0,$R8120)</f>
      </c>
      <c r="K8121" s="43">
        <f>IF($I8121=0,0,IF(INDEX(DarlOhneTilgung,17)=1,0,IF(AND(INDEX(DarlTilgStart,17)&gt;0,$E8121=INDEX(DarlTilgStart,17)),$J8121*($H8121+INDEX(DarlTilgung,17))/100/12,IF(AND($G8121=0,$G8120=1),MAX($K8120,$J8121*($H8121+1)/100/12),$K8120))))</f>
      </c>
      <c r="L8121" s="43">
        <f>IF($I8121=0,0,$J8121*$H8121/100/12)</f>
      </c>
      <c r="M8121" s="43">
        <f>IF($I8121=0,0,IF(OR(INDEX(DarlOhneTilgung,17)=1,AND(INDEX(DarlTilgStart,17)&gt;0,$E8121&lt;INDEX(DarlTilgStart,17))),0,MIN(MAX(0,$K8121-$L8121),$J8121)))</f>
      </c>
      <c r="N8121" s="43">
        <f>IF($I8121=0,0,MIN(SUMIFS(SondBetrag,SondDarl,17,SondDatum,"&gt;="&amp;$E8121,SondDatum,"&lt;="&amp;EOMONTH($E8121,0)),$J8121-$M8121))</f>
      </c>
      <c r="O8121" s="43">
        <f>IF($I8121=0,0,INDEX(DarlErsatzRate,17))</f>
      </c>
      <c r="P8121" s="43">
        <f>IF($I8121=0,0,$Q8120*INDEX(DarlErsatzZins,17))</f>
      </c>
      <c r="Q8121" s="43">
        <f>IF($I8121=0,0,$Q8120+$P8121+$O8121)</f>
      </c>
      <c r="R8121" s="43">
        <f>IF($I8121=0,0,$J8121-$M8121-$N8121)</f>
      </c>
    </row>
    <row r="8122">
      <c r="A8122"/>
      <c r="B8122">
        <v>17</v>
      </c>
      <c r="C8122" s="43">
        <f>INDEX(DarlObj,17)</f>
      </c>
      <c r="D8122">
        <v>439</v>
      </c>
      <c r="E8122" s="51">
        <f>IF(INDEX(DarlBelegt,17)=0,0,EOMONTH(INDEX(DarlAuszahlung,17),438)+1)</f>
      </c>
      <c r="F8122" s="43">
        <f>IF($E8122=0,0,YEAR($E8122))</f>
      </c>
      <c r="G8122" s="43">
        <f>IF(INDEX(DarlBindung,17)="",1,IF($E8122&lt;=INDEX(DarlBindung,17),1,0))</f>
      </c>
      <c r="H8122" s="43">
        <f>IF($G8122=1,INDEX(DarlSollzins,17),INDEX(DarlAnschluss,17))</f>
      </c>
      <c r="I8122" s="43">
        <f>IF(INDEX(DarlBelegt,17)=0,0,IF(INDEX(DarlOhneTilgung,17)=1,IF(INDEX(DarlBindung,17)="",1,$G8122),IF($J8122&gt;0.005,1,0)))</f>
      </c>
      <c r="J8122" s="43">
        <f>IF($I8121=0,0,$R8121)</f>
      </c>
      <c r="K8122" s="43">
        <f>IF($I8122=0,0,IF(INDEX(DarlOhneTilgung,17)=1,0,IF(AND(INDEX(DarlTilgStart,17)&gt;0,$E8122=INDEX(DarlTilgStart,17)),$J8122*($H8122+INDEX(DarlTilgung,17))/100/12,IF(AND($G8122=0,$G8121=1),MAX($K8121,$J8122*($H8122+1)/100/12),$K8121))))</f>
      </c>
      <c r="L8122" s="43">
        <f>IF($I8122=0,0,$J8122*$H8122/100/12)</f>
      </c>
      <c r="M8122" s="43">
        <f>IF($I8122=0,0,IF(OR(INDEX(DarlOhneTilgung,17)=1,AND(INDEX(DarlTilgStart,17)&gt;0,$E8122&lt;INDEX(DarlTilgStart,17))),0,MIN(MAX(0,$K8122-$L8122),$J8122)))</f>
      </c>
      <c r="N8122" s="43">
        <f>IF($I8122=0,0,MIN(SUMIFS(SondBetrag,SondDarl,17,SondDatum,"&gt;="&amp;$E8122,SondDatum,"&lt;="&amp;EOMONTH($E8122,0)),$J8122-$M8122))</f>
      </c>
      <c r="O8122" s="43">
        <f>IF($I8122=0,0,INDEX(DarlErsatzRate,17))</f>
      </c>
      <c r="P8122" s="43">
        <f>IF($I8122=0,0,$Q8121*INDEX(DarlErsatzZins,17))</f>
      </c>
      <c r="Q8122" s="43">
        <f>IF($I8122=0,0,$Q8121+$P8122+$O8122)</f>
      </c>
      <c r="R8122" s="43">
        <f>IF($I8122=0,0,$J8122-$M8122-$N8122)</f>
      </c>
    </row>
    <row r="8123">
      <c r="A8123"/>
      <c r="B8123">
        <v>17</v>
      </c>
      <c r="C8123" s="43">
        <f>INDEX(DarlObj,17)</f>
      </c>
      <c r="D8123">
        <v>440</v>
      </c>
      <c r="E8123" s="51">
        <f>IF(INDEX(DarlBelegt,17)=0,0,EOMONTH(INDEX(DarlAuszahlung,17),439)+1)</f>
      </c>
      <c r="F8123" s="43">
        <f>IF($E8123=0,0,YEAR($E8123))</f>
      </c>
      <c r="G8123" s="43">
        <f>IF(INDEX(DarlBindung,17)="",1,IF($E8123&lt;=INDEX(DarlBindung,17),1,0))</f>
      </c>
      <c r="H8123" s="43">
        <f>IF($G8123=1,INDEX(DarlSollzins,17),INDEX(DarlAnschluss,17))</f>
      </c>
      <c r="I8123" s="43">
        <f>IF(INDEX(DarlBelegt,17)=0,0,IF(INDEX(DarlOhneTilgung,17)=1,IF(INDEX(DarlBindung,17)="",1,$G8123),IF($J8123&gt;0.005,1,0)))</f>
      </c>
      <c r="J8123" s="43">
        <f>IF($I8122=0,0,$R8122)</f>
      </c>
      <c r="K8123" s="43">
        <f>IF($I8123=0,0,IF(INDEX(DarlOhneTilgung,17)=1,0,IF(AND(INDEX(DarlTilgStart,17)&gt;0,$E8123=INDEX(DarlTilgStart,17)),$J8123*($H8123+INDEX(DarlTilgung,17))/100/12,IF(AND($G8123=0,$G8122=1),MAX($K8122,$J8123*($H8123+1)/100/12),$K8122))))</f>
      </c>
      <c r="L8123" s="43">
        <f>IF($I8123=0,0,$J8123*$H8123/100/12)</f>
      </c>
      <c r="M8123" s="43">
        <f>IF($I8123=0,0,IF(OR(INDEX(DarlOhneTilgung,17)=1,AND(INDEX(DarlTilgStart,17)&gt;0,$E8123&lt;INDEX(DarlTilgStart,17))),0,MIN(MAX(0,$K8123-$L8123),$J8123)))</f>
      </c>
      <c r="N8123" s="43">
        <f>IF($I8123=0,0,MIN(SUMIFS(SondBetrag,SondDarl,17,SondDatum,"&gt;="&amp;$E8123,SondDatum,"&lt;="&amp;EOMONTH($E8123,0)),$J8123-$M8123))</f>
      </c>
      <c r="O8123" s="43">
        <f>IF($I8123=0,0,INDEX(DarlErsatzRate,17))</f>
      </c>
      <c r="P8123" s="43">
        <f>IF($I8123=0,0,$Q8122*INDEX(DarlErsatzZins,17))</f>
      </c>
      <c r="Q8123" s="43">
        <f>IF($I8123=0,0,$Q8122+$P8123+$O8123)</f>
      </c>
      <c r="R8123" s="43">
        <f>IF($I8123=0,0,$J8123-$M8123-$N8123)</f>
      </c>
    </row>
    <row r="8124">
      <c r="A8124"/>
      <c r="B8124">
        <v>17</v>
      </c>
      <c r="C8124" s="43">
        <f>INDEX(DarlObj,17)</f>
      </c>
      <c r="D8124">
        <v>441</v>
      </c>
      <c r="E8124" s="51">
        <f>IF(INDEX(DarlBelegt,17)=0,0,EOMONTH(INDEX(DarlAuszahlung,17),440)+1)</f>
      </c>
      <c r="F8124" s="43">
        <f>IF($E8124=0,0,YEAR($E8124))</f>
      </c>
      <c r="G8124" s="43">
        <f>IF(INDEX(DarlBindung,17)="",1,IF($E8124&lt;=INDEX(DarlBindung,17),1,0))</f>
      </c>
      <c r="H8124" s="43">
        <f>IF($G8124=1,INDEX(DarlSollzins,17),INDEX(DarlAnschluss,17))</f>
      </c>
      <c r="I8124" s="43">
        <f>IF(INDEX(DarlBelegt,17)=0,0,IF(INDEX(DarlOhneTilgung,17)=1,IF(INDEX(DarlBindung,17)="",1,$G8124),IF($J8124&gt;0.005,1,0)))</f>
      </c>
      <c r="J8124" s="43">
        <f>IF($I8123=0,0,$R8123)</f>
      </c>
      <c r="K8124" s="43">
        <f>IF($I8124=0,0,IF(INDEX(DarlOhneTilgung,17)=1,0,IF(AND(INDEX(DarlTilgStart,17)&gt;0,$E8124=INDEX(DarlTilgStart,17)),$J8124*($H8124+INDEX(DarlTilgung,17))/100/12,IF(AND($G8124=0,$G8123=1),MAX($K8123,$J8124*($H8124+1)/100/12),$K8123))))</f>
      </c>
      <c r="L8124" s="43">
        <f>IF($I8124=0,0,$J8124*$H8124/100/12)</f>
      </c>
      <c r="M8124" s="43">
        <f>IF($I8124=0,0,IF(OR(INDEX(DarlOhneTilgung,17)=1,AND(INDEX(DarlTilgStart,17)&gt;0,$E8124&lt;INDEX(DarlTilgStart,17))),0,MIN(MAX(0,$K8124-$L8124),$J8124)))</f>
      </c>
      <c r="N8124" s="43">
        <f>IF($I8124=0,0,MIN(SUMIFS(SondBetrag,SondDarl,17,SondDatum,"&gt;="&amp;$E8124,SondDatum,"&lt;="&amp;EOMONTH($E8124,0)),$J8124-$M8124))</f>
      </c>
      <c r="O8124" s="43">
        <f>IF($I8124=0,0,INDEX(DarlErsatzRate,17))</f>
      </c>
      <c r="P8124" s="43">
        <f>IF($I8124=0,0,$Q8123*INDEX(DarlErsatzZins,17))</f>
      </c>
      <c r="Q8124" s="43">
        <f>IF($I8124=0,0,$Q8123+$P8124+$O8124)</f>
      </c>
      <c r="R8124" s="43">
        <f>IF($I8124=0,0,$J8124-$M8124-$N8124)</f>
      </c>
    </row>
    <row r="8125">
      <c r="A8125"/>
      <c r="B8125">
        <v>17</v>
      </c>
      <c r="C8125" s="43">
        <f>INDEX(DarlObj,17)</f>
      </c>
      <c r="D8125">
        <v>442</v>
      </c>
      <c r="E8125" s="51">
        <f>IF(INDEX(DarlBelegt,17)=0,0,EOMONTH(INDEX(DarlAuszahlung,17),441)+1)</f>
      </c>
      <c r="F8125" s="43">
        <f>IF($E8125=0,0,YEAR($E8125))</f>
      </c>
      <c r="G8125" s="43">
        <f>IF(INDEX(DarlBindung,17)="",1,IF($E8125&lt;=INDEX(DarlBindung,17),1,0))</f>
      </c>
      <c r="H8125" s="43">
        <f>IF($G8125=1,INDEX(DarlSollzins,17),INDEX(DarlAnschluss,17))</f>
      </c>
      <c r="I8125" s="43">
        <f>IF(INDEX(DarlBelegt,17)=0,0,IF(INDEX(DarlOhneTilgung,17)=1,IF(INDEX(DarlBindung,17)="",1,$G8125),IF($J8125&gt;0.005,1,0)))</f>
      </c>
      <c r="J8125" s="43">
        <f>IF($I8124=0,0,$R8124)</f>
      </c>
      <c r="K8125" s="43">
        <f>IF($I8125=0,0,IF(INDEX(DarlOhneTilgung,17)=1,0,IF(AND(INDEX(DarlTilgStart,17)&gt;0,$E8125=INDEX(DarlTilgStart,17)),$J8125*($H8125+INDEX(DarlTilgung,17))/100/12,IF(AND($G8125=0,$G8124=1),MAX($K8124,$J8125*($H8125+1)/100/12),$K8124))))</f>
      </c>
      <c r="L8125" s="43">
        <f>IF($I8125=0,0,$J8125*$H8125/100/12)</f>
      </c>
      <c r="M8125" s="43">
        <f>IF($I8125=0,0,IF(OR(INDEX(DarlOhneTilgung,17)=1,AND(INDEX(DarlTilgStart,17)&gt;0,$E8125&lt;INDEX(DarlTilgStart,17))),0,MIN(MAX(0,$K8125-$L8125),$J8125)))</f>
      </c>
      <c r="N8125" s="43">
        <f>IF($I8125=0,0,MIN(SUMIFS(SondBetrag,SondDarl,17,SondDatum,"&gt;="&amp;$E8125,SondDatum,"&lt;="&amp;EOMONTH($E8125,0)),$J8125-$M8125))</f>
      </c>
      <c r="O8125" s="43">
        <f>IF($I8125=0,0,INDEX(DarlErsatzRate,17))</f>
      </c>
      <c r="P8125" s="43">
        <f>IF($I8125=0,0,$Q8124*INDEX(DarlErsatzZins,17))</f>
      </c>
      <c r="Q8125" s="43">
        <f>IF($I8125=0,0,$Q8124+$P8125+$O8125)</f>
      </c>
      <c r="R8125" s="43">
        <f>IF($I8125=0,0,$J8125-$M8125-$N8125)</f>
      </c>
    </row>
    <row r="8126">
      <c r="A8126"/>
      <c r="B8126">
        <v>17</v>
      </c>
      <c r="C8126" s="43">
        <f>INDEX(DarlObj,17)</f>
      </c>
      <c r="D8126">
        <v>443</v>
      </c>
      <c r="E8126" s="51">
        <f>IF(INDEX(DarlBelegt,17)=0,0,EOMONTH(INDEX(DarlAuszahlung,17),442)+1)</f>
      </c>
      <c r="F8126" s="43">
        <f>IF($E8126=0,0,YEAR($E8126))</f>
      </c>
      <c r="G8126" s="43">
        <f>IF(INDEX(DarlBindung,17)="",1,IF($E8126&lt;=INDEX(DarlBindung,17),1,0))</f>
      </c>
      <c r="H8126" s="43">
        <f>IF($G8126=1,INDEX(DarlSollzins,17),INDEX(DarlAnschluss,17))</f>
      </c>
      <c r="I8126" s="43">
        <f>IF(INDEX(DarlBelegt,17)=0,0,IF(INDEX(DarlOhneTilgung,17)=1,IF(INDEX(DarlBindung,17)="",1,$G8126),IF($J8126&gt;0.005,1,0)))</f>
      </c>
      <c r="J8126" s="43">
        <f>IF($I8125=0,0,$R8125)</f>
      </c>
      <c r="K8126" s="43">
        <f>IF($I8126=0,0,IF(INDEX(DarlOhneTilgung,17)=1,0,IF(AND(INDEX(DarlTilgStart,17)&gt;0,$E8126=INDEX(DarlTilgStart,17)),$J8126*($H8126+INDEX(DarlTilgung,17))/100/12,IF(AND($G8126=0,$G8125=1),MAX($K8125,$J8126*($H8126+1)/100/12),$K8125))))</f>
      </c>
      <c r="L8126" s="43">
        <f>IF($I8126=0,0,$J8126*$H8126/100/12)</f>
      </c>
      <c r="M8126" s="43">
        <f>IF($I8126=0,0,IF(OR(INDEX(DarlOhneTilgung,17)=1,AND(INDEX(DarlTilgStart,17)&gt;0,$E8126&lt;INDEX(DarlTilgStart,17))),0,MIN(MAX(0,$K8126-$L8126),$J8126)))</f>
      </c>
      <c r="N8126" s="43">
        <f>IF($I8126=0,0,MIN(SUMIFS(SondBetrag,SondDarl,17,SondDatum,"&gt;="&amp;$E8126,SondDatum,"&lt;="&amp;EOMONTH($E8126,0)),$J8126-$M8126))</f>
      </c>
      <c r="O8126" s="43">
        <f>IF($I8126=0,0,INDEX(DarlErsatzRate,17))</f>
      </c>
      <c r="P8126" s="43">
        <f>IF($I8126=0,0,$Q8125*INDEX(DarlErsatzZins,17))</f>
      </c>
      <c r="Q8126" s="43">
        <f>IF($I8126=0,0,$Q8125+$P8126+$O8126)</f>
      </c>
      <c r="R8126" s="43">
        <f>IF($I8126=0,0,$J8126-$M8126-$N8126)</f>
      </c>
    </row>
    <row r="8127">
      <c r="A8127"/>
      <c r="B8127">
        <v>17</v>
      </c>
      <c r="C8127" s="43">
        <f>INDEX(DarlObj,17)</f>
      </c>
      <c r="D8127">
        <v>444</v>
      </c>
      <c r="E8127" s="51">
        <f>IF(INDEX(DarlBelegt,17)=0,0,EOMONTH(INDEX(DarlAuszahlung,17),443)+1)</f>
      </c>
      <c r="F8127" s="43">
        <f>IF($E8127=0,0,YEAR($E8127))</f>
      </c>
      <c r="G8127" s="43">
        <f>IF(INDEX(DarlBindung,17)="",1,IF($E8127&lt;=INDEX(DarlBindung,17),1,0))</f>
      </c>
      <c r="H8127" s="43">
        <f>IF($G8127=1,INDEX(DarlSollzins,17),INDEX(DarlAnschluss,17))</f>
      </c>
      <c r="I8127" s="43">
        <f>IF(INDEX(DarlBelegt,17)=0,0,IF(INDEX(DarlOhneTilgung,17)=1,IF(INDEX(DarlBindung,17)="",1,$G8127),IF($J8127&gt;0.005,1,0)))</f>
      </c>
      <c r="J8127" s="43">
        <f>IF($I8126=0,0,$R8126)</f>
      </c>
      <c r="K8127" s="43">
        <f>IF($I8127=0,0,IF(INDEX(DarlOhneTilgung,17)=1,0,IF(AND(INDEX(DarlTilgStart,17)&gt;0,$E8127=INDEX(DarlTilgStart,17)),$J8127*($H8127+INDEX(DarlTilgung,17))/100/12,IF(AND($G8127=0,$G8126=1),MAX($K8126,$J8127*($H8127+1)/100/12),$K8126))))</f>
      </c>
      <c r="L8127" s="43">
        <f>IF($I8127=0,0,$J8127*$H8127/100/12)</f>
      </c>
      <c r="M8127" s="43">
        <f>IF($I8127=0,0,IF(OR(INDEX(DarlOhneTilgung,17)=1,AND(INDEX(DarlTilgStart,17)&gt;0,$E8127&lt;INDEX(DarlTilgStart,17))),0,MIN(MAX(0,$K8127-$L8127),$J8127)))</f>
      </c>
      <c r="N8127" s="43">
        <f>IF($I8127=0,0,MIN(SUMIFS(SondBetrag,SondDarl,17,SondDatum,"&gt;="&amp;$E8127,SondDatum,"&lt;="&amp;EOMONTH($E8127,0)),$J8127-$M8127))</f>
      </c>
      <c r="O8127" s="43">
        <f>IF($I8127=0,0,INDEX(DarlErsatzRate,17))</f>
      </c>
      <c r="P8127" s="43">
        <f>IF($I8127=0,0,$Q8126*INDEX(DarlErsatzZins,17))</f>
      </c>
      <c r="Q8127" s="43">
        <f>IF($I8127=0,0,$Q8126+$P8127+$O8127)</f>
      </c>
      <c r="R8127" s="43">
        <f>IF($I8127=0,0,$J8127-$M8127-$N8127)</f>
      </c>
    </row>
    <row r="8128">
      <c r="A8128"/>
      <c r="B8128">
        <v>17</v>
      </c>
      <c r="C8128" s="43">
        <f>INDEX(DarlObj,17)</f>
      </c>
      <c r="D8128">
        <v>445</v>
      </c>
      <c r="E8128" s="51">
        <f>IF(INDEX(DarlBelegt,17)=0,0,EOMONTH(INDEX(DarlAuszahlung,17),444)+1)</f>
      </c>
      <c r="F8128" s="43">
        <f>IF($E8128=0,0,YEAR($E8128))</f>
      </c>
      <c r="G8128" s="43">
        <f>IF(INDEX(DarlBindung,17)="",1,IF($E8128&lt;=INDEX(DarlBindung,17),1,0))</f>
      </c>
      <c r="H8128" s="43">
        <f>IF($G8128=1,INDEX(DarlSollzins,17),INDEX(DarlAnschluss,17))</f>
      </c>
      <c r="I8128" s="43">
        <f>IF(INDEX(DarlBelegt,17)=0,0,IF(INDEX(DarlOhneTilgung,17)=1,IF(INDEX(DarlBindung,17)="",1,$G8128),IF($J8128&gt;0.005,1,0)))</f>
      </c>
      <c r="J8128" s="43">
        <f>IF($I8127=0,0,$R8127)</f>
      </c>
      <c r="K8128" s="43">
        <f>IF($I8128=0,0,IF(INDEX(DarlOhneTilgung,17)=1,0,IF(AND(INDEX(DarlTilgStart,17)&gt;0,$E8128=INDEX(DarlTilgStart,17)),$J8128*($H8128+INDEX(DarlTilgung,17))/100/12,IF(AND($G8128=0,$G8127=1),MAX($K8127,$J8128*($H8128+1)/100/12),$K8127))))</f>
      </c>
      <c r="L8128" s="43">
        <f>IF($I8128=0,0,$J8128*$H8128/100/12)</f>
      </c>
      <c r="M8128" s="43">
        <f>IF($I8128=0,0,IF(OR(INDEX(DarlOhneTilgung,17)=1,AND(INDEX(DarlTilgStart,17)&gt;0,$E8128&lt;INDEX(DarlTilgStart,17))),0,MIN(MAX(0,$K8128-$L8128),$J8128)))</f>
      </c>
      <c r="N8128" s="43">
        <f>IF($I8128=0,0,MIN(SUMIFS(SondBetrag,SondDarl,17,SondDatum,"&gt;="&amp;$E8128,SondDatum,"&lt;="&amp;EOMONTH($E8128,0)),$J8128-$M8128))</f>
      </c>
      <c r="O8128" s="43">
        <f>IF($I8128=0,0,INDEX(DarlErsatzRate,17))</f>
      </c>
      <c r="P8128" s="43">
        <f>IF($I8128=0,0,$Q8127*INDEX(DarlErsatzZins,17))</f>
      </c>
      <c r="Q8128" s="43">
        <f>IF($I8128=0,0,$Q8127+$P8128+$O8128)</f>
      </c>
      <c r="R8128" s="43">
        <f>IF($I8128=0,0,$J8128-$M8128-$N8128)</f>
      </c>
    </row>
    <row r="8129">
      <c r="A8129"/>
      <c r="B8129">
        <v>17</v>
      </c>
      <c r="C8129" s="43">
        <f>INDEX(DarlObj,17)</f>
      </c>
      <c r="D8129">
        <v>446</v>
      </c>
      <c r="E8129" s="51">
        <f>IF(INDEX(DarlBelegt,17)=0,0,EOMONTH(INDEX(DarlAuszahlung,17),445)+1)</f>
      </c>
      <c r="F8129" s="43">
        <f>IF($E8129=0,0,YEAR($E8129))</f>
      </c>
      <c r="G8129" s="43">
        <f>IF(INDEX(DarlBindung,17)="",1,IF($E8129&lt;=INDEX(DarlBindung,17),1,0))</f>
      </c>
      <c r="H8129" s="43">
        <f>IF($G8129=1,INDEX(DarlSollzins,17),INDEX(DarlAnschluss,17))</f>
      </c>
      <c r="I8129" s="43">
        <f>IF(INDEX(DarlBelegt,17)=0,0,IF(INDEX(DarlOhneTilgung,17)=1,IF(INDEX(DarlBindung,17)="",1,$G8129),IF($J8129&gt;0.005,1,0)))</f>
      </c>
      <c r="J8129" s="43">
        <f>IF($I8128=0,0,$R8128)</f>
      </c>
      <c r="K8129" s="43">
        <f>IF($I8129=0,0,IF(INDEX(DarlOhneTilgung,17)=1,0,IF(AND(INDEX(DarlTilgStart,17)&gt;0,$E8129=INDEX(DarlTilgStart,17)),$J8129*($H8129+INDEX(DarlTilgung,17))/100/12,IF(AND($G8129=0,$G8128=1),MAX($K8128,$J8129*($H8129+1)/100/12),$K8128))))</f>
      </c>
      <c r="L8129" s="43">
        <f>IF($I8129=0,0,$J8129*$H8129/100/12)</f>
      </c>
      <c r="M8129" s="43">
        <f>IF($I8129=0,0,IF(OR(INDEX(DarlOhneTilgung,17)=1,AND(INDEX(DarlTilgStart,17)&gt;0,$E8129&lt;INDEX(DarlTilgStart,17))),0,MIN(MAX(0,$K8129-$L8129),$J8129)))</f>
      </c>
      <c r="N8129" s="43">
        <f>IF($I8129=0,0,MIN(SUMIFS(SondBetrag,SondDarl,17,SondDatum,"&gt;="&amp;$E8129,SondDatum,"&lt;="&amp;EOMONTH($E8129,0)),$J8129-$M8129))</f>
      </c>
      <c r="O8129" s="43">
        <f>IF($I8129=0,0,INDEX(DarlErsatzRate,17))</f>
      </c>
      <c r="P8129" s="43">
        <f>IF($I8129=0,0,$Q8128*INDEX(DarlErsatzZins,17))</f>
      </c>
      <c r="Q8129" s="43">
        <f>IF($I8129=0,0,$Q8128+$P8129+$O8129)</f>
      </c>
      <c r="R8129" s="43">
        <f>IF($I8129=0,0,$J8129-$M8129-$N8129)</f>
      </c>
    </row>
    <row r="8130">
      <c r="A8130"/>
      <c r="B8130">
        <v>17</v>
      </c>
      <c r="C8130" s="43">
        <f>INDEX(DarlObj,17)</f>
      </c>
      <c r="D8130">
        <v>447</v>
      </c>
      <c r="E8130" s="51">
        <f>IF(INDEX(DarlBelegt,17)=0,0,EOMONTH(INDEX(DarlAuszahlung,17),446)+1)</f>
      </c>
      <c r="F8130" s="43">
        <f>IF($E8130=0,0,YEAR($E8130))</f>
      </c>
      <c r="G8130" s="43">
        <f>IF(INDEX(DarlBindung,17)="",1,IF($E8130&lt;=INDEX(DarlBindung,17),1,0))</f>
      </c>
      <c r="H8130" s="43">
        <f>IF($G8130=1,INDEX(DarlSollzins,17),INDEX(DarlAnschluss,17))</f>
      </c>
      <c r="I8130" s="43">
        <f>IF(INDEX(DarlBelegt,17)=0,0,IF(INDEX(DarlOhneTilgung,17)=1,IF(INDEX(DarlBindung,17)="",1,$G8130),IF($J8130&gt;0.005,1,0)))</f>
      </c>
      <c r="J8130" s="43">
        <f>IF($I8129=0,0,$R8129)</f>
      </c>
      <c r="K8130" s="43">
        <f>IF($I8130=0,0,IF(INDEX(DarlOhneTilgung,17)=1,0,IF(AND(INDEX(DarlTilgStart,17)&gt;0,$E8130=INDEX(DarlTilgStart,17)),$J8130*($H8130+INDEX(DarlTilgung,17))/100/12,IF(AND($G8130=0,$G8129=1),MAX($K8129,$J8130*($H8130+1)/100/12),$K8129))))</f>
      </c>
      <c r="L8130" s="43">
        <f>IF($I8130=0,0,$J8130*$H8130/100/12)</f>
      </c>
      <c r="M8130" s="43">
        <f>IF($I8130=0,0,IF(OR(INDEX(DarlOhneTilgung,17)=1,AND(INDEX(DarlTilgStart,17)&gt;0,$E8130&lt;INDEX(DarlTilgStart,17))),0,MIN(MAX(0,$K8130-$L8130),$J8130)))</f>
      </c>
      <c r="N8130" s="43">
        <f>IF($I8130=0,0,MIN(SUMIFS(SondBetrag,SondDarl,17,SondDatum,"&gt;="&amp;$E8130,SondDatum,"&lt;="&amp;EOMONTH($E8130,0)),$J8130-$M8130))</f>
      </c>
      <c r="O8130" s="43">
        <f>IF($I8130=0,0,INDEX(DarlErsatzRate,17))</f>
      </c>
      <c r="P8130" s="43">
        <f>IF($I8130=0,0,$Q8129*INDEX(DarlErsatzZins,17))</f>
      </c>
      <c r="Q8130" s="43">
        <f>IF($I8130=0,0,$Q8129+$P8130+$O8130)</f>
      </c>
      <c r="R8130" s="43">
        <f>IF($I8130=0,0,$J8130-$M8130-$N8130)</f>
      </c>
    </row>
    <row r="8131">
      <c r="A8131"/>
      <c r="B8131">
        <v>17</v>
      </c>
      <c r="C8131" s="43">
        <f>INDEX(DarlObj,17)</f>
      </c>
      <c r="D8131">
        <v>448</v>
      </c>
      <c r="E8131" s="51">
        <f>IF(INDEX(DarlBelegt,17)=0,0,EOMONTH(INDEX(DarlAuszahlung,17),447)+1)</f>
      </c>
      <c r="F8131" s="43">
        <f>IF($E8131=0,0,YEAR($E8131))</f>
      </c>
      <c r="G8131" s="43">
        <f>IF(INDEX(DarlBindung,17)="",1,IF($E8131&lt;=INDEX(DarlBindung,17),1,0))</f>
      </c>
      <c r="H8131" s="43">
        <f>IF($G8131=1,INDEX(DarlSollzins,17),INDEX(DarlAnschluss,17))</f>
      </c>
      <c r="I8131" s="43">
        <f>IF(INDEX(DarlBelegt,17)=0,0,IF(INDEX(DarlOhneTilgung,17)=1,IF(INDEX(DarlBindung,17)="",1,$G8131),IF($J8131&gt;0.005,1,0)))</f>
      </c>
      <c r="J8131" s="43">
        <f>IF($I8130=0,0,$R8130)</f>
      </c>
      <c r="K8131" s="43">
        <f>IF($I8131=0,0,IF(INDEX(DarlOhneTilgung,17)=1,0,IF(AND(INDEX(DarlTilgStart,17)&gt;0,$E8131=INDEX(DarlTilgStart,17)),$J8131*($H8131+INDEX(DarlTilgung,17))/100/12,IF(AND($G8131=0,$G8130=1),MAX($K8130,$J8131*($H8131+1)/100/12),$K8130))))</f>
      </c>
      <c r="L8131" s="43">
        <f>IF($I8131=0,0,$J8131*$H8131/100/12)</f>
      </c>
      <c r="M8131" s="43">
        <f>IF($I8131=0,0,IF(OR(INDEX(DarlOhneTilgung,17)=1,AND(INDEX(DarlTilgStart,17)&gt;0,$E8131&lt;INDEX(DarlTilgStart,17))),0,MIN(MAX(0,$K8131-$L8131),$J8131)))</f>
      </c>
      <c r="N8131" s="43">
        <f>IF($I8131=0,0,MIN(SUMIFS(SondBetrag,SondDarl,17,SondDatum,"&gt;="&amp;$E8131,SondDatum,"&lt;="&amp;EOMONTH($E8131,0)),$J8131-$M8131))</f>
      </c>
      <c r="O8131" s="43">
        <f>IF($I8131=0,0,INDEX(DarlErsatzRate,17))</f>
      </c>
      <c r="P8131" s="43">
        <f>IF($I8131=0,0,$Q8130*INDEX(DarlErsatzZins,17))</f>
      </c>
      <c r="Q8131" s="43">
        <f>IF($I8131=0,0,$Q8130+$P8131+$O8131)</f>
      </c>
      <c r="R8131" s="43">
        <f>IF($I8131=0,0,$J8131-$M8131-$N8131)</f>
      </c>
    </row>
    <row r="8132">
      <c r="A8132"/>
      <c r="B8132">
        <v>17</v>
      </c>
      <c r="C8132" s="43">
        <f>INDEX(DarlObj,17)</f>
      </c>
      <c r="D8132">
        <v>449</v>
      </c>
      <c r="E8132" s="51">
        <f>IF(INDEX(DarlBelegt,17)=0,0,EOMONTH(INDEX(DarlAuszahlung,17),448)+1)</f>
      </c>
      <c r="F8132" s="43">
        <f>IF($E8132=0,0,YEAR($E8132))</f>
      </c>
      <c r="G8132" s="43">
        <f>IF(INDEX(DarlBindung,17)="",1,IF($E8132&lt;=INDEX(DarlBindung,17),1,0))</f>
      </c>
      <c r="H8132" s="43">
        <f>IF($G8132=1,INDEX(DarlSollzins,17),INDEX(DarlAnschluss,17))</f>
      </c>
      <c r="I8132" s="43">
        <f>IF(INDEX(DarlBelegt,17)=0,0,IF(INDEX(DarlOhneTilgung,17)=1,IF(INDEX(DarlBindung,17)="",1,$G8132),IF($J8132&gt;0.005,1,0)))</f>
      </c>
      <c r="J8132" s="43">
        <f>IF($I8131=0,0,$R8131)</f>
      </c>
      <c r="K8132" s="43">
        <f>IF($I8132=0,0,IF(INDEX(DarlOhneTilgung,17)=1,0,IF(AND(INDEX(DarlTilgStart,17)&gt;0,$E8132=INDEX(DarlTilgStart,17)),$J8132*($H8132+INDEX(DarlTilgung,17))/100/12,IF(AND($G8132=0,$G8131=1),MAX($K8131,$J8132*($H8132+1)/100/12),$K8131))))</f>
      </c>
      <c r="L8132" s="43">
        <f>IF($I8132=0,0,$J8132*$H8132/100/12)</f>
      </c>
      <c r="M8132" s="43">
        <f>IF($I8132=0,0,IF(OR(INDEX(DarlOhneTilgung,17)=1,AND(INDEX(DarlTilgStart,17)&gt;0,$E8132&lt;INDEX(DarlTilgStart,17))),0,MIN(MAX(0,$K8132-$L8132),$J8132)))</f>
      </c>
      <c r="N8132" s="43">
        <f>IF($I8132=0,0,MIN(SUMIFS(SondBetrag,SondDarl,17,SondDatum,"&gt;="&amp;$E8132,SondDatum,"&lt;="&amp;EOMONTH($E8132,0)),$J8132-$M8132))</f>
      </c>
      <c r="O8132" s="43">
        <f>IF($I8132=0,0,INDEX(DarlErsatzRate,17))</f>
      </c>
      <c r="P8132" s="43">
        <f>IF($I8132=0,0,$Q8131*INDEX(DarlErsatzZins,17))</f>
      </c>
      <c r="Q8132" s="43">
        <f>IF($I8132=0,0,$Q8131+$P8132+$O8132)</f>
      </c>
      <c r="R8132" s="43">
        <f>IF($I8132=0,0,$J8132-$M8132-$N8132)</f>
      </c>
    </row>
    <row r="8133">
      <c r="A8133"/>
      <c r="B8133">
        <v>17</v>
      </c>
      <c r="C8133" s="43">
        <f>INDEX(DarlObj,17)</f>
      </c>
      <c r="D8133">
        <v>450</v>
      </c>
      <c r="E8133" s="51">
        <f>IF(INDEX(DarlBelegt,17)=0,0,EOMONTH(INDEX(DarlAuszahlung,17),449)+1)</f>
      </c>
      <c r="F8133" s="43">
        <f>IF($E8133=0,0,YEAR($E8133))</f>
      </c>
      <c r="G8133" s="43">
        <f>IF(INDEX(DarlBindung,17)="",1,IF($E8133&lt;=INDEX(DarlBindung,17),1,0))</f>
      </c>
      <c r="H8133" s="43">
        <f>IF($G8133=1,INDEX(DarlSollzins,17),INDEX(DarlAnschluss,17))</f>
      </c>
      <c r="I8133" s="43">
        <f>IF(INDEX(DarlBelegt,17)=0,0,IF(INDEX(DarlOhneTilgung,17)=1,IF(INDEX(DarlBindung,17)="",1,$G8133),IF($J8133&gt;0.005,1,0)))</f>
      </c>
      <c r="J8133" s="43">
        <f>IF($I8132=0,0,$R8132)</f>
      </c>
      <c r="K8133" s="43">
        <f>IF($I8133=0,0,IF(INDEX(DarlOhneTilgung,17)=1,0,IF(AND(INDEX(DarlTilgStart,17)&gt;0,$E8133=INDEX(DarlTilgStart,17)),$J8133*($H8133+INDEX(DarlTilgung,17))/100/12,IF(AND($G8133=0,$G8132=1),MAX($K8132,$J8133*($H8133+1)/100/12),$K8132))))</f>
      </c>
      <c r="L8133" s="43">
        <f>IF($I8133=0,0,$J8133*$H8133/100/12)</f>
      </c>
      <c r="M8133" s="43">
        <f>IF($I8133=0,0,IF(OR(INDEX(DarlOhneTilgung,17)=1,AND(INDEX(DarlTilgStart,17)&gt;0,$E8133&lt;INDEX(DarlTilgStart,17))),0,MIN(MAX(0,$K8133-$L8133),$J8133)))</f>
      </c>
      <c r="N8133" s="43">
        <f>IF($I8133=0,0,MIN(SUMIFS(SondBetrag,SondDarl,17,SondDatum,"&gt;="&amp;$E8133,SondDatum,"&lt;="&amp;EOMONTH($E8133,0)),$J8133-$M8133))</f>
      </c>
      <c r="O8133" s="43">
        <f>IF($I8133=0,0,INDEX(DarlErsatzRate,17))</f>
      </c>
      <c r="P8133" s="43">
        <f>IF($I8133=0,0,$Q8132*INDEX(DarlErsatzZins,17))</f>
      </c>
      <c r="Q8133" s="43">
        <f>IF($I8133=0,0,$Q8132+$P8133+$O8133)</f>
      </c>
      <c r="R8133" s="43">
        <f>IF($I8133=0,0,$J8133-$M8133-$N8133)</f>
      </c>
    </row>
    <row r="8134">
      <c r="A8134"/>
      <c r="B8134">
        <v>17</v>
      </c>
      <c r="C8134" s="43">
        <f>INDEX(DarlObj,17)</f>
      </c>
      <c r="D8134">
        <v>451</v>
      </c>
      <c r="E8134" s="51">
        <f>IF(INDEX(DarlBelegt,17)=0,0,EOMONTH(INDEX(DarlAuszahlung,17),450)+1)</f>
      </c>
      <c r="F8134" s="43">
        <f>IF($E8134=0,0,YEAR($E8134))</f>
      </c>
      <c r="G8134" s="43">
        <f>IF(INDEX(DarlBindung,17)="",1,IF($E8134&lt;=INDEX(DarlBindung,17),1,0))</f>
      </c>
      <c r="H8134" s="43">
        <f>IF($G8134=1,INDEX(DarlSollzins,17),INDEX(DarlAnschluss,17))</f>
      </c>
      <c r="I8134" s="43">
        <f>IF(INDEX(DarlBelegt,17)=0,0,IF(INDEX(DarlOhneTilgung,17)=1,IF(INDEX(DarlBindung,17)="",1,$G8134),IF($J8134&gt;0.005,1,0)))</f>
      </c>
      <c r="J8134" s="43">
        <f>IF($I8133=0,0,$R8133)</f>
      </c>
      <c r="K8134" s="43">
        <f>IF($I8134=0,0,IF(INDEX(DarlOhneTilgung,17)=1,0,IF(AND(INDEX(DarlTilgStart,17)&gt;0,$E8134=INDEX(DarlTilgStart,17)),$J8134*($H8134+INDEX(DarlTilgung,17))/100/12,IF(AND($G8134=0,$G8133=1),MAX($K8133,$J8134*($H8134+1)/100/12),$K8133))))</f>
      </c>
      <c r="L8134" s="43">
        <f>IF($I8134=0,0,$J8134*$H8134/100/12)</f>
      </c>
      <c r="M8134" s="43">
        <f>IF($I8134=0,0,IF(OR(INDEX(DarlOhneTilgung,17)=1,AND(INDEX(DarlTilgStart,17)&gt;0,$E8134&lt;INDEX(DarlTilgStart,17))),0,MIN(MAX(0,$K8134-$L8134),$J8134)))</f>
      </c>
      <c r="N8134" s="43">
        <f>IF($I8134=0,0,MIN(SUMIFS(SondBetrag,SondDarl,17,SondDatum,"&gt;="&amp;$E8134,SondDatum,"&lt;="&amp;EOMONTH($E8134,0)),$J8134-$M8134))</f>
      </c>
      <c r="O8134" s="43">
        <f>IF($I8134=0,0,INDEX(DarlErsatzRate,17))</f>
      </c>
      <c r="P8134" s="43">
        <f>IF($I8134=0,0,$Q8133*INDEX(DarlErsatzZins,17))</f>
      </c>
      <c r="Q8134" s="43">
        <f>IF($I8134=0,0,$Q8133+$P8134+$O8134)</f>
      </c>
      <c r="R8134" s="43">
        <f>IF($I8134=0,0,$J8134-$M8134-$N8134)</f>
      </c>
    </row>
    <row r="8135">
      <c r="A8135"/>
      <c r="B8135">
        <v>17</v>
      </c>
      <c r="C8135" s="43">
        <f>INDEX(DarlObj,17)</f>
      </c>
      <c r="D8135">
        <v>452</v>
      </c>
      <c r="E8135" s="51">
        <f>IF(INDEX(DarlBelegt,17)=0,0,EOMONTH(INDEX(DarlAuszahlung,17),451)+1)</f>
      </c>
      <c r="F8135" s="43">
        <f>IF($E8135=0,0,YEAR($E8135))</f>
      </c>
      <c r="G8135" s="43">
        <f>IF(INDEX(DarlBindung,17)="",1,IF($E8135&lt;=INDEX(DarlBindung,17),1,0))</f>
      </c>
      <c r="H8135" s="43">
        <f>IF($G8135=1,INDEX(DarlSollzins,17),INDEX(DarlAnschluss,17))</f>
      </c>
      <c r="I8135" s="43">
        <f>IF(INDEX(DarlBelegt,17)=0,0,IF(INDEX(DarlOhneTilgung,17)=1,IF(INDEX(DarlBindung,17)="",1,$G8135),IF($J8135&gt;0.005,1,0)))</f>
      </c>
      <c r="J8135" s="43">
        <f>IF($I8134=0,0,$R8134)</f>
      </c>
      <c r="K8135" s="43">
        <f>IF($I8135=0,0,IF(INDEX(DarlOhneTilgung,17)=1,0,IF(AND(INDEX(DarlTilgStart,17)&gt;0,$E8135=INDEX(DarlTilgStart,17)),$J8135*($H8135+INDEX(DarlTilgung,17))/100/12,IF(AND($G8135=0,$G8134=1),MAX($K8134,$J8135*($H8135+1)/100/12),$K8134))))</f>
      </c>
      <c r="L8135" s="43">
        <f>IF($I8135=0,0,$J8135*$H8135/100/12)</f>
      </c>
      <c r="M8135" s="43">
        <f>IF($I8135=0,0,IF(OR(INDEX(DarlOhneTilgung,17)=1,AND(INDEX(DarlTilgStart,17)&gt;0,$E8135&lt;INDEX(DarlTilgStart,17))),0,MIN(MAX(0,$K8135-$L8135),$J8135)))</f>
      </c>
      <c r="N8135" s="43">
        <f>IF($I8135=0,0,MIN(SUMIFS(SondBetrag,SondDarl,17,SondDatum,"&gt;="&amp;$E8135,SondDatum,"&lt;="&amp;EOMONTH($E8135,0)),$J8135-$M8135))</f>
      </c>
      <c r="O8135" s="43">
        <f>IF($I8135=0,0,INDEX(DarlErsatzRate,17))</f>
      </c>
      <c r="P8135" s="43">
        <f>IF($I8135=0,0,$Q8134*INDEX(DarlErsatzZins,17))</f>
      </c>
      <c r="Q8135" s="43">
        <f>IF($I8135=0,0,$Q8134+$P8135+$O8135)</f>
      </c>
      <c r="R8135" s="43">
        <f>IF($I8135=0,0,$J8135-$M8135-$N8135)</f>
      </c>
    </row>
    <row r="8136">
      <c r="A8136"/>
      <c r="B8136">
        <v>17</v>
      </c>
      <c r="C8136" s="43">
        <f>INDEX(DarlObj,17)</f>
      </c>
      <c r="D8136">
        <v>453</v>
      </c>
      <c r="E8136" s="51">
        <f>IF(INDEX(DarlBelegt,17)=0,0,EOMONTH(INDEX(DarlAuszahlung,17),452)+1)</f>
      </c>
      <c r="F8136" s="43">
        <f>IF($E8136=0,0,YEAR($E8136))</f>
      </c>
      <c r="G8136" s="43">
        <f>IF(INDEX(DarlBindung,17)="",1,IF($E8136&lt;=INDEX(DarlBindung,17),1,0))</f>
      </c>
      <c r="H8136" s="43">
        <f>IF($G8136=1,INDEX(DarlSollzins,17),INDEX(DarlAnschluss,17))</f>
      </c>
      <c r="I8136" s="43">
        <f>IF(INDEX(DarlBelegt,17)=0,0,IF(INDEX(DarlOhneTilgung,17)=1,IF(INDEX(DarlBindung,17)="",1,$G8136),IF($J8136&gt;0.005,1,0)))</f>
      </c>
      <c r="J8136" s="43">
        <f>IF($I8135=0,0,$R8135)</f>
      </c>
      <c r="K8136" s="43">
        <f>IF($I8136=0,0,IF(INDEX(DarlOhneTilgung,17)=1,0,IF(AND(INDEX(DarlTilgStart,17)&gt;0,$E8136=INDEX(DarlTilgStart,17)),$J8136*($H8136+INDEX(DarlTilgung,17))/100/12,IF(AND($G8136=0,$G8135=1),MAX($K8135,$J8136*($H8136+1)/100/12),$K8135))))</f>
      </c>
      <c r="L8136" s="43">
        <f>IF($I8136=0,0,$J8136*$H8136/100/12)</f>
      </c>
      <c r="M8136" s="43">
        <f>IF($I8136=0,0,IF(OR(INDEX(DarlOhneTilgung,17)=1,AND(INDEX(DarlTilgStart,17)&gt;0,$E8136&lt;INDEX(DarlTilgStart,17))),0,MIN(MAX(0,$K8136-$L8136),$J8136)))</f>
      </c>
      <c r="N8136" s="43">
        <f>IF($I8136=0,0,MIN(SUMIFS(SondBetrag,SondDarl,17,SondDatum,"&gt;="&amp;$E8136,SondDatum,"&lt;="&amp;EOMONTH($E8136,0)),$J8136-$M8136))</f>
      </c>
      <c r="O8136" s="43">
        <f>IF($I8136=0,0,INDEX(DarlErsatzRate,17))</f>
      </c>
      <c r="P8136" s="43">
        <f>IF($I8136=0,0,$Q8135*INDEX(DarlErsatzZins,17))</f>
      </c>
      <c r="Q8136" s="43">
        <f>IF($I8136=0,0,$Q8135+$P8136+$O8136)</f>
      </c>
      <c r="R8136" s="43">
        <f>IF($I8136=0,0,$J8136-$M8136-$N8136)</f>
      </c>
    </row>
    <row r="8137">
      <c r="A8137"/>
      <c r="B8137">
        <v>17</v>
      </c>
      <c r="C8137" s="43">
        <f>INDEX(DarlObj,17)</f>
      </c>
      <c r="D8137">
        <v>454</v>
      </c>
      <c r="E8137" s="51">
        <f>IF(INDEX(DarlBelegt,17)=0,0,EOMONTH(INDEX(DarlAuszahlung,17),453)+1)</f>
      </c>
      <c r="F8137" s="43">
        <f>IF($E8137=0,0,YEAR($E8137))</f>
      </c>
      <c r="G8137" s="43">
        <f>IF(INDEX(DarlBindung,17)="",1,IF($E8137&lt;=INDEX(DarlBindung,17),1,0))</f>
      </c>
      <c r="H8137" s="43">
        <f>IF($G8137=1,INDEX(DarlSollzins,17),INDEX(DarlAnschluss,17))</f>
      </c>
      <c r="I8137" s="43">
        <f>IF(INDEX(DarlBelegt,17)=0,0,IF(INDEX(DarlOhneTilgung,17)=1,IF(INDEX(DarlBindung,17)="",1,$G8137),IF($J8137&gt;0.005,1,0)))</f>
      </c>
      <c r="J8137" s="43">
        <f>IF($I8136=0,0,$R8136)</f>
      </c>
      <c r="K8137" s="43">
        <f>IF($I8137=0,0,IF(INDEX(DarlOhneTilgung,17)=1,0,IF(AND(INDEX(DarlTilgStart,17)&gt;0,$E8137=INDEX(DarlTilgStart,17)),$J8137*($H8137+INDEX(DarlTilgung,17))/100/12,IF(AND($G8137=0,$G8136=1),MAX($K8136,$J8137*($H8137+1)/100/12),$K8136))))</f>
      </c>
      <c r="L8137" s="43">
        <f>IF($I8137=0,0,$J8137*$H8137/100/12)</f>
      </c>
      <c r="M8137" s="43">
        <f>IF($I8137=0,0,IF(OR(INDEX(DarlOhneTilgung,17)=1,AND(INDEX(DarlTilgStart,17)&gt;0,$E8137&lt;INDEX(DarlTilgStart,17))),0,MIN(MAX(0,$K8137-$L8137),$J8137)))</f>
      </c>
      <c r="N8137" s="43">
        <f>IF($I8137=0,0,MIN(SUMIFS(SondBetrag,SondDarl,17,SondDatum,"&gt;="&amp;$E8137,SondDatum,"&lt;="&amp;EOMONTH($E8137,0)),$J8137-$M8137))</f>
      </c>
      <c r="O8137" s="43">
        <f>IF($I8137=0,0,INDEX(DarlErsatzRate,17))</f>
      </c>
      <c r="P8137" s="43">
        <f>IF($I8137=0,0,$Q8136*INDEX(DarlErsatzZins,17))</f>
      </c>
      <c r="Q8137" s="43">
        <f>IF($I8137=0,0,$Q8136+$P8137+$O8137)</f>
      </c>
      <c r="R8137" s="43">
        <f>IF($I8137=0,0,$J8137-$M8137-$N8137)</f>
      </c>
    </row>
    <row r="8138">
      <c r="A8138"/>
      <c r="B8138">
        <v>17</v>
      </c>
      <c r="C8138" s="43">
        <f>INDEX(DarlObj,17)</f>
      </c>
      <c r="D8138">
        <v>455</v>
      </c>
      <c r="E8138" s="51">
        <f>IF(INDEX(DarlBelegt,17)=0,0,EOMONTH(INDEX(DarlAuszahlung,17),454)+1)</f>
      </c>
      <c r="F8138" s="43">
        <f>IF($E8138=0,0,YEAR($E8138))</f>
      </c>
      <c r="G8138" s="43">
        <f>IF(INDEX(DarlBindung,17)="",1,IF($E8138&lt;=INDEX(DarlBindung,17),1,0))</f>
      </c>
      <c r="H8138" s="43">
        <f>IF($G8138=1,INDEX(DarlSollzins,17),INDEX(DarlAnschluss,17))</f>
      </c>
      <c r="I8138" s="43">
        <f>IF(INDEX(DarlBelegt,17)=0,0,IF(INDEX(DarlOhneTilgung,17)=1,IF(INDEX(DarlBindung,17)="",1,$G8138),IF($J8138&gt;0.005,1,0)))</f>
      </c>
      <c r="J8138" s="43">
        <f>IF($I8137=0,0,$R8137)</f>
      </c>
      <c r="K8138" s="43">
        <f>IF($I8138=0,0,IF(INDEX(DarlOhneTilgung,17)=1,0,IF(AND(INDEX(DarlTilgStart,17)&gt;0,$E8138=INDEX(DarlTilgStart,17)),$J8138*($H8138+INDEX(DarlTilgung,17))/100/12,IF(AND($G8138=0,$G8137=1),MAX($K8137,$J8138*($H8138+1)/100/12),$K8137))))</f>
      </c>
      <c r="L8138" s="43">
        <f>IF($I8138=0,0,$J8138*$H8138/100/12)</f>
      </c>
      <c r="M8138" s="43">
        <f>IF($I8138=0,0,IF(OR(INDEX(DarlOhneTilgung,17)=1,AND(INDEX(DarlTilgStart,17)&gt;0,$E8138&lt;INDEX(DarlTilgStart,17))),0,MIN(MAX(0,$K8138-$L8138),$J8138)))</f>
      </c>
      <c r="N8138" s="43">
        <f>IF($I8138=0,0,MIN(SUMIFS(SondBetrag,SondDarl,17,SondDatum,"&gt;="&amp;$E8138,SondDatum,"&lt;="&amp;EOMONTH($E8138,0)),$J8138-$M8138))</f>
      </c>
      <c r="O8138" s="43">
        <f>IF($I8138=0,0,INDEX(DarlErsatzRate,17))</f>
      </c>
      <c r="P8138" s="43">
        <f>IF($I8138=0,0,$Q8137*INDEX(DarlErsatzZins,17))</f>
      </c>
      <c r="Q8138" s="43">
        <f>IF($I8138=0,0,$Q8137+$P8138+$O8138)</f>
      </c>
      <c r="R8138" s="43">
        <f>IF($I8138=0,0,$J8138-$M8138-$N8138)</f>
      </c>
    </row>
    <row r="8139">
      <c r="A8139"/>
      <c r="B8139">
        <v>17</v>
      </c>
      <c r="C8139" s="43">
        <f>INDEX(DarlObj,17)</f>
      </c>
      <c r="D8139">
        <v>456</v>
      </c>
      <c r="E8139" s="51">
        <f>IF(INDEX(DarlBelegt,17)=0,0,EOMONTH(INDEX(DarlAuszahlung,17),455)+1)</f>
      </c>
      <c r="F8139" s="43">
        <f>IF($E8139=0,0,YEAR($E8139))</f>
      </c>
      <c r="G8139" s="43">
        <f>IF(INDEX(DarlBindung,17)="",1,IF($E8139&lt;=INDEX(DarlBindung,17),1,0))</f>
      </c>
      <c r="H8139" s="43">
        <f>IF($G8139=1,INDEX(DarlSollzins,17),INDEX(DarlAnschluss,17))</f>
      </c>
      <c r="I8139" s="43">
        <f>IF(INDEX(DarlBelegt,17)=0,0,IF(INDEX(DarlOhneTilgung,17)=1,IF(INDEX(DarlBindung,17)="",1,$G8139),IF($J8139&gt;0.005,1,0)))</f>
      </c>
      <c r="J8139" s="43">
        <f>IF($I8138=0,0,$R8138)</f>
      </c>
      <c r="K8139" s="43">
        <f>IF($I8139=0,0,IF(INDEX(DarlOhneTilgung,17)=1,0,IF(AND(INDEX(DarlTilgStart,17)&gt;0,$E8139=INDEX(DarlTilgStart,17)),$J8139*($H8139+INDEX(DarlTilgung,17))/100/12,IF(AND($G8139=0,$G8138=1),MAX($K8138,$J8139*($H8139+1)/100/12),$K8138))))</f>
      </c>
      <c r="L8139" s="43">
        <f>IF($I8139=0,0,$J8139*$H8139/100/12)</f>
      </c>
      <c r="M8139" s="43">
        <f>IF($I8139=0,0,IF(OR(INDEX(DarlOhneTilgung,17)=1,AND(INDEX(DarlTilgStart,17)&gt;0,$E8139&lt;INDEX(DarlTilgStart,17))),0,MIN(MAX(0,$K8139-$L8139),$J8139)))</f>
      </c>
      <c r="N8139" s="43">
        <f>IF($I8139=0,0,MIN(SUMIFS(SondBetrag,SondDarl,17,SondDatum,"&gt;="&amp;$E8139,SondDatum,"&lt;="&amp;EOMONTH($E8139,0)),$J8139-$M8139))</f>
      </c>
      <c r="O8139" s="43">
        <f>IF($I8139=0,0,INDEX(DarlErsatzRate,17))</f>
      </c>
      <c r="P8139" s="43">
        <f>IF($I8139=0,0,$Q8138*INDEX(DarlErsatzZins,17))</f>
      </c>
      <c r="Q8139" s="43">
        <f>IF($I8139=0,0,$Q8138+$P8139+$O8139)</f>
      </c>
      <c r="R8139" s="43">
        <f>IF($I8139=0,0,$J8139-$M8139-$N8139)</f>
      </c>
    </row>
    <row r="8140">
      <c r="A8140"/>
      <c r="B8140">
        <v>17</v>
      </c>
      <c r="C8140" s="43">
        <f>INDEX(DarlObj,17)</f>
      </c>
      <c r="D8140">
        <v>457</v>
      </c>
      <c r="E8140" s="51">
        <f>IF(INDEX(DarlBelegt,17)=0,0,EOMONTH(INDEX(DarlAuszahlung,17),456)+1)</f>
      </c>
      <c r="F8140" s="43">
        <f>IF($E8140=0,0,YEAR($E8140))</f>
      </c>
      <c r="G8140" s="43">
        <f>IF(INDEX(DarlBindung,17)="",1,IF($E8140&lt;=INDEX(DarlBindung,17),1,0))</f>
      </c>
      <c r="H8140" s="43">
        <f>IF($G8140=1,INDEX(DarlSollzins,17),INDEX(DarlAnschluss,17))</f>
      </c>
      <c r="I8140" s="43">
        <f>IF(INDEX(DarlBelegt,17)=0,0,IF(INDEX(DarlOhneTilgung,17)=1,IF(INDEX(DarlBindung,17)="",1,$G8140),IF($J8140&gt;0.005,1,0)))</f>
      </c>
      <c r="J8140" s="43">
        <f>IF($I8139=0,0,$R8139)</f>
      </c>
      <c r="K8140" s="43">
        <f>IF($I8140=0,0,IF(INDEX(DarlOhneTilgung,17)=1,0,IF(AND(INDEX(DarlTilgStart,17)&gt;0,$E8140=INDEX(DarlTilgStart,17)),$J8140*($H8140+INDEX(DarlTilgung,17))/100/12,IF(AND($G8140=0,$G8139=1),MAX($K8139,$J8140*($H8140+1)/100/12),$K8139))))</f>
      </c>
      <c r="L8140" s="43">
        <f>IF($I8140=0,0,$J8140*$H8140/100/12)</f>
      </c>
      <c r="M8140" s="43">
        <f>IF($I8140=0,0,IF(OR(INDEX(DarlOhneTilgung,17)=1,AND(INDEX(DarlTilgStart,17)&gt;0,$E8140&lt;INDEX(DarlTilgStart,17))),0,MIN(MAX(0,$K8140-$L8140),$J8140)))</f>
      </c>
      <c r="N8140" s="43">
        <f>IF($I8140=0,0,MIN(SUMIFS(SondBetrag,SondDarl,17,SondDatum,"&gt;="&amp;$E8140,SondDatum,"&lt;="&amp;EOMONTH($E8140,0)),$J8140-$M8140))</f>
      </c>
      <c r="O8140" s="43">
        <f>IF($I8140=0,0,INDEX(DarlErsatzRate,17))</f>
      </c>
      <c r="P8140" s="43">
        <f>IF($I8140=0,0,$Q8139*INDEX(DarlErsatzZins,17))</f>
      </c>
      <c r="Q8140" s="43">
        <f>IF($I8140=0,0,$Q8139+$P8140+$O8140)</f>
      </c>
      <c r="R8140" s="43">
        <f>IF($I8140=0,0,$J8140-$M8140-$N8140)</f>
      </c>
    </row>
    <row r="8141">
      <c r="A8141"/>
      <c r="B8141">
        <v>17</v>
      </c>
      <c r="C8141" s="43">
        <f>INDEX(DarlObj,17)</f>
      </c>
      <c r="D8141">
        <v>458</v>
      </c>
      <c r="E8141" s="51">
        <f>IF(INDEX(DarlBelegt,17)=0,0,EOMONTH(INDEX(DarlAuszahlung,17),457)+1)</f>
      </c>
      <c r="F8141" s="43">
        <f>IF($E8141=0,0,YEAR($E8141))</f>
      </c>
      <c r="G8141" s="43">
        <f>IF(INDEX(DarlBindung,17)="",1,IF($E8141&lt;=INDEX(DarlBindung,17),1,0))</f>
      </c>
      <c r="H8141" s="43">
        <f>IF($G8141=1,INDEX(DarlSollzins,17),INDEX(DarlAnschluss,17))</f>
      </c>
      <c r="I8141" s="43">
        <f>IF(INDEX(DarlBelegt,17)=0,0,IF(INDEX(DarlOhneTilgung,17)=1,IF(INDEX(DarlBindung,17)="",1,$G8141),IF($J8141&gt;0.005,1,0)))</f>
      </c>
      <c r="J8141" s="43">
        <f>IF($I8140=0,0,$R8140)</f>
      </c>
      <c r="K8141" s="43">
        <f>IF($I8141=0,0,IF(INDEX(DarlOhneTilgung,17)=1,0,IF(AND(INDEX(DarlTilgStart,17)&gt;0,$E8141=INDEX(DarlTilgStart,17)),$J8141*($H8141+INDEX(DarlTilgung,17))/100/12,IF(AND($G8141=0,$G8140=1),MAX($K8140,$J8141*($H8141+1)/100/12),$K8140))))</f>
      </c>
      <c r="L8141" s="43">
        <f>IF($I8141=0,0,$J8141*$H8141/100/12)</f>
      </c>
      <c r="M8141" s="43">
        <f>IF($I8141=0,0,IF(OR(INDEX(DarlOhneTilgung,17)=1,AND(INDEX(DarlTilgStart,17)&gt;0,$E8141&lt;INDEX(DarlTilgStart,17))),0,MIN(MAX(0,$K8141-$L8141),$J8141)))</f>
      </c>
      <c r="N8141" s="43">
        <f>IF($I8141=0,0,MIN(SUMIFS(SondBetrag,SondDarl,17,SondDatum,"&gt;="&amp;$E8141,SondDatum,"&lt;="&amp;EOMONTH($E8141,0)),$J8141-$M8141))</f>
      </c>
      <c r="O8141" s="43">
        <f>IF($I8141=0,0,INDEX(DarlErsatzRate,17))</f>
      </c>
      <c r="P8141" s="43">
        <f>IF($I8141=0,0,$Q8140*INDEX(DarlErsatzZins,17))</f>
      </c>
      <c r="Q8141" s="43">
        <f>IF($I8141=0,0,$Q8140+$P8141+$O8141)</f>
      </c>
      <c r="R8141" s="43">
        <f>IF($I8141=0,0,$J8141-$M8141-$N8141)</f>
      </c>
    </row>
    <row r="8142">
      <c r="A8142"/>
      <c r="B8142">
        <v>17</v>
      </c>
      <c r="C8142" s="43">
        <f>INDEX(DarlObj,17)</f>
      </c>
      <c r="D8142">
        <v>459</v>
      </c>
      <c r="E8142" s="51">
        <f>IF(INDEX(DarlBelegt,17)=0,0,EOMONTH(INDEX(DarlAuszahlung,17),458)+1)</f>
      </c>
      <c r="F8142" s="43">
        <f>IF($E8142=0,0,YEAR($E8142))</f>
      </c>
      <c r="G8142" s="43">
        <f>IF(INDEX(DarlBindung,17)="",1,IF($E8142&lt;=INDEX(DarlBindung,17),1,0))</f>
      </c>
      <c r="H8142" s="43">
        <f>IF($G8142=1,INDEX(DarlSollzins,17),INDEX(DarlAnschluss,17))</f>
      </c>
      <c r="I8142" s="43">
        <f>IF(INDEX(DarlBelegt,17)=0,0,IF(INDEX(DarlOhneTilgung,17)=1,IF(INDEX(DarlBindung,17)="",1,$G8142),IF($J8142&gt;0.005,1,0)))</f>
      </c>
      <c r="J8142" s="43">
        <f>IF($I8141=0,0,$R8141)</f>
      </c>
      <c r="K8142" s="43">
        <f>IF($I8142=0,0,IF(INDEX(DarlOhneTilgung,17)=1,0,IF(AND(INDEX(DarlTilgStart,17)&gt;0,$E8142=INDEX(DarlTilgStart,17)),$J8142*($H8142+INDEX(DarlTilgung,17))/100/12,IF(AND($G8142=0,$G8141=1),MAX($K8141,$J8142*($H8142+1)/100/12),$K8141))))</f>
      </c>
      <c r="L8142" s="43">
        <f>IF($I8142=0,0,$J8142*$H8142/100/12)</f>
      </c>
      <c r="M8142" s="43">
        <f>IF($I8142=0,0,IF(OR(INDEX(DarlOhneTilgung,17)=1,AND(INDEX(DarlTilgStart,17)&gt;0,$E8142&lt;INDEX(DarlTilgStart,17))),0,MIN(MAX(0,$K8142-$L8142),$J8142)))</f>
      </c>
      <c r="N8142" s="43">
        <f>IF($I8142=0,0,MIN(SUMIFS(SondBetrag,SondDarl,17,SondDatum,"&gt;="&amp;$E8142,SondDatum,"&lt;="&amp;EOMONTH($E8142,0)),$J8142-$M8142))</f>
      </c>
      <c r="O8142" s="43">
        <f>IF($I8142=0,0,INDEX(DarlErsatzRate,17))</f>
      </c>
      <c r="P8142" s="43">
        <f>IF($I8142=0,0,$Q8141*INDEX(DarlErsatzZins,17))</f>
      </c>
      <c r="Q8142" s="43">
        <f>IF($I8142=0,0,$Q8141+$P8142+$O8142)</f>
      </c>
      <c r="R8142" s="43">
        <f>IF($I8142=0,0,$J8142-$M8142-$N8142)</f>
      </c>
    </row>
    <row r="8143">
      <c r="A8143"/>
      <c r="B8143">
        <v>17</v>
      </c>
      <c r="C8143" s="43">
        <f>INDEX(DarlObj,17)</f>
      </c>
      <c r="D8143">
        <v>460</v>
      </c>
      <c r="E8143" s="51">
        <f>IF(INDEX(DarlBelegt,17)=0,0,EOMONTH(INDEX(DarlAuszahlung,17),459)+1)</f>
      </c>
      <c r="F8143" s="43">
        <f>IF($E8143=0,0,YEAR($E8143))</f>
      </c>
      <c r="G8143" s="43">
        <f>IF(INDEX(DarlBindung,17)="",1,IF($E8143&lt;=INDEX(DarlBindung,17),1,0))</f>
      </c>
      <c r="H8143" s="43">
        <f>IF($G8143=1,INDEX(DarlSollzins,17),INDEX(DarlAnschluss,17))</f>
      </c>
      <c r="I8143" s="43">
        <f>IF(INDEX(DarlBelegt,17)=0,0,IF(INDEX(DarlOhneTilgung,17)=1,IF(INDEX(DarlBindung,17)="",1,$G8143),IF($J8143&gt;0.005,1,0)))</f>
      </c>
      <c r="J8143" s="43">
        <f>IF($I8142=0,0,$R8142)</f>
      </c>
      <c r="K8143" s="43">
        <f>IF($I8143=0,0,IF(INDEX(DarlOhneTilgung,17)=1,0,IF(AND(INDEX(DarlTilgStart,17)&gt;0,$E8143=INDEX(DarlTilgStart,17)),$J8143*($H8143+INDEX(DarlTilgung,17))/100/12,IF(AND($G8143=0,$G8142=1),MAX($K8142,$J8143*($H8143+1)/100/12),$K8142))))</f>
      </c>
      <c r="L8143" s="43">
        <f>IF($I8143=0,0,$J8143*$H8143/100/12)</f>
      </c>
      <c r="M8143" s="43">
        <f>IF($I8143=0,0,IF(OR(INDEX(DarlOhneTilgung,17)=1,AND(INDEX(DarlTilgStart,17)&gt;0,$E8143&lt;INDEX(DarlTilgStart,17))),0,MIN(MAX(0,$K8143-$L8143),$J8143)))</f>
      </c>
      <c r="N8143" s="43">
        <f>IF($I8143=0,0,MIN(SUMIFS(SondBetrag,SondDarl,17,SondDatum,"&gt;="&amp;$E8143,SondDatum,"&lt;="&amp;EOMONTH($E8143,0)),$J8143-$M8143))</f>
      </c>
      <c r="O8143" s="43">
        <f>IF($I8143=0,0,INDEX(DarlErsatzRate,17))</f>
      </c>
      <c r="P8143" s="43">
        <f>IF($I8143=0,0,$Q8142*INDEX(DarlErsatzZins,17))</f>
      </c>
      <c r="Q8143" s="43">
        <f>IF($I8143=0,0,$Q8142+$P8143+$O8143)</f>
      </c>
      <c r="R8143" s="43">
        <f>IF($I8143=0,0,$J8143-$M8143-$N8143)</f>
      </c>
    </row>
    <row r="8144">
      <c r="A8144"/>
      <c r="B8144">
        <v>17</v>
      </c>
      <c r="C8144" s="43">
        <f>INDEX(DarlObj,17)</f>
      </c>
      <c r="D8144">
        <v>461</v>
      </c>
      <c r="E8144" s="51">
        <f>IF(INDEX(DarlBelegt,17)=0,0,EOMONTH(INDEX(DarlAuszahlung,17),460)+1)</f>
      </c>
      <c r="F8144" s="43">
        <f>IF($E8144=0,0,YEAR($E8144))</f>
      </c>
      <c r="G8144" s="43">
        <f>IF(INDEX(DarlBindung,17)="",1,IF($E8144&lt;=INDEX(DarlBindung,17),1,0))</f>
      </c>
      <c r="H8144" s="43">
        <f>IF($G8144=1,INDEX(DarlSollzins,17),INDEX(DarlAnschluss,17))</f>
      </c>
      <c r="I8144" s="43">
        <f>IF(INDEX(DarlBelegt,17)=0,0,IF(INDEX(DarlOhneTilgung,17)=1,IF(INDEX(DarlBindung,17)="",1,$G8144),IF($J8144&gt;0.005,1,0)))</f>
      </c>
      <c r="J8144" s="43">
        <f>IF($I8143=0,0,$R8143)</f>
      </c>
      <c r="K8144" s="43">
        <f>IF($I8144=0,0,IF(INDEX(DarlOhneTilgung,17)=1,0,IF(AND(INDEX(DarlTilgStart,17)&gt;0,$E8144=INDEX(DarlTilgStart,17)),$J8144*($H8144+INDEX(DarlTilgung,17))/100/12,IF(AND($G8144=0,$G8143=1),MAX($K8143,$J8144*($H8144+1)/100/12),$K8143))))</f>
      </c>
      <c r="L8144" s="43">
        <f>IF($I8144=0,0,$J8144*$H8144/100/12)</f>
      </c>
      <c r="M8144" s="43">
        <f>IF($I8144=0,0,IF(OR(INDEX(DarlOhneTilgung,17)=1,AND(INDEX(DarlTilgStart,17)&gt;0,$E8144&lt;INDEX(DarlTilgStart,17))),0,MIN(MAX(0,$K8144-$L8144),$J8144)))</f>
      </c>
      <c r="N8144" s="43">
        <f>IF($I8144=0,0,MIN(SUMIFS(SondBetrag,SondDarl,17,SondDatum,"&gt;="&amp;$E8144,SondDatum,"&lt;="&amp;EOMONTH($E8144,0)),$J8144-$M8144))</f>
      </c>
      <c r="O8144" s="43">
        <f>IF($I8144=0,0,INDEX(DarlErsatzRate,17))</f>
      </c>
      <c r="P8144" s="43">
        <f>IF($I8144=0,0,$Q8143*INDEX(DarlErsatzZins,17))</f>
      </c>
      <c r="Q8144" s="43">
        <f>IF($I8144=0,0,$Q8143+$P8144+$O8144)</f>
      </c>
      <c r="R8144" s="43">
        <f>IF($I8144=0,0,$J8144-$M8144-$N8144)</f>
      </c>
    </row>
    <row r="8145">
      <c r="A8145"/>
      <c r="B8145">
        <v>17</v>
      </c>
      <c r="C8145" s="43">
        <f>INDEX(DarlObj,17)</f>
      </c>
      <c r="D8145">
        <v>462</v>
      </c>
      <c r="E8145" s="51">
        <f>IF(INDEX(DarlBelegt,17)=0,0,EOMONTH(INDEX(DarlAuszahlung,17),461)+1)</f>
      </c>
      <c r="F8145" s="43">
        <f>IF($E8145=0,0,YEAR($E8145))</f>
      </c>
      <c r="G8145" s="43">
        <f>IF(INDEX(DarlBindung,17)="",1,IF($E8145&lt;=INDEX(DarlBindung,17),1,0))</f>
      </c>
      <c r="H8145" s="43">
        <f>IF($G8145=1,INDEX(DarlSollzins,17),INDEX(DarlAnschluss,17))</f>
      </c>
      <c r="I8145" s="43">
        <f>IF(INDEX(DarlBelegt,17)=0,0,IF(INDEX(DarlOhneTilgung,17)=1,IF(INDEX(DarlBindung,17)="",1,$G8145),IF($J8145&gt;0.005,1,0)))</f>
      </c>
      <c r="J8145" s="43">
        <f>IF($I8144=0,0,$R8144)</f>
      </c>
      <c r="K8145" s="43">
        <f>IF($I8145=0,0,IF(INDEX(DarlOhneTilgung,17)=1,0,IF(AND(INDEX(DarlTilgStart,17)&gt;0,$E8145=INDEX(DarlTilgStart,17)),$J8145*($H8145+INDEX(DarlTilgung,17))/100/12,IF(AND($G8145=0,$G8144=1),MAX($K8144,$J8145*($H8145+1)/100/12),$K8144))))</f>
      </c>
      <c r="L8145" s="43">
        <f>IF($I8145=0,0,$J8145*$H8145/100/12)</f>
      </c>
      <c r="M8145" s="43">
        <f>IF($I8145=0,0,IF(OR(INDEX(DarlOhneTilgung,17)=1,AND(INDEX(DarlTilgStart,17)&gt;0,$E8145&lt;INDEX(DarlTilgStart,17))),0,MIN(MAX(0,$K8145-$L8145),$J8145)))</f>
      </c>
      <c r="N8145" s="43">
        <f>IF($I8145=0,0,MIN(SUMIFS(SondBetrag,SondDarl,17,SondDatum,"&gt;="&amp;$E8145,SondDatum,"&lt;="&amp;EOMONTH($E8145,0)),$J8145-$M8145))</f>
      </c>
      <c r="O8145" s="43">
        <f>IF($I8145=0,0,INDEX(DarlErsatzRate,17))</f>
      </c>
      <c r="P8145" s="43">
        <f>IF($I8145=0,0,$Q8144*INDEX(DarlErsatzZins,17))</f>
      </c>
      <c r="Q8145" s="43">
        <f>IF($I8145=0,0,$Q8144+$P8145+$O8145)</f>
      </c>
      <c r="R8145" s="43">
        <f>IF($I8145=0,0,$J8145-$M8145-$N8145)</f>
      </c>
    </row>
    <row r="8146">
      <c r="A8146"/>
      <c r="B8146">
        <v>17</v>
      </c>
      <c r="C8146" s="43">
        <f>INDEX(DarlObj,17)</f>
      </c>
      <c r="D8146">
        <v>463</v>
      </c>
      <c r="E8146" s="51">
        <f>IF(INDEX(DarlBelegt,17)=0,0,EOMONTH(INDEX(DarlAuszahlung,17),462)+1)</f>
      </c>
      <c r="F8146" s="43">
        <f>IF($E8146=0,0,YEAR($E8146))</f>
      </c>
      <c r="G8146" s="43">
        <f>IF(INDEX(DarlBindung,17)="",1,IF($E8146&lt;=INDEX(DarlBindung,17),1,0))</f>
      </c>
      <c r="H8146" s="43">
        <f>IF($G8146=1,INDEX(DarlSollzins,17),INDEX(DarlAnschluss,17))</f>
      </c>
      <c r="I8146" s="43">
        <f>IF(INDEX(DarlBelegt,17)=0,0,IF(INDEX(DarlOhneTilgung,17)=1,IF(INDEX(DarlBindung,17)="",1,$G8146),IF($J8146&gt;0.005,1,0)))</f>
      </c>
      <c r="J8146" s="43">
        <f>IF($I8145=0,0,$R8145)</f>
      </c>
      <c r="K8146" s="43">
        <f>IF($I8146=0,0,IF(INDEX(DarlOhneTilgung,17)=1,0,IF(AND(INDEX(DarlTilgStart,17)&gt;0,$E8146=INDEX(DarlTilgStart,17)),$J8146*($H8146+INDEX(DarlTilgung,17))/100/12,IF(AND($G8146=0,$G8145=1),MAX($K8145,$J8146*($H8146+1)/100/12),$K8145))))</f>
      </c>
      <c r="L8146" s="43">
        <f>IF($I8146=0,0,$J8146*$H8146/100/12)</f>
      </c>
      <c r="M8146" s="43">
        <f>IF($I8146=0,0,IF(OR(INDEX(DarlOhneTilgung,17)=1,AND(INDEX(DarlTilgStart,17)&gt;0,$E8146&lt;INDEX(DarlTilgStart,17))),0,MIN(MAX(0,$K8146-$L8146),$J8146)))</f>
      </c>
      <c r="N8146" s="43">
        <f>IF($I8146=0,0,MIN(SUMIFS(SondBetrag,SondDarl,17,SondDatum,"&gt;="&amp;$E8146,SondDatum,"&lt;="&amp;EOMONTH($E8146,0)),$J8146-$M8146))</f>
      </c>
      <c r="O8146" s="43">
        <f>IF($I8146=0,0,INDEX(DarlErsatzRate,17))</f>
      </c>
      <c r="P8146" s="43">
        <f>IF($I8146=0,0,$Q8145*INDEX(DarlErsatzZins,17))</f>
      </c>
      <c r="Q8146" s="43">
        <f>IF($I8146=0,0,$Q8145+$P8146+$O8146)</f>
      </c>
      <c r="R8146" s="43">
        <f>IF($I8146=0,0,$J8146-$M8146-$N8146)</f>
      </c>
    </row>
    <row r="8147">
      <c r="A8147"/>
      <c r="B8147">
        <v>17</v>
      </c>
      <c r="C8147" s="43">
        <f>INDEX(DarlObj,17)</f>
      </c>
      <c r="D8147">
        <v>464</v>
      </c>
      <c r="E8147" s="51">
        <f>IF(INDEX(DarlBelegt,17)=0,0,EOMONTH(INDEX(DarlAuszahlung,17),463)+1)</f>
      </c>
      <c r="F8147" s="43">
        <f>IF($E8147=0,0,YEAR($E8147))</f>
      </c>
      <c r="G8147" s="43">
        <f>IF(INDEX(DarlBindung,17)="",1,IF($E8147&lt;=INDEX(DarlBindung,17),1,0))</f>
      </c>
      <c r="H8147" s="43">
        <f>IF($G8147=1,INDEX(DarlSollzins,17),INDEX(DarlAnschluss,17))</f>
      </c>
      <c r="I8147" s="43">
        <f>IF(INDEX(DarlBelegt,17)=0,0,IF(INDEX(DarlOhneTilgung,17)=1,IF(INDEX(DarlBindung,17)="",1,$G8147),IF($J8147&gt;0.005,1,0)))</f>
      </c>
      <c r="J8147" s="43">
        <f>IF($I8146=0,0,$R8146)</f>
      </c>
      <c r="K8147" s="43">
        <f>IF($I8147=0,0,IF(INDEX(DarlOhneTilgung,17)=1,0,IF(AND(INDEX(DarlTilgStart,17)&gt;0,$E8147=INDEX(DarlTilgStart,17)),$J8147*($H8147+INDEX(DarlTilgung,17))/100/12,IF(AND($G8147=0,$G8146=1),MAX($K8146,$J8147*($H8147+1)/100/12),$K8146))))</f>
      </c>
      <c r="L8147" s="43">
        <f>IF($I8147=0,0,$J8147*$H8147/100/12)</f>
      </c>
      <c r="M8147" s="43">
        <f>IF($I8147=0,0,IF(OR(INDEX(DarlOhneTilgung,17)=1,AND(INDEX(DarlTilgStart,17)&gt;0,$E8147&lt;INDEX(DarlTilgStart,17))),0,MIN(MAX(0,$K8147-$L8147),$J8147)))</f>
      </c>
      <c r="N8147" s="43">
        <f>IF($I8147=0,0,MIN(SUMIFS(SondBetrag,SondDarl,17,SondDatum,"&gt;="&amp;$E8147,SondDatum,"&lt;="&amp;EOMONTH($E8147,0)),$J8147-$M8147))</f>
      </c>
      <c r="O8147" s="43">
        <f>IF($I8147=0,0,INDEX(DarlErsatzRate,17))</f>
      </c>
      <c r="P8147" s="43">
        <f>IF($I8147=0,0,$Q8146*INDEX(DarlErsatzZins,17))</f>
      </c>
      <c r="Q8147" s="43">
        <f>IF($I8147=0,0,$Q8146+$P8147+$O8147)</f>
      </c>
      <c r="R8147" s="43">
        <f>IF($I8147=0,0,$J8147-$M8147-$N8147)</f>
      </c>
    </row>
    <row r="8148">
      <c r="A8148"/>
      <c r="B8148">
        <v>17</v>
      </c>
      <c r="C8148" s="43">
        <f>INDEX(DarlObj,17)</f>
      </c>
      <c r="D8148">
        <v>465</v>
      </c>
      <c r="E8148" s="51">
        <f>IF(INDEX(DarlBelegt,17)=0,0,EOMONTH(INDEX(DarlAuszahlung,17),464)+1)</f>
      </c>
      <c r="F8148" s="43">
        <f>IF($E8148=0,0,YEAR($E8148))</f>
      </c>
      <c r="G8148" s="43">
        <f>IF(INDEX(DarlBindung,17)="",1,IF($E8148&lt;=INDEX(DarlBindung,17),1,0))</f>
      </c>
      <c r="H8148" s="43">
        <f>IF($G8148=1,INDEX(DarlSollzins,17),INDEX(DarlAnschluss,17))</f>
      </c>
      <c r="I8148" s="43">
        <f>IF(INDEX(DarlBelegt,17)=0,0,IF(INDEX(DarlOhneTilgung,17)=1,IF(INDEX(DarlBindung,17)="",1,$G8148),IF($J8148&gt;0.005,1,0)))</f>
      </c>
      <c r="J8148" s="43">
        <f>IF($I8147=0,0,$R8147)</f>
      </c>
      <c r="K8148" s="43">
        <f>IF($I8148=0,0,IF(INDEX(DarlOhneTilgung,17)=1,0,IF(AND(INDEX(DarlTilgStart,17)&gt;0,$E8148=INDEX(DarlTilgStart,17)),$J8148*($H8148+INDEX(DarlTilgung,17))/100/12,IF(AND($G8148=0,$G8147=1),MAX($K8147,$J8148*($H8148+1)/100/12),$K8147))))</f>
      </c>
      <c r="L8148" s="43">
        <f>IF($I8148=0,0,$J8148*$H8148/100/12)</f>
      </c>
      <c r="M8148" s="43">
        <f>IF($I8148=0,0,IF(OR(INDEX(DarlOhneTilgung,17)=1,AND(INDEX(DarlTilgStart,17)&gt;0,$E8148&lt;INDEX(DarlTilgStart,17))),0,MIN(MAX(0,$K8148-$L8148),$J8148)))</f>
      </c>
      <c r="N8148" s="43">
        <f>IF($I8148=0,0,MIN(SUMIFS(SondBetrag,SondDarl,17,SondDatum,"&gt;="&amp;$E8148,SondDatum,"&lt;="&amp;EOMONTH($E8148,0)),$J8148-$M8148))</f>
      </c>
      <c r="O8148" s="43">
        <f>IF($I8148=0,0,INDEX(DarlErsatzRate,17))</f>
      </c>
      <c r="P8148" s="43">
        <f>IF($I8148=0,0,$Q8147*INDEX(DarlErsatzZins,17))</f>
      </c>
      <c r="Q8148" s="43">
        <f>IF($I8148=0,0,$Q8147+$P8148+$O8148)</f>
      </c>
      <c r="R8148" s="43">
        <f>IF($I8148=0,0,$J8148-$M8148-$N8148)</f>
      </c>
    </row>
    <row r="8149">
      <c r="A8149"/>
      <c r="B8149">
        <v>17</v>
      </c>
      <c r="C8149" s="43">
        <f>INDEX(DarlObj,17)</f>
      </c>
      <c r="D8149">
        <v>466</v>
      </c>
      <c r="E8149" s="51">
        <f>IF(INDEX(DarlBelegt,17)=0,0,EOMONTH(INDEX(DarlAuszahlung,17),465)+1)</f>
      </c>
      <c r="F8149" s="43">
        <f>IF($E8149=0,0,YEAR($E8149))</f>
      </c>
      <c r="G8149" s="43">
        <f>IF(INDEX(DarlBindung,17)="",1,IF($E8149&lt;=INDEX(DarlBindung,17),1,0))</f>
      </c>
      <c r="H8149" s="43">
        <f>IF($G8149=1,INDEX(DarlSollzins,17),INDEX(DarlAnschluss,17))</f>
      </c>
      <c r="I8149" s="43">
        <f>IF(INDEX(DarlBelegt,17)=0,0,IF(INDEX(DarlOhneTilgung,17)=1,IF(INDEX(DarlBindung,17)="",1,$G8149),IF($J8149&gt;0.005,1,0)))</f>
      </c>
      <c r="J8149" s="43">
        <f>IF($I8148=0,0,$R8148)</f>
      </c>
      <c r="K8149" s="43">
        <f>IF($I8149=0,0,IF(INDEX(DarlOhneTilgung,17)=1,0,IF(AND(INDEX(DarlTilgStart,17)&gt;0,$E8149=INDEX(DarlTilgStart,17)),$J8149*($H8149+INDEX(DarlTilgung,17))/100/12,IF(AND($G8149=0,$G8148=1),MAX($K8148,$J8149*($H8149+1)/100/12),$K8148))))</f>
      </c>
      <c r="L8149" s="43">
        <f>IF($I8149=0,0,$J8149*$H8149/100/12)</f>
      </c>
      <c r="M8149" s="43">
        <f>IF($I8149=0,0,IF(OR(INDEX(DarlOhneTilgung,17)=1,AND(INDEX(DarlTilgStart,17)&gt;0,$E8149&lt;INDEX(DarlTilgStart,17))),0,MIN(MAX(0,$K8149-$L8149),$J8149)))</f>
      </c>
      <c r="N8149" s="43">
        <f>IF($I8149=0,0,MIN(SUMIFS(SondBetrag,SondDarl,17,SondDatum,"&gt;="&amp;$E8149,SondDatum,"&lt;="&amp;EOMONTH($E8149,0)),$J8149-$M8149))</f>
      </c>
      <c r="O8149" s="43">
        <f>IF($I8149=0,0,INDEX(DarlErsatzRate,17))</f>
      </c>
      <c r="P8149" s="43">
        <f>IF($I8149=0,0,$Q8148*INDEX(DarlErsatzZins,17))</f>
      </c>
      <c r="Q8149" s="43">
        <f>IF($I8149=0,0,$Q8148+$P8149+$O8149)</f>
      </c>
      <c r="R8149" s="43">
        <f>IF($I8149=0,0,$J8149-$M8149-$N8149)</f>
      </c>
    </row>
    <row r="8150">
      <c r="A8150"/>
      <c r="B8150">
        <v>17</v>
      </c>
      <c r="C8150" s="43">
        <f>INDEX(DarlObj,17)</f>
      </c>
      <c r="D8150">
        <v>467</v>
      </c>
      <c r="E8150" s="51">
        <f>IF(INDEX(DarlBelegt,17)=0,0,EOMONTH(INDEX(DarlAuszahlung,17),466)+1)</f>
      </c>
      <c r="F8150" s="43">
        <f>IF($E8150=0,0,YEAR($E8150))</f>
      </c>
      <c r="G8150" s="43">
        <f>IF(INDEX(DarlBindung,17)="",1,IF($E8150&lt;=INDEX(DarlBindung,17),1,0))</f>
      </c>
      <c r="H8150" s="43">
        <f>IF($G8150=1,INDEX(DarlSollzins,17),INDEX(DarlAnschluss,17))</f>
      </c>
      <c r="I8150" s="43">
        <f>IF(INDEX(DarlBelegt,17)=0,0,IF(INDEX(DarlOhneTilgung,17)=1,IF(INDEX(DarlBindung,17)="",1,$G8150),IF($J8150&gt;0.005,1,0)))</f>
      </c>
      <c r="J8150" s="43">
        <f>IF($I8149=0,0,$R8149)</f>
      </c>
      <c r="K8150" s="43">
        <f>IF($I8150=0,0,IF(INDEX(DarlOhneTilgung,17)=1,0,IF(AND(INDEX(DarlTilgStart,17)&gt;0,$E8150=INDEX(DarlTilgStart,17)),$J8150*($H8150+INDEX(DarlTilgung,17))/100/12,IF(AND($G8150=0,$G8149=1),MAX($K8149,$J8150*($H8150+1)/100/12),$K8149))))</f>
      </c>
      <c r="L8150" s="43">
        <f>IF($I8150=0,0,$J8150*$H8150/100/12)</f>
      </c>
      <c r="M8150" s="43">
        <f>IF($I8150=0,0,IF(OR(INDEX(DarlOhneTilgung,17)=1,AND(INDEX(DarlTilgStart,17)&gt;0,$E8150&lt;INDEX(DarlTilgStart,17))),0,MIN(MAX(0,$K8150-$L8150),$J8150)))</f>
      </c>
      <c r="N8150" s="43">
        <f>IF($I8150=0,0,MIN(SUMIFS(SondBetrag,SondDarl,17,SondDatum,"&gt;="&amp;$E8150,SondDatum,"&lt;="&amp;EOMONTH($E8150,0)),$J8150-$M8150))</f>
      </c>
      <c r="O8150" s="43">
        <f>IF($I8150=0,0,INDEX(DarlErsatzRate,17))</f>
      </c>
      <c r="P8150" s="43">
        <f>IF($I8150=0,0,$Q8149*INDEX(DarlErsatzZins,17))</f>
      </c>
      <c r="Q8150" s="43">
        <f>IF($I8150=0,0,$Q8149+$P8150+$O8150)</f>
      </c>
      <c r="R8150" s="43">
        <f>IF($I8150=0,0,$J8150-$M8150-$N8150)</f>
      </c>
    </row>
    <row r="8151">
      <c r="A8151"/>
      <c r="B8151">
        <v>17</v>
      </c>
      <c r="C8151" s="43">
        <f>INDEX(DarlObj,17)</f>
      </c>
      <c r="D8151">
        <v>468</v>
      </c>
      <c r="E8151" s="51">
        <f>IF(INDEX(DarlBelegt,17)=0,0,EOMONTH(INDEX(DarlAuszahlung,17),467)+1)</f>
      </c>
      <c r="F8151" s="43">
        <f>IF($E8151=0,0,YEAR($E8151))</f>
      </c>
      <c r="G8151" s="43">
        <f>IF(INDEX(DarlBindung,17)="",1,IF($E8151&lt;=INDEX(DarlBindung,17),1,0))</f>
      </c>
      <c r="H8151" s="43">
        <f>IF($G8151=1,INDEX(DarlSollzins,17),INDEX(DarlAnschluss,17))</f>
      </c>
      <c r="I8151" s="43">
        <f>IF(INDEX(DarlBelegt,17)=0,0,IF(INDEX(DarlOhneTilgung,17)=1,IF(INDEX(DarlBindung,17)="",1,$G8151),IF($J8151&gt;0.005,1,0)))</f>
      </c>
      <c r="J8151" s="43">
        <f>IF($I8150=0,0,$R8150)</f>
      </c>
      <c r="K8151" s="43">
        <f>IF($I8151=0,0,IF(INDEX(DarlOhneTilgung,17)=1,0,IF(AND(INDEX(DarlTilgStart,17)&gt;0,$E8151=INDEX(DarlTilgStart,17)),$J8151*($H8151+INDEX(DarlTilgung,17))/100/12,IF(AND($G8151=0,$G8150=1),MAX($K8150,$J8151*($H8151+1)/100/12),$K8150))))</f>
      </c>
      <c r="L8151" s="43">
        <f>IF($I8151=0,0,$J8151*$H8151/100/12)</f>
      </c>
      <c r="M8151" s="43">
        <f>IF($I8151=0,0,IF(OR(INDEX(DarlOhneTilgung,17)=1,AND(INDEX(DarlTilgStart,17)&gt;0,$E8151&lt;INDEX(DarlTilgStart,17))),0,MIN(MAX(0,$K8151-$L8151),$J8151)))</f>
      </c>
      <c r="N8151" s="43">
        <f>IF($I8151=0,0,MIN(SUMIFS(SondBetrag,SondDarl,17,SondDatum,"&gt;="&amp;$E8151,SondDatum,"&lt;="&amp;EOMONTH($E8151,0)),$J8151-$M8151))</f>
      </c>
      <c r="O8151" s="43">
        <f>IF($I8151=0,0,INDEX(DarlErsatzRate,17))</f>
      </c>
      <c r="P8151" s="43">
        <f>IF($I8151=0,0,$Q8150*INDEX(DarlErsatzZins,17))</f>
      </c>
      <c r="Q8151" s="43">
        <f>IF($I8151=0,0,$Q8150+$P8151+$O8151)</f>
      </c>
      <c r="R8151" s="43">
        <f>IF($I8151=0,0,$J8151-$M8151-$N8151)</f>
      </c>
    </row>
    <row r="8152">
      <c r="A8152"/>
      <c r="B8152">
        <v>17</v>
      </c>
      <c r="C8152" s="43">
        <f>INDEX(DarlObj,17)</f>
      </c>
      <c r="D8152">
        <v>469</v>
      </c>
      <c r="E8152" s="51">
        <f>IF(INDEX(DarlBelegt,17)=0,0,EOMONTH(INDEX(DarlAuszahlung,17),468)+1)</f>
      </c>
      <c r="F8152" s="43">
        <f>IF($E8152=0,0,YEAR($E8152))</f>
      </c>
      <c r="G8152" s="43">
        <f>IF(INDEX(DarlBindung,17)="",1,IF($E8152&lt;=INDEX(DarlBindung,17),1,0))</f>
      </c>
      <c r="H8152" s="43">
        <f>IF($G8152=1,INDEX(DarlSollzins,17),INDEX(DarlAnschluss,17))</f>
      </c>
      <c r="I8152" s="43">
        <f>IF(INDEX(DarlBelegt,17)=0,0,IF(INDEX(DarlOhneTilgung,17)=1,IF(INDEX(DarlBindung,17)="",1,$G8152),IF($J8152&gt;0.005,1,0)))</f>
      </c>
      <c r="J8152" s="43">
        <f>IF($I8151=0,0,$R8151)</f>
      </c>
      <c r="K8152" s="43">
        <f>IF($I8152=0,0,IF(INDEX(DarlOhneTilgung,17)=1,0,IF(AND(INDEX(DarlTilgStart,17)&gt;0,$E8152=INDEX(DarlTilgStart,17)),$J8152*($H8152+INDEX(DarlTilgung,17))/100/12,IF(AND($G8152=0,$G8151=1),MAX($K8151,$J8152*($H8152+1)/100/12),$K8151))))</f>
      </c>
      <c r="L8152" s="43">
        <f>IF($I8152=0,0,$J8152*$H8152/100/12)</f>
      </c>
      <c r="M8152" s="43">
        <f>IF($I8152=0,0,IF(OR(INDEX(DarlOhneTilgung,17)=1,AND(INDEX(DarlTilgStart,17)&gt;0,$E8152&lt;INDEX(DarlTilgStart,17))),0,MIN(MAX(0,$K8152-$L8152),$J8152)))</f>
      </c>
      <c r="N8152" s="43">
        <f>IF($I8152=0,0,MIN(SUMIFS(SondBetrag,SondDarl,17,SondDatum,"&gt;="&amp;$E8152,SondDatum,"&lt;="&amp;EOMONTH($E8152,0)),$J8152-$M8152))</f>
      </c>
      <c r="O8152" s="43">
        <f>IF($I8152=0,0,INDEX(DarlErsatzRate,17))</f>
      </c>
      <c r="P8152" s="43">
        <f>IF($I8152=0,0,$Q8151*INDEX(DarlErsatzZins,17))</f>
      </c>
      <c r="Q8152" s="43">
        <f>IF($I8152=0,0,$Q8151+$P8152+$O8152)</f>
      </c>
      <c r="R8152" s="43">
        <f>IF($I8152=0,0,$J8152-$M8152-$N8152)</f>
      </c>
    </row>
    <row r="8153">
      <c r="A8153"/>
      <c r="B8153">
        <v>17</v>
      </c>
      <c r="C8153" s="43">
        <f>INDEX(DarlObj,17)</f>
      </c>
      <c r="D8153">
        <v>470</v>
      </c>
      <c r="E8153" s="51">
        <f>IF(INDEX(DarlBelegt,17)=0,0,EOMONTH(INDEX(DarlAuszahlung,17),469)+1)</f>
      </c>
      <c r="F8153" s="43">
        <f>IF($E8153=0,0,YEAR($E8153))</f>
      </c>
      <c r="G8153" s="43">
        <f>IF(INDEX(DarlBindung,17)="",1,IF($E8153&lt;=INDEX(DarlBindung,17),1,0))</f>
      </c>
      <c r="H8153" s="43">
        <f>IF($G8153=1,INDEX(DarlSollzins,17),INDEX(DarlAnschluss,17))</f>
      </c>
      <c r="I8153" s="43">
        <f>IF(INDEX(DarlBelegt,17)=0,0,IF(INDEX(DarlOhneTilgung,17)=1,IF(INDEX(DarlBindung,17)="",1,$G8153),IF($J8153&gt;0.005,1,0)))</f>
      </c>
      <c r="J8153" s="43">
        <f>IF($I8152=0,0,$R8152)</f>
      </c>
      <c r="K8153" s="43">
        <f>IF($I8153=0,0,IF(INDEX(DarlOhneTilgung,17)=1,0,IF(AND(INDEX(DarlTilgStart,17)&gt;0,$E8153=INDEX(DarlTilgStart,17)),$J8153*($H8153+INDEX(DarlTilgung,17))/100/12,IF(AND($G8153=0,$G8152=1),MAX($K8152,$J8153*($H8153+1)/100/12),$K8152))))</f>
      </c>
      <c r="L8153" s="43">
        <f>IF($I8153=0,0,$J8153*$H8153/100/12)</f>
      </c>
      <c r="M8153" s="43">
        <f>IF($I8153=0,0,IF(OR(INDEX(DarlOhneTilgung,17)=1,AND(INDEX(DarlTilgStart,17)&gt;0,$E8153&lt;INDEX(DarlTilgStart,17))),0,MIN(MAX(0,$K8153-$L8153),$J8153)))</f>
      </c>
      <c r="N8153" s="43">
        <f>IF($I8153=0,0,MIN(SUMIFS(SondBetrag,SondDarl,17,SondDatum,"&gt;="&amp;$E8153,SondDatum,"&lt;="&amp;EOMONTH($E8153,0)),$J8153-$M8153))</f>
      </c>
      <c r="O8153" s="43">
        <f>IF($I8153=0,0,INDEX(DarlErsatzRate,17))</f>
      </c>
      <c r="P8153" s="43">
        <f>IF($I8153=0,0,$Q8152*INDEX(DarlErsatzZins,17))</f>
      </c>
      <c r="Q8153" s="43">
        <f>IF($I8153=0,0,$Q8152+$P8153+$O8153)</f>
      </c>
      <c r="R8153" s="43">
        <f>IF($I8153=0,0,$J8153-$M8153-$N8153)</f>
      </c>
    </row>
    <row r="8154">
      <c r="A8154"/>
      <c r="B8154">
        <v>17</v>
      </c>
      <c r="C8154" s="43">
        <f>INDEX(DarlObj,17)</f>
      </c>
      <c r="D8154">
        <v>471</v>
      </c>
      <c r="E8154" s="51">
        <f>IF(INDEX(DarlBelegt,17)=0,0,EOMONTH(INDEX(DarlAuszahlung,17),470)+1)</f>
      </c>
      <c r="F8154" s="43">
        <f>IF($E8154=0,0,YEAR($E8154))</f>
      </c>
      <c r="G8154" s="43">
        <f>IF(INDEX(DarlBindung,17)="",1,IF($E8154&lt;=INDEX(DarlBindung,17),1,0))</f>
      </c>
      <c r="H8154" s="43">
        <f>IF($G8154=1,INDEX(DarlSollzins,17),INDEX(DarlAnschluss,17))</f>
      </c>
      <c r="I8154" s="43">
        <f>IF(INDEX(DarlBelegt,17)=0,0,IF(INDEX(DarlOhneTilgung,17)=1,IF(INDEX(DarlBindung,17)="",1,$G8154),IF($J8154&gt;0.005,1,0)))</f>
      </c>
      <c r="J8154" s="43">
        <f>IF($I8153=0,0,$R8153)</f>
      </c>
      <c r="K8154" s="43">
        <f>IF($I8154=0,0,IF(INDEX(DarlOhneTilgung,17)=1,0,IF(AND(INDEX(DarlTilgStart,17)&gt;0,$E8154=INDEX(DarlTilgStart,17)),$J8154*($H8154+INDEX(DarlTilgung,17))/100/12,IF(AND($G8154=0,$G8153=1),MAX($K8153,$J8154*($H8154+1)/100/12),$K8153))))</f>
      </c>
      <c r="L8154" s="43">
        <f>IF($I8154=0,0,$J8154*$H8154/100/12)</f>
      </c>
      <c r="M8154" s="43">
        <f>IF($I8154=0,0,IF(OR(INDEX(DarlOhneTilgung,17)=1,AND(INDEX(DarlTilgStart,17)&gt;0,$E8154&lt;INDEX(DarlTilgStart,17))),0,MIN(MAX(0,$K8154-$L8154),$J8154)))</f>
      </c>
      <c r="N8154" s="43">
        <f>IF($I8154=0,0,MIN(SUMIFS(SondBetrag,SondDarl,17,SondDatum,"&gt;="&amp;$E8154,SondDatum,"&lt;="&amp;EOMONTH($E8154,0)),$J8154-$M8154))</f>
      </c>
      <c r="O8154" s="43">
        <f>IF($I8154=0,0,INDEX(DarlErsatzRate,17))</f>
      </c>
      <c r="P8154" s="43">
        <f>IF($I8154=0,0,$Q8153*INDEX(DarlErsatzZins,17))</f>
      </c>
      <c r="Q8154" s="43">
        <f>IF($I8154=0,0,$Q8153+$P8154+$O8154)</f>
      </c>
      <c r="R8154" s="43">
        <f>IF($I8154=0,0,$J8154-$M8154-$N8154)</f>
      </c>
    </row>
    <row r="8155">
      <c r="A8155"/>
      <c r="B8155">
        <v>17</v>
      </c>
      <c r="C8155" s="43">
        <f>INDEX(DarlObj,17)</f>
      </c>
      <c r="D8155">
        <v>472</v>
      </c>
      <c r="E8155" s="51">
        <f>IF(INDEX(DarlBelegt,17)=0,0,EOMONTH(INDEX(DarlAuszahlung,17),471)+1)</f>
      </c>
      <c r="F8155" s="43">
        <f>IF($E8155=0,0,YEAR($E8155))</f>
      </c>
      <c r="G8155" s="43">
        <f>IF(INDEX(DarlBindung,17)="",1,IF($E8155&lt;=INDEX(DarlBindung,17),1,0))</f>
      </c>
      <c r="H8155" s="43">
        <f>IF($G8155=1,INDEX(DarlSollzins,17),INDEX(DarlAnschluss,17))</f>
      </c>
      <c r="I8155" s="43">
        <f>IF(INDEX(DarlBelegt,17)=0,0,IF(INDEX(DarlOhneTilgung,17)=1,IF(INDEX(DarlBindung,17)="",1,$G8155),IF($J8155&gt;0.005,1,0)))</f>
      </c>
      <c r="J8155" s="43">
        <f>IF($I8154=0,0,$R8154)</f>
      </c>
      <c r="K8155" s="43">
        <f>IF($I8155=0,0,IF(INDEX(DarlOhneTilgung,17)=1,0,IF(AND(INDEX(DarlTilgStart,17)&gt;0,$E8155=INDEX(DarlTilgStart,17)),$J8155*($H8155+INDEX(DarlTilgung,17))/100/12,IF(AND($G8155=0,$G8154=1),MAX($K8154,$J8155*($H8155+1)/100/12),$K8154))))</f>
      </c>
      <c r="L8155" s="43">
        <f>IF($I8155=0,0,$J8155*$H8155/100/12)</f>
      </c>
      <c r="M8155" s="43">
        <f>IF($I8155=0,0,IF(OR(INDEX(DarlOhneTilgung,17)=1,AND(INDEX(DarlTilgStart,17)&gt;0,$E8155&lt;INDEX(DarlTilgStart,17))),0,MIN(MAX(0,$K8155-$L8155),$J8155)))</f>
      </c>
      <c r="N8155" s="43">
        <f>IF($I8155=0,0,MIN(SUMIFS(SondBetrag,SondDarl,17,SondDatum,"&gt;="&amp;$E8155,SondDatum,"&lt;="&amp;EOMONTH($E8155,0)),$J8155-$M8155))</f>
      </c>
      <c r="O8155" s="43">
        <f>IF($I8155=0,0,INDEX(DarlErsatzRate,17))</f>
      </c>
      <c r="P8155" s="43">
        <f>IF($I8155=0,0,$Q8154*INDEX(DarlErsatzZins,17))</f>
      </c>
      <c r="Q8155" s="43">
        <f>IF($I8155=0,0,$Q8154+$P8155+$O8155)</f>
      </c>
      <c r="R8155" s="43">
        <f>IF($I8155=0,0,$J8155-$M8155-$N8155)</f>
      </c>
    </row>
    <row r="8156">
      <c r="A8156"/>
      <c r="B8156">
        <v>17</v>
      </c>
      <c r="C8156" s="43">
        <f>INDEX(DarlObj,17)</f>
      </c>
      <c r="D8156">
        <v>473</v>
      </c>
      <c r="E8156" s="51">
        <f>IF(INDEX(DarlBelegt,17)=0,0,EOMONTH(INDEX(DarlAuszahlung,17),472)+1)</f>
      </c>
      <c r="F8156" s="43">
        <f>IF($E8156=0,0,YEAR($E8156))</f>
      </c>
      <c r="G8156" s="43">
        <f>IF(INDEX(DarlBindung,17)="",1,IF($E8156&lt;=INDEX(DarlBindung,17),1,0))</f>
      </c>
      <c r="H8156" s="43">
        <f>IF($G8156=1,INDEX(DarlSollzins,17),INDEX(DarlAnschluss,17))</f>
      </c>
      <c r="I8156" s="43">
        <f>IF(INDEX(DarlBelegt,17)=0,0,IF(INDEX(DarlOhneTilgung,17)=1,IF(INDEX(DarlBindung,17)="",1,$G8156),IF($J8156&gt;0.005,1,0)))</f>
      </c>
      <c r="J8156" s="43">
        <f>IF($I8155=0,0,$R8155)</f>
      </c>
      <c r="K8156" s="43">
        <f>IF($I8156=0,0,IF(INDEX(DarlOhneTilgung,17)=1,0,IF(AND(INDEX(DarlTilgStart,17)&gt;0,$E8156=INDEX(DarlTilgStart,17)),$J8156*($H8156+INDEX(DarlTilgung,17))/100/12,IF(AND($G8156=0,$G8155=1),MAX($K8155,$J8156*($H8156+1)/100/12),$K8155))))</f>
      </c>
      <c r="L8156" s="43">
        <f>IF($I8156=0,0,$J8156*$H8156/100/12)</f>
      </c>
      <c r="M8156" s="43">
        <f>IF($I8156=0,0,IF(OR(INDEX(DarlOhneTilgung,17)=1,AND(INDEX(DarlTilgStart,17)&gt;0,$E8156&lt;INDEX(DarlTilgStart,17))),0,MIN(MAX(0,$K8156-$L8156),$J8156)))</f>
      </c>
      <c r="N8156" s="43">
        <f>IF($I8156=0,0,MIN(SUMIFS(SondBetrag,SondDarl,17,SondDatum,"&gt;="&amp;$E8156,SondDatum,"&lt;="&amp;EOMONTH($E8156,0)),$J8156-$M8156))</f>
      </c>
      <c r="O8156" s="43">
        <f>IF($I8156=0,0,INDEX(DarlErsatzRate,17))</f>
      </c>
      <c r="P8156" s="43">
        <f>IF($I8156=0,0,$Q8155*INDEX(DarlErsatzZins,17))</f>
      </c>
      <c r="Q8156" s="43">
        <f>IF($I8156=0,0,$Q8155+$P8156+$O8156)</f>
      </c>
      <c r="R8156" s="43">
        <f>IF($I8156=0,0,$J8156-$M8156-$N8156)</f>
      </c>
    </row>
    <row r="8157">
      <c r="A8157"/>
      <c r="B8157">
        <v>17</v>
      </c>
      <c r="C8157" s="43">
        <f>INDEX(DarlObj,17)</f>
      </c>
      <c r="D8157">
        <v>474</v>
      </c>
      <c r="E8157" s="51">
        <f>IF(INDEX(DarlBelegt,17)=0,0,EOMONTH(INDEX(DarlAuszahlung,17),473)+1)</f>
      </c>
      <c r="F8157" s="43">
        <f>IF($E8157=0,0,YEAR($E8157))</f>
      </c>
      <c r="G8157" s="43">
        <f>IF(INDEX(DarlBindung,17)="",1,IF($E8157&lt;=INDEX(DarlBindung,17),1,0))</f>
      </c>
      <c r="H8157" s="43">
        <f>IF($G8157=1,INDEX(DarlSollzins,17),INDEX(DarlAnschluss,17))</f>
      </c>
      <c r="I8157" s="43">
        <f>IF(INDEX(DarlBelegt,17)=0,0,IF(INDEX(DarlOhneTilgung,17)=1,IF(INDEX(DarlBindung,17)="",1,$G8157),IF($J8157&gt;0.005,1,0)))</f>
      </c>
      <c r="J8157" s="43">
        <f>IF($I8156=0,0,$R8156)</f>
      </c>
      <c r="K8157" s="43">
        <f>IF($I8157=0,0,IF(INDEX(DarlOhneTilgung,17)=1,0,IF(AND(INDEX(DarlTilgStart,17)&gt;0,$E8157=INDEX(DarlTilgStart,17)),$J8157*($H8157+INDEX(DarlTilgung,17))/100/12,IF(AND($G8157=0,$G8156=1),MAX($K8156,$J8157*($H8157+1)/100/12),$K8156))))</f>
      </c>
      <c r="L8157" s="43">
        <f>IF($I8157=0,0,$J8157*$H8157/100/12)</f>
      </c>
      <c r="M8157" s="43">
        <f>IF($I8157=0,0,IF(OR(INDEX(DarlOhneTilgung,17)=1,AND(INDEX(DarlTilgStart,17)&gt;0,$E8157&lt;INDEX(DarlTilgStart,17))),0,MIN(MAX(0,$K8157-$L8157),$J8157)))</f>
      </c>
      <c r="N8157" s="43">
        <f>IF($I8157=0,0,MIN(SUMIFS(SondBetrag,SondDarl,17,SondDatum,"&gt;="&amp;$E8157,SondDatum,"&lt;="&amp;EOMONTH($E8157,0)),$J8157-$M8157))</f>
      </c>
      <c r="O8157" s="43">
        <f>IF($I8157=0,0,INDEX(DarlErsatzRate,17))</f>
      </c>
      <c r="P8157" s="43">
        <f>IF($I8157=0,0,$Q8156*INDEX(DarlErsatzZins,17))</f>
      </c>
      <c r="Q8157" s="43">
        <f>IF($I8157=0,0,$Q8156+$P8157+$O8157)</f>
      </c>
      <c r="R8157" s="43">
        <f>IF($I8157=0,0,$J8157-$M8157-$N8157)</f>
      </c>
    </row>
    <row r="8158">
      <c r="A8158"/>
      <c r="B8158">
        <v>17</v>
      </c>
      <c r="C8158" s="43">
        <f>INDEX(DarlObj,17)</f>
      </c>
      <c r="D8158">
        <v>475</v>
      </c>
      <c r="E8158" s="51">
        <f>IF(INDEX(DarlBelegt,17)=0,0,EOMONTH(INDEX(DarlAuszahlung,17),474)+1)</f>
      </c>
      <c r="F8158" s="43">
        <f>IF($E8158=0,0,YEAR($E8158))</f>
      </c>
      <c r="G8158" s="43">
        <f>IF(INDEX(DarlBindung,17)="",1,IF($E8158&lt;=INDEX(DarlBindung,17),1,0))</f>
      </c>
      <c r="H8158" s="43">
        <f>IF($G8158=1,INDEX(DarlSollzins,17),INDEX(DarlAnschluss,17))</f>
      </c>
      <c r="I8158" s="43">
        <f>IF(INDEX(DarlBelegt,17)=0,0,IF(INDEX(DarlOhneTilgung,17)=1,IF(INDEX(DarlBindung,17)="",1,$G8158),IF($J8158&gt;0.005,1,0)))</f>
      </c>
      <c r="J8158" s="43">
        <f>IF($I8157=0,0,$R8157)</f>
      </c>
      <c r="K8158" s="43">
        <f>IF($I8158=0,0,IF(INDEX(DarlOhneTilgung,17)=1,0,IF(AND(INDEX(DarlTilgStart,17)&gt;0,$E8158=INDEX(DarlTilgStart,17)),$J8158*($H8158+INDEX(DarlTilgung,17))/100/12,IF(AND($G8158=0,$G8157=1),MAX($K8157,$J8158*($H8158+1)/100/12),$K8157))))</f>
      </c>
      <c r="L8158" s="43">
        <f>IF($I8158=0,0,$J8158*$H8158/100/12)</f>
      </c>
      <c r="M8158" s="43">
        <f>IF($I8158=0,0,IF(OR(INDEX(DarlOhneTilgung,17)=1,AND(INDEX(DarlTilgStart,17)&gt;0,$E8158&lt;INDEX(DarlTilgStart,17))),0,MIN(MAX(0,$K8158-$L8158),$J8158)))</f>
      </c>
      <c r="N8158" s="43">
        <f>IF($I8158=0,0,MIN(SUMIFS(SondBetrag,SondDarl,17,SondDatum,"&gt;="&amp;$E8158,SondDatum,"&lt;="&amp;EOMONTH($E8158,0)),$J8158-$M8158))</f>
      </c>
      <c r="O8158" s="43">
        <f>IF($I8158=0,0,INDEX(DarlErsatzRate,17))</f>
      </c>
      <c r="P8158" s="43">
        <f>IF($I8158=0,0,$Q8157*INDEX(DarlErsatzZins,17))</f>
      </c>
      <c r="Q8158" s="43">
        <f>IF($I8158=0,0,$Q8157+$P8158+$O8158)</f>
      </c>
      <c r="R8158" s="43">
        <f>IF($I8158=0,0,$J8158-$M8158-$N8158)</f>
      </c>
    </row>
    <row r="8159">
      <c r="A8159"/>
      <c r="B8159">
        <v>17</v>
      </c>
      <c r="C8159" s="43">
        <f>INDEX(DarlObj,17)</f>
      </c>
      <c r="D8159">
        <v>476</v>
      </c>
      <c r="E8159" s="51">
        <f>IF(INDEX(DarlBelegt,17)=0,0,EOMONTH(INDEX(DarlAuszahlung,17),475)+1)</f>
      </c>
      <c r="F8159" s="43">
        <f>IF($E8159=0,0,YEAR($E8159))</f>
      </c>
      <c r="G8159" s="43">
        <f>IF(INDEX(DarlBindung,17)="",1,IF($E8159&lt;=INDEX(DarlBindung,17),1,0))</f>
      </c>
      <c r="H8159" s="43">
        <f>IF($G8159=1,INDEX(DarlSollzins,17),INDEX(DarlAnschluss,17))</f>
      </c>
      <c r="I8159" s="43">
        <f>IF(INDEX(DarlBelegt,17)=0,0,IF(INDEX(DarlOhneTilgung,17)=1,IF(INDEX(DarlBindung,17)="",1,$G8159),IF($J8159&gt;0.005,1,0)))</f>
      </c>
      <c r="J8159" s="43">
        <f>IF($I8158=0,0,$R8158)</f>
      </c>
      <c r="K8159" s="43">
        <f>IF($I8159=0,0,IF(INDEX(DarlOhneTilgung,17)=1,0,IF(AND(INDEX(DarlTilgStart,17)&gt;0,$E8159=INDEX(DarlTilgStart,17)),$J8159*($H8159+INDEX(DarlTilgung,17))/100/12,IF(AND($G8159=0,$G8158=1),MAX($K8158,$J8159*($H8159+1)/100/12),$K8158))))</f>
      </c>
      <c r="L8159" s="43">
        <f>IF($I8159=0,0,$J8159*$H8159/100/12)</f>
      </c>
      <c r="M8159" s="43">
        <f>IF($I8159=0,0,IF(OR(INDEX(DarlOhneTilgung,17)=1,AND(INDEX(DarlTilgStart,17)&gt;0,$E8159&lt;INDEX(DarlTilgStart,17))),0,MIN(MAX(0,$K8159-$L8159),$J8159)))</f>
      </c>
      <c r="N8159" s="43">
        <f>IF($I8159=0,0,MIN(SUMIFS(SondBetrag,SondDarl,17,SondDatum,"&gt;="&amp;$E8159,SondDatum,"&lt;="&amp;EOMONTH($E8159,0)),$J8159-$M8159))</f>
      </c>
      <c r="O8159" s="43">
        <f>IF($I8159=0,0,INDEX(DarlErsatzRate,17))</f>
      </c>
      <c r="P8159" s="43">
        <f>IF($I8159=0,0,$Q8158*INDEX(DarlErsatzZins,17))</f>
      </c>
      <c r="Q8159" s="43">
        <f>IF($I8159=0,0,$Q8158+$P8159+$O8159)</f>
      </c>
      <c r="R8159" s="43">
        <f>IF($I8159=0,0,$J8159-$M8159-$N8159)</f>
      </c>
    </row>
    <row r="8160">
      <c r="A8160"/>
      <c r="B8160">
        <v>17</v>
      </c>
      <c r="C8160" s="43">
        <f>INDEX(DarlObj,17)</f>
      </c>
      <c r="D8160">
        <v>477</v>
      </c>
      <c r="E8160" s="51">
        <f>IF(INDEX(DarlBelegt,17)=0,0,EOMONTH(INDEX(DarlAuszahlung,17),476)+1)</f>
      </c>
      <c r="F8160" s="43">
        <f>IF($E8160=0,0,YEAR($E8160))</f>
      </c>
      <c r="G8160" s="43">
        <f>IF(INDEX(DarlBindung,17)="",1,IF($E8160&lt;=INDEX(DarlBindung,17),1,0))</f>
      </c>
      <c r="H8160" s="43">
        <f>IF($G8160=1,INDEX(DarlSollzins,17),INDEX(DarlAnschluss,17))</f>
      </c>
      <c r="I8160" s="43">
        <f>IF(INDEX(DarlBelegt,17)=0,0,IF(INDEX(DarlOhneTilgung,17)=1,IF(INDEX(DarlBindung,17)="",1,$G8160),IF($J8160&gt;0.005,1,0)))</f>
      </c>
      <c r="J8160" s="43">
        <f>IF($I8159=0,0,$R8159)</f>
      </c>
      <c r="K8160" s="43">
        <f>IF($I8160=0,0,IF(INDEX(DarlOhneTilgung,17)=1,0,IF(AND(INDEX(DarlTilgStart,17)&gt;0,$E8160=INDEX(DarlTilgStart,17)),$J8160*($H8160+INDEX(DarlTilgung,17))/100/12,IF(AND($G8160=0,$G8159=1),MAX($K8159,$J8160*($H8160+1)/100/12),$K8159))))</f>
      </c>
      <c r="L8160" s="43">
        <f>IF($I8160=0,0,$J8160*$H8160/100/12)</f>
      </c>
      <c r="M8160" s="43">
        <f>IF($I8160=0,0,IF(OR(INDEX(DarlOhneTilgung,17)=1,AND(INDEX(DarlTilgStart,17)&gt;0,$E8160&lt;INDEX(DarlTilgStart,17))),0,MIN(MAX(0,$K8160-$L8160),$J8160)))</f>
      </c>
      <c r="N8160" s="43">
        <f>IF($I8160=0,0,MIN(SUMIFS(SondBetrag,SondDarl,17,SondDatum,"&gt;="&amp;$E8160,SondDatum,"&lt;="&amp;EOMONTH($E8160,0)),$J8160-$M8160))</f>
      </c>
      <c r="O8160" s="43">
        <f>IF($I8160=0,0,INDEX(DarlErsatzRate,17))</f>
      </c>
      <c r="P8160" s="43">
        <f>IF($I8160=0,0,$Q8159*INDEX(DarlErsatzZins,17))</f>
      </c>
      <c r="Q8160" s="43">
        <f>IF($I8160=0,0,$Q8159+$P8160+$O8160)</f>
      </c>
      <c r="R8160" s="43">
        <f>IF($I8160=0,0,$J8160-$M8160-$N8160)</f>
      </c>
    </row>
    <row r="8161">
      <c r="A8161"/>
      <c r="B8161">
        <v>17</v>
      </c>
      <c r="C8161" s="43">
        <f>INDEX(DarlObj,17)</f>
      </c>
      <c r="D8161">
        <v>478</v>
      </c>
      <c r="E8161" s="51">
        <f>IF(INDEX(DarlBelegt,17)=0,0,EOMONTH(INDEX(DarlAuszahlung,17),477)+1)</f>
      </c>
      <c r="F8161" s="43">
        <f>IF($E8161=0,0,YEAR($E8161))</f>
      </c>
      <c r="G8161" s="43">
        <f>IF(INDEX(DarlBindung,17)="",1,IF($E8161&lt;=INDEX(DarlBindung,17),1,0))</f>
      </c>
      <c r="H8161" s="43">
        <f>IF($G8161=1,INDEX(DarlSollzins,17),INDEX(DarlAnschluss,17))</f>
      </c>
      <c r="I8161" s="43">
        <f>IF(INDEX(DarlBelegt,17)=0,0,IF(INDEX(DarlOhneTilgung,17)=1,IF(INDEX(DarlBindung,17)="",1,$G8161),IF($J8161&gt;0.005,1,0)))</f>
      </c>
      <c r="J8161" s="43">
        <f>IF($I8160=0,0,$R8160)</f>
      </c>
      <c r="K8161" s="43">
        <f>IF($I8161=0,0,IF(INDEX(DarlOhneTilgung,17)=1,0,IF(AND(INDEX(DarlTilgStart,17)&gt;0,$E8161=INDEX(DarlTilgStart,17)),$J8161*($H8161+INDEX(DarlTilgung,17))/100/12,IF(AND($G8161=0,$G8160=1),MAX($K8160,$J8161*($H8161+1)/100/12),$K8160))))</f>
      </c>
      <c r="L8161" s="43">
        <f>IF($I8161=0,0,$J8161*$H8161/100/12)</f>
      </c>
      <c r="M8161" s="43">
        <f>IF($I8161=0,0,IF(OR(INDEX(DarlOhneTilgung,17)=1,AND(INDEX(DarlTilgStart,17)&gt;0,$E8161&lt;INDEX(DarlTilgStart,17))),0,MIN(MAX(0,$K8161-$L8161),$J8161)))</f>
      </c>
      <c r="N8161" s="43">
        <f>IF($I8161=0,0,MIN(SUMIFS(SondBetrag,SondDarl,17,SondDatum,"&gt;="&amp;$E8161,SondDatum,"&lt;="&amp;EOMONTH($E8161,0)),$J8161-$M8161))</f>
      </c>
      <c r="O8161" s="43">
        <f>IF($I8161=0,0,INDEX(DarlErsatzRate,17))</f>
      </c>
      <c r="P8161" s="43">
        <f>IF($I8161=0,0,$Q8160*INDEX(DarlErsatzZins,17))</f>
      </c>
      <c r="Q8161" s="43">
        <f>IF($I8161=0,0,$Q8160+$P8161+$O8161)</f>
      </c>
      <c r="R8161" s="43">
        <f>IF($I8161=0,0,$J8161-$M8161-$N8161)</f>
      </c>
    </row>
    <row r="8162">
      <c r="A8162"/>
      <c r="B8162">
        <v>17</v>
      </c>
      <c r="C8162" s="43">
        <f>INDEX(DarlObj,17)</f>
      </c>
      <c r="D8162">
        <v>479</v>
      </c>
      <c r="E8162" s="51">
        <f>IF(INDEX(DarlBelegt,17)=0,0,EOMONTH(INDEX(DarlAuszahlung,17),478)+1)</f>
      </c>
      <c r="F8162" s="43">
        <f>IF($E8162=0,0,YEAR($E8162))</f>
      </c>
      <c r="G8162" s="43">
        <f>IF(INDEX(DarlBindung,17)="",1,IF($E8162&lt;=INDEX(DarlBindung,17),1,0))</f>
      </c>
      <c r="H8162" s="43">
        <f>IF($G8162=1,INDEX(DarlSollzins,17),INDEX(DarlAnschluss,17))</f>
      </c>
      <c r="I8162" s="43">
        <f>IF(INDEX(DarlBelegt,17)=0,0,IF(INDEX(DarlOhneTilgung,17)=1,IF(INDEX(DarlBindung,17)="",1,$G8162),IF($J8162&gt;0.005,1,0)))</f>
      </c>
      <c r="J8162" s="43">
        <f>IF($I8161=0,0,$R8161)</f>
      </c>
      <c r="K8162" s="43">
        <f>IF($I8162=0,0,IF(INDEX(DarlOhneTilgung,17)=1,0,IF(AND(INDEX(DarlTilgStart,17)&gt;0,$E8162=INDEX(DarlTilgStart,17)),$J8162*($H8162+INDEX(DarlTilgung,17))/100/12,IF(AND($G8162=0,$G8161=1),MAX($K8161,$J8162*($H8162+1)/100/12),$K8161))))</f>
      </c>
      <c r="L8162" s="43">
        <f>IF($I8162=0,0,$J8162*$H8162/100/12)</f>
      </c>
      <c r="M8162" s="43">
        <f>IF($I8162=0,0,IF(OR(INDEX(DarlOhneTilgung,17)=1,AND(INDEX(DarlTilgStart,17)&gt;0,$E8162&lt;INDEX(DarlTilgStart,17))),0,MIN(MAX(0,$K8162-$L8162),$J8162)))</f>
      </c>
      <c r="N8162" s="43">
        <f>IF($I8162=0,0,MIN(SUMIFS(SondBetrag,SondDarl,17,SondDatum,"&gt;="&amp;$E8162,SondDatum,"&lt;="&amp;EOMONTH($E8162,0)),$J8162-$M8162))</f>
      </c>
      <c r="O8162" s="43">
        <f>IF($I8162=0,0,INDEX(DarlErsatzRate,17))</f>
      </c>
      <c r="P8162" s="43">
        <f>IF($I8162=0,0,$Q8161*INDEX(DarlErsatzZins,17))</f>
      </c>
      <c r="Q8162" s="43">
        <f>IF($I8162=0,0,$Q8161+$P8162+$O8162)</f>
      </c>
      <c r="R8162" s="43">
        <f>IF($I8162=0,0,$J8162-$M8162-$N8162)</f>
      </c>
    </row>
    <row r="8163">
      <c r="A8163"/>
      <c r="B8163">
        <v>17</v>
      </c>
      <c r="C8163" s="43">
        <f>INDEX(DarlObj,17)</f>
      </c>
      <c r="D8163">
        <v>480</v>
      </c>
      <c r="E8163" s="51">
        <f>IF(INDEX(DarlBelegt,17)=0,0,EOMONTH(INDEX(DarlAuszahlung,17),479)+1)</f>
      </c>
      <c r="F8163" s="43">
        <f>IF($E8163=0,0,YEAR($E8163))</f>
      </c>
      <c r="G8163" s="43">
        <f>IF(INDEX(DarlBindung,17)="",1,IF($E8163&lt;=INDEX(DarlBindung,17),1,0))</f>
      </c>
      <c r="H8163" s="43">
        <f>IF($G8163=1,INDEX(DarlSollzins,17),INDEX(DarlAnschluss,17))</f>
      </c>
      <c r="I8163" s="43">
        <f>IF(INDEX(DarlBelegt,17)=0,0,IF(INDEX(DarlOhneTilgung,17)=1,IF(INDEX(DarlBindung,17)="",1,$G8163),IF($J8163&gt;0.005,1,0)))</f>
      </c>
      <c r="J8163" s="43">
        <f>IF($I8162=0,0,$R8162)</f>
      </c>
      <c r="K8163" s="43">
        <f>IF($I8163=0,0,IF(INDEX(DarlOhneTilgung,17)=1,0,IF(AND(INDEX(DarlTilgStart,17)&gt;0,$E8163=INDEX(DarlTilgStart,17)),$J8163*($H8163+INDEX(DarlTilgung,17))/100/12,IF(AND($G8163=0,$G8162=1),MAX($K8162,$J8163*($H8163+1)/100/12),$K8162))))</f>
      </c>
      <c r="L8163" s="43">
        <f>IF($I8163=0,0,$J8163*$H8163/100/12)</f>
      </c>
      <c r="M8163" s="43">
        <f>IF($I8163=0,0,IF(OR(INDEX(DarlOhneTilgung,17)=1,AND(INDEX(DarlTilgStart,17)&gt;0,$E8163&lt;INDEX(DarlTilgStart,17))),0,MIN(MAX(0,$K8163-$L8163),$J8163)))</f>
      </c>
      <c r="N8163" s="43">
        <f>IF($I8163=0,0,MIN(SUMIFS(SondBetrag,SondDarl,17,SondDatum,"&gt;="&amp;$E8163,SondDatum,"&lt;="&amp;EOMONTH($E8163,0)),$J8163-$M8163))</f>
      </c>
      <c r="O8163" s="43">
        <f>IF($I8163=0,0,INDEX(DarlErsatzRate,17))</f>
      </c>
      <c r="P8163" s="43">
        <f>IF($I8163=0,0,$Q8162*INDEX(DarlErsatzZins,17))</f>
      </c>
      <c r="Q8163" s="43">
        <f>IF($I8163=0,0,$Q8162+$P8163+$O8163)</f>
      </c>
      <c r="R8163" s="43">
        <f>IF($I8163=0,0,$J8163-$M8163-$N8163)</f>
      </c>
    </row>
    <row r="8164">
      <c r="A8164"/>
      <c r="B8164">
        <v>18</v>
      </c>
      <c r="C8164" s="43">
        <f>INDEX(DarlObj,18)</f>
      </c>
      <c r="D8164">
        <v>1</v>
      </c>
      <c r="E8164" s="51">
        <f>IF(INDEX(DarlBelegt,18)=0,0,EOMONTH(INDEX(DarlAuszahlung,18),0)+1)</f>
      </c>
      <c r="F8164" s="43">
        <f>IF($E8164=0,0,YEAR($E8164))</f>
      </c>
      <c r="G8164" s="43">
        <f>IF(INDEX(DarlBindung,18)="",1,IF($E8164&lt;=INDEX(DarlBindung,18),1,0))</f>
      </c>
      <c r="H8164" s="43">
        <f>IF($G8164=1,INDEX(DarlSollzins,18),INDEX(DarlAnschluss,18))</f>
      </c>
      <c r="I8164" s="43">
        <f>IF(INDEX(DarlBelegt,18)=0,0,IF(INDEX(DarlOhneTilgung,18)=1,IF(INDEX(DarlBindung,18)="",1,$G8164),IF($J8164&gt;0.005,1,0)))</f>
      </c>
      <c r="J8164" s="43">
        <f>IF(INDEX(DarlBelegt,18)=0,0,INDEX(DarlBetrag,18))</f>
      </c>
      <c r="K8164" s="43">
        <f>IF($I8164=0,0,IF(INDEX(DarlOhneTilgung,18)=1,0,INDEX(DarlRate1,18)))</f>
      </c>
      <c r="L8164" s="43">
        <f>IF($I8164=0,0,$J8164*$H8164/100/12)</f>
      </c>
      <c r="M8164" s="43">
        <f>IF($I8164=0,0,IF(OR(INDEX(DarlOhneTilgung,18)=1,AND(INDEX(DarlTilgStart,18)&gt;0,$E8164&lt;INDEX(DarlTilgStart,18))),0,MIN(MAX(0,$K8164-$L8164),$J8164)))</f>
      </c>
      <c r="N8164" s="43">
        <f>IF($I8164=0,0,MIN(SUMIFS(SondBetrag,SondDarl,18,SondDatum,"&gt;="&amp;$E8164,SondDatum,"&lt;="&amp;EOMONTH($E8164,0)),$J8164-$M8164))</f>
      </c>
      <c r="O8164" s="43">
        <f>IF($I8164=0,0,INDEX(DarlErsatzRate,18))</f>
      </c>
      <c r="P8164" s="43">
        <f>0</f>
      </c>
      <c r="Q8164" s="43">
        <f>IF($I8164=0,0,$P8164+$O8164)</f>
      </c>
      <c r="R8164" s="43">
        <f>IF($I8164=0,0,$J8164-$M8164-$N8164)</f>
      </c>
    </row>
    <row r="8165">
      <c r="A8165"/>
      <c r="B8165">
        <v>18</v>
      </c>
      <c r="C8165" s="43">
        <f>INDEX(DarlObj,18)</f>
      </c>
      <c r="D8165">
        <v>2</v>
      </c>
      <c r="E8165" s="51">
        <f>IF(INDEX(DarlBelegt,18)=0,0,EOMONTH(INDEX(DarlAuszahlung,18),1)+1)</f>
      </c>
      <c r="F8165" s="43">
        <f>IF($E8165=0,0,YEAR($E8165))</f>
      </c>
      <c r="G8165" s="43">
        <f>IF(INDEX(DarlBindung,18)="",1,IF($E8165&lt;=INDEX(DarlBindung,18),1,0))</f>
      </c>
      <c r="H8165" s="43">
        <f>IF($G8165=1,INDEX(DarlSollzins,18),INDEX(DarlAnschluss,18))</f>
      </c>
      <c r="I8165" s="43">
        <f>IF(INDEX(DarlBelegt,18)=0,0,IF(INDEX(DarlOhneTilgung,18)=1,IF(INDEX(DarlBindung,18)="",1,$G8165),IF($J8165&gt;0.005,1,0)))</f>
      </c>
      <c r="J8165" s="43">
        <f>IF($I8164=0,0,$R8164)</f>
      </c>
      <c r="K8165" s="43">
        <f>IF($I8165=0,0,IF(INDEX(DarlOhneTilgung,18)=1,0,IF(AND(INDEX(DarlTilgStart,18)&gt;0,$E8165=INDEX(DarlTilgStart,18)),$J8165*($H8165+INDEX(DarlTilgung,18))/100/12,IF(AND($G8165=0,$G8164=1),MAX($K8164,$J8165*($H8165+1)/100/12),$K8164))))</f>
      </c>
      <c r="L8165" s="43">
        <f>IF($I8165=0,0,$J8165*$H8165/100/12)</f>
      </c>
      <c r="M8165" s="43">
        <f>IF($I8165=0,0,IF(OR(INDEX(DarlOhneTilgung,18)=1,AND(INDEX(DarlTilgStart,18)&gt;0,$E8165&lt;INDEX(DarlTilgStart,18))),0,MIN(MAX(0,$K8165-$L8165),$J8165)))</f>
      </c>
      <c r="N8165" s="43">
        <f>IF($I8165=0,0,MIN(SUMIFS(SondBetrag,SondDarl,18,SondDatum,"&gt;="&amp;$E8165,SondDatum,"&lt;="&amp;EOMONTH($E8165,0)),$J8165-$M8165))</f>
      </c>
      <c r="O8165" s="43">
        <f>IF($I8165=0,0,INDEX(DarlErsatzRate,18))</f>
      </c>
      <c r="P8165" s="43">
        <f>IF($I8165=0,0,$Q8164*INDEX(DarlErsatzZins,18))</f>
      </c>
      <c r="Q8165" s="43">
        <f>IF($I8165=0,0,$Q8164+$P8165+$O8165)</f>
      </c>
      <c r="R8165" s="43">
        <f>IF($I8165=0,0,$J8165-$M8165-$N8165)</f>
      </c>
    </row>
    <row r="8166">
      <c r="A8166"/>
      <c r="B8166">
        <v>18</v>
      </c>
      <c r="C8166" s="43">
        <f>INDEX(DarlObj,18)</f>
      </c>
      <c r="D8166">
        <v>3</v>
      </c>
      <c r="E8166" s="51">
        <f>IF(INDEX(DarlBelegt,18)=0,0,EOMONTH(INDEX(DarlAuszahlung,18),2)+1)</f>
      </c>
      <c r="F8166" s="43">
        <f>IF($E8166=0,0,YEAR($E8166))</f>
      </c>
      <c r="G8166" s="43">
        <f>IF(INDEX(DarlBindung,18)="",1,IF($E8166&lt;=INDEX(DarlBindung,18),1,0))</f>
      </c>
      <c r="H8166" s="43">
        <f>IF($G8166=1,INDEX(DarlSollzins,18),INDEX(DarlAnschluss,18))</f>
      </c>
      <c r="I8166" s="43">
        <f>IF(INDEX(DarlBelegt,18)=0,0,IF(INDEX(DarlOhneTilgung,18)=1,IF(INDEX(DarlBindung,18)="",1,$G8166),IF($J8166&gt;0.005,1,0)))</f>
      </c>
      <c r="J8166" s="43">
        <f>IF($I8165=0,0,$R8165)</f>
      </c>
      <c r="K8166" s="43">
        <f>IF($I8166=0,0,IF(INDEX(DarlOhneTilgung,18)=1,0,IF(AND(INDEX(DarlTilgStart,18)&gt;0,$E8166=INDEX(DarlTilgStart,18)),$J8166*($H8166+INDEX(DarlTilgung,18))/100/12,IF(AND($G8166=0,$G8165=1),MAX($K8165,$J8166*($H8166+1)/100/12),$K8165))))</f>
      </c>
      <c r="L8166" s="43">
        <f>IF($I8166=0,0,$J8166*$H8166/100/12)</f>
      </c>
      <c r="M8166" s="43">
        <f>IF($I8166=0,0,IF(OR(INDEX(DarlOhneTilgung,18)=1,AND(INDEX(DarlTilgStart,18)&gt;0,$E8166&lt;INDEX(DarlTilgStart,18))),0,MIN(MAX(0,$K8166-$L8166),$J8166)))</f>
      </c>
      <c r="N8166" s="43">
        <f>IF($I8166=0,0,MIN(SUMIFS(SondBetrag,SondDarl,18,SondDatum,"&gt;="&amp;$E8166,SondDatum,"&lt;="&amp;EOMONTH($E8166,0)),$J8166-$M8166))</f>
      </c>
      <c r="O8166" s="43">
        <f>IF($I8166=0,0,INDEX(DarlErsatzRate,18))</f>
      </c>
      <c r="P8166" s="43">
        <f>IF($I8166=0,0,$Q8165*INDEX(DarlErsatzZins,18))</f>
      </c>
      <c r="Q8166" s="43">
        <f>IF($I8166=0,0,$Q8165+$P8166+$O8166)</f>
      </c>
      <c r="R8166" s="43">
        <f>IF($I8166=0,0,$J8166-$M8166-$N8166)</f>
      </c>
    </row>
    <row r="8167">
      <c r="A8167"/>
      <c r="B8167">
        <v>18</v>
      </c>
      <c r="C8167" s="43">
        <f>INDEX(DarlObj,18)</f>
      </c>
      <c r="D8167">
        <v>4</v>
      </c>
      <c r="E8167" s="51">
        <f>IF(INDEX(DarlBelegt,18)=0,0,EOMONTH(INDEX(DarlAuszahlung,18),3)+1)</f>
      </c>
      <c r="F8167" s="43">
        <f>IF($E8167=0,0,YEAR($E8167))</f>
      </c>
      <c r="G8167" s="43">
        <f>IF(INDEX(DarlBindung,18)="",1,IF($E8167&lt;=INDEX(DarlBindung,18),1,0))</f>
      </c>
      <c r="H8167" s="43">
        <f>IF($G8167=1,INDEX(DarlSollzins,18),INDEX(DarlAnschluss,18))</f>
      </c>
      <c r="I8167" s="43">
        <f>IF(INDEX(DarlBelegt,18)=0,0,IF(INDEX(DarlOhneTilgung,18)=1,IF(INDEX(DarlBindung,18)="",1,$G8167),IF($J8167&gt;0.005,1,0)))</f>
      </c>
      <c r="J8167" s="43">
        <f>IF($I8166=0,0,$R8166)</f>
      </c>
      <c r="K8167" s="43">
        <f>IF($I8167=0,0,IF(INDEX(DarlOhneTilgung,18)=1,0,IF(AND(INDEX(DarlTilgStart,18)&gt;0,$E8167=INDEX(DarlTilgStart,18)),$J8167*($H8167+INDEX(DarlTilgung,18))/100/12,IF(AND($G8167=0,$G8166=1),MAX($K8166,$J8167*($H8167+1)/100/12),$K8166))))</f>
      </c>
      <c r="L8167" s="43">
        <f>IF($I8167=0,0,$J8167*$H8167/100/12)</f>
      </c>
      <c r="M8167" s="43">
        <f>IF($I8167=0,0,IF(OR(INDEX(DarlOhneTilgung,18)=1,AND(INDEX(DarlTilgStart,18)&gt;0,$E8167&lt;INDEX(DarlTilgStart,18))),0,MIN(MAX(0,$K8167-$L8167),$J8167)))</f>
      </c>
      <c r="N8167" s="43">
        <f>IF($I8167=0,0,MIN(SUMIFS(SondBetrag,SondDarl,18,SondDatum,"&gt;="&amp;$E8167,SondDatum,"&lt;="&amp;EOMONTH($E8167,0)),$J8167-$M8167))</f>
      </c>
      <c r="O8167" s="43">
        <f>IF($I8167=0,0,INDEX(DarlErsatzRate,18))</f>
      </c>
      <c r="P8167" s="43">
        <f>IF($I8167=0,0,$Q8166*INDEX(DarlErsatzZins,18))</f>
      </c>
      <c r="Q8167" s="43">
        <f>IF($I8167=0,0,$Q8166+$P8167+$O8167)</f>
      </c>
      <c r="R8167" s="43">
        <f>IF($I8167=0,0,$J8167-$M8167-$N8167)</f>
      </c>
    </row>
    <row r="8168">
      <c r="A8168"/>
      <c r="B8168">
        <v>18</v>
      </c>
      <c r="C8168" s="43">
        <f>INDEX(DarlObj,18)</f>
      </c>
      <c r="D8168">
        <v>5</v>
      </c>
      <c r="E8168" s="51">
        <f>IF(INDEX(DarlBelegt,18)=0,0,EOMONTH(INDEX(DarlAuszahlung,18),4)+1)</f>
      </c>
      <c r="F8168" s="43">
        <f>IF($E8168=0,0,YEAR($E8168))</f>
      </c>
      <c r="G8168" s="43">
        <f>IF(INDEX(DarlBindung,18)="",1,IF($E8168&lt;=INDEX(DarlBindung,18),1,0))</f>
      </c>
      <c r="H8168" s="43">
        <f>IF($G8168=1,INDEX(DarlSollzins,18),INDEX(DarlAnschluss,18))</f>
      </c>
      <c r="I8168" s="43">
        <f>IF(INDEX(DarlBelegt,18)=0,0,IF(INDEX(DarlOhneTilgung,18)=1,IF(INDEX(DarlBindung,18)="",1,$G8168),IF($J8168&gt;0.005,1,0)))</f>
      </c>
      <c r="J8168" s="43">
        <f>IF($I8167=0,0,$R8167)</f>
      </c>
      <c r="K8168" s="43">
        <f>IF($I8168=0,0,IF(INDEX(DarlOhneTilgung,18)=1,0,IF(AND(INDEX(DarlTilgStart,18)&gt;0,$E8168=INDEX(DarlTilgStart,18)),$J8168*($H8168+INDEX(DarlTilgung,18))/100/12,IF(AND($G8168=0,$G8167=1),MAX($K8167,$J8168*($H8168+1)/100/12),$K8167))))</f>
      </c>
      <c r="L8168" s="43">
        <f>IF($I8168=0,0,$J8168*$H8168/100/12)</f>
      </c>
      <c r="M8168" s="43">
        <f>IF($I8168=0,0,IF(OR(INDEX(DarlOhneTilgung,18)=1,AND(INDEX(DarlTilgStart,18)&gt;0,$E8168&lt;INDEX(DarlTilgStart,18))),0,MIN(MAX(0,$K8168-$L8168),$J8168)))</f>
      </c>
      <c r="N8168" s="43">
        <f>IF($I8168=0,0,MIN(SUMIFS(SondBetrag,SondDarl,18,SondDatum,"&gt;="&amp;$E8168,SondDatum,"&lt;="&amp;EOMONTH($E8168,0)),$J8168-$M8168))</f>
      </c>
      <c r="O8168" s="43">
        <f>IF($I8168=0,0,INDEX(DarlErsatzRate,18))</f>
      </c>
      <c r="P8168" s="43">
        <f>IF($I8168=0,0,$Q8167*INDEX(DarlErsatzZins,18))</f>
      </c>
      <c r="Q8168" s="43">
        <f>IF($I8168=0,0,$Q8167+$P8168+$O8168)</f>
      </c>
      <c r="R8168" s="43">
        <f>IF($I8168=0,0,$J8168-$M8168-$N8168)</f>
      </c>
    </row>
    <row r="8169">
      <c r="A8169"/>
      <c r="B8169">
        <v>18</v>
      </c>
      <c r="C8169" s="43">
        <f>INDEX(DarlObj,18)</f>
      </c>
      <c r="D8169">
        <v>6</v>
      </c>
      <c r="E8169" s="51">
        <f>IF(INDEX(DarlBelegt,18)=0,0,EOMONTH(INDEX(DarlAuszahlung,18),5)+1)</f>
      </c>
      <c r="F8169" s="43">
        <f>IF($E8169=0,0,YEAR($E8169))</f>
      </c>
      <c r="G8169" s="43">
        <f>IF(INDEX(DarlBindung,18)="",1,IF($E8169&lt;=INDEX(DarlBindung,18),1,0))</f>
      </c>
      <c r="H8169" s="43">
        <f>IF($G8169=1,INDEX(DarlSollzins,18),INDEX(DarlAnschluss,18))</f>
      </c>
      <c r="I8169" s="43">
        <f>IF(INDEX(DarlBelegt,18)=0,0,IF(INDEX(DarlOhneTilgung,18)=1,IF(INDEX(DarlBindung,18)="",1,$G8169),IF($J8169&gt;0.005,1,0)))</f>
      </c>
      <c r="J8169" s="43">
        <f>IF($I8168=0,0,$R8168)</f>
      </c>
      <c r="K8169" s="43">
        <f>IF($I8169=0,0,IF(INDEX(DarlOhneTilgung,18)=1,0,IF(AND(INDEX(DarlTilgStart,18)&gt;0,$E8169=INDEX(DarlTilgStart,18)),$J8169*($H8169+INDEX(DarlTilgung,18))/100/12,IF(AND($G8169=0,$G8168=1),MAX($K8168,$J8169*($H8169+1)/100/12),$K8168))))</f>
      </c>
      <c r="L8169" s="43">
        <f>IF($I8169=0,0,$J8169*$H8169/100/12)</f>
      </c>
      <c r="M8169" s="43">
        <f>IF($I8169=0,0,IF(OR(INDEX(DarlOhneTilgung,18)=1,AND(INDEX(DarlTilgStart,18)&gt;0,$E8169&lt;INDEX(DarlTilgStart,18))),0,MIN(MAX(0,$K8169-$L8169),$J8169)))</f>
      </c>
      <c r="N8169" s="43">
        <f>IF($I8169=0,0,MIN(SUMIFS(SondBetrag,SondDarl,18,SondDatum,"&gt;="&amp;$E8169,SondDatum,"&lt;="&amp;EOMONTH($E8169,0)),$J8169-$M8169))</f>
      </c>
      <c r="O8169" s="43">
        <f>IF($I8169=0,0,INDEX(DarlErsatzRate,18))</f>
      </c>
      <c r="P8169" s="43">
        <f>IF($I8169=0,0,$Q8168*INDEX(DarlErsatzZins,18))</f>
      </c>
      <c r="Q8169" s="43">
        <f>IF($I8169=0,0,$Q8168+$P8169+$O8169)</f>
      </c>
      <c r="R8169" s="43">
        <f>IF($I8169=0,0,$J8169-$M8169-$N8169)</f>
      </c>
    </row>
    <row r="8170">
      <c r="A8170"/>
      <c r="B8170">
        <v>18</v>
      </c>
      <c r="C8170" s="43">
        <f>INDEX(DarlObj,18)</f>
      </c>
      <c r="D8170">
        <v>7</v>
      </c>
      <c r="E8170" s="51">
        <f>IF(INDEX(DarlBelegt,18)=0,0,EOMONTH(INDEX(DarlAuszahlung,18),6)+1)</f>
      </c>
      <c r="F8170" s="43">
        <f>IF($E8170=0,0,YEAR($E8170))</f>
      </c>
      <c r="G8170" s="43">
        <f>IF(INDEX(DarlBindung,18)="",1,IF($E8170&lt;=INDEX(DarlBindung,18),1,0))</f>
      </c>
      <c r="H8170" s="43">
        <f>IF($G8170=1,INDEX(DarlSollzins,18),INDEX(DarlAnschluss,18))</f>
      </c>
      <c r="I8170" s="43">
        <f>IF(INDEX(DarlBelegt,18)=0,0,IF(INDEX(DarlOhneTilgung,18)=1,IF(INDEX(DarlBindung,18)="",1,$G8170),IF($J8170&gt;0.005,1,0)))</f>
      </c>
      <c r="J8170" s="43">
        <f>IF($I8169=0,0,$R8169)</f>
      </c>
      <c r="K8170" s="43">
        <f>IF($I8170=0,0,IF(INDEX(DarlOhneTilgung,18)=1,0,IF(AND(INDEX(DarlTilgStart,18)&gt;0,$E8170=INDEX(DarlTilgStart,18)),$J8170*($H8170+INDEX(DarlTilgung,18))/100/12,IF(AND($G8170=0,$G8169=1),MAX($K8169,$J8170*($H8170+1)/100/12),$K8169))))</f>
      </c>
      <c r="L8170" s="43">
        <f>IF($I8170=0,0,$J8170*$H8170/100/12)</f>
      </c>
      <c r="M8170" s="43">
        <f>IF($I8170=0,0,IF(OR(INDEX(DarlOhneTilgung,18)=1,AND(INDEX(DarlTilgStart,18)&gt;0,$E8170&lt;INDEX(DarlTilgStart,18))),0,MIN(MAX(0,$K8170-$L8170),$J8170)))</f>
      </c>
      <c r="N8170" s="43">
        <f>IF($I8170=0,0,MIN(SUMIFS(SondBetrag,SondDarl,18,SondDatum,"&gt;="&amp;$E8170,SondDatum,"&lt;="&amp;EOMONTH($E8170,0)),$J8170-$M8170))</f>
      </c>
      <c r="O8170" s="43">
        <f>IF($I8170=0,0,INDEX(DarlErsatzRate,18))</f>
      </c>
      <c r="P8170" s="43">
        <f>IF($I8170=0,0,$Q8169*INDEX(DarlErsatzZins,18))</f>
      </c>
      <c r="Q8170" s="43">
        <f>IF($I8170=0,0,$Q8169+$P8170+$O8170)</f>
      </c>
      <c r="R8170" s="43">
        <f>IF($I8170=0,0,$J8170-$M8170-$N8170)</f>
      </c>
    </row>
    <row r="8171">
      <c r="A8171"/>
      <c r="B8171">
        <v>18</v>
      </c>
      <c r="C8171" s="43">
        <f>INDEX(DarlObj,18)</f>
      </c>
      <c r="D8171">
        <v>8</v>
      </c>
      <c r="E8171" s="51">
        <f>IF(INDEX(DarlBelegt,18)=0,0,EOMONTH(INDEX(DarlAuszahlung,18),7)+1)</f>
      </c>
      <c r="F8171" s="43">
        <f>IF($E8171=0,0,YEAR($E8171))</f>
      </c>
      <c r="G8171" s="43">
        <f>IF(INDEX(DarlBindung,18)="",1,IF($E8171&lt;=INDEX(DarlBindung,18),1,0))</f>
      </c>
      <c r="H8171" s="43">
        <f>IF($G8171=1,INDEX(DarlSollzins,18),INDEX(DarlAnschluss,18))</f>
      </c>
      <c r="I8171" s="43">
        <f>IF(INDEX(DarlBelegt,18)=0,0,IF(INDEX(DarlOhneTilgung,18)=1,IF(INDEX(DarlBindung,18)="",1,$G8171),IF($J8171&gt;0.005,1,0)))</f>
      </c>
      <c r="J8171" s="43">
        <f>IF($I8170=0,0,$R8170)</f>
      </c>
      <c r="K8171" s="43">
        <f>IF($I8171=0,0,IF(INDEX(DarlOhneTilgung,18)=1,0,IF(AND(INDEX(DarlTilgStart,18)&gt;0,$E8171=INDEX(DarlTilgStart,18)),$J8171*($H8171+INDEX(DarlTilgung,18))/100/12,IF(AND($G8171=0,$G8170=1),MAX($K8170,$J8171*($H8171+1)/100/12),$K8170))))</f>
      </c>
      <c r="L8171" s="43">
        <f>IF($I8171=0,0,$J8171*$H8171/100/12)</f>
      </c>
      <c r="M8171" s="43">
        <f>IF($I8171=0,0,IF(OR(INDEX(DarlOhneTilgung,18)=1,AND(INDEX(DarlTilgStart,18)&gt;0,$E8171&lt;INDEX(DarlTilgStart,18))),0,MIN(MAX(0,$K8171-$L8171),$J8171)))</f>
      </c>
      <c r="N8171" s="43">
        <f>IF($I8171=0,0,MIN(SUMIFS(SondBetrag,SondDarl,18,SondDatum,"&gt;="&amp;$E8171,SondDatum,"&lt;="&amp;EOMONTH($E8171,0)),$J8171-$M8171))</f>
      </c>
      <c r="O8171" s="43">
        <f>IF($I8171=0,0,INDEX(DarlErsatzRate,18))</f>
      </c>
      <c r="P8171" s="43">
        <f>IF($I8171=0,0,$Q8170*INDEX(DarlErsatzZins,18))</f>
      </c>
      <c r="Q8171" s="43">
        <f>IF($I8171=0,0,$Q8170+$P8171+$O8171)</f>
      </c>
      <c r="R8171" s="43">
        <f>IF($I8171=0,0,$J8171-$M8171-$N8171)</f>
      </c>
    </row>
    <row r="8172">
      <c r="A8172"/>
      <c r="B8172">
        <v>18</v>
      </c>
      <c r="C8172" s="43">
        <f>INDEX(DarlObj,18)</f>
      </c>
      <c r="D8172">
        <v>9</v>
      </c>
      <c r="E8172" s="51">
        <f>IF(INDEX(DarlBelegt,18)=0,0,EOMONTH(INDEX(DarlAuszahlung,18),8)+1)</f>
      </c>
      <c r="F8172" s="43">
        <f>IF($E8172=0,0,YEAR($E8172))</f>
      </c>
      <c r="G8172" s="43">
        <f>IF(INDEX(DarlBindung,18)="",1,IF($E8172&lt;=INDEX(DarlBindung,18),1,0))</f>
      </c>
      <c r="H8172" s="43">
        <f>IF($G8172=1,INDEX(DarlSollzins,18),INDEX(DarlAnschluss,18))</f>
      </c>
      <c r="I8172" s="43">
        <f>IF(INDEX(DarlBelegt,18)=0,0,IF(INDEX(DarlOhneTilgung,18)=1,IF(INDEX(DarlBindung,18)="",1,$G8172),IF($J8172&gt;0.005,1,0)))</f>
      </c>
      <c r="J8172" s="43">
        <f>IF($I8171=0,0,$R8171)</f>
      </c>
      <c r="K8172" s="43">
        <f>IF($I8172=0,0,IF(INDEX(DarlOhneTilgung,18)=1,0,IF(AND(INDEX(DarlTilgStart,18)&gt;0,$E8172=INDEX(DarlTilgStart,18)),$J8172*($H8172+INDEX(DarlTilgung,18))/100/12,IF(AND($G8172=0,$G8171=1),MAX($K8171,$J8172*($H8172+1)/100/12),$K8171))))</f>
      </c>
      <c r="L8172" s="43">
        <f>IF($I8172=0,0,$J8172*$H8172/100/12)</f>
      </c>
      <c r="M8172" s="43">
        <f>IF($I8172=0,0,IF(OR(INDEX(DarlOhneTilgung,18)=1,AND(INDEX(DarlTilgStart,18)&gt;0,$E8172&lt;INDEX(DarlTilgStart,18))),0,MIN(MAX(0,$K8172-$L8172),$J8172)))</f>
      </c>
      <c r="N8172" s="43">
        <f>IF($I8172=0,0,MIN(SUMIFS(SondBetrag,SondDarl,18,SondDatum,"&gt;="&amp;$E8172,SondDatum,"&lt;="&amp;EOMONTH($E8172,0)),$J8172-$M8172))</f>
      </c>
      <c r="O8172" s="43">
        <f>IF($I8172=0,0,INDEX(DarlErsatzRate,18))</f>
      </c>
      <c r="P8172" s="43">
        <f>IF($I8172=0,0,$Q8171*INDEX(DarlErsatzZins,18))</f>
      </c>
      <c r="Q8172" s="43">
        <f>IF($I8172=0,0,$Q8171+$P8172+$O8172)</f>
      </c>
      <c r="R8172" s="43">
        <f>IF($I8172=0,0,$J8172-$M8172-$N8172)</f>
      </c>
    </row>
    <row r="8173">
      <c r="A8173"/>
      <c r="B8173">
        <v>18</v>
      </c>
      <c r="C8173" s="43">
        <f>INDEX(DarlObj,18)</f>
      </c>
      <c r="D8173">
        <v>10</v>
      </c>
      <c r="E8173" s="51">
        <f>IF(INDEX(DarlBelegt,18)=0,0,EOMONTH(INDEX(DarlAuszahlung,18),9)+1)</f>
      </c>
      <c r="F8173" s="43">
        <f>IF($E8173=0,0,YEAR($E8173))</f>
      </c>
      <c r="G8173" s="43">
        <f>IF(INDEX(DarlBindung,18)="",1,IF($E8173&lt;=INDEX(DarlBindung,18),1,0))</f>
      </c>
      <c r="H8173" s="43">
        <f>IF($G8173=1,INDEX(DarlSollzins,18),INDEX(DarlAnschluss,18))</f>
      </c>
      <c r="I8173" s="43">
        <f>IF(INDEX(DarlBelegt,18)=0,0,IF(INDEX(DarlOhneTilgung,18)=1,IF(INDEX(DarlBindung,18)="",1,$G8173),IF($J8173&gt;0.005,1,0)))</f>
      </c>
      <c r="J8173" s="43">
        <f>IF($I8172=0,0,$R8172)</f>
      </c>
      <c r="K8173" s="43">
        <f>IF($I8173=0,0,IF(INDEX(DarlOhneTilgung,18)=1,0,IF(AND(INDEX(DarlTilgStart,18)&gt;0,$E8173=INDEX(DarlTilgStart,18)),$J8173*($H8173+INDEX(DarlTilgung,18))/100/12,IF(AND($G8173=0,$G8172=1),MAX($K8172,$J8173*($H8173+1)/100/12),$K8172))))</f>
      </c>
      <c r="L8173" s="43">
        <f>IF($I8173=0,0,$J8173*$H8173/100/12)</f>
      </c>
      <c r="M8173" s="43">
        <f>IF($I8173=0,0,IF(OR(INDEX(DarlOhneTilgung,18)=1,AND(INDEX(DarlTilgStart,18)&gt;0,$E8173&lt;INDEX(DarlTilgStart,18))),0,MIN(MAX(0,$K8173-$L8173),$J8173)))</f>
      </c>
      <c r="N8173" s="43">
        <f>IF($I8173=0,0,MIN(SUMIFS(SondBetrag,SondDarl,18,SondDatum,"&gt;="&amp;$E8173,SondDatum,"&lt;="&amp;EOMONTH($E8173,0)),$J8173-$M8173))</f>
      </c>
      <c r="O8173" s="43">
        <f>IF($I8173=0,0,INDEX(DarlErsatzRate,18))</f>
      </c>
      <c r="P8173" s="43">
        <f>IF($I8173=0,0,$Q8172*INDEX(DarlErsatzZins,18))</f>
      </c>
      <c r="Q8173" s="43">
        <f>IF($I8173=0,0,$Q8172+$P8173+$O8173)</f>
      </c>
      <c r="R8173" s="43">
        <f>IF($I8173=0,0,$J8173-$M8173-$N8173)</f>
      </c>
    </row>
    <row r="8174">
      <c r="A8174"/>
      <c r="B8174">
        <v>18</v>
      </c>
      <c r="C8174" s="43">
        <f>INDEX(DarlObj,18)</f>
      </c>
      <c r="D8174">
        <v>11</v>
      </c>
      <c r="E8174" s="51">
        <f>IF(INDEX(DarlBelegt,18)=0,0,EOMONTH(INDEX(DarlAuszahlung,18),10)+1)</f>
      </c>
      <c r="F8174" s="43">
        <f>IF($E8174=0,0,YEAR($E8174))</f>
      </c>
      <c r="G8174" s="43">
        <f>IF(INDEX(DarlBindung,18)="",1,IF($E8174&lt;=INDEX(DarlBindung,18),1,0))</f>
      </c>
      <c r="H8174" s="43">
        <f>IF($G8174=1,INDEX(DarlSollzins,18),INDEX(DarlAnschluss,18))</f>
      </c>
      <c r="I8174" s="43">
        <f>IF(INDEX(DarlBelegt,18)=0,0,IF(INDEX(DarlOhneTilgung,18)=1,IF(INDEX(DarlBindung,18)="",1,$G8174),IF($J8174&gt;0.005,1,0)))</f>
      </c>
      <c r="J8174" s="43">
        <f>IF($I8173=0,0,$R8173)</f>
      </c>
      <c r="K8174" s="43">
        <f>IF($I8174=0,0,IF(INDEX(DarlOhneTilgung,18)=1,0,IF(AND(INDEX(DarlTilgStart,18)&gt;0,$E8174=INDEX(DarlTilgStart,18)),$J8174*($H8174+INDEX(DarlTilgung,18))/100/12,IF(AND($G8174=0,$G8173=1),MAX($K8173,$J8174*($H8174+1)/100/12),$K8173))))</f>
      </c>
      <c r="L8174" s="43">
        <f>IF($I8174=0,0,$J8174*$H8174/100/12)</f>
      </c>
      <c r="M8174" s="43">
        <f>IF($I8174=0,0,IF(OR(INDEX(DarlOhneTilgung,18)=1,AND(INDEX(DarlTilgStart,18)&gt;0,$E8174&lt;INDEX(DarlTilgStart,18))),0,MIN(MAX(0,$K8174-$L8174),$J8174)))</f>
      </c>
      <c r="N8174" s="43">
        <f>IF($I8174=0,0,MIN(SUMIFS(SondBetrag,SondDarl,18,SondDatum,"&gt;="&amp;$E8174,SondDatum,"&lt;="&amp;EOMONTH($E8174,0)),$J8174-$M8174))</f>
      </c>
      <c r="O8174" s="43">
        <f>IF($I8174=0,0,INDEX(DarlErsatzRate,18))</f>
      </c>
      <c r="P8174" s="43">
        <f>IF($I8174=0,0,$Q8173*INDEX(DarlErsatzZins,18))</f>
      </c>
      <c r="Q8174" s="43">
        <f>IF($I8174=0,0,$Q8173+$P8174+$O8174)</f>
      </c>
      <c r="R8174" s="43">
        <f>IF($I8174=0,0,$J8174-$M8174-$N8174)</f>
      </c>
    </row>
    <row r="8175">
      <c r="A8175"/>
      <c r="B8175">
        <v>18</v>
      </c>
      <c r="C8175" s="43">
        <f>INDEX(DarlObj,18)</f>
      </c>
      <c r="D8175">
        <v>12</v>
      </c>
      <c r="E8175" s="51">
        <f>IF(INDEX(DarlBelegt,18)=0,0,EOMONTH(INDEX(DarlAuszahlung,18),11)+1)</f>
      </c>
      <c r="F8175" s="43">
        <f>IF($E8175=0,0,YEAR($E8175))</f>
      </c>
      <c r="G8175" s="43">
        <f>IF(INDEX(DarlBindung,18)="",1,IF($E8175&lt;=INDEX(DarlBindung,18),1,0))</f>
      </c>
      <c r="H8175" s="43">
        <f>IF($G8175=1,INDEX(DarlSollzins,18),INDEX(DarlAnschluss,18))</f>
      </c>
      <c r="I8175" s="43">
        <f>IF(INDEX(DarlBelegt,18)=0,0,IF(INDEX(DarlOhneTilgung,18)=1,IF(INDEX(DarlBindung,18)="",1,$G8175),IF($J8175&gt;0.005,1,0)))</f>
      </c>
      <c r="J8175" s="43">
        <f>IF($I8174=0,0,$R8174)</f>
      </c>
      <c r="K8175" s="43">
        <f>IF($I8175=0,0,IF(INDEX(DarlOhneTilgung,18)=1,0,IF(AND(INDEX(DarlTilgStart,18)&gt;0,$E8175=INDEX(DarlTilgStart,18)),$J8175*($H8175+INDEX(DarlTilgung,18))/100/12,IF(AND($G8175=0,$G8174=1),MAX($K8174,$J8175*($H8175+1)/100/12),$K8174))))</f>
      </c>
      <c r="L8175" s="43">
        <f>IF($I8175=0,0,$J8175*$H8175/100/12)</f>
      </c>
      <c r="M8175" s="43">
        <f>IF($I8175=0,0,IF(OR(INDEX(DarlOhneTilgung,18)=1,AND(INDEX(DarlTilgStart,18)&gt;0,$E8175&lt;INDEX(DarlTilgStart,18))),0,MIN(MAX(0,$K8175-$L8175),$J8175)))</f>
      </c>
      <c r="N8175" s="43">
        <f>IF($I8175=0,0,MIN(SUMIFS(SondBetrag,SondDarl,18,SondDatum,"&gt;="&amp;$E8175,SondDatum,"&lt;="&amp;EOMONTH($E8175,0)),$J8175-$M8175))</f>
      </c>
      <c r="O8175" s="43">
        <f>IF($I8175=0,0,INDEX(DarlErsatzRate,18))</f>
      </c>
      <c r="P8175" s="43">
        <f>IF($I8175=0,0,$Q8174*INDEX(DarlErsatzZins,18))</f>
      </c>
      <c r="Q8175" s="43">
        <f>IF($I8175=0,0,$Q8174+$P8175+$O8175)</f>
      </c>
      <c r="R8175" s="43">
        <f>IF($I8175=0,0,$J8175-$M8175-$N8175)</f>
      </c>
    </row>
    <row r="8176">
      <c r="A8176"/>
      <c r="B8176">
        <v>18</v>
      </c>
      <c r="C8176" s="43">
        <f>INDEX(DarlObj,18)</f>
      </c>
      <c r="D8176">
        <v>13</v>
      </c>
      <c r="E8176" s="51">
        <f>IF(INDEX(DarlBelegt,18)=0,0,EOMONTH(INDEX(DarlAuszahlung,18),12)+1)</f>
      </c>
      <c r="F8176" s="43">
        <f>IF($E8176=0,0,YEAR($E8176))</f>
      </c>
      <c r="G8176" s="43">
        <f>IF(INDEX(DarlBindung,18)="",1,IF($E8176&lt;=INDEX(DarlBindung,18),1,0))</f>
      </c>
      <c r="H8176" s="43">
        <f>IF($G8176=1,INDEX(DarlSollzins,18),INDEX(DarlAnschluss,18))</f>
      </c>
      <c r="I8176" s="43">
        <f>IF(INDEX(DarlBelegt,18)=0,0,IF(INDEX(DarlOhneTilgung,18)=1,IF(INDEX(DarlBindung,18)="",1,$G8176),IF($J8176&gt;0.005,1,0)))</f>
      </c>
      <c r="J8176" s="43">
        <f>IF($I8175=0,0,$R8175)</f>
      </c>
      <c r="K8176" s="43">
        <f>IF($I8176=0,0,IF(INDEX(DarlOhneTilgung,18)=1,0,IF(AND(INDEX(DarlTilgStart,18)&gt;0,$E8176=INDEX(DarlTilgStart,18)),$J8176*($H8176+INDEX(DarlTilgung,18))/100/12,IF(AND($G8176=0,$G8175=1),MAX($K8175,$J8176*($H8176+1)/100/12),$K8175))))</f>
      </c>
      <c r="L8176" s="43">
        <f>IF($I8176=0,0,$J8176*$H8176/100/12)</f>
      </c>
      <c r="M8176" s="43">
        <f>IF($I8176=0,0,IF(OR(INDEX(DarlOhneTilgung,18)=1,AND(INDEX(DarlTilgStart,18)&gt;0,$E8176&lt;INDEX(DarlTilgStart,18))),0,MIN(MAX(0,$K8176-$L8176),$J8176)))</f>
      </c>
      <c r="N8176" s="43">
        <f>IF($I8176=0,0,MIN(SUMIFS(SondBetrag,SondDarl,18,SondDatum,"&gt;="&amp;$E8176,SondDatum,"&lt;="&amp;EOMONTH($E8176,0)),$J8176-$M8176))</f>
      </c>
      <c r="O8176" s="43">
        <f>IF($I8176=0,0,INDEX(DarlErsatzRate,18))</f>
      </c>
      <c r="P8176" s="43">
        <f>IF($I8176=0,0,$Q8175*INDEX(DarlErsatzZins,18))</f>
      </c>
      <c r="Q8176" s="43">
        <f>IF($I8176=0,0,$Q8175+$P8176+$O8176)</f>
      </c>
      <c r="R8176" s="43">
        <f>IF($I8176=0,0,$J8176-$M8176-$N8176)</f>
      </c>
    </row>
    <row r="8177">
      <c r="A8177"/>
      <c r="B8177">
        <v>18</v>
      </c>
      <c r="C8177" s="43">
        <f>INDEX(DarlObj,18)</f>
      </c>
      <c r="D8177">
        <v>14</v>
      </c>
      <c r="E8177" s="51">
        <f>IF(INDEX(DarlBelegt,18)=0,0,EOMONTH(INDEX(DarlAuszahlung,18),13)+1)</f>
      </c>
      <c r="F8177" s="43">
        <f>IF($E8177=0,0,YEAR($E8177))</f>
      </c>
      <c r="G8177" s="43">
        <f>IF(INDEX(DarlBindung,18)="",1,IF($E8177&lt;=INDEX(DarlBindung,18),1,0))</f>
      </c>
      <c r="H8177" s="43">
        <f>IF($G8177=1,INDEX(DarlSollzins,18),INDEX(DarlAnschluss,18))</f>
      </c>
      <c r="I8177" s="43">
        <f>IF(INDEX(DarlBelegt,18)=0,0,IF(INDEX(DarlOhneTilgung,18)=1,IF(INDEX(DarlBindung,18)="",1,$G8177),IF($J8177&gt;0.005,1,0)))</f>
      </c>
      <c r="J8177" s="43">
        <f>IF($I8176=0,0,$R8176)</f>
      </c>
      <c r="K8177" s="43">
        <f>IF($I8177=0,0,IF(INDEX(DarlOhneTilgung,18)=1,0,IF(AND(INDEX(DarlTilgStart,18)&gt;0,$E8177=INDEX(DarlTilgStart,18)),$J8177*($H8177+INDEX(DarlTilgung,18))/100/12,IF(AND($G8177=0,$G8176=1),MAX($K8176,$J8177*($H8177+1)/100/12),$K8176))))</f>
      </c>
      <c r="L8177" s="43">
        <f>IF($I8177=0,0,$J8177*$H8177/100/12)</f>
      </c>
      <c r="M8177" s="43">
        <f>IF($I8177=0,0,IF(OR(INDEX(DarlOhneTilgung,18)=1,AND(INDEX(DarlTilgStart,18)&gt;0,$E8177&lt;INDEX(DarlTilgStart,18))),0,MIN(MAX(0,$K8177-$L8177),$J8177)))</f>
      </c>
      <c r="N8177" s="43">
        <f>IF($I8177=0,0,MIN(SUMIFS(SondBetrag,SondDarl,18,SondDatum,"&gt;="&amp;$E8177,SondDatum,"&lt;="&amp;EOMONTH($E8177,0)),$J8177-$M8177))</f>
      </c>
      <c r="O8177" s="43">
        <f>IF($I8177=0,0,INDEX(DarlErsatzRate,18))</f>
      </c>
      <c r="P8177" s="43">
        <f>IF($I8177=0,0,$Q8176*INDEX(DarlErsatzZins,18))</f>
      </c>
      <c r="Q8177" s="43">
        <f>IF($I8177=0,0,$Q8176+$P8177+$O8177)</f>
      </c>
      <c r="R8177" s="43">
        <f>IF($I8177=0,0,$J8177-$M8177-$N8177)</f>
      </c>
    </row>
    <row r="8178">
      <c r="A8178"/>
      <c r="B8178">
        <v>18</v>
      </c>
      <c r="C8178" s="43">
        <f>INDEX(DarlObj,18)</f>
      </c>
      <c r="D8178">
        <v>15</v>
      </c>
      <c r="E8178" s="51">
        <f>IF(INDEX(DarlBelegt,18)=0,0,EOMONTH(INDEX(DarlAuszahlung,18),14)+1)</f>
      </c>
      <c r="F8178" s="43">
        <f>IF($E8178=0,0,YEAR($E8178))</f>
      </c>
      <c r="G8178" s="43">
        <f>IF(INDEX(DarlBindung,18)="",1,IF($E8178&lt;=INDEX(DarlBindung,18),1,0))</f>
      </c>
      <c r="H8178" s="43">
        <f>IF($G8178=1,INDEX(DarlSollzins,18),INDEX(DarlAnschluss,18))</f>
      </c>
      <c r="I8178" s="43">
        <f>IF(INDEX(DarlBelegt,18)=0,0,IF(INDEX(DarlOhneTilgung,18)=1,IF(INDEX(DarlBindung,18)="",1,$G8178),IF($J8178&gt;0.005,1,0)))</f>
      </c>
      <c r="J8178" s="43">
        <f>IF($I8177=0,0,$R8177)</f>
      </c>
      <c r="K8178" s="43">
        <f>IF($I8178=0,0,IF(INDEX(DarlOhneTilgung,18)=1,0,IF(AND(INDEX(DarlTilgStart,18)&gt;0,$E8178=INDEX(DarlTilgStart,18)),$J8178*($H8178+INDEX(DarlTilgung,18))/100/12,IF(AND($G8178=0,$G8177=1),MAX($K8177,$J8178*($H8178+1)/100/12),$K8177))))</f>
      </c>
      <c r="L8178" s="43">
        <f>IF($I8178=0,0,$J8178*$H8178/100/12)</f>
      </c>
      <c r="M8178" s="43">
        <f>IF($I8178=0,0,IF(OR(INDEX(DarlOhneTilgung,18)=1,AND(INDEX(DarlTilgStart,18)&gt;0,$E8178&lt;INDEX(DarlTilgStart,18))),0,MIN(MAX(0,$K8178-$L8178),$J8178)))</f>
      </c>
      <c r="N8178" s="43">
        <f>IF($I8178=0,0,MIN(SUMIFS(SondBetrag,SondDarl,18,SondDatum,"&gt;="&amp;$E8178,SondDatum,"&lt;="&amp;EOMONTH($E8178,0)),$J8178-$M8178))</f>
      </c>
      <c r="O8178" s="43">
        <f>IF($I8178=0,0,INDEX(DarlErsatzRate,18))</f>
      </c>
      <c r="P8178" s="43">
        <f>IF($I8178=0,0,$Q8177*INDEX(DarlErsatzZins,18))</f>
      </c>
      <c r="Q8178" s="43">
        <f>IF($I8178=0,0,$Q8177+$P8178+$O8178)</f>
      </c>
      <c r="R8178" s="43">
        <f>IF($I8178=0,0,$J8178-$M8178-$N8178)</f>
      </c>
    </row>
    <row r="8179">
      <c r="A8179"/>
      <c r="B8179">
        <v>18</v>
      </c>
      <c r="C8179" s="43">
        <f>INDEX(DarlObj,18)</f>
      </c>
      <c r="D8179">
        <v>16</v>
      </c>
      <c r="E8179" s="51">
        <f>IF(INDEX(DarlBelegt,18)=0,0,EOMONTH(INDEX(DarlAuszahlung,18),15)+1)</f>
      </c>
      <c r="F8179" s="43">
        <f>IF($E8179=0,0,YEAR($E8179))</f>
      </c>
      <c r="G8179" s="43">
        <f>IF(INDEX(DarlBindung,18)="",1,IF($E8179&lt;=INDEX(DarlBindung,18),1,0))</f>
      </c>
      <c r="H8179" s="43">
        <f>IF($G8179=1,INDEX(DarlSollzins,18),INDEX(DarlAnschluss,18))</f>
      </c>
      <c r="I8179" s="43">
        <f>IF(INDEX(DarlBelegt,18)=0,0,IF(INDEX(DarlOhneTilgung,18)=1,IF(INDEX(DarlBindung,18)="",1,$G8179),IF($J8179&gt;0.005,1,0)))</f>
      </c>
      <c r="J8179" s="43">
        <f>IF($I8178=0,0,$R8178)</f>
      </c>
      <c r="K8179" s="43">
        <f>IF($I8179=0,0,IF(INDEX(DarlOhneTilgung,18)=1,0,IF(AND(INDEX(DarlTilgStart,18)&gt;0,$E8179=INDEX(DarlTilgStart,18)),$J8179*($H8179+INDEX(DarlTilgung,18))/100/12,IF(AND($G8179=0,$G8178=1),MAX($K8178,$J8179*($H8179+1)/100/12),$K8178))))</f>
      </c>
      <c r="L8179" s="43">
        <f>IF($I8179=0,0,$J8179*$H8179/100/12)</f>
      </c>
      <c r="M8179" s="43">
        <f>IF($I8179=0,0,IF(OR(INDEX(DarlOhneTilgung,18)=1,AND(INDEX(DarlTilgStart,18)&gt;0,$E8179&lt;INDEX(DarlTilgStart,18))),0,MIN(MAX(0,$K8179-$L8179),$J8179)))</f>
      </c>
      <c r="N8179" s="43">
        <f>IF($I8179=0,0,MIN(SUMIFS(SondBetrag,SondDarl,18,SondDatum,"&gt;="&amp;$E8179,SondDatum,"&lt;="&amp;EOMONTH($E8179,0)),$J8179-$M8179))</f>
      </c>
      <c r="O8179" s="43">
        <f>IF($I8179=0,0,INDEX(DarlErsatzRate,18))</f>
      </c>
      <c r="P8179" s="43">
        <f>IF($I8179=0,0,$Q8178*INDEX(DarlErsatzZins,18))</f>
      </c>
      <c r="Q8179" s="43">
        <f>IF($I8179=0,0,$Q8178+$P8179+$O8179)</f>
      </c>
      <c r="R8179" s="43">
        <f>IF($I8179=0,0,$J8179-$M8179-$N8179)</f>
      </c>
    </row>
    <row r="8180">
      <c r="A8180"/>
      <c r="B8180">
        <v>18</v>
      </c>
      <c r="C8180" s="43">
        <f>INDEX(DarlObj,18)</f>
      </c>
      <c r="D8180">
        <v>17</v>
      </c>
      <c r="E8180" s="51">
        <f>IF(INDEX(DarlBelegt,18)=0,0,EOMONTH(INDEX(DarlAuszahlung,18),16)+1)</f>
      </c>
      <c r="F8180" s="43">
        <f>IF($E8180=0,0,YEAR($E8180))</f>
      </c>
      <c r="G8180" s="43">
        <f>IF(INDEX(DarlBindung,18)="",1,IF($E8180&lt;=INDEX(DarlBindung,18),1,0))</f>
      </c>
      <c r="H8180" s="43">
        <f>IF($G8180=1,INDEX(DarlSollzins,18),INDEX(DarlAnschluss,18))</f>
      </c>
      <c r="I8180" s="43">
        <f>IF(INDEX(DarlBelegt,18)=0,0,IF(INDEX(DarlOhneTilgung,18)=1,IF(INDEX(DarlBindung,18)="",1,$G8180),IF($J8180&gt;0.005,1,0)))</f>
      </c>
      <c r="J8180" s="43">
        <f>IF($I8179=0,0,$R8179)</f>
      </c>
      <c r="K8180" s="43">
        <f>IF($I8180=0,0,IF(INDEX(DarlOhneTilgung,18)=1,0,IF(AND(INDEX(DarlTilgStart,18)&gt;0,$E8180=INDEX(DarlTilgStart,18)),$J8180*($H8180+INDEX(DarlTilgung,18))/100/12,IF(AND($G8180=0,$G8179=1),MAX($K8179,$J8180*($H8180+1)/100/12),$K8179))))</f>
      </c>
      <c r="L8180" s="43">
        <f>IF($I8180=0,0,$J8180*$H8180/100/12)</f>
      </c>
      <c r="M8180" s="43">
        <f>IF($I8180=0,0,IF(OR(INDEX(DarlOhneTilgung,18)=1,AND(INDEX(DarlTilgStart,18)&gt;0,$E8180&lt;INDEX(DarlTilgStart,18))),0,MIN(MAX(0,$K8180-$L8180),$J8180)))</f>
      </c>
      <c r="N8180" s="43">
        <f>IF($I8180=0,0,MIN(SUMIFS(SondBetrag,SondDarl,18,SondDatum,"&gt;="&amp;$E8180,SondDatum,"&lt;="&amp;EOMONTH($E8180,0)),$J8180-$M8180))</f>
      </c>
      <c r="O8180" s="43">
        <f>IF($I8180=0,0,INDEX(DarlErsatzRate,18))</f>
      </c>
      <c r="P8180" s="43">
        <f>IF($I8180=0,0,$Q8179*INDEX(DarlErsatzZins,18))</f>
      </c>
      <c r="Q8180" s="43">
        <f>IF($I8180=0,0,$Q8179+$P8180+$O8180)</f>
      </c>
      <c r="R8180" s="43">
        <f>IF($I8180=0,0,$J8180-$M8180-$N8180)</f>
      </c>
    </row>
    <row r="8181">
      <c r="A8181"/>
      <c r="B8181">
        <v>18</v>
      </c>
      <c r="C8181" s="43">
        <f>INDEX(DarlObj,18)</f>
      </c>
      <c r="D8181">
        <v>18</v>
      </c>
      <c r="E8181" s="51">
        <f>IF(INDEX(DarlBelegt,18)=0,0,EOMONTH(INDEX(DarlAuszahlung,18),17)+1)</f>
      </c>
      <c r="F8181" s="43">
        <f>IF($E8181=0,0,YEAR($E8181))</f>
      </c>
      <c r="G8181" s="43">
        <f>IF(INDEX(DarlBindung,18)="",1,IF($E8181&lt;=INDEX(DarlBindung,18),1,0))</f>
      </c>
      <c r="H8181" s="43">
        <f>IF($G8181=1,INDEX(DarlSollzins,18),INDEX(DarlAnschluss,18))</f>
      </c>
      <c r="I8181" s="43">
        <f>IF(INDEX(DarlBelegt,18)=0,0,IF(INDEX(DarlOhneTilgung,18)=1,IF(INDEX(DarlBindung,18)="",1,$G8181),IF($J8181&gt;0.005,1,0)))</f>
      </c>
      <c r="J8181" s="43">
        <f>IF($I8180=0,0,$R8180)</f>
      </c>
      <c r="K8181" s="43">
        <f>IF($I8181=0,0,IF(INDEX(DarlOhneTilgung,18)=1,0,IF(AND(INDEX(DarlTilgStart,18)&gt;0,$E8181=INDEX(DarlTilgStart,18)),$J8181*($H8181+INDEX(DarlTilgung,18))/100/12,IF(AND($G8181=0,$G8180=1),MAX($K8180,$J8181*($H8181+1)/100/12),$K8180))))</f>
      </c>
      <c r="L8181" s="43">
        <f>IF($I8181=0,0,$J8181*$H8181/100/12)</f>
      </c>
      <c r="M8181" s="43">
        <f>IF($I8181=0,0,IF(OR(INDEX(DarlOhneTilgung,18)=1,AND(INDEX(DarlTilgStart,18)&gt;0,$E8181&lt;INDEX(DarlTilgStart,18))),0,MIN(MAX(0,$K8181-$L8181),$J8181)))</f>
      </c>
      <c r="N8181" s="43">
        <f>IF($I8181=0,0,MIN(SUMIFS(SondBetrag,SondDarl,18,SondDatum,"&gt;="&amp;$E8181,SondDatum,"&lt;="&amp;EOMONTH($E8181,0)),$J8181-$M8181))</f>
      </c>
      <c r="O8181" s="43">
        <f>IF($I8181=0,0,INDEX(DarlErsatzRate,18))</f>
      </c>
      <c r="P8181" s="43">
        <f>IF($I8181=0,0,$Q8180*INDEX(DarlErsatzZins,18))</f>
      </c>
      <c r="Q8181" s="43">
        <f>IF($I8181=0,0,$Q8180+$P8181+$O8181)</f>
      </c>
      <c r="R8181" s="43">
        <f>IF($I8181=0,0,$J8181-$M8181-$N8181)</f>
      </c>
    </row>
    <row r="8182">
      <c r="A8182"/>
      <c r="B8182">
        <v>18</v>
      </c>
      <c r="C8182" s="43">
        <f>INDEX(DarlObj,18)</f>
      </c>
      <c r="D8182">
        <v>19</v>
      </c>
      <c r="E8182" s="51">
        <f>IF(INDEX(DarlBelegt,18)=0,0,EOMONTH(INDEX(DarlAuszahlung,18),18)+1)</f>
      </c>
      <c r="F8182" s="43">
        <f>IF($E8182=0,0,YEAR($E8182))</f>
      </c>
      <c r="G8182" s="43">
        <f>IF(INDEX(DarlBindung,18)="",1,IF($E8182&lt;=INDEX(DarlBindung,18),1,0))</f>
      </c>
      <c r="H8182" s="43">
        <f>IF($G8182=1,INDEX(DarlSollzins,18),INDEX(DarlAnschluss,18))</f>
      </c>
      <c r="I8182" s="43">
        <f>IF(INDEX(DarlBelegt,18)=0,0,IF(INDEX(DarlOhneTilgung,18)=1,IF(INDEX(DarlBindung,18)="",1,$G8182),IF($J8182&gt;0.005,1,0)))</f>
      </c>
      <c r="J8182" s="43">
        <f>IF($I8181=0,0,$R8181)</f>
      </c>
      <c r="K8182" s="43">
        <f>IF($I8182=0,0,IF(INDEX(DarlOhneTilgung,18)=1,0,IF(AND(INDEX(DarlTilgStart,18)&gt;0,$E8182=INDEX(DarlTilgStart,18)),$J8182*($H8182+INDEX(DarlTilgung,18))/100/12,IF(AND($G8182=0,$G8181=1),MAX($K8181,$J8182*($H8182+1)/100/12),$K8181))))</f>
      </c>
      <c r="L8182" s="43">
        <f>IF($I8182=0,0,$J8182*$H8182/100/12)</f>
      </c>
      <c r="M8182" s="43">
        <f>IF($I8182=0,0,IF(OR(INDEX(DarlOhneTilgung,18)=1,AND(INDEX(DarlTilgStart,18)&gt;0,$E8182&lt;INDEX(DarlTilgStart,18))),0,MIN(MAX(0,$K8182-$L8182),$J8182)))</f>
      </c>
      <c r="N8182" s="43">
        <f>IF($I8182=0,0,MIN(SUMIFS(SondBetrag,SondDarl,18,SondDatum,"&gt;="&amp;$E8182,SondDatum,"&lt;="&amp;EOMONTH($E8182,0)),$J8182-$M8182))</f>
      </c>
      <c r="O8182" s="43">
        <f>IF($I8182=0,0,INDEX(DarlErsatzRate,18))</f>
      </c>
      <c r="P8182" s="43">
        <f>IF($I8182=0,0,$Q8181*INDEX(DarlErsatzZins,18))</f>
      </c>
      <c r="Q8182" s="43">
        <f>IF($I8182=0,0,$Q8181+$P8182+$O8182)</f>
      </c>
      <c r="R8182" s="43">
        <f>IF($I8182=0,0,$J8182-$M8182-$N8182)</f>
      </c>
    </row>
    <row r="8183">
      <c r="A8183"/>
      <c r="B8183">
        <v>18</v>
      </c>
      <c r="C8183" s="43">
        <f>INDEX(DarlObj,18)</f>
      </c>
      <c r="D8183">
        <v>20</v>
      </c>
      <c r="E8183" s="51">
        <f>IF(INDEX(DarlBelegt,18)=0,0,EOMONTH(INDEX(DarlAuszahlung,18),19)+1)</f>
      </c>
      <c r="F8183" s="43">
        <f>IF($E8183=0,0,YEAR($E8183))</f>
      </c>
      <c r="G8183" s="43">
        <f>IF(INDEX(DarlBindung,18)="",1,IF($E8183&lt;=INDEX(DarlBindung,18),1,0))</f>
      </c>
      <c r="H8183" s="43">
        <f>IF($G8183=1,INDEX(DarlSollzins,18),INDEX(DarlAnschluss,18))</f>
      </c>
      <c r="I8183" s="43">
        <f>IF(INDEX(DarlBelegt,18)=0,0,IF(INDEX(DarlOhneTilgung,18)=1,IF(INDEX(DarlBindung,18)="",1,$G8183),IF($J8183&gt;0.005,1,0)))</f>
      </c>
      <c r="J8183" s="43">
        <f>IF($I8182=0,0,$R8182)</f>
      </c>
      <c r="K8183" s="43">
        <f>IF($I8183=0,0,IF(INDEX(DarlOhneTilgung,18)=1,0,IF(AND(INDEX(DarlTilgStart,18)&gt;0,$E8183=INDEX(DarlTilgStart,18)),$J8183*($H8183+INDEX(DarlTilgung,18))/100/12,IF(AND($G8183=0,$G8182=1),MAX($K8182,$J8183*($H8183+1)/100/12),$K8182))))</f>
      </c>
      <c r="L8183" s="43">
        <f>IF($I8183=0,0,$J8183*$H8183/100/12)</f>
      </c>
      <c r="M8183" s="43">
        <f>IF($I8183=0,0,IF(OR(INDEX(DarlOhneTilgung,18)=1,AND(INDEX(DarlTilgStart,18)&gt;0,$E8183&lt;INDEX(DarlTilgStart,18))),0,MIN(MAX(0,$K8183-$L8183),$J8183)))</f>
      </c>
      <c r="N8183" s="43">
        <f>IF($I8183=0,0,MIN(SUMIFS(SondBetrag,SondDarl,18,SondDatum,"&gt;="&amp;$E8183,SondDatum,"&lt;="&amp;EOMONTH($E8183,0)),$J8183-$M8183))</f>
      </c>
      <c r="O8183" s="43">
        <f>IF($I8183=0,0,INDEX(DarlErsatzRate,18))</f>
      </c>
      <c r="P8183" s="43">
        <f>IF($I8183=0,0,$Q8182*INDEX(DarlErsatzZins,18))</f>
      </c>
      <c r="Q8183" s="43">
        <f>IF($I8183=0,0,$Q8182+$P8183+$O8183)</f>
      </c>
      <c r="R8183" s="43">
        <f>IF($I8183=0,0,$J8183-$M8183-$N8183)</f>
      </c>
    </row>
    <row r="8184">
      <c r="A8184"/>
      <c r="B8184">
        <v>18</v>
      </c>
      <c r="C8184" s="43">
        <f>INDEX(DarlObj,18)</f>
      </c>
      <c r="D8184">
        <v>21</v>
      </c>
      <c r="E8184" s="51">
        <f>IF(INDEX(DarlBelegt,18)=0,0,EOMONTH(INDEX(DarlAuszahlung,18),20)+1)</f>
      </c>
      <c r="F8184" s="43">
        <f>IF($E8184=0,0,YEAR($E8184))</f>
      </c>
      <c r="G8184" s="43">
        <f>IF(INDEX(DarlBindung,18)="",1,IF($E8184&lt;=INDEX(DarlBindung,18),1,0))</f>
      </c>
      <c r="H8184" s="43">
        <f>IF($G8184=1,INDEX(DarlSollzins,18),INDEX(DarlAnschluss,18))</f>
      </c>
      <c r="I8184" s="43">
        <f>IF(INDEX(DarlBelegt,18)=0,0,IF(INDEX(DarlOhneTilgung,18)=1,IF(INDEX(DarlBindung,18)="",1,$G8184),IF($J8184&gt;0.005,1,0)))</f>
      </c>
      <c r="J8184" s="43">
        <f>IF($I8183=0,0,$R8183)</f>
      </c>
      <c r="K8184" s="43">
        <f>IF($I8184=0,0,IF(INDEX(DarlOhneTilgung,18)=1,0,IF(AND(INDEX(DarlTilgStart,18)&gt;0,$E8184=INDEX(DarlTilgStart,18)),$J8184*($H8184+INDEX(DarlTilgung,18))/100/12,IF(AND($G8184=0,$G8183=1),MAX($K8183,$J8184*($H8184+1)/100/12),$K8183))))</f>
      </c>
      <c r="L8184" s="43">
        <f>IF($I8184=0,0,$J8184*$H8184/100/12)</f>
      </c>
      <c r="M8184" s="43">
        <f>IF($I8184=0,0,IF(OR(INDEX(DarlOhneTilgung,18)=1,AND(INDEX(DarlTilgStart,18)&gt;0,$E8184&lt;INDEX(DarlTilgStart,18))),0,MIN(MAX(0,$K8184-$L8184),$J8184)))</f>
      </c>
      <c r="N8184" s="43">
        <f>IF($I8184=0,0,MIN(SUMIFS(SondBetrag,SondDarl,18,SondDatum,"&gt;="&amp;$E8184,SondDatum,"&lt;="&amp;EOMONTH($E8184,0)),$J8184-$M8184))</f>
      </c>
      <c r="O8184" s="43">
        <f>IF($I8184=0,0,INDEX(DarlErsatzRate,18))</f>
      </c>
      <c r="P8184" s="43">
        <f>IF($I8184=0,0,$Q8183*INDEX(DarlErsatzZins,18))</f>
      </c>
      <c r="Q8184" s="43">
        <f>IF($I8184=0,0,$Q8183+$P8184+$O8184)</f>
      </c>
      <c r="R8184" s="43">
        <f>IF($I8184=0,0,$J8184-$M8184-$N8184)</f>
      </c>
    </row>
    <row r="8185">
      <c r="A8185"/>
      <c r="B8185">
        <v>18</v>
      </c>
      <c r="C8185" s="43">
        <f>INDEX(DarlObj,18)</f>
      </c>
      <c r="D8185">
        <v>22</v>
      </c>
      <c r="E8185" s="51">
        <f>IF(INDEX(DarlBelegt,18)=0,0,EOMONTH(INDEX(DarlAuszahlung,18),21)+1)</f>
      </c>
      <c r="F8185" s="43">
        <f>IF($E8185=0,0,YEAR($E8185))</f>
      </c>
      <c r="G8185" s="43">
        <f>IF(INDEX(DarlBindung,18)="",1,IF($E8185&lt;=INDEX(DarlBindung,18),1,0))</f>
      </c>
      <c r="H8185" s="43">
        <f>IF($G8185=1,INDEX(DarlSollzins,18),INDEX(DarlAnschluss,18))</f>
      </c>
      <c r="I8185" s="43">
        <f>IF(INDEX(DarlBelegt,18)=0,0,IF(INDEX(DarlOhneTilgung,18)=1,IF(INDEX(DarlBindung,18)="",1,$G8185),IF($J8185&gt;0.005,1,0)))</f>
      </c>
      <c r="J8185" s="43">
        <f>IF($I8184=0,0,$R8184)</f>
      </c>
      <c r="K8185" s="43">
        <f>IF($I8185=0,0,IF(INDEX(DarlOhneTilgung,18)=1,0,IF(AND(INDEX(DarlTilgStart,18)&gt;0,$E8185=INDEX(DarlTilgStart,18)),$J8185*($H8185+INDEX(DarlTilgung,18))/100/12,IF(AND($G8185=0,$G8184=1),MAX($K8184,$J8185*($H8185+1)/100/12),$K8184))))</f>
      </c>
      <c r="L8185" s="43">
        <f>IF($I8185=0,0,$J8185*$H8185/100/12)</f>
      </c>
      <c r="M8185" s="43">
        <f>IF($I8185=0,0,IF(OR(INDEX(DarlOhneTilgung,18)=1,AND(INDEX(DarlTilgStart,18)&gt;0,$E8185&lt;INDEX(DarlTilgStart,18))),0,MIN(MAX(0,$K8185-$L8185),$J8185)))</f>
      </c>
      <c r="N8185" s="43">
        <f>IF($I8185=0,0,MIN(SUMIFS(SondBetrag,SondDarl,18,SondDatum,"&gt;="&amp;$E8185,SondDatum,"&lt;="&amp;EOMONTH($E8185,0)),$J8185-$M8185))</f>
      </c>
      <c r="O8185" s="43">
        <f>IF($I8185=0,0,INDEX(DarlErsatzRate,18))</f>
      </c>
      <c r="P8185" s="43">
        <f>IF($I8185=0,0,$Q8184*INDEX(DarlErsatzZins,18))</f>
      </c>
      <c r="Q8185" s="43">
        <f>IF($I8185=0,0,$Q8184+$P8185+$O8185)</f>
      </c>
      <c r="R8185" s="43">
        <f>IF($I8185=0,0,$J8185-$M8185-$N8185)</f>
      </c>
    </row>
    <row r="8186">
      <c r="A8186"/>
      <c r="B8186">
        <v>18</v>
      </c>
      <c r="C8186" s="43">
        <f>INDEX(DarlObj,18)</f>
      </c>
      <c r="D8186">
        <v>23</v>
      </c>
      <c r="E8186" s="51">
        <f>IF(INDEX(DarlBelegt,18)=0,0,EOMONTH(INDEX(DarlAuszahlung,18),22)+1)</f>
      </c>
      <c r="F8186" s="43">
        <f>IF($E8186=0,0,YEAR($E8186))</f>
      </c>
      <c r="G8186" s="43">
        <f>IF(INDEX(DarlBindung,18)="",1,IF($E8186&lt;=INDEX(DarlBindung,18),1,0))</f>
      </c>
      <c r="H8186" s="43">
        <f>IF($G8186=1,INDEX(DarlSollzins,18),INDEX(DarlAnschluss,18))</f>
      </c>
      <c r="I8186" s="43">
        <f>IF(INDEX(DarlBelegt,18)=0,0,IF(INDEX(DarlOhneTilgung,18)=1,IF(INDEX(DarlBindung,18)="",1,$G8186),IF($J8186&gt;0.005,1,0)))</f>
      </c>
      <c r="J8186" s="43">
        <f>IF($I8185=0,0,$R8185)</f>
      </c>
      <c r="K8186" s="43">
        <f>IF($I8186=0,0,IF(INDEX(DarlOhneTilgung,18)=1,0,IF(AND(INDEX(DarlTilgStart,18)&gt;0,$E8186=INDEX(DarlTilgStart,18)),$J8186*($H8186+INDEX(DarlTilgung,18))/100/12,IF(AND($G8186=0,$G8185=1),MAX($K8185,$J8186*($H8186+1)/100/12),$K8185))))</f>
      </c>
      <c r="L8186" s="43">
        <f>IF($I8186=0,0,$J8186*$H8186/100/12)</f>
      </c>
      <c r="M8186" s="43">
        <f>IF($I8186=0,0,IF(OR(INDEX(DarlOhneTilgung,18)=1,AND(INDEX(DarlTilgStart,18)&gt;0,$E8186&lt;INDEX(DarlTilgStart,18))),0,MIN(MAX(0,$K8186-$L8186),$J8186)))</f>
      </c>
      <c r="N8186" s="43">
        <f>IF($I8186=0,0,MIN(SUMIFS(SondBetrag,SondDarl,18,SondDatum,"&gt;="&amp;$E8186,SondDatum,"&lt;="&amp;EOMONTH($E8186,0)),$J8186-$M8186))</f>
      </c>
      <c r="O8186" s="43">
        <f>IF($I8186=0,0,INDEX(DarlErsatzRate,18))</f>
      </c>
      <c r="P8186" s="43">
        <f>IF($I8186=0,0,$Q8185*INDEX(DarlErsatzZins,18))</f>
      </c>
      <c r="Q8186" s="43">
        <f>IF($I8186=0,0,$Q8185+$P8186+$O8186)</f>
      </c>
      <c r="R8186" s="43">
        <f>IF($I8186=0,0,$J8186-$M8186-$N8186)</f>
      </c>
    </row>
    <row r="8187">
      <c r="A8187"/>
      <c r="B8187">
        <v>18</v>
      </c>
      <c r="C8187" s="43">
        <f>INDEX(DarlObj,18)</f>
      </c>
      <c r="D8187">
        <v>24</v>
      </c>
      <c r="E8187" s="51">
        <f>IF(INDEX(DarlBelegt,18)=0,0,EOMONTH(INDEX(DarlAuszahlung,18),23)+1)</f>
      </c>
      <c r="F8187" s="43">
        <f>IF($E8187=0,0,YEAR($E8187))</f>
      </c>
      <c r="G8187" s="43">
        <f>IF(INDEX(DarlBindung,18)="",1,IF($E8187&lt;=INDEX(DarlBindung,18),1,0))</f>
      </c>
      <c r="H8187" s="43">
        <f>IF($G8187=1,INDEX(DarlSollzins,18),INDEX(DarlAnschluss,18))</f>
      </c>
      <c r="I8187" s="43">
        <f>IF(INDEX(DarlBelegt,18)=0,0,IF(INDEX(DarlOhneTilgung,18)=1,IF(INDEX(DarlBindung,18)="",1,$G8187),IF($J8187&gt;0.005,1,0)))</f>
      </c>
      <c r="J8187" s="43">
        <f>IF($I8186=0,0,$R8186)</f>
      </c>
      <c r="K8187" s="43">
        <f>IF($I8187=0,0,IF(INDEX(DarlOhneTilgung,18)=1,0,IF(AND(INDEX(DarlTilgStart,18)&gt;0,$E8187=INDEX(DarlTilgStart,18)),$J8187*($H8187+INDEX(DarlTilgung,18))/100/12,IF(AND($G8187=0,$G8186=1),MAX($K8186,$J8187*($H8187+1)/100/12),$K8186))))</f>
      </c>
      <c r="L8187" s="43">
        <f>IF($I8187=0,0,$J8187*$H8187/100/12)</f>
      </c>
      <c r="M8187" s="43">
        <f>IF($I8187=0,0,IF(OR(INDEX(DarlOhneTilgung,18)=1,AND(INDEX(DarlTilgStart,18)&gt;0,$E8187&lt;INDEX(DarlTilgStart,18))),0,MIN(MAX(0,$K8187-$L8187),$J8187)))</f>
      </c>
      <c r="N8187" s="43">
        <f>IF($I8187=0,0,MIN(SUMIFS(SondBetrag,SondDarl,18,SondDatum,"&gt;="&amp;$E8187,SondDatum,"&lt;="&amp;EOMONTH($E8187,0)),$J8187-$M8187))</f>
      </c>
      <c r="O8187" s="43">
        <f>IF($I8187=0,0,INDEX(DarlErsatzRate,18))</f>
      </c>
      <c r="P8187" s="43">
        <f>IF($I8187=0,0,$Q8186*INDEX(DarlErsatzZins,18))</f>
      </c>
      <c r="Q8187" s="43">
        <f>IF($I8187=0,0,$Q8186+$P8187+$O8187)</f>
      </c>
      <c r="R8187" s="43">
        <f>IF($I8187=0,0,$J8187-$M8187-$N8187)</f>
      </c>
    </row>
    <row r="8188">
      <c r="A8188"/>
      <c r="B8188">
        <v>18</v>
      </c>
      <c r="C8188" s="43">
        <f>INDEX(DarlObj,18)</f>
      </c>
      <c r="D8188">
        <v>25</v>
      </c>
      <c r="E8188" s="51">
        <f>IF(INDEX(DarlBelegt,18)=0,0,EOMONTH(INDEX(DarlAuszahlung,18),24)+1)</f>
      </c>
      <c r="F8188" s="43">
        <f>IF($E8188=0,0,YEAR($E8188))</f>
      </c>
      <c r="G8188" s="43">
        <f>IF(INDEX(DarlBindung,18)="",1,IF($E8188&lt;=INDEX(DarlBindung,18),1,0))</f>
      </c>
      <c r="H8188" s="43">
        <f>IF($G8188=1,INDEX(DarlSollzins,18),INDEX(DarlAnschluss,18))</f>
      </c>
      <c r="I8188" s="43">
        <f>IF(INDEX(DarlBelegt,18)=0,0,IF(INDEX(DarlOhneTilgung,18)=1,IF(INDEX(DarlBindung,18)="",1,$G8188),IF($J8188&gt;0.005,1,0)))</f>
      </c>
      <c r="J8188" s="43">
        <f>IF($I8187=0,0,$R8187)</f>
      </c>
      <c r="K8188" s="43">
        <f>IF($I8188=0,0,IF(INDEX(DarlOhneTilgung,18)=1,0,IF(AND(INDEX(DarlTilgStart,18)&gt;0,$E8188=INDEX(DarlTilgStart,18)),$J8188*($H8188+INDEX(DarlTilgung,18))/100/12,IF(AND($G8188=0,$G8187=1),MAX($K8187,$J8188*($H8188+1)/100/12),$K8187))))</f>
      </c>
      <c r="L8188" s="43">
        <f>IF($I8188=0,0,$J8188*$H8188/100/12)</f>
      </c>
      <c r="M8188" s="43">
        <f>IF($I8188=0,0,IF(OR(INDEX(DarlOhneTilgung,18)=1,AND(INDEX(DarlTilgStart,18)&gt;0,$E8188&lt;INDEX(DarlTilgStart,18))),0,MIN(MAX(0,$K8188-$L8188),$J8188)))</f>
      </c>
      <c r="N8188" s="43">
        <f>IF($I8188=0,0,MIN(SUMIFS(SondBetrag,SondDarl,18,SondDatum,"&gt;="&amp;$E8188,SondDatum,"&lt;="&amp;EOMONTH($E8188,0)),$J8188-$M8188))</f>
      </c>
      <c r="O8188" s="43">
        <f>IF($I8188=0,0,INDEX(DarlErsatzRate,18))</f>
      </c>
      <c r="P8188" s="43">
        <f>IF($I8188=0,0,$Q8187*INDEX(DarlErsatzZins,18))</f>
      </c>
      <c r="Q8188" s="43">
        <f>IF($I8188=0,0,$Q8187+$P8188+$O8188)</f>
      </c>
      <c r="R8188" s="43">
        <f>IF($I8188=0,0,$J8188-$M8188-$N8188)</f>
      </c>
    </row>
    <row r="8189">
      <c r="A8189"/>
      <c r="B8189">
        <v>18</v>
      </c>
      <c r="C8189" s="43">
        <f>INDEX(DarlObj,18)</f>
      </c>
      <c r="D8189">
        <v>26</v>
      </c>
      <c r="E8189" s="51">
        <f>IF(INDEX(DarlBelegt,18)=0,0,EOMONTH(INDEX(DarlAuszahlung,18),25)+1)</f>
      </c>
      <c r="F8189" s="43">
        <f>IF($E8189=0,0,YEAR($E8189))</f>
      </c>
      <c r="G8189" s="43">
        <f>IF(INDEX(DarlBindung,18)="",1,IF($E8189&lt;=INDEX(DarlBindung,18),1,0))</f>
      </c>
      <c r="H8189" s="43">
        <f>IF($G8189=1,INDEX(DarlSollzins,18),INDEX(DarlAnschluss,18))</f>
      </c>
      <c r="I8189" s="43">
        <f>IF(INDEX(DarlBelegt,18)=0,0,IF(INDEX(DarlOhneTilgung,18)=1,IF(INDEX(DarlBindung,18)="",1,$G8189),IF($J8189&gt;0.005,1,0)))</f>
      </c>
      <c r="J8189" s="43">
        <f>IF($I8188=0,0,$R8188)</f>
      </c>
      <c r="K8189" s="43">
        <f>IF($I8189=0,0,IF(INDEX(DarlOhneTilgung,18)=1,0,IF(AND(INDEX(DarlTilgStart,18)&gt;0,$E8189=INDEX(DarlTilgStart,18)),$J8189*($H8189+INDEX(DarlTilgung,18))/100/12,IF(AND($G8189=0,$G8188=1),MAX($K8188,$J8189*($H8189+1)/100/12),$K8188))))</f>
      </c>
      <c r="L8189" s="43">
        <f>IF($I8189=0,0,$J8189*$H8189/100/12)</f>
      </c>
      <c r="M8189" s="43">
        <f>IF($I8189=0,0,IF(OR(INDEX(DarlOhneTilgung,18)=1,AND(INDEX(DarlTilgStart,18)&gt;0,$E8189&lt;INDEX(DarlTilgStart,18))),0,MIN(MAX(0,$K8189-$L8189),$J8189)))</f>
      </c>
      <c r="N8189" s="43">
        <f>IF($I8189=0,0,MIN(SUMIFS(SondBetrag,SondDarl,18,SondDatum,"&gt;="&amp;$E8189,SondDatum,"&lt;="&amp;EOMONTH($E8189,0)),$J8189-$M8189))</f>
      </c>
      <c r="O8189" s="43">
        <f>IF($I8189=0,0,INDEX(DarlErsatzRate,18))</f>
      </c>
      <c r="P8189" s="43">
        <f>IF($I8189=0,0,$Q8188*INDEX(DarlErsatzZins,18))</f>
      </c>
      <c r="Q8189" s="43">
        <f>IF($I8189=0,0,$Q8188+$P8189+$O8189)</f>
      </c>
      <c r="R8189" s="43">
        <f>IF($I8189=0,0,$J8189-$M8189-$N8189)</f>
      </c>
    </row>
    <row r="8190">
      <c r="A8190"/>
      <c r="B8190">
        <v>18</v>
      </c>
      <c r="C8190" s="43">
        <f>INDEX(DarlObj,18)</f>
      </c>
      <c r="D8190">
        <v>27</v>
      </c>
      <c r="E8190" s="51">
        <f>IF(INDEX(DarlBelegt,18)=0,0,EOMONTH(INDEX(DarlAuszahlung,18),26)+1)</f>
      </c>
      <c r="F8190" s="43">
        <f>IF($E8190=0,0,YEAR($E8190))</f>
      </c>
      <c r="G8190" s="43">
        <f>IF(INDEX(DarlBindung,18)="",1,IF($E8190&lt;=INDEX(DarlBindung,18),1,0))</f>
      </c>
      <c r="H8190" s="43">
        <f>IF($G8190=1,INDEX(DarlSollzins,18),INDEX(DarlAnschluss,18))</f>
      </c>
      <c r="I8190" s="43">
        <f>IF(INDEX(DarlBelegt,18)=0,0,IF(INDEX(DarlOhneTilgung,18)=1,IF(INDEX(DarlBindung,18)="",1,$G8190),IF($J8190&gt;0.005,1,0)))</f>
      </c>
      <c r="J8190" s="43">
        <f>IF($I8189=0,0,$R8189)</f>
      </c>
      <c r="K8190" s="43">
        <f>IF($I8190=0,0,IF(INDEX(DarlOhneTilgung,18)=1,0,IF(AND(INDEX(DarlTilgStart,18)&gt;0,$E8190=INDEX(DarlTilgStart,18)),$J8190*($H8190+INDEX(DarlTilgung,18))/100/12,IF(AND($G8190=0,$G8189=1),MAX($K8189,$J8190*($H8190+1)/100/12),$K8189))))</f>
      </c>
      <c r="L8190" s="43">
        <f>IF($I8190=0,0,$J8190*$H8190/100/12)</f>
      </c>
      <c r="M8190" s="43">
        <f>IF($I8190=0,0,IF(OR(INDEX(DarlOhneTilgung,18)=1,AND(INDEX(DarlTilgStart,18)&gt;0,$E8190&lt;INDEX(DarlTilgStart,18))),0,MIN(MAX(0,$K8190-$L8190),$J8190)))</f>
      </c>
      <c r="N8190" s="43">
        <f>IF($I8190=0,0,MIN(SUMIFS(SondBetrag,SondDarl,18,SondDatum,"&gt;="&amp;$E8190,SondDatum,"&lt;="&amp;EOMONTH($E8190,0)),$J8190-$M8190))</f>
      </c>
      <c r="O8190" s="43">
        <f>IF($I8190=0,0,INDEX(DarlErsatzRate,18))</f>
      </c>
      <c r="P8190" s="43">
        <f>IF($I8190=0,0,$Q8189*INDEX(DarlErsatzZins,18))</f>
      </c>
      <c r="Q8190" s="43">
        <f>IF($I8190=0,0,$Q8189+$P8190+$O8190)</f>
      </c>
      <c r="R8190" s="43">
        <f>IF($I8190=0,0,$J8190-$M8190-$N8190)</f>
      </c>
    </row>
    <row r="8191">
      <c r="A8191"/>
      <c r="B8191">
        <v>18</v>
      </c>
      <c r="C8191" s="43">
        <f>INDEX(DarlObj,18)</f>
      </c>
      <c r="D8191">
        <v>28</v>
      </c>
      <c r="E8191" s="51">
        <f>IF(INDEX(DarlBelegt,18)=0,0,EOMONTH(INDEX(DarlAuszahlung,18),27)+1)</f>
      </c>
      <c r="F8191" s="43">
        <f>IF($E8191=0,0,YEAR($E8191))</f>
      </c>
      <c r="G8191" s="43">
        <f>IF(INDEX(DarlBindung,18)="",1,IF($E8191&lt;=INDEX(DarlBindung,18),1,0))</f>
      </c>
      <c r="H8191" s="43">
        <f>IF($G8191=1,INDEX(DarlSollzins,18),INDEX(DarlAnschluss,18))</f>
      </c>
      <c r="I8191" s="43">
        <f>IF(INDEX(DarlBelegt,18)=0,0,IF(INDEX(DarlOhneTilgung,18)=1,IF(INDEX(DarlBindung,18)="",1,$G8191),IF($J8191&gt;0.005,1,0)))</f>
      </c>
      <c r="J8191" s="43">
        <f>IF($I8190=0,0,$R8190)</f>
      </c>
      <c r="K8191" s="43">
        <f>IF($I8191=0,0,IF(INDEX(DarlOhneTilgung,18)=1,0,IF(AND(INDEX(DarlTilgStart,18)&gt;0,$E8191=INDEX(DarlTilgStart,18)),$J8191*($H8191+INDEX(DarlTilgung,18))/100/12,IF(AND($G8191=0,$G8190=1),MAX($K8190,$J8191*($H8191+1)/100/12),$K8190))))</f>
      </c>
      <c r="L8191" s="43">
        <f>IF($I8191=0,0,$J8191*$H8191/100/12)</f>
      </c>
      <c r="M8191" s="43">
        <f>IF($I8191=0,0,IF(OR(INDEX(DarlOhneTilgung,18)=1,AND(INDEX(DarlTilgStart,18)&gt;0,$E8191&lt;INDEX(DarlTilgStart,18))),0,MIN(MAX(0,$K8191-$L8191),$J8191)))</f>
      </c>
      <c r="N8191" s="43">
        <f>IF($I8191=0,0,MIN(SUMIFS(SondBetrag,SondDarl,18,SondDatum,"&gt;="&amp;$E8191,SondDatum,"&lt;="&amp;EOMONTH($E8191,0)),$J8191-$M8191))</f>
      </c>
      <c r="O8191" s="43">
        <f>IF($I8191=0,0,INDEX(DarlErsatzRate,18))</f>
      </c>
      <c r="P8191" s="43">
        <f>IF($I8191=0,0,$Q8190*INDEX(DarlErsatzZins,18))</f>
      </c>
      <c r="Q8191" s="43">
        <f>IF($I8191=0,0,$Q8190+$P8191+$O8191)</f>
      </c>
      <c r="R8191" s="43">
        <f>IF($I8191=0,0,$J8191-$M8191-$N8191)</f>
      </c>
    </row>
    <row r="8192">
      <c r="A8192"/>
      <c r="B8192">
        <v>18</v>
      </c>
      <c r="C8192" s="43">
        <f>INDEX(DarlObj,18)</f>
      </c>
      <c r="D8192">
        <v>29</v>
      </c>
      <c r="E8192" s="51">
        <f>IF(INDEX(DarlBelegt,18)=0,0,EOMONTH(INDEX(DarlAuszahlung,18),28)+1)</f>
      </c>
      <c r="F8192" s="43">
        <f>IF($E8192=0,0,YEAR($E8192))</f>
      </c>
      <c r="G8192" s="43">
        <f>IF(INDEX(DarlBindung,18)="",1,IF($E8192&lt;=INDEX(DarlBindung,18),1,0))</f>
      </c>
      <c r="H8192" s="43">
        <f>IF($G8192=1,INDEX(DarlSollzins,18),INDEX(DarlAnschluss,18))</f>
      </c>
      <c r="I8192" s="43">
        <f>IF(INDEX(DarlBelegt,18)=0,0,IF(INDEX(DarlOhneTilgung,18)=1,IF(INDEX(DarlBindung,18)="",1,$G8192),IF($J8192&gt;0.005,1,0)))</f>
      </c>
      <c r="J8192" s="43">
        <f>IF($I8191=0,0,$R8191)</f>
      </c>
      <c r="K8192" s="43">
        <f>IF($I8192=0,0,IF(INDEX(DarlOhneTilgung,18)=1,0,IF(AND(INDEX(DarlTilgStart,18)&gt;0,$E8192=INDEX(DarlTilgStart,18)),$J8192*($H8192+INDEX(DarlTilgung,18))/100/12,IF(AND($G8192=0,$G8191=1),MAX($K8191,$J8192*($H8192+1)/100/12),$K8191))))</f>
      </c>
      <c r="L8192" s="43">
        <f>IF($I8192=0,0,$J8192*$H8192/100/12)</f>
      </c>
      <c r="M8192" s="43">
        <f>IF($I8192=0,0,IF(OR(INDEX(DarlOhneTilgung,18)=1,AND(INDEX(DarlTilgStart,18)&gt;0,$E8192&lt;INDEX(DarlTilgStart,18))),0,MIN(MAX(0,$K8192-$L8192),$J8192)))</f>
      </c>
      <c r="N8192" s="43">
        <f>IF($I8192=0,0,MIN(SUMIFS(SondBetrag,SondDarl,18,SondDatum,"&gt;="&amp;$E8192,SondDatum,"&lt;="&amp;EOMONTH($E8192,0)),$J8192-$M8192))</f>
      </c>
      <c r="O8192" s="43">
        <f>IF($I8192=0,0,INDEX(DarlErsatzRate,18))</f>
      </c>
      <c r="P8192" s="43">
        <f>IF($I8192=0,0,$Q8191*INDEX(DarlErsatzZins,18))</f>
      </c>
      <c r="Q8192" s="43">
        <f>IF($I8192=0,0,$Q8191+$P8192+$O8192)</f>
      </c>
      <c r="R8192" s="43">
        <f>IF($I8192=0,0,$J8192-$M8192-$N8192)</f>
      </c>
    </row>
    <row r="8193">
      <c r="A8193"/>
      <c r="B8193">
        <v>18</v>
      </c>
      <c r="C8193" s="43">
        <f>INDEX(DarlObj,18)</f>
      </c>
      <c r="D8193">
        <v>30</v>
      </c>
      <c r="E8193" s="51">
        <f>IF(INDEX(DarlBelegt,18)=0,0,EOMONTH(INDEX(DarlAuszahlung,18),29)+1)</f>
      </c>
      <c r="F8193" s="43">
        <f>IF($E8193=0,0,YEAR($E8193))</f>
      </c>
      <c r="G8193" s="43">
        <f>IF(INDEX(DarlBindung,18)="",1,IF($E8193&lt;=INDEX(DarlBindung,18),1,0))</f>
      </c>
      <c r="H8193" s="43">
        <f>IF($G8193=1,INDEX(DarlSollzins,18),INDEX(DarlAnschluss,18))</f>
      </c>
      <c r="I8193" s="43">
        <f>IF(INDEX(DarlBelegt,18)=0,0,IF(INDEX(DarlOhneTilgung,18)=1,IF(INDEX(DarlBindung,18)="",1,$G8193),IF($J8193&gt;0.005,1,0)))</f>
      </c>
      <c r="J8193" s="43">
        <f>IF($I8192=0,0,$R8192)</f>
      </c>
      <c r="K8193" s="43">
        <f>IF($I8193=0,0,IF(INDEX(DarlOhneTilgung,18)=1,0,IF(AND(INDEX(DarlTilgStart,18)&gt;0,$E8193=INDEX(DarlTilgStart,18)),$J8193*($H8193+INDEX(DarlTilgung,18))/100/12,IF(AND($G8193=0,$G8192=1),MAX($K8192,$J8193*($H8193+1)/100/12),$K8192))))</f>
      </c>
      <c r="L8193" s="43">
        <f>IF($I8193=0,0,$J8193*$H8193/100/12)</f>
      </c>
      <c r="M8193" s="43">
        <f>IF($I8193=0,0,IF(OR(INDEX(DarlOhneTilgung,18)=1,AND(INDEX(DarlTilgStart,18)&gt;0,$E8193&lt;INDEX(DarlTilgStart,18))),0,MIN(MAX(0,$K8193-$L8193),$J8193)))</f>
      </c>
      <c r="N8193" s="43">
        <f>IF($I8193=0,0,MIN(SUMIFS(SondBetrag,SondDarl,18,SondDatum,"&gt;="&amp;$E8193,SondDatum,"&lt;="&amp;EOMONTH($E8193,0)),$J8193-$M8193))</f>
      </c>
      <c r="O8193" s="43">
        <f>IF($I8193=0,0,INDEX(DarlErsatzRate,18))</f>
      </c>
      <c r="P8193" s="43">
        <f>IF($I8193=0,0,$Q8192*INDEX(DarlErsatzZins,18))</f>
      </c>
      <c r="Q8193" s="43">
        <f>IF($I8193=0,0,$Q8192+$P8193+$O8193)</f>
      </c>
      <c r="R8193" s="43">
        <f>IF($I8193=0,0,$J8193-$M8193-$N8193)</f>
      </c>
    </row>
    <row r="8194">
      <c r="A8194"/>
      <c r="B8194">
        <v>18</v>
      </c>
      <c r="C8194" s="43">
        <f>INDEX(DarlObj,18)</f>
      </c>
      <c r="D8194">
        <v>31</v>
      </c>
      <c r="E8194" s="51">
        <f>IF(INDEX(DarlBelegt,18)=0,0,EOMONTH(INDEX(DarlAuszahlung,18),30)+1)</f>
      </c>
      <c r="F8194" s="43">
        <f>IF($E8194=0,0,YEAR($E8194))</f>
      </c>
      <c r="G8194" s="43">
        <f>IF(INDEX(DarlBindung,18)="",1,IF($E8194&lt;=INDEX(DarlBindung,18),1,0))</f>
      </c>
      <c r="H8194" s="43">
        <f>IF($G8194=1,INDEX(DarlSollzins,18),INDEX(DarlAnschluss,18))</f>
      </c>
      <c r="I8194" s="43">
        <f>IF(INDEX(DarlBelegt,18)=0,0,IF(INDEX(DarlOhneTilgung,18)=1,IF(INDEX(DarlBindung,18)="",1,$G8194),IF($J8194&gt;0.005,1,0)))</f>
      </c>
      <c r="J8194" s="43">
        <f>IF($I8193=0,0,$R8193)</f>
      </c>
      <c r="K8194" s="43">
        <f>IF($I8194=0,0,IF(INDEX(DarlOhneTilgung,18)=1,0,IF(AND(INDEX(DarlTilgStart,18)&gt;0,$E8194=INDEX(DarlTilgStart,18)),$J8194*($H8194+INDEX(DarlTilgung,18))/100/12,IF(AND($G8194=0,$G8193=1),MAX($K8193,$J8194*($H8194+1)/100/12),$K8193))))</f>
      </c>
      <c r="L8194" s="43">
        <f>IF($I8194=0,0,$J8194*$H8194/100/12)</f>
      </c>
      <c r="M8194" s="43">
        <f>IF($I8194=0,0,IF(OR(INDEX(DarlOhneTilgung,18)=1,AND(INDEX(DarlTilgStart,18)&gt;0,$E8194&lt;INDEX(DarlTilgStart,18))),0,MIN(MAX(0,$K8194-$L8194),$J8194)))</f>
      </c>
      <c r="N8194" s="43">
        <f>IF($I8194=0,0,MIN(SUMIFS(SondBetrag,SondDarl,18,SondDatum,"&gt;="&amp;$E8194,SondDatum,"&lt;="&amp;EOMONTH($E8194,0)),$J8194-$M8194))</f>
      </c>
      <c r="O8194" s="43">
        <f>IF($I8194=0,0,INDEX(DarlErsatzRate,18))</f>
      </c>
      <c r="P8194" s="43">
        <f>IF($I8194=0,0,$Q8193*INDEX(DarlErsatzZins,18))</f>
      </c>
      <c r="Q8194" s="43">
        <f>IF($I8194=0,0,$Q8193+$P8194+$O8194)</f>
      </c>
      <c r="R8194" s="43">
        <f>IF($I8194=0,0,$J8194-$M8194-$N8194)</f>
      </c>
    </row>
    <row r="8195">
      <c r="A8195"/>
      <c r="B8195">
        <v>18</v>
      </c>
      <c r="C8195" s="43">
        <f>INDEX(DarlObj,18)</f>
      </c>
      <c r="D8195">
        <v>32</v>
      </c>
      <c r="E8195" s="51">
        <f>IF(INDEX(DarlBelegt,18)=0,0,EOMONTH(INDEX(DarlAuszahlung,18),31)+1)</f>
      </c>
      <c r="F8195" s="43">
        <f>IF($E8195=0,0,YEAR($E8195))</f>
      </c>
      <c r="G8195" s="43">
        <f>IF(INDEX(DarlBindung,18)="",1,IF($E8195&lt;=INDEX(DarlBindung,18),1,0))</f>
      </c>
      <c r="H8195" s="43">
        <f>IF($G8195=1,INDEX(DarlSollzins,18),INDEX(DarlAnschluss,18))</f>
      </c>
      <c r="I8195" s="43">
        <f>IF(INDEX(DarlBelegt,18)=0,0,IF(INDEX(DarlOhneTilgung,18)=1,IF(INDEX(DarlBindung,18)="",1,$G8195),IF($J8195&gt;0.005,1,0)))</f>
      </c>
      <c r="J8195" s="43">
        <f>IF($I8194=0,0,$R8194)</f>
      </c>
      <c r="K8195" s="43">
        <f>IF($I8195=0,0,IF(INDEX(DarlOhneTilgung,18)=1,0,IF(AND(INDEX(DarlTilgStart,18)&gt;0,$E8195=INDEX(DarlTilgStart,18)),$J8195*($H8195+INDEX(DarlTilgung,18))/100/12,IF(AND($G8195=0,$G8194=1),MAX($K8194,$J8195*($H8195+1)/100/12),$K8194))))</f>
      </c>
      <c r="L8195" s="43">
        <f>IF($I8195=0,0,$J8195*$H8195/100/12)</f>
      </c>
      <c r="M8195" s="43">
        <f>IF($I8195=0,0,IF(OR(INDEX(DarlOhneTilgung,18)=1,AND(INDEX(DarlTilgStart,18)&gt;0,$E8195&lt;INDEX(DarlTilgStart,18))),0,MIN(MAX(0,$K8195-$L8195),$J8195)))</f>
      </c>
      <c r="N8195" s="43">
        <f>IF($I8195=0,0,MIN(SUMIFS(SondBetrag,SondDarl,18,SondDatum,"&gt;="&amp;$E8195,SondDatum,"&lt;="&amp;EOMONTH($E8195,0)),$J8195-$M8195))</f>
      </c>
      <c r="O8195" s="43">
        <f>IF($I8195=0,0,INDEX(DarlErsatzRate,18))</f>
      </c>
      <c r="P8195" s="43">
        <f>IF($I8195=0,0,$Q8194*INDEX(DarlErsatzZins,18))</f>
      </c>
      <c r="Q8195" s="43">
        <f>IF($I8195=0,0,$Q8194+$P8195+$O8195)</f>
      </c>
      <c r="R8195" s="43">
        <f>IF($I8195=0,0,$J8195-$M8195-$N8195)</f>
      </c>
    </row>
    <row r="8196">
      <c r="A8196"/>
      <c r="B8196">
        <v>18</v>
      </c>
      <c r="C8196" s="43">
        <f>INDEX(DarlObj,18)</f>
      </c>
      <c r="D8196">
        <v>33</v>
      </c>
      <c r="E8196" s="51">
        <f>IF(INDEX(DarlBelegt,18)=0,0,EOMONTH(INDEX(DarlAuszahlung,18),32)+1)</f>
      </c>
      <c r="F8196" s="43">
        <f>IF($E8196=0,0,YEAR($E8196))</f>
      </c>
      <c r="G8196" s="43">
        <f>IF(INDEX(DarlBindung,18)="",1,IF($E8196&lt;=INDEX(DarlBindung,18),1,0))</f>
      </c>
      <c r="H8196" s="43">
        <f>IF($G8196=1,INDEX(DarlSollzins,18),INDEX(DarlAnschluss,18))</f>
      </c>
      <c r="I8196" s="43">
        <f>IF(INDEX(DarlBelegt,18)=0,0,IF(INDEX(DarlOhneTilgung,18)=1,IF(INDEX(DarlBindung,18)="",1,$G8196),IF($J8196&gt;0.005,1,0)))</f>
      </c>
      <c r="J8196" s="43">
        <f>IF($I8195=0,0,$R8195)</f>
      </c>
      <c r="K8196" s="43">
        <f>IF($I8196=0,0,IF(INDEX(DarlOhneTilgung,18)=1,0,IF(AND(INDEX(DarlTilgStart,18)&gt;0,$E8196=INDEX(DarlTilgStart,18)),$J8196*($H8196+INDEX(DarlTilgung,18))/100/12,IF(AND($G8196=0,$G8195=1),MAX($K8195,$J8196*($H8196+1)/100/12),$K8195))))</f>
      </c>
      <c r="L8196" s="43">
        <f>IF($I8196=0,0,$J8196*$H8196/100/12)</f>
      </c>
      <c r="M8196" s="43">
        <f>IF($I8196=0,0,IF(OR(INDEX(DarlOhneTilgung,18)=1,AND(INDEX(DarlTilgStart,18)&gt;0,$E8196&lt;INDEX(DarlTilgStart,18))),0,MIN(MAX(0,$K8196-$L8196),$J8196)))</f>
      </c>
      <c r="N8196" s="43">
        <f>IF($I8196=0,0,MIN(SUMIFS(SondBetrag,SondDarl,18,SondDatum,"&gt;="&amp;$E8196,SondDatum,"&lt;="&amp;EOMONTH($E8196,0)),$J8196-$M8196))</f>
      </c>
      <c r="O8196" s="43">
        <f>IF($I8196=0,0,INDEX(DarlErsatzRate,18))</f>
      </c>
      <c r="P8196" s="43">
        <f>IF($I8196=0,0,$Q8195*INDEX(DarlErsatzZins,18))</f>
      </c>
      <c r="Q8196" s="43">
        <f>IF($I8196=0,0,$Q8195+$P8196+$O8196)</f>
      </c>
      <c r="R8196" s="43">
        <f>IF($I8196=0,0,$J8196-$M8196-$N8196)</f>
      </c>
    </row>
    <row r="8197">
      <c r="A8197"/>
      <c r="B8197">
        <v>18</v>
      </c>
      <c r="C8197" s="43">
        <f>INDEX(DarlObj,18)</f>
      </c>
      <c r="D8197">
        <v>34</v>
      </c>
      <c r="E8197" s="51">
        <f>IF(INDEX(DarlBelegt,18)=0,0,EOMONTH(INDEX(DarlAuszahlung,18),33)+1)</f>
      </c>
      <c r="F8197" s="43">
        <f>IF($E8197=0,0,YEAR($E8197))</f>
      </c>
      <c r="G8197" s="43">
        <f>IF(INDEX(DarlBindung,18)="",1,IF($E8197&lt;=INDEX(DarlBindung,18),1,0))</f>
      </c>
      <c r="H8197" s="43">
        <f>IF($G8197=1,INDEX(DarlSollzins,18),INDEX(DarlAnschluss,18))</f>
      </c>
      <c r="I8197" s="43">
        <f>IF(INDEX(DarlBelegt,18)=0,0,IF(INDEX(DarlOhneTilgung,18)=1,IF(INDEX(DarlBindung,18)="",1,$G8197),IF($J8197&gt;0.005,1,0)))</f>
      </c>
      <c r="J8197" s="43">
        <f>IF($I8196=0,0,$R8196)</f>
      </c>
      <c r="K8197" s="43">
        <f>IF($I8197=0,0,IF(INDEX(DarlOhneTilgung,18)=1,0,IF(AND(INDEX(DarlTilgStart,18)&gt;0,$E8197=INDEX(DarlTilgStart,18)),$J8197*($H8197+INDEX(DarlTilgung,18))/100/12,IF(AND($G8197=0,$G8196=1),MAX($K8196,$J8197*($H8197+1)/100/12),$K8196))))</f>
      </c>
      <c r="L8197" s="43">
        <f>IF($I8197=0,0,$J8197*$H8197/100/12)</f>
      </c>
      <c r="M8197" s="43">
        <f>IF($I8197=0,0,IF(OR(INDEX(DarlOhneTilgung,18)=1,AND(INDEX(DarlTilgStart,18)&gt;0,$E8197&lt;INDEX(DarlTilgStart,18))),0,MIN(MAX(0,$K8197-$L8197),$J8197)))</f>
      </c>
      <c r="N8197" s="43">
        <f>IF($I8197=0,0,MIN(SUMIFS(SondBetrag,SondDarl,18,SondDatum,"&gt;="&amp;$E8197,SondDatum,"&lt;="&amp;EOMONTH($E8197,0)),$J8197-$M8197))</f>
      </c>
      <c r="O8197" s="43">
        <f>IF($I8197=0,0,INDEX(DarlErsatzRate,18))</f>
      </c>
      <c r="P8197" s="43">
        <f>IF($I8197=0,0,$Q8196*INDEX(DarlErsatzZins,18))</f>
      </c>
      <c r="Q8197" s="43">
        <f>IF($I8197=0,0,$Q8196+$P8197+$O8197)</f>
      </c>
      <c r="R8197" s="43">
        <f>IF($I8197=0,0,$J8197-$M8197-$N8197)</f>
      </c>
    </row>
    <row r="8198">
      <c r="A8198"/>
      <c r="B8198">
        <v>18</v>
      </c>
      <c r="C8198" s="43">
        <f>INDEX(DarlObj,18)</f>
      </c>
      <c r="D8198">
        <v>35</v>
      </c>
      <c r="E8198" s="51">
        <f>IF(INDEX(DarlBelegt,18)=0,0,EOMONTH(INDEX(DarlAuszahlung,18),34)+1)</f>
      </c>
      <c r="F8198" s="43">
        <f>IF($E8198=0,0,YEAR($E8198))</f>
      </c>
      <c r="G8198" s="43">
        <f>IF(INDEX(DarlBindung,18)="",1,IF($E8198&lt;=INDEX(DarlBindung,18),1,0))</f>
      </c>
      <c r="H8198" s="43">
        <f>IF($G8198=1,INDEX(DarlSollzins,18),INDEX(DarlAnschluss,18))</f>
      </c>
      <c r="I8198" s="43">
        <f>IF(INDEX(DarlBelegt,18)=0,0,IF(INDEX(DarlOhneTilgung,18)=1,IF(INDEX(DarlBindung,18)="",1,$G8198),IF($J8198&gt;0.005,1,0)))</f>
      </c>
      <c r="J8198" s="43">
        <f>IF($I8197=0,0,$R8197)</f>
      </c>
      <c r="K8198" s="43">
        <f>IF($I8198=0,0,IF(INDEX(DarlOhneTilgung,18)=1,0,IF(AND(INDEX(DarlTilgStart,18)&gt;0,$E8198=INDEX(DarlTilgStart,18)),$J8198*($H8198+INDEX(DarlTilgung,18))/100/12,IF(AND($G8198=0,$G8197=1),MAX($K8197,$J8198*($H8198+1)/100/12),$K8197))))</f>
      </c>
      <c r="L8198" s="43">
        <f>IF($I8198=0,0,$J8198*$H8198/100/12)</f>
      </c>
      <c r="M8198" s="43">
        <f>IF($I8198=0,0,IF(OR(INDEX(DarlOhneTilgung,18)=1,AND(INDEX(DarlTilgStart,18)&gt;0,$E8198&lt;INDEX(DarlTilgStart,18))),0,MIN(MAX(0,$K8198-$L8198),$J8198)))</f>
      </c>
      <c r="N8198" s="43">
        <f>IF($I8198=0,0,MIN(SUMIFS(SondBetrag,SondDarl,18,SondDatum,"&gt;="&amp;$E8198,SondDatum,"&lt;="&amp;EOMONTH($E8198,0)),$J8198-$M8198))</f>
      </c>
      <c r="O8198" s="43">
        <f>IF($I8198=0,0,INDEX(DarlErsatzRate,18))</f>
      </c>
      <c r="P8198" s="43">
        <f>IF($I8198=0,0,$Q8197*INDEX(DarlErsatzZins,18))</f>
      </c>
      <c r="Q8198" s="43">
        <f>IF($I8198=0,0,$Q8197+$P8198+$O8198)</f>
      </c>
      <c r="R8198" s="43">
        <f>IF($I8198=0,0,$J8198-$M8198-$N8198)</f>
      </c>
    </row>
    <row r="8199">
      <c r="A8199"/>
      <c r="B8199">
        <v>18</v>
      </c>
      <c r="C8199" s="43">
        <f>INDEX(DarlObj,18)</f>
      </c>
      <c r="D8199">
        <v>36</v>
      </c>
      <c r="E8199" s="51">
        <f>IF(INDEX(DarlBelegt,18)=0,0,EOMONTH(INDEX(DarlAuszahlung,18),35)+1)</f>
      </c>
      <c r="F8199" s="43">
        <f>IF($E8199=0,0,YEAR($E8199))</f>
      </c>
      <c r="G8199" s="43">
        <f>IF(INDEX(DarlBindung,18)="",1,IF($E8199&lt;=INDEX(DarlBindung,18),1,0))</f>
      </c>
      <c r="H8199" s="43">
        <f>IF($G8199=1,INDEX(DarlSollzins,18),INDEX(DarlAnschluss,18))</f>
      </c>
      <c r="I8199" s="43">
        <f>IF(INDEX(DarlBelegt,18)=0,0,IF(INDEX(DarlOhneTilgung,18)=1,IF(INDEX(DarlBindung,18)="",1,$G8199),IF($J8199&gt;0.005,1,0)))</f>
      </c>
      <c r="J8199" s="43">
        <f>IF($I8198=0,0,$R8198)</f>
      </c>
      <c r="K8199" s="43">
        <f>IF($I8199=0,0,IF(INDEX(DarlOhneTilgung,18)=1,0,IF(AND(INDEX(DarlTilgStart,18)&gt;0,$E8199=INDEX(DarlTilgStart,18)),$J8199*($H8199+INDEX(DarlTilgung,18))/100/12,IF(AND($G8199=0,$G8198=1),MAX($K8198,$J8199*($H8199+1)/100/12),$K8198))))</f>
      </c>
      <c r="L8199" s="43">
        <f>IF($I8199=0,0,$J8199*$H8199/100/12)</f>
      </c>
      <c r="M8199" s="43">
        <f>IF($I8199=0,0,IF(OR(INDEX(DarlOhneTilgung,18)=1,AND(INDEX(DarlTilgStart,18)&gt;0,$E8199&lt;INDEX(DarlTilgStart,18))),0,MIN(MAX(0,$K8199-$L8199),$J8199)))</f>
      </c>
      <c r="N8199" s="43">
        <f>IF($I8199=0,0,MIN(SUMIFS(SondBetrag,SondDarl,18,SondDatum,"&gt;="&amp;$E8199,SondDatum,"&lt;="&amp;EOMONTH($E8199,0)),$J8199-$M8199))</f>
      </c>
      <c r="O8199" s="43">
        <f>IF($I8199=0,0,INDEX(DarlErsatzRate,18))</f>
      </c>
      <c r="P8199" s="43">
        <f>IF($I8199=0,0,$Q8198*INDEX(DarlErsatzZins,18))</f>
      </c>
      <c r="Q8199" s="43">
        <f>IF($I8199=0,0,$Q8198+$P8199+$O8199)</f>
      </c>
      <c r="R8199" s="43">
        <f>IF($I8199=0,0,$J8199-$M8199-$N8199)</f>
      </c>
    </row>
    <row r="8200">
      <c r="A8200"/>
      <c r="B8200">
        <v>18</v>
      </c>
      <c r="C8200" s="43">
        <f>INDEX(DarlObj,18)</f>
      </c>
      <c r="D8200">
        <v>37</v>
      </c>
      <c r="E8200" s="51">
        <f>IF(INDEX(DarlBelegt,18)=0,0,EOMONTH(INDEX(DarlAuszahlung,18),36)+1)</f>
      </c>
      <c r="F8200" s="43">
        <f>IF($E8200=0,0,YEAR($E8200))</f>
      </c>
      <c r="G8200" s="43">
        <f>IF(INDEX(DarlBindung,18)="",1,IF($E8200&lt;=INDEX(DarlBindung,18),1,0))</f>
      </c>
      <c r="H8200" s="43">
        <f>IF($G8200=1,INDEX(DarlSollzins,18),INDEX(DarlAnschluss,18))</f>
      </c>
      <c r="I8200" s="43">
        <f>IF(INDEX(DarlBelegt,18)=0,0,IF(INDEX(DarlOhneTilgung,18)=1,IF(INDEX(DarlBindung,18)="",1,$G8200),IF($J8200&gt;0.005,1,0)))</f>
      </c>
      <c r="J8200" s="43">
        <f>IF($I8199=0,0,$R8199)</f>
      </c>
      <c r="K8200" s="43">
        <f>IF($I8200=0,0,IF(INDEX(DarlOhneTilgung,18)=1,0,IF(AND(INDEX(DarlTilgStart,18)&gt;0,$E8200=INDEX(DarlTilgStart,18)),$J8200*($H8200+INDEX(DarlTilgung,18))/100/12,IF(AND($G8200=0,$G8199=1),MAX($K8199,$J8200*($H8200+1)/100/12),$K8199))))</f>
      </c>
      <c r="L8200" s="43">
        <f>IF($I8200=0,0,$J8200*$H8200/100/12)</f>
      </c>
      <c r="M8200" s="43">
        <f>IF($I8200=0,0,IF(OR(INDEX(DarlOhneTilgung,18)=1,AND(INDEX(DarlTilgStart,18)&gt;0,$E8200&lt;INDEX(DarlTilgStart,18))),0,MIN(MAX(0,$K8200-$L8200),$J8200)))</f>
      </c>
      <c r="N8200" s="43">
        <f>IF($I8200=0,0,MIN(SUMIFS(SondBetrag,SondDarl,18,SondDatum,"&gt;="&amp;$E8200,SondDatum,"&lt;="&amp;EOMONTH($E8200,0)),$J8200-$M8200))</f>
      </c>
      <c r="O8200" s="43">
        <f>IF($I8200=0,0,INDEX(DarlErsatzRate,18))</f>
      </c>
      <c r="P8200" s="43">
        <f>IF($I8200=0,0,$Q8199*INDEX(DarlErsatzZins,18))</f>
      </c>
      <c r="Q8200" s="43">
        <f>IF($I8200=0,0,$Q8199+$P8200+$O8200)</f>
      </c>
      <c r="R8200" s="43">
        <f>IF($I8200=0,0,$J8200-$M8200-$N8200)</f>
      </c>
    </row>
    <row r="8201">
      <c r="A8201"/>
      <c r="B8201">
        <v>18</v>
      </c>
      <c r="C8201" s="43">
        <f>INDEX(DarlObj,18)</f>
      </c>
      <c r="D8201">
        <v>38</v>
      </c>
      <c r="E8201" s="51">
        <f>IF(INDEX(DarlBelegt,18)=0,0,EOMONTH(INDEX(DarlAuszahlung,18),37)+1)</f>
      </c>
      <c r="F8201" s="43">
        <f>IF($E8201=0,0,YEAR($E8201))</f>
      </c>
      <c r="G8201" s="43">
        <f>IF(INDEX(DarlBindung,18)="",1,IF($E8201&lt;=INDEX(DarlBindung,18),1,0))</f>
      </c>
      <c r="H8201" s="43">
        <f>IF($G8201=1,INDEX(DarlSollzins,18),INDEX(DarlAnschluss,18))</f>
      </c>
      <c r="I8201" s="43">
        <f>IF(INDEX(DarlBelegt,18)=0,0,IF(INDEX(DarlOhneTilgung,18)=1,IF(INDEX(DarlBindung,18)="",1,$G8201),IF($J8201&gt;0.005,1,0)))</f>
      </c>
      <c r="J8201" s="43">
        <f>IF($I8200=0,0,$R8200)</f>
      </c>
      <c r="K8201" s="43">
        <f>IF($I8201=0,0,IF(INDEX(DarlOhneTilgung,18)=1,0,IF(AND(INDEX(DarlTilgStart,18)&gt;0,$E8201=INDEX(DarlTilgStart,18)),$J8201*($H8201+INDEX(DarlTilgung,18))/100/12,IF(AND($G8201=0,$G8200=1),MAX($K8200,$J8201*($H8201+1)/100/12),$K8200))))</f>
      </c>
      <c r="L8201" s="43">
        <f>IF($I8201=0,0,$J8201*$H8201/100/12)</f>
      </c>
      <c r="M8201" s="43">
        <f>IF($I8201=0,0,IF(OR(INDEX(DarlOhneTilgung,18)=1,AND(INDEX(DarlTilgStart,18)&gt;0,$E8201&lt;INDEX(DarlTilgStart,18))),0,MIN(MAX(0,$K8201-$L8201),$J8201)))</f>
      </c>
      <c r="N8201" s="43">
        <f>IF($I8201=0,0,MIN(SUMIFS(SondBetrag,SondDarl,18,SondDatum,"&gt;="&amp;$E8201,SondDatum,"&lt;="&amp;EOMONTH($E8201,0)),$J8201-$M8201))</f>
      </c>
      <c r="O8201" s="43">
        <f>IF($I8201=0,0,INDEX(DarlErsatzRate,18))</f>
      </c>
      <c r="P8201" s="43">
        <f>IF($I8201=0,0,$Q8200*INDEX(DarlErsatzZins,18))</f>
      </c>
      <c r="Q8201" s="43">
        <f>IF($I8201=0,0,$Q8200+$P8201+$O8201)</f>
      </c>
      <c r="R8201" s="43">
        <f>IF($I8201=0,0,$J8201-$M8201-$N8201)</f>
      </c>
    </row>
    <row r="8202">
      <c r="A8202"/>
      <c r="B8202">
        <v>18</v>
      </c>
      <c r="C8202" s="43">
        <f>INDEX(DarlObj,18)</f>
      </c>
      <c r="D8202">
        <v>39</v>
      </c>
      <c r="E8202" s="51">
        <f>IF(INDEX(DarlBelegt,18)=0,0,EOMONTH(INDEX(DarlAuszahlung,18),38)+1)</f>
      </c>
      <c r="F8202" s="43">
        <f>IF($E8202=0,0,YEAR($E8202))</f>
      </c>
      <c r="G8202" s="43">
        <f>IF(INDEX(DarlBindung,18)="",1,IF($E8202&lt;=INDEX(DarlBindung,18),1,0))</f>
      </c>
      <c r="H8202" s="43">
        <f>IF($G8202=1,INDEX(DarlSollzins,18),INDEX(DarlAnschluss,18))</f>
      </c>
      <c r="I8202" s="43">
        <f>IF(INDEX(DarlBelegt,18)=0,0,IF(INDEX(DarlOhneTilgung,18)=1,IF(INDEX(DarlBindung,18)="",1,$G8202),IF($J8202&gt;0.005,1,0)))</f>
      </c>
      <c r="J8202" s="43">
        <f>IF($I8201=0,0,$R8201)</f>
      </c>
      <c r="K8202" s="43">
        <f>IF($I8202=0,0,IF(INDEX(DarlOhneTilgung,18)=1,0,IF(AND(INDEX(DarlTilgStart,18)&gt;0,$E8202=INDEX(DarlTilgStart,18)),$J8202*($H8202+INDEX(DarlTilgung,18))/100/12,IF(AND($G8202=0,$G8201=1),MAX($K8201,$J8202*($H8202+1)/100/12),$K8201))))</f>
      </c>
      <c r="L8202" s="43">
        <f>IF($I8202=0,0,$J8202*$H8202/100/12)</f>
      </c>
      <c r="M8202" s="43">
        <f>IF($I8202=0,0,IF(OR(INDEX(DarlOhneTilgung,18)=1,AND(INDEX(DarlTilgStart,18)&gt;0,$E8202&lt;INDEX(DarlTilgStart,18))),0,MIN(MAX(0,$K8202-$L8202),$J8202)))</f>
      </c>
      <c r="N8202" s="43">
        <f>IF($I8202=0,0,MIN(SUMIFS(SondBetrag,SondDarl,18,SondDatum,"&gt;="&amp;$E8202,SondDatum,"&lt;="&amp;EOMONTH($E8202,0)),$J8202-$M8202))</f>
      </c>
      <c r="O8202" s="43">
        <f>IF($I8202=0,0,INDEX(DarlErsatzRate,18))</f>
      </c>
      <c r="P8202" s="43">
        <f>IF($I8202=0,0,$Q8201*INDEX(DarlErsatzZins,18))</f>
      </c>
      <c r="Q8202" s="43">
        <f>IF($I8202=0,0,$Q8201+$P8202+$O8202)</f>
      </c>
      <c r="R8202" s="43">
        <f>IF($I8202=0,0,$J8202-$M8202-$N8202)</f>
      </c>
    </row>
    <row r="8203">
      <c r="A8203"/>
      <c r="B8203">
        <v>18</v>
      </c>
      <c r="C8203" s="43">
        <f>INDEX(DarlObj,18)</f>
      </c>
      <c r="D8203">
        <v>40</v>
      </c>
      <c r="E8203" s="51">
        <f>IF(INDEX(DarlBelegt,18)=0,0,EOMONTH(INDEX(DarlAuszahlung,18),39)+1)</f>
      </c>
      <c r="F8203" s="43">
        <f>IF($E8203=0,0,YEAR($E8203))</f>
      </c>
      <c r="G8203" s="43">
        <f>IF(INDEX(DarlBindung,18)="",1,IF($E8203&lt;=INDEX(DarlBindung,18),1,0))</f>
      </c>
      <c r="H8203" s="43">
        <f>IF($G8203=1,INDEX(DarlSollzins,18),INDEX(DarlAnschluss,18))</f>
      </c>
      <c r="I8203" s="43">
        <f>IF(INDEX(DarlBelegt,18)=0,0,IF(INDEX(DarlOhneTilgung,18)=1,IF(INDEX(DarlBindung,18)="",1,$G8203),IF($J8203&gt;0.005,1,0)))</f>
      </c>
      <c r="J8203" s="43">
        <f>IF($I8202=0,0,$R8202)</f>
      </c>
      <c r="K8203" s="43">
        <f>IF($I8203=0,0,IF(INDEX(DarlOhneTilgung,18)=1,0,IF(AND(INDEX(DarlTilgStart,18)&gt;0,$E8203=INDEX(DarlTilgStart,18)),$J8203*($H8203+INDEX(DarlTilgung,18))/100/12,IF(AND($G8203=0,$G8202=1),MAX($K8202,$J8203*($H8203+1)/100/12),$K8202))))</f>
      </c>
      <c r="L8203" s="43">
        <f>IF($I8203=0,0,$J8203*$H8203/100/12)</f>
      </c>
      <c r="M8203" s="43">
        <f>IF($I8203=0,0,IF(OR(INDEX(DarlOhneTilgung,18)=1,AND(INDEX(DarlTilgStart,18)&gt;0,$E8203&lt;INDEX(DarlTilgStart,18))),0,MIN(MAX(0,$K8203-$L8203),$J8203)))</f>
      </c>
      <c r="N8203" s="43">
        <f>IF($I8203=0,0,MIN(SUMIFS(SondBetrag,SondDarl,18,SondDatum,"&gt;="&amp;$E8203,SondDatum,"&lt;="&amp;EOMONTH($E8203,0)),$J8203-$M8203))</f>
      </c>
      <c r="O8203" s="43">
        <f>IF($I8203=0,0,INDEX(DarlErsatzRate,18))</f>
      </c>
      <c r="P8203" s="43">
        <f>IF($I8203=0,0,$Q8202*INDEX(DarlErsatzZins,18))</f>
      </c>
      <c r="Q8203" s="43">
        <f>IF($I8203=0,0,$Q8202+$P8203+$O8203)</f>
      </c>
      <c r="R8203" s="43">
        <f>IF($I8203=0,0,$J8203-$M8203-$N8203)</f>
      </c>
    </row>
    <row r="8204">
      <c r="A8204"/>
      <c r="B8204">
        <v>18</v>
      </c>
      <c r="C8204" s="43">
        <f>INDEX(DarlObj,18)</f>
      </c>
      <c r="D8204">
        <v>41</v>
      </c>
      <c r="E8204" s="51">
        <f>IF(INDEX(DarlBelegt,18)=0,0,EOMONTH(INDEX(DarlAuszahlung,18),40)+1)</f>
      </c>
      <c r="F8204" s="43">
        <f>IF($E8204=0,0,YEAR($E8204))</f>
      </c>
      <c r="G8204" s="43">
        <f>IF(INDEX(DarlBindung,18)="",1,IF($E8204&lt;=INDEX(DarlBindung,18),1,0))</f>
      </c>
      <c r="H8204" s="43">
        <f>IF($G8204=1,INDEX(DarlSollzins,18),INDEX(DarlAnschluss,18))</f>
      </c>
      <c r="I8204" s="43">
        <f>IF(INDEX(DarlBelegt,18)=0,0,IF(INDEX(DarlOhneTilgung,18)=1,IF(INDEX(DarlBindung,18)="",1,$G8204),IF($J8204&gt;0.005,1,0)))</f>
      </c>
      <c r="J8204" s="43">
        <f>IF($I8203=0,0,$R8203)</f>
      </c>
      <c r="K8204" s="43">
        <f>IF($I8204=0,0,IF(INDEX(DarlOhneTilgung,18)=1,0,IF(AND(INDEX(DarlTilgStart,18)&gt;0,$E8204=INDEX(DarlTilgStart,18)),$J8204*($H8204+INDEX(DarlTilgung,18))/100/12,IF(AND($G8204=0,$G8203=1),MAX($K8203,$J8204*($H8204+1)/100/12),$K8203))))</f>
      </c>
      <c r="L8204" s="43">
        <f>IF($I8204=0,0,$J8204*$H8204/100/12)</f>
      </c>
      <c r="M8204" s="43">
        <f>IF($I8204=0,0,IF(OR(INDEX(DarlOhneTilgung,18)=1,AND(INDEX(DarlTilgStart,18)&gt;0,$E8204&lt;INDEX(DarlTilgStart,18))),0,MIN(MAX(0,$K8204-$L8204),$J8204)))</f>
      </c>
      <c r="N8204" s="43">
        <f>IF($I8204=0,0,MIN(SUMIFS(SondBetrag,SondDarl,18,SondDatum,"&gt;="&amp;$E8204,SondDatum,"&lt;="&amp;EOMONTH($E8204,0)),$J8204-$M8204))</f>
      </c>
      <c r="O8204" s="43">
        <f>IF($I8204=0,0,INDEX(DarlErsatzRate,18))</f>
      </c>
      <c r="P8204" s="43">
        <f>IF($I8204=0,0,$Q8203*INDEX(DarlErsatzZins,18))</f>
      </c>
      <c r="Q8204" s="43">
        <f>IF($I8204=0,0,$Q8203+$P8204+$O8204)</f>
      </c>
      <c r="R8204" s="43">
        <f>IF($I8204=0,0,$J8204-$M8204-$N8204)</f>
      </c>
    </row>
    <row r="8205">
      <c r="A8205"/>
      <c r="B8205">
        <v>18</v>
      </c>
      <c r="C8205" s="43">
        <f>INDEX(DarlObj,18)</f>
      </c>
      <c r="D8205">
        <v>42</v>
      </c>
      <c r="E8205" s="51">
        <f>IF(INDEX(DarlBelegt,18)=0,0,EOMONTH(INDEX(DarlAuszahlung,18),41)+1)</f>
      </c>
      <c r="F8205" s="43">
        <f>IF($E8205=0,0,YEAR($E8205))</f>
      </c>
      <c r="G8205" s="43">
        <f>IF(INDEX(DarlBindung,18)="",1,IF($E8205&lt;=INDEX(DarlBindung,18),1,0))</f>
      </c>
      <c r="H8205" s="43">
        <f>IF($G8205=1,INDEX(DarlSollzins,18),INDEX(DarlAnschluss,18))</f>
      </c>
      <c r="I8205" s="43">
        <f>IF(INDEX(DarlBelegt,18)=0,0,IF(INDEX(DarlOhneTilgung,18)=1,IF(INDEX(DarlBindung,18)="",1,$G8205),IF($J8205&gt;0.005,1,0)))</f>
      </c>
      <c r="J8205" s="43">
        <f>IF($I8204=0,0,$R8204)</f>
      </c>
      <c r="K8205" s="43">
        <f>IF($I8205=0,0,IF(INDEX(DarlOhneTilgung,18)=1,0,IF(AND(INDEX(DarlTilgStart,18)&gt;0,$E8205=INDEX(DarlTilgStart,18)),$J8205*($H8205+INDEX(DarlTilgung,18))/100/12,IF(AND($G8205=0,$G8204=1),MAX($K8204,$J8205*($H8205+1)/100/12),$K8204))))</f>
      </c>
      <c r="L8205" s="43">
        <f>IF($I8205=0,0,$J8205*$H8205/100/12)</f>
      </c>
      <c r="M8205" s="43">
        <f>IF($I8205=0,0,IF(OR(INDEX(DarlOhneTilgung,18)=1,AND(INDEX(DarlTilgStart,18)&gt;0,$E8205&lt;INDEX(DarlTilgStart,18))),0,MIN(MAX(0,$K8205-$L8205),$J8205)))</f>
      </c>
      <c r="N8205" s="43">
        <f>IF($I8205=0,0,MIN(SUMIFS(SondBetrag,SondDarl,18,SondDatum,"&gt;="&amp;$E8205,SondDatum,"&lt;="&amp;EOMONTH($E8205,0)),$J8205-$M8205))</f>
      </c>
      <c r="O8205" s="43">
        <f>IF($I8205=0,0,INDEX(DarlErsatzRate,18))</f>
      </c>
      <c r="P8205" s="43">
        <f>IF($I8205=0,0,$Q8204*INDEX(DarlErsatzZins,18))</f>
      </c>
      <c r="Q8205" s="43">
        <f>IF($I8205=0,0,$Q8204+$P8205+$O8205)</f>
      </c>
      <c r="R8205" s="43">
        <f>IF($I8205=0,0,$J8205-$M8205-$N8205)</f>
      </c>
    </row>
    <row r="8206">
      <c r="A8206"/>
      <c r="B8206">
        <v>18</v>
      </c>
      <c r="C8206" s="43">
        <f>INDEX(DarlObj,18)</f>
      </c>
      <c r="D8206">
        <v>43</v>
      </c>
      <c r="E8206" s="51">
        <f>IF(INDEX(DarlBelegt,18)=0,0,EOMONTH(INDEX(DarlAuszahlung,18),42)+1)</f>
      </c>
      <c r="F8206" s="43">
        <f>IF($E8206=0,0,YEAR($E8206))</f>
      </c>
      <c r="G8206" s="43">
        <f>IF(INDEX(DarlBindung,18)="",1,IF($E8206&lt;=INDEX(DarlBindung,18),1,0))</f>
      </c>
      <c r="H8206" s="43">
        <f>IF($G8206=1,INDEX(DarlSollzins,18),INDEX(DarlAnschluss,18))</f>
      </c>
      <c r="I8206" s="43">
        <f>IF(INDEX(DarlBelegt,18)=0,0,IF(INDEX(DarlOhneTilgung,18)=1,IF(INDEX(DarlBindung,18)="",1,$G8206),IF($J8206&gt;0.005,1,0)))</f>
      </c>
      <c r="J8206" s="43">
        <f>IF($I8205=0,0,$R8205)</f>
      </c>
      <c r="K8206" s="43">
        <f>IF($I8206=0,0,IF(INDEX(DarlOhneTilgung,18)=1,0,IF(AND(INDEX(DarlTilgStart,18)&gt;0,$E8206=INDEX(DarlTilgStart,18)),$J8206*($H8206+INDEX(DarlTilgung,18))/100/12,IF(AND($G8206=0,$G8205=1),MAX($K8205,$J8206*($H8206+1)/100/12),$K8205))))</f>
      </c>
      <c r="L8206" s="43">
        <f>IF($I8206=0,0,$J8206*$H8206/100/12)</f>
      </c>
      <c r="M8206" s="43">
        <f>IF($I8206=0,0,IF(OR(INDEX(DarlOhneTilgung,18)=1,AND(INDEX(DarlTilgStart,18)&gt;0,$E8206&lt;INDEX(DarlTilgStart,18))),0,MIN(MAX(0,$K8206-$L8206),$J8206)))</f>
      </c>
      <c r="N8206" s="43">
        <f>IF($I8206=0,0,MIN(SUMIFS(SondBetrag,SondDarl,18,SondDatum,"&gt;="&amp;$E8206,SondDatum,"&lt;="&amp;EOMONTH($E8206,0)),$J8206-$M8206))</f>
      </c>
      <c r="O8206" s="43">
        <f>IF($I8206=0,0,INDEX(DarlErsatzRate,18))</f>
      </c>
      <c r="P8206" s="43">
        <f>IF($I8206=0,0,$Q8205*INDEX(DarlErsatzZins,18))</f>
      </c>
      <c r="Q8206" s="43">
        <f>IF($I8206=0,0,$Q8205+$P8206+$O8206)</f>
      </c>
      <c r="R8206" s="43">
        <f>IF($I8206=0,0,$J8206-$M8206-$N8206)</f>
      </c>
    </row>
    <row r="8207">
      <c r="A8207"/>
      <c r="B8207">
        <v>18</v>
      </c>
      <c r="C8207" s="43">
        <f>INDEX(DarlObj,18)</f>
      </c>
      <c r="D8207">
        <v>44</v>
      </c>
      <c r="E8207" s="51">
        <f>IF(INDEX(DarlBelegt,18)=0,0,EOMONTH(INDEX(DarlAuszahlung,18),43)+1)</f>
      </c>
      <c r="F8207" s="43">
        <f>IF($E8207=0,0,YEAR($E8207))</f>
      </c>
      <c r="G8207" s="43">
        <f>IF(INDEX(DarlBindung,18)="",1,IF($E8207&lt;=INDEX(DarlBindung,18),1,0))</f>
      </c>
      <c r="H8207" s="43">
        <f>IF($G8207=1,INDEX(DarlSollzins,18),INDEX(DarlAnschluss,18))</f>
      </c>
      <c r="I8207" s="43">
        <f>IF(INDEX(DarlBelegt,18)=0,0,IF(INDEX(DarlOhneTilgung,18)=1,IF(INDEX(DarlBindung,18)="",1,$G8207),IF($J8207&gt;0.005,1,0)))</f>
      </c>
      <c r="J8207" s="43">
        <f>IF($I8206=0,0,$R8206)</f>
      </c>
      <c r="K8207" s="43">
        <f>IF($I8207=0,0,IF(INDEX(DarlOhneTilgung,18)=1,0,IF(AND(INDEX(DarlTilgStart,18)&gt;0,$E8207=INDEX(DarlTilgStart,18)),$J8207*($H8207+INDEX(DarlTilgung,18))/100/12,IF(AND($G8207=0,$G8206=1),MAX($K8206,$J8207*($H8207+1)/100/12),$K8206))))</f>
      </c>
      <c r="L8207" s="43">
        <f>IF($I8207=0,0,$J8207*$H8207/100/12)</f>
      </c>
      <c r="M8207" s="43">
        <f>IF($I8207=0,0,IF(OR(INDEX(DarlOhneTilgung,18)=1,AND(INDEX(DarlTilgStart,18)&gt;0,$E8207&lt;INDEX(DarlTilgStart,18))),0,MIN(MAX(0,$K8207-$L8207),$J8207)))</f>
      </c>
      <c r="N8207" s="43">
        <f>IF($I8207=0,0,MIN(SUMIFS(SondBetrag,SondDarl,18,SondDatum,"&gt;="&amp;$E8207,SondDatum,"&lt;="&amp;EOMONTH($E8207,0)),$J8207-$M8207))</f>
      </c>
      <c r="O8207" s="43">
        <f>IF($I8207=0,0,INDEX(DarlErsatzRate,18))</f>
      </c>
      <c r="P8207" s="43">
        <f>IF($I8207=0,0,$Q8206*INDEX(DarlErsatzZins,18))</f>
      </c>
      <c r="Q8207" s="43">
        <f>IF($I8207=0,0,$Q8206+$P8207+$O8207)</f>
      </c>
      <c r="R8207" s="43">
        <f>IF($I8207=0,0,$J8207-$M8207-$N8207)</f>
      </c>
    </row>
    <row r="8208">
      <c r="A8208"/>
      <c r="B8208">
        <v>18</v>
      </c>
      <c r="C8208" s="43">
        <f>INDEX(DarlObj,18)</f>
      </c>
      <c r="D8208">
        <v>45</v>
      </c>
      <c r="E8208" s="51">
        <f>IF(INDEX(DarlBelegt,18)=0,0,EOMONTH(INDEX(DarlAuszahlung,18),44)+1)</f>
      </c>
      <c r="F8208" s="43">
        <f>IF($E8208=0,0,YEAR($E8208))</f>
      </c>
      <c r="G8208" s="43">
        <f>IF(INDEX(DarlBindung,18)="",1,IF($E8208&lt;=INDEX(DarlBindung,18),1,0))</f>
      </c>
      <c r="H8208" s="43">
        <f>IF($G8208=1,INDEX(DarlSollzins,18),INDEX(DarlAnschluss,18))</f>
      </c>
      <c r="I8208" s="43">
        <f>IF(INDEX(DarlBelegt,18)=0,0,IF(INDEX(DarlOhneTilgung,18)=1,IF(INDEX(DarlBindung,18)="",1,$G8208),IF($J8208&gt;0.005,1,0)))</f>
      </c>
      <c r="J8208" s="43">
        <f>IF($I8207=0,0,$R8207)</f>
      </c>
      <c r="K8208" s="43">
        <f>IF($I8208=0,0,IF(INDEX(DarlOhneTilgung,18)=1,0,IF(AND(INDEX(DarlTilgStart,18)&gt;0,$E8208=INDEX(DarlTilgStart,18)),$J8208*($H8208+INDEX(DarlTilgung,18))/100/12,IF(AND($G8208=0,$G8207=1),MAX($K8207,$J8208*($H8208+1)/100/12),$K8207))))</f>
      </c>
      <c r="L8208" s="43">
        <f>IF($I8208=0,0,$J8208*$H8208/100/12)</f>
      </c>
      <c r="M8208" s="43">
        <f>IF($I8208=0,0,IF(OR(INDEX(DarlOhneTilgung,18)=1,AND(INDEX(DarlTilgStart,18)&gt;0,$E8208&lt;INDEX(DarlTilgStart,18))),0,MIN(MAX(0,$K8208-$L8208),$J8208)))</f>
      </c>
      <c r="N8208" s="43">
        <f>IF($I8208=0,0,MIN(SUMIFS(SondBetrag,SondDarl,18,SondDatum,"&gt;="&amp;$E8208,SondDatum,"&lt;="&amp;EOMONTH($E8208,0)),$J8208-$M8208))</f>
      </c>
      <c r="O8208" s="43">
        <f>IF($I8208=0,0,INDEX(DarlErsatzRate,18))</f>
      </c>
      <c r="P8208" s="43">
        <f>IF($I8208=0,0,$Q8207*INDEX(DarlErsatzZins,18))</f>
      </c>
      <c r="Q8208" s="43">
        <f>IF($I8208=0,0,$Q8207+$P8208+$O8208)</f>
      </c>
      <c r="R8208" s="43">
        <f>IF($I8208=0,0,$J8208-$M8208-$N8208)</f>
      </c>
    </row>
    <row r="8209">
      <c r="A8209"/>
      <c r="B8209">
        <v>18</v>
      </c>
      <c r="C8209" s="43">
        <f>INDEX(DarlObj,18)</f>
      </c>
      <c r="D8209">
        <v>46</v>
      </c>
      <c r="E8209" s="51">
        <f>IF(INDEX(DarlBelegt,18)=0,0,EOMONTH(INDEX(DarlAuszahlung,18),45)+1)</f>
      </c>
      <c r="F8209" s="43">
        <f>IF($E8209=0,0,YEAR($E8209))</f>
      </c>
      <c r="G8209" s="43">
        <f>IF(INDEX(DarlBindung,18)="",1,IF($E8209&lt;=INDEX(DarlBindung,18),1,0))</f>
      </c>
      <c r="H8209" s="43">
        <f>IF($G8209=1,INDEX(DarlSollzins,18),INDEX(DarlAnschluss,18))</f>
      </c>
      <c r="I8209" s="43">
        <f>IF(INDEX(DarlBelegt,18)=0,0,IF(INDEX(DarlOhneTilgung,18)=1,IF(INDEX(DarlBindung,18)="",1,$G8209),IF($J8209&gt;0.005,1,0)))</f>
      </c>
      <c r="J8209" s="43">
        <f>IF($I8208=0,0,$R8208)</f>
      </c>
      <c r="K8209" s="43">
        <f>IF($I8209=0,0,IF(INDEX(DarlOhneTilgung,18)=1,0,IF(AND(INDEX(DarlTilgStart,18)&gt;0,$E8209=INDEX(DarlTilgStart,18)),$J8209*($H8209+INDEX(DarlTilgung,18))/100/12,IF(AND($G8209=0,$G8208=1),MAX($K8208,$J8209*($H8209+1)/100/12),$K8208))))</f>
      </c>
      <c r="L8209" s="43">
        <f>IF($I8209=0,0,$J8209*$H8209/100/12)</f>
      </c>
      <c r="M8209" s="43">
        <f>IF($I8209=0,0,IF(OR(INDEX(DarlOhneTilgung,18)=1,AND(INDEX(DarlTilgStart,18)&gt;0,$E8209&lt;INDEX(DarlTilgStart,18))),0,MIN(MAX(0,$K8209-$L8209),$J8209)))</f>
      </c>
      <c r="N8209" s="43">
        <f>IF($I8209=0,0,MIN(SUMIFS(SondBetrag,SondDarl,18,SondDatum,"&gt;="&amp;$E8209,SondDatum,"&lt;="&amp;EOMONTH($E8209,0)),$J8209-$M8209))</f>
      </c>
      <c r="O8209" s="43">
        <f>IF($I8209=0,0,INDEX(DarlErsatzRate,18))</f>
      </c>
      <c r="P8209" s="43">
        <f>IF($I8209=0,0,$Q8208*INDEX(DarlErsatzZins,18))</f>
      </c>
      <c r="Q8209" s="43">
        <f>IF($I8209=0,0,$Q8208+$P8209+$O8209)</f>
      </c>
      <c r="R8209" s="43">
        <f>IF($I8209=0,0,$J8209-$M8209-$N8209)</f>
      </c>
    </row>
    <row r="8210">
      <c r="A8210"/>
      <c r="B8210">
        <v>18</v>
      </c>
      <c r="C8210" s="43">
        <f>INDEX(DarlObj,18)</f>
      </c>
      <c r="D8210">
        <v>47</v>
      </c>
      <c r="E8210" s="51">
        <f>IF(INDEX(DarlBelegt,18)=0,0,EOMONTH(INDEX(DarlAuszahlung,18),46)+1)</f>
      </c>
      <c r="F8210" s="43">
        <f>IF($E8210=0,0,YEAR($E8210))</f>
      </c>
      <c r="G8210" s="43">
        <f>IF(INDEX(DarlBindung,18)="",1,IF($E8210&lt;=INDEX(DarlBindung,18),1,0))</f>
      </c>
      <c r="H8210" s="43">
        <f>IF($G8210=1,INDEX(DarlSollzins,18),INDEX(DarlAnschluss,18))</f>
      </c>
      <c r="I8210" s="43">
        <f>IF(INDEX(DarlBelegt,18)=0,0,IF(INDEX(DarlOhneTilgung,18)=1,IF(INDEX(DarlBindung,18)="",1,$G8210),IF($J8210&gt;0.005,1,0)))</f>
      </c>
      <c r="J8210" s="43">
        <f>IF($I8209=0,0,$R8209)</f>
      </c>
      <c r="K8210" s="43">
        <f>IF($I8210=0,0,IF(INDEX(DarlOhneTilgung,18)=1,0,IF(AND(INDEX(DarlTilgStart,18)&gt;0,$E8210=INDEX(DarlTilgStart,18)),$J8210*($H8210+INDEX(DarlTilgung,18))/100/12,IF(AND($G8210=0,$G8209=1),MAX($K8209,$J8210*($H8210+1)/100/12),$K8209))))</f>
      </c>
      <c r="L8210" s="43">
        <f>IF($I8210=0,0,$J8210*$H8210/100/12)</f>
      </c>
      <c r="M8210" s="43">
        <f>IF($I8210=0,0,IF(OR(INDEX(DarlOhneTilgung,18)=1,AND(INDEX(DarlTilgStart,18)&gt;0,$E8210&lt;INDEX(DarlTilgStart,18))),0,MIN(MAX(0,$K8210-$L8210),$J8210)))</f>
      </c>
      <c r="N8210" s="43">
        <f>IF($I8210=0,0,MIN(SUMIFS(SondBetrag,SondDarl,18,SondDatum,"&gt;="&amp;$E8210,SondDatum,"&lt;="&amp;EOMONTH($E8210,0)),$J8210-$M8210))</f>
      </c>
      <c r="O8210" s="43">
        <f>IF($I8210=0,0,INDEX(DarlErsatzRate,18))</f>
      </c>
      <c r="P8210" s="43">
        <f>IF($I8210=0,0,$Q8209*INDEX(DarlErsatzZins,18))</f>
      </c>
      <c r="Q8210" s="43">
        <f>IF($I8210=0,0,$Q8209+$P8210+$O8210)</f>
      </c>
      <c r="R8210" s="43">
        <f>IF($I8210=0,0,$J8210-$M8210-$N8210)</f>
      </c>
    </row>
    <row r="8211">
      <c r="A8211"/>
      <c r="B8211">
        <v>18</v>
      </c>
      <c r="C8211" s="43">
        <f>INDEX(DarlObj,18)</f>
      </c>
      <c r="D8211">
        <v>48</v>
      </c>
      <c r="E8211" s="51">
        <f>IF(INDEX(DarlBelegt,18)=0,0,EOMONTH(INDEX(DarlAuszahlung,18),47)+1)</f>
      </c>
      <c r="F8211" s="43">
        <f>IF($E8211=0,0,YEAR($E8211))</f>
      </c>
      <c r="G8211" s="43">
        <f>IF(INDEX(DarlBindung,18)="",1,IF($E8211&lt;=INDEX(DarlBindung,18),1,0))</f>
      </c>
      <c r="H8211" s="43">
        <f>IF($G8211=1,INDEX(DarlSollzins,18),INDEX(DarlAnschluss,18))</f>
      </c>
      <c r="I8211" s="43">
        <f>IF(INDEX(DarlBelegt,18)=0,0,IF(INDEX(DarlOhneTilgung,18)=1,IF(INDEX(DarlBindung,18)="",1,$G8211),IF($J8211&gt;0.005,1,0)))</f>
      </c>
      <c r="J8211" s="43">
        <f>IF($I8210=0,0,$R8210)</f>
      </c>
      <c r="K8211" s="43">
        <f>IF($I8211=0,0,IF(INDEX(DarlOhneTilgung,18)=1,0,IF(AND(INDEX(DarlTilgStart,18)&gt;0,$E8211=INDEX(DarlTilgStart,18)),$J8211*($H8211+INDEX(DarlTilgung,18))/100/12,IF(AND($G8211=0,$G8210=1),MAX($K8210,$J8211*($H8211+1)/100/12),$K8210))))</f>
      </c>
      <c r="L8211" s="43">
        <f>IF($I8211=0,0,$J8211*$H8211/100/12)</f>
      </c>
      <c r="M8211" s="43">
        <f>IF($I8211=0,0,IF(OR(INDEX(DarlOhneTilgung,18)=1,AND(INDEX(DarlTilgStart,18)&gt;0,$E8211&lt;INDEX(DarlTilgStart,18))),0,MIN(MAX(0,$K8211-$L8211),$J8211)))</f>
      </c>
      <c r="N8211" s="43">
        <f>IF($I8211=0,0,MIN(SUMIFS(SondBetrag,SondDarl,18,SondDatum,"&gt;="&amp;$E8211,SondDatum,"&lt;="&amp;EOMONTH($E8211,0)),$J8211-$M8211))</f>
      </c>
      <c r="O8211" s="43">
        <f>IF($I8211=0,0,INDEX(DarlErsatzRate,18))</f>
      </c>
      <c r="P8211" s="43">
        <f>IF($I8211=0,0,$Q8210*INDEX(DarlErsatzZins,18))</f>
      </c>
      <c r="Q8211" s="43">
        <f>IF($I8211=0,0,$Q8210+$P8211+$O8211)</f>
      </c>
      <c r="R8211" s="43">
        <f>IF($I8211=0,0,$J8211-$M8211-$N8211)</f>
      </c>
    </row>
    <row r="8212">
      <c r="A8212"/>
      <c r="B8212">
        <v>18</v>
      </c>
      <c r="C8212" s="43">
        <f>INDEX(DarlObj,18)</f>
      </c>
      <c r="D8212">
        <v>49</v>
      </c>
      <c r="E8212" s="51">
        <f>IF(INDEX(DarlBelegt,18)=0,0,EOMONTH(INDEX(DarlAuszahlung,18),48)+1)</f>
      </c>
      <c r="F8212" s="43">
        <f>IF($E8212=0,0,YEAR($E8212))</f>
      </c>
      <c r="G8212" s="43">
        <f>IF(INDEX(DarlBindung,18)="",1,IF($E8212&lt;=INDEX(DarlBindung,18),1,0))</f>
      </c>
      <c r="H8212" s="43">
        <f>IF($G8212=1,INDEX(DarlSollzins,18),INDEX(DarlAnschluss,18))</f>
      </c>
      <c r="I8212" s="43">
        <f>IF(INDEX(DarlBelegt,18)=0,0,IF(INDEX(DarlOhneTilgung,18)=1,IF(INDEX(DarlBindung,18)="",1,$G8212),IF($J8212&gt;0.005,1,0)))</f>
      </c>
      <c r="J8212" s="43">
        <f>IF($I8211=0,0,$R8211)</f>
      </c>
      <c r="K8212" s="43">
        <f>IF($I8212=0,0,IF(INDEX(DarlOhneTilgung,18)=1,0,IF(AND(INDEX(DarlTilgStart,18)&gt;0,$E8212=INDEX(DarlTilgStart,18)),$J8212*($H8212+INDEX(DarlTilgung,18))/100/12,IF(AND($G8212=0,$G8211=1),MAX($K8211,$J8212*($H8212+1)/100/12),$K8211))))</f>
      </c>
      <c r="L8212" s="43">
        <f>IF($I8212=0,0,$J8212*$H8212/100/12)</f>
      </c>
      <c r="M8212" s="43">
        <f>IF($I8212=0,0,IF(OR(INDEX(DarlOhneTilgung,18)=1,AND(INDEX(DarlTilgStart,18)&gt;0,$E8212&lt;INDEX(DarlTilgStart,18))),0,MIN(MAX(0,$K8212-$L8212),$J8212)))</f>
      </c>
      <c r="N8212" s="43">
        <f>IF($I8212=0,0,MIN(SUMIFS(SondBetrag,SondDarl,18,SondDatum,"&gt;="&amp;$E8212,SondDatum,"&lt;="&amp;EOMONTH($E8212,0)),$J8212-$M8212))</f>
      </c>
      <c r="O8212" s="43">
        <f>IF($I8212=0,0,INDEX(DarlErsatzRate,18))</f>
      </c>
      <c r="P8212" s="43">
        <f>IF($I8212=0,0,$Q8211*INDEX(DarlErsatzZins,18))</f>
      </c>
      <c r="Q8212" s="43">
        <f>IF($I8212=0,0,$Q8211+$P8212+$O8212)</f>
      </c>
      <c r="R8212" s="43">
        <f>IF($I8212=0,0,$J8212-$M8212-$N8212)</f>
      </c>
    </row>
    <row r="8213">
      <c r="A8213"/>
      <c r="B8213">
        <v>18</v>
      </c>
      <c r="C8213" s="43">
        <f>INDEX(DarlObj,18)</f>
      </c>
      <c r="D8213">
        <v>50</v>
      </c>
      <c r="E8213" s="51">
        <f>IF(INDEX(DarlBelegt,18)=0,0,EOMONTH(INDEX(DarlAuszahlung,18),49)+1)</f>
      </c>
      <c r="F8213" s="43">
        <f>IF($E8213=0,0,YEAR($E8213))</f>
      </c>
      <c r="G8213" s="43">
        <f>IF(INDEX(DarlBindung,18)="",1,IF($E8213&lt;=INDEX(DarlBindung,18),1,0))</f>
      </c>
      <c r="H8213" s="43">
        <f>IF($G8213=1,INDEX(DarlSollzins,18),INDEX(DarlAnschluss,18))</f>
      </c>
      <c r="I8213" s="43">
        <f>IF(INDEX(DarlBelegt,18)=0,0,IF(INDEX(DarlOhneTilgung,18)=1,IF(INDEX(DarlBindung,18)="",1,$G8213),IF($J8213&gt;0.005,1,0)))</f>
      </c>
      <c r="J8213" s="43">
        <f>IF($I8212=0,0,$R8212)</f>
      </c>
      <c r="K8213" s="43">
        <f>IF($I8213=0,0,IF(INDEX(DarlOhneTilgung,18)=1,0,IF(AND(INDEX(DarlTilgStart,18)&gt;0,$E8213=INDEX(DarlTilgStart,18)),$J8213*($H8213+INDEX(DarlTilgung,18))/100/12,IF(AND($G8213=0,$G8212=1),MAX($K8212,$J8213*($H8213+1)/100/12),$K8212))))</f>
      </c>
      <c r="L8213" s="43">
        <f>IF($I8213=0,0,$J8213*$H8213/100/12)</f>
      </c>
      <c r="M8213" s="43">
        <f>IF($I8213=0,0,IF(OR(INDEX(DarlOhneTilgung,18)=1,AND(INDEX(DarlTilgStart,18)&gt;0,$E8213&lt;INDEX(DarlTilgStart,18))),0,MIN(MAX(0,$K8213-$L8213),$J8213)))</f>
      </c>
      <c r="N8213" s="43">
        <f>IF($I8213=0,0,MIN(SUMIFS(SondBetrag,SondDarl,18,SondDatum,"&gt;="&amp;$E8213,SondDatum,"&lt;="&amp;EOMONTH($E8213,0)),$J8213-$M8213))</f>
      </c>
      <c r="O8213" s="43">
        <f>IF($I8213=0,0,INDEX(DarlErsatzRate,18))</f>
      </c>
      <c r="P8213" s="43">
        <f>IF($I8213=0,0,$Q8212*INDEX(DarlErsatzZins,18))</f>
      </c>
      <c r="Q8213" s="43">
        <f>IF($I8213=0,0,$Q8212+$P8213+$O8213)</f>
      </c>
      <c r="R8213" s="43">
        <f>IF($I8213=0,0,$J8213-$M8213-$N8213)</f>
      </c>
    </row>
    <row r="8214">
      <c r="A8214"/>
      <c r="B8214">
        <v>18</v>
      </c>
      <c r="C8214" s="43">
        <f>INDEX(DarlObj,18)</f>
      </c>
      <c r="D8214">
        <v>51</v>
      </c>
      <c r="E8214" s="51">
        <f>IF(INDEX(DarlBelegt,18)=0,0,EOMONTH(INDEX(DarlAuszahlung,18),50)+1)</f>
      </c>
      <c r="F8214" s="43">
        <f>IF($E8214=0,0,YEAR($E8214))</f>
      </c>
      <c r="G8214" s="43">
        <f>IF(INDEX(DarlBindung,18)="",1,IF($E8214&lt;=INDEX(DarlBindung,18),1,0))</f>
      </c>
      <c r="H8214" s="43">
        <f>IF($G8214=1,INDEX(DarlSollzins,18),INDEX(DarlAnschluss,18))</f>
      </c>
      <c r="I8214" s="43">
        <f>IF(INDEX(DarlBelegt,18)=0,0,IF(INDEX(DarlOhneTilgung,18)=1,IF(INDEX(DarlBindung,18)="",1,$G8214),IF($J8214&gt;0.005,1,0)))</f>
      </c>
      <c r="J8214" s="43">
        <f>IF($I8213=0,0,$R8213)</f>
      </c>
      <c r="K8214" s="43">
        <f>IF($I8214=0,0,IF(INDEX(DarlOhneTilgung,18)=1,0,IF(AND(INDEX(DarlTilgStart,18)&gt;0,$E8214=INDEX(DarlTilgStart,18)),$J8214*($H8214+INDEX(DarlTilgung,18))/100/12,IF(AND($G8214=0,$G8213=1),MAX($K8213,$J8214*($H8214+1)/100/12),$K8213))))</f>
      </c>
      <c r="L8214" s="43">
        <f>IF($I8214=0,0,$J8214*$H8214/100/12)</f>
      </c>
      <c r="M8214" s="43">
        <f>IF($I8214=0,0,IF(OR(INDEX(DarlOhneTilgung,18)=1,AND(INDEX(DarlTilgStart,18)&gt;0,$E8214&lt;INDEX(DarlTilgStart,18))),0,MIN(MAX(0,$K8214-$L8214),$J8214)))</f>
      </c>
      <c r="N8214" s="43">
        <f>IF($I8214=0,0,MIN(SUMIFS(SondBetrag,SondDarl,18,SondDatum,"&gt;="&amp;$E8214,SondDatum,"&lt;="&amp;EOMONTH($E8214,0)),$J8214-$M8214))</f>
      </c>
      <c r="O8214" s="43">
        <f>IF($I8214=0,0,INDEX(DarlErsatzRate,18))</f>
      </c>
      <c r="P8214" s="43">
        <f>IF($I8214=0,0,$Q8213*INDEX(DarlErsatzZins,18))</f>
      </c>
      <c r="Q8214" s="43">
        <f>IF($I8214=0,0,$Q8213+$P8214+$O8214)</f>
      </c>
      <c r="R8214" s="43">
        <f>IF($I8214=0,0,$J8214-$M8214-$N8214)</f>
      </c>
    </row>
    <row r="8215">
      <c r="A8215"/>
      <c r="B8215">
        <v>18</v>
      </c>
      <c r="C8215" s="43">
        <f>INDEX(DarlObj,18)</f>
      </c>
      <c r="D8215">
        <v>52</v>
      </c>
      <c r="E8215" s="51">
        <f>IF(INDEX(DarlBelegt,18)=0,0,EOMONTH(INDEX(DarlAuszahlung,18),51)+1)</f>
      </c>
      <c r="F8215" s="43">
        <f>IF($E8215=0,0,YEAR($E8215))</f>
      </c>
      <c r="G8215" s="43">
        <f>IF(INDEX(DarlBindung,18)="",1,IF($E8215&lt;=INDEX(DarlBindung,18),1,0))</f>
      </c>
      <c r="H8215" s="43">
        <f>IF($G8215=1,INDEX(DarlSollzins,18),INDEX(DarlAnschluss,18))</f>
      </c>
      <c r="I8215" s="43">
        <f>IF(INDEX(DarlBelegt,18)=0,0,IF(INDEX(DarlOhneTilgung,18)=1,IF(INDEX(DarlBindung,18)="",1,$G8215),IF($J8215&gt;0.005,1,0)))</f>
      </c>
      <c r="J8215" s="43">
        <f>IF($I8214=0,0,$R8214)</f>
      </c>
      <c r="K8215" s="43">
        <f>IF($I8215=0,0,IF(INDEX(DarlOhneTilgung,18)=1,0,IF(AND(INDEX(DarlTilgStart,18)&gt;0,$E8215=INDEX(DarlTilgStart,18)),$J8215*($H8215+INDEX(DarlTilgung,18))/100/12,IF(AND($G8215=0,$G8214=1),MAX($K8214,$J8215*($H8215+1)/100/12),$K8214))))</f>
      </c>
      <c r="L8215" s="43">
        <f>IF($I8215=0,0,$J8215*$H8215/100/12)</f>
      </c>
      <c r="M8215" s="43">
        <f>IF($I8215=0,0,IF(OR(INDEX(DarlOhneTilgung,18)=1,AND(INDEX(DarlTilgStart,18)&gt;0,$E8215&lt;INDEX(DarlTilgStart,18))),0,MIN(MAX(0,$K8215-$L8215),$J8215)))</f>
      </c>
      <c r="N8215" s="43">
        <f>IF($I8215=0,0,MIN(SUMIFS(SondBetrag,SondDarl,18,SondDatum,"&gt;="&amp;$E8215,SondDatum,"&lt;="&amp;EOMONTH($E8215,0)),$J8215-$M8215))</f>
      </c>
      <c r="O8215" s="43">
        <f>IF($I8215=0,0,INDEX(DarlErsatzRate,18))</f>
      </c>
      <c r="P8215" s="43">
        <f>IF($I8215=0,0,$Q8214*INDEX(DarlErsatzZins,18))</f>
      </c>
      <c r="Q8215" s="43">
        <f>IF($I8215=0,0,$Q8214+$P8215+$O8215)</f>
      </c>
      <c r="R8215" s="43">
        <f>IF($I8215=0,0,$J8215-$M8215-$N8215)</f>
      </c>
    </row>
    <row r="8216">
      <c r="A8216"/>
      <c r="B8216">
        <v>18</v>
      </c>
      <c r="C8216" s="43">
        <f>INDEX(DarlObj,18)</f>
      </c>
      <c r="D8216">
        <v>53</v>
      </c>
      <c r="E8216" s="51">
        <f>IF(INDEX(DarlBelegt,18)=0,0,EOMONTH(INDEX(DarlAuszahlung,18),52)+1)</f>
      </c>
      <c r="F8216" s="43">
        <f>IF($E8216=0,0,YEAR($E8216))</f>
      </c>
      <c r="G8216" s="43">
        <f>IF(INDEX(DarlBindung,18)="",1,IF($E8216&lt;=INDEX(DarlBindung,18),1,0))</f>
      </c>
      <c r="H8216" s="43">
        <f>IF($G8216=1,INDEX(DarlSollzins,18),INDEX(DarlAnschluss,18))</f>
      </c>
      <c r="I8216" s="43">
        <f>IF(INDEX(DarlBelegt,18)=0,0,IF(INDEX(DarlOhneTilgung,18)=1,IF(INDEX(DarlBindung,18)="",1,$G8216),IF($J8216&gt;0.005,1,0)))</f>
      </c>
      <c r="J8216" s="43">
        <f>IF($I8215=0,0,$R8215)</f>
      </c>
      <c r="K8216" s="43">
        <f>IF($I8216=0,0,IF(INDEX(DarlOhneTilgung,18)=1,0,IF(AND(INDEX(DarlTilgStart,18)&gt;0,$E8216=INDEX(DarlTilgStart,18)),$J8216*($H8216+INDEX(DarlTilgung,18))/100/12,IF(AND($G8216=0,$G8215=1),MAX($K8215,$J8216*($H8216+1)/100/12),$K8215))))</f>
      </c>
      <c r="L8216" s="43">
        <f>IF($I8216=0,0,$J8216*$H8216/100/12)</f>
      </c>
      <c r="M8216" s="43">
        <f>IF($I8216=0,0,IF(OR(INDEX(DarlOhneTilgung,18)=1,AND(INDEX(DarlTilgStart,18)&gt;0,$E8216&lt;INDEX(DarlTilgStart,18))),0,MIN(MAX(0,$K8216-$L8216),$J8216)))</f>
      </c>
      <c r="N8216" s="43">
        <f>IF($I8216=0,0,MIN(SUMIFS(SondBetrag,SondDarl,18,SondDatum,"&gt;="&amp;$E8216,SondDatum,"&lt;="&amp;EOMONTH($E8216,0)),$J8216-$M8216))</f>
      </c>
      <c r="O8216" s="43">
        <f>IF($I8216=0,0,INDEX(DarlErsatzRate,18))</f>
      </c>
      <c r="P8216" s="43">
        <f>IF($I8216=0,0,$Q8215*INDEX(DarlErsatzZins,18))</f>
      </c>
      <c r="Q8216" s="43">
        <f>IF($I8216=0,0,$Q8215+$P8216+$O8216)</f>
      </c>
      <c r="R8216" s="43">
        <f>IF($I8216=0,0,$J8216-$M8216-$N8216)</f>
      </c>
    </row>
    <row r="8217">
      <c r="A8217"/>
      <c r="B8217">
        <v>18</v>
      </c>
      <c r="C8217" s="43">
        <f>INDEX(DarlObj,18)</f>
      </c>
      <c r="D8217">
        <v>54</v>
      </c>
      <c r="E8217" s="51">
        <f>IF(INDEX(DarlBelegt,18)=0,0,EOMONTH(INDEX(DarlAuszahlung,18),53)+1)</f>
      </c>
      <c r="F8217" s="43">
        <f>IF($E8217=0,0,YEAR($E8217))</f>
      </c>
      <c r="G8217" s="43">
        <f>IF(INDEX(DarlBindung,18)="",1,IF($E8217&lt;=INDEX(DarlBindung,18),1,0))</f>
      </c>
      <c r="H8217" s="43">
        <f>IF($G8217=1,INDEX(DarlSollzins,18),INDEX(DarlAnschluss,18))</f>
      </c>
      <c r="I8217" s="43">
        <f>IF(INDEX(DarlBelegt,18)=0,0,IF(INDEX(DarlOhneTilgung,18)=1,IF(INDEX(DarlBindung,18)="",1,$G8217),IF($J8217&gt;0.005,1,0)))</f>
      </c>
      <c r="J8217" s="43">
        <f>IF($I8216=0,0,$R8216)</f>
      </c>
      <c r="K8217" s="43">
        <f>IF($I8217=0,0,IF(INDEX(DarlOhneTilgung,18)=1,0,IF(AND(INDEX(DarlTilgStart,18)&gt;0,$E8217=INDEX(DarlTilgStart,18)),$J8217*($H8217+INDEX(DarlTilgung,18))/100/12,IF(AND($G8217=0,$G8216=1),MAX($K8216,$J8217*($H8217+1)/100/12),$K8216))))</f>
      </c>
      <c r="L8217" s="43">
        <f>IF($I8217=0,0,$J8217*$H8217/100/12)</f>
      </c>
      <c r="M8217" s="43">
        <f>IF($I8217=0,0,IF(OR(INDEX(DarlOhneTilgung,18)=1,AND(INDEX(DarlTilgStart,18)&gt;0,$E8217&lt;INDEX(DarlTilgStart,18))),0,MIN(MAX(0,$K8217-$L8217),$J8217)))</f>
      </c>
      <c r="N8217" s="43">
        <f>IF($I8217=0,0,MIN(SUMIFS(SondBetrag,SondDarl,18,SondDatum,"&gt;="&amp;$E8217,SondDatum,"&lt;="&amp;EOMONTH($E8217,0)),$J8217-$M8217))</f>
      </c>
      <c r="O8217" s="43">
        <f>IF($I8217=0,0,INDEX(DarlErsatzRate,18))</f>
      </c>
      <c r="P8217" s="43">
        <f>IF($I8217=0,0,$Q8216*INDEX(DarlErsatzZins,18))</f>
      </c>
      <c r="Q8217" s="43">
        <f>IF($I8217=0,0,$Q8216+$P8217+$O8217)</f>
      </c>
      <c r="R8217" s="43">
        <f>IF($I8217=0,0,$J8217-$M8217-$N8217)</f>
      </c>
    </row>
    <row r="8218">
      <c r="A8218"/>
      <c r="B8218">
        <v>18</v>
      </c>
      <c r="C8218" s="43">
        <f>INDEX(DarlObj,18)</f>
      </c>
      <c r="D8218">
        <v>55</v>
      </c>
      <c r="E8218" s="51">
        <f>IF(INDEX(DarlBelegt,18)=0,0,EOMONTH(INDEX(DarlAuszahlung,18),54)+1)</f>
      </c>
      <c r="F8218" s="43">
        <f>IF($E8218=0,0,YEAR($E8218))</f>
      </c>
      <c r="G8218" s="43">
        <f>IF(INDEX(DarlBindung,18)="",1,IF($E8218&lt;=INDEX(DarlBindung,18),1,0))</f>
      </c>
      <c r="H8218" s="43">
        <f>IF($G8218=1,INDEX(DarlSollzins,18),INDEX(DarlAnschluss,18))</f>
      </c>
      <c r="I8218" s="43">
        <f>IF(INDEX(DarlBelegt,18)=0,0,IF(INDEX(DarlOhneTilgung,18)=1,IF(INDEX(DarlBindung,18)="",1,$G8218),IF($J8218&gt;0.005,1,0)))</f>
      </c>
      <c r="J8218" s="43">
        <f>IF($I8217=0,0,$R8217)</f>
      </c>
      <c r="K8218" s="43">
        <f>IF($I8218=0,0,IF(INDEX(DarlOhneTilgung,18)=1,0,IF(AND(INDEX(DarlTilgStart,18)&gt;0,$E8218=INDEX(DarlTilgStart,18)),$J8218*($H8218+INDEX(DarlTilgung,18))/100/12,IF(AND($G8218=0,$G8217=1),MAX($K8217,$J8218*($H8218+1)/100/12),$K8217))))</f>
      </c>
      <c r="L8218" s="43">
        <f>IF($I8218=0,0,$J8218*$H8218/100/12)</f>
      </c>
      <c r="M8218" s="43">
        <f>IF($I8218=0,0,IF(OR(INDEX(DarlOhneTilgung,18)=1,AND(INDEX(DarlTilgStart,18)&gt;0,$E8218&lt;INDEX(DarlTilgStart,18))),0,MIN(MAX(0,$K8218-$L8218),$J8218)))</f>
      </c>
      <c r="N8218" s="43">
        <f>IF($I8218=0,0,MIN(SUMIFS(SondBetrag,SondDarl,18,SondDatum,"&gt;="&amp;$E8218,SondDatum,"&lt;="&amp;EOMONTH($E8218,0)),$J8218-$M8218))</f>
      </c>
      <c r="O8218" s="43">
        <f>IF($I8218=0,0,INDEX(DarlErsatzRate,18))</f>
      </c>
      <c r="P8218" s="43">
        <f>IF($I8218=0,0,$Q8217*INDEX(DarlErsatzZins,18))</f>
      </c>
      <c r="Q8218" s="43">
        <f>IF($I8218=0,0,$Q8217+$P8218+$O8218)</f>
      </c>
      <c r="R8218" s="43">
        <f>IF($I8218=0,0,$J8218-$M8218-$N8218)</f>
      </c>
    </row>
    <row r="8219">
      <c r="A8219"/>
      <c r="B8219">
        <v>18</v>
      </c>
      <c r="C8219" s="43">
        <f>INDEX(DarlObj,18)</f>
      </c>
      <c r="D8219">
        <v>56</v>
      </c>
      <c r="E8219" s="51">
        <f>IF(INDEX(DarlBelegt,18)=0,0,EOMONTH(INDEX(DarlAuszahlung,18),55)+1)</f>
      </c>
      <c r="F8219" s="43">
        <f>IF($E8219=0,0,YEAR($E8219))</f>
      </c>
      <c r="G8219" s="43">
        <f>IF(INDEX(DarlBindung,18)="",1,IF($E8219&lt;=INDEX(DarlBindung,18),1,0))</f>
      </c>
      <c r="H8219" s="43">
        <f>IF($G8219=1,INDEX(DarlSollzins,18),INDEX(DarlAnschluss,18))</f>
      </c>
      <c r="I8219" s="43">
        <f>IF(INDEX(DarlBelegt,18)=0,0,IF(INDEX(DarlOhneTilgung,18)=1,IF(INDEX(DarlBindung,18)="",1,$G8219),IF($J8219&gt;0.005,1,0)))</f>
      </c>
      <c r="J8219" s="43">
        <f>IF($I8218=0,0,$R8218)</f>
      </c>
      <c r="K8219" s="43">
        <f>IF($I8219=0,0,IF(INDEX(DarlOhneTilgung,18)=1,0,IF(AND(INDEX(DarlTilgStart,18)&gt;0,$E8219=INDEX(DarlTilgStart,18)),$J8219*($H8219+INDEX(DarlTilgung,18))/100/12,IF(AND($G8219=0,$G8218=1),MAX($K8218,$J8219*($H8219+1)/100/12),$K8218))))</f>
      </c>
      <c r="L8219" s="43">
        <f>IF($I8219=0,0,$J8219*$H8219/100/12)</f>
      </c>
      <c r="M8219" s="43">
        <f>IF($I8219=0,0,IF(OR(INDEX(DarlOhneTilgung,18)=1,AND(INDEX(DarlTilgStart,18)&gt;0,$E8219&lt;INDEX(DarlTilgStart,18))),0,MIN(MAX(0,$K8219-$L8219),$J8219)))</f>
      </c>
      <c r="N8219" s="43">
        <f>IF($I8219=0,0,MIN(SUMIFS(SondBetrag,SondDarl,18,SondDatum,"&gt;="&amp;$E8219,SondDatum,"&lt;="&amp;EOMONTH($E8219,0)),$J8219-$M8219))</f>
      </c>
      <c r="O8219" s="43">
        <f>IF($I8219=0,0,INDEX(DarlErsatzRate,18))</f>
      </c>
      <c r="P8219" s="43">
        <f>IF($I8219=0,0,$Q8218*INDEX(DarlErsatzZins,18))</f>
      </c>
      <c r="Q8219" s="43">
        <f>IF($I8219=0,0,$Q8218+$P8219+$O8219)</f>
      </c>
      <c r="R8219" s="43">
        <f>IF($I8219=0,0,$J8219-$M8219-$N8219)</f>
      </c>
    </row>
    <row r="8220">
      <c r="A8220"/>
      <c r="B8220">
        <v>18</v>
      </c>
      <c r="C8220" s="43">
        <f>INDEX(DarlObj,18)</f>
      </c>
      <c r="D8220">
        <v>57</v>
      </c>
      <c r="E8220" s="51">
        <f>IF(INDEX(DarlBelegt,18)=0,0,EOMONTH(INDEX(DarlAuszahlung,18),56)+1)</f>
      </c>
      <c r="F8220" s="43">
        <f>IF($E8220=0,0,YEAR($E8220))</f>
      </c>
      <c r="G8220" s="43">
        <f>IF(INDEX(DarlBindung,18)="",1,IF($E8220&lt;=INDEX(DarlBindung,18),1,0))</f>
      </c>
      <c r="H8220" s="43">
        <f>IF($G8220=1,INDEX(DarlSollzins,18),INDEX(DarlAnschluss,18))</f>
      </c>
      <c r="I8220" s="43">
        <f>IF(INDEX(DarlBelegt,18)=0,0,IF(INDEX(DarlOhneTilgung,18)=1,IF(INDEX(DarlBindung,18)="",1,$G8220),IF($J8220&gt;0.005,1,0)))</f>
      </c>
      <c r="J8220" s="43">
        <f>IF($I8219=0,0,$R8219)</f>
      </c>
      <c r="K8220" s="43">
        <f>IF($I8220=0,0,IF(INDEX(DarlOhneTilgung,18)=1,0,IF(AND(INDEX(DarlTilgStart,18)&gt;0,$E8220=INDEX(DarlTilgStart,18)),$J8220*($H8220+INDEX(DarlTilgung,18))/100/12,IF(AND($G8220=0,$G8219=1),MAX($K8219,$J8220*($H8220+1)/100/12),$K8219))))</f>
      </c>
      <c r="L8220" s="43">
        <f>IF($I8220=0,0,$J8220*$H8220/100/12)</f>
      </c>
      <c r="M8220" s="43">
        <f>IF($I8220=0,0,IF(OR(INDEX(DarlOhneTilgung,18)=1,AND(INDEX(DarlTilgStart,18)&gt;0,$E8220&lt;INDEX(DarlTilgStart,18))),0,MIN(MAX(0,$K8220-$L8220),$J8220)))</f>
      </c>
      <c r="N8220" s="43">
        <f>IF($I8220=0,0,MIN(SUMIFS(SondBetrag,SondDarl,18,SondDatum,"&gt;="&amp;$E8220,SondDatum,"&lt;="&amp;EOMONTH($E8220,0)),$J8220-$M8220))</f>
      </c>
      <c r="O8220" s="43">
        <f>IF($I8220=0,0,INDEX(DarlErsatzRate,18))</f>
      </c>
      <c r="P8220" s="43">
        <f>IF($I8220=0,0,$Q8219*INDEX(DarlErsatzZins,18))</f>
      </c>
      <c r="Q8220" s="43">
        <f>IF($I8220=0,0,$Q8219+$P8220+$O8220)</f>
      </c>
      <c r="R8220" s="43">
        <f>IF($I8220=0,0,$J8220-$M8220-$N8220)</f>
      </c>
    </row>
    <row r="8221">
      <c r="A8221"/>
      <c r="B8221">
        <v>18</v>
      </c>
      <c r="C8221" s="43">
        <f>INDEX(DarlObj,18)</f>
      </c>
      <c r="D8221">
        <v>58</v>
      </c>
      <c r="E8221" s="51">
        <f>IF(INDEX(DarlBelegt,18)=0,0,EOMONTH(INDEX(DarlAuszahlung,18),57)+1)</f>
      </c>
      <c r="F8221" s="43">
        <f>IF($E8221=0,0,YEAR($E8221))</f>
      </c>
      <c r="G8221" s="43">
        <f>IF(INDEX(DarlBindung,18)="",1,IF($E8221&lt;=INDEX(DarlBindung,18),1,0))</f>
      </c>
      <c r="H8221" s="43">
        <f>IF($G8221=1,INDEX(DarlSollzins,18),INDEX(DarlAnschluss,18))</f>
      </c>
      <c r="I8221" s="43">
        <f>IF(INDEX(DarlBelegt,18)=0,0,IF(INDEX(DarlOhneTilgung,18)=1,IF(INDEX(DarlBindung,18)="",1,$G8221),IF($J8221&gt;0.005,1,0)))</f>
      </c>
      <c r="J8221" s="43">
        <f>IF($I8220=0,0,$R8220)</f>
      </c>
      <c r="K8221" s="43">
        <f>IF($I8221=0,0,IF(INDEX(DarlOhneTilgung,18)=1,0,IF(AND(INDEX(DarlTilgStart,18)&gt;0,$E8221=INDEX(DarlTilgStart,18)),$J8221*($H8221+INDEX(DarlTilgung,18))/100/12,IF(AND($G8221=0,$G8220=1),MAX($K8220,$J8221*($H8221+1)/100/12),$K8220))))</f>
      </c>
      <c r="L8221" s="43">
        <f>IF($I8221=0,0,$J8221*$H8221/100/12)</f>
      </c>
      <c r="M8221" s="43">
        <f>IF($I8221=0,0,IF(OR(INDEX(DarlOhneTilgung,18)=1,AND(INDEX(DarlTilgStart,18)&gt;0,$E8221&lt;INDEX(DarlTilgStart,18))),0,MIN(MAX(0,$K8221-$L8221),$J8221)))</f>
      </c>
      <c r="N8221" s="43">
        <f>IF($I8221=0,0,MIN(SUMIFS(SondBetrag,SondDarl,18,SondDatum,"&gt;="&amp;$E8221,SondDatum,"&lt;="&amp;EOMONTH($E8221,0)),$J8221-$M8221))</f>
      </c>
      <c r="O8221" s="43">
        <f>IF($I8221=0,0,INDEX(DarlErsatzRate,18))</f>
      </c>
      <c r="P8221" s="43">
        <f>IF($I8221=0,0,$Q8220*INDEX(DarlErsatzZins,18))</f>
      </c>
      <c r="Q8221" s="43">
        <f>IF($I8221=0,0,$Q8220+$P8221+$O8221)</f>
      </c>
      <c r="R8221" s="43">
        <f>IF($I8221=0,0,$J8221-$M8221-$N8221)</f>
      </c>
    </row>
    <row r="8222">
      <c r="A8222"/>
      <c r="B8222">
        <v>18</v>
      </c>
      <c r="C8222" s="43">
        <f>INDEX(DarlObj,18)</f>
      </c>
      <c r="D8222">
        <v>59</v>
      </c>
      <c r="E8222" s="51">
        <f>IF(INDEX(DarlBelegt,18)=0,0,EOMONTH(INDEX(DarlAuszahlung,18),58)+1)</f>
      </c>
      <c r="F8222" s="43">
        <f>IF($E8222=0,0,YEAR($E8222))</f>
      </c>
      <c r="G8222" s="43">
        <f>IF(INDEX(DarlBindung,18)="",1,IF($E8222&lt;=INDEX(DarlBindung,18),1,0))</f>
      </c>
      <c r="H8222" s="43">
        <f>IF($G8222=1,INDEX(DarlSollzins,18),INDEX(DarlAnschluss,18))</f>
      </c>
      <c r="I8222" s="43">
        <f>IF(INDEX(DarlBelegt,18)=0,0,IF(INDEX(DarlOhneTilgung,18)=1,IF(INDEX(DarlBindung,18)="",1,$G8222),IF($J8222&gt;0.005,1,0)))</f>
      </c>
      <c r="J8222" s="43">
        <f>IF($I8221=0,0,$R8221)</f>
      </c>
      <c r="K8222" s="43">
        <f>IF($I8222=0,0,IF(INDEX(DarlOhneTilgung,18)=1,0,IF(AND(INDEX(DarlTilgStart,18)&gt;0,$E8222=INDEX(DarlTilgStart,18)),$J8222*($H8222+INDEX(DarlTilgung,18))/100/12,IF(AND($G8222=0,$G8221=1),MAX($K8221,$J8222*($H8222+1)/100/12),$K8221))))</f>
      </c>
      <c r="L8222" s="43">
        <f>IF($I8222=0,0,$J8222*$H8222/100/12)</f>
      </c>
      <c r="M8222" s="43">
        <f>IF($I8222=0,0,IF(OR(INDEX(DarlOhneTilgung,18)=1,AND(INDEX(DarlTilgStart,18)&gt;0,$E8222&lt;INDEX(DarlTilgStart,18))),0,MIN(MAX(0,$K8222-$L8222),$J8222)))</f>
      </c>
      <c r="N8222" s="43">
        <f>IF($I8222=0,0,MIN(SUMIFS(SondBetrag,SondDarl,18,SondDatum,"&gt;="&amp;$E8222,SondDatum,"&lt;="&amp;EOMONTH($E8222,0)),$J8222-$M8222))</f>
      </c>
      <c r="O8222" s="43">
        <f>IF($I8222=0,0,INDEX(DarlErsatzRate,18))</f>
      </c>
      <c r="P8222" s="43">
        <f>IF($I8222=0,0,$Q8221*INDEX(DarlErsatzZins,18))</f>
      </c>
      <c r="Q8222" s="43">
        <f>IF($I8222=0,0,$Q8221+$P8222+$O8222)</f>
      </c>
      <c r="R8222" s="43">
        <f>IF($I8222=0,0,$J8222-$M8222-$N8222)</f>
      </c>
    </row>
    <row r="8223">
      <c r="A8223"/>
      <c r="B8223">
        <v>18</v>
      </c>
      <c r="C8223" s="43">
        <f>INDEX(DarlObj,18)</f>
      </c>
      <c r="D8223">
        <v>60</v>
      </c>
      <c r="E8223" s="51">
        <f>IF(INDEX(DarlBelegt,18)=0,0,EOMONTH(INDEX(DarlAuszahlung,18),59)+1)</f>
      </c>
      <c r="F8223" s="43">
        <f>IF($E8223=0,0,YEAR($E8223))</f>
      </c>
      <c r="G8223" s="43">
        <f>IF(INDEX(DarlBindung,18)="",1,IF($E8223&lt;=INDEX(DarlBindung,18),1,0))</f>
      </c>
      <c r="H8223" s="43">
        <f>IF($G8223=1,INDEX(DarlSollzins,18),INDEX(DarlAnschluss,18))</f>
      </c>
      <c r="I8223" s="43">
        <f>IF(INDEX(DarlBelegt,18)=0,0,IF(INDEX(DarlOhneTilgung,18)=1,IF(INDEX(DarlBindung,18)="",1,$G8223),IF($J8223&gt;0.005,1,0)))</f>
      </c>
      <c r="J8223" s="43">
        <f>IF($I8222=0,0,$R8222)</f>
      </c>
      <c r="K8223" s="43">
        <f>IF($I8223=0,0,IF(INDEX(DarlOhneTilgung,18)=1,0,IF(AND(INDEX(DarlTilgStart,18)&gt;0,$E8223=INDEX(DarlTilgStart,18)),$J8223*($H8223+INDEX(DarlTilgung,18))/100/12,IF(AND($G8223=0,$G8222=1),MAX($K8222,$J8223*($H8223+1)/100/12),$K8222))))</f>
      </c>
      <c r="L8223" s="43">
        <f>IF($I8223=0,0,$J8223*$H8223/100/12)</f>
      </c>
      <c r="M8223" s="43">
        <f>IF($I8223=0,0,IF(OR(INDEX(DarlOhneTilgung,18)=1,AND(INDEX(DarlTilgStart,18)&gt;0,$E8223&lt;INDEX(DarlTilgStart,18))),0,MIN(MAX(0,$K8223-$L8223),$J8223)))</f>
      </c>
      <c r="N8223" s="43">
        <f>IF($I8223=0,0,MIN(SUMIFS(SondBetrag,SondDarl,18,SondDatum,"&gt;="&amp;$E8223,SondDatum,"&lt;="&amp;EOMONTH($E8223,0)),$J8223-$M8223))</f>
      </c>
      <c r="O8223" s="43">
        <f>IF($I8223=0,0,INDEX(DarlErsatzRate,18))</f>
      </c>
      <c r="P8223" s="43">
        <f>IF($I8223=0,0,$Q8222*INDEX(DarlErsatzZins,18))</f>
      </c>
      <c r="Q8223" s="43">
        <f>IF($I8223=0,0,$Q8222+$P8223+$O8223)</f>
      </c>
      <c r="R8223" s="43">
        <f>IF($I8223=0,0,$J8223-$M8223-$N8223)</f>
      </c>
    </row>
    <row r="8224">
      <c r="A8224"/>
      <c r="B8224">
        <v>18</v>
      </c>
      <c r="C8224" s="43">
        <f>INDEX(DarlObj,18)</f>
      </c>
      <c r="D8224">
        <v>61</v>
      </c>
      <c r="E8224" s="51">
        <f>IF(INDEX(DarlBelegt,18)=0,0,EOMONTH(INDEX(DarlAuszahlung,18),60)+1)</f>
      </c>
      <c r="F8224" s="43">
        <f>IF($E8224=0,0,YEAR($E8224))</f>
      </c>
      <c r="G8224" s="43">
        <f>IF(INDEX(DarlBindung,18)="",1,IF($E8224&lt;=INDEX(DarlBindung,18),1,0))</f>
      </c>
      <c r="H8224" s="43">
        <f>IF($G8224=1,INDEX(DarlSollzins,18),INDEX(DarlAnschluss,18))</f>
      </c>
      <c r="I8224" s="43">
        <f>IF(INDEX(DarlBelegt,18)=0,0,IF(INDEX(DarlOhneTilgung,18)=1,IF(INDEX(DarlBindung,18)="",1,$G8224),IF($J8224&gt;0.005,1,0)))</f>
      </c>
      <c r="J8224" s="43">
        <f>IF($I8223=0,0,$R8223)</f>
      </c>
      <c r="K8224" s="43">
        <f>IF($I8224=0,0,IF(INDEX(DarlOhneTilgung,18)=1,0,IF(AND(INDEX(DarlTilgStart,18)&gt;0,$E8224=INDEX(DarlTilgStart,18)),$J8224*($H8224+INDEX(DarlTilgung,18))/100/12,IF(AND($G8224=0,$G8223=1),MAX($K8223,$J8224*($H8224+1)/100/12),$K8223))))</f>
      </c>
      <c r="L8224" s="43">
        <f>IF($I8224=0,0,$J8224*$H8224/100/12)</f>
      </c>
      <c r="M8224" s="43">
        <f>IF($I8224=0,0,IF(OR(INDEX(DarlOhneTilgung,18)=1,AND(INDEX(DarlTilgStart,18)&gt;0,$E8224&lt;INDEX(DarlTilgStart,18))),0,MIN(MAX(0,$K8224-$L8224),$J8224)))</f>
      </c>
      <c r="N8224" s="43">
        <f>IF($I8224=0,0,MIN(SUMIFS(SondBetrag,SondDarl,18,SondDatum,"&gt;="&amp;$E8224,SondDatum,"&lt;="&amp;EOMONTH($E8224,0)),$J8224-$M8224))</f>
      </c>
      <c r="O8224" s="43">
        <f>IF($I8224=0,0,INDEX(DarlErsatzRate,18))</f>
      </c>
      <c r="P8224" s="43">
        <f>IF($I8224=0,0,$Q8223*INDEX(DarlErsatzZins,18))</f>
      </c>
      <c r="Q8224" s="43">
        <f>IF($I8224=0,0,$Q8223+$P8224+$O8224)</f>
      </c>
      <c r="R8224" s="43">
        <f>IF($I8224=0,0,$J8224-$M8224-$N8224)</f>
      </c>
    </row>
    <row r="8225">
      <c r="A8225"/>
      <c r="B8225">
        <v>18</v>
      </c>
      <c r="C8225" s="43">
        <f>INDEX(DarlObj,18)</f>
      </c>
      <c r="D8225">
        <v>62</v>
      </c>
      <c r="E8225" s="51">
        <f>IF(INDEX(DarlBelegt,18)=0,0,EOMONTH(INDEX(DarlAuszahlung,18),61)+1)</f>
      </c>
      <c r="F8225" s="43">
        <f>IF($E8225=0,0,YEAR($E8225))</f>
      </c>
      <c r="G8225" s="43">
        <f>IF(INDEX(DarlBindung,18)="",1,IF($E8225&lt;=INDEX(DarlBindung,18),1,0))</f>
      </c>
      <c r="H8225" s="43">
        <f>IF($G8225=1,INDEX(DarlSollzins,18),INDEX(DarlAnschluss,18))</f>
      </c>
      <c r="I8225" s="43">
        <f>IF(INDEX(DarlBelegt,18)=0,0,IF(INDEX(DarlOhneTilgung,18)=1,IF(INDEX(DarlBindung,18)="",1,$G8225),IF($J8225&gt;0.005,1,0)))</f>
      </c>
      <c r="J8225" s="43">
        <f>IF($I8224=0,0,$R8224)</f>
      </c>
      <c r="K8225" s="43">
        <f>IF($I8225=0,0,IF(INDEX(DarlOhneTilgung,18)=1,0,IF(AND(INDEX(DarlTilgStart,18)&gt;0,$E8225=INDEX(DarlTilgStart,18)),$J8225*($H8225+INDEX(DarlTilgung,18))/100/12,IF(AND($G8225=0,$G8224=1),MAX($K8224,$J8225*($H8225+1)/100/12),$K8224))))</f>
      </c>
      <c r="L8225" s="43">
        <f>IF($I8225=0,0,$J8225*$H8225/100/12)</f>
      </c>
      <c r="M8225" s="43">
        <f>IF($I8225=0,0,IF(OR(INDEX(DarlOhneTilgung,18)=1,AND(INDEX(DarlTilgStart,18)&gt;0,$E8225&lt;INDEX(DarlTilgStart,18))),0,MIN(MAX(0,$K8225-$L8225),$J8225)))</f>
      </c>
      <c r="N8225" s="43">
        <f>IF($I8225=0,0,MIN(SUMIFS(SondBetrag,SondDarl,18,SondDatum,"&gt;="&amp;$E8225,SondDatum,"&lt;="&amp;EOMONTH($E8225,0)),$J8225-$M8225))</f>
      </c>
      <c r="O8225" s="43">
        <f>IF($I8225=0,0,INDEX(DarlErsatzRate,18))</f>
      </c>
      <c r="P8225" s="43">
        <f>IF($I8225=0,0,$Q8224*INDEX(DarlErsatzZins,18))</f>
      </c>
      <c r="Q8225" s="43">
        <f>IF($I8225=0,0,$Q8224+$P8225+$O8225)</f>
      </c>
      <c r="R8225" s="43">
        <f>IF($I8225=0,0,$J8225-$M8225-$N8225)</f>
      </c>
    </row>
    <row r="8226">
      <c r="A8226"/>
      <c r="B8226">
        <v>18</v>
      </c>
      <c r="C8226" s="43">
        <f>INDEX(DarlObj,18)</f>
      </c>
      <c r="D8226">
        <v>63</v>
      </c>
      <c r="E8226" s="51">
        <f>IF(INDEX(DarlBelegt,18)=0,0,EOMONTH(INDEX(DarlAuszahlung,18),62)+1)</f>
      </c>
      <c r="F8226" s="43">
        <f>IF($E8226=0,0,YEAR($E8226))</f>
      </c>
      <c r="G8226" s="43">
        <f>IF(INDEX(DarlBindung,18)="",1,IF($E8226&lt;=INDEX(DarlBindung,18),1,0))</f>
      </c>
      <c r="H8226" s="43">
        <f>IF($G8226=1,INDEX(DarlSollzins,18),INDEX(DarlAnschluss,18))</f>
      </c>
      <c r="I8226" s="43">
        <f>IF(INDEX(DarlBelegt,18)=0,0,IF(INDEX(DarlOhneTilgung,18)=1,IF(INDEX(DarlBindung,18)="",1,$G8226),IF($J8226&gt;0.005,1,0)))</f>
      </c>
      <c r="J8226" s="43">
        <f>IF($I8225=0,0,$R8225)</f>
      </c>
      <c r="K8226" s="43">
        <f>IF($I8226=0,0,IF(INDEX(DarlOhneTilgung,18)=1,0,IF(AND(INDEX(DarlTilgStart,18)&gt;0,$E8226=INDEX(DarlTilgStart,18)),$J8226*($H8226+INDEX(DarlTilgung,18))/100/12,IF(AND($G8226=0,$G8225=1),MAX($K8225,$J8226*($H8226+1)/100/12),$K8225))))</f>
      </c>
      <c r="L8226" s="43">
        <f>IF($I8226=0,0,$J8226*$H8226/100/12)</f>
      </c>
      <c r="M8226" s="43">
        <f>IF($I8226=0,0,IF(OR(INDEX(DarlOhneTilgung,18)=1,AND(INDEX(DarlTilgStart,18)&gt;0,$E8226&lt;INDEX(DarlTilgStart,18))),0,MIN(MAX(0,$K8226-$L8226),$J8226)))</f>
      </c>
      <c r="N8226" s="43">
        <f>IF($I8226=0,0,MIN(SUMIFS(SondBetrag,SondDarl,18,SondDatum,"&gt;="&amp;$E8226,SondDatum,"&lt;="&amp;EOMONTH($E8226,0)),$J8226-$M8226))</f>
      </c>
      <c r="O8226" s="43">
        <f>IF($I8226=0,0,INDEX(DarlErsatzRate,18))</f>
      </c>
      <c r="P8226" s="43">
        <f>IF($I8226=0,0,$Q8225*INDEX(DarlErsatzZins,18))</f>
      </c>
      <c r="Q8226" s="43">
        <f>IF($I8226=0,0,$Q8225+$P8226+$O8226)</f>
      </c>
      <c r="R8226" s="43">
        <f>IF($I8226=0,0,$J8226-$M8226-$N8226)</f>
      </c>
    </row>
    <row r="8227">
      <c r="A8227"/>
      <c r="B8227">
        <v>18</v>
      </c>
      <c r="C8227" s="43">
        <f>INDEX(DarlObj,18)</f>
      </c>
      <c r="D8227">
        <v>64</v>
      </c>
      <c r="E8227" s="51">
        <f>IF(INDEX(DarlBelegt,18)=0,0,EOMONTH(INDEX(DarlAuszahlung,18),63)+1)</f>
      </c>
      <c r="F8227" s="43">
        <f>IF($E8227=0,0,YEAR($E8227))</f>
      </c>
      <c r="G8227" s="43">
        <f>IF(INDEX(DarlBindung,18)="",1,IF($E8227&lt;=INDEX(DarlBindung,18),1,0))</f>
      </c>
      <c r="H8227" s="43">
        <f>IF($G8227=1,INDEX(DarlSollzins,18),INDEX(DarlAnschluss,18))</f>
      </c>
      <c r="I8227" s="43">
        <f>IF(INDEX(DarlBelegt,18)=0,0,IF(INDEX(DarlOhneTilgung,18)=1,IF(INDEX(DarlBindung,18)="",1,$G8227),IF($J8227&gt;0.005,1,0)))</f>
      </c>
      <c r="J8227" s="43">
        <f>IF($I8226=0,0,$R8226)</f>
      </c>
      <c r="K8227" s="43">
        <f>IF($I8227=0,0,IF(INDEX(DarlOhneTilgung,18)=1,0,IF(AND(INDEX(DarlTilgStart,18)&gt;0,$E8227=INDEX(DarlTilgStart,18)),$J8227*($H8227+INDEX(DarlTilgung,18))/100/12,IF(AND($G8227=0,$G8226=1),MAX($K8226,$J8227*($H8227+1)/100/12),$K8226))))</f>
      </c>
      <c r="L8227" s="43">
        <f>IF($I8227=0,0,$J8227*$H8227/100/12)</f>
      </c>
      <c r="M8227" s="43">
        <f>IF($I8227=0,0,IF(OR(INDEX(DarlOhneTilgung,18)=1,AND(INDEX(DarlTilgStart,18)&gt;0,$E8227&lt;INDEX(DarlTilgStart,18))),0,MIN(MAX(0,$K8227-$L8227),$J8227)))</f>
      </c>
      <c r="N8227" s="43">
        <f>IF($I8227=0,0,MIN(SUMIFS(SondBetrag,SondDarl,18,SondDatum,"&gt;="&amp;$E8227,SondDatum,"&lt;="&amp;EOMONTH($E8227,0)),$J8227-$M8227))</f>
      </c>
      <c r="O8227" s="43">
        <f>IF($I8227=0,0,INDEX(DarlErsatzRate,18))</f>
      </c>
      <c r="P8227" s="43">
        <f>IF($I8227=0,0,$Q8226*INDEX(DarlErsatzZins,18))</f>
      </c>
      <c r="Q8227" s="43">
        <f>IF($I8227=0,0,$Q8226+$P8227+$O8227)</f>
      </c>
      <c r="R8227" s="43">
        <f>IF($I8227=0,0,$J8227-$M8227-$N8227)</f>
      </c>
    </row>
    <row r="8228">
      <c r="A8228"/>
      <c r="B8228">
        <v>18</v>
      </c>
      <c r="C8228" s="43">
        <f>INDEX(DarlObj,18)</f>
      </c>
      <c r="D8228">
        <v>65</v>
      </c>
      <c r="E8228" s="51">
        <f>IF(INDEX(DarlBelegt,18)=0,0,EOMONTH(INDEX(DarlAuszahlung,18),64)+1)</f>
      </c>
      <c r="F8228" s="43">
        <f>IF($E8228=0,0,YEAR($E8228))</f>
      </c>
      <c r="G8228" s="43">
        <f>IF(INDEX(DarlBindung,18)="",1,IF($E8228&lt;=INDEX(DarlBindung,18),1,0))</f>
      </c>
      <c r="H8228" s="43">
        <f>IF($G8228=1,INDEX(DarlSollzins,18),INDEX(DarlAnschluss,18))</f>
      </c>
      <c r="I8228" s="43">
        <f>IF(INDEX(DarlBelegt,18)=0,0,IF(INDEX(DarlOhneTilgung,18)=1,IF(INDEX(DarlBindung,18)="",1,$G8228),IF($J8228&gt;0.005,1,0)))</f>
      </c>
      <c r="J8228" s="43">
        <f>IF($I8227=0,0,$R8227)</f>
      </c>
      <c r="K8228" s="43">
        <f>IF($I8228=0,0,IF(INDEX(DarlOhneTilgung,18)=1,0,IF(AND(INDEX(DarlTilgStart,18)&gt;0,$E8228=INDEX(DarlTilgStart,18)),$J8228*($H8228+INDEX(DarlTilgung,18))/100/12,IF(AND($G8228=0,$G8227=1),MAX($K8227,$J8228*($H8228+1)/100/12),$K8227))))</f>
      </c>
      <c r="L8228" s="43">
        <f>IF($I8228=0,0,$J8228*$H8228/100/12)</f>
      </c>
      <c r="M8228" s="43">
        <f>IF($I8228=0,0,IF(OR(INDEX(DarlOhneTilgung,18)=1,AND(INDEX(DarlTilgStart,18)&gt;0,$E8228&lt;INDEX(DarlTilgStart,18))),0,MIN(MAX(0,$K8228-$L8228),$J8228)))</f>
      </c>
      <c r="N8228" s="43">
        <f>IF($I8228=0,0,MIN(SUMIFS(SondBetrag,SondDarl,18,SondDatum,"&gt;="&amp;$E8228,SondDatum,"&lt;="&amp;EOMONTH($E8228,0)),$J8228-$M8228))</f>
      </c>
      <c r="O8228" s="43">
        <f>IF($I8228=0,0,INDEX(DarlErsatzRate,18))</f>
      </c>
      <c r="P8228" s="43">
        <f>IF($I8228=0,0,$Q8227*INDEX(DarlErsatzZins,18))</f>
      </c>
      <c r="Q8228" s="43">
        <f>IF($I8228=0,0,$Q8227+$P8228+$O8228)</f>
      </c>
      <c r="R8228" s="43">
        <f>IF($I8228=0,0,$J8228-$M8228-$N8228)</f>
      </c>
    </row>
    <row r="8229">
      <c r="A8229"/>
      <c r="B8229">
        <v>18</v>
      </c>
      <c r="C8229" s="43">
        <f>INDEX(DarlObj,18)</f>
      </c>
      <c r="D8229">
        <v>66</v>
      </c>
      <c r="E8229" s="51">
        <f>IF(INDEX(DarlBelegt,18)=0,0,EOMONTH(INDEX(DarlAuszahlung,18),65)+1)</f>
      </c>
      <c r="F8229" s="43">
        <f>IF($E8229=0,0,YEAR($E8229))</f>
      </c>
      <c r="G8229" s="43">
        <f>IF(INDEX(DarlBindung,18)="",1,IF($E8229&lt;=INDEX(DarlBindung,18),1,0))</f>
      </c>
      <c r="H8229" s="43">
        <f>IF($G8229=1,INDEX(DarlSollzins,18),INDEX(DarlAnschluss,18))</f>
      </c>
      <c r="I8229" s="43">
        <f>IF(INDEX(DarlBelegt,18)=0,0,IF(INDEX(DarlOhneTilgung,18)=1,IF(INDEX(DarlBindung,18)="",1,$G8229),IF($J8229&gt;0.005,1,0)))</f>
      </c>
      <c r="J8229" s="43">
        <f>IF($I8228=0,0,$R8228)</f>
      </c>
      <c r="K8229" s="43">
        <f>IF($I8229=0,0,IF(INDEX(DarlOhneTilgung,18)=1,0,IF(AND(INDEX(DarlTilgStart,18)&gt;0,$E8229=INDEX(DarlTilgStart,18)),$J8229*($H8229+INDEX(DarlTilgung,18))/100/12,IF(AND($G8229=0,$G8228=1),MAX($K8228,$J8229*($H8229+1)/100/12),$K8228))))</f>
      </c>
      <c r="L8229" s="43">
        <f>IF($I8229=0,0,$J8229*$H8229/100/12)</f>
      </c>
      <c r="M8229" s="43">
        <f>IF($I8229=0,0,IF(OR(INDEX(DarlOhneTilgung,18)=1,AND(INDEX(DarlTilgStart,18)&gt;0,$E8229&lt;INDEX(DarlTilgStart,18))),0,MIN(MAX(0,$K8229-$L8229),$J8229)))</f>
      </c>
      <c r="N8229" s="43">
        <f>IF($I8229=0,0,MIN(SUMIFS(SondBetrag,SondDarl,18,SondDatum,"&gt;="&amp;$E8229,SondDatum,"&lt;="&amp;EOMONTH($E8229,0)),$J8229-$M8229))</f>
      </c>
      <c r="O8229" s="43">
        <f>IF($I8229=0,0,INDEX(DarlErsatzRate,18))</f>
      </c>
      <c r="P8229" s="43">
        <f>IF($I8229=0,0,$Q8228*INDEX(DarlErsatzZins,18))</f>
      </c>
      <c r="Q8229" s="43">
        <f>IF($I8229=0,0,$Q8228+$P8229+$O8229)</f>
      </c>
      <c r="R8229" s="43">
        <f>IF($I8229=0,0,$J8229-$M8229-$N8229)</f>
      </c>
    </row>
    <row r="8230">
      <c r="A8230"/>
      <c r="B8230">
        <v>18</v>
      </c>
      <c r="C8230" s="43">
        <f>INDEX(DarlObj,18)</f>
      </c>
      <c r="D8230">
        <v>67</v>
      </c>
      <c r="E8230" s="51">
        <f>IF(INDEX(DarlBelegt,18)=0,0,EOMONTH(INDEX(DarlAuszahlung,18),66)+1)</f>
      </c>
      <c r="F8230" s="43">
        <f>IF($E8230=0,0,YEAR($E8230))</f>
      </c>
      <c r="G8230" s="43">
        <f>IF(INDEX(DarlBindung,18)="",1,IF($E8230&lt;=INDEX(DarlBindung,18),1,0))</f>
      </c>
      <c r="H8230" s="43">
        <f>IF($G8230=1,INDEX(DarlSollzins,18),INDEX(DarlAnschluss,18))</f>
      </c>
      <c r="I8230" s="43">
        <f>IF(INDEX(DarlBelegt,18)=0,0,IF(INDEX(DarlOhneTilgung,18)=1,IF(INDEX(DarlBindung,18)="",1,$G8230),IF($J8230&gt;0.005,1,0)))</f>
      </c>
      <c r="J8230" s="43">
        <f>IF($I8229=0,0,$R8229)</f>
      </c>
      <c r="K8230" s="43">
        <f>IF($I8230=0,0,IF(INDEX(DarlOhneTilgung,18)=1,0,IF(AND(INDEX(DarlTilgStart,18)&gt;0,$E8230=INDEX(DarlTilgStart,18)),$J8230*($H8230+INDEX(DarlTilgung,18))/100/12,IF(AND($G8230=0,$G8229=1),MAX($K8229,$J8230*($H8230+1)/100/12),$K8229))))</f>
      </c>
      <c r="L8230" s="43">
        <f>IF($I8230=0,0,$J8230*$H8230/100/12)</f>
      </c>
      <c r="M8230" s="43">
        <f>IF($I8230=0,0,IF(OR(INDEX(DarlOhneTilgung,18)=1,AND(INDEX(DarlTilgStart,18)&gt;0,$E8230&lt;INDEX(DarlTilgStart,18))),0,MIN(MAX(0,$K8230-$L8230),$J8230)))</f>
      </c>
      <c r="N8230" s="43">
        <f>IF($I8230=0,0,MIN(SUMIFS(SondBetrag,SondDarl,18,SondDatum,"&gt;="&amp;$E8230,SondDatum,"&lt;="&amp;EOMONTH($E8230,0)),$J8230-$M8230))</f>
      </c>
      <c r="O8230" s="43">
        <f>IF($I8230=0,0,INDEX(DarlErsatzRate,18))</f>
      </c>
      <c r="P8230" s="43">
        <f>IF($I8230=0,0,$Q8229*INDEX(DarlErsatzZins,18))</f>
      </c>
      <c r="Q8230" s="43">
        <f>IF($I8230=0,0,$Q8229+$P8230+$O8230)</f>
      </c>
      <c r="R8230" s="43">
        <f>IF($I8230=0,0,$J8230-$M8230-$N8230)</f>
      </c>
    </row>
    <row r="8231">
      <c r="A8231"/>
      <c r="B8231">
        <v>18</v>
      </c>
      <c r="C8231" s="43">
        <f>INDEX(DarlObj,18)</f>
      </c>
      <c r="D8231">
        <v>68</v>
      </c>
      <c r="E8231" s="51">
        <f>IF(INDEX(DarlBelegt,18)=0,0,EOMONTH(INDEX(DarlAuszahlung,18),67)+1)</f>
      </c>
      <c r="F8231" s="43">
        <f>IF($E8231=0,0,YEAR($E8231))</f>
      </c>
      <c r="G8231" s="43">
        <f>IF(INDEX(DarlBindung,18)="",1,IF($E8231&lt;=INDEX(DarlBindung,18),1,0))</f>
      </c>
      <c r="H8231" s="43">
        <f>IF($G8231=1,INDEX(DarlSollzins,18),INDEX(DarlAnschluss,18))</f>
      </c>
      <c r="I8231" s="43">
        <f>IF(INDEX(DarlBelegt,18)=0,0,IF(INDEX(DarlOhneTilgung,18)=1,IF(INDEX(DarlBindung,18)="",1,$G8231),IF($J8231&gt;0.005,1,0)))</f>
      </c>
      <c r="J8231" s="43">
        <f>IF($I8230=0,0,$R8230)</f>
      </c>
      <c r="K8231" s="43">
        <f>IF($I8231=0,0,IF(INDEX(DarlOhneTilgung,18)=1,0,IF(AND(INDEX(DarlTilgStart,18)&gt;0,$E8231=INDEX(DarlTilgStart,18)),$J8231*($H8231+INDEX(DarlTilgung,18))/100/12,IF(AND($G8231=0,$G8230=1),MAX($K8230,$J8231*($H8231+1)/100/12),$K8230))))</f>
      </c>
      <c r="L8231" s="43">
        <f>IF($I8231=0,0,$J8231*$H8231/100/12)</f>
      </c>
      <c r="M8231" s="43">
        <f>IF($I8231=0,0,IF(OR(INDEX(DarlOhneTilgung,18)=1,AND(INDEX(DarlTilgStart,18)&gt;0,$E8231&lt;INDEX(DarlTilgStart,18))),0,MIN(MAX(0,$K8231-$L8231),$J8231)))</f>
      </c>
      <c r="N8231" s="43">
        <f>IF($I8231=0,0,MIN(SUMIFS(SondBetrag,SondDarl,18,SondDatum,"&gt;="&amp;$E8231,SondDatum,"&lt;="&amp;EOMONTH($E8231,0)),$J8231-$M8231))</f>
      </c>
      <c r="O8231" s="43">
        <f>IF($I8231=0,0,INDEX(DarlErsatzRate,18))</f>
      </c>
      <c r="P8231" s="43">
        <f>IF($I8231=0,0,$Q8230*INDEX(DarlErsatzZins,18))</f>
      </c>
      <c r="Q8231" s="43">
        <f>IF($I8231=0,0,$Q8230+$P8231+$O8231)</f>
      </c>
      <c r="R8231" s="43">
        <f>IF($I8231=0,0,$J8231-$M8231-$N8231)</f>
      </c>
    </row>
    <row r="8232">
      <c r="A8232"/>
      <c r="B8232">
        <v>18</v>
      </c>
      <c r="C8232" s="43">
        <f>INDEX(DarlObj,18)</f>
      </c>
      <c r="D8232">
        <v>69</v>
      </c>
      <c r="E8232" s="51">
        <f>IF(INDEX(DarlBelegt,18)=0,0,EOMONTH(INDEX(DarlAuszahlung,18),68)+1)</f>
      </c>
      <c r="F8232" s="43">
        <f>IF($E8232=0,0,YEAR($E8232))</f>
      </c>
      <c r="G8232" s="43">
        <f>IF(INDEX(DarlBindung,18)="",1,IF($E8232&lt;=INDEX(DarlBindung,18),1,0))</f>
      </c>
      <c r="H8232" s="43">
        <f>IF($G8232=1,INDEX(DarlSollzins,18),INDEX(DarlAnschluss,18))</f>
      </c>
      <c r="I8232" s="43">
        <f>IF(INDEX(DarlBelegt,18)=0,0,IF(INDEX(DarlOhneTilgung,18)=1,IF(INDEX(DarlBindung,18)="",1,$G8232),IF($J8232&gt;0.005,1,0)))</f>
      </c>
      <c r="J8232" s="43">
        <f>IF($I8231=0,0,$R8231)</f>
      </c>
      <c r="K8232" s="43">
        <f>IF($I8232=0,0,IF(INDEX(DarlOhneTilgung,18)=1,0,IF(AND(INDEX(DarlTilgStart,18)&gt;0,$E8232=INDEX(DarlTilgStart,18)),$J8232*($H8232+INDEX(DarlTilgung,18))/100/12,IF(AND($G8232=0,$G8231=1),MAX($K8231,$J8232*($H8232+1)/100/12),$K8231))))</f>
      </c>
      <c r="L8232" s="43">
        <f>IF($I8232=0,0,$J8232*$H8232/100/12)</f>
      </c>
      <c r="M8232" s="43">
        <f>IF($I8232=0,0,IF(OR(INDEX(DarlOhneTilgung,18)=1,AND(INDEX(DarlTilgStart,18)&gt;0,$E8232&lt;INDEX(DarlTilgStart,18))),0,MIN(MAX(0,$K8232-$L8232),$J8232)))</f>
      </c>
      <c r="N8232" s="43">
        <f>IF($I8232=0,0,MIN(SUMIFS(SondBetrag,SondDarl,18,SondDatum,"&gt;="&amp;$E8232,SondDatum,"&lt;="&amp;EOMONTH($E8232,0)),$J8232-$M8232))</f>
      </c>
      <c r="O8232" s="43">
        <f>IF($I8232=0,0,INDEX(DarlErsatzRate,18))</f>
      </c>
      <c r="P8232" s="43">
        <f>IF($I8232=0,0,$Q8231*INDEX(DarlErsatzZins,18))</f>
      </c>
      <c r="Q8232" s="43">
        <f>IF($I8232=0,0,$Q8231+$P8232+$O8232)</f>
      </c>
      <c r="R8232" s="43">
        <f>IF($I8232=0,0,$J8232-$M8232-$N8232)</f>
      </c>
    </row>
    <row r="8233">
      <c r="A8233"/>
      <c r="B8233">
        <v>18</v>
      </c>
      <c r="C8233" s="43">
        <f>INDEX(DarlObj,18)</f>
      </c>
      <c r="D8233">
        <v>70</v>
      </c>
      <c r="E8233" s="51">
        <f>IF(INDEX(DarlBelegt,18)=0,0,EOMONTH(INDEX(DarlAuszahlung,18),69)+1)</f>
      </c>
      <c r="F8233" s="43">
        <f>IF($E8233=0,0,YEAR($E8233))</f>
      </c>
      <c r="G8233" s="43">
        <f>IF(INDEX(DarlBindung,18)="",1,IF($E8233&lt;=INDEX(DarlBindung,18),1,0))</f>
      </c>
      <c r="H8233" s="43">
        <f>IF($G8233=1,INDEX(DarlSollzins,18),INDEX(DarlAnschluss,18))</f>
      </c>
      <c r="I8233" s="43">
        <f>IF(INDEX(DarlBelegt,18)=0,0,IF(INDEX(DarlOhneTilgung,18)=1,IF(INDEX(DarlBindung,18)="",1,$G8233),IF($J8233&gt;0.005,1,0)))</f>
      </c>
      <c r="J8233" s="43">
        <f>IF($I8232=0,0,$R8232)</f>
      </c>
      <c r="K8233" s="43">
        <f>IF($I8233=0,0,IF(INDEX(DarlOhneTilgung,18)=1,0,IF(AND(INDEX(DarlTilgStart,18)&gt;0,$E8233=INDEX(DarlTilgStart,18)),$J8233*($H8233+INDEX(DarlTilgung,18))/100/12,IF(AND($G8233=0,$G8232=1),MAX($K8232,$J8233*($H8233+1)/100/12),$K8232))))</f>
      </c>
      <c r="L8233" s="43">
        <f>IF($I8233=0,0,$J8233*$H8233/100/12)</f>
      </c>
      <c r="M8233" s="43">
        <f>IF($I8233=0,0,IF(OR(INDEX(DarlOhneTilgung,18)=1,AND(INDEX(DarlTilgStart,18)&gt;0,$E8233&lt;INDEX(DarlTilgStart,18))),0,MIN(MAX(0,$K8233-$L8233),$J8233)))</f>
      </c>
      <c r="N8233" s="43">
        <f>IF($I8233=0,0,MIN(SUMIFS(SondBetrag,SondDarl,18,SondDatum,"&gt;="&amp;$E8233,SondDatum,"&lt;="&amp;EOMONTH($E8233,0)),$J8233-$M8233))</f>
      </c>
      <c r="O8233" s="43">
        <f>IF($I8233=0,0,INDEX(DarlErsatzRate,18))</f>
      </c>
      <c r="P8233" s="43">
        <f>IF($I8233=0,0,$Q8232*INDEX(DarlErsatzZins,18))</f>
      </c>
      <c r="Q8233" s="43">
        <f>IF($I8233=0,0,$Q8232+$P8233+$O8233)</f>
      </c>
      <c r="R8233" s="43">
        <f>IF($I8233=0,0,$J8233-$M8233-$N8233)</f>
      </c>
    </row>
    <row r="8234">
      <c r="A8234"/>
      <c r="B8234">
        <v>18</v>
      </c>
      <c r="C8234" s="43">
        <f>INDEX(DarlObj,18)</f>
      </c>
      <c r="D8234">
        <v>71</v>
      </c>
      <c r="E8234" s="51">
        <f>IF(INDEX(DarlBelegt,18)=0,0,EOMONTH(INDEX(DarlAuszahlung,18),70)+1)</f>
      </c>
      <c r="F8234" s="43">
        <f>IF($E8234=0,0,YEAR($E8234))</f>
      </c>
      <c r="G8234" s="43">
        <f>IF(INDEX(DarlBindung,18)="",1,IF($E8234&lt;=INDEX(DarlBindung,18),1,0))</f>
      </c>
      <c r="H8234" s="43">
        <f>IF($G8234=1,INDEX(DarlSollzins,18),INDEX(DarlAnschluss,18))</f>
      </c>
      <c r="I8234" s="43">
        <f>IF(INDEX(DarlBelegt,18)=0,0,IF(INDEX(DarlOhneTilgung,18)=1,IF(INDEX(DarlBindung,18)="",1,$G8234),IF($J8234&gt;0.005,1,0)))</f>
      </c>
      <c r="J8234" s="43">
        <f>IF($I8233=0,0,$R8233)</f>
      </c>
      <c r="K8234" s="43">
        <f>IF($I8234=0,0,IF(INDEX(DarlOhneTilgung,18)=1,0,IF(AND(INDEX(DarlTilgStart,18)&gt;0,$E8234=INDEX(DarlTilgStart,18)),$J8234*($H8234+INDEX(DarlTilgung,18))/100/12,IF(AND($G8234=0,$G8233=1),MAX($K8233,$J8234*($H8234+1)/100/12),$K8233))))</f>
      </c>
      <c r="L8234" s="43">
        <f>IF($I8234=0,0,$J8234*$H8234/100/12)</f>
      </c>
      <c r="M8234" s="43">
        <f>IF($I8234=0,0,IF(OR(INDEX(DarlOhneTilgung,18)=1,AND(INDEX(DarlTilgStart,18)&gt;0,$E8234&lt;INDEX(DarlTilgStart,18))),0,MIN(MAX(0,$K8234-$L8234),$J8234)))</f>
      </c>
      <c r="N8234" s="43">
        <f>IF($I8234=0,0,MIN(SUMIFS(SondBetrag,SondDarl,18,SondDatum,"&gt;="&amp;$E8234,SondDatum,"&lt;="&amp;EOMONTH($E8234,0)),$J8234-$M8234))</f>
      </c>
      <c r="O8234" s="43">
        <f>IF($I8234=0,0,INDEX(DarlErsatzRate,18))</f>
      </c>
      <c r="P8234" s="43">
        <f>IF($I8234=0,0,$Q8233*INDEX(DarlErsatzZins,18))</f>
      </c>
      <c r="Q8234" s="43">
        <f>IF($I8234=0,0,$Q8233+$P8234+$O8234)</f>
      </c>
      <c r="R8234" s="43">
        <f>IF($I8234=0,0,$J8234-$M8234-$N8234)</f>
      </c>
    </row>
    <row r="8235">
      <c r="A8235"/>
      <c r="B8235">
        <v>18</v>
      </c>
      <c r="C8235" s="43">
        <f>INDEX(DarlObj,18)</f>
      </c>
      <c r="D8235">
        <v>72</v>
      </c>
      <c r="E8235" s="51">
        <f>IF(INDEX(DarlBelegt,18)=0,0,EOMONTH(INDEX(DarlAuszahlung,18),71)+1)</f>
      </c>
      <c r="F8235" s="43">
        <f>IF($E8235=0,0,YEAR($E8235))</f>
      </c>
      <c r="G8235" s="43">
        <f>IF(INDEX(DarlBindung,18)="",1,IF($E8235&lt;=INDEX(DarlBindung,18),1,0))</f>
      </c>
      <c r="H8235" s="43">
        <f>IF($G8235=1,INDEX(DarlSollzins,18),INDEX(DarlAnschluss,18))</f>
      </c>
      <c r="I8235" s="43">
        <f>IF(INDEX(DarlBelegt,18)=0,0,IF(INDEX(DarlOhneTilgung,18)=1,IF(INDEX(DarlBindung,18)="",1,$G8235),IF($J8235&gt;0.005,1,0)))</f>
      </c>
      <c r="J8235" s="43">
        <f>IF($I8234=0,0,$R8234)</f>
      </c>
      <c r="K8235" s="43">
        <f>IF($I8235=0,0,IF(INDEX(DarlOhneTilgung,18)=1,0,IF(AND(INDEX(DarlTilgStart,18)&gt;0,$E8235=INDEX(DarlTilgStart,18)),$J8235*($H8235+INDEX(DarlTilgung,18))/100/12,IF(AND($G8235=0,$G8234=1),MAX($K8234,$J8235*($H8235+1)/100/12),$K8234))))</f>
      </c>
      <c r="L8235" s="43">
        <f>IF($I8235=0,0,$J8235*$H8235/100/12)</f>
      </c>
      <c r="M8235" s="43">
        <f>IF($I8235=0,0,IF(OR(INDEX(DarlOhneTilgung,18)=1,AND(INDEX(DarlTilgStart,18)&gt;0,$E8235&lt;INDEX(DarlTilgStart,18))),0,MIN(MAX(0,$K8235-$L8235),$J8235)))</f>
      </c>
      <c r="N8235" s="43">
        <f>IF($I8235=0,0,MIN(SUMIFS(SondBetrag,SondDarl,18,SondDatum,"&gt;="&amp;$E8235,SondDatum,"&lt;="&amp;EOMONTH($E8235,0)),$J8235-$M8235))</f>
      </c>
      <c r="O8235" s="43">
        <f>IF($I8235=0,0,INDEX(DarlErsatzRate,18))</f>
      </c>
      <c r="P8235" s="43">
        <f>IF($I8235=0,0,$Q8234*INDEX(DarlErsatzZins,18))</f>
      </c>
      <c r="Q8235" s="43">
        <f>IF($I8235=0,0,$Q8234+$P8235+$O8235)</f>
      </c>
      <c r="R8235" s="43">
        <f>IF($I8235=0,0,$J8235-$M8235-$N8235)</f>
      </c>
    </row>
    <row r="8236">
      <c r="A8236"/>
      <c r="B8236">
        <v>18</v>
      </c>
      <c r="C8236" s="43">
        <f>INDEX(DarlObj,18)</f>
      </c>
      <c r="D8236">
        <v>73</v>
      </c>
      <c r="E8236" s="51">
        <f>IF(INDEX(DarlBelegt,18)=0,0,EOMONTH(INDEX(DarlAuszahlung,18),72)+1)</f>
      </c>
      <c r="F8236" s="43">
        <f>IF($E8236=0,0,YEAR($E8236))</f>
      </c>
      <c r="G8236" s="43">
        <f>IF(INDEX(DarlBindung,18)="",1,IF($E8236&lt;=INDEX(DarlBindung,18),1,0))</f>
      </c>
      <c r="H8236" s="43">
        <f>IF($G8236=1,INDEX(DarlSollzins,18),INDEX(DarlAnschluss,18))</f>
      </c>
      <c r="I8236" s="43">
        <f>IF(INDEX(DarlBelegt,18)=0,0,IF(INDEX(DarlOhneTilgung,18)=1,IF(INDEX(DarlBindung,18)="",1,$G8236),IF($J8236&gt;0.005,1,0)))</f>
      </c>
      <c r="J8236" s="43">
        <f>IF($I8235=0,0,$R8235)</f>
      </c>
      <c r="K8236" s="43">
        <f>IF($I8236=0,0,IF(INDEX(DarlOhneTilgung,18)=1,0,IF(AND(INDEX(DarlTilgStart,18)&gt;0,$E8236=INDEX(DarlTilgStart,18)),$J8236*($H8236+INDEX(DarlTilgung,18))/100/12,IF(AND($G8236=0,$G8235=1),MAX($K8235,$J8236*($H8236+1)/100/12),$K8235))))</f>
      </c>
      <c r="L8236" s="43">
        <f>IF($I8236=0,0,$J8236*$H8236/100/12)</f>
      </c>
      <c r="M8236" s="43">
        <f>IF($I8236=0,0,IF(OR(INDEX(DarlOhneTilgung,18)=1,AND(INDEX(DarlTilgStart,18)&gt;0,$E8236&lt;INDEX(DarlTilgStart,18))),0,MIN(MAX(0,$K8236-$L8236),$J8236)))</f>
      </c>
      <c r="N8236" s="43">
        <f>IF($I8236=0,0,MIN(SUMIFS(SondBetrag,SondDarl,18,SondDatum,"&gt;="&amp;$E8236,SondDatum,"&lt;="&amp;EOMONTH($E8236,0)),$J8236-$M8236))</f>
      </c>
      <c r="O8236" s="43">
        <f>IF($I8236=0,0,INDEX(DarlErsatzRate,18))</f>
      </c>
      <c r="P8236" s="43">
        <f>IF($I8236=0,0,$Q8235*INDEX(DarlErsatzZins,18))</f>
      </c>
      <c r="Q8236" s="43">
        <f>IF($I8236=0,0,$Q8235+$P8236+$O8236)</f>
      </c>
      <c r="R8236" s="43">
        <f>IF($I8236=0,0,$J8236-$M8236-$N8236)</f>
      </c>
    </row>
    <row r="8237">
      <c r="A8237"/>
      <c r="B8237">
        <v>18</v>
      </c>
      <c r="C8237" s="43">
        <f>INDEX(DarlObj,18)</f>
      </c>
      <c r="D8237">
        <v>74</v>
      </c>
      <c r="E8237" s="51">
        <f>IF(INDEX(DarlBelegt,18)=0,0,EOMONTH(INDEX(DarlAuszahlung,18),73)+1)</f>
      </c>
      <c r="F8237" s="43">
        <f>IF($E8237=0,0,YEAR($E8237))</f>
      </c>
      <c r="G8237" s="43">
        <f>IF(INDEX(DarlBindung,18)="",1,IF($E8237&lt;=INDEX(DarlBindung,18),1,0))</f>
      </c>
      <c r="H8237" s="43">
        <f>IF($G8237=1,INDEX(DarlSollzins,18),INDEX(DarlAnschluss,18))</f>
      </c>
      <c r="I8237" s="43">
        <f>IF(INDEX(DarlBelegt,18)=0,0,IF(INDEX(DarlOhneTilgung,18)=1,IF(INDEX(DarlBindung,18)="",1,$G8237),IF($J8237&gt;0.005,1,0)))</f>
      </c>
      <c r="J8237" s="43">
        <f>IF($I8236=0,0,$R8236)</f>
      </c>
      <c r="K8237" s="43">
        <f>IF($I8237=0,0,IF(INDEX(DarlOhneTilgung,18)=1,0,IF(AND(INDEX(DarlTilgStart,18)&gt;0,$E8237=INDEX(DarlTilgStart,18)),$J8237*($H8237+INDEX(DarlTilgung,18))/100/12,IF(AND($G8237=0,$G8236=1),MAX($K8236,$J8237*($H8237+1)/100/12),$K8236))))</f>
      </c>
      <c r="L8237" s="43">
        <f>IF($I8237=0,0,$J8237*$H8237/100/12)</f>
      </c>
      <c r="M8237" s="43">
        <f>IF($I8237=0,0,IF(OR(INDEX(DarlOhneTilgung,18)=1,AND(INDEX(DarlTilgStart,18)&gt;0,$E8237&lt;INDEX(DarlTilgStart,18))),0,MIN(MAX(0,$K8237-$L8237),$J8237)))</f>
      </c>
      <c r="N8237" s="43">
        <f>IF($I8237=0,0,MIN(SUMIFS(SondBetrag,SondDarl,18,SondDatum,"&gt;="&amp;$E8237,SondDatum,"&lt;="&amp;EOMONTH($E8237,0)),$J8237-$M8237))</f>
      </c>
      <c r="O8237" s="43">
        <f>IF($I8237=0,0,INDEX(DarlErsatzRate,18))</f>
      </c>
      <c r="P8237" s="43">
        <f>IF($I8237=0,0,$Q8236*INDEX(DarlErsatzZins,18))</f>
      </c>
      <c r="Q8237" s="43">
        <f>IF($I8237=0,0,$Q8236+$P8237+$O8237)</f>
      </c>
      <c r="R8237" s="43">
        <f>IF($I8237=0,0,$J8237-$M8237-$N8237)</f>
      </c>
    </row>
    <row r="8238">
      <c r="A8238"/>
      <c r="B8238">
        <v>18</v>
      </c>
      <c r="C8238" s="43">
        <f>INDEX(DarlObj,18)</f>
      </c>
      <c r="D8238">
        <v>75</v>
      </c>
      <c r="E8238" s="51">
        <f>IF(INDEX(DarlBelegt,18)=0,0,EOMONTH(INDEX(DarlAuszahlung,18),74)+1)</f>
      </c>
      <c r="F8238" s="43">
        <f>IF($E8238=0,0,YEAR($E8238))</f>
      </c>
      <c r="G8238" s="43">
        <f>IF(INDEX(DarlBindung,18)="",1,IF($E8238&lt;=INDEX(DarlBindung,18),1,0))</f>
      </c>
      <c r="H8238" s="43">
        <f>IF($G8238=1,INDEX(DarlSollzins,18),INDEX(DarlAnschluss,18))</f>
      </c>
      <c r="I8238" s="43">
        <f>IF(INDEX(DarlBelegt,18)=0,0,IF(INDEX(DarlOhneTilgung,18)=1,IF(INDEX(DarlBindung,18)="",1,$G8238),IF($J8238&gt;0.005,1,0)))</f>
      </c>
      <c r="J8238" s="43">
        <f>IF($I8237=0,0,$R8237)</f>
      </c>
      <c r="K8238" s="43">
        <f>IF($I8238=0,0,IF(INDEX(DarlOhneTilgung,18)=1,0,IF(AND(INDEX(DarlTilgStart,18)&gt;0,$E8238=INDEX(DarlTilgStart,18)),$J8238*($H8238+INDEX(DarlTilgung,18))/100/12,IF(AND($G8238=0,$G8237=1),MAX($K8237,$J8238*($H8238+1)/100/12),$K8237))))</f>
      </c>
      <c r="L8238" s="43">
        <f>IF($I8238=0,0,$J8238*$H8238/100/12)</f>
      </c>
      <c r="M8238" s="43">
        <f>IF($I8238=0,0,IF(OR(INDEX(DarlOhneTilgung,18)=1,AND(INDEX(DarlTilgStart,18)&gt;0,$E8238&lt;INDEX(DarlTilgStart,18))),0,MIN(MAX(0,$K8238-$L8238),$J8238)))</f>
      </c>
      <c r="N8238" s="43">
        <f>IF($I8238=0,0,MIN(SUMIFS(SondBetrag,SondDarl,18,SondDatum,"&gt;="&amp;$E8238,SondDatum,"&lt;="&amp;EOMONTH($E8238,0)),$J8238-$M8238))</f>
      </c>
      <c r="O8238" s="43">
        <f>IF($I8238=0,0,INDEX(DarlErsatzRate,18))</f>
      </c>
      <c r="P8238" s="43">
        <f>IF($I8238=0,0,$Q8237*INDEX(DarlErsatzZins,18))</f>
      </c>
      <c r="Q8238" s="43">
        <f>IF($I8238=0,0,$Q8237+$P8238+$O8238)</f>
      </c>
      <c r="R8238" s="43">
        <f>IF($I8238=0,0,$J8238-$M8238-$N8238)</f>
      </c>
    </row>
    <row r="8239">
      <c r="A8239"/>
      <c r="B8239">
        <v>18</v>
      </c>
      <c r="C8239" s="43">
        <f>INDEX(DarlObj,18)</f>
      </c>
      <c r="D8239">
        <v>76</v>
      </c>
      <c r="E8239" s="51">
        <f>IF(INDEX(DarlBelegt,18)=0,0,EOMONTH(INDEX(DarlAuszahlung,18),75)+1)</f>
      </c>
      <c r="F8239" s="43">
        <f>IF($E8239=0,0,YEAR($E8239))</f>
      </c>
      <c r="G8239" s="43">
        <f>IF(INDEX(DarlBindung,18)="",1,IF($E8239&lt;=INDEX(DarlBindung,18),1,0))</f>
      </c>
      <c r="H8239" s="43">
        <f>IF($G8239=1,INDEX(DarlSollzins,18),INDEX(DarlAnschluss,18))</f>
      </c>
      <c r="I8239" s="43">
        <f>IF(INDEX(DarlBelegt,18)=0,0,IF(INDEX(DarlOhneTilgung,18)=1,IF(INDEX(DarlBindung,18)="",1,$G8239),IF($J8239&gt;0.005,1,0)))</f>
      </c>
      <c r="J8239" s="43">
        <f>IF($I8238=0,0,$R8238)</f>
      </c>
      <c r="K8239" s="43">
        <f>IF($I8239=0,0,IF(INDEX(DarlOhneTilgung,18)=1,0,IF(AND(INDEX(DarlTilgStart,18)&gt;0,$E8239=INDEX(DarlTilgStart,18)),$J8239*($H8239+INDEX(DarlTilgung,18))/100/12,IF(AND($G8239=0,$G8238=1),MAX($K8238,$J8239*($H8239+1)/100/12),$K8238))))</f>
      </c>
      <c r="L8239" s="43">
        <f>IF($I8239=0,0,$J8239*$H8239/100/12)</f>
      </c>
      <c r="M8239" s="43">
        <f>IF($I8239=0,0,IF(OR(INDEX(DarlOhneTilgung,18)=1,AND(INDEX(DarlTilgStart,18)&gt;0,$E8239&lt;INDEX(DarlTilgStart,18))),0,MIN(MAX(0,$K8239-$L8239),$J8239)))</f>
      </c>
      <c r="N8239" s="43">
        <f>IF($I8239=0,0,MIN(SUMIFS(SondBetrag,SondDarl,18,SondDatum,"&gt;="&amp;$E8239,SondDatum,"&lt;="&amp;EOMONTH($E8239,0)),$J8239-$M8239))</f>
      </c>
      <c r="O8239" s="43">
        <f>IF($I8239=0,0,INDEX(DarlErsatzRate,18))</f>
      </c>
      <c r="P8239" s="43">
        <f>IF($I8239=0,0,$Q8238*INDEX(DarlErsatzZins,18))</f>
      </c>
      <c r="Q8239" s="43">
        <f>IF($I8239=0,0,$Q8238+$P8239+$O8239)</f>
      </c>
      <c r="R8239" s="43">
        <f>IF($I8239=0,0,$J8239-$M8239-$N8239)</f>
      </c>
    </row>
    <row r="8240">
      <c r="A8240"/>
      <c r="B8240">
        <v>18</v>
      </c>
      <c r="C8240" s="43">
        <f>INDEX(DarlObj,18)</f>
      </c>
      <c r="D8240">
        <v>77</v>
      </c>
      <c r="E8240" s="51">
        <f>IF(INDEX(DarlBelegt,18)=0,0,EOMONTH(INDEX(DarlAuszahlung,18),76)+1)</f>
      </c>
      <c r="F8240" s="43">
        <f>IF($E8240=0,0,YEAR($E8240))</f>
      </c>
      <c r="G8240" s="43">
        <f>IF(INDEX(DarlBindung,18)="",1,IF($E8240&lt;=INDEX(DarlBindung,18),1,0))</f>
      </c>
      <c r="H8240" s="43">
        <f>IF($G8240=1,INDEX(DarlSollzins,18),INDEX(DarlAnschluss,18))</f>
      </c>
      <c r="I8240" s="43">
        <f>IF(INDEX(DarlBelegt,18)=0,0,IF(INDEX(DarlOhneTilgung,18)=1,IF(INDEX(DarlBindung,18)="",1,$G8240),IF($J8240&gt;0.005,1,0)))</f>
      </c>
      <c r="J8240" s="43">
        <f>IF($I8239=0,0,$R8239)</f>
      </c>
      <c r="K8240" s="43">
        <f>IF($I8240=0,0,IF(INDEX(DarlOhneTilgung,18)=1,0,IF(AND(INDEX(DarlTilgStart,18)&gt;0,$E8240=INDEX(DarlTilgStart,18)),$J8240*($H8240+INDEX(DarlTilgung,18))/100/12,IF(AND($G8240=0,$G8239=1),MAX($K8239,$J8240*($H8240+1)/100/12),$K8239))))</f>
      </c>
      <c r="L8240" s="43">
        <f>IF($I8240=0,0,$J8240*$H8240/100/12)</f>
      </c>
      <c r="M8240" s="43">
        <f>IF($I8240=0,0,IF(OR(INDEX(DarlOhneTilgung,18)=1,AND(INDEX(DarlTilgStart,18)&gt;0,$E8240&lt;INDEX(DarlTilgStart,18))),0,MIN(MAX(0,$K8240-$L8240),$J8240)))</f>
      </c>
      <c r="N8240" s="43">
        <f>IF($I8240=0,0,MIN(SUMIFS(SondBetrag,SondDarl,18,SondDatum,"&gt;="&amp;$E8240,SondDatum,"&lt;="&amp;EOMONTH($E8240,0)),$J8240-$M8240))</f>
      </c>
      <c r="O8240" s="43">
        <f>IF($I8240=0,0,INDEX(DarlErsatzRate,18))</f>
      </c>
      <c r="P8240" s="43">
        <f>IF($I8240=0,0,$Q8239*INDEX(DarlErsatzZins,18))</f>
      </c>
      <c r="Q8240" s="43">
        <f>IF($I8240=0,0,$Q8239+$P8240+$O8240)</f>
      </c>
      <c r="R8240" s="43">
        <f>IF($I8240=0,0,$J8240-$M8240-$N8240)</f>
      </c>
    </row>
    <row r="8241">
      <c r="A8241"/>
      <c r="B8241">
        <v>18</v>
      </c>
      <c r="C8241" s="43">
        <f>INDEX(DarlObj,18)</f>
      </c>
      <c r="D8241">
        <v>78</v>
      </c>
      <c r="E8241" s="51">
        <f>IF(INDEX(DarlBelegt,18)=0,0,EOMONTH(INDEX(DarlAuszahlung,18),77)+1)</f>
      </c>
      <c r="F8241" s="43">
        <f>IF($E8241=0,0,YEAR($E8241))</f>
      </c>
      <c r="G8241" s="43">
        <f>IF(INDEX(DarlBindung,18)="",1,IF($E8241&lt;=INDEX(DarlBindung,18),1,0))</f>
      </c>
      <c r="H8241" s="43">
        <f>IF($G8241=1,INDEX(DarlSollzins,18),INDEX(DarlAnschluss,18))</f>
      </c>
      <c r="I8241" s="43">
        <f>IF(INDEX(DarlBelegt,18)=0,0,IF(INDEX(DarlOhneTilgung,18)=1,IF(INDEX(DarlBindung,18)="",1,$G8241),IF($J8241&gt;0.005,1,0)))</f>
      </c>
      <c r="J8241" s="43">
        <f>IF($I8240=0,0,$R8240)</f>
      </c>
      <c r="K8241" s="43">
        <f>IF($I8241=0,0,IF(INDEX(DarlOhneTilgung,18)=1,0,IF(AND(INDEX(DarlTilgStart,18)&gt;0,$E8241=INDEX(DarlTilgStart,18)),$J8241*($H8241+INDEX(DarlTilgung,18))/100/12,IF(AND($G8241=0,$G8240=1),MAX($K8240,$J8241*($H8241+1)/100/12),$K8240))))</f>
      </c>
      <c r="L8241" s="43">
        <f>IF($I8241=0,0,$J8241*$H8241/100/12)</f>
      </c>
      <c r="M8241" s="43">
        <f>IF($I8241=0,0,IF(OR(INDEX(DarlOhneTilgung,18)=1,AND(INDEX(DarlTilgStart,18)&gt;0,$E8241&lt;INDEX(DarlTilgStart,18))),0,MIN(MAX(0,$K8241-$L8241),$J8241)))</f>
      </c>
      <c r="N8241" s="43">
        <f>IF($I8241=0,0,MIN(SUMIFS(SondBetrag,SondDarl,18,SondDatum,"&gt;="&amp;$E8241,SondDatum,"&lt;="&amp;EOMONTH($E8241,0)),$J8241-$M8241))</f>
      </c>
      <c r="O8241" s="43">
        <f>IF($I8241=0,0,INDEX(DarlErsatzRate,18))</f>
      </c>
      <c r="P8241" s="43">
        <f>IF($I8241=0,0,$Q8240*INDEX(DarlErsatzZins,18))</f>
      </c>
      <c r="Q8241" s="43">
        <f>IF($I8241=0,0,$Q8240+$P8241+$O8241)</f>
      </c>
      <c r="R8241" s="43">
        <f>IF($I8241=0,0,$J8241-$M8241-$N8241)</f>
      </c>
    </row>
    <row r="8242">
      <c r="A8242"/>
      <c r="B8242">
        <v>18</v>
      </c>
      <c r="C8242" s="43">
        <f>INDEX(DarlObj,18)</f>
      </c>
      <c r="D8242">
        <v>79</v>
      </c>
      <c r="E8242" s="51">
        <f>IF(INDEX(DarlBelegt,18)=0,0,EOMONTH(INDEX(DarlAuszahlung,18),78)+1)</f>
      </c>
      <c r="F8242" s="43">
        <f>IF($E8242=0,0,YEAR($E8242))</f>
      </c>
      <c r="G8242" s="43">
        <f>IF(INDEX(DarlBindung,18)="",1,IF($E8242&lt;=INDEX(DarlBindung,18),1,0))</f>
      </c>
      <c r="H8242" s="43">
        <f>IF($G8242=1,INDEX(DarlSollzins,18),INDEX(DarlAnschluss,18))</f>
      </c>
      <c r="I8242" s="43">
        <f>IF(INDEX(DarlBelegt,18)=0,0,IF(INDEX(DarlOhneTilgung,18)=1,IF(INDEX(DarlBindung,18)="",1,$G8242),IF($J8242&gt;0.005,1,0)))</f>
      </c>
      <c r="J8242" s="43">
        <f>IF($I8241=0,0,$R8241)</f>
      </c>
      <c r="K8242" s="43">
        <f>IF($I8242=0,0,IF(INDEX(DarlOhneTilgung,18)=1,0,IF(AND(INDEX(DarlTilgStart,18)&gt;0,$E8242=INDEX(DarlTilgStart,18)),$J8242*($H8242+INDEX(DarlTilgung,18))/100/12,IF(AND($G8242=0,$G8241=1),MAX($K8241,$J8242*($H8242+1)/100/12),$K8241))))</f>
      </c>
      <c r="L8242" s="43">
        <f>IF($I8242=0,0,$J8242*$H8242/100/12)</f>
      </c>
      <c r="M8242" s="43">
        <f>IF($I8242=0,0,IF(OR(INDEX(DarlOhneTilgung,18)=1,AND(INDEX(DarlTilgStart,18)&gt;0,$E8242&lt;INDEX(DarlTilgStart,18))),0,MIN(MAX(0,$K8242-$L8242),$J8242)))</f>
      </c>
      <c r="N8242" s="43">
        <f>IF($I8242=0,0,MIN(SUMIFS(SondBetrag,SondDarl,18,SondDatum,"&gt;="&amp;$E8242,SondDatum,"&lt;="&amp;EOMONTH($E8242,0)),$J8242-$M8242))</f>
      </c>
      <c r="O8242" s="43">
        <f>IF($I8242=0,0,INDEX(DarlErsatzRate,18))</f>
      </c>
      <c r="P8242" s="43">
        <f>IF($I8242=0,0,$Q8241*INDEX(DarlErsatzZins,18))</f>
      </c>
      <c r="Q8242" s="43">
        <f>IF($I8242=0,0,$Q8241+$P8242+$O8242)</f>
      </c>
      <c r="R8242" s="43">
        <f>IF($I8242=0,0,$J8242-$M8242-$N8242)</f>
      </c>
    </row>
    <row r="8243">
      <c r="A8243"/>
      <c r="B8243">
        <v>18</v>
      </c>
      <c r="C8243" s="43">
        <f>INDEX(DarlObj,18)</f>
      </c>
      <c r="D8243">
        <v>80</v>
      </c>
      <c r="E8243" s="51">
        <f>IF(INDEX(DarlBelegt,18)=0,0,EOMONTH(INDEX(DarlAuszahlung,18),79)+1)</f>
      </c>
      <c r="F8243" s="43">
        <f>IF($E8243=0,0,YEAR($E8243))</f>
      </c>
      <c r="G8243" s="43">
        <f>IF(INDEX(DarlBindung,18)="",1,IF($E8243&lt;=INDEX(DarlBindung,18),1,0))</f>
      </c>
      <c r="H8243" s="43">
        <f>IF($G8243=1,INDEX(DarlSollzins,18),INDEX(DarlAnschluss,18))</f>
      </c>
      <c r="I8243" s="43">
        <f>IF(INDEX(DarlBelegt,18)=0,0,IF(INDEX(DarlOhneTilgung,18)=1,IF(INDEX(DarlBindung,18)="",1,$G8243),IF($J8243&gt;0.005,1,0)))</f>
      </c>
      <c r="J8243" s="43">
        <f>IF($I8242=0,0,$R8242)</f>
      </c>
      <c r="K8243" s="43">
        <f>IF($I8243=0,0,IF(INDEX(DarlOhneTilgung,18)=1,0,IF(AND(INDEX(DarlTilgStart,18)&gt;0,$E8243=INDEX(DarlTilgStart,18)),$J8243*($H8243+INDEX(DarlTilgung,18))/100/12,IF(AND($G8243=0,$G8242=1),MAX($K8242,$J8243*($H8243+1)/100/12),$K8242))))</f>
      </c>
      <c r="L8243" s="43">
        <f>IF($I8243=0,0,$J8243*$H8243/100/12)</f>
      </c>
      <c r="M8243" s="43">
        <f>IF($I8243=0,0,IF(OR(INDEX(DarlOhneTilgung,18)=1,AND(INDEX(DarlTilgStart,18)&gt;0,$E8243&lt;INDEX(DarlTilgStart,18))),0,MIN(MAX(0,$K8243-$L8243),$J8243)))</f>
      </c>
      <c r="N8243" s="43">
        <f>IF($I8243=0,0,MIN(SUMIFS(SondBetrag,SondDarl,18,SondDatum,"&gt;="&amp;$E8243,SondDatum,"&lt;="&amp;EOMONTH($E8243,0)),$J8243-$M8243))</f>
      </c>
      <c r="O8243" s="43">
        <f>IF($I8243=0,0,INDEX(DarlErsatzRate,18))</f>
      </c>
      <c r="P8243" s="43">
        <f>IF($I8243=0,0,$Q8242*INDEX(DarlErsatzZins,18))</f>
      </c>
      <c r="Q8243" s="43">
        <f>IF($I8243=0,0,$Q8242+$P8243+$O8243)</f>
      </c>
      <c r="R8243" s="43">
        <f>IF($I8243=0,0,$J8243-$M8243-$N8243)</f>
      </c>
    </row>
    <row r="8244">
      <c r="A8244"/>
      <c r="B8244">
        <v>18</v>
      </c>
      <c r="C8244" s="43">
        <f>INDEX(DarlObj,18)</f>
      </c>
      <c r="D8244">
        <v>81</v>
      </c>
      <c r="E8244" s="51">
        <f>IF(INDEX(DarlBelegt,18)=0,0,EOMONTH(INDEX(DarlAuszahlung,18),80)+1)</f>
      </c>
      <c r="F8244" s="43">
        <f>IF($E8244=0,0,YEAR($E8244))</f>
      </c>
      <c r="G8244" s="43">
        <f>IF(INDEX(DarlBindung,18)="",1,IF($E8244&lt;=INDEX(DarlBindung,18),1,0))</f>
      </c>
      <c r="H8244" s="43">
        <f>IF($G8244=1,INDEX(DarlSollzins,18),INDEX(DarlAnschluss,18))</f>
      </c>
      <c r="I8244" s="43">
        <f>IF(INDEX(DarlBelegt,18)=0,0,IF(INDEX(DarlOhneTilgung,18)=1,IF(INDEX(DarlBindung,18)="",1,$G8244),IF($J8244&gt;0.005,1,0)))</f>
      </c>
      <c r="J8244" s="43">
        <f>IF($I8243=0,0,$R8243)</f>
      </c>
      <c r="K8244" s="43">
        <f>IF($I8244=0,0,IF(INDEX(DarlOhneTilgung,18)=1,0,IF(AND(INDEX(DarlTilgStart,18)&gt;0,$E8244=INDEX(DarlTilgStart,18)),$J8244*($H8244+INDEX(DarlTilgung,18))/100/12,IF(AND($G8244=0,$G8243=1),MAX($K8243,$J8244*($H8244+1)/100/12),$K8243))))</f>
      </c>
      <c r="L8244" s="43">
        <f>IF($I8244=0,0,$J8244*$H8244/100/12)</f>
      </c>
      <c r="M8244" s="43">
        <f>IF($I8244=0,0,IF(OR(INDEX(DarlOhneTilgung,18)=1,AND(INDEX(DarlTilgStart,18)&gt;0,$E8244&lt;INDEX(DarlTilgStart,18))),0,MIN(MAX(0,$K8244-$L8244),$J8244)))</f>
      </c>
      <c r="N8244" s="43">
        <f>IF($I8244=0,0,MIN(SUMIFS(SondBetrag,SondDarl,18,SondDatum,"&gt;="&amp;$E8244,SondDatum,"&lt;="&amp;EOMONTH($E8244,0)),$J8244-$M8244))</f>
      </c>
      <c r="O8244" s="43">
        <f>IF($I8244=0,0,INDEX(DarlErsatzRate,18))</f>
      </c>
      <c r="P8244" s="43">
        <f>IF($I8244=0,0,$Q8243*INDEX(DarlErsatzZins,18))</f>
      </c>
      <c r="Q8244" s="43">
        <f>IF($I8244=0,0,$Q8243+$P8244+$O8244)</f>
      </c>
      <c r="R8244" s="43">
        <f>IF($I8244=0,0,$J8244-$M8244-$N8244)</f>
      </c>
    </row>
    <row r="8245">
      <c r="A8245"/>
      <c r="B8245">
        <v>18</v>
      </c>
      <c r="C8245" s="43">
        <f>INDEX(DarlObj,18)</f>
      </c>
      <c r="D8245">
        <v>82</v>
      </c>
      <c r="E8245" s="51">
        <f>IF(INDEX(DarlBelegt,18)=0,0,EOMONTH(INDEX(DarlAuszahlung,18),81)+1)</f>
      </c>
      <c r="F8245" s="43">
        <f>IF($E8245=0,0,YEAR($E8245))</f>
      </c>
      <c r="G8245" s="43">
        <f>IF(INDEX(DarlBindung,18)="",1,IF($E8245&lt;=INDEX(DarlBindung,18),1,0))</f>
      </c>
      <c r="H8245" s="43">
        <f>IF($G8245=1,INDEX(DarlSollzins,18),INDEX(DarlAnschluss,18))</f>
      </c>
      <c r="I8245" s="43">
        <f>IF(INDEX(DarlBelegt,18)=0,0,IF(INDEX(DarlOhneTilgung,18)=1,IF(INDEX(DarlBindung,18)="",1,$G8245),IF($J8245&gt;0.005,1,0)))</f>
      </c>
      <c r="J8245" s="43">
        <f>IF($I8244=0,0,$R8244)</f>
      </c>
      <c r="K8245" s="43">
        <f>IF($I8245=0,0,IF(INDEX(DarlOhneTilgung,18)=1,0,IF(AND(INDEX(DarlTilgStart,18)&gt;0,$E8245=INDEX(DarlTilgStart,18)),$J8245*($H8245+INDEX(DarlTilgung,18))/100/12,IF(AND($G8245=0,$G8244=1),MAX($K8244,$J8245*($H8245+1)/100/12),$K8244))))</f>
      </c>
      <c r="L8245" s="43">
        <f>IF($I8245=0,0,$J8245*$H8245/100/12)</f>
      </c>
      <c r="M8245" s="43">
        <f>IF($I8245=0,0,IF(OR(INDEX(DarlOhneTilgung,18)=1,AND(INDEX(DarlTilgStart,18)&gt;0,$E8245&lt;INDEX(DarlTilgStart,18))),0,MIN(MAX(0,$K8245-$L8245),$J8245)))</f>
      </c>
      <c r="N8245" s="43">
        <f>IF($I8245=0,0,MIN(SUMIFS(SondBetrag,SondDarl,18,SondDatum,"&gt;="&amp;$E8245,SondDatum,"&lt;="&amp;EOMONTH($E8245,0)),$J8245-$M8245))</f>
      </c>
      <c r="O8245" s="43">
        <f>IF($I8245=0,0,INDEX(DarlErsatzRate,18))</f>
      </c>
      <c r="P8245" s="43">
        <f>IF($I8245=0,0,$Q8244*INDEX(DarlErsatzZins,18))</f>
      </c>
      <c r="Q8245" s="43">
        <f>IF($I8245=0,0,$Q8244+$P8245+$O8245)</f>
      </c>
      <c r="R8245" s="43">
        <f>IF($I8245=0,0,$J8245-$M8245-$N8245)</f>
      </c>
    </row>
    <row r="8246">
      <c r="A8246"/>
      <c r="B8246">
        <v>18</v>
      </c>
      <c r="C8246" s="43">
        <f>INDEX(DarlObj,18)</f>
      </c>
      <c r="D8246">
        <v>83</v>
      </c>
      <c r="E8246" s="51">
        <f>IF(INDEX(DarlBelegt,18)=0,0,EOMONTH(INDEX(DarlAuszahlung,18),82)+1)</f>
      </c>
      <c r="F8246" s="43">
        <f>IF($E8246=0,0,YEAR($E8246))</f>
      </c>
      <c r="G8246" s="43">
        <f>IF(INDEX(DarlBindung,18)="",1,IF($E8246&lt;=INDEX(DarlBindung,18),1,0))</f>
      </c>
      <c r="H8246" s="43">
        <f>IF($G8246=1,INDEX(DarlSollzins,18),INDEX(DarlAnschluss,18))</f>
      </c>
      <c r="I8246" s="43">
        <f>IF(INDEX(DarlBelegt,18)=0,0,IF(INDEX(DarlOhneTilgung,18)=1,IF(INDEX(DarlBindung,18)="",1,$G8246),IF($J8246&gt;0.005,1,0)))</f>
      </c>
      <c r="J8246" s="43">
        <f>IF($I8245=0,0,$R8245)</f>
      </c>
      <c r="K8246" s="43">
        <f>IF($I8246=0,0,IF(INDEX(DarlOhneTilgung,18)=1,0,IF(AND(INDEX(DarlTilgStart,18)&gt;0,$E8246=INDEX(DarlTilgStart,18)),$J8246*($H8246+INDEX(DarlTilgung,18))/100/12,IF(AND($G8246=0,$G8245=1),MAX($K8245,$J8246*($H8246+1)/100/12),$K8245))))</f>
      </c>
      <c r="L8246" s="43">
        <f>IF($I8246=0,0,$J8246*$H8246/100/12)</f>
      </c>
      <c r="M8246" s="43">
        <f>IF($I8246=0,0,IF(OR(INDEX(DarlOhneTilgung,18)=1,AND(INDEX(DarlTilgStart,18)&gt;0,$E8246&lt;INDEX(DarlTilgStart,18))),0,MIN(MAX(0,$K8246-$L8246),$J8246)))</f>
      </c>
      <c r="N8246" s="43">
        <f>IF($I8246=0,0,MIN(SUMIFS(SondBetrag,SondDarl,18,SondDatum,"&gt;="&amp;$E8246,SondDatum,"&lt;="&amp;EOMONTH($E8246,0)),$J8246-$M8246))</f>
      </c>
      <c r="O8246" s="43">
        <f>IF($I8246=0,0,INDEX(DarlErsatzRate,18))</f>
      </c>
      <c r="P8246" s="43">
        <f>IF($I8246=0,0,$Q8245*INDEX(DarlErsatzZins,18))</f>
      </c>
      <c r="Q8246" s="43">
        <f>IF($I8246=0,0,$Q8245+$P8246+$O8246)</f>
      </c>
      <c r="R8246" s="43">
        <f>IF($I8246=0,0,$J8246-$M8246-$N8246)</f>
      </c>
    </row>
    <row r="8247">
      <c r="A8247"/>
      <c r="B8247">
        <v>18</v>
      </c>
      <c r="C8247" s="43">
        <f>INDEX(DarlObj,18)</f>
      </c>
      <c r="D8247">
        <v>84</v>
      </c>
      <c r="E8247" s="51">
        <f>IF(INDEX(DarlBelegt,18)=0,0,EOMONTH(INDEX(DarlAuszahlung,18),83)+1)</f>
      </c>
      <c r="F8247" s="43">
        <f>IF($E8247=0,0,YEAR($E8247))</f>
      </c>
      <c r="G8247" s="43">
        <f>IF(INDEX(DarlBindung,18)="",1,IF($E8247&lt;=INDEX(DarlBindung,18),1,0))</f>
      </c>
      <c r="H8247" s="43">
        <f>IF($G8247=1,INDEX(DarlSollzins,18),INDEX(DarlAnschluss,18))</f>
      </c>
      <c r="I8247" s="43">
        <f>IF(INDEX(DarlBelegt,18)=0,0,IF(INDEX(DarlOhneTilgung,18)=1,IF(INDEX(DarlBindung,18)="",1,$G8247),IF($J8247&gt;0.005,1,0)))</f>
      </c>
      <c r="J8247" s="43">
        <f>IF($I8246=0,0,$R8246)</f>
      </c>
      <c r="K8247" s="43">
        <f>IF($I8247=0,0,IF(INDEX(DarlOhneTilgung,18)=1,0,IF(AND(INDEX(DarlTilgStart,18)&gt;0,$E8247=INDEX(DarlTilgStart,18)),$J8247*($H8247+INDEX(DarlTilgung,18))/100/12,IF(AND($G8247=0,$G8246=1),MAX($K8246,$J8247*($H8247+1)/100/12),$K8246))))</f>
      </c>
      <c r="L8247" s="43">
        <f>IF($I8247=0,0,$J8247*$H8247/100/12)</f>
      </c>
      <c r="M8247" s="43">
        <f>IF($I8247=0,0,IF(OR(INDEX(DarlOhneTilgung,18)=1,AND(INDEX(DarlTilgStart,18)&gt;0,$E8247&lt;INDEX(DarlTilgStart,18))),0,MIN(MAX(0,$K8247-$L8247),$J8247)))</f>
      </c>
      <c r="N8247" s="43">
        <f>IF($I8247=0,0,MIN(SUMIFS(SondBetrag,SondDarl,18,SondDatum,"&gt;="&amp;$E8247,SondDatum,"&lt;="&amp;EOMONTH($E8247,0)),$J8247-$M8247))</f>
      </c>
      <c r="O8247" s="43">
        <f>IF($I8247=0,0,INDEX(DarlErsatzRate,18))</f>
      </c>
      <c r="P8247" s="43">
        <f>IF($I8247=0,0,$Q8246*INDEX(DarlErsatzZins,18))</f>
      </c>
      <c r="Q8247" s="43">
        <f>IF($I8247=0,0,$Q8246+$P8247+$O8247)</f>
      </c>
      <c r="R8247" s="43">
        <f>IF($I8247=0,0,$J8247-$M8247-$N8247)</f>
      </c>
    </row>
    <row r="8248">
      <c r="A8248"/>
      <c r="B8248">
        <v>18</v>
      </c>
      <c r="C8248" s="43">
        <f>INDEX(DarlObj,18)</f>
      </c>
      <c r="D8248">
        <v>85</v>
      </c>
      <c r="E8248" s="51">
        <f>IF(INDEX(DarlBelegt,18)=0,0,EOMONTH(INDEX(DarlAuszahlung,18),84)+1)</f>
      </c>
      <c r="F8248" s="43">
        <f>IF($E8248=0,0,YEAR($E8248))</f>
      </c>
      <c r="G8248" s="43">
        <f>IF(INDEX(DarlBindung,18)="",1,IF($E8248&lt;=INDEX(DarlBindung,18),1,0))</f>
      </c>
      <c r="H8248" s="43">
        <f>IF($G8248=1,INDEX(DarlSollzins,18),INDEX(DarlAnschluss,18))</f>
      </c>
      <c r="I8248" s="43">
        <f>IF(INDEX(DarlBelegt,18)=0,0,IF(INDEX(DarlOhneTilgung,18)=1,IF(INDEX(DarlBindung,18)="",1,$G8248),IF($J8248&gt;0.005,1,0)))</f>
      </c>
      <c r="J8248" s="43">
        <f>IF($I8247=0,0,$R8247)</f>
      </c>
      <c r="K8248" s="43">
        <f>IF($I8248=0,0,IF(INDEX(DarlOhneTilgung,18)=1,0,IF(AND(INDEX(DarlTilgStart,18)&gt;0,$E8248=INDEX(DarlTilgStart,18)),$J8248*($H8248+INDEX(DarlTilgung,18))/100/12,IF(AND($G8248=0,$G8247=1),MAX($K8247,$J8248*($H8248+1)/100/12),$K8247))))</f>
      </c>
      <c r="L8248" s="43">
        <f>IF($I8248=0,0,$J8248*$H8248/100/12)</f>
      </c>
      <c r="M8248" s="43">
        <f>IF($I8248=0,0,IF(OR(INDEX(DarlOhneTilgung,18)=1,AND(INDEX(DarlTilgStart,18)&gt;0,$E8248&lt;INDEX(DarlTilgStart,18))),0,MIN(MAX(0,$K8248-$L8248),$J8248)))</f>
      </c>
      <c r="N8248" s="43">
        <f>IF($I8248=0,0,MIN(SUMIFS(SondBetrag,SondDarl,18,SondDatum,"&gt;="&amp;$E8248,SondDatum,"&lt;="&amp;EOMONTH($E8248,0)),$J8248-$M8248))</f>
      </c>
      <c r="O8248" s="43">
        <f>IF($I8248=0,0,INDEX(DarlErsatzRate,18))</f>
      </c>
      <c r="P8248" s="43">
        <f>IF($I8248=0,0,$Q8247*INDEX(DarlErsatzZins,18))</f>
      </c>
      <c r="Q8248" s="43">
        <f>IF($I8248=0,0,$Q8247+$P8248+$O8248)</f>
      </c>
      <c r="R8248" s="43">
        <f>IF($I8248=0,0,$J8248-$M8248-$N8248)</f>
      </c>
    </row>
    <row r="8249">
      <c r="A8249"/>
      <c r="B8249">
        <v>18</v>
      </c>
      <c r="C8249" s="43">
        <f>INDEX(DarlObj,18)</f>
      </c>
      <c r="D8249">
        <v>86</v>
      </c>
      <c r="E8249" s="51">
        <f>IF(INDEX(DarlBelegt,18)=0,0,EOMONTH(INDEX(DarlAuszahlung,18),85)+1)</f>
      </c>
      <c r="F8249" s="43">
        <f>IF($E8249=0,0,YEAR($E8249))</f>
      </c>
      <c r="G8249" s="43">
        <f>IF(INDEX(DarlBindung,18)="",1,IF($E8249&lt;=INDEX(DarlBindung,18),1,0))</f>
      </c>
      <c r="H8249" s="43">
        <f>IF($G8249=1,INDEX(DarlSollzins,18),INDEX(DarlAnschluss,18))</f>
      </c>
      <c r="I8249" s="43">
        <f>IF(INDEX(DarlBelegt,18)=0,0,IF(INDEX(DarlOhneTilgung,18)=1,IF(INDEX(DarlBindung,18)="",1,$G8249),IF($J8249&gt;0.005,1,0)))</f>
      </c>
      <c r="J8249" s="43">
        <f>IF($I8248=0,0,$R8248)</f>
      </c>
      <c r="K8249" s="43">
        <f>IF($I8249=0,0,IF(INDEX(DarlOhneTilgung,18)=1,0,IF(AND(INDEX(DarlTilgStart,18)&gt;0,$E8249=INDEX(DarlTilgStart,18)),$J8249*($H8249+INDEX(DarlTilgung,18))/100/12,IF(AND($G8249=0,$G8248=1),MAX($K8248,$J8249*($H8249+1)/100/12),$K8248))))</f>
      </c>
      <c r="L8249" s="43">
        <f>IF($I8249=0,0,$J8249*$H8249/100/12)</f>
      </c>
      <c r="M8249" s="43">
        <f>IF($I8249=0,0,IF(OR(INDEX(DarlOhneTilgung,18)=1,AND(INDEX(DarlTilgStart,18)&gt;0,$E8249&lt;INDEX(DarlTilgStart,18))),0,MIN(MAX(0,$K8249-$L8249),$J8249)))</f>
      </c>
      <c r="N8249" s="43">
        <f>IF($I8249=0,0,MIN(SUMIFS(SondBetrag,SondDarl,18,SondDatum,"&gt;="&amp;$E8249,SondDatum,"&lt;="&amp;EOMONTH($E8249,0)),$J8249-$M8249))</f>
      </c>
      <c r="O8249" s="43">
        <f>IF($I8249=0,0,INDEX(DarlErsatzRate,18))</f>
      </c>
      <c r="P8249" s="43">
        <f>IF($I8249=0,0,$Q8248*INDEX(DarlErsatzZins,18))</f>
      </c>
      <c r="Q8249" s="43">
        <f>IF($I8249=0,0,$Q8248+$P8249+$O8249)</f>
      </c>
      <c r="R8249" s="43">
        <f>IF($I8249=0,0,$J8249-$M8249-$N8249)</f>
      </c>
    </row>
    <row r="8250">
      <c r="A8250"/>
      <c r="B8250">
        <v>18</v>
      </c>
      <c r="C8250" s="43">
        <f>INDEX(DarlObj,18)</f>
      </c>
      <c r="D8250">
        <v>87</v>
      </c>
      <c r="E8250" s="51">
        <f>IF(INDEX(DarlBelegt,18)=0,0,EOMONTH(INDEX(DarlAuszahlung,18),86)+1)</f>
      </c>
      <c r="F8250" s="43">
        <f>IF($E8250=0,0,YEAR($E8250))</f>
      </c>
      <c r="G8250" s="43">
        <f>IF(INDEX(DarlBindung,18)="",1,IF($E8250&lt;=INDEX(DarlBindung,18),1,0))</f>
      </c>
      <c r="H8250" s="43">
        <f>IF($G8250=1,INDEX(DarlSollzins,18),INDEX(DarlAnschluss,18))</f>
      </c>
      <c r="I8250" s="43">
        <f>IF(INDEX(DarlBelegt,18)=0,0,IF(INDEX(DarlOhneTilgung,18)=1,IF(INDEX(DarlBindung,18)="",1,$G8250),IF($J8250&gt;0.005,1,0)))</f>
      </c>
      <c r="J8250" s="43">
        <f>IF($I8249=0,0,$R8249)</f>
      </c>
      <c r="K8250" s="43">
        <f>IF($I8250=0,0,IF(INDEX(DarlOhneTilgung,18)=1,0,IF(AND(INDEX(DarlTilgStart,18)&gt;0,$E8250=INDEX(DarlTilgStart,18)),$J8250*($H8250+INDEX(DarlTilgung,18))/100/12,IF(AND($G8250=0,$G8249=1),MAX($K8249,$J8250*($H8250+1)/100/12),$K8249))))</f>
      </c>
      <c r="L8250" s="43">
        <f>IF($I8250=0,0,$J8250*$H8250/100/12)</f>
      </c>
      <c r="M8250" s="43">
        <f>IF($I8250=0,0,IF(OR(INDEX(DarlOhneTilgung,18)=1,AND(INDEX(DarlTilgStart,18)&gt;0,$E8250&lt;INDEX(DarlTilgStart,18))),0,MIN(MAX(0,$K8250-$L8250),$J8250)))</f>
      </c>
      <c r="N8250" s="43">
        <f>IF($I8250=0,0,MIN(SUMIFS(SondBetrag,SondDarl,18,SondDatum,"&gt;="&amp;$E8250,SondDatum,"&lt;="&amp;EOMONTH($E8250,0)),$J8250-$M8250))</f>
      </c>
      <c r="O8250" s="43">
        <f>IF($I8250=0,0,INDEX(DarlErsatzRate,18))</f>
      </c>
      <c r="P8250" s="43">
        <f>IF($I8250=0,0,$Q8249*INDEX(DarlErsatzZins,18))</f>
      </c>
      <c r="Q8250" s="43">
        <f>IF($I8250=0,0,$Q8249+$P8250+$O8250)</f>
      </c>
      <c r="R8250" s="43">
        <f>IF($I8250=0,0,$J8250-$M8250-$N8250)</f>
      </c>
    </row>
    <row r="8251">
      <c r="A8251"/>
      <c r="B8251">
        <v>18</v>
      </c>
      <c r="C8251" s="43">
        <f>INDEX(DarlObj,18)</f>
      </c>
      <c r="D8251">
        <v>88</v>
      </c>
      <c r="E8251" s="51">
        <f>IF(INDEX(DarlBelegt,18)=0,0,EOMONTH(INDEX(DarlAuszahlung,18),87)+1)</f>
      </c>
      <c r="F8251" s="43">
        <f>IF($E8251=0,0,YEAR($E8251))</f>
      </c>
      <c r="G8251" s="43">
        <f>IF(INDEX(DarlBindung,18)="",1,IF($E8251&lt;=INDEX(DarlBindung,18),1,0))</f>
      </c>
      <c r="H8251" s="43">
        <f>IF($G8251=1,INDEX(DarlSollzins,18),INDEX(DarlAnschluss,18))</f>
      </c>
      <c r="I8251" s="43">
        <f>IF(INDEX(DarlBelegt,18)=0,0,IF(INDEX(DarlOhneTilgung,18)=1,IF(INDEX(DarlBindung,18)="",1,$G8251),IF($J8251&gt;0.005,1,0)))</f>
      </c>
      <c r="J8251" s="43">
        <f>IF($I8250=0,0,$R8250)</f>
      </c>
      <c r="K8251" s="43">
        <f>IF($I8251=0,0,IF(INDEX(DarlOhneTilgung,18)=1,0,IF(AND(INDEX(DarlTilgStart,18)&gt;0,$E8251=INDEX(DarlTilgStart,18)),$J8251*($H8251+INDEX(DarlTilgung,18))/100/12,IF(AND($G8251=0,$G8250=1),MAX($K8250,$J8251*($H8251+1)/100/12),$K8250))))</f>
      </c>
      <c r="L8251" s="43">
        <f>IF($I8251=0,0,$J8251*$H8251/100/12)</f>
      </c>
      <c r="M8251" s="43">
        <f>IF($I8251=0,0,IF(OR(INDEX(DarlOhneTilgung,18)=1,AND(INDEX(DarlTilgStart,18)&gt;0,$E8251&lt;INDEX(DarlTilgStart,18))),0,MIN(MAX(0,$K8251-$L8251),$J8251)))</f>
      </c>
      <c r="N8251" s="43">
        <f>IF($I8251=0,0,MIN(SUMIFS(SondBetrag,SondDarl,18,SondDatum,"&gt;="&amp;$E8251,SondDatum,"&lt;="&amp;EOMONTH($E8251,0)),$J8251-$M8251))</f>
      </c>
      <c r="O8251" s="43">
        <f>IF($I8251=0,0,INDEX(DarlErsatzRate,18))</f>
      </c>
      <c r="P8251" s="43">
        <f>IF($I8251=0,0,$Q8250*INDEX(DarlErsatzZins,18))</f>
      </c>
      <c r="Q8251" s="43">
        <f>IF($I8251=0,0,$Q8250+$P8251+$O8251)</f>
      </c>
      <c r="R8251" s="43">
        <f>IF($I8251=0,0,$J8251-$M8251-$N8251)</f>
      </c>
    </row>
    <row r="8252">
      <c r="A8252"/>
      <c r="B8252">
        <v>18</v>
      </c>
      <c r="C8252" s="43">
        <f>INDEX(DarlObj,18)</f>
      </c>
      <c r="D8252">
        <v>89</v>
      </c>
      <c r="E8252" s="51">
        <f>IF(INDEX(DarlBelegt,18)=0,0,EOMONTH(INDEX(DarlAuszahlung,18),88)+1)</f>
      </c>
      <c r="F8252" s="43">
        <f>IF($E8252=0,0,YEAR($E8252))</f>
      </c>
      <c r="G8252" s="43">
        <f>IF(INDEX(DarlBindung,18)="",1,IF($E8252&lt;=INDEX(DarlBindung,18),1,0))</f>
      </c>
      <c r="H8252" s="43">
        <f>IF($G8252=1,INDEX(DarlSollzins,18),INDEX(DarlAnschluss,18))</f>
      </c>
      <c r="I8252" s="43">
        <f>IF(INDEX(DarlBelegt,18)=0,0,IF(INDEX(DarlOhneTilgung,18)=1,IF(INDEX(DarlBindung,18)="",1,$G8252),IF($J8252&gt;0.005,1,0)))</f>
      </c>
      <c r="J8252" s="43">
        <f>IF($I8251=0,0,$R8251)</f>
      </c>
      <c r="K8252" s="43">
        <f>IF($I8252=0,0,IF(INDEX(DarlOhneTilgung,18)=1,0,IF(AND(INDEX(DarlTilgStart,18)&gt;0,$E8252=INDEX(DarlTilgStart,18)),$J8252*($H8252+INDEX(DarlTilgung,18))/100/12,IF(AND($G8252=0,$G8251=1),MAX($K8251,$J8252*($H8252+1)/100/12),$K8251))))</f>
      </c>
      <c r="L8252" s="43">
        <f>IF($I8252=0,0,$J8252*$H8252/100/12)</f>
      </c>
      <c r="M8252" s="43">
        <f>IF($I8252=0,0,IF(OR(INDEX(DarlOhneTilgung,18)=1,AND(INDEX(DarlTilgStart,18)&gt;0,$E8252&lt;INDEX(DarlTilgStart,18))),0,MIN(MAX(0,$K8252-$L8252),$J8252)))</f>
      </c>
      <c r="N8252" s="43">
        <f>IF($I8252=0,0,MIN(SUMIFS(SondBetrag,SondDarl,18,SondDatum,"&gt;="&amp;$E8252,SondDatum,"&lt;="&amp;EOMONTH($E8252,0)),$J8252-$M8252))</f>
      </c>
      <c r="O8252" s="43">
        <f>IF($I8252=0,0,INDEX(DarlErsatzRate,18))</f>
      </c>
      <c r="P8252" s="43">
        <f>IF($I8252=0,0,$Q8251*INDEX(DarlErsatzZins,18))</f>
      </c>
      <c r="Q8252" s="43">
        <f>IF($I8252=0,0,$Q8251+$P8252+$O8252)</f>
      </c>
      <c r="R8252" s="43">
        <f>IF($I8252=0,0,$J8252-$M8252-$N8252)</f>
      </c>
    </row>
    <row r="8253">
      <c r="A8253"/>
      <c r="B8253">
        <v>18</v>
      </c>
      <c r="C8253" s="43">
        <f>INDEX(DarlObj,18)</f>
      </c>
      <c r="D8253">
        <v>90</v>
      </c>
      <c r="E8253" s="51">
        <f>IF(INDEX(DarlBelegt,18)=0,0,EOMONTH(INDEX(DarlAuszahlung,18),89)+1)</f>
      </c>
      <c r="F8253" s="43">
        <f>IF($E8253=0,0,YEAR($E8253))</f>
      </c>
      <c r="G8253" s="43">
        <f>IF(INDEX(DarlBindung,18)="",1,IF($E8253&lt;=INDEX(DarlBindung,18),1,0))</f>
      </c>
      <c r="H8253" s="43">
        <f>IF($G8253=1,INDEX(DarlSollzins,18),INDEX(DarlAnschluss,18))</f>
      </c>
      <c r="I8253" s="43">
        <f>IF(INDEX(DarlBelegt,18)=0,0,IF(INDEX(DarlOhneTilgung,18)=1,IF(INDEX(DarlBindung,18)="",1,$G8253),IF($J8253&gt;0.005,1,0)))</f>
      </c>
      <c r="J8253" s="43">
        <f>IF($I8252=0,0,$R8252)</f>
      </c>
      <c r="K8253" s="43">
        <f>IF($I8253=0,0,IF(INDEX(DarlOhneTilgung,18)=1,0,IF(AND(INDEX(DarlTilgStart,18)&gt;0,$E8253=INDEX(DarlTilgStart,18)),$J8253*($H8253+INDEX(DarlTilgung,18))/100/12,IF(AND($G8253=0,$G8252=1),MAX($K8252,$J8253*($H8253+1)/100/12),$K8252))))</f>
      </c>
      <c r="L8253" s="43">
        <f>IF($I8253=0,0,$J8253*$H8253/100/12)</f>
      </c>
      <c r="M8253" s="43">
        <f>IF($I8253=0,0,IF(OR(INDEX(DarlOhneTilgung,18)=1,AND(INDEX(DarlTilgStart,18)&gt;0,$E8253&lt;INDEX(DarlTilgStart,18))),0,MIN(MAX(0,$K8253-$L8253),$J8253)))</f>
      </c>
      <c r="N8253" s="43">
        <f>IF($I8253=0,0,MIN(SUMIFS(SondBetrag,SondDarl,18,SondDatum,"&gt;="&amp;$E8253,SondDatum,"&lt;="&amp;EOMONTH($E8253,0)),$J8253-$M8253))</f>
      </c>
      <c r="O8253" s="43">
        <f>IF($I8253=0,0,INDEX(DarlErsatzRate,18))</f>
      </c>
      <c r="P8253" s="43">
        <f>IF($I8253=0,0,$Q8252*INDEX(DarlErsatzZins,18))</f>
      </c>
      <c r="Q8253" s="43">
        <f>IF($I8253=0,0,$Q8252+$P8253+$O8253)</f>
      </c>
      <c r="R8253" s="43">
        <f>IF($I8253=0,0,$J8253-$M8253-$N8253)</f>
      </c>
    </row>
    <row r="8254">
      <c r="A8254"/>
      <c r="B8254">
        <v>18</v>
      </c>
      <c r="C8254" s="43">
        <f>INDEX(DarlObj,18)</f>
      </c>
      <c r="D8254">
        <v>91</v>
      </c>
      <c r="E8254" s="51">
        <f>IF(INDEX(DarlBelegt,18)=0,0,EOMONTH(INDEX(DarlAuszahlung,18),90)+1)</f>
      </c>
      <c r="F8254" s="43">
        <f>IF($E8254=0,0,YEAR($E8254))</f>
      </c>
      <c r="G8254" s="43">
        <f>IF(INDEX(DarlBindung,18)="",1,IF($E8254&lt;=INDEX(DarlBindung,18),1,0))</f>
      </c>
      <c r="H8254" s="43">
        <f>IF($G8254=1,INDEX(DarlSollzins,18),INDEX(DarlAnschluss,18))</f>
      </c>
      <c r="I8254" s="43">
        <f>IF(INDEX(DarlBelegt,18)=0,0,IF(INDEX(DarlOhneTilgung,18)=1,IF(INDEX(DarlBindung,18)="",1,$G8254),IF($J8254&gt;0.005,1,0)))</f>
      </c>
      <c r="J8254" s="43">
        <f>IF($I8253=0,0,$R8253)</f>
      </c>
      <c r="K8254" s="43">
        <f>IF($I8254=0,0,IF(INDEX(DarlOhneTilgung,18)=1,0,IF(AND(INDEX(DarlTilgStart,18)&gt;0,$E8254=INDEX(DarlTilgStart,18)),$J8254*($H8254+INDEX(DarlTilgung,18))/100/12,IF(AND($G8254=0,$G8253=1),MAX($K8253,$J8254*($H8254+1)/100/12),$K8253))))</f>
      </c>
      <c r="L8254" s="43">
        <f>IF($I8254=0,0,$J8254*$H8254/100/12)</f>
      </c>
      <c r="M8254" s="43">
        <f>IF($I8254=0,0,IF(OR(INDEX(DarlOhneTilgung,18)=1,AND(INDEX(DarlTilgStart,18)&gt;0,$E8254&lt;INDEX(DarlTilgStart,18))),0,MIN(MAX(0,$K8254-$L8254),$J8254)))</f>
      </c>
      <c r="N8254" s="43">
        <f>IF($I8254=0,0,MIN(SUMIFS(SondBetrag,SondDarl,18,SondDatum,"&gt;="&amp;$E8254,SondDatum,"&lt;="&amp;EOMONTH($E8254,0)),$J8254-$M8254))</f>
      </c>
      <c r="O8254" s="43">
        <f>IF($I8254=0,0,INDEX(DarlErsatzRate,18))</f>
      </c>
      <c r="P8254" s="43">
        <f>IF($I8254=0,0,$Q8253*INDEX(DarlErsatzZins,18))</f>
      </c>
      <c r="Q8254" s="43">
        <f>IF($I8254=0,0,$Q8253+$P8254+$O8254)</f>
      </c>
      <c r="R8254" s="43">
        <f>IF($I8254=0,0,$J8254-$M8254-$N8254)</f>
      </c>
    </row>
    <row r="8255">
      <c r="A8255"/>
      <c r="B8255">
        <v>18</v>
      </c>
      <c r="C8255" s="43">
        <f>INDEX(DarlObj,18)</f>
      </c>
      <c r="D8255">
        <v>92</v>
      </c>
      <c r="E8255" s="51">
        <f>IF(INDEX(DarlBelegt,18)=0,0,EOMONTH(INDEX(DarlAuszahlung,18),91)+1)</f>
      </c>
      <c r="F8255" s="43">
        <f>IF($E8255=0,0,YEAR($E8255))</f>
      </c>
      <c r="G8255" s="43">
        <f>IF(INDEX(DarlBindung,18)="",1,IF($E8255&lt;=INDEX(DarlBindung,18),1,0))</f>
      </c>
      <c r="H8255" s="43">
        <f>IF($G8255=1,INDEX(DarlSollzins,18),INDEX(DarlAnschluss,18))</f>
      </c>
      <c r="I8255" s="43">
        <f>IF(INDEX(DarlBelegt,18)=0,0,IF(INDEX(DarlOhneTilgung,18)=1,IF(INDEX(DarlBindung,18)="",1,$G8255),IF($J8255&gt;0.005,1,0)))</f>
      </c>
      <c r="J8255" s="43">
        <f>IF($I8254=0,0,$R8254)</f>
      </c>
      <c r="K8255" s="43">
        <f>IF($I8255=0,0,IF(INDEX(DarlOhneTilgung,18)=1,0,IF(AND(INDEX(DarlTilgStart,18)&gt;0,$E8255=INDEX(DarlTilgStart,18)),$J8255*($H8255+INDEX(DarlTilgung,18))/100/12,IF(AND($G8255=0,$G8254=1),MAX($K8254,$J8255*($H8255+1)/100/12),$K8254))))</f>
      </c>
      <c r="L8255" s="43">
        <f>IF($I8255=0,0,$J8255*$H8255/100/12)</f>
      </c>
      <c r="M8255" s="43">
        <f>IF($I8255=0,0,IF(OR(INDEX(DarlOhneTilgung,18)=1,AND(INDEX(DarlTilgStart,18)&gt;0,$E8255&lt;INDEX(DarlTilgStart,18))),0,MIN(MAX(0,$K8255-$L8255),$J8255)))</f>
      </c>
      <c r="N8255" s="43">
        <f>IF($I8255=0,0,MIN(SUMIFS(SondBetrag,SondDarl,18,SondDatum,"&gt;="&amp;$E8255,SondDatum,"&lt;="&amp;EOMONTH($E8255,0)),$J8255-$M8255))</f>
      </c>
      <c r="O8255" s="43">
        <f>IF($I8255=0,0,INDEX(DarlErsatzRate,18))</f>
      </c>
      <c r="P8255" s="43">
        <f>IF($I8255=0,0,$Q8254*INDEX(DarlErsatzZins,18))</f>
      </c>
      <c r="Q8255" s="43">
        <f>IF($I8255=0,0,$Q8254+$P8255+$O8255)</f>
      </c>
      <c r="R8255" s="43">
        <f>IF($I8255=0,0,$J8255-$M8255-$N8255)</f>
      </c>
    </row>
    <row r="8256">
      <c r="A8256"/>
      <c r="B8256">
        <v>18</v>
      </c>
      <c r="C8256" s="43">
        <f>INDEX(DarlObj,18)</f>
      </c>
      <c r="D8256">
        <v>93</v>
      </c>
      <c r="E8256" s="51">
        <f>IF(INDEX(DarlBelegt,18)=0,0,EOMONTH(INDEX(DarlAuszahlung,18),92)+1)</f>
      </c>
      <c r="F8256" s="43">
        <f>IF($E8256=0,0,YEAR($E8256))</f>
      </c>
      <c r="G8256" s="43">
        <f>IF(INDEX(DarlBindung,18)="",1,IF($E8256&lt;=INDEX(DarlBindung,18),1,0))</f>
      </c>
      <c r="H8256" s="43">
        <f>IF($G8256=1,INDEX(DarlSollzins,18),INDEX(DarlAnschluss,18))</f>
      </c>
      <c r="I8256" s="43">
        <f>IF(INDEX(DarlBelegt,18)=0,0,IF(INDEX(DarlOhneTilgung,18)=1,IF(INDEX(DarlBindung,18)="",1,$G8256),IF($J8256&gt;0.005,1,0)))</f>
      </c>
      <c r="J8256" s="43">
        <f>IF($I8255=0,0,$R8255)</f>
      </c>
      <c r="K8256" s="43">
        <f>IF($I8256=0,0,IF(INDEX(DarlOhneTilgung,18)=1,0,IF(AND(INDEX(DarlTilgStart,18)&gt;0,$E8256=INDEX(DarlTilgStart,18)),$J8256*($H8256+INDEX(DarlTilgung,18))/100/12,IF(AND($G8256=0,$G8255=1),MAX($K8255,$J8256*($H8256+1)/100/12),$K8255))))</f>
      </c>
      <c r="L8256" s="43">
        <f>IF($I8256=0,0,$J8256*$H8256/100/12)</f>
      </c>
      <c r="M8256" s="43">
        <f>IF($I8256=0,0,IF(OR(INDEX(DarlOhneTilgung,18)=1,AND(INDEX(DarlTilgStart,18)&gt;0,$E8256&lt;INDEX(DarlTilgStart,18))),0,MIN(MAX(0,$K8256-$L8256),$J8256)))</f>
      </c>
      <c r="N8256" s="43">
        <f>IF($I8256=0,0,MIN(SUMIFS(SondBetrag,SondDarl,18,SondDatum,"&gt;="&amp;$E8256,SondDatum,"&lt;="&amp;EOMONTH($E8256,0)),$J8256-$M8256))</f>
      </c>
      <c r="O8256" s="43">
        <f>IF($I8256=0,0,INDEX(DarlErsatzRate,18))</f>
      </c>
      <c r="P8256" s="43">
        <f>IF($I8256=0,0,$Q8255*INDEX(DarlErsatzZins,18))</f>
      </c>
      <c r="Q8256" s="43">
        <f>IF($I8256=0,0,$Q8255+$P8256+$O8256)</f>
      </c>
      <c r="R8256" s="43">
        <f>IF($I8256=0,0,$J8256-$M8256-$N8256)</f>
      </c>
    </row>
    <row r="8257">
      <c r="A8257"/>
      <c r="B8257">
        <v>18</v>
      </c>
      <c r="C8257" s="43">
        <f>INDEX(DarlObj,18)</f>
      </c>
      <c r="D8257">
        <v>94</v>
      </c>
      <c r="E8257" s="51">
        <f>IF(INDEX(DarlBelegt,18)=0,0,EOMONTH(INDEX(DarlAuszahlung,18),93)+1)</f>
      </c>
      <c r="F8257" s="43">
        <f>IF($E8257=0,0,YEAR($E8257))</f>
      </c>
      <c r="G8257" s="43">
        <f>IF(INDEX(DarlBindung,18)="",1,IF($E8257&lt;=INDEX(DarlBindung,18),1,0))</f>
      </c>
      <c r="H8257" s="43">
        <f>IF($G8257=1,INDEX(DarlSollzins,18),INDEX(DarlAnschluss,18))</f>
      </c>
      <c r="I8257" s="43">
        <f>IF(INDEX(DarlBelegt,18)=0,0,IF(INDEX(DarlOhneTilgung,18)=1,IF(INDEX(DarlBindung,18)="",1,$G8257),IF($J8257&gt;0.005,1,0)))</f>
      </c>
      <c r="J8257" s="43">
        <f>IF($I8256=0,0,$R8256)</f>
      </c>
      <c r="K8257" s="43">
        <f>IF($I8257=0,0,IF(INDEX(DarlOhneTilgung,18)=1,0,IF(AND(INDEX(DarlTilgStart,18)&gt;0,$E8257=INDEX(DarlTilgStart,18)),$J8257*($H8257+INDEX(DarlTilgung,18))/100/12,IF(AND($G8257=0,$G8256=1),MAX($K8256,$J8257*($H8257+1)/100/12),$K8256))))</f>
      </c>
      <c r="L8257" s="43">
        <f>IF($I8257=0,0,$J8257*$H8257/100/12)</f>
      </c>
      <c r="M8257" s="43">
        <f>IF($I8257=0,0,IF(OR(INDEX(DarlOhneTilgung,18)=1,AND(INDEX(DarlTilgStart,18)&gt;0,$E8257&lt;INDEX(DarlTilgStart,18))),0,MIN(MAX(0,$K8257-$L8257),$J8257)))</f>
      </c>
      <c r="N8257" s="43">
        <f>IF($I8257=0,0,MIN(SUMIFS(SondBetrag,SondDarl,18,SondDatum,"&gt;="&amp;$E8257,SondDatum,"&lt;="&amp;EOMONTH($E8257,0)),$J8257-$M8257))</f>
      </c>
      <c r="O8257" s="43">
        <f>IF($I8257=0,0,INDEX(DarlErsatzRate,18))</f>
      </c>
      <c r="P8257" s="43">
        <f>IF($I8257=0,0,$Q8256*INDEX(DarlErsatzZins,18))</f>
      </c>
      <c r="Q8257" s="43">
        <f>IF($I8257=0,0,$Q8256+$P8257+$O8257)</f>
      </c>
      <c r="R8257" s="43">
        <f>IF($I8257=0,0,$J8257-$M8257-$N8257)</f>
      </c>
    </row>
    <row r="8258">
      <c r="A8258"/>
      <c r="B8258">
        <v>18</v>
      </c>
      <c r="C8258" s="43">
        <f>INDEX(DarlObj,18)</f>
      </c>
      <c r="D8258">
        <v>95</v>
      </c>
      <c r="E8258" s="51">
        <f>IF(INDEX(DarlBelegt,18)=0,0,EOMONTH(INDEX(DarlAuszahlung,18),94)+1)</f>
      </c>
      <c r="F8258" s="43">
        <f>IF($E8258=0,0,YEAR($E8258))</f>
      </c>
      <c r="G8258" s="43">
        <f>IF(INDEX(DarlBindung,18)="",1,IF($E8258&lt;=INDEX(DarlBindung,18),1,0))</f>
      </c>
      <c r="H8258" s="43">
        <f>IF($G8258=1,INDEX(DarlSollzins,18),INDEX(DarlAnschluss,18))</f>
      </c>
      <c r="I8258" s="43">
        <f>IF(INDEX(DarlBelegt,18)=0,0,IF(INDEX(DarlOhneTilgung,18)=1,IF(INDEX(DarlBindung,18)="",1,$G8258),IF($J8258&gt;0.005,1,0)))</f>
      </c>
      <c r="J8258" s="43">
        <f>IF($I8257=0,0,$R8257)</f>
      </c>
      <c r="K8258" s="43">
        <f>IF($I8258=0,0,IF(INDEX(DarlOhneTilgung,18)=1,0,IF(AND(INDEX(DarlTilgStart,18)&gt;0,$E8258=INDEX(DarlTilgStart,18)),$J8258*($H8258+INDEX(DarlTilgung,18))/100/12,IF(AND($G8258=0,$G8257=1),MAX($K8257,$J8258*($H8258+1)/100/12),$K8257))))</f>
      </c>
      <c r="L8258" s="43">
        <f>IF($I8258=0,0,$J8258*$H8258/100/12)</f>
      </c>
      <c r="M8258" s="43">
        <f>IF($I8258=0,0,IF(OR(INDEX(DarlOhneTilgung,18)=1,AND(INDEX(DarlTilgStart,18)&gt;0,$E8258&lt;INDEX(DarlTilgStart,18))),0,MIN(MAX(0,$K8258-$L8258),$J8258)))</f>
      </c>
      <c r="N8258" s="43">
        <f>IF($I8258=0,0,MIN(SUMIFS(SondBetrag,SondDarl,18,SondDatum,"&gt;="&amp;$E8258,SondDatum,"&lt;="&amp;EOMONTH($E8258,0)),$J8258-$M8258))</f>
      </c>
      <c r="O8258" s="43">
        <f>IF($I8258=0,0,INDEX(DarlErsatzRate,18))</f>
      </c>
      <c r="P8258" s="43">
        <f>IF($I8258=0,0,$Q8257*INDEX(DarlErsatzZins,18))</f>
      </c>
      <c r="Q8258" s="43">
        <f>IF($I8258=0,0,$Q8257+$P8258+$O8258)</f>
      </c>
      <c r="R8258" s="43">
        <f>IF($I8258=0,0,$J8258-$M8258-$N8258)</f>
      </c>
    </row>
    <row r="8259">
      <c r="A8259"/>
      <c r="B8259">
        <v>18</v>
      </c>
      <c r="C8259" s="43">
        <f>INDEX(DarlObj,18)</f>
      </c>
      <c r="D8259">
        <v>96</v>
      </c>
      <c r="E8259" s="51">
        <f>IF(INDEX(DarlBelegt,18)=0,0,EOMONTH(INDEX(DarlAuszahlung,18),95)+1)</f>
      </c>
      <c r="F8259" s="43">
        <f>IF($E8259=0,0,YEAR($E8259))</f>
      </c>
      <c r="G8259" s="43">
        <f>IF(INDEX(DarlBindung,18)="",1,IF($E8259&lt;=INDEX(DarlBindung,18),1,0))</f>
      </c>
      <c r="H8259" s="43">
        <f>IF($G8259=1,INDEX(DarlSollzins,18),INDEX(DarlAnschluss,18))</f>
      </c>
      <c r="I8259" s="43">
        <f>IF(INDEX(DarlBelegt,18)=0,0,IF(INDEX(DarlOhneTilgung,18)=1,IF(INDEX(DarlBindung,18)="",1,$G8259),IF($J8259&gt;0.005,1,0)))</f>
      </c>
      <c r="J8259" s="43">
        <f>IF($I8258=0,0,$R8258)</f>
      </c>
      <c r="K8259" s="43">
        <f>IF($I8259=0,0,IF(INDEX(DarlOhneTilgung,18)=1,0,IF(AND(INDEX(DarlTilgStart,18)&gt;0,$E8259=INDEX(DarlTilgStart,18)),$J8259*($H8259+INDEX(DarlTilgung,18))/100/12,IF(AND($G8259=0,$G8258=1),MAX($K8258,$J8259*($H8259+1)/100/12),$K8258))))</f>
      </c>
      <c r="L8259" s="43">
        <f>IF($I8259=0,0,$J8259*$H8259/100/12)</f>
      </c>
      <c r="M8259" s="43">
        <f>IF($I8259=0,0,IF(OR(INDEX(DarlOhneTilgung,18)=1,AND(INDEX(DarlTilgStart,18)&gt;0,$E8259&lt;INDEX(DarlTilgStart,18))),0,MIN(MAX(0,$K8259-$L8259),$J8259)))</f>
      </c>
      <c r="N8259" s="43">
        <f>IF($I8259=0,0,MIN(SUMIFS(SondBetrag,SondDarl,18,SondDatum,"&gt;="&amp;$E8259,SondDatum,"&lt;="&amp;EOMONTH($E8259,0)),$J8259-$M8259))</f>
      </c>
      <c r="O8259" s="43">
        <f>IF($I8259=0,0,INDEX(DarlErsatzRate,18))</f>
      </c>
      <c r="P8259" s="43">
        <f>IF($I8259=0,0,$Q8258*INDEX(DarlErsatzZins,18))</f>
      </c>
      <c r="Q8259" s="43">
        <f>IF($I8259=0,0,$Q8258+$P8259+$O8259)</f>
      </c>
      <c r="R8259" s="43">
        <f>IF($I8259=0,0,$J8259-$M8259-$N8259)</f>
      </c>
    </row>
    <row r="8260">
      <c r="A8260"/>
      <c r="B8260">
        <v>18</v>
      </c>
      <c r="C8260" s="43">
        <f>INDEX(DarlObj,18)</f>
      </c>
      <c r="D8260">
        <v>97</v>
      </c>
      <c r="E8260" s="51">
        <f>IF(INDEX(DarlBelegt,18)=0,0,EOMONTH(INDEX(DarlAuszahlung,18),96)+1)</f>
      </c>
      <c r="F8260" s="43">
        <f>IF($E8260=0,0,YEAR($E8260))</f>
      </c>
      <c r="G8260" s="43">
        <f>IF(INDEX(DarlBindung,18)="",1,IF($E8260&lt;=INDEX(DarlBindung,18),1,0))</f>
      </c>
      <c r="H8260" s="43">
        <f>IF($G8260=1,INDEX(DarlSollzins,18),INDEX(DarlAnschluss,18))</f>
      </c>
      <c r="I8260" s="43">
        <f>IF(INDEX(DarlBelegt,18)=0,0,IF(INDEX(DarlOhneTilgung,18)=1,IF(INDEX(DarlBindung,18)="",1,$G8260),IF($J8260&gt;0.005,1,0)))</f>
      </c>
      <c r="J8260" s="43">
        <f>IF($I8259=0,0,$R8259)</f>
      </c>
      <c r="K8260" s="43">
        <f>IF($I8260=0,0,IF(INDEX(DarlOhneTilgung,18)=1,0,IF(AND(INDEX(DarlTilgStart,18)&gt;0,$E8260=INDEX(DarlTilgStart,18)),$J8260*($H8260+INDEX(DarlTilgung,18))/100/12,IF(AND($G8260=0,$G8259=1),MAX($K8259,$J8260*($H8260+1)/100/12),$K8259))))</f>
      </c>
      <c r="L8260" s="43">
        <f>IF($I8260=0,0,$J8260*$H8260/100/12)</f>
      </c>
      <c r="M8260" s="43">
        <f>IF($I8260=0,0,IF(OR(INDEX(DarlOhneTilgung,18)=1,AND(INDEX(DarlTilgStart,18)&gt;0,$E8260&lt;INDEX(DarlTilgStart,18))),0,MIN(MAX(0,$K8260-$L8260),$J8260)))</f>
      </c>
      <c r="N8260" s="43">
        <f>IF($I8260=0,0,MIN(SUMIFS(SondBetrag,SondDarl,18,SondDatum,"&gt;="&amp;$E8260,SondDatum,"&lt;="&amp;EOMONTH($E8260,0)),$J8260-$M8260))</f>
      </c>
      <c r="O8260" s="43">
        <f>IF($I8260=0,0,INDEX(DarlErsatzRate,18))</f>
      </c>
      <c r="P8260" s="43">
        <f>IF($I8260=0,0,$Q8259*INDEX(DarlErsatzZins,18))</f>
      </c>
      <c r="Q8260" s="43">
        <f>IF($I8260=0,0,$Q8259+$P8260+$O8260)</f>
      </c>
      <c r="R8260" s="43">
        <f>IF($I8260=0,0,$J8260-$M8260-$N8260)</f>
      </c>
    </row>
    <row r="8261">
      <c r="A8261"/>
      <c r="B8261">
        <v>18</v>
      </c>
      <c r="C8261" s="43">
        <f>INDEX(DarlObj,18)</f>
      </c>
      <c r="D8261">
        <v>98</v>
      </c>
      <c r="E8261" s="51">
        <f>IF(INDEX(DarlBelegt,18)=0,0,EOMONTH(INDEX(DarlAuszahlung,18),97)+1)</f>
      </c>
      <c r="F8261" s="43">
        <f>IF($E8261=0,0,YEAR($E8261))</f>
      </c>
      <c r="G8261" s="43">
        <f>IF(INDEX(DarlBindung,18)="",1,IF($E8261&lt;=INDEX(DarlBindung,18),1,0))</f>
      </c>
      <c r="H8261" s="43">
        <f>IF($G8261=1,INDEX(DarlSollzins,18),INDEX(DarlAnschluss,18))</f>
      </c>
      <c r="I8261" s="43">
        <f>IF(INDEX(DarlBelegt,18)=0,0,IF(INDEX(DarlOhneTilgung,18)=1,IF(INDEX(DarlBindung,18)="",1,$G8261),IF($J8261&gt;0.005,1,0)))</f>
      </c>
      <c r="J8261" s="43">
        <f>IF($I8260=0,0,$R8260)</f>
      </c>
      <c r="K8261" s="43">
        <f>IF($I8261=0,0,IF(INDEX(DarlOhneTilgung,18)=1,0,IF(AND(INDEX(DarlTilgStart,18)&gt;0,$E8261=INDEX(DarlTilgStart,18)),$J8261*($H8261+INDEX(DarlTilgung,18))/100/12,IF(AND($G8261=0,$G8260=1),MAX($K8260,$J8261*($H8261+1)/100/12),$K8260))))</f>
      </c>
      <c r="L8261" s="43">
        <f>IF($I8261=0,0,$J8261*$H8261/100/12)</f>
      </c>
      <c r="M8261" s="43">
        <f>IF($I8261=0,0,IF(OR(INDEX(DarlOhneTilgung,18)=1,AND(INDEX(DarlTilgStart,18)&gt;0,$E8261&lt;INDEX(DarlTilgStart,18))),0,MIN(MAX(0,$K8261-$L8261),$J8261)))</f>
      </c>
      <c r="N8261" s="43">
        <f>IF($I8261=0,0,MIN(SUMIFS(SondBetrag,SondDarl,18,SondDatum,"&gt;="&amp;$E8261,SondDatum,"&lt;="&amp;EOMONTH($E8261,0)),$J8261-$M8261))</f>
      </c>
      <c r="O8261" s="43">
        <f>IF($I8261=0,0,INDEX(DarlErsatzRate,18))</f>
      </c>
      <c r="P8261" s="43">
        <f>IF($I8261=0,0,$Q8260*INDEX(DarlErsatzZins,18))</f>
      </c>
      <c r="Q8261" s="43">
        <f>IF($I8261=0,0,$Q8260+$P8261+$O8261)</f>
      </c>
      <c r="R8261" s="43">
        <f>IF($I8261=0,0,$J8261-$M8261-$N8261)</f>
      </c>
    </row>
    <row r="8262">
      <c r="A8262"/>
      <c r="B8262">
        <v>18</v>
      </c>
      <c r="C8262" s="43">
        <f>INDEX(DarlObj,18)</f>
      </c>
      <c r="D8262">
        <v>99</v>
      </c>
      <c r="E8262" s="51">
        <f>IF(INDEX(DarlBelegt,18)=0,0,EOMONTH(INDEX(DarlAuszahlung,18),98)+1)</f>
      </c>
      <c r="F8262" s="43">
        <f>IF($E8262=0,0,YEAR($E8262))</f>
      </c>
      <c r="G8262" s="43">
        <f>IF(INDEX(DarlBindung,18)="",1,IF($E8262&lt;=INDEX(DarlBindung,18),1,0))</f>
      </c>
      <c r="H8262" s="43">
        <f>IF($G8262=1,INDEX(DarlSollzins,18),INDEX(DarlAnschluss,18))</f>
      </c>
      <c r="I8262" s="43">
        <f>IF(INDEX(DarlBelegt,18)=0,0,IF(INDEX(DarlOhneTilgung,18)=1,IF(INDEX(DarlBindung,18)="",1,$G8262),IF($J8262&gt;0.005,1,0)))</f>
      </c>
      <c r="J8262" s="43">
        <f>IF($I8261=0,0,$R8261)</f>
      </c>
      <c r="K8262" s="43">
        <f>IF($I8262=0,0,IF(INDEX(DarlOhneTilgung,18)=1,0,IF(AND(INDEX(DarlTilgStart,18)&gt;0,$E8262=INDEX(DarlTilgStart,18)),$J8262*($H8262+INDEX(DarlTilgung,18))/100/12,IF(AND($G8262=0,$G8261=1),MAX($K8261,$J8262*($H8262+1)/100/12),$K8261))))</f>
      </c>
      <c r="L8262" s="43">
        <f>IF($I8262=0,0,$J8262*$H8262/100/12)</f>
      </c>
      <c r="M8262" s="43">
        <f>IF($I8262=0,0,IF(OR(INDEX(DarlOhneTilgung,18)=1,AND(INDEX(DarlTilgStart,18)&gt;0,$E8262&lt;INDEX(DarlTilgStart,18))),0,MIN(MAX(0,$K8262-$L8262),$J8262)))</f>
      </c>
      <c r="N8262" s="43">
        <f>IF($I8262=0,0,MIN(SUMIFS(SondBetrag,SondDarl,18,SondDatum,"&gt;="&amp;$E8262,SondDatum,"&lt;="&amp;EOMONTH($E8262,0)),$J8262-$M8262))</f>
      </c>
      <c r="O8262" s="43">
        <f>IF($I8262=0,0,INDEX(DarlErsatzRate,18))</f>
      </c>
      <c r="P8262" s="43">
        <f>IF($I8262=0,0,$Q8261*INDEX(DarlErsatzZins,18))</f>
      </c>
      <c r="Q8262" s="43">
        <f>IF($I8262=0,0,$Q8261+$P8262+$O8262)</f>
      </c>
      <c r="R8262" s="43">
        <f>IF($I8262=0,0,$J8262-$M8262-$N8262)</f>
      </c>
    </row>
    <row r="8263">
      <c r="A8263"/>
      <c r="B8263">
        <v>18</v>
      </c>
      <c r="C8263" s="43">
        <f>INDEX(DarlObj,18)</f>
      </c>
      <c r="D8263">
        <v>100</v>
      </c>
      <c r="E8263" s="51">
        <f>IF(INDEX(DarlBelegt,18)=0,0,EOMONTH(INDEX(DarlAuszahlung,18),99)+1)</f>
      </c>
      <c r="F8263" s="43">
        <f>IF($E8263=0,0,YEAR($E8263))</f>
      </c>
      <c r="G8263" s="43">
        <f>IF(INDEX(DarlBindung,18)="",1,IF($E8263&lt;=INDEX(DarlBindung,18),1,0))</f>
      </c>
      <c r="H8263" s="43">
        <f>IF($G8263=1,INDEX(DarlSollzins,18),INDEX(DarlAnschluss,18))</f>
      </c>
      <c r="I8263" s="43">
        <f>IF(INDEX(DarlBelegt,18)=0,0,IF(INDEX(DarlOhneTilgung,18)=1,IF(INDEX(DarlBindung,18)="",1,$G8263),IF($J8263&gt;0.005,1,0)))</f>
      </c>
      <c r="J8263" s="43">
        <f>IF($I8262=0,0,$R8262)</f>
      </c>
      <c r="K8263" s="43">
        <f>IF($I8263=0,0,IF(INDEX(DarlOhneTilgung,18)=1,0,IF(AND(INDEX(DarlTilgStart,18)&gt;0,$E8263=INDEX(DarlTilgStart,18)),$J8263*($H8263+INDEX(DarlTilgung,18))/100/12,IF(AND($G8263=0,$G8262=1),MAX($K8262,$J8263*($H8263+1)/100/12),$K8262))))</f>
      </c>
      <c r="L8263" s="43">
        <f>IF($I8263=0,0,$J8263*$H8263/100/12)</f>
      </c>
      <c r="M8263" s="43">
        <f>IF($I8263=0,0,IF(OR(INDEX(DarlOhneTilgung,18)=1,AND(INDEX(DarlTilgStart,18)&gt;0,$E8263&lt;INDEX(DarlTilgStart,18))),0,MIN(MAX(0,$K8263-$L8263),$J8263)))</f>
      </c>
      <c r="N8263" s="43">
        <f>IF($I8263=0,0,MIN(SUMIFS(SondBetrag,SondDarl,18,SondDatum,"&gt;="&amp;$E8263,SondDatum,"&lt;="&amp;EOMONTH($E8263,0)),$J8263-$M8263))</f>
      </c>
      <c r="O8263" s="43">
        <f>IF($I8263=0,0,INDEX(DarlErsatzRate,18))</f>
      </c>
      <c r="P8263" s="43">
        <f>IF($I8263=0,0,$Q8262*INDEX(DarlErsatzZins,18))</f>
      </c>
      <c r="Q8263" s="43">
        <f>IF($I8263=0,0,$Q8262+$P8263+$O8263)</f>
      </c>
      <c r="R8263" s="43">
        <f>IF($I8263=0,0,$J8263-$M8263-$N8263)</f>
      </c>
    </row>
    <row r="8264">
      <c r="A8264"/>
      <c r="B8264">
        <v>18</v>
      </c>
      <c r="C8264" s="43">
        <f>INDEX(DarlObj,18)</f>
      </c>
      <c r="D8264">
        <v>101</v>
      </c>
      <c r="E8264" s="51">
        <f>IF(INDEX(DarlBelegt,18)=0,0,EOMONTH(INDEX(DarlAuszahlung,18),100)+1)</f>
      </c>
      <c r="F8264" s="43">
        <f>IF($E8264=0,0,YEAR($E8264))</f>
      </c>
      <c r="G8264" s="43">
        <f>IF(INDEX(DarlBindung,18)="",1,IF($E8264&lt;=INDEX(DarlBindung,18),1,0))</f>
      </c>
      <c r="H8264" s="43">
        <f>IF($G8264=1,INDEX(DarlSollzins,18),INDEX(DarlAnschluss,18))</f>
      </c>
      <c r="I8264" s="43">
        <f>IF(INDEX(DarlBelegt,18)=0,0,IF(INDEX(DarlOhneTilgung,18)=1,IF(INDEX(DarlBindung,18)="",1,$G8264),IF($J8264&gt;0.005,1,0)))</f>
      </c>
      <c r="J8264" s="43">
        <f>IF($I8263=0,0,$R8263)</f>
      </c>
      <c r="K8264" s="43">
        <f>IF($I8264=0,0,IF(INDEX(DarlOhneTilgung,18)=1,0,IF(AND(INDEX(DarlTilgStart,18)&gt;0,$E8264=INDEX(DarlTilgStart,18)),$J8264*($H8264+INDEX(DarlTilgung,18))/100/12,IF(AND($G8264=0,$G8263=1),MAX($K8263,$J8264*($H8264+1)/100/12),$K8263))))</f>
      </c>
      <c r="L8264" s="43">
        <f>IF($I8264=0,0,$J8264*$H8264/100/12)</f>
      </c>
      <c r="M8264" s="43">
        <f>IF($I8264=0,0,IF(OR(INDEX(DarlOhneTilgung,18)=1,AND(INDEX(DarlTilgStart,18)&gt;0,$E8264&lt;INDEX(DarlTilgStart,18))),0,MIN(MAX(0,$K8264-$L8264),$J8264)))</f>
      </c>
      <c r="N8264" s="43">
        <f>IF($I8264=0,0,MIN(SUMIFS(SondBetrag,SondDarl,18,SondDatum,"&gt;="&amp;$E8264,SondDatum,"&lt;="&amp;EOMONTH($E8264,0)),$J8264-$M8264))</f>
      </c>
      <c r="O8264" s="43">
        <f>IF($I8264=0,0,INDEX(DarlErsatzRate,18))</f>
      </c>
      <c r="P8264" s="43">
        <f>IF($I8264=0,0,$Q8263*INDEX(DarlErsatzZins,18))</f>
      </c>
      <c r="Q8264" s="43">
        <f>IF($I8264=0,0,$Q8263+$P8264+$O8264)</f>
      </c>
      <c r="R8264" s="43">
        <f>IF($I8264=0,0,$J8264-$M8264-$N8264)</f>
      </c>
    </row>
    <row r="8265">
      <c r="A8265"/>
      <c r="B8265">
        <v>18</v>
      </c>
      <c r="C8265" s="43">
        <f>INDEX(DarlObj,18)</f>
      </c>
      <c r="D8265">
        <v>102</v>
      </c>
      <c r="E8265" s="51">
        <f>IF(INDEX(DarlBelegt,18)=0,0,EOMONTH(INDEX(DarlAuszahlung,18),101)+1)</f>
      </c>
      <c r="F8265" s="43">
        <f>IF($E8265=0,0,YEAR($E8265))</f>
      </c>
      <c r="G8265" s="43">
        <f>IF(INDEX(DarlBindung,18)="",1,IF($E8265&lt;=INDEX(DarlBindung,18),1,0))</f>
      </c>
      <c r="H8265" s="43">
        <f>IF($G8265=1,INDEX(DarlSollzins,18),INDEX(DarlAnschluss,18))</f>
      </c>
      <c r="I8265" s="43">
        <f>IF(INDEX(DarlBelegt,18)=0,0,IF(INDEX(DarlOhneTilgung,18)=1,IF(INDEX(DarlBindung,18)="",1,$G8265),IF($J8265&gt;0.005,1,0)))</f>
      </c>
      <c r="J8265" s="43">
        <f>IF($I8264=0,0,$R8264)</f>
      </c>
      <c r="K8265" s="43">
        <f>IF($I8265=0,0,IF(INDEX(DarlOhneTilgung,18)=1,0,IF(AND(INDEX(DarlTilgStart,18)&gt;0,$E8265=INDEX(DarlTilgStart,18)),$J8265*($H8265+INDEX(DarlTilgung,18))/100/12,IF(AND($G8265=0,$G8264=1),MAX($K8264,$J8265*($H8265+1)/100/12),$K8264))))</f>
      </c>
      <c r="L8265" s="43">
        <f>IF($I8265=0,0,$J8265*$H8265/100/12)</f>
      </c>
      <c r="M8265" s="43">
        <f>IF($I8265=0,0,IF(OR(INDEX(DarlOhneTilgung,18)=1,AND(INDEX(DarlTilgStart,18)&gt;0,$E8265&lt;INDEX(DarlTilgStart,18))),0,MIN(MAX(0,$K8265-$L8265),$J8265)))</f>
      </c>
      <c r="N8265" s="43">
        <f>IF($I8265=0,0,MIN(SUMIFS(SondBetrag,SondDarl,18,SondDatum,"&gt;="&amp;$E8265,SondDatum,"&lt;="&amp;EOMONTH($E8265,0)),$J8265-$M8265))</f>
      </c>
      <c r="O8265" s="43">
        <f>IF($I8265=0,0,INDEX(DarlErsatzRate,18))</f>
      </c>
      <c r="P8265" s="43">
        <f>IF($I8265=0,0,$Q8264*INDEX(DarlErsatzZins,18))</f>
      </c>
      <c r="Q8265" s="43">
        <f>IF($I8265=0,0,$Q8264+$P8265+$O8265)</f>
      </c>
      <c r="R8265" s="43">
        <f>IF($I8265=0,0,$J8265-$M8265-$N8265)</f>
      </c>
    </row>
    <row r="8266">
      <c r="A8266"/>
      <c r="B8266">
        <v>18</v>
      </c>
      <c r="C8266" s="43">
        <f>INDEX(DarlObj,18)</f>
      </c>
      <c r="D8266">
        <v>103</v>
      </c>
      <c r="E8266" s="51">
        <f>IF(INDEX(DarlBelegt,18)=0,0,EOMONTH(INDEX(DarlAuszahlung,18),102)+1)</f>
      </c>
      <c r="F8266" s="43">
        <f>IF($E8266=0,0,YEAR($E8266))</f>
      </c>
      <c r="G8266" s="43">
        <f>IF(INDEX(DarlBindung,18)="",1,IF($E8266&lt;=INDEX(DarlBindung,18),1,0))</f>
      </c>
      <c r="H8266" s="43">
        <f>IF($G8266=1,INDEX(DarlSollzins,18),INDEX(DarlAnschluss,18))</f>
      </c>
      <c r="I8266" s="43">
        <f>IF(INDEX(DarlBelegt,18)=0,0,IF(INDEX(DarlOhneTilgung,18)=1,IF(INDEX(DarlBindung,18)="",1,$G8266),IF($J8266&gt;0.005,1,0)))</f>
      </c>
      <c r="J8266" s="43">
        <f>IF($I8265=0,0,$R8265)</f>
      </c>
      <c r="K8266" s="43">
        <f>IF($I8266=0,0,IF(INDEX(DarlOhneTilgung,18)=1,0,IF(AND(INDEX(DarlTilgStart,18)&gt;0,$E8266=INDEX(DarlTilgStart,18)),$J8266*($H8266+INDEX(DarlTilgung,18))/100/12,IF(AND($G8266=0,$G8265=1),MAX($K8265,$J8266*($H8266+1)/100/12),$K8265))))</f>
      </c>
      <c r="L8266" s="43">
        <f>IF($I8266=0,0,$J8266*$H8266/100/12)</f>
      </c>
      <c r="M8266" s="43">
        <f>IF($I8266=0,0,IF(OR(INDEX(DarlOhneTilgung,18)=1,AND(INDEX(DarlTilgStart,18)&gt;0,$E8266&lt;INDEX(DarlTilgStart,18))),0,MIN(MAX(0,$K8266-$L8266),$J8266)))</f>
      </c>
      <c r="N8266" s="43">
        <f>IF($I8266=0,0,MIN(SUMIFS(SondBetrag,SondDarl,18,SondDatum,"&gt;="&amp;$E8266,SondDatum,"&lt;="&amp;EOMONTH($E8266,0)),$J8266-$M8266))</f>
      </c>
      <c r="O8266" s="43">
        <f>IF($I8266=0,0,INDEX(DarlErsatzRate,18))</f>
      </c>
      <c r="P8266" s="43">
        <f>IF($I8266=0,0,$Q8265*INDEX(DarlErsatzZins,18))</f>
      </c>
      <c r="Q8266" s="43">
        <f>IF($I8266=0,0,$Q8265+$P8266+$O8266)</f>
      </c>
      <c r="R8266" s="43">
        <f>IF($I8266=0,0,$J8266-$M8266-$N8266)</f>
      </c>
    </row>
    <row r="8267">
      <c r="A8267"/>
      <c r="B8267">
        <v>18</v>
      </c>
      <c r="C8267" s="43">
        <f>INDEX(DarlObj,18)</f>
      </c>
      <c r="D8267">
        <v>104</v>
      </c>
      <c r="E8267" s="51">
        <f>IF(INDEX(DarlBelegt,18)=0,0,EOMONTH(INDEX(DarlAuszahlung,18),103)+1)</f>
      </c>
      <c r="F8267" s="43">
        <f>IF($E8267=0,0,YEAR($E8267))</f>
      </c>
      <c r="G8267" s="43">
        <f>IF(INDEX(DarlBindung,18)="",1,IF($E8267&lt;=INDEX(DarlBindung,18),1,0))</f>
      </c>
      <c r="H8267" s="43">
        <f>IF($G8267=1,INDEX(DarlSollzins,18),INDEX(DarlAnschluss,18))</f>
      </c>
      <c r="I8267" s="43">
        <f>IF(INDEX(DarlBelegt,18)=0,0,IF(INDEX(DarlOhneTilgung,18)=1,IF(INDEX(DarlBindung,18)="",1,$G8267),IF($J8267&gt;0.005,1,0)))</f>
      </c>
      <c r="J8267" s="43">
        <f>IF($I8266=0,0,$R8266)</f>
      </c>
      <c r="K8267" s="43">
        <f>IF($I8267=0,0,IF(INDEX(DarlOhneTilgung,18)=1,0,IF(AND(INDEX(DarlTilgStart,18)&gt;0,$E8267=INDEX(DarlTilgStart,18)),$J8267*($H8267+INDEX(DarlTilgung,18))/100/12,IF(AND($G8267=0,$G8266=1),MAX($K8266,$J8267*($H8267+1)/100/12),$K8266))))</f>
      </c>
      <c r="L8267" s="43">
        <f>IF($I8267=0,0,$J8267*$H8267/100/12)</f>
      </c>
      <c r="M8267" s="43">
        <f>IF($I8267=0,0,IF(OR(INDEX(DarlOhneTilgung,18)=1,AND(INDEX(DarlTilgStart,18)&gt;0,$E8267&lt;INDEX(DarlTilgStart,18))),0,MIN(MAX(0,$K8267-$L8267),$J8267)))</f>
      </c>
      <c r="N8267" s="43">
        <f>IF($I8267=0,0,MIN(SUMIFS(SondBetrag,SondDarl,18,SondDatum,"&gt;="&amp;$E8267,SondDatum,"&lt;="&amp;EOMONTH($E8267,0)),$J8267-$M8267))</f>
      </c>
      <c r="O8267" s="43">
        <f>IF($I8267=0,0,INDEX(DarlErsatzRate,18))</f>
      </c>
      <c r="P8267" s="43">
        <f>IF($I8267=0,0,$Q8266*INDEX(DarlErsatzZins,18))</f>
      </c>
      <c r="Q8267" s="43">
        <f>IF($I8267=0,0,$Q8266+$P8267+$O8267)</f>
      </c>
      <c r="R8267" s="43">
        <f>IF($I8267=0,0,$J8267-$M8267-$N8267)</f>
      </c>
    </row>
    <row r="8268">
      <c r="A8268"/>
      <c r="B8268">
        <v>18</v>
      </c>
      <c r="C8268" s="43">
        <f>INDEX(DarlObj,18)</f>
      </c>
      <c r="D8268">
        <v>105</v>
      </c>
      <c r="E8268" s="51">
        <f>IF(INDEX(DarlBelegt,18)=0,0,EOMONTH(INDEX(DarlAuszahlung,18),104)+1)</f>
      </c>
      <c r="F8268" s="43">
        <f>IF($E8268=0,0,YEAR($E8268))</f>
      </c>
      <c r="G8268" s="43">
        <f>IF(INDEX(DarlBindung,18)="",1,IF($E8268&lt;=INDEX(DarlBindung,18),1,0))</f>
      </c>
      <c r="H8268" s="43">
        <f>IF($G8268=1,INDEX(DarlSollzins,18),INDEX(DarlAnschluss,18))</f>
      </c>
      <c r="I8268" s="43">
        <f>IF(INDEX(DarlBelegt,18)=0,0,IF(INDEX(DarlOhneTilgung,18)=1,IF(INDEX(DarlBindung,18)="",1,$G8268),IF($J8268&gt;0.005,1,0)))</f>
      </c>
      <c r="J8268" s="43">
        <f>IF($I8267=0,0,$R8267)</f>
      </c>
      <c r="K8268" s="43">
        <f>IF($I8268=0,0,IF(INDEX(DarlOhneTilgung,18)=1,0,IF(AND(INDEX(DarlTilgStart,18)&gt;0,$E8268=INDEX(DarlTilgStart,18)),$J8268*($H8268+INDEX(DarlTilgung,18))/100/12,IF(AND($G8268=0,$G8267=1),MAX($K8267,$J8268*($H8268+1)/100/12),$K8267))))</f>
      </c>
      <c r="L8268" s="43">
        <f>IF($I8268=0,0,$J8268*$H8268/100/12)</f>
      </c>
      <c r="M8268" s="43">
        <f>IF($I8268=0,0,IF(OR(INDEX(DarlOhneTilgung,18)=1,AND(INDEX(DarlTilgStart,18)&gt;0,$E8268&lt;INDEX(DarlTilgStart,18))),0,MIN(MAX(0,$K8268-$L8268),$J8268)))</f>
      </c>
      <c r="N8268" s="43">
        <f>IF($I8268=0,0,MIN(SUMIFS(SondBetrag,SondDarl,18,SondDatum,"&gt;="&amp;$E8268,SondDatum,"&lt;="&amp;EOMONTH($E8268,0)),$J8268-$M8268))</f>
      </c>
      <c r="O8268" s="43">
        <f>IF($I8268=0,0,INDEX(DarlErsatzRate,18))</f>
      </c>
      <c r="P8268" s="43">
        <f>IF($I8268=0,0,$Q8267*INDEX(DarlErsatzZins,18))</f>
      </c>
      <c r="Q8268" s="43">
        <f>IF($I8268=0,0,$Q8267+$P8268+$O8268)</f>
      </c>
      <c r="R8268" s="43">
        <f>IF($I8268=0,0,$J8268-$M8268-$N8268)</f>
      </c>
    </row>
    <row r="8269">
      <c r="A8269"/>
      <c r="B8269">
        <v>18</v>
      </c>
      <c r="C8269" s="43">
        <f>INDEX(DarlObj,18)</f>
      </c>
      <c r="D8269">
        <v>106</v>
      </c>
      <c r="E8269" s="51">
        <f>IF(INDEX(DarlBelegt,18)=0,0,EOMONTH(INDEX(DarlAuszahlung,18),105)+1)</f>
      </c>
      <c r="F8269" s="43">
        <f>IF($E8269=0,0,YEAR($E8269))</f>
      </c>
      <c r="G8269" s="43">
        <f>IF(INDEX(DarlBindung,18)="",1,IF($E8269&lt;=INDEX(DarlBindung,18),1,0))</f>
      </c>
      <c r="H8269" s="43">
        <f>IF($G8269=1,INDEX(DarlSollzins,18),INDEX(DarlAnschluss,18))</f>
      </c>
      <c r="I8269" s="43">
        <f>IF(INDEX(DarlBelegt,18)=0,0,IF(INDEX(DarlOhneTilgung,18)=1,IF(INDEX(DarlBindung,18)="",1,$G8269),IF($J8269&gt;0.005,1,0)))</f>
      </c>
      <c r="J8269" s="43">
        <f>IF($I8268=0,0,$R8268)</f>
      </c>
      <c r="K8269" s="43">
        <f>IF($I8269=0,0,IF(INDEX(DarlOhneTilgung,18)=1,0,IF(AND(INDEX(DarlTilgStart,18)&gt;0,$E8269=INDEX(DarlTilgStart,18)),$J8269*($H8269+INDEX(DarlTilgung,18))/100/12,IF(AND($G8269=0,$G8268=1),MAX($K8268,$J8269*($H8269+1)/100/12),$K8268))))</f>
      </c>
      <c r="L8269" s="43">
        <f>IF($I8269=0,0,$J8269*$H8269/100/12)</f>
      </c>
      <c r="M8269" s="43">
        <f>IF($I8269=0,0,IF(OR(INDEX(DarlOhneTilgung,18)=1,AND(INDEX(DarlTilgStart,18)&gt;0,$E8269&lt;INDEX(DarlTilgStart,18))),0,MIN(MAX(0,$K8269-$L8269),$J8269)))</f>
      </c>
      <c r="N8269" s="43">
        <f>IF($I8269=0,0,MIN(SUMIFS(SondBetrag,SondDarl,18,SondDatum,"&gt;="&amp;$E8269,SondDatum,"&lt;="&amp;EOMONTH($E8269,0)),$J8269-$M8269))</f>
      </c>
      <c r="O8269" s="43">
        <f>IF($I8269=0,0,INDEX(DarlErsatzRate,18))</f>
      </c>
      <c r="P8269" s="43">
        <f>IF($I8269=0,0,$Q8268*INDEX(DarlErsatzZins,18))</f>
      </c>
      <c r="Q8269" s="43">
        <f>IF($I8269=0,0,$Q8268+$P8269+$O8269)</f>
      </c>
      <c r="R8269" s="43">
        <f>IF($I8269=0,0,$J8269-$M8269-$N8269)</f>
      </c>
    </row>
    <row r="8270">
      <c r="A8270"/>
      <c r="B8270">
        <v>18</v>
      </c>
      <c r="C8270" s="43">
        <f>INDEX(DarlObj,18)</f>
      </c>
      <c r="D8270">
        <v>107</v>
      </c>
      <c r="E8270" s="51">
        <f>IF(INDEX(DarlBelegt,18)=0,0,EOMONTH(INDEX(DarlAuszahlung,18),106)+1)</f>
      </c>
      <c r="F8270" s="43">
        <f>IF($E8270=0,0,YEAR($E8270))</f>
      </c>
      <c r="G8270" s="43">
        <f>IF(INDEX(DarlBindung,18)="",1,IF($E8270&lt;=INDEX(DarlBindung,18),1,0))</f>
      </c>
      <c r="H8270" s="43">
        <f>IF($G8270=1,INDEX(DarlSollzins,18),INDEX(DarlAnschluss,18))</f>
      </c>
      <c r="I8270" s="43">
        <f>IF(INDEX(DarlBelegt,18)=0,0,IF(INDEX(DarlOhneTilgung,18)=1,IF(INDEX(DarlBindung,18)="",1,$G8270),IF($J8270&gt;0.005,1,0)))</f>
      </c>
      <c r="J8270" s="43">
        <f>IF($I8269=0,0,$R8269)</f>
      </c>
      <c r="K8270" s="43">
        <f>IF($I8270=0,0,IF(INDEX(DarlOhneTilgung,18)=1,0,IF(AND(INDEX(DarlTilgStart,18)&gt;0,$E8270=INDEX(DarlTilgStart,18)),$J8270*($H8270+INDEX(DarlTilgung,18))/100/12,IF(AND($G8270=0,$G8269=1),MAX($K8269,$J8270*($H8270+1)/100/12),$K8269))))</f>
      </c>
      <c r="L8270" s="43">
        <f>IF($I8270=0,0,$J8270*$H8270/100/12)</f>
      </c>
      <c r="M8270" s="43">
        <f>IF($I8270=0,0,IF(OR(INDEX(DarlOhneTilgung,18)=1,AND(INDEX(DarlTilgStart,18)&gt;0,$E8270&lt;INDEX(DarlTilgStart,18))),0,MIN(MAX(0,$K8270-$L8270),$J8270)))</f>
      </c>
      <c r="N8270" s="43">
        <f>IF($I8270=0,0,MIN(SUMIFS(SondBetrag,SondDarl,18,SondDatum,"&gt;="&amp;$E8270,SondDatum,"&lt;="&amp;EOMONTH($E8270,0)),$J8270-$M8270))</f>
      </c>
      <c r="O8270" s="43">
        <f>IF($I8270=0,0,INDEX(DarlErsatzRate,18))</f>
      </c>
      <c r="P8270" s="43">
        <f>IF($I8270=0,0,$Q8269*INDEX(DarlErsatzZins,18))</f>
      </c>
      <c r="Q8270" s="43">
        <f>IF($I8270=0,0,$Q8269+$P8270+$O8270)</f>
      </c>
      <c r="R8270" s="43">
        <f>IF($I8270=0,0,$J8270-$M8270-$N8270)</f>
      </c>
    </row>
    <row r="8271">
      <c r="A8271"/>
      <c r="B8271">
        <v>18</v>
      </c>
      <c r="C8271" s="43">
        <f>INDEX(DarlObj,18)</f>
      </c>
      <c r="D8271">
        <v>108</v>
      </c>
      <c r="E8271" s="51">
        <f>IF(INDEX(DarlBelegt,18)=0,0,EOMONTH(INDEX(DarlAuszahlung,18),107)+1)</f>
      </c>
      <c r="F8271" s="43">
        <f>IF($E8271=0,0,YEAR($E8271))</f>
      </c>
      <c r="G8271" s="43">
        <f>IF(INDEX(DarlBindung,18)="",1,IF($E8271&lt;=INDEX(DarlBindung,18),1,0))</f>
      </c>
      <c r="H8271" s="43">
        <f>IF($G8271=1,INDEX(DarlSollzins,18),INDEX(DarlAnschluss,18))</f>
      </c>
      <c r="I8271" s="43">
        <f>IF(INDEX(DarlBelegt,18)=0,0,IF(INDEX(DarlOhneTilgung,18)=1,IF(INDEX(DarlBindung,18)="",1,$G8271),IF($J8271&gt;0.005,1,0)))</f>
      </c>
      <c r="J8271" s="43">
        <f>IF($I8270=0,0,$R8270)</f>
      </c>
      <c r="K8271" s="43">
        <f>IF($I8271=0,0,IF(INDEX(DarlOhneTilgung,18)=1,0,IF(AND(INDEX(DarlTilgStart,18)&gt;0,$E8271=INDEX(DarlTilgStart,18)),$J8271*($H8271+INDEX(DarlTilgung,18))/100/12,IF(AND($G8271=0,$G8270=1),MAX($K8270,$J8271*($H8271+1)/100/12),$K8270))))</f>
      </c>
      <c r="L8271" s="43">
        <f>IF($I8271=0,0,$J8271*$H8271/100/12)</f>
      </c>
      <c r="M8271" s="43">
        <f>IF($I8271=0,0,IF(OR(INDEX(DarlOhneTilgung,18)=1,AND(INDEX(DarlTilgStart,18)&gt;0,$E8271&lt;INDEX(DarlTilgStart,18))),0,MIN(MAX(0,$K8271-$L8271),$J8271)))</f>
      </c>
      <c r="N8271" s="43">
        <f>IF($I8271=0,0,MIN(SUMIFS(SondBetrag,SondDarl,18,SondDatum,"&gt;="&amp;$E8271,SondDatum,"&lt;="&amp;EOMONTH($E8271,0)),$J8271-$M8271))</f>
      </c>
      <c r="O8271" s="43">
        <f>IF($I8271=0,0,INDEX(DarlErsatzRate,18))</f>
      </c>
      <c r="P8271" s="43">
        <f>IF($I8271=0,0,$Q8270*INDEX(DarlErsatzZins,18))</f>
      </c>
      <c r="Q8271" s="43">
        <f>IF($I8271=0,0,$Q8270+$P8271+$O8271)</f>
      </c>
      <c r="R8271" s="43">
        <f>IF($I8271=0,0,$J8271-$M8271-$N8271)</f>
      </c>
    </row>
    <row r="8272">
      <c r="A8272"/>
      <c r="B8272">
        <v>18</v>
      </c>
      <c r="C8272" s="43">
        <f>INDEX(DarlObj,18)</f>
      </c>
      <c r="D8272">
        <v>109</v>
      </c>
      <c r="E8272" s="51">
        <f>IF(INDEX(DarlBelegt,18)=0,0,EOMONTH(INDEX(DarlAuszahlung,18),108)+1)</f>
      </c>
      <c r="F8272" s="43">
        <f>IF($E8272=0,0,YEAR($E8272))</f>
      </c>
      <c r="G8272" s="43">
        <f>IF(INDEX(DarlBindung,18)="",1,IF($E8272&lt;=INDEX(DarlBindung,18),1,0))</f>
      </c>
      <c r="H8272" s="43">
        <f>IF($G8272=1,INDEX(DarlSollzins,18),INDEX(DarlAnschluss,18))</f>
      </c>
      <c r="I8272" s="43">
        <f>IF(INDEX(DarlBelegt,18)=0,0,IF(INDEX(DarlOhneTilgung,18)=1,IF(INDEX(DarlBindung,18)="",1,$G8272),IF($J8272&gt;0.005,1,0)))</f>
      </c>
      <c r="J8272" s="43">
        <f>IF($I8271=0,0,$R8271)</f>
      </c>
      <c r="K8272" s="43">
        <f>IF($I8272=0,0,IF(INDEX(DarlOhneTilgung,18)=1,0,IF(AND(INDEX(DarlTilgStart,18)&gt;0,$E8272=INDEX(DarlTilgStart,18)),$J8272*($H8272+INDEX(DarlTilgung,18))/100/12,IF(AND($G8272=0,$G8271=1),MAX($K8271,$J8272*($H8272+1)/100/12),$K8271))))</f>
      </c>
      <c r="L8272" s="43">
        <f>IF($I8272=0,0,$J8272*$H8272/100/12)</f>
      </c>
      <c r="M8272" s="43">
        <f>IF($I8272=0,0,IF(OR(INDEX(DarlOhneTilgung,18)=1,AND(INDEX(DarlTilgStart,18)&gt;0,$E8272&lt;INDEX(DarlTilgStart,18))),0,MIN(MAX(0,$K8272-$L8272),$J8272)))</f>
      </c>
      <c r="N8272" s="43">
        <f>IF($I8272=0,0,MIN(SUMIFS(SondBetrag,SondDarl,18,SondDatum,"&gt;="&amp;$E8272,SondDatum,"&lt;="&amp;EOMONTH($E8272,0)),$J8272-$M8272))</f>
      </c>
      <c r="O8272" s="43">
        <f>IF($I8272=0,0,INDEX(DarlErsatzRate,18))</f>
      </c>
      <c r="P8272" s="43">
        <f>IF($I8272=0,0,$Q8271*INDEX(DarlErsatzZins,18))</f>
      </c>
      <c r="Q8272" s="43">
        <f>IF($I8272=0,0,$Q8271+$P8272+$O8272)</f>
      </c>
      <c r="R8272" s="43">
        <f>IF($I8272=0,0,$J8272-$M8272-$N8272)</f>
      </c>
    </row>
    <row r="8273">
      <c r="A8273"/>
      <c r="B8273">
        <v>18</v>
      </c>
      <c r="C8273" s="43">
        <f>INDEX(DarlObj,18)</f>
      </c>
      <c r="D8273">
        <v>110</v>
      </c>
      <c r="E8273" s="51">
        <f>IF(INDEX(DarlBelegt,18)=0,0,EOMONTH(INDEX(DarlAuszahlung,18),109)+1)</f>
      </c>
      <c r="F8273" s="43">
        <f>IF($E8273=0,0,YEAR($E8273))</f>
      </c>
      <c r="G8273" s="43">
        <f>IF(INDEX(DarlBindung,18)="",1,IF($E8273&lt;=INDEX(DarlBindung,18),1,0))</f>
      </c>
      <c r="H8273" s="43">
        <f>IF($G8273=1,INDEX(DarlSollzins,18),INDEX(DarlAnschluss,18))</f>
      </c>
      <c r="I8273" s="43">
        <f>IF(INDEX(DarlBelegt,18)=0,0,IF(INDEX(DarlOhneTilgung,18)=1,IF(INDEX(DarlBindung,18)="",1,$G8273),IF($J8273&gt;0.005,1,0)))</f>
      </c>
      <c r="J8273" s="43">
        <f>IF($I8272=0,0,$R8272)</f>
      </c>
      <c r="K8273" s="43">
        <f>IF($I8273=0,0,IF(INDEX(DarlOhneTilgung,18)=1,0,IF(AND(INDEX(DarlTilgStart,18)&gt;0,$E8273=INDEX(DarlTilgStart,18)),$J8273*($H8273+INDEX(DarlTilgung,18))/100/12,IF(AND($G8273=0,$G8272=1),MAX($K8272,$J8273*($H8273+1)/100/12),$K8272))))</f>
      </c>
      <c r="L8273" s="43">
        <f>IF($I8273=0,0,$J8273*$H8273/100/12)</f>
      </c>
      <c r="M8273" s="43">
        <f>IF($I8273=0,0,IF(OR(INDEX(DarlOhneTilgung,18)=1,AND(INDEX(DarlTilgStart,18)&gt;0,$E8273&lt;INDEX(DarlTilgStart,18))),0,MIN(MAX(0,$K8273-$L8273),$J8273)))</f>
      </c>
      <c r="N8273" s="43">
        <f>IF($I8273=0,0,MIN(SUMIFS(SondBetrag,SondDarl,18,SondDatum,"&gt;="&amp;$E8273,SondDatum,"&lt;="&amp;EOMONTH($E8273,0)),$J8273-$M8273))</f>
      </c>
      <c r="O8273" s="43">
        <f>IF($I8273=0,0,INDEX(DarlErsatzRate,18))</f>
      </c>
      <c r="P8273" s="43">
        <f>IF($I8273=0,0,$Q8272*INDEX(DarlErsatzZins,18))</f>
      </c>
      <c r="Q8273" s="43">
        <f>IF($I8273=0,0,$Q8272+$P8273+$O8273)</f>
      </c>
      <c r="R8273" s="43">
        <f>IF($I8273=0,0,$J8273-$M8273-$N8273)</f>
      </c>
    </row>
    <row r="8274">
      <c r="A8274"/>
      <c r="B8274">
        <v>18</v>
      </c>
      <c r="C8274" s="43">
        <f>INDEX(DarlObj,18)</f>
      </c>
      <c r="D8274">
        <v>111</v>
      </c>
      <c r="E8274" s="51">
        <f>IF(INDEX(DarlBelegt,18)=0,0,EOMONTH(INDEX(DarlAuszahlung,18),110)+1)</f>
      </c>
      <c r="F8274" s="43">
        <f>IF($E8274=0,0,YEAR($E8274))</f>
      </c>
      <c r="G8274" s="43">
        <f>IF(INDEX(DarlBindung,18)="",1,IF($E8274&lt;=INDEX(DarlBindung,18),1,0))</f>
      </c>
      <c r="H8274" s="43">
        <f>IF($G8274=1,INDEX(DarlSollzins,18),INDEX(DarlAnschluss,18))</f>
      </c>
      <c r="I8274" s="43">
        <f>IF(INDEX(DarlBelegt,18)=0,0,IF(INDEX(DarlOhneTilgung,18)=1,IF(INDEX(DarlBindung,18)="",1,$G8274),IF($J8274&gt;0.005,1,0)))</f>
      </c>
      <c r="J8274" s="43">
        <f>IF($I8273=0,0,$R8273)</f>
      </c>
      <c r="K8274" s="43">
        <f>IF($I8274=0,0,IF(INDEX(DarlOhneTilgung,18)=1,0,IF(AND(INDEX(DarlTilgStart,18)&gt;0,$E8274=INDEX(DarlTilgStart,18)),$J8274*($H8274+INDEX(DarlTilgung,18))/100/12,IF(AND($G8274=0,$G8273=1),MAX($K8273,$J8274*($H8274+1)/100/12),$K8273))))</f>
      </c>
      <c r="L8274" s="43">
        <f>IF($I8274=0,0,$J8274*$H8274/100/12)</f>
      </c>
      <c r="M8274" s="43">
        <f>IF($I8274=0,0,IF(OR(INDEX(DarlOhneTilgung,18)=1,AND(INDEX(DarlTilgStart,18)&gt;0,$E8274&lt;INDEX(DarlTilgStart,18))),0,MIN(MAX(0,$K8274-$L8274),$J8274)))</f>
      </c>
      <c r="N8274" s="43">
        <f>IF($I8274=0,0,MIN(SUMIFS(SondBetrag,SondDarl,18,SondDatum,"&gt;="&amp;$E8274,SondDatum,"&lt;="&amp;EOMONTH($E8274,0)),$J8274-$M8274))</f>
      </c>
      <c r="O8274" s="43">
        <f>IF($I8274=0,0,INDEX(DarlErsatzRate,18))</f>
      </c>
      <c r="P8274" s="43">
        <f>IF($I8274=0,0,$Q8273*INDEX(DarlErsatzZins,18))</f>
      </c>
      <c r="Q8274" s="43">
        <f>IF($I8274=0,0,$Q8273+$P8274+$O8274)</f>
      </c>
      <c r="R8274" s="43">
        <f>IF($I8274=0,0,$J8274-$M8274-$N8274)</f>
      </c>
    </row>
    <row r="8275">
      <c r="A8275"/>
      <c r="B8275">
        <v>18</v>
      </c>
      <c r="C8275" s="43">
        <f>INDEX(DarlObj,18)</f>
      </c>
      <c r="D8275">
        <v>112</v>
      </c>
      <c r="E8275" s="51">
        <f>IF(INDEX(DarlBelegt,18)=0,0,EOMONTH(INDEX(DarlAuszahlung,18),111)+1)</f>
      </c>
      <c r="F8275" s="43">
        <f>IF($E8275=0,0,YEAR($E8275))</f>
      </c>
      <c r="G8275" s="43">
        <f>IF(INDEX(DarlBindung,18)="",1,IF($E8275&lt;=INDEX(DarlBindung,18),1,0))</f>
      </c>
      <c r="H8275" s="43">
        <f>IF($G8275=1,INDEX(DarlSollzins,18),INDEX(DarlAnschluss,18))</f>
      </c>
      <c r="I8275" s="43">
        <f>IF(INDEX(DarlBelegt,18)=0,0,IF(INDEX(DarlOhneTilgung,18)=1,IF(INDEX(DarlBindung,18)="",1,$G8275),IF($J8275&gt;0.005,1,0)))</f>
      </c>
      <c r="J8275" s="43">
        <f>IF($I8274=0,0,$R8274)</f>
      </c>
      <c r="K8275" s="43">
        <f>IF($I8275=0,0,IF(INDEX(DarlOhneTilgung,18)=1,0,IF(AND(INDEX(DarlTilgStart,18)&gt;0,$E8275=INDEX(DarlTilgStart,18)),$J8275*($H8275+INDEX(DarlTilgung,18))/100/12,IF(AND($G8275=0,$G8274=1),MAX($K8274,$J8275*($H8275+1)/100/12),$K8274))))</f>
      </c>
      <c r="L8275" s="43">
        <f>IF($I8275=0,0,$J8275*$H8275/100/12)</f>
      </c>
      <c r="M8275" s="43">
        <f>IF($I8275=0,0,IF(OR(INDEX(DarlOhneTilgung,18)=1,AND(INDEX(DarlTilgStart,18)&gt;0,$E8275&lt;INDEX(DarlTilgStart,18))),0,MIN(MAX(0,$K8275-$L8275),$J8275)))</f>
      </c>
      <c r="N8275" s="43">
        <f>IF($I8275=0,0,MIN(SUMIFS(SondBetrag,SondDarl,18,SondDatum,"&gt;="&amp;$E8275,SondDatum,"&lt;="&amp;EOMONTH($E8275,0)),$J8275-$M8275))</f>
      </c>
      <c r="O8275" s="43">
        <f>IF($I8275=0,0,INDEX(DarlErsatzRate,18))</f>
      </c>
      <c r="P8275" s="43">
        <f>IF($I8275=0,0,$Q8274*INDEX(DarlErsatzZins,18))</f>
      </c>
      <c r="Q8275" s="43">
        <f>IF($I8275=0,0,$Q8274+$P8275+$O8275)</f>
      </c>
      <c r="R8275" s="43">
        <f>IF($I8275=0,0,$J8275-$M8275-$N8275)</f>
      </c>
    </row>
    <row r="8276">
      <c r="A8276"/>
      <c r="B8276">
        <v>18</v>
      </c>
      <c r="C8276" s="43">
        <f>INDEX(DarlObj,18)</f>
      </c>
      <c r="D8276">
        <v>113</v>
      </c>
      <c r="E8276" s="51">
        <f>IF(INDEX(DarlBelegt,18)=0,0,EOMONTH(INDEX(DarlAuszahlung,18),112)+1)</f>
      </c>
      <c r="F8276" s="43">
        <f>IF($E8276=0,0,YEAR($E8276))</f>
      </c>
      <c r="G8276" s="43">
        <f>IF(INDEX(DarlBindung,18)="",1,IF($E8276&lt;=INDEX(DarlBindung,18),1,0))</f>
      </c>
      <c r="H8276" s="43">
        <f>IF($G8276=1,INDEX(DarlSollzins,18),INDEX(DarlAnschluss,18))</f>
      </c>
      <c r="I8276" s="43">
        <f>IF(INDEX(DarlBelegt,18)=0,0,IF(INDEX(DarlOhneTilgung,18)=1,IF(INDEX(DarlBindung,18)="",1,$G8276),IF($J8276&gt;0.005,1,0)))</f>
      </c>
      <c r="J8276" s="43">
        <f>IF($I8275=0,0,$R8275)</f>
      </c>
      <c r="K8276" s="43">
        <f>IF($I8276=0,0,IF(INDEX(DarlOhneTilgung,18)=1,0,IF(AND(INDEX(DarlTilgStart,18)&gt;0,$E8276=INDEX(DarlTilgStart,18)),$J8276*($H8276+INDEX(DarlTilgung,18))/100/12,IF(AND($G8276=0,$G8275=1),MAX($K8275,$J8276*($H8276+1)/100/12),$K8275))))</f>
      </c>
      <c r="L8276" s="43">
        <f>IF($I8276=0,0,$J8276*$H8276/100/12)</f>
      </c>
      <c r="M8276" s="43">
        <f>IF($I8276=0,0,IF(OR(INDEX(DarlOhneTilgung,18)=1,AND(INDEX(DarlTilgStart,18)&gt;0,$E8276&lt;INDEX(DarlTilgStart,18))),0,MIN(MAX(0,$K8276-$L8276),$J8276)))</f>
      </c>
      <c r="N8276" s="43">
        <f>IF($I8276=0,0,MIN(SUMIFS(SondBetrag,SondDarl,18,SondDatum,"&gt;="&amp;$E8276,SondDatum,"&lt;="&amp;EOMONTH($E8276,0)),$J8276-$M8276))</f>
      </c>
      <c r="O8276" s="43">
        <f>IF($I8276=0,0,INDEX(DarlErsatzRate,18))</f>
      </c>
      <c r="P8276" s="43">
        <f>IF($I8276=0,0,$Q8275*INDEX(DarlErsatzZins,18))</f>
      </c>
      <c r="Q8276" s="43">
        <f>IF($I8276=0,0,$Q8275+$P8276+$O8276)</f>
      </c>
      <c r="R8276" s="43">
        <f>IF($I8276=0,0,$J8276-$M8276-$N8276)</f>
      </c>
    </row>
    <row r="8277">
      <c r="A8277"/>
      <c r="B8277">
        <v>18</v>
      </c>
      <c r="C8277" s="43">
        <f>INDEX(DarlObj,18)</f>
      </c>
      <c r="D8277">
        <v>114</v>
      </c>
      <c r="E8277" s="51">
        <f>IF(INDEX(DarlBelegt,18)=0,0,EOMONTH(INDEX(DarlAuszahlung,18),113)+1)</f>
      </c>
      <c r="F8277" s="43">
        <f>IF($E8277=0,0,YEAR($E8277))</f>
      </c>
      <c r="G8277" s="43">
        <f>IF(INDEX(DarlBindung,18)="",1,IF($E8277&lt;=INDEX(DarlBindung,18),1,0))</f>
      </c>
      <c r="H8277" s="43">
        <f>IF($G8277=1,INDEX(DarlSollzins,18),INDEX(DarlAnschluss,18))</f>
      </c>
      <c r="I8277" s="43">
        <f>IF(INDEX(DarlBelegt,18)=0,0,IF(INDEX(DarlOhneTilgung,18)=1,IF(INDEX(DarlBindung,18)="",1,$G8277),IF($J8277&gt;0.005,1,0)))</f>
      </c>
      <c r="J8277" s="43">
        <f>IF($I8276=0,0,$R8276)</f>
      </c>
      <c r="K8277" s="43">
        <f>IF($I8277=0,0,IF(INDEX(DarlOhneTilgung,18)=1,0,IF(AND(INDEX(DarlTilgStart,18)&gt;0,$E8277=INDEX(DarlTilgStart,18)),$J8277*($H8277+INDEX(DarlTilgung,18))/100/12,IF(AND($G8277=0,$G8276=1),MAX($K8276,$J8277*($H8277+1)/100/12),$K8276))))</f>
      </c>
      <c r="L8277" s="43">
        <f>IF($I8277=0,0,$J8277*$H8277/100/12)</f>
      </c>
      <c r="M8277" s="43">
        <f>IF($I8277=0,0,IF(OR(INDEX(DarlOhneTilgung,18)=1,AND(INDEX(DarlTilgStart,18)&gt;0,$E8277&lt;INDEX(DarlTilgStart,18))),0,MIN(MAX(0,$K8277-$L8277),$J8277)))</f>
      </c>
      <c r="N8277" s="43">
        <f>IF($I8277=0,0,MIN(SUMIFS(SondBetrag,SondDarl,18,SondDatum,"&gt;="&amp;$E8277,SondDatum,"&lt;="&amp;EOMONTH($E8277,0)),$J8277-$M8277))</f>
      </c>
      <c r="O8277" s="43">
        <f>IF($I8277=0,0,INDEX(DarlErsatzRate,18))</f>
      </c>
      <c r="P8277" s="43">
        <f>IF($I8277=0,0,$Q8276*INDEX(DarlErsatzZins,18))</f>
      </c>
      <c r="Q8277" s="43">
        <f>IF($I8277=0,0,$Q8276+$P8277+$O8277)</f>
      </c>
      <c r="R8277" s="43">
        <f>IF($I8277=0,0,$J8277-$M8277-$N8277)</f>
      </c>
    </row>
    <row r="8278">
      <c r="A8278"/>
      <c r="B8278">
        <v>18</v>
      </c>
      <c r="C8278" s="43">
        <f>INDEX(DarlObj,18)</f>
      </c>
      <c r="D8278">
        <v>115</v>
      </c>
      <c r="E8278" s="51">
        <f>IF(INDEX(DarlBelegt,18)=0,0,EOMONTH(INDEX(DarlAuszahlung,18),114)+1)</f>
      </c>
      <c r="F8278" s="43">
        <f>IF($E8278=0,0,YEAR($E8278))</f>
      </c>
      <c r="G8278" s="43">
        <f>IF(INDEX(DarlBindung,18)="",1,IF($E8278&lt;=INDEX(DarlBindung,18),1,0))</f>
      </c>
      <c r="H8278" s="43">
        <f>IF($G8278=1,INDEX(DarlSollzins,18),INDEX(DarlAnschluss,18))</f>
      </c>
      <c r="I8278" s="43">
        <f>IF(INDEX(DarlBelegt,18)=0,0,IF(INDEX(DarlOhneTilgung,18)=1,IF(INDEX(DarlBindung,18)="",1,$G8278),IF($J8278&gt;0.005,1,0)))</f>
      </c>
      <c r="J8278" s="43">
        <f>IF($I8277=0,0,$R8277)</f>
      </c>
      <c r="K8278" s="43">
        <f>IF($I8278=0,0,IF(INDEX(DarlOhneTilgung,18)=1,0,IF(AND(INDEX(DarlTilgStart,18)&gt;0,$E8278=INDEX(DarlTilgStart,18)),$J8278*($H8278+INDEX(DarlTilgung,18))/100/12,IF(AND($G8278=0,$G8277=1),MAX($K8277,$J8278*($H8278+1)/100/12),$K8277))))</f>
      </c>
      <c r="L8278" s="43">
        <f>IF($I8278=0,0,$J8278*$H8278/100/12)</f>
      </c>
      <c r="M8278" s="43">
        <f>IF($I8278=0,0,IF(OR(INDEX(DarlOhneTilgung,18)=1,AND(INDEX(DarlTilgStart,18)&gt;0,$E8278&lt;INDEX(DarlTilgStart,18))),0,MIN(MAX(0,$K8278-$L8278),$J8278)))</f>
      </c>
      <c r="N8278" s="43">
        <f>IF($I8278=0,0,MIN(SUMIFS(SondBetrag,SondDarl,18,SondDatum,"&gt;="&amp;$E8278,SondDatum,"&lt;="&amp;EOMONTH($E8278,0)),$J8278-$M8278))</f>
      </c>
      <c r="O8278" s="43">
        <f>IF($I8278=0,0,INDEX(DarlErsatzRate,18))</f>
      </c>
      <c r="P8278" s="43">
        <f>IF($I8278=0,0,$Q8277*INDEX(DarlErsatzZins,18))</f>
      </c>
      <c r="Q8278" s="43">
        <f>IF($I8278=0,0,$Q8277+$P8278+$O8278)</f>
      </c>
      <c r="R8278" s="43">
        <f>IF($I8278=0,0,$J8278-$M8278-$N8278)</f>
      </c>
    </row>
    <row r="8279">
      <c r="A8279"/>
      <c r="B8279">
        <v>18</v>
      </c>
      <c r="C8279" s="43">
        <f>INDEX(DarlObj,18)</f>
      </c>
      <c r="D8279">
        <v>116</v>
      </c>
      <c r="E8279" s="51">
        <f>IF(INDEX(DarlBelegt,18)=0,0,EOMONTH(INDEX(DarlAuszahlung,18),115)+1)</f>
      </c>
      <c r="F8279" s="43">
        <f>IF($E8279=0,0,YEAR($E8279))</f>
      </c>
      <c r="G8279" s="43">
        <f>IF(INDEX(DarlBindung,18)="",1,IF($E8279&lt;=INDEX(DarlBindung,18),1,0))</f>
      </c>
      <c r="H8279" s="43">
        <f>IF($G8279=1,INDEX(DarlSollzins,18),INDEX(DarlAnschluss,18))</f>
      </c>
      <c r="I8279" s="43">
        <f>IF(INDEX(DarlBelegt,18)=0,0,IF(INDEX(DarlOhneTilgung,18)=1,IF(INDEX(DarlBindung,18)="",1,$G8279),IF($J8279&gt;0.005,1,0)))</f>
      </c>
      <c r="J8279" s="43">
        <f>IF($I8278=0,0,$R8278)</f>
      </c>
      <c r="K8279" s="43">
        <f>IF($I8279=0,0,IF(INDEX(DarlOhneTilgung,18)=1,0,IF(AND(INDEX(DarlTilgStart,18)&gt;0,$E8279=INDEX(DarlTilgStart,18)),$J8279*($H8279+INDEX(DarlTilgung,18))/100/12,IF(AND($G8279=0,$G8278=1),MAX($K8278,$J8279*($H8279+1)/100/12),$K8278))))</f>
      </c>
      <c r="L8279" s="43">
        <f>IF($I8279=0,0,$J8279*$H8279/100/12)</f>
      </c>
      <c r="M8279" s="43">
        <f>IF($I8279=0,0,IF(OR(INDEX(DarlOhneTilgung,18)=1,AND(INDEX(DarlTilgStart,18)&gt;0,$E8279&lt;INDEX(DarlTilgStart,18))),0,MIN(MAX(0,$K8279-$L8279),$J8279)))</f>
      </c>
      <c r="N8279" s="43">
        <f>IF($I8279=0,0,MIN(SUMIFS(SondBetrag,SondDarl,18,SondDatum,"&gt;="&amp;$E8279,SondDatum,"&lt;="&amp;EOMONTH($E8279,0)),$J8279-$M8279))</f>
      </c>
      <c r="O8279" s="43">
        <f>IF($I8279=0,0,INDEX(DarlErsatzRate,18))</f>
      </c>
      <c r="P8279" s="43">
        <f>IF($I8279=0,0,$Q8278*INDEX(DarlErsatzZins,18))</f>
      </c>
      <c r="Q8279" s="43">
        <f>IF($I8279=0,0,$Q8278+$P8279+$O8279)</f>
      </c>
      <c r="R8279" s="43">
        <f>IF($I8279=0,0,$J8279-$M8279-$N8279)</f>
      </c>
    </row>
    <row r="8280">
      <c r="A8280"/>
      <c r="B8280">
        <v>18</v>
      </c>
      <c r="C8280" s="43">
        <f>INDEX(DarlObj,18)</f>
      </c>
      <c r="D8280">
        <v>117</v>
      </c>
      <c r="E8280" s="51">
        <f>IF(INDEX(DarlBelegt,18)=0,0,EOMONTH(INDEX(DarlAuszahlung,18),116)+1)</f>
      </c>
      <c r="F8280" s="43">
        <f>IF($E8280=0,0,YEAR($E8280))</f>
      </c>
      <c r="G8280" s="43">
        <f>IF(INDEX(DarlBindung,18)="",1,IF($E8280&lt;=INDEX(DarlBindung,18),1,0))</f>
      </c>
      <c r="H8280" s="43">
        <f>IF($G8280=1,INDEX(DarlSollzins,18),INDEX(DarlAnschluss,18))</f>
      </c>
      <c r="I8280" s="43">
        <f>IF(INDEX(DarlBelegt,18)=0,0,IF(INDEX(DarlOhneTilgung,18)=1,IF(INDEX(DarlBindung,18)="",1,$G8280),IF($J8280&gt;0.005,1,0)))</f>
      </c>
      <c r="J8280" s="43">
        <f>IF($I8279=0,0,$R8279)</f>
      </c>
      <c r="K8280" s="43">
        <f>IF($I8280=0,0,IF(INDEX(DarlOhneTilgung,18)=1,0,IF(AND(INDEX(DarlTilgStart,18)&gt;0,$E8280=INDEX(DarlTilgStart,18)),$J8280*($H8280+INDEX(DarlTilgung,18))/100/12,IF(AND($G8280=0,$G8279=1),MAX($K8279,$J8280*($H8280+1)/100/12),$K8279))))</f>
      </c>
      <c r="L8280" s="43">
        <f>IF($I8280=0,0,$J8280*$H8280/100/12)</f>
      </c>
      <c r="M8280" s="43">
        <f>IF($I8280=0,0,IF(OR(INDEX(DarlOhneTilgung,18)=1,AND(INDEX(DarlTilgStart,18)&gt;0,$E8280&lt;INDEX(DarlTilgStart,18))),0,MIN(MAX(0,$K8280-$L8280),$J8280)))</f>
      </c>
      <c r="N8280" s="43">
        <f>IF($I8280=0,0,MIN(SUMIFS(SondBetrag,SondDarl,18,SondDatum,"&gt;="&amp;$E8280,SondDatum,"&lt;="&amp;EOMONTH($E8280,0)),$J8280-$M8280))</f>
      </c>
      <c r="O8280" s="43">
        <f>IF($I8280=0,0,INDEX(DarlErsatzRate,18))</f>
      </c>
      <c r="P8280" s="43">
        <f>IF($I8280=0,0,$Q8279*INDEX(DarlErsatzZins,18))</f>
      </c>
      <c r="Q8280" s="43">
        <f>IF($I8280=0,0,$Q8279+$P8280+$O8280)</f>
      </c>
      <c r="R8280" s="43">
        <f>IF($I8280=0,0,$J8280-$M8280-$N8280)</f>
      </c>
    </row>
    <row r="8281">
      <c r="A8281"/>
      <c r="B8281">
        <v>18</v>
      </c>
      <c r="C8281" s="43">
        <f>INDEX(DarlObj,18)</f>
      </c>
      <c r="D8281">
        <v>118</v>
      </c>
      <c r="E8281" s="51">
        <f>IF(INDEX(DarlBelegt,18)=0,0,EOMONTH(INDEX(DarlAuszahlung,18),117)+1)</f>
      </c>
      <c r="F8281" s="43">
        <f>IF($E8281=0,0,YEAR($E8281))</f>
      </c>
      <c r="G8281" s="43">
        <f>IF(INDEX(DarlBindung,18)="",1,IF($E8281&lt;=INDEX(DarlBindung,18),1,0))</f>
      </c>
      <c r="H8281" s="43">
        <f>IF($G8281=1,INDEX(DarlSollzins,18),INDEX(DarlAnschluss,18))</f>
      </c>
      <c r="I8281" s="43">
        <f>IF(INDEX(DarlBelegt,18)=0,0,IF(INDEX(DarlOhneTilgung,18)=1,IF(INDEX(DarlBindung,18)="",1,$G8281),IF($J8281&gt;0.005,1,0)))</f>
      </c>
      <c r="J8281" s="43">
        <f>IF($I8280=0,0,$R8280)</f>
      </c>
      <c r="K8281" s="43">
        <f>IF($I8281=0,0,IF(INDEX(DarlOhneTilgung,18)=1,0,IF(AND(INDEX(DarlTilgStart,18)&gt;0,$E8281=INDEX(DarlTilgStart,18)),$J8281*($H8281+INDEX(DarlTilgung,18))/100/12,IF(AND($G8281=0,$G8280=1),MAX($K8280,$J8281*($H8281+1)/100/12),$K8280))))</f>
      </c>
      <c r="L8281" s="43">
        <f>IF($I8281=0,0,$J8281*$H8281/100/12)</f>
      </c>
      <c r="M8281" s="43">
        <f>IF($I8281=0,0,IF(OR(INDEX(DarlOhneTilgung,18)=1,AND(INDEX(DarlTilgStart,18)&gt;0,$E8281&lt;INDEX(DarlTilgStart,18))),0,MIN(MAX(0,$K8281-$L8281),$J8281)))</f>
      </c>
      <c r="N8281" s="43">
        <f>IF($I8281=0,0,MIN(SUMIFS(SondBetrag,SondDarl,18,SondDatum,"&gt;="&amp;$E8281,SondDatum,"&lt;="&amp;EOMONTH($E8281,0)),$J8281-$M8281))</f>
      </c>
      <c r="O8281" s="43">
        <f>IF($I8281=0,0,INDEX(DarlErsatzRate,18))</f>
      </c>
      <c r="P8281" s="43">
        <f>IF($I8281=0,0,$Q8280*INDEX(DarlErsatzZins,18))</f>
      </c>
      <c r="Q8281" s="43">
        <f>IF($I8281=0,0,$Q8280+$P8281+$O8281)</f>
      </c>
      <c r="R8281" s="43">
        <f>IF($I8281=0,0,$J8281-$M8281-$N8281)</f>
      </c>
    </row>
    <row r="8282">
      <c r="A8282"/>
      <c r="B8282">
        <v>18</v>
      </c>
      <c r="C8282" s="43">
        <f>INDEX(DarlObj,18)</f>
      </c>
      <c r="D8282">
        <v>119</v>
      </c>
      <c r="E8282" s="51">
        <f>IF(INDEX(DarlBelegt,18)=0,0,EOMONTH(INDEX(DarlAuszahlung,18),118)+1)</f>
      </c>
      <c r="F8282" s="43">
        <f>IF($E8282=0,0,YEAR($E8282))</f>
      </c>
      <c r="G8282" s="43">
        <f>IF(INDEX(DarlBindung,18)="",1,IF($E8282&lt;=INDEX(DarlBindung,18),1,0))</f>
      </c>
      <c r="H8282" s="43">
        <f>IF($G8282=1,INDEX(DarlSollzins,18),INDEX(DarlAnschluss,18))</f>
      </c>
      <c r="I8282" s="43">
        <f>IF(INDEX(DarlBelegt,18)=0,0,IF(INDEX(DarlOhneTilgung,18)=1,IF(INDEX(DarlBindung,18)="",1,$G8282),IF($J8282&gt;0.005,1,0)))</f>
      </c>
      <c r="J8282" s="43">
        <f>IF($I8281=0,0,$R8281)</f>
      </c>
      <c r="K8282" s="43">
        <f>IF($I8282=0,0,IF(INDEX(DarlOhneTilgung,18)=1,0,IF(AND(INDEX(DarlTilgStart,18)&gt;0,$E8282=INDEX(DarlTilgStart,18)),$J8282*($H8282+INDEX(DarlTilgung,18))/100/12,IF(AND($G8282=0,$G8281=1),MAX($K8281,$J8282*($H8282+1)/100/12),$K8281))))</f>
      </c>
      <c r="L8282" s="43">
        <f>IF($I8282=0,0,$J8282*$H8282/100/12)</f>
      </c>
      <c r="M8282" s="43">
        <f>IF($I8282=0,0,IF(OR(INDEX(DarlOhneTilgung,18)=1,AND(INDEX(DarlTilgStart,18)&gt;0,$E8282&lt;INDEX(DarlTilgStart,18))),0,MIN(MAX(0,$K8282-$L8282),$J8282)))</f>
      </c>
      <c r="N8282" s="43">
        <f>IF($I8282=0,0,MIN(SUMIFS(SondBetrag,SondDarl,18,SondDatum,"&gt;="&amp;$E8282,SondDatum,"&lt;="&amp;EOMONTH($E8282,0)),$J8282-$M8282))</f>
      </c>
      <c r="O8282" s="43">
        <f>IF($I8282=0,0,INDEX(DarlErsatzRate,18))</f>
      </c>
      <c r="P8282" s="43">
        <f>IF($I8282=0,0,$Q8281*INDEX(DarlErsatzZins,18))</f>
      </c>
      <c r="Q8282" s="43">
        <f>IF($I8282=0,0,$Q8281+$P8282+$O8282)</f>
      </c>
      <c r="R8282" s="43">
        <f>IF($I8282=0,0,$J8282-$M8282-$N8282)</f>
      </c>
    </row>
    <row r="8283">
      <c r="A8283"/>
      <c r="B8283">
        <v>18</v>
      </c>
      <c r="C8283" s="43">
        <f>INDEX(DarlObj,18)</f>
      </c>
      <c r="D8283">
        <v>120</v>
      </c>
      <c r="E8283" s="51">
        <f>IF(INDEX(DarlBelegt,18)=0,0,EOMONTH(INDEX(DarlAuszahlung,18),119)+1)</f>
      </c>
      <c r="F8283" s="43">
        <f>IF($E8283=0,0,YEAR($E8283))</f>
      </c>
      <c r="G8283" s="43">
        <f>IF(INDEX(DarlBindung,18)="",1,IF($E8283&lt;=INDEX(DarlBindung,18),1,0))</f>
      </c>
      <c r="H8283" s="43">
        <f>IF($G8283=1,INDEX(DarlSollzins,18),INDEX(DarlAnschluss,18))</f>
      </c>
      <c r="I8283" s="43">
        <f>IF(INDEX(DarlBelegt,18)=0,0,IF(INDEX(DarlOhneTilgung,18)=1,IF(INDEX(DarlBindung,18)="",1,$G8283),IF($J8283&gt;0.005,1,0)))</f>
      </c>
      <c r="J8283" s="43">
        <f>IF($I8282=0,0,$R8282)</f>
      </c>
      <c r="K8283" s="43">
        <f>IF($I8283=0,0,IF(INDEX(DarlOhneTilgung,18)=1,0,IF(AND(INDEX(DarlTilgStart,18)&gt;0,$E8283=INDEX(DarlTilgStart,18)),$J8283*($H8283+INDEX(DarlTilgung,18))/100/12,IF(AND($G8283=0,$G8282=1),MAX($K8282,$J8283*($H8283+1)/100/12),$K8282))))</f>
      </c>
      <c r="L8283" s="43">
        <f>IF($I8283=0,0,$J8283*$H8283/100/12)</f>
      </c>
      <c r="M8283" s="43">
        <f>IF($I8283=0,0,IF(OR(INDEX(DarlOhneTilgung,18)=1,AND(INDEX(DarlTilgStart,18)&gt;0,$E8283&lt;INDEX(DarlTilgStart,18))),0,MIN(MAX(0,$K8283-$L8283),$J8283)))</f>
      </c>
      <c r="N8283" s="43">
        <f>IF($I8283=0,0,MIN(SUMIFS(SondBetrag,SondDarl,18,SondDatum,"&gt;="&amp;$E8283,SondDatum,"&lt;="&amp;EOMONTH($E8283,0)),$J8283-$M8283))</f>
      </c>
      <c r="O8283" s="43">
        <f>IF($I8283=0,0,INDEX(DarlErsatzRate,18))</f>
      </c>
      <c r="P8283" s="43">
        <f>IF($I8283=0,0,$Q8282*INDEX(DarlErsatzZins,18))</f>
      </c>
      <c r="Q8283" s="43">
        <f>IF($I8283=0,0,$Q8282+$P8283+$O8283)</f>
      </c>
      <c r="R8283" s="43">
        <f>IF($I8283=0,0,$J8283-$M8283-$N8283)</f>
      </c>
    </row>
    <row r="8284">
      <c r="A8284"/>
      <c r="B8284">
        <v>18</v>
      </c>
      <c r="C8284" s="43">
        <f>INDEX(DarlObj,18)</f>
      </c>
      <c r="D8284">
        <v>121</v>
      </c>
      <c r="E8284" s="51">
        <f>IF(INDEX(DarlBelegt,18)=0,0,EOMONTH(INDEX(DarlAuszahlung,18),120)+1)</f>
      </c>
      <c r="F8284" s="43">
        <f>IF($E8284=0,0,YEAR($E8284))</f>
      </c>
      <c r="G8284" s="43">
        <f>IF(INDEX(DarlBindung,18)="",1,IF($E8284&lt;=INDEX(DarlBindung,18),1,0))</f>
      </c>
      <c r="H8284" s="43">
        <f>IF($G8284=1,INDEX(DarlSollzins,18),INDEX(DarlAnschluss,18))</f>
      </c>
      <c r="I8284" s="43">
        <f>IF(INDEX(DarlBelegt,18)=0,0,IF(INDEX(DarlOhneTilgung,18)=1,IF(INDEX(DarlBindung,18)="",1,$G8284),IF($J8284&gt;0.005,1,0)))</f>
      </c>
      <c r="J8284" s="43">
        <f>IF($I8283=0,0,$R8283)</f>
      </c>
      <c r="K8284" s="43">
        <f>IF($I8284=0,0,IF(INDEX(DarlOhneTilgung,18)=1,0,IF(AND(INDEX(DarlTilgStart,18)&gt;0,$E8284=INDEX(DarlTilgStart,18)),$J8284*($H8284+INDEX(DarlTilgung,18))/100/12,IF(AND($G8284=0,$G8283=1),MAX($K8283,$J8284*($H8284+1)/100/12),$K8283))))</f>
      </c>
      <c r="L8284" s="43">
        <f>IF($I8284=0,0,$J8284*$H8284/100/12)</f>
      </c>
      <c r="M8284" s="43">
        <f>IF($I8284=0,0,IF(OR(INDEX(DarlOhneTilgung,18)=1,AND(INDEX(DarlTilgStart,18)&gt;0,$E8284&lt;INDEX(DarlTilgStart,18))),0,MIN(MAX(0,$K8284-$L8284),$J8284)))</f>
      </c>
      <c r="N8284" s="43">
        <f>IF($I8284=0,0,MIN(SUMIFS(SondBetrag,SondDarl,18,SondDatum,"&gt;="&amp;$E8284,SondDatum,"&lt;="&amp;EOMONTH($E8284,0)),$J8284-$M8284))</f>
      </c>
      <c r="O8284" s="43">
        <f>IF($I8284=0,0,INDEX(DarlErsatzRate,18))</f>
      </c>
      <c r="P8284" s="43">
        <f>IF($I8284=0,0,$Q8283*INDEX(DarlErsatzZins,18))</f>
      </c>
      <c r="Q8284" s="43">
        <f>IF($I8284=0,0,$Q8283+$P8284+$O8284)</f>
      </c>
      <c r="R8284" s="43">
        <f>IF($I8284=0,0,$J8284-$M8284-$N8284)</f>
      </c>
    </row>
    <row r="8285">
      <c r="A8285"/>
      <c r="B8285">
        <v>18</v>
      </c>
      <c r="C8285" s="43">
        <f>INDEX(DarlObj,18)</f>
      </c>
      <c r="D8285">
        <v>122</v>
      </c>
      <c r="E8285" s="51">
        <f>IF(INDEX(DarlBelegt,18)=0,0,EOMONTH(INDEX(DarlAuszahlung,18),121)+1)</f>
      </c>
      <c r="F8285" s="43">
        <f>IF($E8285=0,0,YEAR($E8285))</f>
      </c>
      <c r="G8285" s="43">
        <f>IF(INDEX(DarlBindung,18)="",1,IF($E8285&lt;=INDEX(DarlBindung,18),1,0))</f>
      </c>
      <c r="H8285" s="43">
        <f>IF($G8285=1,INDEX(DarlSollzins,18),INDEX(DarlAnschluss,18))</f>
      </c>
      <c r="I8285" s="43">
        <f>IF(INDEX(DarlBelegt,18)=0,0,IF(INDEX(DarlOhneTilgung,18)=1,IF(INDEX(DarlBindung,18)="",1,$G8285),IF($J8285&gt;0.005,1,0)))</f>
      </c>
      <c r="J8285" s="43">
        <f>IF($I8284=0,0,$R8284)</f>
      </c>
      <c r="K8285" s="43">
        <f>IF($I8285=0,0,IF(INDEX(DarlOhneTilgung,18)=1,0,IF(AND(INDEX(DarlTilgStart,18)&gt;0,$E8285=INDEX(DarlTilgStart,18)),$J8285*($H8285+INDEX(DarlTilgung,18))/100/12,IF(AND($G8285=0,$G8284=1),MAX($K8284,$J8285*($H8285+1)/100/12),$K8284))))</f>
      </c>
      <c r="L8285" s="43">
        <f>IF($I8285=0,0,$J8285*$H8285/100/12)</f>
      </c>
      <c r="M8285" s="43">
        <f>IF($I8285=0,0,IF(OR(INDEX(DarlOhneTilgung,18)=1,AND(INDEX(DarlTilgStart,18)&gt;0,$E8285&lt;INDEX(DarlTilgStart,18))),0,MIN(MAX(0,$K8285-$L8285),$J8285)))</f>
      </c>
      <c r="N8285" s="43">
        <f>IF($I8285=0,0,MIN(SUMIFS(SondBetrag,SondDarl,18,SondDatum,"&gt;="&amp;$E8285,SondDatum,"&lt;="&amp;EOMONTH($E8285,0)),$J8285-$M8285))</f>
      </c>
      <c r="O8285" s="43">
        <f>IF($I8285=0,0,INDEX(DarlErsatzRate,18))</f>
      </c>
      <c r="P8285" s="43">
        <f>IF($I8285=0,0,$Q8284*INDEX(DarlErsatzZins,18))</f>
      </c>
      <c r="Q8285" s="43">
        <f>IF($I8285=0,0,$Q8284+$P8285+$O8285)</f>
      </c>
      <c r="R8285" s="43">
        <f>IF($I8285=0,0,$J8285-$M8285-$N8285)</f>
      </c>
    </row>
    <row r="8286">
      <c r="A8286"/>
      <c r="B8286">
        <v>18</v>
      </c>
      <c r="C8286" s="43">
        <f>INDEX(DarlObj,18)</f>
      </c>
      <c r="D8286">
        <v>123</v>
      </c>
      <c r="E8286" s="51">
        <f>IF(INDEX(DarlBelegt,18)=0,0,EOMONTH(INDEX(DarlAuszahlung,18),122)+1)</f>
      </c>
      <c r="F8286" s="43">
        <f>IF($E8286=0,0,YEAR($E8286))</f>
      </c>
      <c r="G8286" s="43">
        <f>IF(INDEX(DarlBindung,18)="",1,IF($E8286&lt;=INDEX(DarlBindung,18),1,0))</f>
      </c>
      <c r="H8286" s="43">
        <f>IF($G8286=1,INDEX(DarlSollzins,18),INDEX(DarlAnschluss,18))</f>
      </c>
      <c r="I8286" s="43">
        <f>IF(INDEX(DarlBelegt,18)=0,0,IF(INDEX(DarlOhneTilgung,18)=1,IF(INDEX(DarlBindung,18)="",1,$G8286),IF($J8286&gt;0.005,1,0)))</f>
      </c>
      <c r="J8286" s="43">
        <f>IF($I8285=0,0,$R8285)</f>
      </c>
      <c r="K8286" s="43">
        <f>IF($I8286=0,0,IF(INDEX(DarlOhneTilgung,18)=1,0,IF(AND(INDEX(DarlTilgStart,18)&gt;0,$E8286=INDEX(DarlTilgStart,18)),$J8286*($H8286+INDEX(DarlTilgung,18))/100/12,IF(AND($G8286=0,$G8285=1),MAX($K8285,$J8286*($H8286+1)/100/12),$K8285))))</f>
      </c>
      <c r="L8286" s="43">
        <f>IF($I8286=0,0,$J8286*$H8286/100/12)</f>
      </c>
      <c r="M8286" s="43">
        <f>IF($I8286=0,0,IF(OR(INDEX(DarlOhneTilgung,18)=1,AND(INDEX(DarlTilgStart,18)&gt;0,$E8286&lt;INDEX(DarlTilgStart,18))),0,MIN(MAX(0,$K8286-$L8286),$J8286)))</f>
      </c>
      <c r="N8286" s="43">
        <f>IF($I8286=0,0,MIN(SUMIFS(SondBetrag,SondDarl,18,SondDatum,"&gt;="&amp;$E8286,SondDatum,"&lt;="&amp;EOMONTH($E8286,0)),$J8286-$M8286))</f>
      </c>
      <c r="O8286" s="43">
        <f>IF($I8286=0,0,INDEX(DarlErsatzRate,18))</f>
      </c>
      <c r="P8286" s="43">
        <f>IF($I8286=0,0,$Q8285*INDEX(DarlErsatzZins,18))</f>
      </c>
      <c r="Q8286" s="43">
        <f>IF($I8286=0,0,$Q8285+$P8286+$O8286)</f>
      </c>
      <c r="R8286" s="43">
        <f>IF($I8286=0,0,$J8286-$M8286-$N8286)</f>
      </c>
    </row>
    <row r="8287">
      <c r="A8287"/>
      <c r="B8287">
        <v>18</v>
      </c>
      <c r="C8287" s="43">
        <f>INDEX(DarlObj,18)</f>
      </c>
      <c r="D8287">
        <v>124</v>
      </c>
      <c r="E8287" s="51">
        <f>IF(INDEX(DarlBelegt,18)=0,0,EOMONTH(INDEX(DarlAuszahlung,18),123)+1)</f>
      </c>
      <c r="F8287" s="43">
        <f>IF($E8287=0,0,YEAR($E8287))</f>
      </c>
      <c r="G8287" s="43">
        <f>IF(INDEX(DarlBindung,18)="",1,IF($E8287&lt;=INDEX(DarlBindung,18),1,0))</f>
      </c>
      <c r="H8287" s="43">
        <f>IF($G8287=1,INDEX(DarlSollzins,18),INDEX(DarlAnschluss,18))</f>
      </c>
      <c r="I8287" s="43">
        <f>IF(INDEX(DarlBelegt,18)=0,0,IF(INDEX(DarlOhneTilgung,18)=1,IF(INDEX(DarlBindung,18)="",1,$G8287),IF($J8287&gt;0.005,1,0)))</f>
      </c>
      <c r="J8287" s="43">
        <f>IF($I8286=0,0,$R8286)</f>
      </c>
      <c r="K8287" s="43">
        <f>IF($I8287=0,0,IF(INDEX(DarlOhneTilgung,18)=1,0,IF(AND(INDEX(DarlTilgStart,18)&gt;0,$E8287=INDEX(DarlTilgStart,18)),$J8287*($H8287+INDEX(DarlTilgung,18))/100/12,IF(AND($G8287=0,$G8286=1),MAX($K8286,$J8287*($H8287+1)/100/12),$K8286))))</f>
      </c>
      <c r="L8287" s="43">
        <f>IF($I8287=0,0,$J8287*$H8287/100/12)</f>
      </c>
      <c r="M8287" s="43">
        <f>IF($I8287=0,0,IF(OR(INDEX(DarlOhneTilgung,18)=1,AND(INDEX(DarlTilgStart,18)&gt;0,$E8287&lt;INDEX(DarlTilgStart,18))),0,MIN(MAX(0,$K8287-$L8287),$J8287)))</f>
      </c>
      <c r="N8287" s="43">
        <f>IF($I8287=0,0,MIN(SUMIFS(SondBetrag,SondDarl,18,SondDatum,"&gt;="&amp;$E8287,SondDatum,"&lt;="&amp;EOMONTH($E8287,0)),$J8287-$M8287))</f>
      </c>
      <c r="O8287" s="43">
        <f>IF($I8287=0,0,INDEX(DarlErsatzRate,18))</f>
      </c>
      <c r="P8287" s="43">
        <f>IF($I8287=0,0,$Q8286*INDEX(DarlErsatzZins,18))</f>
      </c>
      <c r="Q8287" s="43">
        <f>IF($I8287=0,0,$Q8286+$P8287+$O8287)</f>
      </c>
      <c r="R8287" s="43">
        <f>IF($I8287=0,0,$J8287-$M8287-$N8287)</f>
      </c>
    </row>
    <row r="8288">
      <c r="A8288"/>
      <c r="B8288">
        <v>18</v>
      </c>
      <c r="C8288" s="43">
        <f>INDEX(DarlObj,18)</f>
      </c>
      <c r="D8288">
        <v>125</v>
      </c>
      <c r="E8288" s="51">
        <f>IF(INDEX(DarlBelegt,18)=0,0,EOMONTH(INDEX(DarlAuszahlung,18),124)+1)</f>
      </c>
      <c r="F8288" s="43">
        <f>IF($E8288=0,0,YEAR($E8288))</f>
      </c>
      <c r="G8288" s="43">
        <f>IF(INDEX(DarlBindung,18)="",1,IF($E8288&lt;=INDEX(DarlBindung,18),1,0))</f>
      </c>
      <c r="H8288" s="43">
        <f>IF($G8288=1,INDEX(DarlSollzins,18),INDEX(DarlAnschluss,18))</f>
      </c>
      <c r="I8288" s="43">
        <f>IF(INDEX(DarlBelegt,18)=0,0,IF(INDEX(DarlOhneTilgung,18)=1,IF(INDEX(DarlBindung,18)="",1,$G8288),IF($J8288&gt;0.005,1,0)))</f>
      </c>
      <c r="J8288" s="43">
        <f>IF($I8287=0,0,$R8287)</f>
      </c>
      <c r="K8288" s="43">
        <f>IF($I8288=0,0,IF(INDEX(DarlOhneTilgung,18)=1,0,IF(AND(INDEX(DarlTilgStart,18)&gt;0,$E8288=INDEX(DarlTilgStart,18)),$J8288*($H8288+INDEX(DarlTilgung,18))/100/12,IF(AND($G8288=0,$G8287=1),MAX($K8287,$J8288*($H8288+1)/100/12),$K8287))))</f>
      </c>
      <c r="L8288" s="43">
        <f>IF($I8288=0,0,$J8288*$H8288/100/12)</f>
      </c>
      <c r="M8288" s="43">
        <f>IF($I8288=0,0,IF(OR(INDEX(DarlOhneTilgung,18)=1,AND(INDEX(DarlTilgStart,18)&gt;0,$E8288&lt;INDEX(DarlTilgStart,18))),0,MIN(MAX(0,$K8288-$L8288),$J8288)))</f>
      </c>
      <c r="N8288" s="43">
        <f>IF($I8288=0,0,MIN(SUMIFS(SondBetrag,SondDarl,18,SondDatum,"&gt;="&amp;$E8288,SondDatum,"&lt;="&amp;EOMONTH($E8288,0)),$J8288-$M8288))</f>
      </c>
      <c r="O8288" s="43">
        <f>IF($I8288=0,0,INDEX(DarlErsatzRate,18))</f>
      </c>
      <c r="P8288" s="43">
        <f>IF($I8288=0,0,$Q8287*INDEX(DarlErsatzZins,18))</f>
      </c>
      <c r="Q8288" s="43">
        <f>IF($I8288=0,0,$Q8287+$P8288+$O8288)</f>
      </c>
      <c r="R8288" s="43">
        <f>IF($I8288=0,0,$J8288-$M8288-$N8288)</f>
      </c>
    </row>
    <row r="8289">
      <c r="A8289"/>
      <c r="B8289">
        <v>18</v>
      </c>
      <c r="C8289" s="43">
        <f>INDEX(DarlObj,18)</f>
      </c>
      <c r="D8289">
        <v>126</v>
      </c>
      <c r="E8289" s="51">
        <f>IF(INDEX(DarlBelegt,18)=0,0,EOMONTH(INDEX(DarlAuszahlung,18),125)+1)</f>
      </c>
      <c r="F8289" s="43">
        <f>IF($E8289=0,0,YEAR($E8289))</f>
      </c>
      <c r="G8289" s="43">
        <f>IF(INDEX(DarlBindung,18)="",1,IF($E8289&lt;=INDEX(DarlBindung,18),1,0))</f>
      </c>
      <c r="H8289" s="43">
        <f>IF($G8289=1,INDEX(DarlSollzins,18),INDEX(DarlAnschluss,18))</f>
      </c>
      <c r="I8289" s="43">
        <f>IF(INDEX(DarlBelegt,18)=0,0,IF(INDEX(DarlOhneTilgung,18)=1,IF(INDEX(DarlBindung,18)="",1,$G8289),IF($J8289&gt;0.005,1,0)))</f>
      </c>
      <c r="J8289" s="43">
        <f>IF($I8288=0,0,$R8288)</f>
      </c>
      <c r="K8289" s="43">
        <f>IF($I8289=0,0,IF(INDEX(DarlOhneTilgung,18)=1,0,IF(AND(INDEX(DarlTilgStart,18)&gt;0,$E8289=INDEX(DarlTilgStart,18)),$J8289*($H8289+INDEX(DarlTilgung,18))/100/12,IF(AND($G8289=0,$G8288=1),MAX($K8288,$J8289*($H8289+1)/100/12),$K8288))))</f>
      </c>
      <c r="L8289" s="43">
        <f>IF($I8289=0,0,$J8289*$H8289/100/12)</f>
      </c>
      <c r="M8289" s="43">
        <f>IF($I8289=0,0,IF(OR(INDEX(DarlOhneTilgung,18)=1,AND(INDEX(DarlTilgStart,18)&gt;0,$E8289&lt;INDEX(DarlTilgStart,18))),0,MIN(MAX(0,$K8289-$L8289),$J8289)))</f>
      </c>
      <c r="N8289" s="43">
        <f>IF($I8289=0,0,MIN(SUMIFS(SondBetrag,SondDarl,18,SondDatum,"&gt;="&amp;$E8289,SondDatum,"&lt;="&amp;EOMONTH($E8289,0)),$J8289-$M8289))</f>
      </c>
      <c r="O8289" s="43">
        <f>IF($I8289=0,0,INDEX(DarlErsatzRate,18))</f>
      </c>
      <c r="P8289" s="43">
        <f>IF($I8289=0,0,$Q8288*INDEX(DarlErsatzZins,18))</f>
      </c>
      <c r="Q8289" s="43">
        <f>IF($I8289=0,0,$Q8288+$P8289+$O8289)</f>
      </c>
      <c r="R8289" s="43">
        <f>IF($I8289=0,0,$J8289-$M8289-$N8289)</f>
      </c>
    </row>
    <row r="8290">
      <c r="A8290"/>
      <c r="B8290">
        <v>18</v>
      </c>
      <c r="C8290" s="43">
        <f>INDEX(DarlObj,18)</f>
      </c>
      <c r="D8290">
        <v>127</v>
      </c>
      <c r="E8290" s="51">
        <f>IF(INDEX(DarlBelegt,18)=0,0,EOMONTH(INDEX(DarlAuszahlung,18),126)+1)</f>
      </c>
      <c r="F8290" s="43">
        <f>IF($E8290=0,0,YEAR($E8290))</f>
      </c>
      <c r="G8290" s="43">
        <f>IF(INDEX(DarlBindung,18)="",1,IF($E8290&lt;=INDEX(DarlBindung,18),1,0))</f>
      </c>
      <c r="H8290" s="43">
        <f>IF($G8290=1,INDEX(DarlSollzins,18),INDEX(DarlAnschluss,18))</f>
      </c>
      <c r="I8290" s="43">
        <f>IF(INDEX(DarlBelegt,18)=0,0,IF(INDEX(DarlOhneTilgung,18)=1,IF(INDEX(DarlBindung,18)="",1,$G8290),IF($J8290&gt;0.005,1,0)))</f>
      </c>
      <c r="J8290" s="43">
        <f>IF($I8289=0,0,$R8289)</f>
      </c>
      <c r="K8290" s="43">
        <f>IF($I8290=0,0,IF(INDEX(DarlOhneTilgung,18)=1,0,IF(AND(INDEX(DarlTilgStart,18)&gt;0,$E8290=INDEX(DarlTilgStart,18)),$J8290*($H8290+INDEX(DarlTilgung,18))/100/12,IF(AND($G8290=0,$G8289=1),MAX($K8289,$J8290*($H8290+1)/100/12),$K8289))))</f>
      </c>
      <c r="L8290" s="43">
        <f>IF($I8290=0,0,$J8290*$H8290/100/12)</f>
      </c>
      <c r="M8290" s="43">
        <f>IF($I8290=0,0,IF(OR(INDEX(DarlOhneTilgung,18)=1,AND(INDEX(DarlTilgStart,18)&gt;0,$E8290&lt;INDEX(DarlTilgStart,18))),0,MIN(MAX(0,$K8290-$L8290),$J8290)))</f>
      </c>
      <c r="N8290" s="43">
        <f>IF($I8290=0,0,MIN(SUMIFS(SondBetrag,SondDarl,18,SondDatum,"&gt;="&amp;$E8290,SondDatum,"&lt;="&amp;EOMONTH($E8290,0)),$J8290-$M8290))</f>
      </c>
      <c r="O8290" s="43">
        <f>IF($I8290=0,0,INDEX(DarlErsatzRate,18))</f>
      </c>
      <c r="P8290" s="43">
        <f>IF($I8290=0,0,$Q8289*INDEX(DarlErsatzZins,18))</f>
      </c>
      <c r="Q8290" s="43">
        <f>IF($I8290=0,0,$Q8289+$P8290+$O8290)</f>
      </c>
      <c r="R8290" s="43">
        <f>IF($I8290=0,0,$J8290-$M8290-$N8290)</f>
      </c>
    </row>
    <row r="8291">
      <c r="A8291"/>
      <c r="B8291">
        <v>18</v>
      </c>
      <c r="C8291" s="43">
        <f>INDEX(DarlObj,18)</f>
      </c>
      <c r="D8291">
        <v>128</v>
      </c>
      <c r="E8291" s="51">
        <f>IF(INDEX(DarlBelegt,18)=0,0,EOMONTH(INDEX(DarlAuszahlung,18),127)+1)</f>
      </c>
      <c r="F8291" s="43">
        <f>IF($E8291=0,0,YEAR($E8291))</f>
      </c>
      <c r="G8291" s="43">
        <f>IF(INDEX(DarlBindung,18)="",1,IF($E8291&lt;=INDEX(DarlBindung,18),1,0))</f>
      </c>
      <c r="H8291" s="43">
        <f>IF($G8291=1,INDEX(DarlSollzins,18),INDEX(DarlAnschluss,18))</f>
      </c>
      <c r="I8291" s="43">
        <f>IF(INDEX(DarlBelegt,18)=0,0,IF(INDEX(DarlOhneTilgung,18)=1,IF(INDEX(DarlBindung,18)="",1,$G8291),IF($J8291&gt;0.005,1,0)))</f>
      </c>
      <c r="J8291" s="43">
        <f>IF($I8290=0,0,$R8290)</f>
      </c>
      <c r="K8291" s="43">
        <f>IF($I8291=0,0,IF(INDEX(DarlOhneTilgung,18)=1,0,IF(AND(INDEX(DarlTilgStart,18)&gt;0,$E8291=INDEX(DarlTilgStart,18)),$J8291*($H8291+INDEX(DarlTilgung,18))/100/12,IF(AND($G8291=0,$G8290=1),MAX($K8290,$J8291*($H8291+1)/100/12),$K8290))))</f>
      </c>
      <c r="L8291" s="43">
        <f>IF($I8291=0,0,$J8291*$H8291/100/12)</f>
      </c>
      <c r="M8291" s="43">
        <f>IF($I8291=0,0,IF(OR(INDEX(DarlOhneTilgung,18)=1,AND(INDEX(DarlTilgStart,18)&gt;0,$E8291&lt;INDEX(DarlTilgStart,18))),0,MIN(MAX(0,$K8291-$L8291),$J8291)))</f>
      </c>
      <c r="N8291" s="43">
        <f>IF($I8291=0,0,MIN(SUMIFS(SondBetrag,SondDarl,18,SondDatum,"&gt;="&amp;$E8291,SondDatum,"&lt;="&amp;EOMONTH($E8291,0)),$J8291-$M8291))</f>
      </c>
      <c r="O8291" s="43">
        <f>IF($I8291=0,0,INDEX(DarlErsatzRate,18))</f>
      </c>
      <c r="P8291" s="43">
        <f>IF($I8291=0,0,$Q8290*INDEX(DarlErsatzZins,18))</f>
      </c>
      <c r="Q8291" s="43">
        <f>IF($I8291=0,0,$Q8290+$P8291+$O8291)</f>
      </c>
      <c r="R8291" s="43">
        <f>IF($I8291=0,0,$J8291-$M8291-$N8291)</f>
      </c>
    </row>
    <row r="8292">
      <c r="A8292"/>
      <c r="B8292">
        <v>18</v>
      </c>
      <c r="C8292" s="43">
        <f>INDEX(DarlObj,18)</f>
      </c>
      <c r="D8292">
        <v>129</v>
      </c>
      <c r="E8292" s="51">
        <f>IF(INDEX(DarlBelegt,18)=0,0,EOMONTH(INDEX(DarlAuszahlung,18),128)+1)</f>
      </c>
      <c r="F8292" s="43">
        <f>IF($E8292=0,0,YEAR($E8292))</f>
      </c>
      <c r="G8292" s="43">
        <f>IF(INDEX(DarlBindung,18)="",1,IF($E8292&lt;=INDEX(DarlBindung,18),1,0))</f>
      </c>
      <c r="H8292" s="43">
        <f>IF($G8292=1,INDEX(DarlSollzins,18),INDEX(DarlAnschluss,18))</f>
      </c>
      <c r="I8292" s="43">
        <f>IF(INDEX(DarlBelegt,18)=0,0,IF(INDEX(DarlOhneTilgung,18)=1,IF(INDEX(DarlBindung,18)="",1,$G8292),IF($J8292&gt;0.005,1,0)))</f>
      </c>
      <c r="J8292" s="43">
        <f>IF($I8291=0,0,$R8291)</f>
      </c>
      <c r="K8292" s="43">
        <f>IF($I8292=0,0,IF(INDEX(DarlOhneTilgung,18)=1,0,IF(AND(INDEX(DarlTilgStart,18)&gt;0,$E8292=INDEX(DarlTilgStart,18)),$J8292*($H8292+INDEX(DarlTilgung,18))/100/12,IF(AND($G8292=0,$G8291=1),MAX($K8291,$J8292*($H8292+1)/100/12),$K8291))))</f>
      </c>
      <c r="L8292" s="43">
        <f>IF($I8292=0,0,$J8292*$H8292/100/12)</f>
      </c>
      <c r="M8292" s="43">
        <f>IF($I8292=0,0,IF(OR(INDEX(DarlOhneTilgung,18)=1,AND(INDEX(DarlTilgStart,18)&gt;0,$E8292&lt;INDEX(DarlTilgStart,18))),0,MIN(MAX(0,$K8292-$L8292),$J8292)))</f>
      </c>
      <c r="N8292" s="43">
        <f>IF($I8292=0,0,MIN(SUMIFS(SondBetrag,SondDarl,18,SondDatum,"&gt;="&amp;$E8292,SondDatum,"&lt;="&amp;EOMONTH($E8292,0)),$J8292-$M8292))</f>
      </c>
      <c r="O8292" s="43">
        <f>IF($I8292=0,0,INDEX(DarlErsatzRate,18))</f>
      </c>
      <c r="P8292" s="43">
        <f>IF($I8292=0,0,$Q8291*INDEX(DarlErsatzZins,18))</f>
      </c>
      <c r="Q8292" s="43">
        <f>IF($I8292=0,0,$Q8291+$P8292+$O8292)</f>
      </c>
      <c r="R8292" s="43">
        <f>IF($I8292=0,0,$J8292-$M8292-$N8292)</f>
      </c>
    </row>
    <row r="8293">
      <c r="A8293"/>
      <c r="B8293">
        <v>18</v>
      </c>
      <c r="C8293" s="43">
        <f>INDEX(DarlObj,18)</f>
      </c>
      <c r="D8293">
        <v>130</v>
      </c>
      <c r="E8293" s="51">
        <f>IF(INDEX(DarlBelegt,18)=0,0,EOMONTH(INDEX(DarlAuszahlung,18),129)+1)</f>
      </c>
      <c r="F8293" s="43">
        <f>IF($E8293=0,0,YEAR($E8293))</f>
      </c>
      <c r="G8293" s="43">
        <f>IF(INDEX(DarlBindung,18)="",1,IF($E8293&lt;=INDEX(DarlBindung,18),1,0))</f>
      </c>
      <c r="H8293" s="43">
        <f>IF($G8293=1,INDEX(DarlSollzins,18),INDEX(DarlAnschluss,18))</f>
      </c>
      <c r="I8293" s="43">
        <f>IF(INDEX(DarlBelegt,18)=0,0,IF(INDEX(DarlOhneTilgung,18)=1,IF(INDEX(DarlBindung,18)="",1,$G8293),IF($J8293&gt;0.005,1,0)))</f>
      </c>
      <c r="J8293" s="43">
        <f>IF($I8292=0,0,$R8292)</f>
      </c>
      <c r="K8293" s="43">
        <f>IF($I8293=0,0,IF(INDEX(DarlOhneTilgung,18)=1,0,IF(AND(INDEX(DarlTilgStart,18)&gt;0,$E8293=INDEX(DarlTilgStart,18)),$J8293*($H8293+INDEX(DarlTilgung,18))/100/12,IF(AND($G8293=0,$G8292=1),MAX($K8292,$J8293*($H8293+1)/100/12),$K8292))))</f>
      </c>
      <c r="L8293" s="43">
        <f>IF($I8293=0,0,$J8293*$H8293/100/12)</f>
      </c>
      <c r="M8293" s="43">
        <f>IF($I8293=0,0,IF(OR(INDEX(DarlOhneTilgung,18)=1,AND(INDEX(DarlTilgStart,18)&gt;0,$E8293&lt;INDEX(DarlTilgStart,18))),0,MIN(MAX(0,$K8293-$L8293),$J8293)))</f>
      </c>
      <c r="N8293" s="43">
        <f>IF($I8293=0,0,MIN(SUMIFS(SondBetrag,SondDarl,18,SondDatum,"&gt;="&amp;$E8293,SondDatum,"&lt;="&amp;EOMONTH($E8293,0)),$J8293-$M8293))</f>
      </c>
      <c r="O8293" s="43">
        <f>IF($I8293=0,0,INDEX(DarlErsatzRate,18))</f>
      </c>
      <c r="P8293" s="43">
        <f>IF($I8293=0,0,$Q8292*INDEX(DarlErsatzZins,18))</f>
      </c>
      <c r="Q8293" s="43">
        <f>IF($I8293=0,0,$Q8292+$P8293+$O8293)</f>
      </c>
      <c r="R8293" s="43">
        <f>IF($I8293=0,0,$J8293-$M8293-$N8293)</f>
      </c>
    </row>
    <row r="8294">
      <c r="A8294"/>
      <c r="B8294">
        <v>18</v>
      </c>
      <c r="C8294" s="43">
        <f>INDEX(DarlObj,18)</f>
      </c>
      <c r="D8294">
        <v>131</v>
      </c>
      <c r="E8294" s="51">
        <f>IF(INDEX(DarlBelegt,18)=0,0,EOMONTH(INDEX(DarlAuszahlung,18),130)+1)</f>
      </c>
      <c r="F8294" s="43">
        <f>IF($E8294=0,0,YEAR($E8294))</f>
      </c>
      <c r="G8294" s="43">
        <f>IF(INDEX(DarlBindung,18)="",1,IF($E8294&lt;=INDEX(DarlBindung,18),1,0))</f>
      </c>
      <c r="H8294" s="43">
        <f>IF($G8294=1,INDEX(DarlSollzins,18),INDEX(DarlAnschluss,18))</f>
      </c>
      <c r="I8294" s="43">
        <f>IF(INDEX(DarlBelegt,18)=0,0,IF(INDEX(DarlOhneTilgung,18)=1,IF(INDEX(DarlBindung,18)="",1,$G8294),IF($J8294&gt;0.005,1,0)))</f>
      </c>
      <c r="J8294" s="43">
        <f>IF($I8293=0,0,$R8293)</f>
      </c>
      <c r="K8294" s="43">
        <f>IF($I8294=0,0,IF(INDEX(DarlOhneTilgung,18)=1,0,IF(AND(INDEX(DarlTilgStart,18)&gt;0,$E8294=INDEX(DarlTilgStart,18)),$J8294*($H8294+INDEX(DarlTilgung,18))/100/12,IF(AND($G8294=0,$G8293=1),MAX($K8293,$J8294*($H8294+1)/100/12),$K8293))))</f>
      </c>
      <c r="L8294" s="43">
        <f>IF($I8294=0,0,$J8294*$H8294/100/12)</f>
      </c>
      <c r="M8294" s="43">
        <f>IF($I8294=0,0,IF(OR(INDEX(DarlOhneTilgung,18)=1,AND(INDEX(DarlTilgStart,18)&gt;0,$E8294&lt;INDEX(DarlTilgStart,18))),0,MIN(MAX(0,$K8294-$L8294),$J8294)))</f>
      </c>
      <c r="N8294" s="43">
        <f>IF($I8294=0,0,MIN(SUMIFS(SondBetrag,SondDarl,18,SondDatum,"&gt;="&amp;$E8294,SondDatum,"&lt;="&amp;EOMONTH($E8294,0)),$J8294-$M8294))</f>
      </c>
      <c r="O8294" s="43">
        <f>IF($I8294=0,0,INDEX(DarlErsatzRate,18))</f>
      </c>
      <c r="P8294" s="43">
        <f>IF($I8294=0,0,$Q8293*INDEX(DarlErsatzZins,18))</f>
      </c>
      <c r="Q8294" s="43">
        <f>IF($I8294=0,0,$Q8293+$P8294+$O8294)</f>
      </c>
      <c r="R8294" s="43">
        <f>IF($I8294=0,0,$J8294-$M8294-$N8294)</f>
      </c>
    </row>
    <row r="8295">
      <c r="A8295"/>
      <c r="B8295">
        <v>18</v>
      </c>
      <c r="C8295" s="43">
        <f>INDEX(DarlObj,18)</f>
      </c>
      <c r="D8295">
        <v>132</v>
      </c>
      <c r="E8295" s="51">
        <f>IF(INDEX(DarlBelegt,18)=0,0,EOMONTH(INDEX(DarlAuszahlung,18),131)+1)</f>
      </c>
      <c r="F8295" s="43">
        <f>IF($E8295=0,0,YEAR($E8295))</f>
      </c>
      <c r="G8295" s="43">
        <f>IF(INDEX(DarlBindung,18)="",1,IF($E8295&lt;=INDEX(DarlBindung,18),1,0))</f>
      </c>
      <c r="H8295" s="43">
        <f>IF($G8295=1,INDEX(DarlSollzins,18),INDEX(DarlAnschluss,18))</f>
      </c>
      <c r="I8295" s="43">
        <f>IF(INDEX(DarlBelegt,18)=0,0,IF(INDEX(DarlOhneTilgung,18)=1,IF(INDEX(DarlBindung,18)="",1,$G8295),IF($J8295&gt;0.005,1,0)))</f>
      </c>
      <c r="J8295" s="43">
        <f>IF($I8294=0,0,$R8294)</f>
      </c>
      <c r="K8295" s="43">
        <f>IF($I8295=0,0,IF(INDEX(DarlOhneTilgung,18)=1,0,IF(AND(INDEX(DarlTilgStart,18)&gt;0,$E8295=INDEX(DarlTilgStart,18)),$J8295*($H8295+INDEX(DarlTilgung,18))/100/12,IF(AND($G8295=0,$G8294=1),MAX($K8294,$J8295*($H8295+1)/100/12),$K8294))))</f>
      </c>
      <c r="L8295" s="43">
        <f>IF($I8295=0,0,$J8295*$H8295/100/12)</f>
      </c>
      <c r="M8295" s="43">
        <f>IF($I8295=0,0,IF(OR(INDEX(DarlOhneTilgung,18)=1,AND(INDEX(DarlTilgStart,18)&gt;0,$E8295&lt;INDEX(DarlTilgStart,18))),0,MIN(MAX(0,$K8295-$L8295),$J8295)))</f>
      </c>
      <c r="N8295" s="43">
        <f>IF($I8295=0,0,MIN(SUMIFS(SondBetrag,SondDarl,18,SondDatum,"&gt;="&amp;$E8295,SondDatum,"&lt;="&amp;EOMONTH($E8295,0)),$J8295-$M8295))</f>
      </c>
      <c r="O8295" s="43">
        <f>IF($I8295=0,0,INDEX(DarlErsatzRate,18))</f>
      </c>
      <c r="P8295" s="43">
        <f>IF($I8295=0,0,$Q8294*INDEX(DarlErsatzZins,18))</f>
      </c>
      <c r="Q8295" s="43">
        <f>IF($I8295=0,0,$Q8294+$P8295+$O8295)</f>
      </c>
      <c r="R8295" s="43">
        <f>IF($I8295=0,0,$J8295-$M8295-$N8295)</f>
      </c>
    </row>
    <row r="8296">
      <c r="A8296"/>
      <c r="B8296">
        <v>18</v>
      </c>
      <c r="C8296" s="43">
        <f>INDEX(DarlObj,18)</f>
      </c>
      <c r="D8296">
        <v>133</v>
      </c>
      <c r="E8296" s="51">
        <f>IF(INDEX(DarlBelegt,18)=0,0,EOMONTH(INDEX(DarlAuszahlung,18),132)+1)</f>
      </c>
      <c r="F8296" s="43">
        <f>IF($E8296=0,0,YEAR($E8296))</f>
      </c>
      <c r="G8296" s="43">
        <f>IF(INDEX(DarlBindung,18)="",1,IF($E8296&lt;=INDEX(DarlBindung,18),1,0))</f>
      </c>
      <c r="H8296" s="43">
        <f>IF($G8296=1,INDEX(DarlSollzins,18),INDEX(DarlAnschluss,18))</f>
      </c>
      <c r="I8296" s="43">
        <f>IF(INDEX(DarlBelegt,18)=0,0,IF(INDEX(DarlOhneTilgung,18)=1,IF(INDEX(DarlBindung,18)="",1,$G8296),IF($J8296&gt;0.005,1,0)))</f>
      </c>
      <c r="J8296" s="43">
        <f>IF($I8295=0,0,$R8295)</f>
      </c>
      <c r="K8296" s="43">
        <f>IF($I8296=0,0,IF(INDEX(DarlOhneTilgung,18)=1,0,IF(AND(INDEX(DarlTilgStart,18)&gt;0,$E8296=INDEX(DarlTilgStart,18)),$J8296*($H8296+INDEX(DarlTilgung,18))/100/12,IF(AND($G8296=0,$G8295=1),MAX($K8295,$J8296*($H8296+1)/100/12),$K8295))))</f>
      </c>
      <c r="L8296" s="43">
        <f>IF($I8296=0,0,$J8296*$H8296/100/12)</f>
      </c>
      <c r="M8296" s="43">
        <f>IF($I8296=0,0,IF(OR(INDEX(DarlOhneTilgung,18)=1,AND(INDEX(DarlTilgStart,18)&gt;0,$E8296&lt;INDEX(DarlTilgStart,18))),0,MIN(MAX(0,$K8296-$L8296),$J8296)))</f>
      </c>
      <c r="N8296" s="43">
        <f>IF($I8296=0,0,MIN(SUMIFS(SondBetrag,SondDarl,18,SondDatum,"&gt;="&amp;$E8296,SondDatum,"&lt;="&amp;EOMONTH($E8296,0)),$J8296-$M8296))</f>
      </c>
      <c r="O8296" s="43">
        <f>IF($I8296=0,0,INDEX(DarlErsatzRate,18))</f>
      </c>
      <c r="P8296" s="43">
        <f>IF($I8296=0,0,$Q8295*INDEX(DarlErsatzZins,18))</f>
      </c>
      <c r="Q8296" s="43">
        <f>IF($I8296=0,0,$Q8295+$P8296+$O8296)</f>
      </c>
      <c r="R8296" s="43">
        <f>IF($I8296=0,0,$J8296-$M8296-$N8296)</f>
      </c>
    </row>
    <row r="8297">
      <c r="A8297"/>
      <c r="B8297">
        <v>18</v>
      </c>
      <c r="C8297" s="43">
        <f>INDEX(DarlObj,18)</f>
      </c>
      <c r="D8297">
        <v>134</v>
      </c>
      <c r="E8297" s="51">
        <f>IF(INDEX(DarlBelegt,18)=0,0,EOMONTH(INDEX(DarlAuszahlung,18),133)+1)</f>
      </c>
      <c r="F8297" s="43">
        <f>IF($E8297=0,0,YEAR($E8297))</f>
      </c>
      <c r="G8297" s="43">
        <f>IF(INDEX(DarlBindung,18)="",1,IF($E8297&lt;=INDEX(DarlBindung,18),1,0))</f>
      </c>
      <c r="H8297" s="43">
        <f>IF($G8297=1,INDEX(DarlSollzins,18),INDEX(DarlAnschluss,18))</f>
      </c>
      <c r="I8297" s="43">
        <f>IF(INDEX(DarlBelegt,18)=0,0,IF(INDEX(DarlOhneTilgung,18)=1,IF(INDEX(DarlBindung,18)="",1,$G8297),IF($J8297&gt;0.005,1,0)))</f>
      </c>
      <c r="J8297" s="43">
        <f>IF($I8296=0,0,$R8296)</f>
      </c>
      <c r="K8297" s="43">
        <f>IF($I8297=0,0,IF(INDEX(DarlOhneTilgung,18)=1,0,IF(AND(INDEX(DarlTilgStart,18)&gt;0,$E8297=INDEX(DarlTilgStart,18)),$J8297*($H8297+INDEX(DarlTilgung,18))/100/12,IF(AND($G8297=0,$G8296=1),MAX($K8296,$J8297*($H8297+1)/100/12),$K8296))))</f>
      </c>
      <c r="L8297" s="43">
        <f>IF($I8297=0,0,$J8297*$H8297/100/12)</f>
      </c>
      <c r="M8297" s="43">
        <f>IF($I8297=0,0,IF(OR(INDEX(DarlOhneTilgung,18)=1,AND(INDEX(DarlTilgStart,18)&gt;0,$E8297&lt;INDEX(DarlTilgStart,18))),0,MIN(MAX(0,$K8297-$L8297),$J8297)))</f>
      </c>
      <c r="N8297" s="43">
        <f>IF($I8297=0,0,MIN(SUMIFS(SondBetrag,SondDarl,18,SondDatum,"&gt;="&amp;$E8297,SondDatum,"&lt;="&amp;EOMONTH($E8297,0)),$J8297-$M8297))</f>
      </c>
      <c r="O8297" s="43">
        <f>IF($I8297=0,0,INDEX(DarlErsatzRate,18))</f>
      </c>
      <c r="P8297" s="43">
        <f>IF($I8297=0,0,$Q8296*INDEX(DarlErsatzZins,18))</f>
      </c>
      <c r="Q8297" s="43">
        <f>IF($I8297=0,0,$Q8296+$P8297+$O8297)</f>
      </c>
      <c r="R8297" s="43">
        <f>IF($I8297=0,0,$J8297-$M8297-$N8297)</f>
      </c>
    </row>
    <row r="8298">
      <c r="A8298"/>
      <c r="B8298">
        <v>18</v>
      </c>
      <c r="C8298" s="43">
        <f>INDEX(DarlObj,18)</f>
      </c>
      <c r="D8298">
        <v>135</v>
      </c>
      <c r="E8298" s="51">
        <f>IF(INDEX(DarlBelegt,18)=0,0,EOMONTH(INDEX(DarlAuszahlung,18),134)+1)</f>
      </c>
      <c r="F8298" s="43">
        <f>IF($E8298=0,0,YEAR($E8298))</f>
      </c>
      <c r="G8298" s="43">
        <f>IF(INDEX(DarlBindung,18)="",1,IF($E8298&lt;=INDEX(DarlBindung,18),1,0))</f>
      </c>
      <c r="H8298" s="43">
        <f>IF($G8298=1,INDEX(DarlSollzins,18),INDEX(DarlAnschluss,18))</f>
      </c>
      <c r="I8298" s="43">
        <f>IF(INDEX(DarlBelegt,18)=0,0,IF(INDEX(DarlOhneTilgung,18)=1,IF(INDEX(DarlBindung,18)="",1,$G8298),IF($J8298&gt;0.005,1,0)))</f>
      </c>
      <c r="J8298" s="43">
        <f>IF($I8297=0,0,$R8297)</f>
      </c>
      <c r="K8298" s="43">
        <f>IF($I8298=0,0,IF(INDEX(DarlOhneTilgung,18)=1,0,IF(AND(INDEX(DarlTilgStart,18)&gt;0,$E8298=INDEX(DarlTilgStart,18)),$J8298*($H8298+INDEX(DarlTilgung,18))/100/12,IF(AND($G8298=0,$G8297=1),MAX($K8297,$J8298*($H8298+1)/100/12),$K8297))))</f>
      </c>
      <c r="L8298" s="43">
        <f>IF($I8298=0,0,$J8298*$H8298/100/12)</f>
      </c>
      <c r="M8298" s="43">
        <f>IF($I8298=0,0,IF(OR(INDEX(DarlOhneTilgung,18)=1,AND(INDEX(DarlTilgStart,18)&gt;0,$E8298&lt;INDEX(DarlTilgStart,18))),0,MIN(MAX(0,$K8298-$L8298),$J8298)))</f>
      </c>
      <c r="N8298" s="43">
        <f>IF($I8298=0,0,MIN(SUMIFS(SondBetrag,SondDarl,18,SondDatum,"&gt;="&amp;$E8298,SondDatum,"&lt;="&amp;EOMONTH($E8298,0)),$J8298-$M8298))</f>
      </c>
      <c r="O8298" s="43">
        <f>IF($I8298=0,0,INDEX(DarlErsatzRate,18))</f>
      </c>
      <c r="P8298" s="43">
        <f>IF($I8298=0,0,$Q8297*INDEX(DarlErsatzZins,18))</f>
      </c>
      <c r="Q8298" s="43">
        <f>IF($I8298=0,0,$Q8297+$P8298+$O8298)</f>
      </c>
      <c r="R8298" s="43">
        <f>IF($I8298=0,0,$J8298-$M8298-$N8298)</f>
      </c>
    </row>
    <row r="8299">
      <c r="A8299"/>
      <c r="B8299">
        <v>18</v>
      </c>
      <c r="C8299" s="43">
        <f>INDEX(DarlObj,18)</f>
      </c>
      <c r="D8299">
        <v>136</v>
      </c>
      <c r="E8299" s="51">
        <f>IF(INDEX(DarlBelegt,18)=0,0,EOMONTH(INDEX(DarlAuszahlung,18),135)+1)</f>
      </c>
      <c r="F8299" s="43">
        <f>IF($E8299=0,0,YEAR($E8299))</f>
      </c>
      <c r="G8299" s="43">
        <f>IF(INDEX(DarlBindung,18)="",1,IF($E8299&lt;=INDEX(DarlBindung,18),1,0))</f>
      </c>
      <c r="H8299" s="43">
        <f>IF($G8299=1,INDEX(DarlSollzins,18),INDEX(DarlAnschluss,18))</f>
      </c>
      <c r="I8299" s="43">
        <f>IF(INDEX(DarlBelegt,18)=0,0,IF(INDEX(DarlOhneTilgung,18)=1,IF(INDEX(DarlBindung,18)="",1,$G8299),IF($J8299&gt;0.005,1,0)))</f>
      </c>
      <c r="J8299" s="43">
        <f>IF($I8298=0,0,$R8298)</f>
      </c>
      <c r="K8299" s="43">
        <f>IF($I8299=0,0,IF(INDEX(DarlOhneTilgung,18)=1,0,IF(AND(INDEX(DarlTilgStart,18)&gt;0,$E8299=INDEX(DarlTilgStart,18)),$J8299*($H8299+INDEX(DarlTilgung,18))/100/12,IF(AND($G8299=0,$G8298=1),MAX($K8298,$J8299*($H8299+1)/100/12),$K8298))))</f>
      </c>
      <c r="L8299" s="43">
        <f>IF($I8299=0,0,$J8299*$H8299/100/12)</f>
      </c>
      <c r="M8299" s="43">
        <f>IF($I8299=0,0,IF(OR(INDEX(DarlOhneTilgung,18)=1,AND(INDEX(DarlTilgStart,18)&gt;0,$E8299&lt;INDEX(DarlTilgStart,18))),0,MIN(MAX(0,$K8299-$L8299),$J8299)))</f>
      </c>
      <c r="N8299" s="43">
        <f>IF($I8299=0,0,MIN(SUMIFS(SondBetrag,SondDarl,18,SondDatum,"&gt;="&amp;$E8299,SondDatum,"&lt;="&amp;EOMONTH($E8299,0)),$J8299-$M8299))</f>
      </c>
      <c r="O8299" s="43">
        <f>IF($I8299=0,0,INDEX(DarlErsatzRate,18))</f>
      </c>
      <c r="P8299" s="43">
        <f>IF($I8299=0,0,$Q8298*INDEX(DarlErsatzZins,18))</f>
      </c>
      <c r="Q8299" s="43">
        <f>IF($I8299=0,0,$Q8298+$P8299+$O8299)</f>
      </c>
      <c r="R8299" s="43">
        <f>IF($I8299=0,0,$J8299-$M8299-$N8299)</f>
      </c>
    </row>
    <row r="8300">
      <c r="A8300"/>
      <c r="B8300">
        <v>18</v>
      </c>
      <c r="C8300" s="43">
        <f>INDEX(DarlObj,18)</f>
      </c>
      <c r="D8300">
        <v>137</v>
      </c>
      <c r="E8300" s="51">
        <f>IF(INDEX(DarlBelegt,18)=0,0,EOMONTH(INDEX(DarlAuszahlung,18),136)+1)</f>
      </c>
      <c r="F8300" s="43">
        <f>IF($E8300=0,0,YEAR($E8300))</f>
      </c>
      <c r="G8300" s="43">
        <f>IF(INDEX(DarlBindung,18)="",1,IF($E8300&lt;=INDEX(DarlBindung,18),1,0))</f>
      </c>
      <c r="H8300" s="43">
        <f>IF($G8300=1,INDEX(DarlSollzins,18),INDEX(DarlAnschluss,18))</f>
      </c>
      <c r="I8300" s="43">
        <f>IF(INDEX(DarlBelegt,18)=0,0,IF(INDEX(DarlOhneTilgung,18)=1,IF(INDEX(DarlBindung,18)="",1,$G8300),IF($J8300&gt;0.005,1,0)))</f>
      </c>
      <c r="J8300" s="43">
        <f>IF($I8299=0,0,$R8299)</f>
      </c>
      <c r="K8300" s="43">
        <f>IF($I8300=0,0,IF(INDEX(DarlOhneTilgung,18)=1,0,IF(AND(INDEX(DarlTilgStart,18)&gt;0,$E8300=INDEX(DarlTilgStart,18)),$J8300*($H8300+INDEX(DarlTilgung,18))/100/12,IF(AND($G8300=0,$G8299=1),MAX($K8299,$J8300*($H8300+1)/100/12),$K8299))))</f>
      </c>
      <c r="L8300" s="43">
        <f>IF($I8300=0,0,$J8300*$H8300/100/12)</f>
      </c>
      <c r="M8300" s="43">
        <f>IF($I8300=0,0,IF(OR(INDEX(DarlOhneTilgung,18)=1,AND(INDEX(DarlTilgStart,18)&gt;0,$E8300&lt;INDEX(DarlTilgStart,18))),0,MIN(MAX(0,$K8300-$L8300),$J8300)))</f>
      </c>
      <c r="N8300" s="43">
        <f>IF($I8300=0,0,MIN(SUMIFS(SondBetrag,SondDarl,18,SondDatum,"&gt;="&amp;$E8300,SondDatum,"&lt;="&amp;EOMONTH($E8300,0)),$J8300-$M8300))</f>
      </c>
      <c r="O8300" s="43">
        <f>IF($I8300=0,0,INDEX(DarlErsatzRate,18))</f>
      </c>
      <c r="P8300" s="43">
        <f>IF($I8300=0,0,$Q8299*INDEX(DarlErsatzZins,18))</f>
      </c>
      <c r="Q8300" s="43">
        <f>IF($I8300=0,0,$Q8299+$P8300+$O8300)</f>
      </c>
      <c r="R8300" s="43">
        <f>IF($I8300=0,0,$J8300-$M8300-$N8300)</f>
      </c>
    </row>
    <row r="8301">
      <c r="A8301"/>
      <c r="B8301">
        <v>18</v>
      </c>
      <c r="C8301" s="43">
        <f>INDEX(DarlObj,18)</f>
      </c>
      <c r="D8301">
        <v>138</v>
      </c>
      <c r="E8301" s="51">
        <f>IF(INDEX(DarlBelegt,18)=0,0,EOMONTH(INDEX(DarlAuszahlung,18),137)+1)</f>
      </c>
      <c r="F8301" s="43">
        <f>IF($E8301=0,0,YEAR($E8301))</f>
      </c>
      <c r="G8301" s="43">
        <f>IF(INDEX(DarlBindung,18)="",1,IF($E8301&lt;=INDEX(DarlBindung,18),1,0))</f>
      </c>
      <c r="H8301" s="43">
        <f>IF($G8301=1,INDEX(DarlSollzins,18),INDEX(DarlAnschluss,18))</f>
      </c>
      <c r="I8301" s="43">
        <f>IF(INDEX(DarlBelegt,18)=0,0,IF(INDEX(DarlOhneTilgung,18)=1,IF(INDEX(DarlBindung,18)="",1,$G8301),IF($J8301&gt;0.005,1,0)))</f>
      </c>
      <c r="J8301" s="43">
        <f>IF($I8300=0,0,$R8300)</f>
      </c>
      <c r="K8301" s="43">
        <f>IF($I8301=0,0,IF(INDEX(DarlOhneTilgung,18)=1,0,IF(AND(INDEX(DarlTilgStart,18)&gt;0,$E8301=INDEX(DarlTilgStart,18)),$J8301*($H8301+INDEX(DarlTilgung,18))/100/12,IF(AND($G8301=0,$G8300=1),MAX($K8300,$J8301*($H8301+1)/100/12),$K8300))))</f>
      </c>
      <c r="L8301" s="43">
        <f>IF($I8301=0,0,$J8301*$H8301/100/12)</f>
      </c>
      <c r="M8301" s="43">
        <f>IF($I8301=0,0,IF(OR(INDEX(DarlOhneTilgung,18)=1,AND(INDEX(DarlTilgStart,18)&gt;0,$E8301&lt;INDEX(DarlTilgStart,18))),0,MIN(MAX(0,$K8301-$L8301),$J8301)))</f>
      </c>
      <c r="N8301" s="43">
        <f>IF($I8301=0,0,MIN(SUMIFS(SondBetrag,SondDarl,18,SondDatum,"&gt;="&amp;$E8301,SondDatum,"&lt;="&amp;EOMONTH($E8301,0)),$J8301-$M8301))</f>
      </c>
      <c r="O8301" s="43">
        <f>IF($I8301=0,0,INDEX(DarlErsatzRate,18))</f>
      </c>
      <c r="P8301" s="43">
        <f>IF($I8301=0,0,$Q8300*INDEX(DarlErsatzZins,18))</f>
      </c>
      <c r="Q8301" s="43">
        <f>IF($I8301=0,0,$Q8300+$P8301+$O8301)</f>
      </c>
      <c r="R8301" s="43">
        <f>IF($I8301=0,0,$J8301-$M8301-$N8301)</f>
      </c>
    </row>
    <row r="8302">
      <c r="A8302"/>
      <c r="B8302">
        <v>18</v>
      </c>
      <c r="C8302" s="43">
        <f>INDEX(DarlObj,18)</f>
      </c>
      <c r="D8302">
        <v>139</v>
      </c>
      <c r="E8302" s="51">
        <f>IF(INDEX(DarlBelegt,18)=0,0,EOMONTH(INDEX(DarlAuszahlung,18),138)+1)</f>
      </c>
      <c r="F8302" s="43">
        <f>IF($E8302=0,0,YEAR($E8302))</f>
      </c>
      <c r="G8302" s="43">
        <f>IF(INDEX(DarlBindung,18)="",1,IF($E8302&lt;=INDEX(DarlBindung,18),1,0))</f>
      </c>
      <c r="H8302" s="43">
        <f>IF($G8302=1,INDEX(DarlSollzins,18),INDEX(DarlAnschluss,18))</f>
      </c>
      <c r="I8302" s="43">
        <f>IF(INDEX(DarlBelegt,18)=0,0,IF(INDEX(DarlOhneTilgung,18)=1,IF(INDEX(DarlBindung,18)="",1,$G8302),IF($J8302&gt;0.005,1,0)))</f>
      </c>
      <c r="J8302" s="43">
        <f>IF($I8301=0,0,$R8301)</f>
      </c>
      <c r="K8302" s="43">
        <f>IF($I8302=0,0,IF(INDEX(DarlOhneTilgung,18)=1,0,IF(AND(INDEX(DarlTilgStart,18)&gt;0,$E8302=INDEX(DarlTilgStart,18)),$J8302*($H8302+INDEX(DarlTilgung,18))/100/12,IF(AND($G8302=0,$G8301=1),MAX($K8301,$J8302*($H8302+1)/100/12),$K8301))))</f>
      </c>
      <c r="L8302" s="43">
        <f>IF($I8302=0,0,$J8302*$H8302/100/12)</f>
      </c>
      <c r="M8302" s="43">
        <f>IF($I8302=0,0,IF(OR(INDEX(DarlOhneTilgung,18)=1,AND(INDEX(DarlTilgStart,18)&gt;0,$E8302&lt;INDEX(DarlTilgStart,18))),0,MIN(MAX(0,$K8302-$L8302),$J8302)))</f>
      </c>
      <c r="N8302" s="43">
        <f>IF($I8302=0,0,MIN(SUMIFS(SondBetrag,SondDarl,18,SondDatum,"&gt;="&amp;$E8302,SondDatum,"&lt;="&amp;EOMONTH($E8302,0)),$J8302-$M8302))</f>
      </c>
      <c r="O8302" s="43">
        <f>IF($I8302=0,0,INDEX(DarlErsatzRate,18))</f>
      </c>
      <c r="P8302" s="43">
        <f>IF($I8302=0,0,$Q8301*INDEX(DarlErsatzZins,18))</f>
      </c>
      <c r="Q8302" s="43">
        <f>IF($I8302=0,0,$Q8301+$P8302+$O8302)</f>
      </c>
      <c r="R8302" s="43">
        <f>IF($I8302=0,0,$J8302-$M8302-$N8302)</f>
      </c>
    </row>
    <row r="8303">
      <c r="A8303"/>
      <c r="B8303">
        <v>18</v>
      </c>
      <c r="C8303" s="43">
        <f>INDEX(DarlObj,18)</f>
      </c>
      <c r="D8303">
        <v>140</v>
      </c>
      <c r="E8303" s="51">
        <f>IF(INDEX(DarlBelegt,18)=0,0,EOMONTH(INDEX(DarlAuszahlung,18),139)+1)</f>
      </c>
      <c r="F8303" s="43">
        <f>IF($E8303=0,0,YEAR($E8303))</f>
      </c>
      <c r="G8303" s="43">
        <f>IF(INDEX(DarlBindung,18)="",1,IF($E8303&lt;=INDEX(DarlBindung,18),1,0))</f>
      </c>
      <c r="H8303" s="43">
        <f>IF($G8303=1,INDEX(DarlSollzins,18),INDEX(DarlAnschluss,18))</f>
      </c>
      <c r="I8303" s="43">
        <f>IF(INDEX(DarlBelegt,18)=0,0,IF(INDEX(DarlOhneTilgung,18)=1,IF(INDEX(DarlBindung,18)="",1,$G8303),IF($J8303&gt;0.005,1,0)))</f>
      </c>
      <c r="J8303" s="43">
        <f>IF($I8302=0,0,$R8302)</f>
      </c>
      <c r="K8303" s="43">
        <f>IF($I8303=0,0,IF(INDEX(DarlOhneTilgung,18)=1,0,IF(AND(INDEX(DarlTilgStart,18)&gt;0,$E8303=INDEX(DarlTilgStart,18)),$J8303*($H8303+INDEX(DarlTilgung,18))/100/12,IF(AND($G8303=0,$G8302=1),MAX($K8302,$J8303*($H8303+1)/100/12),$K8302))))</f>
      </c>
      <c r="L8303" s="43">
        <f>IF($I8303=0,0,$J8303*$H8303/100/12)</f>
      </c>
      <c r="M8303" s="43">
        <f>IF($I8303=0,0,IF(OR(INDEX(DarlOhneTilgung,18)=1,AND(INDEX(DarlTilgStart,18)&gt;0,$E8303&lt;INDEX(DarlTilgStart,18))),0,MIN(MAX(0,$K8303-$L8303),$J8303)))</f>
      </c>
      <c r="N8303" s="43">
        <f>IF($I8303=0,0,MIN(SUMIFS(SondBetrag,SondDarl,18,SondDatum,"&gt;="&amp;$E8303,SondDatum,"&lt;="&amp;EOMONTH($E8303,0)),$J8303-$M8303))</f>
      </c>
      <c r="O8303" s="43">
        <f>IF($I8303=0,0,INDEX(DarlErsatzRate,18))</f>
      </c>
      <c r="P8303" s="43">
        <f>IF($I8303=0,0,$Q8302*INDEX(DarlErsatzZins,18))</f>
      </c>
      <c r="Q8303" s="43">
        <f>IF($I8303=0,0,$Q8302+$P8303+$O8303)</f>
      </c>
      <c r="R8303" s="43">
        <f>IF($I8303=0,0,$J8303-$M8303-$N8303)</f>
      </c>
    </row>
    <row r="8304">
      <c r="A8304"/>
      <c r="B8304">
        <v>18</v>
      </c>
      <c r="C8304" s="43">
        <f>INDEX(DarlObj,18)</f>
      </c>
      <c r="D8304">
        <v>141</v>
      </c>
      <c r="E8304" s="51">
        <f>IF(INDEX(DarlBelegt,18)=0,0,EOMONTH(INDEX(DarlAuszahlung,18),140)+1)</f>
      </c>
      <c r="F8304" s="43">
        <f>IF($E8304=0,0,YEAR($E8304))</f>
      </c>
      <c r="G8304" s="43">
        <f>IF(INDEX(DarlBindung,18)="",1,IF($E8304&lt;=INDEX(DarlBindung,18),1,0))</f>
      </c>
      <c r="H8304" s="43">
        <f>IF($G8304=1,INDEX(DarlSollzins,18),INDEX(DarlAnschluss,18))</f>
      </c>
      <c r="I8304" s="43">
        <f>IF(INDEX(DarlBelegt,18)=0,0,IF(INDEX(DarlOhneTilgung,18)=1,IF(INDEX(DarlBindung,18)="",1,$G8304),IF($J8304&gt;0.005,1,0)))</f>
      </c>
      <c r="J8304" s="43">
        <f>IF($I8303=0,0,$R8303)</f>
      </c>
      <c r="K8304" s="43">
        <f>IF($I8304=0,0,IF(INDEX(DarlOhneTilgung,18)=1,0,IF(AND(INDEX(DarlTilgStart,18)&gt;0,$E8304=INDEX(DarlTilgStart,18)),$J8304*($H8304+INDEX(DarlTilgung,18))/100/12,IF(AND($G8304=0,$G8303=1),MAX($K8303,$J8304*($H8304+1)/100/12),$K8303))))</f>
      </c>
      <c r="L8304" s="43">
        <f>IF($I8304=0,0,$J8304*$H8304/100/12)</f>
      </c>
      <c r="M8304" s="43">
        <f>IF($I8304=0,0,IF(OR(INDEX(DarlOhneTilgung,18)=1,AND(INDEX(DarlTilgStart,18)&gt;0,$E8304&lt;INDEX(DarlTilgStart,18))),0,MIN(MAX(0,$K8304-$L8304),$J8304)))</f>
      </c>
      <c r="N8304" s="43">
        <f>IF($I8304=0,0,MIN(SUMIFS(SondBetrag,SondDarl,18,SondDatum,"&gt;="&amp;$E8304,SondDatum,"&lt;="&amp;EOMONTH($E8304,0)),$J8304-$M8304))</f>
      </c>
      <c r="O8304" s="43">
        <f>IF($I8304=0,0,INDEX(DarlErsatzRate,18))</f>
      </c>
      <c r="P8304" s="43">
        <f>IF($I8304=0,0,$Q8303*INDEX(DarlErsatzZins,18))</f>
      </c>
      <c r="Q8304" s="43">
        <f>IF($I8304=0,0,$Q8303+$P8304+$O8304)</f>
      </c>
      <c r="R8304" s="43">
        <f>IF($I8304=0,0,$J8304-$M8304-$N8304)</f>
      </c>
    </row>
    <row r="8305">
      <c r="A8305"/>
      <c r="B8305">
        <v>18</v>
      </c>
      <c r="C8305" s="43">
        <f>INDEX(DarlObj,18)</f>
      </c>
      <c r="D8305">
        <v>142</v>
      </c>
      <c r="E8305" s="51">
        <f>IF(INDEX(DarlBelegt,18)=0,0,EOMONTH(INDEX(DarlAuszahlung,18),141)+1)</f>
      </c>
      <c r="F8305" s="43">
        <f>IF($E8305=0,0,YEAR($E8305))</f>
      </c>
      <c r="G8305" s="43">
        <f>IF(INDEX(DarlBindung,18)="",1,IF($E8305&lt;=INDEX(DarlBindung,18),1,0))</f>
      </c>
      <c r="H8305" s="43">
        <f>IF($G8305=1,INDEX(DarlSollzins,18),INDEX(DarlAnschluss,18))</f>
      </c>
      <c r="I8305" s="43">
        <f>IF(INDEX(DarlBelegt,18)=0,0,IF(INDEX(DarlOhneTilgung,18)=1,IF(INDEX(DarlBindung,18)="",1,$G8305),IF($J8305&gt;0.005,1,0)))</f>
      </c>
      <c r="J8305" s="43">
        <f>IF($I8304=0,0,$R8304)</f>
      </c>
      <c r="K8305" s="43">
        <f>IF($I8305=0,0,IF(INDEX(DarlOhneTilgung,18)=1,0,IF(AND(INDEX(DarlTilgStart,18)&gt;0,$E8305=INDEX(DarlTilgStart,18)),$J8305*($H8305+INDEX(DarlTilgung,18))/100/12,IF(AND($G8305=0,$G8304=1),MAX($K8304,$J8305*($H8305+1)/100/12),$K8304))))</f>
      </c>
      <c r="L8305" s="43">
        <f>IF($I8305=0,0,$J8305*$H8305/100/12)</f>
      </c>
      <c r="M8305" s="43">
        <f>IF($I8305=0,0,IF(OR(INDEX(DarlOhneTilgung,18)=1,AND(INDEX(DarlTilgStart,18)&gt;0,$E8305&lt;INDEX(DarlTilgStart,18))),0,MIN(MAX(0,$K8305-$L8305),$J8305)))</f>
      </c>
      <c r="N8305" s="43">
        <f>IF($I8305=0,0,MIN(SUMIFS(SondBetrag,SondDarl,18,SondDatum,"&gt;="&amp;$E8305,SondDatum,"&lt;="&amp;EOMONTH($E8305,0)),$J8305-$M8305))</f>
      </c>
      <c r="O8305" s="43">
        <f>IF($I8305=0,0,INDEX(DarlErsatzRate,18))</f>
      </c>
      <c r="P8305" s="43">
        <f>IF($I8305=0,0,$Q8304*INDEX(DarlErsatzZins,18))</f>
      </c>
      <c r="Q8305" s="43">
        <f>IF($I8305=0,0,$Q8304+$P8305+$O8305)</f>
      </c>
      <c r="R8305" s="43">
        <f>IF($I8305=0,0,$J8305-$M8305-$N8305)</f>
      </c>
    </row>
    <row r="8306">
      <c r="A8306"/>
      <c r="B8306">
        <v>18</v>
      </c>
      <c r="C8306" s="43">
        <f>INDEX(DarlObj,18)</f>
      </c>
      <c r="D8306">
        <v>143</v>
      </c>
      <c r="E8306" s="51">
        <f>IF(INDEX(DarlBelegt,18)=0,0,EOMONTH(INDEX(DarlAuszahlung,18),142)+1)</f>
      </c>
      <c r="F8306" s="43">
        <f>IF($E8306=0,0,YEAR($E8306))</f>
      </c>
      <c r="G8306" s="43">
        <f>IF(INDEX(DarlBindung,18)="",1,IF($E8306&lt;=INDEX(DarlBindung,18),1,0))</f>
      </c>
      <c r="H8306" s="43">
        <f>IF($G8306=1,INDEX(DarlSollzins,18),INDEX(DarlAnschluss,18))</f>
      </c>
      <c r="I8306" s="43">
        <f>IF(INDEX(DarlBelegt,18)=0,0,IF(INDEX(DarlOhneTilgung,18)=1,IF(INDEX(DarlBindung,18)="",1,$G8306),IF($J8306&gt;0.005,1,0)))</f>
      </c>
      <c r="J8306" s="43">
        <f>IF($I8305=0,0,$R8305)</f>
      </c>
      <c r="K8306" s="43">
        <f>IF($I8306=0,0,IF(INDEX(DarlOhneTilgung,18)=1,0,IF(AND(INDEX(DarlTilgStart,18)&gt;0,$E8306=INDEX(DarlTilgStart,18)),$J8306*($H8306+INDEX(DarlTilgung,18))/100/12,IF(AND($G8306=0,$G8305=1),MAX($K8305,$J8306*($H8306+1)/100/12),$K8305))))</f>
      </c>
      <c r="L8306" s="43">
        <f>IF($I8306=0,0,$J8306*$H8306/100/12)</f>
      </c>
      <c r="M8306" s="43">
        <f>IF($I8306=0,0,IF(OR(INDEX(DarlOhneTilgung,18)=1,AND(INDEX(DarlTilgStart,18)&gt;0,$E8306&lt;INDEX(DarlTilgStart,18))),0,MIN(MAX(0,$K8306-$L8306),$J8306)))</f>
      </c>
      <c r="N8306" s="43">
        <f>IF($I8306=0,0,MIN(SUMIFS(SondBetrag,SondDarl,18,SondDatum,"&gt;="&amp;$E8306,SondDatum,"&lt;="&amp;EOMONTH($E8306,0)),$J8306-$M8306))</f>
      </c>
      <c r="O8306" s="43">
        <f>IF($I8306=0,0,INDEX(DarlErsatzRate,18))</f>
      </c>
      <c r="P8306" s="43">
        <f>IF($I8306=0,0,$Q8305*INDEX(DarlErsatzZins,18))</f>
      </c>
      <c r="Q8306" s="43">
        <f>IF($I8306=0,0,$Q8305+$P8306+$O8306)</f>
      </c>
      <c r="R8306" s="43">
        <f>IF($I8306=0,0,$J8306-$M8306-$N8306)</f>
      </c>
    </row>
    <row r="8307">
      <c r="A8307"/>
      <c r="B8307">
        <v>18</v>
      </c>
      <c r="C8307" s="43">
        <f>INDEX(DarlObj,18)</f>
      </c>
      <c r="D8307">
        <v>144</v>
      </c>
      <c r="E8307" s="51">
        <f>IF(INDEX(DarlBelegt,18)=0,0,EOMONTH(INDEX(DarlAuszahlung,18),143)+1)</f>
      </c>
      <c r="F8307" s="43">
        <f>IF($E8307=0,0,YEAR($E8307))</f>
      </c>
      <c r="G8307" s="43">
        <f>IF(INDEX(DarlBindung,18)="",1,IF($E8307&lt;=INDEX(DarlBindung,18),1,0))</f>
      </c>
      <c r="H8307" s="43">
        <f>IF($G8307=1,INDEX(DarlSollzins,18),INDEX(DarlAnschluss,18))</f>
      </c>
      <c r="I8307" s="43">
        <f>IF(INDEX(DarlBelegt,18)=0,0,IF(INDEX(DarlOhneTilgung,18)=1,IF(INDEX(DarlBindung,18)="",1,$G8307),IF($J8307&gt;0.005,1,0)))</f>
      </c>
      <c r="J8307" s="43">
        <f>IF($I8306=0,0,$R8306)</f>
      </c>
      <c r="K8307" s="43">
        <f>IF($I8307=0,0,IF(INDEX(DarlOhneTilgung,18)=1,0,IF(AND(INDEX(DarlTilgStart,18)&gt;0,$E8307=INDEX(DarlTilgStart,18)),$J8307*($H8307+INDEX(DarlTilgung,18))/100/12,IF(AND($G8307=0,$G8306=1),MAX($K8306,$J8307*($H8307+1)/100/12),$K8306))))</f>
      </c>
      <c r="L8307" s="43">
        <f>IF($I8307=0,0,$J8307*$H8307/100/12)</f>
      </c>
      <c r="M8307" s="43">
        <f>IF($I8307=0,0,IF(OR(INDEX(DarlOhneTilgung,18)=1,AND(INDEX(DarlTilgStart,18)&gt;0,$E8307&lt;INDEX(DarlTilgStart,18))),0,MIN(MAX(0,$K8307-$L8307),$J8307)))</f>
      </c>
      <c r="N8307" s="43">
        <f>IF($I8307=0,0,MIN(SUMIFS(SondBetrag,SondDarl,18,SondDatum,"&gt;="&amp;$E8307,SondDatum,"&lt;="&amp;EOMONTH($E8307,0)),$J8307-$M8307))</f>
      </c>
      <c r="O8307" s="43">
        <f>IF($I8307=0,0,INDEX(DarlErsatzRate,18))</f>
      </c>
      <c r="P8307" s="43">
        <f>IF($I8307=0,0,$Q8306*INDEX(DarlErsatzZins,18))</f>
      </c>
      <c r="Q8307" s="43">
        <f>IF($I8307=0,0,$Q8306+$P8307+$O8307)</f>
      </c>
      <c r="R8307" s="43">
        <f>IF($I8307=0,0,$J8307-$M8307-$N8307)</f>
      </c>
    </row>
    <row r="8308">
      <c r="A8308"/>
      <c r="B8308">
        <v>18</v>
      </c>
      <c r="C8308" s="43">
        <f>INDEX(DarlObj,18)</f>
      </c>
      <c r="D8308">
        <v>145</v>
      </c>
      <c r="E8308" s="51">
        <f>IF(INDEX(DarlBelegt,18)=0,0,EOMONTH(INDEX(DarlAuszahlung,18),144)+1)</f>
      </c>
      <c r="F8308" s="43">
        <f>IF($E8308=0,0,YEAR($E8308))</f>
      </c>
      <c r="G8308" s="43">
        <f>IF(INDEX(DarlBindung,18)="",1,IF($E8308&lt;=INDEX(DarlBindung,18),1,0))</f>
      </c>
      <c r="H8308" s="43">
        <f>IF($G8308=1,INDEX(DarlSollzins,18),INDEX(DarlAnschluss,18))</f>
      </c>
      <c r="I8308" s="43">
        <f>IF(INDEX(DarlBelegt,18)=0,0,IF(INDEX(DarlOhneTilgung,18)=1,IF(INDEX(DarlBindung,18)="",1,$G8308),IF($J8308&gt;0.005,1,0)))</f>
      </c>
      <c r="J8308" s="43">
        <f>IF($I8307=0,0,$R8307)</f>
      </c>
      <c r="K8308" s="43">
        <f>IF($I8308=0,0,IF(INDEX(DarlOhneTilgung,18)=1,0,IF(AND(INDEX(DarlTilgStart,18)&gt;0,$E8308=INDEX(DarlTilgStart,18)),$J8308*($H8308+INDEX(DarlTilgung,18))/100/12,IF(AND($G8308=0,$G8307=1),MAX($K8307,$J8308*($H8308+1)/100/12),$K8307))))</f>
      </c>
      <c r="L8308" s="43">
        <f>IF($I8308=0,0,$J8308*$H8308/100/12)</f>
      </c>
      <c r="M8308" s="43">
        <f>IF($I8308=0,0,IF(OR(INDEX(DarlOhneTilgung,18)=1,AND(INDEX(DarlTilgStart,18)&gt;0,$E8308&lt;INDEX(DarlTilgStart,18))),0,MIN(MAX(0,$K8308-$L8308),$J8308)))</f>
      </c>
      <c r="N8308" s="43">
        <f>IF($I8308=0,0,MIN(SUMIFS(SondBetrag,SondDarl,18,SondDatum,"&gt;="&amp;$E8308,SondDatum,"&lt;="&amp;EOMONTH($E8308,0)),$J8308-$M8308))</f>
      </c>
      <c r="O8308" s="43">
        <f>IF($I8308=0,0,INDEX(DarlErsatzRate,18))</f>
      </c>
      <c r="P8308" s="43">
        <f>IF($I8308=0,0,$Q8307*INDEX(DarlErsatzZins,18))</f>
      </c>
      <c r="Q8308" s="43">
        <f>IF($I8308=0,0,$Q8307+$P8308+$O8308)</f>
      </c>
      <c r="R8308" s="43">
        <f>IF($I8308=0,0,$J8308-$M8308-$N8308)</f>
      </c>
    </row>
    <row r="8309">
      <c r="A8309"/>
      <c r="B8309">
        <v>18</v>
      </c>
      <c r="C8309" s="43">
        <f>INDEX(DarlObj,18)</f>
      </c>
      <c r="D8309">
        <v>146</v>
      </c>
      <c r="E8309" s="51">
        <f>IF(INDEX(DarlBelegt,18)=0,0,EOMONTH(INDEX(DarlAuszahlung,18),145)+1)</f>
      </c>
      <c r="F8309" s="43">
        <f>IF($E8309=0,0,YEAR($E8309))</f>
      </c>
      <c r="G8309" s="43">
        <f>IF(INDEX(DarlBindung,18)="",1,IF($E8309&lt;=INDEX(DarlBindung,18),1,0))</f>
      </c>
      <c r="H8309" s="43">
        <f>IF($G8309=1,INDEX(DarlSollzins,18),INDEX(DarlAnschluss,18))</f>
      </c>
      <c r="I8309" s="43">
        <f>IF(INDEX(DarlBelegt,18)=0,0,IF(INDEX(DarlOhneTilgung,18)=1,IF(INDEX(DarlBindung,18)="",1,$G8309),IF($J8309&gt;0.005,1,0)))</f>
      </c>
      <c r="J8309" s="43">
        <f>IF($I8308=0,0,$R8308)</f>
      </c>
      <c r="K8309" s="43">
        <f>IF($I8309=0,0,IF(INDEX(DarlOhneTilgung,18)=1,0,IF(AND(INDEX(DarlTilgStart,18)&gt;0,$E8309=INDEX(DarlTilgStart,18)),$J8309*($H8309+INDEX(DarlTilgung,18))/100/12,IF(AND($G8309=0,$G8308=1),MAX($K8308,$J8309*($H8309+1)/100/12),$K8308))))</f>
      </c>
      <c r="L8309" s="43">
        <f>IF($I8309=0,0,$J8309*$H8309/100/12)</f>
      </c>
      <c r="M8309" s="43">
        <f>IF($I8309=0,0,IF(OR(INDEX(DarlOhneTilgung,18)=1,AND(INDEX(DarlTilgStart,18)&gt;0,$E8309&lt;INDEX(DarlTilgStart,18))),0,MIN(MAX(0,$K8309-$L8309),$J8309)))</f>
      </c>
      <c r="N8309" s="43">
        <f>IF($I8309=0,0,MIN(SUMIFS(SondBetrag,SondDarl,18,SondDatum,"&gt;="&amp;$E8309,SondDatum,"&lt;="&amp;EOMONTH($E8309,0)),$J8309-$M8309))</f>
      </c>
      <c r="O8309" s="43">
        <f>IF($I8309=0,0,INDEX(DarlErsatzRate,18))</f>
      </c>
      <c r="P8309" s="43">
        <f>IF($I8309=0,0,$Q8308*INDEX(DarlErsatzZins,18))</f>
      </c>
      <c r="Q8309" s="43">
        <f>IF($I8309=0,0,$Q8308+$P8309+$O8309)</f>
      </c>
      <c r="R8309" s="43">
        <f>IF($I8309=0,0,$J8309-$M8309-$N8309)</f>
      </c>
    </row>
    <row r="8310">
      <c r="A8310"/>
      <c r="B8310">
        <v>18</v>
      </c>
      <c r="C8310" s="43">
        <f>INDEX(DarlObj,18)</f>
      </c>
      <c r="D8310">
        <v>147</v>
      </c>
      <c r="E8310" s="51">
        <f>IF(INDEX(DarlBelegt,18)=0,0,EOMONTH(INDEX(DarlAuszahlung,18),146)+1)</f>
      </c>
      <c r="F8310" s="43">
        <f>IF($E8310=0,0,YEAR($E8310))</f>
      </c>
      <c r="G8310" s="43">
        <f>IF(INDEX(DarlBindung,18)="",1,IF($E8310&lt;=INDEX(DarlBindung,18),1,0))</f>
      </c>
      <c r="H8310" s="43">
        <f>IF($G8310=1,INDEX(DarlSollzins,18),INDEX(DarlAnschluss,18))</f>
      </c>
      <c r="I8310" s="43">
        <f>IF(INDEX(DarlBelegt,18)=0,0,IF(INDEX(DarlOhneTilgung,18)=1,IF(INDEX(DarlBindung,18)="",1,$G8310),IF($J8310&gt;0.005,1,0)))</f>
      </c>
      <c r="J8310" s="43">
        <f>IF($I8309=0,0,$R8309)</f>
      </c>
      <c r="K8310" s="43">
        <f>IF($I8310=0,0,IF(INDEX(DarlOhneTilgung,18)=1,0,IF(AND(INDEX(DarlTilgStart,18)&gt;0,$E8310=INDEX(DarlTilgStart,18)),$J8310*($H8310+INDEX(DarlTilgung,18))/100/12,IF(AND($G8310=0,$G8309=1),MAX($K8309,$J8310*($H8310+1)/100/12),$K8309))))</f>
      </c>
      <c r="L8310" s="43">
        <f>IF($I8310=0,0,$J8310*$H8310/100/12)</f>
      </c>
      <c r="M8310" s="43">
        <f>IF($I8310=0,0,IF(OR(INDEX(DarlOhneTilgung,18)=1,AND(INDEX(DarlTilgStart,18)&gt;0,$E8310&lt;INDEX(DarlTilgStart,18))),0,MIN(MAX(0,$K8310-$L8310),$J8310)))</f>
      </c>
      <c r="N8310" s="43">
        <f>IF($I8310=0,0,MIN(SUMIFS(SondBetrag,SondDarl,18,SondDatum,"&gt;="&amp;$E8310,SondDatum,"&lt;="&amp;EOMONTH($E8310,0)),$J8310-$M8310))</f>
      </c>
      <c r="O8310" s="43">
        <f>IF($I8310=0,0,INDEX(DarlErsatzRate,18))</f>
      </c>
      <c r="P8310" s="43">
        <f>IF($I8310=0,0,$Q8309*INDEX(DarlErsatzZins,18))</f>
      </c>
      <c r="Q8310" s="43">
        <f>IF($I8310=0,0,$Q8309+$P8310+$O8310)</f>
      </c>
      <c r="R8310" s="43">
        <f>IF($I8310=0,0,$J8310-$M8310-$N8310)</f>
      </c>
    </row>
    <row r="8311">
      <c r="A8311"/>
      <c r="B8311">
        <v>18</v>
      </c>
      <c r="C8311" s="43">
        <f>INDEX(DarlObj,18)</f>
      </c>
      <c r="D8311">
        <v>148</v>
      </c>
      <c r="E8311" s="51">
        <f>IF(INDEX(DarlBelegt,18)=0,0,EOMONTH(INDEX(DarlAuszahlung,18),147)+1)</f>
      </c>
      <c r="F8311" s="43">
        <f>IF($E8311=0,0,YEAR($E8311))</f>
      </c>
      <c r="G8311" s="43">
        <f>IF(INDEX(DarlBindung,18)="",1,IF($E8311&lt;=INDEX(DarlBindung,18),1,0))</f>
      </c>
      <c r="H8311" s="43">
        <f>IF($G8311=1,INDEX(DarlSollzins,18),INDEX(DarlAnschluss,18))</f>
      </c>
      <c r="I8311" s="43">
        <f>IF(INDEX(DarlBelegt,18)=0,0,IF(INDEX(DarlOhneTilgung,18)=1,IF(INDEX(DarlBindung,18)="",1,$G8311),IF($J8311&gt;0.005,1,0)))</f>
      </c>
      <c r="J8311" s="43">
        <f>IF($I8310=0,0,$R8310)</f>
      </c>
      <c r="K8311" s="43">
        <f>IF($I8311=0,0,IF(INDEX(DarlOhneTilgung,18)=1,0,IF(AND(INDEX(DarlTilgStart,18)&gt;0,$E8311=INDEX(DarlTilgStart,18)),$J8311*($H8311+INDEX(DarlTilgung,18))/100/12,IF(AND($G8311=0,$G8310=1),MAX($K8310,$J8311*($H8311+1)/100/12),$K8310))))</f>
      </c>
      <c r="L8311" s="43">
        <f>IF($I8311=0,0,$J8311*$H8311/100/12)</f>
      </c>
      <c r="M8311" s="43">
        <f>IF($I8311=0,0,IF(OR(INDEX(DarlOhneTilgung,18)=1,AND(INDEX(DarlTilgStart,18)&gt;0,$E8311&lt;INDEX(DarlTilgStart,18))),0,MIN(MAX(0,$K8311-$L8311),$J8311)))</f>
      </c>
      <c r="N8311" s="43">
        <f>IF($I8311=0,0,MIN(SUMIFS(SondBetrag,SondDarl,18,SondDatum,"&gt;="&amp;$E8311,SondDatum,"&lt;="&amp;EOMONTH($E8311,0)),$J8311-$M8311))</f>
      </c>
      <c r="O8311" s="43">
        <f>IF($I8311=0,0,INDEX(DarlErsatzRate,18))</f>
      </c>
      <c r="P8311" s="43">
        <f>IF($I8311=0,0,$Q8310*INDEX(DarlErsatzZins,18))</f>
      </c>
      <c r="Q8311" s="43">
        <f>IF($I8311=0,0,$Q8310+$P8311+$O8311)</f>
      </c>
      <c r="R8311" s="43">
        <f>IF($I8311=0,0,$J8311-$M8311-$N8311)</f>
      </c>
    </row>
    <row r="8312">
      <c r="A8312"/>
      <c r="B8312">
        <v>18</v>
      </c>
      <c r="C8312" s="43">
        <f>INDEX(DarlObj,18)</f>
      </c>
      <c r="D8312">
        <v>149</v>
      </c>
      <c r="E8312" s="51">
        <f>IF(INDEX(DarlBelegt,18)=0,0,EOMONTH(INDEX(DarlAuszahlung,18),148)+1)</f>
      </c>
      <c r="F8312" s="43">
        <f>IF($E8312=0,0,YEAR($E8312))</f>
      </c>
      <c r="G8312" s="43">
        <f>IF(INDEX(DarlBindung,18)="",1,IF($E8312&lt;=INDEX(DarlBindung,18),1,0))</f>
      </c>
      <c r="H8312" s="43">
        <f>IF($G8312=1,INDEX(DarlSollzins,18),INDEX(DarlAnschluss,18))</f>
      </c>
      <c r="I8312" s="43">
        <f>IF(INDEX(DarlBelegt,18)=0,0,IF(INDEX(DarlOhneTilgung,18)=1,IF(INDEX(DarlBindung,18)="",1,$G8312),IF($J8312&gt;0.005,1,0)))</f>
      </c>
      <c r="J8312" s="43">
        <f>IF($I8311=0,0,$R8311)</f>
      </c>
      <c r="K8312" s="43">
        <f>IF($I8312=0,0,IF(INDEX(DarlOhneTilgung,18)=1,0,IF(AND(INDEX(DarlTilgStart,18)&gt;0,$E8312=INDEX(DarlTilgStart,18)),$J8312*($H8312+INDEX(DarlTilgung,18))/100/12,IF(AND($G8312=0,$G8311=1),MAX($K8311,$J8312*($H8312+1)/100/12),$K8311))))</f>
      </c>
      <c r="L8312" s="43">
        <f>IF($I8312=0,0,$J8312*$H8312/100/12)</f>
      </c>
      <c r="M8312" s="43">
        <f>IF($I8312=0,0,IF(OR(INDEX(DarlOhneTilgung,18)=1,AND(INDEX(DarlTilgStart,18)&gt;0,$E8312&lt;INDEX(DarlTilgStart,18))),0,MIN(MAX(0,$K8312-$L8312),$J8312)))</f>
      </c>
      <c r="N8312" s="43">
        <f>IF($I8312=0,0,MIN(SUMIFS(SondBetrag,SondDarl,18,SondDatum,"&gt;="&amp;$E8312,SondDatum,"&lt;="&amp;EOMONTH($E8312,0)),$J8312-$M8312))</f>
      </c>
      <c r="O8312" s="43">
        <f>IF($I8312=0,0,INDEX(DarlErsatzRate,18))</f>
      </c>
      <c r="P8312" s="43">
        <f>IF($I8312=0,0,$Q8311*INDEX(DarlErsatzZins,18))</f>
      </c>
      <c r="Q8312" s="43">
        <f>IF($I8312=0,0,$Q8311+$P8312+$O8312)</f>
      </c>
      <c r="R8312" s="43">
        <f>IF($I8312=0,0,$J8312-$M8312-$N8312)</f>
      </c>
    </row>
    <row r="8313">
      <c r="A8313"/>
      <c r="B8313">
        <v>18</v>
      </c>
      <c r="C8313" s="43">
        <f>INDEX(DarlObj,18)</f>
      </c>
      <c r="D8313">
        <v>150</v>
      </c>
      <c r="E8313" s="51">
        <f>IF(INDEX(DarlBelegt,18)=0,0,EOMONTH(INDEX(DarlAuszahlung,18),149)+1)</f>
      </c>
      <c r="F8313" s="43">
        <f>IF($E8313=0,0,YEAR($E8313))</f>
      </c>
      <c r="G8313" s="43">
        <f>IF(INDEX(DarlBindung,18)="",1,IF($E8313&lt;=INDEX(DarlBindung,18),1,0))</f>
      </c>
      <c r="H8313" s="43">
        <f>IF($G8313=1,INDEX(DarlSollzins,18),INDEX(DarlAnschluss,18))</f>
      </c>
      <c r="I8313" s="43">
        <f>IF(INDEX(DarlBelegt,18)=0,0,IF(INDEX(DarlOhneTilgung,18)=1,IF(INDEX(DarlBindung,18)="",1,$G8313),IF($J8313&gt;0.005,1,0)))</f>
      </c>
      <c r="J8313" s="43">
        <f>IF($I8312=0,0,$R8312)</f>
      </c>
      <c r="K8313" s="43">
        <f>IF($I8313=0,0,IF(INDEX(DarlOhneTilgung,18)=1,0,IF(AND(INDEX(DarlTilgStart,18)&gt;0,$E8313=INDEX(DarlTilgStart,18)),$J8313*($H8313+INDEX(DarlTilgung,18))/100/12,IF(AND($G8313=0,$G8312=1),MAX($K8312,$J8313*($H8313+1)/100/12),$K8312))))</f>
      </c>
      <c r="L8313" s="43">
        <f>IF($I8313=0,0,$J8313*$H8313/100/12)</f>
      </c>
      <c r="M8313" s="43">
        <f>IF($I8313=0,0,IF(OR(INDEX(DarlOhneTilgung,18)=1,AND(INDEX(DarlTilgStart,18)&gt;0,$E8313&lt;INDEX(DarlTilgStart,18))),0,MIN(MAX(0,$K8313-$L8313),$J8313)))</f>
      </c>
      <c r="N8313" s="43">
        <f>IF($I8313=0,0,MIN(SUMIFS(SondBetrag,SondDarl,18,SondDatum,"&gt;="&amp;$E8313,SondDatum,"&lt;="&amp;EOMONTH($E8313,0)),$J8313-$M8313))</f>
      </c>
      <c r="O8313" s="43">
        <f>IF($I8313=0,0,INDEX(DarlErsatzRate,18))</f>
      </c>
      <c r="P8313" s="43">
        <f>IF($I8313=0,0,$Q8312*INDEX(DarlErsatzZins,18))</f>
      </c>
      <c r="Q8313" s="43">
        <f>IF($I8313=0,0,$Q8312+$P8313+$O8313)</f>
      </c>
      <c r="R8313" s="43">
        <f>IF($I8313=0,0,$J8313-$M8313-$N8313)</f>
      </c>
    </row>
    <row r="8314">
      <c r="A8314"/>
      <c r="B8314">
        <v>18</v>
      </c>
      <c r="C8314" s="43">
        <f>INDEX(DarlObj,18)</f>
      </c>
      <c r="D8314">
        <v>151</v>
      </c>
      <c r="E8314" s="51">
        <f>IF(INDEX(DarlBelegt,18)=0,0,EOMONTH(INDEX(DarlAuszahlung,18),150)+1)</f>
      </c>
      <c r="F8314" s="43">
        <f>IF($E8314=0,0,YEAR($E8314))</f>
      </c>
      <c r="G8314" s="43">
        <f>IF(INDEX(DarlBindung,18)="",1,IF($E8314&lt;=INDEX(DarlBindung,18),1,0))</f>
      </c>
      <c r="H8314" s="43">
        <f>IF($G8314=1,INDEX(DarlSollzins,18),INDEX(DarlAnschluss,18))</f>
      </c>
      <c r="I8314" s="43">
        <f>IF(INDEX(DarlBelegt,18)=0,0,IF(INDEX(DarlOhneTilgung,18)=1,IF(INDEX(DarlBindung,18)="",1,$G8314),IF($J8314&gt;0.005,1,0)))</f>
      </c>
      <c r="J8314" s="43">
        <f>IF($I8313=0,0,$R8313)</f>
      </c>
      <c r="K8314" s="43">
        <f>IF($I8314=0,0,IF(INDEX(DarlOhneTilgung,18)=1,0,IF(AND(INDEX(DarlTilgStart,18)&gt;0,$E8314=INDEX(DarlTilgStart,18)),$J8314*($H8314+INDEX(DarlTilgung,18))/100/12,IF(AND($G8314=0,$G8313=1),MAX($K8313,$J8314*($H8314+1)/100/12),$K8313))))</f>
      </c>
      <c r="L8314" s="43">
        <f>IF($I8314=0,0,$J8314*$H8314/100/12)</f>
      </c>
      <c r="M8314" s="43">
        <f>IF($I8314=0,0,IF(OR(INDEX(DarlOhneTilgung,18)=1,AND(INDEX(DarlTilgStart,18)&gt;0,$E8314&lt;INDEX(DarlTilgStart,18))),0,MIN(MAX(0,$K8314-$L8314),$J8314)))</f>
      </c>
      <c r="N8314" s="43">
        <f>IF($I8314=0,0,MIN(SUMIFS(SondBetrag,SondDarl,18,SondDatum,"&gt;="&amp;$E8314,SondDatum,"&lt;="&amp;EOMONTH($E8314,0)),$J8314-$M8314))</f>
      </c>
      <c r="O8314" s="43">
        <f>IF($I8314=0,0,INDEX(DarlErsatzRate,18))</f>
      </c>
      <c r="P8314" s="43">
        <f>IF($I8314=0,0,$Q8313*INDEX(DarlErsatzZins,18))</f>
      </c>
      <c r="Q8314" s="43">
        <f>IF($I8314=0,0,$Q8313+$P8314+$O8314)</f>
      </c>
      <c r="R8314" s="43">
        <f>IF($I8314=0,0,$J8314-$M8314-$N8314)</f>
      </c>
    </row>
    <row r="8315">
      <c r="A8315"/>
      <c r="B8315">
        <v>18</v>
      </c>
      <c r="C8315" s="43">
        <f>INDEX(DarlObj,18)</f>
      </c>
      <c r="D8315">
        <v>152</v>
      </c>
      <c r="E8315" s="51">
        <f>IF(INDEX(DarlBelegt,18)=0,0,EOMONTH(INDEX(DarlAuszahlung,18),151)+1)</f>
      </c>
      <c r="F8315" s="43">
        <f>IF($E8315=0,0,YEAR($E8315))</f>
      </c>
      <c r="G8315" s="43">
        <f>IF(INDEX(DarlBindung,18)="",1,IF($E8315&lt;=INDEX(DarlBindung,18),1,0))</f>
      </c>
      <c r="H8315" s="43">
        <f>IF($G8315=1,INDEX(DarlSollzins,18),INDEX(DarlAnschluss,18))</f>
      </c>
      <c r="I8315" s="43">
        <f>IF(INDEX(DarlBelegt,18)=0,0,IF(INDEX(DarlOhneTilgung,18)=1,IF(INDEX(DarlBindung,18)="",1,$G8315),IF($J8315&gt;0.005,1,0)))</f>
      </c>
      <c r="J8315" s="43">
        <f>IF($I8314=0,0,$R8314)</f>
      </c>
      <c r="K8315" s="43">
        <f>IF($I8315=0,0,IF(INDEX(DarlOhneTilgung,18)=1,0,IF(AND(INDEX(DarlTilgStart,18)&gt;0,$E8315=INDEX(DarlTilgStart,18)),$J8315*($H8315+INDEX(DarlTilgung,18))/100/12,IF(AND($G8315=0,$G8314=1),MAX($K8314,$J8315*($H8315+1)/100/12),$K8314))))</f>
      </c>
      <c r="L8315" s="43">
        <f>IF($I8315=0,0,$J8315*$H8315/100/12)</f>
      </c>
      <c r="M8315" s="43">
        <f>IF($I8315=0,0,IF(OR(INDEX(DarlOhneTilgung,18)=1,AND(INDEX(DarlTilgStart,18)&gt;0,$E8315&lt;INDEX(DarlTilgStart,18))),0,MIN(MAX(0,$K8315-$L8315),$J8315)))</f>
      </c>
      <c r="N8315" s="43">
        <f>IF($I8315=0,0,MIN(SUMIFS(SondBetrag,SondDarl,18,SondDatum,"&gt;="&amp;$E8315,SondDatum,"&lt;="&amp;EOMONTH($E8315,0)),$J8315-$M8315))</f>
      </c>
      <c r="O8315" s="43">
        <f>IF($I8315=0,0,INDEX(DarlErsatzRate,18))</f>
      </c>
      <c r="P8315" s="43">
        <f>IF($I8315=0,0,$Q8314*INDEX(DarlErsatzZins,18))</f>
      </c>
      <c r="Q8315" s="43">
        <f>IF($I8315=0,0,$Q8314+$P8315+$O8315)</f>
      </c>
      <c r="R8315" s="43">
        <f>IF($I8315=0,0,$J8315-$M8315-$N8315)</f>
      </c>
    </row>
    <row r="8316">
      <c r="A8316"/>
      <c r="B8316">
        <v>18</v>
      </c>
      <c r="C8316" s="43">
        <f>INDEX(DarlObj,18)</f>
      </c>
      <c r="D8316">
        <v>153</v>
      </c>
      <c r="E8316" s="51">
        <f>IF(INDEX(DarlBelegt,18)=0,0,EOMONTH(INDEX(DarlAuszahlung,18),152)+1)</f>
      </c>
      <c r="F8316" s="43">
        <f>IF($E8316=0,0,YEAR($E8316))</f>
      </c>
      <c r="G8316" s="43">
        <f>IF(INDEX(DarlBindung,18)="",1,IF($E8316&lt;=INDEX(DarlBindung,18),1,0))</f>
      </c>
      <c r="H8316" s="43">
        <f>IF($G8316=1,INDEX(DarlSollzins,18),INDEX(DarlAnschluss,18))</f>
      </c>
      <c r="I8316" s="43">
        <f>IF(INDEX(DarlBelegt,18)=0,0,IF(INDEX(DarlOhneTilgung,18)=1,IF(INDEX(DarlBindung,18)="",1,$G8316),IF($J8316&gt;0.005,1,0)))</f>
      </c>
      <c r="J8316" s="43">
        <f>IF($I8315=0,0,$R8315)</f>
      </c>
      <c r="K8316" s="43">
        <f>IF($I8316=0,0,IF(INDEX(DarlOhneTilgung,18)=1,0,IF(AND(INDEX(DarlTilgStart,18)&gt;0,$E8316=INDEX(DarlTilgStart,18)),$J8316*($H8316+INDEX(DarlTilgung,18))/100/12,IF(AND($G8316=0,$G8315=1),MAX($K8315,$J8316*($H8316+1)/100/12),$K8315))))</f>
      </c>
      <c r="L8316" s="43">
        <f>IF($I8316=0,0,$J8316*$H8316/100/12)</f>
      </c>
      <c r="M8316" s="43">
        <f>IF($I8316=0,0,IF(OR(INDEX(DarlOhneTilgung,18)=1,AND(INDEX(DarlTilgStart,18)&gt;0,$E8316&lt;INDEX(DarlTilgStart,18))),0,MIN(MAX(0,$K8316-$L8316),$J8316)))</f>
      </c>
      <c r="N8316" s="43">
        <f>IF($I8316=0,0,MIN(SUMIFS(SondBetrag,SondDarl,18,SondDatum,"&gt;="&amp;$E8316,SondDatum,"&lt;="&amp;EOMONTH($E8316,0)),$J8316-$M8316))</f>
      </c>
      <c r="O8316" s="43">
        <f>IF($I8316=0,0,INDEX(DarlErsatzRate,18))</f>
      </c>
      <c r="P8316" s="43">
        <f>IF($I8316=0,0,$Q8315*INDEX(DarlErsatzZins,18))</f>
      </c>
      <c r="Q8316" s="43">
        <f>IF($I8316=0,0,$Q8315+$P8316+$O8316)</f>
      </c>
      <c r="R8316" s="43">
        <f>IF($I8316=0,0,$J8316-$M8316-$N8316)</f>
      </c>
    </row>
    <row r="8317">
      <c r="A8317"/>
      <c r="B8317">
        <v>18</v>
      </c>
      <c r="C8317" s="43">
        <f>INDEX(DarlObj,18)</f>
      </c>
      <c r="D8317">
        <v>154</v>
      </c>
      <c r="E8317" s="51">
        <f>IF(INDEX(DarlBelegt,18)=0,0,EOMONTH(INDEX(DarlAuszahlung,18),153)+1)</f>
      </c>
      <c r="F8317" s="43">
        <f>IF($E8317=0,0,YEAR($E8317))</f>
      </c>
      <c r="G8317" s="43">
        <f>IF(INDEX(DarlBindung,18)="",1,IF($E8317&lt;=INDEX(DarlBindung,18),1,0))</f>
      </c>
      <c r="H8317" s="43">
        <f>IF($G8317=1,INDEX(DarlSollzins,18),INDEX(DarlAnschluss,18))</f>
      </c>
      <c r="I8317" s="43">
        <f>IF(INDEX(DarlBelegt,18)=0,0,IF(INDEX(DarlOhneTilgung,18)=1,IF(INDEX(DarlBindung,18)="",1,$G8317),IF($J8317&gt;0.005,1,0)))</f>
      </c>
      <c r="J8317" s="43">
        <f>IF($I8316=0,0,$R8316)</f>
      </c>
      <c r="K8317" s="43">
        <f>IF($I8317=0,0,IF(INDEX(DarlOhneTilgung,18)=1,0,IF(AND(INDEX(DarlTilgStart,18)&gt;0,$E8317=INDEX(DarlTilgStart,18)),$J8317*($H8317+INDEX(DarlTilgung,18))/100/12,IF(AND($G8317=0,$G8316=1),MAX($K8316,$J8317*($H8317+1)/100/12),$K8316))))</f>
      </c>
      <c r="L8317" s="43">
        <f>IF($I8317=0,0,$J8317*$H8317/100/12)</f>
      </c>
      <c r="M8317" s="43">
        <f>IF($I8317=0,0,IF(OR(INDEX(DarlOhneTilgung,18)=1,AND(INDEX(DarlTilgStart,18)&gt;0,$E8317&lt;INDEX(DarlTilgStart,18))),0,MIN(MAX(0,$K8317-$L8317),$J8317)))</f>
      </c>
      <c r="N8317" s="43">
        <f>IF($I8317=0,0,MIN(SUMIFS(SondBetrag,SondDarl,18,SondDatum,"&gt;="&amp;$E8317,SondDatum,"&lt;="&amp;EOMONTH($E8317,0)),$J8317-$M8317))</f>
      </c>
      <c r="O8317" s="43">
        <f>IF($I8317=0,0,INDEX(DarlErsatzRate,18))</f>
      </c>
      <c r="P8317" s="43">
        <f>IF($I8317=0,0,$Q8316*INDEX(DarlErsatzZins,18))</f>
      </c>
      <c r="Q8317" s="43">
        <f>IF($I8317=0,0,$Q8316+$P8317+$O8317)</f>
      </c>
      <c r="R8317" s="43">
        <f>IF($I8317=0,0,$J8317-$M8317-$N8317)</f>
      </c>
    </row>
    <row r="8318">
      <c r="A8318"/>
      <c r="B8318">
        <v>18</v>
      </c>
      <c r="C8318" s="43">
        <f>INDEX(DarlObj,18)</f>
      </c>
      <c r="D8318">
        <v>155</v>
      </c>
      <c r="E8318" s="51">
        <f>IF(INDEX(DarlBelegt,18)=0,0,EOMONTH(INDEX(DarlAuszahlung,18),154)+1)</f>
      </c>
      <c r="F8318" s="43">
        <f>IF($E8318=0,0,YEAR($E8318))</f>
      </c>
      <c r="G8318" s="43">
        <f>IF(INDEX(DarlBindung,18)="",1,IF($E8318&lt;=INDEX(DarlBindung,18),1,0))</f>
      </c>
      <c r="H8318" s="43">
        <f>IF($G8318=1,INDEX(DarlSollzins,18),INDEX(DarlAnschluss,18))</f>
      </c>
      <c r="I8318" s="43">
        <f>IF(INDEX(DarlBelegt,18)=0,0,IF(INDEX(DarlOhneTilgung,18)=1,IF(INDEX(DarlBindung,18)="",1,$G8318),IF($J8318&gt;0.005,1,0)))</f>
      </c>
      <c r="J8318" s="43">
        <f>IF($I8317=0,0,$R8317)</f>
      </c>
      <c r="K8318" s="43">
        <f>IF($I8318=0,0,IF(INDEX(DarlOhneTilgung,18)=1,0,IF(AND(INDEX(DarlTilgStart,18)&gt;0,$E8318=INDEX(DarlTilgStart,18)),$J8318*($H8318+INDEX(DarlTilgung,18))/100/12,IF(AND($G8318=0,$G8317=1),MAX($K8317,$J8318*($H8318+1)/100/12),$K8317))))</f>
      </c>
      <c r="L8318" s="43">
        <f>IF($I8318=0,0,$J8318*$H8318/100/12)</f>
      </c>
      <c r="M8318" s="43">
        <f>IF($I8318=0,0,IF(OR(INDEX(DarlOhneTilgung,18)=1,AND(INDEX(DarlTilgStart,18)&gt;0,$E8318&lt;INDEX(DarlTilgStart,18))),0,MIN(MAX(0,$K8318-$L8318),$J8318)))</f>
      </c>
      <c r="N8318" s="43">
        <f>IF($I8318=0,0,MIN(SUMIFS(SondBetrag,SondDarl,18,SondDatum,"&gt;="&amp;$E8318,SondDatum,"&lt;="&amp;EOMONTH($E8318,0)),$J8318-$M8318))</f>
      </c>
      <c r="O8318" s="43">
        <f>IF($I8318=0,0,INDEX(DarlErsatzRate,18))</f>
      </c>
      <c r="P8318" s="43">
        <f>IF($I8318=0,0,$Q8317*INDEX(DarlErsatzZins,18))</f>
      </c>
      <c r="Q8318" s="43">
        <f>IF($I8318=0,0,$Q8317+$P8318+$O8318)</f>
      </c>
      <c r="R8318" s="43">
        <f>IF($I8318=0,0,$J8318-$M8318-$N8318)</f>
      </c>
    </row>
    <row r="8319">
      <c r="A8319"/>
      <c r="B8319">
        <v>18</v>
      </c>
      <c r="C8319" s="43">
        <f>INDEX(DarlObj,18)</f>
      </c>
      <c r="D8319">
        <v>156</v>
      </c>
      <c r="E8319" s="51">
        <f>IF(INDEX(DarlBelegt,18)=0,0,EOMONTH(INDEX(DarlAuszahlung,18),155)+1)</f>
      </c>
      <c r="F8319" s="43">
        <f>IF($E8319=0,0,YEAR($E8319))</f>
      </c>
      <c r="G8319" s="43">
        <f>IF(INDEX(DarlBindung,18)="",1,IF($E8319&lt;=INDEX(DarlBindung,18),1,0))</f>
      </c>
      <c r="H8319" s="43">
        <f>IF($G8319=1,INDEX(DarlSollzins,18),INDEX(DarlAnschluss,18))</f>
      </c>
      <c r="I8319" s="43">
        <f>IF(INDEX(DarlBelegt,18)=0,0,IF(INDEX(DarlOhneTilgung,18)=1,IF(INDEX(DarlBindung,18)="",1,$G8319),IF($J8319&gt;0.005,1,0)))</f>
      </c>
      <c r="J8319" s="43">
        <f>IF($I8318=0,0,$R8318)</f>
      </c>
      <c r="K8319" s="43">
        <f>IF($I8319=0,0,IF(INDEX(DarlOhneTilgung,18)=1,0,IF(AND(INDEX(DarlTilgStart,18)&gt;0,$E8319=INDEX(DarlTilgStart,18)),$J8319*($H8319+INDEX(DarlTilgung,18))/100/12,IF(AND($G8319=0,$G8318=1),MAX($K8318,$J8319*($H8319+1)/100/12),$K8318))))</f>
      </c>
      <c r="L8319" s="43">
        <f>IF($I8319=0,0,$J8319*$H8319/100/12)</f>
      </c>
      <c r="M8319" s="43">
        <f>IF($I8319=0,0,IF(OR(INDEX(DarlOhneTilgung,18)=1,AND(INDEX(DarlTilgStart,18)&gt;0,$E8319&lt;INDEX(DarlTilgStart,18))),0,MIN(MAX(0,$K8319-$L8319),$J8319)))</f>
      </c>
      <c r="N8319" s="43">
        <f>IF($I8319=0,0,MIN(SUMIFS(SondBetrag,SondDarl,18,SondDatum,"&gt;="&amp;$E8319,SondDatum,"&lt;="&amp;EOMONTH($E8319,0)),$J8319-$M8319))</f>
      </c>
      <c r="O8319" s="43">
        <f>IF($I8319=0,0,INDEX(DarlErsatzRate,18))</f>
      </c>
      <c r="P8319" s="43">
        <f>IF($I8319=0,0,$Q8318*INDEX(DarlErsatzZins,18))</f>
      </c>
      <c r="Q8319" s="43">
        <f>IF($I8319=0,0,$Q8318+$P8319+$O8319)</f>
      </c>
      <c r="R8319" s="43">
        <f>IF($I8319=0,0,$J8319-$M8319-$N8319)</f>
      </c>
    </row>
    <row r="8320">
      <c r="A8320"/>
      <c r="B8320">
        <v>18</v>
      </c>
      <c r="C8320" s="43">
        <f>INDEX(DarlObj,18)</f>
      </c>
      <c r="D8320">
        <v>157</v>
      </c>
      <c r="E8320" s="51">
        <f>IF(INDEX(DarlBelegt,18)=0,0,EOMONTH(INDEX(DarlAuszahlung,18),156)+1)</f>
      </c>
      <c r="F8320" s="43">
        <f>IF($E8320=0,0,YEAR($E8320))</f>
      </c>
      <c r="G8320" s="43">
        <f>IF(INDEX(DarlBindung,18)="",1,IF($E8320&lt;=INDEX(DarlBindung,18),1,0))</f>
      </c>
      <c r="H8320" s="43">
        <f>IF($G8320=1,INDEX(DarlSollzins,18),INDEX(DarlAnschluss,18))</f>
      </c>
      <c r="I8320" s="43">
        <f>IF(INDEX(DarlBelegt,18)=0,0,IF(INDEX(DarlOhneTilgung,18)=1,IF(INDEX(DarlBindung,18)="",1,$G8320),IF($J8320&gt;0.005,1,0)))</f>
      </c>
      <c r="J8320" s="43">
        <f>IF($I8319=0,0,$R8319)</f>
      </c>
      <c r="K8320" s="43">
        <f>IF($I8320=0,0,IF(INDEX(DarlOhneTilgung,18)=1,0,IF(AND(INDEX(DarlTilgStart,18)&gt;0,$E8320=INDEX(DarlTilgStart,18)),$J8320*($H8320+INDEX(DarlTilgung,18))/100/12,IF(AND($G8320=0,$G8319=1),MAX($K8319,$J8320*($H8320+1)/100/12),$K8319))))</f>
      </c>
      <c r="L8320" s="43">
        <f>IF($I8320=0,0,$J8320*$H8320/100/12)</f>
      </c>
      <c r="M8320" s="43">
        <f>IF($I8320=0,0,IF(OR(INDEX(DarlOhneTilgung,18)=1,AND(INDEX(DarlTilgStart,18)&gt;0,$E8320&lt;INDEX(DarlTilgStart,18))),0,MIN(MAX(0,$K8320-$L8320),$J8320)))</f>
      </c>
      <c r="N8320" s="43">
        <f>IF($I8320=0,0,MIN(SUMIFS(SondBetrag,SondDarl,18,SondDatum,"&gt;="&amp;$E8320,SondDatum,"&lt;="&amp;EOMONTH($E8320,0)),$J8320-$M8320))</f>
      </c>
      <c r="O8320" s="43">
        <f>IF($I8320=0,0,INDEX(DarlErsatzRate,18))</f>
      </c>
      <c r="P8320" s="43">
        <f>IF($I8320=0,0,$Q8319*INDEX(DarlErsatzZins,18))</f>
      </c>
      <c r="Q8320" s="43">
        <f>IF($I8320=0,0,$Q8319+$P8320+$O8320)</f>
      </c>
      <c r="R8320" s="43">
        <f>IF($I8320=0,0,$J8320-$M8320-$N8320)</f>
      </c>
    </row>
    <row r="8321">
      <c r="A8321"/>
      <c r="B8321">
        <v>18</v>
      </c>
      <c r="C8321" s="43">
        <f>INDEX(DarlObj,18)</f>
      </c>
      <c r="D8321">
        <v>158</v>
      </c>
      <c r="E8321" s="51">
        <f>IF(INDEX(DarlBelegt,18)=0,0,EOMONTH(INDEX(DarlAuszahlung,18),157)+1)</f>
      </c>
      <c r="F8321" s="43">
        <f>IF($E8321=0,0,YEAR($E8321))</f>
      </c>
      <c r="G8321" s="43">
        <f>IF(INDEX(DarlBindung,18)="",1,IF($E8321&lt;=INDEX(DarlBindung,18),1,0))</f>
      </c>
      <c r="H8321" s="43">
        <f>IF($G8321=1,INDEX(DarlSollzins,18),INDEX(DarlAnschluss,18))</f>
      </c>
      <c r="I8321" s="43">
        <f>IF(INDEX(DarlBelegt,18)=0,0,IF(INDEX(DarlOhneTilgung,18)=1,IF(INDEX(DarlBindung,18)="",1,$G8321),IF($J8321&gt;0.005,1,0)))</f>
      </c>
      <c r="J8321" s="43">
        <f>IF($I8320=0,0,$R8320)</f>
      </c>
      <c r="K8321" s="43">
        <f>IF($I8321=0,0,IF(INDEX(DarlOhneTilgung,18)=1,0,IF(AND(INDEX(DarlTilgStart,18)&gt;0,$E8321=INDEX(DarlTilgStart,18)),$J8321*($H8321+INDEX(DarlTilgung,18))/100/12,IF(AND($G8321=0,$G8320=1),MAX($K8320,$J8321*($H8321+1)/100/12),$K8320))))</f>
      </c>
      <c r="L8321" s="43">
        <f>IF($I8321=0,0,$J8321*$H8321/100/12)</f>
      </c>
      <c r="M8321" s="43">
        <f>IF($I8321=0,0,IF(OR(INDEX(DarlOhneTilgung,18)=1,AND(INDEX(DarlTilgStart,18)&gt;0,$E8321&lt;INDEX(DarlTilgStart,18))),0,MIN(MAX(0,$K8321-$L8321),$J8321)))</f>
      </c>
      <c r="N8321" s="43">
        <f>IF($I8321=0,0,MIN(SUMIFS(SondBetrag,SondDarl,18,SondDatum,"&gt;="&amp;$E8321,SondDatum,"&lt;="&amp;EOMONTH($E8321,0)),$J8321-$M8321))</f>
      </c>
      <c r="O8321" s="43">
        <f>IF($I8321=0,0,INDEX(DarlErsatzRate,18))</f>
      </c>
      <c r="P8321" s="43">
        <f>IF($I8321=0,0,$Q8320*INDEX(DarlErsatzZins,18))</f>
      </c>
      <c r="Q8321" s="43">
        <f>IF($I8321=0,0,$Q8320+$P8321+$O8321)</f>
      </c>
      <c r="R8321" s="43">
        <f>IF($I8321=0,0,$J8321-$M8321-$N8321)</f>
      </c>
    </row>
    <row r="8322">
      <c r="A8322"/>
      <c r="B8322">
        <v>18</v>
      </c>
      <c r="C8322" s="43">
        <f>INDEX(DarlObj,18)</f>
      </c>
      <c r="D8322">
        <v>159</v>
      </c>
      <c r="E8322" s="51">
        <f>IF(INDEX(DarlBelegt,18)=0,0,EOMONTH(INDEX(DarlAuszahlung,18),158)+1)</f>
      </c>
      <c r="F8322" s="43">
        <f>IF($E8322=0,0,YEAR($E8322))</f>
      </c>
      <c r="G8322" s="43">
        <f>IF(INDEX(DarlBindung,18)="",1,IF($E8322&lt;=INDEX(DarlBindung,18),1,0))</f>
      </c>
      <c r="H8322" s="43">
        <f>IF($G8322=1,INDEX(DarlSollzins,18),INDEX(DarlAnschluss,18))</f>
      </c>
      <c r="I8322" s="43">
        <f>IF(INDEX(DarlBelegt,18)=0,0,IF(INDEX(DarlOhneTilgung,18)=1,IF(INDEX(DarlBindung,18)="",1,$G8322),IF($J8322&gt;0.005,1,0)))</f>
      </c>
      <c r="J8322" s="43">
        <f>IF($I8321=0,0,$R8321)</f>
      </c>
      <c r="K8322" s="43">
        <f>IF($I8322=0,0,IF(INDEX(DarlOhneTilgung,18)=1,0,IF(AND(INDEX(DarlTilgStart,18)&gt;0,$E8322=INDEX(DarlTilgStart,18)),$J8322*($H8322+INDEX(DarlTilgung,18))/100/12,IF(AND($G8322=0,$G8321=1),MAX($K8321,$J8322*($H8322+1)/100/12),$K8321))))</f>
      </c>
      <c r="L8322" s="43">
        <f>IF($I8322=0,0,$J8322*$H8322/100/12)</f>
      </c>
      <c r="M8322" s="43">
        <f>IF($I8322=0,0,IF(OR(INDEX(DarlOhneTilgung,18)=1,AND(INDEX(DarlTilgStart,18)&gt;0,$E8322&lt;INDEX(DarlTilgStart,18))),0,MIN(MAX(0,$K8322-$L8322),$J8322)))</f>
      </c>
      <c r="N8322" s="43">
        <f>IF($I8322=0,0,MIN(SUMIFS(SondBetrag,SondDarl,18,SondDatum,"&gt;="&amp;$E8322,SondDatum,"&lt;="&amp;EOMONTH($E8322,0)),$J8322-$M8322))</f>
      </c>
      <c r="O8322" s="43">
        <f>IF($I8322=0,0,INDEX(DarlErsatzRate,18))</f>
      </c>
      <c r="P8322" s="43">
        <f>IF($I8322=0,0,$Q8321*INDEX(DarlErsatzZins,18))</f>
      </c>
      <c r="Q8322" s="43">
        <f>IF($I8322=0,0,$Q8321+$P8322+$O8322)</f>
      </c>
      <c r="R8322" s="43">
        <f>IF($I8322=0,0,$J8322-$M8322-$N8322)</f>
      </c>
    </row>
    <row r="8323">
      <c r="A8323"/>
      <c r="B8323">
        <v>18</v>
      </c>
      <c r="C8323" s="43">
        <f>INDEX(DarlObj,18)</f>
      </c>
      <c r="D8323">
        <v>160</v>
      </c>
      <c r="E8323" s="51">
        <f>IF(INDEX(DarlBelegt,18)=0,0,EOMONTH(INDEX(DarlAuszahlung,18),159)+1)</f>
      </c>
      <c r="F8323" s="43">
        <f>IF($E8323=0,0,YEAR($E8323))</f>
      </c>
      <c r="G8323" s="43">
        <f>IF(INDEX(DarlBindung,18)="",1,IF($E8323&lt;=INDEX(DarlBindung,18),1,0))</f>
      </c>
      <c r="H8323" s="43">
        <f>IF($G8323=1,INDEX(DarlSollzins,18),INDEX(DarlAnschluss,18))</f>
      </c>
      <c r="I8323" s="43">
        <f>IF(INDEX(DarlBelegt,18)=0,0,IF(INDEX(DarlOhneTilgung,18)=1,IF(INDEX(DarlBindung,18)="",1,$G8323),IF($J8323&gt;0.005,1,0)))</f>
      </c>
      <c r="J8323" s="43">
        <f>IF($I8322=0,0,$R8322)</f>
      </c>
      <c r="K8323" s="43">
        <f>IF($I8323=0,0,IF(INDEX(DarlOhneTilgung,18)=1,0,IF(AND(INDEX(DarlTilgStart,18)&gt;0,$E8323=INDEX(DarlTilgStart,18)),$J8323*($H8323+INDEX(DarlTilgung,18))/100/12,IF(AND($G8323=0,$G8322=1),MAX($K8322,$J8323*($H8323+1)/100/12),$K8322))))</f>
      </c>
      <c r="L8323" s="43">
        <f>IF($I8323=0,0,$J8323*$H8323/100/12)</f>
      </c>
      <c r="M8323" s="43">
        <f>IF($I8323=0,0,IF(OR(INDEX(DarlOhneTilgung,18)=1,AND(INDEX(DarlTilgStart,18)&gt;0,$E8323&lt;INDEX(DarlTilgStart,18))),0,MIN(MAX(0,$K8323-$L8323),$J8323)))</f>
      </c>
      <c r="N8323" s="43">
        <f>IF($I8323=0,0,MIN(SUMIFS(SondBetrag,SondDarl,18,SondDatum,"&gt;="&amp;$E8323,SondDatum,"&lt;="&amp;EOMONTH($E8323,0)),$J8323-$M8323))</f>
      </c>
      <c r="O8323" s="43">
        <f>IF($I8323=0,0,INDEX(DarlErsatzRate,18))</f>
      </c>
      <c r="P8323" s="43">
        <f>IF($I8323=0,0,$Q8322*INDEX(DarlErsatzZins,18))</f>
      </c>
      <c r="Q8323" s="43">
        <f>IF($I8323=0,0,$Q8322+$P8323+$O8323)</f>
      </c>
      <c r="R8323" s="43">
        <f>IF($I8323=0,0,$J8323-$M8323-$N8323)</f>
      </c>
    </row>
    <row r="8324">
      <c r="A8324"/>
      <c r="B8324">
        <v>18</v>
      </c>
      <c r="C8324" s="43">
        <f>INDEX(DarlObj,18)</f>
      </c>
      <c r="D8324">
        <v>161</v>
      </c>
      <c r="E8324" s="51">
        <f>IF(INDEX(DarlBelegt,18)=0,0,EOMONTH(INDEX(DarlAuszahlung,18),160)+1)</f>
      </c>
      <c r="F8324" s="43">
        <f>IF($E8324=0,0,YEAR($E8324))</f>
      </c>
      <c r="G8324" s="43">
        <f>IF(INDEX(DarlBindung,18)="",1,IF($E8324&lt;=INDEX(DarlBindung,18),1,0))</f>
      </c>
      <c r="H8324" s="43">
        <f>IF($G8324=1,INDEX(DarlSollzins,18),INDEX(DarlAnschluss,18))</f>
      </c>
      <c r="I8324" s="43">
        <f>IF(INDEX(DarlBelegt,18)=0,0,IF(INDEX(DarlOhneTilgung,18)=1,IF(INDEX(DarlBindung,18)="",1,$G8324),IF($J8324&gt;0.005,1,0)))</f>
      </c>
      <c r="J8324" s="43">
        <f>IF($I8323=0,0,$R8323)</f>
      </c>
      <c r="K8324" s="43">
        <f>IF($I8324=0,0,IF(INDEX(DarlOhneTilgung,18)=1,0,IF(AND(INDEX(DarlTilgStart,18)&gt;0,$E8324=INDEX(DarlTilgStart,18)),$J8324*($H8324+INDEX(DarlTilgung,18))/100/12,IF(AND($G8324=0,$G8323=1),MAX($K8323,$J8324*($H8324+1)/100/12),$K8323))))</f>
      </c>
      <c r="L8324" s="43">
        <f>IF($I8324=0,0,$J8324*$H8324/100/12)</f>
      </c>
      <c r="M8324" s="43">
        <f>IF($I8324=0,0,IF(OR(INDEX(DarlOhneTilgung,18)=1,AND(INDEX(DarlTilgStart,18)&gt;0,$E8324&lt;INDEX(DarlTilgStart,18))),0,MIN(MAX(0,$K8324-$L8324),$J8324)))</f>
      </c>
      <c r="N8324" s="43">
        <f>IF($I8324=0,0,MIN(SUMIFS(SondBetrag,SondDarl,18,SondDatum,"&gt;="&amp;$E8324,SondDatum,"&lt;="&amp;EOMONTH($E8324,0)),$J8324-$M8324))</f>
      </c>
      <c r="O8324" s="43">
        <f>IF($I8324=0,0,INDEX(DarlErsatzRate,18))</f>
      </c>
      <c r="P8324" s="43">
        <f>IF($I8324=0,0,$Q8323*INDEX(DarlErsatzZins,18))</f>
      </c>
      <c r="Q8324" s="43">
        <f>IF($I8324=0,0,$Q8323+$P8324+$O8324)</f>
      </c>
      <c r="R8324" s="43">
        <f>IF($I8324=0,0,$J8324-$M8324-$N8324)</f>
      </c>
    </row>
    <row r="8325">
      <c r="A8325"/>
      <c r="B8325">
        <v>18</v>
      </c>
      <c r="C8325" s="43">
        <f>INDEX(DarlObj,18)</f>
      </c>
      <c r="D8325">
        <v>162</v>
      </c>
      <c r="E8325" s="51">
        <f>IF(INDEX(DarlBelegt,18)=0,0,EOMONTH(INDEX(DarlAuszahlung,18),161)+1)</f>
      </c>
      <c r="F8325" s="43">
        <f>IF($E8325=0,0,YEAR($E8325))</f>
      </c>
      <c r="G8325" s="43">
        <f>IF(INDEX(DarlBindung,18)="",1,IF($E8325&lt;=INDEX(DarlBindung,18),1,0))</f>
      </c>
      <c r="H8325" s="43">
        <f>IF($G8325=1,INDEX(DarlSollzins,18),INDEX(DarlAnschluss,18))</f>
      </c>
      <c r="I8325" s="43">
        <f>IF(INDEX(DarlBelegt,18)=0,0,IF(INDEX(DarlOhneTilgung,18)=1,IF(INDEX(DarlBindung,18)="",1,$G8325),IF($J8325&gt;0.005,1,0)))</f>
      </c>
      <c r="J8325" s="43">
        <f>IF($I8324=0,0,$R8324)</f>
      </c>
      <c r="K8325" s="43">
        <f>IF($I8325=0,0,IF(INDEX(DarlOhneTilgung,18)=1,0,IF(AND(INDEX(DarlTilgStart,18)&gt;0,$E8325=INDEX(DarlTilgStart,18)),$J8325*($H8325+INDEX(DarlTilgung,18))/100/12,IF(AND($G8325=0,$G8324=1),MAX($K8324,$J8325*($H8325+1)/100/12),$K8324))))</f>
      </c>
      <c r="L8325" s="43">
        <f>IF($I8325=0,0,$J8325*$H8325/100/12)</f>
      </c>
      <c r="M8325" s="43">
        <f>IF($I8325=0,0,IF(OR(INDEX(DarlOhneTilgung,18)=1,AND(INDEX(DarlTilgStart,18)&gt;0,$E8325&lt;INDEX(DarlTilgStart,18))),0,MIN(MAX(0,$K8325-$L8325),$J8325)))</f>
      </c>
      <c r="N8325" s="43">
        <f>IF($I8325=0,0,MIN(SUMIFS(SondBetrag,SondDarl,18,SondDatum,"&gt;="&amp;$E8325,SondDatum,"&lt;="&amp;EOMONTH($E8325,0)),$J8325-$M8325))</f>
      </c>
      <c r="O8325" s="43">
        <f>IF($I8325=0,0,INDEX(DarlErsatzRate,18))</f>
      </c>
      <c r="P8325" s="43">
        <f>IF($I8325=0,0,$Q8324*INDEX(DarlErsatzZins,18))</f>
      </c>
      <c r="Q8325" s="43">
        <f>IF($I8325=0,0,$Q8324+$P8325+$O8325)</f>
      </c>
      <c r="R8325" s="43">
        <f>IF($I8325=0,0,$J8325-$M8325-$N8325)</f>
      </c>
    </row>
    <row r="8326">
      <c r="A8326"/>
      <c r="B8326">
        <v>18</v>
      </c>
      <c r="C8326" s="43">
        <f>INDEX(DarlObj,18)</f>
      </c>
      <c r="D8326">
        <v>163</v>
      </c>
      <c r="E8326" s="51">
        <f>IF(INDEX(DarlBelegt,18)=0,0,EOMONTH(INDEX(DarlAuszahlung,18),162)+1)</f>
      </c>
      <c r="F8326" s="43">
        <f>IF($E8326=0,0,YEAR($E8326))</f>
      </c>
      <c r="G8326" s="43">
        <f>IF(INDEX(DarlBindung,18)="",1,IF($E8326&lt;=INDEX(DarlBindung,18),1,0))</f>
      </c>
      <c r="H8326" s="43">
        <f>IF($G8326=1,INDEX(DarlSollzins,18),INDEX(DarlAnschluss,18))</f>
      </c>
      <c r="I8326" s="43">
        <f>IF(INDEX(DarlBelegt,18)=0,0,IF(INDEX(DarlOhneTilgung,18)=1,IF(INDEX(DarlBindung,18)="",1,$G8326),IF($J8326&gt;0.005,1,0)))</f>
      </c>
      <c r="J8326" s="43">
        <f>IF($I8325=0,0,$R8325)</f>
      </c>
      <c r="K8326" s="43">
        <f>IF($I8326=0,0,IF(INDEX(DarlOhneTilgung,18)=1,0,IF(AND(INDEX(DarlTilgStart,18)&gt;0,$E8326=INDEX(DarlTilgStart,18)),$J8326*($H8326+INDEX(DarlTilgung,18))/100/12,IF(AND($G8326=0,$G8325=1),MAX($K8325,$J8326*($H8326+1)/100/12),$K8325))))</f>
      </c>
      <c r="L8326" s="43">
        <f>IF($I8326=0,0,$J8326*$H8326/100/12)</f>
      </c>
      <c r="M8326" s="43">
        <f>IF($I8326=0,0,IF(OR(INDEX(DarlOhneTilgung,18)=1,AND(INDEX(DarlTilgStart,18)&gt;0,$E8326&lt;INDEX(DarlTilgStart,18))),0,MIN(MAX(0,$K8326-$L8326),$J8326)))</f>
      </c>
      <c r="N8326" s="43">
        <f>IF($I8326=0,0,MIN(SUMIFS(SondBetrag,SondDarl,18,SondDatum,"&gt;="&amp;$E8326,SondDatum,"&lt;="&amp;EOMONTH($E8326,0)),$J8326-$M8326))</f>
      </c>
      <c r="O8326" s="43">
        <f>IF($I8326=0,0,INDEX(DarlErsatzRate,18))</f>
      </c>
      <c r="P8326" s="43">
        <f>IF($I8326=0,0,$Q8325*INDEX(DarlErsatzZins,18))</f>
      </c>
      <c r="Q8326" s="43">
        <f>IF($I8326=0,0,$Q8325+$P8326+$O8326)</f>
      </c>
      <c r="R8326" s="43">
        <f>IF($I8326=0,0,$J8326-$M8326-$N8326)</f>
      </c>
    </row>
    <row r="8327">
      <c r="A8327"/>
      <c r="B8327">
        <v>18</v>
      </c>
      <c r="C8327" s="43">
        <f>INDEX(DarlObj,18)</f>
      </c>
      <c r="D8327">
        <v>164</v>
      </c>
      <c r="E8327" s="51">
        <f>IF(INDEX(DarlBelegt,18)=0,0,EOMONTH(INDEX(DarlAuszahlung,18),163)+1)</f>
      </c>
      <c r="F8327" s="43">
        <f>IF($E8327=0,0,YEAR($E8327))</f>
      </c>
      <c r="G8327" s="43">
        <f>IF(INDEX(DarlBindung,18)="",1,IF($E8327&lt;=INDEX(DarlBindung,18),1,0))</f>
      </c>
      <c r="H8327" s="43">
        <f>IF($G8327=1,INDEX(DarlSollzins,18),INDEX(DarlAnschluss,18))</f>
      </c>
      <c r="I8327" s="43">
        <f>IF(INDEX(DarlBelegt,18)=0,0,IF(INDEX(DarlOhneTilgung,18)=1,IF(INDEX(DarlBindung,18)="",1,$G8327),IF($J8327&gt;0.005,1,0)))</f>
      </c>
      <c r="J8327" s="43">
        <f>IF($I8326=0,0,$R8326)</f>
      </c>
      <c r="K8327" s="43">
        <f>IF($I8327=0,0,IF(INDEX(DarlOhneTilgung,18)=1,0,IF(AND(INDEX(DarlTilgStart,18)&gt;0,$E8327=INDEX(DarlTilgStart,18)),$J8327*($H8327+INDEX(DarlTilgung,18))/100/12,IF(AND($G8327=0,$G8326=1),MAX($K8326,$J8327*($H8327+1)/100/12),$K8326))))</f>
      </c>
      <c r="L8327" s="43">
        <f>IF($I8327=0,0,$J8327*$H8327/100/12)</f>
      </c>
      <c r="M8327" s="43">
        <f>IF($I8327=0,0,IF(OR(INDEX(DarlOhneTilgung,18)=1,AND(INDEX(DarlTilgStart,18)&gt;0,$E8327&lt;INDEX(DarlTilgStart,18))),0,MIN(MAX(0,$K8327-$L8327),$J8327)))</f>
      </c>
      <c r="N8327" s="43">
        <f>IF($I8327=0,0,MIN(SUMIFS(SondBetrag,SondDarl,18,SondDatum,"&gt;="&amp;$E8327,SondDatum,"&lt;="&amp;EOMONTH($E8327,0)),$J8327-$M8327))</f>
      </c>
      <c r="O8327" s="43">
        <f>IF($I8327=0,0,INDEX(DarlErsatzRate,18))</f>
      </c>
      <c r="P8327" s="43">
        <f>IF($I8327=0,0,$Q8326*INDEX(DarlErsatzZins,18))</f>
      </c>
      <c r="Q8327" s="43">
        <f>IF($I8327=0,0,$Q8326+$P8327+$O8327)</f>
      </c>
      <c r="R8327" s="43">
        <f>IF($I8327=0,0,$J8327-$M8327-$N8327)</f>
      </c>
    </row>
    <row r="8328">
      <c r="A8328"/>
      <c r="B8328">
        <v>18</v>
      </c>
      <c r="C8328" s="43">
        <f>INDEX(DarlObj,18)</f>
      </c>
      <c r="D8328">
        <v>165</v>
      </c>
      <c r="E8328" s="51">
        <f>IF(INDEX(DarlBelegt,18)=0,0,EOMONTH(INDEX(DarlAuszahlung,18),164)+1)</f>
      </c>
      <c r="F8328" s="43">
        <f>IF($E8328=0,0,YEAR($E8328))</f>
      </c>
      <c r="G8328" s="43">
        <f>IF(INDEX(DarlBindung,18)="",1,IF($E8328&lt;=INDEX(DarlBindung,18),1,0))</f>
      </c>
      <c r="H8328" s="43">
        <f>IF($G8328=1,INDEX(DarlSollzins,18),INDEX(DarlAnschluss,18))</f>
      </c>
      <c r="I8328" s="43">
        <f>IF(INDEX(DarlBelegt,18)=0,0,IF(INDEX(DarlOhneTilgung,18)=1,IF(INDEX(DarlBindung,18)="",1,$G8328),IF($J8328&gt;0.005,1,0)))</f>
      </c>
      <c r="J8328" s="43">
        <f>IF($I8327=0,0,$R8327)</f>
      </c>
      <c r="K8328" s="43">
        <f>IF($I8328=0,0,IF(INDEX(DarlOhneTilgung,18)=1,0,IF(AND(INDEX(DarlTilgStart,18)&gt;0,$E8328=INDEX(DarlTilgStart,18)),$J8328*($H8328+INDEX(DarlTilgung,18))/100/12,IF(AND($G8328=0,$G8327=1),MAX($K8327,$J8328*($H8328+1)/100/12),$K8327))))</f>
      </c>
      <c r="L8328" s="43">
        <f>IF($I8328=0,0,$J8328*$H8328/100/12)</f>
      </c>
      <c r="M8328" s="43">
        <f>IF($I8328=0,0,IF(OR(INDEX(DarlOhneTilgung,18)=1,AND(INDEX(DarlTilgStart,18)&gt;0,$E8328&lt;INDEX(DarlTilgStart,18))),0,MIN(MAX(0,$K8328-$L8328),$J8328)))</f>
      </c>
      <c r="N8328" s="43">
        <f>IF($I8328=0,0,MIN(SUMIFS(SondBetrag,SondDarl,18,SondDatum,"&gt;="&amp;$E8328,SondDatum,"&lt;="&amp;EOMONTH($E8328,0)),$J8328-$M8328))</f>
      </c>
      <c r="O8328" s="43">
        <f>IF($I8328=0,0,INDEX(DarlErsatzRate,18))</f>
      </c>
      <c r="P8328" s="43">
        <f>IF($I8328=0,0,$Q8327*INDEX(DarlErsatzZins,18))</f>
      </c>
      <c r="Q8328" s="43">
        <f>IF($I8328=0,0,$Q8327+$P8328+$O8328)</f>
      </c>
      <c r="R8328" s="43">
        <f>IF($I8328=0,0,$J8328-$M8328-$N8328)</f>
      </c>
    </row>
    <row r="8329">
      <c r="A8329"/>
      <c r="B8329">
        <v>18</v>
      </c>
      <c r="C8329" s="43">
        <f>INDEX(DarlObj,18)</f>
      </c>
      <c r="D8329">
        <v>166</v>
      </c>
      <c r="E8329" s="51">
        <f>IF(INDEX(DarlBelegt,18)=0,0,EOMONTH(INDEX(DarlAuszahlung,18),165)+1)</f>
      </c>
      <c r="F8329" s="43">
        <f>IF($E8329=0,0,YEAR($E8329))</f>
      </c>
      <c r="G8329" s="43">
        <f>IF(INDEX(DarlBindung,18)="",1,IF($E8329&lt;=INDEX(DarlBindung,18),1,0))</f>
      </c>
      <c r="H8329" s="43">
        <f>IF($G8329=1,INDEX(DarlSollzins,18),INDEX(DarlAnschluss,18))</f>
      </c>
      <c r="I8329" s="43">
        <f>IF(INDEX(DarlBelegt,18)=0,0,IF(INDEX(DarlOhneTilgung,18)=1,IF(INDEX(DarlBindung,18)="",1,$G8329),IF($J8329&gt;0.005,1,0)))</f>
      </c>
      <c r="J8329" s="43">
        <f>IF($I8328=0,0,$R8328)</f>
      </c>
      <c r="K8329" s="43">
        <f>IF($I8329=0,0,IF(INDEX(DarlOhneTilgung,18)=1,0,IF(AND(INDEX(DarlTilgStart,18)&gt;0,$E8329=INDEX(DarlTilgStart,18)),$J8329*($H8329+INDEX(DarlTilgung,18))/100/12,IF(AND($G8329=0,$G8328=1),MAX($K8328,$J8329*($H8329+1)/100/12),$K8328))))</f>
      </c>
      <c r="L8329" s="43">
        <f>IF($I8329=0,0,$J8329*$H8329/100/12)</f>
      </c>
      <c r="M8329" s="43">
        <f>IF($I8329=0,0,IF(OR(INDEX(DarlOhneTilgung,18)=1,AND(INDEX(DarlTilgStart,18)&gt;0,$E8329&lt;INDEX(DarlTilgStart,18))),0,MIN(MAX(0,$K8329-$L8329),$J8329)))</f>
      </c>
      <c r="N8329" s="43">
        <f>IF($I8329=0,0,MIN(SUMIFS(SondBetrag,SondDarl,18,SondDatum,"&gt;="&amp;$E8329,SondDatum,"&lt;="&amp;EOMONTH($E8329,0)),$J8329-$M8329))</f>
      </c>
      <c r="O8329" s="43">
        <f>IF($I8329=0,0,INDEX(DarlErsatzRate,18))</f>
      </c>
      <c r="P8329" s="43">
        <f>IF($I8329=0,0,$Q8328*INDEX(DarlErsatzZins,18))</f>
      </c>
      <c r="Q8329" s="43">
        <f>IF($I8329=0,0,$Q8328+$P8329+$O8329)</f>
      </c>
      <c r="R8329" s="43">
        <f>IF($I8329=0,0,$J8329-$M8329-$N8329)</f>
      </c>
    </row>
    <row r="8330">
      <c r="A8330"/>
      <c r="B8330">
        <v>18</v>
      </c>
      <c r="C8330" s="43">
        <f>INDEX(DarlObj,18)</f>
      </c>
      <c r="D8330">
        <v>167</v>
      </c>
      <c r="E8330" s="51">
        <f>IF(INDEX(DarlBelegt,18)=0,0,EOMONTH(INDEX(DarlAuszahlung,18),166)+1)</f>
      </c>
      <c r="F8330" s="43">
        <f>IF($E8330=0,0,YEAR($E8330))</f>
      </c>
      <c r="G8330" s="43">
        <f>IF(INDEX(DarlBindung,18)="",1,IF($E8330&lt;=INDEX(DarlBindung,18),1,0))</f>
      </c>
      <c r="H8330" s="43">
        <f>IF($G8330=1,INDEX(DarlSollzins,18),INDEX(DarlAnschluss,18))</f>
      </c>
      <c r="I8330" s="43">
        <f>IF(INDEX(DarlBelegt,18)=0,0,IF(INDEX(DarlOhneTilgung,18)=1,IF(INDEX(DarlBindung,18)="",1,$G8330),IF($J8330&gt;0.005,1,0)))</f>
      </c>
      <c r="J8330" s="43">
        <f>IF($I8329=0,0,$R8329)</f>
      </c>
      <c r="K8330" s="43">
        <f>IF($I8330=0,0,IF(INDEX(DarlOhneTilgung,18)=1,0,IF(AND(INDEX(DarlTilgStart,18)&gt;0,$E8330=INDEX(DarlTilgStart,18)),$J8330*($H8330+INDEX(DarlTilgung,18))/100/12,IF(AND($G8330=0,$G8329=1),MAX($K8329,$J8330*($H8330+1)/100/12),$K8329))))</f>
      </c>
      <c r="L8330" s="43">
        <f>IF($I8330=0,0,$J8330*$H8330/100/12)</f>
      </c>
      <c r="M8330" s="43">
        <f>IF($I8330=0,0,IF(OR(INDEX(DarlOhneTilgung,18)=1,AND(INDEX(DarlTilgStart,18)&gt;0,$E8330&lt;INDEX(DarlTilgStart,18))),0,MIN(MAX(0,$K8330-$L8330),$J8330)))</f>
      </c>
      <c r="N8330" s="43">
        <f>IF($I8330=0,0,MIN(SUMIFS(SondBetrag,SondDarl,18,SondDatum,"&gt;="&amp;$E8330,SondDatum,"&lt;="&amp;EOMONTH($E8330,0)),$J8330-$M8330))</f>
      </c>
      <c r="O8330" s="43">
        <f>IF($I8330=0,0,INDEX(DarlErsatzRate,18))</f>
      </c>
      <c r="P8330" s="43">
        <f>IF($I8330=0,0,$Q8329*INDEX(DarlErsatzZins,18))</f>
      </c>
      <c r="Q8330" s="43">
        <f>IF($I8330=0,0,$Q8329+$P8330+$O8330)</f>
      </c>
      <c r="R8330" s="43">
        <f>IF($I8330=0,0,$J8330-$M8330-$N8330)</f>
      </c>
    </row>
    <row r="8331">
      <c r="A8331"/>
      <c r="B8331">
        <v>18</v>
      </c>
      <c r="C8331" s="43">
        <f>INDEX(DarlObj,18)</f>
      </c>
      <c r="D8331">
        <v>168</v>
      </c>
      <c r="E8331" s="51">
        <f>IF(INDEX(DarlBelegt,18)=0,0,EOMONTH(INDEX(DarlAuszahlung,18),167)+1)</f>
      </c>
      <c r="F8331" s="43">
        <f>IF($E8331=0,0,YEAR($E8331))</f>
      </c>
      <c r="G8331" s="43">
        <f>IF(INDEX(DarlBindung,18)="",1,IF($E8331&lt;=INDEX(DarlBindung,18),1,0))</f>
      </c>
      <c r="H8331" s="43">
        <f>IF($G8331=1,INDEX(DarlSollzins,18),INDEX(DarlAnschluss,18))</f>
      </c>
      <c r="I8331" s="43">
        <f>IF(INDEX(DarlBelegt,18)=0,0,IF(INDEX(DarlOhneTilgung,18)=1,IF(INDEX(DarlBindung,18)="",1,$G8331),IF($J8331&gt;0.005,1,0)))</f>
      </c>
      <c r="J8331" s="43">
        <f>IF($I8330=0,0,$R8330)</f>
      </c>
      <c r="K8331" s="43">
        <f>IF($I8331=0,0,IF(INDEX(DarlOhneTilgung,18)=1,0,IF(AND(INDEX(DarlTilgStart,18)&gt;0,$E8331=INDEX(DarlTilgStart,18)),$J8331*($H8331+INDEX(DarlTilgung,18))/100/12,IF(AND($G8331=0,$G8330=1),MAX($K8330,$J8331*($H8331+1)/100/12),$K8330))))</f>
      </c>
      <c r="L8331" s="43">
        <f>IF($I8331=0,0,$J8331*$H8331/100/12)</f>
      </c>
      <c r="M8331" s="43">
        <f>IF($I8331=0,0,IF(OR(INDEX(DarlOhneTilgung,18)=1,AND(INDEX(DarlTilgStart,18)&gt;0,$E8331&lt;INDEX(DarlTilgStart,18))),0,MIN(MAX(0,$K8331-$L8331),$J8331)))</f>
      </c>
      <c r="N8331" s="43">
        <f>IF($I8331=0,0,MIN(SUMIFS(SondBetrag,SondDarl,18,SondDatum,"&gt;="&amp;$E8331,SondDatum,"&lt;="&amp;EOMONTH($E8331,0)),$J8331-$M8331))</f>
      </c>
      <c r="O8331" s="43">
        <f>IF($I8331=0,0,INDEX(DarlErsatzRate,18))</f>
      </c>
      <c r="P8331" s="43">
        <f>IF($I8331=0,0,$Q8330*INDEX(DarlErsatzZins,18))</f>
      </c>
      <c r="Q8331" s="43">
        <f>IF($I8331=0,0,$Q8330+$P8331+$O8331)</f>
      </c>
      <c r="R8331" s="43">
        <f>IF($I8331=0,0,$J8331-$M8331-$N8331)</f>
      </c>
    </row>
    <row r="8332">
      <c r="A8332"/>
      <c r="B8332">
        <v>18</v>
      </c>
      <c r="C8332" s="43">
        <f>INDEX(DarlObj,18)</f>
      </c>
      <c r="D8332">
        <v>169</v>
      </c>
      <c r="E8332" s="51">
        <f>IF(INDEX(DarlBelegt,18)=0,0,EOMONTH(INDEX(DarlAuszahlung,18),168)+1)</f>
      </c>
      <c r="F8332" s="43">
        <f>IF($E8332=0,0,YEAR($E8332))</f>
      </c>
      <c r="G8332" s="43">
        <f>IF(INDEX(DarlBindung,18)="",1,IF($E8332&lt;=INDEX(DarlBindung,18),1,0))</f>
      </c>
      <c r="H8332" s="43">
        <f>IF($G8332=1,INDEX(DarlSollzins,18),INDEX(DarlAnschluss,18))</f>
      </c>
      <c r="I8332" s="43">
        <f>IF(INDEX(DarlBelegt,18)=0,0,IF(INDEX(DarlOhneTilgung,18)=1,IF(INDEX(DarlBindung,18)="",1,$G8332),IF($J8332&gt;0.005,1,0)))</f>
      </c>
      <c r="J8332" s="43">
        <f>IF($I8331=0,0,$R8331)</f>
      </c>
      <c r="K8332" s="43">
        <f>IF($I8332=0,0,IF(INDEX(DarlOhneTilgung,18)=1,0,IF(AND(INDEX(DarlTilgStart,18)&gt;0,$E8332=INDEX(DarlTilgStart,18)),$J8332*($H8332+INDEX(DarlTilgung,18))/100/12,IF(AND($G8332=0,$G8331=1),MAX($K8331,$J8332*($H8332+1)/100/12),$K8331))))</f>
      </c>
      <c r="L8332" s="43">
        <f>IF($I8332=0,0,$J8332*$H8332/100/12)</f>
      </c>
      <c r="M8332" s="43">
        <f>IF($I8332=0,0,IF(OR(INDEX(DarlOhneTilgung,18)=1,AND(INDEX(DarlTilgStart,18)&gt;0,$E8332&lt;INDEX(DarlTilgStart,18))),0,MIN(MAX(0,$K8332-$L8332),$J8332)))</f>
      </c>
      <c r="N8332" s="43">
        <f>IF($I8332=0,0,MIN(SUMIFS(SondBetrag,SondDarl,18,SondDatum,"&gt;="&amp;$E8332,SondDatum,"&lt;="&amp;EOMONTH($E8332,0)),$J8332-$M8332))</f>
      </c>
      <c r="O8332" s="43">
        <f>IF($I8332=0,0,INDEX(DarlErsatzRate,18))</f>
      </c>
      <c r="P8332" s="43">
        <f>IF($I8332=0,0,$Q8331*INDEX(DarlErsatzZins,18))</f>
      </c>
      <c r="Q8332" s="43">
        <f>IF($I8332=0,0,$Q8331+$P8332+$O8332)</f>
      </c>
      <c r="R8332" s="43">
        <f>IF($I8332=0,0,$J8332-$M8332-$N8332)</f>
      </c>
    </row>
    <row r="8333">
      <c r="A8333"/>
      <c r="B8333">
        <v>18</v>
      </c>
      <c r="C8333" s="43">
        <f>INDEX(DarlObj,18)</f>
      </c>
      <c r="D8333">
        <v>170</v>
      </c>
      <c r="E8333" s="51">
        <f>IF(INDEX(DarlBelegt,18)=0,0,EOMONTH(INDEX(DarlAuszahlung,18),169)+1)</f>
      </c>
      <c r="F8333" s="43">
        <f>IF($E8333=0,0,YEAR($E8333))</f>
      </c>
      <c r="G8333" s="43">
        <f>IF(INDEX(DarlBindung,18)="",1,IF($E8333&lt;=INDEX(DarlBindung,18),1,0))</f>
      </c>
      <c r="H8333" s="43">
        <f>IF($G8333=1,INDEX(DarlSollzins,18),INDEX(DarlAnschluss,18))</f>
      </c>
      <c r="I8333" s="43">
        <f>IF(INDEX(DarlBelegt,18)=0,0,IF(INDEX(DarlOhneTilgung,18)=1,IF(INDEX(DarlBindung,18)="",1,$G8333),IF($J8333&gt;0.005,1,0)))</f>
      </c>
      <c r="J8333" s="43">
        <f>IF($I8332=0,0,$R8332)</f>
      </c>
      <c r="K8333" s="43">
        <f>IF($I8333=0,0,IF(INDEX(DarlOhneTilgung,18)=1,0,IF(AND(INDEX(DarlTilgStart,18)&gt;0,$E8333=INDEX(DarlTilgStart,18)),$J8333*($H8333+INDEX(DarlTilgung,18))/100/12,IF(AND($G8333=0,$G8332=1),MAX($K8332,$J8333*($H8333+1)/100/12),$K8332))))</f>
      </c>
      <c r="L8333" s="43">
        <f>IF($I8333=0,0,$J8333*$H8333/100/12)</f>
      </c>
      <c r="M8333" s="43">
        <f>IF($I8333=0,0,IF(OR(INDEX(DarlOhneTilgung,18)=1,AND(INDEX(DarlTilgStart,18)&gt;0,$E8333&lt;INDEX(DarlTilgStart,18))),0,MIN(MAX(0,$K8333-$L8333),$J8333)))</f>
      </c>
      <c r="N8333" s="43">
        <f>IF($I8333=0,0,MIN(SUMIFS(SondBetrag,SondDarl,18,SondDatum,"&gt;="&amp;$E8333,SondDatum,"&lt;="&amp;EOMONTH($E8333,0)),$J8333-$M8333))</f>
      </c>
      <c r="O8333" s="43">
        <f>IF($I8333=0,0,INDEX(DarlErsatzRate,18))</f>
      </c>
      <c r="P8333" s="43">
        <f>IF($I8333=0,0,$Q8332*INDEX(DarlErsatzZins,18))</f>
      </c>
      <c r="Q8333" s="43">
        <f>IF($I8333=0,0,$Q8332+$P8333+$O8333)</f>
      </c>
      <c r="R8333" s="43">
        <f>IF($I8333=0,0,$J8333-$M8333-$N8333)</f>
      </c>
    </row>
    <row r="8334">
      <c r="A8334"/>
      <c r="B8334">
        <v>18</v>
      </c>
      <c r="C8334" s="43">
        <f>INDEX(DarlObj,18)</f>
      </c>
      <c r="D8334">
        <v>171</v>
      </c>
      <c r="E8334" s="51">
        <f>IF(INDEX(DarlBelegt,18)=0,0,EOMONTH(INDEX(DarlAuszahlung,18),170)+1)</f>
      </c>
      <c r="F8334" s="43">
        <f>IF($E8334=0,0,YEAR($E8334))</f>
      </c>
      <c r="G8334" s="43">
        <f>IF(INDEX(DarlBindung,18)="",1,IF($E8334&lt;=INDEX(DarlBindung,18),1,0))</f>
      </c>
      <c r="H8334" s="43">
        <f>IF($G8334=1,INDEX(DarlSollzins,18),INDEX(DarlAnschluss,18))</f>
      </c>
      <c r="I8334" s="43">
        <f>IF(INDEX(DarlBelegt,18)=0,0,IF(INDEX(DarlOhneTilgung,18)=1,IF(INDEX(DarlBindung,18)="",1,$G8334),IF($J8334&gt;0.005,1,0)))</f>
      </c>
      <c r="J8334" s="43">
        <f>IF($I8333=0,0,$R8333)</f>
      </c>
      <c r="K8334" s="43">
        <f>IF($I8334=0,0,IF(INDEX(DarlOhneTilgung,18)=1,0,IF(AND(INDEX(DarlTilgStart,18)&gt;0,$E8334=INDEX(DarlTilgStart,18)),$J8334*($H8334+INDEX(DarlTilgung,18))/100/12,IF(AND($G8334=0,$G8333=1),MAX($K8333,$J8334*($H8334+1)/100/12),$K8333))))</f>
      </c>
      <c r="L8334" s="43">
        <f>IF($I8334=0,0,$J8334*$H8334/100/12)</f>
      </c>
      <c r="M8334" s="43">
        <f>IF($I8334=0,0,IF(OR(INDEX(DarlOhneTilgung,18)=1,AND(INDEX(DarlTilgStart,18)&gt;0,$E8334&lt;INDEX(DarlTilgStart,18))),0,MIN(MAX(0,$K8334-$L8334),$J8334)))</f>
      </c>
      <c r="N8334" s="43">
        <f>IF($I8334=0,0,MIN(SUMIFS(SondBetrag,SondDarl,18,SondDatum,"&gt;="&amp;$E8334,SondDatum,"&lt;="&amp;EOMONTH($E8334,0)),$J8334-$M8334))</f>
      </c>
      <c r="O8334" s="43">
        <f>IF($I8334=0,0,INDEX(DarlErsatzRate,18))</f>
      </c>
      <c r="P8334" s="43">
        <f>IF($I8334=0,0,$Q8333*INDEX(DarlErsatzZins,18))</f>
      </c>
      <c r="Q8334" s="43">
        <f>IF($I8334=0,0,$Q8333+$P8334+$O8334)</f>
      </c>
      <c r="R8334" s="43">
        <f>IF($I8334=0,0,$J8334-$M8334-$N8334)</f>
      </c>
    </row>
    <row r="8335">
      <c r="A8335"/>
      <c r="B8335">
        <v>18</v>
      </c>
      <c r="C8335" s="43">
        <f>INDEX(DarlObj,18)</f>
      </c>
      <c r="D8335">
        <v>172</v>
      </c>
      <c r="E8335" s="51">
        <f>IF(INDEX(DarlBelegt,18)=0,0,EOMONTH(INDEX(DarlAuszahlung,18),171)+1)</f>
      </c>
      <c r="F8335" s="43">
        <f>IF($E8335=0,0,YEAR($E8335))</f>
      </c>
      <c r="G8335" s="43">
        <f>IF(INDEX(DarlBindung,18)="",1,IF($E8335&lt;=INDEX(DarlBindung,18),1,0))</f>
      </c>
      <c r="H8335" s="43">
        <f>IF($G8335=1,INDEX(DarlSollzins,18),INDEX(DarlAnschluss,18))</f>
      </c>
      <c r="I8335" s="43">
        <f>IF(INDEX(DarlBelegt,18)=0,0,IF(INDEX(DarlOhneTilgung,18)=1,IF(INDEX(DarlBindung,18)="",1,$G8335),IF($J8335&gt;0.005,1,0)))</f>
      </c>
      <c r="J8335" s="43">
        <f>IF($I8334=0,0,$R8334)</f>
      </c>
      <c r="K8335" s="43">
        <f>IF($I8335=0,0,IF(INDEX(DarlOhneTilgung,18)=1,0,IF(AND(INDEX(DarlTilgStart,18)&gt;0,$E8335=INDEX(DarlTilgStart,18)),$J8335*($H8335+INDEX(DarlTilgung,18))/100/12,IF(AND($G8335=0,$G8334=1),MAX($K8334,$J8335*($H8335+1)/100/12),$K8334))))</f>
      </c>
      <c r="L8335" s="43">
        <f>IF($I8335=0,0,$J8335*$H8335/100/12)</f>
      </c>
      <c r="M8335" s="43">
        <f>IF($I8335=0,0,IF(OR(INDEX(DarlOhneTilgung,18)=1,AND(INDEX(DarlTilgStart,18)&gt;0,$E8335&lt;INDEX(DarlTilgStart,18))),0,MIN(MAX(0,$K8335-$L8335),$J8335)))</f>
      </c>
      <c r="N8335" s="43">
        <f>IF($I8335=0,0,MIN(SUMIFS(SondBetrag,SondDarl,18,SondDatum,"&gt;="&amp;$E8335,SondDatum,"&lt;="&amp;EOMONTH($E8335,0)),$J8335-$M8335))</f>
      </c>
      <c r="O8335" s="43">
        <f>IF($I8335=0,0,INDEX(DarlErsatzRate,18))</f>
      </c>
      <c r="P8335" s="43">
        <f>IF($I8335=0,0,$Q8334*INDEX(DarlErsatzZins,18))</f>
      </c>
      <c r="Q8335" s="43">
        <f>IF($I8335=0,0,$Q8334+$P8335+$O8335)</f>
      </c>
      <c r="R8335" s="43">
        <f>IF($I8335=0,0,$J8335-$M8335-$N8335)</f>
      </c>
    </row>
    <row r="8336">
      <c r="A8336"/>
      <c r="B8336">
        <v>18</v>
      </c>
      <c r="C8336" s="43">
        <f>INDEX(DarlObj,18)</f>
      </c>
      <c r="D8336">
        <v>173</v>
      </c>
      <c r="E8336" s="51">
        <f>IF(INDEX(DarlBelegt,18)=0,0,EOMONTH(INDEX(DarlAuszahlung,18),172)+1)</f>
      </c>
      <c r="F8336" s="43">
        <f>IF($E8336=0,0,YEAR($E8336))</f>
      </c>
      <c r="G8336" s="43">
        <f>IF(INDEX(DarlBindung,18)="",1,IF($E8336&lt;=INDEX(DarlBindung,18),1,0))</f>
      </c>
      <c r="H8336" s="43">
        <f>IF($G8336=1,INDEX(DarlSollzins,18),INDEX(DarlAnschluss,18))</f>
      </c>
      <c r="I8336" s="43">
        <f>IF(INDEX(DarlBelegt,18)=0,0,IF(INDEX(DarlOhneTilgung,18)=1,IF(INDEX(DarlBindung,18)="",1,$G8336),IF($J8336&gt;0.005,1,0)))</f>
      </c>
      <c r="J8336" s="43">
        <f>IF($I8335=0,0,$R8335)</f>
      </c>
      <c r="K8336" s="43">
        <f>IF($I8336=0,0,IF(INDEX(DarlOhneTilgung,18)=1,0,IF(AND(INDEX(DarlTilgStart,18)&gt;0,$E8336=INDEX(DarlTilgStart,18)),$J8336*($H8336+INDEX(DarlTilgung,18))/100/12,IF(AND($G8336=0,$G8335=1),MAX($K8335,$J8336*($H8336+1)/100/12),$K8335))))</f>
      </c>
      <c r="L8336" s="43">
        <f>IF($I8336=0,0,$J8336*$H8336/100/12)</f>
      </c>
      <c r="M8336" s="43">
        <f>IF($I8336=0,0,IF(OR(INDEX(DarlOhneTilgung,18)=1,AND(INDEX(DarlTilgStart,18)&gt;0,$E8336&lt;INDEX(DarlTilgStart,18))),0,MIN(MAX(0,$K8336-$L8336),$J8336)))</f>
      </c>
      <c r="N8336" s="43">
        <f>IF($I8336=0,0,MIN(SUMIFS(SondBetrag,SondDarl,18,SondDatum,"&gt;="&amp;$E8336,SondDatum,"&lt;="&amp;EOMONTH($E8336,0)),$J8336-$M8336))</f>
      </c>
      <c r="O8336" s="43">
        <f>IF($I8336=0,0,INDEX(DarlErsatzRate,18))</f>
      </c>
      <c r="P8336" s="43">
        <f>IF($I8336=0,0,$Q8335*INDEX(DarlErsatzZins,18))</f>
      </c>
      <c r="Q8336" s="43">
        <f>IF($I8336=0,0,$Q8335+$P8336+$O8336)</f>
      </c>
      <c r="R8336" s="43">
        <f>IF($I8336=0,0,$J8336-$M8336-$N8336)</f>
      </c>
    </row>
    <row r="8337">
      <c r="A8337"/>
      <c r="B8337">
        <v>18</v>
      </c>
      <c r="C8337" s="43">
        <f>INDEX(DarlObj,18)</f>
      </c>
      <c r="D8337">
        <v>174</v>
      </c>
      <c r="E8337" s="51">
        <f>IF(INDEX(DarlBelegt,18)=0,0,EOMONTH(INDEX(DarlAuszahlung,18),173)+1)</f>
      </c>
      <c r="F8337" s="43">
        <f>IF($E8337=0,0,YEAR($E8337))</f>
      </c>
      <c r="G8337" s="43">
        <f>IF(INDEX(DarlBindung,18)="",1,IF($E8337&lt;=INDEX(DarlBindung,18),1,0))</f>
      </c>
      <c r="H8337" s="43">
        <f>IF($G8337=1,INDEX(DarlSollzins,18),INDEX(DarlAnschluss,18))</f>
      </c>
      <c r="I8337" s="43">
        <f>IF(INDEX(DarlBelegt,18)=0,0,IF(INDEX(DarlOhneTilgung,18)=1,IF(INDEX(DarlBindung,18)="",1,$G8337),IF($J8337&gt;0.005,1,0)))</f>
      </c>
      <c r="J8337" s="43">
        <f>IF($I8336=0,0,$R8336)</f>
      </c>
      <c r="K8337" s="43">
        <f>IF($I8337=0,0,IF(INDEX(DarlOhneTilgung,18)=1,0,IF(AND(INDEX(DarlTilgStart,18)&gt;0,$E8337=INDEX(DarlTilgStart,18)),$J8337*($H8337+INDEX(DarlTilgung,18))/100/12,IF(AND($G8337=0,$G8336=1),MAX($K8336,$J8337*($H8337+1)/100/12),$K8336))))</f>
      </c>
      <c r="L8337" s="43">
        <f>IF($I8337=0,0,$J8337*$H8337/100/12)</f>
      </c>
      <c r="M8337" s="43">
        <f>IF($I8337=0,0,IF(OR(INDEX(DarlOhneTilgung,18)=1,AND(INDEX(DarlTilgStart,18)&gt;0,$E8337&lt;INDEX(DarlTilgStart,18))),0,MIN(MAX(0,$K8337-$L8337),$J8337)))</f>
      </c>
      <c r="N8337" s="43">
        <f>IF($I8337=0,0,MIN(SUMIFS(SondBetrag,SondDarl,18,SondDatum,"&gt;="&amp;$E8337,SondDatum,"&lt;="&amp;EOMONTH($E8337,0)),$J8337-$M8337))</f>
      </c>
      <c r="O8337" s="43">
        <f>IF($I8337=0,0,INDEX(DarlErsatzRate,18))</f>
      </c>
      <c r="P8337" s="43">
        <f>IF($I8337=0,0,$Q8336*INDEX(DarlErsatzZins,18))</f>
      </c>
      <c r="Q8337" s="43">
        <f>IF($I8337=0,0,$Q8336+$P8337+$O8337)</f>
      </c>
      <c r="R8337" s="43">
        <f>IF($I8337=0,0,$J8337-$M8337-$N8337)</f>
      </c>
    </row>
    <row r="8338">
      <c r="A8338"/>
      <c r="B8338">
        <v>18</v>
      </c>
      <c r="C8338" s="43">
        <f>INDEX(DarlObj,18)</f>
      </c>
      <c r="D8338">
        <v>175</v>
      </c>
      <c r="E8338" s="51">
        <f>IF(INDEX(DarlBelegt,18)=0,0,EOMONTH(INDEX(DarlAuszahlung,18),174)+1)</f>
      </c>
      <c r="F8338" s="43">
        <f>IF($E8338=0,0,YEAR($E8338))</f>
      </c>
      <c r="G8338" s="43">
        <f>IF(INDEX(DarlBindung,18)="",1,IF($E8338&lt;=INDEX(DarlBindung,18),1,0))</f>
      </c>
      <c r="H8338" s="43">
        <f>IF($G8338=1,INDEX(DarlSollzins,18),INDEX(DarlAnschluss,18))</f>
      </c>
      <c r="I8338" s="43">
        <f>IF(INDEX(DarlBelegt,18)=0,0,IF(INDEX(DarlOhneTilgung,18)=1,IF(INDEX(DarlBindung,18)="",1,$G8338),IF($J8338&gt;0.005,1,0)))</f>
      </c>
      <c r="J8338" s="43">
        <f>IF($I8337=0,0,$R8337)</f>
      </c>
      <c r="K8338" s="43">
        <f>IF($I8338=0,0,IF(INDEX(DarlOhneTilgung,18)=1,0,IF(AND(INDEX(DarlTilgStart,18)&gt;0,$E8338=INDEX(DarlTilgStart,18)),$J8338*($H8338+INDEX(DarlTilgung,18))/100/12,IF(AND($G8338=0,$G8337=1),MAX($K8337,$J8338*($H8338+1)/100/12),$K8337))))</f>
      </c>
      <c r="L8338" s="43">
        <f>IF($I8338=0,0,$J8338*$H8338/100/12)</f>
      </c>
      <c r="M8338" s="43">
        <f>IF($I8338=0,0,IF(OR(INDEX(DarlOhneTilgung,18)=1,AND(INDEX(DarlTilgStart,18)&gt;0,$E8338&lt;INDEX(DarlTilgStart,18))),0,MIN(MAX(0,$K8338-$L8338),$J8338)))</f>
      </c>
      <c r="N8338" s="43">
        <f>IF($I8338=0,0,MIN(SUMIFS(SondBetrag,SondDarl,18,SondDatum,"&gt;="&amp;$E8338,SondDatum,"&lt;="&amp;EOMONTH($E8338,0)),$J8338-$M8338))</f>
      </c>
      <c r="O8338" s="43">
        <f>IF($I8338=0,0,INDEX(DarlErsatzRate,18))</f>
      </c>
      <c r="P8338" s="43">
        <f>IF($I8338=0,0,$Q8337*INDEX(DarlErsatzZins,18))</f>
      </c>
      <c r="Q8338" s="43">
        <f>IF($I8338=0,0,$Q8337+$P8338+$O8338)</f>
      </c>
      <c r="R8338" s="43">
        <f>IF($I8338=0,0,$J8338-$M8338-$N8338)</f>
      </c>
    </row>
    <row r="8339">
      <c r="A8339"/>
      <c r="B8339">
        <v>18</v>
      </c>
      <c r="C8339" s="43">
        <f>INDEX(DarlObj,18)</f>
      </c>
      <c r="D8339">
        <v>176</v>
      </c>
      <c r="E8339" s="51">
        <f>IF(INDEX(DarlBelegt,18)=0,0,EOMONTH(INDEX(DarlAuszahlung,18),175)+1)</f>
      </c>
      <c r="F8339" s="43">
        <f>IF($E8339=0,0,YEAR($E8339))</f>
      </c>
      <c r="G8339" s="43">
        <f>IF(INDEX(DarlBindung,18)="",1,IF($E8339&lt;=INDEX(DarlBindung,18),1,0))</f>
      </c>
      <c r="H8339" s="43">
        <f>IF($G8339=1,INDEX(DarlSollzins,18),INDEX(DarlAnschluss,18))</f>
      </c>
      <c r="I8339" s="43">
        <f>IF(INDEX(DarlBelegt,18)=0,0,IF(INDEX(DarlOhneTilgung,18)=1,IF(INDEX(DarlBindung,18)="",1,$G8339),IF($J8339&gt;0.005,1,0)))</f>
      </c>
      <c r="J8339" s="43">
        <f>IF($I8338=0,0,$R8338)</f>
      </c>
      <c r="K8339" s="43">
        <f>IF($I8339=0,0,IF(INDEX(DarlOhneTilgung,18)=1,0,IF(AND(INDEX(DarlTilgStart,18)&gt;0,$E8339=INDEX(DarlTilgStart,18)),$J8339*($H8339+INDEX(DarlTilgung,18))/100/12,IF(AND($G8339=0,$G8338=1),MAX($K8338,$J8339*($H8339+1)/100/12),$K8338))))</f>
      </c>
      <c r="L8339" s="43">
        <f>IF($I8339=0,0,$J8339*$H8339/100/12)</f>
      </c>
      <c r="M8339" s="43">
        <f>IF($I8339=0,0,IF(OR(INDEX(DarlOhneTilgung,18)=1,AND(INDEX(DarlTilgStart,18)&gt;0,$E8339&lt;INDEX(DarlTilgStart,18))),0,MIN(MAX(0,$K8339-$L8339),$J8339)))</f>
      </c>
      <c r="N8339" s="43">
        <f>IF($I8339=0,0,MIN(SUMIFS(SondBetrag,SondDarl,18,SondDatum,"&gt;="&amp;$E8339,SondDatum,"&lt;="&amp;EOMONTH($E8339,0)),$J8339-$M8339))</f>
      </c>
      <c r="O8339" s="43">
        <f>IF($I8339=0,0,INDEX(DarlErsatzRate,18))</f>
      </c>
      <c r="P8339" s="43">
        <f>IF($I8339=0,0,$Q8338*INDEX(DarlErsatzZins,18))</f>
      </c>
      <c r="Q8339" s="43">
        <f>IF($I8339=0,0,$Q8338+$P8339+$O8339)</f>
      </c>
      <c r="R8339" s="43">
        <f>IF($I8339=0,0,$J8339-$M8339-$N8339)</f>
      </c>
    </row>
    <row r="8340">
      <c r="A8340"/>
      <c r="B8340">
        <v>18</v>
      </c>
      <c r="C8340" s="43">
        <f>INDEX(DarlObj,18)</f>
      </c>
      <c r="D8340">
        <v>177</v>
      </c>
      <c r="E8340" s="51">
        <f>IF(INDEX(DarlBelegt,18)=0,0,EOMONTH(INDEX(DarlAuszahlung,18),176)+1)</f>
      </c>
      <c r="F8340" s="43">
        <f>IF($E8340=0,0,YEAR($E8340))</f>
      </c>
      <c r="G8340" s="43">
        <f>IF(INDEX(DarlBindung,18)="",1,IF($E8340&lt;=INDEX(DarlBindung,18),1,0))</f>
      </c>
      <c r="H8340" s="43">
        <f>IF($G8340=1,INDEX(DarlSollzins,18),INDEX(DarlAnschluss,18))</f>
      </c>
      <c r="I8340" s="43">
        <f>IF(INDEX(DarlBelegt,18)=0,0,IF(INDEX(DarlOhneTilgung,18)=1,IF(INDEX(DarlBindung,18)="",1,$G8340),IF($J8340&gt;0.005,1,0)))</f>
      </c>
      <c r="J8340" s="43">
        <f>IF($I8339=0,0,$R8339)</f>
      </c>
      <c r="K8340" s="43">
        <f>IF($I8340=0,0,IF(INDEX(DarlOhneTilgung,18)=1,0,IF(AND(INDEX(DarlTilgStart,18)&gt;0,$E8340=INDEX(DarlTilgStart,18)),$J8340*($H8340+INDEX(DarlTilgung,18))/100/12,IF(AND($G8340=0,$G8339=1),MAX($K8339,$J8340*($H8340+1)/100/12),$K8339))))</f>
      </c>
      <c r="L8340" s="43">
        <f>IF($I8340=0,0,$J8340*$H8340/100/12)</f>
      </c>
      <c r="M8340" s="43">
        <f>IF($I8340=0,0,IF(OR(INDEX(DarlOhneTilgung,18)=1,AND(INDEX(DarlTilgStart,18)&gt;0,$E8340&lt;INDEX(DarlTilgStart,18))),0,MIN(MAX(0,$K8340-$L8340),$J8340)))</f>
      </c>
      <c r="N8340" s="43">
        <f>IF($I8340=0,0,MIN(SUMIFS(SondBetrag,SondDarl,18,SondDatum,"&gt;="&amp;$E8340,SondDatum,"&lt;="&amp;EOMONTH($E8340,0)),$J8340-$M8340))</f>
      </c>
      <c r="O8340" s="43">
        <f>IF($I8340=0,0,INDEX(DarlErsatzRate,18))</f>
      </c>
      <c r="P8340" s="43">
        <f>IF($I8340=0,0,$Q8339*INDEX(DarlErsatzZins,18))</f>
      </c>
      <c r="Q8340" s="43">
        <f>IF($I8340=0,0,$Q8339+$P8340+$O8340)</f>
      </c>
      <c r="R8340" s="43">
        <f>IF($I8340=0,0,$J8340-$M8340-$N8340)</f>
      </c>
    </row>
    <row r="8341">
      <c r="A8341"/>
      <c r="B8341">
        <v>18</v>
      </c>
      <c r="C8341" s="43">
        <f>INDEX(DarlObj,18)</f>
      </c>
      <c r="D8341">
        <v>178</v>
      </c>
      <c r="E8341" s="51">
        <f>IF(INDEX(DarlBelegt,18)=0,0,EOMONTH(INDEX(DarlAuszahlung,18),177)+1)</f>
      </c>
      <c r="F8341" s="43">
        <f>IF($E8341=0,0,YEAR($E8341))</f>
      </c>
      <c r="G8341" s="43">
        <f>IF(INDEX(DarlBindung,18)="",1,IF($E8341&lt;=INDEX(DarlBindung,18),1,0))</f>
      </c>
      <c r="H8341" s="43">
        <f>IF($G8341=1,INDEX(DarlSollzins,18),INDEX(DarlAnschluss,18))</f>
      </c>
      <c r="I8341" s="43">
        <f>IF(INDEX(DarlBelegt,18)=0,0,IF(INDEX(DarlOhneTilgung,18)=1,IF(INDEX(DarlBindung,18)="",1,$G8341),IF($J8341&gt;0.005,1,0)))</f>
      </c>
      <c r="J8341" s="43">
        <f>IF($I8340=0,0,$R8340)</f>
      </c>
      <c r="K8341" s="43">
        <f>IF($I8341=0,0,IF(INDEX(DarlOhneTilgung,18)=1,0,IF(AND(INDEX(DarlTilgStart,18)&gt;0,$E8341=INDEX(DarlTilgStart,18)),$J8341*($H8341+INDEX(DarlTilgung,18))/100/12,IF(AND($G8341=0,$G8340=1),MAX($K8340,$J8341*($H8341+1)/100/12),$K8340))))</f>
      </c>
      <c r="L8341" s="43">
        <f>IF($I8341=0,0,$J8341*$H8341/100/12)</f>
      </c>
      <c r="M8341" s="43">
        <f>IF($I8341=0,0,IF(OR(INDEX(DarlOhneTilgung,18)=1,AND(INDEX(DarlTilgStart,18)&gt;0,$E8341&lt;INDEX(DarlTilgStart,18))),0,MIN(MAX(0,$K8341-$L8341),$J8341)))</f>
      </c>
      <c r="N8341" s="43">
        <f>IF($I8341=0,0,MIN(SUMIFS(SondBetrag,SondDarl,18,SondDatum,"&gt;="&amp;$E8341,SondDatum,"&lt;="&amp;EOMONTH($E8341,0)),$J8341-$M8341))</f>
      </c>
      <c r="O8341" s="43">
        <f>IF($I8341=0,0,INDEX(DarlErsatzRate,18))</f>
      </c>
      <c r="P8341" s="43">
        <f>IF($I8341=0,0,$Q8340*INDEX(DarlErsatzZins,18))</f>
      </c>
      <c r="Q8341" s="43">
        <f>IF($I8341=0,0,$Q8340+$P8341+$O8341)</f>
      </c>
      <c r="R8341" s="43">
        <f>IF($I8341=0,0,$J8341-$M8341-$N8341)</f>
      </c>
    </row>
    <row r="8342">
      <c r="A8342"/>
      <c r="B8342">
        <v>18</v>
      </c>
      <c r="C8342" s="43">
        <f>INDEX(DarlObj,18)</f>
      </c>
      <c r="D8342">
        <v>179</v>
      </c>
      <c r="E8342" s="51">
        <f>IF(INDEX(DarlBelegt,18)=0,0,EOMONTH(INDEX(DarlAuszahlung,18),178)+1)</f>
      </c>
      <c r="F8342" s="43">
        <f>IF($E8342=0,0,YEAR($E8342))</f>
      </c>
      <c r="G8342" s="43">
        <f>IF(INDEX(DarlBindung,18)="",1,IF($E8342&lt;=INDEX(DarlBindung,18),1,0))</f>
      </c>
      <c r="H8342" s="43">
        <f>IF($G8342=1,INDEX(DarlSollzins,18),INDEX(DarlAnschluss,18))</f>
      </c>
      <c r="I8342" s="43">
        <f>IF(INDEX(DarlBelegt,18)=0,0,IF(INDEX(DarlOhneTilgung,18)=1,IF(INDEX(DarlBindung,18)="",1,$G8342),IF($J8342&gt;0.005,1,0)))</f>
      </c>
      <c r="J8342" s="43">
        <f>IF($I8341=0,0,$R8341)</f>
      </c>
      <c r="K8342" s="43">
        <f>IF($I8342=0,0,IF(INDEX(DarlOhneTilgung,18)=1,0,IF(AND(INDEX(DarlTilgStart,18)&gt;0,$E8342=INDEX(DarlTilgStart,18)),$J8342*($H8342+INDEX(DarlTilgung,18))/100/12,IF(AND($G8342=0,$G8341=1),MAX($K8341,$J8342*($H8342+1)/100/12),$K8341))))</f>
      </c>
      <c r="L8342" s="43">
        <f>IF($I8342=0,0,$J8342*$H8342/100/12)</f>
      </c>
      <c r="M8342" s="43">
        <f>IF($I8342=0,0,IF(OR(INDEX(DarlOhneTilgung,18)=1,AND(INDEX(DarlTilgStart,18)&gt;0,$E8342&lt;INDEX(DarlTilgStart,18))),0,MIN(MAX(0,$K8342-$L8342),$J8342)))</f>
      </c>
      <c r="N8342" s="43">
        <f>IF($I8342=0,0,MIN(SUMIFS(SondBetrag,SondDarl,18,SondDatum,"&gt;="&amp;$E8342,SondDatum,"&lt;="&amp;EOMONTH($E8342,0)),$J8342-$M8342))</f>
      </c>
      <c r="O8342" s="43">
        <f>IF($I8342=0,0,INDEX(DarlErsatzRate,18))</f>
      </c>
      <c r="P8342" s="43">
        <f>IF($I8342=0,0,$Q8341*INDEX(DarlErsatzZins,18))</f>
      </c>
      <c r="Q8342" s="43">
        <f>IF($I8342=0,0,$Q8341+$P8342+$O8342)</f>
      </c>
      <c r="R8342" s="43">
        <f>IF($I8342=0,0,$J8342-$M8342-$N8342)</f>
      </c>
    </row>
    <row r="8343">
      <c r="A8343"/>
      <c r="B8343">
        <v>18</v>
      </c>
      <c r="C8343" s="43">
        <f>INDEX(DarlObj,18)</f>
      </c>
      <c r="D8343">
        <v>180</v>
      </c>
      <c r="E8343" s="51">
        <f>IF(INDEX(DarlBelegt,18)=0,0,EOMONTH(INDEX(DarlAuszahlung,18),179)+1)</f>
      </c>
      <c r="F8343" s="43">
        <f>IF($E8343=0,0,YEAR($E8343))</f>
      </c>
      <c r="G8343" s="43">
        <f>IF(INDEX(DarlBindung,18)="",1,IF($E8343&lt;=INDEX(DarlBindung,18),1,0))</f>
      </c>
      <c r="H8343" s="43">
        <f>IF($G8343=1,INDEX(DarlSollzins,18),INDEX(DarlAnschluss,18))</f>
      </c>
      <c r="I8343" s="43">
        <f>IF(INDEX(DarlBelegt,18)=0,0,IF(INDEX(DarlOhneTilgung,18)=1,IF(INDEX(DarlBindung,18)="",1,$G8343),IF($J8343&gt;0.005,1,0)))</f>
      </c>
      <c r="J8343" s="43">
        <f>IF($I8342=0,0,$R8342)</f>
      </c>
      <c r="K8343" s="43">
        <f>IF($I8343=0,0,IF(INDEX(DarlOhneTilgung,18)=1,0,IF(AND(INDEX(DarlTilgStart,18)&gt;0,$E8343=INDEX(DarlTilgStart,18)),$J8343*($H8343+INDEX(DarlTilgung,18))/100/12,IF(AND($G8343=0,$G8342=1),MAX($K8342,$J8343*($H8343+1)/100/12),$K8342))))</f>
      </c>
      <c r="L8343" s="43">
        <f>IF($I8343=0,0,$J8343*$H8343/100/12)</f>
      </c>
      <c r="M8343" s="43">
        <f>IF($I8343=0,0,IF(OR(INDEX(DarlOhneTilgung,18)=1,AND(INDEX(DarlTilgStart,18)&gt;0,$E8343&lt;INDEX(DarlTilgStart,18))),0,MIN(MAX(0,$K8343-$L8343),$J8343)))</f>
      </c>
      <c r="N8343" s="43">
        <f>IF($I8343=0,0,MIN(SUMIFS(SondBetrag,SondDarl,18,SondDatum,"&gt;="&amp;$E8343,SondDatum,"&lt;="&amp;EOMONTH($E8343,0)),$J8343-$M8343))</f>
      </c>
      <c r="O8343" s="43">
        <f>IF($I8343=0,0,INDEX(DarlErsatzRate,18))</f>
      </c>
      <c r="P8343" s="43">
        <f>IF($I8343=0,0,$Q8342*INDEX(DarlErsatzZins,18))</f>
      </c>
      <c r="Q8343" s="43">
        <f>IF($I8343=0,0,$Q8342+$P8343+$O8343)</f>
      </c>
      <c r="R8343" s="43">
        <f>IF($I8343=0,0,$J8343-$M8343-$N8343)</f>
      </c>
    </row>
    <row r="8344">
      <c r="A8344"/>
      <c r="B8344">
        <v>18</v>
      </c>
      <c r="C8344" s="43">
        <f>INDEX(DarlObj,18)</f>
      </c>
      <c r="D8344">
        <v>181</v>
      </c>
      <c r="E8344" s="51">
        <f>IF(INDEX(DarlBelegt,18)=0,0,EOMONTH(INDEX(DarlAuszahlung,18),180)+1)</f>
      </c>
      <c r="F8344" s="43">
        <f>IF($E8344=0,0,YEAR($E8344))</f>
      </c>
      <c r="G8344" s="43">
        <f>IF(INDEX(DarlBindung,18)="",1,IF($E8344&lt;=INDEX(DarlBindung,18),1,0))</f>
      </c>
      <c r="H8344" s="43">
        <f>IF($G8344=1,INDEX(DarlSollzins,18),INDEX(DarlAnschluss,18))</f>
      </c>
      <c r="I8344" s="43">
        <f>IF(INDEX(DarlBelegt,18)=0,0,IF(INDEX(DarlOhneTilgung,18)=1,IF(INDEX(DarlBindung,18)="",1,$G8344),IF($J8344&gt;0.005,1,0)))</f>
      </c>
      <c r="J8344" s="43">
        <f>IF($I8343=0,0,$R8343)</f>
      </c>
      <c r="K8344" s="43">
        <f>IF($I8344=0,0,IF(INDEX(DarlOhneTilgung,18)=1,0,IF(AND(INDEX(DarlTilgStart,18)&gt;0,$E8344=INDEX(DarlTilgStart,18)),$J8344*($H8344+INDEX(DarlTilgung,18))/100/12,IF(AND($G8344=0,$G8343=1),MAX($K8343,$J8344*($H8344+1)/100/12),$K8343))))</f>
      </c>
      <c r="L8344" s="43">
        <f>IF($I8344=0,0,$J8344*$H8344/100/12)</f>
      </c>
      <c r="M8344" s="43">
        <f>IF($I8344=0,0,IF(OR(INDEX(DarlOhneTilgung,18)=1,AND(INDEX(DarlTilgStart,18)&gt;0,$E8344&lt;INDEX(DarlTilgStart,18))),0,MIN(MAX(0,$K8344-$L8344),$J8344)))</f>
      </c>
      <c r="N8344" s="43">
        <f>IF($I8344=0,0,MIN(SUMIFS(SondBetrag,SondDarl,18,SondDatum,"&gt;="&amp;$E8344,SondDatum,"&lt;="&amp;EOMONTH($E8344,0)),$J8344-$M8344))</f>
      </c>
      <c r="O8344" s="43">
        <f>IF($I8344=0,0,INDEX(DarlErsatzRate,18))</f>
      </c>
      <c r="P8344" s="43">
        <f>IF($I8344=0,0,$Q8343*INDEX(DarlErsatzZins,18))</f>
      </c>
      <c r="Q8344" s="43">
        <f>IF($I8344=0,0,$Q8343+$P8344+$O8344)</f>
      </c>
      <c r="R8344" s="43">
        <f>IF($I8344=0,0,$J8344-$M8344-$N8344)</f>
      </c>
    </row>
    <row r="8345">
      <c r="A8345"/>
      <c r="B8345">
        <v>18</v>
      </c>
      <c r="C8345" s="43">
        <f>INDEX(DarlObj,18)</f>
      </c>
      <c r="D8345">
        <v>182</v>
      </c>
      <c r="E8345" s="51">
        <f>IF(INDEX(DarlBelegt,18)=0,0,EOMONTH(INDEX(DarlAuszahlung,18),181)+1)</f>
      </c>
      <c r="F8345" s="43">
        <f>IF($E8345=0,0,YEAR($E8345))</f>
      </c>
      <c r="G8345" s="43">
        <f>IF(INDEX(DarlBindung,18)="",1,IF($E8345&lt;=INDEX(DarlBindung,18),1,0))</f>
      </c>
      <c r="H8345" s="43">
        <f>IF($G8345=1,INDEX(DarlSollzins,18),INDEX(DarlAnschluss,18))</f>
      </c>
      <c r="I8345" s="43">
        <f>IF(INDEX(DarlBelegt,18)=0,0,IF(INDEX(DarlOhneTilgung,18)=1,IF(INDEX(DarlBindung,18)="",1,$G8345),IF($J8345&gt;0.005,1,0)))</f>
      </c>
      <c r="J8345" s="43">
        <f>IF($I8344=0,0,$R8344)</f>
      </c>
      <c r="K8345" s="43">
        <f>IF($I8345=0,0,IF(INDEX(DarlOhneTilgung,18)=1,0,IF(AND(INDEX(DarlTilgStart,18)&gt;0,$E8345=INDEX(DarlTilgStart,18)),$J8345*($H8345+INDEX(DarlTilgung,18))/100/12,IF(AND($G8345=0,$G8344=1),MAX($K8344,$J8345*($H8345+1)/100/12),$K8344))))</f>
      </c>
      <c r="L8345" s="43">
        <f>IF($I8345=0,0,$J8345*$H8345/100/12)</f>
      </c>
      <c r="M8345" s="43">
        <f>IF($I8345=0,0,IF(OR(INDEX(DarlOhneTilgung,18)=1,AND(INDEX(DarlTilgStart,18)&gt;0,$E8345&lt;INDEX(DarlTilgStart,18))),0,MIN(MAX(0,$K8345-$L8345),$J8345)))</f>
      </c>
      <c r="N8345" s="43">
        <f>IF($I8345=0,0,MIN(SUMIFS(SondBetrag,SondDarl,18,SondDatum,"&gt;="&amp;$E8345,SondDatum,"&lt;="&amp;EOMONTH($E8345,0)),$J8345-$M8345))</f>
      </c>
      <c r="O8345" s="43">
        <f>IF($I8345=0,0,INDEX(DarlErsatzRate,18))</f>
      </c>
      <c r="P8345" s="43">
        <f>IF($I8345=0,0,$Q8344*INDEX(DarlErsatzZins,18))</f>
      </c>
      <c r="Q8345" s="43">
        <f>IF($I8345=0,0,$Q8344+$P8345+$O8345)</f>
      </c>
      <c r="R8345" s="43">
        <f>IF($I8345=0,0,$J8345-$M8345-$N8345)</f>
      </c>
    </row>
    <row r="8346">
      <c r="A8346"/>
      <c r="B8346">
        <v>18</v>
      </c>
      <c r="C8346" s="43">
        <f>INDEX(DarlObj,18)</f>
      </c>
      <c r="D8346">
        <v>183</v>
      </c>
      <c r="E8346" s="51">
        <f>IF(INDEX(DarlBelegt,18)=0,0,EOMONTH(INDEX(DarlAuszahlung,18),182)+1)</f>
      </c>
      <c r="F8346" s="43">
        <f>IF($E8346=0,0,YEAR($E8346))</f>
      </c>
      <c r="G8346" s="43">
        <f>IF(INDEX(DarlBindung,18)="",1,IF($E8346&lt;=INDEX(DarlBindung,18),1,0))</f>
      </c>
      <c r="H8346" s="43">
        <f>IF($G8346=1,INDEX(DarlSollzins,18),INDEX(DarlAnschluss,18))</f>
      </c>
      <c r="I8346" s="43">
        <f>IF(INDEX(DarlBelegt,18)=0,0,IF(INDEX(DarlOhneTilgung,18)=1,IF(INDEX(DarlBindung,18)="",1,$G8346),IF($J8346&gt;0.005,1,0)))</f>
      </c>
      <c r="J8346" s="43">
        <f>IF($I8345=0,0,$R8345)</f>
      </c>
      <c r="K8346" s="43">
        <f>IF($I8346=0,0,IF(INDEX(DarlOhneTilgung,18)=1,0,IF(AND(INDEX(DarlTilgStart,18)&gt;0,$E8346=INDEX(DarlTilgStart,18)),$J8346*($H8346+INDEX(DarlTilgung,18))/100/12,IF(AND($G8346=0,$G8345=1),MAX($K8345,$J8346*($H8346+1)/100/12),$K8345))))</f>
      </c>
      <c r="L8346" s="43">
        <f>IF($I8346=0,0,$J8346*$H8346/100/12)</f>
      </c>
      <c r="M8346" s="43">
        <f>IF($I8346=0,0,IF(OR(INDEX(DarlOhneTilgung,18)=1,AND(INDEX(DarlTilgStart,18)&gt;0,$E8346&lt;INDEX(DarlTilgStart,18))),0,MIN(MAX(0,$K8346-$L8346),$J8346)))</f>
      </c>
      <c r="N8346" s="43">
        <f>IF($I8346=0,0,MIN(SUMIFS(SondBetrag,SondDarl,18,SondDatum,"&gt;="&amp;$E8346,SondDatum,"&lt;="&amp;EOMONTH($E8346,0)),$J8346-$M8346))</f>
      </c>
      <c r="O8346" s="43">
        <f>IF($I8346=0,0,INDEX(DarlErsatzRate,18))</f>
      </c>
      <c r="P8346" s="43">
        <f>IF($I8346=0,0,$Q8345*INDEX(DarlErsatzZins,18))</f>
      </c>
      <c r="Q8346" s="43">
        <f>IF($I8346=0,0,$Q8345+$P8346+$O8346)</f>
      </c>
      <c r="R8346" s="43">
        <f>IF($I8346=0,0,$J8346-$M8346-$N8346)</f>
      </c>
    </row>
    <row r="8347">
      <c r="A8347"/>
      <c r="B8347">
        <v>18</v>
      </c>
      <c r="C8347" s="43">
        <f>INDEX(DarlObj,18)</f>
      </c>
      <c r="D8347">
        <v>184</v>
      </c>
      <c r="E8347" s="51">
        <f>IF(INDEX(DarlBelegt,18)=0,0,EOMONTH(INDEX(DarlAuszahlung,18),183)+1)</f>
      </c>
      <c r="F8347" s="43">
        <f>IF($E8347=0,0,YEAR($E8347))</f>
      </c>
      <c r="G8347" s="43">
        <f>IF(INDEX(DarlBindung,18)="",1,IF($E8347&lt;=INDEX(DarlBindung,18),1,0))</f>
      </c>
      <c r="H8347" s="43">
        <f>IF($G8347=1,INDEX(DarlSollzins,18),INDEX(DarlAnschluss,18))</f>
      </c>
      <c r="I8347" s="43">
        <f>IF(INDEX(DarlBelegt,18)=0,0,IF(INDEX(DarlOhneTilgung,18)=1,IF(INDEX(DarlBindung,18)="",1,$G8347),IF($J8347&gt;0.005,1,0)))</f>
      </c>
      <c r="J8347" s="43">
        <f>IF($I8346=0,0,$R8346)</f>
      </c>
      <c r="K8347" s="43">
        <f>IF($I8347=0,0,IF(INDEX(DarlOhneTilgung,18)=1,0,IF(AND(INDEX(DarlTilgStart,18)&gt;0,$E8347=INDEX(DarlTilgStart,18)),$J8347*($H8347+INDEX(DarlTilgung,18))/100/12,IF(AND($G8347=0,$G8346=1),MAX($K8346,$J8347*($H8347+1)/100/12),$K8346))))</f>
      </c>
      <c r="L8347" s="43">
        <f>IF($I8347=0,0,$J8347*$H8347/100/12)</f>
      </c>
      <c r="M8347" s="43">
        <f>IF($I8347=0,0,IF(OR(INDEX(DarlOhneTilgung,18)=1,AND(INDEX(DarlTilgStart,18)&gt;0,$E8347&lt;INDEX(DarlTilgStart,18))),0,MIN(MAX(0,$K8347-$L8347),$J8347)))</f>
      </c>
      <c r="N8347" s="43">
        <f>IF($I8347=0,0,MIN(SUMIFS(SondBetrag,SondDarl,18,SondDatum,"&gt;="&amp;$E8347,SondDatum,"&lt;="&amp;EOMONTH($E8347,0)),$J8347-$M8347))</f>
      </c>
      <c r="O8347" s="43">
        <f>IF($I8347=0,0,INDEX(DarlErsatzRate,18))</f>
      </c>
      <c r="P8347" s="43">
        <f>IF($I8347=0,0,$Q8346*INDEX(DarlErsatzZins,18))</f>
      </c>
      <c r="Q8347" s="43">
        <f>IF($I8347=0,0,$Q8346+$P8347+$O8347)</f>
      </c>
      <c r="R8347" s="43">
        <f>IF($I8347=0,0,$J8347-$M8347-$N8347)</f>
      </c>
    </row>
    <row r="8348">
      <c r="A8348"/>
      <c r="B8348">
        <v>18</v>
      </c>
      <c r="C8348" s="43">
        <f>INDEX(DarlObj,18)</f>
      </c>
      <c r="D8348">
        <v>185</v>
      </c>
      <c r="E8348" s="51">
        <f>IF(INDEX(DarlBelegt,18)=0,0,EOMONTH(INDEX(DarlAuszahlung,18),184)+1)</f>
      </c>
      <c r="F8348" s="43">
        <f>IF($E8348=0,0,YEAR($E8348))</f>
      </c>
      <c r="G8348" s="43">
        <f>IF(INDEX(DarlBindung,18)="",1,IF($E8348&lt;=INDEX(DarlBindung,18),1,0))</f>
      </c>
      <c r="H8348" s="43">
        <f>IF($G8348=1,INDEX(DarlSollzins,18),INDEX(DarlAnschluss,18))</f>
      </c>
      <c r="I8348" s="43">
        <f>IF(INDEX(DarlBelegt,18)=0,0,IF(INDEX(DarlOhneTilgung,18)=1,IF(INDEX(DarlBindung,18)="",1,$G8348),IF($J8348&gt;0.005,1,0)))</f>
      </c>
      <c r="J8348" s="43">
        <f>IF($I8347=0,0,$R8347)</f>
      </c>
      <c r="K8348" s="43">
        <f>IF($I8348=0,0,IF(INDEX(DarlOhneTilgung,18)=1,0,IF(AND(INDEX(DarlTilgStart,18)&gt;0,$E8348=INDEX(DarlTilgStart,18)),$J8348*($H8348+INDEX(DarlTilgung,18))/100/12,IF(AND($G8348=0,$G8347=1),MAX($K8347,$J8348*($H8348+1)/100/12),$K8347))))</f>
      </c>
      <c r="L8348" s="43">
        <f>IF($I8348=0,0,$J8348*$H8348/100/12)</f>
      </c>
      <c r="M8348" s="43">
        <f>IF($I8348=0,0,IF(OR(INDEX(DarlOhneTilgung,18)=1,AND(INDEX(DarlTilgStart,18)&gt;0,$E8348&lt;INDEX(DarlTilgStart,18))),0,MIN(MAX(0,$K8348-$L8348),$J8348)))</f>
      </c>
      <c r="N8348" s="43">
        <f>IF($I8348=0,0,MIN(SUMIFS(SondBetrag,SondDarl,18,SondDatum,"&gt;="&amp;$E8348,SondDatum,"&lt;="&amp;EOMONTH($E8348,0)),$J8348-$M8348))</f>
      </c>
      <c r="O8348" s="43">
        <f>IF($I8348=0,0,INDEX(DarlErsatzRate,18))</f>
      </c>
      <c r="P8348" s="43">
        <f>IF($I8348=0,0,$Q8347*INDEX(DarlErsatzZins,18))</f>
      </c>
      <c r="Q8348" s="43">
        <f>IF($I8348=0,0,$Q8347+$P8348+$O8348)</f>
      </c>
      <c r="R8348" s="43">
        <f>IF($I8348=0,0,$J8348-$M8348-$N8348)</f>
      </c>
    </row>
    <row r="8349">
      <c r="A8349"/>
      <c r="B8349">
        <v>18</v>
      </c>
      <c r="C8349" s="43">
        <f>INDEX(DarlObj,18)</f>
      </c>
      <c r="D8349">
        <v>186</v>
      </c>
      <c r="E8349" s="51">
        <f>IF(INDEX(DarlBelegt,18)=0,0,EOMONTH(INDEX(DarlAuszahlung,18),185)+1)</f>
      </c>
      <c r="F8349" s="43">
        <f>IF($E8349=0,0,YEAR($E8349))</f>
      </c>
      <c r="G8349" s="43">
        <f>IF(INDEX(DarlBindung,18)="",1,IF($E8349&lt;=INDEX(DarlBindung,18),1,0))</f>
      </c>
      <c r="H8349" s="43">
        <f>IF($G8349=1,INDEX(DarlSollzins,18),INDEX(DarlAnschluss,18))</f>
      </c>
      <c r="I8349" s="43">
        <f>IF(INDEX(DarlBelegt,18)=0,0,IF(INDEX(DarlOhneTilgung,18)=1,IF(INDEX(DarlBindung,18)="",1,$G8349),IF($J8349&gt;0.005,1,0)))</f>
      </c>
      <c r="J8349" s="43">
        <f>IF($I8348=0,0,$R8348)</f>
      </c>
      <c r="K8349" s="43">
        <f>IF($I8349=0,0,IF(INDEX(DarlOhneTilgung,18)=1,0,IF(AND(INDEX(DarlTilgStart,18)&gt;0,$E8349=INDEX(DarlTilgStart,18)),$J8349*($H8349+INDEX(DarlTilgung,18))/100/12,IF(AND($G8349=0,$G8348=1),MAX($K8348,$J8349*($H8349+1)/100/12),$K8348))))</f>
      </c>
      <c r="L8349" s="43">
        <f>IF($I8349=0,0,$J8349*$H8349/100/12)</f>
      </c>
      <c r="M8349" s="43">
        <f>IF($I8349=0,0,IF(OR(INDEX(DarlOhneTilgung,18)=1,AND(INDEX(DarlTilgStart,18)&gt;0,$E8349&lt;INDEX(DarlTilgStart,18))),0,MIN(MAX(0,$K8349-$L8349),$J8349)))</f>
      </c>
      <c r="N8349" s="43">
        <f>IF($I8349=0,0,MIN(SUMIFS(SondBetrag,SondDarl,18,SondDatum,"&gt;="&amp;$E8349,SondDatum,"&lt;="&amp;EOMONTH($E8349,0)),$J8349-$M8349))</f>
      </c>
      <c r="O8349" s="43">
        <f>IF($I8349=0,0,INDEX(DarlErsatzRate,18))</f>
      </c>
      <c r="P8349" s="43">
        <f>IF($I8349=0,0,$Q8348*INDEX(DarlErsatzZins,18))</f>
      </c>
      <c r="Q8349" s="43">
        <f>IF($I8349=0,0,$Q8348+$P8349+$O8349)</f>
      </c>
      <c r="R8349" s="43">
        <f>IF($I8349=0,0,$J8349-$M8349-$N8349)</f>
      </c>
    </row>
    <row r="8350">
      <c r="A8350"/>
      <c r="B8350">
        <v>18</v>
      </c>
      <c r="C8350" s="43">
        <f>INDEX(DarlObj,18)</f>
      </c>
      <c r="D8350">
        <v>187</v>
      </c>
      <c r="E8350" s="51">
        <f>IF(INDEX(DarlBelegt,18)=0,0,EOMONTH(INDEX(DarlAuszahlung,18),186)+1)</f>
      </c>
      <c r="F8350" s="43">
        <f>IF($E8350=0,0,YEAR($E8350))</f>
      </c>
      <c r="G8350" s="43">
        <f>IF(INDEX(DarlBindung,18)="",1,IF($E8350&lt;=INDEX(DarlBindung,18),1,0))</f>
      </c>
      <c r="H8350" s="43">
        <f>IF($G8350=1,INDEX(DarlSollzins,18),INDEX(DarlAnschluss,18))</f>
      </c>
      <c r="I8350" s="43">
        <f>IF(INDEX(DarlBelegt,18)=0,0,IF(INDEX(DarlOhneTilgung,18)=1,IF(INDEX(DarlBindung,18)="",1,$G8350),IF($J8350&gt;0.005,1,0)))</f>
      </c>
      <c r="J8350" s="43">
        <f>IF($I8349=0,0,$R8349)</f>
      </c>
      <c r="K8350" s="43">
        <f>IF($I8350=0,0,IF(INDEX(DarlOhneTilgung,18)=1,0,IF(AND(INDEX(DarlTilgStart,18)&gt;0,$E8350=INDEX(DarlTilgStart,18)),$J8350*($H8350+INDEX(DarlTilgung,18))/100/12,IF(AND($G8350=0,$G8349=1),MAX($K8349,$J8350*($H8350+1)/100/12),$K8349))))</f>
      </c>
      <c r="L8350" s="43">
        <f>IF($I8350=0,0,$J8350*$H8350/100/12)</f>
      </c>
      <c r="M8350" s="43">
        <f>IF($I8350=0,0,IF(OR(INDEX(DarlOhneTilgung,18)=1,AND(INDEX(DarlTilgStart,18)&gt;0,$E8350&lt;INDEX(DarlTilgStart,18))),0,MIN(MAX(0,$K8350-$L8350),$J8350)))</f>
      </c>
      <c r="N8350" s="43">
        <f>IF($I8350=0,0,MIN(SUMIFS(SondBetrag,SondDarl,18,SondDatum,"&gt;="&amp;$E8350,SondDatum,"&lt;="&amp;EOMONTH($E8350,0)),$J8350-$M8350))</f>
      </c>
      <c r="O8350" s="43">
        <f>IF($I8350=0,0,INDEX(DarlErsatzRate,18))</f>
      </c>
      <c r="P8350" s="43">
        <f>IF($I8350=0,0,$Q8349*INDEX(DarlErsatzZins,18))</f>
      </c>
      <c r="Q8350" s="43">
        <f>IF($I8350=0,0,$Q8349+$P8350+$O8350)</f>
      </c>
      <c r="R8350" s="43">
        <f>IF($I8350=0,0,$J8350-$M8350-$N8350)</f>
      </c>
    </row>
    <row r="8351">
      <c r="A8351"/>
      <c r="B8351">
        <v>18</v>
      </c>
      <c r="C8351" s="43">
        <f>INDEX(DarlObj,18)</f>
      </c>
      <c r="D8351">
        <v>188</v>
      </c>
      <c r="E8351" s="51">
        <f>IF(INDEX(DarlBelegt,18)=0,0,EOMONTH(INDEX(DarlAuszahlung,18),187)+1)</f>
      </c>
      <c r="F8351" s="43">
        <f>IF($E8351=0,0,YEAR($E8351))</f>
      </c>
      <c r="G8351" s="43">
        <f>IF(INDEX(DarlBindung,18)="",1,IF($E8351&lt;=INDEX(DarlBindung,18),1,0))</f>
      </c>
      <c r="H8351" s="43">
        <f>IF($G8351=1,INDEX(DarlSollzins,18),INDEX(DarlAnschluss,18))</f>
      </c>
      <c r="I8351" s="43">
        <f>IF(INDEX(DarlBelegt,18)=0,0,IF(INDEX(DarlOhneTilgung,18)=1,IF(INDEX(DarlBindung,18)="",1,$G8351),IF($J8351&gt;0.005,1,0)))</f>
      </c>
      <c r="J8351" s="43">
        <f>IF($I8350=0,0,$R8350)</f>
      </c>
      <c r="K8351" s="43">
        <f>IF($I8351=0,0,IF(INDEX(DarlOhneTilgung,18)=1,0,IF(AND(INDEX(DarlTilgStart,18)&gt;0,$E8351=INDEX(DarlTilgStart,18)),$J8351*($H8351+INDEX(DarlTilgung,18))/100/12,IF(AND($G8351=0,$G8350=1),MAX($K8350,$J8351*($H8351+1)/100/12),$K8350))))</f>
      </c>
      <c r="L8351" s="43">
        <f>IF($I8351=0,0,$J8351*$H8351/100/12)</f>
      </c>
      <c r="M8351" s="43">
        <f>IF($I8351=0,0,IF(OR(INDEX(DarlOhneTilgung,18)=1,AND(INDEX(DarlTilgStart,18)&gt;0,$E8351&lt;INDEX(DarlTilgStart,18))),0,MIN(MAX(0,$K8351-$L8351),$J8351)))</f>
      </c>
      <c r="N8351" s="43">
        <f>IF($I8351=0,0,MIN(SUMIFS(SondBetrag,SondDarl,18,SondDatum,"&gt;="&amp;$E8351,SondDatum,"&lt;="&amp;EOMONTH($E8351,0)),$J8351-$M8351))</f>
      </c>
      <c r="O8351" s="43">
        <f>IF($I8351=0,0,INDEX(DarlErsatzRate,18))</f>
      </c>
      <c r="P8351" s="43">
        <f>IF($I8351=0,0,$Q8350*INDEX(DarlErsatzZins,18))</f>
      </c>
      <c r="Q8351" s="43">
        <f>IF($I8351=0,0,$Q8350+$P8351+$O8351)</f>
      </c>
      <c r="R8351" s="43">
        <f>IF($I8351=0,0,$J8351-$M8351-$N8351)</f>
      </c>
    </row>
    <row r="8352">
      <c r="A8352"/>
      <c r="B8352">
        <v>18</v>
      </c>
      <c r="C8352" s="43">
        <f>INDEX(DarlObj,18)</f>
      </c>
      <c r="D8352">
        <v>189</v>
      </c>
      <c r="E8352" s="51">
        <f>IF(INDEX(DarlBelegt,18)=0,0,EOMONTH(INDEX(DarlAuszahlung,18),188)+1)</f>
      </c>
      <c r="F8352" s="43">
        <f>IF($E8352=0,0,YEAR($E8352))</f>
      </c>
      <c r="G8352" s="43">
        <f>IF(INDEX(DarlBindung,18)="",1,IF($E8352&lt;=INDEX(DarlBindung,18),1,0))</f>
      </c>
      <c r="H8352" s="43">
        <f>IF($G8352=1,INDEX(DarlSollzins,18),INDEX(DarlAnschluss,18))</f>
      </c>
      <c r="I8352" s="43">
        <f>IF(INDEX(DarlBelegt,18)=0,0,IF(INDEX(DarlOhneTilgung,18)=1,IF(INDEX(DarlBindung,18)="",1,$G8352),IF($J8352&gt;0.005,1,0)))</f>
      </c>
      <c r="J8352" s="43">
        <f>IF($I8351=0,0,$R8351)</f>
      </c>
      <c r="K8352" s="43">
        <f>IF($I8352=0,0,IF(INDEX(DarlOhneTilgung,18)=1,0,IF(AND(INDEX(DarlTilgStart,18)&gt;0,$E8352=INDEX(DarlTilgStart,18)),$J8352*($H8352+INDEX(DarlTilgung,18))/100/12,IF(AND($G8352=0,$G8351=1),MAX($K8351,$J8352*($H8352+1)/100/12),$K8351))))</f>
      </c>
      <c r="L8352" s="43">
        <f>IF($I8352=0,0,$J8352*$H8352/100/12)</f>
      </c>
      <c r="M8352" s="43">
        <f>IF($I8352=0,0,IF(OR(INDEX(DarlOhneTilgung,18)=1,AND(INDEX(DarlTilgStart,18)&gt;0,$E8352&lt;INDEX(DarlTilgStart,18))),0,MIN(MAX(0,$K8352-$L8352),$J8352)))</f>
      </c>
      <c r="N8352" s="43">
        <f>IF($I8352=0,0,MIN(SUMIFS(SondBetrag,SondDarl,18,SondDatum,"&gt;="&amp;$E8352,SondDatum,"&lt;="&amp;EOMONTH($E8352,0)),$J8352-$M8352))</f>
      </c>
      <c r="O8352" s="43">
        <f>IF($I8352=0,0,INDEX(DarlErsatzRate,18))</f>
      </c>
      <c r="P8352" s="43">
        <f>IF($I8352=0,0,$Q8351*INDEX(DarlErsatzZins,18))</f>
      </c>
      <c r="Q8352" s="43">
        <f>IF($I8352=0,0,$Q8351+$P8352+$O8352)</f>
      </c>
      <c r="R8352" s="43">
        <f>IF($I8352=0,0,$J8352-$M8352-$N8352)</f>
      </c>
    </row>
    <row r="8353">
      <c r="A8353"/>
      <c r="B8353">
        <v>18</v>
      </c>
      <c r="C8353" s="43">
        <f>INDEX(DarlObj,18)</f>
      </c>
      <c r="D8353">
        <v>190</v>
      </c>
      <c r="E8353" s="51">
        <f>IF(INDEX(DarlBelegt,18)=0,0,EOMONTH(INDEX(DarlAuszahlung,18),189)+1)</f>
      </c>
      <c r="F8353" s="43">
        <f>IF($E8353=0,0,YEAR($E8353))</f>
      </c>
      <c r="G8353" s="43">
        <f>IF(INDEX(DarlBindung,18)="",1,IF($E8353&lt;=INDEX(DarlBindung,18),1,0))</f>
      </c>
      <c r="H8353" s="43">
        <f>IF($G8353=1,INDEX(DarlSollzins,18),INDEX(DarlAnschluss,18))</f>
      </c>
      <c r="I8353" s="43">
        <f>IF(INDEX(DarlBelegt,18)=0,0,IF(INDEX(DarlOhneTilgung,18)=1,IF(INDEX(DarlBindung,18)="",1,$G8353),IF($J8353&gt;0.005,1,0)))</f>
      </c>
      <c r="J8353" s="43">
        <f>IF($I8352=0,0,$R8352)</f>
      </c>
      <c r="K8353" s="43">
        <f>IF($I8353=0,0,IF(INDEX(DarlOhneTilgung,18)=1,0,IF(AND(INDEX(DarlTilgStart,18)&gt;0,$E8353=INDEX(DarlTilgStart,18)),$J8353*($H8353+INDEX(DarlTilgung,18))/100/12,IF(AND($G8353=0,$G8352=1),MAX($K8352,$J8353*($H8353+1)/100/12),$K8352))))</f>
      </c>
      <c r="L8353" s="43">
        <f>IF($I8353=0,0,$J8353*$H8353/100/12)</f>
      </c>
      <c r="M8353" s="43">
        <f>IF($I8353=0,0,IF(OR(INDEX(DarlOhneTilgung,18)=1,AND(INDEX(DarlTilgStart,18)&gt;0,$E8353&lt;INDEX(DarlTilgStart,18))),0,MIN(MAX(0,$K8353-$L8353),$J8353)))</f>
      </c>
      <c r="N8353" s="43">
        <f>IF($I8353=0,0,MIN(SUMIFS(SondBetrag,SondDarl,18,SondDatum,"&gt;="&amp;$E8353,SondDatum,"&lt;="&amp;EOMONTH($E8353,0)),$J8353-$M8353))</f>
      </c>
      <c r="O8353" s="43">
        <f>IF($I8353=0,0,INDEX(DarlErsatzRate,18))</f>
      </c>
      <c r="P8353" s="43">
        <f>IF($I8353=0,0,$Q8352*INDEX(DarlErsatzZins,18))</f>
      </c>
      <c r="Q8353" s="43">
        <f>IF($I8353=0,0,$Q8352+$P8353+$O8353)</f>
      </c>
      <c r="R8353" s="43">
        <f>IF($I8353=0,0,$J8353-$M8353-$N8353)</f>
      </c>
    </row>
    <row r="8354">
      <c r="A8354"/>
      <c r="B8354">
        <v>18</v>
      </c>
      <c r="C8354" s="43">
        <f>INDEX(DarlObj,18)</f>
      </c>
      <c r="D8354">
        <v>191</v>
      </c>
      <c r="E8354" s="51">
        <f>IF(INDEX(DarlBelegt,18)=0,0,EOMONTH(INDEX(DarlAuszahlung,18),190)+1)</f>
      </c>
      <c r="F8354" s="43">
        <f>IF($E8354=0,0,YEAR($E8354))</f>
      </c>
      <c r="G8354" s="43">
        <f>IF(INDEX(DarlBindung,18)="",1,IF($E8354&lt;=INDEX(DarlBindung,18),1,0))</f>
      </c>
      <c r="H8354" s="43">
        <f>IF($G8354=1,INDEX(DarlSollzins,18),INDEX(DarlAnschluss,18))</f>
      </c>
      <c r="I8354" s="43">
        <f>IF(INDEX(DarlBelegt,18)=0,0,IF(INDEX(DarlOhneTilgung,18)=1,IF(INDEX(DarlBindung,18)="",1,$G8354),IF($J8354&gt;0.005,1,0)))</f>
      </c>
      <c r="J8354" s="43">
        <f>IF($I8353=0,0,$R8353)</f>
      </c>
      <c r="K8354" s="43">
        <f>IF($I8354=0,0,IF(INDEX(DarlOhneTilgung,18)=1,0,IF(AND(INDEX(DarlTilgStart,18)&gt;0,$E8354=INDEX(DarlTilgStart,18)),$J8354*($H8354+INDEX(DarlTilgung,18))/100/12,IF(AND($G8354=0,$G8353=1),MAX($K8353,$J8354*($H8354+1)/100/12),$K8353))))</f>
      </c>
      <c r="L8354" s="43">
        <f>IF($I8354=0,0,$J8354*$H8354/100/12)</f>
      </c>
      <c r="M8354" s="43">
        <f>IF($I8354=0,0,IF(OR(INDEX(DarlOhneTilgung,18)=1,AND(INDEX(DarlTilgStart,18)&gt;0,$E8354&lt;INDEX(DarlTilgStart,18))),0,MIN(MAX(0,$K8354-$L8354),$J8354)))</f>
      </c>
      <c r="N8354" s="43">
        <f>IF($I8354=0,0,MIN(SUMIFS(SondBetrag,SondDarl,18,SondDatum,"&gt;="&amp;$E8354,SondDatum,"&lt;="&amp;EOMONTH($E8354,0)),$J8354-$M8354))</f>
      </c>
      <c r="O8354" s="43">
        <f>IF($I8354=0,0,INDEX(DarlErsatzRate,18))</f>
      </c>
      <c r="P8354" s="43">
        <f>IF($I8354=0,0,$Q8353*INDEX(DarlErsatzZins,18))</f>
      </c>
      <c r="Q8354" s="43">
        <f>IF($I8354=0,0,$Q8353+$P8354+$O8354)</f>
      </c>
      <c r="R8354" s="43">
        <f>IF($I8354=0,0,$J8354-$M8354-$N8354)</f>
      </c>
    </row>
    <row r="8355">
      <c r="A8355"/>
      <c r="B8355">
        <v>18</v>
      </c>
      <c r="C8355" s="43">
        <f>INDEX(DarlObj,18)</f>
      </c>
      <c r="D8355">
        <v>192</v>
      </c>
      <c r="E8355" s="51">
        <f>IF(INDEX(DarlBelegt,18)=0,0,EOMONTH(INDEX(DarlAuszahlung,18),191)+1)</f>
      </c>
      <c r="F8355" s="43">
        <f>IF($E8355=0,0,YEAR($E8355))</f>
      </c>
      <c r="G8355" s="43">
        <f>IF(INDEX(DarlBindung,18)="",1,IF($E8355&lt;=INDEX(DarlBindung,18),1,0))</f>
      </c>
      <c r="H8355" s="43">
        <f>IF($G8355=1,INDEX(DarlSollzins,18),INDEX(DarlAnschluss,18))</f>
      </c>
      <c r="I8355" s="43">
        <f>IF(INDEX(DarlBelegt,18)=0,0,IF(INDEX(DarlOhneTilgung,18)=1,IF(INDEX(DarlBindung,18)="",1,$G8355),IF($J8355&gt;0.005,1,0)))</f>
      </c>
      <c r="J8355" s="43">
        <f>IF($I8354=0,0,$R8354)</f>
      </c>
      <c r="K8355" s="43">
        <f>IF($I8355=0,0,IF(INDEX(DarlOhneTilgung,18)=1,0,IF(AND(INDEX(DarlTilgStart,18)&gt;0,$E8355=INDEX(DarlTilgStart,18)),$J8355*($H8355+INDEX(DarlTilgung,18))/100/12,IF(AND($G8355=0,$G8354=1),MAX($K8354,$J8355*($H8355+1)/100/12),$K8354))))</f>
      </c>
      <c r="L8355" s="43">
        <f>IF($I8355=0,0,$J8355*$H8355/100/12)</f>
      </c>
      <c r="M8355" s="43">
        <f>IF($I8355=0,0,IF(OR(INDEX(DarlOhneTilgung,18)=1,AND(INDEX(DarlTilgStart,18)&gt;0,$E8355&lt;INDEX(DarlTilgStart,18))),0,MIN(MAX(0,$K8355-$L8355),$J8355)))</f>
      </c>
      <c r="N8355" s="43">
        <f>IF($I8355=0,0,MIN(SUMIFS(SondBetrag,SondDarl,18,SondDatum,"&gt;="&amp;$E8355,SondDatum,"&lt;="&amp;EOMONTH($E8355,0)),$J8355-$M8355))</f>
      </c>
      <c r="O8355" s="43">
        <f>IF($I8355=0,0,INDEX(DarlErsatzRate,18))</f>
      </c>
      <c r="P8355" s="43">
        <f>IF($I8355=0,0,$Q8354*INDEX(DarlErsatzZins,18))</f>
      </c>
      <c r="Q8355" s="43">
        <f>IF($I8355=0,0,$Q8354+$P8355+$O8355)</f>
      </c>
      <c r="R8355" s="43">
        <f>IF($I8355=0,0,$J8355-$M8355-$N8355)</f>
      </c>
    </row>
    <row r="8356">
      <c r="A8356"/>
      <c r="B8356">
        <v>18</v>
      </c>
      <c r="C8356" s="43">
        <f>INDEX(DarlObj,18)</f>
      </c>
      <c r="D8356">
        <v>193</v>
      </c>
      <c r="E8356" s="51">
        <f>IF(INDEX(DarlBelegt,18)=0,0,EOMONTH(INDEX(DarlAuszahlung,18),192)+1)</f>
      </c>
      <c r="F8356" s="43">
        <f>IF($E8356=0,0,YEAR($E8356))</f>
      </c>
      <c r="G8356" s="43">
        <f>IF(INDEX(DarlBindung,18)="",1,IF($E8356&lt;=INDEX(DarlBindung,18),1,0))</f>
      </c>
      <c r="H8356" s="43">
        <f>IF($G8356=1,INDEX(DarlSollzins,18),INDEX(DarlAnschluss,18))</f>
      </c>
      <c r="I8356" s="43">
        <f>IF(INDEX(DarlBelegt,18)=0,0,IF(INDEX(DarlOhneTilgung,18)=1,IF(INDEX(DarlBindung,18)="",1,$G8356),IF($J8356&gt;0.005,1,0)))</f>
      </c>
      <c r="J8356" s="43">
        <f>IF($I8355=0,0,$R8355)</f>
      </c>
      <c r="K8356" s="43">
        <f>IF($I8356=0,0,IF(INDEX(DarlOhneTilgung,18)=1,0,IF(AND(INDEX(DarlTilgStart,18)&gt;0,$E8356=INDEX(DarlTilgStart,18)),$J8356*($H8356+INDEX(DarlTilgung,18))/100/12,IF(AND($G8356=0,$G8355=1),MAX($K8355,$J8356*($H8356+1)/100/12),$K8355))))</f>
      </c>
      <c r="L8356" s="43">
        <f>IF($I8356=0,0,$J8356*$H8356/100/12)</f>
      </c>
      <c r="M8356" s="43">
        <f>IF($I8356=0,0,IF(OR(INDEX(DarlOhneTilgung,18)=1,AND(INDEX(DarlTilgStart,18)&gt;0,$E8356&lt;INDEX(DarlTilgStart,18))),0,MIN(MAX(0,$K8356-$L8356),$J8356)))</f>
      </c>
      <c r="N8356" s="43">
        <f>IF($I8356=0,0,MIN(SUMIFS(SondBetrag,SondDarl,18,SondDatum,"&gt;="&amp;$E8356,SondDatum,"&lt;="&amp;EOMONTH($E8356,0)),$J8356-$M8356))</f>
      </c>
      <c r="O8356" s="43">
        <f>IF($I8356=0,0,INDEX(DarlErsatzRate,18))</f>
      </c>
      <c r="P8356" s="43">
        <f>IF($I8356=0,0,$Q8355*INDEX(DarlErsatzZins,18))</f>
      </c>
      <c r="Q8356" s="43">
        <f>IF($I8356=0,0,$Q8355+$P8356+$O8356)</f>
      </c>
      <c r="R8356" s="43">
        <f>IF($I8356=0,0,$J8356-$M8356-$N8356)</f>
      </c>
    </row>
    <row r="8357">
      <c r="A8357"/>
      <c r="B8357">
        <v>18</v>
      </c>
      <c r="C8357" s="43">
        <f>INDEX(DarlObj,18)</f>
      </c>
      <c r="D8357">
        <v>194</v>
      </c>
      <c r="E8357" s="51">
        <f>IF(INDEX(DarlBelegt,18)=0,0,EOMONTH(INDEX(DarlAuszahlung,18),193)+1)</f>
      </c>
      <c r="F8357" s="43">
        <f>IF($E8357=0,0,YEAR($E8357))</f>
      </c>
      <c r="G8357" s="43">
        <f>IF(INDEX(DarlBindung,18)="",1,IF($E8357&lt;=INDEX(DarlBindung,18),1,0))</f>
      </c>
      <c r="H8357" s="43">
        <f>IF($G8357=1,INDEX(DarlSollzins,18),INDEX(DarlAnschluss,18))</f>
      </c>
      <c r="I8357" s="43">
        <f>IF(INDEX(DarlBelegt,18)=0,0,IF(INDEX(DarlOhneTilgung,18)=1,IF(INDEX(DarlBindung,18)="",1,$G8357),IF($J8357&gt;0.005,1,0)))</f>
      </c>
      <c r="J8357" s="43">
        <f>IF($I8356=0,0,$R8356)</f>
      </c>
      <c r="K8357" s="43">
        <f>IF($I8357=0,0,IF(INDEX(DarlOhneTilgung,18)=1,0,IF(AND(INDEX(DarlTilgStart,18)&gt;0,$E8357=INDEX(DarlTilgStart,18)),$J8357*($H8357+INDEX(DarlTilgung,18))/100/12,IF(AND($G8357=0,$G8356=1),MAX($K8356,$J8357*($H8357+1)/100/12),$K8356))))</f>
      </c>
      <c r="L8357" s="43">
        <f>IF($I8357=0,0,$J8357*$H8357/100/12)</f>
      </c>
      <c r="M8357" s="43">
        <f>IF($I8357=0,0,IF(OR(INDEX(DarlOhneTilgung,18)=1,AND(INDEX(DarlTilgStart,18)&gt;0,$E8357&lt;INDEX(DarlTilgStart,18))),0,MIN(MAX(0,$K8357-$L8357),$J8357)))</f>
      </c>
      <c r="N8357" s="43">
        <f>IF($I8357=0,0,MIN(SUMIFS(SondBetrag,SondDarl,18,SondDatum,"&gt;="&amp;$E8357,SondDatum,"&lt;="&amp;EOMONTH($E8357,0)),$J8357-$M8357))</f>
      </c>
      <c r="O8357" s="43">
        <f>IF($I8357=0,0,INDEX(DarlErsatzRate,18))</f>
      </c>
      <c r="P8357" s="43">
        <f>IF($I8357=0,0,$Q8356*INDEX(DarlErsatzZins,18))</f>
      </c>
      <c r="Q8357" s="43">
        <f>IF($I8357=0,0,$Q8356+$P8357+$O8357)</f>
      </c>
      <c r="R8357" s="43">
        <f>IF($I8357=0,0,$J8357-$M8357-$N8357)</f>
      </c>
    </row>
    <row r="8358">
      <c r="A8358"/>
      <c r="B8358">
        <v>18</v>
      </c>
      <c r="C8358" s="43">
        <f>INDEX(DarlObj,18)</f>
      </c>
      <c r="D8358">
        <v>195</v>
      </c>
      <c r="E8358" s="51">
        <f>IF(INDEX(DarlBelegt,18)=0,0,EOMONTH(INDEX(DarlAuszahlung,18),194)+1)</f>
      </c>
      <c r="F8358" s="43">
        <f>IF($E8358=0,0,YEAR($E8358))</f>
      </c>
      <c r="G8358" s="43">
        <f>IF(INDEX(DarlBindung,18)="",1,IF($E8358&lt;=INDEX(DarlBindung,18),1,0))</f>
      </c>
      <c r="H8358" s="43">
        <f>IF($G8358=1,INDEX(DarlSollzins,18),INDEX(DarlAnschluss,18))</f>
      </c>
      <c r="I8358" s="43">
        <f>IF(INDEX(DarlBelegt,18)=0,0,IF(INDEX(DarlOhneTilgung,18)=1,IF(INDEX(DarlBindung,18)="",1,$G8358),IF($J8358&gt;0.005,1,0)))</f>
      </c>
      <c r="J8358" s="43">
        <f>IF($I8357=0,0,$R8357)</f>
      </c>
      <c r="K8358" s="43">
        <f>IF($I8358=0,0,IF(INDEX(DarlOhneTilgung,18)=1,0,IF(AND(INDEX(DarlTilgStart,18)&gt;0,$E8358=INDEX(DarlTilgStart,18)),$J8358*($H8358+INDEX(DarlTilgung,18))/100/12,IF(AND($G8358=0,$G8357=1),MAX($K8357,$J8358*($H8358+1)/100/12),$K8357))))</f>
      </c>
      <c r="L8358" s="43">
        <f>IF($I8358=0,0,$J8358*$H8358/100/12)</f>
      </c>
      <c r="M8358" s="43">
        <f>IF($I8358=0,0,IF(OR(INDEX(DarlOhneTilgung,18)=1,AND(INDEX(DarlTilgStart,18)&gt;0,$E8358&lt;INDEX(DarlTilgStart,18))),0,MIN(MAX(0,$K8358-$L8358),$J8358)))</f>
      </c>
      <c r="N8358" s="43">
        <f>IF($I8358=0,0,MIN(SUMIFS(SondBetrag,SondDarl,18,SondDatum,"&gt;="&amp;$E8358,SondDatum,"&lt;="&amp;EOMONTH($E8358,0)),$J8358-$M8358))</f>
      </c>
      <c r="O8358" s="43">
        <f>IF($I8358=0,0,INDEX(DarlErsatzRate,18))</f>
      </c>
      <c r="P8358" s="43">
        <f>IF($I8358=0,0,$Q8357*INDEX(DarlErsatzZins,18))</f>
      </c>
      <c r="Q8358" s="43">
        <f>IF($I8358=0,0,$Q8357+$P8358+$O8358)</f>
      </c>
      <c r="R8358" s="43">
        <f>IF($I8358=0,0,$J8358-$M8358-$N8358)</f>
      </c>
    </row>
    <row r="8359">
      <c r="A8359"/>
      <c r="B8359">
        <v>18</v>
      </c>
      <c r="C8359" s="43">
        <f>INDEX(DarlObj,18)</f>
      </c>
      <c r="D8359">
        <v>196</v>
      </c>
      <c r="E8359" s="51">
        <f>IF(INDEX(DarlBelegt,18)=0,0,EOMONTH(INDEX(DarlAuszahlung,18),195)+1)</f>
      </c>
      <c r="F8359" s="43">
        <f>IF($E8359=0,0,YEAR($E8359))</f>
      </c>
      <c r="G8359" s="43">
        <f>IF(INDEX(DarlBindung,18)="",1,IF($E8359&lt;=INDEX(DarlBindung,18),1,0))</f>
      </c>
      <c r="H8359" s="43">
        <f>IF($G8359=1,INDEX(DarlSollzins,18),INDEX(DarlAnschluss,18))</f>
      </c>
      <c r="I8359" s="43">
        <f>IF(INDEX(DarlBelegt,18)=0,0,IF(INDEX(DarlOhneTilgung,18)=1,IF(INDEX(DarlBindung,18)="",1,$G8359),IF($J8359&gt;0.005,1,0)))</f>
      </c>
      <c r="J8359" s="43">
        <f>IF($I8358=0,0,$R8358)</f>
      </c>
      <c r="K8359" s="43">
        <f>IF($I8359=0,0,IF(INDEX(DarlOhneTilgung,18)=1,0,IF(AND(INDEX(DarlTilgStart,18)&gt;0,$E8359=INDEX(DarlTilgStart,18)),$J8359*($H8359+INDEX(DarlTilgung,18))/100/12,IF(AND($G8359=0,$G8358=1),MAX($K8358,$J8359*($H8359+1)/100/12),$K8358))))</f>
      </c>
      <c r="L8359" s="43">
        <f>IF($I8359=0,0,$J8359*$H8359/100/12)</f>
      </c>
      <c r="M8359" s="43">
        <f>IF($I8359=0,0,IF(OR(INDEX(DarlOhneTilgung,18)=1,AND(INDEX(DarlTilgStart,18)&gt;0,$E8359&lt;INDEX(DarlTilgStart,18))),0,MIN(MAX(0,$K8359-$L8359),$J8359)))</f>
      </c>
      <c r="N8359" s="43">
        <f>IF($I8359=0,0,MIN(SUMIFS(SondBetrag,SondDarl,18,SondDatum,"&gt;="&amp;$E8359,SondDatum,"&lt;="&amp;EOMONTH($E8359,0)),$J8359-$M8359))</f>
      </c>
      <c r="O8359" s="43">
        <f>IF($I8359=0,0,INDEX(DarlErsatzRate,18))</f>
      </c>
      <c r="P8359" s="43">
        <f>IF($I8359=0,0,$Q8358*INDEX(DarlErsatzZins,18))</f>
      </c>
      <c r="Q8359" s="43">
        <f>IF($I8359=0,0,$Q8358+$P8359+$O8359)</f>
      </c>
      <c r="R8359" s="43">
        <f>IF($I8359=0,0,$J8359-$M8359-$N8359)</f>
      </c>
    </row>
    <row r="8360">
      <c r="A8360"/>
      <c r="B8360">
        <v>18</v>
      </c>
      <c r="C8360" s="43">
        <f>INDEX(DarlObj,18)</f>
      </c>
      <c r="D8360">
        <v>197</v>
      </c>
      <c r="E8360" s="51">
        <f>IF(INDEX(DarlBelegt,18)=0,0,EOMONTH(INDEX(DarlAuszahlung,18),196)+1)</f>
      </c>
      <c r="F8360" s="43">
        <f>IF($E8360=0,0,YEAR($E8360))</f>
      </c>
      <c r="G8360" s="43">
        <f>IF(INDEX(DarlBindung,18)="",1,IF($E8360&lt;=INDEX(DarlBindung,18),1,0))</f>
      </c>
      <c r="H8360" s="43">
        <f>IF($G8360=1,INDEX(DarlSollzins,18),INDEX(DarlAnschluss,18))</f>
      </c>
      <c r="I8360" s="43">
        <f>IF(INDEX(DarlBelegt,18)=0,0,IF(INDEX(DarlOhneTilgung,18)=1,IF(INDEX(DarlBindung,18)="",1,$G8360),IF($J8360&gt;0.005,1,0)))</f>
      </c>
      <c r="J8360" s="43">
        <f>IF($I8359=0,0,$R8359)</f>
      </c>
      <c r="K8360" s="43">
        <f>IF($I8360=0,0,IF(INDEX(DarlOhneTilgung,18)=1,0,IF(AND(INDEX(DarlTilgStart,18)&gt;0,$E8360=INDEX(DarlTilgStart,18)),$J8360*($H8360+INDEX(DarlTilgung,18))/100/12,IF(AND($G8360=0,$G8359=1),MAX($K8359,$J8360*($H8360+1)/100/12),$K8359))))</f>
      </c>
      <c r="L8360" s="43">
        <f>IF($I8360=0,0,$J8360*$H8360/100/12)</f>
      </c>
      <c r="M8360" s="43">
        <f>IF($I8360=0,0,IF(OR(INDEX(DarlOhneTilgung,18)=1,AND(INDEX(DarlTilgStart,18)&gt;0,$E8360&lt;INDEX(DarlTilgStart,18))),0,MIN(MAX(0,$K8360-$L8360),$J8360)))</f>
      </c>
      <c r="N8360" s="43">
        <f>IF($I8360=0,0,MIN(SUMIFS(SondBetrag,SondDarl,18,SondDatum,"&gt;="&amp;$E8360,SondDatum,"&lt;="&amp;EOMONTH($E8360,0)),$J8360-$M8360))</f>
      </c>
      <c r="O8360" s="43">
        <f>IF($I8360=0,0,INDEX(DarlErsatzRate,18))</f>
      </c>
      <c r="P8360" s="43">
        <f>IF($I8360=0,0,$Q8359*INDEX(DarlErsatzZins,18))</f>
      </c>
      <c r="Q8360" s="43">
        <f>IF($I8360=0,0,$Q8359+$P8360+$O8360)</f>
      </c>
      <c r="R8360" s="43">
        <f>IF($I8360=0,0,$J8360-$M8360-$N8360)</f>
      </c>
    </row>
    <row r="8361">
      <c r="A8361"/>
      <c r="B8361">
        <v>18</v>
      </c>
      <c r="C8361" s="43">
        <f>INDEX(DarlObj,18)</f>
      </c>
      <c r="D8361">
        <v>198</v>
      </c>
      <c r="E8361" s="51">
        <f>IF(INDEX(DarlBelegt,18)=0,0,EOMONTH(INDEX(DarlAuszahlung,18),197)+1)</f>
      </c>
      <c r="F8361" s="43">
        <f>IF($E8361=0,0,YEAR($E8361))</f>
      </c>
      <c r="G8361" s="43">
        <f>IF(INDEX(DarlBindung,18)="",1,IF($E8361&lt;=INDEX(DarlBindung,18),1,0))</f>
      </c>
      <c r="H8361" s="43">
        <f>IF($G8361=1,INDEX(DarlSollzins,18),INDEX(DarlAnschluss,18))</f>
      </c>
      <c r="I8361" s="43">
        <f>IF(INDEX(DarlBelegt,18)=0,0,IF(INDEX(DarlOhneTilgung,18)=1,IF(INDEX(DarlBindung,18)="",1,$G8361),IF($J8361&gt;0.005,1,0)))</f>
      </c>
      <c r="J8361" s="43">
        <f>IF($I8360=0,0,$R8360)</f>
      </c>
      <c r="K8361" s="43">
        <f>IF($I8361=0,0,IF(INDEX(DarlOhneTilgung,18)=1,0,IF(AND(INDEX(DarlTilgStart,18)&gt;0,$E8361=INDEX(DarlTilgStart,18)),$J8361*($H8361+INDEX(DarlTilgung,18))/100/12,IF(AND($G8361=0,$G8360=1),MAX($K8360,$J8361*($H8361+1)/100/12),$K8360))))</f>
      </c>
      <c r="L8361" s="43">
        <f>IF($I8361=0,0,$J8361*$H8361/100/12)</f>
      </c>
      <c r="M8361" s="43">
        <f>IF($I8361=0,0,IF(OR(INDEX(DarlOhneTilgung,18)=1,AND(INDEX(DarlTilgStart,18)&gt;0,$E8361&lt;INDEX(DarlTilgStart,18))),0,MIN(MAX(0,$K8361-$L8361),$J8361)))</f>
      </c>
      <c r="N8361" s="43">
        <f>IF($I8361=0,0,MIN(SUMIFS(SondBetrag,SondDarl,18,SondDatum,"&gt;="&amp;$E8361,SondDatum,"&lt;="&amp;EOMONTH($E8361,0)),$J8361-$M8361))</f>
      </c>
      <c r="O8361" s="43">
        <f>IF($I8361=0,0,INDEX(DarlErsatzRate,18))</f>
      </c>
      <c r="P8361" s="43">
        <f>IF($I8361=0,0,$Q8360*INDEX(DarlErsatzZins,18))</f>
      </c>
      <c r="Q8361" s="43">
        <f>IF($I8361=0,0,$Q8360+$P8361+$O8361)</f>
      </c>
      <c r="R8361" s="43">
        <f>IF($I8361=0,0,$J8361-$M8361-$N8361)</f>
      </c>
    </row>
    <row r="8362">
      <c r="A8362"/>
      <c r="B8362">
        <v>18</v>
      </c>
      <c r="C8362" s="43">
        <f>INDEX(DarlObj,18)</f>
      </c>
      <c r="D8362">
        <v>199</v>
      </c>
      <c r="E8362" s="51">
        <f>IF(INDEX(DarlBelegt,18)=0,0,EOMONTH(INDEX(DarlAuszahlung,18),198)+1)</f>
      </c>
      <c r="F8362" s="43">
        <f>IF($E8362=0,0,YEAR($E8362))</f>
      </c>
      <c r="G8362" s="43">
        <f>IF(INDEX(DarlBindung,18)="",1,IF($E8362&lt;=INDEX(DarlBindung,18),1,0))</f>
      </c>
      <c r="H8362" s="43">
        <f>IF($G8362=1,INDEX(DarlSollzins,18),INDEX(DarlAnschluss,18))</f>
      </c>
      <c r="I8362" s="43">
        <f>IF(INDEX(DarlBelegt,18)=0,0,IF(INDEX(DarlOhneTilgung,18)=1,IF(INDEX(DarlBindung,18)="",1,$G8362),IF($J8362&gt;0.005,1,0)))</f>
      </c>
      <c r="J8362" s="43">
        <f>IF($I8361=0,0,$R8361)</f>
      </c>
      <c r="K8362" s="43">
        <f>IF($I8362=0,0,IF(INDEX(DarlOhneTilgung,18)=1,0,IF(AND(INDEX(DarlTilgStart,18)&gt;0,$E8362=INDEX(DarlTilgStart,18)),$J8362*($H8362+INDEX(DarlTilgung,18))/100/12,IF(AND($G8362=0,$G8361=1),MAX($K8361,$J8362*($H8362+1)/100/12),$K8361))))</f>
      </c>
      <c r="L8362" s="43">
        <f>IF($I8362=0,0,$J8362*$H8362/100/12)</f>
      </c>
      <c r="M8362" s="43">
        <f>IF($I8362=0,0,IF(OR(INDEX(DarlOhneTilgung,18)=1,AND(INDEX(DarlTilgStart,18)&gt;0,$E8362&lt;INDEX(DarlTilgStart,18))),0,MIN(MAX(0,$K8362-$L8362),$J8362)))</f>
      </c>
      <c r="N8362" s="43">
        <f>IF($I8362=0,0,MIN(SUMIFS(SondBetrag,SondDarl,18,SondDatum,"&gt;="&amp;$E8362,SondDatum,"&lt;="&amp;EOMONTH($E8362,0)),$J8362-$M8362))</f>
      </c>
      <c r="O8362" s="43">
        <f>IF($I8362=0,0,INDEX(DarlErsatzRate,18))</f>
      </c>
      <c r="P8362" s="43">
        <f>IF($I8362=0,0,$Q8361*INDEX(DarlErsatzZins,18))</f>
      </c>
      <c r="Q8362" s="43">
        <f>IF($I8362=0,0,$Q8361+$P8362+$O8362)</f>
      </c>
      <c r="R8362" s="43">
        <f>IF($I8362=0,0,$J8362-$M8362-$N8362)</f>
      </c>
    </row>
    <row r="8363">
      <c r="A8363"/>
      <c r="B8363">
        <v>18</v>
      </c>
      <c r="C8363" s="43">
        <f>INDEX(DarlObj,18)</f>
      </c>
      <c r="D8363">
        <v>200</v>
      </c>
      <c r="E8363" s="51">
        <f>IF(INDEX(DarlBelegt,18)=0,0,EOMONTH(INDEX(DarlAuszahlung,18),199)+1)</f>
      </c>
      <c r="F8363" s="43">
        <f>IF($E8363=0,0,YEAR($E8363))</f>
      </c>
      <c r="G8363" s="43">
        <f>IF(INDEX(DarlBindung,18)="",1,IF($E8363&lt;=INDEX(DarlBindung,18),1,0))</f>
      </c>
      <c r="H8363" s="43">
        <f>IF($G8363=1,INDEX(DarlSollzins,18),INDEX(DarlAnschluss,18))</f>
      </c>
      <c r="I8363" s="43">
        <f>IF(INDEX(DarlBelegt,18)=0,0,IF(INDEX(DarlOhneTilgung,18)=1,IF(INDEX(DarlBindung,18)="",1,$G8363),IF($J8363&gt;0.005,1,0)))</f>
      </c>
      <c r="J8363" s="43">
        <f>IF($I8362=0,0,$R8362)</f>
      </c>
      <c r="K8363" s="43">
        <f>IF($I8363=0,0,IF(INDEX(DarlOhneTilgung,18)=1,0,IF(AND(INDEX(DarlTilgStart,18)&gt;0,$E8363=INDEX(DarlTilgStart,18)),$J8363*($H8363+INDEX(DarlTilgung,18))/100/12,IF(AND($G8363=0,$G8362=1),MAX($K8362,$J8363*($H8363+1)/100/12),$K8362))))</f>
      </c>
      <c r="L8363" s="43">
        <f>IF($I8363=0,0,$J8363*$H8363/100/12)</f>
      </c>
      <c r="M8363" s="43">
        <f>IF($I8363=0,0,IF(OR(INDEX(DarlOhneTilgung,18)=1,AND(INDEX(DarlTilgStart,18)&gt;0,$E8363&lt;INDEX(DarlTilgStart,18))),0,MIN(MAX(0,$K8363-$L8363),$J8363)))</f>
      </c>
      <c r="N8363" s="43">
        <f>IF($I8363=0,0,MIN(SUMIFS(SondBetrag,SondDarl,18,SondDatum,"&gt;="&amp;$E8363,SondDatum,"&lt;="&amp;EOMONTH($E8363,0)),$J8363-$M8363))</f>
      </c>
      <c r="O8363" s="43">
        <f>IF($I8363=0,0,INDEX(DarlErsatzRate,18))</f>
      </c>
      <c r="P8363" s="43">
        <f>IF($I8363=0,0,$Q8362*INDEX(DarlErsatzZins,18))</f>
      </c>
      <c r="Q8363" s="43">
        <f>IF($I8363=0,0,$Q8362+$P8363+$O8363)</f>
      </c>
      <c r="R8363" s="43">
        <f>IF($I8363=0,0,$J8363-$M8363-$N8363)</f>
      </c>
    </row>
    <row r="8364">
      <c r="A8364"/>
      <c r="B8364">
        <v>18</v>
      </c>
      <c r="C8364" s="43">
        <f>INDEX(DarlObj,18)</f>
      </c>
      <c r="D8364">
        <v>201</v>
      </c>
      <c r="E8364" s="51">
        <f>IF(INDEX(DarlBelegt,18)=0,0,EOMONTH(INDEX(DarlAuszahlung,18),200)+1)</f>
      </c>
      <c r="F8364" s="43">
        <f>IF($E8364=0,0,YEAR($E8364))</f>
      </c>
      <c r="G8364" s="43">
        <f>IF(INDEX(DarlBindung,18)="",1,IF($E8364&lt;=INDEX(DarlBindung,18),1,0))</f>
      </c>
      <c r="H8364" s="43">
        <f>IF($G8364=1,INDEX(DarlSollzins,18),INDEX(DarlAnschluss,18))</f>
      </c>
      <c r="I8364" s="43">
        <f>IF(INDEX(DarlBelegt,18)=0,0,IF(INDEX(DarlOhneTilgung,18)=1,IF(INDEX(DarlBindung,18)="",1,$G8364),IF($J8364&gt;0.005,1,0)))</f>
      </c>
      <c r="J8364" s="43">
        <f>IF($I8363=0,0,$R8363)</f>
      </c>
      <c r="K8364" s="43">
        <f>IF($I8364=0,0,IF(INDEX(DarlOhneTilgung,18)=1,0,IF(AND(INDEX(DarlTilgStart,18)&gt;0,$E8364=INDEX(DarlTilgStart,18)),$J8364*($H8364+INDEX(DarlTilgung,18))/100/12,IF(AND($G8364=0,$G8363=1),MAX($K8363,$J8364*($H8364+1)/100/12),$K8363))))</f>
      </c>
      <c r="L8364" s="43">
        <f>IF($I8364=0,0,$J8364*$H8364/100/12)</f>
      </c>
      <c r="M8364" s="43">
        <f>IF($I8364=0,0,IF(OR(INDEX(DarlOhneTilgung,18)=1,AND(INDEX(DarlTilgStart,18)&gt;0,$E8364&lt;INDEX(DarlTilgStart,18))),0,MIN(MAX(0,$K8364-$L8364),$J8364)))</f>
      </c>
      <c r="N8364" s="43">
        <f>IF($I8364=0,0,MIN(SUMIFS(SondBetrag,SondDarl,18,SondDatum,"&gt;="&amp;$E8364,SondDatum,"&lt;="&amp;EOMONTH($E8364,0)),$J8364-$M8364))</f>
      </c>
      <c r="O8364" s="43">
        <f>IF($I8364=0,0,INDEX(DarlErsatzRate,18))</f>
      </c>
      <c r="P8364" s="43">
        <f>IF($I8364=0,0,$Q8363*INDEX(DarlErsatzZins,18))</f>
      </c>
      <c r="Q8364" s="43">
        <f>IF($I8364=0,0,$Q8363+$P8364+$O8364)</f>
      </c>
      <c r="R8364" s="43">
        <f>IF($I8364=0,0,$J8364-$M8364-$N8364)</f>
      </c>
    </row>
    <row r="8365">
      <c r="A8365"/>
      <c r="B8365">
        <v>18</v>
      </c>
      <c r="C8365" s="43">
        <f>INDEX(DarlObj,18)</f>
      </c>
      <c r="D8365">
        <v>202</v>
      </c>
      <c r="E8365" s="51">
        <f>IF(INDEX(DarlBelegt,18)=0,0,EOMONTH(INDEX(DarlAuszahlung,18),201)+1)</f>
      </c>
      <c r="F8365" s="43">
        <f>IF($E8365=0,0,YEAR($E8365))</f>
      </c>
      <c r="G8365" s="43">
        <f>IF(INDEX(DarlBindung,18)="",1,IF($E8365&lt;=INDEX(DarlBindung,18),1,0))</f>
      </c>
      <c r="H8365" s="43">
        <f>IF($G8365=1,INDEX(DarlSollzins,18),INDEX(DarlAnschluss,18))</f>
      </c>
      <c r="I8365" s="43">
        <f>IF(INDEX(DarlBelegt,18)=0,0,IF(INDEX(DarlOhneTilgung,18)=1,IF(INDEX(DarlBindung,18)="",1,$G8365),IF($J8365&gt;0.005,1,0)))</f>
      </c>
      <c r="J8365" s="43">
        <f>IF($I8364=0,0,$R8364)</f>
      </c>
      <c r="K8365" s="43">
        <f>IF($I8365=0,0,IF(INDEX(DarlOhneTilgung,18)=1,0,IF(AND(INDEX(DarlTilgStart,18)&gt;0,$E8365=INDEX(DarlTilgStart,18)),$J8365*($H8365+INDEX(DarlTilgung,18))/100/12,IF(AND($G8365=0,$G8364=1),MAX($K8364,$J8365*($H8365+1)/100/12),$K8364))))</f>
      </c>
      <c r="L8365" s="43">
        <f>IF($I8365=0,0,$J8365*$H8365/100/12)</f>
      </c>
      <c r="M8365" s="43">
        <f>IF($I8365=0,0,IF(OR(INDEX(DarlOhneTilgung,18)=1,AND(INDEX(DarlTilgStart,18)&gt;0,$E8365&lt;INDEX(DarlTilgStart,18))),0,MIN(MAX(0,$K8365-$L8365),$J8365)))</f>
      </c>
      <c r="N8365" s="43">
        <f>IF($I8365=0,0,MIN(SUMIFS(SondBetrag,SondDarl,18,SondDatum,"&gt;="&amp;$E8365,SondDatum,"&lt;="&amp;EOMONTH($E8365,0)),$J8365-$M8365))</f>
      </c>
      <c r="O8365" s="43">
        <f>IF($I8365=0,0,INDEX(DarlErsatzRate,18))</f>
      </c>
      <c r="P8365" s="43">
        <f>IF($I8365=0,0,$Q8364*INDEX(DarlErsatzZins,18))</f>
      </c>
      <c r="Q8365" s="43">
        <f>IF($I8365=0,0,$Q8364+$P8365+$O8365)</f>
      </c>
      <c r="R8365" s="43">
        <f>IF($I8365=0,0,$J8365-$M8365-$N8365)</f>
      </c>
    </row>
    <row r="8366">
      <c r="A8366"/>
      <c r="B8366">
        <v>18</v>
      </c>
      <c r="C8366" s="43">
        <f>INDEX(DarlObj,18)</f>
      </c>
      <c r="D8366">
        <v>203</v>
      </c>
      <c r="E8366" s="51">
        <f>IF(INDEX(DarlBelegt,18)=0,0,EOMONTH(INDEX(DarlAuszahlung,18),202)+1)</f>
      </c>
      <c r="F8366" s="43">
        <f>IF($E8366=0,0,YEAR($E8366))</f>
      </c>
      <c r="G8366" s="43">
        <f>IF(INDEX(DarlBindung,18)="",1,IF($E8366&lt;=INDEX(DarlBindung,18),1,0))</f>
      </c>
      <c r="H8366" s="43">
        <f>IF($G8366=1,INDEX(DarlSollzins,18),INDEX(DarlAnschluss,18))</f>
      </c>
      <c r="I8366" s="43">
        <f>IF(INDEX(DarlBelegt,18)=0,0,IF(INDEX(DarlOhneTilgung,18)=1,IF(INDEX(DarlBindung,18)="",1,$G8366),IF($J8366&gt;0.005,1,0)))</f>
      </c>
      <c r="J8366" s="43">
        <f>IF($I8365=0,0,$R8365)</f>
      </c>
      <c r="K8366" s="43">
        <f>IF($I8366=0,0,IF(INDEX(DarlOhneTilgung,18)=1,0,IF(AND(INDEX(DarlTilgStart,18)&gt;0,$E8366=INDEX(DarlTilgStart,18)),$J8366*($H8366+INDEX(DarlTilgung,18))/100/12,IF(AND($G8366=0,$G8365=1),MAX($K8365,$J8366*($H8366+1)/100/12),$K8365))))</f>
      </c>
      <c r="L8366" s="43">
        <f>IF($I8366=0,0,$J8366*$H8366/100/12)</f>
      </c>
      <c r="M8366" s="43">
        <f>IF($I8366=0,0,IF(OR(INDEX(DarlOhneTilgung,18)=1,AND(INDEX(DarlTilgStart,18)&gt;0,$E8366&lt;INDEX(DarlTilgStart,18))),0,MIN(MAX(0,$K8366-$L8366),$J8366)))</f>
      </c>
      <c r="N8366" s="43">
        <f>IF($I8366=0,0,MIN(SUMIFS(SondBetrag,SondDarl,18,SondDatum,"&gt;="&amp;$E8366,SondDatum,"&lt;="&amp;EOMONTH($E8366,0)),$J8366-$M8366))</f>
      </c>
      <c r="O8366" s="43">
        <f>IF($I8366=0,0,INDEX(DarlErsatzRate,18))</f>
      </c>
      <c r="P8366" s="43">
        <f>IF($I8366=0,0,$Q8365*INDEX(DarlErsatzZins,18))</f>
      </c>
      <c r="Q8366" s="43">
        <f>IF($I8366=0,0,$Q8365+$P8366+$O8366)</f>
      </c>
      <c r="R8366" s="43">
        <f>IF($I8366=0,0,$J8366-$M8366-$N8366)</f>
      </c>
    </row>
    <row r="8367">
      <c r="A8367"/>
      <c r="B8367">
        <v>18</v>
      </c>
      <c r="C8367" s="43">
        <f>INDEX(DarlObj,18)</f>
      </c>
      <c r="D8367">
        <v>204</v>
      </c>
      <c r="E8367" s="51">
        <f>IF(INDEX(DarlBelegt,18)=0,0,EOMONTH(INDEX(DarlAuszahlung,18),203)+1)</f>
      </c>
      <c r="F8367" s="43">
        <f>IF($E8367=0,0,YEAR($E8367))</f>
      </c>
      <c r="G8367" s="43">
        <f>IF(INDEX(DarlBindung,18)="",1,IF($E8367&lt;=INDEX(DarlBindung,18),1,0))</f>
      </c>
      <c r="H8367" s="43">
        <f>IF($G8367=1,INDEX(DarlSollzins,18),INDEX(DarlAnschluss,18))</f>
      </c>
      <c r="I8367" s="43">
        <f>IF(INDEX(DarlBelegt,18)=0,0,IF(INDEX(DarlOhneTilgung,18)=1,IF(INDEX(DarlBindung,18)="",1,$G8367),IF($J8367&gt;0.005,1,0)))</f>
      </c>
      <c r="J8367" s="43">
        <f>IF($I8366=0,0,$R8366)</f>
      </c>
      <c r="K8367" s="43">
        <f>IF($I8367=0,0,IF(INDEX(DarlOhneTilgung,18)=1,0,IF(AND(INDEX(DarlTilgStart,18)&gt;0,$E8367=INDEX(DarlTilgStart,18)),$J8367*($H8367+INDEX(DarlTilgung,18))/100/12,IF(AND($G8367=0,$G8366=1),MAX($K8366,$J8367*($H8367+1)/100/12),$K8366))))</f>
      </c>
      <c r="L8367" s="43">
        <f>IF($I8367=0,0,$J8367*$H8367/100/12)</f>
      </c>
      <c r="M8367" s="43">
        <f>IF($I8367=0,0,IF(OR(INDEX(DarlOhneTilgung,18)=1,AND(INDEX(DarlTilgStart,18)&gt;0,$E8367&lt;INDEX(DarlTilgStart,18))),0,MIN(MAX(0,$K8367-$L8367),$J8367)))</f>
      </c>
      <c r="N8367" s="43">
        <f>IF($I8367=0,0,MIN(SUMIFS(SondBetrag,SondDarl,18,SondDatum,"&gt;="&amp;$E8367,SondDatum,"&lt;="&amp;EOMONTH($E8367,0)),$J8367-$M8367))</f>
      </c>
      <c r="O8367" s="43">
        <f>IF($I8367=0,0,INDEX(DarlErsatzRate,18))</f>
      </c>
      <c r="P8367" s="43">
        <f>IF($I8367=0,0,$Q8366*INDEX(DarlErsatzZins,18))</f>
      </c>
      <c r="Q8367" s="43">
        <f>IF($I8367=0,0,$Q8366+$P8367+$O8367)</f>
      </c>
      <c r="R8367" s="43">
        <f>IF($I8367=0,0,$J8367-$M8367-$N8367)</f>
      </c>
    </row>
    <row r="8368">
      <c r="A8368"/>
      <c r="B8368">
        <v>18</v>
      </c>
      <c r="C8368" s="43">
        <f>INDEX(DarlObj,18)</f>
      </c>
      <c r="D8368">
        <v>205</v>
      </c>
      <c r="E8368" s="51">
        <f>IF(INDEX(DarlBelegt,18)=0,0,EOMONTH(INDEX(DarlAuszahlung,18),204)+1)</f>
      </c>
      <c r="F8368" s="43">
        <f>IF($E8368=0,0,YEAR($E8368))</f>
      </c>
      <c r="G8368" s="43">
        <f>IF(INDEX(DarlBindung,18)="",1,IF($E8368&lt;=INDEX(DarlBindung,18),1,0))</f>
      </c>
      <c r="H8368" s="43">
        <f>IF($G8368=1,INDEX(DarlSollzins,18),INDEX(DarlAnschluss,18))</f>
      </c>
      <c r="I8368" s="43">
        <f>IF(INDEX(DarlBelegt,18)=0,0,IF(INDEX(DarlOhneTilgung,18)=1,IF(INDEX(DarlBindung,18)="",1,$G8368),IF($J8368&gt;0.005,1,0)))</f>
      </c>
      <c r="J8368" s="43">
        <f>IF($I8367=0,0,$R8367)</f>
      </c>
      <c r="K8368" s="43">
        <f>IF($I8368=0,0,IF(INDEX(DarlOhneTilgung,18)=1,0,IF(AND(INDEX(DarlTilgStart,18)&gt;0,$E8368=INDEX(DarlTilgStart,18)),$J8368*($H8368+INDEX(DarlTilgung,18))/100/12,IF(AND($G8368=0,$G8367=1),MAX($K8367,$J8368*($H8368+1)/100/12),$K8367))))</f>
      </c>
      <c r="L8368" s="43">
        <f>IF($I8368=0,0,$J8368*$H8368/100/12)</f>
      </c>
      <c r="M8368" s="43">
        <f>IF($I8368=0,0,IF(OR(INDEX(DarlOhneTilgung,18)=1,AND(INDEX(DarlTilgStart,18)&gt;0,$E8368&lt;INDEX(DarlTilgStart,18))),0,MIN(MAX(0,$K8368-$L8368),$J8368)))</f>
      </c>
      <c r="N8368" s="43">
        <f>IF($I8368=0,0,MIN(SUMIFS(SondBetrag,SondDarl,18,SondDatum,"&gt;="&amp;$E8368,SondDatum,"&lt;="&amp;EOMONTH($E8368,0)),$J8368-$M8368))</f>
      </c>
      <c r="O8368" s="43">
        <f>IF($I8368=0,0,INDEX(DarlErsatzRate,18))</f>
      </c>
      <c r="P8368" s="43">
        <f>IF($I8368=0,0,$Q8367*INDEX(DarlErsatzZins,18))</f>
      </c>
      <c r="Q8368" s="43">
        <f>IF($I8368=0,0,$Q8367+$P8368+$O8368)</f>
      </c>
      <c r="R8368" s="43">
        <f>IF($I8368=0,0,$J8368-$M8368-$N8368)</f>
      </c>
    </row>
    <row r="8369">
      <c r="A8369"/>
      <c r="B8369">
        <v>18</v>
      </c>
      <c r="C8369" s="43">
        <f>INDEX(DarlObj,18)</f>
      </c>
      <c r="D8369">
        <v>206</v>
      </c>
      <c r="E8369" s="51">
        <f>IF(INDEX(DarlBelegt,18)=0,0,EOMONTH(INDEX(DarlAuszahlung,18),205)+1)</f>
      </c>
      <c r="F8369" s="43">
        <f>IF($E8369=0,0,YEAR($E8369))</f>
      </c>
      <c r="G8369" s="43">
        <f>IF(INDEX(DarlBindung,18)="",1,IF($E8369&lt;=INDEX(DarlBindung,18),1,0))</f>
      </c>
      <c r="H8369" s="43">
        <f>IF($G8369=1,INDEX(DarlSollzins,18),INDEX(DarlAnschluss,18))</f>
      </c>
      <c r="I8369" s="43">
        <f>IF(INDEX(DarlBelegt,18)=0,0,IF(INDEX(DarlOhneTilgung,18)=1,IF(INDEX(DarlBindung,18)="",1,$G8369),IF($J8369&gt;0.005,1,0)))</f>
      </c>
      <c r="J8369" s="43">
        <f>IF($I8368=0,0,$R8368)</f>
      </c>
      <c r="K8369" s="43">
        <f>IF($I8369=0,0,IF(INDEX(DarlOhneTilgung,18)=1,0,IF(AND(INDEX(DarlTilgStart,18)&gt;0,$E8369=INDEX(DarlTilgStart,18)),$J8369*($H8369+INDEX(DarlTilgung,18))/100/12,IF(AND($G8369=0,$G8368=1),MAX($K8368,$J8369*($H8369+1)/100/12),$K8368))))</f>
      </c>
      <c r="L8369" s="43">
        <f>IF($I8369=0,0,$J8369*$H8369/100/12)</f>
      </c>
      <c r="M8369" s="43">
        <f>IF($I8369=0,0,IF(OR(INDEX(DarlOhneTilgung,18)=1,AND(INDEX(DarlTilgStart,18)&gt;0,$E8369&lt;INDEX(DarlTilgStart,18))),0,MIN(MAX(0,$K8369-$L8369),$J8369)))</f>
      </c>
      <c r="N8369" s="43">
        <f>IF($I8369=0,0,MIN(SUMIFS(SondBetrag,SondDarl,18,SondDatum,"&gt;="&amp;$E8369,SondDatum,"&lt;="&amp;EOMONTH($E8369,0)),$J8369-$M8369))</f>
      </c>
      <c r="O8369" s="43">
        <f>IF($I8369=0,0,INDEX(DarlErsatzRate,18))</f>
      </c>
      <c r="P8369" s="43">
        <f>IF($I8369=0,0,$Q8368*INDEX(DarlErsatzZins,18))</f>
      </c>
      <c r="Q8369" s="43">
        <f>IF($I8369=0,0,$Q8368+$P8369+$O8369)</f>
      </c>
      <c r="R8369" s="43">
        <f>IF($I8369=0,0,$J8369-$M8369-$N8369)</f>
      </c>
    </row>
    <row r="8370">
      <c r="A8370"/>
      <c r="B8370">
        <v>18</v>
      </c>
      <c r="C8370" s="43">
        <f>INDEX(DarlObj,18)</f>
      </c>
      <c r="D8370">
        <v>207</v>
      </c>
      <c r="E8370" s="51">
        <f>IF(INDEX(DarlBelegt,18)=0,0,EOMONTH(INDEX(DarlAuszahlung,18),206)+1)</f>
      </c>
      <c r="F8370" s="43">
        <f>IF($E8370=0,0,YEAR($E8370))</f>
      </c>
      <c r="G8370" s="43">
        <f>IF(INDEX(DarlBindung,18)="",1,IF($E8370&lt;=INDEX(DarlBindung,18),1,0))</f>
      </c>
      <c r="H8370" s="43">
        <f>IF($G8370=1,INDEX(DarlSollzins,18),INDEX(DarlAnschluss,18))</f>
      </c>
      <c r="I8370" s="43">
        <f>IF(INDEX(DarlBelegt,18)=0,0,IF(INDEX(DarlOhneTilgung,18)=1,IF(INDEX(DarlBindung,18)="",1,$G8370),IF($J8370&gt;0.005,1,0)))</f>
      </c>
      <c r="J8370" s="43">
        <f>IF($I8369=0,0,$R8369)</f>
      </c>
      <c r="K8370" s="43">
        <f>IF($I8370=0,0,IF(INDEX(DarlOhneTilgung,18)=1,0,IF(AND(INDEX(DarlTilgStart,18)&gt;0,$E8370=INDEX(DarlTilgStart,18)),$J8370*($H8370+INDEX(DarlTilgung,18))/100/12,IF(AND($G8370=0,$G8369=1),MAX($K8369,$J8370*($H8370+1)/100/12),$K8369))))</f>
      </c>
      <c r="L8370" s="43">
        <f>IF($I8370=0,0,$J8370*$H8370/100/12)</f>
      </c>
      <c r="M8370" s="43">
        <f>IF($I8370=0,0,IF(OR(INDEX(DarlOhneTilgung,18)=1,AND(INDEX(DarlTilgStart,18)&gt;0,$E8370&lt;INDEX(DarlTilgStart,18))),0,MIN(MAX(0,$K8370-$L8370),$J8370)))</f>
      </c>
      <c r="N8370" s="43">
        <f>IF($I8370=0,0,MIN(SUMIFS(SondBetrag,SondDarl,18,SondDatum,"&gt;="&amp;$E8370,SondDatum,"&lt;="&amp;EOMONTH($E8370,0)),$J8370-$M8370))</f>
      </c>
      <c r="O8370" s="43">
        <f>IF($I8370=0,0,INDEX(DarlErsatzRate,18))</f>
      </c>
      <c r="P8370" s="43">
        <f>IF($I8370=0,0,$Q8369*INDEX(DarlErsatzZins,18))</f>
      </c>
      <c r="Q8370" s="43">
        <f>IF($I8370=0,0,$Q8369+$P8370+$O8370)</f>
      </c>
      <c r="R8370" s="43">
        <f>IF($I8370=0,0,$J8370-$M8370-$N8370)</f>
      </c>
    </row>
    <row r="8371">
      <c r="A8371"/>
      <c r="B8371">
        <v>18</v>
      </c>
      <c r="C8371" s="43">
        <f>INDEX(DarlObj,18)</f>
      </c>
      <c r="D8371">
        <v>208</v>
      </c>
      <c r="E8371" s="51">
        <f>IF(INDEX(DarlBelegt,18)=0,0,EOMONTH(INDEX(DarlAuszahlung,18),207)+1)</f>
      </c>
      <c r="F8371" s="43">
        <f>IF($E8371=0,0,YEAR($E8371))</f>
      </c>
      <c r="G8371" s="43">
        <f>IF(INDEX(DarlBindung,18)="",1,IF($E8371&lt;=INDEX(DarlBindung,18),1,0))</f>
      </c>
      <c r="H8371" s="43">
        <f>IF($G8371=1,INDEX(DarlSollzins,18),INDEX(DarlAnschluss,18))</f>
      </c>
      <c r="I8371" s="43">
        <f>IF(INDEX(DarlBelegt,18)=0,0,IF(INDEX(DarlOhneTilgung,18)=1,IF(INDEX(DarlBindung,18)="",1,$G8371),IF($J8371&gt;0.005,1,0)))</f>
      </c>
      <c r="J8371" s="43">
        <f>IF($I8370=0,0,$R8370)</f>
      </c>
      <c r="K8371" s="43">
        <f>IF($I8371=0,0,IF(INDEX(DarlOhneTilgung,18)=1,0,IF(AND(INDEX(DarlTilgStart,18)&gt;0,$E8371=INDEX(DarlTilgStart,18)),$J8371*($H8371+INDEX(DarlTilgung,18))/100/12,IF(AND($G8371=0,$G8370=1),MAX($K8370,$J8371*($H8371+1)/100/12),$K8370))))</f>
      </c>
      <c r="L8371" s="43">
        <f>IF($I8371=0,0,$J8371*$H8371/100/12)</f>
      </c>
      <c r="M8371" s="43">
        <f>IF($I8371=0,0,IF(OR(INDEX(DarlOhneTilgung,18)=1,AND(INDEX(DarlTilgStart,18)&gt;0,$E8371&lt;INDEX(DarlTilgStart,18))),0,MIN(MAX(0,$K8371-$L8371),$J8371)))</f>
      </c>
      <c r="N8371" s="43">
        <f>IF($I8371=0,0,MIN(SUMIFS(SondBetrag,SondDarl,18,SondDatum,"&gt;="&amp;$E8371,SondDatum,"&lt;="&amp;EOMONTH($E8371,0)),$J8371-$M8371))</f>
      </c>
      <c r="O8371" s="43">
        <f>IF($I8371=0,0,INDEX(DarlErsatzRate,18))</f>
      </c>
      <c r="P8371" s="43">
        <f>IF($I8371=0,0,$Q8370*INDEX(DarlErsatzZins,18))</f>
      </c>
      <c r="Q8371" s="43">
        <f>IF($I8371=0,0,$Q8370+$P8371+$O8371)</f>
      </c>
      <c r="R8371" s="43">
        <f>IF($I8371=0,0,$J8371-$M8371-$N8371)</f>
      </c>
    </row>
    <row r="8372">
      <c r="A8372"/>
      <c r="B8372">
        <v>18</v>
      </c>
      <c r="C8372" s="43">
        <f>INDEX(DarlObj,18)</f>
      </c>
      <c r="D8372">
        <v>209</v>
      </c>
      <c r="E8372" s="51">
        <f>IF(INDEX(DarlBelegt,18)=0,0,EOMONTH(INDEX(DarlAuszahlung,18),208)+1)</f>
      </c>
      <c r="F8372" s="43">
        <f>IF($E8372=0,0,YEAR($E8372))</f>
      </c>
      <c r="G8372" s="43">
        <f>IF(INDEX(DarlBindung,18)="",1,IF($E8372&lt;=INDEX(DarlBindung,18),1,0))</f>
      </c>
      <c r="H8372" s="43">
        <f>IF($G8372=1,INDEX(DarlSollzins,18),INDEX(DarlAnschluss,18))</f>
      </c>
      <c r="I8372" s="43">
        <f>IF(INDEX(DarlBelegt,18)=0,0,IF(INDEX(DarlOhneTilgung,18)=1,IF(INDEX(DarlBindung,18)="",1,$G8372),IF($J8372&gt;0.005,1,0)))</f>
      </c>
      <c r="J8372" s="43">
        <f>IF($I8371=0,0,$R8371)</f>
      </c>
      <c r="K8372" s="43">
        <f>IF($I8372=0,0,IF(INDEX(DarlOhneTilgung,18)=1,0,IF(AND(INDEX(DarlTilgStart,18)&gt;0,$E8372=INDEX(DarlTilgStart,18)),$J8372*($H8372+INDEX(DarlTilgung,18))/100/12,IF(AND($G8372=0,$G8371=1),MAX($K8371,$J8372*($H8372+1)/100/12),$K8371))))</f>
      </c>
      <c r="L8372" s="43">
        <f>IF($I8372=0,0,$J8372*$H8372/100/12)</f>
      </c>
      <c r="M8372" s="43">
        <f>IF($I8372=0,0,IF(OR(INDEX(DarlOhneTilgung,18)=1,AND(INDEX(DarlTilgStart,18)&gt;0,$E8372&lt;INDEX(DarlTilgStart,18))),0,MIN(MAX(0,$K8372-$L8372),$J8372)))</f>
      </c>
      <c r="N8372" s="43">
        <f>IF($I8372=0,0,MIN(SUMIFS(SondBetrag,SondDarl,18,SondDatum,"&gt;="&amp;$E8372,SondDatum,"&lt;="&amp;EOMONTH($E8372,0)),$J8372-$M8372))</f>
      </c>
      <c r="O8372" s="43">
        <f>IF($I8372=0,0,INDEX(DarlErsatzRate,18))</f>
      </c>
      <c r="P8372" s="43">
        <f>IF($I8372=0,0,$Q8371*INDEX(DarlErsatzZins,18))</f>
      </c>
      <c r="Q8372" s="43">
        <f>IF($I8372=0,0,$Q8371+$P8372+$O8372)</f>
      </c>
      <c r="R8372" s="43">
        <f>IF($I8372=0,0,$J8372-$M8372-$N8372)</f>
      </c>
    </row>
    <row r="8373">
      <c r="A8373"/>
      <c r="B8373">
        <v>18</v>
      </c>
      <c r="C8373" s="43">
        <f>INDEX(DarlObj,18)</f>
      </c>
      <c r="D8373">
        <v>210</v>
      </c>
      <c r="E8373" s="51">
        <f>IF(INDEX(DarlBelegt,18)=0,0,EOMONTH(INDEX(DarlAuszahlung,18),209)+1)</f>
      </c>
      <c r="F8373" s="43">
        <f>IF($E8373=0,0,YEAR($E8373))</f>
      </c>
      <c r="G8373" s="43">
        <f>IF(INDEX(DarlBindung,18)="",1,IF($E8373&lt;=INDEX(DarlBindung,18),1,0))</f>
      </c>
      <c r="H8373" s="43">
        <f>IF($G8373=1,INDEX(DarlSollzins,18),INDEX(DarlAnschluss,18))</f>
      </c>
      <c r="I8373" s="43">
        <f>IF(INDEX(DarlBelegt,18)=0,0,IF(INDEX(DarlOhneTilgung,18)=1,IF(INDEX(DarlBindung,18)="",1,$G8373),IF($J8373&gt;0.005,1,0)))</f>
      </c>
      <c r="J8373" s="43">
        <f>IF($I8372=0,0,$R8372)</f>
      </c>
      <c r="K8373" s="43">
        <f>IF($I8373=0,0,IF(INDEX(DarlOhneTilgung,18)=1,0,IF(AND(INDEX(DarlTilgStart,18)&gt;0,$E8373=INDEX(DarlTilgStart,18)),$J8373*($H8373+INDEX(DarlTilgung,18))/100/12,IF(AND($G8373=0,$G8372=1),MAX($K8372,$J8373*($H8373+1)/100/12),$K8372))))</f>
      </c>
      <c r="L8373" s="43">
        <f>IF($I8373=0,0,$J8373*$H8373/100/12)</f>
      </c>
      <c r="M8373" s="43">
        <f>IF($I8373=0,0,IF(OR(INDEX(DarlOhneTilgung,18)=1,AND(INDEX(DarlTilgStart,18)&gt;0,$E8373&lt;INDEX(DarlTilgStart,18))),0,MIN(MAX(0,$K8373-$L8373),$J8373)))</f>
      </c>
      <c r="N8373" s="43">
        <f>IF($I8373=0,0,MIN(SUMIFS(SondBetrag,SondDarl,18,SondDatum,"&gt;="&amp;$E8373,SondDatum,"&lt;="&amp;EOMONTH($E8373,0)),$J8373-$M8373))</f>
      </c>
      <c r="O8373" s="43">
        <f>IF($I8373=0,0,INDEX(DarlErsatzRate,18))</f>
      </c>
      <c r="P8373" s="43">
        <f>IF($I8373=0,0,$Q8372*INDEX(DarlErsatzZins,18))</f>
      </c>
      <c r="Q8373" s="43">
        <f>IF($I8373=0,0,$Q8372+$P8373+$O8373)</f>
      </c>
      <c r="R8373" s="43">
        <f>IF($I8373=0,0,$J8373-$M8373-$N8373)</f>
      </c>
    </row>
    <row r="8374">
      <c r="A8374"/>
      <c r="B8374">
        <v>18</v>
      </c>
      <c r="C8374" s="43">
        <f>INDEX(DarlObj,18)</f>
      </c>
      <c r="D8374">
        <v>211</v>
      </c>
      <c r="E8374" s="51">
        <f>IF(INDEX(DarlBelegt,18)=0,0,EOMONTH(INDEX(DarlAuszahlung,18),210)+1)</f>
      </c>
      <c r="F8374" s="43">
        <f>IF($E8374=0,0,YEAR($E8374))</f>
      </c>
      <c r="G8374" s="43">
        <f>IF(INDEX(DarlBindung,18)="",1,IF($E8374&lt;=INDEX(DarlBindung,18),1,0))</f>
      </c>
      <c r="H8374" s="43">
        <f>IF($G8374=1,INDEX(DarlSollzins,18),INDEX(DarlAnschluss,18))</f>
      </c>
      <c r="I8374" s="43">
        <f>IF(INDEX(DarlBelegt,18)=0,0,IF(INDEX(DarlOhneTilgung,18)=1,IF(INDEX(DarlBindung,18)="",1,$G8374),IF($J8374&gt;0.005,1,0)))</f>
      </c>
      <c r="J8374" s="43">
        <f>IF($I8373=0,0,$R8373)</f>
      </c>
      <c r="K8374" s="43">
        <f>IF($I8374=0,0,IF(INDEX(DarlOhneTilgung,18)=1,0,IF(AND(INDEX(DarlTilgStart,18)&gt;0,$E8374=INDEX(DarlTilgStart,18)),$J8374*($H8374+INDEX(DarlTilgung,18))/100/12,IF(AND($G8374=0,$G8373=1),MAX($K8373,$J8374*($H8374+1)/100/12),$K8373))))</f>
      </c>
      <c r="L8374" s="43">
        <f>IF($I8374=0,0,$J8374*$H8374/100/12)</f>
      </c>
      <c r="M8374" s="43">
        <f>IF($I8374=0,0,IF(OR(INDEX(DarlOhneTilgung,18)=1,AND(INDEX(DarlTilgStart,18)&gt;0,$E8374&lt;INDEX(DarlTilgStart,18))),0,MIN(MAX(0,$K8374-$L8374),$J8374)))</f>
      </c>
      <c r="N8374" s="43">
        <f>IF($I8374=0,0,MIN(SUMIFS(SondBetrag,SondDarl,18,SondDatum,"&gt;="&amp;$E8374,SondDatum,"&lt;="&amp;EOMONTH($E8374,0)),$J8374-$M8374))</f>
      </c>
      <c r="O8374" s="43">
        <f>IF($I8374=0,0,INDEX(DarlErsatzRate,18))</f>
      </c>
      <c r="P8374" s="43">
        <f>IF($I8374=0,0,$Q8373*INDEX(DarlErsatzZins,18))</f>
      </c>
      <c r="Q8374" s="43">
        <f>IF($I8374=0,0,$Q8373+$P8374+$O8374)</f>
      </c>
      <c r="R8374" s="43">
        <f>IF($I8374=0,0,$J8374-$M8374-$N8374)</f>
      </c>
    </row>
    <row r="8375">
      <c r="A8375"/>
      <c r="B8375">
        <v>18</v>
      </c>
      <c r="C8375" s="43">
        <f>INDEX(DarlObj,18)</f>
      </c>
      <c r="D8375">
        <v>212</v>
      </c>
      <c r="E8375" s="51">
        <f>IF(INDEX(DarlBelegt,18)=0,0,EOMONTH(INDEX(DarlAuszahlung,18),211)+1)</f>
      </c>
      <c r="F8375" s="43">
        <f>IF($E8375=0,0,YEAR($E8375))</f>
      </c>
      <c r="G8375" s="43">
        <f>IF(INDEX(DarlBindung,18)="",1,IF($E8375&lt;=INDEX(DarlBindung,18),1,0))</f>
      </c>
      <c r="H8375" s="43">
        <f>IF($G8375=1,INDEX(DarlSollzins,18),INDEX(DarlAnschluss,18))</f>
      </c>
      <c r="I8375" s="43">
        <f>IF(INDEX(DarlBelegt,18)=0,0,IF(INDEX(DarlOhneTilgung,18)=1,IF(INDEX(DarlBindung,18)="",1,$G8375),IF($J8375&gt;0.005,1,0)))</f>
      </c>
      <c r="J8375" s="43">
        <f>IF($I8374=0,0,$R8374)</f>
      </c>
      <c r="K8375" s="43">
        <f>IF($I8375=0,0,IF(INDEX(DarlOhneTilgung,18)=1,0,IF(AND(INDEX(DarlTilgStart,18)&gt;0,$E8375=INDEX(DarlTilgStart,18)),$J8375*($H8375+INDEX(DarlTilgung,18))/100/12,IF(AND($G8375=0,$G8374=1),MAX($K8374,$J8375*($H8375+1)/100/12),$K8374))))</f>
      </c>
      <c r="L8375" s="43">
        <f>IF($I8375=0,0,$J8375*$H8375/100/12)</f>
      </c>
      <c r="M8375" s="43">
        <f>IF($I8375=0,0,IF(OR(INDEX(DarlOhneTilgung,18)=1,AND(INDEX(DarlTilgStart,18)&gt;0,$E8375&lt;INDEX(DarlTilgStart,18))),0,MIN(MAX(0,$K8375-$L8375),$J8375)))</f>
      </c>
      <c r="N8375" s="43">
        <f>IF($I8375=0,0,MIN(SUMIFS(SondBetrag,SondDarl,18,SondDatum,"&gt;="&amp;$E8375,SondDatum,"&lt;="&amp;EOMONTH($E8375,0)),$J8375-$M8375))</f>
      </c>
      <c r="O8375" s="43">
        <f>IF($I8375=0,0,INDEX(DarlErsatzRate,18))</f>
      </c>
      <c r="P8375" s="43">
        <f>IF($I8375=0,0,$Q8374*INDEX(DarlErsatzZins,18))</f>
      </c>
      <c r="Q8375" s="43">
        <f>IF($I8375=0,0,$Q8374+$P8375+$O8375)</f>
      </c>
      <c r="R8375" s="43">
        <f>IF($I8375=0,0,$J8375-$M8375-$N8375)</f>
      </c>
    </row>
    <row r="8376">
      <c r="A8376"/>
      <c r="B8376">
        <v>18</v>
      </c>
      <c r="C8376" s="43">
        <f>INDEX(DarlObj,18)</f>
      </c>
      <c r="D8376">
        <v>213</v>
      </c>
      <c r="E8376" s="51">
        <f>IF(INDEX(DarlBelegt,18)=0,0,EOMONTH(INDEX(DarlAuszahlung,18),212)+1)</f>
      </c>
      <c r="F8376" s="43">
        <f>IF($E8376=0,0,YEAR($E8376))</f>
      </c>
      <c r="G8376" s="43">
        <f>IF(INDEX(DarlBindung,18)="",1,IF($E8376&lt;=INDEX(DarlBindung,18),1,0))</f>
      </c>
      <c r="H8376" s="43">
        <f>IF($G8376=1,INDEX(DarlSollzins,18),INDEX(DarlAnschluss,18))</f>
      </c>
      <c r="I8376" s="43">
        <f>IF(INDEX(DarlBelegt,18)=0,0,IF(INDEX(DarlOhneTilgung,18)=1,IF(INDEX(DarlBindung,18)="",1,$G8376),IF($J8376&gt;0.005,1,0)))</f>
      </c>
      <c r="J8376" s="43">
        <f>IF($I8375=0,0,$R8375)</f>
      </c>
      <c r="K8376" s="43">
        <f>IF($I8376=0,0,IF(INDEX(DarlOhneTilgung,18)=1,0,IF(AND(INDEX(DarlTilgStart,18)&gt;0,$E8376=INDEX(DarlTilgStart,18)),$J8376*($H8376+INDEX(DarlTilgung,18))/100/12,IF(AND($G8376=0,$G8375=1),MAX($K8375,$J8376*($H8376+1)/100/12),$K8375))))</f>
      </c>
      <c r="L8376" s="43">
        <f>IF($I8376=0,0,$J8376*$H8376/100/12)</f>
      </c>
      <c r="M8376" s="43">
        <f>IF($I8376=0,0,IF(OR(INDEX(DarlOhneTilgung,18)=1,AND(INDEX(DarlTilgStart,18)&gt;0,$E8376&lt;INDEX(DarlTilgStart,18))),0,MIN(MAX(0,$K8376-$L8376),$J8376)))</f>
      </c>
      <c r="N8376" s="43">
        <f>IF($I8376=0,0,MIN(SUMIFS(SondBetrag,SondDarl,18,SondDatum,"&gt;="&amp;$E8376,SondDatum,"&lt;="&amp;EOMONTH($E8376,0)),$J8376-$M8376))</f>
      </c>
      <c r="O8376" s="43">
        <f>IF($I8376=0,0,INDEX(DarlErsatzRate,18))</f>
      </c>
      <c r="P8376" s="43">
        <f>IF($I8376=0,0,$Q8375*INDEX(DarlErsatzZins,18))</f>
      </c>
      <c r="Q8376" s="43">
        <f>IF($I8376=0,0,$Q8375+$P8376+$O8376)</f>
      </c>
      <c r="R8376" s="43">
        <f>IF($I8376=0,0,$J8376-$M8376-$N8376)</f>
      </c>
    </row>
    <row r="8377">
      <c r="A8377"/>
      <c r="B8377">
        <v>18</v>
      </c>
      <c r="C8377" s="43">
        <f>INDEX(DarlObj,18)</f>
      </c>
      <c r="D8377">
        <v>214</v>
      </c>
      <c r="E8377" s="51">
        <f>IF(INDEX(DarlBelegt,18)=0,0,EOMONTH(INDEX(DarlAuszahlung,18),213)+1)</f>
      </c>
      <c r="F8377" s="43">
        <f>IF($E8377=0,0,YEAR($E8377))</f>
      </c>
      <c r="G8377" s="43">
        <f>IF(INDEX(DarlBindung,18)="",1,IF($E8377&lt;=INDEX(DarlBindung,18),1,0))</f>
      </c>
      <c r="H8377" s="43">
        <f>IF($G8377=1,INDEX(DarlSollzins,18),INDEX(DarlAnschluss,18))</f>
      </c>
      <c r="I8377" s="43">
        <f>IF(INDEX(DarlBelegt,18)=0,0,IF(INDEX(DarlOhneTilgung,18)=1,IF(INDEX(DarlBindung,18)="",1,$G8377),IF($J8377&gt;0.005,1,0)))</f>
      </c>
      <c r="J8377" s="43">
        <f>IF($I8376=0,0,$R8376)</f>
      </c>
      <c r="K8377" s="43">
        <f>IF($I8377=0,0,IF(INDEX(DarlOhneTilgung,18)=1,0,IF(AND(INDEX(DarlTilgStart,18)&gt;0,$E8377=INDEX(DarlTilgStart,18)),$J8377*($H8377+INDEX(DarlTilgung,18))/100/12,IF(AND($G8377=0,$G8376=1),MAX($K8376,$J8377*($H8377+1)/100/12),$K8376))))</f>
      </c>
      <c r="L8377" s="43">
        <f>IF($I8377=0,0,$J8377*$H8377/100/12)</f>
      </c>
      <c r="M8377" s="43">
        <f>IF($I8377=0,0,IF(OR(INDEX(DarlOhneTilgung,18)=1,AND(INDEX(DarlTilgStart,18)&gt;0,$E8377&lt;INDEX(DarlTilgStart,18))),0,MIN(MAX(0,$K8377-$L8377),$J8377)))</f>
      </c>
      <c r="N8377" s="43">
        <f>IF($I8377=0,0,MIN(SUMIFS(SondBetrag,SondDarl,18,SondDatum,"&gt;="&amp;$E8377,SondDatum,"&lt;="&amp;EOMONTH($E8377,0)),$J8377-$M8377))</f>
      </c>
      <c r="O8377" s="43">
        <f>IF($I8377=0,0,INDEX(DarlErsatzRate,18))</f>
      </c>
      <c r="P8377" s="43">
        <f>IF($I8377=0,0,$Q8376*INDEX(DarlErsatzZins,18))</f>
      </c>
      <c r="Q8377" s="43">
        <f>IF($I8377=0,0,$Q8376+$P8377+$O8377)</f>
      </c>
      <c r="R8377" s="43">
        <f>IF($I8377=0,0,$J8377-$M8377-$N8377)</f>
      </c>
    </row>
    <row r="8378">
      <c r="A8378"/>
      <c r="B8378">
        <v>18</v>
      </c>
      <c r="C8378" s="43">
        <f>INDEX(DarlObj,18)</f>
      </c>
      <c r="D8378">
        <v>215</v>
      </c>
      <c r="E8378" s="51">
        <f>IF(INDEX(DarlBelegt,18)=0,0,EOMONTH(INDEX(DarlAuszahlung,18),214)+1)</f>
      </c>
      <c r="F8378" s="43">
        <f>IF($E8378=0,0,YEAR($E8378))</f>
      </c>
      <c r="G8378" s="43">
        <f>IF(INDEX(DarlBindung,18)="",1,IF($E8378&lt;=INDEX(DarlBindung,18),1,0))</f>
      </c>
      <c r="H8378" s="43">
        <f>IF($G8378=1,INDEX(DarlSollzins,18),INDEX(DarlAnschluss,18))</f>
      </c>
      <c r="I8378" s="43">
        <f>IF(INDEX(DarlBelegt,18)=0,0,IF(INDEX(DarlOhneTilgung,18)=1,IF(INDEX(DarlBindung,18)="",1,$G8378),IF($J8378&gt;0.005,1,0)))</f>
      </c>
      <c r="J8378" s="43">
        <f>IF($I8377=0,0,$R8377)</f>
      </c>
      <c r="K8378" s="43">
        <f>IF($I8378=0,0,IF(INDEX(DarlOhneTilgung,18)=1,0,IF(AND(INDEX(DarlTilgStart,18)&gt;0,$E8378=INDEX(DarlTilgStart,18)),$J8378*($H8378+INDEX(DarlTilgung,18))/100/12,IF(AND($G8378=0,$G8377=1),MAX($K8377,$J8378*($H8378+1)/100/12),$K8377))))</f>
      </c>
      <c r="L8378" s="43">
        <f>IF($I8378=0,0,$J8378*$H8378/100/12)</f>
      </c>
      <c r="M8378" s="43">
        <f>IF($I8378=0,0,IF(OR(INDEX(DarlOhneTilgung,18)=1,AND(INDEX(DarlTilgStart,18)&gt;0,$E8378&lt;INDEX(DarlTilgStart,18))),0,MIN(MAX(0,$K8378-$L8378),$J8378)))</f>
      </c>
      <c r="N8378" s="43">
        <f>IF($I8378=0,0,MIN(SUMIFS(SondBetrag,SondDarl,18,SondDatum,"&gt;="&amp;$E8378,SondDatum,"&lt;="&amp;EOMONTH($E8378,0)),$J8378-$M8378))</f>
      </c>
      <c r="O8378" s="43">
        <f>IF($I8378=0,0,INDEX(DarlErsatzRate,18))</f>
      </c>
      <c r="P8378" s="43">
        <f>IF($I8378=0,0,$Q8377*INDEX(DarlErsatzZins,18))</f>
      </c>
      <c r="Q8378" s="43">
        <f>IF($I8378=0,0,$Q8377+$P8378+$O8378)</f>
      </c>
      <c r="R8378" s="43">
        <f>IF($I8378=0,0,$J8378-$M8378-$N8378)</f>
      </c>
    </row>
    <row r="8379">
      <c r="A8379"/>
      <c r="B8379">
        <v>18</v>
      </c>
      <c r="C8379" s="43">
        <f>INDEX(DarlObj,18)</f>
      </c>
      <c r="D8379">
        <v>216</v>
      </c>
      <c r="E8379" s="51">
        <f>IF(INDEX(DarlBelegt,18)=0,0,EOMONTH(INDEX(DarlAuszahlung,18),215)+1)</f>
      </c>
      <c r="F8379" s="43">
        <f>IF($E8379=0,0,YEAR($E8379))</f>
      </c>
      <c r="G8379" s="43">
        <f>IF(INDEX(DarlBindung,18)="",1,IF($E8379&lt;=INDEX(DarlBindung,18),1,0))</f>
      </c>
      <c r="H8379" s="43">
        <f>IF($G8379=1,INDEX(DarlSollzins,18),INDEX(DarlAnschluss,18))</f>
      </c>
      <c r="I8379" s="43">
        <f>IF(INDEX(DarlBelegt,18)=0,0,IF(INDEX(DarlOhneTilgung,18)=1,IF(INDEX(DarlBindung,18)="",1,$G8379),IF($J8379&gt;0.005,1,0)))</f>
      </c>
      <c r="J8379" s="43">
        <f>IF($I8378=0,0,$R8378)</f>
      </c>
      <c r="K8379" s="43">
        <f>IF($I8379=0,0,IF(INDEX(DarlOhneTilgung,18)=1,0,IF(AND(INDEX(DarlTilgStart,18)&gt;0,$E8379=INDEX(DarlTilgStart,18)),$J8379*($H8379+INDEX(DarlTilgung,18))/100/12,IF(AND($G8379=0,$G8378=1),MAX($K8378,$J8379*($H8379+1)/100/12),$K8378))))</f>
      </c>
      <c r="L8379" s="43">
        <f>IF($I8379=0,0,$J8379*$H8379/100/12)</f>
      </c>
      <c r="M8379" s="43">
        <f>IF($I8379=0,0,IF(OR(INDEX(DarlOhneTilgung,18)=1,AND(INDEX(DarlTilgStart,18)&gt;0,$E8379&lt;INDEX(DarlTilgStart,18))),0,MIN(MAX(0,$K8379-$L8379),$J8379)))</f>
      </c>
      <c r="N8379" s="43">
        <f>IF($I8379=0,0,MIN(SUMIFS(SondBetrag,SondDarl,18,SondDatum,"&gt;="&amp;$E8379,SondDatum,"&lt;="&amp;EOMONTH($E8379,0)),$J8379-$M8379))</f>
      </c>
      <c r="O8379" s="43">
        <f>IF($I8379=0,0,INDEX(DarlErsatzRate,18))</f>
      </c>
      <c r="P8379" s="43">
        <f>IF($I8379=0,0,$Q8378*INDEX(DarlErsatzZins,18))</f>
      </c>
      <c r="Q8379" s="43">
        <f>IF($I8379=0,0,$Q8378+$P8379+$O8379)</f>
      </c>
      <c r="R8379" s="43">
        <f>IF($I8379=0,0,$J8379-$M8379-$N8379)</f>
      </c>
    </row>
    <row r="8380">
      <c r="A8380"/>
      <c r="B8380">
        <v>18</v>
      </c>
      <c r="C8380" s="43">
        <f>INDEX(DarlObj,18)</f>
      </c>
      <c r="D8380">
        <v>217</v>
      </c>
      <c r="E8380" s="51">
        <f>IF(INDEX(DarlBelegt,18)=0,0,EOMONTH(INDEX(DarlAuszahlung,18),216)+1)</f>
      </c>
      <c r="F8380" s="43">
        <f>IF($E8380=0,0,YEAR($E8380))</f>
      </c>
      <c r="G8380" s="43">
        <f>IF(INDEX(DarlBindung,18)="",1,IF($E8380&lt;=INDEX(DarlBindung,18),1,0))</f>
      </c>
      <c r="H8380" s="43">
        <f>IF($G8380=1,INDEX(DarlSollzins,18),INDEX(DarlAnschluss,18))</f>
      </c>
      <c r="I8380" s="43">
        <f>IF(INDEX(DarlBelegt,18)=0,0,IF(INDEX(DarlOhneTilgung,18)=1,IF(INDEX(DarlBindung,18)="",1,$G8380),IF($J8380&gt;0.005,1,0)))</f>
      </c>
      <c r="J8380" s="43">
        <f>IF($I8379=0,0,$R8379)</f>
      </c>
      <c r="K8380" s="43">
        <f>IF($I8380=0,0,IF(INDEX(DarlOhneTilgung,18)=1,0,IF(AND(INDEX(DarlTilgStart,18)&gt;0,$E8380=INDEX(DarlTilgStart,18)),$J8380*($H8380+INDEX(DarlTilgung,18))/100/12,IF(AND($G8380=0,$G8379=1),MAX($K8379,$J8380*($H8380+1)/100/12),$K8379))))</f>
      </c>
      <c r="L8380" s="43">
        <f>IF($I8380=0,0,$J8380*$H8380/100/12)</f>
      </c>
      <c r="M8380" s="43">
        <f>IF($I8380=0,0,IF(OR(INDEX(DarlOhneTilgung,18)=1,AND(INDEX(DarlTilgStart,18)&gt;0,$E8380&lt;INDEX(DarlTilgStart,18))),0,MIN(MAX(0,$K8380-$L8380),$J8380)))</f>
      </c>
      <c r="N8380" s="43">
        <f>IF($I8380=0,0,MIN(SUMIFS(SondBetrag,SondDarl,18,SondDatum,"&gt;="&amp;$E8380,SondDatum,"&lt;="&amp;EOMONTH($E8380,0)),$J8380-$M8380))</f>
      </c>
      <c r="O8380" s="43">
        <f>IF($I8380=0,0,INDEX(DarlErsatzRate,18))</f>
      </c>
      <c r="P8380" s="43">
        <f>IF($I8380=0,0,$Q8379*INDEX(DarlErsatzZins,18))</f>
      </c>
      <c r="Q8380" s="43">
        <f>IF($I8380=0,0,$Q8379+$P8380+$O8380)</f>
      </c>
      <c r="R8380" s="43">
        <f>IF($I8380=0,0,$J8380-$M8380-$N8380)</f>
      </c>
    </row>
    <row r="8381">
      <c r="A8381"/>
      <c r="B8381">
        <v>18</v>
      </c>
      <c r="C8381" s="43">
        <f>INDEX(DarlObj,18)</f>
      </c>
      <c r="D8381">
        <v>218</v>
      </c>
      <c r="E8381" s="51">
        <f>IF(INDEX(DarlBelegt,18)=0,0,EOMONTH(INDEX(DarlAuszahlung,18),217)+1)</f>
      </c>
      <c r="F8381" s="43">
        <f>IF($E8381=0,0,YEAR($E8381))</f>
      </c>
      <c r="G8381" s="43">
        <f>IF(INDEX(DarlBindung,18)="",1,IF($E8381&lt;=INDEX(DarlBindung,18),1,0))</f>
      </c>
      <c r="H8381" s="43">
        <f>IF($G8381=1,INDEX(DarlSollzins,18),INDEX(DarlAnschluss,18))</f>
      </c>
      <c r="I8381" s="43">
        <f>IF(INDEX(DarlBelegt,18)=0,0,IF(INDEX(DarlOhneTilgung,18)=1,IF(INDEX(DarlBindung,18)="",1,$G8381),IF($J8381&gt;0.005,1,0)))</f>
      </c>
      <c r="J8381" s="43">
        <f>IF($I8380=0,0,$R8380)</f>
      </c>
      <c r="K8381" s="43">
        <f>IF($I8381=0,0,IF(INDEX(DarlOhneTilgung,18)=1,0,IF(AND(INDEX(DarlTilgStart,18)&gt;0,$E8381=INDEX(DarlTilgStart,18)),$J8381*($H8381+INDEX(DarlTilgung,18))/100/12,IF(AND($G8381=0,$G8380=1),MAX($K8380,$J8381*($H8381+1)/100/12),$K8380))))</f>
      </c>
      <c r="L8381" s="43">
        <f>IF($I8381=0,0,$J8381*$H8381/100/12)</f>
      </c>
      <c r="M8381" s="43">
        <f>IF($I8381=0,0,IF(OR(INDEX(DarlOhneTilgung,18)=1,AND(INDEX(DarlTilgStart,18)&gt;0,$E8381&lt;INDEX(DarlTilgStart,18))),0,MIN(MAX(0,$K8381-$L8381),$J8381)))</f>
      </c>
      <c r="N8381" s="43">
        <f>IF($I8381=0,0,MIN(SUMIFS(SondBetrag,SondDarl,18,SondDatum,"&gt;="&amp;$E8381,SondDatum,"&lt;="&amp;EOMONTH($E8381,0)),$J8381-$M8381))</f>
      </c>
      <c r="O8381" s="43">
        <f>IF($I8381=0,0,INDEX(DarlErsatzRate,18))</f>
      </c>
      <c r="P8381" s="43">
        <f>IF($I8381=0,0,$Q8380*INDEX(DarlErsatzZins,18))</f>
      </c>
      <c r="Q8381" s="43">
        <f>IF($I8381=0,0,$Q8380+$P8381+$O8381)</f>
      </c>
      <c r="R8381" s="43">
        <f>IF($I8381=0,0,$J8381-$M8381-$N8381)</f>
      </c>
    </row>
    <row r="8382">
      <c r="A8382"/>
      <c r="B8382">
        <v>18</v>
      </c>
      <c r="C8382" s="43">
        <f>INDEX(DarlObj,18)</f>
      </c>
      <c r="D8382">
        <v>219</v>
      </c>
      <c r="E8382" s="51">
        <f>IF(INDEX(DarlBelegt,18)=0,0,EOMONTH(INDEX(DarlAuszahlung,18),218)+1)</f>
      </c>
      <c r="F8382" s="43">
        <f>IF($E8382=0,0,YEAR($E8382))</f>
      </c>
      <c r="G8382" s="43">
        <f>IF(INDEX(DarlBindung,18)="",1,IF($E8382&lt;=INDEX(DarlBindung,18),1,0))</f>
      </c>
      <c r="H8382" s="43">
        <f>IF($G8382=1,INDEX(DarlSollzins,18),INDEX(DarlAnschluss,18))</f>
      </c>
      <c r="I8382" s="43">
        <f>IF(INDEX(DarlBelegt,18)=0,0,IF(INDEX(DarlOhneTilgung,18)=1,IF(INDEX(DarlBindung,18)="",1,$G8382),IF($J8382&gt;0.005,1,0)))</f>
      </c>
      <c r="J8382" s="43">
        <f>IF($I8381=0,0,$R8381)</f>
      </c>
      <c r="K8382" s="43">
        <f>IF($I8382=0,0,IF(INDEX(DarlOhneTilgung,18)=1,0,IF(AND(INDEX(DarlTilgStart,18)&gt;0,$E8382=INDEX(DarlTilgStart,18)),$J8382*($H8382+INDEX(DarlTilgung,18))/100/12,IF(AND($G8382=0,$G8381=1),MAX($K8381,$J8382*($H8382+1)/100/12),$K8381))))</f>
      </c>
      <c r="L8382" s="43">
        <f>IF($I8382=0,0,$J8382*$H8382/100/12)</f>
      </c>
      <c r="M8382" s="43">
        <f>IF($I8382=0,0,IF(OR(INDEX(DarlOhneTilgung,18)=1,AND(INDEX(DarlTilgStart,18)&gt;0,$E8382&lt;INDEX(DarlTilgStart,18))),0,MIN(MAX(0,$K8382-$L8382),$J8382)))</f>
      </c>
      <c r="N8382" s="43">
        <f>IF($I8382=0,0,MIN(SUMIFS(SondBetrag,SondDarl,18,SondDatum,"&gt;="&amp;$E8382,SondDatum,"&lt;="&amp;EOMONTH($E8382,0)),$J8382-$M8382))</f>
      </c>
      <c r="O8382" s="43">
        <f>IF($I8382=0,0,INDEX(DarlErsatzRate,18))</f>
      </c>
      <c r="P8382" s="43">
        <f>IF($I8382=0,0,$Q8381*INDEX(DarlErsatzZins,18))</f>
      </c>
      <c r="Q8382" s="43">
        <f>IF($I8382=0,0,$Q8381+$P8382+$O8382)</f>
      </c>
      <c r="R8382" s="43">
        <f>IF($I8382=0,0,$J8382-$M8382-$N8382)</f>
      </c>
    </row>
    <row r="8383">
      <c r="A8383"/>
      <c r="B8383">
        <v>18</v>
      </c>
      <c r="C8383" s="43">
        <f>INDEX(DarlObj,18)</f>
      </c>
      <c r="D8383">
        <v>220</v>
      </c>
      <c r="E8383" s="51">
        <f>IF(INDEX(DarlBelegt,18)=0,0,EOMONTH(INDEX(DarlAuszahlung,18),219)+1)</f>
      </c>
      <c r="F8383" s="43">
        <f>IF($E8383=0,0,YEAR($E8383))</f>
      </c>
      <c r="G8383" s="43">
        <f>IF(INDEX(DarlBindung,18)="",1,IF($E8383&lt;=INDEX(DarlBindung,18),1,0))</f>
      </c>
      <c r="H8383" s="43">
        <f>IF($G8383=1,INDEX(DarlSollzins,18),INDEX(DarlAnschluss,18))</f>
      </c>
      <c r="I8383" s="43">
        <f>IF(INDEX(DarlBelegt,18)=0,0,IF(INDEX(DarlOhneTilgung,18)=1,IF(INDEX(DarlBindung,18)="",1,$G8383),IF($J8383&gt;0.005,1,0)))</f>
      </c>
      <c r="J8383" s="43">
        <f>IF($I8382=0,0,$R8382)</f>
      </c>
      <c r="K8383" s="43">
        <f>IF($I8383=0,0,IF(INDEX(DarlOhneTilgung,18)=1,0,IF(AND(INDEX(DarlTilgStart,18)&gt;0,$E8383=INDEX(DarlTilgStart,18)),$J8383*($H8383+INDEX(DarlTilgung,18))/100/12,IF(AND($G8383=0,$G8382=1),MAX($K8382,$J8383*($H8383+1)/100/12),$K8382))))</f>
      </c>
      <c r="L8383" s="43">
        <f>IF($I8383=0,0,$J8383*$H8383/100/12)</f>
      </c>
      <c r="M8383" s="43">
        <f>IF($I8383=0,0,IF(OR(INDEX(DarlOhneTilgung,18)=1,AND(INDEX(DarlTilgStart,18)&gt;0,$E8383&lt;INDEX(DarlTilgStart,18))),0,MIN(MAX(0,$K8383-$L8383),$J8383)))</f>
      </c>
      <c r="N8383" s="43">
        <f>IF($I8383=0,0,MIN(SUMIFS(SondBetrag,SondDarl,18,SondDatum,"&gt;="&amp;$E8383,SondDatum,"&lt;="&amp;EOMONTH($E8383,0)),$J8383-$M8383))</f>
      </c>
      <c r="O8383" s="43">
        <f>IF($I8383=0,0,INDEX(DarlErsatzRate,18))</f>
      </c>
      <c r="P8383" s="43">
        <f>IF($I8383=0,0,$Q8382*INDEX(DarlErsatzZins,18))</f>
      </c>
      <c r="Q8383" s="43">
        <f>IF($I8383=0,0,$Q8382+$P8383+$O8383)</f>
      </c>
      <c r="R8383" s="43">
        <f>IF($I8383=0,0,$J8383-$M8383-$N8383)</f>
      </c>
    </row>
    <row r="8384">
      <c r="A8384"/>
      <c r="B8384">
        <v>18</v>
      </c>
      <c r="C8384" s="43">
        <f>INDEX(DarlObj,18)</f>
      </c>
      <c r="D8384">
        <v>221</v>
      </c>
      <c r="E8384" s="51">
        <f>IF(INDEX(DarlBelegt,18)=0,0,EOMONTH(INDEX(DarlAuszahlung,18),220)+1)</f>
      </c>
      <c r="F8384" s="43">
        <f>IF($E8384=0,0,YEAR($E8384))</f>
      </c>
      <c r="G8384" s="43">
        <f>IF(INDEX(DarlBindung,18)="",1,IF($E8384&lt;=INDEX(DarlBindung,18),1,0))</f>
      </c>
      <c r="H8384" s="43">
        <f>IF($G8384=1,INDEX(DarlSollzins,18),INDEX(DarlAnschluss,18))</f>
      </c>
      <c r="I8384" s="43">
        <f>IF(INDEX(DarlBelegt,18)=0,0,IF(INDEX(DarlOhneTilgung,18)=1,IF(INDEX(DarlBindung,18)="",1,$G8384),IF($J8384&gt;0.005,1,0)))</f>
      </c>
      <c r="J8384" s="43">
        <f>IF($I8383=0,0,$R8383)</f>
      </c>
      <c r="K8384" s="43">
        <f>IF($I8384=0,0,IF(INDEX(DarlOhneTilgung,18)=1,0,IF(AND(INDEX(DarlTilgStart,18)&gt;0,$E8384=INDEX(DarlTilgStart,18)),$J8384*($H8384+INDEX(DarlTilgung,18))/100/12,IF(AND($G8384=0,$G8383=1),MAX($K8383,$J8384*($H8384+1)/100/12),$K8383))))</f>
      </c>
      <c r="L8384" s="43">
        <f>IF($I8384=0,0,$J8384*$H8384/100/12)</f>
      </c>
      <c r="M8384" s="43">
        <f>IF($I8384=0,0,IF(OR(INDEX(DarlOhneTilgung,18)=1,AND(INDEX(DarlTilgStart,18)&gt;0,$E8384&lt;INDEX(DarlTilgStart,18))),0,MIN(MAX(0,$K8384-$L8384),$J8384)))</f>
      </c>
      <c r="N8384" s="43">
        <f>IF($I8384=0,0,MIN(SUMIFS(SondBetrag,SondDarl,18,SondDatum,"&gt;="&amp;$E8384,SondDatum,"&lt;="&amp;EOMONTH($E8384,0)),$J8384-$M8384))</f>
      </c>
      <c r="O8384" s="43">
        <f>IF($I8384=0,0,INDEX(DarlErsatzRate,18))</f>
      </c>
      <c r="P8384" s="43">
        <f>IF($I8384=0,0,$Q8383*INDEX(DarlErsatzZins,18))</f>
      </c>
      <c r="Q8384" s="43">
        <f>IF($I8384=0,0,$Q8383+$P8384+$O8384)</f>
      </c>
      <c r="R8384" s="43">
        <f>IF($I8384=0,0,$J8384-$M8384-$N8384)</f>
      </c>
    </row>
    <row r="8385">
      <c r="A8385"/>
      <c r="B8385">
        <v>18</v>
      </c>
      <c r="C8385" s="43">
        <f>INDEX(DarlObj,18)</f>
      </c>
      <c r="D8385">
        <v>222</v>
      </c>
      <c r="E8385" s="51">
        <f>IF(INDEX(DarlBelegt,18)=0,0,EOMONTH(INDEX(DarlAuszahlung,18),221)+1)</f>
      </c>
      <c r="F8385" s="43">
        <f>IF($E8385=0,0,YEAR($E8385))</f>
      </c>
      <c r="G8385" s="43">
        <f>IF(INDEX(DarlBindung,18)="",1,IF($E8385&lt;=INDEX(DarlBindung,18),1,0))</f>
      </c>
      <c r="H8385" s="43">
        <f>IF($G8385=1,INDEX(DarlSollzins,18),INDEX(DarlAnschluss,18))</f>
      </c>
      <c r="I8385" s="43">
        <f>IF(INDEX(DarlBelegt,18)=0,0,IF(INDEX(DarlOhneTilgung,18)=1,IF(INDEX(DarlBindung,18)="",1,$G8385),IF($J8385&gt;0.005,1,0)))</f>
      </c>
      <c r="J8385" s="43">
        <f>IF($I8384=0,0,$R8384)</f>
      </c>
      <c r="K8385" s="43">
        <f>IF($I8385=0,0,IF(INDEX(DarlOhneTilgung,18)=1,0,IF(AND(INDEX(DarlTilgStart,18)&gt;0,$E8385=INDEX(DarlTilgStart,18)),$J8385*($H8385+INDEX(DarlTilgung,18))/100/12,IF(AND($G8385=0,$G8384=1),MAX($K8384,$J8385*($H8385+1)/100/12),$K8384))))</f>
      </c>
      <c r="L8385" s="43">
        <f>IF($I8385=0,0,$J8385*$H8385/100/12)</f>
      </c>
      <c r="M8385" s="43">
        <f>IF($I8385=0,0,IF(OR(INDEX(DarlOhneTilgung,18)=1,AND(INDEX(DarlTilgStart,18)&gt;0,$E8385&lt;INDEX(DarlTilgStart,18))),0,MIN(MAX(0,$K8385-$L8385),$J8385)))</f>
      </c>
      <c r="N8385" s="43">
        <f>IF($I8385=0,0,MIN(SUMIFS(SondBetrag,SondDarl,18,SondDatum,"&gt;="&amp;$E8385,SondDatum,"&lt;="&amp;EOMONTH($E8385,0)),$J8385-$M8385))</f>
      </c>
      <c r="O8385" s="43">
        <f>IF($I8385=0,0,INDEX(DarlErsatzRate,18))</f>
      </c>
      <c r="P8385" s="43">
        <f>IF($I8385=0,0,$Q8384*INDEX(DarlErsatzZins,18))</f>
      </c>
      <c r="Q8385" s="43">
        <f>IF($I8385=0,0,$Q8384+$P8385+$O8385)</f>
      </c>
      <c r="R8385" s="43">
        <f>IF($I8385=0,0,$J8385-$M8385-$N8385)</f>
      </c>
    </row>
    <row r="8386">
      <c r="A8386"/>
      <c r="B8386">
        <v>18</v>
      </c>
      <c r="C8386" s="43">
        <f>INDEX(DarlObj,18)</f>
      </c>
      <c r="D8386">
        <v>223</v>
      </c>
      <c r="E8386" s="51">
        <f>IF(INDEX(DarlBelegt,18)=0,0,EOMONTH(INDEX(DarlAuszahlung,18),222)+1)</f>
      </c>
      <c r="F8386" s="43">
        <f>IF($E8386=0,0,YEAR($E8386))</f>
      </c>
      <c r="G8386" s="43">
        <f>IF(INDEX(DarlBindung,18)="",1,IF($E8386&lt;=INDEX(DarlBindung,18),1,0))</f>
      </c>
      <c r="H8386" s="43">
        <f>IF($G8386=1,INDEX(DarlSollzins,18),INDEX(DarlAnschluss,18))</f>
      </c>
      <c r="I8386" s="43">
        <f>IF(INDEX(DarlBelegt,18)=0,0,IF(INDEX(DarlOhneTilgung,18)=1,IF(INDEX(DarlBindung,18)="",1,$G8386),IF($J8386&gt;0.005,1,0)))</f>
      </c>
      <c r="J8386" s="43">
        <f>IF($I8385=0,0,$R8385)</f>
      </c>
      <c r="K8386" s="43">
        <f>IF($I8386=0,0,IF(INDEX(DarlOhneTilgung,18)=1,0,IF(AND(INDEX(DarlTilgStart,18)&gt;0,$E8386=INDEX(DarlTilgStart,18)),$J8386*($H8386+INDEX(DarlTilgung,18))/100/12,IF(AND($G8386=0,$G8385=1),MAX($K8385,$J8386*($H8386+1)/100/12),$K8385))))</f>
      </c>
      <c r="L8386" s="43">
        <f>IF($I8386=0,0,$J8386*$H8386/100/12)</f>
      </c>
      <c r="M8386" s="43">
        <f>IF($I8386=0,0,IF(OR(INDEX(DarlOhneTilgung,18)=1,AND(INDEX(DarlTilgStart,18)&gt;0,$E8386&lt;INDEX(DarlTilgStart,18))),0,MIN(MAX(0,$K8386-$L8386),$J8386)))</f>
      </c>
      <c r="N8386" s="43">
        <f>IF($I8386=0,0,MIN(SUMIFS(SondBetrag,SondDarl,18,SondDatum,"&gt;="&amp;$E8386,SondDatum,"&lt;="&amp;EOMONTH($E8386,0)),$J8386-$M8386))</f>
      </c>
      <c r="O8386" s="43">
        <f>IF($I8386=0,0,INDEX(DarlErsatzRate,18))</f>
      </c>
      <c r="P8386" s="43">
        <f>IF($I8386=0,0,$Q8385*INDEX(DarlErsatzZins,18))</f>
      </c>
      <c r="Q8386" s="43">
        <f>IF($I8386=0,0,$Q8385+$P8386+$O8386)</f>
      </c>
      <c r="R8386" s="43">
        <f>IF($I8386=0,0,$J8386-$M8386-$N8386)</f>
      </c>
    </row>
    <row r="8387">
      <c r="A8387"/>
      <c r="B8387">
        <v>18</v>
      </c>
      <c r="C8387" s="43">
        <f>INDEX(DarlObj,18)</f>
      </c>
      <c r="D8387">
        <v>224</v>
      </c>
      <c r="E8387" s="51">
        <f>IF(INDEX(DarlBelegt,18)=0,0,EOMONTH(INDEX(DarlAuszahlung,18),223)+1)</f>
      </c>
      <c r="F8387" s="43">
        <f>IF($E8387=0,0,YEAR($E8387))</f>
      </c>
      <c r="G8387" s="43">
        <f>IF(INDEX(DarlBindung,18)="",1,IF($E8387&lt;=INDEX(DarlBindung,18),1,0))</f>
      </c>
      <c r="H8387" s="43">
        <f>IF($G8387=1,INDEX(DarlSollzins,18),INDEX(DarlAnschluss,18))</f>
      </c>
      <c r="I8387" s="43">
        <f>IF(INDEX(DarlBelegt,18)=0,0,IF(INDEX(DarlOhneTilgung,18)=1,IF(INDEX(DarlBindung,18)="",1,$G8387),IF($J8387&gt;0.005,1,0)))</f>
      </c>
      <c r="J8387" s="43">
        <f>IF($I8386=0,0,$R8386)</f>
      </c>
      <c r="K8387" s="43">
        <f>IF($I8387=0,0,IF(INDEX(DarlOhneTilgung,18)=1,0,IF(AND(INDEX(DarlTilgStart,18)&gt;0,$E8387=INDEX(DarlTilgStart,18)),$J8387*($H8387+INDEX(DarlTilgung,18))/100/12,IF(AND($G8387=0,$G8386=1),MAX($K8386,$J8387*($H8387+1)/100/12),$K8386))))</f>
      </c>
      <c r="L8387" s="43">
        <f>IF($I8387=0,0,$J8387*$H8387/100/12)</f>
      </c>
      <c r="M8387" s="43">
        <f>IF($I8387=0,0,IF(OR(INDEX(DarlOhneTilgung,18)=1,AND(INDEX(DarlTilgStart,18)&gt;0,$E8387&lt;INDEX(DarlTilgStart,18))),0,MIN(MAX(0,$K8387-$L8387),$J8387)))</f>
      </c>
      <c r="N8387" s="43">
        <f>IF($I8387=0,0,MIN(SUMIFS(SondBetrag,SondDarl,18,SondDatum,"&gt;="&amp;$E8387,SondDatum,"&lt;="&amp;EOMONTH($E8387,0)),$J8387-$M8387))</f>
      </c>
      <c r="O8387" s="43">
        <f>IF($I8387=0,0,INDEX(DarlErsatzRate,18))</f>
      </c>
      <c r="P8387" s="43">
        <f>IF($I8387=0,0,$Q8386*INDEX(DarlErsatzZins,18))</f>
      </c>
      <c r="Q8387" s="43">
        <f>IF($I8387=0,0,$Q8386+$P8387+$O8387)</f>
      </c>
      <c r="R8387" s="43">
        <f>IF($I8387=0,0,$J8387-$M8387-$N8387)</f>
      </c>
    </row>
    <row r="8388">
      <c r="A8388"/>
      <c r="B8388">
        <v>18</v>
      </c>
      <c r="C8388" s="43">
        <f>INDEX(DarlObj,18)</f>
      </c>
      <c r="D8388">
        <v>225</v>
      </c>
      <c r="E8388" s="51">
        <f>IF(INDEX(DarlBelegt,18)=0,0,EOMONTH(INDEX(DarlAuszahlung,18),224)+1)</f>
      </c>
      <c r="F8388" s="43">
        <f>IF($E8388=0,0,YEAR($E8388))</f>
      </c>
      <c r="G8388" s="43">
        <f>IF(INDEX(DarlBindung,18)="",1,IF($E8388&lt;=INDEX(DarlBindung,18),1,0))</f>
      </c>
      <c r="H8388" s="43">
        <f>IF($G8388=1,INDEX(DarlSollzins,18),INDEX(DarlAnschluss,18))</f>
      </c>
      <c r="I8388" s="43">
        <f>IF(INDEX(DarlBelegt,18)=0,0,IF(INDEX(DarlOhneTilgung,18)=1,IF(INDEX(DarlBindung,18)="",1,$G8388),IF($J8388&gt;0.005,1,0)))</f>
      </c>
      <c r="J8388" s="43">
        <f>IF($I8387=0,0,$R8387)</f>
      </c>
      <c r="K8388" s="43">
        <f>IF($I8388=0,0,IF(INDEX(DarlOhneTilgung,18)=1,0,IF(AND(INDEX(DarlTilgStart,18)&gt;0,$E8388=INDEX(DarlTilgStart,18)),$J8388*($H8388+INDEX(DarlTilgung,18))/100/12,IF(AND($G8388=0,$G8387=1),MAX($K8387,$J8388*($H8388+1)/100/12),$K8387))))</f>
      </c>
      <c r="L8388" s="43">
        <f>IF($I8388=0,0,$J8388*$H8388/100/12)</f>
      </c>
      <c r="M8388" s="43">
        <f>IF($I8388=0,0,IF(OR(INDEX(DarlOhneTilgung,18)=1,AND(INDEX(DarlTilgStart,18)&gt;0,$E8388&lt;INDEX(DarlTilgStart,18))),0,MIN(MAX(0,$K8388-$L8388),$J8388)))</f>
      </c>
      <c r="N8388" s="43">
        <f>IF($I8388=0,0,MIN(SUMIFS(SondBetrag,SondDarl,18,SondDatum,"&gt;="&amp;$E8388,SondDatum,"&lt;="&amp;EOMONTH($E8388,0)),$J8388-$M8388))</f>
      </c>
      <c r="O8388" s="43">
        <f>IF($I8388=0,0,INDEX(DarlErsatzRate,18))</f>
      </c>
      <c r="P8388" s="43">
        <f>IF($I8388=0,0,$Q8387*INDEX(DarlErsatzZins,18))</f>
      </c>
      <c r="Q8388" s="43">
        <f>IF($I8388=0,0,$Q8387+$P8388+$O8388)</f>
      </c>
      <c r="R8388" s="43">
        <f>IF($I8388=0,0,$J8388-$M8388-$N8388)</f>
      </c>
    </row>
    <row r="8389">
      <c r="A8389"/>
      <c r="B8389">
        <v>18</v>
      </c>
      <c r="C8389" s="43">
        <f>INDEX(DarlObj,18)</f>
      </c>
      <c r="D8389">
        <v>226</v>
      </c>
      <c r="E8389" s="51">
        <f>IF(INDEX(DarlBelegt,18)=0,0,EOMONTH(INDEX(DarlAuszahlung,18),225)+1)</f>
      </c>
      <c r="F8389" s="43">
        <f>IF($E8389=0,0,YEAR($E8389))</f>
      </c>
      <c r="G8389" s="43">
        <f>IF(INDEX(DarlBindung,18)="",1,IF($E8389&lt;=INDEX(DarlBindung,18),1,0))</f>
      </c>
      <c r="H8389" s="43">
        <f>IF($G8389=1,INDEX(DarlSollzins,18),INDEX(DarlAnschluss,18))</f>
      </c>
      <c r="I8389" s="43">
        <f>IF(INDEX(DarlBelegt,18)=0,0,IF(INDEX(DarlOhneTilgung,18)=1,IF(INDEX(DarlBindung,18)="",1,$G8389),IF($J8389&gt;0.005,1,0)))</f>
      </c>
      <c r="J8389" s="43">
        <f>IF($I8388=0,0,$R8388)</f>
      </c>
      <c r="K8389" s="43">
        <f>IF($I8389=0,0,IF(INDEX(DarlOhneTilgung,18)=1,0,IF(AND(INDEX(DarlTilgStart,18)&gt;0,$E8389=INDEX(DarlTilgStart,18)),$J8389*($H8389+INDEX(DarlTilgung,18))/100/12,IF(AND($G8389=0,$G8388=1),MAX($K8388,$J8389*($H8389+1)/100/12),$K8388))))</f>
      </c>
      <c r="L8389" s="43">
        <f>IF($I8389=0,0,$J8389*$H8389/100/12)</f>
      </c>
      <c r="M8389" s="43">
        <f>IF($I8389=0,0,IF(OR(INDEX(DarlOhneTilgung,18)=1,AND(INDEX(DarlTilgStart,18)&gt;0,$E8389&lt;INDEX(DarlTilgStart,18))),0,MIN(MAX(0,$K8389-$L8389),$J8389)))</f>
      </c>
      <c r="N8389" s="43">
        <f>IF($I8389=0,0,MIN(SUMIFS(SondBetrag,SondDarl,18,SondDatum,"&gt;="&amp;$E8389,SondDatum,"&lt;="&amp;EOMONTH($E8389,0)),$J8389-$M8389))</f>
      </c>
      <c r="O8389" s="43">
        <f>IF($I8389=0,0,INDEX(DarlErsatzRate,18))</f>
      </c>
      <c r="P8389" s="43">
        <f>IF($I8389=0,0,$Q8388*INDEX(DarlErsatzZins,18))</f>
      </c>
      <c r="Q8389" s="43">
        <f>IF($I8389=0,0,$Q8388+$P8389+$O8389)</f>
      </c>
      <c r="R8389" s="43">
        <f>IF($I8389=0,0,$J8389-$M8389-$N8389)</f>
      </c>
    </row>
    <row r="8390">
      <c r="A8390"/>
      <c r="B8390">
        <v>18</v>
      </c>
      <c r="C8390" s="43">
        <f>INDEX(DarlObj,18)</f>
      </c>
      <c r="D8390">
        <v>227</v>
      </c>
      <c r="E8390" s="51">
        <f>IF(INDEX(DarlBelegt,18)=0,0,EOMONTH(INDEX(DarlAuszahlung,18),226)+1)</f>
      </c>
      <c r="F8390" s="43">
        <f>IF($E8390=0,0,YEAR($E8390))</f>
      </c>
      <c r="G8390" s="43">
        <f>IF(INDEX(DarlBindung,18)="",1,IF($E8390&lt;=INDEX(DarlBindung,18),1,0))</f>
      </c>
      <c r="H8390" s="43">
        <f>IF($G8390=1,INDEX(DarlSollzins,18),INDEX(DarlAnschluss,18))</f>
      </c>
      <c r="I8390" s="43">
        <f>IF(INDEX(DarlBelegt,18)=0,0,IF(INDEX(DarlOhneTilgung,18)=1,IF(INDEX(DarlBindung,18)="",1,$G8390),IF($J8390&gt;0.005,1,0)))</f>
      </c>
      <c r="J8390" s="43">
        <f>IF($I8389=0,0,$R8389)</f>
      </c>
      <c r="K8390" s="43">
        <f>IF($I8390=0,0,IF(INDEX(DarlOhneTilgung,18)=1,0,IF(AND(INDEX(DarlTilgStart,18)&gt;0,$E8390=INDEX(DarlTilgStart,18)),$J8390*($H8390+INDEX(DarlTilgung,18))/100/12,IF(AND($G8390=0,$G8389=1),MAX($K8389,$J8390*($H8390+1)/100/12),$K8389))))</f>
      </c>
      <c r="L8390" s="43">
        <f>IF($I8390=0,0,$J8390*$H8390/100/12)</f>
      </c>
      <c r="M8390" s="43">
        <f>IF($I8390=0,0,IF(OR(INDEX(DarlOhneTilgung,18)=1,AND(INDEX(DarlTilgStart,18)&gt;0,$E8390&lt;INDEX(DarlTilgStart,18))),0,MIN(MAX(0,$K8390-$L8390),$J8390)))</f>
      </c>
      <c r="N8390" s="43">
        <f>IF($I8390=0,0,MIN(SUMIFS(SondBetrag,SondDarl,18,SondDatum,"&gt;="&amp;$E8390,SondDatum,"&lt;="&amp;EOMONTH($E8390,0)),$J8390-$M8390))</f>
      </c>
      <c r="O8390" s="43">
        <f>IF($I8390=0,0,INDEX(DarlErsatzRate,18))</f>
      </c>
      <c r="P8390" s="43">
        <f>IF($I8390=0,0,$Q8389*INDEX(DarlErsatzZins,18))</f>
      </c>
      <c r="Q8390" s="43">
        <f>IF($I8390=0,0,$Q8389+$P8390+$O8390)</f>
      </c>
      <c r="R8390" s="43">
        <f>IF($I8390=0,0,$J8390-$M8390-$N8390)</f>
      </c>
    </row>
    <row r="8391">
      <c r="A8391"/>
      <c r="B8391">
        <v>18</v>
      </c>
      <c r="C8391" s="43">
        <f>INDEX(DarlObj,18)</f>
      </c>
      <c r="D8391">
        <v>228</v>
      </c>
      <c r="E8391" s="51">
        <f>IF(INDEX(DarlBelegt,18)=0,0,EOMONTH(INDEX(DarlAuszahlung,18),227)+1)</f>
      </c>
      <c r="F8391" s="43">
        <f>IF($E8391=0,0,YEAR($E8391))</f>
      </c>
      <c r="G8391" s="43">
        <f>IF(INDEX(DarlBindung,18)="",1,IF($E8391&lt;=INDEX(DarlBindung,18),1,0))</f>
      </c>
      <c r="H8391" s="43">
        <f>IF($G8391=1,INDEX(DarlSollzins,18),INDEX(DarlAnschluss,18))</f>
      </c>
      <c r="I8391" s="43">
        <f>IF(INDEX(DarlBelegt,18)=0,0,IF(INDEX(DarlOhneTilgung,18)=1,IF(INDEX(DarlBindung,18)="",1,$G8391),IF($J8391&gt;0.005,1,0)))</f>
      </c>
      <c r="J8391" s="43">
        <f>IF($I8390=0,0,$R8390)</f>
      </c>
      <c r="K8391" s="43">
        <f>IF($I8391=0,0,IF(INDEX(DarlOhneTilgung,18)=1,0,IF(AND(INDEX(DarlTilgStart,18)&gt;0,$E8391=INDEX(DarlTilgStart,18)),$J8391*($H8391+INDEX(DarlTilgung,18))/100/12,IF(AND($G8391=0,$G8390=1),MAX($K8390,$J8391*($H8391+1)/100/12),$K8390))))</f>
      </c>
      <c r="L8391" s="43">
        <f>IF($I8391=0,0,$J8391*$H8391/100/12)</f>
      </c>
      <c r="M8391" s="43">
        <f>IF($I8391=0,0,IF(OR(INDEX(DarlOhneTilgung,18)=1,AND(INDEX(DarlTilgStart,18)&gt;0,$E8391&lt;INDEX(DarlTilgStart,18))),0,MIN(MAX(0,$K8391-$L8391),$J8391)))</f>
      </c>
      <c r="N8391" s="43">
        <f>IF($I8391=0,0,MIN(SUMIFS(SondBetrag,SondDarl,18,SondDatum,"&gt;="&amp;$E8391,SondDatum,"&lt;="&amp;EOMONTH($E8391,0)),$J8391-$M8391))</f>
      </c>
      <c r="O8391" s="43">
        <f>IF($I8391=0,0,INDEX(DarlErsatzRate,18))</f>
      </c>
      <c r="P8391" s="43">
        <f>IF($I8391=0,0,$Q8390*INDEX(DarlErsatzZins,18))</f>
      </c>
      <c r="Q8391" s="43">
        <f>IF($I8391=0,0,$Q8390+$P8391+$O8391)</f>
      </c>
      <c r="R8391" s="43">
        <f>IF($I8391=0,0,$J8391-$M8391-$N8391)</f>
      </c>
    </row>
    <row r="8392">
      <c r="A8392"/>
      <c r="B8392">
        <v>18</v>
      </c>
      <c r="C8392" s="43">
        <f>INDEX(DarlObj,18)</f>
      </c>
      <c r="D8392">
        <v>229</v>
      </c>
      <c r="E8392" s="51">
        <f>IF(INDEX(DarlBelegt,18)=0,0,EOMONTH(INDEX(DarlAuszahlung,18),228)+1)</f>
      </c>
      <c r="F8392" s="43">
        <f>IF($E8392=0,0,YEAR($E8392))</f>
      </c>
      <c r="G8392" s="43">
        <f>IF(INDEX(DarlBindung,18)="",1,IF($E8392&lt;=INDEX(DarlBindung,18),1,0))</f>
      </c>
      <c r="H8392" s="43">
        <f>IF($G8392=1,INDEX(DarlSollzins,18),INDEX(DarlAnschluss,18))</f>
      </c>
      <c r="I8392" s="43">
        <f>IF(INDEX(DarlBelegt,18)=0,0,IF(INDEX(DarlOhneTilgung,18)=1,IF(INDEX(DarlBindung,18)="",1,$G8392),IF($J8392&gt;0.005,1,0)))</f>
      </c>
      <c r="J8392" s="43">
        <f>IF($I8391=0,0,$R8391)</f>
      </c>
      <c r="K8392" s="43">
        <f>IF($I8392=0,0,IF(INDEX(DarlOhneTilgung,18)=1,0,IF(AND(INDEX(DarlTilgStart,18)&gt;0,$E8392=INDEX(DarlTilgStart,18)),$J8392*($H8392+INDEX(DarlTilgung,18))/100/12,IF(AND($G8392=0,$G8391=1),MAX($K8391,$J8392*($H8392+1)/100/12),$K8391))))</f>
      </c>
      <c r="L8392" s="43">
        <f>IF($I8392=0,0,$J8392*$H8392/100/12)</f>
      </c>
      <c r="M8392" s="43">
        <f>IF($I8392=0,0,IF(OR(INDEX(DarlOhneTilgung,18)=1,AND(INDEX(DarlTilgStart,18)&gt;0,$E8392&lt;INDEX(DarlTilgStart,18))),0,MIN(MAX(0,$K8392-$L8392),$J8392)))</f>
      </c>
      <c r="N8392" s="43">
        <f>IF($I8392=0,0,MIN(SUMIFS(SondBetrag,SondDarl,18,SondDatum,"&gt;="&amp;$E8392,SondDatum,"&lt;="&amp;EOMONTH($E8392,0)),$J8392-$M8392))</f>
      </c>
      <c r="O8392" s="43">
        <f>IF($I8392=0,0,INDEX(DarlErsatzRate,18))</f>
      </c>
      <c r="P8392" s="43">
        <f>IF($I8392=0,0,$Q8391*INDEX(DarlErsatzZins,18))</f>
      </c>
      <c r="Q8392" s="43">
        <f>IF($I8392=0,0,$Q8391+$P8392+$O8392)</f>
      </c>
      <c r="R8392" s="43">
        <f>IF($I8392=0,0,$J8392-$M8392-$N8392)</f>
      </c>
    </row>
    <row r="8393">
      <c r="A8393"/>
      <c r="B8393">
        <v>18</v>
      </c>
      <c r="C8393" s="43">
        <f>INDEX(DarlObj,18)</f>
      </c>
      <c r="D8393">
        <v>230</v>
      </c>
      <c r="E8393" s="51">
        <f>IF(INDEX(DarlBelegt,18)=0,0,EOMONTH(INDEX(DarlAuszahlung,18),229)+1)</f>
      </c>
      <c r="F8393" s="43">
        <f>IF($E8393=0,0,YEAR($E8393))</f>
      </c>
      <c r="G8393" s="43">
        <f>IF(INDEX(DarlBindung,18)="",1,IF($E8393&lt;=INDEX(DarlBindung,18),1,0))</f>
      </c>
      <c r="H8393" s="43">
        <f>IF($G8393=1,INDEX(DarlSollzins,18),INDEX(DarlAnschluss,18))</f>
      </c>
      <c r="I8393" s="43">
        <f>IF(INDEX(DarlBelegt,18)=0,0,IF(INDEX(DarlOhneTilgung,18)=1,IF(INDEX(DarlBindung,18)="",1,$G8393),IF($J8393&gt;0.005,1,0)))</f>
      </c>
      <c r="J8393" s="43">
        <f>IF($I8392=0,0,$R8392)</f>
      </c>
      <c r="K8393" s="43">
        <f>IF($I8393=0,0,IF(INDEX(DarlOhneTilgung,18)=1,0,IF(AND(INDEX(DarlTilgStart,18)&gt;0,$E8393=INDEX(DarlTilgStart,18)),$J8393*($H8393+INDEX(DarlTilgung,18))/100/12,IF(AND($G8393=0,$G8392=1),MAX($K8392,$J8393*($H8393+1)/100/12),$K8392))))</f>
      </c>
      <c r="L8393" s="43">
        <f>IF($I8393=0,0,$J8393*$H8393/100/12)</f>
      </c>
      <c r="M8393" s="43">
        <f>IF($I8393=0,0,IF(OR(INDEX(DarlOhneTilgung,18)=1,AND(INDEX(DarlTilgStart,18)&gt;0,$E8393&lt;INDEX(DarlTilgStart,18))),0,MIN(MAX(0,$K8393-$L8393),$J8393)))</f>
      </c>
      <c r="N8393" s="43">
        <f>IF($I8393=0,0,MIN(SUMIFS(SondBetrag,SondDarl,18,SondDatum,"&gt;="&amp;$E8393,SondDatum,"&lt;="&amp;EOMONTH($E8393,0)),$J8393-$M8393))</f>
      </c>
      <c r="O8393" s="43">
        <f>IF($I8393=0,0,INDEX(DarlErsatzRate,18))</f>
      </c>
      <c r="P8393" s="43">
        <f>IF($I8393=0,0,$Q8392*INDEX(DarlErsatzZins,18))</f>
      </c>
      <c r="Q8393" s="43">
        <f>IF($I8393=0,0,$Q8392+$P8393+$O8393)</f>
      </c>
      <c r="R8393" s="43">
        <f>IF($I8393=0,0,$J8393-$M8393-$N8393)</f>
      </c>
    </row>
    <row r="8394">
      <c r="A8394"/>
      <c r="B8394">
        <v>18</v>
      </c>
      <c r="C8394" s="43">
        <f>INDEX(DarlObj,18)</f>
      </c>
      <c r="D8394">
        <v>231</v>
      </c>
      <c r="E8394" s="51">
        <f>IF(INDEX(DarlBelegt,18)=0,0,EOMONTH(INDEX(DarlAuszahlung,18),230)+1)</f>
      </c>
      <c r="F8394" s="43">
        <f>IF($E8394=0,0,YEAR($E8394))</f>
      </c>
      <c r="G8394" s="43">
        <f>IF(INDEX(DarlBindung,18)="",1,IF($E8394&lt;=INDEX(DarlBindung,18),1,0))</f>
      </c>
      <c r="H8394" s="43">
        <f>IF($G8394=1,INDEX(DarlSollzins,18),INDEX(DarlAnschluss,18))</f>
      </c>
      <c r="I8394" s="43">
        <f>IF(INDEX(DarlBelegt,18)=0,0,IF(INDEX(DarlOhneTilgung,18)=1,IF(INDEX(DarlBindung,18)="",1,$G8394),IF($J8394&gt;0.005,1,0)))</f>
      </c>
      <c r="J8394" s="43">
        <f>IF($I8393=0,0,$R8393)</f>
      </c>
      <c r="K8394" s="43">
        <f>IF($I8394=0,0,IF(INDEX(DarlOhneTilgung,18)=1,0,IF(AND(INDEX(DarlTilgStart,18)&gt;0,$E8394=INDEX(DarlTilgStart,18)),$J8394*($H8394+INDEX(DarlTilgung,18))/100/12,IF(AND($G8394=0,$G8393=1),MAX($K8393,$J8394*($H8394+1)/100/12),$K8393))))</f>
      </c>
      <c r="L8394" s="43">
        <f>IF($I8394=0,0,$J8394*$H8394/100/12)</f>
      </c>
      <c r="M8394" s="43">
        <f>IF($I8394=0,0,IF(OR(INDEX(DarlOhneTilgung,18)=1,AND(INDEX(DarlTilgStart,18)&gt;0,$E8394&lt;INDEX(DarlTilgStart,18))),0,MIN(MAX(0,$K8394-$L8394),$J8394)))</f>
      </c>
      <c r="N8394" s="43">
        <f>IF($I8394=0,0,MIN(SUMIFS(SondBetrag,SondDarl,18,SondDatum,"&gt;="&amp;$E8394,SondDatum,"&lt;="&amp;EOMONTH($E8394,0)),$J8394-$M8394))</f>
      </c>
      <c r="O8394" s="43">
        <f>IF($I8394=0,0,INDEX(DarlErsatzRate,18))</f>
      </c>
      <c r="P8394" s="43">
        <f>IF($I8394=0,0,$Q8393*INDEX(DarlErsatzZins,18))</f>
      </c>
      <c r="Q8394" s="43">
        <f>IF($I8394=0,0,$Q8393+$P8394+$O8394)</f>
      </c>
      <c r="R8394" s="43">
        <f>IF($I8394=0,0,$J8394-$M8394-$N8394)</f>
      </c>
    </row>
    <row r="8395">
      <c r="A8395"/>
      <c r="B8395">
        <v>18</v>
      </c>
      <c r="C8395" s="43">
        <f>INDEX(DarlObj,18)</f>
      </c>
      <c r="D8395">
        <v>232</v>
      </c>
      <c r="E8395" s="51">
        <f>IF(INDEX(DarlBelegt,18)=0,0,EOMONTH(INDEX(DarlAuszahlung,18),231)+1)</f>
      </c>
      <c r="F8395" s="43">
        <f>IF($E8395=0,0,YEAR($E8395))</f>
      </c>
      <c r="G8395" s="43">
        <f>IF(INDEX(DarlBindung,18)="",1,IF($E8395&lt;=INDEX(DarlBindung,18),1,0))</f>
      </c>
      <c r="H8395" s="43">
        <f>IF($G8395=1,INDEX(DarlSollzins,18),INDEX(DarlAnschluss,18))</f>
      </c>
      <c r="I8395" s="43">
        <f>IF(INDEX(DarlBelegt,18)=0,0,IF(INDEX(DarlOhneTilgung,18)=1,IF(INDEX(DarlBindung,18)="",1,$G8395),IF($J8395&gt;0.005,1,0)))</f>
      </c>
      <c r="J8395" s="43">
        <f>IF($I8394=0,0,$R8394)</f>
      </c>
      <c r="K8395" s="43">
        <f>IF($I8395=0,0,IF(INDEX(DarlOhneTilgung,18)=1,0,IF(AND(INDEX(DarlTilgStart,18)&gt;0,$E8395=INDEX(DarlTilgStart,18)),$J8395*($H8395+INDEX(DarlTilgung,18))/100/12,IF(AND($G8395=0,$G8394=1),MAX($K8394,$J8395*($H8395+1)/100/12),$K8394))))</f>
      </c>
      <c r="L8395" s="43">
        <f>IF($I8395=0,0,$J8395*$H8395/100/12)</f>
      </c>
      <c r="M8395" s="43">
        <f>IF($I8395=0,0,IF(OR(INDEX(DarlOhneTilgung,18)=1,AND(INDEX(DarlTilgStart,18)&gt;0,$E8395&lt;INDEX(DarlTilgStart,18))),0,MIN(MAX(0,$K8395-$L8395),$J8395)))</f>
      </c>
      <c r="N8395" s="43">
        <f>IF($I8395=0,0,MIN(SUMIFS(SondBetrag,SondDarl,18,SondDatum,"&gt;="&amp;$E8395,SondDatum,"&lt;="&amp;EOMONTH($E8395,0)),$J8395-$M8395))</f>
      </c>
      <c r="O8395" s="43">
        <f>IF($I8395=0,0,INDEX(DarlErsatzRate,18))</f>
      </c>
      <c r="P8395" s="43">
        <f>IF($I8395=0,0,$Q8394*INDEX(DarlErsatzZins,18))</f>
      </c>
      <c r="Q8395" s="43">
        <f>IF($I8395=0,0,$Q8394+$P8395+$O8395)</f>
      </c>
      <c r="R8395" s="43">
        <f>IF($I8395=0,0,$J8395-$M8395-$N8395)</f>
      </c>
    </row>
    <row r="8396">
      <c r="A8396"/>
      <c r="B8396">
        <v>18</v>
      </c>
      <c r="C8396" s="43">
        <f>INDEX(DarlObj,18)</f>
      </c>
      <c r="D8396">
        <v>233</v>
      </c>
      <c r="E8396" s="51">
        <f>IF(INDEX(DarlBelegt,18)=0,0,EOMONTH(INDEX(DarlAuszahlung,18),232)+1)</f>
      </c>
      <c r="F8396" s="43">
        <f>IF($E8396=0,0,YEAR($E8396))</f>
      </c>
      <c r="G8396" s="43">
        <f>IF(INDEX(DarlBindung,18)="",1,IF($E8396&lt;=INDEX(DarlBindung,18),1,0))</f>
      </c>
      <c r="H8396" s="43">
        <f>IF($G8396=1,INDEX(DarlSollzins,18),INDEX(DarlAnschluss,18))</f>
      </c>
      <c r="I8396" s="43">
        <f>IF(INDEX(DarlBelegt,18)=0,0,IF(INDEX(DarlOhneTilgung,18)=1,IF(INDEX(DarlBindung,18)="",1,$G8396),IF($J8396&gt;0.005,1,0)))</f>
      </c>
      <c r="J8396" s="43">
        <f>IF($I8395=0,0,$R8395)</f>
      </c>
      <c r="K8396" s="43">
        <f>IF($I8396=0,0,IF(INDEX(DarlOhneTilgung,18)=1,0,IF(AND(INDEX(DarlTilgStart,18)&gt;0,$E8396=INDEX(DarlTilgStart,18)),$J8396*($H8396+INDEX(DarlTilgung,18))/100/12,IF(AND($G8396=0,$G8395=1),MAX($K8395,$J8396*($H8396+1)/100/12),$K8395))))</f>
      </c>
      <c r="L8396" s="43">
        <f>IF($I8396=0,0,$J8396*$H8396/100/12)</f>
      </c>
      <c r="M8396" s="43">
        <f>IF($I8396=0,0,IF(OR(INDEX(DarlOhneTilgung,18)=1,AND(INDEX(DarlTilgStart,18)&gt;0,$E8396&lt;INDEX(DarlTilgStart,18))),0,MIN(MAX(0,$K8396-$L8396),$J8396)))</f>
      </c>
      <c r="N8396" s="43">
        <f>IF($I8396=0,0,MIN(SUMIFS(SondBetrag,SondDarl,18,SondDatum,"&gt;="&amp;$E8396,SondDatum,"&lt;="&amp;EOMONTH($E8396,0)),$J8396-$M8396))</f>
      </c>
      <c r="O8396" s="43">
        <f>IF($I8396=0,0,INDEX(DarlErsatzRate,18))</f>
      </c>
      <c r="P8396" s="43">
        <f>IF($I8396=0,0,$Q8395*INDEX(DarlErsatzZins,18))</f>
      </c>
      <c r="Q8396" s="43">
        <f>IF($I8396=0,0,$Q8395+$P8396+$O8396)</f>
      </c>
      <c r="R8396" s="43">
        <f>IF($I8396=0,0,$J8396-$M8396-$N8396)</f>
      </c>
    </row>
    <row r="8397">
      <c r="A8397"/>
      <c r="B8397">
        <v>18</v>
      </c>
      <c r="C8397" s="43">
        <f>INDEX(DarlObj,18)</f>
      </c>
      <c r="D8397">
        <v>234</v>
      </c>
      <c r="E8397" s="51">
        <f>IF(INDEX(DarlBelegt,18)=0,0,EOMONTH(INDEX(DarlAuszahlung,18),233)+1)</f>
      </c>
      <c r="F8397" s="43">
        <f>IF($E8397=0,0,YEAR($E8397))</f>
      </c>
      <c r="G8397" s="43">
        <f>IF(INDEX(DarlBindung,18)="",1,IF($E8397&lt;=INDEX(DarlBindung,18),1,0))</f>
      </c>
      <c r="H8397" s="43">
        <f>IF($G8397=1,INDEX(DarlSollzins,18),INDEX(DarlAnschluss,18))</f>
      </c>
      <c r="I8397" s="43">
        <f>IF(INDEX(DarlBelegt,18)=0,0,IF(INDEX(DarlOhneTilgung,18)=1,IF(INDEX(DarlBindung,18)="",1,$G8397),IF($J8397&gt;0.005,1,0)))</f>
      </c>
      <c r="J8397" s="43">
        <f>IF($I8396=0,0,$R8396)</f>
      </c>
      <c r="K8397" s="43">
        <f>IF($I8397=0,0,IF(INDEX(DarlOhneTilgung,18)=1,0,IF(AND(INDEX(DarlTilgStart,18)&gt;0,$E8397=INDEX(DarlTilgStart,18)),$J8397*($H8397+INDEX(DarlTilgung,18))/100/12,IF(AND($G8397=0,$G8396=1),MAX($K8396,$J8397*($H8397+1)/100/12),$K8396))))</f>
      </c>
      <c r="L8397" s="43">
        <f>IF($I8397=0,0,$J8397*$H8397/100/12)</f>
      </c>
      <c r="M8397" s="43">
        <f>IF($I8397=0,0,IF(OR(INDEX(DarlOhneTilgung,18)=1,AND(INDEX(DarlTilgStart,18)&gt;0,$E8397&lt;INDEX(DarlTilgStart,18))),0,MIN(MAX(0,$K8397-$L8397),$J8397)))</f>
      </c>
      <c r="N8397" s="43">
        <f>IF($I8397=0,0,MIN(SUMIFS(SondBetrag,SondDarl,18,SondDatum,"&gt;="&amp;$E8397,SondDatum,"&lt;="&amp;EOMONTH($E8397,0)),$J8397-$M8397))</f>
      </c>
      <c r="O8397" s="43">
        <f>IF($I8397=0,0,INDEX(DarlErsatzRate,18))</f>
      </c>
      <c r="P8397" s="43">
        <f>IF($I8397=0,0,$Q8396*INDEX(DarlErsatzZins,18))</f>
      </c>
      <c r="Q8397" s="43">
        <f>IF($I8397=0,0,$Q8396+$P8397+$O8397)</f>
      </c>
      <c r="R8397" s="43">
        <f>IF($I8397=0,0,$J8397-$M8397-$N8397)</f>
      </c>
    </row>
    <row r="8398">
      <c r="A8398"/>
      <c r="B8398">
        <v>18</v>
      </c>
      <c r="C8398" s="43">
        <f>INDEX(DarlObj,18)</f>
      </c>
      <c r="D8398">
        <v>235</v>
      </c>
      <c r="E8398" s="51">
        <f>IF(INDEX(DarlBelegt,18)=0,0,EOMONTH(INDEX(DarlAuszahlung,18),234)+1)</f>
      </c>
      <c r="F8398" s="43">
        <f>IF($E8398=0,0,YEAR($E8398))</f>
      </c>
      <c r="G8398" s="43">
        <f>IF(INDEX(DarlBindung,18)="",1,IF($E8398&lt;=INDEX(DarlBindung,18),1,0))</f>
      </c>
      <c r="H8398" s="43">
        <f>IF($G8398=1,INDEX(DarlSollzins,18),INDEX(DarlAnschluss,18))</f>
      </c>
      <c r="I8398" s="43">
        <f>IF(INDEX(DarlBelegt,18)=0,0,IF(INDEX(DarlOhneTilgung,18)=1,IF(INDEX(DarlBindung,18)="",1,$G8398),IF($J8398&gt;0.005,1,0)))</f>
      </c>
      <c r="J8398" s="43">
        <f>IF($I8397=0,0,$R8397)</f>
      </c>
      <c r="K8398" s="43">
        <f>IF($I8398=0,0,IF(INDEX(DarlOhneTilgung,18)=1,0,IF(AND(INDEX(DarlTilgStart,18)&gt;0,$E8398=INDEX(DarlTilgStart,18)),$J8398*($H8398+INDEX(DarlTilgung,18))/100/12,IF(AND($G8398=0,$G8397=1),MAX($K8397,$J8398*($H8398+1)/100/12),$K8397))))</f>
      </c>
      <c r="L8398" s="43">
        <f>IF($I8398=0,0,$J8398*$H8398/100/12)</f>
      </c>
      <c r="M8398" s="43">
        <f>IF($I8398=0,0,IF(OR(INDEX(DarlOhneTilgung,18)=1,AND(INDEX(DarlTilgStart,18)&gt;0,$E8398&lt;INDEX(DarlTilgStart,18))),0,MIN(MAX(0,$K8398-$L8398),$J8398)))</f>
      </c>
      <c r="N8398" s="43">
        <f>IF($I8398=0,0,MIN(SUMIFS(SondBetrag,SondDarl,18,SondDatum,"&gt;="&amp;$E8398,SondDatum,"&lt;="&amp;EOMONTH($E8398,0)),$J8398-$M8398))</f>
      </c>
      <c r="O8398" s="43">
        <f>IF($I8398=0,0,INDEX(DarlErsatzRate,18))</f>
      </c>
      <c r="P8398" s="43">
        <f>IF($I8398=0,0,$Q8397*INDEX(DarlErsatzZins,18))</f>
      </c>
      <c r="Q8398" s="43">
        <f>IF($I8398=0,0,$Q8397+$P8398+$O8398)</f>
      </c>
      <c r="R8398" s="43">
        <f>IF($I8398=0,0,$J8398-$M8398-$N8398)</f>
      </c>
    </row>
    <row r="8399">
      <c r="A8399"/>
      <c r="B8399">
        <v>18</v>
      </c>
      <c r="C8399" s="43">
        <f>INDEX(DarlObj,18)</f>
      </c>
      <c r="D8399">
        <v>236</v>
      </c>
      <c r="E8399" s="51">
        <f>IF(INDEX(DarlBelegt,18)=0,0,EOMONTH(INDEX(DarlAuszahlung,18),235)+1)</f>
      </c>
      <c r="F8399" s="43">
        <f>IF($E8399=0,0,YEAR($E8399))</f>
      </c>
      <c r="G8399" s="43">
        <f>IF(INDEX(DarlBindung,18)="",1,IF($E8399&lt;=INDEX(DarlBindung,18),1,0))</f>
      </c>
      <c r="H8399" s="43">
        <f>IF($G8399=1,INDEX(DarlSollzins,18),INDEX(DarlAnschluss,18))</f>
      </c>
      <c r="I8399" s="43">
        <f>IF(INDEX(DarlBelegt,18)=0,0,IF(INDEX(DarlOhneTilgung,18)=1,IF(INDEX(DarlBindung,18)="",1,$G8399),IF($J8399&gt;0.005,1,0)))</f>
      </c>
      <c r="J8399" s="43">
        <f>IF($I8398=0,0,$R8398)</f>
      </c>
      <c r="K8399" s="43">
        <f>IF($I8399=0,0,IF(INDEX(DarlOhneTilgung,18)=1,0,IF(AND(INDEX(DarlTilgStart,18)&gt;0,$E8399=INDEX(DarlTilgStart,18)),$J8399*($H8399+INDEX(DarlTilgung,18))/100/12,IF(AND($G8399=0,$G8398=1),MAX($K8398,$J8399*($H8399+1)/100/12),$K8398))))</f>
      </c>
      <c r="L8399" s="43">
        <f>IF($I8399=0,0,$J8399*$H8399/100/12)</f>
      </c>
      <c r="M8399" s="43">
        <f>IF($I8399=0,0,IF(OR(INDEX(DarlOhneTilgung,18)=1,AND(INDEX(DarlTilgStart,18)&gt;0,$E8399&lt;INDEX(DarlTilgStart,18))),0,MIN(MAX(0,$K8399-$L8399),$J8399)))</f>
      </c>
      <c r="N8399" s="43">
        <f>IF($I8399=0,0,MIN(SUMIFS(SondBetrag,SondDarl,18,SondDatum,"&gt;="&amp;$E8399,SondDatum,"&lt;="&amp;EOMONTH($E8399,0)),$J8399-$M8399))</f>
      </c>
      <c r="O8399" s="43">
        <f>IF($I8399=0,0,INDEX(DarlErsatzRate,18))</f>
      </c>
      <c r="P8399" s="43">
        <f>IF($I8399=0,0,$Q8398*INDEX(DarlErsatzZins,18))</f>
      </c>
      <c r="Q8399" s="43">
        <f>IF($I8399=0,0,$Q8398+$P8399+$O8399)</f>
      </c>
      <c r="R8399" s="43">
        <f>IF($I8399=0,0,$J8399-$M8399-$N8399)</f>
      </c>
    </row>
    <row r="8400">
      <c r="A8400"/>
      <c r="B8400">
        <v>18</v>
      </c>
      <c r="C8400" s="43">
        <f>INDEX(DarlObj,18)</f>
      </c>
      <c r="D8400">
        <v>237</v>
      </c>
      <c r="E8400" s="51">
        <f>IF(INDEX(DarlBelegt,18)=0,0,EOMONTH(INDEX(DarlAuszahlung,18),236)+1)</f>
      </c>
      <c r="F8400" s="43">
        <f>IF($E8400=0,0,YEAR($E8400))</f>
      </c>
      <c r="G8400" s="43">
        <f>IF(INDEX(DarlBindung,18)="",1,IF($E8400&lt;=INDEX(DarlBindung,18),1,0))</f>
      </c>
      <c r="H8400" s="43">
        <f>IF($G8400=1,INDEX(DarlSollzins,18),INDEX(DarlAnschluss,18))</f>
      </c>
      <c r="I8400" s="43">
        <f>IF(INDEX(DarlBelegt,18)=0,0,IF(INDEX(DarlOhneTilgung,18)=1,IF(INDEX(DarlBindung,18)="",1,$G8400),IF($J8400&gt;0.005,1,0)))</f>
      </c>
      <c r="J8400" s="43">
        <f>IF($I8399=0,0,$R8399)</f>
      </c>
      <c r="K8400" s="43">
        <f>IF($I8400=0,0,IF(INDEX(DarlOhneTilgung,18)=1,0,IF(AND(INDEX(DarlTilgStart,18)&gt;0,$E8400=INDEX(DarlTilgStart,18)),$J8400*($H8400+INDEX(DarlTilgung,18))/100/12,IF(AND($G8400=0,$G8399=1),MAX($K8399,$J8400*($H8400+1)/100/12),$K8399))))</f>
      </c>
      <c r="L8400" s="43">
        <f>IF($I8400=0,0,$J8400*$H8400/100/12)</f>
      </c>
      <c r="M8400" s="43">
        <f>IF($I8400=0,0,IF(OR(INDEX(DarlOhneTilgung,18)=1,AND(INDEX(DarlTilgStart,18)&gt;0,$E8400&lt;INDEX(DarlTilgStart,18))),0,MIN(MAX(0,$K8400-$L8400),$J8400)))</f>
      </c>
      <c r="N8400" s="43">
        <f>IF($I8400=0,0,MIN(SUMIFS(SondBetrag,SondDarl,18,SondDatum,"&gt;="&amp;$E8400,SondDatum,"&lt;="&amp;EOMONTH($E8400,0)),$J8400-$M8400))</f>
      </c>
      <c r="O8400" s="43">
        <f>IF($I8400=0,0,INDEX(DarlErsatzRate,18))</f>
      </c>
      <c r="P8400" s="43">
        <f>IF($I8400=0,0,$Q8399*INDEX(DarlErsatzZins,18))</f>
      </c>
      <c r="Q8400" s="43">
        <f>IF($I8400=0,0,$Q8399+$P8400+$O8400)</f>
      </c>
      <c r="R8400" s="43">
        <f>IF($I8400=0,0,$J8400-$M8400-$N8400)</f>
      </c>
    </row>
    <row r="8401">
      <c r="A8401"/>
      <c r="B8401">
        <v>18</v>
      </c>
      <c r="C8401" s="43">
        <f>INDEX(DarlObj,18)</f>
      </c>
      <c r="D8401">
        <v>238</v>
      </c>
      <c r="E8401" s="51">
        <f>IF(INDEX(DarlBelegt,18)=0,0,EOMONTH(INDEX(DarlAuszahlung,18),237)+1)</f>
      </c>
      <c r="F8401" s="43">
        <f>IF($E8401=0,0,YEAR($E8401))</f>
      </c>
      <c r="G8401" s="43">
        <f>IF(INDEX(DarlBindung,18)="",1,IF($E8401&lt;=INDEX(DarlBindung,18),1,0))</f>
      </c>
      <c r="H8401" s="43">
        <f>IF($G8401=1,INDEX(DarlSollzins,18),INDEX(DarlAnschluss,18))</f>
      </c>
      <c r="I8401" s="43">
        <f>IF(INDEX(DarlBelegt,18)=0,0,IF(INDEX(DarlOhneTilgung,18)=1,IF(INDEX(DarlBindung,18)="",1,$G8401),IF($J8401&gt;0.005,1,0)))</f>
      </c>
      <c r="J8401" s="43">
        <f>IF($I8400=0,0,$R8400)</f>
      </c>
      <c r="K8401" s="43">
        <f>IF($I8401=0,0,IF(INDEX(DarlOhneTilgung,18)=1,0,IF(AND(INDEX(DarlTilgStart,18)&gt;0,$E8401=INDEX(DarlTilgStart,18)),$J8401*($H8401+INDEX(DarlTilgung,18))/100/12,IF(AND($G8401=0,$G8400=1),MAX($K8400,$J8401*($H8401+1)/100/12),$K8400))))</f>
      </c>
      <c r="L8401" s="43">
        <f>IF($I8401=0,0,$J8401*$H8401/100/12)</f>
      </c>
      <c r="M8401" s="43">
        <f>IF($I8401=0,0,IF(OR(INDEX(DarlOhneTilgung,18)=1,AND(INDEX(DarlTilgStart,18)&gt;0,$E8401&lt;INDEX(DarlTilgStart,18))),0,MIN(MAX(0,$K8401-$L8401),$J8401)))</f>
      </c>
      <c r="N8401" s="43">
        <f>IF($I8401=0,0,MIN(SUMIFS(SondBetrag,SondDarl,18,SondDatum,"&gt;="&amp;$E8401,SondDatum,"&lt;="&amp;EOMONTH($E8401,0)),$J8401-$M8401))</f>
      </c>
      <c r="O8401" s="43">
        <f>IF($I8401=0,0,INDEX(DarlErsatzRate,18))</f>
      </c>
      <c r="P8401" s="43">
        <f>IF($I8401=0,0,$Q8400*INDEX(DarlErsatzZins,18))</f>
      </c>
      <c r="Q8401" s="43">
        <f>IF($I8401=0,0,$Q8400+$P8401+$O8401)</f>
      </c>
      <c r="R8401" s="43">
        <f>IF($I8401=0,0,$J8401-$M8401-$N8401)</f>
      </c>
    </row>
    <row r="8402">
      <c r="A8402"/>
      <c r="B8402">
        <v>18</v>
      </c>
      <c r="C8402" s="43">
        <f>INDEX(DarlObj,18)</f>
      </c>
      <c r="D8402">
        <v>239</v>
      </c>
      <c r="E8402" s="51">
        <f>IF(INDEX(DarlBelegt,18)=0,0,EOMONTH(INDEX(DarlAuszahlung,18),238)+1)</f>
      </c>
      <c r="F8402" s="43">
        <f>IF($E8402=0,0,YEAR($E8402))</f>
      </c>
      <c r="G8402" s="43">
        <f>IF(INDEX(DarlBindung,18)="",1,IF($E8402&lt;=INDEX(DarlBindung,18),1,0))</f>
      </c>
      <c r="H8402" s="43">
        <f>IF($G8402=1,INDEX(DarlSollzins,18),INDEX(DarlAnschluss,18))</f>
      </c>
      <c r="I8402" s="43">
        <f>IF(INDEX(DarlBelegt,18)=0,0,IF(INDEX(DarlOhneTilgung,18)=1,IF(INDEX(DarlBindung,18)="",1,$G8402),IF($J8402&gt;0.005,1,0)))</f>
      </c>
      <c r="J8402" s="43">
        <f>IF($I8401=0,0,$R8401)</f>
      </c>
      <c r="K8402" s="43">
        <f>IF($I8402=0,0,IF(INDEX(DarlOhneTilgung,18)=1,0,IF(AND(INDEX(DarlTilgStart,18)&gt;0,$E8402=INDEX(DarlTilgStart,18)),$J8402*($H8402+INDEX(DarlTilgung,18))/100/12,IF(AND($G8402=0,$G8401=1),MAX($K8401,$J8402*($H8402+1)/100/12),$K8401))))</f>
      </c>
      <c r="L8402" s="43">
        <f>IF($I8402=0,0,$J8402*$H8402/100/12)</f>
      </c>
      <c r="M8402" s="43">
        <f>IF($I8402=0,0,IF(OR(INDEX(DarlOhneTilgung,18)=1,AND(INDEX(DarlTilgStart,18)&gt;0,$E8402&lt;INDEX(DarlTilgStart,18))),0,MIN(MAX(0,$K8402-$L8402),$J8402)))</f>
      </c>
      <c r="N8402" s="43">
        <f>IF($I8402=0,0,MIN(SUMIFS(SondBetrag,SondDarl,18,SondDatum,"&gt;="&amp;$E8402,SondDatum,"&lt;="&amp;EOMONTH($E8402,0)),$J8402-$M8402))</f>
      </c>
      <c r="O8402" s="43">
        <f>IF($I8402=0,0,INDEX(DarlErsatzRate,18))</f>
      </c>
      <c r="P8402" s="43">
        <f>IF($I8402=0,0,$Q8401*INDEX(DarlErsatzZins,18))</f>
      </c>
      <c r="Q8402" s="43">
        <f>IF($I8402=0,0,$Q8401+$P8402+$O8402)</f>
      </c>
      <c r="R8402" s="43">
        <f>IF($I8402=0,0,$J8402-$M8402-$N8402)</f>
      </c>
    </row>
    <row r="8403">
      <c r="A8403"/>
      <c r="B8403">
        <v>18</v>
      </c>
      <c r="C8403" s="43">
        <f>INDEX(DarlObj,18)</f>
      </c>
      <c r="D8403">
        <v>240</v>
      </c>
      <c r="E8403" s="51">
        <f>IF(INDEX(DarlBelegt,18)=0,0,EOMONTH(INDEX(DarlAuszahlung,18),239)+1)</f>
      </c>
      <c r="F8403" s="43">
        <f>IF($E8403=0,0,YEAR($E8403))</f>
      </c>
      <c r="G8403" s="43">
        <f>IF(INDEX(DarlBindung,18)="",1,IF($E8403&lt;=INDEX(DarlBindung,18),1,0))</f>
      </c>
      <c r="H8403" s="43">
        <f>IF($G8403=1,INDEX(DarlSollzins,18),INDEX(DarlAnschluss,18))</f>
      </c>
      <c r="I8403" s="43">
        <f>IF(INDEX(DarlBelegt,18)=0,0,IF(INDEX(DarlOhneTilgung,18)=1,IF(INDEX(DarlBindung,18)="",1,$G8403),IF($J8403&gt;0.005,1,0)))</f>
      </c>
      <c r="J8403" s="43">
        <f>IF($I8402=0,0,$R8402)</f>
      </c>
      <c r="K8403" s="43">
        <f>IF($I8403=0,0,IF(INDEX(DarlOhneTilgung,18)=1,0,IF(AND(INDEX(DarlTilgStart,18)&gt;0,$E8403=INDEX(DarlTilgStart,18)),$J8403*($H8403+INDEX(DarlTilgung,18))/100/12,IF(AND($G8403=0,$G8402=1),MAX($K8402,$J8403*($H8403+1)/100/12),$K8402))))</f>
      </c>
      <c r="L8403" s="43">
        <f>IF($I8403=0,0,$J8403*$H8403/100/12)</f>
      </c>
      <c r="M8403" s="43">
        <f>IF($I8403=0,0,IF(OR(INDEX(DarlOhneTilgung,18)=1,AND(INDEX(DarlTilgStart,18)&gt;0,$E8403&lt;INDEX(DarlTilgStart,18))),0,MIN(MAX(0,$K8403-$L8403),$J8403)))</f>
      </c>
      <c r="N8403" s="43">
        <f>IF($I8403=0,0,MIN(SUMIFS(SondBetrag,SondDarl,18,SondDatum,"&gt;="&amp;$E8403,SondDatum,"&lt;="&amp;EOMONTH($E8403,0)),$J8403-$M8403))</f>
      </c>
      <c r="O8403" s="43">
        <f>IF($I8403=0,0,INDEX(DarlErsatzRate,18))</f>
      </c>
      <c r="P8403" s="43">
        <f>IF($I8403=0,0,$Q8402*INDEX(DarlErsatzZins,18))</f>
      </c>
      <c r="Q8403" s="43">
        <f>IF($I8403=0,0,$Q8402+$P8403+$O8403)</f>
      </c>
      <c r="R8403" s="43">
        <f>IF($I8403=0,0,$J8403-$M8403-$N8403)</f>
      </c>
    </row>
    <row r="8404">
      <c r="A8404"/>
      <c r="B8404">
        <v>18</v>
      </c>
      <c r="C8404" s="43">
        <f>INDEX(DarlObj,18)</f>
      </c>
      <c r="D8404">
        <v>241</v>
      </c>
      <c r="E8404" s="51">
        <f>IF(INDEX(DarlBelegt,18)=0,0,EOMONTH(INDEX(DarlAuszahlung,18),240)+1)</f>
      </c>
      <c r="F8404" s="43">
        <f>IF($E8404=0,0,YEAR($E8404))</f>
      </c>
      <c r="G8404" s="43">
        <f>IF(INDEX(DarlBindung,18)="",1,IF($E8404&lt;=INDEX(DarlBindung,18),1,0))</f>
      </c>
      <c r="H8404" s="43">
        <f>IF($G8404=1,INDEX(DarlSollzins,18),INDEX(DarlAnschluss,18))</f>
      </c>
      <c r="I8404" s="43">
        <f>IF(INDEX(DarlBelegt,18)=0,0,IF(INDEX(DarlOhneTilgung,18)=1,IF(INDEX(DarlBindung,18)="",1,$G8404),IF($J8404&gt;0.005,1,0)))</f>
      </c>
      <c r="J8404" s="43">
        <f>IF($I8403=0,0,$R8403)</f>
      </c>
      <c r="K8404" s="43">
        <f>IF($I8404=0,0,IF(INDEX(DarlOhneTilgung,18)=1,0,IF(AND(INDEX(DarlTilgStart,18)&gt;0,$E8404=INDEX(DarlTilgStart,18)),$J8404*($H8404+INDEX(DarlTilgung,18))/100/12,IF(AND($G8404=0,$G8403=1),MAX($K8403,$J8404*($H8404+1)/100/12),$K8403))))</f>
      </c>
      <c r="L8404" s="43">
        <f>IF($I8404=0,0,$J8404*$H8404/100/12)</f>
      </c>
      <c r="M8404" s="43">
        <f>IF($I8404=0,0,IF(OR(INDEX(DarlOhneTilgung,18)=1,AND(INDEX(DarlTilgStart,18)&gt;0,$E8404&lt;INDEX(DarlTilgStart,18))),0,MIN(MAX(0,$K8404-$L8404),$J8404)))</f>
      </c>
      <c r="N8404" s="43">
        <f>IF($I8404=0,0,MIN(SUMIFS(SondBetrag,SondDarl,18,SondDatum,"&gt;="&amp;$E8404,SondDatum,"&lt;="&amp;EOMONTH($E8404,0)),$J8404-$M8404))</f>
      </c>
      <c r="O8404" s="43">
        <f>IF($I8404=0,0,INDEX(DarlErsatzRate,18))</f>
      </c>
      <c r="P8404" s="43">
        <f>IF($I8404=0,0,$Q8403*INDEX(DarlErsatzZins,18))</f>
      </c>
      <c r="Q8404" s="43">
        <f>IF($I8404=0,0,$Q8403+$P8404+$O8404)</f>
      </c>
      <c r="R8404" s="43">
        <f>IF($I8404=0,0,$J8404-$M8404-$N8404)</f>
      </c>
    </row>
    <row r="8405">
      <c r="A8405"/>
      <c r="B8405">
        <v>18</v>
      </c>
      <c r="C8405" s="43">
        <f>INDEX(DarlObj,18)</f>
      </c>
      <c r="D8405">
        <v>242</v>
      </c>
      <c r="E8405" s="51">
        <f>IF(INDEX(DarlBelegt,18)=0,0,EOMONTH(INDEX(DarlAuszahlung,18),241)+1)</f>
      </c>
      <c r="F8405" s="43">
        <f>IF($E8405=0,0,YEAR($E8405))</f>
      </c>
      <c r="G8405" s="43">
        <f>IF(INDEX(DarlBindung,18)="",1,IF($E8405&lt;=INDEX(DarlBindung,18),1,0))</f>
      </c>
      <c r="H8405" s="43">
        <f>IF($G8405=1,INDEX(DarlSollzins,18),INDEX(DarlAnschluss,18))</f>
      </c>
      <c r="I8405" s="43">
        <f>IF(INDEX(DarlBelegt,18)=0,0,IF(INDEX(DarlOhneTilgung,18)=1,IF(INDEX(DarlBindung,18)="",1,$G8405),IF($J8405&gt;0.005,1,0)))</f>
      </c>
      <c r="J8405" s="43">
        <f>IF($I8404=0,0,$R8404)</f>
      </c>
      <c r="K8405" s="43">
        <f>IF($I8405=0,0,IF(INDEX(DarlOhneTilgung,18)=1,0,IF(AND(INDEX(DarlTilgStart,18)&gt;0,$E8405=INDEX(DarlTilgStart,18)),$J8405*($H8405+INDEX(DarlTilgung,18))/100/12,IF(AND($G8405=0,$G8404=1),MAX($K8404,$J8405*($H8405+1)/100/12),$K8404))))</f>
      </c>
      <c r="L8405" s="43">
        <f>IF($I8405=0,0,$J8405*$H8405/100/12)</f>
      </c>
      <c r="M8405" s="43">
        <f>IF($I8405=0,0,IF(OR(INDEX(DarlOhneTilgung,18)=1,AND(INDEX(DarlTilgStart,18)&gt;0,$E8405&lt;INDEX(DarlTilgStart,18))),0,MIN(MAX(0,$K8405-$L8405),$J8405)))</f>
      </c>
      <c r="N8405" s="43">
        <f>IF($I8405=0,0,MIN(SUMIFS(SondBetrag,SondDarl,18,SondDatum,"&gt;="&amp;$E8405,SondDatum,"&lt;="&amp;EOMONTH($E8405,0)),$J8405-$M8405))</f>
      </c>
      <c r="O8405" s="43">
        <f>IF($I8405=0,0,INDEX(DarlErsatzRate,18))</f>
      </c>
      <c r="P8405" s="43">
        <f>IF($I8405=0,0,$Q8404*INDEX(DarlErsatzZins,18))</f>
      </c>
      <c r="Q8405" s="43">
        <f>IF($I8405=0,0,$Q8404+$P8405+$O8405)</f>
      </c>
      <c r="R8405" s="43">
        <f>IF($I8405=0,0,$J8405-$M8405-$N8405)</f>
      </c>
    </row>
    <row r="8406">
      <c r="A8406"/>
      <c r="B8406">
        <v>18</v>
      </c>
      <c r="C8406" s="43">
        <f>INDEX(DarlObj,18)</f>
      </c>
      <c r="D8406">
        <v>243</v>
      </c>
      <c r="E8406" s="51">
        <f>IF(INDEX(DarlBelegt,18)=0,0,EOMONTH(INDEX(DarlAuszahlung,18),242)+1)</f>
      </c>
      <c r="F8406" s="43">
        <f>IF($E8406=0,0,YEAR($E8406))</f>
      </c>
      <c r="G8406" s="43">
        <f>IF(INDEX(DarlBindung,18)="",1,IF($E8406&lt;=INDEX(DarlBindung,18),1,0))</f>
      </c>
      <c r="H8406" s="43">
        <f>IF($G8406=1,INDEX(DarlSollzins,18),INDEX(DarlAnschluss,18))</f>
      </c>
      <c r="I8406" s="43">
        <f>IF(INDEX(DarlBelegt,18)=0,0,IF(INDEX(DarlOhneTilgung,18)=1,IF(INDEX(DarlBindung,18)="",1,$G8406),IF($J8406&gt;0.005,1,0)))</f>
      </c>
      <c r="J8406" s="43">
        <f>IF($I8405=0,0,$R8405)</f>
      </c>
      <c r="K8406" s="43">
        <f>IF($I8406=0,0,IF(INDEX(DarlOhneTilgung,18)=1,0,IF(AND(INDEX(DarlTilgStart,18)&gt;0,$E8406=INDEX(DarlTilgStart,18)),$J8406*($H8406+INDEX(DarlTilgung,18))/100/12,IF(AND($G8406=0,$G8405=1),MAX($K8405,$J8406*($H8406+1)/100/12),$K8405))))</f>
      </c>
      <c r="L8406" s="43">
        <f>IF($I8406=0,0,$J8406*$H8406/100/12)</f>
      </c>
      <c r="M8406" s="43">
        <f>IF($I8406=0,0,IF(OR(INDEX(DarlOhneTilgung,18)=1,AND(INDEX(DarlTilgStart,18)&gt;0,$E8406&lt;INDEX(DarlTilgStart,18))),0,MIN(MAX(0,$K8406-$L8406),$J8406)))</f>
      </c>
      <c r="N8406" s="43">
        <f>IF($I8406=0,0,MIN(SUMIFS(SondBetrag,SondDarl,18,SondDatum,"&gt;="&amp;$E8406,SondDatum,"&lt;="&amp;EOMONTH($E8406,0)),$J8406-$M8406))</f>
      </c>
      <c r="O8406" s="43">
        <f>IF($I8406=0,0,INDEX(DarlErsatzRate,18))</f>
      </c>
      <c r="P8406" s="43">
        <f>IF($I8406=0,0,$Q8405*INDEX(DarlErsatzZins,18))</f>
      </c>
      <c r="Q8406" s="43">
        <f>IF($I8406=0,0,$Q8405+$P8406+$O8406)</f>
      </c>
      <c r="R8406" s="43">
        <f>IF($I8406=0,0,$J8406-$M8406-$N8406)</f>
      </c>
    </row>
    <row r="8407">
      <c r="A8407"/>
      <c r="B8407">
        <v>18</v>
      </c>
      <c r="C8407" s="43">
        <f>INDEX(DarlObj,18)</f>
      </c>
      <c r="D8407">
        <v>244</v>
      </c>
      <c r="E8407" s="51">
        <f>IF(INDEX(DarlBelegt,18)=0,0,EOMONTH(INDEX(DarlAuszahlung,18),243)+1)</f>
      </c>
      <c r="F8407" s="43">
        <f>IF($E8407=0,0,YEAR($E8407))</f>
      </c>
      <c r="G8407" s="43">
        <f>IF(INDEX(DarlBindung,18)="",1,IF($E8407&lt;=INDEX(DarlBindung,18),1,0))</f>
      </c>
      <c r="H8407" s="43">
        <f>IF($G8407=1,INDEX(DarlSollzins,18),INDEX(DarlAnschluss,18))</f>
      </c>
      <c r="I8407" s="43">
        <f>IF(INDEX(DarlBelegt,18)=0,0,IF(INDEX(DarlOhneTilgung,18)=1,IF(INDEX(DarlBindung,18)="",1,$G8407),IF($J8407&gt;0.005,1,0)))</f>
      </c>
      <c r="J8407" s="43">
        <f>IF($I8406=0,0,$R8406)</f>
      </c>
      <c r="K8407" s="43">
        <f>IF($I8407=0,0,IF(INDEX(DarlOhneTilgung,18)=1,0,IF(AND(INDEX(DarlTilgStart,18)&gt;0,$E8407=INDEX(DarlTilgStart,18)),$J8407*($H8407+INDEX(DarlTilgung,18))/100/12,IF(AND($G8407=0,$G8406=1),MAX($K8406,$J8407*($H8407+1)/100/12),$K8406))))</f>
      </c>
      <c r="L8407" s="43">
        <f>IF($I8407=0,0,$J8407*$H8407/100/12)</f>
      </c>
      <c r="M8407" s="43">
        <f>IF($I8407=0,0,IF(OR(INDEX(DarlOhneTilgung,18)=1,AND(INDEX(DarlTilgStart,18)&gt;0,$E8407&lt;INDEX(DarlTilgStart,18))),0,MIN(MAX(0,$K8407-$L8407),$J8407)))</f>
      </c>
      <c r="N8407" s="43">
        <f>IF($I8407=0,0,MIN(SUMIFS(SondBetrag,SondDarl,18,SondDatum,"&gt;="&amp;$E8407,SondDatum,"&lt;="&amp;EOMONTH($E8407,0)),$J8407-$M8407))</f>
      </c>
      <c r="O8407" s="43">
        <f>IF($I8407=0,0,INDEX(DarlErsatzRate,18))</f>
      </c>
      <c r="P8407" s="43">
        <f>IF($I8407=0,0,$Q8406*INDEX(DarlErsatzZins,18))</f>
      </c>
      <c r="Q8407" s="43">
        <f>IF($I8407=0,0,$Q8406+$P8407+$O8407)</f>
      </c>
      <c r="R8407" s="43">
        <f>IF($I8407=0,0,$J8407-$M8407-$N8407)</f>
      </c>
    </row>
    <row r="8408">
      <c r="A8408"/>
      <c r="B8408">
        <v>18</v>
      </c>
      <c r="C8408" s="43">
        <f>INDEX(DarlObj,18)</f>
      </c>
      <c r="D8408">
        <v>245</v>
      </c>
      <c r="E8408" s="51">
        <f>IF(INDEX(DarlBelegt,18)=0,0,EOMONTH(INDEX(DarlAuszahlung,18),244)+1)</f>
      </c>
      <c r="F8408" s="43">
        <f>IF($E8408=0,0,YEAR($E8408))</f>
      </c>
      <c r="G8408" s="43">
        <f>IF(INDEX(DarlBindung,18)="",1,IF($E8408&lt;=INDEX(DarlBindung,18),1,0))</f>
      </c>
      <c r="H8408" s="43">
        <f>IF($G8408=1,INDEX(DarlSollzins,18),INDEX(DarlAnschluss,18))</f>
      </c>
      <c r="I8408" s="43">
        <f>IF(INDEX(DarlBelegt,18)=0,0,IF(INDEX(DarlOhneTilgung,18)=1,IF(INDEX(DarlBindung,18)="",1,$G8408),IF($J8408&gt;0.005,1,0)))</f>
      </c>
      <c r="J8408" s="43">
        <f>IF($I8407=0,0,$R8407)</f>
      </c>
      <c r="K8408" s="43">
        <f>IF($I8408=0,0,IF(INDEX(DarlOhneTilgung,18)=1,0,IF(AND(INDEX(DarlTilgStart,18)&gt;0,$E8408=INDEX(DarlTilgStart,18)),$J8408*($H8408+INDEX(DarlTilgung,18))/100/12,IF(AND($G8408=0,$G8407=1),MAX($K8407,$J8408*($H8408+1)/100/12),$K8407))))</f>
      </c>
      <c r="L8408" s="43">
        <f>IF($I8408=0,0,$J8408*$H8408/100/12)</f>
      </c>
      <c r="M8408" s="43">
        <f>IF($I8408=0,0,IF(OR(INDEX(DarlOhneTilgung,18)=1,AND(INDEX(DarlTilgStart,18)&gt;0,$E8408&lt;INDEX(DarlTilgStart,18))),0,MIN(MAX(0,$K8408-$L8408),$J8408)))</f>
      </c>
      <c r="N8408" s="43">
        <f>IF($I8408=0,0,MIN(SUMIFS(SondBetrag,SondDarl,18,SondDatum,"&gt;="&amp;$E8408,SondDatum,"&lt;="&amp;EOMONTH($E8408,0)),$J8408-$M8408))</f>
      </c>
      <c r="O8408" s="43">
        <f>IF($I8408=0,0,INDEX(DarlErsatzRate,18))</f>
      </c>
      <c r="P8408" s="43">
        <f>IF($I8408=0,0,$Q8407*INDEX(DarlErsatzZins,18))</f>
      </c>
      <c r="Q8408" s="43">
        <f>IF($I8408=0,0,$Q8407+$P8408+$O8408)</f>
      </c>
      <c r="R8408" s="43">
        <f>IF($I8408=0,0,$J8408-$M8408-$N8408)</f>
      </c>
    </row>
    <row r="8409">
      <c r="A8409"/>
      <c r="B8409">
        <v>18</v>
      </c>
      <c r="C8409" s="43">
        <f>INDEX(DarlObj,18)</f>
      </c>
      <c r="D8409">
        <v>246</v>
      </c>
      <c r="E8409" s="51">
        <f>IF(INDEX(DarlBelegt,18)=0,0,EOMONTH(INDEX(DarlAuszahlung,18),245)+1)</f>
      </c>
      <c r="F8409" s="43">
        <f>IF($E8409=0,0,YEAR($E8409))</f>
      </c>
      <c r="G8409" s="43">
        <f>IF(INDEX(DarlBindung,18)="",1,IF($E8409&lt;=INDEX(DarlBindung,18),1,0))</f>
      </c>
      <c r="H8409" s="43">
        <f>IF($G8409=1,INDEX(DarlSollzins,18),INDEX(DarlAnschluss,18))</f>
      </c>
      <c r="I8409" s="43">
        <f>IF(INDEX(DarlBelegt,18)=0,0,IF(INDEX(DarlOhneTilgung,18)=1,IF(INDEX(DarlBindung,18)="",1,$G8409),IF($J8409&gt;0.005,1,0)))</f>
      </c>
      <c r="J8409" s="43">
        <f>IF($I8408=0,0,$R8408)</f>
      </c>
      <c r="K8409" s="43">
        <f>IF($I8409=0,0,IF(INDEX(DarlOhneTilgung,18)=1,0,IF(AND(INDEX(DarlTilgStart,18)&gt;0,$E8409=INDEX(DarlTilgStart,18)),$J8409*($H8409+INDEX(DarlTilgung,18))/100/12,IF(AND($G8409=0,$G8408=1),MAX($K8408,$J8409*($H8409+1)/100/12),$K8408))))</f>
      </c>
      <c r="L8409" s="43">
        <f>IF($I8409=0,0,$J8409*$H8409/100/12)</f>
      </c>
      <c r="M8409" s="43">
        <f>IF($I8409=0,0,IF(OR(INDEX(DarlOhneTilgung,18)=1,AND(INDEX(DarlTilgStart,18)&gt;0,$E8409&lt;INDEX(DarlTilgStart,18))),0,MIN(MAX(0,$K8409-$L8409),$J8409)))</f>
      </c>
      <c r="N8409" s="43">
        <f>IF($I8409=0,0,MIN(SUMIFS(SondBetrag,SondDarl,18,SondDatum,"&gt;="&amp;$E8409,SondDatum,"&lt;="&amp;EOMONTH($E8409,0)),$J8409-$M8409))</f>
      </c>
      <c r="O8409" s="43">
        <f>IF($I8409=0,0,INDEX(DarlErsatzRate,18))</f>
      </c>
      <c r="P8409" s="43">
        <f>IF($I8409=0,0,$Q8408*INDEX(DarlErsatzZins,18))</f>
      </c>
      <c r="Q8409" s="43">
        <f>IF($I8409=0,0,$Q8408+$P8409+$O8409)</f>
      </c>
      <c r="R8409" s="43">
        <f>IF($I8409=0,0,$J8409-$M8409-$N8409)</f>
      </c>
    </row>
    <row r="8410">
      <c r="A8410"/>
      <c r="B8410">
        <v>18</v>
      </c>
      <c r="C8410" s="43">
        <f>INDEX(DarlObj,18)</f>
      </c>
      <c r="D8410">
        <v>247</v>
      </c>
      <c r="E8410" s="51">
        <f>IF(INDEX(DarlBelegt,18)=0,0,EOMONTH(INDEX(DarlAuszahlung,18),246)+1)</f>
      </c>
      <c r="F8410" s="43">
        <f>IF($E8410=0,0,YEAR($E8410))</f>
      </c>
      <c r="G8410" s="43">
        <f>IF(INDEX(DarlBindung,18)="",1,IF($E8410&lt;=INDEX(DarlBindung,18),1,0))</f>
      </c>
      <c r="H8410" s="43">
        <f>IF($G8410=1,INDEX(DarlSollzins,18),INDEX(DarlAnschluss,18))</f>
      </c>
      <c r="I8410" s="43">
        <f>IF(INDEX(DarlBelegt,18)=0,0,IF(INDEX(DarlOhneTilgung,18)=1,IF(INDEX(DarlBindung,18)="",1,$G8410),IF($J8410&gt;0.005,1,0)))</f>
      </c>
      <c r="J8410" s="43">
        <f>IF($I8409=0,0,$R8409)</f>
      </c>
      <c r="K8410" s="43">
        <f>IF($I8410=0,0,IF(INDEX(DarlOhneTilgung,18)=1,0,IF(AND(INDEX(DarlTilgStart,18)&gt;0,$E8410=INDEX(DarlTilgStart,18)),$J8410*($H8410+INDEX(DarlTilgung,18))/100/12,IF(AND($G8410=0,$G8409=1),MAX($K8409,$J8410*($H8410+1)/100/12),$K8409))))</f>
      </c>
      <c r="L8410" s="43">
        <f>IF($I8410=0,0,$J8410*$H8410/100/12)</f>
      </c>
      <c r="M8410" s="43">
        <f>IF($I8410=0,0,IF(OR(INDEX(DarlOhneTilgung,18)=1,AND(INDEX(DarlTilgStart,18)&gt;0,$E8410&lt;INDEX(DarlTilgStart,18))),0,MIN(MAX(0,$K8410-$L8410),$J8410)))</f>
      </c>
      <c r="N8410" s="43">
        <f>IF($I8410=0,0,MIN(SUMIFS(SondBetrag,SondDarl,18,SondDatum,"&gt;="&amp;$E8410,SondDatum,"&lt;="&amp;EOMONTH($E8410,0)),$J8410-$M8410))</f>
      </c>
      <c r="O8410" s="43">
        <f>IF($I8410=0,0,INDEX(DarlErsatzRate,18))</f>
      </c>
      <c r="P8410" s="43">
        <f>IF($I8410=0,0,$Q8409*INDEX(DarlErsatzZins,18))</f>
      </c>
      <c r="Q8410" s="43">
        <f>IF($I8410=0,0,$Q8409+$P8410+$O8410)</f>
      </c>
      <c r="R8410" s="43">
        <f>IF($I8410=0,0,$J8410-$M8410-$N8410)</f>
      </c>
    </row>
    <row r="8411">
      <c r="A8411"/>
      <c r="B8411">
        <v>18</v>
      </c>
      <c r="C8411" s="43">
        <f>INDEX(DarlObj,18)</f>
      </c>
      <c r="D8411">
        <v>248</v>
      </c>
      <c r="E8411" s="51">
        <f>IF(INDEX(DarlBelegt,18)=0,0,EOMONTH(INDEX(DarlAuszahlung,18),247)+1)</f>
      </c>
      <c r="F8411" s="43">
        <f>IF($E8411=0,0,YEAR($E8411))</f>
      </c>
      <c r="G8411" s="43">
        <f>IF(INDEX(DarlBindung,18)="",1,IF($E8411&lt;=INDEX(DarlBindung,18),1,0))</f>
      </c>
      <c r="H8411" s="43">
        <f>IF($G8411=1,INDEX(DarlSollzins,18),INDEX(DarlAnschluss,18))</f>
      </c>
      <c r="I8411" s="43">
        <f>IF(INDEX(DarlBelegt,18)=0,0,IF(INDEX(DarlOhneTilgung,18)=1,IF(INDEX(DarlBindung,18)="",1,$G8411),IF($J8411&gt;0.005,1,0)))</f>
      </c>
      <c r="J8411" s="43">
        <f>IF($I8410=0,0,$R8410)</f>
      </c>
      <c r="K8411" s="43">
        <f>IF($I8411=0,0,IF(INDEX(DarlOhneTilgung,18)=1,0,IF(AND(INDEX(DarlTilgStart,18)&gt;0,$E8411=INDEX(DarlTilgStart,18)),$J8411*($H8411+INDEX(DarlTilgung,18))/100/12,IF(AND($G8411=0,$G8410=1),MAX($K8410,$J8411*($H8411+1)/100/12),$K8410))))</f>
      </c>
      <c r="L8411" s="43">
        <f>IF($I8411=0,0,$J8411*$H8411/100/12)</f>
      </c>
      <c r="M8411" s="43">
        <f>IF($I8411=0,0,IF(OR(INDEX(DarlOhneTilgung,18)=1,AND(INDEX(DarlTilgStart,18)&gt;0,$E8411&lt;INDEX(DarlTilgStart,18))),0,MIN(MAX(0,$K8411-$L8411),$J8411)))</f>
      </c>
      <c r="N8411" s="43">
        <f>IF($I8411=0,0,MIN(SUMIFS(SondBetrag,SondDarl,18,SondDatum,"&gt;="&amp;$E8411,SondDatum,"&lt;="&amp;EOMONTH($E8411,0)),$J8411-$M8411))</f>
      </c>
      <c r="O8411" s="43">
        <f>IF($I8411=0,0,INDEX(DarlErsatzRate,18))</f>
      </c>
      <c r="P8411" s="43">
        <f>IF($I8411=0,0,$Q8410*INDEX(DarlErsatzZins,18))</f>
      </c>
      <c r="Q8411" s="43">
        <f>IF($I8411=0,0,$Q8410+$P8411+$O8411)</f>
      </c>
      <c r="R8411" s="43">
        <f>IF($I8411=0,0,$J8411-$M8411-$N8411)</f>
      </c>
    </row>
    <row r="8412">
      <c r="A8412"/>
      <c r="B8412">
        <v>18</v>
      </c>
      <c r="C8412" s="43">
        <f>INDEX(DarlObj,18)</f>
      </c>
      <c r="D8412">
        <v>249</v>
      </c>
      <c r="E8412" s="51">
        <f>IF(INDEX(DarlBelegt,18)=0,0,EOMONTH(INDEX(DarlAuszahlung,18),248)+1)</f>
      </c>
      <c r="F8412" s="43">
        <f>IF($E8412=0,0,YEAR($E8412))</f>
      </c>
      <c r="G8412" s="43">
        <f>IF(INDEX(DarlBindung,18)="",1,IF($E8412&lt;=INDEX(DarlBindung,18),1,0))</f>
      </c>
      <c r="H8412" s="43">
        <f>IF($G8412=1,INDEX(DarlSollzins,18),INDEX(DarlAnschluss,18))</f>
      </c>
      <c r="I8412" s="43">
        <f>IF(INDEX(DarlBelegt,18)=0,0,IF(INDEX(DarlOhneTilgung,18)=1,IF(INDEX(DarlBindung,18)="",1,$G8412),IF($J8412&gt;0.005,1,0)))</f>
      </c>
      <c r="J8412" s="43">
        <f>IF($I8411=0,0,$R8411)</f>
      </c>
      <c r="K8412" s="43">
        <f>IF($I8412=0,0,IF(INDEX(DarlOhneTilgung,18)=1,0,IF(AND(INDEX(DarlTilgStart,18)&gt;0,$E8412=INDEX(DarlTilgStart,18)),$J8412*($H8412+INDEX(DarlTilgung,18))/100/12,IF(AND($G8412=0,$G8411=1),MAX($K8411,$J8412*($H8412+1)/100/12),$K8411))))</f>
      </c>
      <c r="L8412" s="43">
        <f>IF($I8412=0,0,$J8412*$H8412/100/12)</f>
      </c>
      <c r="M8412" s="43">
        <f>IF($I8412=0,0,IF(OR(INDEX(DarlOhneTilgung,18)=1,AND(INDEX(DarlTilgStart,18)&gt;0,$E8412&lt;INDEX(DarlTilgStart,18))),0,MIN(MAX(0,$K8412-$L8412),$J8412)))</f>
      </c>
      <c r="N8412" s="43">
        <f>IF($I8412=0,0,MIN(SUMIFS(SondBetrag,SondDarl,18,SondDatum,"&gt;="&amp;$E8412,SondDatum,"&lt;="&amp;EOMONTH($E8412,0)),$J8412-$M8412))</f>
      </c>
      <c r="O8412" s="43">
        <f>IF($I8412=0,0,INDEX(DarlErsatzRate,18))</f>
      </c>
      <c r="P8412" s="43">
        <f>IF($I8412=0,0,$Q8411*INDEX(DarlErsatzZins,18))</f>
      </c>
      <c r="Q8412" s="43">
        <f>IF($I8412=0,0,$Q8411+$P8412+$O8412)</f>
      </c>
      <c r="R8412" s="43">
        <f>IF($I8412=0,0,$J8412-$M8412-$N8412)</f>
      </c>
    </row>
    <row r="8413">
      <c r="A8413"/>
      <c r="B8413">
        <v>18</v>
      </c>
      <c r="C8413" s="43">
        <f>INDEX(DarlObj,18)</f>
      </c>
      <c r="D8413">
        <v>250</v>
      </c>
      <c r="E8413" s="51">
        <f>IF(INDEX(DarlBelegt,18)=0,0,EOMONTH(INDEX(DarlAuszahlung,18),249)+1)</f>
      </c>
      <c r="F8413" s="43">
        <f>IF($E8413=0,0,YEAR($E8413))</f>
      </c>
      <c r="G8413" s="43">
        <f>IF(INDEX(DarlBindung,18)="",1,IF($E8413&lt;=INDEX(DarlBindung,18),1,0))</f>
      </c>
      <c r="H8413" s="43">
        <f>IF($G8413=1,INDEX(DarlSollzins,18),INDEX(DarlAnschluss,18))</f>
      </c>
      <c r="I8413" s="43">
        <f>IF(INDEX(DarlBelegt,18)=0,0,IF(INDEX(DarlOhneTilgung,18)=1,IF(INDEX(DarlBindung,18)="",1,$G8413),IF($J8413&gt;0.005,1,0)))</f>
      </c>
      <c r="J8413" s="43">
        <f>IF($I8412=0,0,$R8412)</f>
      </c>
      <c r="K8413" s="43">
        <f>IF($I8413=0,0,IF(INDEX(DarlOhneTilgung,18)=1,0,IF(AND(INDEX(DarlTilgStart,18)&gt;0,$E8413=INDEX(DarlTilgStart,18)),$J8413*($H8413+INDEX(DarlTilgung,18))/100/12,IF(AND($G8413=0,$G8412=1),MAX($K8412,$J8413*($H8413+1)/100/12),$K8412))))</f>
      </c>
      <c r="L8413" s="43">
        <f>IF($I8413=0,0,$J8413*$H8413/100/12)</f>
      </c>
      <c r="M8413" s="43">
        <f>IF($I8413=0,0,IF(OR(INDEX(DarlOhneTilgung,18)=1,AND(INDEX(DarlTilgStart,18)&gt;0,$E8413&lt;INDEX(DarlTilgStart,18))),0,MIN(MAX(0,$K8413-$L8413),$J8413)))</f>
      </c>
      <c r="N8413" s="43">
        <f>IF($I8413=0,0,MIN(SUMIFS(SondBetrag,SondDarl,18,SondDatum,"&gt;="&amp;$E8413,SondDatum,"&lt;="&amp;EOMONTH($E8413,0)),$J8413-$M8413))</f>
      </c>
      <c r="O8413" s="43">
        <f>IF($I8413=0,0,INDEX(DarlErsatzRate,18))</f>
      </c>
      <c r="P8413" s="43">
        <f>IF($I8413=0,0,$Q8412*INDEX(DarlErsatzZins,18))</f>
      </c>
      <c r="Q8413" s="43">
        <f>IF($I8413=0,0,$Q8412+$P8413+$O8413)</f>
      </c>
      <c r="R8413" s="43">
        <f>IF($I8413=0,0,$J8413-$M8413-$N8413)</f>
      </c>
    </row>
    <row r="8414">
      <c r="A8414"/>
      <c r="B8414">
        <v>18</v>
      </c>
      <c r="C8414" s="43">
        <f>INDEX(DarlObj,18)</f>
      </c>
      <c r="D8414">
        <v>251</v>
      </c>
      <c r="E8414" s="51">
        <f>IF(INDEX(DarlBelegt,18)=0,0,EOMONTH(INDEX(DarlAuszahlung,18),250)+1)</f>
      </c>
      <c r="F8414" s="43">
        <f>IF($E8414=0,0,YEAR($E8414))</f>
      </c>
      <c r="G8414" s="43">
        <f>IF(INDEX(DarlBindung,18)="",1,IF($E8414&lt;=INDEX(DarlBindung,18),1,0))</f>
      </c>
      <c r="H8414" s="43">
        <f>IF($G8414=1,INDEX(DarlSollzins,18),INDEX(DarlAnschluss,18))</f>
      </c>
      <c r="I8414" s="43">
        <f>IF(INDEX(DarlBelegt,18)=0,0,IF(INDEX(DarlOhneTilgung,18)=1,IF(INDEX(DarlBindung,18)="",1,$G8414),IF($J8414&gt;0.005,1,0)))</f>
      </c>
      <c r="J8414" s="43">
        <f>IF($I8413=0,0,$R8413)</f>
      </c>
      <c r="K8414" s="43">
        <f>IF($I8414=0,0,IF(INDEX(DarlOhneTilgung,18)=1,0,IF(AND(INDEX(DarlTilgStart,18)&gt;0,$E8414=INDEX(DarlTilgStart,18)),$J8414*($H8414+INDEX(DarlTilgung,18))/100/12,IF(AND($G8414=0,$G8413=1),MAX($K8413,$J8414*($H8414+1)/100/12),$K8413))))</f>
      </c>
      <c r="L8414" s="43">
        <f>IF($I8414=0,0,$J8414*$H8414/100/12)</f>
      </c>
      <c r="M8414" s="43">
        <f>IF($I8414=0,0,IF(OR(INDEX(DarlOhneTilgung,18)=1,AND(INDEX(DarlTilgStart,18)&gt;0,$E8414&lt;INDEX(DarlTilgStart,18))),0,MIN(MAX(0,$K8414-$L8414),$J8414)))</f>
      </c>
      <c r="N8414" s="43">
        <f>IF($I8414=0,0,MIN(SUMIFS(SondBetrag,SondDarl,18,SondDatum,"&gt;="&amp;$E8414,SondDatum,"&lt;="&amp;EOMONTH($E8414,0)),$J8414-$M8414))</f>
      </c>
      <c r="O8414" s="43">
        <f>IF($I8414=0,0,INDEX(DarlErsatzRate,18))</f>
      </c>
      <c r="P8414" s="43">
        <f>IF($I8414=0,0,$Q8413*INDEX(DarlErsatzZins,18))</f>
      </c>
      <c r="Q8414" s="43">
        <f>IF($I8414=0,0,$Q8413+$P8414+$O8414)</f>
      </c>
      <c r="R8414" s="43">
        <f>IF($I8414=0,0,$J8414-$M8414-$N8414)</f>
      </c>
    </row>
    <row r="8415">
      <c r="A8415"/>
      <c r="B8415">
        <v>18</v>
      </c>
      <c r="C8415" s="43">
        <f>INDEX(DarlObj,18)</f>
      </c>
      <c r="D8415">
        <v>252</v>
      </c>
      <c r="E8415" s="51">
        <f>IF(INDEX(DarlBelegt,18)=0,0,EOMONTH(INDEX(DarlAuszahlung,18),251)+1)</f>
      </c>
      <c r="F8415" s="43">
        <f>IF($E8415=0,0,YEAR($E8415))</f>
      </c>
      <c r="G8415" s="43">
        <f>IF(INDEX(DarlBindung,18)="",1,IF($E8415&lt;=INDEX(DarlBindung,18),1,0))</f>
      </c>
      <c r="H8415" s="43">
        <f>IF($G8415=1,INDEX(DarlSollzins,18),INDEX(DarlAnschluss,18))</f>
      </c>
      <c r="I8415" s="43">
        <f>IF(INDEX(DarlBelegt,18)=0,0,IF(INDEX(DarlOhneTilgung,18)=1,IF(INDEX(DarlBindung,18)="",1,$G8415),IF($J8415&gt;0.005,1,0)))</f>
      </c>
      <c r="J8415" s="43">
        <f>IF($I8414=0,0,$R8414)</f>
      </c>
      <c r="K8415" s="43">
        <f>IF($I8415=0,0,IF(INDEX(DarlOhneTilgung,18)=1,0,IF(AND(INDEX(DarlTilgStart,18)&gt;0,$E8415=INDEX(DarlTilgStart,18)),$J8415*($H8415+INDEX(DarlTilgung,18))/100/12,IF(AND($G8415=0,$G8414=1),MAX($K8414,$J8415*($H8415+1)/100/12),$K8414))))</f>
      </c>
      <c r="L8415" s="43">
        <f>IF($I8415=0,0,$J8415*$H8415/100/12)</f>
      </c>
      <c r="M8415" s="43">
        <f>IF($I8415=0,0,IF(OR(INDEX(DarlOhneTilgung,18)=1,AND(INDEX(DarlTilgStart,18)&gt;0,$E8415&lt;INDEX(DarlTilgStart,18))),0,MIN(MAX(0,$K8415-$L8415),$J8415)))</f>
      </c>
      <c r="N8415" s="43">
        <f>IF($I8415=0,0,MIN(SUMIFS(SondBetrag,SondDarl,18,SondDatum,"&gt;="&amp;$E8415,SondDatum,"&lt;="&amp;EOMONTH($E8415,0)),$J8415-$M8415))</f>
      </c>
      <c r="O8415" s="43">
        <f>IF($I8415=0,0,INDEX(DarlErsatzRate,18))</f>
      </c>
      <c r="P8415" s="43">
        <f>IF($I8415=0,0,$Q8414*INDEX(DarlErsatzZins,18))</f>
      </c>
      <c r="Q8415" s="43">
        <f>IF($I8415=0,0,$Q8414+$P8415+$O8415)</f>
      </c>
      <c r="R8415" s="43">
        <f>IF($I8415=0,0,$J8415-$M8415-$N8415)</f>
      </c>
    </row>
    <row r="8416">
      <c r="A8416"/>
      <c r="B8416">
        <v>18</v>
      </c>
      <c r="C8416" s="43">
        <f>INDEX(DarlObj,18)</f>
      </c>
      <c r="D8416">
        <v>253</v>
      </c>
      <c r="E8416" s="51">
        <f>IF(INDEX(DarlBelegt,18)=0,0,EOMONTH(INDEX(DarlAuszahlung,18),252)+1)</f>
      </c>
      <c r="F8416" s="43">
        <f>IF($E8416=0,0,YEAR($E8416))</f>
      </c>
      <c r="G8416" s="43">
        <f>IF(INDEX(DarlBindung,18)="",1,IF($E8416&lt;=INDEX(DarlBindung,18),1,0))</f>
      </c>
      <c r="H8416" s="43">
        <f>IF($G8416=1,INDEX(DarlSollzins,18),INDEX(DarlAnschluss,18))</f>
      </c>
      <c r="I8416" s="43">
        <f>IF(INDEX(DarlBelegt,18)=0,0,IF(INDEX(DarlOhneTilgung,18)=1,IF(INDEX(DarlBindung,18)="",1,$G8416),IF($J8416&gt;0.005,1,0)))</f>
      </c>
      <c r="J8416" s="43">
        <f>IF($I8415=0,0,$R8415)</f>
      </c>
      <c r="K8416" s="43">
        <f>IF($I8416=0,0,IF(INDEX(DarlOhneTilgung,18)=1,0,IF(AND(INDEX(DarlTilgStart,18)&gt;0,$E8416=INDEX(DarlTilgStart,18)),$J8416*($H8416+INDEX(DarlTilgung,18))/100/12,IF(AND($G8416=0,$G8415=1),MAX($K8415,$J8416*($H8416+1)/100/12),$K8415))))</f>
      </c>
      <c r="L8416" s="43">
        <f>IF($I8416=0,0,$J8416*$H8416/100/12)</f>
      </c>
      <c r="M8416" s="43">
        <f>IF($I8416=0,0,IF(OR(INDEX(DarlOhneTilgung,18)=1,AND(INDEX(DarlTilgStart,18)&gt;0,$E8416&lt;INDEX(DarlTilgStart,18))),0,MIN(MAX(0,$K8416-$L8416),$J8416)))</f>
      </c>
      <c r="N8416" s="43">
        <f>IF($I8416=0,0,MIN(SUMIFS(SondBetrag,SondDarl,18,SondDatum,"&gt;="&amp;$E8416,SondDatum,"&lt;="&amp;EOMONTH($E8416,0)),$J8416-$M8416))</f>
      </c>
      <c r="O8416" s="43">
        <f>IF($I8416=0,0,INDEX(DarlErsatzRate,18))</f>
      </c>
      <c r="P8416" s="43">
        <f>IF($I8416=0,0,$Q8415*INDEX(DarlErsatzZins,18))</f>
      </c>
      <c r="Q8416" s="43">
        <f>IF($I8416=0,0,$Q8415+$P8416+$O8416)</f>
      </c>
      <c r="R8416" s="43">
        <f>IF($I8416=0,0,$J8416-$M8416-$N8416)</f>
      </c>
    </row>
    <row r="8417">
      <c r="A8417"/>
      <c r="B8417">
        <v>18</v>
      </c>
      <c r="C8417" s="43">
        <f>INDEX(DarlObj,18)</f>
      </c>
      <c r="D8417">
        <v>254</v>
      </c>
      <c r="E8417" s="51">
        <f>IF(INDEX(DarlBelegt,18)=0,0,EOMONTH(INDEX(DarlAuszahlung,18),253)+1)</f>
      </c>
      <c r="F8417" s="43">
        <f>IF($E8417=0,0,YEAR($E8417))</f>
      </c>
      <c r="G8417" s="43">
        <f>IF(INDEX(DarlBindung,18)="",1,IF($E8417&lt;=INDEX(DarlBindung,18),1,0))</f>
      </c>
      <c r="H8417" s="43">
        <f>IF($G8417=1,INDEX(DarlSollzins,18),INDEX(DarlAnschluss,18))</f>
      </c>
      <c r="I8417" s="43">
        <f>IF(INDEX(DarlBelegt,18)=0,0,IF(INDEX(DarlOhneTilgung,18)=1,IF(INDEX(DarlBindung,18)="",1,$G8417),IF($J8417&gt;0.005,1,0)))</f>
      </c>
      <c r="J8417" s="43">
        <f>IF($I8416=0,0,$R8416)</f>
      </c>
      <c r="K8417" s="43">
        <f>IF($I8417=0,0,IF(INDEX(DarlOhneTilgung,18)=1,0,IF(AND(INDEX(DarlTilgStart,18)&gt;0,$E8417=INDEX(DarlTilgStart,18)),$J8417*($H8417+INDEX(DarlTilgung,18))/100/12,IF(AND($G8417=0,$G8416=1),MAX($K8416,$J8417*($H8417+1)/100/12),$K8416))))</f>
      </c>
      <c r="L8417" s="43">
        <f>IF($I8417=0,0,$J8417*$H8417/100/12)</f>
      </c>
      <c r="M8417" s="43">
        <f>IF($I8417=0,0,IF(OR(INDEX(DarlOhneTilgung,18)=1,AND(INDEX(DarlTilgStart,18)&gt;0,$E8417&lt;INDEX(DarlTilgStart,18))),0,MIN(MAX(0,$K8417-$L8417),$J8417)))</f>
      </c>
      <c r="N8417" s="43">
        <f>IF($I8417=0,0,MIN(SUMIFS(SondBetrag,SondDarl,18,SondDatum,"&gt;="&amp;$E8417,SondDatum,"&lt;="&amp;EOMONTH($E8417,0)),$J8417-$M8417))</f>
      </c>
      <c r="O8417" s="43">
        <f>IF($I8417=0,0,INDEX(DarlErsatzRate,18))</f>
      </c>
      <c r="P8417" s="43">
        <f>IF($I8417=0,0,$Q8416*INDEX(DarlErsatzZins,18))</f>
      </c>
      <c r="Q8417" s="43">
        <f>IF($I8417=0,0,$Q8416+$P8417+$O8417)</f>
      </c>
      <c r="R8417" s="43">
        <f>IF($I8417=0,0,$J8417-$M8417-$N8417)</f>
      </c>
    </row>
    <row r="8418">
      <c r="A8418"/>
      <c r="B8418">
        <v>18</v>
      </c>
      <c r="C8418" s="43">
        <f>INDEX(DarlObj,18)</f>
      </c>
      <c r="D8418">
        <v>255</v>
      </c>
      <c r="E8418" s="51">
        <f>IF(INDEX(DarlBelegt,18)=0,0,EOMONTH(INDEX(DarlAuszahlung,18),254)+1)</f>
      </c>
      <c r="F8418" s="43">
        <f>IF($E8418=0,0,YEAR($E8418))</f>
      </c>
      <c r="G8418" s="43">
        <f>IF(INDEX(DarlBindung,18)="",1,IF($E8418&lt;=INDEX(DarlBindung,18),1,0))</f>
      </c>
      <c r="H8418" s="43">
        <f>IF($G8418=1,INDEX(DarlSollzins,18),INDEX(DarlAnschluss,18))</f>
      </c>
      <c r="I8418" s="43">
        <f>IF(INDEX(DarlBelegt,18)=0,0,IF(INDEX(DarlOhneTilgung,18)=1,IF(INDEX(DarlBindung,18)="",1,$G8418),IF($J8418&gt;0.005,1,0)))</f>
      </c>
      <c r="J8418" s="43">
        <f>IF($I8417=0,0,$R8417)</f>
      </c>
      <c r="K8418" s="43">
        <f>IF($I8418=0,0,IF(INDEX(DarlOhneTilgung,18)=1,0,IF(AND(INDEX(DarlTilgStart,18)&gt;0,$E8418=INDEX(DarlTilgStart,18)),$J8418*($H8418+INDEX(DarlTilgung,18))/100/12,IF(AND($G8418=0,$G8417=1),MAX($K8417,$J8418*($H8418+1)/100/12),$K8417))))</f>
      </c>
      <c r="L8418" s="43">
        <f>IF($I8418=0,0,$J8418*$H8418/100/12)</f>
      </c>
      <c r="M8418" s="43">
        <f>IF($I8418=0,0,IF(OR(INDEX(DarlOhneTilgung,18)=1,AND(INDEX(DarlTilgStart,18)&gt;0,$E8418&lt;INDEX(DarlTilgStart,18))),0,MIN(MAX(0,$K8418-$L8418),$J8418)))</f>
      </c>
      <c r="N8418" s="43">
        <f>IF($I8418=0,0,MIN(SUMIFS(SondBetrag,SondDarl,18,SondDatum,"&gt;="&amp;$E8418,SondDatum,"&lt;="&amp;EOMONTH($E8418,0)),$J8418-$M8418))</f>
      </c>
      <c r="O8418" s="43">
        <f>IF($I8418=0,0,INDEX(DarlErsatzRate,18))</f>
      </c>
      <c r="P8418" s="43">
        <f>IF($I8418=0,0,$Q8417*INDEX(DarlErsatzZins,18))</f>
      </c>
      <c r="Q8418" s="43">
        <f>IF($I8418=0,0,$Q8417+$P8418+$O8418)</f>
      </c>
      <c r="R8418" s="43">
        <f>IF($I8418=0,0,$J8418-$M8418-$N8418)</f>
      </c>
    </row>
    <row r="8419">
      <c r="A8419"/>
      <c r="B8419">
        <v>18</v>
      </c>
      <c r="C8419" s="43">
        <f>INDEX(DarlObj,18)</f>
      </c>
      <c r="D8419">
        <v>256</v>
      </c>
      <c r="E8419" s="51">
        <f>IF(INDEX(DarlBelegt,18)=0,0,EOMONTH(INDEX(DarlAuszahlung,18),255)+1)</f>
      </c>
      <c r="F8419" s="43">
        <f>IF($E8419=0,0,YEAR($E8419))</f>
      </c>
      <c r="G8419" s="43">
        <f>IF(INDEX(DarlBindung,18)="",1,IF($E8419&lt;=INDEX(DarlBindung,18),1,0))</f>
      </c>
      <c r="H8419" s="43">
        <f>IF($G8419=1,INDEX(DarlSollzins,18),INDEX(DarlAnschluss,18))</f>
      </c>
      <c r="I8419" s="43">
        <f>IF(INDEX(DarlBelegt,18)=0,0,IF(INDEX(DarlOhneTilgung,18)=1,IF(INDEX(DarlBindung,18)="",1,$G8419),IF($J8419&gt;0.005,1,0)))</f>
      </c>
      <c r="J8419" s="43">
        <f>IF($I8418=0,0,$R8418)</f>
      </c>
      <c r="K8419" s="43">
        <f>IF($I8419=0,0,IF(INDEX(DarlOhneTilgung,18)=1,0,IF(AND(INDEX(DarlTilgStart,18)&gt;0,$E8419=INDEX(DarlTilgStart,18)),$J8419*($H8419+INDEX(DarlTilgung,18))/100/12,IF(AND($G8419=0,$G8418=1),MAX($K8418,$J8419*($H8419+1)/100/12),$K8418))))</f>
      </c>
      <c r="L8419" s="43">
        <f>IF($I8419=0,0,$J8419*$H8419/100/12)</f>
      </c>
      <c r="M8419" s="43">
        <f>IF($I8419=0,0,IF(OR(INDEX(DarlOhneTilgung,18)=1,AND(INDEX(DarlTilgStart,18)&gt;0,$E8419&lt;INDEX(DarlTilgStart,18))),0,MIN(MAX(0,$K8419-$L8419),$J8419)))</f>
      </c>
      <c r="N8419" s="43">
        <f>IF($I8419=0,0,MIN(SUMIFS(SondBetrag,SondDarl,18,SondDatum,"&gt;="&amp;$E8419,SondDatum,"&lt;="&amp;EOMONTH($E8419,0)),$J8419-$M8419))</f>
      </c>
      <c r="O8419" s="43">
        <f>IF($I8419=0,0,INDEX(DarlErsatzRate,18))</f>
      </c>
      <c r="P8419" s="43">
        <f>IF($I8419=0,0,$Q8418*INDEX(DarlErsatzZins,18))</f>
      </c>
      <c r="Q8419" s="43">
        <f>IF($I8419=0,0,$Q8418+$P8419+$O8419)</f>
      </c>
      <c r="R8419" s="43">
        <f>IF($I8419=0,0,$J8419-$M8419-$N8419)</f>
      </c>
    </row>
    <row r="8420">
      <c r="A8420"/>
      <c r="B8420">
        <v>18</v>
      </c>
      <c r="C8420" s="43">
        <f>INDEX(DarlObj,18)</f>
      </c>
      <c r="D8420">
        <v>257</v>
      </c>
      <c r="E8420" s="51">
        <f>IF(INDEX(DarlBelegt,18)=0,0,EOMONTH(INDEX(DarlAuszahlung,18),256)+1)</f>
      </c>
      <c r="F8420" s="43">
        <f>IF($E8420=0,0,YEAR($E8420))</f>
      </c>
      <c r="G8420" s="43">
        <f>IF(INDEX(DarlBindung,18)="",1,IF($E8420&lt;=INDEX(DarlBindung,18),1,0))</f>
      </c>
      <c r="H8420" s="43">
        <f>IF($G8420=1,INDEX(DarlSollzins,18),INDEX(DarlAnschluss,18))</f>
      </c>
      <c r="I8420" s="43">
        <f>IF(INDEX(DarlBelegt,18)=0,0,IF(INDEX(DarlOhneTilgung,18)=1,IF(INDEX(DarlBindung,18)="",1,$G8420),IF($J8420&gt;0.005,1,0)))</f>
      </c>
      <c r="J8420" s="43">
        <f>IF($I8419=0,0,$R8419)</f>
      </c>
      <c r="K8420" s="43">
        <f>IF($I8420=0,0,IF(INDEX(DarlOhneTilgung,18)=1,0,IF(AND(INDEX(DarlTilgStart,18)&gt;0,$E8420=INDEX(DarlTilgStart,18)),$J8420*($H8420+INDEX(DarlTilgung,18))/100/12,IF(AND($G8420=0,$G8419=1),MAX($K8419,$J8420*($H8420+1)/100/12),$K8419))))</f>
      </c>
      <c r="L8420" s="43">
        <f>IF($I8420=0,0,$J8420*$H8420/100/12)</f>
      </c>
      <c r="M8420" s="43">
        <f>IF($I8420=0,0,IF(OR(INDEX(DarlOhneTilgung,18)=1,AND(INDEX(DarlTilgStart,18)&gt;0,$E8420&lt;INDEX(DarlTilgStart,18))),0,MIN(MAX(0,$K8420-$L8420),$J8420)))</f>
      </c>
      <c r="N8420" s="43">
        <f>IF($I8420=0,0,MIN(SUMIFS(SondBetrag,SondDarl,18,SondDatum,"&gt;="&amp;$E8420,SondDatum,"&lt;="&amp;EOMONTH($E8420,0)),$J8420-$M8420))</f>
      </c>
      <c r="O8420" s="43">
        <f>IF($I8420=0,0,INDEX(DarlErsatzRate,18))</f>
      </c>
      <c r="P8420" s="43">
        <f>IF($I8420=0,0,$Q8419*INDEX(DarlErsatzZins,18))</f>
      </c>
      <c r="Q8420" s="43">
        <f>IF($I8420=0,0,$Q8419+$P8420+$O8420)</f>
      </c>
      <c r="R8420" s="43">
        <f>IF($I8420=0,0,$J8420-$M8420-$N8420)</f>
      </c>
    </row>
    <row r="8421">
      <c r="A8421"/>
      <c r="B8421">
        <v>18</v>
      </c>
      <c r="C8421" s="43">
        <f>INDEX(DarlObj,18)</f>
      </c>
      <c r="D8421">
        <v>258</v>
      </c>
      <c r="E8421" s="51">
        <f>IF(INDEX(DarlBelegt,18)=0,0,EOMONTH(INDEX(DarlAuszahlung,18),257)+1)</f>
      </c>
      <c r="F8421" s="43">
        <f>IF($E8421=0,0,YEAR($E8421))</f>
      </c>
      <c r="G8421" s="43">
        <f>IF(INDEX(DarlBindung,18)="",1,IF($E8421&lt;=INDEX(DarlBindung,18),1,0))</f>
      </c>
      <c r="H8421" s="43">
        <f>IF($G8421=1,INDEX(DarlSollzins,18),INDEX(DarlAnschluss,18))</f>
      </c>
      <c r="I8421" s="43">
        <f>IF(INDEX(DarlBelegt,18)=0,0,IF(INDEX(DarlOhneTilgung,18)=1,IF(INDEX(DarlBindung,18)="",1,$G8421),IF($J8421&gt;0.005,1,0)))</f>
      </c>
      <c r="J8421" s="43">
        <f>IF($I8420=0,0,$R8420)</f>
      </c>
      <c r="K8421" s="43">
        <f>IF($I8421=0,0,IF(INDEX(DarlOhneTilgung,18)=1,0,IF(AND(INDEX(DarlTilgStart,18)&gt;0,$E8421=INDEX(DarlTilgStart,18)),$J8421*($H8421+INDEX(DarlTilgung,18))/100/12,IF(AND($G8421=0,$G8420=1),MAX($K8420,$J8421*($H8421+1)/100/12),$K8420))))</f>
      </c>
      <c r="L8421" s="43">
        <f>IF($I8421=0,0,$J8421*$H8421/100/12)</f>
      </c>
      <c r="M8421" s="43">
        <f>IF($I8421=0,0,IF(OR(INDEX(DarlOhneTilgung,18)=1,AND(INDEX(DarlTilgStart,18)&gt;0,$E8421&lt;INDEX(DarlTilgStart,18))),0,MIN(MAX(0,$K8421-$L8421),$J8421)))</f>
      </c>
      <c r="N8421" s="43">
        <f>IF($I8421=0,0,MIN(SUMIFS(SondBetrag,SondDarl,18,SondDatum,"&gt;="&amp;$E8421,SondDatum,"&lt;="&amp;EOMONTH($E8421,0)),$J8421-$M8421))</f>
      </c>
      <c r="O8421" s="43">
        <f>IF($I8421=0,0,INDEX(DarlErsatzRate,18))</f>
      </c>
      <c r="P8421" s="43">
        <f>IF($I8421=0,0,$Q8420*INDEX(DarlErsatzZins,18))</f>
      </c>
      <c r="Q8421" s="43">
        <f>IF($I8421=0,0,$Q8420+$P8421+$O8421)</f>
      </c>
      <c r="R8421" s="43">
        <f>IF($I8421=0,0,$J8421-$M8421-$N8421)</f>
      </c>
    </row>
    <row r="8422">
      <c r="A8422"/>
      <c r="B8422">
        <v>18</v>
      </c>
      <c r="C8422" s="43">
        <f>INDEX(DarlObj,18)</f>
      </c>
      <c r="D8422">
        <v>259</v>
      </c>
      <c r="E8422" s="51">
        <f>IF(INDEX(DarlBelegt,18)=0,0,EOMONTH(INDEX(DarlAuszahlung,18),258)+1)</f>
      </c>
      <c r="F8422" s="43">
        <f>IF($E8422=0,0,YEAR($E8422))</f>
      </c>
      <c r="G8422" s="43">
        <f>IF(INDEX(DarlBindung,18)="",1,IF($E8422&lt;=INDEX(DarlBindung,18),1,0))</f>
      </c>
      <c r="H8422" s="43">
        <f>IF($G8422=1,INDEX(DarlSollzins,18),INDEX(DarlAnschluss,18))</f>
      </c>
      <c r="I8422" s="43">
        <f>IF(INDEX(DarlBelegt,18)=0,0,IF(INDEX(DarlOhneTilgung,18)=1,IF(INDEX(DarlBindung,18)="",1,$G8422),IF($J8422&gt;0.005,1,0)))</f>
      </c>
      <c r="J8422" s="43">
        <f>IF($I8421=0,0,$R8421)</f>
      </c>
      <c r="K8422" s="43">
        <f>IF($I8422=0,0,IF(INDEX(DarlOhneTilgung,18)=1,0,IF(AND(INDEX(DarlTilgStart,18)&gt;0,$E8422=INDEX(DarlTilgStart,18)),$J8422*($H8422+INDEX(DarlTilgung,18))/100/12,IF(AND($G8422=0,$G8421=1),MAX($K8421,$J8422*($H8422+1)/100/12),$K8421))))</f>
      </c>
      <c r="L8422" s="43">
        <f>IF($I8422=0,0,$J8422*$H8422/100/12)</f>
      </c>
      <c r="M8422" s="43">
        <f>IF($I8422=0,0,IF(OR(INDEX(DarlOhneTilgung,18)=1,AND(INDEX(DarlTilgStart,18)&gt;0,$E8422&lt;INDEX(DarlTilgStart,18))),0,MIN(MAX(0,$K8422-$L8422),$J8422)))</f>
      </c>
      <c r="N8422" s="43">
        <f>IF($I8422=0,0,MIN(SUMIFS(SondBetrag,SondDarl,18,SondDatum,"&gt;="&amp;$E8422,SondDatum,"&lt;="&amp;EOMONTH($E8422,0)),$J8422-$M8422))</f>
      </c>
      <c r="O8422" s="43">
        <f>IF($I8422=0,0,INDEX(DarlErsatzRate,18))</f>
      </c>
      <c r="P8422" s="43">
        <f>IF($I8422=0,0,$Q8421*INDEX(DarlErsatzZins,18))</f>
      </c>
      <c r="Q8422" s="43">
        <f>IF($I8422=0,0,$Q8421+$P8422+$O8422)</f>
      </c>
      <c r="R8422" s="43">
        <f>IF($I8422=0,0,$J8422-$M8422-$N8422)</f>
      </c>
    </row>
    <row r="8423">
      <c r="A8423"/>
      <c r="B8423">
        <v>18</v>
      </c>
      <c r="C8423" s="43">
        <f>INDEX(DarlObj,18)</f>
      </c>
      <c r="D8423">
        <v>260</v>
      </c>
      <c r="E8423" s="51">
        <f>IF(INDEX(DarlBelegt,18)=0,0,EOMONTH(INDEX(DarlAuszahlung,18),259)+1)</f>
      </c>
      <c r="F8423" s="43">
        <f>IF($E8423=0,0,YEAR($E8423))</f>
      </c>
      <c r="G8423" s="43">
        <f>IF(INDEX(DarlBindung,18)="",1,IF($E8423&lt;=INDEX(DarlBindung,18),1,0))</f>
      </c>
      <c r="H8423" s="43">
        <f>IF($G8423=1,INDEX(DarlSollzins,18),INDEX(DarlAnschluss,18))</f>
      </c>
      <c r="I8423" s="43">
        <f>IF(INDEX(DarlBelegt,18)=0,0,IF(INDEX(DarlOhneTilgung,18)=1,IF(INDEX(DarlBindung,18)="",1,$G8423),IF($J8423&gt;0.005,1,0)))</f>
      </c>
      <c r="J8423" s="43">
        <f>IF($I8422=0,0,$R8422)</f>
      </c>
      <c r="K8423" s="43">
        <f>IF($I8423=0,0,IF(INDEX(DarlOhneTilgung,18)=1,0,IF(AND(INDEX(DarlTilgStart,18)&gt;0,$E8423=INDEX(DarlTilgStart,18)),$J8423*($H8423+INDEX(DarlTilgung,18))/100/12,IF(AND($G8423=0,$G8422=1),MAX($K8422,$J8423*($H8423+1)/100/12),$K8422))))</f>
      </c>
      <c r="L8423" s="43">
        <f>IF($I8423=0,0,$J8423*$H8423/100/12)</f>
      </c>
      <c r="M8423" s="43">
        <f>IF($I8423=0,0,IF(OR(INDEX(DarlOhneTilgung,18)=1,AND(INDEX(DarlTilgStart,18)&gt;0,$E8423&lt;INDEX(DarlTilgStart,18))),0,MIN(MAX(0,$K8423-$L8423),$J8423)))</f>
      </c>
      <c r="N8423" s="43">
        <f>IF($I8423=0,0,MIN(SUMIFS(SondBetrag,SondDarl,18,SondDatum,"&gt;="&amp;$E8423,SondDatum,"&lt;="&amp;EOMONTH($E8423,0)),$J8423-$M8423))</f>
      </c>
      <c r="O8423" s="43">
        <f>IF($I8423=0,0,INDEX(DarlErsatzRate,18))</f>
      </c>
      <c r="P8423" s="43">
        <f>IF($I8423=0,0,$Q8422*INDEX(DarlErsatzZins,18))</f>
      </c>
      <c r="Q8423" s="43">
        <f>IF($I8423=0,0,$Q8422+$P8423+$O8423)</f>
      </c>
      <c r="R8423" s="43">
        <f>IF($I8423=0,0,$J8423-$M8423-$N8423)</f>
      </c>
    </row>
    <row r="8424">
      <c r="A8424"/>
      <c r="B8424">
        <v>18</v>
      </c>
      <c r="C8424" s="43">
        <f>INDEX(DarlObj,18)</f>
      </c>
      <c r="D8424">
        <v>261</v>
      </c>
      <c r="E8424" s="51">
        <f>IF(INDEX(DarlBelegt,18)=0,0,EOMONTH(INDEX(DarlAuszahlung,18),260)+1)</f>
      </c>
      <c r="F8424" s="43">
        <f>IF($E8424=0,0,YEAR($E8424))</f>
      </c>
      <c r="G8424" s="43">
        <f>IF(INDEX(DarlBindung,18)="",1,IF($E8424&lt;=INDEX(DarlBindung,18),1,0))</f>
      </c>
      <c r="H8424" s="43">
        <f>IF($G8424=1,INDEX(DarlSollzins,18),INDEX(DarlAnschluss,18))</f>
      </c>
      <c r="I8424" s="43">
        <f>IF(INDEX(DarlBelegt,18)=0,0,IF(INDEX(DarlOhneTilgung,18)=1,IF(INDEX(DarlBindung,18)="",1,$G8424),IF($J8424&gt;0.005,1,0)))</f>
      </c>
      <c r="J8424" s="43">
        <f>IF($I8423=0,0,$R8423)</f>
      </c>
      <c r="K8424" s="43">
        <f>IF($I8424=0,0,IF(INDEX(DarlOhneTilgung,18)=1,0,IF(AND(INDEX(DarlTilgStart,18)&gt;0,$E8424=INDEX(DarlTilgStart,18)),$J8424*($H8424+INDEX(DarlTilgung,18))/100/12,IF(AND($G8424=0,$G8423=1),MAX($K8423,$J8424*($H8424+1)/100/12),$K8423))))</f>
      </c>
      <c r="L8424" s="43">
        <f>IF($I8424=0,0,$J8424*$H8424/100/12)</f>
      </c>
      <c r="M8424" s="43">
        <f>IF($I8424=0,0,IF(OR(INDEX(DarlOhneTilgung,18)=1,AND(INDEX(DarlTilgStart,18)&gt;0,$E8424&lt;INDEX(DarlTilgStart,18))),0,MIN(MAX(0,$K8424-$L8424),$J8424)))</f>
      </c>
      <c r="N8424" s="43">
        <f>IF($I8424=0,0,MIN(SUMIFS(SondBetrag,SondDarl,18,SondDatum,"&gt;="&amp;$E8424,SondDatum,"&lt;="&amp;EOMONTH($E8424,0)),$J8424-$M8424))</f>
      </c>
      <c r="O8424" s="43">
        <f>IF($I8424=0,0,INDEX(DarlErsatzRate,18))</f>
      </c>
      <c r="P8424" s="43">
        <f>IF($I8424=0,0,$Q8423*INDEX(DarlErsatzZins,18))</f>
      </c>
      <c r="Q8424" s="43">
        <f>IF($I8424=0,0,$Q8423+$P8424+$O8424)</f>
      </c>
      <c r="R8424" s="43">
        <f>IF($I8424=0,0,$J8424-$M8424-$N8424)</f>
      </c>
    </row>
    <row r="8425">
      <c r="A8425"/>
      <c r="B8425">
        <v>18</v>
      </c>
      <c r="C8425" s="43">
        <f>INDEX(DarlObj,18)</f>
      </c>
      <c r="D8425">
        <v>262</v>
      </c>
      <c r="E8425" s="51">
        <f>IF(INDEX(DarlBelegt,18)=0,0,EOMONTH(INDEX(DarlAuszahlung,18),261)+1)</f>
      </c>
      <c r="F8425" s="43">
        <f>IF($E8425=0,0,YEAR($E8425))</f>
      </c>
      <c r="G8425" s="43">
        <f>IF(INDEX(DarlBindung,18)="",1,IF($E8425&lt;=INDEX(DarlBindung,18),1,0))</f>
      </c>
      <c r="H8425" s="43">
        <f>IF($G8425=1,INDEX(DarlSollzins,18),INDEX(DarlAnschluss,18))</f>
      </c>
      <c r="I8425" s="43">
        <f>IF(INDEX(DarlBelegt,18)=0,0,IF(INDEX(DarlOhneTilgung,18)=1,IF(INDEX(DarlBindung,18)="",1,$G8425),IF($J8425&gt;0.005,1,0)))</f>
      </c>
      <c r="J8425" s="43">
        <f>IF($I8424=0,0,$R8424)</f>
      </c>
      <c r="K8425" s="43">
        <f>IF($I8425=0,0,IF(INDEX(DarlOhneTilgung,18)=1,0,IF(AND(INDEX(DarlTilgStart,18)&gt;0,$E8425=INDEX(DarlTilgStart,18)),$J8425*($H8425+INDEX(DarlTilgung,18))/100/12,IF(AND($G8425=0,$G8424=1),MAX($K8424,$J8425*($H8425+1)/100/12),$K8424))))</f>
      </c>
      <c r="L8425" s="43">
        <f>IF($I8425=0,0,$J8425*$H8425/100/12)</f>
      </c>
      <c r="M8425" s="43">
        <f>IF($I8425=0,0,IF(OR(INDEX(DarlOhneTilgung,18)=1,AND(INDEX(DarlTilgStart,18)&gt;0,$E8425&lt;INDEX(DarlTilgStart,18))),0,MIN(MAX(0,$K8425-$L8425),$J8425)))</f>
      </c>
      <c r="N8425" s="43">
        <f>IF($I8425=0,0,MIN(SUMIFS(SondBetrag,SondDarl,18,SondDatum,"&gt;="&amp;$E8425,SondDatum,"&lt;="&amp;EOMONTH($E8425,0)),$J8425-$M8425))</f>
      </c>
      <c r="O8425" s="43">
        <f>IF($I8425=0,0,INDEX(DarlErsatzRate,18))</f>
      </c>
      <c r="P8425" s="43">
        <f>IF($I8425=0,0,$Q8424*INDEX(DarlErsatzZins,18))</f>
      </c>
      <c r="Q8425" s="43">
        <f>IF($I8425=0,0,$Q8424+$P8425+$O8425)</f>
      </c>
      <c r="R8425" s="43">
        <f>IF($I8425=0,0,$J8425-$M8425-$N8425)</f>
      </c>
    </row>
    <row r="8426">
      <c r="A8426"/>
      <c r="B8426">
        <v>18</v>
      </c>
      <c r="C8426" s="43">
        <f>INDEX(DarlObj,18)</f>
      </c>
      <c r="D8426">
        <v>263</v>
      </c>
      <c r="E8426" s="51">
        <f>IF(INDEX(DarlBelegt,18)=0,0,EOMONTH(INDEX(DarlAuszahlung,18),262)+1)</f>
      </c>
      <c r="F8426" s="43">
        <f>IF($E8426=0,0,YEAR($E8426))</f>
      </c>
      <c r="G8426" s="43">
        <f>IF(INDEX(DarlBindung,18)="",1,IF($E8426&lt;=INDEX(DarlBindung,18),1,0))</f>
      </c>
      <c r="H8426" s="43">
        <f>IF($G8426=1,INDEX(DarlSollzins,18),INDEX(DarlAnschluss,18))</f>
      </c>
      <c r="I8426" s="43">
        <f>IF(INDEX(DarlBelegt,18)=0,0,IF(INDEX(DarlOhneTilgung,18)=1,IF(INDEX(DarlBindung,18)="",1,$G8426),IF($J8426&gt;0.005,1,0)))</f>
      </c>
      <c r="J8426" s="43">
        <f>IF($I8425=0,0,$R8425)</f>
      </c>
      <c r="K8426" s="43">
        <f>IF($I8426=0,0,IF(INDEX(DarlOhneTilgung,18)=1,0,IF(AND(INDEX(DarlTilgStart,18)&gt;0,$E8426=INDEX(DarlTilgStart,18)),$J8426*($H8426+INDEX(DarlTilgung,18))/100/12,IF(AND($G8426=0,$G8425=1),MAX($K8425,$J8426*($H8426+1)/100/12),$K8425))))</f>
      </c>
      <c r="L8426" s="43">
        <f>IF($I8426=0,0,$J8426*$H8426/100/12)</f>
      </c>
      <c r="M8426" s="43">
        <f>IF($I8426=0,0,IF(OR(INDEX(DarlOhneTilgung,18)=1,AND(INDEX(DarlTilgStart,18)&gt;0,$E8426&lt;INDEX(DarlTilgStart,18))),0,MIN(MAX(0,$K8426-$L8426),$J8426)))</f>
      </c>
      <c r="N8426" s="43">
        <f>IF($I8426=0,0,MIN(SUMIFS(SondBetrag,SondDarl,18,SondDatum,"&gt;="&amp;$E8426,SondDatum,"&lt;="&amp;EOMONTH($E8426,0)),$J8426-$M8426))</f>
      </c>
      <c r="O8426" s="43">
        <f>IF($I8426=0,0,INDEX(DarlErsatzRate,18))</f>
      </c>
      <c r="P8426" s="43">
        <f>IF($I8426=0,0,$Q8425*INDEX(DarlErsatzZins,18))</f>
      </c>
      <c r="Q8426" s="43">
        <f>IF($I8426=0,0,$Q8425+$P8426+$O8426)</f>
      </c>
      <c r="R8426" s="43">
        <f>IF($I8426=0,0,$J8426-$M8426-$N8426)</f>
      </c>
    </row>
    <row r="8427">
      <c r="A8427"/>
      <c r="B8427">
        <v>18</v>
      </c>
      <c r="C8427" s="43">
        <f>INDEX(DarlObj,18)</f>
      </c>
      <c r="D8427">
        <v>264</v>
      </c>
      <c r="E8427" s="51">
        <f>IF(INDEX(DarlBelegt,18)=0,0,EOMONTH(INDEX(DarlAuszahlung,18),263)+1)</f>
      </c>
      <c r="F8427" s="43">
        <f>IF($E8427=0,0,YEAR($E8427))</f>
      </c>
      <c r="G8427" s="43">
        <f>IF(INDEX(DarlBindung,18)="",1,IF($E8427&lt;=INDEX(DarlBindung,18),1,0))</f>
      </c>
      <c r="H8427" s="43">
        <f>IF($G8427=1,INDEX(DarlSollzins,18),INDEX(DarlAnschluss,18))</f>
      </c>
      <c r="I8427" s="43">
        <f>IF(INDEX(DarlBelegt,18)=0,0,IF(INDEX(DarlOhneTilgung,18)=1,IF(INDEX(DarlBindung,18)="",1,$G8427),IF($J8427&gt;0.005,1,0)))</f>
      </c>
      <c r="J8427" s="43">
        <f>IF($I8426=0,0,$R8426)</f>
      </c>
      <c r="K8427" s="43">
        <f>IF($I8427=0,0,IF(INDEX(DarlOhneTilgung,18)=1,0,IF(AND(INDEX(DarlTilgStart,18)&gt;0,$E8427=INDEX(DarlTilgStart,18)),$J8427*($H8427+INDEX(DarlTilgung,18))/100/12,IF(AND($G8427=0,$G8426=1),MAX($K8426,$J8427*($H8427+1)/100/12),$K8426))))</f>
      </c>
      <c r="L8427" s="43">
        <f>IF($I8427=0,0,$J8427*$H8427/100/12)</f>
      </c>
      <c r="M8427" s="43">
        <f>IF($I8427=0,0,IF(OR(INDEX(DarlOhneTilgung,18)=1,AND(INDEX(DarlTilgStart,18)&gt;0,$E8427&lt;INDEX(DarlTilgStart,18))),0,MIN(MAX(0,$K8427-$L8427),$J8427)))</f>
      </c>
      <c r="N8427" s="43">
        <f>IF($I8427=0,0,MIN(SUMIFS(SondBetrag,SondDarl,18,SondDatum,"&gt;="&amp;$E8427,SondDatum,"&lt;="&amp;EOMONTH($E8427,0)),$J8427-$M8427))</f>
      </c>
      <c r="O8427" s="43">
        <f>IF($I8427=0,0,INDEX(DarlErsatzRate,18))</f>
      </c>
      <c r="P8427" s="43">
        <f>IF($I8427=0,0,$Q8426*INDEX(DarlErsatzZins,18))</f>
      </c>
      <c r="Q8427" s="43">
        <f>IF($I8427=0,0,$Q8426+$P8427+$O8427)</f>
      </c>
      <c r="R8427" s="43">
        <f>IF($I8427=0,0,$J8427-$M8427-$N8427)</f>
      </c>
    </row>
    <row r="8428">
      <c r="A8428"/>
      <c r="B8428">
        <v>18</v>
      </c>
      <c r="C8428" s="43">
        <f>INDEX(DarlObj,18)</f>
      </c>
      <c r="D8428">
        <v>265</v>
      </c>
      <c r="E8428" s="51">
        <f>IF(INDEX(DarlBelegt,18)=0,0,EOMONTH(INDEX(DarlAuszahlung,18),264)+1)</f>
      </c>
      <c r="F8428" s="43">
        <f>IF($E8428=0,0,YEAR($E8428))</f>
      </c>
      <c r="G8428" s="43">
        <f>IF(INDEX(DarlBindung,18)="",1,IF($E8428&lt;=INDEX(DarlBindung,18),1,0))</f>
      </c>
      <c r="H8428" s="43">
        <f>IF($G8428=1,INDEX(DarlSollzins,18),INDEX(DarlAnschluss,18))</f>
      </c>
      <c r="I8428" s="43">
        <f>IF(INDEX(DarlBelegt,18)=0,0,IF(INDEX(DarlOhneTilgung,18)=1,IF(INDEX(DarlBindung,18)="",1,$G8428),IF($J8428&gt;0.005,1,0)))</f>
      </c>
      <c r="J8428" s="43">
        <f>IF($I8427=0,0,$R8427)</f>
      </c>
      <c r="K8428" s="43">
        <f>IF($I8428=0,0,IF(INDEX(DarlOhneTilgung,18)=1,0,IF(AND(INDEX(DarlTilgStart,18)&gt;0,$E8428=INDEX(DarlTilgStart,18)),$J8428*($H8428+INDEX(DarlTilgung,18))/100/12,IF(AND($G8428=0,$G8427=1),MAX($K8427,$J8428*($H8428+1)/100/12),$K8427))))</f>
      </c>
      <c r="L8428" s="43">
        <f>IF($I8428=0,0,$J8428*$H8428/100/12)</f>
      </c>
      <c r="M8428" s="43">
        <f>IF($I8428=0,0,IF(OR(INDEX(DarlOhneTilgung,18)=1,AND(INDEX(DarlTilgStart,18)&gt;0,$E8428&lt;INDEX(DarlTilgStart,18))),0,MIN(MAX(0,$K8428-$L8428),$J8428)))</f>
      </c>
      <c r="N8428" s="43">
        <f>IF($I8428=0,0,MIN(SUMIFS(SondBetrag,SondDarl,18,SondDatum,"&gt;="&amp;$E8428,SondDatum,"&lt;="&amp;EOMONTH($E8428,0)),$J8428-$M8428))</f>
      </c>
      <c r="O8428" s="43">
        <f>IF($I8428=0,0,INDEX(DarlErsatzRate,18))</f>
      </c>
      <c r="P8428" s="43">
        <f>IF($I8428=0,0,$Q8427*INDEX(DarlErsatzZins,18))</f>
      </c>
      <c r="Q8428" s="43">
        <f>IF($I8428=0,0,$Q8427+$P8428+$O8428)</f>
      </c>
      <c r="R8428" s="43">
        <f>IF($I8428=0,0,$J8428-$M8428-$N8428)</f>
      </c>
    </row>
    <row r="8429">
      <c r="A8429"/>
      <c r="B8429">
        <v>18</v>
      </c>
      <c r="C8429" s="43">
        <f>INDEX(DarlObj,18)</f>
      </c>
      <c r="D8429">
        <v>266</v>
      </c>
      <c r="E8429" s="51">
        <f>IF(INDEX(DarlBelegt,18)=0,0,EOMONTH(INDEX(DarlAuszahlung,18),265)+1)</f>
      </c>
      <c r="F8429" s="43">
        <f>IF($E8429=0,0,YEAR($E8429))</f>
      </c>
      <c r="G8429" s="43">
        <f>IF(INDEX(DarlBindung,18)="",1,IF($E8429&lt;=INDEX(DarlBindung,18),1,0))</f>
      </c>
      <c r="H8429" s="43">
        <f>IF($G8429=1,INDEX(DarlSollzins,18),INDEX(DarlAnschluss,18))</f>
      </c>
      <c r="I8429" s="43">
        <f>IF(INDEX(DarlBelegt,18)=0,0,IF(INDEX(DarlOhneTilgung,18)=1,IF(INDEX(DarlBindung,18)="",1,$G8429),IF($J8429&gt;0.005,1,0)))</f>
      </c>
      <c r="J8429" s="43">
        <f>IF($I8428=0,0,$R8428)</f>
      </c>
      <c r="K8429" s="43">
        <f>IF($I8429=0,0,IF(INDEX(DarlOhneTilgung,18)=1,0,IF(AND(INDEX(DarlTilgStart,18)&gt;0,$E8429=INDEX(DarlTilgStart,18)),$J8429*($H8429+INDEX(DarlTilgung,18))/100/12,IF(AND($G8429=0,$G8428=1),MAX($K8428,$J8429*($H8429+1)/100/12),$K8428))))</f>
      </c>
      <c r="L8429" s="43">
        <f>IF($I8429=0,0,$J8429*$H8429/100/12)</f>
      </c>
      <c r="M8429" s="43">
        <f>IF($I8429=0,0,IF(OR(INDEX(DarlOhneTilgung,18)=1,AND(INDEX(DarlTilgStart,18)&gt;0,$E8429&lt;INDEX(DarlTilgStart,18))),0,MIN(MAX(0,$K8429-$L8429),$J8429)))</f>
      </c>
      <c r="N8429" s="43">
        <f>IF($I8429=0,0,MIN(SUMIFS(SondBetrag,SondDarl,18,SondDatum,"&gt;="&amp;$E8429,SondDatum,"&lt;="&amp;EOMONTH($E8429,0)),$J8429-$M8429))</f>
      </c>
      <c r="O8429" s="43">
        <f>IF($I8429=0,0,INDEX(DarlErsatzRate,18))</f>
      </c>
      <c r="P8429" s="43">
        <f>IF($I8429=0,0,$Q8428*INDEX(DarlErsatzZins,18))</f>
      </c>
      <c r="Q8429" s="43">
        <f>IF($I8429=0,0,$Q8428+$P8429+$O8429)</f>
      </c>
      <c r="R8429" s="43">
        <f>IF($I8429=0,0,$J8429-$M8429-$N8429)</f>
      </c>
    </row>
    <row r="8430">
      <c r="A8430"/>
      <c r="B8430">
        <v>18</v>
      </c>
      <c r="C8430" s="43">
        <f>INDEX(DarlObj,18)</f>
      </c>
      <c r="D8430">
        <v>267</v>
      </c>
      <c r="E8430" s="51">
        <f>IF(INDEX(DarlBelegt,18)=0,0,EOMONTH(INDEX(DarlAuszahlung,18),266)+1)</f>
      </c>
      <c r="F8430" s="43">
        <f>IF($E8430=0,0,YEAR($E8430))</f>
      </c>
      <c r="G8430" s="43">
        <f>IF(INDEX(DarlBindung,18)="",1,IF($E8430&lt;=INDEX(DarlBindung,18),1,0))</f>
      </c>
      <c r="H8430" s="43">
        <f>IF($G8430=1,INDEX(DarlSollzins,18),INDEX(DarlAnschluss,18))</f>
      </c>
      <c r="I8430" s="43">
        <f>IF(INDEX(DarlBelegt,18)=0,0,IF(INDEX(DarlOhneTilgung,18)=1,IF(INDEX(DarlBindung,18)="",1,$G8430),IF($J8430&gt;0.005,1,0)))</f>
      </c>
      <c r="J8430" s="43">
        <f>IF($I8429=0,0,$R8429)</f>
      </c>
      <c r="K8430" s="43">
        <f>IF($I8430=0,0,IF(INDEX(DarlOhneTilgung,18)=1,0,IF(AND(INDEX(DarlTilgStart,18)&gt;0,$E8430=INDEX(DarlTilgStart,18)),$J8430*($H8430+INDEX(DarlTilgung,18))/100/12,IF(AND($G8430=0,$G8429=1),MAX($K8429,$J8430*($H8430+1)/100/12),$K8429))))</f>
      </c>
      <c r="L8430" s="43">
        <f>IF($I8430=0,0,$J8430*$H8430/100/12)</f>
      </c>
      <c r="M8430" s="43">
        <f>IF($I8430=0,0,IF(OR(INDEX(DarlOhneTilgung,18)=1,AND(INDEX(DarlTilgStart,18)&gt;0,$E8430&lt;INDEX(DarlTilgStart,18))),0,MIN(MAX(0,$K8430-$L8430),$J8430)))</f>
      </c>
      <c r="N8430" s="43">
        <f>IF($I8430=0,0,MIN(SUMIFS(SondBetrag,SondDarl,18,SondDatum,"&gt;="&amp;$E8430,SondDatum,"&lt;="&amp;EOMONTH($E8430,0)),$J8430-$M8430))</f>
      </c>
      <c r="O8430" s="43">
        <f>IF($I8430=0,0,INDEX(DarlErsatzRate,18))</f>
      </c>
      <c r="P8430" s="43">
        <f>IF($I8430=0,0,$Q8429*INDEX(DarlErsatzZins,18))</f>
      </c>
      <c r="Q8430" s="43">
        <f>IF($I8430=0,0,$Q8429+$P8430+$O8430)</f>
      </c>
      <c r="R8430" s="43">
        <f>IF($I8430=0,0,$J8430-$M8430-$N8430)</f>
      </c>
    </row>
    <row r="8431">
      <c r="A8431"/>
      <c r="B8431">
        <v>18</v>
      </c>
      <c r="C8431" s="43">
        <f>INDEX(DarlObj,18)</f>
      </c>
      <c r="D8431">
        <v>268</v>
      </c>
      <c r="E8431" s="51">
        <f>IF(INDEX(DarlBelegt,18)=0,0,EOMONTH(INDEX(DarlAuszahlung,18),267)+1)</f>
      </c>
      <c r="F8431" s="43">
        <f>IF($E8431=0,0,YEAR($E8431))</f>
      </c>
      <c r="G8431" s="43">
        <f>IF(INDEX(DarlBindung,18)="",1,IF($E8431&lt;=INDEX(DarlBindung,18),1,0))</f>
      </c>
      <c r="H8431" s="43">
        <f>IF($G8431=1,INDEX(DarlSollzins,18),INDEX(DarlAnschluss,18))</f>
      </c>
      <c r="I8431" s="43">
        <f>IF(INDEX(DarlBelegt,18)=0,0,IF(INDEX(DarlOhneTilgung,18)=1,IF(INDEX(DarlBindung,18)="",1,$G8431),IF($J8431&gt;0.005,1,0)))</f>
      </c>
      <c r="J8431" s="43">
        <f>IF($I8430=0,0,$R8430)</f>
      </c>
      <c r="K8431" s="43">
        <f>IF($I8431=0,0,IF(INDEX(DarlOhneTilgung,18)=1,0,IF(AND(INDEX(DarlTilgStart,18)&gt;0,$E8431=INDEX(DarlTilgStart,18)),$J8431*($H8431+INDEX(DarlTilgung,18))/100/12,IF(AND($G8431=0,$G8430=1),MAX($K8430,$J8431*($H8431+1)/100/12),$K8430))))</f>
      </c>
      <c r="L8431" s="43">
        <f>IF($I8431=0,0,$J8431*$H8431/100/12)</f>
      </c>
      <c r="M8431" s="43">
        <f>IF($I8431=0,0,IF(OR(INDEX(DarlOhneTilgung,18)=1,AND(INDEX(DarlTilgStart,18)&gt;0,$E8431&lt;INDEX(DarlTilgStart,18))),0,MIN(MAX(0,$K8431-$L8431),$J8431)))</f>
      </c>
      <c r="N8431" s="43">
        <f>IF($I8431=0,0,MIN(SUMIFS(SondBetrag,SondDarl,18,SondDatum,"&gt;="&amp;$E8431,SondDatum,"&lt;="&amp;EOMONTH($E8431,0)),$J8431-$M8431))</f>
      </c>
      <c r="O8431" s="43">
        <f>IF($I8431=0,0,INDEX(DarlErsatzRate,18))</f>
      </c>
      <c r="P8431" s="43">
        <f>IF($I8431=0,0,$Q8430*INDEX(DarlErsatzZins,18))</f>
      </c>
      <c r="Q8431" s="43">
        <f>IF($I8431=0,0,$Q8430+$P8431+$O8431)</f>
      </c>
      <c r="R8431" s="43">
        <f>IF($I8431=0,0,$J8431-$M8431-$N8431)</f>
      </c>
    </row>
    <row r="8432">
      <c r="A8432"/>
      <c r="B8432">
        <v>18</v>
      </c>
      <c r="C8432" s="43">
        <f>INDEX(DarlObj,18)</f>
      </c>
      <c r="D8432">
        <v>269</v>
      </c>
      <c r="E8432" s="51">
        <f>IF(INDEX(DarlBelegt,18)=0,0,EOMONTH(INDEX(DarlAuszahlung,18),268)+1)</f>
      </c>
      <c r="F8432" s="43">
        <f>IF($E8432=0,0,YEAR($E8432))</f>
      </c>
      <c r="G8432" s="43">
        <f>IF(INDEX(DarlBindung,18)="",1,IF($E8432&lt;=INDEX(DarlBindung,18),1,0))</f>
      </c>
      <c r="H8432" s="43">
        <f>IF($G8432=1,INDEX(DarlSollzins,18),INDEX(DarlAnschluss,18))</f>
      </c>
      <c r="I8432" s="43">
        <f>IF(INDEX(DarlBelegt,18)=0,0,IF(INDEX(DarlOhneTilgung,18)=1,IF(INDEX(DarlBindung,18)="",1,$G8432),IF($J8432&gt;0.005,1,0)))</f>
      </c>
      <c r="J8432" s="43">
        <f>IF($I8431=0,0,$R8431)</f>
      </c>
      <c r="K8432" s="43">
        <f>IF($I8432=0,0,IF(INDEX(DarlOhneTilgung,18)=1,0,IF(AND(INDEX(DarlTilgStart,18)&gt;0,$E8432=INDEX(DarlTilgStart,18)),$J8432*($H8432+INDEX(DarlTilgung,18))/100/12,IF(AND($G8432=0,$G8431=1),MAX($K8431,$J8432*($H8432+1)/100/12),$K8431))))</f>
      </c>
      <c r="L8432" s="43">
        <f>IF($I8432=0,0,$J8432*$H8432/100/12)</f>
      </c>
      <c r="M8432" s="43">
        <f>IF($I8432=0,0,IF(OR(INDEX(DarlOhneTilgung,18)=1,AND(INDEX(DarlTilgStart,18)&gt;0,$E8432&lt;INDEX(DarlTilgStart,18))),0,MIN(MAX(0,$K8432-$L8432),$J8432)))</f>
      </c>
      <c r="N8432" s="43">
        <f>IF($I8432=0,0,MIN(SUMIFS(SondBetrag,SondDarl,18,SondDatum,"&gt;="&amp;$E8432,SondDatum,"&lt;="&amp;EOMONTH($E8432,0)),$J8432-$M8432))</f>
      </c>
      <c r="O8432" s="43">
        <f>IF($I8432=0,0,INDEX(DarlErsatzRate,18))</f>
      </c>
      <c r="P8432" s="43">
        <f>IF($I8432=0,0,$Q8431*INDEX(DarlErsatzZins,18))</f>
      </c>
      <c r="Q8432" s="43">
        <f>IF($I8432=0,0,$Q8431+$P8432+$O8432)</f>
      </c>
      <c r="R8432" s="43">
        <f>IF($I8432=0,0,$J8432-$M8432-$N8432)</f>
      </c>
    </row>
    <row r="8433">
      <c r="A8433"/>
      <c r="B8433">
        <v>18</v>
      </c>
      <c r="C8433" s="43">
        <f>INDEX(DarlObj,18)</f>
      </c>
      <c r="D8433">
        <v>270</v>
      </c>
      <c r="E8433" s="51">
        <f>IF(INDEX(DarlBelegt,18)=0,0,EOMONTH(INDEX(DarlAuszahlung,18),269)+1)</f>
      </c>
      <c r="F8433" s="43">
        <f>IF($E8433=0,0,YEAR($E8433))</f>
      </c>
      <c r="G8433" s="43">
        <f>IF(INDEX(DarlBindung,18)="",1,IF($E8433&lt;=INDEX(DarlBindung,18),1,0))</f>
      </c>
      <c r="H8433" s="43">
        <f>IF($G8433=1,INDEX(DarlSollzins,18),INDEX(DarlAnschluss,18))</f>
      </c>
      <c r="I8433" s="43">
        <f>IF(INDEX(DarlBelegt,18)=0,0,IF(INDEX(DarlOhneTilgung,18)=1,IF(INDEX(DarlBindung,18)="",1,$G8433),IF($J8433&gt;0.005,1,0)))</f>
      </c>
      <c r="J8433" s="43">
        <f>IF($I8432=0,0,$R8432)</f>
      </c>
      <c r="K8433" s="43">
        <f>IF($I8433=0,0,IF(INDEX(DarlOhneTilgung,18)=1,0,IF(AND(INDEX(DarlTilgStart,18)&gt;0,$E8433=INDEX(DarlTilgStart,18)),$J8433*($H8433+INDEX(DarlTilgung,18))/100/12,IF(AND($G8433=0,$G8432=1),MAX($K8432,$J8433*($H8433+1)/100/12),$K8432))))</f>
      </c>
      <c r="L8433" s="43">
        <f>IF($I8433=0,0,$J8433*$H8433/100/12)</f>
      </c>
      <c r="M8433" s="43">
        <f>IF($I8433=0,0,IF(OR(INDEX(DarlOhneTilgung,18)=1,AND(INDEX(DarlTilgStart,18)&gt;0,$E8433&lt;INDEX(DarlTilgStart,18))),0,MIN(MAX(0,$K8433-$L8433),$J8433)))</f>
      </c>
      <c r="N8433" s="43">
        <f>IF($I8433=0,0,MIN(SUMIFS(SondBetrag,SondDarl,18,SondDatum,"&gt;="&amp;$E8433,SondDatum,"&lt;="&amp;EOMONTH($E8433,0)),$J8433-$M8433))</f>
      </c>
      <c r="O8433" s="43">
        <f>IF($I8433=0,0,INDEX(DarlErsatzRate,18))</f>
      </c>
      <c r="P8433" s="43">
        <f>IF($I8433=0,0,$Q8432*INDEX(DarlErsatzZins,18))</f>
      </c>
      <c r="Q8433" s="43">
        <f>IF($I8433=0,0,$Q8432+$P8433+$O8433)</f>
      </c>
      <c r="R8433" s="43">
        <f>IF($I8433=0,0,$J8433-$M8433-$N8433)</f>
      </c>
    </row>
    <row r="8434">
      <c r="A8434"/>
      <c r="B8434">
        <v>18</v>
      </c>
      <c r="C8434" s="43">
        <f>INDEX(DarlObj,18)</f>
      </c>
      <c r="D8434">
        <v>271</v>
      </c>
      <c r="E8434" s="51">
        <f>IF(INDEX(DarlBelegt,18)=0,0,EOMONTH(INDEX(DarlAuszahlung,18),270)+1)</f>
      </c>
      <c r="F8434" s="43">
        <f>IF($E8434=0,0,YEAR($E8434))</f>
      </c>
      <c r="G8434" s="43">
        <f>IF(INDEX(DarlBindung,18)="",1,IF($E8434&lt;=INDEX(DarlBindung,18),1,0))</f>
      </c>
      <c r="H8434" s="43">
        <f>IF($G8434=1,INDEX(DarlSollzins,18),INDEX(DarlAnschluss,18))</f>
      </c>
      <c r="I8434" s="43">
        <f>IF(INDEX(DarlBelegt,18)=0,0,IF(INDEX(DarlOhneTilgung,18)=1,IF(INDEX(DarlBindung,18)="",1,$G8434),IF($J8434&gt;0.005,1,0)))</f>
      </c>
      <c r="J8434" s="43">
        <f>IF($I8433=0,0,$R8433)</f>
      </c>
      <c r="K8434" s="43">
        <f>IF($I8434=0,0,IF(INDEX(DarlOhneTilgung,18)=1,0,IF(AND(INDEX(DarlTilgStart,18)&gt;0,$E8434=INDEX(DarlTilgStart,18)),$J8434*($H8434+INDEX(DarlTilgung,18))/100/12,IF(AND($G8434=0,$G8433=1),MAX($K8433,$J8434*($H8434+1)/100/12),$K8433))))</f>
      </c>
      <c r="L8434" s="43">
        <f>IF($I8434=0,0,$J8434*$H8434/100/12)</f>
      </c>
      <c r="M8434" s="43">
        <f>IF($I8434=0,0,IF(OR(INDEX(DarlOhneTilgung,18)=1,AND(INDEX(DarlTilgStart,18)&gt;0,$E8434&lt;INDEX(DarlTilgStart,18))),0,MIN(MAX(0,$K8434-$L8434),$J8434)))</f>
      </c>
      <c r="N8434" s="43">
        <f>IF($I8434=0,0,MIN(SUMIFS(SondBetrag,SondDarl,18,SondDatum,"&gt;="&amp;$E8434,SondDatum,"&lt;="&amp;EOMONTH($E8434,0)),$J8434-$M8434))</f>
      </c>
      <c r="O8434" s="43">
        <f>IF($I8434=0,0,INDEX(DarlErsatzRate,18))</f>
      </c>
      <c r="P8434" s="43">
        <f>IF($I8434=0,0,$Q8433*INDEX(DarlErsatzZins,18))</f>
      </c>
      <c r="Q8434" s="43">
        <f>IF($I8434=0,0,$Q8433+$P8434+$O8434)</f>
      </c>
      <c r="R8434" s="43">
        <f>IF($I8434=0,0,$J8434-$M8434-$N8434)</f>
      </c>
    </row>
    <row r="8435">
      <c r="A8435"/>
      <c r="B8435">
        <v>18</v>
      </c>
      <c r="C8435" s="43">
        <f>INDEX(DarlObj,18)</f>
      </c>
      <c r="D8435">
        <v>272</v>
      </c>
      <c r="E8435" s="51">
        <f>IF(INDEX(DarlBelegt,18)=0,0,EOMONTH(INDEX(DarlAuszahlung,18),271)+1)</f>
      </c>
      <c r="F8435" s="43">
        <f>IF($E8435=0,0,YEAR($E8435))</f>
      </c>
      <c r="G8435" s="43">
        <f>IF(INDEX(DarlBindung,18)="",1,IF($E8435&lt;=INDEX(DarlBindung,18),1,0))</f>
      </c>
      <c r="H8435" s="43">
        <f>IF($G8435=1,INDEX(DarlSollzins,18),INDEX(DarlAnschluss,18))</f>
      </c>
      <c r="I8435" s="43">
        <f>IF(INDEX(DarlBelegt,18)=0,0,IF(INDEX(DarlOhneTilgung,18)=1,IF(INDEX(DarlBindung,18)="",1,$G8435),IF($J8435&gt;0.005,1,0)))</f>
      </c>
      <c r="J8435" s="43">
        <f>IF($I8434=0,0,$R8434)</f>
      </c>
      <c r="K8435" s="43">
        <f>IF($I8435=0,0,IF(INDEX(DarlOhneTilgung,18)=1,0,IF(AND(INDEX(DarlTilgStart,18)&gt;0,$E8435=INDEX(DarlTilgStart,18)),$J8435*($H8435+INDEX(DarlTilgung,18))/100/12,IF(AND($G8435=0,$G8434=1),MAX($K8434,$J8435*($H8435+1)/100/12),$K8434))))</f>
      </c>
      <c r="L8435" s="43">
        <f>IF($I8435=0,0,$J8435*$H8435/100/12)</f>
      </c>
      <c r="M8435" s="43">
        <f>IF($I8435=0,0,IF(OR(INDEX(DarlOhneTilgung,18)=1,AND(INDEX(DarlTilgStart,18)&gt;0,$E8435&lt;INDEX(DarlTilgStart,18))),0,MIN(MAX(0,$K8435-$L8435),$J8435)))</f>
      </c>
      <c r="N8435" s="43">
        <f>IF($I8435=0,0,MIN(SUMIFS(SondBetrag,SondDarl,18,SondDatum,"&gt;="&amp;$E8435,SondDatum,"&lt;="&amp;EOMONTH($E8435,0)),$J8435-$M8435))</f>
      </c>
      <c r="O8435" s="43">
        <f>IF($I8435=0,0,INDEX(DarlErsatzRate,18))</f>
      </c>
      <c r="P8435" s="43">
        <f>IF($I8435=0,0,$Q8434*INDEX(DarlErsatzZins,18))</f>
      </c>
      <c r="Q8435" s="43">
        <f>IF($I8435=0,0,$Q8434+$P8435+$O8435)</f>
      </c>
      <c r="R8435" s="43">
        <f>IF($I8435=0,0,$J8435-$M8435-$N8435)</f>
      </c>
    </row>
    <row r="8436">
      <c r="A8436"/>
      <c r="B8436">
        <v>18</v>
      </c>
      <c r="C8436" s="43">
        <f>INDEX(DarlObj,18)</f>
      </c>
      <c r="D8436">
        <v>273</v>
      </c>
      <c r="E8436" s="51">
        <f>IF(INDEX(DarlBelegt,18)=0,0,EOMONTH(INDEX(DarlAuszahlung,18),272)+1)</f>
      </c>
      <c r="F8436" s="43">
        <f>IF($E8436=0,0,YEAR($E8436))</f>
      </c>
      <c r="G8436" s="43">
        <f>IF(INDEX(DarlBindung,18)="",1,IF($E8436&lt;=INDEX(DarlBindung,18),1,0))</f>
      </c>
      <c r="H8436" s="43">
        <f>IF($G8436=1,INDEX(DarlSollzins,18),INDEX(DarlAnschluss,18))</f>
      </c>
      <c r="I8436" s="43">
        <f>IF(INDEX(DarlBelegt,18)=0,0,IF(INDEX(DarlOhneTilgung,18)=1,IF(INDEX(DarlBindung,18)="",1,$G8436),IF($J8436&gt;0.005,1,0)))</f>
      </c>
      <c r="J8436" s="43">
        <f>IF($I8435=0,0,$R8435)</f>
      </c>
      <c r="K8436" s="43">
        <f>IF($I8436=0,0,IF(INDEX(DarlOhneTilgung,18)=1,0,IF(AND(INDEX(DarlTilgStart,18)&gt;0,$E8436=INDEX(DarlTilgStart,18)),$J8436*($H8436+INDEX(DarlTilgung,18))/100/12,IF(AND($G8436=0,$G8435=1),MAX($K8435,$J8436*($H8436+1)/100/12),$K8435))))</f>
      </c>
      <c r="L8436" s="43">
        <f>IF($I8436=0,0,$J8436*$H8436/100/12)</f>
      </c>
      <c r="M8436" s="43">
        <f>IF($I8436=0,0,IF(OR(INDEX(DarlOhneTilgung,18)=1,AND(INDEX(DarlTilgStart,18)&gt;0,$E8436&lt;INDEX(DarlTilgStart,18))),0,MIN(MAX(0,$K8436-$L8436),$J8436)))</f>
      </c>
      <c r="N8436" s="43">
        <f>IF($I8436=0,0,MIN(SUMIFS(SondBetrag,SondDarl,18,SondDatum,"&gt;="&amp;$E8436,SondDatum,"&lt;="&amp;EOMONTH($E8436,0)),$J8436-$M8436))</f>
      </c>
      <c r="O8436" s="43">
        <f>IF($I8436=0,0,INDEX(DarlErsatzRate,18))</f>
      </c>
      <c r="P8436" s="43">
        <f>IF($I8436=0,0,$Q8435*INDEX(DarlErsatzZins,18))</f>
      </c>
      <c r="Q8436" s="43">
        <f>IF($I8436=0,0,$Q8435+$P8436+$O8436)</f>
      </c>
      <c r="R8436" s="43">
        <f>IF($I8436=0,0,$J8436-$M8436-$N8436)</f>
      </c>
    </row>
    <row r="8437">
      <c r="A8437"/>
      <c r="B8437">
        <v>18</v>
      </c>
      <c r="C8437" s="43">
        <f>INDEX(DarlObj,18)</f>
      </c>
      <c r="D8437">
        <v>274</v>
      </c>
      <c r="E8437" s="51">
        <f>IF(INDEX(DarlBelegt,18)=0,0,EOMONTH(INDEX(DarlAuszahlung,18),273)+1)</f>
      </c>
      <c r="F8437" s="43">
        <f>IF($E8437=0,0,YEAR($E8437))</f>
      </c>
      <c r="G8437" s="43">
        <f>IF(INDEX(DarlBindung,18)="",1,IF($E8437&lt;=INDEX(DarlBindung,18),1,0))</f>
      </c>
      <c r="H8437" s="43">
        <f>IF($G8437=1,INDEX(DarlSollzins,18),INDEX(DarlAnschluss,18))</f>
      </c>
      <c r="I8437" s="43">
        <f>IF(INDEX(DarlBelegt,18)=0,0,IF(INDEX(DarlOhneTilgung,18)=1,IF(INDEX(DarlBindung,18)="",1,$G8437),IF($J8437&gt;0.005,1,0)))</f>
      </c>
      <c r="J8437" s="43">
        <f>IF($I8436=0,0,$R8436)</f>
      </c>
      <c r="K8437" s="43">
        <f>IF($I8437=0,0,IF(INDEX(DarlOhneTilgung,18)=1,0,IF(AND(INDEX(DarlTilgStart,18)&gt;0,$E8437=INDEX(DarlTilgStart,18)),$J8437*($H8437+INDEX(DarlTilgung,18))/100/12,IF(AND($G8437=0,$G8436=1),MAX($K8436,$J8437*($H8437+1)/100/12),$K8436))))</f>
      </c>
      <c r="L8437" s="43">
        <f>IF($I8437=0,0,$J8437*$H8437/100/12)</f>
      </c>
      <c r="M8437" s="43">
        <f>IF($I8437=0,0,IF(OR(INDEX(DarlOhneTilgung,18)=1,AND(INDEX(DarlTilgStart,18)&gt;0,$E8437&lt;INDEX(DarlTilgStart,18))),0,MIN(MAX(0,$K8437-$L8437),$J8437)))</f>
      </c>
      <c r="N8437" s="43">
        <f>IF($I8437=0,0,MIN(SUMIFS(SondBetrag,SondDarl,18,SondDatum,"&gt;="&amp;$E8437,SondDatum,"&lt;="&amp;EOMONTH($E8437,0)),$J8437-$M8437))</f>
      </c>
      <c r="O8437" s="43">
        <f>IF($I8437=0,0,INDEX(DarlErsatzRate,18))</f>
      </c>
      <c r="P8437" s="43">
        <f>IF($I8437=0,0,$Q8436*INDEX(DarlErsatzZins,18))</f>
      </c>
      <c r="Q8437" s="43">
        <f>IF($I8437=0,0,$Q8436+$P8437+$O8437)</f>
      </c>
      <c r="R8437" s="43">
        <f>IF($I8437=0,0,$J8437-$M8437-$N8437)</f>
      </c>
    </row>
    <row r="8438">
      <c r="A8438"/>
      <c r="B8438">
        <v>18</v>
      </c>
      <c r="C8438" s="43">
        <f>INDEX(DarlObj,18)</f>
      </c>
      <c r="D8438">
        <v>275</v>
      </c>
      <c r="E8438" s="51">
        <f>IF(INDEX(DarlBelegt,18)=0,0,EOMONTH(INDEX(DarlAuszahlung,18),274)+1)</f>
      </c>
      <c r="F8438" s="43">
        <f>IF($E8438=0,0,YEAR($E8438))</f>
      </c>
      <c r="G8438" s="43">
        <f>IF(INDEX(DarlBindung,18)="",1,IF($E8438&lt;=INDEX(DarlBindung,18),1,0))</f>
      </c>
      <c r="H8438" s="43">
        <f>IF($G8438=1,INDEX(DarlSollzins,18),INDEX(DarlAnschluss,18))</f>
      </c>
      <c r="I8438" s="43">
        <f>IF(INDEX(DarlBelegt,18)=0,0,IF(INDEX(DarlOhneTilgung,18)=1,IF(INDEX(DarlBindung,18)="",1,$G8438),IF($J8438&gt;0.005,1,0)))</f>
      </c>
      <c r="J8438" s="43">
        <f>IF($I8437=0,0,$R8437)</f>
      </c>
      <c r="K8438" s="43">
        <f>IF($I8438=0,0,IF(INDEX(DarlOhneTilgung,18)=1,0,IF(AND(INDEX(DarlTilgStart,18)&gt;0,$E8438=INDEX(DarlTilgStart,18)),$J8438*($H8438+INDEX(DarlTilgung,18))/100/12,IF(AND($G8438=0,$G8437=1),MAX($K8437,$J8438*($H8438+1)/100/12),$K8437))))</f>
      </c>
      <c r="L8438" s="43">
        <f>IF($I8438=0,0,$J8438*$H8438/100/12)</f>
      </c>
      <c r="M8438" s="43">
        <f>IF($I8438=0,0,IF(OR(INDEX(DarlOhneTilgung,18)=1,AND(INDEX(DarlTilgStart,18)&gt;0,$E8438&lt;INDEX(DarlTilgStart,18))),0,MIN(MAX(0,$K8438-$L8438),$J8438)))</f>
      </c>
      <c r="N8438" s="43">
        <f>IF($I8438=0,0,MIN(SUMIFS(SondBetrag,SondDarl,18,SondDatum,"&gt;="&amp;$E8438,SondDatum,"&lt;="&amp;EOMONTH($E8438,0)),$J8438-$M8438))</f>
      </c>
      <c r="O8438" s="43">
        <f>IF($I8438=0,0,INDEX(DarlErsatzRate,18))</f>
      </c>
      <c r="P8438" s="43">
        <f>IF($I8438=0,0,$Q8437*INDEX(DarlErsatzZins,18))</f>
      </c>
      <c r="Q8438" s="43">
        <f>IF($I8438=0,0,$Q8437+$P8438+$O8438)</f>
      </c>
      <c r="R8438" s="43">
        <f>IF($I8438=0,0,$J8438-$M8438-$N8438)</f>
      </c>
    </row>
    <row r="8439">
      <c r="A8439"/>
      <c r="B8439">
        <v>18</v>
      </c>
      <c r="C8439" s="43">
        <f>INDEX(DarlObj,18)</f>
      </c>
      <c r="D8439">
        <v>276</v>
      </c>
      <c r="E8439" s="51">
        <f>IF(INDEX(DarlBelegt,18)=0,0,EOMONTH(INDEX(DarlAuszahlung,18),275)+1)</f>
      </c>
      <c r="F8439" s="43">
        <f>IF($E8439=0,0,YEAR($E8439))</f>
      </c>
      <c r="G8439" s="43">
        <f>IF(INDEX(DarlBindung,18)="",1,IF($E8439&lt;=INDEX(DarlBindung,18),1,0))</f>
      </c>
      <c r="H8439" s="43">
        <f>IF($G8439=1,INDEX(DarlSollzins,18),INDEX(DarlAnschluss,18))</f>
      </c>
      <c r="I8439" s="43">
        <f>IF(INDEX(DarlBelegt,18)=0,0,IF(INDEX(DarlOhneTilgung,18)=1,IF(INDEX(DarlBindung,18)="",1,$G8439),IF($J8439&gt;0.005,1,0)))</f>
      </c>
      <c r="J8439" s="43">
        <f>IF($I8438=0,0,$R8438)</f>
      </c>
      <c r="K8439" s="43">
        <f>IF($I8439=0,0,IF(INDEX(DarlOhneTilgung,18)=1,0,IF(AND(INDEX(DarlTilgStart,18)&gt;0,$E8439=INDEX(DarlTilgStart,18)),$J8439*($H8439+INDEX(DarlTilgung,18))/100/12,IF(AND($G8439=0,$G8438=1),MAX($K8438,$J8439*($H8439+1)/100/12),$K8438))))</f>
      </c>
      <c r="L8439" s="43">
        <f>IF($I8439=0,0,$J8439*$H8439/100/12)</f>
      </c>
      <c r="M8439" s="43">
        <f>IF($I8439=0,0,IF(OR(INDEX(DarlOhneTilgung,18)=1,AND(INDEX(DarlTilgStart,18)&gt;0,$E8439&lt;INDEX(DarlTilgStart,18))),0,MIN(MAX(0,$K8439-$L8439),$J8439)))</f>
      </c>
      <c r="N8439" s="43">
        <f>IF($I8439=0,0,MIN(SUMIFS(SondBetrag,SondDarl,18,SondDatum,"&gt;="&amp;$E8439,SondDatum,"&lt;="&amp;EOMONTH($E8439,0)),$J8439-$M8439))</f>
      </c>
      <c r="O8439" s="43">
        <f>IF($I8439=0,0,INDEX(DarlErsatzRate,18))</f>
      </c>
      <c r="P8439" s="43">
        <f>IF($I8439=0,0,$Q8438*INDEX(DarlErsatzZins,18))</f>
      </c>
      <c r="Q8439" s="43">
        <f>IF($I8439=0,0,$Q8438+$P8439+$O8439)</f>
      </c>
      <c r="R8439" s="43">
        <f>IF($I8439=0,0,$J8439-$M8439-$N8439)</f>
      </c>
    </row>
    <row r="8440">
      <c r="A8440"/>
      <c r="B8440">
        <v>18</v>
      </c>
      <c r="C8440" s="43">
        <f>INDEX(DarlObj,18)</f>
      </c>
      <c r="D8440">
        <v>277</v>
      </c>
      <c r="E8440" s="51">
        <f>IF(INDEX(DarlBelegt,18)=0,0,EOMONTH(INDEX(DarlAuszahlung,18),276)+1)</f>
      </c>
      <c r="F8440" s="43">
        <f>IF($E8440=0,0,YEAR($E8440))</f>
      </c>
      <c r="G8440" s="43">
        <f>IF(INDEX(DarlBindung,18)="",1,IF($E8440&lt;=INDEX(DarlBindung,18),1,0))</f>
      </c>
      <c r="H8440" s="43">
        <f>IF($G8440=1,INDEX(DarlSollzins,18),INDEX(DarlAnschluss,18))</f>
      </c>
      <c r="I8440" s="43">
        <f>IF(INDEX(DarlBelegt,18)=0,0,IF(INDEX(DarlOhneTilgung,18)=1,IF(INDEX(DarlBindung,18)="",1,$G8440),IF($J8440&gt;0.005,1,0)))</f>
      </c>
      <c r="J8440" s="43">
        <f>IF($I8439=0,0,$R8439)</f>
      </c>
      <c r="K8440" s="43">
        <f>IF($I8440=0,0,IF(INDEX(DarlOhneTilgung,18)=1,0,IF(AND(INDEX(DarlTilgStart,18)&gt;0,$E8440=INDEX(DarlTilgStart,18)),$J8440*($H8440+INDEX(DarlTilgung,18))/100/12,IF(AND($G8440=0,$G8439=1),MAX($K8439,$J8440*($H8440+1)/100/12),$K8439))))</f>
      </c>
      <c r="L8440" s="43">
        <f>IF($I8440=0,0,$J8440*$H8440/100/12)</f>
      </c>
      <c r="M8440" s="43">
        <f>IF($I8440=0,0,IF(OR(INDEX(DarlOhneTilgung,18)=1,AND(INDEX(DarlTilgStart,18)&gt;0,$E8440&lt;INDEX(DarlTilgStart,18))),0,MIN(MAX(0,$K8440-$L8440),$J8440)))</f>
      </c>
      <c r="N8440" s="43">
        <f>IF($I8440=0,0,MIN(SUMIFS(SondBetrag,SondDarl,18,SondDatum,"&gt;="&amp;$E8440,SondDatum,"&lt;="&amp;EOMONTH($E8440,0)),$J8440-$M8440))</f>
      </c>
      <c r="O8440" s="43">
        <f>IF($I8440=0,0,INDEX(DarlErsatzRate,18))</f>
      </c>
      <c r="P8440" s="43">
        <f>IF($I8440=0,0,$Q8439*INDEX(DarlErsatzZins,18))</f>
      </c>
      <c r="Q8440" s="43">
        <f>IF($I8440=0,0,$Q8439+$P8440+$O8440)</f>
      </c>
      <c r="R8440" s="43">
        <f>IF($I8440=0,0,$J8440-$M8440-$N8440)</f>
      </c>
    </row>
    <row r="8441">
      <c r="A8441"/>
      <c r="B8441">
        <v>18</v>
      </c>
      <c r="C8441" s="43">
        <f>INDEX(DarlObj,18)</f>
      </c>
      <c r="D8441">
        <v>278</v>
      </c>
      <c r="E8441" s="51">
        <f>IF(INDEX(DarlBelegt,18)=0,0,EOMONTH(INDEX(DarlAuszahlung,18),277)+1)</f>
      </c>
      <c r="F8441" s="43">
        <f>IF($E8441=0,0,YEAR($E8441))</f>
      </c>
      <c r="G8441" s="43">
        <f>IF(INDEX(DarlBindung,18)="",1,IF($E8441&lt;=INDEX(DarlBindung,18),1,0))</f>
      </c>
      <c r="H8441" s="43">
        <f>IF($G8441=1,INDEX(DarlSollzins,18),INDEX(DarlAnschluss,18))</f>
      </c>
      <c r="I8441" s="43">
        <f>IF(INDEX(DarlBelegt,18)=0,0,IF(INDEX(DarlOhneTilgung,18)=1,IF(INDEX(DarlBindung,18)="",1,$G8441),IF($J8441&gt;0.005,1,0)))</f>
      </c>
      <c r="J8441" s="43">
        <f>IF($I8440=0,0,$R8440)</f>
      </c>
      <c r="K8441" s="43">
        <f>IF($I8441=0,0,IF(INDEX(DarlOhneTilgung,18)=1,0,IF(AND(INDEX(DarlTilgStart,18)&gt;0,$E8441=INDEX(DarlTilgStart,18)),$J8441*($H8441+INDEX(DarlTilgung,18))/100/12,IF(AND($G8441=0,$G8440=1),MAX($K8440,$J8441*($H8441+1)/100/12),$K8440))))</f>
      </c>
      <c r="L8441" s="43">
        <f>IF($I8441=0,0,$J8441*$H8441/100/12)</f>
      </c>
      <c r="M8441" s="43">
        <f>IF($I8441=0,0,IF(OR(INDEX(DarlOhneTilgung,18)=1,AND(INDEX(DarlTilgStart,18)&gt;0,$E8441&lt;INDEX(DarlTilgStart,18))),0,MIN(MAX(0,$K8441-$L8441),$J8441)))</f>
      </c>
      <c r="N8441" s="43">
        <f>IF($I8441=0,0,MIN(SUMIFS(SondBetrag,SondDarl,18,SondDatum,"&gt;="&amp;$E8441,SondDatum,"&lt;="&amp;EOMONTH($E8441,0)),$J8441-$M8441))</f>
      </c>
      <c r="O8441" s="43">
        <f>IF($I8441=0,0,INDEX(DarlErsatzRate,18))</f>
      </c>
      <c r="P8441" s="43">
        <f>IF($I8441=0,0,$Q8440*INDEX(DarlErsatzZins,18))</f>
      </c>
      <c r="Q8441" s="43">
        <f>IF($I8441=0,0,$Q8440+$P8441+$O8441)</f>
      </c>
      <c r="R8441" s="43">
        <f>IF($I8441=0,0,$J8441-$M8441-$N8441)</f>
      </c>
    </row>
    <row r="8442">
      <c r="A8442"/>
      <c r="B8442">
        <v>18</v>
      </c>
      <c r="C8442" s="43">
        <f>INDEX(DarlObj,18)</f>
      </c>
      <c r="D8442">
        <v>279</v>
      </c>
      <c r="E8442" s="51">
        <f>IF(INDEX(DarlBelegt,18)=0,0,EOMONTH(INDEX(DarlAuszahlung,18),278)+1)</f>
      </c>
      <c r="F8442" s="43">
        <f>IF($E8442=0,0,YEAR($E8442))</f>
      </c>
      <c r="G8442" s="43">
        <f>IF(INDEX(DarlBindung,18)="",1,IF($E8442&lt;=INDEX(DarlBindung,18),1,0))</f>
      </c>
      <c r="H8442" s="43">
        <f>IF($G8442=1,INDEX(DarlSollzins,18),INDEX(DarlAnschluss,18))</f>
      </c>
      <c r="I8442" s="43">
        <f>IF(INDEX(DarlBelegt,18)=0,0,IF(INDEX(DarlOhneTilgung,18)=1,IF(INDEX(DarlBindung,18)="",1,$G8442),IF($J8442&gt;0.005,1,0)))</f>
      </c>
      <c r="J8442" s="43">
        <f>IF($I8441=0,0,$R8441)</f>
      </c>
      <c r="K8442" s="43">
        <f>IF($I8442=0,0,IF(INDEX(DarlOhneTilgung,18)=1,0,IF(AND(INDEX(DarlTilgStart,18)&gt;0,$E8442=INDEX(DarlTilgStart,18)),$J8442*($H8442+INDEX(DarlTilgung,18))/100/12,IF(AND($G8442=0,$G8441=1),MAX($K8441,$J8442*($H8442+1)/100/12),$K8441))))</f>
      </c>
      <c r="L8442" s="43">
        <f>IF($I8442=0,0,$J8442*$H8442/100/12)</f>
      </c>
      <c r="M8442" s="43">
        <f>IF($I8442=0,0,IF(OR(INDEX(DarlOhneTilgung,18)=1,AND(INDEX(DarlTilgStart,18)&gt;0,$E8442&lt;INDEX(DarlTilgStart,18))),0,MIN(MAX(0,$K8442-$L8442),$J8442)))</f>
      </c>
      <c r="N8442" s="43">
        <f>IF($I8442=0,0,MIN(SUMIFS(SondBetrag,SondDarl,18,SondDatum,"&gt;="&amp;$E8442,SondDatum,"&lt;="&amp;EOMONTH($E8442,0)),$J8442-$M8442))</f>
      </c>
      <c r="O8442" s="43">
        <f>IF($I8442=0,0,INDEX(DarlErsatzRate,18))</f>
      </c>
      <c r="P8442" s="43">
        <f>IF($I8442=0,0,$Q8441*INDEX(DarlErsatzZins,18))</f>
      </c>
      <c r="Q8442" s="43">
        <f>IF($I8442=0,0,$Q8441+$P8442+$O8442)</f>
      </c>
      <c r="R8442" s="43">
        <f>IF($I8442=0,0,$J8442-$M8442-$N8442)</f>
      </c>
    </row>
    <row r="8443">
      <c r="A8443"/>
      <c r="B8443">
        <v>18</v>
      </c>
      <c r="C8443" s="43">
        <f>INDEX(DarlObj,18)</f>
      </c>
      <c r="D8443">
        <v>280</v>
      </c>
      <c r="E8443" s="51">
        <f>IF(INDEX(DarlBelegt,18)=0,0,EOMONTH(INDEX(DarlAuszahlung,18),279)+1)</f>
      </c>
      <c r="F8443" s="43">
        <f>IF($E8443=0,0,YEAR($E8443))</f>
      </c>
      <c r="G8443" s="43">
        <f>IF(INDEX(DarlBindung,18)="",1,IF($E8443&lt;=INDEX(DarlBindung,18),1,0))</f>
      </c>
      <c r="H8443" s="43">
        <f>IF($G8443=1,INDEX(DarlSollzins,18),INDEX(DarlAnschluss,18))</f>
      </c>
      <c r="I8443" s="43">
        <f>IF(INDEX(DarlBelegt,18)=0,0,IF(INDEX(DarlOhneTilgung,18)=1,IF(INDEX(DarlBindung,18)="",1,$G8443),IF($J8443&gt;0.005,1,0)))</f>
      </c>
      <c r="J8443" s="43">
        <f>IF($I8442=0,0,$R8442)</f>
      </c>
      <c r="K8443" s="43">
        <f>IF($I8443=0,0,IF(INDEX(DarlOhneTilgung,18)=1,0,IF(AND(INDEX(DarlTilgStart,18)&gt;0,$E8443=INDEX(DarlTilgStart,18)),$J8443*($H8443+INDEX(DarlTilgung,18))/100/12,IF(AND($G8443=0,$G8442=1),MAX($K8442,$J8443*($H8443+1)/100/12),$K8442))))</f>
      </c>
      <c r="L8443" s="43">
        <f>IF($I8443=0,0,$J8443*$H8443/100/12)</f>
      </c>
      <c r="M8443" s="43">
        <f>IF($I8443=0,0,IF(OR(INDEX(DarlOhneTilgung,18)=1,AND(INDEX(DarlTilgStart,18)&gt;0,$E8443&lt;INDEX(DarlTilgStart,18))),0,MIN(MAX(0,$K8443-$L8443),$J8443)))</f>
      </c>
      <c r="N8443" s="43">
        <f>IF($I8443=0,0,MIN(SUMIFS(SondBetrag,SondDarl,18,SondDatum,"&gt;="&amp;$E8443,SondDatum,"&lt;="&amp;EOMONTH($E8443,0)),$J8443-$M8443))</f>
      </c>
      <c r="O8443" s="43">
        <f>IF($I8443=0,0,INDEX(DarlErsatzRate,18))</f>
      </c>
      <c r="P8443" s="43">
        <f>IF($I8443=0,0,$Q8442*INDEX(DarlErsatzZins,18))</f>
      </c>
      <c r="Q8443" s="43">
        <f>IF($I8443=0,0,$Q8442+$P8443+$O8443)</f>
      </c>
      <c r="R8443" s="43">
        <f>IF($I8443=0,0,$J8443-$M8443-$N8443)</f>
      </c>
    </row>
    <row r="8444">
      <c r="A8444"/>
      <c r="B8444">
        <v>18</v>
      </c>
      <c r="C8444" s="43">
        <f>INDEX(DarlObj,18)</f>
      </c>
      <c r="D8444">
        <v>281</v>
      </c>
      <c r="E8444" s="51">
        <f>IF(INDEX(DarlBelegt,18)=0,0,EOMONTH(INDEX(DarlAuszahlung,18),280)+1)</f>
      </c>
      <c r="F8444" s="43">
        <f>IF($E8444=0,0,YEAR($E8444))</f>
      </c>
      <c r="G8444" s="43">
        <f>IF(INDEX(DarlBindung,18)="",1,IF($E8444&lt;=INDEX(DarlBindung,18),1,0))</f>
      </c>
      <c r="H8444" s="43">
        <f>IF($G8444=1,INDEX(DarlSollzins,18),INDEX(DarlAnschluss,18))</f>
      </c>
      <c r="I8444" s="43">
        <f>IF(INDEX(DarlBelegt,18)=0,0,IF(INDEX(DarlOhneTilgung,18)=1,IF(INDEX(DarlBindung,18)="",1,$G8444),IF($J8444&gt;0.005,1,0)))</f>
      </c>
      <c r="J8444" s="43">
        <f>IF($I8443=0,0,$R8443)</f>
      </c>
      <c r="K8444" s="43">
        <f>IF($I8444=0,0,IF(INDEX(DarlOhneTilgung,18)=1,0,IF(AND(INDEX(DarlTilgStart,18)&gt;0,$E8444=INDEX(DarlTilgStart,18)),$J8444*($H8444+INDEX(DarlTilgung,18))/100/12,IF(AND($G8444=0,$G8443=1),MAX($K8443,$J8444*($H8444+1)/100/12),$K8443))))</f>
      </c>
      <c r="L8444" s="43">
        <f>IF($I8444=0,0,$J8444*$H8444/100/12)</f>
      </c>
      <c r="M8444" s="43">
        <f>IF($I8444=0,0,IF(OR(INDEX(DarlOhneTilgung,18)=1,AND(INDEX(DarlTilgStart,18)&gt;0,$E8444&lt;INDEX(DarlTilgStart,18))),0,MIN(MAX(0,$K8444-$L8444),$J8444)))</f>
      </c>
      <c r="N8444" s="43">
        <f>IF($I8444=0,0,MIN(SUMIFS(SondBetrag,SondDarl,18,SondDatum,"&gt;="&amp;$E8444,SondDatum,"&lt;="&amp;EOMONTH($E8444,0)),$J8444-$M8444))</f>
      </c>
      <c r="O8444" s="43">
        <f>IF($I8444=0,0,INDEX(DarlErsatzRate,18))</f>
      </c>
      <c r="P8444" s="43">
        <f>IF($I8444=0,0,$Q8443*INDEX(DarlErsatzZins,18))</f>
      </c>
      <c r="Q8444" s="43">
        <f>IF($I8444=0,0,$Q8443+$P8444+$O8444)</f>
      </c>
      <c r="R8444" s="43">
        <f>IF($I8444=0,0,$J8444-$M8444-$N8444)</f>
      </c>
    </row>
    <row r="8445">
      <c r="A8445"/>
      <c r="B8445">
        <v>18</v>
      </c>
      <c r="C8445" s="43">
        <f>INDEX(DarlObj,18)</f>
      </c>
      <c r="D8445">
        <v>282</v>
      </c>
      <c r="E8445" s="51">
        <f>IF(INDEX(DarlBelegt,18)=0,0,EOMONTH(INDEX(DarlAuszahlung,18),281)+1)</f>
      </c>
      <c r="F8445" s="43">
        <f>IF($E8445=0,0,YEAR($E8445))</f>
      </c>
      <c r="G8445" s="43">
        <f>IF(INDEX(DarlBindung,18)="",1,IF($E8445&lt;=INDEX(DarlBindung,18),1,0))</f>
      </c>
      <c r="H8445" s="43">
        <f>IF($G8445=1,INDEX(DarlSollzins,18),INDEX(DarlAnschluss,18))</f>
      </c>
      <c r="I8445" s="43">
        <f>IF(INDEX(DarlBelegt,18)=0,0,IF(INDEX(DarlOhneTilgung,18)=1,IF(INDEX(DarlBindung,18)="",1,$G8445),IF($J8445&gt;0.005,1,0)))</f>
      </c>
      <c r="J8445" s="43">
        <f>IF($I8444=0,0,$R8444)</f>
      </c>
      <c r="K8445" s="43">
        <f>IF($I8445=0,0,IF(INDEX(DarlOhneTilgung,18)=1,0,IF(AND(INDEX(DarlTilgStart,18)&gt;0,$E8445=INDEX(DarlTilgStart,18)),$J8445*($H8445+INDEX(DarlTilgung,18))/100/12,IF(AND($G8445=0,$G8444=1),MAX($K8444,$J8445*($H8445+1)/100/12),$K8444))))</f>
      </c>
      <c r="L8445" s="43">
        <f>IF($I8445=0,0,$J8445*$H8445/100/12)</f>
      </c>
      <c r="M8445" s="43">
        <f>IF($I8445=0,0,IF(OR(INDEX(DarlOhneTilgung,18)=1,AND(INDEX(DarlTilgStart,18)&gt;0,$E8445&lt;INDEX(DarlTilgStart,18))),0,MIN(MAX(0,$K8445-$L8445),$J8445)))</f>
      </c>
      <c r="N8445" s="43">
        <f>IF($I8445=0,0,MIN(SUMIFS(SondBetrag,SondDarl,18,SondDatum,"&gt;="&amp;$E8445,SondDatum,"&lt;="&amp;EOMONTH($E8445,0)),$J8445-$M8445))</f>
      </c>
      <c r="O8445" s="43">
        <f>IF($I8445=0,0,INDEX(DarlErsatzRate,18))</f>
      </c>
      <c r="P8445" s="43">
        <f>IF($I8445=0,0,$Q8444*INDEX(DarlErsatzZins,18))</f>
      </c>
      <c r="Q8445" s="43">
        <f>IF($I8445=0,0,$Q8444+$P8445+$O8445)</f>
      </c>
      <c r="R8445" s="43">
        <f>IF($I8445=0,0,$J8445-$M8445-$N8445)</f>
      </c>
    </row>
    <row r="8446">
      <c r="A8446"/>
      <c r="B8446">
        <v>18</v>
      </c>
      <c r="C8446" s="43">
        <f>INDEX(DarlObj,18)</f>
      </c>
      <c r="D8446">
        <v>283</v>
      </c>
      <c r="E8446" s="51">
        <f>IF(INDEX(DarlBelegt,18)=0,0,EOMONTH(INDEX(DarlAuszahlung,18),282)+1)</f>
      </c>
      <c r="F8446" s="43">
        <f>IF($E8446=0,0,YEAR($E8446))</f>
      </c>
      <c r="G8446" s="43">
        <f>IF(INDEX(DarlBindung,18)="",1,IF($E8446&lt;=INDEX(DarlBindung,18),1,0))</f>
      </c>
      <c r="H8446" s="43">
        <f>IF($G8446=1,INDEX(DarlSollzins,18),INDEX(DarlAnschluss,18))</f>
      </c>
      <c r="I8446" s="43">
        <f>IF(INDEX(DarlBelegt,18)=0,0,IF(INDEX(DarlOhneTilgung,18)=1,IF(INDEX(DarlBindung,18)="",1,$G8446),IF($J8446&gt;0.005,1,0)))</f>
      </c>
      <c r="J8446" s="43">
        <f>IF($I8445=0,0,$R8445)</f>
      </c>
      <c r="K8446" s="43">
        <f>IF($I8446=0,0,IF(INDEX(DarlOhneTilgung,18)=1,0,IF(AND(INDEX(DarlTilgStart,18)&gt;0,$E8446=INDEX(DarlTilgStart,18)),$J8446*($H8446+INDEX(DarlTilgung,18))/100/12,IF(AND($G8446=0,$G8445=1),MAX($K8445,$J8446*($H8446+1)/100/12),$K8445))))</f>
      </c>
      <c r="L8446" s="43">
        <f>IF($I8446=0,0,$J8446*$H8446/100/12)</f>
      </c>
      <c r="M8446" s="43">
        <f>IF($I8446=0,0,IF(OR(INDEX(DarlOhneTilgung,18)=1,AND(INDEX(DarlTilgStart,18)&gt;0,$E8446&lt;INDEX(DarlTilgStart,18))),0,MIN(MAX(0,$K8446-$L8446),$J8446)))</f>
      </c>
      <c r="N8446" s="43">
        <f>IF($I8446=0,0,MIN(SUMIFS(SondBetrag,SondDarl,18,SondDatum,"&gt;="&amp;$E8446,SondDatum,"&lt;="&amp;EOMONTH($E8446,0)),$J8446-$M8446))</f>
      </c>
      <c r="O8446" s="43">
        <f>IF($I8446=0,0,INDEX(DarlErsatzRate,18))</f>
      </c>
      <c r="P8446" s="43">
        <f>IF($I8446=0,0,$Q8445*INDEX(DarlErsatzZins,18))</f>
      </c>
      <c r="Q8446" s="43">
        <f>IF($I8446=0,0,$Q8445+$P8446+$O8446)</f>
      </c>
      <c r="R8446" s="43">
        <f>IF($I8446=0,0,$J8446-$M8446-$N8446)</f>
      </c>
    </row>
    <row r="8447">
      <c r="A8447"/>
      <c r="B8447">
        <v>18</v>
      </c>
      <c r="C8447" s="43">
        <f>INDEX(DarlObj,18)</f>
      </c>
      <c r="D8447">
        <v>284</v>
      </c>
      <c r="E8447" s="51">
        <f>IF(INDEX(DarlBelegt,18)=0,0,EOMONTH(INDEX(DarlAuszahlung,18),283)+1)</f>
      </c>
      <c r="F8447" s="43">
        <f>IF($E8447=0,0,YEAR($E8447))</f>
      </c>
      <c r="G8447" s="43">
        <f>IF(INDEX(DarlBindung,18)="",1,IF($E8447&lt;=INDEX(DarlBindung,18),1,0))</f>
      </c>
      <c r="H8447" s="43">
        <f>IF($G8447=1,INDEX(DarlSollzins,18),INDEX(DarlAnschluss,18))</f>
      </c>
      <c r="I8447" s="43">
        <f>IF(INDEX(DarlBelegt,18)=0,0,IF(INDEX(DarlOhneTilgung,18)=1,IF(INDEX(DarlBindung,18)="",1,$G8447),IF($J8447&gt;0.005,1,0)))</f>
      </c>
      <c r="J8447" s="43">
        <f>IF($I8446=0,0,$R8446)</f>
      </c>
      <c r="K8447" s="43">
        <f>IF($I8447=0,0,IF(INDEX(DarlOhneTilgung,18)=1,0,IF(AND(INDEX(DarlTilgStart,18)&gt;0,$E8447=INDEX(DarlTilgStart,18)),$J8447*($H8447+INDEX(DarlTilgung,18))/100/12,IF(AND($G8447=0,$G8446=1),MAX($K8446,$J8447*($H8447+1)/100/12),$K8446))))</f>
      </c>
      <c r="L8447" s="43">
        <f>IF($I8447=0,0,$J8447*$H8447/100/12)</f>
      </c>
      <c r="M8447" s="43">
        <f>IF($I8447=0,0,IF(OR(INDEX(DarlOhneTilgung,18)=1,AND(INDEX(DarlTilgStart,18)&gt;0,$E8447&lt;INDEX(DarlTilgStart,18))),0,MIN(MAX(0,$K8447-$L8447),$J8447)))</f>
      </c>
      <c r="N8447" s="43">
        <f>IF($I8447=0,0,MIN(SUMIFS(SondBetrag,SondDarl,18,SondDatum,"&gt;="&amp;$E8447,SondDatum,"&lt;="&amp;EOMONTH($E8447,0)),$J8447-$M8447))</f>
      </c>
      <c r="O8447" s="43">
        <f>IF($I8447=0,0,INDEX(DarlErsatzRate,18))</f>
      </c>
      <c r="P8447" s="43">
        <f>IF($I8447=0,0,$Q8446*INDEX(DarlErsatzZins,18))</f>
      </c>
      <c r="Q8447" s="43">
        <f>IF($I8447=0,0,$Q8446+$P8447+$O8447)</f>
      </c>
      <c r="R8447" s="43">
        <f>IF($I8447=0,0,$J8447-$M8447-$N8447)</f>
      </c>
    </row>
    <row r="8448">
      <c r="A8448"/>
      <c r="B8448">
        <v>18</v>
      </c>
      <c r="C8448" s="43">
        <f>INDEX(DarlObj,18)</f>
      </c>
      <c r="D8448">
        <v>285</v>
      </c>
      <c r="E8448" s="51">
        <f>IF(INDEX(DarlBelegt,18)=0,0,EOMONTH(INDEX(DarlAuszahlung,18),284)+1)</f>
      </c>
      <c r="F8448" s="43">
        <f>IF($E8448=0,0,YEAR($E8448))</f>
      </c>
      <c r="G8448" s="43">
        <f>IF(INDEX(DarlBindung,18)="",1,IF($E8448&lt;=INDEX(DarlBindung,18),1,0))</f>
      </c>
      <c r="H8448" s="43">
        <f>IF($G8448=1,INDEX(DarlSollzins,18),INDEX(DarlAnschluss,18))</f>
      </c>
      <c r="I8448" s="43">
        <f>IF(INDEX(DarlBelegt,18)=0,0,IF(INDEX(DarlOhneTilgung,18)=1,IF(INDEX(DarlBindung,18)="",1,$G8448),IF($J8448&gt;0.005,1,0)))</f>
      </c>
      <c r="J8448" s="43">
        <f>IF($I8447=0,0,$R8447)</f>
      </c>
      <c r="K8448" s="43">
        <f>IF($I8448=0,0,IF(INDEX(DarlOhneTilgung,18)=1,0,IF(AND(INDEX(DarlTilgStart,18)&gt;0,$E8448=INDEX(DarlTilgStart,18)),$J8448*($H8448+INDEX(DarlTilgung,18))/100/12,IF(AND($G8448=0,$G8447=1),MAX($K8447,$J8448*($H8448+1)/100/12),$K8447))))</f>
      </c>
      <c r="L8448" s="43">
        <f>IF($I8448=0,0,$J8448*$H8448/100/12)</f>
      </c>
      <c r="M8448" s="43">
        <f>IF($I8448=0,0,IF(OR(INDEX(DarlOhneTilgung,18)=1,AND(INDEX(DarlTilgStart,18)&gt;0,$E8448&lt;INDEX(DarlTilgStart,18))),0,MIN(MAX(0,$K8448-$L8448),$J8448)))</f>
      </c>
      <c r="N8448" s="43">
        <f>IF($I8448=0,0,MIN(SUMIFS(SondBetrag,SondDarl,18,SondDatum,"&gt;="&amp;$E8448,SondDatum,"&lt;="&amp;EOMONTH($E8448,0)),$J8448-$M8448))</f>
      </c>
      <c r="O8448" s="43">
        <f>IF($I8448=0,0,INDEX(DarlErsatzRate,18))</f>
      </c>
      <c r="P8448" s="43">
        <f>IF($I8448=0,0,$Q8447*INDEX(DarlErsatzZins,18))</f>
      </c>
      <c r="Q8448" s="43">
        <f>IF($I8448=0,0,$Q8447+$P8448+$O8448)</f>
      </c>
      <c r="R8448" s="43">
        <f>IF($I8448=0,0,$J8448-$M8448-$N8448)</f>
      </c>
    </row>
    <row r="8449">
      <c r="A8449"/>
      <c r="B8449">
        <v>18</v>
      </c>
      <c r="C8449" s="43">
        <f>INDEX(DarlObj,18)</f>
      </c>
      <c r="D8449">
        <v>286</v>
      </c>
      <c r="E8449" s="51">
        <f>IF(INDEX(DarlBelegt,18)=0,0,EOMONTH(INDEX(DarlAuszahlung,18),285)+1)</f>
      </c>
      <c r="F8449" s="43">
        <f>IF($E8449=0,0,YEAR($E8449))</f>
      </c>
      <c r="G8449" s="43">
        <f>IF(INDEX(DarlBindung,18)="",1,IF($E8449&lt;=INDEX(DarlBindung,18),1,0))</f>
      </c>
      <c r="H8449" s="43">
        <f>IF($G8449=1,INDEX(DarlSollzins,18),INDEX(DarlAnschluss,18))</f>
      </c>
      <c r="I8449" s="43">
        <f>IF(INDEX(DarlBelegt,18)=0,0,IF(INDEX(DarlOhneTilgung,18)=1,IF(INDEX(DarlBindung,18)="",1,$G8449),IF($J8449&gt;0.005,1,0)))</f>
      </c>
      <c r="J8449" s="43">
        <f>IF($I8448=0,0,$R8448)</f>
      </c>
      <c r="K8449" s="43">
        <f>IF($I8449=0,0,IF(INDEX(DarlOhneTilgung,18)=1,0,IF(AND(INDEX(DarlTilgStart,18)&gt;0,$E8449=INDEX(DarlTilgStart,18)),$J8449*($H8449+INDEX(DarlTilgung,18))/100/12,IF(AND($G8449=0,$G8448=1),MAX($K8448,$J8449*($H8449+1)/100/12),$K8448))))</f>
      </c>
      <c r="L8449" s="43">
        <f>IF($I8449=0,0,$J8449*$H8449/100/12)</f>
      </c>
      <c r="M8449" s="43">
        <f>IF($I8449=0,0,IF(OR(INDEX(DarlOhneTilgung,18)=1,AND(INDEX(DarlTilgStart,18)&gt;0,$E8449&lt;INDEX(DarlTilgStart,18))),0,MIN(MAX(0,$K8449-$L8449),$J8449)))</f>
      </c>
      <c r="N8449" s="43">
        <f>IF($I8449=0,0,MIN(SUMIFS(SondBetrag,SondDarl,18,SondDatum,"&gt;="&amp;$E8449,SondDatum,"&lt;="&amp;EOMONTH($E8449,0)),$J8449-$M8449))</f>
      </c>
      <c r="O8449" s="43">
        <f>IF($I8449=0,0,INDEX(DarlErsatzRate,18))</f>
      </c>
      <c r="P8449" s="43">
        <f>IF($I8449=0,0,$Q8448*INDEX(DarlErsatzZins,18))</f>
      </c>
      <c r="Q8449" s="43">
        <f>IF($I8449=0,0,$Q8448+$P8449+$O8449)</f>
      </c>
      <c r="R8449" s="43">
        <f>IF($I8449=0,0,$J8449-$M8449-$N8449)</f>
      </c>
    </row>
    <row r="8450">
      <c r="A8450"/>
      <c r="B8450">
        <v>18</v>
      </c>
      <c r="C8450" s="43">
        <f>INDEX(DarlObj,18)</f>
      </c>
      <c r="D8450">
        <v>287</v>
      </c>
      <c r="E8450" s="51">
        <f>IF(INDEX(DarlBelegt,18)=0,0,EOMONTH(INDEX(DarlAuszahlung,18),286)+1)</f>
      </c>
      <c r="F8450" s="43">
        <f>IF($E8450=0,0,YEAR($E8450))</f>
      </c>
      <c r="G8450" s="43">
        <f>IF(INDEX(DarlBindung,18)="",1,IF($E8450&lt;=INDEX(DarlBindung,18),1,0))</f>
      </c>
      <c r="H8450" s="43">
        <f>IF($G8450=1,INDEX(DarlSollzins,18),INDEX(DarlAnschluss,18))</f>
      </c>
      <c r="I8450" s="43">
        <f>IF(INDEX(DarlBelegt,18)=0,0,IF(INDEX(DarlOhneTilgung,18)=1,IF(INDEX(DarlBindung,18)="",1,$G8450),IF($J8450&gt;0.005,1,0)))</f>
      </c>
      <c r="J8450" s="43">
        <f>IF($I8449=0,0,$R8449)</f>
      </c>
      <c r="K8450" s="43">
        <f>IF($I8450=0,0,IF(INDEX(DarlOhneTilgung,18)=1,0,IF(AND(INDEX(DarlTilgStart,18)&gt;0,$E8450=INDEX(DarlTilgStart,18)),$J8450*($H8450+INDEX(DarlTilgung,18))/100/12,IF(AND($G8450=0,$G8449=1),MAX($K8449,$J8450*($H8450+1)/100/12),$K8449))))</f>
      </c>
      <c r="L8450" s="43">
        <f>IF($I8450=0,0,$J8450*$H8450/100/12)</f>
      </c>
      <c r="M8450" s="43">
        <f>IF($I8450=0,0,IF(OR(INDEX(DarlOhneTilgung,18)=1,AND(INDEX(DarlTilgStart,18)&gt;0,$E8450&lt;INDEX(DarlTilgStart,18))),0,MIN(MAX(0,$K8450-$L8450),$J8450)))</f>
      </c>
      <c r="N8450" s="43">
        <f>IF($I8450=0,0,MIN(SUMIFS(SondBetrag,SondDarl,18,SondDatum,"&gt;="&amp;$E8450,SondDatum,"&lt;="&amp;EOMONTH($E8450,0)),$J8450-$M8450))</f>
      </c>
      <c r="O8450" s="43">
        <f>IF($I8450=0,0,INDEX(DarlErsatzRate,18))</f>
      </c>
      <c r="P8450" s="43">
        <f>IF($I8450=0,0,$Q8449*INDEX(DarlErsatzZins,18))</f>
      </c>
      <c r="Q8450" s="43">
        <f>IF($I8450=0,0,$Q8449+$P8450+$O8450)</f>
      </c>
      <c r="R8450" s="43">
        <f>IF($I8450=0,0,$J8450-$M8450-$N8450)</f>
      </c>
    </row>
    <row r="8451">
      <c r="A8451"/>
      <c r="B8451">
        <v>18</v>
      </c>
      <c r="C8451" s="43">
        <f>INDEX(DarlObj,18)</f>
      </c>
      <c r="D8451">
        <v>288</v>
      </c>
      <c r="E8451" s="51">
        <f>IF(INDEX(DarlBelegt,18)=0,0,EOMONTH(INDEX(DarlAuszahlung,18),287)+1)</f>
      </c>
      <c r="F8451" s="43">
        <f>IF($E8451=0,0,YEAR($E8451))</f>
      </c>
      <c r="G8451" s="43">
        <f>IF(INDEX(DarlBindung,18)="",1,IF($E8451&lt;=INDEX(DarlBindung,18),1,0))</f>
      </c>
      <c r="H8451" s="43">
        <f>IF($G8451=1,INDEX(DarlSollzins,18),INDEX(DarlAnschluss,18))</f>
      </c>
      <c r="I8451" s="43">
        <f>IF(INDEX(DarlBelegt,18)=0,0,IF(INDEX(DarlOhneTilgung,18)=1,IF(INDEX(DarlBindung,18)="",1,$G8451),IF($J8451&gt;0.005,1,0)))</f>
      </c>
      <c r="J8451" s="43">
        <f>IF($I8450=0,0,$R8450)</f>
      </c>
      <c r="K8451" s="43">
        <f>IF($I8451=0,0,IF(INDEX(DarlOhneTilgung,18)=1,0,IF(AND(INDEX(DarlTilgStart,18)&gt;0,$E8451=INDEX(DarlTilgStart,18)),$J8451*($H8451+INDEX(DarlTilgung,18))/100/12,IF(AND($G8451=0,$G8450=1),MAX($K8450,$J8451*($H8451+1)/100/12),$K8450))))</f>
      </c>
      <c r="L8451" s="43">
        <f>IF($I8451=0,0,$J8451*$H8451/100/12)</f>
      </c>
      <c r="M8451" s="43">
        <f>IF($I8451=0,0,IF(OR(INDEX(DarlOhneTilgung,18)=1,AND(INDEX(DarlTilgStart,18)&gt;0,$E8451&lt;INDEX(DarlTilgStart,18))),0,MIN(MAX(0,$K8451-$L8451),$J8451)))</f>
      </c>
      <c r="N8451" s="43">
        <f>IF($I8451=0,0,MIN(SUMIFS(SondBetrag,SondDarl,18,SondDatum,"&gt;="&amp;$E8451,SondDatum,"&lt;="&amp;EOMONTH($E8451,0)),$J8451-$M8451))</f>
      </c>
      <c r="O8451" s="43">
        <f>IF($I8451=0,0,INDEX(DarlErsatzRate,18))</f>
      </c>
      <c r="P8451" s="43">
        <f>IF($I8451=0,0,$Q8450*INDEX(DarlErsatzZins,18))</f>
      </c>
      <c r="Q8451" s="43">
        <f>IF($I8451=0,0,$Q8450+$P8451+$O8451)</f>
      </c>
      <c r="R8451" s="43">
        <f>IF($I8451=0,0,$J8451-$M8451-$N8451)</f>
      </c>
    </row>
    <row r="8452">
      <c r="A8452"/>
      <c r="B8452">
        <v>18</v>
      </c>
      <c r="C8452" s="43">
        <f>INDEX(DarlObj,18)</f>
      </c>
      <c r="D8452">
        <v>289</v>
      </c>
      <c r="E8452" s="51">
        <f>IF(INDEX(DarlBelegt,18)=0,0,EOMONTH(INDEX(DarlAuszahlung,18),288)+1)</f>
      </c>
      <c r="F8452" s="43">
        <f>IF($E8452=0,0,YEAR($E8452))</f>
      </c>
      <c r="G8452" s="43">
        <f>IF(INDEX(DarlBindung,18)="",1,IF($E8452&lt;=INDEX(DarlBindung,18),1,0))</f>
      </c>
      <c r="H8452" s="43">
        <f>IF($G8452=1,INDEX(DarlSollzins,18),INDEX(DarlAnschluss,18))</f>
      </c>
      <c r="I8452" s="43">
        <f>IF(INDEX(DarlBelegt,18)=0,0,IF(INDEX(DarlOhneTilgung,18)=1,IF(INDEX(DarlBindung,18)="",1,$G8452),IF($J8452&gt;0.005,1,0)))</f>
      </c>
      <c r="J8452" s="43">
        <f>IF($I8451=0,0,$R8451)</f>
      </c>
      <c r="K8452" s="43">
        <f>IF($I8452=0,0,IF(INDEX(DarlOhneTilgung,18)=1,0,IF(AND(INDEX(DarlTilgStart,18)&gt;0,$E8452=INDEX(DarlTilgStart,18)),$J8452*($H8452+INDEX(DarlTilgung,18))/100/12,IF(AND($G8452=0,$G8451=1),MAX($K8451,$J8452*($H8452+1)/100/12),$K8451))))</f>
      </c>
      <c r="L8452" s="43">
        <f>IF($I8452=0,0,$J8452*$H8452/100/12)</f>
      </c>
      <c r="M8452" s="43">
        <f>IF($I8452=0,0,IF(OR(INDEX(DarlOhneTilgung,18)=1,AND(INDEX(DarlTilgStart,18)&gt;0,$E8452&lt;INDEX(DarlTilgStart,18))),0,MIN(MAX(0,$K8452-$L8452),$J8452)))</f>
      </c>
      <c r="N8452" s="43">
        <f>IF($I8452=0,0,MIN(SUMIFS(SondBetrag,SondDarl,18,SondDatum,"&gt;="&amp;$E8452,SondDatum,"&lt;="&amp;EOMONTH($E8452,0)),$J8452-$M8452))</f>
      </c>
      <c r="O8452" s="43">
        <f>IF($I8452=0,0,INDEX(DarlErsatzRate,18))</f>
      </c>
      <c r="P8452" s="43">
        <f>IF($I8452=0,0,$Q8451*INDEX(DarlErsatzZins,18))</f>
      </c>
      <c r="Q8452" s="43">
        <f>IF($I8452=0,0,$Q8451+$P8452+$O8452)</f>
      </c>
      <c r="R8452" s="43">
        <f>IF($I8452=0,0,$J8452-$M8452-$N8452)</f>
      </c>
    </row>
    <row r="8453">
      <c r="A8453"/>
      <c r="B8453">
        <v>18</v>
      </c>
      <c r="C8453" s="43">
        <f>INDEX(DarlObj,18)</f>
      </c>
      <c r="D8453">
        <v>290</v>
      </c>
      <c r="E8453" s="51">
        <f>IF(INDEX(DarlBelegt,18)=0,0,EOMONTH(INDEX(DarlAuszahlung,18),289)+1)</f>
      </c>
      <c r="F8453" s="43">
        <f>IF($E8453=0,0,YEAR($E8453))</f>
      </c>
      <c r="G8453" s="43">
        <f>IF(INDEX(DarlBindung,18)="",1,IF($E8453&lt;=INDEX(DarlBindung,18),1,0))</f>
      </c>
      <c r="H8453" s="43">
        <f>IF($G8453=1,INDEX(DarlSollzins,18),INDEX(DarlAnschluss,18))</f>
      </c>
      <c r="I8453" s="43">
        <f>IF(INDEX(DarlBelegt,18)=0,0,IF(INDEX(DarlOhneTilgung,18)=1,IF(INDEX(DarlBindung,18)="",1,$G8453),IF($J8453&gt;0.005,1,0)))</f>
      </c>
      <c r="J8453" s="43">
        <f>IF($I8452=0,0,$R8452)</f>
      </c>
      <c r="K8453" s="43">
        <f>IF($I8453=0,0,IF(INDEX(DarlOhneTilgung,18)=1,0,IF(AND(INDEX(DarlTilgStart,18)&gt;0,$E8453=INDEX(DarlTilgStart,18)),$J8453*($H8453+INDEX(DarlTilgung,18))/100/12,IF(AND($G8453=0,$G8452=1),MAX($K8452,$J8453*($H8453+1)/100/12),$K8452))))</f>
      </c>
      <c r="L8453" s="43">
        <f>IF($I8453=0,0,$J8453*$H8453/100/12)</f>
      </c>
      <c r="M8453" s="43">
        <f>IF($I8453=0,0,IF(OR(INDEX(DarlOhneTilgung,18)=1,AND(INDEX(DarlTilgStart,18)&gt;0,$E8453&lt;INDEX(DarlTilgStart,18))),0,MIN(MAX(0,$K8453-$L8453),$J8453)))</f>
      </c>
      <c r="N8453" s="43">
        <f>IF($I8453=0,0,MIN(SUMIFS(SondBetrag,SondDarl,18,SondDatum,"&gt;="&amp;$E8453,SondDatum,"&lt;="&amp;EOMONTH($E8453,0)),$J8453-$M8453))</f>
      </c>
      <c r="O8453" s="43">
        <f>IF($I8453=0,0,INDEX(DarlErsatzRate,18))</f>
      </c>
      <c r="P8453" s="43">
        <f>IF($I8453=0,0,$Q8452*INDEX(DarlErsatzZins,18))</f>
      </c>
      <c r="Q8453" s="43">
        <f>IF($I8453=0,0,$Q8452+$P8453+$O8453)</f>
      </c>
      <c r="R8453" s="43">
        <f>IF($I8453=0,0,$J8453-$M8453-$N8453)</f>
      </c>
    </row>
    <row r="8454">
      <c r="A8454"/>
      <c r="B8454">
        <v>18</v>
      </c>
      <c r="C8454" s="43">
        <f>INDEX(DarlObj,18)</f>
      </c>
      <c r="D8454">
        <v>291</v>
      </c>
      <c r="E8454" s="51">
        <f>IF(INDEX(DarlBelegt,18)=0,0,EOMONTH(INDEX(DarlAuszahlung,18),290)+1)</f>
      </c>
      <c r="F8454" s="43">
        <f>IF($E8454=0,0,YEAR($E8454))</f>
      </c>
      <c r="G8454" s="43">
        <f>IF(INDEX(DarlBindung,18)="",1,IF($E8454&lt;=INDEX(DarlBindung,18),1,0))</f>
      </c>
      <c r="H8454" s="43">
        <f>IF($G8454=1,INDEX(DarlSollzins,18),INDEX(DarlAnschluss,18))</f>
      </c>
      <c r="I8454" s="43">
        <f>IF(INDEX(DarlBelegt,18)=0,0,IF(INDEX(DarlOhneTilgung,18)=1,IF(INDEX(DarlBindung,18)="",1,$G8454),IF($J8454&gt;0.005,1,0)))</f>
      </c>
      <c r="J8454" s="43">
        <f>IF($I8453=0,0,$R8453)</f>
      </c>
      <c r="K8454" s="43">
        <f>IF($I8454=0,0,IF(INDEX(DarlOhneTilgung,18)=1,0,IF(AND(INDEX(DarlTilgStart,18)&gt;0,$E8454=INDEX(DarlTilgStart,18)),$J8454*($H8454+INDEX(DarlTilgung,18))/100/12,IF(AND($G8454=0,$G8453=1),MAX($K8453,$J8454*($H8454+1)/100/12),$K8453))))</f>
      </c>
      <c r="L8454" s="43">
        <f>IF($I8454=0,0,$J8454*$H8454/100/12)</f>
      </c>
      <c r="M8454" s="43">
        <f>IF($I8454=0,0,IF(OR(INDEX(DarlOhneTilgung,18)=1,AND(INDEX(DarlTilgStart,18)&gt;0,$E8454&lt;INDEX(DarlTilgStart,18))),0,MIN(MAX(0,$K8454-$L8454),$J8454)))</f>
      </c>
      <c r="N8454" s="43">
        <f>IF($I8454=0,0,MIN(SUMIFS(SondBetrag,SondDarl,18,SondDatum,"&gt;="&amp;$E8454,SondDatum,"&lt;="&amp;EOMONTH($E8454,0)),$J8454-$M8454))</f>
      </c>
      <c r="O8454" s="43">
        <f>IF($I8454=0,0,INDEX(DarlErsatzRate,18))</f>
      </c>
      <c r="P8454" s="43">
        <f>IF($I8454=0,0,$Q8453*INDEX(DarlErsatzZins,18))</f>
      </c>
      <c r="Q8454" s="43">
        <f>IF($I8454=0,0,$Q8453+$P8454+$O8454)</f>
      </c>
      <c r="R8454" s="43">
        <f>IF($I8454=0,0,$J8454-$M8454-$N8454)</f>
      </c>
    </row>
    <row r="8455">
      <c r="A8455"/>
      <c r="B8455">
        <v>18</v>
      </c>
      <c r="C8455" s="43">
        <f>INDEX(DarlObj,18)</f>
      </c>
      <c r="D8455">
        <v>292</v>
      </c>
      <c r="E8455" s="51">
        <f>IF(INDEX(DarlBelegt,18)=0,0,EOMONTH(INDEX(DarlAuszahlung,18),291)+1)</f>
      </c>
      <c r="F8455" s="43">
        <f>IF($E8455=0,0,YEAR($E8455))</f>
      </c>
      <c r="G8455" s="43">
        <f>IF(INDEX(DarlBindung,18)="",1,IF($E8455&lt;=INDEX(DarlBindung,18),1,0))</f>
      </c>
      <c r="H8455" s="43">
        <f>IF($G8455=1,INDEX(DarlSollzins,18),INDEX(DarlAnschluss,18))</f>
      </c>
      <c r="I8455" s="43">
        <f>IF(INDEX(DarlBelegt,18)=0,0,IF(INDEX(DarlOhneTilgung,18)=1,IF(INDEX(DarlBindung,18)="",1,$G8455),IF($J8455&gt;0.005,1,0)))</f>
      </c>
      <c r="J8455" s="43">
        <f>IF($I8454=0,0,$R8454)</f>
      </c>
      <c r="K8455" s="43">
        <f>IF($I8455=0,0,IF(INDEX(DarlOhneTilgung,18)=1,0,IF(AND(INDEX(DarlTilgStart,18)&gt;0,$E8455=INDEX(DarlTilgStart,18)),$J8455*($H8455+INDEX(DarlTilgung,18))/100/12,IF(AND($G8455=0,$G8454=1),MAX($K8454,$J8455*($H8455+1)/100/12),$K8454))))</f>
      </c>
      <c r="L8455" s="43">
        <f>IF($I8455=0,0,$J8455*$H8455/100/12)</f>
      </c>
      <c r="M8455" s="43">
        <f>IF($I8455=0,0,IF(OR(INDEX(DarlOhneTilgung,18)=1,AND(INDEX(DarlTilgStart,18)&gt;0,$E8455&lt;INDEX(DarlTilgStart,18))),0,MIN(MAX(0,$K8455-$L8455),$J8455)))</f>
      </c>
      <c r="N8455" s="43">
        <f>IF($I8455=0,0,MIN(SUMIFS(SondBetrag,SondDarl,18,SondDatum,"&gt;="&amp;$E8455,SondDatum,"&lt;="&amp;EOMONTH($E8455,0)),$J8455-$M8455))</f>
      </c>
      <c r="O8455" s="43">
        <f>IF($I8455=0,0,INDEX(DarlErsatzRate,18))</f>
      </c>
      <c r="P8455" s="43">
        <f>IF($I8455=0,0,$Q8454*INDEX(DarlErsatzZins,18))</f>
      </c>
      <c r="Q8455" s="43">
        <f>IF($I8455=0,0,$Q8454+$P8455+$O8455)</f>
      </c>
      <c r="R8455" s="43">
        <f>IF($I8455=0,0,$J8455-$M8455-$N8455)</f>
      </c>
    </row>
    <row r="8456">
      <c r="A8456"/>
      <c r="B8456">
        <v>18</v>
      </c>
      <c r="C8456" s="43">
        <f>INDEX(DarlObj,18)</f>
      </c>
      <c r="D8456">
        <v>293</v>
      </c>
      <c r="E8456" s="51">
        <f>IF(INDEX(DarlBelegt,18)=0,0,EOMONTH(INDEX(DarlAuszahlung,18),292)+1)</f>
      </c>
      <c r="F8456" s="43">
        <f>IF($E8456=0,0,YEAR($E8456))</f>
      </c>
      <c r="G8456" s="43">
        <f>IF(INDEX(DarlBindung,18)="",1,IF($E8456&lt;=INDEX(DarlBindung,18),1,0))</f>
      </c>
      <c r="H8456" s="43">
        <f>IF($G8456=1,INDEX(DarlSollzins,18),INDEX(DarlAnschluss,18))</f>
      </c>
      <c r="I8456" s="43">
        <f>IF(INDEX(DarlBelegt,18)=0,0,IF(INDEX(DarlOhneTilgung,18)=1,IF(INDEX(DarlBindung,18)="",1,$G8456),IF($J8456&gt;0.005,1,0)))</f>
      </c>
      <c r="J8456" s="43">
        <f>IF($I8455=0,0,$R8455)</f>
      </c>
      <c r="K8456" s="43">
        <f>IF($I8456=0,0,IF(INDEX(DarlOhneTilgung,18)=1,0,IF(AND(INDEX(DarlTilgStart,18)&gt;0,$E8456=INDEX(DarlTilgStart,18)),$J8456*($H8456+INDEX(DarlTilgung,18))/100/12,IF(AND($G8456=0,$G8455=1),MAX($K8455,$J8456*($H8456+1)/100/12),$K8455))))</f>
      </c>
      <c r="L8456" s="43">
        <f>IF($I8456=0,0,$J8456*$H8456/100/12)</f>
      </c>
      <c r="M8456" s="43">
        <f>IF($I8456=0,0,IF(OR(INDEX(DarlOhneTilgung,18)=1,AND(INDEX(DarlTilgStart,18)&gt;0,$E8456&lt;INDEX(DarlTilgStart,18))),0,MIN(MAX(0,$K8456-$L8456),$J8456)))</f>
      </c>
      <c r="N8456" s="43">
        <f>IF($I8456=0,0,MIN(SUMIFS(SondBetrag,SondDarl,18,SondDatum,"&gt;="&amp;$E8456,SondDatum,"&lt;="&amp;EOMONTH($E8456,0)),$J8456-$M8456))</f>
      </c>
      <c r="O8456" s="43">
        <f>IF($I8456=0,0,INDEX(DarlErsatzRate,18))</f>
      </c>
      <c r="P8456" s="43">
        <f>IF($I8456=0,0,$Q8455*INDEX(DarlErsatzZins,18))</f>
      </c>
      <c r="Q8456" s="43">
        <f>IF($I8456=0,0,$Q8455+$P8456+$O8456)</f>
      </c>
      <c r="R8456" s="43">
        <f>IF($I8456=0,0,$J8456-$M8456-$N8456)</f>
      </c>
    </row>
    <row r="8457">
      <c r="A8457"/>
      <c r="B8457">
        <v>18</v>
      </c>
      <c r="C8457" s="43">
        <f>INDEX(DarlObj,18)</f>
      </c>
      <c r="D8457">
        <v>294</v>
      </c>
      <c r="E8457" s="51">
        <f>IF(INDEX(DarlBelegt,18)=0,0,EOMONTH(INDEX(DarlAuszahlung,18),293)+1)</f>
      </c>
      <c r="F8457" s="43">
        <f>IF($E8457=0,0,YEAR($E8457))</f>
      </c>
      <c r="G8457" s="43">
        <f>IF(INDEX(DarlBindung,18)="",1,IF($E8457&lt;=INDEX(DarlBindung,18),1,0))</f>
      </c>
      <c r="H8457" s="43">
        <f>IF($G8457=1,INDEX(DarlSollzins,18),INDEX(DarlAnschluss,18))</f>
      </c>
      <c r="I8457" s="43">
        <f>IF(INDEX(DarlBelegt,18)=0,0,IF(INDEX(DarlOhneTilgung,18)=1,IF(INDEX(DarlBindung,18)="",1,$G8457),IF($J8457&gt;0.005,1,0)))</f>
      </c>
      <c r="J8457" s="43">
        <f>IF($I8456=0,0,$R8456)</f>
      </c>
      <c r="K8457" s="43">
        <f>IF($I8457=0,0,IF(INDEX(DarlOhneTilgung,18)=1,0,IF(AND(INDEX(DarlTilgStart,18)&gt;0,$E8457=INDEX(DarlTilgStart,18)),$J8457*($H8457+INDEX(DarlTilgung,18))/100/12,IF(AND($G8457=0,$G8456=1),MAX($K8456,$J8457*($H8457+1)/100/12),$K8456))))</f>
      </c>
      <c r="L8457" s="43">
        <f>IF($I8457=0,0,$J8457*$H8457/100/12)</f>
      </c>
      <c r="M8457" s="43">
        <f>IF($I8457=0,0,IF(OR(INDEX(DarlOhneTilgung,18)=1,AND(INDEX(DarlTilgStart,18)&gt;0,$E8457&lt;INDEX(DarlTilgStart,18))),0,MIN(MAX(0,$K8457-$L8457),$J8457)))</f>
      </c>
      <c r="N8457" s="43">
        <f>IF($I8457=0,0,MIN(SUMIFS(SondBetrag,SondDarl,18,SondDatum,"&gt;="&amp;$E8457,SondDatum,"&lt;="&amp;EOMONTH($E8457,0)),$J8457-$M8457))</f>
      </c>
      <c r="O8457" s="43">
        <f>IF($I8457=0,0,INDEX(DarlErsatzRate,18))</f>
      </c>
      <c r="P8457" s="43">
        <f>IF($I8457=0,0,$Q8456*INDEX(DarlErsatzZins,18))</f>
      </c>
      <c r="Q8457" s="43">
        <f>IF($I8457=0,0,$Q8456+$P8457+$O8457)</f>
      </c>
      <c r="R8457" s="43">
        <f>IF($I8457=0,0,$J8457-$M8457-$N8457)</f>
      </c>
    </row>
    <row r="8458">
      <c r="A8458"/>
      <c r="B8458">
        <v>18</v>
      </c>
      <c r="C8458" s="43">
        <f>INDEX(DarlObj,18)</f>
      </c>
      <c r="D8458">
        <v>295</v>
      </c>
      <c r="E8458" s="51">
        <f>IF(INDEX(DarlBelegt,18)=0,0,EOMONTH(INDEX(DarlAuszahlung,18),294)+1)</f>
      </c>
      <c r="F8458" s="43">
        <f>IF($E8458=0,0,YEAR($E8458))</f>
      </c>
      <c r="G8458" s="43">
        <f>IF(INDEX(DarlBindung,18)="",1,IF($E8458&lt;=INDEX(DarlBindung,18),1,0))</f>
      </c>
      <c r="H8458" s="43">
        <f>IF($G8458=1,INDEX(DarlSollzins,18),INDEX(DarlAnschluss,18))</f>
      </c>
      <c r="I8458" s="43">
        <f>IF(INDEX(DarlBelegt,18)=0,0,IF(INDEX(DarlOhneTilgung,18)=1,IF(INDEX(DarlBindung,18)="",1,$G8458),IF($J8458&gt;0.005,1,0)))</f>
      </c>
      <c r="J8458" s="43">
        <f>IF($I8457=0,0,$R8457)</f>
      </c>
      <c r="K8458" s="43">
        <f>IF($I8458=0,0,IF(INDEX(DarlOhneTilgung,18)=1,0,IF(AND(INDEX(DarlTilgStart,18)&gt;0,$E8458=INDEX(DarlTilgStart,18)),$J8458*($H8458+INDEX(DarlTilgung,18))/100/12,IF(AND($G8458=0,$G8457=1),MAX($K8457,$J8458*($H8458+1)/100/12),$K8457))))</f>
      </c>
      <c r="L8458" s="43">
        <f>IF($I8458=0,0,$J8458*$H8458/100/12)</f>
      </c>
      <c r="M8458" s="43">
        <f>IF($I8458=0,0,IF(OR(INDEX(DarlOhneTilgung,18)=1,AND(INDEX(DarlTilgStart,18)&gt;0,$E8458&lt;INDEX(DarlTilgStart,18))),0,MIN(MAX(0,$K8458-$L8458),$J8458)))</f>
      </c>
      <c r="N8458" s="43">
        <f>IF($I8458=0,0,MIN(SUMIFS(SondBetrag,SondDarl,18,SondDatum,"&gt;="&amp;$E8458,SondDatum,"&lt;="&amp;EOMONTH($E8458,0)),$J8458-$M8458))</f>
      </c>
      <c r="O8458" s="43">
        <f>IF($I8458=0,0,INDEX(DarlErsatzRate,18))</f>
      </c>
      <c r="P8458" s="43">
        <f>IF($I8458=0,0,$Q8457*INDEX(DarlErsatzZins,18))</f>
      </c>
      <c r="Q8458" s="43">
        <f>IF($I8458=0,0,$Q8457+$P8458+$O8458)</f>
      </c>
      <c r="R8458" s="43">
        <f>IF($I8458=0,0,$J8458-$M8458-$N8458)</f>
      </c>
    </row>
    <row r="8459">
      <c r="A8459"/>
      <c r="B8459">
        <v>18</v>
      </c>
      <c r="C8459" s="43">
        <f>INDEX(DarlObj,18)</f>
      </c>
      <c r="D8459">
        <v>296</v>
      </c>
      <c r="E8459" s="51">
        <f>IF(INDEX(DarlBelegt,18)=0,0,EOMONTH(INDEX(DarlAuszahlung,18),295)+1)</f>
      </c>
      <c r="F8459" s="43">
        <f>IF($E8459=0,0,YEAR($E8459))</f>
      </c>
      <c r="G8459" s="43">
        <f>IF(INDEX(DarlBindung,18)="",1,IF($E8459&lt;=INDEX(DarlBindung,18),1,0))</f>
      </c>
      <c r="H8459" s="43">
        <f>IF($G8459=1,INDEX(DarlSollzins,18),INDEX(DarlAnschluss,18))</f>
      </c>
      <c r="I8459" s="43">
        <f>IF(INDEX(DarlBelegt,18)=0,0,IF(INDEX(DarlOhneTilgung,18)=1,IF(INDEX(DarlBindung,18)="",1,$G8459),IF($J8459&gt;0.005,1,0)))</f>
      </c>
      <c r="J8459" s="43">
        <f>IF($I8458=0,0,$R8458)</f>
      </c>
      <c r="K8459" s="43">
        <f>IF($I8459=0,0,IF(INDEX(DarlOhneTilgung,18)=1,0,IF(AND(INDEX(DarlTilgStart,18)&gt;0,$E8459=INDEX(DarlTilgStart,18)),$J8459*($H8459+INDEX(DarlTilgung,18))/100/12,IF(AND($G8459=0,$G8458=1),MAX($K8458,$J8459*($H8459+1)/100/12),$K8458))))</f>
      </c>
      <c r="L8459" s="43">
        <f>IF($I8459=0,0,$J8459*$H8459/100/12)</f>
      </c>
      <c r="M8459" s="43">
        <f>IF($I8459=0,0,IF(OR(INDEX(DarlOhneTilgung,18)=1,AND(INDEX(DarlTilgStart,18)&gt;0,$E8459&lt;INDEX(DarlTilgStart,18))),0,MIN(MAX(0,$K8459-$L8459),$J8459)))</f>
      </c>
      <c r="N8459" s="43">
        <f>IF($I8459=0,0,MIN(SUMIFS(SondBetrag,SondDarl,18,SondDatum,"&gt;="&amp;$E8459,SondDatum,"&lt;="&amp;EOMONTH($E8459,0)),$J8459-$M8459))</f>
      </c>
      <c r="O8459" s="43">
        <f>IF($I8459=0,0,INDEX(DarlErsatzRate,18))</f>
      </c>
      <c r="P8459" s="43">
        <f>IF($I8459=0,0,$Q8458*INDEX(DarlErsatzZins,18))</f>
      </c>
      <c r="Q8459" s="43">
        <f>IF($I8459=0,0,$Q8458+$P8459+$O8459)</f>
      </c>
      <c r="R8459" s="43">
        <f>IF($I8459=0,0,$J8459-$M8459-$N8459)</f>
      </c>
    </row>
    <row r="8460">
      <c r="A8460"/>
      <c r="B8460">
        <v>18</v>
      </c>
      <c r="C8460" s="43">
        <f>INDEX(DarlObj,18)</f>
      </c>
      <c r="D8460">
        <v>297</v>
      </c>
      <c r="E8460" s="51">
        <f>IF(INDEX(DarlBelegt,18)=0,0,EOMONTH(INDEX(DarlAuszahlung,18),296)+1)</f>
      </c>
      <c r="F8460" s="43">
        <f>IF($E8460=0,0,YEAR($E8460))</f>
      </c>
      <c r="G8460" s="43">
        <f>IF(INDEX(DarlBindung,18)="",1,IF($E8460&lt;=INDEX(DarlBindung,18),1,0))</f>
      </c>
      <c r="H8460" s="43">
        <f>IF($G8460=1,INDEX(DarlSollzins,18),INDEX(DarlAnschluss,18))</f>
      </c>
      <c r="I8460" s="43">
        <f>IF(INDEX(DarlBelegt,18)=0,0,IF(INDEX(DarlOhneTilgung,18)=1,IF(INDEX(DarlBindung,18)="",1,$G8460),IF($J8460&gt;0.005,1,0)))</f>
      </c>
      <c r="J8460" s="43">
        <f>IF($I8459=0,0,$R8459)</f>
      </c>
      <c r="K8460" s="43">
        <f>IF($I8460=0,0,IF(INDEX(DarlOhneTilgung,18)=1,0,IF(AND(INDEX(DarlTilgStart,18)&gt;0,$E8460=INDEX(DarlTilgStart,18)),$J8460*($H8460+INDEX(DarlTilgung,18))/100/12,IF(AND($G8460=0,$G8459=1),MAX($K8459,$J8460*($H8460+1)/100/12),$K8459))))</f>
      </c>
      <c r="L8460" s="43">
        <f>IF($I8460=0,0,$J8460*$H8460/100/12)</f>
      </c>
      <c r="M8460" s="43">
        <f>IF($I8460=0,0,IF(OR(INDEX(DarlOhneTilgung,18)=1,AND(INDEX(DarlTilgStart,18)&gt;0,$E8460&lt;INDEX(DarlTilgStart,18))),0,MIN(MAX(0,$K8460-$L8460),$J8460)))</f>
      </c>
      <c r="N8460" s="43">
        <f>IF($I8460=0,0,MIN(SUMIFS(SondBetrag,SondDarl,18,SondDatum,"&gt;="&amp;$E8460,SondDatum,"&lt;="&amp;EOMONTH($E8460,0)),$J8460-$M8460))</f>
      </c>
      <c r="O8460" s="43">
        <f>IF($I8460=0,0,INDEX(DarlErsatzRate,18))</f>
      </c>
      <c r="P8460" s="43">
        <f>IF($I8460=0,0,$Q8459*INDEX(DarlErsatzZins,18))</f>
      </c>
      <c r="Q8460" s="43">
        <f>IF($I8460=0,0,$Q8459+$P8460+$O8460)</f>
      </c>
      <c r="R8460" s="43">
        <f>IF($I8460=0,0,$J8460-$M8460-$N8460)</f>
      </c>
    </row>
    <row r="8461">
      <c r="A8461"/>
      <c r="B8461">
        <v>18</v>
      </c>
      <c r="C8461" s="43">
        <f>INDEX(DarlObj,18)</f>
      </c>
      <c r="D8461">
        <v>298</v>
      </c>
      <c r="E8461" s="51">
        <f>IF(INDEX(DarlBelegt,18)=0,0,EOMONTH(INDEX(DarlAuszahlung,18),297)+1)</f>
      </c>
      <c r="F8461" s="43">
        <f>IF($E8461=0,0,YEAR($E8461))</f>
      </c>
      <c r="G8461" s="43">
        <f>IF(INDEX(DarlBindung,18)="",1,IF($E8461&lt;=INDEX(DarlBindung,18),1,0))</f>
      </c>
      <c r="H8461" s="43">
        <f>IF($G8461=1,INDEX(DarlSollzins,18),INDEX(DarlAnschluss,18))</f>
      </c>
      <c r="I8461" s="43">
        <f>IF(INDEX(DarlBelegt,18)=0,0,IF(INDEX(DarlOhneTilgung,18)=1,IF(INDEX(DarlBindung,18)="",1,$G8461),IF($J8461&gt;0.005,1,0)))</f>
      </c>
      <c r="J8461" s="43">
        <f>IF($I8460=0,0,$R8460)</f>
      </c>
      <c r="K8461" s="43">
        <f>IF($I8461=0,0,IF(INDEX(DarlOhneTilgung,18)=1,0,IF(AND(INDEX(DarlTilgStart,18)&gt;0,$E8461=INDEX(DarlTilgStart,18)),$J8461*($H8461+INDEX(DarlTilgung,18))/100/12,IF(AND($G8461=0,$G8460=1),MAX($K8460,$J8461*($H8461+1)/100/12),$K8460))))</f>
      </c>
      <c r="L8461" s="43">
        <f>IF($I8461=0,0,$J8461*$H8461/100/12)</f>
      </c>
      <c r="M8461" s="43">
        <f>IF($I8461=0,0,IF(OR(INDEX(DarlOhneTilgung,18)=1,AND(INDEX(DarlTilgStart,18)&gt;0,$E8461&lt;INDEX(DarlTilgStart,18))),0,MIN(MAX(0,$K8461-$L8461),$J8461)))</f>
      </c>
      <c r="N8461" s="43">
        <f>IF($I8461=0,0,MIN(SUMIFS(SondBetrag,SondDarl,18,SondDatum,"&gt;="&amp;$E8461,SondDatum,"&lt;="&amp;EOMONTH($E8461,0)),$J8461-$M8461))</f>
      </c>
      <c r="O8461" s="43">
        <f>IF($I8461=0,0,INDEX(DarlErsatzRate,18))</f>
      </c>
      <c r="P8461" s="43">
        <f>IF($I8461=0,0,$Q8460*INDEX(DarlErsatzZins,18))</f>
      </c>
      <c r="Q8461" s="43">
        <f>IF($I8461=0,0,$Q8460+$P8461+$O8461)</f>
      </c>
      <c r="R8461" s="43">
        <f>IF($I8461=0,0,$J8461-$M8461-$N8461)</f>
      </c>
    </row>
    <row r="8462">
      <c r="A8462"/>
      <c r="B8462">
        <v>18</v>
      </c>
      <c r="C8462" s="43">
        <f>INDEX(DarlObj,18)</f>
      </c>
      <c r="D8462">
        <v>299</v>
      </c>
      <c r="E8462" s="51">
        <f>IF(INDEX(DarlBelegt,18)=0,0,EOMONTH(INDEX(DarlAuszahlung,18),298)+1)</f>
      </c>
      <c r="F8462" s="43">
        <f>IF($E8462=0,0,YEAR($E8462))</f>
      </c>
      <c r="G8462" s="43">
        <f>IF(INDEX(DarlBindung,18)="",1,IF($E8462&lt;=INDEX(DarlBindung,18),1,0))</f>
      </c>
      <c r="H8462" s="43">
        <f>IF($G8462=1,INDEX(DarlSollzins,18),INDEX(DarlAnschluss,18))</f>
      </c>
      <c r="I8462" s="43">
        <f>IF(INDEX(DarlBelegt,18)=0,0,IF(INDEX(DarlOhneTilgung,18)=1,IF(INDEX(DarlBindung,18)="",1,$G8462),IF($J8462&gt;0.005,1,0)))</f>
      </c>
      <c r="J8462" s="43">
        <f>IF($I8461=0,0,$R8461)</f>
      </c>
      <c r="K8462" s="43">
        <f>IF($I8462=0,0,IF(INDEX(DarlOhneTilgung,18)=1,0,IF(AND(INDEX(DarlTilgStart,18)&gt;0,$E8462=INDEX(DarlTilgStart,18)),$J8462*($H8462+INDEX(DarlTilgung,18))/100/12,IF(AND($G8462=0,$G8461=1),MAX($K8461,$J8462*($H8462+1)/100/12),$K8461))))</f>
      </c>
      <c r="L8462" s="43">
        <f>IF($I8462=0,0,$J8462*$H8462/100/12)</f>
      </c>
      <c r="M8462" s="43">
        <f>IF($I8462=0,0,IF(OR(INDEX(DarlOhneTilgung,18)=1,AND(INDEX(DarlTilgStart,18)&gt;0,$E8462&lt;INDEX(DarlTilgStart,18))),0,MIN(MAX(0,$K8462-$L8462),$J8462)))</f>
      </c>
      <c r="N8462" s="43">
        <f>IF($I8462=0,0,MIN(SUMIFS(SondBetrag,SondDarl,18,SondDatum,"&gt;="&amp;$E8462,SondDatum,"&lt;="&amp;EOMONTH($E8462,0)),$J8462-$M8462))</f>
      </c>
      <c r="O8462" s="43">
        <f>IF($I8462=0,0,INDEX(DarlErsatzRate,18))</f>
      </c>
      <c r="P8462" s="43">
        <f>IF($I8462=0,0,$Q8461*INDEX(DarlErsatzZins,18))</f>
      </c>
      <c r="Q8462" s="43">
        <f>IF($I8462=0,0,$Q8461+$P8462+$O8462)</f>
      </c>
      <c r="R8462" s="43">
        <f>IF($I8462=0,0,$J8462-$M8462-$N8462)</f>
      </c>
    </row>
    <row r="8463">
      <c r="A8463"/>
      <c r="B8463">
        <v>18</v>
      </c>
      <c r="C8463" s="43">
        <f>INDEX(DarlObj,18)</f>
      </c>
      <c r="D8463">
        <v>300</v>
      </c>
      <c r="E8463" s="51">
        <f>IF(INDEX(DarlBelegt,18)=0,0,EOMONTH(INDEX(DarlAuszahlung,18),299)+1)</f>
      </c>
      <c r="F8463" s="43">
        <f>IF($E8463=0,0,YEAR($E8463))</f>
      </c>
      <c r="G8463" s="43">
        <f>IF(INDEX(DarlBindung,18)="",1,IF($E8463&lt;=INDEX(DarlBindung,18),1,0))</f>
      </c>
      <c r="H8463" s="43">
        <f>IF($G8463=1,INDEX(DarlSollzins,18),INDEX(DarlAnschluss,18))</f>
      </c>
      <c r="I8463" s="43">
        <f>IF(INDEX(DarlBelegt,18)=0,0,IF(INDEX(DarlOhneTilgung,18)=1,IF(INDEX(DarlBindung,18)="",1,$G8463),IF($J8463&gt;0.005,1,0)))</f>
      </c>
      <c r="J8463" s="43">
        <f>IF($I8462=0,0,$R8462)</f>
      </c>
      <c r="K8463" s="43">
        <f>IF($I8463=0,0,IF(INDEX(DarlOhneTilgung,18)=1,0,IF(AND(INDEX(DarlTilgStart,18)&gt;0,$E8463=INDEX(DarlTilgStart,18)),$J8463*($H8463+INDEX(DarlTilgung,18))/100/12,IF(AND($G8463=0,$G8462=1),MAX($K8462,$J8463*($H8463+1)/100/12),$K8462))))</f>
      </c>
      <c r="L8463" s="43">
        <f>IF($I8463=0,0,$J8463*$H8463/100/12)</f>
      </c>
      <c r="M8463" s="43">
        <f>IF($I8463=0,0,IF(OR(INDEX(DarlOhneTilgung,18)=1,AND(INDEX(DarlTilgStart,18)&gt;0,$E8463&lt;INDEX(DarlTilgStart,18))),0,MIN(MAX(0,$K8463-$L8463),$J8463)))</f>
      </c>
      <c r="N8463" s="43">
        <f>IF($I8463=0,0,MIN(SUMIFS(SondBetrag,SondDarl,18,SondDatum,"&gt;="&amp;$E8463,SondDatum,"&lt;="&amp;EOMONTH($E8463,0)),$J8463-$M8463))</f>
      </c>
      <c r="O8463" s="43">
        <f>IF($I8463=0,0,INDEX(DarlErsatzRate,18))</f>
      </c>
      <c r="P8463" s="43">
        <f>IF($I8463=0,0,$Q8462*INDEX(DarlErsatzZins,18))</f>
      </c>
      <c r="Q8463" s="43">
        <f>IF($I8463=0,0,$Q8462+$P8463+$O8463)</f>
      </c>
      <c r="R8463" s="43">
        <f>IF($I8463=0,0,$J8463-$M8463-$N8463)</f>
      </c>
    </row>
    <row r="8464">
      <c r="A8464"/>
      <c r="B8464">
        <v>18</v>
      </c>
      <c r="C8464" s="43">
        <f>INDEX(DarlObj,18)</f>
      </c>
      <c r="D8464">
        <v>301</v>
      </c>
      <c r="E8464" s="51">
        <f>IF(INDEX(DarlBelegt,18)=0,0,EOMONTH(INDEX(DarlAuszahlung,18),300)+1)</f>
      </c>
      <c r="F8464" s="43">
        <f>IF($E8464=0,0,YEAR($E8464))</f>
      </c>
      <c r="G8464" s="43">
        <f>IF(INDEX(DarlBindung,18)="",1,IF($E8464&lt;=INDEX(DarlBindung,18),1,0))</f>
      </c>
      <c r="H8464" s="43">
        <f>IF($G8464=1,INDEX(DarlSollzins,18),INDEX(DarlAnschluss,18))</f>
      </c>
      <c r="I8464" s="43">
        <f>IF(INDEX(DarlBelegt,18)=0,0,IF(INDEX(DarlOhneTilgung,18)=1,IF(INDEX(DarlBindung,18)="",1,$G8464),IF($J8464&gt;0.005,1,0)))</f>
      </c>
      <c r="J8464" s="43">
        <f>IF($I8463=0,0,$R8463)</f>
      </c>
      <c r="K8464" s="43">
        <f>IF($I8464=0,0,IF(INDEX(DarlOhneTilgung,18)=1,0,IF(AND(INDEX(DarlTilgStart,18)&gt;0,$E8464=INDEX(DarlTilgStart,18)),$J8464*($H8464+INDEX(DarlTilgung,18))/100/12,IF(AND($G8464=0,$G8463=1),MAX($K8463,$J8464*($H8464+1)/100/12),$K8463))))</f>
      </c>
      <c r="L8464" s="43">
        <f>IF($I8464=0,0,$J8464*$H8464/100/12)</f>
      </c>
      <c r="M8464" s="43">
        <f>IF($I8464=0,0,IF(OR(INDEX(DarlOhneTilgung,18)=1,AND(INDEX(DarlTilgStart,18)&gt;0,$E8464&lt;INDEX(DarlTilgStart,18))),0,MIN(MAX(0,$K8464-$L8464),$J8464)))</f>
      </c>
      <c r="N8464" s="43">
        <f>IF($I8464=0,0,MIN(SUMIFS(SondBetrag,SondDarl,18,SondDatum,"&gt;="&amp;$E8464,SondDatum,"&lt;="&amp;EOMONTH($E8464,0)),$J8464-$M8464))</f>
      </c>
      <c r="O8464" s="43">
        <f>IF($I8464=0,0,INDEX(DarlErsatzRate,18))</f>
      </c>
      <c r="P8464" s="43">
        <f>IF($I8464=0,0,$Q8463*INDEX(DarlErsatzZins,18))</f>
      </c>
      <c r="Q8464" s="43">
        <f>IF($I8464=0,0,$Q8463+$P8464+$O8464)</f>
      </c>
      <c r="R8464" s="43">
        <f>IF($I8464=0,0,$J8464-$M8464-$N8464)</f>
      </c>
    </row>
    <row r="8465">
      <c r="A8465"/>
      <c r="B8465">
        <v>18</v>
      </c>
      <c r="C8465" s="43">
        <f>INDEX(DarlObj,18)</f>
      </c>
      <c r="D8465">
        <v>302</v>
      </c>
      <c r="E8465" s="51">
        <f>IF(INDEX(DarlBelegt,18)=0,0,EOMONTH(INDEX(DarlAuszahlung,18),301)+1)</f>
      </c>
      <c r="F8465" s="43">
        <f>IF($E8465=0,0,YEAR($E8465))</f>
      </c>
      <c r="G8465" s="43">
        <f>IF(INDEX(DarlBindung,18)="",1,IF($E8465&lt;=INDEX(DarlBindung,18),1,0))</f>
      </c>
      <c r="H8465" s="43">
        <f>IF($G8465=1,INDEX(DarlSollzins,18),INDEX(DarlAnschluss,18))</f>
      </c>
      <c r="I8465" s="43">
        <f>IF(INDEX(DarlBelegt,18)=0,0,IF(INDEX(DarlOhneTilgung,18)=1,IF(INDEX(DarlBindung,18)="",1,$G8465),IF($J8465&gt;0.005,1,0)))</f>
      </c>
      <c r="J8465" s="43">
        <f>IF($I8464=0,0,$R8464)</f>
      </c>
      <c r="K8465" s="43">
        <f>IF($I8465=0,0,IF(INDEX(DarlOhneTilgung,18)=1,0,IF(AND(INDEX(DarlTilgStart,18)&gt;0,$E8465=INDEX(DarlTilgStart,18)),$J8465*($H8465+INDEX(DarlTilgung,18))/100/12,IF(AND($G8465=0,$G8464=1),MAX($K8464,$J8465*($H8465+1)/100/12),$K8464))))</f>
      </c>
      <c r="L8465" s="43">
        <f>IF($I8465=0,0,$J8465*$H8465/100/12)</f>
      </c>
      <c r="M8465" s="43">
        <f>IF($I8465=0,0,IF(OR(INDEX(DarlOhneTilgung,18)=1,AND(INDEX(DarlTilgStart,18)&gt;0,$E8465&lt;INDEX(DarlTilgStart,18))),0,MIN(MAX(0,$K8465-$L8465),$J8465)))</f>
      </c>
      <c r="N8465" s="43">
        <f>IF($I8465=0,0,MIN(SUMIFS(SondBetrag,SondDarl,18,SondDatum,"&gt;="&amp;$E8465,SondDatum,"&lt;="&amp;EOMONTH($E8465,0)),$J8465-$M8465))</f>
      </c>
      <c r="O8465" s="43">
        <f>IF($I8465=0,0,INDEX(DarlErsatzRate,18))</f>
      </c>
      <c r="P8465" s="43">
        <f>IF($I8465=0,0,$Q8464*INDEX(DarlErsatzZins,18))</f>
      </c>
      <c r="Q8465" s="43">
        <f>IF($I8465=0,0,$Q8464+$P8465+$O8465)</f>
      </c>
      <c r="R8465" s="43">
        <f>IF($I8465=0,0,$J8465-$M8465-$N8465)</f>
      </c>
    </row>
    <row r="8466">
      <c r="A8466"/>
      <c r="B8466">
        <v>18</v>
      </c>
      <c r="C8466" s="43">
        <f>INDEX(DarlObj,18)</f>
      </c>
      <c r="D8466">
        <v>303</v>
      </c>
      <c r="E8466" s="51">
        <f>IF(INDEX(DarlBelegt,18)=0,0,EOMONTH(INDEX(DarlAuszahlung,18),302)+1)</f>
      </c>
      <c r="F8466" s="43">
        <f>IF($E8466=0,0,YEAR($E8466))</f>
      </c>
      <c r="G8466" s="43">
        <f>IF(INDEX(DarlBindung,18)="",1,IF($E8466&lt;=INDEX(DarlBindung,18),1,0))</f>
      </c>
      <c r="H8466" s="43">
        <f>IF($G8466=1,INDEX(DarlSollzins,18),INDEX(DarlAnschluss,18))</f>
      </c>
      <c r="I8466" s="43">
        <f>IF(INDEX(DarlBelegt,18)=0,0,IF(INDEX(DarlOhneTilgung,18)=1,IF(INDEX(DarlBindung,18)="",1,$G8466),IF($J8466&gt;0.005,1,0)))</f>
      </c>
      <c r="J8466" s="43">
        <f>IF($I8465=0,0,$R8465)</f>
      </c>
      <c r="K8466" s="43">
        <f>IF($I8466=0,0,IF(INDEX(DarlOhneTilgung,18)=1,0,IF(AND(INDEX(DarlTilgStart,18)&gt;0,$E8466=INDEX(DarlTilgStart,18)),$J8466*($H8466+INDEX(DarlTilgung,18))/100/12,IF(AND($G8466=0,$G8465=1),MAX($K8465,$J8466*($H8466+1)/100/12),$K8465))))</f>
      </c>
      <c r="L8466" s="43">
        <f>IF($I8466=0,0,$J8466*$H8466/100/12)</f>
      </c>
      <c r="M8466" s="43">
        <f>IF($I8466=0,0,IF(OR(INDEX(DarlOhneTilgung,18)=1,AND(INDEX(DarlTilgStart,18)&gt;0,$E8466&lt;INDEX(DarlTilgStart,18))),0,MIN(MAX(0,$K8466-$L8466),$J8466)))</f>
      </c>
      <c r="N8466" s="43">
        <f>IF($I8466=0,0,MIN(SUMIFS(SondBetrag,SondDarl,18,SondDatum,"&gt;="&amp;$E8466,SondDatum,"&lt;="&amp;EOMONTH($E8466,0)),$J8466-$M8466))</f>
      </c>
      <c r="O8466" s="43">
        <f>IF($I8466=0,0,INDEX(DarlErsatzRate,18))</f>
      </c>
      <c r="P8466" s="43">
        <f>IF($I8466=0,0,$Q8465*INDEX(DarlErsatzZins,18))</f>
      </c>
      <c r="Q8466" s="43">
        <f>IF($I8466=0,0,$Q8465+$P8466+$O8466)</f>
      </c>
      <c r="R8466" s="43">
        <f>IF($I8466=0,0,$J8466-$M8466-$N8466)</f>
      </c>
    </row>
    <row r="8467">
      <c r="A8467"/>
      <c r="B8467">
        <v>18</v>
      </c>
      <c r="C8467" s="43">
        <f>INDEX(DarlObj,18)</f>
      </c>
      <c r="D8467">
        <v>304</v>
      </c>
      <c r="E8467" s="51">
        <f>IF(INDEX(DarlBelegt,18)=0,0,EOMONTH(INDEX(DarlAuszahlung,18),303)+1)</f>
      </c>
      <c r="F8467" s="43">
        <f>IF($E8467=0,0,YEAR($E8467))</f>
      </c>
      <c r="G8467" s="43">
        <f>IF(INDEX(DarlBindung,18)="",1,IF($E8467&lt;=INDEX(DarlBindung,18),1,0))</f>
      </c>
      <c r="H8467" s="43">
        <f>IF($G8467=1,INDEX(DarlSollzins,18),INDEX(DarlAnschluss,18))</f>
      </c>
      <c r="I8467" s="43">
        <f>IF(INDEX(DarlBelegt,18)=0,0,IF(INDEX(DarlOhneTilgung,18)=1,IF(INDEX(DarlBindung,18)="",1,$G8467),IF($J8467&gt;0.005,1,0)))</f>
      </c>
      <c r="J8467" s="43">
        <f>IF($I8466=0,0,$R8466)</f>
      </c>
      <c r="K8467" s="43">
        <f>IF($I8467=0,0,IF(INDEX(DarlOhneTilgung,18)=1,0,IF(AND(INDEX(DarlTilgStart,18)&gt;0,$E8467=INDEX(DarlTilgStart,18)),$J8467*($H8467+INDEX(DarlTilgung,18))/100/12,IF(AND($G8467=0,$G8466=1),MAX($K8466,$J8467*($H8467+1)/100/12),$K8466))))</f>
      </c>
      <c r="L8467" s="43">
        <f>IF($I8467=0,0,$J8467*$H8467/100/12)</f>
      </c>
      <c r="M8467" s="43">
        <f>IF($I8467=0,0,IF(OR(INDEX(DarlOhneTilgung,18)=1,AND(INDEX(DarlTilgStart,18)&gt;0,$E8467&lt;INDEX(DarlTilgStart,18))),0,MIN(MAX(0,$K8467-$L8467),$J8467)))</f>
      </c>
      <c r="N8467" s="43">
        <f>IF($I8467=0,0,MIN(SUMIFS(SondBetrag,SondDarl,18,SondDatum,"&gt;="&amp;$E8467,SondDatum,"&lt;="&amp;EOMONTH($E8467,0)),$J8467-$M8467))</f>
      </c>
      <c r="O8467" s="43">
        <f>IF($I8467=0,0,INDEX(DarlErsatzRate,18))</f>
      </c>
      <c r="P8467" s="43">
        <f>IF($I8467=0,0,$Q8466*INDEX(DarlErsatzZins,18))</f>
      </c>
      <c r="Q8467" s="43">
        <f>IF($I8467=0,0,$Q8466+$P8467+$O8467)</f>
      </c>
      <c r="R8467" s="43">
        <f>IF($I8467=0,0,$J8467-$M8467-$N8467)</f>
      </c>
    </row>
    <row r="8468">
      <c r="A8468"/>
      <c r="B8468">
        <v>18</v>
      </c>
      <c r="C8468" s="43">
        <f>INDEX(DarlObj,18)</f>
      </c>
      <c r="D8468">
        <v>305</v>
      </c>
      <c r="E8468" s="51">
        <f>IF(INDEX(DarlBelegt,18)=0,0,EOMONTH(INDEX(DarlAuszahlung,18),304)+1)</f>
      </c>
      <c r="F8468" s="43">
        <f>IF($E8468=0,0,YEAR($E8468))</f>
      </c>
      <c r="G8468" s="43">
        <f>IF(INDEX(DarlBindung,18)="",1,IF($E8468&lt;=INDEX(DarlBindung,18),1,0))</f>
      </c>
      <c r="H8468" s="43">
        <f>IF($G8468=1,INDEX(DarlSollzins,18),INDEX(DarlAnschluss,18))</f>
      </c>
      <c r="I8468" s="43">
        <f>IF(INDEX(DarlBelegt,18)=0,0,IF(INDEX(DarlOhneTilgung,18)=1,IF(INDEX(DarlBindung,18)="",1,$G8468),IF($J8468&gt;0.005,1,0)))</f>
      </c>
      <c r="J8468" s="43">
        <f>IF($I8467=0,0,$R8467)</f>
      </c>
      <c r="K8468" s="43">
        <f>IF($I8468=0,0,IF(INDEX(DarlOhneTilgung,18)=1,0,IF(AND(INDEX(DarlTilgStart,18)&gt;0,$E8468=INDEX(DarlTilgStart,18)),$J8468*($H8468+INDEX(DarlTilgung,18))/100/12,IF(AND($G8468=0,$G8467=1),MAX($K8467,$J8468*($H8468+1)/100/12),$K8467))))</f>
      </c>
      <c r="L8468" s="43">
        <f>IF($I8468=0,0,$J8468*$H8468/100/12)</f>
      </c>
      <c r="M8468" s="43">
        <f>IF($I8468=0,0,IF(OR(INDEX(DarlOhneTilgung,18)=1,AND(INDEX(DarlTilgStart,18)&gt;0,$E8468&lt;INDEX(DarlTilgStart,18))),0,MIN(MAX(0,$K8468-$L8468),$J8468)))</f>
      </c>
      <c r="N8468" s="43">
        <f>IF($I8468=0,0,MIN(SUMIFS(SondBetrag,SondDarl,18,SondDatum,"&gt;="&amp;$E8468,SondDatum,"&lt;="&amp;EOMONTH($E8468,0)),$J8468-$M8468))</f>
      </c>
      <c r="O8468" s="43">
        <f>IF($I8468=0,0,INDEX(DarlErsatzRate,18))</f>
      </c>
      <c r="P8468" s="43">
        <f>IF($I8468=0,0,$Q8467*INDEX(DarlErsatzZins,18))</f>
      </c>
      <c r="Q8468" s="43">
        <f>IF($I8468=0,0,$Q8467+$P8468+$O8468)</f>
      </c>
      <c r="R8468" s="43">
        <f>IF($I8468=0,0,$J8468-$M8468-$N8468)</f>
      </c>
    </row>
    <row r="8469">
      <c r="A8469"/>
      <c r="B8469">
        <v>18</v>
      </c>
      <c r="C8469" s="43">
        <f>INDEX(DarlObj,18)</f>
      </c>
      <c r="D8469">
        <v>306</v>
      </c>
      <c r="E8469" s="51">
        <f>IF(INDEX(DarlBelegt,18)=0,0,EOMONTH(INDEX(DarlAuszahlung,18),305)+1)</f>
      </c>
      <c r="F8469" s="43">
        <f>IF($E8469=0,0,YEAR($E8469))</f>
      </c>
      <c r="G8469" s="43">
        <f>IF(INDEX(DarlBindung,18)="",1,IF($E8469&lt;=INDEX(DarlBindung,18),1,0))</f>
      </c>
      <c r="H8469" s="43">
        <f>IF($G8469=1,INDEX(DarlSollzins,18),INDEX(DarlAnschluss,18))</f>
      </c>
      <c r="I8469" s="43">
        <f>IF(INDEX(DarlBelegt,18)=0,0,IF(INDEX(DarlOhneTilgung,18)=1,IF(INDEX(DarlBindung,18)="",1,$G8469),IF($J8469&gt;0.005,1,0)))</f>
      </c>
      <c r="J8469" s="43">
        <f>IF($I8468=0,0,$R8468)</f>
      </c>
      <c r="K8469" s="43">
        <f>IF($I8469=0,0,IF(INDEX(DarlOhneTilgung,18)=1,0,IF(AND(INDEX(DarlTilgStart,18)&gt;0,$E8469=INDEX(DarlTilgStart,18)),$J8469*($H8469+INDEX(DarlTilgung,18))/100/12,IF(AND($G8469=0,$G8468=1),MAX($K8468,$J8469*($H8469+1)/100/12),$K8468))))</f>
      </c>
      <c r="L8469" s="43">
        <f>IF($I8469=0,0,$J8469*$H8469/100/12)</f>
      </c>
      <c r="M8469" s="43">
        <f>IF($I8469=0,0,IF(OR(INDEX(DarlOhneTilgung,18)=1,AND(INDEX(DarlTilgStart,18)&gt;0,$E8469&lt;INDEX(DarlTilgStart,18))),0,MIN(MAX(0,$K8469-$L8469),$J8469)))</f>
      </c>
      <c r="N8469" s="43">
        <f>IF($I8469=0,0,MIN(SUMIFS(SondBetrag,SondDarl,18,SondDatum,"&gt;="&amp;$E8469,SondDatum,"&lt;="&amp;EOMONTH($E8469,0)),$J8469-$M8469))</f>
      </c>
      <c r="O8469" s="43">
        <f>IF($I8469=0,0,INDEX(DarlErsatzRate,18))</f>
      </c>
      <c r="P8469" s="43">
        <f>IF($I8469=0,0,$Q8468*INDEX(DarlErsatzZins,18))</f>
      </c>
      <c r="Q8469" s="43">
        <f>IF($I8469=0,0,$Q8468+$P8469+$O8469)</f>
      </c>
      <c r="R8469" s="43">
        <f>IF($I8469=0,0,$J8469-$M8469-$N8469)</f>
      </c>
    </row>
    <row r="8470">
      <c r="A8470"/>
      <c r="B8470">
        <v>18</v>
      </c>
      <c r="C8470" s="43">
        <f>INDEX(DarlObj,18)</f>
      </c>
      <c r="D8470">
        <v>307</v>
      </c>
      <c r="E8470" s="51">
        <f>IF(INDEX(DarlBelegt,18)=0,0,EOMONTH(INDEX(DarlAuszahlung,18),306)+1)</f>
      </c>
      <c r="F8470" s="43">
        <f>IF($E8470=0,0,YEAR($E8470))</f>
      </c>
      <c r="G8470" s="43">
        <f>IF(INDEX(DarlBindung,18)="",1,IF($E8470&lt;=INDEX(DarlBindung,18),1,0))</f>
      </c>
      <c r="H8470" s="43">
        <f>IF($G8470=1,INDEX(DarlSollzins,18),INDEX(DarlAnschluss,18))</f>
      </c>
      <c r="I8470" s="43">
        <f>IF(INDEX(DarlBelegt,18)=0,0,IF(INDEX(DarlOhneTilgung,18)=1,IF(INDEX(DarlBindung,18)="",1,$G8470),IF($J8470&gt;0.005,1,0)))</f>
      </c>
      <c r="J8470" s="43">
        <f>IF($I8469=0,0,$R8469)</f>
      </c>
      <c r="K8470" s="43">
        <f>IF($I8470=0,0,IF(INDEX(DarlOhneTilgung,18)=1,0,IF(AND(INDEX(DarlTilgStart,18)&gt;0,$E8470=INDEX(DarlTilgStart,18)),$J8470*($H8470+INDEX(DarlTilgung,18))/100/12,IF(AND($G8470=0,$G8469=1),MAX($K8469,$J8470*($H8470+1)/100/12),$K8469))))</f>
      </c>
      <c r="L8470" s="43">
        <f>IF($I8470=0,0,$J8470*$H8470/100/12)</f>
      </c>
      <c r="M8470" s="43">
        <f>IF($I8470=0,0,IF(OR(INDEX(DarlOhneTilgung,18)=1,AND(INDEX(DarlTilgStart,18)&gt;0,$E8470&lt;INDEX(DarlTilgStart,18))),0,MIN(MAX(0,$K8470-$L8470),$J8470)))</f>
      </c>
      <c r="N8470" s="43">
        <f>IF($I8470=0,0,MIN(SUMIFS(SondBetrag,SondDarl,18,SondDatum,"&gt;="&amp;$E8470,SondDatum,"&lt;="&amp;EOMONTH($E8470,0)),$J8470-$M8470))</f>
      </c>
      <c r="O8470" s="43">
        <f>IF($I8470=0,0,INDEX(DarlErsatzRate,18))</f>
      </c>
      <c r="P8470" s="43">
        <f>IF($I8470=0,0,$Q8469*INDEX(DarlErsatzZins,18))</f>
      </c>
      <c r="Q8470" s="43">
        <f>IF($I8470=0,0,$Q8469+$P8470+$O8470)</f>
      </c>
      <c r="R8470" s="43">
        <f>IF($I8470=0,0,$J8470-$M8470-$N8470)</f>
      </c>
    </row>
    <row r="8471">
      <c r="A8471"/>
      <c r="B8471">
        <v>18</v>
      </c>
      <c r="C8471" s="43">
        <f>INDEX(DarlObj,18)</f>
      </c>
      <c r="D8471">
        <v>308</v>
      </c>
      <c r="E8471" s="51">
        <f>IF(INDEX(DarlBelegt,18)=0,0,EOMONTH(INDEX(DarlAuszahlung,18),307)+1)</f>
      </c>
      <c r="F8471" s="43">
        <f>IF($E8471=0,0,YEAR($E8471))</f>
      </c>
      <c r="G8471" s="43">
        <f>IF(INDEX(DarlBindung,18)="",1,IF($E8471&lt;=INDEX(DarlBindung,18),1,0))</f>
      </c>
      <c r="H8471" s="43">
        <f>IF($G8471=1,INDEX(DarlSollzins,18),INDEX(DarlAnschluss,18))</f>
      </c>
      <c r="I8471" s="43">
        <f>IF(INDEX(DarlBelegt,18)=0,0,IF(INDEX(DarlOhneTilgung,18)=1,IF(INDEX(DarlBindung,18)="",1,$G8471),IF($J8471&gt;0.005,1,0)))</f>
      </c>
      <c r="J8471" s="43">
        <f>IF($I8470=0,0,$R8470)</f>
      </c>
      <c r="K8471" s="43">
        <f>IF($I8471=0,0,IF(INDEX(DarlOhneTilgung,18)=1,0,IF(AND(INDEX(DarlTilgStart,18)&gt;0,$E8471=INDEX(DarlTilgStart,18)),$J8471*($H8471+INDEX(DarlTilgung,18))/100/12,IF(AND($G8471=0,$G8470=1),MAX($K8470,$J8471*($H8471+1)/100/12),$K8470))))</f>
      </c>
      <c r="L8471" s="43">
        <f>IF($I8471=0,0,$J8471*$H8471/100/12)</f>
      </c>
      <c r="M8471" s="43">
        <f>IF($I8471=0,0,IF(OR(INDEX(DarlOhneTilgung,18)=1,AND(INDEX(DarlTilgStart,18)&gt;0,$E8471&lt;INDEX(DarlTilgStart,18))),0,MIN(MAX(0,$K8471-$L8471),$J8471)))</f>
      </c>
      <c r="N8471" s="43">
        <f>IF($I8471=0,0,MIN(SUMIFS(SondBetrag,SondDarl,18,SondDatum,"&gt;="&amp;$E8471,SondDatum,"&lt;="&amp;EOMONTH($E8471,0)),$J8471-$M8471))</f>
      </c>
      <c r="O8471" s="43">
        <f>IF($I8471=0,0,INDEX(DarlErsatzRate,18))</f>
      </c>
      <c r="P8471" s="43">
        <f>IF($I8471=0,0,$Q8470*INDEX(DarlErsatzZins,18))</f>
      </c>
      <c r="Q8471" s="43">
        <f>IF($I8471=0,0,$Q8470+$P8471+$O8471)</f>
      </c>
      <c r="R8471" s="43">
        <f>IF($I8471=0,0,$J8471-$M8471-$N8471)</f>
      </c>
    </row>
    <row r="8472">
      <c r="A8472"/>
      <c r="B8472">
        <v>18</v>
      </c>
      <c r="C8472" s="43">
        <f>INDEX(DarlObj,18)</f>
      </c>
      <c r="D8472">
        <v>309</v>
      </c>
      <c r="E8472" s="51">
        <f>IF(INDEX(DarlBelegt,18)=0,0,EOMONTH(INDEX(DarlAuszahlung,18),308)+1)</f>
      </c>
      <c r="F8472" s="43">
        <f>IF($E8472=0,0,YEAR($E8472))</f>
      </c>
      <c r="G8472" s="43">
        <f>IF(INDEX(DarlBindung,18)="",1,IF($E8472&lt;=INDEX(DarlBindung,18),1,0))</f>
      </c>
      <c r="H8472" s="43">
        <f>IF($G8472=1,INDEX(DarlSollzins,18),INDEX(DarlAnschluss,18))</f>
      </c>
      <c r="I8472" s="43">
        <f>IF(INDEX(DarlBelegt,18)=0,0,IF(INDEX(DarlOhneTilgung,18)=1,IF(INDEX(DarlBindung,18)="",1,$G8472),IF($J8472&gt;0.005,1,0)))</f>
      </c>
      <c r="J8472" s="43">
        <f>IF($I8471=0,0,$R8471)</f>
      </c>
      <c r="K8472" s="43">
        <f>IF($I8472=0,0,IF(INDEX(DarlOhneTilgung,18)=1,0,IF(AND(INDEX(DarlTilgStart,18)&gt;0,$E8472=INDEX(DarlTilgStart,18)),$J8472*($H8472+INDEX(DarlTilgung,18))/100/12,IF(AND($G8472=0,$G8471=1),MAX($K8471,$J8472*($H8472+1)/100/12),$K8471))))</f>
      </c>
      <c r="L8472" s="43">
        <f>IF($I8472=0,0,$J8472*$H8472/100/12)</f>
      </c>
      <c r="M8472" s="43">
        <f>IF($I8472=0,0,IF(OR(INDEX(DarlOhneTilgung,18)=1,AND(INDEX(DarlTilgStart,18)&gt;0,$E8472&lt;INDEX(DarlTilgStart,18))),0,MIN(MAX(0,$K8472-$L8472),$J8472)))</f>
      </c>
      <c r="N8472" s="43">
        <f>IF($I8472=0,0,MIN(SUMIFS(SondBetrag,SondDarl,18,SondDatum,"&gt;="&amp;$E8472,SondDatum,"&lt;="&amp;EOMONTH($E8472,0)),$J8472-$M8472))</f>
      </c>
      <c r="O8472" s="43">
        <f>IF($I8472=0,0,INDEX(DarlErsatzRate,18))</f>
      </c>
      <c r="P8472" s="43">
        <f>IF($I8472=0,0,$Q8471*INDEX(DarlErsatzZins,18))</f>
      </c>
      <c r="Q8472" s="43">
        <f>IF($I8472=0,0,$Q8471+$P8472+$O8472)</f>
      </c>
      <c r="R8472" s="43">
        <f>IF($I8472=0,0,$J8472-$M8472-$N8472)</f>
      </c>
    </row>
    <row r="8473">
      <c r="A8473"/>
      <c r="B8473">
        <v>18</v>
      </c>
      <c r="C8473" s="43">
        <f>INDEX(DarlObj,18)</f>
      </c>
      <c r="D8473">
        <v>310</v>
      </c>
      <c r="E8473" s="51">
        <f>IF(INDEX(DarlBelegt,18)=0,0,EOMONTH(INDEX(DarlAuszahlung,18),309)+1)</f>
      </c>
      <c r="F8473" s="43">
        <f>IF($E8473=0,0,YEAR($E8473))</f>
      </c>
      <c r="G8473" s="43">
        <f>IF(INDEX(DarlBindung,18)="",1,IF($E8473&lt;=INDEX(DarlBindung,18),1,0))</f>
      </c>
      <c r="H8473" s="43">
        <f>IF($G8473=1,INDEX(DarlSollzins,18),INDEX(DarlAnschluss,18))</f>
      </c>
      <c r="I8473" s="43">
        <f>IF(INDEX(DarlBelegt,18)=0,0,IF(INDEX(DarlOhneTilgung,18)=1,IF(INDEX(DarlBindung,18)="",1,$G8473),IF($J8473&gt;0.005,1,0)))</f>
      </c>
      <c r="J8473" s="43">
        <f>IF($I8472=0,0,$R8472)</f>
      </c>
      <c r="K8473" s="43">
        <f>IF($I8473=0,0,IF(INDEX(DarlOhneTilgung,18)=1,0,IF(AND(INDEX(DarlTilgStart,18)&gt;0,$E8473=INDEX(DarlTilgStart,18)),$J8473*($H8473+INDEX(DarlTilgung,18))/100/12,IF(AND($G8473=0,$G8472=1),MAX($K8472,$J8473*($H8473+1)/100/12),$K8472))))</f>
      </c>
      <c r="L8473" s="43">
        <f>IF($I8473=0,0,$J8473*$H8473/100/12)</f>
      </c>
      <c r="M8473" s="43">
        <f>IF($I8473=0,0,IF(OR(INDEX(DarlOhneTilgung,18)=1,AND(INDEX(DarlTilgStart,18)&gt;0,$E8473&lt;INDEX(DarlTilgStart,18))),0,MIN(MAX(0,$K8473-$L8473),$J8473)))</f>
      </c>
      <c r="N8473" s="43">
        <f>IF($I8473=0,0,MIN(SUMIFS(SondBetrag,SondDarl,18,SondDatum,"&gt;="&amp;$E8473,SondDatum,"&lt;="&amp;EOMONTH($E8473,0)),$J8473-$M8473))</f>
      </c>
      <c r="O8473" s="43">
        <f>IF($I8473=0,0,INDEX(DarlErsatzRate,18))</f>
      </c>
      <c r="P8473" s="43">
        <f>IF($I8473=0,0,$Q8472*INDEX(DarlErsatzZins,18))</f>
      </c>
      <c r="Q8473" s="43">
        <f>IF($I8473=0,0,$Q8472+$P8473+$O8473)</f>
      </c>
      <c r="R8473" s="43">
        <f>IF($I8473=0,0,$J8473-$M8473-$N8473)</f>
      </c>
    </row>
    <row r="8474">
      <c r="A8474"/>
      <c r="B8474">
        <v>18</v>
      </c>
      <c r="C8474" s="43">
        <f>INDEX(DarlObj,18)</f>
      </c>
      <c r="D8474">
        <v>311</v>
      </c>
      <c r="E8474" s="51">
        <f>IF(INDEX(DarlBelegt,18)=0,0,EOMONTH(INDEX(DarlAuszahlung,18),310)+1)</f>
      </c>
      <c r="F8474" s="43">
        <f>IF($E8474=0,0,YEAR($E8474))</f>
      </c>
      <c r="G8474" s="43">
        <f>IF(INDEX(DarlBindung,18)="",1,IF($E8474&lt;=INDEX(DarlBindung,18),1,0))</f>
      </c>
      <c r="H8474" s="43">
        <f>IF($G8474=1,INDEX(DarlSollzins,18),INDEX(DarlAnschluss,18))</f>
      </c>
      <c r="I8474" s="43">
        <f>IF(INDEX(DarlBelegt,18)=0,0,IF(INDEX(DarlOhneTilgung,18)=1,IF(INDEX(DarlBindung,18)="",1,$G8474),IF($J8474&gt;0.005,1,0)))</f>
      </c>
      <c r="J8474" s="43">
        <f>IF($I8473=0,0,$R8473)</f>
      </c>
      <c r="K8474" s="43">
        <f>IF($I8474=0,0,IF(INDEX(DarlOhneTilgung,18)=1,0,IF(AND(INDEX(DarlTilgStart,18)&gt;0,$E8474=INDEX(DarlTilgStart,18)),$J8474*($H8474+INDEX(DarlTilgung,18))/100/12,IF(AND($G8474=0,$G8473=1),MAX($K8473,$J8474*($H8474+1)/100/12),$K8473))))</f>
      </c>
      <c r="L8474" s="43">
        <f>IF($I8474=0,0,$J8474*$H8474/100/12)</f>
      </c>
      <c r="M8474" s="43">
        <f>IF($I8474=0,0,IF(OR(INDEX(DarlOhneTilgung,18)=1,AND(INDEX(DarlTilgStart,18)&gt;0,$E8474&lt;INDEX(DarlTilgStart,18))),0,MIN(MAX(0,$K8474-$L8474),$J8474)))</f>
      </c>
      <c r="N8474" s="43">
        <f>IF($I8474=0,0,MIN(SUMIFS(SondBetrag,SondDarl,18,SondDatum,"&gt;="&amp;$E8474,SondDatum,"&lt;="&amp;EOMONTH($E8474,0)),$J8474-$M8474))</f>
      </c>
      <c r="O8474" s="43">
        <f>IF($I8474=0,0,INDEX(DarlErsatzRate,18))</f>
      </c>
      <c r="P8474" s="43">
        <f>IF($I8474=0,0,$Q8473*INDEX(DarlErsatzZins,18))</f>
      </c>
      <c r="Q8474" s="43">
        <f>IF($I8474=0,0,$Q8473+$P8474+$O8474)</f>
      </c>
      <c r="R8474" s="43">
        <f>IF($I8474=0,0,$J8474-$M8474-$N8474)</f>
      </c>
    </row>
    <row r="8475">
      <c r="A8475"/>
      <c r="B8475">
        <v>18</v>
      </c>
      <c r="C8475" s="43">
        <f>INDEX(DarlObj,18)</f>
      </c>
      <c r="D8475">
        <v>312</v>
      </c>
      <c r="E8475" s="51">
        <f>IF(INDEX(DarlBelegt,18)=0,0,EOMONTH(INDEX(DarlAuszahlung,18),311)+1)</f>
      </c>
      <c r="F8475" s="43">
        <f>IF($E8475=0,0,YEAR($E8475))</f>
      </c>
      <c r="G8475" s="43">
        <f>IF(INDEX(DarlBindung,18)="",1,IF($E8475&lt;=INDEX(DarlBindung,18),1,0))</f>
      </c>
      <c r="H8475" s="43">
        <f>IF($G8475=1,INDEX(DarlSollzins,18),INDEX(DarlAnschluss,18))</f>
      </c>
      <c r="I8475" s="43">
        <f>IF(INDEX(DarlBelegt,18)=0,0,IF(INDEX(DarlOhneTilgung,18)=1,IF(INDEX(DarlBindung,18)="",1,$G8475),IF($J8475&gt;0.005,1,0)))</f>
      </c>
      <c r="J8475" s="43">
        <f>IF($I8474=0,0,$R8474)</f>
      </c>
      <c r="K8475" s="43">
        <f>IF($I8475=0,0,IF(INDEX(DarlOhneTilgung,18)=1,0,IF(AND(INDEX(DarlTilgStart,18)&gt;0,$E8475=INDEX(DarlTilgStart,18)),$J8475*($H8475+INDEX(DarlTilgung,18))/100/12,IF(AND($G8475=0,$G8474=1),MAX($K8474,$J8475*($H8475+1)/100/12),$K8474))))</f>
      </c>
      <c r="L8475" s="43">
        <f>IF($I8475=0,0,$J8475*$H8475/100/12)</f>
      </c>
      <c r="M8475" s="43">
        <f>IF($I8475=0,0,IF(OR(INDEX(DarlOhneTilgung,18)=1,AND(INDEX(DarlTilgStart,18)&gt;0,$E8475&lt;INDEX(DarlTilgStart,18))),0,MIN(MAX(0,$K8475-$L8475),$J8475)))</f>
      </c>
      <c r="N8475" s="43">
        <f>IF($I8475=0,0,MIN(SUMIFS(SondBetrag,SondDarl,18,SondDatum,"&gt;="&amp;$E8475,SondDatum,"&lt;="&amp;EOMONTH($E8475,0)),$J8475-$M8475))</f>
      </c>
      <c r="O8475" s="43">
        <f>IF($I8475=0,0,INDEX(DarlErsatzRate,18))</f>
      </c>
      <c r="P8475" s="43">
        <f>IF($I8475=0,0,$Q8474*INDEX(DarlErsatzZins,18))</f>
      </c>
      <c r="Q8475" s="43">
        <f>IF($I8475=0,0,$Q8474+$P8475+$O8475)</f>
      </c>
      <c r="R8475" s="43">
        <f>IF($I8475=0,0,$J8475-$M8475-$N8475)</f>
      </c>
    </row>
    <row r="8476">
      <c r="A8476"/>
      <c r="B8476">
        <v>18</v>
      </c>
      <c r="C8476" s="43">
        <f>INDEX(DarlObj,18)</f>
      </c>
      <c r="D8476">
        <v>313</v>
      </c>
      <c r="E8476" s="51">
        <f>IF(INDEX(DarlBelegt,18)=0,0,EOMONTH(INDEX(DarlAuszahlung,18),312)+1)</f>
      </c>
      <c r="F8476" s="43">
        <f>IF($E8476=0,0,YEAR($E8476))</f>
      </c>
      <c r="G8476" s="43">
        <f>IF(INDEX(DarlBindung,18)="",1,IF($E8476&lt;=INDEX(DarlBindung,18),1,0))</f>
      </c>
      <c r="H8476" s="43">
        <f>IF($G8476=1,INDEX(DarlSollzins,18),INDEX(DarlAnschluss,18))</f>
      </c>
      <c r="I8476" s="43">
        <f>IF(INDEX(DarlBelegt,18)=0,0,IF(INDEX(DarlOhneTilgung,18)=1,IF(INDEX(DarlBindung,18)="",1,$G8476),IF($J8476&gt;0.005,1,0)))</f>
      </c>
      <c r="J8476" s="43">
        <f>IF($I8475=0,0,$R8475)</f>
      </c>
      <c r="K8476" s="43">
        <f>IF($I8476=0,0,IF(INDEX(DarlOhneTilgung,18)=1,0,IF(AND(INDEX(DarlTilgStart,18)&gt;0,$E8476=INDEX(DarlTilgStart,18)),$J8476*($H8476+INDEX(DarlTilgung,18))/100/12,IF(AND($G8476=0,$G8475=1),MAX($K8475,$J8476*($H8476+1)/100/12),$K8475))))</f>
      </c>
      <c r="L8476" s="43">
        <f>IF($I8476=0,0,$J8476*$H8476/100/12)</f>
      </c>
      <c r="M8476" s="43">
        <f>IF($I8476=0,0,IF(OR(INDEX(DarlOhneTilgung,18)=1,AND(INDEX(DarlTilgStart,18)&gt;0,$E8476&lt;INDEX(DarlTilgStart,18))),0,MIN(MAX(0,$K8476-$L8476),$J8476)))</f>
      </c>
      <c r="N8476" s="43">
        <f>IF($I8476=0,0,MIN(SUMIFS(SondBetrag,SondDarl,18,SondDatum,"&gt;="&amp;$E8476,SondDatum,"&lt;="&amp;EOMONTH($E8476,0)),$J8476-$M8476))</f>
      </c>
      <c r="O8476" s="43">
        <f>IF($I8476=0,0,INDEX(DarlErsatzRate,18))</f>
      </c>
      <c r="P8476" s="43">
        <f>IF($I8476=0,0,$Q8475*INDEX(DarlErsatzZins,18))</f>
      </c>
      <c r="Q8476" s="43">
        <f>IF($I8476=0,0,$Q8475+$P8476+$O8476)</f>
      </c>
      <c r="R8476" s="43">
        <f>IF($I8476=0,0,$J8476-$M8476-$N8476)</f>
      </c>
    </row>
    <row r="8477">
      <c r="A8477"/>
      <c r="B8477">
        <v>18</v>
      </c>
      <c r="C8477" s="43">
        <f>INDEX(DarlObj,18)</f>
      </c>
      <c r="D8477">
        <v>314</v>
      </c>
      <c r="E8477" s="51">
        <f>IF(INDEX(DarlBelegt,18)=0,0,EOMONTH(INDEX(DarlAuszahlung,18),313)+1)</f>
      </c>
      <c r="F8477" s="43">
        <f>IF($E8477=0,0,YEAR($E8477))</f>
      </c>
      <c r="G8477" s="43">
        <f>IF(INDEX(DarlBindung,18)="",1,IF($E8477&lt;=INDEX(DarlBindung,18),1,0))</f>
      </c>
      <c r="H8477" s="43">
        <f>IF($G8477=1,INDEX(DarlSollzins,18),INDEX(DarlAnschluss,18))</f>
      </c>
      <c r="I8477" s="43">
        <f>IF(INDEX(DarlBelegt,18)=0,0,IF(INDEX(DarlOhneTilgung,18)=1,IF(INDEX(DarlBindung,18)="",1,$G8477),IF($J8477&gt;0.005,1,0)))</f>
      </c>
      <c r="J8477" s="43">
        <f>IF($I8476=0,0,$R8476)</f>
      </c>
      <c r="K8477" s="43">
        <f>IF($I8477=0,0,IF(INDEX(DarlOhneTilgung,18)=1,0,IF(AND(INDEX(DarlTilgStart,18)&gt;0,$E8477=INDEX(DarlTilgStart,18)),$J8477*($H8477+INDEX(DarlTilgung,18))/100/12,IF(AND($G8477=0,$G8476=1),MAX($K8476,$J8477*($H8477+1)/100/12),$K8476))))</f>
      </c>
      <c r="L8477" s="43">
        <f>IF($I8477=0,0,$J8477*$H8477/100/12)</f>
      </c>
      <c r="M8477" s="43">
        <f>IF($I8477=0,0,IF(OR(INDEX(DarlOhneTilgung,18)=1,AND(INDEX(DarlTilgStart,18)&gt;0,$E8477&lt;INDEX(DarlTilgStart,18))),0,MIN(MAX(0,$K8477-$L8477),$J8477)))</f>
      </c>
      <c r="N8477" s="43">
        <f>IF($I8477=0,0,MIN(SUMIFS(SondBetrag,SondDarl,18,SondDatum,"&gt;="&amp;$E8477,SondDatum,"&lt;="&amp;EOMONTH($E8477,0)),$J8477-$M8477))</f>
      </c>
      <c r="O8477" s="43">
        <f>IF($I8477=0,0,INDEX(DarlErsatzRate,18))</f>
      </c>
      <c r="P8477" s="43">
        <f>IF($I8477=0,0,$Q8476*INDEX(DarlErsatzZins,18))</f>
      </c>
      <c r="Q8477" s="43">
        <f>IF($I8477=0,0,$Q8476+$P8477+$O8477)</f>
      </c>
      <c r="R8477" s="43">
        <f>IF($I8477=0,0,$J8477-$M8477-$N8477)</f>
      </c>
    </row>
    <row r="8478">
      <c r="A8478"/>
      <c r="B8478">
        <v>18</v>
      </c>
      <c r="C8478" s="43">
        <f>INDEX(DarlObj,18)</f>
      </c>
      <c r="D8478">
        <v>315</v>
      </c>
      <c r="E8478" s="51">
        <f>IF(INDEX(DarlBelegt,18)=0,0,EOMONTH(INDEX(DarlAuszahlung,18),314)+1)</f>
      </c>
      <c r="F8478" s="43">
        <f>IF($E8478=0,0,YEAR($E8478))</f>
      </c>
      <c r="G8478" s="43">
        <f>IF(INDEX(DarlBindung,18)="",1,IF($E8478&lt;=INDEX(DarlBindung,18),1,0))</f>
      </c>
      <c r="H8478" s="43">
        <f>IF($G8478=1,INDEX(DarlSollzins,18),INDEX(DarlAnschluss,18))</f>
      </c>
      <c r="I8478" s="43">
        <f>IF(INDEX(DarlBelegt,18)=0,0,IF(INDEX(DarlOhneTilgung,18)=1,IF(INDEX(DarlBindung,18)="",1,$G8478),IF($J8478&gt;0.005,1,0)))</f>
      </c>
      <c r="J8478" s="43">
        <f>IF($I8477=0,0,$R8477)</f>
      </c>
      <c r="K8478" s="43">
        <f>IF($I8478=0,0,IF(INDEX(DarlOhneTilgung,18)=1,0,IF(AND(INDEX(DarlTilgStart,18)&gt;0,$E8478=INDEX(DarlTilgStart,18)),$J8478*($H8478+INDEX(DarlTilgung,18))/100/12,IF(AND($G8478=0,$G8477=1),MAX($K8477,$J8478*($H8478+1)/100/12),$K8477))))</f>
      </c>
      <c r="L8478" s="43">
        <f>IF($I8478=0,0,$J8478*$H8478/100/12)</f>
      </c>
      <c r="M8478" s="43">
        <f>IF($I8478=0,0,IF(OR(INDEX(DarlOhneTilgung,18)=1,AND(INDEX(DarlTilgStart,18)&gt;0,$E8478&lt;INDEX(DarlTilgStart,18))),0,MIN(MAX(0,$K8478-$L8478),$J8478)))</f>
      </c>
      <c r="N8478" s="43">
        <f>IF($I8478=0,0,MIN(SUMIFS(SondBetrag,SondDarl,18,SondDatum,"&gt;="&amp;$E8478,SondDatum,"&lt;="&amp;EOMONTH($E8478,0)),$J8478-$M8478))</f>
      </c>
      <c r="O8478" s="43">
        <f>IF($I8478=0,0,INDEX(DarlErsatzRate,18))</f>
      </c>
      <c r="P8478" s="43">
        <f>IF($I8478=0,0,$Q8477*INDEX(DarlErsatzZins,18))</f>
      </c>
      <c r="Q8478" s="43">
        <f>IF($I8478=0,0,$Q8477+$P8478+$O8478)</f>
      </c>
      <c r="R8478" s="43">
        <f>IF($I8478=0,0,$J8478-$M8478-$N8478)</f>
      </c>
    </row>
    <row r="8479">
      <c r="A8479"/>
      <c r="B8479">
        <v>18</v>
      </c>
      <c r="C8479" s="43">
        <f>INDEX(DarlObj,18)</f>
      </c>
      <c r="D8479">
        <v>316</v>
      </c>
      <c r="E8479" s="51">
        <f>IF(INDEX(DarlBelegt,18)=0,0,EOMONTH(INDEX(DarlAuszahlung,18),315)+1)</f>
      </c>
      <c r="F8479" s="43">
        <f>IF($E8479=0,0,YEAR($E8479))</f>
      </c>
      <c r="G8479" s="43">
        <f>IF(INDEX(DarlBindung,18)="",1,IF($E8479&lt;=INDEX(DarlBindung,18),1,0))</f>
      </c>
      <c r="H8479" s="43">
        <f>IF($G8479=1,INDEX(DarlSollzins,18),INDEX(DarlAnschluss,18))</f>
      </c>
      <c r="I8479" s="43">
        <f>IF(INDEX(DarlBelegt,18)=0,0,IF(INDEX(DarlOhneTilgung,18)=1,IF(INDEX(DarlBindung,18)="",1,$G8479),IF($J8479&gt;0.005,1,0)))</f>
      </c>
      <c r="J8479" s="43">
        <f>IF($I8478=0,0,$R8478)</f>
      </c>
      <c r="K8479" s="43">
        <f>IF($I8479=0,0,IF(INDEX(DarlOhneTilgung,18)=1,0,IF(AND(INDEX(DarlTilgStart,18)&gt;0,$E8479=INDEX(DarlTilgStart,18)),$J8479*($H8479+INDEX(DarlTilgung,18))/100/12,IF(AND($G8479=0,$G8478=1),MAX($K8478,$J8479*($H8479+1)/100/12),$K8478))))</f>
      </c>
      <c r="L8479" s="43">
        <f>IF($I8479=0,0,$J8479*$H8479/100/12)</f>
      </c>
      <c r="M8479" s="43">
        <f>IF($I8479=0,0,IF(OR(INDEX(DarlOhneTilgung,18)=1,AND(INDEX(DarlTilgStart,18)&gt;0,$E8479&lt;INDEX(DarlTilgStart,18))),0,MIN(MAX(0,$K8479-$L8479),$J8479)))</f>
      </c>
      <c r="N8479" s="43">
        <f>IF($I8479=0,0,MIN(SUMIFS(SondBetrag,SondDarl,18,SondDatum,"&gt;="&amp;$E8479,SondDatum,"&lt;="&amp;EOMONTH($E8479,0)),$J8479-$M8479))</f>
      </c>
      <c r="O8479" s="43">
        <f>IF($I8479=0,0,INDEX(DarlErsatzRate,18))</f>
      </c>
      <c r="P8479" s="43">
        <f>IF($I8479=0,0,$Q8478*INDEX(DarlErsatzZins,18))</f>
      </c>
      <c r="Q8479" s="43">
        <f>IF($I8479=0,0,$Q8478+$P8479+$O8479)</f>
      </c>
      <c r="R8479" s="43">
        <f>IF($I8479=0,0,$J8479-$M8479-$N8479)</f>
      </c>
    </row>
    <row r="8480">
      <c r="A8480"/>
      <c r="B8480">
        <v>18</v>
      </c>
      <c r="C8480" s="43">
        <f>INDEX(DarlObj,18)</f>
      </c>
      <c r="D8480">
        <v>317</v>
      </c>
      <c r="E8480" s="51">
        <f>IF(INDEX(DarlBelegt,18)=0,0,EOMONTH(INDEX(DarlAuszahlung,18),316)+1)</f>
      </c>
      <c r="F8480" s="43">
        <f>IF($E8480=0,0,YEAR($E8480))</f>
      </c>
      <c r="G8480" s="43">
        <f>IF(INDEX(DarlBindung,18)="",1,IF($E8480&lt;=INDEX(DarlBindung,18),1,0))</f>
      </c>
      <c r="H8480" s="43">
        <f>IF($G8480=1,INDEX(DarlSollzins,18),INDEX(DarlAnschluss,18))</f>
      </c>
      <c r="I8480" s="43">
        <f>IF(INDEX(DarlBelegt,18)=0,0,IF(INDEX(DarlOhneTilgung,18)=1,IF(INDEX(DarlBindung,18)="",1,$G8480),IF($J8480&gt;0.005,1,0)))</f>
      </c>
      <c r="J8480" s="43">
        <f>IF($I8479=0,0,$R8479)</f>
      </c>
      <c r="K8480" s="43">
        <f>IF($I8480=0,0,IF(INDEX(DarlOhneTilgung,18)=1,0,IF(AND(INDEX(DarlTilgStart,18)&gt;0,$E8480=INDEX(DarlTilgStart,18)),$J8480*($H8480+INDEX(DarlTilgung,18))/100/12,IF(AND($G8480=0,$G8479=1),MAX($K8479,$J8480*($H8480+1)/100/12),$K8479))))</f>
      </c>
      <c r="L8480" s="43">
        <f>IF($I8480=0,0,$J8480*$H8480/100/12)</f>
      </c>
      <c r="M8480" s="43">
        <f>IF($I8480=0,0,IF(OR(INDEX(DarlOhneTilgung,18)=1,AND(INDEX(DarlTilgStart,18)&gt;0,$E8480&lt;INDEX(DarlTilgStart,18))),0,MIN(MAX(0,$K8480-$L8480),$J8480)))</f>
      </c>
      <c r="N8480" s="43">
        <f>IF($I8480=0,0,MIN(SUMIFS(SondBetrag,SondDarl,18,SondDatum,"&gt;="&amp;$E8480,SondDatum,"&lt;="&amp;EOMONTH($E8480,0)),$J8480-$M8480))</f>
      </c>
      <c r="O8480" s="43">
        <f>IF($I8480=0,0,INDEX(DarlErsatzRate,18))</f>
      </c>
      <c r="P8480" s="43">
        <f>IF($I8480=0,0,$Q8479*INDEX(DarlErsatzZins,18))</f>
      </c>
      <c r="Q8480" s="43">
        <f>IF($I8480=0,0,$Q8479+$P8480+$O8480)</f>
      </c>
      <c r="R8480" s="43">
        <f>IF($I8480=0,0,$J8480-$M8480-$N8480)</f>
      </c>
    </row>
    <row r="8481">
      <c r="A8481"/>
      <c r="B8481">
        <v>18</v>
      </c>
      <c r="C8481" s="43">
        <f>INDEX(DarlObj,18)</f>
      </c>
      <c r="D8481">
        <v>318</v>
      </c>
      <c r="E8481" s="51">
        <f>IF(INDEX(DarlBelegt,18)=0,0,EOMONTH(INDEX(DarlAuszahlung,18),317)+1)</f>
      </c>
      <c r="F8481" s="43">
        <f>IF($E8481=0,0,YEAR($E8481))</f>
      </c>
      <c r="G8481" s="43">
        <f>IF(INDEX(DarlBindung,18)="",1,IF($E8481&lt;=INDEX(DarlBindung,18),1,0))</f>
      </c>
      <c r="H8481" s="43">
        <f>IF($G8481=1,INDEX(DarlSollzins,18),INDEX(DarlAnschluss,18))</f>
      </c>
      <c r="I8481" s="43">
        <f>IF(INDEX(DarlBelegt,18)=0,0,IF(INDEX(DarlOhneTilgung,18)=1,IF(INDEX(DarlBindung,18)="",1,$G8481),IF($J8481&gt;0.005,1,0)))</f>
      </c>
      <c r="J8481" s="43">
        <f>IF($I8480=0,0,$R8480)</f>
      </c>
      <c r="K8481" s="43">
        <f>IF($I8481=0,0,IF(INDEX(DarlOhneTilgung,18)=1,0,IF(AND(INDEX(DarlTilgStart,18)&gt;0,$E8481=INDEX(DarlTilgStart,18)),$J8481*($H8481+INDEX(DarlTilgung,18))/100/12,IF(AND($G8481=0,$G8480=1),MAX($K8480,$J8481*($H8481+1)/100/12),$K8480))))</f>
      </c>
      <c r="L8481" s="43">
        <f>IF($I8481=0,0,$J8481*$H8481/100/12)</f>
      </c>
      <c r="M8481" s="43">
        <f>IF($I8481=0,0,IF(OR(INDEX(DarlOhneTilgung,18)=1,AND(INDEX(DarlTilgStart,18)&gt;0,$E8481&lt;INDEX(DarlTilgStart,18))),0,MIN(MAX(0,$K8481-$L8481),$J8481)))</f>
      </c>
      <c r="N8481" s="43">
        <f>IF($I8481=0,0,MIN(SUMIFS(SondBetrag,SondDarl,18,SondDatum,"&gt;="&amp;$E8481,SondDatum,"&lt;="&amp;EOMONTH($E8481,0)),$J8481-$M8481))</f>
      </c>
      <c r="O8481" s="43">
        <f>IF($I8481=0,0,INDEX(DarlErsatzRate,18))</f>
      </c>
      <c r="P8481" s="43">
        <f>IF($I8481=0,0,$Q8480*INDEX(DarlErsatzZins,18))</f>
      </c>
      <c r="Q8481" s="43">
        <f>IF($I8481=0,0,$Q8480+$P8481+$O8481)</f>
      </c>
      <c r="R8481" s="43">
        <f>IF($I8481=0,0,$J8481-$M8481-$N8481)</f>
      </c>
    </row>
    <row r="8482">
      <c r="A8482"/>
      <c r="B8482">
        <v>18</v>
      </c>
      <c r="C8482" s="43">
        <f>INDEX(DarlObj,18)</f>
      </c>
      <c r="D8482">
        <v>319</v>
      </c>
      <c r="E8482" s="51">
        <f>IF(INDEX(DarlBelegt,18)=0,0,EOMONTH(INDEX(DarlAuszahlung,18),318)+1)</f>
      </c>
      <c r="F8482" s="43">
        <f>IF($E8482=0,0,YEAR($E8482))</f>
      </c>
      <c r="G8482" s="43">
        <f>IF(INDEX(DarlBindung,18)="",1,IF($E8482&lt;=INDEX(DarlBindung,18),1,0))</f>
      </c>
      <c r="H8482" s="43">
        <f>IF($G8482=1,INDEX(DarlSollzins,18),INDEX(DarlAnschluss,18))</f>
      </c>
      <c r="I8482" s="43">
        <f>IF(INDEX(DarlBelegt,18)=0,0,IF(INDEX(DarlOhneTilgung,18)=1,IF(INDEX(DarlBindung,18)="",1,$G8482),IF($J8482&gt;0.005,1,0)))</f>
      </c>
      <c r="J8482" s="43">
        <f>IF($I8481=0,0,$R8481)</f>
      </c>
      <c r="K8482" s="43">
        <f>IF($I8482=0,0,IF(INDEX(DarlOhneTilgung,18)=1,0,IF(AND(INDEX(DarlTilgStart,18)&gt;0,$E8482=INDEX(DarlTilgStart,18)),$J8482*($H8482+INDEX(DarlTilgung,18))/100/12,IF(AND($G8482=0,$G8481=1),MAX($K8481,$J8482*($H8482+1)/100/12),$K8481))))</f>
      </c>
      <c r="L8482" s="43">
        <f>IF($I8482=0,0,$J8482*$H8482/100/12)</f>
      </c>
      <c r="M8482" s="43">
        <f>IF($I8482=0,0,IF(OR(INDEX(DarlOhneTilgung,18)=1,AND(INDEX(DarlTilgStart,18)&gt;0,$E8482&lt;INDEX(DarlTilgStart,18))),0,MIN(MAX(0,$K8482-$L8482),$J8482)))</f>
      </c>
      <c r="N8482" s="43">
        <f>IF($I8482=0,0,MIN(SUMIFS(SondBetrag,SondDarl,18,SondDatum,"&gt;="&amp;$E8482,SondDatum,"&lt;="&amp;EOMONTH($E8482,0)),$J8482-$M8482))</f>
      </c>
      <c r="O8482" s="43">
        <f>IF($I8482=0,0,INDEX(DarlErsatzRate,18))</f>
      </c>
      <c r="P8482" s="43">
        <f>IF($I8482=0,0,$Q8481*INDEX(DarlErsatzZins,18))</f>
      </c>
      <c r="Q8482" s="43">
        <f>IF($I8482=0,0,$Q8481+$P8482+$O8482)</f>
      </c>
      <c r="R8482" s="43">
        <f>IF($I8482=0,0,$J8482-$M8482-$N8482)</f>
      </c>
    </row>
    <row r="8483">
      <c r="A8483"/>
      <c r="B8483">
        <v>18</v>
      </c>
      <c r="C8483" s="43">
        <f>INDEX(DarlObj,18)</f>
      </c>
      <c r="D8483">
        <v>320</v>
      </c>
      <c r="E8483" s="51">
        <f>IF(INDEX(DarlBelegt,18)=0,0,EOMONTH(INDEX(DarlAuszahlung,18),319)+1)</f>
      </c>
      <c r="F8483" s="43">
        <f>IF($E8483=0,0,YEAR($E8483))</f>
      </c>
      <c r="G8483" s="43">
        <f>IF(INDEX(DarlBindung,18)="",1,IF($E8483&lt;=INDEX(DarlBindung,18),1,0))</f>
      </c>
      <c r="H8483" s="43">
        <f>IF($G8483=1,INDEX(DarlSollzins,18),INDEX(DarlAnschluss,18))</f>
      </c>
      <c r="I8483" s="43">
        <f>IF(INDEX(DarlBelegt,18)=0,0,IF(INDEX(DarlOhneTilgung,18)=1,IF(INDEX(DarlBindung,18)="",1,$G8483),IF($J8483&gt;0.005,1,0)))</f>
      </c>
      <c r="J8483" s="43">
        <f>IF($I8482=0,0,$R8482)</f>
      </c>
      <c r="K8483" s="43">
        <f>IF($I8483=0,0,IF(INDEX(DarlOhneTilgung,18)=1,0,IF(AND(INDEX(DarlTilgStart,18)&gt;0,$E8483=INDEX(DarlTilgStart,18)),$J8483*($H8483+INDEX(DarlTilgung,18))/100/12,IF(AND($G8483=0,$G8482=1),MAX($K8482,$J8483*($H8483+1)/100/12),$K8482))))</f>
      </c>
      <c r="L8483" s="43">
        <f>IF($I8483=0,0,$J8483*$H8483/100/12)</f>
      </c>
      <c r="M8483" s="43">
        <f>IF($I8483=0,0,IF(OR(INDEX(DarlOhneTilgung,18)=1,AND(INDEX(DarlTilgStart,18)&gt;0,$E8483&lt;INDEX(DarlTilgStart,18))),0,MIN(MAX(0,$K8483-$L8483),$J8483)))</f>
      </c>
      <c r="N8483" s="43">
        <f>IF($I8483=0,0,MIN(SUMIFS(SondBetrag,SondDarl,18,SondDatum,"&gt;="&amp;$E8483,SondDatum,"&lt;="&amp;EOMONTH($E8483,0)),$J8483-$M8483))</f>
      </c>
      <c r="O8483" s="43">
        <f>IF($I8483=0,0,INDEX(DarlErsatzRate,18))</f>
      </c>
      <c r="P8483" s="43">
        <f>IF($I8483=0,0,$Q8482*INDEX(DarlErsatzZins,18))</f>
      </c>
      <c r="Q8483" s="43">
        <f>IF($I8483=0,0,$Q8482+$P8483+$O8483)</f>
      </c>
      <c r="R8483" s="43">
        <f>IF($I8483=0,0,$J8483-$M8483-$N8483)</f>
      </c>
    </row>
    <row r="8484">
      <c r="A8484"/>
      <c r="B8484">
        <v>18</v>
      </c>
      <c r="C8484" s="43">
        <f>INDEX(DarlObj,18)</f>
      </c>
      <c r="D8484">
        <v>321</v>
      </c>
      <c r="E8484" s="51">
        <f>IF(INDEX(DarlBelegt,18)=0,0,EOMONTH(INDEX(DarlAuszahlung,18),320)+1)</f>
      </c>
      <c r="F8484" s="43">
        <f>IF($E8484=0,0,YEAR($E8484))</f>
      </c>
      <c r="G8484" s="43">
        <f>IF(INDEX(DarlBindung,18)="",1,IF($E8484&lt;=INDEX(DarlBindung,18),1,0))</f>
      </c>
      <c r="H8484" s="43">
        <f>IF($G8484=1,INDEX(DarlSollzins,18),INDEX(DarlAnschluss,18))</f>
      </c>
      <c r="I8484" s="43">
        <f>IF(INDEX(DarlBelegt,18)=0,0,IF(INDEX(DarlOhneTilgung,18)=1,IF(INDEX(DarlBindung,18)="",1,$G8484),IF($J8484&gt;0.005,1,0)))</f>
      </c>
      <c r="J8484" s="43">
        <f>IF($I8483=0,0,$R8483)</f>
      </c>
      <c r="K8484" s="43">
        <f>IF($I8484=0,0,IF(INDEX(DarlOhneTilgung,18)=1,0,IF(AND(INDEX(DarlTilgStart,18)&gt;0,$E8484=INDEX(DarlTilgStart,18)),$J8484*($H8484+INDEX(DarlTilgung,18))/100/12,IF(AND($G8484=0,$G8483=1),MAX($K8483,$J8484*($H8484+1)/100/12),$K8483))))</f>
      </c>
      <c r="L8484" s="43">
        <f>IF($I8484=0,0,$J8484*$H8484/100/12)</f>
      </c>
      <c r="M8484" s="43">
        <f>IF($I8484=0,0,IF(OR(INDEX(DarlOhneTilgung,18)=1,AND(INDEX(DarlTilgStart,18)&gt;0,$E8484&lt;INDEX(DarlTilgStart,18))),0,MIN(MAX(0,$K8484-$L8484),$J8484)))</f>
      </c>
      <c r="N8484" s="43">
        <f>IF($I8484=0,0,MIN(SUMIFS(SondBetrag,SondDarl,18,SondDatum,"&gt;="&amp;$E8484,SondDatum,"&lt;="&amp;EOMONTH($E8484,0)),$J8484-$M8484))</f>
      </c>
      <c r="O8484" s="43">
        <f>IF($I8484=0,0,INDEX(DarlErsatzRate,18))</f>
      </c>
      <c r="P8484" s="43">
        <f>IF($I8484=0,0,$Q8483*INDEX(DarlErsatzZins,18))</f>
      </c>
      <c r="Q8484" s="43">
        <f>IF($I8484=0,0,$Q8483+$P8484+$O8484)</f>
      </c>
      <c r="R8484" s="43">
        <f>IF($I8484=0,0,$J8484-$M8484-$N8484)</f>
      </c>
    </row>
    <row r="8485">
      <c r="A8485"/>
      <c r="B8485">
        <v>18</v>
      </c>
      <c r="C8485" s="43">
        <f>INDEX(DarlObj,18)</f>
      </c>
      <c r="D8485">
        <v>322</v>
      </c>
      <c r="E8485" s="51">
        <f>IF(INDEX(DarlBelegt,18)=0,0,EOMONTH(INDEX(DarlAuszahlung,18),321)+1)</f>
      </c>
      <c r="F8485" s="43">
        <f>IF($E8485=0,0,YEAR($E8485))</f>
      </c>
      <c r="G8485" s="43">
        <f>IF(INDEX(DarlBindung,18)="",1,IF($E8485&lt;=INDEX(DarlBindung,18),1,0))</f>
      </c>
      <c r="H8485" s="43">
        <f>IF($G8485=1,INDEX(DarlSollzins,18),INDEX(DarlAnschluss,18))</f>
      </c>
      <c r="I8485" s="43">
        <f>IF(INDEX(DarlBelegt,18)=0,0,IF(INDEX(DarlOhneTilgung,18)=1,IF(INDEX(DarlBindung,18)="",1,$G8485),IF($J8485&gt;0.005,1,0)))</f>
      </c>
      <c r="J8485" s="43">
        <f>IF($I8484=0,0,$R8484)</f>
      </c>
      <c r="K8485" s="43">
        <f>IF($I8485=0,0,IF(INDEX(DarlOhneTilgung,18)=1,0,IF(AND(INDEX(DarlTilgStart,18)&gt;0,$E8485=INDEX(DarlTilgStart,18)),$J8485*($H8485+INDEX(DarlTilgung,18))/100/12,IF(AND($G8485=0,$G8484=1),MAX($K8484,$J8485*($H8485+1)/100/12),$K8484))))</f>
      </c>
      <c r="L8485" s="43">
        <f>IF($I8485=0,0,$J8485*$H8485/100/12)</f>
      </c>
      <c r="M8485" s="43">
        <f>IF($I8485=0,0,IF(OR(INDEX(DarlOhneTilgung,18)=1,AND(INDEX(DarlTilgStart,18)&gt;0,$E8485&lt;INDEX(DarlTilgStart,18))),0,MIN(MAX(0,$K8485-$L8485),$J8485)))</f>
      </c>
      <c r="N8485" s="43">
        <f>IF($I8485=0,0,MIN(SUMIFS(SondBetrag,SondDarl,18,SondDatum,"&gt;="&amp;$E8485,SondDatum,"&lt;="&amp;EOMONTH($E8485,0)),$J8485-$M8485))</f>
      </c>
      <c r="O8485" s="43">
        <f>IF($I8485=0,0,INDEX(DarlErsatzRate,18))</f>
      </c>
      <c r="P8485" s="43">
        <f>IF($I8485=0,0,$Q8484*INDEX(DarlErsatzZins,18))</f>
      </c>
      <c r="Q8485" s="43">
        <f>IF($I8485=0,0,$Q8484+$P8485+$O8485)</f>
      </c>
      <c r="R8485" s="43">
        <f>IF($I8485=0,0,$J8485-$M8485-$N8485)</f>
      </c>
    </row>
    <row r="8486">
      <c r="A8486"/>
      <c r="B8486">
        <v>18</v>
      </c>
      <c r="C8486" s="43">
        <f>INDEX(DarlObj,18)</f>
      </c>
      <c r="D8486">
        <v>323</v>
      </c>
      <c r="E8486" s="51">
        <f>IF(INDEX(DarlBelegt,18)=0,0,EOMONTH(INDEX(DarlAuszahlung,18),322)+1)</f>
      </c>
      <c r="F8486" s="43">
        <f>IF($E8486=0,0,YEAR($E8486))</f>
      </c>
      <c r="G8486" s="43">
        <f>IF(INDEX(DarlBindung,18)="",1,IF($E8486&lt;=INDEX(DarlBindung,18),1,0))</f>
      </c>
      <c r="H8486" s="43">
        <f>IF($G8486=1,INDEX(DarlSollzins,18),INDEX(DarlAnschluss,18))</f>
      </c>
      <c r="I8486" s="43">
        <f>IF(INDEX(DarlBelegt,18)=0,0,IF(INDEX(DarlOhneTilgung,18)=1,IF(INDEX(DarlBindung,18)="",1,$G8486),IF($J8486&gt;0.005,1,0)))</f>
      </c>
      <c r="J8486" s="43">
        <f>IF($I8485=0,0,$R8485)</f>
      </c>
      <c r="K8486" s="43">
        <f>IF($I8486=0,0,IF(INDEX(DarlOhneTilgung,18)=1,0,IF(AND(INDEX(DarlTilgStart,18)&gt;0,$E8486=INDEX(DarlTilgStart,18)),$J8486*($H8486+INDEX(DarlTilgung,18))/100/12,IF(AND($G8486=0,$G8485=1),MAX($K8485,$J8486*($H8486+1)/100/12),$K8485))))</f>
      </c>
      <c r="L8486" s="43">
        <f>IF($I8486=0,0,$J8486*$H8486/100/12)</f>
      </c>
      <c r="M8486" s="43">
        <f>IF($I8486=0,0,IF(OR(INDEX(DarlOhneTilgung,18)=1,AND(INDEX(DarlTilgStart,18)&gt;0,$E8486&lt;INDEX(DarlTilgStart,18))),0,MIN(MAX(0,$K8486-$L8486),$J8486)))</f>
      </c>
      <c r="N8486" s="43">
        <f>IF($I8486=0,0,MIN(SUMIFS(SondBetrag,SondDarl,18,SondDatum,"&gt;="&amp;$E8486,SondDatum,"&lt;="&amp;EOMONTH($E8486,0)),$J8486-$M8486))</f>
      </c>
      <c r="O8486" s="43">
        <f>IF($I8486=0,0,INDEX(DarlErsatzRate,18))</f>
      </c>
      <c r="P8486" s="43">
        <f>IF($I8486=0,0,$Q8485*INDEX(DarlErsatzZins,18))</f>
      </c>
      <c r="Q8486" s="43">
        <f>IF($I8486=0,0,$Q8485+$P8486+$O8486)</f>
      </c>
      <c r="R8486" s="43">
        <f>IF($I8486=0,0,$J8486-$M8486-$N8486)</f>
      </c>
    </row>
    <row r="8487">
      <c r="A8487"/>
      <c r="B8487">
        <v>18</v>
      </c>
      <c r="C8487" s="43">
        <f>INDEX(DarlObj,18)</f>
      </c>
      <c r="D8487">
        <v>324</v>
      </c>
      <c r="E8487" s="51">
        <f>IF(INDEX(DarlBelegt,18)=0,0,EOMONTH(INDEX(DarlAuszahlung,18),323)+1)</f>
      </c>
      <c r="F8487" s="43">
        <f>IF($E8487=0,0,YEAR($E8487))</f>
      </c>
      <c r="G8487" s="43">
        <f>IF(INDEX(DarlBindung,18)="",1,IF($E8487&lt;=INDEX(DarlBindung,18),1,0))</f>
      </c>
      <c r="H8487" s="43">
        <f>IF($G8487=1,INDEX(DarlSollzins,18),INDEX(DarlAnschluss,18))</f>
      </c>
      <c r="I8487" s="43">
        <f>IF(INDEX(DarlBelegt,18)=0,0,IF(INDEX(DarlOhneTilgung,18)=1,IF(INDEX(DarlBindung,18)="",1,$G8487),IF($J8487&gt;0.005,1,0)))</f>
      </c>
      <c r="J8487" s="43">
        <f>IF($I8486=0,0,$R8486)</f>
      </c>
      <c r="K8487" s="43">
        <f>IF($I8487=0,0,IF(INDEX(DarlOhneTilgung,18)=1,0,IF(AND(INDEX(DarlTilgStart,18)&gt;0,$E8487=INDEX(DarlTilgStart,18)),$J8487*($H8487+INDEX(DarlTilgung,18))/100/12,IF(AND($G8487=0,$G8486=1),MAX($K8486,$J8487*($H8487+1)/100/12),$K8486))))</f>
      </c>
      <c r="L8487" s="43">
        <f>IF($I8487=0,0,$J8487*$H8487/100/12)</f>
      </c>
      <c r="M8487" s="43">
        <f>IF($I8487=0,0,IF(OR(INDEX(DarlOhneTilgung,18)=1,AND(INDEX(DarlTilgStart,18)&gt;0,$E8487&lt;INDEX(DarlTilgStart,18))),0,MIN(MAX(0,$K8487-$L8487),$J8487)))</f>
      </c>
      <c r="N8487" s="43">
        <f>IF($I8487=0,0,MIN(SUMIFS(SondBetrag,SondDarl,18,SondDatum,"&gt;="&amp;$E8487,SondDatum,"&lt;="&amp;EOMONTH($E8487,0)),$J8487-$M8487))</f>
      </c>
      <c r="O8487" s="43">
        <f>IF($I8487=0,0,INDEX(DarlErsatzRate,18))</f>
      </c>
      <c r="P8487" s="43">
        <f>IF($I8487=0,0,$Q8486*INDEX(DarlErsatzZins,18))</f>
      </c>
      <c r="Q8487" s="43">
        <f>IF($I8487=0,0,$Q8486+$P8487+$O8487)</f>
      </c>
      <c r="R8487" s="43">
        <f>IF($I8487=0,0,$J8487-$M8487-$N8487)</f>
      </c>
    </row>
    <row r="8488">
      <c r="A8488"/>
      <c r="B8488">
        <v>18</v>
      </c>
      <c r="C8488" s="43">
        <f>INDEX(DarlObj,18)</f>
      </c>
      <c r="D8488">
        <v>325</v>
      </c>
      <c r="E8488" s="51">
        <f>IF(INDEX(DarlBelegt,18)=0,0,EOMONTH(INDEX(DarlAuszahlung,18),324)+1)</f>
      </c>
      <c r="F8488" s="43">
        <f>IF($E8488=0,0,YEAR($E8488))</f>
      </c>
      <c r="G8488" s="43">
        <f>IF(INDEX(DarlBindung,18)="",1,IF($E8488&lt;=INDEX(DarlBindung,18),1,0))</f>
      </c>
      <c r="H8488" s="43">
        <f>IF($G8488=1,INDEX(DarlSollzins,18),INDEX(DarlAnschluss,18))</f>
      </c>
      <c r="I8488" s="43">
        <f>IF(INDEX(DarlBelegt,18)=0,0,IF(INDEX(DarlOhneTilgung,18)=1,IF(INDEX(DarlBindung,18)="",1,$G8488),IF($J8488&gt;0.005,1,0)))</f>
      </c>
      <c r="J8488" s="43">
        <f>IF($I8487=0,0,$R8487)</f>
      </c>
      <c r="K8488" s="43">
        <f>IF($I8488=0,0,IF(INDEX(DarlOhneTilgung,18)=1,0,IF(AND(INDEX(DarlTilgStart,18)&gt;0,$E8488=INDEX(DarlTilgStart,18)),$J8488*($H8488+INDEX(DarlTilgung,18))/100/12,IF(AND($G8488=0,$G8487=1),MAX($K8487,$J8488*($H8488+1)/100/12),$K8487))))</f>
      </c>
      <c r="L8488" s="43">
        <f>IF($I8488=0,0,$J8488*$H8488/100/12)</f>
      </c>
      <c r="M8488" s="43">
        <f>IF($I8488=0,0,IF(OR(INDEX(DarlOhneTilgung,18)=1,AND(INDEX(DarlTilgStart,18)&gt;0,$E8488&lt;INDEX(DarlTilgStart,18))),0,MIN(MAX(0,$K8488-$L8488),$J8488)))</f>
      </c>
      <c r="N8488" s="43">
        <f>IF($I8488=0,0,MIN(SUMIFS(SondBetrag,SondDarl,18,SondDatum,"&gt;="&amp;$E8488,SondDatum,"&lt;="&amp;EOMONTH($E8488,0)),$J8488-$M8488))</f>
      </c>
      <c r="O8488" s="43">
        <f>IF($I8488=0,0,INDEX(DarlErsatzRate,18))</f>
      </c>
      <c r="P8488" s="43">
        <f>IF($I8488=0,0,$Q8487*INDEX(DarlErsatzZins,18))</f>
      </c>
      <c r="Q8488" s="43">
        <f>IF($I8488=0,0,$Q8487+$P8488+$O8488)</f>
      </c>
      <c r="R8488" s="43">
        <f>IF($I8488=0,0,$J8488-$M8488-$N8488)</f>
      </c>
    </row>
    <row r="8489">
      <c r="A8489"/>
      <c r="B8489">
        <v>18</v>
      </c>
      <c r="C8489" s="43">
        <f>INDEX(DarlObj,18)</f>
      </c>
      <c r="D8489">
        <v>326</v>
      </c>
      <c r="E8489" s="51">
        <f>IF(INDEX(DarlBelegt,18)=0,0,EOMONTH(INDEX(DarlAuszahlung,18),325)+1)</f>
      </c>
      <c r="F8489" s="43">
        <f>IF($E8489=0,0,YEAR($E8489))</f>
      </c>
      <c r="G8489" s="43">
        <f>IF(INDEX(DarlBindung,18)="",1,IF($E8489&lt;=INDEX(DarlBindung,18),1,0))</f>
      </c>
      <c r="H8489" s="43">
        <f>IF($G8489=1,INDEX(DarlSollzins,18),INDEX(DarlAnschluss,18))</f>
      </c>
      <c r="I8489" s="43">
        <f>IF(INDEX(DarlBelegt,18)=0,0,IF(INDEX(DarlOhneTilgung,18)=1,IF(INDEX(DarlBindung,18)="",1,$G8489),IF($J8489&gt;0.005,1,0)))</f>
      </c>
      <c r="J8489" s="43">
        <f>IF($I8488=0,0,$R8488)</f>
      </c>
      <c r="K8489" s="43">
        <f>IF($I8489=0,0,IF(INDEX(DarlOhneTilgung,18)=1,0,IF(AND(INDEX(DarlTilgStart,18)&gt;0,$E8489=INDEX(DarlTilgStart,18)),$J8489*($H8489+INDEX(DarlTilgung,18))/100/12,IF(AND($G8489=0,$G8488=1),MAX($K8488,$J8489*($H8489+1)/100/12),$K8488))))</f>
      </c>
      <c r="L8489" s="43">
        <f>IF($I8489=0,0,$J8489*$H8489/100/12)</f>
      </c>
      <c r="M8489" s="43">
        <f>IF($I8489=0,0,IF(OR(INDEX(DarlOhneTilgung,18)=1,AND(INDEX(DarlTilgStart,18)&gt;0,$E8489&lt;INDEX(DarlTilgStart,18))),0,MIN(MAX(0,$K8489-$L8489),$J8489)))</f>
      </c>
      <c r="N8489" s="43">
        <f>IF($I8489=0,0,MIN(SUMIFS(SondBetrag,SondDarl,18,SondDatum,"&gt;="&amp;$E8489,SondDatum,"&lt;="&amp;EOMONTH($E8489,0)),$J8489-$M8489))</f>
      </c>
      <c r="O8489" s="43">
        <f>IF($I8489=0,0,INDEX(DarlErsatzRate,18))</f>
      </c>
      <c r="P8489" s="43">
        <f>IF($I8489=0,0,$Q8488*INDEX(DarlErsatzZins,18))</f>
      </c>
      <c r="Q8489" s="43">
        <f>IF($I8489=0,0,$Q8488+$P8489+$O8489)</f>
      </c>
      <c r="R8489" s="43">
        <f>IF($I8489=0,0,$J8489-$M8489-$N8489)</f>
      </c>
    </row>
    <row r="8490">
      <c r="A8490"/>
      <c r="B8490">
        <v>18</v>
      </c>
      <c r="C8490" s="43">
        <f>INDEX(DarlObj,18)</f>
      </c>
      <c r="D8490">
        <v>327</v>
      </c>
      <c r="E8490" s="51">
        <f>IF(INDEX(DarlBelegt,18)=0,0,EOMONTH(INDEX(DarlAuszahlung,18),326)+1)</f>
      </c>
      <c r="F8490" s="43">
        <f>IF($E8490=0,0,YEAR($E8490))</f>
      </c>
      <c r="G8490" s="43">
        <f>IF(INDEX(DarlBindung,18)="",1,IF($E8490&lt;=INDEX(DarlBindung,18),1,0))</f>
      </c>
      <c r="H8490" s="43">
        <f>IF($G8490=1,INDEX(DarlSollzins,18),INDEX(DarlAnschluss,18))</f>
      </c>
      <c r="I8490" s="43">
        <f>IF(INDEX(DarlBelegt,18)=0,0,IF(INDEX(DarlOhneTilgung,18)=1,IF(INDEX(DarlBindung,18)="",1,$G8490),IF($J8490&gt;0.005,1,0)))</f>
      </c>
      <c r="J8490" s="43">
        <f>IF($I8489=0,0,$R8489)</f>
      </c>
      <c r="K8490" s="43">
        <f>IF($I8490=0,0,IF(INDEX(DarlOhneTilgung,18)=1,0,IF(AND(INDEX(DarlTilgStart,18)&gt;0,$E8490=INDEX(DarlTilgStart,18)),$J8490*($H8490+INDEX(DarlTilgung,18))/100/12,IF(AND($G8490=0,$G8489=1),MAX($K8489,$J8490*($H8490+1)/100/12),$K8489))))</f>
      </c>
      <c r="L8490" s="43">
        <f>IF($I8490=0,0,$J8490*$H8490/100/12)</f>
      </c>
      <c r="M8490" s="43">
        <f>IF($I8490=0,0,IF(OR(INDEX(DarlOhneTilgung,18)=1,AND(INDEX(DarlTilgStart,18)&gt;0,$E8490&lt;INDEX(DarlTilgStart,18))),0,MIN(MAX(0,$K8490-$L8490),$J8490)))</f>
      </c>
      <c r="N8490" s="43">
        <f>IF($I8490=0,0,MIN(SUMIFS(SondBetrag,SondDarl,18,SondDatum,"&gt;="&amp;$E8490,SondDatum,"&lt;="&amp;EOMONTH($E8490,0)),$J8490-$M8490))</f>
      </c>
      <c r="O8490" s="43">
        <f>IF($I8490=0,0,INDEX(DarlErsatzRate,18))</f>
      </c>
      <c r="P8490" s="43">
        <f>IF($I8490=0,0,$Q8489*INDEX(DarlErsatzZins,18))</f>
      </c>
      <c r="Q8490" s="43">
        <f>IF($I8490=0,0,$Q8489+$P8490+$O8490)</f>
      </c>
      <c r="R8490" s="43">
        <f>IF($I8490=0,0,$J8490-$M8490-$N8490)</f>
      </c>
    </row>
    <row r="8491">
      <c r="A8491"/>
      <c r="B8491">
        <v>18</v>
      </c>
      <c r="C8491" s="43">
        <f>INDEX(DarlObj,18)</f>
      </c>
      <c r="D8491">
        <v>328</v>
      </c>
      <c r="E8491" s="51">
        <f>IF(INDEX(DarlBelegt,18)=0,0,EOMONTH(INDEX(DarlAuszahlung,18),327)+1)</f>
      </c>
      <c r="F8491" s="43">
        <f>IF($E8491=0,0,YEAR($E8491))</f>
      </c>
      <c r="G8491" s="43">
        <f>IF(INDEX(DarlBindung,18)="",1,IF($E8491&lt;=INDEX(DarlBindung,18),1,0))</f>
      </c>
      <c r="H8491" s="43">
        <f>IF($G8491=1,INDEX(DarlSollzins,18),INDEX(DarlAnschluss,18))</f>
      </c>
      <c r="I8491" s="43">
        <f>IF(INDEX(DarlBelegt,18)=0,0,IF(INDEX(DarlOhneTilgung,18)=1,IF(INDEX(DarlBindung,18)="",1,$G8491),IF($J8491&gt;0.005,1,0)))</f>
      </c>
      <c r="J8491" s="43">
        <f>IF($I8490=0,0,$R8490)</f>
      </c>
      <c r="K8491" s="43">
        <f>IF($I8491=0,0,IF(INDEX(DarlOhneTilgung,18)=1,0,IF(AND(INDEX(DarlTilgStart,18)&gt;0,$E8491=INDEX(DarlTilgStart,18)),$J8491*($H8491+INDEX(DarlTilgung,18))/100/12,IF(AND($G8491=0,$G8490=1),MAX($K8490,$J8491*($H8491+1)/100/12),$K8490))))</f>
      </c>
      <c r="L8491" s="43">
        <f>IF($I8491=0,0,$J8491*$H8491/100/12)</f>
      </c>
      <c r="M8491" s="43">
        <f>IF($I8491=0,0,IF(OR(INDEX(DarlOhneTilgung,18)=1,AND(INDEX(DarlTilgStart,18)&gt;0,$E8491&lt;INDEX(DarlTilgStart,18))),0,MIN(MAX(0,$K8491-$L8491),$J8491)))</f>
      </c>
      <c r="N8491" s="43">
        <f>IF($I8491=0,0,MIN(SUMIFS(SondBetrag,SondDarl,18,SondDatum,"&gt;="&amp;$E8491,SondDatum,"&lt;="&amp;EOMONTH($E8491,0)),$J8491-$M8491))</f>
      </c>
      <c r="O8491" s="43">
        <f>IF($I8491=0,0,INDEX(DarlErsatzRate,18))</f>
      </c>
      <c r="P8491" s="43">
        <f>IF($I8491=0,0,$Q8490*INDEX(DarlErsatzZins,18))</f>
      </c>
      <c r="Q8491" s="43">
        <f>IF($I8491=0,0,$Q8490+$P8491+$O8491)</f>
      </c>
      <c r="R8491" s="43">
        <f>IF($I8491=0,0,$J8491-$M8491-$N8491)</f>
      </c>
    </row>
    <row r="8492">
      <c r="A8492"/>
      <c r="B8492">
        <v>18</v>
      </c>
      <c r="C8492" s="43">
        <f>INDEX(DarlObj,18)</f>
      </c>
      <c r="D8492">
        <v>329</v>
      </c>
      <c r="E8492" s="51">
        <f>IF(INDEX(DarlBelegt,18)=0,0,EOMONTH(INDEX(DarlAuszahlung,18),328)+1)</f>
      </c>
      <c r="F8492" s="43">
        <f>IF($E8492=0,0,YEAR($E8492))</f>
      </c>
      <c r="G8492" s="43">
        <f>IF(INDEX(DarlBindung,18)="",1,IF($E8492&lt;=INDEX(DarlBindung,18),1,0))</f>
      </c>
      <c r="H8492" s="43">
        <f>IF($G8492=1,INDEX(DarlSollzins,18),INDEX(DarlAnschluss,18))</f>
      </c>
      <c r="I8492" s="43">
        <f>IF(INDEX(DarlBelegt,18)=0,0,IF(INDEX(DarlOhneTilgung,18)=1,IF(INDEX(DarlBindung,18)="",1,$G8492),IF($J8492&gt;0.005,1,0)))</f>
      </c>
      <c r="J8492" s="43">
        <f>IF($I8491=0,0,$R8491)</f>
      </c>
      <c r="K8492" s="43">
        <f>IF($I8492=0,0,IF(INDEX(DarlOhneTilgung,18)=1,0,IF(AND(INDEX(DarlTilgStart,18)&gt;0,$E8492=INDEX(DarlTilgStart,18)),$J8492*($H8492+INDEX(DarlTilgung,18))/100/12,IF(AND($G8492=0,$G8491=1),MAX($K8491,$J8492*($H8492+1)/100/12),$K8491))))</f>
      </c>
      <c r="L8492" s="43">
        <f>IF($I8492=0,0,$J8492*$H8492/100/12)</f>
      </c>
      <c r="M8492" s="43">
        <f>IF($I8492=0,0,IF(OR(INDEX(DarlOhneTilgung,18)=1,AND(INDEX(DarlTilgStart,18)&gt;0,$E8492&lt;INDEX(DarlTilgStart,18))),0,MIN(MAX(0,$K8492-$L8492),$J8492)))</f>
      </c>
      <c r="N8492" s="43">
        <f>IF($I8492=0,0,MIN(SUMIFS(SondBetrag,SondDarl,18,SondDatum,"&gt;="&amp;$E8492,SondDatum,"&lt;="&amp;EOMONTH($E8492,0)),$J8492-$M8492))</f>
      </c>
      <c r="O8492" s="43">
        <f>IF($I8492=0,0,INDEX(DarlErsatzRate,18))</f>
      </c>
      <c r="P8492" s="43">
        <f>IF($I8492=0,0,$Q8491*INDEX(DarlErsatzZins,18))</f>
      </c>
      <c r="Q8492" s="43">
        <f>IF($I8492=0,0,$Q8491+$P8492+$O8492)</f>
      </c>
      <c r="R8492" s="43">
        <f>IF($I8492=0,0,$J8492-$M8492-$N8492)</f>
      </c>
    </row>
    <row r="8493">
      <c r="A8493"/>
      <c r="B8493">
        <v>18</v>
      </c>
      <c r="C8493" s="43">
        <f>INDEX(DarlObj,18)</f>
      </c>
      <c r="D8493">
        <v>330</v>
      </c>
      <c r="E8493" s="51">
        <f>IF(INDEX(DarlBelegt,18)=0,0,EOMONTH(INDEX(DarlAuszahlung,18),329)+1)</f>
      </c>
      <c r="F8493" s="43">
        <f>IF($E8493=0,0,YEAR($E8493))</f>
      </c>
      <c r="G8493" s="43">
        <f>IF(INDEX(DarlBindung,18)="",1,IF($E8493&lt;=INDEX(DarlBindung,18),1,0))</f>
      </c>
      <c r="H8493" s="43">
        <f>IF($G8493=1,INDEX(DarlSollzins,18),INDEX(DarlAnschluss,18))</f>
      </c>
      <c r="I8493" s="43">
        <f>IF(INDEX(DarlBelegt,18)=0,0,IF(INDEX(DarlOhneTilgung,18)=1,IF(INDEX(DarlBindung,18)="",1,$G8493),IF($J8493&gt;0.005,1,0)))</f>
      </c>
      <c r="J8493" s="43">
        <f>IF($I8492=0,0,$R8492)</f>
      </c>
      <c r="K8493" s="43">
        <f>IF($I8493=0,0,IF(INDEX(DarlOhneTilgung,18)=1,0,IF(AND(INDEX(DarlTilgStart,18)&gt;0,$E8493=INDEX(DarlTilgStart,18)),$J8493*($H8493+INDEX(DarlTilgung,18))/100/12,IF(AND($G8493=0,$G8492=1),MAX($K8492,$J8493*($H8493+1)/100/12),$K8492))))</f>
      </c>
      <c r="L8493" s="43">
        <f>IF($I8493=0,0,$J8493*$H8493/100/12)</f>
      </c>
      <c r="M8493" s="43">
        <f>IF($I8493=0,0,IF(OR(INDEX(DarlOhneTilgung,18)=1,AND(INDEX(DarlTilgStart,18)&gt;0,$E8493&lt;INDEX(DarlTilgStart,18))),0,MIN(MAX(0,$K8493-$L8493),$J8493)))</f>
      </c>
      <c r="N8493" s="43">
        <f>IF($I8493=0,0,MIN(SUMIFS(SondBetrag,SondDarl,18,SondDatum,"&gt;="&amp;$E8493,SondDatum,"&lt;="&amp;EOMONTH($E8493,0)),$J8493-$M8493))</f>
      </c>
      <c r="O8493" s="43">
        <f>IF($I8493=0,0,INDEX(DarlErsatzRate,18))</f>
      </c>
      <c r="P8493" s="43">
        <f>IF($I8493=0,0,$Q8492*INDEX(DarlErsatzZins,18))</f>
      </c>
      <c r="Q8493" s="43">
        <f>IF($I8493=0,0,$Q8492+$P8493+$O8493)</f>
      </c>
      <c r="R8493" s="43">
        <f>IF($I8493=0,0,$J8493-$M8493-$N8493)</f>
      </c>
    </row>
    <row r="8494">
      <c r="A8494"/>
      <c r="B8494">
        <v>18</v>
      </c>
      <c r="C8494" s="43">
        <f>INDEX(DarlObj,18)</f>
      </c>
      <c r="D8494">
        <v>331</v>
      </c>
      <c r="E8494" s="51">
        <f>IF(INDEX(DarlBelegt,18)=0,0,EOMONTH(INDEX(DarlAuszahlung,18),330)+1)</f>
      </c>
      <c r="F8494" s="43">
        <f>IF($E8494=0,0,YEAR($E8494))</f>
      </c>
      <c r="G8494" s="43">
        <f>IF(INDEX(DarlBindung,18)="",1,IF($E8494&lt;=INDEX(DarlBindung,18),1,0))</f>
      </c>
      <c r="H8494" s="43">
        <f>IF($G8494=1,INDEX(DarlSollzins,18),INDEX(DarlAnschluss,18))</f>
      </c>
      <c r="I8494" s="43">
        <f>IF(INDEX(DarlBelegt,18)=0,0,IF(INDEX(DarlOhneTilgung,18)=1,IF(INDEX(DarlBindung,18)="",1,$G8494),IF($J8494&gt;0.005,1,0)))</f>
      </c>
      <c r="J8494" s="43">
        <f>IF($I8493=0,0,$R8493)</f>
      </c>
      <c r="K8494" s="43">
        <f>IF($I8494=0,0,IF(INDEX(DarlOhneTilgung,18)=1,0,IF(AND(INDEX(DarlTilgStart,18)&gt;0,$E8494=INDEX(DarlTilgStart,18)),$J8494*($H8494+INDEX(DarlTilgung,18))/100/12,IF(AND($G8494=0,$G8493=1),MAX($K8493,$J8494*($H8494+1)/100/12),$K8493))))</f>
      </c>
      <c r="L8494" s="43">
        <f>IF($I8494=0,0,$J8494*$H8494/100/12)</f>
      </c>
      <c r="M8494" s="43">
        <f>IF($I8494=0,0,IF(OR(INDEX(DarlOhneTilgung,18)=1,AND(INDEX(DarlTilgStart,18)&gt;0,$E8494&lt;INDEX(DarlTilgStart,18))),0,MIN(MAX(0,$K8494-$L8494),$J8494)))</f>
      </c>
      <c r="N8494" s="43">
        <f>IF($I8494=0,0,MIN(SUMIFS(SondBetrag,SondDarl,18,SondDatum,"&gt;="&amp;$E8494,SondDatum,"&lt;="&amp;EOMONTH($E8494,0)),$J8494-$M8494))</f>
      </c>
      <c r="O8494" s="43">
        <f>IF($I8494=0,0,INDEX(DarlErsatzRate,18))</f>
      </c>
      <c r="P8494" s="43">
        <f>IF($I8494=0,0,$Q8493*INDEX(DarlErsatzZins,18))</f>
      </c>
      <c r="Q8494" s="43">
        <f>IF($I8494=0,0,$Q8493+$P8494+$O8494)</f>
      </c>
      <c r="R8494" s="43">
        <f>IF($I8494=0,0,$J8494-$M8494-$N8494)</f>
      </c>
    </row>
    <row r="8495">
      <c r="A8495"/>
      <c r="B8495">
        <v>18</v>
      </c>
      <c r="C8495" s="43">
        <f>INDEX(DarlObj,18)</f>
      </c>
      <c r="D8495">
        <v>332</v>
      </c>
      <c r="E8495" s="51">
        <f>IF(INDEX(DarlBelegt,18)=0,0,EOMONTH(INDEX(DarlAuszahlung,18),331)+1)</f>
      </c>
      <c r="F8495" s="43">
        <f>IF($E8495=0,0,YEAR($E8495))</f>
      </c>
      <c r="G8495" s="43">
        <f>IF(INDEX(DarlBindung,18)="",1,IF($E8495&lt;=INDEX(DarlBindung,18),1,0))</f>
      </c>
      <c r="H8495" s="43">
        <f>IF($G8495=1,INDEX(DarlSollzins,18),INDEX(DarlAnschluss,18))</f>
      </c>
      <c r="I8495" s="43">
        <f>IF(INDEX(DarlBelegt,18)=0,0,IF(INDEX(DarlOhneTilgung,18)=1,IF(INDEX(DarlBindung,18)="",1,$G8495),IF($J8495&gt;0.005,1,0)))</f>
      </c>
      <c r="J8495" s="43">
        <f>IF($I8494=0,0,$R8494)</f>
      </c>
      <c r="K8495" s="43">
        <f>IF($I8495=0,0,IF(INDEX(DarlOhneTilgung,18)=1,0,IF(AND(INDEX(DarlTilgStart,18)&gt;0,$E8495=INDEX(DarlTilgStart,18)),$J8495*($H8495+INDEX(DarlTilgung,18))/100/12,IF(AND($G8495=0,$G8494=1),MAX($K8494,$J8495*($H8495+1)/100/12),$K8494))))</f>
      </c>
      <c r="L8495" s="43">
        <f>IF($I8495=0,0,$J8495*$H8495/100/12)</f>
      </c>
      <c r="M8495" s="43">
        <f>IF($I8495=0,0,IF(OR(INDEX(DarlOhneTilgung,18)=1,AND(INDEX(DarlTilgStart,18)&gt;0,$E8495&lt;INDEX(DarlTilgStart,18))),0,MIN(MAX(0,$K8495-$L8495),$J8495)))</f>
      </c>
      <c r="N8495" s="43">
        <f>IF($I8495=0,0,MIN(SUMIFS(SondBetrag,SondDarl,18,SondDatum,"&gt;="&amp;$E8495,SondDatum,"&lt;="&amp;EOMONTH($E8495,0)),$J8495-$M8495))</f>
      </c>
      <c r="O8495" s="43">
        <f>IF($I8495=0,0,INDEX(DarlErsatzRate,18))</f>
      </c>
      <c r="P8495" s="43">
        <f>IF($I8495=0,0,$Q8494*INDEX(DarlErsatzZins,18))</f>
      </c>
      <c r="Q8495" s="43">
        <f>IF($I8495=0,0,$Q8494+$P8495+$O8495)</f>
      </c>
      <c r="R8495" s="43">
        <f>IF($I8495=0,0,$J8495-$M8495-$N8495)</f>
      </c>
    </row>
    <row r="8496">
      <c r="A8496"/>
      <c r="B8496">
        <v>18</v>
      </c>
      <c r="C8496" s="43">
        <f>INDEX(DarlObj,18)</f>
      </c>
      <c r="D8496">
        <v>333</v>
      </c>
      <c r="E8496" s="51">
        <f>IF(INDEX(DarlBelegt,18)=0,0,EOMONTH(INDEX(DarlAuszahlung,18),332)+1)</f>
      </c>
      <c r="F8496" s="43">
        <f>IF($E8496=0,0,YEAR($E8496))</f>
      </c>
      <c r="G8496" s="43">
        <f>IF(INDEX(DarlBindung,18)="",1,IF($E8496&lt;=INDEX(DarlBindung,18),1,0))</f>
      </c>
      <c r="H8496" s="43">
        <f>IF($G8496=1,INDEX(DarlSollzins,18),INDEX(DarlAnschluss,18))</f>
      </c>
      <c r="I8496" s="43">
        <f>IF(INDEX(DarlBelegt,18)=0,0,IF(INDEX(DarlOhneTilgung,18)=1,IF(INDEX(DarlBindung,18)="",1,$G8496),IF($J8496&gt;0.005,1,0)))</f>
      </c>
      <c r="J8496" s="43">
        <f>IF($I8495=0,0,$R8495)</f>
      </c>
      <c r="K8496" s="43">
        <f>IF($I8496=0,0,IF(INDEX(DarlOhneTilgung,18)=1,0,IF(AND(INDEX(DarlTilgStart,18)&gt;0,$E8496=INDEX(DarlTilgStart,18)),$J8496*($H8496+INDEX(DarlTilgung,18))/100/12,IF(AND($G8496=0,$G8495=1),MAX($K8495,$J8496*($H8496+1)/100/12),$K8495))))</f>
      </c>
      <c r="L8496" s="43">
        <f>IF($I8496=0,0,$J8496*$H8496/100/12)</f>
      </c>
      <c r="M8496" s="43">
        <f>IF($I8496=0,0,IF(OR(INDEX(DarlOhneTilgung,18)=1,AND(INDEX(DarlTilgStart,18)&gt;0,$E8496&lt;INDEX(DarlTilgStart,18))),0,MIN(MAX(0,$K8496-$L8496),$J8496)))</f>
      </c>
      <c r="N8496" s="43">
        <f>IF($I8496=0,0,MIN(SUMIFS(SondBetrag,SondDarl,18,SondDatum,"&gt;="&amp;$E8496,SondDatum,"&lt;="&amp;EOMONTH($E8496,0)),$J8496-$M8496))</f>
      </c>
      <c r="O8496" s="43">
        <f>IF($I8496=0,0,INDEX(DarlErsatzRate,18))</f>
      </c>
      <c r="P8496" s="43">
        <f>IF($I8496=0,0,$Q8495*INDEX(DarlErsatzZins,18))</f>
      </c>
      <c r="Q8496" s="43">
        <f>IF($I8496=0,0,$Q8495+$P8496+$O8496)</f>
      </c>
      <c r="R8496" s="43">
        <f>IF($I8496=0,0,$J8496-$M8496-$N8496)</f>
      </c>
    </row>
    <row r="8497">
      <c r="A8497"/>
      <c r="B8497">
        <v>18</v>
      </c>
      <c r="C8497" s="43">
        <f>INDEX(DarlObj,18)</f>
      </c>
      <c r="D8497">
        <v>334</v>
      </c>
      <c r="E8497" s="51">
        <f>IF(INDEX(DarlBelegt,18)=0,0,EOMONTH(INDEX(DarlAuszahlung,18),333)+1)</f>
      </c>
      <c r="F8497" s="43">
        <f>IF($E8497=0,0,YEAR($E8497))</f>
      </c>
      <c r="G8497" s="43">
        <f>IF(INDEX(DarlBindung,18)="",1,IF($E8497&lt;=INDEX(DarlBindung,18),1,0))</f>
      </c>
      <c r="H8497" s="43">
        <f>IF($G8497=1,INDEX(DarlSollzins,18),INDEX(DarlAnschluss,18))</f>
      </c>
      <c r="I8497" s="43">
        <f>IF(INDEX(DarlBelegt,18)=0,0,IF(INDEX(DarlOhneTilgung,18)=1,IF(INDEX(DarlBindung,18)="",1,$G8497),IF($J8497&gt;0.005,1,0)))</f>
      </c>
      <c r="J8497" s="43">
        <f>IF($I8496=0,0,$R8496)</f>
      </c>
      <c r="K8497" s="43">
        <f>IF($I8497=0,0,IF(INDEX(DarlOhneTilgung,18)=1,0,IF(AND(INDEX(DarlTilgStart,18)&gt;0,$E8497=INDEX(DarlTilgStart,18)),$J8497*($H8497+INDEX(DarlTilgung,18))/100/12,IF(AND($G8497=0,$G8496=1),MAX($K8496,$J8497*($H8497+1)/100/12),$K8496))))</f>
      </c>
      <c r="L8497" s="43">
        <f>IF($I8497=0,0,$J8497*$H8497/100/12)</f>
      </c>
      <c r="M8497" s="43">
        <f>IF($I8497=0,0,IF(OR(INDEX(DarlOhneTilgung,18)=1,AND(INDEX(DarlTilgStart,18)&gt;0,$E8497&lt;INDEX(DarlTilgStart,18))),0,MIN(MAX(0,$K8497-$L8497),$J8497)))</f>
      </c>
      <c r="N8497" s="43">
        <f>IF($I8497=0,0,MIN(SUMIFS(SondBetrag,SondDarl,18,SondDatum,"&gt;="&amp;$E8497,SondDatum,"&lt;="&amp;EOMONTH($E8497,0)),$J8497-$M8497))</f>
      </c>
      <c r="O8497" s="43">
        <f>IF($I8497=0,0,INDEX(DarlErsatzRate,18))</f>
      </c>
      <c r="P8497" s="43">
        <f>IF($I8497=0,0,$Q8496*INDEX(DarlErsatzZins,18))</f>
      </c>
      <c r="Q8497" s="43">
        <f>IF($I8497=0,0,$Q8496+$P8497+$O8497)</f>
      </c>
      <c r="R8497" s="43">
        <f>IF($I8497=0,0,$J8497-$M8497-$N8497)</f>
      </c>
    </row>
    <row r="8498">
      <c r="A8498"/>
      <c r="B8498">
        <v>18</v>
      </c>
      <c r="C8498" s="43">
        <f>INDEX(DarlObj,18)</f>
      </c>
      <c r="D8498">
        <v>335</v>
      </c>
      <c r="E8498" s="51">
        <f>IF(INDEX(DarlBelegt,18)=0,0,EOMONTH(INDEX(DarlAuszahlung,18),334)+1)</f>
      </c>
      <c r="F8498" s="43">
        <f>IF($E8498=0,0,YEAR($E8498))</f>
      </c>
      <c r="G8498" s="43">
        <f>IF(INDEX(DarlBindung,18)="",1,IF($E8498&lt;=INDEX(DarlBindung,18),1,0))</f>
      </c>
      <c r="H8498" s="43">
        <f>IF($G8498=1,INDEX(DarlSollzins,18),INDEX(DarlAnschluss,18))</f>
      </c>
      <c r="I8498" s="43">
        <f>IF(INDEX(DarlBelegt,18)=0,0,IF(INDEX(DarlOhneTilgung,18)=1,IF(INDEX(DarlBindung,18)="",1,$G8498),IF($J8498&gt;0.005,1,0)))</f>
      </c>
      <c r="J8498" s="43">
        <f>IF($I8497=0,0,$R8497)</f>
      </c>
      <c r="K8498" s="43">
        <f>IF($I8498=0,0,IF(INDEX(DarlOhneTilgung,18)=1,0,IF(AND(INDEX(DarlTilgStart,18)&gt;0,$E8498=INDEX(DarlTilgStart,18)),$J8498*($H8498+INDEX(DarlTilgung,18))/100/12,IF(AND($G8498=0,$G8497=1),MAX($K8497,$J8498*($H8498+1)/100/12),$K8497))))</f>
      </c>
      <c r="L8498" s="43">
        <f>IF($I8498=0,0,$J8498*$H8498/100/12)</f>
      </c>
      <c r="M8498" s="43">
        <f>IF($I8498=0,0,IF(OR(INDEX(DarlOhneTilgung,18)=1,AND(INDEX(DarlTilgStart,18)&gt;0,$E8498&lt;INDEX(DarlTilgStart,18))),0,MIN(MAX(0,$K8498-$L8498),$J8498)))</f>
      </c>
      <c r="N8498" s="43">
        <f>IF($I8498=0,0,MIN(SUMIFS(SondBetrag,SondDarl,18,SondDatum,"&gt;="&amp;$E8498,SondDatum,"&lt;="&amp;EOMONTH($E8498,0)),$J8498-$M8498))</f>
      </c>
      <c r="O8498" s="43">
        <f>IF($I8498=0,0,INDEX(DarlErsatzRate,18))</f>
      </c>
      <c r="P8498" s="43">
        <f>IF($I8498=0,0,$Q8497*INDEX(DarlErsatzZins,18))</f>
      </c>
      <c r="Q8498" s="43">
        <f>IF($I8498=0,0,$Q8497+$P8498+$O8498)</f>
      </c>
      <c r="R8498" s="43">
        <f>IF($I8498=0,0,$J8498-$M8498-$N8498)</f>
      </c>
    </row>
    <row r="8499">
      <c r="A8499"/>
      <c r="B8499">
        <v>18</v>
      </c>
      <c r="C8499" s="43">
        <f>INDEX(DarlObj,18)</f>
      </c>
      <c r="D8499">
        <v>336</v>
      </c>
      <c r="E8499" s="51">
        <f>IF(INDEX(DarlBelegt,18)=0,0,EOMONTH(INDEX(DarlAuszahlung,18),335)+1)</f>
      </c>
      <c r="F8499" s="43">
        <f>IF($E8499=0,0,YEAR($E8499))</f>
      </c>
      <c r="G8499" s="43">
        <f>IF(INDEX(DarlBindung,18)="",1,IF($E8499&lt;=INDEX(DarlBindung,18),1,0))</f>
      </c>
      <c r="H8499" s="43">
        <f>IF($G8499=1,INDEX(DarlSollzins,18),INDEX(DarlAnschluss,18))</f>
      </c>
      <c r="I8499" s="43">
        <f>IF(INDEX(DarlBelegt,18)=0,0,IF(INDEX(DarlOhneTilgung,18)=1,IF(INDEX(DarlBindung,18)="",1,$G8499),IF($J8499&gt;0.005,1,0)))</f>
      </c>
      <c r="J8499" s="43">
        <f>IF($I8498=0,0,$R8498)</f>
      </c>
      <c r="K8499" s="43">
        <f>IF($I8499=0,0,IF(INDEX(DarlOhneTilgung,18)=1,0,IF(AND(INDEX(DarlTilgStart,18)&gt;0,$E8499=INDEX(DarlTilgStart,18)),$J8499*($H8499+INDEX(DarlTilgung,18))/100/12,IF(AND($G8499=0,$G8498=1),MAX($K8498,$J8499*($H8499+1)/100/12),$K8498))))</f>
      </c>
      <c r="L8499" s="43">
        <f>IF($I8499=0,0,$J8499*$H8499/100/12)</f>
      </c>
      <c r="M8499" s="43">
        <f>IF($I8499=0,0,IF(OR(INDEX(DarlOhneTilgung,18)=1,AND(INDEX(DarlTilgStart,18)&gt;0,$E8499&lt;INDEX(DarlTilgStart,18))),0,MIN(MAX(0,$K8499-$L8499),$J8499)))</f>
      </c>
      <c r="N8499" s="43">
        <f>IF($I8499=0,0,MIN(SUMIFS(SondBetrag,SondDarl,18,SondDatum,"&gt;="&amp;$E8499,SondDatum,"&lt;="&amp;EOMONTH($E8499,0)),$J8499-$M8499))</f>
      </c>
      <c r="O8499" s="43">
        <f>IF($I8499=0,0,INDEX(DarlErsatzRate,18))</f>
      </c>
      <c r="P8499" s="43">
        <f>IF($I8499=0,0,$Q8498*INDEX(DarlErsatzZins,18))</f>
      </c>
      <c r="Q8499" s="43">
        <f>IF($I8499=0,0,$Q8498+$P8499+$O8499)</f>
      </c>
      <c r="R8499" s="43">
        <f>IF($I8499=0,0,$J8499-$M8499-$N8499)</f>
      </c>
    </row>
    <row r="8500">
      <c r="A8500"/>
      <c r="B8500">
        <v>18</v>
      </c>
      <c r="C8500" s="43">
        <f>INDEX(DarlObj,18)</f>
      </c>
      <c r="D8500">
        <v>337</v>
      </c>
      <c r="E8500" s="51">
        <f>IF(INDEX(DarlBelegt,18)=0,0,EOMONTH(INDEX(DarlAuszahlung,18),336)+1)</f>
      </c>
      <c r="F8500" s="43">
        <f>IF($E8500=0,0,YEAR($E8500))</f>
      </c>
      <c r="G8500" s="43">
        <f>IF(INDEX(DarlBindung,18)="",1,IF($E8500&lt;=INDEX(DarlBindung,18),1,0))</f>
      </c>
      <c r="H8500" s="43">
        <f>IF($G8500=1,INDEX(DarlSollzins,18),INDEX(DarlAnschluss,18))</f>
      </c>
      <c r="I8500" s="43">
        <f>IF(INDEX(DarlBelegt,18)=0,0,IF(INDEX(DarlOhneTilgung,18)=1,IF(INDEX(DarlBindung,18)="",1,$G8500),IF($J8500&gt;0.005,1,0)))</f>
      </c>
      <c r="J8500" s="43">
        <f>IF($I8499=0,0,$R8499)</f>
      </c>
      <c r="K8500" s="43">
        <f>IF($I8500=0,0,IF(INDEX(DarlOhneTilgung,18)=1,0,IF(AND(INDEX(DarlTilgStart,18)&gt;0,$E8500=INDEX(DarlTilgStart,18)),$J8500*($H8500+INDEX(DarlTilgung,18))/100/12,IF(AND($G8500=0,$G8499=1),MAX($K8499,$J8500*($H8500+1)/100/12),$K8499))))</f>
      </c>
      <c r="L8500" s="43">
        <f>IF($I8500=0,0,$J8500*$H8500/100/12)</f>
      </c>
      <c r="M8500" s="43">
        <f>IF($I8500=0,0,IF(OR(INDEX(DarlOhneTilgung,18)=1,AND(INDEX(DarlTilgStart,18)&gt;0,$E8500&lt;INDEX(DarlTilgStart,18))),0,MIN(MAX(0,$K8500-$L8500),$J8500)))</f>
      </c>
      <c r="N8500" s="43">
        <f>IF($I8500=0,0,MIN(SUMIFS(SondBetrag,SondDarl,18,SondDatum,"&gt;="&amp;$E8500,SondDatum,"&lt;="&amp;EOMONTH($E8500,0)),$J8500-$M8500))</f>
      </c>
      <c r="O8500" s="43">
        <f>IF($I8500=0,0,INDEX(DarlErsatzRate,18))</f>
      </c>
      <c r="P8500" s="43">
        <f>IF($I8500=0,0,$Q8499*INDEX(DarlErsatzZins,18))</f>
      </c>
      <c r="Q8500" s="43">
        <f>IF($I8500=0,0,$Q8499+$P8500+$O8500)</f>
      </c>
      <c r="R8500" s="43">
        <f>IF($I8500=0,0,$J8500-$M8500-$N8500)</f>
      </c>
    </row>
    <row r="8501">
      <c r="A8501"/>
      <c r="B8501">
        <v>18</v>
      </c>
      <c r="C8501" s="43">
        <f>INDEX(DarlObj,18)</f>
      </c>
      <c r="D8501">
        <v>338</v>
      </c>
      <c r="E8501" s="51">
        <f>IF(INDEX(DarlBelegt,18)=0,0,EOMONTH(INDEX(DarlAuszahlung,18),337)+1)</f>
      </c>
      <c r="F8501" s="43">
        <f>IF($E8501=0,0,YEAR($E8501))</f>
      </c>
      <c r="G8501" s="43">
        <f>IF(INDEX(DarlBindung,18)="",1,IF($E8501&lt;=INDEX(DarlBindung,18),1,0))</f>
      </c>
      <c r="H8501" s="43">
        <f>IF($G8501=1,INDEX(DarlSollzins,18),INDEX(DarlAnschluss,18))</f>
      </c>
      <c r="I8501" s="43">
        <f>IF(INDEX(DarlBelegt,18)=0,0,IF(INDEX(DarlOhneTilgung,18)=1,IF(INDEX(DarlBindung,18)="",1,$G8501),IF($J8501&gt;0.005,1,0)))</f>
      </c>
      <c r="J8501" s="43">
        <f>IF($I8500=0,0,$R8500)</f>
      </c>
      <c r="K8501" s="43">
        <f>IF($I8501=0,0,IF(INDEX(DarlOhneTilgung,18)=1,0,IF(AND(INDEX(DarlTilgStart,18)&gt;0,$E8501=INDEX(DarlTilgStart,18)),$J8501*($H8501+INDEX(DarlTilgung,18))/100/12,IF(AND($G8501=0,$G8500=1),MAX($K8500,$J8501*($H8501+1)/100/12),$K8500))))</f>
      </c>
      <c r="L8501" s="43">
        <f>IF($I8501=0,0,$J8501*$H8501/100/12)</f>
      </c>
      <c r="M8501" s="43">
        <f>IF($I8501=0,0,IF(OR(INDEX(DarlOhneTilgung,18)=1,AND(INDEX(DarlTilgStart,18)&gt;0,$E8501&lt;INDEX(DarlTilgStart,18))),0,MIN(MAX(0,$K8501-$L8501),$J8501)))</f>
      </c>
      <c r="N8501" s="43">
        <f>IF($I8501=0,0,MIN(SUMIFS(SondBetrag,SondDarl,18,SondDatum,"&gt;="&amp;$E8501,SondDatum,"&lt;="&amp;EOMONTH($E8501,0)),$J8501-$M8501))</f>
      </c>
      <c r="O8501" s="43">
        <f>IF($I8501=0,0,INDEX(DarlErsatzRate,18))</f>
      </c>
      <c r="P8501" s="43">
        <f>IF($I8501=0,0,$Q8500*INDEX(DarlErsatzZins,18))</f>
      </c>
      <c r="Q8501" s="43">
        <f>IF($I8501=0,0,$Q8500+$P8501+$O8501)</f>
      </c>
      <c r="R8501" s="43">
        <f>IF($I8501=0,0,$J8501-$M8501-$N8501)</f>
      </c>
    </row>
    <row r="8502">
      <c r="A8502"/>
      <c r="B8502">
        <v>18</v>
      </c>
      <c r="C8502" s="43">
        <f>INDEX(DarlObj,18)</f>
      </c>
      <c r="D8502">
        <v>339</v>
      </c>
      <c r="E8502" s="51">
        <f>IF(INDEX(DarlBelegt,18)=0,0,EOMONTH(INDEX(DarlAuszahlung,18),338)+1)</f>
      </c>
      <c r="F8502" s="43">
        <f>IF($E8502=0,0,YEAR($E8502))</f>
      </c>
      <c r="G8502" s="43">
        <f>IF(INDEX(DarlBindung,18)="",1,IF($E8502&lt;=INDEX(DarlBindung,18),1,0))</f>
      </c>
      <c r="H8502" s="43">
        <f>IF($G8502=1,INDEX(DarlSollzins,18),INDEX(DarlAnschluss,18))</f>
      </c>
      <c r="I8502" s="43">
        <f>IF(INDEX(DarlBelegt,18)=0,0,IF(INDEX(DarlOhneTilgung,18)=1,IF(INDEX(DarlBindung,18)="",1,$G8502),IF($J8502&gt;0.005,1,0)))</f>
      </c>
      <c r="J8502" s="43">
        <f>IF($I8501=0,0,$R8501)</f>
      </c>
      <c r="K8502" s="43">
        <f>IF($I8502=0,0,IF(INDEX(DarlOhneTilgung,18)=1,0,IF(AND(INDEX(DarlTilgStart,18)&gt;0,$E8502=INDEX(DarlTilgStart,18)),$J8502*($H8502+INDEX(DarlTilgung,18))/100/12,IF(AND($G8502=0,$G8501=1),MAX($K8501,$J8502*($H8502+1)/100/12),$K8501))))</f>
      </c>
      <c r="L8502" s="43">
        <f>IF($I8502=0,0,$J8502*$H8502/100/12)</f>
      </c>
      <c r="M8502" s="43">
        <f>IF($I8502=0,0,IF(OR(INDEX(DarlOhneTilgung,18)=1,AND(INDEX(DarlTilgStart,18)&gt;0,$E8502&lt;INDEX(DarlTilgStart,18))),0,MIN(MAX(0,$K8502-$L8502),$J8502)))</f>
      </c>
      <c r="N8502" s="43">
        <f>IF($I8502=0,0,MIN(SUMIFS(SondBetrag,SondDarl,18,SondDatum,"&gt;="&amp;$E8502,SondDatum,"&lt;="&amp;EOMONTH($E8502,0)),$J8502-$M8502))</f>
      </c>
      <c r="O8502" s="43">
        <f>IF($I8502=0,0,INDEX(DarlErsatzRate,18))</f>
      </c>
      <c r="P8502" s="43">
        <f>IF($I8502=0,0,$Q8501*INDEX(DarlErsatzZins,18))</f>
      </c>
      <c r="Q8502" s="43">
        <f>IF($I8502=0,0,$Q8501+$P8502+$O8502)</f>
      </c>
      <c r="R8502" s="43">
        <f>IF($I8502=0,0,$J8502-$M8502-$N8502)</f>
      </c>
    </row>
    <row r="8503">
      <c r="A8503"/>
      <c r="B8503">
        <v>18</v>
      </c>
      <c r="C8503" s="43">
        <f>INDEX(DarlObj,18)</f>
      </c>
      <c r="D8503">
        <v>340</v>
      </c>
      <c r="E8503" s="51">
        <f>IF(INDEX(DarlBelegt,18)=0,0,EOMONTH(INDEX(DarlAuszahlung,18),339)+1)</f>
      </c>
      <c r="F8503" s="43">
        <f>IF($E8503=0,0,YEAR($E8503))</f>
      </c>
      <c r="G8503" s="43">
        <f>IF(INDEX(DarlBindung,18)="",1,IF($E8503&lt;=INDEX(DarlBindung,18),1,0))</f>
      </c>
      <c r="H8503" s="43">
        <f>IF($G8503=1,INDEX(DarlSollzins,18),INDEX(DarlAnschluss,18))</f>
      </c>
      <c r="I8503" s="43">
        <f>IF(INDEX(DarlBelegt,18)=0,0,IF(INDEX(DarlOhneTilgung,18)=1,IF(INDEX(DarlBindung,18)="",1,$G8503),IF($J8503&gt;0.005,1,0)))</f>
      </c>
      <c r="J8503" s="43">
        <f>IF($I8502=0,0,$R8502)</f>
      </c>
      <c r="K8503" s="43">
        <f>IF($I8503=0,0,IF(INDEX(DarlOhneTilgung,18)=1,0,IF(AND(INDEX(DarlTilgStart,18)&gt;0,$E8503=INDEX(DarlTilgStart,18)),$J8503*($H8503+INDEX(DarlTilgung,18))/100/12,IF(AND($G8503=0,$G8502=1),MAX($K8502,$J8503*($H8503+1)/100/12),$K8502))))</f>
      </c>
      <c r="L8503" s="43">
        <f>IF($I8503=0,0,$J8503*$H8503/100/12)</f>
      </c>
      <c r="M8503" s="43">
        <f>IF($I8503=0,0,IF(OR(INDEX(DarlOhneTilgung,18)=1,AND(INDEX(DarlTilgStart,18)&gt;0,$E8503&lt;INDEX(DarlTilgStart,18))),0,MIN(MAX(0,$K8503-$L8503),$J8503)))</f>
      </c>
      <c r="N8503" s="43">
        <f>IF($I8503=0,0,MIN(SUMIFS(SondBetrag,SondDarl,18,SondDatum,"&gt;="&amp;$E8503,SondDatum,"&lt;="&amp;EOMONTH($E8503,0)),$J8503-$M8503))</f>
      </c>
      <c r="O8503" s="43">
        <f>IF($I8503=0,0,INDEX(DarlErsatzRate,18))</f>
      </c>
      <c r="P8503" s="43">
        <f>IF($I8503=0,0,$Q8502*INDEX(DarlErsatzZins,18))</f>
      </c>
      <c r="Q8503" s="43">
        <f>IF($I8503=0,0,$Q8502+$P8503+$O8503)</f>
      </c>
      <c r="R8503" s="43">
        <f>IF($I8503=0,0,$J8503-$M8503-$N8503)</f>
      </c>
    </row>
    <row r="8504">
      <c r="A8504"/>
      <c r="B8504">
        <v>18</v>
      </c>
      <c r="C8504" s="43">
        <f>INDEX(DarlObj,18)</f>
      </c>
      <c r="D8504">
        <v>341</v>
      </c>
      <c r="E8504" s="51">
        <f>IF(INDEX(DarlBelegt,18)=0,0,EOMONTH(INDEX(DarlAuszahlung,18),340)+1)</f>
      </c>
      <c r="F8504" s="43">
        <f>IF($E8504=0,0,YEAR($E8504))</f>
      </c>
      <c r="G8504" s="43">
        <f>IF(INDEX(DarlBindung,18)="",1,IF($E8504&lt;=INDEX(DarlBindung,18),1,0))</f>
      </c>
      <c r="H8504" s="43">
        <f>IF($G8504=1,INDEX(DarlSollzins,18),INDEX(DarlAnschluss,18))</f>
      </c>
      <c r="I8504" s="43">
        <f>IF(INDEX(DarlBelegt,18)=0,0,IF(INDEX(DarlOhneTilgung,18)=1,IF(INDEX(DarlBindung,18)="",1,$G8504),IF($J8504&gt;0.005,1,0)))</f>
      </c>
      <c r="J8504" s="43">
        <f>IF($I8503=0,0,$R8503)</f>
      </c>
      <c r="K8504" s="43">
        <f>IF($I8504=0,0,IF(INDEX(DarlOhneTilgung,18)=1,0,IF(AND(INDEX(DarlTilgStart,18)&gt;0,$E8504=INDEX(DarlTilgStart,18)),$J8504*($H8504+INDEX(DarlTilgung,18))/100/12,IF(AND($G8504=0,$G8503=1),MAX($K8503,$J8504*($H8504+1)/100/12),$K8503))))</f>
      </c>
      <c r="L8504" s="43">
        <f>IF($I8504=0,0,$J8504*$H8504/100/12)</f>
      </c>
      <c r="M8504" s="43">
        <f>IF($I8504=0,0,IF(OR(INDEX(DarlOhneTilgung,18)=1,AND(INDEX(DarlTilgStart,18)&gt;0,$E8504&lt;INDEX(DarlTilgStart,18))),0,MIN(MAX(0,$K8504-$L8504),$J8504)))</f>
      </c>
      <c r="N8504" s="43">
        <f>IF($I8504=0,0,MIN(SUMIFS(SondBetrag,SondDarl,18,SondDatum,"&gt;="&amp;$E8504,SondDatum,"&lt;="&amp;EOMONTH($E8504,0)),$J8504-$M8504))</f>
      </c>
      <c r="O8504" s="43">
        <f>IF($I8504=0,0,INDEX(DarlErsatzRate,18))</f>
      </c>
      <c r="P8504" s="43">
        <f>IF($I8504=0,0,$Q8503*INDEX(DarlErsatzZins,18))</f>
      </c>
      <c r="Q8504" s="43">
        <f>IF($I8504=0,0,$Q8503+$P8504+$O8504)</f>
      </c>
      <c r="R8504" s="43">
        <f>IF($I8504=0,0,$J8504-$M8504-$N8504)</f>
      </c>
    </row>
    <row r="8505">
      <c r="A8505"/>
      <c r="B8505">
        <v>18</v>
      </c>
      <c r="C8505" s="43">
        <f>INDEX(DarlObj,18)</f>
      </c>
      <c r="D8505">
        <v>342</v>
      </c>
      <c r="E8505" s="51">
        <f>IF(INDEX(DarlBelegt,18)=0,0,EOMONTH(INDEX(DarlAuszahlung,18),341)+1)</f>
      </c>
      <c r="F8505" s="43">
        <f>IF($E8505=0,0,YEAR($E8505))</f>
      </c>
      <c r="G8505" s="43">
        <f>IF(INDEX(DarlBindung,18)="",1,IF($E8505&lt;=INDEX(DarlBindung,18),1,0))</f>
      </c>
      <c r="H8505" s="43">
        <f>IF($G8505=1,INDEX(DarlSollzins,18),INDEX(DarlAnschluss,18))</f>
      </c>
      <c r="I8505" s="43">
        <f>IF(INDEX(DarlBelegt,18)=0,0,IF(INDEX(DarlOhneTilgung,18)=1,IF(INDEX(DarlBindung,18)="",1,$G8505),IF($J8505&gt;0.005,1,0)))</f>
      </c>
      <c r="J8505" s="43">
        <f>IF($I8504=0,0,$R8504)</f>
      </c>
      <c r="K8505" s="43">
        <f>IF($I8505=0,0,IF(INDEX(DarlOhneTilgung,18)=1,0,IF(AND(INDEX(DarlTilgStart,18)&gt;0,$E8505=INDEX(DarlTilgStart,18)),$J8505*($H8505+INDEX(DarlTilgung,18))/100/12,IF(AND($G8505=0,$G8504=1),MAX($K8504,$J8505*($H8505+1)/100/12),$K8504))))</f>
      </c>
      <c r="L8505" s="43">
        <f>IF($I8505=0,0,$J8505*$H8505/100/12)</f>
      </c>
      <c r="M8505" s="43">
        <f>IF($I8505=0,0,IF(OR(INDEX(DarlOhneTilgung,18)=1,AND(INDEX(DarlTilgStart,18)&gt;0,$E8505&lt;INDEX(DarlTilgStart,18))),0,MIN(MAX(0,$K8505-$L8505),$J8505)))</f>
      </c>
      <c r="N8505" s="43">
        <f>IF($I8505=0,0,MIN(SUMIFS(SondBetrag,SondDarl,18,SondDatum,"&gt;="&amp;$E8505,SondDatum,"&lt;="&amp;EOMONTH($E8505,0)),$J8505-$M8505))</f>
      </c>
      <c r="O8505" s="43">
        <f>IF($I8505=0,0,INDEX(DarlErsatzRate,18))</f>
      </c>
      <c r="P8505" s="43">
        <f>IF($I8505=0,0,$Q8504*INDEX(DarlErsatzZins,18))</f>
      </c>
      <c r="Q8505" s="43">
        <f>IF($I8505=0,0,$Q8504+$P8505+$O8505)</f>
      </c>
      <c r="R8505" s="43">
        <f>IF($I8505=0,0,$J8505-$M8505-$N8505)</f>
      </c>
    </row>
    <row r="8506">
      <c r="A8506"/>
      <c r="B8506">
        <v>18</v>
      </c>
      <c r="C8506" s="43">
        <f>INDEX(DarlObj,18)</f>
      </c>
      <c r="D8506">
        <v>343</v>
      </c>
      <c r="E8506" s="51">
        <f>IF(INDEX(DarlBelegt,18)=0,0,EOMONTH(INDEX(DarlAuszahlung,18),342)+1)</f>
      </c>
      <c r="F8506" s="43">
        <f>IF($E8506=0,0,YEAR($E8506))</f>
      </c>
      <c r="G8506" s="43">
        <f>IF(INDEX(DarlBindung,18)="",1,IF($E8506&lt;=INDEX(DarlBindung,18),1,0))</f>
      </c>
      <c r="H8506" s="43">
        <f>IF($G8506=1,INDEX(DarlSollzins,18),INDEX(DarlAnschluss,18))</f>
      </c>
      <c r="I8506" s="43">
        <f>IF(INDEX(DarlBelegt,18)=0,0,IF(INDEX(DarlOhneTilgung,18)=1,IF(INDEX(DarlBindung,18)="",1,$G8506),IF($J8506&gt;0.005,1,0)))</f>
      </c>
      <c r="J8506" s="43">
        <f>IF($I8505=0,0,$R8505)</f>
      </c>
      <c r="K8506" s="43">
        <f>IF($I8506=0,0,IF(INDEX(DarlOhneTilgung,18)=1,0,IF(AND(INDEX(DarlTilgStart,18)&gt;0,$E8506=INDEX(DarlTilgStart,18)),$J8506*($H8506+INDEX(DarlTilgung,18))/100/12,IF(AND($G8506=0,$G8505=1),MAX($K8505,$J8506*($H8506+1)/100/12),$K8505))))</f>
      </c>
      <c r="L8506" s="43">
        <f>IF($I8506=0,0,$J8506*$H8506/100/12)</f>
      </c>
      <c r="M8506" s="43">
        <f>IF($I8506=0,0,IF(OR(INDEX(DarlOhneTilgung,18)=1,AND(INDEX(DarlTilgStart,18)&gt;0,$E8506&lt;INDEX(DarlTilgStart,18))),0,MIN(MAX(0,$K8506-$L8506),$J8506)))</f>
      </c>
      <c r="N8506" s="43">
        <f>IF($I8506=0,0,MIN(SUMIFS(SondBetrag,SondDarl,18,SondDatum,"&gt;="&amp;$E8506,SondDatum,"&lt;="&amp;EOMONTH($E8506,0)),$J8506-$M8506))</f>
      </c>
      <c r="O8506" s="43">
        <f>IF($I8506=0,0,INDEX(DarlErsatzRate,18))</f>
      </c>
      <c r="P8506" s="43">
        <f>IF($I8506=0,0,$Q8505*INDEX(DarlErsatzZins,18))</f>
      </c>
      <c r="Q8506" s="43">
        <f>IF($I8506=0,0,$Q8505+$P8506+$O8506)</f>
      </c>
      <c r="R8506" s="43">
        <f>IF($I8506=0,0,$J8506-$M8506-$N8506)</f>
      </c>
    </row>
    <row r="8507">
      <c r="A8507"/>
      <c r="B8507">
        <v>18</v>
      </c>
      <c r="C8507" s="43">
        <f>INDEX(DarlObj,18)</f>
      </c>
      <c r="D8507">
        <v>344</v>
      </c>
      <c r="E8507" s="51">
        <f>IF(INDEX(DarlBelegt,18)=0,0,EOMONTH(INDEX(DarlAuszahlung,18),343)+1)</f>
      </c>
      <c r="F8507" s="43">
        <f>IF($E8507=0,0,YEAR($E8507))</f>
      </c>
      <c r="G8507" s="43">
        <f>IF(INDEX(DarlBindung,18)="",1,IF($E8507&lt;=INDEX(DarlBindung,18),1,0))</f>
      </c>
      <c r="H8507" s="43">
        <f>IF($G8507=1,INDEX(DarlSollzins,18),INDEX(DarlAnschluss,18))</f>
      </c>
      <c r="I8507" s="43">
        <f>IF(INDEX(DarlBelegt,18)=0,0,IF(INDEX(DarlOhneTilgung,18)=1,IF(INDEX(DarlBindung,18)="",1,$G8507),IF($J8507&gt;0.005,1,0)))</f>
      </c>
      <c r="J8507" s="43">
        <f>IF($I8506=0,0,$R8506)</f>
      </c>
      <c r="K8507" s="43">
        <f>IF($I8507=0,0,IF(INDEX(DarlOhneTilgung,18)=1,0,IF(AND(INDEX(DarlTilgStart,18)&gt;0,$E8507=INDEX(DarlTilgStart,18)),$J8507*($H8507+INDEX(DarlTilgung,18))/100/12,IF(AND($G8507=0,$G8506=1),MAX($K8506,$J8507*($H8507+1)/100/12),$K8506))))</f>
      </c>
      <c r="L8507" s="43">
        <f>IF($I8507=0,0,$J8507*$H8507/100/12)</f>
      </c>
      <c r="M8507" s="43">
        <f>IF($I8507=0,0,IF(OR(INDEX(DarlOhneTilgung,18)=1,AND(INDEX(DarlTilgStart,18)&gt;0,$E8507&lt;INDEX(DarlTilgStart,18))),0,MIN(MAX(0,$K8507-$L8507),$J8507)))</f>
      </c>
      <c r="N8507" s="43">
        <f>IF($I8507=0,0,MIN(SUMIFS(SondBetrag,SondDarl,18,SondDatum,"&gt;="&amp;$E8507,SondDatum,"&lt;="&amp;EOMONTH($E8507,0)),$J8507-$M8507))</f>
      </c>
      <c r="O8507" s="43">
        <f>IF($I8507=0,0,INDEX(DarlErsatzRate,18))</f>
      </c>
      <c r="P8507" s="43">
        <f>IF($I8507=0,0,$Q8506*INDEX(DarlErsatzZins,18))</f>
      </c>
      <c r="Q8507" s="43">
        <f>IF($I8507=0,0,$Q8506+$P8507+$O8507)</f>
      </c>
      <c r="R8507" s="43">
        <f>IF($I8507=0,0,$J8507-$M8507-$N8507)</f>
      </c>
    </row>
    <row r="8508">
      <c r="A8508"/>
      <c r="B8508">
        <v>18</v>
      </c>
      <c r="C8508" s="43">
        <f>INDEX(DarlObj,18)</f>
      </c>
      <c r="D8508">
        <v>345</v>
      </c>
      <c r="E8508" s="51">
        <f>IF(INDEX(DarlBelegt,18)=0,0,EOMONTH(INDEX(DarlAuszahlung,18),344)+1)</f>
      </c>
      <c r="F8508" s="43">
        <f>IF($E8508=0,0,YEAR($E8508))</f>
      </c>
      <c r="G8508" s="43">
        <f>IF(INDEX(DarlBindung,18)="",1,IF($E8508&lt;=INDEX(DarlBindung,18),1,0))</f>
      </c>
      <c r="H8508" s="43">
        <f>IF($G8508=1,INDEX(DarlSollzins,18),INDEX(DarlAnschluss,18))</f>
      </c>
      <c r="I8508" s="43">
        <f>IF(INDEX(DarlBelegt,18)=0,0,IF(INDEX(DarlOhneTilgung,18)=1,IF(INDEX(DarlBindung,18)="",1,$G8508),IF($J8508&gt;0.005,1,0)))</f>
      </c>
      <c r="J8508" s="43">
        <f>IF($I8507=0,0,$R8507)</f>
      </c>
      <c r="K8508" s="43">
        <f>IF($I8508=0,0,IF(INDEX(DarlOhneTilgung,18)=1,0,IF(AND(INDEX(DarlTilgStart,18)&gt;0,$E8508=INDEX(DarlTilgStart,18)),$J8508*($H8508+INDEX(DarlTilgung,18))/100/12,IF(AND($G8508=0,$G8507=1),MAX($K8507,$J8508*($H8508+1)/100/12),$K8507))))</f>
      </c>
      <c r="L8508" s="43">
        <f>IF($I8508=0,0,$J8508*$H8508/100/12)</f>
      </c>
      <c r="M8508" s="43">
        <f>IF($I8508=0,0,IF(OR(INDEX(DarlOhneTilgung,18)=1,AND(INDEX(DarlTilgStart,18)&gt;0,$E8508&lt;INDEX(DarlTilgStart,18))),0,MIN(MAX(0,$K8508-$L8508),$J8508)))</f>
      </c>
      <c r="N8508" s="43">
        <f>IF($I8508=0,0,MIN(SUMIFS(SondBetrag,SondDarl,18,SondDatum,"&gt;="&amp;$E8508,SondDatum,"&lt;="&amp;EOMONTH($E8508,0)),$J8508-$M8508))</f>
      </c>
      <c r="O8508" s="43">
        <f>IF($I8508=0,0,INDEX(DarlErsatzRate,18))</f>
      </c>
      <c r="P8508" s="43">
        <f>IF($I8508=0,0,$Q8507*INDEX(DarlErsatzZins,18))</f>
      </c>
      <c r="Q8508" s="43">
        <f>IF($I8508=0,0,$Q8507+$P8508+$O8508)</f>
      </c>
      <c r="R8508" s="43">
        <f>IF($I8508=0,0,$J8508-$M8508-$N8508)</f>
      </c>
    </row>
    <row r="8509">
      <c r="A8509"/>
      <c r="B8509">
        <v>18</v>
      </c>
      <c r="C8509" s="43">
        <f>INDEX(DarlObj,18)</f>
      </c>
      <c r="D8509">
        <v>346</v>
      </c>
      <c r="E8509" s="51">
        <f>IF(INDEX(DarlBelegt,18)=0,0,EOMONTH(INDEX(DarlAuszahlung,18),345)+1)</f>
      </c>
      <c r="F8509" s="43">
        <f>IF($E8509=0,0,YEAR($E8509))</f>
      </c>
      <c r="G8509" s="43">
        <f>IF(INDEX(DarlBindung,18)="",1,IF($E8509&lt;=INDEX(DarlBindung,18),1,0))</f>
      </c>
      <c r="H8509" s="43">
        <f>IF($G8509=1,INDEX(DarlSollzins,18),INDEX(DarlAnschluss,18))</f>
      </c>
      <c r="I8509" s="43">
        <f>IF(INDEX(DarlBelegt,18)=0,0,IF(INDEX(DarlOhneTilgung,18)=1,IF(INDEX(DarlBindung,18)="",1,$G8509),IF($J8509&gt;0.005,1,0)))</f>
      </c>
      <c r="J8509" s="43">
        <f>IF($I8508=0,0,$R8508)</f>
      </c>
      <c r="K8509" s="43">
        <f>IF($I8509=0,0,IF(INDEX(DarlOhneTilgung,18)=1,0,IF(AND(INDEX(DarlTilgStart,18)&gt;0,$E8509=INDEX(DarlTilgStart,18)),$J8509*($H8509+INDEX(DarlTilgung,18))/100/12,IF(AND($G8509=0,$G8508=1),MAX($K8508,$J8509*($H8509+1)/100/12),$K8508))))</f>
      </c>
      <c r="L8509" s="43">
        <f>IF($I8509=0,0,$J8509*$H8509/100/12)</f>
      </c>
      <c r="M8509" s="43">
        <f>IF($I8509=0,0,IF(OR(INDEX(DarlOhneTilgung,18)=1,AND(INDEX(DarlTilgStart,18)&gt;0,$E8509&lt;INDEX(DarlTilgStart,18))),0,MIN(MAX(0,$K8509-$L8509),$J8509)))</f>
      </c>
      <c r="N8509" s="43">
        <f>IF($I8509=0,0,MIN(SUMIFS(SondBetrag,SondDarl,18,SondDatum,"&gt;="&amp;$E8509,SondDatum,"&lt;="&amp;EOMONTH($E8509,0)),$J8509-$M8509))</f>
      </c>
      <c r="O8509" s="43">
        <f>IF($I8509=0,0,INDEX(DarlErsatzRate,18))</f>
      </c>
      <c r="P8509" s="43">
        <f>IF($I8509=0,0,$Q8508*INDEX(DarlErsatzZins,18))</f>
      </c>
      <c r="Q8509" s="43">
        <f>IF($I8509=0,0,$Q8508+$P8509+$O8509)</f>
      </c>
      <c r="R8509" s="43">
        <f>IF($I8509=0,0,$J8509-$M8509-$N8509)</f>
      </c>
    </row>
    <row r="8510">
      <c r="A8510"/>
      <c r="B8510">
        <v>18</v>
      </c>
      <c r="C8510" s="43">
        <f>INDEX(DarlObj,18)</f>
      </c>
      <c r="D8510">
        <v>347</v>
      </c>
      <c r="E8510" s="51">
        <f>IF(INDEX(DarlBelegt,18)=0,0,EOMONTH(INDEX(DarlAuszahlung,18),346)+1)</f>
      </c>
      <c r="F8510" s="43">
        <f>IF($E8510=0,0,YEAR($E8510))</f>
      </c>
      <c r="G8510" s="43">
        <f>IF(INDEX(DarlBindung,18)="",1,IF($E8510&lt;=INDEX(DarlBindung,18),1,0))</f>
      </c>
      <c r="H8510" s="43">
        <f>IF($G8510=1,INDEX(DarlSollzins,18),INDEX(DarlAnschluss,18))</f>
      </c>
      <c r="I8510" s="43">
        <f>IF(INDEX(DarlBelegt,18)=0,0,IF(INDEX(DarlOhneTilgung,18)=1,IF(INDEX(DarlBindung,18)="",1,$G8510),IF($J8510&gt;0.005,1,0)))</f>
      </c>
      <c r="J8510" s="43">
        <f>IF($I8509=0,0,$R8509)</f>
      </c>
      <c r="K8510" s="43">
        <f>IF($I8510=0,0,IF(INDEX(DarlOhneTilgung,18)=1,0,IF(AND(INDEX(DarlTilgStart,18)&gt;0,$E8510=INDEX(DarlTilgStart,18)),$J8510*($H8510+INDEX(DarlTilgung,18))/100/12,IF(AND($G8510=0,$G8509=1),MAX($K8509,$J8510*($H8510+1)/100/12),$K8509))))</f>
      </c>
      <c r="L8510" s="43">
        <f>IF($I8510=0,0,$J8510*$H8510/100/12)</f>
      </c>
      <c r="M8510" s="43">
        <f>IF($I8510=0,0,IF(OR(INDEX(DarlOhneTilgung,18)=1,AND(INDEX(DarlTilgStart,18)&gt;0,$E8510&lt;INDEX(DarlTilgStart,18))),0,MIN(MAX(0,$K8510-$L8510),$J8510)))</f>
      </c>
      <c r="N8510" s="43">
        <f>IF($I8510=0,0,MIN(SUMIFS(SondBetrag,SondDarl,18,SondDatum,"&gt;="&amp;$E8510,SondDatum,"&lt;="&amp;EOMONTH($E8510,0)),$J8510-$M8510))</f>
      </c>
      <c r="O8510" s="43">
        <f>IF($I8510=0,0,INDEX(DarlErsatzRate,18))</f>
      </c>
      <c r="P8510" s="43">
        <f>IF($I8510=0,0,$Q8509*INDEX(DarlErsatzZins,18))</f>
      </c>
      <c r="Q8510" s="43">
        <f>IF($I8510=0,0,$Q8509+$P8510+$O8510)</f>
      </c>
      <c r="R8510" s="43">
        <f>IF($I8510=0,0,$J8510-$M8510-$N8510)</f>
      </c>
    </row>
    <row r="8511">
      <c r="A8511"/>
      <c r="B8511">
        <v>18</v>
      </c>
      <c r="C8511" s="43">
        <f>INDEX(DarlObj,18)</f>
      </c>
      <c r="D8511">
        <v>348</v>
      </c>
      <c r="E8511" s="51">
        <f>IF(INDEX(DarlBelegt,18)=0,0,EOMONTH(INDEX(DarlAuszahlung,18),347)+1)</f>
      </c>
      <c r="F8511" s="43">
        <f>IF($E8511=0,0,YEAR($E8511))</f>
      </c>
      <c r="G8511" s="43">
        <f>IF(INDEX(DarlBindung,18)="",1,IF($E8511&lt;=INDEX(DarlBindung,18),1,0))</f>
      </c>
      <c r="H8511" s="43">
        <f>IF($G8511=1,INDEX(DarlSollzins,18),INDEX(DarlAnschluss,18))</f>
      </c>
      <c r="I8511" s="43">
        <f>IF(INDEX(DarlBelegt,18)=0,0,IF(INDEX(DarlOhneTilgung,18)=1,IF(INDEX(DarlBindung,18)="",1,$G8511),IF($J8511&gt;0.005,1,0)))</f>
      </c>
      <c r="J8511" s="43">
        <f>IF($I8510=0,0,$R8510)</f>
      </c>
      <c r="K8511" s="43">
        <f>IF($I8511=0,0,IF(INDEX(DarlOhneTilgung,18)=1,0,IF(AND(INDEX(DarlTilgStart,18)&gt;0,$E8511=INDEX(DarlTilgStart,18)),$J8511*($H8511+INDEX(DarlTilgung,18))/100/12,IF(AND($G8511=0,$G8510=1),MAX($K8510,$J8511*($H8511+1)/100/12),$K8510))))</f>
      </c>
      <c r="L8511" s="43">
        <f>IF($I8511=0,0,$J8511*$H8511/100/12)</f>
      </c>
      <c r="M8511" s="43">
        <f>IF($I8511=0,0,IF(OR(INDEX(DarlOhneTilgung,18)=1,AND(INDEX(DarlTilgStart,18)&gt;0,$E8511&lt;INDEX(DarlTilgStart,18))),0,MIN(MAX(0,$K8511-$L8511),$J8511)))</f>
      </c>
      <c r="N8511" s="43">
        <f>IF($I8511=0,0,MIN(SUMIFS(SondBetrag,SondDarl,18,SondDatum,"&gt;="&amp;$E8511,SondDatum,"&lt;="&amp;EOMONTH($E8511,0)),$J8511-$M8511))</f>
      </c>
      <c r="O8511" s="43">
        <f>IF($I8511=0,0,INDEX(DarlErsatzRate,18))</f>
      </c>
      <c r="P8511" s="43">
        <f>IF($I8511=0,0,$Q8510*INDEX(DarlErsatzZins,18))</f>
      </c>
      <c r="Q8511" s="43">
        <f>IF($I8511=0,0,$Q8510+$P8511+$O8511)</f>
      </c>
      <c r="R8511" s="43">
        <f>IF($I8511=0,0,$J8511-$M8511-$N8511)</f>
      </c>
    </row>
    <row r="8512">
      <c r="A8512"/>
      <c r="B8512">
        <v>18</v>
      </c>
      <c r="C8512" s="43">
        <f>INDEX(DarlObj,18)</f>
      </c>
      <c r="D8512">
        <v>349</v>
      </c>
      <c r="E8512" s="51">
        <f>IF(INDEX(DarlBelegt,18)=0,0,EOMONTH(INDEX(DarlAuszahlung,18),348)+1)</f>
      </c>
      <c r="F8512" s="43">
        <f>IF($E8512=0,0,YEAR($E8512))</f>
      </c>
      <c r="G8512" s="43">
        <f>IF(INDEX(DarlBindung,18)="",1,IF($E8512&lt;=INDEX(DarlBindung,18),1,0))</f>
      </c>
      <c r="H8512" s="43">
        <f>IF($G8512=1,INDEX(DarlSollzins,18),INDEX(DarlAnschluss,18))</f>
      </c>
      <c r="I8512" s="43">
        <f>IF(INDEX(DarlBelegt,18)=0,0,IF(INDEX(DarlOhneTilgung,18)=1,IF(INDEX(DarlBindung,18)="",1,$G8512),IF($J8512&gt;0.005,1,0)))</f>
      </c>
      <c r="J8512" s="43">
        <f>IF($I8511=0,0,$R8511)</f>
      </c>
      <c r="K8512" s="43">
        <f>IF($I8512=0,0,IF(INDEX(DarlOhneTilgung,18)=1,0,IF(AND(INDEX(DarlTilgStart,18)&gt;0,$E8512=INDEX(DarlTilgStart,18)),$J8512*($H8512+INDEX(DarlTilgung,18))/100/12,IF(AND($G8512=0,$G8511=1),MAX($K8511,$J8512*($H8512+1)/100/12),$K8511))))</f>
      </c>
      <c r="L8512" s="43">
        <f>IF($I8512=0,0,$J8512*$H8512/100/12)</f>
      </c>
      <c r="M8512" s="43">
        <f>IF($I8512=0,0,IF(OR(INDEX(DarlOhneTilgung,18)=1,AND(INDEX(DarlTilgStart,18)&gt;0,$E8512&lt;INDEX(DarlTilgStart,18))),0,MIN(MAX(0,$K8512-$L8512),$J8512)))</f>
      </c>
      <c r="N8512" s="43">
        <f>IF($I8512=0,0,MIN(SUMIFS(SondBetrag,SondDarl,18,SondDatum,"&gt;="&amp;$E8512,SondDatum,"&lt;="&amp;EOMONTH($E8512,0)),$J8512-$M8512))</f>
      </c>
      <c r="O8512" s="43">
        <f>IF($I8512=0,0,INDEX(DarlErsatzRate,18))</f>
      </c>
      <c r="P8512" s="43">
        <f>IF($I8512=0,0,$Q8511*INDEX(DarlErsatzZins,18))</f>
      </c>
      <c r="Q8512" s="43">
        <f>IF($I8512=0,0,$Q8511+$P8512+$O8512)</f>
      </c>
      <c r="R8512" s="43">
        <f>IF($I8512=0,0,$J8512-$M8512-$N8512)</f>
      </c>
    </row>
    <row r="8513">
      <c r="A8513"/>
      <c r="B8513">
        <v>18</v>
      </c>
      <c r="C8513" s="43">
        <f>INDEX(DarlObj,18)</f>
      </c>
      <c r="D8513">
        <v>350</v>
      </c>
      <c r="E8513" s="51">
        <f>IF(INDEX(DarlBelegt,18)=0,0,EOMONTH(INDEX(DarlAuszahlung,18),349)+1)</f>
      </c>
      <c r="F8513" s="43">
        <f>IF($E8513=0,0,YEAR($E8513))</f>
      </c>
      <c r="G8513" s="43">
        <f>IF(INDEX(DarlBindung,18)="",1,IF($E8513&lt;=INDEX(DarlBindung,18),1,0))</f>
      </c>
      <c r="H8513" s="43">
        <f>IF($G8513=1,INDEX(DarlSollzins,18),INDEX(DarlAnschluss,18))</f>
      </c>
      <c r="I8513" s="43">
        <f>IF(INDEX(DarlBelegt,18)=0,0,IF(INDEX(DarlOhneTilgung,18)=1,IF(INDEX(DarlBindung,18)="",1,$G8513),IF($J8513&gt;0.005,1,0)))</f>
      </c>
      <c r="J8513" s="43">
        <f>IF($I8512=0,0,$R8512)</f>
      </c>
      <c r="K8513" s="43">
        <f>IF($I8513=0,0,IF(INDEX(DarlOhneTilgung,18)=1,0,IF(AND(INDEX(DarlTilgStart,18)&gt;0,$E8513=INDEX(DarlTilgStart,18)),$J8513*($H8513+INDEX(DarlTilgung,18))/100/12,IF(AND($G8513=0,$G8512=1),MAX($K8512,$J8513*($H8513+1)/100/12),$K8512))))</f>
      </c>
      <c r="L8513" s="43">
        <f>IF($I8513=0,0,$J8513*$H8513/100/12)</f>
      </c>
      <c r="M8513" s="43">
        <f>IF($I8513=0,0,IF(OR(INDEX(DarlOhneTilgung,18)=1,AND(INDEX(DarlTilgStart,18)&gt;0,$E8513&lt;INDEX(DarlTilgStart,18))),0,MIN(MAX(0,$K8513-$L8513),$J8513)))</f>
      </c>
      <c r="N8513" s="43">
        <f>IF($I8513=0,0,MIN(SUMIFS(SondBetrag,SondDarl,18,SondDatum,"&gt;="&amp;$E8513,SondDatum,"&lt;="&amp;EOMONTH($E8513,0)),$J8513-$M8513))</f>
      </c>
      <c r="O8513" s="43">
        <f>IF($I8513=0,0,INDEX(DarlErsatzRate,18))</f>
      </c>
      <c r="P8513" s="43">
        <f>IF($I8513=0,0,$Q8512*INDEX(DarlErsatzZins,18))</f>
      </c>
      <c r="Q8513" s="43">
        <f>IF($I8513=0,0,$Q8512+$P8513+$O8513)</f>
      </c>
      <c r="R8513" s="43">
        <f>IF($I8513=0,0,$J8513-$M8513-$N8513)</f>
      </c>
    </row>
    <row r="8514">
      <c r="A8514"/>
      <c r="B8514">
        <v>18</v>
      </c>
      <c r="C8514" s="43">
        <f>INDEX(DarlObj,18)</f>
      </c>
      <c r="D8514">
        <v>351</v>
      </c>
      <c r="E8514" s="51">
        <f>IF(INDEX(DarlBelegt,18)=0,0,EOMONTH(INDEX(DarlAuszahlung,18),350)+1)</f>
      </c>
      <c r="F8514" s="43">
        <f>IF($E8514=0,0,YEAR($E8514))</f>
      </c>
      <c r="G8514" s="43">
        <f>IF(INDEX(DarlBindung,18)="",1,IF($E8514&lt;=INDEX(DarlBindung,18),1,0))</f>
      </c>
      <c r="H8514" s="43">
        <f>IF($G8514=1,INDEX(DarlSollzins,18),INDEX(DarlAnschluss,18))</f>
      </c>
      <c r="I8514" s="43">
        <f>IF(INDEX(DarlBelegt,18)=0,0,IF(INDEX(DarlOhneTilgung,18)=1,IF(INDEX(DarlBindung,18)="",1,$G8514),IF($J8514&gt;0.005,1,0)))</f>
      </c>
      <c r="J8514" s="43">
        <f>IF($I8513=0,0,$R8513)</f>
      </c>
      <c r="K8514" s="43">
        <f>IF($I8514=0,0,IF(INDEX(DarlOhneTilgung,18)=1,0,IF(AND(INDEX(DarlTilgStart,18)&gt;0,$E8514=INDEX(DarlTilgStart,18)),$J8514*($H8514+INDEX(DarlTilgung,18))/100/12,IF(AND($G8514=0,$G8513=1),MAX($K8513,$J8514*($H8514+1)/100/12),$K8513))))</f>
      </c>
      <c r="L8514" s="43">
        <f>IF($I8514=0,0,$J8514*$H8514/100/12)</f>
      </c>
      <c r="M8514" s="43">
        <f>IF($I8514=0,0,IF(OR(INDEX(DarlOhneTilgung,18)=1,AND(INDEX(DarlTilgStart,18)&gt;0,$E8514&lt;INDEX(DarlTilgStart,18))),0,MIN(MAX(0,$K8514-$L8514),$J8514)))</f>
      </c>
      <c r="N8514" s="43">
        <f>IF($I8514=0,0,MIN(SUMIFS(SondBetrag,SondDarl,18,SondDatum,"&gt;="&amp;$E8514,SondDatum,"&lt;="&amp;EOMONTH($E8514,0)),$J8514-$M8514))</f>
      </c>
      <c r="O8514" s="43">
        <f>IF($I8514=0,0,INDEX(DarlErsatzRate,18))</f>
      </c>
      <c r="P8514" s="43">
        <f>IF($I8514=0,0,$Q8513*INDEX(DarlErsatzZins,18))</f>
      </c>
      <c r="Q8514" s="43">
        <f>IF($I8514=0,0,$Q8513+$P8514+$O8514)</f>
      </c>
      <c r="R8514" s="43">
        <f>IF($I8514=0,0,$J8514-$M8514-$N8514)</f>
      </c>
    </row>
    <row r="8515">
      <c r="A8515"/>
      <c r="B8515">
        <v>18</v>
      </c>
      <c r="C8515" s="43">
        <f>INDEX(DarlObj,18)</f>
      </c>
      <c r="D8515">
        <v>352</v>
      </c>
      <c r="E8515" s="51">
        <f>IF(INDEX(DarlBelegt,18)=0,0,EOMONTH(INDEX(DarlAuszahlung,18),351)+1)</f>
      </c>
      <c r="F8515" s="43">
        <f>IF($E8515=0,0,YEAR($E8515))</f>
      </c>
      <c r="G8515" s="43">
        <f>IF(INDEX(DarlBindung,18)="",1,IF($E8515&lt;=INDEX(DarlBindung,18),1,0))</f>
      </c>
      <c r="H8515" s="43">
        <f>IF($G8515=1,INDEX(DarlSollzins,18),INDEX(DarlAnschluss,18))</f>
      </c>
      <c r="I8515" s="43">
        <f>IF(INDEX(DarlBelegt,18)=0,0,IF(INDEX(DarlOhneTilgung,18)=1,IF(INDEX(DarlBindung,18)="",1,$G8515),IF($J8515&gt;0.005,1,0)))</f>
      </c>
      <c r="J8515" s="43">
        <f>IF($I8514=0,0,$R8514)</f>
      </c>
      <c r="K8515" s="43">
        <f>IF($I8515=0,0,IF(INDEX(DarlOhneTilgung,18)=1,0,IF(AND(INDEX(DarlTilgStart,18)&gt;0,$E8515=INDEX(DarlTilgStart,18)),$J8515*($H8515+INDEX(DarlTilgung,18))/100/12,IF(AND($G8515=0,$G8514=1),MAX($K8514,$J8515*($H8515+1)/100/12),$K8514))))</f>
      </c>
      <c r="L8515" s="43">
        <f>IF($I8515=0,0,$J8515*$H8515/100/12)</f>
      </c>
      <c r="M8515" s="43">
        <f>IF($I8515=0,0,IF(OR(INDEX(DarlOhneTilgung,18)=1,AND(INDEX(DarlTilgStart,18)&gt;0,$E8515&lt;INDEX(DarlTilgStart,18))),0,MIN(MAX(0,$K8515-$L8515),$J8515)))</f>
      </c>
      <c r="N8515" s="43">
        <f>IF($I8515=0,0,MIN(SUMIFS(SondBetrag,SondDarl,18,SondDatum,"&gt;="&amp;$E8515,SondDatum,"&lt;="&amp;EOMONTH($E8515,0)),$J8515-$M8515))</f>
      </c>
      <c r="O8515" s="43">
        <f>IF($I8515=0,0,INDEX(DarlErsatzRate,18))</f>
      </c>
      <c r="P8515" s="43">
        <f>IF($I8515=0,0,$Q8514*INDEX(DarlErsatzZins,18))</f>
      </c>
      <c r="Q8515" s="43">
        <f>IF($I8515=0,0,$Q8514+$P8515+$O8515)</f>
      </c>
      <c r="R8515" s="43">
        <f>IF($I8515=0,0,$J8515-$M8515-$N8515)</f>
      </c>
    </row>
    <row r="8516">
      <c r="A8516"/>
      <c r="B8516">
        <v>18</v>
      </c>
      <c r="C8516" s="43">
        <f>INDEX(DarlObj,18)</f>
      </c>
      <c r="D8516">
        <v>353</v>
      </c>
      <c r="E8516" s="51">
        <f>IF(INDEX(DarlBelegt,18)=0,0,EOMONTH(INDEX(DarlAuszahlung,18),352)+1)</f>
      </c>
      <c r="F8516" s="43">
        <f>IF($E8516=0,0,YEAR($E8516))</f>
      </c>
      <c r="G8516" s="43">
        <f>IF(INDEX(DarlBindung,18)="",1,IF($E8516&lt;=INDEX(DarlBindung,18),1,0))</f>
      </c>
      <c r="H8516" s="43">
        <f>IF($G8516=1,INDEX(DarlSollzins,18),INDEX(DarlAnschluss,18))</f>
      </c>
      <c r="I8516" s="43">
        <f>IF(INDEX(DarlBelegt,18)=0,0,IF(INDEX(DarlOhneTilgung,18)=1,IF(INDEX(DarlBindung,18)="",1,$G8516),IF($J8516&gt;0.005,1,0)))</f>
      </c>
      <c r="J8516" s="43">
        <f>IF($I8515=0,0,$R8515)</f>
      </c>
      <c r="K8516" s="43">
        <f>IF($I8516=0,0,IF(INDEX(DarlOhneTilgung,18)=1,0,IF(AND(INDEX(DarlTilgStart,18)&gt;0,$E8516=INDEX(DarlTilgStart,18)),$J8516*($H8516+INDEX(DarlTilgung,18))/100/12,IF(AND($G8516=0,$G8515=1),MAX($K8515,$J8516*($H8516+1)/100/12),$K8515))))</f>
      </c>
      <c r="L8516" s="43">
        <f>IF($I8516=0,0,$J8516*$H8516/100/12)</f>
      </c>
      <c r="M8516" s="43">
        <f>IF($I8516=0,0,IF(OR(INDEX(DarlOhneTilgung,18)=1,AND(INDEX(DarlTilgStart,18)&gt;0,$E8516&lt;INDEX(DarlTilgStart,18))),0,MIN(MAX(0,$K8516-$L8516),$J8516)))</f>
      </c>
      <c r="N8516" s="43">
        <f>IF($I8516=0,0,MIN(SUMIFS(SondBetrag,SondDarl,18,SondDatum,"&gt;="&amp;$E8516,SondDatum,"&lt;="&amp;EOMONTH($E8516,0)),$J8516-$M8516))</f>
      </c>
      <c r="O8516" s="43">
        <f>IF($I8516=0,0,INDEX(DarlErsatzRate,18))</f>
      </c>
      <c r="P8516" s="43">
        <f>IF($I8516=0,0,$Q8515*INDEX(DarlErsatzZins,18))</f>
      </c>
      <c r="Q8516" s="43">
        <f>IF($I8516=0,0,$Q8515+$P8516+$O8516)</f>
      </c>
      <c r="R8516" s="43">
        <f>IF($I8516=0,0,$J8516-$M8516-$N8516)</f>
      </c>
    </row>
    <row r="8517">
      <c r="A8517"/>
      <c r="B8517">
        <v>18</v>
      </c>
      <c r="C8517" s="43">
        <f>INDEX(DarlObj,18)</f>
      </c>
      <c r="D8517">
        <v>354</v>
      </c>
      <c r="E8517" s="51">
        <f>IF(INDEX(DarlBelegt,18)=0,0,EOMONTH(INDEX(DarlAuszahlung,18),353)+1)</f>
      </c>
      <c r="F8517" s="43">
        <f>IF($E8517=0,0,YEAR($E8517))</f>
      </c>
      <c r="G8517" s="43">
        <f>IF(INDEX(DarlBindung,18)="",1,IF($E8517&lt;=INDEX(DarlBindung,18),1,0))</f>
      </c>
      <c r="H8517" s="43">
        <f>IF($G8517=1,INDEX(DarlSollzins,18),INDEX(DarlAnschluss,18))</f>
      </c>
      <c r="I8517" s="43">
        <f>IF(INDEX(DarlBelegt,18)=0,0,IF(INDEX(DarlOhneTilgung,18)=1,IF(INDEX(DarlBindung,18)="",1,$G8517),IF($J8517&gt;0.005,1,0)))</f>
      </c>
      <c r="J8517" s="43">
        <f>IF($I8516=0,0,$R8516)</f>
      </c>
      <c r="K8517" s="43">
        <f>IF($I8517=0,0,IF(INDEX(DarlOhneTilgung,18)=1,0,IF(AND(INDEX(DarlTilgStart,18)&gt;0,$E8517=INDEX(DarlTilgStart,18)),$J8517*($H8517+INDEX(DarlTilgung,18))/100/12,IF(AND($G8517=0,$G8516=1),MAX($K8516,$J8517*($H8517+1)/100/12),$K8516))))</f>
      </c>
      <c r="L8517" s="43">
        <f>IF($I8517=0,0,$J8517*$H8517/100/12)</f>
      </c>
      <c r="M8517" s="43">
        <f>IF($I8517=0,0,IF(OR(INDEX(DarlOhneTilgung,18)=1,AND(INDEX(DarlTilgStart,18)&gt;0,$E8517&lt;INDEX(DarlTilgStart,18))),0,MIN(MAX(0,$K8517-$L8517),$J8517)))</f>
      </c>
      <c r="N8517" s="43">
        <f>IF($I8517=0,0,MIN(SUMIFS(SondBetrag,SondDarl,18,SondDatum,"&gt;="&amp;$E8517,SondDatum,"&lt;="&amp;EOMONTH($E8517,0)),$J8517-$M8517))</f>
      </c>
      <c r="O8517" s="43">
        <f>IF($I8517=0,0,INDEX(DarlErsatzRate,18))</f>
      </c>
      <c r="P8517" s="43">
        <f>IF($I8517=0,0,$Q8516*INDEX(DarlErsatzZins,18))</f>
      </c>
      <c r="Q8517" s="43">
        <f>IF($I8517=0,0,$Q8516+$P8517+$O8517)</f>
      </c>
      <c r="R8517" s="43">
        <f>IF($I8517=0,0,$J8517-$M8517-$N8517)</f>
      </c>
    </row>
    <row r="8518">
      <c r="A8518"/>
      <c r="B8518">
        <v>18</v>
      </c>
      <c r="C8518" s="43">
        <f>INDEX(DarlObj,18)</f>
      </c>
      <c r="D8518">
        <v>355</v>
      </c>
      <c r="E8518" s="51">
        <f>IF(INDEX(DarlBelegt,18)=0,0,EOMONTH(INDEX(DarlAuszahlung,18),354)+1)</f>
      </c>
      <c r="F8518" s="43">
        <f>IF($E8518=0,0,YEAR($E8518))</f>
      </c>
      <c r="G8518" s="43">
        <f>IF(INDEX(DarlBindung,18)="",1,IF($E8518&lt;=INDEX(DarlBindung,18),1,0))</f>
      </c>
      <c r="H8518" s="43">
        <f>IF($G8518=1,INDEX(DarlSollzins,18),INDEX(DarlAnschluss,18))</f>
      </c>
      <c r="I8518" s="43">
        <f>IF(INDEX(DarlBelegt,18)=0,0,IF(INDEX(DarlOhneTilgung,18)=1,IF(INDEX(DarlBindung,18)="",1,$G8518),IF($J8518&gt;0.005,1,0)))</f>
      </c>
      <c r="J8518" s="43">
        <f>IF($I8517=0,0,$R8517)</f>
      </c>
      <c r="K8518" s="43">
        <f>IF($I8518=0,0,IF(INDEX(DarlOhneTilgung,18)=1,0,IF(AND(INDEX(DarlTilgStart,18)&gt;0,$E8518=INDEX(DarlTilgStart,18)),$J8518*($H8518+INDEX(DarlTilgung,18))/100/12,IF(AND($G8518=0,$G8517=1),MAX($K8517,$J8518*($H8518+1)/100/12),$K8517))))</f>
      </c>
      <c r="L8518" s="43">
        <f>IF($I8518=0,0,$J8518*$H8518/100/12)</f>
      </c>
      <c r="M8518" s="43">
        <f>IF($I8518=0,0,IF(OR(INDEX(DarlOhneTilgung,18)=1,AND(INDEX(DarlTilgStart,18)&gt;0,$E8518&lt;INDEX(DarlTilgStart,18))),0,MIN(MAX(0,$K8518-$L8518),$J8518)))</f>
      </c>
      <c r="N8518" s="43">
        <f>IF($I8518=0,0,MIN(SUMIFS(SondBetrag,SondDarl,18,SondDatum,"&gt;="&amp;$E8518,SondDatum,"&lt;="&amp;EOMONTH($E8518,0)),$J8518-$M8518))</f>
      </c>
      <c r="O8518" s="43">
        <f>IF($I8518=0,0,INDEX(DarlErsatzRate,18))</f>
      </c>
      <c r="P8518" s="43">
        <f>IF($I8518=0,0,$Q8517*INDEX(DarlErsatzZins,18))</f>
      </c>
      <c r="Q8518" s="43">
        <f>IF($I8518=0,0,$Q8517+$P8518+$O8518)</f>
      </c>
      <c r="R8518" s="43">
        <f>IF($I8518=0,0,$J8518-$M8518-$N8518)</f>
      </c>
    </row>
    <row r="8519">
      <c r="A8519"/>
      <c r="B8519">
        <v>18</v>
      </c>
      <c r="C8519" s="43">
        <f>INDEX(DarlObj,18)</f>
      </c>
      <c r="D8519">
        <v>356</v>
      </c>
      <c r="E8519" s="51">
        <f>IF(INDEX(DarlBelegt,18)=0,0,EOMONTH(INDEX(DarlAuszahlung,18),355)+1)</f>
      </c>
      <c r="F8519" s="43">
        <f>IF($E8519=0,0,YEAR($E8519))</f>
      </c>
      <c r="G8519" s="43">
        <f>IF(INDEX(DarlBindung,18)="",1,IF($E8519&lt;=INDEX(DarlBindung,18),1,0))</f>
      </c>
      <c r="H8519" s="43">
        <f>IF($G8519=1,INDEX(DarlSollzins,18),INDEX(DarlAnschluss,18))</f>
      </c>
      <c r="I8519" s="43">
        <f>IF(INDEX(DarlBelegt,18)=0,0,IF(INDEX(DarlOhneTilgung,18)=1,IF(INDEX(DarlBindung,18)="",1,$G8519),IF($J8519&gt;0.005,1,0)))</f>
      </c>
      <c r="J8519" s="43">
        <f>IF($I8518=0,0,$R8518)</f>
      </c>
      <c r="K8519" s="43">
        <f>IF($I8519=0,0,IF(INDEX(DarlOhneTilgung,18)=1,0,IF(AND(INDEX(DarlTilgStart,18)&gt;0,$E8519=INDEX(DarlTilgStart,18)),$J8519*($H8519+INDEX(DarlTilgung,18))/100/12,IF(AND($G8519=0,$G8518=1),MAX($K8518,$J8519*($H8519+1)/100/12),$K8518))))</f>
      </c>
      <c r="L8519" s="43">
        <f>IF($I8519=0,0,$J8519*$H8519/100/12)</f>
      </c>
      <c r="M8519" s="43">
        <f>IF($I8519=0,0,IF(OR(INDEX(DarlOhneTilgung,18)=1,AND(INDEX(DarlTilgStart,18)&gt;0,$E8519&lt;INDEX(DarlTilgStart,18))),0,MIN(MAX(0,$K8519-$L8519),$J8519)))</f>
      </c>
      <c r="N8519" s="43">
        <f>IF($I8519=0,0,MIN(SUMIFS(SondBetrag,SondDarl,18,SondDatum,"&gt;="&amp;$E8519,SondDatum,"&lt;="&amp;EOMONTH($E8519,0)),$J8519-$M8519))</f>
      </c>
      <c r="O8519" s="43">
        <f>IF($I8519=0,0,INDEX(DarlErsatzRate,18))</f>
      </c>
      <c r="P8519" s="43">
        <f>IF($I8519=0,0,$Q8518*INDEX(DarlErsatzZins,18))</f>
      </c>
      <c r="Q8519" s="43">
        <f>IF($I8519=0,0,$Q8518+$P8519+$O8519)</f>
      </c>
      <c r="R8519" s="43">
        <f>IF($I8519=0,0,$J8519-$M8519-$N8519)</f>
      </c>
    </row>
    <row r="8520">
      <c r="A8520"/>
      <c r="B8520">
        <v>18</v>
      </c>
      <c r="C8520" s="43">
        <f>INDEX(DarlObj,18)</f>
      </c>
      <c r="D8520">
        <v>357</v>
      </c>
      <c r="E8520" s="51">
        <f>IF(INDEX(DarlBelegt,18)=0,0,EOMONTH(INDEX(DarlAuszahlung,18),356)+1)</f>
      </c>
      <c r="F8520" s="43">
        <f>IF($E8520=0,0,YEAR($E8520))</f>
      </c>
      <c r="G8520" s="43">
        <f>IF(INDEX(DarlBindung,18)="",1,IF($E8520&lt;=INDEX(DarlBindung,18),1,0))</f>
      </c>
      <c r="H8520" s="43">
        <f>IF($G8520=1,INDEX(DarlSollzins,18),INDEX(DarlAnschluss,18))</f>
      </c>
      <c r="I8520" s="43">
        <f>IF(INDEX(DarlBelegt,18)=0,0,IF(INDEX(DarlOhneTilgung,18)=1,IF(INDEX(DarlBindung,18)="",1,$G8520),IF($J8520&gt;0.005,1,0)))</f>
      </c>
      <c r="J8520" s="43">
        <f>IF($I8519=0,0,$R8519)</f>
      </c>
      <c r="K8520" s="43">
        <f>IF($I8520=0,0,IF(INDEX(DarlOhneTilgung,18)=1,0,IF(AND(INDEX(DarlTilgStart,18)&gt;0,$E8520=INDEX(DarlTilgStart,18)),$J8520*($H8520+INDEX(DarlTilgung,18))/100/12,IF(AND($G8520=0,$G8519=1),MAX($K8519,$J8520*($H8520+1)/100/12),$K8519))))</f>
      </c>
      <c r="L8520" s="43">
        <f>IF($I8520=0,0,$J8520*$H8520/100/12)</f>
      </c>
      <c r="M8520" s="43">
        <f>IF($I8520=0,0,IF(OR(INDEX(DarlOhneTilgung,18)=1,AND(INDEX(DarlTilgStart,18)&gt;0,$E8520&lt;INDEX(DarlTilgStart,18))),0,MIN(MAX(0,$K8520-$L8520),$J8520)))</f>
      </c>
      <c r="N8520" s="43">
        <f>IF($I8520=0,0,MIN(SUMIFS(SondBetrag,SondDarl,18,SondDatum,"&gt;="&amp;$E8520,SondDatum,"&lt;="&amp;EOMONTH($E8520,0)),$J8520-$M8520))</f>
      </c>
      <c r="O8520" s="43">
        <f>IF($I8520=0,0,INDEX(DarlErsatzRate,18))</f>
      </c>
      <c r="P8520" s="43">
        <f>IF($I8520=0,0,$Q8519*INDEX(DarlErsatzZins,18))</f>
      </c>
      <c r="Q8520" s="43">
        <f>IF($I8520=0,0,$Q8519+$P8520+$O8520)</f>
      </c>
      <c r="R8520" s="43">
        <f>IF($I8520=0,0,$J8520-$M8520-$N8520)</f>
      </c>
    </row>
    <row r="8521">
      <c r="A8521"/>
      <c r="B8521">
        <v>18</v>
      </c>
      <c r="C8521" s="43">
        <f>INDEX(DarlObj,18)</f>
      </c>
      <c r="D8521">
        <v>358</v>
      </c>
      <c r="E8521" s="51">
        <f>IF(INDEX(DarlBelegt,18)=0,0,EOMONTH(INDEX(DarlAuszahlung,18),357)+1)</f>
      </c>
      <c r="F8521" s="43">
        <f>IF($E8521=0,0,YEAR($E8521))</f>
      </c>
      <c r="G8521" s="43">
        <f>IF(INDEX(DarlBindung,18)="",1,IF($E8521&lt;=INDEX(DarlBindung,18),1,0))</f>
      </c>
      <c r="H8521" s="43">
        <f>IF($G8521=1,INDEX(DarlSollzins,18),INDEX(DarlAnschluss,18))</f>
      </c>
      <c r="I8521" s="43">
        <f>IF(INDEX(DarlBelegt,18)=0,0,IF(INDEX(DarlOhneTilgung,18)=1,IF(INDEX(DarlBindung,18)="",1,$G8521),IF($J8521&gt;0.005,1,0)))</f>
      </c>
      <c r="J8521" s="43">
        <f>IF($I8520=0,0,$R8520)</f>
      </c>
      <c r="K8521" s="43">
        <f>IF($I8521=0,0,IF(INDEX(DarlOhneTilgung,18)=1,0,IF(AND(INDEX(DarlTilgStart,18)&gt;0,$E8521=INDEX(DarlTilgStart,18)),$J8521*($H8521+INDEX(DarlTilgung,18))/100/12,IF(AND($G8521=0,$G8520=1),MAX($K8520,$J8521*($H8521+1)/100/12),$K8520))))</f>
      </c>
      <c r="L8521" s="43">
        <f>IF($I8521=0,0,$J8521*$H8521/100/12)</f>
      </c>
      <c r="M8521" s="43">
        <f>IF($I8521=0,0,IF(OR(INDEX(DarlOhneTilgung,18)=1,AND(INDEX(DarlTilgStart,18)&gt;0,$E8521&lt;INDEX(DarlTilgStart,18))),0,MIN(MAX(0,$K8521-$L8521),$J8521)))</f>
      </c>
      <c r="N8521" s="43">
        <f>IF($I8521=0,0,MIN(SUMIFS(SondBetrag,SondDarl,18,SondDatum,"&gt;="&amp;$E8521,SondDatum,"&lt;="&amp;EOMONTH($E8521,0)),$J8521-$M8521))</f>
      </c>
      <c r="O8521" s="43">
        <f>IF($I8521=0,0,INDEX(DarlErsatzRate,18))</f>
      </c>
      <c r="P8521" s="43">
        <f>IF($I8521=0,0,$Q8520*INDEX(DarlErsatzZins,18))</f>
      </c>
      <c r="Q8521" s="43">
        <f>IF($I8521=0,0,$Q8520+$P8521+$O8521)</f>
      </c>
      <c r="R8521" s="43">
        <f>IF($I8521=0,0,$J8521-$M8521-$N8521)</f>
      </c>
    </row>
    <row r="8522">
      <c r="A8522"/>
      <c r="B8522">
        <v>18</v>
      </c>
      <c r="C8522" s="43">
        <f>INDEX(DarlObj,18)</f>
      </c>
      <c r="D8522">
        <v>359</v>
      </c>
      <c r="E8522" s="51">
        <f>IF(INDEX(DarlBelegt,18)=0,0,EOMONTH(INDEX(DarlAuszahlung,18),358)+1)</f>
      </c>
      <c r="F8522" s="43">
        <f>IF($E8522=0,0,YEAR($E8522))</f>
      </c>
      <c r="G8522" s="43">
        <f>IF(INDEX(DarlBindung,18)="",1,IF($E8522&lt;=INDEX(DarlBindung,18),1,0))</f>
      </c>
      <c r="H8522" s="43">
        <f>IF($G8522=1,INDEX(DarlSollzins,18),INDEX(DarlAnschluss,18))</f>
      </c>
      <c r="I8522" s="43">
        <f>IF(INDEX(DarlBelegt,18)=0,0,IF(INDEX(DarlOhneTilgung,18)=1,IF(INDEX(DarlBindung,18)="",1,$G8522),IF($J8522&gt;0.005,1,0)))</f>
      </c>
      <c r="J8522" s="43">
        <f>IF($I8521=0,0,$R8521)</f>
      </c>
      <c r="K8522" s="43">
        <f>IF($I8522=0,0,IF(INDEX(DarlOhneTilgung,18)=1,0,IF(AND(INDEX(DarlTilgStart,18)&gt;0,$E8522=INDEX(DarlTilgStart,18)),$J8522*($H8522+INDEX(DarlTilgung,18))/100/12,IF(AND($G8522=0,$G8521=1),MAX($K8521,$J8522*($H8522+1)/100/12),$K8521))))</f>
      </c>
      <c r="L8522" s="43">
        <f>IF($I8522=0,0,$J8522*$H8522/100/12)</f>
      </c>
      <c r="M8522" s="43">
        <f>IF($I8522=0,0,IF(OR(INDEX(DarlOhneTilgung,18)=1,AND(INDEX(DarlTilgStart,18)&gt;0,$E8522&lt;INDEX(DarlTilgStart,18))),0,MIN(MAX(0,$K8522-$L8522),$J8522)))</f>
      </c>
      <c r="N8522" s="43">
        <f>IF($I8522=0,0,MIN(SUMIFS(SondBetrag,SondDarl,18,SondDatum,"&gt;="&amp;$E8522,SondDatum,"&lt;="&amp;EOMONTH($E8522,0)),$J8522-$M8522))</f>
      </c>
      <c r="O8522" s="43">
        <f>IF($I8522=0,0,INDEX(DarlErsatzRate,18))</f>
      </c>
      <c r="P8522" s="43">
        <f>IF($I8522=0,0,$Q8521*INDEX(DarlErsatzZins,18))</f>
      </c>
      <c r="Q8522" s="43">
        <f>IF($I8522=0,0,$Q8521+$P8522+$O8522)</f>
      </c>
      <c r="R8522" s="43">
        <f>IF($I8522=0,0,$J8522-$M8522-$N8522)</f>
      </c>
    </row>
    <row r="8523">
      <c r="A8523"/>
      <c r="B8523">
        <v>18</v>
      </c>
      <c r="C8523" s="43">
        <f>INDEX(DarlObj,18)</f>
      </c>
      <c r="D8523">
        <v>360</v>
      </c>
      <c r="E8523" s="51">
        <f>IF(INDEX(DarlBelegt,18)=0,0,EOMONTH(INDEX(DarlAuszahlung,18),359)+1)</f>
      </c>
      <c r="F8523" s="43">
        <f>IF($E8523=0,0,YEAR($E8523))</f>
      </c>
      <c r="G8523" s="43">
        <f>IF(INDEX(DarlBindung,18)="",1,IF($E8523&lt;=INDEX(DarlBindung,18),1,0))</f>
      </c>
      <c r="H8523" s="43">
        <f>IF($G8523=1,INDEX(DarlSollzins,18),INDEX(DarlAnschluss,18))</f>
      </c>
      <c r="I8523" s="43">
        <f>IF(INDEX(DarlBelegt,18)=0,0,IF(INDEX(DarlOhneTilgung,18)=1,IF(INDEX(DarlBindung,18)="",1,$G8523),IF($J8523&gt;0.005,1,0)))</f>
      </c>
      <c r="J8523" s="43">
        <f>IF($I8522=0,0,$R8522)</f>
      </c>
      <c r="K8523" s="43">
        <f>IF($I8523=0,0,IF(INDEX(DarlOhneTilgung,18)=1,0,IF(AND(INDEX(DarlTilgStart,18)&gt;0,$E8523=INDEX(DarlTilgStart,18)),$J8523*($H8523+INDEX(DarlTilgung,18))/100/12,IF(AND($G8523=0,$G8522=1),MAX($K8522,$J8523*($H8523+1)/100/12),$K8522))))</f>
      </c>
      <c r="L8523" s="43">
        <f>IF($I8523=0,0,$J8523*$H8523/100/12)</f>
      </c>
      <c r="M8523" s="43">
        <f>IF($I8523=0,0,IF(OR(INDEX(DarlOhneTilgung,18)=1,AND(INDEX(DarlTilgStart,18)&gt;0,$E8523&lt;INDEX(DarlTilgStart,18))),0,MIN(MAX(0,$K8523-$L8523),$J8523)))</f>
      </c>
      <c r="N8523" s="43">
        <f>IF($I8523=0,0,MIN(SUMIFS(SondBetrag,SondDarl,18,SondDatum,"&gt;="&amp;$E8523,SondDatum,"&lt;="&amp;EOMONTH($E8523,0)),$J8523-$M8523))</f>
      </c>
      <c r="O8523" s="43">
        <f>IF($I8523=0,0,INDEX(DarlErsatzRate,18))</f>
      </c>
      <c r="P8523" s="43">
        <f>IF($I8523=0,0,$Q8522*INDEX(DarlErsatzZins,18))</f>
      </c>
      <c r="Q8523" s="43">
        <f>IF($I8523=0,0,$Q8522+$P8523+$O8523)</f>
      </c>
      <c r="R8523" s="43">
        <f>IF($I8523=0,0,$J8523-$M8523-$N8523)</f>
      </c>
    </row>
    <row r="8524">
      <c r="A8524"/>
      <c r="B8524">
        <v>18</v>
      </c>
      <c r="C8524" s="43">
        <f>INDEX(DarlObj,18)</f>
      </c>
      <c r="D8524">
        <v>361</v>
      </c>
      <c r="E8524" s="51">
        <f>IF(INDEX(DarlBelegt,18)=0,0,EOMONTH(INDEX(DarlAuszahlung,18),360)+1)</f>
      </c>
      <c r="F8524" s="43">
        <f>IF($E8524=0,0,YEAR($E8524))</f>
      </c>
      <c r="G8524" s="43">
        <f>IF(INDEX(DarlBindung,18)="",1,IF($E8524&lt;=INDEX(DarlBindung,18),1,0))</f>
      </c>
      <c r="H8524" s="43">
        <f>IF($G8524=1,INDEX(DarlSollzins,18),INDEX(DarlAnschluss,18))</f>
      </c>
      <c r="I8524" s="43">
        <f>IF(INDEX(DarlBelegt,18)=0,0,IF(INDEX(DarlOhneTilgung,18)=1,IF(INDEX(DarlBindung,18)="",1,$G8524),IF($J8524&gt;0.005,1,0)))</f>
      </c>
      <c r="J8524" s="43">
        <f>IF($I8523=0,0,$R8523)</f>
      </c>
      <c r="K8524" s="43">
        <f>IF($I8524=0,0,IF(INDEX(DarlOhneTilgung,18)=1,0,IF(AND(INDEX(DarlTilgStart,18)&gt;0,$E8524=INDEX(DarlTilgStart,18)),$J8524*($H8524+INDEX(DarlTilgung,18))/100/12,IF(AND($G8524=0,$G8523=1),MAX($K8523,$J8524*($H8524+1)/100/12),$K8523))))</f>
      </c>
      <c r="L8524" s="43">
        <f>IF($I8524=0,0,$J8524*$H8524/100/12)</f>
      </c>
      <c r="M8524" s="43">
        <f>IF($I8524=0,0,IF(OR(INDEX(DarlOhneTilgung,18)=1,AND(INDEX(DarlTilgStart,18)&gt;0,$E8524&lt;INDEX(DarlTilgStart,18))),0,MIN(MAX(0,$K8524-$L8524),$J8524)))</f>
      </c>
      <c r="N8524" s="43">
        <f>IF($I8524=0,0,MIN(SUMIFS(SondBetrag,SondDarl,18,SondDatum,"&gt;="&amp;$E8524,SondDatum,"&lt;="&amp;EOMONTH($E8524,0)),$J8524-$M8524))</f>
      </c>
      <c r="O8524" s="43">
        <f>IF($I8524=0,0,INDEX(DarlErsatzRate,18))</f>
      </c>
      <c r="P8524" s="43">
        <f>IF($I8524=0,0,$Q8523*INDEX(DarlErsatzZins,18))</f>
      </c>
      <c r="Q8524" s="43">
        <f>IF($I8524=0,0,$Q8523+$P8524+$O8524)</f>
      </c>
      <c r="R8524" s="43">
        <f>IF($I8524=0,0,$J8524-$M8524-$N8524)</f>
      </c>
    </row>
    <row r="8525">
      <c r="A8525"/>
      <c r="B8525">
        <v>18</v>
      </c>
      <c r="C8525" s="43">
        <f>INDEX(DarlObj,18)</f>
      </c>
      <c r="D8525">
        <v>362</v>
      </c>
      <c r="E8525" s="51">
        <f>IF(INDEX(DarlBelegt,18)=0,0,EOMONTH(INDEX(DarlAuszahlung,18),361)+1)</f>
      </c>
      <c r="F8525" s="43">
        <f>IF($E8525=0,0,YEAR($E8525))</f>
      </c>
      <c r="G8525" s="43">
        <f>IF(INDEX(DarlBindung,18)="",1,IF($E8525&lt;=INDEX(DarlBindung,18),1,0))</f>
      </c>
      <c r="H8525" s="43">
        <f>IF($G8525=1,INDEX(DarlSollzins,18),INDEX(DarlAnschluss,18))</f>
      </c>
      <c r="I8525" s="43">
        <f>IF(INDEX(DarlBelegt,18)=0,0,IF(INDEX(DarlOhneTilgung,18)=1,IF(INDEX(DarlBindung,18)="",1,$G8525),IF($J8525&gt;0.005,1,0)))</f>
      </c>
      <c r="J8525" s="43">
        <f>IF($I8524=0,0,$R8524)</f>
      </c>
      <c r="K8525" s="43">
        <f>IF($I8525=0,0,IF(INDEX(DarlOhneTilgung,18)=1,0,IF(AND(INDEX(DarlTilgStart,18)&gt;0,$E8525=INDEX(DarlTilgStart,18)),$J8525*($H8525+INDEX(DarlTilgung,18))/100/12,IF(AND($G8525=0,$G8524=1),MAX($K8524,$J8525*($H8525+1)/100/12),$K8524))))</f>
      </c>
      <c r="L8525" s="43">
        <f>IF($I8525=0,0,$J8525*$H8525/100/12)</f>
      </c>
      <c r="M8525" s="43">
        <f>IF($I8525=0,0,IF(OR(INDEX(DarlOhneTilgung,18)=1,AND(INDEX(DarlTilgStart,18)&gt;0,$E8525&lt;INDEX(DarlTilgStart,18))),0,MIN(MAX(0,$K8525-$L8525),$J8525)))</f>
      </c>
      <c r="N8525" s="43">
        <f>IF($I8525=0,0,MIN(SUMIFS(SondBetrag,SondDarl,18,SondDatum,"&gt;="&amp;$E8525,SondDatum,"&lt;="&amp;EOMONTH($E8525,0)),$J8525-$M8525))</f>
      </c>
      <c r="O8525" s="43">
        <f>IF($I8525=0,0,INDEX(DarlErsatzRate,18))</f>
      </c>
      <c r="P8525" s="43">
        <f>IF($I8525=0,0,$Q8524*INDEX(DarlErsatzZins,18))</f>
      </c>
      <c r="Q8525" s="43">
        <f>IF($I8525=0,0,$Q8524+$P8525+$O8525)</f>
      </c>
      <c r="R8525" s="43">
        <f>IF($I8525=0,0,$J8525-$M8525-$N8525)</f>
      </c>
    </row>
    <row r="8526">
      <c r="A8526"/>
      <c r="B8526">
        <v>18</v>
      </c>
      <c r="C8526" s="43">
        <f>INDEX(DarlObj,18)</f>
      </c>
      <c r="D8526">
        <v>363</v>
      </c>
      <c r="E8526" s="51">
        <f>IF(INDEX(DarlBelegt,18)=0,0,EOMONTH(INDEX(DarlAuszahlung,18),362)+1)</f>
      </c>
      <c r="F8526" s="43">
        <f>IF($E8526=0,0,YEAR($E8526))</f>
      </c>
      <c r="G8526" s="43">
        <f>IF(INDEX(DarlBindung,18)="",1,IF($E8526&lt;=INDEX(DarlBindung,18),1,0))</f>
      </c>
      <c r="H8526" s="43">
        <f>IF($G8526=1,INDEX(DarlSollzins,18),INDEX(DarlAnschluss,18))</f>
      </c>
      <c r="I8526" s="43">
        <f>IF(INDEX(DarlBelegt,18)=0,0,IF(INDEX(DarlOhneTilgung,18)=1,IF(INDEX(DarlBindung,18)="",1,$G8526),IF($J8526&gt;0.005,1,0)))</f>
      </c>
      <c r="J8526" s="43">
        <f>IF($I8525=0,0,$R8525)</f>
      </c>
      <c r="K8526" s="43">
        <f>IF($I8526=0,0,IF(INDEX(DarlOhneTilgung,18)=1,0,IF(AND(INDEX(DarlTilgStart,18)&gt;0,$E8526=INDEX(DarlTilgStart,18)),$J8526*($H8526+INDEX(DarlTilgung,18))/100/12,IF(AND($G8526=0,$G8525=1),MAX($K8525,$J8526*($H8526+1)/100/12),$K8525))))</f>
      </c>
      <c r="L8526" s="43">
        <f>IF($I8526=0,0,$J8526*$H8526/100/12)</f>
      </c>
      <c r="M8526" s="43">
        <f>IF($I8526=0,0,IF(OR(INDEX(DarlOhneTilgung,18)=1,AND(INDEX(DarlTilgStart,18)&gt;0,$E8526&lt;INDEX(DarlTilgStart,18))),0,MIN(MAX(0,$K8526-$L8526),$J8526)))</f>
      </c>
      <c r="N8526" s="43">
        <f>IF($I8526=0,0,MIN(SUMIFS(SondBetrag,SondDarl,18,SondDatum,"&gt;="&amp;$E8526,SondDatum,"&lt;="&amp;EOMONTH($E8526,0)),$J8526-$M8526))</f>
      </c>
      <c r="O8526" s="43">
        <f>IF($I8526=0,0,INDEX(DarlErsatzRate,18))</f>
      </c>
      <c r="P8526" s="43">
        <f>IF($I8526=0,0,$Q8525*INDEX(DarlErsatzZins,18))</f>
      </c>
      <c r="Q8526" s="43">
        <f>IF($I8526=0,0,$Q8525+$P8526+$O8526)</f>
      </c>
      <c r="R8526" s="43">
        <f>IF($I8526=0,0,$J8526-$M8526-$N8526)</f>
      </c>
    </row>
    <row r="8527">
      <c r="A8527"/>
      <c r="B8527">
        <v>18</v>
      </c>
      <c r="C8527" s="43">
        <f>INDEX(DarlObj,18)</f>
      </c>
      <c r="D8527">
        <v>364</v>
      </c>
      <c r="E8527" s="51">
        <f>IF(INDEX(DarlBelegt,18)=0,0,EOMONTH(INDEX(DarlAuszahlung,18),363)+1)</f>
      </c>
      <c r="F8527" s="43">
        <f>IF($E8527=0,0,YEAR($E8527))</f>
      </c>
      <c r="G8527" s="43">
        <f>IF(INDEX(DarlBindung,18)="",1,IF($E8527&lt;=INDEX(DarlBindung,18),1,0))</f>
      </c>
      <c r="H8527" s="43">
        <f>IF($G8527=1,INDEX(DarlSollzins,18),INDEX(DarlAnschluss,18))</f>
      </c>
      <c r="I8527" s="43">
        <f>IF(INDEX(DarlBelegt,18)=0,0,IF(INDEX(DarlOhneTilgung,18)=1,IF(INDEX(DarlBindung,18)="",1,$G8527),IF($J8527&gt;0.005,1,0)))</f>
      </c>
      <c r="J8527" s="43">
        <f>IF($I8526=0,0,$R8526)</f>
      </c>
      <c r="K8527" s="43">
        <f>IF($I8527=0,0,IF(INDEX(DarlOhneTilgung,18)=1,0,IF(AND(INDEX(DarlTilgStart,18)&gt;0,$E8527=INDEX(DarlTilgStart,18)),$J8527*($H8527+INDEX(DarlTilgung,18))/100/12,IF(AND($G8527=0,$G8526=1),MAX($K8526,$J8527*($H8527+1)/100/12),$K8526))))</f>
      </c>
      <c r="L8527" s="43">
        <f>IF($I8527=0,0,$J8527*$H8527/100/12)</f>
      </c>
      <c r="M8527" s="43">
        <f>IF($I8527=0,0,IF(OR(INDEX(DarlOhneTilgung,18)=1,AND(INDEX(DarlTilgStart,18)&gt;0,$E8527&lt;INDEX(DarlTilgStart,18))),0,MIN(MAX(0,$K8527-$L8527),$J8527)))</f>
      </c>
      <c r="N8527" s="43">
        <f>IF($I8527=0,0,MIN(SUMIFS(SondBetrag,SondDarl,18,SondDatum,"&gt;="&amp;$E8527,SondDatum,"&lt;="&amp;EOMONTH($E8527,0)),$J8527-$M8527))</f>
      </c>
      <c r="O8527" s="43">
        <f>IF($I8527=0,0,INDEX(DarlErsatzRate,18))</f>
      </c>
      <c r="P8527" s="43">
        <f>IF($I8527=0,0,$Q8526*INDEX(DarlErsatzZins,18))</f>
      </c>
      <c r="Q8527" s="43">
        <f>IF($I8527=0,0,$Q8526+$P8527+$O8527)</f>
      </c>
      <c r="R8527" s="43">
        <f>IF($I8527=0,0,$J8527-$M8527-$N8527)</f>
      </c>
    </row>
    <row r="8528">
      <c r="A8528"/>
      <c r="B8528">
        <v>18</v>
      </c>
      <c r="C8528" s="43">
        <f>INDEX(DarlObj,18)</f>
      </c>
      <c r="D8528">
        <v>365</v>
      </c>
      <c r="E8528" s="51">
        <f>IF(INDEX(DarlBelegt,18)=0,0,EOMONTH(INDEX(DarlAuszahlung,18),364)+1)</f>
      </c>
      <c r="F8528" s="43">
        <f>IF($E8528=0,0,YEAR($E8528))</f>
      </c>
      <c r="G8528" s="43">
        <f>IF(INDEX(DarlBindung,18)="",1,IF($E8528&lt;=INDEX(DarlBindung,18),1,0))</f>
      </c>
      <c r="H8528" s="43">
        <f>IF($G8528=1,INDEX(DarlSollzins,18),INDEX(DarlAnschluss,18))</f>
      </c>
      <c r="I8528" s="43">
        <f>IF(INDEX(DarlBelegt,18)=0,0,IF(INDEX(DarlOhneTilgung,18)=1,IF(INDEX(DarlBindung,18)="",1,$G8528),IF($J8528&gt;0.005,1,0)))</f>
      </c>
      <c r="J8528" s="43">
        <f>IF($I8527=0,0,$R8527)</f>
      </c>
      <c r="K8528" s="43">
        <f>IF($I8528=0,0,IF(INDEX(DarlOhneTilgung,18)=1,0,IF(AND(INDEX(DarlTilgStart,18)&gt;0,$E8528=INDEX(DarlTilgStart,18)),$J8528*($H8528+INDEX(DarlTilgung,18))/100/12,IF(AND($G8528=0,$G8527=1),MAX($K8527,$J8528*($H8528+1)/100/12),$K8527))))</f>
      </c>
      <c r="L8528" s="43">
        <f>IF($I8528=0,0,$J8528*$H8528/100/12)</f>
      </c>
      <c r="M8528" s="43">
        <f>IF($I8528=0,0,IF(OR(INDEX(DarlOhneTilgung,18)=1,AND(INDEX(DarlTilgStart,18)&gt;0,$E8528&lt;INDEX(DarlTilgStart,18))),0,MIN(MAX(0,$K8528-$L8528),$J8528)))</f>
      </c>
      <c r="N8528" s="43">
        <f>IF($I8528=0,0,MIN(SUMIFS(SondBetrag,SondDarl,18,SondDatum,"&gt;="&amp;$E8528,SondDatum,"&lt;="&amp;EOMONTH($E8528,0)),$J8528-$M8528))</f>
      </c>
      <c r="O8528" s="43">
        <f>IF($I8528=0,0,INDEX(DarlErsatzRate,18))</f>
      </c>
      <c r="P8528" s="43">
        <f>IF($I8528=0,0,$Q8527*INDEX(DarlErsatzZins,18))</f>
      </c>
      <c r="Q8528" s="43">
        <f>IF($I8528=0,0,$Q8527+$P8528+$O8528)</f>
      </c>
      <c r="R8528" s="43">
        <f>IF($I8528=0,0,$J8528-$M8528-$N8528)</f>
      </c>
    </row>
    <row r="8529">
      <c r="A8529"/>
      <c r="B8529">
        <v>18</v>
      </c>
      <c r="C8529" s="43">
        <f>INDEX(DarlObj,18)</f>
      </c>
      <c r="D8529">
        <v>366</v>
      </c>
      <c r="E8529" s="51">
        <f>IF(INDEX(DarlBelegt,18)=0,0,EOMONTH(INDEX(DarlAuszahlung,18),365)+1)</f>
      </c>
      <c r="F8529" s="43">
        <f>IF($E8529=0,0,YEAR($E8529))</f>
      </c>
      <c r="G8529" s="43">
        <f>IF(INDEX(DarlBindung,18)="",1,IF($E8529&lt;=INDEX(DarlBindung,18),1,0))</f>
      </c>
      <c r="H8529" s="43">
        <f>IF($G8529=1,INDEX(DarlSollzins,18),INDEX(DarlAnschluss,18))</f>
      </c>
      <c r="I8529" s="43">
        <f>IF(INDEX(DarlBelegt,18)=0,0,IF(INDEX(DarlOhneTilgung,18)=1,IF(INDEX(DarlBindung,18)="",1,$G8529),IF($J8529&gt;0.005,1,0)))</f>
      </c>
      <c r="J8529" s="43">
        <f>IF($I8528=0,0,$R8528)</f>
      </c>
      <c r="K8529" s="43">
        <f>IF($I8529=0,0,IF(INDEX(DarlOhneTilgung,18)=1,0,IF(AND(INDEX(DarlTilgStart,18)&gt;0,$E8529=INDEX(DarlTilgStart,18)),$J8529*($H8529+INDEX(DarlTilgung,18))/100/12,IF(AND($G8529=0,$G8528=1),MAX($K8528,$J8529*($H8529+1)/100/12),$K8528))))</f>
      </c>
      <c r="L8529" s="43">
        <f>IF($I8529=0,0,$J8529*$H8529/100/12)</f>
      </c>
      <c r="M8529" s="43">
        <f>IF($I8529=0,0,IF(OR(INDEX(DarlOhneTilgung,18)=1,AND(INDEX(DarlTilgStart,18)&gt;0,$E8529&lt;INDEX(DarlTilgStart,18))),0,MIN(MAX(0,$K8529-$L8529),$J8529)))</f>
      </c>
      <c r="N8529" s="43">
        <f>IF($I8529=0,0,MIN(SUMIFS(SondBetrag,SondDarl,18,SondDatum,"&gt;="&amp;$E8529,SondDatum,"&lt;="&amp;EOMONTH($E8529,0)),$J8529-$M8529))</f>
      </c>
      <c r="O8529" s="43">
        <f>IF($I8529=0,0,INDEX(DarlErsatzRate,18))</f>
      </c>
      <c r="P8529" s="43">
        <f>IF($I8529=0,0,$Q8528*INDEX(DarlErsatzZins,18))</f>
      </c>
      <c r="Q8529" s="43">
        <f>IF($I8529=0,0,$Q8528+$P8529+$O8529)</f>
      </c>
      <c r="R8529" s="43">
        <f>IF($I8529=0,0,$J8529-$M8529-$N8529)</f>
      </c>
    </row>
    <row r="8530">
      <c r="A8530"/>
      <c r="B8530">
        <v>18</v>
      </c>
      <c r="C8530" s="43">
        <f>INDEX(DarlObj,18)</f>
      </c>
      <c r="D8530">
        <v>367</v>
      </c>
      <c r="E8530" s="51">
        <f>IF(INDEX(DarlBelegt,18)=0,0,EOMONTH(INDEX(DarlAuszahlung,18),366)+1)</f>
      </c>
      <c r="F8530" s="43">
        <f>IF($E8530=0,0,YEAR($E8530))</f>
      </c>
      <c r="G8530" s="43">
        <f>IF(INDEX(DarlBindung,18)="",1,IF($E8530&lt;=INDEX(DarlBindung,18),1,0))</f>
      </c>
      <c r="H8530" s="43">
        <f>IF($G8530=1,INDEX(DarlSollzins,18),INDEX(DarlAnschluss,18))</f>
      </c>
      <c r="I8530" s="43">
        <f>IF(INDEX(DarlBelegt,18)=0,0,IF(INDEX(DarlOhneTilgung,18)=1,IF(INDEX(DarlBindung,18)="",1,$G8530),IF($J8530&gt;0.005,1,0)))</f>
      </c>
      <c r="J8530" s="43">
        <f>IF($I8529=0,0,$R8529)</f>
      </c>
      <c r="K8530" s="43">
        <f>IF($I8530=0,0,IF(INDEX(DarlOhneTilgung,18)=1,0,IF(AND(INDEX(DarlTilgStart,18)&gt;0,$E8530=INDEX(DarlTilgStart,18)),$J8530*($H8530+INDEX(DarlTilgung,18))/100/12,IF(AND($G8530=0,$G8529=1),MAX($K8529,$J8530*($H8530+1)/100/12),$K8529))))</f>
      </c>
      <c r="L8530" s="43">
        <f>IF($I8530=0,0,$J8530*$H8530/100/12)</f>
      </c>
      <c r="M8530" s="43">
        <f>IF($I8530=0,0,IF(OR(INDEX(DarlOhneTilgung,18)=1,AND(INDEX(DarlTilgStart,18)&gt;0,$E8530&lt;INDEX(DarlTilgStart,18))),0,MIN(MAX(0,$K8530-$L8530),$J8530)))</f>
      </c>
      <c r="N8530" s="43">
        <f>IF($I8530=0,0,MIN(SUMIFS(SondBetrag,SondDarl,18,SondDatum,"&gt;="&amp;$E8530,SondDatum,"&lt;="&amp;EOMONTH($E8530,0)),$J8530-$M8530))</f>
      </c>
      <c r="O8530" s="43">
        <f>IF($I8530=0,0,INDEX(DarlErsatzRate,18))</f>
      </c>
      <c r="P8530" s="43">
        <f>IF($I8530=0,0,$Q8529*INDEX(DarlErsatzZins,18))</f>
      </c>
      <c r="Q8530" s="43">
        <f>IF($I8530=0,0,$Q8529+$P8530+$O8530)</f>
      </c>
      <c r="R8530" s="43">
        <f>IF($I8530=0,0,$J8530-$M8530-$N8530)</f>
      </c>
    </row>
    <row r="8531">
      <c r="A8531"/>
      <c r="B8531">
        <v>18</v>
      </c>
      <c r="C8531" s="43">
        <f>INDEX(DarlObj,18)</f>
      </c>
      <c r="D8531">
        <v>368</v>
      </c>
      <c r="E8531" s="51">
        <f>IF(INDEX(DarlBelegt,18)=0,0,EOMONTH(INDEX(DarlAuszahlung,18),367)+1)</f>
      </c>
      <c r="F8531" s="43">
        <f>IF($E8531=0,0,YEAR($E8531))</f>
      </c>
      <c r="G8531" s="43">
        <f>IF(INDEX(DarlBindung,18)="",1,IF($E8531&lt;=INDEX(DarlBindung,18),1,0))</f>
      </c>
      <c r="H8531" s="43">
        <f>IF($G8531=1,INDEX(DarlSollzins,18),INDEX(DarlAnschluss,18))</f>
      </c>
      <c r="I8531" s="43">
        <f>IF(INDEX(DarlBelegt,18)=0,0,IF(INDEX(DarlOhneTilgung,18)=1,IF(INDEX(DarlBindung,18)="",1,$G8531),IF($J8531&gt;0.005,1,0)))</f>
      </c>
      <c r="J8531" s="43">
        <f>IF($I8530=0,0,$R8530)</f>
      </c>
      <c r="K8531" s="43">
        <f>IF($I8531=0,0,IF(INDEX(DarlOhneTilgung,18)=1,0,IF(AND(INDEX(DarlTilgStart,18)&gt;0,$E8531=INDEX(DarlTilgStart,18)),$J8531*($H8531+INDEX(DarlTilgung,18))/100/12,IF(AND($G8531=0,$G8530=1),MAX($K8530,$J8531*($H8531+1)/100/12),$K8530))))</f>
      </c>
      <c r="L8531" s="43">
        <f>IF($I8531=0,0,$J8531*$H8531/100/12)</f>
      </c>
      <c r="M8531" s="43">
        <f>IF($I8531=0,0,IF(OR(INDEX(DarlOhneTilgung,18)=1,AND(INDEX(DarlTilgStart,18)&gt;0,$E8531&lt;INDEX(DarlTilgStart,18))),0,MIN(MAX(0,$K8531-$L8531),$J8531)))</f>
      </c>
      <c r="N8531" s="43">
        <f>IF($I8531=0,0,MIN(SUMIFS(SondBetrag,SondDarl,18,SondDatum,"&gt;="&amp;$E8531,SondDatum,"&lt;="&amp;EOMONTH($E8531,0)),$J8531-$M8531))</f>
      </c>
      <c r="O8531" s="43">
        <f>IF($I8531=0,0,INDEX(DarlErsatzRate,18))</f>
      </c>
      <c r="P8531" s="43">
        <f>IF($I8531=0,0,$Q8530*INDEX(DarlErsatzZins,18))</f>
      </c>
      <c r="Q8531" s="43">
        <f>IF($I8531=0,0,$Q8530+$P8531+$O8531)</f>
      </c>
      <c r="R8531" s="43">
        <f>IF($I8531=0,0,$J8531-$M8531-$N8531)</f>
      </c>
    </row>
    <row r="8532">
      <c r="A8532"/>
      <c r="B8532">
        <v>18</v>
      </c>
      <c r="C8532" s="43">
        <f>INDEX(DarlObj,18)</f>
      </c>
      <c r="D8532">
        <v>369</v>
      </c>
      <c r="E8532" s="51">
        <f>IF(INDEX(DarlBelegt,18)=0,0,EOMONTH(INDEX(DarlAuszahlung,18),368)+1)</f>
      </c>
      <c r="F8532" s="43">
        <f>IF($E8532=0,0,YEAR($E8532))</f>
      </c>
      <c r="G8532" s="43">
        <f>IF(INDEX(DarlBindung,18)="",1,IF($E8532&lt;=INDEX(DarlBindung,18),1,0))</f>
      </c>
      <c r="H8532" s="43">
        <f>IF($G8532=1,INDEX(DarlSollzins,18),INDEX(DarlAnschluss,18))</f>
      </c>
      <c r="I8532" s="43">
        <f>IF(INDEX(DarlBelegt,18)=0,0,IF(INDEX(DarlOhneTilgung,18)=1,IF(INDEX(DarlBindung,18)="",1,$G8532),IF($J8532&gt;0.005,1,0)))</f>
      </c>
      <c r="J8532" s="43">
        <f>IF($I8531=0,0,$R8531)</f>
      </c>
      <c r="K8532" s="43">
        <f>IF($I8532=0,0,IF(INDEX(DarlOhneTilgung,18)=1,0,IF(AND(INDEX(DarlTilgStart,18)&gt;0,$E8532=INDEX(DarlTilgStart,18)),$J8532*($H8532+INDEX(DarlTilgung,18))/100/12,IF(AND($G8532=0,$G8531=1),MAX($K8531,$J8532*($H8532+1)/100/12),$K8531))))</f>
      </c>
      <c r="L8532" s="43">
        <f>IF($I8532=0,0,$J8532*$H8532/100/12)</f>
      </c>
      <c r="M8532" s="43">
        <f>IF($I8532=0,0,IF(OR(INDEX(DarlOhneTilgung,18)=1,AND(INDEX(DarlTilgStart,18)&gt;0,$E8532&lt;INDEX(DarlTilgStart,18))),0,MIN(MAX(0,$K8532-$L8532),$J8532)))</f>
      </c>
      <c r="N8532" s="43">
        <f>IF($I8532=0,0,MIN(SUMIFS(SondBetrag,SondDarl,18,SondDatum,"&gt;="&amp;$E8532,SondDatum,"&lt;="&amp;EOMONTH($E8532,0)),$J8532-$M8532))</f>
      </c>
      <c r="O8532" s="43">
        <f>IF($I8532=0,0,INDEX(DarlErsatzRate,18))</f>
      </c>
      <c r="P8532" s="43">
        <f>IF($I8532=0,0,$Q8531*INDEX(DarlErsatzZins,18))</f>
      </c>
      <c r="Q8532" s="43">
        <f>IF($I8532=0,0,$Q8531+$P8532+$O8532)</f>
      </c>
      <c r="R8532" s="43">
        <f>IF($I8532=0,0,$J8532-$M8532-$N8532)</f>
      </c>
    </row>
    <row r="8533">
      <c r="A8533"/>
      <c r="B8533">
        <v>18</v>
      </c>
      <c r="C8533" s="43">
        <f>INDEX(DarlObj,18)</f>
      </c>
      <c r="D8533">
        <v>370</v>
      </c>
      <c r="E8533" s="51">
        <f>IF(INDEX(DarlBelegt,18)=0,0,EOMONTH(INDEX(DarlAuszahlung,18),369)+1)</f>
      </c>
      <c r="F8533" s="43">
        <f>IF($E8533=0,0,YEAR($E8533))</f>
      </c>
      <c r="G8533" s="43">
        <f>IF(INDEX(DarlBindung,18)="",1,IF($E8533&lt;=INDEX(DarlBindung,18),1,0))</f>
      </c>
      <c r="H8533" s="43">
        <f>IF($G8533=1,INDEX(DarlSollzins,18),INDEX(DarlAnschluss,18))</f>
      </c>
      <c r="I8533" s="43">
        <f>IF(INDEX(DarlBelegt,18)=0,0,IF(INDEX(DarlOhneTilgung,18)=1,IF(INDEX(DarlBindung,18)="",1,$G8533),IF($J8533&gt;0.005,1,0)))</f>
      </c>
      <c r="J8533" s="43">
        <f>IF($I8532=0,0,$R8532)</f>
      </c>
      <c r="K8533" s="43">
        <f>IF($I8533=0,0,IF(INDEX(DarlOhneTilgung,18)=1,0,IF(AND(INDEX(DarlTilgStart,18)&gt;0,$E8533=INDEX(DarlTilgStart,18)),$J8533*($H8533+INDEX(DarlTilgung,18))/100/12,IF(AND($G8533=0,$G8532=1),MAX($K8532,$J8533*($H8533+1)/100/12),$K8532))))</f>
      </c>
      <c r="L8533" s="43">
        <f>IF($I8533=0,0,$J8533*$H8533/100/12)</f>
      </c>
      <c r="M8533" s="43">
        <f>IF($I8533=0,0,IF(OR(INDEX(DarlOhneTilgung,18)=1,AND(INDEX(DarlTilgStart,18)&gt;0,$E8533&lt;INDEX(DarlTilgStart,18))),0,MIN(MAX(0,$K8533-$L8533),$J8533)))</f>
      </c>
      <c r="N8533" s="43">
        <f>IF($I8533=0,0,MIN(SUMIFS(SondBetrag,SondDarl,18,SondDatum,"&gt;="&amp;$E8533,SondDatum,"&lt;="&amp;EOMONTH($E8533,0)),$J8533-$M8533))</f>
      </c>
      <c r="O8533" s="43">
        <f>IF($I8533=0,0,INDEX(DarlErsatzRate,18))</f>
      </c>
      <c r="P8533" s="43">
        <f>IF($I8533=0,0,$Q8532*INDEX(DarlErsatzZins,18))</f>
      </c>
      <c r="Q8533" s="43">
        <f>IF($I8533=0,0,$Q8532+$P8533+$O8533)</f>
      </c>
      <c r="R8533" s="43">
        <f>IF($I8533=0,0,$J8533-$M8533-$N8533)</f>
      </c>
    </row>
    <row r="8534">
      <c r="A8534"/>
      <c r="B8534">
        <v>18</v>
      </c>
      <c r="C8534" s="43">
        <f>INDEX(DarlObj,18)</f>
      </c>
      <c r="D8534">
        <v>371</v>
      </c>
      <c r="E8534" s="51">
        <f>IF(INDEX(DarlBelegt,18)=0,0,EOMONTH(INDEX(DarlAuszahlung,18),370)+1)</f>
      </c>
      <c r="F8534" s="43">
        <f>IF($E8534=0,0,YEAR($E8534))</f>
      </c>
      <c r="G8534" s="43">
        <f>IF(INDEX(DarlBindung,18)="",1,IF($E8534&lt;=INDEX(DarlBindung,18),1,0))</f>
      </c>
      <c r="H8534" s="43">
        <f>IF($G8534=1,INDEX(DarlSollzins,18),INDEX(DarlAnschluss,18))</f>
      </c>
      <c r="I8534" s="43">
        <f>IF(INDEX(DarlBelegt,18)=0,0,IF(INDEX(DarlOhneTilgung,18)=1,IF(INDEX(DarlBindung,18)="",1,$G8534),IF($J8534&gt;0.005,1,0)))</f>
      </c>
      <c r="J8534" s="43">
        <f>IF($I8533=0,0,$R8533)</f>
      </c>
      <c r="K8534" s="43">
        <f>IF($I8534=0,0,IF(INDEX(DarlOhneTilgung,18)=1,0,IF(AND(INDEX(DarlTilgStart,18)&gt;0,$E8534=INDEX(DarlTilgStart,18)),$J8534*($H8534+INDEX(DarlTilgung,18))/100/12,IF(AND($G8534=0,$G8533=1),MAX($K8533,$J8534*($H8534+1)/100/12),$K8533))))</f>
      </c>
      <c r="L8534" s="43">
        <f>IF($I8534=0,0,$J8534*$H8534/100/12)</f>
      </c>
      <c r="M8534" s="43">
        <f>IF($I8534=0,0,IF(OR(INDEX(DarlOhneTilgung,18)=1,AND(INDEX(DarlTilgStart,18)&gt;0,$E8534&lt;INDEX(DarlTilgStart,18))),0,MIN(MAX(0,$K8534-$L8534),$J8534)))</f>
      </c>
      <c r="N8534" s="43">
        <f>IF($I8534=0,0,MIN(SUMIFS(SondBetrag,SondDarl,18,SondDatum,"&gt;="&amp;$E8534,SondDatum,"&lt;="&amp;EOMONTH($E8534,0)),$J8534-$M8534))</f>
      </c>
      <c r="O8534" s="43">
        <f>IF($I8534=0,0,INDEX(DarlErsatzRate,18))</f>
      </c>
      <c r="P8534" s="43">
        <f>IF($I8534=0,0,$Q8533*INDEX(DarlErsatzZins,18))</f>
      </c>
      <c r="Q8534" s="43">
        <f>IF($I8534=0,0,$Q8533+$P8534+$O8534)</f>
      </c>
      <c r="R8534" s="43">
        <f>IF($I8534=0,0,$J8534-$M8534-$N8534)</f>
      </c>
    </row>
    <row r="8535">
      <c r="A8535"/>
      <c r="B8535">
        <v>18</v>
      </c>
      <c r="C8535" s="43">
        <f>INDEX(DarlObj,18)</f>
      </c>
      <c r="D8535">
        <v>372</v>
      </c>
      <c r="E8535" s="51">
        <f>IF(INDEX(DarlBelegt,18)=0,0,EOMONTH(INDEX(DarlAuszahlung,18),371)+1)</f>
      </c>
      <c r="F8535" s="43">
        <f>IF($E8535=0,0,YEAR($E8535))</f>
      </c>
      <c r="G8535" s="43">
        <f>IF(INDEX(DarlBindung,18)="",1,IF($E8535&lt;=INDEX(DarlBindung,18),1,0))</f>
      </c>
      <c r="H8535" s="43">
        <f>IF($G8535=1,INDEX(DarlSollzins,18),INDEX(DarlAnschluss,18))</f>
      </c>
      <c r="I8535" s="43">
        <f>IF(INDEX(DarlBelegt,18)=0,0,IF(INDEX(DarlOhneTilgung,18)=1,IF(INDEX(DarlBindung,18)="",1,$G8535),IF($J8535&gt;0.005,1,0)))</f>
      </c>
      <c r="J8535" s="43">
        <f>IF($I8534=0,0,$R8534)</f>
      </c>
      <c r="K8535" s="43">
        <f>IF($I8535=0,0,IF(INDEX(DarlOhneTilgung,18)=1,0,IF(AND(INDEX(DarlTilgStart,18)&gt;0,$E8535=INDEX(DarlTilgStart,18)),$J8535*($H8535+INDEX(DarlTilgung,18))/100/12,IF(AND($G8535=0,$G8534=1),MAX($K8534,$J8535*($H8535+1)/100/12),$K8534))))</f>
      </c>
      <c r="L8535" s="43">
        <f>IF($I8535=0,0,$J8535*$H8535/100/12)</f>
      </c>
      <c r="M8535" s="43">
        <f>IF($I8535=0,0,IF(OR(INDEX(DarlOhneTilgung,18)=1,AND(INDEX(DarlTilgStart,18)&gt;0,$E8535&lt;INDEX(DarlTilgStart,18))),0,MIN(MAX(0,$K8535-$L8535),$J8535)))</f>
      </c>
      <c r="N8535" s="43">
        <f>IF($I8535=0,0,MIN(SUMIFS(SondBetrag,SondDarl,18,SondDatum,"&gt;="&amp;$E8535,SondDatum,"&lt;="&amp;EOMONTH($E8535,0)),$J8535-$M8535))</f>
      </c>
      <c r="O8535" s="43">
        <f>IF($I8535=0,0,INDEX(DarlErsatzRate,18))</f>
      </c>
      <c r="P8535" s="43">
        <f>IF($I8535=0,0,$Q8534*INDEX(DarlErsatzZins,18))</f>
      </c>
      <c r="Q8535" s="43">
        <f>IF($I8535=0,0,$Q8534+$P8535+$O8535)</f>
      </c>
      <c r="R8535" s="43">
        <f>IF($I8535=0,0,$J8535-$M8535-$N8535)</f>
      </c>
    </row>
    <row r="8536">
      <c r="A8536"/>
      <c r="B8536">
        <v>18</v>
      </c>
      <c r="C8536" s="43">
        <f>INDEX(DarlObj,18)</f>
      </c>
      <c r="D8536">
        <v>373</v>
      </c>
      <c r="E8536" s="51">
        <f>IF(INDEX(DarlBelegt,18)=0,0,EOMONTH(INDEX(DarlAuszahlung,18),372)+1)</f>
      </c>
      <c r="F8536" s="43">
        <f>IF($E8536=0,0,YEAR($E8536))</f>
      </c>
      <c r="G8536" s="43">
        <f>IF(INDEX(DarlBindung,18)="",1,IF($E8536&lt;=INDEX(DarlBindung,18),1,0))</f>
      </c>
      <c r="H8536" s="43">
        <f>IF($G8536=1,INDEX(DarlSollzins,18),INDEX(DarlAnschluss,18))</f>
      </c>
      <c r="I8536" s="43">
        <f>IF(INDEX(DarlBelegt,18)=0,0,IF(INDEX(DarlOhneTilgung,18)=1,IF(INDEX(DarlBindung,18)="",1,$G8536),IF($J8536&gt;0.005,1,0)))</f>
      </c>
      <c r="J8536" s="43">
        <f>IF($I8535=0,0,$R8535)</f>
      </c>
      <c r="K8536" s="43">
        <f>IF($I8536=0,0,IF(INDEX(DarlOhneTilgung,18)=1,0,IF(AND(INDEX(DarlTilgStart,18)&gt;0,$E8536=INDEX(DarlTilgStart,18)),$J8536*($H8536+INDEX(DarlTilgung,18))/100/12,IF(AND($G8536=0,$G8535=1),MAX($K8535,$J8536*($H8536+1)/100/12),$K8535))))</f>
      </c>
      <c r="L8536" s="43">
        <f>IF($I8536=0,0,$J8536*$H8536/100/12)</f>
      </c>
      <c r="M8536" s="43">
        <f>IF($I8536=0,0,IF(OR(INDEX(DarlOhneTilgung,18)=1,AND(INDEX(DarlTilgStart,18)&gt;0,$E8536&lt;INDEX(DarlTilgStart,18))),0,MIN(MAX(0,$K8536-$L8536),$J8536)))</f>
      </c>
      <c r="N8536" s="43">
        <f>IF($I8536=0,0,MIN(SUMIFS(SondBetrag,SondDarl,18,SondDatum,"&gt;="&amp;$E8536,SondDatum,"&lt;="&amp;EOMONTH($E8536,0)),$J8536-$M8536))</f>
      </c>
      <c r="O8536" s="43">
        <f>IF($I8536=0,0,INDEX(DarlErsatzRate,18))</f>
      </c>
      <c r="P8536" s="43">
        <f>IF($I8536=0,0,$Q8535*INDEX(DarlErsatzZins,18))</f>
      </c>
      <c r="Q8536" s="43">
        <f>IF($I8536=0,0,$Q8535+$P8536+$O8536)</f>
      </c>
      <c r="R8536" s="43">
        <f>IF($I8536=0,0,$J8536-$M8536-$N8536)</f>
      </c>
    </row>
    <row r="8537">
      <c r="A8537"/>
      <c r="B8537">
        <v>18</v>
      </c>
      <c r="C8537" s="43">
        <f>INDEX(DarlObj,18)</f>
      </c>
      <c r="D8537">
        <v>374</v>
      </c>
      <c r="E8537" s="51">
        <f>IF(INDEX(DarlBelegt,18)=0,0,EOMONTH(INDEX(DarlAuszahlung,18),373)+1)</f>
      </c>
      <c r="F8537" s="43">
        <f>IF($E8537=0,0,YEAR($E8537))</f>
      </c>
      <c r="G8537" s="43">
        <f>IF(INDEX(DarlBindung,18)="",1,IF($E8537&lt;=INDEX(DarlBindung,18),1,0))</f>
      </c>
      <c r="H8537" s="43">
        <f>IF($G8537=1,INDEX(DarlSollzins,18),INDEX(DarlAnschluss,18))</f>
      </c>
      <c r="I8537" s="43">
        <f>IF(INDEX(DarlBelegt,18)=0,0,IF(INDEX(DarlOhneTilgung,18)=1,IF(INDEX(DarlBindung,18)="",1,$G8537),IF($J8537&gt;0.005,1,0)))</f>
      </c>
      <c r="J8537" s="43">
        <f>IF($I8536=0,0,$R8536)</f>
      </c>
      <c r="K8537" s="43">
        <f>IF($I8537=0,0,IF(INDEX(DarlOhneTilgung,18)=1,0,IF(AND(INDEX(DarlTilgStart,18)&gt;0,$E8537=INDEX(DarlTilgStart,18)),$J8537*($H8537+INDEX(DarlTilgung,18))/100/12,IF(AND($G8537=0,$G8536=1),MAX($K8536,$J8537*($H8537+1)/100/12),$K8536))))</f>
      </c>
      <c r="L8537" s="43">
        <f>IF($I8537=0,0,$J8537*$H8537/100/12)</f>
      </c>
      <c r="M8537" s="43">
        <f>IF($I8537=0,0,IF(OR(INDEX(DarlOhneTilgung,18)=1,AND(INDEX(DarlTilgStart,18)&gt;0,$E8537&lt;INDEX(DarlTilgStart,18))),0,MIN(MAX(0,$K8537-$L8537),$J8537)))</f>
      </c>
      <c r="N8537" s="43">
        <f>IF($I8537=0,0,MIN(SUMIFS(SondBetrag,SondDarl,18,SondDatum,"&gt;="&amp;$E8537,SondDatum,"&lt;="&amp;EOMONTH($E8537,0)),$J8537-$M8537))</f>
      </c>
      <c r="O8537" s="43">
        <f>IF($I8537=0,0,INDEX(DarlErsatzRate,18))</f>
      </c>
      <c r="P8537" s="43">
        <f>IF($I8537=0,0,$Q8536*INDEX(DarlErsatzZins,18))</f>
      </c>
      <c r="Q8537" s="43">
        <f>IF($I8537=0,0,$Q8536+$P8537+$O8537)</f>
      </c>
      <c r="R8537" s="43">
        <f>IF($I8537=0,0,$J8537-$M8537-$N8537)</f>
      </c>
    </row>
    <row r="8538">
      <c r="A8538"/>
      <c r="B8538">
        <v>18</v>
      </c>
      <c r="C8538" s="43">
        <f>INDEX(DarlObj,18)</f>
      </c>
      <c r="D8538">
        <v>375</v>
      </c>
      <c r="E8538" s="51">
        <f>IF(INDEX(DarlBelegt,18)=0,0,EOMONTH(INDEX(DarlAuszahlung,18),374)+1)</f>
      </c>
      <c r="F8538" s="43">
        <f>IF($E8538=0,0,YEAR($E8538))</f>
      </c>
      <c r="G8538" s="43">
        <f>IF(INDEX(DarlBindung,18)="",1,IF($E8538&lt;=INDEX(DarlBindung,18),1,0))</f>
      </c>
      <c r="H8538" s="43">
        <f>IF($G8538=1,INDEX(DarlSollzins,18),INDEX(DarlAnschluss,18))</f>
      </c>
      <c r="I8538" s="43">
        <f>IF(INDEX(DarlBelegt,18)=0,0,IF(INDEX(DarlOhneTilgung,18)=1,IF(INDEX(DarlBindung,18)="",1,$G8538),IF($J8538&gt;0.005,1,0)))</f>
      </c>
      <c r="J8538" s="43">
        <f>IF($I8537=0,0,$R8537)</f>
      </c>
      <c r="K8538" s="43">
        <f>IF($I8538=0,0,IF(INDEX(DarlOhneTilgung,18)=1,0,IF(AND(INDEX(DarlTilgStart,18)&gt;0,$E8538=INDEX(DarlTilgStart,18)),$J8538*($H8538+INDEX(DarlTilgung,18))/100/12,IF(AND($G8538=0,$G8537=1),MAX($K8537,$J8538*($H8538+1)/100/12),$K8537))))</f>
      </c>
      <c r="L8538" s="43">
        <f>IF($I8538=0,0,$J8538*$H8538/100/12)</f>
      </c>
      <c r="M8538" s="43">
        <f>IF($I8538=0,0,IF(OR(INDEX(DarlOhneTilgung,18)=1,AND(INDEX(DarlTilgStart,18)&gt;0,$E8538&lt;INDEX(DarlTilgStart,18))),0,MIN(MAX(0,$K8538-$L8538),$J8538)))</f>
      </c>
      <c r="N8538" s="43">
        <f>IF($I8538=0,0,MIN(SUMIFS(SondBetrag,SondDarl,18,SondDatum,"&gt;="&amp;$E8538,SondDatum,"&lt;="&amp;EOMONTH($E8538,0)),$J8538-$M8538))</f>
      </c>
      <c r="O8538" s="43">
        <f>IF($I8538=0,0,INDEX(DarlErsatzRate,18))</f>
      </c>
      <c r="P8538" s="43">
        <f>IF($I8538=0,0,$Q8537*INDEX(DarlErsatzZins,18))</f>
      </c>
      <c r="Q8538" s="43">
        <f>IF($I8538=0,0,$Q8537+$P8538+$O8538)</f>
      </c>
      <c r="R8538" s="43">
        <f>IF($I8538=0,0,$J8538-$M8538-$N8538)</f>
      </c>
    </row>
    <row r="8539">
      <c r="A8539"/>
      <c r="B8539">
        <v>18</v>
      </c>
      <c r="C8539" s="43">
        <f>INDEX(DarlObj,18)</f>
      </c>
      <c r="D8539">
        <v>376</v>
      </c>
      <c r="E8539" s="51">
        <f>IF(INDEX(DarlBelegt,18)=0,0,EOMONTH(INDEX(DarlAuszahlung,18),375)+1)</f>
      </c>
      <c r="F8539" s="43">
        <f>IF($E8539=0,0,YEAR($E8539))</f>
      </c>
      <c r="G8539" s="43">
        <f>IF(INDEX(DarlBindung,18)="",1,IF($E8539&lt;=INDEX(DarlBindung,18),1,0))</f>
      </c>
      <c r="H8539" s="43">
        <f>IF($G8539=1,INDEX(DarlSollzins,18),INDEX(DarlAnschluss,18))</f>
      </c>
      <c r="I8539" s="43">
        <f>IF(INDEX(DarlBelegt,18)=0,0,IF(INDEX(DarlOhneTilgung,18)=1,IF(INDEX(DarlBindung,18)="",1,$G8539),IF($J8539&gt;0.005,1,0)))</f>
      </c>
      <c r="J8539" s="43">
        <f>IF($I8538=0,0,$R8538)</f>
      </c>
      <c r="K8539" s="43">
        <f>IF($I8539=0,0,IF(INDEX(DarlOhneTilgung,18)=1,0,IF(AND(INDEX(DarlTilgStart,18)&gt;0,$E8539=INDEX(DarlTilgStart,18)),$J8539*($H8539+INDEX(DarlTilgung,18))/100/12,IF(AND($G8539=0,$G8538=1),MAX($K8538,$J8539*($H8539+1)/100/12),$K8538))))</f>
      </c>
      <c r="L8539" s="43">
        <f>IF($I8539=0,0,$J8539*$H8539/100/12)</f>
      </c>
      <c r="M8539" s="43">
        <f>IF($I8539=0,0,IF(OR(INDEX(DarlOhneTilgung,18)=1,AND(INDEX(DarlTilgStart,18)&gt;0,$E8539&lt;INDEX(DarlTilgStart,18))),0,MIN(MAX(0,$K8539-$L8539),$J8539)))</f>
      </c>
      <c r="N8539" s="43">
        <f>IF($I8539=0,0,MIN(SUMIFS(SondBetrag,SondDarl,18,SondDatum,"&gt;="&amp;$E8539,SondDatum,"&lt;="&amp;EOMONTH($E8539,0)),$J8539-$M8539))</f>
      </c>
      <c r="O8539" s="43">
        <f>IF($I8539=0,0,INDEX(DarlErsatzRate,18))</f>
      </c>
      <c r="P8539" s="43">
        <f>IF($I8539=0,0,$Q8538*INDEX(DarlErsatzZins,18))</f>
      </c>
      <c r="Q8539" s="43">
        <f>IF($I8539=0,0,$Q8538+$P8539+$O8539)</f>
      </c>
      <c r="R8539" s="43">
        <f>IF($I8539=0,0,$J8539-$M8539-$N8539)</f>
      </c>
    </row>
    <row r="8540">
      <c r="A8540"/>
      <c r="B8540">
        <v>18</v>
      </c>
      <c r="C8540" s="43">
        <f>INDEX(DarlObj,18)</f>
      </c>
      <c r="D8540">
        <v>377</v>
      </c>
      <c r="E8540" s="51">
        <f>IF(INDEX(DarlBelegt,18)=0,0,EOMONTH(INDEX(DarlAuszahlung,18),376)+1)</f>
      </c>
      <c r="F8540" s="43">
        <f>IF($E8540=0,0,YEAR($E8540))</f>
      </c>
      <c r="G8540" s="43">
        <f>IF(INDEX(DarlBindung,18)="",1,IF($E8540&lt;=INDEX(DarlBindung,18),1,0))</f>
      </c>
      <c r="H8540" s="43">
        <f>IF($G8540=1,INDEX(DarlSollzins,18),INDEX(DarlAnschluss,18))</f>
      </c>
      <c r="I8540" s="43">
        <f>IF(INDEX(DarlBelegt,18)=0,0,IF(INDEX(DarlOhneTilgung,18)=1,IF(INDEX(DarlBindung,18)="",1,$G8540),IF($J8540&gt;0.005,1,0)))</f>
      </c>
      <c r="J8540" s="43">
        <f>IF($I8539=0,0,$R8539)</f>
      </c>
      <c r="K8540" s="43">
        <f>IF($I8540=0,0,IF(INDEX(DarlOhneTilgung,18)=1,0,IF(AND(INDEX(DarlTilgStart,18)&gt;0,$E8540=INDEX(DarlTilgStart,18)),$J8540*($H8540+INDEX(DarlTilgung,18))/100/12,IF(AND($G8540=0,$G8539=1),MAX($K8539,$J8540*($H8540+1)/100/12),$K8539))))</f>
      </c>
      <c r="L8540" s="43">
        <f>IF($I8540=0,0,$J8540*$H8540/100/12)</f>
      </c>
      <c r="M8540" s="43">
        <f>IF($I8540=0,0,IF(OR(INDEX(DarlOhneTilgung,18)=1,AND(INDEX(DarlTilgStart,18)&gt;0,$E8540&lt;INDEX(DarlTilgStart,18))),0,MIN(MAX(0,$K8540-$L8540),$J8540)))</f>
      </c>
      <c r="N8540" s="43">
        <f>IF($I8540=0,0,MIN(SUMIFS(SondBetrag,SondDarl,18,SondDatum,"&gt;="&amp;$E8540,SondDatum,"&lt;="&amp;EOMONTH($E8540,0)),$J8540-$M8540))</f>
      </c>
      <c r="O8540" s="43">
        <f>IF($I8540=0,0,INDEX(DarlErsatzRate,18))</f>
      </c>
      <c r="P8540" s="43">
        <f>IF($I8540=0,0,$Q8539*INDEX(DarlErsatzZins,18))</f>
      </c>
      <c r="Q8540" s="43">
        <f>IF($I8540=0,0,$Q8539+$P8540+$O8540)</f>
      </c>
      <c r="R8540" s="43">
        <f>IF($I8540=0,0,$J8540-$M8540-$N8540)</f>
      </c>
    </row>
    <row r="8541">
      <c r="A8541"/>
      <c r="B8541">
        <v>18</v>
      </c>
      <c r="C8541" s="43">
        <f>INDEX(DarlObj,18)</f>
      </c>
      <c r="D8541">
        <v>378</v>
      </c>
      <c r="E8541" s="51">
        <f>IF(INDEX(DarlBelegt,18)=0,0,EOMONTH(INDEX(DarlAuszahlung,18),377)+1)</f>
      </c>
      <c r="F8541" s="43">
        <f>IF($E8541=0,0,YEAR($E8541))</f>
      </c>
      <c r="G8541" s="43">
        <f>IF(INDEX(DarlBindung,18)="",1,IF($E8541&lt;=INDEX(DarlBindung,18),1,0))</f>
      </c>
      <c r="H8541" s="43">
        <f>IF($G8541=1,INDEX(DarlSollzins,18),INDEX(DarlAnschluss,18))</f>
      </c>
      <c r="I8541" s="43">
        <f>IF(INDEX(DarlBelegt,18)=0,0,IF(INDEX(DarlOhneTilgung,18)=1,IF(INDEX(DarlBindung,18)="",1,$G8541),IF($J8541&gt;0.005,1,0)))</f>
      </c>
      <c r="J8541" s="43">
        <f>IF($I8540=0,0,$R8540)</f>
      </c>
      <c r="K8541" s="43">
        <f>IF($I8541=0,0,IF(INDEX(DarlOhneTilgung,18)=1,0,IF(AND(INDEX(DarlTilgStart,18)&gt;0,$E8541=INDEX(DarlTilgStart,18)),$J8541*($H8541+INDEX(DarlTilgung,18))/100/12,IF(AND($G8541=0,$G8540=1),MAX($K8540,$J8541*($H8541+1)/100/12),$K8540))))</f>
      </c>
      <c r="L8541" s="43">
        <f>IF($I8541=0,0,$J8541*$H8541/100/12)</f>
      </c>
      <c r="M8541" s="43">
        <f>IF($I8541=0,0,IF(OR(INDEX(DarlOhneTilgung,18)=1,AND(INDEX(DarlTilgStart,18)&gt;0,$E8541&lt;INDEX(DarlTilgStart,18))),0,MIN(MAX(0,$K8541-$L8541),$J8541)))</f>
      </c>
      <c r="N8541" s="43">
        <f>IF($I8541=0,0,MIN(SUMIFS(SondBetrag,SondDarl,18,SondDatum,"&gt;="&amp;$E8541,SondDatum,"&lt;="&amp;EOMONTH($E8541,0)),$J8541-$M8541))</f>
      </c>
      <c r="O8541" s="43">
        <f>IF($I8541=0,0,INDEX(DarlErsatzRate,18))</f>
      </c>
      <c r="P8541" s="43">
        <f>IF($I8541=0,0,$Q8540*INDEX(DarlErsatzZins,18))</f>
      </c>
      <c r="Q8541" s="43">
        <f>IF($I8541=0,0,$Q8540+$P8541+$O8541)</f>
      </c>
      <c r="R8541" s="43">
        <f>IF($I8541=0,0,$J8541-$M8541-$N8541)</f>
      </c>
    </row>
    <row r="8542">
      <c r="A8542"/>
      <c r="B8542">
        <v>18</v>
      </c>
      <c r="C8542" s="43">
        <f>INDEX(DarlObj,18)</f>
      </c>
      <c r="D8542">
        <v>379</v>
      </c>
      <c r="E8542" s="51">
        <f>IF(INDEX(DarlBelegt,18)=0,0,EOMONTH(INDEX(DarlAuszahlung,18),378)+1)</f>
      </c>
      <c r="F8542" s="43">
        <f>IF($E8542=0,0,YEAR($E8542))</f>
      </c>
      <c r="G8542" s="43">
        <f>IF(INDEX(DarlBindung,18)="",1,IF($E8542&lt;=INDEX(DarlBindung,18),1,0))</f>
      </c>
      <c r="H8542" s="43">
        <f>IF($G8542=1,INDEX(DarlSollzins,18),INDEX(DarlAnschluss,18))</f>
      </c>
      <c r="I8542" s="43">
        <f>IF(INDEX(DarlBelegt,18)=0,0,IF(INDEX(DarlOhneTilgung,18)=1,IF(INDEX(DarlBindung,18)="",1,$G8542),IF($J8542&gt;0.005,1,0)))</f>
      </c>
      <c r="J8542" s="43">
        <f>IF($I8541=0,0,$R8541)</f>
      </c>
      <c r="K8542" s="43">
        <f>IF($I8542=0,0,IF(INDEX(DarlOhneTilgung,18)=1,0,IF(AND(INDEX(DarlTilgStart,18)&gt;0,$E8542=INDEX(DarlTilgStart,18)),$J8542*($H8542+INDEX(DarlTilgung,18))/100/12,IF(AND($G8542=0,$G8541=1),MAX($K8541,$J8542*($H8542+1)/100/12),$K8541))))</f>
      </c>
      <c r="L8542" s="43">
        <f>IF($I8542=0,0,$J8542*$H8542/100/12)</f>
      </c>
      <c r="M8542" s="43">
        <f>IF($I8542=0,0,IF(OR(INDEX(DarlOhneTilgung,18)=1,AND(INDEX(DarlTilgStart,18)&gt;0,$E8542&lt;INDEX(DarlTilgStart,18))),0,MIN(MAX(0,$K8542-$L8542),$J8542)))</f>
      </c>
      <c r="N8542" s="43">
        <f>IF($I8542=0,0,MIN(SUMIFS(SondBetrag,SondDarl,18,SondDatum,"&gt;="&amp;$E8542,SondDatum,"&lt;="&amp;EOMONTH($E8542,0)),$J8542-$M8542))</f>
      </c>
      <c r="O8542" s="43">
        <f>IF($I8542=0,0,INDEX(DarlErsatzRate,18))</f>
      </c>
      <c r="P8542" s="43">
        <f>IF($I8542=0,0,$Q8541*INDEX(DarlErsatzZins,18))</f>
      </c>
      <c r="Q8542" s="43">
        <f>IF($I8542=0,0,$Q8541+$P8542+$O8542)</f>
      </c>
      <c r="R8542" s="43">
        <f>IF($I8542=0,0,$J8542-$M8542-$N8542)</f>
      </c>
    </row>
    <row r="8543">
      <c r="A8543"/>
      <c r="B8543">
        <v>18</v>
      </c>
      <c r="C8543" s="43">
        <f>INDEX(DarlObj,18)</f>
      </c>
      <c r="D8543">
        <v>380</v>
      </c>
      <c r="E8543" s="51">
        <f>IF(INDEX(DarlBelegt,18)=0,0,EOMONTH(INDEX(DarlAuszahlung,18),379)+1)</f>
      </c>
      <c r="F8543" s="43">
        <f>IF($E8543=0,0,YEAR($E8543))</f>
      </c>
      <c r="G8543" s="43">
        <f>IF(INDEX(DarlBindung,18)="",1,IF($E8543&lt;=INDEX(DarlBindung,18),1,0))</f>
      </c>
      <c r="H8543" s="43">
        <f>IF($G8543=1,INDEX(DarlSollzins,18),INDEX(DarlAnschluss,18))</f>
      </c>
      <c r="I8543" s="43">
        <f>IF(INDEX(DarlBelegt,18)=0,0,IF(INDEX(DarlOhneTilgung,18)=1,IF(INDEX(DarlBindung,18)="",1,$G8543),IF($J8543&gt;0.005,1,0)))</f>
      </c>
      <c r="J8543" s="43">
        <f>IF($I8542=0,0,$R8542)</f>
      </c>
      <c r="K8543" s="43">
        <f>IF($I8543=0,0,IF(INDEX(DarlOhneTilgung,18)=1,0,IF(AND(INDEX(DarlTilgStart,18)&gt;0,$E8543=INDEX(DarlTilgStart,18)),$J8543*($H8543+INDEX(DarlTilgung,18))/100/12,IF(AND($G8543=0,$G8542=1),MAX($K8542,$J8543*($H8543+1)/100/12),$K8542))))</f>
      </c>
      <c r="L8543" s="43">
        <f>IF($I8543=0,0,$J8543*$H8543/100/12)</f>
      </c>
      <c r="M8543" s="43">
        <f>IF($I8543=0,0,IF(OR(INDEX(DarlOhneTilgung,18)=1,AND(INDEX(DarlTilgStart,18)&gt;0,$E8543&lt;INDEX(DarlTilgStart,18))),0,MIN(MAX(0,$K8543-$L8543),$J8543)))</f>
      </c>
      <c r="N8543" s="43">
        <f>IF($I8543=0,0,MIN(SUMIFS(SondBetrag,SondDarl,18,SondDatum,"&gt;="&amp;$E8543,SondDatum,"&lt;="&amp;EOMONTH($E8543,0)),$J8543-$M8543))</f>
      </c>
      <c r="O8543" s="43">
        <f>IF($I8543=0,0,INDEX(DarlErsatzRate,18))</f>
      </c>
      <c r="P8543" s="43">
        <f>IF($I8543=0,0,$Q8542*INDEX(DarlErsatzZins,18))</f>
      </c>
      <c r="Q8543" s="43">
        <f>IF($I8543=0,0,$Q8542+$P8543+$O8543)</f>
      </c>
      <c r="R8543" s="43">
        <f>IF($I8543=0,0,$J8543-$M8543-$N8543)</f>
      </c>
    </row>
    <row r="8544">
      <c r="A8544"/>
      <c r="B8544">
        <v>18</v>
      </c>
      <c r="C8544" s="43">
        <f>INDEX(DarlObj,18)</f>
      </c>
      <c r="D8544">
        <v>381</v>
      </c>
      <c r="E8544" s="51">
        <f>IF(INDEX(DarlBelegt,18)=0,0,EOMONTH(INDEX(DarlAuszahlung,18),380)+1)</f>
      </c>
      <c r="F8544" s="43">
        <f>IF($E8544=0,0,YEAR($E8544))</f>
      </c>
      <c r="G8544" s="43">
        <f>IF(INDEX(DarlBindung,18)="",1,IF($E8544&lt;=INDEX(DarlBindung,18),1,0))</f>
      </c>
      <c r="H8544" s="43">
        <f>IF($G8544=1,INDEX(DarlSollzins,18),INDEX(DarlAnschluss,18))</f>
      </c>
      <c r="I8544" s="43">
        <f>IF(INDEX(DarlBelegt,18)=0,0,IF(INDEX(DarlOhneTilgung,18)=1,IF(INDEX(DarlBindung,18)="",1,$G8544),IF($J8544&gt;0.005,1,0)))</f>
      </c>
      <c r="J8544" s="43">
        <f>IF($I8543=0,0,$R8543)</f>
      </c>
      <c r="K8544" s="43">
        <f>IF($I8544=0,0,IF(INDEX(DarlOhneTilgung,18)=1,0,IF(AND(INDEX(DarlTilgStart,18)&gt;0,$E8544=INDEX(DarlTilgStart,18)),$J8544*($H8544+INDEX(DarlTilgung,18))/100/12,IF(AND($G8544=0,$G8543=1),MAX($K8543,$J8544*($H8544+1)/100/12),$K8543))))</f>
      </c>
      <c r="L8544" s="43">
        <f>IF($I8544=0,0,$J8544*$H8544/100/12)</f>
      </c>
      <c r="M8544" s="43">
        <f>IF($I8544=0,0,IF(OR(INDEX(DarlOhneTilgung,18)=1,AND(INDEX(DarlTilgStart,18)&gt;0,$E8544&lt;INDEX(DarlTilgStart,18))),0,MIN(MAX(0,$K8544-$L8544),$J8544)))</f>
      </c>
      <c r="N8544" s="43">
        <f>IF($I8544=0,0,MIN(SUMIFS(SondBetrag,SondDarl,18,SondDatum,"&gt;="&amp;$E8544,SondDatum,"&lt;="&amp;EOMONTH($E8544,0)),$J8544-$M8544))</f>
      </c>
      <c r="O8544" s="43">
        <f>IF($I8544=0,0,INDEX(DarlErsatzRate,18))</f>
      </c>
      <c r="P8544" s="43">
        <f>IF($I8544=0,0,$Q8543*INDEX(DarlErsatzZins,18))</f>
      </c>
      <c r="Q8544" s="43">
        <f>IF($I8544=0,0,$Q8543+$P8544+$O8544)</f>
      </c>
      <c r="R8544" s="43">
        <f>IF($I8544=0,0,$J8544-$M8544-$N8544)</f>
      </c>
    </row>
    <row r="8545">
      <c r="A8545"/>
      <c r="B8545">
        <v>18</v>
      </c>
      <c r="C8545" s="43">
        <f>INDEX(DarlObj,18)</f>
      </c>
      <c r="D8545">
        <v>382</v>
      </c>
      <c r="E8545" s="51">
        <f>IF(INDEX(DarlBelegt,18)=0,0,EOMONTH(INDEX(DarlAuszahlung,18),381)+1)</f>
      </c>
      <c r="F8545" s="43">
        <f>IF($E8545=0,0,YEAR($E8545))</f>
      </c>
      <c r="G8545" s="43">
        <f>IF(INDEX(DarlBindung,18)="",1,IF($E8545&lt;=INDEX(DarlBindung,18),1,0))</f>
      </c>
      <c r="H8545" s="43">
        <f>IF($G8545=1,INDEX(DarlSollzins,18),INDEX(DarlAnschluss,18))</f>
      </c>
      <c r="I8545" s="43">
        <f>IF(INDEX(DarlBelegt,18)=0,0,IF(INDEX(DarlOhneTilgung,18)=1,IF(INDEX(DarlBindung,18)="",1,$G8545),IF($J8545&gt;0.005,1,0)))</f>
      </c>
      <c r="J8545" s="43">
        <f>IF($I8544=0,0,$R8544)</f>
      </c>
      <c r="K8545" s="43">
        <f>IF($I8545=0,0,IF(INDEX(DarlOhneTilgung,18)=1,0,IF(AND(INDEX(DarlTilgStart,18)&gt;0,$E8545=INDEX(DarlTilgStart,18)),$J8545*($H8545+INDEX(DarlTilgung,18))/100/12,IF(AND($G8545=0,$G8544=1),MAX($K8544,$J8545*($H8545+1)/100/12),$K8544))))</f>
      </c>
      <c r="L8545" s="43">
        <f>IF($I8545=0,0,$J8545*$H8545/100/12)</f>
      </c>
      <c r="M8545" s="43">
        <f>IF($I8545=0,0,IF(OR(INDEX(DarlOhneTilgung,18)=1,AND(INDEX(DarlTilgStart,18)&gt;0,$E8545&lt;INDEX(DarlTilgStart,18))),0,MIN(MAX(0,$K8545-$L8545),$J8545)))</f>
      </c>
      <c r="N8545" s="43">
        <f>IF($I8545=0,0,MIN(SUMIFS(SondBetrag,SondDarl,18,SondDatum,"&gt;="&amp;$E8545,SondDatum,"&lt;="&amp;EOMONTH($E8545,0)),$J8545-$M8545))</f>
      </c>
      <c r="O8545" s="43">
        <f>IF($I8545=0,0,INDEX(DarlErsatzRate,18))</f>
      </c>
      <c r="P8545" s="43">
        <f>IF($I8545=0,0,$Q8544*INDEX(DarlErsatzZins,18))</f>
      </c>
      <c r="Q8545" s="43">
        <f>IF($I8545=0,0,$Q8544+$P8545+$O8545)</f>
      </c>
      <c r="R8545" s="43">
        <f>IF($I8545=0,0,$J8545-$M8545-$N8545)</f>
      </c>
    </row>
    <row r="8546">
      <c r="A8546"/>
      <c r="B8546">
        <v>18</v>
      </c>
      <c r="C8546" s="43">
        <f>INDEX(DarlObj,18)</f>
      </c>
      <c r="D8546">
        <v>383</v>
      </c>
      <c r="E8546" s="51">
        <f>IF(INDEX(DarlBelegt,18)=0,0,EOMONTH(INDEX(DarlAuszahlung,18),382)+1)</f>
      </c>
      <c r="F8546" s="43">
        <f>IF($E8546=0,0,YEAR($E8546))</f>
      </c>
      <c r="G8546" s="43">
        <f>IF(INDEX(DarlBindung,18)="",1,IF($E8546&lt;=INDEX(DarlBindung,18),1,0))</f>
      </c>
      <c r="H8546" s="43">
        <f>IF($G8546=1,INDEX(DarlSollzins,18),INDEX(DarlAnschluss,18))</f>
      </c>
      <c r="I8546" s="43">
        <f>IF(INDEX(DarlBelegt,18)=0,0,IF(INDEX(DarlOhneTilgung,18)=1,IF(INDEX(DarlBindung,18)="",1,$G8546),IF($J8546&gt;0.005,1,0)))</f>
      </c>
      <c r="J8546" s="43">
        <f>IF($I8545=0,0,$R8545)</f>
      </c>
      <c r="K8546" s="43">
        <f>IF($I8546=0,0,IF(INDEX(DarlOhneTilgung,18)=1,0,IF(AND(INDEX(DarlTilgStart,18)&gt;0,$E8546=INDEX(DarlTilgStart,18)),$J8546*($H8546+INDEX(DarlTilgung,18))/100/12,IF(AND($G8546=0,$G8545=1),MAX($K8545,$J8546*($H8546+1)/100/12),$K8545))))</f>
      </c>
      <c r="L8546" s="43">
        <f>IF($I8546=0,0,$J8546*$H8546/100/12)</f>
      </c>
      <c r="M8546" s="43">
        <f>IF($I8546=0,0,IF(OR(INDEX(DarlOhneTilgung,18)=1,AND(INDEX(DarlTilgStart,18)&gt;0,$E8546&lt;INDEX(DarlTilgStart,18))),0,MIN(MAX(0,$K8546-$L8546),$J8546)))</f>
      </c>
      <c r="N8546" s="43">
        <f>IF($I8546=0,0,MIN(SUMIFS(SondBetrag,SondDarl,18,SondDatum,"&gt;="&amp;$E8546,SondDatum,"&lt;="&amp;EOMONTH($E8546,0)),$J8546-$M8546))</f>
      </c>
      <c r="O8546" s="43">
        <f>IF($I8546=0,0,INDEX(DarlErsatzRate,18))</f>
      </c>
      <c r="P8546" s="43">
        <f>IF($I8546=0,0,$Q8545*INDEX(DarlErsatzZins,18))</f>
      </c>
      <c r="Q8546" s="43">
        <f>IF($I8546=0,0,$Q8545+$P8546+$O8546)</f>
      </c>
      <c r="R8546" s="43">
        <f>IF($I8546=0,0,$J8546-$M8546-$N8546)</f>
      </c>
    </row>
    <row r="8547">
      <c r="A8547"/>
      <c r="B8547">
        <v>18</v>
      </c>
      <c r="C8547" s="43">
        <f>INDEX(DarlObj,18)</f>
      </c>
      <c r="D8547">
        <v>384</v>
      </c>
      <c r="E8547" s="51">
        <f>IF(INDEX(DarlBelegt,18)=0,0,EOMONTH(INDEX(DarlAuszahlung,18),383)+1)</f>
      </c>
      <c r="F8547" s="43">
        <f>IF($E8547=0,0,YEAR($E8547))</f>
      </c>
      <c r="G8547" s="43">
        <f>IF(INDEX(DarlBindung,18)="",1,IF($E8547&lt;=INDEX(DarlBindung,18),1,0))</f>
      </c>
      <c r="H8547" s="43">
        <f>IF($G8547=1,INDEX(DarlSollzins,18),INDEX(DarlAnschluss,18))</f>
      </c>
      <c r="I8547" s="43">
        <f>IF(INDEX(DarlBelegt,18)=0,0,IF(INDEX(DarlOhneTilgung,18)=1,IF(INDEX(DarlBindung,18)="",1,$G8547),IF($J8547&gt;0.005,1,0)))</f>
      </c>
      <c r="J8547" s="43">
        <f>IF($I8546=0,0,$R8546)</f>
      </c>
      <c r="K8547" s="43">
        <f>IF($I8547=0,0,IF(INDEX(DarlOhneTilgung,18)=1,0,IF(AND(INDEX(DarlTilgStart,18)&gt;0,$E8547=INDEX(DarlTilgStart,18)),$J8547*($H8547+INDEX(DarlTilgung,18))/100/12,IF(AND($G8547=0,$G8546=1),MAX($K8546,$J8547*($H8547+1)/100/12),$K8546))))</f>
      </c>
      <c r="L8547" s="43">
        <f>IF($I8547=0,0,$J8547*$H8547/100/12)</f>
      </c>
      <c r="M8547" s="43">
        <f>IF($I8547=0,0,IF(OR(INDEX(DarlOhneTilgung,18)=1,AND(INDEX(DarlTilgStart,18)&gt;0,$E8547&lt;INDEX(DarlTilgStart,18))),0,MIN(MAX(0,$K8547-$L8547),$J8547)))</f>
      </c>
      <c r="N8547" s="43">
        <f>IF($I8547=0,0,MIN(SUMIFS(SondBetrag,SondDarl,18,SondDatum,"&gt;="&amp;$E8547,SondDatum,"&lt;="&amp;EOMONTH($E8547,0)),$J8547-$M8547))</f>
      </c>
      <c r="O8547" s="43">
        <f>IF($I8547=0,0,INDEX(DarlErsatzRate,18))</f>
      </c>
      <c r="P8547" s="43">
        <f>IF($I8547=0,0,$Q8546*INDEX(DarlErsatzZins,18))</f>
      </c>
      <c r="Q8547" s="43">
        <f>IF($I8547=0,0,$Q8546+$P8547+$O8547)</f>
      </c>
      <c r="R8547" s="43">
        <f>IF($I8547=0,0,$J8547-$M8547-$N8547)</f>
      </c>
    </row>
    <row r="8548">
      <c r="A8548"/>
      <c r="B8548">
        <v>18</v>
      </c>
      <c r="C8548" s="43">
        <f>INDEX(DarlObj,18)</f>
      </c>
      <c r="D8548">
        <v>385</v>
      </c>
      <c r="E8548" s="51">
        <f>IF(INDEX(DarlBelegt,18)=0,0,EOMONTH(INDEX(DarlAuszahlung,18),384)+1)</f>
      </c>
      <c r="F8548" s="43">
        <f>IF($E8548=0,0,YEAR($E8548))</f>
      </c>
      <c r="G8548" s="43">
        <f>IF(INDEX(DarlBindung,18)="",1,IF($E8548&lt;=INDEX(DarlBindung,18),1,0))</f>
      </c>
      <c r="H8548" s="43">
        <f>IF($G8548=1,INDEX(DarlSollzins,18),INDEX(DarlAnschluss,18))</f>
      </c>
      <c r="I8548" s="43">
        <f>IF(INDEX(DarlBelegt,18)=0,0,IF(INDEX(DarlOhneTilgung,18)=1,IF(INDEX(DarlBindung,18)="",1,$G8548),IF($J8548&gt;0.005,1,0)))</f>
      </c>
      <c r="J8548" s="43">
        <f>IF($I8547=0,0,$R8547)</f>
      </c>
      <c r="K8548" s="43">
        <f>IF($I8548=0,0,IF(INDEX(DarlOhneTilgung,18)=1,0,IF(AND(INDEX(DarlTilgStart,18)&gt;0,$E8548=INDEX(DarlTilgStart,18)),$J8548*($H8548+INDEX(DarlTilgung,18))/100/12,IF(AND($G8548=0,$G8547=1),MAX($K8547,$J8548*($H8548+1)/100/12),$K8547))))</f>
      </c>
      <c r="L8548" s="43">
        <f>IF($I8548=0,0,$J8548*$H8548/100/12)</f>
      </c>
      <c r="M8548" s="43">
        <f>IF($I8548=0,0,IF(OR(INDEX(DarlOhneTilgung,18)=1,AND(INDEX(DarlTilgStart,18)&gt;0,$E8548&lt;INDEX(DarlTilgStart,18))),0,MIN(MAX(0,$K8548-$L8548),$J8548)))</f>
      </c>
      <c r="N8548" s="43">
        <f>IF($I8548=0,0,MIN(SUMIFS(SondBetrag,SondDarl,18,SondDatum,"&gt;="&amp;$E8548,SondDatum,"&lt;="&amp;EOMONTH($E8548,0)),$J8548-$M8548))</f>
      </c>
      <c r="O8548" s="43">
        <f>IF($I8548=0,0,INDEX(DarlErsatzRate,18))</f>
      </c>
      <c r="P8548" s="43">
        <f>IF($I8548=0,0,$Q8547*INDEX(DarlErsatzZins,18))</f>
      </c>
      <c r="Q8548" s="43">
        <f>IF($I8548=0,0,$Q8547+$P8548+$O8548)</f>
      </c>
      <c r="R8548" s="43">
        <f>IF($I8548=0,0,$J8548-$M8548-$N8548)</f>
      </c>
    </row>
    <row r="8549">
      <c r="A8549"/>
      <c r="B8549">
        <v>18</v>
      </c>
      <c r="C8549" s="43">
        <f>INDEX(DarlObj,18)</f>
      </c>
      <c r="D8549">
        <v>386</v>
      </c>
      <c r="E8549" s="51">
        <f>IF(INDEX(DarlBelegt,18)=0,0,EOMONTH(INDEX(DarlAuszahlung,18),385)+1)</f>
      </c>
      <c r="F8549" s="43">
        <f>IF($E8549=0,0,YEAR($E8549))</f>
      </c>
      <c r="G8549" s="43">
        <f>IF(INDEX(DarlBindung,18)="",1,IF($E8549&lt;=INDEX(DarlBindung,18),1,0))</f>
      </c>
      <c r="H8549" s="43">
        <f>IF($G8549=1,INDEX(DarlSollzins,18),INDEX(DarlAnschluss,18))</f>
      </c>
      <c r="I8549" s="43">
        <f>IF(INDEX(DarlBelegt,18)=0,0,IF(INDEX(DarlOhneTilgung,18)=1,IF(INDEX(DarlBindung,18)="",1,$G8549),IF($J8549&gt;0.005,1,0)))</f>
      </c>
      <c r="J8549" s="43">
        <f>IF($I8548=0,0,$R8548)</f>
      </c>
      <c r="K8549" s="43">
        <f>IF($I8549=0,0,IF(INDEX(DarlOhneTilgung,18)=1,0,IF(AND(INDEX(DarlTilgStart,18)&gt;0,$E8549=INDEX(DarlTilgStart,18)),$J8549*($H8549+INDEX(DarlTilgung,18))/100/12,IF(AND($G8549=0,$G8548=1),MAX($K8548,$J8549*($H8549+1)/100/12),$K8548))))</f>
      </c>
      <c r="L8549" s="43">
        <f>IF($I8549=0,0,$J8549*$H8549/100/12)</f>
      </c>
      <c r="M8549" s="43">
        <f>IF($I8549=0,0,IF(OR(INDEX(DarlOhneTilgung,18)=1,AND(INDEX(DarlTilgStart,18)&gt;0,$E8549&lt;INDEX(DarlTilgStart,18))),0,MIN(MAX(0,$K8549-$L8549),$J8549)))</f>
      </c>
      <c r="N8549" s="43">
        <f>IF($I8549=0,0,MIN(SUMIFS(SondBetrag,SondDarl,18,SondDatum,"&gt;="&amp;$E8549,SondDatum,"&lt;="&amp;EOMONTH($E8549,0)),$J8549-$M8549))</f>
      </c>
      <c r="O8549" s="43">
        <f>IF($I8549=0,0,INDEX(DarlErsatzRate,18))</f>
      </c>
      <c r="P8549" s="43">
        <f>IF($I8549=0,0,$Q8548*INDEX(DarlErsatzZins,18))</f>
      </c>
      <c r="Q8549" s="43">
        <f>IF($I8549=0,0,$Q8548+$P8549+$O8549)</f>
      </c>
      <c r="R8549" s="43">
        <f>IF($I8549=0,0,$J8549-$M8549-$N8549)</f>
      </c>
    </row>
    <row r="8550">
      <c r="A8550"/>
      <c r="B8550">
        <v>18</v>
      </c>
      <c r="C8550" s="43">
        <f>INDEX(DarlObj,18)</f>
      </c>
      <c r="D8550">
        <v>387</v>
      </c>
      <c r="E8550" s="51">
        <f>IF(INDEX(DarlBelegt,18)=0,0,EOMONTH(INDEX(DarlAuszahlung,18),386)+1)</f>
      </c>
      <c r="F8550" s="43">
        <f>IF($E8550=0,0,YEAR($E8550))</f>
      </c>
      <c r="G8550" s="43">
        <f>IF(INDEX(DarlBindung,18)="",1,IF($E8550&lt;=INDEX(DarlBindung,18),1,0))</f>
      </c>
      <c r="H8550" s="43">
        <f>IF($G8550=1,INDEX(DarlSollzins,18),INDEX(DarlAnschluss,18))</f>
      </c>
      <c r="I8550" s="43">
        <f>IF(INDEX(DarlBelegt,18)=0,0,IF(INDEX(DarlOhneTilgung,18)=1,IF(INDEX(DarlBindung,18)="",1,$G8550),IF($J8550&gt;0.005,1,0)))</f>
      </c>
      <c r="J8550" s="43">
        <f>IF($I8549=0,0,$R8549)</f>
      </c>
      <c r="K8550" s="43">
        <f>IF($I8550=0,0,IF(INDEX(DarlOhneTilgung,18)=1,0,IF(AND(INDEX(DarlTilgStart,18)&gt;0,$E8550=INDEX(DarlTilgStart,18)),$J8550*($H8550+INDEX(DarlTilgung,18))/100/12,IF(AND($G8550=0,$G8549=1),MAX($K8549,$J8550*($H8550+1)/100/12),$K8549))))</f>
      </c>
      <c r="L8550" s="43">
        <f>IF($I8550=0,0,$J8550*$H8550/100/12)</f>
      </c>
      <c r="M8550" s="43">
        <f>IF($I8550=0,0,IF(OR(INDEX(DarlOhneTilgung,18)=1,AND(INDEX(DarlTilgStart,18)&gt;0,$E8550&lt;INDEX(DarlTilgStart,18))),0,MIN(MAX(0,$K8550-$L8550),$J8550)))</f>
      </c>
      <c r="N8550" s="43">
        <f>IF($I8550=0,0,MIN(SUMIFS(SondBetrag,SondDarl,18,SondDatum,"&gt;="&amp;$E8550,SondDatum,"&lt;="&amp;EOMONTH($E8550,0)),$J8550-$M8550))</f>
      </c>
      <c r="O8550" s="43">
        <f>IF($I8550=0,0,INDEX(DarlErsatzRate,18))</f>
      </c>
      <c r="P8550" s="43">
        <f>IF($I8550=0,0,$Q8549*INDEX(DarlErsatzZins,18))</f>
      </c>
      <c r="Q8550" s="43">
        <f>IF($I8550=0,0,$Q8549+$P8550+$O8550)</f>
      </c>
      <c r="R8550" s="43">
        <f>IF($I8550=0,0,$J8550-$M8550-$N8550)</f>
      </c>
    </row>
    <row r="8551">
      <c r="A8551"/>
      <c r="B8551">
        <v>18</v>
      </c>
      <c r="C8551" s="43">
        <f>INDEX(DarlObj,18)</f>
      </c>
      <c r="D8551">
        <v>388</v>
      </c>
      <c r="E8551" s="51">
        <f>IF(INDEX(DarlBelegt,18)=0,0,EOMONTH(INDEX(DarlAuszahlung,18),387)+1)</f>
      </c>
      <c r="F8551" s="43">
        <f>IF($E8551=0,0,YEAR($E8551))</f>
      </c>
      <c r="G8551" s="43">
        <f>IF(INDEX(DarlBindung,18)="",1,IF($E8551&lt;=INDEX(DarlBindung,18),1,0))</f>
      </c>
      <c r="H8551" s="43">
        <f>IF($G8551=1,INDEX(DarlSollzins,18),INDEX(DarlAnschluss,18))</f>
      </c>
      <c r="I8551" s="43">
        <f>IF(INDEX(DarlBelegt,18)=0,0,IF(INDEX(DarlOhneTilgung,18)=1,IF(INDEX(DarlBindung,18)="",1,$G8551),IF($J8551&gt;0.005,1,0)))</f>
      </c>
      <c r="J8551" s="43">
        <f>IF($I8550=0,0,$R8550)</f>
      </c>
      <c r="K8551" s="43">
        <f>IF($I8551=0,0,IF(INDEX(DarlOhneTilgung,18)=1,0,IF(AND(INDEX(DarlTilgStart,18)&gt;0,$E8551=INDEX(DarlTilgStart,18)),$J8551*($H8551+INDEX(DarlTilgung,18))/100/12,IF(AND($G8551=0,$G8550=1),MAX($K8550,$J8551*($H8551+1)/100/12),$K8550))))</f>
      </c>
      <c r="L8551" s="43">
        <f>IF($I8551=0,0,$J8551*$H8551/100/12)</f>
      </c>
      <c r="M8551" s="43">
        <f>IF($I8551=0,0,IF(OR(INDEX(DarlOhneTilgung,18)=1,AND(INDEX(DarlTilgStart,18)&gt;0,$E8551&lt;INDEX(DarlTilgStart,18))),0,MIN(MAX(0,$K8551-$L8551),$J8551)))</f>
      </c>
      <c r="N8551" s="43">
        <f>IF($I8551=0,0,MIN(SUMIFS(SondBetrag,SondDarl,18,SondDatum,"&gt;="&amp;$E8551,SondDatum,"&lt;="&amp;EOMONTH($E8551,0)),$J8551-$M8551))</f>
      </c>
      <c r="O8551" s="43">
        <f>IF($I8551=0,0,INDEX(DarlErsatzRate,18))</f>
      </c>
      <c r="P8551" s="43">
        <f>IF($I8551=0,0,$Q8550*INDEX(DarlErsatzZins,18))</f>
      </c>
      <c r="Q8551" s="43">
        <f>IF($I8551=0,0,$Q8550+$P8551+$O8551)</f>
      </c>
      <c r="R8551" s="43">
        <f>IF($I8551=0,0,$J8551-$M8551-$N8551)</f>
      </c>
    </row>
    <row r="8552">
      <c r="A8552"/>
      <c r="B8552">
        <v>18</v>
      </c>
      <c r="C8552" s="43">
        <f>INDEX(DarlObj,18)</f>
      </c>
      <c r="D8552">
        <v>389</v>
      </c>
      <c r="E8552" s="51">
        <f>IF(INDEX(DarlBelegt,18)=0,0,EOMONTH(INDEX(DarlAuszahlung,18),388)+1)</f>
      </c>
      <c r="F8552" s="43">
        <f>IF($E8552=0,0,YEAR($E8552))</f>
      </c>
      <c r="G8552" s="43">
        <f>IF(INDEX(DarlBindung,18)="",1,IF($E8552&lt;=INDEX(DarlBindung,18),1,0))</f>
      </c>
      <c r="H8552" s="43">
        <f>IF($G8552=1,INDEX(DarlSollzins,18),INDEX(DarlAnschluss,18))</f>
      </c>
      <c r="I8552" s="43">
        <f>IF(INDEX(DarlBelegt,18)=0,0,IF(INDEX(DarlOhneTilgung,18)=1,IF(INDEX(DarlBindung,18)="",1,$G8552),IF($J8552&gt;0.005,1,0)))</f>
      </c>
      <c r="J8552" s="43">
        <f>IF($I8551=0,0,$R8551)</f>
      </c>
      <c r="K8552" s="43">
        <f>IF($I8552=0,0,IF(INDEX(DarlOhneTilgung,18)=1,0,IF(AND(INDEX(DarlTilgStart,18)&gt;0,$E8552=INDEX(DarlTilgStart,18)),$J8552*($H8552+INDEX(DarlTilgung,18))/100/12,IF(AND($G8552=0,$G8551=1),MAX($K8551,$J8552*($H8552+1)/100/12),$K8551))))</f>
      </c>
      <c r="L8552" s="43">
        <f>IF($I8552=0,0,$J8552*$H8552/100/12)</f>
      </c>
      <c r="M8552" s="43">
        <f>IF($I8552=0,0,IF(OR(INDEX(DarlOhneTilgung,18)=1,AND(INDEX(DarlTilgStart,18)&gt;0,$E8552&lt;INDEX(DarlTilgStart,18))),0,MIN(MAX(0,$K8552-$L8552),$J8552)))</f>
      </c>
      <c r="N8552" s="43">
        <f>IF($I8552=0,0,MIN(SUMIFS(SondBetrag,SondDarl,18,SondDatum,"&gt;="&amp;$E8552,SondDatum,"&lt;="&amp;EOMONTH($E8552,0)),$J8552-$M8552))</f>
      </c>
      <c r="O8552" s="43">
        <f>IF($I8552=0,0,INDEX(DarlErsatzRate,18))</f>
      </c>
      <c r="P8552" s="43">
        <f>IF($I8552=0,0,$Q8551*INDEX(DarlErsatzZins,18))</f>
      </c>
      <c r="Q8552" s="43">
        <f>IF($I8552=0,0,$Q8551+$P8552+$O8552)</f>
      </c>
      <c r="R8552" s="43">
        <f>IF($I8552=0,0,$J8552-$M8552-$N8552)</f>
      </c>
    </row>
    <row r="8553">
      <c r="A8553"/>
      <c r="B8553">
        <v>18</v>
      </c>
      <c r="C8553" s="43">
        <f>INDEX(DarlObj,18)</f>
      </c>
      <c r="D8553">
        <v>390</v>
      </c>
      <c r="E8553" s="51">
        <f>IF(INDEX(DarlBelegt,18)=0,0,EOMONTH(INDEX(DarlAuszahlung,18),389)+1)</f>
      </c>
      <c r="F8553" s="43">
        <f>IF($E8553=0,0,YEAR($E8553))</f>
      </c>
      <c r="G8553" s="43">
        <f>IF(INDEX(DarlBindung,18)="",1,IF($E8553&lt;=INDEX(DarlBindung,18),1,0))</f>
      </c>
      <c r="H8553" s="43">
        <f>IF($G8553=1,INDEX(DarlSollzins,18),INDEX(DarlAnschluss,18))</f>
      </c>
      <c r="I8553" s="43">
        <f>IF(INDEX(DarlBelegt,18)=0,0,IF(INDEX(DarlOhneTilgung,18)=1,IF(INDEX(DarlBindung,18)="",1,$G8553),IF($J8553&gt;0.005,1,0)))</f>
      </c>
      <c r="J8553" s="43">
        <f>IF($I8552=0,0,$R8552)</f>
      </c>
      <c r="K8553" s="43">
        <f>IF($I8553=0,0,IF(INDEX(DarlOhneTilgung,18)=1,0,IF(AND(INDEX(DarlTilgStart,18)&gt;0,$E8553=INDEX(DarlTilgStart,18)),$J8553*($H8553+INDEX(DarlTilgung,18))/100/12,IF(AND($G8553=0,$G8552=1),MAX($K8552,$J8553*($H8553+1)/100/12),$K8552))))</f>
      </c>
      <c r="L8553" s="43">
        <f>IF($I8553=0,0,$J8553*$H8553/100/12)</f>
      </c>
      <c r="M8553" s="43">
        <f>IF($I8553=0,0,IF(OR(INDEX(DarlOhneTilgung,18)=1,AND(INDEX(DarlTilgStart,18)&gt;0,$E8553&lt;INDEX(DarlTilgStart,18))),0,MIN(MAX(0,$K8553-$L8553),$J8553)))</f>
      </c>
      <c r="N8553" s="43">
        <f>IF($I8553=0,0,MIN(SUMIFS(SondBetrag,SondDarl,18,SondDatum,"&gt;="&amp;$E8553,SondDatum,"&lt;="&amp;EOMONTH($E8553,0)),$J8553-$M8553))</f>
      </c>
      <c r="O8553" s="43">
        <f>IF($I8553=0,0,INDEX(DarlErsatzRate,18))</f>
      </c>
      <c r="P8553" s="43">
        <f>IF($I8553=0,0,$Q8552*INDEX(DarlErsatzZins,18))</f>
      </c>
      <c r="Q8553" s="43">
        <f>IF($I8553=0,0,$Q8552+$P8553+$O8553)</f>
      </c>
      <c r="R8553" s="43">
        <f>IF($I8553=0,0,$J8553-$M8553-$N8553)</f>
      </c>
    </row>
    <row r="8554">
      <c r="A8554"/>
      <c r="B8554">
        <v>18</v>
      </c>
      <c r="C8554" s="43">
        <f>INDEX(DarlObj,18)</f>
      </c>
      <c r="D8554">
        <v>391</v>
      </c>
      <c r="E8554" s="51">
        <f>IF(INDEX(DarlBelegt,18)=0,0,EOMONTH(INDEX(DarlAuszahlung,18),390)+1)</f>
      </c>
      <c r="F8554" s="43">
        <f>IF($E8554=0,0,YEAR($E8554))</f>
      </c>
      <c r="G8554" s="43">
        <f>IF(INDEX(DarlBindung,18)="",1,IF($E8554&lt;=INDEX(DarlBindung,18),1,0))</f>
      </c>
      <c r="H8554" s="43">
        <f>IF($G8554=1,INDEX(DarlSollzins,18),INDEX(DarlAnschluss,18))</f>
      </c>
      <c r="I8554" s="43">
        <f>IF(INDEX(DarlBelegt,18)=0,0,IF(INDEX(DarlOhneTilgung,18)=1,IF(INDEX(DarlBindung,18)="",1,$G8554),IF($J8554&gt;0.005,1,0)))</f>
      </c>
      <c r="J8554" s="43">
        <f>IF($I8553=0,0,$R8553)</f>
      </c>
      <c r="K8554" s="43">
        <f>IF($I8554=0,0,IF(INDEX(DarlOhneTilgung,18)=1,0,IF(AND(INDEX(DarlTilgStart,18)&gt;0,$E8554=INDEX(DarlTilgStart,18)),$J8554*($H8554+INDEX(DarlTilgung,18))/100/12,IF(AND($G8554=0,$G8553=1),MAX($K8553,$J8554*($H8554+1)/100/12),$K8553))))</f>
      </c>
      <c r="L8554" s="43">
        <f>IF($I8554=0,0,$J8554*$H8554/100/12)</f>
      </c>
      <c r="M8554" s="43">
        <f>IF($I8554=0,0,IF(OR(INDEX(DarlOhneTilgung,18)=1,AND(INDEX(DarlTilgStart,18)&gt;0,$E8554&lt;INDEX(DarlTilgStart,18))),0,MIN(MAX(0,$K8554-$L8554),$J8554)))</f>
      </c>
      <c r="N8554" s="43">
        <f>IF($I8554=0,0,MIN(SUMIFS(SondBetrag,SondDarl,18,SondDatum,"&gt;="&amp;$E8554,SondDatum,"&lt;="&amp;EOMONTH($E8554,0)),$J8554-$M8554))</f>
      </c>
      <c r="O8554" s="43">
        <f>IF($I8554=0,0,INDEX(DarlErsatzRate,18))</f>
      </c>
      <c r="P8554" s="43">
        <f>IF($I8554=0,0,$Q8553*INDEX(DarlErsatzZins,18))</f>
      </c>
      <c r="Q8554" s="43">
        <f>IF($I8554=0,0,$Q8553+$P8554+$O8554)</f>
      </c>
      <c r="R8554" s="43">
        <f>IF($I8554=0,0,$J8554-$M8554-$N8554)</f>
      </c>
    </row>
    <row r="8555">
      <c r="A8555"/>
      <c r="B8555">
        <v>18</v>
      </c>
      <c r="C8555" s="43">
        <f>INDEX(DarlObj,18)</f>
      </c>
      <c r="D8555">
        <v>392</v>
      </c>
      <c r="E8555" s="51">
        <f>IF(INDEX(DarlBelegt,18)=0,0,EOMONTH(INDEX(DarlAuszahlung,18),391)+1)</f>
      </c>
      <c r="F8555" s="43">
        <f>IF($E8555=0,0,YEAR($E8555))</f>
      </c>
      <c r="G8555" s="43">
        <f>IF(INDEX(DarlBindung,18)="",1,IF($E8555&lt;=INDEX(DarlBindung,18),1,0))</f>
      </c>
      <c r="H8555" s="43">
        <f>IF($G8555=1,INDEX(DarlSollzins,18),INDEX(DarlAnschluss,18))</f>
      </c>
      <c r="I8555" s="43">
        <f>IF(INDEX(DarlBelegt,18)=0,0,IF(INDEX(DarlOhneTilgung,18)=1,IF(INDEX(DarlBindung,18)="",1,$G8555),IF($J8555&gt;0.005,1,0)))</f>
      </c>
      <c r="J8555" s="43">
        <f>IF($I8554=0,0,$R8554)</f>
      </c>
      <c r="K8555" s="43">
        <f>IF($I8555=0,0,IF(INDEX(DarlOhneTilgung,18)=1,0,IF(AND(INDEX(DarlTilgStart,18)&gt;0,$E8555=INDEX(DarlTilgStart,18)),$J8555*($H8555+INDEX(DarlTilgung,18))/100/12,IF(AND($G8555=0,$G8554=1),MAX($K8554,$J8555*($H8555+1)/100/12),$K8554))))</f>
      </c>
      <c r="L8555" s="43">
        <f>IF($I8555=0,0,$J8555*$H8555/100/12)</f>
      </c>
      <c r="M8555" s="43">
        <f>IF($I8555=0,0,IF(OR(INDEX(DarlOhneTilgung,18)=1,AND(INDEX(DarlTilgStart,18)&gt;0,$E8555&lt;INDEX(DarlTilgStart,18))),0,MIN(MAX(0,$K8555-$L8555),$J8555)))</f>
      </c>
      <c r="N8555" s="43">
        <f>IF($I8555=0,0,MIN(SUMIFS(SondBetrag,SondDarl,18,SondDatum,"&gt;="&amp;$E8555,SondDatum,"&lt;="&amp;EOMONTH($E8555,0)),$J8555-$M8555))</f>
      </c>
      <c r="O8555" s="43">
        <f>IF($I8555=0,0,INDEX(DarlErsatzRate,18))</f>
      </c>
      <c r="P8555" s="43">
        <f>IF($I8555=0,0,$Q8554*INDEX(DarlErsatzZins,18))</f>
      </c>
      <c r="Q8555" s="43">
        <f>IF($I8555=0,0,$Q8554+$P8555+$O8555)</f>
      </c>
      <c r="R8555" s="43">
        <f>IF($I8555=0,0,$J8555-$M8555-$N8555)</f>
      </c>
    </row>
    <row r="8556">
      <c r="A8556"/>
      <c r="B8556">
        <v>18</v>
      </c>
      <c r="C8556" s="43">
        <f>INDEX(DarlObj,18)</f>
      </c>
      <c r="D8556">
        <v>393</v>
      </c>
      <c r="E8556" s="51">
        <f>IF(INDEX(DarlBelegt,18)=0,0,EOMONTH(INDEX(DarlAuszahlung,18),392)+1)</f>
      </c>
      <c r="F8556" s="43">
        <f>IF($E8556=0,0,YEAR($E8556))</f>
      </c>
      <c r="G8556" s="43">
        <f>IF(INDEX(DarlBindung,18)="",1,IF($E8556&lt;=INDEX(DarlBindung,18),1,0))</f>
      </c>
      <c r="H8556" s="43">
        <f>IF($G8556=1,INDEX(DarlSollzins,18),INDEX(DarlAnschluss,18))</f>
      </c>
      <c r="I8556" s="43">
        <f>IF(INDEX(DarlBelegt,18)=0,0,IF(INDEX(DarlOhneTilgung,18)=1,IF(INDEX(DarlBindung,18)="",1,$G8556),IF($J8556&gt;0.005,1,0)))</f>
      </c>
      <c r="J8556" s="43">
        <f>IF($I8555=0,0,$R8555)</f>
      </c>
      <c r="K8556" s="43">
        <f>IF($I8556=0,0,IF(INDEX(DarlOhneTilgung,18)=1,0,IF(AND(INDEX(DarlTilgStart,18)&gt;0,$E8556=INDEX(DarlTilgStart,18)),$J8556*($H8556+INDEX(DarlTilgung,18))/100/12,IF(AND($G8556=0,$G8555=1),MAX($K8555,$J8556*($H8556+1)/100/12),$K8555))))</f>
      </c>
      <c r="L8556" s="43">
        <f>IF($I8556=0,0,$J8556*$H8556/100/12)</f>
      </c>
      <c r="M8556" s="43">
        <f>IF($I8556=0,0,IF(OR(INDEX(DarlOhneTilgung,18)=1,AND(INDEX(DarlTilgStart,18)&gt;0,$E8556&lt;INDEX(DarlTilgStart,18))),0,MIN(MAX(0,$K8556-$L8556),$J8556)))</f>
      </c>
      <c r="N8556" s="43">
        <f>IF($I8556=0,0,MIN(SUMIFS(SondBetrag,SondDarl,18,SondDatum,"&gt;="&amp;$E8556,SondDatum,"&lt;="&amp;EOMONTH($E8556,0)),$J8556-$M8556))</f>
      </c>
      <c r="O8556" s="43">
        <f>IF($I8556=0,0,INDEX(DarlErsatzRate,18))</f>
      </c>
      <c r="P8556" s="43">
        <f>IF($I8556=0,0,$Q8555*INDEX(DarlErsatzZins,18))</f>
      </c>
      <c r="Q8556" s="43">
        <f>IF($I8556=0,0,$Q8555+$P8556+$O8556)</f>
      </c>
      <c r="R8556" s="43">
        <f>IF($I8556=0,0,$J8556-$M8556-$N8556)</f>
      </c>
    </row>
    <row r="8557">
      <c r="A8557"/>
      <c r="B8557">
        <v>18</v>
      </c>
      <c r="C8557" s="43">
        <f>INDEX(DarlObj,18)</f>
      </c>
      <c r="D8557">
        <v>394</v>
      </c>
      <c r="E8557" s="51">
        <f>IF(INDEX(DarlBelegt,18)=0,0,EOMONTH(INDEX(DarlAuszahlung,18),393)+1)</f>
      </c>
      <c r="F8557" s="43">
        <f>IF($E8557=0,0,YEAR($E8557))</f>
      </c>
      <c r="G8557" s="43">
        <f>IF(INDEX(DarlBindung,18)="",1,IF($E8557&lt;=INDEX(DarlBindung,18),1,0))</f>
      </c>
      <c r="H8557" s="43">
        <f>IF($G8557=1,INDEX(DarlSollzins,18),INDEX(DarlAnschluss,18))</f>
      </c>
      <c r="I8557" s="43">
        <f>IF(INDEX(DarlBelegt,18)=0,0,IF(INDEX(DarlOhneTilgung,18)=1,IF(INDEX(DarlBindung,18)="",1,$G8557),IF($J8557&gt;0.005,1,0)))</f>
      </c>
      <c r="J8557" s="43">
        <f>IF($I8556=0,0,$R8556)</f>
      </c>
      <c r="K8557" s="43">
        <f>IF($I8557=0,0,IF(INDEX(DarlOhneTilgung,18)=1,0,IF(AND(INDEX(DarlTilgStart,18)&gt;0,$E8557=INDEX(DarlTilgStart,18)),$J8557*($H8557+INDEX(DarlTilgung,18))/100/12,IF(AND($G8557=0,$G8556=1),MAX($K8556,$J8557*($H8557+1)/100/12),$K8556))))</f>
      </c>
      <c r="L8557" s="43">
        <f>IF($I8557=0,0,$J8557*$H8557/100/12)</f>
      </c>
      <c r="M8557" s="43">
        <f>IF($I8557=0,0,IF(OR(INDEX(DarlOhneTilgung,18)=1,AND(INDEX(DarlTilgStart,18)&gt;0,$E8557&lt;INDEX(DarlTilgStart,18))),0,MIN(MAX(0,$K8557-$L8557),$J8557)))</f>
      </c>
      <c r="N8557" s="43">
        <f>IF($I8557=0,0,MIN(SUMIFS(SondBetrag,SondDarl,18,SondDatum,"&gt;="&amp;$E8557,SondDatum,"&lt;="&amp;EOMONTH($E8557,0)),$J8557-$M8557))</f>
      </c>
      <c r="O8557" s="43">
        <f>IF($I8557=0,0,INDEX(DarlErsatzRate,18))</f>
      </c>
      <c r="P8557" s="43">
        <f>IF($I8557=0,0,$Q8556*INDEX(DarlErsatzZins,18))</f>
      </c>
      <c r="Q8557" s="43">
        <f>IF($I8557=0,0,$Q8556+$P8557+$O8557)</f>
      </c>
      <c r="R8557" s="43">
        <f>IF($I8557=0,0,$J8557-$M8557-$N8557)</f>
      </c>
    </row>
    <row r="8558">
      <c r="A8558"/>
      <c r="B8558">
        <v>18</v>
      </c>
      <c r="C8558" s="43">
        <f>INDEX(DarlObj,18)</f>
      </c>
      <c r="D8558">
        <v>395</v>
      </c>
      <c r="E8558" s="51">
        <f>IF(INDEX(DarlBelegt,18)=0,0,EOMONTH(INDEX(DarlAuszahlung,18),394)+1)</f>
      </c>
      <c r="F8558" s="43">
        <f>IF($E8558=0,0,YEAR($E8558))</f>
      </c>
      <c r="G8558" s="43">
        <f>IF(INDEX(DarlBindung,18)="",1,IF($E8558&lt;=INDEX(DarlBindung,18),1,0))</f>
      </c>
      <c r="H8558" s="43">
        <f>IF($G8558=1,INDEX(DarlSollzins,18),INDEX(DarlAnschluss,18))</f>
      </c>
      <c r="I8558" s="43">
        <f>IF(INDEX(DarlBelegt,18)=0,0,IF(INDEX(DarlOhneTilgung,18)=1,IF(INDEX(DarlBindung,18)="",1,$G8558),IF($J8558&gt;0.005,1,0)))</f>
      </c>
      <c r="J8558" s="43">
        <f>IF($I8557=0,0,$R8557)</f>
      </c>
      <c r="K8558" s="43">
        <f>IF($I8558=0,0,IF(INDEX(DarlOhneTilgung,18)=1,0,IF(AND(INDEX(DarlTilgStart,18)&gt;0,$E8558=INDEX(DarlTilgStart,18)),$J8558*($H8558+INDEX(DarlTilgung,18))/100/12,IF(AND($G8558=0,$G8557=1),MAX($K8557,$J8558*($H8558+1)/100/12),$K8557))))</f>
      </c>
      <c r="L8558" s="43">
        <f>IF($I8558=0,0,$J8558*$H8558/100/12)</f>
      </c>
      <c r="M8558" s="43">
        <f>IF($I8558=0,0,IF(OR(INDEX(DarlOhneTilgung,18)=1,AND(INDEX(DarlTilgStart,18)&gt;0,$E8558&lt;INDEX(DarlTilgStart,18))),0,MIN(MAX(0,$K8558-$L8558),$J8558)))</f>
      </c>
      <c r="N8558" s="43">
        <f>IF($I8558=0,0,MIN(SUMIFS(SondBetrag,SondDarl,18,SondDatum,"&gt;="&amp;$E8558,SondDatum,"&lt;="&amp;EOMONTH($E8558,0)),$J8558-$M8558))</f>
      </c>
      <c r="O8558" s="43">
        <f>IF($I8558=0,0,INDEX(DarlErsatzRate,18))</f>
      </c>
      <c r="P8558" s="43">
        <f>IF($I8558=0,0,$Q8557*INDEX(DarlErsatzZins,18))</f>
      </c>
      <c r="Q8558" s="43">
        <f>IF($I8558=0,0,$Q8557+$P8558+$O8558)</f>
      </c>
      <c r="R8558" s="43">
        <f>IF($I8558=0,0,$J8558-$M8558-$N8558)</f>
      </c>
    </row>
    <row r="8559">
      <c r="A8559"/>
      <c r="B8559">
        <v>18</v>
      </c>
      <c r="C8559" s="43">
        <f>INDEX(DarlObj,18)</f>
      </c>
      <c r="D8559">
        <v>396</v>
      </c>
      <c r="E8559" s="51">
        <f>IF(INDEX(DarlBelegt,18)=0,0,EOMONTH(INDEX(DarlAuszahlung,18),395)+1)</f>
      </c>
      <c r="F8559" s="43">
        <f>IF($E8559=0,0,YEAR($E8559))</f>
      </c>
      <c r="G8559" s="43">
        <f>IF(INDEX(DarlBindung,18)="",1,IF($E8559&lt;=INDEX(DarlBindung,18),1,0))</f>
      </c>
      <c r="H8559" s="43">
        <f>IF($G8559=1,INDEX(DarlSollzins,18),INDEX(DarlAnschluss,18))</f>
      </c>
      <c r="I8559" s="43">
        <f>IF(INDEX(DarlBelegt,18)=0,0,IF(INDEX(DarlOhneTilgung,18)=1,IF(INDEX(DarlBindung,18)="",1,$G8559),IF($J8559&gt;0.005,1,0)))</f>
      </c>
      <c r="J8559" s="43">
        <f>IF($I8558=0,0,$R8558)</f>
      </c>
      <c r="K8559" s="43">
        <f>IF($I8559=0,0,IF(INDEX(DarlOhneTilgung,18)=1,0,IF(AND(INDEX(DarlTilgStart,18)&gt;0,$E8559=INDEX(DarlTilgStart,18)),$J8559*($H8559+INDEX(DarlTilgung,18))/100/12,IF(AND($G8559=0,$G8558=1),MAX($K8558,$J8559*($H8559+1)/100/12),$K8558))))</f>
      </c>
      <c r="L8559" s="43">
        <f>IF($I8559=0,0,$J8559*$H8559/100/12)</f>
      </c>
      <c r="M8559" s="43">
        <f>IF($I8559=0,0,IF(OR(INDEX(DarlOhneTilgung,18)=1,AND(INDEX(DarlTilgStart,18)&gt;0,$E8559&lt;INDEX(DarlTilgStart,18))),0,MIN(MAX(0,$K8559-$L8559),$J8559)))</f>
      </c>
      <c r="N8559" s="43">
        <f>IF($I8559=0,0,MIN(SUMIFS(SondBetrag,SondDarl,18,SondDatum,"&gt;="&amp;$E8559,SondDatum,"&lt;="&amp;EOMONTH($E8559,0)),$J8559-$M8559))</f>
      </c>
      <c r="O8559" s="43">
        <f>IF($I8559=0,0,INDEX(DarlErsatzRate,18))</f>
      </c>
      <c r="P8559" s="43">
        <f>IF($I8559=0,0,$Q8558*INDEX(DarlErsatzZins,18))</f>
      </c>
      <c r="Q8559" s="43">
        <f>IF($I8559=0,0,$Q8558+$P8559+$O8559)</f>
      </c>
      <c r="R8559" s="43">
        <f>IF($I8559=0,0,$J8559-$M8559-$N8559)</f>
      </c>
    </row>
    <row r="8560">
      <c r="A8560"/>
      <c r="B8560">
        <v>18</v>
      </c>
      <c r="C8560" s="43">
        <f>INDEX(DarlObj,18)</f>
      </c>
      <c r="D8560">
        <v>397</v>
      </c>
      <c r="E8560" s="51">
        <f>IF(INDEX(DarlBelegt,18)=0,0,EOMONTH(INDEX(DarlAuszahlung,18),396)+1)</f>
      </c>
      <c r="F8560" s="43">
        <f>IF($E8560=0,0,YEAR($E8560))</f>
      </c>
      <c r="G8560" s="43">
        <f>IF(INDEX(DarlBindung,18)="",1,IF($E8560&lt;=INDEX(DarlBindung,18),1,0))</f>
      </c>
      <c r="H8560" s="43">
        <f>IF($G8560=1,INDEX(DarlSollzins,18),INDEX(DarlAnschluss,18))</f>
      </c>
      <c r="I8560" s="43">
        <f>IF(INDEX(DarlBelegt,18)=0,0,IF(INDEX(DarlOhneTilgung,18)=1,IF(INDEX(DarlBindung,18)="",1,$G8560),IF($J8560&gt;0.005,1,0)))</f>
      </c>
      <c r="J8560" s="43">
        <f>IF($I8559=0,0,$R8559)</f>
      </c>
      <c r="K8560" s="43">
        <f>IF($I8560=0,0,IF(INDEX(DarlOhneTilgung,18)=1,0,IF(AND(INDEX(DarlTilgStart,18)&gt;0,$E8560=INDEX(DarlTilgStart,18)),$J8560*($H8560+INDEX(DarlTilgung,18))/100/12,IF(AND($G8560=0,$G8559=1),MAX($K8559,$J8560*($H8560+1)/100/12),$K8559))))</f>
      </c>
      <c r="L8560" s="43">
        <f>IF($I8560=0,0,$J8560*$H8560/100/12)</f>
      </c>
      <c r="M8560" s="43">
        <f>IF($I8560=0,0,IF(OR(INDEX(DarlOhneTilgung,18)=1,AND(INDEX(DarlTilgStart,18)&gt;0,$E8560&lt;INDEX(DarlTilgStart,18))),0,MIN(MAX(0,$K8560-$L8560),$J8560)))</f>
      </c>
      <c r="N8560" s="43">
        <f>IF($I8560=0,0,MIN(SUMIFS(SondBetrag,SondDarl,18,SondDatum,"&gt;="&amp;$E8560,SondDatum,"&lt;="&amp;EOMONTH($E8560,0)),$J8560-$M8560))</f>
      </c>
      <c r="O8560" s="43">
        <f>IF($I8560=0,0,INDEX(DarlErsatzRate,18))</f>
      </c>
      <c r="P8560" s="43">
        <f>IF($I8560=0,0,$Q8559*INDEX(DarlErsatzZins,18))</f>
      </c>
      <c r="Q8560" s="43">
        <f>IF($I8560=0,0,$Q8559+$P8560+$O8560)</f>
      </c>
      <c r="R8560" s="43">
        <f>IF($I8560=0,0,$J8560-$M8560-$N8560)</f>
      </c>
    </row>
    <row r="8561">
      <c r="A8561"/>
      <c r="B8561">
        <v>18</v>
      </c>
      <c r="C8561" s="43">
        <f>INDEX(DarlObj,18)</f>
      </c>
      <c r="D8561">
        <v>398</v>
      </c>
      <c r="E8561" s="51">
        <f>IF(INDEX(DarlBelegt,18)=0,0,EOMONTH(INDEX(DarlAuszahlung,18),397)+1)</f>
      </c>
      <c r="F8561" s="43">
        <f>IF($E8561=0,0,YEAR($E8561))</f>
      </c>
      <c r="G8561" s="43">
        <f>IF(INDEX(DarlBindung,18)="",1,IF($E8561&lt;=INDEX(DarlBindung,18),1,0))</f>
      </c>
      <c r="H8561" s="43">
        <f>IF($G8561=1,INDEX(DarlSollzins,18),INDEX(DarlAnschluss,18))</f>
      </c>
      <c r="I8561" s="43">
        <f>IF(INDEX(DarlBelegt,18)=0,0,IF(INDEX(DarlOhneTilgung,18)=1,IF(INDEX(DarlBindung,18)="",1,$G8561),IF($J8561&gt;0.005,1,0)))</f>
      </c>
      <c r="J8561" s="43">
        <f>IF($I8560=0,0,$R8560)</f>
      </c>
      <c r="K8561" s="43">
        <f>IF($I8561=0,0,IF(INDEX(DarlOhneTilgung,18)=1,0,IF(AND(INDEX(DarlTilgStart,18)&gt;0,$E8561=INDEX(DarlTilgStart,18)),$J8561*($H8561+INDEX(DarlTilgung,18))/100/12,IF(AND($G8561=0,$G8560=1),MAX($K8560,$J8561*($H8561+1)/100/12),$K8560))))</f>
      </c>
      <c r="L8561" s="43">
        <f>IF($I8561=0,0,$J8561*$H8561/100/12)</f>
      </c>
      <c r="M8561" s="43">
        <f>IF($I8561=0,0,IF(OR(INDEX(DarlOhneTilgung,18)=1,AND(INDEX(DarlTilgStart,18)&gt;0,$E8561&lt;INDEX(DarlTilgStart,18))),0,MIN(MAX(0,$K8561-$L8561),$J8561)))</f>
      </c>
      <c r="N8561" s="43">
        <f>IF($I8561=0,0,MIN(SUMIFS(SondBetrag,SondDarl,18,SondDatum,"&gt;="&amp;$E8561,SondDatum,"&lt;="&amp;EOMONTH($E8561,0)),$J8561-$M8561))</f>
      </c>
      <c r="O8561" s="43">
        <f>IF($I8561=0,0,INDEX(DarlErsatzRate,18))</f>
      </c>
      <c r="P8561" s="43">
        <f>IF($I8561=0,0,$Q8560*INDEX(DarlErsatzZins,18))</f>
      </c>
      <c r="Q8561" s="43">
        <f>IF($I8561=0,0,$Q8560+$P8561+$O8561)</f>
      </c>
      <c r="R8561" s="43">
        <f>IF($I8561=0,0,$J8561-$M8561-$N8561)</f>
      </c>
    </row>
    <row r="8562">
      <c r="A8562"/>
      <c r="B8562">
        <v>18</v>
      </c>
      <c r="C8562" s="43">
        <f>INDEX(DarlObj,18)</f>
      </c>
      <c r="D8562">
        <v>399</v>
      </c>
      <c r="E8562" s="51">
        <f>IF(INDEX(DarlBelegt,18)=0,0,EOMONTH(INDEX(DarlAuszahlung,18),398)+1)</f>
      </c>
      <c r="F8562" s="43">
        <f>IF($E8562=0,0,YEAR($E8562))</f>
      </c>
      <c r="G8562" s="43">
        <f>IF(INDEX(DarlBindung,18)="",1,IF($E8562&lt;=INDEX(DarlBindung,18),1,0))</f>
      </c>
      <c r="H8562" s="43">
        <f>IF($G8562=1,INDEX(DarlSollzins,18),INDEX(DarlAnschluss,18))</f>
      </c>
      <c r="I8562" s="43">
        <f>IF(INDEX(DarlBelegt,18)=0,0,IF(INDEX(DarlOhneTilgung,18)=1,IF(INDEX(DarlBindung,18)="",1,$G8562),IF($J8562&gt;0.005,1,0)))</f>
      </c>
      <c r="J8562" s="43">
        <f>IF($I8561=0,0,$R8561)</f>
      </c>
      <c r="K8562" s="43">
        <f>IF($I8562=0,0,IF(INDEX(DarlOhneTilgung,18)=1,0,IF(AND(INDEX(DarlTilgStart,18)&gt;0,$E8562=INDEX(DarlTilgStart,18)),$J8562*($H8562+INDEX(DarlTilgung,18))/100/12,IF(AND($G8562=0,$G8561=1),MAX($K8561,$J8562*($H8562+1)/100/12),$K8561))))</f>
      </c>
      <c r="L8562" s="43">
        <f>IF($I8562=0,0,$J8562*$H8562/100/12)</f>
      </c>
      <c r="M8562" s="43">
        <f>IF($I8562=0,0,IF(OR(INDEX(DarlOhneTilgung,18)=1,AND(INDEX(DarlTilgStart,18)&gt;0,$E8562&lt;INDEX(DarlTilgStart,18))),0,MIN(MAX(0,$K8562-$L8562),$J8562)))</f>
      </c>
      <c r="N8562" s="43">
        <f>IF($I8562=0,0,MIN(SUMIFS(SondBetrag,SondDarl,18,SondDatum,"&gt;="&amp;$E8562,SondDatum,"&lt;="&amp;EOMONTH($E8562,0)),$J8562-$M8562))</f>
      </c>
      <c r="O8562" s="43">
        <f>IF($I8562=0,0,INDEX(DarlErsatzRate,18))</f>
      </c>
      <c r="P8562" s="43">
        <f>IF($I8562=0,0,$Q8561*INDEX(DarlErsatzZins,18))</f>
      </c>
      <c r="Q8562" s="43">
        <f>IF($I8562=0,0,$Q8561+$P8562+$O8562)</f>
      </c>
      <c r="R8562" s="43">
        <f>IF($I8562=0,0,$J8562-$M8562-$N8562)</f>
      </c>
    </row>
    <row r="8563">
      <c r="A8563"/>
      <c r="B8563">
        <v>18</v>
      </c>
      <c r="C8563" s="43">
        <f>INDEX(DarlObj,18)</f>
      </c>
      <c r="D8563">
        <v>400</v>
      </c>
      <c r="E8563" s="51">
        <f>IF(INDEX(DarlBelegt,18)=0,0,EOMONTH(INDEX(DarlAuszahlung,18),399)+1)</f>
      </c>
      <c r="F8563" s="43">
        <f>IF($E8563=0,0,YEAR($E8563))</f>
      </c>
      <c r="G8563" s="43">
        <f>IF(INDEX(DarlBindung,18)="",1,IF($E8563&lt;=INDEX(DarlBindung,18),1,0))</f>
      </c>
      <c r="H8563" s="43">
        <f>IF($G8563=1,INDEX(DarlSollzins,18),INDEX(DarlAnschluss,18))</f>
      </c>
      <c r="I8563" s="43">
        <f>IF(INDEX(DarlBelegt,18)=0,0,IF(INDEX(DarlOhneTilgung,18)=1,IF(INDEX(DarlBindung,18)="",1,$G8563),IF($J8563&gt;0.005,1,0)))</f>
      </c>
      <c r="J8563" s="43">
        <f>IF($I8562=0,0,$R8562)</f>
      </c>
      <c r="K8563" s="43">
        <f>IF($I8563=0,0,IF(INDEX(DarlOhneTilgung,18)=1,0,IF(AND(INDEX(DarlTilgStart,18)&gt;0,$E8563=INDEX(DarlTilgStart,18)),$J8563*($H8563+INDEX(DarlTilgung,18))/100/12,IF(AND($G8563=0,$G8562=1),MAX($K8562,$J8563*($H8563+1)/100/12),$K8562))))</f>
      </c>
      <c r="L8563" s="43">
        <f>IF($I8563=0,0,$J8563*$H8563/100/12)</f>
      </c>
      <c r="M8563" s="43">
        <f>IF($I8563=0,0,IF(OR(INDEX(DarlOhneTilgung,18)=1,AND(INDEX(DarlTilgStart,18)&gt;0,$E8563&lt;INDEX(DarlTilgStart,18))),0,MIN(MAX(0,$K8563-$L8563),$J8563)))</f>
      </c>
      <c r="N8563" s="43">
        <f>IF($I8563=0,0,MIN(SUMIFS(SondBetrag,SondDarl,18,SondDatum,"&gt;="&amp;$E8563,SondDatum,"&lt;="&amp;EOMONTH($E8563,0)),$J8563-$M8563))</f>
      </c>
      <c r="O8563" s="43">
        <f>IF($I8563=0,0,INDEX(DarlErsatzRate,18))</f>
      </c>
      <c r="P8563" s="43">
        <f>IF($I8563=0,0,$Q8562*INDEX(DarlErsatzZins,18))</f>
      </c>
      <c r="Q8563" s="43">
        <f>IF($I8563=0,0,$Q8562+$P8563+$O8563)</f>
      </c>
      <c r="R8563" s="43">
        <f>IF($I8563=0,0,$J8563-$M8563-$N8563)</f>
      </c>
    </row>
    <row r="8564">
      <c r="A8564"/>
      <c r="B8564">
        <v>18</v>
      </c>
      <c r="C8564" s="43">
        <f>INDEX(DarlObj,18)</f>
      </c>
      <c r="D8564">
        <v>401</v>
      </c>
      <c r="E8564" s="51">
        <f>IF(INDEX(DarlBelegt,18)=0,0,EOMONTH(INDEX(DarlAuszahlung,18),400)+1)</f>
      </c>
      <c r="F8564" s="43">
        <f>IF($E8564=0,0,YEAR($E8564))</f>
      </c>
      <c r="G8564" s="43">
        <f>IF(INDEX(DarlBindung,18)="",1,IF($E8564&lt;=INDEX(DarlBindung,18),1,0))</f>
      </c>
      <c r="H8564" s="43">
        <f>IF($G8564=1,INDEX(DarlSollzins,18),INDEX(DarlAnschluss,18))</f>
      </c>
      <c r="I8564" s="43">
        <f>IF(INDEX(DarlBelegt,18)=0,0,IF(INDEX(DarlOhneTilgung,18)=1,IF(INDEX(DarlBindung,18)="",1,$G8564),IF($J8564&gt;0.005,1,0)))</f>
      </c>
      <c r="J8564" s="43">
        <f>IF($I8563=0,0,$R8563)</f>
      </c>
      <c r="K8564" s="43">
        <f>IF($I8564=0,0,IF(INDEX(DarlOhneTilgung,18)=1,0,IF(AND(INDEX(DarlTilgStart,18)&gt;0,$E8564=INDEX(DarlTilgStart,18)),$J8564*($H8564+INDEX(DarlTilgung,18))/100/12,IF(AND($G8564=0,$G8563=1),MAX($K8563,$J8564*($H8564+1)/100/12),$K8563))))</f>
      </c>
      <c r="L8564" s="43">
        <f>IF($I8564=0,0,$J8564*$H8564/100/12)</f>
      </c>
      <c r="M8564" s="43">
        <f>IF($I8564=0,0,IF(OR(INDEX(DarlOhneTilgung,18)=1,AND(INDEX(DarlTilgStart,18)&gt;0,$E8564&lt;INDEX(DarlTilgStart,18))),0,MIN(MAX(0,$K8564-$L8564),$J8564)))</f>
      </c>
      <c r="N8564" s="43">
        <f>IF($I8564=0,0,MIN(SUMIFS(SondBetrag,SondDarl,18,SondDatum,"&gt;="&amp;$E8564,SondDatum,"&lt;="&amp;EOMONTH($E8564,0)),$J8564-$M8564))</f>
      </c>
      <c r="O8564" s="43">
        <f>IF($I8564=0,0,INDEX(DarlErsatzRate,18))</f>
      </c>
      <c r="P8564" s="43">
        <f>IF($I8564=0,0,$Q8563*INDEX(DarlErsatzZins,18))</f>
      </c>
      <c r="Q8564" s="43">
        <f>IF($I8564=0,0,$Q8563+$P8564+$O8564)</f>
      </c>
      <c r="R8564" s="43">
        <f>IF($I8564=0,0,$J8564-$M8564-$N8564)</f>
      </c>
    </row>
    <row r="8565">
      <c r="A8565"/>
      <c r="B8565">
        <v>18</v>
      </c>
      <c r="C8565" s="43">
        <f>INDEX(DarlObj,18)</f>
      </c>
      <c r="D8565">
        <v>402</v>
      </c>
      <c r="E8565" s="51">
        <f>IF(INDEX(DarlBelegt,18)=0,0,EOMONTH(INDEX(DarlAuszahlung,18),401)+1)</f>
      </c>
      <c r="F8565" s="43">
        <f>IF($E8565=0,0,YEAR($E8565))</f>
      </c>
      <c r="G8565" s="43">
        <f>IF(INDEX(DarlBindung,18)="",1,IF($E8565&lt;=INDEX(DarlBindung,18),1,0))</f>
      </c>
      <c r="H8565" s="43">
        <f>IF($G8565=1,INDEX(DarlSollzins,18),INDEX(DarlAnschluss,18))</f>
      </c>
      <c r="I8565" s="43">
        <f>IF(INDEX(DarlBelegt,18)=0,0,IF(INDEX(DarlOhneTilgung,18)=1,IF(INDEX(DarlBindung,18)="",1,$G8565),IF($J8565&gt;0.005,1,0)))</f>
      </c>
      <c r="J8565" s="43">
        <f>IF($I8564=0,0,$R8564)</f>
      </c>
      <c r="K8565" s="43">
        <f>IF($I8565=0,0,IF(INDEX(DarlOhneTilgung,18)=1,0,IF(AND(INDEX(DarlTilgStart,18)&gt;0,$E8565=INDEX(DarlTilgStart,18)),$J8565*($H8565+INDEX(DarlTilgung,18))/100/12,IF(AND($G8565=0,$G8564=1),MAX($K8564,$J8565*($H8565+1)/100/12),$K8564))))</f>
      </c>
      <c r="L8565" s="43">
        <f>IF($I8565=0,0,$J8565*$H8565/100/12)</f>
      </c>
      <c r="M8565" s="43">
        <f>IF($I8565=0,0,IF(OR(INDEX(DarlOhneTilgung,18)=1,AND(INDEX(DarlTilgStart,18)&gt;0,$E8565&lt;INDEX(DarlTilgStart,18))),0,MIN(MAX(0,$K8565-$L8565),$J8565)))</f>
      </c>
      <c r="N8565" s="43">
        <f>IF($I8565=0,0,MIN(SUMIFS(SondBetrag,SondDarl,18,SondDatum,"&gt;="&amp;$E8565,SondDatum,"&lt;="&amp;EOMONTH($E8565,0)),$J8565-$M8565))</f>
      </c>
      <c r="O8565" s="43">
        <f>IF($I8565=0,0,INDEX(DarlErsatzRate,18))</f>
      </c>
      <c r="P8565" s="43">
        <f>IF($I8565=0,0,$Q8564*INDEX(DarlErsatzZins,18))</f>
      </c>
      <c r="Q8565" s="43">
        <f>IF($I8565=0,0,$Q8564+$P8565+$O8565)</f>
      </c>
      <c r="R8565" s="43">
        <f>IF($I8565=0,0,$J8565-$M8565-$N8565)</f>
      </c>
    </row>
    <row r="8566">
      <c r="A8566"/>
      <c r="B8566">
        <v>18</v>
      </c>
      <c r="C8566" s="43">
        <f>INDEX(DarlObj,18)</f>
      </c>
      <c r="D8566">
        <v>403</v>
      </c>
      <c r="E8566" s="51">
        <f>IF(INDEX(DarlBelegt,18)=0,0,EOMONTH(INDEX(DarlAuszahlung,18),402)+1)</f>
      </c>
      <c r="F8566" s="43">
        <f>IF($E8566=0,0,YEAR($E8566))</f>
      </c>
      <c r="G8566" s="43">
        <f>IF(INDEX(DarlBindung,18)="",1,IF($E8566&lt;=INDEX(DarlBindung,18),1,0))</f>
      </c>
      <c r="H8566" s="43">
        <f>IF($G8566=1,INDEX(DarlSollzins,18),INDEX(DarlAnschluss,18))</f>
      </c>
      <c r="I8566" s="43">
        <f>IF(INDEX(DarlBelegt,18)=0,0,IF(INDEX(DarlOhneTilgung,18)=1,IF(INDEX(DarlBindung,18)="",1,$G8566),IF($J8566&gt;0.005,1,0)))</f>
      </c>
      <c r="J8566" s="43">
        <f>IF($I8565=0,0,$R8565)</f>
      </c>
      <c r="K8566" s="43">
        <f>IF($I8566=0,0,IF(INDEX(DarlOhneTilgung,18)=1,0,IF(AND(INDEX(DarlTilgStart,18)&gt;0,$E8566=INDEX(DarlTilgStart,18)),$J8566*($H8566+INDEX(DarlTilgung,18))/100/12,IF(AND($G8566=0,$G8565=1),MAX($K8565,$J8566*($H8566+1)/100/12),$K8565))))</f>
      </c>
      <c r="L8566" s="43">
        <f>IF($I8566=0,0,$J8566*$H8566/100/12)</f>
      </c>
      <c r="M8566" s="43">
        <f>IF($I8566=0,0,IF(OR(INDEX(DarlOhneTilgung,18)=1,AND(INDEX(DarlTilgStart,18)&gt;0,$E8566&lt;INDEX(DarlTilgStart,18))),0,MIN(MAX(0,$K8566-$L8566),$J8566)))</f>
      </c>
      <c r="N8566" s="43">
        <f>IF($I8566=0,0,MIN(SUMIFS(SondBetrag,SondDarl,18,SondDatum,"&gt;="&amp;$E8566,SondDatum,"&lt;="&amp;EOMONTH($E8566,0)),$J8566-$M8566))</f>
      </c>
      <c r="O8566" s="43">
        <f>IF($I8566=0,0,INDEX(DarlErsatzRate,18))</f>
      </c>
      <c r="P8566" s="43">
        <f>IF($I8566=0,0,$Q8565*INDEX(DarlErsatzZins,18))</f>
      </c>
      <c r="Q8566" s="43">
        <f>IF($I8566=0,0,$Q8565+$P8566+$O8566)</f>
      </c>
      <c r="R8566" s="43">
        <f>IF($I8566=0,0,$J8566-$M8566-$N8566)</f>
      </c>
    </row>
    <row r="8567">
      <c r="A8567"/>
      <c r="B8567">
        <v>18</v>
      </c>
      <c r="C8567" s="43">
        <f>INDEX(DarlObj,18)</f>
      </c>
      <c r="D8567">
        <v>404</v>
      </c>
      <c r="E8567" s="51">
        <f>IF(INDEX(DarlBelegt,18)=0,0,EOMONTH(INDEX(DarlAuszahlung,18),403)+1)</f>
      </c>
      <c r="F8567" s="43">
        <f>IF($E8567=0,0,YEAR($E8567))</f>
      </c>
      <c r="G8567" s="43">
        <f>IF(INDEX(DarlBindung,18)="",1,IF($E8567&lt;=INDEX(DarlBindung,18),1,0))</f>
      </c>
      <c r="H8567" s="43">
        <f>IF($G8567=1,INDEX(DarlSollzins,18),INDEX(DarlAnschluss,18))</f>
      </c>
      <c r="I8567" s="43">
        <f>IF(INDEX(DarlBelegt,18)=0,0,IF(INDEX(DarlOhneTilgung,18)=1,IF(INDEX(DarlBindung,18)="",1,$G8567),IF($J8567&gt;0.005,1,0)))</f>
      </c>
      <c r="J8567" s="43">
        <f>IF($I8566=0,0,$R8566)</f>
      </c>
      <c r="K8567" s="43">
        <f>IF($I8567=0,0,IF(INDEX(DarlOhneTilgung,18)=1,0,IF(AND(INDEX(DarlTilgStart,18)&gt;0,$E8567=INDEX(DarlTilgStart,18)),$J8567*($H8567+INDEX(DarlTilgung,18))/100/12,IF(AND($G8567=0,$G8566=1),MAX($K8566,$J8567*($H8567+1)/100/12),$K8566))))</f>
      </c>
      <c r="L8567" s="43">
        <f>IF($I8567=0,0,$J8567*$H8567/100/12)</f>
      </c>
      <c r="M8567" s="43">
        <f>IF($I8567=0,0,IF(OR(INDEX(DarlOhneTilgung,18)=1,AND(INDEX(DarlTilgStart,18)&gt;0,$E8567&lt;INDEX(DarlTilgStart,18))),0,MIN(MAX(0,$K8567-$L8567),$J8567)))</f>
      </c>
      <c r="N8567" s="43">
        <f>IF($I8567=0,0,MIN(SUMIFS(SondBetrag,SondDarl,18,SondDatum,"&gt;="&amp;$E8567,SondDatum,"&lt;="&amp;EOMONTH($E8567,0)),$J8567-$M8567))</f>
      </c>
      <c r="O8567" s="43">
        <f>IF($I8567=0,0,INDEX(DarlErsatzRate,18))</f>
      </c>
      <c r="P8567" s="43">
        <f>IF($I8567=0,0,$Q8566*INDEX(DarlErsatzZins,18))</f>
      </c>
      <c r="Q8567" s="43">
        <f>IF($I8567=0,0,$Q8566+$P8567+$O8567)</f>
      </c>
      <c r="R8567" s="43">
        <f>IF($I8567=0,0,$J8567-$M8567-$N8567)</f>
      </c>
    </row>
    <row r="8568">
      <c r="A8568"/>
      <c r="B8568">
        <v>18</v>
      </c>
      <c r="C8568" s="43">
        <f>INDEX(DarlObj,18)</f>
      </c>
      <c r="D8568">
        <v>405</v>
      </c>
      <c r="E8568" s="51">
        <f>IF(INDEX(DarlBelegt,18)=0,0,EOMONTH(INDEX(DarlAuszahlung,18),404)+1)</f>
      </c>
      <c r="F8568" s="43">
        <f>IF($E8568=0,0,YEAR($E8568))</f>
      </c>
      <c r="G8568" s="43">
        <f>IF(INDEX(DarlBindung,18)="",1,IF($E8568&lt;=INDEX(DarlBindung,18),1,0))</f>
      </c>
      <c r="H8568" s="43">
        <f>IF($G8568=1,INDEX(DarlSollzins,18),INDEX(DarlAnschluss,18))</f>
      </c>
      <c r="I8568" s="43">
        <f>IF(INDEX(DarlBelegt,18)=0,0,IF(INDEX(DarlOhneTilgung,18)=1,IF(INDEX(DarlBindung,18)="",1,$G8568),IF($J8568&gt;0.005,1,0)))</f>
      </c>
      <c r="J8568" s="43">
        <f>IF($I8567=0,0,$R8567)</f>
      </c>
      <c r="K8568" s="43">
        <f>IF($I8568=0,0,IF(INDEX(DarlOhneTilgung,18)=1,0,IF(AND(INDEX(DarlTilgStart,18)&gt;0,$E8568=INDEX(DarlTilgStart,18)),$J8568*($H8568+INDEX(DarlTilgung,18))/100/12,IF(AND($G8568=0,$G8567=1),MAX($K8567,$J8568*($H8568+1)/100/12),$K8567))))</f>
      </c>
      <c r="L8568" s="43">
        <f>IF($I8568=0,0,$J8568*$H8568/100/12)</f>
      </c>
      <c r="M8568" s="43">
        <f>IF($I8568=0,0,IF(OR(INDEX(DarlOhneTilgung,18)=1,AND(INDEX(DarlTilgStart,18)&gt;0,$E8568&lt;INDEX(DarlTilgStart,18))),0,MIN(MAX(0,$K8568-$L8568),$J8568)))</f>
      </c>
      <c r="N8568" s="43">
        <f>IF($I8568=0,0,MIN(SUMIFS(SondBetrag,SondDarl,18,SondDatum,"&gt;="&amp;$E8568,SondDatum,"&lt;="&amp;EOMONTH($E8568,0)),$J8568-$M8568))</f>
      </c>
      <c r="O8568" s="43">
        <f>IF($I8568=0,0,INDEX(DarlErsatzRate,18))</f>
      </c>
      <c r="P8568" s="43">
        <f>IF($I8568=0,0,$Q8567*INDEX(DarlErsatzZins,18))</f>
      </c>
      <c r="Q8568" s="43">
        <f>IF($I8568=0,0,$Q8567+$P8568+$O8568)</f>
      </c>
      <c r="R8568" s="43">
        <f>IF($I8568=0,0,$J8568-$M8568-$N8568)</f>
      </c>
    </row>
    <row r="8569">
      <c r="A8569"/>
      <c r="B8569">
        <v>18</v>
      </c>
      <c r="C8569" s="43">
        <f>INDEX(DarlObj,18)</f>
      </c>
      <c r="D8569">
        <v>406</v>
      </c>
      <c r="E8569" s="51">
        <f>IF(INDEX(DarlBelegt,18)=0,0,EOMONTH(INDEX(DarlAuszahlung,18),405)+1)</f>
      </c>
      <c r="F8569" s="43">
        <f>IF($E8569=0,0,YEAR($E8569))</f>
      </c>
      <c r="G8569" s="43">
        <f>IF(INDEX(DarlBindung,18)="",1,IF($E8569&lt;=INDEX(DarlBindung,18),1,0))</f>
      </c>
      <c r="H8569" s="43">
        <f>IF($G8569=1,INDEX(DarlSollzins,18),INDEX(DarlAnschluss,18))</f>
      </c>
      <c r="I8569" s="43">
        <f>IF(INDEX(DarlBelegt,18)=0,0,IF(INDEX(DarlOhneTilgung,18)=1,IF(INDEX(DarlBindung,18)="",1,$G8569),IF($J8569&gt;0.005,1,0)))</f>
      </c>
      <c r="J8569" s="43">
        <f>IF($I8568=0,0,$R8568)</f>
      </c>
      <c r="K8569" s="43">
        <f>IF($I8569=0,0,IF(INDEX(DarlOhneTilgung,18)=1,0,IF(AND(INDEX(DarlTilgStart,18)&gt;0,$E8569=INDEX(DarlTilgStart,18)),$J8569*($H8569+INDEX(DarlTilgung,18))/100/12,IF(AND($G8569=0,$G8568=1),MAX($K8568,$J8569*($H8569+1)/100/12),$K8568))))</f>
      </c>
      <c r="L8569" s="43">
        <f>IF($I8569=0,0,$J8569*$H8569/100/12)</f>
      </c>
      <c r="M8569" s="43">
        <f>IF($I8569=0,0,IF(OR(INDEX(DarlOhneTilgung,18)=1,AND(INDEX(DarlTilgStart,18)&gt;0,$E8569&lt;INDEX(DarlTilgStart,18))),0,MIN(MAX(0,$K8569-$L8569),$J8569)))</f>
      </c>
      <c r="N8569" s="43">
        <f>IF($I8569=0,0,MIN(SUMIFS(SondBetrag,SondDarl,18,SondDatum,"&gt;="&amp;$E8569,SondDatum,"&lt;="&amp;EOMONTH($E8569,0)),$J8569-$M8569))</f>
      </c>
      <c r="O8569" s="43">
        <f>IF($I8569=0,0,INDEX(DarlErsatzRate,18))</f>
      </c>
      <c r="P8569" s="43">
        <f>IF($I8569=0,0,$Q8568*INDEX(DarlErsatzZins,18))</f>
      </c>
      <c r="Q8569" s="43">
        <f>IF($I8569=0,0,$Q8568+$P8569+$O8569)</f>
      </c>
      <c r="R8569" s="43">
        <f>IF($I8569=0,0,$J8569-$M8569-$N8569)</f>
      </c>
    </row>
    <row r="8570">
      <c r="A8570"/>
      <c r="B8570">
        <v>18</v>
      </c>
      <c r="C8570" s="43">
        <f>INDEX(DarlObj,18)</f>
      </c>
      <c r="D8570">
        <v>407</v>
      </c>
      <c r="E8570" s="51">
        <f>IF(INDEX(DarlBelegt,18)=0,0,EOMONTH(INDEX(DarlAuszahlung,18),406)+1)</f>
      </c>
      <c r="F8570" s="43">
        <f>IF($E8570=0,0,YEAR($E8570))</f>
      </c>
      <c r="G8570" s="43">
        <f>IF(INDEX(DarlBindung,18)="",1,IF($E8570&lt;=INDEX(DarlBindung,18),1,0))</f>
      </c>
      <c r="H8570" s="43">
        <f>IF($G8570=1,INDEX(DarlSollzins,18),INDEX(DarlAnschluss,18))</f>
      </c>
      <c r="I8570" s="43">
        <f>IF(INDEX(DarlBelegt,18)=0,0,IF(INDEX(DarlOhneTilgung,18)=1,IF(INDEX(DarlBindung,18)="",1,$G8570),IF($J8570&gt;0.005,1,0)))</f>
      </c>
      <c r="J8570" s="43">
        <f>IF($I8569=0,0,$R8569)</f>
      </c>
      <c r="K8570" s="43">
        <f>IF($I8570=0,0,IF(INDEX(DarlOhneTilgung,18)=1,0,IF(AND(INDEX(DarlTilgStart,18)&gt;0,$E8570=INDEX(DarlTilgStart,18)),$J8570*($H8570+INDEX(DarlTilgung,18))/100/12,IF(AND($G8570=0,$G8569=1),MAX($K8569,$J8570*($H8570+1)/100/12),$K8569))))</f>
      </c>
      <c r="L8570" s="43">
        <f>IF($I8570=0,0,$J8570*$H8570/100/12)</f>
      </c>
      <c r="M8570" s="43">
        <f>IF($I8570=0,0,IF(OR(INDEX(DarlOhneTilgung,18)=1,AND(INDEX(DarlTilgStart,18)&gt;0,$E8570&lt;INDEX(DarlTilgStart,18))),0,MIN(MAX(0,$K8570-$L8570),$J8570)))</f>
      </c>
      <c r="N8570" s="43">
        <f>IF($I8570=0,0,MIN(SUMIFS(SondBetrag,SondDarl,18,SondDatum,"&gt;="&amp;$E8570,SondDatum,"&lt;="&amp;EOMONTH($E8570,0)),$J8570-$M8570))</f>
      </c>
      <c r="O8570" s="43">
        <f>IF($I8570=0,0,INDEX(DarlErsatzRate,18))</f>
      </c>
      <c r="P8570" s="43">
        <f>IF($I8570=0,0,$Q8569*INDEX(DarlErsatzZins,18))</f>
      </c>
      <c r="Q8570" s="43">
        <f>IF($I8570=0,0,$Q8569+$P8570+$O8570)</f>
      </c>
      <c r="R8570" s="43">
        <f>IF($I8570=0,0,$J8570-$M8570-$N8570)</f>
      </c>
    </row>
    <row r="8571">
      <c r="A8571"/>
      <c r="B8571">
        <v>18</v>
      </c>
      <c r="C8571" s="43">
        <f>INDEX(DarlObj,18)</f>
      </c>
      <c r="D8571">
        <v>408</v>
      </c>
      <c r="E8571" s="51">
        <f>IF(INDEX(DarlBelegt,18)=0,0,EOMONTH(INDEX(DarlAuszahlung,18),407)+1)</f>
      </c>
      <c r="F8571" s="43">
        <f>IF($E8571=0,0,YEAR($E8571))</f>
      </c>
      <c r="G8571" s="43">
        <f>IF(INDEX(DarlBindung,18)="",1,IF($E8571&lt;=INDEX(DarlBindung,18),1,0))</f>
      </c>
      <c r="H8571" s="43">
        <f>IF($G8571=1,INDEX(DarlSollzins,18),INDEX(DarlAnschluss,18))</f>
      </c>
      <c r="I8571" s="43">
        <f>IF(INDEX(DarlBelegt,18)=0,0,IF(INDEX(DarlOhneTilgung,18)=1,IF(INDEX(DarlBindung,18)="",1,$G8571),IF($J8571&gt;0.005,1,0)))</f>
      </c>
      <c r="J8571" s="43">
        <f>IF($I8570=0,0,$R8570)</f>
      </c>
      <c r="K8571" s="43">
        <f>IF($I8571=0,0,IF(INDEX(DarlOhneTilgung,18)=1,0,IF(AND(INDEX(DarlTilgStart,18)&gt;0,$E8571=INDEX(DarlTilgStart,18)),$J8571*($H8571+INDEX(DarlTilgung,18))/100/12,IF(AND($G8571=0,$G8570=1),MAX($K8570,$J8571*($H8571+1)/100/12),$K8570))))</f>
      </c>
      <c r="L8571" s="43">
        <f>IF($I8571=0,0,$J8571*$H8571/100/12)</f>
      </c>
      <c r="M8571" s="43">
        <f>IF($I8571=0,0,IF(OR(INDEX(DarlOhneTilgung,18)=1,AND(INDEX(DarlTilgStart,18)&gt;0,$E8571&lt;INDEX(DarlTilgStart,18))),0,MIN(MAX(0,$K8571-$L8571),$J8571)))</f>
      </c>
      <c r="N8571" s="43">
        <f>IF($I8571=0,0,MIN(SUMIFS(SondBetrag,SondDarl,18,SondDatum,"&gt;="&amp;$E8571,SondDatum,"&lt;="&amp;EOMONTH($E8571,0)),$J8571-$M8571))</f>
      </c>
      <c r="O8571" s="43">
        <f>IF($I8571=0,0,INDEX(DarlErsatzRate,18))</f>
      </c>
      <c r="P8571" s="43">
        <f>IF($I8571=0,0,$Q8570*INDEX(DarlErsatzZins,18))</f>
      </c>
      <c r="Q8571" s="43">
        <f>IF($I8571=0,0,$Q8570+$P8571+$O8571)</f>
      </c>
      <c r="R8571" s="43">
        <f>IF($I8571=0,0,$J8571-$M8571-$N8571)</f>
      </c>
    </row>
    <row r="8572">
      <c r="A8572"/>
      <c r="B8572">
        <v>18</v>
      </c>
      <c r="C8572" s="43">
        <f>INDEX(DarlObj,18)</f>
      </c>
      <c r="D8572">
        <v>409</v>
      </c>
      <c r="E8572" s="51">
        <f>IF(INDEX(DarlBelegt,18)=0,0,EOMONTH(INDEX(DarlAuszahlung,18),408)+1)</f>
      </c>
      <c r="F8572" s="43">
        <f>IF($E8572=0,0,YEAR($E8572))</f>
      </c>
      <c r="G8572" s="43">
        <f>IF(INDEX(DarlBindung,18)="",1,IF($E8572&lt;=INDEX(DarlBindung,18),1,0))</f>
      </c>
      <c r="H8572" s="43">
        <f>IF($G8572=1,INDEX(DarlSollzins,18),INDEX(DarlAnschluss,18))</f>
      </c>
      <c r="I8572" s="43">
        <f>IF(INDEX(DarlBelegt,18)=0,0,IF(INDEX(DarlOhneTilgung,18)=1,IF(INDEX(DarlBindung,18)="",1,$G8572),IF($J8572&gt;0.005,1,0)))</f>
      </c>
      <c r="J8572" s="43">
        <f>IF($I8571=0,0,$R8571)</f>
      </c>
      <c r="K8572" s="43">
        <f>IF($I8572=0,0,IF(INDEX(DarlOhneTilgung,18)=1,0,IF(AND(INDEX(DarlTilgStart,18)&gt;0,$E8572=INDEX(DarlTilgStart,18)),$J8572*($H8572+INDEX(DarlTilgung,18))/100/12,IF(AND($G8572=0,$G8571=1),MAX($K8571,$J8572*($H8572+1)/100/12),$K8571))))</f>
      </c>
      <c r="L8572" s="43">
        <f>IF($I8572=0,0,$J8572*$H8572/100/12)</f>
      </c>
      <c r="M8572" s="43">
        <f>IF($I8572=0,0,IF(OR(INDEX(DarlOhneTilgung,18)=1,AND(INDEX(DarlTilgStart,18)&gt;0,$E8572&lt;INDEX(DarlTilgStart,18))),0,MIN(MAX(0,$K8572-$L8572),$J8572)))</f>
      </c>
      <c r="N8572" s="43">
        <f>IF($I8572=0,0,MIN(SUMIFS(SondBetrag,SondDarl,18,SondDatum,"&gt;="&amp;$E8572,SondDatum,"&lt;="&amp;EOMONTH($E8572,0)),$J8572-$M8572))</f>
      </c>
      <c r="O8572" s="43">
        <f>IF($I8572=0,0,INDEX(DarlErsatzRate,18))</f>
      </c>
      <c r="P8572" s="43">
        <f>IF($I8572=0,0,$Q8571*INDEX(DarlErsatzZins,18))</f>
      </c>
      <c r="Q8572" s="43">
        <f>IF($I8572=0,0,$Q8571+$P8572+$O8572)</f>
      </c>
      <c r="R8572" s="43">
        <f>IF($I8572=0,0,$J8572-$M8572-$N8572)</f>
      </c>
    </row>
    <row r="8573">
      <c r="A8573"/>
      <c r="B8573">
        <v>18</v>
      </c>
      <c r="C8573" s="43">
        <f>INDEX(DarlObj,18)</f>
      </c>
      <c r="D8573">
        <v>410</v>
      </c>
      <c r="E8573" s="51">
        <f>IF(INDEX(DarlBelegt,18)=0,0,EOMONTH(INDEX(DarlAuszahlung,18),409)+1)</f>
      </c>
      <c r="F8573" s="43">
        <f>IF($E8573=0,0,YEAR($E8573))</f>
      </c>
      <c r="G8573" s="43">
        <f>IF(INDEX(DarlBindung,18)="",1,IF($E8573&lt;=INDEX(DarlBindung,18),1,0))</f>
      </c>
      <c r="H8573" s="43">
        <f>IF($G8573=1,INDEX(DarlSollzins,18),INDEX(DarlAnschluss,18))</f>
      </c>
      <c r="I8573" s="43">
        <f>IF(INDEX(DarlBelegt,18)=0,0,IF(INDEX(DarlOhneTilgung,18)=1,IF(INDEX(DarlBindung,18)="",1,$G8573),IF($J8573&gt;0.005,1,0)))</f>
      </c>
      <c r="J8573" s="43">
        <f>IF($I8572=0,0,$R8572)</f>
      </c>
      <c r="K8573" s="43">
        <f>IF($I8573=0,0,IF(INDEX(DarlOhneTilgung,18)=1,0,IF(AND(INDEX(DarlTilgStart,18)&gt;0,$E8573=INDEX(DarlTilgStart,18)),$J8573*($H8573+INDEX(DarlTilgung,18))/100/12,IF(AND($G8573=0,$G8572=1),MAX($K8572,$J8573*($H8573+1)/100/12),$K8572))))</f>
      </c>
      <c r="L8573" s="43">
        <f>IF($I8573=0,0,$J8573*$H8573/100/12)</f>
      </c>
      <c r="M8573" s="43">
        <f>IF($I8573=0,0,IF(OR(INDEX(DarlOhneTilgung,18)=1,AND(INDEX(DarlTilgStart,18)&gt;0,$E8573&lt;INDEX(DarlTilgStart,18))),0,MIN(MAX(0,$K8573-$L8573),$J8573)))</f>
      </c>
      <c r="N8573" s="43">
        <f>IF($I8573=0,0,MIN(SUMIFS(SondBetrag,SondDarl,18,SondDatum,"&gt;="&amp;$E8573,SondDatum,"&lt;="&amp;EOMONTH($E8573,0)),$J8573-$M8573))</f>
      </c>
      <c r="O8573" s="43">
        <f>IF($I8573=0,0,INDEX(DarlErsatzRate,18))</f>
      </c>
      <c r="P8573" s="43">
        <f>IF($I8573=0,0,$Q8572*INDEX(DarlErsatzZins,18))</f>
      </c>
      <c r="Q8573" s="43">
        <f>IF($I8573=0,0,$Q8572+$P8573+$O8573)</f>
      </c>
      <c r="R8573" s="43">
        <f>IF($I8573=0,0,$J8573-$M8573-$N8573)</f>
      </c>
    </row>
    <row r="8574">
      <c r="A8574"/>
      <c r="B8574">
        <v>18</v>
      </c>
      <c r="C8574" s="43">
        <f>INDEX(DarlObj,18)</f>
      </c>
      <c r="D8574">
        <v>411</v>
      </c>
      <c r="E8574" s="51">
        <f>IF(INDEX(DarlBelegt,18)=0,0,EOMONTH(INDEX(DarlAuszahlung,18),410)+1)</f>
      </c>
      <c r="F8574" s="43">
        <f>IF($E8574=0,0,YEAR($E8574))</f>
      </c>
      <c r="G8574" s="43">
        <f>IF(INDEX(DarlBindung,18)="",1,IF($E8574&lt;=INDEX(DarlBindung,18),1,0))</f>
      </c>
      <c r="H8574" s="43">
        <f>IF($G8574=1,INDEX(DarlSollzins,18),INDEX(DarlAnschluss,18))</f>
      </c>
      <c r="I8574" s="43">
        <f>IF(INDEX(DarlBelegt,18)=0,0,IF(INDEX(DarlOhneTilgung,18)=1,IF(INDEX(DarlBindung,18)="",1,$G8574),IF($J8574&gt;0.005,1,0)))</f>
      </c>
      <c r="J8574" s="43">
        <f>IF($I8573=0,0,$R8573)</f>
      </c>
      <c r="K8574" s="43">
        <f>IF($I8574=0,0,IF(INDEX(DarlOhneTilgung,18)=1,0,IF(AND(INDEX(DarlTilgStart,18)&gt;0,$E8574=INDEX(DarlTilgStart,18)),$J8574*($H8574+INDEX(DarlTilgung,18))/100/12,IF(AND($G8574=0,$G8573=1),MAX($K8573,$J8574*($H8574+1)/100/12),$K8573))))</f>
      </c>
      <c r="L8574" s="43">
        <f>IF($I8574=0,0,$J8574*$H8574/100/12)</f>
      </c>
      <c r="M8574" s="43">
        <f>IF($I8574=0,0,IF(OR(INDEX(DarlOhneTilgung,18)=1,AND(INDEX(DarlTilgStart,18)&gt;0,$E8574&lt;INDEX(DarlTilgStart,18))),0,MIN(MAX(0,$K8574-$L8574),$J8574)))</f>
      </c>
      <c r="N8574" s="43">
        <f>IF($I8574=0,0,MIN(SUMIFS(SondBetrag,SondDarl,18,SondDatum,"&gt;="&amp;$E8574,SondDatum,"&lt;="&amp;EOMONTH($E8574,0)),$J8574-$M8574))</f>
      </c>
      <c r="O8574" s="43">
        <f>IF($I8574=0,0,INDEX(DarlErsatzRate,18))</f>
      </c>
      <c r="P8574" s="43">
        <f>IF($I8574=0,0,$Q8573*INDEX(DarlErsatzZins,18))</f>
      </c>
      <c r="Q8574" s="43">
        <f>IF($I8574=0,0,$Q8573+$P8574+$O8574)</f>
      </c>
      <c r="R8574" s="43">
        <f>IF($I8574=0,0,$J8574-$M8574-$N8574)</f>
      </c>
    </row>
    <row r="8575">
      <c r="A8575"/>
      <c r="B8575">
        <v>18</v>
      </c>
      <c r="C8575" s="43">
        <f>INDEX(DarlObj,18)</f>
      </c>
      <c r="D8575">
        <v>412</v>
      </c>
      <c r="E8575" s="51">
        <f>IF(INDEX(DarlBelegt,18)=0,0,EOMONTH(INDEX(DarlAuszahlung,18),411)+1)</f>
      </c>
      <c r="F8575" s="43">
        <f>IF($E8575=0,0,YEAR($E8575))</f>
      </c>
      <c r="G8575" s="43">
        <f>IF(INDEX(DarlBindung,18)="",1,IF($E8575&lt;=INDEX(DarlBindung,18),1,0))</f>
      </c>
      <c r="H8575" s="43">
        <f>IF($G8575=1,INDEX(DarlSollzins,18),INDEX(DarlAnschluss,18))</f>
      </c>
      <c r="I8575" s="43">
        <f>IF(INDEX(DarlBelegt,18)=0,0,IF(INDEX(DarlOhneTilgung,18)=1,IF(INDEX(DarlBindung,18)="",1,$G8575),IF($J8575&gt;0.005,1,0)))</f>
      </c>
      <c r="J8575" s="43">
        <f>IF($I8574=0,0,$R8574)</f>
      </c>
      <c r="K8575" s="43">
        <f>IF($I8575=0,0,IF(INDEX(DarlOhneTilgung,18)=1,0,IF(AND(INDEX(DarlTilgStart,18)&gt;0,$E8575=INDEX(DarlTilgStart,18)),$J8575*($H8575+INDEX(DarlTilgung,18))/100/12,IF(AND($G8575=0,$G8574=1),MAX($K8574,$J8575*($H8575+1)/100/12),$K8574))))</f>
      </c>
      <c r="L8575" s="43">
        <f>IF($I8575=0,0,$J8575*$H8575/100/12)</f>
      </c>
      <c r="M8575" s="43">
        <f>IF($I8575=0,0,IF(OR(INDEX(DarlOhneTilgung,18)=1,AND(INDEX(DarlTilgStart,18)&gt;0,$E8575&lt;INDEX(DarlTilgStart,18))),0,MIN(MAX(0,$K8575-$L8575),$J8575)))</f>
      </c>
      <c r="N8575" s="43">
        <f>IF($I8575=0,0,MIN(SUMIFS(SondBetrag,SondDarl,18,SondDatum,"&gt;="&amp;$E8575,SondDatum,"&lt;="&amp;EOMONTH($E8575,0)),$J8575-$M8575))</f>
      </c>
      <c r="O8575" s="43">
        <f>IF($I8575=0,0,INDEX(DarlErsatzRate,18))</f>
      </c>
      <c r="P8575" s="43">
        <f>IF($I8575=0,0,$Q8574*INDEX(DarlErsatzZins,18))</f>
      </c>
      <c r="Q8575" s="43">
        <f>IF($I8575=0,0,$Q8574+$P8575+$O8575)</f>
      </c>
      <c r="R8575" s="43">
        <f>IF($I8575=0,0,$J8575-$M8575-$N8575)</f>
      </c>
    </row>
    <row r="8576">
      <c r="A8576"/>
      <c r="B8576">
        <v>18</v>
      </c>
      <c r="C8576" s="43">
        <f>INDEX(DarlObj,18)</f>
      </c>
      <c r="D8576">
        <v>413</v>
      </c>
      <c r="E8576" s="51">
        <f>IF(INDEX(DarlBelegt,18)=0,0,EOMONTH(INDEX(DarlAuszahlung,18),412)+1)</f>
      </c>
      <c r="F8576" s="43">
        <f>IF($E8576=0,0,YEAR($E8576))</f>
      </c>
      <c r="G8576" s="43">
        <f>IF(INDEX(DarlBindung,18)="",1,IF($E8576&lt;=INDEX(DarlBindung,18),1,0))</f>
      </c>
      <c r="H8576" s="43">
        <f>IF($G8576=1,INDEX(DarlSollzins,18),INDEX(DarlAnschluss,18))</f>
      </c>
      <c r="I8576" s="43">
        <f>IF(INDEX(DarlBelegt,18)=0,0,IF(INDEX(DarlOhneTilgung,18)=1,IF(INDEX(DarlBindung,18)="",1,$G8576),IF($J8576&gt;0.005,1,0)))</f>
      </c>
      <c r="J8576" s="43">
        <f>IF($I8575=0,0,$R8575)</f>
      </c>
      <c r="K8576" s="43">
        <f>IF($I8576=0,0,IF(INDEX(DarlOhneTilgung,18)=1,0,IF(AND(INDEX(DarlTilgStart,18)&gt;0,$E8576=INDEX(DarlTilgStart,18)),$J8576*($H8576+INDEX(DarlTilgung,18))/100/12,IF(AND($G8576=0,$G8575=1),MAX($K8575,$J8576*($H8576+1)/100/12),$K8575))))</f>
      </c>
      <c r="L8576" s="43">
        <f>IF($I8576=0,0,$J8576*$H8576/100/12)</f>
      </c>
      <c r="M8576" s="43">
        <f>IF($I8576=0,0,IF(OR(INDEX(DarlOhneTilgung,18)=1,AND(INDEX(DarlTilgStart,18)&gt;0,$E8576&lt;INDEX(DarlTilgStart,18))),0,MIN(MAX(0,$K8576-$L8576),$J8576)))</f>
      </c>
      <c r="N8576" s="43">
        <f>IF($I8576=0,0,MIN(SUMIFS(SondBetrag,SondDarl,18,SondDatum,"&gt;="&amp;$E8576,SondDatum,"&lt;="&amp;EOMONTH($E8576,0)),$J8576-$M8576))</f>
      </c>
      <c r="O8576" s="43">
        <f>IF($I8576=0,0,INDEX(DarlErsatzRate,18))</f>
      </c>
      <c r="P8576" s="43">
        <f>IF($I8576=0,0,$Q8575*INDEX(DarlErsatzZins,18))</f>
      </c>
      <c r="Q8576" s="43">
        <f>IF($I8576=0,0,$Q8575+$P8576+$O8576)</f>
      </c>
      <c r="R8576" s="43">
        <f>IF($I8576=0,0,$J8576-$M8576-$N8576)</f>
      </c>
    </row>
    <row r="8577">
      <c r="A8577"/>
      <c r="B8577">
        <v>18</v>
      </c>
      <c r="C8577" s="43">
        <f>INDEX(DarlObj,18)</f>
      </c>
      <c r="D8577">
        <v>414</v>
      </c>
      <c r="E8577" s="51">
        <f>IF(INDEX(DarlBelegt,18)=0,0,EOMONTH(INDEX(DarlAuszahlung,18),413)+1)</f>
      </c>
      <c r="F8577" s="43">
        <f>IF($E8577=0,0,YEAR($E8577))</f>
      </c>
      <c r="G8577" s="43">
        <f>IF(INDEX(DarlBindung,18)="",1,IF($E8577&lt;=INDEX(DarlBindung,18),1,0))</f>
      </c>
      <c r="H8577" s="43">
        <f>IF($G8577=1,INDEX(DarlSollzins,18),INDEX(DarlAnschluss,18))</f>
      </c>
      <c r="I8577" s="43">
        <f>IF(INDEX(DarlBelegt,18)=0,0,IF(INDEX(DarlOhneTilgung,18)=1,IF(INDEX(DarlBindung,18)="",1,$G8577),IF($J8577&gt;0.005,1,0)))</f>
      </c>
      <c r="J8577" s="43">
        <f>IF($I8576=0,0,$R8576)</f>
      </c>
      <c r="K8577" s="43">
        <f>IF($I8577=0,0,IF(INDEX(DarlOhneTilgung,18)=1,0,IF(AND(INDEX(DarlTilgStart,18)&gt;0,$E8577=INDEX(DarlTilgStart,18)),$J8577*($H8577+INDEX(DarlTilgung,18))/100/12,IF(AND($G8577=0,$G8576=1),MAX($K8576,$J8577*($H8577+1)/100/12),$K8576))))</f>
      </c>
      <c r="L8577" s="43">
        <f>IF($I8577=0,0,$J8577*$H8577/100/12)</f>
      </c>
      <c r="M8577" s="43">
        <f>IF($I8577=0,0,IF(OR(INDEX(DarlOhneTilgung,18)=1,AND(INDEX(DarlTilgStart,18)&gt;0,$E8577&lt;INDEX(DarlTilgStart,18))),0,MIN(MAX(0,$K8577-$L8577),$J8577)))</f>
      </c>
      <c r="N8577" s="43">
        <f>IF($I8577=0,0,MIN(SUMIFS(SondBetrag,SondDarl,18,SondDatum,"&gt;="&amp;$E8577,SondDatum,"&lt;="&amp;EOMONTH($E8577,0)),$J8577-$M8577))</f>
      </c>
      <c r="O8577" s="43">
        <f>IF($I8577=0,0,INDEX(DarlErsatzRate,18))</f>
      </c>
      <c r="P8577" s="43">
        <f>IF($I8577=0,0,$Q8576*INDEX(DarlErsatzZins,18))</f>
      </c>
      <c r="Q8577" s="43">
        <f>IF($I8577=0,0,$Q8576+$P8577+$O8577)</f>
      </c>
      <c r="R8577" s="43">
        <f>IF($I8577=0,0,$J8577-$M8577-$N8577)</f>
      </c>
    </row>
    <row r="8578">
      <c r="A8578"/>
      <c r="B8578">
        <v>18</v>
      </c>
      <c r="C8578" s="43">
        <f>INDEX(DarlObj,18)</f>
      </c>
      <c r="D8578">
        <v>415</v>
      </c>
      <c r="E8578" s="51">
        <f>IF(INDEX(DarlBelegt,18)=0,0,EOMONTH(INDEX(DarlAuszahlung,18),414)+1)</f>
      </c>
      <c r="F8578" s="43">
        <f>IF($E8578=0,0,YEAR($E8578))</f>
      </c>
      <c r="G8578" s="43">
        <f>IF(INDEX(DarlBindung,18)="",1,IF($E8578&lt;=INDEX(DarlBindung,18),1,0))</f>
      </c>
      <c r="H8578" s="43">
        <f>IF($G8578=1,INDEX(DarlSollzins,18),INDEX(DarlAnschluss,18))</f>
      </c>
      <c r="I8578" s="43">
        <f>IF(INDEX(DarlBelegt,18)=0,0,IF(INDEX(DarlOhneTilgung,18)=1,IF(INDEX(DarlBindung,18)="",1,$G8578),IF($J8578&gt;0.005,1,0)))</f>
      </c>
      <c r="J8578" s="43">
        <f>IF($I8577=0,0,$R8577)</f>
      </c>
      <c r="K8578" s="43">
        <f>IF($I8578=0,0,IF(INDEX(DarlOhneTilgung,18)=1,0,IF(AND(INDEX(DarlTilgStart,18)&gt;0,$E8578=INDEX(DarlTilgStart,18)),$J8578*($H8578+INDEX(DarlTilgung,18))/100/12,IF(AND($G8578=0,$G8577=1),MAX($K8577,$J8578*($H8578+1)/100/12),$K8577))))</f>
      </c>
      <c r="L8578" s="43">
        <f>IF($I8578=0,0,$J8578*$H8578/100/12)</f>
      </c>
      <c r="M8578" s="43">
        <f>IF($I8578=0,0,IF(OR(INDEX(DarlOhneTilgung,18)=1,AND(INDEX(DarlTilgStart,18)&gt;0,$E8578&lt;INDEX(DarlTilgStart,18))),0,MIN(MAX(0,$K8578-$L8578),$J8578)))</f>
      </c>
      <c r="N8578" s="43">
        <f>IF($I8578=0,0,MIN(SUMIFS(SondBetrag,SondDarl,18,SondDatum,"&gt;="&amp;$E8578,SondDatum,"&lt;="&amp;EOMONTH($E8578,0)),$J8578-$M8578))</f>
      </c>
      <c r="O8578" s="43">
        <f>IF($I8578=0,0,INDEX(DarlErsatzRate,18))</f>
      </c>
      <c r="P8578" s="43">
        <f>IF($I8578=0,0,$Q8577*INDEX(DarlErsatzZins,18))</f>
      </c>
      <c r="Q8578" s="43">
        <f>IF($I8578=0,0,$Q8577+$P8578+$O8578)</f>
      </c>
      <c r="R8578" s="43">
        <f>IF($I8578=0,0,$J8578-$M8578-$N8578)</f>
      </c>
    </row>
    <row r="8579">
      <c r="A8579"/>
      <c r="B8579">
        <v>18</v>
      </c>
      <c r="C8579" s="43">
        <f>INDEX(DarlObj,18)</f>
      </c>
      <c r="D8579">
        <v>416</v>
      </c>
      <c r="E8579" s="51">
        <f>IF(INDEX(DarlBelegt,18)=0,0,EOMONTH(INDEX(DarlAuszahlung,18),415)+1)</f>
      </c>
      <c r="F8579" s="43">
        <f>IF($E8579=0,0,YEAR($E8579))</f>
      </c>
      <c r="G8579" s="43">
        <f>IF(INDEX(DarlBindung,18)="",1,IF($E8579&lt;=INDEX(DarlBindung,18),1,0))</f>
      </c>
      <c r="H8579" s="43">
        <f>IF($G8579=1,INDEX(DarlSollzins,18),INDEX(DarlAnschluss,18))</f>
      </c>
      <c r="I8579" s="43">
        <f>IF(INDEX(DarlBelegt,18)=0,0,IF(INDEX(DarlOhneTilgung,18)=1,IF(INDEX(DarlBindung,18)="",1,$G8579),IF($J8579&gt;0.005,1,0)))</f>
      </c>
      <c r="J8579" s="43">
        <f>IF($I8578=0,0,$R8578)</f>
      </c>
      <c r="K8579" s="43">
        <f>IF($I8579=0,0,IF(INDEX(DarlOhneTilgung,18)=1,0,IF(AND(INDEX(DarlTilgStart,18)&gt;0,$E8579=INDEX(DarlTilgStart,18)),$J8579*($H8579+INDEX(DarlTilgung,18))/100/12,IF(AND($G8579=0,$G8578=1),MAX($K8578,$J8579*($H8579+1)/100/12),$K8578))))</f>
      </c>
      <c r="L8579" s="43">
        <f>IF($I8579=0,0,$J8579*$H8579/100/12)</f>
      </c>
      <c r="M8579" s="43">
        <f>IF($I8579=0,0,IF(OR(INDEX(DarlOhneTilgung,18)=1,AND(INDEX(DarlTilgStart,18)&gt;0,$E8579&lt;INDEX(DarlTilgStart,18))),0,MIN(MAX(0,$K8579-$L8579),$J8579)))</f>
      </c>
      <c r="N8579" s="43">
        <f>IF($I8579=0,0,MIN(SUMIFS(SondBetrag,SondDarl,18,SondDatum,"&gt;="&amp;$E8579,SondDatum,"&lt;="&amp;EOMONTH($E8579,0)),$J8579-$M8579))</f>
      </c>
      <c r="O8579" s="43">
        <f>IF($I8579=0,0,INDEX(DarlErsatzRate,18))</f>
      </c>
      <c r="P8579" s="43">
        <f>IF($I8579=0,0,$Q8578*INDEX(DarlErsatzZins,18))</f>
      </c>
      <c r="Q8579" s="43">
        <f>IF($I8579=0,0,$Q8578+$P8579+$O8579)</f>
      </c>
      <c r="R8579" s="43">
        <f>IF($I8579=0,0,$J8579-$M8579-$N8579)</f>
      </c>
    </row>
    <row r="8580">
      <c r="A8580"/>
      <c r="B8580">
        <v>18</v>
      </c>
      <c r="C8580" s="43">
        <f>INDEX(DarlObj,18)</f>
      </c>
      <c r="D8580">
        <v>417</v>
      </c>
      <c r="E8580" s="51">
        <f>IF(INDEX(DarlBelegt,18)=0,0,EOMONTH(INDEX(DarlAuszahlung,18),416)+1)</f>
      </c>
      <c r="F8580" s="43">
        <f>IF($E8580=0,0,YEAR($E8580))</f>
      </c>
      <c r="G8580" s="43">
        <f>IF(INDEX(DarlBindung,18)="",1,IF($E8580&lt;=INDEX(DarlBindung,18),1,0))</f>
      </c>
      <c r="H8580" s="43">
        <f>IF($G8580=1,INDEX(DarlSollzins,18),INDEX(DarlAnschluss,18))</f>
      </c>
      <c r="I8580" s="43">
        <f>IF(INDEX(DarlBelegt,18)=0,0,IF(INDEX(DarlOhneTilgung,18)=1,IF(INDEX(DarlBindung,18)="",1,$G8580),IF($J8580&gt;0.005,1,0)))</f>
      </c>
      <c r="J8580" s="43">
        <f>IF($I8579=0,0,$R8579)</f>
      </c>
      <c r="K8580" s="43">
        <f>IF($I8580=0,0,IF(INDEX(DarlOhneTilgung,18)=1,0,IF(AND(INDEX(DarlTilgStart,18)&gt;0,$E8580=INDEX(DarlTilgStart,18)),$J8580*($H8580+INDEX(DarlTilgung,18))/100/12,IF(AND($G8580=0,$G8579=1),MAX($K8579,$J8580*($H8580+1)/100/12),$K8579))))</f>
      </c>
      <c r="L8580" s="43">
        <f>IF($I8580=0,0,$J8580*$H8580/100/12)</f>
      </c>
      <c r="M8580" s="43">
        <f>IF($I8580=0,0,IF(OR(INDEX(DarlOhneTilgung,18)=1,AND(INDEX(DarlTilgStart,18)&gt;0,$E8580&lt;INDEX(DarlTilgStart,18))),0,MIN(MAX(0,$K8580-$L8580),$J8580)))</f>
      </c>
      <c r="N8580" s="43">
        <f>IF($I8580=0,0,MIN(SUMIFS(SondBetrag,SondDarl,18,SondDatum,"&gt;="&amp;$E8580,SondDatum,"&lt;="&amp;EOMONTH($E8580,0)),$J8580-$M8580))</f>
      </c>
      <c r="O8580" s="43">
        <f>IF($I8580=0,0,INDEX(DarlErsatzRate,18))</f>
      </c>
      <c r="P8580" s="43">
        <f>IF($I8580=0,0,$Q8579*INDEX(DarlErsatzZins,18))</f>
      </c>
      <c r="Q8580" s="43">
        <f>IF($I8580=0,0,$Q8579+$P8580+$O8580)</f>
      </c>
      <c r="R8580" s="43">
        <f>IF($I8580=0,0,$J8580-$M8580-$N8580)</f>
      </c>
    </row>
    <row r="8581">
      <c r="A8581"/>
      <c r="B8581">
        <v>18</v>
      </c>
      <c r="C8581" s="43">
        <f>INDEX(DarlObj,18)</f>
      </c>
      <c r="D8581">
        <v>418</v>
      </c>
      <c r="E8581" s="51">
        <f>IF(INDEX(DarlBelegt,18)=0,0,EOMONTH(INDEX(DarlAuszahlung,18),417)+1)</f>
      </c>
      <c r="F8581" s="43">
        <f>IF($E8581=0,0,YEAR($E8581))</f>
      </c>
      <c r="G8581" s="43">
        <f>IF(INDEX(DarlBindung,18)="",1,IF($E8581&lt;=INDEX(DarlBindung,18),1,0))</f>
      </c>
      <c r="H8581" s="43">
        <f>IF($G8581=1,INDEX(DarlSollzins,18),INDEX(DarlAnschluss,18))</f>
      </c>
      <c r="I8581" s="43">
        <f>IF(INDEX(DarlBelegt,18)=0,0,IF(INDEX(DarlOhneTilgung,18)=1,IF(INDEX(DarlBindung,18)="",1,$G8581),IF($J8581&gt;0.005,1,0)))</f>
      </c>
      <c r="J8581" s="43">
        <f>IF($I8580=0,0,$R8580)</f>
      </c>
      <c r="K8581" s="43">
        <f>IF($I8581=0,0,IF(INDEX(DarlOhneTilgung,18)=1,0,IF(AND(INDEX(DarlTilgStart,18)&gt;0,$E8581=INDEX(DarlTilgStart,18)),$J8581*($H8581+INDEX(DarlTilgung,18))/100/12,IF(AND($G8581=0,$G8580=1),MAX($K8580,$J8581*($H8581+1)/100/12),$K8580))))</f>
      </c>
      <c r="L8581" s="43">
        <f>IF($I8581=0,0,$J8581*$H8581/100/12)</f>
      </c>
      <c r="M8581" s="43">
        <f>IF($I8581=0,0,IF(OR(INDEX(DarlOhneTilgung,18)=1,AND(INDEX(DarlTilgStart,18)&gt;0,$E8581&lt;INDEX(DarlTilgStart,18))),0,MIN(MAX(0,$K8581-$L8581),$J8581)))</f>
      </c>
      <c r="N8581" s="43">
        <f>IF($I8581=0,0,MIN(SUMIFS(SondBetrag,SondDarl,18,SondDatum,"&gt;="&amp;$E8581,SondDatum,"&lt;="&amp;EOMONTH($E8581,0)),$J8581-$M8581))</f>
      </c>
      <c r="O8581" s="43">
        <f>IF($I8581=0,0,INDEX(DarlErsatzRate,18))</f>
      </c>
      <c r="P8581" s="43">
        <f>IF($I8581=0,0,$Q8580*INDEX(DarlErsatzZins,18))</f>
      </c>
      <c r="Q8581" s="43">
        <f>IF($I8581=0,0,$Q8580+$P8581+$O8581)</f>
      </c>
      <c r="R8581" s="43">
        <f>IF($I8581=0,0,$J8581-$M8581-$N8581)</f>
      </c>
    </row>
    <row r="8582">
      <c r="A8582"/>
      <c r="B8582">
        <v>18</v>
      </c>
      <c r="C8582" s="43">
        <f>INDEX(DarlObj,18)</f>
      </c>
      <c r="D8582">
        <v>419</v>
      </c>
      <c r="E8582" s="51">
        <f>IF(INDEX(DarlBelegt,18)=0,0,EOMONTH(INDEX(DarlAuszahlung,18),418)+1)</f>
      </c>
      <c r="F8582" s="43">
        <f>IF($E8582=0,0,YEAR($E8582))</f>
      </c>
      <c r="G8582" s="43">
        <f>IF(INDEX(DarlBindung,18)="",1,IF($E8582&lt;=INDEX(DarlBindung,18),1,0))</f>
      </c>
      <c r="H8582" s="43">
        <f>IF($G8582=1,INDEX(DarlSollzins,18),INDEX(DarlAnschluss,18))</f>
      </c>
      <c r="I8582" s="43">
        <f>IF(INDEX(DarlBelegt,18)=0,0,IF(INDEX(DarlOhneTilgung,18)=1,IF(INDEX(DarlBindung,18)="",1,$G8582),IF($J8582&gt;0.005,1,0)))</f>
      </c>
      <c r="J8582" s="43">
        <f>IF($I8581=0,0,$R8581)</f>
      </c>
      <c r="K8582" s="43">
        <f>IF($I8582=0,0,IF(INDEX(DarlOhneTilgung,18)=1,0,IF(AND(INDEX(DarlTilgStart,18)&gt;0,$E8582=INDEX(DarlTilgStart,18)),$J8582*($H8582+INDEX(DarlTilgung,18))/100/12,IF(AND($G8582=0,$G8581=1),MAX($K8581,$J8582*($H8582+1)/100/12),$K8581))))</f>
      </c>
      <c r="L8582" s="43">
        <f>IF($I8582=0,0,$J8582*$H8582/100/12)</f>
      </c>
      <c r="M8582" s="43">
        <f>IF($I8582=0,0,IF(OR(INDEX(DarlOhneTilgung,18)=1,AND(INDEX(DarlTilgStart,18)&gt;0,$E8582&lt;INDEX(DarlTilgStart,18))),0,MIN(MAX(0,$K8582-$L8582),$J8582)))</f>
      </c>
      <c r="N8582" s="43">
        <f>IF($I8582=0,0,MIN(SUMIFS(SondBetrag,SondDarl,18,SondDatum,"&gt;="&amp;$E8582,SondDatum,"&lt;="&amp;EOMONTH($E8582,0)),$J8582-$M8582))</f>
      </c>
      <c r="O8582" s="43">
        <f>IF($I8582=0,0,INDEX(DarlErsatzRate,18))</f>
      </c>
      <c r="P8582" s="43">
        <f>IF($I8582=0,0,$Q8581*INDEX(DarlErsatzZins,18))</f>
      </c>
      <c r="Q8582" s="43">
        <f>IF($I8582=0,0,$Q8581+$P8582+$O8582)</f>
      </c>
      <c r="R8582" s="43">
        <f>IF($I8582=0,0,$J8582-$M8582-$N8582)</f>
      </c>
    </row>
    <row r="8583">
      <c r="A8583"/>
      <c r="B8583">
        <v>18</v>
      </c>
      <c r="C8583" s="43">
        <f>INDEX(DarlObj,18)</f>
      </c>
      <c r="D8583">
        <v>420</v>
      </c>
      <c r="E8583" s="51">
        <f>IF(INDEX(DarlBelegt,18)=0,0,EOMONTH(INDEX(DarlAuszahlung,18),419)+1)</f>
      </c>
      <c r="F8583" s="43">
        <f>IF($E8583=0,0,YEAR($E8583))</f>
      </c>
      <c r="G8583" s="43">
        <f>IF(INDEX(DarlBindung,18)="",1,IF($E8583&lt;=INDEX(DarlBindung,18),1,0))</f>
      </c>
      <c r="H8583" s="43">
        <f>IF($G8583=1,INDEX(DarlSollzins,18),INDEX(DarlAnschluss,18))</f>
      </c>
      <c r="I8583" s="43">
        <f>IF(INDEX(DarlBelegt,18)=0,0,IF(INDEX(DarlOhneTilgung,18)=1,IF(INDEX(DarlBindung,18)="",1,$G8583),IF($J8583&gt;0.005,1,0)))</f>
      </c>
      <c r="J8583" s="43">
        <f>IF($I8582=0,0,$R8582)</f>
      </c>
      <c r="K8583" s="43">
        <f>IF($I8583=0,0,IF(INDEX(DarlOhneTilgung,18)=1,0,IF(AND(INDEX(DarlTilgStart,18)&gt;0,$E8583=INDEX(DarlTilgStart,18)),$J8583*($H8583+INDEX(DarlTilgung,18))/100/12,IF(AND($G8583=0,$G8582=1),MAX($K8582,$J8583*($H8583+1)/100/12),$K8582))))</f>
      </c>
      <c r="L8583" s="43">
        <f>IF($I8583=0,0,$J8583*$H8583/100/12)</f>
      </c>
      <c r="M8583" s="43">
        <f>IF($I8583=0,0,IF(OR(INDEX(DarlOhneTilgung,18)=1,AND(INDEX(DarlTilgStart,18)&gt;0,$E8583&lt;INDEX(DarlTilgStart,18))),0,MIN(MAX(0,$K8583-$L8583),$J8583)))</f>
      </c>
      <c r="N8583" s="43">
        <f>IF($I8583=0,0,MIN(SUMIFS(SondBetrag,SondDarl,18,SondDatum,"&gt;="&amp;$E8583,SondDatum,"&lt;="&amp;EOMONTH($E8583,0)),$J8583-$M8583))</f>
      </c>
      <c r="O8583" s="43">
        <f>IF($I8583=0,0,INDEX(DarlErsatzRate,18))</f>
      </c>
      <c r="P8583" s="43">
        <f>IF($I8583=0,0,$Q8582*INDEX(DarlErsatzZins,18))</f>
      </c>
      <c r="Q8583" s="43">
        <f>IF($I8583=0,0,$Q8582+$P8583+$O8583)</f>
      </c>
      <c r="R8583" s="43">
        <f>IF($I8583=0,0,$J8583-$M8583-$N8583)</f>
      </c>
    </row>
    <row r="8584">
      <c r="A8584"/>
      <c r="B8584">
        <v>18</v>
      </c>
      <c r="C8584" s="43">
        <f>INDEX(DarlObj,18)</f>
      </c>
      <c r="D8584">
        <v>421</v>
      </c>
      <c r="E8584" s="51">
        <f>IF(INDEX(DarlBelegt,18)=0,0,EOMONTH(INDEX(DarlAuszahlung,18),420)+1)</f>
      </c>
      <c r="F8584" s="43">
        <f>IF($E8584=0,0,YEAR($E8584))</f>
      </c>
      <c r="G8584" s="43">
        <f>IF(INDEX(DarlBindung,18)="",1,IF($E8584&lt;=INDEX(DarlBindung,18),1,0))</f>
      </c>
      <c r="H8584" s="43">
        <f>IF($G8584=1,INDEX(DarlSollzins,18),INDEX(DarlAnschluss,18))</f>
      </c>
      <c r="I8584" s="43">
        <f>IF(INDEX(DarlBelegt,18)=0,0,IF(INDEX(DarlOhneTilgung,18)=1,IF(INDEX(DarlBindung,18)="",1,$G8584),IF($J8584&gt;0.005,1,0)))</f>
      </c>
      <c r="J8584" s="43">
        <f>IF($I8583=0,0,$R8583)</f>
      </c>
      <c r="K8584" s="43">
        <f>IF($I8584=0,0,IF(INDEX(DarlOhneTilgung,18)=1,0,IF(AND(INDEX(DarlTilgStart,18)&gt;0,$E8584=INDEX(DarlTilgStart,18)),$J8584*($H8584+INDEX(DarlTilgung,18))/100/12,IF(AND($G8584=0,$G8583=1),MAX($K8583,$J8584*($H8584+1)/100/12),$K8583))))</f>
      </c>
      <c r="L8584" s="43">
        <f>IF($I8584=0,0,$J8584*$H8584/100/12)</f>
      </c>
      <c r="M8584" s="43">
        <f>IF($I8584=0,0,IF(OR(INDEX(DarlOhneTilgung,18)=1,AND(INDEX(DarlTilgStart,18)&gt;0,$E8584&lt;INDEX(DarlTilgStart,18))),0,MIN(MAX(0,$K8584-$L8584),$J8584)))</f>
      </c>
      <c r="N8584" s="43">
        <f>IF($I8584=0,0,MIN(SUMIFS(SondBetrag,SondDarl,18,SondDatum,"&gt;="&amp;$E8584,SondDatum,"&lt;="&amp;EOMONTH($E8584,0)),$J8584-$M8584))</f>
      </c>
      <c r="O8584" s="43">
        <f>IF($I8584=0,0,INDEX(DarlErsatzRate,18))</f>
      </c>
      <c r="P8584" s="43">
        <f>IF($I8584=0,0,$Q8583*INDEX(DarlErsatzZins,18))</f>
      </c>
      <c r="Q8584" s="43">
        <f>IF($I8584=0,0,$Q8583+$P8584+$O8584)</f>
      </c>
      <c r="R8584" s="43">
        <f>IF($I8584=0,0,$J8584-$M8584-$N8584)</f>
      </c>
    </row>
    <row r="8585">
      <c r="A8585"/>
      <c r="B8585">
        <v>18</v>
      </c>
      <c r="C8585" s="43">
        <f>INDEX(DarlObj,18)</f>
      </c>
      <c r="D8585">
        <v>422</v>
      </c>
      <c r="E8585" s="51">
        <f>IF(INDEX(DarlBelegt,18)=0,0,EOMONTH(INDEX(DarlAuszahlung,18),421)+1)</f>
      </c>
      <c r="F8585" s="43">
        <f>IF($E8585=0,0,YEAR($E8585))</f>
      </c>
      <c r="G8585" s="43">
        <f>IF(INDEX(DarlBindung,18)="",1,IF($E8585&lt;=INDEX(DarlBindung,18),1,0))</f>
      </c>
      <c r="H8585" s="43">
        <f>IF($G8585=1,INDEX(DarlSollzins,18),INDEX(DarlAnschluss,18))</f>
      </c>
      <c r="I8585" s="43">
        <f>IF(INDEX(DarlBelegt,18)=0,0,IF(INDEX(DarlOhneTilgung,18)=1,IF(INDEX(DarlBindung,18)="",1,$G8585),IF($J8585&gt;0.005,1,0)))</f>
      </c>
      <c r="J8585" s="43">
        <f>IF($I8584=0,0,$R8584)</f>
      </c>
      <c r="K8585" s="43">
        <f>IF($I8585=0,0,IF(INDEX(DarlOhneTilgung,18)=1,0,IF(AND(INDEX(DarlTilgStart,18)&gt;0,$E8585=INDEX(DarlTilgStart,18)),$J8585*($H8585+INDEX(DarlTilgung,18))/100/12,IF(AND($G8585=0,$G8584=1),MAX($K8584,$J8585*($H8585+1)/100/12),$K8584))))</f>
      </c>
      <c r="L8585" s="43">
        <f>IF($I8585=0,0,$J8585*$H8585/100/12)</f>
      </c>
      <c r="M8585" s="43">
        <f>IF($I8585=0,0,IF(OR(INDEX(DarlOhneTilgung,18)=1,AND(INDEX(DarlTilgStart,18)&gt;0,$E8585&lt;INDEX(DarlTilgStart,18))),0,MIN(MAX(0,$K8585-$L8585),$J8585)))</f>
      </c>
      <c r="N8585" s="43">
        <f>IF($I8585=0,0,MIN(SUMIFS(SondBetrag,SondDarl,18,SondDatum,"&gt;="&amp;$E8585,SondDatum,"&lt;="&amp;EOMONTH($E8585,0)),$J8585-$M8585))</f>
      </c>
      <c r="O8585" s="43">
        <f>IF($I8585=0,0,INDEX(DarlErsatzRate,18))</f>
      </c>
      <c r="P8585" s="43">
        <f>IF($I8585=0,0,$Q8584*INDEX(DarlErsatzZins,18))</f>
      </c>
      <c r="Q8585" s="43">
        <f>IF($I8585=0,0,$Q8584+$P8585+$O8585)</f>
      </c>
      <c r="R8585" s="43">
        <f>IF($I8585=0,0,$J8585-$M8585-$N8585)</f>
      </c>
    </row>
    <row r="8586">
      <c r="A8586"/>
      <c r="B8586">
        <v>18</v>
      </c>
      <c r="C8586" s="43">
        <f>INDEX(DarlObj,18)</f>
      </c>
      <c r="D8586">
        <v>423</v>
      </c>
      <c r="E8586" s="51">
        <f>IF(INDEX(DarlBelegt,18)=0,0,EOMONTH(INDEX(DarlAuszahlung,18),422)+1)</f>
      </c>
      <c r="F8586" s="43">
        <f>IF($E8586=0,0,YEAR($E8586))</f>
      </c>
      <c r="G8586" s="43">
        <f>IF(INDEX(DarlBindung,18)="",1,IF($E8586&lt;=INDEX(DarlBindung,18),1,0))</f>
      </c>
      <c r="H8586" s="43">
        <f>IF($G8586=1,INDEX(DarlSollzins,18),INDEX(DarlAnschluss,18))</f>
      </c>
      <c r="I8586" s="43">
        <f>IF(INDEX(DarlBelegt,18)=0,0,IF(INDEX(DarlOhneTilgung,18)=1,IF(INDEX(DarlBindung,18)="",1,$G8586),IF($J8586&gt;0.005,1,0)))</f>
      </c>
      <c r="J8586" s="43">
        <f>IF($I8585=0,0,$R8585)</f>
      </c>
      <c r="K8586" s="43">
        <f>IF($I8586=0,0,IF(INDEX(DarlOhneTilgung,18)=1,0,IF(AND(INDEX(DarlTilgStart,18)&gt;0,$E8586=INDEX(DarlTilgStart,18)),$J8586*($H8586+INDEX(DarlTilgung,18))/100/12,IF(AND($G8586=0,$G8585=1),MAX($K8585,$J8586*($H8586+1)/100/12),$K8585))))</f>
      </c>
      <c r="L8586" s="43">
        <f>IF($I8586=0,0,$J8586*$H8586/100/12)</f>
      </c>
      <c r="M8586" s="43">
        <f>IF($I8586=0,0,IF(OR(INDEX(DarlOhneTilgung,18)=1,AND(INDEX(DarlTilgStart,18)&gt;0,$E8586&lt;INDEX(DarlTilgStart,18))),0,MIN(MAX(0,$K8586-$L8586),$J8586)))</f>
      </c>
      <c r="N8586" s="43">
        <f>IF($I8586=0,0,MIN(SUMIFS(SondBetrag,SondDarl,18,SondDatum,"&gt;="&amp;$E8586,SondDatum,"&lt;="&amp;EOMONTH($E8586,0)),$J8586-$M8586))</f>
      </c>
      <c r="O8586" s="43">
        <f>IF($I8586=0,0,INDEX(DarlErsatzRate,18))</f>
      </c>
      <c r="P8586" s="43">
        <f>IF($I8586=0,0,$Q8585*INDEX(DarlErsatzZins,18))</f>
      </c>
      <c r="Q8586" s="43">
        <f>IF($I8586=0,0,$Q8585+$P8586+$O8586)</f>
      </c>
      <c r="R8586" s="43">
        <f>IF($I8586=0,0,$J8586-$M8586-$N8586)</f>
      </c>
    </row>
    <row r="8587">
      <c r="A8587"/>
      <c r="B8587">
        <v>18</v>
      </c>
      <c r="C8587" s="43">
        <f>INDEX(DarlObj,18)</f>
      </c>
      <c r="D8587">
        <v>424</v>
      </c>
      <c r="E8587" s="51">
        <f>IF(INDEX(DarlBelegt,18)=0,0,EOMONTH(INDEX(DarlAuszahlung,18),423)+1)</f>
      </c>
      <c r="F8587" s="43">
        <f>IF($E8587=0,0,YEAR($E8587))</f>
      </c>
      <c r="G8587" s="43">
        <f>IF(INDEX(DarlBindung,18)="",1,IF($E8587&lt;=INDEX(DarlBindung,18),1,0))</f>
      </c>
      <c r="H8587" s="43">
        <f>IF($G8587=1,INDEX(DarlSollzins,18),INDEX(DarlAnschluss,18))</f>
      </c>
      <c r="I8587" s="43">
        <f>IF(INDEX(DarlBelegt,18)=0,0,IF(INDEX(DarlOhneTilgung,18)=1,IF(INDEX(DarlBindung,18)="",1,$G8587),IF($J8587&gt;0.005,1,0)))</f>
      </c>
      <c r="J8587" s="43">
        <f>IF($I8586=0,0,$R8586)</f>
      </c>
      <c r="K8587" s="43">
        <f>IF($I8587=0,0,IF(INDEX(DarlOhneTilgung,18)=1,0,IF(AND(INDEX(DarlTilgStart,18)&gt;0,$E8587=INDEX(DarlTilgStart,18)),$J8587*($H8587+INDEX(DarlTilgung,18))/100/12,IF(AND($G8587=0,$G8586=1),MAX($K8586,$J8587*($H8587+1)/100/12),$K8586))))</f>
      </c>
      <c r="L8587" s="43">
        <f>IF($I8587=0,0,$J8587*$H8587/100/12)</f>
      </c>
      <c r="M8587" s="43">
        <f>IF($I8587=0,0,IF(OR(INDEX(DarlOhneTilgung,18)=1,AND(INDEX(DarlTilgStart,18)&gt;0,$E8587&lt;INDEX(DarlTilgStart,18))),0,MIN(MAX(0,$K8587-$L8587),$J8587)))</f>
      </c>
      <c r="N8587" s="43">
        <f>IF($I8587=0,0,MIN(SUMIFS(SondBetrag,SondDarl,18,SondDatum,"&gt;="&amp;$E8587,SondDatum,"&lt;="&amp;EOMONTH($E8587,0)),$J8587-$M8587))</f>
      </c>
      <c r="O8587" s="43">
        <f>IF($I8587=0,0,INDEX(DarlErsatzRate,18))</f>
      </c>
      <c r="P8587" s="43">
        <f>IF($I8587=0,0,$Q8586*INDEX(DarlErsatzZins,18))</f>
      </c>
      <c r="Q8587" s="43">
        <f>IF($I8587=0,0,$Q8586+$P8587+$O8587)</f>
      </c>
      <c r="R8587" s="43">
        <f>IF($I8587=0,0,$J8587-$M8587-$N8587)</f>
      </c>
    </row>
    <row r="8588">
      <c r="A8588"/>
      <c r="B8588">
        <v>18</v>
      </c>
      <c r="C8588" s="43">
        <f>INDEX(DarlObj,18)</f>
      </c>
      <c r="D8588">
        <v>425</v>
      </c>
      <c r="E8588" s="51">
        <f>IF(INDEX(DarlBelegt,18)=0,0,EOMONTH(INDEX(DarlAuszahlung,18),424)+1)</f>
      </c>
      <c r="F8588" s="43">
        <f>IF($E8588=0,0,YEAR($E8588))</f>
      </c>
      <c r="G8588" s="43">
        <f>IF(INDEX(DarlBindung,18)="",1,IF($E8588&lt;=INDEX(DarlBindung,18),1,0))</f>
      </c>
      <c r="H8588" s="43">
        <f>IF($G8588=1,INDEX(DarlSollzins,18),INDEX(DarlAnschluss,18))</f>
      </c>
      <c r="I8588" s="43">
        <f>IF(INDEX(DarlBelegt,18)=0,0,IF(INDEX(DarlOhneTilgung,18)=1,IF(INDEX(DarlBindung,18)="",1,$G8588),IF($J8588&gt;0.005,1,0)))</f>
      </c>
      <c r="J8588" s="43">
        <f>IF($I8587=0,0,$R8587)</f>
      </c>
      <c r="K8588" s="43">
        <f>IF($I8588=0,0,IF(INDEX(DarlOhneTilgung,18)=1,0,IF(AND(INDEX(DarlTilgStart,18)&gt;0,$E8588=INDEX(DarlTilgStart,18)),$J8588*($H8588+INDEX(DarlTilgung,18))/100/12,IF(AND($G8588=0,$G8587=1),MAX($K8587,$J8588*($H8588+1)/100/12),$K8587))))</f>
      </c>
      <c r="L8588" s="43">
        <f>IF($I8588=0,0,$J8588*$H8588/100/12)</f>
      </c>
      <c r="M8588" s="43">
        <f>IF($I8588=0,0,IF(OR(INDEX(DarlOhneTilgung,18)=1,AND(INDEX(DarlTilgStart,18)&gt;0,$E8588&lt;INDEX(DarlTilgStart,18))),0,MIN(MAX(0,$K8588-$L8588),$J8588)))</f>
      </c>
      <c r="N8588" s="43">
        <f>IF($I8588=0,0,MIN(SUMIFS(SondBetrag,SondDarl,18,SondDatum,"&gt;="&amp;$E8588,SondDatum,"&lt;="&amp;EOMONTH($E8588,0)),$J8588-$M8588))</f>
      </c>
      <c r="O8588" s="43">
        <f>IF($I8588=0,0,INDEX(DarlErsatzRate,18))</f>
      </c>
      <c r="P8588" s="43">
        <f>IF($I8588=0,0,$Q8587*INDEX(DarlErsatzZins,18))</f>
      </c>
      <c r="Q8588" s="43">
        <f>IF($I8588=0,0,$Q8587+$P8588+$O8588)</f>
      </c>
      <c r="R8588" s="43">
        <f>IF($I8588=0,0,$J8588-$M8588-$N8588)</f>
      </c>
    </row>
    <row r="8589">
      <c r="A8589"/>
      <c r="B8589">
        <v>18</v>
      </c>
      <c r="C8589" s="43">
        <f>INDEX(DarlObj,18)</f>
      </c>
      <c r="D8589">
        <v>426</v>
      </c>
      <c r="E8589" s="51">
        <f>IF(INDEX(DarlBelegt,18)=0,0,EOMONTH(INDEX(DarlAuszahlung,18),425)+1)</f>
      </c>
      <c r="F8589" s="43">
        <f>IF($E8589=0,0,YEAR($E8589))</f>
      </c>
      <c r="G8589" s="43">
        <f>IF(INDEX(DarlBindung,18)="",1,IF($E8589&lt;=INDEX(DarlBindung,18),1,0))</f>
      </c>
      <c r="H8589" s="43">
        <f>IF($G8589=1,INDEX(DarlSollzins,18),INDEX(DarlAnschluss,18))</f>
      </c>
      <c r="I8589" s="43">
        <f>IF(INDEX(DarlBelegt,18)=0,0,IF(INDEX(DarlOhneTilgung,18)=1,IF(INDEX(DarlBindung,18)="",1,$G8589),IF($J8589&gt;0.005,1,0)))</f>
      </c>
      <c r="J8589" s="43">
        <f>IF($I8588=0,0,$R8588)</f>
      </c>
      <c r="K8589" s="43">
        <f>IF($I8589=0,0,IF(INDEX(DarlOhneTilgung,18)=1,0,IF(AND(INDEX(DarlTilgStart,18)&gt;0,$E8589=INDEX(DarlTilgStart,18)),$J8589*($H8589+INDEX(DarlTilgung,18))/100/12,IF(AND($G8589=0,$G8588=1),MAX($K8588,$J8589*($H8589+1)/100/12),$K8588))))</f>
      </c>
      <c r="L8589" s="43">
        <f>IF($I8589=0,0,$J8589*$H8589/100/12)</f>
      </c>
      <c r="M8589" s="43">
        <f>IF($I8589=0,0,IF(OR(INDEX(DarlOhneTilgung,18)=1,AND(INDEX(DarlTilgStart,18)&gt;0,$E8589&lt;INDEX(DarlTilgStart,18))),0,MIN(MAX(0,$K8589-$L8589),$J8589)))</f>
      </c>
      <c r="N8589" s="43">
        <f>IF($I8589=0,0,MIN(SUMIFS(SondBetrag,SondDarl,18,SondDatum,"&gt;="&amp;$E8589,SondDatum,"&lt;="&amp;EOMONTH($E8589,0)),$J8589-$M8589))</f>
      </c>
      <c r="O8589" s="43">
        <f>IF($I8589=0,0,INDEX(DarlErsatzRate,18))</f>
      </c>
      <c r="P8589" s="43">
        <f>IF($I8589=0,0,$Q8588*INDEX(DarlErsatzZins,18))</f>
      </c>
      <c r="Q8589" s="43">
        <f>IF($I8589=0,0,$Q8588+$P8589+$O8589)</f>
      </c>
      <c r="R8589" s="43">
        <f>IF($I8589=0,0,$J8589-$M8589-$N8589)</f>
      </c>
    </row>
    <row r="8590">
      <c r="A8590"/>
      <c r="B8590">
        <v>18</v>
      </c>
      <c r="C8590" s="43">
        <f>INDEX(DarlObj,18)</f>
      </c>
      <c r="D8590">
        <v>427</v>
      </c>
      <c r="E8590" s="51">
        <f>IF(INDEX(DarlBelegt,18)=0,0,EOMONTH(INDEX(DarlAuszahlung,18),426)+1)</f>
      </c>
      <c r="F8590" s="43">
        <f>IF($E8590=0,0,YEAR($E8590))</f>
      </c>
      <c r="G8590" s="43">
        <f>IF(INDEX(DarlBindung,18)="",1,IF($E8590&lt;=INDEX(DarlBindung,18),1,0))</f>
      </c>
      <c r="H8590" s="43">
        <f>IF($G8590=1,INDEX(DarlSollzins,18),INDEX(DarlAnschluss,18))</f>
      </c>
      <c r="I8590" s="43">
        <f>IF(INDEX(DarlBelegt,18)=0,0,IF(INDEX(DarlOhneTilgung,18)=1,IF(INDEX(DarlBindung,18)="",1,$G8590),IF($J8590&gt;0.005,1,0)))</f>
      </c>
      <c r="J8590" s="43">
        <f>IF($I8589=0,0,$R8589)</f>
      </c>
      <c r="K8590" s="43">
        <f>IF($I8590=0,0,IF(INDEX(DarlOhneTilgung,18)=1,0,IF(AND(INDEX(DarlTilgStart,18)&gt;0,$E8590=INDEX(DarlTilgStart,18)),$J8590*($H8590+INDEX(DarlTilgung,18))/100/12,IF(AND($G8590=0,$G8589=1),MAX($K8589,$J8590*($H8590+1)/100/12),$K8589))))</f>
      </c>
      <c r="L8590" s="43">
        <f>IF($I8590=0,0,$J8590*$H8590/100/12)</f>
      </c>
      <c r="M8590" s="43">
        <f>IF($I8590=0,0,IF(OR(INDEX(DarlOhneTilgung,18)=1,AND(INDEX(DarlTilgStart,18)&gt;0,$E8590&lt;INDEX(DarlTilgStart,18))),0,MIN(MAX(0,$K8590-$L8590),$J8590)))</f>
      </c>
      <c r="N8590" s="43">
        <f>IF($I8590=0,0,MIN(SUMIFS(SondBetrag,SondDarl,18,SondDatum,"&gt;="&amp;$E8590,SondDatum,"&lt;="&amp;EOMONTH($E8590,0)),$J8590-$M8590))</f>
      </c>
      <c r="O8590" s="43">
        <f>IF($I8590=0,0,INDEX(DarlErsatzRate,18))</f>
      </c>
      <c r="P8590" s="43">
        <f>IF($I8590=0,0,$Q8589*INDEX(DarlErsatzZins,18))</f>
      </c>
      <c r="Q8590" s="43">
        <f>IF($I8590=0,0,$Q8589+$P8590+$O8590)</f>
      </c>
      <c r="R8590" s="43">
        <f>IF($I8590=0,0,$J8590-$M8590-$N8590)</f>
      </c>
    </row>
    <row r="8591">
      <c r="A8591"/>
      <c r="B8591">
        <v>18</v>
      </c>
      <c r="C8591" s="43">
        <f>INDEX(DarlObj,18)</f>
      </c>
      <c r="D8591">
        <v>428</v>
      </c>
      <c r="E8591" s="51">
        <f>IF(INDEX(DarlBelegt,18)=0,0,EOMONTH(INDEX(DarlAuszahlung,18),427)+1)</f>
      </c>
      <c r="F8591" s="43">
        <f>IF($E8591=0,0,YEAR($E8591))</f>
      </c>
      <c r="G8591" s="43">
        <f>IF(INDEX(DarlBindung,18)="",1,IF($E8591&lt;=INDEX(DarlBindung,18),1,0))</f>
      </c>
      <c r="H8591" s="43">
        <f>IF($G8591=1,INDEX(DarlSollzins,18),INDEX(DarlAnschluss,18))</f>
      </c>
      <c r="I8591" s="43">
        <f>IF(INDEX(DarlBelegt,18)=0,0,IF(INDEX(DarlOhneTilgung,18)=1,IF(INDEX(DarlBindung,18)="",1,$G8591),IF($J8591&gt;0.005,1,0)))</f>
      </c>
      <c r="J8591" s="43">
        <f>IF($I8590=0,0,$R8590)</f>
      </c>
      <c r="K8591" s="43">
        <f>IF($I8591=0,0,IF(INDEX(DarlOhneTilgung,18)=1,0,IF(AND(INDEX(DarlTilgStart,18)&gt;0,$E8591=INDEX(DarlTilgStart,18)),$J8591*($H8591+INDEX(DarlTilgung,18))/100/12,IF(AND($G8591=0,$G8590=1),MAX($K8590,$J8591*($H8591+1)/100/12),$K8590))))</f>
      </c>
      <c r="L8591" s="43">
        <f>IF($I8591=0,0,$J8591*$H8591/100/12)</f>
      </c>
      <c r="M8591" s="43">
        <f>IF($I8591=0,0,IF(OR(INDEX(DarlOhneTilgung,18)=1,AND(INDEX(DarlTilgStart,18)&gt;0,$E8591&lt;INDEX(DarlTilgStart,18))),0,MIN(MAX(0,$K8591-$L8591),$J8591)))</f>
      </c>
      <c r="N8591" s="43">
        <f>IF($I8591=0,0,MIN(SUMIFS(SondBetrag,SondDarl,18,SondDatum,"&gt;="&amp;$E8591,SondDatum,"&lt;="&amp;EOMONTH($E8591,0)),$J8591-$M8591))</f>
      </c>
      <c r="O8591" s="43">
        <f>IF($I8591=0,0,INDEX(DarlErsatzRate,18))</f>
      </c>
      <c r="P8591" s="43">
        <f>IF($I8591=0,0,$Q8590*INDEX(DarlErsatzZins,18))</f>
      </c>
      <c r="Q8591" s="43">
        <f>IF($I8591=0,0,$Q8590+$P8591+$O8591)</f>
      </c>
      <c r="R8591" s="43">
        <f>IF($I8591=0,0,$J8591-$M8591-$N8591)</f>
      </c>
    </row>
    <row r="8592">
      <c r="A8592"/>
      <c r="B8592">
        <v>18</v>
      </c>
      <c r="C8592" s="43">
        <f>INDEX(DarlObj,18)</f>
      </c>
      <c r="D8592">
        <v>429</v>
      </c>
      <c r="E8592" s="51">
        <f>IF(INDEX(DarlBelegt,18)=0,0,EOMONTH(INDEX(DarlAuszahlung,18),428)+1)</f>
      </c>
      <c r="F8592" s="43">
        <f>IF($E8592=0,0,YEAR($E8592))</f>
      </c>
      <c r="G8592" s="43">
        <f>IF(INDEX(DarlBindung,18)="",1,IF($E8592&lt;=INDEX(DarlBindung,18),1,0))</f>
      </c>
      <c r="H8592" s="43">
        <f>IF($G8592=1,INDEX(DarlSollzins,18),INDEX(DarlAnschluss,18))</f>
      </c>
      <c r="I8592" s="43">
        <f>IF(INDEX(DarlBelegt,18)=0,0,IF(INDEX(DarlOhneTilgung,18)=1,IF(INDEX(DarlBindung,18)="",1,$G8592),IF($J8592&gt;0.005,1,0)))</f>
      </c>
      <c r="J8592" s="43">
        <f>IF($I8591=0,0,$R8591)</f>
      </c>
      <c r="K8592" s="43">
        <f>IF($I8592=0,0,IF(INDEX(DarlOhneTilgung,18)=1,0,IF(AND(INDEX(DarlTilgStart,18)&gt;0,$E8592=INDEX(DarlTilgStart,18)),$J8592*($H8592+INDEX(DarlTilgung,18))/100/12,IF(AND($G8592=0,$G8591=1),MAX($K8591,$J8592*($H8592+1)/100/12),$K8591))))</f>
      </c>
      <c r="L8592" s="43">
        <f>IF($I8592=0,0,$J8592*$H8592/100/12)</f>
      </c>
      <c r="M8592" s="43">
        <f>IF($I8592=0,0,IF(OR(INDEX(DarlOhneTilgung,18)=1,AND(INDEX(DarlTilgStart,18)&gt;0,$E8592&lt;INDEX(DarlTilgStart,18))),0,MIN(MAX(0,$K8592-$L8592),$J8592)))</f>
      </c>
      <c r="N8592" s="43">
        <f>IF($I8592=0,0,MIN(SUMIFS(SondBetrag,SondDarl,18,SondDatum,"&gt;="&amp;$E8592,SondDatum,"&lt;="&amp;EOMONTH($E8592,0)),$J8592-$M8592))</f>
      </c>
      <c r="O8592" s="43">
        <f>IF($I8592=0,0,INDEX(DarlErsatzRate,18))</f>
      </c>
      <c r="P8592" s="43">
        <f>IF($I8592=0,0,$Q8591*INDEX(DarlErsatzZins,18))</f>
      </c>
      <c r="Q8592" s="43">
        <f>IF($I8592=0,0,$Q8591+$P8592+$O8592)</f>
      </c>
      <c r="R8592" s="43">
        <f>IF($I8592=0,0,$J8592-$M8592-$N8592)</f>
      </c>
    </row>
    <row r="8593">
      <c r="A8593"/>
      <c r="B8593">
        <v>18</v>
      </c>
      <c r="C8593" s="43">
        <f>INDEX(DarlObj,18)</f>
      </c>
      <c r="D8593">
        <v>430</v>
      </c>
      <c r="E8593" s="51">
        <f>IF(INDEX(DarlBelegt,18)=0,0,EOMONTH(INDEX(DarlAuszahlung,18),429)+1)</f>
      </c>
      <c r="F8593" s="43">
        <f>IF($E8593=0,0,YEAR($E8593))</f>
      </c>
      <c r="G8593" s="43">
        <f>IF(INDEX(DarlBindung,18)="",1,IF($E8593&lt;=INDEX(DarlBindung,18),1,0))</f>
      </c>
      <c r="H8593" s="43">
        <f>IF($G8593=1,INDEX(DarlSollzins,18),INDEX(DarlAnschluss,18))</f>
      </c>
      <c r="I8593" s="43">
        <f>IF(INDEX(DarlBelegt,18)=0,0,IF(INDEX(DarlOhneTilgung,18)=1,IF(INDEX(DarlBindung,18)="",1,$G8593),IF($J8593&gt;0.005,1,0)))</f>
      </c>
      <c r="J8593" s="43">
        <f>IF($I8592=0,0,$R8592)</f>
      </c>
      <c r="K8593" s="43">
        <f>IF($I8593=0,0,IF(INDEX(DarlOhneTilgung,18)=1,0,IF(AND(INDEX(DarlTilgStart,18)&gt;0,$E8593=INDEX(DarlTilgStart,18)),$J8593*($H8593+INDEX(DarlTilgung,18))/100/12,IF(AND($G8593=0,$G8592=1),MAX($K8592,$J8593*($H8593+1)/100/12),$K8592))))</f>
      </c>
      <c r="L8593" s="43">
        <f>IF($I8593=0,0,$J8593*$H8593/100/12)</f>
      </c>
      <c r="M8593" s="43">
        <f>IF($I8593=0,0,IF(OR(INDEX(DarlOhneTilgung,18)=1,AND(INDEX(DarlTilgStart,18)&gt;0,$E8593&lt;INDEX(DarlTilgStart,18))),0,MIN(MAX(0,$K8593-$L8593),$J8593)))</f>
      </c>
      <c r="N8593" s="43">
        <f>IF($I8593=0,0,MIN(SUMIFS(SondBetrag,SondDarl,18,SondDatum,"&gt;="&amp;$E8593,SondDatum,"&lt;="&amp;EOMONTH($E8593,0)),$J8593-$M8593))</f>
      </c>
      <c r="O8593" s="43">
        <f>IF($I8593=0,0,INDEX(DarlErsatzRate,18))</f>
      </c>
      <c r="P8593" s="43">
        <f>IF($I8593=0,0,$Q8592*INDEX(DarlErsatzZins,18))</f>
      </c>
      <c r="Q8593" s="43">
        <f>IF($I8593=0,0,$Q8592+$P8593+$O8593)</f>
      </c>
      <c r="R8593" s="43">
        <f>IF($I8593=0,0,$J8593-$M8593-$N8593)</f>
      </c>
    </row>
    <row r="8594">
      <c r="A8594"/>
      <c r="B8594">
        <v>18</v>
      </c>
      <c r="C8594" s="43">
        <f>INDEX(DarlObj,18)</f>
      </c>
      <c r="D8594">
        <v>431</v>
      </c>
      <c r="E8594" s="51">
        <f>IF(INDEX(DarlBelegt,18)=0,0,EOMONTH(INDEX(DarlAuszahlung,18),430)+1)</f>
      </c>
      <c r="F8594" s="43">
        <f>IF($E8594=0,0,YEAR($E8594))</f>
      </c>
      <c r="G8594" s="43">
        <f>IF(INDEX(DarlBindung,18)="",1,IF($E8594&lt;=INDEX(DarlBindung,18),1,0))</f>
      </c>
      <c r="H8594" s="43">
        <f>IF($G8594=1,INDEX(DarlSollzins,18),INDEX(DarlAnschluss,18))</f>
      </c>
      <c r="I8594" s="43">
        <f>IF(INDEX(DarlBelegt,18)=0,0,IF(INDEX(DarlOhneTilgung,18)=1,IF(INDEX(DarlBindung,18)="",1,$G8594),IF($J8594&gt;0.005,1,0)))</f>
      </c>
      <c r="J8594" s="43">
        <f>IF($I8593=0,0,$R8593)</f>
      </c>
      <c r="K8594" s="43">
        <f>IF($I8594=0,0,IF(INDEX(DarlOhneTilgung,18)=1,0,IF(AND(INDEX(DarlTilgStart,18)&gt;0,$E8594=INDEX(DarlTilgStart,18)),$J8594*($H8594+INDEX(DarlTilgung,18))/100/12,IF(AND($G8594=0,$G8593=1),MAX($K8593,$J8594*($H8594+1)/100/12),$K8593))))</f>
      </c>
      <c r="L8594" s="43">
        <f>IF($I8594=0,0,$J8594*$H8594/100/12)</f>
      </c>
      <c r="M8594" s="43">
        <f>IF($I8594=0,0,IF(OR(INDEX(DarlOhneTilgung,18)=1,AND(INDEX(DarlTilgStart,18)&gt;0,$E8594&lt;INDEX(DarlTilgStart,18))),0,MIN(MAX(0,$K8594-$L8594),$J8594)))</f>
      </c>
      <c r="N8594" s="43">
        <f>IF($I8594=0,0,MIN(SUMIFS(SondBetrag,SondDarl,18,SondDatum,"&gt;="&amp;$E8594,SondDatum,"&lt;="&amp;EOMONTH($E8594,0)),$J8594-$M8594))</f>
      </c>
      <c r="O8594" s="43">
        <f>IF($I8594=0,0,INDEX(DarlErsatzRate,18))</f>
      </c>
      <c r="P8594" s="43">
        <f>IF($I8594=0,0,$Q8593*INDEX(DarlErsatzZins,18))</f>
      </c>
      <c r="Q8594" s="43">
        <f>IF($I8594=0,0,$Q8593+$P8594+$O8594)</f>
      </c>
      <c r="R8594" s="43">
        <f>IF($I8594=0,0,$J8594-$M8594-$N8594)</f>
      </c>
    </row>
    <row r="8595">
      <c r="A8595"/>
      <c r="B8595">
        <v>18</v>
      </c>
      <c r="C8595" s="43">
        <f>INDEX(DarlObj,18)</f>
      </c>
      <c r="D8595">
        <v>432</v>
      </c>
      <c r="E8595" s="51">
        <f>IF(INDEX(DarlBelegt,18)=0,0,EOMONTH(INDEX(DarlAuszahlung,18),431)+1)</f>
      </c>
      <c r="F8595" s="43">
        <f>IF($E8595=0,0,YEAR($E8595))</f>
      </c>
      <c r="G8595" s="43">
        <f>IF(INDEX(DarlBindung,18)="",1,IF($E8595&lt;=INDEX(DarlBindung,18),1,0))</f>
      </c>
      <c r="H8595" s="43">
        <f>IF($G8595=1,INDEX(DarlSollzins,18),INDEX(DarlAnschluss,18))</f>
      </c>
      <c r="I8595" s="43">
        <f>IF(INDEX(DarlBelegt,18)=0,0,IF(INDEX(DarlOhneTilgung,18)=1,IF(INDEX(DarlBindung,18)="",1,$G8595),IF($J8595&gt;0.005,1,0)))</f>
      </c>
      <c r="J8595" s="43">
        <f>IF($I8594=0,0,$R8594)</f>
      </c>
      <c r="K8595" s="43">
        <f>IF($I8595=0,0,IF(INDEX(DarlOhneTilgung,18)=1,0,IF(AND(INDEX(DarlTilgStart,18)&gt;0,$E8595=INDEX(DarlTilgStart,18)),$J8595*($H8595+INDEX(DarlTilgung,18))/100/12,IF(AND($G8595=0,$G8594=1),MAX($K8594,$J8595*($H8595+1)/100/12),$K8594))))</f>
      </c>
      <c r="L8595" s="43">
        <f>IF($I8595=0,0,$J8595*$H8595/100/12)</f>
      </c>
      <c r="M8595" s="43">
        <f>IF($I8595=0,0,IF(OR(INDEX(DarlOhneTilgung,18)=1,AND(INDEX(DarlTilgStart,18)&gt;0,$E8595&lt;INDEX(DarlTilgStart,18))),0,MIN(MAX(0,$K8595-$L8595),$J8595)))</f>
      </c>
      <c r="N8595" s="43">
        <f>IF($I8595=0,0,MIN(SUMIFS(SondBetrag,SondDarl,18,SondDatum,"&gt;="&amp;$E8595,SondDatum,"&lt;="&amp;EOMONTH($E8595,0)),$J8595-$M8595))</f>
      </c>
      <c r="O8595" s="43">
        <f>IF($I8595=0,0,INDEX(DarlErsatzRate,18))</f>
      </c>
      <c r="P8595" s="43">
        <f>IF($I8595=0,0,$Q8594*INDEX(DarlErsatzZins,18))</f>
      </c>
      <c r="Q8595" s="43">
        <f>IF($I8595=0,0,$Q8594+$P8595+$O8595)</f>
      </c>
      <c r="R8595" s="43">
        <f>IF($I8595=0,0,$J8595-$M8595-$N8595)</f>
      </c>
    </row>
    <row r="8596">
      <c r="A8596"/>
      <c r="B8596">
        <v>18</v>
      </c>
      <c r="C8596" s="43">
        <f>INDEX(DarlObj,18)</f>
      </c>
      <c r="D8596">
        <v>433</v>
      </c>
      <c r="E8596" s="51">
        <f>IF(INDEX(DarlBelegt,18)=0,0,EOMONTH(INDEX(DarlAuszahlung,18),432)+1)</f>
      </c>
      <c r="F8596" s="43">
        <f>IF($E8596=0,0,YEAR($E8596))</f>
      </c>
      <c r="G8596" s="43">
        <f>IF(INDEX(DarlBindung,18)="",1,IF($E8596&lt;=INDEX(DarlBindung,18),1,0))</f>
      </c>
      <c r="H8596" s="43">
        <f>IF($G8596=1,INDEX(DarlSollzins,18),INDEX(DarlAnschluss,18))</f>
      </c>
      <c r="I8596" s="43">
        <f>IF(INDEX(DarlBelegt,18)=0,0,IF(INDEX(DarlOhneTilgung,18)=1,IF(INDEX(DarlBindung,18)="",1,$G8596),IF($J8596&gt;0.005,1,0)))</f>
      </c>
      <c r="J8596" s="43">
        <f>IF($I8595=0,0,$R8595)</f>
      </c>
      <c r="K8596" s="43">
        <f>IF($I8596=0,0,IF(INDEX(DarlOhneTilgung,18)=1,0,IF(AND(INDEX(DarlTilgStart,18)&gt;0,$E8596=INDEX(DarlTilgStart,18)),$J8596*($H8596+INDEX(DarlTilgung,18))/100/12,IF(AND($G8596=0,$G8595=1),MAX($K8595,$J8596*($H8596+1)/100/12),$K8595))))</f>
      </c>
      <c r="L8596" s="43">
        <f>IF($I8596=0,0,$J8596*$H8596/100/12)</f>
      </c>
      <c r="M8596" s="43">
        <f>IF($I8596=0,0,IF(OR(INDEX(DarlOhneTilgung,18)=1,AND(INDEX(DarlTilgStart,18)&gt;0,$E8596&lt;INDEX(DarlTilgStart,18))),0,MIN(MAX(0,$K8596-$L8596),$J8596)))</f>
      </c>
      <c r="N8596" s="43">
        <f>IF($I8596=0,0,MIN(SUMIFS(SondBetrag,SondDarl,18,SondDatum,"&gt;="&amp;$E8596,SondDatum,"&lt;="&amp;EOMONTH($E8596,0)),$J8596-$M8596))</f>
      </c>
      <c r="O8596" s="43">
        <f>IF($I8596=0,0,INDEX(DarlErsatzRate,18))</f>
      </c>
      <c r="P8596" s="43">
        <f>IF($I8596=0,0,$Q8595*INDEX(DarlErsatzZins,18))</f>
      </c>
      <c r="Q8596" s="43">
        <f>IF($I8596=0,0,$Q8595+$P8596+$O8596)</f>
      </c>
      <c r="R8596" s="43">
        <f>IF($I8596=0,0,$J8596-$M8596-$N8596)</f>
      </c>
    </row>
    <row r="8597">
      <c r="A8597"/>
      <c r="B8597">
        <v>18</v>
      </c>
      <c r="C8597" s="43">
        <f>INDEX(DarlObj,18)</f>
      </c>
      <c r="D8597">
        <v>434</v>
      </c>
      <c r="E8597" s="51">
        <f>IF(INDEX(DarlBelegt,18)=0,0,EOMONTH(INDEX(DarlAuszahlung,18),433)+1)</f>
      </c>
      <c r="F8597" s="43">
        <f>IF($E8597=0,0,YEAR($E8597))</f>
      </c>
      <c r="G8597" s="43">
        <f>IF(INDEX(DarlBindung,18)="",1,IF($E8597&lt;=INDEX(DarlBindung,18),1,0))</f>
      </c>
      <c r="H8597" s="43">
        <f>IF($G8597=1,INDEX(DarlSollzins,18),INDEX(DarlAnschluss,18))</f>
      </c>
      <c r="I8597" s="43">
        <f>IF(INDEX(DarlBelegt,18)=0,0,IF(INDEX(DarlOhneTilgung,18)=1,IF(INDEX(DarlBindung,18)="",1,$G8597),IF($J8597&gt;0.005,1,0)))</f>
      </c>
      <c r="J8597" s="43">
        <f>IF($I8596=0,0,$R8596)</f>
      </c>
      <c r="K8597" s="43">
        <f>IF($I8597=0,0,IF(INDEX(DarlOhneTilgung,18)=1,0,IF(AND(INDEX(DarlTilgStart,18)&gt;0,$E8597=INDEX(DarlTilgStart,18)),$J8597*($H8597+INDEX(DarlTilgung,18))/100/12,IF(AND($G8597=0,$G8596=1),MAX($K8596,$J8597*($H8597+1)/100/12),$K8596))))</f>
      </c>
      <c r="L8597" s="43">
        <f>IF($I8597=0,0,$J8597*$H8597/100/12)</f>
      </c>
      <c r="M8597" s="43">
        <f>IF($I8597=0,0,IF(OR(INDEX(DarlOhneTilgung,18)=1,AND(INDEX(DarlTilgStart,18)&gt;0,$E8597&lt;INDEX(DarlTilgStart,18))),0,MIN(MAX(0,$K8597-$L8597),$J8597)))</f>
      </c>
      <c r="N8597" s="43">
        <f>IF($I8597=0,0,MIN(SUMIFS(SondBetrag,SondDarl,18,SondDatum,"&gt;="&amp;$E8597,SondDatum,"&lt;="&amp;EOMONTH($E8597,0)),$J8597-$M8597))</f>
      </c>
      <c r="O8597" s="43">
        <f>IF($I8597=0,0,INDEX(DarlErsatzRate,18))</f>
      </c>
      <c r="P8597" s="43">
        <f>IF($I8597=0,0,$Q8596*INDEX(DarlErsatzZins,18))</f>
      </c>
      <c r="Q8597" s="43">
        <f>IF($I8597=0,0,$Q8596+$P8597+$O8597)</f>
      </c>
      <c r="R8597" s="43">
        <f>IF($I8597=0,0,$J8597-$M8597-$N8597)</f>
      </c>
    </row>
    <row r="8598">
      <c r="A8598"/>
      <c r="B8598">
        <v>18</v>
      </c>
      <c r="C8598" s="43">
        <f>INDEX(DarlObj,18)</f>
      </c>
      <c r="D8598">
        <v>435</v>
      </c>
      <c r="E8598" s="51">
        <f>IF(INDEX(DarlBelegt,18)=0,0,EOMONTH(INDEX(DarlAuszahlung,18),434)+1)</f>
      </c>
      <c r="F8598" s="43">
        <f>IF($E8598=0,0,YEAR($E8598))</f>
      </c>
      <c r="G8598" s="43">
        <f>IF(INDEX(DarlBindung,18)="",1,IF($E8598&lt;=INDEX(DarlBindung,18),1,0))</f>
      </c>
      <c r="H8598" s="43">
        <f>IF($G8598=1,INDEX(DarlSollzins,18),INDEX(DarlAnschluss,18))</f>
      </c>
      <c r="I8598" s="43">
        <f>IF(INDEX(DarlBelegt,18)=0,0,IF(INDEX(DarlOhneTilgung,18)=1,IF(INDEX(DarlBindung,18)="",1,$G8598),IF($J8598&gt;0.005,1,0)))</f>
      </c>
      <c r="J8598" s="43">
        <f>IF($I8597=0,0,$R8597)</f>
      </c>
      <c r="K8598" s="43">
        <f>IF($I8598=0,0,IF(INDEX(DarlOhneTilgung,18)=1,0,IF(AND(INDEX(DarlTilgStart,18)&gt;0,$E8598=INDEX(DarlTilgStart,18)),$J8598*($H8598+INDEX(DarlTilgung,18))/100/12,IF(AND($G8598=0,$G8597=1),MAX($K8597,$J8598*($H8598+1)/100/12),$K8597))))</f>
      </c>
      <c r="L8598" s="43">
        <f>IF($I8598=0,0,$J8598*$H8598/100/12)</f>
      </c>
      <c r="M8598" s="43">
        <f>IF($I8598=0,0,IF(OR(INDEX(DarlOhneTilgung,18)=1,AND(INDEX(DarlTilgStart,18)&gt;0,$E8598&lt;INDEX(DarlTilgStart,18))),0,MIN(MAX(0,$K8598-$L8598),$J8598)))</f>
      </c>
      <c r="N8598" s="43">
        <f>IF($I8598=0,0,MIN(SUMIFS(SondBetrag,SondDarl,18,SondDatum,"&gt;="&amp;$E8598,SondDatum,"&lt;="&amp;EOMONTH($E8598,0)),$J8598-$M8598))</f>
      </c>
      <c r="O8598" s="43">
        <f>IF($I8598=0,0,INDEX(DarlErsatzRate,18))</f>
      </c>
      <c r="P8598" s="43">
        <f>IF($I8598=0,0,$Q8597*INDEX(DarlErsatzZins,18))</f>
      </c>
      <c r="Q8598" s="43">
        <f>IF($I8598=0,0,$Q8597+$P8598+$O8598)</f>
      </c>
      <c r="R8598" s="43">
        <f>IF($I8598=0,0,$J8598-$M8598-$N8598)</f>
      </c>
    </row>
    <row r="8599">
      <c r="A8599"/>
      <c r="B8599">
        <v>18</v>
      </c>
      <c r="C8599" s="43">
        <f>INDEX(DarlObj,18)</f>
      </c>
      <c r="D8599">
        <v>436</v>
      </c>
      <c r="E8599" s="51">
        <f>IF(INDEX(DarlBelegt,18)=0,0,EOMONTH(INDEX(DarlAuszahlung,18),435)+1)</f>
      </c>
      <c r="F8599" s="43">
        <f>IF($E8599=0,0,YEAR($E8599))</f>
      </c>
      <c r="G8599" s="43">
        <f>IF(INDEX(DarlBindung,18)="",1,IF($E8599&lt;=INDEX(DarlBindung,18),1,0))</f>
      </c>
      <c r="H8599" s="43">
        <f>IF($G8599=1,INDEX(DarlSollzins,18),INDEX(DarlAnschluss,18))</f>
      </c>
      <c r="I8599" s="43">
        <f>IF(INDEX(DarlBelegt,18)=0,0,IF(INDEX(DarlOhneTilgung,18)=1,IF(INDEX(DarlBindung,18)="",1,$G8599),IF($J8599&gt;0.005,1,0)))</f>
      </c>
      <c r="J8599" s="43">
        <f>IF($I8598=0,0,$R8598)</f>
      </c>
      <c r="K8599" s="43">
        <f>IF($I8599=0,0,IF(INDEX(DarlOhneTilgung,18)=1,0,IF(AND(INDEX(DarlTilgStart,18)&gt;0,$E8599=INDEX(DarlTilgStart,18)),$J8599*($H8599+INDEX(DarlTilgung,18))/100/12,IF(AND($G8599=0,$G8598=1),MAX($K8598,$J8599*($H8599+1)/100/12),$K8598))))</f>
      </c>
      <c r="L8599" s="43">
        <f>IF($I8599=0,0,$J8599*$H8599/100/12)</f>
      </c>
      <c r="M8599" s="43">
        <f>IF($I8599=0,0,IF(OR(INDEX(DarlOhneTilgung,18)=1,AND(INDEX(DarlTilgStart,18)&gt;0,$E8599&lt;INDEX(DarlTilgStart,18))),0,MIN(MAX(0,$K8599-$L8599),$J8599)))</f>
      </c>
      <c r="N8599" s="43">
        <f>IF($I8599=0,0,MIN(SUMIFS(SondBetrag,SondDarl,18,SondDatum,"&gt;="&amp;$E8599,SondDatum,"&lt;="&amp;EOMONTH($E8599,0)),$J8599-$M8599))</f>
      </c>
      <c r="O8599" s="43">
        <f>IF($I8599=0,0,INDEX(DarlErsatzRate,18))</f>
      </c>
      <c r="P8599" s="43">
        <f>IF($I8599=0,0,$Q8598*INDEX(DarlErsatzZins,18))</f>
      </c>
      <c r="Q8599" s="43">
        <f>IF($I8599=0,0,$Q8598+$P8599+$O8599)</f>
      </c>
      <c r="R8599" s="43">
        <f>IF($I8599=0,0,$J8599-$M8599-$N8599)</f>
      </c>
    </row>
    <row r="8600">
      <c r="A8600"/>
      <c r="B8600">
        <v>18</v>
      </c>
      <c r="C8600" s="43">
        <f>INDEX(DarlObj,18)</f>
      </c>
      <c r="D8600">
        <v>437</v>
      </c>
      <c r="E8600" s="51">
        <f>IF(INDEX(DarlBelegt,18)=0,0,EOMONTH(INDEX(DarlAuszahlung,18),436)+1)</f>
      </c>
      <c r="F8600" s="43">
        <f>IF($E8600=0,0,YEAR($E8600))</f>
      </c>
      <c r="G8600" s="43">
        <f>IF(INDEX(DarlBindung,18)="",1,IF($E8600&lt;=INDEX(DarlBindung,18),1,0))</f>
      </c>
      <c r="H8600" s="43">
        <f>IF($G8600=1,INDEX(DarlSollzins,18),INDEX(DarlAnschluss,18))</f>
      </c>
      <c r="I8600" s="43">
        <f>IF(INDEX(DarlBelegt,18)=0,0,IF(INDEX(DarlOhneTilgung,18)=1,IF(INDEX(DarlBindung,18)="",1,$G8600),IF($J8600&gt;0.005,1,0)))</f>
      </c>
      <c r="J8600" s="43">
        <f>IF($I8599=0,0,$R8599)</f>
      </c>
      <c r="K8600" s="43">
        <f>IF($I8600=0,0,IF(INDEX(DarlOhneTilgung,18)=1,0,IF(AND(INDEX(DarlTilgStart,18)&gt;0,$E8600=INDEX(DarlTilgStart,18)),$J8600*($H8600+INDEX(DarlTilgung,18))/100/12,IF(AND($G8600=0,$G8599=1),MAX($K8599,$J8600*($H8600+1)/100/12),$K8599))))</f>
      </c>
      <c r="L8600" s="43">
        <f>IF($I8600=0,0,$J8600*$H8600/100/12)</f>
      </c>
      <c r="M8600" s="43">
        <f>IF($I8600=0,0,IF(OR(INDEX(DarlOhneTilgung,18)=1,AND(INDEX(DarlTilgStart,18)&gt;0,$E8600&lt;INDEX(DarlTilgStart,18))),0,MIN(MAX(0,$K8600-$L8600),$J8600)))</f>
      </c>
      <c r="N8600" s="43">
        <f>IF($I8600=0,0,MIN(SUMIFS(SondBetrag,SondDarl,18,SondDatum,"&gt;="&amp;$E8600,SondDatum,"&lt;="&amp;EOMONTH($E8600,0)),$J8600-$M8600))</f>
      </c>
      <c r="O8600" s="43">
        <f>IF($I8600=0,0,INDEX(DarlErsatzRate,18))</f>
      </c>
      <c r="P8600" s="43">
        <f>IF($I8600=0,0,$Q8599*INDEX(DarlErsatzZins,18))</f>
      </c>
      <c r="Q8600" s="43">
        <f>IF($I8600=0,0,$Q8599+$P8600+$O8600)</f>
      </c>
      <c r="R8600" s="43">
        <f>IF($I8600=0,0,$J8600-$M8600-$N8600)</f>
      </c>
    </row>
    <row r="8601">
      <c r="A8601"/>
      <c r="B8601">
        <v>18</v>
      </c>
      <c r="C8601" s="43">
        <f>INDEX(DarlObj,18)</f>
      </c>
      <c r="D8601">
        <v>438</v>
      </c>
      <c r="E8601" s="51">
        <f>IF(INDEX(DarlBelegt,18)=0,0,EOMONTH(INDEX(DarlAuszahlung,18),437)+1)</f>
      </c>
      <c r="F8601" s="43">
        <f>IF($E8601=0,0,YEAR($E8601))</f>
      </c>
      <c r="G8601" s="43">
        <f>IF(INDEX(DarlBindung,18)="",1,IF($E8601&lt;=INDEX(DarlBindung,18),1,0))</f>
      </c>
      <c r="H8601" s="43">
        <f>IF($G8601=1,INDEX(DarlSollzins,18),INDEX(DarlAnschluss,18))</f>
      </c>
      <c r="I8601" s="43">
        <f>IF(INDEX(DarlBelegt,18)=0,0,IF(INDEX(DarlOhneTilgung,18)=1,IF(INDEX(DarlBindung,18)="",1,$G8601),IF($J8601&gt;0.005,1,0)))</f>
      </c>
      <c r="J8601" s="43">
        <f>IF($I8600=0,0,$R8600)</f>
      </c>
      <c r="K8601" s="43">
        <f>IF($I8601=0,0,IF(INDEX(DarlOhneTilgung,18)=1,0,IF(AND(INDEX(DarlTilgStart,18)&gt;0,$E8601=INDEX(DarlTilgStart,18)),$J8601*($H8601+INDEX(DarlTilgung,18))/100/12,IF(AND($G8601=0,$G8600=1),MAX($K8600,$J8601*($H8601+1)/100/12),$K8600))))</f>
      </c>
      <c r="L8601" s="43">
        <f>IF($I8601=0,0,$J8601*$H8601/100/12)</f>
      </c>
      <c r="M8601" s="43">
        <f>IF($I8601=0,0,IF(OR(INDEX(DarlOhneTilgung,18)=1,AND(INDEX(DarlTilgStart,18)&gt;0,$E8601&lt;INDEX(DarlTilgStart,18))),0,MIN(MAX(0,$K8601-$L8601),$J8601)))</f>
      </c>
      <c r="N8601" s="43">
        <f>IF($I8601=0,0,MIN(SUMIFS(SondBetrag,SondDarl,18,SondDatum,"&gt;="&amp;$E8601,SondDatum,"&lt;="&amp;EOMONTH($E8601,0)),$J8601-$M8601))</f>
      </c>
      <c r="O8601" s="43">
        <f>IF($I8601=0,0,INDEX(DarlErsatzRate,18))</f>
      </c>
      <c r="P8601" s="43">
        <f>IF($I8601=0,0,$Q8600*INDEX(DarlErsatzZins,18))</f>
      </c>
      <c r="Q8601" s="43">
        <f>IF($I8601=0,0,$Q8600+$P8601+$O8601)</f>
      </c>
      <c r="R8601" s="43">
        <f>IF($I8601=0,0,$J8601-$M8601-$N8601)</f>
      </c>
    </row>
    <row r="8602">
      <c r="A8602"/>
      <c r="B8602">
        <v>18</v>
      </c>
      <c r="C8602" s="43">
        <f>INDEX(DarlObj,18)</f>
      </c>
      <c r="D8602">
        <v>439</v>
      </c>
      <c r="E8602" s="51">
        <f>IF(INDEX(DarlBelegt,18)=0,0,EOMONTH(INDEX(DarlAuszahlung,18),438)+1)</f>
      </c>
      <c r="F8602" s="43">
        <f>IF($E8602=0,0,YEAR($E8602))</f>
      </c>
      <c r="G8602" s="43">
        <f>IF(INDEX(DarlBindung,18)="",1,IF($E8602&lt;=INDEX(DarlBindung,18),1,0))</f>
      </c>
      <c r="H8602" s="43">
        <f>IF($G8602=1,INDEX(DarlSollzins,18),INDEX(DarlAnschluss,18))</f>
      </c>
      <c r="I8602" s="43">
        <f>IF(INDEX(DarlBelegt,18)=0,0,IF(INDEX(DarlOhneTilgung,18)=1,IF(INDEX(DarlBindung,18)="",1,$G8602),IF($J8602&gt;0.005,1,0)))</f>
      </c>
      <c r="J8602" s="43">
        <f>IF($I8601=0,0,$R8601)</f>
      </c>
      <c r="K8602" s="43">
        <f>IF($I8602=0,0,IF(INDEX(DarlOhneTilgung,18)=1,0,IF(AND(INDEX(DarlTilgStart,18)&gt;0,$E8602=INDEX(DarlTilgStart,18)),$J8602*($H8602+INDEX(DarlTilgung,18))/100/12,IF(AND($G8602=0,$G8601=1),MAX($K8601,$J8602*($H8602+1)/100/12),$K8601))))</f>
      </c>
      <c r="L8602" s="43">
        <f>IF($I8602=0,0,$J8602*$H8602/100/12)</f>
      </c>
      <c r="M8602" s="43">
        <f>IF($I8602=0,0,IF(OR(INDEX(DarlOhneTilgung,18)=1,AND(INDEX(DarlTilgStart,18)&gt;0,$E8602&lt;INDEX(DarlTilgStart,18))),0,MIN(MAX(0,$K8602-$L8602),$J8602)))</f>
      </c>
      <c r="N8602" s="43">
        <f>IF($I8602=0,0,MIN(SUMIFS(SondBetrag,SondDarl,18,SondDatum,"&gt;="&amp;$E8602,SondDatum,"&lt;="&amp;EOMONTH($E8602,0)),$J8602-$M8602))</f>
      </c>
      <c r="O8602" s="43">
        <f>IF($I8602=0,0,INDEX(DarlErsatzRate,18))</f>
      </c>
      <c r="P8602" s="43">
        <f>IF($I8602=0,0,$Q8601*INDEX(DarlErsatzZins,18))</f>
      </c>
      <c r="Q8602" s="43">
        <f>IF($I8602=0,0,$Q8601+$P8602+$O8602)</f>
      </c>
      <c r="R8602" s="43">
        <f>IF($I8602=0,0,$J8602-$M8602-$N8602)</f>
      </c>
    </row>
    <row r="8603">
      <c r="A8603"/>
      <c r="B8603">
        <v>18</v>
      </c>
      <c r="C8603" s="43">
        <f>INDEX(DarlObj,18)</f>
      </c>
      <c r="D8603">
        <v>440</v>
      </c>
      <c r="E8603" s="51">
        <f>IF(INDEX(DarlBelegt,18)=0,0,EOMONTH(INDEX(DarlAuszahlung,18),439)+1)</f>
      </c>
      <c r="F8603" s="43">
        <f>IF($E8603=0,0,YEAR($E8603))</f>
      </c>
      <c r="G8603" s="43">
        <f>IF(INDEX(DarlBindung,18)="",1,IF($E8603&lt;=INDEX(DarlBindung,18),1,0))</f>
      </c>
      <c r="H8603" s="43">
        <f>IF($G8603=1,INDEX(DarlSollzins,18),INDEX(DarlAnschluss,18))</f>
      </c>
      <c r="I8603" s="43">
        <f>IF(INDEX(DarlBelegt,18)=0,0,IF(INDEX(DarlOhneTilgung,18)=1,IF(INDEX(DarlBindung,18)="",1,$G8603),IF($J8603&gt;0.005,1,0)))</f>
      </c>
      <c r="J8603" s="43">
        <f>IF($I8602=0,0,$R8602)</f>
      </c>
      <c r="K8603" s="43">
        <f>IF($I8603=0,0,IF(INDEX(DarlOhneTilgung,18)=1,0,IF(AND(INDEX(DarlTilgStart,18)&gt;0,$E8603=INDEX(DarlTilgStart,18)),$J8603*($H8603+INDEX(DarlTilgung,18))/100/12,IF(AND($G8603=0,$G8602=1),MAX($K8602,$J8603*($H8603+1)/100/12),$K8602))))</f>
      </c>
      <c r="L8603" s="43">
        <f>IF($I8603=0,0,$J8603*$H8603/100/12)</f>
      </c>
      <c r="M8603" s="43">
        <f>IF($I8603=0,0,IF(OR(INDEX(DarlOhneTilgung,18)=1,AND(INDEX(DarlTilgStart,18)&gt;0,$E8603&lt;INDEX(DarlTilgStart,18))),0,MIN(MAX(0,$K8603-$L8603),$J8603)))</f>
      </c>
      <c r="N8603" s="43">
        <f>IF($I8603=0,0,MIN(SUMIFS(SondBetrag,SondDarl,18,SondDatum,"&gt;="&amp;$E8603,SondDatum,"&lt;="&amp;EOMONTH($E8603,0)),$J8603-$M8603))</f>
      </c>
      <c r="O8603" s="43">
        <f>IF($I8603=0,0,INDEX(DarlErsatzRate,18))</f>
      </c>
      <c r="P8603" s="43">
        <f>IF($I8603=0,0,$Q8602*INDEX(DarlErsatzZins,18))</f>
      </c>
      <c r="Q8603" s="43">
        <f>IF($I8603=0,0,$Q8602+$P8603+$O8603)</f>
      </c>
      <c r="R8603" s="43">
        <f>IF($I8603=0,0,$J8603-$M8603-$N8603)</f>
      </c>
    </row>
    <row r="8604">
      <c r="A8604"/>
      <c r="B8604">
        <v>18</v>
      </c>
      <c r="C8604" s="43">
        <f>INDEX(DarlObj,18)</f>
      </c>
      <c r="D8604">
        <v>441</v>
      </c>
      <c r="E8604" s="51">
        <f>IF(INDEX(DarlBelegt,18)=0,0,EOMONTH(INDEX(DarlAuszahlung,18),440)+1)</f>
      </c>
      <c r="F8604" s="43">
        <f>IF($E8604=0,0,YEAR($E8604))</f>
      </c>
      <c r="G8604" s="43">
        <f>IF(INDEX(DarlBindung,18)="",1,IF($E8604&lt;=INDEX(DarlBindung,18),1,0))</f>
      </c>
      <c r="H8604" s="43">
        <f>IF($G8604=1,INDEX(DarlSollzins,18),INDEX(DarlAnschluss,18))</f>
      </c>
      <c r="I8604" s="43">
        <f>IF(INDEX(DarlBelegt,18)=0,0,IF(INDEX(DarlOhneTilgung,18)=1,IF(INDEX(DarlBindung,18)="",1,$G8604),IF($J8604&gt;0.005,1,0)))</f>
      </c>
      <c r="J8604" s="43">
        <f>IF($I8603=0,0,$R8603)</f>
      </c>
      <c r="K8604" s="43">
        <f>IF($I8604=0,0,IF(INDEX(DarlOhneTilgung,18)=1,0,IF(AND(INDEX(DarlTilgStart,18)&gt;0,$E8604=INDEX(DarlTilgStart,18)),$J8604*($H8604+INDEX(DarlTilgung,18))/100/12,IF(AND($G8604=0,$G8603=1),MAX($K8603,$J8604*($H8604+1)/100/12),$K8603))))</f>
      </c>
      <c r="L8604" s="43">
        <f>IF($I8604=0,0,$J8604*$H8604/100/12)</f>
      </c>
      <c r="M8604" s="43">
        <f>IF($I8604=0,0,IF(OR(INDEX(DarlOhneTilgung,18)=1,AND(INDEX(DarlTilgStart,18)&gt;0,$E8604&lt;INDEX(DarlTilgStart,18))),0,MIN(MAX(0,$K8604-$L8604),$J8604)))</f>
      </c>
      <c r="N8604" s="43">
        <f>IF($I8604=0,0,MIN(SUMIFS(SondBetrag,SondDarl,18,SondDatum,"&gt;="&amp;$E8604,SondDatum,"&lt;="&amp;EOMONTH($E8604,0)),$J8604-$M8604))</f>
      </c>
      <c r="O8604" s="43">
        <f>IF($I8604=0,0,INDEX(DarlErsatzRate,18))</f>
      </c>
      <c r="P8604" s="43">
        <f>IF($I8604=0,0,$Q8603*INDEX(DarlErsatzZins,18))</f>
      </c>
      <c r="Q8604" s="43">
        <f>IF($I8604=0,0,$Q8603+$P8604+$O8604)</f>
      </c>
      <c r="R8604" s="43">
        <f>IF($I8604=0,0,$J8604-$M8604-$N8604)</f>
      </c>
    </row>
    <row r="8605">
      <c r="A8605"/>
      <c r="B8605">
        <v>18</v>
      </c>
      <c r="C8605" s="43">
        <f>INDEX(DarlObj,18)</f>
      </c>
      <c r="D8605">
        <v>442</v>
      </c>
      <c r="E8605" s="51">
        <f>IF(INDEX(DarlBelegt,18)=0,0,EOMONTH(INDEX(DarlAuszahlung,18),441)+1)</f>
      </c>
      <c r="F8605" s="43">
        <f>IF($E8605=0,0,YEAR($E8605))</f>
      </c>
      <c r="G8605" s="43">
        <f>IF(INDEX(DarlBindung,18)="",1,IF($E8605&lt;=INDEX(DarlBindung,18),1,0))</f>
      </c>
      <c r="H8605" s="43">
        <f>IF($G8605=1,INDEX(DarlSollzins,18),INDEX(DarlAnschluss,18))</f>
      </c>
      <c r="I8605" s="43">
        <f>IF(INDEX(DarlBelegt,18)=0,0,IF(INDEX(DarlOhneTilgung,18)=1,IF(INDEX(DarlBindung,18)="",1,$G8605),IF($J8605&gt;0.005,1,0)))</f>
      </c>
      <c r="J8605" s="43">
        <f>IF($I8604=0,0,$R8604)</f>
      </c>
      <c r="K8605" s="43">
        <f>IF($I8605=0,0,IF(INDEX(DarlOhneTilgung,18)=1,0,IF(AND(INDEX(DarlTilgStart,18)&gt;0,$E8605=INDEX(DarlTilgStart,18)),$J8605*($H8605+INDEX(DarlTilgung,18))/100/12,IF(AND($G8605=0,$G8604=1),MAX($K8604,$J8605*($H8605+1)/100/12),$K8604))))</f>
      </c>
      <c r="L8605" s="43">
        <f>IF($I8605=0,0,$J8605*$H8605/100/12)</f>
      </c>
      <c r="M8605" s="43">
        <f>IF($I8605=0,0,IF(OR(INDEX(DarlOhneTilgung,18)=1,AND(INDEX(DarlTilgStart,18)&gt;0,$E8605&lt;INDEX(DarlTilgStart,18))),0,MIN(MAX(0,$K8605-$L8605),$J8605)))</f>
      </c>
      <c r="N8605" s="43">
        <f>IF($I8605=0,0,MIN(SUMIFS(SondBetrag,SondDarl,18,SondDatum,"&gt;="&amp;$E8605,SondDatum,"&lt;="&amp;EOMONTH($E8605,0)),$J8605-$M8605))</f>
      </c>
      <c r="O8605" s="43">
        <f>IF($I8605=0,0,INDEX(DarlErsatzRate,18))</f>
      </c>
      <c r="P8605" s="43">
        <f>IF($I8605=0,0,$Q8604*INDEX(DarlErsatzZins,18))</f>
      </c>
      <c r="Q8605" s="43">
        <f>IF($I8605=0,0,$Q8604+$P8605+$O8605)</f>
      </c>
      <c r="R8605" s="43">
        <f>IF($I8605=0,0,$J8605-$M8605-$N8605)</f>
      </c>
    </row>
    <row r="8606">
      <c r="A8606"/>
      <c r="B8606">
        <v>18</v>
      </c>
      <c r="C8606" s="43">
        <f>INDEX(DarlObj,18)</f>
      </c>
      <c r="D8606">
        <v>443</v>
      </c>
      <c r="E8606" s="51">
        <f>IF(INDEX(DarlBelegt,18)=0,0,EOMONTH(INDEX(DarlAuszahlung,18),442)+1)</f>
      </c>
      <c r="F8606" s="43">
        <f>IF($E8606=0,0,YEAR($E8606))</f>
      </c>
      <c r="G8606" s="43">
        <f>IF(INDEX(DarlBindung,18)="",1,IF($E8606&lt;=INDEX(DarlBindung,18),1,0))</f>
      </c>
      <c r="H8606" s="43">
        <f>IF($G8606=1,INDEX(DarlSollzins,18),INDEX(DarlAnschluss,18))</f>
      </c>
      <c r="I8606" s="43">
        <f>IF(INDEX(DarlBelegt,18)=0,0,IF(INDEX(DarlOhneTilgung,18)=1,IF(INDEX(DarlBindung,18)="",1,$G8606),IF($J8606&gt;0.005,1,0)))</f>
      </c>
      <c r="J8606" s="43">
        <f>IF($I8605=0,0,$R8605)</f>
      </c>
      <c r="K8606" s="43">
        <f>IF($I8606=0,0,IF(INDEX(DarlOhneTilgung,18)=1,0,IF(AND(INDEX(DarlTilgStart,18)&gt;0,$E8606=INDEX(DarlTilgStart,18)),$J8606*($H8606+INDEX(DarlTilgung,18))/100/12,IF(AND($G8606=0,$G8605=1),MAX($K8605,$J8606*($H8606+1)/100/12),$K8605))))</f>
      </c>
      <c r="L8606" s="43">
        <f>IF($I8606=0,0,$J8606*$H8606/100/12)</f>
      </c>
      <c r="M8606" s="43">
        <f>IF($I8606=0,0,IF(OR(INDEX(DarlOhneTilgung,18)=1,AND(INDEX(DarlTilgStart,18)&gt;0,$E8606&lt;INDEX(DarlTilgStart,18))),0,MIN(MAX(0,$K8606-$L8606),$J8606)))</f>
      </c>
      <c r="N8606" s="43">
        <f>IF($I8606=0,0,MIN(SUMIFS(SondBetrag,SondDarl,18,SondDatum,"&gt;="&amp;$E8606,SondDatum,"&lt;="&amp;EOMONTH($E8606,0)),$J8606-$M8606))</f>
      </c>
      <c r="O8606" s="43">
        <f>IF($I8606=0,0,INDEX(DarlErsatzRate,18))</f>
      </c>
      <c r="P8606" s="43">
        <f>IF($I8606=0,0,$Q8605*INDEX(DarlErsatzZins,18))</f>
      </c>
      <c r="Q8606" s="43">
        <f>IF($I8606=0,0,$Q8605+$P8606+$O8606)</f>
      </c>
      <c r="R8606" s="43">
        <f>IF($I8606=0,0,$J8606-$M8606-$N8606)</f>
      </c>
    </row>
    <row r="8607">
      <c r="A8607"/>
      <c r="B8607">
        <v>18</v>
      </c>
      <c r="C8607" s="43">
        <f>INDEX(DarlObj,18)</f>
      </c>
      <c r="D8607">
        <v>444</v>
      </c>
      <c r="E8607" s="51">
        <f>IF(INDEX(DarlBelegt,18)=0,0,EOMONTH(INDEX(DarlAuszahlung,18),443)+1)</f>
      </c>
      <c r="F8607" s="43">
        <f>IF($E8607=0,0,YEAR($E8607))</f>
      </c>
      <c r="G8607" s="43">
        <f>IF(INDEX(DarlBindung,18)="",1,IF($E8607&lt;=INDEX(DarlBindung,18),1,0))</f>
      </c>
      <c r="H8607" s="43">
        <f>IF($G8607=1,INDEX(DarlSollzins,18),INDEX(DarlAnschluss,18))</f>
      </c>
      <c r="I8607" s="43">
        <f>IF(INDEX(DarlBelegt,18)=0,0,IF(INDEX(DarlOhneTilgung,18)=1,IF(INDEX(DarlBindung,18)="",1,$G8607),IF($J8607&gt;0.005,1,0)))</f>
      </c>
      <c r="J8607" s="43">
        <f>IF($I8606=0,0,$R8606)</f>
      </c>
      <c r="K8607" s="43">
        <f>IF($I8607=0,0,IF(INDEX(DarlOhneTilgung,18)=1,0,IF(AND(INDEX(DarlTilgStart,18)&gt;0,$E8607=INDEX(DarlTilgStart,18)),$J8607*($H8607+INDEX(DarlTilgung,18))/100/12,IF(AND($G8607=0,$G8606=1),MAX($K8606,$J8607*($H8607+1)/100/12),$K8606))))</f>
      </c>
      <c r="L8607" s="43">
        <f>IF($I8607=0,0,$J8607*$H8607/100/12)</f>
      </c>
      <c r="M8607" s="43">
        <f>IF($I8607=0,0,IF(OR(INDEX(DarlOhneTilgung,18)=1,AND(INDEX(DarlTilgStart,18)&gt;0,$E8607&lt;INDEX(DarlTilgStart,18))),0,MIN(MAX(0,$K8607-$L8607),$J8607)))</f>
      </c>
      <c r="N8607" s="43">
        <f>IF($I8607=0,0,MIN(SUMIFS(SondBetrag,SondDarl,18,SondDatum,"&gt;="&amp;$E8607,SondDatum,"&lt;="&amp;EOMONTH($E8607,0)),$J8607-$M8607))</f>
      </c>
      <c r="O8607" s="43">
        <f>IF($I8607=0,0,INDEX(DarlErsatzRate,18))</f>
      </c>
      <c r="P8607" s="43">
        <f>IF($I8607=0,0,$Q8606*INDEX(DarlErsatzZins,18))</f>
      </c>
      <c r="Q8607" s="43">
        <f>IF($I8607=0,0,$Q8606+$P8607+$O8607)</f>
      </c>
      <c r="R8607" s="43">
        <f>IF($I8607=0,0,$J8607-$M8607-$N8607)</f>
      </c>
    </row>
    <row r="8608">
      <c r="A8608"/>
      <c r="B8608">
        <v>18</v>
      </c>
      <c r="C8608" s="43">
        <f>INDEX(DarlObj,18)</f>
      </c>
      <c r="D8608">
        <v>445</v>
      </c>
      <c r="E8608" s="51">
        <f>IF(INDEX(DarlBelegt,18)=0,0,EOMONTH(INDEX(DarlAuszahlung,18),444)+1)</f>
      </c>
      <c r="F8608" s="43">
        <f>IF($E8608=0,0,YEAR($E8608))</f>
      </c>
      <c r="G8608" s="43">
        <f>IF(INDEX(DarlBindung,18)="",1,IF($E8608&lt;=INDEX(DarlBindung,18),1,0))</f>
      </c>
      <c r="H8608" s="43">
        <f>IF($G8608=1,INDEX(DarlSollzins,18),INDEX(DarlAnschluss,18))</f>
      </c>
      <c r="I8608" s="43">
        <f>IF(INDEX(DarlBelegt,18)=0,0,IF(INDEX(DarlOhneTilgung,18)=1,IF(INDEX(DarlBindung,18)="",1,$G8608),IF($J8608&gt;0.005,1,0)))</f>
      </c>
      <c r="J8608" s="43">
        <f>IF($I8607=0,0,$R8607)</f>
      </c>
      <c r="K8608" s="43">
        <f>IF($I8608=0,0,IF(INDEX(DarlOhneTilgung,18)=1,0,IF(AND(INDEX(DarlTilgStart,18)&gt;0,$E8608=INDEX(DarlTilgStart,18)),$J8608*($H8608+INDEX(DarlTilgung,18))/100/12,IF(AND($G8608=0,$G8607=1),MAX($K8607,$J8608*($H8608+1)/100/12),$K8607))))</f>
      </c>
      <c r="L8608" s="43">
        <f>IF($I8608=0,0,$J8608*$H8608/100/12)</f>
      </c>
      <c r="M8608" s="43">
        <f>IF($I8608=0,0,IF(OR(INDEX(DarlOhneTilgung,18)=1,AND(INDEX(DarlTilgStart,18)&gt;0,$E8608&lt;INDEX(DarlTilgStart,18))),0,MIN(MAX(0,$K8608-$L8608),$J8608)))</f>
      </c>
      <c r="N8608" s="43">
        <f>IF($I8608=0,0,MIN(SUMIFS(SondBetrag,SondDarl,18,SondDatum,"&gt;="&amp;$E8608,SondDatum,"&lt;="&amp;EOMONTH($E8608,0)),$J8608-$M8608))</f>
      </c>
      <c r="O8608" s="43">
        <f>IF($I8608=0,0,INDEX(DarlErsatzRate,18))</f>
      </c>
      <c r="P8608" s="43">
        <f>IF($I8608=0,0,$Q8607*INDEX(DarlErsatzZins,18))</f>
      </c>
      <c r="Q8608" s="43">
        <f>IF($I8608=0,0,$Q8607+$P8608+$O8608)</f>
      </c>
      <c r="R8608" s="43">
        <f>IF($I8608=0,0,$J8608-$M8608-$N8608)</f>
      </c>
    </row>
    <row r="8609">
      <c r="A8609"/>
      <c r="B8609">
        <v>18</v>
      </c>
      <c r="C8609" s="43">
        <f>INDEX(DarlObj,18)</f>
      </c>
      <c r="D8609">
        <v>446</v>
      </c>
      <c r="E8609" s="51">
        <f>IF(INDEX(DarlBelegt,18)=0,0,EOMONTH(INDEX(DarlAuszahlung,18),445)+1)</f>
      </c>
      <c r="F8609" s="43">
        <f>IF($E8609=0,0,YEAR($E8609))</f>
      </c>
      <c r="G8609" s="43">
        <f>IF(INDEX(DarlBindung,18)="",1,IF($E8609&lt;=INDEX(DarlBindung,18),1,0))</f>
      </c>
      <c r="H8609" s="43">
        <f>IF($G8609=1,INDEX(DarlSollzins,18),INDEX(DarlAnschluss,18))</f>
      </c>
      <c r="I8609" s="43">
        <f>IF(INDEX(DarlBelegt,18)=0,0,IF(INDEX(DarlOhneTilgung,18)=1,IF(INDEX(DarlBindung,18)="",1,$G8609),IF($J8609&gt;0.005,1,0)))</f>
      </c>
      <c r="J8609" s="43">
        <f>IF($I8608=0,0,$R8608)</f>
      </c>
      <c r="K8609" s="43">
        <f>IF($I8609=0,0,IF(INDEX(DarlOhneTilgung,18)=1,0,IF(AND(INDEX(DarlTilgStart,18)&gt;0,$E8609=INDEX(DarlTilgStart,18)),$J8609*($H8609+INDEX(DarlTilgung,18))/100/12,IF(AND($G8609=0,$G8608=1),MAX($K8608,$J8609*($H8609+1)/100/12),$K8608))))</f>
      </c>
      <c r="L8609" s="43">
        <f>IF($I8609=0,0,$J8609*$H8609/100/12)</f>
      </c>
      <c r="M8609" s="43">
        <f>IF($I8609=0,0,IF(OR(INDEX(DarlOhneTilgung,18)=1,AND(INDEX(DarlTilgStart,18)&gt;0,$E8609&lt;INDEX(DarlTilgStart,18))),0,MIN(MAX(0,$K8609-$L8609),$J8609)))</f>
      </c>
      <c r="N8609" s="43">
        <f>IF($I8609=0,0,MIN(SUMIFS(SondBetrag,SondDarl,18,SondDatum,"&gt;="&amp;$E8609,SondDatum,"&lt;="&amp;EOMONTH($E8609,0)),$J8609-$M8609))</f>
      </c>
      <c r="O8609" s="43">
        <f>IF($I8609=0,0,INDEX(DarlErsatzRate,18))</f>
      </c>
      <c r="P8609" s="43">
        <f>IF($I8609=0,0,$Q8608*INDEX(DarlErsatzZins,18))</f>
      </c>
      <c r="Q8609" s="43">
        <f>IF($I8609=0,0,$Q8608+$P8609+$O8609)</f>
      </c>
      <c r="R8609" s="43">
        <f>IF($I8609=0,0,$J8609-$M8609-$N8609)</f>
      </c>
    </row>
    <row r="8610">
      <c r="A8610"/>
      <c r="B8610">
        <v>18</v>
      </c>
      <c r="C8610" s="43">
        <f>INDEX(DarlObj,18)</f>
      </c>
      <c r="D8610">
        <v>447</v>
      </c>
      <c r="E8610" s="51">
        <f>IF(INDEX(DarlBelegt,18)=0,0,EOMONTH(INDEX(DarlAuszahlung,18),446)+1)</f>
      </c>
      <c r="F8610" s="43">
        <f>IF($E8610=0,0,YEAR($E8610))</f>
      </c>
      <c r="G8610" s="43">
        <f>IF(INDEX(DarlBindung,18)="",1,IF($E8610&lt;=INDEX(DarlBindung,18),1,0))</f>
      </c>
      <c r="H8610" s="43">
        <f>IF($G8610=1,INDEX(DarlSollzins,18),INDEX(DarlAnschluss,18))</f>
      </c>
      <c r="I8610" s="43">
        <f>IF(INDEX(DarlBelegt,18)=0,0,IF(INDEX(DarlOhneTilgung,18)=1,IF(INDEX(DarlBindung,18)="",1,$G8610),IF($J8610&gt;0.005,1,0)))</f>
      </c>
      <c r="J8610" s="43">
        <f>IF($I8609=0,0,$R8609)</f>
      </c>
      <c r="K8610" s="43">
        <f>IF($I8610=0,0,IF(INDEX(DarlOhneTilgung,18)=1,0,IF(AND(INDEX(DarlTilgStart,18)&gt;0,$E8610=INDEX(DarlTilgStart,18)),$J8610*($H8610+INDEX(DarlTilgung,18))/100/12,IF(AND($G8610=0,$G8609=1),MAX($K8609,$J8610*($H8610+1)/100/12),$K8609))))</f>
      </c>
      <c r="L8610" s="43">
        <f>IF($I8610=0,0,$J8610*$H8610/100/12)</f>
      </c>
      <c r="M8610" s="43">
        <f>IF($I8610=0,0,IF(OR(INDEX(DarlOhneTilgung,18)=1,AND(INDEX(DarlTilgStart,18)&gt;0,$E8610&lt;INDEX(DarlTilgStart,18))),0,MIN(MAX(0,$K8610-$L8610),$J8610)))</f>
      </c>
      <c r="N8610" s="43">
        <f>IF($I8610=0,0,MIN(SUMIFS(SondBetrag,SondDarl,18,SondDatum,"&gt;="&amp;$E8610,SondDatum,"&lt;="&amp;EOMONTH($E8610,0)),$J8610-$M8610))</f>
      </c>
      <c r="O8610" s="43">
        <f>IF($I8610=0,0,INDEX(DarlErsatzRate,18))</f>
      </c>
      <c r="P8610" s="43">
        <f>IF($I8610=0,0,$Q8609*INDEX(DarlErsatzZins,18))</f>
      </c>
      <c r="Q8610" s="43">
        <f>IF($I8610=0,0,$Q8609+$P8610+$O8610)</f>
      </c>
      <c r="R8610" s="43">
        <f>IF($I8610=0,0,$J8610-$M8610-$N8610)</f>
      </c>
    </row>
    <row r="8611">
      <c r="A8611"/>
      <c r="B8611">
        <v>18</v>
      </c>
      <c r="C8611" s="43">
        <f>INDEX(DarlObj,18)</f>
      </c>
      <c r="D8611">
        <v>448</v>
      </c>
      <c r="E8611" s="51">
        <f>IF(INDEX(DarlBelegt,18)=0,0,EOMONTH(INDEX(DarlAuszahlung,18),447)+1)</f>
      </c>
      <c r="F8611" s="43">
        <f>IF($E8611=0,0,YEAR($E8611))</f>
      </c>
      <c r="G8611" s="43">
        <f>IF(INDEX(DarlBindung,18)="",1,IF($E8611&lt;=INDEX(DarlBindung,18),1,0))</f>
      </c>
      <c r="H8611" s="43">
        <f>IF($G8611=1,INDEX(DarlSollzins,18),INDEX(DarlAnschluss,18))</f>
      </c>
      <c r="I8611" s="43">
        <f>IF(INDEX(DarlBelegt,18)=0,0,IF(INDEX(DarlOhneTilgung,18)=1,IF(INDEX(DarlBindung,18)="",1,$G8611),IF($J8611&gt;0.005,1,0)))</f>
      </c>
      <c r="J8611" s="43">
        <f>IF($I8610=0,0,$R8610)</f>
      </c>
      <c r="K8611" s="43">
        <f>IF($I8611=0,0,IF(INDEX(DarlOhneTilgung,18)=1,0,IF(AND(INDEX(DarlTilgStart,18)&gt;0,$E8611=INDEX(DarlTilgStart,18)),$J8611*($H8611+INDEX(DarlTilgung,18))/100/12,IF(AND($G8611=0,$G8610=1),MAX($K8610,$J8611*($H8611+1)/100/12),$K8610))))</f>
      </c>
      <c r="L8611" s="43">
        <f>IF($I8611=0,0,$J8611*$H8611/100/12)</f>
      </c>
      <c r="M8611" s="43">
        <f>IF($I8611=0,0,IF(OR(INDEX(DarlOhneTilgung,18)=1,AND(INDEX(DarlTilgStart,18)&gt;0,$E8611&lt;INDEX(DarlTilgStart,18))),0,MIN(MAX(0,$K8611-$L8611),$J8611)))</f>
      </c>
      <c r="N8611" s="43">
        <f>IF($I8611=0,0,MIN(SUMIFS(SondBetrag,SondDarl,18,SondDatum,"&gt;="&amp;$E8611,SondDatum,"&lt;="&amp;EOMONTH($E8611,0)),$J8611-$M8611))</f>
      </c>
      <c r="O8611" s="43">
        <f>IF($I8611=0,0,INDEX(DarlErsatzRate,18))</f>
      </c>
      <c r="P8611" s="43">
        <f>IF($I8611=0,0,$Q8610*INDEX(DarlErsatzZins,18))</f>
      </c>
      <c r="Q8611" s="43">
        <f>IF($I8611=0,0,$Q8610+$P8611+$O8611)</f>
      </c>
      <c r="R8611" s="43">
        <f>IF($I8611=0,0,$J8611-$M8611-$N8611)</f>
      </c>
    </row>
    <row r="8612">
      <c r="A8612"/>
      <c r="B8612">
        <v>18</v>
      </c>
      <c r="C8612" s="43">
        <f>INDEX(DarlObj,18)</f>
      </c>
      <c r="D8612">
        <v>449</v>
      </c>
      <c r="E8612" s="51">
        <f>IF(INDEX(DarlBelegt,18)=0,0,EOMONTH(INDEX(DarlAuszahlung,18),448)+1)</f>
      </c>
      <c r="F8612" s="43">
        <f>IF($E8612=0,0,YEAR($E8612))</f>
      </c>
      <c r="G8612" s="43">
        <f>IF(INDEX(DarlBindung,18)="",1,IF($E8612&lt;=INDEX(DarlBindung,18),1,0))</f>
      </c>
      <c r="H8612" s="43">
        <f>IF($G8612=1,INDEX(DarlSollzins,18),INDEX(DarlAnschluss,18))</f>
      </c>
      <c r="I8612" s="43">
        <f>IF(INDEX(DarlBelegt,18)=0,0,IF(INDEX(DarlOhneTilgung,18)=1,IF(INDEX(DarlBindung,18)="",1,$G8612),IF($J8612&gt;0.005,1,0)))</f>
      </c>
      <c r="J8612" s="43">
        <f>IF($I8611=0,0,$R8611)</f>
      </c>
      <c r="K8612" s="43">
        <f>IF($I8612=0,0,IF(INDEX(DarlOhneTilgung,18)=1,0,IF(AND(INDEX(DarlTilgStart,18)&gt;0,$E8612=INDEX(DarlTilgStart,18)),$J8612*($H8612+INDEX(DarlTilgung,18))/100/12,IF(AND($G8612=0,$G8611=1),MAX($K8611,$J8612*($H8612+1)/100/12),$K8611))))</f>
      </c>
      <c r="L8612" s="43">
        <f>IF($I8612=0,0,$J8612*$H8612/100/12)</f>
      </c>
      <c r="M8612" s="43">
        <f>IF($I8612=0,0,IF(OR(INDEX(DarlOhneTilgung,18)=1,AND(INDEX(DarlTilgStart,18)&gt;0,$E8612&lt;INDEX(DarlTilgStart,18))),0,MIN(MAX(0,$K8612-$L8612),$J8612)))</f>
      </c>
      <c r="N8612" s="43">
        <f>IF($I8612=0,0,MIN(SUMIFS(SondBetrag,SondDarl,18,SondDatum,"&gt;="&amp;$E8612,SondDatum,"&lt;="&amp;EOMONTH($E8612,0)),$J8612-$M8612))</f>
      </c>
      <c r="O8612" s="43">
        <f>IF($I8612=0,0,INDEX(DarlErsatzRate,18))</f>
      </c>
      <c r="P8612" s="43">
        <f>IF($I8612=0,0,$Q8611*INDEX(DarlErsatzZins,18))</f>
      </c>
      <c r="Q8612" s="43">
        <f>IF($I8612=0,0,$Q8611+$P8612+$O8612)</f>
      </c>
      <c r="R8612" s="43">
        <f>IF($I8612=0,0,$J8612-$M8612-$N8612)</f>
      </c>
    </row>
    <row r="8613">
      <c r="A8613"/>
      <c r="B8613">
        <v>18</v>
      </c>
      <c r="C8613" s="43">
        <f>INDEX(DarlObj,18)</f>
      </c>
      <c r="D8613">
        <v>450</v>
      </c>
      <c r="E8613" s="51">
        <f>IF(INDEX(DarlBelegt,18)=0,0,EOMONTH(INDEX(DarlAuszahlung,18),449)+1)</f>
      </c>
      <c r="F8613" s="43">
        <f>IF($E8613=0,0,YEAR($E8613))</f>
      </c>
      <c r="G8613" s="43">
        <f>IF(INDEX(DarlBindung,18)="",1,IF($E8613&lt;=INDEX(DarlBindung,18),1,0))</f>
      </c>
      <c r="H8613" s="43">
        <f>IF($G8613=1,INDEX(DarlSollzins,18),INDEX(DarlAnschluss,18))</f>
      </c>
      <c r="I8613" s="43">
        <f>IF(INDEX(DarlBelegt,18)=0,0,IF(INDEX(DarlOhneTilgung,18)=1,IF(INDEX(DarlBindung,18)="",1,$G8613),IF($J8613&gt;0.005,1,0)))</f>
      </c>
      <c r="J8613" s="43">
        <f>IF($I8612=0,0,$R8612)</f>
      </c>
      <c r="K8613" s="43">
        <f>IF($I8613=0,0,IF(INDEX(DarlOhneTilgung,18)=1,0,IF(AND(INDEX(DarlTilgStart,18)&gt;0,$E8613=INDEX(DarlTilgStart,18)),$J8613*($H8613+INDEX(DarlTilgung,18))/100/12,IF(AND($G8613=0,$G8612=1),MAX($K8612,$J8613*($H8613+1)/100/12),$K8612))))</f>
      </c>
      <c r="L8613" s="43">
        <f>IF($I8613=0,0,$J8613*$H8613/100/12)</f>
      </c>
      <c r="M8613" s="43">
        <f>IF($I8613=0,0,IF(OR(INDEX(DarlOhneTilgung,18)=1,AND(INDEX(DarlTilgStart,18)&gt;0,$E8613&lt;INDEX(DarlTilgStart,18))),0,MIN(MAX(0,$K8613-$L8613),$J8613)))</f>
      </c>
      <c r="N8613" s="43">
        <f>IF($I8613=0,0,MIN(SUMIFS(SondBetrag,SondDarl,18,SondDatum,"&gt;="&amp;$E8613,SondDatum,"&lt;="&amp;EOMONTH($E8613,0)),$J8613-$M8613))</f>
      </c>
      <c r="O8613" s="43">
        <f>IF($I8613=0,0,INDEX(DarlErsatzRate,18))</f>
      </c>
      <c r="P8613" s="43">
        <f>IF($I8613=0,0,$Q8612*INDEX(DarlErsatzZins,18))</f>
      </c>
      <c r="Q8613" s="43">
        <f>IF($I8613=0,0,$Q8612+$P8613+$O8613)</f>
      </c>
      <c r="R8613" s="43">
        <f>IF($I8613=0,0,$J8613-$M8613-$N8613)</f>
      </c>
    </row>
    <row r="8614">
      <c r="A8614"/>
      <c r="B8614">
        <v>18</v>
      </c>
      <c r="C8614" s="43">
        <f>INDEX(DarlObj,18)</f>
      </c>
      <c r="D8614">
        <v>451</v>
      </c>
      <c r="E8614" s="51">
        <f>IF(INDEX(DarlBelegt,18)=0,0,EOMONTH(INDEX(DarlAuszahlung,18),450)+1)</f>
      </c>
      <c r="F8614" s="43">
        <f>IF($E8614=0,0,YEAR($E8614))</f>
      </c>
      <c r="G8614" s="43">
        <f>IF(INDEX(DarlBindung,18)="",1,IF($E8614&lt;=INDEX(DarlBindung,18),1,0))</f>
      </c>
      <c r="H8614" s="43">
        <f>IF($G8614=1,INDEX(DarlSollzins,18),INDEX(DarlAnschluss,18))</f>
      </c>
      <c r="I8614" s="43">
        <f>IF(INDEX(DarlBelegt,18)=0,0,IF(INDEX(DarlOhneTilgung,18)=1,IF(INDEX(DarlBindung,18)="",1,$G8614),IF($J8614&gt;0.005,1,0)))</f>
      </c>
      <c r="J8614" s="43">
        <f>IF($I8613=0,0,$R8613)</f>
      </c>
      <c r="K8614" s="43">
        <f>IF($I8614=0,0,IF(INDEX(DarlOhneTilgung,18)=1,0,IF(AND(INDEX(DarlTilgStart,18)&gt;0,$E8614=INDEX(DarlTilgStart,18)),$J8614*($H8614+INDEX(DarlTilgung,18))/100/12,IF(AND($G8614=0,$G8613=1),MAX($K8613,$J8614*($H8614+1)/100/12),$K8613))))</f>
      </c>
      <c r="L8614" s="43">
        <f>IF($I8614=0,0,$J8614*$H8614/100/12)</f>
      </c>
      <c r="M8614" s="43">
        <f>IF($I8614=0,0,IF(OR(INDEX(DarlOhneTilgung,18)=1,AND(INDEX(DarlTilgStart,18)&gt;0,$E8614&lt;INDEX(DarlTilgStart,18))),0,MIN(MAX(0,$K8614-$L8614),$J8614)))</f>
      </c>
      <c r="N8614" s="43">
        <f>IF($I8614=0,0,MIN(SUMIFS(SondBetrag,SondDarl,18,SondDatum,"&gt;="&amp;$E8614,SondDatum,"&lt;="&amp;EOMONTH($E8614,0)),$J8614-$M8614))</f>
      </c>
      <c r="O8614" s="43">
        <f>IF($I8614=0,0,INDEX(DarlErsatzRate,18))</f>
      </c>
      <c r="P8614" s="43">
        <f>IF($I8614=0,0,$Q8613*INDEX(DarlErsatzZins,18))</f>
      </c>
      <c r="Q8614" s="43">
        <f>IF($I8614=0,0,$Q8613+$P8614+$O8614)</f>
      </c>
      <c r="R8614" s="43">
        <f>IF($I8614=0,0,$J8614-$M8614-$N8614)</f>
      </c>
    </row>
    <row r="8615">
      <c r="A8615"/>
      <c r="B8615">
        <v>18</v>
      </c>
      <c r="C8615" s="43">
        <f>INDEX(DarlObj,18)</f>
      </c>
      <c r="D8615">
        <v>452</v>
      </c>
      <c r="E8615" s="51">
        <f>IF(INDEX(DarlBelegt,18)=0,0,EOMONTH(INDEX(DarlAuszahlung,18),451)+1)</f>
      </c>
      <c r="F8615" s="43">
        <f>IF($E8615=0,0,YEAR($E8615))</f>
      </c>
      <c r="G8615" s="43">
        <f>IF(INDEX(DarlBindung,18)="",1,IF($E8615&lt;=INDEX(DarlBindung,18),1,0))</f>
      </c>
      <c r="H8615" s="43">
        <f>IF($G8615=1,INDEX(DarlSollzins,18),INDEX(DarlAnschluss,18))</f>
      </c>
      <c r="I8615" s="43">
        <f>IF(INDEX(DarlBelegt,18)=0,0,IF(INDEX(DarlOhneTilgung,18)=1,IF(INDEX(DarlBindung,18)="",1,$G8615),IF($J8615&gt;0.005,1,0)))</f>
      </c>
      <c r="J8615" s="43">
        <f>IF($I8614=0,0,$R8614)</f>
      </c>
      <c r="K8615" s="43">
        <f>IF($I8615=0,0,IF(INDEX(DarlOhneTilgung,18)=1,0,IF(AND(INDEX(DarlTilgStart,18)&gt;0,$E8615=INDEX(DarlTilgStart,18)),$J8615*($H8615+INDEX(DarlTilgung,18))/100/12,IF(AND($G8615=0,$G8614=1),MAX($K8614,$J8615*($H8615+1)/100/12),$K8614))))</f>
      </c>
      <c r="L8615" s="43">
        <f>IF($I8615=0,0,$J8615*$H8615/100/12)</f>
      </c>
      <c r="M8615" s="43">
        <f>IF($I8615=0,0,IF(OR(INDEX(DarlOhneTilgung,18)=1,AND(INDEX(DarlTilgStart,18)&gt;0,$E8615&lt;INDEX(DarlTilgStart,18))),0,MIN(MAX(0,$K8615-$L8615),$J8615)))</f>
      </c>
      <c r="N8615" s="43">
        <f>IF($I8615=0,0,MIN(SUMIFS(SondBetrag,SondDarl,18,SondDatum,"&gt;="&amp;$E8615,SondDatum,"&lt;="&amp;EOMONTH($E8615,0)),$J8615-$M8615))</f>
      </c>
      <c r="O8615" s="43">
        <f>IF($I8615=0,0,INDEX(DarlErsatzRate,18))</f>
      </c>
      <c r="P8615" s="43">
        <f>IF($I8615=0,0,$Q8614*INDEX(DarlErsatzZins,18))</f>
      </c>
      <c r="Q8615" s="43">
        <f>IF($I8615=0,0,$Q8614+$P8615+$O8615)</f>
      </c>
      <c r="R8615" s="43">
        <f>IF($I8615=0,0,$J8615-$M8615-$N8615)</f>
      </c>
    </row>
    <row r="8616">
      <c r="A8616"/>
      <c r="B8616">
        <v>18</v>
      </c>
      <c r="C8616" s="43">
        <f>INDEX(DarlObj,18)</f>
      </c>
      <c r="D8616">
        <v>453</v>
      </c>
      <c r="E8616" s="51">
        <f>IF(INDEX(DarlBelegt,18)=0,0,EOMONTH(INDEX(DarlAuszahlung,18),452)+1)</f>
      </c>
      <c r="F8616" s="43">
        <f>IF($E8616=0,0,YEAR($E8616))</f>
      </c>
      <c r="G8616" s="43">
        <f>IF(INDEX(DarlBindung,18)="",1,IF($E8616&lt;=INDEX(DarlBindung,18),1,0))</f>
      </c>
      <c r="H8616" s="43">
        <f>IF($G8616=1,INDEX(DarlSollzins,18),INDEX(DarlAnschluss,18))</f>
      </c>
      <c r="I8616" s="43">
        <f>IF(INDEX(DarlBelegt,18)=0,0,IF(INDEX(DarlOhneTilgung,18)=1,IF(INDEX(DarlBindung,18)="",1,$G8616),IF($J8616&gt;0.005,1,0)))</f>
      </c>
      <c r="J8616" s="43">
        <f>IF($I8615=0,0,$R8615)</f>
      </c>
      <c r="K8616" s="43">
        <f>IF($I8616=0,0,IF(INDEX(DarlOhneTilgung,18)=1,0,IF(AND(INDEX(DarlTilgStart,18)&gt;0,$E8616=INDEX(DarlTilgStart,18)),$J8616*($H8616+INDEX(DarlTilgung,18))/100/12,IF(AND($G8616=0,$G8615=1),MAX($K8615,$J8616*($H8616+1)/100/12),$K8615))))</f>
      </c>
      <c r="L8616" s="43">
        <f>IF($I8616=0,0,$J8616*$H8616/100/12)</f>
      </c>
      <c r="M8616" s="43">
        <f>IF($I8616=0,0,IF(OR(INDEX(DarlOhneTilgung,18)=1,AND(INDEX(DarlTilgStart,18)&gt;0,$E8616&lt;INDEX(DarlTilgStart,18))),0,MIN(MAX(0,$K8616-$L8616),$J8616)))</f>
      </c>
      <c r="N8616" s="43">
        <f>IF($I8616=0,0,MIN(SUMIFS(SondBetrag,SondDarl,18,SondDatum,"&gt;="&amp;$E8616,SondDatum,"&lt;="&amp;EOMONTH($E8616,0)),$J8616-$M8616))</f>
      </c>
      <c r="O8616" s="43">
        <f>IF($I8616=0,0,INDEX(DarlErsatzRate,18))</f>
      </c>
      <c r="P8616" s="43">
        <f>IF($I8616=0,0,$Q8615*INDEX(DarlErsatzZins,18))</f>
      </c>
      <c r="Q8616" s="43">
        <f>IF($I8616=0,0,$Q8615+$P8616+$O8616)</f>
      </c>
      <c r="R8616" s="43">
        <f>IF($I8616=0,0,$J8616-$M8616-$N8616)</f>
      </c>
    </row>
    <row r="8617">
      <c r="A8617"/>
      <c r="B8617">
        <v>18</v>
      </c>
      <c r="C8617" s="43">
        <f>INDEX(DarlObj,18)</f>
      </c>
      <c r="D8617">
        <v>454</v>
      </c>
      <c r="E8617" s="51">
        <f>IF(INDEX(DarlBelegt,18)=0,0,EOMONTH(INDEX(DarlAuszahlung,18),453)+1)</f>
      </c>
      <c r="F8617" s="43">
        <f>IF($E8617=0,0,YEAR($E8617))</f>
      </c>
      <c r="G8617" s="43">
        <f>IF(INDEX(DarlBindung,18)="",1,IF($E8617&lt;=INDEX(DarlBindung,18),1,0))</f>
      </c>
      <c r="H8617" s="43">
        <f>IF($G8617=1,INDEX(DarlSollzins,18),INDEX(DarlAnschluss,18))</f>
      </c>
      <c r="I8617" s="43">
        <f>IF(INDEX(DarlBelegt,18)=0,0,IF(INDEX(DarlOhneTilgung,18)=1,IF(INDEX(DarlBindung,18)="",1,$G8617),IF($J8617&gt;0.005,1,0)))</f>
      </c>
      <c r="J8617" s="43">
        <f>IF($I8616=0,0,$R8616)</f>
      </c>
      <c r="K8617" s="43">
        <f>IF($I8617=0,0,IF(INDEX(DarlOhneTilgung,18)=1,0,IF(AND(INDEX(DarlTilgStart,18)&gt;0,$E8617=INDEX(DarlTilgStart,18)),$J8617*($H8617+INDEX(DarlTilgung,18))/100/12,IF(AND($G8617=0,$G8616=1),MAX($K8616,$J8617*($H8617+1)/100/12),$K8616))))</f>
      </c>
      <c r="L8617" s="43">
        <f>IF($I8617=0,0,$J8617*$H8617/100/12)</f>
      </c>
      <c r="M8617" s="43">
        <f>IF($I8617=0,0,IF(OR(INDEX(DarlOhneTilgung,18)=1,AND(INDEX(DarlTilgStart,18)&gt;0,$E8617&lt;INDEX(DarlTilgStart,18))),0,MIN(MAX(0,$K8617-$L8617),$J8617)))</f>
      </c>
      <c r="N8617" s="43">
        <f>IF($I8617=0,0,MIN(SUMIFS(SondBetrag,SondDarl,18,SondDatum,"&gt;="&amp;$E8617,SondDatum,"&lt;="&amp;EOMONTH($E8617,0)),$J8617-$M8617))</f>
      </c>
      <c r="O8617" s="43">
        <f>IF($I8617=0,0,INDEX(DarlErsatzRate,18))</f>
      </c>
      <c r="P8617" s="43">
        <f>IF($I8617=0,0,$Q8616*INDEX(DarlErsatzZins,18))</f>
      </c>
      <c r="Q8617" s="43">
        <f>IF($I8617=0,0,$Q8616+$P8617+$O8617)</f>
      </c>
      <c r="R8617" s="43">
        <f>IF($I8617=0,0,$J8617-$M8617-$N8617)</f>
      </c>
    </row>
    <row r="8618">
      <c r="A8618"/>
      <c r="B8618">
        <v>18</v>
      </c>
      <c r="C8618" s="43">
        <f>INDEX(DarlObj,18)</f>
      </c>
      <c r="D8618">
        <v>455</v>
      </c>
      <c r="E8618" s="51">
        <f>IF(INDEX(DarlBelegt,18)=0,0,EOMONTH(INDEX(DarlAuszahlung,18),454)+1)</f>
      </c>
      <c r="F8618" s="43">
        <f>IF($E8618=0,0,YEAR($E8618))</f>
      </c>
      <c r="G8618" s="43">
        <f>IF(INDEX(DarlBindung,18)="",1,IF($E8618&lt;=INDEX(DarlBindung,18),1,0))</f>
      </c>
      <c r="H8618" s="43">
        <f>IF($G8618=1,INDEX(DarlSollzins,18),INDEX(DarlAnschluss,18))</f>
      </c>
      <c r="I8618" s="43">
        <f>IF(INDEX(DarlBelegt,18)=0,0,IF(INDEX(DarlOhneTilgung,18)=1,IF(INDEX(DarlBindung,18)="",1,$G8618),IF($J8618&gt;0.005,1,0)))</f>
      </c>
      <c r="J8618" s="43">
        <f>IF($I8617=0,0,$R8617)</f>
      </c>
      <c r="K8618" s="43">
        <f>IF($I8618=0,0,IF(INDEX(DarlOhneTilgung,18)=1,0,IF(AND(INDEX(DarlTilgStart,18)&gt;0,$E8618=INDEX(DarlTilgStart,18)),$J8618*($H8618+INDEX(DarlTilgung,18))/100/12,IF(AND($G8618=0,$G8617=1),MAX($K8617,$J8618*($H8618+1)/100/12),$K8617))))</f>
      </c>
      <c r="L8618" s="43">
        <f>IF($I8618=0,0,$J8618*$H8618/100/12)</f>
      </c>
      <c r="M8618" s="43">
        <f>IF($I8618=0,0,IF(OR(INDEX(DarlOhneTilgung,18)=1,AND(INDEX(DarlTilgStart,18)&gt;0,$E8618&lt;INDEX(DarlTilgStart,18))),0,MIN(MAX(0,$K8618-$L8618),$J8618)))</f>
      </c>
      <c r="N8618" s="43">
        <f>IF($I8618=0,0,MIN(SUMIFS(SondBetrag,SondDarl,18,SondDatum,"&gt;="&amp;$E8618,SondDatum,"&lt;="&amp;EOMONTH($E8618,0)),$J8618-$M8618))</f>
      </c>
      <c r="O8618" s="43">
        <f>IF($I8618=0,0,INDEX(DarlErsatzRate,18))</f>
      </c>
      <c r="P8618" s="43">
        <f>IF($I8618=0,0,$Q8617*INDEX(DarlErsatzZins,18))</f>
      </c>
      <c r="Q8618" s="43">
        <f>IF($I8618=0,0,$Q8617+$P8618+$O8618)</f>
      </c>
      <c r="R8618" s="43">
        <f>IF($I8618=0,0,$J8618-$M8618-$N8618)</f>
      </c>
    </row>
    <row r="8619">
      <c r="A8619"/>
      <c r="B8619">
        <v>18</v>
      </c>
      <c r="C8619" s="43">
        <f>INDEX(DarlObj,18)</f>
      </c>
      <c r="D8619">
        <v>456</v>
      </c>
      <c r="E8619" s="51">
        <f>IF(INDEX(DarlBelegt,18)=0,0,EOMONTH(INDEX(DarlAuszahlung,18),455)+1)</f>
      </c>
      <c r="F8619" s="43">
        <f>IF($E8619=0,0,YEAR($E8619))</f>
      </c>
      <c r="G8619" s="43">
        <f>IF(INDEX(DarlBindung,18)="",1,IF($E8619&lt;=INDEX(DarlBindung,18),1,0))</f>
      </c>
      <c r="H8619" s="43">
        <f>IF($G8619=1,INDEX(DarlSollzins,18),INDEX(DarlAnschluss,18))</f>
      </c>
      <c r="I8619" s="43">
        <f>IF(INDEX(DarlBelegt,18)=0,0,IF(INDEX(DarlOhneTilgung,18)=1,IF(INDEX(DarlBindung,18)="",1,$G8619),IF($J8619&gt;0.005,1,0)))</f>
      </c>
      <c r="J8619" s="43">
        <f>IF($I8618=0,0,$R8618)</f>
      </c>
      <c r="K8619" s="43">
        <f>IF($I8619=0,0,IF(INDEX(DarlOhneTilgung,18)=1,0,IF(AND(INDEX(DarlTilgStart,18)&gt;0,$E8619=INDEX(DarlTilgStart,18)),$J8619*($H8619+INDEX(DarlTilgung,18))/100/12,IF(AND($G8619=0,$G8618=1),MAX($K8618,$J8619*($H8619+1)/100/12),$K8618))))</f>
      </c>
      <c r="L8619" s="43">
        <f>IF($I8619=0,0,$J8619*$H8619/100/12)</f>
      </c>
      <c r="M8619" s="43">
        <f>IF($I8619=0,0,IF(OR(INDEX(DarlOhneTilgung,18)=1,AND(INDEX(DarlTilgStart,18)&gt;0,$E8619&lt;INDEX(DarlTilgStart,18))),0,MIN(MAX(0,$K8619-$L8619),$J8619)))</f>
      </c>
      <c r="N8619" s="43">
        <f>IF($I8619=0,0,MIN(SUMIFS(SondBetrag,SondDarl,18,SondDatum,"&gt;="&amp;$E8619,SondDatum,"&lt;="&amp;EOMONTH($E8619,0)),$J8619-$M8619))</f>
      </c>
      <c r="O8619" s="43">
        <f>IF($I8619=0,0,INDEX(DarlErsatzRate,18))</f>
      </c>
      <c r="P8619" s="43">
        <f>IF($I8619=0,0,$Q8618*INDEX(DarlErsatzZins,18))</f>
      </c>
      <c r="Q8619" s="43">
        <f>IF($I8619=0,0,$Q8618+$P8619+$O8619)</f>
      </c>
      <c r="R8619" s="43">
        <f>IF($I8619=0,0,$J8619-$M8619-$N8619)</f>
      </c>
    </row>
    <row r="8620">
      <c r="A8620"/>
      <c r="B8620">
        <v>18</v>
      </c>
      <c r="C8620" s="43">
        <f>INDEX(DarlObj,18)</f>
      </c>
      <c r="D8620">
        <v>457</v>
      </c>
      <c r="E8620" s="51">
        <f>IF(INDEX(DarlBelegt,18)=0,0,EOMONTH(INDEX(DarlAuszahlung,18),456)+1)</f>
      </c>
      <c r="F8620" s="43">
        <f>IF($E8620=0,0,YEAR($E8620))</f>
      </c>
      <c r="G8620" s="43">
        <f>IF(INDEX(DarlBindung,18)="",1,IF($E8620&lt;=INDEX(DarlBindung,18),1,0))</f>
      </c>
      <c r="H8620" s="43">
        <f>IF($G8620=1,INDEX(DarlSollzins,18),INDEX(DarlAnschluss,18))</f>
      </c>
      <c r="I8620" s="43">
        <f>IF(INDEX(DarlBelegt,18)=0,0,IF(INDEX(DarlOhneTilgung,18)=1,IF(INDEX(DarlBindung,18)="",1,$G8620),IF($J8620&gt;0.005,1,0)))</f>
      </c>
      <c r="J8620" s="43">
        <f>IF($I8619=0,0,$R8619)</f>
      </c>
      <c r="K8620" s="43">
        <f>IF($I8620=0,0,IF(INDEX(DarlOhneTilgung,18)=1,0,IF(AND(INDEX(DarlTilgStart,18)&gt;0,$E8620=INDEX(DarlTilgStart,18)),$J8620*($H8620+INDEX(DarlTilgung,18))/100/12,IF(AND($G8620=0,$G8619=1),MAX($K8619,$J8620*($H8620+1)/100/12),$K8619))))</f>
      </c>
      <c r="L8620" s="43">
        <f>IF($I8620=0,0,$J8620*$H8620/100/12)</f>
      </c>
      <c r="M8620" s="43">
        <f>IF($I8620=0,0,IF(OR(INDEX(DarlOhneTilgung,18)=1,AND(INDEX(DarlTilgStart,18)&gt;0,$E8620&lt;INDEX(DarlTilgStart,18))),0,MIN(MAX(0,$K8620-$L8620),$J8620)))</f>
      </c>
      <c r="N8620" s="43">
        <f>IF($I8620=0,0,MIN(SUMIFS(SondBetrag,SondDarl,18,SondDatum,"&gt;="&amp;$E8620,SondDatum,"&lt;="&amp;EOMONTH($E8620,0)),$J8620-$M8620))</f>
      </c>
      <c r="O8620" s="43">
        <f>IF($I8620=0,0,INDEX(DarlErsatzRate,18))</f>
      </c>
      <c r="P8620" s="43">
        <f>IF($I8620=0,0,$Q8619*INDEX(DarlErsatzZins,18))</f>
      </c>
      <c r="Q8620" s="43">
        <f>IF($I8620=0,0,$Q8619+$P8620+$O8620)</f>
      </c>
      <c r="R8620" s="43">
        <f>IF($I8620=0,0,$J8620-$M8620-$N8620)</f>
      </c>
    </row>
    <row r="8621">
      <c r="A8621"/>
      <c r="B8621">
        <v>18</v>
      </c>
      <c r="C8621" s="43">
        <f>INDEX(DarlObj,18)</f>
      </c>
      <c r="D8621">
        <v>458</v>
      </c>
      <c r="E8621" s="51">
        <f>IF(INDEX(DarlBelegt,18)=0,0,EOMONTH(INDEX(DarlAuszahlung,18),457)+1)</f>
      </c>
      <c r="F8621" s="43">
        <f>IF($E8621=0,0,YEAR($E8621))</f>
      </c>
      <c r="G8621" s="43">
        <f>IF(INDEX(DarlBindung,18)="",1,IF($E8621&lt;=INDEX(DarlBindung,18),1,0))</f>
      </c>
      <c r="H8621" s="43">
        <f>IF($G8621=1,INDEX(DarlSollzins,18),INDEX(DarlAnschluss,18))</f>
      </c>
      <c r="I8621" s="43">
        <f>IF(INDEX(DarlBelegt,18)=0,0,IF(INDEX(DarlOhneTilgung,18)=1,IF(INDEX(DarlBindung,18)="",1,$G8621),IF($J8621&gt;0.005,1,0)))</f>
      </c>
      <c r="J8621" s="43">
        <f>IF($I8620=0,0,$R8620)</f>
      </c>
      <c r="K8621" s="43">
        <f>IF($I8621=0,0,IF(INDEX(DarlOhneTilgung,18)=1,0,IF(AND(INDEX(DarlTilgStart,18)&gt;0,$E8621=INDEX(DarlTilgStart,18)),$J8621*($H8621+INDEX(DarlTilgung,18))/100/12,IF(AND($G8621=0,$G8620=1),MAX($K8620,$J8621*($H8621+1)/100/12),$K8620))))</f>
      </c>
      <c r="L8621" s="43">
        <f>IF($I8621=0,0,$J8621*$H8621/100/12)</f>
      </c>
      <c r="M8621" s="43">
        <f>IF($I8621=0,0,IF(OR(INDEX(DarlOhneTilgung,18)=1,AND(INDEX(DarlTilgStart,18)&gt;0,$E8621&lt;INDEX(DarlTilgStart,18))),0,MIN(MAX(0,$K8621-$L8621),$J8621)))</f>
      </c>
      <c r="N8621" s="43">
        <f>IF($I8621=0,0,MIN(SUMIFS(SondBetrag,SondDarl,18,SondDatum,"&gt;="&amp;$E8621,SondDatum,"&lt;="&amp;EOMONTH($E8621,0)),$J8621-$M8621))</f>
      </c>
      <c r="O8621" s="43">
        <f>IF($I8621=0,0,INDEX(DarlErsatzRate,18))</f>
      </c>
      <c r="P8621" s="43">
        <f>IF($I8621=0,0,$Q8620*INDEX(DarlErsatzZins,18))</f>
      </c>
      <c r="Q8621" s="43">
        <f>IF($I8621=0,0,$Q8620+$P8621+$O8621)</f>
      </c>
      <c r="R8621" s="43">
        <f>IF($I8621=0,0,$J8621-$M8621-$N8621)</f>
      </c>
    </row>
    <row r="8622">
      <c r="A8622"/>
      <c r="B8622">
        <v>18</v>
      </c>
      <c r="C8622" s="43">
        <f>INDEX(DarlObj,18)</f>
      </c>
      <c r="D8622">
        <v>459</v>
      </c>
      <c r="E8622" s="51">
        <f>IF(INDEX(DarlBelegt,18)=0,0,EOMONTH(INDEX(DarlAuszahlung,18),458)+1)</f>
      </c>
      <c r="F8622" s="43">
        <f>IF($E8622=0,0,YEAR($E8622))</f>
      </c>
      <c r="G8622" s="43">
        <f>IF(INDEX(DarlBindung,18)="",1,IF($E8622&lt;=INDEX(DarlBindung,18),1,0))</f>
      </c>
      <c r="H8622" s="43">
        <f>IF($G8622=1,INDEX(DarlSollzins,18),INDEX(DarlAnschluss,18))</f>
      </c>
      <c r="I8622" s="43">
        <f>IF(INDEX(DarlBelegt,18)=0,0,IF(INDEX(DarlOhneTilgung,18)=1,IF(INDEX(DarlBindung,18)="",1,$G8622),IF($J8622&gt;0.005,1,0)))</f>
      </c>
      <c r="J8622" s="43">
        <f>IF($I8621=0,0,$R8621)</f>
      </c>
      <c r="K8622" s="43">
        <f>IF($I8622=0,0,IF(INDEX(DarlOhneTilgung,18)=1,0,IF(AND(INDEX(DarlTilgStart,18)&gt;0,$E8622=INDEX(DarlTilgStart,18)),$J8622*($H8622+INDEX(DarlTilgung,18))/100/12,IF(AND($G8622=0,$G8621=1),MAX($K8621,$J8622*($H8622+1)/100/12),$K8621))))</f>
      </c>
      <c r="L8622" s="43">
        <f>IF($I8622=0,0,$J8622*$H8622/100/12)</f>
      </c>
      <c r="M8622" s="43">
        <f>IF($I8622=0,0,IF(OR(INDEX(DarlOhneTilgung,18)=1,AND(INDEX(DarlTilgStart,18)&gt;0,$E8622&lt;INDEX(DarlTilgStart,18))),0,MIN(MAX(0,$K8622-$L8622),$J8622)))</f>
      </c>
      <c r="N8622" s="43">
        <f>IF($I8622=0,0,MIN(SUMIFS(SondBetrag,SondDarl,18,SondDatum,"&gt;="&amp;$E8622,SondDatum,"&lt;="&amp;EOMONTH($E8622,0)),$J8622-$M8622))</f>
      </c>
      <c r="O8622" s="43">
        <f>IF($I8622=0,0,INDEX(DarlErsatzRate,18))</f>
      </c>
      <c r="P8622" s="43">
        <f>IF($I8622=0,0,$Q8621*INDEX(DarlErsatzZins,18))</f>
      </c>
      <c r="Q8622" s="43">
        <f>IF($I8622=0,0,$Q8621+$P8622+$O8622)</f>
      </c>
      <c r="R8622" s="43">
        <f>IF($I8622=0,0,$J8622-$M8622-$N8622)</f>
      </c>
    </row>
    <row r="8623">
      <c r="A8623"/>
      <c r="B8623">
        <v>18</v>
      </c>
      <c r="C8623" s="43">
        <f>INDEX(DarlObj,18)</f>
      </c>
      <c r="D8623">
        <v>460</v>
      </c>
      <c r="E8623" s="51">
        <f>IF(INDEX(DarlBelegt,18)=0,0,EOMONTH(INDEX(DarlAuszahlung,18),459)+1)</f>
      </c>
      <c r="F8623" s="43">
        <f>IF($E8623=0,0,YEAR($E8623))</f>
      </c>
      <c r="G8623" s="43">
        <f>IF(INDEX(DarlBindung,18)="",1,IF($E8623&lt;=INDEX(DarlBindung,18),1,0))</f>
      </c>
      <c r="H8623" s="43">
        <f>IF($G8623=1,INDEX(DarlSollzins,18),INDEX(DarlAnschluss,18))</f>
      </c>
      <c r="I8623" s="43">
        <f>IF(INDEX(DarlBelegt,18)=0,0,IF(INDEX(DarlOhneTilgung,18)=1,IF(INDEX(DarlBindung,18)="",1,$G8623),IF($J8623&gt;0.005,1,0)))</f>
      </c>
      <c r="J8623" s="43">
        <f>IF($I8622=0,0,$R8622)</f>
      </c>
      <c r="K8623" s="43">
        <f>IF($I8623=0,0,IF(INDEX(DarlOhneTilgung,18)=1,0,IF(AND(INDEX(DarlTilgStart,18)&gt;0,$E8623=INDEX(DarlTilgStart,18)),$J8623*($H8623+INDEX(DarlTilgung,18))/100/12,IF(AND($G8623=0,$G8622=1),MAX($K8622,$J8623*($H8623+1)/100/12),$K8622))))</f>
      </c>
      <c r="L8623" s="43">
        <f>IF($I8623=0,0,$J8623*$H8623/100/12)</f>
      </c>
      <c r="M8623" s="43">
        <f>IF($I8623=0,0,IF(OR(INDEX(DarlOhneTilgung,18)=1,AND(INDEX(DarlTilgStart,18)&gt;0,$E8623&lt;INDEX(DarlTilgStart,18))),0,MIN(MAX(0,$K8623-$L8623),$J8623)))</f>
      </c>
      <c r="N8623" s="43">
        <f>IF($I8623=0,0,MIN(SUMIFS(SondBetrag,SondDarl,18,SondDatum,"&gt;="&amp;$E8623,SondDatum,"&lt;="&amp;EOMONTH($E8623,0)),$J8623-$M8623))</f>
      </c>
      <c r="O8623" s="43">
        <f>IF($I8623=0,0,INDEX(DarlErsatzRate,18))</f>
      </c>
      <c r="P8623" s="43">
        <f>IF($I8623=0,0,$Q8622*INDEX(DarlErsatzZins,18))</f>
      </c>
      <c r="Q8623" s="43">
        <f>IF($I8623=0,0,$Q8622+$P8623+$O8623)</f>
      </c>
      <c r="R8623" s="43">
        <f>IF($I8623=0,0,$J8623-$M8623-$N8623)</f>
      </c>
    </row>
    <row r="8624">
      <c r="A8624"/>
      <c r="B8624">
        <v>18</v>
      </c>
      <c r="C8624" s="43">
        <f>INDEX(DarlObj,18)</f>
      </c>
      <c r="D8624">
        <v>461</v>
      </c>
      <c r="E8624" s="51">
        <f>IF(INDEX(DarlBelegt,18)=0,0,EOMONTH(INDEX(DarlAuszahlung,18),460)+1)</f>
      </c>
      <c r="F8624" s="43">
        <f>IF($E8624=0,0,YEAR($E8624))</f>
      </c>
      <c r="G8624" s="43">
        <f>IF(INDEX(DarlBindung,18)="",1,IF($E8624&lt;=INDEX(DarlBindung,18),1,0))</f>
      </c>
      <c r="H8624" s="43">
        <f>IF($G8624=1,INDEX(DarlSollzins,18),INDEX(DarlAnschluss,18))</f>
      </c>
      <c r="I8624" s="43">
        <f>IF(INDEX(DarlBelegt,18)=0,0,IF(INDEX(DarlOhneTilgung,18)=1,IF(INDEX(DarlBindung,18)="",1,$G8624),IF($J8624&gt;0.005,1,0)))</f>
      </c>
      <c r="J8624" s="43">
        <f>IF($I8623=0,0,$R8623)</f>
      </c>
      <c r="K8624" s="43">
        <f>IF($I8624=0,0,IF(INDEX(DarlOhneTilgung,18)=1,0,IF(AND(INDEX(DarlTilgStart,18)&gt;0,$E8624=INDEX(DarlTilgStart,18)),$J8624*($H8624+INDEX(DarlTilgung,18))/100/12,IF(AND($G8624=0,$G8623=1),MAX($K8623,$J8624*($H8624+1)/100/12),$K8623))))</f>
      </c>
      <c r="L8624" s="43">
        <f>IF($I8624=0,0,$J8624*$H8624/100/12)</f>
      </c>
      <c r="M8624" s="43">
        <f>IF($I8624=0,0,IF(OR(INDEX(DarlOhneTilgung,18)=1,AND(INDEX(DarlTilgStart,18)&gt;0,$E8624&lt;INDEX(DarlTilgStart,18))),0,MIN(MAX(0,$K8624-$L8624),$J8624)))</f>
      </c>
      <c r="N8624" s="43">
        <f>IF($I8624=0,0,MIN(SUMIFS(SondBetrag,SondDarl,18,SondDatum,"&gt;="&amp;$E8624,SondDatum,"&lt;="&amp;EOMONTH($E8624,0)),$J8624-$M8624))</f>
      </c>
      <c r="O8624" s="43">
        <f>IF($I8624=0,0,INDEX(DarlErsatzRate,18))</f>
      </c>
      <c r="P8624" s="43">
        <f>IF($I8624=0,0,$Q8623*INDEX(DarlErsatzZins,18))</f>
      </c>
      <c r="Q8624" s="43">
        <f>IF($I8624=0,0,$Q8623+$P8624+$O8624)</f>
      </c>
      <c r="R8624" s="43">
        <f>IF($I8624=0,0,$J8624-$M8624-$N8624)</f>
      </c>
    </row>
    <row r="8625">
      <c r="A8625"/>
      <c r="B8625">
        <v>18</v>
      </c>
      <c r="C8625" s="43">
        <f>INDEX(DarlObj,18)</f>
      </c>
      <c r="D8625">
        <v>462</v>
      </c>
      <c r="E8625" s="51">
        <f>IF(INDEX(DarlBelegt,18)=0,0,EOMONTH(INDEX(DarlAuszahlung,18),461)+1)</f>
      </c>
      <c r="F8625" s="43">
        <f>IF($E8625=0,0,YEAR($E8625))</f>
      </c>
      <c r="G8625" s="43">
        <f>IF(INDEX(DarlBindung,18)="",1,IF($E8625&lt;=INDEX(DarlBindung,18),1,0))</f>
      </c>
      <c r="H8625" s="43">
        <f>IF($G8625=1,INDEX(DarlSollzins,18),INDEX(DarlAnschluss,18))</f>
      </c>
      <c r="I8625" s="43">
        <f>IF(INDEX(DarlBelegt,18)=0,0,IF(INDEX(DarlOhneTilgung,18)=1,IF(INDEX(DarlBindung,18)="",1,$G8625),IF($J8625&gt;0.005,1,0)))</f>
      </c>
      <c r="J8625" s="43">
        <f>IF($I8624=0,0,$R8624)</f>
      </c>
      <c r="K8625" s="43">
        <f>IF($I8625=0,0,IF(INDEX(DarlOhneTilgung,18)=1,0,IF(AND(INDEX(DarlTilgStart,18)&gt;0,$E8625=INDEX(DarlTilgStart,18)),$J8625*($H8625+INDEX(DarlTilgung,18))/100/12,IF(AND($G8625=0,$G8624=1),MAX($K8624,$J8625*($H8625+1)/100/12),$K8624))))</f>
      </c>
      <c r="L8625" s="43">
        <f>IF($I8625=0,0,$J8625*$H8625/100/12)</f>
      </c>
      <c r="M8625" s="43">
        <f>IF($I8625=0,0,IF(OR(INDEX(DarlOhneTilgung,18)=1,AND(INDEX(DarlTilgStart,18)&gt;0,$E8625&lt;INDEX(DarlTilgStart,18))),0,MIN(MAX(0,$K8625-$L8625),$J8625)))</f>
      </c>
      <c r="N8625" s="43">
        <f>IF($I8625=0,0,MIN(SUMIFS(SondBetrag,SondDarl,18,SondDatum,"&gt;="&amp;$E8625,SondDatum,"&lt;="&amp;EOMONTH($E8625,0)),$J8625-$M8625))</f>
      </c>
      <c r="O8625" s="43">
        <f>IF($I8625=0,0,INDEX(DarlErsatzRate,18))</f>
      </c>
      <c r="P8625" s="43">
        <f>IF($I8625=0,0,$Q8624*INDEX(DarlErsatzZins,18))</f>
      </c>
      <c r="Q8625" s="43">
        <f>IF($I8625=0,0,$Q8624+$P8625+$O8625)</f>
      </c>
      <c r="R8625" s="43">
        <f>IF($I8625=0,0,$J8625-$M8625-$N8625)</f>
      </c>
    </row>
    <row r="8626">
      <c r="A8626"/>
      <c r="B8626">
        <v>18</v>
      </c>
      <c r="C8626" s="43">
        <f>INDEX(DarlObj,18)</f>
      </c>
      <c r="D8626">
        <v>463</v>
      </c>
      <c r="E8626" s="51">
        <f>IF(INDEX(DarlBelegt,18)=0,0,EOMONTH(INDEX(DarlAuszahlung,18),462)+1)</f>
      </c>
      <c r="F8626" s="43">
        <f>IF($E8626=0,0,YEAR($E8626))</f>
      </c>
      <c r="G8626" s="43">
        <f>IF(INDEX(DarlBindung,18)="",1,IF($E8626&lt;=INDEX(DarlBindung,18),1,0))</f>
      </c>
      <c r="H8626" s="43">
        <f>IF($G8626=1,INDEX(DarlSollzins,18),INDEX(DarlAnschluss,18))</f>
      </c>
      <c r="I8626" s="43">
        <f>IF(INDEX(DarlBelegt,18)=0,0,IF(INDEX(DarlOhneTilgung,18)=1,IF(INDEX(DarlBindung,18)="",1,$G8626),IF($J8626&gt;0.005,1,0)))</f>
      </c>
      <c r="J8626" s="43">
        <f>IF($I8625=0,0,$R8625)</f>
      </c>
      <c r="K8626" s="43">
        <f>IF($I8626=0,0,IF(INDEX(DarlOhneTilgung,18)=1,0,IF(AND(INDEX(DarlTilgStart,18)&gt;0,$E8626=INDEX(DarlTilgStart,18)),$J8626*($H8626+INDEX(DarlTilgung,18))/100/12,IF(AND($G8626=0,$G8625=1),MAX($K8625,$J8626*($H8626+1)/100/12),$K8625))))</f>
      </c>
      <c r="L8626" s="43">
        <f>IF($I8626=0,0,$J8626*$H8626/100/12)</f>
      </c>
      <c r="M8626" s="43">
        <f>IF($I8626=0,0,IF(OR(INDEX(DarlOhneTilgung,18)=1,AND(INDEX(DarlTilgStart,18)&gt;0,$E8626&lt;INDEX(DarlTilgStart,18))),0,MIN(MAX(0,$K8626-$L8626),$J8626)))</f>
      </c>
      <c r="N8626" s="43">
        <f>IF($I8626=0,0,MIN(SUMIFS(SondBetrag,SondDarl,18,SondDatum,"&gt;="&amp;$E8626,SondDatum,"&lt;="&amp;EOMONTH($E8626,0)),$J8626-$M8626))</f>
      </c>
      <c r="O8626" s="43">
        <f>IF($I8626=0,0,INDEX(DarlErsatzRate,18))</f>
      </c>
      <c r="P8626" s="43">
        <f>IF($I8626=0,0,$Q8625*INDEX(DarlErsatzZins,18))</f>
      </c>
      <c r="Q8626" s="43">
        <f>IF($I8626=0,0,$Q8625+$P8626+$O8626)</f>
      </c>
      <c r="R8626" s="43">
        <f>IF($I8626=0,0,$J8626-$M8626-$N8626)</f>
      </c>
    </row>
    <row r="8627">
      <c r="A8627"/>
      <c r="B8627">
        <v>18</v>
      </c>
      <c r="C8627" s="43">
        <f>INDEX(DarlObj,18)</f>
      </c>
      <c r="D8627">
        <v>464</v>
      </c>
      <c r="E8627" s="51">
        <f>IF(INDEX(DarlBelegt,18)=0,0,EOMONTH(INDEX(DarlAuszahlung,18),463)+1)</f>
      </c>
      <c r="F8627" s="43">
        <f>IF($E8627=0,0,YEAR($E8627))</f>
      </c>
      <c r="G8627" s="43">
        <f>IF(INDEX(DarlBindung,18)="",1,IF($E8627&lt;=INDEX(DarlBindung,18),1,0))</f>
      </c>
      <c r="H8627" s="43">
        <f>IF($G8627=1,INDEX(DarlSollzins,18),INDEX(DarlAnschluss,18))</f>
      </c>
      <c r="I8627" s="43">
        <f>IF(INDEX(DarlBelegt,18)=0,0,IF(INDEX(DarlOhneTilgung,18)=1,IF(INDEX(DarlBindung,18)="",1,$G8627),IF($J8627&gt;0.005,1,0)))</f>
      </c>
      <c r="J8627" s="43">
        <f>IF($I8626=0,0,$R8626)</f>
      </c>
      <c r="K8627" s="43">
        <f>IF($I8627=0,0,IF(INDEX(DarlOhneTilgung,18)=1,0,IF(AND(INDEX(DarlTilgStart,18)&gt;0,$E8627=INDEX(DarlTilgStart,18)),$J8627*($H8627+INDEX(DarlTilgung,18))/100/12,IF(AND($G8627=0,$G8626=1),MAX($K8626,$J8627*($H8627+1)/100/12),$K8626))))</f>
      </c>
      <c r="L8627" s="43">
        <f>IF($I8627=0,0,$J8627*$H8627/100/12)</f>
      </c>
      <c r="M8627" s="43">
        <f>IF($I8627=0,0,IF(OR(INDEX(DarlOhneTilgung,18)=1,AND(INDEX(DarlTilgStart,18)&gt;0,$E8627&lt;INDEX(DarlTilgStart,18))),0,MIN(MAX(0,$K8627-$L8627),$J8627)))</f>
      </c>
      <c r="N8627" s="43">
        <f>IF($I8627=0,0,MIN(SUMIFS(SondBetrag,SondDarl,18,SondDatum,"&gt;="&amp;$E8627,SondDatum,"&lt;="&amp;EOMONTH($E8627,0)),$J8627-$M8627))</f>
      </c>
      <c r="O8627" s="43">
        <f>IF($I8627=0,0,INDEX(DarlErsatzRate,18))</f>
      </c>
      <c r="P8627" s="43">
        <f>IF($I8627=0,0,$Q8626*INDEX(DarlErsatzZins,18))</f>
      </c>
      <c r="Q8627" s="43">
        <f>IF($I8627=0,0,$Q8626+$P8627+$O8627)</f>
      </c>
      <c r="R8627" s="43">
        <f>IF($I8627=0,0,$J8627-$M8627-$N8627)</f>
      </c>
    </row>
    <row r="8628">
      <c r="A8628"/>
      <c r="B8628">
        <v>18</v>
      </c>
      <c r="C8628" s="43">
        <f>INDEX(DarlObj,18)</f>
      </c>
      <c r="D8628">
        <v>465</v>
      </c>
      <c r="E8628" s="51">
        <f>IF(INDEX(DarlBelegt,18)=0,0,EOMONTH(INDEX(DarlAuszahlung,18),464)+1)</f>
      </c>
      <c r="F8628" s="43">
        <f>IF($E8628=0,0,YEAR($E8628))</f>
      </c>
      <c r="G8628" s="43">
        <f>IF(INDEX(DarlBindung,18)="",1,IF($E8628&lt;=INDEX(DarlBindung,18),1,0))</f>
      </c>
      <c r="H8628" s="43">
        <f>IF($G8628=1,INDEX(DarlSollzins,18),INDEX(DarlAnschluss,18))</f>
      </c>
      <c r="I8628" s="43">
        <f>IF(INDEX(DarlBelegt,18)=0,0,IF(INDEX(DarlOhneTilgung,18)=1,IF(INDEX(DarlBindung,18)="",1,$G8628),IF($J8628&gt;0.005,1,0)))</f>
      </c>
      <c r="J8628" s="43">
        <f>IF($I8627=0,0,$R8627)</f>
      </c>
      <c r="K8628" s="43">
        <f>IF($I8628=0,0,IF(INDEX(DarlOhneTilgung,18)=1,0,IF(AND(INDEX(DarlTilgStart,18)&gt;0,$E8628=INDEX(DarlTilgStart,18)),$J8628*($H8628+INDEX(DarlTilgung,18))/100/12,IF(AND($G8628=0,$G8627=1),MAX($K8627,$J8628*($H8628+1)/100/12),$K8627))))</f>
      </c>
      <c r="L8628" s="43">
        <f>IF($I8628=0,0,$J8628*$H8628/100/12)</f>
      </c>
      <c r="M8628" s="43">
        <f>IF($I8628=0,0,IF(OR(INDEX(DarlOhneTilgung,18)=1,AND(INDEX(DarlTilgStart,18)&gt;0,$E8628&lt;INDEX(DarlTilgStart,18))),0,MIN(MAX(0,$K8628-$L8628),$J8628)))</f>
      </c>
      <c r="N8628" s="43">
        <f>IF($I8628=0,0,MIN(SUMIFS(SondBetrag,SondDarl,18,SondDatum,"&gt;="&amp;$E8628,SondDatum,"&lt;="&amp;EOMONTH($E8628,0)),$J8628-$M8628))</f>
      </c>
      <c r="O8628" s="43">
        <f>IF($I8628=0,0,INDEX(DarlErsatzRate,18))</f>
      </c>
      <c r="P8628" s="43">
        <f>IF($I8628=0,0,$Q8627*INDEX(DarlErsatzZins,18))</f>
      </c>
      <c r="Q8628" s="43">
        <f>IF($I8628=0,0,$Q8627+$P8628+$O8628)</f>
      </c>
      <c r="R8628" s="43">
        <f>IF($I8628=0,0,$J8628-$M8628-$N8628)</f>
      </c>
    </row>
    <row r="8629">
      <c r="A8629"/>
      <c r="B8629">
        <v>18</v>
      </c>
      <c r="C8629" s="43">
        <f>INDEX(DarlObj,18)</f>
      </c>
      <c r="D8629">
        <v>466</v>
      </c>
      <c r="E8629" s="51">
        <f>IF(INDEX(DarlBelegt,18)=0,0,EOMONTH(INDEX(DarlAuszahlung,18),465)+1)</f>
      </c>
      <c r="F8629" s="43">
        <f>IF($E8629=0,0,YEAR($E8629))</f>
      </c>
      <c r="G8629" s="43">
        <f>IF(INDEX(DarlBindung,18)="",1,IF($E8629&lt;=INDEX(DarlBindung,18),1,0))</f>
      </c>
      <c r="H8629" s="43">
        <f>IF($G8629=1,INDEX(DarlSollzins,18),INDEX(DarlAnschluss,18))</f>
      </c>
      <c r="I8629" s="43">
        <f>IF(INDEX(DarlBelegt,18)=0,0,IF(INDEX(DarlOhneTilgung,18)=1,IF(INDEX(DarlBindung,18)="",1,$G8629),IF($J8629&gt;0.005,1,0)))</f>
      </c>
      <c r="J8629" s="43">
        <f>IF($I8628=0,0,$R8628)</f>
      </c>
      <c r="K8629" s="43">
        <f>IF($I8629=0,0,IF(INDEX(DarlOhneTilgung,18)=1,0,IF(AND(INDEX(DarlTilgStart,18)&gt;0,$E8629=INDEX(DarlTilgStart,18)),$J8629*($H8629+INDEX(DarlTilgung,18))/100/12,IF(AND($G8629=0,$G8628=1),MAX($K8628,$J8629*($H8629+1)/100/12),$K8628))))</f>
      </c>
      <c r="L8629" s="43">
        <f>IF($I8629=0,0,$J8629*$H8629/100/12)</f>
      </c>
      <c r="M8629" s="43">
        <f>IF($I8629=0,0,IF(OR(INDEX(DarlOhneTilgung,18)=1,AND(INDEX(DarlTilgStart,18)&gt;0,$E8629&lt;INDEX(DarlTilgStart,18))),0,MIN(MAX(0,$K8629-$L8629),$J8629)))</f>
      </c>
      <c r="N8629" s="43">
        <f>IF($I8629=0,0,MIN(SUMIFS(SondBetrag,SondDarl,18,SondDatum,"&gt;="&amp;$E8629,SondDatum,"&lt;="&amp;EOMONTH($E8629,0)),$J8629-$M8629))</f>
      </c>
      <c r="O8629" s="43">
        <f>IF($I8629=0,0,INDEX(DarlErsatzRate,18))</f>
      </c>
      <c r="P8629" s="43">
        <f>IF($I8629=0,0,$Q8628*INDEX(DarlErsatzZins,18))</f>
      </c>
      <c r="Q8629" s="43">
        <f>IF($I8629=0,0,$Q8628+$P8629+$O8629)</f>
      </c>
      <c r="R8629" s="43">
        <f>IF($I8629=0,0,$J8629-$M8629-$N8629)</f>
      </c>
    </row>
    <row r="8630">
      <c r="A8630"/>
      <c r="B8630">
        <v>18</v>
      </c>
      <c r="C8630" s="43">
        <f>INDEX(DarlObj,18)</f>
      </c>
      <c r="D8630">
        <v>467</v>
      </c>
      <c r="E8630" s="51">
        <f>IF(INDEX(DarlBelegt,18)=0,0,EOMONTH(INDEX(DarlAuszahlung,18),466)+1)</f>
      </c>
      <c r="F8630" s="43">
        <f>IF($E8630=0,0,YEAR($E8630))</f>
      </c>
      <c r="G8630" s="43">
        <f>IF(INDEX(DarlBindung,18)="",1,IF($E8630&lt;=INDEX(DarlBindung,18),1,0))</f>
      </c>
      <c r="H8630" s="43">
        <f>IF($G8630=1,INDEX(DarlSollzins,18),INDEX(DarlAnschluss,18))</f>
      </c>
      <c r="I8630" s="43">
        <f>IF(INDEX(DarlBelegt,18)=0,0,IF(INDEX(DarlOhneTilgung,18)=1,IF(INDEX(DarlBindung,18)="",1,$G8630),IF($J8630&gt;0.005,1,0)))</f>
      </c>
      <c r="J8630" s="43">
        <f>IF($I8629=0,0,$R8629)</f>
      </c>
      <c r="K8630" s="43">
        <f>IF($I8630=0,0,IF(INDEX(DarlOhneTilgung,18)=1,0,IF(AND(INDEX(DarlTilgStart,18)&gt;0,$E8630=INDEX(DarlTilgStart,18)),$J8630*($H8630+INDEX(DarlTilgung,18))/100/12,IF(AND($G8630=0,$G8629=1),MAX($K8629,$J8630*($H8630+1)/100/12),$K8629))))</f>
      </c>
      <c r="L8630" s="43">
        <f>IF($I8630=0,0,$J8630*$H8630/100/12)</f>
      </c>
      <c r="M8630" s="43">
        <f>IF($I8630=0,0,IF(OR(INDEX(DarlOhneTilgung,18)=1,AND(INDEX(DarlTilgStart,18)&gt;0,$E8630&lt;INDEX(DarlTilgStart,18))),0,MIN(MAX(0,$K8630-$L8630),$J8630)))</f>
      </c>
      <c r="N8630" s="43">
        <f>IF($I8630=0,0,MIN(SUMIFS(SondBetrag,SondDarl,18,SondDatum,"&gt;="&amp;$E8630,SondDatum,"&lt;="&amp;EOMONTH($E8630,0)),$J8630-$M8630))</f>
      </c>
      <c r="O8630" s="43">
        <f>IF($I8630=0,0,INDEX(DarlErsatzRate,18))</f>
      </c>
      <c r="P8630" s="43">
        <f>IF($I8630=0,0,$Q8629*INDEX(DarlErsatzZins,18))</f>
      </c>
      <c r="Q8630" s="43">
        <f>IF($I8630=0,0,$Q8629+$P8630+$O8630)</f>
      </c>
      <c r="R8630" s="43">
        <f>IF($I8630=0,0,$J8630-$M8630-$N8630)</f>
      </c>
    </row>
    <row r="8631">
      <c r="A8631"/>
      <c r="B8631">
        <v>18</v>
      </c>
      <c r="C8631" s="43">
        <f>INDEX(DarlObj,18)</f>
      </c>
      <c r="D8631">
        <v>468</v>
      </c>
      <c r="E8631" s="51">
        <f>IF(INDEX(DarlBelegt,18)=0,0,EOMONTH(INDEX(DarlAuszahlung,18),467)+1)</f>
      </c>
      <c r="F8631" s="43">
        <f>IF($E8631=0,0,YEAR($E8631))</f>
      </c>
      <c r="G8631" s="43">
        <f>IF(INDEX(DarlBindung,18)="",1,IF($E8631&lt;=INDEX(DarlBindung,18),1,0))</f>
      </c>
      <c r="H8631" s="43">
        <f>IF($G8631=1,INDEX(DarlSollzins,18),INDEX(DarlAnschluss,18))</f>
      </c>
      <c r="I8631" s="43">
        <f>IF(INDEX(DarlBelegt,18)=0,0,IF(INDEX(DarlOhneTilgung,18)=1,IF(INDEX(DarlBindung,18)="",1,$G8631),IF($J8631&gt;0.005,1,0)))</f>
      </c>
      <c r="J8631" s="43">
        <f>IF($I8630=0,0,$R8630)</f>
      </c>
      <c r="K8631" s="43">
        <f>IF($I8631=0,0,IF(INDEX(DarlOhneTilgung,18)=1,0,IF(AND(INDEX(DarlTilgStart,18)&gt;0,$E8631=INDEX(DarlTilgStart,18)),$J8631*($H8631+INDEX(DarlTilgung,18))/100/12,IF(AND($G8631=0,$G8630=1),MAX($K8630,$J8631*($H8631+1)/100/12),$K8630))))</f>
      </c>
      <c r="L8631" s="43">
        <f>IF($I8631=0,0,$J8631*$H8631/100/12)</f>
      </c>
      <c r="M8631" s="43">
        <f>IF($I8631=0,0,IF(OR(INDEX(DarlOhneTilgung,18)=1,AND(INDEX(DarlTilgStart,18)&gt;0,$E8631&lt;INDEX(DarlTilgStart,18))),0,MIN(MAX(0,$K8631-$L8631),$J8631)))</f>
      </c>
      <c r="N8631" s="43">
        <f>IF($I8631=0,0,MIN(SUMIFS(SondBetrag,SondDarl,18,SondDatum,"&gt;="&amp;$E8631,SondDatum,"&lt;="&amp;EOMONTH($E8631,0)),$J8631-$M8631))</f>
      </c>
      <c r="O8631" s="43">
        <f>IF($I8631=0,0,INDEX(DarlErsatzRate,18))</f>
      </c>
      <c r="P8631" s="43">
        <f>IF($I8631=0,0,$Q8630*INDEX(DarlErsatzZins,18))</f>
      </c>
      <c r="Q8631" s="43">
        <f>IF($I8631=0,0,$Q8630+$P8631+$O8631)</f>
      </c>
      <c r="R8631" s="43">
        <f>IF($I8631=0,0,$J8631-$M8631-$N8631)</f>
      </c>
    </row>
    <row r="8632">
      <c r="A8632"/>
      <c r="B8632">
        <v>18</v>
      </c>
      <c r="C8632" s="43">
        <f>INDEX(DarlObj,18)</f>
      </c>
      <c r="D8632">
        <v>469</v>
      </c>
      <c r="E8632" s="51">
        <f>IF(INDEX(DarlBelegt,18)=0,0,EOMONTH(INDEX(DarlAuszahlung,18),468)+1)</f>
      </c>
      <c r="F8632" s="43">
        <f>IF($E8632=0,0,YEAR($E8632))</f>
      </c>
      <c r="G8632" s="43">
        <f>IF(INDEX(DarlBindung,18)="",1,IF($E8632&lt;=INDEX(DarlBindung,18),1,0))</f>
      </c>
      <c r="H8632" s="43">
        <f>IF($G8632=1,INDEX(DarlSollzins,18),INDEX(DarlAnschluss,18))</f>
      </c>
      <c r="I8632" s="43">
        <f>IF(INDEX(DarlBelegt,18)=0,0,IF(INDEX(DarlOhneTilgung,18)=1,IF(INDEX(DarlBindung,18)="",1,$G8632),IF($J8632&gt;0.005,1,0)))</f>
      </c>
      <c r="J8632" s="43">
        <f>IF($I8631=0,0,$R8631)</f>
      </c>
      <c r="K8632" s="43">
        <f>IF($I8632=0,0,IF(INDEX(DarlOhneTilgung,18)=1,0,IF(AND(INDEX(DarlTilgStart,18)&gt;0,$E8632=INDEX(DarlTilgStart,18)),$J8632*($H8632+INDEX(DarlTilgung,18))/100/12,IF(AND($G8632=0,$G8631=1),MAX($K8631,$J8632*($H8632+1)/100/12),$K8631))))</f>
      </c>
      <c r="L8632" s="43">
        <f>IF($I8632=0,0,$J8632*$H8632/100/12)</f>
      </c>
      <c r="M8632" s="43">
        <f>IF($I8632=0,0,IF(OR(INDEX(DarlOhneTilgung,18)=1,AND(INDEX(DarlTilgStart,18)&gt;0,$E8632&lt;INDEX(DarlTilgStart,18))),0,MIN(MAX(0,$K8632-$L8632),$J8632)))</f>
      </c>
      <c r="N8632" s="43">
        <f>IF($I8632=0,0,MIN(SUMIFS(SondBetrag,SondDarl,18,SondDatum,"&gt;="&amp;$E8632,SondDatum,"&lt;="&amp;EOMONTH($E8632,0)),$J8632-$M8632))</f>
      </c>
      <c r="O8632" s="43">
        <f>IF($I8632=0,0,INDEX(DarlErsatzRate,18))</f>
      </c>
      <c r="P8632" s="43">
        <f>IF($I8632=0,0,$Q8631*INDEX(DarlErsatzZins,18))</f>
      </c>
      <c r="Q8632" s="43">
        <f>IF($I8632=0,0,$Q8631+$P8632+$O8632)</f>
      </c>
      <c r="R8632" s="43">
        <f>IF($I8632=0,0,$J8632-$M8632-$N8632)</f>
      </c>
    </row>
    <row r="8633">
      <c r="A8633"/>
      <c r="B8633">
        <v>18</v>
      </c>
      <c r="C8633" s="43">
        <f>INDEX(DarlObj,18)</f>
      </c>
      <c r="D8633">
        <v>470</v>
      </c>
      <c r="E8633" s="51">
        <f>IF(INDEX(DarlBelegt,18)=0,0,EOMONTH(INDEX(DarlAuszahlung,18),469)+1)</f>
      </c>
      <c r="F8633" s="43">
        <f>IF($E8633=0,0,YEAR($E8633))</f>
      </c>
      <c r="G8633" s="43">
        <f>IF(INDEX(DarlBindung,18)="",1,IF($E8633&lt;=INDEX(DarlBindung,18),1,0))</f>
      </c>
      <c r="H8633" s="43">
        <f>IF($G8633=1,INDEX(DarlSollzins,18),INDEX(DarlAnschluss,18))</f>
      </c>
      <c r="I8633" s="43">
        <f>IF(INDEX(DarlBelegt,18)=0,0,IF(INDEX(DarlOhneTilgung,18)=1,IF(INDEX(DarlBindung,18)="",1,$G8633),IF($J8633&gt;0.005,1,0)))</f>
      </c>
      <c r="J8633" s="43">
        <f>IF($I8632=0,0,$R8632)</f>
      </c>
      <c r="K8633" s="43">
        <f>IF($I8633=0,0,IF(INDEX(DarlOhneTilgung,18)=1,0,IF(AND(INDEX(DarlTilgStart,18)&gt;0,$E8633=INDEX(DarlTilgStart,18)),$J8633*($H8633+INDEX(DarlTilgung,18))/100/12,IF(AND($G8633=0,$G8632=1),MAX($K8632,$J8633*($H8633+1)/100/12),$K8632))))</f>
      </c>
      <c r="L8633" s="43">
        <f>IF($I8633=0,0,$J8633*$H8633/100/12)</f>
      </c>
      <c r="M8633" s="43">
        <f>IF($I8633=0,0,IF(OR(INDEX(DarlOhneTilgung,18)=1,AND(INDEX(DarlTilgStart,18)&gt;0,$E8633&lt;INDEX(DarlTilgStart,18))),0,MIN(MAX(0,$K8633-$L8633),$J8633)))</f>
      </c>
      <c r="N8633" s="43">
        <f>IF($I8633=0,0,MIN(SUMIFS(SondBetrag,SondDarl,18,SondDatum,"&gt;="&amp;$E8633,SondDatum,"&lt;="&amp;EOMONTH($E8633,0)),$J8633-$M8633))</f>
      </c>
      <c r="O8633" s="43">
        <f>IF($I8633=0,0,INDEX(DarlErsatzRate,18))</f>
      </c>
      <c r="P8633" s="43">
        <f>IF($I8633=0,0,$Q8632*INDEX(DarlErsatzZins,18))</f>
      </c>
      <c r="Q8633" s="43">
        <f>IF($I8633=0,0,$Q8632+$P8633+$O8633)</f>
      </c>
      <c r="R8633" s="43">
        <f>IF($I8633=0,0,$J8633-$M8633-$N8633)</f>
      </c>
    </row>
    <row r="8634">
      <c r="A8634"/>
      <c r="B8634">
        <v>18</v>
      </c>
      <c r="C8634" s="43">
        <f>INDEX(DarlObj,18)</f>
      </c>
      <c r="D8634">
        <v>471</v>
      </c>
      <c r="E8634" s="51">
        <f>IF(INDEX(DarlBelegt,18)=0,0,EOMONTH(INDEX(DarlAuszahlung,18),470)+1)</f>
      </c>
      <c r="F8634" s="43">
        <f>IF($E8634=0,0,YEAR($E8634))</f>
      </c>
      <c r="G8634" s="43">
        <f>IF(INDEX(DarlBindung,18)="",1,IF($E8634&lt;=INDEX(DarlBindung,18),1,0))</f>
      </c>
      <c r="H8634" s="43">
        <f>IF($G8634=1,INDEX(DarlSollzins,18),INDEX(DarlAnschluss,18))</f>
      </c>
      <c r="I8634" s="43">
        <f>IF(INDEX(DarlBelegt,18)=0,0,IF(INDEX(DarlOhneTilgung,18)=1,IF(INDEX(DarlBindung,18)="",1,$G8634),IF($J8634&gt;0.005,1,0)))</f>
      </c>
      <c r="J8634" s="43">
        <f>IF($I8633=0,0,$R8633)</f>
      </c>
      <c r="K8634" s="43">
        <f>IF($I8634=0,0,IF(INDEX(DarlOhneTilgung,18)=1,0,IF(AND(INDEX(DarlTilgStart,18)&gt;0,$E8634=INDEX(DarlTilgStart,18)),$J8634*($H8634+INDEX(DarlTilgung,18))/100/12,IF(AND($G8634=0,$G8633=1),MAX($K8633,$J8634*($H8634+1)/100/12),$K8633))))</f>
      </c>
      <c r="L8634" s="43">
        <f>IF($I8634=0,0,$J8634*$H8634/100/12)</f>
      </c>
      <c r="M8634" s="43">
        <f>IF($I8634=0,0,IF(OR(INDEX(DarlOhneTilgung,18)=1,AND(INDEX(DarlTilgStart,18)&gt;0,$E8634&lt;INDEX(DarlTilgStart,18))),0,MIN(MAX(0,$K8634-$L8634),$J8634)))</f>
      </c>
      <c r="N8634" s="43">
        <f>IF($I8634=0,0,MIN(SUMIFS(SondBetrag,SondDarl,18,SondDatum,"&gt;="&amp;$E8634,SondDatum,"&lt;="&amp;EOMONTH($E8634,0)),$J8634-$M8634))</f>
      </c>
      <c r="O8634" s="43">
        <f>IF($I8634=0,0,INDEX(DarlErsatzRate,18))</f>
      </c>
      <c r="P8634" s="43">
        <f>IF($I8634=0,0,$Q8633*INDEX(DarlErsatzZins,18))</f>
      </c>
      <c r="Q8634" s="43">
        <f>IF($I8634=0,0,$Q8633+$P8634+$O8634)</f>
      </c>
      <c r="R8634" s="43">
        <f>IF($I8634=0,0,$J8634-$M8634-$N8634)</f>
      </c>
    </row>
    <row r="8635">
      <c r="A8635"/>
      <c r="B8635">
        <v>18</v>
      </c>
      <c r="C8635" s="43">
        <f>INDEX(DarlObj,18)</f>
      </c>
      <c r="D8635">
        <v>472</v>
      </c>
      <c r="E8635" s="51">
        <f>IF(INDEX(DarlBelegt,18)=0,0,EOMONTH(INDEX(DarlAuszahlung,18),471)+1)</f>
      </c>
      <c r="F8635" s="43">
        <f>IF($E8635=0,0,YEAR($E8635))</f>
      </c>
      <c r="G8635" s="43">
        <f>IF(INDEX(DarlBindung,18)="",1,IF($E8635&lt;=INDEX(DarlBindung,18),1,0))</f>
      </c>
      <c r="H8635" s="43">
        <f>IF($G8635=1,INDEX(DarlSollzins,18),INDEX(DarlAnschluss,18))</f>
      </c>
      <c r="I8635" s="43">
        <f>IF(INDEX(DarlBelegt,18)=0,0,IF(INDEX(DarlOhneTilgung,18)=1,IF(INDEX(DarlBindung,18)="",1,$G8635),IF($J8635&gt;0.005,1,0)))</f>
      </c>
      <c r="J8635" s="43">
        <f>IF($I8634=0,0,$R8634)</f>
      </c>
      <c r="K8635" s="43">
        <f>IF($I8635=0,0,IF(INDEX(DarlOhneTilgung,18)=1,0,IF(AND(INDEX(DarlTilgStart,18)&gt;0,$E8635=INDEX(DarlTilgStart,18)),$J8635*($H8635+INDEX(DarlTilgung,18))/100/12,IF(AND($G8635=0,$G8634=1),MAX($K8634,$J8635*($H8635+1)/100/12),$K8634))))</f>
      </c>
      <c r="L8635" s="43">
        <f>IF($I8635=0,0,$J8635*$H8635/100/12)</f>
      </c>
      <c r="M8635" s="43">
        <f>IF($I8635=0,0,IF(OR(INDEX(DarlOhneTilgung,18)=1,AND(INDEX(DarlTilgStart,18)&gt;0,$E8635&lt;INDEX(DarlTilgStart,18))),0,MIN(MAX(0,$K8635-$L8635),$J8635)))</f>
      </c>
      <c r="N8635" s="43">
        <f>IF($I8635=0,0,MIN(SUMIFS(SondBetrag,SondDarl,18,SondDatum,"&gt;="&amp;$E8635,SondDatum,"&lt;="&amp;EOMONTH($E8635,0)),$J8635-$M8635))</f>
      </c>
      <c r="O8635" s="43">
        <f>IF($I8635=0,0,INDEX(DarlErsatzRate,18))</f>
      </c>
      <c r="P8635" s="43">
        <f>IF($I8635=0,0,$Q8634*INDEX(DarlErsatzZins,18))</f>
      </c>
      <c r="Q8635" s="43">
        <f>IF($I8635=0,0,$Q8634+$P8635+$O8635)</f>
      </c>
      <c r="R8635" s="43">
        <f>IF($I8635=0,0,$J8635-$M8635-$N8635)</f>
      </c>
    </row>
    <row r="8636">
      <c r="A8636"/>
      <c r="B8636">
        <v>18</v>
      </c>
      <c r="C8636" s="43">
        <f>INDEX(DarlObj,18)</f>
      </c>
      <c r="D8636">
        <v>473</v>
      </c>
      <c r="E8636" s="51">
        <f>IF(INDEX(DarlBelegt,18)=0,0,EOMONTH(INDEX(DarlAuszahlung,18),472)+1)</f>
      </c>
      <c r="F8636" s="43">
        <f>IF($E8636=0,0,YEAR($E8636))</f>
      </c>
      <c r="G8636" s="43">
        <f>IF(INDEX(DarlBindung,18)="",1,IF($E8636&lt;=INDEX(DarlBindung,18),1,0))</f>
      </c>
      <c r="H8636" s="43">
        <f>IF($G8636=1,INDEX(DarlSollzins,18),INDEX(DarlAnschluss,18))</f>
      </c>
      <c r="I8636" s="43">
        <f>IF(INDEX(DarlBelegt,18)=0,0,IF(INDEX(DarlOhneTilgung,18)=1,IF(INDEX(DarlBindung,18)="",1,$G8636),IF($J8636&gt;0.005,1,0)))</f>
      </c>
      <c r="J8636" s="43">
        <f>IF($I8635=0,0,$R8635)</f>
      </c>
      <c r="K8636" s="43">
        <f>IF($I8636=0,0,IF(INDEX(DarlOhneTilgung,18)=1,0,IF(AND(INDEX(DarlTilgStart,18)&gt;0,$E8636=INDEX(DarlTilgStart,18)),$J8636*($H8636+INDEX(DarlTilgung,18))/100/12,IF(AND($G8636=0,$G8635=1),MAX($K8635,$J8636*($H8636+1)/100/12),$K8635))))</f>
      </c>
      <c r="L8636" s="43">
        <f>IF($I8636=0,0,$J8636*$H8636/100/12)</f>
      </c>
      <c r="M8636" s="43">
        <f>IF($I8636=0,0,IF(OR(INDEX(DarlOhneTilgung,18)=1,AND(INDEX(DarlTilgStart,18)&gt;0,$E8636&lt;INDEX(DarlTilgStart,18))),0,MIN(MAX(0,$K8636-$L8636),$J8636)))</f>
      </c>
      <c r="N8636" s="43">
        <f>IF($I8636=0,0,MIN(SUMIFS(SondBetrag,SondDarl,18,SondDatum,"&gt;="&amp;$E8636,SondDatum,"&lt;="&amp;EOMONTH($E8636,0)),$J8636-$M8636))</f>
      </c>
      <c r="O8636" s="43">
        <f>IF($I8636=0,0,INDEX(DarlErsatzRate,18))</f>
      </c>
      <c r="P8636" s="43">
        <f>IF($I8636=0,0,$Q8635*INDEX(DarlErsatzZins,18))</f>
      </c>
      <c r="Q8636" s="43">
        <f>IF($I8636=0,0,$Q8635+$P8636+$O8636)</f>
      </c>
      <c r="R8636" s="43">
        <f>IF($I8636=0,0,$J8636-$M8636-$N8636)</f>
      </c>
    </row>
    <row r="8637">
      <c r="A8637"/>
      <c r="B8637">
        <v>18</v>
      </c>
      <c r="C8637" s="43">
        <f>INDEX(DarlObj,18)</f>
      </c>
      <c r="D8637">
        <v>474</v>
      </c>
      <c r="E8637" s="51">
        <f>IF(INDEX(DarlBelegt,18)=0,0,EOMONTH(INDEX(DarlAuszahlung,18),473)+1)</f>
      </c>
      <c r="F8637" s="43">
        <f>IF($E8637=0,0,YEAR($E8637))</f>
      </c>
      <c r="G8637" s="43">
        <f>IF(INDEX(DarlBindung,18)="",1,IF($E8637&lt;=INDEX(DarlBindung,18),1,0))</f>
      </c>
      <c r="H8637" s="43">
        <f>IF($G8637=1,INDEX(DarlSollzins,18),INDEX(DarlAnschluss,18))</f>
      </c>
      <c r="I8637" s="43">
        <f>IF(INDEX(DarlBelegt,18)=0,0,IF(INDEX(DarlOhneTilgung,18)=1,IF(INDEX(DarlBindung,18)="",1,$G8637),IF($J8637&gt;0.005,1,0)))</f>
      </c>
      <c r="J8637" s="43">
        <f>IF($I8636=0,0,$R8636)</f>
      </c>
      <c r="K8637" s="43">
        <f>IF($I8637=0,0,IF(INDEX(DarlOhneTilgung,18)=1,0,IF(AND(INDEX(DarlTilgStart,18)&gt;0,$E8637=INDEX(DarlTilgStart,18)),$J8637*($H8637+INDEX(DarlTilgung,18))/100/12,IF(AND($G8637=0,$G8636=1),MAX($K8636,$J8637*($H8637+1)/100/12),$K8636))))</f>
      </c>
      <c r="L8637" s="43">
        <f>IF($I8637=0,0,$J8637*$H8637/100/12)</f>
      </c>
      <c r="M8637" s="43">
        <f>IF($I8637=0,0,IF(OR(INDEX(DarlOhneTilgung,18)=1,AND(INDEX(DarlTilgStart,18)&gt;0,$E8637&lt;INDEX(DarlTilgStart,18))),0,MIN(MAX(0,$K8637-$L8637),$J8637)))</f>
      </c>
      <c r="N8637" s="43">
        <f>IF($I8637=0,0,MIN(SUMIFS(SondBetrag,SondDarl,18,SondDatum,"&gt;="&amp;$E8637,SondDatum,"&lt;="&amp;EOMONTH($E8637,0)),$J8637-$M8637))</f>
      </c>
      <c r="O8637" s="43">
        <f>IF($I8637=0,0,INDEX(DarlErsatzRate,18))</f>
      </c>
      <c r="P8637" s="43">
        <f>IF($I8637=0,0,$Q8636*INDEX(DarlErsatzZins,18))</f>
      </c>
      <c r="Q8637" s="43">
        <f>IF($I8637=0,0,$Q8636+$P8637+$O8637)</f>
      </c>
      <c r="R8637" s="43">
        <f>IF($I8637=0,0,$J8637-$M8637-$N8637)</f>
      </c>
    </row>
    <row r="8638">
      <c r="A8638"/>
      <c r="B8638">
        <v>18</v>
      </c>
      <c r="C8638" s="43">
        <f>INDEX(DarlObj,18)</f>
      </c>
      <c r="D8638">
        <v>475</v>
      </c>
      <c r="E8638" s="51">
        <f>IF(INDEX(DarlBelegt,18)=0,0,EOMONTH(INDEX(DarlAuszahlung,18),474)+1)</f>
      </c>
      <c r="F8638" s="43">
        <f>IF($E8638=0,0,YEAR($E8638))</f>
      </c>
      <c r="G8638" s="43">
        <f>IF(INDEX(DarlBindung,18)="",1,IF($E8638&lt;=INDEX(DarlBindung,18),1,0))</f>
      </c>
      <c r="H8638" s="43">
        <f>IF($G8638=1,INDEX(DarlSollzins,18),INDEX(DarlAnschluss,18))</f>
      </c>
      <c r="I8638" s="43">
        <f>IF(INDEX(DarlBelegt,18)=0,0,IF(INDEX(DarlOhneTilgung,18)=1,IF(INDEX(DarlBindung,18)="",1,$G8638),IF($J8638&gt;0.005,1,0)))</f>
      </c>
      <c r="J8638" s="43">
        <f>IF($I8637=0,0,$R8637)</f>
      </c>
      <c r="K8638" s="43">
        <f>IF($I8638=0,0,IF(INDEX(DarlOhneTilgung,18)=1,0,IF(AND(INDEX(DarlTilgStart,18)&gt;0,$E8638=INDEX(DarlTilgStart,18)),$J8638*($H8638+INDEX(DarlTilgung,18))/100/12,IF(AND($G8638=0,$G8637=1),MAX($K8637,$J8638*($H8638+1)/100/12),$K8637))))</f>
      </c>
      <c r="L8638" s="43">
        <f>IF($I8638=0,0,$J8638*$H8638/100/12)</f>
      </c>
      <c r="M8638" s="43">
        <f>IF($I8638=0,0,IF(OR(INDEX(DarlOhneTilgung,18)=1,AND(INDEX(DarlTilgStart,18)&gt;0,$E8638&lt;INDEX(DarlTilgStart,18))),0,MIN(MAX(0,$K8638-$L8638),$J8638)))</f>
      </c>
      <c r="N8638" s="43">
        <f>IF($I8638=0,0,MIN(SUMIFS(SondBetrag,SondDarl,18,SondDatum,"&gt;="&amp;$E8638,SondDatum,"&lt;="&amp;EOMONTH($E8638,0)),$J8638-$M8638))</f>
      </c>
      <c r="O8638" s="43">
        <f>IF($I8638=0,0,INDEX(DarlErsatzRate,18))</f>
      </c>
      <c r="P8638" s="43">
        <f>IF($I8638=0,0,$Q8637*INDEX(DarlErsatzZins,18))</f>
      </c>
      <c r="Q8638" s="43">
        <f>IF($I8638=0,0,$Q8637+$P8638+$O8638)</f>
      </c>
      <c r="R8638" s="43">
        <f>IF($I8638=0,0,$J8638-$M8638-$N8638)</f>
      </c>
    </row>
    <row r="8639">
      <c r="A8639"/>
      <c r="B8639">
        <v>18</v>
      </c>
      <c r="C8639" s="43">
        <f>INDEX(DarlObj,18)</f>
      </c>
      <c r="D8639">
        <v>476</v>
      </c>
      <c r="E8639" s="51">
        <f>IF(INDEX(DarlBelegt,18)=0,0,EOMONTH(INDEX(DarlAuszahlung,18),475)+1)</f>
      </c>
      <c r="F8639" s="43">
        <f>IF($E8639=0,0,YEAR($E8639))</f>
      </c>
      <c r="G8639" s="43">
        <f>IF(INDEX(DarlBindung,18)="",1,IF($E8639&lt;=INDEX(DarlBindung,18),1,0))</f>
      </c>
      <c r="H8639" s="43">
        <f>IF($G8639=1,INDEX(DarlSollzins,18),INDEX(DarlAnschluss,18))</f>
      </c>
      <c r="I8639" s="43">
        <f>IF(INDEX(DarlBelegt,18)=0,0,IF(INDEX(DarlOhneTilgung,18)=1,IF(INDEX(DarlBindung,18)="",1,$G8639),IF($J8639&gt;0.005,1,0)))</f>
      </c>
      <c r="J8639" s="43">
        <f>IF($I8638=0,0,$R8638)</f>
      </c>
      <c r="K8639" s="43">
        <f>IF($I8639=0,0,IF(INDEX(DarlOhneTilgung,18)=1,0,IF(AND(INDEX(DarlTilgStart,18)&gt;0,$E8639=INDEX(DarlTilgStart,18)),$J8639*($H8639+INDEX(DarlTilgung,18))/100/12,IF(AND($G8639=0,$G8638=1),MAX($K8638,$J8639*($H8639+1)/100/12),$K8638))))</f>
      </c>
      <c r="L8639" s="43">
        <f>IF($I8639=0,0,$J8639*$H8639/100/12)</f>
      </c>
      <c r="M8639" s="43">
        <f>IF($I8639=0,0,IF(OR(INDEX(DarlOhneTilgung,18)=1,AND(INDEX(DarlTilgStart,18)&gt;0,$E8639&lt;INDEX(DarlTilgStart,18))),0,MIN(MAX(0,$K8639-$L8639),$J8639)))</f>
      </c>
      <c r="N8639" s="43">
        <f>IF($I8639=0,0,MIN(SUMIFS(SondBetrag,SondDarl,18,SondDatum,"&gt;="&amp;$E8639,SondDatum,"&lt;="&amp;EOMONTH($E8639,0)),$J8639-$M8639))</f>
      </c>
      <c r="O8639" s="43">
        <f>IF($I8639=0,0,INDEX(DarlErsatzRate,18))</f>
      </c>
      <c r="P8639" s="43">
        <f>IF($I8639=0,0,$Q8638*INDEX(DarlErsatzZins,18))</f>
      </c>
      <c r="Q8639" s="43">
        <f>IF($I8639=0,0,$Q8638+$P8639+$O8639)</f>
      </c>
      <c r="R8639" s="43">
        <f>IF($I8639=0,0,$J8639-$M8639-$N8639)</f>
      </c>
    </row>
    <row r="8640">
      <c r="A8640"/>
      <c r="B8640">
        <v>18</v>
      </c>
      <c r="C8640" s="43">
        <f>INDEX(DarlObj,18)</f>
      </c>
      <c r="D8640">
        <v>477</v>
      </c>
      <c r="E8640" s="51">
        <f>IF(INDEX(DarlBelegt,18)=0,0,EOMONTH(INDEX(DarlAuszahlung,18),476)+1)</f>
      </c>
      <c r="F8640" s="43">
        <f>IF($E8640=0,0,YEAR($E8640))</f>
      </c>
      <c r="G8640" s="43">
        <f>IF(INDEX(DarlBindung,18)="",1,IF($E8640&lt;=INDEX(DarlBindung,18),1,0))</f>
      </c>
      <c r="H8640" s="43">
        <f>IF($G8640=1,INDEX(DarlSollzins,18),INDEX(DarlAnschluss,18))</f>
      </c>
      <c r="I8640" s="43">
        <f>IF(INDEX(DarlBelegt,18)=0,0,IF(INDEX(DarlOhneTilgung,18)=1,IF(INDEX(DarlBindung,18)="",1,$G8640),IF($J8640&gt;0.005,1,0)))</f>
      </c>
      <c r="J8640" s="43">
        <f>IF($I8639=0,0,$R8639)</f>
      </c>
      <c r="K8640" s="43">
        <f>IF($I8640=0,0,IF(INDEX(DarlOhneTilgung,18)=1,0,IF(AND(INDEX(DarlTilgStart,18)&gt;0,$E8640=INDEX(DarlTilgStart,18)),$J8640*($H8640+INDEX(DarlTilgung,18))/100/12,IF(AND($G8640=0,$G8639=1),MAX($K8639,$J8640*($H8640+1)/100/12),$K8639))))</f>
      </c>
      <c r="L8640" s="43">
        <f>IF($I8640=0,0,$J8640*$H8640/100/12)</f>
      </c>
      <c r="M8640" s="43">
        <f>IF($I8640=0,0,IF(OR(INDEX(DarlOhneTilgung,18)=1,AND(INDEX(DarlTilgStart,18)&gt;0,$E8640&lt;INDEX(DarlTilgStart,18))),0,MIN(MAX(0,$K8640-$L8640),$J8640)))</f>
      </c>
      <c r="N8640" s="43">
        <f>IF($I8640=0,0,MIN(SUMIFS(SondBetrag,SondDarl,18,SondDatum,"&gt;="&amp;$E8640,SondDatum,"&lt;="&amp;EOMONTH($E8640,0)),$J8640-$M8640))</f>
      </c>
      <c r="O8640" s="43">
        <f>IF($I8640=0,0,INDEX(DarlErsatzRate,18))</f>
      </c>
      <c r="P8640" s="43">
        <f>IF($I8640=0,0,$Q8639*INDEX(DarlErsatzZins,18))</f>
      </c>
      <c r="Q8640" s="43">
        <f>IF($I8640=0,0,$Q8639+$P8640+$O8640)</f>
      </c>
      <c r="R8640" s="43">
        <f>IF($I8640=0,0,$J8640-$M8640-$N8640)</f>
      </c>
    </row>
    <row r="8641">
      <c r="A8641"/>
      <c r="B8641">
        <v>18</v>
      </c>
      <c r="C8641" s="43">
        <f>INDEX(DarlObj,18)</f>
      </c>
      <c r="D8641">
        <v>478</v>
      </c>
      <c r="E8641" s="51">
        <f>IF(INDEX(DarlBelegt,18)=0,0,EOMONTH(INDEX(DarlAuszahlung,18),477)+1)</f>
      </c>
      <c r="F8641" s="43">
        <f>IF($E8641=0,0,YEAR($E8641))</f>
      </c>
      <c r="G8641" s="43">
        <f>IF(INDEX(DarlBindung,18)="",1,IF($E8641&lt;=INDEX(DarlBindung,18),1,0))</f>
      </c>
      <c r="H8641" s="43">
        <f>IF($G8641=1,INDEX(DarlSollzins,18),INDEX(DarlAnschluss,18))</f>
      </c>
      <c r="I8641" s="43">
        <f>IF(INDEX(DarlBelegt,18)=0,0,IF(INDEX(DarlOhneTilgung,18)=1,IF(INDEX(DarlBindung,18)="",1,$G8641),IF($J8641&gt;0.005,1,0)))</f>
      </c>
      <c r="J8641" s="43">
        <f>IF($I8640=0,0,$R8640)</f>
      </c>
      <c r="K8641" s="43">
        <f>IF($I8641=0,0,IF(INDEX(DarlOhneTilgung,18)=1,0,IF(AND(INDEX(DarlTilgStart,18)&gt;0,$E8641=INDEX(DarlTilgStart,18)),$J8641*($H8641+INDEX(DarlTilgung,18))/100/12,IF(AND($G8641=0,$G8640=1),MAX($K8640,$J8641*($H8641+1)/100/12),$K8640))))</f>
      </c>
      <c r="L8641" s="43">
        <f>IF($I8641=0,0,$J8641*$H8641/100/12)</f>
      </c>
      <c r="M8641" s="43">
        <f>IF($I8641=0,0,IF(OR(INDEX(DarlOhneTilgung,18)=1,AND(INDEX(DarlTilgStart,18)&gt;0,$E8641&lt;INDEX(DarlTilgStart,18))),0,MIN(MAX(0,$K8641-$L8641),$J8641)))</f>
      </c>
      <c r="N8641" s="43">
        <f>IF($I8641=0,0,MIN(SUMIFS(SondBetrag,SondDarl,18,SondDatum,"&gt;="&amp;$E8641,SondDatum,"&lt;="&amp;EOMONTH($E8641,0)),$J8641-$M8641))</f>
      </c>
      <c r="O8641" s="43">
        <f>IF($I8641=0,0,INDEX(DarlErsatzRate,18))</f>
      </c>
      <c r="P8641" s="43">
        <f>IF($I8641=0,0,$Q8640*INDEX(DarlErsatzZins,18))</f>
      </c>
      <c r="Q8641" s="43">
        <f>IF($I8641=0,0,$Q8640+$P8641+$O8641)</f>
      </c>
      <c r="R8641" s="43">
        <f>IF($I8641=0,0,$J8641-$M8641-$N8641)</f>
      </c>
    </row>
    <row r="8642">
      <c r="A8642"/>
      <c r="B8642">
        <v>18</v>
      </c>
      <c r="C8642" s="43">
        <f>INDEX(DarlObj,18)</f>
      </c>
      <c r="D8642">
        <v>479</v>
      </c>
      <c r="E8642" s="51">
        <f>IF(INDEX(DarlBelegt,18)=0,0,EOMONTH(INDEX(DarlAuszahlung,18),478)+1)</f>
      </c>
      <c r="F8642" s="43">
        <f>IF($E8642=0,0,YEAR($E8642))</f>
      </c>
      <c r="G8642" s="43">
        <f>IF(INDEX(DarlBindung,18)="",1,IF($E8642&lt;=INDEX(DarlBindung,18),1,0))</f>
      </c>
      <c r="H8642" s="43">
        <f>IF($G8642=1,INDEX(DarlSollzins,18),INDEX(DarlAnschluss,18))</f>
      </c>
      <c r="I8642" s="43">
        <f>IF(INDEX(DarlBelegt,18)=0,0,IF(INDEX(DarlOhneTilgung,18)=1,IF(INDEX(DarlBindung,18)="",1,$G8642),IF($J8642&gt;0.005,1,0)))</f>
      </c>
      <c r="J8642" s="43">
        <f>IF($I8641=0,0,$R8641)</f>
      </c>
      <c r="K8642" s="43">
        <f>IF($I8642=0,0,IF(INDEX(DarlOhneTilgung,18)=1,0,IF(AND(INDEX(DarlTilgStart,18)&gt;0,$E8642=INDEX(DarlTilgStart,18)),$J8642*($H8642+INDEX(DarlTilgung,18))/100/12,IF(AND($G8642=0,$G8641=1),MAX($K8641,$J8642*($H8642+1)/100/12),$K8641))))</f>
      </c>
      <c r="L8642" s="43">
        <f>IF($I8642=0,0,$J8642*$H8642/100/12)</f>
      </c>
      <c r="M8642" s="43">
        <f>IF($I8642=0,0,IF(OR(INDEX(DarlOhneTilgung,18)=1,AND(INDEX(DarlTilgStart,18)&gt;0,$E8642&lt;INDEX(DarlTilgStart,18))),0,MIN(MAX(0,$K8642-$L8642),$J8642)))</f>
      </c>
      <c r="N8642" s="43">
        <f>IF($I8642=0,0,MIN(SUMIFS(SondBetrag,SondDarl,18,SondDatum,"&gt;="&amp;$E8642,SondDatum,"&lt;="&amp;EOMONTH($E8642,0)),$J8642-$M8642))</f>
      </c>
      <c r="O8642" s="43">
        <f>IF($I8642=0,0,INDEX(DarlErsatzRate,18))</f>
      </c>
      <c r="P8642" s="43">
        <f>IF($I8642=0,0,$Q8641*INDEX(DarlErsatzZins,18))</f>
      </c>
      <c r="Q8642" s="43">
        <f>IF($I8642=0,0,$Q8641+$P8642+$O8642)</f>
      </c>
      <c r="R8642" s="43">
        <f>IF($I8642=0,0,$J8642-$M8642-$N8642)</f>
      </c>
    </row>
    <row r="8643">
      <c r="A8643"/>
      <c r="B8643">
        <v>18</v>
      </c>
      <c r="C8643" s="43">
        <f>INDEX(DarlObj,18)</f>
      </c>
      <c r="D8643">
        <v>480</v>
      </c>
      <c r="E8643" s="51">
        <f>IF(INDEX(DarlBelegt,18)=0,0,EOMONTH(INDEX(DarlAuszahlung,18),479)+1)</f>
      </c>
      <c r="F8643" s="43">
        <f>IF($E8643=0,0,YEAR($E8643))</f>
      </c>
      <c r="G8643" s="43">
        <f>IF(INDEX(DarlBindung,18)="",1,IF($E8643&lt;=INDEX(DarlBindung,18),1,0))</f>
      </c>
      <c r="H8643" s="43">
        <f>IF($G8643=1,INDEX(DarlSollzins,18),INDEX(DarlAnschluss,18))</f>
      </c>
      <c r="I8643" s="43">
        <f>IF(INDEX(DarlBelegt,18)=0,0,IF(INDEX(DarlOhneTilgung,18)=1,IF(INDEX(DarlBindung,18)="",1,$G8643),IF($J8643&gt;0.005,1,0)))</f>
      </c>
      <c r="J8643" s="43">
        <f>IF($I8642=0,0,$R8642)</f>
      </c>
      <c r="K8643" s="43">
        <f>IF($I8643=0,0,IF(INDEX(DarlOhneTilgung,18)=1,0,IF(AND(INDEX(DarlTilgStart,18)&gt;0,$E8643=INDEX(DarlTilgStart,18)),$J8643*($H8643+INDEX(DarlTilgung,18))/100/12,IF(AND($G8643=0,$G8642=1),MAX($K8642,$J8643*($H8643+1)/100/12),$K8642))))</f>
      </c>
      <c r="L8643" s="43">
        <f>IF($I8643=0,0,$J8643*$H8643/100/12)</f>
      </c>
      <c r="M8643" s="43">
        <f>IF($I8643=0,0,IF(OR(INDEX(DarlOhneTilgung,18)=1,AND(INDEX(DarlTilgStart,18)&gt;0,$E8643&lt;INDEX(DarlTilgStart,18))),0,MIN(MAX(0,$K8643-$L8643),$J8643)))</f>
      </c>
      <c r="N8643" s="43">
        <f>IF($I8643=0,0,MIN(SUMIFS(SondBetrag,SondDarl,18,SondDatum,"&gt;="&amp;$E8643,SondDatum,"&lt;="&amp;EOMONTH($E8643,0)),$J8643-$M8643))</f>
      </c>
      <c r="O8643" s="43">
        <f>IF($I8643=0,0,INDEX(DarlErsatzRate,18))</f>
      </c>
      <c r="P8643" s="43">
        <f>IF($I8643=0,0,$Q8642*INDEX(DarlErsatzZins,18))</f>
      </c>
      <c r="Q8643" s="43">
        <f>IF($I8643=0,0,$Q8642+$P8643+$O8643)</f>
      </c>
      <c r="R8643" s="43">
        <f>IF($I8643=0,0,$J8643-$M8643-$N8643)</f>
      </c>
    </row>
    <row r="8644">
      <c r="A8644"/>
      <c r="B8644">
        <v>19</v>
      </c>
      <c r="C8644" s="43">
        <f>INDEX(DarlObj,19)</f>
      </c>
      <c r="D8644">
        <v>1</v>
      </c>
      <c r="E8644" s="51">
        <f>IF(INDEX(DarlBelegt,19)=0,0,EOMONTH(INDEX(DarlAuszahlung,19),0)+1)</f>
      </c>
      <c r="F8644" s="43">
        <f>IF($E8644=0,0,YEAR($E8644))</f>
      </c>
      <c r="G8644" s="43">
        <f>IF(INDEX(DarlBindung,19)="",1,IF($E8644&lt;=INDEX(DarlBindung,19),1,0))</f>
      </c>
      <c r="H8644" s="43">
        <f>IF($G8644=1,INDEX(DarlSollzins,19),INDEX(DarlAnschluss,19))</f>
      </c>
      <c r="I8644" s="43">
        <f>IF(INDEX(DarlBelegt,19)=0,0,IF(INDEX(DarlOhneTilgung,19)=1,IF(INDEX(DarlBindung,19)="",1,$G8644),IF($J8644&gt;0.005,1,0)))</f>
      </c>
      <c r="J8644" s="43">
        <f>IF(INDEX(DarlBelegt,19)=0,0,INDEX(DarlBetrag,19))</f>
      </c>
      <c r="K8644" s="43">
        <f>IF($I8644=0,0,IF(INDEX(DarlOhneTilgung,19)=1,0,INDEX(DarlRate1,19)))</f>
      </c>
      <c r="L8644" s="43">
        <f>IF($I8644=0,0,$J8644*$H8644/100/12)</f>
      </c>
      <c r="M8644" s="43">
        <f>IF($I8644=0,0,IF(OR(INDEX(DarlOhneTilgung,19)=1,AND(INDEX(DarlTilgStart,19)&gt;0,$E8644&lt;INDEX(DarlTilgStart,19))),0,MIN(MAX(0,$K8644-$L8644),$J8644)))</f>
      </c>
      <c r="N8644" s="43">
        <f>IF($I8644=0,0,MIN(SUMIFS(SondBetrag,SondDarl,19,SondDatum,"&gt;="&amp;$E8644,SondDatum,"&lt;="&amp;EOMONTH($E8644,0)),$J8644-$M8644))</f>
      </c>
      <c r="O8644" s="43">
        <f>IF($I8644=0,0,INDEX(DarlErsatzRate,19))</f>
      </c>
      <c r="P8644" s="43">
        <f>0</f>
      </c>
      <c r="Q8644" s="43">
        <f>IF($I8644=0,0,$P8644+$O8644)</f>
      </c>
      <c r="R8644" s="43">
        <f>IF($I8644=0,0,$J8644-$M8644-$N8644)</f>
      </c>
    </row>
    <row r="8645">
      <c r="A8645"/>
      <c r="B8645">
        <v>19</v>
      </c>
      <c r="C8645" s="43">
        <f>INDEX(DarlObj,19)</f>
      </c>
      <c r="D8645">
        <v>2</v>
      </c>
      <c r="E8645" s="51">
        <f>IF(INDEX(DarlBelegt,19)=0,0,EOMONTH(INDEX(DarlAuszahlung,19),1)+1)</f>
      </c>
      <c r="F8645" s="43">
        <f>IF($E8645=0,0,YEAR($E8645))</f>
      </c>
      <c r="G8645" s="43">
        <f>IF(INDEX(DarlBindung,19)="",1,IF($E8645&lt;=INDEX(DarlBindung,19),1,0))</f>
      </c>
      <c r="H8645" s="43">
        <f>IF($G8645=1,INDEX(DarlSollzins,19),INDEX(DarlAnschluss,19))</f>
      </c>
      <c r="I8645" s="43">
        <f>IF(INDEX(DarlBelegt,19)=0,0,IF(INDEX(DarlOhneTilgung,19)=1,IF(INDEX(DarlBindung,19)="",1,$G8645),IF($J8645&gt;0.005,1,0)))</f>
      </c>
      <c r="J8645" s="43">
        <f>IF($I8644=0,0,$R8644)</f>
      </c>
      <c r="K8645" s="43">
        <f>IF($I8645=0,0,IF(INDEX(DarlOhneTilgung,19)=1,0,IF(AND(INDEX(DarlTilgStart,19)&gt;0,$E8645=INDEX(DarlTilgStart,19)),$J8645*($H8645+INDEX(DarlTilgung,19))/100/12,IF(AND($G8645=0,$G8644=1),MAX($K8644,$J8645*($H8645+1)/100/12),$K8644))))</f>
      </c>
      <c r="L8645" s="43">
        <f>IF($I8645=0,0,$J8645*$H8645/100/12)</f>
      </c>
      <c r="M8645" s="43">
        <f>IF($I8645=0,0,IF(OR(INDEX(DarlOhneTilgung,19)=1,AND(INDEX(DarlTilgStart,19)&gt;0,$E8645&lt;INDEX(DarlTilgStart,19))),0,MIN(MAX(0,$K8645-$L8645),$J8645)))</f>
      </c>
      <c r="N8645" s="43">
        <f>IF($I8645=0,0,MIN(SUMIFS(SondBetrag,SondDarl,19,SondDatum,"&gt;="&amp;$E8645,SondDatum,"&lt;="&amp;EOMONTH($E8645,0)),$J8645-$M8645))</f>
      </c>
      <c r="O8645" s="43">
        <f>IF($I8645=0,0,INDEX(DarlErsatzRate,19))</f>
      </c>
      <c r="P8645" s="43">
        <f>IF($I8645=0,0,$Q8644*INDEX(DarlErsatzZins,19))</f>
      </c>
      <c r="Q8645" s="43">
        <f>IF($I8645=0,0,$Q8644+$P8645+$O8645)</f>
      </c>
      <c r="R8645" s="43">
        <f>IF($I8645=0,0,$J8645-$M8645-$N8645)</f>
      </c>
    </row>
    <row r="8646">
      <c r="A8646"/>
      <c r="B8646">
        <v>19</v>
      </c>
      <c r="C8646" s="43">
        <f>INDEX(DarlObj,19)</f>
      </c>
      <c r="D8646">
        <v>3</v>
      </c>
      <c r="E8646" s="51">
        <f>IF(INDEX(DarlBelegt,19)=0,0,EOMONTH(INDEX(DarlAuszahlung,19),2)+1)</f>
      </c>
      <c r="F8646" s="43">
        <f>IF($E8646=0,0,YEAR($E8646))</f>
      </c>
      <c r="G8646" s="43">
        <f>IF(INDEX(DarlBindung,19)="",1,IF($E8646&lt;=INDEX(DarlBindung,19),1,0))</f>
      </c>
      <c r="H8646" s="43">
        <f>IF($G8646=1,INDEX(DarlSollzins,19),INDEX(DarlAnschluss,19))</f>
      </c>
      <c r="I8646" s="43">
        <f>IF(INDEX(DarlBelegt,19)=0,0,IF(INDEX(DarlOhneTilgung,19)=1,IF(INDEX(DarlBindung,19)="",1,$G8646),IF($J8646&gt;0.005,1,0)))</f>
      </c>
      <c r="J8646" s="43">
        <f>IF($I8645=0,0,$R8645)</f>
      </c>
      <c r="K8646" s="43">
        <f>IF($I8646=0,0,IF(INDEX(DarlOhneTilgung,19)=1,0,IF(AND(INDEX(DarlTilgStart,19)&gt;0,$E8646=INDEX(DarlTilgStart,19)),$J8646*($H8646+INDEX(DarlTilgung,19))/100/12,IF(AND($G8646=0,$G8645=1),MAX($K8645,$J8646*($H8646+1)/100/12),$K8645))))</f>
      </c>
      <c r="L8646" s="43">
        <f>IF($I8646=0,0,$J8646*$H8646/100/12)</f>
      </c>
      <c r="M8646" s="43">
        <f>IF($I8646=0,0,IF(OR(INDEX(DarlOhneTilgung,19)=1,AND(INDEX(DarlTilgStart,19)&gt;0,$E8646&lt;INDEX(DarlTilgStart,19))),0,MIN(MAX(0,$K8646-$L8646),$J8646)))</f>
      </c>
      <c r="N8646" s="43">
        <f>IF($I8646=0,0,MIN(SUMIFS(SondBetrag,SondDarl,19,SondDatum,"&gt;="&amp;$E8646,SondDatum,"&lt;="&amp;EOMONTH($E8646,0)),$J8646-$M8646))</f>
      </c>
      <c r="O8646" s="43">
        <f>IF($I8646=0,0,INDEX(DarlErsatzRate,19))</f>
      </c>
      <c r="P8646" s="43">
        <f>IF($I8646=0,0,$Q8645*INDEX(DarlErsatzZins,19))</f>
      </c>
      <c r="Q8646" s="43">
        <f>IF($I8646=0,0,$Q8645+$P8646+$O8646)</f>
      </c>
      <c r="R8646" s="43">
        <f>IF($I8646=0,0,$J8646-$M8646-$N8646)</f>
      </c>
    </row>
    <row r="8647">
      <c r="A8647"/>
      <c r="B8647">
        <v>19</v>
      </c>
      <c r="C8647" s="43">
        <f>INDEX(DarlObj,19)</f>
      </c>
      <c r="D8647">
        <v>4</v>
      </c>
      <c r="E8647" s="51">
        <f>IF(INDEX(DarlBelegt,19)=0,0,EOMONTH(INDEX(DarlAuszahlung,19),3)+1)</f>
      </c>
      <c r="F8647" s="43">
        <f>IF($E8647=0,0,YEAR($E8647))</f>
      </c>
      <c r="G8647" s="43">
        <f>IF(INDEX(DarlBindung,19)="",1,IF($E8647&lt;=INDEX(DarlBindung,19),1,0))</f>
      </c>
      <c r="H8647" s="43">
        <f>IF($G8647=1,INDEX(DarlSollzins,19),INDEX(DarlAnschluss,19))</f>
      </c>
      <c r="I8647" s="43">
        <f>IF(INDEX(DarlBelegt,19)=0,0,IF(INDEX(DarlOhneTilgung,19)=1,IF(INDEX(DarlBindung,19)="",1,$G8647),IF($J8647&gt;0.005,1,0)))</f>
      </c>
      <c r="J8647" s="43">
        <f>IF($I8646=0,0,$R8646)</f>
      </c>
      <c r="K8647" s="43">
        <f>IF($I8647=0,0,IF(INDEX(DarlOhneTilgung,19)=1,0,IF(AND(INDEX(DarlTilgStart,19)&gt;0,$E8647=INDEX(DarlTilgStart,19)),$J8647*($H8647+INDEX(DarlTilgung,19))/100/12,IF(AND($G8647=0,$G8646=1),MAX($K8646,$J8647*($H8647+1)/100/12),$K8646))))</f>
      </c>
      <c r="L8647" s="43">
        <f>IF($I8647=0,0,$J8647*$H8647/100/12)</f>
      </c>
      <c r="M8647" s="43">
        <f>IF($I8647=0,0,IF(OR(INDEX(DarlOhneTilgung,19)=1,AND(INDEX(DarlTilgStart,19)&gt;0,$E8647&lt;INDEX(DarlTilgStart,19))),0,MIN(MAX(0,$K8647-$L8647),$J8647)))</f>
      </c>
      <c r="N8647" s="43">
        <f>IF($I8647=0,0,MIN(SUMIFS(SondBetrag,SondDarl,19,SondDatum,"&gt;="&amp;$E8647,SondDatum,"&lt;="&amp;EOMONTH($E8647,0)),$J8647-$M8647))</f>
      </c>
      <c r="O8647" s="43">
        <f>IF($I8647=0,0,INDEX(DarlErsatzRate,19))</f>
      </c>
      <c r="P8647" s="43">
        <f>IF($I8647=0,0,$Q8646*INDEX(DarlErsatzZins,19))</f>
      </c>
      <c r="Q8647" s="43">
        <f>IF($I8647=0,0,$Q8646+$P8647+$O8647)</f>
      </c>
      <c r="R8647" s="43">
        <f>IF($I8647=0,0,$J8647-$M8647-$N8647)</f>
      </c>
    </row>
    <row r="8648">
      <c r="A8648"/>
      <c r="B8648">
        <v>19</v>
      </c>
      <c r="C8648" s="43">
        <f>INDEX(DarlObj,19)</f>
      </c>
      <c r="D8648">
        <v>5</v>
      </c>
      <c r="E8648" s="51">
        <f>IF(INDEX(DarlBelegt,19)=0,0,EOMONTH(INDEX(DarlAuszahlung,19),4)+1)</f>
      </c>
      <c r="F8648" s="43">
        <f>IF($E8648=0,0,YEAR($E8648))</f>
      </c>
      <c r="G8648" s="43">
        <f>IF(INDEX(DarlBindung,19)="",1,IF($E8648&lt;=INDEX(DarlBindung,19),1,0))</f>
      </c>
      <c r="H8648" s="43">
        <f>IF($G8648=1,INDEX(DarlSollzins,19),INDEX(DarlAnschluss,19))</f>
      </c>
      <c r="I8648" s="43">
        <f>IF(INDEX(DarlBelegt,19)=0,0,IF(INDEX(DarlOhneTilgung,19)=1,IF(INDEX(DarlBindung,19)="",1,$G8648),IF($J8648&gt;0.005,1,0)))</f>
      </c>
      <c r="J8648" s="43">
        <f>IF($I8647=0,0,$R8647)</f>
      </c>
      <c r="K8648" s="43">
        <f>IF($I8648=0,0,IF(INDEX(DarlOhneTilgung,19)=1,0,IF(AND(INDEX(DarlTilgStart,19)&gt;0,$E8648=INDEX(DarlTilgStart,19)),$J8648*($H8648+INDEX(DarlTilgung,19))/100/12,IF(AND($G8648=0,$G8647=1),MAX($K8647,$J8648*($H8648+1)/100/12),$K8647))))</f>
      </c>
      <c r="L8648" s="43">
        <f>IF($I8648=0,0,$J8648*$H8648/100/12)</f>
      </c>
      <c r="M8648" s="43">
        <f>IF($I8648=0,0,IF(OR(INDEX(DarlOhneTilgung,19)=1,AND(INDEX(DarlTilgStart,19)&gt;0,$E8648&lt;INDEX(DarlTilgStart,19))),0,MIN(MAX(0,$K8648-$L8648),$J8648)))</f>
      </c>
      <c r="N8648" s="43">
        <f>IF($I8648=0,0,MIN(SUMIFS(SondBetrag,SondDarl,19,SondDatum,"&gt;="&amp;$E8648,SondDatum,"&lt;="&amp;EOMONTH($E8648,0)),$J8648-$M8648))</f>
      </c>
      <c r="O8648" s="43">
        <f>IF($I8648=0,0,INDEX(DarlErsatzRate,19))</f>
      </c>
      <c r="P8648" s="43">
        <f>IF($I8648=0,0,$Q8647*INDEX(DarlErsatzZins,19))</f>
      </c>
      <c r="Q8648" s="43">
        <f>IF($I8648=0,0,$Q8647+$P8648+$O8648)</f>
      </c>
      <c r="R8648" s="43">
        <f>IF($I8648=0,0,$J8648-$M8648-$N8648)</f>
      </c>
    </row>
    <row r="8649">
      <c r="A8649"/>
      <c r="B8649">
        <v>19</v>
      </c>
      <c r="C8649" s="43">
        <f>INDEX(DarlObj,19)</f>
      </c>
      <c r="D8649">
        <v>6</v>
      </c>
      <c r="E8649" s="51">
        <f>IF(INDEX(DarlBelegt,19)=0,0,EOMONTH(INDEX(DarlAuszahlung,19),5)+1)</f>
      </c>
      <c r="F8649" s="43">
        <f>IF($E8649=0,0,YEAR($E8649))</f>
      </c>
      <c r="G8649" s="43">
        <f>IF(INDEX(DarlBindung,19)="",1,IF($E8649&lt;=INDEX(DarlBindung,19),1,0))</f>
      </c>
      <c r="H8649" s="43">
        <f>IF($G8649=1,INDEX(DarlSollzins,19),INDEX(DarlAnschluss,19))</f>
      </c>
      <c r="I8649" s="43">
        <f>IF(INDEX(DarlBelegt,19)=0,0,IF(INDEX(DarlOhneTilgung,19)=1,IF(INDEX(DarlBindung,19)="",1,$G8649),IF($J8649&gt;0.005,1,0)))</f>
      </c>
      <c r="J8649" s="43">
        <f>IF($I8648=0,0,$R8648)</f>
      </c>
      <c r="K8649" s="43">
        <f>IF($I8649=0,0,IF(INDEX(DarlOhneTilgung,19)=1,0,IF(AND(INDEX(DarlTilgStart,19)&gt;0,$E8649=INDEX(DarlTilgStart,19)),$J8649*($H8649+INDEX(DarlTilgung,19))/100/12,IF(AND($G8649=0,$G8648=1),MAX($K8648,$J8649*($H8649+1)/100/12),$K8648))))</f>
      </c>
      <c r="L8649" s="43">
        <f>IF($I8649=0,0,$J8649*$H8649/100/12)</f>
      </c>
      <c r="M8649" s="43">
        <f>IF($I8649=0,0,IF(OR(INDEX(DarlOhneTilgung,19)=1,AND(INDEX(DarlTilgStart,19)&gt;0,$E8649&lt;INDEX(DarlTilgStart,19))),0,MIN(MAX(0,$K8649-$L8649),$J8649)))</f>
      </c>
      <c r="N8649" s="43">
        <f>IF($I8649=0,0,MIN(SUMIFS(SondBetrag,SondDarl,19,SondDatum,"&gt;="&amp;$E8649,SondDatum,"&lt;="&amp;EOMONTH($E8649,0)),$J8649-$M8649))</f>
      </c>
      <c r="O8649" s="43">
        <f>IF($I8649=0,0,INDEX(DarlErsatzRate,19))</f>
      </c>
      <c r="P8649" s="43">
        <f>IF($I8649=0,0,$Q8648*INDEX(DarlErsatzZins,19))</f>
      </c>
      <c r="Q8649" s="43">
        <f>IF($I8649=0,0,$Q8648+$P8649+$O8649)</f>
      </c>
      <c r="R8649" s="43">
        <f>IF($I8649=0,0,$J8649-$M8649-$N8649)</f>
      </c>
    </row>
    <row r="8650">
      <c r="A8650"/>
      <c r="B8650">
        <v>19</v>
      </c>
      <c r="C8650" s="43">
        <f>INDEX(DarlObj,19)</f>
      </c>
      <c r="D8650">
        <v>7</v>
      </c>
      <c r="E8650" s="51">
        <f>IF(INDEX(DarlBelegt,19)=0,0,EOMONTH(INDEX(DarlAuszahlung,19),6)+1)</f>
      </c>
      <c r="F8650" s="43">
        <f>IF($E8650=0,0,YEAR($E8650))</f>
      </c>
      <c r="G8650" s="43">
        <f>IF(INDEX(DarlBindung,19)="",1,IF($E8650&lt;=INDEX(DarlBindung,19),1,0))</f>
      </c>
      <c r="H8650" s="43">
        <f>IF($G8650=1,INDEX(DarlSollzins,19),INDEX(DarlAnschluss,19))</f>
      </c>
      <c r="I8650" s="43">
        <f>IF(INDEX(DarlBelegt,19)=0,0,IF(INDEX(DarlOhneTilgung,19)=1,IF(INDEX(DarlBindung,19)="",1,$G8650),IF($J8650&gt;0.005,1,0)))</f>
      </c>
      <c r="J8650" s="43">
        <f>IF($I8649=0,0,$R8649)</f>
      </c>
      <c r="K8650" s="43">
        <f>IF($I8650=0,0,IF(INDEX(DarlOhneTilgung,19)=1,0,IF(AND(INDEX(DarlTilgStart,19)&gt;0,$E8650=INDEX(DarlTilgStart,19)),$J8650*($H8650+INDEX(DarlTilgung,19))/100/12,IF(AND($G8650=0,$G8649=1),MAX($K8649,$J8650*($H8650+1)/100/12),$K8649))))</f>
      </c>
      <c r="L8650" s="43">
        <f>IF($I8650=0,0,$J8650*$H8650/100/12)</f>
      </c>
      <c r="M8650" s="43">
        <f>IF($I8650=0,0,IF(OR(INDEX(DarlOhneTilgung,19)=1,AND(INDEX(DarlTilgStart,19)&gt;0,$E8650&lt;INDEX(DarlTilgStart,19))),0,MIN(MAX(0,$K8650-$L8650),$J8650)))</f>
      </c>
      <c r="N8650" s="43">
        <f>IF($I8650=0,0,MIN(SUMIFS(SondBetrag,SondDarl,19,SondDatum,"&gt;="&amp;$E8650,SondDatum,"&lt;="&amp;EOMONTH($E8650,0)),$J8650-$M8650))</f>
      </c>
      <c r="O8650" s="43">
        <f>IF($I8650=0,0,INDEX(DarlErsatzRate,19))</f>
      </c>
      <c r="P8650" s="43">
        <f>IF($I8650=0,0,$Q8649*INDEX(DarlErsatzZins,19))</f>
      </c>
      <c r="Q8650" s="43">
        <f>IF($I8650=0,0,$Q8649+$P8650+$O8650)</f>
      </c>
      <c r="R8650" s="43">
        <f>IF($I8650=0,0,$J8650-$M8650-$N8650)</f>
      </c>
    </row>
    <row r="8651">
      <c r="A8651"/>
      <c r="B8651">
        <v>19</v>
      </c>
      <c r="C8651" s="43">
        <f>INDEX(DarlObj,19)</f>
      </c>
      <c r="D8651">
        <v>8</v>
      </c>
      <c r="E8651" s="51">
        <f>IF(INDEX(DarlBelegt,19)=0,0,EOMONTH(INDEX(DarlAuszahlung,19),7)+1)</f>
      </c>
      <c r="F8651" s="43">
        <f>IF($E8651=0,0,YEAR($E8651))</f>
      </c>
      <c r="G8651" s="43">
        <f>IF(INDEX(DarlBindung,19)="",1,IF($E8651&lt;=INDEX(DarlBindung,19),1,0))</f>
      </c>
      <c r="H8651" s="43">
        <f>IF($G8651=1,INDEX(DarlSollzins,19),INDEX(DarlAnschluss,19))</f>
      </c>
      <c r="I8651" s="43">
        <f>IF(INDEX(DarlBelegt,19)=0,0,IF(INDEX(DarlOhneTilgung,19)=1,IF(INDEX(DarlBindung,19)="",1,$G8651),IF($J8651&gt;0.005,1,0)))</f>
      </c>
      <c r="J8651" s="43">
        <f>IF($I8650=0,0,$R8650)</f>
      </c>
      <c r="K8651" s="43">
        <f>IF($I8651=0,0,IF(INDEX(DarlOhneTilgung,19)=1,0,IF(AND(INDEX(DarlTilgStart,19)&gt;0,$E8651=INDEX(DarlTilgStart,19)),$J8651*($H8651+INDEX(DarlTilgung,19))/100/12,IF(AND($G8651=0,$G8650=1),MAX($K8650,$J8651*($H8651+1)/100/12),$K8650))))</f>
      </c>
      <c r="L8651" s="43">
        <f>IF($I8651=0,0,$J8651*$H8651/100/12)</f>
      </c>
      <c r="M8651" s="43">
        <f>IF($I8651=0,0,IF(OR(INDEX(DarlOhneTilgung,19)=1,AND(INDEX(DarlTilgStart,19)&gt;0,$E8651&lt;INDEX(DarlTilgStart,19))),0,MIN(MAX(0,$K8651-$L8651),$J8651)))</f>
      </c>
      <c r="N8651" s="43">
        <f>IF($I8651=0,0,MIN(SUMIFS(SondBetrag,SondDarl,19,SondDatum,"&gt;="&amp;$E8651,SondDatum,"&lt;="&amp;EOMONTH($E8651,0)),$J8651-$M8651))</f>
      </c>
      <c r="O8651" s="43">
        <f>IF($I8651=0,0,INDEX(DarlErsatzRate,19))</f>
      </c>
      <c r="P8651" s="43">
        <f>IF($I8651=0,0,$Q8650*INDEX(DarlErsatzZins,19))</f>
      </c>
      <c r="Q8651" s="43">
        <f>IF($I8651=0,0,$Q8650+$P8651+$O8651)</f>
      </c>
      <c r="R8651" s="43">
        <f>IF($I8651=0,0,$J8651-$M8651-$N8651)</f>
      </c>
    </row>
    <row r="8652">
      <c r="A8652"/>
      <c r="B8652">
        <v>19</v>
      </c>
      <c r="C8652" s="43">
        <f>INDEX(DarlObj,19)</f>
      </c>
      <c r="D8652">
        <v>9</v>
      </c>
      <c r="E8652" s="51">
        <f>IF(INDEX(DarlBelegt,19)=0,0,EOMONTH(INDEX(DarlAuszahlung,19),8)+1)</f>
      </c>
      <c r="F8652" s="43">
        <f>IF($E8652=0,0,YEAR($E8652))</f>
      </c>
      <c r="G8652" s="43">
        <f>IF(INDEX(DarlBindung,19)="",1,IF($E8652&lt;=INDEX(DarlBindung,19),1,0))</f>
      </c>
      <c r="H8652" s="43">
        <f>IF($G8652=1,INDEX(DarlSollzins,19),INDEX(DarlAnschluss,19))</f>
      </c>
      <c r="I8652" s="43">
        <f>IF(INDEX(DarlBelegt,19)=0,0,IF(INDEX(DarlOhneTilgung,19)=1,IF(INDEX(DarlBindung,19)="",1,$G8652),IF($J8652&gt;0.005,1,0)))</f>
      </c>
      <c r="J8652" s="43">
        <f>IF($I8651=0,0,$R8651)</f>
      </c>
      <c r="K8652" s="43">
        <f>IF($I8652=0,0,IF(INDEX(DarlOhneTilgung,19)=1,0,IF(AND(INDEX(DarlTilgStart,19)&gt;0,$E8652=INDEX(DarlTilgStart,19)),$J8652*($H8652+INDEX(DarlTilgung,19))/100/12,IF(AND($G8652=0,$G8651=1),MAX($K8651,$J8652*($H8652+1)/100/12),$K8651))))</f>
      </c>
      <c r="L8652" s="43">
        <f>IF($I8652=0,0,$J8652*$H8652/100/12)</f>
      </c>
      <c r="M8652" s="43">
        <f>IF($I8652=0,0,IF(OR(INDEX(DarlOhneTilgung,19)=1,AND(INDEX(DarlTilgStart,19)&gt;0,$E8652&lt;INDEX(DarlTilgStart,19))),0,MIN(MAX(0,$K8652-$L8652),$J8652)))</f>
      </c>
      <c r="N8652" s="43">
        <f>IF($I8652=0,0,MIN(SUMIFS(SondBetrag,SondDarl,19,SondDatum,"&gt;="&amp;$E8652,SondDatum,"&lt;="&amp;EOMONTH($E8652,0)),$J8652-$M8652))</f>
      </c>
      <c r="O8652" s="43">
        <f>IF($I8652=0,0,INDEX(DarlErsatzRate,19))</f>
      </c>
      <c r="P8652" s="43">
        <f>IF($I8652=0,0,$Q8651*INDEX(DarlErsatzZins,19))</f>
      </c>
      <c r="Q8652" s="43">
        <f>IF($I8652=0,0,$Q8651+$P8652+$O8652)</f>
      </c>
      <c r="R8652" s="43">
        <f>IF($I8652=0,0,$J8652-$M8652-$N8652)</f>
      </c>
    </row>
    <row r="8653">
      <c r="A8653"/>
      <c r="B8653">
        <v>19</v>
      </c>
      <c r="C8653" s="43">
        <f>INDEX(DarlObj,19)</f>
      </c>
      <c r="D8653">
        <v>10</v>
      </c>
      <c r="E8653" s="51">
        <f>IF(INDEX(DarlBelegt,19)=0,0,EOMONTH(INDEX(DarlAuszahlung,19),9)+1)</f>
      </c>
      <c r="F8653" s="43">
        <f>IF($E8653=0,0,YEAR($E8653))</f>
      </c>
      <c r="G8653" s="43">
        <f>IF(INDEX(DarlBindung,19)="",1,IF($E8653&lt;=INDEX(DarlBindung,19),1,0))</f>
      </c>
      <c r="H8653" s="43">
        <f>IF($G8653=1,INDEX(DarlSollzins,19),INDEX(DarlAnschluss,19))</f>
      </c>
      <c r="I8653" s="43">
        <f>IF(INDEX(DarlBelegt,19)=0,0,IF(INDEX(DarlOhneTilgung,19)=1,IF(INDEX(DarlBindung,19)="",1,$G8653),IF($J8653&gt;0.005,1,0)))</f>
      </c>
      <c r="J8653" s="43">
        <f>IF($I8652=0,0,$R8652)</f>
      </c>
      <c r="K8653" s="43">
        <f>IF($I8653=0,0,IF(INDEX(DarlOhneTilgung,19)=1,0,IF(AND(INDEX(DarlTilgStart,19)&gt;0,$E8653=INDEX(DarlTilgStart,19)),$J8653*($H8653+INDEX(DarlTilgung,19))/100/12,IF(AND($G8653=0,$G8652=1),MAX($K8652,$J8653*($H8653+1)/100/12),$K8652))))</f>
      </c>
      <c r="L8653" s="43">
        <f>IF($I8653=0,0,$J8653*$H8653/100/12)</f>
      </c>
      <c r="M8653" s="43">
        <f>IF($I8653=0,0,IF(OR(INDEX(DarlOhneTilgung,19)=1,AND(INDEX(DarlTilgStart,19)&gt;0,$E8653&lt;INDEX(DarlTilgStart,19))),0,MIN(MAX(0,$K8653-$L8653),$J8653)))</f>
      </c>
      <c r="N8653" s="43">
        <f>IF($I8653=0,0,MIN(SUMIFS(SondBetrag,SondDarl,19,SondDatum,"&gt;="&amp;$E8653,SondDatum,"&lt;="&amp;EOMONTH($E8653,0)),$J8653-$M8653))</f>
      </c>
      <c r="O8653" s="43">
        <f>IF($I8653=0,0,INDEX(DarlErsatzRate,19))</f>
      </c>
      <c r="P8653" s="43">
        <f>IF($I8653=0,0,$Q8652*INDEX(DarlErsatzZins,19))</f>
      </c>
      <c r="Q8653" s="43">
        <f>IF($I8653=0,0,$Q8652+$P8653+$O8653)</f>
      </c>
      <c r="R8653" s="43">
        <f>IF($I8653=0,0,$J8653-$M8653-$N8653)</f>
      </c>
    </row>
    <row r="8654">
      <c r="A8654"/>
      <c r="B8654">
        <v>19</v>
      </c>
      <c r="C8654" s="43">
        <f>INDEX(DarlObj,19)</f>
      </c>
      <c r="D8654">
        <v>11</v>
      </c>
      <c r="E8654" s="51">
        <f>IF(INDEX(DarlBelegt,19)=0,0,EOMONTH(INDEX(DarlAuszahlung,19),10)+1)</f>
      </c>
      <c r="F8654" s="43">
        <f>IF($E8654=0,0,YEAR($E8654))</f>
      </c>
      <c r="G8654" s="43">
        <f>IF(INDEX(DarlBindung,19)="",1,IF($E8654&lt;=INDEX(DarlBindung,19),1,0))</f>
      </c>
      <c r="H8654" s="43">
        <f>IF($G8654=1,INDEX(DarlSollzins,19),INDEX(DarlAnschluss,19))</f>
      </c>
      <c r="I8654" s="43">
        <f>IF(INDEX(DarlBelegt,19)=0,0,IF(INDEX(DarlOhneTilgung,19)=1,IF(INDEX(DarlBindung,19)="",1,$G8654),IF($J8654&gt;0.005,1,0)))</f>
      </c>
      <c r="J8654" s="43">
        <f>IF($I8653=0,0,$R8653)</f>
      </c>
      <c r="K8654" s="43">
        <f>IF($I8654=0,0,IF(INDEX(DarlOhneTilgung,19)=1,0,IF(AND(INDEX(DarlTilgStart,19)&gt;0,$E8654=INDEX(DarlTilgStart,19)),$J8654*($H8654+INDEX(DarlTilgung,19))/100/12,IF(AND($G8654=0,$G8653=1),MAX($K8653,$J8654*($H8654+1)/100/12),$K8653))))</f>
      </c>
      <c r="L8654" s="43">
        <f>IF($I8654=0,0,$J8654*$H8654/100/12)</f>
      </c>
      <c r="M8654" s="43">
        <f>IF($I8654=0,0,IF(OR(INDEX(DarlOhneTilgung,19)=1,AND(INDEX(DarlTilgStart,19)&gt;0,$E8654&lt;INDEX(DarlTilgStart,19))),0,MIN(MAX(0,$K8654-$L8654),$J8654)))</f>
      </c>
      <c r="N8654" s="43">
        <f>IF($I8654=0,0,MIN(SUMIFS(SondBetrag,SondDarl,19,SondDatum,"&gt;="&amp;$E8654,SondDatum,"&lt;="&amp;EOMONTH($E8654,0)),$J8654-$M8654))</f>
      </c>
      <c r="O8654" s="43">
        <f>IF($I8654=0,0,INDEX(DarlErsatzRate,19))</f>
      </c>
      <c r="P8654" s="43">
        <f>IF($I8654=0,0,$Q8653*INDEX(DarlErsatzZins,19))</f>
      </c>
      <c r="Q8654" s="43">
        <f>IF($I8654=0,0,$Q8653+$P8654+$O8654)</f>
      </c>
      <c r="R8654" s="43">
        <f>IF($I8654=0,0,$J8654-$M8654-$N8654)</f>
      </c>
    </row>
    <row r="8655">
      <c r="A8655"/>
      <c r="B8655">
        <v>19</v>
      </c>
      <c r="C8655" s="43">
        <f>INDEX(DarlObj,19)</f>
      </c>
      <c r="D8655">
        <v>12</v>
      </c>
      <c r="E8655" s="51">
        <f>IF(INDEX(DarlBelegt,19)=0,0,EOMONTH(INDEX(DarlAuszahlung,19),11)+1)</f>
      </c>
      <c r="F8655" s="43">
        <f>IF($E8655=0,0,YEAR($E8655))</f>
      </c>
      <c r="G8655" s="43">
        <f>IF(INDEX(DarlBindung,19)="",1,IF($E8655&lt;=INDEX(DarlBindung,19),1,0))</f>
      </c>
      <c r="H8655" s="43">
        <f>IF($G8655=1,INDEX(DarlSollzins,19),INDEX(DarlAnschluss,19))</f>
      </c>
      <c r="I8655" s="43">
        <f>IF(INDEX(DarlBelegt,19)=0,0,IF(INDEX(DarlOhneTilgung,19)=1,IF(INDEX(DarlBindung,19)="",1,$G8655),IF($J8655&gt;0.005,1,0)))</f>
      </c>
      <c r="J8655" s="43">
        <f>IF($I8654=0,0,$R8654)</f>
      </c>
      <c r="K8655" s="43">
        <f>IF($I8655=0,0,IF(INDEX(DarlOhneTilgung,19)=1,0,IF(AND(INDEX(DarlTilgStart,19)&gt;0,$E8655=INDEX(DarlTilgStart,19)),$J8655*($H8655+INDEX(DarlTilgung,19))/100/12,IF(AND($G8655=0,$G8654=1),MAX($K8654,$J8655*($H8655+1)/100/12),$K8654))))</f>
      </c>
      <c r="L8655" s="43">
        <f>IF($I8655=0,0,$J8655*$H8655/100/12)</f>
      </c>
      <c r="M8655" s="43">
        <f>IF($I8655=0,0,IF(OR(INDEX(DarlOhneTilgung,19)=1,AND(INDEX(DarlTilgStart,19)&gt;0,$E8655&lt;INDEX(DarlTilgStart,19))),0,MIN(MAX(0,$K8655-$L8655),$J8655)))</f>
      </c>
      <c r="N8655" s="43">
        <f>IF($I8655=0,0,MIN(SUMIFS(SondBetrag,SondDarl,19,SondDatum,"&gt;="&amp;$E8655,SondDatum,"&lt;="&amp;EOMONTH($E8655,0)),$J8655-$M8655))</f>
      </c>
      <c r="O8655" s="43">
        <f>IF($I8655=0,0,INDEX(DarlErsatzRate,19))</f>
      </c>
      <c r="P8655" s="43">
        <f>IF($I8655=0,0,$Q8654*INDEX(DarlErsatzZins,19))</f>
      </c>
      <c r="Q8655" s="43">
        <f>IF($I8655=0,0,$Q8654+$P8655+$O8655)</f>
      </c>
      <c r="R8655" s="43">
        <f>IF($I8655=0,0,$J8655-$M8655-$N8655)</f>
      </c>
    </row>
    <row r="8656">
      <c r="A8656"/>
      <c r="B8656">
        <v>19</v>
      </c>
      <c r="C8656" s="43">
        <f>INDEX(DarlObj,19)</f>
      </c>
      <c r="D8656">
        <v>13</v>
      </c>
      <c r="E8656" s="51">
        <f>IF(INDEX(DarlBelegt,19)=0,0,EOMONTH(INDEX(DarlAuszahlung,19),12)+1)</f>
      </c>
      <c r="F8656" s="43">
        <f>IF($E8656=0,0,YEAR($E8656))</f>
      </c>
      <c r="G8656" s="43">
        <f>IF(INDEX(DarlBindung,19)="",1,IF($E8656&lt;=INDEX(DarlBindung,19),1,0))</f>
      </c>
      <c r="H8656" s="43">
        <f>IF($G8656=1,INDEX(DarlSollzins,19),INDEX(DarlAnschluss,19))</f>
      </c>
      <c r="I8656" s="43">
        <f>IF(INDEX(DarlBelegt,19)=0,0,IF(INDEX(DarlOhneTilgung,19)=1,IF(INDEX(DarlBindung,19)="",1,$G8656),IF($J8656&gt;0.005,1,0)))</f>
      </c>
      <c r="J8656" s="43">
        <f>IF($I8655=0,0,$R8655)</f>
      </c>
      <c r="K8656" s="43">
        <f>IF($I8656=0,0,IF(INDEX(DarlOhneTilgung,19)=1,0,IF(AND(INDEX(DarlTilgStart,19)&gt;0,$E8656=INDEX(DarlTilgStart,19)),$J8656*($H8656+INDEX(DarlTilgung,19))/100/12,IF(AND($G8656=0,$G8655=1),MAX($K8655,$J8656*($H8656+1)/100/12),$K8655))))</f>
      </c>
      <c r="L8656" s="43">
        <f>IF($I8656=0,0,$J8656*$H8656/100/12)</f>
      </c>
      <c r="M8656" s="43">
        <f>IF($I8656=0,0,IF(OR(INDEX(DarlOhneTilgung,19)=1,AND(INDEX(DarlTilgStart,19)&gt;0,$E8656&lt;INDEX(DarlTilgStart,19))),0,MIN(MAX(0,$K8656-$L8656),$J8656)))</f>
      </c>
      <c r="N8656" s="43">
        <f>IF($I8656=0,0,MIN(SUMIFS(SondBetrag,SondDarl,19,SondDatum,"&gt;="&amp;$E8656,SondDatum,"&lt;="&amp;EOMONTH($E8656,0)),$J8656-$M8656))</f>
      </c>
      <c r="O8656" s="43">
        <f>IF($I8656=0,0,INDEX(DarlErsatzRate,19))</f>
      </c>
      <c r="P8656" s="43">
        <f>IF($I8656=0,0,$Q8655*INDEX(DarlErsatzZins,19))</f>
      </c>
      <c r="Q8656" s="43">
        <f>IF($I8656=0,0,$Q8655+$P8656+$O8656)</f>
      </c>
      <c r="R8656" s="43">
        <f>IF($I8656=0,0,$J8656-$M8656-$N8656)</f>
      </c>
    </row>
    <row r="8657">
      <c r="A8657"/>
      <c r="B8657">
        <v>19</v>
      </c>
      <c r="C8657" s="43">
        <f>INDEX(DarlObj,19)</f>
      </c>
      <c r="D8657">
        <v>14</v>
      </c>
      <c r="E8657" s="51">
        <f>IF(INDEX(DarlBelegt,19)=0,0,EOMONTH(INDEX(DarlAuszahlung,19),13)+1)</f>
      </c>
      <c r="F8657" s="43">
        <f>IF($E8657=0,0,YEAR($E8657))</f>
      </c>
      <c r="G8657" s="43">
        <f>IF(INDEX(DarlBindung,19)="",1,IF($E8657&lt;=INDEX(DarlBindung,19),1,0))</f>
      </c>
      <c r="H8657" s="43">
        <f>IF($G8657=1,INDEX(DarlSollzins,19),INDEX(DarlAnschluss,19))</f>
      </c>
      <c r="I8657" s="43">
        <f>IF(INDEX(DarlBelegt,19)=0,0,IF(INDEX(DarlOhneTilgung,19)=1,IF(INDEX(DarlBindung,19)="",1,$G8657),IF($J8657&gt;0.005,1,0)))</f>
      </c>
      <c r="J8657" s="43">
        <f>IF($I8656=0,0,$R8656)</f>
      </c>
      <c r="K8657" s="43">
        <f>IF($I8657=0,0,IF(INDEX(DarlOhneTilgung,19)=1,0,IF(AND(INDEX(DarlTilgStart,19)&gt;0,$E8657=INDEX(DarlTilgStart,19)),$J8657*($H8657+INDEX(DarlTilgung,19))/100/12,IF(AND($G8657=0,$G8656=1),MAX($K8656,$J8657*($H8657+1)/100/12),$K8656))))</f>
      </c>
      <c r="L8657" s="43">
        <f>IF($I8657=0,0,$J8657*$H8657/100/12)</f>
      </c>
      <c r="M8657" s="43">
        <f>IF($I8657=0,0,IF(OR(INDEX(DarlOhneTilgung,19)=1,AND(INDEX(DarlTilgStart,19)&gt;0,$E8657&lt;INDEX(DarlTilgStart,19))),0,MIN(MAX(0,$K8657-$L8657),$J8657)))</f>
      </c>
      <c r="N8657" s="43">
        <f>IF($I8657=0,0,MIN(SUMIFS(SondBetrag,SondDarl,19,SondDatum,"&gt;="&amp;$E8657,SondDatum,"&lt;="&amp;EOMONTH($E8657,0)),$J8657-$M8657))</f>
      </c>
      <c r="O8657" s="43">
        <f>IF($I8657=0,0,INDEX(DarlErsatzRate,19))</f>
      </c>
      <c r="P8657" s="43">
        <f>IF($I8657=0,0,$Q8656*INDEX(DarlErsatzZins,19))</f>
      </c>
      <c r="Q8657" s="43">
        <f>IF($I8657=0,0,$Q8656+$P8657+$O8657)</f>
      </c>
      <c r="R8657" s="43">
        <f>IF($I8657=0,0,$J8657-$M8657-$N8657)</f>
      </c>
    </row>
    <row r="8658">
      <c r="A8658"/>
      <c r="B8658">
        <v>19</v>
      </c>
      <c r="C8658" s="43">
        <f>INDEX(DarlObj,19)</f>
      </c>
      <c r="D8658">
        <v>15</v>
      </c>
      <c r="E8658" s="51">
        <f>IF(INDEX(DarlBelegt,19)=0,0,EOMONTH(INDEX(DarlAuszahlung,19),14)+1)</f>
      </c>
      <c r="F8658" s="43">
        <f>IF($E8658=0,0,YEAR($E8658))</f>
      </c>
      <c r="G8658" s="43">
        <f>IF(INDEX(DarlBindung,19)="",1,IF($E8658&lt;=INDEX(DarlBindung,19),1,0))</f>
      </c>
      <c r="H8658" s="43">
        <f>IF($G8658=1,INDEX(DarlSollzins,19),INDEX(DarlAnschluss,19))</f>
      </c>
      <c r="I8658" s="43">
        <f>IF(INDEX(DarlBelegt,19)=0,0,IF(INDEX(DarlOhneTilgung,19)=1,IF(INDEX(DarlBindung,19)="",1,$G8658),IF($J8658&gt;0.005,1,0)))</f>
      </c>
      <c r="J8658" s="43">
        <f>IF($I8657=0,0,$R8657)</f>
      </c>
      <c r="K8658" s="43">
        <f>IF($I8658=0,0,IF(INDEX(DarlOhneTilgung,19)=1,0,IF(AND(INDEX(DarlTilgStart,19)&gt;0,$E8658=INDEX(DarlTilgStart,19)),$J8658*($H8658+INDEX(DarlTilgung,19))/100/12,IF(AND($G8658=0,$G8657=1),MAX($K8657,$J8658*($H8658+1)/100/12),$K8657))))</f>
      </c>
      <c r="L8658" s="43">
        <f>IF($I8658=0,0,$J8658*$H8658/100/12)</f>
      </c>
      <c r="M8658" s="43">
        <f>IF($I8658=0,0,IF(OR(INDEX(DarlOhneTilgung,19)=1,AND(INDEX(DarlTilgStart,19)&gt;0,$E8658&lt;INDEX(DarlTilgStart,19))),0,MIN(MAX(0,$K8658-$L8658),$J8658)))</f>
      </c>
      <c r="N8658" s="43">
        <f>IF($I8658=0,0,MIN(SUMIFS(SondBetrag,SondDarl,19,SondDatum,"&gt;="&amp;$E8658,SondDatum,"&lt;="&amp;EOMONTH($E8658,0)),$J8658-$M8658))</f>
      </c>
      <c r="O8658" s="43">
        <f>IF($I8658=0,0,INDEX(DarlErsatzRate,19))</f>
      </c>
      <c r="P8658" s="43">
        <f>IF($I8658=0,0,$Q8657*INDEX(DarlErsatzZins,19))</f>
      </c>
      <c r="Q8658" s="43">
        <f>IF($I8658=0,0,$Q8657+$P8658+$O8658)</f>
      </c>
      <c r="R8658" s="43">
        <f>IF($I8658=0,0,$J8658-$M8658-$N8658)</f>
      </c>
    </row>
    <row r="8659">
      <c r="A8659"/>
      <c r="B8659">
        <v>19</v>
      </c>
      <c r="C8659" s="43">
        <f>INDEX(DarlObj,19)</f>
      </c>
      <c r="D8659">
        <v>16</v>
      </c>
      <c r="E8659" s="51">
        <f>IF(INDEX(DarlBelegt,19)=0,0,EOMONTH(INDEX(DarlAuszahlung,19),15)+1)</f>
      </c>
      <c r="F8659" s="43">
        <f>IF($E8659=0,0,YEAR($E8659))</f>
      </c>
      <c r="G8659" s="43">
        <f>IF(INDEX(DarlBindung,19)="",1,IF($E8659&lt;=INDEX(DarlBindung,19),1,0))</f>
      </c>
      <c r="H8659" s="43">
        <f>IF($G8659=1,INDEX(DarlSollzins,19),INDEX(DarlAnschluss,19))</f>
      </c>
      <c r="I8659" s="43">
        <f>IF(INDEX(DarlBelegt,19)=0,0,IF(INDEX(DarlOhneTilgung,19)=1,IF(INDEX(DarlBindung,19)="",1,$G8659),IF($J8659&gt;0.005,1,0)))</f>
      </c>
      <c r="J8659" s="43">
        <f>IF($I8658=0,0,$R8658)</f>
      </c>
      <c r="K8659" s="43">
        <f>IF($I8659=0,0,IF(INDEX(DarlOhneTilgung,19)=1,0,IF(AND(INDEX(DarlTilgStart,19)&gt;0,$E8659=INDEX(DarlTilgStart,19)),$J8659*($H8659+INDEX(DarlTilgung,19))/100/12,IF(AND($G8659=0,$G8658=1),MAX($K8658,$J8659*($H8659+1)/100/12),$K8658))))</f>
      </c>
      <c r="L8659" s="43">
        <f>IF($I8659=0,0,$J8659*$H8659/100/12)</f>
      </c>
      <c r="M8659" s="43">
        <f>IF($I8659=0,0,IF(OR(INDEX(DarlOhneTilgung,19)=1,AND(INDEX(DarlTilgStart,19)&gt;0,$E8659&lt;INDEX(DarlTilgStart,19))),0,MIN(MAX(0,$K8659-$L8659),$J8659)))</f>
      </c>
      <c r="N8659" s="43">
        <f>IF($I8659=0,0,MIN(SUMIFS(SondBetrag,SondDarl,19,SondDatum,"&gt;="&amp;$E8659,SondDatum,"&lt;="&amp;EOMONTH($E8659,0)),$J8659-$M8659))</f>
      </c>
      <c r="O8659" s="43">
        <f>IF($I8659=0,0,INDEX(DarlErsatzRate,19))</f>
      </c>
      <c r="P8659" s="43">
        <f>IF($I8659=0,0,$Q8658*INDEX(DarlErsatzZins,19))</f>
      </c>
      <c r="Q8659" s="43">
        <f>IF($I8659=0,0,$Q8658+$P8659+$O8659)</f>
      </c>
      <c r="R8659" s="43">
        <f>IF($I8659=0,0,$J8659-$M8659-$N8659)</f>
      </c>
    </row>
    <row r="8660">
      <c r="A8660"/>
      <c r="B8660">
        <v>19</v>
      </c>
      <c r="C8660" s="43">
        <f>INDEX(DarlObj,19)</f>
      </c>
      <c r="D8660">
        <v>17</v>
      </c>
      <c r="E8660" s="51">
        <f>IF(INDEX(DarlBelegt,19)=0,0,EOMONTH(INDEX(DarlAuszahlung,19),16)+1)</f>
      </c>
      <c r="F8660" s="43">
        <f>IF($E8660=0,0,YEAR($E8660))</f>
      </c>
      <c r="G8660" s="43">
        <f>IF(INDEX(DarlBindung,19)="",1,IF($E8660&lt;=INDEX(DarlBindung,19),1,0))</f>
      </c>
      <c r="H8660" s="43">
        <f>IF($G8660=1,INDEX(DarlSollzins,19),INDEX(DarlAnschluss,19))</f>
      </c>
      <c r="I8660" s="43">
        <f>IF(INDEX(DarlBelegt,19)=0,0,IF(INDEX(DarlOhneTilgung,19)=1,IF(INDEX(DarlBindung,19)="",1,$G8660),IF($J8660&gt;0.005,1,0)))</f>
      </c>
      <c r="J8660" s="43">
        <f>IF($I8659=0,0,$R8659)</f>
      </c>
      <c r="K8660" s="43">
        <f>IF($I8660=0,0,IF(INDEX(DarlOhneTilgung,19)=1,0,IF(AND(INDEX(DarlTilgStart,19)&gt;0,$E8660=INDEX(DarlTilgStart,19)),$J8660*($H8660+INDEX(DarlTilgung,19))/100/12,IF(AND($G8660=0,$G8659=1),MAX($K8659,$J8660*($H8660+1)/100/12),$K8659))))</f>
      </c>
      <c r="L8660" s="43">
        <f>IF($I8660=0,0,$J8660*$H8660/100/12)</f>
      </c>
      <c r="M8660" s="43">
        <f>IF($I8660=0,0,IF(OR(INDEX(DarlOhneTilgung,19)=1,AND(INDEX(DarlTilgStart,19)&gt;0,$E8660&lt;INDEX(DarlTilgStart,19))),0,MIN(MAX(0,$K8660-$L8660),$J8660)))</f>
      </c>
      <c r="N8660" s="43">
        <f>IF($I8660=0,0,MIN(SUMIFS(SondBetrag,SondDarl,19,SondDatum,"&gt;="&amp;$E8660,SondDatum,"&lt;="&amp;EOMONTH($E8660,0)),$J8660-$M8660))</f>
      </c>
      <c r="O8660" s="43">
        <f>IF($I8660=0,0,INDEX(DarlErsatzRate,19))</f>
      </c>
      <c r="P8660" s="43">
        <f>IF($I8660=0,0,$Q8659*INDEX(DarlErsatzZins,19))</f>
      </c>
      <c r="Q8660" s="43">
        <f>IF($I8660=0,0,$Q8659+$P8660+$O8660)</f>
      </c>
      <c r="R8660" s="43">
        <f>IF($I8660=0,0,$J8660-$M8660-$N8660)</f>
      </c>
    </row>
    <row r="8661">
      <c r="A8661"/>
      <c r="B8661">
        <v>19</v>
      </c>
      <c r="C8661" s="43">
        <f>INDEX(DarlObj,19)</f>
      </c>
      <c r="D8661">
        <v>18</v>
      </c>
      <c r="E8661" s="51">
        <f>IF(INDEX(DarlBelegt,19)=0,0,EOMONTH(INDEX(DarlAuszahlung,19),17)+1)</f>
      </c>
      <c r="F8661" s="43">
        <f>IF($E8661=0,0,YEAR($E8661))</f>
      </c>
      <c r="G8661" s="43">
        <f>IF(INDEX(DarlBindung,19)="",1,IF($E8661&lt;=INDEX(DarlBindung,19),1,0))</f>
      </c>
      <c r="H8661" s="43">
        <f>IF($G8661=1,INDEX(DarlSollzins,19),INDEX(DarlAnschluss,19))</f>
      </c>
      <c r="I8661" s="43">
        <f>IF(INDEX(DarlBelegt,19)=0,0,IF(INDEX(DarlOhneTilgung,19)=1,IF(INDEX(DarlBindung,19)="",1,$G8661),IF($J8661&gt;0.005,1,0)))</f>
      </c>
      <c r="J8661" s="43">
        <f>IF($I8660=0,0,$R8660)</f>
      </c>
      <c r="K8661" s="43">
        <f>IF($I8661=0,0,IF(INDEX(DarlOhneTilgung,19)=1,0,IF(AND(INDEX(DarlTilgStart,19)&gt;0,$E8661=INDEX(DarlTilgStart,19)),$J8661*($H8661+INDEX(DarlTilgung,19))/100/12,IF(AND($G8661=0,$G8660=1),MAX($K8660,$J8661*($H8661+1)/100/12),$K8660))))</f>
      </c>
      <c r="L8661" s="43">
        <f>IF($I8661=0,0,$J8661*$H8661/100/12)</f>
      </c>
      <c r="M8661" s="43">
        <f>IF($I8661=0,0,IF(OR(INDEX(DarlOhneTilgung,19)=1,AND(INDEX(DarlTilgStart,19)&gt;0,$E8661&lt;INDEX(DarlTilgStart,19))),0,MIN(MAX(0,$K8661-$L8661),$J8661)))</f>
      </c>
      <c r="N8661" s="43">
        <f>IF($I8661=0,0,MIN(SUMIFS(SondBetrag,SondDarl,19,SondDatum,"&gt;="&amp;$E8661,SondDatum,"&lt;="&amp;EOMONTH($E8661,0)),$J8661-$M8661))</f>
      </c>
      <c r="O8661" s="43">
        <f>IF($I8661=0,0,INDEX(DarlErsatzRate,19))</f>
      </c>
      <c r="P8661" s="43">
        <f>IF($I8661=0,0,$Q8660*INDEX(DarlErsatzZins,19))</f>
      </c>
      <c r="Q8661" s="43">
        <f>IF($I8661=0,0,$Q8660+$P8661+$O8661)</f>
      </c>
      <c r="R8661" s="43">
        <f>IF($I8661=0,0,$J8661-$M8661-$N8661)</f>
      </c>
    </row>
    <row r="8662">
      <c r="A8662"/>
      <c r="B8662">
        <v>19</v>
      </c>
      <c r="C8662" s="43">
        <f>INDEX(DarlObj,19)</f>
      </c>
      <c r="D8662">
        <v>19</v>
      </c>
      <c r="E8662" s="51">
        <f>IF(INDEX(DarlBelegt,19)=0,0,EOMONTH(INDEX(DarlAuszahlung,19),18)+1)</f>
      </c>
      <c r="F8662" s="43">
        <f>IF($E8662=0,0,YEAR($E8662))</f>
      </c>
      <c r="G8662" s="43">
        <f>IF(INDEX(DarlBindung,19)="",1,IF($E8662&lt;=INDEX(DarlBindung,19),1,0))</f>
      </c>
      <c r="H8662" s="43">
        <f>IF($G8662=1,INDEX(DarlSollzins,19),INDEX(DarlAnschluss,19))</f>
      </c>
      <c r="I8662" s="43">
        <f>IF(INDEX(DarlBelegt,19)=0,0,IF(INDEX(DarlOhneTilgung,19)=1,IF(INDEX(DarlBindung,19)="",1,$G8662),IF($J8662&gt;0.005,1,0)))</f>
      </c>
      <c r="J8662" s="43">
        <f>IF($I8661=0,0,$R8661)</f>
      </c>
      <c r="K8662" s="43">
        <f>IF($I8662=0,0,IF(INDEX(DarlOhneTilgung,19)=1,0,IF(AND(INDEX(DarlTilgStart,19)&gt;0,$E8662=INDEX(DarlTilgStart,19)),$J8662*($H8662+INDEX(DarlTilgung,19))/100/12,IF(AND($G8662=0,$G8661=1),MAX($K8661,$J8662*($H8662+1)/100/12),$K8661))))</f>
      </c>
      <c r="L8662" s="43">
        <f>IF($I8662=0,0,$J8662*$H8662/100/12)</f>
      </c>
      <c r="M8662" s="43">
        <f>IF($I8662=0,0,IF(OR(INDEX(DarlOhneTilgung,19)=1,AND(INDEX(DarlTilgStart,19)&gt;0,$E8662&lt;INDEX(DarlTilgStart,19))),0,MIN(MAX(0,$K8662-$L8662),$J8662)))</f>
      </c>
      <c r="N8662" s="43">
        <f>IF($I8662=0,0,MIN(SUMIFS(SondBetrag,SondDarl,19,SondDatum,"&gt;="&amp;$E8662,SondDatum,"&lt;="&amp;EOMONTH($E8662,0)),$J8662-$M8662))</f>
      </c>
      <c r="O8662" s="43">
        <f>IF($I8662=0,0,INDEX(DarlErsatzRate,19))</f>
      </c>
      <c r="P8662" s="43">
        <f>IF($I8662=0,0,$Q8661*INDEX(DarlErsatzZins,19))</f>
      </c>
      <c r="Q8662" s="43">
        <f>IF($I8662=0,0,$Q8661+$P8662+$O8662)</f>
      </c>
      <c r="R8662" s="43">
        <f>IF($I8662=0,0,$J8662-$M8662-$N8662)</f>
      </c>
    </row>
    <row r="8663">
      <c r="A8663"/>
      <c r="B8663">
        <v>19</v>
      </c>
      <c r="C8663" s="43">
        <f>INDEX(DarlObj,19)</f>
      </c>
      <c r="D8663">
        <v>20</v>
      </c>
      <c r="E8663" s="51">
        <f>IF(INDEX(DarlBelegt,19)=0,0,EOMONTH(INDEX(DarlAuszahlung,19),19)+1)</f>
      </c>
      <c r="F8663" s="43">
        <f>IF($E8663=0,0,YEAR($E8663))</f>
      </c>
      <c r="G8663" s="43">
        <f>IF(INDEX(DarlBindung,19)="",1,IF($E8663&lt;=INDEX(DarlBindung,19),1,0))</f>
      </c>
      <c r="H8663" s="43">
        <f>IF($G8663=1,INDEX(DarlSollzins,19),INDEX(DarlAnschluss,19))</f>
      </c>
      <c r="I8663" s="43">
        <f>IF(INDEX(DarlBelegt,19)=0,0,IF(INDEX(DarlOhneTilgung,19)=1,IF(INDEX(DarlBindung,19)="",1,$G8663),IF($J8663&gt;0.005,1,0)))</f>
      </c>
      <c r="J8663" s="43">
        <f>IF($I8662=0,0,$R8662)</f>
      </c>
      <c r="K8663" s="43">
        <f>IF($I8663=0,0,IF(INDEX(DarlOhneTilgung,19)=1,0,IF(AND(INDEX(DarlTilgStart,19)&gt;0,$E8663=INDEX(DarlTilgStart,19)),$J8663*($H8663+INDEX(DarlTilgung,19))/100/12,IF(AND($G8663=0,$G8662=1),MAX($K8662,$J8663*($H8663+1)/100/12),$K8662))))</f>
      </c>
      <c r="L8663" s="43">
        <f>IF($I8663=0,0,$J8663*$H8663/100/12)</f>
      </c>
      <c r="M8663" s="43">
        <f>IF($I8663=0,0,IF(OR(INDEX(DarlOhneTilgung,19)=1,AND(INDEX(DarlTilgStart,19)&gt;0,$E8663&lt;INDEX(DarlTilgStart,19))),0,MIN(MAX(0,$K8663-$L8663),$J8663)))</f>
      </c>
      <c r="N8663" s="43">
        <f>IF($I8663=0,0,MIN(SUMIFS(SondBetrag,SondDarl,19,SondDatum,"&gt;="&amp;$E8663,SondDatum,"&lt;="&amp;EOMONTH($E8663,0)),$J8663-$M8663))</f>
      </c>
      <c r="O8663" s="43">
        <f>IF($I8663=0,0,INDEX(DarlErsatzRate,19))</f>
      </c>
      <c r="P8663" s="43">
        <f>IF($I8663=0,0,$Q8662*INDEX(DarlErsatzZins,19))</f>
      </c>
      <c r="Q8663" s="43">
        <f>IF($I8663=0,0,$Q8662+$P8663+$O8663)</f>
      </c>
      <c r="R8663" s="43">
        <f>IF($I8663=0,0,$J8663-$M8663-$N8663)</f>
      </c>
    </row>
    <row r="8664">
      <c r="A8664"/>
      <c r="B8664">
        <v>19</v>
      </c>
      <c r="C8664" s="43">
        <f>INDEX(DarlObj,19)</f>
      </c>
      <c r="D8664">
        <v>21</v>
      </c>
      <c r="E8664" s="51">
        <f>IF(INDEX(DarlBelegt,19)=0,0,EOMONTH(INDEX(DarlAuszahlung,19),20)+1)</f>
      </c>
      <c r="F8664" s="43">
        <f>IF($E8664=0,0,YEAR($E8664))</f>
      </c>
      <c r="G8664" s="43">
        <f>IF(INDEX(DarlBindung,19)="",1,IF($E8664&lt;=INDEX(DarlBindung,19),1,0))</f>
      </c>
      <c r="H8664" s="43">
        <f>IF($G8664=1,INDEX(DarlSollzins,19),INDEX(DarlAnschluss,19))</f>
      </c>
      <c r="I8664" s="43">
        <f>IF(INDEX(DarlBelegt,19)=0,0,IF(INDEX(DarlOhneTilgung,19)=1,IF(INDEX(DarlBindung,19)="",1,$G8664),IF($J8664&gt;0.005,1,0)))</f>
      </c>
      <c r="J8664" s="43">
        <f>IF($I8663=0,0,$R8663)</f>
      </c>
      <c r="K8664" s="43">
        <f>IF($I8664=0,0,IF(INDEX(DarlOhneTilgung,19)=1,0,IF(AND(INDEX(DarlTilgStart,19)&gt;0,$E8664=INDEX(DarlTilgStart,19)),$J8664*($H8664+INDEX(DarlTilgung,19))/100/12,IF(AND($G8664=0,$G8663=1),MAX($K8663,$J8664*($H8664+1)/100/12),$K8663))))</f>
      </c>
      <c r="L8664" s="43">
        <f>IF($I8664=0,0,$J8664*$H8664/100/12)</f>
      </c>
      <c r="M8664" s="43">
        <f>IF($I8664=0,0,IF(OR(INDEX(DarlOhneTilgung,19)=1,AND(INDEX(DarlTilgStart,19)&gt;0,$E8664&lt;INDEX(DarlTilgStart,19))),0,MIN(MAX(0,$K8664-$L8664),$J8664)))</f>
      </c>
      <c r="N8664" s="43">
        <f>IF($I8664=0,0,MIN(SUMIFS(SondBetrag,SondDarl,19,SondDatum,"&gt;="&amp;$E8664,SondDatum,"&lt;="&amp;EOMONTH($E8664,0)),$J8664-$M8664))</f>
      </c>
      <c r="O8664" s="43">
        <f>IF($I8664=0,0,INDEX(DarlErsatzRate,19))</f>
      </c>
      <c r="P8664" s="43">
        <f>IF($I8664=0,0,$Q8663*INDEX(DarlErsatzZins,19))</f>
      </c>
      <c r="Q8664" s="43">
        <f>IF($I8664=0,0,$Q8663+$P8664+$O8664)</f>
      </c>
      <c r="R8664" s="43">
        <f>IF($I8664=0,0,$J8664-$M8664-$N8664)</f>
      </c>
    </row>
    <row r="8665">
      <c r="A8665"/>
      <c r="B8665">
        <v>19</v>
      </c>
      <c r="C8665" s="43">
        <f>INDEX(DarlObj,19)</f>
      </c>
      <c r="D8665">
        <v>22</v>
      </c>
      <c r="E8665" s="51">
        <f>IF(INDEX(DarlBelegt,19)=0,0,EOMONTH(INDEX(DarlAuszahlung,19),21)+1)</f>
      </c>
      <c r="F8665" s="43">
        <f>IF($E8665=0,0,YEAR($E8665))</f>
      </c>
      <c r="G8665" s="43">
        <f>IF(INDEX(DarlBindung,19)="",1,IF($E8665&lt;=INDEX(DarlBindung,19),1,0))</f>
      </c>
      <c r="H8665" s="43">
        <f>IF($G8665=1,INDEX(DarlSollzins,19),INDEX(DarlAnschluss,19))</f>
      </c>
      <c r="I8665" s="43">
        <f>IF(INDEX(DarlBelegt,19)=0,0,IF(INDEX(DarlOhneTilgung,19)=1,IF(INDEX(DarlBindung,19)="",1,$G8665),IF($J8665&gt;0.005,1,0)))</f>
      </c>
      <c r="J8665" s="43">
        <f>IF($I8664=0,0,$R8664)</f>
      </c>
      <c r="K8665" s="43">
        <f>IF($I8665=0,0,IF(INDEX(DarlOhneTilgung,19)=1,0,IF(AND(INDEX(DarlTilgStart,19)&gt;0,$E8665=INDEX(DarlTilgStart,19)),$J8665*($H8665+INDEX(DarlTilgung,19))/100/12,IF(AND($G8665=0,$G8664=1),MAX($K8664,$J8665*($H8665+1)/100/12),$K8664))))</f>
      </c>
      <c r="L8665" s="43">
        <f>IF($I8665=0,0,$J8665*$H8665/100/12)</f>
      </c>
      <c r="M8665" s="43">
        <f>IF($I8665=0,0,IF(OR(INDEX(DarlOhneTilgung,19)=1,AND(INDEX(DarlTilgStart,19)&gt;0,$E8665&lt;INDEX(DarlTilgStart,19))),0,MIN(MAX(0,$K8665-$L8665),$J8665)))</f>
      </c>
      <c r="N8665" s="43">
        <f>IF($I8665=0,0,MIN(SUMIFS(SondBetrag,SondDarl,19,SondDatum,"&gt;="&amp;$E8665,SondDatum,"&lt;="&amp;EOMONTH($E8665,0)),$J8665-$M8665))</f>
      </c>
      <c r="O8665" s="43">
        <f>IF($I8665=0,0,INDEX(DarlErsatzRate,19))</f>
      </c>
      <c r="P8665" s="43">
        <f>IF($I8665=0,0,$Q8664*INDEX(DarlErsatzZins,19))</f>
      </c>
      <c r="Q8665" s="43">
        <f>IF($I8665=0,0,$Q8664+$P8665+$O8665)</f>
      </c>
      <c r="R8665" s="43">
        <f>IF($I8665=0,0,$J8665-$M8665-$N8665)</f>
      </c>
    </row>
    <row r="8666">
      <c r="A8666"/>
      <c r="B8666">
        <v>19</v>
      </c>
      <c r="C8666" s="43">
        <f>INDEX(DarlObj,19)</f>
      </c>
      <c r="D8666">
        <v>23</v>
      </c>
      <c r="E8666" s="51">
        <f>IF(INDEX(DarlBelegt,19)=0,0,EOMONTH(INDEX(DarlAuszahlung,19),22)+1)</f>
      </c>
      <c r="F8666" s="43">
        <f>IF($E8666=0,0,YEAR($E8666))</f>
      </c>
      <c r="G8666" s="43">
        <f>IF(INDEX(DarlBindung,19)="",1,IF($E8666&lt;=INDEX(DarlBindung,19),1,0))</f>
      </c>
      <c r="H8666" s="43">
        <f>IF($G8666=1,INDEX(DarlSollzins,19),INDEX(DarlAnschluss,19))</f>
      </c>
      <c r="I8666" s="43">
        <f>IF(INDEX(DarlBelegt,19)=0,0,IF(INDEX(DarlOhneTilgung,19)=1,IF(INDEX(DarlBindung,19)="",1,$G8666),IF($J8666&gt;0.005,1,0)))</f>
      </c>
      <c r="J8666" s="43">
        <f>IF($I8665=0,0,$R8665)</f>
      </c>
      <c r="K8666" s="43">
        <f>IF($I8666=0,0,IF(INDEX(DarlOhneTilgung,19)=1,0,IF(AND(INDEX(DarlTilgStart,19)&gt;0,$E8666=INDEX(DarlTilgStart,19)),$J8666*($H8666+INDEX(DarlTilgung,19))/100/12,IF(AND($G8666=0,$G8665=1),MAX($K8665,$J8666*($H8666+1)/100/12),$K8665))))</f>
      </c>
      <c r="L8666" s="43">
        <f>IF($I8666=0,0,$J8666*$H8666/100/12)</f>
      </c>
      <c r="M8666" s="43">
        <f>IF($I8666=0,0,IF(OR(INDEX(DarlOhneTilgung,19)=1,AND(INDEX(DarlTilgStart,19)&gt;0,$E8666&lt;INDEX(DarlTilgStart,19))),0,MIN(MAX(0,$K8666-$L8666),$J8666)))</f>
      </c>
      <c r="N8666" s="43">
        <f>IF($I8666=0,0,MIN(SUMIFS(SondBetrag,SondDarl,19,SondDatum,"&gt;="&amp;$E8666,SondDatum,"&lt;="&amp;EOMONTH($E8666,0)),$J8666-$M8666))</f>
      </c>
      <c r="O8666" s="43">
        <f>IF($I8666=0,0,INDEX(DarlErsatzRate,19))</f>
      </c>
      <c r="P8666" s="43">
        <f>IF($I8666=0,0,$Q8665*INDEX(DarlErsatzZins,19))</f>
      </c>
      <c r="Q8666" s="43">
        <f>IF($I8666=0,0,$Q8665+$P8666+$O8666)</f>
      </c>
      <c r="R8666" s="43">
        <f>IF($I8666=0,0,$J8666-$M8666-$N8666)</f>
      </c>
    </row>
    <row r="8667">
      <c r="A8667"/>
      <c r="B8667">
        <v>19</v>
      </c>
      <c r="C8667" s="43">
        <f>INDEX(DarlObj,19)</f>
      </c>
      <c r="D8667">
        <v>24</v>
      </c>
      <c r="E8667" s="51">
        <f>IF(INDEX(DarlBelegt,19)=0,0,EOMONTH(INDEX(DarlAuszahlung,19),23)+1)</f>
      </c>
      <c r="F8667" s="43">
        <f>IF($E8667=0,0,YEAR($E8667))</f>
      </c>
      <c r="G8667" s="43">
        <f>IF(INDEX(DarlBindung,19)="",1,IF($E8667&lt;=INDEX(DarlBindung,19),1,0))</f>
      </c>
      <c r="H8667" s="43">
        <f>IF($G8667=1,INDEX(DarlSollzins,19),INDEX(DarlAnschluss,19))</f>
      </c>
      <c r="I8667" s="43">
        <f>IF(INDEX(DarlBelegt,19)=0,0,IF(INDEX(DarlOhneTilgung,19)=1,IF(INDEX(DarlBindung,19)="",1,$G8667),IF($J8667&gt;0.005,1,0)))</f>
      </c>
      <c r="J8667" s="43">
        <f>IF($I8666=0,0,$R8666)</f>
      </c>
      <c r="K8667" s="43">
        <f>IF($I8667=0,0,IF(INDEX(DarlOhneTilgung,19)=1,0,IF(AND(INDEX(DarlTilgStart,19)&gt;0,$E8667=INDEX(DarlTilgStart,19)),$J8667*($H8667+INDEX(DarlTilgung,19))/100/12,IF(AND($G8667=0,$G8666=1),MAX($K8666,$J8667*($H8667+1)/100/12),$K8666))))</f>
      </c>
      <c r="L8667" s="43">
        <f>IF($I8667=0,0,$J8667*$H8667/100/12)</f>
      </c>
      <c r="M8667" s="43">
        <f>IF($I8667=0,0,IF(OR(INDEX(DarlOhneTilgung,19)=1,AND(INDEX(DarlTilgStart,19)&gt;0,$E8667&lt;INDEX(DarlTilgStart,19))),0,MIN(MAX(0,$K8667-$L8667),$J8667)))</f>
      </c>
      <c r="N8667" s="43">
        <f>IF($I8667=0,0,MIN(SUMIFS(SondBetrag,SondDarl,19,SondDatum,"&gt;="&amp;$E8667,SondDatum,"&lt;="&amp;EOMONTH($E8667,0)),$J8667-$M8667))</f>
      </c>
      <c r="O8667" s="43">
        <f>IF($I8667=0,0,INDEX(DarlErsatzRate,19))</f>
      </c>
      <c r="P8667" s="43">
        <f>IF($I8667=0,0,$Q8666*INDEX(DarlErsatzZins,19))</f>
      </c>
      <c r="Q8667" s="43">
        <f>IF($I8667=0,0,$Q8666+$P8667+$O8667)</f>
      </c>
      <c r="R8667" s="43">
        <f>IF($I8667=0,0,$J8667-$M8667-$N8667)</f>
      </c>
    </row>
    <row r="8668">
      <c r="A8668"/>
      <c r="B8668">
        <v>19</v>
      </c>
      <c r="C8668" s="43">
        <f>INDEX(DarlObj,19)</f>
      </c>
      <c r="D8668">
        <v>25</v>
      </c>
      <c r="E8668" s="51">
        <f>IF(INDEX(DarlBelegt,19)=0,0,EOMONTH(INDEX(DarlAuszahlung,19),24)+1)</f>
      </c>
      <c r="F8668" s="43">
        <f>IF($E8668=0,0,YEAR($E8668))</f>
      </c>
      <c r="G8668" s="43">
        <f>IF(INDEX(DarlBindung,19)="",1,IF($E8668&lt;=INDEX(DarlBindung,19),1,0))</f>
      </c>
      <c r="H8668" s="43">
        <f>IF($G8668=1,INDEX(DarlSollzins,19),INDEX(DarlAnschluss,19))</f>
      </c>
      <c r="I8668" s="43">
        <f>IF(INDEX(DarlBelegt,19)=0,0,IF(INDEX(DarlOhneTilgung,19)=1,IF(INDEX(DarlBindung,19)="",1,$G8668),IF($J8668&gt;0.005,1,0)))</f>
      </c>
      <c r="J8668" s="43">
        <f>IF($I8667=0,0,$R8667)</f>
      </c>
      <c r="K8668" s="43">
        <f>IF($I8668=0,0,IF(INDEX(DarlOhneTilgung,19)=1,0,IF(AND(INDEX(DarlTilgStart,19)&gt;0,$E8668=INDEX(DarlTilgStart,19)),$J8668*($H8668+INDEX(DarlTilgung,19))/100/12,IF(AND($G8668=0,$G8667=1),MAX($K8667,$J8668*($H8668+1)/100/12),$K8667))))</f>
      </c>
      <c r="L8668" s="43">
        <f>IF($I8668=0,0,$J8668*$H8668/100/12)</f>
      </c>
      <c r="M8668" s="43">
        <f>IF($I8668=0,0,IF(OR(INDEX(DarlOhneTilgung,19)=1,AND(INDEX(DarlTilgStart,19)&gt;0,$E8668&lt;INDEX(DarlTilgStart,19))),0,MIN(MAX(0,$K8668-$L8668),$J8668)))</f>
      </c>
      <c r="N8668" s="43">
        <f>IF($I8668=0,0,MIN(SUMIFS(SondBetrag,SondDarl,19,SondDatum,"&gt;="&amp;$E8668,SondDatum,"&lt;="&amp;EOMONTH($E8668,0)),$J8668-$M8668))</f>
      </c>
      <c r="O8668" s="43">
        <f>IF($I8668=0,0,INDEX(DarlErsatzRate,19))</f>
      </c>
      <c r="P8668" s="43">
        <f>IF($I8668=0,0,$Q8667*INDEX(DarlErsatzZins,19))</f>
      </c>
      <c r="Q8668" s="43">
        <f>IF($I8668=0,0,$Q8667+$P8668+$O8668)</f>
      </c>
      <c r="R8668" s="43">
        <f>IF($I8668=0,0,$J8668-$M8668-$N8668)</f>
      </c>
    </row>
    <row r="8669">
      <c r="A8669"/>
      <c r="B8669">
        <v>19</v>
      </c>
      <c r="C8669" s="43">
        <f>INDEX(DarlObj,19)</f>
      </c>
      <c r="D8669">
        <v>26</v>
      </c>
      <c r="E8669" s="51">
        <f>IF(INDEX(DarlBelegt,19)=0,0,EOMONTH(INDEX(DarlAuszahlung,19),25)+1)</f>
      </c>
      <c r="F8669" s="43">
        <f>IF($E8669=0,0,YEAR($E8669))</f>
      </c>
      <c r="G8669" s="43">
        <f>IF(INDEX(DarlBindung,19)="",1,IF($E8669&lt;=INDEX(DarlBindung,19),1,0))</f>
      </c>
      <c r="H8669" s="43">
        <f>IF($G8669=1,INDEX(DarlSollzins,19),INDEX(DarlAnschluss,19))</f>
      </c>
      <c r="I8669" s="43">
        <f>IF(INDEX(DarlBelegt,19)=0,0,IF(INDEX(DarlOhneTilgung,19)=1,IF(INDEX(DarlBindung,19)="",1,$G8669),IF($J8669&gt;0.005,1,0)))</f>
      </c>
      <c r="J8669" s="43">
        <f>IF($I8668=0,0,$R8668)</f>
      </c>
      <c r="K8669" s="43">
        <f>IF($I8669=0,0,IF(INDEX(DarlOhneTilgung,19)=1,0,IF(AND(INDEX(DarlTilgStart,19)&gt;0,$E8669=INDEX(DarlTilgStart,19)),$J8669*($H8669+INDEX(DarlTilgung,19))/100/12,IF(AND($G8669=0,$G8668=1),MAX($K8668,$J8669*($H8669+1)/100/12),$K8668))))</f>
      </c>
      <c r="L8669" s="43">
        <f>IF($I8669=0,0,$J8669*$H8669/100/12)</f>
      </c>
      <c r="M8669" s="43">
        <f>IF($I8669=0,0,IF(OR(INDEX(DarlOhneTilgung,19)=1,AND(INDEX(DarlTilgStart,19)&gt;0,$E8669&lt;INDEX(DarlTilgStart,19))),0,MIN(MAX(0,$K8669-$L8669),$J8669)))</f>
      </c>
      <c r="N8669" s="43">
        <f>IF($I8669=0,0,MIN(SUMIFS(SondBetrag,SondDarl,19,SondDatum,"&gt;="&amp;$E8669,SondDatum,"&lt;="&amp;EOMONTH($E8669,0)),$J8669-$M8669))</f>
      </c>
      <c r="O8669" s="43">
        <f>IF($I8669=0,0,INDEX(DarlErsatzRate,19))</f>
      </c>
      <c r="P8669" s="43">
        <f>IF($I8669=0,0,$Q8668*INDEX(DarlErsatzZins,19))</f>
      </c>
      <c r="Q8669" s="43">
        <f>IF($I8669=0,0,$Q8668+$P8669+$O8669)</f>
      </c>
      <c r="R8669" s="43">
        <f>IF($I8669=0,0,$J8669-$M8669-$N8669)</f>
      </c>
    </row>
    <row r="8670">
      <c r="A8670"/>
      <c r="B8670">
        <v>19</v>
      </c>
      <c r="C8670" s="43">
        <f>INDEX(DarlObj,19)</f>
      </c>
      <c r="D8670">
        <v>27</v>
      </c>
      <c r="E8670" s="51">
        <f>IF(INDEX(DarlBelegt,19)=0,0,EOMONTH(INDEX(DarlAuszahlung,19),26)+1)</f>
      </c>
      <c r="F8670" s="43">
        <f>IF($E8670=0,0,YEAR($E8670))</f>
      </c>
      <c r="G8670" s="43">
        <f>IF(INDEX(DarlBindung,19)="",1,IF($E8670&lt;=INDEX(DarlBindung,19),1,0))</f>
      </c>
      <c r="H8670" s="43">
        <f>IF($G8670=1,INDEX(DarlSollzins,19),INDEX(DarlAnschluss,19))</f>
      </c>
      <c r="I8670" s="43">
        <f>IF(INDEX(DarlBelegt,19)=0,0,IF(INDEX(DarlOhneTilgung,19)=1,IF(INDEX(DarlBindung,19)="",1,$G8670),IF($J8670&gt;0.005,1,0)))</f>
      </c>
      <c r="J8670" s="43">
        <f>IF($I8669=0,0,$R8669)</f>
      </c>
      <c r="K8670" s="43">
        <f>IF($I8670=0,0,IF(INDEX(DarlOhneTilgung,19)=1,0,IF(AND(INDEX(DarlTilgStart,19)&gt;0,$E8670=INDEX(DarlTilgStart,19)),$J8670*($H8670+INDEX(DarlTilgung,19))/100/12,IF(AND($G8670=0,$G8669=1),MAX($K8669,$J8670*($H8670+1)/100/12),$K8669))))</f>
      </c>
      <c r="L8670" s="43">
        <f>IF($I8670=0,0,$J8670*$H8670/100/12)</f>
      </c>
      <c r="M8670" s="43">
        <f>IF($I8670=0,0,IF(OR(INDEX(DarlOhneTilgung,19)=1,AND(INDEX(DarlTilgStart,19)&gt;0,$E8670&lt;INDEX(DarlTilgStart,19))),0,MIN(MAX(0,$K8670-$L8670),$J8670)))</f>
      </c>
      <c r="N8670" s="43">
        <f>IF($I8670=0,0,MIN(SUMIFS(SondBetrag,SondDarl,19,SondDatum,"&gt;="&amp;$E8670,SondDatum,"&lt;="&amp;EOMONTH($E8670,0)),$J8670-$M8670))</f>
      </c>
      <c r="O8670" s="43">
        <f>IF($I8670=0,0,INDEX(DarlErsatzRate,19))</f>
      </c>
      <c r="P8670" s="43">
        <f>IF($I8670=0,0,$Q8669*INDEX(DarlErsatzZins,19))</f>
      </c>
      <c r="Q8670" s="43">
        <f>IF($I8670=0,0,$Q8669+$P8670+$O8670)</f>
      </c>
      <c r="R8670" s="43">
        <f>IF($I8670=0,0,$J8670-$M8670-$N8670)</f>
      </c>
    </row>
    <row r="8671">
      <c r="A8671"/>
      <c r="B8671">
        <v>19</v>
      </c>
      <c r="C8671" s="43">
        <f>INDEX(DarlObj,19)</f>
      </c>
      <c r="D8671">
        <v>28</v>
      </c>
      <c r="E8671" s="51">
        <f>IF(INDEX(DarlBelegt,19)=0,0,EOMONTH(INDEX(DarlAuszahlung,19),27)+1)</f>
      </c>
      <c r="F8671" s="43">
        <f>IF($E8671=0,0,YEAR($E8671))</f>
      </c>
      <c r="G8671" s="43">
        <f>IF(INDEX(DarlBindung,19)="",1,IF($E8671&lt;=INDEX(DarlBindung,19),1,0))</f>
      </c>
      <c r="H8671" s="43">
        <f>IF($G8671=1,INDEX(DarlSollzins,19),INDEX(DarlAnschluss,19))</f>
      </c>
      <c r="I8671" s="43">
        <f>IF(INDEX(DarlBelegt,19)=0,0,IF(INDEX(DarlOhneTilgung,19)=1,IF(INDEX(DarlBindung,19)="",1,$G8671),IF($J8671&gt;0.005,1,0)))</f>
      </c>
      <c r="J8671" s="43">
        <f>IF($I8670=0,0,$R8670)</f>
      </c>
      <c r="K8671" s="43">
        <f>IF($I8671=0,0,IF(INDEX(DarlOhneTilgung,19)=1,0,IF(AND(INDEX(DarlTilgStart,19)&gt;0,$E8671=INDEX(DarlTilgStart,19)),$J8671*($H8671+INDEX(DarlTilgung,19))/100/12,IF(AND($G8671=0,$G8670=1),MAX($K8670,$J8671*($H8671+1)/100/12),$K8670))))</f>
      </c>
      <c r="L8671" s="43">
        <f>IF($I8671=0,0,$J8671*$H8671/100/12)</f>
      </c>
      <c r="M8671" s="43">
        <f>IF($I8671=0,0,IF(OR(INDEX(DarlOhneTilgung,19)=1,AND(INDEX(DarlTilgStart,19)&gt;0,$E8671&lt;INDEX(DarlTilgStart,19))),0,MIN(MAX(0,$K8671-$L8671),$J8671)))</f>
      </c>
      <c r="N8671" s="43">
        <f>IF($I8671=0,0,MIN(SUMIFS(SondBetrag,SondDarl,19,SondDatum,"&gt;="&amp;$E8671,SondDatum,"&lt;="&amp;EOMONTH($E8671,0)),$J8671-$M8671))</f>
      </c>
      <c r="O8671" s="43">
        <f>IF($I8671=0,0,INDEX(DarlErsatzRate,19))</f>
      </c>
      <c r="P8671" s="43">
        <f>IF($I8671=0,0,$Q8670*INDEX(DarlErsatzZins,19))</f>
      </c>
      <c r="Q8671" s="43">
        <f>IF($I8671=0,0,$Q8670+$P8671+$O8671)</f>
      </c>
      <c r="R8671" s="43">
        <f>IF($I8671=0,0,$J8671-$M8671-$N8671)</f>
      </c>
    </row>
    <row r="8672">
      <c r="A8672"/>
      <c r="B8672">
        <v>19</v>
      </c>
      <c r="C8672" s="43">
        <f>INDEX(DarlObj,19)</f>
      </c>
      <c r="D8672">
        <v>29</v>
      </c>
      <c r="E8672" s="51">
        <f>IF(INDEX(DarlBelegt,19)=0,0,EOMONTH(INDEX(DarlAuszahlung,19),28)+1)</f>
      </c>
      <c r="F8672" s="43">
        <f>IF($E8672=0,0,YEAR($E8672))</f>
      </c>
      <c r="G8672" s="43">
        <f>IF(INDEX(DarlBindung,19)="",1,IF($E8672&lt;=INDEX(DarlBindung,19),1,0))</f>
      </c>
      <c r="H8672" s="43">
        <f>IF($G8672=1,INDEX(DarlSollzins,19),INDEX(DarlAnschluss,19))</f>
      </c>
      <c r="I8672" s="43">
        <f>IF(INDEX(DarlBelegt,19)=0,0,IF(INDEX(DarlOhneTilgung,19)=1,IF(INDEX(DarlBindung,19)="",1,$G8672),IF($J8672&gt;0.005,1,0)))</f>
      </c>
      <c r="J8672" s="43">
        <f>IF($I8671=0,0,$R8671)</f>
      </c>
      <c r="K8672" s="43">
        <f>IF($I8672=0,0,IF(INDEX(DarlOhneTilgung,19)=1,0,IF(AND(INDEX(DarlTilgStart,19)&gt;0,$E8672=INDEX(DarlTilgStart,19)),$J8672*($H8672+INDEX(DarlTilgung,19))/100/12,IF(AND($G8672=0,$G8671=1),MAX($K8671,$J8672*($H8672+1)/100/12),$K8671))))</f>
      </c>
      <c r="L8672" s="43">
        <f>IF($I8672=0,0,$J8672*$H8672/100/12)</f>
      </c>
      <c r="M8672" s="43">
        <f>IF($I8672=0,0,IF(OR(INDEX(DarlOhneTilgung,19)=1,AND(INDEX(DarlTilgStart,19)&gt;0,$E8672&lt;INDEX(DarlTilgStart,19))),0,MIN(MAX(0,$K8672-$L8672),$J8672)))</f>
      </c>
      <c r="N8672" s="43">
        <f>IF($I8672=0,0,MIN(SUMIFS(SondBetrag,SondDarl,19,SondDatum,"&gt;="&amp;$E8672,SondDatum,"&lt;="&amp;EOMONTH($E8672,0)),$J8672-$M8672))</f>
      </c>
      <c r="O8672" s="43">
        <f>IF($I8672=0,0,INDEX(DarlErsatzRate,19))</f>
      </c>
      <c r="P8672" s="43">
        <f>IF($I8672=0,0,$Q8671*INDEX(DarlErsatzZins,19))</f>
      </c>
      <c r="Q8672" s="43">
        <f>IF($I8672=0,0,$Q8671+$P8672+$O8672)</f>
      </c>
      <c r="R8672" s="43">
        <f>IF($I8672=0,0,$J8672-$M8672-$N8672)</f>
      </c>
    </row>
    <row r="8673">
      <c r="A8673"/>
      <c r="B8673">
        <v>19</v>
      </c>
      <c r="C8673" s="43">
        <f>INDEX(DarlObj,19)</f>
      </c>
      <c r="D8673">
        <v>30</v>
      </c>
      <c r="E8673" s="51">
        <f>IF(INDEX(DarlBelegt,19)=0,0,EOMONTH(INDEX(DarlAuszahlung,19),29)+1)</f>
      </c>
      <c r="F8673" s="43">
        <f>IF($E8673=0,0,YEAR($E8673))</f>
      </c>
      <c r="G8673" s="43">
        <f>IF(INDEX(DarlBindung,19)="",1,IF($E8673&lt;=INDEX(DarlBindung,19),1,0))</f>
      </c>
      <c r="H8673" s="43">
        <f>IF($G8673=1,INDEX(DarlSollzins,19),INDEX(DarlAnschluss,19))</f>
      </c>
      <c r="I8673" s="43">
        <f>IF(INDEX(DarlBelegt,19)=0,0,IF(INDEX(DarlOhneTilgung,19)=1,IF(INDEX(DarlBindung,19)="",1,$G8673),IF($J8673&gt;0.005,1,0)))</f>
      </c>
      <c r="J8673" s="43">
        <f>IF($I8672=0,0,$R8672)</f>
      </c>
      <c r="K8673" s="43">
        <f>IF($I8673=0,0,IF(INDEX(DarlOhneTilgung,19)=1,0,IF(AND(INDEX(DarlTilgStart,19)&gt;0,$E8673=INDEX(DarlTilgStart,19)),$J8673*($H8673+INDEX(DarlTilgung,19))/100/12,IF(AND($G8673=0,$G8672=1),MAX($K8672,$J8673*($H8673+1)/100/12),$K8672))))</f>
      </c>
      <c r="L8673" s="43">
        <f>IF($I8673=0,0,$J8673*$H8673/100/12)</f>
      </c>
      <c r="M8673" s="43">
        <f>IF($I8673=0,0,IF(OR(INDEX(DarlOhneTilgung,19)=1,AND(INDEX(DarlTilgStart,19)&gt;0,$E8673&lt;INDEX(DarlTilgStart,19))),0,MIN(MAX(0,$K8673-$L8673),$J8673)))</f>
      </c>
      <c r="N8673" s="43">
        <f>IF($I8673=0,0,MIN(SUMIFS(SondBetrag,SondDarl,19,SondDatum,"&gt;="&amp;$E8673,SondDatum,"&lt;="&amp;EOMONTH($E8673,0)),$J8673-$M8673))</f>
      </c>
      <c r="O8673" s="43">
        <f>IF($I8673=0,0,INDEX(DarlErsatzRate,19))</f>
      </c>
      <c r="P8673" s="43">
        <f>IF($I8673=0,0,$Q8672*INDEX(DarlErsatzZins,19))</f>
      </c>
      <c r="Q8673" s="43">
        <f>IF($I8673=0,0,$Q8672+$P8673+$O8673)</f>
      </c>
      <c r="R8673" s="43">
        <f>IF($I8673=0,0,$J8673-$M8673-$N8673)</f>
      </c>
    </row>
    <row r="8674">
      <c r="A8674"/>
      <c r="B8674">
        <v>19</v>
      </c>
      <c r="C8674" s="43">
        <f>INDEX(DarlObj,19)</f>
      </c>
      <c r="D8674">
        <v>31</v>
      </c>
      <c r="E8674" s="51">
        <f>IF(INDEX(DarlBelegt,19)=0,0,EOMONTH(INDEX(DarlAuszahlung,19),30)+1)</f>
      </c>
      <c r="F8674" s="43">
        <f>IF($E8674=0,0,YEAR($E8674))</f>
      </c>
      <c r="G8674" s="43">
        <f>IF(INDEX(DarlBindung,19)="",1,IF($E8674&lt;=INDEX(DarlBindung,19),1,0))</f>
      </c>
      <c r="H8674" s="43">
        <f>IF($G8674=1,INDEX(DarlSollzins,19),INDEX(DarlAnschluss,19))</f>
      </c>
      <c r="I8674" s="43">
        <f>IF(INDEX(DarlBelegt,19)=0,0,IF(INDEX(DarlOhneTilgung,19)=1,IF(INDEX(DarlBindung,19)="",1,$G8674),IF($J8674&gt;0.005,1,0)))</f>
      </c>
      <c r="J8674" s="43">
        <f>IF($I8673=0,0,$R8673)</f>
      </c>
      <c r="K8674" s="43">
        <f>IF($I8674=0,0,IF(INDEX(DarlOhneTilgung,19)=1,0,IF(AND(INDEX(DarlTilgStart,19)&gt;0,$E8674=INDEX(DarlTilgStart,19)),$J8674*($H8674+INDEX(DarlTilgung,19))/100/12,IF(AND($G8674=0,$G8673=1),MAX($K8673,$J8674*($H8674+1)/100/12),$K8673))))</f>
      </c>
      <c r="L8674" s="43">
        <f>IF($I8674=0,0,$J8674*$H8674/100/12)</f>
      </c>
      <c r="M8674" s="43">
        <f>IF($I8674=0,0,IF(OR(INDEX(DarlOhneTilgung,19)=1,AND(INDEX(DarlTilgStart,19)&gt;0,$E8674&lt;INDEX(DarlTilgStart,19))),0,MIN(MAX(0,$K8674-$L8674),$J8674)))</f>
      </c>
      <c r="N8674" s="43">
        <f>IF($I8674=0,0,MIN(SUMIFS(SondBetrag,SondDarl,19,SondDatum,"&gt;="&amp;$E8674,SondDatum,"&lt;="&amp;EOMONTH($E8674,0)),$J8674-$M8674))</f>
      </c>
      <c r="O8674" s="43">
        <f>IF($I8674=0,0,INDEX(DarlErsatzRate,19))</f>
      </c>
      <c r="P8674" s="43">
        <f>IF($I8674=0,0,$Q8673*INDEX(DarlErsatzZins,19))</f>
      </c>
      <c r="Q8674" s="43">
        <f>IF($I8674=0,0,$Q8673+$P8674+$O8674)</f>
      </c>
      <c r="R8674" s="43">
        <f>IF($I8674=0,0,$J8674-$M8674-$N8674)</f>
      </c>
    </row>
    <row r="8675">
      <c r="A8675"/>
      <c r="B8675">
        <v>19</v>
      </c>
      <c r="C8675" s="43">
        <f>INDEX(DarlObj,19)</f>
      </c>
      <c r="D8675">
        <v>32</v>
      </c>
      <c r="E8675" s="51">
        <f>IF(INDEX(DarlBelegt,19)=0,0,EOMONTH(INDEX(DarlAuszahlung,19),31)+1)</f>
      </c>
      <c r="F8675" s="43">
        <f>IF($E8675=0,0,YEAR($E8675))</f>
      </c>
      <c r="G8675" s="43">
        <f>IF(INDEX(DarlBindung,19)="",1,IF($E8675&lt;=INDEX(DarlBindung,19),1,0))</f>
      </c>
      <c r="H8675" s="43">
        <f>IF($G8675=1,INDEX(DarlSollzins,19),INDEX(DarlAnschluss,19))</f>
      </c>
      <c r="I8675" s="43">
        <f>IF(INDEX(DarlBelegt,19)=0,0,IF(INDEX(DarlOhneTilgung,19)=1,IF(INDEX(DarlBindung,19)="",1,$G8675),IF($J8675&gt;0.005,1,0)))</f>
      </c>
      <c r="J8675" s="43">
        <f>IF($I8674=0,0,$R8674)</f>
      </c>
      <c r="K8675" s="43">
        <f>IF($I8675=0,0,IF(INDEX(DarlOhneTilgung,19)=1,0,IF(AND(INDEX(DarlTilgStart,19)&gt;0,$E8675=INDEX(DarlTilgStart,19)),$J8675*($H8675+INDEX(DarlTilgung,19))/100/12,IF(AND($G8675=0,$G8674=1),MAX($K8674,$J8675*($H8675+1)/100/12),$K8674))))</f>
      </c>
      <c r="L8675" s="43">
        <f>IF($I8675=0,0,$J8675*$H8675/100/12)</f>
      </c>
      <c r="M8675" s="43">
        <f>IF($I8675=0,0,IF(OR(INDEX(DarlOhneTilgung,19)=1,AND(INDEX(DarlTilgStart,19)&gt;0,$E8675&lt;INDEX(DarlTilgStart,19))),0,MIN(MAX(0,$K8675-$L8675),$J8675)))</f>
      </c>
      <c r="N8675" s="43">
        <f>IF($I8675=0,0,MIN(SUMIFS(SondBetrag,SondDarl,19,SondDatum,"&gt;="&amp;$E8675,SondDatum,"&lt;="&amp;EOMONTH($E8675,0)),$J8675-$M8675))</f>
      </c>
      <c r="O8675" s="43">
        <f>IF($I8675=0,0,INDEX(DarlErsatzRate,19))</f>
      </c>
      <c r="P8675" s="43">
        <f>IF($I8675=0,0,$Q8674*INDEX(DarlErsatzZins,19))</f>
      </c>
      <c r="Q8675" s="43">
        <f>IF($I8675=0,0,$Q8674+$P8675+$O8675)</f>
      </c>
      <c r="R8675" s="43">
        <f>IF($I8675=0,0,$J8675-$M8675-$N8675)</f>
      </c>
    </row>
    <row r="8676">
      <c r="A8676"/>
      <c r="B8676">
        <v>19</v>
      </c>
      <c r="C8676" s="43">
        <f>INDEX(DarlObj,19)</f>
      </c>
      <c r="D8676">
        <v>33</v>
      </c>
      <c r="E8676" s="51">
        <f>IF(INDEX(DarlBelegt,19)=0,0,EOMONTH(INDEX(DarlAuszahlung,19),32)+1)</f>
      </c>
      <c r="F8676" s="43">
        <f>IF($E8676=0,0,YEAR($E8676))</f>
      </c>
      <c r="G8676" s="43">
        <f>IF(INDEX(DarlBindung,19)="",1,IF($E8676&lt;=INDEX(DarlBindung,19),1,0))</f>
      </c>
      <c r="H8676" s="43">
        <f>IF($G8676=1,INDEX(DarlSollzins,19),INDEX(DarlAnschluss,19))</f>
      </c>
      <c r="I8676" s="43">
        <f>IF(INDEX(DarlBelegt,19)=0,0,IF(INDEX(DarlOhneTilgung,19)=1,IF(INDEX(DarlBindung,19)="",1,$G8676),IF($J8676&gt;0.005,1,0)))</f>
      </c>
      <c r="J8676" s="43">
        <f>IF($I8675=0,0,$R8675)</f>
      </c>
      <c r="K8676" s="43">
        <f>IF($I8676=0,0,IF(INDEX(DarlOhneTilgung,19)=1,0,IF(AND(INDEX(DarlTilgStart,19)&gt;0,$E8676=INDEX(DarlTilgStart,19)),$J8676*($H8676+INDEX(DarlTilgung,19))/100/12,IF(AND($G8676=0,$G8675=1),MAX($K8675,$J8676*($H8676+1)/100/12),$K8675))))</f>
      </c>
      <c r="L8676" s="43">
        <f>IF($I8676=0,0,$J8676*$H8676/100/12)</f>
      </c>
      <c r="M8676" s="43">
        <f>IF($I8676=0,0,IF(OR(INDEX(DarlOhneTilgung,19)=1,AND(INDEX(DarlTilgStart,19)&gt;0,$E8676&lt;INDEX(DarlTilgStart,19))),0,MIN(MAX(0,$K8676-$L8676),$J8676)))</f>
      </c>
      <c r="N8676" s="43">
        <f>IF($I8676=0,0,MIN(SUMIFS(SondBetrag,SondDarl,19,SondDatum,"&gt;="&amp;$E8676,SondDatum,"&lt;="&amp;EOMONTH($E8676,0)),$J8676-$M8676))</f>
      </c>
      <c r="O8676" s="43">
        <f>IF($I8676=0,0,INDEX(DarlErsatzRate,19))</f>
      </c>
      <c r="P8676" s="43">
        <f>IF($I8676=0,0,$Q8675*INDEX(DarlErsatzZins,19))</f>
      </c>
      <c r="Q8676" s="43">
        <f>IF($I8676=0,0,$Q8675+$P8676+$O8676)</f>
      </c>
      <c r="R8676" s="43">
        <f>IF($I8676=0,0,$J8676-$M8676-$N8676)</f>
      </c>
    </row>
    <row r="8677">
      <c r="A8677"/>
      <c r="B8677">
        <v>19</v>
      </c>
      <c r="C8677" s="43">
        <f>INDEX(DarlObj,19)</f>
      </c>
      <c r="D8677">
        <v>34</v>
      </c>
      <c r="E8677" s="51">
        <f>IF(INDEX(DarlBelegt,19)=0,0,EOMONTH(INDEX(DarlAuszahlung,19),33)+1)</f>
      </c>
      <c r="F8677" s="43">
        <f>IF($E8677=0,0,YEAR($E8677))</f>
      </c>
      <c r="G8677" s="43">
        <f>IF(INDEX(DarlBindung,19)="",1,IF($E8677&lt;=INDEX(DarlBindung,19),1,0))</f>
      </c>
      <c r="H8677" s="43">
        <f>IF($G8677=1,INDEX(DarlSollzins,19),INDEX(DarlAnschluss,19))</f>
      </c>
      <c r="I8677" s="43">
        <f>IF(INDEX(DarlBelegt,19)=0,0,IF(INDEX(DarlOhneTilgung,19)=1,IF(INDEX(DarlBindung,19)="",1,$G8677),IF($J8677&gt;0.005,1,0)))</f>
      </c>
      <c r="J8677" s="43">
        <f>IF($I8676=0,0,$R8676)</f>
      </c>
      <c r="K8677" s="43">
        <f>IF($I8677=0,0,IF(INDEX(DarlOhneTilgung,19)=1,0,IF(AND(INDEX(DarlTilgStart,19)&gt;0,$E8677=INDEX(DarlTilgStart,19)),$J8677*($H8677+INDEX(DarlTilgung,19))/100/12,IF(AND($G8677=0,$G8676=1),MAX($K8676,$J8677*($H8677+1)/100/12),$K8676))))</f>
      </c>
      <c r="L8677" s="43">
        <f>IF($I8677=0,0,$J8677*$H8677/100/12)</f>
      </c>
      <c r="M8677" s="43">
        <f>IF($I8677=0,0,IF(OR(INDEX(DarlOhneTilgung,19)=1,AND(INDEX(DarlTilgStart,19)&gt;0,$E8677&lt;INDEX(DarlTilgStart,19))),0,MIN(MAX(0,$K8677-$L8677),$J8677)))</f>
      </c>
      <c r="N8677" s="43">
        <f>IF($I8677=0,0,MIN(SUMIFS(SondBetrag,SondDarl,19,SondDatum,"&gt;="&amp;$E8677,SondDatum,"&lt;="&amp;EOMONTH($E8677,0)),$J8677-$M8677))</f>
      </c>
      <c r="O8677" s="43">
        <f>IF($I8677=0,0,INDEX(DarlErsatzRate,19))</f>
      </c>
      <c r="P8677" s="43">
        <f>IF($I8677=0,0,$Q8676*INDEX(DarlErsatzZins,19))</f>
      </c>
      <c r="Q8677" s="43">
        <f>IF($I8677=0,0,$Q8676+$P8677+$O8677)</f>
      </c>
      <c r="R8677" s="43">
        <f>IF($I8677=0,0,$J8677-$M8677-$N8677)</f>
      </c>
    </row>
    <row r="8678">
      <c r="A8678"/>
      <c r="B8678">
        <v>19</v>
      </c>
      <c r="C8678" s="43">
        <f>INDEX(DarlObj,19)</f>
      </c>
      <c r="D8678">
        <v>35</v>
      </c>
      <c r="E8678" s="51">
        <f>IF(INDEX(DarlBelegt,19)=0,0,EOMONTH(INDEX(DarlAuszahlung,19),34)+1)</f>
      </c>
      <c r="F8678" s="43">
        <f>IF($E8678=0,0,YEAR($E8678))</f>
      </c>
      <c r="G8678" s="43">
        <f>IF(INDEX(DarlBindung,19)="",1,IF($E8678&lt;=INDEX(DarlBindung,19),1,0))</f>
      </c>
      <c r="H8678" s="43">
        <f>IF($G8678=1,INDEX(DarlSollzins,19),INDEX(DarlAnschluss,19))</f>
      </c>
      <c r="I8678" s="43">
        <f>IF(INDEX(DarlBelegt,19)=0,0,IF(INDEX(DarlOhneTilgung,19)=1,IF(INDEX(DarlBindung,19)="",1,$G8678),IF($J8678&gt;0.005,1,0)))</f>
      </c>
      <c r="J8678" s="43">
        <f>IF($I8677=0,0,$R8677)</f>
      </c>
      <c r="K8678" s="43">
        <f>IF($I8678=0,0,IF(INDEX(DarlOhneTilgung,19)=1,0,IF(AND(INDEX(DarlTilgStart,19)&gt;0,$E8678=INDEX(DarlTilgStart,19)),$J8678*($H8678+INDEX(DarlTilgung,19))/100/12,IF(AND($G8678=0,$G8677=1),MAX($K8677,$J8678*($H8678+1)/100/12),$K8677))))</f>
      </c>
      <c r="L8678" s="43">
        <f>IF($I8678=0,0,$J8678*$H8678/100/12)</f>
      </c>
      <c r="M8678" s="43">
        <f>IF($I8678=0,0,IF(OR(INDEX(DarlOhneTilgung,19)=1,AND(INDEX(DarlTilgStart,19)&gt;0,$E8678&lt;INDEX(DarlTilgStart,19))),0,MIN(MAX(0,$K8678-$L8678),$J8678)))</f>
      </c>
      <c r="N8678" s="43">
        <f>IF($I8678=0,0,MIN(SUMIFS(SondBetrag,SondDarl,19,SondDatum,"&gt;="&amp;$E8678,SondDatum,"&lt;="&amp;EOMONTH($E8678,0)),$J8678-$M8678))</f>
      </c>
      <c r="O8678" s="43">
        <f>IF($I8678=0,0,INDEX(DarlErsatzRate,19))</f>
      </c>
      <c r="P8678" s="43">
        <f>IF($I8678=0,0,$Q8677*INDEX(DarlErsatzZins,19))</f>
      </c>
      <c r="Q8678" s="43">
        <f>IF($I8678=0,0,$Q8677+$P8678+$O8678)</f>
      </c>
      <c r="R8678" s="43">
        <f>IF($I8678=0,0,$J8678-$M8678-$N8678)</f>
      </c>
    </row>
    <row r="8679">
      <c r="A8679"/>
      <c r="B8679">
        <v>19</v>
      </c>
      <c r="C8679" s="43">
        <f>INDEX(DarlObj,19)</f>
      </c>
      <c r="D8679">
        <v>36</v>
      </c>
      <c r="E8679" s="51">
        <f>IF(INDEX(DarlBelegt,19)=0,0,EOMONTH(INDEX(DarlAuszahlung,19),35)+1)</f>
      </c>
      <c r="F8679" s="43">
        <f>IF($E8679=0,0,YEAR($E8679))</f>
      </c>
      <c r="G8679" s="43">
        <f>IF(INDEX(DarlBindung,19)="",1,IF($E8679&lt;=INDEX(DarlBindung,19),1,0))</f>
      </c>
      <c r="H8679" s="43">
        <f>IF($G8679=1,INDEX(DarlSollzins,19),INDEX(DarlAnschluss,19))</f>
      </c>
      <c r="I8679" s="43">
        <f>IF(INDEX(DarlBelegt,19)=0,0,IF(INDEX(DarlOhneTilgung,19)=1,IF(INDEX(DarlBindung,19)="",1,$G8679),IF($J8679&gt;0.005,1,0)))</f>
      </c>
      <c r="J8679" s="43">
        <f>IF($I8678=0,0,$R8678)</f>
      </c>
      <c r="K8679" s="43">
        <f>IF($I8679=0,0,IF(INDEX(DarlOhneTilgung,19)=1,0,IF(AND(INDEX(DarlTilgStart,19)&gt;0,$E8679=INDEX(DarlTilgStart,19)),$J8679*($H8679+INDEX(DarlTilgung,19))/100/12,IF(AND($G8679=0,$G8678=1),MAX($K8678,$J8679*($H8679+1)/100/12),$K8678))))</f>
      </c>
      <c r="L8679" s="43">
        <f>IF($I8679=0,0,$J8679*$H8679/100/12)</f>
      </c>
      <c r="M8679" s="43">
        <f>IF($I8679=0,0,IF(OR(INDEX(DarlOhneTilgung,19)=1,AND(INDEX(DarlTilgStart,19)&gt;0,$E8679&lt;INDEX(DarlTilgStart,19))),0,MIN(MAX(0,$K8679-$L8679),$J8679)))</f>
      </c>
      <c r="N8679" s="43">
        <f>IF($I8679=0,0,MIN(SUMIFS(SondBetrag,SondDarl,19,SondDatum,"&gt;="&amp;$E8679,SondDatum,"&lt;="&amp;EOMONTH($E8679,0)),$J8679-$M8679))</f>
      </c>
      <c r="O8679" s="43">
        <f>IF($I8679=0,0,INDEX(DarlErsatzRate,19))</f>
      </c>
      <c r="P8679" s="43">
        <f>IF($I8679=0,0,$Q8678*INDEX(DarlErsatzZins,19))</f>
      </c>
      <c r="Q8679" s="43">
        <f>IF($I8679=0,0,$Q8678+$P8679+$O8679)</f>
      </c>
      <c r="R8679" s="43">
        <f>IF($I8679=0,0,$J8679-$M8679-$N8679)</f>
      </c>
    </row>
    <row r="8680">
      <c r="A8680"/>
      <c r="B8680">
        <v>19</v>
      </c>
      <c r="C8680" s="43">
        <f>INDEX(DarlObj,19)</f>
      </c>
      <c r="D8680">
        <v>37</v>
      </c>
      <c r="E8680" s="51">
        <f>IF(INDEX(DarlBelegt,19)=0,0,EOMONTH(INDEX(DarlAuszahlung,19),36)+1)</f>
      </c>
      <c r="F8680" s="43">
        <f>IF($E8680=0,0,YEAR($E8680))</f>
      </c>
      <c r="G8680" s="43">
        <f>IF(INDEX(DarlBindung,19)="",1,IF($E8680&lt;=INDEX(DarlBindung,19),1,0))</f>
      </c>
      <c r="H8680" s="43">
        <f>IF($G8680=1,INDEX(DarlSollzins,19),INDEX(DarlAnschluss,19))</f>
      </c>
      <c r="I8680" s="43">
        <f>IF(INDEX(DarlBelegt,19)=0,0,IF(INDEX(DarlOhneTilgung,19)=1,IF(INDEX(DarlBindung,19)="",1,$G8680),IF($J8680&gt;0.005,1,0)))</f>
      </c>
      <c r="J8680" s="43">
        <f>IF($I8679=0,0,$R8679)</f>
      </c>
      <c r="K8680" s="43">
        <f>IF($I8680=0,0,IF(INDEX(DarlOhneTilgung,19)=1,0,IF(AND(INDEX(DarlTilgStart,19)&gt;0,$E8680=INDEX(DarlTilgStart,19)),$J8680*($H8680+INDEX(DarlTilgung,19))/100/12,IF(AND($G8680=0,$G8679=1),MAX($K8679,$J8680*($H8680+1)/100/12),$K8679))))</f>
      </c>
      <c r="L8680" s="43">
        <f>IF($I8680=0,0,$J8680*$H8680/100/12)</f>
      </c>
      <c r="M8680" s="43">
        <f>IF($I8680=0,0,IF(OR(INDEX(DarlOhneTilgung,19)=1,AND(INDEX(DarlTilgStart,19)&gt;0,$E8680&lt;INDEX(DarlTilgStart,19))),0,MIN(MAX(0,$K8680-$L8680),$J8680)))</f>
      </c>
      <c r="N8680" s="43">
        <f>IF($I8680=0,0,MIN(SUMIFS(SondBetrag,SondDarl,19,SondDatum,"&gt;="&amp;$E8680,SondDatum,"&lt;="&amp;EOMONTH($E8680,0)),$J8680-$M8680))</f>
      </c>
      <c r="O8680" s="43">
        <f>IF($I8680=0,0,INDEX(DarlErsatzRate,19))</f>
      </c>
      <c r="P8680" s="43">
        <f>IF($I8680=0,0,$Q8679*INDEX(DarlErsatzZins,19))</f>
      </c>
      <c r="Q8680" s="43">
        <f>IF($I8680=0,0,$Q8679+$P8680+$O8680)</f>
      </c>
      <c r="R8680" s="43">
        <f>IF($I8680=0,0,$J8680-$M8680-$N8680)</f>
      </c>
    </row>
    <row r="8681">
      <c r="A8681"/>
      <c r="B8681">
        <v>19</v>
      </c>
      <c r="C8681" s="43">
        <f>INDEX(DarlObj,19)</f>
      </c>
      <c r="D8681">
        <v>38</v>
      </c>
      <c r="E8681" s="51">
        <f>IF(INDEX(DarlBelegt,19)=0,0,EOMONTH(INDEX(DarlAuszahlung,19),37)+1)</f>
      </c>
      <c r="F8681" s="43">
        <f>IF($E8681=0,0,YEAR($E8681))</f>
      </c>
      <c r="G8681" s="43">
        <f>IF(INDEX(DarlBindung,19)="",1,IF($E8681&lt;=INDEX(DarlBindung,19),1,0))</f>
      </c>
      <c r="H8681" s="43">
        <f>IF($G8681=1,INDEX(DarlSollzins,19),INDEX(DarlAnschluss,19))</f>
      </c>
      <c r="I8681" s="43">
        <f>IF(INDEX(DarlBelegt,19)=0,0,IF(INDEX(DarlOhneTilgung,19)=1,IF(INDEX(DarlBindung,19)="",1,$G8681),IF($J8681&gt;0.005,1,0)))</f>
      </c>
      <c r="J8681" s="43">
        <f>IF($I8680=0,0,$R8680)</f>
      </c>
      <c r="K8681" s="43">
        <f>IF($I8681=0,0,IF(INDEX(DarlOhneTilgung,19)=1,0,IF(AND(INDEX(DarlTilgStart,19)&gt;0,$E8681=INDEX(DarlTilgStart,19)),$J8681*($H8681+INDEX(DarlTilgung,19))/100/12,IF(AND($G8681=0,$G8680=1),MAX($K8680,$J8681*($H8681+1)/100/12),$K8680))))</f>
      </c>
      <c r="L8681" s="43">
        <f>IF($I8681=0,0,$J8681*$H8681/100/12)</f>
      </c>
      <c r="M8681" s="43">
        <f>IF($I8681=0,0,IF(OR(INDEX(DarlOhneTilgung,19)=1,AND(INDEX(DarlTilgStart,19)&gt;0,$E8681&lt;INDEX(DarlTilgStart,19))),0,MIN(MAX(0,$K8681-$L8681),$J8681)))</f>
      </c>
      <c r="N8681" s="43">
        <f>IF($I8681=0,0,MIN(SUMIFS(SondBetrag,SondDarl,19,SondDatum,"&gt;="&amp;$E8681,SondDatum,"&lt;="&amp;EOMONTH($E8681,0)),$J8681-$M8681))</f>
      </c>
      <c r="O8681" s="43">
        <f>IF($I8681=0,0,INDEX(DarlErsatzRate,19))</f>
      </c>
      <c r="P8681" s="43">
        <f>IF($I8681=0,0,$Q8680*INDEX(DarlErsatzZins,19))</f>
      </c>
      <c r="Q8681" s="43">
        <f>IF($I8681=0,0,$Q8680+$P8681+$O8681)</f>
      </c>
      <c r="R8681" s="43">
        <f>IF($I8681=0,0,$J8681-$M8681-$N8681)</f>
      </c>
    </row>
    <row r="8682">
      <c r="A8682"/>
      <c r="B8682">
        <v>19</v>
      </c>
      <c r="C8682" s="43">
        <f>INDEX(DarlObj,19)</f>
      </c>
      <c r="D8682">
        <v>39</v>
      </c>
      <c r="E8682" s="51">
        <f>IF(INDEX(DarlBelegt,19)=0,0,EOMONTH(INDEX(DarlAuszahlung,19),38)+1)</f>
      </c>
      <c r="F8682" s="43">
        <f>IF($E8682=0,0,YEAR($E8682))</f>
      </c>
      <c r="G8682" s="43">
        <f>IF(INDEX(DarlBindung,19)="",1,IF($E8682&lt;=INDEX(DarlBindung,19),1,0))</f>
      </c>
      <c r="H8682" s="43">
        <f>IF($G8682=1,INDEX(DarlSollzins,19),INDEX(DarlAnschluss,19))</f>
      </c>
      <c r="I8682" s="43">
        <f>IF(INDEX(DarlBelegt,19)=0,0,IF(INDEX(DarlOhneTilgung,19)=1,IF(INDEX(DarlBindung,19)="",1,$G8682),IF($J8682&gt;0.005,1,0)))</f>
      </c>
      <c r="J8682" s="43">
        <f>IF($I8681=0,0,$R8681)</f>
      </c>
      <c r="K8682" s="43">
        <f>IF($I8682=0,0,IF(INDEX(DarlOhneTilgung,19)=1,0,IF(AND(INDEX(DarlTilgStart,19)&gt;0,$E8682=INDEX(DarlTilgStart,19)),$J8682*($H8682+INDEX(DarlTilgung,19))/100/12,IF(AND($G8682=0,$G8681=1),MAX($K8681,$J8682*($H8682+1)/100/12),$K8681))))</f>
      </c>
      <c r="L8682" s="43">
        <f>IF($I8682=0,0,$J8682*$H8682/100/12)</f>
      </c>
      <c r="M8682" s="43">
        <f>IF($I8682=0,0,IF(OR(INDEX(DarlOhneTilgung,19)=1,AND(INDEX(DarlTilgStart,19)&gt;0,$E8682&lt;INDEX(DarlTilgStart,19))),0,MIN(MAX(0,$K8682-$L8682),$J8682)))</f>
      </c>
      <c r="N8682" s="43">
        <f>IF($I8682=0,0,MIN(SUMIFS(SondBetrag,SondDarl,19,SondDatum,"&gt;="&amp;$E8682,SondDatum,"&lt;="&amp;EOMONTH($E8682,0)),$J8682-$M8682))</f>
      </c>
      <c r="O8682" s="43">
        <f>IF($I8682=0,0,INDEX(DarlErsatzRate,19))</f>
      </c>
      <c r="P8682" s="43">
        <f>IF($I8682=0,0,$Q8681*INDEX(DarlErsatzZins,19))</f>
      </c>
      <c r="Q8682" s="43">
        <f>IF($I8682=0,0,$Q8681+$P8682+$O8682)</f>
      </c>
      <c r="R8682" s="43">
        <f>IF($I8682=0,0,$J8682-$M8682-$N8682)</f>
      </c>
    </row>
    <row r="8683">
      <c r="A8683"/>
      <c r="B8683">
        <v>19</v>
      </c>
      <c r="C8683" s="43">
        <f>INDEX(DarlObj,19)</f>
      </c>
      <c r="D8683">
        <v>40</v>
      </c>
      <c r="E8683" s="51">
        <f>IF(INDEX(DarlBelegt,19)=0,0,EOMONTH(INDEX(DarlAuszahlung,19),39)+1)</f>
      </c>
      <c r="F8683" s="43">
        <f>IF($E8683=0,0,YEAR($E8683))</f>
      </c>
      <c r="G8683" s="43">
        <f>IF(INDEX(DarlBindung,19)="",1,IF($E8683&lt;=INDEX(DarlBindung,19),1,0))</f>
      </c>
      <c r="H8683" s="43">
        <f>IF($G8683=1,INDEX(DarlSollzins,19),INDEX(DarlAnschluss,19))</f>
      </c>
      <c r="I8683" s="43">
        <f>IF(INDEX(DarlBelegt,19)=0,0,IF(INDEX(DarlOhneTilgung,19)=1,IF(INDEX(DarlBindung,19)="",1,$G8683),IF($J8683&gt;0.005,1,0)))</f>
      </c>
      <c r="J8683" s="43">
        <f>IF($I8682=0,0,$R8682)</f>
      </c>
      <c r="K8683" s="43">
        <f>IF($I8683=0,0,IF(INDEX(DarlOhneTilgung,19)=1,0,IF(AND(INDEX(DarlTilgStart,19)&gt;0,$E8683=INDEX(DarlTilgStart,19)),$J8683*($H8683+INDEX(DarlTilgung,19))/100/12,IF(AND($G8683=0,$G8682=1),MAX($K8682,$J8683*($H8683+1)/100/12),$K8682))))</f>
      </c>
      <c r="L8683" s="43">
        <f>IF($I8683=0,0,$J8683*$H8683/100/12)</f>
      </c>
      <c r="M8683" s="43">
        <f>IF($I8683=0,0,IF(OR(INDEX(DarlOhneTilgung,19)=1,AND(INDEX(DarlTilgStart,19)&gt;0,$E8683&lt;INDEX(DarlTilgStart,19))),0,MIN(MAX(0,$K8683-$L8683),$J8683)))</f>
      </c>
      <c r="N8683" s="43">
        <f>IF($I8683=0,0,MIN(SUMIFS(SondBetrag,SondDarl,19,SondDatum,"&gt;="&amp;$E8683,SondDatum,"&lt;="&amp;EOMONTH($E8683,0)),$J8683-$M8683))</f>
      </c>
      <c r="O8683" s="43">
        <f>IF($I8683=0,0,INDEX(DarlErsatzRate,19))</f>
      </c>
      <c r="P8683" s="43">
        <f>IF($I8683=0,0,$Q8682*INDEX(DarlErsatzZins,19))</f>
      </c>
      <c r="Q8683" s="43">
        <f>IF($I8683=0,0,$Q8682+$P8683+$O8683)</f>
      </c>
      <c r="R8683" s="43">
        <f>IF($I8683=0,0,$J8683-$M8683-$N8683)</f>
      </c>
    </row>
    <row r="8684">
      <c r="A8684"/>
      <c r="B8684">
        <v>19</v>
      </c>
      <c r="C8684" s="43">
        <f>INDEX(DarlObj,19)</f>
      </c>
      <c r="D8684">
        <v>41</v>
      </c>
      <c r="E8684" s="51">
        <f>IF(INDEX(DarlBelegt,19)=0,0,EOMONTH(INDEX(DarlAuszahlung,19),40)+1)</f>
      </c>
      <c r="F8684" s="43">
        <f>IF($E8684=0,0,YEAR($E8684))</f>
      </c>
      <c r="G8684" s="43">
        <f>IF(INDEX(DarlBindung,19)="",1,IF($E8684&lt;=INDEX(DarlBindung,19),1,0))</f>
      </c>
      <c r="H8684" s="43">
        <f>IF($G8684=1,INDEX(DarlSollzins,19),INDEX(DarlAnschluss,19))</f>
      </c>
      <c r="I8684" s="43">
        <f>IF(INDEX(DarlBelegt,19)=0,0,IF(INDEX(DarlOhneTilgung,19)=1,IF(INDEX(DarlBindung,19)="",1,$G8684),IF($J8684&gt;0.005,1,0)))</f>
      </c>
      <c r="J8684" s="43">
        <f>IF($I8683=0,0,$R8683)</f>
      </c>
      <c r="K8684" s="43">
        <f>IF($I8684=0,0,IF(INDEX(DarlOhneTilgung,19)=1,0,IF(AND(INDEX(DarlTilgStart,19)&gt;0,$E8684=INDEX(DarlTilgStart,19)),$J8684*($H8684+INDEX(DarlTilgung,19))/100/12,IF(AND($G8684=0,$G8683=1),MAX($K8683,$J8684*($H8684+1)/100/12),$K8683))))</f>
      </c>
      <c r="L8684" s="43">
        <f>IF($I8684=0,0,$J8684*$H8684/100/12)</f>
      </c>
      <c r="M8684" s="43">
        <f>IF($I8684=0,0,IF(OR(INDEX(DarlOhneTilgung,19)=1,AND(INDEX(DarlTilgStart,19)&gt;0,$E8684&lt;INDEX(DarlTilgStart,19))),0,MIN(MAX(0,$K8684-$L8684),$J8684)))</f>
      </c>
      <c r="N8684" s="43">
        <f>IF($I8684=0,0,MIN(SUMIFS(SondBetrag,SondDarl,19,SondDatum,"&gt;="&amp;$E8684,SondDatum,"&lt;="&amp;EOMONTH($E8684,0)),$J8684-$M8684))</f>
      </c>
      <c r="O8684" s="43">
        <f>IF($I8684=0,0,INDEX(DarlErsatzRate,19))</f>
      </c>
      <c r="P8684" s="43">
        <f>IF($I8684=0,0,$Q8683*INDEX(DarlErsatzZins,19))</f>
      </c>
      <c r="Q8684" s="43">
        <f>IF($I8684=0,0,$Q8683+$P8684+$O8684)</f>
      </c>
      <c r="R8684" s="43">
        <f>IF($I8684=0,0,$J8684-$M8684-$N8684)</f>
      </c>
    </row>
    <row r="8685">
      <c r="A8685"/>
      <c r="B8685">
        <v>19</v>
      </c>
      <c r="C8685" s="43">
        <f>INDEX(DarlObj,19)</f>
      </c>
      <c r="D8685">
        <v>42</v>
      </c>
      <c r="E8685" s="51">
        <f>IF(INDEX(DarlBelegt,19)=0,0,EOMONTH(INDEX(DarlAuszahlung,19),41)+1)</f>
      </c>
      <c r="F8685" s="43">
        <f>IF($E8685=0,0,YEAR($E8685))</f>
      </c>
      <c r="G8685" s="43">
        <f>IF(INDEX(DarlBindung,19)="",1,IF($E8685&lt;=INDEX(DarlBindung,19),1,0))</f>
      </c>
      <c r="H8685" s="43">
        <f>IF($G8685=1,INDEX(DarlSollzins,19),INDEX(DarlAnschluss,19))</f>
      </c>
      <c r="I8685" s="43">
        <f>IF(INDEX(DarlBelegt,19)=0,0,IF(INDEX(DarlOhneTilgung,19)=1,IF(INDEX(DarlBindung,19)="",1,$G8685),IF($J8685&gt;0.005,1,0)))</f>
      </c>
      <c r="J8685" s="43">
        <f>IF($I8684=0,0,$R8684)</f>
      </c>
      <c r="K8685" s="43">
        <f>IF($I8685=0,0,IF(INDEX(DarlOhneTilgung,19)=1,0,IF(AND(INDEX(DarlTilgStart,19)&gt;0,$E8685=INDEX(DarlTilgStart,19)),$J8685*($H8685+INDEX(DarlTilgung,19))/100/12,IF(AND($G8685=0,$G8684=1),MAX($K8684,$J8685*($H8685+1)/100/12),$K8684))))</f>
      </c>
      <c r="L8685" s="43">
        <f>IF($I8685=0,0,$J8685*$H8685/100/12)</f>
      </c>
      <c r="M8685" s="43">
        <f>IF($I8685=0,0,IF(OR(INDEX(DarlOhneTilgung,19)=1,AND(INDEX(DarlTilgStart,19)&gt;0,$E8685&lt;INDEX(DarlTilgStart,19))),0,MIN(MAX(0,$K8685-$L8685),$J8685)))</f>
      </c>
      <c r="N8685" s="43">
        <f>IF($I8685=0,0,MIN(SUMIFS(SondBetrag,SondDarl,19,SondDatum,"&gt;="&amp;$E8685,SondDatum,"&lt;="&amp;EOMONTH($E8685,0)),$J8685-$M8685))</f>
      </c>
      <c r="O8685" s="43">
        <f>IF($I8685=0,0,INDEX(DarlErsatzRate,19))</f>
      </c>
      <c r="P8685" s="43">
        <f>IF($I8685=0,0,$Q8684*INDEX(DarlErsatzZins,19))</f>
      </c>
      <c r="Q8685" s="43">
        <f>IF($I8685=0,0,$Q8684+$P8685+$O8685)</f>
      </c>
      <c r="R8685" s="43">
        <f>IF($I8685=0,0,$J8685-$M8685-$N8685)</f>
      </c>
    </row>
    <row r="8686">
      <c r="A8686"/>
      <c r="B8686">
        <v>19</v>
      </c>
      <c r="C8686" s="43">
        <f>INDEX(DarlObj,19)</f>
      </c>
      <c r="D8686">
        <v>43</v>
      </c>
      <c r="E8686" s="51">
        <f>IF(INDEX(DarlBelegt,19)=0,0,EOMONTH(INDEX(DarlAuszahlung,19),42)+1)</f>
      </c>
      <c r="F8686" s="43">
        <f>IF($E8686=0,0,YEAR($E8686))</f>
      </c>
      <c r="G8686" s="43">
        <f>IF(INDEX(DarlBindung,19)="",1,IF($E8686&lt;=INDEX(DarlBindung,19),1,0))</f>
      </c>
      <c r="H8686" s="43">
        <f>IF($G8686=1,INDEX(DarlSollzins,19),INDEX(DarlAnschluss,19))</f>
      </c>
      <c r="I8686" s="43">
        <f>IF(INDEX(DarlBelegt,19)=0,0,IF(INDEX(DarlOhneTilgung,19)=1,IF(INDEX(DarlBindung,19)="",1,$G8686),IF($J8686&gt;0.005,1,0)))</f>
      </c>
      <c r="J8686" s="43">
        <f>IF($I8685=0,0,$R8685)</f>
      </c>
      <c r="K8686" s="43">
        <f>IF($I8686=0,0,IF(INDEX(DarlOhneTilgung,19)=1,0,IF(AND(INDEX(DarlTilgStart,19)&gt;0,$E8686=INDEX(DarlTilgStart,19)),$J8686*($H8686+INDEX(DarlTilgung,19))/100/12,IF(AND($G8686=0,$G8685=1),MAX($K8685,$J8686*($H8686+1)/100/12),$K8685))))</f>
      </c>
      <c r="L8686" s="43">
        <f>IF($I8686=0,0,$J8686*$H8686/100/12)</f>
      </c>
      <c r="M8686" s="43">
        <f>IF($I8686=0,0,IF(OR(INDEX(DarlOhneTilgung,19)=1,AND(INDEX(DarlTilgStart,19)&gt;0,$E8686&lt;INDEX(DarlTilgStart,19))),0,MIN(MAX(0,$K8686-$L8686),$J8686)))</f>
      </c>
      <c r="N8686" s="43">
        <f>IF($I8686=0,0,MIN(SUMIFS(SondBetrag,SondDarl,19,SondDatum,"&gt;="&amp;$E8686,SondDatum,"&lt;="&amp;EOMONTH($E8686,0)),$J8686-$M8686))</f>
      </c>
      <c r="O8686" s="43">
        <f>IF($I8686=0,0,INDEX(DarlErsatzRate,19))</f>
      </c>
      <c r="P8686" s="43">
        <f>IF($I8686=0,0,$Q8685*INDEX(DarlErsatzZins,19))</f>
      </c>
      <c r="Q8686" s="43">
        <f>IF($I8686=0,0,$Q8685+$P8686+$O8686)</f>
      </c>
      <c r="R8686" s="43">
        <f>IF($I8686=0,0,$J8686-$M8686-$N8686)</f>
      </c>
    </row>
    <row r="8687">
      <c r="A8687"/>
      <c r="B8687">
        <v>19</v>
      </c>
      <c r="C8687" s="43">
        <f>INDEX(DarlObj,19)</f>
      </c>
      <c r="D8687">
        <v>44</v>
      </c>
      <c r="E8687" s="51">
        <f>IF(INDEX(DarlBelegt,19)=0,0,EOMONTH(INDEX(DarlAuszahlung,19),43)+1)</f>
      </c>
      <c r="F8687" s="43">
        <f>IF($E8687=0,0,YEAR($E8687))</f>
      </c>
      <c r="G8687" s="43">
        <f>IF(INDEX(DarlBindung,19)="",1,IF($E8687&lt;=INDEX(DarlBindung,19),1,0))</f>
      </c>
      <c r="H8687" s="43">
        <f>IF($G8687=1,INDEX(DarlSollzins,19),INDEX(DarlAnschluss,19))</f>
      </c>
      <c r="I8687" s="43">
        <f>IF(INDEX(DarlBelegt,19)=0,0,IF(INDEX(DarlOhneTilgung,19)=1,IF(INDEX(DarlBindung,19)="",1,$G8687),IF($J8687&gt;0.005,1,0)))</f>
      </c>
      <c r="J8687" s="43">
        <f>IF($I8686=0,0,$R8686)</f>
      </c>
      <c r="K8687" s="43">
        <f>IF($I8687=0,0,IF(INDEX(DarlOhneTilgung,19)=1,0,IF(AND(INDEX(DarlTilgStart,19)&gt;0,$E8687=INDEX(DarlTilgStart,19)),$J8687*($H8687+INDEX(DarlTilgung,19))/100/12,IF(AND($G8687=0,$G8686=1),MAX($K8686,$J8687*($H8687+1)/100/12),$K8686))))</f>
      </c>
      <c r="L8687" s="43">
        <f>IF($I8687=0,0,$J8687*$H8687/100/12)</f>
      </c>
      <c r="M8687" s="43">
        <f>IF($I8687=0,0,IF(OR(INDEX(DarlOhneTilgung,19)=1,AND(INDEX(DarlTilgStart,19)&gt;0,$E8687&lt;INDEX(DarlTilgStart,19))),0,MIN(MAX(0,$K8687-$L8687),$J8687)))</f>
      </c>
      <c r="N8687" s="43">
        <f>IF($I8687=0,0,MIN(SUMIFS(SondBetrag,SondDarl,19,SondDatum,"&gt;="&amp;$E8687,SondDatum,"&lt;="&amp;EOMONTH($E8687,0)),$J8687-$M8687))</f>
      </c>
      <c r="O8687" s="43">
        <f>IF($I8687=0,0,INDEX(DarlErsatzRate,19))</f>
      </c>
      <c r="P8687" s="43">
        <f>IF($I8687=0,0,$Q8686*INDEX(DarlErsatzZins,19))</f>
      </c>
      <c r="Q8687" s="43">
        <f>IF($I8687=0,0,$Q8686+$P8687+$O8687)</f>
      </c>
      <c r="R8687" s="43">
        <f>IF($I8687=0,0,$J8687-$M8687-$N8687)</f>
      </c>
    </row>
    <row r="8688">
      <c r="A8688"/>
      <c r="B8688">
        <v>19</v>
      </c>
      <c r="C8688" s="43">
        <f>INDEX(DarlObj,19)</f>
      </c>
      <c r="D8688">
        <v>45</v>
      </c>
      <c r="E8688" s="51">
        <f>IF(INDEX(DarlBelegt,19)=0,0,EOMONTH(INDEX(DarlAuszahlung,19),44)+1)</f>
      </c>
      <c r="F8688" s="43">
        <f>IF($E8688=0,0,YEAR($E8688))</f>
      </c>
      <c r="G8688" s="43">
        <f>IF(INDEX(DarlBindung,19)="",1,IF($E8688&lt;=INDEX(DarlBindung,19),1,0))</f>
      </c>
      <c r="H8688" s="43">
        <f>IF($G8688=1,INDEX(DarlSollzins,19),INDEX(DarlAnschluss,19))</f>
      </c>
      <c r="I8688" s="43">
        <f>IF(INDEX(DarlBelegt,19)=0,0,IF(INDEX(DarlOhneTilgung,19)=1,IF(INDEX(DarlBindung,19)="",1,$G8688),IF($J8688&gt;0.005,1,0)))</f>
      </c>
      <c r="J8688" s="43">
        <f>IF($I8687=0,0,$R8687)</f>
      </c>
      <c r="K8688" s="43">
        <f>IF($I8688=0,0,IF(INDEX(DarlOhneTilgung,19)=1,0,IF(AND(INDEX(DarlTilgStart,19)&gt;0,$E8688=INDEX(DarlTilgStart,19)),$J8688*($H8688+INDEX(DarlTilgung,19))/100/12,IF(AND($G8688=0,$G8687=1),MAX($K8687,$J8688*($H8688+1)/100/12),$K8687))))</f>
      </c>
      <c r="L8688" s="43">
        <f>IF($I8688=0,0,$J8688*$H8688/100/12)</f>
      </c>
      <c r="M8688" s="43">
        <f>IF($I8688=0,0,IF(OR(INDEX(DarlOhneTilgung,19)=1,AND(INDEX(DarlTilgStart,19)&gt;0,$E8688&lt;INDEX(DarlTilgStart,19))),0,MIN(MAX(0,$K8688-$L8688),$J8688)))</f>
      </c>
      <c r="N8688" s="43">
        <f>IF($I8688=0,0,MIN(SUMIFS(SondBetrag,SondDarl,19,SondDatum,"&gt;="&amp;$E8688,SondDatum,"&lt;="&amp;EOMONTH($E8688,0)),$J8688-$M8688))</f>
      </c>
      <c r="O8688" s="43">
        <f>IF($I8688=0,0,INDEX(DarlErsatzRate,19))</f>
      </c>
      <c r="P8688" s="43">
        <f>IF($I8688=0,0,$Q8687*INDEX(DarlErsatzZins,19))</f>
      </c>
      <c r="Q8688" s="43">
        <f>IF($I8688=0,0,$Q8687+$P8688+$O8688)</f>
      </c>
      <c r="R8688" s="43">
        <f>IF($I8688=0,0,$J8688-$M8688-$N8688)</f>
      </c>
    </row>
    <row r="8689">
      <c r="A8689"/>
      <c r="B8689">
        <v>19</v>
      </c>
      <c r="C8689" s="43">
        <f>INDEX(DarlObj,19)</f>
      </c>
      <c r="D8689">
        <v>46</v>
      </c>
      <c r="E8689" s="51">
        <f>IF(INDEX(DarlBelegt,19)=0,0,EOMONTH(INDEX(DarlAuszahlung,19),45)+1)</f>
      </c>
      <c r="F8689" s="43">
        <f>IF($E8689=0,0,YEAR($E8689))</f>
      </c>
      <c r="G8689" s="43">
        <f>IF(INDEX(DarlBindung,19)="",1,IF($E8689&lt;=INDEX(DarlBindung,19),1,0))</f>
      </c>
      <c r="H8689" s="43">
        <f>IF($G8689=1,INDEX(DarlSollzins,19),INDEX(DarlAnschluss,19))</f>
      </c>
      <c r="I8689" s="43">
        <f>IF(INDEX(DarlBelegt,19)=0,0,IF(INDEX(DarlOhneTilgung,19)=1,IF(INDEX(DarlBindung,19)="",1,$G8689),IF($J8689&gt;0.005,1,0)))</f>
      </c>
      <c r="J8689" s="43">
        <f>IF($I8688=0,0,$R8688)</f>
      </c>
      <c r="K8689" s="43">
        <f>IF($I8689=0,0,IF(INDEX(DarlOhneTilgung,19)=1,0,IF(AND(INDEX(DarlTilgStart,19)&gt;0,$E8689=INDEX(DarlTilgStart,19)),$J8689*($H8689+INDEX(DarlTilgung,19))/100/12,IF(AND($G8689=0,$G8688=1),MAX($K8688,$J8689*($H8689+1)/100/12),$K8688))))</f>
      </c>
      <c r="L8689" s="43">
        <f>IF($I8689=0,0,$J8689*$H8689/100/12)</f>
      </c>
      <c r="M8689" s="43">
        <f>IF($I8689=0,0,IF(OR(INDEX(DarlOhneTilgung,19)=1,AND(INDEX(DarlTilgStart,19)&gt;0,$E8689&lt;INDEX(DarlTilgStart,19))),0,MIN(MAX(0,$K8689-$L8689),$J8689)))</f>
      </c>
      <c r="N8689" s="43">
        <f>IF($I8689=0,0,MIN(SUMIFS(SondBetrag,SondDarl,19,SondDatum,"&gt;="&amp;$E8689,SondDatum,"&lt;="&amp;EOMONTH($E8689,0)),$J8689-$M8689))</f>
      </c>
      <c r="O8689" s="43">
        <f>IF($I8689=0,0,INDEX(DarlErsatzRate,19))</f>
      </c>
      <c r="P8689" s="43">
        <f>IF($I8689=0,0,$Q8688*INDEX(DarlErsatzZins,19))</f>
      </c>
      <c r="Q8689" s="43">
        <f>IF($I8689=0,0,$Q8688+$P8689+$O8689)</f>
      </c>
      <c r="R8689" s="43">
        <f>IF($I8689=0,0,$J8689-$M8689-$N8689)</f>
      </c>
    </row>
    <row r="8690">
      <c r="A8690"/>
      <c r="B8690">
        <v>19</v>
      </c>
      <c r="C8690" s="43">
        <f>INDEX(DarlObj,19)</f>
      </c>
      <c r="D8690">
        <v>47</v>
      </c>
      <c r="E8690" s="51">
        <f>IF(INDEX(DarlBelegt,19)=0,0,EOMONTH(INDEX(DarlAuszahlung,19),46)+1)</f>
      </c>
      <c r="F8690" s="43">
        <f>IF($E8690=0,0,YEAR($E8690))</f>
      </c>
      <c r="G8690" s="43">
        <f>IF(INDEX(DarlBindung,19)="",1,IF($E8690&lt;=INDEX(DarlBindung,19),1,0))</f>
      </c>
      <c r="H8690" s="43">
        <f>IF($G8690=1,INDEX(DarlSollzins,19),INDEX(DarlAnschluss,19))</f>
      </c>
      <c r="I8690" s="43">
        <f>IF(INDEX(DarlBelegt,19)=0,0,IF(INDEX(DarlOhneTilgung,19)=1,IF(INDEX(DarlBindung,19)="",1,$G8690),IF($J8690&gt;0.005,1,0)))</f>
      </c>
      <c r="J8690" s="43">
        <f>IF($I8689=0,0,$R8689)</f>
      </c>
      <c r="K8690" s="43">
        <f>IF($I8690=0,0,IF(INDEX(DarlOhneTilgung,19)=1,0,IF(AND(INDEX(DarlTilgStart,19)&gt;0,$E8690=INDEX(DarlTilgStart,19)),$J8690*($H8690+INDEX(DarlTilgung,19))/100/12,IF(AND($G8690=0,$G8689=1),MAX($K8689,$J8690*($H8690+1)/100/12),$K8689))))</f>
      </c>
      <c r="L8690" s="43">
        <f>IF($I8690=0,0,$J8690*$H8690/100/12)</f>
      </c>
      <c r="M8690" s="43">
        <f>IF($I8690=0,0,IF(OR(INDEX(DarlOhneTilgung,19)=1,AND(INDEX(DarlTilgStart,19)&gt;0,$E8690&lt;INDEX(DarlTilgStart,19))),0,MIN(MAX(0,$K8690-$L8690),$J8690)))</f>
      </c>
      <c r="N8690" s="43">
        <f>IF($I8690=0,0,MIN(SUMIFS(SondBetrag,SondDarl,19,SondDatum,"&gt;="&amp;$E8690,SondDatum,"&lt;="&amp;EOMONTH($E8690,0)),$J8690-$M8690))</f>
      </c>
      <c r="O8690" s="43">
        <f>IF($I8690=0,0,INDEX(DarlErsatzRate,19))</f>
      </c>
      <c r="P8690" s="43">
        <f>IF($I8690=0,0,$Q8689*INDEX(DarlErsatzZins,19))</f>
      </c>
      <c r="Q8690" s="43">
        <f>IF($I8690=0,0,$Q8689+$P8690+$O8690)</f>
      </c>
      <c r="R8690" s="43">
        <f>IF($I8690=0,0,$J8690-$M8690-$N8690)</f>
      </c>
    </row>
    <row r="8691">
      <c r="A8691"/>
      <c r="B8691">
        <v>19</v>
      </c>
      <c r="C8691" s="43">
        <f>INDEX(DarlObj,19)</f>
      </c>
      <c r="D8691">
        <v>48</v>
      </c>
      <c r="E8691" s="51">
        <f>IF(INDEX(DarlBelegt,19)=0,0,EOMONTH(INDEX(DarlAuszahlung,19),47)+1)</f>
      </c>
      <c r="F8691" s="43">
        <f>IF($E8691=0,0,YEAR($E8691))</f>
      </c>
      <c r="G8691" s="43">
        <f>IF(INDEX(DarlBindung,19)="",1,IF($E8691&lt;=INDEX(DarlBindung,19),1,0))</f>
      </c>
      <c r="H8691" s="43">
        <f>IF($G8691=1,INDEX(DarlSollzins,19),INDEX(DarlAnschluss,19))</f>
      </c>
      <c r="I8691" s="43">
        <f>IF(INDEX(DarlBelegt,19)=0,0,IF(INDEX(DarlOhneTilgung,19)=1,IF(INDEX(DarlBindung,19)="",1,$G8691),IF($J8691&gt;0.005,1,0)))</f>
      </c>
      <c r="J8691" s="43">
        <f>IF($I8690=0,0,$R8690)</f>
      </c>
      <c r="K8691" s="43">
        <f>IF($I8691=0,0,IF(INDEX(DarlOhneTilgung,19)=1,0,IF(AND(INDEX(DarlTilgStart,19)&gt;0,$E8691=INDEX(DarlTilgStart,19)),$J8691*($H8691+INDEX(DarlTilgung,19))/100/12,IF(AND($G8691=0,$G8690=1),MAX($K8690,$J8691*($H8691+1)/100/12),$K8690))))</f>
      </c>
      <c r="L8691" s="43">
        <f>IF($I8691=0,0,$J8691*$H8691/100/12)</f>
      </c>
      <c r="M8691" s="43">
        <f>IF($I8691=0,0,IF(OR(INDEX(DarlOhneTilgung,19)=1,AND(INDEX(DarlTilgStart,19)&gt;0,$E8691&lt;INDEX(DarlTilgStart,19))),0,MIN(MAX(0,$K8691-$L8691),$J8691)))</f>
      </c>
      <c r="N8691" s="43">
        <f>IF($I8691=0,0,MIN(SUMIFS(SondBetrag,SondDarl,19,SondDatum,"&gt;="&amp;$E8691,SondDatum,"&lt;="&amp;EOMONTH($E8691,0)),$J8691-$M8691))</f>
      </c>
      <c r="O8691" s="43">
        <f>IF($I8691=0,0,INDEX(DarlErsatzRate,19))</f>
      </c>
      <c r="P8691" s="43">
        <f>IF($I8691=0,0,$Q8690*INDEX(DarlErsatzZins,19))</f>
      </c>
      <c r="Q8691" s="43">
        <f>IF($I8691=0,0,$Q8690+$P8691+$O8691)</f>
      </c>
      <c r="R8691" s="43">
        <f>IF($I8691=0,0,$J8691-$M8691-$N8691)</f>
      </c>
    </row>
    <row r="8692">
      <c r="A8692"/>
      <c r="B8692">
        <v>19</v>
      </c>
      <c r="C8692" s="43">
        <f>INDEX(DarlObj,19)</f>
      </c>
      <c r="D8692">
        <v>49</v>
      </c>
      <c r="E8692" s="51">
        <f>IF(INDEX(DarlBelegt,19)=0,0,EOMONTH(INDEX(DarlAuszahlung,19),48)+1)</f>
      </c>
      <c r="F8692" s="43">
        <f>IF($E8692=0,0,YEAR($E8692))</f>
      </c>
      <c r="G8692" s="43">
        <f>IF(INDEX(DarlBindung,19)="",1,IF($E8692&lt;=INDEX(DarlBindung,19),1,0))</f>
      </c>
      <c r="H8692" s="43">
        <f>IF($G8692=1,INDEX(DarlSollzins,19),INDEX(DarlAnschluss,19))</f>
      </c>
      <c r="I8692" s="43">
        <f>IF(INDEX(DarlBelegt,19)=0,0,IF(INDEX(DarlOhneTilgung,19)=1,IF(INDEX(DarlBindung,19)="",1,$G8692),IF($J8692&gt;0.005,1,0)))</f>
      </c>
      <c r="J8692" s="43">
        <f>IF($I8691=0,0,$R8691)</f>
      </c>
      <c r="K8692" s="43">
        <f>IF($I8692=0,0,IF(INDEX(DarlOhneTilgung,19)=1,0,IF(AND(INDEX(DarlTilgStart,19)&gt;0,$E8692=INDEX(DarlTilgStart,19)),$J8692*($H8692+INDEX(DarlTilgung,19))/100/12,IF(AND($G8692=0,$G8691=1),MAX($K8691,$J8692*($H8692+1)/100/12),$K8691))))</f>
      </c>
      <c r="L8692" s="43">
        <f>IF($I8692=0,0,$J8692*$H8692/100/12)</f>
      </c>
      <c r="M8692" s="43">
        <f>IF($I8692=0,0,IF(OR(INDEX(DarlOhneTilgung,19)=1,AND(INDEX(DarlTilgStart,19)&gt;0,$E8692&lt;INDEX(DarlTilgStart,19))),0,MIN(MAX(0,$K8692-$L8692),$J8692)))</f>
      </c>
      <c r="N8692" s="43">
        <f>IF($I8692=0,0,MIN(SUMIFS(SondBetrag,SondDarl,19,SondDatum,"&gt;="&amp;$E8692,SondDatum,"&lt;="&amp;EOMONTH($E8692,0)),$J8692-$M8692))</f>
      </c>
      <c r="O8692" s="43">
        <f>IF($I8692=0,0,INDEX(DarlErsatzRate,19))</f>
      </c>
      <c r="P8692" s="43">
        <f>IF($I8692=0,0,$Q8691*INDEX(DarlErsatzZins,19))</f>
      </c>
      <c r="Q8692" s="43">
        <f>IF($I8692=0,0,$Q8691+$P8692+$O8692)</f>
      </c>
      <c r="R8692" s="43">
        <f>IF($I8692=0,0,$J8692-$M8692-$N8692)</f>
      </c>
    </row>
    <row r="8693">
      <c r="A8693"/>
      <c r="B8693">
        <v>19</v>
      </c>
      <c r="C8693" s="43">
        <f>INDEX(DarlObj,19)</f>
      </c>
      <c r="D8693">
        <v>50</v>
      </c>
      <c r="E8693" s="51">
        <f>IF(INDEX(DarlBelegt,19)=0,0,EOMONTH(INDEX(DarlAuszahlung,19),49)+1)</f>
      </c>
      <c r="F8693" s="43">
        <f>IF($E8693=0,0,YEAR($E8693))</f>
      </c>
      <c r="G8693" s="43">
        <f>IF(INDEX(DarlBindung,19)="",1,IF($E8693&lt;=INDEX(DarlBindung,19),1,0))</f>
      </c>
      <c r="H8693" s="43">
        <f>IF($G8693=1,INDEX(DarlSollzins,19),INDEX(DarlAnschluss,19))</f>
      </c>
      <c r="I8693" s="43">
        <f>IF(INDEX(DarlBelegt,19)=0,0,IF(INDEX(DarlOhneTilgung,19)=1,IF(INDEX(DarlBindung,19)="",1,$G8693),IF($J8693&gt;0.005,1,0)))</f>
      </c>
      <c r="J8693" s="43">
        <f>IF($I8692=0,0,$R8692)</f>
      </c>
      <c r="K8693" s="43">
        <f>IF($I8693=0,0,IF(INDEX(DarlOhneTilgung,19)=1,0,IF(AND(INDEX(DarlTilgStart,19)&gt;0,$E8693=INDEX(DarlTilgStart,19)),$J8693*($H8693+INDEX(DarlTilgung,19))/100/12,IF(AND($G8693=0,$G8692=1),MAX($K8692,$J8693*($H8693+1)/100/12),$K8692))))</f>
      </c>
      <c r="L8693" s="43">
        <f>IF($I8693=0,0,$J8693*$H8693/100/12)</f>
      </c>
      <c r="M8693" s="43">
        <f>IF($I8693=0,0,IF(OR(INDEX(DarlOhneTilgung,19)=1,AND(INDEX(DarlTilgStart,19)&gt;0,$E8693&lt;INDEX(DarlTilgStart,19))),0,MIN(MAX(0,$K8693-$L8693),$J8693)))</f>
      </c>
      <c r="N8693" s="43">
        <f>IF($I8693=0,0,MIN(SUMIFS(SondBetrag,SondDarl,19,SondDatum,"&gt;="&amp;$E8693,SondDatum,"&lt;="&amp;EOMONTH($E8693,0)),$J8693-$M8693))</f>
      </c>
      <c r="O8693" s="43">
        <f>IF($I8693=0,0,INDEX(DarlErsatzRate,19))</f>
      </c>
      <c r="P8693" s="43">
        <f>IF($I8693=0,0,$Q8692*INDEX(DarlErsatzZins,19))</f>
      </c>
      <c r="Q8693" s="43">
        <f>IF($I8693=0,0,$Q8692+$P8693+$O8693)</f>
      </c>
      <c r="R8693" s="43">
        <f>IF($I8693=0,0,$J8693-$M8693-$N8693)</f>
      </c>
    </row>
    <row r="8694">
      <c r="A8694"/>
      <c r="B8694">
        <v>19</v>
      </c>
      <c r="C8694" s="43">
        <f>INDEX(DarlObj,19)</f>
      </c>
      <c r="D8694">
        <v>51</v>
      </c>
      <c r="E8694" s="51">
        <f>IF(INDEX(DarlBelegt,19)=0,0,EOMONTH(INDEX(DarlAuszahlung,19),50)+1)</f>
      </c>
      <c r="F8694" s="43">
        <f>IF($E8694=0,0,YEAR($E8694))</f>
      </c>
      <c r="G8694" s="43">
        <f>IF(INDEX(DarlBindung,19)="",1,IF($E8694&lt;=INDEX(DarlBindung,19),1,0))</f>
      </c>
      <c r="H8694" s="43">
        <f>IF($G8694=1,INDEX(DarlSollzins,19),INDEX(DarlAnschluss,19))</f>
      </c>
      <c r="I8694" s="43">
        <f>IF(INDEX(DarlBelegt,19)=0,0,IF(INDEX(DarlOhneTilgung,19)=1,IF(INDEX(DarlBindung,19)="",1,$G8694),IF($J8694&gt;0.005,1,0)))</f>
      </c>
      <c r="J8694" s="43">
        <f>IF($I8693=0,0,$R8693)</f>
      </c>
      <c r="K8694" s="43">
        <f>IF($I8694=0,0,IF(INDEX(DarlOhneTilgung,19)=1,0,IF(AND(INDEX(DarlTilgStart,19)&gt;0,$E8694=INDEX(DarlTilgStart,19)),$J8694*($H8694+INDEX(DarlTilgung,19))/100/12,IF(AND($G8694=0,$G8693=1),MAX($K8693,$J8694*($H8694+1)/100/12),$K8693))))</f>
      </c>
      <c r="L8694" s="43">
        <f>IF($I8694=0,0,$J8694*$H8694/100/12)</f>
      </c>
      <c r="M8694" s="43">
        <f>IF($I8694=0,0,IF(OR(INDEX(DarlOhneTilgung,19)=1,AND(INDEX(DarlTilgStart,19)&gt;0,$E8694&lt;INDEX(DarlTilgStart,19))),0,MIN(MAX(0,$K8694-$L8694),$J8694)))</f>
      </c>
      <c r="N8694" s="43">
        <f>IF($I8694=0,0,MIN(SUMIFS(SondBetrag,SondDarl,19,SondDatum,"&gt;="&amp;$E8694,SondDatum,"&lt;="&amp;EOMONTH($E8694,0)),$J8694-$M8694))</f>
      </c>
      <c r="O8694" s="43">
        <f>IF($I8694=0,0,INDEX(DarlErsatzRate,19))</f>
      </c>
      <c r="P8694" s="43">
        <f>IF($I8694=0,0,$Q8693*INDEX(DarlErsatzZins,19))</f>
      </c>
      <c r="Q8694" s="43">
        <f>IF($I8694=0,0,$Q8693+$P8694+$O8694)</f>
      </c>
      <c r="R8694" s="43">
        <f>IF($I8694=0,0,$J8694-$M8694-$N8694)</f>
      </c>
    </row>
    <row r="8695">
      <c r="A8695"/>
      <c r="B8695">
        <v>19</v>
      </c>
      <c r="C8695" s="43">
        <f>INDEX(DarlObj,19)</f>
      </c>
      <c r="D8695">
        <v>52</v>
      </c>
      <c r="E8695" s="51">
        <f>IF(INDEX(DarlBelegt,19)=0,0,EOMONTH(INDEX(DarlAuszahlung,19),51)+1)</f>
      </c>
      <c r="F8695" s="43">
        <f>IF($E8695=0,0,YEAR($E8695))</f>
      </c>
      <c r="G8695" s="43">
        <f>IF(INDEX(DarlBindung,19)="",1,IF($E8695&lt;=INDEX(DarlBindung,19),1,0))</f>
      </c>
      <c r="H8695" s="43">
        <f>IF($G8695=1,INDEX(DarlSollzins,19),INDEX(DarlAnschluss,19))</f>
      </c>
      <c r="I8695" s="43">
        <f>IF(INDEX(DarlBelegt,19)=0,0,IF(INDEX(DarlOhneTilgung,19)=1,IF(INDEX(DarlBindung,19)="",1,$G8695),IF($J8695&gt;0.005,1,0)))</f>
      </c>
      <c r="J8695" s="43">
        <f>IF($I8694=0,0,$R8694)</f>
      </c>
      <c r="K8695" s="43">
        <f>IF($I8695=0,0,IF(INDEX(DarlOhneTilgung,19)=1,0,IF(AND(INDEX(DarlTilgStart,19)&gt;0,$E8695=INDEX(DarlTilgStart,19)),$J8695*($H8695+INDEX(DarlTilgung,19))/100/12,IF(AND($G8695=0,$G8694=1),MAX($K8694,$J8695*($H8695+1)/100/12),$K8694))))</f>
      </c>
      <c r="L8695" s="43">
        <f>IF($I8695=0,0,$J8695*$H8695/100/12)</f>
      </c>
      <c r="M8695" s="43">
        <f>IF($I8695=0,0,IF(OR(INDEX(DarlOhneTilgung,19)=1,AND(INDEX(DarlTilgStart,19)&gt;0,$E8695&lt;INDEX(DarlTilgStart,19))),0,MIN(MAX(0,$K8695-$L8695),$J8695)))</f>
      </c>
      <c r="N8695" s="43">
        <f>IF($I8695=0,0,MIN(SUMIFS(SondBetrag,SondDarl,19,SondDatum,"&gt;="&amp;$E8695,SondDatum,"&lt;="&amp;EOMONTH($E8695,0)),$J8695-$M8695))</f>
      </c>
      <c r="O8695" s="43">
        <f>IF($I8695=0,0,INDEX(DarlErsatzRate,19))</f>
      </c>
      <c r="P8695" s="43">
        <f>IF($I8695=0,0,$Q8694*INDEX(DarlErsatzZins,19))</f>
      </c>
      <c r="Q8695" s="43">
        <f>IF($I8695=0,0,$Q8694+$P8695+$O8695)</f>
      </c>
      <c r="R8695" s="43">
        <f>IF($I8695=0,0,$J8695-$M8695-$N8695)</f>
      </c>
    </row>
    <row r="8696">
      <c r="A8696"/>
      <c r="B8696">
        <v>19</v>
      </c>
      <c r="C8696" s="43">
        <f>INDEX(DarlObj,19)</f>
      </c>
      <c r="D8696">
        <v>53</v>
      </c>
      <c r="E8696" s="51">
        <f>IF(INDEX(DarlBelegt,19)=0,0,EOMONTH(INDEX(DarlAuszahlung,19),52)+1)</f>
      </c>
      <c r="F8696" s="43">
        <f>IF($E8696=0,0,YEAR($E8696))</f>
      </c>
      <c r="G8696" s="43">
        <f>IF(INDEX(DarlBindung,19)="",1,IF($E8696&lt;=INDEX(DarlBindung,19),1,0))</f>
      </c>
      <c r="H8696" s="43">
        <f>IF($G8696=1,INDEX(DarlSollzins,19),INDEX(DarlAnschluss,19))</f>
      </c>
      <c r="I8696" s="43">
        <f>IF(INDEX(DarlBelegt,19)=0,0,IF(INDEX(DarlOhneTilgung,19)=1,IF(INDEX(DarlBindung,19)="",1,$G8696),IF($J8696&gt;0.005,1,0)))</f>
      </c>
      <c r="J8696" s="43">
        <f>IF($I8695=0,0,$R8695)</f>
      </c>
      <c r="K8696" s="43">
        <f>IF($I8696=0,0,IF(INDEX(DarlOhneTilgung,19)=1,0,IF(AND(INDEX(DarlTilgStart,19)&gt;0,$E8696=INDEX(DarlTilgStart,19)),$J8696*($H8696+INDEX(DarlTilgung,19))/100/12,IF(AND($G8696=0,$G8695=1),MAX($K8695,$J8696*($H8696+1)/100/12),$K8695))))</f>
      </c>
      <c r="L8696" s="43">
        <f>IF($I8696=0,0,$J8696*$H8696/100/12)</f>
      </c>
      <c r="M8696" s="43">
        <f>IF($I8696=0,0,IF(OR(INDEX(DarlOhneTilgung,19)=1,AND(INDEX(DarlTilgStart,19)&gt;0,$E8696&lt;INDEX(DarlTilgStart,19))),0,MIN(MAX(0,$K8696-$L8696),$J8696)))</f>
      </c>
      <c r="N8696" s="43">
        <f>IF($I8696=0,0,MIN(SUMIFS(SondBetrag,SondDarl,19,SondDatum,"&gt;="&amp;$E8696,SondDatum,"&lt;="&amp;EOMONTH($E8696,0)),$J8696-$M8696))</f>
      </c>
      <c r="O8696" s="43">
        <f>IF($I8696=0,0,INDEX(DarlErsatzRate,19))</f>
      </c>
      <c r="P8696" s="43">
        <f>IF($I8696=0,0,$Q8695*INDEX(DarlErsatzZins,19))</f>
      </c>
      <c r="Q8696" s="43">
        <f>IF($I8696=0,0,$Q8695+$P8696+$O8696)</f>
      </c>
      <c r="R8696" s="43">
        <f>IF($I8696=0,0,$J8696-$M8696-$N8696)</f>
      </c>
    </row>
    <row r="8697">
      <c r="A8697"/>
      <c r="B8697">
        <v>19</v>
      </c>
      <c r="C8697" s="43">
        <f>INDEX(DarlObj,19)</f>
      </c>
      <c r="D8697">
        <v>54</v>
      </c>
      <c r="E8697" s="51">
        <f>IF(INDEX(DarlBelegt,19)=0,0,EOMONTH(INDEX(DarlAuszahlung,19),53)+1)</f>
      </c>
      <c r="F8697" s="43">
        <f>IF($E8697=0,0,YEAR($E8697))</f>
      </c>
      <c r="G8697" s="43">
        <f>IF(INDEX(DarlBindung,19)="",1,IF($E8697&lt;=INDEX(DarlBindung,19),1,0))</f>
      </c>
      <c r="H8697" s="43">
        <f>IF($G8697=1,INDEX(DarlSollzins,19),INDEX(DarlAnschluss,19))</f>
      </c>
      <c r="I8697" s="43">
        <f>IF(INDEX(DarlBelegt,19)=0,0,IF(INDEX(DarlOhneTilgung,19)=1,IF(INDEX(DarlBindung,19)="",1,$G8697),IF($J8697&gt;0.005,1,0)))</f>
      </c>
      <c r="J8697" s="43">
        <f>IF($I8696=0,0,$R8696)</f>
      </c>
      <c r="K8697" s="43">
        <f>IF($I8697=0,0,IF(INDEX(DarlOhneTilgung,19)=1,0,IF(AND(INDEX(DarlTilgStart,19)&gt;0,$E8697=INDEX(DarlTilgStart,19)),$J8697*($H8697+INDEX(DarlTilgung,19))/100/12,IF(AND($G8697=0,$G8696=1),MAX($K8696,$J8697*($H8697+1)/100/12),$K8696))))</f>
      </c>
      <c r="L8697" s="43">
        <f>IF($I8697=0,0,$J8697*$H8697/100/12)</f>
      </c>
      <c r="M8697" s="43">
        <f>IF($I8697=0,0,IF(OR(INDEX(DarlOhneTilgung,19)=1,AND(INDEX(DarlTilgStart,19)&gt;0,$E8697&lt;INDEX(DarlTilgStart,19))),0,MIN(MAX(0,$K8697-$L8697),$J8697)))</f>
      </c>
      <c r="N8697" s="43">
        <f>IF($I8697=0,0,MIN(SUMIFS(SondBetrag,SondDarl,19,SondDatum,"&gt;="&amp;$E8697,SondDatum,"&lt;="&amp;EOMONTH($E8697,0)),$J8697-$M8697))</f>
      </c>
      <c r="O8697" s="43">
        <f>IF($I8697=0,0,INDEX(DarlErsatzRate,19))</f>
      </c>
      <c r="P8697" s="43">
        <f>IF($I8697=0,0,$Q8696*INDEX(DarlErsatzZins,19))</f>
      </c>
      <c r="Q8697" s="43">
        <f>IF($I8697=0,0,$Q8696+$P8697+$O8697)</f>
      </c>
      <c r="R8697" s="43">
        <f>IF($I8697=0,0,$J8697-$M8697-$N8697)</f>
      </c>
    </row>
    <row r="8698">
      <c r="A8698"/>
      <c r="B8698">
        <v>19</v>
      </c>
      <c r="C8698" s="43">
        <f>INDEX(DarlObj,19)</f>
      </c>
      <c r="D8698">
        <v>55</v>
      </c>
      <c r="E8698" s="51">
        <f>IF(INDEX(DarlBelegt,19)=0,0,EOMONTH(INDEX(DarlAuszahlung,19),54)+1)</f>
      </c>
      <c r="F8698" s="43">
        <f>IF($E8698=0,0,YEAR($E8698))</f>
      </c>
      <c r="G8698" s="43">
        <f>IF(INDEX(DarlBindung,19)="",1,IF($E8698&lt;=INDEX(DarlBindung,19),1,0))</f>
      </c>
      <c r="H8698" s="43">
        <f>IF($G8698=1,INDEX(DarlSollzins,19),INDEX(DarlAnschluss,19))</f>
      </c>
      <c r="I8698" s="43">
        <f>IF(INDEX(DarlBelegt,19)=0,0,IF(INDEX(DarlOhneTilgung,19)=1,IF(INDEX(DarlBindung,19)="",1,$G8698),IF($J8698&gt;0.005,1,0)))</f>
      </c>
      <c r="J8698" s="43">
        <f>IF($I8697=0,0,$R8697)</f>
      </c>
      <c r="K8698" s="43">
        <f>IF($I8698=0,0,IF(INDEX(DarlOhneTilgung,19)=1,0,IF(AND(INDEX(DarlTilgStart,19)&gt;0,$E8698=INDEX(DarlTilgStart,19)),$J8698*($H8698+INDEX(DarlTilgung,19))/100/12,IF(AND($G8698=0,$G8697=1),MAX($K8697,$J8698*($H8698+1)/100/12),$K8697))))</f>
      </c>
      <c r="L8698" s="43">
        <f>IF($I8698=0,0,$J8698*$H8698/100/12)</f>
      </c>
      <c r="M8698" s="43">
        <f>IF($I8698=0,0,IF(OR(INDEX(DarlOhneTilgung,19)=1,AND(INDEX(DarlTilgStart,19)&gt;0,$E8698&lt;INDEX(DarlTilgStart,19))),0,MIN(MAX(0,$K8698-$L8698),$J8698)))</f>
      </c>
      <c r="N8698" s="43">
        <f>IF($I8698=0,0,MIN(SUMIFS(SondBetrag,SondDarl,19,SondDatum,"&gt;="&amp;$E8698,SondDatum,"&lt;="&amp;EOMONTH($E8698,0)),$J8698-$M8698))</f>
      </c>
      <c r="O8698" s="43">
        <f>IF($I8698=0,0,INDEX(DarlErsatzRate,19))</f>
      </c>
      <c r="P8698" s="43">
        <f>IF($I8698=0,0,$Q8697*INDEX(DarlErsatzZins,19))</f>
      </c>
      <c r="Q8698" s="43">
        <f>IF($I8698=0,0,$Q8697+$P8698+$O8698)</f>
      </c>
      <c r="R8698" s="43">
        <f>IF($I8698=0,0,$J8698-$M8698-$N8698)</f>
      </c>
    </row>
    <row r="8699">
      <c r="A8699"/>
      <c r="B8699">
        <v>19</v>
      </c>
      <c r="C8699" s="43">
        <f>INDEX(DarlObj,19)</f>
      </c>
      <c r="D8699">
        <v>56</v>
      </c>
      <c r="E8699" s="51">
        <f>IF(INDEX(DarlBelegt,19)=0,0,EOMONTH(INDEX(DarlAuszahlung,19),55)+1)</f>
      </c>
      <c r="F8699" s="43">
        <f>IF($E8699=0,0,YEAR($E8699))</f>
      </c>
      <c r="G8699" s="43">
        <f>IF(INDEX(DarlBindung,19)="",1,IF($E8699&lt;=INDEX(DarlBindung,19),1,0))</f>
      </c>
      <c r="H8699" s="43">
        <f>IF($G8699=1,INDEX(DarlSollzins,19),INDEX(DarlAnschluss,19))</f>
      </c>
      <c r="I8699" s="43">
        <f>IF(INDEX(DarlBelegt,19)=0,0,IF(INDEX(DarlOhneTilgung,19)=1,IF(INDEX(DarlBindung,19)="",1,$G8699),IF($J8699&gt;0.005,1,0)))</f>
      </c>
      <c r="J8699" s="43">
        <f>IF($I8698=0,0,$R8698)</f>
      </c>
      <c r="K8699" s="43">
        <f>IF($I8699=0,0,IF(INDEX(DarlOhneTilgung,19)=1,0,IF(AND(INDEX(DarlTilgStart,19)&gt;0,$E8699=INDEX(DarlTilgStart,19)),$J8699*($H8699+INDEX(DarlTilgung,19))/100/12,IF(AND($G8699=0,$G8698=1),MAX($K8698,$J8699*($H8699+1)/100/12),$K8698))))</f>
      </c>
      <c r="L8699" s="43">
        <f>IF($I8699=0,0,$J8699*$H8699/100/12)</f>
      </c>
      <c r="M8699" s="43">
        <f>IF($I8699=0,0,IF(OR(INDEX(DarlOhneTilgung,19)=1,AND(INDEX(DarlTilgStart,19)&gt;0,$E8699&lt;INDEX(DarlTilgStart,19))),0,MIN(MAX(0,$K8699-$L8699),$J8699)))</f>
      </c>
      <c r="N8699" s="43">
        <f>IF($I8699=0,0,MIN(SUMIFS(SondBetrag,SondDarl,19,SondDatum,"&gt;="&amp;$E8699,SondDatum,"&lt;="&amp;EOMONTH($E8699,0)),$J8699-$M8699))</f>
      </c>
      <c r="O8699" s="43">
        <f>IF($I8699=0,0,INDEX(DarlErsatzRate,19))</f>
      </c>
      <c r="P8699" s="43">
        <f>IF($I8699=0,0,$Q8698*INDEX(DarlErsatzZins,19))</f>
      </c>
      <c r="Q8699" s="43">
        <f>IF($I8699=0,0,$Q8698+$P8699+$O8699)</f>
      </c>
      <c r="R8699" s="43">
        <f>IF($I8699=0,0,$J8699-$M8699-$N8699)</f>
      </c>
    </row>
    <row r="8700">
      <c r="A8700"/>
      <c r="B8700">
        <v>19</v>
      </c>
      <c r="C8700" s="43">
        <f>INDEX(DarlObj,19)</f>
      </c>
      <c r="D8700">
        <v>57</v>
      </c>
      <c r="E8700" s="51">
        <f>IF(INDEX(DarlBelegt,19)=0,0,EOMONTH(INDEX(DarlAuszahlung,19),56)+1)</f>
      </c>
      <c r="F8700" s="43">
        <f>IF($E8700=0,0,YEAR($E8700))</f>
      </c>
      <c r="G8700" s="43">
        <f>IF(INDEX(DarlBindung,19)="",1,IF($E8700&lt;=INDEX(DarlBindung,19),1,0))</f>
      </c>
      <c r="H8700" s="43">
        <f>IF($G8700=1,INDEX(DarlSollzins,19),INDEX(DarlAnschluss,19))</f>
      </c>
      <c r="I8700" s="43">
        <f>IF(INDEX(DarlBelegt,19)=0,0,IF(INDEX(DarlOhneTilgung,19)=1,IF(INDEX(DarlBindung,19)="",1,$G8700),IF($J8700&gt;0.005,1,0)))</f>
      </c>
      <c r="J8700" s="43">
        <f>IF($I8699=0,0,$R8699)</f>
      </c>
      <c r="K8700" s="43">
        <f>IF($I8700=0,0,IF(INDEX(DarlOhneTilgung,19)=1,0,IF(AND(INDEX(DarlTilgStart,19)&gt;0,$E8700=INDEX(DarlTilgStart,19)),$J8700*($H8700+INDEX(DarlTilgung,19))/100/12,IF(AND($G8700=0,$G8699=1),MAX($K8699,$J8700*($H8700+1)/100/12),$K8699))))</f>
      </c>
      <c r="L8700" s="43">
        <f>IF($I8700=0,0,$J8700*$H8700/100/12)</f>
      </c>
      <c r="M8700" s="43">
        <f>IF($I8700=0,0,IF(OR(INDEX(DarlOhneTilgung,19)=1,AND(INDEX(DarlTilgStart,19)&gt;0,$E8700&lt;INDEX(DarlTilgStart,19))),0,MIN(MAX(0,$K8700-$L8700),$J8700)))</f>
      </c>
      <c r="N8700" s="43">
        <f>IF($I8700=0,0,MIN(SUMIFS(SondBetrag,SondDarl,19,SondDatum,"&gt;="&amp;$E8700,SondDatum,"&lt;="&amp;EOMONTH($E8700,0)),$J8700-$M8700))</f>
      </c>
      <c r="O8700" s="43">
        <f>IF($I8700=0,0,INDEX(DarlErsatzRate,19))</f>
      </c>
      <c r="P8700" s="43">
        <f>IF($I8700=0,0,$Q8699*INDEX(DarlErsatzZins,19))</f>
      </c>
      <c r="Q8700" s="43">
        <f>IF($I8700=0,0,$Q8699+$P8700+$O8700)</f>
      </c>
      <c r="R8700" s="43">
        <f>IF($I8700=0,0,$J8700-$M8700-$N8700)</f>
      </c>
    </row>
    <row r="8701">
      <c r="A8701"/>
      <c r="B8701">
        <v>19</v>
      </c>
      <c r="C8701" s="43">
        <f>INDEX(DarlObj,19)</f>
      </c>
      <c r="D8701">
        <v>58</v>
      </c>
      <c r="E8701" s="51">
        <f>IF(INDEX(DarlBelegt,19)=0,0,EOMONTH(INDEX(DarlAuszahlung,19),57)+1)</f>
      </c>
      <c r="F8701" s="43">
        <f>IF($E8701=0,0,YEAR($E8701))</f>
      </c>
      <c r="G8701" s="43">
        <f>IF(INDEX(DarlBindung,19)="",1,IF($E8701&lt;=INDEX(DarlBindung,19),1,0))</f>
      </c>
      <c r="H8701" s="43">
        <f>IF($G8701=1,INDEX(DarlSollzins,19),INDEX(DarlAnschluss,19))</f>
      </c>
      <c r="I8701" s="43">
        <f>IF(INDEX(DarlBelegt,19)=0,0,IF(INDEX(DarlOhneTilgung,19)=1,IF(INDEX(DarlBindung,19)="",1,$G8701),IF($J8701&gt;0.005,1,0)))</f>
      </c>
      <c r="J8701" s="43">
        <f>IF($I8700=0,0,$R8700)</f>
      </c>
      <c r="K8701" s="43">
        <f>IF($I8701=0,0,IF(INDEX(DarlOhneTilgung,19)=1,0,IF(AND(INDEX(DarlTilgStart,19)&gt;0,$E8701=INDEX(DarlTilgStart,19)),$J8701*($H8701+INDEX(DarlTilgung,19))/100/12,IF(AND($G8701=0,$G8700=1),MAX($K8700,$J8701*($H8701+1)/100/12),$K8700))))</f>
      </c>
      <c r="L8701" s="43">
        <f>IF($I8701=0,0,$J8701*$H8701/100/12)</f>
      </c>
      <c r="M8701" s="43">
        <f>IF($I8701=0,0,IF(OR(INDEX(DarlOhneTilgung,19)=1,AND(INDEX(DarlTilgStart,19)&gt;0,$E8701&lt;INDEX(DarlTilgStart,19))),0,MIN(MAX(0,$K8701-$L8701),$J8701)))</f>
      </c>
      <c r="N8701" s="43">
        <f>IF($I8701=0,0,MIN(SUMIFS(SondBetrag,SondDarl,19,SondDatum,"&gt;="&amp;$E8701,SondDatum,"&lt;="&amp;EOMONTH($E8701,0)),$J8701-$M8701))</f>
      </c>
      <c r="O8701" s="43">
        <f>IF($I8701=0,0,INDEX(DarlErsatzRate,19))</f>
      </c>
      <c r="P8701" s="43">
        <f>IF($I8701=0,0,$Q8700*INDEX(DarlErsatzZins,19))</f>
      </c>
      <c r="Q8701" s="43">
        <f>IF($I8701=0,0,$Q8700+$P8701+$O8701)</f>
      </c>
      <c r="R8701" s="43">
        <f>IF($I8701=0,0,$J8701-$M8701-$N8701)</f>
      </c>
    </row>
    <row r="8702">
      <c r="A8702"/>
      <c r="B8702">
        <v>19</v>
      </c>
      <c r="C8702" s="43">
        <f>INDEX(DarlObj,19)</f>
      </c>
      <c r="D8702">
        <v>59</v>
      </c>
      <c r="E8702" s="51">
        <f>IF(INDEX(DarlBelegt,19)=0,0,EOMONTH(INDEX(DarlAuszahlung,19),58)+1)</f>
      </c>
      <c r="F8702" s="43">
        <f>IF($E8702=0,0,YEAR($E8702))</f>
      </c>
      <c r="G8702" s="43">
        <f>IF(INDEX(DarlBindung,19)="",1,IF($E8702&lt;=INDEX(DarlBindung,19),1,0))</f>
      </c>
      <c r="H8702" s="43">
        <f>IF($G8702=1,INDEX(DarlSollzins,19),INDEX(DarlAnschluss,19))</f>
      </c>
      <c r="I8702" s="43">
        <f>IF(INDEX(DarlBelegt,19)=0,0,IF(INDEX(DarlOhneTilgung,19)=1,IF(INDEX(DarlBindung,19)="",1,$G8702),IF($J8702&gt;0.005,1,0)))</f>
      </c>
      <c r="J8702" s="43">
        <f>IF($I8701=0,0,$R8701)</f>
      </c>
      <c r="K8702" s="43">
        <f>IF($I8702=0,0,IF(INDEX(DarlOhneTilgung,19)=1,0,IF(AND(INDEX(DarlTilgStart,19)&gt;0,$E8702=INDEX(DarlTilgStart,19)),$J8702*($H8702+INDEX(DarlTilgung,19))/100/12,IF(AND($G8702=0,$G8701=1),MAX($K8701,$J8702*($H8702+1)/100/12),$K8701))))</f>
      </c>
      <c r="L8702" s="43">
        <f>IF($I8702=0,0,$J8702*$H8702/100/12)</f>
      </c>
      <c r="M8702" s="43">
        <f>IF($I8702=0,0,IF(OR(INDEX(DarlOhneTilgung,19)=1,AND(INDEX(DarlTilgStart,19)&gt;0,$E8702&lt;INDEX(DarlTilgStart,19))),0,MIN(MAX(0,$K8702-$L8702),$J8702)))</f>
      </c>
      <c r="N8702" s="43">
        <f>IF($I8702=0,0,MIN(SUMIFS(SondBetrag,SondDarl,19,SondDatum,"&gt;="&amp;$E8702,SondDatum,"&lt;="&amp;EOMONTH($E8702,0)),$J8702-$M8702))</f>
      </c>
      <c r="O8702" s="43">
        <f>IF($I8702=0,0,INDEX(DarlErsatzRate,19))</f>
      </c>
      <c r="P8702" s="43">
        <f>IF($I8702=0,0,$Q8701*INDEX(DarlErsatzZins,19))</f>
      </c>
      <c r="Q8702" s="43">
        <f>IF($I8702=0,0,$Q8701+$P8702+$O8702)</f>
      </c>
      <c r="R8702" s="43">
        <f>IF($I8702=0,0,$J8702-$M8702-$N8702)</f>
      </c>
    </row>
    <row r="8703">
      <c r="A8703"/>
      <c r="B8703">
        <v>19</v>
      </c>
      <c r="C8703" s="43">
        <f>INDEX(DarlObj,19)</f>
      </c>
      <c r="D8703">
        <v>60</v>
      </c>
      <c r="E8703" s="51">
        <f>IF(INDEX(DarlBelegt,19)=0,0,EOMONTH(INDEX(DarlAuszahlung,19),59)+1)</f>
      </c>
      <c r="F8703" s="43">
        <f>IF($E8703=0,0,YEAR($E8703))</f>
      </c>
      <c r="G8703" s="43">
        <f>IF(INDEX(DarlBindung,19)="",1,IF($E8703&lt;=INDEX(DarlBindung,19),1,0))</f>
      </c>
      <c r="H8703" s="43">
        <f>IF($G8703=1,INDEX(DarlSollzins,19),INDEX(DarlAnschluss,19))</f>
      </c>
      <c r="I8703" s="43">
        <f>IF(INDEX(DarlBelegt,19)=0,0,IF(INDEX(DarlOhneTilgung,19)=1,IF(INDEX(DarlBindung,19)="",1,$G8703),IF($J8703&gt;0.005,1,0)))</f>
      </c>
      <c r="J8703" s="43">
        <f>IF($I8702=0,0,$R8702)</f>
      </c>
      <c r="K8703" s="43">
        <f>IF($I8703=0,0,IF(INDEX(DarlOhneTilgung,19)=1,0,IF(AND(INDEX(DarlTilgStart,19)&gt;0,$E8703=INDEX(DarlTilgStart,19)),$J8703*($H8703+INDEX(DarlTilgung,19))/100/12,IF(AND($G8703=0,$G8702=1),MAX($K8702,$J8703*($H8703+1)/100/12),$K8702))))</f>
      </c>
      <c r="L8703" s="43">
        <f>IF($I8703=0,0,$J8703*$H8703/100/12)</f>
      </c>
      <c r="M8703" s="43">
        <f>IF($I8703=0,0,IF(OR(INDEX(DarlOhneTilgung,19)=1,AND(INDEX(DarlTilgStart,19)&gt;0,$E8703&lt;INDEX(DarlTilgStart,19))),0,MIN(MAX(0,$K8703-$L8703),$J8703)))</f>
      </c>
      <c r="N8703" s="43">
        <f>IF($I8703=0,0,MIN(SUMIFS(SondBetrag,SondDarl,19,SondDatum,"&gt;="&amp;$E8703,SondDatum,"&lt;="&amp;EOMONTH($E8703,0)),$J8703-$M8703))</f>
      </c>
      <c r="O8703" s="43">
        <f>IF($I8703=0,0,INDEX(DarlErsatzRate,19))</f>
      </c>
      <c r="P8703" s="43">
        <f>IF($I8703=0,0,$Q8702*INDEX(DarlErsatzZins,19))</f>
      </c>
      <c r="Q8703" s="43">
        <f>IF($I8703=0,0,$Q8702+$P8703+$O8703)</f>
      </c>
      <c r="R8703" s="43">
        <f>IF($I8703=0,0,$J8703-$M8703-$N8703)</f>
      </c>
    </row>
    <row r="8704">
      <c r="A8704"/>
      <c r="B8704">
        <v>19</v>
      </c>
      <c r="C8704" s="43">
        <f>INDEX(DarlObj,19)</f>
      </c>
      <c r="D8704">
        <v>61</v>
      </c>
      <c r="E8704" s="51">
        <f>IF(INDEX(DarlBelegt,19)=0,0,EOMONTH(INDEX(DarlAuszahlung,19),60)+1)</f>
      </c>
      <c r="F8704" s="43">
        <f>IF($E8704=0,0,YEAR($E8704))</f>
      </c>
      <c r="G8704" s="43">
        <f>IF(INDEX(DarlBindung,19)="",1,IF($E8704&lt;=INDEX(DarlBindung,19),1,0))</f>
      </c>
      <c r="H8704" s="43">
        <f>IF($G8704=1,INDEX(DarlSollzins,19),INDEX(DarlAnschluss,19))</f>
      </c>
      <c r="I8704" s="43">
        <f>IF(INDEX(DarlBelegt,19)=0,0,IF(INDEX(DarlOhneTilgung,19)=1,IF(INDEX(DarlBindung,19)="",1,$G8704),IF($J8704&gt;0.005,1,0)))</f>
      </c>
      <c r="J8704" s="43">
        <f>IF($I8703=0,0,$R8703)</f>
      </c>
      <c r="K8704" s="43">
        <f>IF($I8704=0,0,IF(INDEX(DarlOhneTilgung,19)=1,0,IF(AND(INDEX(DarlTilgStart,19)&gt;0,$E8704=INDEX(DarlTilgStart,19)),$J8704*($H8704+INDEX(DarlTilgung,19))/100/12,IF(AND($G8704=0,$G8703=1),MAX($K8703,$J8704*($H8704+1)/100/12),$K8703))))</f>
      </c>
      <c r="L8704" s="43">
        <f>IF($I8704=0,0,$J8704*$H8704/100/12)</f>
      </c>
      <c r="M8704" s="43">
        <f>IF($I8704=0,0,IF(OR(INDEX(DarlOhneTilgung,19)=1,AND(INDEX(DarlTilgStart,19)&gt;0,$E8704&lt;INDEX(DarlTilgStart,19))),0,MIN(MAX(0,$K8704-$L8704),$J8704)))</f>
      </c>
      <c r="N8704" s="43">
        <f>IF($I8704=0,0,MIN(SUMIFS(SondBetrag,SondDarl,19,SondDatum,"&gt;="&amp;$E8704,SondDatum,"&lt;="&amp;EOMONTH($E8704,0)),$J8704-$M8704))</f>
      </c>
      <c r="O8704" s="43">
        <f>IF($I8704=0,0,INDEX(DarlErsatzRate,19))</f>
      </c>
      <c r="P8704" s="43">
        <f>IF($I8704=0,0,$Q8703*INDEX(DarlErsatzZins,19))</f>
      </c>
      <c r="Q8704" s="43">
        <f>IF($I8704=0,0,$Q8703+$P8704+$O8704)</f>
      </c>
      <c r="R8704" s="43">
        <f>IF($I8704=0,0,$J8704-$M8704-$N8704)</f>
      </c>
    </row>
    <row r="8705">
      <c r="A8705"/>
      <c r="B8705">
        <v>19</v>
      </c>
      <c r="C8705" s="43">
        <f>INDEX(DarlObj,19)</f>
      </c>
      <c r="D8705">
        <v>62</v>
      </c>
      <c r="E8705" s="51">
        <f>IF(INDEX(DarlBelegt,19)=0,0,EOMONTH(INDEX(DarlAuszahlung,19),61)+1)</f>
      </c>
      <c r="F8705" s="43">
        <f>IF($E8705=0,0,YEAR($E8705))</f>
      </c>
      <c r="G8705" s="43">
        <f>IF(INDEX(DarlBindung,19)="",1,IF($E8705&lt;=INDEX(DarlBindung,19),1,0))</f>
      </c>
      <c r="H8705" s="43">
        <f>IF($G8705=1,INDEX(DarlSollzins,19),INDEX(DarlAnschluss,19))</f>
      </c>
      <c r="I8705" s="43">
        <f>IF(INDEX(DarlBelegt,19)=0,0,IF(INDEX(DarlOhneTilgung,19)=1,IF(INDEX(DarlBindung,19)="",1,$G8705),IF($J8705&gt;0.005,1,0)))</f>
      </c>
      <c r="J8705" s="43">
        <f>IF($I8704=0,0,$R8704)</f>
      </c>
      <c r="K8705" s="43">
        <f>IF($I8705=0,0,IF(INDEX(DarlOhneTilgung,19)=1,0,IF(AND(INDEX(DarlTilgStart,19)&gt;0,$E8705=INDEX(DarlTilgStart,19)),$J8705*($H8705+INDEX(DarlTilgung,19))/100/12,IF(AND($G8705=0,$G8704=1),MAX($K8704,$J8705*($H8705+1)/100/12),$K8704))))</f>
      </c>
      <c r="L8705" s="43">
        <f>IF($I8705=0,0,$J8705*$H8705/100/12)</f>
      </c>
      <c r="M8705" s="43">
        <f>IF($I8705=0,0,IF(OR(INDEX(DarlOhneTilgung,19)=1,AND(INDEX(DarlTilgStart,19)&gt;0,$E8705&lt;INDEX(DarlTilgStart,19))),0,MIN(MAX(0,$K8705-$L8705),$J8705)))</f>
      </c>
      <c r="N8705" s="43">
        <f>IF($I8705=0,0,MIN(SUMIFS(SondBetrag,SondDarl,19,SondDatum,"&gt;="&amp;$E8705,SondDatum,"&lt;="&amp;EOMONTH($E8705,0)),$J8705-$M8705))</f>
      </c>
      <c r="O8705" s="43">
        <f>IF($I8705=0,0,INDEX(DarlErsatzRate,19))</f>
      </c>
      <c r="P8705" s="43">
        <f>IF($I8705=0,0,$Q8704*INDEX(DarlErsatzZins,19))</f>
      </c>
      <c r="Q8705" s="43">
        <f>IF($I8705=0,0,$Q8704+$P8705+$O8705)</f>
      </c>
      <c r="R8705" s="43">
        <f>IF($I8705=0,0,$J8705-$M8705-$N8705)</f>
      </c>
    </row>
    <row r="8706">
      <c r="A8706"/>
      <c r="B8706">
        <v>19</v>
      </c>
      <c r="C8706" s="43">
        <f>INDEX(DarlObj,19)</f>
      </c>
      <c r="D8706">
        <v>63</v>
      </c>
      <c r="E8706" s="51">
        <f>IF(INDEX(DarlBelegt,19)=0,0,EOMONTH(INDEX(DarlAuszahlung,19),62)+1)</f>
      </c>
      <c r="F8706" s="43">
        <f>IF($E8706=0,0,YEAR($E8706))</f>
      </c>
      <c r="G8706" s="43">
        <f>IF(INDEX(DarlBindung,19)="",1,IF($E8706&lt;=INDEX(DarlBindung,19),1,0))</f>
      </c>
      <c r="H8706" s="43">
        <f>IF($G8706=1,INDEX(DarlSollzins,19),INDEX(DarlAnschluss,19))</f>
      </c>
      <c r="I8706" s="43">
        <f>IF(INDEX(DarlBelegt,19)=0,0,IF(INDEX(DarlOhneTilgung,19)=1,IF(INDEX(DarlBindung,19)="",1,$G8706),IF($J8706&gt;0.005,1,0)))</f>
      </c>
      <c r="J8706" s="43">
        <f>IF($I8705=0,0,$R8705)</f>
      </c>
      <c r="K8706" s="43">
        <f>IF($I8706=0,0,IF(INDEX(DarlOhneTilgung,19)=1,0,IF(AND(INDEX(DarlTilgStart,19)&gt;0,$E8706=INDEX(DarlTilgStart,19)),$J8706*($H8706+INDEX(DarlTilgung,19))/100/12,IF(AND($G8706=0,$G8705=1),MAX($K8705,$J8706*($H8706+1)/100/12),$K8705))))</f>
      </c>
      <c r="L8706" s="43">
        <f>IF($I8706=0,0,$J8706*$H8706/100/12)</f>
      </c>
      <c r="M8706" s="43">
        <f>IF($I8706=0,0,IF(OR(INDEX(DarlOhneTilgung,19)=1,AND(INDEX(DarlTilgStart,19)&gt;0,$E8706&lt;INDEX(DarlTilgStart,19))),0,MIN(MAX(0,$K8706-$L8706),$J8706)))</f>
      </c>
      <c r="N8706" s="43">
        <f>IF($I8706=0,0,MIN(SUMIFS(SondBetrag,SondDarl,19,SondDatum,"&gt;="&amp;$E8706,SondDatum,"&lt;="&amp;EOMONTH($E8706,0)),$J8706-$M8706))</f>
      </c>
      <c r="O8706" s="43">
        <f>IF($I8706=0,0,INDEX(DarlErsatzRate,19))</f>
      </c>
      <c r="P8706" s="43">
        <f>IF($I8706=0,0,$Q8705*INDEX(DarlErsatzZins,19))</f>
      </c>
      <c r="Q8706" s="43">
        <f>IF($I8706=0,0,$Q8705+$P8706+$O8706)</f>
      </c>
      <c r="R8706" s="43">
        <f>IF($I8706=0,0,$J8706-$M8706-$N8706)</f>
      </c>
    </row>
    <row r="8707">
      <c r="A8707"/>
      <c r="B8707">
        <v>19</v>
      </c>
      <c r="C8707" s="43">
        <f>INDEX(DarlObj,19)</f>
      </c>
      <c r="D8707">
        <v>64</v>
      </c>
      <c r="E8707" s="51">
        <f>IF(INDEX(DarlBelegt,19)=0,0,EOMONTH(INDEX(DarlAuszahlung,19),63)+1)</f>
      </c>
      <c r="F8707" s="43">
        <f>IF($E8707=0,0,YEAR($E8707))</f>
      </c>
      <c r="G8707" s="43">
        <f>IF(INDEX(DarlBindung,19)="",1,IF($E8707&lt;=INDEX(DarlBindung,19),1,0))</f>
      </c>
      <c r="H8707" s="43">
        <f>IF($G8707=1,INDEX(DarlSollzins,19),INDEX(DarlAnschluss,19))</f>
      </c>
      <c r="I8707" s="43">
        <f>IF(INDEX(DarlBelegt,19)=0,0,IF(INDEX(DarlOhneTilgung,19)=1,IF(INDEX(DarlBindung,19)="",1,$G8707),IF($J8707&gt;0.005,1,0)))</f>
      </c>
      <c r="J8707" s="43">
        <f>IF($I8706=0,0,$R8706)</f>
      </c>
      <c r="K8707" s="43">
        <f>IF($I8707=0,0,IF(INDEX(DarlOhneTilgung,19)=1,0,IF(AND(INDEX(DarlTilgStart,19)&gt;0,$E8707=INDEX(DarlTilgStart,19)),$J8707*($H8707+INDEX(DarlTilgung,19))/100/12,IF(AND($G8707=0,$G8706=1),MAX($K8706,$J8707*($H8707+1)/100/12),$K8706))))</f>
      </c>
      <c r="L8707" s="43">
        <f>IF($I8707=0,0,$J8707*$H8707/100/12)</f>
      </c>
      <c r="M8707" s="43">
        <f>IF($I8707=0,0,IF(OR(INDEX(DarlOhneTilgung,19)=1,AND(INDEX(DarlTilgStart,19)&gt;0,$E8707&lt;INDEX(DarlTilgStart,19))),0,MIN(MAX(0,$K8707-$L8707),$J8707)))</f>
      </c>
      <c r="N8707" s="43">
        <f>IF($I8707=0,0,MIN(SUMIFS(SondBetrag,SondDarl,19,SondDatum,"&gt;="&amp;$E8707,SondDatum,"&lt;="&amp;EOMONTH($E8707,0)),$J8707-$M8707))</f>
      </c>
      <c r="O8707" s="43">
        <f>IF($I8707=0,0,INDEX(DarlErsatzRate,19))</f>
      </c>
      <c r="P8707" s="43">
        <f>IF($I8707=0,0,$Q8706*INDEX(DarlErsatzZins,19))</f>
      </c>
      <c r="Q8707" s="43">
        <f>IF($I8707=0,0,$Q8706+$P8707+$O8707)</f>
      </c>
      <c r="R8707" s="43">
        <f>IF($I8707=0,0,$J8707-$M8707-$N8707)</f>
      </c>
    </row>
    <row r="8708">
      <c r="A8708"/>
      <c r="B8708">
        <v>19</v>
      </c>
      <c r="C8708" s="43">
        <f>INDEX(DarlObj,19)</f>
      </c>
      <c r="D8708">
        <v>65</v>
      </c>
      <c r="E8708" s="51">
        <f>IF(INDEX(DarlBelegt,19)=0,0,EOMONTH(INDEX(DarlAuszahlung,19),64)+1)</f>
      </c>
      <c r="F8708" s="43">
        <f>IF($E8708=0,0,YEAR($E8708))</f>
      </c>
      <c r="G8708" s="43">
        <f>IF(INDEX(DarlBindung,19)="",1,IF($E8708&lt;=INDEX(DarlBindung,19),1,0))</f>
      </c>
      <c r="H8708" s="43">
        <f>IF($G8708=1,INDEX(DarlSollzins,19),INDEX(DarlAnschluss,19))</f>
      </c>
      <c r="I8708" s="43">
        <f>IF(INDEX(DarlBelegt,19)=0,0,IF(INDEX(DarlOhneTilgung,19)=1,IF(INDEX(DarlBindung,19)="",1,$G8708),IF($J8708&gt;0.005,1,0)))</f>
      </c>
      <c r="J8708" s="43">
        <f>IF($I8707=0,0,$R8707)</f>
      </c>
      <c r="K8708" s="43">
        <f>IF($I8708=0,0,IF(INDEX(DarlOhneTilgung,19)=1,0,IF(AND(INDEX(DarlTilgStart,19)&gt;0,$E8708=INDEX(DarlTilgStart,19)),$J8708*($H8708+INDEX(DarlTilgung,19))/100/12,IF(AND($G8708=0,$G8707=1),MAX($K8707,$J8708*($H8708+1)/100/12),$K8707))))</f>
      </c>
      <c r="L8708" s="43">
        <f>IF($I8708=0,0,$J8708*$H8708/100/12)</f>
      </c>
      <c r="M8708" s="43">
        <f>IF($I8708=0,0,IF(OR(INDEX(DarlOhneTilgung,19)=1,AND(INDEX(DarlTilgStart,19)&gt;0,$E8708&lt;INDEX(DarlTilgStart,19))),0,MIN(MAX(0,$K8708-$L8708),$J8708)))</f>
      </c>
      <c r="N8708" s="43">
        <f>IF($I8708=0,0,MIN(SUMIFS(SondBetrag,SondDarl,19,SondDatum,"&gt;="&amp;$E8708,SondDatum,"&lt;="&amp;EOMONTH($E8708,0)),$J8708-$M8708))</f>
      </c>
      <c r="O8708" s="43">
        <f>IF($I8708=0,0,INDEX(DarlErsatzRate,19))</f>
      </c>
      <c r="P8708" s="43">
        <f>IF($I8708=0,0,$Q8707*INDEX(DarlErsatzZins,19))</f>
      </c>
      <c r="Q8708" s="43">
        <f>IF($I8708=0,0,$Q8707+$P8708+$O8708)</f>
      </c>
      <c r="R8708" s="43">
        <f>IF($I8708=0,0,$J8708-$M8708-$N8708)</f>
      </c>
    </row>
    <row r="8709">
      <c r="A8709"/>
      <c r="B8709">
        <v>19</v>
      </c>
      <c r="C8709" s="43">
        <f>INDEX(DarlObj,19)</f>
      </c>
      <c r="D8709">
        <v>66</v>
      </c>
      <c r="E8709" s="51">
        <f>IF(INDEX(DarlBelegt,19)=0,0,EOMONTH(INDEX(DarlAuszahlung,19),65)+1)</f>
      </c>
      <c r="F8709" s="43">
        <f>IF($E8709=0,0,YEAR($E8709))</f>
      </c>
      <c r="G8709" s="43">
        <f>IF(INDEX(DarlBindung,19)="",1,IF($E8709&lt;=INDEX(DarlBindung,19),1,0))</f>
      </c>
      <c r="H8709" s="43">
        <f>IF($G8709=1,INDEX(DarlSollzins,19),INDEX(DarlAnschluss,19))</f>
      </c>
      <c r="I8709" s="43">
        <f>IF(INDEX(DarlBelegt,19)=0,0,IF(INDEX(DarlOhneTilgung,19)=1,IF(INDEX(DarlBindung,19)="",1,$G8709),IF($J8709&gt;0.005,1,0)))</f>
      </c>
      <c r="J8709" s="43">
        <f>IF($I8708=0,0,$R8708)</f>
      </c>
      <c r="K8709" s="43">
        <f>IF($I8709=0,0,IF(INDEX(DarlOhneTilgung,19)=1,0,IF(AND(INDEX(DarlTilgStart,19)&gt;0,$E8709=INDEX(DarlTilgStart,19)),$J8709*($H8709+INDEX(DarlTilgung,19))/100/12,IF(AND($G8709=0,$G8708=1),MAX($K8708,$J8709*($H8709+1)/100/12),$K8708))))</f>
      </c>
      <c r="L8709" s="43">
        <f>IF($I8709=0,0,$J8709*$H8709/100/12)</f>
      </c>
      <c r="M8709" s="43">
        <f>IF($I8709=0,0,IF(OR(INDEX(DarlOhneTilgung,19)=1,AND(INDEX(DarlTilgStart,19)&gt;0,$E8709&lt;INDEX(DarlTilgStart,19))),0,MIN(MAX(0,$K8709-$L8709),$J8709)))</f>
      </c>
      <c r="N8709" s="43">
        <f>IF($I8709=0,0,MIN(SUMIFS(SondBetrag,SondDarl,19,SondDatum,"&gt;="&amp;$E8709,SondDatum,"&lt;="&amp;EOMONTH($E8709,0)),$J8709-$M8709))</f>
      </c>
      <c r="O8709" s="43">
        <f>IF($I8709=0,0,INDEX(DarlErsatzRate,19))</f>
      </c>
      <c r="P8709" s="43">
        <f>IF($I8709=0,0,$Q8708*INDEX(DarlErsatzZins,19))</f>
      </c>
      <c r="Q8709" s="43">
        <f>IF($I8709=0,0,$Q8708+$P8709+$O8709)</f>
      </c>
      <c r="R8709" s="43">
        <f>IF($I8709=0,0,$J8709-$M8709-$N8709)</f>
      </c>
    </row>
    <row r="8710">
      <c r="A8710"/>
      <c r="B8710">
        <v>19</v>
      </c>
      <c r="C8710" s="43">
        <f>INDEX(DarlObj,19)</f>
      </c>
      <c r="D8710">
        <v>67</v>
      </c>
      <c r="E8710" s="51">
        <f>IF(INDEX(DarlBelegt,19)=0,0,EOMONTH(INDEX(DarlAuszahlung,19),66)+1)</f>
      </c>
      <c r="F8710" s="43">
        <f>IF($E8710=0,0,YEAR($E8710))</f>
      </c>
      <c r="G8710" s="43">
        <f>IF(INDEX(DarlBindung,19)="",1,IF($E8710&lt;=INDEX(DarlBindung,19),1,0))</f>
      </c>
      <c r="H8710" s="43">
        <f>IF($G8710=1,INDEX(DarlSollzins,19),INDEX(DarlAnschluss,19))</f>
      </c>
      <c r="I8710" s="43">
        <f>IF(INDEX(DarlBelegt,19)=0,0,IF(INDEX(DarlOhneTilgung,19)=1,IF(INDEX(DarlBindung,19)="",1,$G8710),IF($J8710&gt;0.005,1,0)))</f>
      </c>
      <c r="J8710" s="43">
        <f>IF($I8709=0,0,$R8709)</f>
      </c>
      <c r="K8710" s="43">
        <f>IF($I8710=0,0,IF(INDEX(DarlOhneTilgung,19)=1,0,IF(AND(INDEX(DarlTilgStart,19)&gt;0,$E8710=INDEX(DarlTilgStart,19)),$J8710*($H8710+INDEX(DarlTilgung,19))/100/12,IF(AND($G8710=0,$G8709=1),MAX($K8709,$J8710*($H8710+1)/100/12),$K8709))))</f>
      </c>
      <c r="L8710" s="43">
        <f>IF($I8710=0,0,$J8710*$H8710/100/12)</f>
      </c>
      <c r="M8710" s="43">
        <f>IF($I8710=0,0,IF(OR(INDEX(DarlOhneTilgung,19)=1,AND(INDEX(DarlTilgStart,19)&gt;0,$E8710&lt;INDEX(DarlTilgStart,19))),0,MIN(MAX(0,$K8710-$L8710),$J8710)))</f>
      </c>
      <c r="N8710" s="43">
        <f>IF($I8710=0,0,MIN(SUMIFS(SondBetrag,SondDarl,19,SondDatum,"&gt;="&amp;$E8710,SondDatum,"&lt;="&amp;EOMONTH($E8710,0)),$J8710-$M8710))</f>
      </c>
      <c r="O8710" s="43">
        <f>IF($I8710=0,0,INDEX(DarlErsatzRate,19))</f>
      </c>
      <c r="P8710" s="43">
        <f>IF($I8710=0,0,$Q8709*INDEX(DarlErsatzZins,19))</f>
      </c>
      <c r="Q8710" s="43">
        <f>IF($I8710=0,0,$Q8709+$P8710+$O8710)</f>
      </c>
      <c r="R8710" s="43">
        <f>IF($I8710=0,0,$J8710-$M8710-$N8710)</f>
      </c>
    </row>
    <row r="8711">
      <c r="A8711"/>
      <c r="B8711">
        <v>19</v>
      </c>
      <c r="C8711" s="43">
        <f>INDEX(DarlObj,19)</f>
      </c>
      <c r="D8711">
        <v>68</v>
      </c>
      <c r="E8711" s="51">
        <f>IF(INDEX(DarlBelegt,19)=0,0,EOMONTH(INDEX(DarlAuszahlung,19),67)+1)</f>
      </c>
      <c r="F8711" s="43">
        <f>IF($E8711=0,0,YEAR($E8711))</f>
      </c>
      <c r="G8711" s="43">
        <f>IF(INDEX(DarlBindung,19)="",1,IF($E8711&lt;=INDEX(DarlBindung,19),1,0))</f>
      </c>
      <c r="H8711" s="43">
        <f>IF($G8711=1,INDEX(DarlSollzins,19),INDEX(DarlAnschluss,19))</f>
      </c>
      <c r="I8711" s="43">
        <f>IF(INDEX(DarlBelegt,19)=0,0,IF(INDEX(DarlOhneTilgung,19)=1,IF(INDEX(DarlBindung,19)="",1,$G8711),IF($J8711&gt;0.005,1,0)))</f>
      </c>
      <c r="J8711" s="43">
        <f>IF($I8710=0,0,$R8710)</f>
      </c>
      <c r="K8711" s="43">
        <f>IF($I8711=0,0,IF(INDEX(DarlOhneTilgung,19)=1,0,IF(AND(INDEX(DarlTilgStart,19)&gt;0,$E8711=INDEX(DarlTilgStart,19)),$J8711*($H8711+INDEX(DarlTilgung,19))/100/12,IF(AND($G8711=0,$G8710=1),MAX($K8710,$J8711*($H8711+1)/100/12),$K8710))))</f>
      </c>
      <c r="L8711" s="43">
        <f>IF($I8711=0,0,$J8711*$H8711/100/12)</f>
      </c>
      <c r="M8711" s="43">
        <f>IF($I8711=0,0,IF(OR(INDEX(DarlOhneTilgung,19)=1,AND(INDEX(DarlTilgStart,19)&gt;0,$E8711&lt;INDEX(DarlTilgStart,19))),0,MIN(MAX(0,$K8711-$L8711),$J8711)))</f>
      </c>
      <c r="N8711" s="43">
        <f>IF($I8711=0,0,MIN(SUMIFS(SondBetrag,SondDarl,19,SondDatum,"&gt;="&amp;$E8711,SondDatum,"&lt;="&amp;EOMONTH($E8711,0)),$J8711-$M8711))</f>
      </c>
      <c r="O8711" s="43">
        <f>IF($I8711=0,0,INDEX(DarlErsatzRate,19))</f>
      </c>
      <c r="P8711" s="43">
        <f>IF($I8711=0,0,$Q8710*INDEX(DarlErsatzZins,19))</f>
      </c>
      <c r="Q8711" s="43">
        <f>IF($I8711=0,0,$Q8710+$P8711+$O8711)</f>
      </c>
      <c r="R8711" s="43">
        <f>IF($I8711=0,0,$J8711-$M8711-$N8711)</f>
      </c>
    </row>
    <row r="8712">
      <c r="A8712"/>
      <c r="B8712">
        <v>19</v>
      </c>
      <c r="C8712" s="43">
        <f>INDEX(DarlObj,19)</f>
      </c>
      <c r="D8712">
        <v>69</v>
      </c>
      <c r="E8712" s="51">
        <f>IF(INDEX(DarlBelegt,19)=0,0,EOMONTH(INDEX(DarlAuszahlung,19),68)+1)</f>
      </c>
      <c r="F8712" s="43">
        <f>IF($E8712=0,0,YEAR($E8712))</f>
      </c>
      <c r="G8712" s="43">
        <f>IF(INDEX(DarlBindung,19)="",1,IF($E8712&lt;=INDEX(DarlBindung,19),1,0))</f>
      </c>
      <c r="H8712" s="43">
        <f>IF($G8712=1,INDEX(DarlSollzins,19),INDEX(DarlAnschluss,19))</f>
      </c>
      <c r="I8712" s="43">
        <f>IF(INDEX(DarlBelegt,19)=0,0,IF(INDEX(DarlOhneTilgung,19)=1,IF(INDEX(DarlBindung,19)="",1,$G8712),IF($J8712&gt;0.005,1,0)))</f>
      </c>
      <c r="J8712" s="43">
        <f>IF($I8711=0,0,$R8711)</f>
      </c>
      <c r="K8712" s="43">
        <f>IF($I8712=0,0,IF(INDEX(DarlOhneTilgung,19)=1,0,IF(AND(INDEX(DarlTilgStart,19)&gt;0,$E8712=INDEX(DarlTilgStart,19)),$J8712*($H8712+INDEX(DarlTilgung,19))/100/12,IF(AND($G8712=0,$G8711=1),MAX($K8711,$J8712*($H8712+1)/100/12),$K8711))))</f>
      </c>
      <c r="L8712" s="43">
        <f>IF($I8712=0,0,$J8712*$H8712/100/12)</f>
      </c>
      <c r="M8712" s="43">
        <f>IF($I8712=0,0,IF(OR(INDEX(DarlOhneTilgung,19)=1,AND(INDEX(DarlTilgStart,19)&gt;0,$E8712&lt;INDEX(DarlTilgStart,19))),0,MIN(MAX(0,$K8712-$L8712),$J8712)))</f>
      </c>
      <c r="N8712" s="43">
        <f>IF($I8712=0,0,MIN(SUMIFS(SondBetrag,SondDarl,19,SondDatum,"&gt;="&amp;$E8712,SondDatum,"&lt;="&amp;EOMONTH($E8712,0)),$J8712-$M8712))</f>
      </c>
      <c r="O8712" s="43">
        <f>IF($I8712=0,0,INDEX(DarlErsatzRate,19))</f>
      </c>
      <c r="P8712" s="43">
        <f>IF($I8712=0,0,$Q8711*INDEX(DarlErsatzZins,19))</f>
      </c>
      <c r="Q8712" s="43">
        <f>IF($I8712=0,0,$Q8711+$P8712+$O8712)</f>
      </c>
      <c r="R8712" s="43">
        <f>IF($I8712=0,0,$J8712-$M8712-$N8712)</f>
      </c>
    </row>
    <row r="8713">
      <c r="A8713"/>
      <c r="B8713">
        <v>19</v>
      </c>
      <c r="C8713" s="43">
        <f>INDEX(DarlObj,19)</f>
      </c>
      <c r="D8713">
        <v>70</v>
      </c>
      <c r="E8713" s="51">
        <f>IF(INDEX(DarlBelegt,19)=0,0,EOMONTH(INDEX(DarlAuszahlung,19),69)+1)</f>
      </c>
      <c r="F8713" s="43">
        <f>IF($E8713=0,0,YEAR($E8713))</f>
      </c>
      <c r="G8713" s="43">
        <f>IF(INDEX(DarlBindung,19)="",1,IF($E8713&lt;=INDEX(DarlBindung,19),1,0))</f>
      </c>
      <c r="H8713" s="43">
        <f>IF($G8713=1,INDEX(DarlSollzins,19),INDEX(DarlAnschluss,19))</f>
      </c>
      <c r="I8713" s="43">
        <f>IF(INDEX(DarlBelegt,19)=0,0,IF(INDEX(DarlOhneTilgung,19)=1,IF(INDEX(DarlBindung,19)="",1,$G8713),IF($J8713&gt;0.005,1,0)))</f>
      </c>
      <c r="J8713" s="43">
        <f>IF($I8712=0,0,$R8712)</f>
      </c>
      <c r="K8713" s="43">
        <f>IF($I8713=0,0,IF(INDEX(DarlOhneTilgung,19)=1,0,IF(AND(INDEX(DarlTilgStart,19)&gt;0,$E8713=INDEX(DarlTilgStart,19)),$J8713*($H8713+INDEX(DarlTilgung,19))/100/12,IF(AND($G8713=0,$G8712=1),MAX($K8712,$J8713*($H8713+1)/100/12),$K8712))))</f>
      </c>
      <c r="L8713" s="43">
        <f>IF($I8713=0,0,$J8713*$H8713/100/12)</f>
      </c>
      <c r="M8713" s="43">
        <f>IF($I8713=0,0,IF(OR(INDEX(DarlOhneTilgung,19)=1,AND(INDEX(DarlTilgStart,19)&gt;0,$E8713&lt;INDEX(DarlTilgStart,19))),0,MIN(MAX(0,$K8713-$L8713),$J8713)))</f>
      </c>
      <c r="N8713" s="43">
        <f>IF($I8713=0,0,MIN(SUMIFS(SondBetrag,SondDarl,19,SondDatum,"&gt;="&amp;$E8713,SondDatum,"&lt;="&amp;EOMONTH($E8713,0)),$J8713-$M8713))</f>
      </c>
      <c r="O8713" s="43">
        <f>IF($I8713=0,0,INDEX(DarlErsatzRate,19))</f>
      </c>
      <c r="P8713" s="43">
        <f>IF($I8713=0,0,$Q8712*INDEX(DarlErsatzZins,19))</f>
      </c>
      <c r="Q8713" s="43">
        <f>IF($I8713=0,0,$Q8712+$P8713+$O8713)</f>
      </c>
      <c r="R8713" s="43">
        <f>IF($I8713=0,0,$J8713-$M8713-$N8713)</f>
      </c>
    </row>
    <row r="8714">
      <c r="A8714"/>
      <c r="B8714">
        <v>19</v>
      </c>
      <c r="C8714" s="43">
        <f>INDEX(DarlObj,19)</f>
      </c>
      <c r="D8714">
        <v>71</v>
      </c>
      <c r="E8714" s="51">
        <f>IF(INDEX(DarlBelegt,19)=0,0,EOMONTH(INDEX(DarlAuszahlung,19),70)+1)</f>
      </c>
      <c r="F8714" s="43">
        <f>IF($E8714=0,0,YEAR($E8714))</f>
      </c>
      <c r="G8714" s="43">
        <f>IF(INDEX(DarlBindung,19)="",1,IF($E8714&lt;=INDEX(DarlBindung,19),1,0))</f>
      </c>
      <c r="H8714" s="43">
        <f>IF($G8714=1,INDEX(DarlSollzins,19),INDEX(DarlAnschluss,19))</f>
      </c>
      <c r="I8714" s="43">
        <f>IF(INDEX(DarlBelegt,19)=0,0,IF(INDEX(DarlOhneTilgung,19)=1,IF(INDEX(DarlBindung,19)="",1,$G8714),IF($J8714&gt;0.005,1,0)))</f>
      </c>
      <c r="J8714" s="43">
        <f>IF($I8713=0,0,$R8713)</f>
      </c>
      <c r="K8714" s="43">
        <f>IF($I8714=0,0,IF(INDEX(DarlOhneTilgung,19)=1,0,IF(AND(INDEX(DarlTilgStart,19)&gt;0,$E8714=INDEX(DarlTilgStart,19)),$J8714*($H8714+INDEX(DarlTilgung,19))/100/12,IF(AND($G8714=0,$G8713=1),MAX($K8713,$J8714*($H8714+1)/100/12),$K8713))))</f>
      </c>
      <c r="L8714" s="43">
        <f>IF($I8714=0,0,$J8714*$H8714/100/12)</f>
      </c>
      <c r="M8714" s="43">
        <f>IF($I8714=0,0,IF(OR(INDEX(DarlOhneTilgung,19)=1,AND(INDEX(DarlTilgStart,19)&gt;0,$E8714&lt;INDEX(DarlTilgStart,19))),0,MIN(MAX(0,$K8714-$L8714),$J8714)))</f>
      </c>
      <c r="N8714" s="43">
        <f>IF($I8714=0,0,MIN(SUMIFS(SondBetrag,SondDarl,19,SondDatum,"&gt;="&amp;$E8714,SondDatum,"&lt;="&amp;EOMONTH($E8714,0)),$J8714-$M8714))</f>
      </c>
      <c r="O8714" s="43">
        <f>IF($I8714=0,0,INDEX(DarlErsatzRate,19))</f>
      </c>
      <c r="P8714" s="43">
        <f>IF($I8714=0,0,$Q8713*INDEX(DarlErsatzZins,19))</f>
      </c>
      <c r="Q8714" s="43">
        <f>IF($I8714=0,0,$Q8713+$P8714+$O8714)</f>
      </c>
      <c r="R8714" s="43">
        <f>IF($I8714=0,0,$J8714-$M8714-$N8714)</f>
      </c>
    </row>
    <row r="8715">
      <c r="A8715"/>
      <c r="B8715">
        <v>19</v>
      </c>
      <c r="C8715" s="43">
        <f>INDEX(DarlObj,19)</f>
      </c>
      <c r="D8715">
        <v>72</v>
      </c>
      <c r="E8715" s="51">
        <f>IF(INDEX(DarlBelegt,19)=0,0,EOMONTH(INDEX(DarlAuszahlung,19),71)+1)</f>
      </c>
      <c r="F8715" s="43">
        <f>IF($E8715=0,0,YEAR($E8715))</f>
      </c>
      <c r="G8715" s="43">
        <f>IF(INDEX(DarlBindung,19)="",1,IF($E8715&lt;=INDEX(DarlBindung,19),1,0))</f>
      </c>
      <c r="H8715" s="43">
        <f>IF($G8715=1,INDEX(DarlSollzins,19),INDEX(DarlAnschluss,19))</f>
      </c>
      <c r="I8715" s="43">
        <f>IF(INDEX(DarlBelegt,19)=0,0,IF(INDEX(DarlOhneTilgung,19)=1,IF(INDEX(DarlBindung,19)="",1,$G8715),IF($J8715&gt;0.005,1,0)))</f>
      </c>
      <c r="J8715" s="43">
        <f>IF($I8714=0,0,$R8714)</f>
      </c>
      <c r="K8715" s="43">
        <f>IF($I8715=0,0,IF(INDEX(DarlOhneTilgung,19)=1,0,IF(AND(INDEX(DarlTilgStart,19)&gt;0,$E8715=INDEX(DarlTilgStart,19)),$J8715*($H8715+INDEX(DarlTilgung,19))/100/12,IF(AND($G8715=0,$G8714=1),MAX($K8714,$J8715*($H8715+1)/100/12),$K8714))))</f>
      </c>
      <c r="L8715" s="43">
        <f>IF($I8715=0,0,$J8715*$H8715/100/12)</f>
      </c>
      <c r="M8715" s="43">
        <f>IF($I8715=0,0,IF(OR(INDEX(DarlOhneTilgung,19)=1,AND(INDEX(DarlTilgStart,19)&gt;0,$E8715&lt;INDEX(DarlTilgStart,19))),0,MIN(MAX(0,$K8715-$L8715),$J8715)))</f>
      </c>
      <c r="N8715" s="43">
        <f>IF($I8715=0,0,MIN(SUMIFS(SondBetrag,SondDarl,19,SondDatum,"&gt;="&amp;$E8715,SondDatum,"&lt;="&amp;EOMONTH($E8715,0)),$J8715-$M8715))</f>
      </c>
      <c r="O8715" s="43">
        <f>IF($I8715=0,0,INDEX(DarlErsatzRate,19))</f>
      </c>
      <c r="P8715" s="43">
        <f>IF($I8715=0,0,$Q8714*INDEX(DarlErsatzZins,19))</f>
      </c>
      <c r="Q8715" s="43">
        <f>IF($I8715=0,0,$Q8714+$P8715+$O8715)</f>
      </c>
      <c r="R8715" s="43">
        <f>IF($I8715=0,0,$J8715-$M8715-$N8715)</f>
      </c>
    </row>
    <row r="8716">
      <c r="A8716"/>
      <c r="B8716">
        <v>19</v>
      </c>
      <c r="C8716" s="43">
        <f>INDEX(DarlObj,19)</f>
      </c>
      <c r="D8716">
        <v>73</v>
      </c>
      <c r="E8716" s="51">
        <f>IF(INDEX(DarlBelegt,19)=0,0,EOMONTH(INDEX(DarlAuszahlung,19),72)+1)</f>
      </c>
      <c r="F8716" s="43">
        <f>IF($E8716=0,0,YEAR($E8716))</f>
      </c>
      <c r="G8716" s="43">
        <f>IF(INDEX(DarlBindung,19)="",1,IF($E8716&lt;=INDEX(DarlBindung,19),1,0))</f>
      </c>
      <c r="H8716" s="43">
        <f>IF($G8716=1,INDEX(DarlSollzins,19),INDEX(DarlAnschluss,19))</f>
      </c>
      <c r="I8716" s="43">
        <f>IF(INDEX(DarlBelegt,19)=0,0,IF(INDEX(DarlOhneTilgung,19)=1,IF(INDEX(DarlBindung,19)="",1,$G8716),IF($J8716&gt;0.005,1,0)))</f>
      </c>
      <c r="J8716" s="43">
        <f>IF($I8715=0,0,$R8715)</f>
      </c>
      <c r="K8716" s="43">
        <f>IF($I8716=0,0,IF(INDEX(DarlOhneTilgung,19)=1,0,IF(AND(INDEX(DarlTilgStart,19)&gt;0,$E8716=INDEX(DarlTilgStart,19)),$J8716*($H8716+INDEX(DarlTilgung,19))/100/12,IF(AND($G8716=0,$G8715=1),MAX($K8715,$J8716*($H8716+1)/100/12),$K8715))))</f>
      </c>
      <c r="L8716" s="43">
        <f>IF($I8716=0,0,$J8716*$H8716/100/12)</f>
      </c>
      <c r="M8716" s="43">
        <f>IF($I8716=0,0,IF(OR(INDEX(DarlOhneTilgung,19)=1,AND(INDEX(DarlTilgStart,19)&gt;0,$E8716&lt;INDEX(DarlTilgStart,19))),0,MIN(MAX(0,$K8716-$L8716),$J8716)))</f>
      </c>
      <c r="N8716" s="43">
        <f>IF($I8716=0,0,MIN(SUMIFS(SondBetrag,SondDarl,19,SondDatum,"&gt;="&amp;$E8716,SondDatum,"&lt;="&amp;EOMONTH($E8716,0)),$J8716-$M8716))</f>
      </c>
      <c r="O8716" s="43">
        <f>IF($I8716=0,0,INDEX(DarlErsatzRate,19))</f>
      </c>
      <c r="P8716" s="43">
        <f>IF($I8716=0,0,$Q8715*INDEX(DarlErsatzZins,19))</f>
      </c>
      <c r="Q8716" s="43">
        <f>IF($I8716=0,0,$Q8715+$P8716+$O8716)</f>
      </c>
      <c r="R8716" s="43">
        <f>IF($I8716=0,0,$J8716-$M8716-$N8716)</f>
      </c>
    </row>
    <row r="8717">
      <c r="A8717"/>
      <c r="B8717">
        <v>19</v>
      </c>
      <c r="C8717" s="43">
        <f>INDEX(DarlObj,19)</f>
      </c>
      <c r="D8717">
        <v>74</v>
      </c>
      <c r="E8717" s="51">
        <f>IF(INDEX(DarlBelegt,19)=0,0,EOMONTH(INDEX(DarlAuszahlung,19),73)+1)</f>
      </c>
      <c r="F8717" s="43">
        <f>IF($E8717=0,0,YEAR($E8717))</f>
      </c>
      <c r="G8717" s="43">
        <f>IF(INDEX(DarlBindung,19)="",1,IF($E8717&lt;=INDEX(DarlBindung,19),1,0))</f>
      </c>
      <c r="H8717" s="43">
        <f>IF($G8717=1,INDEX(DarlSollzins,19),INDEX(DarlAnschluss,19))</f>
      </c>
      <c r="I8717" s="43">
        <f>IF(INDEX(DarlBelegt,19)=0,0,IF(INDEX(DarlOhneTilgung,19)=1,IF(INDEX(DarlBindung,19)="",1,$G8717),IF($J8717&gt;0.005,1,0)))</f>
      </c>
      <c r="J8717" s="43">
        <f>IF($I8716=0,0,$R8716)</f>
      </c>
      <c r="K8717" s="43">
        <f>IF($I8717=0,0,IF(INDEX(DarlOhneTilgung,19)=1,0,IF(AND(INDEX(DarlTilgStart,19)&gt;0,$E8717=INDEX(DarlTilgStart,19)),$J8717*($H8717+INDEX(DarlTilgung,19))/100/12,IF(AND($G8717=0,$G8716=1),MAX($K8716,$J8717*($H8717+1)/100/12),$K8716))))</f>
      </c>
      <c r="L8717" s="43">
        <f>IF($I8717=0,0,$J8717*$H8717/100/12)</f>
      </c>
      <c r="M8717" s="43">
        <f>IF($I8717=0,0,IF(OR(INDEX(DarlOhneTilgung,19)=1,AND(INDEX(DarlTilgStart,19)&gt;0,$E8717&lt;INDEX(DarlTilgStart,19))),0,MIN(MAX(0,$K8717-$L8717),$J8717)))</f>
      </c>
      <c r="N8717" s="43">
        <f>IF($I8717=0,0,MIN(SUMIFS(SondBetrag,SondDarl,19,SondDatum,"&gt;="&amp;$E8717,SondDatum,"&lt;="&amp;EOMONTH($E8717,0)),$J8717-$M8717))</f>
      </c>
      <c r="O8717" s="43">
        <f>IF($I8717=0,0,INDEX(DarlErsatzRate,19))</f>
      </c>
      <c r="P8717" s="43">
        <f>IF($I8717=0,0,$Q8716*INDEX(DarlErsatzZins,19))</f>
      </c>
      <c r="Q8717" s="43">
        <f>IF($I8717=0,0,$Q8716+$P8717+$O8717)</f>
      </c>
      <c r="R8717" s="43">
        <f>IF($I8717=0,0,$J8717-$M8717-$N8717)</f>
      </c>
    </row>
    <row r="8718">
      <c r="A8718"/>
      <c r="B8718">
        <v>19</v>
      </c>
      <c r="C8718" s="43">
        <f>INDEX(DarlObj,19)</f>
      </c>
      <c r="D8718">
        <v>75</v>
      </c>
      <c r="E8718" s="51">
        <f>IF(INDEX(DarlBelegt,19)=0,0,EOMONTH(INDEX(DarlAuszahlung,19),74)+1)</f>
      </c>
      <c r="F8718" s="43">
        <f>IF($E8718=0,0,YEAR($E8718))</f>
      </c>
      <c r="G8718" s="43">
        <f>IF(INDEX(DarlBindung,19)="",1,IF($E8718&lt;=INDEX(DarlBindung,19),1,0))</f>
      </c>
      <c r="H8718" s="43">
        <f>IF($G8718=1,INDEX(DarlSollzins,19),INDEX(DarlAnschluss,19))</f>
      </c>
      <c r="I8718" s="43">
        <f>IF(INDEX(DarlBelegt,19)=0,0,IF(INDEX(DarlOhneTilgung,19)=1,IF(INDEX(DarlBindung,19)="",1,$G8718),IF($J8718&gt;0.005,1,0)))</f>
      </c>
      <c r="J8718" s="43">
        <f>IF($I8717=0,0,$R8717)</f>
      </c>
      <c r="K8718" s="43">
        <f>IF($I8718=0,0,IF(INDEX(DarlOhneTilgung,19)=1,0,IF(AND(INDEX(DarlTilgStart,19)&gt;0,$E8718=INDEX(DarlTilgStart,19)),$J8718*($H8718+INDEX(DarlTilgung,19))/100/12,IF(AND($G8718=0,$G8717=1),MAX($K8717,$J8718*($H8718+1)/100/12),$K8717))))</f>
      </c>
      <c r="L8718" s="43">
        <f>IF($I8718=0,0,$J8718*$H8718/100/12)</f>
      </c>
      <c r="M8718" s="43">
        <f>IF($I8718=0,0,IF(OR(INDEX(DarlOhneTilgung,19)=1,AND(INDEX(DarlTilgStart,19)&gt;0,$E8718&lt;INDEX(DarlTilgStart,19))),0,MIN(MAX(0,$K8718-$L8718),$J8718)))</f>
      </c>
      <c r="N8718" s="43">
        <f>IF($I8718=0,0,MIN(SUMIFS(SondBetrag,SondDarl,19,SondDatum,"&gt;="&amp;$E8718,SondDatum,"&lt;="&amp;EOMONTH($E8718,0)),$J8718-$M8718))</f>
      </c>
      <c r="O8718" s="43">
        <f>IF($I8718=0,0,INDEX(DarlErsatzRate,19))</f>
      </c>
      <c r="P8718" s="43">
        <f>IF($I8718=0,0,$Q8717*INDEX(DarlErsatzZins,19))</f>
      </c>
      <c r="Q8718" s="43">
        <f>IF($I8718=0,0,$Q8717+$P8718+$O8718)</f>
      </c>
      <c r="R8718" s="43">
        <f>IF($I8718=0,0,$J8718-$M8718-$N8718)</f>
      </c>
    </row>
    <row r="8719">
      <c r="A8719"/>
      <c r="B8719">
        <v>19</v>
      </c>
      <c r="C8719" s="43">
        <f>INDEX(DarlObj,19)</f>
      </c>
      <c r="D8719">
        <v>76</v>
      </c>
      <c r="E8719" s="51">
        <f>IF(INDEX(DarlBelegt,19)=0,0,EOMONTH(INDEX(DarlAuszahlung,19),75)+1)</f>
      </c>
      <c r="F8719" s="43">
        <f>IF($E8719=0,0,YEAR($E8719))</f>
      </c>
      <c r="G8719" s="43">
        <f>IF(INDEX(DarlBindung,19)="",1,IF($E8719&lt;=INDEX(DarlBindung,19),1,0))</f>
      </c>
      <c r="H8719" s="43">
        <f>IF($G8719=1,INDEX(DarlSollzins,19),INDEX(DarlAnschluss,19))</f>
      </c>
      <c r="I8719" s="43">
        <f>IF(INDEX(DarlBelegt,19)=0,0,IF(INDEX(DarlOhneTilgung,19)=1,IF(INDEX(DarlBindung,19)="",1,$G8719),IF($J8719&gt;0.005,1,0)))</f>
      </c>
      <c r="J8719" s="43">
        <f>IF($I8718=0,0,$R8718)</f>
      </c>
      <c r="K8719" s="43">
        <f>IF($I8719=0,0,IF(INDEX(DarlOhneTilgung,19)=1,0,IF(AND(INDEX(DarlTilgStart,19)&gt;0,$E8719=INDEX(DarlTilgStart,19)),$J8719*($H8719+INDEX(DarlTilgung,19))/100/12,IF(AND($G8719=0,$G8718=1),MAX($K8718,$J8719*($H8719+1)/100/12),$K8718))))</f>
      </c>
      <c r="L8719" s="43">
        <f>IF($I8719=0,0,$J8719*$H8719/100/12)</f>
      </c>
      <c r="M8719" s="43">
        <f>IF($I8719=0,0,IF(OR(INDEX(DarlOhneTilgung,19)=1,AND(INDEX(DarlTilgStart,19)&gt;0,$E8719&lt;INDEX(DarlTilgStart,19))),0,MIN(MAX(0,$K8719-$L8719),$J8719)))</f>
      </c>
      <c r="N8719" s="43">
        <f>IF($I8719=0,0,MIN(SUMIFS(SondBetrag,SondDarl,19,SondDatum,"&gt;="&amp;$E8719,SondDatum,"&lt;="&amp;EOMONTH($E8719,0)),$J8719-$M8719))</f>
      </c>
      <c r="O8719" s="43">
        <f>IF($I8719=0,0,INDEX(DarlErsatzRate,19))</f>
      </c>
      <c r="P8719" s="43">
        <f>IF($I8719=0,0,$Q8718*INDEX(DarlErsatzZins,19))</f>
      </c>
      <c r="Q8719" s="43">
        <f>IF($I8719=0,0,$Q8718+$P8719+$O8719)</f>
      </c>
      <c r="R8719" s="43">
        <f>IF($I8719=0,0,$J8719-$M8719-$N8719)</f>
      </c>
    </row>
    <row r="8720">
      <c r="A8720"/>
      <c r="B8720">
        <v>19</v>
      </c>
      <c r="C8720" s="43">
        <f>INDEX(DarlObj,19)</f>
      </c>
      <c r="D8720">
        <v>77</v>
      </c>
      <c r="E8720" s="51">
        <f>IF(INDEX(DarlBelegt,19)=0,0,EOMONTH(INDEX(DarlAuszahlung,19),76)+1)</f>
      </c>
      <c r="F8720" s="43">
        <f>IF($E8720=0,0,YEAR($E8720))</f>
      </c>
      <c r="G8720" s="43">
        <f>IF(INDEX(DarlBindung,19)="",1,IF($E8720&lt;=INDEX(DarlBindung,19),1,0))</f>
      </c>
      <c r="H8720" s="43">
        <f>IF($G8720=1,INDEX(DarlSollzins,19),INDEX(DarlAnschluss,19))</f>
      </c>
      <c r="I8720" s="43">
        <f>IF(INDEX(DarlBelegt,19)=0,0,IF(INDEX(DarlOhneTilgung,19)=1,IF(INDEX(DarlBindung,19)="",1,$G8720),IF($J8720&gt;0.005,1,0)))</f>
      </c>
      <c r="J8720" s="43">
        <f>IF($I8719=0,0,$R8719)</f>
      </c>
      <c r="K8720" s="43">
        <f>IF($I8720=0,0,IF(INDEX(DarlOhneTilgung,19)=1,0,IF(AND(INDEX(DarlTilgStart,19)&gt;0,$E8720=INDEX(DarlTilgStart,19)),$J8720*($H8720+INDEX(DarlTilgung,19))/100/12,IF(AND($G8720=0,$G8719=1),MAX($K8719,$J8720*($H8720+1)/100/12),$K8719))))</f>
      </c>
      <c r="L8720" s="43">
        <f>IF($I8720=0,0,$J8720*$H8720/100/12)</f>
      </c>
      <c r="M8720" s="43">
        <f>IF($I8720=0,0,IF(OR(INDEX(DarlOhneTilgung,19)=1,AND(INDEX(DarlTilgStart,19)&gt;0,$E8720&lt;INDEX(DarlTilgStart,19))),0,MIN(MAX(0,$K8720-$L8720),$J8720)))</f>
      </c>
      <c r="N8720" s="43">
        <f>IF($I8720=0,0,MIN(SUMIFS(SondBetrag,SondDarl,19,SondDatum,"&gt;="&amp;$E8720,SondDatum,"&lt;="&amp;EOMONTH($E8720,0)),$J8720-$M8720))</f>
      </c>
      <c r="O8720" s="43">
        <f>IF($I8720=0,0,INDEX(DarlErsatzRate,19))</f>
      </c>
      <c r="P8720" s="43">
        <f>IF($I8720=0,0,$Q8719*INDEX(DarlErsatzZins,19))</f>
      </c>
      <c r="Q8720" s="43">
        <f>IF($I8720=0,0,$Q8719+$P8720+$O8720)</f>
      </c>
      <c r="R8720" s="43">
        <f>IF($I8720=0,0,$J8720-$M8720-$N8720)</f>
      </c>
    </row>
    <row r="8721">
      <c r="A8721"/>
      <c r="B8721">
        <v>19</v>
      </c>
      <c r="C8721" s="43">
        <f>INDEX(DarlObj,19)</f>
      </c>
      <c r="D8721">
        <v>78</v>
      </c>
      <c r="E8721" s="51">
        <f>IF(INDEX(DarlBelegt,19)=0,0,EOMONTH(INDEX(DarlAuszahlung,19),77)+1)</f>
      </c>
      <c r="F8721" s="43">
        <f>IF($E8721=0,0,YEAR($E8721))</f>
      </c>
      <c r="G8721" s="43">
        <f>IF(INDEX(DarlBindung,19)="",1,IF($E8721&lt;=INDEX(DarlBindung,19),1,0))</f>
      </c>
      <c r="H8721" s="43">
        <f>IF($G8721=1,INDEX(DarlSollzins,19),INDEX(DarlAnschluss,19))</f>
      </c>
      <c r="I8721" s="43">
        <f>IF(INDEX(DarlBelegt,19)=0,0,IF(INDEX(DarlOhneTilgung,19)=1,IF(INDEX(DarlBindung,19)="",1,$G8721),IF($J8721&gt;0.005,1,0)))</f>
      </c>
      <c r="J8721" s="43">
        <f>IF($I8720=0,0,$R8720)</f>
      </c>
      <c r="K8721" s="43">
        <f>IF($I8721=0,0,IF(INDEX(DarlOhneTilgung,19)=1,0,IF(AND(INDEX(DarlTilgStart,19)&gt;0,$E8721=INDEX(DarlTilgStart,19)),$J8721*($H8721+INDEX(DarlTilgung,19))/100/12,IF(AND($G8721=0,$G8720=1),MAX($K8720,$J8721*($H8721+1)/100/12),$K8720))))</f>
      </c>
      <c r="L8721" s="43">
        <f>IF($I8721=0,0,$J8721*$H8721/100/12)</f>
      </c>
      <c r="M8721" s="43">
        <f>IF($I8721=0,0,IF(OR(INDEX(DarlOhneTilgung,19)=1,AND(INDEX(DarlTilgStart,19)&gt;0,$E8721&lt;INDEX(DarlTilgStart,19))),0,MIN(MAX(0,$K8721-$L8721),$J8721)))</f>
      </c>
      <c r="N8721" s="43">
        <f>IF($I8721=0,0,MIN(SUMIFS(SondBetrag,SondDarl,19,SondDatum,"&gt;="&amp;$E8721,SondDatum,"&lt;="&amp;EOMONTH($E8721,0)),$J8721-$M8721))</f>
      </c>
      <c r="O8721" s="43">
        <f>IF($I8721=0,0,INDEX(DarlErsatzRate,19))</f>
      </c>
      <c r="P8721" s="43">
        <f>IF($I8721=0,0,$Q8720*INDEX(DarlErsatzZins,19))</f>
      </c>
      <c r="Q8721" s="43">
        <f>IF($I8721=0,0,$Q8720+$P8721+$O8721)</f>
      </c>
      <c r="R8721" s="43">
        <f>IF($I8721=0,0,$J8721-$M8721-$N8721)</f>
      </c>
    </row>
    <row r="8722">
      <c r="A8722"/>
      <c r="B8722">
        <v>19</v>
      </c>
      <c r="C8722" s="43">
        <f>INDEX(DarlObj,19)</f>
      </c>
      <c r="D8722">
        <v>79</v>
      </c>
      <c r="E8722" s="51">
        <f>IF(INDEX(DarlBelegt,19)=0,0,EOMONTH(INDEX(DarlAuszahlung,19),78)+1)</f>
      </c>
      <c r="F8722" s="43">
        <f>IF($E8722=0,0,YEAR($E8722))</f>
      </c>
      <c r="G8722" s="43">
        <f>IF(INDEX(DarlBindung,19)="",1,IF($E8722&lt;=INDEX(DarlBindung,19),1,0))</f>
      </c>
      <c r="H8722" s="43">
        <f>IF($G8722=1,INDEX(DarlSollzins,19),INDEX(DarlAnschluss,19))</f>
      </c>
      <c r="I8722" s="43">
        <f>IF(INDEX(DarlBelegt,19)=0,0,IF(INDEX(DarlOhneTilgung,19)=1,IF(INDEX(DarlBindung,19)="",1,$G8722),IF($J8722&gt;0.005,1,0)))</f>
      </c>
      <c r="J8722" s="43">
        <f>IF($I8721=0,0,$R8721)</f>
      </c>
      <c r="K8722" s="43">
        <f>IF($I8722=0,0,IF(INDEX(DarlOhneTilgung,19)=1,0,IF(AND(INDEX(DarlTilgStart,19)&gt;0,$E8722=INDEX(DarlTilgStart,19)),$J8722*($H8722+INDEX(DarlTilgung,19))/100/12,IF(AND($G8722=0,$G8721=1),MAX($K8721,$J8722*($H8722+1)/100/12),$K8721))))</f>
      </c>
      <c r="L8722" s="43">
        <f>IF($I8722=0,0,$J8722*$H8722/100/12)</f>
      </c>
      <c r="M8722" s="43">
        <f>IF($I8722=0,0,IF(OR(INDEX(DarlOhneTilgung,19)=1,AND(INDEX(DarlTilgStart,19)&gt;0,$E8722&lt;INDEX(DarlTilgStart,19))),0,MIN(MAX(0,$K8722-$L8722),$J8722)))</f>
      </c>
      <c r="N8722" s="43">
        <f>IF($I8722=0,0,MIN(SUMIFS(SondBetrag,SondDarl,19,SondDatum,"&gt;="&amp;$E8722,SondDatum,"&lt;="&amp;EOMONTH($E8722,0)),$J8722-$M8722))</f>
      </c>
      <c r="O8722" s="43">
        <f>IF($I8722=0,0,INDEX(DarlErsatzRate,19))</f>
      </c>
      <c r="P8722" s="43">
        <f>IF($I8722=0,0,$Q8721*INDEX(DarlErsatzZins,19))</f>
      </c>
      <c r="Q8722" s="43">
        <f>IF($I8722=0,0,$Q8721+$P8722+$O8722)</f>
      </c>
      <c r="R8722" s="43">
        <f>IF($I8722=0,0,$J8722-$M8722-$N8722)</f>
      </c>
    </row>
    <row r="8723">
      <c r="A8723"/>
      <c r="B8723">
        <v>19</v>
      </c>
      <c r="C8723" s="43">
        <f>INDEX(DarlObj,19)</f>
      </c>
      <c r="D8723">
        <v>80</v>
      </c>
      <c r="E8723" s="51">
        <f>IF(INDEX(DarlBelegt,19)=0,0,EOMONTH(INDEX(DarlAuszahlung,19),79)+1)</f>
      </c>
      <c r="F8723" s="43">
        <f>IF($E8723=0,0,YEAR($E8723))</f>
      </c>
      <c r="G8723" s="43">
        <f>IF(INDEX(DarlBindung,19)="",1,IF($E8723&lt;=INDEX(DarlBindung,19),1,0))</f>
      </c>
      <c r="H8723" s="43">
        <f>IF($G8723=1,INDEX(DarlSollzins,19),INDEX(DarlAnschluss,19))</f>
      </c>
      <c r="I8723" s="43">
        <f>IF(INDEX(DarlBelegt,19)=0,0,IF(INDEX(DarlOhneTilgung,19)=1,IF(INDEX(DarlBindung,19)="",1,$G8723),IF($J8723&gt;0.005,1,0)))</f>
      </c>
      <c r="J8723" s="43">
        <f>IF($I8722=0,0,$R8722)</f>
      </c>
      <c r="K8723" s="43">
        <f>IF($I8723=0,0,IF(INDEX(DarlOhneTilgung,19)=1,0,IF(AND(INDEX(DarlTilgStart,19)&gt;0,$E8723=INDEX(DarlTilgStart,19)),$J8723*($H8723+INDEX(DarlTilgung,19))/100/12,IF(AND($G8723=0,$G8722=1),MAX($K8722,$J8723*($H8723+1)/100/12),$K8722))))</f>
      </c>
      <c r="L8723" s="43">
        <f>IF($I8723=0,0,$J8723*$H8723/100/12)</f>
      </c>
      <c r="M8723" s="43">
        <f>IF($I8723=0,0,IF(OR(INDEX(DarlOhneTilgung,19)=1,AND(INDEX(DarlTilgStart,19)&gt;0,$E8723&lt;INDEX(DarlTilgStart,19))),0,MIN(MAX(0,$K8723-$L8723),$J8723)))</f>
      </c>
      <c r="N8723" s="43">
        <f>IF($I8723=0,0,MIN(SUMIFS(SondBetrag,SondDarl,19,SondDatum,"&gt;="&amp;$E8723,SondDatum,"&lt;="&amp;EOMONTH($E8723,0)),$J8723-$M8723))</f>
      </c>
      <c r="O8723" s="43">
        <f>IF($I8723=0,0,INDEX(DarlErsatzRate,19))</f>
      </c>
      <c r="P8723" s="43">
        <f>IF($I8723=0,0,$Q8722*INDEX(DarlErsatzZins,19))</f>
      </c>
      <c r="Q8723" s="43">
        <f>IF($I8723=0,0,$Q8722+$P8723+$O8723)</f>
      </c>
      <c r="R8723" s="43">
        <f>IF($I8723=0,0,$J8723-$M8723-$N8723)</f>
      </c>
    </row>
    <row r="8724">
      <c r="A8724"/>
      <c r="B8724">
        <v>19</v>
      </c>
      <c r="C8724" s="43">
        <f>INDEX(DarlObj,19)</f>
      </c>
      <c r="D8724">
        <v>81</v>
      </c>
      <c r="E8724" s="51">
        <f>IF(INDEX(DarlBelegt,19)=0,0,EOMONTH(INDEX(DarlAuszahlung,19),80)+1)</f>
      </c>
      <c r="F8724" s="43">
        <f>IF($E8724=0,0,YEAR($E8724))</f>
      </c>
      <c r="G8724" s="43">
        <f>IF(INDEX(DarlBindung,19)="",1,IF($E8724&lt;=INDEX(DarlBindung,19),1,0))</f>
      </c>
      <c r="H8724" s="43">
        <f>IF($G8724=1,INDEX(DarlSollzins,19),INDEX(DarlAnschluss,19))</f>
      </c>
      <c r="I8724" s="43">
        <f>IF(INDEX(DarlBelegt,19)=0,0,IF(INDEX(DarlOhneTilgung,19)=1,IF(INDEX(DarlBindung,19)="",1,$G8724),IF($J8724&gt;0.005,1,0)))</f>
      </c>
      <c r="J8724" s="43">
        <f>IF($I8723=0,0,$R8723)</f>
      </c>
      <c r="K8724" s="43">
        <f>IF($I8724=0,0,IF(INDEX(DarlOhneTilgung,19)=1,0,IF(AND(INDEX(DarlTilgStart,19)&gt;0,$E8724=INDEX(DarlTilgStart,19)),$J8724*($H8724+INDEX(DarlTilgung,19))/100/12,IF(AND($G8724=0,$G8723=1),MAX($K8723,$J8724*($H8724+1)/100/12),$K8723))))</f>
      </c>
      <c r="L8724" s="43">
        <f>IF($I8724=0,0,$J8724*$H8724/100/12)</f>
      </c>
      <c r="M8724" s="43">
        <f>IF($I8724=0,0,IF(OR(INDEX(DarlOhneTilgung,19)=1,AND(INDEX(DarlTilgStart,19)&gt;0,$E8724&lt;INDEX(DarlTilgStart,19))),0,MIN(MAX(0,$K8724-$L8724),$J8724)))</f>
      </c>
      <c r="N8724" s="43">
        <f>IF($I8724=0,0,MIN(SUMIFS(SondBetrag,SondDarl,19,SondDatum,"&gt;="&amp;$E8724,SondDatum,"&lt;="&amp;EOMONTH($E8724,0)),$J8724-$M8724))</f>
      </c>
      <c r="O8724" s="43">
        <f>IF($I8724=0,0,INDEX(DarlErsatzRate,19))</f>
      </c>
      <c r="P8724" s="43">
        <f>IF($I8724=0,0,$Q8723*INDEX(DarlErsatzZins,19))</f>
      </c>
      <c r="Q8724" s="43">
        <f>IF($I8724=0,0,$Q8723+$P8724+$O8724)</f>
      </c>
      <c r="R8724" s="43">
        <f>IF($I8724=0,0,$J8724-$M8724-$N8724)</f>
      </c>
    </row>
    <row r="8725">
      <c r="A8725"/>
      <c r="B8725">
        <v>19</v>
      </c>
      <c r="C8725" s="43">
        <f>INDEX(DarlObj,19)</f>
      </c>
      <c r="D8725">
        <v>82</v>
      </c>
      <c r="E8725" s="51">
        <f>IF(INDEX(DarlBelegt,19)=0,0,EOMONTH(INDEX(DarlAuszahlung,19),81)+1)</f>
      </c>
      <c r="F8725" s="43">
        <f>IF($E8725=0,0,YEAR($E8725))</f>
      </c>
      <c r="G8725" s="43">
        <f>IF(INDEX(DarlBindung,19)="",1,IF($E8725&lt;=INDEX(DarlBindung,19),1,0))</f>
      </c>
      <c r="H8725" s="43">
        <f>IF($G8725=1,INDEX(DarlSollzins,19),INDEX(DarlAnschluss,19))</f>
      </c>
      <c r="I8725" s="43">
        <f>IF(INDEX(DarlBelegt,19)=0,0,IF(INDEX(DarlOhneTilgung,19)=1,IF(INDEX(DarlBindung,19)="",1,$G8725),IF($J8725&gt;0.005,1,0)))</f>
      </c>
      <c r="J8725" s="43">
        <f>IF($I8724=0,0,$R8724)</f>
      </c>
      <c r="K8725" s="43">
        <f>IF($I8725=0,0,IF(INDEX(DarlOhneTilgung,19)=1,0,IF(AND(INDEX(DarlTilgStart,19)&gt;0,$E8725=INDEX(DarlTilgStart,19)),$J8725*($H8725+INDEX(DarlTilgung,19))/100/12,IF(AND($G8725=0,$G8724=1),MAX($K8724,$J8725*($H8725+1)/100/12),$K8724))))</f>
      </c>
      <c r="L8725" s="43">
        <f>IF($I8725=0,0,$J8725*$H8725/100/12)</f>
      </c>
      <c r="M8725" s="43">
        <f>IF($I8725=0,0,IF(OR(INDEX(DarlOhneTilgung,19)=1,AND(INDEX(DarlTilgStart,19)&gt;0,$E8725&lt;INDEX(DarlTilgStart,19))),0,MIN(MAX(0,$K8725-$L8725),$J8725)))</f>
      </c>
      <c r="N8725" s="43">
        <f>IF($I8725=0,0,MIN(SUMIFS(SondBetrag,SondDarl,19,SondDatum,"&gt;="&amp;$E8725,SondDatum,"&lt;="&amp;EOMONTH($E8725,0)),$J8725-$M8725))</f>
      </c>
      <c r="O8725" s="43">
        <f>IF($I8725=0,0,INDEX(DarlErsatzRate,19))</f>
      </c>
      <c r="P8725" s="43">
        <f>IF($I8725=0,0,$Q8724*INDEX(DarlErsatzZins,19))</f>
      </c>
      <c r="Q8725" s="43">
        <f>IF($I8725=0,0,$Q8724+$P8725+$O8725)</f>
      </c>
      <c r="R8725" s="43">
        <f>IF($I8725=0,0,$J8725-$M8725-$N8725)</f>
      </c>
    </row>
    <row r="8726">
      <c r="A8726"/>
      <c r="B8726">
        <v>19</v>
      </c>
      <c r="C8726" s="43">
        <f>INDEX(DarlObj,19)</f>
      </c>
      <c r="D8726">
        <v>83</v>
      </c>
      <c r="E8726" s="51">
        <f>IF(INDEX(DarlBelegt,19)=0,0,EOMONTH(INDEX(DarlAuszahlung,19),82)+1)</f>
      </c>
      <c r="F8726" s="43">
        <f>IF($E8726=0,0,YEAR($E8726))</f>
      </c>
      <c r="G8726" s="43">
        <f>IF(INDEX(DarlBindung,19)="",1,IF($E8726&lt;=INDEX(DarlBindung,19),1,0))</f>
      </c>
      <c r="H8726" s="43">
        <f>IF($G8726=1,INDEX(DarlSollzins,19),INDEX(DarlAnschluss,19))</f>
      </c>
      <c r="I8726" s="43">
        <f>IF(INDEX(DarlBelegt,19)=0,0,IF(INDEX(DarlOhneTilgung,19)=1,IF(INDEX(DarlBindung,19)="",1,$G8726),IF($J8726&gt;0.005,1,0)))</f>
      </c>
      <c r="J8726" s="43">
        <f>IF($I8725=0,0,$R8725)</f>
      </c>
      <c r="K8726" s="43">
        <f>IF($I8726=0,0,IF(INDEX(DarlOhneTilgung,19)=1,0,IF(AND(INDEX(DarlTilgStart,19)&gt;0,$E8726=INDEX(DarlTilgStart,19)),$J8726*($H8726+INDEX(DarlTilgung,19))/100/12,IF(AND($G8726=0,$G8725=1),MAX($K8725,$J8726*($H8726+1)/100/12),$K8725))))</f>
      </c>
      <c r="L8726" s="43">
        <f>IF($I8726=0,0,$J8726*$H8726/100/12)</f>
      </c>
      <c r="M8726" s="43">
        <f>IF($I8726=0,0,IF(OR(INDEX(DarlOhneTilgung,19)=1,AND(INDEX(DarlTilgStart,19)&gt;0,$E8726&lt;INDEX(DarlTilgStart,19))),0,MIN(MAX(0,$K8726-$L8726),$J8726)))</f>
      </c>
      <c r="N8726" s="43">
        <f>IF($I8726=0,0,MIN(SUMIFS(SondBetrag,SondDarl,19,SondDatum,"&gt;="&amp;$E8726,SondDatum,"&lt;="&amp;EOMONTH($E8726,0)),$J8726-$M8726))</f>
      </c>
      <c r="O8726" s="43">
        <f>IF($I8726=0,0,INDEX(DarlErsatzRate,19))</f>
      </c>
      <c r="P8726" s="43">
        <f>IF($I8726=0,0,$Q8725*INDEX(DarlErsatzZins,19))</f>
      </c>
      <c r="Q8726" s="43">
        <f>IF($I8726=0,0,$Q8725+$P8726+$O8726)</f>
      </c>
      <c r="R8726" s="43">
        <f>IF($I8726=0,0,$J8726-$M8726-$N8726)</f>
      </c>
    </row>
    <row r="8727">
      <c r="A8727"/>
      <c r="B8727">
        <v>19</v>
      </c>
      <c r="C8727" s="43">
        <f>INDEX(DarlObj,19)</f>
      </c>
      <c r="D8727">
        <v>84</v>
      </c>
      <c r="E8727" s="51">
        <f>IF(INDEX(DarlBelegt,19)=0,0,EOMONTH(INDEX(DarlAuszahlung,19),83)+1)</f>
      </c>
      <c r="F8727" s="43">
        <f>IF($E8727=0,0,YEAR($E8727))</f>
      </c>
      <c r="G8727" s="43">
        <f>IF(INDEX(DarlBindung,19)="",1,IF($E8727&lt;=INDEX(DarlBindung,19),1,0))</f>
      </c>
      <c r="H8727" s="43">
        <f>IF($G8727=1,INDEX(DarlSollzins,19),INDEX(DarlAnschluss,19))</f>
      </c>
      <c r="I8727" s="43">
        <f>IF(INDEX(DarlBelegt,19)=0,0,IF(INDEX(DarlOhneTilgung,19)=1,IF(INDEX(DarlBindung,19)="",1,$G8727),IF($J8727&gt;0.005,1,0)))</f>
      </c>
      <c r="J8727" s="43">
        <f>IF($I8726=0,0,$R8726)</f>
      </c>
      <c r="K8727" s="43">
        <f>IF($I8727=0,0,IF(INDEX(DarlOhneTilgung,19)=1,0,IF(AND(INDEX(DarlTilgStart,19)&gt;0,$E8727=INDEX(DarlTilgStart,19)),$J8727*($H8727+INDEX(DarlTilgung,19))/100/12,IF(AND($G8727=0,$G8726=1),MAX($K8726,$J8727*($H8727+1)/100/12),$K8726))))</f>
      </c>
      <c r="L8727" s="43">
        <f>IF($I8727=0,0,$J8727*$H8727/100/12)</f>
      </c>
      <c r="M8727" s="43">
        <f>IF($I8727=0,0,IF(OR(INDEX(DarlOhneTilgung,19)=1,AND(INDEX(DarlTilgStart,19)&gt;0,$E8727&lt;INDEX(DarlTilgStart,19))),0,MIN(MAX(0,$K8727-$L8727),$J8727)))</f>
      </c>
      <c r="N8727" s="43">
        <f>IF($I8727=0,0,MIN(SUMIFS(SondBetrag,SondDarl,19,SondDatum,"&gt;="&amp;$E8727,SondDatum,"&lt;="&amp;EOMONTH($E8727,0)),$J8727-$M8727))</f>
      </c>
      <c r="O8727" s="43">
        <f>IF($I8727=0,0,INDEX(DarlErsatzRate,19))</f>
      </c>
      <c r="P8727" s="43">
        <f>IF($I8727=0,0,$Q8726*INDEX(DarlErsatzZins,19))</f>
      </c>
      <c r="Q8727" s="43">
        <f>IF($I8727=0,0,$Q8726+$P8727+$O8727)</f>
      </c>
      <c r="R8727" s="43">
        <f>IF($I8727=0,0,$J8727-$M8727-$N8727)</f>
      </c>
    </row>
    <row r="8728">
      <c r="A8728"/>
      <c r="B8728">
        <v>19</v>
      </c>
      <c r="C8728" s="43">
        <f>INDEX(DarlObj,19)</f>
      </c>
      <c r="D8728">
        <v>85</v>
      </c>
      <c r="E8728" s="51">
        <f>IF(INDEX(DarlBelegt,19)=0,0,EOMONTH(INDEX(DarlAuszahlung,19),84)+1)</f>
      </c>
      <c r="F8728" s="43">
        <f>IF($E8728=0,0,YEAR($E8728))</f>
      </c>
      <c r="G8728" s="43">
        <f>IF(INDEX(DarlBindung,19)="",1,IF($E8728&lt;=INDEX(DarlBindung,19),1,0))</f>
      </c>
      <c r="H8728" s="43">
        <f>IF($G8728=1,INDEX(DarlSollzins,19),INDEX(DarlAnschluss,19))</f>
      </c>
      <c r="I8728" s="43">
        <f>IF(INDEX(DarlBelegt,19)=0,0,IF(INDEX(DarlOhneTilgung,19)=1,IF(INDEX(DarlBindung,19)="",1,$G8728),IF($J8728&gt;0.005,1,0)))</f>
      </c>
      <c r="J8728" s="43">
        <f>IF($I8727=0,0,$R8727)</f>
      </c>
      <c r="K8728" s="43">
        <f>IF($I8728=0,0,IF(INDEX(DarlOhneTilgung,19)=1,0,IF(AND(INDEX(DarlTilgStart,19)&gt;0,$E8728=INDEX(DarlTilgStart,19)),$J8728*($H8728+INDEX(DarlTilgung,19))/100/12,IF(AND($G8728=0,$G8727=1),MAX($K8727,$J8728*($H8728+1)/100/12),$K8727))))</f>
      </c>
      <c r="L8728" s="43">
        <f>IF($I8728=0,0,$J8728*$H8728/100/12)</f>
      </c>
      <c r="M8728" s="43">
        <f>IF($I8728=0,0,IF(OR(INDEX(DarlOhneTilgung,19)=1,AND(INDEX(DarlTilgStart,19)&gt;0,$E8728&lt;INDEX(DarlTilgStart,19))),0,MIN(MAX(0,$K8728-$L8728),$J8728)))</f>
      </c>
      <c r="N8728" s="43">
        <f>IF($I8728=0,0,MIN(SUMIFS(SondBetrag,SondDarl,19,SondDatum,"&gt;="&amp;$E8728,SondDatum,"&lt;="&amp;EOMONTH($E8728,0)),$J8728-$M8728))</f>
      </c>
      <c r="O8728" s="43">
        <f>IF($I8728=0,0,INDEX(DarlErsatzRate,19))</f>
      </c>
      <c r="P8728" s="43">
        <f>IF($I8728=0,0,$Q8727*INDEX(DarlErsatzZins,19))</f>
      </c>
      <c r="Q8728" s="43">
        <f>IF($I8728=0,0,$Q8727+$P8728+$O8728)</f>
      </c>
      <c r="R8728" s="43">
        <f>IF($I8728=0,0,$J8728-$M8728-$N8728)</f>
      </c>
    </row>
    <row r="8729">
      <c r="A8729"/>
      <c r="B8729">
        <v>19</v>
      </c>
      <c r="C8729" s="43">
        <f>INDEX(DarlObj,19)</f>
      </c>
      <c r="D8729">
        <v>86</v>
      </c>
      <c r="E8729" s="51">
        <f>IF(INDEX(DarlBelegt,19)=0,0,EOMONTH(INDEX(DarlAuszahlung,19),85)+1)</f>
      </c>
      <c r="F8729" s="43">
        <f>IF($E8729=0,0,YEAR($E8729))</f>
      </c>
      <c r="G8729" s="43">
        <f>IF(INDEX(DarlBindung,19)="",1,IF($E8729&lt;=INDEX(DarlBindung,19),1,0))</f>
      </c>
      <c r="H8729" s="43">
        <f>IF($G8729=1,INDEX(DarlSollzins,19),INDEX(DarlAnschluss,19))</f>
      </c>
      <c r="I8729" s="43">
        <f>IF(INDEX(DarlBelegt,19)=0,0,IF(INDEX(DarlOhneTilgung,19)=1,IF(INDEX(DarlBindung,19)="",1,$G8729),IF($J8729&gt;0.005,1,0)))</f>
      </c>
      <c r="J8729" s="43">
        <f>IF($I8728=0,0,$R8728)</f>
      </c>
      <c r="K8729" s="43">
        <f>IF($I8729=0,0,IF(INDEX(DarlOhneTilgung,19)=1,0,IF(AND(INDEX(DarlTilgStart,19)&gt;0,$E8729=INDEX(DarlTilgStart,19)),$J8729*($H8729+INDEX(DarlTilgung,19))/100/12,IF(AND($G8729=0,$G8728=1),MAX($K8728,$J8729*($H8729+1)/100/12),$K8728))))</f>
      </c>
      <c r="L8729" s="43">
        <f>IF($I8729=0,0,$J8729*$H8729/100/12)</f>
      </c>
      <c r="M8729" s="43">
        <f>IF($I8729=0,0,IF(OR(INDEX(DarlOhneTilgung,19)=1,AND(INDEX(DarlTilgStart,19)&gt;0,$E8729&lt;INDEX(DarlTilgStart,19))),0,MIN(MAX(0,$K8729-$L8729),$J8729)))</f>
      </c>
      <c r="N8729" s="43">
        <f>IF($I8729=0,0,MIN(SUMIFS(SondBetrag,SondDarl,19,SondDatum,"&gt;="&amp;$E8729,SondDatum,"&lt;="&amp;EOMONTH($E8729,0)),$J8729-$M8729))</f>
      </c>
      <c r="O8729" s="43">
        <f>IF($I8729=0,0,INDEX(DarlErsatzRate,19))</f>
      </c>
      <c r="P8729" s="43">
        <f>IF($I8729=0,0,$Q8728*INDEX(DarlErsatzZins,19))</f>
      </c>
      <c r="Q8729" s="43">
        <f>IF($I8729=0,0,$Q8728+$P8729+$O8729)</f>
      </c>
      <c r="R8729" s="43">
        <f>IF($I8729=0,0,$J8729-$M8729-$N8729)</f>
      </c>
    </row>
    <row r="8730">
      <c r="A8730"/>
      <c r="B8730">
        <v>19</v>
      </c>
      <c r="C8730" s="43">
        <f>INDEX(DarlObj,19)</f>
      </c>
      <c r="D8730">
        <v>87</v>
      </c>
      <c r="E8730" s="51">
        <f>IF(INDEX(DarlBelegt,19)=0,0,EOMONTH(INDEX(DarlAuszahlung,19),86)+1)</f>
      </c>
      <c r="F8730" s="43">
        <f>IF($E8730=0,0,YEAR($E8730))</f>
      </c>
      <c r="G8730" s="43">
        <f>IF(INDEX(DarlBindung,19)="",1,IF($E8730&lt;=INDEX(DarlBindung,19),1,0))</f>
      </c>
      <c r="H8730" s="43">
        <f>IF($G8730=1,INDEX(DarlSollzins,19),INDEX(DarlAnschluss,19))</f>
      </c>
      <c r="I8730" s="43">
        <f>IF(INDEX(DarlBelegt,19)=0,0,IF(INDEX(DarlOhneTilgung,19)=1,IF(INDEX(DarlBindung,19)="",1,$G8730),IF($J8730&gt;0.005,1,0)))</f>
      </c>
      <c r="J8730" s="43">
        <f>IF($I8729=0,0,$R8729)</f>
      </c>
      <c r="K8730" s="43">
        <f>IF($I8730=0,0,IF(INDEX(DarlOhneTilgung,19)=1,0,IF(AND(INDEX(DarlTilgStart,19)&gt;0,$E8730=INDEX(DarlTilgStart,19)),$J8730*($H8730+INDEX(DarlTilgung,19))/100/12,IF(AND($G8730=0,$G8729=1),MAX($K8729,$J8730*($H8730+1)/100/12),$K8729))))</f>
      </c>
      <c r="L8730" s="43">
        <f>IF($I8730=0,0,$J8730*$H8730/100/12)</f>
      </c>
      <c r="M8730" s="43">
        <f>IF($I8730=0,0,IF(OR(INDEX(DarlOhneTilgung,19)=1,AND(INDEX(DarlTilgStart,19)&gt;0,$E8730&lt;INDEX(DarlTilgStart,19))),0,MIN(MAX(0,$K8730-$L8730),$J8730)))</f>
      </c>
      <c r="N8730" s="43">
        <f>IF($I8730=0,0,MIN(SUMIFS(SondBetrag,SondDarl,19,SondDatum,"&gt;="&amp;$E8730,SondDatum,"&lt;="&amp;EOMONTH($E8730,0)),$J8730-$M8730))</f>
      </c>
      <c r="O8730" s="43">
        <f>IF($I8730=0,0,INDEX(DarlErsatzRate,19))</f>
      </c>
      <c r="P8730" s="43">
        <f>IF($I8730=0,0,$Q8729*INDEX(DarlErsatzZins,19))</f>
      </c>
      <c r="Q8730" s="43">
        <f>IF($I8730=0,0,$Q8729+$P8730+$O8730)</f>
      </c>
      <c r="R8730" s="43">
        <f>IF($I8730=0,0,$J8730-$M8730-$N8730)</f>
      </c>
    </row>
    <row r="8731">
      <c r="A8731"/>
      <c r="B8731">
        <v>19</v>
      </c>
      <c r="C8731" s="43">
        <f>INDEX(DarlObj,19)</f>
      </c>
      <c r="D8731">
        <v>88</v>
      </c>
      <c r="E8731" s="51">
        <f>IF(INDEX(DarlBelegt,19)=0,0,EOMONTH(INDEX(DarlAuszahlung,19),87)+1)</f>
      </c>
      <c r="F8731" s="43">
        <f>IF($E8731=0,0,YEAR($E8731))</f>
      </c>
      <c r="G8731" s="43">
        <f>IF(INDEX(DarlBindung,19)="",1,IF($E8731&lt;=INDEX(DarlBindung,19),1,0))</f>
      </c>
      <c r="H8731" s="43">
        <f>IF($G8731=1,INDEX(DarlSollzins,19),INDEX(DarlAnschluss,19))</f>
      </c>
      <c r="I8731" s="43">
        <f>IF(INDEX(DarlBelegt,19)=0,0,IF(INDEX(DarlOhneTilgung,19)=1,IF(INDEX(DarlBindung,19)="",1,$G8731),IF($J8731&gt;0.005,1,0)))</f>
      </c>
      <c r="J8731" s="43">
        <f>IF($I8730=0,0,$R8730)</f>
      </c>
      <c r="K8731" s="43">
        <f>IF($I8731=0,0,IF(INDEX(DarlOhneTilgung,19)=1,0,IF(AND(INDEX(DarlTilgStart,19)&gt;0,$E8731=INDEX(DarlTilgStart,19)),$J8731*($H8731+INDEX(DarlTilgung,19))/100/12,IF(AND($G8731=0,$G8730=1),MAX($K8730,$J8731*($H8731+1)/100/12),$K8730))))</f>
      </c>
      <c r="L8731" s="43">
        <f>IF($I8731=0,0,$J8731*$H8731/100/12)</f>
      </c>
      <c r="M8731" s="43">
        <f>IF($I8731=0,0,IF(OR(INDEX(DarlOhneTilgung,19)=1,AND(INDEX(DarlTilgStart,19)&gt;0,$E8731&lt;INDEX(DarlTilgStart,19))),0,MIN(MAX(0,$K8731-$L8731),$J8731)))</f>
      </c>
      <c r="N8731" s="43">
        <f>IF($I8731=0,0,MIN(SUMIFS(SondBetrag,SondDarl,19,SondDatum,"&gt;="&amp;$E8731,SondDatum,"&lt;="&amp;EOMONTH($E8731,0)),$J8731-$M8731))</f>
      </c>
      <c r="O8731" s="43">
        <f>IF($I8731=0,0,INDEX(DarlErsatzRate,19))</f>
      </c>
      <c r="P8731" s="43">
        <f>IF($I8731=0,0,$Q8730*INDEX(DarlErsatzZins,19))</f>
      </c>
      <c r="Q8731" s="43">
        <f>IF($I8731=0,0,$Q8730+$P8731+$O8731)</f>
      </c>
      <c r="R8731" s="43">
        <f>IF($I8731=0,0,$J8731-$M8731-$N8731)</f>
      </c>
    </row>
    <row r="8732">
      <c r="A8732"/>
      <c r="B8732">
        <v>19</v>
      </c>
      <c r="C8732" s="43">
        <f>INDEX(DarlObj,19)</f>
      </c>
      <c r="D8732">
        <v>89</v>
      </c>
      <c r="E8732" s="51">
        <f>IF(INDEX(DarlBelegt,19)=0,0,EOMONTH(INDEX(DarlAuszahlung,19),88)+1)</f>
      </c>
      <c r="F8732" s="43">
        <f>IF($E8732=0,0,YEAR($E8732))</f>
      </c>
      <c r="G8732" s="43">
        <f>IF(INDEX(DarlBindung,19)="",1,IF($E8732&lt;=INDEX(DarlBindung,19),1,0))</f>
      </c>
      <c r="H8732" s="43">
        <f>IF($G8732=1,INDEX(DarlSollzins,19),INDEX(DarlAnschluss,19))</f>
      </c>
      <c r="I8732" s="43">
        <f>IF(INDEX(DarlBelegt,19)=0,0,IF(INDEX(DarlOhneTilgung,19)=1,IF(INDEX(DarlBindung,19)="",1,$G8732),IF($J8732&gt;0.005,1,0)))</f>
      </c>
      <c r="J8732" s="43">
        <f>IF($I8731=0,0,$R8731)</f>
      </c>
      <c r="K8732" s="43">
        <f>IF($I8732=0,0,IF(INDEX(DarlOhneTilgung,19)=1,0,IF(AND(INDEX(DarlTilgStart,19)&gt;0,$E8732=INDEX(DarlTilgStart,19)),$J8732*($H8732+INDEX(DarlTilgung,19))/100/12,IF(AND($G8732=0,$G8731=1),MAX($K8731,$J8732*($H8732+1)/100/12),$K8731))))</f>
      </c>
      <c r="L8732" s="43">
        <f>IF($I8732=0,0,$J8732*$H8732/100/12)</f>
      </c>
      <c r="M8732" s="43">
        <f>IF($I8732=0,0,IF(OR(INDEX(DarlOhneTilgung,19)=1,AND(INDEX(DarlTilgStart,19)&gt;0,$E8732&lt;INDEX(DarlTilgStart,19))),0,MIN(MAX(0,$K8732-$L8732),$J8732)))</f>
      </c>
      <c r="N8732" s="43">
        <f>IF($I8732=0,0,MIN(SUMIFS(SondBetrag,SondDarl,19,SondDatum,"&gt;="&amp;$E8732,SondDatum,"&lt;="&amp;EOMONTH($E8732,0)),$J8732-$M8732))</f>
      </c>
      <c r="O8732" s="43">
        <f>IF($I8732=0,0,INDEX(DarlErsatzRate,19))</f>
      </c>
      <c r="P8732" s="43">
        <f>IF($I8732=0,0,$Q8731*INDEX(DarlErsatzZins,19))</f>
      </c>
      <c r="Q8732" s="43">
        <f>IF($I8732=0,0,$Q8731+$P8732+$O8732)</f>
      </c>
      <c r="R8732" s="43">
        <f>IF($I8732=0,0,$J8732-$M8732-$N8732)</f>
      </c>
    </row>
    <row r="8733">
      <c r="A8733"/>
      <c r="B8733">
        <v>19</v>
      </c>
      <c r="C8733" s="43">
        <f>INDEX(DarlObj,19)</f>
      </c>
      <c r="D8733">
        <v>90</v>
      </c>
      <c r="E8733" s="51">
        <f>IF(INDEX(DarlBelegt,19)=0,0,EOMONTH(INDEX(DarlAuszahlung,19),89)+1)</f>
      </c>
      <c r="F8733" s="43">
        <f>IF($E8733=0,0,YEAR($E8733))</f>
      </c>
      <c r="G8733" s="43">
        <f>IF(INDEX(DarlBindung,19)="",1,IF($E8733&lt;=INDEX(DarlBindung,19),1,0))</f>
      </c>
      <c r="H8733" s="43">
        <f>IF($G8733=1,INDEX(DarlSollzins,19),INDEX(DarlAnschluss,19))</f>
      </c>
      <c r="I8733" s="43">
        <f>IF(INDEX(DarlBelegt,19)=0,0,IF(INDEX(DarlOhneTilgung,19)=1,IF(INDEX(DarlBindung,19)="",1,$G8733),IF($J8733&gt;0.005,1,0)))</f>
      </c>
      <c r="J8733" s="43">
        <f>IF($I8732=0,0,$R8732)</f>
      </c>
      <c r="K8733" s="43">
        <f>IF($I8733=0,0,IF(INDEX(DarlOhneTilgung,19)=1,0,IF(AND(INDEX(DarlTilgStart,19)&gt;0,$E8733=INDEX(DarlTilgStart,19)),$J8733*($H8733+INDEX(DarlTilgung,19))/100/12,IF(AND($G8733=0,$G8732=1),MAX($K8732,$J8733*($H8733+1)/100/12),$K8732))))</f>
      </c>
      <c r="L8733" s="43">
        <f>IF($I8733=0,0,$J8733*$H8733/100/12)</f>
      </c>
      <c r="M8733" s="43">
        <f>IF($I8733=0,0,IF(OR(INDEX(DarlOhneTilgung,19)=1,AND(INDEX(DarlTilgStart,19)&gt;0,$E8733&lt;INDEX(DarlTilgStart,19))),0,MIN(MAX(0,$K8733-$L8733),$J8733)))</f>
      </c>
      <c r="N8733" s="43">
        <f>IF($I8733=0,0,MIN(SUMIFS(SondBetrag,SondDarl,19,SondDatum,"&gt;="&amp;$E8733,SondDatum,"&lt;="&amp;EOMONTH($E8733,0)),$J8733-$M8733))</f>
      </c>
      <c r="O8733" s="43">
        <f>IF($I8733=0,0,INDEX(DarlErsatzRate,19))</f>
      </c>
      <c r="P8733" s="43">
        <f>IF($I8733=0,0,$Q8732*INDEX(DarlErsatzZins,19))</f>
      </c>
      <c r="Q8733" s="43">
        <f>IF($I8733=0,0,$Q8732+$P8733+$O8733)</f>
      </c>
      <c r="R8733" s="43">
        <f>IF($I8733=0,0,$J8733-$M8733-$N8733)</f>
      </c>
    </row>
    <row r="8734">
      <c r="A8734"/>
      <c r="B8734">
        <v>19</v>
      </c>
      <c r="C8734" s="43">
        <f>INDEX(DarlObj,19)</f>
      </c>
      <c r="D8734">
        <v>91</v>
      </c>
      <c r="E8734" s="51">
        <f>IF(INDEX(DarlBelegt,19)=0,0,EOMONTH(INDEX(DarlAuszahlung,19),90)+1)</f>
      </c>
      <c r="F8734" s="43">
        <f>IF($E8734=0,0,YEAR($E8734))</f>
      </c>
      <c r="G8734" s="43">
        <f>IF(INDEX(DarlBindung,19)="",1,IF($E8734&lt;=INDEX(DarlBindung,19),1,0))</f>
      </c>
      <c r="H8734" s="43">
        <f>IF($G8734=1,INDEX(DarlSollzins,19),INDEX(DarlAnschluss,19))</f>
      </c>
      <c r="I8734" s="43">
        <f>IF(INDEX(DarlBelegt,19)=0,0,IF(INDEX(DarlOhneTilgung,19)=1,IF(INDEX(DarlBindung,19)="",1,$G8734),IF($J8734&gt;0.005,1,0)))</f>
      </c>
      <c r="J8734" s="43">
        <f>IF($I8733=0,0,$R8733)</f>
      </c>
      <c r="K8734" s="43">
        <f>IF($I8734=0,0,IF(INDEX(DarlOhneTilgung,19)=1,0,IF(AND(INDEX(DarlTilgStart,19)&gt;0,$E8734=INDEX(DarlTilgStart,19)),$J8734*($H8734+INDEX(DarlTilgung,19))/100/12,IF(AND($G8734=0,$G8733=1),MAX($K8733,$J8734*($H8734+1)/100/12),$K8733))))</f>
      </c>
      <c r="L8734" s="43">
        <f>IF($I8734=0,0,$J8734*$H8734/100/12)</f>
      </c>
      <c r="M8734" s="43">
        <f>IF($I8734=0,0,IF(OR(INDEX(DarlOhneTilgung,19)=1,AND(INDEX(DarlTilgStart,19)&gt;0,$E8734&lt;INDEX(DarlTilgStart,19))),0,MIN(MAX(0,$K8734-$L8734),$J8734)))</f>
      </c>
      <c r="N8734" s="43">
        <f>IF($I8734=0,0,MIN(SUMIFS(SondBetrag,SondDarl,19,SondDatum,"&gt;="&amp;$E8734,SondDatum,"&lt;="&amp;EOMONTH($E8734,0)),$J8734-$M8734))</f>
      </c>
      <c r="O8734" s="43">
        <f>IF($I8734=0,0,INDEX(DarlErsatzRate,19))</f>
      </c>
      <c r="P8734" s="43">
        <f>IF($I8734=0,0,$Q8733*INDEX(DarlErsatzZins,19))</f>
      </c>
      <c r="Q8734" s="43">
        <f>IF($I8734=0,0,$Q8733+$P8734+$O8734)</f>
      </c>
      <c r="R8734" s="43">
        <f>IF($I8734=0,0,$J8734-$M8734-$N8734)</f>
      </c>
    </row>
    <row r="8735">
      <c r="A8735"/>
      <c r="B8735">
        <v>19</v>
      </c>
      <c r="C8735" s="43">
        <f>INDEX(DarlObj,19)</f>
      </c>
      <c r="D8735">
        <v>92</v>
      </c>
      <c r="E8735" s="51">
        <f>IF(INDEX(DarlBelegt,19)=0,0,EOMONTH(INDEX(DarlAuszahlung,19),91)+1)</f>
      </c>
      <c r="F8735" s="43">
        <f>IF($E8735=0,0,YEAR($E8735))</f>
      </c>
      <c r="G8735" s="43">
        <f>IF(INDEX(DarlBindung,19)="",1,IF($E8735&lt;=INDEX(DarlBindung,19),1,0))</f>
      </c>
      <c r="H8735" s="43">
        <f>IF($G8735=1,INDEX(DarlSollzins,19),INDEX(DarlAnschluss,19))</f>
      </c>
      <c r="I8735" s="43">
        <f>IF(INDEX(DarlBelegt,19)=0,0,IF(INDEX(DarlOhneTilgung,19)=1,IF(INDEX(DarlBindung,19)="",1,$G8735),IF($J8735&gt;0.005,1,0)))</f>
      </c>
      <c r="J8735" s="43">
        <f>IF($I8734=0,0,$R8734)</f>
      </c>
      <c r="K8735" s="43">
        <f>IF($I8735=0,0,IF(INDEX(DarlOhneTilgung,19)=1,0,IF(AND(INDEX(DarlTilgStart,19)&gt;0,$E8735=INDEX(DarlTilgStart,19)),$J8735*($H8735+INDEX(DarlTilgung,19))/100/12,IF(AND($G8735=0,$G8734=1),MAX($K8734,$J8735*($H8735+1)/100/12),$K8734))))</f>
      </c>
      <c r="L8735" s="43">
        <f>IF($I8735=0,0,$J8735*$H8735/100/12)</f>
      </c>
      <c r="M8735" s="43">
        <f>IF($I8735=0,0,IF(OR(INDEX(DarlOhneTilgung,19)=1,AND(INDEX(DarlTilgStart,19)&gt;0,$E8735&lt;INDEX(DarlTilgStart,19))),0,MIN(MAX(0,$K8735-$L8735),$J8735)))</f>
      </c>
      <c r="N8735" s="43">
        <f>IF($I8735=0,0,MIN(SUMIFS(SondBetrag,SondDarl,19,SondDatum,"&gt;="&amp;$E8735,SondDatum,"&lt;="&amp;EOMONTH($E8735,0)),$J8735-$M8735))</f>
      </c>
      <c r="O8735" s="43">
        <f>IF($I8735=0,0,INDEX(DarlErsatzRate,19))</f>
      </c>
      <c r="P8735" s="43">
        <f>IF($I8735=0,0,$Q8734*INDEX(DarlErsatzZins,19))</f>
      </c>
      <c r="Q8735" s="43">
        <f>IF($I8735=0,0,$Q8734+$P8735+$O8735)</f>
      </c>
      <c r="R8735" s="43">
        <f>IF($I8735=0,0,$J8735-$M8735-$N8735)</f>
      </c>
    </row>
    <row r="8736">
      <c r="A8736"/>
      <c r="B8736">
        <v>19</v>
      </c>
      <c r="C8736" s="43">
        <f>INDEX(DarlObj,19)</f>
      </c>
      <c r="D8736">
        <v>93</v>
      </c>
      <c r="E8736" s="51">
        <f>IF(INDEX(DarlBelegt,19)=0,0,EOMONTH(INDEX(DarlAuszahlung,19),92)+1)</f>
      </c>
      <c r="F8736" s="43">
        <f>IF($E8736=0,0,YEAR($E8736))</f>
      </c>
      <c r="G8736" s="43">
        <f>IF(INDEX(DarlBindung,19)="",1,IF($E8736&lt;=INDEX(DarlBindung,19),1,0))</f>
      </c>
      <c r="H8736" s="43">
        <f>IF($G8736=1,INDEX(DarlSollzins,19),INDEX(DarlAnschluss,19))</f>
      </c>
      <c r="I8736" s="43">
        <f>IF(INDEX(DarlBelegt,19)=0,0,IF(INDEX(DarlOhneTilgung,19)=1,IF(INDEX(DarlBindung,19)="",1,$G8736),IF($J8736&gt;0.005,1,0)))</f>
      </c>
      <c r="J8736" s="43">
        <f>IF($I8735=0,0,$R8735)</f>
      </c>
      <c r="K8736" s="43">
        <f>IF($I8736=0,0,IF(INDEX(DarlOhneTilgung,19)=1,0,IF(AND(INDEX(DarlTilgStart,19)&gt;0,$E8736=INDEX(DarlTilgStart,19)),$J8736*($H8736+INDEX(DarlTilgung,19))/100/12,IF(AND($G8736=0,$G8735=1),MAX($K8735,$J8736*($H8736+1)/100/12),$K8735))))</f>
      </c>
      <c r="L8736" s="43">
        <f>IF($I8736=0,0,$J8736*$H8736/100/12)</f>
      </c>
      <c r="M8736" s="43">
        <f>IF($I8736=0,0,IF(OR(INDEX(DarlOhneTilgung,19)=1,AND(INDEX(DarlTilgStart,19)&gt;0,$E8736&lt;INDEX(DarlTilgStart,19))),0,MIN(MAX(0,$K8736-$L8736),$J8736)))</f>
      </c>
      <c r="N8736" s="43">
        <f>IF($I8736=0,0,MIN(SUMIFS(SondBetrag,SondDarl,19,SondDatum,"&gt;="&amp;$E8736,SondDatum,"&lt;="&amp;EOMONTH($E8736,0)),$J8736-$M8736))</f>
      </c>
      <c r="O8736" s="43">
        <f>IF($I8736=0,0,INDEX(DarlErsatzRate,19))</f>
      </c>
      <c r="P8736" s="43">
        <f>IF($I8736=0,0,$Q8735*INDEX(DarlErsatzZins,19))</f>
      </c>
      <c r="Q8736" s="43">
        <f>IF($I8736=0,0,$Q8735+$P8736+$O8736)</f>
      </c>
      <c r="R8736" s="43">
        <f>IF($I8736=0,0,$J8736-$M8736-$N8736)</f>
      </c>
    </row>
    <row r="8737">
      <c r="A8737"/>
      <c r="B8737">
        <v>19</v>
      </c>
      <c r="C8737" s="43">
        <f>INDEX(DarlObj,19)</f>
      </c>
      <c r="D8737">
        <v>94</v>
      </c>
      <c r="E8737" s="51">
        <f>IF(INDEX(DarlBelegt,19)=0,0,EOMONTH(INDEX(DarlAuszahlung,19),93)+1)</f>
      </c>
      <c r="F8737" s="43">
        <f>IF($E8737=0,0,YEAR($E8737))</f>
      </c>
      <c r="G8737" s="43">
        <f>IF(INDEX(DarlBindung,19)="",1,IF($E8737&lt;=INDEX(DarlBindung,19),1,0))</f>
      </c>
      <c r="H8737" s="43">
        <f>IF($G8737=1,INDEX(DarlSollzins,19),INDEX(DarlAnschluss,19))</f>
      </c>
      <c r="I8737" s="43">
        <f>IF(INDEX(DarlBelegt,19)=0,0,IF(INDEX(DarlOhneTilgung,19)=1,IF(INDEX(DarlBindung,19)="",1,$G8737),IF($J8737&gt;0.005,1,0)))</f>
      </c>
      <c r="J8737" s="43">
        <f>IF($I8736=0,0,$R8736)</f>
      </c>
      <c r="K8737" s="43">
        <f>IF($I8737=0,0,IF(INDEX(DarlOhneTilgung,19)=1,0,IF(AND(INDEX(DarlTilgStart,19)&gt;0,$E8737=INDEX(DarlTilgStart,19)),$J8737*($H8737+INDEX(DarlTilgung,19))/100/12,IF(AND($G8737=0,$G8736=1),MAX($K8736,$J8737*($H8737+1)/100/12),$K8736))))</f>
      </c>
      <c r="L8737" s="43">
        <f>IF($I8737=0,0,$J8737*$H8737/100/12)</f>
      </c>
      <c r="M8737" s="43">
        <f>IF($I8737=0,0,IF(OR(INDEX(DarlOhneTilgung,19)=1,AND(INDEX(DarlTilgStart,19)&gt;0,$E8737&lt;INDEX(DarlTilgStart,19))),0,MIN(MAX(0,$K8737-$L8737),$J8737)))</f>
      </c>
      <c r="N8737" s="43">
        <f>IF($I8737=0,0,MIN(SUMIFS(SondBetrag,SondDarl,19,SondDatum,"&gt;="&amp;$E8737,SondDatum,"&lt;="&amp;EOMONTH($E8737,0)),$J8737-$M8737))</f>
      </c>
      <c r="O8737" s="43">
        <f>IF($I8737=0,0,INDEX(DarlErsatzRate,19))</f>
      </c>
      <c r="P8737" s="43">
        <f>IF($I8737=0,0,$Q8736*INDEX(DarlErsatzZins,19))</f>
      </c>
      <c r="Q8737" s="43">
        <f>IF($I8737=0,0,$Q8736+$P8737+$O8737)</f>
      </c>
      <c r="R8737" s="43">
        <f>IF($I8737=0,0,$J8737-$M8737-$N8737)</f>
      </c>
    </row>
    <row r="8738">
      <c r="A8738"/>
      <c r="B8738">
        <v>19</v>
      </c>
      <c r="C8738" s="43">
        <f>INDEX(DarlObj,19)</f>
      </c>
      <c r="D8738">
        <v>95</v>
      </c>
      <c r="E8738" s="51">
        <f>IF(INDEX(DarlBelegt,19)=0,0,EOMONTH(INDEX(DarlAuszahlung,19),94)+1)</f>
      </c>
      <c r="F8738" s="43">
        <f>IF($E8738=0,0,YEAR($E8738))</f>
      </c>
      <c r="G8738" s="43">
        <f>IF(INDEX(DarlBindung,19)="",1,IF($E8738&lt;=INDEX(DarlBindung,19),1,0))</f>
      </c>
      <c r="H8738" s="43">
        <f>IF($G8738=1,INDEX(DarlSollzins,19),INDEX(DarlAnschluss,19))</f>
      </c>
      <c r="I8738" s="43">
        <f>IF(INDEX(DarlBelegt,19)=0,0,IF(INDEX(DarlOhneTilgung,19)=1,IF(INDEX(DarlBindung,19)="",1,$G8738),IF($J8738&gt;0.005,1,0)))</f>
      </c>
      <c r="J8738" s="43">
        <f>IF($I8737=0,0,$R8737)</f>
      </c>
      <c r="K8738" s="43">
        <f>IF($I8738=0,0,IF(INDEX(DarlOhneTilgung,19)=1,0,IF(AND(INDEX(DarlTilgStart,19)&gt;0,$E8738=INDEX(DarlTilgStart,19)),$J8738*($H8738+INDEX(DarlTilgung,19))/100/12,IF(AND($G8738=0,$G8737=1),MAX($K8737,$J8738*($H8738+1)/100/12),$K8737))))</f>
      </c>
      <c r="L8738" s="43">
        <f>IF($I8738=0,0,$J8738*$H8738/100/12)</f>
      </c>
      <c r="M8738" s="43">
        <f>IF($I8738=0,0,IF(OR(INDEX(DarlOhneTilgung,19)=1,AND(INDEX(DarlTilgStart,19)&gt;0,$E8738&lt;INDEX(DarlTilgStart,19))),0,MIN(MAX(0,$K8738-$L8738),$J8738)))</f>
      </c>
      <c r="N8738" s="43">
        <f>IF($I8738=0,0,MIN(SUMIFS(SondBetrag,SondDarl,19,SondDatum,"&gt;="&amp;$E8738,SondDatum,"&lt;="&amp;EOMONTH($E8738,0)),$J8738-$M8738))</f>
      </c>
      <c r="O8738" s="43">
        <f>IF($I8738=0,0,INDEX(DarlErsatzRate,19))</f>
      </c>
      <c r="P8738" s="43">
        <f>IF($I8738=0,0,$Q8737*INDEX(DarlErsatzZins,19))</f>
      </c>
      <c r="Q8738" s="43">
        <f>IF($I8738=0,0,$Q8737+$P8738+$O8738)</f>
      </c>
      <c r="R8738" s="43">
        <f>IF($I8738=0,0,$J8738-$M8738-$N8738)</f>
      </c>
    </row>
    <row r="8739">
      <c r="A8739"/>
      <c r="B8739">
        <v>19</v>
      </c>
      <c r="C8739" s="43">
        <f>INDEX(DarlObj,19)</f>
      </c>
      <c r="D8739">
        <v>96</v>
      </c>
      <c r="E8739" s="51">
        <f>IF(INDEX(DarlBelegt,19)=0,0,EOMONTH(INDEX(DarlAuszahlung,19),95)+1)</f>
      </c>
      <c r="F8739" s="43">
        <f>IF($E8739=0,0,YEAR($E8739))</f>
      </c>
      <c r="G8739" s="43">
        <f>IF(INDEX(DarlBindung,19)="",1,IF($E8739&lt;=INDEX(DarlBindung,19),1,0))</f>
      </c>
      <c r="H8739" s="43">
        <f>IF($G8739=1,INDEX(DarlSollzins,19),INDEX(DarlAnschluss,19))</f>
      </c>
      <c r="I8739" s="43">
        <f>IF(INDEX(DarlBelegt,19)=0,0,IF(INDEX(DarlOhneTilgung,19)=1,IF(INDEX(DarlBindung,19)="",1,$G8739),IF($J8739&gt;0.005,1,0)))</f>
      </c>
      <c r="J8739" s="43">
        <f>IF($I8738=0,0,$R8738)</f>
      </c>
      <c r="K8739" s="43">
        <f>IF($I8739=0,0,IF(INDEX(DarlOhneTilgung,19)=1,0,IF(AND(INDEX(DarlTilgStart,19)&gt;0,$E8739=INDEX(DarlTilgStart,19)),$J8739*($H8739+INDEX(DarlTilgung,19))/100/12,IF(AND($G8739=0,$G8738=1),MAX($K8738,$J8739*($H8739+1)/100/12),$K8738))))</f>
      </c>
      <c r="L8739" s="43">
        <f>IF($I8739=0,0,$J8739*$H8739/100/12)</f>
      </c>
      <c r="M8739" s="43">
        <f>IF($I8739=0,0,IF(OR(INDEX(DarlOhneTilgung,19)=1,AND(INDEX(DarlTilgStart,19)&gt;0,$E8739&lt;INDEX(DarlTilgStart,19))),0,MIN(MAX(0,$K8739-$L8739),$J8739)))</f>
      </c>
      <c r="N8739" s="43">
        <f>IF($I8739=0,0,MIN(SUMIFS(SondBetrag,SondDarl,19,SondDatum,"&gt;="&amp;$E8739,SondDatum,"&lt;="&amp;EOMONTH($E8739,0)),$J8739-$M8739))</f>
      </c>
      <c r="O8739" s="43">
        <f>IF($I8739=0,0,INDEX(DarlErsatzRate,19))</f>
      </c>
      <c r="P8739" s="43">
        <f>IF($I8739=0,0,$Q8738*INDEX(DarlErsatzZins,19))</f>
      </c>
      <c r="Q8739" s="43">
        <f>IF($I8739=0,0,$Q8738+$P8739+$O8739)</f>
      </c>
      <c r="R8739" s="43">
        <f>IF($I8739=0,0,$J8739-$M8739-$N8739)</f>
      </c>
    </row>
    <row r="8740">
      <c r="A8740"/>
      <c r="B8740">
        <v>19</v>
      </c>
      <c r="C8740" s="43">
        <f>INDEX(DarlObj,19)</f>
      </c>
      <c r="D8740">
        <v>97</v>
      </c>
      <c r="E8740" s="51">
        <f>IF(INDEX(DarlBelegt,19)=0,0,EOMONTH(INDEX(DarlAuszahlung,19),96)+1)</f>
      </c>
      <c r="F8740" s="43">
        <f>IF($E8740=0,0,YEAR($E8740))</f>
      </c>
      <c r="G8740" s="43">
        <f>IF(INDEX(DarlBindung,19)="",1,IF($E8740&lt;=INDEX(DarlBindung,19),1,0))</f>
      </c>
      <c r="H8740" s="43">
        <f>IF($G8740=1,INDEX(DarlSollzins,19),INDEX(DarlAnschluss,19))</f>
      </c>
      <c r="I8740" s="43">
        <f>IF(INDEX(DarlBelegt,19)=0,0,IF(INDEX(DarlOhneTilgung,19)=1,IF(INDEX(DarlBindung,19)="",1,$G8740),IF($J8740&gt;0.005,1,0)))</f>
      </c>
      <c r="J8740" s="43">
        <f>IF($I8739=0,0,$R8739)</f>
      </c>
      <c r="K8740" s="43">
        <f>IF($I8740=0,0,IF(INDEX(DarlOhneTilgung,19)=1,0,IF(AND(INDEX(DarlTilgStart,19)&gt;0,$E8740=INDEX(DarlTilgStart,19)),$J8740*($H8740+INDEX(DarlTilgung,19))/100/12,IF(AND($G8740=0,$G8739=1),MAX($K8739,$J8740*($H8740+1)/100/12),$K8739))))</f>
      </c>
      <c r="L8740" s="43">
        <f>IF($I8740=0,0,$J8740*$H8740/100/12)</f>
      </c>
      <c r="M8740" s="43">
        <f>IF($I8740=0,0,IF(OR(INDEX(DarlOhneTilgung,19)=1,AND(INDEX(DarlTilgStart,19)&gt;0,$E8740&lt;INDEX(DarlTilgStart,19))),0,MIN(MAX(0,$K8740-$L8740),$J8740)))</f>
      </c>
      <c r="N8740" s="43">
        <f>IF($I8740=0,0,MIN(SUMIFS(SondBetrag,SondDarl,19,SondDatum,"&gt;="&amp;$E8740,SondDatum,"&lt;="&amp;EOMONTH($E8740,0)),$J8740-$M8740))</f>
      </c>
      <c r="O8740" s="43">
        <f>IF($I8740=0,0,INDEX(DarlErsatzRate,19))</f>
      </c>
      <c r="P8740" s="43">
        <f>IF($I8740=0,0,$Q8739*INDEX(DarlErsatzZins,19))</f>
      </c>
      <c r="Q8740" s="43">
        <f>IF($I8740=0,0,$Q8739+$P8740+$O8740)</f>
      </c>
      <c r="R8740" s="43">
        <f>IF($I8740=0,0,$J8740-$M8740-$N8740)</f>
      </c>
    </row>
    <row r="8741">
      <c r="A8741"/>
      <c r="B8741">
        <v>19</v>
      </c>
      <c r="C8741" s="43">
        <f>INDEX(DarlObj,19)</f>
      </c>
      <c r="D8741">
        <v>98</v>
      </c>
      <c r="E8741" s="51">
        <f>IF(INDEX(DarlBelegt,19)=0,0,EOMONTH(INDEX(DarlAuszahlung,19),97)+1)</f>
      </c>
      <c r="F8741" s="43">
        <f>IF($E8741=0,0,YEAR($E8741))</f>
      </c>
      <c r="G8741" s="43">
        <f>IF(INDEX(DarlBindung,19)="",1,IF($E8741&lt;=INDEX(DarlBindung,19),1,0))</f>
      </c>
      <c r="H8741" s="43">
        <f>IF($G8741=1,INDEX(DarlSollzins,19),INDEX(DarlAnschluss,19))</f>
      </c>
      <c r="I8741" s="43">
        <f>IF(INDEX(DarlBelegt,19)=0,0,IF(INDEX(DarlOhneTilgung,19)=1,IF(INDEX(DarlBindung,19)="",1,$G8741),IF($J8741&gt;0.005,1,0)))</f>
      </c>
      <c r="J8741" s="43">
        <f>IF($I8740=0,0,$R8740)</f>
      </c>
      <c r="K8741" s="43">
        <f>IF($I8741=0,0,IF(INDEX(DarlOhneTilgung,19)=1,0,IF(AND(INDEX(DarlTilgStart,19)&gt;0,$E8741=INDEX(DarlTilgStart,19)),$J8741*($H8741+INDEX(DarlTilgung,19))/100/12,IF(AND($G8741=0,$G8740=1),MAX($K8740,$J8741*($H8741+1)/100/12),$K8740))))</f>
      </c>
      <c r="L8741" s="43">
        <f>IF($I8741=0,0,$J8741*$H8741/100/12)</f>
      </c>
      <c r="M8741" s="43">
        <f>IF($I8741=0,0,IF(OR(INDEX(DarlOhneTilgung,19)=1,AND(INDEX(DarlTilgStart,19)&gt;0,$E8741&lt;INDEX(DarlTilgStart,19))),0,MIN(MAX(0,$K8741-$L8741),$J8741)))</f>
      </c>
      <c r="N8741" s="43">
        <f>IF($I8741=0,0,MIN(SUMIFS(SondBetrag,SondDarl,19,SondDatum,"&gt;="&amp;$E8741,SondDatum,"&lt;="&amp;EOMONTH($E8741,0)),$J8741-$M8741))</f>
      </c>
      <c r="O8741" s="43">
        <f>IF($I8741=0,0,INDEX(DarlErsatzRate,19))</f>
      </c>
      <c r="P8741" s="43">
        <f>IF($I8741=0,0,$Q8740*INDEX(DarlErsatzZins,19))</f>
      </c>
      <c r="Q8741" s="43">
        <f>IF($I8741=0,0,$Q8740+$P8741+$O8741)</f>
      </c>
      <c r="R8741" s="43">
        <f>IF($I8741=0,0,$J8741-$M8741-$N8741)</f>
      </c>
    </row>
    <row r="8742">
      <c r="A8742"/>
      <c r="B8742">
        <v>19</v>
      </c>
      <c r="C8742" s="43">
        <f>INDEX(DarlObj,19)</f>
      </c>
      <c r="D8742">
        <v>99</v>
      </c>
      <c r="E8742" s="51">
        <f>IF(INDEX(DarlBelegt,19)=0,0,EOMONTH(INDEX(DarlAuszahlung,19),98)+1)</f>
      </c>
      <c r="F8742" s="43">
        <f>IF($E8742=0,0,YEAR($E8742))</f>
      </c>
      <c r="G8742" s="43">
        <f>IF(INDEX(DarlBindung,19)="",1,IF($E8742&lt;=INDEX(DarlBindung,19),1,0))</f>
      </c>
      <c r="H8742" s="43">
        <f>IF($G8742=1,INDEX(DarlSollzins,19),INDEX(DarlAnschluss,19))</f>
      </c>
      <c r="I8742" s="43">
        <f>IF(INDEX(DarlBelegt,19)=0,0,IF(INDEX(DarlOhneTilgung,19)=1,IF(INDEX(DarlBindung,19)="",1,$G8742),IF($J8742&gt;0.005,1,0)))</f>
      </c>
      <c r="J8742" s="43">
        <f>IF($I8741=0,0,$R8741)</f>
      </c>
      <c r="K8742" s="43">
        <f>IF($I8742=0,0,IF(INDEX(DarlOhneTilgung,19)=1,0,IF(AND(INDEX(DarlTilgStart,19)&gt;0,$E8742=INDEX(DarlTilgStart,19)),$J8742*($H8742+INDEX(DarlTilgung,19))/100/12,IF(AND($G8742=0,$G8741=1),MAX($K8741,$J8742*($H8742+1)/100/12),$K8741))))</f>
      </c>
      <c r="L8742" s="43">
        <f>IF($I8742=0,0,$J8742*$H8742/100/12)</f>
      </c>
      <c r="M8742" s="43">
        <f>IF($I8742=0,0,IF(OR(INDEX(DarlOhneTilgung,19)=1,AND(INDEX(DarlTilgStart,19)&gt;0,$E8742&lt;INDEX(DarlTilgStart,19))),0,MIN(MAX(0,$K8742-$L8742),$J8742)))</f>
      </c>
      <c r="N8742" s="43">
        <f>IF($I8742=0,0,MIN(SUMIFS(SondBetrag,SondDarl,19,SondDatum,"&gt;="&amp;$E8742,SondDatum,"&lt;="&amp;EOMONTH($E8742,0)),$J8742-$M8742))</f>
      </c>
      <c r="O8742" s="43">
        <f>IF($I8742=0,0,INDEX(DarlErsatzRate,19))</f>
      </c>
      <c r="P8742" s="43">
        <f>IF($I8742=0,0,$Q8741*INDEX(DarlErsatzZins,19))</f>
      </c>
      <c r="Q8742" s="43">
        <f>IF($I8742=0,0,$Q8741+$P8742+$O8742)</f>
      </c>
      <c r="R8742" s="43">
        <f>IF($I8742=0,0,$J8742-$M8742-$N8742)</f>
      </c>
    </row>
    <row r="8743">
      <c r="A8743"/>
      <c r="B8743">
        <v>19</v>
      </c>
      <c r="C8743" s="43">
        <f>INDEX(DarlObj,19)</f>
      </c>
      <c r="D8743">
        <v>100</v>
      </c>
      <c r="E8743" s="51">
        <f>IF(INDEX(DarlBelegt,19)=0,0,EOMONTH(INDEX(DarlAuszahlung,19),99)+1)</f>
      </c>
      <c r="F8743" s="43">
        <f>IF($E8743=0,0,YEAR($E8743))</f>
      </c>
      <c r="G8743" s="43">
        <f>IF(INDEX(DarlBindung,19)="",1,IF($E8743&lt;=INDEX(DarlBindung,19),1,0))</f>
      </c>
      <c r="H8743" s="43">
        <f>IF($G8743=1,INDEX(DarlSollzins,19),INDEX(DarlAnschluss,19))</f>
      </c>
      <c r="I8743" s="43">
        <f>IF(INDEX(DarlBelegt,19)=0,0,IF(INDEX(DarlOhneTilgung,19)=1,IF(INDEX(DarlBindung,19)="",1,$G8743),IF($J8743&gt;0.005,1,0)))</f>
      </c>
      <c r="J8743" s="43">
        <f>IF($I8742=0,0,$R8742)</f>
      </c>
      <c r="K8743" s="43">
        <f>IF($I8743=0,0,IF(INDEX(DarlOhneTilgung,19)=1,0,IF(AND(INDEX(DarlTilgStart,19)&gt;0,$E8743=INDEX(DarlTilgStart,19)),$J8743*($H8743+INDEX(DarlTilgung,19))/100/12,IF(AND($G8743=0,$G8742=1),MAX($K8742,$J8743*($H8743+1)/100/12),$K8742))))</f>
      </c>
      <c r="L8743" s="43">
        <f>IF($I8743=0,0,$J8743*$H8743/100/12)</f>
      </c>
      <c r="M8743" s="43">
        <f>IF($I8743=0,0,IF(OR(INDEX(DarlOhneTilgung,19)=1,AND(INDEX(DarlTilgStart,19)&gt;0,$E8743&lt;INDEX(DarlTilgStart,19))),0,MIN(MAX(0,$K8743-$L8743),$J8743)))</f>
      </c>
      <c r="N8743" s="43">
        <f>IF($I8743=0,0,MIN(SUMIFS(SondBetrag,SondDarl,19,SondDatum,"&gt;="&amp;$E8743,SondDatum,"&lt;="&amp;EOMONTH($E8743,0)),$J8743-$M8743))</f>
      </c>
      <c r="O8743" s="43">
        <f>IF($I8743=0,0,INDEX(DarlErsatzRate,19))</f>
      </c>
      <c r="P8743" s="43">
        <f>IF($I8743=0,0,$Q8742*INDEX(DarlErsatzZins,19))</f>
      </c>
      <c r="Q8743" s="43">
        <f>IF($I8743=0,0,$Q8742+$P8743+$O8743)</f>
      </c>
      <c r="R8743" s="43">
        <f>IF($I8743=0,0,$J8743-$M8743-$N8743)</f>
      </c>
    </row>
    <row r="8744">
      <c r="A8744"/>
      <c r="B8744">
        <v>19</v>
      </c>
      <c r="C8744" s="43">
        <f>INDEX(DarlObj,19)</f>
      </c>
      <c r="D8744">
        <v>101</v>
      </c>
      <c r="E8744" s="51">
        <f>IF(INDEX(DarlBelegt,19)=0,0,EOMONTH(INDEX(DarlAuszahlung,19),100)+1)</f>
      </c>
      <c r="F8744" s="43">
        <f>IF($E8744=0,0,YEAR($E8744))</f>
      </c>
      <c r="G8744" s="43">
        <f>IF(INDEX(DarlBindung,19)="",1,IF($E8744&lt;=INDEX(DarlBindung,19),1,0))</f>
      </c>
      <c r="H8744" s="43">
        <f>IF($G8744=1,INDEX(DarlSollzins,19),INDEX(DarlAnschluss,19))</f>
      </c>
      <c r="I8744" s="43">
        <f>IF(INDEX(DarlBelegt,19)=0,0,IF(INDEX(DarlOhneTilgung,19)=1,IF(INDEX(DarlBindung,19)="",1,$G8744),IF($J8744&gt;0.005,1,0)))</f>
      </c>
      <c r="J8744" s="43">
        <f>IF($I8743=0,0,$R8743)</f>
      </c>
      <c r="K8744" s="43">
        <f>IF($I8744=0,0,IF(INDEX(DarlOhneTilgung,19)=1,0,IF(AND(INDEX(DarlTilgStart,19)&gt;0,$E8744=INDEX(DarlTilgStart,19)),$J8744*($H8744+INDEX(DarlTilgung,19))/100/12,IF(AND($G8744=0,$G8743=1),MAX($K8743,$J8744*($H8744+1)/100/12),$K8743))))</f>
      </c>
      <c r="L8744" s="43">
        <f>IF($I8744=0,0,$J8744*$H8744/100/12)</f>
      </c>
      <c r="M8744" s="43">
        <f>IF($I8744=0,0,IF(OR(INDEX(DarlOhneTilgung,19)=1,AND(INDEX(DarlTilgStart,19)&gt;0,$E8744&lt;INDEX(DarlTilgStart,19))),0,MIN(MAX(0,$K8744-$L8744),$J8744)))</f>
      </c>
      <c r="N8744" s="43">
        <f>IF($I8744=0,0,MIN(SUMIFS(SondBetrag,SondDarl,19,SondDatum,"&gt;="&amp;$E8744,SondDatum,"&lt;="&amp;EOMONTH($E8744,0)),$J8744-$M8744))</f>
      </c>
      <c r="O8744" s="43">
        <f>IF($I8744=0,0,INDEX(DarlErsatzRate,19))</f>
      </c>
      <c r="P8744" s="43">
        <f>IF($I8744=0,0,$Q8743*INDEX(DarlErsatzZins,19))</f>
      </c>
      <c r="Q8744" s="43">
        <f>IF($I8744=0,0,$Q8743+$P8744+$O8744)</f>
      </c>
      <c r="R8744" s="43">
        <f>IF($I8744=0,0,$J8744-$M8744-$N8744)</f>
      </c>
    </row>
    <row r="8745">
      <c r="A8745"/>
      <c r="B8745">
        <v>19</v>
      </c>
      <c r="C8745" s="43">
        <f>INDEX(DarlObj,19)</f>
      </c>
      <c r="D8745">
        <v>102</v>
      </c>
      <c r="E8745" s="51">
        <f>IF(INDEX(DarlBelegt,19)=0,0,EOMONTH(INDEX(DarlAuszahlung,19),101)+1)</f>
      </c>
      <c r="F8745" s="43">
        <f>IF($E8745=0,0,YEAR($E8745))</f>
      </c>
      <c r="G8745" s="43">
        <f>IF(INDEX(DarlBindung,19)="",1,IF($E8745&lt;=INDEX(DarlBindung,19),1,0))</f>
      </c>
      <c r="H8745" s="43">
        <f>IF($G8745=1,INDEX(DarlSollzins,19),INDEX(DarlAnschluss,19))</f>
      </c>
      <c r="I8745" s="43">
        <f>IF(INDEX(DarlBelegt,19)=0,0,IF(INDEX(DarlOhneTilgung,19)=1,IF(INDEX(DarlBindung,19)="",1,$G8745),IF($J8745&gt;0.005,1,0)))</f>
      </c>
      <c r="J8745" s="43">
        <f>IF($I8744=0,0,$R8744)</f>
      </c>
      <c r="K8745" s="43">
        <f>IF($I8745=0,0,IF(INDEX(DarlOhneTilgung,19)=1,0,IF(AND(INDEX(DarlTilgStart,19)&gt;0,$E8745=INDEX(DarlTilgStart,19)),$J8745*($H8745+INDEX(DarlTilgung,19))/100/12,IF(AND($G8745=0,$G8744=1),MAX($K8744,$J8745*($H8745+1)/100/12),$K8744))))</f>
      </c>
      <c r="L8745" s="43">
        <f>IF($I8745=0,0,$J8745*$H8745/100/12)</f>
      </c>
      <c r="M8745" s="43">
        <f>IF($I8745=0,0,IF(OR(INDEX(DarlOhneTilgung,19)=1,AND(INDEX(DarlTilgStart,19)&gt;0,$E8745&lt;INDEX(DarlTilgStart,19))),0,MIN(MAX(0,$K8745-$L8745),$J8745)))</f>
      </c>
      <c r="N8745" s="43">
        <f>IF($I8745=0,0,MIN(SUMIFS(SondBetrag,SondDarl,19,SondDatum,"&gt;="&amp;$E8745,SondDatum,"&lt;="&amp;EOMONTH($E8745,0)),$J8745-$M8745))</f>
      </c>
      <c r="O8745" s="43">
        <f>IF($I8745=0,0,INDEX(DarlErsatzRate,19))</f>
      </c>
      <c r="P8745" s="43">
        <f>IF($I8745=0,0,$Q8744*INDEX(DarlErsatzZins,19))</f>
      </c>
      <c r="Q8745" s="43">
        <f>IF($I8745=0,0,$Q8744+$P8745+$O8745)</f>
      </c>
      <c r="R8745" s="43">
        <f>IF($I8745=0,0,$J8745-$M8745-$N8745)</f>
      </c>
    </row>
    <row r="8746">
      <c r="A8746"/>
      <c r="B8746">
        <v>19</v>
      </c>
      <c r="C8746" s="43">
        <f>INDEX(DarlObj,19)</f>
      </c>
      <c r="D8746">
        <v>103</v>
      </c>
      <c r="E8746" s="51">
        <f>IF(INDEX(DarlBelegt,19)=0,0,EOMONTH(INDEX(DarlAuszahlung,19),102)+1)</f>
      </c>
      <c r="F8746" s="43">
        <f>IF($E8746=0,0,YEAR($E8746))</f>
      </c>
      <c r="G8746" s="43">
        <f>IF(INDEX(DarlBindung,19)="",1,IF($E8746&lt;=INDEX(DarlBindung,19),1,0))</f>
      </c>
      <c r="H8746" s="43">
        <f>IF($G8746=1,INDEX(DarlSollzins,19),INDEX(DarlAnschluss,19))</f>
      </c>
      <c r="I8746" s="43">
        <f>IF(INDEX(DarlBelegt,19)=0,0,IF(INDEX(DarlOhneTilgung,19)=1,IF(INDEX(DarlBindung,19)="",1,$G8746),IF($J8746&gt;0.005,1,0)))</f>
      </c>
      <c r="J8746" s="43">
        <f>IF($I8745=0,0,$R8745)</f>
      </c>
      <c r="K8746" s="43">
        <f>IF($I8746=0,0,IF(INDEX(DarlOhneTilgung,19)=1,0,IF(AND(INDEX(DarlTilgStart,19)&gt;0,$E8746=INDEX(DarlTilgStart,19)),$J8746*($H8746+INDEX(DarlTilgung,19))/100/12,IF(AND($G8746=0,$G8745=1),MAX($K8745,$J8746*($H8746+1)/100/12),$K8745))))</f>
      </c>
      <c r="L8746" s="43">
        <f>IF($I8746=0,0,$J8746*$H8746/100/12)</f>
      </c>
      <c r="M8746" s="43">
        <f>IF($I8746=0,0,IF(OR(INDEX(DarlOhneTilgung,19)=1,AND(INDEX(DarlTilgStart,19)&gt;0,$E8746&lt;INDEX(DarlTilgStart,19))),0,MIN(MAX(0,$K8746-$L8746),$J8746)))</f>
      </c>
      <c r="N8746" s="43">
        <f>IF($I8746=0,0,MIN(SUMIFS(SondBetrag,SondDarl,19,SondDatum,"&gt;="&amp;$E8746,SondDatum,"&lt;="&amp;EOMONTH($E8746,0)),$J8746-$M8746))</f>
      </c>
      <c r="O8746" s="43">
        <f>IF($I8746=0,0,INDEX(DarlErsatzRate,19))</f>
      </c>
      <c r="P8746" s="43">
        <f>IF($I8746=0,0,$Q8745*INDEX(DarlErsatzZins,19))</f>
      </c>
      <c r="Q8746" s="43">
        <f>IF($I8746=0,0,$Q8745+$P8746+$O8746)</f>
      </c>
      <c r="R8746" s="43">
        <f>IF($I8746=0,0,$J8746-$M8746-$N8746)</f>
      </c>
    </row>
    <row r="8747">
      <c r="A8747"/>
      <c r="B8747">
        <v>19</v>
      </c>
      <c r="C8747" s="43">
        <f>INDEX(DarlObj,19)</f>
      </c>
      <c r="D8747">
        <v>104</v>
      </c>
      <c r="E8747" s="51">
        <f>IF(INDEX(DarlBelegt,19)=0,0,EOMONTH(INDEX(DarlAuszahlung,19),103)+1)</f>
      </c>
      <c r="F8747" s="43">
        <f>IF($E8747=0,0,YEAR($E8747))</f>
      </c>
      <c r="G8747" s="43">
        <f>IF(INDEX(DarlBindung,19)="",1,IF($E8747&lt;=INDEX(DarlBindung,19),1,0))</f>
      </c>
      <c r="H8747" s="43">
        <f>IF($G8747=1,INDEX(DarlSollzins,19),INDEX(DarlAnschluss,19))</f>
      </c>
      <c r="I8747" s="43">
        <f>IF(INDEX(DarlBelegt,19)=0,0,IF(INDEX(DarlOhneTilgung,19)=1,IF(INDEX(DarlBindung,19)="",1,$G8747),IF($J8747&gt;0.005,1,0)))</f>
      </c>
      <c r="J8747" s="43">
        <f>IF($I8746=0,0,$R8746)</f>
      </c>
      <c r="K8747" s="43">
        <f>IF($I8747=0,0,IF(INDEX(DarlOhneTilgung,19)=1,0,IF(AND(INDEX(DarlTilgStart,19)&gt;0,$E8747=INDEX(DarlTilgStart,19)),$J8747*($H8747+INDEX(DarlTilgung,19))/100/12,IF(AND($G8747=0,$G8746=1),MAX($K8746,$J8747*($H8747+1)/100/12),$K8746))))</f>
      </c>
      <c r="L8747" s="43">
        <f>IF($I8747=0,0,$J8747*$H8747/100/12)</f>
      </c>
      <c r="M8747" s="43">
        <f>IF($I8747=0,0,IF(OR(INDEX(DarlOhneTilgung,19)=1,AND(INDEX(DarlTilgStart,19)&gt;0,$E8747&lt;INDEX(DarlTilgStart,19))),0,MIN(MAX(0,$K8747-$L8747),$J8747)))</f>
      </c>
      <c r="N8747" s="43">
        <f>IF($I8747=0,0,MIN(SUMIFS(SondBetrag,SondDarl,19,SondDatum,"&gt;="&amp;$E8747,SondDatum,"&lt;="&amp;EOMONTH($E8747,0)),$J8747-$M8747))</f>
      </c>
      <c r="O8747" s="43">
        <f>IF($I8747=0,0,INDEX(DarlErsatzRate,19))</f>
      </c>
      <c r="P8747" s="43">
        <f>IF($I8747=0,0,$Q8746*INDEX(DarlErsatzZins,19))</f>
      </c>
      <c r="Q8747" s="43">
        <f>IF($I8747=0,0,$Q8746+$P8747+$O8747)</f>
      </c>
      <c r="R8747" s="43">
        <f>IF($I8747=0,0,$J8747-$M8747-$N8747)</f>
      </c>
    </row>
    <row r="8748">
      <c r="A8748"/>
      <c r="B8748">
        <v>19</v>
      </c>
      <c r="C8748" s="43">
        <f>INDEX(DarlObj,19)</f>
      </c>
      <c r="D8748">
        <v>105</v>
      </c>
      <c r="E8748" s="51">
        <f>IF(INDEX(DarlBelegt,19)=0,0,EOMONTH(INDEX(DarlAuszahlung,19),104)+1)</f>
      </c>
      <c r="F8748" s="43">
        <f>IF($E8748=0,0,YEAR($E8748))</f>
      </c>
      <c r="G8748" s="43">
        <f>IF(INDEX(DarlBindung,19)="",1,IF($E8748&lt;=INDEX(DarlBindung,19),1,0))</f>
      </c>
      <c r="H8748" s="43">
        <f>IF($G8748=1,INDEX(DarlSollzins,19),INDEX(DarlAnschluss,19))</f>
      </c>
      <c r="I8748" s="43">
        <f>IF(INDEX(DarlBelegt,19)=0,0,IF(INDEX(DarlOhneTilgung,19)=1,IF(INDEX(DarlBindung,19)="",1,$G8748),IF($J8748&gt;0.005,1,0)))</f>
      </c>
      <c r="J8748" s="43">
        <f>IF($I8747=0,0,$R8747)</f>
      </c>
      <c r="K8748" s="43">
        <f>IF($I8748=0,0,IF(INDEX(DarlOhneTilgung,19)=1,0,IF(AND(INDEX(DarlTilgStart,19)&gt;0,$E8748=INDEX(DarlTilgStart,19)),$J8748*($H8748+INDEX(DarlTilgung,19))/100/12,IF(AND($G8748=0,$G8747=1),MAX($K8747,$J8748*($H8748+1)/100/12),$K8747))))</f>
      </c>
      <c r="L8748" s="43">
        <f>IF($I8748=0,0,$J8748*$H8748/100/12)</f>
      </c>
      <c r="M8748" s="43">
        <f>IF($I8748=0,0,IF(OR(INDEX(DarlOhneTilgung,19)=1,AND(INDEX(DarlTilgStart,19)&gt;0,$E8748&lt;INDEX(DarlTilgStart,19))),0,MIN(MAX(0,$K8748-$L8748),$J8748)))</f>
      </c>
      <c r="N8748" s="43">
        <f>IF($I8748=0,0,MIN(SUMIFS(SondBetrag,SondDarl,19,SondDatum,"&gt;="&amp;$E8748,SondDatum,"&lt;="&amp;EOMONTH($E8748,0)),$J8748-$M8748))</f>
      </c>
      <c r="O8748" s="43">
        <f>IF($I8748=0,0,INDEX(DarlErsatzRate,19))</f>
      </c>
      <c r="P8748" s="43">
        <f>IF($I8748=0,0,$Q8747*INDEX(DarlErsatzZins,19))</f>
      </c>
      <c r="Q8748" s="43">
        <f>IF($I8748=0,0,$Q8747+$P8748+$O8748)</f>
      </c>
      <c r="R8748" s="43">
        <f>IF($I8748=0,0,$J8748-$M8748-$N8748)</f>
      </c>
    </row>
    <row r="8749">
      <c r="A8749"/>
      <c r="B8749">
        <v>19</v>
      </c>
      <c r="C8749" s="43">
        <f>INDEX(DarlObj,19)</f>
      </c>
      <c r="D8749">
        <v>106</v>
      </c>
      <c r="E8749" s="51">
        <f>IF(INDEX(DarlBelegt,19)=0,0,EOMONTH(INDEX(DarlAuszahlung,19),105)+1)</f>
      </c>
      <c r="F8749" s="43">
        <f>IF($E8749=0,0,YEAR($E8749))</f>
      </c>
      <c r="G8749" s="43">
        <f>IF(INDEX(DarlBindung,19)="",1,IF($E8749&lt;=INDEX(DarlBindung,19),1,0))</f>
      </c>
      <c r="H8749" s="43">
        <f>IF($G8749=1,INDEX(DarlSollzins,19),INDEX(DarlAnschluss,19))</f>
      </c>
      <c r="I8749" s="43">
        <f>IF(INDEX(DarlBelegt,19)=0,0,IF(INDEX(DarlOhneTilgung,19)=1,IF(INDEX(DarlBindung,19)="",1,$G8749),IF($J8749&gt;0.005,1,0)))</f>
      </c>
      <c r="J8749" s="43">
        <f>IF($I8748=0,0,$R8748)</f>
      </c>
      <c r="K8749" s="43">
        <f>IF($I8749=0,0,IF(INDEX(DarlOhneTilgung,19)=1,0,IF(AND(INDEX(DarlTilgStart,19)&gt;0,$E8749=INDEX(DarlTilgStart,19)),$J8749*($H8749+INDEX(DarlTilgung,19))/100/12,IF(AND($G8749=0,$G8748=1),MAX($K8748,$J8749*($H8749+1)/100/12),$K8748))))</f>
      </c>
      <c r="L8749" s="43">
        <f>IF($I8749=0,0,$J8749*$H8749/100/12)</f>
      </c>
      <c r="M8749" s="43">
        <f>IF($I8749=0,0,IF(OR(INDEX(DarlOhneTilgung,19)=1,AND(INDEX(DarlTilgStart,19)&gt;0,$E8749&lt;INDEX(DarlTilgStart,19))),0,MIN(MAX(0,$K8749-$L8749),$J8749)))</f>
      </c>
      <c r="N8749" s="43">
        <f>IF($I8749=0,0,MIN(SUMIFS(SondBetrag,SondDarl,19,SondDatum,"&gt;="&amp;$E8749,SondDatum,"&lt;="&amp;EOMONTH($E8749,0)),$J8749-$M8749))</f>
      </c>
      <c r="O8749" s="43">
        <f>IF($I8749=0,0,INDEX(DarlErsatzRate,19))</f>
      </c>
      <c r="P8749" s="43">
        <f>IF($I8749=0,0,$Q8748*INDEX(DarlErsatzZins,19))</f>
      </c>
      <c r="Q8749" s="43">
        <f>IF($I8749=0,0,$Q8748+$P8749+$O8749)</f>
      </c>
      <c r="R8749" s="43">
        <f>IF($I8749=0,0,$J8749-$M8749-$N8749)</f>
      </c>
    </row>
    <row r="8750">
      <c r="A8750"/>
      <c r="B8750">
        <v>19</v>
      </c>
      <c r="C8750" s="43">
        <f>INDEX(DarlObj,19)</f>
      </c>
      <c r="D8750">
        <v>107</v>
      </c>
      <c r="E8750" s="51">
        <f>IF(INDEX(DarlBelegt,19)=0,0,EOMONTH(INDEX(DarlAuszahlung,19),106)+1)</f>
      </c>
      <c r="F8750" s="43">
        <f>IF($E8750=0,0,YEAR($E8750))</f>
      </c>
      <c r="G8750" s="43">
        <f>IF(INDEX(DarlBindung,19)="",1,IF($E8750&lt;=INDEX(DarlBindung,19),1,0))</f>
      </c>
      <c r="H8750" s="43">
        <f>IF($G8750=1,INDEX(DarlSollzins,19),INDEX(DarlAnschluss,19))</f>
      </c>
      <c r="I8750" s="43">
        <f>IF(INDEX(DarlBelegt,19)=0,0,IF(INDEX(DarlOhneTilgung,19)=1,IF(INDEX(DarlBindung,19)="",1,$G8750),IF($J8750&gt;0.005,1,0)))</f>
      </c>
      <c r="J8750" s="43">
        <f>IF($I8749=0,0,$R8749)</f>
      </c>
      <c r="K8750" s="43">
        <f>IF($I8750=0,0,IF(INDEX(DarlOhneTilgung,19)=1,0,IF(AND(INDEX(DarlTilgStart,19)&gt;0,$E8750=INDEX(DarlTilgStart,19)),$J8750*($H8750+INDEX(DarlTilgung,19))/100/12,IF(AND($G8750=0,$G8749=1),MAX($K8749,$J8750*($H8750+1)/100/12),$K8749))))</f>
      </c>
      <c r="L8750" s="43">
        <f>IF($I8750=0,0,$J8750*$H8750/100/12)</f>
      </c>
      <c r="M8750" s="43">
        <f>IF($I8750=0,0,IF(OR(INDEX(DarlOhneTilgung,19)=1,AND(INDEX(DarlTilgStart,19)&gt;0,$E8750&lt;INDEX(DarlTilgStart,19))),0,MIN(MAX(0,$K8750-$L8750),$J8750)))</f>
      </c>
      <c r="N8750" s="43">
        <f>IF($I8750=0,0,MIN(SUMIFS(SondBetrag,SondDarl,19,SondDatum,"&gt;="&amp;$E8750,SondDatum,"&lt;="&amp;EOMONTH($E8750,0)),$J8750-$M8750))</f>
      </c>
      <c r="O8750" s="43">
        <f>IF($I8750=0,0,INDEX(DarlErsatzRate,19))</f>
      </c>
      <c r="P8750" s="43">
        <f>IF($I8750=0,0,$Q8749*INDEX(DarlErsatzZins,19))</f>
      </c>
      <c r="Q8750" s="43">
        <f>IF($I8750=0,0,$Q8749+$P8750+$O8750)</f>
      </c>
      <c r="R8750" s="43">
        <f>IF($I8750=0,0,$J8750-$M8750-$N8750)</f>
      </c>
    </row>
    <row r="8751">
      <c r="A8751"/>
      <c r="B8751">
        <v>19</v>
      </c>
      <c r="C8751" s="43">
        <f>INDEX(DarlObj,19)</f>
      </c>
      <c r="D8751">
        <v>108</v>
      </c>
      <c r="E8751" s="51">
        <f>IF(INDEX(DarlBelegt,19)=0,0,EOMONTH(INDEX(DarlAuszahlung,19),107)+1)</f>
      </c>
      <c r="F8751" s="43">
        <f>IF($E8751=0,0,YEAR($E8751))</f>
      </c>
      <c r="G8751" s="43">
        <f>IF(INDEX(DarlBindung,19)="",1,IF($E8751&lt;=INDEX(DarlBindung,19),1,0))</f>
      </c>
      <c r="H8751" s="43">
        <f>IF($G8751=1,INDEX(DarlSollzins,19),INDEX(DarlAnschluss,19))</f>
      </c>
      <c r="I8751" s="43">
        <f>IF(INDEX(DarlBelegt,19)=0,0,IF(INDEX(DarlOhneTilgung,19)=1,IF(INDEX(DarlBindung,19)="",1,$G8751),IF($J8751&gt;0.005,1,0)))</f>
      </c>
      <c r="J8751" s="43">
        <f>IF($I8750=0,0,$R8750)</f>
      </c>
      <c r="K8751" s="43">
        <f>IF($I8751=0,0,IF(INDEX(DarlOhneTilgung,19)=1,0,IF(AND(INDEX(DarlTilgStart,19)&gt;0,$E8751=INDEX(DarlTilgStart,19)),$J8751*($H8751+INDEX(DarlTilgung,19))/100/12,IF(AND($G8751=0,$G8750=1),MAX($K8750,$J8751*($H8751+1)/100/12),$K8750))))</f>
      </c>
      <c r="L8751" s="43">
        <f>IF($I8751=0,0,$J8751*$H8751/100/12)</f>
      </c>
      <c r="M8751" s="43">
        <f>IF($I8751=0,0,IF(OR(INDEX(DarlOhneTilgung,19)=1,AND(INDEX(DarlTilgStart,19)&gt;0,$E8751&lt;INDEX(DarlTilgStart,19))),0,MIN(MAX(0,$K8751-$L8751),$J8751)))</f>
      </c>
      <c r="N8751" s="43">
        <f>IF($I8751=0,0,MIN(SUMIFS(SondBetrag,SondDarl,19,SondDatum,"&gt;="&amp;$E8751,SondDatum,"&lt;="&amp;EOMONTH($E8751,0)),$J8751-$M8751))</f>
      </c>
      <c r="O8751" s="43">
        <f>IF($I8751=0,0,INDEX(DarlErsatzRate,19))</f>
      </c>
      <c r="P8751" s="43">
        <f>IF($I8751=0,0,$Q8750*INDEX(DarlErsatzZins,19))</f>
      </c>
      <c r="Q8751" s="43">
        <f>IF($I8751=0,0,$Q8750+$P8751+$O8751)</f>
      </c>
      <c r="R8751" s="43">
        <f>IF($I8751=0,0,$J8751-$M8751-$N8751)</f>
      </c>
    </row>
    <row r="8752">
      <c r="A8752"/>
      <c r="B8752">
        <v>19</v>
      </c>
      <c r="C8752" s="43">
        <f>INDEX(DarlObj,19)</f>
      </c>
      <c r="D8752">
        <v>109</v>
      </c>
      <c r="E8752" s="51">
        <f>IF(INDEX(DarlBelegt,19)=0,0,EOMONTH(INDEX(DarlAuszahlung,19),108)+1)</f>
      </c>
      <c r="F8752" s="43">
        <f>IF($E8752=0,0,YEAR($E8752))</f>
      </c>
      <c r="G8752" s="43">
        <f>IF(INDEX(DarlBindung,19)="",1,IF($E8752&lt;=INDEX(DarlBindung,19),1,0))</f>
      </c>
      <c r="H8752" s="43">
        <f>IF($G8752=1,INDEX(DarlSollzins,19),INDEX(DarlAnschluss,19))</f>
      </c>
      <c r="I8752" s="43">
        <f>IF(INDEX(DarlBelegt,19)=0,0,IF(INDEX(DarlOhneTilgung,19)=1,IF(INDEX(DarlBindung,19)="",1,$G8752),IF($J8752&gt;0.005,1,0)))</f>
      </c>
      <c r="J8752" s="43">
        <f>IF($I8751=0,0,$R8751)</f>
      </c>
      <c r="K8752" s="43">
        <f>IF($I8752=0,0,IF(INDEX(DarlOhneTilgung,19)=1,0,IF(AND(INDEX(DarlTilgStart,19)&gt;0,$E8752=INDEX(DarlTilgStart,19)),$J8752*($H8752+INDEX(DarlTilgung,19))/100/12,IF(AND($G8752=0,$G8751=1),MAX($K8751,$J8752*($H8752+1)/100/12),$K8751))))</f>
      </c>
      <c r="L8752" s="43">
        <f>IF($I8752=0,0,$J8752*$H8752/100/12)</f>
      </c>
      <c r="M8752" s="43">
        <f>IF($I8752=0,0,IF(OR(INDEX(DarlOhneTilgung,19)=1,AND(INDEX(DarlTilgStart,19)&gt;0,$E8752&lt;INDEX(DarlTilgStart,19))),0,MIN(MAX(0,$K8752-$L8752),$J8752)))</f>
      </c>
      <c r="N8752" s="43">
        <f>IF($I8752=0,0,MIN(SUMIFS(SondBetrag,SondDarl,19,SondDatum,"&gt;="&amp;$E8752,SondDatum,"&lt;="&amp;EOMONTH($E8752,0)),$J8752-$M8752))</f>
      </c>
      <c r="O8752" s="43">
        <f>IF($I8752=0,0,INDEX(DarlErsatzRate,19))</f>
      </c>
      <c r="P8752" s="43">
        <f>IF($I8752=0,0,$Q8751*INDEX(DarlErsatzZins,19))</f>
      </c>
      <c r="Q8752" s="43">
        <f>IF($I8752=0,0,$Q8751+$P8752+$O8752)</f>
      </c>
      <c r="R8752" s="43">
        <f>IF($I8752=0,0,$J8752-$M8752-$N8752)</f>
      </c>
    </row>
    <row r="8753">
      <c r="A8753"/>
      <c r="B8753">
        <v>19</v>
      </c>
      <c r="C8753" s="43">
        <f>INDEX(DarlObj,19)</f>
      </c>
      <c r="D8753">
        <v>110</v>
      </c>
      <c r="E8753" s="51">
        <f>IF(INDEX(DarlBelegt,19)=0,0,EOMONTH(INDEX(DarlAuszahlung,19),109)+1)</f>
      </c>
      <c r="F8753" s="43">
        <f>IF($E8753=0,0,YEAR($E8753))</f>
      </c>
      <c r="G8753" s="43">
        <f>IF(INDEX(DarlBindung,19)="",1,IF($E8753&lt;=INDEX(DarlBindung,19),1,0))</f>
      </c>
      <c r="H8753" s="43">
        <f>IF($G8753=1,INDEX(DarlSollzins,19),INDEX(DarlAnschluss,19))</f>
      </c>
      <c r="I8753" s="43">
        <f>IF(INDEX(DarlBelegt,19)=0,0,IF(INDEX(DarlOhneTilgung,19)=1,IF(INDEX(DarlBindung,19)="",1,$G8753),IF($J8753&gt;0.005,1,0)))</f>
      </c>
      <c r="J8753" s="43">
        <f>IF($I8752=0,0,$R8752)</f>
      </c>
      <c r="K8753" s="43">
        <f>IF($I8753=0,0,IF(INDEX(DarlOhneTilgung,19)=1,0,IF(AND(INDEX(DarlTilgStart,19)&gt;0,$E8753=INDEX(DarlTilgStart,19)),$J8753*($H8753+INDEX(DarlTilgung,19))/100/12,IF(AND($G8753=0,$G8752=1),MAX($K8752,$J8753*($H8753+1)/100/12),$K8752))))</f>
      </c>
      <c r="L8753" s="43">
        <f>IF($I8753=0,0,$J8753*$H8753/100/12)</f>
      </c>
      <c r="M8753" s="43">
        <f>IF($I8753=0,0,IF(OR(INDEX(DarlOhneTilgung,19)=1,AND(INDEX(DarlTilgStart,19)&gt;0,$E8753&lt;INDEX(DarlTilgStart,19))),0,MIN(MAX(0,$K8753-$L8753),$J8753)))</f>
      </c>
      <c r="N8753" s="43">
        <f>IF($I8753=0,0,MIN(SUMIFS(SondBetrag,SondDarl,19,SondDatum,"&gt;="&amp;$E8753,SondDatum,"&lt;="&amp;EOMONTH($E8753,0)),$J8753-$M8753))</f>
      </c>
      <c r="O8753" s="43">
        <f>IF($I8753=0,0,INDEX(DarlErsatzRate,19))</f>
      </c>
      <c r="P8753" s="43">
        <f>IF($I8753=0,0,$Q8752*INDEX(DarlErsatzZins,19))</f>
      </c>
      <c r="Q8753" s="43">
        <f>IF($I8753=0,0,$Q8752+$P8753+$O8753)</f>
      </c>
      <c r="R8753" s="43">
        <f>IF($I8753=0,0,$J8753-$M8753-$N8753)</f>
      </c>
    </row>
    <row r="8754">
      <c r="A8754"/>
      <c r="B8754">
        <v>19</v>
      </c>
      <c r="C8754" s="43">
        <f>INDEX(DarlObj,19)</f>
      </c>
      <c r="D8754">
        <v>111</v>
      </c>
      <c r="E8754" s="51">
        <f>IF(INDEX(DarlBelegt,19)=0,0,EOMONTH(INDEX(DarlAuszahlung,19),110)+1)</f>
      </c>
      <c r="F8754" s="43">
        <f>IF($E8754=0,0,YEAR($E8754))</f>
      </c>
      <c r="G8754" s="43">
        <f>IF(INDEX(DarlBindung,19)="",1,IF($E8754&lt;=INDEX(DarlBindung,19),1,0))</f>
      </c>
      <c r="H8754" s="43">
        <f>IF($G8754=1,INDEX(DarlSollzins,19),INDEX(DarlAnschluss,19))</f>
      </c>
      <c r="I8754" s="43">
        <f>IF(INDEX(DarlBelegt,19)=0,0,IF(INDEX(DarlOhneTilgung,19)=1,IF(INDEX(DarlBindung,19)="",1,$G8754),IF($J8754&gt;0.005,1,0)))</f>
      </c>
      <c r="J8754" s="43">
        <f>IF($I8753=0,0,$R8753)</f>
      </c>
      <c r="K8754" s="43">
        <f>IF($I8754=0,0,IF(INDEX(DarlOhneTilgung,19)=1,0,IF(AND(INDEX(DarlTilgStart,19)&gt;0,$E8754=INDEX(DarlTilgStart,19)),$J8754*($H8754+INDEX(DarlTilgung,19))/100/12,IF(AND($G8754=0,$G8753=1),MAX($K8753,$J8754*($H8754+1)/100/12),$K8753))))</f>
      </c>
      <c r="L8754" s="43">
        <f>IF($I8754=0,0,$J8754*$H8754/100/12)</f>
      </c>
      <c r="M8754" s="43">
        <f>IF($I8754=0,0,IF(OR(INDEX(DarlOhneTilgung,19)=1,AND(INDEX(DarlTilgStart,19)&gt;0,$E8754&lt;INDEX(DarlTilgStart,19))),0,MIN(MAX(0,$K8754-$L8754),$J8754)))</f>
      </c>
      <c r="N8754" s="43">
        <f>IF($I8754=0,0,MIN(SUMIFS(SondBetrag,SondDarl,19,SondDatum,"&gt;="&amp;$E8754,SondDatum,"&lt;="&amp;EOMONTH($E8754,0)),$J8754-$M8754))</f>
      </c>
      <c r="O8754" s="43">
        <f>IF($I8754=0,0,INDEX(DarlErsatzRate,19))</f>
      </c>
      <c r="P8754" s="43">
        <f>IF($I8754=0,0,$Q8753*INDEX(DarlErsatzZins,19))</f>
      </c>
      <c r="Q8754" s="43">
        <f>IF($I8754=0,0,$Q8753+$P8754+$O8754)</f>
      </c>
      <c r="R8754" s="43">
        <f>IF($I8754=0,0,$J8754-$M8754-$N8754)</f>
      </c>
    </row>
    <row r="8755">
      <c r="A8755"/>
      <c r="B8755">
        <v>19</v>
      </c>
      <c r="C8755" s="43">
        <f>INDEX(DarlObj,19)</f>
      </c>
      <c r="D8755">
        <v>112</v>
      </c>
      <c r="E8755" s="51">
        <f>IF(INDEX(DarlBelegt,19)=0,0,EOMONTH(INDEX(DarlAuszahlung,19),111)+1)</f>
      </c>
      <c r="F8755" s="43">
        <f>IF($E8755=0,0,YEAR($E8755))</f>
      </c>
      <c r="G8755" s="43">
        <f>IF(INDEX(DarlBindung,19)="",1,IF($E8755&lt;=INDEX(DarlBindung,19),1,0))</f>
      </c>
      <c r="H8755" s="43">
        <f>IF($G8755=1,INDEX(DarlSollzins,19),INDEX(DarlAnschluss,19))</f>
      </c>
      <c r="I8755" s="43">
        <f>IF(INDEX(DarlBelegt,19)=0,0,IF(INDEX(DarlOhneTilgung,19)=1,IF(INDEX(DarlBindung,19)="",1,$G8755),IF($J8755&gt;0.005,1,0)))</f>
      </c>
      <c r="J8755" s="43">
        <f>IF($I8754=0,0,$R8754)</f>
      </c>
      <c r="K8755" s="43">
        <f>IF($I8755=0,0,IF(INDEX(DarlOhneTilgung,19)=1,0,IF(AND(INDEX(DarlTilgStart,19)&gt;0,$E8755=INDEX(DarlTilgStart,19)),$J8755*($H8755+INDEX(DarlTilgung,19))/100/12,IF(AND($G8755=0,$G8754=1),MAX($K8754,$J8755*($H8755+1)/100/12),$K8754))))</f>
      </c>
      <c r="L8755" s="43">
        <f>IF($I8755=0,0,$J8755*$H8755/100/12)</f>
      </c>
      <c r="M8755" s="43">
        <f>IF($I8755=0,0,IF(OR(INDEX(DarlOhneTilgung,19)=1,AND(INDEX(DarlTilgStart,19)&gt;0,$E8755&lt;INDEX(DarlTilgStart,19))),0,MIN(MAX(0,$K8755-$L8755),$J8755)))</f>
      </c>
      <c r="N8755" s="43">
        <f>IF($I8755=0,0,MIN(SUMIFS(SondBetrag,SondDarl,19,SondDatum,"&gt;="&amp;$E8755,SondDatum,"&lt;="&amp;EOMONTH($E8755,0)),$J8755-$M8755))</f>
      </c>
      <c r="O8755" s="43">
        <f>IF($I8755=0,0,INDEX(DarlErsatzRate,19))</f>
      </c>
      <c r="P8755" s="43">
        <f>IF($I8755=0,0,$Q8754*INDEX(DarlErsatzZins,19))</f>
      </c>
      <c r="Q8755" s="43">
        <f>IF($I8755=0,0,$Q8754+$P8755+$O8755)</f>
      </c>
      <c r="R8755" s="43">
        <f>IF($I8755=0,0,$J8755-$M8755-$N8755)</f>
      </c>
    </row>
    <row r="8756">
      <c r="A8756"/>
      <c r="B8756">
        <v>19</v>
      </c>
      <c r="C8756" s="43">
        <f>INDEX(DarlObj,19)</f>
      </c>
      <c r="D8756">
        <v>113</v>
      </c>
      <c r="E8756" s="51">
        <f>IF(INDEX(DarlBelegt,19)=0,0,EOMONTH(INDEX(DarlAuszahlung,19),112)+1)</f>
      </c>
      <c r="F8756" s="43">
        <f>IF($E8756=0,0,YEAR($E8756))</f>
      </c>
      <c r="G8756" s="43">
        <f>IF(INDEX(DarlBindung,19)="",1,IF($E8756&lt;=INDEX(DarlBindung,19),1,0))</f>
      </c>
      <c r="H8756" s="43">
        <f>IF($G8756=1,INDEX(DarlSollzins,19),INDEX(DarlAnschluss,19))</f>
      </c>
      <c r="I8756" s="43">
        <f>IF(INDEX(DarlBelegt,19)=0,0,IF(INDEX(DarlOhneTilgung,19)=1,IF(INDEX(DarlBindung,19)="",1,$G8756),IF($J8756&gt;0.005,1,0)))</f>
      </c>
      <c r="J8756" s="43">
        <f>IF($I8755=0,0,$R8755)</f>
      </c>
      <c r="K8756" s="43">
        <f>IF($I8756=0,0,IF(INDEX(DarlOhneTilgung,19)=1,0,IF(AND(INDEX(DarlTilgStart,19)&gt;0,$E8756=INDEX(DarlTilgStart,19)),$J8756*($H8756+INDEX(DarlTilgung,19))/100/12,IF(AND($G8756=0,$G8755=1),MAX($K8755,$J8756*($H8756+1)/100/12),$K8755))))</f>
      </c>
      <c r="L8756" s="43">
        <f>IF($I8756=0,0,$J8756*$H8756/100/12)</f>
      </c>
      <c r="M8756" s="43">
        <f>IF($I8756=0,0,IF(OR(INDEX(DarlOhneTilgung,19)=1,AND(INDEX(DarlTilgStart,19)&gt;0,$E8756&lt;INDEX(DarlTilgStart,19))),0,MIN(MAX(0,$K8756-$L8756),$J8756)))</f>
      </c>
      <c r="N8756" s="43">
        <f>IF($I8756=0,0,MIN(SUMIFS(SondBetrag,SondDarl,19,SondDatum,"&gt;="&amp;$E8756,SondDatum,"&lt;="&amp;EOMONTH($E8756,0)),$J8756-$M8756))</f>
      </c>
      <c r="O8756" s="43">
        <f>IF($I8756=0,0,INDEX(DarlErsatzRate,19))</f>
      </c>
      <c r="P8756" s="43">
        <f>IF($I8756=0,0,$Q8755*INDEX(DarlErsatzZins,19))</f>
      </c>
      <c r="Q8756" s="43">
        <f>IF($I8756=0,0,$Q8755+$P8756+$O8756)</f>
      </c>
      <c r="R8756" s="43">
        <f>IF($I8756=0,0,$J8756-$M8756-$N8756)</f>
      </c>
    </row>
    <row r="8757">
      <c r="A8757"/>
      <c r="B8757">
        <v>19</v>
      </c>
      <c r="C8757" s="43">
        <f>INDEX(DarlObj,19)</f>
      </c>
      <c r="D8757">
        <v>114</v>
      </c>
      <c r="E8757" s="51">
        <f>IF(INDEX(DarlBelegt,19)=0,0,EOMONTH(INDEX(DarlAuszahlung,19),113)+1)</f>
      </c>
      <c r="F8757" s="43">
        <f>IF($E8757=0,0,YEAR($E8757))</f>
      </c>
      <c r="G8757" s="43">
        <f>IF(INDEX(DarlBindung,19)="",1,IF($E8757&lt;=INDEX(DarlBindung,19),1,0))</f>
      </c>
      <c r="H8757" s="43">
        <f>IF($G8757=1,INDEX(DarlSollzins,19),INDEX(DarlAnschluss,19))</f>
      </c>
      <c r="I8757" s="43">
        <f>IF(INDEX(DarlBelegt,19)=0,0,IF(INDEX(DarlOhneTilgung,19)=1,IF(INDEX(DarlBindung,19)="",1,$G8757),IF($J8757&gt;0.005,1,0)))</f>
      </c>
      <c r="J8757" s="43">
        <f>IF($I8756=0,0,$R8756)</f>
      </c>
      <c r="K8757" s="43">
        <f>IF($I8757=0,0,IF(INDEX(DarlOhneTilgung,19)=1,0,IF(AND(INDEX(DarlTilgStart,19)&gt;0,$E8757=INDEX(DarlTilgStart,19)),$J8757*($H8757+INDEX(DarlTilgung,19))/100/12,IF(AND($G8757=0,$G8756=1),MAX($K8756,$J8757*($H8757+1)/100/12),$K8756))))</f>
      </c>
      <c r="L8757" s="43">
        <f>IF($I8757=0,0,$J8757*$H8757/100/12)</f>
      </c>
      <c r="M8757" s="43">
        <f>IF($I8757=0,0,IF(OR(INDEX(DarlOhneTilgung,19)=1,AND(INDEX(DarlTilgStart,19)&gt;0,$E8757&lt;INDEX(DarlTilgStart,19))),0,MIN(MAX(0,$K8757-$L8757),$J8757)))</f>
      </c>
      <c r="N8757" s="43">
        <f>IF($I8757=0,0,MIN(SUMIFS(SondBetrag,SondDarl,19,SondDatum,"&gt;="&amp;$E8757,SondDatum,"&lt;="&amp;EOMONTH($E8757,0)),$J8757-$M8757))</f>
      </c>
      <c r="O8757" s="43">
        <f>IF($I8757=0,0,INDEX(DarlErsatzRate,19))</f>
      </c>
      <c r="P8757" s="43">
        <f>IF($I8757=0,0,$Q8756*INDEX(DarlErsatzZins,19))</f>
      </c>
      <c r="Q8757" s="43">
        <f>IF($I8757=0,0,$Q8756+$P8757+$O8757)</f>
      </c>
      <c r="R8757" s="43">
        <f>IF($I8757=0,0,$J8757-$M8757-$N8757)</f>
      </c>
    </row>
    <row r="8758">
      <c r="A8758"/>
      <c r="B8758">
        <v>19</v>
      </c>
      <c r="C8758" s="43">
        <f>INDEX(DarlObj,19)</f>
      </c>
      <c r="D8758">
        <v>115</v>
      </c>
      <c r="E8758" s="51">
        <f>IF(INDEX(DarlBelegt,19)=0,0,EOMONTH(INDEX(DarlAuszahlung,19),114)+1)</f>
      </c>
      <c r="F8758" s="43">
        <f>IF($E8758=0,0,YEAR($E8758))</f>
      </c>
      <c r="G8758" s="43">
        <f>IF(INDEX(DarlBindung,19)="",1,IF($E8758&lt;=INDEX(DarlBindung,19),1,0))</f>
      </c>
      <c r="H8758" s="43">
        <f>IF($G8758=1,INDEX(DarlSollzins,19),INDEX(DarlAnschluss,19))</f>
      </c>
      <c r="I8758" s="43">
        <f>IF(INDEX(DarlBelegt,19)=0,0,IF(INDEX(DarlOhneTilgung,19)=1,IF(INDEX(DarlBindung,19)="",1,$G8758),IF($J8758&gt;0.005,1,0)))</f>
      </c>
      <c r="J8758" s="43">
        <f>IF($I8757=0,0,$R8757)</f>
      </c>
      <c r="K8758" s="43">
        <f>IF($I8758=0,0,IF(INDEX(DarlOhneTilgung,19)=1,0,IF(AND(INDEX(DarlTilgStart,19)&gt;0,$E8758=INDEX(DarlTilgStart,19)),$J8758*($H8758+INDEX(DarlTilgung,19))/100/12,IF(AND($G8758=0,$G8757=1),MAX($K8757,$J8758*($H8758+1)/100/12),$K8757))))</f>
      </c>
      <c r="L8758" s="43">
        <f>IF($I8758=0,0,$J8758*$H8758/100/12)</f>
      </c>
      <c r="M8758" s="43">
        <f>IF($I8758=0,0,IF(OR(INDEX(DarlOhneTilgung,19)=1,AND(INDEX(DarlTilgStart,19)&gt;0,$E8758&lt;INDEX(DarlTilgStart,19))),0,MIN(MAX(0,$K8758-$L8758),$J8758)))</f>
      </c>
      <c r="N8758" s="43">
        <f>IF($I8758=0,0,MIN(SUMIFS(SondBetrag,SondDarl,19,SondDatum,"&gt;="&amp;$E8758,SondDatum,"&lt;="&amp;EOMONTH($E8758,0)),$J8758-$M8758))</f>
      </c>
      <c r="O8758" s="43">
        <f>IF($I8758=0,0,INDEX(DarlErsatzRate,19))</f>
      </c>
      <c r="P8758" s="43">
        <f>IF($I8758=0,0,$Q8757*INDEX(DarlErsatzZins,19))</f>
      </c>
      <c r="Q8758" s="43">
        <f>IF($I8758=0,0,$Q8757+$P8758+$O8758)</f>
      </c>
      <c r="R8758" s="43">
        <f>IF($I8758=0,0,$J8758-$M8758-$N8758)</f>
      </c>
    </row>
    <row r="8759">
      <c r="A8759"/>
      <c r="B8759">
        <v>19</v>
      </c>
      <c r="C8759" s="43">
        <f>INDEX(DarlObj,19)</f>
      </c>
      <c r="D8759">
        <v>116</v>
      </c>
      <c r="E8759" s="51">
        <f>IF(INDEX(DarlBelegt,19)=0,0,EOMONTH(INDEX(DarlAuszahlung,19),115)+1)</f>
      </c>
      <c r="F8759" s="43">
        <f>IF($E8759=0,0,YEAR($E8759))</f>
      </c>
      <c r="G8759" s="43">
        <f>IF(INDEX(DarlBindung,19)="",1,IF($E8759&lt;=INDEX(DarlBindung,19),1,0))</f>
      </c>
      <c r="H8759" s="43">
        <f>IF($G8759=1,INDEX(DarlSollzins,19),INDEX(DarlAnschluss,19))</f>
      </c>
      <c r="I8759" s="43">
        <f>IF(INDEX(DarlBelegt,19)=0,0,IF(INDEX(DarlOhneTilgung,19)=1,IF(INDEX(DarlBindung,19)="",1,$G8759),IF($J8759&gt;0.005,1,0)))</f>
      </c>
      <c r="J8759" s="43">
        <f>IF($I8758=0,0,$R8758)</f>
      </c>
      <c r="K8759" s="43">
        <f>IF($I8759=0,0,IF(INDEX(DarlOhneTilgung,19)=1,0,IF(AND(INDEX(DarlTilgStart,19)&gt;0,$E8759=INDEX(DarlTilgStart,19)),$J8759*($H8759+INDEX(DarlTilgung,19))/100/12,IF(AND($G8759=0,$G8758=1),MAX($K8758,$J8759*($H8759+1)/100/12),$K8758))))</f>
      </c>
      <c r="L8759" s="43">
        <f>IF($I8759=0,0,$J8759*$H8759/100/12)</f>
      </c>
      <c r="M8759" s="43">
        <f>IF($I8759=0,0,IF(OR(INDEX(DarlOhneTilgung,19)=1,AND(INDEX(DarlTilgStart,19)&gt;0,$E8759&lt;INDEX(DarlTilgStart,19))),0,MIN(MAX(0,$K8759-$L8759),$J8759)))</f>
      </c>
      <c r="N8759" s="43">
        <f>IF($I8759=0,0,MIN(SUMIFS(SondBetrag,SondDarl,19,SondDatum,"&gt;="&amp;$E8759,SondDatum,"&lt;="&amp;EOMONTH($E8759,0)),$J8759-$M8759))</f>
      </c>
      <c r="O8759" s="43">
        <f>IF($I8759=0,0,INDEX(DarlErsatzRate,19))</f>
      </c>
      <c r="P8759" s="43">
        <f>IF($I8759=0,0,$Q8758*INDEX(DarlErsatzZins,19))</f>
      </c>
      <c r="Q8759" s="43">
        <f>IF($I8759=0,0,$Q8758+$P8759+$O8759)</f>
      </c>
      <c r="R8759" s="43">
        <f>IF($I8759=0,0,$J8759-$M8759-$N8759)</f>
      </c>
    </row>
    <row r="8760">
      <c r="A8760"/>
      <c r="B8760">
        <v>19</v>
      </c>
      <c r="C8760" s="43">
        <f>INDEX(DarlObj,19)</f>
      </c>
      <c r="D8760">
        <v>117</v>
      </c>
      <c r="E8760" s="51">
        <f>IF(INDEX(DarlBelegt,19)=0,0,EOMONTH(INDEX(DarlAuszahlung,19),116)+1)</f>
      </c>
      <c r="F8760" s="43">
        <f>IF($E8760=0,0,YEAR($E8760))</f>
      </c>
      <c r="G8760" s="43">
        <f>IF(INDEX(DarlBindung,19)="",1,IF($E8760&lt;=INDEX(DarlBindung,19),1,0))</f>
      </c>
      <c r="H8760" s="43">
        <f>IF($G8760=1,INDEX(DarlSollzins,19),INDEX(DarlAnschluss,19))</f>
      </c>
      <c r="I8760" s="43">
        <f>IF(INDEX(DarlBelegt,19)=0,0,IF(INDEX(DarlOhneTilgung,19)=1,IF(INDEX(DarlBindung,19)="",1,$G8760),IF($J8760&gt;0.005,1,0)))</f>
      </c>
      <c r="J8760" s="43">
        <f>IF($I8759=0,0,$R8759)</f>
      </c>
      <c r="K8760" s="43">
        <f>IF($I8760=0,0,IF(INDEX(DarlOhneTilgung,19)=1,0,IF(AND(INDEX(DarlTilgStart,19)&gt;0,$E8760=INDEX(DarlTilgStart,19)),$J8760*($H8760+INDEX(DarlTilgung,19))/100/12,IF(AND($G8760=0,$G8759=1),MAX($K8759,$J8760*($H8760+1)/100/12),$K8759))))</f>
      </c>
      <c r="L8760" s="43">
        <f>IF($I8760=0,0,$J8760*$H8760/100/12)</f>
      </c>
      <c r="M8760" s="43">
        <f>IF($I8760=0,0,IF(OR(INDEX(DarlOhneTilgung,19)=1,AND(INDEX(DarlTilgStart,19)&gt;0,$E8760&lt;INDEX(DarlTilgStart,19))),0,MIN(MAX(0,$K8760-$L8760),$J8760)))</f>
      </c>
      <c r="N8760" s="43">
        <f>IF($I8760=0,0,MIN(SUMIFS(SondBetrag,SondDarl,19,SondDatum,"&gt;="&amp;$E8760,SondDatum,"&lt;="&amp;EOMONTH($E8760,0)),$J8760-$M8760))</f>
      </c>
      <c r="O8760" s="43">
        <f>IF($I8760=0,0,INDEX(DarlErsatzRate,19))</f>
      </c>
      <c r="P8760" s="43">
        <f>IF($I8760=0,0,$Q8759*INDEX(DarlErsatzZins,19))</f>
      </c>
      <c r="Q8760" s="43">
        <f>IF($I8760=0,0,$Q8759+$P8760+$O8760)</f>
      </c>
      <c r="R8760" s="43">
        <f>IF($I8760=0,0,$J8760-$M8760-$N8760)</f>
      </c>
    </row>
    <row r="8761">
      <c r="A8761"/>
      <c r="B8761">
        <v>19</v>
      </c>
      <c r="C8761" s="43">
        <f>INDEX(DarlObj,19)</f>
      </c>
      <c r="D8761">
        <v>118</v>
      </c>
      <c r="E8761" s="51">
        <f>IF(INDEX(DarlBelegt,19)=0,0,EOMONTH(INDEX(DarlAuszahlung,19),117)+1)</f>
      </c>
      <c r="F8761" s="43">
        <f>IF($E8761=0,0,YEAR($E8761))</f>
      </c>
      <c r="G8761" s="43">
        <f>IF(INDEX(DarlBindung,19)="",1,IF($E8761&lt;=INDEX(DarlBindung,19),1,0))</f>
      </c>
      <c r="H8761" s="43">
        <f>IF($G8761=1,INDEX(DarlSollzins,19),INDEX(DarlAnschluss,19))</f>
      </c>
      <c r="I8761" s="43">
        <f>IF(INDEX(DarlBelegt,19)=0,0,IF(INDEX(DarlOhneTilgung,19)=1,IF(INDEX(DarlBindung,19)="",1,$G8761),IF($J8761&gt;0.005,1,0)))</f>
      </c>
      <c r="J8761" s="43">
        <f>IF($I8760=0,0,$R8760)</f>
      </c>
      <c r="K8761" s="43">
        <f>IF($I8761=0,0,IF(INDEX(DarlOhneTilgung,19)=1,0,IF(AND(INDEX(DarlTilgStart,19)&gt;0,$E8761=INDEX(DarlTilgStart,19)),$J8761*($H8761+INDEX(DarlTilgung,19))/100/12,IF(AND($G8761=0,$G8760=1),MAX($K8760,$J8761*($H8761+1)/100/12),$K8760))))</f>
      </c>
      <c r="L8761" s="43">
        <f>IF($I8761=0,0,$J8761*$H8761/100/12)</f>
      </c>
      <c r="M8761" s="43">
        <f>IF($I8761=0,0,IF(OR(INDEX(DarlOhneTilgung,19)=1,AND(INDEX(DarlTilgStart,19)&gt;0,$E8761&lt;INDEX(DarlTilgStart,19))),0,MIN(MAX(0,$K8761-$L8761),$J8761)))</f>
      </c>
      <c r="N8761" s="43">
        <f>IF($I8761=0,0,MIN(SUMIFS(SondBetrag,SondDarl,19,SondDatum,"&gt;="&amp;$E8761,SondDatum,"&lt;="&amp;EOMONTH($E8761,0)),$J8761-$M8761))</f>
      </c>
      <c r="O8761" s="43">
        <f>IF($I8761=0,0,INDEX(DarlErsatzRate,19))</f>
      </c>
      <c r="P8761" s="43">
        <f>IF($I8761=0,0,$Q8760*INDEX(DarlErsatzZins,19))</f>
      </c>
      <c r="Q8761" s="43">
        <f>IF($I8761=0,0,$Q8760+$P8761+$O8761)</f>
      </c>
      <c r="R8761" s="43">
        <f>IF($I8761=0,0,$J8761-$M8761-$N8761)</f>
      </c>
    </row>
    <row r="8762">
      <c r="A8762"/>
      <c r="B8762">
        <v>19</v>
      </c>
      <c r="C8762" s="43">
        <f>INDEX(DarlObj,19)</f>
      </c>
      <c r="D8762">
        <v>119</v>
      </c>
      <c r="E8762" s="51">
        <f>IF(INDEX(DarlBelegt,19)=0,0,EOMONTH(INDEX(DarlAuszahlung,19),118)+1)</f>
      </c>
      <c r="F8762" s="43">
        <f>IF($E8762=0,0,YEAR($E8762))</f>
      </c>
      <c r="G8762" s="43">
        <f>IF(INDEX(DarlBindung,19)="",1,IF($E8762&lt;=INDEX(DarlBindung,19),1,0))</f>
      </c>
      <c r="H8762" s="43">
        <f>IF($G8762=1,INDEX(DarlSollzins,19),INDEX(DarlAnschluss,19))</f>
      </c>
      <c r="I8762" s="43">
        <f>IF(INDEX(DarlBelegt,19)=0,0,IF(INDEX(DarlOhneTilgung,19)=1,IF(INDEX(DarlBindung,19)="",1,$G8762),IF($J8762&gt;0.005,1,0)))</f>
      </c>
      <c r="J8762" s="43">
        <f>IF($I8761=0,0,$R8761)</f>
      </c>
      <c r="K8762" s="43">
        <f>IF($I8762=0,0,IF(INDEX(DarlOhneTilgung,19)=1,0,IF(AND(INDEX(DarlTilgStart,19)&gt;0,$E8762=INDEX(DarlTilgStart,19)),$J8762*($H8762+INDEX(DarlTilgung,19))/100/12,IF(AND($G8762=0,$G8761=1),MAX($K8761,$J8762*($H8762+1)/100/12),$K8761))))</f>
      </c>
      <c r="L8762" s="43">
        <f>IF($I8762=0,0,$J8762*$H8762/100/12)</f>
      </c>
      <c r="M8762" s="43">
        <f>IF($I8762=0,0,IF(OR(INDEX(DarlOhneTilgung,19)=1,AND(INDEX(DarlTilgStart,19)&gt;0,$E8762&lt;INDEX(DarlTilgStart,19))),0,MIN(MAX(0,$K8762-$L8762),$J8762)))</f>
      </c>
      <c r="N8762" s="43">
        <f>IF($I8762=0,0,MIN(SUMIFS(SondBetrag,SondDarl,19,SondDatum,"&gt;="&amp;$E8762,SondDatum,"&lt;="&amp;EOMONTH($E8762,0)),$J8762-$M8762))</f>
      </c>
      <c r="O8762" s="43">
        <f>IF($I8762=0,0,INDEX(DarlErsatzRate,19))</f>
      </c>
      <c r="P8762" s="43">
        <f>IF($I8762=0,0,$Q8761*INDEX(DarlErsatzZins,19))</f>
      </c>
      <c r="Q8762" s="43">
        <f>IF($I8762=0,0,$Q8761+$P8762+$O8762)</f>
      </c>
      <c r="R8762" s="43">
        <f>IF($I8762=0,0,$J8762-$M8762-$N8762)</f>
      </c>
    </row>
    <row r="8763">
      <c r="A8763"/>
      <c r="B8763">
        <v>19</v>
      </c>
      <c r="C8763" s="43">
        <f>INDEX(DarlObj,19)</f>
      </c>
      <c r="D8763">
        <v>120</v>
      </c>
      <c r="E8763" s="51">
        <f>IF(INDEX(DarlBelegt,19)=0,0,EOMONTH(INDEX(DarlAuszahlung,19),119)+1)</f>
      </c>
      <c r="F8763" s="43">
        <f>IF($E8763=0,0,YEAR($E8763))</f>
      </c>
      <c r="G8763" s="43">
        <f>IF(INDEX(DarlBindung,19)="",1,IF($E8763&lt;=INDEX(DarlBindung,19),1,0))</f>
      </c>
      <c r="H8763" s="43">
        <f>IF($G8763=1,INDEX(DarlSollzins,19),INDEX(DarlAnschluss,19))</f>
      </c>
      <c r="I8763" s="43">
        <f>IF(INDEX(DarlBelegt,19)=0,0,IF(INDEX(DarlOhneTilgung,19)=1,IF(INDEX(DarlBindung,19)="",1,$G8763),IF($J8763&gt;0.005,1,0)))</f>
      </c>
      <c r="J8763" s="43">
        <f>IF($I8762=0,0,$R8762)</f>
      </c>
      <c r="K8763" s="43">
        <f>IF($I8763=0,0,IF(INDEX(DarlOhneTilgung,19)=1,0,IF(AND(INDEX(DarlTilgStart,19)&gt;0,$E8763=INDEX(DarlTilgStart,19)),$J8763*($H8763+INDEX(DarlTilgung,19))/100/12,IF(AND($G8763=0,$G8762=1),MAX($K8762,$J8763*($H8763+1)/100/12),$K8762))))</f>
      </c>
      <c r="L8763" s="43">
        <f>IF($I8763=0,0,$J8763*$H8763/100/12)</f>
      </c>
      <c r="M8763" s="43">
        <f>IF($I8763=0,0,IF(OR(INDEX(DarlOhneTilgung,19)=1,AND(INDEX(DarlTilgStart,19)&gt;0,$E8763&lt;INDEX(DarlTilgStart,19))),0,MIN(MAX(0,$K8763-$L8763),$J8763)))</f>
      </c>
      <c r="N8763" s="43">
        <f>IF($I8763=0,0,MIN(SUMIFS(SondBetrag,SondDarl,19,SondDatum,"&gt;="&amp;$E8763,SondDatum,"&lt;="&amp;EOMONTH($E8763,0)),$J8763-$M8763))</f>
      </c>
      <c r="O8763" s="43">
        <f>IF($I8763=0,0,INDEX(DarlErsatzRate,19))</f>
      </c>
      <c r="P8763" s="43">
        <f>IF($I8763=0,0,$Q8762*INDEX(DarlErsatzZins,19))</f>
      </c>
      <c r="Q8763" s="43">
        <f>IF($I8763=0,0,$Q8762+$P8763+$O8763)</f>
      </c>
      <c r="R8763" s="43">
        <f>IF($I8763=0,0,$J8763-$M8763-$N8763)</f>
      </c>
    </row>
    <row r="8764">
      <c r="A8764"/>
      <c r="B8764">
        <v>19</v>
      </c>
      <c r="C8764" s="43">
        <f>INDEX(DarlObj,19)</f>
      </c>
      <c r="D8764">
        <v>121</v>
      </c>
      <c r="E8764" s="51">
        <f>IF(INDEX(DarlBelegt,19)=0,0,EOMONTH(INDEX(DarlAuszahlung,19),120)+1)</f>
      </c>
      <c r="F8764" s="43">
        <f>IF($E8764=0,0,YEAR($E8764))</f>
      </c>
      <c r="G8764" s="43">
        <f>IF(INDEX(DarlBindung,19)="",1,IF($E8764&lt;=INDEX(DarlBindung,19),1,0))</f>
      </c>
      <c r="H8764" s="43">
        <f>IF($G8764=1,INDEX(DarlSollzins,19),INDEX(DarlAnschluss,19))</f>
      </c>
      <c r="I8764" s="43">
        <f>IF(INDEX(DarlBelegt,19)=0,0,IF(INDEX(DarlOhneTilgung,19)=1,IF(INDEX(DarlBindung,19)="",1,$G8764),IF($J8764&gt;0.005,1,0)))</f>
      </c>
      <c r="J8764" s="43">
        <f>IF($I8763=0,0,$R8763)</f>
      </c>
      <c r="K8764" s="43">
        <f>IF($I8764=0,0,IF(INDEX(DarlOhneTilgung,19)=1,0,IF(AND(INDEX(DarlTilgStart,19)&gt;0,$E8764=INDEX(DarlTilgStart,19)),$J8764*($H8764+INDEX(DarlTilgung,19))/100/12,IF(AND($G8764=0,$G8763=1),MAX($K8763,$J8764*($H8764+1)/100/12),$K8763))))</f>
      </c>
      <c r="L8764" s="43">
        <f>IF($I8764=0,0,$J8764*$H8764/100/12)</f>
      </c>
      <c r="M8764" s="43">
        <f>IF($I8764=0,0,IF(OR(INDEX(DarlOhneTilgung,19)=1,AND(INDEX(DarlTilgStart,19)&gt;0,$E8764&lt;INDEX(DarlTilgStart,19))),0,MIN(MAX(0,$K8764-$L8764),$J8764)))</f>
      </c>
      <c r="N8764" s="43">
        <f>IF($I8764=0,0,MIN(SUMIFS(SondBetrag,SondDarl,19,SondDatum,"&gt;="&amp;$E8764,SondDatum,"&lt;="&amp;EOMONTH($E8764,0)),$J8764-$M8764))</f>
      </c>
      <c r="O8764" s="43">
        <f>IF($I8764=0,0,INDEX(DarlErsatzRate,19))</f>
      </c>
      <c r="P8764" s="43">
        <f>IF($I8764=0,0,$Q8763*INDEX(DarlErsatzZins,19))</f>
      </c>
      <c r="Q8764" s="43">
        <f>IF($I8764=0,0,$Q8763+$P8764+$O8764)</f>
      </c>
      <c r="R8764" s="43">
        <f>IF($I8764=0,0,$J8764-$M8764-$N8764)</f>
      </c>
    </row>
    <row r="8765">
      <c r="A8765"/>
      <c r="B8765">
        <v>19</v>
      </c>
      <c r="C8765" s="43">
        <f>INDEX(DarlObj,19)</f>
      </c>
      <c r="D8765">
        <v>122</v>
      </c>
      <c r="E8765" s="51">
        <f>IF(INDEX(DarlBelegt,19)=0,0,EOMONTH(INDEX(DarlAuszahlung,19),121)+1)</f>
      </c>
      <c r="F8765" s="43">
        <f>IF($E8765=0,0,YEAR($E8765))</f>
      </c>
      <c r="G8765" s="43">
        <f>IF(INDEX(DarlBindung,19)="",1,IF($E8765&lt;=INDEX(DarlBindung,19),1,0))</f>
      </c>
      <c r="H8765" s="43">
        <f>IF($G8765=1,INDEX(DarlSollzins,19),INDEX(DarlAnschluss,19))</f>
      </c>
      <c r="I8765" s="43">
        <f>IF(INDEX(DarlBelegt,19)=0,0,IF(INDEX(DarlOhneTilgung,19)=1,IF(INDEX(DarlBindung,19)="",1,$G8765),IF($J8765&gt;0.005,1,0)))</f>
      </c>
      <c r="J8765" s="43">
        <f>IF($I8764=0,0,$R8764)</f>
      </c>
      <c r="K8765" s="43">
        <f>IF($I8765=0,0,IF(INDEX(DarlOhneTilgung,19)=1,0,IF(AND(INDEX(DarlTilgStart,19)&gt;0,$E8765=INDEX(DarlTilgStart,19)),$J8765*($H8765+INDEX(DarlTilgung,19))/100/12,IF(AND($G8765=0,$G8764=1),MAX($K8764,$J8765*($H8765+1)/100/12),$K8764))))</f>
      </c>
      <c r="L8765" s="43">
        <f>IF($I8765=0,0,$J8765*$H8765/100/12)</f>
      </c>
      <c r="M8765" s="43">
        <f>IF($I8765=0,0,IF(OR(INDEX(DarlOhneTilgung,19)=1,AND(INDEX(DarlTilgStart,19)&gt;0,$E8765&lt;INDEX(DarlTilgStart,19))),0,MIN(MAX(0,$K8765-$L8765),$J8765)))</f>
      </c>
      <c r="N8765" s="43">
        <f>IF($I8765=0,0,MIN(SUMIFS(SondBetrag,SondDarl,19,SondDatum,"&gt;="&amp;$E8765,SondDatum,"&lt;="&amp;EOMONTH($E8765,0)),$J8765-$M8765))</f>
      </c>
      <c r="O8765" s="43">
        <f>IF($I8765=0,0,INDEX(DarlErsatzRate,19))</f>
      </c>
      <c r="P8765" s="43">
        <f>IF($I8765=0,0,$Q8764*INDEX(DarlErsatzZins,19))</f>
      </c>
      <c r="Q8765" s="43">
        <f>IF($I8765=0,0,$Q8764+$P8765+$O8765)</f>
      </c>
      <c r="R8765" s="43">
        <f>IF($I8765=0,0,$J8765-$M8765-$N8765)</f>
      </c>
    </row>
    <row r="8766">
      <c r="A8766"/>
      <c r="B8766">
        <v>19</v>
      </c>
      <c r="C8766" s="43">
        <f>INDEX(DarlObj,19)</f>
      </c>
      <c r="D8766">
        <v>123</v>
      </c>
      <c r="E8766" s="51">
        <f>IF(INDEX(DarlBelegt,19)=0,0,EOMONTH(INDEX(DarlAuszahlung,19),122)+1)</f>
      </c>
      <c r="F8766" s="43">
        <f>IF($E8766=0,0,YEAR($E8766))</f>
      </c>
      <c r="G8766" s="43">
        <f>IF(INDEX(DarlBindung,19)="",1,IF($E8766&lt;=INDEX(DarlBindung,19),1,0))</f>
      </c>
      <c r="H8766" s="43">
        <f>IF($G8766=1,INDEX(DarlSollzins,19),INDEX(DarlAnschluss,19))</f>
      </c>
      <c r="I8766" s="43">
        <f>IF(INDEX(DarlBelegt,19)=0,0,IF(INDEX(DarlOhneTilgung,19)=1,IF(INDEX(DarlBindung,19)="",1,$G8766),IF($J8766&gt;0.005,1,0)))</f>
      </c>
      <c r="J8766" s="43">
        <f>IF($I8765=0,0,$R8765)</f>
      </c>
      <c r="K8766" s="43">
        <f>IF($I8766=0,0,IF(INDEX(DarlOhneTilgung,19)=1,0,IF(AND(INDEX(DarlTilgStart,19)&gt;0,$E8766=INDEX(DarlTilgStart,19)),$J8766*($H8766+INDEX(DarlTilgung,19))/100/12,IF(AND($G8766=0,$G8765=1),MAX($K8765,$J8766*($H8766+1)/100/12),$K8765))))</f>
      </c>
      <c r="L8766" s="43">
        <f>IF($I8766=0,0,$J8766*$H8766/100/12)</f>
      </c>
      <c r="M8766" s="43">
        <f>IF($I8766=0,0,IF(OR(INDEX(DarlOhneTilgung,19)=1,AND(INDEX(DarlTilgStart,19)&gt;0,$E8766&lt;INDEX(DarlTilgStart,19))),0,MIN(MAX(0,$K8766-$L8766),$J8766)))</f>
      </c>
      <c r="N8766" s="43">
        <f>IF($I8766=0,0,MIN(SUMIFS(SondBetrag,SondDarl,19,SondDatum,"&gt;="&amp;$E8766,SondDatum,"&lt;="&amp;EOMONTH($E8766,0)),$J8766-$M8766))</f>
      </c>
      <c r="O8766" s="43">
        <f>IF($I8766=0,0,INDEX(DarlErsatzRate,19))</f>
      </c>
      <c r="P8766" s="43">
        <f>IF($I8766=0,0,$Q8765*INDEX(DarlErsatzZins,19))</f>
      </c>
      <c r="Q8766" s="43">
        <f>IF($I8766=0,0,$Q8765+$P8766+$O8766)</f>
      </c>
      <c r="R8766" s="43">
        <f>IF($I8766=0,0,$J8766-$M8766-$N8766)</f>
      </c>
    </row>
    <row r="8767">
      <c r="A8767"/>
      <c r="B8767">
        <v>19</v>
      </c>
      <c r="C8767" s="43">
        <f>INDEX(DarlObj,19)</f>
      </c>
      <c r="D8767">
        <v>124</v>
      </c>
      <c r="E8767" s="51">
        <f>IF(INDEX(DarlBelegt,19)=0,0,EOMONTH(INDEX(DarlAuszahlung,19),123)+1)</f>
      </c>
      <c r="F8767" s="43">
        <f>IF($E8767=0,0,YEAR($E8767))</f>
      </c>
      <c r="G8767" s="43">
        <f>IF(INDEX(DarlBindung,19)="",1,IF($E8767&lt;=INDEX(DarlBindung,19),1,0))</f>
      </c>
      <c r="H8767" s="43">
        <f>IF($G8767=1,INDEX(DarlSollzins,19),INDEX(DarlAnschluss,19))</f>
      </c>
      <c r="I8767" s="43">
        <f>IF(INDEX(DarlBelegt,19)=0,0,IF(INDEX(DarlOhneTilgung,19)=1,IF(INDEX(DarlBindung,19)="",1,$G8767),IF($J8767&gt;0.005,1,0)))</f>
      </c>
      <c r="J8767" s="43">
        <f>IF($I8766=0,0,$R8766)</f>
      </c>
      <c r="K8767" s="43">
        <f>IF($I8767=0,0,IF(INDEX(DarlOhneTilgung,19)=1,0,IF(AND(INDEX(DarlTilgStart,19)&gt;0,$E8767=INDEX(DarlTilgStart,19)),$J8767*($H8767+INDEX(DarlTilgung,19))/100/12,IF(AND($G8767=0,$G8766=1),MAX($K8766,$J8767*($H8767+1)/100/12),$K8766))))</f>
      </c>
      <c r="L8767" s="43">
        <f>IF($I8767=0,0,$J8767*$H8767/100/12)</f>
      </c>
      <c r="M8767" s="43">
        <f>IF($I8767=0,0,IF(OR(INDEX(DarlOhneTilgung,19)=1,AND(INDEX(DarlTilgStart,19)&gt;0,$E8767&lt;INDEX(DarlTilgStart,19))),0,MIN(MAX(0,$K8767-$L8767),$J8767)))</f>
      </c>
      <c r="N8767" s="43">
        <f>IF($I8767=0,0,MIN(SUMIFS(SondBetrag,SondDarl,19,SondDatum,"&gt;="&amp;$E8767,SondDatum,"&lt;="&amp;EOMONTH($E8767,0)),$J8767-$M8767))</f>
      </c>
      <c r="O8767" s="43">
        <f>IF($I8767=0,0,INDEX(DarlErsatzRate,19))</f>
      </c>
      <c r="P8767" s="43">
        <f>IF($I8767=0,0,$Q8766*INDEX(DarlErsatzZins,19))</f>
      </c>
      <c r="Q8767" s="43">
        <f>IF($I8767=0,0,$Q8766+$P8767+$O8767)</f>
      </c>
      <c r="R8767" s="43">
        <f>IF($I8767=0,0,$J8767-$M8767-$N8767)</f>
      </c>
    </row>
    <row r="8768">
      <c r="A8768"/>
      <c r="B8768">
        <v>19</v>
      </c>
      <c r="C8768" s="43">
        <f>INDEX(DarlObj,19)</f>
      </c>
      <c r="D8768">
        <v>125</v>
      </c>
      <c r="E8768" s="51">
        <f>IF(INDEX(DarlBelegt,19)=0,0,EOMONTH(INDEX(DarlAuszahlung,19),124)+1)</f>
      </c>
      <c r="F8768" s="43">
        <f>IF($E8768=0,0,YEAR($E8768))</f>
      </c>
      <c r="G8768" s="43">
        <f>IF(INDEX(DarlBindung,19)="",1,IF($E8768&lt;=INDEX(DarlBindung,19),1,0))</f>
      </c>
      <c r="H8768" s="43">
        <f>IF($G8768=1,INDEX(DarlSollzins,19),INDEX(DarlAnschluss,19))</f>
      </c>
      <c r="I8768" s="43">
        <f>IF(INDEX(DarlBelegt,19)=0,0,IF(INDEX(DarlOhneTilgung,19)=1,IF(INDEX(DarlBindung,19)="",1,$G8768),IF($J8768&gt;0.005,1,0)))</f>
      </c>
      <c r="J8768" s="43">
        <f>IF($I8767=0,0,$R8767)</f>
      </c>
      <c r="K8768" s="43">
        <f>IF($I8768=0,0,IF(INDEX(DarlOhneTilgung,19)=1,0,IF(AND(INDEX(DarlTilgStart,19)&gt;0,$E8768=INDEX(DarlTilgStart,19)),$J8768*($H8768+INDEX(DarlTilgung,19))/100/12,IF(AND($G8768=0,$G8767=1),MAX($K8767,$J8768*($H8768+1)/100/12),$K8767))))</f>
      </c>
      <c r="L8768" s="43">
        <f>IF($I8768=0,0,$J8768*$H8768/100/12)</f>
      </c>
      <c r="M8768" s="43">
        <f>IF($I8768=0,0,IF(OR(INDEX(DarlOhneTilgung,19)=1,AND(INDEX(DarlTilgStart,19)&gt;0,$E8768&lt;INDEX(DarlTilgStart,19))),0,MIN(MAX(0,$K8768-$L8768),$J8768)))</f>
      </c>
      <c r="N8768" s="43">
        <f>IF($I8768=0,0,MIN(SUMIFS(SondBetrag,SondDarl,19,SondDatum,"&gt;="&amp;$E8768,SondDatum,"&lt;="&amp;EOMONTH($E8768,0)),$J8768-$M8768))</f>
      </c>
      <c r="O8768" s="43">
        <f>IF($I8768=0,0,INDEX(DarlErsatzRate,19))</f>
      </c>
      <c r="P8768" s="43">
        <f>IF($I8768=0,0,$Q8767*INDEX(DarlErsatzZins,19))</f>
      </c>
      <c r="Q8768" s="43">
        <f>IF($I8768=0,0,$Q8767+$P8768+$O8768)</f>
      </c>
      <c r="R8768" s="43">
        <f>IF($I8768=0,0,$J8768-$M8768-$N8768)</f>
      </c>
    </row>
    <row r="8769">
      <c r="A8769"/>
      <c r="B8769">
        <v>19</v>
      </c>
      <c r="C8769" s="43">
        <f>INDEX(DarlObj,19)</f>
      </c>
      <c r="D8769">
        <v>126</v>
      </c>
      <c r="E8769" s="51">
        <f>IF(INDEX(DarlBelegt,19)=0,0,EOMONTH(INDEX(DarlAuszahlung,19),125)+1)</f>
      </c>
      <c r="F8769" s="43">
        <f>IF($E8769=0,0,YEAR($E8769))</f>
      </c>
      <c r="G8769" s="43">
        <f>IF(INDEX(DarlBindung,19)="",1,IF($E8769&lt;=INDEX(DarlBindung,19),1,0))</f>
      </c>
      <c r="H8769" s="43">
        <f>IF($G8769=1,INDEX(DarlSollzins,19),INDEX(DarlAnschluss,19))</f>
      </c>
      <c r="I8769" s="43">
        <f>IF(INDEX(DarlBelegt,19)=0,0,IF(INDEX(DarlOhneTilgung,19)=1,IF(INDEX(DarlBindung,19)="",1,$G8769),IF($J8769&gt;0.005,1,0)))</f>
      </c>
      <c r="J8769" s="43">
        <f>IF($I8768=0,0,$R8768)</f>
      </c>
      <c r="K8769" s="43">
        <f>IF($I8769=0,0,IF(INDEX(DarlOhneTilgung,19)=1,0,IF(AND(INDEX(DarlTilgStart,19)&gt;0,$E8769=INDEX(DarlTilgStart,19)),$J8769*($H8769+INDEX(DarlTilgung,19))/100/12,IF(AND($G8769=0,$G8768=1),MAX($K8768,$J8769*($H8769+1)/100/12),$K8768))))</f>
      </c>
      <c r="L8769" s="43">
        <f>IF($I8769=0,0,$J8769*$H8769/100/12)</f>
      </c>
      <c r="M8769" s="43">
        <f>IF($I8769=0,0,IF(OR(INDEX(DarlOhneTilgung,19)=1,AND(INDEX(DarlTilgStart,19)&gt;0,$E8769&lt;INDEX(DarlTilgStart,19))),0,MIN(MAX(0,$K8769-$L8769),$J8769)))</f>
      </c>
      <c r="N8769" s="43">
        <f>IF($I8769=0,0,MIN(SUMIFS(SondBetrag,SondDarl,19,SondDatum,"&gt;="&amp;$E8769,SondDatum,"&lt;="&amp;EOMONTH($E8769,0)),$J8769-$M8769))</f>
      </c>
      <c r="O8769" s="43">
        <f>IF($I8769=0,0,INDEX(DarlErsatzRate,19))</f>
      </c>
      <c r="P8769" s="43">
        <f>IF($I8769=0,0,$Q8768*INDEX(DarlErsatzZins,19))</f>
      </c>
      <c r="Q8769" s="43">
        <f>IF($I8769=0,0,$Q8768+$P8769+$O8769)</f>
      </c>
      <c r="R8769" s="43">
        <f>IF($I8769=0,0,$J8769-$M8769-$N8769)</f>
      </c>
    </row>
    <row r="8770">
      <c r="A8770"/>
      <c r="B8770">
        <v>19</v>
      </c>
      <c r="C8770" s="43">
        <f>INDEX(DarlObj,19)</f>
      </c>
      <c r="D8770">
        <v>127</v>
      </c>
      <c r="E8770" s="51">
        <f>IF(INDEX(DarlBelegt,19)=0,0,EOMONTH(INDEX(DarlAuszahlung,19),126)+1)</f>
      </c>
      <c r="F8770" s="43">
        <f>IF($E8770=0,0,YEAR($E8770))</f>
      </c>
      <c r="G8770" s="43">
        <f>IF(INDEX(DarlBindung,19)="",1,IF($E8770&lt;=INDEX(DarlBindung,19),1,0))</f>
      </c>
      <c r="H8770" s="43">
        <f>IF($G8770=1,INDEX(DarlSollzins,19),INDEX(DarlAnschluss,19))</f>
      </c>
      <c r="I8770" s="43">
        <f>IF(INDEX(DarlBelegt,19)=0,0,IF(INDEX(DarlOhneTilgung,19)=1,IF(INDEX(DarlBindung,19)="",1,$G8770),IF($J8770&gt;0.005,1,0)))</f>
      </c>
      <c r="J8770" s="43">
        <f>IF($I8769=0,0,$R8769)</f>
      </c>
      <c r="K8770" s="43">
        <f>IF($I8770=0,0,IF(INDEX(DarlOhneTilgung,19)=1,0,IF(AND(INDEX(DarlTilgStart,19)&gt;0,$E8770=INDEX(DarlTilgStart,19)),$J8770*($H8770+INDEX(DarlTilgung,19))/100/12,IF(AND($G8770=0,$G8769=1),MAX($K8769,$J8770*($H8770+1)/100/12),$K8769))))</f>
      </c>
      <c r="L8770" s="43">
        <f>IF($I8770=0,0,$J8770*$H8770/100/12)</f>
      </c>
      <c r="M8770" s="43">
        <f>IF($I8770=0,0,IF(OR(INDEX(DarlOhneTilgung,19)=1,AND(INDEX(DarlTilgStart,19)&gt;0,$E8770&lt;INDEX(DarlTilgStart,19))),0,MIN(MAX(0,$K8770-$L8770),$J8770)))</f>
      </c>
      <c r="N8770" s="43">
        <f>IF($I8770=0,0,MIN(SUMIFS(SondBetrag,SondDarl,19,SondDatum,"&gt;="&amp;$E8770,SondDatum,"&lt;="&amp;EOMONTH($E8770,0)),$J8770-$M8770))</f>
      </c>
      <c r="O8770" s="43">
        <f>IF($I8770=0,0,INDEX(DarlErsatzRate,19))</f>
      </c>
      <c r="P8770" s="43">
        <f>IF($I8770=0,0,$Q8769*INDEX(DarlErsatzZins,19))</f>
      </c>
      <c r="Q8770" s="43">
        <f>IF($I8770=0,0,$Q8769+$P8770+$O8770)</f>
      </c>
      <c r="R8770" s="43">
        <f>IF($I8770=0,0,$J8770-$M8770-$N8770)</f>
      </c>
    </row>
    <row r="8771">
      <c r="A8771"/>
      <c r="B8771">
        <v>19</v>
      </c>
      <c r="C8771" s="43">
        <f>INDEX(DarlObj,19)</f>
      </c>
      <c r="D8771">
        <v>128</v>
      </c>
      <c r="E8771" s="51">
        <f>IF(INDEX(DarlBelegt,19)=0,0,EOMONTH(INDEX(DarlAuszahlung,19),127)+1)</f>
      </c>
      <c r="F8771" s="43">
        <f>IF($E8771=0,0,YEAR($E8771))</f>
      </c>
      <c r="G8771" s="43">
        <f>IF(INDEX(DarlBindung,19)="",1,IF($E8771&lt;=INDEX(DarlBindung,19),1,0))</f>
      </c>
      <c r="H8771" s="43">
        <f>IF($G8771=1,INDEX(DarlSollzins,19),INDEX(DarlAnschluss,19))</f>
      </c>
      <c r="I8771" s="43">
        <f>IF(INDEX(DarlBelegt,19)=0,0,IF(INDEX(DarlOhneTilgung,19)=1,IF(INDEX(DarlBindung,19)="",1,$G8771),IF($J8771&gt;0.005,1,0)))</f>
      </c>
      <c r="J8771" s="43">
        <f>IF($I8770=0,0,$R8770)</f>
      </c>
      <c r="K8771" s="43">
        <f>IF($I8771=0,0,IF(INDEX(DarlOhneTilgung,19)=1,0,IF(AND(INDEX(DarlTilgStart,19)&gt;0,$E8771=INDEX(DarlTilgStart,19)),$J8771*($H8771+INDEX(DarlTilgung,19))/100/12,IF(AND($G8771=0,$G8770=1),MAX($K8770,$J8771*($H8771+1)/100/12),$K8770))))</f>
      </c>
      <c r="L8771" s="43">
        <f>IF($I8771=0,0,$J8771*$H8771/100/12)</f>
      </c>
      <c r="M8771" s="43">
        <f>IF($I8771=0,0,IF(OR(INDEX(DarlOhneTilgung,19)=1,AND(INDEX(DarlTilgStart,19)&gt;0,$E8771&lt;INDEX(DarlTilgStart,19))),0,MIN(MAX(0,$K8771-$L8771),$J8771)))</f>
      </c>
      <c r="N8771" s="43">
        <f>IF($I8771=0,0,MIN(SUMIFS(SondBetrag,SondDarl,19,SondDatum,"&gt;="&amp;$E8771,SondDatum,"&lt;="&amp;EOMONTH($E8771,0)),$J8771-$M8771))</f>
      </c>
      <c r="O8771" s="43">
        <f>IF($I8771=0,0,INDEX(DarlErsatzRate,19))</f>
      </c>
      <c r="P8771" s="43">
        <f>IF($I8771=0,0,$Q8770*INDEX(DarlErsatzZins,19))</f>
      </c>
      <c r="Q8771" s="43">
        <f>IF($I8771=0,0,$Q8770+$P8771+$O8771)</f>
      </c>
      <c r="R8771" s="43">
        <f>IF($I8771=0,0,$J8771-$M8771-$N8771)</f>
      </c>
    </row>
    <row r="8772">
      <c r="A8772"/>
      <c r="B8772">
        <v>19</v>
      </c>
      <c r="C8772" s="43">
        <f>INDEX(DarlObj,19)</f>
      </c>
      <c r="D8772">
        <v>129</v>
      </c>
      <c r="E8772" s="51">
        <f>IF(INDEX(DarlBelegt,19)=0,0,EOMONTH(INDEX(DarlAuszahlung,19),128)+1)</f>
      </c>
      <c r="F8772" s="43">
        <f>IF($E8772=0,0,YEAR($E8772))</f>
      </c>
      <c r="G8772" s="43">
        <f>IF(INDEX(DarlBindung,19)="",1,IF($E8772&lt;=INDEX(DarlBindung,19),1,0))</f>
      </c>
      <c r="H8772" s="43">
        <f>IF($G8772=1,INDEX(DarlSollzins,19),INDEX(DarlAnschluss,19))</f>
      </c>
      <c r="I8772" s="43">
        <f>IF(INDEX(DarlBelegt,19)=0,0,IF(INDEX(DarlOhneTilgung,19)=1,IF(INDEX(DarlBindung,19)="",1,$G8772),IF($J8772&gt;0.005,1,0)))</f>
      </c>
      <c r="J8772" s="43">
        <f>IF($I8771=0,0,$R8771)</f>
      </c>
      <c r="K8772" s="43">
        <f>IF($I8772=0,0,IF(INDEX(DarlOhneTilgung,19)=1,0,IF(AND(INDEX(DarlTilgStart,19)&gt;0,$E8772=INDEX(DarlTilgStart,19)),$J8772*($H8772+INDEX(DarlTilgung,19))/100/12,IF(AND($G8772=0,$G8771=1),MAX($K8771,$J8772*($H8772+1)/100/12),$K8771))))</f>
      </c>
      <c r="L8772" s="43">
        <f>IF($I8772=0,0,$J8772*$H8772/100/12)</f>
      </c>
      <c r="M8772" s="43">
        <f>IF($I8772=0,0,IF(OR(INDEX(DarlOhneTilgung,19)=1,AND(INDEX(DarlTilgStart,19)&gt;0,$E8772&lt;INDEX(DarlTilgStart,19))),0,MIN(MAX(0,$K8772-$L8772),$J8772)))</f>
      </c>
      <c r="N8772" s="43">
        <f>IF($I8772=0,0,MIN(SUMIFS(SondBetrag,SondDarl,19,SondDatum,"&gt;="&amp;$E8772,SondDatum,"&lt;="&amp;EOMONTH($E8772,0)),$J8772-$M8772))</f>
      </c>
      <c r="O8772" s="43">
        <f>IF($I8772=0,0,INDEX(DarlErsatzRate,19))</f>
      </c>
      <c r="P8772" s="43">
        <f>IF($I8772=0,0,$Q8771*INDEX(DarlErsatzZins,19))</f>
      </c>
      <c r="Q8772" s="43">
        <f>IF($I8772=0,0,$Q8771+$P8772+$O8772)</f>
      </c>
      <c r="R8772" s="43">
        <f>IF($I8772=0,0,$J8772-$M8772-$N8772)</f>
      </c>
    </row>
    <row r="8773">
      <c r="A8773"/>
      <c r="B8773">
        <v>19</v>
      </c>
      <c r="C8773" s="43">
        <f>INDEX(DarlObj,19)</f>
      </c>
      <c r="D8773">
        <v>130</v>
      </c>
      <c r="E8773" s="51">
        <f>IF(INDEX(DarlBelegt,19)=0,0,EOMONTH(INDEX(DarlAuszahlung,19),129)+1)</f>
      </c>
      <c r="F8773" s="43">
        <f>IF($E8773=0,0,YEAR($E8773))</f>
      </c>
      <c r="G8773" s="43">
        <f>IF(INDEX(DarlBindung,19)="",1,IF($E8773&lt;=INDEX(DarlBindung,19),1,0))</f>
      </c>
      <c r="H8773" s="43">
        <f>IF($G8773=1,INDEX(DarlSollzins,19),INDEX(DarlAnschluss,19))</f>
      </c>
      <c r="I8773" s="43">
        <f>IF(INDEX(DarlBelegt,19)=0,0,IF(INDEX(DarlOhneTilgung,19)=1,IF(INDEX(DarlBindung,19)="",1,$G8773),IF($J8773&gt;0.005,1,0)))</f>
      </c>
      <c r="J8773" s="43">
        <f>IF($I8772=0,0,$R8772)</f>
      </c>
      <c r="K8773" s="43">
        <f>IF($I8773=0,0,IF(INDEX(DarlOhneTilgung,19)=1,0,IF(AND(INDEX(DarlTilgStart,19)&gt;0,$E8773=INDEX(DarlTilgStart,19)),$J8773*($H8773+INDEX(DarlTilgung,19))/100/12,IF(AND($G8773=0,$G8772=1),MAX($K8772,$J8773*($H8773+1)/100/12),$K8772))))</f>
      </c>
      <c r="L8773" s="43">
        <f>IF($I8773=0,0,$J8773*$H8773/100/12)</f>
      </c>
      <c r="M8773" s="43">
        <f>IF($I8773=0,0,IF(OR(INDEX(DarlOhneTilgung,19)=1,AND(INDEX(DarlTilgStart,19)&gt;0,$E8773&lt;INDEX(DarlTilgStart,19))),0,MIN(MAX(0,$K8773-$L8773),$J8773)))</f>
      </c>
      <c r="N8773" s="43">
        <f>IF($I8773=0,0,MIN(SUMIFS(SondBetrag,SondDarl,19,SondDatum,"&gt;="&amp;$E8773,SondDatum,"&lt;="&amp;EOMONTH($E8773,0)),$J8773-$M8773))</f>
      </c>
      <c r="O8773" s="43">
        <f>IF($I8773=0,0,INDEX(DarlErsatzRate,19))</f>
      </c>
      <c r="P8773" s="43">
        <f>IF($I8773=0,0,$Q8772*INDEX(DarlErsatzZins,19))</f>
      </c>
      <c r="Q8773" s="43">
        <f>IF($I8773=0,0,$Q8772+$P8773+$O8773)</f>
      </c>
      <c r="R8773" s="43">
        <f>IF($I8773=0,0,$J8773-$M8773-$N8773)</f>
      </c>
    </row>
    <row r="8774">
      <c r="A8774"/>
      <c r="B8774">
        <v>19</v>
      </c>
      <c r="C8774" s="43">
        <f>INDEX(DarlObj,19)</f>
      </c>
      <c r="D8774">
        <v>131</v>
      </c>
      <c r="E8774" s="51">
        <f>IF(INDEX(DarlBelegt,19)=0,0,EOMONTH(INDEX(DarlAuszahlung,19),130)+1)</f>
      </c>
      <c r="F8774" s="43">
        <f>IF($E8774=0,0,YEAR($E8774))</f>
      </c>
      <c r="G8774" s="43">
        <f>IF(INDEX(DarlBindung,19)="",1,IF($E8774&lt;=INDEX(DarlBindung,19),1,0))</f>
      </c>
      <c r="H8774" s="43">
        <f>IF($G8774=1,INDEX(DarlSollzins,19),INDEX(DarlAnschluss,19))</f>
      </c>
      <c r="I8774" s="43">
        <f>IF(INDEX(DarlBelegt,19)=0,0,IF(INDEX(DarlOhneTilgung,19)=1,IF(INDEX(DarlBindung,19)="",1,$G8774),IF($J8774&gt;0.005,1,0)))</f>
      </c>
      <c r="J8774" s="43">
        <f>IF($I8773=0,0,$R8773)</f>
      </c>
      <c r="K8774" s="43">
        <f>IF($I8774=0,0,IF(INDEX(DarlOhneTilgung,19)=1,0,IF(AND(INDEX(DarlTilgStart,19)&gt;0,$E8774=INDEX(DarlTilgStart,19)),$J8774*($H8774+INDEX(DarlTilgung,19))/100/12,IF(AND($G8774=0,$G8773=1),MAX($K8773,$J8774*($H8774+1)/100/12),$K8773))))</f>
      </c>
      <c r="L8774" s="43">
        <f>IF($I8774=0,0,$J8774*$H8774/100/12)</f>
      </c>
      <c r="M8774" s="43">
        <f>IF($I8774=0,0,IF(OR(INDEX(DarlOhneTilgung,19)=1,AND(INDEX(DarlTilgStart,19)&gt;0,$E8774&lt;INDEX(DarlTilgStart,19))),0,MIN(MAX(0,$K8774-$L8774),$J8774)))</f>
      </c>
      <c r="N8774" s="43">
        <f>IF($I8774=0,0,MIN(SUMIFS(SondBetrag,SondDarl,19,SondDatum,"&gt;="&amp;$E8774,SondDatum,"&lt;="&amp;EOMONTH($E8774,0)),$J8774-$M8774))</f>
      </c>
      <c r="O8774" s="43">
        <f>IF($I8774=0,0,INDEX(DarlErsatzRate,19))</f>
      </c>
      <c r="P8774" s="43">
        <f>IF($I8774=0,0,$Q8773*INDEX(DarlErsatzZins,19))</f>
      </c>
      <c r="Q8774" s="43">
        <f>IF($I8774=0,0,$Q8773+$P8774+$O8774)</f>
      </c>
      <c r="R8774" s="43">
        <f>IF($I8774=0,0,$J8774-$M8774-$N8774)</f>
      </c>
    </row>
    <row r="8775">
      <c r="A8775"/>
      <c r="B8775">
        <v>19</v>
      </c>
      <c r="C8775" s="43">
        <f>INDEX(DarlObj,19)</f>
      </c>
      <c r="D8775">
        <v>132</v>
      </c>
      <c r="E8775" s="51">
        <f>IF(INDEX(DarlBelegt,19)=0,0,EOMONTH(INDEX(DarlAuszahlung,19),131)+1)</f>
      </c>
      <c r="F8775" s="43">
        <f>IF($E8775=0,0,YEAR($E8775))</f>
      </c>
      <c r="G8775" s="43">
        <f>IF(INDEX(DarlBindung,19)="",1,IF($E8775&lt;=INDEX(DarlBindung,19),1,0))</f>
      </c>
      <c r="H8775" s="43">
        <f>IF($G8775=1,INDEX(DarlSollzins,19),INDEX(DarlAnschluss,19))</f>
      </c>
      <c r="I8775" s="43">
        <f>IF(INDEX(DarlBelegt,19)=0,0,IF(INDEX(DarlOhneTilgung,19)=1,IF(INDEX(DarlBindung,19)="",1,$G8775),IF($J8775&gt;0.005,1,0)))</f>
      </c>
      <c r="J8775" s="43">
        <f>IF($I8774=0,0,$R8774)</f>
      </c>
      <c r="K8775" s="43">
        <f>IF($I8775=0,0,IF(INDEX(DarlOhneTilgung,19)=1,0,IF(AND(INDEX(DarlTilgStart,19)&gt;0,$E8775=INDEX(DarlTilgStart,19)),$J8775*($H8775+INDEX(DarlTilgung,19))/100/12,IF(AND($G8775=0,$G8774=1),MAX($K8774,$J8775*($H8775+1)/100/12),$K8774))))</f>
      </c>
      <c r="L8775" s="43">
        <f>IF($I8775=0,0,$J8775*$H8775/100/12)</f>
      </c>
      <c r="M8775" s="43">
        <f>IF($I8775=0,0,IF(OR(INDEX(DarlOhneTilgung,19)=1,AND(INDEX(DarlTilgStart,19)&gt;0,$E8775&lt;INDEX(DarlTilgStart,19))),0,MIN(MAX(0,$K8775-$L8775),$J8775)))</f>
      </c>
      <c r="N8775" s="43">
        <f>IF($I8775=0,0,MIN(SUMIFS(SondBetrag,SondDarl,19,SondDatum,"&gt;="&amp;$E8775,SondDatum,"&lt;="&amp;EOMONTH($E8775,0)),$J8775-$M8775))</f>
      </c>
      <c r="O8775" s="43">
        <f>IF($I8775=0,0,INDEX(DarlErsatzRate,19))</f>
      </c>
      <c r="P8775" s="43">
        <f>IF($I8775=0,0,$Q8774*INDEX(DarlErsatzZins,19))</f>
      </c>
      <c r="Q8775" s="43">
        <f>IF($I8775=0,0,$Q8774+$P8775+$O8775)</f>
      </c>
      <c r="R8775" s="43">
        <f>IF($I8775=0,0,$J8775-$M8775-$N8775)</f>
      </c>
    </row>
    <row r="8776">
      <c r="A8776"/>
      <c r="B8776">
        <v>19</v>
      </c>
      <c r="C8776" s="43">
        <f>INDEX(DarlObj,19)</f>
      </c>
      <c r="D8776">
        <v>133</v>
      </c>
      <c r="E8776" s="51">
        <f>IF(INDEX(DarlBelegt,19)=0,0,EOMONTH(INDEX(DarlAuszahlung,19),132)+1)</f>
      </c>
      <c r="F8776" s="43">
        <f>IF($E8776=0,0,YEAR($E8776))</f>
      </c>
      <c r="G8776" s="43">
        <f>IF(INDEX(DarlBindung,19)="",1,IF($E8776&lt;=INDEX(DarlBindung,19),1,0))</f>
      </c>
      <c r="H8776" s="43">
        <f>IF($G8776=1,INDEX(DarlSollzins,19),INDEX(DarlAnschluss,19))</f>
      </c>
      <c r="I8776" s="43">
        <f>IF(INDEX(DarlBelegt,19)=0,0,IF(INDEX(DarlOhneTilgung,19)=1,IF(INDEX(DarlBindung,19)="",1,$G8776),IF($J8776&gt;0.005,1,0)))</f>
      </c>
      <c r="J8776" s="43">
        <f>IF($I8775=0,0,$R8775)</f>
      </c>
      <c r="K8776" s="43">
        <f>IF($I8776=0,0,IF(INDEX(DarlOhneTilgung,19)=1,0,IF(AND(INDEX(DarlTilgStart,19)&gt;0,$E8776=INDEX(DarlTilgStart,19)),$J8776*($H8776+INDEX(DarlTilgung,19))/100/12,IF(AND($G8776=0,$G8775=1),MAX($K8775,$J8776*($H8776+1)/100/12),$K8775))))</f>
      </c>
      <c r="L8776" s="43">
        <f>IF($I8776=0,0,$J8776*$H8776/100/12)</f>
      </c>
      <c r="M8776" s="43">
        <f>IF($I8776=0,0,IF(OR(INDEX(DarlOhneTilgung,19)=1,AND(INDEX(DarlTilgStart,19)&gt;0,$E8776&lt;INDEX(DarlTilgStart,19))),0,MIN(MAX(0,$K8776-$L8776),$J8776)))</f>
      </c>
      <c r="N8776" s="43">
        <f>IF($I8776=0,0,MIN(SUMIFS(SondBetrag,SondDarl,19,SondDatum,"&gt;="&amp;$E8776,SondDatum,"&lt;="&amp;EOMONTH($E8776,0)),$J8776-$M8776))</f>
      </c>
      <c r="O8776" s="43">
        <f>IF($I8776=0,0,INDEX(DarlErsatzRate,19))</f>
      </c>
      <c r="P8776" s="43">
        <f>IF($I8776=0,0,$Q8775*INDEX(DarlErsatzZins,19))</f>
      </c>
      <c r="Q8776" s="43">
        <f>IF($I8776=0,0,$Q8775+$P8776+$O8776)</f>
      </c>
      <c r="R8776" s="43">
        <f>IF($I8776=0,0,$J8776-$M8776-$N8776)</f>
      </c>
    </row>
    <row r="8777">
      <c r="A8777"/>
      <c r="B8777">
        <v>19</v>
      </c>
      <c r="C8777" s="43">
        <f>INDEX(DarlObj,19)</f>
      </c>
      <c r="D8777">
        <v>134</v>
      </c>
      <c r="E8777" s="51">
        <f>IF(INDEX(DarlBelegt,19)=0,0,EOMONTH(INDEX(DarlAuszahlung,19),133)+1)</f>
      </c>
      <c r="F8777" s="43">
        <f>IF($E8777=0,0,YEAR($E8777))</f>
      </c>
      <c r="G8777" s="43">
        <f>IF(INDEX(DarlBindung,19)="",1,IF($E8777&lt;=INDEX(DarlBindung,19),1,0))</f>
      </c>
      <c r="H8777" s="43">
        <f>IF($G8777=1,INDEX(DarlSollzins,19),INDEX(DarlAnschluss,19))</f>
      </c>
      <c r="I8777" s="43">
        <f>IF(INDEX(DarlBelegt,19)=0,0,IF(INDEX(DarlOhneTilgung,19)=1,IF(INDEX(DarlBindung,19)="",1,$G8777),IF($J8777&gt;0.005,1,0)))</f>
      </c>
      <c r="J8777" s="43">
        <f>IF($I8776=0,0,$R8776)</f>
      </c>
      <c r="K8777" s="43">
        <f>IF($I8777=0,0,IF(INDEX(DarlOhneTilgung,19)=1,0,IF(AND(INDEX(DarlTilgStart,19)&gt;0,$E8777=INDEX(DarlTilgStart,19)),$J8777*($H8777+INDEX(DarlTilgung,19))/100/12,IF(AND($G8777=0,$G8776=1),MAX($K8776,$J8777*($H8777+1)/100/12),$K8776))))</f>
      </c>
      <c r="L8777" s="43">
        <f>IF($I8777=0,0,$J8777*$H8777/100/12)</f>
      </c>
      <c r="M8777" s="43">
        <f>IF($I8777=0,0,IF(OR(INDEX(DarlOhneTilgung,19)=1,AND(INDEX(DarlTilgStart,19)&gt;0,$E8777&lt;INDEX(DarlTilgStart,19))),0,MIN(MAX(0,$K8777-$L8777),$J8777)))</f>
      </c>
      <c r="N8777" s="43">
        <f>IF($I8777=0,0,MIN(SUMIFS(SondBetrag,SondDarl,19,SondDatum,"&gt;="&amp;$E8777,SondDatum,"&lt;="&amp;EOMONTH($E8777,0)),$J8777-$M8777))</f>
      </c>
      <c r="O8777" s="43">
        <f>IF($I8777=0,0,INDEX(DarlErsatzRate,19))</f>
      </c>
      <c r="P8777" s="43">
        <f>IF($I8777=0,0,$Q8776*INDEX(DarlErsatzZins,19))</f>
      </c>
      <c r="Q8777" s="43">
        <f>IF($I8777=0,0,$Q8776+$P8777+$O8777)</f>
      </c>
      <c r="R8777" s="43">
        <f>IF($I8777=0,0,$J8777-$M8777-$N8777)</f>
      </c>
    </row>
    <row r="8778">
      <c r="A8778"/>
      <c r="B8778">
        <v>19</v>
      </c>
      <c r="C8778" s="43">
        <f>INDEX(DarlObj,19)</f>
      </c>
      <c r="D8778">
        <v>135</v>
      </c>
      <c r="E8778" s="51">
        <f>IF(INDEX(DarlBelegt,19)=0,0,EOMONTH(INDEX(DarlAuszahlung,19),134)+1)</f>
      </c>
      <c r="F8778" s="43">
        <f>IF($E8778=0,0,YEAR($E8778))</f>
      </c>
      <c r="G8778" s="43">
        <f>IF(INDEX(DarlBindung,19)="",1,IF($E8778&lt;=INDEX(DarlBindung,19),1,0))</f>
      </c>
      <c r="H8778" s="43">
        <f>IF($G8778=1,INDEX(DarlSollzins,19),INDEX(DarlAnschluss,19))</f>
      </c>
      <c r="I8778" s="43">
        <f>IF(INDEX(DarlBelegt,19)=0,0,IF(INDEX(DarlOhneTilgung,19)=1,IF(INDEX(DarlBindung,19)="",1,$G8778),IF($J8778&gt;0.005,1,0)))</f>
      </c>
      <c r="J8778" s="43">
        <f>IF($I8777=0,0,$R8777)</f>
      </c>
      <c r="K8778" s="43">
        <f>IF($I8778=0,0,IF(INDEX(DarlOhneTilgung,19)=1,0,IF(AND(INDEX(DarlTilgStart,19)&gt;0,$E8778=INDEX(DarlTilgStart,19)),$J8778*($H8778+INDEX(DarlTilgung,19))/100/12,IF(AND($G8778=0,$G8777=1),MAX($K8777,$J8778*($H8778+1)/100/12),$K8777))))</f>
      </c>
      <c r="L8778" s="43">
        <f>IF($I8778=0,0,$J8778*$H8778/100/12)</f>
      </c>
      <c r="M8778" s="43">
        <f>IF($I8778=0,0,IF(OR(INDEX(DarlOhneTilgung,19)=1,AND(INDEX(DarlTilgStart,19)&gt;0,$E8778&lt;INDEX(DarlTilgStart,19))),0,MIN(MAX(0,$K8778-$L8778),$J8778)))</f>
      </c>
      <c r="N8778" s="43">
        <f>IF($I8778=0,0,MIN(SUMIFS(SondBetrag,SondDarl,19,SondDatum,"&gt;="&amp;$E8778,SondDatum,"&lt;="&amp;EOMONTH($E8778,0)),$J8778-$M8778))</f>
      </c>
      <c r="O8778" s="43">
        <f>IF($I8778=0,0,INDEX(DarlErsatzRate,19))</f>
      </c>
      <c r="P8778" s="43">
        <f>IF($I8778=0,0,$Q8777*INDEX(DarlErsatzZins,19))</f>
      </c>
      <c r="Q8778" s="43">
        <f>IF($I8778=0,0,$Q8777+$P8778+$O8778)</f>
      </c>
      <c r="R8778" s="43">
        <f>IF($I8778=0,0,$J8778-$M8778-$N8778)</f>
      </c>
    </row>
    <row r="8779">
      <c r="A8779"/>
      <c r="B8779">
        <v>19</v>
      </c>
      <c r="C8779" s="43">
        <f>INDEX(DarlObj,19)</f>
      </c>
      <c r="D8779">
        <v>136</v>
      </c>
      <c r="E8779" s="51">
        <f>IF(INDEX(DarlBelegt,19)=0,0,EOMONTH(INDEX(DarlAuszahlung,19),135)+1)</f>
      </c>
      <c r="F8779" s="43">
        <f>IF($E8779=0,0,YEAR($E8779))</f>
      </c>
      <c r="G8779" s="43">
        <f>IF(INDEX(DarlBindung,19)="",1,IF($E8779&lt;=INDEX(DarlBindung,19),1,0))</f>
      </c>
      <c r="H8779" s="43">
        <f>IF($G8779=1,INDEX(DarlSollzins,19),INDEX(DarlAnschluss,19))</f>
      </c>
      <c r="I8779" s="43">
        <f>IF(INDEX(DarlBelegt,19)=0,0,IF(INDEX(DarlOhneTilgung,19)=1,IF(INDEX(DarlBindung,19)="",1,$G8779),IF($J8779&gt;0.005,1,0)))</f>
      </c>
      <c r="J8779" s="43">
        <f>IF($I8778=0,0,$R8778)</f>
      </c>
      <c r="K8779" s="43">
        <f>IF($I8779=0,0,IF(INDEX(DarlOhneTilgung,19)=1,0,IF(AND(INDEX(DarlTilgStart,19)&gt;0,$E8779=INDEX(DarlTilgStart,19)),$J8779*($H8779+INDEX(DarlTilgung,19))/100/12,IF(AND($G8779=0,$G8778=1),MAX($K8778,$J8779*($H8779+1)/100/12),$K8778))))</f>
      </c>
      <c r="L8779" s="43">
        <f>IF($I8779=0,0,$J8779*$H8779/100/12)</f>
      </c>
      <c r="M8779" s="43">
        <f>IF($I8779=0,0,IF(OR(INDEX(DarlOhneTilgung,19)=1,AND(INDEX(DarlTilgStart,19)&gt;0,$E8779&lt;INDEX(DarlTilgStart,19))),0,MIN(MAX(0,$K8779-$L8779),$J8779)))</f>
      </c>
      <c r="N8779" s="43">
        <f>IF($I8779=0,0,MIN(SUMIFS(SondBetrag,SondDarl,19,SondDatum,"&gt;="&amp;$E8779,SondDatum,"&lt;="&amp;EOMONTH($E8779,0)),$J8779-$M8779))</f>
      </c>
      <c r="O8779" s="43">
        <f>IF($I8779=0,0,INDEX(DarlErsatzRate,19))</f>
      </c>
      <c r="P8779" s="43">
        <f>IF($I8779=0,0,$Q8778*INDEX(DarlErsatzZins,19))</f>
      </c>
      <c r="Q8779" s="43">
        <f>IF($I8779=0,0,$Q8778+$P8779+$O8779)</f>
      </c>
      <c r="R8779" s="43">
        <f>IF($I8779=0,0,$J8779-$M8779-$N8779)</f>
      </c>
    </row>
    <row r="8780">
      <c r="A8780"/>
      <c r="B8780">
        <v>19</v>
      </c>
      <c r="C8780" s="43">
        <f>INDEX(DarlObj,19)</f>
      </c>
      <c r="D8780">
        <v>137</v>
      </c>
      <c r="E8780" s="51">
        <f>IF(INDEX(DarlBelegt,19)=0,0,EOMONTH(INDEX(DarlAuszahlung,19),136)+1)</f>
      </c>
      <c r="F8780" s="43">
        <f>IF($E8780=0,0,YEAR($E8780))</f>
      </c>
      <c r="G8780" s="43">
        <f>IF(INDEX(DarlBindung,19)="",1,IF($E8780&lt;=INDEX(DarlBindung,19),1,0))</f>
      </c>
      <c r="H8780" s="43">
        <f>IF($G8780=1,INDEX(DarlSollzins,19),INDEX(DarlAnschluss,19))</f>
      </c>
      <c r="I8780" s="43">
        <f>IF(INDEX(DarlBelegt,19)=0,0,IF(INDEX(DarlOhneTilgung,19)=1,IF(INDEX(DarlBindung,19)="",1,$G8780),IF($J8780&gt;0.005,1,0)))</f>
      </c>
      <c r="J8780" s="43">
        <f>IF($I8779=0,0,$R8779)</f>
      </c>
      <c r="K8780" s="43">
        <f>IF($I8780=0,0,IF(INDEX(DarlOhneTilgung,19)=1,0,IF(AND(INDEX(DarlTilgStart,19)&gt;0,$E8780=INDEX(DarlTilgStart,19)),$J8780*($H8780+INDEX(DarlTilgung,19))/100/12,IF(AND($G8780=0,$G8779=1),MAX($K8779,$J8780*($H8780+1)/100/12),$K8779))))</f>
      </c>
      <c r="L8780" s="43">
        <f>IF($I8780=0,0,$J8780*$H8780/100/12)</f>
      </c>
      <c r="M8780" s="43">
        <f>IF($I8780=0,0,IF(OR(INDEX(DarlOhneTilgung,19)=1,AND(INDEX(DarlTilgStart,19)&gt;0,$E8780&lt;INDEX(DarlTilgStart,19))),0,MIN(MAX(0,$K8780-$L8780),$J8780)))</f>
      </c>
      <c r="N8780" s="43">
        <f>IF($I8780=0,0,MIN(SUMIFS(SondBetrag,SondDarl,19,SondDatum,"&gt;="&amp;$E8780,SondDatum,"&lt;="&amp;EOMONTH($E8780,0)),$J8780-$M8780))</f>
      </c>
      <c r="O8780" s="43">
        <f>IF($I8780=0,0,INDEX(DarlErsatzRate,19))</f>
      </c>
      <c r="P8780" s="43">
        <f>IF($I8780=0,0,$Q8779*INDEX(DarlErsatzZins,19))</f>
      </c>
      <c r="Q8780" s="43">
        <f>IF($I8780=0,0,$Q8779+$P8780+$O8780)</f>
      </c>
      <c r="R8780" s="43">
        <f>IF($I8780=0,0,$J8780-$M8780-$N8780)</f>
      </c>
    </row>
    <row r="8781">
      <c r="A8781"/>
      <c r="B8781">
        <v>19</v>
      </c>
      <c r="C8781" s="43">
        <f>INDEX(DarlObj,19)</f>
      </c>
      <c r="D8781">
        <v>138</v>
      </c>
      <c r="E8781" s="51">
        <f>IF(INDEX(DarlBelegt,19)=0,0,EOMONTH(INDEX(DarlAuszahlung,19),137)+1)</f>
      </c>
      <c r="F8781" s="43">
        <f>IF($E8781=0,0,YEAR($E8781))</f>
      </c>
      <c r="G8781" s="43">
        <f>IF(INDEX(DarlBindung,19)="",1,IF($E8781&lt;=INDEX(DarlBindung,19),1,0))</f>
      </c>
      <c r="H8781" s="43">
        <f>IF($G8781=1,INDEX(DarlSollzins,19),INDEX(DarlAnschluss,19))</f>
      </c>
      <c r="I8781" s="43">
        <f>IF(INDEX(DarlBelegt,19)=0,0,IF(INDEX(DarlOhneTilgung,19)=1,IF(INDEX(DarlBindung,19)="",1,$G8781),IF($J8781&gt;0.005,1,0)))</f>
      </c>
      <c r="J8781" s="43">
        <f>IF($I8780=0,0,$R8780)</f>
      </c>
      <c r="K8781" s="43">
        <f>IF($I8781=0,0,IF(INDEX(DarlOhneTilgung,19)=1,0,IF(AND(INDEX(DarlTilgStart,19)&gt;0,$E8781=INDEX(DarlTilgStart,19)),$J8781*($H8781+INDEX(DarlTilgung,19))/100/12,IF(AND($G8781=0,$G8780=1),MAX($K8780,$J8781*($H8781+1)/100/12),$K8780))))</f>
      </c>
      <c r="L8781" s="43">
        <f>IF($I8781=0,0,$J8781*$H8781/100/12)</f>
      </c>
      <c r="M8781" s="43">
        <f>IF($I8781=0,0,IF(OR(INDEX(DarlOhneTilgung,19)=1,AND(INDEX(DarlTilgStart,19)&gt;0,$E8781&lt;INDEX(DarlTilgStart,19))),0,MIN(MAX(0,$K8781-$L8781),$J8781)))</f>
      </c>
      <c r="N8781" s="43">
        <f>IF($I8781=0,0,MIN(SUMIFS(SondBetrag,SondDarl,19,SondDatum,"&gt;="&amp;$E8781,SondDatum,"&lt;="&amp;EOMONTH($E8781,0)),$J8781-$M8781))</f>
      </c>
      <c r="O8781" s="43">
        <f>IF($I8781=0,0,INDEX(DarlErsatzRate,19))</f>
      </c>
      <c r="P8781" s="43">
        <f>IF($I8781=0,0,$Q8780*INDEX(DarlErsatzZins,19))</f>
      </c>
      <c r="Q8781" s="43">
        <f>IF($I8781=0,0,$Q8780+$P8781+$O8781)</f>
      </c>
      <c r="R8781" s="43">
        <f>IF($I8781=0,0,$J8781-$M8781-$N8781)</f>
      </c>
    </row>
    <row r="8782">
      <c r="A8782"/>
      <c r="B8782">
        <v>19</v>
      </c>
      <c r="C8782" s="43">
        <f>INDEX(DarlObj,19)</f>
      </c>
      <c r="D8782">
        <v>139</v>
      </c>
      <c r="E8782" s="51">
        <f>IF(INDEX(DarlBelegt,19)=0,0,EOMONTH(INDEX(DarlAuszahlung,19),138)+1)</f>
      </c>
      <c r="F8782" s="43">
        <f>IF($E8782=0,0,YEAR($E8782))</f>
      </c>
      <c r="G8782" s="43">
        <f>IF(INDEX(DarlBindung,19)="",1,IF($E8782&lt;=INDEX(DarlBindung,19),1,0))</f>
      </c>
      <c r="H8782" s="43">
        <f>IF($G8782=1,INDEX(DarlSollzins,19),INDEX(DarlAnschluss,19))</f>
      </c>
      <c r="I8782" s="43">
        <f>IF(INDEX(DarlBelegt,19)=0,0,IF(INDEX(DarlOhneTilgung,19)=1,IF(INDEX(DarlBindung,19)="",1,$G8782),IF($J8782&gt;0.005,1,0)))</f>
      </c>
      <c r="J8782" s="43">
        <f>IF($I8781=0,0,$R8781)</f>
      </c>
      <c r="K8782" s="43">
        <f>IF($I8782=0,0,IF(INDEX(DarlOhneTilgung,19)=1,0,IF(AND(INDEX(DarlTilgStart,19)&gt;0,$E8782=INDEX(DarlTilgStart,19)),$J8782*($H8782+INDEX(DarlTilgung,19))/100/12,IF(AND($G8782=0,$G8781=1),MAX($K8781,$J8782*($H8782+1)/100/12),$K8781))))</f>
      </c>
      <c r="L8782" s="43">
        <f>IF($I8782=0,0,$J8782*$H8782/100/12)</f>
      </c>
      <c r="M8782" s="43">
        <f>IF($I8782=0,0,IF(OR(INDEX(DarlOhneTilgung,19)=1,AND(INDEX(DarlTilgStart,19)&gt;0,$E8782&lt;INDEX(DarlTilgStart,19))),0,MIN(MAX(0,$K8782-$L8782),$J8782)))</f>
      </c>
      <c r="N8782" s="43">
        <f>IF($I8782=0,0,MIN(SUMIFS(SondBetrag,SondDarl,19,SondDatum,"&gt;="&amp;$E8782,SondDatum,"&lt;="&amp;EOMONTH($E8782,0)),$J8782-$M8782))</f>
      </c>
      <c r="O8782" s="43">
        <f>IF($I8782=0,0,INDEX(DarlErsatzRate,19))</f>
      </c>
      <c r="P8782" s="43">
        <f>IF($I8782=0,0,$Q8781*INDEX(DarlErsatzZins,19))</f>
      </c>
      <c r="Q8782" s="43">
        <f>IF($I8782=0,0,$Q8781+$P8782+$O8782)</f>
      </c>
      <c r="R8782" s="43">
        <f>IF($I8782=0,0,$J8782-$M8782-$N8782)</f>
      </c>
    </row>
    <row r="8783">
      <c r="A8783"/>
      <c r="B8783">
        <v>19</v>
      </c>
      <c r="C8783" s="43">
        <f>INDEX(DarlObj,19)</f>
      </c>
      <c r="D8783">
        <v>140</v>
      </c>
      <c r="E8783" s="51">
        <f>IF(INDEX(DarlBelegt,19)=0,0,EOMONTH(INDEX(DarlAuszahlung,19),139)+1)</f>
      </c>
      <c r="F8783" s="43">
        <f>IF($E8783=0,0,YEAR($E8783))</f>
      </c>
      <c r="G8783" s="43">
        <f>IF(INDEX(DarlBindung,19)="",1,IF($E8783&lt;=INDEX(DarlBindung,19),1,0))</f>
      </c>
      <c r="H8783" s="43">
        <f>IF($G8783=1,INDEX(DarlSollzins,19),INDEX(DarlAnschluss,19))</f>
      </c>
      <c r="I8783" s="43">
        <f>IF(INDEX(DarlBelegt,19)=0,0,IF(INDEX(DarlOhneTilgung,19)=1,IF(INDEX(DarlBindung,19)="",1,$G8783),IF($J8783&gt;0.005,1,0)))</f>
      </c>
      <c r="J8783" s="43">
        <f>IF($I8782=0,0,$R8782)</f>
      </c>
      <c r="K8783" s="43">
        <f>IF($I8783=0,0,IF(INDEX(DarlOhneTilgung,19)=1,0,IF(AND(INDEX(DarlTilgStart,19)&gt;0,$E8783=INDEX(DarlTilgStart,19)),$J8783*($H8783+INDEX(DarlTilgung,19))/100/12,IF(AND($G8783=0,$G8782=1),MAX($K8782,$J8783*($H8783+1)/100/12),$K8782))))</f>
      </c>
      <c r="L8783" s="43">
        <f>IF($I8783=0,0,$J8783*$H8783/100/12)</f>
      </c>
      <c r="M8783" s="43">
        <f>IF($I8783=0,0,IF(OR(INDEX(DarlOhneTilgung,19)=1,AND(INDEX(DarlTilgStart,19)&gt;0,$E8783&lt;INDEX(DarlTilgStart,19))),0,MIN(MAX(0,$K8783-$L8783),$J8783)))</f>
      </c>
      <c r="N8783" s="43">
        <f>IF($I8783=0,0,MIN(SUMIFS(SondBetrag,SondDarl,19,SondDatum,"&gt;="&amp;$E8783,SondDatum,"&lt;="&amp;EOMONTH($E8783,0)),$J8783-$M8783))</f>
      </c>
      <c r="O8783" s="43">
        <f>IF($I8783=0,0,INDEX(DarlErsatzRate,19))</f>
      </c>
      <c r="P8783" s="43">
        <f>IF($I8783=0,0,$Q8782*INDEX(DarlErsatzZins,19))</f>
      </c>
      <c r="Q8783" s="43">
        <f>IF($I8783=0,0,$Q8782+$P8783+$O8783)</f>
      </c>
      <c r="R8783" s="43">
        <f>IF($I8783=0,0,$J8783-$M8783-$N8783)</f>
      </c>
    </row>
    <row r="8784">
      <c r="A8784"/>
      <c r="B8784">
        <v>19</v>
      </c>
      <c r="C8784" s="43">
        <f>INDEX(DarlObj,19)</f>
      </c>
      <c r="D8784">
        <v>141</v>
      </c>
      <c r="E8784" s="51">
        <f>IF(INDEX(DarlBelegt,19)=0,0,EOMONTH(INDEX(DarlAuszahlung,19),140)+1)</f>
      </c>
      <c r="F8784" s="43">
        <f>IF($E8784=0,0,YEAR($E8784))</f>
      </c>
      <c r="G8784" s="43">
        <f>IF(INDEX(DarlBindung,19)="",1,IF($E8784&lt;=INDEX(DarlBindung,19),1,0))</f>
      </c>
      <c r="H8784" s="43">
        <f>IF($G8784=1,INDEX(DarlSollzins,19),INDEX(DarlAnschluss,19))</f>
      </c>
      <c r="I8784" s="43">
        <f>IF(INDEX(DarlBelegt,19)=0,0,IF(INDEX(DarlOhneTilgung,19)=1,IF(INDEX(DarlBindung,19)="",1,$G8784),IF($J8784&gt;0.005,1,0)))</f>
      </c>
      <c r="J8784" s="43">
        <f>IF($I8783=0,0,$R8783)</f>
      </c>
      <c r="K8784" s="43">
        <f>IF($I8784=0,0,IF(INDEX(DarlOhneTilgung,19)=1,0,IF(AND(INDEX(DarlTilgStart,19)&gt;0,$E8784=INDEX(DarlTilgStart,19)),$J8784*($H8784+INDEX(DarlTilgung,19))/100/12,IF(AND($G8784=0,$G8783=1),MAX($K8783,$J8784*($H8784+1)/100/12),$K8783))))</f>
      </c>
      <c r="L8784" s="43">
        <f>IF($I8784=0,0,$J8784*$H8784/100/12)</f>
      </c>
      <c r="M8784" s="43">
        <f>IF($I8784=0,0,IF(OR(INDEX(DarlOhneTilgung,19)=1,AND(INDEX(DarlTilgStart,19)&gt;0,$E8784&lt;INDEX(DarlTilgStart,19))),0,MIN(MAX(0,$K8784-$L8784),$J8784)))</f>
      </c>
      <c r="N8784" s="43">
        <f>IF($I8784=0,0,MIN(SUMIFS(SondBetrag,SondDarl,19,SondDatum,"&gt;="&amp;$E8784,SondDatum,"&lt;="&amp;EOMONTH($E8784,0)),$J8784-$M8784))</f>
      </c>
      <c r="O8784" s="43">
        <f>IF($I8784=0,0,INDEX(DarlErsatzRate,19))</f>
      </c>
      <c r="P8784" s="43">
        <f>IF($I8784=0,0,$Q8783*INDEX(DarlErsatzZins,19))</f>
      </c>
      <c r="Q8784" s="43">
        <f>IF($I8784=0,0,$Q8783+$P8784+$O8784)</f>
      </c>
      <c r="R8784" s="43">
        <f>IF($I8784=0,0,$J8784-$M8784-$N8784)</f>
      </c>
    </row>
    <row r="8785">
      <c r="A8785"/>
      <c r="B8785">
        <v>19</v>
      </c>
      <c r="C8785" s="43">
        <f>INDEX(DarlObj,19)</f>
      </c>
      <c r="D8785">
        <v>142</v>
      </c>
      <c r="E8785" s="51">
        <f>IF(INDEX(DarlBelegt,19)=0,0,EOMONTH(INDEX(DarlAuszahlung,19),141)+1)</f>
      </c>
      <c r="F8785" s="43">
        <f>IF($E8785=0,0,YEAR($E8785))</f>
      </c>
      <c r="G8785" s="43">
        <f>IF(INDEX(DarlBindung,19)="",1,IF($E8785&lt;=INDEX(DarlBindung,19),1,0))</f>
      </c>
      <c r="H8785" s="43">
        <f>IF($G8785=1,INDEX(DarlSollzins,19),INDEX(DarlAnschluss,19))</f>
      </c>
      <c r="I8785" s="43">
        <f>IF(INDEX(DarlBelegt,19)=0,0,IF(INDEX(DarlOhneTilgung,19)=1,IF(INDEX(DarlBindung,19)="",1,$G8785),IF($J8785&gt;0.005,1,0)))</f>
      </c>
      <c r="J8785" s="43">
        <f>IF($I8784=0,0,$R8784)</f>
      </c>
      <c r="K8785" s="43">
        <f>IF($I8785=0,0,IF(INDEX(DarlOhneTilgung,19)=1,0,IF(AND(INDEX(DarlTilgStart,19)&gt;0,$E8785=INDEX(DarlTilgStart,19)),$J8785*($H8785+INDEX(DarlTilgung,19))/100/12,IF(AND($G8785=0,$G8784=1),MAX($K8784,$J8785*($H8785+1)/100/12),$K8784))))</f>
      </c>
      <c r="L8785" s="43">
        <f>IF($I8785=0,0,$J8785*$H8785/100/12)</f>
      </c>
      <c r="M8785" s="43">
        <f>IF($I8785=0,0,IF(OR(INDEX(DarlOhneTilgung,19)=1,AND(INDEX(DarlTilgStart,19)&gt;0,$E8785&lt;INDEX(DarlTilgStart,19))),0,MIN(MAX(0,$K8785-$L8785),$J8785)))</f>
      </c>
      <c r="N8785" s="43">
        <f>IF($I8785=0,0,MIN(SUMIFS(SondBetrag,SondDarl,19,SondDatum,"&gt;="&amp;$E8785,SondDatum,"&lt;="&amp;EOMONTH($E8785,0)),$J8785-$M8785))</f>
      </c>
      <c r="O8785" s="43">
        <f>IF($I8785=0,0,INDEX(DarlErsatzRate,19))</f>
      </c>
      <c r="P8785" s="43">
        <f>IF($I8785=0,0,$Q8784*INDEX(DarlErsatzZins,19))</f>
      </c>
      <c r="Q8785" s="43">
        <f>IF($I8785=0,0,$Q8784+$P8785+$O8785)</f>
      </c>
      <c r="R8785" s="43">
        <f>IF($I8785=0,0,$J8785-$M8785-$N8785)</f>
      </c>
    </row>
    <row r="8786">
      <c r="A8786"/>
      <c r="B8786">
        <v>19</v>
      </c>
      <c r="C8786" s="43">
        <f>INDEX(DarlObj,19)</f>
      </c>
      <c r="D8786">
        <v>143</v>
      </c>
      <c r="E8786" s="51">
        <f>IF(INDEX(DarlBelegt,19)=0,0,EOMONTH(INDEX(DarlAuszahlung,19),142)+1)</f>
      </c>
      <c r="F8786" s="43">
        <f>IF($E8786=0,0,YEAR($E8786))</f>
      </c>
      <c r="G8786" s="43">
        <f>IF(INDEX(DarlBindung,19)="",1,IF($E8786&lt;=INDEX(DarlBindung,19),1,0))</f>
      </c>
      <c r="H8786" s="43">
        <f>IF($G8786=1,INDEX(DarlSollzins,19),INDEX(DarlAnschluss,19))</f>
      </c>
      <c r="I8786" s="43">
        <f>IF(INDEX(DarlBelegt,19)=0,0,IF(INDEX(DarlOhneTilgung,19)=1,IF(INDEX(DarlBindung,19)="",1,$G8786),IF($J8786&gt;0.005,1,0)))</f>
      </c>
      <c r="J8786" s="43">
        <f>IF($I8785=0,0,$R8785)</f>
      </c>
      <c r="K8786" s="43">
        <f>IF($I8786=0,0,IF(INDEX(DarlOhneTilgung,19)=1,0,IF(AND(INDEX(DarlTilgStart,19)&gt;0,$E8786=INDEX(DarlTilgStart,19)),$J8786*($H8786+INDEX(DarlTilgung,19))/100/12,IF(AND($G8786=0,$G8785=1),MAX($K8785,$J8786*($H8786+1)/100/12),$K8785))))</f>
      </c>
      <c r="L8786" s="43">
        <f>IF($I8786=0,0,$J8786*$H8786/100/12)</f>
      </c>
      <c r="M8786" s="43">
        <f>IF($I8786=0,0,IF(OR(INDEX(DarlOhneTilgung,19)=1,AND(INDEX(DarlTilgStart,19)&gt;0,$E8786&lt;INDEX(DarlTilgStart,19))),0,MIN(MAX(0,$K8786-$L8786),$J8786)))</f>
      </c>
      <c r="N8786" s="43">
        <f>IF($I8786=0,0,MIN(SUMIFS(SondBetrag,SondDarl,19,SondDatum,"&gt;="&amp;$E8786,SondDatum,"&lt;="&amp;EOMONTH($E8786,0)),$J8786-$M8786))</f>
      </c>
      <c r="O8786" s="43">
        <f>IF($I8786=0,0,INDEX(DarlErsatzRate,19))</f>
      </c>
      <c r="P8786" s="43">
        <f>IF($I8786=0,0,$Q8785*INDEX(DarlErsatzZins,19))</f>
      </c>
      <c r="Q8786" s="43">
        <f>IF($I8786=0,0,$Q8785+$P8786+$O8786)</f>
      </c>
      <c r="R8786" s="43">
        <f>IF($I8786=0,0,$J8786-$M8786-$N8786)</f>
      </c>
    </row>
    <row r="8787">
      <c r="A8787"/>
      <c r="B8787">
        <v>19</v>
      </c>
      <c r="C8787" s="43">
        <f>INDEX(DarlObj,19)</f>
      </c>
      <c r="D8787">
        <v>144</v>
      </c>
      <c r="E8787" s="51">
        <f>IF(INDEX(DarlBelegt,19)=0,0,EOMONTH(INDEX(DarlAuszahlung,19),143)+1)</f>
      </c>
      <c r="F8787" s="43">
        <f>IF($E8787=0,0,YEAR($E8787))</f>
      </c>
      <c r="G8787" s="43">
        <f>IF(INDEX(DarlBindung,19)="",1,IF($E8787&lt;=INDEX(DarlBindung,19),1,0))</f>
      </c>
      <c r="H8787" s="43">
        <f>IF($G8787=1,INDEX(DarlSollzins,19),INDEX(DarlAnschluss,19))</f>
      </c>
      <c r="I8787" s="43">
        <f>IF(INDEX(DarlBelegt,19)=0,0,IF(INDEX(DarlOhneTilgung,19)=1,IF(INDEX(DarlBindung,19)="",1,$G8787),IF($J8787&gt;0.005,1,0)))</f>
      </c>
      <c r="J8787" s="43">
        <f>IF($I8786=0,0,$R8786)</f>
      </c>
      <c r="K8787" s="43">
        <f>IF($I8787=0,0,IF(INDEX(DarlOhneTilgung,19)=1,0,IF(AND(INDEX(DarlTilgStart,19)&gt;0,$E8787=INDEX(DarlTilgStart,19)),$J8787*($H8787+INDEX(DarlTilgung,19))/100/12,IF(AND($G8787=0,$G8786=1),MAX($K8786,$J8787*($H8787+1)/100/12),$K8786))))</f>
      </c>
      <c r="L8787" s="43">
        <f>IF($I8787=0,0,$J8787*$H8787/100/12)</f>
      </c>
      <c r="M8787" s="43">
        <f>IF($I8787=0,0,IF(OR(INDEX(DarlOhneTilgung,19)=1,AND(INDEX(DarlTilgStart,19)&gt;0,$E8787&lt;INDEX(DarlTilgStart,19))),0,MIN(MAX(0,$K8787-$L8787),$J8787)))</f>
      </c>
      <c r="N8787" s="43">
        <f>IF($I8787=0,0,MIN(SUMIFS(SondBetrag,SondDarl,19,SondDatum,"&gt;="&amp;$E8787,SondDatum,"&lt;="&amp;EOMONTH($E8787,0)),$J8787-$M8787))</f>
      </c>
      <c r="O8787" s="43">
        <f>IF($I8787=0,0,INDEX(DarlErsatzRate,19))</f>
      </c>
      <c r="P8787" s="43">
        <f>IF($I8787=0,0,$Q8786*INDEX(DarlErsatzZins,19))</f>
      </c>
      <c r="Q8787" s="43">
        <f>IF($I8787=0,0,$Q8786+$P8787+$O8787)</f>
      </c>
      <c r="R8787" s="43">
        <f>IF($I8787=0,0,$J8787-$M8787-$N8787)</f>
      </c>
    </row>
    <row r="8788">
      <c r="A8788"/>
      <c r="B8788">
        <v>19</v>
      </c>
      <c r="C8788" s="43">
        <f>INDEX(DarlObj,19)</f>
      </c>
      <c r="D8788">
        <v>145</v>
      </c>
      <c r="E8788" s="51">
        <f>IF(INDEX(DarlBelegt,19)=0,0,EOMONTH(INDEX(DarlAuszahlung,19),144)+1)</f>
      </c>
      <c r="F8788" s="43">
        <f>IF($E8788=0,0,YEAR($E8788))</f>
      </c>
      <c r="G8788" s="43">
        <f>IF(INDEX(DarlBindung,19)="",1,IF($E8788&lt;=INDEX(DarlBindung,19),1,0))</f>
      </c>
      <c r="H8788" s="43">
        <f>IF($G8788=1,INDEX(DarlSollzins,19),INDEX(DarlAnschluss,19))</f>
      </c>
      <c r="I8788" s="43">
        <f>IF(INDEX(DarlBelegt,19)=0,0,IF(INDEX(DarlOhneTilgung,19)=1,IF(INDEX(DarlBindung,19)="",1,$G8788),IF($J8788&gt;0.005,1,0)))</f>
      </c>
      <c r="J8788" s="43">
        <f>IF($I8787=0,0,$R8787)</f>
      </c>
      <c r="K8788" s="43">
        <f>IF($I8788=0,0,IF(INDEX(DarlOhneTilgung,19)=1,0,IF(AND(INDEX(DarlTilgStart,19)&gt;0,$E8788=INDEX(DarlTilgStart,19)),$J8788*($H8788+INDEX(DarlTilgung,19))/100/12,IF(AND($G8788=0,$G8787=1),MAX($K8787,$J8788*($H8788+1)/100/12),$K8787))))</f>
      </c>
      <c r="L8788" s="43">
        <f>IF($I8788=0,0,$J8788*$H8788/100/12)</f>
      </c>
      <c r="M8788" s="43">
        <f>IF($I8788=0,0,IF(OR(INDEX(DarlOhneTilgung,19)=1,AND(INDEX(DarlTilgStart,19)&gt;0,$E8788&lt;INDEX(DarlTilgStart,19))),0,MIN(MAX(0,$K8788-$L8788),$J8788)))</f>
      </c>
      <c r="N8788" s="43">
        <f>IF($I8788=0,0,MIN(SUMIFS(SondBetrag,SondDarl,19,SondDatum,"&gt;="&amp;$E8788,SondDatum,"&lt;="&amp;EOMONTH($E8788,0)),$J8788-$M8788))</f>
      </c>
      <c r="O8788" s="43">
        <f>IF($I8788=0,0,INDEX(DarlErsatzRate,19))</f>
      </c>
      <c r="P8788" s="43">
        <f>IF($I8788=0,0,$Q8787*INDEX(DarlErsatzZins,19))</f>
      </c>
      <c r="Q8788" s="43">
        <f>IF($I8788=0,0,$Q8787+$P8788+$O8788)</f>
      </c>
      <c r="R8788" s="43">
        <f>IF($I8788=0,0,$J8788-$M8788-$N8788)</f>
      </c>
    </row>
    <row r="8789">
      <c r="A8789"/>
      <c r="B8789">
        <v>19</v>
      </c>
      <c r="C8789" s="43">
        <f>INDEX(DarlObj,19)</f>
      </c>
      <c r="D8789">
        <v>146</v>
      </c>
      <c r="E8789" s="51">
        <f>IF(INDEX(DarlBelegt,19)=0,0,EOMONTH(INDEX(DarlAuszahlung,19),145)+1)</f>
      </c>
      <c r="F8789" s="43">
        <f>IF($E8789=0,0,YEAR($E8789))</f>
      </c>
      <c r="G8789" s="43">
        <f>IF(INDEX(DarlBindung,19)="",1,IF($E8789&lt;=INDEX(DarlBindung,19),1,0))</f>
      </c>
      <c r="H8789" s="43">
        <f>IF($G8789=1,INDEX(DarlSollzins,19),INDEX(DarlAnschluss,19))</f>
      </c>
      <c r="I8789" s="43">
        <f>IF(INDEX(DarlBelegt,19)=0,0,IF(INDEX(DarlOhneTilgung,19)=1,IF(INDEX(DarlBindung,19)="",1,$G8789),IF($J8789&gt;0.005,1,0)))</f>
      </c>
      <c r="J8789" s="43">
        <f>IF($I8788=0,0,$R8788)</f>
      </c>
      <c r="K8789" s="43">
        <f>IF($I8789=0,0,IF(INDEX(DarlOhneTilgung,19)=1,0,IF(AND(INDEX(DarlTilgStart,19)&gt;0,$E8789=INDEX(DarlTilgStart,19)),$J8789*($H8789+INDEX(DarlTilgung,19))/100/12,IF(AND($G8789=0,$G8788=1),MAX($K8788,$J8789*($H8789+1)/100/12),$K8788))))</f>
      </c>
      <c r="L8789" s="43">
        <f>IF($I8789=0,0,$J8789*$H8789/100/12)</f>
      </c>
      <c r="M8789" s="43">
        <f>IF($I8789=0,0,IF(OR(INDEX(DarlOhneTilgung,19)=1,AND(INDEX(DarlTilgStart,19)&gt;0,$E8789&lt;INDEX(DarlTilgStart,19))),0,MIN(MAX(0,$K8789-$L8789),$J8789)))</f>
      </c>
      <c r="N8789" s="43">
        <f>IF($I8789=0,0,MIN(SUMIFS(SondBetrag,SondDarl,19,SondDatum,"&gt;="&amp;$E8789,SondDatum,"&lt;="&amp;EOMONTH($E8789,0)),$J8789-$M8789))</f>
      </c>
      <c r="O8789" s="43">
        <f>IF($I8789=0,0,INDEX(DarlErsatzRate,19))</f>
      </c>
      <c r="P8789" s="43">
        <f>IF($I8789=0,0,$Q8788*INDEX(DarlErsatzZins,19))</f>
      </c>
      <c r="Q8789" s="43">
        <f>IF($I8789=0,0,$Q8788+$P8789+$O8789)</f>
      </c>
      <c r="R8789" s="43">
        <f>IF($I8789=0,0,$J8789-$M8789-$N8789)</f>
      </c>
    </row>
    <row r="8790">
      <c r="A8790"/>
      <c r="B8790">
        <v>19</v>
      </c>
      <c r="C8790" s="43">
        <f>INDEX(DarlObj,19)</f>
      </c>
      <c r="D8790">
        <v>147</v>
      </c>
      <c r="E8790" s="51">
        <f>IF(INDEX(DarlBelegt,19)=0,0,EOMONTH(INDEX(DarlAuszahlung,19),146)+1)</f>
      </c>
      <c r="F8790" s="43">
        <f>IF($E8790=0,0,YEAR($E8790))</f>
      </c>
      <c r="G8790" s="43">
        <f>IF(INDEX(DarlBindung,19)="",1,IF($E8790&lt;=INDEX(DarlBindung,19),1,0))</f>
      </c>
      <c r="H8790" s="43">
        <f>IF($G8790=1,INDEX(DarlSollzins,19),INDEX(DarlAnschluss,19))</f>
      </c>
      <c r="I8790" s="43">
        <f>IF(INDEX(DarlBelegt,19)=0,0,IF(INDEX(DarlOhneTilgung,19)=1,IF(INDEX(DarlBindung,19)="",1,$G8790),IF($J8790&gt;0.005,1,0)))</f>
      </c>
      <c r="J8790" s="43">
        <f>IF($I8789=0,0,$R8789)</f>
      </c>
      <c r="K8790" s="43">
        <f>IF($I8790=0,0,IF(INDEX(DarlOhneTilgung,19)=1,0,IF(AND(INDEX(DarlTilgStart,19)&gt;0,$E8790=INDEX(DarlTilgStart,19)),$J8790*($H8790+INDEX(DarlTilgung,19))/100/12,IF(AND($G8790=0,$G8789=1),MAX($K8789,$J8790*($H8790+1)/100/12),$K8789))))</f>
      </c>
      <c r="L8790" s="43">
        <f>IF($I8790=0,0,$J8790*$H8790/100/12)</f>
      </c>
      <c r="M8790" s="43">
        <f>IF($I8790=0,0,IF(OR(INDEX(DarlOhneTilgung,19)=1,AND(INDEX(DarlTilgStart,19)&gt;0,$E8790&lt;INDEX(DarlTilgStart,19))),0,MIN(MAX(0,$K8790-$L8790),$J8790)))</f>
      </c>
      <c r="N8790" s="43">
        <f>IF($I8790=0,0,MIN(SUMIFS(SondBetrag,SondDarl,19,SondDatum,"&gt;="&amp;$E8790,SondDatum,"&lt;="&amp;EOMONTH($E8790,0)),$J8790-$M8790))</f>
      </c>
      <c r="O8790" s="43">
        <f>IF($I8790=0,0,INDEX(DarlErsatzRate,19))</f>
      </c>
      <c r="P8790" s="43">
        <f>IF($I8790=0,0,$Q8789*INDEX(DarlErsatzZins,19))</f>
      </c>
      <c r="Q8790" s="43">
        <f>IF($I8790=0,0,$Q8789+$P8790+$O8790)</f>
      </c>
      <c r="R8790" s="43">
        <f>IF($I8790=0,0,$J8790-$M8790-$N8790)</f>
      </c>
    </row>
    <row r="8791">
      <c r="A8791"/>
      <c r="B8791">
        <v>19</v>
      </c>
      <c r="C8791" s="43">
        <f>INDEX(DarlObj,19)</f>
      </c>
      <c r="D8791">
        <v>148</v>
      </c>
      <c r="E8791" s="51">
        <f>IF(INDEX(DarlBelegt,19)=0,0,EOMONTH(INDEX(DarlAuszahlung,19),147)+1)</f>
      </c>
      <c r="F8791" s="43">
        <f>IF($E8791=0,0,YEAR($E8791))</f>
      </c>
      <c r="G8791" s="43">
        <f>IF(INDEX(DarlBindung,19)="",1,IF($E8791&lt;=INDEX(DarlBindung,19),1,0))</f>
      </c>
      <c r="H8791" s="43">
        <f>IF($G8791=1,INDEX(DarlSollzins,19),INDEX(DarlAnschluss,19))</f>
      </c>
      <c r="I8791" s="43">
        <f>IF(INDEX(DarlBelegt,19)=0,0,IF(INDEX(DarlOhneTilgung,19)=1,IF(INDEX(DarlBindung,19)="",1,$G8791),IF($J8791&gt;0.005,1,0)))</f>
      </c>
      <c r="J8791" s="43">
        <f>IF($I8790=0,0,$R8790)</f>
      </c>
      <c r="K8791" s="43">
        <f>IF($I8791=0,0,IF(INDEX(DarlOhneTilgung,19)=1,0,IF(AND(INDEX(DarlTilgStart,19)&gt;0,$E8791=INDEX(DarlTilgStart,19)),$J8791*($H8791+INDEX(DarlTilgung,19))/100/12,IF(AND($G8791=0,$G8790=1),MAX($K8790,$J8791*($H8791+1)/100/12),$K8790))))</f>
      </c>
      <c r="L8791" s="43">
        <f>IF($I8791=0,0,$J8791*$H8791/100/12)</f>
      </c>
      <c r="M8791" s="43">
        <f>IF($I8791=0,0,IF(OR(INDEX(DarlOhneTilgung,19)=1,AND(INDEX(DarlTilgStart,19)&gt;0,$E8791&lt;INDEX(DarlTilgStart,19))),0,MIN(MAX(0,$K8791-$L8791),$J8791)))</f>
      </c>
      <c r="N8791" s="43">
        <f>IF($I8791=0,0,MIN(SUMIFS(SondBetrag,SondDarl,19,SondDatum,"&gt;="&amp;$E8791,SondDatum,"&lt;="&amp;EOMONTH($E8791,0)),$J8791-$M8791))</f>
      </c>
      <c r="O8791" s="43">
        <f>IF($I8791=0,0,INDEX(DarlErsatzRate,19))</f>
      </c>
      <c r="P8791" s="43">
        <f>IF($I8791=0,0,$Q8790*INDEX(DarlErsatzZins,19))</f>
      </c>
      <c r="Q8791" s="43">
        <f>IF($I8791=0,0,$Q8790+$P8791+$O8791)</f>
      </c>
      <c r="R8791" s="43">
        <f>IF($I8791=0,0,$J8791-$M8791-$N8791)</f>
      </c>
    </row>
    <row r="8792">
      <c r="A8792"/>
      <c r="B8792">
        <v>19</v>
      </c>
      <c r="C8792" s="43">
        <f>INDEX(DarlObj,19)</f>
      </c>
      <c r="D8792">
        <v>149</v>
      </c>
      <c r="E8792" s="51">
        <f>IF(INDEX(DarlBelegt,19)=0,0,EOMONTH(INDEX(DarlAuszahlung,19),148)+1)</f>
      </c>
      <c r="F8792" s="43">
        <f>IF($E8792=0,0,YEAR($E8792))</f>
      </c>
      <c r="G8792" s="43">
        <f>IF(INDEX(DarlBindung,19)="",1,IF($E8792&lt;=INDEX(DarlBindung,19),1,0))</f>
      </c>
      <c r="H8792" s="43">
        <f>IF($G8792=1,INDEX(DarlSollzins,19),INDEX(DarlAnschluss,19))</f>
      </c>
      <c r="I8792" s="43">
        <f>IF(INDEX(DarlBelegt,19)=0,0,IF(INDEX(DarlOhneTilgung,19)=1,IF(INDEX(DarlBindung,19)="",1,$G8792),IF($J8792&gt;0.005,1,0)))</f>
      </c>
      <c r="J8792" s="43">
        <f>IF($I8791=0,0,$R8791)</f>
      </c>
      <c r="K8792" s="43">
        <f>IF($I8792=0,0,IF(INDEX(DarlOhneTilgung,19)=1,0,IF(AND(INDEX(DarlTilgStart,19)&gt;0,$E8792=INDEX(DarlTilgStart,19)),$J8792*($H8792+INDEX(DarlTilgung,19))/100/12,IF(AND($G8792=0,$G8791=1),MAX($K8791,$J8792*($H8792+1)/100/12),$K8791))))</f>
      </c>
      <c r="L8792" s="43">
        <f>IF($I8792=0,0,$J8792*$H8792/100/12)</f>
      </c>
      <c r="M8792" s="43">
        <f>IF($I8792=0,0,IF(OR(INDEX(DarlOhneTilgung,19)=1,AND(INDEX(DarlTilgStart,19)&gt;0,$E8792&lt;INDEX(DarlTilgStart,19))),0,MIN(MAX(0,$K8792-$L8792),$J8792)))</f>
      </c>
      <c r="N8792" s="43">
        <f>IF($I8792=0,0,MIN(SUMIFS(SondBetrag,SondDarl,19,SondDatum,"&gt;="&amp;$E8792,SondDatum,"&lt;="&amp;EOMONTH($E8792,0)),$J8792-$M8792))</f>
      </c>
      <c r="O8792" s="43">
        <f>IF($I8792=0,0,INDEX(DarlErsatzRate,19))</f>
      </c>
      <c r="P8792" s="43">
        <f>IF($I8792=0,0,$Q8791*INDEX(DarlErsatzZins,19))</f>
      </c>
      <c r="Q8792" s="43">
        <f>IF($I8792=0,0,$Q8791+$P8792+$O8792)</f>
      </c>
      <c r="R8792" s="43">
        <f>IF($I8792=0,0,$J8792-$M8792-$N8792)</f>
      </c>
    </row>
    <row r="8793">
      <c r="A8793"/>
      <c r="B8793">
        <v>19</v>
      </c>
      <c r="C8793" s="43">
        <f>INDEX(DarlObj,19)</f>
      </c>
      <c r="D8793">
        <v>150</v>
      </c>
      <c r="E8793" s="51">
        <f>IF(INDEX(DarlBelegt,19)=0,0,EOMONTH(INDEX(DarlAuszahlung,19),149)+1)</f>
      </c>
      <c r="F8793" s="43">
        <f>IF($E8793=0,0,YEAR($E8793))</f>
      </c>
      <c r="G8793" s="43">
        <f>IF(INDEX(DarlBindung,19)="",1,IF($E8793&lt;=INDEX(DarlBindung,19),1,0))</f>
      </c>
      <c r="H8793" s="43">
        <f>IF($G8793=1,INDEX(DarlSollzins,19),INDEX(DarlAnschluss,19))</f>
      </c>
      <c r="I8793" s="43">
        <f>IF(INDEX(DarlBelegt,19)=0,0,IF(INDEX(DarlOhneTilgung,19)=1,IF(INDEX(DarlBindung,19)="",1,$G8793),IF($J8793&gt;0.005,1,0)))</f>
      </c>
      <c r="J8793" s="43">
        <f>IF($I8792=0,0,$R8792)</f>
      </c>
      <c r="K8793" s="43">
        <f>IF($I8793=0,0,IF(INDEX(DarlOhneTilgung,19)=1,0,IF(AND(INDEX(DarlTilgStart,19)&gt;0,$E8793=INDEX(DarlTilgStart,19)),$J8793*($H8793+INDEX(DarlTilgung,19))/100/12,IF(AND($G8793=0,$G8792=1),MAX($K8792,$J8793*($H8793+1)/100/12),$K8792))))</f>
      </c>
      <c r="L8793" s="43">
        <f>IF($I8793=0,0,$J8793*$H8793/100/12)</f>
      </c>
      <c r="M8793" s="43">
        <f>IF($I8793=0,0,IF(OR(INDEX(DarlOhneTilgung,19)=1,AND(INDEX(DarlTilgStart,19)&gt;0,$E8793&lt;INDEX(DarlTilgStart,19))),0,MIN(MAX(0,$K8793-$L8793),$J8793)))</f>
      </c>
      <c r="N8793" s="43">
        <f>IF($I8793=0,0,MIN(SUMIFS(SondBetrag,SondDarl,19,SondDatum,"&gt;="&amp;$E8793,SondDatum,"&lt;="&amp;EOMONTH($E8793,0)),$J8793-$M8793))</f>
      </c>
      <c r="O8793" s="43">
        <f>IF($I8793=0,0,INDEX(DarlErsatzRate,19))</f>
      </c>
      <c r="P8793" s="43">
        <f>IF($I8793=0,0,$Q8792*INDEX(DarlErsatzZins,19))</f>
      </c>
      <c r="Q8793" s="43">
        <f>IF($I8793=0,0,$Q8792+$P8793+$O8793)</f>
      </c>
      <c r="R8793" s="43">
        <f>IF($I8793=0,0,$J8793-$M8793-$N8793)</f>
      </c>
    </row>
    <row r="8794">
      <c r="A8794"/>
      <c r="B8794">
        <v>19</v>
      </c>
      <c r="C8794" s="43">
        <f>INDEX(DarlObj,19)</f>
      </c>
      <c r="D8794">
        <v>151</v>
      </c>
      <c r="E8794" s="51">
        <f>IF(INDEX(DarlBelegt,19)=0,0,EOMONTH(INDEX(DarlAuszahlung,19),150)+1)</f>
      </c>
      <c r="F8794" s="43">
        <f>IF($E8794=0,0,YEAR($E8794))</f>
      </c>
      <c r="G8794" s="43">
        <f>IF(INDEX(DarlBindung,19)="",1,IF($E8794&lt;=INDEX(DarlBindung,19),1,0))</f>
      </c>
      <c r="H8794" s="43">
        <f>IF($G8794=1,INDEX(DarlSollzins,19),INDEX(DarlAnschluss,19))</f>
      </c>
      <c r="I8794" s="43">
        <f>IF(INDEX(DarlBelegt,19)=0,0,IF(INDEX(DarlOhneTilgung,19)=1,IF(INDEX(DarlBindung,19)="",1,$G8794),IF($J8794&gt;0.005,1,0)))</f>
      </c>
      <c r="J8794" s="43">
        <f>IF($I8793=0,0,$R8793)</f>
      </c>
      <c r="K8794" s="43">
        <f>IF($I8794=0,0,IF(INDEX(DarlOhneTilgung,19)=1,0,IF(AND(INDEX(DarlTilgStart,19)&gt;0,$E8794=INDEX(DarlTilgStart,19)),$J8794*($H8794+INDEX(DarlTilgung,19))/100/12,IF(AND($G8794=0,$G8793=1),MAX($K8793,$J8794*($H8794+1)/100/12),$K8793))))</f>
      </c>
      <c r="L8794" s="43">
        <f>IF($I8794=0,0,$J8794*$H8794/100/12)</f>
      </c>
      <c r="M8794" s="43">
        <f>IF($I8794=0,0,IF(OR(INDEX(DarlOhneTilgung,19)=1,AND(INDEX(DarlTilgStart,19)&gt;0,$E8794&lt;INDEX(DarlTilgStart,19))),0,MIN(MAX(0,$K8794-$L8794),$J8794)))</f>
      </c>
      <c r="N8794" s="43">
        <f>IF($I8794=0,0,MIN(SUMIFS(SondBetrag,SondDarl,19,SondDatum,"&gt;="&amp;$E8794,SondDatum,"&lt;="&amp;EOMONTH($E8794,0)),$J8794-$M8794))</f>
      </c>
      <c r="O8794" s="43">
        <f>IF($I8794=0,0,INDEX(DarlErsatzRate,19))</f>
      </c>
      <c r="P8794" s="43">
        <f>IF($I8794=0,0,$Q8793*INDEX(DarlErsatzZins,19))</f>
      </c>
      <c r="Q8794" s="43">
        <f>IF($I8794=0,0,$Q8793+$P8794+$O8794)</f>
      </c>
      <c r="R8794" s="43">
        <f>IF($I8794=0,0,$J8794-$M8794-$N8794)</f>
      </c>
    </row>
    <row r="8795">
      <c r="A8795"/>
      <c r="B8795">
        <v>19</v>
      </c>
      <c r="C8795" s="43">
        <f>INDEX(DarlObj,19)</f>
      </c>
      <c r="D8795">
        <v>152</v>
      </c>
      <c r="E8795" s="51">
        <f>IF(INDEX(DarlBelegt,19)=0,0,EOMONTH(INDEX(DarlAuszahlung,19),151)+1)</f>
      </c>
      <c r="F8795" s="43">
        <f>IF($E8795=0,0,YEAR($E8795))</f>
      </c>
      <c r="G8795" s="43">
        <f>IF(INDEX(DarlBindung,19)="",1,IF($E8795&lt;=INDEX(DarlBindung,19),1,0))</f>
      </c>
      <c r="H8795" s="43">
        <f>IF($G8795=1,INDEX(DarlSollzins,19),INDEX(DarlAnschluss,19))</f>
      </c>
      <c r="I8795" s="43">
        <f>IF(INDEX(DarlBelegt,19)=0,0,IF(INDEX(DarlOhneTilgung,19)=1,IF(INDEX(DarlBindung,19)="",1,$G8795),IF($J8795&gt;0.005,1,0)))</f>
      </c>
      <c r="J8795" s="43">
        <f>IF($I8794=0,0,$R8794)</f>
      </c>
      <c r="K8795" s="43">
        <f>IF($I8795=0,0,IF(INDEX(DarlOhneTilgung,19)=1,0,IF(AND(INDEX(DarlTilgStart,19)&gt;0,$E8795=INDEX(DarlTilgStart,19)),$J8795*($H8795+INDEX(DarlTilgung,19))/100/12,IF(AND($G8795=0,$G8794=1),MAX($K8794,$J8795*($H8795+1)/100/12),$K8794))))</f>
      </c>
      <c r="L8795" s="43">
        <f>IF($I8795=0,0,$J8795*$H8795/100/12)</f>
      </c>
      <c r="M8795" s="43">
        <f>IF($I8795=0,0,IF(OR(INDEX(DarlOhneTilgung,19)=1,AND(INDEX(DarlTilgStart,19)&gt;0,$E8795&lt;INDEX(DarlTilgStart,19))),0,MIN(MAX(0,$K8795-$L8795),$J8795)))</f>
      </c>
      <c r="N8795" s="43">
        <f>IF($I8795=0,0,MIN(SUMIFS(SondBetrag,SondDarl,19,SondDatum,"&gt;="&amp;$E8795,SondDatum,"&lt;="&amp;EOMONTH($E8795,0)),$J8795-$M8795))</f>
      </c>
      <c r="O8795" s="43">
        <f>IF($I8795=0,0,INDEX(DarlErsatzRate,19))</f>
      </c>
      <c r="P8795" s="43">
        <f>IF($I8795=0,0,$Q8794*INDEX(DarlErsatzZins,19))</f>
      </c>
      <c r="Q8795" s="43">
        <f>IF($I8795=0,0,$Q8794+$P8795+$O8795)</f>
      </c>
      <c r="R8795" s="43">
        <f>IF($I8795=0,0,$J8795-$M8795-$N8795)</f>
      </c>
    </row>
    <row r="8796">
      <c r="A8796"/>
      <c r="B8796">
        <v>19</v>
      </c>
      <c r="C8796" s="43">
        <f>INDEX(DarlObj,19)</f>
      </c>
      <c r="D8796">
        <v>153</v>
      </c>
      <c r="E8796" s="51">
        <f>IF(INDEX(DarlBelegt,19)=0,0,EOMONTH(INDEX(DarlAuszahlung,19),152)+1)</f>
      </c>
      <c r="F8796" s="43">
        <f>IF($E8796=0,0,YEAR($E8796))</f>
      </c>
      <c r="G8796" s="43">
        <f>IF(INDEX(DarlBindung,19)="",1,IF($E8796&lt;=INDEX(DarlBindung,19),1,0))</f>
      </c>
      <c r="H8796" s="43">
        <f>IF($G8796=1,INDEX(DarlSollzins,19),INDEX(DarlAnschluss,19))</f>
      </c>
      <c r="I8796" s="43">
        <f>IF(INDEX(DarlBelegt,19)=0,0,IF(INDEX(DarlOhneTilgung,19)=1,IF(INDEX(DarlBindung,19)="",1,$G8796),IF($J8796&gt;0.005,1,0)))</f>
      </c>
      <c r="J8796" s="43">
        <f>IF($I8795=0,0,$R8795)</f>
      </c>
      <c r="K8796" s="43">
        <f>IF($I8796=0,0,IF(INDEX(DarlOhneTilgung,19)=1,0,IF(AND(INDEX(DarlTilgStart,19)&gt;0,$E8796=INDEX(DarlTilgStart,19)),$J8796*($H8796+INDEX(DarlTilgung,19))/100/12,IF(AND($G8796=0,$G8795=1),MAX($K8795,$J8796*($H8796+1)/100/12),$K8795))))</f>
      </c>
      <c r="L8796" s="43">
        <f>IF($I8796=0,0,$J8796*$H8796/100/12)</f>
      </c>
      <c r="M8796" s="43">
        <f>IF($I8796=0,0,IF(OR(INDEX(DarlOhneTilgung,19)=1,AND(INDEX(DarlTilgStart,19)&gt;0,$E8796&lt;INDEX(DarlTilgStart,19))),0,MIN(MAX(0,$K8796-$L8796),$J8796)))</f>
      </c>
      <c r="N8796" s="43">
        <f>IF($I8796=0,0,MIN(SUMIFS(SondBetrag,SondDarl,19,SondDatum,"&gt;="&amp;$E8796,SondDatum,"&lt;="&amp;EOMONTH($E8796,0)),$J8796-$M8796))</f>
      </c>
      <c r="O8796" s="43">
        <f>IF($I8796=0,0,INDEX(DarlErsatzRate,19))</f>
      </c>
      <c r="P8796" s="43">
        <f>IF($I8796=0,0,$Q8795*INDEX(DarlErsatzZins,19))</f>
      </c>
      <c r="Q8796" s="43">
        <f>IF($I8796=0,0,$Q8795+$P8796+$O8796)</f>
      </c>
      <c r="R8796" s="43">
        <f>IF($I8796=0,0,$J8796-$M8796-$N8796)</f>
      </c>
    </row>
    <row r="8797">
      <c r="A8797"/>
      <c r="B8797">
        <v>19</v>
      </c>
      <c r="C8797" s="43">
        <f>INDEX(DarlObj,19)</f>
      </c>
      <c r="D8797">
        <v>154</v>
      </c>
      <c r="E8797" s="51">
        <f>IF(INDEX(DarlBelegt,19)=0,0,EOMONTH(INDEX(DarlAuszahlung,19),153)+1)</f>
      </c>
      <c r="F8797" s="43">
        <f>IF($E8797=0,0,YEAR($E8797))</f>
      </c>
      <c r="G8797" s="43">
        <f>IF(INDEX(DarlBindung,19)="",1,IF($E8797&lt;=INDEX(DarlBindung,19),1,0))</f>
      </c>
      <c r="H8797" s="43">
        <f>IF($G8797=1,INDEX(DarlSollzins,19),INDEX(DarlAnschluss,19))</f>
      </c>
      <c r="I8797" s="43">
        <f>IF(INDEX(DarlBelegt,19)=0,0,IF(INDEX(DarlOhneTilgung,19)=1,IF(INDEX(DarlBindung,19)="",1,$G8797),IF($J8797&gt;0.005,1,0)))</f>
      </c>
      <c r="J8797" s="43">
        <f>IF($I8796=0,0,$R8796)</f>
      </c>
      <c r="K8797" s="43">
        <f>IF($I8797=0,0,IF(INDEX(DarlOhneTilgung,19)=1,0,IF(AND(INDEX(DarlTilgStart,19)&gt;0,$E8797=INDEX(DarlTilgStart,19)),$J8797*($H8797+INDEX(DarlTilgung,19))/100/12,IF(AND($G8797=0,$G8796=1),MAX($K8796,$J8797*($H8797+1)/100/12),$K8796))))</f>
      </c>
      <c r="L8797" s="43">
        <f>IF($I8797=0,0,$J8797*$H8797/100/12)</f>
      </c>
      <c r="M8797" s="43">
        <f>IF($I8797=0,0,IF(OR(INDEX(DarlOhneTilgung,19)=1,AND(INDEX(DarlTilgStart,19)&gt;0,$E8797&lt;INDEX(DarlTilgStart,19))),0,MIN(MAX(0,$K8797-$L8797),$J8797)))</f>
      </c>
      <c r="N8797" s="43">
        <f>IF($I8797=0,0,MIN(SUMIFS(SondBetrag,SondDarl,19,SondDatum,"&gt;="&amp;$E8797,SondDatum,"&lt;="&amp;EOMONTH($E8797,0)),$J8797-$M8797))</f>
      </c>
      <c r="O8797" s="43">
        <f>IF($I8797=0,0,INDEX(DarlErsatzRate,19))</f>
      </c>
      <c r="P8797" s="43">
        <f>IF($I8797=0,0,$Q8796*INDEX(DarlErsatzZins,19))</f>
      </c>
      <c r="Q8797" s="43">
        <f>IF($I8797=0,0,$Q8796+$P8797+$O8797)</f>
      </c>
      <c r="R8797" s="43">
        <f>IF($I8797=0,0,$J8797-$M8797-$N8797)</f>
      </c>
    </row>
    <row r="8798">
      <c r="A8798"/>
      <c r="B8798">
        <v>19</v>
      </c>
      <c r="C8798" s="43">
        <f>INDEX(DarlObj,19)</f>
      </c>
      <c r="D8798">
        <v>155</v>
      </c>
      <c r="E8798" s="51">
        <f>IF(INDEX(DarlBelegt,19)=0,0,EOMONTH(INDEX(DarlAuszahlung,19),154)+1)</f>
      </c>
      <c r="F8798" s="43">
        <f>IF($E8798=0,0,YEAR($E8798))</f>
      </c>
      <c r="G8798" s="43">
        <f>IF(INDEX(DarlBindung,19)="",1,IF($E8798&lt;=INDEX(DarlBindung,19),1,0))</f>
      </c>
      <c r="H8798" s="43">
        <f>IF($G8798=1,INDEX(DarlSollzins,19),INDEX(DarlAnschluss,19))</f>
      </c>
      <c r="I8798" s="43">
        <f>IF(INDEX(DarlBelegt,19)=0,0,IF(INDEX(DarlOhneTilgung,19)=1,IF(INDEX(DarlBindung,19)="",1,$G8798),IF($J8798&gt;0.005,1,0)))</f>
      </c>
      <c r="J8798" s="43">
        <f>IF($I8797=0,0,$R8797)</f>
      </c>
      <c r="K8798" s="43">
        <f>IF($I8798=0,0,IF(INDEX(DarlOhneTilgung,19)=1,0,IF(AND(INDEX(DarlTilgStart,19)&gt;0,$E8798=INDEX(DarlTilgStart,19)),$J8798*($H8798+INDEX(DarlTilgung,19))/100/12,IF(AND($G8798=0,$G8797=1),MAX($K8797,$J8798*($H8798+1)/100/12),$K8797))))</f>
      </c>
      <c r="L8798" s="43">
        <f>IF($I8798=0,0,$J8798*$H8798/100/12)</f>
      </c>
      <c r="M8798" s="43">
        <f>IF($I8798=0,0,IF(OR(INDEX(DarlOhneTilgung,19)=1,AND(INDEX(DarlTilgStart,19)&gt;0,$E8798&lt;INDEX(DarlTilgStart,19))),0,MIN(MAX(0,$K8798-$L8798),$J8798)))</f>
      </c>
      <c r="N8798" s="43">
        <f>IF($I8798=0,0,MIN(SUMIFS(SondBetrag,SondDarl,19,SondDatum,"&gt;="&amp;$E8798,SondDatum,"&lt;="&amp;EOMONTH($E8798,0)),$J8798-$M8798))</f>
      </c>
      <c r="O8798" s="43">
        <f>IF($I8798=0,0,INDEX(DarlErsatzRate,19))</f>
      </c>
      <c r="P8798" s="43">
        <f>IF($I8798=0,0,$Q8797*INDEX(DarlErsatzZins,19))</f>
      </c>
      <c r="Q8798" s="43">
        <f>IF($I8798=0,0,$Q8797+$P8798+$O8798)</f>
      </c>
      <c r="R8798" s="43">
        <f>IF($I8798=0,0,$J8798-$M8798-$N8798)</f>
      </c>
    </row>
    <row r="8799">
      <c r="A8799"/>
      <c r="B8799">
        <v>19</v>
      </c>
      <c r="C8799" s="43">
        <f>INDEX(DarlObj,19)</f>
      </c>
      <c r="D8799">
        <v>156</v>
      </c>
      <c r="E8799" s="51">
        <f>IF(INDEX(DarlBelegt,19)=0,0,EOMONTH(INDEX(DarlAuszahlung,19),155)+1)</f>
      </c>
      <c r="F8799" s="43">
        <f>IF($E8799=0,0,YEAR($E8799))</f>
      </c>
      <c r="G8799" s="43">
        <f>IF(INDEX(DarlBindung,19)="",1,IF($E8799&lt;=INDEX(DarlBindung,19),1,0))</f>
      </c>
      <c r="H8799" s="43">
        <f>IF($G8799=1,INDEX(DarlSollzins,19),INDEX(DarlAnschluss,19))</f>
      </c>
      <c r="I8799" s="43">
        <f>IF(INDEX(DarlBelegt,19)=0,0,IF(INDEX(DarlOhneTilgung,19)=1,IF(INDEX(DarlBindung,19)="",1,$G8799),IF($J8799&gt;0.005,1,0)))</f>
      </c>
      <c r="J8799" s="43">
        <f>IF($I8798=0,0,$R8798)</f>
      </c>
      <c r="K8799" s="43">
        <f>IF($I8799=0,0,IF(INDEX(DarlOhneTilgung,19)=1,0,IF(AND(INDEX(DarlTilgStart,19)&gt;0,$E8799=INDEX(DarlTilgStart,19)),$J8799*($H8799+INDEX(DarlTilgung,19))/100/12,IF(AND($G8799=0,$G8798=1),MAX($K8798,$J8799*($H8799+1)/100/12),$K8798))))</f>
      </c>
      <c r="L8799" s="43">
        <f>IF($I8799=0,0,$J8799*$H8799/100/12)</f>
      </c>
      <c r="M8799" s="43">
        <f>IF($I8799=0,0,IF(OR(INDEX(DarlOhneTilgung,19)=1,AND(INDEX(DarlTilgStart,19)&gt;0,$E8799&lt;INDEX(DarlTilgStart,19))),0,MIN(MAX(0,$K8799-$L8799),$J8799)))</f>
      </c>
      <c r="N8799" s="43">
        <f>IF($I8799=0,0,MIN(SUMIFS(SondBetrag,SondDarl,19,SondDatum,"&gt;="&amp;$E8799,SondDatum,"&lt;="&amp;EOMONTH($E8799,0)),$J8799-$M8799))</f>
      </c>
      <c r="O8799" s="43">
        <f>IF($I8799=0,0,INDEX(DarlErsatzRate,19))</f>
      </c>
      <c r="P8799" s="43">
        <f>IF($I8799=0,0,$Q8798*INDEX(DarlErsatzZins,19))</f>
      </c>
      <c r="Q8799" s="43">
        <f>IF($I8799=0,0,$Q8798+$P8799+$O8799)</f>
      </c>
      <c r="R8799" s="43">
        <f>IF($I8799=0,0,$J8799-$M8799-$N8799)</f>
      </c>
    </row>
    <row r="8800">
      <c r="A8800"/>
      <c r="B8800">
        <v>19</v>
      </c>
      <c r="C8800" s="43">
        <f>INDEX(DarlObj,19)</f>
      </c>
      <c r="D8800">
        <v>157</v>
      </c>
      <c r="E8800" s="51">
        <f>IF(INDEX(DarlBelegt,19)=0,0,EOMONTH(INDEX(DarlAuszahlung,19),156)+1)</f>
      </c>
      <c r="F8800" s="43">
        <f>IF($E8800=0,0,YEAR($E8800))</f>
      </c>
      <c r="G8800" s="43">
        <f>IF(INDEX(DarlBindung,19)="",1,IF($E8800&lt;=INDEX(DarlBindung,19),1,0))</f>
      </c>
      <c r="H8800" s="43">
        <f>IF($G8800=1,INDEX(DarlSollzins,19),INDEX(DarlAnschluss,19))</f>
      </c>
      <c r="I8800" s="43">
        <f>IF(INDEX(DarlBelegt,19)=0,0,IF(INDEX(DarlOhneTilgung,19)=1,IF(INDEX(DarlBindung,19)="",1,$G8800),IF($J8800&gt;0.005,1,0)))</f>
      </c>
      <c r="J8800" s="43">
        <f>IF($I8799=0,0,$R8799)</f>
      </c>
      <c r="K8800" s="43">
        <f>IF($I8800=0,0,IF(INDEX(DarlOhneTilgung,19)=1,0,IF(AND(INDEX(DarlTilgStart,19)&gt;0,$E8800=INDEX(DarlTilgStart,19)),$J8800*($H8800+INDEX(DarlTilgung,19))/100/12,IF(AND($G8800=0,$G8799=1),MAX($K8799,$J8800*($H8800+1)/100/12),$K8799))))</f>
      </c>
      <c r="L8800" s="43">
        <f>IF($I8800=0,0,$J8800*$H8800/100/12)</f>
      </c>
      <c r="M8800" s="43">
        <f>IF($I8800=0,0,IF(OR(INDEX(DarlOhneTilgung,19)=1,AND(INDEX(DarlTilgStart,19)&gt;0,$E8800&lt;INDEX(DarlTilgStart,19))),0,MIN(MAX(0,$K8800-$L8800),$J8800)))</f>
      </c>
      <c r="N8800" s="43">
        <f>IF($I8800=0,0,MIN(SUMIFS(SondBetrag,SondDarl,19,SondDatum,"&gt;="&amp;$E8800,SondDatum,"&lt;="&amp;EOMONTH($E8800,0)),$J8800-$M8800))</f>
      </c>
      <c r="O8800" s="43">
        <f>IF($I8800=0,0,INDEX(DarlErsatzRate,19))</f>
      </c>
      <c r="P8800" s="43">
        <f>IF($I8800=0,0,$Q8799*INDEX(DarlErsatzZins,19))</f>
      </c>
      <c r="Q8800" s="43">
        <f>IF($I8800=0,0,$Q8799+$P8800+$O8800)</f>
      </c>
      <c r="R8800" s="43">
        <f>IF($I8800=0,0,$J8800-$M8800-$N8800)</f>
      </c>
    </row>
    <row r="8801">
      <c r="A8801"/>
      <c r="B8801">
        <v>19</v>
      </c>
      <c r="C8801" s="43">
        <f>INDEX(DarlObj,19)</f>
      </c>
      <c r="D8801">
        <v>158</v>
      </c>
      <c r="E8801" s="51">
        <f>IF(INDEX(DarlBelegt,19)=0,0,EOMONTH(INDEX(DarlAuszahlung,19),157)+1)</f>
      </c>
      <c r="F8801" s="43">
        <f>IF($E8801=0,0,YEAR($E8801))</f>
      </c>
      <c r="G8801" s="43">
        <f>IF(INDEX(DarlBindung,19)="",1,IF($E8801&lt;=INDEX(DarlBindung,19),1,0))</f>
      </c>
      <c r="H8801" s="43">
        <f>IF($G8801=1,INDEX(DarlSollzins,19),INDEX(DarlAnschluss,19))</f>
      </c>
      <c r="I8801" s="43">
        <f>IF(INDEX(DarlBelegt,19)=0,0,IF(INDEX(DarlOhneTilgung,19)=1,IF(INDEX(DarlBindung,19)="",1,$G8801),IF($J8801&gt;0.005,1,0)))</f>
      </c>
      <c r="J8801" s="43">
        <f>IF($I8800=0,0,$R8800)</f>
      </c>
      <c r="K8801" s="43">
        <f>IF($I8801=0,0,IF(INDEX(DarlOhneTilgung,19)=1,0,IF(AND(INDEX(DarlTilgStart,19)&gt;0,$E8801=INDEX(DarlTilgStart,19)),$J8801*($H8801+INDEX(DarlTilgung,19))/100/12,IF(AND($G8801=0,$G8800=1),MAX($K8800,$J8801*($H8801+1)/100/12),$K8800))))</f>
      </c>
      <c r="L8801" s="43">
        <f>IF($I8801=0,0,$J8801*$H8801/100/12)</f>
      </c>
      <c r="M8801" s="43">
        <f>IF($I8801=0,0,IF(OR(INDEX(DarlOhneTilgung,19)=1,AND(INDEX(DarlTilgStart,19)&gt;0,$E8801&lt;INDEX(DarlTilgStart,19))),0,MIN(MAX(0,$K8801-$L8801),$J8801)))</f>
      </c>
      <c r="N8801" s="43">
        <f>IF($I8801=0,0,MIN(SUMIFS(SondBetrag,SondDarl,19,SondDatum,"&gt;="&amp;$E8801,SondDatum,"&lt;="&amp;EOMONTH($E8801,0)),$J8801-$M8801))</f>
      </c>
      <c r="O8801" s="43">
        <f>IF($I8801=0,0,INDEX(DarlErsatzRate,19))</f>
      </c>
      <c r="P8801" s="43">
        <f>IF($I8801=0,0,$Q8800*INDEX(DarlErsatzZins,19))</f>
      </c>
      <c r="Q8801" s="43">
        <f>IF($I8801=0,0,$Q8800+$P8801+$O8801)</f>
      </c>
      <c r="R8801" s="43">
        <f>IF($I8801=0,0,$J8801-$M8801-$N8801)</f>
      </c>
    </row>
    <row r="8802">
      <c r="A8802"/>
      <c r="B8802">
        <v>19</v>
      </c>
      <c r="C8802" s="43">
        <f>INDEX(DarlObj,19)</f>
      </c>
      <c r="D8802">
        <v>159</v>
      </c>
      <c r="E8802" s="51">
        <f>IF(INDEX(DarlBelegt,19)=0,0,EOMONTH(INDEX(DarlAuszahlung,19),158)+1)</f>
      </c>
      <c r="F8802" s="43">
        <f>IF($E8802=0,0,YEAR($E8802))</f>
      </c>
      <c r="G8802" s="43">
        <f>IF(INDEX(DarlBindung,19)="",1,IF($E8802&lt;=INDEX(DarlBindung,19),1,0))</f>
      </c>
      <c r="H8802" s="43">
        <f>IF($G8802=1,INDEX(DarlSollzins,19),INDEX(DarlAnschluss,19))</f>
      </c>
      <c r="I8802" s="43">
        <f>IF(INDEX(DarlBelegt,19)=0,0,IF(INDEX(DarlOhneTilgung,19)=1,IF(INDEX(DarlBindung,19)="",1,$G8802),IF($J8802&gt;0.005,1,0)))</f>
      </c>
      <c r="J8802" s="43">
        <f>IF($I8801=0,0,$R8801)</f>
      </c>
      <c r="K8802" s="43">
        <f>IF($I8802=0,0,IF(INDEX(DarlOhneTilgung,19)=1,0,IF(AND(INDEX(DarlTilgStart,19)&gt;0,$E8802=INDEX(DarlTilgStart,19)),$J8802*($H8802+INDEX(DarlTilgung,19))/100/12,IF(AND($G8802=0,$G8801=1),MAX($K8801,$J8802*($H8802+1)/100/12),$K8801))))</f>
      </c>
      <c r="L8802" s="43">
        <f>IF($I8802=0,0,$J8802*$H8802/100/12)</f>
      </c>
      <c r="M8802" s="43">
        <f>IF($I8802=0,0,IF(OR(INDEX(DarlOhneTilgung,19)=1,AND(INDEX(DarlTilgStart,19)&gt;0,$E8802&lt;INDEX(DarlTilgStart,19))),0,MIN(MAX(0,$K8802-$L8802),$J8802)))</f>
      </c>
      <c r="N8802" s="43">
        <f>IF($I8802=0,0,MIN(SUMIFS(SondBetrag,SondDarl,19,SondDatum,"&gt;="&amp;$E8802,SondDatum,"&lt;="&amp;EOMONTH($E8802,0)),$J8802-$M8802))</f>
      </c>
      <c r="O8802" s="43">
        <f>IF($I8802=0,0,INDEX(DarlErsatzRate,19))</f>
      </c>
      <c r="P8802" s="43">
        <f>IF($I8802=0,0,$Q8801*INDEX(DarlErsatzZins,19))</f>
      </c>
      <c r="Q8802" s="43">
        <f>IF($I8802=0,0,$Q8801+$P8802+$O8802)</f>
      </c>
      <c r="R8802" s="43">
        <f>IF($I8802=0,0,$J8802-$M8802-$N8802)</f>
      </c>
    </row>
    <row r="8803">
      <c r="A8803"/>
      <c r="B8803">
        <v>19</v>
      </c>
      <c r="C8803" s="43">
        <f>INDEX(DarlObj,19)</f>
      </c>
      <c r="D8803">
        <v>160</v>
      </c>
      <c r="E8803" s="51">
        <f>IF(INDEX(DarlBelegt,19)=0,0,EOMONTH(INDEX(DarlAuszahlung,19),159)+1)</f>
      </c>
      <c r="F8803" s="43">
        <f>IF($E8803=0,0,YEAR($E8803))</f>
      </c>
      <c r="G8803" s="43">
        <f>IF(INDEX(DarlBindung,19)="",1,IF($E8803&lt;=INDEX(DarlBindung,19),1,0))</f>
      </c>
      <c r="H8803" s="43">
        <f>IF($G8803=1,INDEX(DarlSollzins,19),INDEX(DarlAnschluss,19))</f>
      </c>
      <c r="I8803" s="43">
        <f>IF(INDEX(DarlBelegt,19)=0,0,IF(INDEX(DarlOhneTilgung,19)=1,IF(INDEX(DarlBindung,19)="",1,$G8803),IF($J8803&gt;0.005,1,0)))</f>
      </c>
      <c r="J8803" s="43">
        <f>IF($I8802=0,0,$R8802)</f>
      </c>
      <c r="K8803" s="43">
        <f>IF($I8803=0,0,IF(INDEX(DarlOhneTilgung,19)=1,0,IF(AND(INDEX(DarlTilgStart,19)&gt;0,$E8803=INDEX(DarlTilgStart,19)),$J8803*($H8803+INDEX(DarlTilgung,19))/100/12,IF(AND($G8803=0,$G8802=1),MAX($K8802,$J8803*($H8803+1)/100/12),$K8802))))</f>
      </c>
      <c r="L8803" s="43">
        <f>IF($I8803=0,0,$J8803*$H8803/100/12)</f>
      </c>
      <c r="M8803" s="43">
        <f>IF($I8803=0,0,IF(OR(INDEX(DarlOhneTilgung,19)=1,AND(INDEX(DarlTilgStart,19)&gt;0,$E8803&lt;INDEX(DarlTilgStart,19))),0,MIN(MAX(0,$K8803-$L8803),$J8803)))</f>
      </c>
      <c r="N8803" s="43">
        <f>IF($I8803=0,0,MIN(SUMIFS(SondBetrag,SondDarl,19,SondDatum,"&gt;="&amp;$E8803,SondDatum,"&lt;="&amp;EOMONTH($E8803,0)),$J8803-$M8803))</f>
      </c>
      <c r="O8803" s="43">
        <f>IF($I8803=0,0,INDEX(DarlErsatzRate,19))</f>
      </c>
      <c r="P8803" s="43">
        <f>IF($I8803=0,0,$Q8802*INDEX(DarlErsatzZins,19))</f>
      </c>
      <c r="Q8803" s="43">
        <f>IF($I8803=0,0,$Q8802+$P8803+$O8803)</f>
      </c>
      <c r="R8803" s="43">
        <f>IF($I8803=0,0,$J8803-$M8803-$N8803)</f>
      </c>
    </row>
    <row r="8804">
      <c r="A8804"/>
      <c r="B8804">
        <v>19</v>
      </c>
      <c r="C8804" s="43">
        <f>INDEX(DarlObj,19)</f>
      </c>
      <c r="D8804">
        <v>161</v>
      </c>
      <c r="E8804" s="51">
        <f>IF(INDEX(DarlBelegt,19)=0,0,EOMONTH(INDEX(DarlAuszahlung,19),160)+1)</f>
      </c>
      <c r="F8804" s="43">
        <f>IF($E8804=0,0,YEAR($E8804))</f>
      </c>
      <c r="G8804" s="43">
        <f>IF(INDEX(DarlBindung,19)="",1,IF($E8804&lt;=INDEX(DarlBindung,19),1,0))</f>
      </c>
      <c r="H8804" s="43">
        <f>IF($G8804=1,INDEX(DarlSollzins,19),INDEX(DarlAnschluss,19))</f>
      </c>
      <c r="I8804" s="43">
        <f>IF(INDEX(DarlBelegt,19)=0,0,IF(INDEX(DarlOhneTilgung,19)=1,IF(INDEX(DarlBindung,19)="",1,$G8804),IF($J8804&gt;0.005,1,0)))</f>
      </c>
      <c r="J8804" s="43">
        <f>IF($I8803=0,0,$R8803)</f>
      </c>
      <c r="K8804" s="43">
        <f>IF($I8804=0,0,IF(INDEX(DarlOhneTilgung,19)=1,0,IF(AND(INDEX(DarlTilgStart,19)&gt;0,$E8804=INDEX(DarlTilgStart,19)),$J8804*($H8804+INDEX(DarlTilgung,19))/100/12,IF(AND($G8804=0,$G8803=1),MAX($K8803,$J8804*($H8804+1)/100/12),$K8803))))</f>
      </c>
      <c r="L8804" s="43">
        <f>IF($I8804=0,0,$J8804*$H8804/100/12)</f>
      </c>
      <c r="M8804" s="43">
        <f>IF($I8804=0,0,IF(OR(INDEX(DarlOhneTilgung,19)=1,AND(INDEX(DarlTilgStart,19)&gt;0,$E8804&lt;INDEX(DarlTilgStart,19))),0,MIN(MAX(0,$K8804-$L8804),$J8804)))</f>
      </c>
      <c r="N8804" s="43">
        <f>IF($I8804=0,0,MIN(SUMIFS(SondBetrag,SondDarl,19,SondDatum,"&gt;="&amp;$E8804,SondDatum,"&lt;="&amp;EOMONTH($E8804,0)),$J8804-$M8804))</f>
      </c>
      <c r="O8804" s="43">
        <f>IF($I8804=0,0,INDEX(DarlErsatzRate,19))</f>
      </c>
      <c r="P8804" s="43">
        <f>IF($I8804=0,0,$Q8803*INDEX(DarlErsatzZins,19))</f>
      </c>
      <c r="Q8804" s="43">
        <f>IF($I8804=0,0,$Q8803+$P8804+$O8804)</f>
      </c>
      <c r="R8804" s="43">
        <f>IF($I8804=0,0,$J8804-$M8804-$N8804)</f>
      </c>
    </row>
    <row r="8805">
      <c r="A8805"/>
      <c r="B8805">
        <v>19</v>
      </c>
      <c r="C8805" s="43">
        <f>INDEX(DarlObj,19)</f>
      </c>
      <c r="D8805">
        <v>162</v>
      </c>
      <c r="E8805" s="51">
        <f>IF(INDEX(DarlBelegt,19)=0,0,EOMONTH(INDEX(DarlAuszahlung,19),161)+1)</f>
      </c>
      <c r="F8805" s="43">
        <f>IF($E8805=0,0,YEAR($E8805))</f>
      </c>
      <c r="G8805" s="43">
        <f>IF(INDEX(DarlBindung,19)="",1,IF($E8805&lt;=INDEX(DarlBindung,19),1,0))</f>
      </c>
      <c r="H8805" s="43">
        <f>IF($G8805=1,INDEX(DarlSollzins,19),INDEX(DarlAnschluss,19))</f>
      </c>
      <c r="I8805" s="43">
        <f>IF(INDEX(DarlBelegt,19)=0,0,IF(INDEX(DarlOhneTilgung,19)=1,IF(INDEX(DarlBindung,19)="",1,$G8805),IF($J8805&gt;0.005,1,0)))</f>
      </c>
      <c r="J8805" s="43">
        <f>IF($I8804=0,0,$R8804)</f>
      </c>
      <c r="K8805" s="43">
        <f>IF($I8805=0,0,IF(INDEX(DarlOhneTilgung,19)=1,0,IF(AND(INDEX(DarlTilgStart,19)&gt;0,$E8805=INDEX(DarlTilgStart,19)),$J8805*($H8805+INDEX(DarlTilgung,19))/100/12,IF(AND($G8805=0,$G8804=1),MAX($K8804,$J8805*($H8805+1)/100/12),$K8804))))</f>
      </c>
      <c r="L8805" s="43">
        <f>IF($I8805=0,0,$J8805*$H8805/100/12)</f>
      </c>
      <c r="M8805" s="43">
        <f>IF($I8805=0,0,IF(OR(INDEX(DarlOhneTilgung,19)=1,AND(INDEX(DarlTilgStart,19)&gt;0,$E8805&lt;INDEX(DarlTilgStart,19))),0,MIN(MAX(0,$K8805-$L8805),$J8805)))</f>
      </c>
      <c r="N8805" s="43">
        <f>IF($I8805=0,0,MIN(SUMIFS(SondBetrag,SondDarl,19,SondDatum,"&gt;="&amp;$E8805,SondDatum,"&lt;="&amp;EOMONTH($E8805,0)),$J8805-$M8805))</f>
      </c>
      <c r="O8805" s="43">
        <f>IF($I8805=0,0,INDEX(DarlErsatzRate,19))</f>
      </c>
      <c r="P8805" s="43">
        <f>IF($I8805=0,0,$Q8804*INDEX(DarlErsatzZins,19))</f>
      </c>
      <c r="Q8805" s="43">
        <f>IF($I8805=0,0,$Q8804+$P8805+$O8805)</f>
      </c>
      <c r="R8805" s="43">
        <f>IF($I8805=0,0,$J8805-$M8805-$N8805)</f>
      </c>
    </row>
    <row r="8806">
      <c r="A8806"/>
      <c r="B8806">
        <v>19</v>
      </c>
      <c r="C8806" s="43">
        <f>INDEX(DarlObj,19)</f>
      </c>
      <c r="D8806">
        <v>163</v>
      </c>
      <c r="E8806" s="51">
        <f>IF(INDEX(DarlBelegt,19)=0,0,EOMONTH(INDEX(DarlAuszahlung,19),162)+1)</f>
      </c>
      <c r="F8806" s="43">
        <f>IF($E8806=0,0,YEAR($E8806))</f>
      </c>
      <c r="G8806" s="43">
        <f>IF(INDEX(DarlBindung,19)="",1,IF($E8806&lt;=INDEX(DarlBindung,19),1,0))</f>
      </c>
      <c r="H8806" s="43">
        <f>IF($G8806=1,INDEX(DarlSollzins,19),INDEX(DarlAnschluss,19))</f>
      </c>
      <c r="I8806" s="43">
        <f>IF(INDEX(DarlBelegt,19)=0,0,IF(INDEX(DarlOhneTilgung,19)=1,IF(INDEX(DarlBindung,19)="",1,$G8806),IF($J8806&gt;0.005,1,0)))</f>
      </c>
      <c r="J8806" s="43">
        <f>IF($I8805=0,0,$R8805)</f>
      </c>
      <c r="K8806" s="43">
        <f>IF($I8806=0,0,IF(INDEX(DarlOhneTilgung,19)=1,0,IF(AND(INDEX(DarlTilgStart,19)&gt;0,$E8806=INDEX(DarlTilgStart,19)),$J8806*($H8806+INDEX(DarlTilgung,19))/100/12,IF(AND($G8806=0,$G8805=1),MAX($K8805,$J8806*($H8806+1)/100/12),$K8805))))</f>
      </c>
      <c r="L8806" s="43">
        <f>IF($I8806=0,0,$J8806*$H8806/100/12)</f>
      </c>
      <c r="M8806" s="43">
        <f>IF($I8806=0,0,IF(OR(INDEX(DarlOhneTilgung,19)=1,AND(INDEX(DarlTilgStart,19)&gt;0,$E8806&lt;INDEX(DarlTilgStart,19))),0,MIN(MAX(0,$K8806-$L8806),$J8806)))</f>
      </c>
      <c r="N8806" s="43">
        <f>IF($I8806=0,0,MIN(SUMIFS(SondBetrag,SondDarl,19,SondDatum,"&gt;="&amp;$E8806,SondDatum,"&lt;="&amp;EOMONTH($E8806,0)),$J8806-$M8806))</f>
      </c>
      <c r="O8806" s="43">
        <f>IF($I8806=0,0,INDEX(DarlErsatzRate,19))</f>
      </c>
      <c r="P8806" s="43">
        <f>IF($I8806=0,0,$Q8805*INDEX(DarlErsatzZins,19))</f>
      </c>
      <c r="Q8806" s="43">
        <f>IF($I8806=0,0,$Q8805+$P8806+$O8806)</f>
      </c>
      <c r="R8806" s="43">
        <f>IF($I8806=0,0,$J8806-$M8806-$N8806)</f>
      </c>
    </row>
    <row r="8807">
      <c r="A8807"/>
      <c r="B8807">
        <v>19</v>
      </c>
      <c r="C8807" s="43">
        <f>INDEX(DarlObj,19)</f>
      </c>
      <c r="D8807">
        <v>164</v>
      </c>
      <c r="E8807" s="51">
        <f>IF(INDEX(DarlBelegt,19)=0,0,EOMONTH(INDEX(DarlAuszahlung,19),163)+1)</f>
      </c>
      <c r="F8807" s="43">
        <f>IF($E8807=0,0,YEAR($E8807))</f>
      </c>
      <c r="G8807" s="43">
        <f>IF(INDEX(DarlBindung,19)="",1,IF($E8807&lt;=INDEX(DarlBindung,19),1,0))</f>
      </c>
      <c r="H8807" s="43">
        <f>IF($G8807=1,INDEX(DarlSollzins,19),INDEX(DarlAnschluss,19))</f>
      </c>
      <c r="I8807" s="43">
        <f>IF(INDEX(DarlBelegt,19)=0,0,IF(INDEX(DarlOhneTilgung,19)=1,IF(INDEX(DarlBindung,19)="",1,$G8807),IF($J8807&gt;0.005,1,0)))</f>
      </c>
      <c r="J8807" s="43">
        <f>IF($I8806=0,0,$R8806)</f>
      </c>
      <c r="K8807" s="43">
        <f>IF($I8807=0,0,IF(INDEX(DarlOhneTilgung,19)=1,0,IF(AND(INDEX(DarlTilgStart,19)&gt;0,$E8807=INDEX(DarlTilgStart,19)),$J8807*($H8807+INDEX(DarlTilgung,19))/100/12,IF(AND($G8807=0,$G8806=1),MAX($K8806,$J8807*($H8807+1)/100/12),$K8806))))</f>
      </c>
      <c r="L8807" s="43">
        <f>IF($I8807=0,0,$J8807*$H8807/100/12)</f>
      </c>
      <c r="M8807" s="43">
        <f>IF($I8807=0,0,IF(OR(INDEX(DarlOhneTilgung,19)=1,AND(INDEX(DarlTilgStart,19)&gt;0,$E8807&lt;INDEX(DarlTilgStart,19))),0,MIN(MAX(0,$K8807-$L8807),$J8807)))</f>
      </c>
      <c r="N8807" s="43">
        <f>IF($I8807=0,0,MIN(SUMIFS(SondBetrag,SondDarl,19,SondDatum,"&gt;="&amp;$E8807,SondDatum,"&lt;="&amp;EOMONTH($E8807,0)),$J8807-$M8807))</f>
      </c>
      <c r="O8807" s="43">
        <f>IF($I8807=0,0,INDEX(DarlErsatzRate,19))</f>
      </c>
      <c r="P8807" s="43">
        <f>IF($I8807=0,0,$Q8806*INDEX(DarlErsatzZins,19))</f>
      </c>
      <c r="Q8807" s="43">
        <f>IF($I8807=0,0,$Q8806+$P8807+$O8807)</f>
      </c>
      <c r="R8807" s="43">
        <f>IF($I8807=0,0,$J8807-$M8807-$N8807)</f>
      </c>
    </row>
    <row r="8808">
      <c r="A8808"/>
      <c r="B8808">
        <v>19</v>
      </c>
      <c r="C8808" s="43">
        <f>INDEX(DarlObj,19)</f>
      </c>
      <c r="D8808">
        <v>165</v>
      </c>
      <c r="E8808" s="51">
        <f>IF(INDEX(DarlBelegt,19)=0,0,EOMONTH(INDEX(DarlAuszahlung,19),164)+1)</f>
      </c>
      <c r="F8808" s="43">
        <f>IF($E8808=0,0,YEAR($E8808))</f>
      </c>
      <c r="G8808" s="43">
        <f>IF(INDEX(DarlBindung,19)="",1,IF($E8808&lt;=INDEX(DarlBindung,19),1,0))</f>
      </c>
      <c r="H8808" s="43">
        <f>IF($G8808=1,INDEX(DarlSollzins,19),INDEX(DarlAnschluss,19))</f>
      </c>
      <c r="I8808" s="43">
        <f>IF(INDEX(DarlBelegt,19)=0,0,IF(INDEX(DarlOhneTilgung,19)=1,IF(INDEX(DarlBindung,19)="",1,$G8808),IF($J8808&gt;0.005,1,0)))</f>
      </c>
      <c r="J8808" s="43">
        <f>IF($I8807=0,0,$R8807)</f>
      </c>
      <c r="K8808" s="43">
        <f>IF($I8808=0,0,IF(INDEX(DarlOhneTilgung,19)=1,0,IF(AND(INDEX(DarlTilgStart,19)&gt;0,$E8808=INDEX(DarlTilgStart,19)),$J8808*($H8808+INDEX(DarlTilgung,19))/100/12,IF(AND($G8808=0,$G8807=1),MAX($K8807,$J8808*($H8808+1)/100/12),$K8807))))</f>
      </c>
      <c r="L8808" s="43">
        <f>IF($I8808=0,0,$J8808*$H8808/100/12)</f>
      </c>
      <c r="M8808" s="43">
        <f>IF($I8808=0,0,IF(OR(INDEX(DarlOhneTilgung,19)=1,AND(INDEX(DarlTilgStart,19)&gt;0,$E8808&lt;INDEX(DarlTilgStart,19))),0,MIN(MAX(0,$K8808-$L8808),$J8808)))</f>
      </c>
      <c r="N8808" s="43">
        <f>IF($I8808=0,0,MIN(SUMIFS(SondBetrag,SondDarl,19,SondDatum,"&gt;="&amp;$E8808,SondDatum,"&lt;="&amp;EOMONTH($E8808,0)),$J8808-$M8808))</f>
      </c>
      <c r="O8808" s="43">
        <f>IF($I8808=0,0,INDEX(DarlErsatzRate,19))</f>
      </c>
      <c r="P8808" s="43">
        <f>IF($I8808=0,0,$Q8807*INDEX(DarlErsatzZins,19))</f>
      </c>
      <c r="Q8808" s="43">
        <f>IF($I8808=0,0,$Q8807+$P8808+$O8808)</f>
      </c>
      <c r="R8808" s="43">
        <f>IF($I8808=0,0,$J8808-$M8808-$N8808)</f>
      </c>
    </row>
    <row r="8809">
      <c r="A8809"/>
      <c r="B8809">
        <v>19</v>
      </c>
      <c r="C8809" s="43">
        <f>INDEX(DarlObj,19)</f>
      </c>
      <c r="D8809">
        <v>166</v>
      </c>
      <c r="E8809" s="51">
        <f>IF(INDEX(DarlBelegt,19)=0,0,EOMONTH(INDEX(DarlAuszahlung,19),165)+1)</f>
      </c>
      <c r="F8809" s="43">
        <f>IF($E8809=0,0,YEAR($E8809))</f>
      </c>
      <c r="G8809" s="43">
        <f>IF(INDEX(DarlBindung,19)="",1,IF($E8809&lt;=INDEX(DarlBindung,19),1,0))</f>
      </c>
      <c r="H8809" s="43">
        <f>IF($G8809=1,INDEX(DarlSollzins,19),INDEX(DarlAnschluss,19))</f>
      </c>
      <c r="I8809" s="43">
        <f>IF(INDEX(DarlBelegt,19)=0,0,IF(INDEX(DarlOhneTilgung,19)=1,IF(INDEX(DarlBindung,19)="",1,$G8809),IF($J8809&gt;0.005,1,0)))</f>
      </c>
      <c r="J8809" s="43">
        <f>IF($I8808=0,0,$R8808)</f>
      </c>
      <c r="K8809" s="43">
        <f>IF($I8809=0,0,IF(INDEX(DarlOhneTilgung,19)=1,0,IF(AND(INDEX(DarlTilgStart,19)&gt;0,$E8809=INDEX(DarlTilgStart,19)),$J8809*($H8809+INDEX(DarlTilgung,19))/100/12,IF(AND($G8809=0,$G8808=1),MAX($K8808,$J8809*($H8809+1)/100/12),$K8808))))</f>
      </c>
      <c r="L8809" s="43">
        <f>IF($I8809=0,0,$J8809*$H8809/100/12)</f>
      </c>
      <c r="M8809" s="43">
        <f>IF($I8809=0,0,IF(OR(INDEX(DarlOhneTilgung,19)=1,AND(INDEX(DarlTilgStart,19)&gt;0,$E8809&lt;INDEX(DarlTilgStart,19))),0,MIN(MAX(0,$K8809-$L8809),$J8809)))</f>
      </c>
      <c r="N8809" s="43">
        <f>IF($I8809=0,0,MIN(SUMIFS(SondBetrag,SondDarl,19,SondDatum,"&gt;="&amp;$E8809,SondDatum,"&lt;="&amp;EOMONTH($E8809,0)),$J8809-$M8809))</f>
      </c>
      <c r="O8809" s="43">
        <f>IF($I8809=0,0,INDEX(DarlErsatzRate,19))</f>
      </c>
      <c r="P8809" s="43">
        <f>IF($I8809=0,0,$Q8808*INDEX(DarlErsatzZins,19))</f>
      </c>
      <c r="Q8809" s="43">
        <f>IF($I8809=0,0,$Q8808+$P8809+$O8809)</f>
      </c>
      <c r="R8809" s="43">
        <f>IF($I8809=0,0,$J8809-$M8809-$N8809)</f>
      </c>
    </row>
    <row r="8810">
      <c r="A8810"/>
      <c r="B8810">
        <v>19</v>
      </c>
      <c r="C8810" s="43">
        <f>INDEX(DarlObj,19)</f>
      </c>
      <c r="D8810">
        <v>167</v>
      </c>
      <c r="E8810" s="51">
        <f>IF(INDEX(DarlBelegt,19)=0,0,EOMONTH(INDEX(DarlAuszahlung,19),166)+1)</f>
      </c>
      <c r="F8810" s="43">
        <f>IF($E8810=0,0,YEAR($E8810))</f>
      </c>
      <c r="G8810" s="43">
        <f>IF(INDEX(DarlBindung,19)="",1,IF($E8810&lt;=INDEX(DarlBindung,19),1,0))</f>
      </c>
      <c r="H8810" s="43">
        <f>IF($G8810=1,INDEX(DarlSollzins,19),INDEX(DarlAnschluss,19))</f>
      </c>
      <c r="I8810" s="43">
        <f>IF(INDEX(DarlBelegt,19)=0,0,IF(INDEX(DarlOhneTilgung,19)=1,IF(INDEX(DarlBindung,19)="",1,$G8810),IF($J8810&gt;0.005,1,0)))</f>
      </c>
      <c r="J8810" s="43">
        <f>IF($I8809=0,0,$R8809)</f>
      </c>
      <c r="K8810" s="43">
        <f>IF($I8810=0,0,IF(INDEX(DarlOhneTilgung,19)=1,0,IF(AND(INDEX(DarlTilgStart,19)&gt;0,$E8810=INDEX(DarlTilgStart,19)),$J8810*($H8810+INDEX(DarlTilgung,19))/100/12,IF(AND($G8810=0,$G8809=1),MAX($K8809,$J8810*($H8810+1)/100/12),$K8809))))</f>
      </c>
      <c r="L8810" s="43">
        <f>IF($I8810=0,0,$J8810*$H8810/100/12)</f>
      </c>
      <c r="M8810" s="43">
        <f>IF($I8810=0,0,IF(OR(INDEX(DarlOhneTilgung,19)=1,AND(INDEX(DarlTilgStart,19)&gt;0,$E8810&lt;INDEX(DarlTilgStart,19))),0,MIN(MAX(0,$K8810-$L8810),$J8810)))</f>
      </c>
      <c r="N8810" s="43">
        <f>IF($I8810=0,0,MIN(SUMIFS(SondBetrag,SondDarl,19,SondDatum,"&gt;="&amp;$E8810,SondDatum,"&lt;="&amp;EOMONTH($E8810,0)),$J8810-$M8810))</f>
      </c>
      <c r="O8810" s="43">
        <f>IF($I8810=0,0,INDEX(DarlErsatzRate,19))</f>
      </c>
      <c r="P8810" s="43">
        <f>IF($I8810=0,0,$Q8809*INDEX(DarlErsatzZins,19))</f>
      </c>
      <c r="Q8810" s="43">
        <f>IF($I8810=0,0,$Q8809+$P8810+$O8810)</f>
      </c>
      <c r="R8810" s="43">
        <f>IF($I8810=0,0,$J8810-$M8810-$N8810)</f>
      </c>
    </row>
    <row r="8811">
      <c r="A8811"/>
      <c r="B8811">
        <v>19</v>
      </c>
      <c r="C8811" s="43">
        <f>INDEX(DarlObj,19)</f>
      </c>
      <c r="D8811">
        <v>168</v>
      </c>
      <c r="E8811" s="51">
        <f>IF(INDEX(DarlBelegt,19)=0,0,EOMONTH(INDEX(DarlAuszahlung,19),167)+1)</f>
      </c>
      <c r="F8811" s="43">
        <f>IF($E8811=0,0,YEAR($E8811))</f>
      </c>
      <c r="G8811" s="43">
        <f>IF(INDEX(DarlBindung,19)="",1,IF($E8811&lt;=INDEX(DarlBindung,19),1,0))</f>
      </c>
      <c r="H8811" s="43">
        <f>IF($G8811=1,INDEX(DarlSollzins,19),INDEX(DarlAnschluss,19))</f>
      </c>
      <c r="I8811" s="43">
        <f>IF(INDEX(DarlBelegt,19)=0,0,IF(INDEX(DarlOhneTilgung,19)=1,IF(INDEX(DarlBindung,19)="",1,$G8811),IF($J8811&gt;0.005,1,0)))</f>
      </c>
      <c r="J8811" s="43">
        <f>IF($I8810=0,0,$R8810)</f>
      </c>
      <c r="K8811" s="43">
        <f>IF($I8811=0,0,IF(INDEX(DarlOhneTilgung,19)=1,0,IF(AND(INDEX(DarlTilgStart,19)&gt;0,$E8811=INDEX(DarlTilgStart,19)),$J8811*($H8811+INDEX(DarlTilgung,19))/100/12,IF(AND($G8811=0,$G8810=1),MAX($K8810,$J8811*($H8811+1)/100/12),$K8810))))</f>
      </c>
      <c r="L8811" s="43">
        <f>IF($I8811=0,0,$J8811*$H8811/100/12)</f>
      </c>
      <c r="M8811" s="43">
        <f>IF($I8811=0,0,IF(OR(INDEX(DarlOhneTilgung,19)=1,AND(INDEX(DarlTilgStart,19)&gt;0,$E8811&lt;INDEX(DarlTilgStart,19))),0,MIN(MAX(0,$K8811-$L8811),$J8811)))</f>
      </c>
      <c r="N8811" s="43">
        <f>IF($I8811=0,0,MIN(SUMIFS(SondBetrag,SondDarl,19,SondDatum,"&gt;="&amp;$E8811,SondDatum,"&lt;="&amp;EOMONTH($E8811,0)),$J8811-$M8811))</f>
      </c>
      <c r="O8811" s="43">
        <f>IF($I8811=0,0,INDEX(DarlErsatzRate,19))</f>
      </c>
      <c r="P8811" s="43">
        <f>IF($I8811=0,0,$Q8810*INDEX(DarlErsatzZins,19))</f>
      </c>
      <c r="Q8811" s="43">
        <f>IF($I8811=0,0,$Q8810+$P8811+$O8811)</f>
      </c>
      <c r="R8811" s="43">
        <f>IF($I8811=0,0,$J8811-$M8811-$N8811)</f>
      </c>
    </row>
    <row r="8812">
      <c r="A8812"/>
      <c r="B8812">
        <v>19</v>
      </c>
      <c r="C8812" s="43">
        <f>INDEX(DarlObj,19)</f>
      </c>
      <c r="D8812">
        <v>169</v>
      </c>
      <c r="E8812" s="51">
        <f>IF(INDEX(DarlBelegt,19)=0,0,EOMONTH(INDEX(DarlAuszahlung,19),168)+1)</f>
      </c>
      <c r="F8812" s="43">
        <f>IF($E8812=0,0,YEAR($E8812))</f>
      </c>
      <c r="G8812" s="43">
        <f>IF(INDEX(DarlBindung,19)="",1,IF($E8812&lt;=INDEX(DarlBindung,19),1,0))</f>
      </c>
      <c r="H8812" s="43">
        <f>IF($G8812=1,INDEX(DarlSollzins,19),INDEX(DarlAnschluss,19))</f>
      </c>
      <c r="I8812" s="43">
        <f>IF(INDEX(DarlBelegt,19)=0,0,IF(INDEX(DarlOhneTilgung,19)=1,IF(INDEX(DarlBindung,19)="",1,$G8812),IF($J8812&gt;0.005,1,0)))</f>
      </c>
      <c r="J8812" s="43">
        <f>IF($I8811=0,0,$R8811)</f>
      </c>
      <c r="K8812" s="43">
        <f>IF($I8812=0,0,IF(INDEX(DarlOhneTilgung,19)=1,0,IF(AND(INDEX(DarlTilgStart,19)&gt;0,$E8812=INDEX(DarlTilgStart,19)),$J8812*($H8812+INDEX(DarlTilgung,19))/100/12,IF(AND($G8812=0,$G8811=1),MAX($K8811,$J8812*($H8812+1)/100/12),$K8811))))</f>
      </c>
      <c r="L8812" s="43">
        <f>IF($I8812=0,0,$J8812*$H8812/100/12)</f>
      </c>
      <c r="M8812" s="43">
        <f>IF($I8812=0,0,IF(OR(INDEX(DarlOhneTilgung,19)=1,AND(INDEX(DarlTilgStart,19)&gt;0,$E8812&lt;INDEX(DarlTilgStart,19))),0,MIN(MAX(0,$K8812-$L8812),$J8812)))</f>
      </c>
      <c r="N8812" s="43">
        <f>IF($I8812=0,0,MIN(SUMIFS(SondBetrag,SondDarl,19,SondDatum,"&gt;="&amp;$E8812,SondDatum,"&lt;="&amp;EOMONTH($E8812,0)),$J8812-$M8812))</f>
      </c>
      <c r="O8812" s="43">
        <f>IF($I8812=0,0,INDEX(DarlErsatzRate,19))</f>
      </c>
      <c r="P8812" s="43">
        <f>IF($I8812=0,0,$Q8811*INDEX(DarlErsatzZins,19))</f>
      </c>
      <c r="Q8812" s="43">
        <f>IF($I8812=0,0,$Q8811+$P8812+$O8812)</f>
      </c>
      <c r="R8812" s="43">
        <f>IF($I8812=0,0,$J8812-$M8812-$N8812)</f>
      </c>
    </row>
    <row r="8813">
      <c r="A8813"/>
      <c r="B8813">
        <v>19</v>
      </c>
      <c r="C8813" s="43">
        <f>INDEX(DarlObj,19)</f>
      </c>
      <c r="D8813">
        <v>170</v>
      </c>
      <c r="E8813" s="51">
        <f>IF(INDEX(DarlBelegt,19)=0,0,EOMONTH(INDEX(DarlAuszahlung,19),169)+1)</f>
      </c>
      <c r="F8813" s="43">
        <f>IF($E8813=0,0,YEAR($E8813))</f>
      </c>
      <c r="G8813" s="43">
        <f>IF(INDEX(DarlBindung,19)="",1,IF($E8813&lt;=INDEX(DarlBindung,19),1,0))</f>
      </c>
      <c r="H8813" s="43">
        <f>IF($G8813=1,INDEX(DarlSollzins,19),INDEX(DarlAnschluss,19))</f>
      </c>
      <c r="I8813" s="43">
        <f>IF(INDEX(DarlBelegt,19)=0,0,IF(INDEX(DarlOhneTilgung,19)=1,IF(INDEX(DarlBindung,19)="",1,$G8813),IF($J8813&gt;0.005,1,0)))</f>
      </c>
      <c r="J8813" s="43">
        <f>IF($I8812=0,0,$R8812)</f>
      </c>
      <c r="K8813" s="43">
        <f>IF($I8813=0,0,IF(INDEX(DarlOhneTilgung,19)=1,0,IF(AND(INDEX(DarlTilgStart,19)&gt;0,$E8813=INDEX(DarlTilgStart,19)),$J8813*($H8813+INDEX(DarlTilgung,19))/100/12,IF(AND($G8813=0,$G8812=1),MAX($K8812,$J8813*($H8813+1)/100/12),$K8812))))</f>
      </c>
      <c r="L8813" s="43">
        <f>IF($I8813=0,0,$J8813*$H8813/100/12)</f>
      </c>
      <c r="M8813" s="43">
        <f>IF($I8813=0,0,IF(OR(INDEX(DarlOhneTilgung,19)=1,AND(INDEX(DarlTilgStart,19)&gt;0,$E8813&lt;INDEX(DarlTilgStart,19))),0,MIN(MAX(0,$K8813-$L8813),$J8813)))</f>
      </c>
      <c r="N8813" s="43">
        <f>IF($I8813=0,0,MIN(SUMIFS(SondBetrag,SondDarl,19,SondDatum,"&gt;="&amp;$E8813,SondDatum,"&lt;="&amp;EOMONTH($E8813,0)),$J8813-$M8813))</f>
      </c>
      <c r="O8813" s="43">
        <f>IF($I8813=0,0,INDEX(DarlErsatzRate,19))</f>
      </c>
      <c r="P8813" s="43">
        <f>IF($I8813=0,0,$Q8812*INDEX(DarlErsatzZins,19))</f>
      </c>
      <c r="Q8813" s="43">
        <f>IF($I8813=0,0,$Q8812+$P8813+$O8813)</f>
      </c>
      <c r="R8813" s="43">
        <f>IF($I8813=0,0,$J8813-$M8813-$N8813)</f>
      </c>
    </row>
    <row r="8814">
      <c r="A8814"/>
      <c r="B8814">
        <v>19</v>
      </c>
      <c r="C8814" s="43">
        <f>INDEX(DarlObj,19)</f>
      </c>
      <c r="D8814">
        <v>171</v>
      </c>
      <c r="E8814" s="51">
        <f>IF(INDEX(DarlBelegt,19)=0,0,EOMONTH(INDEX(DarlAuszahlung,19),170)+1)</f>
      </c>
      <c r="F8814" s="43">
        <f>IF($E8814=0,0,YEAR($E8814))</f>
      </c>
      <c r="G8814" s="43">
        <f>IF(INDEX(DarlBindung,19)="",1,IF($E8814&lt;=INDEX(DarlBindung,19),1,0))</f>
      </c>
      <c r="H8814" s="43">
        <f>IF($G8814=1,INDEX(DarlSollzins,19),INDEX(DarlAnschluss,19))</f>
      </c>
      <c r="I8814" s="43">
        <f>IF(INDEX(DarlBelegt,19)=0,0,IF(INDEX(DarlOhneTilgung,19)=1,IF(INDEX(DarlBindung,19)="",1,$G8814),IF($J8814&gt;0.005,1,0)))</f>
      </c>
      <c r="J8814" s="43">
        <f>IF($I8813=0,0,$R8813)</f>
      </c>
      <c r="K8814" s="43">
        <f>IF($I8814=0,0,IF(INDEX(DarlOhneTilgung,19)=1,0,IF(AND(INDEX(DarlTilgStart,19)&gt;0,$E8814=INDEX(DarlTilgStart,19)),$J8814*($H8814+INDEX(DarlTilgung,19))/100/12,IF(AND($G8814=0,$G8813=1),MAX($K8813,$J8814*($H8814+1)/100/12),$K8813))))</f>
      </c>
      <c r="L8814" s="43">
        <f>IF($I8814=0,0,$J8814*$H8814/100/12)</f>
      </c>
      <c r="M8814" s="43">
        <f>IF($I8814=0,0,IF(OR(INDEX(DarlOhneTilgung,19)=1,AND(INDEX(DarlTilgStart,19)&gt;0,$E8814&lt;INDEX(DarlTilgStart,19))),0,MIN(MAX(0,$K8814-$L8814),$J8814)))</f>
      </c>
      <c r="N8814" s="43">
        <f>IF($I8814=0,0,MIN(SUMIFS(SondBetrag,SondDarl,19,SondDatum,"&gt;="&amp;$E8814,SondDatum,"&lt;="&amp;EOMONTH($E8814,0)),$J8814-$M8814))</f>
      </c>
      <c r="O8814" s="43">
        <f>IF($I8814=0,0,INDEX(DarlErsatzRate,19))</f>
      </c>
      <c r="P8814" s="43">
        <f>IF($I8814=0,0,$Q8813*INDEX(DarlErsatzZins,19))</f>
      </c>
      <c r="Q8814" s="43">
        <f>IF($I8814=0,0,$Q8813+$P8814+$O8814)</f>
      </c>
      <c r="R8814" s="43">
        <f>IF($I8814=0,0,$J8814-$M8814-$N8814)</f>
      </c>
    </row>
    <row r="8815">
      <c r="A8815"/>
      <c r="B8815">
        <v>19</v>
      </c>
      <c r="C8815" s="43">
        <f>INDEX(DarlObj,19)</f>
      </c>
      <c r="D8815">
        <v>172</v>
      </c>
      <c r="E8815" s="51">
        <f>IF(INDEX(DarlBelegt,19)=0,0,EOMONTH(INDEX(DarlAuszahlung,19),171)+1)</f>
      </c>
      <c r="F8815" s="43">
        <f>IF($E8815=0,0,YEAR($E8815))</f>
      </c>
      <c r="G8815" s="43">
        <f>IF(INDEX(DarlBindung,19)="",1,IF($E8815&lt;=INDEX(DarlBindung,19),1,0))</f>
      </c>
      <c r="H8815" s="43">
        <f>IF($G8815=1,INDEX(DarlSollzins,19),INDEX(DarlAnschluss,19))</f>
      </c>
      <c r="I8815" s="43">
        <f>IF(INDEX(DarlBelegt,19)=0,0,IF(INDEX(DarlOhneTilgung,19)=1,IF(INDEX(DarlBindung,19)="",1,$G8815),IF($J8815&gt;0.005,1,0)))</f>
      </c>
      <c r="J8815" s="43">
        <f>IF($I8814=0,0,$R8814)</f>
      </c>
      <c r="K8815" s="43">
        <f>IF($I8815=0,0,IF(INDEX(DarlOhneTilgung,19)=1,0,IF(AND(INDEX(DarlTilgStart,19)&gt;0,$E8815=INDEX(DarlTilgStart,19)),$J8815*($H8815+INDEX(DarlTilgung,19))/100/12,IF(AND($G8815=0,$G8814=1),MAX($K8814,$J8815*($H8815+1)/100/12),$K8814))))</f>
      </c>
      <c r="L8815" s="43">
        <f>IF($I8815=0,0,$J8815*$H8815/100/12)</f>
      </c>
      <c r="M8815" s="43">
        <f>IF($I8815=0,0,IF(OR(INDEX(DarlOhneTilgung,19)=1,AND(INDEX(DarlTilgStart,19)&gt;0,$E8815&lt;INDEX(DarlTilgStart,19))),0,MIN(MAX(0,$K8815-$L8815),$J8815)))</f>
      </c>
      <c r="N8815" s="43">
        <f>IF($I8815=0,0,MIN(SUMIFS(SondBetrag,SondDarl,19,SondDatum,"&gt;="&amp;$E8815,SondDatum,"&lt;="&amp;EOMONTH($E8815,0)),$J8815-$M8815))</f>
      </c>
      <c r="O8815" s="43">
        <f>IF($I8815=0,0,INDEX(DarlErsatzRate,19))</f>
      </c>
      <c r="P8815" s="43">
        <f>IF($I8815=0,0,$Q8814*INDEX(DarlErsatzZins,19))</f>
      </c>
      <c r="Q8815" s="43">
        <f>IF($I8815=0,0,$Q8814+$P8815+$O8815)</f>
      </c>
      <c r="R8815" s="43">
        <f>IF($I8815=0,0,$J8815-$M8815-$N8815)</f>
      </c>
    </row>
    <row r="8816">
      <c r="A8816"/>
      <c r="B8816">
        <v>19</v>
      </c>
      <c r="C8816" s="43">
        <f>INDEX(DarlObj,19)</f>
      </c>
      <c r="D8816">
        <v>173</v>
      </c>
      <c r="E8816" s="51">
        <f>IF(INDEX(DarlBelegt,19)=0,0,EOMONTH(INDEX(DarlAuszahlung,19),172)+1)</f>
      </c>
      <c r="F8816" s="43">
        <f>IF($E8816=0,0,YEAR($E8816))</f>
      </c>
      <c r="G8816" s="43">
        <f>IF(INDEX(DarlBindung,19)="",1,IF($E8816&lt;=INDEX(DarlBindung,19),1,0))</f>
      </c>
      <c r="H8816" s="43">
        <f>IF($G8816=1,INDEX(DarlSollzins,19),INDEX(DarlAnschluss,19))</f>
      </c>
      <c r="I8816" s="43">
        <f>IF(INDEX(DarlBelegt,19)=0,0,IF(INDEX(DarlOhneTilgung,19)=1,IF(INDEX(DarlBindung,19)="",1,$G8816),IF($J8816&gt;0.005,1,0)))</f>
      </c>
      <c r="J8816" s="43">
        <f>IF($I8815=0,0,$R8815)</f>
      </c>
      <c r="K8816" s="43">
        <f>IF($I8816=0,0,IF(INDEX(DarlOhneTilgung,19)=1,0,IF(AND(INDEX(DarlTilgStart,19)&gt;0,$E8816=INDEX(DarlTilgStart,19)),$J8816*($H8816+INDEX(DarlTilgung,19))/100/12,IF(AND($G8816=0,$G8815=1),MAX($K8815,$J8816*($H8816+1)/100/12),$K8815))))</f>
      </c>
      <c r="L8816" s="43">
        <f>IF($I8816=0,0,$J8816*$H8816/100/12)</f>
      </c>
      <c r="M8816" s="43">
        <f>IF($I8816=0,0,IF(OR(INDEX(DarlOhneTilgung,19)=1,AND(INDEX(DarlTilgStart,19)&gt;0,$E8816&lt;INDEX(DarlTilgStart,19))),0,MIN(MAX(0,$K8816-$L8816),$J8816)))</f>
      </c>
      <c r="N8816" s="43">
        <f>IF($I8816=0,0,MIN(SUMIFS(SondBetrag,SondDarl,19,SondDatum,"&gt;="&amp;$E8816,SondDatum,"&lt;="&amp;EOMONTH($E8816,0)),$J8816-$M8816))</f>
      </c>
      <c r="O8816" s="43">
        <f>IF($I8816=0,0,INDEX(DarlErsatzRate,19))</f>
      </c>
      <c r="P8816" s="43">
        <f>IF($I8816=0,0,$Q8815*INDEX(DarlErsatzZins,19))</f>
      </c>
      <c r="Q8816" s="43">
        <f>IF($I8816=0,0,$Q8815+$P8816+$O8816)</f>
      </c>
      <c r="R8816" s="43">
        <f>IF($I8816=0,0,$J8816-$M8816-$N8816)</f>
      </c>
    </row>
    <row r="8817">
      <c r="A8817"/>
      <c r="B8817">
        <v>19</v>
      </c>
      <c r="C8817" s="43">
        <f>INDEX(DarlObj,19)</f>
      </c>
      <c r="D8817">
        <v>174</v>
      </c>
      <c r="E8817" s="51">
        <f>IF(INDEX(DarlBelegt,19)=0,0,EOMONTH(INDEX(DarlAuszahlung,19),173)+1)</f>
      </c>
      <c r="F8817" s="43">
        <f>IF($E8817=0,0,YEAR($E8817))</f>
      </c>
      <c r="G8817" s="43">
        <f>IF(INDEX(DarlBindung,19)="",1,IF($E8817&lt;=INDEX(DarlBindung,19),1,0))</f>
      </c>
      <c r="H8817" s="43">
        <f>IF($G8817=1,INDEX(DarlSollzins,19),INDEX(DarlAnschluss,19))</f>
      </c>
      <c r="I8817" s="43">
        <f>IF(INDEX(DarlBelegt,19)=0,0,IF(INDEX(DarlOhneTilgung,19)=1,IF(INDEX(DarlBindung,19)="",1,$G8817),IF($J8817&gt;0.005,1,0)))</f>
      </c>
      <c r="J8817" s="43">
        <f>IF($I8816=0,0,$R8816)</f>
      </c>
      <c r="K8817" s="43">
        <f>IF($I8817=0,0,IF(INDEX(DarlOhneTilgung,19)=1,0,IF(AND(INDEX(DarlTilgStart,19)&gt;0,$E8817=INDEX(DarlTilgStart,19)),$J8817*($H8817+INDEX(DarlTilgung,19))/100/12,IF(AND($G8817=0,$G8816=1),MAX($K8816,$J8817*($H8817+1)/100/12),$K8816))))</f>
      </c>
      <c r="L8817" s="43">
        <f>IF($I8817=0,0,$J8817*$H8817/100/12)</f>
      </c>
      <c r="M8817" s="43">
        <f>IF($I8817=0,0,IF(OR(INDEX(DarlOhneTilgung,19)=1,AND(INDEX(DarlTilgStart,19)&gt;0,$E8817&lt;INDEX(DarlTilgStart,19))),0,MIN(MAX(0,$K8817-$L8817),$J8817)))</f>
      </c>
      <c r="N8817" s="43">
        <f>IF($I8817=0,0,MIN(SUMIFS(SondBetrag,SondDarl,19,SondDatum,"&gt;="&amp;$E8817,SondDatum,"&lt;="&amp;EOMONTH($E8817,0)),$J8817-$M8817))</f>
      </c>
      <c r="O8817" s="43">
        <f>IF($I8817=0,0,INDEX(DarlErsatzRate,19))</f>
      </c>
      <c r="P8817" s="43">
        <f>IF($I8817=0,0,$Q8816*INDEX(DarlErsatzZins,19))</f>
      </c>
      <c r="Q8817" s="43">
        <f>IF($I8817=0,0,$Q8816+$P8817+$O8817)</f>
      </c>
      <c r="R8817" s="43">
        <f>IF($I8817=0,0,$J8817-$M8817-$N8817)</f>
      </c>
    </row>
    <row r="8818">
      <c r="A8818"/>
      <c r="B8818">
        <v>19</v>
      </c>
      <c r="C8818" s="43">
        <f>INDEX(DarlObj,19)</f>
      </c>
      <c r="D8818">
        <v>175</v>
      </c>
      <c r="E8818" s="51">
        <f>IF(INDEX(DarlBelegt,19)=0,0,EOMONTH(INDEX(DarlAuszahlung,19),174)+1)</f>
      </c>
      <c r="F8818" s="43">
        <f>IF($E8818=0,0,YEAR($E8818))</f>
      </c>
      <c r="G8818" s="43">
        <f>IF(INDEX(DarlBindung,19)="",1,IF($E8818&lt;=INDEX(DarlBindung,19),1,0))</f>
      </c>
      <c r="H8818" s="43">
        <f>IF($G8818=1,INDEX(DarlSollzins,19),INDEX(DarlAnschluss,19))</f>
      </c>
      <c r="I8818" s="43">
        <f>IF(INDEX(DarlBelegt,19)=0,0,IF(INDEX(DarlOhneTilgung,19)=1,IF(INDEX(DarlBindung,19)="",1,$G8818),IF($J8818&gt;0.005,1,0)))</f>
      </c>
      <c r="J8818" s="43">
        <f>IF($I8817=0,0,$R8817)</f>
      </c>
      <c r="K8818" s="43">
        <f>IF($I8818=0,0,IF(INDEX(DarlOhneTilgung,19)=1,0,IF(AND(INDEX(DarlTilgStart,19)&gt;0,$E8818=INDEX(DarlTilgStart,19)),$J8818*($H8818+INDEX(DarlTilgung,19))/100/12,IF(AND($G8818=0,$G8817=1),MAX($K8817,$J8818*($H8818+1)/100/12),$K8817))))</f>
      </c>
      <c r="L8818" s="43">
        <f>IF($I8818=0,0,$J8818*$H8818/100/12)</f>
      </c>
      <c r="M8818" s="43">
        <f>IF($I8818=0,0,IF(OR(INDEX(DarlOhneTilgung,19)=1,AND(INDEX(DarlTilgStart,19)&gt;0,$E8818&lt;INDEX(DarlTilgStart,19))),0,MIN(MAX(0,$K8818-$L8818),$J8818)))</f>
      </c>
      <c r="N8818" s="43">
        <f>IF($I8818=0,0,MIN(SUMIFS(SondBetrag,SondDarl,19,SondDatum,"&gt;="&amp;$E8818,SondDatum,"&lt;="&amp;EOMONTH($E8818,0)),$J8818-$M8818))</f>
      </c>
      <c r="O8818" s="43">
        <f>IF($I8818=0,0,INDEX(DarlErsatzRate,19))</f>
      </c>
      <c r="P8818" s="43">
        <f>IF($I8818=0,0,$Q8817*INDEX(DarlErsatzZins,19))</f>
      </c>
      <c r="Q8818" s="43">
        <f>IF($I8818=0,0,$Q8817+$P8818+$O8818)</f>
      </c>
      <c r="R8818" s="43">
        <f>IF($I8818=0,0,$J8818-$M8818-$N8818)</f>
      </c>
    </row>
    <row r="8819">
      <c r="A8819"/>
      <c r="B8819">
        <v>19</v>
      </c>
      <c r="C8819" s="43">
        <f>INDEX(DarlObj,19)</f>
      </c>
      <c r="D8819">
        <v>176</v>
      </c>
      <c r="E8819" s="51">
        <f>IF(INDEX(DarlBelegt,19)=0,0,EOMONTH(INDEX(DarlAuszahlung,19),175)+1)</f>
      </c>
      <c r="F8819" s="43">
        <f>IF($E8819=0,0,YEAR($E8819))</f>
      </c>
      <c r="G8819" s="43">
        <f>IF(INDEX(DarlBindung,19)="",1,IF($E8819&lt;=INDEX(DarlBindung,19),1,0))</f>
      </c>
      <c r="H8819" s="43">
        <f>IF($G8819=1,INDEX(DarlSollzins,19),INDEX(DarlAnschluss,19))</f>
      </c>
      <c r="I8819" s="43">
        <f>IF(INDEX(DarlBelegt,19)=0,0,IF(INDEX(DarlOhneTilgung,19)=1,IF(INDEX(DarlBindung,19)="",1,$G8819),IF($J8819&gt;0.005,1,0)))</f>
      </c>
      <c r="J8819" s="43">
        <f>IF($I8818=0,0,$R8818)</f>
      </c>
      <c r="K8819" s="43">
        <f>IF($I8819=0,0,IF(INDEX(DarlOhneTilgung,19)=1,0,IF(AND(INDEX(DarlTilgStart,19)&gt;0,$E8819=INDEX(DarlTilgStart,19)),$J8819*($H8819+INDEX(DarlTilgung,19))/100/12,IF(AND($G8819=0,$G8818=1),MAX($K8818,$J8819*($H8819+1)/100/12),$K8818))))</f>
      </c>
      <c r="L8819" s="43">
        <f>IF($I8819=0,0,$J8819*$H8819/100/12)</f>
      </c>
      <c r="M8819" s="43">
        <f>IF($I8819=0,0,IF(OR(INDEX(DarlOhneTilgung,19)=1,AND(INDEX(DarlTilgStart,19)&gt;0,$E8819&lt;INDEX(DarlTilgStart,19))),0,MIN(MAX(0,$K8819-$L8819),$J8819)))</f>
      </c>
      <c r="N8819" s="43">
        <f>IF($I8819=0,0,MIN(SUMIFS(SondBetrag,SondDarl,19,SondDatum,"&gt;="&amp;$E8819,SondDatum,"&lt;="&amp;EOMONTH($E8819,0)),$J8819-$M8819))</f>
      </c>
      <c r="O8819" s="43">
        <f>IF($I8819=0,0,INDEX(DarlErsatzRate,19))</f>
      </c>
      <c r="P8819" s="43">
        <f>IF($I8819=0,0,$Q8818*INDEX(DarlErsatzZins,19))</f>
      </c>
      <c r="Q8819" s="43">
        <f>IF($I8819=0,0,$Q8818+$P8819+$O8819)</f>
      </c>
      <c r="R8819" s="43">
        <f>IF($I8819=0,0,$J8819-$M8819-$N8819)</f>
      </c>
    </row>
    <row r="8820">
      <c r="A8820"/>
      <c r="B8820">
        <v>19</v>
      </c>
      <c r="C8820" s="43">
        <f>INDEX(DarlObj,19)</f>
      </c>
      <c r="D8820">
        <v>177</v>
      </c>
      <c r="E8820" s="51">
        <f>IF(INDEX(DarlBelegt,19)=0,0,EOMONTH(INDEX(DarlAuszahlung,19),176)+1)</f>
      </c>
      <c r="F8820" s="43">
        <f>IF($E8820=0,0,YEAR($E8820))</f>
      </c>
      <c r="G8820" s="43">
        <f>IF(INDEX(DarlBindung,19)="",1,IF($E8820&lt;=INDEX(DarlBindung,19),1,0))</f>
      </c>
      <c r="H8820" s="43">
        <f>IF($G8820=1,INDEX(DarlSollzins,19),INDEX(DarlAnschluss,19))</f>
      </c>
      <c r="I8820" s="43">
        <f>IF(INDEX(DarlBelegt,19)=0,0,IF(INDEX(DarlOhneTilgung,19)=1,IF(INDEX(DarlBindung,19)="",1,$G8820),IF($J8820&gt;0.005,1,0)))</f>
      </c>
      <c r="J8820" s="43">
        <f>IF($I8819=0,0,$R8819)</f>
      </c>
      <c r="K8820" s="43">
        <f>IF($I8820=0,0,IF(INDEX(DarlOhneTilgung,19)=1,0,IF(AND(INDEX(DarlTilgStart,19)&gt;0,$E8820=INDEX(DarlTilgStart,19)),$J8820*($H8820+INDEX(DarlTilgung,19))/100/12,IF(AND($G8820=0,$G8819=1),MAX($K8819,$J8820*($H8820+1)/100/12),$K8819))))</f>
      </c>
      <c r="L8820" s="43">
        <f>IF($I8820=0,0,$J8820*$H8820/100/12)</f>
      </c>
      <c r="M8820" s="43">
        <f>IF($I8820=0,0,IF(OR(INDEX(DarlOhneTilgung,19)=1,AND(INDEX(DarlTilgStart,19)&gt;0,$E8820&lt;INDEX(DarlTilgStart,19))),0,MIN(MAX(0,$K8820-$L8820),$J8820)))</f>
      </c>
      <c r="N8820" s="43">
        <f>IF($I8820=0,0,MIN(SUMIFS(SondBetrag,SondDarl,19,SondDatum,"&gt;="&amp;$E8820,SondDatum,"&lt;="&amp;EOMONTH($E8820,0)),$J8820-$M8820))</f>
      </c>
      <c r="O8820" s="43">
        <f>IF($I8820=0,0,INDEX(DarlErsatzRate,19))</f>
      </c>
      <c r="P8820" s="43">
        <f>IF($I8820=0,0,$Q8819*INDEX(DarlErsatzZins,19))</f>
      </c>
      <c r="Q8820" s="43">
        <f>IF($I8820=0,0,$Q8819+$P8820+$O8820)</f>
      </c>
      <c r="R8820" s="43">
        <f>IF($I8820=0,0,$J8820-$M8820-$N8820)</f>
      </c>
    </row>
    <row r="8821">
      <c r="A8821"/>
      <c r="B8821">
        <v>19</v>
      </c>
      <c r="C8821" s="43">
        <f>INDEX(DarlObj,19)</f>
      </c>
      <c r="D8821">
        <v>178</v>
      </c>
      <c r="E8821" s="51">
        <f>IF(INDEX(DarlBelegt,19)=0,0,EOMONTH(INDEX(DarlAuszahlung,19),177)+1)</f>
      </c>
      <c r="F8821" s="43">
        <f>IF($E8821=0,0,YEAR($E8821))</f>
      </c>
      <c r="G8821" s="43">
        <f>IF(INDEX(DarlBindung,19)="",1,IF($E8821&lt;=INDEX(DarlBindung,19),1,0))</f>
      </c>
      <c r="H8821" s="43">
        <f>IF($G8821=1,INDEX(DarlSollzins,19),INDEX(DarlAnschluss,19))</f>
      </c>
      <c r="I8821" s="43">
        <f>IF(INDEX(DarlBelegt,19)=0,0,IF(INDEX(DarlOhneTilgung,19)=1,IF(INDEX(DarlBindung,19)="",1,$G8821),IF($J8821&gt;0.005,1,0)))</f>
      </c>
      <c r="J8821" s="43">
        <f>IF($I8820=0,0,$R8820)</f>
      </c>
      <c r="K8821" s="43">
        <f>IF($I8821=0,0,IF(INDEX(DarlOhneTilgung,19)=1,0,IF(AND(INDEX(DarlTilgStart,19)&gt;0,$E8821=INDEX(DarlTilgStart,19)),$J8821*($H8821+INDEX(DarlTilgung,19))/100/12,IF(AND($G8821=0,$G8820=1),MAX($K8820,$J8821*($H8821+1)/100/12),$K8820))))</f>
      </c>
      <c r="L8821" s="43">
        <f>IF($I8821=0,0,$J8821*$H8821/100/12)</f>
      </c>
      <c r="M8821" s="43">
        <f>IF($I8821=0,0,IF(OR(INDEX(DarlOhneTilgung,19)=1,AND(INDEX(DarlTilgStart,19)&gt;0,$E8821&lt;INDEX(DarlTilgStart,19))),0,MIN(MAX(0,$K8821-$L8821),$J8821)))</f>
      </c>
      <c r="N8821" s="43">
        <f>IF($I8821=0,0,MIN(SUMIFS(SondBetrag,SondDarl,19,SondDatum,"&gt;="&amp;$E8821,SondDatum,"&lt;="&amp;EOMONTH($E8821,0)),$J8821-$M8821))</f>
      </c>
      <c r="O8821" s="43">
        <f>IF($I8821=0,0,INDEX(DarlErsatzRate,19))</f>
      </c>
      <c r="P8821" s="43">
        <f>IF($I8821=0,0,$Q8820*INDEX(DarlErsatzZins,19))</f>
      </c>
      <c r="Q8821" s="43">
        <f>IF($I8821=0,0,$Q8820+$P8821+$O8821)</f>
      </c>
      <c r="R8821" s="43">
        <f>IF($I8821=0,0,$J8821-$M8821-$N8821)</f>
      </c>
    </row>
    <row r="8822">
      <c r="A8822"/>
      <c r="B8822">
        <v>19</v>
      </c>
      <c r="C8822" s="43">
        <f>INDEX(DarlObj,19)</f>
      </c>
      <c r="D8822">
        <v>179</v>
      </c>
      <c r="E8822" s="51">
        <f>IF(INDEX(DarlBelegt,19)=0,0,EOMONTH(INDEX(DarlAuszahlung,19),178)+1)</f>
      </c>
      <c r="F8822" s="43">
        <f>IF($E8822=0,0,YEAR($E8822))</f>
      </c>
      <c r="G8822" s="43">
        <f>IF(INDEX(DarlBindung,19)="",1,IF($E8822&lt;=INDEX(DarlBindung,19),1,0))</f>
      </c>
      <c r="H8822" s="43">
        <f>IF($G8822=1,INDEX(DarlSollzins,19),INDEX(DarlAnschluss,19))</f>
      </c>
      <c r="I8822" s="43">
        <f>IF(INDEX(DarlBelegt,19)=0,0,IF(INDEX(DarlOhneTilgung,19)=1,IF(INDEX(DarlBindung,19)="",1,$G8822),IF($J8822&gt;0.005,1,0)))</f>
      </c>
      <c r="J8822" s="43">
        <f>IF($I8821=0,0,$R8821)</f>
      </c>
      <c r="K8822" s="43">
        <f>IF($I8822=0,0,IF(INDEX(DarlOhneTilgung,19)=1,0,IF(AND(INDEX(DarlTilgStart,19)&gt;0,$E8822=INDEX(DarlTilgStart,19)),$J8822*($H8822+INDEX(DarlTilgung,19))/100/12,IF(AND($G8822=0,$G8821=1),MAX($K8821,$J8822*($H8822+1)/100/12),$K8821))))</f>
      </c>
      <c r="L8822" s="43">
        <f>IF($I8822=0,0,$J8822*$H8822/100/12)</f>
      </c>
      <c r="M8822" s="43">
        <f>IF($I8822=0,0,IF(OR(INDEX(DarlOhneTilgung,19)=1,AND(INDEX(DarlTilgStart,19)&gt;0,$E8822&lt;INDEX(DarlTilgStart,19))),0,MIN(MAX(0,$K8822-$L8822),$J8822)))</f>
      </c>
      <c r="N8822" s="43">
        <f>IF($I8822=0,0,MIN(SUMIFS(SondBetrag,SondDarl,19,SondDatum,"&gt;="&amp;$E8822,SondDatum,"&lt;="&amp;EOMONTH($E8822,0)),$J8822-$M8822))</f>
      </c>
      <c r="O8822" s="43">
        <f>IF($I8822=0,0,INDEX(DarlErsatzRate,19))</f>
      </c>
      <c r="P8822" s="43">
        <f>IF($I8822=0,0,$Q8821*INDEX(DarlErsatzZins,19))</f>
      </c>
      <c r="Q8822" s="43">
        <f>IF($I8822=0,0,$Q8821+$P8822+$O8822)</f>
      </c>
      <c r="R8822" s="43">
        <f>IF($I8822=0,0,$J8822-$M8822-$N8822)</f>
      </c>
    </row>
    <row r="8823">
      <c r="A8823"/>
      <c r="B8823">
        <v>19</v>
      </c>
      <c r="C8823" s="43">
        <f>INDEX(DarlObj,19)</f>
      </c>
      <c r="D8823">
        <v>180</v>
      </c>
      <c r="E8823" s="51">
        <f>IF(INDEX(DarlBelegt,19)=0,0,EOMONTH(INDEX(DarlAuszahlung,19),179)+1)</f>
      </c>
      <c r="F8823" s="43">
        <f>IF($E8823=0,0,YEAR($E8823))</f>
      </c>
      <c r="G8823" s="43">
        <f>IF(INDEX(DarlBindung,19)="",1,IF($E8823&lt;=INDEX(DarlBindung,19),1,0))</f>
      </c>
      <c r="H8823" s="43">
        <f>IF($G8823=1,INDEX(DarlSollzins,19),INDEX(DarlAnschluss,19))</f>
      </c>
      <c r="I8823" s="43">
        <f>IF(INDEX(DarlBelegt,19)=0,0,IF(INDEX(DarlOhneTilgung,19)=1,IF(INDEX(DarlBindung,19)="",1,$G8823),IF($J8823&gt;0.005,1,0)))</f>
      </c>
      <c r="J8823" s="43">
        <f>IF($I8822=0,0,$R8822)</f>
      </c>
      <c r="K8823" s="43">
        <f>IF($I8823=0,0,IF(INDEX(DarlOhneTilgung,19)=1,0,IF(AND(INDEX(DarlTilgStart,19)&gt;0,$E8823=INDEX(DarlTilgStart,19)),$J8823*($H8823+INDEX(DarlTilgung,19))/100/12,IF(AND($G8823=0,$G8822=1),MAX($K8822,$J8823*($H8823+1)/100/12),$K8822))))</f>
      </c>
      <c r="L8823" s="43">
        <f>IF($I8823=0,0,$J8823*$H8823/100/12)</f>
      </c>
      <c r="M8823" s="43">
        <f>IF($I8823=0,0,IF(OR(INDEX(DarlOhneTilgung,19)=1,AND(INDEX(DarlTilgStart,19)&gt;0,$E8823&lt;INDEX(DarlTilgStart,19))),0,MIN(MAX(0,$K8823-$L8823),$J8823)))</f>
      </c>
      <c r="N8823" s="43">
        <f>IF($I8823=0,0,MIN(SUMIFS(SondBetrag,SondDarl,19,SondDatum,"&gt;="&amp;$E8823,SondDatum,"&lt;="&amp;EOMONTH($E8823,0)),$J8823-$M8823))</f>
      </c>
      <c r="O8823" s="43">
        <f>IF($I8823=0,0,INDEX(DarlErsatzRate,19))</f>
      </c>
      <c r="P8823" s="43">
        <f>IF($I8823=0,0,$Q8822*INDEX(DarlErsatzZins,19))</f>
      </c>
      <c r="Q8823" s="43">
        <f>IF($I8823=0,0,$Q8822+$P8823+$O8823)</f>
      </c>
      <c r="R8823" s="43">
        <f>IF($I8823=0,0,$J8823-$M8823-$N8823)</f>
      </c>
    </row>
    <row r="8824">
      <c r="A8824"/>
      <c r="B8824">
        <v>19</v>
      </c>
      <c r="C8824" s="43">
        <f>INDEX(DarlObj,19)</f>
      </c>
      <c r="D8824">
        <v>181</v>
      </c>
      <c r="E8824" s="51">
        <f>IF(INDEX(DarlBelegt,19)=0,0,EOMONTH(INDEX(DarlAuszahlung,19),180)+1)</f>
      </c>
      <c r="F8824" s="43">
        <f>IF($E8824=0,0,YEAR($E8824))</f>
      </c>
      <c r="G8824" s="43">
        <f>IF(INDEX(DarlBindung,19)="",1,IF($E8824&lt;=INDEX(DarlBindung,19),1,0))</f>
      </c>
      <c r="H8824" s="43">
        <f>IF($G8824=1,INDEX(DarlSollzins,19),INDEX(DarlAnschluss,19))</f>
      </c>
      <c r="I8824" s="43">
        <f>IF(INDEX(DarlBelegt,19)=0,0,IF(INDEX(DarlOhneTilgung,19)=1,IF(INDEX(DarlBindung,19)="",1,$G8824),IF($J8824&gt;0.005,1,0)))</f>
      </c>
      <c r="J8824" s="43">
        <f>IF($I8823=0,0,$R8823)</f>
      </c>
      <c r="K8824" s="43">
        <f>IF($I8824=0,0,IF(INDEX(DarlOhneTilgung,19)=1,0,IF(AND(INDEX(DarlTilgStart,19)&gt;0,$E8824=INDEX(DarlTilgStart,19)),$J8824*($H8824+INDEX(DarlTilgung,19))/100/12,IF(AND($G8824=0,$G8823=1),MAX($K8823,$J8824*($H8824+1)/100/12),$K8823))))</f>
      </c>
      <c r="L8824" s="43">
        <f>IF($I8824=0,0,$J8824*$H8824/100/12)</f>
      </c>
      <c r="M8824" s="43">
        <f>IF($I8824=0,0,IF(OR(INDEX(DarlOhneTilgung,19)=1,AND(INDEX(DarlTilgStart,19)&gt;0,$E8824&lt;INDEX(DarlTilgStart,19))),0,MIN(MAX(0,$K8824-$L8824),$J8824)))</f>
      </c>
      <c r="N8824" s="43">
        <f>IF($I8824=0,0,MIN(SUMIFS(SondBetrag,SondDarl,19,SondDatum,"&gt;="&amp;$E8824,SondDatum,"&lt;="&amp;EOMONTH($E8824,0)),$J8824-$M8824))</f>
      </c>
      <c r="O8824" s="43">
        <f>IF($I8824=0,0,INDEX(DarlErsatzRate,19))</f>
      </c>
      <c r="P8824" s="43">
        <f>IF($I8824=0,0,$Q8823*INDEX(DarlErsatzZins,19))</f>
      </c>
      <c r="Q8824" s="43">
        <f>IF($I8824=0,0,$Q8823+$P8824+$O8824)</f>
      </c>
      <c r="R8824" s="43">
        <f>IF($I8824=0,0,$J8824-$M8824-$N8824)</f>
      </c>
    </row>
    <row r="8825">
      <c r="A8825"/>
      <c r="B8825">
        <v>19</v>
      </c>
      <c r="C8825" s="43">
        <f>INDEX(DarlObj,19)</f>
      </c>
      <c r="D8825">
        <v>182</v>
      </c>
      <c r="E8825" s="51">
        <f>IF(INDEX(DarlBelegt,19)=0,0,EOMONTH(INDEX(DarlAuszahlung,19),181)+1)</f>
      </c>
      <c r="F8825" s="43">
        <f>IF($E8825=0,0,YEAR($E8825))</f>
      </c>
      <c r="G8825" s="43">
        <f>IF(INDEX(DarlBindung,19)="",1,IF($E8825&lt;=INDEX(DarlBindung,19),1,0))</f>
      </c>
      <c r="H8825" s="43">
        <f>IF($G8825=1,INDEX(DarlSollzins,19),INDEX(DarlAnschluss,19))</f>
      </c>
      <c r="I8825" s="43">
        <f>IF(INDEX(DarlBelegt,19)=0,0,IF(INDEX(DarlOhneTilgung,19)=1,IF(INDEX(DarlBindung,19)="",1,$G8825),IF($J8825&gt;0.005,1,0)))</f>
      </c>
      <c r="J8825" s="43">
        <f>IF($I8824=0,0,$R8824)</f>
      </c>
      <c r="K8825" s="43">
        <f>IF($I8825=0,0,IF(INDEX(DarlOhneTilgung,19)=1,0,IF(AND(INDEX(DarlTilgStart,19)&gt;0,$E8825=INDEX(DarlTilgStart,19)),$J8825*($H8825+INDEX(DarlTilgung,19))/100/12,IF(AND($G8825=0,$G8824=1),MAX($K8824,$J8825*($H8825+1)/100/12),$K8824))))</f>
      </c>
      <c r="L8825" s="43">
        <f>IF($I8825=0,0,$J8825*$H8825/100/12)</f>
      </c>
      <c r="M8825" s="43">
        <f>IF($I8825=0,0,IF(OR(INDEX(DarlOhneTilgung,19)=1,AND(INDEX(DarlTilgStart,19)&gt;0,$E8825&lt;INDEX(DarlTilgStart,19))),0,MIN(MAX(0,$K8825-$L8825),$J8825)))</f>
      </c>
      <c r="N8825" s="43">
        <f>IF($I8825=0,0,MIN(SUMIFS(SondBetrag,SondDarl,19,SondDatum,"&gt;="&amp;$E8825,SondDatum,"&lt;="&amp;EOMONTH($E8825,0)),$J8825-$M8825))</f>
      </c>
      <c r="O8825" s="43">
        <f>IF($I8825=0,0,INDEX(DarlErsatzRate,19))</f>
      </c>
      <c r="P8825" s="43">
        <f>IF($I8825=0,0,$Q8824*INDEX(DarlErsatzZins,19))</f>
      </c>
      <c r="Q8825" s="43">
        <f>IF($I8825=0,0,$Q8824+$P8825+$O8825)</f>
      </c>
      <c r="R8825" s="43">
        <f>IF($I8825=0,0,$J8825-$M8825-$N8825)</f>
      </c>
    </row>
    <row r="8826">
      <c r="A8826"/>
      <c r="B8826">
        <v>19</v>
      </c>
      <c r="C8826" s="43">
        <f>INDEX(DarlObj,19)</f>
      </c>
      <c r="D8826">
        <v>183</v>
      </c>
      <c r="E8826" s="51">
        <f>IF(INDEX(DarlBelegt,19)=0,0,EOMONTH(INDEX(DarlAuszahlung,19),182)+1)</f>
      </c>
      <c r="F8826" s="43">
        <f>IF($E8826=0,0,YEAR($E8826))</f>
      </c>
      <c r="G8826" s="43">
        <f>IF(INDEX(DarlBindung,19)="",1,IF($E8826&lt;=INDEX(DarlBindung,19),1,0))</f>
      </c>
      <c r="H8826" s="43">
        <f>IF($G8826=1,INDEX(DarlSollzins,19),INDEX(DarlAnschluss,19))</f>
      </c>
      <c r="I8826" s="43">
        <f>IF(INDEX(DarlBelegt,19)=0,0,IF(INDEX(DarlOhneTilgung,19)=1,IF(INDEX(DarlBindung,19)="",1,$G8826),IF($J8826&gt;0.005,1,0)))</f>
      </c>
      <c r="J8826" s="43">
        <f>IF($I8825=0,0,$R8825)</f>
      </c>
      <c r="K8826" s="43">
        <f>IF($I8826=0,0,IF(INDEX(DarlOhneTilgung,19)=1,0,IF(AND(INDEX(DarlTilgStart,19)&gt;0,$E8826=INDEX(DarlTilgStart,19)),$J8826*($H8826+INDEX(DarlTilgung,19))/100/12,IF(AND($G8826=0,$G8825=1),MAX($K8825,$J8826*($H8826+1)/100/12),$K8825))))</f>
      </c>
      <c r="L8826" s="43">
        <f>IF($I8826=0,0,$J8826*$H8826/100/12)</f>
      </c>
      <c r="M8826" s="43">
        <f>IF($I8826=0,0,IF(OR(INDEX(DarlOhneTilgung,19)=1,AND(INDEX(DarlTilgStart,19)&gt;0,$E8826&lt;INDEX(DarlTilgStart,19))),0,MIN(MAX(0,$K8826-$L8826),$J8826)))</f>
      </c>
      <c r="N8826" s="43">
        <f>IF($I8826=0,0,MIN(SUMIFS(SondBetrag,SondDarl,19,SondDatum,"&gt;="&amp;$E8826,SondDatum,"&lt;="&amp;EOMONTH($E8826,0)),$J8826-$M8826))</f>
      </c>
      <c r="O8826" s="43">
        <f>IF($I8826=0,0,INDEX(DarlErsatzRate,19))</f>
      </c>
      <c r="P8826" s="43">
        <f>IF($I8826=0,0,$Q8825*INDEX(DarlErsatzZins,19))</f>
      </c>
      <c r="Q8826" s="43">
        <f>IF($I8826=0,0,$Q8825+$P8826+$O8826)</f>
      </c>
      <c r="R8826" s="43">
        <f>IF($I8826=0,0,$J8826-$M8826-$N8826)</f>
      </c>
    </row>
    <row r="8827">
      <c r="A8827"/>
      <c r="B8827">
        <v>19</v>
      </c>
      <c r="C8827" s="43">
        <f>INDEX(DarlObj,19)</f>
      </c>
      <c r="D8827">
        <v>184</v>
      </c>
      <c r="E8827" s="51">
        <f>IF(INDEX(DarlBelegt,19)=0,0,EOMONTH(INDEX(DarlAuszahlung,19),183)+1)</f>
      </c>
      <c r="F8827" s="43">
        <f>IF($E8827=0,0,YEAR($E8827))</f>
      </c>
      <c r="G8827" s="43">
        <f>IF(INDEX(DarlBindung,19)="",1,IF($E8827&lt;=INDEX(DarlBindung,19),1,0))</f>
      </c>
      <c r="H8827" s="43">
        <f>IF($G8827=1,INDEX(DarlSollzins,19),INDEX(DarlAnschluss,19))</f>
      </c>
      <c r="I8827" s="43">
        <f>IF(INDEX(DarlBelegt,19)=0,0,IF(INDEX(DarlOhneTilgung,19)=1,IF(INDEX(DarlBindung,19)="",1,$G8827),IF($J8827&gt;0.005,1,0)))</f>
      </c>
      <c r="J8827" s="43">
        <f>IF($I8826=0,0,$R8826)</f>
      </c>
      <c r="K8827" s="43">
        <f>IF($I8827=0,0,IF(INDEX(DarlOhneTilgung,19)=1,0,IF(AND(INDEX(DarlTilgStart,19)&gt;0,$E8827=INDEX(DarlTilgStart,19)),$J8827*($H8827+INDEX(DarlTilgung,19))/100/12,IF(AND($G8827=0,$G8826=1),MAX($K8826,$J8827*($H8827+1)/100/12),$K8826))))</f>
      </c>
      <c r="L8827" s="43">
        <f>IF($I8827=0,0,$J8827*$H8827/100/12)</f>
      </c>
      <c r="M8827" s="43">
        <f>IF($I8827=0,0,IF(OR(INDEX(DarlOhneTilgung,19)=1,AND(INDEX(DarlTilgStart,19)&gt;0,$E8827&lt;INDEX(DarlTilgStart,19))),0,MIN(MAX(0,$K8827-$L8827),$J8827)))</f>
      </c>
      <c r="N8827" s="43">
        <f>IF($I8827=0,0,MIN(SUMIFS(SondBetrag,SondDarl,19,SondDatum,"&gt;="&amp;$E8827,SondDatum,"&lt;="&amp;EOMONTH($E8827,0)),$J8827-$M8827))</f>
      </c>
      <c r="O8827" s="43">
        <f>IF($I8827=0,0,INDEX(DarlErsatzRate,19))</f>
      </c>
      <c r="P8827" s="43">
        <f>IF($I8827=0,0,$Q8826*INDEX(DarlErsatzZins,19))</f>
      </c>
      <c r="Q8827" s="43">
        <f>IF($I8827=0,0,$Q8826+$P8827+$O8827)</f>
      </c>
      <c r="R8827" s="43">
        <f>IF($I8827=0,0,$J8827-$M8827-$N8827)</f>
      </c>
    </row>
    <row r="8828">
      <c r="A8828"/>
      <c r="B8828">
        <v>19</v>
      </c>
      <c r="C8828" s="43">
        <f>INDEX(DarlObj,19)</f>
      </c>
      <c r="D8828">
        <v>185</v>
      </c>
      <c r="E8828" s="51">
        <f>IF(INDEX(DarlBelegt,19)=0,0,EOMONTH(INDEX(DarlAuszahlung,19),184)+1)</f>
      </c>
      <c r="F8828" s="43">
        <f>IF($E8828=0,0,YEAR($E8828))</f>
      </c>
      <c r="G8828" s="43">
        <f>IF(INDEX(DarlBindung,19)="",1,IF($E8828&lt;=INDEX(DarlBindung,19),1,0))</f>
      </c>
      <c r="H8828" s="43">
        <f>IF($G8828=1,INDEX(DarlSollzins,19),INDEX(DarlAnschluss,19))</f>
      </c>
      <c r="I8828" s="43">
        <f>IF(INDEX(DarlBelegt,19)=0,0,IF(INDEX(DarlOhneTilgung,19)=1,IF(INDEX(DarlBindung,19)="",1,$G8828),IF($J8828&gt;0.005,1,0)))</f>
      </c>
      <c r="J8828" s="43">
        <f>IF($I8827=0,0,$R8827)</f>
      </c>
      <c r="K8828" s="43">
        <f>IF($I8828=0,0,IF(INDEX(DarlOhneTilgung,19)=1,0,IF(AND(INDEX(DarlTilgStart,19)&gt;0,$E8828=INDEX(DarlTilgStart,19)),$J8828*($H8828+INDEX(DarlTilgung,19))/100/12,IF(AND($G8828=0,$G8827=1),MAX($K8827,$J8828*($H8828+1)/100/12),$K8827))))</f>
      </c>
      <c r="L8828" s="43">
        <f>IF($I8828=0,0,$J8828*$H8828/100/12)</f>
      </c>
      <c r="M8828" s="43">
        <f>IF($I8828=0,0,IF(OR(INDEX(DarlOhneTilgung,19)=1,AND(INDEX(DarlTilgStart,19)&gt;0,$E8828&lt;INDEX(DarlTilgStart,19))),0,MIN(MAX(0,$K8828-$L8828),$J8828)))</f>
      </c>
      <c r="N8828" s="43">
        <f>IF($I8828=0,0,MIN(SUMIFS(SondBetrag,SondDarl,19,SondDatum,"&gt;="&amp;$E8828,SondDatum,"&lt;="&amp;EOMONTH($E8828,0)),$J8828-$M8828))</f>
      </c>
      <c r="O8828" s="43">
        <f>IF($I8828=0,0,INDEX(DarlErsatzRate,19))</f>
      </c>
      <c r="P8828" s="43">
        <f>IF($I8828=0,0,$Q8827*INDEX(DarlErsatzZins,19))</f>
      </c>
      <c r="Q8828" s="43">
        <f>IF($I8828=0,0,$Q8827+$P8828+$O8828)</f>
      </c>
      <c r="R8828" s="43">
        <f>IF($I8828=0,0,$J8828-$M8828-$N8828)</f>
      </c>
    </row>
    <row r="8829">
      <c r="A8829"/>
      <c r="B8829">
        <v>19</v>
      </c>
      <c r="C8829" s="43">
        <f>INDEX(DarlObj,19)</f>
      </c>
      <c r="D8829">
        <v>186</v>
      </c>
      <c r="E8829" s="51">
        <f>IF(INDEX(DarlBelegt,19)=0,0,EOMONTH(INDEX(DarlAuszahlung,19),185)+1)</f>
      </c>
      <c r="F8829" s="43">
        <f>IF($E8829=0,0,YEAR($E8829))</f>
      </c>
      <c r="G8829" s="43">
        <f>IF(INDEX(DarlBindung,19)="",1,IF($E8829&lt;=INDEX(DarlBindung,19),1,0))</f>
      </c>
      <c r="H8829" s="43">
        <f>IF($G8829=1,INDEX(DarlSollzins,19),INDEX(DarlAnschluss,19))</f>
      </c>
      <c r="I8829" s="43">
        <f>IF(INDEX(DarlBelegt,19)=0,0,IF(INDEX(DarlOhneTilgung,19)=1,IF(INDEX(DarlBindung,19)="",1,$G8829),IF($J8829&gt;0.005,1,0)))</f>
      </c>
      <c r="J8829" s="43">
        <f>IF($I8828=0,0,$R8828)</f>
      </c>
      <c r="K8829" s="43">
        <f>IF($I8829=0,0,IF(INDEX(DarlOhneTilgung,19)=1,0,IF(AND(INDEX(DarlTilgStart,19)&gt;0,$E8829=INDEX(DarlTilgStart,19)),$J8829*($H8829+INDEX(DarlTilgung,19))/100/12,IF(AND($G8829=0,$G8828=1),MAX($K8828,$J8829*($H8829+1)/100/12),$K8828))))</f>
      </c>
      <c r="L8829" s="43">
        <f>IF($I8829=0,0,$J8829*$H8829/100/12)</f>
      </c>
      <c r="M8829" s="43">
        <f>IF($I8829=0,0,IF(OR(INDEX(DarlOhneTilgung,19)=1,AND(INDEX(DarlTilgStart,19)&gt;0,$E8829&lt;INDEX(DarlTilgStart,19))),0,MIN(MAX(0,$K8829-$L8829),$J8829)))</f>
      </c>
      <c r="N8829" s="43">
        <f>IF($I8829=0,0,MIN(SUMIFS(SondBetrag,SondDarl,19,SondDatum,"&gt;="&amp;$E8829,SondDatum,"&lt;="&amp;EOMONTH($E8829,0)),$J8829-$M8829))</f>
      </c>
      <c r="O8829" s="43">
        <f>IF($I8829=0,0,INDEX(DarlErsatzRate,19))</f>
      </c>
      <c r="P8829" s="43">
        <f>IF($I8829=0,0,$Q8828*INDEX(DarlErsatzZins,19))</f>
      </c>
      <c r="Q8829" s="43">
        <f>IF($I8829=0,0,$Q8828+$P8829+$O8829)</f>
      </c>
      <c r="R8829" s="43">
        <f>IF($I8829=0,0,$J8829-$M8829-$N8829)</f>
      </c>
    </row>
    <row r="8830">
      <c r="A8830"/>
      <c r="B8830">
        <v>19</v>
      </c>
      <c r="C8830" s="43">
        <f>INDEX(DarlObj,19)</f>
      </c>
      <c r="D8830">
        <v>187</v>
      </c>
      <c r="E8830" s="51">
        <f>IF(INDEX(DarlBelegt,19)=0,0,EOMONTH(INDEX(DarlAuszahlung,19),186)+1)</f>
      </c>
      <c r="F8830" s="43">
        <f>IF($E8830=0,0,YEAR($E8830))</f>
      </c>
      <c r="G8830" s="43">
        <f>IF(INDEX(DarlBindung,19)="",1,IF($E8830&lt;=INDEX(DarlBindung,19),1,0))</f>
      </c>
      <c r="H8830" s="43">
        <f>IF($G8830=1,INDEX(DarlSollzins,19),INDEX(DarlAnschluss,19))</f>
      </c>
      <c r="I8830" s="43">
        <f>IF(INDEX(DarlBelegt,19)=0,0,IF(INDEX(DarlOhneTilgung,19)=1,IF(INDEX(DarlBindung,19)="",1,$G8830),IF($J8830&gt;0.005,1,0)))</f>
      </c>
      <c r="J8830" s="43">
        <f>IF($I8829=0,0,$R8829)</f>
      </c>
      <c r="K8830" s="43">
        <f>IF($I8830=0,0,IF(INDEX(DarlOhneTilgung,19)=1,0,IF(AND(INDEX(DarlTilgStart,19)&gt;0,$E8830=INDEX(DarlTilgStart,19)),$J8830*($H8830+INDEX(DarlTilgung,19))/100/12,IF(AND($G8830=0,$G8829=1),MAX($K8829,$J8830*($H8830+1)/100/12),$K8829))))</f>
      </c>
      <c r="L8830" s="43">
        <f>IF($I8830=0,0,$J8830*$H8830/100/12)</f>
      </c>
      <c r="M8830" s="43">
        <f>IF($I8830=0,0,IF(OR(INDEX(DarlOhneTilgung,19)=1,AND(INDEX(DarlTilgStart,19)&gt;0,$E8830&lt;INDEX(DarlTilgStart,19))),0,MIN(MAX(0,$K8830-$L8830),$J8830)))</f>
      </c>
      <c r="N8830" s="43">
        <f>IF($I8830=0,0,MIN(SUMIFS(SondBetrag,SondDarl,19,SondDatum,"&gt;="&amp;$E8830,SondDatum,"&lt;="&amp;EOMONTH($E8830,0)),$J8830-$M8830))</f>
      </c>
      <c r="O8830" s="43">
        <f>IF($I8830=0,0,INDEX(DarlErsatzRate,19))</f>
      </c>
      <c r="P8830" s="43">
        <f>IF($I8830=0,0,$Q8829*INDEX(DarlErsatzZins,19))</f>
      </c>
      <c r="Q8830" s="43">
        <f>IF($I8830=0,0,$Q8829+$P8830+$O8830)</f>
      </c>
      <c r="R8830" s="43">
        <f>IF($I8830=0,0,$J8830-$M8830-$N8830)</f>
      </c>
    </row>
    <row r="8831">
      <c r="A8831"/>
      <c r="B8831">
        <v>19</v>
      </c>
      <c r="C8831" s="43">
        <f>INDEX(DarlObj,19)</f>
      </c>
      <c r="D8831">
        <v>188</v>
      </c>
      <c r="E8831" s="51">
        <f>IF(INDEX(DarlBelegt,19)=0,0,EOMONTH(INDEX(DarlAuszahlung,19),187)+1)</f>
      </c>
      <c r="F8831" s="43">
        <f>IF($E8831=0,0,YEAR($E8831))</f>
      </c>
      <c r="G8831" s="43">
        <f>IF(INDEX(DarlBindung,19)="",1,IF($E8831&lt;=INDEX(DarlBindung,19),1,0))</f>
      </c>
      <c r="H8831" s="43">
        <f>IF($G8831=1,INDEX(DarlSollzins,19),INDEX(DarlAnschluss,19))</f>
      </c>
      <c r="I8831" s="43">
        <f>IF(INDEX(DarlBelegt,19)=0,0,IF(INDEX(DarlOhneTilgung,19)=1,IF(INDEX(DarlBindung,19)="",1,$G8831),IF($J8831&gt;0.005,1,0)))</f>
      </c>
      <c r="J8831" s="43">
        <f>IF($I8830=0,0,$R8830)</f>
      </c>
      <c r="K8831" s="43">
        <f>IF($I8831=0,0,IF(INDEX(DarlOhneTilgung,19)=1,0,IF(AND(INDEX(DarlTilgStart,19)&gt;0,$E8831=INDEX(DarlTilgStart,19)),$J8831*($H8831+INDEX(DarlTilgung,19))/100/12,IF(AND($G8831=0,$G8830=1),MAX($K8830,$J8831*($H8831+1)/100/12),$K8830))))</f>
      </c>
      <c r="L8831" s="43">
        <f>IF($I8831=0,0,$J8831*$H8831/100/12)</f>
      </c>
      <c r="M8831" s="43">
        <f>IF($I8831=0,0,IF(OR(INDEX(DarlOhneTilgung,19)=1,AND(INDEX(DarlTilgStart,19)&gt;0,$E8831&lt;INDEX(DarlTilgStart,19))),0,MIN(MAX(0,$K8831-$L8831),$J8831)))</f>
      </c>
      <c r="N8831" s="43">
        <f>IF($I8831=0,0,MIN(SUMIFS(SondBetrag,SondDarl,19,SondDatum,"&gt;="&amp;$E8831,SondDatum,"&lt;="&amp;EOMONTH($E8831,0)),$J8831-$M8831))</f>
      </c>
      <c r="O8831" s="43">
        <f>IF($I8831=0,0,INDEX(DarlErsatzRate,19))</f>
      </c>
      <c r="P8831" s="43">
        <f>IF($I8831=0,0,$Q8830*INDEX(DarlErsatzZins,19))</f>
      </c>
      <c r="Q8831" s="43">
        <f>IF($I8831=0,0,$Q8830+$P8831+$O8831)</f>
      </c>
      <c r="R8831" s="43">
        <f>IF($I8831=0,0,$J8831-$M8831-$N8831)</f>
      </c>
    </row>
    <row r="8832">
      <c r="A8832"/>
      <c r="B8832">
        <v>19</v>
      </c>
      <c r="C8832" s="43">
        <f>INDEX(DarlObj,19)</f>
      </c>
      <c r="D8832">
        <v>189</v>
      </c>
      <c r="E8832" s="51">
        <f>IF(INDEX(DarlBelegt,19)=0,0,EOMONTH(INDEX(DarlAuszahlung,19),188)+1)</f>
      </c>
      <c r="F8832" s="43">
        <f>IF($E8832=0,0,YEAR($E8832))</f>
      </c>
      <c r="G8832" s="43">
        <f>IF(INDEX(DarlBindung,19)="",1,IF($E8832&lt;=INDEX(DarlBindung,19),1,0))</f>
      </c>
      <c r="H8832" s="43">
        <f>IF($G8832=1,INDEX(DarlSollzins,19),INDEX(DarlAnschluss,19))</f>
      </c>
      <c r="I8832" s="43">
        <f>IF(INDEX(DarlBelegt,19)=0,0,IF(INDEX(DarlOhneTilgung,19)=1,IF(INDEX(DarlBindung,19)="",1,$G8832),IF($J8832&gt;0.005,1,0)))</f>
      </c>
      <c r="J8832" s="43">
        <f>IF($I8831=0,0,$R8831)</f>
      </c>
      <c r="K8832" s="43">
        <f>IF($I8832=0,0,IF(INDEX(DarlOhneTilgung,19)=1,0,IF(AND(INDEX(DarlTilgStart,19)&gt;0,$E8832=INDEX(DarlTilgStart,19)),$J8832*($H8832+INDEX(DarlTilgung,19))/100/12,IF(AND($G8832=0,$G8831=1),MAX($K8831,$J8832*($H8832+1)/100/12),$K8831))))</f>
      </c>
      <c r="L8832" s="43">
        <f>IF($I8832=0,0,$J8832*$H8832/100/12)</f>
      </c>
      <c r="M8832" s="43">
        <f>IF($I8832=0,0,IF(OR(INDEX(DarlOhneTilgung,19)=1,AND(INDEX(DarlTilgStart,19)&gt;0,$E8832&lt;INDEX(DarlTilgStart,19))),0,MIN(MAX(0,$K8832-$L8832),$J8832)))</f>
      </c>
      <c r="N8832" s="43">
        <f>IF($I8832=0,0,MIN(SUMIFS(SondBetrag,SondDarl,19,SondDatum,"&gt;="&amp;$E8832,SondDatum,"&lt;="&amp;EOMONTH($E8832,0)),$J8832-$M8832))</f>
      </c>
      <c r="O8832" s="43">
        <f>IF($I8832=0,0,INDEX(DarlErsatzRate,19))</f>
      </c>
      <c r="P8832" s="43">
        <f>IF($I8832=0,0,$Q8831*INDEX(DarlErsatzZins,19))</f>
      </c>
      <c r="Q8832" s="43">
        <f>IF($I8832=0,0,$Q8831+$P8832+$O8832)</f>
      </c>
      <c r="R8832" s="43">
        <f>IF($I8832=0,0,$J8832-$M8832-$N8832)</f>
      </c>
    </row>
    <row r="8833">
      <c r="A8833"/>
      <c r="B8833">
        <v>19</v>
      </c>
      <c r="C8833" s="43">
        <f>INDEX(DarlObj,19)</f>
      </c>
      <c r="D8833">
        <v>190</v>
      </c>
      <c r="E8833" s="51">
        <f>IF(INDEX(DarlBelegt,19)=0,0,EOMONTH(INDEX(DarlAuszahlung,19),189)+1)</f>
      </c>
      <c r="F8833" s="43">
        <f>IF($E8833=0,0,YEAR($E8833))</f>
      </c>
      <c r="G8833" s="43">
        <f>IF(INDEX(DarlBindung,19)="",1,IF($E8833&lt;=INDEX(DarlBindung,19),1,0))</f>
      </c>
      <c r="H8833" s="43">
        <f>IF($G8833=1,INDEX(DarlSollzins,19),INDEX(DarlAnschluss,19))</f>
      </c>
      <c r="I8833" s="43">
        <f>IF(INDEX(DarlBelegt,19)=0,0,IF(INDEX(DarlOhneTilgung,19)=1,IF(INDEX(DarlBindung,19)="",1,$G8833),IF($J8833&gt;0.005,1,0)))</f>
      </c>
      <c r="J8833" s="43">
        <f>IF($I8832=0,0,$R8832)</f>
      </c>
      <c r="K8833" s="43">
        <f>IF($I8833=0,0,IF(INDEX(DarlOhneTilgung,19)=1,0,IF(AND(INDEX(DarlTilgStart,19)&gt;0,$E8833=INDEX(DarlTilgStart,19)),$J8833*($H8833+INDEX(DarlTilgung,19))/100/12,IF(AND($G8833=0,$G8832=1),MAX($K8832,$J8833*($H8833+1)/100/12),$K8832))))</f>
      </c>
      <c r="L8833" s="43">
        <f>IF($I8833=0,0,$J8833*$H8833/100/12)</f>
      </c>
      <c r="M8833" s="43">
        <f>IF($I8833=0,0,IF(OR(INDEX(DarlOhneTilgung,19)=1,AND(INDEX(DarlTilgStart,19)&gt;0,$E8833&lt;INDEX(DarlTilgStart,19))),0,MIN(MAX(0,$K8833-$L8833),$J8833)))</f>
      </c>
      <c r="N8833" s="43">
        <f>IF($I8833=0,0,MIN(SUMIFS(SondBetrag,SondDarl,19,SondDatum,"&gt;="&amp;$E8833,SondDatum,"&lt;="&amp;EOMONTH($E8833,0)),$J8833-$M8833))</f>
      </c>
      <c r="O8833" s="43">
        <f>IF($I8833=0,0,INDEX(DarlErsatzRate,19))</f>
      </c>
      <c r="P8833" s="43">
        <f>IF($I8833=0,0,$Q8832*INDEX(DarlErsatzZins,19))</f>
      </c>
      <c r="Q8833" s="43">
        <f>IF($I8833=0,0,$Q8832+$P8833+$O8833)</f>
      </c>
      <c r="R8833" s="43">
        <f>IF($I8833=0,0,$J8833-$M8833-$N8833)</f>
      </c>
    </row>
    <row r="8834">
      <c r="A8834"/>
      <c r="B8834">
        <v>19</v>
      </c>
      <c r="C8834" s="43">
        <f>INDEX(DarlObj,19)</f>
      </c>
      <c r="D8834">
        <v>191</v>
      </c>
      <c r="E8834" s="51">
        <f>IF(INDEX(DarlBelegt,19)=0,0,EOMONTH(INDEX(DarlAuszahlung,19),190)+1)</f>
      </c>
      <c r="F8834" s="43">
        <f>IF($E8834=0,0,YEAR($E8834))</f>
      </c>
      <c r="G8834" s="43">
        <f>IF(INDEX(DarlBindung,19)="",1,IF($E8834&lt;=INDEX(DarlBindung,19),1,0))</f>
      </c>
      <c r="H8834" s="43">
        <f>IF($G8834=1,INDEX(DarlSollzins,19),INDEX(DarlAnschluss,19))</f>
      </c>
      <c r="I8834" s="43">
        <f>IF(INDEX(DarlBelegt,19)=0,0,IF(INDEX(DarlOhneTilgung,19)=1,IF(INDEX(DarlBindung,19)="",1,$G8834),IF($J8834&gt;0.005,1,0)))</f>
      </c>
      <c r="J8834" s="43">
        <f>IF($I8833=0,0,$R8833)</f>
      </c>
      <c r="K8834" s="43">
        <f>IF($I8834=0,0,IF(INDEX(DarlOhneTilgung,19)=1,0,IF(AND(INDEX(DarlTilgStart,19)&gt;0,$E8834=INDEX(DarlTilgStart,19)),$J8834*($H8834+INDEX(DarlTilgung,19))/100/12,IF(AND($G8834=0,$G8833=1),MAX($K8833,$J8834*($H8834+1)/100/12),$K8833))))</f>
      </c>
      <c r="L8834" s="43">
        <f>IF($I8834=0,0,$J8834*$H8834/100/12)</f>
      </c>
      <c r="M8834" s="43">
        <f>IF($I8834=0,0,IF(OR(INDEX(DarlOhneTilgung,19)=1,AND(INDEX(DarlTilgStart,19)&gt;0,$E8834&lt;INDEX(DarlTilgStart,19))),0,MIN(MAX(0,$K8834-$L8834),$J8834)))</f>
      </c>
      <c r="N8834" s="43">
        <f>IF($I8834=0,0,MIN(SUMIFS(SondBetrag,SondDarl,19,SondDatum,"&gt;="&amp;$E8834,SondDatum,"&lt;="&amp;EOMONTH($E8834,0)),$J8834-$M8834))</f>
      </c>
      <c r="O8834" s="43">
        <f>IF($I8834=0,0,INDEX(DarlErsatzRate,19))</f>
      </c>
      <c r="P8834" s="43">
        <f>IF($I8834=0,0,$Q8833*INDEX(DarlErsatzZins,19))</f>
      </c>
      <c r="Q8834" s="43">
        <f>IF($I8834=0,0,$Q8833+$P8834+$O8834)</f>
      </c>
      <c r="R8834" s="43">
        <f>IF($I8834=0,0,$J8834-$M8834-$N8834)</f>
      </c>
    </row>
    <row r="8835">
      <c r="A8835"/>
      <c r="B8835">
        <v>19</v>
      </c>
      <c r="C8835" s="43">
        <f>INDEX(DarlObj,19)</f>
      </c>
      <c r="D8835">
        <v>192</v>
      </c>
      <c r="E8835" s="51">
        <f>IF(INDEX(DarlBelegt,19)=0,0,EOMONTH(INDEX(DarlAuszahlung,19),191)+1)</f>
      </c>
      <c r="F8835" s="43">
        <f>IF($E8835=0,0,YEAR($E8835))</f>
      </c>
      <c r="G8835" s="43">
        <f>IF(INDEX(DarlBindung,19)="",1,IF($E8835&lt;=INDEX(DarlBindung,19),1,0))</f>
      </c>
      <c r="H8835" s="43">
        <f>IF($G8835=1,INDEX(DarlSollzins,19),INDEX(DarlAnschluss,19))</f>
      </c>
      <c r="I8835" s="43">
        <f>IF(INDEX(DarlBelegt,19)=0,0,IF(INDEX(DarlOhneTilgung,19)=1,IF(INDEX(DarlBindung,19)="",1,$G8835),IF($J8835&gt;0.005,1,0)))</f>
      </c>
      <c r="J8835" s="43">
        <f>IF($I8834=0,0,$R8834)</f>
      </c>
      <c r="K8835" s="43">
        <f>IF($I8835=0,0,IF(INDEX(DarlOhneTilgung,19)=1,0,IF(AND(INDEX(DarlTilgStart,19)&gt;0,$E8835=INDEX(DarlTilgStart,19)),$J8835*($H8835+INDEX(DarlTilgung,19))/100/12,IF(AND($G8835=0,$G8834=1),MAX($K8834,$J8835*($H8835+1)/100/12),$K8834))))</f>
      </c>
      <c r="L8835" s="43">
        <f>IF($I8835=0,0,$J8835*$H8835/100/12)</f>
      </c>
      <c r="M8835" s="43">
        <f>IF($I8835=0,0,IF(OR(INDEX(DarlOhneTilgung,19)=1,AND(INDEX(DarlTilgStart,19)&gt;0,$E8835&lt;INDEX(DarlTilgStart,19))),0,MIN(MAX(0,$K8835-$L8835),$J8835)))</f>
      </c>
      <c r="N8835" s="43">
        <f>IF($I8835=0,0,MIN(SUMIFS(SondBetrag,SondDarl,19,SondDatum,"&gt;="&amp;$E8835,SondDatum,"&lt;="&amp;EOMONTH($E8835,0)),$J8835-$M8835))</f>
      </c>
      <c r="O8835" s="43">
        <f>IF($I8835=0,0,INDEX(DarlErsatzRate,19))</f>
      </c>
      <c r="P8835" s="43">
        <f>IF($I8835=0,0,$Q8834*INDEX(DarlErsatzZins,19))</f>
      </c>
      <c r="Q8835" s="43">
        <f>IF($I8835=0,0,$Q8834+$P8835+$O8835)</f>
      </c>
      <c r="R8835" s="43">
        <f>IF($I8835=0,0,$J8835-$M8835-$N8835)</f>
      </c>
    </row>
    <row r="8836">
      <c r="A8836"/>
      <c r="B8836">
        <v>19</v>
      </c>
      <c r="C8836" s="43">
        <f>INDEX(DarlObj,19)</f>
      </c>
      <c r="D8836">
        <v>193</v>
      </c>
      <c r="E8836" s="51">
        <f>IF(INDEX(DarlBelegt,19)=0,0,EOMONTH(INDEX(DarlAuszahlung,19),192)+1)</f>
      </c>
      <c r="F8836" s="43">
        <f>IF($E8836=0,0,YEAR($E8836))</f>
      </c>
      <c r="G8836" s="43">
        <f>IF(INDEX(DarlBindung,19)="",1,IF($E8836&lt;=INDEX(DarlBindung,19),1,0))</f>
      </c>
      <c r="H8836" s="43">
        <f>IF($G8836=1,INDEX(DarlSollzins,19),INDEX(DarlAnschluss,19))</f>
      </c>
      <c r="I8836" s="43">
        <f>IF(INDEX(DarlBelegt,19)=0,0,IF(INDEX(DarlOhneTilgung,19)=1,IF(INDEX(DarlBindung,19)="",1,$G8836),IF($J8836&gt;0.005,1,0)))</f>
      </c>
      <c r="J8836" s="43">
        <f>IF($I8835=0,0,$R8835)</f>
      </c>
      <c r="K8836" s="43">
        <f>IF($I8836=0,0,IF(INDEX(DarlOhneTilgung,19)=1,0,IF(AND(INDEX(DarlTilgStart,19)&gt;0,$E8836=INDEX(DarlTilgStart,19)),$J8836*($H8836+INDEX(DarlTilgung,19))/100/12,IF(AND($G8836=0,$G8835=1),MAX($K8835,$J8836*($H8836+1)/100/12),$K8835))))</f>
      </c>
      <c r="L8836" s="43">
        <f>IF($I8836=0,0,$J8836*$H8836/100/12)</f>
      </c>
      <c r="M8836" s="43">
        <f>IF($I8836=0,0,IF(OR(INDEX(DarlOhneTilgung,19)=1,AND(INDEX(DarlTilgStart,19)&gt;0,$E8836&lt;INDEX(DarlTilgStart,19))),0,MIN(MAX(0,$K8836-$L8836),$J8836)))</f>
      </c>
      <c r="N8836" s="43">
        <f>IF($I8836=0,0,MIN(SUMIFS(SondBetrag,SondDarl,19,SondDatum,"&gt;="&amp;$E8836,SondDatum,"&lt;="&amp;EOMONTH($E8836,0)),$J8836-$M8836))</f>
      </c>
      <c r="O8836" s="43">
        <f>IF($I8836=0,0,INDEX(DarlErsatzRate,19))</f>
      </c>
      <c r="P8836" s="43">
        <f>IF($I8836=0,0,$Q8835*INDEX(DarlErsatzZins,19))</f>
      </c>
      <c r="Q8836" s="43">
        <f>IF($I8836=0,0,$Q8835+$P8836+$O8836)</f>
      </c>
      <c r="R8836" s="43">
        <f>IF($I8836=0,0,$J8836-$M8836-$N8836)</f>
      </c>
    </row>
    <row r="8837">
      <c r="A8837"/>
      <c r="B8837">
        <v>19</v>
      </c>
      <c r="C8837" s="43">
        <f>INDEX(DarlObj,19)</f>
      </c>
      <c r="D8837">
        <v>194</v>
      </c>
      <c r="E8837" s="51">
        <f>IF(INDEX(DarlBelegt,19)=0,0,EOMONTH(INDEX(DarlAuszahlung,19),193)+1)</f>
      </c>
      <c r="F8837" s="43">
        <f>IF($E8837=0,0,YEAR($E8837))</f>
      </c>
      <c r="G8837" s="43">
        <f>IF(INDEX(DarlBindung,19)="",1,IF($E8837&lt;=INDEX(DarlBindung,19),1,0))</f>
      </c>
      <c r="H8837" s="43">
        <f>IF($G8837=1,INDEX(DarlSollzins,19),INDEX(DarlAnschluss,19))</f>
      </c>
      <c r="I8837" s="43">
        <f>IF(INDEX(DarlBelegt,19)=0,0,IF(INDEX(DarlOhneTilgung,19)=1,IF(INDEX(DarlBindung,19)="",1,$G8837),IF($J8837&gt;0.005,1,0)))</f>
      </c>
      <c r="J8837" s="43">
        <f>IF($I8836=0,0,$R8836)</f>
      </c>
      <c r="K8837" s="43">
        <f>IF($I8837=0,0,IF(INDEX(DarlOhneTilgung,19)=1,0,IF(AND(INDEX(DarlTilgStart,19)&gt;0,$E8837=INDEX(DarlTilgStart,19)),$J8837*($H8837+INDEX(DarlTilgung,19))/100/12,IF(AND($G8837=0,$G8836=1),MAX($K8836,$J8837*($H8837+1)/100/12),$K8836))))</f>
      </c>
      <c r="L8837" s="43">
        <f>IF($I8837=0,0,$J8837*$H8837/100/12)</f>
      </c>
      <c r="M8837" s="43">
        <f>IF($I8837=0,0,IF(OR(INDEX(DarlOhneTilgung,19)=1,AND(INDEX(DarlTilgStart,19)&gt;0,$E8837&lt;INDEX(DarlTilgStart,19))),0,MIN(MAX(0,$K8837-$L8837),$J8837)))</f>
      </c>
      <c r="N8837" s="43">
        <f>IF($I8837=0,0,MIN(SUMIFS(SondBetrag,SondDarl,19,SondDatum,"&gt;="&amp;$E8837,SondDatum,"&lt;="&amp;EOMONTH($E8837,0)),$J8837-$M8837))</f>
      </c>
      <c r="O8837" s="43">
        <f>IF($I8837=0,0,INDEX(DarlErsatzRate,19))</f>
      </c>
      <c r="P8837" s="43">
        <f>IF($I8837=0,0,$Q8836*INDEX(DarlErsatzZins,19))</f>
      </c>
      <c r="Q8837" s="43">
        <f>IF($I8837=0,0,$Q8836+$P8837+$O8837)</f>
      </c>
      <c r="R8837" s="43">
        <f>IF($I8837=0,0,$J8837-$M8837-$N8837)</f>
      </c>
    </row>
    <row r="8838">
      <c r="A8838"/>
      <c r="B8838">
        <v>19</v>
      </c>
      <c r="C8838" s="43">
        <f>INDEX(DarlObj,19)</f>
      </c>
      <c r="D8838">
        <v>195</v>
      </c>
      <c r="E8838" s="51">
        <f>IF(INDEX(DarlBelegt,19)=0,0,EOMONTH(INDEX(DarlAuszahlung,19),194)+1)</f>
      </c>
      <c r="F8838" s="43">
        <f>IF($E8838=0,0,YEAR($E8838))</f>
      </c>
      <c r="G8838" s="43">
        <f>IF(INDEX(DarlBindung,19)="",1,IF($E8838&lt;=INDEX(DarlBindung,19),1,0))</f>
      </c>
      <c r="H8838" s="43">
        <f>IF($G8838=1,INDEX(DarlSollzins,19),INDEX(DarlAnschluss,19))</f>
      </c>
      <c r="I8838" s="43">
        <f>IF(INDEX(DarlBelegt,19)=0,0,IF(INDEX(DarlOhneTilgung,19)=1,IF(INDEX(DarlBindung,19)="",1,$G8838),IF($J8838&gt;0.005,1,0)))</f>
      </c>
      <c r="J8838" s="43">
        <f>IF($I8837=0,0,$R8837)</f>
      </c>
      <c r="K8838" s="43">
        <f>IF($I8838=0,0,IF(INDEX(DarlOhneTilgung,19)=1,0,IF(AND(INDEX(DarlTilgStart,19)&gt;0,$E8838=INDEX(DarlTilgStart,19)),$J8838*($H8838+INDEX(DarlTilgung,19))/100/12,IF(AND($G8838=0,$G8837=1),MAX($K8837,$J8838*($H8838+1)/100/12),$K8837))))</f>
      </c>
      <c r="L8838" s="43">
        <f>IF($I8838=0,0,$J8838*$H8838/100/12)</f>
      </c>
      <c r="M8838" s="43">
        <f>IF($I8838=0,0,IF(OR(INDEX(DarlOhneTilgung,19)=1,AND(INDEX(DarlTilgStart,19)&gt;0,$E8838&lt;INDEX(DarlTilgStart,19))),0,MIN(MAX(0,$K8838-$L8838),$J8838)))</f>
      </c>
      <c r="N8838" s="43">
        <f>IF($I8838=0,0,MIN(SUMIFS(SondBetrag,SondDarl,19,SondDatum,"&gt;="&amp;$E8838,SondDatum,"&lt;="&amp;EOMONTH($E8838,0)),$J8838-$M8838))</f>
      </c>
      <c r="O8838" s="43">
        <f>IF($I8838=0,0,INDEX(DarlErsatzRate,19))</f>
      </c>
      <c r="P8838" s="43">
        <f>IF($I8838=0,0,$Q8837*INDEX(DarlErsatzZins,19))</f>
      </c>
      <c r="Q8838" s="43">
        <f>IF($I8838=0,0,$Q8837+$P8838+$O8838)</f>
      </c>
      <c r="R8838" s="43">
        <f>IF($I8838=0,0,$J8838-$M8838-$N8838)</f>
      </c>
    </row>
    <row r="8839">
      <c r="A8839"/>
      <c r="B8839">
        <v>19</v>
      </c>
      <c r="C8839" s="43">
        <f>INDEX(DarlObj,19)</f>
      </c>
      <c r="D8839">
        <v>196</v>
      </c>
      <c r="E8839" s="51">
        <f>IF(INDEX(DarlBelegt,19)=0,0,EOMONTH(INDEX(DarlAuszahlung,19),195)+1)</f>
      </c>
      <c r="F8839" s="43">
        <f>IF($E8839=0,0,YEAR($E8839))</f>
      </c>
      <c r="G8839" s="43">
        <f>IF(INDEX(DarlBindung,19)="",1,IF($E8839&lt;=INDEX(DarlBindung,19),1,0))</f>
      </c>
      <c r="H8839" s="43">
        <f>IF($G8839=1,INDEX(DarlSollzins,19),INDEX(DarlAnschluss,19))</f>
      </c>
      <c r="I8839" s="43">
        <f>IF(INDEX(DarlBelegt,19)=0,0,IF(INDEX(DarlOhneTilgung,19)=1,IF(INDEX(DarlBindung,19)="",1,$G8839),IF($J8839&gt;0.005,1,0)))</f>
      </c>
      <c r="J8839" s="43">
        <f>IF($I8838=0,0,$R8838)</f>
      </c>
      <c r="K8839" s="43">
        <f>IF($I8839=0,0,IF(INDEX(DarlOhneTilgung,19)=1,0,IF(AND(INDEX(DarlTilgStart,19)&gt;0,$E8839=INDEX(DarlTilgStart,19)),$J8839*($H8839+INDEX(DarlTilgung,19))/100/12,IF(AND($G8839=0,$G8838=1),MAX($K8838,$J8839*($H8839+1)/100/12),$K8838))))</f>
      </c>
      <c r="L8839" s="43">
        <f>IF($I8839=0,0,$J8839*$H8839/100/12)</f>
      </c>
      <c r="M8839" s="43">
        <f>IF($I8839=0,0,IF(OR(INDEX(DarlOhneTilgung,19)=1,AND(INDEX(DarlTilgStart,19)&gt;0,$E8839&lt;INDEX(DarlTilgStart,19))),0,MIN(MAX(0,$K8839-$L8839),$J8839)))</f>
      </c>
      <c r="N8839" s="43">
        <f>IF($I8839=0,0,MIN(SUMIFS(SondBetrag,SondDarl,19,SondDatum,"&gt;="&amp;$E8839,SondDatum,"&lt;="&amp;EOMONTH($E8839,0)),$J8839-$M8839))</f>
      </c>
      <c r="O8839" s="43">
        <f>IF($I8839=0,0,INDEX(DarlErsatzRate,19))</f>
      </c>
      <c r="P8839" s="43">
        <f>IF($I8839=0,0,$Q8838*INDEX(DarlErsatzZins,19))</f>
      </c>
      <c r="Q8839" s="43">
        <f>IF($I8839=0,0,$Q8838+$P8839+$O8839)</f>
      </c>
      <c r="R8839" s="43">
        <f>IF($I8839=0,0,$J8839-$M8839-$N8839)</f>
      </c>
    </row>
    <row r="8840">
      <c r="A8840"/>
      <c r="B8840">
        <v>19</v>
      </c>
      <c r="C8840" s="43">
        <f>INDEX(DarlObj,19)</f>
      </c>
      <c r="D8840">
        <v>197</v>
      </c>
      <c r="E8840" s="51">
        <f>IF(INDEX(DarlBelegt,19)=0,0,EOMONTH(INDEX(DarlAuszahlung,19),196)+1)</f>
      </c>
      <c r="F8840" s="43">
        <f>IF($E8840=0,0,YEAR($E8840))</f>
      </c>
      <c r="G8840" s="43">
        <f>IF(INDEX(DarlBindung,19)="",1,IF($E8840&lt;=INDEX(DarlBindung,19),1,0))</f>
      </c>
      <c r="H8840" s="43">
        <f>IF($G8840=1,INDEX(DarlSollzins,19),INDEX(DarlAnschluss,19))</f>
      </c>
      <c r="I8840" s="43">
        <f>IF(INDEX(DarlBelegt,19)=0,0,IF(INDEX(DarlOhneTilgung,19)=1,IF(INDEX(DarlBindung,19)="",1,$G8840),IF($J8840&gt;0.005,1,0)))</f>
      </c>
      <c r="J8840" s="43">
        <f>IF($I8839=0,0,$R8839)</f>
      </c>
      <c r="K8840" s="43">
        <f>IF($I8840=0,0,IF(INDEX(DarlOhneTilgung,19)=1,0,IF(AND(INDEX(DarlTilgStart,19)&gt;0,$E8840=INDEX(DarlTilgStart,19)),$J8840*($H8840+INDEX(DarlTilgung,19))/100/12,IF(AND($G8840=0,$G8839=1),MAX($K8839,$J8840*($H8840+1)/100/12),$K8839))))</f>
      </c>
      <c r="L8840" s="43">
        <f>IF($I8840=0,0,$J8840*$H8840/100/12)</f>
      </c>
      <c r="M8840" s="43">
        <f>IF($I8840=0,0,IF(OR(INDEX(DarlOhneTilgung,19)=1,AND(INDEX(DarlTilgStart,19)&gt;0,$E8840&lt;INDEX(DarlTilgStart,19))),0,MIN(MAX(0,$K8840-$L8840),$J8840)))</f>
      </c>
      <c r="N8840" s="43">
        <f>IF($I8840=0,0,MIN(SUMIFS(SondBetrag,SondDarl,19,SondDatum,"&gt;="&amp;$E8840,SondDatum,"&lt;="&amp;EOMONTH($E8840,0)),$J8840-$M8840))</f>
      </c>
      <c r="O8840" s="43">
        <f>IF($I8840=0,0,INDEX(DarlErsatzRate,19))</f>
      </c>
      <c r="P8840" s="43">
        <f>IF($I8840=0,0,$Q8839*INDEX(DarlErsatzZins,19))</f>
      </c>
      <c r="Q8840" s="43">
        <f>IF($I8840=0,0,$Q8839+$P8840+$O8840)</f>
      </c>
      <c r="R8840" s="43">
        <f>IF($I8840=0,0,$J8840-$M8840-$N8840)</f>
      </c>
    </row>
    <row r="8841">
      <c r="A8841"/>
      <c r="B8841">
        <v>19</v>
      </c>
      <c r="C8841" s="43">
        <f>INDEX(DarlObj,19)</f>
      </c>
      <c r="D8841">
        <v>198</v>
      </c>
      <c r="E8841" s="51">
        <f>IF(INDEX(DarlBelegt,19)=0,0,EOMONTH(INDEX(DarlAuszahlung,19),197)+1)</f>
      </c>
      <c r="F8841" s="43">
        <f>IF($E8841=0,0,YEAR($E8841))</f>
      </c>
      <c r="G8841" s="43">
        <f>IF(INDEX(DarlBindung,19)="",1,IF($E8841&lt;=INDEX(DarlBindung,19),1,0))</f>
      </c>
      <c r="H8841" s="43">
        <f>IF($G8841=1,INDEX(DarlSollzins,19),INDEX(DarlAnschluss,19))</f>
      </c>
      <c r="I8841" s="43">
        <f>IF(INDEX(DarlBelegt,19)=0,0,IF(INDEX(DarlOhneTilgung,19)=1,IF(INDEX(DarlBindung,19)="",1,$G8841),IF($J8841&gt;0.005,1,0)))</f>
      </c>
      <c r="J8841" s="43">
        <f>IF($I8840=0,0,$R8840)</f>
      </c>
      <c r="K8841" s="43">
        <f>IF($I8841=0,0,IF(INDEX(DarlOhneTilgung,19)=1,0,IF(AND(INDEX(DarlTilgStart,19)&gt;0,$E8841=INDEX(DarlTilgStart,19)),$J8841*($H8841+INDEX(DarlTilgung,19))/100/12,IF(AND($G8841=0,$G8840=1),MAX($K8840,$J8841*($H8841+1)/100/12),$K8840))))</f>
      </c>
      <c r="L8841" s="43">
        <f>IF($I8841=0,0,$J8841*$H8841/100/12)</f>
      </c>
      <c r="M8841" s="43">
        <f>IF($I8841=0,0,IF(OR(INDEX(DarlOhneTilgung,19)=1,AND(INDEX(DarlTilgStart,19)&gt;0,$E8841&lt;INDEX(DarlTilgStart,19))),0,MIN(MAX(0,$K8841-$L8841),$J8841)))</f>
      </c>
      <c r="N8841" s="43">
        <f>IF($I8841=0,0,MIN(SUMIFS(SondBetrag,SondDarl,19,SondDatum,"&gt;="&amp;$E8841,SondDatum,"&lt;="&amp;EOMONTH($E8841,0)),$J8841-$M8841))</f>
      </c>
      <c r="O8841" s="43">
        <f>IF($I8841=0,0,INDEX(DarlErsatzRate,19))</f>
      </c>
      <c r="P8841" s="43">
        <f>IF($I8841=0,0,$Q8840*INDEX(DarlErsatzZins,19))</f>
      </c>
      <c r="Q8841" s="43">
        <f>IF($I8841=0,0,$Q8840+$P8841+$O8841)</f>
      </c>
      <c r="R8841" s="43">
        <f>IF($I8841=0,0,$J8841-$M8841-$N8841)</f>
      </c>
    </row>
    <row r="8842">
      <c r="A8842"/>
      <c r="B8842">
        <v>19</v>
      </c>
      <c r="C8842" s="43">
        <f>INDEX(DarlObj,19)</f>
      </c>
      <c r="D8842">
        <v>199</v>
      </c>
      <c r="E8842" s="51">
        <f>IF(INDEX(DarlBelegt,19)=0,0,EOMONTH(INDEX(DarlAuszahlung,19),198)+1)</f>
      </c>
      <c r="F8842" s="43">
        <f>IF($E8842=0,0,YEAR($E8842))</f>
      </c>
      <c r="G8842" s="43">
        <f>IF(INDEX(DarlBindung,19)="",1,IF($E8842&lt;=INDEX(DarlBindung,19),1,0))</f>
      </c>
      <c r="H8842" s="43">
        <f>IF($G8842=1,INDEX(DarlSollzins,19),INDEX(DarlAnschluss,19))</f>
      </c>
      <c r="I8842" s="43">
        <f>IF(INDEX(DarlBelegt,19)=0,0,IF(INDEX(DarlOhneTilgung,19)=1,IF(INDEX(DarlBindung,19)="",1,$G8842),IF($J8842&gt;0.005,1,0)))</f>
      </c>
      <c r="J8842" s="43">
        <f>IF($I8841=0,0,$R8841)</f>
      </c>
      <c r="K8842" s="43">
        <f>IF($I8842=0,0,IF(INDEX(DarlOhneTilgung,19)=1,0,IF(AND(INDEX(DarlTilgStart,19)&gt;0,$E8842=INDEX(DarlTilgStart,19)),$J8842*($H8842+INDEX(DarlTilgung,19))/100/12,IF(AND($G8842=0,$G8841=1),MAX($K8841,$J8842*($H8842+1)/100/12),$K8841))))</f>
      </c>
      <c r="L8842" s="43">
        <f>IF($I8842=0,0,$J8842*$H8842/100/12)</f>
      </c>
      <c r="M8842" s="43">
        <f>IF($I8842=0,0,IF(OR(INDEX(DarlOhneTilgung,19)=1,AND(INDEX(DarlTilgStart,19)&gt;0,$E8842&lt;INDEX(DarlTilgStart,19))),0,MIN(MAX(0,$K8842-$L8842),$J8842)))</f>
      </c>
      <c r="N8842" s="43">
        <f>IF($I8842=0,0,MIN(SUMIFS(SondBetrag,SondDarl,19,SondDatum,"&gt;="&amp;$E8842,SondDatum,"&lt;="&amp;EOMONTH($E8842,0)),$J8842-$M8842))</f>
      </c>
      <c r="O8842" s="43">
        <f>IF($I8842=0,0,INDEX(DarlErsatzRate,19))</f>
      </c>
      <c r="P8842" s="43">
        <f>IF($I8842=0,0,$Q8841*INDEX(DarlErsatzZins,19))</f>
      </c>
      <c r="Q8842" s="43">
        <f>IF($I8842=0,0,$Q8841+$P8842+$O8842)</f>
      </c>
      <c r="R8842" s="43">
        <f>IF($I8842=0,0,$J8842-$M8842-$N8842)</f>
      </c>
    </row>
    <row r="8843">
      <c r="A8843"/>
      <c r="B8843">
        <v>19</v>
      </c>
      <c r="C8843" s="43">
        <f>INDEX(DarlObj,19)</f>
      </c>
      <c r="D8843">
        <v>200</v>
      </c>
      <c r="E8843" s="51">
        <f>IF(INDEX(DarlBelegt,19)=0,0,EOMONTH(INDEX(DarlAuszahlung,19),199)+1)</f>
      </c>
      <c r="F8843" s="43">
        <f>IF($E8843=0,0,YEAR($E8843))</f>
      </c>
      <c r="G8843" s="43">
        <f>IF(INDEX(DarlBindung,19)="",1,IF($E8843&lt;=INDEX(DarlBindung,19),1,0))</f>
      </c>
      <c r="H8843" s="43">
        <f>IF($G8843=1,INDEX(DarlSollzins,19),INDEX(DarlAnschluss,19))</f>
      </c>
      <c r="I8843" s="43">
        <f>IF(INDEX(DarlBelegt,19)=0,0,IF(INDEX(DarlOhneTilgung,19)=1,IF(INDEX(DarlBindung,19)="",1,$G8843),IF($J8843&gt;0.005,1,0)))</f>
      </c>
      <c r="J8843" s="43">
        <f>IF($I8842=0,0,$R8842)</f>
      </c>
      <c r="K8843" s="43">
        <f>IF($I8843=0,0,IF(INDEX(DarlOhneTilgung,19)=1,0,IF(AND(INDEX(DarlTilgStart,19)&gt;0,$E8843=INDEX(DarlTilgStart,19)),$J8843*($H8843+INDEX(DarlTilgung,19))/100/12,IF(AND($G8843=0,$G8842=1),MAX($K8842,$J8843*($H8843+1)/100/12),$K8842))))</f>
      </c>
      <c r="L8843" s="43">
        <f>IF($I8843=0,0,$J8843*$H8843/100/12)</f>
      </c>
      <c r="M8843" s="43">
        <f>IF($I8843=0,0,IF(OR(INDEX(DarlOhneTilgung,19)=1,AND(INDEX(DarlTilgStart,19)&gt;0,$E8843&lt;INDEX(DarlTilgStart,19))),0,MIN(MAX(0,$K8843-$L8843),$J8843)))</f>
      </c>
      <c r="N8843" s="43">
        <f>IF($I8843=0,0,MIN(SUMIFS(SondBetrag,SondDarl,19,SondDatum,"&gt;="&amp;$E8843,SondDatum,"&lt;="&amp;EOMONTH($E8843,0)),$J8843-$M8843))</f>
      </c>
      <c r="O8843" s="43">
        <f>IF($I8843=0,0,INDEX(DarlErsatzRate,19))</f>
      </c>
      <c r="P8843" s="43">
        <f>IF($I8843=0,0,$Q8842*INDEX(DarlErsatzZins,19))</f>
      </c>
      <c r="Q8843" s="43">
        <f>IF($I8843=0,0,$Q8842+$P8843+$O8843)</f>
      </c>
      <c r="R8843" s="43">
        <f>IF($I8843=0,0,$J8843-$M8843-$N8843)</f>
      </c>
    </row>
    <row r="8844">
      <c r="A8844"/>
      <c r="B8844">
        <v>19</v>
      </c>
      <c r="C8844" s="43">
        <f>INDEX(DarlObj,19)</f>
      </c>
      <c r="D8844">
        <v>201</v>
      </c>
      <c r="E8844" s="51">
        <f>IF(INDEX(DarlBelegt,19)=0,0,EOMONTH(INDEX(DarlAuszahlung,19),200)+1)</f>
      </c>
      <c r="F8844" s="43">
        <f>IF($E8844=0,0,YEAR($E8844))</f>
      </c>
      <c r="G8844" s="43">
        <f>IF(INDEX(DarlBindung,19)="",1,IF($E8844&lt;=INDEX(DarlBindung,19),1,0))</f>
      </c>
      <c r="H8844" s="43">
        <f>IF($G8844=1,INDEX(DarlSollzins,19),INDEX(DarlAnschluss,19))</f>
      </c>
      <c r="I8844" s="43">
        <f>IF(INDEX(DarlBelegt,19)=0,0,IF(INDEX(DarlOhneTilgung,19)=1,IF(INDEX(DarlBindung,19)="",1,$G8844),IF($J8844&gt;0.005,1,0)))</f>
      </c>
      <c r="J8844" s="43">
        <f>IF($I8843=0,0,$R8843)</f>
      </c>
      <c r="K8844" s="43">
        <f>IF($I8844=0,0,IF(INDEX(DarlOhneTilgung,19)=1,0,IF(AND(INDEX(DarlTilgStart,19)&gt;0,$E8844=INDEX(DarlTilgStart,19)),$J8844*($H8844+INDEX(DarlTilgung,19))/100/12,IF(AND($G8844=0,$G8843=1),MAX($K8843,$J8844*($H8844+1)/100/12),$K8843))))</f>
      </c>
      <c r="L8844" s="43">
        <f>IF($I8844=0,0,$J8844*$H8844/100/12)</f>
      </c>
      <c r="M8844" s="43">
        <f>IF($I8844=0,0,IF(OR(INDEX(DarlOhneTilgung,19)=1,AND(INDEX(DarlTilgStart,19)&gt;0,$E8844&lt;INDEX(DarlTilgStart,19))),0,MIN(MAX(0,$K8844-$L8844),$J8844)))</f>
      </c>
      <c r="N8844" s="43">
        <f>IF($I8844=0,0,MIN(SUMIFS(SondBetrag,SondDarl,19,SondDatum,"&gt;="&amp;$E8844,SondDatum,"&lt;="&amp;EOMONTH($E8844,0)),$J8844-$M8844))</f>
      </c>
      <c r="O8844" s="43">
        <f>IF($I8844=0,0,INDEX(DarlErsatzRate,19))</f>
      </c>
      <c r="P8844" s="43">
        <f>IF($I8844=0,0,$Q8843*INDEX(DarlErsatzZins,19))</f>
      </c>
      <c r="Q8844" s="43">
        <f>IF($I8844=0,0,$Q8843+$P8844+$O8844)</f>
      </c>
      <c r="R8844" s="43">
        <f>IF($I8844=0,0,$J8844-$M8844-$N8844)</f>
      </c>
    </row>
    <row r="8845">
      <c r="A8845"/>
      <c r="B8845">
        <v>19</v>
      </c>
      <c r="C8845" s="43">
        <f>INDEX(DarlObj,19)</f>
      </c>
      <c r="D8845">
        <v>202</v>
      </c>
      <c r="E8845" s="51">
        <f>IF(INDEX(DarlBelegt,19)=0,0,EOMONTH(INDEX(DarlAuszahlung,19),201)+1)</f>
      </c>
      <c r="F8845" s="43">
        <f>IF($E8845=0,0,YEAR($E8845))</f>
      </c>
      <c r="G8845" s="43">
        <f>IF(INDEX(DarlBindung,19)="",1,IF($E8845&lt;=INDEX(DarlBindung,19),1,0))</f>
      </c>
      <c r="H8845" s="43">
        <f>IF($G8845=1,INDEX(DarlSollzins,19),INDEX(DarlAnschluss,19))</f>
      </c>
      <c r="I8845" s="43">
        <f>IF(INDEX(DarlBelegt,19)=0,0,IF(INDEX(DarlOhneTilgung,19)=1,IF(INDEX(DarlBindung,19)="",1,$G8845),IF($J8845&gt;0.005,1,0)))</f>
      </c>
      <c r="J8845" s="43">
        <f>IF($I8844=0,0,$R8844)</f>
      </c>
      <c r="K8845" s="43">
        <f>IF($I8845=0,0,IF(INDEX(DarlOhneTilgung,19)=1,0,IF(AND(INDEX(DarlTilgStart,19)&gt;0,$E8845=INDEX(DarlTilgStart,19)),$J8845*($H8845+INDEX(DarlTilgung,19))/100/12,IF(AND($G8845=0,$G8844=1),MAX($K8844,$J8845*($H8845+1)/100/12),$K8844))))</f>
      </c>
      <c r="L8845" s="43">
        <f>IF($I8845=0,0,$J8845*$H8845/100/12)</f>
      </c>
      <c r="M8845" s="43">
        <f>IF($I8845=0,0,IF(OR(INDEX(DarlOhneTilgung,19)=1,AND(INDEX(DarlTilgStart,19)&gt;0,$E8845&lt;INDEX(DarlTilgStart,19))),0,MIN(MAX(0,$K8845-$L8845),$J8845)))</f>
      </c>
      <c r="N8845" s="43">
        <f>IF($I8845=0,0,MIN(SUMIFS(SondBetrag,SondDarl,19,SondDatum,"&gt;="&amp;$E8845,SondDatum,"&lt;="&amp;EOMONTH($E8845,0)),$J8845-$M8845))</f>
      </c>
      <c r="O8845" s="43">
        <f>IF($I8845=0,0,INDEX(DarlErsatzRate,19))</f>
      </c>
      <c r="P8845" s="43">
        <f>IF($I8845=0,0,$Q8844*INDEX(DarlErsatzZins,19))</f>
      </c>
      <c r="Q8845" s="43">
        <f>IF($I8845=0,0,$Q8844+$P8845+$O8845)</f>
      </c>
      <c r="R8845" s="43">
        <f>IF($I8845=0,0,$J8845-$M8845-$N8845)</f>
      </c>
    </row>
    <row r="8846">
      <c r="A8846"/>
      <c r="B8846">
        <v>19</v>
      </c>
      <c r="C8846" s="43">
        <f>INDEX(DarlObj,19)</f>
      </c>
      <c r="D8846">
        <v>203</v>
      </c>
      <c r="E8846" s="51">
        <f>IF(INDEX(DarlBelegt,19)=0,0,EOMONTH(INDEX(DarlAuszahlung,19),202)+1)</f>
      </c>
      <c r="F8846" s="43">
        <f>IF($E8846=0,0,YEAR($E8846))</f>
      </c>
      <c r="G8846" s="43">
        <f>IF(INDEX(DarlBindung,19)="",1,IF($E8846&lt;=INDEX(DarlBindung,19),1,0))</f>
      </c>
      <c r="H8846" s="43">
        <f>IF($G8846=1,INDEX(DarlSollzins,19),INDEX(DarlAnschluss,19))</f>
      </c>
      <c r="I8846" s="43">
        <f>IF(INDEX(DarlBelegt,19)=0,0,IF(INDEX(DarlOhneTilgung,19)=1,IF(INDEX(DarlBindung,19)="",1,$G8846),IF($J8846&gt;0.005,1,0)))</f>
      </c>
      <c r="J8846" s="43">
        <f>IF($I8845=0,0,$R8845)</f>
      </c>
      <c r="K8846" s="43">
        <f>IF($I8846=0,0,IF(INDEX(DarlOhneTilgung,19)=1,0,IF(AND(INDEX(DarlTilgStart,19)&gt;0,$E8846=INDEX(DarlTilgStart,19)),$J8846*($H8846+INDEX(DarlTilgung,19))/100/12,IF(AND($G8846=0,$G8845=1),MAX($K8845,$J8846*($H8846+1)/100/12),$K8845))))</f>
      </c>
      <c r="L8846" s="43">
        <f>IF($I8846=0,0,$J8846*$H8846/100/12)</f>
      </c>
      <c r="M8846" s="43">
        <f>IF($I8846=0,0,IF(OR(INDEX(DarlOhneTilgung,19)=1,AND(INDEX(DarlTilgStart,19)&gt;0,$E8846&lt;INDEX(DarlTilgStart,19))),0,MIN(MAX(0,$K8846-$L8846),$J8846)))</f>
      </c>
      <c r="N8846" s="43">
        <f>IF($I8846=0,0,MIN(SUMIFS(SondBetrag,SondDarl,19,SondDatum,"&gt;="&amp;$E8846,SondDatum,"&lt;="&amp;EOMONTH($E8846,0)),$J8846-$M8846))</f>
      </c>
      <c r="O8846" s="43">
        <f>IF($I8846=0,0,INDEX(DarlErsatzRate,19))</f>
      </c>
      <c r="P8846" s="43">
        <f>IF($I8846=0,0,$Q8845*INDEX(DarlErsatzZins,19))</f>
      </c>
      <c r="Q8846" s="43">
        <f>IF($I8846=0,0,$Q8845+$P8846+$O8846)</f>
      </c>
      <c r="R8846" s="43">
        <f>IF($I8846=0,0,$J8846-$M8846-$N8846)</f>
      </c>
    </row>
    <row r="8847">
      <c r="A8847"/>
      <c r="B8847">
        <v>19</v>
      </c>
      <c r="C8847" s="43">
        <f>INDEX(DarlObj,19)</f>
      </c>
      <c r="D8847">
        <v>204</v>
      </c>
      <c r="E8847" s="51">
        <f>IF(INDEX(DarlBelegt,19)=0,0,EOMONTH(INDEX(DarlAuszahlung,19),203)+1)</f>
      </c>
      <c r="F8847" s="43">
        <f>IF($E8847=0,0,YEAR($E8847))</f>
      </c>
      <c r="G8847" s="43">
        <f>IF(INDEX(DarlBindung,19)="",1,IF($E8847&lt;=INDEX(DarlBindung,19),1,0))</f>
      </c>
      <c r="H8847" s="43">
        <f>IF($G8847=1,INDEX(DarlSollzins,19),INDEX(DarlAnschluss,19))</f>
      </c>
      <c r="I8847" s="43">
        <f>IF(INDEX(DarlBelegt,19)=0,0,IF(INDEX(DarlOhneTilgung,19)=1,IF(INDEX(DarlBindung,19)="",1,$G8847),IF($J8847&gt;0.005,1,0)))</f>
      </c>
      <c r="J8847" s="43">
        <f>IF($I8846=0,0,$R8846)</f>
      </c>
      <c r="K8847" s="43">
        <f>IF($I8847=0,0,IF(INDEX(DarlOhneTilgung,19)=1,0,IF(AND(INDEX(DarlTilgStart,19)&gt;0,$E8847=INDEX(DarlTilgStart,19)),$J8847*($H8847+INDEX(DarlTilgung,19))/100/12,IF(AND($G8847=0,$G8846=1),MAX($K8846,$J8847*($H8847+1)/100/12),$K8846))))</f>
      </c>
      <c r="L8847" s="43">
        <f>IF($I8847=0,0,$J8847*$H8847/100/12)</f>
      </c>
      <c r="M8847" s="43">
        <f>IF($I8847=0,0,IF(OR(INDEX(DarlOhneTilgung,19)=1,AND(INDEX(DarlTilgStart,19)&gt;0,$E8847&lt;INDEX(DarlTilgStart,19))),0,MIN(MAX(0,$K8847-$L8847),$J8847)))</f>
      </c>
      <c r="N8847" s="43">
        <f>IF($I8847=0,0,MIN(SUMIFS(SondBetrag,SondDarl,19,SondDatum,"&gt;="&amp;$E8847,SondDatum,"&lt;="&amp;EOMONTH($E8847,0)),$J8847-$M8847))</f>
      </c>
      <c r="O8847" s="43">
        <f>IF($I8847=0,0,INDEX(DarlErsatzRate,19))</f>
      </c>
      <c r="P8847" s="43">
        <f>IF($I8847=0,0,$Q8846*INDEX(DarlErsatzZins,19))</f>
      </c>
      <c r="Q8847" s="43">
        <f>IF($I8847=0,0,$Q8846+$P8847+$O8847)</f>
      </c>
      <c r="R8847" s="43">
        <f>IF($I8847=0,0,$J8847-$M8847-$N8847)</f>
      </c>
    </row>
    <row r="8848">
      <c r="A8848"/>
      <c r="B8848">
        <v>19</v>
      </c>
      <c r="C8848" s="43">
        <f>INDEX(DarlObj,19)</f>
      </c>
      <c r="D8848">
        <v>205</v>
      </c>
      <c r="E8848" s="51">
        <f>IF(INDEX(DarlBelegt,19)=0,0,EOMONTH(INDEX(DarlAuszahlung,19),204)+1)</f>
      </c>
      <c r="F8848" s="43">
        <f>IF($E8848=0,0,YEAR($E8848))</f>
      </c>
      <c r="G8848" s="43">
        <f>IF(INDEX(DarlBindung,19)="",1,IF($E8848&lt;=INDEX(DarlBindung,19),1,0))</f>
      </c>
      <c r="H8848" s="43">
        <f>IF($G8848=1,INDEX(DarlSollzins,19),INDEX(DarlAnschluss,19))</f>
      </c>
      <c r="I8848" s="43">
        <f>IF(INDEX(DarlBelegt,19)=0,0,IF(INDEX(DarlOhneTilgung,19)=1,IF(INDEX(DarlBindung,19)="",1,$G8848),IF($J8848&gt;0.005,1,0)))</f>
      </c>
      <c r="J8848" s="43">
        <f>IF($I8847=0,0,$R8847)</f>
      </c>
      <c r="K8848" s="43">
        <f>IF($I8848=0,0,IF(INDEX(DarlOhneTilgung,19)=1,0,IF(AND(INDEX(DarlTilgStart,19)&gt;0,$E8848=INDEX(DarlTilgStart,19)),$J8848*($H8848+INDEX(DarlTilgung,19))/100/12,IF(AND($G8848=0,$G8847=1),MAX($K8847,$J8848*($H8848+1)/100/12),$K8847))))</f>
      </c>
      <c r="L8848" s="43">
        <f>IF($I8848=0,0,$J8848*$H8848/100/12)</f>
      </c>
      <c r="M8848" s="43">
        <f>IF($I8848=0,0,IF(OR(INDEX(DarlOhneTilgung,19)=1,AND(INDEX(DarlTilgStart,19)&gt;0,$E8848&lt;INDEX(DarlTilgStart,19))),0,MIN(MAX(0,$K8848-$L8848),$J8848)))</f>
      </c>
      <c r="N8848" s="43">
        <f>IF($I8848=0,0,MIN(SUMIFS(SondBetrag,SondDarl,19,SondDatum,"&gt;="&amp;$E8848,SondDatum,"&lt;="&amp;EOMONTH($E8848,0)),$J8848-$M8848))</f>
      </c>
      <c r="O8848" s="43">
        <f>IF($I8848=0,0,INDEX(DarlErsatzRate,19))</f>
      </c>
      <c r="P8848" s="43">
        <f>IF($I8848=0,0,$Q8847*INDEX(DarlErsatzZins,19))</f>
      </c>
      <c r="Q8848" s="43">
        <f>IF($I8848=0,0,$Q8847+$P8848+$O8848)</f>
      </c>
      <c r="R8848" s="43">
        <f>IF($I8848=0,0,$J8848-$M8848-$N8848)</f>
      </c>
    </row>
    <row r="8849">
      <c r="A8849"/>
      <c r="B8849">
        <v>19</v>
      </c>
      <c r="C8849" s="43">
        <f>INDEX(DarlObj,19)</f>
      </c>
      <c r="D8849">
        <v>206</v>
      </c>
      <c r="E8849" s="51">
        <f>IF(INDEX(DarlBelegt,19)=0,0,EOMONTH(INDEX(DarlAuszahlung,19),205)+1)</f>
      </c>
      <c r="F8849" s="43">
        <f>IF($E8849=0,0,YEAR($E8849))</f>
      </c>
      <c r="G8849" s="43">
        <f>IF(INDEX(DarlBindung,19)="",1,IF($E8849&lt;=INDEX(DarlBindung,19),1,0))</f>
      </c>
      <c r="H8849" s="43">
        <f>IF($G8849=1,INDEX(DarlSollzins,19),INDEX(DarlAnschluss,19))</f>
      </c>
      <c r="I8849" s="43">
        <f>IF(INDEX(DarlBelegt,19)=0,0,IF(INDEX(DarlOhneTilgung,19)=1,IF(INDEX(DarlBindung,19)="",1,$G8849),IF($J8849&gt;0.005,1,0)))</f>
      </c>
      <c r="J8849" s="43">
        <f>IF($I8848=0,0,$R8848)</f>
      </c>
      <c r="K8849" s="43">
        <f>IF($I8849=0,0,IF(INDEX(DarlOhneTilgung,19)=1,0,IF(AND(INDEX(DarlTilgStart,19)&gt;0,$E8849=INDEX(DarlTilgStart,19)),$J8849*($H8849+INDEX(DarlTilgung,19))/100/12,IF(AND($G8849=0,$G8848=1),MAX($K8848,$J8849*($H8849+1)/100/12),$K8848))))</f>
      </c>
      <c r="L8849" s="43">
        <f>IF($I8849=0,0,$J8849*$H8849/100/12)</f>
      </c>
      <c r="M8849" s="43">
        <f>IF($I8849=0,0,IF(OR(INDEX(DarlOhneTilgung,19)=1,AND(INDEX(DarlTilgStart,19)&gt;0,$E8849&lt;INDEX(DarlTilgStart,19))),0,MIN(MAX(0,$K8849-$L8849),$J8849)))</f>
      </c>
      <c r="N8849" s="43">
        <f>IF($I8849=0,0,MIN(SUMIFS(SondBetrag,SondDarl,19,SondDatum,"&gt;="&amp;$E8849,SondDatum,"&lt;="&amp;EOMONTH($E8849,0)),$J8849-$M8849))</f>
      </c>
      <c r="O8849" s="43">
        <f>IF($I8849=0,0,INDEX(DarlErsatzRate,19))</f>
      </c>
      <c r="P8849" s="43">
        <f>IF($I8849=0,0,$Q8848*INDEX(DarlErsatzZins,19))</f>
      </c>
      <c r="Q8849" s="43">
        <f>IF($I8849=0,0,$Q8848+$P8849+$O8849)</f>
      </c>
      <c r="R8849" s="43">
        <f>IF($I8849=0,0,$J8849-$M8849-$N8849)</f>
      </c>
    </row>
    <row r="8850">
      <c r="A8850"/>
      <c r="B8850">
        <v>19</v>
      </c>
      <c r="C8850" s="43">
        <f>INDEX(DarlObj,19)</f>
      </c>
      <c r="D8850">
        <v>207</v>
      </c>
      <c r="E8850" s="51">
        <f>IF(INDEX(DarlBelegt,19)=0,0,EOMONTH(INDEX(DarlAuszahlung,19),206)+1)</f>
      </c>
      <c r="F8850" s="43">
        <f>IF($E8850=0,0,YEAR($E8850))</f>
      </c>
      <c r="G8850" s="43">
        <f>IF(INDEX(DarlBindung,19)="",1,IF($E8850&lt;=INDEX(DarlBindung,19),1,0))</f>
      </c>
      <c r="H8850" s="43">
        <f>IF($G8850=1,INDEX(DarlSollzins,19),INDEX(DarlAnschluss,19))</f>
      </c>
      <c r="I8850" s="43">
        <f>IF(INDEX(DarlBelegt,19)=0,0,IF(INDEX(DarlOhneTilgung,19)=1,IF(INDEX(DarlBindung,19)="",1,$G8850),IF($J8850&gt;0.005,1,0)))</f>
      </c>
      <c r="J8850" s="43">
        <f>IF($I8849=0,0,$R8849)</f>
      </c>
      <c r="K8850" s="43">
        <f>IF($I8850=0,0,IF(INDEX(DarlOhneTilgung,19)=1,0,IF(AND(INDEX(DarlTilgStart,19)&gt;0,$E8850=INDEX(DarlTilgStart,19)),$J8850*($H8850+INDEX(DarlTilgung,19))/100/12,IF(AND($G8850=0,$G8849=1),MAX($K8849,$J8850*($H8850+1)/100/12),$K8849))))</f>
      </c>
      <c r="L8850" s="43">
        <f>IF($I8850=0,0,$J8850*$H8850/100/12)</f>
      </c>
      <c r="M8850" s="43">
        <f>IF($I8850=0,0,IF(OR(INDEX(DarlOhneTilgung,19)=1,AND(INDEX(DarlTilgStart,19)&gt;0,$E8850&lt;INDEX(DarlTilgStart,19))),0,MIN(MAX(0,$K8850-$L8850),$J8850)))</f>
      </c>
      <c r="N8850" s="43">
        <f>IF($I8850=0,0,MIN(SUMIFS(SondBetrag,SondDarl,19,SondDatum,"&gt;="&amp;$E8850,SondDatum,"&lt;="&amp;EOMONTH($E8850,0)),$J8850-$M8850))</f>
      </c>
      <c r="O8850" s="43">
        <f>IF($I8850=0,0,INDEX(DarlErsatzRate,19))</f>
      </c>
      <c r="P8850" s="43">
        <f>IF($I8850=0,0,$Q8849*INDEX(DarlErsatzZins,19))</f>
      </c>
      <c r="Q8850" s="43">
        <f>IF($I8850=0,0,$Q8849+$P8850+$O8850)</f>
      </c>
      <c r="R8850" s="43">
        <f>IF($I8850=0,0,$J8850-$M8850-$N8850)</f>
      </c>
    </row>
    <row r="8851">
      <c r="A8851"/>
      <c r="B8851">
        <v>19</v>
      </c>
      <c r="C8851" s="43">
        <f>INDEX(DarlObj,19)</f>
      </c>
      <c r="D8851">
        <v>208</v>
      </c>
      <c r="E8851" s="51">
        <f>IF(INDEX(DarlBelegt,19)=0,0,EOMONTH(INDEX(DarlAuszahlung,19),207)+1)</f>
      </c>
      <c r="F8851" s="43">
        <f>IF($E8851=0,0,YEAR($E8851))</f>
      </c>
      <c r="G8851" s="43">
        <f>IF(INDEX(DarlBindung,19)="",1,IF($E8851&lt;=INDEX(DarlBindung,19),1,0))</f>
      </c>
      <c r="H8851" s="43">
        <f>IF($G8851=1,INDEX(DarlSollzins,19),INDEX(DarlAnschluss,19))</f>
      </c>
      <c r="I8851" s="43">
        <f>IF(INDEX(DarlBelegt,19)=0,0,IF(INDEX(DarlOhneTilgung,19)=1,IF(INDEX(DarlBindung,19)="",1,$G8851),IF($J8851&gt;0.005,1,0)))</f>
      </c>
      <c r="J8851" s="43">
        <f>IF($I8850=0,0,$R8850)</f>
      </c>
      <c r="K8851" s="43">
        <f>IF($I8851=0,0,IF(INDEX(DarlOhneTilgung,19)=1,0,IF(AND(INDEX(DarlTilgStart,19)&gt;0,$E8851=INDEX(DarlTilgStart,19)),$J8851*($H8851+INDEX(DarlTilgung,19))/100/12,IF(AND($G8851=0,$G8850=1),MAX($K8850,$J8851*($H8851+1)/100/12),$K8850))))</f>
      </c>
      <c r="L8851" s="43">
        <f>IF($I8851=0,0,$J8851*$H8851/100/12)</f>
      </c>
      <c r="M8851" s="43">
        <f>IF($I8851=0,0,IF(OR(INDEX(DarlOhneTilgung,19)=1,AND(INDEX(DarlTilgStart,19)&gt;0,$E8851&lt;INDEX(DarlTilgStart,19))),0,MIN(MAX(0,$K8851-$L8851),$J8851)))</f>
      </c>
      <c r="N8851" s="43">
        <f>IF($I8851=0,0,MIN(SUMIFS(SondBetrag,SondDarl,19,SondDatum,"&gt;="&amp;$E8851,SondDatum,"&lt;="&amp;EOMONTH($E8851,0)),$J8851-$M8851))</f>
      </c>
      <c r="O8851" s="43">
        <f>IF($I8851=0,0,INDEX(DarlErsatzRate,19))</f>
      </c>
      <c r="P8851" s="43">
        <f>IF($I8851=0,0,$Q8850*INDEX(DarlErsatzZins,19))</f>
      </c>
      <c r="Q8851" s="43">
        <f>IF($I8851=0,0,$Q8850+$P8851+$O8851)</f>
      </c>
      <c r="R8851" s="43">
        <f>IF($I8851=0,0,$J8851-$M8851-$N8851)</f>
      </c>
    </row>
    <row r="8852">
      <c r="A8852"/>
      <c r="B8852">
        <v>19</v>
      </c>
      <c r="C8852" s="43">
        <f>INDEX(DarlObj,19)</f>
      </c>
      <c r="D8852">
        <v>209</v>
      </c>
      <c r="E8852" s="51">
        <f>IF(INDEX(DarlBelegt,19)=0,0,EOMONTH(INDEX(DarlAuszahlung,19),208)+1)</f>
      </c>
      <c r="F8852" s="43">
        <f>IF($E8852=0,0,YEAR($E8852))</f>
      </c>
      <c r="G8852" s="43">
        <f>IF(INDEX(DarlBindung,19)="",1,IF($E8852&lt;=INDEX(DarlBindung,19),1,0))</f>
      </c>
      <c r="H8852" s="43">
        <f>IF($G8852=1,INDEX(DarlSollzins,19),INDEX(DarlAnschluss,19))</f>
      </c>
      <c r="I8852" s="43">
        <f>IF(INDEX(DarlBelegt,19)=0,0,IF(INDEX(DarlOhneTilgung,19)=1,IF(INDEX(DarlBindung,19)="",1,$G8852),IF($J8852&gt;0.005,1,0)))</f>
      </c>
      <c r="J8852" s="43">
        <f>IF($I8851=0,0,$R8851)</f>
      </c>
      <c r="K8852" s="43">
        <f>IF($I8852=0,0,IF(INDEX(DarlOhneTilgung,19)=1,0,IF(AND(INDEX(DarlTilgStart,19)&gt;0,$E8852=INDEX(DarlTilgStart,19)),$J8852*($H8852+INDEX(DarlTilgung,19))/100/12,IF(AND($G8852=0,$G8851=1),MAX($K8851,$J8852*($H8852+1)/100/12),$K8851))))</f>
      </c>
      <c r="L8852" s="43">
        <f>IF($I8852=0,0,$J8852*$H8852/100/12)</f>
      </c>
      <c r="M8852" s="43">
        <f>IF($I8852=0,0,IF(OR(INDEX(DarlOhneTilgung,19)=1,AND(INDEX(DarlTilgStart,19)&gt;0,$E8852&lt;INDEX(DarlTilgStart,19))),0,MIN(MAX(0,$K8852-$L8852),$J8852)))</f>
      </c>
      <c r="N8852" s="43">
        <f>IF($I8852=0,0,MIN(SUMIFS(SondBetrag,SondDarl,19,SondDatum,"&gt;="&amp;$E8852,SondDatum,"&lt;="&amp;EOMONTH($E8852,0)),$J8852-$M8852))</f>
      </c>
      <c r="O8852" s="43">
        <f>IF($I8852=0,0,INDEX(DarlErsatzRate,19))</f>
      </c>
      <c r="P8852" s="43">
        <f>IF($I8852=0,0,$Q8851*INDEX(DarlErsatzZins,19))</f>
      </c>
      <c r="Q8852" s="43">
        <f>IF($I8852=0,0,$Q8851+$P8852+$O8852)</f>
      </c>
      <c r="R8852" s="43">
        <f>IF($I8852=0,0,$J8852-$M8852-$N8852)</f>
      </c>
    </row>
    <row r="8853">
      <c r="A8853"/>
      <c r="B8853">
        <v>19</v>
      </c>
      <c r="C8853" s="43">
        <f>INDEX(DarlObj,19)</f>
      </c>
      <c r="D8853">
        <v>210</v>
      </c>
      <c r="E8853" s="51">
        <f>IF(INDEX(DarlBelegt,19)=0,0,EOMONTH(INDEX(DarlAuszahlung,19),209)+1)</f>
      </c>
      <c r="F8853" s="43">
        <f>IF($E8853=0,0,YEAR($E8853))</f>
      </c>
      <c r="G8853" s="43">
        <f>IF(INDEX(DarlBindung,19)="",1,IF($E8853&lt;=INDEX(DarlBindung,19),1,0))</f>
      </c>
      <c r="H8853" s="43">
        <f>IF($G8853=1,INDEX(DarlSollzins,19),INDEX(DarlAnschluss,19))</f>
      </c>
      <c r="I8853" s="43">
        <f>IF(INDEX(DarlBelegt,19)=0,0,IF(INDEX(DarlOhneTilgung,19)=1,IF(INDEX(DarlBindung,19)="",1,$G8853),IF($J8853&gt;0.005,1,0)))</f>
      </c>
      <c r="J8853" s="43">
        <f>IF($I8852=0,0,$R8852)</f>
      </c>
      <c r="K8853" s="43">
        <f>IF($I8853=0,0,IF(INDEX(DarlOhneTilgung,19)=1,0,IF(AND(INDEX(DarlTilgStart,19)&gt;0,$E8853=INDEX(DarlTilgStart,19)),$J8853*($H8853+INDEX(DarlTilgung,19))/100/12,IF(AND($G8853=0,$G8852=1),MAX($K8852,$J8853*($H8853+1)/100/12),$K8852))))</f>
      </c>
      <c r="L8853" s="43">
        <f>IF($I8853=0,0,$J8853*$H8853/100/12)</f>
      </c>
      <c r="M8853" s="43">
        <f>IF($I8853=0,0,IF(OR(INDEX(DarlOhneTilgung,19)=1,AND(INDEX(DarlTilgStart,19)&gt;0,$E8853&lt;INDEX(DarlTilgStart,19))),0,MIN(MAX(0,$K8853-$L8853),$J8853)))</f>
      </c>
      <c r="N8853" s="43">
        <f>IF($I8853=0,0,MIN(SUMIFS(SondBetrag,SondDarl,19,SondDatum,"&gt;="&amp;$E8853,SondDatum,"&lt;="&amp;EOMONTH($E8853,0)),$J8853-$M8853))</f>
      </c>
      <c r="O8853" s="43">
        <f>IF($I8853=0,0,INDEX(DarlErsatzRate,19))</f>
      </c>
      <c r="P8853" s="43">
        <f>IF($I8853=0,0,$Q8852*INDEX(DarlErsatzZins,19))</f>
      </c>
      <c r="Q8853" s="43">
        <f>IF($I8853=0,0,$Q8852+$P8853+$O8853)</f>
      </c>
      <c r="R8853" s="43">
        <f>IF($I8853=0,0,$J8853-$M8853-$N8853)</f>
      </c>
    </row>
    <row r="8854">
      <c r="A8854"/>
      <c r="B8854">
        <v>19</v>
      </c>
      <c r="C8854" s="43">
        <f>INDEX(DarlObj,19)</f>
      </c>
      <c r="D8854">
        <v>211</v>
      </c>
      <c r="E8854" s="51">
        <f>IF(INDEX(DarlBelegt,19)=0,0,EOMONTH(INDEX(DarlAuszahlung,19),210)+1)</f>
      </c>
      <c r="F8854" s="43">
        <f>IF($E8854=0,0,YEAR($E8854))</f>
      </c>
      <c r="G8854" s="43">
        <f>IF(INDEX(DarlBindung,19)="",1,IF($E8854&lt;=INDEX(DarlBindung,19),1,0))</f>
      </c>
      <c r="H8854" s="43">
        <f>IF($G8854=1,INDEX(DarlSollzins,19),INDEX(DarlAnschluss,19))</f>
      </c>
      <c r="I8854" s="43">
        <f>IF(INDEX(DarlBelegt,19)=0,0,IF(INDEX(DarlOhneTilgung,19)=1,IF(INDEX(DarlBindung,19)="",1,$G8854),IF($J8854&gt;0.005,1,0)))</f>
      </c>
      <c r="J8854" s="43">
        <f>IF($I8853=0,0,$R8853)</f>
      </c>
      <c r="K8854" s="43">
        <f>IF($I8854=0,0,IF(INDEX(DarlOhneTilgung,19)=1,0,IF(AND(INDEX(DarlTilgStart,19)&gt;0,$E8854=INDEX(DarlTilgStart,19)),$J8854*($H8854+INDEX(DarlTilgung,19))/100/12,IF(AND($G8854=0,$G8853=1),MAX($K8853,$J8854*($H8854+1)/100/12),$K8853))))</f>
      </c>
      <c r="L8854" s="43">
        <f>IF($I8854=0,0,$J8854*$H8854/100/12)</f>
      </c>
      <c r="M8854" s="43">
        <f>IF($I8854=0,0,IF(OR(INDEX(DarlOhneTilgung,19)=1,AND(INDEX(DarlTilgStart,19)&gt;0,$E8854&lt;INDEX(DarlTilgStart,19))),0,MIN(MAX(0,$K8854-$L8854),$J8854)))</f>
      </c>
      <c r="N8854" s="43">
        <f>IF($I8854=0,0,MIN(SUMIFS(SondBetrag,SondDarl,19,SondDatum,"&gt;="&amp;$E8854,SondDatum,"&lt;="&amp;EOMONTH($E8854,0)),$J8854-$M8854))</f>
      </c>
      <c r="O8854" s="43">
        <f>IF($I8854=0,0,INDEX(DarlErsatzRate,19))</f>
      </c>
      <c r="P8854" s="43">
        <f>IF($I8854=0,0,$Q8853*INDEX(DarlErsatzZins,19))</f>
      </c>
      <c r="Q8854" s="43">
        <f>IF($I8854=0,0,$Q8853+$P8854+$O8854)</f>
      </c>
      <c r="R8854" s="43">
        <f>IF($I8854=0,0,$J8854-$M8854-$N8854)</f>
      </c>
    </row>
    <row r="8855">
      <c r="A8855"/>
      <c r="B8855">
        <v>19</v>
      </c>
      <c r="C8855" s="43">
        <f>INDEX(DarlObj,19)</f>
      </c>
      <c r="D8855">
        <v>212</v>
      </c>
      <c r="E8855" s="51">
        <f>IF(INDEX(DarlBelegt,19)=0,0,EOMONTH(INDEX(DarlAuszahlung,19),211)+1)</f>
      </c>
      <c r="F8855" s="43">
        <f>IF($E8855=0,0,YEAR($E8855))</f>
      </c>
      <c r="G8855" s="43">
        <f>IF(INDEX(DarlBindung,19)="",1,IF($E8855&lt;=INDEX(DarlBindung,19),1,0))</f>
      </c>
      <c r="H8855" s="43">
        <f>IF($G8855=1,INDEX(DarlSollzins,19),INDEX(DarlAnschluss,19))</f>
      </c>
      <c r="I8855" s="43">
        <f>IF(INDEX(DarlBelegt,19)=0,0,IF(INDEX(DarlOhneTilgung,19)=1,IF(INDEX(DarlBindung,19)="",1,$G8855),IF($J8855&gt;0.005,1,0)))</f>
      </c>
      <c r="J8855" s="43">
        <f>IF($I8854=0,0,$R8854)</f>
      </c>
      <c r="K8855" s="43">
        <f>IF($I8855=0,0,IF(INDEX(DarlOhneTilgung,19)=1,0,IF(AND(INDEX(DarlTilgStart,19)&gt;0,$E8855=INDEX(DarlTilgStart,19)),$J8855*($H8855+INDEX(DarlTilgung,19))/100/12,IF(AND($G8855=0,$G8854=1),MAX($K8854,$J8855*($H8855+1)/100/12),$K8854))))</f>
      </c>
      <c r="L8855" s="43">
        <f>IF($I8855=0,0,$J8855*$H8855/100/12)</f>
      </c>
      <c r="M8855" s="43">
        <f>IF($I8855=0,0,IF(OR(INDEX(DarlOhneTilgung,19)=1,AND(INDEX(DarlTilgStart,19)&gt;0,$E8855&lt;INDEX(DarlTilgStart,19))),0,MIN(MAX(0,$K8855-$L8855),$J8855)))</f>
      </c>
      <c r="N8855" s="43">
        <f>IF($I8855=0,0,MIN(SUMIFS(SondBetrag,SondDarl,19,SondDatum,"&gt;="&amp;$E8855,SondDatum,"&lt;="&amp;EOMONTH($E8855,0)),$J8855-$M8855))</f>
      </c>
      <c r="O8855" s="43">
        <f>IF($I8855=0,0,INDEX(DarlErsatzRate,19))</f>
      </c>
      <c r="P8855" s="43">
        <f>IF($I8855=0,0,$Q8854*INDEX(DarlErsatzZins,19))</f>
      </c>
      <c r="Q8855" s="43">
        <f>IF($I8855=0,0,$Q8854+$P8855+$O8855)</f>
      </c>
      <c r="R8855" s="43">
        <f>IF($I8855=0,0,$J8855-$M8855-$N8855)</f>
      </c>
    </row>
    <row r="8856">
      <c r="A8856"/>
      <c r="B8856">
        <v>19</v>
      </c>
      <c r="C8856" s="43">
        <f>INDEX(DarlObj,19)</f>
      </c>
      <c r="D8856">
        <v>213</v>
      </c>
      <c r="E8856" s="51">
        <f>IF(INDEX(DarlBelegt,19)=0,0,EOMONTH(INDEX(DarlAuszahlung,19),212)+1)</f>
      </c>
      <c r="F8856" s="43">
        <f>IF($E8856=0,0,YEAR($E8856))</f>
      </c>
      <c r="G8856" s="43">
        <f>IF(INDEX(DarlBindung,19)="",1,IF($E8856&lt;=INDEX(DarlBindung,19),1,0))</f>
      </c>
      <c r="H8856" s="43">
        <f>IF($G8856=1,INDEX(DarlSollzins,19),INDEX(DarlAnschluss,19))</f>
      </c>
      <c r="I8856" s="43">
        <f>IF(INDEX(DarlBelegt,19)=0,0,IF(INDEX(DarlOhneTilgung,19)=1,IF(INDEX(DarlBindung,19)="",1,$G8856),IF($J8856&gt;0.005,1,0)))</f>
      </c>
      <c r="J8856" s="43">
        <f>IF($I8855=0,0,$R8855)</f>
      </c>
      <c r="K8856" s="43">
        <f>IF($I8856=0,0,IF(INDEX(DarlOhneTilgung,19)=1,0,IF(AND(INDEX(DarlTilgStart,19)&gt;0,$E8856=INDEX(DarlTilgStart,19)),$J8856*($H8856+INDEX(DarlTilgung,19))/100/12,IF(AND($G8856=0,$G8855=1),MAX($K8855,$J8856*($H8856+1)/100/12),$K8855))))</f>
      </c>
      <c r="L8856" s="43">
        <f>IF($I8856=0,0,$J8856*$H8856/100/12)</f>
      </c>
      <c r="M8856" s="43">
        <f>IF($I8856=0,0,IF(OR(INDEX(DarlOhneTilgung,19)=1,AND(INDEX(DarlTilgStart,19)&gt;0,$E8856&lt;INDEX(DarlTilgStart,19))),0,MIN(MAX(0,$K8856-$L8856),$J8856)))</f>
      </c>
      <c r="N8856" s="43">
        <f>IF($I8856=0,0,MIN(SUMIFS(SondBetrag,SondDarl,19,SondDatum,"&gt;="&amp;$E8856,SondDatum,"&lt;="&amp;EOMONTH($E8856,0)),$J8856-$M8856))</f>
      </c>
      <c r="O8856" s="43">
        <f>IF($I8856=0,0,INDEX(DarlErsatzRate,19))</f>
      </c>
      <c r="P8856" s="43">
        <f>IF($I8856=0,0,$Q8855*INDEX(DarlErsatzZins,19))</f>
      </c>
      <c r="Q8856" s="43">
        <f>IF($I8856=0,0,$Q8855+$P8856+$O8856)</f>
      </c>
      <c r="R8856" s="43">
        <f>IF($I8856=0,0,$J8856-$M8856-$N8856)</f>
      </c>
    </row>
    <row r="8857">
      <c r="A8857"/>
      <c r="B8857">
        <v>19</v>
      </c>
      <c r="C8857" s="43">
        <f>INDEX(DarlObj,19)</f>
      </c>
      <c r="D8857">
        <v>214</v>
      </c>
      <c r="E8857" s="51">
        <f>IF(INDEX(DarlBelegt,19)=0,0,EOMONTH(INDEX(DarlAuszahlung,19),213)+1)</f>
      </c>
      <c r="F8857" s="43">
        <f>IF($E8857=0,0,YEAR($E8857))</f>
      </c>
      <c r="G8857" s="43">
        <f>IF(INDEX(DarlBindung,19)="",1,IF($E8857&lt;=INDEX(DarlBindung,19),1,0))</f>
      </c>
      <c r="H8857" s="43">
        <f>IF($G8857=1,INDEX(DarlSollzins,19),INDEX(DarlAnschluss,19))</f>
      </c>
      <c r="I8857" s="43">
        <f>IF(INDEX(DarlBelegt,19)=0,0,IF(INDEX(DarlOhneTilgung,19)=1,IF(INDEX(DarlBindung,19)="",1,$G8857),IF($J8857&gt;0.005,1,0)))</f>
      </c>
      <c r="J8857" s="43">
        <f>IF($I8856=0,0,$R8856)</f>
      </c>
      <c r="K8857" s="43">
        <f>IF($I8857=0,0,IF(INDEX(DarlOhneTilgung,19)=1,0,IF(AND(INDEX(DarlTilgStart,19)&gt;0,$E8857=INDEX(DarlTilgStart,19)),$J8857*($H8857+INDEX(DarlTilgung,19))/100/12,IF(AND($G8857=0,$G8856=1),MAX($K8856,$J8857*($H8857+1)/100/12),$K8856))))</f>
      </c>
      <c r="L8857" s="43">
        <f>IF($I8857=0,0,$J8857*$H8857/100/12)</f>
      </c>
      <c r="M8857" s="43">
        <f>IF($I8857=0,0,IF(OR(INDEX(DarlOhneTilgung,19)=1,AND(INDEX(DarlTilgStart,19)&gt;0,$E8857&lt;INDEX(DarlTilgStart,19))),0,MIN(MAX(0,$K8857-$L8857),$J8857)))</f>
      </c>
      <c r="N8857" s="43">
        <f>IF($I8857=0,0,MIN(SUMIFS(SondBetrag,SondDarl,19,SondDatum,"&gt;="&amp;$E8857,SondDatum,"&lt;="&amp;EOMONTH($E8857,0)),$J8857-$M8857))</f>
      </c>
      <c r="O8857" s="43">
        <f>IF($I8857=0,0,INDEX(DarlErsatzRate,19))</f>
      </c>
      <c r="P8857" s="43">
        <f>IF($I8857=0,0,$Q8856*INDEX(DarlErsatzZins,19))</f>
      </c>
      <c r="Q8857" s="43">
        <f>IF($I8857=0,0,$Q8856+$P8857+$O8857)</f>
      </c>
      <c r="R8857" s="43">
        <f>IF($I8857=0,0,$J8857-$M8857-$N8857)</f>
      </c>
    </row>
    <row r="8858">
      <c r="A8858"/>
      <c r="B8858">
        <v>19</v>
      </c>
      <c r="C8858" s="43">
        <f>INDEX(DarlObj,19)</f>
      </c>
      <c r="D8858">
        <v>215</v>
      </c>
      <c r="E8858" s="51">
        <f>IF(INDEX(DarlBelegt,19)=0,0,EOMONTH(INDEX(DarlAuszahlung,19),214)+1)</f>
      </c>
      <c r="F8858" s="43">
        <f>IF($E8858=0,0,YEAR($E8858))</f>
      </c>
      <c r="G8858" s="43">
        <f>IF(INDEX(DarlBindung,19)="",1,IF($E8858&lt;=INDEX(DarlBindung,19),1,0))</f>
      </c>
      <c r="H8858" s="43">
        <f>IF($G8858=1,INDEX(DarlSollzins,19),INDEX(DarlAnschluss,19))</f>
      </c>
      <c r="I8858" s="43">
        <f>IF(INDEX(DarlBelegt,19)=0,0,IF(INDEX(DarlOhneTilgung,19)=1,IF(INDEX(DarlBindung,19)="",1,$G8858),IF($J8858&gt;0.005,1,0)))</f>
      </c>
      <c r="J8858" s="43">
        <f>IF($I8857=0,0,$R8857)</f>
      </c>
      <c r="K8858" s="43">
        <f>IF($I8858=0,0,IF(INDEX(DarlOhneTilgung,19)=1,0,IF(AND(INDEX(DarlTilgStart,19)&gt;0,$E8858=INDEX(DarlTilgStart,19)),$J8858*($H8858+INDEX(DarlTilgung,19))/100/12,IF(AND($G8858=0,$G8857=1),MAX($K8857,$J8858*($H8858+1)/100/12),$K8857))))</f>
      </c>
      <c r="L8858" s="43">
        <f>IF($I8858=0,0,$J8858*$H8858/100/12)</f>
      </c>
      <c r="M8858" s="43">
        <f>IF($I8858=0,0,IF(OR(INDEX(DarlOhneTilgung,19)=1,AND(INDEX(DarlTilgStart,19)&gt;0,$E8858&lt;INDEX(DarlTilgStart,19))),0,MIN(MAX(0,$K8858-$L8858),$J8858)))</f>
      </c>
      <c r="N8858" s="43">
        <f>IF($I8858=0,0,MIN(SUMIFS(SondBetrag,SondDarl,19,SondDatum,"&gt;="&amp;$E8858,SondDatum,"&lt;="&amp;EOMONTH($E8858,0)),$J8858-$M8858))</f>
      </c>
      <c r="O8858" s="43">
        <f>IF($I8858=0,0,INDEX(DarlErsatzRate,19))</f>
      </c>
      <c r="P8858" s="43">
        <f>IF($I8858=0,0,$Q8857*INDEX(DarlErsatzZins,19))</f>
      </c>
      <c r="Q8858" s="43">
        <f>IF($I8858=0,0,$Q8857+$P8858+$O8858)</f>
      </c>
      <c r="R8858" s="43">
        <f>IF($I8858=0,0,$J8858-$M8858-$N8858)</f>
      </c>
    </row>
    <row r="8859">
      <c r="A8859"/>
      <c r="B8859">
        <v>19</v>
      </c>
      <c r="C8859" s="43">
        <f>INDEX(DarlObj,19)</f>
      </c>
      <c r="D8859">
        <v>216</v>
      </c>
      <c r="E8859" s="51">
        <f>IF(INDEX(DarlBelegt,19)=0,0,EOMONTH(INDEX(DarlAuszahlung,19),215)+1)</f>
      </c>
      <c r="F8859" s="43">
        <f>IF($E8859=0,0,YEAR($E8859))</f>
      </c>
      <c r="G8859" s="43">
        <f>IF(INDEX(DarlBindung,19)="",1,IF($E8859&lt;=INDEX(DarlBindung,19),1,0))</f>
      </c>
      <c r="H8859" s="43">
        <f>IF($G8859=1,INDEX(DarlSollzins,19),INDEX(DarlAnschluss,19))</f>
      </c>
      <c r="I8859" s="43">
        <f>IF(INDEX(DarlBelegt,19)=0,0,IF(INDEX(DarlOhneTilgung,19)=1,IF(INDEX(DarlBindung,19)="",1,$G8859),IF($J8859&gt;0.005,1,0)))</f>
      </c>
      <c r="J8859" s="43">
        <f>IF($I8858=0,0,$R8858)</f>
      </c>
      <c r="K8859" s="43">
        <f>IF($I8859=0,0,IF(INDEX(DarlOhneTilgung,19)=1,0,IF(AND(INDEX(DarlTilgStart,19)&gt;0,$E8859=INDEX(DarlTilgStart,19)),$J8859*($H8859+INDEX(DarlTilgung,19))/100/12,IF(AND($G8859=0,$G8858=1),MAX($K8858,$J8859*($H8859+1)/100/12),$K8858))))</f>
      </c>
      <c r="L8859" s="43">
        <f>IF($I8859=0,0,$J8859*$H8859/100/12)</f>
      </c>
      <c r="M8859" s="43">
        <f>IF($I8859=0,0,IF(OR(INDEX(DarlOhneTilgung,19)=1,AND(INDEX(DarlTilgStart,19)&gt;0,$E8859&lt;INDEX(DarlTilgStart,19))),0,MIN(MAX(0,$K8859-$L8859),$J8859)))</f>
      </c>
      <c r="N8859" s="43">
        <f>IF($I8859=0,0,MIN(SUMIFS(SondBetrag,SondDarl,19,SondDatum,"&gt;="&amp;$E8859,SondDatum,"&lt;="&amp;EOMONTH($E8859,0)),$J8859-$M8859))</f>
      </c>
      <c r="O8859" s="43">
        <f>IF($I8859=0,0,INDEX(DarlErsatzRate,19))</f>
      </c>
      <c r="P8859" s="43">
        <f>IF($I8859=0,0,$Q8858*INDEX(DarlErsatzZins,19))</f>
      </c>
      <c r="Q8859" s="43">
        <f>IF($I8859=0,0,$Q8858+$P8859+$O8859)</f>
      </c>
      <c r="R8859" s="43">
        <f>IF($I8859=0,0,$J8859-$M8859-$N8859)</f>
      </c>
    </row>
    <row r="8860">
      <c r="A8860"/>
      <c r="B8860">
        <v>19</v>
      </c>
      <c r="C8860" s="43">
        <f>INDEX(DarlObj,19)</f>
      </c>
      <c r="D8860">
        <v>217</v>
      </c>
      <c r="E8860" s="51">
        <f>IF(INDEX(DarlBelegt,19)=0,0,EOMONTH(INDEX(DarlAuszahlung,19),216)+1)</f>
      </c>
      <c r="F8860" s="43">
        <f>IF($E8860=0,0,YEAR($E8860))</f>
      </c>
      <c r="G8860" s="43">
        <f>IF(INDEX(DarlBindung,19)="",1,IF($E8860&lt;=INDEX(DarlBindung,19),1,0))</f>
      </c>
      <c r="H8860" s="43">
        <f>IF($G8860=1,INDEX(DarlSollzins,19),INDEX(DarlAnschluss,19))</f>
      </c>
      <c r="I8860" s="43">
        <f>IF(INDEX(DarlBelegt,19)=0,0,IF(INDEX(DarlOhneTilgung,19)=1,IF(INDEX(DarlBindung,19)="",1,$G8860),IF($J8860&gt;0.005,1,0)))</f>
      </c>
      <c r="J8860" s="43">
        <f>IF($I8859=0,0,$R8859)</f>
      </c>
      <c r="K8860" s="43">
        <f>IF($I8860=0,0,IF(INDEX(DarlOhneTilgung,19)=1,0,IF(AND(INDEX(DarlTilgStart,19)&gt;0,$E8860=INDEX(DarlTilgStart,19)),$J8860*($H8860+INDEX(DarlTilgung,19))/100/12,IF(AND($G8860=0,$G8859=1),MAX($K8859,$J8860*($H8860+1)/100/12),$K8859))))</f>
      </c>
      <c r="L8860" s="43">
        <f>IF($I8860=0,0,$J8860*$H8860/100/12)</f>
      </c>
      <c r="M8860" s="43">
        <f>IF($I8860=0,0,IF(OR(INDEX(DarlOhneTilgung,19)=1,AND(INDEX(DarlTilgStart,19)&gt;0,$E8860&lt;INDEX(DarlTilgStart,19))),0,MIN(MAX(0,$K8860-$L8860),$J8860)))</f>
      </c>
      <c r="N8860" s="43">
        <f>IF($I8860=0,0,MIN(SUMIFS(SondBetrag,SondDarl,19,SondDatum,"&gt;="&amp;$E8860,SondDatum,"&lt;="&amp;EOMONTH($E8860,0)),$J8860-$M8860))</f>
      </c>
      <c r="O8860" s="43">
        <f>IF($I8860=0,0,INDEX(DarlErsatzRate,19))</f>
      </c>
      <c r="P8860" s="43">
        <f>IF($I8860=0,0,$Q8859*INDEX(DarlErsatzZins,19))</f>
      </c>
      <c r="Q8860" s="43">
        <f>IF($I8860=0,0,$Q8859+$P8860+$O8860)</f>
      </c>
      <c r="R8860" s="43">
        <f>IF($I8860=0,0,$J8860-$M8860-$N8860)</f>
      </c>
    </row>
    <row r="8861">
      <c r="A8861"/>
      <c r="B8861">
        <v>19</v>
      </c>
      <c r="C8861" s="43">
        <f>INDEX(DarlObj,19)</f>
      </c>
      <c r="D8861">
        <v>218</v>
      </c>
      <c r="E8861" s="51">
        <f>IF(INDEX(DarlBelegt,19)=0,0,EOMONTH(INDEX(DarlAuszahlung,19),217)+1)</f>
      </c>
      <c r="F8861" s="43">
        <f>IF($E8861=0,0,YEAR($E8861))</f>
      </c>
      <c r="G8861" s="43">
        <f>IF(INDEX(DarlBindung,19)="",1,IF($E8861&lt;=INDEX(DarlBindung,19),1,0))</f>
      </c>
      <c r="H8861" s="43">
        <f>IF($G8861=1,INDEX(DarlSollzins,19),INDEX(DarlAnschluss,19))</f>
      </c>
      <c r="I8861" s="43">
        <f>IF(INDEX(DarlBelegt,19)=0,0,IF(INDEX(DarlOhneTilgung,19)=1,IF(INDEX(DarlBindung,19)="",1,$G8861),IF($J8861&gt;0.005,1,0)))</f>
      </c>
      <c r="J8861" s="43">
        <f>IF($I8860=0,0,$R8860)</f>
      </c>
      <c r="K8861" s="43">
        <f>IF($I8861=0,0,IF(INDEX(DarlOhneTilgung,19)=1,0,IF(AND(INDEX(DarlTilgStart,19)&gt;0,$E8861=INDEX(DarlTilgStart,19)),$J8861*($H8861+INDEX(DarlTilgung,19))/100/12,IF(AND($G8861=0,$G8860=1),MAX($K8860,$J8861*($H8861+1)/100/12),$K8860))))</f>
      </c>
      <c r="L8861" s="43">
        <f>IF($I8861=0,0,$J8861*$H8861/100/12)</f>
      </c>
      <c r="M8861" s="43">
        <f>IF($I8861=0,0,IF(OR(INDEX(DarlOhneTilgung,19)=1,AND(INDEX(DarlTilgStart,19)&gt;0,$E8861&lt;INDEX(DarlTilgStart,19))),0,MIN(MAX(0,$K8861-$L8861),$J8861)))</f>
      </c>
      <c r="N8861" s="43">
        <f>IF($I8861=0,0,MIN(SUMIFS(SondBetrag,SondDarl,19,SondDatum,"&gt;="&amp;$E8861,SondDatum,"&lt;="&amp;EOMONTH($E8861,0)),$J8861-$M8861))</f>
      </c>
      <c r="O8861" s="43">
        <f>IF($I8861=0,0,INDEX(DarlErsatzRate,19))</f>
      </c>
      <c r="P8861" s="43">
        <f>IF($I8861=0,0,$Q8860*INDEX(DarlErsatzZins,19))</f>
      </c>
      <c r="Q8861" s="43">
        <f>IF($I8861=0,0,$Q8860+$P8861+$O8861)</f>
      </c>
      <c r="R8861" s="43">
        <f>IF($I8861=0,0,$J8861-$M8861-$N8861)</f>
      </c>
    </row>
    <row r="8862">
      <c r="A8862"/>
      <c r="B8862">
        <v>19</v>
      </c>
      <c r="C8862" s="43">
        <f>INDEX(DarlObj,19)</f>
      </c>
      <c r="D8862">
        <v>219</v>
      </c>
      <c r="E8862" s="51">
        <f>IF(INDEX(DarlBelegt,19)=0,0,EOMONTH(INDEX(DarlAuszahlung,19),218)+1)</f>
      </c>
      <c r="F8862" s="43">
        <f>IF($E8862=0,0,YEAR($E8862))</f>
      </c>
      <c r="G8862" s="43">
        <f>IF(INDEX(DarlBindung,19)="",1,IF($E8862&lt;=INDEX(DarlBindung,19),1,0))</f>
      </c>
      <c r="H8862" s="43">
        <f>IF($G8862=1,INDEX(DarlSollzins,19),INDEX(DarlAnschluss,19))</f>
      </c>
      <c r="I8862" s="43">
        <f>IF(INDEX(DarlBelegt,19)=0,0,IF(INDEX(DarlOhneTilgung,19)=1,IF(INDEX(DarlBindung,19)="",1,$G8862),IF($J8862&gt;0.005,1,0)))</f>
      </c>
      <c r="J8862" s="43">
        <f>IF($I8861=0,0,$R8861)</f>
      </c>
      <c r="K8862" s="43">
        <f>IF($I8862=0,0,IF(INDEX(DarlOhneTilgung,19)=1,0,IF(AND(INDEX(DarlTilgStart,19)&gt;0,$E8862=INDEX(DarlTilgStart,19)),$J8862*($H8862+INDEX(DarlTilgung,19))/100/12,IF(AND($G8862=0,$G8861=1),MAX($K8861,$J8862*($H8862+1)/100/12),$K8861))))</f>
      </c>
      <c r="L8862" s="43">
        <f>IF($I8862=0,0,$J8862*$H8862/100/12)</f>
      </c>
      <c r="M8862" s="43">
        <f>IF($I8862=0,0,IF(OR(INDEX(DarlOhneTilgung,19)=1,AND(INDEX(DarlTilgStart,19)&gt;0,$E8862&lt;INDEX(DarlTilgStart,19))),0,MIN(MAX(0,$K8862-$L8862),$J8862)))</f>
      </c>
      <c r="N8862" s="43">
        <f>IF($I8862=0,0,MIN(SUMIFS(SondBetrag,SondDarl,19,SondDatum,"&gt;="&amp;$E8862,SondDatum,"&lt;="&amp;EOMONTH($E8862,0)),$J8862-$M8862))</f>
      </c>
      <c r="O8862" s="43">
        <f>IF($I8862=0,0,INDEX(DarlErsatzRate,19))</f>
      </c>
      <c r="P8862" s="43">
        <f>IF($I8862=0,0,$Q8861*INDEX(DarlErsatzZins,19))</f>
      </c>
      <c r="Q8862" s="43">
        <f>IF($I8862=0,0,$Q8861+$P8862+$O8862)</f>
      </c>
      <c r="R8862" s="43">
        <f>IF($I8862=0,0,$J8862-$M8862-$N8862)</f>
      </c>
    </row>
    <row r="8863">
      <c r="A8863"/>
      <c r="B8863">
        <v>19</v>
      </c>
      <c r="C8863" s="43">
        <f>INDEX(DarlObj,19)</f>
      </c>
      <c r="D8863">
        <v>220</v>
      </c>
      <c r="E8863" s="51">
        <f>IF(INDEX(DarlBelegt,19)=0,0,EOMONTH(INDEX(DarlAuszahlung,19),219)+1)</f>
      </c>
      <c r="F8863" s="43">
        <f>IF($E8863=0,0,YEAR($E8863))</f>
      </c>
      <c r="G8863" s="43">
        <f>IF(INDEX(DarlBindung,19)="",1,IF($E8863&lt;=INDEX(DarlBindung,19),1,0))</f>
      </c>
      <c r="H8863" s="43">
        <f>IF($G8863=1,INDEX(DarlSollzins,19),INDEX(DarlAnschluss,19))</f>
      </c>
      <c r="I8863" s="43">
        <f>IF(INDEX(DarlBelegt,19)=0,0,IF(INDEX(DarlOhneTilgung,19)=1,IF(INDEX(DarlBindung,19)="",1,$G8863),IF($J8863&gt;0.005,1,0)))</f>
      </c>
      <c r="J8863" s="43">
        <f>IF($I8862=0,0,$R8862)</f>
      </c>
      <c r="K8863" s="43">
        <f>IF($I8863=0,0,IF(INDEX(DarlOhneTilgung,19)=1,0,IF(AND(INDEX(DarlTilgStart,19)&gt;0,$E8863=INDEX(DarlTilgStart,19)),$J8863*($H8863+INDEX(DarlTilgung,19))/100/12,IF(AND($G8863=0,$G8862=1),MAX($K8862,$J8863*($H8863+1)/100/12),$K8862))))</f>
      </c>
      <c r="L8863" s="43">
        <f>IF($I8863=0,0,$J8863*$H8863/100/12)</f>
      </c>
      <c r="M8863" s="43">
        <f>IF($I8863=0,0,IF(OR(INDEX(DarlOhneTilgung,19)=1,AND(INDEX(DarlTilgStart,19)&gt;0,$E8863&lt;INDEX(DarlTilgStart,19))),0,MIN(MAX(0,$K8863-$L8863),$J8863)))</f>
      </c>
      <c r="N8863" s="43">
        <f>IF($I8863=0,0,MIN(SUMIFS(SondBetrag,SondDarl,19,SondDatum,"&gt;="&amp;$E8863,SondDatum,"&lt;="&amp;EOMONTH($E8863,0)),$J8863-$M8863))</f>
      </c>
      <c r="O8863" s="43">
        <f>IF($I8863=0,0,INDEX(DarlErsatzRate,19))</f>
      </c>
      <c r="P8863" s="43">
        <f>IF($I8863=0,0,$Q8862*INDEX(DarlErsatzZins,19))</f>
      </c>
      <c r="Q8863" s="43">
        <f>IF($I8863=0,0,$Q8862+$P8863+$O8863)</f>
      </c>
      <c r="R8863" s="43">
        <f>IF($I8863=0,0,$J8863-$M8863-$N8863)</f>
      </c>
    </row>
    <row r="8864">
      <c r="A8864"/>
      <c r="B8864">
        <v>19</v>
      </c>
      <c r="C8864" s="43">
        <f>INDEX(DarlObj,19)</f>
      </c>
      <c r="D8864">
        <v>221</v>
      </c>
      <c r="E8864" s="51">
        <f>IF(INDEX(DarlBelegt,19)=0,0,EOMONTH(INDEX(DarlAuszahlung,19),220)+1)</f>
      </c>
      <c r="F8864" s="43">
        <f>IF($E8864=0,0,YEAR($E8864))</f>
      </c>
      <c r="G8864" s="43">
        <f>IF(INDEX(DarlBindung,19)="",1,IF($E8864&lt;=INDEX(DarlBindung,19),1,0))</f>
      </c>
      <c r="H8864" s="43">
        <f>IF($G8864=1,INDEX(DarlSollzins,19),INDEX(DarlAnschluss,19))</f>
      </c>
      <c r="I8864" s="43">
        <f>IF(INDEX(DarlBelegt,19)=0,0,IF(INDEX(DarlOhneTilgung,19)=1,IF(INDEX(DarlBindung,19)="",1,$G8864),IF($J8864&gt;0.005,1,0)))</f>
      </c>
      <c r="J8864" s="43">
        <f>IF($I8863=0,0,$R8863)</f>
      </c>
      <c r="K8864" s="43">
        <f>IF($I8864=0,0,IF(INDEX(DarlOhneTilgung,19)=1,0,IF(AND(INDEX(DarlTilgStart,19)&gt;0,$E8864=INDEX(DarlTilgStart,19)),$J8864*($H8864+INDEX(DarlTilgung,19))/100/12,IF(AND($G8864=0,$G8863=1),MAX($K8863,$J8864*($H8864+1)/100/12),$K8863))))</f>
      </c>
      <c r="L8864" s="43">
        <f>IF($I8864=0,0,$J8864*$H8864/100/12)</f>
      </c>
      <c r="M8864" s="43">
        <f>IF($I8864=0,0,IF(OR(INDEX(DarlOhneTilgung,19)=1,AND(INDEX(DarlTilgStart,19)&gt;0,$E8864&lt;INDEX(DarlTilgStart,19))),0,MIN(MAX(0,$K8864-$L8864),$J8864)))</f>
      </c>
      <c r="N8864" s="43">
        <f>IF($I8864=0,0,MIN(SUMIFS(SondBetrag,SondDarl,19,SondDatum,"&gt;="&amp;$E8864,SondDatum,"&lt;="&amp;EOMONTH($E8864,0)),$J8864-$M8864))</f>
      </c>
      <c r="O8864" s="43">
        <f>IF($I8864=0,0,INDEX(DarlErsatzRate,19))</f>
      </c>
      <c r="P8864" s="43">
        <f>IF($I8864=0,0,$Q8863*INDEX(DarlErsatzZins,19))</f>
      </c>
      <c r="Q8864" s="43">
        <f>IF($I8864=0,0,$Q8863+$P8864+$O8864)</f>
      </c>
      <c r="R8864" s="43">
        <f>IF($I8864=0,0,$J8864-$M8864-$N8864)</f>
      </c>
    </row>
    <row r="8865">
      <c r="A8865"/>
      <c r="B8865">
        <v>19</v>
      </c>
      <c r="C8865" s="43">
        <f>INDEX(DarlObj,19)</f>
      </c>
      <c r="D8865">
        <v>222</v>
      </c>
      <c r="E8865" s="51">
        <f>IF(INDEX(DarlBelegt,19)=0,0,EOMONTH(INDEX(DarlAuszahlung,19),221)+1)</f>
      </c>
      <c r="F8865" s="43">
        <f>IF($E8865=0,0,YEAR($E8865))</f>
      </c>
      <c r="G8865" s="43">
        <f>IF(INDEX(DarlBindung,19)="",1,IF($E8865&lt;=INDEX(DarlBindung,19),1,0))</f>
      </c>
      <c r="H8865" s="43">
        <f>IF($G8865=1,INDEX(DarlSollzins,19),INDEX(DarlAnschluss,19))</f>
      </c>
      <c r="I8865" s="43">
        <f>IF(INDEX(DarlBelegt,19)=0,0,IF(INDEX(DarlOhneTilgung,19)=1,IF(INDEX(DarlBindung,19)="",1,$G8865),IF($J8865&gt;0.005,1,0)))</f>
      </c>
      <c r="J8865" s="43">
        <f>IF($I8864=0,0,$R8864)</f>
      </c>
      <c r="K8865" s="43">
        <f>IF($I8865=0,0,IF(INDEX(DarlOhneTilgung,19)=1,0,IF(AND(INDEX(DarlTilgStart,19)&gt;0,$E8865=INDEX(DarlTilgStart,19)),$J8865*($H8865+INDEX(DarlTilgung,19))/100/12,IF(AND($G8865=0,$G8864=1),MAX($K8864,$J8865*($H8865+1)/100/12),$K8864))))</f>
      </c>
      <c r="L8865" s="43">
        <f>IF($I8865=0,0,$J8865*$H8865/100/12)</f>
      </c>
      <c r="M8865" s="43">
        <f>IF($I8865=0,0,IF(OR(INDEX(DarlOhneTilgung,19)=1,AND(INDEX(DarlTilgStart,19)&gt;0,$E8865&lt;INDEX(DarlTilgStart,19))),0,MIN(MAX(0,$K8865-$L8865),$J8865)))</f>
      </c>
      <c r="N8865" s="43">
        <f>IF($I8865=0,0,MIN(SUMIFS(SondBetrag,SondDarl,19,SondDatum,"&gt;="&amp;$E8865,SondDatum,"&lt;="&amp;EOMONTH($E8865,0)),$J8865-$M8865))</f>
      </c>
      <c r="O8865" s="43">
        <f>IF($I8865=0,0,INDEX(DarlErsatzRate,19))</f>
      </c>
      <c r="P8865" s="43">
        <f>IF($I8865=0,0,$Q8864*INDEX(DarlErsatzZins,19))</f>
      </c>
      <c r="Q8865" s="43">
        <f>IF($I8865=0,0,$Q8864+$P8865+$O8865)</f>
      </c>
      <c r="R8865" s="43">
        <f>IF($I8865=0,0,$J8865-$M8865-$N8865)</f>
      </c>
    </row>
    <row r="8866">
      <c r="A8866"/>
      <c r="B8866">
        <v>19</v>
      </c>
      <c r="C8866" s="43">
        <f>INDEX(DarlObj,19)</f>
      </c>
      <c r="D8866">
        <v>223</v>
      </c>
      <c r="E8866" s="51">
        <f>IF(INDEX(DarlBelegt,19)=0,0,EOMONTH(INDEX(DarlAuszahlung,19),222)+1)</f>
      </c>
      <c r="F8866" s="43">
        <f>IF($E8866=0,0,YEAR($E8866))</f>
      </c>
      <c r="G8866" s="43">
        <f>IF(INDEX(DarlBindung,19)="",1,IF($E8866&lt;=INDEX(DarlBindung,19),1,0))</f>
      </c>
      <c r="H8866" s="43">
        <f>IF($G8866=1,INDEX(DarlSollzins,19),INDEX(DarlAnschluss,19))</f>
      </c>
      <c r="I8866" s="43">
        <f>IF(INDEX(DarlBelegt,19)=0,0,IF(INDEX(DarlOhneTilgung,19)=1,IF(INDEX(DarlBindung,19)="",1,$G8866),IF($J8866&gt;0.005,1,0)))</f>
      </c>
      <c r="J8866" s="43">
        <f>IF($I8865=0,0,$R8865)</f>
      </c>
      <c r="K8866" s="43">
        <f>IF($I8866=0,0,IF(INDEX(DarlOhneTilgung,19)=1,0,IF(AND(INDEX(DarlTilgStart,19)&gt;0,$E8866=INDEX(DarlTilgStart,19)),$J8866*($H8866+INDEX(DarlTilgung,19))/100/12,IF(AND($G8866=0,$G8865=1),MAX($K8865,$J8866*($H8866+1)/100/12),$K8865))))</f>
      </c>
      <c r="L8866" s="43">
        <f>IF($I8866=0,0,$J8866*$H8866/100/12)</f>
      </c>
      <c r="M8866" s="43">
        <f>IF($I8866=0,0,IF(OR(INDEX(DarlOhneTilgung,19)=1,AND(INDEX(DarlTilgStart,19)&gt;0,$E8866&lt;INDEX(DarlTilgStart,19))),0,MIN(MAX(0,$K8866-$L8866),$J8866)))</f>
      </c>
      <c r="N8866" s="43">
        <f>IF($I8866=0,0,MIN(SUMIFS(SondBetrag,SondDarl,19,SondDatum,"&gt;="&amp;$E8866,SondDatum,"&lt;="&amp;EOMONTH($E8866,0)),$J8866-$M8866))</f>
      </c>
      <c r="O8866" s="43">
        <f>IF($I8866=0,0,INDEX(DarlErsatzRate,19))</f>
      </c>
      <c r="P8866" s="43">
        <f>IF($I8866=0,0,$Q8865*INDEX(DarlErsatzZins,19))</f>
      </c>
      <c r="Q8866" s="43">
        <f>IF($I8866=0,0,$Q8865+$P8866+$O8866)</f>
      </c>
      <c r="R8866" s="43">
        <f>IF($I8866=0,0,$J8866-$M8866-$N8866)</f>
      </c>
    </row>
    <row r="8867">
      <c r="A8867"/>
      <c r="B8867">
        <v>19</v>
      </c>
      <c r="C8867" s="43">
        <f>INDEX(DarlObj,19)</f>
      </c>
      <c r="D8867">
        <v>224</v>
      </c>
      <c r="E8867" s="51">
        <f>IF(INDEX(DarlBelegt,19)=0,0,EOMONTH(INDEX(DarlAuszahlung,19),223)+1)</f>
      </c>
      <c r="F8867" s="43">
        <f>IF($E8867=0,0,YEAR($E8867))</f>
      </c>
      <c r="G8867" s="43">
        <f>IF(INDEX(DarlBindung,19)="",1,IF($E8867&lt;=INDEX(DarlBindung,19),1,0))</f>
      </c>
      <c r="H8867" s="43">
        <f>IF($G8867=1,INDEX(DarlSollzins,19),INDEX(DarlAnschluss,19))</f>
      </c>
      <c r="I8867" s="43">
        <f>IF(INDEX(DarlBelegt,19)=0,0,IF(INDEX(DarlOhneTilgung,19)=1,IF(INDEX(DarlBindung,19)="",1,$G8867),IF($J8867&gt;0.005,1,0)))</f>
      </c>
      <c r="J8867" s="43">
        <f>IF($I8866=0,0,$R8866)</f>
      </c>
      <c r="K8867" s="43">
        <f>IF($I8867=0,0,IF(INDEX(DarlOhneTilgung,19)=1,0,IF(AND(INDEX(DarlTilgStart,19)&gt;0,$E8867=INDEX(DarlTilgStart,19)),$J8867*($H8867+INDEX(DarlTilgung,19))/100/12,IF(AND($G8867=0,$G8866=1),MAX($K8866,$J8867*($H8867+1)/100/12),$K8866))))</f>
      </c>
      <c r="L8867" s="43">
        <f>IF($I8867=0,0,$J8867*$H8867/100/12)</f>
      </c>
      <c r="M8867" s="43">
        <f>IF($I8867=0,0,IF(OR(INDEX(DarlOhneTilgung,19)=1,AND(INDEX(DarlTilgStart,19)&gt;0,$E8867&lt;INDEX(DarlTilgStart,19))),0,MIN(MAX(0,$K8867-$L8867),$J8867)))</f>
      </c>
      <c r="N8867" s="43">
        <f>IF($I8867=0,0,MIN(SUMIFS(SondBetrag,SondDarl,19,SondDatum,"&gt;="&amp;$E8867,SondDatum,"&lt;="&amp;EOMONTH($E8867,0)),$J8867-$M8867))</f>
      </c>
      <c r="O8867" s="43">
        <f>IF($I8867=0,0,INDEX(DarlErsatzRate,19))</f>
      </c>
      <c r="P8867" s="43">
        <f>IF($I8867=0,0,$Q8866*INDEX(DarlErsatzZins,19))</f>
      </c>
      <c r="Q8867" s="43">
        <f>IF($I8867=0,0,$Q8866+$P8867+$O8867)</f>
      </c>
      <c r="R8867" s="43">
        <f>IF($I8867=0,0,$J8867-$M8867-$N8867)</f>
      </c>
    </row>
    <row r="8868">
      <c r="A8868"/>
      <c r="B8868">
        <v>19</v>
      </c>
      <c r="C8868" s="43">
        <f>INDEX(DarlObj,19)</f>
      </c>
      <c r="D8868">
        <v>225</v>
      </c>
      <c r="E8868" s="51">
        <f>IF(INDEX(DarlBelegt,19)=0,0,EOMONTH(INDEX(DarlAuszahlung,19),224)+1)</f>
      </c>
      <c r="F8868" s="43">
        <f>IF($E8868=0,0,YEAR($E8868))</f>
      </c>
      <c r="G8868" s="43">
        <f>IF(INDEX(DarlBindung,19)="",1,IF($E8868&lt;=INDEX(DarlBindung,19),1,0))</f>
      </c>
      <c r="H8868" s="43">
        <f>IF($G8868=1,INDEX(DarlSollzins,19),INDEX(DarlAnschluss,19))</f>
      </c>
      <c r="I8868" s="43">
        <f>IF(INDEX(DarlBelegt,19)=0,0,IF(INDEX(DarlOhneTilgung,19)=1,IF(INDEX(DarlBindung,19)="",1,$G8868),IF($J8868&gt;0.005,1,0)))</f>
      </c>
      <c r="J8868" s="43">
        <f>IF($I8867=0,0,$R8867)</f>
      </c>
      <c r="K8868" s="43">
        <f>IF($I8868=0,0,IF(INDEX(DarlOhneTilgung,19)=1,0,IF(AND(INDEX(DarlTilgStart,19)&gt;0,$E8868=INDEX(DarlTilgStart,19)),$J8868*($H8868+INDEX(DarlTilgung,19))/100/12,IF(AND($G8868=0,$G8867=1),MAX($K8867,$J8868*($H8868+1)/100/12),$K8867))))</f>
      </c>
      <c r="L8868" s="43">
        <f>IF($I8868=0,0,$J8868*$H8868/100/12)</f>
      </c>
      <c r="M8868" s="43">
        <f>IF($I8868=0,0,IF(OR(INDEX(DarlOhneTilgung,19)=1,AND(INDEX(DarlTilgStart,19)&gt;0,$E8868&lt;INDEX(DarlTilgStart,19))),0,MIN(MAX(0,$K8868-$L8868),$J8868)))</f>
      </c>
      <c r="N8868" s="43">
        <f>IF($I8868=0,0,MIN(SUMIFS(SondBetrag,SondDarl,19,SondDatum,"&gt;="&amp;$E8868,SondDatum,"&lt;="&amp;EOMONTH($E8868,0)),$J8868-$M8868))</f>
      </c>
      <c r="O8868" s="43">
        <f>IF($I8868=0,0,INDEX(DarlErsatzRate,19))</f>
      </c>
      <c r="P8868" s="43">
        <f>IF($I8868=0,0,$Q8867*INDEX(DarlErsatzZins,19))</f>
      </c>
      <c r="Q8868" s="43">
        <f>IF($I8868=0,0,$Q8867+$P8868+$O8868)</f>
      </c>
      <c r="R8868" s="43">
        <f>IF($I8868=0,0,$J8868-$M8868-$N8868)</f>
      </c>
    </row>
    <row r="8869">
      <c r="A8869"/>
      <c r="B8869">
        <v>19</v>
      </c>
      <c r="C8869" s="43">
        <f>INDEX(DarlObj,19)</f>
      </c>
      <c r="D8869">
        <v>226</v>
      </c>
      <c r="E8869" s="51">
        <f>IF(INDEX(DarlBelegt,19)=0,0,EOMONTH(INDEX(DarlAuszahlung,19),225)+1)</f>
      </c>
      <c r="F8869" s="43">
        <f>IF($E8869=0,0,YEAR($E8869))</f>
      </c>
      <c r="G8869" s="43">
        <f>IF(INDEX(DarlBindung,19)="",1,IF($E8869&lt;=INDEX(DarlBindung,19),1,0))</f>
      </c>
      <c r="H8869" s="43">
        <f>IF($G8869=1,INDEX(DarlSollzins,19),INDEX(DarlAnschluss,19))</f>
      </c>
      <c r="I8869" s="43">
        <f>IF(INDEX(DarlBelegt,19)=0,0,IF(INDEX(DarlOhneTilgung,19)=1,IF(INDEX(DarlBindung,19)="",1,$G8869),IF($J8869&gt;0.005,1,0)))</f>
      </c>
      <c r="J8869" s="43">
        <f>IF($I8868=0,0,$R8868)</f>
      </c>
      <c r="K8869" s="43">
        <f>IF($I8869=0,0,IF(INDEX(DarlOhneTilgung,19)=1,0,IF(AND(INDEX(DarlTilgStart,19)&gt;0,$E8869=INDEX(DarlTilgStart,19)),$J8869*($H8869+INDEX(DarlTilgung,19))/100/12,IF(AND($G8869=0,$G8868=1),MAX($K8868,$J8869*($H8869+1)/100/12),$K8868))))</f>
      </c>
      <c r="L8869" s="43">
        <f>IF($I8869=0,0,$J8869*$H8869/100/12)</f>
      </c>
      <c r="M8869" s="43">
        <f>IF($I8869=0,0,IF(OR(INDEX(DarlOhneTilgung,19)=1,AND(INDEX(DarlTilgStart,19)&gt;0,$E8869&lt;INDEX(DarlTilgStart,19))),0,MIN(MAX(0,$K8869-$L8869),$J8869)))</f>
      </c>
      <c r="N8869" s="43">
        <f>IF($I8869=0,0,MIN(SUMIFS(SondBetrag,SondDarl,19,SondDatum,"&gt;="&amp;$E8869,SondDatum,"&lt;="&amp;EOMONTH($E8869,0)),$J8869-$M8869))</f>
      </c>
      <c r="O8869" s="43">
        <f>IF($I8869=0,0,INDEX(DarlErsatzRate,19))</f>
      </c>
      <c r="P8869" s="43">
        <f>IF($I8869=0,0,$Q8868*INDEX(DarlErsatzZins,19))</f>
      </c>
      <c r="Q8869" s="43">
        <f>IF($I8869=0,0,$Q8868+$P8869+$O8869)</f>
      </c>
      <c r="R8869" s="43">
        <f>IF($I8869=0,0,$J8869-$M8869-$N8869)</f>
      </c>
    </row>
    <row r="8870">
      <c r="A8870"/>
      <c r="B8870">
        <v>19</v>
      </c>
      <c r="C8870" s="43">
        <f>INDEX(DarlObj,19)</f>
      </c>
      <c r="D8870">
        <v>227</v>
      </c>
      <c r="E8870" s="51">
        <f>IF(INDEX(DarlBelegt,19)=0,0,EOMONTH(INDEX(DarlAuszahlung,19),226)+1)</f>
      </c>
      <c r="F8870" s="43">
        <f>IF($E8870=0,0,YEAR($E8870))</f>
      </c>
      <c r="G8870" s="43">
        <f>IF(INDEX(DarlBindung,19)="",1,IF($E8870&lt;=INDEX(DarlBindung,19),1,0))</f>
      </c>
      <c r="H8870" s="43">
        <f>IF($G8870=1,INDEX(DarlSollzins,19),INDEX(DarlAnschluss,19))</f>
      </c>
      <c r="I8870" s="43">
        <f>IF(INDEX(DarlBelegt,19)=0,0,IF(INDEX(DarlOhneTilgung,19)=1,IF(INDEX(DarlBindung,19)="",1,$G8870),IF($J8870&gt;0.005,1,0)))</f>
      </c>
      <c r="J8870" s="43">
        <f>IF($I8869=0,0,$R8869)</f>
      </c>
      <c r="K8870" s="43">
        <f>IF($I8870=0,0,IF(INDEX(DarlOhneTilgung,19)=1,0,IF(AND(INDEX(DarlTilgStart,19)&gt;0,$E8870=INDEX(DarlTilgStart,19)),$J8870*($H8870+INDEX(DarlTilgung,19))/100/12,IF(AND($G8870=0,$G8869=1),MAX($K8869,$J8870*($H8870+1)/100/12),$K8869))))</f>
      </c>
      <c r="L8870" s="43">
        <f>IF($I8870=0,0,$J8870*$H8870/100/12)</f>
      </c>
      <c r="M8870" s="43">
        <f>IF($I8870=0,0,IF(OR(INDEX(DarlOhneTilgung,19)=1,AND(INDEX(DarlTilgStart,19)&gt;0,$E8870&lt;INDEX(DarlTilgStart,19))),0,MIN(MAX(0,$K8870-$L8870),$J8870)))</f>
      </c>
      <c r="N8870" s="43">
        <f>IF($I8870=0,0,MIN(SUMIFS(SondBetrag,SondDarl,19,SondDatum,"&gt;="&amp;$E8870,SondDatum,"&lt;="&amp;EOMONTH($E8870,0)),$J8870-$M8870))</f>
      </c>
      <c r="O8870" s="43">
        <f>IF($I8870=0,0,INDEX(DarlErsatzRate,19))</f>
      </c>
      <c r="P8870" s="43">
        <f>IF($I8870=0,0,$Q8869*INDEX(DarlErsatzZins,19))</f>
      </c>
      <c r="Q8870" s="43">
        <f>IF($I8870=0,0,$Q8869+$P8870+$O8870)</f>
      </c>
      <c r="R8870" s="43">
        <f>IF($I8870=0,0,$J8870-$M8870-$N8870)</f>
      </c>
    </row>
    <row r="8871">
      <c r="A8871"/>
      <c r="B8871">
        <v>19</v>
      </c>
      <c r="C8871" s="43">
        <f>INDEX(DarlObj,19)</f>
      </c>
      <c r="D8871">
        <v>228</v>
      </c>
      <c r="E8871" s="51">
        <f>IF(INDEX(DarlBelegt,19)=0,0,EOMONTH(INDEX(DarlAuszahlung,19),227)+1)</f>
      </c>
      <c r="F8871" s="43">
        <f>IF($E8871=0,0,YEAR($E8871))</f>
      </c>
      <c r="G8871" s="43">
        <f>IF(INDEX(DarlBindung,19)="",1,IF($E8871&lt;=INDEX(DarlBindung,19),1,0))</f>
      </c>
      <c r="H8871" s="43">
        <f>IF($G8871=1,INDEX(DarlSollzins,19),INDEX(DarlAnschluss,19))</f>
      </c>
      <c r="I8871" s="43">
        <f>IF(INDEX(DarlBelegt,19)=0,0,IF(INDEX(DarlOhneTilgung,19)=1,IF(INDEX(DarlBindung,19)="",1,$G8871),IF($J8871&gt;0.005,1,0)))</f>
      </c>
      <c r="J8871" s="43">
        <f>IF($I8870=0,0,$R8870)</f>
      </c>
      <c r="K8871" s="43">
        <f>IF($I8871=0,0,IF(INDEX(DarlOhneTilgung,19)=1,0,IF(AND(INDEX(DarlTilgStart,19)&gt;0,$E8871=INDEX(DarlTilgStart,19)),$J8871*($H8871+INDEX(DarlTilgung,19))/100/12,IF(AND($G8871=0,$G8870=1),MAX($K8870,$J8871*($H8871+1)/100/12),$K8870))))</f>
      </c>
      <c r="L8871" s="43">
        <f>IF($I8871=0,0,$J8871*$H8871/100/12)</f>
      </c>
      <c r="M8871" s="43">
        <f>IF($I8871=0,0,IF(OR(INDEX(DarlOhneTilgung,19)=1,AND(INDEX(DarlTilgStart,19)&gt;0,$E8871&lt;INDEX(DarlTilgStart,19))),0,MIN(MAX(0,$K8871-$L8871),$J8871)))</f>
      </c>
      <c r="N8871" s="43">
        <f>IF($I8871=0,0,MIN(SUMIFS(SondBetrag,SondDarl,19,SondDatum,"&gt;="&amp;$E8871,SondDatum,"&lt;="&amp;EOMONTH($E8871,0)),$J8871-$M8871))</f>
      </c>
      <c r="O8871" s="43">
        <f>IF($I8871=0,0,INDEX(DarlErsatzRate,19))</f>
      </c>
      <c r="P8871" s="43">
        <f>IF($I8871=0,0,$Q8870*INDEX(DarlErsatzZins,19))</f>
      </c>
      <c r="Q8871" s="43">
        <f>IF($I8871=0,0,$Q8870+$P8871+$O8871)</f>
      </c>
      <c r="R8871" s="43">
        <f>IF($I8871=0,0,$J8871-$M8871-$N8871)</f>
      </c>
    </row>
    <row r="8872">
      <c r="A8872"/>
      <c r="B8872">
        <v>19</v>
      </c>
      <c r="C8872" s="43">
        <f>INDEX(DarlObj,19)</f>
      </c>
      <c r="D8872">
        <v>229</v>
      </c>
      <c r="E8872" s="51">
        <f>IF(INDEX(DarlBelegt,19)=0,0,EOMONTH(INDEX(DarlAuszahlung,19),228)+1)</f>
      </c>
      <c r="F8872" s="43">
        <f>IF($E8872=0,0,YEAR($E8872))</f>
      </c>
      <c r="G8872" s="43">
        <f>IF(INDEX(DarlBindung,19)="",1,IF($E8872&lt;=INDEX(DarlBindung,19),1,0))</f>
      </c>
      <c r="H8872" s="43">
        <f>IF($G8872=1,INDEX(DarlSollzins,19),INDEX(DarlAnschluss,19))</f>
      </c>
      <c r="I8872" s="43">
        <f>IF(INDEX(DarlBelegt,19)=0,0,IF(INDEX(DarlOhneTilgung,19)=1,IF(INDEX(DarlBindung,19)="",1,$G8872),IF($J8872&gt;0.005,1,0)))</f>
      </c>
      <c r="J8872" s="43">
        <f>IF($I8871=0,0,$R8871)</f>
      </c>
      <c r="K8872" s="43">
        <f>IF($I8872=0,0,IF(INDEX(DarlOhneTilgung,19)=1,0,IF(AND(INDEX(DarlTilgStart,19)&gt;0,$E8872=INDEX(DarlTilgStart,19)),$J8872*($H8872+INDEX(DarlTilgung,19))/100/12,IF(AND($G8872=0,$G8871=1),MAX($K8871,$J8872*($H8872+1)/100/12),$K8871))))</f>
      </c>
      <c r="L8872" s="43">
        <f>IF($I8872=0,0,$J8872*$H8872/100/12)</f>
      </c>
      <c r="M8872" s="43">
        <f>IF($I8872=0,0,IF(OR(INDEX(DarlOhneTilgung,19)=1,AND(INDEX(DarlTilgStart,19)&gt;0,$E8872&lt;INDEX(DarlTilgStart,19))),0,MIN(MAX(0,$K8872-$L8872),$J8872)))</f>
      </c>
      <c r="N8872" s="43">
        <f>IF($I8872=0,0,MIN(SUMIFS(SondBetrag,SondDarl,19,SondDatum,"&gt;="&amp;$E8872,SondDatum,"&lt;="&amp;EOMONTH($E8872,0)),$J8872-$M8872))</f>
      </c>
      <c r="O8872" s="43">
        <f>IF($I8872=0,0,INDEX(DarlErsatzRate,19))</f>
      </c>
      <c r="P8872" s="43">
        <f>IF($I8872=0,0,$Q8871*INDEX(DarlErsatzZins,19))</f>
      </c>
      <c r="Q8872" s="43">
        <f>IF($I8872=0,0,$Q8871+$P8872+$O8872)</f>
      </c>
      <c r="R8872" s="43">
        <f>IF($I8872=0,0,$J8872-$M8872-$N8872)</f>
      </c>
    </row>
    <row r="8873">
      <c r="A8873"/>
      <c r="B8873">
        <v>19</v>
      </c>
      <c r="C8873" s="43">
        <f>INDEX(DarlObj,19)</f>
      </c>
      <c r="D8873">
        <v>230</v>
      </c>
      <c r="E8873" s="51">
        <f>IF(INDEX(DarlBelegt,19)=0,0,EOMONTH(INDEX(DarlAuszahlung,19),229)+1)</f>
      </c>
      <c r="F8873" s="43">
        <f>IF($E8873=0,0,YEAR($E8873))</f>
      </c>
      <c r="G8873" s="43">
        <f>IF(INDEX(DarlBindung,19)="",1,IF($E8873&lt;=INDEX(DarlBindung,19),1,0))</f>
      </c>
      <c r="H8873" s="43">
        <f>IF($G8873=1,INDEX(DarlSollzins,19),INDEX(DarlAnschluss,19))</f>
      </c>
      <c r="I8873" s="43">
        <f>IF(INDEX(DarlBelegt,19)=0,0,IF(INDEX(DarlOhneTilgung,19)=1,IF(INDEX(DarlBindung,19)="",1,$G8873),IF($J8873&gt;0.005,1,0)))</f>
      </c>
      <c r="J8873" s="43">
        <f>IF($I8872=0,0,$R8872)</f>
      </c>
      <c r="K8873" s="43">
        <f>IF($I8873=0,0,IF(INDEX(DarlOhneTilgung,19)=1,0,IF(AND(INDEX(DarlTilgStart,19)&gt;0,$E8873=INDEX(DarlTilgStart,19)),$J8873*($H8873+INDEX(DarlTilgung,19))/100/12,IF(AND($G8873=0,$G8872=1),MAX($K8872,$J8873*($H8873+1)/100/12),$K8872))))</f>
      </c>
      <c r="L8873" s="43">
        <f>IF($I8873=0,0,$J8873*$H8873/100/12)</f>
      </c>
      <c r="M8873" s="43">
        <f>IF($I8873=0,0,IF(OR(INDEX(DarlOhneTilgung,19)=1,AND(INDEX(DarlTilgStart,19)&gt;0,$E8873&lt;INDEX(DarlTilgStart,19))),0,MIN(MAX(0,$K8873-$L8873),$J8873)))</f>
      </c>
      <c r="N8873" s="43">
        <f>IF($I8873=0,0,MIN(SUMIFS(SondBetrag,SondDarl,19,SondDatum,"&gt;="&amp;$E8873,SondDatum,"&lt;="&amp;EOMONTH($E8873,0)),$J8873-$M8873))</f>
      </c>
      <c r="O8873" s="43">
        <f>IF($I8873=0,0,INDEX(DarlErsatzRate,19))</f>
      </c>
      <c r="P8873" s="43">
        <f>IF($I8873=0,0,$Q8872*INDEX(DarlErsatzZins,19))</f>
      </c>
      <c r="Q8873" s="43">
        <f>IF($I8873=0,0,$Q8872+$P8873+$O8873)</f>
      </c>
      <c r="R8873" s="43">
        <f>IF($I8873=0,0,$J8873-$M8873-$N8873)</f>
      </c>
    </row>
    <row r="8874">
      <c r="A8874"/>
      <c r="B8874">
        <v>19</v>
      </c>
      <c r="C8874" s="43">
        <f>INDEX(DarlObj,19)</f>
      </c>
      <c r="D8874">
        <v>231</v>
      </c>
      <c r="E8874" s="51">
        <f>IF(INDEX(DarlBelegt,19)=0,0,EOMONTH(INDEX(DarlAuszahlung,19),230)+1)</f>
      </c>
      <c r="F8874" s="43">
        <f>IF($E8874=0,0,YEAR($E8874))</f>
      </c>
      <c r="G8874" s="43">
        <f>IF(INDEX(DarlBindung,19)="",1,IF($E8874&lt;=INDEX(DarlBindung,19),1,0))</f>
      </c>
      <c r="H8874" s="43">
        <f>IF($G8874=1,INDEX(DarlSollzins,19),INDEX(DarlAnschluss,19))</f>
      </c>
      <c r="I8874" s="43">
        <f>IF(INDEX(DarlBelegt,19)=0,0,IF(INDEX(DarlOhneTilgung,19)=1,IF(INDEX(DarlBindung,19)="",1,$G8874),IF($J8874&gt;0.005,1,0)))</f>
      </c>
      <c r="J8874" s="43">
        <f>IF($I8873=0,0,$R8873)</f>
      </c>
      <c r="K8874" s="43">
        <f>IF($I8874=0,0,IF(INDEX(DarlOhneTilgung,19)=1,0,IF(AND(INDEX(DarlTilgStart,19)&gt;0,$E8874=INDEX(DarlTilgStart,19)),$J8874*($H8874+INDEX(DarlTilgung,19))/100/12,IF(AND($G8874=0,$G8873=1),MAX($K8873,$J8874*($H8874+1)/100/12),$K8873))))</f>
      </c>
      <c r="L8874" s="43">
        <f>IF($I8874=0,0,$J8874*$H8874/100/12)</f>
      </c>
      <c r="M8874" s="43">
        <f>IF($I8874=0,0,IF(OR(INDEX(DarlOhneTilgung,19)=1,AND(INDEX(DarlTilgStart,19)&gt;0,$E8874&lt;INDEX(DarlTilgStart,19))),0,MIN(MAX(0,$K8874-$L8874),$J8874)))</f>
      </c>
      <c r="N8874" s="43">
        <f>IF($I8874=0,0,MIN(SUMIFS(SondBetrag,SondDarl,19,SondDatum,"&gt;="&amp;$E8874,SondDatum,"&lt;="&amp;EOMONTH($E8874,0)),$J8874-$M8874))</f>
      </c>
      <c r="O8874" s="43">
        <f>IF($I8874=0,0,INDEX(DarlErsatzRate,19))</f>
      </c>
      <c r="P8874" s="43">
        <f>IF($I8874=0,0,$Q8873*INDEX(DarlErsatzZins,19))</f>
      </c>
      <c r="Q8874" s="43">
        <f>IF($I8874=0,0,$Q8873+$P8874+$O8874)</f>
      </c>
      <c r="R8874" s="43">
        <f>IF($I8874=0,0,$J8874-$M8874-$N8874)</f>
      </c>
    </row>
    <row r="8875">
      <c r="A8875"/>
      <c r="B8875">
        <v>19</v>
      </c>
      <c r="C8875" s="43">
        <f>INDEX(DarlObj,19)</f>
      </c>
      <c r="D8875">
        <v>232</v>
      </c>
      <c r="E8875" s="51">
        <f>IF(INDEX(DarlBelegt,19)=0,0,EOMONTH(INDEX(DarlAuszahlung,19),231)+1)</f>
      </c>
      <c r="F8875" s="43">
        <f>IF($E8875=0,0,YEAR($E8875))</f>
      </c>
      <c r="G8875" s="43">
        <f>IF(INDEX(DarlBindung,19)="",1,IF($E8875&lt;=INDEX(DarlBindung,19),1,0))</f>
      </c>
      <c r="H8875" s="43">
        <f>IF($G8875=1,INDEX(DarlSollzins,19),INDEX(DarlAnschluss,19))</f>
      </c>
      <c r="I8875" s="43">
        <f>IF(INDEX(DarlBelegt,19)=0,0,IF(INDEX(DarlOhneTilgung,19)=1,IF(INDEX(DarlBindung,19)="",1,$G8875),IF($J8875&gt;0.005,1,0)))</f>
      </c>
      <c r="J8875" s="43">
        <f>IF($I8874=0,0,$R8874)</f>
      </c>
      <c r="K8875" s="43">
        <f>IF($I8875=0,0,IF(INDEX(DarlOhneTilgung,19)=1,0,IF(AND(INDEX(DarlTilgStart,19)&gt;0,$E8875=INDEX(DarlTilgStart,19)),$J8875*($H8875+INDEX(DarlTilgung,19))/100/12,IF(AND($G8875=0,$G8874=1),MAX($K8874,$J8875*($H8875+1)/100/12),$K8874))))</f>
      </c>
      <c r="L8875" s="43">
        <f>IF($I8875=0,0,$J8875*$H8875/100/12)</f>
      </c>
      <c r="M8875" s="43">
        <f>IF($I8875=0,0,IF(OR(INDEX(DarlOhneTilgung,19)=1,AND(INDEX(DarlTilgStart,19)&gt;0,$E8875&lt;INDEX(DarlTilgStart,19))),0,MIN(MAX(0,$K8875-$L8875),$J8875)))</f>
      </c>
      <c r="N8875" s="43">
        <f>IF($I8875=0,0,MIN(SUMIFS(SondBetrag,SondDarl,19,SondDatum,"&gt;="&amp;$E8875,SondDatum,"&lt;="&amp;EOMONTH($E8875,0)),$J8875-$M8875))</f>
      </c>
      <c r="O8875" s="43">
        <f>IF($I8875=0,0,INDEX(DarlErsatzRate,19))</f>
      </c>
      <c r="P8875" s="43">
        <f>IF($I8875=0,0,$Q8874*INDEX(DarlErsatzZins,19))</f>
      </c>
      <c r="Q8875" s="43">
        <f>IF($I8875=0,0,$Q8874+$P8875+$O8875)</f>
      </c>
      <c r="R8875" s="43">
        <f>IF($I8875=0,0,$J8875-$M8875-$N8875)</f>
      </c>
    </row>
    <row r="8876">
      <c r="A8876"/>
      <c r="B8876">
        <v>19</v>
      </c>
      <c r="C8876" s="43">
        <f>INDEX(DarlObj,19)</f>
      </c>
      <c r="D8876">
        <v>233</v>
      </c>
      <c r="E8876" s="51">
        <f>IF(INDEX(DarlBelegt,19)=0,0,EOMONTH(INDEX(DarlAuszahlung,19),232)+1)</f>
      </c>
      <c r="F8876" s="43">
        <f>IF($E8876=0,0,YEAR($E8876))</f>
      </c>
      <c r="G8876" s="43">
        <f>IF(INDEX(DarlBindung,19)="",1,IF($E8876&lt;=INDEX(DarlBindung,19),1,0))</f>
      </c>
      <c r="H8876" s="43">
        <f>IF($G8876=1,INDEX(DarlSollzins,19),INDEX(DarlAnschluss,19))</f>
      </c>
      <c r="I8876" s="43">
        <f>IF(INDEX(DarlBelegt,19)=0,0,IF(INDEX(DarlOhneTilgung,19)=1,IF(INDEX(DarlBindung,19)="",1,$G8876),IF($J8876&gt;0.005,1,0)))</f>
      </c>
      <c r="J8876" s="43">
        <f>IF($I8875=0,0,$R8875)</f>
      </c>
      <c r="K8876" s="43">
        <f>IF($I8876=0,0,IF(INDEX(DarlOhneTilgung,19)=1,0,IF(AND(INDEX(DarlTilgStart,19)&gt;0,$E8876=INDEX(DarlTilgStart,19)),$J8876*($H8876+INDEX(DarlTilgung,19))/100/12,IF(AND($G8876=0,$G8875=1),MAX($K8875,$J8876*($H8876+1)/100/12),$K8875))))</f>
      </c>
      <c r="L8876" s="43">
        <f>IF($I8876=0,0,$J8876*$H8876/100/12)</f>
      </c>
      <c r="M8876" s="43">
        <f>IF($I8876=0,0,IF(OR(INDEX(DarlOhneTilgung,19)=1,AND(INDEX(DarlTilgStart,19)&gt;0,$E8876&lt;INDEX(DarlTilgStart,19))),0,MIN(MAX(0,$K8876-$L8876),$J8876)))</f>
      </c>
      <c r="N8876" s="43">
        <f>IF($I8876=0,0,MIN(SUMIFS(SondBetrag,SondDarl,19,SondDatum,"&gt;="&amp;$E8876,SondDatum,"&lt;="&amp;EOMONTH($E8876,0)),$J8876-$M8876))</f>
      </c>
      <c r="O8876" s="43">
        <f>IF($I8876=0,0,INDEX(DarlErsatzRate,19))</f>
      </c>
      <c r="P8876" s="43">
        <f>IF($I8876=0,0,$Q8875*INDEX(DarlErsatzZins,19))</f>
      </c>
      <c r="Q8876" s="43">
        <f>IF($I8876=0,0,$Q8875+$P8876+$O8876)</f>
      </c>
      <c r="R8876" s="43">
        <f>IF($I8876=0,0,$J8876-$M8876-$N8876)</f>
      </c>
    </row>
    <row r="8877">
      <c r="A8877"/>
      <c r="B8877">
        <v>19</v>
      </c>
      <c r="C8877" s="43">
        <f>INDEX(DarlObj,19)</f>
      </c>
      <c r="D8877">
        <v>234</v>
      </c>
      <c r="E8877" s="51">
        <f>IF(INDEX(DarlBelegt,19)=0,0,EOMONTH(INDEX(DarlAuszahlung,19),233)+1)</f>
      </c>
      <c r="F8877" s="43">
        <f>IF($E8877=0,0,YEAR($E8877))</f>
      </c>
      <c r="G8877" s="43">
        <f>IF(INDEX(DarlBindung,19)="",1,IF($E8877&lt;=INDEX(DarlBindung,19),1,0))</f>
      </c>
      <c r="H8877" s="43">
        <f>IF($G8877=1,INDEX(DarlSollzins,19),INDEX(DarlAnschluss,19))</f>
      </c>
      <c r="I8877" s="43">
        <f>IF(INDEX(DarlBelegt,19)=0,0,IF(INDEX(DarlOhneTilgung,19)=1,IF(INDEX(DarlBindung,19)="",1,$G8877),IF($J8877&gt;0.005,1,0)))</f>
      </c>
      <c r="J8877" s="43">
        <f>IF($I8876=0,0,$R8876)</f>
      </c>
      <c r="K8877" s="43">
        <f>IF($I8877=0,0,IF(INDEX(DarlOhneTilgung,19)=1,0,IF(AND(INDEX(DarlTilgStart,19)&gt;0,$E8877=INDEX(DarlTilgStart,19)),$J8877*($H8877+INDEX(DarlTilgung,19))/100/12,IF(AND($G8877=0,$G8876=1),MAX($K8876,$J8877*($H8877+1)/100/12),$K8876))))</f>
      </c>
      <c r="L8877" s="43">
        <f>IF($I8877=0,0,$J8877*$H8877/100/12)</f>
      </c>
      <c r="M8877" s="43">
        <f>IF($I8877=0,0,IF(OR(INDEX(DarlOhneTilgung,19)=1,AND(INDEX(DarlTilgStart,19)&gt;0,$E8877&lt;INDEX(DarlTilgStart,19))),0,MIN(MAX(0,$K8877-$L8877),$J8877)))</f>
      </c>
      <c r="N8877" s="43">
        <f>IF($I8877=0,0,MIN(SUMIFS(SondBetrag,SondDarl,19,SondDatum,"&gt;="&amp;$E8877,SondDatum,"&lt;="&amp;EOMONTH($E8877,0)),$J8877-$M8877))</f>
      </c>
      <c r="O8877" s="43">
        <f>IF($I8877=0,0,INDEX(DarlErsatzRate,19))</f>
      </c>
      <c r="P8877" s="43">
        <f>IF($I8877=0,0,$Q8876*INDEX(DarlErsatzZins,19))</f>
      </c>
      <c r="Q8877" s="43">
        <f>IF($I8877=0,0,$Q8876+$P8877+$O8877)</f>
      </c>
      <c r="R8877" s="43">
        <f>IF($I8877=0,0,$J8877-$M8877-$N8877)</f>
      </c>
    </row>
    <row r="8878">
      <c r="A8878"/>
      <c r="B8878">
        <v>19</v>
      </c>
      <c r="C8878" s="43">
        <f>INDEX(DarlObj,19)</f>
      </c>
      <c r="D8878">
        <v>235</v>
      </c>
      <c r="E8878" s="51">
        <f>IF(INDEX(DarlBelegt,19)=0,0,EOMONTH(INDEX(DarlAuszahlung,19),234)+1)</f>
      </c>
      <c r="F8878" s="43">
        <f>IF($E8878=0,0,YEAR($E8878))</f>
      </c>
      <c r="G8878" s="43">
        <f>IF(INDEX(DarlBindung,19)="",1,IF($E8878&lt;=INDEX(DarlBindung,19),1,0))</f>
      </c>
      <c r="H8878" s="43">
        <f>IF($G8878=1,INDEX(DarlSollzins,19),INDEX(DarlAnschluss,19))</f>
      </c>
      <c r="I8878" s="43">
        <f>IF(INDEX(DarlBelegt,19)=0,0,IF(INDEX(DarlOhneTilgung,19)=1,IF(INDEX(DarlBindung,19)="",1,$G8878),IF($J8878&gt;0.005,1,0)))</f>
      </c>
      <c r="J8878" s="43">
        <f>IF($I8877=0,0,$R8877)</f>
      </c>
      <c r="K8878" s="43">
        <f>IF($I8878=0,0,IF(INDEX(DarlOhneTilgung,19)=1,0,IF(AND(INDEX(DarlTilgStart,19)&gt;0,$E8878=INDEX(DarlTilgStart,19)),$J8878*($H8878+INDEX(DarlTilgung,19))/100/12,IF(AND($G8878=0,$G8877=1),MAX($K8877,$J8878*($H8878+1)/100/12),$K8877))))</f>
      </c>
      <c r="L8878" s="43">
        <f>IF($I8878=0,0,$J8878*$H8878/100/12)</f>
      </c>
      <c r="M8878" s="43">
        <f>IF($I8878=0,0,IF(OR(INDEX(DarlOhneTilgung,19)=1,AND(INDEX(DarlTilgStart,19)&gt;0,$E8878&lt;INDEX(DarlTilgStart,19))),0,MIN(MAX(0,$K8878-$L8878),$J8878)))</f>
      </c>
      <c r="N8878" s="43">
        <f>IF($I8878=0,0,MIN(SUMIFS(SondBetrag,SondDarl,19,SondDatum,"&gt;="&amp;$E8878,SondDatum,"&lt;="&amp;EOMONTH($E8878,0)),$J8878-$M8878))</f>
      </c>
      <c r="O8878" s="43">
        <f>IF($I8878=0,0,INDEX(DarlErsatzRate,19))</f>
      </c>
      <c r="P8878" s="43">
        <f>IF($I8878=0,0,$Q8877*INDEX(DarlErsatzZins,19))</f>
      </c>
      <c r="Q8878" s="43">
        <f>IF($I8878=0,0,$Q8877+$P8878+$O8878)</f>
      </c>
      <c r="R8878" s="43">
        <f>IF($I8878=0,0,$J8878-$M8878-$N8878)</f>
      </c>
    </row>
    <row r="8879">
      <c r="A8879"/>
      <c r="B8879">
        <v>19</v>
      </c>
      <c r="C8879" s="43">
        <f>INDEX(DarlObj,19)</f>
      </c>
      <c r="D8879">
        <v>236</v>
      </c>
      <c r="E8879" s="51">
        <f>IF(INDEX(DarlBelegt,19)=0,0,EOMONTH(INDEX(DarlAuszahlung,19),235)+1)</f>
      </c>
      <c r="F8879" s="43">
        <f>IF($E8879=0,0,YEAR($E8879))</f>
      </c>
      <c r="G8879" s="43">
        <f>IF(INDEX(DarlBindung,19)="",1,IF($E8879&lt;=INDEX(DarlBindung,19),1,0))</f>
      </c>
      <c r="H8879" s="43">
        <f>IF($G8879=1,INDEX(DarlSollzins,19),INDEX(DarlAnschluss,19))</f>
      </c>
      <c r="I8879" s="43">
        <f>IF(INDEX(DarlBelegt,19)=0,0,IF(INDEX(DarlOhneTilgung,19)=1,IF(INDEX(DarlBindung,19)="",1,$G8879),IF($J8879&gt;0.005,1,0)))</f>
      </c>
      <c r="J8879" s="43">
        <f>IF($I8878=0,0,$R8878)</f>
      </c>
      <c r="K8879" s="43">
        <f>IF($I8879=0,0,IF(INDEX(DarlOhneTilgung,19)=1,0,IF(AND(INDEX(DarlTilgStart,19)&gt;0,$E8879=INDEX(DarlTilgStart,19)),$J8879*($H8879+INDEX(DarlTilgung,19))/100/12,IF(AND($G8879=0,$G8878=1),MAX($K8878,$J8879*($H8879+1)/100/12),$K8878))))</f>
      </c>
      <c r="L8879" s="43">
        <f>IF($I8879=0,0,$J8879*$H8879/100/12)</f>
      </c>
      <c r="M8879" s="43">
        <f>IF($I8879=0,0,IF(OR(INDEX(DarlOhneTilgung,19)=1,AND(INDEX(DarlTilgStart,19)&gt;0,$E8879&lt;INDEX(DarlTilgStart,19))),0,MIN(MAX(0,$K8879-$L8879),$J8879)))</f>
      </c>
      <c r="N8879" s="43">
        <f>IF($I8879=0,0,MIN(SUMIFS(SondBetrag,SondDarl,19,SondDatum,"&gt;="&amp;$E8879,SondDatum,"&lt;="&amp;EOMONTH($E8879,0)),$J8879-$M8879))</f>
      </c>
      <c r="O8879" s="43">
        <f>IF($I8879=0,0,INDEX(DarlErsatzRate,19))</f>
      </c>
      <c r="P8879" s="43">
        <f>IF($I8879=0,0,$Q8878*INDEX(DarlErsatzZins,19))</f>
      </c>
      <c r="Q8879" s="43">
        <f>IF($I8879=0,0,$Q8878+$P8879+$O8879)</f>
      </c>
      <c r="R8879" s="43">
        <f>IF($I8879=0,0,$J8879-$M8879-$N8879)</f>
      </c>
    </row>
    <row r="8880">
      <c r="A8880"/>
      <c r="B8880">
        <v>19</v>
      </c>
      <c r="C8880" s="43">
        <f>INDEX(DarlObj,19)</f>
      </c>
      <c r="D8880">
        <v>237</v>
      </c>
      <c r="E8880" s="51">
        <f>IF(INDEX(DarlBelegt,19)=0,0,EOMONTH(INDEX(DarlAuszahlung,19),236)+1)</f>
      </c>
      <c r="F8880" s="43">
        <f>IF($E8880=0,0,YEAR($E8880))</f>
      </c>
      <c r="G8880" s="43">
        <f>IF(INDEX(DarlBindung,19)="",1,IF($E8880&lt;=INDEX(DarlBindung,19),1,0))</f>
      </c>
      <c r="H8880" s="43">
        <f>IF($G8880=1,INDEX(DarlSollzins,19),INDEX(DarlAnschluss,19))</f>
      </c>
      <c r="I8880" s="43">
        <f>IF(INDEX(DarlBelegt,19)=0,0,IF(INDEX(DarlOhneTilgung,19)=1,IF(INDEX(DarlBindung,19)="",1,$G8880),IF($J8880&gt;0.005,1,0)))</f>
      </c>
      <c r="J8880" s="43">
        <f>IF($I8879=0,0,$R8879)</f>
      </c>
      <c r="K8880" s="43">
        <f>IF($I8880=0,0,IF(INDEX(DarlOhneTilgung,19)=1,0,IF(AND(INDEX(DarlTilgStart,19)&gt;0,$E8880=INDEX(DarlTilgStart,19)),$J8880*($H8880+INDEX(DarlTilgung,19))/100/12,IF(AND($G8880=0,$G8879=1),MAX($K8879,$J8880*($H8880+1)/100/12),$K8879))))</f>
      </c>
      <c r="L8880" s="43">
        <f>IF($I8880=0,0,$J8880*$H8880/100/12)</f>
      </c>
      <c r="M8880" s="43">
        <f>IF($I8880=0,0,IF(OR(INDEX(DarlOhneTilgung,19)=1,AND(INDEX(DarlTilgStart,19)&gt;0,$E8880&lt;INDEX(DarlTilgStart,19))),0,MIN(MAX(0,$K8880-$L8880),$J8880)))</f>
      </c>
      <c r="N8880" s="43">
        <f>IF($I8880=0,0,MIN(SUMIFS(SondBetrag,SondDarl,19,SondDatum,"&gt;="&amp;$E8880,SondDatum,"&lt;="&amp;EOMONTH($E8880,0)),$J8880-$M8880))</f>
      </c>
      <c r="O8880" s="43">
        <f>IF($I8880=0,0,INDEX(DarlErsatzRate,19))</f>
      </c>
      <c r="P8880" s="43">
        <f>IF($I8880=0,0,$Q8879*INDEX(DarlErsatzZins,19))</f>
      </c>
      <c r="Q8880" s="43">
        <f>IF($I8880=0,0,$Q8879+$P8880+$O8880)</f>
      </c>
      <c r="R8880" s="43">
        <f>IF($I8880=0,0,$J8880-$M8880-$N8880)</f>
      </c>
    </row>
    <row r="8881">
      <c r="A8881"/>
      <c r="B8881">
        <v>19</v>
      </c>
      <c r="C8881" s="43">
        <f>INDEX(DarlObj,19)</f>
      </c>
      <c r="D8881">
        <v>238</v>
      </c>
      <c r="E8881" s="51">
        <f>IF(INDEX(DarlBelegt,19)=0,0,EOMONTH(INDEX(DarlAuszahlung,19),237)+1)</f>
      </c>
      <c r="F8881" s="43">
        <f>IF($E8881=0,0,YEAR($E8881))</f>
      </c>
      <c r="G8881" s="43">
        <f>IF(INDEX(DarlBindung,19)="",1,IF($E8881&lt;=INDEX(DarlBindung,19),1,0))</f>
      </c>
      <c r="H8881" s="43">
        <f>IF($G8881=1,INDEX(DarlSollzins,19),INDEX(DarlAnschluss,19))</f>
      </c>
      <c r="I8881" s="43">
        <f>IF(INDEX(DarlBelegt,19)=0,0,IF(INDEX(DarlOhneTilgung,19)=1,IF(INDEX(DarlBindung,19)="",1,$G8881),IF($J8881&gt;0.005,1,0)))</f>
      </c>
      <c r="J8881" s="43">
        <f>IF($I8880=0,0,$R8880)</f>
      </c>
      <c r="K8881" s="43">
        <f>IF($I8881=0,0,IF(INDEX(DarlOhneTilgung,19)=1,0,IF(AND(INDEX(DarlTilgStart,19)&gt;0,$E8881=INDEX(DarlTilgStart,19)),$J8881*($H8881+INDEX(DarlTilgung,19))/100/12,IF(AND($G8881=0,$G8880=1),MAX($K8880,$J8881*($H8881+1)/100/12),$K8880))))</f>
      </c>
      <c r="L8881" s="43">
        <f>IF($I8881=0,0,$J8881*$H8881/100/12)</f>
      </c>
      <c r="M8881" s="43">
        <f>IF($I8881=0,0,IF(OR(INDEX(DarlOhneTilgung,19)=1,AND(INDEX(DarlTilgStart,19)&gt;0,$E8881&lt;INDEX(DarlTilgStart,19))),0,MIN(MAX(0,$K8881-$L8881),$J8881)))</f>
      </c>
      <c r="N8881" s="43">
        <f>IF($I8881=0,0,MIN(SUMIFS(SondBetrag,SondDarl,19,SondDatum,"&gt;="&amp;$E8881,SondDatum,"&lt;="&amp;EOMONTH($E8881,0)),$J8881-$M8881))</f>
      </c>
      <c r="O8881" s="43">
        <f>IF($I8881=0,0,INDEX(DarlErsatzRate,19))</f>
      </c>
      <c r="P8881" s="43">
        <f>IF($I8881=0,0,$Q8880*INDEX(DarlErsatzZins,19))</f>
      </c>
      <c r="Q8881" s="43">
        <f>IF($I8881=0,0,$Q8880+$P8881+$O8881)</f>
      </c>
      <c r="R8881" s="43">
        <f>IF($I8881=0,0,$J8881-$M8881-$N8881)</f>
      </c>
    </row>
    <row r="8882">
      <c r="A8882"/>
      <c r="B8882">
        <v>19</v>
      </c>
      <c r="C8882" s="43">
        <f>INDEX(DarlObj,19)</f>
      </c>
      <c r="D8882">
        <v>239</v>
      </c>
      <c r="E8882" s="51">
        <f>IF(INDEX(DarlBelegt,19)=0,0,EOMONTH(INDEX(DarlAuszahlung,19),238)+1)</f>
      </c>
      <c r="F8882" s="43">
        <f>IF($E8882=0,0,YEAR($E8882))</f>
      </c>
      <c r="G8882" s="43">
        <f>IF(INDEX(DarlBindung,19)="",1,IF($E8882&lt;=INDEX(DarlBindung,19),1,0))</f>
      </c>
      <c r="H8882" s="43">
        <f>IF($G8882=1,INDEX(DarlSollzins,19),INDEX(DarlAnschluss,19))</f>
      </c>
      <c r="I8882" s="43">
        <f>IF(INDEX(DarlBelegt,19)=0,0,IF(INDEX(DarlOhneTilgung,19)=1,IF(INDEX(DarlBindung,19)="",1,$G8882),IF($J8882&gt;0.005,1,0)))</f>
      </c>
      <c r="J8882" s="43">
        <f>IF($I8881=0,0,$R8881)</f>
      </c>
      <c r="K8882" s="43">
        <f>IF($I8882=0,0,IF(INDEX(DarlOhneTilgung,19)=1,0,IF(AND(INDEX(DarlTilgStart,19)&gt;0,$E8882=INDEX(DarlTilgStart,19)),$J8882*($H8882+INDEX(DarlTilgung,19))/100/12,IF(AND($G8882=0,$G8881=1),MAX($K8881,$J8882*($H8882+1)/100/12),$K8881))))</f>
      </c>
      <c r="L8882" s="43">
        <f>IF($I8882=0,0,$J8882*$H8882/100/12)</f>
      </c>
      <c r="M8882" s="43">
        <f>IF($I8882=0,0,IF(OR(INDEX(DarlOhneTilgung,19)=1,AND(INDEX(DarlTilgStart,19)&gt;0,$E8882&lt;INDEX(DarlTilgStart,19))),0,MIN(MAX(0,$K8882-$L8882),$J8882)))</f>
      </c>
      <c r="N8882" s="43">
        <f>IF($I8882=0,0,MIN(SUMIFS(SondBetrag,SondDarl,19,SondDatum,"&gt;="&amp;$E8882,SondDatum,"&lt;="&amp;EOMONTH($E8882,0)),$J8882-$M8882))</f>
      </c>
      <c r="O8882" s="43">
        <f>IF($I8882=0,0,INDEX(DarlErsatzRate,19))</f>
      </c>
      <c r="P8882" s="43">
        <f>IF($I8882=0,0,$Q8881*INDEX(DarlErsatzZins,19))</f>
      </c>
      <c r="Q8882" s="43">
        <f>IF($I8882=0,0,$Q8881+$P8882+$O8882)</f>
      </c>
      <c r="R8882" s="43">
        <f>IF($I8882=0,0,$J8882-$M8882-$N8882)</f>
      </c>
    </row>
    <row r="8883">
      <c r="A8883"/>
      <c r="B8883">
        <v>19</v>
      </c>
      <c r="C8883" s="43">
        <f>INDEX(DarlObj,19)</f>
      </c>
      <c r="D8883">
        <v>240</v>
      </c>
      <c r="E8883" s="51">
        <f>IF(INDEX(DarlBelegt,19)=0,0,EOMONTH(INDEX(DarlAuszahlung,19),239)+1)</f>
      </c>
      <c r="F8883" s="43">
        <f>IF($E8883=0,0,YEAR($E8883))</f>
      </c>
      <c r="G8883" s="43">
        <f>IF(INDEX(DarlBindung,19)="",1,IF($E8883&lt;=INDEX(DarlBindung,19),1,0))</f>
      </c>
      <c r="H8883" s="43">
        <f>IF($G8883=1,INDEX(DarlSollzins,19),INDEX(DarlAnschluss,19))</f>
      </c>
      <c r="I8883" s="43">
        <f>IF(INDEX(DarlBelegt,19)=0,0,IF(INDEX(DarlOhneTilgung,19)=1,IF(INDEX(DarlBindung,19)="",1,$G8883),IF($J8883&gt;0.005,1,0)))</f>
      </c>
      <c r="J8883" s="43">
        <f>IF($I8882=0,0,$R8882)</f>
      </c>
      <c r="K8883" s="43">
        <f>IF($I8883=0,0,IF(INDEX(DarlOhneTilgung,19)=1,0,IF(AND(INDEX(DarlTilgStart,19)&gt;0,$E8883=INDEX(DarlTilgStart,19)),$J8883*($H8883+INDEX(DarlTilgung,19))/100/12,IF(AND($G8883=0,$G8882=1),MAX($K8882,$J8883*($H8883+1)/100/12),$K8882))))</f>
      </c>
      <c r="L8883" s="43">
        <f>IF($I8883=0,0,$J8883*$H8883/100/12)</f>
      </c>
      <c r="M8883" s="43">
        <f>IF($I8883=0,0,IF(OR(INDEX(DarlOhneTilgung,19)=1,AND(INDEX(DarlTilgStart,19)&gt;0,$E8883&lt;INDEX(DarlTilgStart,19))),0,MIN(MAX(0,$K8883-$L8883),$J8883)))</f>
      </c>
      <c r="N8883" s="43">
        <f>IF($I8883=0,0,MIN(SUMIFS(SondBetrag,SondDarl,19,SondDatum,"&gt;="&amp;$E8883,SondDatum,"&lt;="&amp;EOMONTH($E8883,0)),$J8883-$M8883))</f>
      </c>
      <c r="O8883" s="43">
        <f>IF($I8883=0,0,INDEX(DarlErsatzRate,19))</f>
      </c>
      <c r="P8883" s="43">
        <f>IF($I8883=0,0,$Q8882*INDEX(DarlErsatzZins,19))</f>
      </c>
      <c r="Q8883" s="43">
        <f>IF($I8883=0,0,$Q8882+$P8883+$O8883)</f>
      </c>
      <c r="R8883" s="43">
        <f>IF($I8883=0,0,$J8883-$M8883-$N8883)</f>
      </c>
    </row>
    <row r="8884">
      <c r="A8884"/>
      <c r="B8884">
        <v>19</v>
      </c>
      <c r="C8884" s="43">
        <f>INDEX(DarlObj,19)</f>
      </c>
      <c r="D8884">
        <v>241</v>
      </c>
      <c r="E8884" s="51">
        <f>IF(INDEX(DarlBelegt,19)=0,0,EOMONTH(INDEX(DarlAuszahlung,19),240)+1)</f>
      </c>
      <c r="F8884" s="43">
        <f>IF($E8884=0,0,YEAR($E8884))</f>
      </c>
      <c r="G8884" s="43">
        <f>IF(INDEX(DarlBindung,19)="",1,IF($E8884&lt;=INDEX(DarlBindung,19),1,0))</f>
      </c>
      <c r="H8884" s="43">
        <f>IF($G8884=1,INDEX(DarlSollzins,19),INDEX(DarlAnschluss,19))</f>
      </c>
      <c r="I8884" s="43">
        <f>IF(INDEX(DarlBelegt,19)=0,0,IF(INDEX(DarlOhneTilgung,19)=1,IF(INDEX(DarlBindung,19)="",1,$G8884),IF($J8884&gt;0.005,1,0)))</f>
      </c>
      <c r="J8884" s="43">
        <f>IF($I8883=0,0,$R8883)</f>
      </c>
      <c r="K8884" s="43">
        <f>IF($I8884=0,0,IF(INDEX(DarlOhneTilgung,19)=1,0,IF(AND(INDEX(DarlTilgStart,19)&gt;0,$E8884=INDEX(DarlTilgStart,19)),$J8884*($H8884+INDEX(DarlTilgung,19))/100/12,IF(AND($G8884=0,$G8883=1),MAX($K8883,$J8884*($H8884+1)/100/12),$K8883))))</f>
      </c>
      <c r="L8884" s="43">
        <f>IF($I8884=0,0,$J8884*$H8884/100/12)</f>
      </c>
      <c r="M8884" s="43">
        <f>IF($I8884=0,0,IF(OR(INDEX(DarlOhneTilgung,19)=1,AND(INDEX(DarlTilgStart,19)&gt;0,$E8884&lt;INDEX(DarlTilgStart,19))),0,MIN(MAX(0,$K8884-$L8884),$J8884)))</f>
      </c>
      <c r="N8884" s="43">
        <f>IF($I8884=0,0,MIN(SUMIFS(SondBetrag,SondDarl,19,SondDatum,"&gt;="&amp;$E8884,SondDatum,"&lt;="&amp;EOMONTH($E8884,0)),$J8884-$M8884))</f>
      </c>
      <c r="O8884" s="43">
        <f>IF($I8884=0,0,INDEX(DarlErsatzRate,19))</f>
      </c>
      <c r="P8884" s="43">
        <f>IF($I8884=0,0,$Q8883*INDEX(DarlErsatzZins,19))</f>
      </c>
      <c r="Q8884" s="43">
        <f>IF($I8884=0,0,$Q8883+$P8884+$O8884)</f>
      </c>
      <c r="R8884" s="43">
        <f>IF($I8884=0,0,$J8884-$M8884-$N8884)</f>
      </c>
    </row>
    <row r="8885">
      <c r="A8885"/>
      <c r="B8885">
        <v>19</v>
      </c>
      <c r="C8885" s="43">
        <f>INDEX(DarlObj,19)</f>
      </c>
      <c r="D8885">
        <v>242</v>
      </c>
      <c r="E8885" s="51">
        <f>IF(INDEX(DarlBelegt,19)=0,0,EOMONTH(INDEX(DarlAuszahlung,19),241)+1)</f>
      </c>
      <c r="F8885" s="43">
        <f>IF($E8885=0,0,YEAR($E8885))</f>
      </c>
      <c r="G8885" s="43">
        <f>IF(INDEX(DarlBindung,19)="",1,IF($E8885&lt;=INDEX(DarlBindung,19),1,0))</f>
      </c>
      <c r="H8885" s="43">
        <f>IF($G8885=1,INDEX(DarlSollzins,19),INDEX(DarlAnschluss,19))</f>
      </c>
      <c r="I8885" s="43">
        <f>IF(INDEX(DarlBelegt,19)=0,0,IF(INDEX(DarlOhneTilgung,19)=1,IF(INDEX(DarlBindung,19)="",1,$G8885),IF($J8885&gt;0.005,1,0)))</f>
      </c>
      <c r="J8885" s="43">
        <f>IF($I8884=0,0,$R8884)</f>
      </c>
      <c r="K8885" s="43">
        <f>IF($I8885=0,0,IF(INDEX(DarlOhneTilgung,19)=1,0,IF(AND(INDEX(DarlTilgStart,19)&gt;0,$E8885=INDEX(DarlTilgStart,19)),$J8885*($H8885+INDEX(DarlTilgung,19))/100/12,IF(AND($G8885=0,$G8884=1),MAX($K8884,$J8885*($H8885+1)/100/12),$K8884))))</f>
      </c>
      <c r="L8885" s="43">
        <f>IF($I8885=0,0,$J8885*$H8885/100/12)</f>
      </c>
      <c r="M8885" s="43">
        <f>IF($I8885=0,0,IF(OR(INDEX(DarlOhneTilgung,19)=1,AND(INDEX(DarlTilgStart,19)&gt;0,$E8885&lt;INDEX(DarlTilgStart,19))),0,MIN(MAX(0,$K8885-$L8885),$J8885)))</f>
      </c>
      <c r="N8885" s="43">
        <f>IF($I8885=0,0,MIN(SUMIFS(SondBetrag,SondDarl,19,SondDatum,"&gt;="&amp;$E8885,SondDatum,"&lt;="&amp;EOMONTH($E8885,0)),$J8885-$M8885))</f>
      </c>
      <c r="O8885" s="43">
        <f>IF($I8885=0,0,INDEX(DarlErsatzRate,19))</f>
      </c>
      <c r="P8885" s="43">
        <f>IF($I8885=0,0,$Q8884*INDEX(DarlErsatzZins,19))</f>
      </c>
      <c r="Q8885" s="43">
        <f>IF($I8885=0,0,$Q8884+$P8885+$O8885)</f>
      </c>
      <c r="R8885" s="43">
        <f>IF($I8885=0,0,$J8885-$M8885-$N8885)</f>
      </c>
    </row>
    <row r="8886">
      <c r="A8886"/>
      <c r="B8886">
        <v>19</v>
      </c>
      <c r="C8886" s="43">
        <f>INDEX(DarlObj,19)</f>
      </c>
      <c r="D8886">
        <v>243</v>
      </c>
      <c r="E8886" s="51">
        <f>IF(INDEX(DarlBelegt,19)=0,0,EOMONTH(INDEX(DarlAuszahlung,19),242)+1)</f>
      </c>
      <c r="F8886" s="43">
        <f>IF($E8886=0,0,YEAR($E8886))</f>
      </c>
      <c r="G8886" s="43">
        <f>IF(INDEX(DarlBindung,19)="",1,IF($E8886&lt;=INDEX(DarlBindung,19),1,0))</f>
      </c>
      <c r="H8886" s="43">
        <f>IF($G8886=1,INDEX(DarlSollzins,19),INDEX(DarlAnschluss,19))</f>
      </c>
      <c r="I8886" s="43">
        <f>IF(INDEX(DarlBelegt,19)=0,0,IF(INDEX(DarlOhneTilgung,19)=1,IF(INDEX(DarlBindung,19)="",1,$G8886),IF($J8886&gt;0.005,1,0)))</f>
      </c>
      <c r="J8886" s="43">
        <f>IF($I8885=0,0,$R8885)</f>
      </c>
      <c r="K8886" s="43">
        <f>IF($I8886=0,0,IF(INDEX(DarlOhneTilgung,19)=1,0,IF(AND(INDEX(DarlTilgStart,19)&gt;0,$E8886=INDEX(DarlTilgStart,19)),$J8886*($H8886+INDEX(DarlTilgung,19))/100/12,IF(AND($G8886=0,$G8885=1),MAX($K8885,$J8886*($H8886+1)/100/12),$K8885))))</f>
      </c>
      <c r="L8886" s="43">
        <f>IF($I8886=0,0,$J8886*$H8886/100/12)</f>
      </c>
      <c r="M8886" s="43">
        <f>IF($I8886=0,0,IF(OR(INDEX(DarlOhneTilgung,19)=1,AND(INDEX(DarlTilgStart,19)&gt;0,$E8886&lt;INDEX(DarlTilgStart,19))),0,MIN(MAX(0,$K8886-$L8886),$J8886)))</f>
      </c>
      <c r="N8886" s="43">
        <f>IF($I8886=0,0,MIN(SUMIFS(SondBetrag,SondDarl,19,SondDatum,"&gt;="&amp;$E8886,SondDatum,"&lt;="&amp;EOMONTH($E8886,0)),$J8886-$M8886))</f>
      </c>
      <c r="O8886" s="43">
        <f>IF($I8886=0,0,INDEX(DarlErsatzRate,19))</f>
      </c>
      <c r="P8886" s="43">
        <f>IF($I8886=0,0,$Q8885*INDEX(DarlErsatzZins,19))</f>
      </c>
      <c r="Q8886" s="43">
        <f>IF($I8886=0,0,$Q8885+$P8886+$O8886)</f>
      </c>
      <c r="R8886" s="43">
        <f>IF($I8886=0,0,$J8886-$M8886-$N8886)</f>
      </c>
    </row>
    <row r="8887">
      <c r="A8887"/>
      <c r="B8887">
        <v>19</v>
      </c>
      <c r="C8887" s="43">
        <f>INDEX(DarlObj,19)</f>
      </c>
      <c r="D8887">
        <v>244</v>
      </c>
      <c r="E8887" s="51">
        <f>IF(INDEX(DarlBelegt,19)=0,0,EOMONTH(INDEX(DarlAuszahlung,19),243)+1)</f>
      </c>
      <c r="F8887" s="43">
        <f>IF($E8887=0,0,YEAR($E8887))</f>
      </c>
      <c r="G8887" s="43">
        <f>IF(INDEX(DarlBindung,19)="",1,IF($E8887&lt;=INDEX(DarlBindung,19),1,0))</f>
      </c>
      <c r="H8887" s="43">
        <f>IF($G8887=1,INDEX(DarlSollzins,19),INDEX(DarlAnschluss,19))</f>
      </c>
      <c r="I8887" s="43">
        <f>IF(INDEX(DarlBelegt,19)=0,0,IF(INDEX(DarlOhneTilgung,19)=1,IF(INDEX(DarlBindung,19)="",1,$G8887),IF($J8887&gt;0.005,1,0)))</f>
      </c>
      <c r="J8887" s="43">
        <f>IF($I8886=0,0,$R8886)</f>
      </c>
      <c r="K8887" s="43">
        <f>IF($I8887=0,0,IF(INDEX(DarlOhneTilgung,19)=1,0,IF(AND(INDEX(DarlTilgStart,19)&gt;0,$E8887=INDEX(DarlTilgStart,19)),$J8887*($H8887+INDEX(DarlTilgung,19))/100/12,IF(AND($G8887=0,$G8886=1),MAX($K8886,$J8887*($H8887+1)/100/12),$K8886))))</f>
      </c>
      <c r="L8887" s="43">
        <f>IF($I8887=0,0,$J8887*$H8887/100/12)</f>
      </c>
      <c r="M8887" s="43">
        <f>IF($I8887=0,0,IF(OR(INDEX(DarlOhneTilgung,19)=1,AND(INDEX(DarlTilgStart,19)&gt;0,$E8887&lt;INDEX(DarlTilgStart,19))),0,MIN(MAX(0,$K8887-$L8887),$J8887)))</f>
      </c>
      <c r="N8887" s="43">
        <f>IF($I8887=0,0,MIN(SUMIFS(SondBetrag,SondDarl,19,SondDatum,"&gt;="&amp;$E8887,SondDatum,"&lt;="&amp;EOMONTH($E8887,0)),$J8887-$M8887))</f>
      </c>
      <c r="O8887" s="43">
        <f>IF($I8887=0,0,INDEX(DarlErsatzRate,19))</f>
      </c>
      <c r="P8887" s="43">
        <f>IF($I8887=0,0,$Q8886*INDEX(DarlErsatzZins,19))</f>
      </c>
      <c r="Q8887" s="43">
        <f>IF($I8887=0,0,$Q8886+$P8887+$O8887)</f>
      </c>
      <c r="R8887" s="43">
        <f>IF($I8887=0,0,$J8887-$M8887-$N8887)</f>
      </c>
    </row>
    <row r="8888">
      <c r="A8888"/>
      <c r="B8888">
        <v>19</v>
      </c>
      <c r="C8888" s="43">
        <f>INDEX(DarlObj,19)</f>
      </c>
      <c r="D8888">
        <v>245</v>
      </c>
      <c r="E8888" s="51">
        <f>IF(INDEX(DarlBelegt,19)=0,0,EOMONTH(INDEX(DarlAuszahlung,19),244)+1)</f>
      </c>
      <c r="F8888" s="43">
        <f>IF($E8888=0,0,YEAR($E8888))</f>
      </c>
      <c r="G8888" s="43">
        <f>IF(INDEX(DarlBindung,19)="",1,IF($E8888&lt;=INDEX(DarlBindung,19),1,0))</f>
      </c>
      <c r="H8888" s="43">
        <f>IF($G8888=1,INDEX(DarlSollzins,19),INDEX(DarlAnschluss,19))</f>
      </c>
      <c r="I8888" s="43">
        <f>IF(INDEX(DarlBelegt,19)=0,0,IF(INDEX(DarlOhneTilgung,19)=1,IF(INDEX(DarlBindung,19)="",1,$G8888),IF($J8888&gt;0.005,1,0)))</f>
      </c>
      <c r="J8888" s="43">
        <f>IF($I8887=0,0,$R8887)</f>
      </c>
      <c r="K8888" s="43">
        <f>IF($I8888=0,0,IF(INDEX(DarlOhneTilgung,19)=1,0,IF(AND(INDEX(DarlTilgStart,19)&gt;0,$E8888=INDEX(DarlTilgStart,19)),$J8888*($H8888+INDEX(DarlTilgung,19))/100/12,IF(AND($G8888=0,$G8887=1),MAX($K8887,$J8888*($H8888+1)/100/12),$K8887))))</f>
      </c>
      <c r="L8888" s="43">
        <f>IF($I8888=0,0,$J8888*$H8888/100/12)</f>
      </c>
      <c r="M8888" s="43">
        <f>IF($I8888=0,0,IF(OR(INDEX(DarlOhneTilgung,19)=1,AND(INDEX(DarlTilgStart,19)&gt;0,$E8888&lt;INDEX(DarlTilgStart,19))),0,MIN(MAX(0,$K8888-$L8888),$J8888)))</f>
      </c>
      <c r="N8888" s="43">
        <f>IF($I8888=0,0,MIN(SUMIFS(SondBetrag,SondDarl,19,SondDatum,"&gt;="&amp;$E8888,SondDatum,"&lt;="&amp;EOMONTH($E8888,0)),$J8888-$M8888))</f>
      </c>
      <c r="O8888" s="43">
        <f>IF($I8888=0,0,INDEX(DarlErsatzRate,19))</f>
      </c>
      <c r="P8888" s="43">
        <f>IF($I8888=0,0,$Q8887*INDEX(DarlErsatzZins,19))</f>
      </c>
      <c r="Q8888" s="43">
        <f>IF($I8888=0,0,$Q8887+$P8888+$O8888)</f>
      </c>
      <c r="R8888" s="43">
        <f>IF($I8888=0,0,$J8888-$M8888-$N8888)</f>
      </c>
    </row>
    <row r="8889">
      <c r="A8889"/>
      <c r="B8889">
        <v>19</v>
      </c>
      <c r="C8889" s="43">
        <f>INDEX(DarlObj,19)</f>
      </c>
      <c r="D8889">
        <v>246</v>
      </c>
      <c r="E8889" s="51">
        <f>IF(INDEX(DarlBelegt,19)=0,0,EOMONTH(INDEX(DarlAuszahlung,19),245)+1)</f>
      </c>
      <c r="F8889" s="43">
        <f>IF($E8889=0,0,YEAR($E8889))</f>
      </c>
      <c r="G8889" s="43">
        <f>IF(INDEX(DarlBindung,19)="",1,IF($E8889&lt;=INDEX(DarlBindung,19),1,0))</f>
      </c>
      <c r="H8889" s="43">
        <f>IF($G8889=1,INDEX(DarlSollzins,19),INDEX(DarlAnschluss,19))</f>
      </c>
      <c r="I8889" s="43">
        <f>IF(INDEX(DarlBelegt,19)=0,0,IF(INDEX(DarlOhneTilgung,19)=1,IF(INDEX(DarlBindung,19)="",1,$G8889),IF($J8889&gt;0.005,1,0)))</f>
      </c>
      <c r="J8889" s="43">
        <f>IF($I8888=0,0,$R8888)</f>
      </c>
      <c r="K8889" s="43">
        <f>IF($I8889=0,0,IF(INDEX(DarlOhneTilgung,19)=1,0,IF(AND(INDEX(DarlTilgStart,19)&gt;0,$E8889=INDEX(DarlTilgStart,19)),$J8889*($H8889+INDEX(DarlTilgung,19))/100/12,IF(AND($G8889=0,$G8888=1),MAX($K8888,$J8889*($H8889+1)/100/12),$K8888))))</f>
      </c>
      <c r="L8889" s="43">
        <f>IF($I8889=0,0,$J8889*$H8889/100/12)</f>
      </c>
      <c r="M8889" s="43">
        <f>IF($I8889=0,0,IF(OR(INDEX(DarlOhneTilgung,19)=1,AND(INDEX(DarlTilgStart,19)&gt;0,$E8889&lt;INDEX(DarlTilgStart,19))),0,MIN(MAX(0,$K8889-$L8889),$J8889)))</f>
      </c>
      <c r="N8889" s="43">
        <f>IF($I8889=0,0,MIN(SUMIFS(SondBetrag,SondDarl,19,SondDatum,"&gt;="&amp;$E8889,SondDatum,"&lt;="&amp;EOMONTH($E8889,0)),$J8889-$M8889))</f>
      </c>
      <c r="O8889" s="43">
        <f>IF($I8889=0,0,INDEX(DarlErsatzRate,19))</f>
      </c>
      <c r="P8889" s="43">
        <f>IF($I8889=0,0,$Q8888*INDEX(DarlErsatzZins,19))</f>
      </c>
      <c r="Q8889" s="43">
        <f>IF($I8889=0,0,$Q8888+$P8889+$O8889)</f>
      </c>
      <c r="R8889" s="43">
        <f>IF($I8889=0,0,$J8889-$M8889-$N8889)</f>
      </c>
    </row>
    <row r="8890">
      <c r="A8890"/>
      <c r="B8890">
        <v>19</v>
      </c>
      <c r="C8890" s="43">
        <f>INDEX(DarlObj,19)</f>
      </c>
      <c r="D8890">
        <v>247</v>
      </c>
      <c r="E8890" s="51">
        <f>IF(INDEX(DarlBelegt,19)=0,0,EOMONTH(INDEX(DarlAuszahlung,19),246)+1)</f>
      </c>
      <c r="F8890" s="43">
        <f>IF($E8890=0,0,YEAR($E8890))</f>
      </c>
      <c r="G8890" s="43">
        <f>IF(INDEX(DarlBindung,19)="",1,IF($E8890&lt;=INDEX(DarlBindung,19),1,0))</f>
      </c>
      <c r="H8890" s="43">
        <f>IF($G8890=1,INDEX(DarlSollzins,19),INDEX(DarlAnschluss,19))</f>
      </c>
      <c r="I8890" s="43">
        <f>IF(INDEX(DarlBelegt,19)=0,0,IF(INDEX(DarlOhneTilgung,19)=1,IF(INDEX(DarlBindung,19)="",1,$G8890),IF($J8890&gt;0.005,1,0)))</f>
      </c>
      <c r="J8890" s="43">
        <f>IF($I8889=0,0,$R8889)</f>
      </c>
      <c r="K8890" s="43">
        <f>IF($I8890=0,0,IF(INDEX(DarlOhneTilgung,19)=1,0,IF(AND(INDEX(DarlTilgStart,19)&gt;0,$E8890=INDEX(DarlTilgStart,19)),$J8890*($H8890+INDEX(DarlTilgung,19))/100/12,IF(AND($G8890=0,$G8889=1),MAX($K8889,$J8890*($H8890+1)/100/12),$K8889))))</f>
      </c>
      <c r="L8890" s="43">
        <f>IF($I8890=0,0,$J8890*$H8890/100/12)</f>
      </c>
      <c r="M8890" s="43">
        <f>IF($I8890=0,0,IF(OR(INDEX(DarlOhneTilgung,19)=1,AND(INDEX(DarlTilgStart,19)&gt;0,$E8890&lt;INDEX(DarlTilgStart,19))),0,MIN(MAX(0,$K8890-$L8890),$J8890)))</f>
      </c>
      <c r="N8890" s="43">
        <f>IF($I8890=0,0,MIN(SUMIFS(SondBetrag,SondDarl,19,SondDatum,"&gt;="&amp;$E8890,SondDatum,"&lt;="&amp;EOMONTH($E8890,0)),$J8890-$M8890))</f>
      </c>
      <c r="O8890" s="43">
        <f>IF($I8890=0,0,INDEX(DarlErsatzRate,19))</f>
      </c>
      <c r="P8890" s="43">
        <f>IF($I8890=0,0,$Q8889*INDEX(DarlErsatzZins,19))</f>
      </c>
      <c r="Q8890" s="43">
        <f>IF($I8890=0,0,$Q8889+$P8890+$O8890)</f>
      </c>
      <c r="R8890" s="43">
        <f>IF($I8890=0,0,$J8890-$M8890-$N8890)</f>
      </c>
    </row>
    <row r="8891">
      <c r="A8891"/>
      <c r="B8891">
        <v>19</v>
      </c>
      <c r="C8891" s="43">
        <f>INDEX(DarlObj,19)</f>
      </c>
      <c r="D8891">
        <v>248</v>
      </c>
      <c r="E8891" s="51">
        <f>IF(INDEX(DarlBelegt,19)=0,0,EOMONTH(INDEX(DarlAuszahlung,19),247)+1)</f>
      </c>
      <c r="F8891" s="43">
        <f>IF($E8891=0,0,YEAR($E8891))</f>
      </c>
      <c r="G8891" s="43">
        <f>IF(INDEX(DarlBindung,19)="",1,IF($E8891&lt;=INDEX(DarlBindung,19),1,0))</f>
      </c>
      <c r="H8891" s="43">
        <f>IF($G8891=1,INDEX(DarlSollzins,19),INDEX(DarlAnschluss,19))</f>
      </c>
      <c r="I8891" s="43">
        <f>IF(INDEX(DarlBelegt,19)=0,0,IF(INDEX(DarlOhneTilgung,19)=1,IF(INDEX(DarlBindung,19)="",1,$G8891),IF($J8891&gt;0.005,1,0)))</f>
      </c>
      <c r="J8891" s="43">
        <f>IF($I8890=0,0,$R8890)</f>
      </c>
      <c r="K8891" s="43">
        <f>IF($I8891=0,0,IF(INDEX(DarlOhneTilgung,19)=1,0,IF(AND(INDEX(DarlTilgStart,19)&gt;0,$E8891=INDEX(DarlTilgStart,19)),$J8891*($H8891+INDEX(DarlTilgung,19))/100/12,IF(AND($G8891=0,$G8890=1),MAX($K8890,$J8891*($H8891+1)/100/12),$K8890))))</f>
      </c>
      <c r="L8891" s="43">
        <f>IF($I8891=0,0,$J8891*$H8891/100/12)</f>
      </c>
      <c r="M8891" s="43">
        <f>IF($I8891=0,0,IF(OR(INDEX(DarlOhneTilgung,19)=1,AND(INDEX(DarlTilgStart,19)&gt;0,$E8891&lt;INDEX(DarlTilgStart,19))),0,MIN(MAX(0,$K8891-$L8891),$J8891)))</f>
      </c>
      <c r="N8891" s="43">
        <f>IF($I8891=0,0,MIN(SUMIFS(SondBetrag,SondDarl,19,SondDatum,"&gt;="&amp;$E8891,SondDatum,"&lt;="&amp;EOMONTH($E8891,0)),$J8891-$M8891))</f>
      </c>
      <c r="O8891" s="43">
        <f>IF($I8891=0,0,INDEX(DarlErsatzRate,19))</f>
      </c>
      <c r="P8891" s="43">
        <f>IF($I8891=0,0,$Q8890*INDEX(DarlErsatzZins,19))</f>
      </c>
      <c r="Q8891" s="43">
        <f>IF($I8891=0,0,$Q8890+$P8891+$O8891)</f>
      </c>
      <c r="R8891" s="43">
        <f>IF($I8891=0,0,$J8891-$M8891-$N8891)</f>
      </c>
    </row>
    <row r="8892">
      <c r="A8892"/>
      <c r="B8892">
        <v>19</v>
      </c>
      <c r="C8892" s="43">
        <f>INDEX(DarlObj,19)</f>
      </c>
      <c r="D8892">
        <v>249</v>
      </c>
      <c r="E8892" s="51">
        <f>IF(INDEX(DarlBelegt,19)=0,0,EOMONTH(INDEX(DarlAuszahlung,19),248)+1)</f>
      </c>
      <c r="F8892" s="43">
        <f>IF($E8892=0,0,YEAR($E8892))</f>
      </c>
      <c r="G8892" s="43">
        <f>IF(INDEX(DarlBindung,19)="",1,IF($E8892&lt;=INDEX(DarlBindung,19),1,0))</f>
      </c>
      <c r="H8892" s="43">
        <f>IF($G8892=1,INDEX(DarlSollzins,19),INDEX(DarlAnschluss,19))</f>
      </c>
      <c r="I8892" s="43">
        <f>IF(INDEX(DarlBelegt,19)=0,0,IF(INDEX(DarlOhneTilgung,19)=1,IF(INDEX(DarlBindung,19)="",1,$G8892),IF($J8892&gt;0.005,1,0)))</f>
      </c>
      <c r="J8892" s="43">
        <f>IF($I8891=0,0,$R8891)</f>
      </c>
      <c r="K8892" s="43">
        <f>IF($I8892=0,0,IF(INDEX(DarlOhneTilgung,19)=1,0,IF(AND(INDEX(DarlTilgStart,19)&gt;0,$E8892=INDEX(DarlTilgStart,19)),$J8892*($H8892+INDEX(DarlTilgung,19))/100/12,IF(AND($G8892=0,$G8891=1),MAX($K8891,$J8892*($H8892+1)/100/12),$K8891))))</f>
      </c>
      <c r="L8892" s="43">
        <f>IF($I8892=0,0,$J8892*$H8892/100/12)</f>
      </c>
      <c r="M8892" s="43">
        <f>IF($I8892=0,0,IF(OR(INDEX(DarlOhneTilgung,19)=1,AND(INDEX(DarlTilgStart,19)&gt;0,$E8892&lt;INDEX(DarlTilgStart,19))),0,MIN(MAX(0,$K8892-$L8892),$J8892)))</f>
      </c>
      <c r="N8892" s="43">
        <f>IF($I8892=0,0,MIN(SUMIFS(SondBetrag,SondDarl,19,SondDatum,"&gt;="&amp;$E8892,SondDatum,"&lt;="&amp;EOMONTH($E8892,0)),$J8892-$M8892))</f>
      </c>
      <c r="O8892" s="43">
        <f>IF($I8892=0,0,INDEX(DarlErsatzRate,19))</f>
      </c>
      <c r="P8892" s="43">
        <f>IF($I8892=0,0,$Q8891*INDEX(DarlErsatzZins,19))</f>
      </c>
      <c r="Q8892" s="43">
        <f>IF($I8892=0,0,$Q8891+$P8892+$O8892)</f>
      </c>
      <c r="R8892" s="43">
        <f>IF($I8892=0,0,$J8892-$M8892-$N8892)</f>
      </c>
    </row>
    <row r="8893">
      <c r="A8893"/>
      <c r="B8893">
        <v>19</v>
      </c>
      <c r="C8893" s="43">
        <f>INDEX(DarlObj,19)</f>
      </c>
      <c r="D8893">
        <v>250</v>
      </c>
      <c r="E8893" s="51">
        <f>IF(INDEX(DarlBelegt,19)=0,0,EOMONTH(INDEX(DarlAuszahlung,19),249)+1)</f>
      </c>
      <c r="F8893" s="43">
        <f>IF($E8893=0,0,YEAR($E8893))</f>
      </c>
      <c r="G8893" s="43">
        <f>IF(INDEX(DarlBindung,19)="",1,IF($E8893&lt;=INDEX(DarlBindung,19),1,0))</f>
      </c>
      <c r="H8893" s="43">
        <f>IF($G8893=1,INDEX(DarlSollzins,19),INDEX(DarlAnschluss,19))</f>
      </c>
      <c r="I8893" s="43">
        <f>IF(INDEX(DarlBelegt,19)=0,0,IF(INDEX(DarlOhneTilgung,19)=1,IF(INDEX(DarlBindung,19)="",1,$G8893),IF($J8893&gt;0.005,1,0)))</f>
      </c>
      <c r="J8893" s="43">
        <f>IF($I8892=0,0,$R8892)</f>
      </c>
      <c r="K8893" s="43">
        <f>IF($I8893=0,0,IF(INDEX(DarlOhneTilgung,19)=1,0,IF(AND(INDEX(DarlTilgStart,19)&gt;0,$E8893=INDEX(DarlTilgStart,19)),$J8893*($H8893+INDEX(DarlTilgung,19))/100/12,IF(AND($G8893=0,$G8892=1),MAX($K8892,$J8893*($H8893+1)/100/12),$K8892))))</f>
      </c>
      <c r="L8893" s="43">
        <f>IF($I8893=0,0,$J8893*$H8893/100/12)</f>
      </c>
      <c r="M8893" s="43">
        <f>IF($I8893=0,0,IF(OR(INDEX(DarlOhneTilgung,19)=1,AND(INDEX(DarlTilgStart,19)&gt;0,$E8893&lt;INDEX(DarlTilgStart,19))),0,MIN(MAX(0,$K8893-$L8893),$J8893)))</f>
      </c>
      <c r="N8893" s="43">
        <f>IF($I8893=0,0,MIN(SUMIFS(SondBetrag,SondDarl,19,SondDatum,"&gt;="&amp;$E8893,SondDatum,"&lt;="&amp;EOMONTH($E8893,0)),$J8893-$M8893))</f>
      </c>
      <c r="O8893" s="43">
        <f>IF($I8893=0,0,INDEX(DarlErsatzRate,19))</f>
      </c>
      <c r="P8893" s="43">
        <f>IF($I8893=0,0,$Q8892*INDEX(DarlErsatzZins,19))</f>
      </c>
      <c r="Q8893" s="43">
        <f>IF($I8893=0,0,$Q8892+$P8893+$O8893)</f>
      </c>
      <c r="R8893" s="43">
        <f>IF($I8893=0,0,$J8893-$M8893-$N8893)</f>
      </c>
    </row>
    <row r="8894">
      <c r="A8894"/>
      <c r="B8894">
        <v>19</v>
      </c>
      <c r="C8894" s="43">
        <f>INDEX(DarlObj,19)</f>
      </c>
      <c r="D8894">
        <v>251</v>
      </c>
      <c r="E8894" s="51">
        <f>IF(INDEX(DarlBelegt,19)=0,0,EOMONTH(INDEX(DarlAuszahlung,19),250)+1)</f>
      </c>
      <c r="F8894" s="43">
        <f>IF($E8894=0,0,YEAR($E8894))</f>
      </c>
      <c r="G8894" s="43">
        <f>IF(INDEX(DarlBindung,19)="",1,IF($E8894&lt;=INDEX(DarlBindung,19),1,0))</f>
      </c>
      <c r="H8894" s="43">
        <f>IF($G8894=1,INDEX(DarlSollzins,19),INDEX(DarlAnschluss,19))</f>
      </c>
      <c r="I8894" s="43">
        <f>IF(INDEX(DarlBelegt,19)=0,0,IF(INDEX(DarlOhneTilgung,19)=1,IF(INDEX(DarlBindung,19)="",1,$G8894),IF($J8894&gt;0.005,1,0)))</f>
      </c>
      <c r="J8894" s="43">
        <f>IF($I8893=0,0,$R8893)</f>
      </c>
      <c r="K8894" s="43">
        <f>IF($I8894=0,0,IF(INDEX(DarlOhneTilgung,19)=1,0,IF(AND(INDEX(DarlTilgStart,19)&gt;0,$E8894=INDEX(DarlTilgStart,19)),$J8894*($H8894+INDEX(DarlTilgung,19))/100/12,IF(AND($G8894=0,$G8893=1),MAX($K8893,$J8894*($H8894+1)/100/12),$K8893))))</f>
      </c>
      <c r="L8894" s="43">
        <f>IF($I8894=0,0,$J8894*$H8894/100/12)</f>
      </c>
      <c r="M8894" s="43">
        <f>IF($I8894=0,0,IF(OR(INDEX(DarlOhneTilgung,19)=1,AND(INDEX(DarlTilgStart,19)&gt;0,$E8894&lt;INDEX(DarlTilgStart,19))),0,MIN(MAX(0,$K8894-$L8894),$J8894)))</f>
      </c>
      <c r="N8894" s="43">
        <f>IF($I8894=0,0,MIN(SUMIFS(SondBetrag,SondDarl,19,SondDatum,"&gt;="&amp;$E8894,SondDatum,"&lt;="&amp;EOMONTH($E8894,0)),$J8894-$M8894))</f>
      </c>
      <c r="O8894" s="43">
        <f>IF($I8894=0,0,INDEX(DarlErsatzRate,19))</f>
      </c>
      <c r="P8894" s="43">
        <f>IF($I8894=0,0,$Q8893*INDEX(DarlErsatzZins,19))</f>
      </c>
      <c r="Q8894" s="43">
        <f>IF($I8894=0,0,$Q8893+$P8894+$O8894)</f>
      </c>
      <c r="R8894" s="43">
        <f>IF($I8894=0,0,$J8894-$M8894-$N8894)</f>
      </c>
    </row>
    <row r="8895">
      <c r="A8895"/>
      <c r="B8895">
        <v>19</v>
      </c>
      <c r="C8895" s="43">
        <f>INDEX(DarlObj,19)</f>
      </c>
      <c r="D8895">
        <v>252</v>
      </c>
      <c r="E8895" s="51">
        <f>IF(INDEX(DarlBelegt,19)=0,0,EOMONTH(INDEX(DarlAuszahlung,19),251)+1)</f>
      </c>
      <c r="F8895" s="43">
        <f>IF($E8895=0,0,YEAR($E8895))</f>
      </c>
      <c r="G8895" s="43">
        <f>IF(INDEX(DarlBindung,19)="",1,IF($E8895&lt;=INDEX(DarlBindung,19),1,0))</f>
      </c>
      <c r="H8895" s="43">
        <f>IF($G8895=1,INDEX(DarlSollzins,19),INDEX(DarlAnschluss,19))</f>
      </c>
      <c r="I8895" s="43">
        <f>IF(INDEX(DarlBelegt,19)=0,0,IF(INDEX(DarlOhneTilgung,19)=1,IF(INDEX(DarlBindung,19)="",1,$G8895),IF($J8895&gt;0.005,1,0)))</f>
      </c>
      <c r="J8895" s="43">
        <f>IF($I8894=0,0,$R8894)</f>
      </c>
      <c r="K8895" s="43">
        <f>IF($I8895=0,0,IF(INDEX(DarlOhneTilgung,19)=1,0,IF(AND(INDEX(DarlTilgStart,19)&gt;0,$E8895=INDEX(DarlTilgStart,19)),$J8895*($H8895+INDEX(DarlTilgung,19))/100/12,IF(AND($G8895=0,$G8894=1),MAX($K8894,$J8895*($H8895+1)/100/12),$K8894))))</f>
      </c>
      <c r="L8895" s="43">
        <f>IF($I8895=0,0,$J8895*$H8895/100/12)</f>
      </c>
      <c r="M8895" s="43">
        <f>IF($I8895=0,0,IF(OR(INDEX(DarlOhneTilgung,19)=1,AND(INDEX(DarlTilgStart,19)&gt;0,$E8895&lt;INDEX(DarlTilgStart,19))),0,MIN(MAX(0,$K8895-$L8895),$J8895)))</f>
      </c>
      <c r="N8895" s="43">
        <f>IF($I8895=0,0,MIN(SUMIFS(SondBetrag,SondDarl,19,SondDatum,"&gt;="&amp;$E8895,SondDatum,"&lt;="&amp;EOMONTH($E8895,0)),$J8895-$M8895))</f>
      </c>
      <c r="O8895" s="43">
        <f>IF($I8895=0,0,INDEX(DarlErsatzRate,19))</f>
      </c>
      <c r="P8895" s="43">
        <f>IF($I8895=0,0,$Q8894*INDEX(DarlErsatzZins,19))</f>
      </c>
      <c r="Q8895" s="43">
        <f>IF($I8895=0,0,$Q8894+$P8895+$O8895)</f>
      </c>
      <c r="R8895" s="43">
        <f>IF($I8895=0,0,$J8895-$M8895-$N8895)</f>
      </c>
    </row>
    <row r="8896">
      <c r="A8896"/>
      <c r="B8896">
        <v>19</v>
      </c>
      <c r="C8896" s="43">
        <f>INDEX(DarlObj,19)</f>
      </c>
      <c r="D8896">
        <v>253</v>
      </c>
      <c r="E8896" s="51">
        <f>IF(INDEX(DarlBelegt,19)=0,0,EOMONTH(INDEX(DarlAuszahlung,19),252)+1)</f>
      </c>
      <c r="F8896" s="43">
        <f>IF($E8896=0,0,YEAR($E8896))</f>
      </c>
      <c r="G8896" s="43">
        <f>IF(INDEX(DarlBindung,19)="",1,IF($E8896&lt;=INDEX(DarlBindung,19),1,0))</f>
      </c>
      <c r="H8896" s="43">
        <f>IF($G8896=1,INDEX(DarlSollzins,19),INDEX(DarlAnschluss,19))</f>
      </c>
      <c r="I8896" s="43">
        <f>IF(INDEX(DarlBelegt,19)=0,0,IF(INDEX(DarlOhneTilgung,19)=1,IF(INDEX(DarlBindung,19)="",1,$G8896),IF($J8896&gt;0.005,1,0)))</f>
      </c>
      <c r="J8896" s="43">
        <f>IF($I8895=0,0,$R8895)</f>
      </c>
      <c r="K8896" s="43">
        <f>IF($I8896=0,0,IF(INDEX(DarlOhneTilgung,19)=1,0,IF(AND(INDEX(DarlTilgStart,19)&gt;0,$E8896=INDEX(DarlTilgStart,19)),$J8896*($H8896+INDEX(DarlTilgung,19))/100/12,IF(AND($G8896=0,$G8895=1),MAX($K8895,$J8896*($H8896+1)/100/12),$K8895))))</f>
      </c>
      <c r="L8896" s="43">
        <f>IF($I8896=0,0,$J8896*$H8896/100/12)</f>
      </c>
      <c r="M8896" s="43">
        <f>IF($I8896=0,0,IF(OR(INDEX(DarlOhneTilgung,19)=1,AND(INDEX(DarlTilgStart,19)&gt;0,$E8896&lt;INDEX(DarlTilgStart,19))),0,MIN(MAX(0,$K8896-$L8896),$J8896)))</f>
      </c>
      <c r="N8896" s="43">
        <f>IF($I8896=0,0,MIN(SUMIFS(SondBetrag,SondDarl,19,SondDatum,"&gt;="&amp;$E8896,SondDatum,"&lt;="&amp;EOMONTH($E8896,0)),$J8896-$M8896))</f>
      </c>
      <c r="O8896" s="43">
        <f>IF($I8896=0,0,INDEX(DarlErsatzRate,19))</f>
      </c>
      <c r="P8896" s="43">
        <f>IF($I8896=0,0,$Q8895*INDEX(DarlErsatzZins,19))</f>
      </c>
      <c r="Q8896" s="43">
        <f>IF($I8896=0,0,$Q8895+$P8896+$O8896)</f>
      </c>
      <c r="R8896" s="43">
        <f>IF($I8896=0,0,$J8896-$M8896-$N8896)</f>
      </c>
    </row>
    <row r="8897">
      <c r="A8897"/>
      <c r="B8897">
        <v>19</v>
      </c>
      <c r="C8897" s="43">
        <f>INDEX(DarlObj,19)</f>
      </c>
      <c r="D8897">
        <v>254</v>
      </c>
      <c r="E8897" s="51">
        <f>IF(INDEX(DarlBelegt,19)=0,0,EOMONTH(INDEX(DarlAuszahlung,19),253)+1)</f>
      </c>
      <c r="F8897" s="43">
        <f>IF($E8897=0,0,YEAR($E8897))</f>
      </c>
      <c r="G8897" s="43">
        <f>IF(INDEX(DarlBindung,19)="",1,IF($E8897&lt;=INDEX(DarlBindung,19),1,0))</f>
      </c>
      <c r="H8897" s="43">
        <f>IF($G8897=1,INDEX(DarlSollzins,19),INDEX(DarlAnschluss,19))</f>
      </c>
      <c r="I8897" s="43">
        <f>IF(INDEX(DarlBelegt,19)=0,0,IF(INDEX(DarlOhneTilgung,19)=1,IF(INDEX(DarlBindung,19)="",1,$G8897),IF($J8897&gt;0.005,1,0)))</f>
      </c>
      <c r="J8897" s="43">
        <f>IF($I8896=0,0,$R8896)</f>
      </c>
      <c r="K8897" s="43">
        <f>IF($I8897=0,0,IF(INDEX(DarlOhneTilgung,19)=1,0,IF(AND(INDEX(DarlTilgStart,19)&gt;0,$E8897=INDEX(DarlTilgStart,19)),$J8897*($H8897+INDEX(DarlTilgung,19))/100/12,IF(AND($G8897=0,$G8896=1),MAX($K8896,$J8897*($H8897+1)/100/12),$K8896))))</f>
      </c>
      <c r="L8897" s="43">
        <f>IF($I8897=0,0,$J8897*$H8897/100/12)</f>
      </c>
      <c r="M8897" s="43">
        <f>IF($I8897=0,0,IF(OR(INDEX(DarlOhneTilgung,19)=1,AND(INDEX(DarlTilgStart,19)&gt;0,$E8897&lt;INDEX(DarlTilgStart,19))),0,MIN(MAX(0,$K8897-$L8897),$J8897)))</f>
      </c>
      <c r="N8897" s="43">
        <f>IF($I8897=0,0,MIN(SUMIFS(SondBetrag,SondDarl,19,SondDatum,"&gt;="&amp;$E8897,SondDatum,"&lt;="&amp;EOMONTH($E8897,0)),$J8897-$M8897))</f>
      </c>
      <c r="O8897" s="43">
        <f>IF($I8897=0,0,INDEX(DarlErsatzRate,19))</f>
      </c>
      <c r="P8897" s="43">
        <f>IF($I8897=0,0,$Q8896*INDEX(DarlErsatzZins,19))</f>
      </c>
      <c r="Q8897" s="43">
        <f>IF($I8897=0,0,$Q8896+$P8897+$O8897)</f>
      </c>
      <c r="R8897" s="43">
        <f>IF($I8897=0,0,$J8897-$M8897-$N8897)</f>
      </c>
    </row>
    <row r="8898">
      <c r="A8898"/>
      <c r="B8898">
        <v>19</v>
      </c>
      <c r="C8898" s="43">
        <f>INDEX(DarlObj,19)</f>
      </c>
      <c r="D8898">
        <v>255</v>
      </c>
      <c r="E8898" s="51">
        <f>IF(INDEX(DarlBelegt,19)=0,0,EOMONTH(INDEX(DarlAuszahlung,19),254)+1)</f>
      </c>
      <c r="F8898" s="43">
        <f>IF($E8898=0,0,YEAR($E8898))</f>
      </c>
      <c r="G8898" s="43">
        <f>IF(INDEX(DarlBindung,19)="",1,IF($E8898&lt;=INDEX(DarlBindung,19),1,0))</f>
      </c>
      <c r="H8898" s="43">
        <f>IF($G8898=1,INDEX(DarlSollzins,19),INDEX(DarlAnschluss,19))</f>
      </c>
      <c r="I8898" s="43">
        <f>IF(INDEX(DarlBelegt,19)=0,0,IF(INDEX(DarlOhneTilgung,19)=1,IF(INDEX(DarlBindung,19)="",1,$G8898),IF($J8898&gt;0.005,1,0)))</f>
      </c>
      <c r="J8898" s="43">
        <f>IF($I8897=0,0,$R8897)</f>
      </c>
      <c r="K8898" s="43">
        <f>IF($I8898=0,0,IF(INDEX(DarlOhneTilgung,19)=1,0,IF(AND(INDEX(DarlTilgStart,19)&gt;0,$E8898=INDEX(DarlTilgStart,19)),$J8898*($H8898+INDEX(DarlTilgung,19))/100/12,IF(AND($G8898=0,$G8897=1),MAX($K8897,$J8898*($H8898+1)/100/12),$K8897))))</f>
      </c>
      <c r="L8898" s="43">
        <f>IF($I8898=0,0,$J8898*$H8898/100/12)</f>
      </c>
      <c r="M8898" s="43">
        <f>IF($I8898=0,0,IF(OR(INDEX(DarlOhneTilgung,19)=1,AND(INDEX(DarlTilgStart,19)&gt;0,$E8898&lt;INDEX(DarlTilgStart,19))),0,MIN(MAX(0,$K8898-$L8898),$J8898)))</f>
      </c>
      <c r="N8898" s="43">
        <f>IF($I8898=0,0,MIN(SUMIFS(SondBetrag,SondDarl,19,SondDatum,"&gt;="&amp;$E8898,SondDatum,"&lt;="&amp;EOMONTH($E8898,0)),$J8898-$M8898))</f>
      </c>
      <c r="O8898" s="43">
        <f>IF($I8898=0,0,INDEX(DarlErsatzRate,19))</f>
      </c>
      <c r="P8898" s="43">
        <f>IF($I8898=0,0,$Q8897*INDEX(DarlErsatzZins,19))</f>
      </c>
      <c r="Q8898" s="43">
        <f>IF($I8898=0,0,$Q8897+$P8898+$O8898)</f>
      </c>
      <c r="R8898" s="43">
        <f>IF($I8898=0,0,$J8898-$M8898-$N8898)</f>
      </c>
    </row>
    <row r="8899">
      <c r="A8899"/>
      <c r="B8899">
        <v>19</v>
      </c>
      <c r="C8899" s="43">
        <f>INDEX(DarlObj,19)</f>
      </c>
      <c r="D8899">
        <v>256</v>
      </c>
      <c r="E8899" s="51">
        <f>IF(INDEX(DarlBelegt,19)=0,0,EOMONTH(INDEX(DarlAuszahlung,19),255)+1)</f>
      </c>
      <c r="F8899" s="43">
        <f>IF($E8899=0,0,YEAR($E8899))</f>
      </c>
      <c r="G8899" s="43">
        <f>IF(INDEX(DarlBindung,19)="",1,IF($E8899&lt;=INDEX(DarlBindung,19),1,0))</f>
      </c>
      <c r="H8899" s="43">
        <f>IF($G8899=1,INDEX(DarlSollzins,19),INDEX(DarlAnschluss,19))</f>
      </c>
      <c r="I8899" s="43">
        <f>IF(INDEX(DarlBelegt,19)=0,0,IF(INDEX(DarlOhneTilgung,19)=1,IF(INDEX(DarlBindung,19)="",1,$G8899),IF($J8899&gt;0.005,1,0)))</f>
      </c>
      <c r="J8899" s="43">
        <f>IF($I8898=0,0,$R8898)</f>
      </c>
      <c r="K8899" s="43">
        <f>IF($I8899=0,0,IF(INDEX(DarlOhneTilgung,19)=1,0,IF(AND(INDEX(DarlTilgStart,19)&gt;0,$E8899=INDEX(DarlTilgStart,19)),$J8899*($H8899+INDEX(DarlTilgung,19))/100/12,IF(AND($G8899=0,$G8898=1),MAX($K8898,$J8899*($H8899+1)/100/12),$K8898))))</f>
      </c>
      <c r="L8899" s="43">
        <f>IF($I8899=0,0,$J8899*$H8899/100/12)</f>
      </c>
      <c r="M8899" s="43">
        <f>IF($I8899=0,0,IF(OR(INDEX(DarlOhneTilgung,19)=1,AND(INDEX(DarlTilgStart,19)&gt;0,$E8899&lt;INDEX(DarlTilgStart,19))),0,MIN(MAX(0,$K8899-$L8899),$J8899)))</f>
      </c>
      <c r="N8899" s="43">
        <f>IF($I8899=0,0,MIN(SUMIFS(SondBetrag,SondDarl,19,SondDatum,"&gt;="&amp;$E8899,SondDatum,"&lt;="&amp;EOMONTH($E8899,0)),$J8899-$M8899))</f>
      </c>
      <c r="O8899" s="43">
        <f>IF($I8899=0,0,INDEX(DarlErsatzRate,19))</f>
      </c>
      <c r="P8899" s="43">
        <f>IF($I8899=0,0,$Q8898*INDEX(DarlErsatzZins,19))</f>
      </c>
      <c r="Q8899" s="43">
        <f>IF($I8899=0,0,$Q8898+$P8899+$O8899)</f>
      </c>
      <c r="R8899" s="43">
        <f>IF($I8899=0,0,$J8899-$M8899-$N8899)</f>
      </c>
    </row>
    <row r="8900">
      <c r="A8900"/>
      <c r="B8900">
        <v>19</v>
      </c>
      <c r="C8900" s="43">
        <f>INDEX(DarlObj,19)</f>
      </c>
      <c r="D8900">
        <v>257</v>
      </c>
      <c r="E8900" s="51">
        <f>IF(INDEX(DarlBelegt,19)=0,0,EOMONTH(INDEX(DarlAuszahlung,19),256)+1)</f>
      </c>
      <c r="F8900" s="43">
        <f>IF($E8900=0,0,YEAR($E8900))</f>
      </c>
      <c r="G8900" s="43">
        <f>IF(INDEX(DarlBindung,19)="",1,IF($E8900&lt;=INDEX(DarlBindung,19),1,0))</f>
      </c>
      <c r="H8900" s="43">
        <f>IF($G8900=1,INDEX(DarlSollzins,19),INDEX(DarlAnschluss,19))</f>
      </c>
      <c r="I8900" s="43">
        <f>IF(INDEX(DarlBelegt,19)=0,0,IF(INDEX(DarlOhneTilgung,19)=1,IF(INDEX(DarlBindung,19)="",1,$G8900),IF($J8900&gt;0.005,1,0)))</f>
      </c>
      <c r="J8900" s="43">
        <f>IF($I8899=0,0,$R8899)</f>
      </c>
      <c r="K8900" s="43">
        <f>IF($I8900=0,0,IF(INDEX(DarlOhneTilgung,19)=1,0,IF(AND(INDEX(DarlTilgStart,19)&gt;0,$E8900=INDEX(DarlTilgStart,19)),$J8900*($H8900+INDEX(DarlTilgung,19))/100/12,IF(AND($G8900=0,$G8899=1),MAX($K8899,$J8900*($H8900+1)/100/12),$K8899))))</f>
      </c>
      <c r="L8900" s="43">
        <f>IF($I8900=0,0,$J8900*$H8900/100/12)</f>
      </c>
      <c r="M8900" s="43">
        <f>IF($I8900=0,0,IF(OR(INDEX(DarlOhneTilgung,19)=1,AND(INDEX(DarlTilgStart,19)&gt;0,$E8900&lt;INDEX(DarlTilgStart,19))),0,MIN(MAX(0,$K8900-$L8900),$J8900)))</f>
      </c>
      <c r="N8900" s="43">
        <f>IF($I8900=0,0,MIN(SUMIFS(SondBetrag,SondDarl,19,SondDatum,"&gt;="&amp;$E8900,SondDatum,"&lt;="&amp;EOMONTH($E8900,0)),$J8900-$M8900))</f>
      </c>
      <c r="O8900" s="43">
        <f>IF($I8900=0,0,INDEX(DarlErsatzRate,19))</f>
      </c>
      <c r="P8900" s="43">
        <f>IF($I8900=0,0,$Q8899*INDEX(DarlErsatzZins,19))</f>
      </c>
      <c r="Q8900" s="43">
        <f>IF($I8900=0,0,$Q8899+$P8900+$O8900)</f>
      </c>
      <c r="R8900" s="43">
        <f>IF($I8900=0,0,$J8900-$M8900-$N8900)</f>
      </c>
    </row>
    <row r="8901">
      <c r="A8901"/>
      <c r="B8901">
        <v>19</v>
      </c>
      <c r="C8901" s="43">
        <f>INDEX(DarlObj,19)</f>
      </c>
      <c r="D8901">
        <v>258</v>
      </c>
      <c r="E8901" s="51">
        <f>IF(INDEX(DarlBelegt,19)=0,0,EOMONTH(INDEX(DarlAuszahlung,19),257)+1)</f>
      </c>
      <c r="F8901" s="43">
        <f>IF($E8901=0,0,YEAR($E8901))</f>
      </c>
      <c r="G8901" s="43">
        <f>IF(INDEX(DarlBindung,19)="",1,IF($E8901&lt;=INDEX(DarlBindung,19),1,0))</f>
      </c>
      <c r="H8901" s="43">
        <f>IF($G8901=1,INDEX(DarlSollzins,19),INDEX(DarlAnschluss,19))</f>
      </c>
      <c r="I8901" s="43">
        <f>IF(INDEX(DarlBelegt,19)=0,0,IF(INDEX(DarlOhneTilgung,19)=1,IF(INDEX(DarlBindung,19)="",1,$G8901),IF($J8901&gt;0.005,1,0)))</f>
      </c>
      <c r="J8901" s="43">
        <f>IF($I8900=0,0,$R8900)</f>
      </c>
      <c r="K8901" s="43">
        <f>IF($I8901=0,0,IF(INDEX(DarlOhneTilgung,19)=1,0,IF(AND(INDEX(DarlTilgStart,19)&gt;0,$E8901=INDEX(DarlTilgStart,19)),$J8901*($H8901+INDEX(DarlTilgung,19))/100/12,IF(AND($G8901=0,$G8900=1),MAX($K8900,$J8901*($H8901+1)/100/12),$K8900))))</f>
      </c>
      <c r="L8901" s="43">
        <f>IF($I8901=0,0,$J8901*$H8901/100/12)</f>
      </c>
      <c r="M8901" s="43">
        <f>IF($I8901=0,0,IF(OR(INDEX(DarlOhneTilgung,19)=1,AND(INDEX(DarlTilgStart,19)&gt;0,$E8901&lt;INDEX(DarlTilgStart,19))),0,MIN(MAX(0,$K8901-$L8901),$J8901)))</f>
      </c>
      <c r="N8901" s="43">
        <f>IF($I8901=0,0,MIN(SUMIFS(SondBetrag,SondDarl,19,SondDatum,"&gt;="&amp;$E8901,SondDatum,"&lt;="&amp;EOMONTH($E8901,0)),$J8901-$M8901))</f>
      </c>
      <c r="O8901" s="43">
        <f>IF($I8901=0,0,INDEX(DarlErsatzRate,19))</f>
      </c>
      <c r="P8901" s="43">
        <f>IF($I8901=0,0,$Q8900*INDEX(DarlErsatzZins,19))</f>
      </c>
      <c r="Q8901" s="43">
        <f>IF($I8901=0,0,$Q8900+$P8901+$O8901)</f>
      </c>
      <c r="R8901" s="43">
        <f>IF($I8901=0,0,$J8901-$M8901-$N8901)</f>
      </c>
    </row>
    <row r="8902">
      <c r="A8902"/>
      <c r="B8902">
        <v>19</v>
      </c>
      <c r="C8902" s="43">
        <f>INDEX(DarlObj,19)</f>
      </c>
      <c r="D8902">
        <v>259</v>
      </c>
      <c r="E8902" s="51">
        <f>IF(INDEX(DarlBelegt,19)=0,0,EOMONTH(INDEX(DarlAuszahlung,19),258)+1)</f>
      </c>
      <c r="F8902" s="43">
        <f>IF($E8902=0,0,YEAR($E8902))</f>
      </c>
      <c r="G8902" s="43">
        <f>IF(INDEX(DarlBindung,19)="",1,IF($E8902&lt;=INDEX(DarlBindung,19),1,0))</f>
      </c>
      <c r="H8902" s="43">
        <f>IF($G8902=1,INDEX(DarlSollzins,19),INDEX(DarlAnschluss,19))</f>
      </c>
      <c r="I8902" s="43">
        <f>IF(INDEX(DarlBelegt,19)=0,0,IF(INDEX(DarlOhneTilgung,19)=1,IF(INDEX(DarlBindung,19)="",1,$G8902),IF($J8902&gt;0.005,1,0)))</f>
      </c>
      <c r="J8902" s="43">
        <f>IF($I8901=0,0,$R8901)</f>
      </c>
      <c r="K8902" s="43">
        <f>IF($I8902=0,0,IF(INDEX(DarlOhneTilgung,19)=1,0,IF(AND(INDEX(DarlTilgStart,19)&gt;0,$E8902=INDEX(DarlTilgStart,19)),$J8902*($H8902+INDEX(DarlTilgung,19))/100/12,IF(AND($G8902=0,$G8901=1),MAX($K8901,$J8902*($H8902+1)/100/12),$K8901))))</f>
      </c>
      <c r="L8902" s="43">
        <f>IF($I8902=0,0,$J8902*$H8902/100/12)</f>
      </c>
      <c r="M8902" s="43">
        <f>IF($I8902=0,0,IF(OR(INDEX(DarlOhneTilgung,19)=1,AND(INDEX(DarlTilgStart,19)&gt;0,$E8902&lt;INDEX(DarlTilgStart,19))),0,MIN(MAX(0,$K8902-$L8902),$J8902)))</f>
      </c>
      <c r="N8902" s="43">
        <f>IF($I8902=0,0,MIN(SUMIFS(SondBetrag,SondDarl,19,SondDatum,"&gt;="&amp;$E8902,SondDatum,"&lt;="&amp;EOMONTH($E8902,0)),$J8902-$M8902))</f>
      </c>
      <c r="O8902" s="43">
        <f>IF($I8902=0,0,INDEX(DarlErsatzRate,19))</f>
      </c>
      <c r="P8902" s="43">
        <f>IF($I8902=0,0,$Q8901*INDEX(DarlErsatzZins,19))</f>
      </c>
      <c r="Q8902" s="43">
        <f>IF($I8902=0,0,$Q8901+$P8902+$O8902)</f>
      </c>
      <c r="R8902" s="43">
        <f>IF($I8902=0,0,$J8902-$M8902-$N8902)</f>
      </c>
    </row>
    <row r="8903">
      <c r="A8903"/>
      <c r="B8903">
        <v>19</v>
      </c>
      <c r="C8903" s="43">
        <f>INDEX(DarlObj,19)</f>
      </c>
      <c r="D8903">
        <v>260</v>
      </c>
      <c r="E8903" s="51">
        <f>IF(INDEX(DarlBelegt,19)=0,0,EOMONTH(INDEX(DarlAuszahlung,19),259)+1)</f>
      </c>
      <c r="F8903" s="43">
        <f>IF($E8903=0,0,YEAR($E8903))</f>
      </c>
      <c r="G8903" s="43">
        <f>IF(INDEX(DarlBindung,19)="",1,IF($E8903&lt;=INDEX(DarlBindung,19),1,0))</f>
      </c>
      <c r="H8903" s="43">
        <f>IF($G8903=1,INDEX(DarlSollzins,19),INDEX(DarlAnschluss,19))</f>
      </c>
      <c r="I8903" s="43">
        <f>IF(INDEX(DarlBelegt,19)=0,0,IF(INDEX(DarlOhneTilgung,19)=1,IF(INDEX(DarlBindung,19)="",1,$G8903),IF($J8903&gt;0.005,1,0)))</f>
      </c>
      <c r="J8903" s="43">
        <f>IF($I8902=0,0,$R8902)</f>
      </c>
      <c r="K8903" s="43">
        <f>IF($I8903=0,0,IF(INDEX(DarlOhneTilgung,19)=1,0,IF(AND(INDEX(DarlTilgStart,19)&gt;0,$E8903=INDEX(DarlTilgStart,19)),$J8903*($H8903+INDEX(DarlTilgung,19))/100/12,IF(AND($G8903=0,$G8902=1),MAX($K8902,$J8903*($H8903+1)/100/12),$K8902))))</f>
      </c>
      <c r="L8903" s="43">
        <f>IF($I8903=0,0,$J8903*$H8903/100/12)</f>
      </c>
      <c r="M8903" s="43">
        <f>IF($I8903=0,0,IF(OR(INDEX(DarlOhneTilgung,19)=1,AND(INDEX(DarlTilgStart,19)&gt;0,$E8903&lt;INDEX(DarlTilgStart,19))),0,MIN(MAX(0,$K8903-$L8903),$J8903)))</f>
      </c>
      <c r="N8903" s="43">
        <f>IF($I8903=0,0,MIN(SUMIFS(SondBetrag,SondDarl,19,SondDatum,"&gt;="&amp;$E8903,SondDatum,"&lt;="&amp;EOMONTH($E8903,0)),$J8903-$M8903))</f>
      </c>
      <c r="O8903" s="43">
        <f>IF($I8903=0,0,INDEX(DarlErsatzRate,19))</f>
      </c>
      <c r="P8903" s="43">
        <f>IF($I8903=0,0,$Q8902*INDEX(DarlErsatzZins,19))</f>
      </c>
      <c r="Q8903" s="43">
        <f>IF($I8903=0,0,$Q8902+$P8903+$O8903)</f>
      </c>
      <c r="R8903" s="43">
        <f>IF($I8903=0,0,$J8903-$M8903-$N8903)</f>
      </c>
    </row>
    <row r="8904">
      <c r="A8904"/>
      <c r="B8904">
        <v>19</v>
      </c>
      <c r="C8904" s="43">
        <f>INDEX(DarlObj,19)</f>
      </c>
      <c r="D8904">
        <v>261</v>
      </c>
      <c r="E8904" s="51">
        <f>IF(INDEX(DarlBelegt,19)=0,0,EOMONTH(INDEX(DarlAuszahlung,19),260)+1)</f>
      </c>
      <c r="F8904" s="43">
        <f>IF($E8904=0,0,YEAR($E8904))</f>
      </c>
      <c r="G8904" s="43">
        <f>IF(INDEX(DarlBindung,19)="",1,IF($E8904&lt;=INDEX(DarlBindung,19),1,0))</f>
      </c>
      <c r="H8904" s="43">
        <f>IF($G8904=1,INDEX(DarlSollzins,19),INDEX(DarlAnschluss,19))</f>
      </c>
      <c r="I8904" s="43">
        <f>IF(INDEX(DarlBelegt,19)=0,0,IF(INDEX(DarlOhneTilgung,19)=1,IF(INDEX(DarlBindung,19)="",1,$G8904),IF($J8904&gt;0.005,1,0)))</f>
      </c>
      <c r="J8904" s="43">
        <f>IF($I8903=0,0,$R8903)</f>
      </c>
      <c r="K8904" s="43">
        <f>IF($I8904=0,0,IF(INDEX(DarlOhneTilgung,19)=1,0,IF(AND(INDEX(DarlTilgStart,19)&gt;0,$E8904=INDEX(DarlTilgStart,19)),$J8904*($H8904+INDEX(DarlTilgung,19))/100/12,IF(AND($G8904=0,$G8903=1),MAX($K8903,$J8904*($H8904+1)/100/12),$K8903))))</f>
      </c>
      <c r="L8904" s="43">
        <f>IF($I8904=0,0,$J8904*$H8904/100/12)</f>
      </c>
      <c r="M8904" s="43">
        <f>IF($I8904=0,0,IF(OR(INDEX(DarlOhneTilgung,19)=1,AND(INDEX(DarlTilgStart,19)&gt;0,$E8904&lt;INDEX(DarlTilgStart,19))),0,MIN(MAX(0,$K8904-$L8904),$J8904)))</f>
      </c>
      <c r="N8904" s="43">
        <f>IF($I8904=0,0,MIN(SUMIFS(SondBetrag,SondDarl,19,SondDatum,"&gt;="&amp;$E8904,SondDatum,"&lt;="&amp;EOMONTH($E8904,0)),$J8904-$M8904))</f>
      </c>
      <c r="O8904" s="43">
        <f>IF($I8904=0,0,INDEX(DarlErsatzRate,19))</f>
      </c>
      <c r="P8904" s="43">
        <f>IF($I8904=0,0,$Q8903*INDEX(DarlErsatzZins,19))</f>
      </c>
      <c r="Q8904" s="43">
        <f>IF($I8904=0,0,$Q8903+$P8904+$O8904)</f>
      </c>
      <c r="R8904" s="43">
        <f>IF($I8904=0,0,$J8904-$M8904-$N8904)</f>
      </c>
    </row>
    <row r="8905">
      <c r="A8905"/>
      <c r="B8905">
        <v>19</v>
      </c>
      <c r="C8905" s="43">
        <f>INDEX(DarlObj,19)</f>
      </c>
      <c r="D8905">
        <v>262</v>
      </c>
      <c r="E8905" s="51">
        <f>IF(INDEX(DarlBelegt,19)=0,0,EOMONTH(INDEX(DarlAuszahlung,19),261)+1)</f>
      </c>
      <c r="F8905" s="43">
        <f>IF($E8905=0,0,YEAR($E8905))</f>
      </c>
      <c r="G8905" s="43">
        <f>IF(INDEX(DarlBindung,19)="",1,IF($E8905&lt;=INDEX(DarlBindung,19),1,0))</f>
      </c>
      <c r="H8905" s="43">
        <f>IF($G8905=1,INDEX(DarlSollzins,19),INDEX(DarlAnschluss,19))</f>
      </c>
      <c r="I8905" s="43">
        <f>IF(INDEX(DarlBelegt,19)=0,0,IF(INDEX(DarlOhneTilgung,19)=1,IF(INDEX(DarlBindung,19)="",1,$G8905),IF($J8905&gt;0.005,1,0)))</f>
      </c>
      <c r="J8905" s="43">
        <f>IF($I8904=0,0,$R8904)</f>
      </c>
      <c r="K8905" s="43">
        <f>IF($I8905=0,0,IF(INDEX(DarlOhneTilgung,19)=1,0,IF(AND(INDEX(DarlTilgStart,19)&gt;0,$E8905=INDEX(DarlTilgStart,19)),$J8905*($H8905+INDEX(DarlTilgung,19))/100/12,IF(AND($G8905=0,$G8904=1),MAX($K8904,$J8905*($H8905+1)/100/12),$K8904))))</f>
      </c>
      <c r="L8905" s="43">
        <f>IF($I8905=0,0,$J8905*$H8905/100/12)</f>
      </c>
      <c r="M8905" s="43">
        <f>IF($I8905=0,0,IF(OR(INDEX(DarlOhneTilgung,19)=1,AND(INDEX(DarlTilgStart,19)&gt;0,$E8905&lt;INDEX(DarlTilgStart,19))),0,MIN(MAX(0,$K8905-$L8905),$J8905)))</f>
      </c>
      <c r="N8905" s="43">
        <f>IF($I8905=0,0,MIN(SUMIFS(SondBetrag,SondDarl,19,SondDatum,"&gt;="&amp;$E8905,SondDatum,"&lt;="&amp;EOMONTH($E8905,0)),$J8905-$M8905))</f>
      </c>
      <c r="O8905" s="43">
        <f>IF($I8905=0,0,INDEX(DarlErsatzRate,19))</f>
      </c>
      <c r="P8905" s="43">
        <f>IF($I8905=0,0,$Q8904*INDEX(DarlErsatzZins,19))</f>
      </c>
      <c r="Q8905" s="43">
        <f>IF($I8905=0,0,$Q8904+$P8905+$O8905)</f>
      </c>
      <c r="R8905" s="43">
        <f>IF($I8905=0,0,$J8905-$M8905-$N8905)</f>
      </c>
    </row>
    <row r="8906">
      <c r="A8906"/>
      <c r="B8906">
        <v>19</v>
      </c>
      <c r="C8906" s="43">
        <f>INDEX(DarlObj,19)</f>
      </c>
      <c r="D8906">
        <v>263</v>
      </c>
      <c r="E8906" s="51">
        <f>IF(INDEX(DarlBelegt,19)=0,0,EOMONTH(INDEX(DarlAuszahlung,19),262)+1)</f>
      </c>
      <c r="F8906" s="43">
        <f>IF($E8906=0,0,YEAR($E8906))</f>
      </c>
      <c r="G8906" s="43">
        <f>IF(INDEX(DarlBindung,19)="",1,IF($E8906&lt;=INDEX(DarlBindung,19),1,0))</f>
      </c>
      <c r="H8906" s="43">
        <f>IF($G8906=1,INDEX(DarlSollzins,19),INDEX(DarlAnschluss,19))</f>
      </c>
      <c r="I8906" s="43">
        <f>IF(INDEX(DarlBelegt,19)=0,0,IF(INDEX(DarlOhneTilgung,19)=1,IF(INDEX(DarlBindung,19)="",1,$G8906),IF($J8906&gt;0.005,1,0)))</f>
      </c>
      <c r="J8906" s="43">
        <f>IF($I8905=0,0,$R8905)</f>
      </c>
      <c r="K8906" s="43">
        <f>IF($I8906=0,0,IF(INDEX(DarlOhneTilgung,19)=1,0,IF(AND(INDEX(DarlTilgStart,19)&gt;0,$E8906=INDEX(DarlTilgStart,19)),$J8906*($H8906+INDEX(DarlTilgung,19))/100/12,IF(AND($G8906=0,$G8905=1),MAX($K8905,$J8906*($H8906+1)/100/12),$K8905))))</f>
      </c>
      <c r="L8906" s="43">
        <f>IF($I8906=0,0,$J8906*$H8906/100/12)</f>
      </c>
      <c r="M8906" s="43">
        <f>IF($I8906=0,0,IF(OR(INDEX(DarlOhneTilgung,19)=1,AND(INDEX(DarlTilgStart,19)&gt;0,$E8906&lt;INDEX(DarlTilgStart,19))),0,MIN(MAX(0,$K8906-$L8906),$J8906)))</f>
      </c>
      <c r="N8906" s="43">
        <f>IF($I8906=0,0,MIN(SUMIFS(SondBetrag,SondDarl,19,SondDatum,"&gt;="&amp;$E8906,SondDatum,"&lt;="&amp;EOMONTH($E8906,0)),$J8906-$M8906))</f>
      </c>
      <c r="O8906" s="43">
        <f>IF($I8906=0,0,INDEX(DarlErsatzRate,19))</f>
      </c>
      <c r="P8906" s="43">
        <f>IF($I8906=0,0,$Q8905*INDEX(DarlErsatzZins,19))</f>
      </c>
      <c r="Q8906" s="43">
        <f>IF($I8906=0,0,$Q8905+$P8906+$O8906)</f>
      </c>
      <c r="R8906" s="43">
        <f>IF($I8906=0,0,$J8906-$M8906-$N8906)</f>
      </c>
    </row>
    <row r="8907">
      <c r="A8907"/>
      <c r="B8907">
        <v>19</v>
      </c>
      <c r="C8907" s="43">
        <f>INDEX(DarlObj,19)</f>
      </c>
      <c r="D8907">
        <v>264</v>
      </c>
      <c r="E8907" s="51">
        <f>IF(INDEX(DarlBelegt,19)=0,0,EOMONTH(INDEX(DarlAuszahlung,19),263)+1)</f>
      </c>
      <c r="F8907" s="43">
        <f>IF($E8907=0,0,YEAR($E8907))</f>
      </c>
      <c r="G8907" s="43">
        <f>IF(INDEX(DarlBindung,19)="",1,IF($E8907&lt;=INDEX(DarlBindung,19),1,0))</f>
      </c>
      <c r="H8907" s="43">
        <f>IF($G8907=1,INDEX(DarlSollzins,19),INDEX(DarlAnschluss,19))</f>
      </c>
      <c r="I8907" s="43">
        <f>IF(INDEX(DarlBelegt,19)=0,0,IF(INDEX(DarlOhneTilgung,19)=1,IF(INDEX(DarlBindung,19)="",1,$G8907),IF($J8907&gt;0.005,1,0)))</f>
      </c>
      <c r="J8907" s="43">
        <f>IF($I8906=0,0,$R8906)</f>
      </c>
      <c r="K8907" s="43">
        <f>IF($I8907=0,0,IF(INDEX(DarlOhneTilgung,19)=1,0,IF(AND(INDEX(DarlTilgStart,19)&gt;0,$E8907=INDEX(DarlTilgStart,19)),$J8907*($H8907+INDEX(DarlTilgung,19))/100/12,IF(AND($G8907=0,$G8906=1),MAX($K8906,$J8907*($H8907+1)/100/12),$K8906))))</f>
      </c>
      <c r="L8907" s="43">
        <f>IF($I8907=0,0,$J8907*$H8907/100/12)</f>
      </c>
      <c r="M8907" s="43">
        <f>IF($I8907=0,0,IF(OR(INDEX(DarlOhneTilgung,19)=1,AND(INDEX(DarlTilgStart,19)&gt;0,$E8907&lt;INDEX(DarlTilgStart,19))),0,MIN(MAX(0,$K8907-$L8907),$J8907)))</f>
      </c>
      <c r="N8907" s="43">
        <f>IF($I8907=0,0,MIN(SUMIFS(SondBetrag,SondDarl,19,SondDatum,"&gt;="&amp;$E8907,SondDatum,"&lt;="&amp;EOMONTH($E8907,0)),$J8907-$M8907))</f>
      </c>
      <c r="O8907" s="43">
        <f>IF($I8907=0,0,INDEX(DarlErsatzRate,19))</f>
      </c>
      <c r="P8907" s="43">
        <f>IF($I8907=0,0,$Q8906*INDEX(DarlErsatzZins,19))</f>
      </c>
      <c r="Q8907" s="43">
        <f>IF($I8907=0,0,$Q8906+$P8907+$O8907)</f>
      </c>
      <c r="R8907" s="43">
        <f>IF($I8907=0,0,$J8907-$M8907-$N8907)</f>
      </c>
    </row>
    <row r="8908">
      <c r="A8908"/>
      <c r="B8908">
        <v>19</v>
      </c>
      <c r="C8908" s="43">
        <f>INDEX(DarlObj,19)</f>
      </c>
      <c r="D8908">
        <v>265</v>
      </c>
      <c r="E8908" s="51">
        <f>IF(INDEX(DarlBelegt,19)=0,0,EOMONTH(INDEX(DarlAuszahlung,19),264)+1)</f>
      </c>
      <c r="F8908" s="43">
        <f>IF($E8908=0,0,YEAR($E8908))</f>
      </c>
      <c r="G8908" s="43">
        <f>IF(INDEX(DarlBindung,19)="",1,IF($E8908&lt;=INDEX(DarlBindung,19),1,0))</f>
      </c>
      <c r="H8908" s="43">
        <f>IF($G8908=1,INDEX(DarlSollzins,19),INDEX(DarlAnschluss,19))</f>
      </c>
      <c r="I8908" s="43">
        <f>IF(INDEX(DarlBelegt,19)=0,0,IF(INDEX(DarlOhneTilgung,19)=1,IF(INDEX(DarlBindung,19)="",1,$G8908),IF($J8908&gt;0.005,1,0)))</f>
      </c>
      <c r="J8908" s="43">
        <f>IF($I8907=0,0,$R8907)</f>
      </c>
      <c r="K8908" s="43">
        <f>IF($I8908=0,0,IF(INDEX(DarlOhneTilgung,19)=1,0,IF(AND(INDEX(DarlTilgStart,19)&gt;0,$E8908=INDEX(DarlTilgStart,19)),$J8908*($H8908+INDEX(DarlTilgung,19))/100/12,IF(AND($G8908=0,$G8907=1),MAX($K8907,$J8908*($H8908+1)/100/12),$K8907))))</f>
      </c>
      <c r="L8908" s="43">
        <f>IF($I8908=0,0,$J8908*$H8908/100/12)</f>
      </c>
      <c r="M8908" s="43">
        <f>IF($I8908=0,0,IF(OR(INDEX(DarlOhneTilgung,19)=1,AND(INDEX(DarlTilgStart,19)&gt;0,$E8908&lt;INDEX(DarlTilgStart,19))),0,MIN(MAX(0,$K8908-$L8908),$J8908)))</f>
      </c>
      <c r="N8908" s="43">
        <f>IF($I8908=0,0,MIN(SUMIFS(SondBetrag,SondDarl,19,SondDatum,"&gt;="&amp;$E8908,SondDatum,"&lt;="&amp;EOMONTH($E8908,0)),$J8908-$M8908))</f>
      </c>
      <c r="O8908" s="43">
        <f>IF($I8908=0,0,INDEX(DarlErsatzRate,19))</f>
      </c>
      <c r="P8908" s="43">
        <f>IF($I8908=0,0,$Q8907*INDEX(DarlErsatzZins,19))</f>
      </c>
      <c r="Q8908" s="43">
        <f>IF($I8908=0,0,$Q8907+$P8908+$O8908)</f>
      </c>
      <c r="R8908" s="43">
        <f>IF($I8908=0,0,$J8908-$M8908-$N8908)</f>
      </c>
    </row>
    <row r="8909">
      <c r="A8909"/>
      <c r="B8909">
        <v>19</v>
      </c>
      <c r="C8909" s="43">
        <f>INDEX(DarlObj,19)</f>
      </c>
      <c r="D8909">
        <v>266</v>
      </c>
      <c r="E8909" s="51">
        <f>IF(INDEX(DarlBelegt,19)=0,0,EOMONTH(INDEX(DarlAuszahlung,19),265)+1)</f>
      </c>
      <c r="F8909" s="43">
        <f>IF($E8909=0,0,YEAR($E8909))</f>
      </c>
      <c r="G8909" s="43">
        <f>IF(INDEX(DarlBindung,19)="",1,IF($E8909&lt;=INDEX(DarlBindung,19),1,0))</f>
      </c>
      <c r="H8909" s="43">
        <f>IF($G8909=1,INDEX(DarlSollzins,19),INDEX(DarlAnschluss,19))</f>
      </c>
      <c r="I8909" s="43">
        <f>IF(INDEX(DarlBelegt,19)=0,0,IF(INDEX(DarlOhneTilgung,19)=1,IF(INDEX(DarlBindung,19)="",1,$G8909),IF($J8909&gt;0.005,1,0)))</f>
      </c>
      <c r="J8909" s="43">
        <f>IF($I8908=0,0,$R8908)</f>
      </c>
      <c r="K8909" s="43">
        <f>IF($I8909=0,0,IF(INDEX(DarlOhneTilgung,19)=1,0,IF(AND(INDEX(DarlTilgStart,19)&gt;0,$E8909=INDEX(DarlTilgStart,19)),$J8909*($H8909+INDEX(DarlTilgung,19))/100/12,IF(AND($G8909=0,$G8908=1),MAX($K8908,$J8909*($H8909+1)/100/12),$K8908))))</f>
      </c>
      <c r="L8909" s="43">
        <f>IF($I8909=0,0,$J8909*$H8909/100/12)</f>
      </c>
      <c r="M8909" s="43">
        <f>IF($I8909=0,0,IF(OR(INDEX(DarlOhneTilgung,19)=1,AND(INDEX(DarlTilgStart,19)&gt;0,$E8909&lt;INDEX(DarlTilgStart,19))),0,MIN(MAX(0,$K8909-$L8909),$J8909)))</f>
      </c>
      <c r="N8909" s="43">
        <f>IF($I8909=0,0,MIN(SUMIFS(SondBetrag,SondDarl,19,SondDatum,"&gt;="&amp;$E8909,SondDatum,"&lt;="&amp;EOMONTH($E8909,0)),$J8909-$M8909))</f>
      </c>
      <c r="O8909" s="43">
        <f>IF($I8909=0,0,INDEX(DarlErsatzRate,19))</f>
      </c>
      <c r="P8909" s="43">
        <f>IF($I8909=0,0,$Q8908*INDEX(DarlErsatzZins,19))</f>
      </c>
      <c r="Q8909" s="43">
        <f>IF($I8909=0,0,$Q8908+$P8909+$O8909)</f>
      </c>
      <c r="R8909" s="43">
        <f>IF($I8909=0,0,$J8909-$M8909-$N8909)</f>
      </c>
    </row>
    <row r="8910">
      <c r="A8910"/>
      <c r="B8910">
        <v>19</v>
      </c>
      <c r="C8910" s="43">
        <f>INDEX(DarlObj,19)</f>
      </c>
      <c r="D8910">
        <v>267</v>
      </c>
      <c r="E8910" s="51">
        <f>IF(INDEX(DarlBelegt,19)=0,0,EOMONTH(INDEX(DarlAuszahlung,19),266)+1)</f>
      </c>
      <c r="F8910" s="43">
        <f>IF($E8910=0,0,YEAR($E8910))</f>
      </c>
      <c r="G8910" s="43">
        <f>IF(INDEX(DarlBindung,19)="",1,IF($E8910&lt;=INDEX(DarlBindung,19),1,0))</f>
      </c>
      <c r="H8910" s="43">
        <f>IF($G8910=1,INDEX(DarlSollzins,19),INDEX(DarlAnschluss,19))</f>
      </c>
      <c r="I8910" s="43">
        <f>IF(INDEX(DarlBelegt,19)=0,0,IF(INDEX(DarlOhneTilgung,19)=1,IF(INDEX(DarlBindung,19)="",1,$G8910),IF($J8910&gt;0.005,1,0)))</f>
      </c>
      <c r="J8910" s="43">
        <f>IF($I8909=0,0,$R8909)</f>
      </c>
      <c r="K8910" s="43">
        <f>IF($I8910=0,0,IF(INDEX(DarlOhneTilgung,19)=1,0,IF(AND(INDEX(DarlTilgStart,19)&gt;0,$E8910=INDEX(DarlTilgStart,19)),$J8910*($H8910+INDEX(DarlTilgung,19))/100/12,IF(AND($G8910=0,$G8909=1),MAX($K8909,$J8910*($H8910+1)/100/12),$K8909))))</f>
      </c>
      <c r="L8910" s="43">
        <f>IF($I8910=0,0,$J8910*$H8910/100/12)</f>
      </c>
      <c r="M8910" s="43">
        <f>IF($I8910=0,0,IF(OR(INDEX(DarlOhneTilgung,19)=1,AND(INDEX(DarlTilgStart,19)&gt;0,$E8910&lt;INDEX(DarlTilgStart,19))),0,MIN(MAX(0,$K8910-$L8910),$J8910)))</f>
      </c>
      <c r="N8910" s="43">
        <f>IF($I8910=0,0,MIN(SUMIFS(SondBetrag,SondDarl,19,SondDatum,"&gt;="&amp;$E8910,SondDatum,"&lt;="&amp;EOMONTH($E8910,0)),$J8910-$M8910))</f>
      </c>
      <c r="O8910" s="43">
        <f>IF($I8910=0,0,INDEX(DarlErsatzRate,19))</f>
      </c>
      <c r="P8910" s="43">
        <f>IF($I8910=0,0,$Q8909*INDEX(DarlErsatzZins,19))</f>
      </c>
      <c r="Q8910" s="43">
        <f>IF($I8910=0,0,$Q8909+$P8910+$O8910)</f>
      </c>
      <c r="R8910" s="43">
        <f>IF($I8910=0,0,$J8910-$M8910-$N8910)</f>
      </c>
    </row>
    <row r="8911">
      <c r="A8911"/>
      <c r="B8911">
        <v>19</v>
      </c>
      <c r="C8911" s="43">
        <f>INDEX(DarlObj,19)</f>
      </c>
      <c r="D8911">
        <v>268</v>
      </c>
      <c r="E8911" s="51">
        <f>IF(INDEX(DarlBelegt,19)=0,0,EOMONTH(INDEX(DarlAuszahlung,19),267)+1)</f>
      </c>
      <c r="F8911" s="43">
        <f>IF($E8911=0,0,YEAR($E8911))</f>
      </c>
      <c r="G8911" s="43">
        <f>IF(INDEX(DarlBindung,19)="",1,IF($E8911&lt;=INDEX(DarlBindung,19),1,0))</f>
      </c>
      <c r="H8911" s="43">
        <f>IF($G8911=1,INDEX(DarlSollzins,19),INDEX(DarlAnschluss,19))</f>
      </c>
      <c r="I8911" s="43">
        <f>IF(INDEX(DarlBelegt,19)=0,0,IF(INDEX(DarlOhneTilgung,19)=1,IF(INDEX(DarlBindung,19)="",1,$G8911),IF($J8911&gt;0.005,1,0)))</f>
      </c>
      <c r="J8911" s="43">
        <f>IF($I8910=0,0,$R8910)</f>
      </c>
      <c r="K8911" s="43">
        <f>IF($I8911=0,0,IF(INDEX(DarlOhneTilgung,19)=1,0,IF(AND(INDEX(DarlTilgStart,19)&gt;0,$E8911=INDEX(DarlTilgStart,19)),$J8911*($H8911+INDEX(DarlTilgung,19))/100/12,IF(AND($G8911=0,$G8910=1),MAX($K8910,$J8911*($H8911+1)/100/12),$K8910))))</f>
      </c>
      <c r="L8911" s="43">
        <f>IF($I8911=0,0,$J8911*$H8911/100/12)</f>
      </c>
      <c r="M8911" s="43">
        <f>IF($I8911=0,0,IF(OR(INDEX(DarlOhneTilgung,19)=1,AND(INDEX(DarlTilgStart,19)&gt;0,$E8911&lt;INDEX(DarlTilgStart,19))),0,MIN(MAX(0,$K8911-$L8911),$J8911)))</f>
      </c>
      <c r="N8911" s="43">
        <f>IF($I8911=0,0,MIN(SUMIFS(SondBetrag,SondDarl,19,SondDatum,"&gt;="&amp;$E8911,SondDatum,"&lt;="&amp;EOMONTH($E8911,0)),$J8911-$M8911))</f>
      </c>
      <c r="O8911" s="43">
        <f>IF($I8911=0,0,INDEX(DarlErsatzRate,19))</f>
      </c>
      <c r="P8911" s="43">
        <f>IF($I8911=0,0,$Q8910*INDEX(DarlErsatzZins,19))</f>
      </c>
      <c r="Q8911" s="43">
        <f>IF($I8911=0,0,$Q8910+$P8911+$O8911)</f>
      </c>
      <c r="R8911" s="43">
        <f>IF($I8911=0,0,$J8911-$M8911-$N8911)</f>
      </c>
    </row>
    <row r="8912">
      <c r="A8912"/>
      <c r="B8912">
        <v>19</v>
      </c>
      <c r="C8912" s="43">
        <f>INDEX(DarlObj,19)</f>
      </c>
      <c r="D8912">
        <v>269</v>
      </c>
      <c r="E8912" s="51">
        <f>IF(INDEX(DarlBelegt,19)=0,0,EOMONTH(INDEX(DarlAuszahlung,19),268)+1)</f>
      </c>
      <c r="F8912" s="43">
        <f>IF($E8912=0,0,YEAR($E8912))</f>
      </c>
      <c r="G8912" s="43">
        <f>IF(INDEX(DarlBindung,19)="",1,IF($E8912&lt;=INDEX(DarlBindung,19),1,0))</f>
      </c>
      <c r="H8912" s="43">
        <f>IF($G8912=1,INDEX(DarlSollzins,19),INDEX(DarlAnschluss,19))</f>
      </c>
      <c r="I8912" s="43">
        <f>IF(INDEX(DarlBelegt,19)=0,0,IF(INDEX(DarlOhneTilgung,19)=1,IF(INDEX(DarlBindung,19)="",1,$G8912),IF($J8912&gt;0.005,1,0)))</f>
      </c>
      <c r="J8912" s="43">
        <f>IF($I8911=0,0,$R8911)</f>
      </c>
      <c r="K8912" s="43">
        <f>IF($I8912=0,0,IF(INDEX(DarlOhneTilgung,19)=1,0,IF(AND(INDEX(DarlTilgStart,19)&gt;0,$E8912=INDEX(DarlTilgStart,19)),$J8912*($H8912+INDEX(DarlTilgung,19))/100/12,IF(AND($G8912=0,$G8911=1),MAX($K8911,$J8912*($H8912+1)/100/12),$K8911))))</f>
      </c>
      <c r="L8912" s="43">
        <f>IF($I8912=0,0,$J8912*$H8912/100/12)</f>
      </c>
      <c r="M8912" s="43">
        <f>IF($I8912=0,0,IF(OR(INDEX(DarlOhneTilgung,19)=1,AND(INDEX(DarlTilgStart,19)&gt;0,$E8912&lt;INDEX(DarlTilgStart,19))),0,MIN(MAX(0,$K8912-$L8912),$J8912)))</f>
      </c>
      <c r="N8912" s="43">
        <f>IF($I8912=0,0,MIN(SUMIFS(SondBetrag,SondDarl,19,SondDatum,"&gt;="&amp;$E8912,SondDatum,"&lt;="&amp;EOMONTH($E8912,0)),$J8912-$M8912))</f>
      </c>
      <c r="O8912" s="43">
        <f>IF($I8912=0,0,INDEX(DarlErsatzRate,19))</f>
      </c>
      <c r="P8912" s="43">
        <f>IF($I8912=0,0,$Q8911*INDEX(DarlErsatzZins,19))</f>
      </c>
      <c r="Q8912" s="43">
        <f>IF($I8912=0,0,$Q8911+$P8912+$O8912)</f>
      </c>
      <c r="R8912" s="43">
        <f>IF($I8912=0,0,$J8912-$M8912-$N8912)</f>
      </c>
    </row>
    <row r="8913">
      <c r="A8913"/>
      <c r="B8913">
        <v>19</v>
      </c>
      <c r="C8913" s="43">
        <f>INDEX(DarlObj,19)</f>
      </c>
      <c r="D8913">
        <v>270</v>
      </c>
      <c r="E8913" s="51">
        <f>IF(INDEX(DarlBelegt,19)=0,0,EOMONTH(INDEX(DarlAuszahlung,19),269)+1)</f>
      </c>
      <c r="F8913" s="43">
        <f>IF($E8913=0,0,YEAR($E8913))</f>
      </c>
      <c r="G8913" s="43">
        <f>IF(INDEX(DarlBindung,19)="",1,IF($E8913&lt;=INDEX(DarlBindung,19),1,0))</f>
      </c>
      <c r="H8913" s="43">
        <f>IF($G8913=1,INDEX(DarlSollzins,19),INDEX(DarlAnschluss,19))</f>
      </c>
      <c r="I8913" s="43">
        <f>IF(INDEX(DarlBelegt,19)=0,0,IF(INDEX(DarlOhneTilgung,19)=1,IF(INDEX(DarlBindung,19)="",1,$G8913),IF($J8913&gt;0.005,1,0)))</f>
      </c>
      <c r="J8913" s="43">
        <f>IF($I8912=0,0,$R8912)</f>
      </c>
      <c r="K8913" s="43">
        <f>IF($I8913=0,0,IF(INDEX(DarlOhneTilgung,19)=1,0,IF(AND(INDEX(DarlTilgStart,19)&gt;0,$E8913=INDEX(DarlTilgStart,19)),$J8913*($H8913+INDEX(DarlTilgung,19))/100/12,IF(AND($G8913=0,$G8912=1),MAX($K8912,$J8913*($H8913+1)/100/12),$K8912))))</f>
      </c>
      <c r="L8913" s="43">
        <f>IF($I8913=0,0,$J8913*$H8913/100/12)</f>
      </c>
      <c r="M8913" s="43">
        <f>IF($I8913=0,0,IF(OR(INDEX(DarlOhneTilgung,19)=1,AND(INDEX(DarlTilgStart,19)&gt;0,$E8913&lt;INDEX(DarlTilgStart,19))),0,MIN(MAX(0,$K8913-$L8913),$J8913)))</f>
      </c>
      <c r="N8913" s="43">
        <f>IF($I8913=0,0,MIN(SUMIFS(SondBetrag,SondDarl,19,SondDatum,"&gt;="&amp;$E8913,SondDatum,"&lt;="&amp;EOMONTH($E8913,0)),$J8913-$M8913))</f>
      </c>
      <c r="O8913" s="43">
        <f>IF($I8913=0,0,INDEX(DarlErsatzRate,19))</f>
      </c>
      <c r="P8913" s="43">
        <f>IF($I8913=0,0,$Q8912*INDEX(DarlErsatzZins,19))</f>
      </c>
      <c r="Q8913" s="43">
        <f>IF($I8913=0,0,$Q8912+$P8913+$O8913)</f>
      </c>
      <c r="R8913" s="43">
        <f>IF($I8913=0,0,$J8913-$M8913-$N8913)</f>
      </c>
    </row>
    <row r="8914">
      <c r="A8914"/>
      <c r="B8914">
        <v>19</v>
      </c>
      <c r="C8914" s="43">
        <f>INDEX(DarlObj,19)</f>
      </c>
      <c r="D8914">
        <v>271</v>
      </c>
      <c r="E8914" s="51">
        <f>IF(INDEX(DarlBelegt,19)=0,0,EOMONTH(INDEX(DarlAuszahlung,19),270)+1)</f>
      </c>
      <c r="F8914" s="43">
        <f>IF($E8914=0,0,YEAR($E8914))</f>
      </c>
      <c r="G8914" s="43">
        <f>IF(INDEX(DarlBindung,19)="",1,IF($E8914&lt;=INDEX(DarlBindung,19),1,0))</f>
      </c>
      <c r="H8914" s="43">
        <f>IF($G8914=1,INDEX(DarlSollzins,19),INDEX(DarlAnschluss,19))</f>
      </c>
      <c r="I8914" s="43">
        <f>IF(INDEX(DarlBelegt,19)=0,0,IF(INDEX(DarlOhneTilgung,19)=1,IF(INDEX(DarlBindung,19)="",1,$G8914),IF($J8914&gt;0.005,1,0)))</f>
      </c>
      <c r="J8914" s="43">
        <f>IF($I8913=0,0,$R8913)</f>
      </c>
      <c r="K8914" s="43">
        <f>IF($I8914=0,0,IF(INDEX(DarlOhneTilgung,19)=1,0,IF(AND(INDEX(DarlTilgStart,19)&gt;0,$E8914=INDEX(DarlTilgStart,19)),$J8914*($H8914+INDEX(DarlTilgung,19))/100/12,IF(AND($G8914=0,$G8913=1),MAX($K8913,$J8914*($H8914+1)/100/12),$K8913))))</f>
      </c>
      <c r="L8914" s="43">
        <f>IF($I8914=0,0,$J8914*$H8914/100/12)</f>
      </c>
      <c r="M8914" s="43">
        <f>IF($I8914=0,0,IF(OR(INDEX(DarlOhneTilgung,19)=1,AND(INDEX(DarlTilgStart,19)&gt;0,$E8914&lt;INDEX(DarlTilgStart,19))),0,MIN(MAX(0,$K8914-$L8914),$J8914)))</f>
      </c>
      <c r="N8914" s="43">
        <f>IF($I8914=0,0,MIN(SUMIFS(SondBetrag,SondDarl,19,SondDatum,"&gt;="&amp;$E8914,SondDatum,"&lt;="&amp;EOMONTH($E8914,0)),$J8914-$M8914))</f>
      </c>
      <c r="O8914" s="43">
        <f>IF($I8914=0,0,INDEX(DarlErsatzRate,19))</f>
      </c>
      <c r="P8914" s="43">
        <f>IF($I8914=0,0,$Q8913*INDEX(DarlErsatzZins,19))</f>
      </c>
      <c r="Q8914" s="43">
        <f>IF($I8914=0,0,$Q8913+$P8914+$O8914)</f>
      </c>
      <c r="R8914" s="43">
        <f>IF($I8914=0,0,$J8914-$M8914-$N8914)</f>
      </c>
    </row>
    <row r="8915">
      <c r="A8915"/>
      <c r="B8915">
        <v>19</v>
      </c>
      <c r="C8915" s="43">
        <f>INDEX(DarlObj,19)</f>
      </c>
      <c r="D8915">
        <v>272</v>
      </c>
      <c r="E8915" s="51">
        <f>IF(INDEX(DarlBelegt,19)=0,0,EOMONTH(INDEX(DarlAuszahlung,19),271)+1)</f>
      </c>
      <c r="F8915" s="43">
        <f>IF($E8915=0,0,YEAR($E8915))</f>
      </c>
      <c r="G8915" s="43">
        <f>IF(INDEX(DarlBindung,19)="",1,IF($E8915&lt;=INDEX(DarlBindung,19),1,0))</f>
      </c>
      <c r="H8915" s="43">
        <f>IF($G8915=1,INDEX(DarlSollzins,19),INDEX(DarlAnschluss,19))</f>
      </c>
      <c r="I8915" s="43">
        <f>IF(INDEX(DarlBelegt,19)=0,0,IF(INDEX(DarlOhneTilgung,19)=1,IF(INDEX(DarlBindung,19)="",1,$G8915),IF($J8915&gt;0.005,1,0)))</f>
      </c>
      <c r="J8915" s="43">
        <f>IF($I8914=0,0,$R8914)</f>
      </c>
      <c r="K8915" s="43">
        <f>IF($I8915=0,0,IF(INDEX(DarlOhneTilgung,19)=1,0,IF(AND(INDEX(DarlTilgStart,19)&gt;0,$E8915=INDEX(DarlTilgStart,19)),$J8915*($H8915+INDEX(DarlTilgung,19))/100/12,IF(AND($G8915=0,$G8914=1),MAX($K8914,$J8915*($H8915+1)/100/12),$K8914))))</f>
      </c>
      <c r="L8915" s="43">
        <f>IF($I8915=0,0,$J8915*$H8915/100/12)</f>
      </c>
      <c r="M8915" s="43">
        <f>IF($I8915=0,0,IF(OR(INDEX(DarlOhneTilgung,19)=1,AND(INDEX(DarlTilgStart,19)&gt;0,$E8915&lt;INDEX(DarlTilgStart,19))),0,MIN(MAX(0,$K8915-$L8915),$J8915)))</f>
      </c>
      <c r="N8915" s="43">
        <f>IF($I8915=0,0,MIN(SUMIFS(SondBetrag,SondDarl,19,SondDatum,"&gt;="&amp;$E8915,SondDatum,"&lt;="&amp;EOMONTH($E8915,0)),$J8915-$M8915))</f>
      </c>
      <c r="O8915" s="43">
        <f>IF($I8915=0,0,INDEX(DarlErsatzRate,19))</f>
      </c>
      <c r="P8915" s="43">
        <f>IF($I8915=0,0,$Q8914*INDEX(DarlErsatzZins,19))</f>
      </c>
      <c r="Q8915" s="43">
        <f>IF($I8915=0,0,$Q8914+$P8915+$O8915)</f>
      </c>
      <c r="R8915" s="43">
        <f>IF($I8915=0,0,$J8915-$M8915-$N8915)</f>
      </c>
    </row>
    <row r="8916">
      <c r="A8916"/>
      <c r="B8916">
        <v>19</v>
      </c>
      <c r="C8916" s="43">
        <f>INDEX(DarlObj,19)</f>
      </c>
      <c r="D8916">
        <v>273</v>
      </c>
      <c r="E8916" s="51">
        <f>IF(INDEX(DarlBelegt,19)=0,0,EOMONTH(INDEX(DarlAuszahlung,19),272)+1)</f>
      </c>
      <c r="F8916" s="43">
        <f>IF($E8916=0,0,YEAR($E8916))</f>
      </c>
      <c r="G8916" s="43">
        <f>IF(INDEX(DarlBindung,19)="",1,IF($E8916&lt;=INDEX(DarlBindung,19),1,0))</f>
      </c>
      <c r="H8916" s="43">
        <f>IF($G8916=1,INDEX(DarlSollzins,19),INDEX(DarlAnschluss,19))</f>
      </c>
      <c r="I8916" s="43">
        <f>IF(INDEX(DarlBelegt,19)=0,0,IF(INDEX(DarlOhneTilgung,19)=1,IF(INDEX(DarlBindung,19)="",1,$G8916),IF($J8916&gt;0.005,1,0)))</f>
      </c>
      <c r="J8916" s="43">
        <f>IF($I8915=0,0,$R8915)</f>
      </c>
      <c r="K8916" s="43">
        <f>IF($I8916=0,0,IF(INDEX(DarlOhneTilgung,19)=1,0,IF(AND(INDEX(DarlTilgStart,19)&gt;0,$E8916=INDEX(DarlTilgStart,19)),$J8916*($H8916+INDEX(DarlTilgung,19))/100/12,IF(AND($G8916=0,$G8915=1),MAX($K8915,$J8916*($H8916+1)/100/12),$K8915))))</f>
      </c>
      <c r="L8916" s="43">
        <f>IF($I8916=0,0,$J8916*$H8916/100/12)</f>
      </c>
      <c r="M8916" s="43">
        <f>IF($I8916=0,0,IF(OR(INDEX(DarlOhneTilgung,19)=1,AND(INDEX(DarlTilgStart,19)&gt;0,$E8916&lt;INDEX(DarlTilgStart,19))),0,MIN(MAX(0,$K8916-$L8916),$J8916)))</f>
      </c>
      <c r="N8916" s="43">
        <f>IF($I8916=0,0,MIN(SUMIFS(SondBetrag,SondDarl,19,SondDatum,"&gt;="&amp;$E8916,SondDatum,"&lt;="&amp;EOMONTH($E8916,0)),$J8916-$M8916))</f>
      </c>
      <c r="O8916" s="43">
        <f>IF($I8916=0,0,INDEX(DarlErsatzRate,19))</f>
      </c>
      <c r="P8916" s="43">
        <f>IF($I8916=0,0,$Q8915*INDEX(DarlErsatzZins,19))</f>
      </c>
      <c r="Q8916" s="43">
        <f>IF($I8916=0,0,$Q8915+$P8916+$O8916)</f>
      </c>
      <c r="R8916" s="43">
        <f>IF($I8916=0,0,$J8916-$M8916-$N8916)</f>
      </c>
    </row>
    <row r="8917">
      <c r="A8917"/>
      <c r="B8917">
        <v>19</v>
      </c>
      <c r="C8917" s="43">
        <f>INDEX(DarlObj,19)</f>
      </c>
      <c r="D8917">
        <v>274</v>
      </c>
      <c r="E8917" s="51">
        <f>IF(INDEX(DarlBelegt,19)=0,0,EOMONTH(INDEX(DarlAuszahlung,19),273)+1)</f>
      </c>
      <c r="F8917" s="43">
        <f>IF($E8917=0,0,YEAR($E8917))</f>
      </c>
      <c r="G8917" s="43">
        <f>IF(INDEX(DarlBindung,19)="",1,IF($E8917&lt;=INDEX(DarlBindung,19),1,0))</f>
      </c>
      <c r="H8917" s="43">
        <f>IF($G8917=1,INDEX(DarlSollzins,19),INDEX(DarlAnschluss,19))</f>
      </c>
      <c r="I8917" s="43">
        <f>IF(INDEX(DarlBelegt,19)=0,0,IF(INDEX(DarlOhneTilgung,19)=1,IF(INDEX(DarlBindung,19)="",1,$G8917),IF($J8917&gt;0.005,1,0)))</f>
      </c>
      <c r="J8917" s="43">
        <f>IF($I8916=0,0,$R8916)</f>
      </c>
      <c r="K8917" s="43">
        <f>IF($I8917=0,0,IF(INDEX(DarlOhneTilgung,19)=1,0,IF(AND(INDEX(DarlTilgStart,19)&gt;0,$E8917=INDEX(DarlTilgStart,19)),$J8917*($H8917+INDEX(DarlTilgung,19))/100/12,IF(AND($G8917=0,$G8916=1),MAX($K8916,$J8917*($H8917+1)/100/12),$K8916))))</f>
      </c>
      <c r="L8917" s="43">
        <f>IF($I8917=0,0,$J8917*$H8917/100/12)</f>
      </c>
      <c r="M8917" s="43">
        <f>IF($I8917=0,0,IF(OR(INDEX(DarlOhneTilgung,19)=1,AND(INDEX(DarlTilgStart,19)&gt;0,$E8917&lt;INDEX(DarlTilgStart,19))),0,MIN(MAX(0,$K8917-$L8917),$J8917)))</f>
      </c>
      <c r="N8917" s="43">
        <f>IF($I8917=0,0,MIN(SUMIFS(SondBetrag,SondDarl,19,SondDatum,"&gt;="&amp;$E8917,SondDatum,"&lt;="&amp;EOMONTH($E8917,0)),$J8917-$M8917))</f>
      </c>
      <c r="O8917" s="43">
        <f>IF($I8917=0,0,INDEX(DarlErsatzRate,19))</f>
      </c>
      <c r="P8917" s="43">
        <f>IF($I8917=0,0,$Q8916*INDEX(DarlErsatzZins,19))</f>
      </c>
      <c r="Q8917" s="43">
        <f>IF($I8917=0,0,$Q8916+$P8917+$O8917)</f>
      </c>
      <c r="R8917" s="43">
        <f>IF($I8917=0,0,$J8917-$M8917-$N8917)</f>
      </c>
    </row>
    <row r="8918">
      <c r="A8918"/>
      <c r="B8918">
        <v>19</v>
      </c>
      <c r="C8918" s="43">
        <f>INDEX(DarlObj,19)</f>
      </c>
      <c r="D8918">
        <v>275</v>
      </c>
      <c r="E8918" s="51">
        <f>IF(INDEX(DarlBelegt,19)=0,0,EOMONTH(INDEX(DarlAuszahlung,19),274)+1)</f>
      </c>
      <c r="F8918" s="43">
        <f>IF($E8918=0,0,YEAR($E8918))</f>
      </c>
      <c r="G8918" s="43">
        <f>IF(INDEX(DarlBindung,19)="",1,IF($E8918&lt;=INDEX(DarlBindung,19),1,0))</f>
      </c>
      <c r="H8918" s="43">
        <f>IF($G8918=1,INDEX(DarlSollzins,19),INDEX(DarlAnschluss,19))</f>
      </c>
      <c r="I8918" s="43">
        <f>IF(INDEX(DarlBelegt,19)=0,0,IF(INDEX(DarlOhneTilgung,19)=1,IF(INDEX(DarlBindung,19)="",1,$G8918),IF($J8918&gt;0.005,1,0)))</f>
      </c>
      <c r="J8918" s="43">
        <f>IF($I8917=0,0,$R8917)</f>
      </c>
      <c r="K8918" s="43">
        <f>IF($I8918=0,0,IF(INDEX(DarlOhneTilgung,19)=1,0,IF(AND(INDEX(DarlTilgStart,19)&gt;0,$E8918=INDEX(DarlTilgStart,19)),$J8918*($H8918+INDEX(DarlTilgung,19))/100/12,IF(AND($G8918=0,$G8917=1),MAX($K8917,$J8918*($H8918+1)/100/12),$K8917))))</f>
      </c>
      <c r="L8918" s="43">
        <f>IF($I8918=0,0,$J8918*$H8918/100/12)</f>
      </c>
      <c r="M8918" s="43">
        <f>IF($I8918=0,0,IF(OR(INDEX(DarlOhneTilgung,19)=1,AND(INDEX(DarlTilgStart,19)&gt;0,$E8918&lt;INDEX(DarlTilgStart,19))),0,MIN(MAX(0,$K8918-$L8918),$J8918)))</f>
      </c>
      <c r="N8918" s="43">
        <f>IF($I8918=0,0,MIN(SUMIFS(SondBetrag,SondDarl,19,SondDatum,"&gt;="&amp;$E8918,SondDatum,"&lt;="&amp;EOMONTH($E8918,0)),$J8918-$M8918))</f>
      </c>
      <c r="O8918" s="43">
        <f>IF($I8918=0,0,INDEX(DarlErsatzRate,19))</f>
      </c>
      <c r="P8918" s="43">
        <f>IF($I8918=0,0,$Q8917*INDEX(DarlErsatzZins,19))</f>
      </c>
      <c r="Q8918" s="43">
        <f>IF($I8918=0,0,$Q8917+$P8918+$O8918)</f>
      </c>
      <c r="R8918" s="43">
        <f>IF($I8918=0,0,$J8918-$M8918-$N8918)</f>
      </c>
    </row>
    <row r="8919">
      <c r="A8919"/>
      <c r="B8919">
        <v>19</v>
      </c>
      <c r="C8919" s="43">
        <f>INDEX(DarlObj,19)</f>
      </c>
      <c r="D8919">
        <v>276</v>
      </c>
      <c r="E8919" s="51">
        <f>IF(INDEX(DarlBelegt,19)=0,0,EOMONTH(INDEX(DarlAuszahlung,19),275)+1)</f>
      </c>
      <c r="F8919" s="43">
        <f>IF($E8919=0,0,YEAR($E8919))</f>
      </c>
      <c r="G8919" s="43">
        <f>IF(INDEX(DarlBindung,19)="",1,IF($E8919&lt;=INDEX(DarlBindung,19),1,0))</f>
      </c>
      <c r="H8919" s="43">
        <f>IF($G8919=1,INDEX(DarlSollzins,19),INDEX(DarlAnschluss,19))</f>
      </c>
      <c r="I8919" s="43">
        <f>IF(INDEX(DarlBelegt,19)=0,0,IF(INDEX(DarlOhneTilgung,19)=1,IF(INDEX(DarlBindung,19)="",1,$G8919),IF($J8919&gt;0.005,1,0)))</f>
      </c>
      <c r="J8919" s="43">
        <f>IF($I8918=0,0,$R8918)</f>
      </c>
      <c r="K8919" s="43">
        <f>IF($I8919=0,0,IF(INDEX(DarlOhneTilgung,19)=1,0,IF(AND(INDEX(DarlTilgStart,19)&gt;0,$E8919=INDEX(DarlTilgStart,19)),$J8919*($H8919+INDEX(DarlTilgung,19))/100/12,IF(AND($G8919=0,$G8918=1),MAX($K8918,$J8919*($H8919+1)/100/12),$K8918))))</f>
      </c>
      <c r="L8919" s="43">
        <f>IF($I8919=0,0,$J8919*$H8919/100/12)</f>
      </c>
      <c r="M8919" s="43">
        <f>IF($I8919=0,0,IF(OR(INDEX(DarlOhneTilgung,19)=1,AND(INDEX(DarlTilgStart,19)&gt;0,$E8919&lt;INDEX(DarlTilgStart,19))),0,MIN(MAX(0,$K8919-$L8919),$J8919)))</f>
      </c>
      <c r="N8919" s="43">
        <f>IF($I8919=0,0,MIN(SUMIFS(SondBetrag,SondDarl,19,SondDatum,"&gt;="&amp;$E8919,SondDatum,"&lt;="&amp;EOMONTH($E8919,0)),$J8919-$M8919))</f>
      </c>
      <c r="O8919" s="43">
        <f>IF($I8919=0,0,INDEX(DarlErsatzRate,19))</f>
      </c>
      <c r="P8919" s="43">
        <f>IF($I8919=0,0,$Q8918*INDEX(DarlErsatzZins,19))</f>
      </c>
      <c r="Q8919" s="43">
        <f>IF($I8919=0,0,$Q8918+$P8919+$O8919)</f>
      </c>
      <c r="R8919" s="43">
        <f>IF($I8919=0,0,$J8919-$M8919-$N8919)</f>
      </c>
    </row>
    <row r="8920">
      <c r="A8920"/>
      <c r="B8920">
        <v>19</v>
      </c>
      <c r="C8920" s="43">
        <f>INDEX(DarlObj,19)</f>
      </c>
      <c r="D8920">
        <v>277</v>
      </c>
      <c r="E8920" s="51">
        <f>IF(INDEX(DarlBelegt,19)=0,0,EOMONTH(INDEX(DarlAuszahlung,19),276)+1)</f>
      </c>
      <c r="F8920" s="43">
        <f>IF($E8920=0,0,YEAR($E8920))</f>
      </c>
      <c r="G8920" s="43">
        <f>IF(INDEX(DarlBindung,19)="",1,IF($E8920&lt;=INDEX(DarlBindung,19),1,0))</f>
      </c>
      <c r="H8920" s="43">
        <f>IF($G8920=1,INDEX(DarlSollzins,19),INDEX(DarlAnschluss,19))</f>
      </c>
      <c r="I8920" s="43">
        <f>IF(INDEX(DarlBelegt,19)=0,0,IF(INDEX(DarlOhneTilgung,19)=1,IF(INDEX(DarlBindung,19)="",1,$G8920),IF($J8920&gt;0.005,1,0)))</f>
      </c>
      <c r="J8920" s="43">
        <f>IF($I8919=0,0,$R8919)</f>
      </c>
      <c r="K8920" s="43">
        <f>IF($I8920=0,0,IF(INDEX(DarlOhneTilgung,19)=1,0,IF(AND(INDEX(DarlTilgStart,19)&gt;0,$E8920=INDEX(DarlTilgStart,19)),$J8920*($H8920+INDEX(DarlTilgung,19))/100/12,IF(AND($G8920=0,$G8919=1),MAX($K8919,$J8920*($H8920+1)/100/12),$K8919))))</f>
      </c>
      <c r="L8920" s="43">
        <f>IF($I8920=0,0,$J8920*$H8920/100/12)</f>
      </c>
      <c r="M8920" s="43">
        <f>IF($I8920=0,0,IF(OR(INDEX(DarlOhneTilgung,19)=1,AND(INDEX(DarlTilgStart,19)&gt;0,$E8920&lt;INDEX(DarlTilgStart,19))),0,MIN(MAX(0,$K8920-$L8920),$J8920)))</f>
      </c>
      <c r="N8920" s="43">
        <f>IF($I8920=0,0,MIN(SUMIFS(SondBetrag,SondDarl,19,SondDatum,"&gt;="&amp;$E8920,SondDatum,"&lt;="&amp;EOMONTH($E8920,0)),$J8920-$M8920))</f>
      </c>
      <c r="O8920" s="43">
        <f>IF($I8920=0,0,INDEX(DarlErsatzRate,19))</f>
      </c>
      <c r="P8920" s="43">
        <f>IF($I8920=0,0,$Q8919*INDEX(DarlErsatzZins,19))</f>
      </c>
      <c r="Q8920" s="43">
        <f>IF($I8920=0,0,$Q8919+$P8920+$O8920)</f>
      </c>
      <c r="R8920" s="43">
        <f>IF($I8920=0,0,$J8920-$M8920-$N8920)</f>
      </c>
    </row>
    <row r="8921">
      <c r="A8921"/>
      <c r="B8921">
        <v>19</v>
      </c>
      <c r="C8921" s="43">
        <f>INDEX(DarlObj,19)</f>
      </c>
      <c r="D8921">
        <v>278</v>
      </c>
      <c r="E8921" s="51">
        <f>IF(INDEX(DarlBelegt,19)=0,0,EOMONTH(INDEX(DarlAuszahlung,19),277)+1)</f>
      </c>
      <c r="F8921" s="43">
        <f>IF($E8921=0,0,YEAR($E8921))</f>
      </c>
      <c r="G8921" s="43">
        <f>IF(INDEX(DarlBindung,19)="",1,IF($E8921&lt;=INDEX(DarlBindung,19),1,0))</f>
      </c>
      <c r="H8921" s="43">
        <f>IF($G8921=1,INDEX(DarlSollzins,19),INDEX(DarlAnschluss,19))</f>
      </c>
      <c r="I8921" s="43">
        <f>IF(INDEX(DarlBelegt,19)=0,0,IF(INDEX(DarlOhneTilgung,19)=1,IF(INDEX(DarlBindung,19)="",1,$G8921),IF($J8921&gt;0.005,1,0)))</f>
      </c>
      <c r="J8921" s="43">
        <f>IF($I8920=0,0,$R8920)</f>
      </c>
      <c r="K8921" s="43">
        <f>IF($I8921=0,0,IF(INDEX(DarlOhneTilgung,19)=1,0,IF(AND(INDEX(DarlTilgStart,19)&gt;0,$E8921=INDEX(DarlTilgStart,19)),$J8921*($H8921+INDEX(DarlTilgung,19))/100/12,IF(AND($G8921=0,$G8920=1),MAX($K8920,$J8921*($H8921+1)/100/12),$K8920))))</f>
      </c>
      <c r="L8921" s="43">
        <f>IF($I8921=0,0,$J8921*$H8921/100/12)</f>
      </c>
      <c r="M8921" s="43">
        <f>IF($I8921=0,0,IF(OR(INDEX(DarlOhneTilgung,19)=1,AND(INDEX(DarlTilgStart,19)&gt;0,$E8921&lt;INDEX(DarlTilgStart,19))),0,MIN(MAX(0,$K8921-$L8921),$J8921)))</f>
      </c>
      <c r="N8921" s="43">
        <f>IF($I8921=0,0,MIN(SUMIFS(SondBetrag,SondDarl,19,SondDatum,"&gt;="&amp;$E8921,SondDatum,"&lt;="&amp;EOMONTH($E8921,0)),$J8921-$M8921))</f>
      </c>
      <c r="O8921" s="43">
        <f>IF($I8921=0,0,INDEX(DarlErsatzRate,19))</f>
      </c>
      <c r="P8921" s="43">
        <f>IF($I8921=0,0,$Q8920*INDEX(DarlErsatzZins,19))</f>
      </c>
      <c r="Q8921" s="43">
        <f>IF($I8921=0,0,$Q8920+$P8921+$O8921)</f>
      </c>
      <c r="R8921" s="43">
        <f>IF($I8921=0,0,$J8921-$M8921-$N8921)</f>
      </c>
    </row>
    <row r="8922">
      <c r="A8922"/>
      <c r="B8922">
        <v>19</v>
      </c>
      <c r="C8922" s="43">
        <f>INDEX(DarlObj,19)</f>
      </c>
      <c r="D8922">
        <v>279</v>
      </c>
      <c r="E8922" s="51">
        <f>IF(INDEX(DarlBelegt,19)=0,0,EOMONTH(INDEX(DarlAuszahlung,19),278)+1)</f>
      </c>
      <c r="F8922" s="43">
        <f>IF($E8922=0,0,YEAR($E8922))</f>
      </c>
      <c r="G8922" s="43">
        <f>IF(INDEX(DarlBindung,19)="",1,IF($E8922&lt;=INDEX(DarlBindung,19),1,0))</f>
      </c>
      <c r="H8922" s="43">
        <f>IF($G8922=1,INDEX(DarlSollzins,19),INDEX(DarlAnschluss,19))</f>
      </c>
      <c r="I8922" s="43">
        <f>IF(INDEX(DarlBelegt,19)=0,0,IF(INDEX(DarlOhneTilgung,19)=1,IF(INDEX(DarlBindung,19)="",1,$G8922),IF($J8922&gt;0.005,1,0)))</f>
      </c>
      <c r="J8922" s="43">
        <f>IF($I8921=0,0,$R8921)</f>
      </c>
      <c r="K8922" s="43">
        <f>IF($I8922=0,0,IF(INDEX(DarlOhneTilgung,19)=1,0,IF(AND(INDEX(DarlTilgStart,19)&gt;0,$E8922=INDEX(DarlTilgStart,19)),$J8922*($H8922+INDEX(DarlTilgung,19))/100/12,IF(AND($G8922=0,$G8921=1),MAX($K8921,$J8922*($H8922+1)/100/12),$K8921))))</f>
      </c>
      <c r="L8922" s="43">
        <f>IF($I8922=0,0,$J8922*$H8922/100/12)</f>
      </c>
      <c r="M8922" s="43">
        <f>IF($I8922=0,0,IF(OR(INDEX(DarlOhneTilgung,19)=1,AND(INDEX(DarlTilgStart,19)&gt;0,$E8922&lt;INDEX(DarlTilgStart,19))),0,MIN(MAX(0,$K8922-$L8922),$J8922)))</f>
      </c>
      <c r="N8922" s="43">
        <f>IF($I8922=0,0,MIN(SUMIFS(SondBetrag,SondDarl,19,SondDatum,"&gt;="&amp;$E8922,SondDatum,"&lt;="&amp;EOMONTH($E8922,0)),$J8922-$M8922))</f>
      </c>
      <c r="O8922" s="43">
        <f>IF($I8922=0,0,INDEX(DarlErsatzRate,19))</f>
      </c>
      <c r="P8922" s="43">
        <f>IF($I8922=0,0,$Q8921*INDEX(DarlErsatzZins,19))</f>
      </c>
      <c r="Q8922" s="43">
        <f>IF($I8922=0,0,$Q8921+$P8922+$O8922)</f>
      </c>
      <c r="R8922" s="43">
        <f>IF($I8922=0,0,$J8922-$M8922-$N8922)</f>
      </c>
    </row>
    <row r="8923">
      <c r="A8923"/>
      <c r="B8923">
        <v>19</v>
      </c>
      <c r="C8923" s="43">
        <f>INDEX(DarlObj,19)</f>
      </c>
      <c r="D8923">
        <v>280</v>
      </c>
      <c r="E8923" s="51">
        <f>IF(INDEX(DarlBelegt,19)=0,0,EOMONTH(INDEX(DarlAuszahlung,19),279)+1)</f>
      </c>
      <c r="F8923" s="43">
        <f>IF($E8923=0,0,YEAR($E8923))</f>
      </c>
      <c r="G8923" s="43">
        <f>IF(INDEX(DarlBindung,19)="",1,IF($E8923&lt;=INDEX(DarlBindung,19),1,0))</f>
      </c>
      <c r="H8923" s="43">
        <f>IF($G8923=1,INDEX(DarlSollzins,19),INDEX(DarlAnschluss,19))</f>
      </c>
      <c r="I8923" s="43">
        <f>IF(INDEX(DarlBelegt,19)=0,0,IF(INDEX(DarlOhneTilgung,19)=1,IF(INDEX(DarlBindung,19)="",1,$G8923),IF($J8923&gt;0.005,1,0)))</f>
      </c>
      <c r="J8923" s="43">
        <f>IF($I8922=0,0,$R8922)</f>
      </c>
      <c r="K8923" s="43">
        <f>IF($I8923=0,0,IF(INDEX(DarlOhneTilgung,19)=1,0,IF(AND(INDEX(DarlTilgStart,19)&gt;0,$E8923=INDEX(DarlTilgStart,19)),$J8923*($H8923+INDEX(DarlTilgung,19))/100/12,IF(AND($G8923=0,$G8922=1),MAX($K8922,$J8923*($H8923+1)/100/12),$K8922))))</f>
      </c>
      <c r="L8923" s="43">
        <f>IF($I8923=0,0,$J8923*$H8923/100/12)</f>
      </c>
      <c r="M8923" s="43">
        <f>IF($I8923=0,0,IF(OR(INDEX(DarlOhneTilgung,19)=1,AND(INDEX(DarlTilgStart,19)&gt;0,$E8923&lt;INDEX(DarlTilgStart,19))),0,MIN(MAX(0,$K8923-$L8923),$J8923)))</f>
      </c>
      <c r="N8923" s="43">
        <f>IF($I8923=0,0,MIN(SUMIFS(SondBetrag,SondDarl,19,SondDatum,"&gt;="&amp;$E8923,SondDatum,"&lt;="&amp;EOMONTH($E8923,0)),$J8923-$M8923))</f>
      </c>
      <c r="O8923" s="43">
        <f>IF($I8923=0,0,INDEX(DarlErsatzRate,19))</f>
      </c>
      <c r="P8923" s="43">
        <f>IF($I8923=0,0,$Q8922*INDEX(DarlErsatzZins,19))</f>
      </c>
      <c r="Q8923" s="43">
        <f>IF($I8923=0,0,$Q8922+$P8923+$O8923)</f>
      </c>
      <c r="R8923" s="43">
        <f>IF($I8923=0,0,$J8923-$M8923-$N8923)</f>
      </c>
    </row>
    <row r="8924">
      <c r="A8924"/>
      <c r="B8924">
        <v>19</v>
      </c>
      <c r="C8924" s="43">
        <f>INDEX(DarlObj,19)</f>
      </c>
      <c r="D8924">
        <v>281</v>
      </c>
      <c r="E8924" s="51">
        <f>IF(INDEX(DarlBelegt,19)=0,0,EOMONTH(INDEX(DarlAuszahlung,19),280)+1)</f>
      </c>
      <c r="F8924" s="43">
        <f>IF($E8924=0,0,YEAR($E8924))</f>
      </c>
      <c r="G8924" s="43">
        <f>IF(INDEX(DarlBindung,19)="",1,IF($E8924&lt;=INDEX(DarlBindung,19),1,0))</f>
      </c>
      <c r="H8924" s="43">
        <f>IF($G8924=1,INDEX(DarlSollzins,19),INDEX(DarlAnschluss,19))</f>
      </c>
      <c r="I8924" s="43">
        <f>IF(INDEX(DarlBelegt,19)=0,0,IF(INDEX(DarlOhneTilgung,19)=1,IF(INDEX(DarlBindung,19)="",1,$G8924),IF($J8924&gt;0.005,1,0)))</f>
      </c>
      <c r="J8924" s="43">
        <f>IF($I8923=0,0,$R8923)</f>
      </c>
      <c r="K8924" s="43">
        <f>IF($I8924=0,0,IF(INDEX(DarlOhneTilgung,19)=1,0,IF(AND(INDEX(DarlTilgStart,19)&gt;0,$E8924=INDEX(DarlTilgStart,19)),$J8924*($H8924+INDEX(DarlTilgung,19))/100/12,IF(AND($G8924=0,$G8923=1),MAX($K8923,$J8924*($H8924+1)/100/12),$K8923))))</f>
      </c>
      <c r="L8924" s="43">
        <f>IF($I8924=0,0,$J8924*$H8924/100/12)</f>
      </c>
      <c r="M8924" s="43">
        <f>IF($I8924=0,0,IF(OR(INDEX(DarlOhneTilgung,19)=1,AND(INDEX(DarlTilgStart,19)&gt;0,$E8924&lt;INDEX(DarlTilgStart,19))),0,MIN(MAX(0,$K8924-$L8924),$J8924)))</f>
      </c>
      <c r="N8924" s="43">
        <f>IF($I8924=0,0,MIN(SUMIFS(SondBetrag,SondDarl,19,SondDatum,"&gt;="&amp;$E8924,SondDatum,"&lt;="&amp;EOMONTH($E8924,0)),$J8924-$M8924))</f>
      </c>
      <c r="O8924" s="43">
        <f>IF($I8924=0,0,INDEX(DarlErsatzRate,19))</f>
      </c>
      <c r="P8924" s="43">
        <f>IF($I8924=0,0,$Q8923*INDEX(DarlErsatzZins,19))</f>
      </c>
      <c r="Q8924" s="43">
        <f>IF($I8924=0,0,$Q8923+$P8924+$O8924)</f>
      </c>
      <c r="R8924" s="43">
        <f>IF($I8924=0,0,$J8924-$M8924-$N8924)</f>
      </c>
    </row>
    <row r="8925">
      <c r="A8925"/>
      <c r="B8925">
        <v>19</v>
      </c>
      <c r="C8925" s="43">
        <f>INDEX(DarlObj,19)</f>
      </c>
      <c r="D8925">
        <v>282</v>
      </c>
      <c r="E8925" s="51">
        <f>IF(INDEX(DarlBelegt,19)=0,0,EOMONTH(INDEX(DarlAuszahlung,19),281)+1)</f>
      </c>
      <c r="F8925" s="43">
        <f>IF($E8925=0,0,YEAR($E8925))</f>
      </c>
      <c r="G8925" s="43">
        <f>IF(INDEX(DarlBindung,19)="",1,IF($E8925&lt;=INDEX(DarlBindung,19),1,0))</f>
      </c>
      <c r="H8925" s="43">
        <f>IF($G8925=1,INDEX(DarlSollzins,19),INDEX(DarlAnschluss,19))</f>
      </c>
      <c r="I8925" s="43">
        <f>IF(INDEX(DarlBelegt,19)=0,0,IF(INDEX(DarlOhneTilgung,19)=1,IF(INDEX(DarlBindung,19)="",1,$G8925),IF($J8925&gt;0.005,1,0)))</f>
      </c>
      <c r="J8925" s="43">
        <f>IF($I8924=0,0,$R8924)</f>
      </c>
      <c r="K8925" s="43">
        <f>IF($I8925=0,0,IF(INDEX(DarlOhneTilgung,19)=1,0,IF(AND(INDEX(DarlTilgStart,19)&gt;0,$E8925=INDEX(DarlTilgStart,19)),$J8925*($H8925+INDEX(DarlTilgung,19))/100/12,IF(AND($G8925=0,$G8924=1),MAX($K8924,$J8925*($H8925+1)/100/12),$K8924))))</f>
      </c>
      <c r="L8925" s="43">
        <f>IF($I8925=0,0,$J8925*$H8925/100/12)</f>
      </c>
      <c r="M8925" s="43">
        <f>IF($I8925=0,0,IF(OR(INDEX(DarlOhneTilgung,19)=1,AND(INDEX(DarlTilgStart,19)&gt;0,$E8925&lt;INDEX(DarlTilgStart,19))),0,MIN(MAX(0,$K8925-$L8925),$J8925)))</f>
      </c>
      <c r="N8925" s="43">
        <f>IF($I8925=0,0,MIN(SUMIFS(SondBetrag,SondDarl,19,SondDatum,"&gt;="&amp;$E8925,SondDatum,"&lt;="&amp;EOMONTH($E8925,0)),$J8925-$M8925))</f>
      </c>
      <c r="O8925" s="43">
        <f>IF($I8925=0,0,INDEX(DarlErsatzRate,19))</f>
      </c>
      <c r="P8925" s="43">
        <f>IF($I8925=0,0,$Q8924*INDEX(DarlErsatzZins,19))</f>
      </c>
      <c r="Q8925" s="43">
        <f>IF($I8925=0,0,$Q8924+$P8925+$O8925)</f>
      </c>
      <c r="R8925" s="43">
        <f>IF($I8925=0,0,$J8925-$M8925-$N8925)</f>
      </c>
    </row>
    <row r="8926">
      <c r="A8926"/>
      <c r="B8926">
        <v>19</v>
      </c>
      <c r="C8926" s="43">
        <f>INDEX(DarlObj,19)</f>
      </c>
      <c r="D8926">
        <v>283</v>
      </c>
      <c r="E8926" s="51">
        <f>IF(INDEX(DarlBelegt,19)=0,0,EOMONTH(INDEX(DarlAuszahlung,19),282)+1)</f>
      </c>
      <c r="F8926" s="43">
        <f>IF($E8926=0,0,YEAR($E8926))</f>
      </c>
      <c r="G8926" s="43">
        <f>IF(INDEX(DarlBindung,19)="",1,IF($E8926&lt;=INDEX(DarlBindung,19),1,0))</f>
      </c>
      <c r="H8926" s="43">
        <f>IF($G8926=1,INDEX(DarlSollzins,19),INDEX(DarlAnschluss,19))</f>
      </c>
      <c r="I8926" s="43">
        <f>IF(INDEX(DarlBelegt,19)=0,0,IF(INDEX(DarlOhneTilgung,19)=1,IF(INDEX(DarlBindung,19)="",1,$G8926),IF($J8926&gt;0.005,1,0)))</f>
      </c>
      <c r="J8926" s="43">
        <f>IF($I8925=0,0,$R8925)</f>
      </c>
      <c r="K8926" s="43">
        <f>IF($I8926=0,0,IF(INDEX(DarlOhneTilgung,19)=1,0,IF(AND(INDEX(DarlTilgStart,19)&gt;0,$E8926=INDEX(DarlTilgStart,19)),$J8926*($H8926+INDEX(DarlTilgung,19))/100/12,IF(AND($G8926=0,$G8925=1),MAX($K8925,$J8926*($H8926+1)/100/12),$K8925))))</f>
      </c>
      <c r="L8926" s="43">
        <f>IF($I8926=0,0,$J8926*$H8926/100/12)</f>
      </c>
      <c r="M8926" s="43">
        <f>IF($I8926=0,0,IF(OR(INDEX(DarlOhneTilgung,19)=1,AND(INDEX(DarlTilgStart,19)&gt;0,$E8926&lt;INDEX(DarlTilgStart,19))),0,MIN(MAX(0,$K8926-$L8926),$J8926)))</f>
      </c>
      <c r="N8926" s="43">
        <f>IF($I8926=0,0,MIN(SUMIFS(SondBetrag,SondDarl,19,SondDatum,"&gt;="&amp;$E8926,SondDatum,"&lt;="&amp;EOMONTH($E8926,0)),$J8926-$M8926))</f>
      </c>
      <c r="O8926" s="43">
        <f>IF($I8926=0,0,INDEX(DarlErsatzRate,19))</f>
      </c>
      <c r="P8926" s="43">
        <f>IF($I8926=0,0,$Q8925*INDEX(DarlErsatzZins,19))</f>
      </c>
      <c r="Q8926" s="43">
        <f>IF($I8926=0,0,$Q8925+$P8926+$O8926)</f>
      </c>
      <c r="R8926" s="43">
        <f>IF($I8926=0,0,$J8926-$M8926-$N8926)</f>
      </c>
    </row>
    <row r="8927">
      <c r="A8927"/>
      <c r="B8927">
        <v>19</v>
      </c>
      <c r="C8927" s="43">
        <f>INDEX(DarlObj,19)</f>
      </c>
      <c r="D8927">
        <v>284</v>
      </c>
      <c r="E8927" s="51">
        <f>IF(INDEX(DarlBelegt,19)=0,0,EOMONTH(INDEX(DarlAuszahlung,19),283)+1)</f>
      </c>
      <c r="F8927" s="43">
        <f>IF($E8927=0,0,YEAR($E8927))</f>
      </c>
      <c r="G8927" s="43">
        <f>IF(INDEX(DarlBindung,19)="",1,IF($E8927&lt;=INDEX(DarlBindung,19),1,0))</f>
      </c>
      <c r="H8927" s="43">
        <f>IF($G8927=1,INDEX(DarlSollzins,19),INDEX(DarlAnschluss,19))</f>
      </c>
      <c r="I8927" s="43">
        <f>IF(INDEX(DarlBelegt,19)=0,0,IF(INDEX(DarlOhneTilgung,19)=1,IF(INDEX(DarlBindung,19)="",1,$G8927),IF($J8927&gt;0.005,1,0)))</f>
      </c>
      <c r="J8927" s="43">
        <f>IF($I8926=0,0,$R8926)</f>
      </c>
      <c r="K8927" s="43">
        <f>IF($I8927=0,0,IF(INDEX(DarlOhneTilgung,19)=1,0,IF(AND(INDEX(DarlTilgStart,19)&gt;0,$E8927=INDEX(DarlTilgStart,19)),$J8927*($H8927+INDEX(DarlTilgung,19))/100/12,IF(AND($G8927=0,$G8926=1),MAX($K8926,$J8927*($H8927+1)/100/12),$K8926))))</f>
      </c>
      <c r="L8927" s="43">
        <f>IF($I8927=0,0,$J8927*$H8927/100/12)</f>
      </c>
      <c r="M8927" s="43">
        <f>IF($I8927=0,0,IF(OR(INDEX(DarlOhneTilgung,19)=1,AND(INDEX(DarlTilgStart,19)&gt;0,$E8927&lt;INDEX(DarlTilgStart,19))),0,MIN(MAX(0,$K8927-$L8927),$J8927)))</f>
      </c>
      <c r="N8927" s="43">
        <f>IF($I8927=0,0,MIN(SUMIFS(SondBetrag,SondDarl,19,SondDatum,"&gt;="&amp;$E8927,SondDatum,"&lt;="&amp;EOMONTH($E8927,0)),$J8927-$M8927))</f>
      </c>
      <c r="O8927" s="43">
        <f>IF($I8927=0,0,INDEX(DarlErsatzRate,19))</f>
      </c>
      <c r="P8927" s="43">
        <f>IF($I8927=0,0,$Q8926*INDEX(DarlErsatzZins,19))</f>
      </c>
      <c r="Q8927" s="43">
        <f>IF($I8927=0,0,$Q8926+$P8927+$O8927)</f>
      </c>
      <c r="R8927" s="43">
        <f>IF($I8927=0,0,$J8927-$M8927-$N8927)</f>
      </c>
    </row>
    <row r="8928">
      <c r="A8928"/>
      <c r="B8928">
        <v>19</v>
      </c>
      <c r="C8928" s="43">
        <f>INDEX(DarlObj,19)</f>
      </c>
      <c r="D8928">
        <v>285</v>
      </c>
      <c r="E8928" s="51">
        <f>IF(INDEX(DarlBelegt,19)=0,0,EOMONTH(INDEX(DarlAuszahlung,19),284)+1)</f>
      </c>
      <c r="F8928" s="43">
        <f>IF($E8928=0,0,YEAR($E8928))</f>
      </c>
      <c r="G8928" s="43">
        <f>IF(INDEX(DarlBindung,19)="",1,IF($E8928&lt;=INDEX(DarlBindung,19),1,0))</f>
      </c>
      <c r="H8928" s="43">
        <f>IF($G8928=1,INDEX(DarlSollzins,19),INDEX(DarlAnschluss,19))</f>
      </c>
      <c r="I8928" s="43">
        <f>IF(INDEX(DarlBelegt,19)=0,0,IF(INDEX(DarlOhneTilgung,19)=1,IF(INDEX(DarlBindung,19)="",1,$G8928),IF($J8928&gt;0.005,1,0)))</f>
      </c>
      <c r="J8928" s="43">
        <f>IF($I8927=0,0,$R8927)</f>
      </c>
      <c r="K8928" s="43">
        <f>IF($I8928=0,0,IF(INDEX(DarlOhneTilgung,19)=1,0,IF(AND(INDEX(DarlTilgStart,19)&gt;0,$E8928=INDEX(DarlTilgStart,19)),$J8928*($H8928+INDEX(DarlTilgung,19))/100/12,IF(AND($G8928=0,$G8927=1),MAX($K8927,$J8928*($H8928+1)/100/12),$K8927))))</f>
      </c>
      <c r="L8928" s="43">
        <f>IF($I8928=0,0,$J8928*$H8928/100/12)</f>
      </c>
      <c r="M8928" s="43">
        <f>IF($I8928=0,0,IF(OR(INDEX(DarlOhneTilgung,19)=1,AND(INDEX(DarlTilgStart,19)&gt;0,$E8928&lt;INDEX(DarlTilgStart,19))),0,MIN(MAX(0,$K8928-$L8928),$J8928)))</f>
      </c>
      <c r="N8928" s="43">
        <f>IF($I8928=0,0,MIN(SUMIFS(SondBetrag,SondDarl,19,SondDatum,"&gt;="&amp;$E8928,SondDatum,"&lt;="&amp;EOMONTH($E8928,0)),$J8928-$M8928))</f>
      </c>
      <c r="O8928" s="43">
        <f>IF($I8928=0,0,INDEX(DarlErsatzRate,19))</f>
      </c>
      <c r="P8928" s="43">
        <f>IF($I8928=0,0,$Q8927*INDEX(DarlErsatzZins,19))</f>
      </c>
      <c r="Q8928" s="43">
        <f>IF($I8928=0,0,$Q8927+$P8928+$O8928)</f>
      </c>
      <c r="R8928" s="43">
        <f>IF($I8928=0,0,$J8928-$M8928-$N8928)</f>
      </c>
    </row>
    <row r="8929">
      <c r="A8929"/>
      <c r="B8929">
        <v>19</v>
      </c>
      <c r="C8929" s="43">
        <f>INDEX(DarlObj,19)</f>
      </c>
      <c r="D8929">
        <v>286</v>
      </c>
      <c r="E8929" s="51">
        <f>IF(INDEX(DarlBelegt,19)=0,0,EOMONTH(INDEX(DarlAuszahlung,19),285)+1)</f>
      </c>
      <c r="F8929" s="43">
        <f>IF($E8929=0,0,YEAR($E8929))</f>
      </c>
      <c r="G8929" s="43">
        <f>IF(INDEX(DarlBindung,19)="",1,IF($E8929&lt;=INDEX(DarlBindung,19),1,0))</f>
      </c>
      <c r="H8929" s="43">
        <f>IF($G8929=1,INDEX(DarlSollzins,19),INDEX(DarlAnschluss,19))</f>
      </c>
      <c r="I8929" s="43">
        <f>IF(INDEX(DarlBelegt,19)=0,0,IF(INDEX(DarlOhneTilgung,19)=1,IF(INDEX(DarlBindung,19)="",1,$G8929),IF($J8929&gt;0.005,1,0)))</f>
      </c>
      <c r="J8929" s="43">
        <f>IF($I8928=0,0,$R8928)</f>
      </c>
      <c r="K8929" s="43">
        <f>IF($I8929=0,0,IF(INDEX(DarlOhneTilgung,19)=1,0,IF(AND(INDEX(DarlTilgStart,19)&gt;0,$E8929=INDEX(DarlTilgStart,19)),$J8929*($H8929+INDEX(DarlTilgung,19))/100/12,IF(AND($G8929=0,$G8928=1),MAX($K8928,$J8929*($H8929+1)/100/12),$K8928))))</f>
      </c>
      <c r="L8929" s="43">
        <f>IF($I8929=0,0,$J8929*$H8929/100/12)</f>
      </c>
      <c r="M8929" s="43">
        <f>IF($I8929=0,0,IF(OR(INDEX(DarlOhneTilgung,19)=1,AND(INDEX(DarlTilgStart,19)&gt;0,$E8929&lt;INDEX(DarlTilgStart,19))),0,MIN(MAX(0,$K8929-$L8929),$J8929)))</f>
      </c>
      <c r="N8929" s="43">
        <f>IF($I8929=0,0,MIN(SUMIFS(SondBetrag,SondDarl,19,SondDatum,"&gt;="&amp;$E8929,SondDatum,"&lt;="&amp;EOMONTH($E8929,0)),$J8929-$M8929))</f>
      </c>
      <c r="O8929" s="43">
        <f>IF($I8929=0,0,INDEX(DarlErsatzRate,19))</f>
      </c>
      <c r="P8929" s="43">
        <f>IF($I8929=0,0,$Q8928*INDEX(DarlErsatzZins,19))</f>
      </c>
      <c r="Q8929" s="43">
        <f>IF($I8929=0,0,$Q8928+$P8929+$O8929)</f>
      </c>
      <c r="R8929" s="43">
        <f>IF($I8929=0,0,$J8929-$M8929-$N8929)</f>
      </c>
    </row>
    <row r="8930">
      <c r="A8930"/>
      <c r="B8930">
        <v>19</v>
      </c>
      <c r="C8930" s="43">
        <f>INDEX(DarlObj,19)</f>
      </c>
      <c r="D8930">
        <v>287</v>
      </c>
      <c r="E8930" s="51">
        <f>IF(INDEX(DarlBelegt,19)=0,0,EOMONTH(INDEX(DarlAuszahlung,19),286)+1)</f>
      </c>
      <c r="F8930" s="43">
        <f>IF($E8930=0,0,YEAR($E8930))</f>
      </c>
      <c r="G8930" s="43">
        <f>IF(INDEX(DarlBindung,19)="",1,IF($E8930&lt;=INDEX(DarlBindung,19),1,0))</f>
      </c>
      <c r="H8930" s="43">
        <f>IF($G8930=1,INDEX(DarlSollzins,19),INDEX(DarlAnschluss,19))</f>
      </c>
      <c r="I8930" s="43">
        <f>IF(INDEX(DarlBelegt,19)=0,0,IF(INDEX(DarlOhneTilgung,19)=1,IF(INDEX(DarlBindung,19)="",1,$G8930),IF($J8930&gt;0.005,1,0)))</f>
      </c>
      <c r="J8930" s="43">
        <f>IF($I8929=0,0,$R8929)</f>
      </c>
      <c r="K8930" s="43">
        <f>IF($I8930=0,0,IF(INDEX(DarlOhneTilgung,19)=1,0,IF(AND(INDEX(DarlTilgStart,19)&gt;0,$E8930=INDEX(DarlTilgStart,19)),$J8930*($H8930+INDEX(DarlTilgung,19))/100/12,IF(AND($G8930=0,$G8929=1),MAX($K8929,$J8930*($H8930+1)/100/12),$K8929))))</f>
      </c>
      <c r="L8930" s="43">
        <f>IF($I8930=0,0,$J8930*$H8930/100/12)</f>
      </c>
      <c r="M8930" s="43">
        <f>IF($I8930=0,0,IF(OR(INDEX(DarlOhneTilgung,19)=1,AND(INDEX(DarlTilgStart,19)&gt;0,$E8930&lt;INDEX(DarlTilgStart,19))),0,MIN(MAX(0,$K8930-$L8930),$J8930)))</f>
      </c>
      <c r="N8930" s="43">
        <f>IF($I8930=0,0,MIN(SUMIFS(SondBetrag,SondDarl,19,SondDatum,"&gt;="&amp;$E8930,SondDatum,"&lt;="&amp;EOMONTH($E8930,0)),$J8930-$M8930))</f>
      </c>
      <c r="O8930" s="43">
        <f>IF($I8930=0,0,INDEX(DarlErsatzRate,19))</f>
      </c>
      <c r="P8930" s="43">
        <f>IF($I8930=0,0,$Q8929*INDEX(DarlErsatzZins,19))</f>
      </c>
      <c r="Q8930" s="43">
        <f>IF($I8930=0,0,$Q8929+$P8930+$O8930)</f>
      </c>
      <c r="R8930" s="43">
        <f>IF($I8930=0,0,$J8930-$M8930-$N8930)</f>
      </c>
    </row>
    <row r="8931">
      <c r="A8931"/>
      <c r="B8931">
        <v>19</v>
      </c>
      <c r="C8931" s="43">
        <f>INDEX(DarlObj,19)</f>
      </c>
      <c r="D8931">
        <v>288</v>
      </c>
      <c r="E8931" s="51">
        <f>IF(INDEX(DarlBelegt,19)=0,0,EOMONTH(INDEX(DarlAuszahlung,19),287)+1)</f>
      </c>
      <c r="F8931" s="43">
        <f>IF($E8931=0,0,YEAR($E8931))</f>
      </c>
      <c r="G8931" s="43">
        <f>IF(INDEX(DarlBindung,19)="",1,IF($E8931&lt;=INDEX(DarlBindung,19),1,0))</f>
      </c>
      <c r="H8931" s="43">
        <f>IF($G8931=1,INDEX(DarlSollzins,19),INDEX(DarlAnschluss,19))</f>
      </c>
      <c r="I8931" s="43">
        <f>IF(INDEX(DarlBelegt,19)=0,0,IF(INDEX(DarlOhneTilgung,19)=1,IF(INDEX(DarlBindung,19)="",1,$G8931),IF($J8931&gt;0.005,1,0)))</f>
      </c>
      <c r="J8931" s="43">
        <f>IF($I8930=0,0,$R8930)</f>
      </c>
      <c r="K8931" s="43">
        <f>IF($I8931=0,0,IF(INDEX(DarlOhneTilgung,19)=1,0,IF(AND(INDEX(DarlTilgStart,19)&gt;0,$E8931=INDEX(DarlTilgStart,19)),$J8931*($H8931+INDEX(DarlTilgung,19))/100/12,IF(AND($G8931=0,$G8930=1),MAX($K8930,$J8931*($H8931+1)/100/12),$K8930))))</f>
      </c>
      <c r="L8931" s="43">
        <f>IF($I8931=0,0,$J8931*$H8931/100/12)</f>
      </c>
      <c r="M8931" s="43">
        <f>IF($I8931=0,0,IF(OR(INDEX(DarlOhneTilgung,19)=1,AND(INDEX(DarlTilgStart,19)&gt;0,$E8931&lt;INDEX(DarlTilgStart,19))),0,MIN(MAX(0,$K8931-$L8931),$J8931)))</f>
      </c>
      <c r="N8931" s="43">
        <f>IF($I8931=0,0,MIN(SUMIFS(SondBetrag,SondDarl,19,SondDatum,"&gt;="&amp;$E8931,SondDatum,"&lt;="&amp;EOMONTH($E8931,0)),$J8931-$M8931))</f>
      </c>
      <c r="O8931" s="43">
        <f>IF($I8931=0,0,INDEX(DarlErsatzRate,19))</f>
      </c>
      <c r="P8931" s="43">
        <f>IF($I8931=0,0,$Q8930*INDEX(DarlErsatzZins,19))</f>
      </c>
      <c r="Q8931" s="43">
        <f>IF($I8931=0,0,$Q8930+$P8931+$O8931)</f>
      </c>
      <c r="R8931" s="43">
        <f>IF($I8931=0,0,$J8931-$M8931-$N8931)</f>
      </c>
    </row>
    <row r="8932">
      <c r="A8932"/>
      <c r="B8932">
        <v>19</v>
      </c>
      <c r="C8932" s="43">
        <f>INDEX(DarlObj,19)</f>
      </c>
      <c r="D8932">
        <v>289</v>
      </c>
      <c r="E8932" s="51">
        <f>IF(INDEX(DarlBelegt,19)=0,0,EOMONTH(INDEX(DarlAuszahlung,19),288)+1)</f>
      </c>
      <c r="F8932" s="43">
        <f>IF($E8932=0,0,YEAR($E8932))</f>
      </c>
      <c r="G8932" s="43">
        <f>IF(INDEX(DarlBindung,19)="",1,IF($E8932&lt;=INDEX(DarlBindung,19),1,0))</f>
      </c>
      <c r="H8932" s="43">
        <f>IF($G8932=1,INDEX(DarlSollzins,19),INDEX(DarlAnschluss,19))</f>
      </c>
      <c r="I8932" s="43">
        <f>IF(INDEX(DarlBelegt,19)=0,0,IF(INDEX(DarlOhneTilgung,19)=1,IF(INDEX(DarlBindung,19)="",1,$G8932),IF($J8932&gt;0.005,1,0)))</f>
      </c>
      <c r="J8932" s="43">
        <f>IF($I8931=0,0,$R8931)</f>
      </c>
      <c r="K8932" s="43">
        <f>IF($I8932=0,0,IF(INDEX(DarlOhneTilgung,19)=1,0,IF(AND(INDEX(DarlTilgStart,19)&gt;0,$E8932=INDEX(DarlTilgStart,19)),$J8932*($H8932+INDEX(DarlTilgung,19))/100/12,IF(AND($G8932=0,$G8931=1),MAX($K8931,$J8932*($H8932+1)/100/12),$K8931))))</f>
      </c>
      <c r="L8932" s="43">
        <f>IF($I8932=0,0,$J8932*$H8932/100/12)</f>
      </c>
      <c r="M8932" s="43">
        <f>IF($I8932=0,0,IF(OR(INDEX(DarlOhneTilgung,19)=1,AND(INDEX(DarlTilgStart,19)&gt;0,$E8932&lt;INDEX(DarlTilgStart,19))),0,MIN(MAX(0,$K8932-$L8932),$J8932)))</f>
      </c>
      <c r="N8932" s="43">
        <f>IF($I8932=0,0,MIN(SUMIFS(SondBetrag,SondDarl,19,SondDatum,"&gt;="&amp;$E8932,SondDatum,"&lt;="&amp;EOMONTH($E8932,0)),$J8932-$M8932))</f>
      </c>
      <c r="O8932" s="43">
        <f>IF($I8932=0,0,INDEX(DarlErsatzRate,19))</f>
      </c>
      <c r="P8932" s="43">
        <f>IF($I8932=0,0,$Q8931*INDEX(DarlErsatzZins,19))</f>
      </c>
      <c r="Q8932" s="43">
        <f>IF($I8932=0,0,$Q8931+$P8932+$O8932)</f>
      </c>
      <c r="R8932" s="43">
        <f>IF($I8932=0,0,$J8932-$M8932-$N8932)</f>
      </c>
    </row>
    <row r="8933">
      <c r="A8933"/>
      <c r="B8933">
        <v>19</v>
      </c>
      <c r="C8933" s="43">
        <f>INDEX(DarlObj,19)</f>
      </c>
      <c r="D8933">
        <v>290</v>
      </c>
      <c r="E8933" s="51">
        <f>IF(INDEX(DarlBelegt,19)=0,0,EOMONTH(INDEX(DarlAuszahlung,19),289)+1)</f>
      </c>
      <c r="F8933" s="43">
        <f>IF($E8933=0,0,YEAR($E8933))</f>
      </c>
      <c r="G8933" s="43">
        <f>IF(INDEX(DarlBindung,19)="",1,IF($E8933&lt;=INDEX(DarlBindung,19),1,0))</f>
      </c>
      <c r="H8933" s="43">
        <f>IF($G8933=1,INDEX(DarlSollzins,19),INDEX(DarlAnschluss,19))</f>
      </c>
      <c r="I8933" s="43">
        <f>IF(INDEX(DarlBelegt,19)=0,0,IF(INDEX(DarlOhneTilgung,19)=1,IF(INDEX(DarlBindung,19)="",1,$G8933),IF($J8933&gt;0.005,1,0)))</f>
      </c>
      <c r="J8933" s="43">
        <f>IF($I8932=0,0,$R8932)</f>
      </c>
      <c r="K8933" s="43">
        <f>IF($I8933=0,0,IF(INDEX(DarlOhneTilgung,19)=1,0,IF(AND(INDEX(DarlTilgStart,19)&gt;0,$E8933=INDEX(DarlTilgStart,19)),$J8933*($H8933+INDEX(DarlTilgung,19))/100/12,IF(AND($G8933=0,$G8932=1),MAX($K8932,$J8933*($H8933+1)/100/12),$K8932))))</f>
      </c>
      <c r="L8933" s="43">
        <f>IF($I8933=0,0,$J8933*$H8933/100/12)</f>
      </c>
      <c r="M8933" s="43">
        <f>IF($I8933=0,0,IF(OR(INDEX(DarlOhneTilgung,19)=1,AND(INDEX(DarlTilgStart,19)&gt;0,$E8933&lt;INDEX(DarlTilgStart,19))),0,MIN(MAX(0,$K8933-$L8933),$J8933)))</f>
      </c>
      <c r="N8933" s="43">
        <f>IF($I8933=0,0,MIN(SUMIFS(SondBetrag,SondDarl,19,SondDatum,"&gt;="&amp;$E8933,SondDatum,"&lt;="&amp;EOMONTH($E8933,0)),$J8933-$M8933))</f>
      </c>
      <c r="O8933" s="43">
        <f>IF($I8933=0,0,INDEX(DarlErsatzRate,19))</f>
      </c>
      <c r="P8933" s="43">
        <f>IF($I8933=0,0,$Q8932*INDEX(DarlErsatzZins,19))</f>
      </c>
      <c r="Q8933" s="43">
        <f>IF($I8933=0,0,$Q8932+$P8933+$O8933)</f>
      </c>
      <c r="R8933" s="43">
        <f>IF($I8933=0,0,$J8933-$M8933-$N8933)</f>
      </c>
    </row>
    <row r="8934">
      <c r="A8934"/>
      <c r="B8934">
        <v>19</v>
      </c>
      <c r="C8934" s="43">
        <f>INDEX(DarlObj,19)</f>
      </c>
      <c r="D8934">
        <v>291</v>
      </c>
      <c r="E8934" s="51">
        <f>IF(INDEX(DarlBelegt,19)=0,0,EOMONTH(INDEX(DarlAuszahlung,19),290)+1)</f>
      </c>
      <c r="F8934" s="43">
        <f>IF($E8934=0,0,YEAR($E8934))</f>
      </c>
      <c r="G8934" s="43">
        <f>IF(INDEX(DarlBindung,19)="",1,IF($E8934&lt;=INDEX(DarlBindung,19),1,0))</f>
      </c>
      <c r="H8934" s="43">
        <f>IF($G8934=1,INDEX(DarlSollzins,19),INDEX(DarlAnschluss,19))</f>
      </c>
      <c r="I8934" s="43">
        <f>IF(INDEX(DarlBelegt,19)=0,0,IF(INDEX(DarlOhneTilgung,19)=1,IF(INDEX(DarlBindung,19)="",1,$G8934),IF($J8934&gt;0.005,1,0)))</f>
      </c>
      <c r="J8934" s="43">
        <f>IF($I8933=0,0,$R8933)</f>
      </c>
      <c r="K8934" s="43">
        <f>IF($I8934=0,0,IF(INDEX(DarlOhneTilgung,19)=1,0,IF(AND(INDEX(DarlTilgStart,19)&gt;0,$E8934=INDEX(DarlTilgStart,19)),$J8934*($H8934+INDEX(DarlTilgung,19))/100/12,IF(AND($G8934=0,$G8933=1),MAX($K8933,$J8934*($H8934+1)/100/12),$K8933))))</f>
      </c>
      <c r="L8934" s="43">
        <f>IF($I8934=0,0,$J8934*$H8934/100/12)</f>
      </c>
      <c r="M8934" s="43">
        <f>IF($I8934=0,0,IF(OR(INDEX(DarlOhneTilgung,19)=1,AND(INDEX(DarlTilgStart,19)&gt;0,$E8934&lt;INDEX(DarlTilgStart,19))),0,MIN(MAX(0,$K8934-$L8934),$J8934)))</f>
      </c>
      <c r="N8934" s="43">
        <f>IF($I8934=0,0,MIN(SUMIFS(SondBetrag,SondDarl,19,SondDatum,"&gt;="&amp;$E8934,SondDatum,"&lt;="&amp;EOMONTH($E8934,0)),$J8934-$M8934))</f>
      </c>
      <c r="O8934" s="43">
        <f>IF($I8934=0,0,INDEX(DarlErsatzRate,19))</f>
      </c>
      <c r="P8934" s="43">
        <f>IF($I8934=0,0,$Q8933*INDEX(DarlErsatzZins,19))</f>
      </c>
      <c r="Q8934" s="43">
        <f>IF($I8934=0,0,$Q8933+$P8934+$O8934)</f>
      </c>
      <c r="R8934" s="43">
        <f>IF($I8934=0,0,$J8934-$M8934-$N8934)</f>
      </c>
    </row>
    <row r="8935">
      <c r="A8935"/>
      <c r="B8935">
        <v>19</v>
      </c>
      <c r="C8935" s="43">
        <f>INDEX(DarlObj,19)</f>
      </c>
      <c r="D8935">
        <v>292</v>
      </c>
      <c r="E8935" s="51">
        <f>IF(INDEX(DarlBelegt,19)=0,0,EOMONTH(INDEX(DarlAuszahlung,19),291)+1)</f>
      </c>
      <c r="F8935" s="43">
        <f>IF($E8935=0,0,YEAR($E8935))</f>
      </c>
      <c r="G8935" s="43">
        <f>IF(INDEX(DarlBindung,19)="",1,IF($E8935&lt;=INDEX(DarlBindung,19),1,0))</f>
      </c>
      <c r="H8935" s="43">
        <f>IF($G8935=1,INDEX(DarlSollzins,19),INDEX(DarlAnschluss,19))</f>
      </c>
      <c r="I8935" s="43">
        <f>IF(INDEX(DarlBelegt,19)=0,0,IF(INDEX(DarlOhneTilgung,19)=1,IF(INDEX(DarlBindung,19)="",1,$G8935),IF($J8935&gt;0.005,1,0)))</f>
      </c>
      <c r="J8935" s="43">
        <f>IF($I8934=0,0,$R8934)</f>
      </c>
      <c r="K8935" s="43">
        <f>IF($I8935=0,0,IF(INDEX(DarlOhneTilgung,19)=1,0,IF(AND(INDEX(DarlTilgStart,19)&gt;0,$E8935=INDEX(DarlTilgStart,19)),$J8935*($H8935+INDEX(DarlTilgung,19))/100/12,IF(AND($G8935=0,$G8934=1),MAX($K8934,$J8935*($H8935+1)/100/12),$K8934))))</f>
      </c>
      <c r="L8935" s="43">
        <f>IF($I8935=0,0,$J8935*$H8935/100/12)</f>
      </c>
      <c r="M8935" s="43">
        <f>IF($I8935=0,0,IF(OR(INDEX(DarlOhneTilgung,19)=1,AND(INDEX(DarlTilgStart,19)&gt;0,$E8935&lt;INDEX(DarlTilgStart,19))),0,MIN(MAX(0,$K8935-$L8935),$J8935)))</f>
      </c>
      <c r="N8935" s="43">
        <f>IF($I8935=0,0,MIN(SUMIFS(SondBetrag,SondDarl,19,SondDatum,"&gt;="&amp;$E8935,SondDatum,"&lt;="&amp;EOMONTH($E8935,0)),$J8935-$M8935))</f>
      </c>
      <c r="O8935" s="43">
        <f>IF($I8935=0,0,INDEX(DarlErsatzRate,19))</f>
      </c>
      <c r="P8935" s="43">
        <f>IF($I8935=0,0,$Q8934*INDEX(DarlErsatzZins,19))</f>
      </c>
      <c r="Q8935" s="43">
        <f>IF($I8935=0,0,$Q8934+$P8935+$O8935)</f>
      </c>
      <c r="R8935" s="43">
        <f>IF($I8935=0,0,$J8935-$M8935-$N8935)</f>
      </c>
    </row>
    <row r="8936">
      <c r="A8936"/>
      <c r="B8936">
        <v>19</v>
      </c>
      <c r="C8936" s="43">
        <f>INDEX(DarlObj,19)</f>
      </c>
      <c r="D8936">
        <v>293</v>
      </c>
      <c r="E8936" s="51">
        <f>IF(INDEX(DarlBelegt,19)=0,0,EOMONTH(INDEX(DarlAuszahlung,19),292)+1)</f>
      </c>
      <c r="F8936" s="43">
        <f>IF($E8936=0,0,YEAR($E8936))</f>
      </c>
      <c r="G8936" s="43">
        <f>IF(INDEX(DarlBindung,19)="",1,IF($E8936&lt;=INDEX(DarlBindung,19),1,0))</f>
      </c>
      <c r="H8936" s="43">
        <f>IF($G8936=1,INDEX(DarlSollzins,19),INDEX(DarlAnschluss,19))</f>
      </c>
      <c r="I8936" s="43">
        <f>IF(INDEX(DarlBelegt,19)=0,0,IF(INDEX(DarlOhneTilgung,19)=1,IF(INDEX(DarlBindung,19)="",1,$G8936),IF($J8936&gt;0.005,1,0)))</f>
      </c>
      <c r="J8936" s="43">
        <f>IF($I8935=0,0,$R8935)</f>
      </c>
      <c r="K8936" s="43">
        <f>IF($I8936=0,0,IF(INDEX(DarlOhneTilgung,19)=1,0,IF(AND(INDEX(DarlTilgStart,19)&gt;0,$E8936=INDEX(DarlTilgStart,19)),$J8936*($H8936+INDEX(DarlTilgung,19))/100/12,IF(AND($G8936=0,$G8935=1),MAX($K8935,$J8936*($H8936+1)/100/12),$K8935))))</f>
      </c>
      <c r="L8936" s="43">
        <f>IF($I8936=0,0,$J8936*$H8936/100/12)</f>
      </c>
      <c r="M8936" s="43">
        <f>IF($I8936=0,0,IF(OR(INDEX(DarlOhneTilgung,19)=1,AND(INDEX(DarlTilgStart,19)&gt;0,$E8936&lt;INDEX(DarlTilgStart,19))),0,MIN(MAX(0,$K8936-$L8936),$J8936)))</f>
      </c>
      <c r="N8936" s="43">
        <f>IF($I8936=0,0,MIN(SUMIFS(SondBetrag,SondDarl,19,SondDatum,"&gt;="&amp;$E8936,SondDatum,"&lt;="&amp;EOMONTH($E8936,0)),$J8936-$M8936))</f>
      </c>
      <c r="O8936" s="43">
        <f>IF($I8936=0,0,INDEX(DarlErsatzRate,19))</f>
      </c>
      <c r="P8936" s="43">
        <f>IF($I8936=0,0,$Q8935*INDEX(DarlErsatzZins,19))</f>
      </c>
      <c r="Q8936" s="43">
        <f>IF($I8936=0,0,$Q8935+$P8936+$O8936)</f>
      </c>
      <c r="R8936" s="43">
        <f>IF($I8936=0,0,$J8936-$M8936-$N8936)</f>
      </c>
    </row>
    <row r="8937">
      <c r="A8937"/>
      <c r="B8937">
        <v>19</v>
      </c>
      <c r="C8937" s="43">
        <f>INDEX(DarlObj,19)</f>
      </c>
      <c r="D8937">
        <v>294</v>
      </c>
      <c r="E8937" s="51">
        <f>IF(INDEX(DarlBelegt,19)=0,0,EOMONTH(INDEX(DarlAuszahlung,19),293)+1)</f>
      </c>
      <c r="F8937" s="43">
        <f>IF($E8937=0,0,YEAR($E8937))</f>
      </c>
      <c r="G8937" s="43">
        <f>IF(INDEX(DarlBindung,19)="",1,IF($E8937&lt;=INDEX(DarlBindung,19),1,0))</f>
      </c>
      <c r="H8937" s="43">
        <f>IF($G8937=1,INDEX(DarlSollzins,19),INDEX(DarlAnschluss,19))</f>
      </c>
      <c r="I8937" s="43">
        <f>IF(INDEX(DarlBelegt,19)=0,0,IF(INDEX(DarlOhneTilgung,19)=1,IF(INDEX(DarlBindung,19)="",1,$G8937),IF($J8937&gt;0.005,1,0)))</f>
      </c>
      <c r="J8937" s="43">
        <f>IF($I8936=0,0,$R8936)</f>
      </c>
      <c r="K8937" s="43">
        <f>IF($I8937=0,0,IF(INDEX(DarlOhneTilgung,19)=1,0,IF(AND(INDEX(DarlTilgStart,19)&gt;0,$E8937=INDEX(DarlTilgStart,19)),$J8937*($H8937+INDEX(DarlTilgung,19))/100/12,IF(AND($G8937=0,$G8936=1),MAX($K8936,$J8937*($H8937+1)/100/12),$K8936))))</f>
      </c>
      <c r="L8937" s="43">
        <f>IF($I8937=0,0,$J8937*$H8937/100/12)</f>
      </c>
      <c r="M8937" s="43">
        <f>IF($I8937=0,0,IF(OR(INDEX(DarlOhneTilgung,19)=1,AND(INDEX(DarlTilgStart,19)&gt;0,$E8937&lt;INDEX(DarlTilgStart,19))),0,MIN(MAX(0,$K8937-$L8937),$J8937)))</f>
      </c>
      <c r="N8937" s="43">
        <f>IF($I8937=0,0,MIN(SUMIFS(SondBetrag,SondDarl,19,SondDatum,"&gt;="&amp;$E8937,SondDatum,"&lt;="&amp;EOMONTH($E8937,0)),$J8937-$M8937))</f>
      </c>
      <c r="O8937" s="43">
        <f>IF($I8937=0,0,INDEX(DarlErsatzRate,19))</f>
      </c>
      <c r="P8937" s="43">
        <f>IF($I8937=0,0,$Q8936*INDEX(DarlErsatzZins,19))</f>
      </c>
      <c r="Q8937" s="43">
        <f>IF($I8937=0,0,$Q8936+$P8937+$O8937)</f>
      </c>
      <c r="R8937" s="43">
        <f>IF($I8937=0,0,$J8937-$M8937-$N8937)</f>
      </c>
    </row>
    <row r="8938">
      <c r="A8938"/>
      <c r="B8938">
        <v>19</v>
      </c>
      <c r="C8938" s="43">
        <f>INDEX(DarlObj,19)</f>
      </c>
      <c r="D8938">
        <v>295</v>
      </c>
      <c r="E8938" s="51">
        <f>IF(INDEX(DarlBelegt,19)=0,0,EOMONTH(INDEX(DarlAuszahlung,19),294)+1)</f>
      </c>
      <c r="F8938" s="43">
        <f>IF($E8938=0,0,YEAR($E8938))</f>
      </c>
      <c r="G8938" s="43">
        <f>IF(INDEX(DarlBindung,19)="",1,IF($E8938&lt;=INDEX(DarlBindung,19),1,0))</f>
      </c>
      <c r="H8938" s="43">
        <f>IF($G8938=1,INDEX(DarlSollzins,19),INDEX(DarlAnschluss,19))</f>
      </c>
      <c r="I8938" s="43">
        <f>IF(INDEX(DarlBelegt,19)=0,0,IF(INDEX(DarlOhneTilgung,19)=1,IF(INDEX(DarlBindung,19)="",1,$G8938),IF($J8938&gt;0.005,1,0)))</f>
      </c>
      <c r="J8938" s="43">
        <f>IF($I8937=0,0,$R8937)</f>
      </c>
      <c r="K8938" s="43">
        <f>IF($I8938=0,0,IF(INDEX(DarlOhneTilgung,19)=1,0,IF(AND(INDEX(DarlTilgStart,19)&gt;0,$E8938=INDEX(DarlTilgStart,19)),$J8938*($H8938+INDEX(DarlTilgung,19))/100/12,IF(AND($G8938=0,$G8937=1),MAX($K8937,$J8938*($H8938+1)/100/12),$K8937))))</f>
      </c>
      <c r="L8938" s="43">
        <f>IF($I8938=0,0,$J8938*$H8938/100/12)</f>
      </c>
      <c r="M8938" s="43">
        <f>IF($I8938=0,0,IF(OR(INDEX(DarlOhneTilgung,19)=1,AND(INDEX(DarlTilgStart,19)&gt;0,$E8938&lt;INDEX(DarlTilgStart,19))),0,MIN(MAX(0,$K8938-$L8938),$J8938)))</f>
      </c>
      <c r="N8938" s="43">
        <f>IF($I8938=0,0,MIN(SUMIFS(SondBetrag,SondDarl,19,SondDatum,"&gt;="&amp;$E8938,SondDatum,"&lt;="&amp;EOMONTH($E8938,0)),$J8938-$M8938))</f>
      </c>
      <c r="O8938" s="43">
        <f>IF($I8938=0,0,INDEX(DarlErsatzRate,19))</f>
      </c>
      <c r="P8938" s="43">
        <f>IF($I8938=0,0,$Q8937*INDEX(DarlErsatzZins,19))</f>
      </c>
      <c r="Q8938" s="43">
        <f>IF($I8938=0,0,$Q8937+$P8938+$O8938)</f>
      </c>
      <c r="R8938" s="43">
        <f>IF($I8938=0,0,$J8938-$M8938-$N8938)</f>
      </c>
    </row>
    <row r="8939">
      <c r="A8939"/>
      <c r="B8939">
        <v>19</v>
      </c>
      <c r="C8939" s="43">
        <f>INDEX(DarlObj,19)</f>
      </c>
      <c r="D8939">
        <v>296</v>
      </c>
      <c r="E8939" s="51">
        <f>IF(INDEX(DarlBelegt,19)=0,0,EOMONTH(INDEX(DarlAuszahlung,19),295)+1)</f>
      </c>
      <c r="F8939" s="43">
        <f>IF($E8939=0,0,YEAR($E8939))</f>
      </c>
      <c r="G8939" s="43">
        <f>IF(INDEX(DarlBindung,19)="",1,IF($E8939&lt;=INDEX(DarlBindung,19),1,0))</f>
      </c>
      <c r="H8939" s="43">
        <f>IF($G8939=1,INDEX(DarlSollzins,19),INDEX(DarlAnschluss,19))</f>
      </c>
      <c r="I8939" s="43">
        <f>IF(INDEX(DarlBelegt,19)=0,0,IF(INDEX(DarlOhneTilgung,19)=1,IF(INDEX(DarlBindung,19)="",1,$G8939),IF($J8939&gt;0.005,1,0)))</f>
      </c>
      <c r="J8939" s="43">
        <f>IF($I8938=0,0,$R8938)</f>
      </c>
      <c r="K8939" s="43">
        <f>IF($I8939=0,0,IF(INDEX(DarlOhneTilgung,19)=1,0,IF(AND(INDEX(DarlTilgStart,19)&gt;0,$E8939=INDEX(DarlTilgStart,19)),$J8939*($H8939+INDEX(DarlTilgung,19))/100/12,IF(AND($G8939=0,$G8938=1),MAX($K8938,$J8939*($H8939+1)/100/12),$K8938))))</f>
      </c>
      <c r="L8939" s="43">
        <f>IF($I8939=0,0,$J8939*$H8939/100/12)</f>
      </c>
      <c r="M8939" s="43">
        <f>IF($I8939=0,0,IF(OR(INDEX(DarlOhneTilgung,19)=1,AND(INDEX(DarlTilgStart,19)&gt;0,$E8939&lt;INDEX(DarlTilgStart,19))),0,MIN(MAX(0,$K8939-$L8939),$J8939)))</f>
      </c>
      <c r="N8939" s="43">
        <f>IF($I8939=0,0,MIN(SUMIFS(SondBetrag,SondDarl,19,SondDatum,"&gt;="&amp;$E8939,SondDatum,"&lt;="&amp;EOMONTH($E8939,0)),$J8939-$M8939))</f>
      </c>
      <c r="O8939" s="43">
        <f>IF($I8939=0,0,INDEX(DarlErsatzRate,19))</f>
      </c>
      <c r="P8939" s="43">
        <f>IF($I8939=0,0,$Q8938*INDEX(DarlErsatzZins,19))</f>
      </c>
      <c r="Q8939" s="43">
        <f>IF($I8939=0,0,$Q8938+$P8939+$O8939)</f>
      </c>
      <c r="R8939" s="43">
        <f>IF($I8939=0,0,$J8939-$M8939-$N8939)</f>
      </c>
    </row>
    <row r="8940">
      <c r="A8940"/>
      <c r="B8940">
        <v>19</v>
      </c>
      <c r="C8940" s="43">
        <f>INDEX(DarlObj,19)</f>
      </c>
      <c r="D8940">
        <v>297</v>
      </c>
      <c r="E8940" s="51">
        <f>IF(INDEX(DarlBelegt,19)=0,0,EOMONTH(INDEX(DarlAuszahlung,19),296)+1)</f>
      </c>
      <c r="F8940" s="43">
        <f>IF($E8940=0,0,YEAR($E8940))</f>
      </c>
      <c r="G8940" s="43">
        <f>IF(INDEX(DarlBindung,19)="",1,IF($E8940&lt;=INDEX(DarlBindung,19),1,0))</f>
      </c>
      <c r="H8940" s="43">
        <f>IF($G8940=1,INDEX(DarlSollzins,19),INDEX(DarlAnschluss,19))</f>
      </c>
      <c r="I8940" s="43">
        <f>IF(INDEX(DarlBelegt,19)=0,0,IF(INDEX(DarlOhneTilgung,19)=1,IF(INDEX(DarlBindung,19)="",1,$G8940),IF($J8940&gt;0.005,1,0)))</f>
      </c>
      <c r="J8940" s="43">
        <f>IF($I8939=0,0,$R8939)</f>
      </c>
      <c r="K8940" s="43">
        <f>IF($I8940=0,0,IF(INDEX(DarlOhneTilgung,19)=1,0,IF(AND(INDEX(DarlTilgStart,19)&gt;0,$E8940=INDEX(DarlTilgStart,19)),$J8940*($H8940+INDEX(DarlTilgung,19))/100/12,IF(AND($G8940=0,$G8939=1),MAX($K8939,$J8940*($H8940+1)/100/12),$K8939))))</f>
      </c>
      <c r="L8940" s="43">
        <f>IF($I8940=0,0,$J8940*$H8940/100/12)</f>
      </c>
      <c r="M8940" s="43">
        <f>IF($I8940=0,0,IF(OR(INDEX(DarlOhneTilgung,19)=1,AND(INDEX(DarlTilgStart,19)&gt;0,$E8940&lt;INDEX(DarlTilgStart,19))),0,MIN(MAX(0,$K8940-$L8940),$J8940)))</f>
      </c>
      <c r="N8940" s="43">
        <f>IF($I8940=0,0,MIN(SUMIFS(SondBetrag,SondDarl,19,SondDatum,"&gt;="&amp;$E8940,SondDatum,"&lt;="&amp;EOMONTH($E8940,0)),$J8940-$M8940))</f>
      </c>
      <c r="O8940" s="43">
        <f>IF($I8940=0,0,INDEX(DarlErsatzRate,19))</f>
      </c>
      <c r="P8940" s="43">
        <f>IF($I8940=0,0,$Q8939*INDEX(DarlErsatzZins,19))</f>
      </c>
      <c r="Q8940" s="43">
        <f>IF($I8940=0,0,$Q8939+$P8940+$O8940)</f>
      </c>
      <c r="R8940" s="43">
        <f>IF($I8940=0,0,$J8940-$M8940-$N8940)</f>
      </c>
    </row>
    <row r="8941">
      <c r="A8941"/>
      <c r="B8941">
        <v>19</v>
      </c>
      <c r="C8941" s="43">
        <f>INDEX(DarlObj,19)</f>
      </c>
      <c r="D8941">
        <v>298</v>
      </c>
      <c r="E8941" s="51">
        <f>IF(INDEX(DarlBelegt,19)=0,0,EOMONTH(INDEX(DarlAuszahlung,19),297)+1)</f>
      </c>
      <c r="F8941" s="43">
        <f>IF($E8941=0,0,YEAR($E8941))</f>
      </c>
      <c r="G8941" s="43">
        <f>IF(INDEX(DarlBindung,19)="",1,IF($E8941&lt;=INDEX(DarlBindung,19),1,0))</f>
      </c>
      <c r="H8941" s="43">
        <f>IF($G8941=1,INDEX(DarlSollzins,19),INDEX(DarlAnschluss,19))</f>
      </c>
      <c r="I8941" s="43">
        <f>IF(INDEX(DarlBelegt,19)=0,0,IF(INDEX(DarlOhneTilgung,19)=1,IF(INDEX(DarlBindung,19)="",1,$G8941),IF($J8941&gt;0.005,1,0)))</f>
      </c>
      <c r="J8941" s="43">
        <f>IF($I8940=0,0,$R8940)</f>
      </c>
      <c r="K8941" s="43">
        <f>IF($I8941=0,0,IF(INDEX(DarlOhneTilgung,19)=1,0,IF(AND(INDEX(DarlTilgStart,19)&gt;0,$E8941=INDEX(DarlTilgStart,19)),$J8941*($H8941+INDEX(DarlTilgung,19))/100/12,IF(AND($G8941=0,$G8940=1),MAX($K8940,$J8941*($H8941+1)/100/12),$K8940))))</f>
      </c>
      <c r="L8941" s="43">
        <f>IF($I8941=0,0,$J8941*$H8941/100/12)</f>
      </c>
      <c r="M8941" s="43">
        <f>IF($I8941=0,0,IF(OR(INDEX(DarlOhneTilgung,19)=1,AND(INDEX(DarlTilgStart,19)&gt;0,$E8941&lt;INDEX(DarlTilgStart,19))),0,MIN(MAX(0,$K8941-$L8941),$J8941)))</f>
      </c>
      <c r="N8941" s="43">
        <f>IF($I8941=0,0,MIN(SUMIFS(SondBetrag,SondDarl,19,SondDatum,"&gt;="&amp;$E8941,SondDatum,"&lt;="&amp;EOMONTH($E8941,0)),$J8941-$M8941))</f>
      </c>
      <c r="O8941" s="43">
        <f>IF($I8941=0,0,INDEX(DarlErsatzRate,19))</f>
      </c>
      <c r="P8941" s="43">
        <f>IF($I8941=0,0,$Q8940*INDEX(DarlErsatzZins,19))</f>
      </c>
      <c r="Q8941" s="43">
        <f>IF($I8941=0,0,$Q8940+$P8941+$O8941)</f>
      </c>
      <c r="R8941" s="43">
        <f>IF($I8941=0,0,$J8941-$M8941-$N8941)</f>
      </c>
    </row>
    <row r="8942">
      <c r="A8942"/>
      <c r="B8942">
        <v>19</v>
      </c>
      <c r="C8942" s="43">
        <f>INDEX(DarlObj,19)</f>
      </c>
      <c r="D8942">
        <v>299</v>
      </c>
      <c r="E8942" s="51">
        <f>IF(INDEX(DarlBelegt,19)=0,0,EOMONTH(INDEX(DarlAuszahlung,19),298)+1)</f>
      </c>
      <c r="F8942" s="43">
        <f>IF($E8942=0,0,YEAR($E8942))</f>
      </c>
      <c r="G8942" s="43">
        <f>IF(INDEX(DarlBindung,19)="",1,IF($E8942&lt;=INDEX(DarlBindung,19),1,0))</f>
      </c>
      <c r="H8942" s="43">
        <f>IF($G8942=1,INDEX(DarlSollzins,19),INDEX(DarlAnschluss,19))</f>
      </c>
      <c r="I8942" s="43">
        <f>IF(INDEX(DarlBelegt,19)=0,0,IF(INDEX(DarlOhneTilgung,19)=1,IF(INDEX(DarlBindung,19)="",1,$G8942),IF($J8942&gt;0.005,1,0)))</f>
      </c>
      <c r="J8942" s="43">
        <f>IF($I8941=0,0,$R8941)</f>
      </c>
      <c r="K8942" s="43">
        <f>IF($I8942=0,0,IF(INDEX(DarlOhneTilgung,19)=1,0,IF(AND(INDEX(DarlTilgStart,19)&gt;0,$E8942=INDEX(DarlTilgStart,19)),$J8942*($H8942+INDEX(DarlTilgung,19))/100/12,IF(AND($G8942=0,$G8941=1),MAX($K8941,$J8942*($H8942+1)/100/12),$K8941))))</f>
      </c>
      <c r="L8942" s="43">
        <f>IF($I8942=0,0,$J8942*$H8942/100/12)</f>
      </c>
      <c r="M8942" s="43">
        <f>IF($I8942=0,0,IF(OR(INDEX(DarlOhneTilgung,19)=1,AND(INDEX(DarlTilgStart,19)&gt;0,$E8942&lt;INDEX(DarlTilgStart,19))),0,MIN(MAX(0,$K8942-$L8942),$J8942)))</f>
      </c>
      <c r="N8942" s="43">
        <f>IF($I8942=0,0,MIN(SUMIFS(SondBetrag,SondDarl,19,SondDatum,"&gt;="&amp;$E8942,SondDatum,"&lt;="&amp;EOMONTH($E8942,0)),$J8942-$M8942))</f>
      </c>
      <c r="O8942" s="43">
        <f>IF($I8942=0,0,INDEX(DarlErsatzRate,19))</f>
      </c>
      <c r="P8942" s="43">
        <f>IF($I8942=0,0,$Q8941*INDEX(DarlErsatzZins,19))</f>
      </c>
      <c r="Q8942" s="43">
        <f>IF($I8942=0,0,$Q8941+$P8942+$O8942)</f>
      </c>
      <c r="R8942" s="43">
        <f>IF($I8942=0,0,$J8942-$M8942-$N8942)</f>
      </c>
    </row>
    <row r="8943">
      <c r="A8943"/>
      <c r="B8943">
        <v>19</v>
      </c>
      <c r="C8943" s="43">
        <f>INDEX(DarlObj,19)</f>
      </c>
      <c r="D8943">
        <v>300</v>
      </c>
      <c r="E8943" s="51">
        <f>IF(INDEX(DarlBelegt,19)=0,0,EOMONTH(INDEX(DarlAuszahlung,19),299)+1)</f>
      </c>
      <c r="F8943" s="43">
        <f>IF($E8943=0,0,YEAR($E8943))</f>
      </c>
      <c r="G8943" s="43">
        <f>IF(INDEX(DarlBindung,19)="",1,IF($E8943&lt;=INDEX(DarlBindung,19),1,0))</f>
      </c>
      <c r="H8943" s="43">
        <f>IF($G8943=1,INDEX(DarlSollzins,19),INDEX(DarlAnschluss,19))</f>
      </c>
      <c r="I8943" s="43">
        <f>IF(INDEX(DarlBelegt,19)=0,0,IF(INDEX(DarlOhneTilgung,19)=1,IF(INDEX(DarlBindung,19)="",1,$G8943),IF($J8943&gt;0.005,1,0)))</f>
      </c>
      <c r="J8943" s="43">
        <f>IF($I8942=0,0,$R8942)</f>
      </c>
      <c r="K8943" s="43">
        <f>IF($I8943=0,0,IF(INDEX(DarlOhneTilgung,19)=1,0,IF(AND(INDEX(DarlTilgStart,19)&gt;0,$E8943=INDEX(DarlTilgStart,19)),$J8943*($H8943+INDEX(DarlTilgung,19))/100/12,IF(AND($G8943=0,$G8942=1),MAX($K8942,$J8943*($H8943+1)/100/12),$K8942))))</f>
      </c>
      <c r="L8943" s="43">
        <f>IF($I8943=0,0,$J8943*$H8943/100/12)</f>
      </c>
      <c r="M8943" s="43">
        <f>IF($I8943=0,0,IF(OR(INDEX(DarlOhneTilgung,19)=1,AND(INDEX(DarlTilgStart,19)&gt;0,$E8943&lt;INDEX(DarlTilgStart,19))),0,MIN(MAX(0,$K8943-$L8943),$J8943)))</f>
      </c>
      <c r="N8943" s="43">
        <f>IF($I8943=0,0,MIN(SUMIFS(SondBetrag,SondDarl,19,SondDatum,"&gt;="&amp;$E8943,SondDatum,"&lt;="&amp;EOMONTH($E8943,0)),$J8943-$M8943))</f>
      </c>
      <c r="O8943" s="43">
        <f>IF($I8943=0,0,INDEX(DarlErsatzRate,19))</f>
      </c>
      <c r="P8943" s="43">
        <f>IF($I8943=0,0,$Q8942*INDEX(DarlErsatzZins,19))</f>
      </c>
      <c r="Q8943" s="43">
        <f>IF($I8943=0,0,$Q8942+$P8943+$O8943)</f>
      </c>
      <c r="R8943" s="43">
        <f>IF($I8943=0,0,$J8943-$M8943-$N8943)</f>
      </c>
    </row>
    <row r="8944">
      <c r="A8944"/>
      <c r="B8944">
        <v>19</v>
      </c>
      <c r="C8944" s="43">
        <f>INDEX(DarlObj,19)</f>
      </c>
      <c r="D8944">
        <v>301</v>
      </c>
      <c r="E8944" s="51">
        <f>IF(INDEX(DarlBelegt,19)=0,0,EOMONTH(INDEX(DarlAuszahlung,19),300)+1)</f>
      </c>
      <c r="F8944" s="43">
        <f>IF($E8944=0,0,YEAR($E8944))</f>
      </c>
      <c r="G8944" s="43">
        <f>IF(INDEX(DarlBindung,19)="",1,IF($E8944&lt;=INDEX(DarlBindung,19),1,0))</f>
      </c>
      <c r="H8944" s="43">
        <f>IF($G8944=1,INDEX(DarlSollzins,19),INDEX(DarlAnschluss,19))</f>
      </c>
      <c r="I8944" s="43">
        <f>IF(INDEX(DarlBelegt,19)=0,0,IF(INDEX(DarlOhneTilgung,19)=1,IF(INDEX(DarlBindung,19)="",1,$G8944),IF($J8944&gt;0.005,1,0)))</f>
      </c>
      <c r="J8944" s="43">
        <f>IF($I8943=0,0,$R8943)</f>
      </c>
      <c r="K8944" s="43">
        <f>IF($I8944=0,0,IF(INDEX(DarlOhneTilgung,19)=1,0,IF(AND(INDEX(DarlTilgStart,19)&gt;0,$E8944=INDEX(DarlTilgStart,19)),$J8944*($H8944+INDEX(DarlTilgung,19))/100/12,IF(AND($G8944=0,$G8943=1),MAX($K8943,$J8944*($H8944+1)/100/12),$K8943))))</f>
      </c>
      <c r="L8944" s="43">
        <f>IF($I8944=0,0,$J8944*$H8944/100/12)</f>
      </c>
      <c r="M8944" s="43">
        <f>IF($I8944=0,0,IF(OR(INDEX(DarlOhneTilgung,19)=1,AND(INDEX(DarlTilgStart,19)&gt;0,$E8944&lt;INDEX(DarlTilgStart,19))),0,MIN(MAX(0,$K8944-$L8944),$J8944)))</f>
      </c>
      <c r="N8944" s="43">
        <f>IF($I8944=0,0,MIN(SUMIFS(SondBetrag,SondDarl,19,SondDatum,"&gt;="&amp;$E8944,SondDatum,"&lt;="&amp;EOMONTH($E8944,0)),$J8944-$M8944))</f>
      </c>
      <c r="O8944" s="43">
        <f>IF($I8944=0,0,INDEX(DarlErsatzRate,19))</f>
      </c>
      <c r="P8944" s="43">
        <f>IF($I8944=0,0,$Q8943*INDEX(DarlErsatzZins,19))</f>
      </c>
      <c r="Q8944" s="43">
        <f>IF($I8944=0,0,$Q8943+$P8944+$O8944)</f>
      </c>
      <c r="R8944" s="43">
        <f>IF($I8944=0,0,$J8944-$M8944-$N8944)</f>
      </c>
    </row>
    <row r="8945">
      <c r="A8945"/>
      <c r="B8945">
        <v>19</v>
      </c>
      <c r="C8945" s="43">
        <f>INDEX(DarlObj,19)</f>
      </c>
      <c r="D8945">
        <v>302</v>
      </c>
      <c r="E8945" s="51">
        <f>IF(INDEX(DarlBelegt,19)=0,0,EOMONTH(INDEX(DarlAuszahlung,19),301)+1)</f>
      </c>
      <c r="F8945" s="43">
        <f>IF($E8945=0,0,YEAR($E8945))</f>
      </c>
      <c r="G8945" s="43">
        <f>IF(INDEX(DarlBindung,19)="",1,IF($E8945&lt;=INDEX(DarlBindung,19),1,0))</f>
      </c>
      <c r="H8945" s="43">
        <f>IF($G8945=1,INDEX(DarlSollzins,19),INDEX(DarlAnschluss,19))</f>
      </c>
      <c r="I8945" s="43">
        <f>IF(INDEX(DarlBelegt,19)=0,0,IF(INDEX(DarlOhneTilgung,19)=1,IF(INDEX(DarlBindung,19)="",1,$G8945),IF($J8945&gt;0.005,1,0)))</f>
      </c>
      <c r="J8945" s="43">
        <f>IF($I8944=0,0,$R8944)</f>
      </c>
      <c r="K8945" s="43">
        <f>IF($I8945=0,0,IF(INDEX(DarlOhneTilgung,19)=1,0,IF(AND(INDEX(DarlTilgStart,19)&gt;0,$E8945=INDEX(DarlTilgStart,19)),$J8945*($H8945+INDEX(DarlTilgung,19))/100/12,IF(AND($G8945=0,$G8944=1),MAX($K8944,$J8945*($H8945+1)/100/12),$K8944))))</f>
      </c>
      <c r="L8945" s="43">
        <f>IF($I8945=0,0,$J8945*$H8945/100/12)</f>
      </c>
      <c r="M8945" s="43">
        <f>IF($I8945=0,0,IF(OR(INDEX(DarlOhneTilgung,19)=1,AND(INDEX(DarlTilgStart,19)&gt;0,$E8945&lt;INDEX(DarlTilgStart,19))),0,MIN(MAX(0,$K8945-$L8945),$J8945)))</f>
      </c>
      <c r="N8945" s="43">
        <f>IF($I8945=0,0,MIN(SUMIFS(SondBetrag,SondDarl,19,SondDatum,"&gt;="&amp;$E8945,SondDatum,"&lt;="&amp;EOMONTH($E8945,0)),$J8945-$M8945))</f>
      </c>
      <c r="O8945" s="43">
        <f>IF($I8945=0,0,INDEX(DarlErsatzRate,19))</f>
      </c>
      <c r="P8945" s="43">
        <f>IF($I8945=0,0,$Q8944*INDEX(DarlErsatzZins,19))</f>
      </c>
      <c r="Q8945" s="43">
        <f>IF($I8945=0,0,$Q8944+$P8945+$O8945)</f>
      </c>
      <c r="R8945" s="43">
        <f>IF($I8945=0,0,$J8945-$M8945-$N8945)</f>
      </c>
    </row>
    <row r="8946">
      <c r="A8946"/>
      <c r="B8946">
        <v>19</v>
      </c>
      <c r="C8946" s="43">
        <f>INDEX(DarlObj,19)</f>
      </c>
      <c r="D8946">
        <v>303</v>
      </c>
      <c r="E8946" s="51">
        <f>IF(INDEX(DarlBelegt,19)=0,0,EOMONTH(INDEX(DarlAuszahlung,19),302)+1)</f>
      </c>
      <c r="F8946" s="43">
        <f>IF($E8946=0,0,YEAR($E8946))</f>
      </c>
      <c r="G8946" s="43">
        <f>IF(INDEX(DarlBindung,19)="",1,IF($E8946&lt;=INDEX(DarlBindung,19),1,0))</f>
      </c>
      <c r="H8946" s="43">
        <f>IF($G8946=1,INDEX(DarlSollzins,19),INDEX(DarlAnschluss,19))</f>
      </c>
      <c r="I8946" s="43">
        <f>IF(INDEX(DarlBelegt,19)=0,0,IF(INDEX(DarlOhneTilgung,19)=1,IF(INDEX(DarlBindung,19)="",1,$G8946),IF($J8946&gt;0.005,1,0)))</f>
      </c>
      <c r="J8946" s="43">
        <f>IF($I8945=0,0,$R8945)</f>
      </c>
      <c r="K8946" s="43">
        <f>IF($I8946=0,0,IF(INDEX(DarlOhneTilgung,19)=1,0,IF(AND(INDEX(DarlTilgStart,19)&gt;0,$E8946=INDEX(DarlTilgStart,19)),$J8946*($H8946+INDEX(DarlTilgung,19))/100/12,IF(AND($G8946=0,$G8945=1),MAX($K8945,$J8946*($H8946+1)/100/12),$K8945))))</f>
      </c>
      <c r="L8946" s="43">
        <f>IF($I8946=0,0,$J8946*$H8946/100/12)</f>
      </c>
      <c r="M8946" s="43">
        <f>IF($I8946=0,0,IF(OR(INDEX(DarlOhneTilgung,19)=1,AND(INDEX(DarlTilgStart,19)&gt;0,$E8946&lt;INDEX(DarlTilgStart,19))),0,MIN(MAX(0,$K8946-$L8946),$J8946)))</f>
      </c>
      <c r="N8946" s="43">
        <f>IF($I8946=0,0,MIN(SUMIFS(SondBetrag,SondDarl,19,SondDatum,"&gt;="&amp;$E8946,SondDatum,"&lt;="&amp;EOMONTH($E8946,0)),$J8946-$M8946))</f>
      </c>
      <c r="O8946" s="43">
        <f>IF($I8946=0,0,INDEX(DarlErsatzRate,19))</f>
      </c>
      <c r="P8946" s="43">
        <f>IF($I8946=0,0,$Q8945*INDEX(DarlErsatzZins,19))</f>
      </c>
      <c r="Q8946" s="43">
        <f>IF($I8946=0,0,$Q8945+$P8946+$O8946)</f>
      </c>
      <c r="R8946" s="43">
        <f>IF($I8946=0,0,$J8946-$M8946-$N8946)</f>
      </c>
    </row>
    <row r="8947">
      <c r="A8947"/>
      <c r="B8947">
        <v>19</v>
      </c>
      <c r="C8947" s="43">
        <f>INDEX(DarlObj,19)</f>
      </c>
      <c r="D8947">
        <v>304</v>
      </c>
      <c r="E8947" s="51">
        <f>IF(INDEX(DarlBelegt,19)=0,0,EOMONTH(INDEX(DarlAuszahlung,19),303)+1)</f>
      </c>
      <c r="F8947" s="43">
        <f>IF($E8947=0,0,YEAR($E8947))</f>
      </c>
      <c r="G8947" s="43">
        <f>IF(INDEX(DarlBindung,19)="",1,IF($E8947&lt;=INDEX(DarlBindung,19),1,0))</f>
      </c>
      <c r="H8947" s="43">
        <f>IF($G8947=1,INDEX(DarlSollzins,19),INDEX(DarlAnschluss,19))</f>
      </c>
      <c r="I8947" s="43">
        <f>IF(INDEX(DarlBelegt,19)=0,0,IF(INDEX(DarlOhneTilgung,19)=1,IF(INDEX(DarlBindung,19)="",1,$G8947),IF($J8947&gt;0.005,1,0)))</f>
      </c>
      <c r="J8947" s="43">
        <f>IF($I8946=0,0,$R8946)</f>
      </c>
      <c r="K8947" s="43">
        <f>IF($I8947=0,0,IF(INDEX(DarlOhneTilgung,19)=1,0,IF(AND(INDEX(DarlTilgStart,19)&gt;0,$E8947=INDEX(DarlTilgStart,19)),$J8947*($H8947+INDEX(DarlTilgung,19))/100/12,IF(AND($G8947=0,$G8946=1),MAX($K8946,$J8947*($H8947+1)/100/12),$K8946))))</f>
      </c>
      <c r="L8947" s="43">
        <f>IF($I8947=0,0,$J8947*$H8947/100/12)</f>
      </c>
      <c r="M8947" s="43">
        <f>IF($I8947=0,0,IF(OR(INDEX(DarlOhneTilgung,19)=1,AND(INDEX(DarlTilgStart,19)&gt;0,$E8947&lt;INDEX(DarlTilgStart,19))),0,MIN(MAX(0,$K8947-$L8947),$J8947)))</f>
      </c>
      <c r="N8947" s="43">
        <f>IF($I8947=0,0,MIN(SUMIFS(SondBetrag,SondDarl,19,SondDatum,"&gt;="&amp;$E8947,SondDatum,"&lt;="&amp;EOMONTH($E8947,0)),$J8947-$M8947))</f>
      </c>
      <c r="O8947" s="43">
        <f>IF($I8947=0,0,INDEX(DarlErsatzRate,19))</f>
      </c>
      <c r="P8947" s="43">
        <f>IF($I8947=0,0,$Q8946*INDEX(DarlErsatzZins,19))</f>
      </c>
      <c r="Q8947" s="43">
        <f>IF($I8947=0,0,$Q8946+$P8947+$O8947)</f>
      </c>
      <c r="R8947" s="43">
        <f>IF($I8947=0,0,$J8947-$M8947-$N8947)</f>
      </c>
    </row>
    <row r="8948">
      <c r="A8948"/>
      <c r="B8948">
        <v>19</v>
      </c>
      <c r="C8948" s="43">
        <f>INDEX(DarlObj,19)</f>
      </c>
      <c r="D8948">
        <v>305</v>
      </c>
      <c r="E8948" s="51">
        <f>IF(INDEX(DarlBelegt,19)=0,0,EOMONTH(INDEX(DarlAuszahlung,19),304)+1)</f>
      </c>
      <c r="F8948" s="43">
        <f>IF($E8948=0,0,YEAR($E8948))</f>
      </c>
      <c r="G8948" s="43">
        <f>IF(INDEX(DarlBindung,19)="",1,IF($E8948&lt;=INDEX(DarlBindung,19),1,0))</f>
      </c>
      <c r="H8948" s="43">
        <f>IF($G8948=1,INDEX(DarlSollzins,19),INDEX(DarlAnschluss,19))</f>
      </c>
      <c r="I8948" s="43">
        <f>IF(INDEX(DarlBelegt,19)=0,0,IF(INDEX(DarlOhneTilgung,19)=1,IF(INDEX(DarlBindung,19)="",1,$G8948),IF($J8948&gt;0.005,1,0)))</f>
      </c>
      <c r="J8948" s="43">
        <f>IF($I8947=0,0,$R8947)</f>
      </c>
      <c r="K8948" s="43">
        <f>IF($I8948=0,0,IF(INDEX(DarlOhneTilgung,19)=1,0,IF(AND(INDEX(DarlTilgStart,19)&gt;0,$E8948=INDEX(DarlTilgStart,19)),$J8948*($H8948+INDEX(DarlTilgung,19))/100/12,IF(AND($G8948=0,$G8947=1),MAX($K8947,$J8948*($H8948+1)/100/12),$K8947))))</f>
      </c>
      <c r="L8948" s="43">
        <f>IF($I8948=0,0,$J8948*$H8948/100/12)</f>
      </c>
      <c r="M8948" s="43">
        <f>IF($I8948=0,0,IF(OR(INDEX(DarlOhneTilgung,19)=1,AND(INDEX(DarlTilgStart,19)&gt;0,$E8948&lt;INDEX(DarlTilgStart,19))),0,MIN(MAX(0,$K8948-$L8948),$J8948)))</f>
      </c>
      <c r="N8948" s="43">
        <f>IF($I8948=0,0,MIN(SUMIFS(SondBetrag,SondDarl,19,SondDatum,"&gt;="&amp;$E8948,SondDatum,"&lt;="&amp;EOMONTH($E8948,0)),$J8948-$M8948))</f>
      </c>
      <c r="O8948" s="43">
        <f>IF($I8948=0,0,INDEX(DarlErsatzRate,19))</f>
      </c>
      <c r="P8948" s="43">
        <f>IF($I8948=0,0,$Q8947*INDEX(DarlErsatzZins,19))</f>
      </c>
      <c r="Q8948" s="43">
        <f>IF($I8948=0,0,$Q8947+$P8948+$O8948)</f>
      </c>
      <c r="R8948" s="43">
        <f>IF($I8948=0,0,$J8948-$M8948-$N8948)</f>
      </c>
    </row>
    <row r="8949">
      <c r="A8949"/>
      <c r="B8949">
        <v>19</v>
      </c>
      <c r="C8949" s="43">
        <f>INDEX(DarlObj,19)</f>
      </c>
      <c r="D8949">
        <v>306</v>
      </c>
      <c r="E8949" s="51">
        <f>IF(INDEX(DarlBelegt,19)=0,0,EOMONTH(INDEX(DarlAuszahlung,19),305)+1)</f>
      </c>
      <c r="F8949" s="43">
        <f>IF($E8949=0,0,YEAR($E8949))</f>
      </c>
      <c r="G8949" s="43">
        <f>IF(INDEX(DarlBindung,19)="",1,IF($E8949&lt;=INDEX(DarlBindung,19),1,0))</f>
      </c>
      <c r="H8949" s="43">
        <f>IF($G8949=1,INDEX(DarlSollzins,19),INDEX(DarlAnschluss,19))</f>
      </c>
      <c r="I8949" s="43">
        <f>IF(INDEX(DarlBelegt,19)=0,0,IF(INDEX(DarlOhneTilgung,19)=1,IF(INDEX(DarlBindung,19)="",1,$G8949),IF($J8949&gt;0.005,1,0)))</f>
      </c>
      <c r="J8949" s="43">
        <f>IF($I8948=0,0,$R8948)</f>
      </c>
      <c r="K8949" s="43">
        <f>IF($I8949=0,0,IF(INDEX(DarlOhneTilgung,19)=1,0,IF(AND(INDEX(DarlTilgStart,19)&gt;0,$E8949=INDEX(DarlTilgStart,19)),$J8949*($H8949+INDEX(DarlTilgung,19))/100/12,IF(AND($G8949=0,$G8948=1),MAX($K8948,$J8949*($H8949+1)/100/12),$K8948))))</f>
      </c>
      <c r="L8949" s="43">
        <f>IF($I8949=0,0,$J8949*$H8949/100/12)</f>
      </c>
      <c r="M8949" s="43">
        <f>IF($I8949=0,0,IF(OR(INDEX(DarlOhneTilgung,19)=1,AND(INDEX(DarlTilgStart,19)&gt;0,$E8949&lt;INDEX(DarlTilgStart,19))),0,MIN(MAX(0,$K8949-$L8949),$J8949)))</f>
      </c>
      <c r="N8949" s="43">
        <f>IF($I8949=0,0,MIN(SUMIFS(SondBetrag,SondDarl,19,SondDatum,"&gt;="&amp;$E8949,SondDatum,"&lt;="&amp;EOMONTH($E8949,0)),$J8949-$M8949))</f>
      </c>
      <c r="O8949" s="43">
        <f>IF($I8949=0,0,INDEX(DarlErsatzRate,19))</f>
      </c>
      <c r="P8949" s="43">
        <f>IF($I8949=0,0,$Q8948*INDEX(DarlErsatzZins,19))</f>
      </c>
      <c r="Q8949" s="43">
        <f>IF($I8949=0,0,$Q8948+$P8949+$O8949)</f>
      </c>
      <c r="R8949" s="43">
        <f>IF($I8949=0,0,$J8949-$M8949-$N8949)</f>
      </c>
    </row>
    <row r="8950">
      <c r="A8950"/>
      <c r="B8950">
        <v>19</v>
      </c>
      <c r="C8950" s="43">
        <f>INDEX(DarlObj,19)</f>
      </c>
      <c r="D8950">
        <v>307</v>
      </c>
      <c r="E8950" s="51">
        <f>IF(INDEX(DarlBelegt,19)=0,0,EOMONTH(INDEX(DarlAuszahlung,19),306)+1)</f>
      </c>
      <c r="F8950" s="43">
        <f>IF($E8950=0,0,YEAR($E8950))</f>
      </c>
      <c r="G8950" s="43">
        <f>IF(INDEX(DarlBindung,19)="",1,IF($E8950&lt;=INDEX(DarlBindung,19),1,0))</f>
      </c>
      <c r="H8950" s="43">
        <f>IF($G8950=1,INDEX(DarlSollzins,19),INDEX(DarlAnschluss,19))</f>
      </c>
      <c r="I8950" s="43">
        <f>IF(INDEX(DarlBelegt,19)=0,0,IF(INDEX(DarlOhneTilgung,19)=1,IF(INDEX(DarlBindung,19)="",1,$G8950),IF($J8950&gt;0.005,1,0)))</f>
      </c>
      <c r="J8950" s="43">
        <f>IF($I8949=0,0,$R8949)</f>
      </c>
      <c r="K8950" s="43">
        <f>IF($I8950=0,0,IF(INDEX(DarlOhneTilgung,19)=1,0,IF(AND(INDEX(DarlTilgStart,19)&gt;0,$E8950=INDEX(DarlTilgStart,19)),$J8950*($H8950+INDEX(DarlTilgung,19))/100/12,IF(AND($G8950=0,$G8949=1),MAX($K8949,$J8950*($H8950+1)/100/12),$K8949))))</f>
      </c>
      <c r="L8950" s="43">
        <f>IF($I8950=0,0,$J8950*$H8950/100/12)</f>
      </c>
      <c r="M8950" s="43">
        <f>IF($I8950=0,0,IF(OR(INDEX(DarlOhneTilgung,19)=1,AND(INDEX(DarlTilgStart,19)&gt;0,$E8950&lt;INDEX(DarlTilgStart,19))),0,MIN(MAX(0,$K8950-$L8950),$J8950)))</f>
      </c>
      <c r="N8950" s="43">
        <f>IF($I8950=0,0,MIN(SUMIFS(SondBetrag,SondDarl,19,SondDatum,"&gt;="&amp;$E8950,SondDatum,"&lt;="&amp;EOMONTH($E8950,0)),$J8950-$M8950))</f>
      </c>
      <c r="O8950" s="43">
        <f>IF($I8950=0,0,INDEX(DarlErsatzRate,19))</f>
      </c>
      <c r="P8950" s="43">
        <f>IF($I8950=0,0,$Q8949*INDEX(DarlErsatzZins,19))</f>
      </c>
      <c r="Q8950" s="43">
        <f>IF($I8950=0,0,$Q8949+$P8950+$O8950)</f>
      </c>
      <c r="R8950" s="43">
        <f>IF($I8950=0,0,$J8950-$M8950-$N8950)</f>
      </c>
    </row>
    <row r="8951">
      <c r="A8951"/>
      <c r="B8951">
        <v>19</v>
      </c>
      <c r="C8951" s="43">
        <f>INDEX(DarlObj,19)</f>
      </c>
      <c r="D8951">
        <v>308</v>
      </c>
      <c r="E8951" s="51">
        <f>IF(INDEX(DarlBelegt,19)=0,0,EOMONTH(INDEX(DarlAuszahlung,19),307)+1)</f>
      </c>
      <c r="F8951" s="43">
        <f>IF($E8951=0,0,YEAR($E8951))</f>
      </c>
      <c r="G8951" s="43">
        <f>IF(INDEX(DarlBindung,19)="",1,IF($E8951&lt;=INDEX(DarlBindung,19),1,0))</f>
      </c>
      <c r="H8951" s="43">
        <f>IF($G8951=1,INDEX(DarlSollzins,19),INDEX(DarlAnschluss,19))</f>
      </c>
      <c r="I8951" s="43">
        <f>IF(INDEX(DarlBelegt,19)=0,0,IF(INDEX(DarlOhneTilgung,19)=1,IF(INDEX(DarlBindung,19)="",1,$G8951),IF($J8951&gt;0.005,1,0)))</f>
      </c>
      <c r="J8951" s="43">
        <f>IF($I8950=0,0,$R8950)</f>
      </c>
      <c r="K8951" s="43">
        <f>IF($I8951=0,0,IF(INDEX(DarlOhneTilgung,19)=1,0,IF(AND(INDEX(DarlTilgStart,19)&gt;0,$E8951=INDEX(DarlTilgStart,19)),$J8951*($H8951+INDEX(DarlTilgung,19))/100/12,IF(AND($G8951=0,$G8950=1),MAX($K8950,$J8951*($H8951+1)/100/12),$K8950))))</f>
      </c>
      <c r="L8951" s="43">
        <f>IF($I8951=0,0,$J8951*$H8951/100/12)</f>
      </c>
      <c r="M8951" s="43">
        <f>IF($I8951=0,0,IF(OR(INDEX(DarlOhneTilgung,19)=1,AND(INDEX(DarlTilgStart,19)&gt;0,$E8951&lt;INDEX(DarlTilgStart,19))),0,MIN(MAX(0,$K8951-$L8951),$J8951)))</f>
      </c>
      <c r="N8951" s="43">
        <f>IF($I8951=0,0,MIN(SUMIFS(SondBetrag,SondDarl,19,SondDatum,"&gt;="&amp;$E8951,SondDatum,"&lt;="&amp;EOMONTH($E8951,0)),$J8951-$M8951))</f>
      </c>
      <c r="O8951" s="43">
        <f>IF($I8951=0,0,INDEX(DarlErsatzRate,19))</f>
      </c>
      <c r="P8951" s="43">
        <f>IF($I8951=0,0,$Q8950*INDEX(DarlErsatzZins,19))</f>
      </c>
      <c r="Q8951" s="43">
        <f>IF($I8951=0,0,$Q8950+$P8951+$O8951)</f>
      </c>
      <c r="R8951" s="43">
        <f>IF($I8951=0,0,$J8951-$M8951-$N8951)</f>
      </c>
    </row>
    <row r="8952">
      <c r="A8952"/>
      <c r="B8952">
        <v>19</v>
      </c>
      <c r="C8952" s="43">
        <f>INDEX(DarlObj,19)</f>
      </c>
      <c r="D8952">
        <v>309</v>
      </c>
      <c r="E8952" s="51">
        <f>IF(INDEX(DarlBelegt,19)=0,0,EOMONTH(INDEX(DarlAuszahlung,19),308)+1)</f>
      </c>
      <c r="F8952" s="43">
        <f>IF($E8952=0,0,YEAR($E8952))</f>
      </c>
      <c r="G8952" s="43">
        <f>IF(INDEX(DarlBindung,19)="",1,IF($E8952&lt;=INDEX(DarlBindung,19),1,0))</f>
      </c>
      <c r="H8952" s="43">
        <f>IF($G8952=1,INDEX(DarlSollzins,19),INDEX(DarlAnschluss,19))</f>
      </c>
      <c r="I8952" s="43">
        <f>IF(INDEX(DarlBelegt,19)=0,0,IF(INDEX(DarlOhneTilgung,19)=1,IF(INDEX(DarlBindung,19)="",1,$G8952),IF($J8952&gt;0.005,1,0)))</f>
      </c>
      <c r="J8952" s="43">
        <f>IF($I8951=0,0,$R8951)</f>
      </c>
      <c r="K8952" s="43">
        <f>IF($I8952=0,0,IF(INDEX(DarlOhneTilgung,19)=1,0,IF(AND(INDEX(DarlTilgStart,19)&gt;0,$E8952=INDEX(DarlTilgStart,19)),$J8952*($H8952+INDEX(DarlTilgung,19))/100/12,IF(AND($G8952=0,$G8951=1),MAX($K8951,$J8952*($H8952+1)/100/12),$K8951))))</f>
      </c>
      <c r="L8952" s="43">
        <f>IF($I8952=0,0,$J8952*$H8952/100/12)</f>
      </c>
      <c r="M8952" s="43">
        <f>IF($I8952=0,0,IF(OR(INDEX(DarlOhneTilgung,19)=1,AND(INDEX(DarlTilgStart,19)&gt;0,$E8952&lt;INDEX(DarlTilgStart,19))),0,MIN(MAX(0,$K8952-$L8952),$J8952)))</f>
      </c>
      <c r="N8952" s="43">
        <f>IF($I8952=0,0,MIN(SUMIFS(SondBetrag,SondDarl,19,SondDatum,"&gt;="&amp;$E8952,SondDatum,"&lt;="&amp;EOMONTH($E8952,0)),$J8952-$M8952))</f>
      </c>
      <c r="O8952" s="43">
        <f>IF($I8952=0,0,INDEX(DarlErsatzRate,19))</f>
      </c>
      <c r="P8952" s="43">
        <f>IF($I8952=0,0,$Q8951*INDEX(DarlErsatzZins,19))</f>
      </c>
      <c r="Q8952" s="43">
        <f>IF($I8952=0,0,$Q8951+$P8952+$O8952)</f>
      </c>
      <c r="R8952" s="43">
        <f>IF($I8952=0,0,$J8952-$M8952-$N8952)</f>
      </c>
    </row>
    <row r="8953">
      <c r="A8953"/>
      <c r="B8953">
        <v>19</v>
      </c>
      <c r="C8953" s="43">
        <f>INDEX(DarlObj,19)</f>
      </c>
      <c r="D8953">
        <v>310</v>
      </c>
      <c r="E8953" s="51">
        <f>IF(INDEX(DarlBelegt,19)=0,0,EOMONTH(INDEX(DarlAuszahlung,19),309)+1)</f>
      </c>
      <c r="F8953" s="43">
        <f>IF($E8953=0,0,YEAR($E8953))</f>
      </c>
      <c r="G8953" s="43">
        <f>IF(INDEX(DarlBindung,19)="",1,IF($E8953&lt;=INDEX(DarlBindung,19),1,0))</f>
      </c>
      <c r="H8953" s="43">
        <f>IF($G8953=1,INDEX(DarlSollzins,19),INDEX(DarlAnschluss,19))</f>
      </c>
      <c r="I8953" s="43">
        <f>IF(INDEX(DarlBelegt,19)=0,0,IF(INDEX(DarlOhneTilgung,19)=1,IF(INDEX(DarlBindung,19)="",1,$G8953),IF($J8953&gt;0.005,1,0)))</f>
      </c>
      <c r="J8953" s="43">
        <f>IF($I8952=0,0,$R8952)</f>
      </c>
      <c r="K8953" s="43">
        <f>IF($I8953=0,0,IF(INDEX(DarlOhneTilgung,19)=1,0,IF(AND(INDEX(DarlTilgStart,19)&gt;0,$E8953=INDEX(DarlTilgStart,19)),$J8953*($H8953+INDEX(DarlTilgung,19))/100/12,IF(AND($G8953=0,$G8952=1),MAX($K8952,$J8953*($H8953+1)/100/12),$K8952))))</f>
      </c>
      <c r="L8953" s="43">
        <f>IF($I8953=0,0,$J8953*$H8953/100/12)</f>
      </c>
      <c r="M8953" s="43">
        <f>IF($I8953=0,0,IF(OR(INDEX(DarlOhneTilgung,19)=1,AND(INDEX(DarlTilgStart,19)&gt;0,$E8953&lt;INDEX(DarlTilgStart,19))),0,MIN(MAX(0,$K8953-$L8953),$J8953)))</f>
      </c>
      <c r="N8953" s="43">
        <f>IF($I8953=0,0,MIN(SUMIFS(SondBetrag,SondDarl,19,SondDatum,"&gt;="&amp;$E8953,SondDatum,"&lt;="&amp;EOMONTH($E8953,0)),$J8953-$M8953))</f>
      </c>
      <c r="O8953" s="43">
        <f>IF($I8953=0,0,INDEX(DarlErsatzRate,19))</f>
      </c>
      <c r="P8953" s="43">
        <f>IF($I8953=0,0,$Q8952*INDEX(DarlErsatzZins,19))</f>
      </c>
      <c r="Q8953" s="43">
        <f>IF($I8953=0,0,$Q8952+$P8953+$O8953)</f>
      </c>
      <c r="R8953" s="43">
        <f>IF($I8953=0,0,$J8953-$M8953-$N8953)</f>
      </c>
    </row>
    <row r="8954">
      <c r="A8954"/>
      <c r="B8954">
        <v>19</v>
      </c>
      <c r="C8954" s="43">
        <f>INDEX(DarlObj,19)</f>
      </c>
      <c r="D8954">
        <v>311</v>
      </c>
      <c r="E8954" s="51">
        <f>IF(INDEX(DarlBelegt,19)=0,0,EOMONTH(INDEX(DarlAuszahlung,19),310)+1)</f>
      </c>
      <c r="F8954" s="43">
        <f>IF($E8954=0,0,YEAR($E8954))</f>
      </c>
      <c r="G8954" s="43">
        <f>IF(INDEX(DarlBindung,19)="",1,IF($E8954&lt;=INDEX(DarlBindung,19),1,0))</f>
      </c>
      <c r="H8954" s="43">
        <f>IF($G8954=1,INDEX(DarlSollzins,19),INDEX(DarlAnschluss,19))</f>
      </c>
      <c r="I8954" s="43">
        <f>IF(INDEX(DarlBelegt,19)=0,0,IF(INDEX(DarlOhneTilgung,19)=1,IF(INDEX(DarlBindung,19)="",1,$G8954),IF($J8954&gt;0.005,1,0)))</f>
      </c>
      <c r="J8954" s="43">
        <f>IF($I8953=0,0,$R8953)</f>
      </c>
      <c r="K8954" s="43">
        <f>IF($I8954=0,0,IF(INDEX(DarlOhneTilgung,19)=1,0,IF(AND(INDEX(DarlTilgStart,19)&gt;0,$E8954=INDEX(DarlTilgStart,19)),$J8954*($H8954+INDEX(DarlTilgung,19))/100/12,IF(AND($G8954=0,$G8953=1),MAX($K8953,$J8954*($H8954+1)/100/12),$K8953))))</f>
      </c>
      <c r="L8954" s="43">
        <f>IF($I8954=0,0,$J8954*$H8954/100/12)</f>
      </c>
      <c r="M8954" s="43">
        <f>IF($I8954=0,0,IF(OR(INDEX(DarlOhneTilgung,19)=1,AND(INDEX(DarlTilgStart,19)&gt;0,$E8954&lt;INDEX(DarlTilgStart,19))),0,MIN(MAX(0,$K8954-$L8954),$J8954)))</f>
      </c>
      <c r="N8954" s="43">
        <f>IF($I8954=0,0,MIN(SUMIFS(SondBetrag,SondDarl,19,SondDatum,"&gt;="&amp;$E8954,SondDatum,"&lt;="&amp;EOMONTH($E8954,0)),$J8954-$M8954))</f>
      </c>
      <c r="O8954" s="43">
        <f>IF($I8954=0,0,INDEX(DarlErsatzRate,19))</f>
      </c>
      <c r="P8954" s="43">
        <f>IF($I8954=0,0,$Q8953*INDEX(DarlErsatzZins,19))</f>
      </c>
      <c r="Q8954" s="43">
        <f>IF($I8954=0,0,$Q8953+$P8954+$O8954)</f>
      </c>
      <c r="R8954" s="43">
        <f>IF($I8954=0,0,$J8954-$M8954-$N8954)</f>
      </c>
    </row>
    <row r="8955">
      <c r="A8955"/>
      <c r="B8955">
        <v>19</v>
      </c>
      <c r="C8955" s="43">
        <f>INDEX(DarlObj,19)</f>
      </c>
      <c r="D8955">
        <v>312</v>
      </c>
      <c r="E8955" s="51">
        <f>IF(INDEX(DarlBelegt,19)=0,0,EOMONTH(INDEX(DarlAuszahlung,19),311)+1)</f>
      </c>
      <c r="F8955" s="43">
        <f>IF($E8955=0,0,YEAR($E8955))</f>
      </c>
      <c r="G8955" s="43">
        <f>IF(INDEX(DarlBindung,19)="",1,IF($E8955&lt;=INDEX(DarlBindung,19),1,0))</f>
      </c>
      <c r="H8955" s="43">
        <f>IF($G8955=1,INDEX(DarlSollzins,19),INDEX(DarlAnschluss,19))</f>
      </c>
      <c r="I8955" s="43">
        <f>IF(INDEX(DarlBelegt,19)=0,0,IF(INDEX(DarlOhneTilgung,19)=1,IF(INDEX(DarlBindung,19)="",1,$G8955),IF($J8955&gt;0.005,1,0)))</f>
      </c>
      <c r="J8955" s="43">
        <f>IF($I8954=0,0,$R8954)</f>
      </c>
      <c r="K8955" s="43">
        <f>IF($I8955=0,0,IF(INDEX(DarlOhneTilgung,19)=1,0,IF(AND(INDEX(DarlTilgStart,19)&gt;0,$E8955=INDEX(DarlTilgStart,19)),$J8955*($H8955+INDEX(DarlTilgung,19))/100/12,IF(AND($G8955=0,$G8954=1),MAX($K8954,$J8955*($H8955+1)/100/12),$K8954))))</f>
      </c>
      <c r="L8955" s="43">
        <f>IF($I8955=0,0,$J8955*$H8955/100/12)</f>
      </c>
      <c r="M8955" s="43">
        <f>IF($I8955=0,0,IF(OR(INDEX(DarlOhneTilgung,19)=1,AND(INDEX(DarlTilgStart,19)&gt;0,$E8955&lt;INDEX(DarlTilgStart,19))),0,MIN(MAX(0,$K8955-$L8955),$J8955)))</f>
      </c>
      <c r="N8955" s="43">
        <f>IF($I8955=0,0,MIN(SUMIFS(SondBetrag,SondDarl,19,SondDatum,"&gt;="&amp;$E8955,SondDatum,"&lt;="&amp;EOMONTH($E8955,0)),$J8955-$M8955))</f>
      </c>
      <c r="O8955" s="43">
        <f>IF($I8955=0,0,INDEX(DarlErsatzRate,19))</f>
      </c>
      <c r="P8955" s="43">
        <f>IF($I8955=0,0,$Q8954*INDEX(DarlErsatzZins,19))</f>
      </c>
      <c r="Q8955" s="43">
        <f>IF($I8955=0,0,$Q8954+$P8955+$O8955)</f>
      </c>
      <c r="R8955" s="43">
        <f>IF($I8955=0,0,$J8955-$M8955-$N8955)</f>
      </c>
    </row>
    <row r="8956">
      <c r="A8956"/>
      <c r="B8956">
        <v>19</v>
      </c>
      <c r="C8956" s="43">
        <f>INDEX(DarlObj,19)</f>
      </c>
      <c r="D8956">
        <v>313</v>
      </c>
      <c r="E8956" s="51">
        <f>IF(INDEX(DarlBelegt,19)=0,0,EOMONTH(INDEX(DarlAuszahlung,19),312)+1)</f>
      </c>
      <c r="F8956" s="43">
        <f>IF($E8956=0,0,YEAR($E8956))</f>
      </c>
      <c r="G8956" s="43">
        <f>IF(INDEX(DarlBindung,19)="",1,IF($E8956&lt;=INDEX(DarlBindung,19),1,0))</f>
      </c>
      <c r="H8956" s="43">
        <f>IF($G8956=1,INDEX(DarlSollzins,19),INDEX(DarlAnschluss,19))</f>
      </c>
      <c r="I8956" s="43">
        <f>IF(INDEX(DarlBelegt,19)=0,0,IF(INDEX(DarlOhneTilgung,19)=1,IF(INDEX(DarlBindung,19)="",1,$G8956),IF($J8956&gt;0.005,1,0)))</f>
      </c>
      <c r="J8956" s="43">
        <f>IF($I8955=0,0,$R8955)</f>
      </c>
      <c r="K8956" s="43">
        <f>IF($I8956=0,0,IF(INDEX(DarlOhneTilgung,19)=1,0,IF(AND(INDEX(DarlTilgStart,19)&gt;0,$E8956=INDEX(DarlTilgStart,19)),$J8956*($H8956+INDEX(DarlTilgung,19))/100/12,IF(AND($G8956=0,$G8955=1),MAX($K8955,$J8956*($H8956+1)/100/12),$K8955))))</f>
      </c>
      <c r="L8956" s="43">
        <f>IF($I8956=0,0,$J8956*$H8956/100/12)</f>
      </c>
      <c r="M8956" s="43">
        <f>IF($I8956=0,0,IF(OR(INDEX(DarlOhneTilgung,19)=1,AND(INDEX(DarlTilgStart,19)&gt;0,$E8956&lt;INDEX(DarlTilgStart,19))),0,MIN(MAX(0,$K8956-$L8956),$J8956)))</f>
      </c>
      <c r="N8956" s="43">
        <f>IF($I8956=0,0,MIN(SUMIFS(SondBetrag,SondDarl,19,SondDatum,"&gt;="&amp;$E8956,SondDatum,"&lt;="&amp;EOMONTH($E8956,0)),$J8956-$M8956))</f>
      </c>
      <c r="O8956" s="43">
        <f>IF($I8956=0,0,INDEX(DarlErsatzRate,19))</f>
      </c>
      <c r="P8956" s="43">
        <f>IF($I8956=0,0,$Q8955*INDEX(DarlErsatzZins,19))</f>
      </c>
      <c r="Q8956" s="43">
        <f>IF($I8956=0,0,$Q8955+$P8956+$O8956)</f>
      </c>
      <c r="R8956" s="43">
        <f>IF($I8956=0,0,$J8956-$M8956-$N8956)</f>
      </c>
    </row>
    <row r="8957">
      <c r="A8957"/>
      <c r="B8957">
        <v>19</v>
      </c>
      <c r="C8957" s="43">
        <f>INDEX(DarlObj,19)</f>
      </c>
      <c r="D8957">
        <v>314</v>
      </c>
      <c r="E8957" s="51">
        <f>IF(INDEX(DarlBelegt,19)=0,0,EOMONTH(INDEX(DarlAuszahlung,19),313)+1)</f>
      </c>
      <c r="F8957" s="43">
        <f>IF($E8957=0,0,YEAR($E8957))</f>
      </c>
      <c r="G8957" s="43">
        <f>IF(INDEX(DarlBindung,19)="",1,IF($E8957&lt;=INDEX(DarlBindung,19),1,0))</f>
      </c>
      <c r="H8957" s="43">
        <f>IF($G8957=1,INDEX(DarlSollzins,19),INDEX(DarlAnschluss,19))</f>
      </c>
      <c r="I8957" s="43">
        <f>IF(INDEX(DarlBelegt,19)=0,0,IF(INDEX(DarlOhneTilgung,19)=1,IF(INDEX(DarlBindung,19)="",1,$G8957),IF($J8957&gt;0.005,1,0)))</f>
      </c>
      <c r="J8957" s="43">
        <f>IF($I8956=0,0,$R8956)</f>
      </c>
      <c r="K8957" s="43">
        <f>IF($I8957=0,0,IF(INDEX(DarlOhneTilgung,19)=1,0,IF(AND(INDEX(DarlTilgStart,19)&gt;0,$E8957=INDEX(DarlTilgStart,19)),$J8957*($H8957+INDEX(DarlTilgung,19))/100/12,IF(AND($G8957=0,$G8956=1),MAX($K8956,$J8957*($H8957+1)/100/12),$K8956))))</f>
      </c>
      <c r="L8957" s="43">
        <f>IF($I8957=0,0,$J8957*$H8957/100/12)</f>
      </c>
      <c r="M8957" s="43">
        <f>IF($I8957=0,0,IF(OR(INDEX(DarlOhneTilgung,19)=1,AND(INDEX(DarlTilgStart,19)&gt;0,$E8957&lt;INDEX(DarlTilgStart,19))),0,MIN(MAX(0,$K8957-$L8957),$J8957)))</f>
      </c>
      <c r="N8957" s="43">
        <f>IF($I8957=0,0,MIN(SUMIFS(SondBetrag,SondDarl,19,SondDatum,"&gt;="&amp;$E8957,SondDatum,"&lt;="&amp;EOMONTH($E8957,0)),$J8957-$M8957))</f>
      </c>
      <c r="O8957" s="43">
        <f>IF($I8957=0,0,INDEX(DarlErsatzRate,19))</f>
      </c>
      <c r="P8957" s="43">
        <f>IF($I8957=0,0,$Q8956*INDEX(DarlErsatzZins,19))</f>
      </c>
      <c r="Q8957" s="43">
        <f>IF($I8957=0,0,$Q8956+$P8957+$O8957)</f>
      </c>
      <c r="R8957" s="43">
        <f>IF($I8957=0,0,$J8957-$M8957-$N8957)</f>
      </c>
    </row>
    <row r="8958">
      <c r="A8958"/>
      <c r="B8958">
        <v>19</v>
      </c>
      <c r="C8958" s="43">
        <f>INDEX(DarlObj,19)</f>
      </c>
      <c r="D8958">
        <v>315</v>
      </c>
      <c r="E8958" s="51">
        <f>IF(INDEX(DarlBelegt,19)=0,0,EOMONTH(INDEX(DarlAuszahlung,19),314)+1)</f>
      </c>
      <c r="F8958" s="43">
        <f>IF($E8958=0,0,YEAR($E8958))</f>
      </c>
      <c r="G8958" s="43">
        <f>IF(INDEX(DarlBindung,19)="",1,IF($E8958&lt;=INDEX(DarlBindung,19),1,0))</f>
      </c>
      <c r="H8958" s="43">
        <f>IF($G8958=1,INDEX(DarlSollzins,19),INDEX(DarlAnschluss,19))</f>
      </c>
      <c r="I8958" s="43">
        <f>IF(INDEX(DarlBelegt,19)=0,0,IF(INDEX(DarlOhneTilgung,19)=1,IF(INDEX(DarlBindung,19)="",1,$G8958),IF($J8958&gt;0.005,1,0)))</f>
      </c>
      <c r="J8958" s="43">
        <f>IF($I8957=0,0,$R8957)</f>
      </c>
      <c r="K8958" s="43">
        <f>IF($I8958=0,0,IF(INDEX(DarlOhneTilgung,19)=1,0,IF(AND(INDEX(DarlTilgStart,19)&gt;0,$E8958=INDEX(DarlTilgStart,19)),$J8958*($H8958+INDEX(DarlTilgung,19))/100/12,IF(AND($G8958=0,$G8957=1),MAX($K8957,$J8958*($H8958+1)/100/12),$K8957))))</f>
      </c>
      <c r="L8958" s="43">
        <f>IF($I8958=0,0,$J8958*$H8958/100/12)</f>
      </c>
      <c r="M8958" s="43">
        <f>IF($I8958=0,0,IF(OR(INDEX(DarlOhneTilgung,19)=1,AND(INDEX(DarlTilgStart,19)&gt;0,$E8958&lt;INDEX(DarlTilgStart,19))),0,MIN(MAX(0,$K8958-$L8958),$J8958)))</f>
      </c>
      <c r="N8958" s="43">
        <f>IF($I8958=0,0,MIN(SUMIFS(SondBetrag,SondDarl,19,SondDatum,"&gt;="&amp;$E8958,SondDatum,"&lt;="&amp;EOMONTH($E8958,0)),$J8958-$M8958))</f>
      </c>
      <c r="O8958" s="43">
        <f>IF($I8958=0,0,INDEX(DarlErsatzRate,19))</f>
      </c>
      <c r="P8958" s="43">
        <f>IF($I8958=0,0,$Q8957*INDEX(DarlErsatzZins,19))</f>
      </c>
      <c r="Q8958" s="43">
        <f>IF($I8958=0,0,$Q8957+$P8958+$O8958)</f>
      </c>
      <c r="R8958" s="43">
        <f>IF($I8958=0,0,$J8958-$M8958-$N8958)</f>
      </c>
    </row>
    <row r="8959">
      <c r="A8959"/>
      <c r="B8959">
        <v>19</v>
      </c>
      <c r="C8959" s="43">
        <f>INDEX(DarlObj,19)</f>
      </c>
      <c r="D8959">
        <v>316</v>
      </c>
      <c r="E8959" s="51">
        <f>IF(INDEX(DarlBelegt,19)=0,0,EOMONTH(INDEX(DarlAuszahlung,19),315)+1)</f>
      </c>
      <c r="F8959" s="43">
        <f>IF($E8959=0,0,YEAR($E8959))</f>
      </c>
      <c r="G8959" s="43">
        <f>IF(INDEX(DarlBindung,19)="",1,IF($E8959&lt;=INDEX(DarlBindung,19),1,0))</f>
      </c>
      <c r="H8959" s="43">
        <f>IF($G8959=1,INDEX(DarlSollzins,19),INDEX(DarlAnschluss,19))</f>
      </c>
      <c r="I8959" s="43">
        <f>IF(INDEX(DarlBelegt,19)=0,0,IF(INDEX(DarlOhneTilgung,19)=1,IF(INDEX(DarlBindung,19)="",1,$G8959),IF($J8959&gt;0.005,1,0)))</f>
      </c>
      <c r="J8959" s="43">
        <f>IF($I8958=0,0,$R8958)</f>
      </c>
      <c r="K8959" s="43">
        <f>IF($I8959=0,0,IF(INDEX(DarlOhneTilgung,19)=1,0,IF(AND(INDEX(DarlTilgStart,19)&gt;0,$E8959=INDEX(DarlTilgStart,19)),$J8959*($H8959+INDEX(DarlTilgung,19))/100/12,IF(AND($G8959=0,$G8958=1),MAX($K8958,$J8959*($H8959+1)/100/12),$K8958))))</f>
      </c>
      <c r="L8959" s="43">
        <f>IF($I8959=0,0,$J8959*$H8959/100/12)</f>
      </c>
      <c r="M8959" s="43">
        <f>IF($I8959=0,0,IF(OR(INDEX(DarlOhneTilgung,19)=1,AND(INDEX(DarlTilgStart,19)&gt;0,$E8959&lt;INDEX(DarlTilgStart,19))),0,MIN(MAX(0,$K8959-$L8959),$J8959)))</f>
      </c>
      <c r="N8959" s="43">
        <f>IF($I8959=0,0,MIN(SUMIFS(SondBetrag,SondDarl,19,SondDatum,"&gt;="&amp;$E8959,SondDatum,"&lt;="&amp;EOMONTH($E8959,0)),$J8959-$M8959))</f>
      </c>
      <c r="O8959" s="43">
        <f>IF($I8959=0,0,INDEX(DarlErsatzRate,19))</f>
      </c>
      <c r="P8959" s="43">
        <f>IF($I8959=0,0,$Q8958*INDEX(DarlErsatzZins,19))</f>
      </c>
      <c r="Q8959" s="43">
        <f>IF($I8959=0,0,$Q8958+$P8959+$O8959)</f>
      </c>
      <c r="R8959" s="43">
        <f>IF($I8959=0,0,$J8959-$M8959-$N8959)</f>
      </c>
    </row>
    <row r="8960">
      <c r="A8960"/>
      <c r="B8960">
        <v>19</v>
      </c>
      <c r="C8960" s="43">
        <f>INDEX(DarlObj,19)</f>
      </c>
      <c r="D8960">
        <v>317</v>
      </c>
      <c r="E8960" s="51">
        <f>IF(INDEX(DarlBelegt,19)=0,0,EOMONTH(INDEX(DarlAuszahlung,19),316)+1)</f>
      </c>
      <c r="F8960" s="43">
        <f>IF($E8960=0,0,YEAR($E8960))</f>
      </c>
      <c r="G8960" s="43">
        <f>IF(INDEX(DarlBindung,19)="",1,IF($E8960&lt;=INDEX(DarlBindung,19),1,0))</f>
      </c>
      <c r="H8960" s="43">
        <f>IF($G8960=1,INDEX(DarlSollzins,19),INDEX(DarlAnschluss,19))</f>
      </c>
      <c r="I8960" s="43">
        <f>IF(INDEX(DarlBelegt,19)=0,0,IF(INDEX(DarlOhneTilgung,19)=1,IF(INDEX(DarlBindung,19)="",1,$G8960),IF($J8960&gt;0.005,1,0)))</f>
      </c>
      <c r="J8960" s="43">
        <f>IF($I8959=0,0,$R8959)</f>
      </c>
      <c r="K8960" s="43">
        <f>IF($I8960=0,0,IF(INDEX(DarlOhneTilgung,19)=1,0,IF(AND(INDEX(DarlTilgStart,19)&gt;0,$E8960=INDEX(DarlTilgStart,19)),$J8960*($H8960+INDEX(DarlTilgung,19))/100/12,IF(AND($G8960=0,$G8959=1),MAX($K8959,$J8960*($H8960+1)/100/12),$K8959))))</f>
      </c>
      <c r="L8960" s="43">
        <f>IF($I8960=0,0,$J8960*$H8960/100/12)</f>
      </c>
      <c r="M8960" s="43">
        <f>IF($I8960=0,0,IF(OR(INDEX(DarlOhneTilgung,19)=1,AND(INDEX(DarlTilgStart,19)&gt;0,$E8960&lt;INDEX(DarlTilgStart,19))),0,MIN(MAX(0,$K8960-$L8960),$J8960)))</f>
      </c>
      <c r="N8960" s="43">
        <f>IF($I8960=0,0,MIN(SUMIFS(SondBetrag,SondDarl,19,SondDatum,"&gt;="&amp;$E8960,SondDatum,"&lt;="&amp;EOMONTH($E8960,0)),$J8960-$M8960))</f>
      </c>
      <c r="O8960" s="43">
        <f>IF($I8960=0,0,INDEX(DarlErsatzRate,19))</f>
      </c>
      <c r="P8960" s="43">
        <f>IF($I8960=0,0,$Q8959*INDEX(DarlErsatzZins,19))</f>
      </c>
      <c r="Q8960" s="43">
        <f>IF($I8960=0,0,$Q8959+$P8960+$O8960)</f>
      </c>
      <c r="R8960" s="43">
        <f>IF($I8960=0,0,$J8960-$M8960-$N8960)</f>
      </c>
    </row>
    <row r="8961">
      <c r="A8961"/>
      <c r="B8961">
        <v>19</v>
      </c>
      <c r="C8961" s="43">
        <f>INDEX(DarlObj,19)</f>
      </c>
      <c r="D8961">
        <v>318</v>
      </c>
      <c r="E8961" s="51">
        <f>IF(INDEX(DarlBelegt,19)=0,0,EOMONTH(INDEX(DarlAuszahlung,19),317)+1)</f>
      </c>
      <c r="F8961" s="43">
        <f>IF($E8961=0,0,YEAR($E8961))</f>
      </c>
      <c r="G8961" s="43">
        <f>IF(INDEX(DarlBindung,19)="",1,IF($E8961&lt;=INDEX(DarlBindung,19),1,0))</f>
      </c>
      <c r="H8961" s="43">
        <f>IF($G8961=1,INDEX(DarlSollzins,19),INDEX(DarlAnschluss,19))</f>
      </c>
      <c r="I8961" s="43">
        <f>IF(INDEX(DarlBelegt,19)=0,0,IF(INDEX(DarlOhneTilgung,19)=1,IF(INDEX(DarlBindung,19)="",1,$G8961),IF($J8961&gt;0.005,1,0)))</f>
      </c>
      <c r="J8961" s="43">
        <f>IF($I8960=0,0,$R8960)</f>
      </c>
      <c r="K8961" s="43">
        <f>IF($I8961=0,0,IF(INDEX(DarlOhneTilgung,19)=1,0,IF(AND(INDEX(DarlTilgStart,19)&gt;0,$E8961=INDEX(DarlTilgStart,19)),$J8961*($H8961+INDEX(DarlTilgung,19))/100/12,IF(AND($G8961=0,$G8960=1),MAX($K8960,$J8961*($H8961+1)/100/12),$K8960))))</f>
      </c>
      <c r="L8961" s="43">
        <f>IF($I8961=0,0,$J8961*$H8961/100/12)</f>
      </c>
      <c r="M8961" s="43">
        <f>IF($I8961=0,0,IF(OR(INDEX(DarlOhneTilgung,19)=1,AND(INDEX(DarlTilgStart,19)&gt;0,$E8961&lt;INDEX(DarlTilgStart,19))),0,MIN(MAX(0,$K8961-$L8961),$J8961)))</f>
      </c>
      <c r="N8961" s="43">
        <f>IF($I8961=0,0,MIN(SUMIFS(SondBetrag,SondDarl,19,SondDatum,"&gt;="&amp;$E8961,SondDatum,"&lt;="&amp;EOMONTH($E8961,0)),$J8961-$M8961))</f>
      </c>
      <c r="O8961" s="43">
        <f>IF($I8961=0,0,INDEX(DarlErsatzRate,19))</f>
      </c>
      <c r="P8961" s="43">
        <f>IF($I8961=0,0,$Q8960*INDEX(DarlErsatzZins,19))</f>
      </c>
      <c r="Q8961" s="43">
        <f>IF($I8961=0,0,$Q8960+$P8961+$O8961)</f>
      </c>
      <c r="R8961" s="43">
        <f>IF($I8961=0,0,$J8961-$M8961-$N8961)</f>
      </c>
    </row>
    <row r="8962">
      <c r="A8962"/>
      <c r="B8962">
        <v>19</v>
      </c>
      <c r="C8962" s="43">
        <f>INDEX(DarlObj,19)</f>
      </c>
      <c r="D8962">
        <v>319</v>
      </c>
      <c r="E8962" s="51">
        <f>IF(INDEX(DarlBelegt,19)=0,0,EOMONTH(INDEX(DarlAuszahlung,19),318)+1)</f>
      </c>
      <c r="F8962" s="43">
        <f>IF($E8962=0,0,YEAR($E8962))</f>
      </c>
      <c r="G8962" s="43">
        <f>IF(INDEX(DarlBindung,19)="",1,IF($E8962&lt;=INDEX(DarlBindung,19),1,0))</f>
      </c>
      <c r="H8962" s="43">
        <f>IF($G8962=1,INDEX(DarlSollzins,19),INDEX(DarlAnschluss,19))</f>
      </c>
      <c r="I8962" s="43">
        <f>IF(INDEX(DarlBelegt,19)=0,0,IF(INDEX(DarlOhneTilgung,19)=1,IF(INDEX(DarlBindung,19)="",1,$G8962),IF($J8962&gt;0.005,1,0)))</f>
      </c>
      <c r="J8962" s="43">
        <f>IF($I8961=0,0,$R8961)</f>
      </c>
      <c r="K8962" s="43">
        <f>IF($I8962=0,0,IF(INDEX(DarlOhneTilgung,19)=1,0,IF(AND(INDEX(DarlTilgStart,19)&gt;0,$E8962=INDEX(DarlTilgStart,19)),$J8962*($H8962+INDEX(DarlTilgung,19))/100/12,IF(AND($G8962=0,$G8961=1),MAX($K8961,$J8962*($H8962+1)/100/12),$K8961))))</f>
      </c>
      <c r="L8962" s="43">
        <f>IF($I8962=0,0,$J8962*$H8962/100/12)</f>
      </c>
      <c r="M8962" s="43">
        <f>IF($I8962=0,0,IF(OR(INDEX(DarlOhneTilgung,19)=1,AND(INDEX(DarlTilgStart,19)&gt;0,$E8962&lt;INDEX(DarlTilgStart,19))),0,MIN(MAX(0,$K8962-$L8962),$J8962)))</f>
      </c>
      <c r="N8962" s="43">
        <f>IF($I8962=0,0,MIN(SUMIFS(SondBetrag,SondDarl,19,SondDatum,"&gt;="&amp;$E8962,SondDatum,"&lt;="&amp;EOMONTH($E8962,0)),$J8962-$M8962))</f>
      </c>
      <c r="O8962" s="43">
        <f>IF($I8962=0,0,INDEX(DarlErsatzRate,19))</f>
      </c>
      <c r="P8962" s="43">
        <f>IF($I8962=0,0,$Q8961*INDEX(DarlErsatzZins,19))</f>
      </c>
      <c r="Q8962" s="43">
        <f>IF($I8962=0,0,$Q8961+$P8962+$O8962)</f>
      </c>
      <c r="R8962" s="43">
        <f>IF($I8962=0,0,$J8962-$M8962-$N8962)</f>
      </c>
    </row>
    <row r="8963">
      <c r="A8963"/>
      <c r="B8963">
        <v>19</v>
      </c>
      <c r="C8963" s="43">
        <f>INDEX(DarlObj,19)</f>
      </c>
      <c r="D8963">
        <v>320</v>
      </c>
      <c r="E8963" s="51">
        <f>IF(INDEX(DarlBelegt,19)=0,0,EOMONTH(INDEX(DarlAuszahlung,19),319)+1)</f>
      </c>
      <c r="F8963" s="43">
        <f>IF($E8963=0,0,YEAR($E8963))</f>
      </c>
      <c r="G8963" s="43">
        <f>IF(INDEX(DarlBindung,19)="",1,IF($E8963&lt;=INDEX(DarlBindung,19),1,0))</f>
      </c>
      <c r="H8963" s="43">
        <f>IF($G8963=1,INDEX(DarlSollzins,19),INDEX(DarlAnschluss,19))</f>
      </c>
      <c r="I8963" s="43">
        <f>IF(INDEX(DarlBelegt,19)=0,0,IF(INDEX(DarlOhneTilgung,19)=1,IF(INDEX(DarlBindung,19)="",1,$G8963),IF($J8963&gt;0.005,1,0)))</f>
      </c>
      <c r="J8963" s="43">
        <f>IF($I8962=0,0,$R8962)</f>
      </c>
      <c r="K8963" s="43">
        <f>IF($I8963=0,0,IF(INDEX(DarlOhneTilgung,19)=1,0,IF(AND(INDEX(DarlTilgStart,19)&gt;0,$E8963=INDEX(DarlTilgStart,19)),$J8963*($H8963+INDEX(DarlTilgung,19))/100/12,IF(AND($G8963=0,$G8962=1),MAX($K8962,$J8963*($H8963+1)/100/12),$K8962))))</f>
      </c>
      <c r="L8963" s="43">
        <f>IF($I8963=0,0,$J8963*$H8963/100/12)</f>
      </c>
      <c r="M8963" s="43">
        <f>IF($I8963=0,0,IF(OR(INDEX(DarlOhneTilgung,19)=1,AND(INDEX(DarlTilgStart,19)&gt;0,$E8963&lt;INDEX(DarlTilgStart,19))),0,MIN(MAX(0,$K8963-$L8963),$J8963)))</f>
      </c>
      <c r="N8963" s="43">
        <f>IF($I8963=0,0,MIN(SUMIFS(SondBetrag,SondDarl,19,SondDatum,"&gt;="&amp;$E8963,SondDatum,"&lt;="&amp;EOMONTH($E8963,0)),$J8963-$M8963))</f>
      </c>
      <c r="O8963" s="43">
        <f>IF($I8963=0,0,INDEX(DarlErsatzRate,19))</f>
      </c>
      <c r="P8963" s="43">
        <f>IF($I8963=0,0,$Q8962*INDEX(DarlErsatzZins,19))</f>
      </c>
      <c r="Q8963" s="43">
        <f>IF($I8963=0,0,$Q8962+$P8963+$O8963)</f>
      </c>
      <c r="R8963" s="43">
        <f>IF($I8963=0,0,$J8963-$M8963-$N8963)</f>
      </c>
    </row>
    <row r="8964">
      <c r="A8964"/>
      <c r="B8964">
        <v>19</v>
      </c>
      <c r="C8964" s="43">
        <f>INDEX(DarlObj,19)</f>
      </c>
      <c r="D8964">
        <v>321</v>
      </c>
      <c r="E8964" s="51">
        <f>IF(INDEX(DarlBelegt,19)=0,0,EOMONTH(INDEX(DarlAuszahlung,19),320)+1)</f>
      </c>
      <c r="F8964" s="43">
        <f>IF($E8964=0,0,YEAR($E8964))</f>
      </c>
      <c r="G8964" s="43">
        <f>IF(INDEX(DarlBindung,19)="",1,IF($E8964&lt;=INDEX(DarlBindung,19),1,0))</f>
      </c>
      <c r="H8964" s="43">
        <f>IF($G8964=1,INDEX(DarlSollzins,19),INDEX(DarlAnschluss,19))</f>
      </c>
      <c r="I8964" s="43">
        <f>IF(INDEX(DarlBelegt,19)=0,0,IF(INDEX(DarlOhneTilgung,19)=1,IF(INDEX(DarlBindung,19)="",1,$G8964),IF($J8964&gt;0.005,1,0)))</f>
      </c>
      <c r="J8964" s="43">
        <f>IF($I8963=0,0,$R8963)</f>
      </c>
      <c r="K8964" s="43">
        <f>IF($I8964=0,0,IF(INDEX(DarlOhneTilgung,19)=1,0,IF(AND(INDEX(DarlTilgStart,19)&gt;0,$E8964=INDEX(DarlTilgStart,19)),$J8964*($H8964+INDEX(DarlTilgung,19))/100/12,IF(AND($G8964=0,$G8963=1),MAX($K8963,$J8964*($H8964+1)/100/12),$K8963))))</f>
      </c>
      <c r="L8964" s="43">
        <f>IF($I8964=0,0,$J8964*$H8964/100/12)</f>
      </c>
      <c r="M8964" s="43">
        <f>IF($I8964=0,0,IF(OR(INDEX(DarlOhneTilgung,19)=1,AND(INDEX(DarlTilgStart,19)&gt;0,$E8964&lt;INDEX(DarlTilgStart,19))),0,MIN(MAX(0,$K8964-$L8964),$J8964)))</f>
      </c>
      <c r="N8964" s="43">
        <f>IF($I8964=0,0,MIN(SUMIFS(SondBetrag,SondDarl,19,SondDatum,"&gt;="&amp;$E8964,SondDatum,"&lt;="&amp;EOMONTH($E8964,0)),$J8964-$M8964))</f>
      </c>
      <c r="O8964" s="43">
        <f>IF($I8964=0,0,INDEX(DarlErsatzRate,19))</f>
      </c>
      <c r="P8964" s="43">
        <f>IF($I8964=0,0,$Q8963*INDEX(DarlErsatzZins,19))</f>
      </c>
      <c r="Q8964" s="43">
        <f>IF($I8964=0,0,$Q8963+$P8964+$O8964)</f>
      </c>
      <c r="R8964" s="43">
        <f>IF($I8964=0,0,$J8964-$M8964-$N8964)</f>
      </c>
    </row>
    <row r="8965">
      <c r="A8965"/>
      <c r="B8965">
        <v>19</v>
      </c>
      <c r="C8965" s="43">
        <f>INDEX(DarlObj,19)</f>
      </c>
      <c r="D8965">
        <v>322</v>
      </c>
      <c r="E8965" s="51">
        <f>IF(INDEX(DarlBelegt,19)=0,0,EOMONTH(INDEX(DarlAuszahlung,19),321)+1)</f>
      </c>
      <c r="F8965" s="43">
        <f>IF($E8965=0,0,YEAR($E8965))</f>
      </c>
      <c r="G8965" s="43">
        <f>IF(INDEX(DarlBindung,19)="",1,IF($E8965&lt;=INDEX(DarlBindung,19),1,0))</f>
      </c>
      <c r="H8965" s="43">
        <f>IF($G8965=1,INDEX(DarlSollzins,19),INDEX(DarlAnschluss,19))</f>
      </c>
      <c r="I8965" s="43">
        <f>IF(INDEX(DarlBelegt,19)=0,0,IF(INDEX(DarlOhneTilgung,19)=1,IF(INDEX(DarlBindung,19)="",1,$G8965),IF($J8965&gt;0.005,1,0)))</f>
      </c>
      <c r="J8965" s="43">
        <f>IF($I8964=0,0,$R8964)</f>
      </c>
      <c r="K8965" s="43">
        <f>IF($I8965=0,0,IF(INDEX(DarlOhneTilgung,19)=1,0,IF(AND(INDEX(DarlTilgStart,19)&gt;0,$E8965=INDEX(DarlTilgStart,19)),$J8965*($H8965+INDEX(DarlTilgung,19))/100/12,IF(AND($G8965=0,$G8964=1),MAX($K8964,$J8965*($H8965+1)/100/12),$K8964))))</f>
      </c>
      <c r="L8965" s="43">
        <f>IF($I8965=0,0,$J8965*$H8965/100/12)</f>
      </c>
      <c r="M8965" s="43">
        <f>IF($I8965=0,0,IF(OR(INDEX(DarlOhneTilgung,19)=1,AND(INDEX(DarlTilgStart,19)&gt;0,$E8965&lt;INDEX(DarlTilgStart,19))),0,MIN(MAX(0,$K8965-$L8965),$J8965)))</f>
      </c>
      <c r="N8965" s="43">
        <f>IF($I8965=0,0,MIN(SUMIFS(SondBetrag,SondDarl,19,SondDatum,"&gt;="&amp;$E8965,SondDatum,"&lt;="&amp;EOMONTH($E8965,0)),$J8965-$M8965))</f>
      </c>
      <c r="O8965" s="43">
        <f>IF($I8965=0,0,INDEX(DarlErsatzRate,19))</f>
      </c>
      <c r="P8965" s="43">
        <f>IF($I8965=0,0,$Q8964*INDEX(DarlErsatzZins,19))</f>
      </c>
      <c r="Q8965" s="43">
        <f>IF($I8965=0,0,$Q8964+$P8965+$O8965)</f>
      </c>
      <c r="R8965" s="43">
        <f>IF($I8965=0,0,$J8965-$M8965-$N8965)</f>
      </c>
    </row>
    <row r="8966">
      <c r="A8966"/>
      <c r="B8966">
        <v>19</v>
      </c>
      <c r="C8966" s="43">
        <f>INDEX(DarlObj,19)</f>
      </c>
      <c r="D8966">
        <v>323</v>
      </c>
      <c r="E8966" s="51">
        <f>IF(INDEX(DarlBelegt,19)=0,0,EOMONTH(INDEX(DarlAuszahlung,19),322)+1)</f>
      </c>
      <c r="F8966" s="43">
        <f>IF($E8966=0,0,YEAR($E8966))</f>
      </c>
      <c r="G8966" s="43">
        <f>IF(INDEX(DarlBindung,19)="",1,IF($E8966&lt;=INDEX(DarlBindung,19),1,0))</f>
      </c>
      <c r="H8966" s="43">
        <f>IF($G8966=1,INDEX(DarlSollzins,19),INDEX(DarlAnschluss,19))</f>
      </c>
      <c r="I8966" s="43">
        <f>IF(INDEX(DarlBelegt,19)=0,0,IF(INDEX(DarlOhneTilgung,19)=1,IF(INDEX(DarlBindung,19)="",1,$G8966),IF($J8966&gt;0.005,1,0)))</f>
      </c>
      <c r="J8966" s="43">
        <f>IF($I8965=0,0,$R8965)</f>
      </c>
      <c r="K8966" s="43">
        <f>IF($I8966=0,0,IF(INDEX(DarlOhneTilgung,19)=1,0,IF(AND(INDEX(DarlTilgStart,19)&gt;0,$E8966=INDEX(DarlTilgStart,19)),$J8966*($H8966+INDEX(DarlTilgung,19))/100/12,IF(AND($G8966=0,$G8965=1),MAX($K8965,$J8966*($H8966+1)/100/12),$K8965))))</f>
      </c>
      <c r="L8966" s="43">
        <f>IF($I8966=0,0,$J8966*$H8966/100/12)</f>
      </c>
      <c r="M8966" s="43">
        <f>IF($I8966=0,0,IF(OR(INDEX(DarlOhneTilgung,19)=1,AND(INDEX(DarlTilgStart,19)&gt;0,$E8966&lt;INDEX(DarlTilgStart,19))),0,MIN(MAX(0,$K8966-$L8966),$J8966)))</f>
      </c>
      <c r="N8966" s="43">
        <f>IF($I8966=0,0,MIN(SUMIFS(SondBetrag,SondDarl,19,SondDatum,"&gt;="&amp;$E8966,SondDatum,"&lt;="&amp;EOMONTH($E8966,0)),$J8966-$M8966))</f>
      </c>
      <c r="O8966" s="43">
        <f>IF($I8966=0,0,INDEX(DarlErsatzRate,19))</f>
      </c>
      <c r="P8966" s="43">
        <f>IF($I8966=0,0,$Q8965*INDEX(DarlErsatzZins,19))</f>
      </c>
      <c r="Q8966" s="43">
        <f>IF($I8966=0,0,$Q8965+$P8966+$O8966)</f>
      </c>
      <c r="R8966" s="43">
        <f>IF($I8966=0,0,$J8966-$M8966-$N8966)</f>
      </c>
    </row>
    <row r="8967">
      <c r="A8967"/>
      <c r="B8967">
        <v>19</v>
      </c>
      <c r="C8967" s="43">
        <f>INDEX(DarlObj,19)</f>
      </c>
      <c r="D8967">
        <v>324</v>
      </c>
      <c r="E8967" s="51">
        <f>IF(INDEX(DarlBelegt,19)=0,0,EOMONTH(INDEX(DarlAuszahlung,19),323)+1)</f>
      </c>
      <c r="F8967" s="43">
        <f>IF($E8967=0,0,YEAR($E8967))</f>
      </c>
      <c r="G8967" s="43">
        <f>IF(INDEX(DarlBindung,19)="",1,IF($E8967&lt;=INDEX(DarlBindung,19),1,0))</f>
      </c>
      <c r="H8967" s="43">
        <f>IF($G8967=1,INDEX(DarlSollzins,19),INDEX(DarlAnschluss,19))</f>
      </c>
      <c r="I8967" s="43">
        <f>IF(INDEX(DarlBelegt,19)=0,0,IF(INDEX(DarlOhneTilgung,19)=1,IF(INDEX(DarlBindung,19)="",1,$G8967),IF($J8967&gt;0.005,1,0)))</f>
      </c>
      <c r="J8967" s="43">
        <f>IF($I8966=0,0,$R8966)</f>
      </c>
      <c r="K8967" s="43">
        <f>IF($I8967=0,0,IF(INDEX(DarlOhneTilgung,19)=1,0,IF(AND(INDEX(DarlTilgStart,19)&gt;0,$E8967=INDEX(DarlTilgStart,19)),$J8967*($H8967+INDEX(DarlTilgung,19))/100/12,IF(AND($G8967=0,$G8966=1),MAX($K8966,$J8967*($H8967+1)/100/12),$K8966))))</f>
      </c>
      <c r="L8967" s="43">
        <f>IF($I8967=0,0,$J8967*$H8967/100/12)</f>
      </c>
      <c r="M8967" s="43">
        <f>IF($I8967=0,0,IF(OR(INDEX(DarlOhneTilgung,19)=1,AND(INDEX(DarlTilgStart,19)&gt;0,$E8967&lt;INDEX(DarlTilgStart,19))),0,MIN(MAX(0,$K8967-$L8967),$J8967)))</f>
      </c>
      <c r="N8967" s="43">
        <f>IF($I8967=0,0,MIN(SUMIFS(SondBetrag,SondDarl,19,SondDatum,"&gt;="&amp;$E8967,SondDatum,"&lt;="&amp;EOMONTH($E8967,0)),$J8967-$M8967))</f>
      </c>
      <c r="O8967" s="43">
        <f>IF($I8967=0,0,INDEX(DarlErsatzRate,19))</f>
      </c>
      <c r="P8967" s="43">
        <f>IF($I8967=0,0,$Q8966*INDEX(DarlErsatzZins,19))</f>
      </c>
      <c r="Q8967" s="43">
        <f>IF($I8967=0,0,$Q8966+$P8967+$O8967)</f>
      </c>
      <c r="R8967" s="43">
        <f>IF($I8967=0,0,$J8967-$M8967-$N8967)</f>
      </c>
    </row>
    <row r="8968">
      <c r="A8968"/>
      <c r="B8968">
        <v>19</v>
      </c>
      <c r="C8968" s="43">
        <f>INDEX(DarlObj,19)</f>
      </c>
      <c r="D8968">
        <v>325</v>
      </c>
      <c r="E8968" s="51">
        <f>IF(INDEX(DarlBelegt,19)=0,0,EOMONTH(INDEX(DarlAuszahlung,19),324)+1)</f>
      </c>
      <c r="F8968" s="43">
        <f>IF($E8968=0,0,YEAR($E8968))</f>
      </c>
      <c r="G8968" s="43">
        <f>IF(INDEX(DarlBindung,19)="",1,IF($E8968&lt;=INDEX(DarlBindung,19),1,0))</f>
      </c>
      <c r="H8968" s="43">
        <f>IF($G8968=1,INDEX(DarlSollzins,19),INDEX(DarlAnschluss,19))</f>
      </c>
      <c r="I8968" s="43">
        <f>IF(INDEX(DarlBelegt,19)=0,0,IF(INDEX(DarlOhneTilgung,19)=1,IF(INDEX(DarlBindung,19)="",1,$G8968),IF($J8968&gt;0.005,1,0)))</f>
      </c>
      <c r="J8968" s="43">
        <f>IF($I8967=0,0,$R8967)</f>
      </c>
      <c r="K8968" s="43">
        <f>IF($I8968=0,0,IF(INDEX(DarlOhneTilgung,19)=1,0,IF(AND(INDEX(DarlTilgStart,19)&gt;0,$E8968=INDEX(DarlTilgStart,19)),$J8968*($H8968+INDEX(DarlTilgung,19))/100/12,IF(AND($G8968=0,$G8967=1),MAX($K8967,$J8968*($H8968+1)/100/12),$K8967))))</f>
      </c>
      <c r="L8968" s="43">
        <f>IF($I8968=0,0,$J8968*$H8968/100/12)</f>
      </c>
      <c r="M8968" s="43">
        <f>IF($I8968=0,0,IF(OR(INDEX(DarlOhneTilgung,19)=1,AND(INDEX(DarlTilgStart,19)&gt;0,$E8968&lt;INDEX(DarlTilgStart,19))),0,MIN(MAX(0,$K8968-$L8968),$J8968)))</f>
      </c>
      <c r="N8968" s="43">
        <f>IF($I8968=0,0,MIN(SUMIFS(SondBetrag,SondDarl,19,SondDatum,"&gt;="&amp;$E8968,SondDatum,"&lt;="&amp;EOMONTH($E8968,0)),$J8968-$M8968))</f>
      </c>
      <c r="O8968" s="43">
        <f>IF($I8968=0,0,INDEX(DarlErsatzRate,19))</f>
      </c>
      <c r="P8968" s="43">
        <f>IF($I8968=0,0,$Q8967*INDEX(DarlErsatzZins,19))</f>
      </c>
      <c r="Q8968" s="43">
        <f>IF($I8968=0,0,$Q8967+$P8968+$O8968)</f>
      </c>
      <c r="R8968" s="43">
        <f>IF($I8968=0,0,$J8968-$M8968-$N8968)</f>
      </c>
    </row>
    <row r="8969">
      <c r="A8969"/>
      <c r="B8969">
        <v>19</v>
      </c>
      <c r="C8969" s="43">
        <f>INDEX(DarlObj,19)</f>
      </c>
      <c r="D8969">
        <v>326</v>
      </c>
      <c r="E8969" s="51">
        <f>IF(INDEX(DarlBelegt,19)=0,0,EOMONTH(INDEX(DarlAuszahlung,19),325)+1)</f>
      </c>
      <c r="F8969" s="43">
        <f>IF($E8969=0,0,YEAR($E8969))</f>
      </c>
      <c r="G8969" s="43">
        <f>IF(INDEX(DarlBindung,19)="",1,IF($E8969&lt;=INDEX(DarlBindung,19),1,0))</f>
      </c>
      <c r="H8969" s="43">
        <f>IF($G8969=1,INDEX(DarlSollzins,19),INDEX(DarlAnschluss,19))</f>
      </c>
      <c r="I8969" s="43">
        <f>IF(INDEX(DarlBelegt,19)=0,0,IF(INDEX(DarlOhneTilgung,19)=1,IF(INDEX(DarlBindung,19)="",1,$G8969),IF($J8969&gt;0.005,1,0)))</f>
      </c>
      <c r="J8969" s="43">
        <f>IF($I8968=0,0,$R8968)</f>
      </c>
      <c r="K8969" s="43">
        <f>IF($I8969=0,0,IF(INDEX(DarlOhneTilgung,19)=1,0,IF(AND(INDEX(DarlTilgStart,19)&gt;0,$E8969=INDEX(DarlTilgStart,19)),$J8969*($H8969+INDEX(DarlTilgung,19))/100/12,IF(AND($G8969=0,$G8968=1),MAX($K8968,$J8969*($H8969+1)/100/12),$K8968))))</f>
      </c>
      <c r="L8969" s="43">
        <f>IF($I8969=0,0,$J8969*$H8969/100/12)</f>
      </c>
      <c r="M8969" s="43">
        <f>IF($I8969=0,0,IF(OR(INDEX(DarlOhneTilgung,19)=1,AND(INDEX(DarlTilgStart,19)&gt;0,$E8969&lt;INDEX(DarlTilgStart,19))),0,MIN(MAX(0,$K8969-$L8969),$J8969)))</f>
      </c>
      <c r="N8969" s="43">
        <f>IF($I8969=0,0,MIN(SUMIFS(SondBetrag,SondDarl,19,SondDatum,"&gt;="&amp;$E8969,SondDatum,"&lt;="&amp;EOMONTH($E8969,0)),$J8969-$M8969))</f>
      </c>
      <c r="O8969" s="43">
        <f>IF($I8969=0,0,INDEX(DarlErsatzRate,19))</f>
      </c>
      <c r="P8969" s="43">
        <f>IF($I8969=0,0,$Q8968*INDEX(DarlErsatzZins,19))</f>
      </c>
      <c r="Q8969" s="43">
        <f>IF($I8969=0,0,$Q8968+$P8969+$O8969)</f>
      </c>
      <c r="R8969" s="43">
        <f>IF($I8969=0,0,$J8969-$M8969-$N8969)</f>
      </c>
    </row>
    <row r="8970">
      <c r="A8970"/>
      <c r="B8970">
        <v>19</v>
      </c>
      <c r="C8970" s="43">
        <f>INDEX(DarlObj,19)</f>
      </c>
      <c r="D8970">
        <v>327</v>
      </c>
      <c r="E8970" s="51">
        <f>IF(INDEX(DarlBelegt,19)=0,0,EOMONTH(INDEX(DarlAuszahlung,19),326)+1)</f>
      </c>
      <c r="F8970" s="43">
        <f>IF($E8970=0,0,YEAR($E8970))</f>
      </c>
      <c r="G8970" s="43">
        <f>IF(INDEX(DarlBindung,19)="",1,IF($E8970&lt;=INDEX(DarlBindung,19),1,0))</f>
      </c>
      <c r="H8970" s="43">
        <f>IF($G8970=1,INDEX(DarlSollzins,19),INDEX(DarlAnschluss,19))</f>
      </c>
      <c r="I8970" s="43">
        <f>IF(INDEX(DarlBelegt,19)=0,0,IF(INDEX(DarlOhneTilgung,19)=1,IF(INDEX(DarlBindung,19)="",1,$G8970),IF($J8970&gt;0.005,1,0)))</f>
      </c>
      <c r="J8970" s="43">
        <f>IF($I8969=0,0,$R8969)</f>
      </c>
      <c r="K8970" s="43">
        <f>IF($I8970=0,0,IF(INDEX(DarlOhneTilgung,19)=1,0,IF(AND(INDEX(DarlTilgStart,19)&gt;0,$E8970=INDEX(DarlTilgStart,19)),$J8970*($H8970+INDEX(DarlTilgung,19))/100/12,IF(AND($G8970=0,$G8969=1),MAX($K8969,$J8970*($H8970+1)/100/12),$K8969))))</f>
      </c>
      <c r="L8970" s="43">
        <f>IF($I8970=0,0,$J8970*$H8970/100/12)</f>
      </c>
      <c r="M8970" s="43">
        <f>IF($I8970=0,0,IF(OR(INDEX(DarlOhneTilgung,19)=1,AND(INDEX(DarlTilgStart,19)&gt;0,$E8970&lt;INDEX(DarlTilgStart,19))),0,MIN(MAX(0,$K8970-$L8970),$J8970)))</f>
      </c>
      <c r="N8970" s="43">
        <f>IF($I8970=0,0,MIN(SUMIFS(SondBetrag,SondDarl,19,SondDatum,"&gt;="&amp;$E8970,SondDatum,"&lt;="&amp;EOMONTH($E8970,0)),$J8970-$M8970))</f>
      </c>
      <c r="O8970" s="43">
        <f>IF($I8970=0,0,INDEX(DarlErsatzRate,19))</f>
      </c>
      <c r="P8970" s="43">
        <f>IF($I8970=0,0,$Q8969*INDEX(DarlErsatzZins,19))</f>
      </c>
      <c r="Q8970" s="43">
        <f>IF($I8970=0,0,$Q8969+$P8970+$O8970)</f>
      </c>
      <c r="R8970" s="43">
        <f>IF($I8970=0,0,$J8970-$M8970-$N8970)</f>
      </c>
    </row>
    <row r="8971">
      <c r="A8971"/>
      <c r="B8971">
        <v>19</v>
      </c>
      <c r="C8971" s="43">
        <f>INDEX(DarlObj,19)</f>
      </c>
      <c r="D8971">
        <v>328</v>
      </c>
      <c r="E8971" s="51">
        <f>IF(INDEX(DarlBelegt,19)=0,0,EOMONTH(INDEX(DarlAuszahlung,19),327)+1)</f>
      </c>
      <c r="F8971" s="43">
        <f>IF($E8971=0,0,YEAR($E8971))</f>
      </c>
      <c r="G8971" s="43">
        <f>IF(INDEX(DarlBindung,19)="",1,IF($E8971&lt;=INDEX(DarlBindung,19),1,0))</f>
      </c>
      <c r="H8971" s="43">
        <f>IF($G8971=1,INDEX(DarlSollzins,19),INDEX(DarlAnschluss,19))</f>
      </c>
      <c r="I8971" s="43">
        <f>IF(INDEX(DarlBelegt,19)=0,0,IF(INDEX(DarlOhneTilgung,19)=1,IF(INDEX(DarlBindung,19)="",1,$G8971),IF($J8971&gt;0.005,1,0)))</f>
      </c>
      <c r="J8971" s="43">
        <f>IF($I8970=0,0,$R8970)</f>
      </c>
      <c r="K8971" s="43">
        <f>IF($I8971=0,0,IF(INDEX(DarlOhneTilgung,19)=1,0,IF(AND(INDEX(DarlTilgStart,19)&gt;0,$E8971=INDEX(DarlTilgStart,19)),$J8971*($H8971+INDEX(DarlTilgung,19))/100/12,IF(AND($G8971=0,$G8970=1),MAX($K8970,$J8971*($H8971+1)/100/12),$K8970))))</f>
      </c>
      <c r="L8971" s="43">
        <f>IF($I8971=0,0,$J8971*$H8971/100/12)</f>
      </c>
      <c r="M8971" s="43">
        <f>IF($I8971=0,0,IF(OR(INDEX(DarlOhneTilgung,19)=1,AND(INDEX(DarlTilgStart,19)&gt;0,$E8971&lt;INDEX(DarlTilgStart,19))),0,MIN(MAX(0,$K8971-$L8971),$J8971)))</f>
      </c>
      <c r="N8971" s="43">
        <f>IF($I8971=0,0,MIN(SUMIFS(SondBetrag,SondDarl,19,SondDatum,"&gt;="&amp;$E8971,SondDatum,"&lt;="&amp;EOMONTH($E8971,0)),$J8971-$M8971))</f>
      </c>
      <c r="O8971" s="43">
        <f>IF($I8971=0,0,INDEX(DarlErsatzRate,19))</f>
      </c>
      <c r="P8971" s="43">
        <f>IF($I8971=0,0,$Q8970*INDEX(DarlErsatzZins,19))</f>
      </c>
      <c r="Q8971" s="43">
        <f>IF($I8971=0,0,$Q8970+$P8971+$O8971)</f>
      </c>
      <c r="R8971" s="43">
        <f>IF($I8971=0,0,$J8971-$M8971-$N8971)</f>
      </c>
    </row>
    <row r="8972">
      <c r="A8972"/>
      <c r="B8972">
        <v>19</v>
      </c>
      <c r="C8972" s="43">
        <f>INDEX(DarlObj,19)</f>
      </c>
      <c r="D8972">
        <v>329</v>
      </c>
      <c r="E8972" s="51">
        <f>IF(INDEX(DarlBelegt,19)=0,0,EOMONTH(INDEX(DarlAuszahlung,19),328)+1)</f>
      </c>
      <c r="F8972" s="43">
        <f>IF($E8972=0,0,YEAR($E8972))</f>
      </c>
      <c r="G8972" s="43">
        <f>IF(INDEX(DarlBindung,19)="",1,IF($E8972&lt;=INDEX(DarlBindung,19),1,0))</f>
      </c>
      <c r="H8972" s="43">
        <f>IF($G8972=1,INDEX(DarlSollzins,19),INDEX(DarlAnschluss,19))</f>
      </c>
      <c r="I8972" s="43">
        <f>IF(INDEX(DarlBelegt,19)=0,0,IF(INDEX(DarlOhneTilgung,19)=1,IF(INDEX(DarlBindung,19)="",1,$G8972),IF($J8972&gt;0.005,1,0)))</f>
      </c>
      <c r="J8972" s="43">
        <f>IF($I8971=0,0,$R8971)</f>
      </c>
      <c r="K8972" s="43">
        <f>IF($I8972=0,0,IF(INDEX(DarlOhneTilgung,19)=1,0,IF(AND(INDEX(DarlTilgStart,19)&gt;0,$E8972=INDEX(DarlTilgStart,19)),$J8972*($H8972+INDEX(DarlTilgung,19))/100/12,IF(AND($G8972=0,$G8971=1),MAX($K8971,$J8972*($H8972+1)/100/12),$K8971))))</f>
      </c>
      <c r="L8972" s="43">
        <f>IF($I8972=0,0,$J8972*$H8972/100/12)</f>
      </c>
      <c r="M8972" s="43">
        <f>IF($I8972=0,0,IF(OR(INDEX(DarlOhneTilgung,19)=1,AND(INDEX(DarlTilgStart,19)&gt;0,$E8972&lt;INDEX(DarlTilgStart,19))),0,MIN(MAX(0,$K8972-$L8972),$J8972)))</f>
      </c>
      <c r="N8972" s="43">
        <f>IF($I8972=0,0,MIN(SUMIFS(SondBetrag,SondDarl,19,SondDatum,"&gt;="&amp;$E8972,SondDatum,"&lt;="&amp;EOMONTH($E8972,0)),$J8972-$M8972))</f>
      </c>
      <c r="O8972" s="43">
        <f>IF($I8972=0,0,INDEX(DarlErsatzRate,19))</f>
      </c>
      <c r="P8972" s="43">
        <f>IF($I8972=0,0,$Q8971*INDEX(DarlErsatzZins,19))</f>
      </c>
      <c r="Q8972" s="43">
        <f>IF($I8972=0,0,$Q8971+$P8972+$O8972)</f>
      </c>
      <c r="R8972" s="43">
        <f>IF($I8972=0,0,$J8972-$M8972-$N8972)</f>
      </c>
    </row>
    <row r="8973">
      <c r="A8973"/>
      <c r="B8973">
        <v>19</v>
      </c>
      <c r="C8973" s="43">
        <f>INDEX(DarlObj,19)</f>
      </c>
      <c r="D8973">
        <v>330</v>
      </c>
      <c r="E8973" s="51">
        <f>IF(INDEX(DarlBelegt,19)=0,0,EOMONTH(INDEX(DarlAuszahlung,19),329)+1)</f>
      </c>
      <c r="F8973" s="43">
        <f>IF($E8973=0,0,YEAR($E8973))</f>
      </c>
      <c r="G8973" s="43">
        <f>IF(INDEX(DarlBindung,19)="",1,IF($E8973&lt;=INDEX(DarlBindung,19),1,0))</f>
      </c>
      <c r="H8973" s="43">
        <f>IF($G8973=1,INDEX(DarlSollzins,19),INDEX(DarlAnschluss,19))</f>
      </c>
      <c r="I8973" s="43">
        <f>IF(INDEX(DarlBelegt,19)=0,0,IF(INDEX(DarlOhneTilgung,19)=1,IF(INDEX(DarlBindung,19)="",1,$G8973),IF($J8973&gt;0.005,1,0)))</f>
      </c>
      <c r="J8973" s="43">
        <f>IF($I8972=0,0,$R8972)</f>
      </c>
      <c r="K8973" s="43">
        <f>IF($I8973=0,0,IF(INDEX(DarlOhneTilgung,19)=1,0,IF(AND(INDEX(DarlTilgStart,19)&gt;0,$E8973=INDEX(DarlTilgStart,19)),$J8973*($H8973+INDEX(DarlTilgung,19))/100/12,IF(AND($G8973=0,$G8972=1),MAX($K8972,$J8973*($H8973+1)/100/12),$K8972))))</f>
      </c>
      <c r="L8973" s="43">
        <f>IF($I8973=0,0,$J8973*$H8973/100/12)</f>
      </c>
      <c r="M8973" s="43">
        <f>IF($I8973=0,0,IF(OR(INDEX(DarlOhneTilgung,19)=1,AND(INDEX(DarlTilgStart,19)&gt;0,$E8973&lt;INDEX(DarlTilgStart,19))),0,MIN(MAX(0,$K8973-$L8973),$J8973)))</f>
      </c>
      <c r="N8973" s="43">
        <f>IF($I8973=0,0,MIN(SUMIFS(SondBetrag,SondDarl,19,SondDatum,"&gt;="&amp;$E8973,SondDatum,"&lt;="&amp;EOMONTH($E8973,0)),$J8973-$M8973))</f>
      </c>
      <c r="O8973" s="43">
        <f>IF($I8973=0,0,INDEX(DarlErsatzRate,19))</f>
      </c>
      <c r="P8973" s="43">
        <f>IF($I8973=0,0,$Q8972*INDEX(DarlErsatzZins,19))</f>
      </c>
      <c r="Q8973" s="43">
        <f>IF($I8973=0,0,$Q8972+$P8973+$O8973)</f>
      </c>
      <c r="R8973" s="43">
        <f>IF($I8973=0,0,$J8973-$M8973-$N8973)</f>
      </c>
    </row>
    <row r="8974">
      <c r="A8974"/>
      <c r="B8974">
        <v>19</v>
      </c>
      <c r="C8974" s="43">
        <f>INDEX(DarlObj,19)</f>
      </c>
      <c r="D8974">
        <v>331</v>
      </c>
      <c r="E8974" s="51">
        <f>IF(INDEX(DarlBelegt,19)=0,0,EOMONTH(INDEX(DarlAuszahlung,19),330)+1)</f>
      </c>
      <c r="F8974" s="43">
        <f>IF($E8974=0,0,YEAR($E8974))</f>
      </c>
      <c r="G8974" s="43">
        <f>IF(INDEX(DarlBindung,19)="",1,IF($E8974&lt;=INDEX(DarlBindung,19),1,0))</f>
      </c>
      <c r="H8974" s="43">
        <f>IF($G8974=1,INDEX(DarlSollzins,19),INDEX(DarlAnschluss,19))</f>
      </c>
      <c r="I8974" s="43">
        <f>IF(INDEX(DarlBelegt,19)=0,0,IF(INDEX(DarlOhneTilgung,19)=1,IF(INDEX(DarlBindung,19)="",1,$G8974),IF($J8974&gt;0.005,1,0)))</f>
      </c>
      <c r="J8974" s="43">
        <f>IF($I8973=0,0,$R8973)</f>
      </c>
      <c r="K8974" s="43">
        <f>IF($I8974=0,0,IF(INDEX(DarlOhneTilgung,19)=1,0,IF(AND(INDEX(DarlTilgStart,19)&gt;0,$E8974=INDEX(DarlTilgStart,19)),$J8974*($H8974+INDEX(DarlTilgung,19))/100/12,IF(AND($G8974=0,$G8973=1),MAX($K8973,$J8974*($H8974+1)/100/12),$K8973))))</f>
      </c>
      <c r="L8974" s="43">
        <f>IF($I8974=0,0,$J8974*$H8974/100/12)</f>
      </c>
      <c r="M8974" s="43">
        <f>IF($I8974=0,0,IF(OR(INDEX(DarlOhneTilgung,19)=1,AND(INDEX(DarlTilgStart,19)&gt;0,$E8974&lt;INDEX(DarlTilgStart,19))),0,MIN(MAX(0,$K8974-$L8974),$J8974)))</f>
      </c>
      <c r="N8974" s="43">
        <f>IF($I8974=0,0,MIN(SUMIFS(SondBetrag,SondDarl,19,SondDatum,"&gt;="&amp;$E8974,SondDatum,"&lt;="&amp;EOMONTH($E8974,0)),$J8974-$M8974))</f>
      </c>
      <c r="O8974" s="43">
        <f>IF($I8974=0,0,INDEX(DarlErsatzRate,19))</f>
      </c>
      <c r="P8974" s="43">
        <f>IF($I8974=0,0,$Q8973*INDEX(DarlErsatzZins,19))</f>
      </c>
      <c r="Q8974" s="43">
        <f>IF($I8974=0,0,$Q8973+$P8974+$O8974)</f>
      </c>
      <c r="R8974" s="43">
        <f>IF($I8974=0,0,$J8974-$M8974-$N8974)</f>
      </c>
    </row>
    <row r="8975">
      <c r="A8975"/>
      <c r="B8975">
        <v>19</v>
      </c>
      <c r="C8975" s="43">
        <f>INDEX(DarlObj,19)</f>
      </c>
      <c r="D8975">
        <v>332</v>
      </c>
      <c r="E8975" s="51">
        <f>IF(INDEX(DarlBelegt,19)=0,0,EOMONTH(INDEX(DarlAuszahlung,19),331)+1)</f>
      </c>
      <c r="F8975" s="43">
        <f>IF($E8975=0,0,YEAR($E8975))</f>
      </c>
      <c r="G8975" s="43">
        <f>IF(INDEX(DarlBindung,19)="",1,IF($E8975&lt;=INDEX(DarlBindung,19),1,0))</f>
      </c>
      <c r="H8975" s="43">
        <f>IF($G8975=1,INDEX(DarlSollzins,19),INDEX(DarlAnschluss,19))</f>
      </c>
      <c r="I8975" s="43">
        <f>IF(INDEX(DarlBelegt,19)=0,0,IF(INDEX(DarlOhneTilgung,19)=1,IF(INDEX(DarlBindung,19)="",1,$G8975),IF($J8975&gt;0.005,1,0)))</f>
      </c>
      <c r="J8975" s="43">
        <f>IF($I8974=0,0,$R8974)</f>
      </c>
      <c r="K8975" s="43">
        <f>IF($I8975=0,0,IF(INDEX(DarlOhneTilgung,19)=1,0,IF(AND(INDEX(DarlTilgStart,19)&gt;0,$E8975=INDEX(DarlTilgStart,19)),$J8975*($H8975+INDEX(DarlTilgung,19))/100/12,IF(AND($G8975=0,$G8974=1),MAX($K8974,$J8975*($H8975+1)/100/12),$K8974))))</f>
      </c>
      <c r="L8975" s="43">
        <f>IF($I8975=0,0,$J8975*$H8975/100/12)</f>
      </c>
      <c r="M8975" s="43">
        <f>IF($I8975=0,0,IF(OR(INDEX(DarlOhneTilgung,19)=1,AND(INDEX(DarlTilgStart,19)&gt;0,$E8975&lt;INDEX(DarlTilgStart,19))),0,MIN(MAX(0,$K8975-$L8975),$J8975)))</f>
      </c>
      <c r="N8975" s="43">
        <f>IF($I8975=0,0,MIN(SUMIFS(SondBetrag,SondDarl,19,SondDatum,"&gt;="&amp;$E8975,SondDatum,"&lt;="&amp;EOMONTH($E8975,0)),$J8975-$M8975))</f>
      </c>
      <c r="O8975" s="43">
        <f>IF($I8975=0,0,INDEX(DarlErsatzRate,19))</f>
      </c>
      <c r="P8975" s="43">
        <f>IF($I8975=0,0,$Q8974*INDEX(DarlErsatzZins,19))</f>
      </c>
      <c r="Q8975" s="43">
        <f>IF($I8975=0,0,$Q8974+$P8975+$O8975)</f>
      </c>
      <c r="R8975" s="43">
        <f>IF($I8975=0,0,$J8975-$M8975-$N8975)</f>
      </c>
    </row>
    <row r="8976">
      <c r="A8976"/>
      <c r="B8976">
        <v>19</v>
      </c>
      <c r="C8976" s="43">
        <f>INDEX(DarlObj,19)</f>
      </c>
      <c r="D8976">
        <v>333</v>
      </c>
      <c r="E8976" s="51">
        <f>IF(INDEX(DarlBelegt,19)=0,0,EOMONTH(INDEX(DarlAuszahlung,19),332)+1)</f>
      </c>
      <c r="F8976" s="43">
        <f>IF($E8976=0,0,YEAR($E8976))</f>
      </c>
      <c r="G8976" s="43">
        <f>IF(INDEX(DarlBindung,19)="",1,IF($E8976&lt;=INDEX(DarlBindung,19),1,0))</f>
      </c>
      <c r="H8976" s="43">
        <f>IF($G8976=1,INDEX(DarlSollzins,19),INDEX(DarlAnschluss,19))</f>
      </c>
      <c r="I8976" s="43">
        <f>IF(INDEX(DarlBelegt,19)=0,0,IF(INDEX(DarlOhneTilgung,19)=1,IF(INDEX(DarlBindung,19)="",1,$G8976),IF($J8976&gt;0.005,1,0)))</f>
      </c>
      <c r="J8976" s="43">
        <f>IF($I8975=0,0,$R8975)</f>
      </c>
      <c r="K8976" s="43">
        <f>IF($I8976=0,0,IF(INDEX(DarlOhneTilgung,19)=1,0,IF(AND(INDEX(DarlTilgStart,19)&gt;0,$E8976=INDEX(DarlTilgStart,19)),$J8976*($H8976+INDEX(DarlTilgung,19))/100/12,IF(AND($G8976=0,$G8975=1),MAX($K8975,$J8976*($H8976+1)/100/12),$K8975))))</f>
      </c>
      <c r="L8976" s="43">
        <f>IF($I8976=0,0,$J8976*$H8976/100/12)</f>
      </c>
      <c r="M8976" s="43">
        <f>IF($I8976=0,0,IF(OR(INDEX(DarlOhneTilgung,19)=1,AND(INDEX(DarlTilgStart,19)&gt;0,$E8976&lt;INDEX(DarlTilgStart,19))),0,MIN(MAX(0,$K8976-$L8976),$J8976)))</f>
      </c>
      <c r="N8976" s="43">
        <f>IF($I8976=0,0,MIN(SUMIFS(SondBetrag,SondDarl,19,SondDatum,"&gt;="&amp;$E8976,SondDatum,"&lt;="&amp;EOMONTH($E8976,0)),$J8976-$M8976))</f>
      </c>
      <c r="O8976" s="43">
        <f>IF($I8976=0,0,INDEX(DarlErsatzRate,19))</f>
      </c>
      <c r="P8976" s="43">
        <f>IF($I8976=0,0,$Q8975*INDEX(DarlErsatzZins,19))</f>
      </c>
      <c r="Q8976" s="43">
        <f>IF($I8976=0,0,$Q8975+$P8976+$O8976)</f>
      </c>
      <c r="R8976" s="43">
        <f>IF($I8976=0,0,$J8976-$M8976-$N8976)</f>
      </c>
    </row>
    <row r="8977">
      <c r="A8977"/>
      <c r="B8977">
        <v>19</v>
      </c>
      <c r="C8977" s="43">
        <f>INDEX(DarlObj,19)</f>
      </c>
      <c r="D8977">
        <v>334</v>
      </c>
      <c r="E8977" s="51">
        <f>IF(INDEX(DarlBelegt,19)=0,0,EOMONTH(INDEX(DarlAuszahlung,19),333)+1)</f>
      </c>
      <c r="F8977" s="43">
        <f>IF($E8977=0,0,YEAR($E8977))</f>
      </c>
      <c r="G8977" s="43">
        <f>IF(INDEX(DarlBindung,19)="",1,IF($E8977&lt;=INDEX(DarlBindung,19),1,0))</f>
      </c>
      <c r="H8977" s="43">
        <f>IF($G8977=1,INDEX(DarlSollzins,19),INDEX(DarlAnschluss,19))</f>
      </c>
      <c r="I8977" s="43">
        <f>IF(INDEX(DarlBelegt,19)=0,0,IF(INDEX(DarlOhneTilgung,19)=1,IF(INDEX(DarlBindung,19)="",1,$G8977),IF($J8977&gt;0.005,1,0)))</f>
      </c>
      <c r="J8977" s="43">
        <f>IF($I8976=0,0,$R8976)</f>
      </c>
      <c r="K8977" s="43">
        <f>IF($I8977=0,0,IF(INDEX(DarlOhneTilgung,19)=1,0,IF(AND(INDEX(DarlTilgStart,19)&gt;0,$E8977=INDEX(DarlTilgStart,19)),$J8977*($H8977+INDEX(DarlTilgung,19))/100/12,IF(AND($G8977=0,$G8976=1),MAX($K8976,$J8977*($H8977+1)/100/12),$K8976))))</f>
      </c>
      <c r="L8977" s="43">
        <f>IF($I8977=0,0,$J8977*$H8977/100/12)</f>
      </c>
      <c r="M8977" s="43">
        <f>IF($I8977=0,0,IF(OR(INDEX(DarlOhneTilgung,19)=1,AND(INDEX(DarlTilgStart,19)&gt;0,$E8977&lt;INDEX(DarlTilgStart,19))),0,MIN(MAX(0,$K8977-$L8977),$J8977)))</f>
      </c>
      <c r="N8977" s="43">
        <f>IF($I8977=0,0,MIN(SUMIFS(SondBetrag,SondDarl,19,SondDatum,"&gt;="&amp;$E8977,SondDatum,"&lt;="&amp;EOMONTH($E8977,0)),$J8977-$M8977))</f>
      </c>
      <c r="O8977" s="43">
        <f>IF($I8977=0,0,INDEX(DarlErsatzRate,19))</f>
      </c>
      <c r="P8977" s="43">
        <f>IF($I8977=0,0,$Q8976*INDEX(DarlErsatzZins,19))</f>
      </c>
      <c r="Q8977" s="43">
        <f>IF($I8977=0,0,$Q8976+$P8977+$O8977)</f>
      </c>
      <c r="R8977" s="43">
        <f>IF($I8977=0,0,$J8977-$M8977-$N8977)</f>
      </c>
    </row>
    <row r="8978">
      <c r="A8978"/>
      <c r="B8978">
        <v>19</v>
      </c>
      <c r="C8978" s="43">
        <f>INDEX(DarlObj,19)</f>
      </c>
      <c r="D8978">
        <v>335</v>
      </c>
      <c r="E8978" s="51">
        <f>IF(INDEX(DarlBelegt,19)=0,0,EOMONTH(INDEX(DarlAuszahlung,19),334)+1)</f>
      </c>
      <c r="F8978" s="43">
        <f>IF($E8978=0,0,YEAR($E8978))</f>
      </c>
      <c r="G8978" s="43">
        <f>IF(INDEX(DarlBindung,19)="",1,IF($E8978&lt;=INDEX(DarlBindung,19),1,0))</f>
      </c>
      <c r="H8978" s="43">
        <f>IF($G8978=1,INDEX(DarlSollzins,19),INDEX(DarlAnschluss,19))</f>
      </c>
      <c r="I8978" s="43">
        <f>IF(INDEX(DarlBelegt,19)=0,0,IF(INDEX(DarlOhneTilgung,19)=1,IF(INDEX(DarlBindung,19)="",1,$G8978),IF($J8978&gt;0.005,1,0)))</f>
      </c>
      <c r="J8978" s="43">
        <f>IF($I8977=0,0,$R8977)</f>
      </c>
      <c r="K8978" s="43">
        <f>IF($I8978=0,0,IF(INDEX(DarlOhneTilgung,19)=1,0,IF(AND(INDEX(DarlTilgStart,19)&gt;0,$E8978=INDEX(DarlTilgStart,19)),$J8978*($H8978+INDEX(DarlTilgung,19))/100/12,IF(AND($G8978=0,$G8977=1),MAX($K8977,$J8978*($H8978+1)/100/12),$K8977))))</f>
      </c>
      <c r="L8978" s="43">
        <f>IF($I8978=0,0,$J8978*$H8978/100/12)</f>
      </c>
      <c r="M8978" s="43">
        <f>IF($I8978=0,0,IF(OR(INDEX(DarlOhneTilgung,19)=1,AND(INDEX(DarlTilgStart,19)&gt;0,$E8978&lt;INDEX(DarlTilgStart,19))),0,MIN(MAX(0,$K8978-$L8978),$J8978)))</f>
      </c>
      <c r="N8978" s="43">
        <f>IF($I8978=0,0,MIN(SUMIFS(SondBetrag,SondDarl,19,SondDatum,"&gt;="&amp;$E8978,SondDatum,"&lt;="&amp;EOMONTH($E8978,0)),$J8978-$M8978))</f>
      </c>
      <c r="O8978" s="43">
        <f>IF($I8978=0,0,INDEX(DarlErsatzRate,19))</f>
      </c>
      <c r="P8978" s="43">
        <f>IF($I8978=0,0,$Q8977*INDEX(DarlErsatzZins,19))</f>
      </c>
      <c r="Q8978" s="43">
        <f>IF($I8978=0,0,$Q8977+$P8978+$O8978)</f>
      </c>
      <c r="R8978" s="43">
        <f>IF($I8978=0,0,$J8978-$M8978-$N8978)</f>
      </c>
    </row>
    <row r="8979">
      <c r="A8979"/>
      <c r="B8979">
        <v>19</v>
      </c>
      <c r="C8979" s="43">
        <f>INDEX(DarlObj,19)</f>
      </c>
      <c r="D8979">
        <v>336</v>
      </c>
      <c r="E8979" s="51">
        <f>IF(INDEX(DarlBelegt,19)=0,0,EOMONTH(INDEX(DarlAuszahlung,19),335)+1)</f>
      </c>
      <c r="F8979" s="43">
        <f>IF($E8979=0,0,YEAR($E8979))</f>
      </c>
      <c r="G8979" s="43">
        <f>IF(INDEX(DarlBindung,19)="",1,IF($E8979&lt;=INDEX(DarlBindung,19),1,0))</f>
      </c>
      <c r="H8979" s="43">
        <f>IF($G8979=1,INDEX(DarlSollzins,19),INDEX(DarlAnschluss,19))</f>
      </c>
      <c r="I8979" s="43">
        <f>IF(INDEX(DarlBelegt,19)=0,0,IF(INDEX(DarlOhneTilgung,19)=1,IF(INDEX(DarlBindung,19)="",1,$G8979),IF($J8979&gt;0.005,1,0)))</f>
      </c>
      <c r="J8979" s="43">
        <f>IF($I8978=0,0,$R8978)</f>
      </c>
      <c r="K8979" s="43">
        <f>IF($I8979=0,0,IF(INDEX(DarlOhneTilgung,19)=1,0,IF(AND(INDEX(DarlTilgStart,19)&gt;0,$E8979=INDEX(DarlTilgStart,19)),$J8979*($H8979+INDEX(DarlTilgung,19))/100/12,IF(AND($G8979=0,$G8978=1),MAX($K8978,$J8979*($H8979+1)/100/12),$K8978))))</f>
      </c>
      <c r="L8979" s="43">
        <f>IF($I8979=0,0,$J8979*$H8979/100/12)</f>
      </c>
      <c r="M8979" s="43">
        <f>IF($I8979=0,0,IF(OR(INDEX(DarlOhneTilgung,19)=1,AND(INDEX(DarlTilgStart,19)&gt;0,$E8979&lt;INDEX(DarlTilgStart,19))),0,MIN(MAX(0,$K8979-$L8979),$J8979)))</f>
      </c>
      <c r="N8979" s="43">
        <f>IF($I8979=0,0,MIN(SUMIFS(SondBetrag,SondDarl,19,SondDatum,"&gt;="&amp;$E8979,SondDatum,"&lt;="&amp;EOMONTH($E8979,0)),$J8979-$M8979))</f>
      </c>
      <c r="O8979" s="43">
        <f>IF($I8979=0,0,INDEX(DarlErsatzRate,19))</f>
      </c>
      <c r="P8979" s="43">
        <f>IF($I8979=0,0,$Q8978*INDEX(DarlErsatzZins,19))</f>
      </c>
      <c r="Q8979" s="43">
        <f>IF($I8979=0,0,$Q8978+$P8979+$O8979)</f>
      </c>
      <c r="R8979" s="43">
        <f>IF($I8979=0,0,$J8979-$M8979-$N8979)</f>
      </c>
    </row>
    <row r="8980">
      <c r="A8980"/>
      <c r="B8980">
        <v>19</v>
      </c>
      <c r="C8980" s="43">
        <f>INDEX(DarlObj,19)</f>
      </c>
      <c r="D8980">
        <v>337</v>
      </c>
      <c r="E8980" s="51">
        <f>IF(INDEX(DarlBelegt,19)=0,0,EOMONTH(INDEX(DarlAuszahlung,19),336)+1)</f>
      </c>
      <c r="F8980" s="43">
        <f>IF($E8980=0,0,YEAR($E8980))</f>
      </c>
      <c r="G8980" s="43">
        <f>IF(INDEX(DarlBindung,19)="",1,IF($E8980&lt;=INDEX(DarlBindung,19),1,0))</f>
      </c>
      <c r="H8980" s="43">
        <f>IF($G8980=1,INDEX(DarlSollzins,19),INDEX(DarlAnschluss,19))</f>
      </c>
      <c r="I8980" s="43">
        <f>IF(INDEX(DarlBelegt,19)=0,0,IF(INDEX(DarlOhneTilgung,19)=1,IF(INDEX(DarlBindung,19)="",1,$G8980),IF($J8980&gt;0.005,1,0)))</f>
      </c>
      <c r="J8980" s="43">
        <f>IF($I8979=0,0,$R8979)</f>
      </c>
      <c r="K8980" s="43">
        <f>IF($I8980=0,0,IF(INDEX(DarlOhneTilgung,19)=1,0,IF(AND(INDEX(DarlTilgStart,19)&gt;0,$E8980=INDEX(DarlTilgStart,19)),$J8980*($H8980+INDEX(DarlTilgung,19))/100/12,IF(AND($G8980=0,$G8979=1),MAX($K8979,$J8980*($H8980+1)/100/12),$K8979))))</f>
      </c>
      <c r="L8980" s="43">
        <f>IF($I8980=0,0,$J8980*$H8980/100/12)</f>
      </c>
      <c r="M8980" s="43">
        <f>IF($I8980=0,0,IF(OR(INDEX(DarlOhneTilgung,19)=1,AND(INDEX(DarlTilgStart,19)&gt;0,$E8980&lt;INDEX(DarlTilgStart,19))),0,MIN(MAX(0,$K8980-$L8980),$J8980)))</f>
      </c>
      <c r="N8980" s="43">
        <f>IF($I8980=0,0,MIN(SUMIFS(SondBetrag,SondDarl,19,SondDatum,"&gt;="&amp;$E8980,SondDatum,"&lt;="&amp;EOMONTH($E8980,0)),$J8980-$M8980))</f>
      </c>
      <c r="O8980" s="43">
        <f>IF($I8980=0,0,INDEX(DarlErsatzRate,19))</f>
      </c>
      <c r="P8980" s="43">
        <f>IF($I8980=0,0,$Q8979*INDEX(DarlErsatzZins,19))</f>
      </c>
      <c r="Q8980" s="43">
        <f>IF($I8980=0,0,$Q8979+$P8980+$O8980)</f>
      </c>
      <c r="R8980" s="43">
        <f>IF($I8980=0,0,$J8980-$M8980-$N8980)</f>
      </c>
    </row>
    <row r="8981">
      <c r="A8981"/>
      <c r="B8981">
        <v>19</v>
      </c>
      <c r="C8981" s="43">
        <f>INDEX(DarlObj,19)</f>
      </c>
      <c r="D8981">
        <v>338</v>
      </c>
      <c r="E8981" s="51">
        <f>IF(INDEX(DarlBelegt,19)=0,0,EOMONTH(INDEX(DarlAuszahlung,19),337)+1)</f>
      </c>
      <c r="F8981" s="43">
        <f>IF($E8981=0,0,YEAR($E8981))</f>
      </c>
      <c r="G8981" s="43">
        <f>IF(INDEX(DarlBindung,19)="",1,IF($E8981&lt;=INDEX(DarlBindung,19),1,0))</f>
      </c>
      <c r="H8981" s="43">
        <f>IF($G8981=1,INDEX(DarlSollzins,19),INDEX(DarlAnschluss,19))</f>
      </c>
      <c r="I8981" s="43">
        <f>IF(INDEX(DarlBelegt,19)=0,0,IF(INDEX(DarlOhneTilgung,19)=1,IF(INDEX(DarlBindung,19)="",1,$G8981),IF($J8981&gt;0.005,1,0)))</f>
      </c>
      <c r="J8981" s="43">
        <f>IF($I8980=0,0,$R8980)</f>
      </c>
      <c r="K8981" s="43">
        <f>IF($I8981=0,0,IF(INDEX(DarlOhneTilgung,19)=1,0,IF(AND(INDEX(DarlTilgStart,19)&gt;0,$E8981=INDEX(DarlTilgStart,19)),$J8981*($H8981+INDEX(DarlTilgung,19))/100/12,IF(AND($G8981=0,$G8980=1),MAX($K8980,$J8981*($H8981+1)/100/12),$K8980))))</f>
      </c>
      <c r="L8981" s="43">
        <f>IF($I8981=0,0,$J8981*$H8981/100/12)</f>
      </c>
      <c r="M8981" s="43">
        <f>IF($I8981=0,0,IF(OR(INDEX(DarlOhneTilgung,19)=1,AND(INDEX(DarlTilgStart,19)&gt;0,$E8981&lt;INDEX(DarlTilgStart,19))),0,MIN(MAX(0,$K8981-$L8981),$J8981)))</f>
      </c>
      <c r="N8981" s="43">
        <f>IF($I8981=0,0,MIN(SUMIFS(SondBetrag,SondDarl,19,SondDatum,"&gt;="&amp;$E8981,SondDatum,"&lt;="&amp;EOMONTH($E8981,0)),$J8981-$M8981))</f>
      </c>
      <c r="O8981" s="43">
        <f>IF($I8981=0,0,INDEX(DarlErsatzRate,19))</f>
      </c>
      <c r="P8981" s="43">
        <f>IF($I8981=0,0,$Q8980*INDEX(DarlErsatzZins,19))</f>
      </c>
      <c r="Q8981" s="43">
        <f>IF($I8981=0,0,$Q8980+$P8981+$O8981)</f>
      </c>
      <c r="R8981" s="43">
        <f>IF($I8981=0,0,$J8981-$M8981-$N8981)</f>
      </c>
    </row>
    <row r="8982">
      <c r="A8982"/>
      <c r="B8982">
        <v>19</v>
      </c>
      <c r="C8982" s="43">
        <f>INDEX(DarlObj,19)</f>
      </c>
      <c r="D8982">
        <v>339</v>
      </c>
      <c r="E8982" s="51">
        <f>IF(INDEX(DarlBelegt,19)=0,0,EOMONTH(INDEX(DarlAuszahlung,19),338)+1)</f>
      </c>
      <c r="F8982" s="43">
        <f>IF($E8982=0,0,YEAR($E8982))</f>
      </c>
      <c r="G8982" s="43">
        <f>IF(INDEX(DarlBindung,19)="",1,IF($E8982&lt;=INDEX(DarlBindung,19),1,0))</f>
      </c>
      <c r="H8982" s="43">
        <f>IF($G8982=1,INDEX(DarlSollzins,19),INDEX(DarlAnschluss,19))</f>
      </c>
      <c r="I8982" s="43">
        <f>IF(INDEX(DarlBelegt,19)=0,0,IF(INDEX(DarlOhneTilgung,19)=1,IF(INDEX(DarlBindung,19)="",1,$G8982),IF($J8982&gt;0.005,1,0)))</f>
      </c>
      <c r="J8982" s="43">
        <f>IF($I8981=0,0,$R8981)</f>
      </c>
      <c r="K8982" s="43">
        <f>IF($I8982=0,0,IF(INDEX(DarlOhneTilgung,19)=1,0,IF(AND(INDEX(DarlTilgStart,19)&gt;0,$E8982=INDEX(DarlTilgStart,19)),$J8982*($H8982+INDEX(DarlTilgung,19))/100/12,IF(AND($G8982=0,$G8981=1),MAX($K8981,$J8982*($H8982+1)/100/12),$K8981))))</f>
      </c>
      <c r="L8982" s="43">
        <f>IF($I8982=0,0,$J8982*$H8982/100/12)</f>
      </c>
      <c r="M8982" s="43">
        <f>IF($I8982=0,0,IF(OR(INDEX(DarlOhneTilgung,19)=1,AND(INDEX(DarlTilgStart,19)&gt;0,$E8982&lt;INDEX(DarlTilgStart,19))),0,MIN(MAX(0,$K8982-$L8982),$J8982)))</f>
      </c>
      <c r="N8982" s="43">
        <f>IF($I8982=0,0,MIN(SUMIFS(SondBetrag,SondDarl,19,SondDatum,"&gt;="&amp;$E8982,SondDatum,"&lt;="&amp;EOMONTH($E8982,0)),$J8982-$M8982))</f>
      </c>
      <c r="O8982" s="43">
        <f>IF($I8982=0,0,INDEX(DarlErsatzRate,19))</f>
      </c>
      <c r="P8982" s="43">
        <f>IF($I8982=0,0,$Q8981*INDEX(DarlErsatzZins,19))</f>
      </c>
      <c r="Q8982" s="43">
        <f>IF($I8982=0,0,$Q8981+$P8982+$O8982)</f>
      </c>
      <c r="R8982" s="43">
        <f>IF($I8982=0,0,$J8982-$M8982-$N8982)</f>
      </c>
    </row>
    <row r="8983">
      <c r="A8983"/>
      <c r="B8983">
        <v>19</v>
      </c>
      <c r="C8983" s="43">
        <f>INDEX(DarlObj,19)</f>
      </c>
      <c r="D8983">
        <v>340</v>
      </c>
      <c r="E8983" s="51">
        <f>IF(INDEX(DarlBelegt,19)=0,0,EOMONTH(INDEX(DarlAuszahlung,19),339)+1)</f>
      </c>
      <c r="F8983" s="43">
        <f>IF($E8983=0,0,YEAR($E8983))</f>
      </c>
      <c r="G8983" s="43">
        <f>IF(INDEX(DarlBindung,19)="",1,IF($E8983&lt;=INDEX(DarlBindung,19),1,0))</f>
      </c>
      <c r="H8983" s="43">
        <f>IF($G8983=1,INDEX(DarlSollzins,19),INDEX(DarlAnschluss,19))</f>
      </c>
      <c r="I8983" s="43">
        <f>IF(INDEX(DarlBelegt,19)=0,0,IF(INDEX(DarlOhneTilgung,19)=1,IF(INDEX(DarlBindung,19)="",1,$G8983),IF($J8983&gt;0.005,1,0)))</f>
      </c>
      <c r="J8983" s="43">
        <f>IF($I8982=0,0,$R8982)</f>
      </c>
      <c r="K8983" s="43">
        <f>IF($I8983=0,0,IF(INDEX(DarlOhneTilgung,19)=1,0,IF(AND(INDEX(DarlTilgStart,19)&gt;0,$E8983=INDEX(DarlTilgStart,19)),$J8983*($H8983+INDEX(DarlTilgung,19))/100/12,IF(AND($G8983=0,$G8982=1),MAX($K8982,$J8983*($H8983+1)/100/12),$K8982))))</f>
      </c>
      <c r="L8983" s="43">
        <f>IF($I8983=0,0,$J8983*$H8983/100/12)</f>
      </c>
      <c r="M8983" s="43">
        <f>IF($I8983=0,0,IF(OR(INDEX(DarlOhneTilgung,19)=1,AND(INDEX(DarlTilgStart,19)&gt;0,$E8983&lt;INDEX(DarlTilgStart,19))),0,MIN(MAX(0,$K8983-$L8983),$J8983)))</f>
      </c>
      <c r="N8983" s="43">
        <f>IF($I8983=0,0,MIN(SUMIFS(SondBetrag,SondDarl,19,SondDatum,"&gt;="&amp;$E8983,SondDatum,"&lt;="&amp;EOMONTH($E8983,0)),$J8983-$M8983))</f>
      </c>
      <c r="O8983" s="43">
        <f>IF($I8983=0,0,INDEX(DarlErsatzRate,19))</f>
      </c>
      <c r="P8983" s="43">
        <f>IF($I8983=0,0,$Q8982*INDEX(DarlErsatzZins,19))</f>
      </c>
      <c r="Q8983" s="43">
        <f>IF($I8983=0,0,$Q8982+$P8983+$O8983)</f>
      </c>
      <c r="R8983" s="43">
        <f>IF($I8983=0,0,$J8983-$M8983-$N8983)</f>
      </c>
    </row>
    <row r="8984">
      <c r="A8984"/>
      <c r="B8984">
        <v>19</v>
      </c>
      <c r="C8984" s="43">
        <f>INDEX(DarlObj,19)</f>
      </c>
      <c r="D8984">
        <v>341</v>
      </c>
      <c r="E8984" s="51">
        <f>IF(INDEX(DarlBelegt,19)=0,0,EOMONTH(INDEX(DarlAuszahlung,19),340)+1)</f>
      </c>
      <c r="F8984" s="43">
        <f>IF($E8984=0,0,YEAR($E8984))</f>
      </c>
      <c r="G8984" s="43">
        <f>IF(INDEX(DarlBindung,19)="",1,IF($E8984&lt;=INDEX(DarlBindung,19),1,0))</f>
      </c>
      <c r="H8984" s="43">
        <f>IF($G8984=1,INDEX(DarlSollzins,19),INDEX(DarlAnschluss,19))</f>
      </c>
      <c r="I8984" s="43">
        <f>IF(INDEX(DarlBelegt,19)=0,0,IF(INDEX(DarlOhneTilgung,19)=1,IF(INDEX(DarlBindung,19)="",1,$G8984),IF($J8984&gt;0.005,1,0)))</f>
      </c>
      <c r="J8984" s="43">
        <f>IF($I8983=0,0,$R8983)</f>
      </c>
      <c r="K8984" s="43">
        <f>IF($I8984=0,0,IF(INDEX(DarlOhneTilgung,19)=1,0,IF(AND(INDEX(DarlTilgStart,19)&gt;0,$E8984=INDEX(DarlTilgStart,19)),$J8984*($H8984+INDEX(DarlTilgung,19))/100/12,IF(AND($G8984=0,$G8983=1),MAX($K8983,$J8984*($H8984+1)/100/12),$K8983))))</f>
      </c>
      <c r="L8984" s="43">
        <f>IF($I8984=0,0,$J8984*$H8984/100/12)</f>
      </c>
      <c r="M8984" s="43">
        <f>IF($I8984=0,0,IF(OR(INDEX(DarlOhneTilgung,19)=1,AND(INDEX(DarlTilgStart,19)&gt;0,$E8984&lt;INDEX(DarlTilgStart,19))),0,MIN(MAX(0,$K8984-$L8984),$J8984)))</f>
      </c>
      <c r="N8984" s="43">
        <f>IF($I8984=0,0,MIN(SUMIFS(SondBetrag,SondDarl,19,SondDatum,"&gt;="&amp;$E8984,SondDatum,"&lt;="&amp;EOMONTH($E8984,0)),$J8984-$M8984))</f>
      </c>
      <c r="O8984" s="43">
        <f>IF($I8984=0,0,INDEX(DarlErsatzRate,19))</f>
      </c>
      <c r="P8984" s="43">
        <f>IF($I8984=0,0,$Q8983*INDEX(DarlErsatzZins,19))</f>
      </c>
      <c r="Q8984" s="43">
        <f>IF($I8984=0,0,$Q8983+$P8984+$O8984)</f>
      </c>
      <c r="R8984" s="43">
        <f>IF($I8984=0,0,$J8984-$M8984-$N8984)</f>
      </c>
    </row>
    <row r="8985">
      <c r="A8985"/>
      <c r="B8985">
        <v>19</v>
      </c>
      <c r="C8985" s="43">
        <f>INDEX(DarlObj,19)</f>
      </c>
      <c r="D8985">
        <v>342</v>
      </c>
      <c r="E8985" s="51">
        <f>IF(INDEX(DarlBelegt,19)=0,0,EOMONTH(INDEX(DarlAuszahlung,19),341)+1)</f>
      </c>
      <c r="F8985" s="43">
        <f>IF($E8985=0,0,YEAR($E8985))</f>
      </c>
      <c r="G8985" s="43">
        <f>IF(INDEX(DarlBindung,19)="",1,IF($E8985&lt;=INDEX(DarlBindung,19),1,0))</f>
      </c>
      <c r="H8985" s="43">
        <f>IF($G8985=1,INDEX(DarlSollzins,19),INDEX(DarlAnschluss,19))</f>
      </c>
      <c r="I8985" s="43">
        <f>IF(INDEX(DarlBelegt,19)=0,0,IF(INDEX(DarlOhneTilgung,19)=1,IF(INDEX(DarlBindung,19)="",1,$G8985),IF($J8985&gt;0.005,1,0)))</f>
      </c>
      <c r="J8985" s="43">
        <f>IF($I8984=0,0,$R8984)</f>
      </c>
      <c r="K8985" s="43">
        <f>IF($I8985=0,0,IF(INDEX(DarlOhneTilgung,19)=1,0,IF(AND(INDEX(DarlTilgStart,19)&gt;0,$E8985=INDEX(DarlTilgStart,19)),$J8985*($H8985+INDEX(DarlTilgung,19))/100/12,IF(AND($G8985=0,$G8984=1),MAX($K8984,$J8985*($H8985+1)/100/12),$K8984))))</f>
      </c>
      <c r="L8985" s="43">
        <f>IF($I8985=0,0,$J8985*$H8985/100/12)</f>
      </c>
      <c r="M8985" s="43">
        <f>IF($I8985=0,0,IF(OR(INDEX(DarlOhneTilgung,19)=1,AND(INDEX(DarlTilgStart,19)&gt;0,$E8985&lt;INDEX(DarlTilgStart,19))),0,MIN(MAX(0,$K8985-$L8985),$J8985)))</f>
      </c>
      <c r="N8985" s="43">
        <f>IF($I8985=0,0,MIN(SUMIFS(SondBetrag,SondDarl,19,SondDatum,"&gt;="&amp;$E8985,SondDatum,"&lt;="&amp;EOMONTH($E8985,0)),$J8985-$M8985))</f>
      </c>
      <c r="O8985" s="43">
        <f>IF($I8985=0,0,INDEX(DarlErsatzRate,19))</f>
      </c>
      <c r="P8985" s="43">
        <f>IF($I8985=0,0,$Q8984*INDEX(DarlErsatzZins,19))</f>
      </c>
      <c r="Q8985" s="43">
        <f>IF($I8985=0,0,$Q8984+$P8985+$O8985)</f>
      </c>
      <c r="R8985" s="43">
        <f>IF($I8985=0,0,$J8985-$M8985-$N8985)</f>
      </c>
    </row>
    <row r="8986">
      <c r="A8986"/>
      <c r="B8986">
        <v>19</v>
      </c>
      <c r="C8986" s="43">
        <f>INDEX(DarlObj,19)</f>
      </c>
      <c r="D8986">
        <v>343</v>
      </c>
      <c r="E8986" s="51">
        <f>IF(INDEX(DarlBelegt,19)=0,0,EOMONTH(INDEX(DarlAuszahlung,19),342)+1)</f>
      </c>
      <c r="F8986" s="43">
        <f>IF($E8986=0,0,YEAR($E8986))</f>
      </c>
      <c r="G8986" s="43">
        <f>IF(INDEX(DarlBindung,19)="",1,IF($E8986&lt;=INDEX(DarlBindung,19),1,0))</f>
      </c>
      <c r="H8986" s="43">
        <f>IF($G8986=1,INDEX(DarlSollzins,19),INDEX(DarlAnschluss,19))</f>
      </c>
      <c r="I8986" s="43">
        <f>IF(INDEX(DarlBelegt,19)=0,0,IF(INDEX(DarlOhneTilgung,19)=1,IF(INDEX(DarlBindung,19)="",1,$G8986),IF($J8986&gt;0.005,1,0)))</f>
      </c>
      <c r="J8986" s="43">
        <f>IF($I8985=0,0,$R8985)</f>
      </c>
      <c r="K8986" s="43">
        <f>IF($I8986=0,0,IF(INDEX(DarlOhneTilgung,19)=1,0,IF(AND(INDEX(DarlTilgStart,19)&gt;0,$E8986=INDEX(DarlTilgStart,19)),$J8986*($H8986+INDEX(DarlTilgung,19))/100/12,IF(AND($G8986=0,$G8985=1),MAX($K8985,$J8986*($H8986+1)/100/12),$K8985))))</f>
      </c>
      <c r="L8986" s="43">
        <f>IF($I8986=0,0,$J8986*$H8986/100/12)</f>
      </c>
      <c r="M8986" s="43">
        <f>IF($I8986=0,0,IF(OR(INDEX(DarlOhneTilgung,19)=1,AND(INDEX(DarlTilgStart,19)&gt;0,$E8986&lt;INDEX(DarlTilgStart,19))),0,MIN(MAX(0,$K8986-$L8986),$J8986)))</f>
      </c>
      <c r="N8986" s="43">
        <f>IF($I8986=0,0,MIN(SUMIFS(SondBetrag,SondDarl,19,SondDatum,"&gt;="&amp;$E8986,SondDatum,"&lt;="&amp;EOMONTH($E8986,0)),$J8986-$M8986))</f>
      </c>
      <c r="O8986" s="43">
        <f>IF($I8986=0,0,INDEX(DarlErsatzRate,19))</f>
      </c>
      <c r="P8986" s="43">
        <f>IF($I8986=0,0,$Q8985*INDEX(DarlErsatzZins,19))</f>
      </c>
      <c r="Q8986" s="43">
        <f>IF($I8986=0,0,$Q8985+$P8986+$O8986)</f>
      </c>
      <c r="R8986" s="43">
        <f>IF($I8986=0,0,$J8986-$M8986-$N8986)</f>
      </c>
    </row>
    <row r="8987">
      <c r="A8987"/>
      <c r="B8987">
        <v>19</v>
      </c>
      <c r="C8987" s="43">
        <f>INDEX(DarlObj,19)</f>
      </c>
      <c r="D8987">
        <v>344</v>
      </c>
      <c r="E8987" s="51">
        <f>IF(INDEX(DarlBelegt,19)=0,0,EOMONTH(INDEX(DarlAuszahlung,19),343)+1)</f>
      </c>
      <c r="F8987" s="43">
        <f>IF($E8987=0,0,YEAR($E8987))</f>
      </c>
      <c r="G8987" s="43">
        <f>IF(INDEX(DarlBindung,19)="",1,IF($E8987&lt;=INDEX(DarlBindung,19),1,0))</f>
      </c>
      <c r="H8987" s="43">
        <f>IF($G8987=1,INDEX(DarlSollzins,19),INDEX(DarlAnschluss,19))</f>
      </c>
      <c r="I8987" s="43">
        <f>IF(INDEX(DarlBelegt,19)=0,0,IF(INDEX(DarlOhneTilgung,19)=1,IF(INDEX(DarlBindung,19)="",1,$G8987),IF($J8987&gt;0.005,1,0)))</f>
      </c>
      <c r="J8987" s="43">
        <f>IF($I8986=0,0,$R8986)</f>
      </c>
      <c r="K8987" s="43">
        <f>IF($I8987=0,0,IF(INDEX(DarlOhneTilgung,19)=1,0,IF(AND(INDEX(DarlTilgStart,19)&gt;0,$E8987=INDEX(DarlTilgStart,19)),$J8987*($H8987+INDEX(DarlTilgung,19))/100/12,IF(AND($G8987=0,$G8986=1),MAX($K8986,$J8987*($H8987+1)/100/12),$K8986))))</f>
      </c>
      <c r="L8987" s="43">
        <f>IF($I8987=0,0,$J8987*$H8987/100/12)</f>
      </c>
      <c r="M8987" s="43">
        <f>IF($I8987=0,0,IF(OR(INDEX(DarlOhneTilgung,19)=1,AND(INDEX(DarlTilgStart,19)&gt;0,$E8987&lt;INDEX(DarlTilgStart,19))),0,MIN(MAX(0,$K8987-$L8987),$J8987)))</f>
      </c>
      <c r="N8987" s="43">
        <f>IF($I8987=0,0,MIN(SUMIFS(SondBetrag,SondDarl,19,SondDatum,"&gt;="&amp;$E8987,SondDatum,"&lt;="&amp;EOMONTH($E8987,0)),$J8987-$M8987))</f>
      </c>
      <c r="O8987" s="43">
        <f>IF($I8987=0,0,INDEX(DarlErsatzRate,19))</f>
      </c>
      <c r="P8987" s="43">
        <f>IF($I8987=0,0,$Q8986*INDEX(DarlErsatzZins,19))</f>
      </c>
      <c r="Q8987" s="43">
        <f>IF($I8987=0,0,$Q8986+$P8987+$O8987)</f>
      </c>
      <c r="R8987" s="43">
        <f>IF($I8987=0,0,$J8987-$M8987-$N8987)</f>
      </c>
    </row>
    <row r="8988">
      <c r="A8988"/>
      <c r="B8988">
        <v>19</v>
      </c>
      <c r="C8988" s="43">
        <f>INDEX(DarlObj,19)</f>
      </c>
      <c r="D8988">
        <v>345</v>
      </c>
      <c r="E8988" s="51">
        <f>IF(INDEX(DarlBelegt,19)=0,0,EOMONTH(INDEX(DarlAuszahlung,19),344)+1)</f>
      </c>
      <c r="F8988" s="43">
        <f>IF($E8988=0,0,YEAR($E8988))</f>
      </c>
      <c r="G8988" s="43">
        <f>IF(INDEX(DarlBindung,19)="",1,IF($E8988&lt;=INDEX(DarlBindung,19),1,0))</f>
      </c>
      <c r="H8988" s="43">
        <f>IF($G8988=1,INDEX(DarlSollzins,19),INDEX(DarlAnschluss,19))</f>
      </c>
      <c r="I8988" s="43">
        <f>IF(INDEX(DarlBelegt,19)=0,0,IF(INDEX(DarlOhneTilgung,19)=1,IF(INDEX(DarlBindung,19)="",1,$G8988),IF($J8988&gt;0.005,1,0)))</f>
      </c>
      <c r="J8988" s="43">
        <f>IF($I8987=0,0,$R8987)</f>
      </c>
      <c r="K8988" s="43">
        <f>IF($I8988=0,0,IF(INDEX(DarlOhneTilgung,19)=1,0,IF(AND(INDEX(DarlTilgStart,19)&gt;0,$E8988=INDEX(DarlTilgStart,19)),$J8988*($H8988+INDEX(DarlTilgung,19))/100/12,IF(AND($G8988=0,$G8987=1),MAX($K8987,$J8988*($H8988+1)/100/12),$K8987))))</f>
      </c>
      <c r="L8988" s="43">
        <f>IF($I8988=0,0,$J8988*$H8988/100/12)</f>
      </c>
      <c r="M8988" s="43">
        <f>IF($I8988=0,0,IF(OR(INDEX(DarlOhneTilgung,19)=1,AND(INDEX(DarlTilgStart,19)&gt;0,$E8988&lt;INDEX(DarlTilgStart,19))),0,MIN(MAX(0,$K8988-$L8988),$J8988)))</f>
      </c>
      <c r="N8988" s="43">
        <f>IF($I8988=0,0,MIN(SUMIFS(SondBetrag,SondDarl,19,SondDatum,"&gt;="&amp;$E8988,SondDatum,"&lt;="&amp;EOMONTH($E8988,0)),$J8988-$M8988))</f>
      </c>
      <c r="O8988" s="43">
        <f>IF($I8988=0,0,INDEX(DarlErsatzRate,19))</f>
      </c>
      <c r="P8988" s="43">
        <f>IF($I8988=0,0,$Q8987*INDEX(DarlErsatzZins,19))</f>
      </c>
      <c r="Q8988" s="43">
        <f>IF($I8988=0,0,$Q8987+$P8988+$O8988)</f>
      </c>
      <c r="R8988" s="43">
        <f>IF($I8988=0,0,$J8988-$M8988-$N8988)</f>
      </c>
    </row>
    <row r="8989">
      <c r="A8989"/>
      <c r="B8989">
        <v>19</v>
      </c>
      <c r="C8989" s="43">
        <f>INDEX(DarlObj,19)</f>
      </c>
      <c r="D8989">
        <v>346</v>
      </c>
      <c r="E8989" s="51">
        <f>IF(INDEX(DarlBelegt,19)=0,0,EOMONTH(INDEX(DarlAuszahlung,19),345)+1)</f>
      </c>
      <c r="F8989" s="43">
        <f>IF($E8989=0,0,YEAR($E8989))</f>
      </c>
      <c r="G8989" s="43">
        <f>IF(INDEX(DarlBindung,19)="",1,IF($E8989&lt;=INDEX(DarlBindung,19),1,0))</f>
      </c>
      <c r="H8989" s="43">
        <f>IF($G8989=1,INDEX(DarlSollzins,19),INDEX(DarlAnschluss,19))</f>
      </c>
      <c r="I8989" s="43">
        <f>IF(INDEX(DarlBelegt,19)=0,0,IF(INDEX(DarlOhneTilgung,19)=1,IF(INDEX(DarlBindung,19)="",1,$G8989),IF($J8989&gt;0.005,1,0)))</f>
      </c>
      <c r="J8989" s="43">
        <f>IF($I8988=0,0,$R8988)</f>
      </c>
      <c r="K8989" s="43">
        <f>IF($I8989=0,0,IF(INDEX(DarlOhneTilgung,19)=1,0,IF(AND(INDEX(DarlTilgStart,19)&gt;0,$E8989=INDEX(DarlTilgStart,19)),$J8989*($H8989+INDEX(DarlTilgung,19))/100/12,IF(AND($G8989=0,$G8988=1),MAX($K8988,$J8989*($H8989+1)/100/12),$K8988))))</f>
      </c>
      <c r="L8989" s="43">
        <f>IF($I8989=0,0,$J8989*$H8989/100/12)</f>
      </c>
      <c r="M8989" s="43">
        <f>IF($I8989=0,0,IF(OR(INDEX(DarlOhneTilgung,19)=1,AND(INDEX(DarlTilgStart,19)&gt;0,$E8989&lt;INDEX(DarlTilgStart,19))),0,MIN(MAX(0,$K8989-$L8989),$J8989)))</f>
      </c>
      <c r="N8989" s="43">
        <f>IF($I8989=0,0,MIN(SUMIFS(SondBetrag,SondDarl,19,SondDatum,"&gt;="&amp;$E8989,SondDatum,"&lt;="&amp;EOMONTH($E8989,0)),$J8989-$M8989))</f>
      </c>
      <c r="O8989" s="43">
        <f>IF($I8989=0,0,INDEX(DarlErsatzRate,19))</f>
      </c>
      <c r="P8989" s="43">
        <f>IF($I8989=0,0,$Q8988*INDEX(DarlErsatzZins,19))</f>
      </c>
      <c r="Q8989" s="43">
        <f>IF($I8989=0,0,$Q8988+$P8989+$O8989)</f>
      </c>
      <c r="R8989" s="43">
        <f>IF($I8989=0,0,$J8989-$M8989-$N8989)</f>
      </c>
    </row>
    <row r="8990">
      <c r="A8990"/>
      <c r="B8990">
        <v>19</v>
      </c>
      <c r="C8990" s="43">
        <f>INDEX(DarlObj,19)</f>
      </c>
      <c r="D8990">
        <v>347</v>
      </c>
      <c r="E8990" s="51">
        <f>IF(INDEX(DarlBelegt,19)=0,0,EOMONTH(INDEX(DarlAuszahlung,19),346)+1)</f>
      </c>
      <c r="F8990" s="43">
        <f>IF($E8990=0,0,YEAR($E8990))</f>
      </c>
      <c r="G8990" s="43">
        <f>IF(INDEX(DarlBindung,19)="",1,IF($E8990&lt;=INDEX(DarlBindung,19),1,0))</f>
      </c>
      <c r="H8990" s="43">
        <f>IF($G8990=1,INDEX(DarlSollzins,19),INDEX(DarlAnschluss,19))</f>
      </c>
      <c r="I8990" s="43">
        <f>IF(INDEX(DarlBelegt,19)=0,0,IF(INDEX(DarlOhneTilgung,19)=1,IF(INDEX(DarlBindung,19)="",1,$G8990),IF($J8990&gt;0.005,1,0)))</f>
      </c>
      <c r="J8990" s="43">
        <f>IF($I8989=0,0,$R8989)</f>
      </c>
      <c r="K8990" s="43">
        <f>IF($I8990=0,0,IF(INDEX(DarlOhneTilgung,19)=1,0,IF(AND(INDEX(DarlTilgStart,19)&gt;0,$E8990=INDEX(DarlTilgStart,19)),$J8990*($H8990+INDEX(DarlTilgung,19))/100/12,IF(AND($G8990=0,$G8989=1),MAX($K8989,$J8990*($H8990+1)/100/12),$K8989))))</f>
      </c>
      <c r="L8990" s="43">
        <f>IF($I8990=0,0,$J8990*$H8990/100/12)</f>
      </c>
      <c r="M8990" s="43">
        <f>IF($I8990=0,0,IF(OR(INDEX(DarlOhneTilgung,19)=1,AND(INDEX(DarlTilgStart,19)&gt;0,$E8990&lt;INDEX(DarlTilgStart,19))),0,MIN(MAX(0,$K8990-$L8990),$J8990)))</f>
      </c>
      <c r="N8990" s="43">
        <f>IF($I8990=0,0,MIN(SUMIFS(SondBetrag,SondDarl,19,SondDatum,"&gt;="&amp;$E8990,SondDatum,"&lt;="&amp;EOMONTH($E8990,0)),$J8990-$M8990))</f>
      </c>
      <c r="O8990" s="43">
        <f>IF($I8990=0,0,INDEX(DarlErsatzRate,19))</f>
      </c>
      <c r="P8990" s="43">
        <f>IF($I8990=0,0,$Q8989*INDEX(DarlErsatzZins,19))</f>
      </c>
      <c r="Q8990" s="43">
        <f>IF($I8990=0,0,$Q8989+$P8990+$O8990)</f>
      </c>
      <c r="R8990" s="43">
        <f>IF($I8990=0,0,$J8990-$M8990-$N8990)</f>
      </c>
    </row>
    <row r="8991">
      <c r="A8991"/>
      <c r="B8991">
        <v>19</v>
      </c>
      <c r="C8991" s="43">
        <f>INDEX(DarlObj,19)</f>
      </c>
      <c r="D8991">
        <v>348</v>
      </c>
      <c r="E8991" s="51">
        <f>IF(INDEX(DarlBelegt,19)=0,0,EOMONTH(INDEX(DarlAuszahlung,19),347)+1)</f>
      </c>
      <c r="F8991" s="43">
        <f>IF($E8991=0,0,YEAR($E8991))</f>
      </c>
      <c r="G8991" s="43">
        <f>IF(INDEX(DarlBindung,19)="",1,IF($E8991&lt;=INDEX(DarlBindung,19),1,0))</f>
      </c>
      <c r="H8991" s="43">
        <f>IF($G8991=1,INDEX(DarlSollzins,19),INDEX(DarlAnschluss,19))</f>
      </c>
      <c r="I8991" s="43">
        <f>IF(INDEX(DarlBelegt,19)=0,0,IF(INDEX(DarlOhneTilgung,19)=1,IF(INDEX(DarlBindung,19)="",1,$G8991),IF($J8991&gt;0.005,1,0)))</f>
      </c>
      <c r="J8991" s="43">
        <f>IF($I8990=0,0,$R8990)</f>
      </c>
      <c r="K8991" s="43">
        <f>IF($I8991=0,0,IF(INDEX(DarlOhneTilgung,19)=1,0,IF(AND(INDEX(DarlTilgStart,19)&gt;0,$E8991=INDEX(DarlTilgStart,19)),$J8991*($H8991+INDEX(DarlTilgung,19))/100/12,IF(AND($G8991=0,$G8990=1),MAX($K8990,$J8991*($H8991+1)/100/12),$K8990))))</f>
      </c>
      <c r="L8991" s="43">
        <f>IF($I8991=0,0,$J8991*$H8991/100/12)</f>
      </c>
      <c r="M8991" s="43">
        <f>IF($I8991=0,0,IF(OR(INDEX(DarlOhneTilgung,19)=1,AND(INDEX(DarlTilgStart,19)&gt;0,$E8991&lt;INDEX(DarlTilgStart,19))),0,MIN(MAX(0,$K8991-$L8991),$J8991)))</f>
      </c>
      <c r="N8991" s="43">
        <f>IF($I8991=0,0,MIN(SUMIFS(SondBetrag,SondDarl,19,SondDatum,"&gt;="&amp;$E8991,SondDatum,"&lt;="&amp;EOMONTH($E8991,0)),$J8991-$M8991))</f>
      </c>
      <c r="O8991" s="43">
        <f>IF($I8991=0,0,INDEX(DarlErsatzRate,19))</f>
      </c>
      <c r="P8991" s="43">
        <f>IF($I8991=0,0,$Q8990*INDEX(DarlErsatzZins,19))</f>
      </c>
      <c r="Q8991" s="43">
        <f>IF($I8991=0,0,$Q8990+$P8991+$O8991)</f>
      </c>
      <c r="R8991" s="43">
        <f>IF($I8991=0,0,$J8991-$M8991-$N8991)</f>
      </c>
    </row>
    <row r="8992">
      <c r="A8992"/>
      <c r="B8992">
        <v>19</v>
      </c>
      <c r="C8992" s="43">
        <f>INDEX(DarlObj,19)</f>
      </c>
      <c r="D8992">
        <v>349</v>
      </c>
      <c r="E8992" s="51">
        <f>IF(INDEX(DarlBelegt,19)=0,0,EOMONTH(INDEX(DarlAuszahlung,19),348)+1)</f>
      </c>
      <c r="F8992" s="43">
        <f>IF($E8992=0,0,YEAR($E8992))</f>
      </c>
      <c r="G8992" s="43">
        <f>IF(INDEX(DarlBindung,19)="",1,IF($E8992&lt;=INDEX(DarlBindung,19),1,0))</f>
      </c>
      <c r="H8992" s="43">
        <f>IF($G8992=1,INDEX(DarlSollzins,19),INDEX(DarlAnschluss,19))</f>
      </c>
      <c r="I8992" s="43">
        <f>IF(INDEX(DarlBelegt,19)=0,0,IF(INDEX(DarlOhneTilgung,19)=1,IF(INDEX(DarlBindung,19)="",1,$G8992),IF($J8992&gt;0.005,1,0)))</f>
      </c>
      <c r="J8992" s="43">
        <f>IF($I8991=0,0,$R8991)</f>
      </c>
      <c r="K8992" s="43">
        <f>IF($I8992=0,0,IF(INDEX(DarlOhneTilgung,19)=1,0,IF(AND(INDEX(DarlTilgStart,19)&gt;0,$E8992=INDEX(DarlTilgStart,19)),$J8992*($H8992+INDEX(DarlTilgung,19))/100/12,IF(AND($G8992=0,$G8991=1),MAX($K8991,$J8992*($H8992+1)/100/12),$K8991))))</f>
      </c>
      <c r="L8992" s="43">
        <f>IF($I8992=0,0,$J8992*$H8992/100/12)</f>
      </c>
      <c r="M8992" s="43">
        <f>IF($I8992=0,0,IF(OR(INDEX(DarlOhneTilgung,19)=1,AND(INDEX(DarlTilgStart,19)&gt;0,$E8992&lt;INDEX(DarlTilgStart,19))),0,MIN(MAX(0,$K8992-$L8992),$J8992)))</f>
      </c>
      <c r="N8992" s="43">
        <f>IF($I8992=0,0,MIN(SUMIFS(SondBetrag,SondDarl,19,SondDatum,"&gt;="&amp;$E8992,SondDatum,"&lt;="&amp;EOMONTH($E8992,0)),$J8992-$M8992))</f>
      </c>
      <c r="O8992" s="43">
        <f>IF($I8992=0,0,INDEX(DarlErsatzRate,19))</f>
      </c>
      <c r="P8992" s="43">
        <f>IF($I8992=0,0,$Q8991*INDEX(DarlErsatzZins,19))</f>
      </c>
      <c r="Q8992" s="43">
        <f>IF($I8992=0,0,$Q8991+$P8992+$O8992)</f>
      </c>
      <c r="R8992" s="43">
        <f>IF($I8992=0,0,$J8992-$M8992-$N8992)</f>
      </c>
    </row>
    <row r="8993">
      <c r="A8993"/>
      <c r="B8993">
        <v>19</v>
      </c>
      <c r="C8993" s="43">
        <f>INDEX(DarlObj,19)</f>
      </c>
      <c r="D8993">
        <v>350</v>
      </c>
      <c r="E8993" s="51">
        <f>IF(INDEX(DarlBelegt,19)=0,0,EOMONTH(INDEX(DarlAuszahlung,19),349)+1)</f>
      </c>
      <c r="F8993" s="43">
        <f>IF($E8993=0,0,YEAR($E8993))</f>
      </c>
      <c r="G8993" s="43">
        <f>IF(INDEX(DarlBindung,19)="",1,IF($E8993&lt;=INDEX(DarlBindung,19),1,0))</f>
      </c>
      <c r="H8993" s="43">
        <f>IF($G8993=1,INDEX(DarlSollzins,19),INDEX(DarlAnschluss,19))</f>
      </c>
      <c r="I8993" s="43">
        <f>IF(INDEX(DarlBelegt,19)=0,0,IF(INDEX(DarlOhneTilgung,19)=1,IF(INDEX(DarlBindung,19)="",1,$G8993),IF($J8993&gt;0.005,1,0)))</f>
      </c>
      <c r="J8993" s="43">
        <f>IF($I8992=0,0,$R8992)</f>
      </c>
      <c r="K8993" s="43">
        <f>IF($I8993=0,0,IF(INDEX(DarlOhneTilgung,19)=1,0,IF(AND(INDEX(DarlTilgStart,19)&gt;0,$E8993=INDEX(DarlTilgStart,19)),$J8993*($H8993+INDEX(DarlTilgung,19))/100/12,IF(AND($G8993=0,$G8992=1),MAX($K8992,$J8993*($H8993+1)/100/12),$K8992))))</f>
      </c>
      <c r="L8993" s="43">
        <f>IF($I8993=0,0,$J8993*$H8993/100/12)</f>
      </c>
      <c r="M8993" s="43">
        <f>IF($I8993=0,0,IF(OR(INDEX(DarlOhneTilgung,19)=1,AND(INDEX(DarlTilgStart,19)&gt;0,$E8993&lt;INDEX(DarlTilgStart,19))),0,MIN(MAX(0,$K8993-$L8993),$J8993)))</f>
      </c>
      <c r="N8993" s="43">
        <f>IF($I8993=0,0,MIN(SUMIFS(SondBetrag,SondDarl,19,SondDatum,"&gt;="&amp;$E8993,SondDatum,"&lt;="&amp;EOMONTH($E8993,0)),$J8993-$M8993))</f>
      </c>
      <c r="O8993" s="43">
        <f>IF($I8993=0,0,INDEX(DarlErsatzRate,19))</f>
      </c>
      <c r="P8993" s="43">
        <f>IF($I8993=0,0,$Q8992*INDEX(DarlErsatzZins,19))</f>
      </c>
      <c r="Q8993" s="43">
        <f>IF($I8993=0,0,$Q8992+$P8993+$O8993)</f>
      </c>
      <c r="R8993" s="43">
        <f>IF($I8993=0,0,$J8993-$M8993-$N8993)</f>
      </c>
    </row>
    <row r="8994">
      <c r="A8994"/>
      <c r="B8994">
        <v>19</v>
      </c>
      <c r="C8994" s="43">
        <f>INDEX(DarlObj,19)</f>
      </c>
      <c r="D8994">
        <v>351</v>
      </c>
      <c r="E8994" s="51">
        <f>IF(INDEX(DarlBelegt,19)=0,0,EOMONTH(INDEX(DarlAuszahlung,19),350)+1)</f>
      </c>
      <c r="F8994" s="43">
        <f>IF($E8994=0,0,YEAR($E8994))</f>
      </c>
      <c r="G8994" s="43">
        <f>IF(INDEX(DarlBindung,19)="",1,IF($E8994&lt;=INDEX(DarlBindung,19),1,0))</f>
      </c>
      <c r="H8994" s="43">
        <f>IF($G8994=1,INDEX(DarlSollzins,19),INDEX(DarlAnschluss,19))</f>
      </c>
      <c r="I8994" s="43">
        <f>IF(INDEX(DarlBelegt,19)=0,0,IF(INDEX(DarlOhneTilgung,19)=1,IF(INDEX(DarlBindung,19)="",1,$G8994),IF($J8994&gt;0.005,1,0)))</f>
      </c>
      <c r="J8994" s="43">
        <f>IF($I8993=0,0,$R8993)</f>
      </c>
      <c r="K8994" s="43">
        <f>IF($I8994=0,0,IF(INDEX(DarlOhneTilgung,19)=1,0,IF(AND(INDEX(DarlTilgStart,19)&gt;0,$E8994=INDEX(DarlTilgStart,19)),$J8994*($H8994+INDEX(DarlTilgung,19))/100/12,IF(AND($G8994=0,$G8993=1),MAX($K8993,$J8994*($H8994+1)/100/12),$K8993))))</f>
      </c>
      <c r="L8994" s="43">
        <f>IF($I8994=0,0,$J8994*$H8994/100/12)</f>
      </c>
      <c r="M8994" s="43">
        <f>IF($I8994=0,0,IF(OR(INDEX(DarlOhneTilgung,19)=1,AND(INDEX(DarlTilgStart,19)&gt;0,$E8994&lt;INDEX(DarlTilgStart,19))),0,MIN(MAX(0,$K8994-$L8994),$J8994)))</f>
      </c>
      <c r="N8994" s="43">
        <f>IF($I8994=0,0,MIN(SUMIFS(SondBetrag,SondDarl,19,SondDatum,"&gt;="&amp;$E8994,SondDatum,"&lt;="&amp;EOMONTH($E8994,0)),$J8994-$M8994))</f>
      </c>
      <c r="O8994" s="43">
        <f>IF($I8994=0,0,INDEX(DarlErsatzRate,19))</f>
      </c>
      <c r="P8994" s="43">
        <f>IF($I8994=0,0,$Q8993*INDEX(DarlErsatzZins,19))</f>
      </c>
      <c r="Q8994" s="43">
        <f>IF($I8994=0,0,$Q8993+$P8994+$O8994)</f>
      </c>
      <c r="R8994" s="43">
        <f>IF($I8994=0,0,$J8994-$M8994-$N8994)</f>
      </c>
    </row>
    <row r="8995">
      <c r="A8995"/>
      <c r="B8995">
        <v>19</v>
      </c>
      <c r="C8995" s="43">
        <f>INDEX(DarlObj,19)</f>
      </c>
      <c r="D8995">
        <v>352</v>
      </c>
      <c r="E8995" s="51">
        <f>IF(INDEX(DarlBelegt,19)=0,0,EOMONTH(INDEX(DarlAuszahlung,19),351)+1)</f>
      </c>
      <c r="F8995" s="43">
        <f>IF($E8995=0,0,YEAR($E8995))</f>
      </c>
      <c r="G8995" s="43">
        <f>IF(INDEX(DarlBindung,19)="",1,IF($E8995&lt;=INDEX(DarlBindung,19),1,0))</f>
      </c>
      <c r="H8995" s="43">
        <f>IF($G8995=1,INDEX(DarlSollzins,19),INDEX(DarlAnschluss,19))</f>
      </c>
      <c r="I8995" s="43">
        <f>IF(INDEX(DarlBelegt,19)=0,0,IF(INDEX(DarlOhneTilgung,19)=1,IF(INDEX(DarlBindung,19)="",1,$G8995),IF($J8995&gt;0.005,1,0)))</f>
      </c>
      <c r="J8995" s="43">
        <f>IF($I8994=0,0,$R8994)</f>
      </c>
      <c r="K8995" s="43">
        <f>IF($I8995=0,0,IF(INDEX(DarlOhneTilgung,19)=1,0,IF(AND(INDEX(DarlTilgStart,19)&gt;0,$E8995=INDEX(DarlTilgStart,19)),$J8995*($H8995+INDEX(DarlTilgung,19))/100/12,IF(AND($G8995=0,$G8994=1),MAX($K8994,$J8995*($H8995+1)/100/12),$K8994))))</f>
      </c>
      <c r="L8995" s="43">
        <f>IF($I8995=0,0,$J8995*$H8995/100/12)</f>
      </c>
      <c r="M8995" s="43">
        <f>IF($I8995=0,0,IF(OR(INDEX(DarlOhneTilgung,19)=1,AND(INDEX(DarlTilgStart,19)&gt;0,$E8995&lt;INDEX(DarlTilgStart,19))),0,MIN(MAX(0,$K8995-$L8995),$J8995)))</f>
      </c>
      <c r="N8995" s="43">
        <f>IF($I8995=0,0,MIN(SUMIFS(SondBetrag,SondDarl,19,SondDatum,"&gt;="&amp;$E8995,SondDatum,"&lt;="&amp;EOMONTH($E8995,0)),$J8995-$M8995))</f>
      </c>
      <c r="O8995" s="43">
        <f>IF($I8995=0,0,INDEX(DarlErsatzRate,19))</f>
      </c>
      <c r="P8995" s="43">
        <f>IF($I8995=0,0,$Q8994*INDEX(DarlErsatzZins,19))</f>
      </c>
      <c r="Q8995" s="43">
        <f>IF($I8995=0,0,$Q8994+$P8995+$O8995)</f>
      </c>
      <c r="R8995" s="43">
        <f>IF($I8995=0,0,$J8995-$M8995-$N8995)</f>
      </c>
    </row>
    <row r="8996">
      <c r="A8996"/>
      <c r="B8996">
        <v>19</v>
      </c>
      <c r="C8996" s="43">
        <f>INDEX(DarlObj,19)</f>
      </c>
      <c r="D8996">
        <v>353</v>
      </c>
      <c r="E8996" s="51">
        <f>IF(INDEX(DarlBelegt,19)=0,0,EOMONTH(INDEX(DarlAuszahlung,19),352)+1)</f>
      </c>
      <c r="F8996" s="43">
        <f>IF($E8996=0,0,YEAR($E8996))</f>
      </c>
      <c r="G8996" s="43">
        <f>IF(INDEX(DarlBindung,19)="",1,IF($E8996&lt;=INDEX(DarlBindung,19),1,0))</f>
      </c>
      <c r="H8996" s="43">
        <f>IF($G8996=1,INDEX(DarlSollzins,19),INDEX(DarlAnschluss,19))</f>
      </c>
      <c r="I8996" s="43">
        <f>IF(INDEX(DarlBelegt,19)=0,0,IF(INDEX(DarlOhneTilgung,19)=1,IF(INDEX(DarlBindung,19)="",1,$G8996),IF($J8996&gt;0.005,1,0)))</f>
      </c>
      <c r="J8996" s="43">
        <f>IF($I8995=0,0,$R8995)</f>
      </c>
      <c r="K8996" s="43">
        <f>IF($I8996=0,0,IF(INDEX(DarlOhneTilgung,19)=1,0,IF(AND(INDEX(DarlTilgStart,19)&gt;0,$E8996=INDEX(DarlTilgStart,19)),$J8996*($H8996+INDEX(DarlTilgung,19))/100/12,IF(AND($G8996=0,$G8995=1),MAX($K8995,$J8996*($H8996+1)/100/12),$K8995))))</f>
      </c>
      <c r="L8996" s="43">
        <f>IF($I8996=0,0,$J8996*$H8996/100/12)</f>
      </c>
      <c r="M8996" s="43">
        <f>IF($I8996=0,0,IF(OR(INDEX(DarlOhneTilgung,19)=1,AND(INDEX(DarlTilgStart,19)&gt;0,$E8996&lt;INDEX(DarlTilgStart,19))),0,MIN(MAX(0,$K8996-$L8996),$J8996)))</f>
      </c>
      <c r="N8996" s="43">
        <f>IF($I8996=0,0,MIN(SUMIFS(SondBetrag,SondDarl,19,SondDatum,"&gt;="&amp;$E8996,SondDatum,"&lt;="&amp;EOMONTH($E8996,0)),$J8996-$M8996))</f>
      </c>
      <c r="O8996" s="43">
        <f>IF($I8996=0,0,INDEX(DarlErsatzRate,19))</f>
      </c>
      <c r="P8996" s="43">
        <f>IF($I8996=0,0,$Q8995*INDEX(DarlErsatzZins,19))</f>
      </c>
      <c r="Q8996" s="43">
        <f>IF($I8996=0,0,$Q8995+$P8996+$O8996)</f>
      </c>
      <c r="R8996" s="43">
        <f>IF($I8996=0,0,$J8996-$M8996-$N8996)</f>
      </c>
    </row>
    <row r="8997">
      <c r="A8997"/>
      <c r="B8997">
        <v>19</v>
      </c>
      <c r="C8997" s="43">
        <f>INDEX(DarlObj,19)</f>
      </c>
      <c r="D8997">
        <v>354</v>
      </c>
      <c r="E8997" s="51">
        <f>IF(INDEX(DarlBelegt,19)=0,0,EOMONTH(INDEX(DarlAuszahlung,19),353)+1)</f>
      </c>
      <c r="F8997" s="43">
        <f>IF($E8997=0,0,YEAR($E8997))</f>
      </c>
      <c r="G8997" s="43">
        <f>IF(INDEX(DarlBindung,19)="",1,IF($E8997&lt;=INDEX(DarlBindung,19),1,0))</f>
      </c>
      <c r="H8997" s="43">
        <f>IF($G8997=1,INDEX(DarlSollzins,19),INDEX(DarlAnschluss,19))</f>
      </c>
      <c r="I8997" s="43">
        <f>IF(INDEX(DarlBelegt,19)=0,0,IF(INDEX(DarlOhneTilgung,19)=1,IF(INDEX(DarlBindung,19)="",1,$G8997),IF($J8997&gt;0.005,1,0)))</f>
      </c>
      <c r="J8997" s="43">
        <f>IF($I8996=0,0,$R8996)</f>
      </c>
      <c r="K8997" s="43">
        <f>IF($I8997=0,0,IF(INDEX(DarlOhneTilgung,19)=1,0,IF(AND(INDEX(DarlTilgStart,19)&gt;0,$E8997=INDEX(DarlTilgStart,19)),$J8997*($H8997+INDEX(DarlTilgung,19))/100/12,IF(AND($G8997=0,$G8996=1),MAX($K8996,$J8997*($H8997+1)/100/12),$K8996))))</f>
      </c>
      <c r="L8997" s="43">
        <f>IF($I8997=0,0,$J8997*$H8997/100/12)</f>
      </c>
      <c r="M8997" s="43">
        <f>IF($I8997=0,0,IF(OR(INDEX(DarlOhneTilgung,19)=1,AND(INDEX(DarlTilgStart,19)&gt;0,$E8997&lt;INDEX(DarlTilgStart,19))),0,MIN(MAX(0,$K8997-$L8997),$J8997)))</f>
      </c>
      <c r="N8997" s="43">
        <f>IF($I8997=0,0,MIN(SUMIFS(SondBetrag,SondDarl,19,SondDatum,"&gt;="&amp;$E8997,SondDatum,"&lt;="&amp;EOMONTH($E8997,0)),$J8997-$M8997))</f>
      </c>
      <c r="O8997" s="43">
        <f>IF($I8997=0,0,INDEX(DarlErsatzRate,19))</f>
      </c>
      <c r="P8997" s="43">
        <f>IF($I8997=0,0,$Q8996*INDEX(DarlErsatzZins,19))</f>
      </c>
      <c r="Q8997" s="43">
        <f>IF($I8997=0,0,$Q8996+$P8997+$O8997)</f>
      </c>
      <c r="R8997" s="43">
        <f>IF($I8997=0,0,$J8997-$M8997-$N8997)</f>
      </c>
    </row>
    <row r="8998">
      <c r="A8998"/>
      <c r="B8998">
        <v>19</v>
      </c>
      <c r="C8998" s="43">
        <f>INDEX(DarlObj,19)</f>
      </c>
      <c r="D8998">
        <v>355</v>
      </c>
      <c r="E8998" s="51">
        <f>IF(INDEX(DarlBelegt,19)=0,0,EOMONTH(INDEX(DarlAuszahlung,19),354)+1)</f>
      </c>
      <c r="F8998" s="43">
        <f>IF($E8998=0,0,YEAR($E8998))</f>
      </c>
      <c r="G8998" s="43">
        <f>IF(INDEX(DarlBindung,19)="",1,IF($E8998&lt;=INDEX(DarlBindung,19),1,0))</f>
      </c>
      <c r="H8998" s="43">
        <f>IF($G8998=1,INDEX(DarlSollzins,19),INDEX(DarlAnschluss,19))</f>
      </c>
      <c r="I8998" s="43">
        <f>IF(INDEX(DarlBelegt,19)=0,0,IF(INDEX(DarlOhneTilgung,19)=1,IF(INDEX(DarlBindung,19)="",1,$G8998),IF($J8998&gt;0.005,1,0)))</f>
      </c>
      <c r="J8998" s="43">
        <f>IF($I8997=0,0,$R8997)</f>
      </c>
      <c r="K8998" s="43">
        <f>IF($I8998=0,0,IF(INDEX(DarlOhneTilgung,19)=1,0,IF(AND(INDEX(DarlTilgStart,19)&gt;0,$E8998=INDEX(DarlTilgStart,19)),$J8998*($H8998+INDEX(DarlTilgung,19))/100/12,IF(AND($G8998=0,$G8997=1),MAX($K8997,$J8998*($H8998+1)/100/12),$K8997))))</f>
      </c>
      <c r="L8998" s="43">
        <f>IF($I8998=0,0,$J8998*$H8998/100/12)</f>
      </c>
      <c r="M8998" s="43">
        <f>IF($I8998=0,0,IF(OR(INDEX(DarlOhneTilgung,19)=1,AND(INDEX(DarlTilgStart,19)&gt;0,$E8998&lt;INDEX(DarlTilgStart,19))),0,MIN(MAX(0,$K8998-$L8998),$J8998)))</f>
      </c>
      <c r="N8998" s="43">
        <f>IF($I8998=0,0,MIN(SUMIFS(SondBetrag,SondDarl,19,SondDatum,"&gt;="&amp;$E8998,SondDatum,"&lt;="&amp;EOMONTH($E8998,0)),$J8998-$M8998))</f>
      </c>
      <c r="O8998" s="43">
        <f>IF($I8998=0,0,INDEX(DarlErsatzRate,19))</f>
      </c>
      <c r="P8998" s="43">
        <f>IF($I8998=0,0,$Q8997*INDEX(DarlErsatzZins,19))</f>
      </c>
      <c r="Q8998" s="43">
        <f>IF($I8998=0,0,$Q8997+$P8998+$O8998)</f>
      </c>
      <c r="R8998" s="43">
        <f>IF($I8998=0,0,$J8998-$M8998-$N8998)</f>
      </c>
    </row>
    <row r="8999">
      <c r="A8999"/>
      <c r="B8999">
        <v>19</v>
      </c>
      <c r="C8999" s="43">
        <f>INDEX(DarlObj,19)</f>
      </c>
      <c r="D8999">
        <v>356</v>
      </c>
      <c r="E8999" s="51">
        <f>IF(INDEX(DarlBelegt,19)=0,0,EOMONTH(INDEX(DarlAuszahlung,19),355)+1)</f>
      </c>
      <c r="F8999" s="43">
        <f>IF($E8999=0,0,YEAR($E8999))</f>
      </c>
      <c r="G8999" s="43">
        <f>IF(INDEX(DarlBindung,19)="",1,IF($E8999&lt;=INDEX(DarlBindung,19),1,0))</f>
      </c>
      <c r="H8999" s="43">
        <f>IF($G8999=1,INDEX(DarlSollzins,19),INDEX(DarlAnschluss,19))</f>
      </c>
      <c r="I8999" s="43">
        <f>IF(INDEX(DarlBelegt,19)=0,0,IF(INDEX(DarlOhneTilgung,19)=1,IF(INDEX(DarlBindung,19)="",1,$G8999),IF($J8999&gt;0.005,1,0)))</f>
      </c>
      <c r="J8999" s="43">
        <f>IF($I8998=0,0,$R8998)</f>
      </c>
      <c r="K8999" s="43">
        <f>IF($I8999=0,0,IF(INDEX(DarlOhneTilgung,19)=1,0,IF(AND(INDEX(DarlTilgStart,19)&gt;0,$E8999=INDEX(DarlTilgStart,19)),$J8999*($H8999+INDEX(DarlTilgung,19))/100/12,IF(AND($G8999=0,$G8998=1),MAX($K8998,$J8999*($H8999+1)/100/12),$K8998))))</f>
      </c>
      <c r="L8999" s="43">
        <f>IF($I8999=0,0,$J8999*$H8999/100/12)</f>
      </c>
      <c r="M8999" s="43">
        <f>IF($I8999=0,0,IF(OR(INDEX(DarlOhneTilgung,19)=1,AND(INDEX(DarlTilgStart,19)&gt;0,$E8999&lt;INDEX(DarlTilgStart,19))),0,MIN(MAX(0,$K8999-$L8999),$J8999)))</f>
      </c>
      <c r="N8999" s="43">
        <f>IF($I8999=0,0,MIN(SUMIFS(SondBetrag,SondDarl,19,SondDatum,"&gt;="&amp;$E8999,SondDatum,"&lt;="&amp;EOMONTH($E8999,0)),$J8999-$M8999))</f>
      </c>
      <c r="O8999" s="43">
        <f>IF($I8999=0,0,INDEX(DarlErsatzRate,19))</f>
      </c>
      <c r="P8999" s="43">
        <f>IF($I8999=0,0,$Q8998*INDEX(DarlErsatzZins,19))</f>
      </c>
      <c r="Q8999" s="43">
        <f>IF($I8999=0,0,$Q8998+$P8999+$O8999)</f>
      </c>
      <c r="R8999" s="43">
        <f>IF($I8999=0,0,$J8999-$M8999-$N8999)</f>
      </c>
    </row>
    <row r="9000">
      <c r="A9000"/>
      <c r="B9000">
        <v>19</v>
      </c>
      <c r="C9000" s="43">
        <f>INDEX(DarlObj,19)</f>
      </c>
      <c r="D9000">
        <v>357</v>
      </c>
      <c r="E9000" s="51">
        <f>IF(INDEX(DarlBelegt,19)=0,0,EOMONTH(INDEX(DarlAuszahlung,19),356)+1)</f>
      </c>
      <c r="F9000" s="43">
        <f>IF($E9000=0,0,YEAR($E9000))</f>
      </c>
      <c r="G9000" s="43">
        <f>IF(INDEX(DarlBindung,19)="",1,IF($E9000&lt;=INDEX(DarlBindung,19),1,0))</f>
      </c>
      <c r="H9000" s="43">
        <f>IF($G9000=1,INDEX(DarlSollzins,19),INDEX(DarlAnschluss,19))</f>
      </c>
      <c r="I9000" s="43">
        <f>IF(INDEX(DarlBelegt,19)=0,0,IF(INDEX(DarlOhneTilgung,19)=1,IF(INDEX(DarlBindung,19)="",1,$G9000),IF($J9000&gt;0.005,1,0)))</f>
      </c>
      <c r="J9000" s="43">
        <f>IF($I8999=0,0,$R8999)</f>
      </c>
      <c r="K9000" s="43">
        <f>IF($I9000=0,0,IF(INDEX(DarlOhneTilgung,19)=1,0,IF(AND(INDEX(DarlTilgStart,19)&gt;0,$E9000=INDEX(DarlTilgStart,19)),$J9000*($H9000+INDEX(DarlTilgung,19))/100/12,IF(AND($G9000=0,$G8999=1),MAX($K8999,$J9000*($H9000+1)/100/12),$K8999))))</f>
      </c>
      <c r="L9000" s="43">
        <f>IF($I9000=0,0,$J9000*$H9000/100/12)</f>
      </c>
      <c r="M9000" s="43">
        <f>IF($I9000=0,0,IF(OR(INDEX(DarlOhneTilgung,19)=1,AND(INDEX(DarlTilgStart,19)&gt;0,$E9000&lt;INDEX(DarlTilgStart,19))),0,MIN(MAX(0,$K9000-$L9000),$J9000)))</f>
      </c>
      <c r="N9000" s="43">
        <f>IF($I9000=0,0,MIN(SUMIFS(SondBetrag,SondDarl,19,SondDatum,"&gt;="&amp;$E9000,SondDatum,"&lt;="&amp;EOMONTH($E9000,0)),$J9000-$M9000))</f>
      </c>
      <c r="O9000" s="43">
        <f>IF($I9000=0,0,INDEX(DarlErsatzRate,19))</f>
      </c>
      <c r="P9000" s="43">
        <f>IF($I9000=0,0,$Q8999*INDEX(DarlErsatzZins,19))</f>
      </c>
      <c r="Q9000" s="43">
        <f>IF($I9000=0,0,$Q8999+$P9000+$O9000)</f>
      </c>
      <c r="R9000" s="43">
        <f>IF($I9000=0,0,$J9000-$M9000-$N9000)</f>
      </c>
    </row>
    <row r="9001">
      <c r="A9001"/>
      <c r="B9001">
        <v>19</v>
      </c>
      <c r="C9001" s="43">
        <f>INDEX(DarlObj,19)</f>
      </c>
      <c r="D9001">
        <v>358</v>
      </c>
      <c r="E9001" s="51">
        <f>IF(INDEX(DarlBelegt,19)=0,0,EOMONTH(INDEX(DarlAuszahlung,19),357)+1)</f>
      </c>
      <c r="F9001" s="43">
        <f>IF($E9001=0,0,YEAR($E9001))</f>
      </c>
      <c r="G9001" s="43">
        <f>IF(INDEX(DarlBindung,19)="",1,IF($E9001&lt;=INDEX(DarlBindung,19),1,0))</f>
      </c>
      <c r="H9001" s="43">
        <f>IF($G9001=1,INDEX(DarlSollzins,19),INDEX(DarlAnschluss,19))</f>
      </c>
      <c r="I9001" s="43">
        <f>IF(INDEX(DarlBelegt,19)=0,0,IF(INDEX(DarlOhneTilgung,19)=1,IF(INDEX(DarlBindung,19)="",1,$G9001),IF($J9001&gt;0.005,1,0)))</f>
      </c>
      <c r="J9001" s="43">
        <f>IF($I9000=0,0,$R9000)</f>
      </c>
      <c r="K9001" s="43">
        <f>IF($I9001=0,0,IF(INDEX(DarlOhneTilgung,19)=1,0,IF(AND(INDEX(DarlTilgStart,19)&gt;0,$E9001=INDEX(DarlTilgStart,19)),$J9001*($H9001+INDEX(DarlTilgung,19))/100/12,IF(AND($G9001=0,$G9000=1),MAX($K9000,$J9001*($H9001+1)/100/12),$K9000))))</f>
      </c>
      <c r="L9001" s="43">
        <f>IF($I9001=0,0,$J9001*$H9001/100/12)</f>
      </c>
      <c r="M9001" s="43">
        <f>IF($I9001=0,0,IF(OR(INDEX(DarlOhneTilgung,19)=1,AND(INDEX(DarlTilgStart,19)&gt;0,$E9001&lt;INDEX(DarlTilgStart,19))),0,MIN(MAX(0,$K9001-$L9001),$J9001)))</f>
      </c>
      <c r="N9001" s="43">
        <f>IF($I9001=0,0,MIN(SUMIFS(SondBetrag,SondDarl,19,SondDatum,"&gt;="&amp;$E9001,SondDatum,"&lt;="&amp;EOMONTH($E9001,0)),$J9001-$M9001))</f>
      </c>
      <c r="O9001" s="43">
        <f>IF($I9001=0,0,INDEX(DarlErsatzRate,19))</f>
      </c>
      <c r="P9001" s="43">
        <f>IF($I9001=0,0,$Q9000*INDEX(DarlErsatzZins,19))</f>
      </c>
      <c r="Q9001" s="43">
        <f>IF($I9001=0,0,$Q9000+$P9001+$O9001)</f>
      </c>
      <c r="R9001" s="43">
        <f>IF($I9001=0,0,$J9001-$M9001-$N9001)</f>
      </c>
    </row>
    <row r="9002">
      <c r="A9002"/>
      <c r="B9002">
        <v>19</v>
      </c>
      <c r="C9002" s="43">
        <f>INDEX(DarlObj,19)</f>
      </c>
      <c r="D9002">
        <v>359</v>
      </c>
      <c r="E9002" s="51">
        <f>IF(INDEX(DarlBelegt,19)=0,0,EOMONTH(INDEX(DarlAuszahlung,19),358)+1)</f>
      </c>
      <c r="F9002" s="43">
        <f>IF($E9002=0,0,YEAR($E9002))</f>
      </c>
      <c r="G9002" s="43">
        <f>IF(INDEX(DarlBindung,19)="",1,IF($E9002&lt;=INDEX(DarlBindung,19),1,0))</f>
      </c>
      <c r="H9002" s="43">
        <f>IF($G9002=1,INDEX(DarlSollzins,19),INDEX(DarlAnschluss,19))</f>
      </c>
      <c r="I9002" s="43">
        <f>IF(INDEX(DarlBelegt,19)=0,0,IF(INDEX(DarlOhneTilgung,19)=1,IF(INDEX(DarlBindung,19)="",1,$G9002),IF($J9002&gt;0.005,1,0)))</f>
      </c>
      <c r="J9002" s="43">
        <f>IF($I9001=0,0,$R9001)</f>
      </c>
      <c r="K9002" s="43">
        <f>IF($I9002=0,0,IF(INDEX(DarlOhneTilgung,19)=1,0,IF(AND(INDEX(DarlTilgStart,19)&gt;0,$E9002=INDEX(DarlTilgStart,19)),$J9002*($H9002+INDEX(DarlTilgung,19))/100/12,IF(AND($G9002=0,$G9001=1),MAX($K9001,$J9002*($H9002+1)/100/12),$K9001))))</f>
      </c>
      <c r="L9002" s="43">
        <f>IF($I9002=0,0,$J9002*$H9002/100/12)</f>
      </c>
      <c r="M9002" s="43">
        <f>IF($I9002=0,0,IF(OR(INDEX(DarlOhneTilgung,19)=1,AND(INDEX(DarlTilgStart,19)&gt;0,$E9002&lt;INDEX(DarlTilgStart,19))),0,MIN(MAX(0,$K9002-$L9002),$J9002)))</f>
      </c>
      <c r="N9002" s="43">
        <f>IF($I9002=0,0,MIN(SUMIFS(SondBetrag,SondDarl,19,SondDatum,"&gt;="&amp;$E9002,SondDatum,"&lt;="&amp;EOMONTH($E9002,0)),$J9002-$M9002))</f>
      </c>
      <c r="O9002" s="43">
        <f>IF($I9002=0,0,INDEX(DarlErsatzRate,19))</f>
      </c>
      <c r="P9002" s="43">
        <f>IF($I9002=0,0,$Q9001*INDEX(DarlErsatzZins,19))</f>
      </c>
      <c r="Q9002" s="43">
        <f>IF($I9002=0,0,$Q9001+$P9002+$O9002)</f>
      </c>
      <c r="R9002" s="43">
        <f>IF($I9002=0,0,$J9002-$M9002-$N9002)</f>
      </c>
    </row>
    <row r="9003">
      <c r="A9003"/>
      <c r="B9003">
        <v>19</v>
      </c>
      <c r="C9003" s="43">
        <f>INDEX(DarlObj,19)</f>
      </c>
      <c r="D9003">
        <v>360</v>
      </c>
      <c r="E9003" s="51">
        <f>IF(INDEX(DarlBelegt,19)=0,0,EOMONTH(INDEX(DarlAuszahlung,19),359)+1)</f>
      </c>
      <c r="F9003" s="43">
        <f>IF($E9003=0,0,YEAR($E9003))</f>
      </c>
      <c r="G9003" s="43">
        <f>IF(INDEX(DarlBindung,19)="",1,IF($E9003&lt;=INDEX(DarlBindung,19),1,0))</f>
      </c>
      <c r="H9003" s="43">
        <f>IF($G9003=1,INDEX(DarlSollzins,19),INDEX(DarlAnschluss,19))</f>
      </c>
      <c r="I9003" s="43">
        <f>IF(INDEX(DarlBelegt,19)=0,0,IF(INDEX(DarlOhneTilgung,19)=1,IF(INDEX(DarlBindung,19)="",1,$G9003),IF($J9003&gt;0.005,1,0)))</f>
      </c>
      <c r="J9003" s="43">
        <f>IF($I9002=0,0,$R9002)</f>
      </c>
      <c r="K9003" s="43">
        <f>IF($I9003=0,0,IF(INDEX(DarlOhneTilgung,19)=1,0,IF(AND(INDEX(DarlTilgStart,19)&gt;0,$E9003=INDEX(DarlTilgStart,19)),$J9003*($H9003+INDEX(DarlTilgung,19))/100/12,IF(AND($G9003=0,$G9002=1),MAX($K9002,$J9003*($H9003+1)/100/12),$K9002))))</f>
      </c>
      <c r="L9003" s="43">
        <f>IF($I9003=0,0,$J9003*$H9003/100/12)</f>
      </c>
      <c r="M9003" s="43">
        <f>IF($I9003=0,0,IF(OR(INDEX(DarlOhneTilgung,19)=1,AND(INDEX(DarlTilgStart,19)&gt;0,$E9003&lt;INDEX(DarlTilgStart,19))),0,MIN(MAX(0,$K9003-$L9003),$J9003)))</f>
      </c>
      <c r="N9003" s="43">
        <f>IF($I9003=0,0,MIN(SUMIFS(SondBetrag,SondDarl,19,SondDatum,"&gt;="&amp;$E9003,SondDatum,"&lt;="&amp;EOMONTH($E9003,0)),$J9003-$M9003))</f>
      </c>
      <c r="O9003" s="43">
        <f>IF($I9003=0,0,INDEX(DarlErsatzRate,19))</f>
      </c>
      <c r="P9003" s="43">
        <f>IF($I9003=0,0,$Q9002*INDEX(DarlErsatzZins,19))</f>
      </c>
      <c r="Q9003" s="43">
        <f>IF($I9003=0,0,$Q9002+$P9003+$O9003)</f>
      </c>
      <c r="R9003" s="43">
        <f>IF($I9003=0,0,$J9003-$M9003-$N9003)</f>
      </c>
    </row>
    <row r="9004">
      <c r="A9004"/>
      <c r="B9004">
        <v>19</v>
      </c>
      <c r="C9004" s="43">
        <f>INDEX(DarlObj,19)</f>
      </c>
      <c r="D9004">
        <v>361</v>
      </c>
      <c r="E9004" s="51">
        <f>IF(INDEX(DarlBelegt,19)=0,0,EOMONTH(INDEX(DarlAuszahlung,19),360)+1)</f>
      </c>
      <c r="F9004" s="43">
        <f>IF($E9004=0,0,YEAR($E9004))</f>
      </c>
      <c r="G9004" s="43">
        <f>IF(INDEX(DarlBindung,19)="",1,IF($E9004&lt;=INDEX(DarlBindung,19),1,0))</f>
      </c>
      <c r="H9004" s="43">
        <f>IF($G9004=1,INDEX(DarlSollzins,19),INDEX(DarlAnschluss,19))</f>
      </c>
      <c r="I9004" s="43">
        <f>IF(INDEX(DarlBelegt,19)=0,0,IF(INDEX(DarlOhneTilgung,19)=1,IF(INDEX(DarlBindung,19)="",1,$G9004),IF($J9004&gt;0.005,1,0)))</f>
      </c>
      <c r="J9004" s="43">
        <f>IF($I9003=0,0,$R9003)</f>
      </c>
      <c r="K9004" s="43">
        <f>IF($I9004=0,0,IF(INDEX(DarlOhneTilgung,19)=1,0,IF(AND(INDEX(DarlTilgStart,19)&gt;0,$E9004=INDEX(DarlTilgStart,19)),$J9004*($H9004+INDEX(DarlTilgung,19))/100/12,IF(AND($G9004=0,$G9003=1),MAX($K9003,$J9004*($H9004+1)/100/12),$K9003))))</f>
      </c>
      <c r="L9004" s="43">
        <f>IF($I9004=0,0,$J9004*$H9004/100/12)</f>
      </c>
      <c r="M9004" s="43">
        <f>IF($I9004=0,0,IF(OR(INDEX(DarlOhneTilgung,19)=1,AND(INDEX(DarlTilgStart,19)&gt;0,$E9004&lt;INDEX(DarlTilgStart,19))),0,MIN(MAX(0,$K9004-$L9004),$J9004)))</f>
      </c>
      <c r="N9004" s="43">
        <f>IF($I9004=0,0,MIN(SUMIFS(SondBetrag,SondDarl,19,SondDatum,"&gt;="&amp;$E9004,SondDatum,"&lt;="&amp;EOMONTH($E9004,0)),$J9004-$M9004))</f>
      </c>
      <c r="O9004" s="43">
        <f>IF($I9004=0,0,INDEX(DarlErsatzRate,19))</f>
      </c>
      <c r="P9004" s="43">
        <f>IF($I9004=0,0,$Q9003*INDEX(DarlErsatzZins,19))</f>
      </c>
      <c r="Q9004" s="43">
        <f>IF($I9004=0,0,$Q9003+$P9004+$O9004)</f>
      </c>
      <c r="R9004" s="43">
        <f>IF($I9004=0,0,$J9004-$M9004-$N9004)</f>
      </c>
    </row>
    <row r="9005">
      <c r="A9005"/>
      <c r="B9005">
        <v>19</v>
      </c>
      <c r="C9005" s="43">
        <f>INDEX(DarlObj,19)</f>
      </c>
      <c r="D9005">
        <v>362</v>
      </c>
      <c r="E9005" s="51">
        <f>IF(INDEX(DarlBelegt,19)=0,0,EOMONTH(INDEX(DarlAuszahlung,19),361)+1)</f>
      </c>
      <c r="F9005" s="43">
        <f>IF($E9005=0,0,YEAR($E9005))</f>
      </c>
      <c r="G9005" s="43">
        <f>IF(INDEX(DarlBindung,19)="",1,IF($E9005&lt;=INDEX(DarlBindung,19),1,0))</f>
      </c>
      <c r="H9005" s="43">
        <f>IF($G9005=1,INDEX(DarlSollzins,19),INDEX(DarlAnschluss,19))</f>
      </c>
      <c r="I9005" s="43">
        <f>IF(INDEX(DarlBelegt,19)=0,0,IF(INDEX(DarlOhneTilgung,19)=1,IF(INDEX(DarlBindung,19)="",1,$G9005),IF($J9005&gt;0.005,1,0)))</f>
      </c>
      <c r="J9005" s="43">
        <f>IF($I9004=0,0,$R9004)</f>
      </c>
      <c r="K9005" s="43">
        <f>IF($I9005=0,0,IF(INDEX(DarlOhneTilgung,19)=1,0,IF(AND(INDEX(DarlTilgStart,19)&gt;0,$E9005=INDEX(DarlTilgStart,19)),$J9005*($H9005+INDEX(DarlTilgung,19))/100/12,IF(AND($G9005=0,$G9004=1),MAX($K9004,$J9005*($H9005+1)/100/12),$K9004))))</f>
      </c>
      <c r="L9005" s="43">
        <f>IF($I9005=0,0,$J9005*$H9005/100/12)</f>
      </c>
      <c r="M9005" s="43">
        <f>IF($I9005=0,0,IF(OR(INDEX(DarlOhneTilgung,19)=1,AND(INDEX(DarlTilgStart,19)&gt;0,$E9005&lt;INDEX(DarlTilgStart,19))),0,MIN(MAX(0,$K9005-$L9005),$J9005)))</f>
      </c>
      <c r="N9005" s="43">
        <f>IF($I9005=0,0,MIN(SUMIFS(SondBetrag,SondDarl,19,SondDatum,"&gt;="&amp;$E9005,SondDatum,"&lt;="&amp;EOMONTH($E9005,0)),$J9005-$M9005))</f>
      </c>
      <c r="O9005" s="43">
        <f>IF($I9005=0,0,INDEX(DarlErsatzRate,19))</f>
      </c>
      <c r="P9005" s="43">
        <f>IF($I9005=0,0,$Q9004*INDEX(DarlErsatzZins,19))</f>
      </c>
      <c r="Q9005" s="43">
        <f>IF($I9005=0,0,$Q9004+$P9005+$O9005)</f>
      </c>
      <c r="R9005" s="43">
        <f>IF($I9005=0,0,$J9005-$M9005-$N9005)</f>
      </c>
    </row>
    <row r="9006">
      <c r="A9006"/>
      <c r="B9006">
        <v>19</v>
      </c>
      <c r="C9006" s="43">
        <f>INDEX(DarlObj,19)</f>
      </c>
      <c r="D9006">
        <v>363</v>
      </c>
      <c r="E9006" s="51">
        <f>IF(INDEX(DarlBelegt,19)=0,0,EOMONTH(INDEX(DarlAuszahlung,19),362)+1)</f>
      </c>
      <c r="F9006" s="43">
        <f>IF($E9006=0,0,YEAR($E9006))</f>
      </c>
      <c r="G9006" s="43">
        <f>IF(INDEX(DarlBindung,19)="",1,IF($E9006&lt;=INDEX(DarlBindung,19),1,0))</f>
      </c>
      <c r="H9006" s="43">
        <f>IF($G9006=1,INDEX(DarlSollzins,19),INDEX(DarlAnschluss,19))</f>
      </c>
      <c r="I9006" s="43">
        <f>IF(INDEX(DarlBelegt,19)=0,0,IF(INDEX(DarlOhneTilgung,19)=1,IF(INDEX(DarlBindung,19)="",1,$G9006),IF($J9006&gt;0.005,1,0)))</f>
      </c>
      <c r="J9006" s="43">
        <f>IF($I9005=0,0,$R9005)</f>
      </c>
      <c r="K9006" s="43">
        <f>IF($I9006=0,0,IF(INDEX(DarlOhneTilgung,19)=1,0,IF(AND(INDEX(DarlTilgStart,19)&gt;0,$E9006=INDEX(DarlTilgStart,19)),$J9006*($H9006+INDEX(DarlTilgung,19))/100/12,IF(AND($G9006=0,$G9005=1),MAX($K9005,$J9006*($H9006+1)/100/12),$K9005))))</f>
      </c>
      <c r="L9006" s="43">
        <f>IF($I9006=0,0,$J9006*$H9006/100/12)</f>
      </c>
      <c r="M9006" s="43">
        <f>IF($I9006=0,0,IF(OR(INDEX(DarlOhneTilgung,19)=1,AND(INDEX(DarlTilgStart,19)&gt;0,$E9006&lt;INDEX(DarlTilgStart,19))),0,MIN(MAX(0,$K9006-$L9006),$J9006)))</f>
      </c>
      <c r="N9006" s="43">
        <f>IF($I9006=0,0,MIN(SUMIFS(SondBetrag,SondDarl,19,SondDatum,"&gt;="&amp;$E9006,SondDatum,"&lt;="&amp;EOMONTH($E9006,0)),$J9006-$M9006))</f>
      </c>
      <c r="O9006" s="43">
        <f>IF($I9006=0,0,INDEX(DarlErsatzRate,19))</f>
      </c>
      <c r="P9006" s="43">
        <f>IF($I9006=0,0,$Q9005*INDEX(DarlErsatzZins,19))</f>
      </c>
      <c r="Q9006" s="43">
        <f>IF($I9006=0,0,$Q9005+$P9006+$O9006)</f>
      </c>
      <c r="R9006" s="43">
        <f>IF($I9006=0,0,$J9006-$M9006-$N9006)</f>
      </c>
    </row>
    <row r="9007">
      <c r="A9007"/>
      <c r="B9007">
        <v>19</v>
      </c>
      <c r="C9007" s="43">
        <f>INDEX(DarlObj,19)</f>
      </c>
      <c r="D9007">
        <v>364</v>
      </c>
      <c r="E9007" s="51">
        <f>IF(INDEX(DarlBelegt,19)=0,0,EOMONTH(INDEX(DarlAuszahlung,19),363)+1)</f>
      </c>
      <c r="F9007" s="43">
        <f>IF($E9007=0,0,YEAR($E9007))</f>
      </c>
      <c r="G9007" s="43">
        <f>IF(INDEX(DarlBindung,19)="",1,IF($E9007&lt;=INDEX(DarlBindung,19),1,0))</f>
      </c>
      <c r="H9007" s="43">
        <f>IF($G9007=1,INDEX(DarlSollzins,19),INDEX(DarlAnschluss,19))</f>
      </c>
      <c r="I9007" s="43">
        <f>IF(INDEX(DarlBelegt,19)=0,0,IF(INDEX(DarlOhneTilgung,19)=1,IF(INDEX(DarlBindung,19)="",1,$G9007),IF($J9007&gt;0.005,1,0)))</f>
      </c>
      <c r="J9007" s="43">
        <f>IF($I9006=0,0,$R9006)</f>
      </c>
      <c r="K9007" s="43">
        <f>IF($I9007=0,0,IF(INDEX(DarlOhneTilgung,19)=1,0,IF(AND(INDEX(DarlTilgStart,19)&gt;0,$E9007=INDEX(DarlTilgStart,19)),$J9007*($H9007+INDEX(DarlTilgung,19))/100/12,IF(AND($G9007=0,$G9006=1),MAX($K9006,$J9007*($H9007+1)/100/12),$K9006))))</f>
      </c>
      <c r="L9007" s="43">
        <f>IF($I9007=0,0,$J9007*$H9007/100/12)</f>
      </c>
      <c r="M9007" s="43">
        <f>IF($I9007=0,0,IF(OR(INDEX(DarlOhneTilgung,19)=1,AND(INDEX(DarlTilgStart,19)&gt;0,$E9007&lt;INDEX(DarlTilgStart,19))),0,MIN(MAX(0,$K9007-$L9007),$J9007)))</f>
      </c>
      <c r="N9007" s="43">
        <f>IF($I9007=0,0,MIN(SUMIFS(SondBetrag,SondDarl,19,SondDatum,"&gt;="&amp;$E9007,SondDatum,"&lt;="&amp;EOMONTH($E9007,0)),$J9007-$M9007))</f>
      </c>
      <c r="O9007" s="43">
        <f>IF($I9007=0,0,INDEX(DarlErsatzRate,19))</f>
      </c>
      <c r="P9007" s="43">
        <f>IF($I9007=0,0,$Q9006*INDEX(DarlErsatzZins,19))</f>
      </c>
      <c r="Q9007" s="43">
        <f>IF($I9007=0,0,$Q9006+$P9007+$O9007)</f>
      </c>
      <c r="R9007" s="43">
        <f>IF($I9007=0,0,$J9007-$M9007-$N9007)</f>
      </c>
    </row>
    <row r="9008">
      <c r="A9008"/>
      <c r="B9008">
        <v>19</v>
      </c>
      <c r="C9008" s="43">
        <f>INDEX(DarlObj,19)</f>
      </c>
      <c r="D9008">
        <v>365</v>
      </c>
      <c r="E9008" s="51">
        <f>IF(INDEX(DarlBelegt,19)=0,0,EOMONTH(INDEX(DarlAuszahlung,19),364)+1)</f>
      </c>
      <c r="F9008" s="43">
        <f>IF($E9008=0,0,YEAR($E9008))</f>
      </c>
      <c r="G9008" s="43">
        <f>IF(INDEX(DarlBindung,19)="",1,IF($E9008&lt;=INDEX(DarlBindung,19),1,0))</f>
      </c>
      <c r="H9008" s="43">
        <f>IF($G9008=1,INDEX(DarlSollzins,19),INDEX(DarlAnschluss,19))</f>
      </c>
      <c r="I9008" s="43">
        <f>IF(INDEX(DarlBelegt,19)=0,0,IF(INDEX(DarlOhneTilgung,19)=1,IF(INDEX(DarlBindung,19)="",1,$G9008),IF($J9008&gt;0.005,1,0)))</f>
      </c>
      <c r="J9008" s="43">
        <f>IF($I9007=0,0,$R9007)</f>
      </c>
      <c r="K9008" s="43">
        <f>IF($I9008=0,0,IF(INDEX(DarlOhneTilgung,19)=1,0,IF(AND(INDEX(DarlTilgStart,19)&gt;0,$E9008=INDEX(DarlTilgStart,19)),$J9008*($H9008+INDEX(DarlTilgung,19))/100/12,IF(AND($G9008=0,$G9007=1),MAX($K9007,$J9008*($H9008+1)/100/12),$K9007))))</f>
      </c>
      <c r="L9008" s="43">
        <f>IF($I9008=0,0,$J9008*$H9008/100/12)</f>
      </c>
      <c r="M9008" s="43">
        <f>IF($I9008=0,0,IF(OR(INDEX(DarlOhneTilgung,19)=1,AND(INDEX(DarlTilgStart,19)&gt;0,$E9008&lt;INDEX(DarlTilgStart,19))),0,MIN(MAX(0,$K9008-$L9008),$J9008)))</f>
      </c>
      <c r="N9008" s="43">
        <f>IF($I9008=0,0,MIN(SUMIFS(SondBetrag,SondDarl,19,SondDatum,"&gt;="&amp;$E9008,SondDatum,"&lt;="&amp;EOMONTH($E9008,0)),$J9008-$M9008))</f>
      </c>
      <c r="O9008" s="43">
        <f>IF($I9008=0,0,INDEX(DarlErsatzRate,19))</f>
      </c>
      <c r="P9008" s="43">
        <f>IF($I9008=0,0,$Q9007*INDEX(DarlErsatzZins,19))</f>
      </c>
      <c r="Q9008" s="43">
        <f>IF($I9008=0,0,$Q9007+$P9008+$O9008)</f>
      </c>
      <c r="R9008" s="43">
        <f>IF($I9008=0,0,$J9008-$M9008-$N9008)</f>
      </c>
    </row>
    <row r="9009">
      <c r="A9009"/>
      <c r="B9009">
        <v>19</v>
      </c>
      <c r="C9009" s="43">
        <f>INDEX(DarlObj,19)</f>
      </c>
      <c r="D9009">
        <v>366</v>
      </c>
      <c r="E9009" s="51">
        <f>IF(INDEX(DarlBelegt,19)=0,0,EOMONTH(INDEX(DarlAuszahlung,19),365)+1)</f>
      </c>
      <c r="F9009" s="43">
        <f>IF($E9009=0,0,YEAR($E9009))</f>
      </c>
      <c r="G9009" s="43">
        <f>IF(INDEX(DarlBindung,19)="",1,IF($E9009&lt;=INDEX(DarlBindung,19),1,0))</f>
      </c>
      <c r="H9009" s="43">
        <f>IF($G9009=1,INDEX(DarlSollzins,19),INDEX(DarlAnschluss,19))</f>
      </c>
      <c r="I9009" s="43">
        <f>IF(INDEX(DarlBelegt,19)=0,0,IF(INDEX(DarlOhneTilgung,19)=1,IF(INDEX(DarlBindung,19)="",1,$G9009),IF($J9009&gt;0.005,1,0)))</f>
      </c>
      <c r="J9009" s="43">
        <f>IF($I9008=0,0,$R9008)</f>
      </c>
      <c r="K9009" s="43">
        <f>IF($I9009=0,0,IF(INDEX(DarlOhneTilgung,19)=1,0,IF(AND(INDEX(DarlTilgStart,19)&gt;0,$E9009=INDEX(DarlTilgStart,19)),$J9009*($H9009+INDEX(DarlTilgung,19))/100/12,IF(AND($G9009=0,$G9008=1),MAX($K9008,$J9009*($H9009+1)/100/12),$K9008))))</f>
      </c>
      <c r="L9009" s="43">
        <f>IF($I9009=0,0,$J9009*$H9009/100/12)</f>
      </c>
      <c r="M9009" s="43">
        <f>IF($I9009=0,0,IF(OR(INDEX(DarlOhneTilgung,19)=1,AND(INDEX(DarlTilgStart,19)&gt;0,$E9009&lt;INDEX(DarlTilgStart,19))),0,MIN(MAX(0,$K9009-$L9009),$J9009)))</f>
      </c>
      <c r="N9009" s="43">
        <f>IF($I9009=0,0,MIN(SUMIFS(SondBetrag,SondDarl,19,SondDatum,"&gt;="&amp;$E9009,SondDatum,"&lt;="&amp;EOMONTH($E9009,0)),$J9009-$M9009))</f>
      </c>
      <c r="O9009" s="43">
        <f>IF($I9009=0,0,INDEX(DarlErsatzRate,19))</f>
      </c>
      <c r="P9009" s="43">
        <f>IF($I9009=0,0,$Q9008*INDEX(DarlErsatzZins,19))</f>
      </c>
      <c r="Q9009" s="43">
        <f>IF($I9009=0,0,$Q9008+$P9009+$O9009)</f>
      </c>
      <c r="R9009" s="43">
        <f>IF($I9009=0,0,$J9009-$M9009-$N9009)</f>
      </c>
    </row>
    <row r="9010">
      <c r="A9010"/>
      <c r="B9010">
        <v>19</v>
      </c>
      <c r="C9010" s="43">
        <f>INDEX(DarlObj,19)</f>
      </c>
      <c r="D9010">
        <v>367</v>
      </c>
      <c r="E9010" s="51">
        <f>IF(INDEX(DarlBelegt,19)=0,0,EOMONTH(INDEX(DarlAuszahlung,19),366)+1)</f>
      </c>
      <c r="F9010" s="43">
        <f>IF($E9010=0,0,YEAR($E9010))</f>
      </c>
      <c r="G9010" s="43">
        <f>IF(INDEX(DarlBindung,19)="",1,IF($E9010&lt;=INDEX(DarlBindung,19),1,0))</f>
      </c>
      <c r="H9010" s="43">
        <f>IF($G9010=1,INDEX(DarlSollzins,19),INDEX(DarlAnschluss,19))</f>
      </c>
      <c r="I9010" s="43">
        <f>IF(INDEX(DarlBelegt,19)=0,0,IF(INDEX(DarlOhneTilgung,19)=1,IF(INDEX(DarlBindung,19)="",1,$G9010),IF($J9010&gt;0.005,1,0)))</f>
      </c>
      <c r="J9010" s="43">
        <f>IF($I9009=0,0,$R9009)</f>
      </c>
      <c r="K9010" s="43">
        <f>IF($I9010=0,0,IF(INDEX(DarlOhneTilgung,19)=1,0,IF(AND(INDEX(DarlTilgStart,19)&gt;0,$E9010=INDEX(DarlTilgStart,19)),$J9010*($H9010+INDEX(DarlTilgung,19))/100/12,IF(AND($G9010=0,$G9009=1),MAX($K9009,$J9010*($H9010+1)/100/12),$K9009))))</f>
      </c>
      <c r="L9010" s="43">
        <f>IF($I9010=0,0,$J9010*$H9010/100/12)</f>
      </c>
      <c r="M9010" s="43">
        <f>IF($I9010=0,0,IF(OR(INDEX(DarlOhneTilgung,19)=1,AND(INDEX(DarlTilgStart,19)&gt;0,$E9010&lt;INDEX(DarlTilgStart,19))),0,MIN(MAX(0,$K9010-$L9010),$J9010)))</f>
      </c>
      <c r="N9010" s="43">
        <f>IF($I9010=0,0,MIN(SUMIFS(SondBetrag,SondDarl,19,SondDatum,"&gt;="&amp;$E9010,SondDatum,"&lt;="&amp;EOMONTH($E9010,0)),$J9010-$M9010))</f>
      </c>
      <c r="O9010" s="43">
        <f>IF($I9010=0,0,INDEX(DarlErsatzRate,19))</f>
      </c>
      <c r="P9010" s="43">
        <f>IF($I9010=0,0,$Q9009*INDEX(DarlErsatzZins,19))</f>
      </c>
      <c r="Q9010" s="43">
        <f>IF($I9010=0,0,$Q9009+$P9010+$O9010)</f>
      </c>
      <c r="R9010" s="43">
        <f>IF($I9010=0,0,$J9010-$M9010-$N9010)</f>
      </c>
    </row>
    <row r="9011">
      <c r="A9011"/>
      <c r="B9011">
        <v>19</v>
      </c>
      <c r="C9011" s="43">
        <f>INDEX(DarlObj,19)</f>
      </c>
      <c r="D9011">
        <v>368</v>
      </c>
      <c r="E9011" s="51">
        <f>IF(INDEX(DarlBelegt,19)=0,0,EOMONTH(INDEX(DarlAuszahlung,19),367)+1)</f>
      </c>
      <c r="F9011" s="43">
        <f>IF($E9011=0,0,YEAR($E9011))</f>
      </c>
      <c r="G9011" s="43">
        <f>IF(INDEX(DarlBindung,19)="",1,IF($E9011&lt;=INDEX(DarlBindung,19),1,0))</f>
      </c>
      <c r="H9011" s="43">
        <f>IF($G9011=1,INDEX(DarlSollzins,19),INDEX(DarlAnschluss,19))</f>
      </c>
      <c r="I9011" s="43">
        <f>IF(INDEX(DarlBelegt,19)=0,0,IF(INDEX(DarlOhneTilgung,19)=1,IF(INDEX(DarlBindung,19)="",1,$G9011),IF($J9011&gt;0.005,1,0)))</f>
      </c>
      <c r="J9011" s="43">
        <f>IF($I9010=0,0,$R9010)</f>
      </c>
      <c r="K9011" s="43">
        <f>IF($I9011=0,0,IF(INDEX(DarlOhneTilgung,19)=1,0,IF(AND(INDEX(DarlTilgStart,19)&gt;0,$E9011=INDEX(DarlTilgStart,19)),$J9011*($H9011+INDEX(DarlTilgung,19))/100/12,IF(AND($G9011=0,$G9010=1),MAX($K9010,$J9011*($H9011+1)/100/12),$K9010))))</f>
      </c>
      <c r="L9011" s="43">
        <f>IF($I9011=0,0,$J9011*$H9011/100/12)</f>
      </c>
      <c r="M9011" s="43">
        <f>IF($I9011=0,0,IF(OR(INDEX(DarlOhneTilgung,19)=1,AND(INDEX(DarlTilgStart,19)&gt;0,$E9011&lt;INDEX(DarlTilgStart,19))),0,MIN(MAX(0,$K9011-$L9011),$J9011)))</f>
      </c>
      <c r="N9011" s="43">
        <f>IF($I9011=0,0,MIN(SUMIFS(SondBetrag,SondDarl,19,SondDatum,"&gt;="&amp;$E9011,SondDatum,"&lt;="&amp;EOMONTH($E9011,0)),$J9011-$M9011))</f>
      </c>
      <c r="O9011" s="43">
        <f>IF($I9011=0,0,INDEX(DarlErsatzRate,19))</f>
      </c>
      <c r="P9011" s="43">
        <f>IF($I9011=0,0,$Q9010*INDEX(DarlErsatzZins,19))</f>
      </c>
      <c r="Q9011" s="43">
        <f>IF($I9011=0,0,$Q9010+$P9011+$O9011)</f>
      </c>
      <c r="R9011" s="43">
        <f>IF($I9011=0,0,$J9011-$M9011-$N9011)</f>
      </c>
    </row>
    <row r="9012">
      <c r="A9012"/>
      <c r="B9012">
        <v>19</v>
      </c>
      <c r="C9012" s="43">
        <f>INDEX(DarlObj,19)</f>
      </c>
      <c r="D9012">
        <v>369</v>
      </c>
      <c r="E9012" s="51">
        <f>IF(INDEX(DarlBelegt,19)=0,0,EOMONTH(INDEX(DarlAuszahlung,19),368)+1)</f>
      </c>
      <c r="F9012" s="43">
        <f>IF($E9012=0,0,YEAR($E9012))</f>
      </c>
      <c r="G9012" s="43">
        <f>IF(INDEX(DarlBindung,19)="",1,IF($E9012&lt;=INDEX(DarlBindung,19),1,0))</f>
      </c>
      <c r="H9012" s="43">
        <f>IF($G9012=1,INDEX(DarlSollzins,19),INDEX(DarlAnschluss,19))</f>
      </c>
      <c r="I9012" s="43">
        <f>IF(INDEX(DarlBelegt,19)=0,0,IF(INDEX(DarlOhneTilgung,19)=1,IF(INDEX(DarlBindung,19)="",1,$G9012),IF($J9012&gt;0.005,1,0)))</f>
      </c>
      <c r="J9012" s="43">
        <f>IF($I9011=0,0,$R9011)</f>
      </c>
      <c r="K9012" s="43">
        <f>IF($I9012=0,0,IF(INDEX(DarlOhneTilgung,19)=1,0,IF(AND(INDEX(DarlTilgStart,19)&gt;0,$E9012=INDEX(DarlTilgStart,19)),$J9012*($H9012+INDEX(DarlTilgung,19))/100/12,IF(AND($G9012=0,$G9011=1),MAX($K9011,$J9012*($H9012+1)/100/12),$K9011))))</f>
      </c>
      <c r="L9012" s="43">
        <f>IF($I9012=0,0,$J9012*$H9012/100/12)</f>
      </c>
      <c r="M9012" s="43">
        <f>IF($I9012=0,0,IF(OR(INDEX(DarlOhneTilgung,19)=1,AND(INDEX(DarlTilgStart,19)&gt;0,$E9012&lt;INDEX(DarlTilgStart,19))),0,MIN(MAX(0,$K9012-$L9012),$J9012)))</f>
      </c>
      <c r="N9012" s="43">
        <f>IF($I9012=0,0,MIN(SUMIFS(SondBetrag,SondDarl,19,SondDatum,"&gt;="&amp;$E9012,SondDatum,"&lt;="&amp;EOMONTH($E9012,0)),$J9012-$M9012))</f>
      </c>
      <c r="O9012" s="43">
        <f>IF($I9012=0,0,INDEX(DarlErsatzRate,19))</f>
      </c>
      <c r="P9012" s="43">
        <f>IF($I9012=0,0,$Q9011*INDEX(DarlErsatzZins,19))</f>
      </c>
      <c r="Q9012" s="43">
        <f>IF($I9012=0,0,$Q9011+$P9012+$O9012)</f>
      </c>
      <c r="R9012" s="43">
        <f>IF($I9012=0,0,$J9012-$M9012-$N9012)</f>
      </c>
    </row>
    <row r="9013">
      <c r="A9013"/>
      <c r="B9013">
        <v>19</v>
      </c>
      <c r="C9013" s="43">
        <f>INDEX(DarlObj,19)</f>
      </c>
      <c r="D9013">
        <v>370</v>
      </c>
      <c r="E9013" s="51">
        <f>IF(INDEX(DarlBelegt,19)=0,0,EOMONTH(INDEX(DarlAuszahlung,19),369)+1)</f>
      </c>
      <c r="F9013" s="43">
        <f>IF($E9013=0,0,YEAR($E9013))</f>
      </c>
      <c r="G9013" s="43">
        <f>IF(INDEX(DarlBindung,19)="",1,IF($E9013&lt;=INDEX(DarlBindung,19),1,0))</f>
      </c>
      <c r="H9013" s="43">
        <f>IF($G9013=1,INDEX(DarlSollzins,19),INDEX(DarlAnschluss,19))</f>
      </c>
      <c r="I9013" s="43">
        <f>IF(INDEX(DarlBelegt,19)=0,0,IF(INDEX(DarlOhneTilgung,19)=1,IF(INDEX(DarlBindung,19)="",1,$G9013),IF($J9013&gt;0.005,1,0)))</f>
      </c>
      <c r="J9013" s="43">
        <f>IF($I9012=0,0,$R9012)</f>
      </c>
      <c r="K9013" s="43">
        <f>IF($I9013=0,0,IF(INDEX(DarlOhneTilgung,19)=1,0,IF(AND(INDEX(DarlTilgStart,19)&gt;0,$E9013=INDEX(DarlTilgStart,19)),$J9013*($H9013+INDEX(DarlTilgung,19))/100/12,IF(AND($G9013=0,$G9012=1),MAX($K9012,$J9013*($H9013+1)/100/12),$K9012))))</f>
      </c>
      <c r="L9013" s="43">
        <f>IF($I9013=0,0,$J9013*$H9013/100/12)</f>
      </c>
      <c r="M9013" s="43">
        <f>IF($I9013=0,0,IF(OR(INDEX(DarlOhneTilgung,19)=1,AND(INDEX(DarlTilgStart,19)&gt;0,$E9013&lt;INDEX(DarlTilgStart,19))),0,MIN(MAX(0,$K9013-$L9013),$J9013)))</f>
      </c>
      <c r="N9013" s="43">
        <f>IF($I9013=0,0,MIN(SUMIFS(SondBetrag,SondDarl,19,SondDatum,"&gt;="&amp;$E9013,SondDatum,"&lt;="&amp;EOMONTH($E9013,0)),$J9013-$M9013))</f>
      </c>
      <c r="O9013" s="43">
        <f>IF($I9013=0,0,INDEX(DarlErsatzRate,19))</f>
      </c>
      <c r="P9013" s="43">
        <f>IF($I9013=0,0,$Q9012*INDEX(DarlErsatzZins,19))</f>
      </c>
      <c r="Q9013" s="43">
        <f>IF($I9013=0,0,$Q9012+$P9013+$O9013)</f>
      </c>
      <c r="R9013" s="43">
        <f>IF($I9013=0,0,$J9013-$M9013-$N9013)</f>
      </c>
    </row>
    <row r="9014">
      <c r="A9014"/>
      <c r="B9014">
        <v>19</v>
      </c>
      <c r="C9014" s="43">
        <f>INDEX(DarlObj,19)</f>
      </c>
      <c r="D9014">
        <v>371</v>
      </c>
      <c r="E9014" s="51">
        <f>IF(INDEX(DarlBelegt,19)=0,0,EOMONTH(INDEX(DarlAuszahlung,19),370)+1)</f>
      </c>
      <c r="F9014" s="43">
        <f>IF($E9014=0,0,YEAR($E9014))</f>
      </c>
      <c r="G9014" s="43">
        <f>IF(INDEX(DarlBindung,19)="",1,IF($E9014&lt;=INDEX(DarlBindung,19),1,0))</f>
      </c>
      <c r="H9014" s="43">
        <f>IF($G9014=1,INDEX(DarlSollzins,19),INDEX(DarlAnschluss,19))</f>
      </c>
      <c r="I9014" s="43">
        <f>IF(INDEX(DarlBelegt,19)=0,0,IF(INDEX(DarlOhneTilgung,19)=1,IF(INDEX(DarlBindung,19)="",1,$G9014),IF($J9014&gt;0.005,1,0)))</f>
      </c>
      <c r="J9014" s="43">
        <f>IF($I9013=0,0,$R9013)</f>
      </c>
      <c r="K9014" s="43">
        <f>IF($I9014=0,0,IF(INDEX(DarlOhneTilgung,19)=1,0,IF(AND(INDEX(DarlTilgStart,19)&gt;0,$E9014=INDEX(DarlTilgStart,19)),$J9014*($H9014+INDEX(DarlTilgung,19))/100/12,IF(AND($G9014=0,$G9013=1),MAX($K9013,$J9014*($H9014+1)/100/12),$K9013))))</f>
      </c>
      <c r="L9014" s="43">
        <f>IF($I9014=0,0,$J9014*$H9014/100/12)</f>
      </c>
      <c r="M9014" s="43">
        <f>IF($I9014=0,0,IF(OR(INDEX(DarlOhneTilgung,19)=1,AND(INDEX(DarlTilgStart,19)&gt;0,$E9014&lt;INDEX(DarlTilgStart,19))),0,MIN(MAX(0,$K9014-$L9014),$J9014)))</f>
      </c>
      <c r="N9014" s="43">
        <f>IF($I9014=0,0,MIN(SUMIFS(SondBetrag,SondDarl,19,SondDatum,"&gt;="&amp;$E9014,SondDatum,"&lt;="&amp;EOMONTH($E9014,0)),$J9014-$M9014))</f>
      </c>
      <c r="O9014" s="43">
        <f>IF($I9014=0,0,INDEX(DarlErsatzRate,19))</f>
      </c>
      <c r="P9014" s="43">
        <f>IF($I9014=0,0,$Q9013*INDEX(DarlErsatzZins,19))</f>
      </c>
      <c r="Q9014" s="43">
        <f>IF($I9014=0,0,$Q9013+$P9014+$O9014)</f>
      </c>
      <c r="R9014" s="43">
        <f>IF($I9014=0,0,$J9014-$M9014-$N9014)</f>
      </c>
    </row>
    <row r="9015">
      <c r="A9015"/>
      <c r="B9015">
        <v>19</v>
      </c>
      <c r="C9015" s="43">
        <f>INDEX(DarlObj,19)</f>
      </c>
      <c r="D9015">
        <v>372</v>
      </c>
      <c r="E9015" s="51">
        <f>IF(INDEX(DarlBelegt,19)=0,0,EOMONTH(INDEX(DarlAuszahlung,19),371)+1)</f>
      </c>
      <c r="F9015" s="43">
        <f>IF($E9015=0,0,YEAR($E9015))</f>
      </c>
      <c r="G9015" s="43">
        <f>IF(INDEX(DarlBindung,19)="",1,IF($E9015&lt;=INDEX(DarlBindung,19),1,0))</f>
      </c>
      <c r="H9015" s="43">
        <f>IF($G9015=1,INDEX(DarlSollzins,19),INDEX(DarlAnschluss,19))</f>
      </c>
      <c r="I9015" s="43">
        <f>IF(INDEX(DarlBelegt,19)=0,0,IF(INDEX(DarlOhneTilgung,19)=1,IF(INDEX(DarlBindung,19)="",1,$G9015),IF($J9015&gt;0.005,1,0)))</f>
      </c>
      <c r="J9015" s="43">
        <f>IF($I9014=0,0,$R9014)</f>
      </c>
      <c r="K9015" s="43">
        <f>IF($I9015=0,0,IF(INDEX(DarlOhneTilgung,19)=1,0,IF(AND(INDEX(DarlTilgStart,19)&gt;0,$E9015=INDEX(DarlTilgStart,19)),$J9015*($H9015+INDEX(DarlTilgung,19))/100/12,IF(AND($G9015=0,$G9014=1),MAX($K9014,$J9015*($H9015+1)/100/12),$K9014))))</f>
      </c>
      <c r="L9015" s="43">
        <f>IF($I9015=0,0,$J9015*$H9015/100/12)</f>
      </c>
      <c r="M9015" s="43">
        <f>IF($I9015=0,0,IF(OR(INDEX(DarlOhneTilgung,19)=1,AND(INDEX(DarlTilgStart,19)&gt;0,$E9015&lt;INDEX(DarlTilgStart,19))),0,MIN(MAX(0,$K9015-$L9015),$J9015)))</f>
      </c>
      <c r="N9015" s="43">
        <f>IF($I9015=0,0,MIN(SUMIFS(SondBetrag,SondDarl,19,SondDatum,"&gt;="&amp;$E9015,SondDatum,"&lt;="&amp;EOMONTH($E9015,0)),$J9015-$M9015))</f>
      </c>
      <c r="O9015" s="43">
        <f>IF($I9015=0,0,INDEX(DarlErsatzRate,19))</f>
      </c>
      <c r="P9015" s="43">
        <f>IF($I9015=0,0,$Q9014*INDEX(DarlErsatzZins,19))</f>
      </c>
      <c r="Q9015" s="43">
        <f>IF($I9015=0,0,$Q9014+$P9015+$O9015)</f>
      </c>
      <c r="R9015" s="43">
        <f>IF($I9015=0,0,$J9015-$M9015-$N9015)</f>
      </c>
    </row>
    <row r="9016">
      <c r="A9016"/>
      <c r="B9016">
        <v>19</v>
      </c>
      <c r="C9016" s="43">
        <f>INDEX(DarlObj,19)</f>
      </c>
      <c r="D9016">
        <v>373</v>
      </c>
      <c r="E9016" s="51">
        <f>IF(INDEX(DarlBelegt,19)=0,0,EOMONTH(INDEX(DarlAuszahlung,19),372)+1)</f>
      </c>
      <c r="F9016" s="43">
        <f>IF($E9016=0,0,YEAR($E9016))</f>
      </c>
      <c r="G9016" s="43">
        <f>IF(INDEX(DarlBindung,19)="",1,IF($E9016&lt;=INDEX(DarlBindung,19),1,0))</f>
      </c>
      <c r="H9016" s="43">
        <f>IF($G9016=1,INDEX(DarlSollzins,19),INDEX(DarlAnschluss,19))</f>
      </c>
      <c r="I9016" s="43">
        <f>IF(INDEX(DarlBelegt,19)=0,0,IF(INDEX(DarlOhneTilgung,19)=1,IF(INDEX(DarlBindung,19)="",1,$G9016),IF($J9016&gt;0.005,1,0)))</f>
      </c>
      <c r="J9016" s="43">
        <f>IF($I9015=0,0,$R9015)</f>
      </c>
      <c r="K9016" s="43">
        <f>IF($I9016=0,0,IF(INDEX(DarlOhneTilgung,19)=1,0,IF(AND(INDEX(DarlTilgStart,19)&gt;0,$E9016=INDEX(DarlTilgStart,19)),$J9016*($H9016+INDEX(DarlTilgung,19))/100/12,IF(AND($G9016=0,$G9015=1),MAX($K9015,$J9016*($H9016+1)/100/12),$K9015))))</f>
      </c>
      <c r="L9016" s="43">
        <f>IF($I9016=0,0,$J9016*$H9016/100/12)</f>
      </c>
      <c r="M9016" s="43">
        <f>IF($I9016=0,0,IF(OR(INDEX(DarlOhneTilgung,19)=1,AND(INDEX(DarlTilgStart,19)&gt;0,$E9016&lt;INDEX(DarlTilgStart,19))),0,MIN(MAX(0,$K9016-$L9016),$J9016)))</f>
      </c>
      <c r="N9016" s="43">
        <f>IF($I9016=0,0,MIN(SUMIFS(SondBetrag,SondDarl,19,SondDatum,"&gt;="&amp;$E9016,SondDatum,"&lt;="&amp;EOMONTH($E9016,0)),$J9016-$M9016))</f>
      </c>
      <c r="O9016" s="43">
        <f>IF($I9016=0,0,INDEX(DarlErsatzRate,19))</f>
      </c>
      <c r="P9016" s="43">
        <f>IF($I9016=0,0,$Q9015*INDEX(DarlErsatzZins,19))</f>
      </c>
      <c r="Q9016" s="43">
        <f>IF($I9016=0,0,$Q9015+$P9016+$O9016)</f>
      </c>
      <c r="R9016" s="43">
        <f>IF($I9016=0,0,$J9016-$M9016-$N9016)</f>
      </c>
    </row>
    <row r="9017">
      <c r="A9017"/>
      <c r="B9017">
        <v>19</v>
      </c>
      <c r="C9017" s="43">
        <f>INDEX(DarlObj,19)</f>
      </c>
      <c r="D9017">
        <v>374</v>
      </c>
      <c r="E9017" s="51">
        <f>IF(INDEX(DarlBelegt,19)=0,0,EOMONTH(INDEX(DarlAuszahlung,19),373)+1)</f>
      </c>
      <c r="F9017" s="43">
        <f>IF($E9017=0,0,YEAR($E9017))</f>
      </c>
      <c r="G9017" s="43">
        <f>IF(INDEX(DarlBindung,19)="",1,IF($E9017&lt;=INDEX(DarlBindung,19),1,0))</f>
      </c>
      <c r="H9017" s="43">
        <f>IF($G9017=1,INDEX(DarlSollzins,19),INDEX(DarlAnschluss,19))</f>
      </c>
      <c r="I9017" s="43">
        <f>IF(INDEX(DarlBelegt,19)=0,0,IF(INDEX(DarlOhneTilgung,19)=1,IF(INDEX(DarlBindung,19)="",1,$G9017),IF($J9017&gt;0.005,1,0)))</f>
      </c>
      <c r="J9017" s="43">
        <f>IF($I9016=0,0,$R9016)</f>
      </c>
      <c r="K9017" s="43">
        <f>IF($I9017=0,0,IF(INDEX(DarlOhneTilgung,19)=1,0,IF(AND(INDEX(DarlTilgStart,19)&gt;0,$E9017=INDEX(DarlTilgStart,19)),$J9017*($H9017+INDEX(DarlTilgung,19))/100/12,IF(AND($G9017=0,$G9016=1),MAX($K9016,$J9017*($H9017+1)/100/12),$K9016))))</f>
      </c>
      <c r="L9017" s="43">
        <f>IF($I9017=0,0,$J9017*$H9017/100/12)</f>
      </c>
      <c r="M9017" s="43">
        <f>IF($I9017=0,0,IF(OR(INDEX(DarlOhneTilgung,19)=1,AND(INDEX(DarlTilgStart,19)&gt;0,$E9017&lt;INDEX(DarlTilgStart,19))),0,MIN(MAX(0,$K9017-$L9017),$J9017)))</f>
      </c>
      <c r="N9017" s="43">
        <f>IF($I9017=0,0,MIN(SUMIFS(SondBetrag,SondDarl,19,SondDatum,"&gt;="&amp;$E9017,SondDatum,"&lt;="&amp;EOMONTH($E9017,0)),$J9017-$M9017))</f>
      </c>
      <c r="O9017" s="43">
        <f>IF($I9017=0,0,INDEX(DarlErsatzRate,19))</f>
      </c>
      <c r="P9017" s="43">
        <f>IF($I9017=0,0,$Q9016*INDEX(DarlErsatzZins,19))</f>
      </c>
      <c r="Q9017" s="43">
        <f>IF($I9017=0,0,$Q9016+$P9017+$O9017)</f>
      </c>
      <c r="R9017" s="43">
        <f>IF($I9017=0,0,$J9017-$M9017-$N9017)</f>
      </c>
    </row>
    <row r="9018">
      <c r="A9018"/>
      <c r="B9018">
        <v>19</v>
      </c>
      <c r="C9018" s="43">
        <f>INDEX(DarlObj,19)</f>
      </c>
      <c r="D9018">
        <v>375</v>
      </c>
      <c r="E9018" s="51">
        <f>IF(INDEX(DarlBelegt,19)=0,0,EOMONTH(INDEX(DarlAuszahlung,19),374)+1)</f>
      </c>
      <c r="F9018" s="43">
        <f>IF($E9018=0,0,YEAR($E9018))</f>
      </c>
      <c r="G9018" s="43">
        <f>IF(INDEX(DarlBindung,19)="",1,IF($E9018&lt;=INDEX(DarlBindung,19),1,0))</f>
      </c>
      <c r="H9018" s="43">
        <f>IF($G9018=1,INDEX(DarlSollzins,19),INDEX(DarlAnschluss,19))</f>
      </c>
      <c r="I9018" s="43">
        <f>IF(INDEX(DarlBelegt,19)=0,0,IF(INDEX(DarlOhneTilgung,19)=1,IF(INDEX(DarlBindung,19)="",1,$G9018),IF($J9018&gt;0.005,1,0)))</f>
      </c>
      <c r="J9018" s="43">
        <f>IF($I9017=0,0,$R9017)</f>
      </c>
      <c r="K9018" s="43">
        <f>IF($I9018=0,0,IF(INDEX(DarlOhneTilgung,19)=1,0,IF(AND(INDEX(DarlTilgStart,19)&gt;0,$E9018=INDEX(DarlTilgStart,19)),$J9018*($H9018+INDEX(DarlTilgung,19))/100/12,IF(AND($G9018=0,$G9017=1),MAX($K9017,$J9018*($H9018+1)/100/12),$K9017))))</f>
      </c>
      <c r="L9018" s="43">
        <f>IF($I9018=0,0,$J9018*$H9018/100/12)</f>
      </c>
      <c r="M9018" s="43">
        <f>IF($I9018=0,0,IF(OR(INDEX(DarlOhneTilgung,19)=1,AND(INDEX(DarlTilgStart,19)&gt;0,$E9018&lt;INDEX(DarlTilgStart,19))),0,MIN(MAX(0,$K9018-$L9018),$J9018)))</f>
      </c>
      <c r="N9018" s="43">
        <f>IF($I9018=0,0,MIN(SUMIFS(SondBetrag,SondDarl,19,SondDatum,"&gt;="&amp;$E9018,SondDatum,"&lt;="&amp;EOMONTH($E9018,0)),$J9018-$M9018))</f>
      </c>
      <c r="O9018" s="43">
        <f>IF($I9018=0,0,INDEX(DarlErsatzRate,19))</f>
      </c>
      <c r="P9018" s="43">
        <f>IF($I9018=0,0,$Q9017*INDEX(DarlErsatzZins,19))</f>
      </c>
      <c r="Q9018" s="43">
        <f>IF($I9018=0,0,$Q9017+$P9018+$O9018)</f>
      </c>
      <c r="R9018" s="43">
        <f>IF($I9018=0,0,$J9018-$M9018-$N9018)</f>
      </c>
    </row>
    <row r="9019">
      <c r="A9019"/>
      <c r="B9019">
        <v>19</v>
      </c>
      <c r="C9019" s="43">
        <f>INDEX(DarlObj,19)</f>
      </c>
      <c r="D9019">
        <v>376</v>
      </c>
      <c r="E9019" s="51">
        <f>IF(INDEX(DarlBelegt,19)=0,0,EOMONTH(INDEX(DarlAuszahlung,19),375)+1)</f>
      </c>
      <c r="F9019" s="43">
        <f>IF($E9019=0,0,YEAR($E9019))</f>
      </c>
      <c r="G9019" s="43">
        <f>IF(INDEX(DarlBindung,19)="",1,IF($E9019&lt;=INDEX(DarlBindung,19),1,0))</f>
      </c>
      <c r="H9019" s="43">
        <f>IF($G9019=1,INDEX(DarlSollzins,19),INDEX(DarlAnschluss,19))</f>
      </c>
      <c r="I9019" s="43">
        <f>IF(INDEX(DarlBelegt,19)=0,0,IF(INDEX(DarlOhneTilgung,19)=1,IF(INDEX(DarlBindung,19)="",1,$G9019),IF($J9019&gt;0.005,1,0)))</f>
      </c>
      <c r="J9019" s="43">
        <f>IF($I9018=0,0,$R9018)</f>
      </c>
      <c r="K9019" s="43">
        <f>IF($I9019=0,0,IF(INDEX(DarlOhneTilgung,19)=1,0,IF(AND(INDEX(DarlTilgStart,19)&gt;0,$E9019=INDEX(DarlTilgStart,19)),$J9019*($H9019+INDEX(DarlTilgung,19))/100/12,IF(AND($G9019=0,$G9018=1),MAX($K9018,$J9019*($H9019+1)/100/12),$K9018))))</f>
      </c>
      <c r="L9019" s="43">
        <f>IF($I9019=0,0,$J9019*$H9019/100/12)</f>
      </c>
      <c r="M9019" s="43">
        <f>IF($I9019=0,0,IF(OR(INDEX(DarlOhneTilgung,19)=1,AND(INDEX(DarlTilgStart,19)&gt;0,$E9019&lt;INDEX(DarlTilgStart,19))),0,MIN(MAX(0,$K9019-$L9019),$J9019)))</f>
      </c>
      <c r="N9019" s="43">
        <f>IF($I9019=0,0,MIN(SUMIFS(SondBetrag,SondDarl,19,SondDatum,"&gt;="&amp;$E9019,SondDatum,"&lt;="&amp;EOMONTH($E9019,0)),$J9019-$M9019))</f>
      </c>
      <c r="O9019" s="43">
        <f>IF($I9019=0,0,INDEX(DarlErsatzRate,19))</f>
      </c>
      <c r="P9019" s="43">
        <f>IF($I9019=0,0,$Q9018*INDEX(DarlErsatzZins,19))</f>
      </c>
      <c r="Q9019" s="43">
        <f>IF($I9019=0,0,$Q9018+$P9019+$O9019)</f>
      </c>
      <c r="R9019" s="43">
        <f>IF($I9019=0,0,$J9019-$M9019-$N9019)</f>
      </c>
    </row>
    <row r="9020">
      <c r="A9020"/>
      <c r="B9020">
        <v>19</v>
      </c>
      <c r="C9020" s="43">
        <f>INDEX(DarlObj,19)</f>
      </c>
      <c r="D9020">
        <v>377</v>
      </c>
      <c r="E9020" s="51">
        <f>IF(INDEX(DarlBelegt,19)=0,0,EOMONTH(INDEX(DarlAuszahlung,19),376)+1)</f>
      </c>
      <c r="F9020" s="43">
        <f>IF($E9020=0,0,YEAR($E9020))</f>
      </c>
      <c r="G9020" s="43">
        <f>IF(INDEX(DarlBindung,19)="",1,IF($E9020&lt;=INDEX(DarlBindung,19),1,0))</f>
      </c>
      <c r="H9020" s="43">
        <f>IF($G9020=1,INDEX(DarlSollzins,19),INDEX(DarlAnschluss,19))</f>
      </c>
      <c r="I9020" s="43">
        <f>IF(INDEX(DarlBelegt,19)=0,0,IF(INDEX(DarlOhneTilgung,19)=1,IF(INDEX(DarlBindung,19)="",1,$G9020),IF($J9020&gt;0.005,1,0)))</f>
      </c>
      <c r="J9020" s="43">
        <f>IF($I9019=0,0,$R9019)</f>
      </c>
      <c r="K9020" s="43">
        <f>IF($I9020=0,0,IF(INDEX(DarlOhneTilgung,19)=1,0,IF(AND(INDEX(DarlTilgStart,19)&gt;0,$E9020=INDEX(DarlTilgStart,19)),$J9020*($H9020+INDEX(DarlTilgung,19))/100/12,IF(AND($G9020=0,$G9019=1),MAX($K9019,$J9020*($H9020+1)/100/12),$K9019))))</f>
      </c>
      <c r="L9020" s="43">
        <f>IF($I9020=0,0,$J9020*$H9020/100/12)</f>
      </c>
      <c r="M9020" s="43">
        <f>IF($I9020=0,0,IF(OR(INDEX(DarlOhneTilgung,19)=1,AND(INDEX(DarlTilgStart,19)&gt;0,$E9020&lt;INDEX(DarlTilgStart,19))),0,MIN(MAX(0,$K9020-$L9020),$J9020)))</f>
      </c>
      <c r="N9020" s="43">
        <f>IF($I9020=0,0,MIN(SUMIFS(SondBetrag,SondDarl,19,SondDatum,"&gt;="&amp;$E9020,SondDatum,"&lt;="&amp;EOMONTH($E9020,0)),$J9020-$M9020))</f>
      </c>
      <c r="O9020" s="43">
        <f>IF($I9020=0,0,INDEX(DarlErsatzRate,19))</f>
      </c>
      <c r="P9020" s="43">
        <f>IF($I9020=0,0,$Q9019*INDEX(DarlErsatzZins,19))</f>
      </c>
      <c r="Q9020" s="43">
        <f>IF($I9020=0,0,$Q9019+$P9020+$O9020)</f>
      </c>
      <c r="R9020" s="43">
        <f>IF($I9020=0,0,$J9020-$M9020-$N9020)</f>
      </c>
    </row>
    <row r="9021">
      <c r="A9021"/>
      <c r="B9021">
        <v>19</v>
      </c>
      <c r="C9021" s="43">
        <f>INDEX(DarlObj,19)</f>
      </c>
      <c r="D9021">
        <v>378</v>
      </c>
      <c r="E9021" s="51">
        <f>IF(INDEX(DarlBelegt,19)=0,0,EOMONTH(INDEX(DarlAuszahlung,19),377)+1)</f>
      </c>
      <c r="F9021" s="43">
        <f>IF($E9021=0,0,YEAR($E9021))</f>
      </c>
      <c r="G9021" s="43">
        <f>IF(INDEX(DarlBindung,19)="",1,IF($E9021&lt;=INDEX(DarlBindung,19),1,0))</f>
      </c>
      <c r="H9021" s="43">
        <f>IF($G9021=1,INDEX(DarlSollzins,19),INDEX(DarlAnschluss,19))</f>
      </c>
      <c r="I9021" s="43">
        <f>IF(INDEX(DarlBelegt,19)=0,0,IF(INDEX(DarlOhneTilgung,19)=1,IF(INDEX(DarlBindung,19)="",1,$G9021),IF($J9021&gt;0.005,1,0)))</f>
      </c>
      <c r="J9021" s="43">
        <f>IF($I9020=0,0,$R9020)</f>
      </c>
      <c r="K9021" s="43">
        <f>IF($I9021=0,0,IF(INDEX(DarlOhneTilgung,19)=1,0,IF(AND(INDEX(DarlTilgStart,19)&gt;0,$E9021=INDEX(DarlTilgStart,19)),$J9021*($H9021+INDEX(DarlTilgung,19))/100/12,IF(AND($G9021=0,$G9020=1),MAX($K9020,$J9021*($H9021+1)/100/12),$K9020))))</f>
      </c>
      <c r="L9021" s="43">
        <f>IF($I9021=0,0,$J9021*$H9021/100/12)</f>
      </c>
      <c r="M9021" s="43">
        <f>IF($I9021=0,0,IF(OR(INDEX(DarlOhneTilgung,19)=1,AND(INDEX(DarlTilgStart,19)&gt;0,$E9021&lt;INDEX(DarlTilgStart,19))),0,MIN(MAX(0,$K9021-$L9021),$J9021)))</f>
      </c>
      <c r="N9021" s="43">
        <f>IF($I9021=0,0,MIN(SUMIFS(SondBetrag,SondDarl,19,SondDatum,"&gt;="&amp;$E9021,SondDatum,"&lt;="&amp;EOMONTH($E9021,0)),$J9021-$M9021))</f>
      </c>
      <c r="O9021" s="43">
        <f>IF($I9021=0,0,INDEX(DarlErsatzRate,19))</f>
      </c>
      <c r="P9021" s="43">
        <f>IF($I9021=0,0,$Q9020*INDEX(DarlErsatzZins,19))</f>
      </c>
      <c r="Q9021" s="43">
        <f>IF($I9021=0,0,$Q9020+$P9021+$O9021)</f>
      </c>
      <c r="R9021" s="43">
        <f>IF($I9021=0,0,$J9021-$M9021-$N9021)</f>
      </c>
    </row>
    <row r="9022">
      <c r="A9022"/>
      <c r="B9022">
        <v>19</v>
      </c>
      <c r="C9022" s="43">
        <f>INDEX(DarlObj,19)</f>
      </c>
      <c r="D9022">
        <v>379</v>
      </c>
      <c r="E9022" s="51">
        <f>IF(INDEX(DarlBelegt,19)=0,0,EOMONTH(INDEX(DarlAuszahlung,19),378)+1)</f>
      </c>
      <c r="F9022" s="43">
        <f>IF($E9022=0,0,YEAR($E9022))</f>
      </c>
      <c r="G9022" s="43">
        <f>IF(INDEX(DarlBindung,19)="",1,IF($E9022&lt;=INDEX(DarlBindung,19),1,0))</f>
      </c>
      <c r="H9022" s="43">
        <f>IF($G9022=1,INDEX(DarlSollzins,19),INDEX(DarlAnschluss,19))</f>
      </c>
      <c r="I9022" s="43">
        <f>IF(INDEX(DarlBelegt,19)=0,0,IF(INDEX(DarlOhneTilgung,19)=1,IF(INDEX(DarlBindung,19)="",1,$G9022),IF($J9022&gt;0.005,1,0)))</f>
      </c>
      <c r="J9022" s="43">
        <f>IF($I9021=0,0,$R9021)</f>
      </c>
      <c r="K9022" s="43">
        <f>IF($I9022=0,0,IF(INDEX(DarlOhneTilgung,19)=1,0,IF(AND(INDEX(DarlTilgStart,19)&gt;0,$E9022=INDEX(DarlTilgStart,19)),$J9022*($H9022+INDEX(DarlTilgung,19))/100/12,IF(AND($G9022=0,$G9021=1),MAX($K9021,$J9022*($H9022+1)/100/12),$K9021))))</f>
      </c>
      <c r="L9022" s="43">
        <f>IF($I9022=0,0,$J9022*$H9022/100/12)</f>
      </c>
      <c r="M9022" s="43">
        <f>IF($I9022=0,0,IF(OR(INDEX(DarlOhneTilgung,19)=1,AND(INDEX(DarlTilgStart,19)&gt;0,$E9022&lt;INDEX(DarlTilgStart,19))),0,MIN(MAX(0,$K9022-$L9022),$J9022)))</f>
      </c>
      <c r="N9022" s="43">
        <f>IF($I9022=0,0,MIN(SUMIFS(SondBetrag,SondDarl,19,SondDatum,"&gt;="&amp;$E9022,SondDatum,"&lt;="&amp;EOMONTH($E9022,0)),$J9022-$M9022))</f>
      </c>
      <c r="O9022" s="43">
        <f>IF($I9022=0,0,INDEX(DarlErsatzRate,19))</f>
      </c>
      <c r="P9022" s="43">
        <f>IF($I9022=0,0,$Q9021*INDEX(DarlErsatzZins,19))</f>
      </c>
      <c r="Q9022" s="43">
        <f>IF($I9022=0,0,$Q9021+$P9022+$O9022)</f>
      </c>
      <c r="R9022" s="43">
        <f>IF($I9022=0,0,$J9022-$M9022-$N9022)</f>
      </c>
    </row>
    <row r="9023">
      <c r="A9023"/>
      <c r="B9023">
        <v>19</v>
      </c>
      <c r="C9023" s="43">
        <f>INDEX(DarlObj,19)</f>
      </c>
      <c r="D9023">
        <v>380</v>
      </c>
      <c r="E9023" s="51">
        <f>IF(INDEX(DarlBelegt,19)=0,0,EOMONTH(INDEX(DarlAuszahlung,19),379)+1)</f>
      </c>
      <c r="F9023" s="43">
        <f>IF($E9023=0,0,YEAR($E9023))</f>
      </c>
      <c r="G9023" s="43">
        <f>IF(INDEX(DarlBindung,19)="",1,IF($E9023&lt;=INDEX(DarlBindung,19),1,0))</f>
      </c>
      <c r="H9023" s="43">
        <f>IF($G9023=1,INDEX(DarlSollzins,19),INDEX(DarlAnschluss,19))</f>
      </c>
      <c r="I9023" s="43">
        <f>IF(INDEX(DarlBelegt,19)=0,0,IF(INDEX(DarlOhneTilgung,19)=1,IF(INDEX(DarlBindung,19)="",1,$G9023),IF($J9023&gt;0.005,1,0)))</f>
      </c>
      <c r="J9023" s="43">
        <f>IF($I9022=0,0,$R9022)</f>
      </c>
      <c r="K9023" s="43">
        <f>IF($I9023=0,0,IF(INDEX(DarlOhneTilgung,19)=1,0,IF(AND(INDEX(DarlTilgStart,19)&gt;0,$E9023=INDEX(DarlTilgStart,19)),$J9023*($H9023+INDEX(DarlTilgung,19))/100/12,IF(AND($G9023=0,$G9022=1),MAX($K9022,$J9023*($H9023+1)/100/12),$K9022))))</f>
      </c>
      <c r="L9023" s="43">
        <f>IF($I9023=0,0,$J9023*$H9023/100/12)</f>
      </c>
      <c r="M9023" s="43">
        <f>IF($I9023=0,0,IF(OR(INDEX(DarlOhneTilgung,19)=1,AND(INDEX(DarlTilgStart,19)&gt;0,$E9023&lt;INDEX(DarlTilgStart,19))),0,MIN(MAX(0,$K9023-$L9023),$J9023)))</f>
      </c>
      <c r="N9023" s="43">
        <f>IF($I9023=0,0,MIN(SUMIFS(SondBetrag,SondDarl,19,SondDatum,"&gt;="&amp;$E9023,SondDatum,"&lt;="&amp;EOMONTH($E9023,0)),$J9023-$M9023))</f>
      </c>
      <c r="O9023" s="43">
        <f>IF($I9023=0,0,INDEX(DarlErsatzRate,19))</f>
      </c>
      <c r="P9023" s="43">
        <f>IF($I9023=0,0,$Q9022*INDEX(DarlErsatzZins,19))</f>
      </c>
      <c r="Q9023" s="43">
        <f>IF($I9023=0,0,$Q9022+$P9023+$O9023)</f>
      </c>
      <c r="R9023" s="43">
        <f>IF($I9023=0,0,$J9023-$M9023-$N9023)</f>
      </c>
    </row>
    <row r="9024">
      <c r="A9024"/>
      <c r="B9024">
        <v>19</v>
      </c>
      <c r="C9024" s="43">
        <f>INDEX(DarlObj,19)</f>
      </c>
      <c r="D9024">
        <v>381</v>
      </c>
      <c r="E9024" s="51">
        <f>IF(INDEX(DarlBelegt,19)=0,0,EOMONTH(INDEX(DarlAuszahlung,19),380)+1)</f>
      </c>
      <c r="F9024" s="43">
        <f>IF($E9024=0,0,YEAR($E9024))</f>
      </c>
      <c r="G9024" s="43">
        <f>IF(INDEX(DarlBindung,19)="",1,IF($E9024&lt;=INDEX(DarlBindung,19),1,0))</f>
      </c>
      <c r="H9024" s="43">
        <f>IF($G9024=1,INDEX(DarlSollzins,19),INDEX(DarlAnschluss,19))</f>
      </c>
      <c r="I9024" s="43">
        <f>IF(INDEX(DarlBelegt,19)=0,0,IF(INDEX(DarlOhneTilgung,19)=1,IF(INDEX(DarlBindung,19)="",1,$G9024),IF($J9024&gt;0.005,1,0)))</f>
      </c>
      <c r="J9024" s="43">
        <f>IF($I9023=0,0,$R9023)</f>
      </c>
      <c r="K9024" s="43">
        <f>IF($I9024=0,0,IF(INDEX(DarlOhneTilgung,19)=1,0,IF(AND(INDEX(DarlTilgStart,19)&gt;0,$E9024=INDEX(DarlTilgStart,19)),$J9024*($H9024+INDEX(DarlTilgung,19))/100/12,IF(AND($G9024=0,$G9023=1),MAX($K9023,$J9024*($H9024+1)/100/12),$K9023))))</f>
      </c>
      <c r="L9024" s="43">
        <f>IF($I9024=0,0,$J9024*$H9024/100/12)</f>
      </c>
      <c r="M9024" s="43">
        <f>IF($I9024=0,0,IF(OR(INDEX(DarlOhneTilgung,19)=1,AND(INDEX(DarlTilgStart,19)&gt;0,$E9024&lt;INDEX(DarlTilgStart,19))),0,MIN(MAX(0,$K9024-$L9024),$J9024)))</f>
      </c>
      <c r="N9024" s="43">
        <f>IF($I9024=0,0,MIN(SUMIFS(SondBetrag,SondDarl,19,SondDatum,"&gt;="&amp;$E9024,SondDatum,"&lt;="&amp;EOMONTH($E9024,0)),$J9024-$M9024))</f>
      </c>
      <c r="O9024" s="43">
        <f>IF($I9024=0,0,INDEX(DarlErsatzRate,19))</f>
      </c>
      <c r="P9024" s="43">
        <f>IF($I9024=0,0,$Q9023*INDEX(DarlErsatzZins,19))</f>
      </c>
      <c r="Q9024" s="43">
        <f>IF($I9024=0,0,$Q9023+$P9024+$O9024)</f>
      </c>
      <c r="R9024" s="43">
        <f>IF($I9024=0,0,$J9024-$M9024-$N9024)</f>
      </c>
    </row>
    <row r="9025">
      <c r="A9025"/>
      <c r="B9025">
        <v>19</v>
      </c>
      <c r="C9025" s="43">
        <f>INDEX(DarlObj,19)</f>
      </c>
      <c r="D9025">
        <v>382</v>
      </c>
      <c r="E9025" s="51">
        <f>IF(INDEX(DarlBelegt,19)=0,0,EOMONTH(INDEX(DarlAuszahlung,19),381)+1)</f>
      </c>
      <c r="F9025" s="43">
        <f>IF($E9025=0,0,YEAR($E9025))</f>
      </c>
      <c r="G9025" s="43">
        <f>IF(INDEX(DarlBindung,19)="",1,IF($E9025&lt;=INDEX(DarlBindung,19),1,0))</f>
      </c>
      <c r="H9025" s="43">
        <f>IF($G9025=1,INDEX(DarlSollzins,19),INDEX(DarlAnschluss,19))</f>
      </c>
      <c r="I9025" s="43">
        <f>IF(INDEX(DarlBelegt,19)=0,0,IF(INDEX(DarlOhneTilgung,19)=1,IF(INDEX(DarlBindung,19)="",1,$G9025),IF($J9025&gt;0.005,1,0)))</f>
      </c>
      <c r="J9025" s="43">
        <f>IF($I9024=0,0,$R9024)</f>
      </c>
      <c r="K9025" s="43">
        <f>IF($I9025=0,0,IF(INDEX(DarlOhneTilgung,19)=1,0,IF(AND(INDEX(DarlTilgStart,19)&gt;0,$E9025=INDEX(DarlTilgStart,19)),$J9025*($H9025+INDEX(DarlTilgung,19))/100/12,IF(AND($G9025=0,$G9024=1),MAX($K9024,$J9025*($H9025+1)/100/12),$K9024))))</f>
      </c>
      <c r="L9025" s="43">
        <f>IF($I9025=0,0,$J9025*$H9025/100/12)</f>
      </c>
      <c r="M9025" s="43">
        <f>IF($I9025=0,0,IF(OR(INDEX(DarlOhneTilgung,19)=1,AND(INDEX(DarlTilgStart,19)&gt;0,$E9025&lt;INDEX(DarlTilgStart,19))),0,MIN(MAX(0,$K9025-$L9025),$J9025)))</f>
      </c>
      <c r="N9025" s="43">
        <f>IF($I9025=0,0,MIN(SUMIFS(SondBetrag,SondDarl,19,SondDatum,"&gt;="&amp;$E9025,SondDatum,"&lt;="&amp;EOMONTH($E9025,0)),$J9025-$M9025))</f>
      </c>
      <c r="O9025" s="43">
        <f>IF($I9025=0,0,INDEX(DarlErsatzRate,19))</f>
      </c>
      <c r="P9025" s="43">
        <f>IF($I9025=0,0,$Q9024*INDEX(DarlErsatzZins,19))</f>
      </c>
      <c r="Q9025" s="43">
        <f>IF($I9025=0,0,$Q9024+$P9025+$O9025)</f>
      </c>
      <c r="R9025" s="43">
        <f>IF($I9025=0,0,$J9025-$M9025-$N9025)</f>
      </c>
    </row>
    <row r="9026">
      <c r="A9026"/>
      <c r="B9026">
        <v>19</v>
      </c>
      <c r="C9026" s="43">
        <f>INDEX(DarlObj,19)</f>
      </c>
      <c r="D9026">
        <v>383</v>
      </c>
      <c r="E9026" s="51">
        <f>IF(INDEX(DarlBelegt,19)=0,0,EOMONTH(INDEX(DarlAuszahlung,19),382)+1)</f>
      </c>
      <c r="F9026" s="43">
        <f>IF($E9026=0,0,YEAR($E9026))</f>
      </c>
      <c r="G9026" s="43">
        <f>IF(INDEX(DarlBindung,19)="",1,IF($E9026&lt;=INDEX(DarlBindung,19),1,0))</f>
      </c>
      <c r="H9026" s="43">
        <f>IF($G9026=1,INDEX(DarlSollzins,19),INDEX(DarlAnschluss,19))</f>
      </c>
      <c r="I9026" s="43">
        <f>IF(INDEX(DarlBelegt,19)=0,0,IF(INDEX(DarlOhneTilgung,19)=1,IF(INDEX(DarlBindung,19)="",1,$G9026),IF($J9026&gt;0.005,1,0)))</f>
      </c>
      <c r="J9026" s="43">
        <f>IF($I9025=0,0,$R9025)</f>
      </c>
      <c r="K9026" s="43">
        <f>IF($I9026=0,0,IF(INDEX(DarlOhneTilgung,19)=1,0,IF(AND(INDEX(DarlTilgStart,19)&gt;0,$E9026=INDEX(DarlTilgStart,19)),$J9026*($H9026+INDEX(DarlTilgung,19))/100/12,IF(AND($G9026=0,$G9025=1),MAX($K9025,$J9026*($H9026+1)/100/12),$K9025))))</f>
      </c>
      <c r="L9026" s="43">
        <f>IF($I9026=0,0,$J9026*$H9026/100/12)</f>
      </c>
      <c r="M9026" s="43">
        <f>IF($I9026=0,0,IF(OR(INDEX(DarlOhneTilgung,19)=1,AND(INDEX(DarlTilgStart,19)&gt;0,$E9026&lt;INDEX(DarlTilgStart,19))),0,MIN(MAX(0,$K9026-$L9026),$J9026)))</f>
      </c>
      <c r="N9026" s="43">
        <f>IF($I9026=0,0,MIN(SUMIFS(SondBetrag,SondDarl,19,SondDatum,"&gt;="&amp;$E9026,SondDatum,"&lt;="&amp;EOMONTH($E9026,0)),$J9026-$M9026))</f>
      </c>
      <c r="O9026" s="43">
        <f>IF($I9026=0,0,INDEX(DarlErsatzRate,19))</f>
      </c>
      <c r="P9026" s="43">
        <f>IF($I9026=0,0,$Q9025*INDEX(DarlErsatzZins,19))</f>
      </c>
      <c r="Q9026" s="43">
        <f>IF($I9026=0,0,$Q9025+$P9026+$O9026)</f>
      </c>
      <c r="R9026" s="43">
        <f>IF($I9026=0,0,$J9026-$M9026-$N9026)</f>
      </c>
    </row>
    <row r="9027">
      <c r="A9027"/>
      <c r="B9027">
        <v>19</v>
      </c>
      <c r="C9027" s="43">
        <f>INDEX(DarlObj,19)</f>
      </c>
      <c r="D9027">
        <v>384</v>
      </c>
      <c r="E9027" s="51">
        <f>IF(INDEX(DarlBelegt,19)=0,0,EOMONTH(INDEX(DarlAuszahlung,19),383)+1)</f>
      </c>
      <c r="F9027" s="43">
        <f>IF($E9027=0,0,YEAR($E9027))</f>
      </c>
      <c r="G9027" s="43">
        <f>IF(INDEX(DarlBindung,19)="",1,IF($E9027&lt;=INDEX(DarlBindung,19),1,0))</f>
      </c>
      <c r="H9027" s="43">
        <f>IF($G9027=1,INDEX(DarlSollzins,19),INDEX(DarlAnschluss,19))</f>
      </c>
      <c r="I9027" s="43">
        <f>IF(INDEX(DarlBelegt,19)=0,0,IF(INDEX(DarlOhneTilgung,19)=1,IF(INDEX(DarlBindung,19)="",1,$G9027),IF($J9027&gt;0.005,1,0)))</f>
      </c>
      <c r="J9027" s="43">
        <f>IF($I9026=0,0,$R9026)</f>
      </c>
      <c r="K9027" s="43">
        <f>IF($I9027=0,0,IF(INDEX(DarlOhneTilgung,19)=1,0,IF(AND(INDEX(DarlTilgStart,19)&gt;0,$E9027=INDEX(DarlTilgStart,19)),$J9027*($H9027+INDEX(DarlTilgung,19))/100/12,IF(AND($G9027=0,$G9026=1),MAX($K9026,$J9027*($H9027+1)/100/12),$K9026))))</f>
      </c>
      <c r="L9027" s="43">
        <f>IF($I9027=0,0,$J9027*$H9027/100/12)</f>
      </c>
      <c r="M9027" s="43">
        <f>IF($I9027=0,0,IF(OR(INDEX(DarlOhneTilgung,19)=1,AND(INDEX(DarlTilgStart,19)&gt;0,$E9027&lt;INDEX(DarlTilgStart,19))),0,MIN(MAX(0,$K9027-$L9027),$J9027)))</f>
      </c>
      <c r="N9027" s="43">
        <f>IF($I9027=0,0,MIN(SUMIFS(SondBetrag,SondDarl,19,SondDatum,"&gt;="&amp;$E9027,SondDatum,"&lt;="&amp;EOMONTH($E9027,0)),$J9027-$M9027))</f>
      </c>
      <c r="O9027" s="43">
        <f>IF($I9027=0,0,INDEX(DarlErsatzRate,19))</f>
      </c>
      <c r="P9027" s="43">
        <f>IF($I9027=0,0,$Q9026*INDEX(DarlErsatzZins,19))</f>
      </c>
      <c r="Q9027" s="43">
        <f>IF($I9027=0,0,$Q9026+$P9027+$O9027)</f>
      </c>
      <c r="R9027" s="43">
        <f>IF($I9027=0,0,$J9027-$M9027-$N9027)</f>
      </c>
    </row>
    <row r="9028">
      <c r="A9028"/>
      <c r="B9028">
        <v>19</v>
      </c>
      <c r="C9028" s="43">
        <f>INDEX(DarlObj,19)</f>
      </c>
      <c r="D9028">
        <v>385</v>
      </c>
      <c r="E9028" s="51">
        <f>IF(INDEX(DarlBelegt,19)=0,0,EOMONTH(INDEX(DarlAuszahlung,19),384)+1)</f>
      </c>
      <c r="F9028" s="43">
        <f>IF($E9028=0,0,YEAR($E9028))</f>
      </c>
      <c r="G9028" s="43">
        <f>IF(INDEX(DarlBindung,19)="",1,IF($E9028&lt;=INDEX(DarlBindung,19),1,0))</f>
      </c>
      <c r="H9028" s="43">
        <f>IF($G9028=1,INDEX(DarlSollzins,19),INDEX(DarlAnschluss,19))</f>
      </c>
      <c r="I9028" s="43">
        <f>IF(INDEX(DarlBelegt,19)=0,0,IF(INDEX(DarlOhneTilgung,19)=1,IF(INDEX(DarlBindung,19)="",1,$G9028),IF($J9028&gt;0.005,1,0)))</f>
      </c>
      <c r="J9028" s="43">
        <f>IF($I9027=0,0,$R9027)</f>
      </c>
      <c r="K9028" s="43">
        <f>IF($I9028=0,0,IF(INDEX(DarlOhneTilgung,19)=1,0,IF(AND(INDEX(DarlTilgStart,19)&gt;0,$E9028=INDEX(DarlTilgStart,19)),$J9028*($H9028+INDEX(DarlTilgung,19))/100/12,IF(AND($G9028=0,$G9027=1),MAX($K9027,$J9028*($H9028+1)/100/12),$K9027))))</f>
      </c>
      <c r="L9028" s="43">
        <f>IF($I9028=0,0,$J9028*$H9028/100/12)</f>
      </c>
      <c r="M9028" s="43">
        <f>IF($I9028=0,0,IF(OR(INDEX(DarlOhneTilgung,19)=1,AND(INDEX(DarlTilgStart,19)&gt;0,$E9028&lt;INDEX(DarlTilgStart,19))),0,MIN(MAX(0,$K9028-$L9028),$J9028)))</f>
      </c>
      <c r="N9028" s="43">
        <f>IF($I9028=0,0,MIN(SUMIFS(SondBetrag,SondDarl,19,SondDatum,"&gt;="&amp;$E9028,SondDatum,"&lt;="&amp;EOMONTH($E9028,0)),$J9028-$M9028))</f>
      </c>
      <c r="O9028" s="43">
        <f>IF($I9028=0,0,INDEX(DarlErsatzRate,19))</f>
      </c>
      <c r="P9028" s="43">
        <f>IF($I9028=0,0,$Q9027*INDEX(DarlErsatzZins,19))</f>
      </c>
      <c r="Q9028" s="43">
        <f>IF($I9028=0,0,$Q9027+$P9028+$O9028)</f>
      </c>
      <c r="R9028" s="43">
        <f>IF($I9028=0,0,$J9028-$M9028-$N9028)</f>
      </c>
    </row>
    <row r="9029">
      <c r="A9029"/>
      <c r="B9029">
        <v>19</v>
      </c>
      <c r="C9029" s="43">
        <f>INDEX(DarlObj,19)</f>
      </c>
      <c r="D9029">
        <v>386</v>
      </c>
      <c r="E9029" s="51">
        <f>IF(INDEX(DarlBelegt,19)=0,0,EOMONTH(INDEX(DarlAuszahlung,19),385)+1)</f>
      </c>
      <c r="F9029" s="43">
        <f>IF($E9029=0,0,YEAR($E9029))</f>
      </c>
      <c r="G9029" s="43">
        <f>IF(INDEX(DarlBindung,19)="",1,IF($E9029&lt;=INDEX(DarlBindung,19),1,0))</f>
      </c>
      <c r="H9029" s="43">
        <f>IF($G9029=1,INDEX(DarlSollzins,19),INDEX(DarlAnschluss,19))</f>
      </c>
      <c r="I9029" s="43">
        <f>IF(INDEX(DarlBelegt,19)=0,0,IF(INDEX(DarlOhneTilgung,19)=1,IF(INDEX(DarlBindung,19)="",1,$G9029),IF($J9029&gt;0.005,1,0)))</f>
      </c>
      <c r="J9029" s="43">
        <f>IF($I9028=0,0,$R9028)</f>
      </c>
      <c r="K9029" s="43">
        <f>IF($I9029=0,0,IF(INDEX(DarlOhneTilgung,19)=1,0,IF(AND(INDEX(DarlTilgStart,19)&gt;0,$E9029=INDEX(DarlTilgStart,19)),$J9029*($H9029+INDEX(DarlTilgung,19))/100/12,IF(AND($G9029=0,$G9028=1),MAX($K9028,$J9029*($H9029+1)/100/12),$K9028))))</f>
      </c>
      <c r="L9029" s="43">
        <f>IF($I9029=0,0,$J9029*$H9029/100/12)</f>
      </c>
      <c r="M9029" s="43">
        <f>IF($I9029=0,0,IF(OR(INDEX(DarlOhneTilgung,19)=1,AND(INDEX(DarlTilgStart,19)&gt;0,$E9029&lt;INDEX(DarlTilgStart,19))),0,MIN(MAX(0,$K9029-$L9029),$J9029)))</f>
      </c>
      <c r="N9029" s="43">
        <f>IF($I9029=0,0,MIN(SUMIFS(SondBetrag,SondDarl,19,SondDatum,"&gt;="&amp;$E9029,SondDatum,"&lt;="&amp;EOMONTH($E9029,0)),$J9029-$M9029))</f>
      </c>
      <c r="O9029" s="43">
        <f>IF($I9029=0,0,INDEX(DarlErsatzRate,19))</f>
      </c>
      <c r="P9029" s="43">
        <f>IF($I9029=0,0,$Q9028*INDEX(DarlErsatzZins,19))</f>
      </c>
      <c r="Q9029" s="43">
        <f>IF($I9029=0,0,$Q9028+$P9029+$O9029)</f>
      </c>
      <c r="R9029" s="43">
        <f>IF($I9029=0,0,$J9029-$M9029-$N9029)</f>
      </c>
    </row>
    <row r="9030">
      <c r="A9030"/>
      <c r="B9030">
        <v>19</v>
      </c>
      <c r="C9030" s="43">
        <f>INDEX(DarlObj,19)</f>
      </c>
      <c r="D9030">
        <v>387</v>
      </c>
      <c r="E9030" s="51">
        <f>IF(INDEX(DarlBelegt,19)=0,0,EOMONTH(INDEX(DarlAuszahlung,19),386)+1)</f>
      </c>
      <c r="F9030" s="43">
        <f>IF($E9030=0,0,YEAR($E9030))</f>
      </c>
      <c r="G9030" s="43">
        <f>IF(INDEX(DarlBindung,19)="",1,IF($E9030&lt;=INDEX(DarlBindung,19),1,0))</f>
      </c>
      <c r="H9030" s="43">
        <f>IF($G9030=1,INDEX(DarlSollzins,19),INDEX(DarlAnschluss,19))</f>
      </c>
      <c r="I9030" s="43">
        <f>IF(INDEX(DarlBelegt,19)=0,0,IF(INDEX(DarlOhneTilgung,19)=1,IF(INDEX(DarlBindung,19)="",1,$G9030),IF($J9030&gt;0.005,1,0)))</f>
      </c>
      <c r="J9030" s="43">
        <f>IF($I9029=0,0,$R9029)</f>
      </c>
      <c r="K9030" s="43">
        <f>IF($I9030=0,0,IF(INDEX(DarlOhneTilgung,19)=1,0,IF(AND(INDEX(DarlTilgStart,19)&gt;0,$E9030=INDEX(DarlTilgStart,19)),$J9030*($H9030+INDEX(DarlTilgung,19))/100/12,IF(AND($G9030=0,$G9029=1),MAX($K9029,$J9030*($H9030+1)/100/12),$K9029))))</f>
      </c>
      <c r="L9030" s="43">
        <f>IF($I9030=0,0,$J9030*$H9030/100/12)</f>
      </c>
      <c r="M9030" s="43">
        <f>IF($I9030=0,0,IF(OR(INDEX(DarlOhneTilgung,19)=1,AND(INDEX(DarlTilgStart,19)&gt;0,$E9030&lt;INDEX(DarlTilgStart,19))),0,MIN(MAX(0,$K9030-$L9030),$J9030)))</f>
      </c>
      <c r="N9030" s="43">
        <f>IF($I9030=0,0,MIN(SUMIFS(SondBetrag,SondDarl,19,SondDatum,"&gt;="&amp;$E9030,SondDatum,"&lt;="&amp;EOMONTH($E9030,0)),$J9030-$M9030))</f>
      </c>
      <c r="O9030" s="43">
        <f>IF($I9030=0,0,INDEX(DarlErsatzRate,19))</f>
      </c>
      <c r="P9030" s="43">
        <f>IF($I9030=0,0,$Q9029*INDEX(DarlErsatzZins,19))</f>
      </c>
      <c r="Q9030" s="43">
        <f>IF($I9030=0,0,$Q9029+$P9030+$O9030)</f>
      </c>
      <c r="R9030" s="43">
        <f>IF($I9030=0,0,$J9030-$M9030-$N9030)</f>
      </c>
    </row>
    <row r="9031">
      <c r="A9031"/>
      <c r="B9031">
        <v>19</v>
      </c>
      <c r="C9031" s="43">
        <f>INDEX(DarlObj,19)</f>
      </c>
      <c r="D9031">
        <v>388</v>
      </c>
      <c r="E9031" s="51">
        <f>IF(INDEX(DarlBelegt,19)=0,0,EOMONTH(INDEX(DarlAuszahlung,19),387)+1)</f>
      </c>
      <c r="F9031" s="43">
        <f>IF($E9031=0,0,YEAR($E9031))</f>
      </c>
      <c r="G9031" s="43">
        <f>IF(INDEX(DarlBindung,19)="",1,IF($E9031&lt;=INDEX(DarlBindung,19),1,0))</f>
      </c>
      <c r="H9031" s="43">
        <f>IF($G9031=1,INDEX(DarlSollzins,19),INDEX(DarlAnschluss,19))</f>
      </c>
      <c r="I9031" s="43">
        <f>IF(INDEX(DarlBelegt,19)=0,0,IF(INDEX(DarlOhneTilgung,19)=1,IF(INDEX(DarlBindung,19)="",1,$G9031),IF($J9031&gt;0.005,1,0)))</f>
      </c>
      <c r="J9031" s="43">
        <f>IF($I9030=0,0,$R9030)</f>
      </c>
      <c r="K9031" s="43">
        <f>IF($I9031=0,0,IF(INDEX(DarlOhneTilgung,19)=1,0,IF(AND(INDEX(DarlTilgStart,19)&gt;0,$E9031=INDEX(DarlTilgStart,19)),$J9031*($H9031+INDEX(DarlTilgung,19))/100/12,IF(AND($G9031=0,$G9030=1),MAX($K9030,$J9031*($H9031+1)/100/12),$K9030))))</f>
      </c>
      <c r="L9031" s="43">
        <f>IF($I9031=0,0,$J9031*$H9031/100/12)</f>
      </c>
      <c r="M9031" s="43">
        <f>IF($I9031=0,0,IF(OR(INDEX(DarlOhneTilgung,19)=1,AND(INDEX(DarlTilgStart,19)&gt;0,$E9031&lt;INDEX(DarlTilgStart,19))),0,MIN(MAX(0,$K9031-$L9031),$J9031)))</f>
      </c>
      <c r="N9031" s="43">
        <f>IF($I9031=0,0,MIN(SUMIFS(SondBetrag,SondDarl,19,SondDatum,"&gt;="&amp;$E9031,SondDatum,"&lt;="&amp;EOMONTH($E9031,0)),$J9031-$M9031))</f>
      </c>
      <c r="O9031" s="43">
        <f>IF($I9031=0,0,INDEX(DarlErsatzRate,19))</f>
      </c>
      <c r="P9031" s="43">
        <f>IF($I9031=0,0,$Q9030*INDEX(DarlErsatzZins,19))</f>
      </c>
      <c r="Q9031" s="43">
        <f>IF($I9031=0,0,$Q9030+$P9031+$O9031)</f>
      </c>
      <c r="R9031" s="43">
        <f>IF($I9031=0,0,$J9031-$M9031-$N9031)</f>
      </c>
    </row>
    <row r="9032">
      <c r="A9032"/>
      <c r="B9032">
        <v>19</v>
      </c>
      <c r="C9032" s="43">
        <f>INDEX(DarlObj,19)</f>
      </c>
      <c r="D9032">
        <v>389</v>
      </c>
      <c r="E9032" s="51">
        <f>IF(INDEX(DarlBelegt,19)=0,0,EOMONTH(INDEX(DarlAuszahlung,19),388)+1)</f>
      </c>
      <c r="F9032" s="43">
        <f>IF($E9032=0,0,YEAR($E9032))</f>
      </c>
      <c r="G9032" s="43">
        <f>IF(INDEX(DarlBindung,19)="",1,IF($E9032&lt;=INDEX(DarlBindung,19),1,0))</f>
      </c>
      <c r="H9032" s="43">
        <f>IF($G9032=1,INDEX(DarlSollzins,19),INDEX(DarlAnschluss,19))</f>
      </c>
      <c r="I9032" s="43">
        <f>IF(INDEX(DarlBelegt,19)=0,0,IF(INDEX(DarlOhneTilgung,19)=1,IF(INDEX(DarlBindung,19)="",1,$G9032),IF($J9032&gt;0.005,1,0)))</f>
      </c>
      <c r="J9032" s="43">
        <f>IF($I9031=0,0,$R9031)</f>
      </c>
      <c r="K9032" s="43">
        <f>IF($I9032=0,0,IF(INDEX(DarlOhneTilgung,19)=1,0,IF(AND(INDEX(DarlTilgStart,19)&gt;0,$E9032=INDEX(DarlTilgStart,19)),$J9032*($H9032+INDEX(DarlTilgung,19))/100/12,IF(AND($G9032=0,$G9031=1),MAX($K9031,$J9032*($H9032+1)/100/12),$K9031))))</f>
      </c>
      <c r="L9032" s="43">
        <f>IF($I9032=0,0,$J9032*$H9032/100/12)</f>
      </c>
      <c r="M9032" s="43">
        <f>IF($I9032=0,0,IF(OR(INDEX(DarlOhneTilgung,19)=1,AND(INDEX(DarlTilgStart,19)&gt;0,$E9032&lt;INDEX(DarlTilgStart,19))),0,MIN(MAX(0,$K9032-$L9032),$J9032)))</f>
      </c>
      <c r="N9032" s="43">
        <f>IF($I9032=0,0,MIN(SUMIFS(SondBetrag,SondDarl,19,SondDatum,"&gt;="&amp;$E9032,SondDatum,"&lt;="&amp;EOMONTH($E9032,0)),$J9032-$M9032))</f>
      </c>
      <c r="O9032" s="43">
        <f>IF($I9032=0,0,INDEX(DarlErsatzRate,19))</f>
      </c>
      <c r="P9032" s="43">
        <f>IF($I9032=0,0,$Q9031*INDEX(DarlErsatzZins,19))</f>
      </c>
      <c r="Q9032" s="43">
        <f>IF($I9032=0,0,$Q9031+$P9032+$O9032)</f>
      </c>
      <c r="R9032" s="43">
        <f>IF($I9032=0,0,$J9032-$M9032-$N9032)</f>
      </c>
    </row>
    <row r="9033">
      <c r="A9033"/>
      <c r="B9033">
        <v>19</v>
      </c>
      <c r="C9033" s="43">
        <f>INDEX(DarlObj,19)</f>
      </c>
      <c r="D9033">
        <v>390</v>
      </c>
      <c r="E9033" s="51">
        <f>IF(INDEX(DarlBelegt,19)=0,0,EOMONTH(INDEX(DarlAuszahlung,19),389)+1)</f>
      </c>
      <c r="F9033" s="43">
        <f>IF($E9033=0,0,YEAR($E9033))</f>
      </c>
      <c r="G9033" s="43">
        <f>IF(INDEX(DarlBindung,19)="",1,IF($E9033&lt;=INDEX(DarlBindung,19),1,0))</f>
      </c>
      <c r="H9033" s="43">
        <f>IF($G9033=1,INDEX(DarlSollzins,19),INDEX(DarlAnschluss,19))</f>
      </c>
      <c r="I9033" s="43">
        <f>IF(INDEX(DarlBelegt,19)=0,0,IF(INDEX(DarlOhneTilgung,19)=1,IF(INDEX(DarlBindung,19)="",1,$G9033),IF($J9033&gt;0.005,1,0)))</f>
      </c>
      <c r="J9033" s="43">
        <f>IF($I9032=0,0,$R9032)</f>
      </c>
      <c r="K9033" s="43">
        <f>IF($I9033=0,0,IF(INDEX(DarlOhneTilgung,19)=1,0,IF(AND(INDEX(DarlTilgStart,19)&gt;0,$E9033=INDEX(DarlTilgStart,19)),$J9033*($H9033+INDEX(DarlTilgung,19))/100/12,IF(AND($G9033=0,$G9032=1),MAX($K9032,$J9033*($H9033+1)/100/12),$K9032))))</f>
      </c>
      <c r="L9033" s="43">
        <f>IF($I9033=0,0,$J9033*$H9033/100/12)</f>
      </c>
      <c r="M9033" s="43">
        <f>IF($I9033=0,0,IF(OR(INDEX(DarlOhneTilgung,19)=1,AND(INDEX(DarlTilgStart,19)&gt;0,$E9033&lt;INDEX(DarlTilgStart,19))),0,MIN(MAX(0,$K9033-$L9033),$J9033)))</f>
      </c>
      <c r="N9033" s="43">
        <f>IF($I9033=0,0,MIN(SUMIFS(SondBetrag,SondDarl,19,SondDatum,"&gt;="&amp;$E9033,SondDatum,"&lt;="&amp;EOMONTH($E9033,0)),$J9033-$M9033))</f>
      </c>
      <c r="O9033" s="43">
        <f>IF($I9033=0,0,INDEX(DarlErsatzRate,19))</f>
      </c>
      <c r="P9033" s="43">
        <f>IF($I9033=0,0,$Q9032*INDEX(DarlErsatzZins,19))</f>
      </c>
      <c r="Q9033" s="43">
        <f>IF($I9033=0,0,$Q9032+$P9033+$O9033)</f>
      </c>
      <c r="R9033" s="43">
        <f>IF($I9033=0,0,$J9033-$M9033-$N9033)</f>
      </c>
    </row>
    <row r="9034">
      <c r="A9034"/>
      <c r="B9034">
        <v>19</v>
      </c>
      <c r="C9034" s="43">
        <f>INDEX(DarlObj,19)</f>
      </c>
      <c r="D9034">
        <v>391</v>
      </c>
      <c r="E9034" s="51">
        <f>IF(INDEX(DarlBelegt,19)=0,0,EOMONTH(INDEX(DarlAuszahlung,19),390)+1)</f>
      </c>
      <c r="F9034" s="43">
        <f>IF($E9034=0,0,YEAR($E9034))</f>
      </c>
      <c r="G9034" s="43">
        <f>IF(INDEX(DarlBindung,19)="",1,IF($E9034&lt;=INDEX(DarlBindung,19),1,0))</f>
      </c>
      <c r="H9034" s="43">
        <f>IF($G9034=1,INDEX(DarlSollzins,19),INDEX(DarlAnschluss,19))</f>
      </c>
      <c r="I9034" s="43">
        <f>IF(INDEX(DarlBelegt,19)=0,0,IF(INDEX(DarlOhneTilgung,19)=1,IF(INDEX(DarlBindung,19)="",1,$G9034),IF($J9034&gt;0.005,1,0)))</f>
      </c>
      <c r="J9034" s="43">
        <f>IF($I9033=0,0,$R9033)</f>
      </c>
      <c r="K9034" s="43">
        <f>IF($I9034=0,0,IF(INDEX(DarlOhneTilgung,19)=1,0,IF(AND(INDEX(DarlTilgStart,19)&gt;0,$E9034=INDEX(DarlTilgStart,19)),$J9034*($H9034+INDEX(DarlTilgung,19))/100/12,IF(AND($G9034=0,$G9033=1),MAX($K9033,$J9034*($H9034+1)/100/12),$K9033))))</f>
      </c>
      <c r="L9034" s="43">
        <f>IF($I9034=0,0,$J9034*$H9034/100/12)</f>
      </c>
      <c r="M9034" s="43">
        <f>IF($I9034=0,0,IF(OR(INDEX(DarlOhneTilgung,19)=1,AND(INDEX(DarlTilgStart,19)&gt;0,$E9034&lt;INDEX(DarlTilgStart,19))),0,MIN(MAX(0,$K9034-$L9034),$J9034)))</f>
      </c>
      <c r="N9034" s="43">
        <f>IF($I9034=0,0,MIN(SUMIFS(SondBetrag,SondDarl,19,SondDatum,"&gt;="&amp;$E9034,SondDatum,"&lt;="&amp;EOMONTH($E9034,0)),$J9034-$M9034))</f>
      </c>
      <c r="O9034" s="43">
        <f>IF($I9034=0,0,INDEX(DarlErsatzRate,19))</f>
      </c>
      <c r="P9034" s="43">
        <f>IF($I9034=0,0,$Q9033*INDEX(DarlErsatzZins,19))</f>
      </c>
      <c r="Q9034" s="43">
        <f>IF($I9034=0,0,$Q9033+$P9034+$O9034)</f>
      </c>
      <c r="R9034" s="43">
        <f>IF($I9034=0,0,$J9034-$M9034-$N9034)</f>
      </c>
    </row>
    <row r="9035">
      <c r="A9035"/>
      <c r="B9035">
        <v>19</v>
      </c>
      <c r="C9035" s="43">
        <f>INDEX(DarlObj,19)</f>
      </c>
      <c r="D9035">
        <v>392</v>
      </c>
      <c r="E9035" s="51">
        <f>IF(INDEX(DarlBelegt,19)=0,0,EOMONTH(INDEX(DarlAuszahlung,19),391)+1)</f>
      </c>
      <c r="F9035" s="43">
        <f>IF($E9035=0,0,YEAR($E9035))</f>
      </c>
      <c r="G9035" s="43">
        <f>IF(INDEX(DarlBindung,19)="",1,IF($E9035&lt;=INDEX(DarlBindung,19),1,0))</f>
      </c>
      <c r="H9035" s="43">
        <f>IF($G9035=1,INDEX(DarlSollzins,19),INDEX(DarlAnschluss,19))</f>
      </c>
      <c r="I9035" s="43">
        <f>IF(INDEX(DarlBelegt,19)=0,0,IF(INDEX(DarlOhneTilgung,19)=1,IF(INDEX(DarlBindung,19)="",1,$G9035),IF($J9035&gt;0.005,1,0)))</f>
      </c>
      <c r="J9035" s="43">
        <f>IF($I9034=0,0,$R9034)</f>
      </c>
      <c r="K9035" s="43">
        <f>IF($I9035=0,0,IF(INDEX(DarlOhneTilgung,19)=1,0,IF(AND(INDEX(DarlTilgStart,19)&gt;0,$E9035=INDEX(DarlTilgStart,19)),$J9035*($H9035+INDEX(DarlTilgung,19))/100/12,IF(AND($G9035=0,$G9034=1),MAX($K9034,$J9035*($H9035+1)/100/12),$K9034))))</f>
      </c>
      <c r="L9035" s="43">
        <f>IF($I9035=0,0,$J9035*$H9035/100/12)</f>
      </c>
      <c r="M9035" s="43">
        <f>IF($I9035=0,0,IF(OR(INDEX(DarlOhneTilgung,19)=1,AND(INDEX(DarlTilgStart,19)&gt;0,$E9035&lt;INDEX(DarlTilgStart,19))),0,MIN(MAX(0,$K9035-$L9035),$J9035)))</f>
      </c>
      <c r="N9035" s="43">
        <f>IF($I9035=0,0,MIN(SUMIFS(SondBetrag,SondDarl,19,SondDatum,"&gt;="&amp;$E9035,SondDatum,"&lt;="&amp;EOMONTH($E9035,0)),$J9035-$M9035))</f>
      </c>
      <c r="O9035" s="43">
        <f>IF($I9035=0,0,INDEX(DarlErsatzRate,19))</f>
      </c>
      <c r="P9035" s="43">
        <f>IF($I9035=0,0,$Q9034*INDEX(DarlErsatzZins,19))</f>
      </c>
      <c r="Q9035" s="43">
        <f>IF($I9035=0,0,$Q9034+$P9035+$O9035)</f>
      </c>
      <c r="R9035" s="43">
        <f>IF($I9035=0,0,$J9035-$M9035-$N9035)</f>
      </c>
    </row>
    <row r="9036">
      <c r="A9036"/>
      <c r="B9036">
        <v>19</v>
      </c>
      <c r="C9036" s="43">
        <f>INDEX(DarlObj,19)</f>
      </c>
      <c r="D9036">
        <v>393</v>
      </c>
      <c r="E9036" s="51">
        <f>IF(INDEX(DarlBelegt,19)=0,0,EOMONTH(INDEX(DarlAuszahlung,19),392)+1)</f>
      </c>
      <c r="F9036" s="43">
        <f>IF($E9036=0,0,YEAR($E9036))</f>
      </c>
      <c r="G9036" s="43">
        <f>IF(INDEX(DarlBindung,19)="",1,IF($E9036&lt;=INDEX(DarlBindung,19),1,0))</f>
      </c>
      <c r="H9036" s="43">
        <f>IF($G9036=1,INDEX(DarlSollzins,19),INDEX(DarlAnschluss,19))</f>
      </c>
      <c r="I9036" s="43">
        <f>IF(INDEX(DarlBelegt,19)=0,0,IF(INDEX(DarlOhneTilgung,19)=1,IF(INDEX(DarlBindung,19)="",1,$G9036),IF($J9036&gt;0.005,1,0)))</f>
      </c>
      <c r="J9036" s="43">
        <f>IF($I9035=0,0,$R9035)</f>
      </c>
      <c r="K9036" s="43">
        <f>IF($I9036=0,0,IF(INDEX(DarlOhneTilgung,19)=1,0,IF(AND(INDEX(DarlTilgStart,19)&gt;0,$E9036=INDEX(DarlTilgStart,19)),$J9036*($H9036+INDEX(DarlTilgung,19))/100/12,IF(AND($G9036=0,$G9035=1),MAX($K9035,$J9036*($H9036+1)/100/12),$K9035))))</f>
      </c>
      <c r="L9036" s="43">
        <f>IF($I9036=0,0,$J9036*$H9036/100/12)</f>
      </c>
      <c r="M9036" s="43">
        <f>IF($I9036=0,0,IF(OR(INDEX(DarlOhneTilgung,19)=1,AND(INDEX(DarlTilgStart,19)&gt;0,$E9036&lt;INDEX(DarlTilgStart,19))),0,MIN(MAX(0,$K9036-$L9036),$J9036)))</f>
      </c>
      <c r="N9036" s="43">
        <f>IF($I9036=0,0,MIN(SUMIFS(SondBetrag,SondDarl,19,SondDatum,"&gt;="&amp;$E9036,SondDatum,"&lt;="&amp;EOMONTH($E9036,0)),$J9036-$M9036))</f>
      </c>
      <c r="O9036" s="43">
        <f>IF($I9036=0,0,INDEX(DarlErsatzRate,19))</f>
      </c>
      <c r="P9036" s="43">
        <f>IF($I9036=0,0,$Q9035*INDEX(DarlErsatzZins,19))</f>
      </c>
      <c r="Q9036" s="43">
        <f>IF($I9036=0,0,$Q9035+$P9036+$O9036)</f>
      </c>
      <c r="R9036" s="43">
        <f>IF($I9036=0,0,$J9036-$M9036-$N9036)</f>
      </c>
    </row>
    <row r="9037">
      <c r="A9037"/>
      <c r="B9037">
        <v>19</v>
      </c>
      <c r="C9037" s="43">
        <f>INDEX(DarlObj,19)</f>
      </c>
      <c r="D9037">
        <v>394</v>
      </c>
      <c r="E9037" s="51">
        <f>IF(INDEX(DarlBelegt,19)=0,0,EOMONTH(INDEX(DarlAuszahlung,19),393)+1)</f>
      </c>
      <c r="F9037" s="43">
        <f>IF($E9037=0,0,YEAR($E9037))</f>
      </c>
      <c r="G9037" s="43">
        <f>IF(INDEX(DarlBindung,19)="",1,IF($E9037&lt;=INDEX(DarlBindung,19),1,0))</f>
      </c>
      <c r="H9037" s="43">
        <f>IF($G9037=1,INDEX(DarlSollzins,19),INDEX(DarlAnschluss,19))</f>
      </c>
      <c r="I9037" s="43">
        <f>IF(INDEX(DarlBelegt,19)=0,0,IF(INDEX(DarlOhneTilgung,19)=1,IF(INDEX(DarlBindung,19)="",1,$G9037),IF($J9037&gt;0.005,1,0)))</f>
      </c>
      <c r="J9037" s="43">
        <f>IF($I9036=0,0,$R9036)</f>
      </c>
      <c r="K9037" s="43">
        <f>IF($I9037=0,0,IF(INDEX(DarlOhneTilgung,19)=1,0,IF(AND(INDEX(DarlTilgStart,19)&gt;0,$E9037=INDEX(DarlTilgStart,19)),$J9037*($H9037+INDEX(DarlTilgung,19))/100/12,IF(AND($G9037=0,$G9036=1),MAX($K9036,$J9037*($H9037+1)/100/12),$K9036))))</f>
      </c>
      <c r="L9037" s="43">
        <f>IF($I9037=0,0,$J9037*$H9037/100/12)</f>
      </c>
      <c r="M9037" s="43">
        <f>IF($I9037=0,0,IF(OR(INDEX(DarlOhneTilgung,19)=1,AND(INDEX(DarlTilgStart,19)&gt;0,$E9037&lt;INDEX(DarlTilgStart,19))),0,MIN(MAX(0,$K9037-$L9037),$J9037)))</f>
      </c>
      <c r="N9037" s="43">
        <f>IF($I9037=0,0,MIN(SUMIFS(SondBetrag,SondDarl,19,SondDatum,"&gt;="&amp;$E9037,SondDatum,"&lt;="&amp;EOMONTH($E9037,0)),$J9037-$M9037))</f>
      </c>
      <c r="O9037" s="43">
        <f>IF($I9037=0,0,INDEX(DarlErsatzRate,19))</f>
      </c>
      <c r="P9037" s="43">
        <f>IF($I9037=0,0,$Q9036*INDEX(DarlErsatzZins,19))</f>
      </c>
      <c r="Q9037" s="43">
        <f>IF($I9037=0,0,$Q9036+$P9037+$O9037)</f>
      </c>
      <c r="R9037" s="43">
        <f>IF($I9037=0,0,$J9037-$M9037-$N9037)</f>
      </c>
    </row>
    <row r="9038">
      <c r="A9038"/>
      <c r="B9038">
        <v>19</v>
      </c>
      <c r="C9038" s="43">
        <f>INDEX(DarlObj,19)</f>
      </c>
      <c r="D9038">
        <v>395</v>
      </c>
      <c r="E9038" s="51">
        <f>IF(INDEX(DarlBelegt,19)=0,0,EOMONTH(INDEX(DarlAuszahlung,19),394)+1)</f>
      </c>
      <c r="F9038" s="43">
        <f>IF($E9038=0,0,YEAR($E9038))</f>
      </c>
      <c r="G9038" s="43">
        <f>IF(INDEX(DarlBindung,19)="",1,IF($E9038&lt;=INDEX(DarlBindung,19),1,0))</f>
      </c>
      <c r="H9038" s="43">
        <f>IF($G9038=1,INDEX(DarlSollzins,19),INDEX(DarlAnschluss,19))</f>
      </c>
      <c r="I9038" s="43">
        <f>IF(INDEX(DarlBelegt,19)=0,0,IF(INDEX(DarlOhneTilgung,19)=1,IF(INDEX(DarlBindung,19)="",1,$G9038),IF($J9038&gt;0.005,1,0)))</f>
      </c>
      <c r="J9038" s="43">
        <f>IF($I9037=0,0,$R9037)</f>
      </c>
      <c r="K9038" s="43">
        <f>IF($I9038=0,0,IF(INDEX(DarlOhneTilgung,19)=1,0,IF(AND(INDEX(DarlTilgStart,19)&gt;0,$E9038=INDEX(DarlTilgStart,19)),$J9038*($H9038+INDEX(DarlTilgung,19))/100/12,IF(AND($G9038=0,$G9037=1),MAX($K9037,$J9038*($H9038+1)/100/12),$K9037))))</f>
      </c>
      <c r="L9038" s="43">
        <f>IF($I9038=0,0,$J9038*$H9038/100/12)</f>
      </c>
      <c r="M9038" s="43">
        <f>IF($I9038=0,0,IF(OR(INDEX(DarlOhneTilgung,19)=1,AND(INDEX(DarlTilgStart,19)&gt;0,$E9038&lt;INDEX(DarlTilgStart,19))),0,MIN(MAX(0,$K9038-$L9038),$J9038)))</f>
      </c>
      <c r="N9038" s="43">
        <f>IF($I9038=0,0,MIN(SUMIFS(SondBetrag,SondDarl,19,SondDatum,"&gt;="&amp;$E9038,SondDatum,"&lt;="&amp;EOMONTH($E9038,0)),$J9038-$M9038))</f>
      </c>
      <c r="O9038" s="43">
        <f>IF($I9038=0,0,INDEX(DarlErsatzRate,19))</f>
      </c>
      <c r="P9038" s="43">
        <f>IF($I9038=0,0,$Q9037*INDEX(DarlErsatzZins,19))</f>
      </c>
      <c r="Q9038" s="43">
        <f>IF($I9038=0,0,$Q9037+$P9038+$O9038)</f>
      </c>
      <c r="R9038" s="43">
        <f>IF($I9038=0,0,$J9038-$M9038-$N9038)</f>
      </c>
    </row>
    <row r="9039">
      <c r="A9039"/>
      <c r="B9039">
        <v>19</v>
      </c>
      <c r="C9039" s="43">
        <f>INDEX(DarlObj,19)</f>
      </c>
      <c r="D9039">
        <v>396</v>
      </c>
      <c r="E9039" s="51">
        <f>IF(INDEX(DarlBelegt,19)=0,0,EOMONTH(INDEX(DarlAuszahlung,19),395)+1)</f>
      </c>
      <c r="F9039" s="43">
        <f>IF($E9039=0,0,YEAR($E9039))</f>
      </c>
      <c r="G9039" s="43">
        <f>IF(INDEX(DarlBindung,19)="",1,IF($E9039&lt;=INDEX(DarlBindung,19),1,0))</f>
      </c>
      <c r="H9039" s="43">
        <f>IF($G9039=1,INDEX(DarlSollzins,19),INDEX(DarlAnschluss,19))</f>
      </c>
      <c r="I9039" s="43">
        <f>IF(INDEX(DarlBelegt,19)=0,0,IF(INDEX(DarlOhneTilgung,19)=1,IF(INDEX(DarlBindung,19)="",1,$G9039),IF($J9039&gt;0.005,1,0)))</f>
      </c>
      <c r="J9039" s="43">
        <f>IF($I9038=0,0,$R9038)</f>
      </c>
      <c r="K9039" s="43">
        <f>IF($I9039=0,0,IF(INDEX(DarlOhneTilgung,19)=1,0,IF(AND(INDEX(DarlTilgStart,19)&gt;0,$E9039=INDEX(DarlTilgStart,19)),$J9039*($H9039+INDEX(DarlTilgung,19))/100/12,IF(AND($G9039=0,$G9038=1),MAX($K9038,$J9039*($H9039+1)/100/12),$K9038))))</f>
      </c>
      <c r="L9039" s="43">
        <f>IF($I9039=0,0,$J9039*$H9039/100/12)</f>
      </c>
      <c r="M9039" s="43">
        <f>IF($I9039=0,0,IF(OR(INDEX(DarlOhneTilgung,19)=1,AND(INDEX(DarlTilgStart,19)&gt;0,$E9039&lt;INDEX(DarlTilgStart,19))),0,MIN(MAX(0,$K9039-$L9039),$J9039)))</f>
      </c>
      <c r="N9039" s="43">
        <f>IF($I9039=0,0,MIN(SUMIFS(SondBetrag,SondDarl,19,SondDatum,"&gt;="&amp;$E9039,SondDatum,"&lt;="&amp;EOMONTH($E9039,0)),$J9039-$M9039))</f>
      </c>
      <c r="O9039" s="43">
        <f>IF($I9039=0,0,INDEX(DarlErsatzRate,19))</f>
      </c>
      <c r="P9039" s="43">
        <f>IF($I9039=0,0,$Q9038*INDEX(DarlErsatzZins,19))</f>
      </c>
      <c r="Q9039" s="43">
        <f>IF($I9039=0,0,$Q9038+$P9039+$O9039)</f>
      </c>
      <c r="R9039" s="43">
        <f>IF($I9039=0,0,$J9039-$M9039-$N9039)</f>
      </c>
    </row>
    <row r="9040">
      <c r="A9040"/>
      <c r="B9040">
        <v>19</v>
      </c>
      <c r="C9040" s="43">
        <f>INDEX(DarlObj,19)</f>
      </c>
      <c r="D9040">
        <v>397</v>
      </c>
      <c r="E9040" s="51">
        <f>IF(INDEX(DarlBelegt,19)=0,0,EOMONTH(INDEX(DarlAuszahlung,19),396)+1)</f>
      </c>
      <c r="F9040" s="43">
        <f>IF($E9040=0,0,YEAR($E9040))</f>
      </c>
      <c r="G9040" s="43">
        <f>IF(INDEX(DarlBindung,19)="",1,IF($E9040&lt;=INDEX(DarlBindung,19),1,0))</f>
      </c>
      <c r="H9040" s="43">
        <f>IF($G9040=1,INDEX(DarlSollzins,19),INDEX(DarlAnschluss,19))</f>
      </c>
      <c r="I9040" s="43">
        <f>IF(INDEX(DarlBelegt,19)=0,0,IF(INDEX(DarlOhneTilgung,19)=1,IF(INDEX(DarlBindung,19)="",1,$G9040),IF($J9040&gt;0.005,1,0)))</f>
      </c>
      <c r="J9040" s="43">
        <f>IF($I9039=0,0,$R9039)</f>
      </c>
      <c r="K9040" s="43">
        <f>IF($I9040=0,0,IF(INDEX(DarlOhneTilgung,19)=1,0,IF(AND(INDEX(DarlTilgStart,19)&gt;0,$E9040=INDEX(DarlTilgStart,19)),$J9040*($H9040+INDEX(DarlTilgung,19))/100/12,IF(AND($G9040=0,$G9039=1),MAX($K9039,$J9040*($H9040+1)/100/12),$K9039))))</f>
      </c>
      <c r="L9040" s="43">
        <f>IF($I9040=0,0,$J9040*$H9040/100/12)</f>
      </c>
      <c r="M9040" s="43">
        <f>IF($I9040=0,0,IF(OR(INDEX(DarlOhneTilgung,19)=1,AND(INDEX(DarlTilgStart,19)&gt;0,$E9040&lt;INDEX(DarlTilgStart,19))),0,MIN(MAX(0,$K9040-$L9040),$J9040)))</f>
      </c>
      <c r="N9040" s="43">
        <f>IF($I9040=0,0,MIN(SUMIFS(SondBetrag,SondDarl,19,SondDatum,"&gt;="&amp;$E9040,SondDatum,"&lt;="&amp;EOMONTH($E9040,0)),$J9040-$M9040))</f>
      </c>
      <c r="O9040" s="43">
        <f>IF($I9040=0,0,INDEX(DarlErsatzRate,19))</f>
      </c>
      <c r="P9040" s="43">
        <f>IF($I9040=0,0,$Q9039*INDEX(DarlErsatzZins,19))</f>
      </c>
      <c r="Q9040" s="43">
        <f>IF($I9040=0,0,$Q9039+$P9040+$O9040)</f>
      </c>
      <c r="R9040" s="43">
        <f>IF($I9040=0,0,$J9040-$M9040-$N9040)</f>
      </c>
    </row>
    <row r="9041">
      <c r="A9041"/>
      <c r="B9041">
        <v>19</v>
      </c>
      <c r="C9041" s="43">
        <f>INDEX(DarlObj,19)</f>
      </c>
      <c r="D9041">
        <v>398</v>
      </c>
      <c r="E9041" s="51">
        <f>IF(INDEX(DarlBelegt,19)=0,0,EOMONTH(INDEX(DarlAuszahlung,19),397)+1)</f>
      </c>
      <c r="F9041" s="43">
        <f>IF($E9041=0,0,YEAR($E9041))</f>
      </c>
      <c r="G9041" s="43">
        <f>IF(INDEX(DarlBindung,19)="",1,IF($E9041&lt;=INDEX(DarlBindung,19),1,0))</f>
      </c>
      <c r="H9041" s="43">
        <f>IF($G9041=1,INDEX(DarlSollzins,19),INDEX(DarlAnschluss,19))</f>
      </c>
      <c r="I9041" s="43">
        <f>IF(INDEX(DarlBelegt,19)=0,0,IF(INDEX(DarlOhneTilgung,19)=1,IF(INDEX(DarlBindung,19)="",1,$G9041),IF($J9041&gt;0.005,1,0)))</f>
      </c>
      <c r="J9041" s="43">
        <f>IF($I9040=0,0,$R9040)</f>
      </c>
      <c r="K9041" s="43">
        <f>IF($I9041=0,0,IF(INDEX(DarlOhneTilgung,19)=1,0,IF(AND(INDEX(DarlTilgStart,19)&gt;0,$E9041=INDEX(DarlTilgStart,19)),$J9041*($H9041+INDEX(DarlTilgung,19))/100/12,IF(AND($G9041=0,$G9040=1),MAX($K9040,$J9041*($H9041+1)/100/12),$K9040))))</f>
      </c>
      <c r="L9041" s="43">
        <f>IF($I9041=0,0,$J9041*$H9041/100/12)</f>
      </c>
      <c r="M9041" s="43">
        <f>IF($I9041=0,0,IF(OR(INDEX(DarlOhneTilgung,19)=1,AND(INDEX(DarlTilgStart,19)&gt;0,$E9041&lt;INDEX(DarlTilgStart,19))),0,MIN(MAX(0,$K9041-$L9041),$J9041)))</f>
      </c>
      <c r="N9041" s="43">
        <f>IF($I9041=0,0,MIN(SUMIFS(SondBetrag,SondDarl,19,SondDatum,"&gt;="&amp;$E9041,SondDatum,"&lt;="&amp;EOMONTH($E9041,0)),$J9041-$M9041))</f>
      </c>
      <c r="O9041" s="43">
        <f>IF($I9041=0,0,INDEX(DarlErsatzRate,19))</f>
      </c>
      <c r="P9041" s="43">
        <f>IF($I9041=0,0,$Q9040*INDEX(DarlErsatzZins,19))</f>
      </c>
      <c r="Q9041" s="43">
        <f>IF($I9041=0,0,$Q9040+$P9041+$O9041)</f>
      </c>
      <c r="R9041" s="43">
        <f>IF($I9041=0,0,$J9041-$M9041-$N9041)</f>
      </c>
    </row>
    <row r="9042">
      <c r="A9042"/>
      <c r="B9042">
        <v>19</v>
      </c>
      <c r="C9042" s="43">
        <f>INDEX(DarlObj,19)</f>
      </c>
      <c r="D9042">
        <v>399</v>
      </c>
      <c r="E9042" s="51">
        <f>IF(INDEX(DarlBelegt,19)=0,0,EOMONTH(INDEX(DarlAuszahlung,19),398)+1)</f>
      </c>
      <c r="F9042" s="43">
        <f>IF($E9042=0,0,YEAR($E9042))</f>
      </c>
      <c r="G9042" s="43">
        <f>IF(INDEX(DarlBindung,19)="",1,IF($E9042&lt;=INDEX(DarlBindung,19),1,0))</f>
      </c>
      <c r="H9042" s="43">
        <f>IF($G9042=1,INDEX(DarlSollzins,19),INDEX(DarlAnschluss,19))</f>
      </c>
      <c r="I9042" s="43">
        <f>IF(INDEX(DarlBelegt,19)=0,0,IF(INDEX(DarlOhneTilgung,19)=1,IF(INDEX(DarlBindung,19)="",1,$G9042),IF($J9042&gt;0.005,1,0)))</f>
      </c>
      <c r="J9042" s="43">
        <f>IF($I9041=0,0,$R9041)</f>
      </c>
      <c r="K9042" s="43">
        <f>IF($I9042=0,0,IF(INDEX(DarlOhneTilgung,19)=1,0,IF(AND(INDEX(DarlTilgStart,19)&gt;0,$E9042=INDEX(DarlTilgStart,19)),$J9042*($H9042+INDEX(DarlTilgung,19))/100/12,IF(AND($G9042=0,$G9041=1),MAX($K9041,$J9042*($H9042+1)/100/12),$K9041))))</f>
      </c>
      <c r="L9042" s="43">
        <f>IF($I9042=0,0,$J9042*$H9042/100/12)</f>
      </c>
      <c r="M9042" s="43">
        <f>IF($I9042=0,0,IF(OR(INDEX(DarlOhneTilgung,19)=1,AND(INDEX(DarlTilgStart,19)&gt;0,$E9042&lt;INDEX(DarlTilgStart,19))),0,MIN(MAX(0,$K9042-$L9042),$J9042)))</f>
      </c>
      <c r="N9042" s="43">
        <f>IF($I9042=0,0,MIN(SUMIFS(SondBetrag,SondDarl,19,SondDatum,"&gt;="&amp;$E9042,SondDatum,"&lt;="&amp;EOMONTH($E9042,0)),$J9042-$M9042))</f>
      </c>
      <c r="O9042" s="43">
        <f>IF($I9042=0,0,INDEX(DarlErsatzRate,19))</f>
      </c>
      <c r="P9042" s="43">
        <f>IF($I9042=0,0,$Q9041*INDEX(DarlErsatzZins,19))</f>
      </c>
      <c r="Q9042" s="43">
        <f>IF($I9042=0,0,$Q9041+$P9042+$O9042)</f>
      </c>
      <c r="R9042" s="43">
        <f>IF($I9042=0,0,$J9042-$M9042-$N9042)</f>
      </c>
    </row>
    <row r="9043">
      <c r="A9043"/>
      <c r="B9043">
        <v>19</v>
      </c>
      <c r="C9043" s="43">
        <f>INDEX(DarlObj,19)</f>
      </c>
      <c r="D9043">
        <v>400</v>
      </c>
      <c r="E9043" s="51">
        <f>IF(INDEX(DarlBelegt,19)=0,0,EOMONTH(INDEX(DarlAuszahlung,19),399)+1)</f>
      </c>
      <c r="F9043" s="43">
        <f>IF($E9043=0,0,YEAR($E9043))</f>
      </c>
      <c r="G9043" s="43">
        <f>IF(INDEX(DarlBindung,19)="",1,IF($E9043&lt;=INDEX(DarlBindung,19),1,0))</f>
      </c>
      <c r="H9043" s="43">
        <f>IF($G9043=1,INDEX(DarlSollzins,19),INDEX(DarlAnschluss,19))</f>
      </c>
      <c r="I9043" s="43">
        <f>IF(INDEX(DarlBelegt,19)=0,0,IF(INDEX(DarlOhneTilgung,19)=1,IF(INDEX(DarlBindung,19)="",1,$G9043),IF($J9043&gt;0.005,1,0)))</f>
      </c>
      <c r="J9043" s="43">
        <f>IF($I9042=0,0,$R9042)</f>
      </c>
      <c r="K9043" s="43">
        <f>IF($I9043=0,0,IF(INDEX(DarlOhneTilgung,19)=1,0,IF(AND(INDEX(DarlTilgStart,19)&gt;0,$E9043=INDEX(DarlTilgStart,19)),$J9043*($H9043+INDEX(DarlTilgung,19))/100/12,IF(AND($G9043=0,$G9042=1),MAX($K9042,$J9043*($H9043+1)/100/12),$K9042))))</f>
      </c>
      <c r="L9043" s="43">
        <f>IF($I9043=0,0,$J9043*$H9043/100/12)</f>
      </c>
      <c r="M9043" s="43">
        <f>IF($I9043=0,0,IF(OR(INDEX(DarlOhneTilgung,19)=1,AND(INDEX(DarlTilgStart,19)&gt;0,$E9043&lt;INDEX(DarlTilgStart,19))),0,MIN(MAX(0,$K9043-$L9043),$J9043)))</f>
      </c>
      <c r="N9043" s="43">
        <f>IF($I9043=0,0,MIN(SUMIFS(SondBetrag,SondDarl,19,SondDatum,"&gt;="&amp;$E9043,SondDatum,"&lt;="&amp;EOMONTH($E9043,0)),$J9043-$M9043))</f>
      </c>
      <c r="O9043" s="43">
        <f>IF($I9043=0,0,INDEX(DarlErsatzRate,19))</f>
      </c>
      <c r="P9043" s="43">
        <f>IF($I9043=0,0,$Q9042*INDEX(DarlErsatzZins,19))</f>
      </c>
      <c r="Q9043" s="43">
        <f>IF($I9043=0,0,$Q9042+$P9043+$O9043)</f>
      </c>
      <c r="R9043" s="43">
        <f>IF($I9043=0,0,$J9043-$M9043-$N9043)</f>
      </c>
    </row>
    <row r="9044">
      <c r="A9044"/>
      <c r="B9044">
        <v>19</v>
      </c>
      <c r="C9044" s="43">
        <f>INDEX(DarlObj,19)</f>
      </c>
      <c r="D9044">
        <v>401</v>
      </c>
      <c r="E9044" s="51">
        <f>IF(INDEX(DarlBelegt,19)=0,0,EOMONTH(INDEX(DarlAuszahlung,19),400)+1)</f>
      </c>
      <c r="F9044" s="43">
        <f>IF($E9044=0,0,YEAR($E9044))</f>
      </c>
      <c r="G9044" s="43">
        <f>IF(INDEX(DarlBindung,19)="",1,IF($E9044&lt;=INDEX(DarlBindung,19),1,0))</f>
      </c>
      <c r="H9044" s="43">
        <f>IF($G9044=1,INDEX(DarlSollzins,19),INDEX(DarlAnschluss,19))</f>
      </c>
      <c r="I9044" s="43">
        <f>IF(INDEX(DarlBelegt,19)=0,0,IF(INDEX(DarlOhneTilgung,19)=1,IF(INDEX(DarlBindung,19)="",1,$G9044),IF($J9044&gt;0.005,1,0)))</f>
      </c>
      <c r="J9044" s="43">
        <f>IF($I9043=0,0,$R9043)</f>
      </c>
      <c r="K9044" s="43">
        <f>IF($I9044=0,0,IF(INDEX(DarlOhneTilgung,19)=1,0,IF(AND(INDEX(DarlTilgStart,19)&gt;0,$E9044=INDEX(DarlTilgStart,19)),$J9044*($H9044+INDEX(DarlTilgung,19))/100/12,IF(AND($G9044=0,$G9043=1),MAX($K9043,$J9044*($H9044+1)/100/12),$K9043))))</f>
      </c>
      <c r="L9044" s="43">
        <f>IF($I9044=0,0,$J9044*$H9044/100/12)</f>
      </c>
      <c r="M9044" s="43">
        <f>IF($I9044=0,0,IF(OR(INDEX(DarlOhneTilgung,19)=1,AND(INDEX(DarlTilgStart,19)&gt;0,$E9044&lt;INDEX(DarlTilgStart,19))),0,MIN(MAX(0,$K9044-$L9044),$J9044)))</f>
      </c>
      <c r="N9044" s="43">
        <f>IF($I9044=0,0,MIN(SUMIFS(SondBetrag,SondDarl,19,SondDatum,"&gt;="&amp;$E9044,SondDatum,"&lt;="&amp;EOMONTH($E9044,0)),$J9044-$M9044))</f>
      </c>
      <c r="O9044" s="43">
        <f>IF($I9044=0,0,INDEX(DarlErsatzRate,19))</f>
      </c>
      <c r="P9044" s="43">
        <f>IF($I9044=0,0,$Q9043*INDEX(DarlErsatzZins,19))</f>
      </c>
      <c r="Q9044" s="43">
        <f>IF($I9044=0,0,$Q9043+$P9044+$O9044)</f>
      </c>
      <c r="R9044" s="43">
        <f>IF($I9044=0,0,$J9044-$M9044-$N9044)</f>
      </c>
    </row>
    <row r="9045">
      <c r="A9045"/>
      <c r="B9045">
        <v>19</v>
      </c>
      <c r="C9045" s="43">
        <f>INDEX(DarlObj,19)</f>
      </c>
      <c r="D9045">
        <v>402</v>
      </c>
      <c r="E9045" s="51">
        <f>IF(INDEX(DarlBelegt,19)=0,0,EOMONTH(INDEX(DarlAuszahlung,19),401)+1)</f>
      </c>
      <c r="F9045" s="43">
        <f>IF($E9045=0,0,YEAR($E9045))</f>
      </c>
      <c r="G9045" s="43">
        <f>IF(INDEX(DarlBindung,19)="",1,IF($E9045&lt;=INDEX(DarlBindung,19),1,0))</f>
      </c>
      <c r="H9045" s="43">
        <f>IF($G9045=1,INDEX(DarlSollzins,19),INDEX(DarlAnschluss,19))</f>
      </c>
      <c r="I9045" s="43">
        <f>IF(INDEX(DarlBelegt,19)=0,0,IF(INDEX(DarlOhneTilgung,19)=1,IF(INDEX(DarlBindung,19)="",1,$G9045),IF($J9045&gt;0.005,1,0)))</f>
      </c>
      <c r="J9045" s="43">
        <f>IF($I9044=0,0,$R9044)</f>
      </c>
      <c r="K9045" s="43">
        <f>IF($I9045=0,0,IF(INDEX(DarlOhneTilgung,19)=1,0,IF(AND(INDEX(DarlTilgStart,19)&gt;0,$E9045=INDEX(DarlTilgStart,19)),$J9045*($H9045+INDEX(DarlTilgung,19))/100/12,IF(AND($G9045=0,$G9044=1),MAX($K9044,$J9045*($H9045+1)/100/12),$K9044))))</f>
      </c>
      <c r="L9045" s="43">
        <f>IF($I9045=0,0,$J9045*$H9045/100/12)</f>
      </c>
      <c r="M9045" s="43">
        <f>IF($I9045=0,0,IF(OR(INDEX(DarlOhneTilgung,19)=1,AND(INDEX(DarlTilgStart,19)&gt;0,$E9045&lt;INDEX(DarlTilgStart,19))),0,MIN(MAX(0,$K9045-$L9045),$J9045)))</f>
      </c>
      <c r="N9045" s="43">
        <f>IF($I9045=0,0,MIN(SUMIFS(SondBetrag,SondDarl,19,SondDatum,"&gt;="&amp;$E9045,SondDatum,"&lt;="&amp;EOMONTH($E9045,0)),$J9045-$M9045))</f>
      </c>
      <c r="O9045" s="43">
        <f>IF($I9045=0,0,INDEX(DarlErsatzRate,19))</f>
      </c>
      <c r="P9045" s="43">
        <f>IF($I9045=0,0,$Q9044*INDEX(DarlErsatzZins,19))</f>
      </c>
      <c r="Q9045" s="43">
        <f>IF($I9045=0,0,$Q9044+$P9045+$O9045)</f>
      </c>
      <c r="R9045" s="43">
        <f>IF($I9045=0,0,$J9045-$M9045-$N9045)</f>
      </c>
    </row>
    <row r="9046">
      <c r="A9046"/>
      <c r="B9046">
        <v>19</v>
      </c>
      <c r="C9046" s="43">
        <f>INDEX(DarlObj,19)</f>
      </c>
      <c r="D9046">
        <v>403</v>
      </c>
      <c r="E9046" s="51">
        <f>IF(INDEX(DarlBelegt,19)=0,0,EOMONTH(INDEX(DarlAuszahlung,19),402)+1)</f>
      </c>
      <c r="F9046" s="43">
        <f>IF($E9046=0,0,YEAR($E9046))</f>
      </c>
      <c r="G9046" s="43">
        <f>IF(INDEX(DarlBindung,19)="",1,IF($E9046&lt;=INDEX(DarlBindung,19),1,0))</f>
      </c>
      <c r="H9046" s="43">
        <f>IF($G9046=1,INDEX(DarlSollzins,19),INDEX(DarlAnschluss,19))</f>
      </c>
      <c r="I9046" s="43">
        <f>IF(INDEX(DarlBelegt,19)=0,0,IF(INDEX(DarlOhneTilgung,19)=1,IF(INDEX(DarlBindung,19)="",1,$G9046),IF($J9046&gt;0.005,1,0)))</f>
      </c>
      <c r="J9046" s="43">
        <f>IF($I9045=0,0,$R9045)</f>
      </c>
      <c r="K9046" s="43">
        <f>IF($I9046=0,0,IF(INDEX(DarlOhneTilgung,19)=1,0,IF(AND(INDEX(DarlTilgStart,19)&gt;0,$E9046=INDEX(DarlTilgStart,19)),$J9046*($H9046+INDEX(DarlTilgung,19))/100/12,IF(AND($G9046=0,$G9045=1),MAX($K9045,$J9046*($H9046+1)/100/12),$K9045))))</f>
      </c>
      <c r="L9046" s="43">
        <f>IF($I9046=0,0,$J9046*$H9046/100/12)</f>
      </c>
      <c r="M9046" s="43">
        <f>IF($I9046=0,0,IF(OR(INDEX(DarlOhneTilgung,19)=1,AND(INDEX(DarlTilgStart,19)&gt;0,$E9046&lt;INDEX(DarlTilgStart,19))),0,MIN(MAX(0,$K9046-$L9046),$J9046)))</f>
      </c>
      <c r="N9046" s="43">
        <f>IF($I9046=0,0,MIN(SUMIFS(SondBetrag,SondDarl,19,SondDatum,"&gt;="&amp;$E9046,SondDatum,"&lt;="&amp;EOMONTH($E9046,0)),$J9046-$M9046))</f>
      </c>
      <c r="O9046" s="43">
        <f>IF($I9046=0,0,INDEX(DarlErsatzRate,19))</f>
      </c>
      <c r="P9046" s="43">
        <f>IF($I9046=0,0,$Q9045*INDEX(DarlErsatzZins,19))</f>
      </c>
      <c r="Q9046" s="43">
        <f>IF($I9046=0,0,$Q9045+$P9046+$O9046)</f>
      </c>
      <c r="R9046" s="43">
        <f>IF($I9046=0,0,$J9046-$M9046-$N9046)</f>
      </c>
    </row>
    <row r="9047">
      <c r="A9047"/>
      <c r="B9047">
        <v>19</v>
      </c>
      <c r="C9047" s="43">
        <f>INDEX(DarlObj,19)</f>
      </c>
      <c r="D9047">
        <v>404</v>
      </c>
      <c r="E9047" s="51">
        <f>IF(INDEX(DarlBelegt,19)=0,0,EOMONTH(INDEX(DarlAuszahlung,19),403)+1)</f>
      </c>
      <c r="F9047" s="43">
        <f>IF($E9047=0,0,YEAR($E9047))</f>
      </c>
      <c r="G9047" s="43">
        <f>IF(INDEX(DarlBindung,19)="",1,IF($E9047&lt;=INDEX(DarlBindung,19),1,0))</f>
      </c>
      <c r="H9047" s="43">
        <f>IF($G9047=1,INDEX(DarlSollzins,19),INDEX(DarlAnschluss,19))</f>
      </c>
      <c r="I9047" s="43">
        <f>IF(INDEX(DarlBelegt,19)=0,0,IF(INDEX(DarlOhneTilgung,19)=1,IF(INDEX(DarlBindung,19)="",1,$G9047),IF($J9047&gt;0.005,1,0)))</f>
      </c>
      <c r="J9047" s="43">
        <f>IF($I9046=0,0,$R9046)</f>
      </c>
      <c r="K9047" s="43">
        <f>IF($I9047=0,0,IF(INDEX(DarlOhneTilgung,19)=1,0,IF(AND(INDEX(DarlTilgStart,19)&gt;0,$E9047=INDEX(DarlTilgStart,19)),$J9047*($H9047+INDEX(DarlTilgung,19))/100/12,IF(AND($G9047=0,$G9046=1),MAX($K9046,$J9047*($H9047+1)/100/12),$K9046))))</f>
      </c>
      <c r="L9047" s="43">
        <f>IF($I9047=0,0,$J9047*$H9047/100/12)</f>
      </c>
      <c r="M9047" s="43">
        <f>IF($I9047=0,0,IF(OR(INDEX(DarlOhneTilgung,19)=1,AND(INDEX(DarlTilgStart,19)&gt;0,$E9047&lt;INDEX(DarlTilgStart,19))),0,MIN(MAX(0,$K9047-$L9047),$J9047)))</f>
      </c>
      <c r="N9047" s="43">
        <f>IF($I9047=0,0,MIN(SUMIFS(SondBetrag,SondDarl,19,SondDatum,"&gt;="&amp;$E9047,SondDatum,"&lt;="&amp;EOMONTH($E9047,0)),$J9047-$M9047))</f>
      </c>
      <c r="O9047" s="43">
        <f>IF($I9047=0,0,INDEX(DarlErsatzRate,19))</f>
      </c>
      <c r="P9047" s="43">
        <f>IF($I9047=0,0,$Q9046*INDEX(DarlErsatzZins,19))</f>
      </c>
      <c r="Q9047" s="43">
        <f>IF($I9047=0,0,$Q9046+$P9047+$O9047)</f>
      </c>
      <c r="R9047" s="43">
        <f>IF($I9047=0,0,$J9047-$M9047-$N9047)</f>
      </c>
    </row>
    <row r="9048">
      <c r="A9048"/>
      <c r="B9048">
        <v>19</v>
      </c>
      <c r="C9048" s="43">
        <f>INDEX(DarlObj,19)</f>
      </c>
      <c r="D9048">
        <v>405</v>
      </c>
      <c r="E9048" s="51">
        <f>IF(INDEX(DarlBelegt,19)=0,0,EOMONTH(INDEX(DarlAuszahlung,19),404)+1)</f>
      </c>
      <c r="F9048" s="43">
        <f>IF($E9048=0,0,YEAR($E9048))</f>
      </c>
      <c r="G9048" s="43">
        <f>IF(INDEX(DarlBindung,19)="",1,IF($E9048&lt;=INDEX(DarlBindung,19),1,0))</f>
      </c>
      <c r="H9048" s="43">
        <f>IF($G9048=1,INDEX(DarlSollzins,19),INDEX(DarlAnschluss,19))</f>
      </c>
      <c r="I9048" s="43">
        <f>IF(INDEX(DarlBelegt,19)=0,0,IF(INDEX(DarlOhneTilgung,19)=1,IF(INDEX(DarlBindung,19)="",1,$G9048),IF($J9048&gt;0.005,1,0)))</f>
      </c>
      <c r="J9048" s="43">
        <f>IF($I9047=0,0,$R9047)</f>
      </c>
      <c r="K9048" s="43">
        <f>IF($I9048=0,0,IF(INDEX(DarlOhneTilgung,19)=1,0,IF(AND(INDEX(DarlTilgStart,19)&gt;0,$E9048=INDEX(DarlTilgStart,19)),$J9048*($H9048+INDEX(DarlTilgung,19))/100/12,IF(AND($G9048=0,$G9047=1),MAX($K9047,$J9048*($H9048+1)/100/12),$K9047))))</f>
      </c>
      <c r="L9048" s="43">
        <f>IF($I9048=0,0,$J9048*$H9048/100/12)</f>
      </c>
      <c r="M9048" s="43">
        <f>IF($I9048=0,0,IF(OR(INDEX(DarlOhneTilgung,19)=1,AND(INDEX(DarlTilgStart,19)&gt;0,$E9048&lt;INDEX(DarlTilgStart,19))),0,MIN(MAX(0,$K9048-$L9048),$J9048)))</f>
      </c>
      <c r="N9048" s="43">
        <f>IF($I9048=0,0,MIN(SUMIFS(SondBetrag,SondDarl,19,SondDatum,"&gt;="&amp;$E9048,SondDatum,"&lt;="&amp;EOMONTH($E9048,0)),$J9048-$M9048))</f>
      </c>
      <c r="O9048" s="43">
        <f>IF($I9048=0,0,INDEX(DarlErsatzRate,19))</f>
      </c>
      <c r="P9048" s="43">
        <f>IF($I9048=0,0,$Q9047*INDEX(DarlErsatzZins,19))</f>
      </c>
      <c r="Q9048" s="43">
        <f>IF($I9048=0,0,$Q9047+$P9048+$O9048)</f>
      </c>
      <c r="R9048" s="43">
        <f>IF($I9048=0,0,$J9048-$M9048-$N9048)</f>
      </c>
    </row>
    <row r="9049">
      <c r="A9049"/>
      <c r="B9049">
        <v>19</v>
      </c>
      <c r="C9049" s="43">
        <f>INDEX(DarlObj,19)</f>
      </c>
      <c r="D9049">
        <v>406</v>
      </c>
      <c r="E9049" s="51">
        <f>IF(INDEX(DarlBelegt,19)=0,0,EOMONTH(INDEX(DarlAuszahlung,19),405)+1)</f>
      </c>
      <c r="F9049" s="43">
        <f>IF($E9049=0,0,YEAR($E9049))</f>
      </c>
      <c r="G9049" s="43">
        <f>IF(INDEX(DarlBindung,19)="",1,IF($E9049&lt;=INDEX(DarlBindung,19),1,0))</f>
      </c>
      <c r="H9049" s="43">
        <f>IF($G9049=1,INDEX(DarlSollzins,19),INDEX(DarlAnschluss,19))</f>
      </c>
      <c r="I9049" s="43">
        <f>IF(INDEX(DarlBelegt,19)=0,0,IF(INDEX(DarlOhneTilgung,19)=1,IF(INDEX(DarlBindung,19)="",1,$G9049),IF($J9049&gt;0.005,1,0)))</f>
      </c>
      <c r="J9049" s="43">
        <f>IF($I9048=0,0,$R9048)</f>
      </c>
      <c r="K9049" s="43">
        <f>IF($I9049=0,0,IF(INDEX(DarlOhneTilgung,19)=1,0,IF(AND(INDEX(DarlTilgStart,19)&gt;0,$E9049=INDEX(DarlTilgStart,19)),$J9049*($H9049+INDEX(DarlTilgung,19))/100/12,IF(AND($G9049=0,$G9048=1),MAX($K9048,$J9049*($H9049+1)/100/12),$K9048))))</f>
      </c>
      <c r="L9049" s="43">
        <f>IF($I9049=0,0,$J9049*$H9049/100/12)</f>
      </c>
      <c r="M9049" s="43">
        <f>IF($I9049=0,0,IF(OR(INDEX(DarlOhneTilgung,19)=1,AND(INDEX(DarlTilgStart,19)&gt;0,$E9049&lt;INDEX(DarlTilgStart,19))),0,MIN(MAX(0,$K9049-$L9049),$J9049)))</f>
      </c>
      <c r="N9049" s="43">
        <f>IF($I9049=0,0,MIN(SUMIFS(SondBetrag,SondDarl,19,SondDatum,"&gt;="&amp;$E9049,SondDatum,"&lt;="&amp;EOMONTH($E9049,0)),$J9049-$M9049))</f>
      </c>
      <c r="O9049" s="43">
        <f>IF($I9049=0,0,INDEX(DarlErsatzRate,19))</f>
      </c>
      <c r="P9049" s="43">
        <f>IF($I9049=0,0,$Q9048*INDEX(DarlErsatzZins,19))</f>
      </c>
      <c r="Q9049" s="43">
        <f>IF($I9049=0,0,$Q9048+$P9049+$O9049)</f>
      </c>
      <c r="R9049" s="43">
        <f>IF($I9049=0,0,$J9049-$M9049-$N9049)</f>
      </c>
    </row>
    <row r="9050">
      <c r="A9050"/>
      <c r="B9050">
        <v>19</v>
      </c>
      <c r="C9050" s="43">
        <f>INDEX(DarlObj,19)</f>
      </c>
      <c r="D9050">
        <v>407</v>
      </c>
      <c r="E9050" s="51">
        <f>IF(INDEX(DarlBelegt,19)=0,0,EOMONTH(INDEX(DarlAuszahlung,19),406)+1)</f>
      </c>
      <c r="F9050" s="43">
        <f>IF($E9050=0,0,YEAR($E9050))</f>
      </c>
      <c r="G9050" s="43">
        <f>IF(INDEX(DarlBindung,19)="",1,IF($E9050&lt;=INDEX(DarlBindung,19),1,0))</f>
      </c>
      <c r="H9050" s="43">
        <f>IF($G9050=1,INDEX(DarlSollzins,19),INDEX(DarlAnschluss,19))</f>
      </c>
      <c r="I9050" s="43">
        <f>IF(INDEX(DarlBelegt,19)=0,0,IF(INDEX(DarlOhneTilgung,19)=1,IF(INDEX(DarlBindung,19)="",1,$G9050),IF($J9050&gt;0.005,1,0)))</f>
      </c>
      <c r="J9050" s="43">
        <f>IF($I9049=0,0,$R9049)</f>
      </c>
      <c r="K9050" s="43">
        <f>IF($I9050=0,0,IF(INDEX(DarlOhneTilgung,19)=1,0,IF(AND(INDEX(DarlTilgStart,19)&gt;0,$E9050=INDEX(DarlTilgStart,19)),$J9050*($H9050+INDEX(DarlTilgung,19))/100/12,IF(AND($G9050=0,$G9049=1),MAX($K9049,$J9050*($H9050+1)/100/12),$K9049))))</f>
      </c>
      <c r="L9050" s="43">
        <f>IF($I9050=0,0,$J9050*$H9050/100/12)</f>
      </c>
      <c r="M9050" s="43">
        <f>IF($I9050=0,0,IF(OR(INDEX(DarlOhneTilgung,19)=1,AND(INDEX(DarlTilgStart,19)&gt;0,$E9050&lt;INDEX(DarlTilgStart,19))),0,MIN(MAX(0,$K9050-$L9050),$J9050)))</f>
      </c>
      <c r="N9050" s="43">
        <f>IF($I9050=0,0,MIN(SUMIFS(SondBetrag,SondDarl,19,SondDatum,"&gt;="&amp;$E9050,SondDatum,"&lt;="&amp;EOMONTH($E9050,0)),$J9050-$M9050))</f>
      </c>
      <c r="O9050" s="43">
        <f>IF($I9050=0,0,INDEX(DarlErsatzRate,19))</f>
      </c>
      <c r="P9050" s="43">
        <f>IF($I9050=0,0,$Q9049*INDEX(DarlErsatzZins,19))</f>
      </c>
      <c r="Q9050" s="43">
        <f>IF($I9050=0,0,$Q9049+$P9050+$O9050)</f>
      </c>
      <c r="R9050" s="43">
        <f>IF($I9050=0,0,$J9050-$M9050-$N9050)</f>
      </c>
    </row>
    <row r="9051">
      <c r="A9051"/>
      <c r="B9051">
        <v>19</v>
      </c>
      <c r="C9051" s="43">
        <f>INDEX(DarlObj,19)</f>
      </c>
      <c r="D9051">
        <v>408</v>
      </c>
      <c r="E9051" s="51">
        <f>IF(INDEX(DarlBelegt,19)=0,0,EOMONTH(INDEX(DarlAuszahlung,19),407)+1)</f>
      </c>
      <c r="F9051" s="43">
        <f>IF($E9051=0,0,YEAR($E9051))</f>
      </c>
      <c r="G9051" s="43">
        <f>IF(INDEX(DarlBindung,19)="",1,IF($E9051&lt;=INDEX(DarlBindung,19),1,0))</f>
      </c>
      <c r="H9051" s="43">
        <f>IF($G9051=1,INDEX(DarlSollzins,19),INDEX(DarlAnschluss,19))</f>
      </c>
      <c r="I9051" s="43">
        <f>IF(INDEX(DarlBelegt,19)=0,0,IF(INDEX(DarlOhneTilgung,19)=1,IF(INDEX(DarlBindung,19)="",1,$G9051),IF($J9051&gt;0.005,1,0)))</f>
      </c>
      <c r="J9051" s="43">
        <f>IF($I9050=0,0,$R9050)</f>
      </c>
      <c r="K9051" s="43">
        <f>IF($I9051=0,0,IF(INDEX(DarlOhneTilgung,19)=1,0,IF(AND(INDEX(DarlTilgStart,19)&gt;0,$E9051=INDEX(DarlTilgStart,19)),$J9051*($H9051+INDEX(DarlTilgung,19))/100/12,IF(AND($G9051=0,$G9050=1),MAX($K9050,$J9051*($H9051+1)/100/12),$K9050))))</f>
      </c>
      <c r="L9051" s="43">
        <f>IF($I9051=0,0,$J9051*$H9051/100/12)</f>
      </c>
      <c r="M9051" s="43">
        <f>IF($I9051=0,0,IF(OR(INDEX(DarlOhneTilgung,19)=1,AND(INDEX(DarlTilgStart,19)&gt;0,$E9051&lt;INDEX(DarlTilgStart,19))),0,MIN(MAX(0,$K9051-$L9051),$J9051)))</f>
      </c>
      <c r="N9051" s="43">
        <f>IF($I9051=0,0,MIN(SUMIFS(SondBetrag,SondDarl,19,SondDatum,"&gt;="&amp;$E9051,SondDatum,"&lt;="&amp;EOMONTH($E9051,0)),$J9051-$M9051))</f>
      </c>
      <c r="O9051" s="43">
        <f>IF($I9051=0,0,INDEX(DarlErsatzRate,19))</f>
      </c>
      <c r="P9051" s="43">
        <f>IF($I9051=0,0,$Q9050*INDEX(DarlErsatzZins,19))</f>
      </c>
      <c r="Q9051" s="43">
        <f>IF($I9051=0,0,$Q9050+$P9051+$O9051)</f>
      </c>
      <c r="R9051" s="43">
        <f>IF($I9051=0,0,$J9051-$M9051-$N9051)</f>
      </c>
    </row>
    <row r="9052">
      <c r="A9052"/>
      <c r="B9052">
        <v>19</v>
      </c>
      <c r="C9052" s="43">
        <f>INDEX(DarlObj,19)</f>
      </c>
      <c r="D9052">
        <v>409</v>
      </c>
      <c r="E9052" s="51">
        <f>IF(INDEX(DarlBelegt,19)=0,0,EOMONTH(INDEX(DarlAuszahlung,19),408)+1)</f>
      </c>
      <c r="F9052" s="43">
        <f>IF($E9052=0,0,YEAR($E9052))</f>
      </c>
      <c r="G9052" s="43">
        <f>IF(INDEX(DarlBindung,19)="",1,IF($E9052&lt;=INDEX(DarlBindung,19),1,0))</f>
      </c>
      <c r="H9052" s="43">
        <f>IF($G9052=1,INDEX(DarlSollzins,19),INDEX(DarlAnschluss,19))</f>
      </c>
      <c r="I9052" s="43">
        <f>IF(INDEX(DarlBelegt,19)=0,0,IF(INDEX(DarlOhneTilgung,19)=1,IF(INDEX(DarlBindung,19)="",1,$G9052),IF($J9052&gt;0.005,1,0)))</f>
      </c>
      <c r="J9052" s="43">
        <f>IF($I9051=0,0,$R9051)</f>
      </c>
      <c r="K9052" s="43">
        <f>IF($I9052=0,0,IF(INDEX(DarlOhneTilgung,19)=1,0,IF(AND(INDEX(DarlTilgStart,19)&gt;0,$E9052=INDEX(DarlTilgStart,19)),$J9052*($H9052+INDEX(DarlTilgung,19))/100/12,IF(AND($G9052=0,$G9051=1),MAX($K9051,$J9052*($H9052+1)/100/12),$K9051))))</f>
      </c>
      <c r="L9052" s="43">
        <f>IF($I9052=0,0,$J9052*$H9052/100/12)</f>
      </c>
      <c r="M9052" s="43">
        <f>IF($I9052=0,0,IF(OR(INDEX(DarlOhneTilgung,19)=1,AND(INDEX(DarlTilgStart,19)&gt;0,$E9052&lt;INDEX(DarlTilgStart,19))),0,MIN(MAX(0,$K9052-$L9052),$J9052)))</f>
      </c>
      <c r="N9052" s="43">
        <f>IF($I9052=0,0,MIN(SUMIFS(SondBetrag,SondDarl,19,SondDatum,"&gt;="&amp;$E9052,SondDatum,"&lt;="&amp;EOMONTH($E9052,0)),$J9052-$M9052))</f>
      </c>
      <c r="O9052" s="43">
        <f>IF($I9052=0,0,INDEX(DarlErsatzRate,19))</f>
      </c>
      <c r="P9052" s="43">
        <f>IF($I9052=0,0,$Q9051*INDEX(DarlErsatzZins,19))</f>
      </c>
      <c r="Q9052" s="43">
        <f>IF($I9052=0,0,$Q9051+$P9052+$O9052)</f>
      </c>
      <c r="R9052" s="43">
        <f>IF($I9052=0,0,$J9052-$M9052-$N9052)</f>
      </c>
    </row>
    <row r="9053">
      <c r="A9053"/>
      <c r="B9053">
        <v>19</v>
      </c>
      <c r="C9053" s="43">
        <f>INDEX(DarlObj,19)</f>
      </c>
      <c r="D9053">
        <v>410</v>
      </c>
      <c r="E9053" s="51">
        <f>IF(INDEX(DarlBelegt,19)=0,0,EOMONTH(INDEX(DarlAuszahlung,19),409)+1)</f>
      </c>
      <c r="F9053" s="43">
        <f>IF($E9053=0,0,YEAR($E9053))</f>
      </c>
      <c r="G9053" s="43">
        <f>IF(INDEX(DarlBindung,19)="",1,IF($E9053&lt;=INDEX(DarlBindung,19),1,0))</f>
      </c>
      <c r="H9053" s="43">
        <f>IF($G9053=1,INDEX(DarlSollzins,19),INDEX(DarlAnschluss,19))</f>
      </c>
      <c r="I9053" s="43">
        <f>IF(INDEX(DarlBelegt,19)=0,0,IF(INDEX(DarlOhneTilgung,19)=1,IF(INDEX(DarlBindung,19)="",1,$G9053),IF($J9053&gt;0.005,1,0)))</f>
      </c>
      <c r="J9053" s="43">
        <f>IF($I9052=0,0,$R9052)</f>
      </c>
      <c r="K9053" s="43">
        <f>IF($I9053=0,0,IF(INDEX(DarlOhneTilgung,19)=1,0,IF(AND(INDEX(DarlTilgStart,19)&gt;0,$E9053=INDEX(DarlTilgStart,19)),$J9053*($H9053+INDEX(DarlTilgung,19))/100/12,IF(AND($G9053=0,$G9052=1),MAX($K9052,$J9053*($H9053+1)/100/12),$K9052))))</f>
      </c>
      <c r="L9053" s="43">
        <f>IF($I9053=0,0,$J9053*$H9053/100/12)</f>
      </c>
      <c r="M9053" s="43">
        <f>IF($I9053=0,0,IF(OR(INDEX(DarlOhneTilgung,19)=1,AND(INDEX(DarlTilgStart,19)&gt;0,$E9053&lt;INDEX(DarlTilgStart,19))),0,MIN(MAX(0,$K9053-$L9053),$J9053)))</f>
      </c>
      <c r="N9053" s="43">
        <f>IF($I9053=0,0,MIN(SUMIFS(SondBetrag,SondDarl,19,SondDatum,"&gt;="&amp;$E9053,SondDatum,"&lt;="&amp;EOMONTH($E9053,0)),$J9053-$M9053))</f>
      </c>
      <c r="O9053" s="43">
        <f>IF($I9053=0,0,INDEX(DarlErsatzRate,19))</f>
      </c>
      <c r="P9053" s="43">
        <f>IF($I9053=0,0,$Q9052*INDEX(DarlErsatzZins,19))</f>
      </c>
      <c r="Q9053" s="43">
        <f>IF($I9053=0,0,$Q9052+$P9053+$O9053)</f>
      </c>
      <c r="R9053" s="43">
        <f>IF($I9053=0,0,$J9053-$M9053-$N9053)</f>
      </c>
    </row>
    <row r="9054">
      <c r="A9054"/>
      <c r="B9054">
        <v>19</v>
      </c>
      <c r="C9054" s="43">
        <f>INDEX(DarlObj,19)</f>
      </c>
      <c r="D9054">
        <v>411</v>
      </c>
      <c r="E9054" s="51">
        <f>IF(INDEX(DarlBelegt,19)=0,0,EOMONTH(INDEX(DarlAuszahlung,19),410)+1)</f>
      </c>
      <c r="F9054" s="43">
        <f>IF($E9054=0,0,YEAR($E9054))</f>
      </c>
      <c r="G9054" s="43">
        <f>IF(INDEX(DarlBindung,19)="",1,IF($E9054&lt;=INDEX(DarlBindung,19),1,0))</f>
      </c>
      <c r="H9054" s="43">
        <f>IF($G9054=1,INDEX(DarlSollzins,19),INDEX(DarlAnschluss,19))</f>
      </c>
      <c r="I9054" s="43">
        <f>IF(INDEX(DarlBelegt,19)=0,0,IF(INDEX(DarlOhneTilgung,19)=1,IF(INDEX(DarlBindung,19)="",1,$G9054),IF($J9054&gt;0.005,1,0)))</f>
      </c>
      <c r="J9054" s="43">
        <f>IF($I9053=0,0,$R9053)</f>
      </c>
      <c r="K9054" s="43">
        <f>IF($I9054=0,0,IF(INDEX(DarlOhneTilgung,19)=1,0,IF(AND(INDEX(DarlTilgStart,19)&gt;0,$E9054=INDEX(DarlTilgStart,19)),$J9054*($H9054+INDEX(DarlTilgung,19))/100/12,IF(AND($G9054=0,$G9053=1),MAX($K9053,$J9054*($H9054+1)/100/12),$K9053))))</f>
      </c>
      <c r="L9054" s="43">
        <f>IF($I9054=0,0,$J9054*$H9054/100/12)</f>
      </c>
      <c r="M9054" s="43">
        <f>IF($I9054=0,0,IF(OR(INDEX(DarlOhneTilgung,19)=1,AND(INDEX(DarlTilgStart,19)&gt;0,$E9054&lt;INDEX(DarlTilgStart,19))),0,MIN(MAX(0,$K9054-$L9054),$J9054)))</f>
      </c>
      <c r="N9054" s="43">
        <f>IF($I9054=0,0,MIN(SUMIFS(SondBetrag,SondDarl,19,SondDatum,"&gt;="&amp;$E9054,SondDatum,"&lt;="&amp;EOMONTH($E9054,0)),$J9054-$M9054))</f>
      </c>
      <c r="O9054" s="43">
        <f>IF($I9054=0,0,INDEX(DarlErsatzRate,19))</f>
      </c>
      <c r="P9054" s="43">
        <f>IF($I9054=0,0,$Q9053*INDEX(DarlErsatzZins,19))</f>
      </c>
      <c r="Q9054" s="43">
        <f>IF($I9054=0,0,$Q9053+$P9054+$O9054)</f>
      </c>
      <c r="R9054" s="43">
        <f>IF($I9054=0,0,$J9054-$M9054-$N9054)</f>
      </c>
    </row>
    <row r="9055">
      <c r="A9055"/>
      <c r="B9055">
        <v>19</v>
      </c>
      <c r="C9055" s="43">
        <f>INDEX(DarlObj,19)</f>
      </c>
      <c r="D9055">
        <v>412</v>
      </c>
      <c r="E9055" s="51">
        <f>IF(INDEX(DarlBelegt,19)=0,0,EOMONTH(INDEX(DarlAuszahlung,19),411)+1)</f>
      </c>
      <c r="F9055" s="43">
        <f>IF($E9055=0,0,YEAR($E9055))</f>
      </c>
      <c r="G9055" s="43">
        <f>IF(INDEX(DarlBindung,19)="",1,IF($E9055&lt;=INDEX(DarlBindung,19),1,0))</f>
      </c>
      <c r="H9055" s="43">
        <f>IF($G9055=1,INDEX(DarlSollzins,19),INDEX(DarlAnschluss,19))</f>
      </c>
      <c r="I9055" s="43">
        <f>IF(INDEX(DarlBelegt,19)=0,0,IF(INDEX(DarlOhneTilgung,19)=1,IF(INDEX(DarlBindung,19)="",1,$G9055),IF($J9055&gt;0.005,1,0)))</f>
      </c>
      <c r="J9055" s="43">
        <f>IF($I9054=0,0,$R9054)</f>
      </c>
      <c r="K9055" s="43">
        <f>IF($I9055=0,0,IF(INDEX(DarlOhneTilgung,19)=1,0,IF(AND(INDEX(DarlTilgStart,19)&gt;0,$E9055=INDEX(DarlTilgStart,19)),$J9055*($H9055+INDEX(DarlTilgung,19))/100/12,IF(AND($G9055=0,$G9054=1),MAX($K9054,$J9055*($H9055+1)/100/12),$K9054))))</f>
      </c>
      <c r="L9055" s="43">
        <f>IF($I9055=0,0,$J9055*$H9055/100/12)</f>
      </c>
      <c r="M9055" s="43">
        <f>IF($I9055=0,0,IF(OR(INDEX(DarlOhneTilgung,19)=1,AND(INDEX(DarlTilgStart,19)&gt;0,$E9055&lt;INDEX(DarlTilgStart,19))),0,MIN(MAX(0,$K9055-$L9055),$J9055)))</f>
      </c>
      <c r="N9055" s="43">
        <f>IF($I9055=0,0,MIN(SUMIFS(SondBetrag,SondDarl,19,SondDatum,"&gt;="&amp;$E9055,SondDatum,"&lt;="&amp;EOMONTH($E9055,0)),$J9055-$M9055))</f>
      </c>
      <c r="O9055" s="43">
        <f>IF($I9055=0,0,INDEX(DarlErsatzRate,19))</f>
      </c>
      <c r="P9055" s="43">
        <f>IF($I9055=0,0,$Q9054*INDEX(DarlErsatzZins,19))</f>
      </c>
      <c r="Q9055" s="43">
        <f>IF($I9055=0,0,$Q9054+$P9055+$O9055)</f>
      </c>
      <c r="R9055" s="43">
        <f>IF($I9055=0,0,$J9055-$M9055-$N9055)</f>
      </c>
    </row>
    <row r="9056">
      <c r="A9056"/>
      <c r="B9056">
        <v>19</v>
      </c>
      <c r="C9056" s="43">
        <f>INDEX(DarlObj,19)</f>
      </c>
      <c r="D9056">
        <v>413</v>
      </c>
      <c r="E9056" s="51">
        <f>IF(INDEX(DarlBelegt,19)=0,0,EOMONTH(INDEX(DarlAuszahlung,19),412)+1)</f>
      </c>
      <c r="F9056" s="43">
        <f>IF($E9056=0,0,YEAR($E9056))</f>
      </c>
      <c r="G9056" s="43">
        <f>IF(INDEX(DarlBindung,19)="",1,IF($E9056&lt;=INDEX(DarlBindung,19),1,0))</f>
      </c>
      <c r="H9056" s="43">
        <f>IF($G9056=1,INDEX(DarlSollzins,19),INDEX(DarlAnschluss,19))</f>
      </c>
      <c r="I9056" s="43">
        <f>IF(INDEX(DarlBelegt,19)=0,0,IF(INDEX(DarlOhneTilgung,19)=1,IF(INDEX(DarlBindung,19)="",1,$G9056),IF($J9056&gt;0.005,1,0)))</f>
      </c>
      <c r="J9056" s="43">
        <f>IF($I9055=0,0,$R9055)</f>
      </c>
      <c r="K9056" s="43">
        <f>IF($I9056=0,0,IF(INDEX(DarlOhneTilgung,19)=1,0,IF(AND(INDEX(DarlTilgStart,19)&gt;0,$E9056=INDEX(DarlTilgStart,19)),$J9056*($H9056+INDEX(DarlTilgung,19))/100/12,IF(AND($G9056=0,$G9055=1),MAX($K9055,$J9056*($H9056+1)/100/12),$K9055))))</f>
      </c>
      <c r="L9056" s="43">
        <f>IF($I9056=0,0,$J9056*$H9056/100/12)</f>
      </c>
      <c r="M9056" s="43">
        <f>IF($I9056=0,0,IF(OR(INDEX(DarlOhneTilgung,19)=1,AND(INDEX(DarlTilgStart,19)&gt;0,$E9056&lt;INDEX(DarlTilgStart,19))),0,MIN(MAX(0,$K9056-$L9056),$J9056)))</f>
      </c>
      <c r="N9056" s="43">
        <f>IF($I9056=0,0,MIN(SUMIFS(SondBetrag,SondDarl,19,SondDatum,"&gt;="&amp;$E9056,SondDatum,"&lt;="&amp;EOMONTH($E9056,0)),$J9056-$M9056))</f>
      </c>
      <c r="O9056" s="43">
        <f>IF($I9056=0,0,INDEX(DarlErsatzRate,19))</f>
      </c>
      <c r="P9056" s="43">
        <f>IF($I9056=0,0,$Q9055*INDEX(DarlErsatzZins,19))</f>
      </c>
      <c r="Q9056" s="43">
        <f>IF($I9056=0,0,$Q9055+$P9056+$O9056)</f>
      </c>
      <c r="R9056" s="43">
        <f>IF($I9056=0,0,$J9056-$M9056-$N9056)</f>
      </c>
    </row>
    <row r="9057">
      <c r="A9057"/>
      <c r="B9057">
        <v>19</v>
      </c>
      <c r="C9057" s="43">
        <f>INDEX(DarlObj,19)</f>
      </c>
      <c r="D9057">
        <v>414</v>
      </c>
      <c r="E9057" s="51">
        <f>IF(INDEX(DarlBelegt,19)=0,0,EOMONTH(INDEX(DarlAuszahlung,19),413)+1)</f>
      </c>
      <c r="F9057" s="43">
        <f>IF($E9057=0,0,YEAR($E9057))</f>
      </c>
      <c r="G9057" s="43">
        <f>IF(INDEX(DarlBindung,19)="",1,IF($E9057&lt;=INDEX(DarlBindung,19),1,0))</f>
      </c>
      <c r="H9057" s="43">
        <f>IF($G9057=1,INDEX(DarlSollzins,19),INDEX(DarlAnschluss,19))</f>
      </c>
      <c r="I9057" s="43">
        <f>IF(INDEX(DarlBelegt,19)=0,0,IF(INDEX(DarlOhneTilgung,19)=1,IF(INDEX(DarlBindung,19)="",1,$G9057),IF($J9057&gt;0.005,1,0)))</f>
      </c>
      <c r="J9057" s="43">
        <f>IF($I9056=0,0,$R9056)</f>
      </c>
      <c r="K9057" s="43">
        <f>IF($I9057=0,0,IF(INDEX(DarlOhneTilgung,19)=1,0,IF(AND(INDEX(DarlTilgStart,19)&gt;0,$E9057=INDEX(DarlTilgStart,19)),$J9057*($H9057+INDEX(DarlTilgung,19))/100/12,IF(AND($G9057=0,$G9056=1),MAX($K9056,$J9057*($H9057+1)/100/12),$K9056))))</f>
      </c>
      <c r="L9057" s="43">
        <f>IF($I9057=0,0,$J9057*$H9057/100/12)</f>
      </c>
      <c r="M9057" s="43">
        <f>IF($I9057=0,0,IF(OR(INDEX(DarlOhneTilgung,19)=1,AND(INDEX(DarlTilgStart,19)&gt;0,$E9057&lt;INDEX(DarlTilgStart,19))),0,MIN(MAX(0,$K9057-$L9057),$J9057)))</f>
      </c>
      <c r="N9057" s="43">
        <f>IF($I9057=0,0,MIN(SUMIFS(SondBetrag,SondDarl,19,SondDatum,"&gt;="&amp;$E9057,SondDatum,"&lt;="&amp;EOMONTH($E9057,0)),$J9057-$M9057))</f>
      </c>
      <c r="O9057" s="43">
        <f>IF($I9057=0,0,INDEX(DarlErsatzRate,19))</f>
      </c>
      <c r="P9057" s="43">
        <f>IF($I9057=0,0,$Q9056*INDEX(DarlErsatzZins,19))</f>
      </c>
      <c r="Q9057" s="43">
        <f>IF($I9057=0,0,$Q9056+$P9057+$O9057)</f>
      </c>
      <c r="R9057" s="43">
        <f>IF($I9057=0,0,$J9057-$M9057-$N9057)</f>
      </c>
    </row>
    <row r="9058">
      <c r="A9058"/>
      <c r="B9058">
        <v>19</v>
      </c>
      <c r="C9058" s="43">
        <f>INDEX(DarlObj,19)</f>
      </c>
      <c r="D9058">
        <v>415</v>
      </c>
      <c r="E9058" s="51">
        <f>IF(INDEX(DarlBelegt,19)=0,0,EOMONTH(INDEX(DarlAuszahlung,19),414)+1)</f>
      </c>
      <c r="F9058" s="43">
        <f>IF($E9058=0,0,YEAR($E9058))</f>
      </c>
      <c r="G9058" s="43">
        <f>IF(INDEX(DarlBindung,19)="",1,IF($E9058&lt;=INDEX(DarlBindung,19),1,0))</f>
      </c>
      <c r="H9058" s="43">
        <f>IF($G9058=1,INDEX(DarlSollzins,19),INDEX(DarlAnschluss,19))</f>
      </c>
      <c r="I9058" s="43">
        <f>IF(INDEX(DarlBelegt,19)=0,0,IF(INDEX(DarlOhneTilgung,19)=1,IF(INDEX(DarlBindung,19)="",1,$G9058),IF($J9058&gt;0.005,1,0)))</f>
      </c>
      <c r="J9058" s="43">
        <f>IF($I9057=0,0,$R9057)</f>
      </c>
      <c r="K9058" s="43">
        <f>IF($I9058=0,0,IF(INDEX(DarlOhneTilgung,19)=1,0,IF(AND(INDEX(DarlTilgStart,19)&gt;0,$E9058=INDEX(DarlTilgStart,19)),$J9058*($H9058+INDEX(DarlTilgung,19))/100/12,IF(AND($G9058=0,$G9057=1),MAX($K9057,$J9058*($H9058+1)/100/12),$K9057))))</f>
      </c>
      <c r="L9058" s="43">
        <f>IF($I9058=0,0,$J9058*$H9058/100/12)</f>
      </c>
      <c r="M9058" s="43">
        <f>IF($I9058=0,0,IF(OR(INDEX(DarlOhneTilgung,19)=1,AND(INDEX(DarlTilgStart,19)&gt;0,$E9058&lt;INDEX(DarlTilgStart,19))),0,MIN(MAX(0,$K9058-$L9058),$J9058)))</f>
      </c>
      <c r="N9058" s="43">
        <f>IF($I9058=0,0,MIN(SUMIFS(SondBetrag,SondDarl,19,SondDatum,"&gt;="&amp;$E9058,SondDatum,"&lt;="&amp;EOMONTH($E9058,0)),$J9058-$M9058))</f>
      </c>
      <c r="O9058" s="43">
        <f>IF($I9058=0,0,INDEX(DarlErsatzRate,19))</f>
      </c>
      <c r="P9058" s="43">
        <f>IF($I9058=0,0,$Q9057*INDEX(DarlErsatzZins,19))</f>
      </c>
      <c r="Q9058" s="43">
        <f>IF($I9058=0,0,$Q9057+$P9058+$O9058)</f>
      </c>
      <c r="R9058" s="43">
        <f>IF($I9058=0,0,$J9058-$M9058-$N9058)</f>
      </c>
    </row>
    <row r="9059">
      <c r="A9059"/>
      <c r="B9059">
        <v>19</v>
      </c>
      <c r="C9059" s="43">
        <f>INDEX(DarlObj,19)</f>
      </c>
      <c r="D9059">
        <v>416</v>
      </c>
      <c r="E9059" s="51">
        <f>IF(INDEX(DarlBelegt,19)=0,0,EOMONTH(INDEX(DarlAuszahlung,19),415)+1)</f>
      </c>
      <c r="F9059" s="43">
        <f>IF($E9059=0,0,YEAR($E9059))</f>
      </c>
      <c r="G9059" s="43">
        <f>IF(INDEX(DarlBindung,19)="",1,IF($E9059&lt;=INDEX(DarlBindung,19),1,0))</f>
      </c>
      <c r="H9059" s="43">
        <f>IF($G9059=1,INDEX(DarlSollzins,19),INDEX(DarlAnschluss,19))</f>
      </c>
      <c r="I9059" s="43">
        <f>IF(INDEX(DarlBelegt,19)=0,0,IF(INDEX(DarlOhneTilgung,19)=1,IF(INDEX(DarlBindung,19)="",1,$G9059),IF($J9059&gt;0.005,1,0)))</f>
      </c>
      <c r="J9059" s="43">
        <f>IF($I9058=0,0,$R9058)</f>
      </c>
      <c r="K9059" s="43">
        <f>IF($I9059=0,0,IF(INDEX(DarlOhneTilgung,19)=1,0,IF(AND(INDEX(DarlTilgStart,19)&gt;0,$E9059=INDEX(DarlTilgStart,19)),$J9059*($H9059+INDEX(DarlTilgung,19))/100/12,IF(AND($G9059=0,$G9058=1),MAX($K9058,$J9059*($H9059+1)/100/12),$K9058))))</f>
      </c>
      <c r="L9059" s="43">
        <f>IF($I9059=0,0,$J9059*$H9059/100/12)</f>
      </c>
      <c r="M9059" s="43">
        <f>IF($I9059=0,0,IF(OR(INDEX(DarlOhneTilgung,19)=1,AND(INDEX(DarlTilgStart,19)&gt;0,$E9059&lt;INDEX(DarlTilgStart,19))),0,MIN(MAX(0,$K9059-$L9059),$J9059)))</f>
      </c>
      <c r="N9059" s="43">
        <f>IF($I9059=0,0,MIN(SUMIFS(SondBetrag,SondDarl,19,SondDatum,"&gt;="&amp;$E9059,SondDatum,"&lt;="&amp;EOMONTH($E9059,0)),$J9059-$M9059))</f>
      </c>
      <c r="O9059" s="43">
        <f>IF($I9059=0,0,INDEX(DarlErsatzRate,19))</f>
      </c>
      <c r="P9059" s="43">
        <f>IF($I9059=0,0,$Q9058*INDEX(DarlErsatzZins,19))</f>
      </c>
      <c r="Q9059" s="43">
        <f>IF($I9059=0,0,$Q9058+$P9059+$O9059)</f>
      </c>
      <c r="R9059" s="43">
        <f>IF($I9059=0,0,$J9059-$M9059-$N9059)</f>
      </c>
    </row>
    <row r="9060">
      <c r="A9060"/>
      <c r="B9060">
        <v>19</v>
      </c>
      <c r="C9060" s="43">
        <f>INDEX(DarlObj,19)</f>
      </c>
      <c r="D9060">
        <v>417</v>
      </c>
      <c r="E9060" s="51">
        <f>IF(INDEX(DarlBelegt,19)=0,0,EOMONTH(INDEX(DarlAuszahlung,19),416)+1)</f>
      </c>
      <c r="F9060" s="43">
        <f>IF($E9060=0,0,YEAR($E9060))</f>
      </c>
      <c r="G9060" s="43">
        <f>IF(INDEX(DarlBindung,19)="",1,IF($E9060&lt;=INDEX(DarlBindung,19),1,0))</f>
      </c>
      <c r="H9060" s="43">
        <f>IF($G9060=1,INDEX(DarlSollzins,19),INDEX(DarlAnschluss,19))</f>
      </c>
      <c r="I9060" s="43">
        <f>IF(INDEX(DarlBelegt,19)=0,0,IF(INDEX(DarlOhneTilgung,19)=1,IF(INDEX(DarlBindung,19)="",1,$G9060),IF($J9060&gt;0.005,1,0)))</f>
      </c>
      <c r="J9060" s="43">
        <f>IF($I9059=0,0,$R9059)</f>
      </c>
      <c r="K9060" s="43">
        <f>IF($I9060=0,0,IF(INDEX(DarlOhneTilgung,19)=1,0,IF(AND(INDEX(DarlTilgStart,19)&gt;0,$E9060=INDEX(DarlTilgStart,19)),$J9060*($H9060+INDEX(DarlTilgung,19))/100/12,IF(AND($G9060=0,$G9059=1),MAX($K9059,$J9060*($H9060+1)/100/12),$K9059))))</f>
      </c>
      <c r="L9060" s="43">
        <f>IF($I9060=0,0,$J9060*$H9060/100/12)</f>
      </c>
      <c r="M9060" s="43">
        <f>IF($I9060=0,0,IF(OR(INDEX(DarlOhneTilgung,19)=1,AND(INDEX(DarlTilgStart,19)&gt;0,$E9060&lt;INDEX(DarlTilgStart,19))),0,MIN(MAX(0,$K9060-$L9060),$J9060)))</f>
      </c>
      <c r="N9060" s="43">
        <f>IF($I9060=0,0,MIN(SUMIFS(SondBetrag,SondDarl,19,SondDatum,"&gt;="&amp;$E9060,SondDatum,"&lt;="&amp;EOMONTH($E9060,0)),$J9060-$M9060))</f>
      </c>
      <c r="O9060" s="43">
        <f>IF($I9060=0,0,INDEX(DarlErsatzRate,19))</f>
      </c>
      <c r="P9060" s="43">
        <f>IF($I9060=0,0,$Q9059*INDEX(DarlErsatzZins,19))</f>
      </c>
      <c r="Q9060" s="43">
        <f>IF($I9060=0,0,$Q9059+$P9060+$O9060)</f>
      </c>
      <c r="R9060" s="43">
        <f>IF($I9060=0,0,$J9060-$M9060-$N9060)</f>
      </c>
    </row>
    <row r="9061">
      <c r="A9061"/>
      <c r="B9061">
        <v>19</v>
      </c>
      <c r="C9061" s="43">
        <f>INDEX(DarlObj,19)</f>
      </c>
      <c r="D9061">
        <v>418</v>
      </c>
      <c r="E9061" s="51">
        <f>IF(INDEX(DarlBelegt,19)=0,0,EOMONTH(INDEX(DarlAuszahlung,19),417)+1)</f>
      </c>
      <c r="F9061" s="43">
        <f>IF($E9061=0,0,YEAR($E9061))</f>
      </c>
      <c r="G9061" s="43">
        <f>IF(INDEX(DarlBindung,19)="",1,IF($E9061&lt;=INDEX(DarlBindung,19),1,0))</f>
      </c>
      <c r="H9061" s="43">
        <f>IF($G9061=1,INDEX(DarlSollzins,19),INDEX(DarlAnschluss,19))</f>
      </c>
      <c r="I9061" s="43">
        <f>IF(INDEX(DarlBelegt,19)=0,0,IF(INDEX(DarlOhneTilgung,19)=1,IF(INDEX(DarlBindung,19)="",1,$G9061),IF($J9061&gt;0.005,1,0)))</f>
      </c>
      <c r="J9061" s="43">
        <f>IF($I9060=0,0,$R9060)</f>
      </c>
      <c r="K9061" s="43">
        <f>IF($I9061=0,0,IF(INDEX(DarlOhneTilgung,19)=1,0,IF(AND(INDEX(DarlTilgStart,19)&gt;0,$E9061=INDEX(DarlTilgStart,19)),$J9061*($H9061+INDEX(DarlTilgung,19))/100/12,IF(AND($G9061=0,$G9060=1),MAX($K9060,$J9061*($H9061+1)/100/12),$K9060))))</f>
      </c>
      <c r="L9061" s="43">
        <f>IF($I9061=0,0,$J9061*$H9061/100/12)</f>
      </c>
      <c r="M9061" s="43">
        <f>IF($I9061=0,0,IF(OR(INDEX(DarlOhneTilgung,19)=1,AND(INDEX(DarlTilgStart,19)&gt;0,$E9061&lt;INDEX(DarlTilgStart,19))),0,MIN(MAX(0,$K9061-$L9061),$J9061)))</f>
      </c>
      <c r="N9061" s="43">
        <f>IF($I9061=0,0,MIN(SUMIFS(SondBetrag,SondDarl,19,SondDatum,"&gt;="&amp;$E9061,SondDatum,"&lt;="&amp;EOMONTH($E9061,0)),$J9061-$M9061))</f>
      </c>
      <c r="O9061" s="43">
        <f>IF($I9061=0,0,INDEX(DarlErsatzRate,19))</f>
      </c>
      <c r="P9061" s="43">
        <f>IF($I9061=0,0,$Q9060*INDEX(DarlErsatzZins,19))</f>
      </c>
      <c r="Q9061" s="43">
        <f>IF($I9061=0,0,$Q9060+$P9061+$O9061)</f>
      </c>
      <c r="R9061" s="43">
        <f>IF($I9061=0,0,$J9061-$M9061-$N9061)</f>
      </c>
    </row>
    <row r="9062">
      <c r="A9062"/>
      <c r="B9062">
        <v>19</v>
      </c>
      <c r="C9062" s="43">
        <f>INDEX(DarlObj,19)</f>
      </c>
      <c r="D9062">
        <v>419</v>
      </c>
      <c r="E9062" s="51">
        <f>IF(INDEX(DarlBelegt,19)=0,0,EOMONTH(INDEX(DarlAuszahlung,19),418)+1)</f>
      </c>
      <c r="F9062" s="43">
        <f>IF($E9062=0,0,YEAR($E9062))</f>
      </c>
      <c r="G9062" s="43">
        <f>IF(INDEX(DarlBindung,19)="",1,IF($E9062&lt;=INDEX(DarlBindung,19),1,0))</f>
      </c>
      <c r="H9062" s="43">
        <f>IF($G9062=1,INDEX(DarlSollzins,19),INDEX(DarlAnschluss,19))</f>
      </c>
      <c r="I9062" s="43">
        <f>IF(INDEX(DarlBelegt,19)=0,0,IF(INDEX(DarlOhneTilgung,19)=1,IF(INDEX(DarlBindung,19)="",1,$G9062),IF($J9062&gt;0.005,1,0)))</f>
      </c>
      <c r="J9062" s="43">
        <f>IF($I9061=0,0,$R9061)</f>
      </c>
      <c r="K9062" s="43">
        <f>IF($I9062=0,0,IF(INDEX(DarlOhneTilgung,19)=1,0,IF(AND(INDEX(DarlTilgStart,19)&gt;0,$E9062=INDEX(DarlTilgStart,19)),$J9062*($H9062+INDEX(DarlTilgung,19))/100/12,IF(AND($G9062=0,$G9061=1),MAX($K9061,$J9062*($H9062+1)/100/12),$K9061))))</f>
      </c>
      <c r="L9062" s="43">
        <f>IF($I9062=0,0,$J9062*$H9062/100/12)</f>
      </c>
      <c r="M9062" s="43">
        <f>IF($I9062=0,0,IF(OR(INDEX(DarlOhneTilgung,19)=1,AND(INDEX(DarlTilgStart,19)&gt;0,$E9062&lt;INDEX(DarlTilgStart,19))),0,MIN(MAX(0,$K9062-$L9062),$J9062)))</f>
      </c>
      <c r="N9062" s="43">
        <f>IF($I9062=0,0,MIN(SUMIFS(SondBetrag,SondDarl,19,SondDatum,"&gt;="&amp;$E9062,SondDatum,"&lt;="&amp;EOMONTH($E9062,0)),$J9062-$M9062))</f>
      </c>
      <c r="O9062" s="43">
        <f>IF($I9062=0,0,INDEX(DarlErsatzRate,19))</f>
      </c>
      <c r="P9062" s="43">
        <f>IF($I9062=0,0,$Q9061*INDEX(DarlErsatzZins,19))</f>
      </c>
      <c r="Q9062" s="43">
        <f>IF($I9062=0,0,$Q9061+$P9062+$O9062)</f>
      </c>
      <c r="R9062" s="43">
        <f>IF($I9062=0,0,$J9062-$M9062-$N9062)</f>
      </c>
    </row>
    <row r="9063">
      <c r="A9063"/>
      <c r="B9063">
        <v>19</v>
      </c>
      <c r="C9063" s="43">
        <f>INDEX(DarlObj,19)</f>
      </c>
      <c r="D9063">
        <v>420</v>
      </c>
      <c r="E9063" s="51">
        <f>IF(INDEX(DarlBelegt,19)=0,0,EOMONTH(INDEX(DarlAuszahlung,19),419)+1)</f>
      </c>
      <c r="F9063" s="43">
        <f>IF($E9063=0,0,YEAR($E9063))</f>
      </c>
      <c r="G9063" s="43">
        <f>IF(INDEX(DarlBindung,19)="",1,IF($E9063&lt;=INDEX(DarlBindung,19),1,0))</f>
      </c>
      <c r="H9063" s="43">
        <f>IF($G9063=1,INDEX(DarlSollzins,19),INDEX(DarlAnschluss,19))</f>
      </c>
      <c r="I9063" s="43">
        <f>IF(INDEX(DarlBelegt,19)=0,0,IF(INDEX(DarlOhneTilgung,19)=1,IF(INDEX(DarlBindung,19)="",1,$G9063),IF($J9063&gt;0.005,1,0)))</f>
      </c>
      <c r="J9063" s="43">
        <f>IF($I9062=0,0,$R9062)</f>
      </c>
      <c r="K9063" s="43">
        <f>IF($I9063=0,0,IF(INDEX(DarlOhneTilgung,19)=1,0,IF(AND(INDEX(DarlTilgStart,19)&gt;0,$E9063=INDEX(DarlTilgStart,19)),$J9063*($H9063+INDEX(DarlTilgung,19))/100/12,IF(AND($G9063=0,$G9062=1),MAX($K9062,$J9063*($H9063+1)/100/12),$K9062))))</f>
      </c>
      <c r="L9063" s="43">
        <f>IF($I9063=0,0,$J9063*$H9063/100/12)</f>
      </c>
      <c r="M9063" s="43">
        <f>IF($I9063=0,0,IF(OR(INDEX(DarlOhneTilgung,19)=1,AND(INDEX(DarlTilgStart,19)&gt;0,$E9063&lt;INDEX(DarlTilgStart,19))),0,MIN(MAX(0,$K9063-$L9063),$J9063)))</f>
      </c>
      <c r="N9063" s="43">
        <f>IF($I9063=0,0,MIN(SUMIFS(SondBetrag,SondDarl,19,SondDatum,"&gt;="&amp;$E9063,SondDatum,"&lt;="&amp;EOMONTH($E9063,0)),$J9063-$M9063))</f>
      </c>
      <c r="O9063" s="43">
        <f>IF($I9063=0,0,INDEX(DarlErsatzRate,19))</f>
      </c>
      <c r="P9063" s="43">
        <f>IF($I9063=0,0,$Q9062*INDEX(DarlErsatzZins,19))</f>
      </c>
      <c r="Q9063" s="43">
        <f>IF($I9063=0,0,$Q9062+$P9063+$O9063)</f>
      </c>
      <c r="R9063" s="43">
        <f>IF($I9063=0,0,$J9063-$M9063-$N9063)</f>
      </c>
    </row>
    <row r="9064">
      <c r="A9064"/>
      <c r="B9064">
        <v>19</v>
      </c>
      <c r="C9064" s="43">
        <f>INDEX(DarlObj,19)</f>
      </c>
      <c r="D9064">
        <v>421</v>
      </c>
      <c r="E9064" s="51">
        <f>IF(INDEX(DarlBelegt,19)=0,0,EOMONTH(INDEX(DarlAuszahlung,19),420)+1)</f>
      </c>
      <c r="F9064" s="43">
        <f>IF($E9064=0,0,YEAR($E9064))</f>
      </c>
      <c r="G9064" s="43">
        <f>IF(INDEX(DarlBindung,19)="",1,IF($E9064&lt;=INDEX(DarlBindung,19),1,0))</f>
      </c>
      <c r="H9064" s="43">
        <f>IF($G9064=1,INDEX(DarlSollzins,19),INDEX(DarlAnschluss,19))</f>
      </c>
      <c r="I9064" s="43">
        <f>IF(INDEX(DarlBelegt,19)=0,0,IF(INDEX(DarlOhneTilgung,19)=1,IF(INDEX(DarlBindung,19)="",1,$G9064),IF($J9064&gt;0.005,1,0)))</f>
      </c>
      <c r="J9064" s="43">
        <f>IF($I9063=0,0,$R9063)</f>
      </c>
      <c r="K9064" s="43">
        <f>IF($I9064=0,0,IF(INDEX(DarlOhneTilgung,19)=1,0,IF(AND(INDEX(DarlTilgStart,19)&gt;0,$E9064=INDEX(DarlTilgStart,19)),$J9064*($H9064+INDEX(DarlTilgung,19))/100/12,IF(AND($G9064=0,$G9063=1),MAX($K9063,$J9064*($H9064+1)/100/12),$K9063))))</f>
      </c>
      <c r="L9064" s="43">
        <f>IF($I9064=0,0,$J9064*$H9064/100/12)</f>
      </c>
      <c r="M9064" s="43">
        <f>IF($I9064=0,0,IF(OR(INDEX(DarlOhneTilgung,19)=1,AND(INDEX(DarlTilgStart,19)&gt;0,$E9064&lt;INDEX(DarlTilgStart,19))),0,MIN(MAX(0,$K9064-$L9064),$J9064)))</f>
      </c>
      <c r="N9064" s="43">
        <f>IF($I9064=0,0,MIN(SUMIFS(SondBetrag,SondDarl,19,SondDatum,"&gt;="&amp;$E9064,SondDatum,"&lt;="&amp;EOMONTH($E9064,0)),$J9064-$M9064))</f>
      </c>
      <c r="O9064" s="43">
        <f>IF($I9064=0,0,INDEX(DarlErsatzRate,19))</f>
      </c>
      <c r="P9064" s="43">
        <f>IF($I9064=0,0,$Q9063*INDEX(DarlErsatzZins,19))</f>
      </c>
      <c r="Q9064" s="43">
        <f>IF($I9064=0,0,$Q9063+$P9064+$O9064)</f>
      </c>
      <c r="R9064" s="43">
        <f>IF($I9064=0,0,$J9064-$M9064-$N9064)</f>
      </c>
    </row>
    <row r="9065">
      <c r="A9065"/>
      <c r="B9065">
        <v>19</v>
      </c>
      <c r="C9065" s="43">
        <f>INDEX(DarlObj,19)</f>
      </c>
      <c r="D9065">
        <v>422</v>
      </c>
      <c r="E9065" s="51">
        <f>IF(INDEX(DarlBelegt,19)=0,0,EOMONTH(INDEX(DarlAuszahlung,19),421)+1)</f>
      </c>
      <c r="F9065" s="43">
        <f>IF($E9065=0,0,YEAR($E9065))</f>
      </c>
      <c r="G9065" s="43">
        <f>IF(INDEX(DarlBindung,19)="",1,IF($E9065&lt;=INDEX(DarlBindung,19),1,0))</f>
      </c>
      <c r="H9065" s="43">
        <f>IF($G9065=1,INDEX(DarlSollzins,19),INDEX(DarlAnschluss,19))</f>
      </c>
      <c r="I9065" s="43">
        <f>IF(INDEX(DarlBelegt,19)=0,0,IF(INDEX(DarlOhneTilgung,19)=1,IF(INDEX(DarlBindung,19)="",1,$G9065),IF($J9065&gt;0.005,1,0)))</f>
      </c>
      <c r="J9065" s="43">
        <f>IF($I9064=0,0,$R9064)</f>
      </c>
      <c r="K9065" s="43">
        <f>IF($I9065=0,0,IF(INDEX(DarlOhneTilgung,19)=1,0,IF(AND(INDEX(DarlTilgStart,19)&gt;0,$E9065=INDEX(DarlTilgStart,19)),$J9065*($H9065+INDEX(DarlTilgung,19))/100/12,IF(AND($G9065=0,$G9064=1),MAX($K9064,$J9065*($H9065+1)/100/12),$K9064))))</f>
      </c>
      <c r="L9065" s="43">
        <f>IF($I9065=0,0,$J9065*$H9065/100/12)</f>
      </c>
      <c r="M9065" s="43">
        <f>IF($I9065=0,0,IF(OR(INDEX(DarlOhneTilgung,19)=1,AND(INDEX(DarlTilgStart,19)&gt;0,$E9065&lt;INDEX(DarlTilgStart,19))),0,MIN(MAX(0,$K9065-$L9065),$J9065)))</f>
      </c>
      <c r="N9065" s="43">
        <f>IF($I9065=0,0,MIN(SUMIFS(SondBetrag,SondDarl,19,SondDatum,"&gt;="&amp;$E9065,SondDatum,"&lt;="&amp;EOMONTH($E9065,0)),$J9065-$M9065))</f>
      </c>
      <c r="O9065" s="43">
        <f>IF($I9065=0,0,INDEX(DarlErsatzRate,19))</f>
      </c>
      <c r="P9065" s="43">
        <f>IF($I9065=0,0,$Q9064*INDEX(DarlErsatzZins,19))</f>
      </c>
      <c r="Q9065" s="43">
        <f>IF($I9065=0,0,$Q9064+$P9065+$O9065)</f>
      </c>
      <c r="R9065" s="43">
        <f>IF($I9065=0,0,$J9065-$M9065-$N9065)</f>
      </c>
    </row>
    <row r="9066">
      <c r="A9066"/>
      <c r="B9066">
        <v>19</v>
      </c>
      <c r="C9066" s="43">
        <f>INDEX(DarlObj,19)</f>
      </c>
      <c r="D9066">
        <v>423</v>
      </c>
      <c r="E9066" s="51">
        <f>IF(INDEX(DarlBelegt,19)=0,0,EOMONTH(INDEX(DarlAuszahlung,19),422)+1)</f>
      </c>
      <c r="F9066" s="43">
        <f>IF($E9066=0,0,YEAR($E9066))</f>
      </c>
      <c r="G9066" s="43">
        <f>IF(INDEX(DarlBindung,19)="",1,IF($E9066&lt;=INDEX(DarlBindung,19),1,0))</f>
      </c>
      <c r="H9066" s="43">
        <f>IF($G9066=1,INDEX(DarlSollzins,19),INDEX(DarlAnschluss,19))</f>
      </c>
      <c r="I9066" s="43">
        <f>IF(INDEX(DarlBelegt,19)=0,0,IF(INDEX(DarlOhneTilgung,19)=1,IF(INDEX(DarlBindung,19)="",1,$G9066),IF($J9066&gt;0.005,1,0)))</f>
      </c>
      <c r="J9066" s="43">
        <f>IF($I9065=0,0,$R9065)</f>
      </c>
      <c r="K9066" s="43">
        <f>IF($I9066=0,0,IF(INDEX(DarlOhneTilgung,19)=1,0,IF(AND(INDEX(DarlTilgStart,19)&gt;0,$E9066=INDEX(DarlTilgStart,19)),$J9066*($H9066+INDEX(DarlTilgung,19))/100/12,IF(AND($G9066=0,$G9065=1),MAX($K9065,$J9066*($H9066+1)/100/12),$K9065))))</f>
      </c>
      <c r="L9066" s="43">
        <f>IF($I9066=0,0,$J9066*$H9066/100/12)</f>
      </c>
      <c r="M9066" s="43">
        <f>IF($I9066=0,0,IF(OR(INDEX(DarlOhneTilgung,19)=1,AND(INDEX(DarlTilgStart,19)&gt;0,$E9066&lt;INDEX(DarlTilgStart,19))),0,MIN(MAX(0,$K9066-$L9066),$J9066)))</f>
      </c>
      <c r="N9066" s="43">
        <f>IF($I9066=0,0,MIN(SUMIFS(SondBetrag,SondDarl,19,SondDatum,"&gt;="&amp;$E9066,SondDatum,"&lt;="&amp;EOMONTH($E9066,0)),$J9066-$M9066))</f>
      </c>
      <c r="O9066" s="43">
        <f>IF($I9066=0,0,INDEX(DarlErsatzRate,19))</f>
      </c>
      <c r="P9066" s="43">
        <f>IF($I9066=0,0,$Q9065*INDEX(DarlErsatzZins,19))</f>
      </c>
      <c r="Q9066" s="43">
        <f>IF($I9066=0,0,$Q9065+$P9066+$O9066)</f>
      </c>
      <c r="R9066" s="43">
        <f>IF($I9066=0,0,$J9066-$M9066-$N9066)</f>
      </c>
    </row>
    <row r="9067">
      <c r="A9067"/>
      <c r="B9067">
        <v>19</v>
      </c>
      <c r="C9067" s="43">
        <f>INDEX(DarlObj,19)</f>
      </c>
      <c r="D9067">
        <v>424</v>
      </c>
      <c r="E9067" s="51">
        <f>IF(INDEX(DarlBelegt,19)=0,0,EOMONTH(INDEX(DarlAuszahlung,19),423)+1)</f>
      </c>
      <c r="F9067" s="43">
        <f>IF($E9067=0,0,YEAR($E9067))</f>
      </c>
      <c r="G9067" s="43">
        <f>IF(INDEX(DarlBindung,19)="",1,IF($E9067&lt;=INDEX(DarlBindung,19),1,0))</f>
      </c>
      <c r="H9067" s="43">
        <f>IF($G9067=1,INDEX(DarlSollzins,19),INDEX(DarlAnschluss,19))</f>
      </c>
      <c r="I9067" s="43">
        <f>IF(INDEX(DarlBelegt,19)=0,0,IF(INDEX(DarlOhneTilgung,19)=1,IF(INDEX(DarlBindung,19)="",1,$G9067),IF($J9067&gt;0.005,1,0)))</f>
      </c>
      <c r="J9067" s="43">
        <f>IF($I9066=0,0,$R9066)</f>
      </c>
      <c r="K9067" s="43">
        <f>IF($I9067=0,0,IF(INDEX(DarlOhneTilgung,19)=1,0,IF(AND(INDEX(DarlTilgStart,19)&gt;0,$E9067=INDEX(DarlTilgStart,19)),$J9067*($H9067+INDEX(DarlTilgung,19))/100/12,IF(AND($G9067=0,$G9066=1),MAX($K9066,$J9067*($H9067+1)/100/12),$K9066))))</f>
      </c>
      <c r="L9067" s="43">
        <f>IF($I9067=0,0,$J9067*$H9067/100/12)</f>
      </c>
      <c r="M9067" s="43">
        <f>IF($I9067=0,0,IF(OR(INDEX(DarlOhneTilgung,19)=1,AND(INDEX(DarlTilgStart,19)&gt;0,$E9067&lt;INDEX(DarlTilgStart,19))),0,MIN(MAX(0,$K9067-$L9067),$J9067)))</f>
      </c>
      <c r="N9067" s="43">
        <f>IF($I9067=0,0,MIN(SUMIFS(SondBetrag,SondDarl,19,SondDatum,"&gt;="&amp;$E9067,SondDatum,"&lt;="&amp;EOMONTH($E9067,0)),$J9067-$M9067))</f>
      </c>
      <c r="O9067" s="43">
        <f>IF($I9067=0,0,INDEX(DarlErsatzRate,19))</f>
      </c>
      <c r="P9067" s="43">
        <f>IF($I9067=0,0,$Q9066*INDEX(DarlErsatzZins,19))</f>
      </c>
      <c r="Q9067" s="43">
        <f>IF($I9067=0,0,$Q9066+$P9067+$O9067)</f>
      </c>
      <c r="R9067" s="43">
        <f>IF($I9067=0,0,$J9067-$M9067-$N9067)</f>
      </c>
    </row>
    <row r="9068">
      <c r="A9068"/>
      <c r="B9068">
        <v>19</v>
      </c>
      <c r="C9068" s="43">
        <f>INDEX(DarlObj,19)</f>
      </c>
      <c r="D9068">
        <v>425</v>
      </c>
      <c r="E9068" s="51">
        <f>IF(INDEX(DarlBelegt,19)=0,0,EOMONTH(INDEX(DarlAuszahlung,19),424)+1)</f>
      </c>
      <c r="F9068" s="43">
        <f>IF($E9068=0,0,YEAR($E9068))</f>
      </c>
      <c r="G9068" s="43">
        <f>IF(INDEX(DarlBindung,19)="",1,IF($E9068&lt;=INDEX(DarlBindung,19),1,0))</f>
      </c>
      <c r="H9068" s="43">
        <f>IF($G9068=1,INDEX(DarlSollzins,19),INDEX(DarlAnschluss,19))</f>
      </c>
      <c r="I9068" s="43">
        <f>IF(INDEX(DarlBelegt,19)=0,0,IF(INDEX(DarlOhneTilgung,19)=1,IF(INDEX(DarlBindung,19)="",1,$G9068),IF($J9068&gt;0.005,1,0)))</f>
      </c>
      <c r="J9068" s="43">
        <f>IF($I9067=0,0,$R9067)</f>
      </c>
      <c r="K9068" s="43">
        <f>IF($I9068=0,0,IF(INDEX(DarlOhneTilgung,19)=1,0,IF(AND(INDEX(DarlTilgStart,19)&gt;0,$E9068=INDEX(DarlTilgStart,19)),$J9068*($H9068+INDEX(DarlTilgung,19))/100/12,IF(AND($G9068=0,$G9067=1),MAX($K9067,$J9068*($H9068+1)/100/12),$K9067))))</f>
      </c>
      <c r="L9068" s="43">
        <f>IF($I9068=0,0,$J9068*$H9068/100/12)</f>
      </c>
      <c r="M9068" s="43">
        <f>IF($I9068=0,0,IF(OR(INDEX(DarlOhneTilgung,19)=1,AND(INDEX(DarlTilgStart,19)&gt;0,$E9068&lt;INDEX(DarlTilgStart,19))),0,MIN(MAX(0,$K9068-$L9068),$J9068)))</f>
      </c>
      <c r="N9068" s="43">
        <f>IF($I9068=0,0,MIN(SUMIFS(SondBetrag,SondDarl,19,SondDatum,"&gt;="&amp;$E9068,SondDatum,"&lt;="&amp;EOMONTH($E9068,0)),$J9068-$M9068))</f>
      </c>
      <c r="O9068" s="43">
        <f>IF($I9068=0,0,INDEX(DarlErsatzRate,19))</f>
      </c>
      <c r="P9068" s="43">
        <f>IF($I9068=0,0,$Q9067*INDEX(DarlErsatzZins,19))</f>
      </c>
      <c r="Q9068" s="43">
        <f>IF($I9068=0,0,$Q9067+$P9068+$O9068)</f>
      </c>
      <c r="R9068" s="43">
        <f>IF($I9068=0,0,$J9068-$M9068-$N9068)</f>
      </c>
    </row>
    <row r="9069">
      <c r="A9069"/>
      <c r="B9069">
        <v>19</v>
      </c>
      <c r="C9069" s="43">
        <f>INDEX(DarlObj,19)</f>
      </c>
      <c r="D9069">
        <v>426</v>
      </c>
      <c r="E9069" s="51">
        <f>IF(INDEX(DarlBelegt,19)=0,0,EOMONTH(INDEX(DarlAuszahlung,19),425)+1)</f>
      </c>
      <c r="F9069" s="43">
        <f>IF($E9069=0,0,YEAR($E9069))</f>
      </c>
      <c r="G9069" s="43">
        <f>IF(INDEX(DarlBindung,19)="",1,IF($E9069&lt;=INDEX(DarlBindung,19),1,0))</f>
      </c>
      <c r="H9069" s="43">
        <f>IF($G9069=1,INDEX(DarlSollzins,19),INDEX(DarlAnschluss,19))</f>
      </c>
      <c r="I9069" s="43">
        <f>IF(INDEX(DarlBelegt,19)=0,0,IF(INDEX(DarlOhneTilgung,19)=1,IF(INDEX(DarlBindung,19)="",1,$G9069),IF($J9069&gt;0.005,1,0)))</f>
      </c>
      <c r="J9069" s="43">
        <f>IF($I9068=0,0,$R9068)</f>
      </c>
      <c r="K9069" s="43">
        <f>IF($I9069=0,0,IF(INDEX(DarlOhneTilgung,19)=1,0,IF(AND(INDEX(DarlTilgStart,19)&gt;0,$E9069=INDEX(DarlTilgStart,19)),$J9069*($H9069+INDEX(DarlTilgung,19))/100/12,IF(AND($G9069=0,$G9068=1),MAX($K9068,$J9069*($H9069+1)/100/12),$K9068))))</f>
      </c>
      <c r="L9069" s="43">
        <f>IF($I9069=0,0,$J9069*$H9069/100/12)</f>
      </c>
      <c r="M9069" s="43">
        <f>IF($I9069=0,0,IF(OR(INDEX(DarlOhneTilgung,19)=1,AND(INDEX(DarlTilgStart,19)&gt;0,$E9069&lt;INDEX(DarlTilgStart,19))),0,MIN(MAX(0,$K9069-$L9069),$J9069)))</f>
      </c>
      <c r="N9069" s="43">
        <f>IF($I9069=0,0,MIN(SUMIFS(SondBetrag,SondDarl,19,SondDatum,"&gt;="&amp;$E9069,SondDatum,"&lt;="&amp;EOMONTH($E9069,0)),$J9069-$M9069))</f>
      </c>
      <c r="O9069" s="43">
        <f>IF($I9069=0,0,INDEX(DarlErsatzRate,19))</f>
      </c>
      <c r="P9069" s="43">
        <f>IF($I9069=0,0,$Q9068*INDEX(DarlErsatzZins,19))</f>
      </c>
      <c r="Q9069" s="43">
        <f>IF($I9069=0,0,$Q9068+$P9069+$O9069)</f>
      </c>
      <c r="R9069" s="43">
        <f>IF($I9069=0,0,$J9069-$M9069-$N9069)</f>
      </c>
    </row>
    <row r="9070">
      <c r="A9070"/>
      <c r="B9070">
        <v>19</v>
      </c>
      <c r="C9070" s="43">
        <f>INDEX(DarlObj,19)</f>
      </c>
      <c r="D9070">
        <v>427</v>
      </c>
      <c r="E9070" s="51">
        <f>IF(INDEX(DarlBelegt,19)=0,0,EOMONTH(INDEX(DarlAuszahlung,19),426)+1)</f>
      </c>
      <c r="F9070" s="43">
        <f>IF($E9070=0,0,YEAR($E9070))</f>
      </c>
      <c r="G9070" s="43">
        <f>IF(INDEX(DarlBindung,19)="",1,IF($E9070&lt;=INDEX(DarlBindung,19),1,0))</f>
      </c>
      <c r="H9070" s="43">
        <f>IF($G9070=1,INDEX(DarlSollzins,19),INDEX(DarlAnschluss,19))</f>
      </c>
      <c r="I9070" s="43">
        <f>IF(INDEX(DarlBelegt,19)=0,0,IF(INDEX(DarlOhneTilgung,19)=1,IF(INDEX(DarlBindung,19)="",1,$G9070),IF($J9070&gt;0.005,1,0)))</f>
      </c>
      <c r="J9070" s="43">
        <f>IF($I9069=0,0,$R9069)</f>
      </c>
      <c r="K9070" s="43">
        <f>IF($I9070=0,0,IF(INDEX(DarlOhneTilgung,19)=1,0,IF(AND(INDEX(DarlTilgStart,19)&gt;0,$E9070=INDEX(DarlTilgStart,19)),$J9070*($H9070+INDEX(DarlTilgung,19))/100/12,IF(AND($G9070=0,$G9069=1),MAX($K9069,$J9070*($H9070+1)/100/12),$K9069))))</f>
      </c>
      <c r="L9070" s="43">
        <f>IF($I9070=0,0,$J9070*$H9070/100/12)</f>
      </c>
      <c r="M9070" s="43">
        <f>IF($I9070=0,0,IF(OR(INDEX(DarlOhneTilgung,19)=1,AND(INDEX(DarlTilgStart,19)&gt;0,$E9070&lt;INDEX(DarlTilgStart,19))),0,MIN(MAX(0,$K9070-$L9070),$J9070)))</f>
      </c>
      <c r="N9070" s="43">
        <f>IF($I9070=0,0,MIN(SUMIFS(SondBetrag,SondDarl,19,SondDatum,"&gt;="&amp;$E9070,SondDatum,"&lt;="&amp;EOMONTH($E9070,0)),$J9070-$M9070))</f>
      </c>
      <c r="O9070" s="43">
        <f>IF($I9070=0,0,INDEX(DarlErsatzRate,19))</f>
      </c>
      <c r="P9070" s="43">
        <f>IF($I9070=0,0,$Q9069*INDEX(DarlErsatzZins,19))</f>
      </c>
      <c r="Q9070" s="43">
        <f>IF($I9070=0,0,$Q9069+$P9070+$O9070)</f>
      </c>
      <c r="R9070" s="43">
        <f>IF($I9070=0,0,$J9070-$M9070-$N9070)</f>
      </c>
    </row>
    <row r="9071">
      <c r="A9071"/>
      <c r="B9071">
        <v>19</v>
      </c>
      <c r="C9071" s="43">
        <f>INDEX(DarlObj,19)</f>
      </c>
      <c r="D9071">
        <v>428</v>
      </c>
      <c r="E9071" s="51">
        <f>IF(INDEX(DarlBelegt,19)=0,0,EOMONTH(INDEX(DarlAuszahlung,19),427)+1)</f>
      </c>
      <c r="F9071" s="43">
        <f>IF($E9071=0,0,YEAR($E9071))</f>
      </c>
      <c r="G9071" s="43">
        <f>IF(INDEX(DarlBindung,19)="",1,IF($E9071&lt;=INDEX(DarlBindung,19),1,0))</f>
      </c>
      <c r="H9071" s="43">
        <f>IF($G9071=1,INDEX(DarlSollzins,19),INDEX(DarlAnschluss,19))</f>
      </c>
      <c r="I9071" s="43">
        <f>IF(INDEX(DarlBelegt,19)=0,0,IF(INDEX(DarlOhneTilgung,19)=1,IF(INDEX(DarlBindung,19)="",1,$G9071),IF($J9071&gt;0.005,1,0)))</f>
      </c>
      <c r="J9071" s="43">
        <f>IF($I9070=0,0,$R9070)</f>
      </c>
      <c r="K9071" s="43">
        <f>IF($I9071=0,0,IF(INDEX(DarlOhneTilgung,19)=1,0,IF(AND(INDEX(DarlTilgStart,19)&gt;0,$E9071=INDEX(DarlTilgStart,19)),$J9071*($H9071+INDEX(DarlTilgung,19))/100/12,IF(AND($G9071=0,$G9070=1),MAX($K9070,$J9071*($H9071+1)/100/12),$K9070))))</f>
      </c>
      <c r="L9071" s="43">
        <f>IF($I9071=0,0,$J9071*$H9071/100/12)</f>
      </c>
      <c r="M9071" s="43">
        <f>IF($I9071=0,0,IF(OR(INDEX(DarlOhneTilgung,19)=1,AND(INDEX(DarlTilgStart,19)&gt;0,$E9071&lt;INDEX(DarlTilgStart,19))),0,MIN(MAX(0,$K9071-$L9071),$J9071)))</f>
      </c>
      <c r="N9071" s="43">
        <f>IF($I9071=0,0,MIN(SUMIFS(SondBetrag,SondDarl,19,SondDatum,"&gt;="&amp;$E9071,SondDatum,"&lt;="&amp;EOMONTH($E9071,0)),$J9071-$M9071))</f>
      </c>
      <c r="O9071" s="43">
        <f>IF($I9071=0,0,INDEX(DarlErsatzRate,19))</f>
      </c>
      <c r="P9071" s="43">
        <f>IF($I9071=0,0,$Q9070*INDEX(DarlErsatzZins,19))</f>
      </c>
      <c r="Q9071" s="43">
        <f>IF($I9071=0,0,$Q9070+$P9071+$O9071)</f>
      </c>
      <c r="R9071" s="43">
        <f>IF($I9071=0,0,$J9071-$M9071-$N9071)</f>
      </c>
    </row>
    <row r="9072">
      <c r="A9072"/>
      <c r="B9072">
        <v>19</v>
      </c>
      <c r="C9072" s="43">
        <f>INDEX(DarlObj,19)</f>
      </c>
      <c r="D9072">
        <v>429</v>
      </c>
      <c r="E9072" s="51">
        <f>IF(INDEX(DarlBelegt,19)=0,0,EOMONTH(INDEX(DarlAuszahlung,19),428)+1)</f>
      </c>
      <c r="F9072" s="43">
        <f>IF($E9072=0,0,YEAR($E9072))</f>
      </c>
      <c r="G9072" s="43">
        <f>IF(INDEX(DarlBindung,19)="",1,IF($E9072&lt;=INDEX(DarlBindung,19),1,0))</f>
      </c>
      <c r="H9072" s="43">
        <f>IF($G9072=1,INDEX(DarlSollzins,19),INDEX(DarlAnschluss,19))</f>
      </c>
      <c r="I9072" s="43">
        <f>IF(INDEX(DarlBelegt,19)=0,0,IF(INDEX(DarlOhneTilgung,19)=1,IF(INDEX(DarlBindung,19)="",1,$G9072),IF($J9072&gt;0.005,1,0)))</f>
      </c>
      <c r="J9072" s="43">
        <f>IF($I9071=0,0,$R9071)</f>
      </c>
      <c r="K9072" s="43">
        <f>IF($I9072=0,0,IF(INDEX(DarlOhneTilgung,19)=1,0,IF(AND(INDEX(DarlTilgStart,19)&gt;0,$E9072=INDEX(DarlTilgStart,19)),$J9072*($H9072+INDEX(DarlTilgung,19))/100/12,IF(AND($G9072=0,$G9071=1),MAX($K9071,$J9072*($H9072+1)/100/12),$K9071))))</f>
      </c>
      <c r="L9072" s="43">
        <f>IF($I9072=0,0,$J9072*$H9072/100/12)</f>
      </c>
      <c r="M9072" s="43">
        <f>IF($I9072=0,0,IF(OR(INDEX(DarlOhneTilgung,19)=1,AND(INDEX(DarlTilgStart,19)&gt;0,$E9072&lt;INDEX(DarlTilgStart,19))),0,MIN(MAX(0,$K9072-$L9072),$J9072)))</f>
      </c>
      <c r="N9072" s="43">
        <f>IF($I9072=0,0,MIN(SUMIFS(SondBetrag,SondDarl,19,SondDatum,"&gt;="&amp;$E9072,SondDatum,"&lt;="&amp;EOMONTH($E9072,0)),$J9072-$M9072))</f>
      </c>
      <c r="O9072" s="43">
        <f>IF($I9072=0,0,INDEX(DarlErsatzRate,19))</f>
      </c>
      <c r="P9072" s="43">
        <f>IF($I9072=0,0,$Q9071*INDEX(DarlErsatzZins,19))</f>
      </c>
      <c r="Q9072" s="43">
        <f>IF($I9072=0,0,$Q9071+$P9072+$O9072)</f>
      </c>
      <c r="R9072" s="43">
        <f>IF($I9072=0,0,$J9072-$M9072-$N9072)</f>
      </c>
    </row>
    <row r="9073">
      <c r="A9073"/>
      <c r="B9073">
        <v>19</v>
      </c>
      <c r="C9073" s="43">
        <f>INDEX(DarlObj,19)</f>
      </c>
      <c r="D9073">
        <v>430</v>
      </c>
      <c r="E9073" s="51">
        <f>IF(INDEX(DarlBelegt,19)=0,0,EOMONTH(INDEX(DarlAuszahlung,19),429)+1)</f>
      </c>
      <c r="F9073" s="43">
        <f>IF($E9073=0,0,YEAR($E9073))</f>
      </c>
      <c r="G9073" s="43">
        <f>IF(INDEX(DarlBindung,19)="",1,IF($E9073&lt;=INDEX(DarlBindung,19),1,0))</f>
      </c>
      <c r="H9073" s="43">
        <f>IF($G9073=1,INDEX(DarlSollzins,19),INDEX(DarlAnschluss,19))</f>
      </c>
      <c r="I9073" s="43">
        <f>IF(INDEX(DarlBelegt,19)=0,0,IF(INDEX(DarlOhneTilgung,19)=1,IF(INDEX(DarlBindung,19)="",1,$G9073),IF($J9073&gt;0.005,1,0)))</f>
      </c>
      <c r="J9073" s="43">
        <f>IF($I9072=0,0,$R9072)</f>
      </c>
      <c r="K9073" s="43">
        <f>IF($I9073=0,0,IF(INDEX(DarlOhneTilgung,19)=1,0,IF(AND(INDEX(DarlTilgStart,19)&gt;0,$E9073=INDEX(DarlTilgStart,19)),$J9073*($H9073+INDEX(DarlTilgung,19))/100/12,IF(AND($G9073=0,$G9072=1),MAX($K9072,$J9073*($H9073+1)/100/12),$K9072))))</f>
      </c>
      <c r="L9073" s="43">
        <f>IF($I9073=0,0,$J9073*$H9073/100/12)</f>
      </c>
      <c r="M9073" s="43">
        <f>IF($I9073=0,0,IF(OR(INDEX(DarlOhneTilgung,19)=1,AND(INDEX(DarlTilgStart,19)&gt;0,$E9073&lt;INDEX(DarlTilgStart,19))),0,MIN(MAX(0,$K9073-$L9073),$J9073)))</f>
      </c>
      <c r="N9073" s="43">
        <f>IF($I9073=0,0,MIN(SUMIFS(SondBetrag,SondDarl,19,SondDatum,"&gt;="&amp;$E9073,SondDatum,"&lt;="&amp;EOMONTH($E9073,0)),$J9073-$M9073))</f>
      </c>
      <c r="O9073" s="43">
        <f>IF($I9073=0,0,INDEX(DarlErsatzRate,19))</f>
      </c>
      <c r="P9073" s="43">
        <f>IF($I9073=0,0,$Q9072*INDEX(DarlErsatzZins,19))</f>
      </c>
      <c r="Q9073" s="43">
        <f>IF($I9073=0,0,$Q9072+$P9073+$O9073)</f>
      </c>
      <c r="R9073" s="43">
        <f>IF($I9073=0,0,$J9073-$M9073-$N9073)</f>
      </c>
    </row>
    <row r="9074">
      <c r="A9074"/>
      <c r="B9074">
        <v>19</v>
      </c>
      <c r="C9074" s="43">
        <f>INDEX(DarlObj,19)</f>
      </c>
      <c r="D9074">
        <v>431</v>
      </c>
      <c r="E9074" s="51">
        <f>IF(INDEX(DarlBelegt,19)=0,0,EOMONTH(INDEX(DarlAuszahlung,19),430)+1)</f>
      </c>
      <c r="F9074" s="43">
        <f>IF($E9074=0,0,YEAR($E9074))</f>
      </c>
      <c r="G9074" s="43">
        <f>IF(INDEX(DarlBindung,19)="",1,IF($E9074&lt;=INDEX(DarlBindung,19),1,0))</f>
      </c>
      <c r="H9074" s="43">
        <f>IF($G9074=1,INDEX(DarlSollzins,19),INDEX(DarlAnschluss,19))</f>
      </c>
      <c r="I9074" s="43">
        <f>IF(INDEX(DarlBelegt,19)=0,0,IF(INDEX(DarlOhneTilgung,19)=1,IF(INDEX(DarlBindung,19)="",1,$G9074),IF($J9074&gt;0.005,1,0)))</f>
      </c>
      <c r="J9074" s="43">
        <f>IF($I9073=0,0,$R9073)</f>
      </c>
      <c r="K9074" s="43">
        <f>IF($I9074=0,0,IF(INDEX(DarlOhneTilgung,19)=1,0,IF(AND(INDEX(DarlTilgStart,19)&gt;0,$E9074=INDEX(DarlTilgStart,19)),$J9074*($H9074+INDEX(DarlTilgung,19))/100/12,IF(AND($G9074=0,$G9073=1),MAX($K9073,$J9074*($H9074+1)/100/12),$K9073))))</f>
      </c>
      <c r="L9074" s="43">
        <f>IF($I9074=0,0,$J9074*$H9074/100/12)</f>
      </c>
      <c r="M9074" s="43">
        <f>IF($I9074=0,0,IF(OR(INDEX(DarlOhneTilgung,19)=1,AND(INDEX(DarlTilgStart,19)&gt;0,$E9074&lt;INDEX(DarlTilgStart,19))),0,MIN(MAX(0,$K9074-$L9074),$J9074)))</f>
      </c>
      <c r="N9074" s="43">
        <f>IF($I9074=0,0,MIN(SUMIFS(SondBetrag,SondDarl,19,SondDatum,"&gt;="&amp;$E9074,SondDatum,"&lt;="&amp;EOMONTH($E9074,0)),$J9074-$M9074))</f>
      </c>
      <c r="O9074" s="43">
        <f>IF($I9074=0,0,INDEX(DarlErsatzRate,19))</f>
      </c>
      <c r="P9074" s="43">
        <f>IF($I9074=0,0,$Q9073*INDEX(DarlErsatzZins,19))</f>
      </c>
      <c r="Q9074" s="43">
        <f>IF($I9074=0,0,$Q9073+$P9074+$O9074)</f>
      </c>
      <c r="R9074" s="43">
        <f>IF($I9074=0,0,$J9074-$M9074-$N9074)</f>
      </c>
    </row>
    <row r="9075">
      <c r="A9075"/>
      <c r="B9075">
        <v>19</v>
      </c>
      <c r="C9075" s="43">
        <f>INDEX(DarlObj,19)</f>
      </c>
      <c r="D9075">
        <v>432</v>
      </c>
      <c r="E9075" s="51">
        <f>IF(INDEX(DarlBelegt,19)=0,0,EOMONTH(INDEX(DarlAuszahlung,19),431)+1)</f>
      </c>
      <c r="F9075" s="43">
        <f>IF($E9075=0,0,YEAR($E9075))</f>
      </c>
      <c r="G9075" s="43">
        <f>IF(INDEX(DarlBindung,19)="",1,IF($E9075&lt;=INDEX(DarlBindung,19),1,0))</f>
      </c>
      <c r="H9075" s="43">
        <f>IF($G9075=1,INDEX(DarlSollzins,19),INDEX(DarlAnschluss,19))</f>
      </c>
      <c r="I9075" s="43">
        <f>IF(INDEX(DarlBelegt,19)=0,0,IF(INDEX(DarlOhneTilgung,19)=1,IF(INDEX(DarlBindung,19)="",1,$G9075),IF($J9075&gt;0.005,1,0)))</f>
      </c>
      <c r="J9075" s="43">
        <f>IF($I9074=0,0,$R9074)</f>
      </c>
      <c r="K9075" s="43">
        <f>IF($I9075=0,0,IF(INDEX(DarlOhneTilgung,19)=1,0,IF(AND(INDEX(DarlTilgStart,19)&gt;0,$E9075=INDEX(DarlTilgStart,19)),$J9075*($H9075+INDEX(DarlTilgung,19))/100/12,IF(AND($G9075=0,$G9074=1),MAX($K9074,$J9075*($H9075+1)/100/12),$K9074))))</f>
      </c>
      <c r="L9075" s="43">
        <f>IF($I9075=0,0,$J9075*$H9075/100/12)</f>
      </c>
      <c r="M9075" s="43">
        <f>IF($I9075=0,0,IF(OR(INDEX(DarlOhneTilgung,19)=1,AND(INDEX(DarlTilgStart,19)&gt;0,$E9075&lt;INDEX(DarlTilgStart,19))),0,MIN(MAX(0,$K9075-$L9075),$J9075)))</f>
      </c>
      <c r="N9075" s="43">
        <f>IF($I9075=0,0,MIN(SUMIFS(SondBetrag,SondDarl,19,SondDatum,"&gt;="&amp;$E9075,SondDatum,"&lt;="&amp;EOMONTH($E9075,0)),$J9075-$M9075))</f>
      </c>
      <c r="O9075" s="43">
        <f>IF($I9075=0,0,INDEX(DarlErsatzRate,19))</f>
      </c>
      <c r="P9075" s="43">
        <f>IF($I9075=0,0,$Q9074*INDEX(DarlErsatzZins,19))</f>
      </c>
      <c r="Q9075" s="43">
        <f>IF($I9075=0,0,$Q9074+$P9075+$O9075)</f>
      </c>
      <c r="R9075" s="43">
        <f>IF($I9075=0,0,$J9075-$M9075-$N9075)</f>
      </c>
    </row>
    <row r="9076">
      <c r="A9076"/>
      <c r="B9076">
        <v>19</v>
      </c>
      <c r="C9076" s="43">
        <f>INDEX(DarlObj,19)</f>
      </c>
      <c r="D9076">
        <v>433</v>
      </c>
      <c r="E9076" s="51">
        <f>IF(INDEX(DarlBelegt,19)=0,0,EOMONTH(INDEX(DarlAuszahlung,19),432)+1)</f>
      </c>
      <c r="F9076" s="43">
        <f>IF($E9076=0,0,YEAR($E9076))</f>
      </c>
      <c r="G9076" s="43">
        <f>IF(INDEX(DarlBindung,19)="",1,IF($E9076&lt;=INDEX(DarlBindung,19),1,0))</f>
      </c>
      <c r="H9076" s="43">
        <f>IF($G9076=1,INDEX(DarlSollzins,19),INDEX(DarlAnschluss,19))</f>
      </c>
      <c r="I9076" s="43">
        <f>IF(INDEX(DarlBelegt,19)=0,0,IF(INDEX(DarlOhneTilgung,19)=1,IF(INDEX(DarlBindung,19)="",1,$G9076),IF($J9076&gt;0.005,1,0)))</f>
      </c>
      <c r="J9076" s="43">
        <f>IF($I9075=0,0,$R9075)</f>
      </c>
      <c r="K9076" s="43">
        <f>IF($I9076=0,0,IF(INDEX(DarlOhneTilgung,19)=1,0,IF(AND(INDEX(DarlTilgStart,19)&gt;0,$E9076=INDEX(DarlTilgStart,19)),$J9076*($H9076+INDEX(DarlTilgung,19))/100/12,IF(AND($G9076=0,$G9075=1),MAX($K9075,$J9076*($H9076+1)/100/12),$K9075))))</f>
      </c>
      <c r="L9076" s="43">
        <f>IF($I9076=0,0,$J9076*$H9076/100/12)</f>
      </c>
      <c r="M9076" s="43">
        <f>IF($I9076=0,0,IF(OR(INDEX(DarlOhneTilgung,19)=1,AND(INDEX(DarlTilgStart,19)&gt;0,$E9076&lt;INDEX(DarlTilgStart,19))),0,MIN(MAX(0,$K9076-$L9076),$J9076)))</f>
      </c>
      <c r="N9076" s="43">
        <f>IF($I9076=0,0,MIN(SUMIFS(SondBetrag,SondDarl,19,SondDatum,"&gt;="&amp;$E9076,SondDatum,"&lt;="&amp;EOMONTH($E9076,0)),$J9076-$M9076))</f>
      </c>
      <c r="O9076" s="43">
        <f>IF($I9076=0,0,INDEX(DarlErsatzRate,19))</f>
      </c>
      <c r="P9076" s="43">
        <f>IF($I9076=0,0,$Q9075*INDEX(DarlErsatzZins,19))</f>
      </c>
      <c r="Q9076" s="43">
        <f>IF($I9076=0,0,$Q9075+$P9076+$O9076)</f>
      </c>
      <c r="R9076" s="43">
        <f>IF($I9076=0,0,$J9076-$M9076-$N9076)</f>
      </c>
    </row>
    <row r="9077">
      <c r="A9077"/>
      <c r="B9077">
        <v>19</v>
      </c>
      <c r="C9077" s="43">
        <f>INDEX(DarlObj,19)</f>
      </c>
      <c r="D9077">
        <v>434</v>
      </c>
      <c r="E9077" s="51">
        <f>IF(INDEX(DarlBelegt,19)=0,0,EOMONTH(INDEX(DarlAuszahlung,19),433)+1)</f>
      </c>
      <c r="F9077" s="43">
        <f>IF($E9077=0,0,YEAR($E9077))</f>
      </c>
      <c r="G9077" s="43">
        <f>IF(INDEX(DarlBindung,19)="",1,IF($E9077&lt;=INDEX(DarlBindung,19),1,0))</f>
      </c>
      <c r="H9077" s="43">
        <f>IF($G9077=1,INDEX(DarlSollzins,19),INDEX(DarlAnschluss,19))</f>
      </c>
      <c r="I9077" s="43">
        <f>IF(INDEX(DarlBelegt,19)=0,0,IF(INDEX(DarlOhneTilgung,19)=1,IF(INDEX(DarlBindung,19)="",1,$G9077),IF($J9077&gt;0.005,1,0)))</f>
      </c>
      <c r="J9077" s="43">
        <f>IF($I9076=0,0,$R9076)</f>
      </c>
      <c r="K9077" s="43">
        <f>IF($I9077=0,0,IF(INDEX(DarlOhneTilgung,19)=1,0,IF(AND(INDEX(DarlTilgStart,19)&gt;0,$E9077=INDEX(DarlTilgStart,19)),$J9077*($H9077+INDEX(DarlTilgung,19))/100/12,IF(AND($G9077=0,$G9076=1),MAX($K9076,$J9077*($H9077+1)/100/12),$K9076))))</f>
      </c>
      <c r="L9077" s="43">
        <f>IF($I9077=0,0,$J9077*$H9077/100/12)</f>
      </c>
      <c r="M9077" s="43">
        <f>IF($I9077=0,0,IF(OR(INDEX(DarlOhneTilgung,19)=1,AND(INDEX(DarlTilgStart,19)&gt;0,$E9077&lt;INDEX(DarlTilgStart,19))),0,MIN(MAX(0,$K9077-$L9077),$J9077)))</f>
      </c>
      <c r="N9077" s="43">
        <f>IF($I9077=0,0,MIN(SUMIFS(SondBetrag,SondDarl,19,SondDatum,"&gt;="&amp;$E9077,SondDatum,"&lt;="&amp;EOMONTH($E9077,0)),$J9077-$M9077))</f>
      </c>
      <c r="O9077" s="43">
        <f>IF($I9077=0,0,INDEX(DarlErsatzRate,19))</f>
      </c>
      <c r="P9077" s="43">
        <f>IF($I9077=0,0,$Q9076*INDEX(DarlErsatzZins,19))</f>
      </c>
      <c r="Q9077" s="43">
        <f>IF($I9077=0,0,$Q9076+$P9077+$O9077)</f>
      </c>
      <c r="R9077" s="43">
        <f>IF($I9077=0,0,$J9077-$M9077-$N9077)</f>
      </c>
    </row>
    <row r="9078">
      <c r="A9078"/>
      <c r="B9078">
        <v>19</v>
      </c>
      <c r="C9078" s="43">
        <f>INDEX(DarlObj,19)</f>
      </c>
      <c r="D9078">
        <v>435</v>
      </c>
      <c r="E9078" s="51">
        <f>IF(INDEX(DarlBelegt,19)=0,0,EOMONTH(INDEX(DarlAuszahlung,19),434)+1)</f>
      </c>
      <c r="F9078" s="43">
        <f>IF($E9078=0,0,YEAR($E9078))</f>
      </c>
      <c r="G9078" s="43">
        <f>IF(INDEX(DarlBindung,19)="",1,IF($E9078&lt;=INDEX(DarlBindung,19),1,0))</f>
      </c>
      <c r="H9078" s="43">
        <f>IF($G9078=1,INDEX(DarlSollzins,19),INDEX(DarlAnschluss,19))</f>
      </c>
      <c r="I9078" s="43">
        <f>IF(INDEX(DarlBelegt,19)=0,0,IF(INDEX(DarlOhneTilgung,19)=1,IF(INDEX(DarlBindung,19)="",1,$G9078),IF($J9078&gt;0.005,1,0)))</f>
      </c>
      <c r="J9078" s="43">
        <f>IF($I9077=0,0,$R9077)</f>
      </c>
      <c r="K9078" s="43">
        <f>IF($I9078=0,0,IF(INDEX(DarlOhneTilgung,19)=1,0,IF(AND(INDEX(DarlTilgStart,19)&gt;0,$E9078=INDEX(DarlTilgStart,19)),$J9078*($H9078+INDEX(DarlTilgung,19))/100/12,IF(AND($G9078=0,$G9077=1),MAX($K9077,$J9078*($H9078+1)/100/12),$K9077))))</f>
      </c>
      <c r="L9078" s="43">
        <f>IF($I9078=0,0,$J9078*$H9078/100/12)</f>
      </c>
      <c r="M9078" s="43">
        <f>IF($I9078=0,0,IF(OR(INDEX(DarlOhneTilgung,19)=1,AND(INDEX(DarlTilgStart,19)&gt;0,$E9078&lt;INDEX(DarlTilgStart,19))),0,MIN(MAX(0,$K9078-$L9078),$J9078)))</f>
      </c>
      <c r="N9078" s="43">
        <f>IF($I9078=0,0,MIN(SUMIFS(SondBetrag,SondDarl,19,SondDatum,"&gt;="&amp;$E9078,SondDatum,"&lt;="&amp;EOMONTH($E9078,0)),$J9078-$M9078))</f>
      </c>
      <c r="O9078" s="43">
        <f>IF($I9078=0,0,INDEX(DarlErsatzRate,19))</f>
      </c>
      <c r="P9078" s="43">
        <f>IF($I9078=0,0,$Q9077*INDEX(DarlErsatzZins,19))</f>
      </c>
      <c r="Q9078" s="43">
        <f>IF($I9078=0,0,$Q9077+$P9078+$O9078)</f>
      </c>
      <c r="R9078" s="43">
        <f>IF($I9078=0,0,$J9078-$M9078-$N9078)</f>
      </c>
    </row>
    <row r="9079">
      <c r="A9079"/>
      <c r="B9079">
        <v>19</v>
      </c>
      <c r="C9079" s="43">
        <f>INDEX(DarlObj,19)</f>
      </c>
      <c r="D9079">
        <v>436</v>
      </c>
      <c r="E9079" s="51">
        <f>IF(INDEX(DarlBelegt,19)=0,0,EOMONTH(INDEX(DarlAuszahlung,19),435)+1)</f>
      </c>
      <c r="F9079" s="43">
        <f>IF($E9079=0,0,YEAR($E9079))</f>
      </c>
      <c r="G9079" s="43">
        <f>IF(INDEX(DarlBindung,19)="",1,IF($E9079&lt;=INDEX(DarlBindung,19),1,0))</f>
      </c>
      <c r="H9079" s="43">
        <f>IF($G9079=1,INDEX(DarlSollzins,19),INDEX(DarlAnschluss,19))</f>
      </c>
      <c r="I9079" s="43">
        <f>IF(INDEX(DarlBelegt,19)=0,0,IF(INDEX(DarlOhneTilgung,19)=1,IF(INDEX(DarlBindung,19)="",1,$G9079),IF($J9079&gt;0.005,1,0)))</f>
      </c>
      <c r="J9079" s="43">
        <f>IF($I9078=0,0,$R9078)</f>
      </c>
      <c r="K9079" s="43">
        <f>IF($I9079=0,0,IF(INDEX(DarlOhneTilgung,19)=1,0,IF(AND(INDEX(DarlTilgStart,19)&gt;0,$E9079=INDEX(DarlTilgStart,19)),$J9079*($H9079+INDEX(DarlTilgung,19))/100/12,IF(AND($G9079=0,$G9078=1),MAX($K9078,$J9079*($H9079+1)/100/12),$K9078))))</f>
      </c>
      <c r="L9079" s="43">
        <f>IF($I9079=0,0,$J9079*$H9079/100/12)</f>
      </c>
      <c r="M9079" s="43">
        <f>IF($I9079=0,0,IF(OR(INDEX(DarlOhneTilgung,19)=1,AND(INDEX(DarlTilgStart,19)&gt;0,$E9079&lt;INDEX(DarlTilgStart,19))),0,MIN(MAX(0,$K9079-$L9079),$J9079)))</f>
      </c>
      <c r="N9079" s="43">
        <f>IF($I9079=0,0,MIN(SUMIFS(SondBetrag,SondDarl,19,SondDatum,"&gt;="&amp;$E9079,SondDatum,"&lt;="&amp;EOMONTH($E9079,0)),$J9079-$M9079))</f>
      </c>
      <c r="O9079" s="43">
        <f>IF($I9079=0,0,INDEX(DarlErsatzRate,19))</f>
      </c>
      <c r="P9079" s="43">
        <f>IF($I9079=0,0,$Q9078*INDEX(DarlErsatzZins,19))</f>
      </c>
      <c r="Q9079" s="43">
        <f>IF($I9079=0,0,$Q9078+$P9079+$O9079)</f>
      </c>
      <c r="R9079" s="43">
        <f>IF($I9079=0,0,$J9079-$M9079-$N9079)</f>
      </c>
    </row>
    <row r="9080">
      <c r="A9080"/>
      <c r="B9080">
        <v>19</v>
      </c>
      <c r="C9080" s="43">
        <f>INDEX(DarlObj,19)</f>
      </c>
      <c r="D9080">
        <v>437</v>
      </c>
      <c r="E9080" s="51">
        <f>IF(INDEX(DarlBelegt,19)=0,0,EOMONTH(INDEX(DarlAuszahlung,19),436)+1)</f>
      </c>
      <c r="F9080" s="43">
        <f>IF($E9080=0,0,YEAR($E9080))</f>
      </c>
      <c r="G9080" s="43">
        <f>IF(INDEX(DarlBindung,19)="",1,IF($E9080&lt;=INDEX(DarlBindung,19),1,0))</f>
      </c>
      <c r="H9080" s="43">
        <f>IF($G9080=1,INDEX(DarlSollzins,19),INDEX(DarlAnschluss,19))</f>
      </c>
      <c r="I9080" s="43">
        <f>IF(INDEX(DarlBelegt,19)=0,0,IF(INDEX(DarlOhneTilgung,19)=1,IF(INDEX(DarlBindung,19)="",1,$G9080),IF($J9080&gt;0.005,1,0)))</f>
      </c>
      <c r="J9080" s="43">
        <f>IF($I9079=0,0,$R9079)</f>
      </c>
      <c r="K9080" s="43">
        <f>IF($I9080=0,0,IF(INDEX(DarlOhneTilgung,19)=1,0,IF(AND(INDEX(DarlTilgStart,19)&gt;0,$E9080=INDEX(DarlTilgStart,19)),$J9080*($H9080+INDEX(DarlTilgung,19))/100/12,IF(AND($G9080=0,$G9079=1),MAX($K9079,$J9080*($H9080+1)/100/12),$K9079))))</f>
      </c>
      <c r="L9080" s="43">
        <f>IF($I9080=0,0,$J9080*$H9080/100/12)</f>
      </c>
      <c r="M9080" s="43">
        <f>IF($I9080=0,0,IF(OR(INDEX(DarlOhneTilgung,19)=1,AND(INDEX(DarlTilgStart,19)&gt;0,$E9080&lt;INDEX(DarlTilgStart,19))),0,MIN(MAX(0,$K9080-$L9080),$J9080)))</f>
      </c>
      <c r="N9080" s="43">
        <f>IF($I9080=0,0,MIN(SUMIFS(SondBetrag,SondDarl,19,SondDatum,"&gt;="&amp;$E9080,SondDatum,"&lt;="&amp;EOMONTH($E9080,0)),$J9080-$M9080))</f>
      </c>
      <c r="O9080" s="43">
        <f>IF($I9080=0,0,INDEX(DarlErsatzRate,19))</f>
      </c>
      <c r="P9080" s="43">
        <f>IF($I9080=0,0,$Q9079*INDEX(DarlErsatzZins,19))</f>
      </c>
      <c r="Q9080" s="43">
        <f>IF($I9080=0,0,$Q9079+$P9080+$O9080)</f>
      </c>
      <c r="R9080" s="43">
        <f>IF($I9080=0,0,$J9080-$M9080-$N9080)</f>
      </c>
    </row>
    <row r="9081">
      <c r="A9081"/>
      <c r="B9081">
        <v>19</v>
      </c>
      <c r="C9081" s="43">
        <f>INDEX(DarlObj,19)</f>
      </c>
      <c r="D9081">
        <v>438</v>
      </c>
      <c r="E9081" s="51">
        <f>IF(INDEX(DarlBelegt,19)=0,0,EOMONTH(INDEX(DarlAuszahlung,19),437)+1)</f>
      </c>
      <c r="F9081" s="43">
        <f>IF($E9081=0,0,YEAR($E9081))</f>
      </c>
      <c r="G9081" s="43">
        <f>IF(INDEX(DarlBindung,19)="",1,IF($E9081&lt;=INDEX(DarlBindung,19),1,0))</f>
      </c>
      <c r="H9081" s="43">
        <f>IF($G9081=1,INDEX(DarlSollzins,19),INDEX(DarlAnschluss,19))</f>
      </c>
      <c r="I9081" s="43">
        <f>IF(INDEX(DarlBelegt,19)=0,0,IF(INDEX(DarlOhneTilgung,19)=1,IF(INDEX(DarlBindung,19)="",1,$G9081),IF($J9081&gt;0.005,1,0)))</f>
      </c>
      <c r="J9081" s="43">
        <f>IF($I9080=0,0,$R9080)</f>
      </c>
      <c r="K9081" s="43">
        <f>IF($I9081=0,0,IF(INDEX(DarlOhneTilgung,19)=1,0,IF(AND(INDEX(DarlTilgStart,19)&gt;0,$E9081=INDEX(DarlTilgStart,19)),$J9081*($H9081+INDEX(DarlTilgung,19))/100/12,IF(AND($G9081=0,$G9080=1),MAX($K9080,$J9081*($H9081+1)/100/12),$K9080))))</f>
      </c>
      <c r="L9081" s="43">
        <f>IF($I9081=0,0,$J9081*$H9081/100/12)</f>
      </c>
      <c r="M9081" s="43">
        <f>IF($I9081=0,0,IF(OR(INDEX(DarlOhneTilgung,19)=1,AND(INDEX(DarlTilgStart,19)&gt;0,$E9081&lt;INDEX(DarlTilgStart,19))),0,MIN(MAX(0,$K9081-$L9081),$J9081)))</f>
      </c>
      <c r="N9081" s="43">
        <f>IF($I9081=0,0,MIN(SUMIFS(SondBetrag,SondDarl,19,SondDatum,"&gt;="&amp;$E9081,SondDatum,"&lt;="&amp;EOMONTH($E9081,0)),$J9081-$M9081))</f>
      </c>
      <c r="O9081" s="43">
        <f>IF($I9081=0,0,INDEX(DarlErsatzRate,19))</f>
      </c>
      <c r="P9081" s="43">
        <f>IF($I9081=0,0,$Q9080*INDEX(DarlErsatzZins,19))</f>
      </c>
      <c r="Q9081" s="43">
        <f>IF($I9081=0,0,$Q9080+$P9081+$O9081)</f>
      </c>
      <c r="R9081" s="43">
        <f>IF($I9081=0,0,$J9081-$M9081-$N9081)</f>
      </c>
    </row>
    <row r="9082">
      <c r="A9082"/>
      <c r="B9082">
        <v>19</v>
      </c>
      <c r="C9082" s="43">
        <f>INDEX(DarlObj,19)</f>
      </c>
      <c r="D9082">
        <v>439</v>
      </c>
      <c r="E9082" s="51">
        <f>IF(INDEX(DarlBelegt,19)=0,0,EOMONTH(INDEX(DarlAuszahlung,19),438)+1)</f>
      </c>
      <c r="F9082" s="43">
        <f>IF($E9082=0,0,YEAR($E9082))</f>
      </c>
      <c r="G9082" s="43">
        <f>IF(INDEX(DarlBindung,19)="",1,IF($E9082&lt;=INDEX(DarlBindung,19),1,0))</f>
      </c>
      <c r="H9082" s="43">
        <f>IF($G9082=1,INDEX(DarlSollzins,19),INDEX(DarlAnschluss,19))</f>
      </c>
      <c r="I9082" s="43">
        <f>IF(INDEX(DarlBelegt,19)=0,0,IF(INDEX(DarlOhneTilgung,19)=1,IF(INDEX(DarlBindung,19)="",1,$G9082),IF($J9082&gt;0.005,1,0)))</f>
      </c>
      <c r="J9082" s="43">
        <f>IF($I9081=0,0,$R9081)</f>
      </c>
      <c r="K9082" s="43">
        <f>IF($I9082=0,0,IF(INDEX(DarlOhneTilgung,19)=1,0,IF(AND(INDEX(DarlTilgStart,19)&gt;0,$E9082=INDEX(DarlTilgStart,19)),$J9082*($H9082+INDEX(DarlTilgung,19))/100/12,IF(AND($G9082=0,$G9081=1),MAX($K9081,$J9082*($H9082+1)/100/12),$K9081))))</f>
      </c>
      <c r="L9082" s="43">
        <f>IF($I9082=0,0,$J9082*$H9082/100/12)</f>
      </c>
      <c r="M9082" s="43">
        <f>IF($I9082=0,0,IF(OR(INDEX(DarlOhneTilgung,19)=1,AND(INDEX(DarlTilgStart,19)&gt;0,$E9082&lt;INDEX(DarlTilgStart,19))),0,MIN(MAX(0,$K9082-$L9082),$J9082)))</f>
      </c>
      <c r="N9082" s="43">
        <f>IF($I9082=0,0,MIN(SUMIFS(SondBetrag,SondDarl,19,SondDatum,"&gt;="&amp;$E9082,SondDatum,"&lt;="&amp;EOMONTH($E9082,0)),$J9082-$M9082))</f>
      </c>
      <c r="O9082" s="43">
        <f>IF($I9082=0,0,INDEX(DarlErsatzRate,19))</f>
      </c>
      <c r="P9082" s="43">
        <f>IF($I9082=0,0,$Q9081*INDEX(DarlErsatzZins,19))</f>
      </c>
      <c r="Q9082" s="43">
        <f>IF($I9082=0,0,$Q9081+$P9082+$O9082)</f>
      </c>
      <c r="R9082" s="43">
        <f>IF($I9082=0,0,$J9082-$M9082-$N9082)</f>
      </c>
    </row>
    <row r="9083">
      <c r="A9083"/>
      <c r="B9083">
        <v>19</v>
      </c>
      <c r="C9083" s="43">
        <f>INDEX(DarlObj,19)</f>
      </c>
      <c r="D9083">
        <v>440</v>
      </c>
      <c r="E9083" s="51">
        <f>IF(INDEX(DarlBelegt,19)=0,0,EOMONTH(INDEX(DarlAuszahlung,19),439)+1)</f>
      </c>
      <c r="F9083" s="43">
        <f>IF($E9083=0,0,YEAR($E9083))</f>
      </c>
      <c r="G9083" s="43">
        <f>IF(INDEX(DarlBindung,19)="",1,IF($E9083&lt;=INDEX(DarlBindung,19),1,0))</f>
      </c>
      <c r="H9083" s="43">
        <f>IF($G9083=1,INDEX(DarlSollzins,19),INDEX(DarlAnschluss,19))</f>
      </c>
      <c r="I9083" s="43">
        <f>IF(INDEX(DarlBelegt,19)=0,0,IF(INDEX(DarlOhneTilgung,19)=1,IF(INDEX(DarlBindung,19)="",1,$G9083),IF($J9083&gt;0.005,1,0)))</f>
      </c>
      <c r="J9083" s="43">
        <f>IF($I9082=0,0,$R9082)</f>
      </c>
      <c r="K9083" s="43">
        <f>IF($I9083=0,0,IF(INDEX(DarlOhneTilgung,19)=1,0,IF(AND(INDEX(DarlTilgStart,19)&gt;0,$E9083=INDEX(DarlTilgStart,19)),$J9083*($H9083+INDEX(DarlTilgung,19))/100/12,IF(AND($G9083=0,$G9082=1),MAX($K9082,$J9083*($H9083+1)/100/12),$K9082))))</f>
      </c>
      <c r="L9083" s="43">
        <f>IF($I9083=0,0,$J9083*$H9083/100/12)</f>
      </c>
      <c r="M9083" s="43">
        <f>IF($I9083=0,0,IF(OR(INDEX(DarlOhneTilgung,19)=1,AND(INDEX(DarlTilgStart,19)&gt;0,$E9083&lt;INDEX(DarlTilgStart,19))),0,MIN(MAX(0,$K9083-$L9083),$J9083)))</f>
      </c>
      <c r="N9083" s="43">
        <f>IF($I9083=0,0,MIN(SUMIFS(SondBetrag,SondDarl,19,SondDatum,"&gt;="&amp;$E9083,SondDatum,"&lt;="&amp;EOMONTH($E9083,0)),$J9083-$M9083))</f>
      </c>
      <c r="O9083" s="43">
        <f>IF($I9083=0,0,INDEX(DarlErsatzRate,19))</f>
      </c>
      <c r="P9083" s="43">
        <f>IF($I9083=0,0,$Q9082*INDEX(DarlErsatzZins,19))</f>
      </c>
      <c r="Q9083" s="43">
        <f>IF($I9083=0,0,$Q9082+$P9083+$O9083)</f>
      </c>
      <c r="R9083" s="43">
        <f>IF($I9083=0,0,$J9083-$M9083-$N9083)</f>
      </c>
    </row>
    <row r="9084">
      <c r="A9084"/>
      <c r="B9084">
        <v>19</v>
      </c>
      <c r="C9084" s="43">
        <f>INDEX(DarlObj,19)</f>
      </c>
      <c r="D9084">
        <v>441</v>
      </c>
      <c r="E9084" s="51">
        <f>IF(INDEX(DarlBelegt,19)=0,0,EOMONTH(INDEX(DarlAuszahlung,19),440)+1)</f>
      </c>
      <c r="F9084" s="43">
        <f>IF($E9084=0,0,YEAR($E9084))</f>
      </c>
      <c r="G9084" s="43">
        <f>IF(INDEX(DarlBindung,19)="",1,IF($E9084&lt;=INDEX(DarlBindung,19),1,0))</f>
      </c>
      <c r="H9084" s="43">
        <f>IF($G9084=1,INDEX(DarlSollzins,19),INDEX(DarlAnschluss,19))</f>
      </c>
      <c r="I9084" s="43">
        <f>IF(INDEX(DarlBelegt,19)=0,0,IF(INDEX(DarlOhneTilgung,19)=1,IF(INDEX(DarlBindung,19)="",1,$G9084),IF($J9084&gt;0.005,1,0)))</f>
      </c>
      <c r="J9084" s="43">
        <f>IF($I9083=0,0,$R9083)</f>
      </c>
      <c r="K9084" s="43">
        <f>IF($I9084=0,0,IF(INDEX(DarlOhneTilgung,19)=1,0,IF(AND(INDEX(DarlTilgStart,19)&gt;0,$E9084=INDEX(DarlTilgStart,19)),$J9084*($H9084+INDEX(DarlTilgung,19))/100/12,IF(AND($G9084=0,$G9083=1),MAX($K9083,$J9084*($H9084+1)/100/12),$K9083))))</f>
      </c>
      <c r="L9084" s="43">
        <f>IF($I9084=0,0,$J9084*$H9084/100/12)</f>
      </c>
      <c r="M9084" s="43">
        <f>IF($I9084=0,0,IF(OR(INDEX(DarlOhneTilgung,19)=1,AND(INDEX(DarlTilgStart,19)&gt;0,$E9084&lt;INDEX(DarlTilgStart,19))),0,MIN(MAX(0,$K9084-$L9084),$J9084)))</f>
      </c>
      <c r="N9084" s="43">
        <f>IF($I9084=0,0,MIN(SUMIFS(SondBetrag,SondDarl,19,SondDatum,"&gt;="&amp;$E9084,SondDatum,"&lt;="&amp;EOMONTH($E9084,0)),$J9084-$M9084))</f>
      </c>
      <c r="O9084" s="43">
        <f>IF($I9084=0,0,INDEX(DarlErsatzRate,19))</f>
      </c>
      <c r="P9084" s="43">
        <f>IF($I9084=0,0,$Q9083*INDEX(DarlErsatzZins,19))</f>
      </c>
      <c r="Q9084" s="43">
        <f>IF($I9084=0,0,$Q9083+$P9084+$O9084)</f>
      </c>
      <c r="R9084" s="43">
        <f>IF($I9084=0,0,$J9084-$M9084-$N9084)</f>
      </c>
    </row>
    <row r="9085">
      <c r="A9085"/>
      <c r="B9085">
        <v>19</v>
      </c>
      <c r="C9085" s="43">
        <f>INDEX(DarlObj,19)</f>
      </c>
      <c r="D9085">
        <v>442</v>
      </c>
      <c r="E9085" s="51">
        <f>IF(INDEX(DarlBelegt,19)=0,0,EOMONTH(INDEX(DarlAuszahlung,19),441)+1)</f>
      </c>
      <c r="F9085" s="43">
        <f>IF($E9085=0,0,YEAR($E9085))</f>
      </c>
      <c r="G9085" s="43">
        <f>IF(INDEX(DarlBindung,19)="",1,IF($E9085&lt;=INDEX(DarlBindung,19),1,0))</f>
      </c>
      <c r="H9085" s="43">
        <f>IF($G9085=1,INDEX(DarlSollzins,19),INDEX(DarlAnschluss,19))</f>
      </c>
      <c r="I9085" s="43">
        <f>IF(INDEX(DarlBelegt,19)=0,0,IF(INDEX(DarlOhneTilgung,19)=1,IF(INDEX(DarlBindung,19)="",1,$G9085),IF($J9085&gt;0.005,1,0)))</f>
      </c>
      <c r="J9085" s="43">
        <f>IF($I9084=0,0,$R9084)</f>
      </c>
      <c r="K9085" s="43">
        <f>IF($I9085=0,0,IF(INDEX(DarlOhneTilgung,19)=1,0,IF(AND(INDEX(DarlTilgStart,19)&gt;0,$E9085=INDEX(DarlTilgStart,19)),$J9085*($H9085+INDEX(DarlTilgung,19))/100/12,IF(AND($G9085=0,$G9084=1),MAX($K9084,$J9085*($H9085+1)/100/12),$K9084))))</f>
      </c>
      <c r="L9085" s="43">
        <f>IF($I9085=0,0,$J9085*$H9085/100/12)</f>
      </c>
      <c r="M9085" s="43">
        <f>IF($I9085=0,0,IF(OR(INDEX(DarlOhneTilgung,19)=1,AND(INDEX(DarlTilgStart,19)&gt;0,$E9085&lt;INDEX(DarlTilgStart,19))),0,MIN(MAX(0,$K9085-$L9085),$J9085)))</f>
      </c>
      <c r="N9085" s="43">
        <f>IF($I9085=0,0,MIN(SUMIFS(SondBetrag,SondDarl,19,SondDatum,"&gt;="&amp;$E9085,SondDatum,"&lt;="&amp;EOMONTH($E9085,0)),$J9085-$M9085))</f>
      </c>
      <c r="O9085" s="43">
        <f>IF($I9085=0,0,INDEX(DarlErsatzRate,19))</f>
      </c>
      <c r="P9085" s="43">
        <f>IF($I9085=0,0,$Q9084*INDEX(DarlErsatzZins,19))</f>
      </c>
      <c r="Q9085" s="43">
        <f>IF($I9085=0,0,$Q9084+$P9085+$O9085)</f>
      </c>
      <c r="R9085" s="43">
        <f>IF($I9085=0,0,$J9085-$M9085-$N9085)</f>
      </c>
    </row>
    <row r="9086">
      <c r="A9086"/>
      <c r="B9086">
        <v>19</v>
      </c>
      <c r="C9086" s="43">
        <f>INDEX(DarlObj,19)</f>
      </c>
      <c r="D9086">
        <v>443</v>
      </c>
      <c r="E9086" s="51">
        <f>IF(INDEX(DarlBelegt,19)=0,0,EOMONTH(INDEX(DarlAuszahlung,19),442)+1)</f>
      </c>
      <c r="F9086" s="43">
        <f>IF($E9086=0,0,YEAR($E9086))</f>
      </c>
      <c r="G9086" s="43">
        <f>IF(INDEX(DarlBindung,19)="",1,IF($E9086&lt;=INDEX(DarlBindung,19),1,0))</f>
      </c>
      <c r="H9086" s="43">
        <f>IF($G9086=1,INDEX(DarlSollzins,19),INDEX(DarlAnschluss,19))</f>
      </c>
      <c r="I9086" s="43">
        <f>IF(INDEX(DarlBelegt,19)=0,0,IF(INDEX(DarlOhneTilgung,19)=1,IF(INDEX(DarlBindung,19)="",1,$G9086),IF($J9086&gt;0.005,1,0)))</f>
      </c>
      <c r="J9086" s="43">
        <f>IF($I9085=0,0,$R9085)</f>
      </c>
      <c r="K9086" s="43">
        <f>IF($I9086=0,0,IF(INDEX(DarlOhneTilgung,19)=1,0,IF(AND(INDEX(DarlTilgStart,19)&gt;0,$E9086=INDEX(DarlTilgStart,19)),$J9086*($H9086+INDEX(DarlTilgung,19))/100/12,IF(AND($G9086=0,$G9085=1),MAX($K9085,$J9086*($H9086+1)/100/12),$K9085))))</f>
      </c>
      <c r="L9086" s="43">
        <f>IF($I9086=0,0,$J9086*$H9086/100/12)</f>
      </c>
      <c r="M9086" s="43">
        <f>IF($I9086=0,0,IF(OR(INDEX(DarlOhneTilgung,19)=1,AND(INDEX(DarlTilgStart,19)&gt;0,$E9086&lt;INDEX(DarlTilgStart,19))),0,MIN(MAX(0,$K9086-$L9086),$J9086)))</f>
      </c>
      <c r="N9086" s="43">
        <f>IF($I9086=0,0,MIN(SUMIFS(SondBetrag,SondDarl,19,SondDatum,"&gt;="&amp;$E9086,SondDatum,"&lt;="&amp;EOMONTH($E9086,0)),$J9086-$M9086))</f>
      </c>
      <c r="O9086" s="43">
        <f>IF($I9086=0,0,INDEX(DarlErsatzRate,19))</f>
      </c>
      <c r="P9086" s="43">
        <f>IF($I9086=0,0,$Q9085*INDEX(DarlErsatzZins,19))</f>
      </c>
      <c r="Q9086" s="43">
        <f>IF($I9086=0,0,$Q9085+$P9086+$O9086)</f>
      </c>
      <c r="R9086" s="43">
        <f>IF($I9086=0,0,$J9086-$M9086-$N9086)</f>
      </c>
    </row>
    <row r="9087">
      <c r="A9087"/>
      <c r="B9087">
        <v>19</v>
      </c>
      <c r="C9087" s="43">
        <f>INDEX(DarlObj,19)</f>
      </c>
      <c r="D9087">
        <v>444</v>
      </c>
      <c r="E9087" s="51">
        <f>IF(INDEX(DarlBelegt,19)=0,0,EOMONTH(INDEX(DarlAuszahlung,19),443)+1)</f>
      </c>
      <c r="F9087" s="43">
        <f>IF($E9087=0,0,YEAR($E9087))</f>
      </c>
      <c r="G9087" s="43">
        <f>IF(INDEX(DarlBindung,19)="",1,IF($E9087&lt;=INDEX(DarlBindung,19),1,0))</f>
      </c>
      <c r="H9087" s="43">
        <f>IF($G9087=1,INDEX(DarlSollzins,19),INDEX(DarlAnschluss,19))</f>
      </c>
      <c r="I9087" s="43">
        <f>IF(INDEX(DarlBelegt,19)=0,0,IF(INDEX(DarlOhneTilgung,19)=1,IF(INDEX(DarlBindung,19)="",1,$G9087),IF($J9087&gt;0.005,1,0)))</f>
      </c>
      <c r="J9087" s="43">
        <f>IF($I9086=0,0,$R9086)</f>
      </c>
      <c r="K9087" s="43">
        <f>IF($I9087=0,0,IF(INDEX(DarlOhneTilgung,19)=1,0,IF(AND(INDEX(DarlTilgStart,19)&gt;0,$E9087=INDEX(DarlTilgStart,19)),$J9087*($H9087+INDEX(DarlTilgung,19))/100/12,IF(AND($G9087=0,$G9086=1),MAX($K9086,$J9087*($H9087+1)/100/12),$K9086))))</f>
      </c>
      <c r="L9087" s="43">
        <f>IF($I9087=0,0,$J9087*$H9087/100/12)</f>
      </c>
      <c r="M9087" s="43">
        <f>IF($I9087=0,0,IF(OR(INDEX(DarlOhneTilgung,19)=1,AND(INDEX(DarlTilgStart,19)&gt;0,$E9087&lt;INDEX(DarlTilgStart,19))),0,MIN(MAX(0,$K9087-$L9087),$J9087)))</f>
      </c>
      <c r="N9087" s="43">
        <f>IF($I9087=0,0,MIN(SUMIFS(SondBetrag,SondDarl,19,SondDatum,"&gt;="&amp;$E9087,SondDatum,"&lt;="&amp;EOMONTH($E9087,0)),$J9087-$M9087))</f>
      </c>
      <c r="O9087" s="43">
        <f>IF($I9087=0,0,INDEX(DarlErsatzRate,19))</f>
      </c>
      <c r="P9087" s="43">
        <f>IF($I9087=0,0,$Q9086*INDEX(DarlErsatzZins,19))</f>
      </c>
      <c r="Q9087" s="43">
        <f>IF($I9087=0,0,$Q9086+$P9087+$O9087)</f>
      </c>
      <c r="R9087" s="43">
        <f>IF($I9087=0,0,$J9087-$M9087-$N9087)</f>
      </c>
    </row>
    <row r="9088">
      <c r="A9088"/>
      <c r="B9088">
        <v>19</v>
      </c>
      <c r="C9088" s="43">
        <f>INDEX(DarlObj,19)</f>
      </c>
      <c r="D9088">
        <v>445</v>
      </c>
      <c r="E9088" s="51">
        <f>IF(INDEX(DarlBelegt,19)=0,0,EOMONTH(INDEX(DarlAuszahlung,19),444)+1)</f>
      </c>
      <c r="F9088" s="43">
        <f>IF($E9088=0,0,YEAR($E9088))</f>
      </c>
      <c r="G9088" s="43">
        <f>IF(INDEX(DarlBindung,19)="",1,IF($E9088&lt;=INDEX(DarlBindung,19),1,0))</f>
      </c>
      <c r="H9088" s="43">
        <f>IF($G9088=1,INDEX(DarlSollzins,19),INDEX(DarlAnschluss,19))</f>
      </c>
      <c r="I9088" s="43">
        <f>IF(INDEX(DarlBelegt,19)=0,0,IF(INDEX(DarlOhneTilgung,19)=1,IF(INDEX(DarlBindung,19)="",1,$G9088),IF($J9088&gt;0.005,1,0)))</f>
      </c>
      <c r="J9088" s="43">
        <f>IF($I9087=0,0,$R9087)</f>
      </c>
      <c r="K9088" s="43">
        <f>IF($I9088=0,0,IF(INDEX(DarlOhneTilgung,19)=1,0,IF(AND(INDEX(DarlTilgStart,19)&gt;0,$E9088=INDEX(DarlTilgStart,19)),$J9088*($H9088+INDEX(DarlTilgung,19))/100/12,IF(AND($G9088=0,$G9087=1),MAX($K9087,$J9088*($H9088+1)/100/12),$K9087))))</f>
      </c>
      <c r="L9088" s="43">
        <f>IF($I9088=0,0,$J9088*$H9088/100/12)</f>
      </c>
      <c r="M9088" s="43">
        <f>IF($I9088=0,0,IF(OR(INDEX(DarlOhneTilgung,19)=1,AND(INDEX(DarlTilgStart,19)&gt;0,$E9088&lt;INDEX(DarlTilgStart,19))),0,MIN(MAX(0,$K9088-$L9088),$J9088)))</f>
      </c>
      <c r="N9088" s="43">
        <f>IF($I9088=0,0,MIN(SUMIFS(SondBetrag,SondDarl,19,SondDatum,"&gt;="&amp;$E9088,SondDatum,"&lt;="&amp;EOMONTH($E9088,0)),$J9088-$M9088))</f>
      </c>
      <c r="O9088" s="43">
        <f>IF($I9088=0,0,INDEX(DarlErsatzRate,19))</f>
      </c>
      <c r="P9088" s="43">
        <f>IF($I9088=0,0,$Q9087*INDEX(DarlErsatzZins,19))</f>
      </c>
      <c r="Q9088" s="43">
        <f>IF($I9088=0,0,$Q9087+$P9088+$O9088)</f>
      </c>
      <c r="R9088" s="43">
        <f>IF($I9088=0,0,$J9088-$M9088-$N9088)</f>
      </c>
    </row>
    <row r="9089">
      <c r="A9089"/>
      <c r="B9089">
        <v>19</v>
      </c>
      <c r="C9089" s="43">
        <f>INDEX(DarlObj,19)</f>
      </c>
      <c r="D9089">
        <v>446</v>
      </c>
      <c r="E9089" s="51">
        <f>IF(INDEX(DarlBelegt,19)=0,0,EOMONTH(INDEX(DarlAuszahlung,19),445)+1)</f>
      </c>
      <c r="F9089" s="43">
        <f>IF($E9089=0,0,YEAR($E9089))</f>
      </c>
      <c r="G9089" s="43">
        <f>IF(INDEX(DarlBindung,19)="",1,IF($E9089&lt;=INDEX(DarlBindung,19),1,0))</f>
      </c>
      <c r="H9089" s="43">
        <f>IF($G9089=1,INDEX(DarlSollzins,19),INDEX(DarlAnschluss,19))</f>
      </c>
      <c r="I9089" s="43">
        <f>IF(INDEX(DarlBelegt,19)=0,0,IF(INDEX(DarlOhneTilgung,19)=1,IF(INDEX(DarlBindung,19)="",1,$G9089),IF($J9089&gt;0.005,1,0)))</f>
      </c>
      <c r="J9089" s="43">
        <f>IF($I9088=0,0,$R9088)</f>
      </c>
      <c r="K9089" s="43">
        <f>IF($I9089=0,0,IF(INDEX(DarlOhneTilgung,19)=1,0,IF(AND(INDEX(DarlTilgStart,19)&gt;0,$E9089=INDEX(DarlTilgStart,19)),$J9089*($H9089+INDEX(DarlTilgung,19))/100/12,IF(AND($G9089=0,$G9088=1),MAX($K9088,$J9089*($H9089+1)/100/12),$K9088))))</f>
      </c>
      <c r="L9089" s="43">
        <f>IF($I9089=0,0,$J9089*$H9089/100/12)</f>
      </c>
      <c r="M9089" s="43">
        <f>IF($I9089=0,0,IF(OR(INDEX(DarlOhneTilgung,19)=1,AND(INDEX(DarlTilgStart,19)&gt;0,$E9089&lt;INDEX(DarlTilgStart,19))),0,MIN(MAX(0,$K9089-$L9089),$J9089)))</f>
      </c>
      <c r="N9089" s="43">
        <f>IF($I9089=0,0,MIN(SUMIFS(SondBetrag,SondDarl,19,SondDatum,"&gt;="&amp;$E9089,SondDatum,"&lt;="&amp;EOMONTH($E9089,0)),$J9089-$M9089))</f>
      </c>
      <c r="O9089" s="43">
        <f>IF($I9089=0,0,INDEX(DarlErsatzRate,19))</f>
      </c>
      <c r="P9089" s="43">
        <f>IF($I9089=0,0,$Q9088*INDEX(DarlErsatzZins,19))</f>
      </c>
      <c r="Q9089" s="43">
        <f>IF($I9089=0,0,$Q9088+$P9089+$O9089)</f>
      </c>
      <c r="R9089" s="43">
        <f>IF($I9089=0,0,$J9089-$M9089-$N9089)</f>
      </c>
    </row>
    <row r="9090">
      <c r="A9090"/>
      <c r="B9090">
        <v>19</v>
      </c>
      <c r="C9090" s="43">
        <f>INDEX(DarlObj,19)</f>
      </c>
      <c r="D9090">
        <v>447</v>
      </c>
      <c r="E9090" s="51">
        <f>IF(INDEX(DarlBelegt,19)=0,0,EOMONTH(INDEX(DarlAuszahlung,19),446)+1)</f>
      </c>
      <c r="F9090" s="43">
        <f>IF($E9090=0,0,YEAR($E9090))</f>
      </c>
      <c r="G9090" s="43">
        <f>IF(INDEX(DarlBindung,19)="",1,IF($E9090&lt;=INDEX(DarlBindung,19),1,0))</f>
      </c>
      <c r="H9090" s="43">
        <f>IF($G9090=1,INDEX(DarlSollzins,19),INDEX(DarlAnschluss,19))</f>
      </c>
      <c r="I9090" s="43">
        <f>IF(INDEX(DarlBelegt,19)=0,0,IF(INDEX(DarlOhneTilgung,19)=1,IF(INDEX(DarlBindung,19)="",1,$G9090),IF($J9090&gt;0.005,1,0)))</f>
      </c>
      <c r="J9090" s="43">
        <f>IF($I9089=0,0,$R9089)</f>
      </c>
      <c r="K9090" s="43">
        <f>IF($I9090=0,0,IF(INDEX(DarlOhneTilgung,19)=1,0,IF(AND(INDEX(DarlTilgStart,19)&gt;0,$E9090=INDEX(DarlTilgStart,19)),$J9090*($H9090+INDEX(DarlTilgung,19))/100/12,IF(AND($G9090=0,$G9089=1),MAX($K9089,$J9090*($H9090+1)/100/12),$K9089))))</f>
      </c>
      <c r="L9090" s="43">
        <f>IF($I9090=0,0,$J9090*$H9090/100/12)</f>
      </c>
      <c r="M9090" s="43">
        <f>IF($I9090=0,0,IF(OR(INDEX(DarlOhneTilgung,19)=1,AND(INDEX(DarlTilgStart,19)&gt;0,$E9090&lt;INDEX(DarlTilgStart,19))),0,MIN(MAX(0,$K9090-$L9090),$J9090)))</f>
      </c>
      <c r="N9090" s="43">
        <f>IF($I9090=0,0,MIN(SUMIFS(SondBetrag,SondDarl,19,SondDatum,"&gt;="&amp;$E9090,SondDatum,"&lt;="&amp;EOMONTH($E9090,0)),$J9090-$M9090))</f>
      </c>
      <c r="O9090" s="43">
        <f>IF($I9090=0,0,INDEX(DarlErsatzRate,19))</f>
      </c>
      <c r="P9090" s="43">
        <f>IF($I9090=0,0,$Q9089*INDEX(DarlErsatzZins,19))</f>
      </c>
      <c r="Q9090" s="43">
        <f>IF($I9090=0,0,$Q9089+$P9090+$O9090)</f>
      </c>
      <c r="R9090" s="43">
        <f>IF($I9090=0,0,$J9090-$M9090-$N9090)</f>
      </c>
    </row>
    <row r="9091">
      <c r="A9091"/>
      <c r="B9091">
        <v>19</v>
      </c>
      <c r="C9091" s="43">
        <f>INDEX(DarlObj,19)</f>
      </c>
      <c r="D9091">
        <v>448</v>
      </c>
      <c r="E9091" s="51">
        <f>IF(INDEX(DarlBelegt,19)=0,0,EOMONTH(INDEX(DarlAuszahlung,19),447)+1)</f>
      </c>
      <c r="F9091" s="43">
        <f>IF($E9091=0,0,YEAR($E9091))</f>
      </c>
      <c r="G9091" s="43">
        <f>IF(INDEX(DarlBindung,19)="",1,IF($E9091&lt;=INDEX(DarlBindung,19),1,0))</f>
      </c>
      <c r="H9091" s="43">
        <f>IF($G9091=1,INDEX(DarlSollzins,19),INDEX(DarlAnschluss,19))</f>
      </c>
      <c r="I9091" s="43">
        <f>IF(INDEX(DarlBelegt,19)=0,0,IF(INDEX(DarlOhneTilgung,19)=1,IF(INDEX(DarlBindung,19)="",1,$G9091),IF($J9091&gt;0.005,1,0)))</f>
      </c>
      <c r="J9091" s="43">
        <f>IF($I9090=0,0,$R9090)</f>
      </c>
      <c r="K9091" s="43">
        <f>IF($I9091=0,0,IF(INDEX(DarlOhneTilgung,19)=1,0,IF(AND(INDEX(DarlTilgStart,19)&gt;0,$E9091=INDEX(DarlTilgStart,19)),$J9091*($H9091+INDEX(DarlTilgung,19))/100/12,IF(AND($G9091=0,$G9090=1),MAX($K9090,$J9091*($H9091+1)/100/12),$K9090))))</f>
      </c>
      <c r="L9091" s="43">
        <f>IF($I9091=0,0,$J9091*$H9091/100/12)</f>
      </c>
      <c r="M9091" s="43">
        <f>IF($I9091=0,0,IF(OR(INDEX(DarlOhneTilgung,19)=1,AND(INDEX(DarlTilgStart,19)&gt;0,$E9091&lt;INDEX(DarlTilgStart,19))),0,MIN(MAX(0,$K9091-$L9091),$J9091)))</f>
      </c>
      <c r="N9091" s="43">
        <f>IF($I9091=0,0,MIN(SUMIFS(SondBetrag,SondDarl,19,SondDatum,"&gt;="&amp;$E9091,SondDatum,"&lt;="&amp;EOMONTH($E9091,0)),$J9091-$M9091))</f>
      </c>
      <c r="O9091" s="43">
        <f>IF($I9091=0,0,INDEX(DarlErsatzRate,19))</f>
      </c>
      <c r="P9091" s="43">
        <f>IF($I9091=0,0,$Q9090*INDEX(DarlErsatzZins,19))</f>
      </c>
      <c r="Q9091" s="43">
        <f>IF($I9091=0,0,$Q9090+$P9091+$O9091)</f>
      </c>
      <c r="R9091" s="43">
        <f>IF($I9091=0,0,$J9091-$M9091-$N9091)</f>
      </c>
    </row>
    <row r="9092">
      <c r="A9092"/>
      <c r="B9092">
        <v>19</v>
      </c>
      <c r="C9092" s="43">
        <f>INDEX(DarlObj,19)</f>
      </c>
      <c r="D9092">
        <v>449</v>
      </c>
      <c r="E9092" s="51">
        <f>IF(INDEX(DarlBelegt,19)=0,0,EOMONTH(INDEX(DarlAuszahlung,19),448)+1)</f>
      </c>
      <c r="F9092" s="43">
        <f>IF($E9092=0,0,YEAR($E9092))</f>
      </c>
      <c r="G9092" s="43">
        <f>IF(INDEX(DarlBindung,19)="",1,IF($E9092&lt;=INDEX(DarlBindung,19),1,0))</f>
      </c>
      <c r="H9092" s="43">
        <f>IF($G9092=1,INDEX(DarlSollzins,19),INDEX(DarlAnschluss,19))</f>
      </c>
      <c r="I9092" s="43">
        <f>IF(INDEX(DarlBelegt,19)=0,0,IF(INDEX(DarlOhneTilgung,19)=1,IF(INDEX(DarlBindung,19)="",1,$G9092),IF($J9092&gt;0.005,1,0)))</f>
      </c>
      <c r="J9092" s="43">
        <f>IF($I9091=0,0,$R9091)</f>
      </c>
      <c r="K9092" s="43">
        <f>IF($I9092=0,0,IF(INDEX(DarlOhneTilgung,19)=1,0,IF(AND(INDEX(DarlTilgStart,19)&gt;0,$E9092=INDEX(DarlTilgStart,19)),$J9092*($H9092+INDEX(DarlTilgung,19))/100/12,IF(AND($G9092=0,$G9091=1),MAX($K9091,$J9092*($H9092+1)/100/12),$K9091))))</f>
      </c>
      <c r="L9092" s="43">
        <f>IF($I9092=0,0,$J9092*$H9092/100/12)</f>
      </c>
      <c r="M9092" s="43">
        <f>IF($I9092=0,0,IF(OR(INDEX(DarlOhneTilgung,19)=1,AND(INDEX(DarlTilgStart,19)&gt;0,$E9092&lt;INDEX(DarlTilgStart,19))),0,MIN(MAX(0,$K9092-$L9092),$J9092)))</f>
      </c>
      <c r="N9092" s="43">
        <f>IF($I9092=0,0,MIN(SUMIFS(SondBetrag,SondDarl,19,SondDatum,"&gt;="&amp;$E9092,SondDatum,"&lt;="&amp;EOMONTH($E9092,0)),$J9092-$M9092))</f>
      </c>
      <c r="O9092" s="43">
        <f>IF($I9092=0,0,INDEX(DarlErsatzRate,19))</f>
      </c>
      <c r="P9092" s="43">
        <f>IF($I9092=0,0,$Q9091*INDEX(DarlErsatzZins,19))</f>
      </c>
      <c r="Q9092" s="43">
        <f>IF($I9092=0,0,$Q9091+$P9092+$O9092)</f>
      </c>
      <c r="R9092" s="43">
        <f>IF($I9092=0,0,$J9092-$M9092-$N9092)</f>
      </c>
    </row>
    <row r="9093">
      <c r="A9093"/>
      <c r="B9093">
        <v>19</v>
      </c>
      <c r="C9093" s="43">
        <f>INDEX(DarlObj,19)</f>
      </c>
      <c r="D9093">
        <v>450</v>
      </c>
      <c r="E9093" s="51">
        <f>IF(INDEX(DarlBelegt,19)=0,0,EOMONTH(INDEX(DarlAuszahlung,19),449)+1)</f>
      </c>
      <c r="F9093" s="43">
        <f>IF($E9093=0,0,YEAR($E9093))</f>
      </c>
      <c r="G9093" s="43">
        <f>IF(INDEX(DarlBindung,19)="",1,IF($E9093&lt;=INDEX(DarlBindung,19),1,0))</f>
      </c>
      <c r="H9093" s="43">
        <f>IF($G9093=1,INDEX(DarlSollzins,19),INDEX(DarlAnschluss,19))</f>
      </c>
      <c r="I9093" s="43">
        <f>IF(INDEX(DarlBelegt,19)=0,0,IF(INDEX(DarlOhneTilgung,19)=1,IF(INDEX(DarlBindung,19)="",1,$G9093),IF($J9093&gt;0.005,1,0)))</f>
      </c>
      <c r="J9093" s="43">
        <f>IF($I9092=0,0,$R9092)</f>
      </c>
      <c r="K9093" s="43">
        <f>IF($I9093=0,0,IF(INDEX(DarlOhneTilgung,19)=1,0,IF(AND(INDEX(DarlTilgStart,19)&gt;0,$E9093=INDEX(DarlTilgStart,19)),$J9093*($H9093+INDEX(DarlTilgung,19))/100/12,IF(AND($G9093=0,$G9092=1),MAX($K9092,$J9093*($H9093+1)/100/12),$K9092))))</f>
      </c>
      <c r="L9093" s="43">
        <f>IF($I9093=0,0,$J9093*$H9093/100/12)</f>
      </c>
      <c r="M9093" s="43">
        <f>IF($I9093=0,0,IF(OR(INDEX(DarlOhneTilgung,19)=1,AND(INDEX(DarlTilgStart,19)&gt;0,$E9093&lt;INDEX(DarlTilgStart,19))),0,MIN(MAX(0,$K9093-$L9093),$J9093)))</f>
      </c>
      <c r="N9093" s="43">
        <f>IF($I9093=0,0,MIN(SUMIFS(SondBetrag,SondDarl,19,SondDatum,"&gt;="&amp;$E9093,SondDatum,"&lt;="&amp;EOMONTH($E9093,0)),$J9093-$M9093))</f>
      </c>
      <c r="O9093" s="43">
        <f>IF($I9093=0,0,INDEX(DarlErsatzRate,19))</f>
      </c>
      <c r="P9093" s="43">
        <f>IF($I9093=0,0,$Q9092*INDEX(DarlErsatzZins,19))</f>
      </c>
      <c r="Q9093" s="43">
        <f>IF($I9093=0,0,$Q9092+$P9093+$O9093)</f>
      </c>
      <c r="R9093" s="43">
        <f>IF($I9093=0,0,$J9093-$M9093-$N9093)</f>
      </c>
    </row>
    <row r="9094">
      <c r="A9094"/>
      <c r="B9094">
        <v>19</v>
      </c>
      <c r="C9094" s="43">
        <f>INDEX(DarlObj,19)</f>
      </c>
      <c r="D9094">
        <v>451</v>
      </c>
      <c r="E9094" s="51">
        <f>IF(INDEX(DarlBelegt,19)=0,0,EOMONTH(INDEX(DarlAuszahlung,19),450)+1)</f>
      </c>
      <c r="F9094" s="43">
        <f>IF($E9094=0,0,YEAR($E9094))</f>
      </c>
      <c r="G9094" s="43">
        <f>IF(INDEX(DarlBindung,19)="",1,IF($E9094&lt;=INDEX(DarlBindung,19),1,0))</f>
      </c>
      <c r="H9094" s="43">
        <f>IF($G9094=1,INDEX(DarlSollzins,19),INDEX(DarlAnschluss,19))</f>
      </c>
      <c r="I9094" s="43">
        <f>IF(INDEX(DarlBelegt,19)=0,0,IF(INDEX(DarlOhneTilgung,19)=1,IF(INDEX(DarlBindung,19)="",1,$G9094),IF($J9094&gt;0.005,1,0)))</f>
      </c>
      <c r="J9094" s="43">
        <f>IF($I9093=0,0,$R9093)</f>
      </c>
      <c r="K9094" s="43">
        <f>IF($I9094=0,0,IF(INDEX(DarlOhneTilgung,19)=1,0,IF(AND(INDEX(DarlTilgStart,19)&gt;0,$E9094=INDEX(DarlTilgStart,19)),$J9094*($H9094+INDEX(DarlTilgung,19))/100/12,IF(AND($G9094=0,$G9093=1),MAX($K9093,$J9094*($H9094+1)/100/12),$K9093))))</f>
      </c>
      <c r="L9094" s="43">
        <f>IF($I9094=0,0,$J9094*$H9094/100/12)</f>
      </c>
      <c r="M9094" s="43">
        <f>IF($I9094=0,0,IF(OR(INDEX(DarlOhneTilgung,19)=1,AND(INDEX(DarlTilgStart,19)&gt;0,$E9094&lt;INDEX(DarlTilgStart,19))),0,MIN(MAX(0,$K9094-$L9094),$J9094)))</f>
      </c>
      <c r="N9094" s="43">
        <f>IF($I9094=0,0,MIN(SUMIFS(SondBetrag,SondDarl,19,SondDatum,"&gt;="&amp;$E9094,SondDatum,"&lt;="&amp;EOMONTH($E9094,0)),$J9094-$M9094))</f>
      </c>
      <c r="O9094" s="43">
        <f>IF($I9094=0,0,INDEX(DarlErsatzRate,19))</f>
      </c>
      <c r="P9094" s="43">
        <f>IF($I9094=0,0,$Q9093*INDEX(DarlErsatzZins,19))</f>
      </c>
      <c r="Q9094" s="43">
        <f>IF($I9094=0,0,$Q9093+$P9094+$O9094)</f>
      </c>
      <c r="R9094" s="43">
        <f>IF($I9094=0,0,$J9094-$M9094-$N9094)</f>
      </c>
    </row>
    <row r="9095">
      <c r="A9095"/>
      <c r="B9095">
        <v>19</v>
      </c>
      <c r="C9095" s="43">
        <f>INDEX(DarlObj,19)</f>
      </c>
      <c r="D9095">
        <v>452</v>
      </c>
      <c r="E9095" s="51">
        <f>IF(INDEX(DarlBelegt,19)=0,0,EOMONTH(INDEX(DarlAuszahlung,19),451)+1)</f>
      </c>
      <c r="F9095" s="43">
        <f>IF($E9095=0,0,YEAR($E9095))</f>
      </c>
      <c r="G9095" s="43">
        <f>IF(INDEX(DarlBindung,19)="",1,IF($E9095&lt;=INDEX(DarlBindung,19),1,0))</f>
      </c>
      <c r="H9095" s="43">
        <f>IF($G9095=1,INDEX(DarlSollzins,19),INDEX(DarlAnschluss,19))</f>
      </c>
      <c r="I9095" s="43">
        <f>IF(INDEX(DarlBelegt,19)=0,0,IF(INDEX(DarlOhneTilgung,19)=1,IF(INDEX(DarlBindung,19)="",1,$G9095),IF($J9095&gt;0.005,1,0)))</f>
      </c>
      <c r="J9095" s="43">
        <f>IF($I9094=0,0,$R9094)</f>
      </c>
      <c r="K9095" s="43">
        <f>IF($I9095=0,0,IF(INDEX(DarlOhneTilgung,19)=1,0,IF(AND(INDEX(DarlTilgStart,19)&gt;0,$E9095=INDEX(DarlTilgStart,19)),$J9095*($H9095+INDEX(DarlTilgung,19))/100/12,IF(AND($G9095=0,$G9094=1),MAX($K9094,$J9095*($H9095+1)/100/12),$K9094))))</f>
      </c>
      <c r="L9095" s="43">
        <f>IF($I9095=0,0,$J9095*$H9095/100/12)</f>
      </c>
      <c r="M9095" s="43">
        <f>IF($I9095=0,0,IF(OR(INDEX(DarlOhneTilgung,19)=1,AND(INDEX(DarlTilgStart,19)&gt;0,$E9095&lt;INDEX(DarlTilgStart,19))),0,MIN(MAX(0,$K9095-$L9095),$J9095)))</f>
      </c>
      <c r="N9095" s="43">
        <f>IF($I9095=0,0,MIN(SUMIFS(SondBetrag,SondDarl,19,SondDatum,"&gt;="&amp;$E9095,SondDatum,"&lt;="&amp;EOMONTH($E9095,0)),$J9095-$M9095))</f>
      </c>
      <c r="O9095" s="43">
        <f>IF($I9095=0,0,INDEX(DarlErsatzRate,19))</f>
      </c>
      <c r="P9095" s="43">
        <f>IF($I9095=0,0,$Q9094*INDEX(DarlErsatzZins,19))</f>
      </c>
      <c r="Q9095" s="43">
        <f>IF($I9095=0,0,$Q9094+$P9095+$O9095)</f>
      </c>
      <c r="R9095" s="43">
        <f>IF($I9095=0,0,$J9095-$M9095-$N9095)</f>
      </c>
    </row>
    <row r="9096">
      <c r="A9096"/>
      <c r="B9096">
        <v>19</v>
      </c>
      <c r="C9096" s="43">
        <f>INDEX(DarlObj,19)</f>
      </c>
      <c r="D9096">
        <v>453</v>
      </c>
      <c r="E9096" s="51">
        <f>IF(INDEX(DarlBelegt,19)=0,0,EOMONTH(INDEX(DarlAuszahlung,19),452)+1)</f>
      </c>
      <c r="F9096" s="43">
        <f>IF($E9096=0,0,YEAR($E9096))</f>
      </c>
      <c r="G9096" s="43">
        <f>IF(INDEX(DarlBindung,19)="",1,IF($E9096&lt;=INDEX(DarlBindung,19),1,0))</f>
      </c>
      <c r="H9096" s="43">
        <f>IF($G9096=1,INDEX(DarlSollzins,19),INDEX(DarlAnschluss,19))</f>
      </c>
      <c r="I9096" s="43">
        <f>IF(INDEX(DarlBelegt,19)=0,0,IF(INDEX(DarlOhneTilgung,19)=1,IF(INDEX(DarlBindung,19)="",1,$G9096),IF($J9096&gt;0.005,1,0)))</f>
      </c>
      <c r="J9096" s="43">
        <f>IF($I9095=0,0,$R9095)</f>
      </c>
      <c r="K9096" s="43">
        <f>IF($I9096=0,0,IF(INDEX(DarlOhneTilgung,19)=1,0,IF(AND(INDEX(DarlTilgStart,19)&gt;0,$E9096=INDEX(DarlTilgStart,19)),$J9096*($H9096+INDEX(DarlTilgung,19))/100/12,IF(AND($G9096=0,$G9095=1),MAX($K9095,$J9096*($H9096+1)/100/12),$K9095))))</f>
      </c>
      <c r="L9096" s="43">
        <f>IF($I9096=0,0,$J9096*$H9096/100/12)</f>
      </c>
      <c r="M9096" s="43">
        <f>IF($I9096=0,0,IF(OR(INDEX(DarlOhneTilgung,19)=1,AND(INDEX(DarlTilgStart,19)&gt;0,$E9096&lt;INDEX(DarlTilgStart,19))),0,MIN(MAX(0,$K9096-$L9096),$J9096)))</f>
      </c>
      <c r="N9096" s="43">
        <f>IF($I9096=0,0,MIN(SUMIFS(SondBetrag,SondDarl,19,SondDatum,"&gt;="&amp;$E9096,SondDatum,"&lt;="&amp;EOMONTH($E9096,0)),$J9096-$M9096))</f>
      </c>
      <c r="O9096" s="43">
        <f>IF($I9096=0,0,INDEX(DarlErsatzRate,19))</f>
      </c>
      <c r="P9096" s="43">
        <f>IF($I9096=0,0,$Q9095*INDEX(DarlErsatzZins,19))</f>
      </c>
      <c r="Q9096" s="43">
        <f>IF($I9096=0,0,$Q9095+$P9096+$O9096)</f>
      </c>
      <c r="R9096" s="43">
        <f>IF($I9096=0,0,$J9096-$M9096-$N9096)</f>
      </c>
    </row>
    <row r="9097">
      <c r="A9097"/>
      <c r="B9097">
        <v>19</v>
      </c>
      <c r="C9097" s="43">
        <f>INDEX(DarlObj,19)</f>
      </c>
      <c r="D9097">
        <v>454</v>
      </c>
      <c r="E9097" s="51">
        <f>IF(INDEX(DarlBelegt,19)=0,0,EOMONTH(INDEX(DarlAuszahlung,19),453)+1)</f>
      </c>
      <c r="F9097" s="43">
        <f>IF($E9097=0,0,YEAR($E9097))</f>
      </c>
      <c r="G9097" s="43">
        <f>IF(INDEX(DarlBindung,19)="",1,IF($E9097&lt;=INDEX(DarlBindung,19),1,0))</f>
      </c>
      <c r="H9097" s="43">
        <f>IF($G9097=1,INDEX(DarlSollzins,19),INDEX(DarlAnschluss,19))</f>
      </c>
      <c r="I9097" s="43">
        <f>IF(INDEX(DarlBelegt,19)=0,0,IF(INDEX(DarlOhneTilgung,19)=1,IF(INDEX(DarlBindung,19)="",1,$G9097),IF($J9097&gt;0.005,1,0)))</f>
      </c>
      <c r="J9097" s="43">
        <f>IF($I9096=0,0,$R9096)</f>
      </c>
      <c r="K9097" s="43">
        <f>IF($I9097=0,0,IF(INDEX(DarlOhneTilgung,19)=1,0,IF(AND(INDEX(DarlTilgStart,19)&gt;0,$E9097=INDEX(DarlTilgStart,19)),$J9097*($H9097+INDEX(DarlTilgung,19))/100/12,IF(AND($G9097=0,$G9096=1),MAX($K9096,$J9097*($H9097+1)/100/12),$K9096))))</f>
      </c>
      <c r="L9097" s="43">
        <f>IF($I9097=0,0,$J9097*$H9097/100/12)</f>
      </c>
      <c r="M9097" s="43">
        <f>IF($I9097=0,0,IF(OR(INDEX(DarlOhneTilgung,19)=1,AND(INDEX(DarlTilgStart,19)&gt;0,$E9097&lt;INDEX(DarlTilgStart,19))),0,MIN(MAX(0,$K9097-$L9097),$J9097)))</f>
      </c>
      <c r="N9097" s="43">
        <f>IF($I9097=0,0,MIN(SUMIFS(SondBetrag,SondDarl,19,SondDatum,"&gt;="&amp;$E9097,SondDatum,"&lt;="&amp;EOMONTH($E9097,0)),$J9097-$M9097))</f>
      </c>
      <c r="O9097" s="43">
        <f>IF($I9097=0,0,INDEX(DarlErsatzRate,19))</f>
      </c>
      <c r="P9097" s="43">
        <f>IF($I9097=0,0,$Q9096*INDEX(DarlErsatzZins,19))</f>
      </c>
      <c r="Q9097" s="43">
        <f>IF($I9097=0,0,$Q9096+$P9097+$O9097)</f>
      </c>
      <c r="R9097" s="43">
        <f>IF($I9097=0,0,$J9097-$M9097-$N9097)</f>
      </c>
    </row>
    <row r="9098">
      <c r="A9098"/>
      <c r="B9098">
        <v>19</v>
      </c>
      <c r="C9098" s="43">
        <f>INDEX(DarlObj,19)</f>
      </c>
      <c r="D9098">
        <v>455</v>
      </c>
      <c r="E9098" s="51">
        <f>IF(INDEX(DarlBelegt,19)=0,0,EOMONTH(INDEX(DarlAuszahlung,19),454)+1)</f>
      </c>
      <c r="F9098" s="43">
        <f>IF($E9098=0,0,YEAR($E9098))</f>
      </c>
      <c r="G9098" s="43">
        <f>IF(INDEX(DarlBindung,19)="",1,IF($E9098&lt;=INDEX(DarlBindung,19),1,0))</f>
      </c>
      <c r="H9098" s="43">
        <f>IF($G9098=1,INDEX(DarlSollzins,19),INDEX(DarlAnschluss,19))</f>
      </c>
      <c r="I9098" s="43">
        <f>IF(INDEX(DarlBelegt,19)=0,0,IF(INDEX(DarlOhneTilgung,19)=1,IF(INDEX(DarlBindung,19)="",1,$G9098),IF($J9098&gt;0.005,1,0)))</f>
      </c>
      <c r="J9098" s="43">
        <f>IF($I9097=0,0,$R9097)</f>
      </c>
      <c r="K9098" s="43">
        <f>IF($I9098=0,0,IF(INDEX(DarlOhneTilgung,19)=1,0,IF(AND(INDEX(DarlTilgStart,19)&gt;0,$E9098=INDEX(DarlTilgStart,19)),$J9098*($H9098+INDEX(DarlTilgung,19))/100/12,IF(AND($G9098=0,$G9097=1),MAX($K9097,$J9098*($H9098+1)/100/12),$K9097))))</f>
      </c>
      <c r="L9098" s="43">
        <f>IF($I9098=0,0,$J9098*$H9098/100/12)</f>
      </c>
      <c r="M9098" s="43">
        <f>IF($I9098=0,0,IF(OR(INDEX(DarlOhneTilgung,19)=1,AND(INDEX(DarlTilgStart,19)&gt;0,$E9098&lt;INDEX(DarlTilgStart,19))),0,MIN(MAX(0,$K9098-$L9098),$J9098)))</f>
      </c>
      <c r="N9098" s="43">
        <f>IF($I9098=0,0,MIN(SUMIFS(SondBetrag,SondDarl,19,SondDatum,"&gt;="&amp;$E9098,SondDatum,"&lt;="&amp;EOMONTH($E9098,0)),$J9098-$M9098))</f>
      </c>
      <c r="O9098" s="43">
        <f>IF($I9098=0,0,INDEX(DarlErsatzRate,19))</f>
      </c>
      <c r="P9098" s="43">
        <f>IF($I9098=0,0,$Q9097*INDEX(DarlErsatzZins,19))</f>
      </c>
      <c r="Q9098" s="43">
        <f>IF($I9098=0,0,$Q9097+$P9098+$O9098)</f>
      </c>
      <c r="R9098" s="43">
        <f>IF($I9098=0,0,$J9098-$M9098-$N9098)</f>
      </c>
    </row>
    <row r="9099">
      <c r="A9099"/>
      <c r="B9099">
        <v>19</v>
      </c>
      <c r="C9099" s="43">
        <f>INDEX(DarlObj,19)</f>
      </c>
      <c r="D9099">
        <v>456</v>
      </c>
      <c r="E9099" s="51">
        <f>IF(INDEX(DarlBelegt,19)=0,0,EOMONTH(INDEX(DarlAuszahlung,19),455)+1)</f>
      </c>
      <c r="F9099" s="43">
        <f>IF($E9099=0,0,YEAR($E9099))</f>
      </c>
      <c r="G9099" s="43">
        <f>IF(INDEX(DarlBindung,19)="",1,IF($E9099&lt;=INDEX(DarlBindung,19),1,0))</f>
      </c>
      <c r="H9099" s="43">
        <f>IF($G9099=1,INDEX(DarlSollzins,19),INDEX(DarlAnschluss,19))</f>
      </c>
      <c r="I9099" s="43">
        <f>IF(INDEX(DarlBelegt,19)=0,0,IF(INDEX(DarlOhneTilgung,19)=1,IF(INDEX(DarlBindung,19)="",1,$G9099),IF($J9099&gt;0.005,1,0)))</f>
      </c>
      <c r="J9099" s="43">
        <f>IF($I9098=0,0,$R9098)</f>
      </c>
      <c r="K9099" s="43">
        <f>IF($I9099=0,0,IF(INDEX(DarlOhneTilgung,19)=1,0,IF(AND(INDEX(DarlTilgStart,19)&gt;0,$E9099=INDEX(DarlTilgStart,19)),$J9099*($H9099+INDEX(DarlTilgung,19))/100/12,IF(AND($G9099=0,$G9098=1),MAX($K9098,$J9099*($H9099+1)/100/12),$K9098))))</f>
      </c>
      <c r="L9099" s="43">
        <f>IF($I9099=0,0,$J9099*$H9099/100/12)</f>
      </c>
      <c r="M9099" s="43">
        <f>IF($I9099=0,0,IF(OR(INDEX(DarlOhneTilgung,19)=1,AND(INDEX(DarlTilgStart,19)&gt;0,$E9099&lt;INDEX(DarlTilgStart,19))),0,MIN(MAX(0,$K9099-$L9099),$J9099)))</f>
      </c>
      <c r="N9099" s="43">
        <f>IF($I9099=0,0,MIN(SUMIFS(SondBetrag,SondDarl,19,SondDatum,"&gt;="&amp;$E9099,SondDatum,"&lt;="&amp;EOMONTH($E9099,0)),$J9099-$M9099))</f>
      </c>
      <c r="O9099" s="43">
        <f>IF($I9099=0,0,INDEX(DarlErsatzRate,19))</f>
      </c>
      <c r="P9099" s="43">
        <f>IF($I9099=0,0,$Q9098*INDEX(DarlErsatzZins,19))</f>
      </c>
      <c r="Q9099" s="43">
        <f>IF($I9099=0,0,$Q9098+$P9099+$O9099)</f>
      </c>
      <c r="R9099" s="43">
        <f>IF($I9099=0,0,$J9099-$M9099-$N9099)</f>
      </c>
    </row>
    <row r="9100">
      <c r="A9100"/>
      <c r="B9100">
        <v>19</v>
      </c>
      <c r="C9100" s="43">
        <f>INDEX(DarlObj,19)</f>
      </c>
      <c r="D9100">
        <v>457</v>
      </c>
      <c r="E9100" s="51">
        <f>IF(INDEX(DarlBelegt,19)=0,0,EOMONTH(INDEX(DarlAuszahlung,19),456)+1)</f>
      </c>
      <c r="F9100" s="43">
        <f>IF($E9100=0,0,YEAR($E9100))</f>
      </c>
      <c r="G9100" s="43">
        <f>IF(INDEX(DarlBindung,19)="",1,IF($E9100&lt;=INDEX(DarlBindung,19),1,0))</f>
      </c>
      <c r="H9100" s="43">
        <f>IF($G9100=1,INDEX(DarlSollzins,19),INDEX(DarlAnschluss,19))</f>
      </c>
      <c r="I9100" s="43">
        <f>IF(INDEX(DarlBelegt,19)=0,0,IF(INDEX(DarlOhneTilgung,19)=1,IF(INDEX(DarlBindung,19)="",1,$G9100),IF($J9100&gt;0.005,1,0)))</f>
      </c>
      <c r="J9100" s="43">
        <f>IF($I9099=0,0,$R9099)</f>
      </c>
      <c r="K9100" s="43">
        <f>IF($I9100=0,0,IF(INDEX(DarlOhneTilgung,19)=1,0,IF(AND(INDEX(DarlTilgStart,19)&gt;0,$E9100=INDEX(DarlTilgStart,19)),$J9100*($H9100+INDEX(DarlTilgung,19))/100/12,IF(AND($G9100=0,$G9099=1),MAX($K9099,$J9100*($H9100+1)/100/12),$K9099))))</f>
      </c>
      <c r="L9100" s="43">
        <f>IF($I9100=0,0,$J9100*$H9100/100/12)</f>
      </c>
      <c r="M9100" s="43">
        <f>IF($I9100=0,0,IF(OR(INDEX(DarlOhneTilgung,19)=1,AND(INDEX(DarlTilgStart,19)&gt;0,$E9100&lt;INDEX(DarlTilgStart,19))),0,MIN(MAX(0,$K9100-$L9100),$J9100)))</f>
      </c>
      <c r="N9100" s="43">
        <f>IF($I9100=0,0,MIN(SUMIFS(SondBetrag,SondDarl,19,SondDatum,"&gt;="&amp;$E9100,SondDatum,"&lt;="&amp;EOMONTH($E9100,0)),$J9100-$M9100))</f>
      </c>
      <c r="O9100" s="43">
        <f>IF($I9100=0,0,INDEX(DarlErsatzRate,19))</f>
      </c>
      <c r="P9100" s="43">
        <f>IF($I9100=0,0,$Q9099*INDEX(DarlErsatzZins,19))</f>
      </c>
      <c r="Q9100" s="43">
        <f>IF($I9100=0,0,$Q9099+$P9100+$O9100)</f>
      </c>
      <c r="R9100" s="43">
        <f>IF($I9100=0,0,$J9100-$M9100-$N9100)</f>
      </c>
    </row>
    <row r="9101">
      <c r="A9101"/>
      <c r="B9101">
        <v>19</v>
      </c>
      <c r="C9101" s="43">
        <f>INDEX(DarlObj,19)</f>
      </c>
      <c r="D9101">
        <v>458</v>
      </c>
      <c r="E9101" s="51">
        <f>IF(INDEX(DarlBelegt,19)=0,0,EOMONTH(INDEX(DarlAuszahlung,19),457)+1)</f>
      </c>
      <c r="F9101" s="43">
        <f>IF($E9101=0,0,YEAR($E9101))</f>
      </c>
      <c r="G9101" s="43">
        <f>IF(INDEX(DarlBindung,19)="",1,IF($E9101&lt;=INDEX(DarlBindung,19),1,0))</f>
      </c>
      <c r="H9101" s="43">
        <f>IF($G9101=1,INDEX(DarlSollzins,19),INDEX(DarlAnschluss,19))</f>
      </c>
      <c r="I9101" s="43">
        <f>IF(INDEX(DarlBelegt,19)=0,0,IF(INDEX(DarlOhneTilgung,19)=1,IF(INDEX(DarlBindung,19)="",1,$G9101),IF($J9101&gt;0.005,1,0)))</f>
      </c>
      <c r="J9101" s="43">
        <f>IF($I9100=0,0,$R9100)</f>
      </c>
      <c r="K9101" s="43">
        <f>IF($I9101=0,0,IF(INDEX(DarlOhneTilgung,19)=1,0,IF(AND(INDEX(DarlTilgStart,19)&gt;0,$E9101=INDEX(DarlTilgStart,19)),$J9101*($H9101+INDEX(DarlTilgung,19))/100/12,IF(AND($G9101=0,$G9100=1),MAX($K9100,$J9101*($H9101+1)/100/12),$K9100))))</f>
      </c>
      <c r="L9101" s="43">
        <f>IF($I9101=0,0,$J9101*$H9101/100/12)</f>
      </c>
      <c r="M9101" s="43">
        <f>IF($I9101=0,0,IF(OR(INDEX(DarlOhneTilgung,19)=1,AND(INDEX(DarlTilgStart,19)&gt;0,$E9101&lt;INDEX(DarlTilgStart,19))),0,MIN(MAX(0,$K9101-$L9101),$J9101)))</f>
      </c>
      <c r="N9101" s="43">
        <f>IF($I9101=0,0,MIN(SUMIFS(SondBetrag,SondDarl,19,SondDatum,"&gt;="&amp;$E9101,SondDatum,"&lt;="&amp;EOMONTH($E9101,0)),$J9101-$M9101))</f>
      </c>
      <c r="O9101" s="43">
        <f>IF($I9101=0,0,INDEX(DarlErsatzRate,19))</f>
      </c>
      <c r="P9101" s="43">
        <f>IF($I9101=0,0,$Q9100*INDEX(DarlErsatzZins,19))</f>
      </c>
      <c r="Q9101" s="43">
        <f>IF($I9101=0,0,$Q9100+$P9101+$O9101)</f>
      </c>
      <c r="R9101" s="43">
        <f>IF($I9101=0,0,$J9101-$M9101-$N9101)</f>
      </c>
    </row>
    <row r="9102">
      <c r="A9102"/>
      <c r="B9102">
        <v>19</v>
      </c>
      <c r="C9102" s="43">
        <f>INDEX(DarlObj,19)</f>
      </c>
      <c r="D9102">
        <v>459</v>
      </c>
      <c r="E9102" s="51">
        <f>IF(INDEX(DarlBelegt,19)=0,0,EOMONTH(INDEX(DarlAuszahlung,19),458)+1)</f>
      </c>
      <c r="F9102" s="43">
        <f>IF($E9102=0,0,YEAR($E9102))</f>
      </c>
      <c r="G9102" s="43">
        <f>IF(INDEX(DarlBindung,19)="",1,IF($E9102&lt;=INDEX(DarlBindung,19),1,0))</f>
      </c>
      <c r="H9102" s="43">
        <f>IF($G9102=1,INDEX(DarlSollzins,19),INDEX(DarlAnschluss,19))</f>
      </c>
      <c r="I9102" s="43">
        <f>IF(INDEX(DarlBelegt,19)=0,0,IF(INDEX(DarlOhneTilgung,19)=1,IF(INDEX(DarlBindung,19)="",1,$G9102),IF($J9102&gt;0.005,1,0)))</f>
      </c>
      <c r="J9102" s="43">
        <f>IF($I9101=0,0,$R9101)</f>
      </c>
      <c r="K9102" s="43">
        <f>IF($I9102=0,0,IF(INDEX(DarlOhneTilgung,19)=1,0,IF(AND(INDEX(DarlTilgStart,19)&gt;0,$E9102=INDEX(DarlTilgStart,19)),$J9102*($H9102+INDEX(DarlTilgung,19))/100/12,IF(AND($G9102=0,$G9101=1),MAX($K9101,$J9102*($H9102+1)/100/12),$K9101))))</f>
      </c>
      <c r="L9102" s="43">
        <f>IF($I9102=0,0,$J9102*$H9102/100/12)</f>
      </c>
      <c r="M9102" s="43">
        <f>IF($I9102=0,0,IF(OR(INDEX(DarlOhneTilgung,19)=1,AND(INDEX(DarlTilgStart,19)&gt;0,$E9102&lt;INDEX(DarlTilgStart,19))),0,MIN(MAX(0,$K9102-$L9102),$J9102)))</f>
      </c>
      <c r="N9102" s="43">
        <f>IF($I9102=0,0,MIN(SUMIFS(SondBetrag,SondDarl,19,SondDatum,"&gt;="&amp;$E9102,SondDatum,"&lt;="&amp;EOMONTH($E9102,0)),$J9102-$M9102))</f>
      </c>
      <c r="O9102" s="43">
        <f>IF($I9102=0,0,INDEX(DarlErsatzRate,19))</f>
      </c>
      <c r="P9102" s="43">
        <f>IF($I9102=0,0,$Q9101*INDEX(DarlErsatzZins,19))</f>
      </c>
      <c r="Q9102" s="43">
        <f>IF($I9102=0,0,$Q9101+$P9102+$O9102)</f>
      </c>
      <c r="R9102" s="43">
        <f>IF($I9102=0,0,$J9102-$M9102-$N9102)</f>
      </c>
    </row>
    <row r="9103">
      <c r="A9103"/>
      <c r="B9103">
        <v>19</v>
      </c>
      <c r="C9103" s="43">
        <f>INDEX(DarlObj,19)</f>
      </c>
      <c r="D9103">
        <v>460</v>
      </c>
      <c r="E9103" s="51">
        <f>IF(INDEX(DarlBelegt,19)=0,0,EOMONTH(INDEX(DarlAuszahlung,19),459)+1)</f>
      </c>
      <c r="F9103" s="43">
        <f>IF($E9103=0,0,YEAR($E9103))</f>
      </c>
      <c r="G9103" s="43">
        <f>IF(INDEX(DarlBindung,19)="",1,IF($E9103&lt;=INDEX(DarlBindung,19),1,0))</f>
      </c>
      <c r="H9103" s="43">
        <f>IF($G9103=1,INDEX(DarlSollzins,19),INDEX(DarlAnschluss,19))</f>
      </c>
      <c r="I9103" s="43">
        <f>IF(INDEX(DarlBelegt,19)=0,0,IF(INDEX(DarlOhneTilgung,19)=1,IF(INDEX(DarlBindung,19)="",1,$G9103),IF($J9103&gt;0.005,1,0)))</f>
      </c>
      <c r="J9103" s="43">
        <f>IF($I9102=0,0,$R9102)</f>
      </c>
      <c r="K9103" s="43">
        <f>IF($I9103=0,0,IF(INDEX(DarlOhneTilgung,19)=1,0,IF(AND(INDEX(DarlTilgStart,19)&gt;0,$E9103=INDEX(DarlTilgStart,19)),$J9103*($H9103+INDEX(DarlTilgung,19))/100/12,IF(AND($G9103=0,$G9102=1),MAX($K9102,$J9103*($H9103+1)/100/12),$K9102))))</f>
      </c>
      <c r="L9103" s="43">
        <f>IF($I9103=0,0,$J9103*$H9103/100/12)</f>
      </c>
      <c r="M9103" s="43">
        <f>IF($I9103=0,0,IF(OR(INDEX(DarlOhneTilgung,19)=1,AND(INDEX(DarlTilgStart,19)&gt;0,$E9103&lt;INDEX(DarlTilgStart,19))),0,MIN(MAX(0,$K9103-$L9103),$J9103)))</f>
      </c>
      <c r="N9103" s="43">
        <f>IF($I9103=0,0,MIN(SUMIFS(SondBetrag,SondDarl,19,SondDatum,"&gt;="&amp;$E9103,SondDatum,"&lt;="&amp;EOMONTH($E9103,0)),$J9103-$M9103))</f>
      </c>
      <c r="O9103" s="43">
        <f>IF($I9103=0,0,INDEX(DarlErsatzRate,19))</f>
      </c>
      <c r="P9103" s="43">
        <f>IF($I9103=0,0,$Q9102*INDEX(DarlErsatzZins,19))</f>
      </c>
      <c r="Q9103" s="43">
        <f>IF($I9103=0,0,$Q9102+$P9103+$O9103)</f>
      </c>
      <c r="R9103" s="43">
        <f>IF($I9103=0,0,$J9103-$M9103-$N9103)</f>
      </c>
    </row>
    <row r="9104">
      <c r="A9104"/>
      <c r="B9104">
        <v>19</v>
      </c>
      <c r="C9104" s="43">
        <f>INDEX(DarlObj,19)</f>
      </c>
      <c r="D9104">
        <v>461</v>
      </c>
      <c r="E9104" s="51">
        <f>IF(INDEX(DarlBelegt,19)=0,0,EOMONTH(INDEX(DarlAuszahlung,19),460)+1)</f>
      </c>
      <c r="F9104" s="43">
        <f>IF($E9104=0,0,YEAR($E9104))</f>
      </c>
      <c r="G9104" s="43">
        <f>IF(INDEX(DarlBindung,19)="",1,IF($E9104&lt;=INDEX(DarlBindung,19),1,0))</f>
      </c>
      <c r="H9104" s="43">
        <f>IF($G9104=1,INDEX(DarlSollzins,19),INDEX(DarlAnschluss,19))</f>
      </c>
      <c r="I9104" s="43">
        <f>IF(INDEX(DarlBelegt,19)=0,0,IF(INDEX(DarlOhneTilgung,19)=1,IF(INDEX(DarlBindung,19)="",1,$G9104),IF($J9104&gt;0.005,1,0)))</f>
      </c>
      <c r="J9104" s="43">
        <f>IF($I9103=0,0,$R9103)</f>
      </c>
      <c r="K9104" s="43">
        <f>IF($I9104=0,0,IF(INDEX(DarlOhneTilgung,19)=1,0,IF(AND(INDEX(DarlTilgStart,19)&gt;0,$E9104=INDEX(DarlTilgStart,19)),$J9104*($H9104+INDEX(DarlTilgung,19))/100/12,IF(AND($G9104=0,$G9103=1),MAX($K9103,$J9104*($H9104+1)/100/12),$K9103))))</f>
      </c>
      <c r="L9104" s="43">
        <f>IF($I9104=0,0,$J9104*$H9104/100/12)</f>
      </c>
      <c r="M9104" s="43">
        <f>IF($I9104=0,0,IF(OR(INDEX(DarlOhneTilgung,19)=1,AND(INDEX(DarlTilgStart,19)&gt;0,$E9104&lt;INDEX(DarlTilgStart,19))),0,MIN(MAX(0,$K9104-$L9104),$J9104)))</f>
      </c>
      <c r="N9104" s="43">
        <f>IF($I9104=0,0,MIN(SUMIFS(SondBetrag,SondDarl,19,SondDatum,"&gt;="&amp;$E9104,SondDatum,"&lt;="&amp;EOMONTH($E9104,0)),$J9104-$M9104))</f>
      </c>
      <c r="O9104" s="43">
        <f>IF($I9104=0,0,INDEX(DarlErsatzRate,19))</f>
      </c>
      <c r="P9104" s="43">
        <f>IF($I9104=0,0,$Q9103*INDEX(DarlErsatzZins,19))</f>
      </c>
      <c r="Q9104" s="43">
        <f>IF($I9104=0,0,$Q9103+$P9104+$O9104)</f>
      </c>
      <c r="R9104" s="43">
        <f>IF($I9104=0,0,$J9104-$M9104-$N9104)</f>
      </c>
    </row>
    <row r="9105">
      <c r="A9105"/>
      <c r="B9105">
        <v>19</v>
      </c>
      <c r="C9105" s="43">
        <f>INDEX(DarlObj,19)</f>
      </c>
      <c r="D9105">
        <v>462</v>
      </c>
      <c r="E9105" s="51">
        <f>IF(INDEX(DarlBelegt,19)=0,0,EOMONTH(INDEX(DarlAuszahlung,19),461)+1)</f>
      </c>
      <c r="F9105" s="43">
        <f>IF($E9105=0,0,YEAR($E9105))</f>
      </c>
      <c r="G9105" s="43">
        <f>IF(INDEX(DarlBindung,19)="",1,IF($E9105&lt;=INDEX(DarlBindung,19),1,0))</f>
      </c>
      <c r="H9105" s="43">
        <f>IF($G9105=1,INDEX(DarlSollzins,19),INDEX(DarlAnschluss,19))</f>
      </c>
      <c r="I9105" s="43">
        <f>IF(INDEX(DarlBelegt,19)=0,0,IF(INDEX(DarlOhneTilgung,19)=1,IF(INDEX(DarlBindung,19)="",1,$G9105),IF($J9105&gt;0.005,1,0)))</f>
      </c>
      <c r="J9105" s="43">
        <f>IF($I9104=0,0,$R9104)</f>
      </c>
      <c r="K9105" s="43">
        <f>IF($I9105=0,0,IF(INDEX(DarlOhneTilgung,19)=1,0,IF(AND(INDEX(DarlTilgStart,19)&gt;0,$E9105=INDEX(DarlTilgStart,19)),$J9105*($H9105+INDEX(DarlTilgung,19))/100/12,IF(AND($G9105=0,$G9104=1),MAX($K9104,$J9105*($H9105+1)/100/12),$K9104))))</f>
      </c>
      <c r="L9105" s="43">
        <f>IF($I9105=0,0,$J9105*$H9105/100/12)</f>
      </c>
      <c r="M9105" s="43">
        <f>IF($I9105=0,0,IF(OR(INDEX(DarlOhneTilgung,19)=1,AND(INDEX(DarlTilgStart,19)&gt;0,$E9105&lt;INDEX(DarlTilgStart,19))),0,MIN(MAX(0,$K9105-$L9105),$J9105)))</f>
      </c>
      <c r="N9105" s="43">
        <f>IF($I9105=0,0,MIN(SUMIFS(SondBetrag,SondDarl,19,SondDatum,"&gt;="&amp;$E9105,SondDatum,"&lt;="&amp;EOMONTH($E9105,0)),$J9105-$M9105))</f>
      </c>
      <c r="O9105" s="43">
        <f>IF($I9105=0,0,INDEX(DarlErsatzRate,19))</f>
      </c>
      <c r="P9105" s="43">
        <f>IF($I9105=0,0,$Q9104*INDEX(DarlErsatzZins,19))</f>
      </c>
      <c r="Q9105" s="43">
        <f>IF($I9105=0,0,$Q9104+$P9105+$O9105)</f>
      </c>
      <c r="R9105" s="43">
        <f>IF($I9105=0,0,$J9105-$M9105-$N9105)</f>
      </c>
    </row>
    <row r="9106">
      <c r="A9106"/>
      <c r="B9106">
        <v>19</v>
      </c>
      <c r="C9106" s="43">
        <f>INDEX(DarlObj,19)</f>
      </c>
      <c r="D9106">
        <v>463</v>
      </c>
      <c r="E9106" s="51">
        <f>IF(INDEX(DarlBelegt,19)=0,0,EOMONTH(INDEX(DarlAuszahlung,19),462)+1)</f>
      </c>
      <c r="F9106" s="43">
        <f>IF($E9106=0,0,YEAR($E9106))</f>
      </c>
      <c r="G9106" s="43">
        <f>IF(INDEX(DarlBindung,19)="",1,IF($E9106&lt;=INDEX(DarlBindung,19),1,0))</f>
      </c>
      <c r="H9106" s="43">
        <f>IF($G9106=1,INDEX(DarlSollzins,19),INDEX(DarlAnschluss,19))</f>
      </c>
      <c r="I9106" s="43">
        <f>IF(INDEX(DarlBelegt,19)=0,0,IF(INDEX(DarlOhneTilgung,19)=1,IF(INDEX(DarlBindung,19)="",1,$G9106),IF($J9106&gt;0.005,1,0)))</f>
      </c>
      <c r="J9106" s="43">
        <f>IF($I9105=0,0,$R9105)</f>
      </c>
      <c r="K9106" s="43">
        <f>IF($I9106=0,0,IF(INDEX(DarlOhneTilgung,19)=1,0,IF(AND(INDEX(DarlTilgStart,19)&gt;0,$E9106=INDEX(DarlTilgStart,19)),$J9106*($H9106+INDEX(DarlTilgung,19))/100/12,IF(AND($G9106=0,$G9105=1),MAX($K9105,$J9106*($H9106+1)/100/12),$K9105))))</f>
      </c>
      <c r="L9106" s="43">
        <f>IF($I9106=0,0,$J9106*$H9106/100/12)</f>
      </c>
      <c r="M9106" s="43">
        <f>IF($I9106=0,0,IF(OR(INDEX(DarlOhneTilgung,19)=1,AND(INDEX(DarlTilgStart,19)&gt;0,$E9106&lt;INDEX(DarlTilgStart,19))),0,MIN(MAX(0,$K9106-$L9106),$J9106)))</f>
      </c>
      <c r="N9106" s="43">
        <f>IF($I9106=0,0,MIN(SUMIFS(SondBetrag,SondDarl,19,SondDatum,"&gt;="&amp;$E9106,SondDatum,"&lt;="&amp;EOMONTH($E9106,0)),$J9106-$M9106))</f>
      </c>
      <c r="O9106" s="43">
        <f>IF($I9106=0,0,INDEX(DarlErsatzRate,19))</f>
      </c>
      <c r="P9106" s="43">
        <f>IF($I9106=0,0,$Q9105*INDEX(DarlErsatzZins,19))</f>
      </c>
      <c r="Q9106" s="43">
        <f>IF($I9106=0,0,$Q9105+$P9106+$O9106)</f>
      </c>
      <c r="R9106" s="43">
        <f>IF($I9106=0,0,$J9106-$M9106-$N9106)</f>
      </c>
    </row>
    <row r="9107">
      <c r="A9107"/>
      <c r="B9107">
        <v>19</v>
      </c>
      <c r="C9107" s="43">
        <f>INDEX(DarlObj,19)</f>
      </c>
      <c r="D9107">
        <v>464</v>
      </c>
      <c r="E9107" s="51">
        <f>IF(INDEX(DarlBelegt,19)=0,0,EOMONTH(INDEX(DarlAuszahlung,19),463)+1)</f>
      </c>
      <c r="F9107" s="43">
        <f>IF($E9107=0,0,YEAR($E9107))</f>
      </c>
      <c r="G9107" s="43">
        <f>IF(INDEX(DarlBindung,19)="",1,IF($E9107&lt;=INDEX(DarlBindung,19),1,0))</f>
      </c>
      <c r="H9107" s="43">
        <f>IF($G9107=1,INDEX(DarlSollzins,19),INDEX(DarlAnschluss,19))</f>
      </c>
      <c r="I9107" s="43">
        <f>IF(INDEX(DarlBelegt,19)=0,0,IF(INDEX(DarlOhneTilgung,19)=1,IF(INDEX(DarlBindung,19)="",1,$G9107),IF($J9107&gt;0.005,1,0)))</f>
      </c>
      <c r="J9107" s="43">
        <f>IF($I9106=0,0,$R9106)</f>
      </c>
      <c r="K9107" s="43">
        <f>IF($I9107=0,0,IF(INDEX(DarlOhneTilgung,19)=1,0,IF(AND(INDEX(DarlTilgStart,19)&gt;0,$E9107=INDEX(DarlTilgStart,19)),$J9107*($H9107+INDEX(DarlTilgung,19))/100/12,IF(AND($G9107=0,$G9106=1),MAX($K9106,$J9107*($H9107+1)/100/12),$K9106))))</f>
      </c>
      <c r="L9107" s="43">
        <f>IF($I9107=0,0,$J9107*$H9107/100/12)</f>
      </c>
      <c r="M9107" s="43">
        <f>IF($I9107=0,0,IF(OR(INDEX(DarlOhneTilgung,19)=1,AND(INDEX(DarlTilgStart,19)&gt;0,$E9107&lt;INDEX(DarlTilgStart,19))),0,MIN(MAX(0,$K9107-$L9107),$J9107)))</f>
      </c>
      <c r="N9107" s="43">
        <f>IF($I9107=0,0,MIN(SUMIFS(SondBetrag,SondDarl,19,SondDatum,"&gt;="&amp;$E9107,SondDatum,"&lt;="&amp;EOMONTH($E9107,0)),$J9107-$M9107))</f>
      </c>
      <c r="O9107" s="43">
        <f>IF($I9107=0,0,INDEX(DarlErsatzRate,19))</f>
      </c>
      <c r="P9107" s="43">
        <f>IF($I9107=0,0,$Q9106*INDEX(DarlErsatzZins,19))</f>
      </c>
      <c r="Q9107" s="43">
        <f>IF($I9107=0,0,$Q9106+$P9107+$O9107)</f>
      </c>
      <c r="R9107" s="43">
        <f>IF($I9107=0,0,$J9107-$M9107-$N9107)</f>
      </c>
    </row>
    <row r="9108">
      <c r="A9108"/>
      <c r="B9108">
        <v>19</v>
      </c>
      <c r="C9108" s="43">
        <f>INDEX(DarlObj,19)</f>
      </c>
      <c r="D9108">
        <v>465</v>
      </c>
      <c r="E9108" s="51">
        <f>IF(INDEX(DarlBelegt,19)=0,0,EOMONTH(INDEX(DarlAuszahlung,19),464)+1)</f>
      </c>
      <c r="F9108" s="43">
        <f>IF($E9108=0,0,YEAR($E9108))</f>
      </c>
      <c r="G9108" s="43">
        <f>IF(INDEX(DarlBindung,19)="",1,IF($E9108&lt;=INDEX(DarlBindung,19),1,0))</f>
      </c>
      <c r="H9108" s="43">
        <f>IF($G9108=1,INDEX(DarlSollzins,19),INDEX(DarlAnschluss,19))</f>
      </c>
      <c r="I9108" s="43">
        <f>IF(INDEX(DarlBelegt,19)=0,0,IF(INDEX(DarlOhneTilgung,19)=1,IF(INDEX(DarlBindung,19)="",1,$G9108),IF($J9108&gt;0.005,1,0)))</f>
      </c>
      <c r="J9108" s="43">
        <f>IF($I9107=0,0,$R9107)</f>
      </c>
      <c r="K9108" s="43">
        <f>IF($I9108=0,0,IF(INDEX(DarlOhneTilgung,19)=1,0,IF(AND(INDEX(DarlTilgStart,19)&gt;0,$E9108=INDEX(DarlTilgStart,19)),$J9108*($H9108+INDEX(DarlTilgung,19))/100/12,IF(AND($G9108=0,$G9107=1),MAX($K9107,$J9108*($H9108+1)/100/12),$K9107))))</f>
      </c>
      <c r="L9108" s="43">
        <f>IF($I9108=0,0,$J9108*$H9108/100/12)</f>
      </c>
      <c r="M9108" s="43">
        <f>IF($I9108=0,0,IF(OR(INDEX(DarlOhneTilgung,19)=1,AND(INDEX(DarlTilgStart,19)&gt;0,$E9108&lt;INDEX(DarlTilgStart,19))),0,MIN(MAX(0,$K9108-$L9108),$J9108)))</f>
      </c>
      <c r="N9108" s="43">
        <f>IF($I9108=0,0,MIN(SUMIFS(SondBetrag,SondDarl,19,SondDatum,"&gt;="&amp;$E9108,SondDatum,"&lt;="&amp;EOMONTH($E9108,0)),$J9108-$M9108))</f>
      </c>
      <c r="O9108" s="43">
        <f>IF($I9108=0,0,INDEX(DarlErsatzRate,19))</f>
      </c>
      <c r="P9108" s="43">
        <f>IF($I9108=0,0,$Q9107*INDEX(DarlErsatzZins,19))</f>
      </c>
      <c r="Q9108" s="43">
        <f>IF($I9108=0,0,$Q9107+$P9108+$O9108)</f>
      </c>
      <c r="R9108" s="43">
        <f>IF($I9108=0,0,$J9108-$M9108-$N9108)</f>
      </c>
    </row>
    <row r="9109">
      <c r="A9109"/>
      <c r="B9109">
        <v>19</v>
      </c>
      <c r="C9109" s="43">
        <f>INDEX(DarlObj,19)</f>
      </c>
      <c r="D9109">
        <v>466</v>
      </c>
      <c r="E9109" s="51">
        <f>IF(INDEX(DarlBelegt,19)=0,0,EOMONTH(INDEX(DarlAuszahlung,19),465)+1)</f>
      </c>
      <c r="F9109" s="43">
        <f>IF($E9109=0,0,YEAR($E9109))</f>
      </c>
      <c r="G9109" s="43">
        <f>IF(INDEX(DarlBindung,19)="",1,IF($E9109&lt;=INDEX(DarlBindung,19),1,0))</f>
      </c>
      <c r="H9109" s="43">
        <f>IF($G9109=1,INDEX(DarlSollzins,19),INDEX(DarlAnschluss,19))</f>
      </c>
      <c r="I9109" s="43">
        <f>IF(INDEX(DarlBelegt,19)=0,0,IF(INDEX(DarlOhneTilgung,19)=1,IF(INDEX(DarlBindung,19)="",1,$G9109),IF($J9109&gt;0.005,1,0)))</f>
      </c>
      <c r="J9109" s="43">
        <f>IF($I9108=0,0,$R9108)</f>
      </c>
      <c r="K9109" s="43">
        <f>IF($I9109=0,0,IF(INDEX(DarlOhneTilgung,19)=1,0,IF(AND(INDEX(DarlTilgStart,19)&gt;0,$E9109=INDEX(DarlTilgStart,19)),$J9109*($H9109+INDEX(DarlTilgung,19))/100/12,IF(AND($G9109=0,$G9108=1),MAX($K9108,$J9109*($H9109+1)/100/12),$K9108))))</f>
      </c>
      <c r="L9109" s="43">
        <f>IF($I9109=0,0,$J9109*$H9109/100/12)</f>
      </c>
      <c r="M9109" s="43">
        <f>IF($I9109=0,0,IF(OR(INDEX(DarlOhneTilgung,19)=1,AND(INDEX(DarlTilgStart,19)&gt;0,$E9109&lt;INDEX(DarlTilgStart,19))),0,MIN(MAX(0,$K9109-$L9109),$J9109)))</f>
      </c>
      <c r="N9109" s="43">
        <f>IF($I9109=0,0,MIN(SUMIFS(SondBetrag,SondDarl,19,SondDatum,"&gt;="&amp;$E9109,SondDatum,"&lt;="&amp;EOMONTH($E9109,0)),$J9109-$M9109))</f>
      </c>
      <c r="O9109" s="43">
        <f>IF($I9109=0,0,INDEX(DarlErsatzRate,19))</f>
      </c>
      <c r="P9109" s="43">
        <f>IF($I9109=0,0,$Q9108*INDEX(DarlErsatzZins,19))</f>
      </c>
      <c r="Q9109" s="43">
        <f>IF($I9109=0,0,$Q9108+$P9109+$O9109)</f>
      </c>
      <c r="R9109" s="43">
        <f>IF($I9109=0,0,$J9109-$M9109-$N9109)</f>
      </c>
    </row>
    <row r="9110">
      <c r="A9110"/>
      <c r="B9110">
        <v>19</v>
      </c>
      <c r="C9110" s="43">
        <f>INDEX(DarlObj,19)</f>
      </c>
      <c r="D9110">
        <v>467</v>
      </c>
      <c r="E9110" s="51">
        <f>IF(INDEX(DarlBelegt,19)=0,0,EOMONTH(INDEX(DarlAuszahlung,19),466)+1)</f>
      </c>
      <c r="F9110" s="43">
        <f>IF($E9110=0,0,YEAR($E9110))</f>
      </c>
      <c r="G9110" s="43">
        <f>IF(INDEX(DarlBindung,19)="",1,IF($E9110&lt;=INDEX(DarlBindung,19),1,0))</f>
      </c>
      <c r="H9110" s="43">
        <f>IF($G9110=1,INDEX(DarlSollzins,19),INDEX(DarlAnschluss,19))</f>
      </c>
      <c r="I9110" s="43">
        <f>IF(INDEX(DarlBelegt,19)=0,0,IF(INDEX(DarlOhneTilgung,19)=1,IF(INDEX(DarlBindung,19)="",1,$G9110),IF($J9110&gt;0.005,1,0)))</f>
      </c>
      <c r="J9110" s="43">
        <f>IF($I9109=0,0,$R9109)</f>
      </c>
      <c r="K9110" s="43">
        <f>IF($I9110=0,0,IF(INDEX(DarlOhneTilgung,19)=1,0,IF(AND(INDEX(DarlTilgStart,19)&gt;0,$E9110=INDEX(DarlTilgStart,19)),$J9110*($H9110+INDEX(DarlTilgung,19))/100/12,IF(AND($G9110=0,$G9109=1),MAX($K9109,$J9110*($H9110+1)/100/12),$K9109))))</f>
      </c>
      <c r="L9110" s="43">
        <f>IF($I9110=0,0,$J9110*$H9110/100/12)</f>
      </c>
      <c r="M9110" s="43">
        <f>IF($I9110=0,0,IF(OR(INDEX(DarlOhneTilgung,19)=1,AND(INDEX(DarlTilgStart,19)&gt;0,$E9110&lt;INDEX(DarlTilgStart,19))),0,MIN(MAX(0,$K9110-$L9110),$J9110)))</f>
      </c>
      <c r="N9110" s="43">
        <f>IF($I9110=0,0,MIN(SUMIFS(SondBetrag,SondDarl,19,SondDatum,"&gt;="&amp;$E9110,SondDatum,"&lt;="&amp;EOMONTH($E9110,0)),$J9110-$M9110))</f>
      </c>
      <c r="O9110" s="43">
        <f>IF($I9110=0,0,INDEX(DarlErsatzRate,19))</f>
      </c>
      <c r="P9110" s="43">
        <f>IF($I9110=0,0,$Q9109*INDEX(DarlErsatzZins,19))</f>
      </c>
      <c r="Q9110" s="43">
        <f>IF($I9110=0,0,$Q9109+$P9110+$O9110)</f>
      </c>
      <c r="R9110" s="43">
        <f>IF($I9110=0,0,$J9110-$M9110-$N9110)</f>
      </c>
    </row>
    <row r="9111">
      <c r="A9111"/>
      <c r="B9111">
        <v>19</v>
      </c>
      <c r="C9111" s="43">
        <f>INDEX(DarlObj,19)</f>
      </c>
      <c r="D9111">
        <v>468</v>
      </c>
      <c r="E9111" s="51">
        <f>IF(INDEX(DarlBelegt,19)=0,0,EOMONTH(INDEX(DarlAuszahlung,19),467)+1)</f>
      </c>
      <c r="F9111" s="43">
        <f>IF($E9111=0,0,YEAR($E9111))</f>
      </c>
      <c r="G9111" s="43">
        <f>IF(INDEX(DarlBindung,19)="",1,IF($E9111&lt;=INDEX(DarlBindung,19),1,0))</f>
      </c>
      <c r="H9111" s="43">
        <f>IF($G9111=1,INDEX(DarlSollzins,19),INDEX(DarlAnschluss,19))</f>
      </c>
      <c r="I9111" s="43">
        <f>IF(INDEX(DarlBelegt,19)=0,0,IF(INDEX(DarlOhneTilgung,19)=1,IF(INDEX(DarlBindung,19)="",1,$G9111),IF($J9111&gt;0.005,1,0)))</f>
      </c>
      <c r="J9111" s="43">
        <f>IF($I9110=0,0,$R9110)</f>
      </c>
      <c r="K9111" s="43">
        <f>IF($I9111=0,0,IF(INDEX(DarlOhneTilgung,19)=1,0,IF(AND(INDEX(DarlTilgStart,19)&gt;0,$E9111=INDEX(DarlTilgStart,19)),$J9111*($H9111+INDEX(DarlTilgung,19))/100/12,IF(AND($G9111=0,$G9110=1),MAX($K9110,$J9111*($H9111+1)/100/12),$K9110))))</f>
      </c>
      <c r="L9111" s="43">
        <f>IF($I9111=0,0,$J9111*$H9111/100/12)</f>
      </c>
      <c r="M9111" s="43">
        <f>IF($I9111=0,0,IF(OR(INDEX(DarlOhneTilgung,19)=1,AND(INDEX(DarlTilgStart,19)&gt;0,$E9111&lt;INDEX(DarlTilgStart,19))),0,MIN(MAX(0,$K9111-$L9111),$J9111)))</f>
      </c>
      <c r="N9111" s="43">
        <f>IF($I9111=0,0,MIN(SUMIFS(SondBetrag,SondDarl,19,SondDatum,"&gt;="&amp;$E9111,SondDatum,"&lt;="&amp;EOMONTH($E9111,0)),$J9111-$M9111))</f>
      </c>
      <c r="O9111" s="43">
        <f>IF($I9111=0,0,INDEX(DarlErsatzRate,19))</f>
      </c>
      <c r="P9111" s="43">
        <f>IF($I9111=0,0,$Q9110*INDEX(DarlErsatzZins,19))</f>
      </c>
      <c r="Q9111" s="43">
        <f>IF($I9111=0,0,$Q9110+$P9111+$O9111)</f>
      </c>
      <c r="R9111" s="43">
        <f>IF($I9111=0,0,$J9111-$M9111-$N9111)</f>
      </c>
    </row>
    <row r="9112">
      <c r="A9112"/>
      <c r="B9112">
        <v>19</v>
      </c>
      <c r="C9112" s="43">
        <f>INDEX(DarlObj,19)</f>
      </c>
      <c r="D9112">
        <v>469</v>
      </c>
      <c r="E9112" s="51">
        <f>IF(INDEX(DarlBelegt,19)=0,0,EOMONTH(INDEX(DarlAuszahlung,19),468)+1)</f>
      </c>
      <c r="F9112" s="43">
        <f>IF($E9112=0,0,YEAR($E9112))</f>
      </c>
      <c r="G9112" s="43">
        <f>IF(INDEX(DarlBindung,19)="",1,IF($E9112&lt;=INDEX(DarlBindung,19),1,0))</f>
      </c>
      <c r="H9112" s="43">
        <f>IF($G9112=1,INDEX(DarlSollzins,19),INDEX(DarlAnschluss,19))</f>
      </c>
      <c r="I9112" s="43">
        <f>IF(INDEX(DarlBelegt,19)=0,0,IF(INDEX(DarlOhneTilgung,19)=1,IF(INDEX(DarlBindung,19)="",1,$G9112),IF($J9112&gt;0.005,1,0)))</f>
      </c>
      <c r="J9112" s="43">
        <f>IF($I9111=0,0,$R9111)</f>
      </c>
      <c r="K9112" s="43">
        <f>IF($I9112=0,0,IF(INDEX(DarlOhneTilgung,19)=1,0,IF(AND(INDEX(DarlTilgStart,19)&gt;0,$E9112=INDEX(DarlTilgStart,19)),$J9112*($H9112+INDEX(DarlTilgung,19))/100/12,IF(AND($G9112=0,$G9111=1),MAX($K9111,$J9112*($H9112+1)/100/12),$K9111))))</f>
      </c>
      <c r="L9112" s="43">
        <f>IF($I9112=0,0,$J9112*$H9112/100/12)</f>
      </c>
      <c r="M9112" s="43">
        <f>IF($I9112=0,0,IF(OR(INDEX(DarlOhneTilgung,19)=1,AND(INDEX(DarlTilgStart,19)&gt;0,$E9112&lt;INDEX(DarlTilgStart,19))),0,MIN(MAX(0,$K9112-$L9112),$J9112)))</f>
      </c>
      <c r="N9112" s="43">
        <f>IF($I9112=0,0,MIN(SUMIFS(SondBetrag,SondDarl,19,SondDatum,"&gt;="&amp;$E9112,SondDatum,"&lt;="&amp;EOMONTH($E9112,0)),$J9112-$M9112))</f>
      </c>
      <c r="O9112" s="43">
        <f>IF($I9112=0,0,INDEX(DarlErsatzRate,19))</f>
      </c>
      <c r="P9112" s="43">
        <f>IF($I9112=0,0,$Q9111*INDEX(DarlErsatzZins,19))</f>
      </c>
      <c r="Q9112" s="43">
        <f>IF($I9112=0,0,$Q9111+$P9112+$O9112)</f>
      </c>
      <c r="R9112" s="43">
        <f>IF($I9112=0,0,$J9112-$M9112-$N9112)</f>
      </c>
    </row>
    <row r="9113">
      <c r="A9113"/>
      <c r="B9113">
        <v>19</v>
      </c>
      <c r="C9113" s="43">
        <f>INDEX(DarlObj,19)</f>
      </c>
      <c r="D9113">
        <v>470</v>
      </c>
      <c r="E9113" s="51">
        <f>IF(INDEX(DarlBelegt,19)=0,0,EOMONTH(INDEX(DarlAuszahlung,19),469)+1)</f>
      </c>
      <c r="F9113" s="43">
        <f>IF($E9113=0,0,YEAR($E9113))</f>
      </c>
      <c r="G9113" s="43">
        <f>IF(INDEX(DarlBindung,19)="",1,IF($E9113&lt;=INDEX(DarlBindung,19),1,0))</f>
      </c>
      <c r="H9113" s="43">
        <f>IF($G9113=1,INDEX(DarlSollzins,19),INDEX(DarlAnschluss,19))</f>
      </c>
      <c r="I9113" s="43">
        <f>IF(INDEX(DarlBelegt,19)=0,0,IF(INDEX(DarlOhneTilgung,19)=1,IF(INDEX(DarlBindung,19)="",1,$G9113),IF($J9113&gt;0.005,1,0)))</f>
      </c>
      <c r="J9113" s="43">
        <f>IF($I9112=0,0,$R9112)</f>
      </c>
      <c r="K9113" s="43">
        <f>IF($I9113=0,0,IF(INDEX(DarlOhneTilgung,19)=1,0,IF(AND(INDEX(DarlTilgStart,19)&gt;0,$E9113=INDEX(DarlTilgStart,19)),$J9113*($H9113+INDEX(DarlTilgung,19))/100/12,IF(AND($G9113=0,$G9112=1),MAX($K9112,$J9113*($H9113+1)/100/12),$K9112))))</f>
      </c>
      <c r="L9113" s="43">
        <f>IF($I9113=0,0,$J9113*$H9113/100/12)</f>
      </c>
      <c r="M9113" s="43">
        <f>IF($I9113=0,0,IF(OR(INDEX(DarlOhneTilgung,19)=1,AND(INDEX(DarlTilgStart,19)&gt;0,$E9113&lt;INDEX(DarlTilgStart,19))),0,MIN(MAX(0,$K9113-$L9113),$J9113)))</f>
      </c>
      <c r="N9113" s="43">
        <f>IF($I9113=0,0,MIN(SUMIFS(SondBetrag,SondDarl,19,SondDatum,"&gt;="&amp;$E9113,SondDatum,"&lt;="&amp;EOMONTH($E9113,0)),$J9113-$M9113))</f>
      </c>
      <c r="O9113" s="43">
        <f>IF($I9113=0,0,INDEX(DarlErsatzRate,19))</f>
      </c>
      <c r="P9113" s="43">
        <f>IF($I9113=0,0,$Q9112*INDEX(DarlErsatzZins,19))</f>
      </c>
      <c r="Q9113" s="43">
        <f>IF($I9113=0,0,$Q9112+$P9113+$O9113)</f>
      </c>
      <c r="R9113" s="43">
        <f>IF($I9113=0,0,$J9113-$M9113-$N9113)</f>
      </c>
    </row>
    <row r="9114">
      <c r="A9114"/>
      <c r="B9114">
        <v>19</v>
      </c>
      <c r="C9114" s="43">
        <f>INDEX(DarlObj,19)</f>
      </c>
      <c r="D9114">
        <v>471</v>
      </c>
      <c r="E9114" s="51">
        <f>IF(INDEX(DarlBelegt,19)=0,0,EOMONTH(INDEX(DarlAuszahlung,19),470)+1)</f>
      </c>
      <c r="F9114" s="43">
        <f>IF($E9114=0,0,YEAR($E9114))</f>
      </c>
      <c r="G9114" s="43">
        <f>IF(INDEX(DarlBindung,19)="",1,IF($E9114&lt;=INDEX(DarlBindung,19),1,0))</f>
      </c>
      <c r="H9114" s="43">
        <f>IF($G9114=1,INDEX(DarlSollzins,19),INDEX(DarlAnschluss,19))</f>
      </c>
      <c r="I9114" s="43">
        <f>IF(INDEX(DarlBelegt,19)=0,0,IF(INDEX(DarlOhneTilgung,19)=1,IF(INDEX(DarlBindung,19)="",1,$G9114),IF($J9114&gt;0.005,1,0)))</f>
      </c>
      <c r="J9114" s="43">
        <f>IF($I9113=0,0,$R9113)</f>
      </c>
      <c r="K9114" s="43">
        <f>IF($I9114=0,0,IF(INDEX(DarlOhneTilgung,19)=1,0,IF(AND(INDEX(DarlTilgStart,19)&gt;0,$E9114=INDEX(DarlTilgStart,19)),$J9114*($H9114+INDEX(DarlTilgung,19))/100/12,IF(AND($G9114=0,$G9113=1),MAX($K9113,$J9114*($H9114+1)/100/12),$K9113))))</f>
      </c>
      <c r="L9114" s="43">
        <f>IF($I9114=0,0,$J9114*$H9114/100/12)</f>
      </c>
      <c r="M9114" s="43">
        <f>IF($I9114=0,0,IF(OR(INDEX(DarlOhneTilgung,19)=1,AND(INDEX(DarlTilgStart,19)&gt;0,$E9114&lt;INDEX(DarlTilgStart,19))),0,MIN(MAX(0,$K9114-$L9114),$J9114)))</f>
      </c>
      <c r="N9114" s="43">
        <f>IF($I9114=0,0,MIN(SUMIFS(SondBetrag,SondDarl,19,SondDatum,"&gt;="&amp;$E9114,SondDatum,"&lt;="&amp;EOMONTH($E9114,0)),$J9114-$M9114))</f>
      </c>
      <c r="O9114" s="43">
        <f>IF($I9114=0,0,INDEX(DarlErsatzRate,19))</f>
      </c>
      <c r="P9114" s="43">
        <f>IF($I9114=0,0,$Q9113*INDEX(DarlErsatzZins,19))</f>
      </c>
      <c r="Q9114" s="43">
        <f>IF($I9114=0,0,$Q9113+$P9114+$O9114)</f>
      </c>
      <c r="R9114" s="43">
        <f>IF($I9114=0,0,$J9114-$M9114-$N9114)</f>
      </c>
    </row>
    <row r="9115">
      <c r="A9115"/>
      <c r="B9115">
        <v>19</v>
      </c>
      <c r="C9115" s="43">
        <f>INDEX(DarlObj,19)</f>
      </c>
      <c r="D9115">
        <v>472</v>
      </c>
      <c r="E9115" s="51">
        <f>IF(INDEX(DarlBelegt,19)=0,0,EOMONTH(INDEX(DarlAuszahlung,19),471)+1)</f>
      </c>
      <c r="F9115" s="43">
        <f>IF($E9115=0,0,YEAR($E9115))</f>
      </c>
      <c r="G9115" s="43">
        <f>IF(INDEX(DarlBindung,19)="",1,IF($E9115&lt;=INDEX(DarlBindung,19),1,0))</f>
      </c>
      <c r="H9115" s="43">
        <f>IF($G9115=1,INDEX(DarlSollzins,19),INDEX(DarlAnschluss,19))</f>
      </c>
      <c r="I9115" s="43">
        <f>IF(INDEX(DarlBelegt,19)=0,0,IF(INDEX(DarlOhneTilgung,19)=1,IF(INDEX(DarlBindung,19)="",1,$G9115),IF($J9115&gt;0.005,1,0)))</f>
      </c>
      <c r="J9115" s="43">
        <f>IF($I9114=0,0,$R9114)</f>
      </c>
      <c r="K9115" s="43">
        <f>IF($I9115=0,0,IF(INDEX(DarlOhneTilgung,19)=1,0,IF(AND(INDEX(DarlTilgStart,19)&gt;0,$E9115=INDEX(DarlTilgStart,19)),$J9115*($H9115+INDEX(DarlTilgung,19))/100/12,IF(AND($G9115=0,$G9114=1),MAX($K9114,$J9115*($H9115+1)/100/12),$K9114))))</f>
      </c>
      <c r="L9115" s="43">
        <f>IF($I9115=0,0,$J9115*$H9115/100/12)</f>
      </c>
      <c r="M9115" s="43">
        <f>IF($I9115=0,0,IF(OR(INDEX(DarlOhneTilgung,19)=1,AND(INDEX(DarlTilgStart,19)&gt;0,$E9115&lt;INDEX(DarlTilgStart,19))),0,MIN(MAX(0,$K9115-$L9115),$J9115)))</f>
      </c>
      <c r="N9115" s="43">
        <f>IF($I9115=0,0,MIN(SUMIFS(SondBetrag,SondDarl,19,SondDatum,"&gt;="&amp;$E9115,SondDatum,"&lt;="&amp;EOMONTH($E9115,0)),$J9115-$M9115))</f>
      </c>
      <c r="O9115" s="43">
        <f>IF($I9115=0,0,INDEX(DarlErsatzRate,19))</f>
      </c>
      <c r="P9115" s="43">
        <f>IF($I9115=0,0,$Q9114*INDEX(DarlErsatzZins,19))</f>
      </c>
      <c r="Q9115" s="43">
        <f>IF($I9115=0,0,$Q9114+$P9115+$O9115)</f>
      </c>
      <c r="R9115" s="43">
        <f>IF($I9115=0,0,$J9115-$M9115-$N9115)</f>
      </c>
    </row>
    <row r="9116">
      <c r="A9116"/>
      <c r="B9116">
        <v>19</v>
      </c>
      <c r="C9116" s="43">
        <f>INDEX(DarlObj,19)</f>
      </c>
      <c r="D9116">
        <v>473</v>
      </c>
      <c r="E9116" s="51">
        <f>IF(INDEX(DarlBelegt,19)=0,0,EOMONTH(INDEX(DarlAuszahlung,19),472)+1)</f>
      </c>
      <c r="F9116" s="43">
        <f>IF($E9116=0,0,YEAR($E9116))</f>
      </c>
      <c r="G9116" s="43">
        <f>IF(INDEX(DarlBindung,19)="",1,IF($E9116&lt;=INDEX(DarlBindung,19),1,0))</f>
      </c>
      <c r="H9116" s="43">
        <f>IF($G9116=1,INDEX(DarlSollzins,19),INDEX(DarlAnschluss,19))</f>
      </c>
      <c r="I9116" s="43">
        <f>IF(INDEX(DarlBelegt,19)=0,0,IF(INDEX(DarlOhneTilgung,19)=1,IF(INDEX(DarlBindung,19)="",1,$G9116),IF($J9116&gt;0.005,1,0)))</f>
      </c>
      <c r="J9116" s="43">
        <f>IF($I9115=0,0,$R9115)</f>
      </c>
      <c r="K9116" s="43">
        <f>IF($I9116=0,0,IF(INDEX(DarlOhneTilgung,19)=1,0,IF(AND(INDEX(DarlTilgStart,19)&gt;0,$E9116=INDEX(DarlTilgStart,19)),$J9116*($H9116+INDEX(DarlTilgung,19))/100/12,IF(AND($G9116=0,$G9115=1),MAX($K9115,$J9116*($H9116+1)/100/12),$K9115))))</f>
      </c>
      <c r="L9116" s="43">
        <f>IF($I9116=0,0,$J9116*$H9116/100/12)</f>
      </c>
      <c r="M9116" s="43">
        <f>IF($I9116=0,0,IF(OR(INDEX(DarlOhneTilgung,19)=1,AND(INDEX(DarlTilgStart,19)&gt;0,$E9116&lt;INDEX(DarlTilgStart,19))),0,MIN(MAX(0,$K9116-$L9116),$J9116)))</f>
      </c>
      <c r="N9116" s="43">
        <f>IF($I9116=0,0,MIN(SUMIFS(SondBetrag,SondDarl,19,SondDatum,"&gt;="&amp;$E9116,SondDatum,"&lt;="&amp;EOMONTH($E9116,0)),$J9116-$M9116))</f>
      </c>
      <c r="O9116" s="43">
        <f>IF($I9116=0,0,INDEX(DarlErsatzRate,19))</f>
      </c>
      <c r="P9116" s="43">
        <f>IF($I9116=0,0,$Q9115*INDEX(DarlErsatzZins,19))</f>
      </c>
      <c r="Q9116" s="43">
        <f>IF($I9116=0,0,$Q9115+$P9116+$O9116)</f>
      </c>
      <c r="R9116" s="43">
        <f>IF($I9116=0,0,$J9116-$M9116-$N9116)</f>
      </c>
    </row>
    <row r="9117">
      <c r="A9117"/>
      <c r="B9117">
        <v>19</v>
      </c>
      <c r="C9117" s="43">
        <f>INDEX(DarlObj,19)</f>
      </c>
      <c r="D9117">
        <v>474</v>
      </c>
      <c r="E9117" s="51">
        <f>IF(INDEX(DarlBelegt,19)=0,0,EOMONTH(INDEX(DarlAuszahlung,19),473)+1)</f>
      </c>
      <c r="F9117" s="43">
        <f>IF($E9117=0,0,YEAR($E9117))</f>
      </c>
      <c r="G9117" s="43">
        <f>IF(INDEX(DarlBindung,19)="",1,IF($E9117&lt;=INDEX(DarlBindung,19),1,0))</f>
      </c>
      <c r="H9117" s="43">
        <f>IF($G9117=1,INDEX(DarlSollzins,19),INDEX(DarlAnschluss,19))</f>
      </c>
      <c r="I9117" s="43">
        <f>IF(INDEX(DarlBelegt,19)=0,0,IF(INDEX(DarlOhneTilgung,19)=1,IF(INDEX(DarlBindung,19)="",1,$G9117),IF($J9117&gt;0.005,1,0)))</f>
      </c>
      <c r="J9117" s="43">
        <f>IF($I9116=0,0,$R9116)</f>
      </c>
      <c r="K9117" s="43">
        <f>IF($I9117=0,0,IF(INDEX(DarlOhneTilgung,19)=1,0,IF(AND(INDEX(DarlTilgStart,19)&gt;0,$E9117=INDEX(DarlTilgStart,19)),$J9117*($H9117+INDEX(DarlTilgung,19))/100/12,IF(AND($G9117=0,$G9116=1),MAX($K9116,$J9117*($H9117+1)/100/12),$K9116))))</f>
      </c>
      <c r="L9117" s="43">
        <f>IF($I9117=0,0,$J9117*$H9117/100/12)</f>
      </c>
      <c r="M9117" s="43">
        <f>IF($I9117=0,0,IF(OR(INDEX(DarlOhneTilgung,19)=1,AND(INDEX(DarlTilgStart,19)&gt;0,$E9117&lt;INDEX(DarlTilgStart,19))),0,MIN(MAX(0,$K9117-$L9117),$J9117)))</f>
      </c>
      <c r="N9117" s="43">
        <f>IF($I9117=0,0,MIN(SUMIFS(SondBetrag,SondDarl,19,SondDatum,"&gt;="&amp;$E9117,SondDatum,"&lt;="&amp;EOMONTH($E9117,0)),$J9117-$M9117))</f>
      </c>
      <c r="O9117" s="43">
        <f>IF($I9117=0,0,INDEX(DarlErsatzRate,19))</f>
      </c>
      <c r="P9117" s="43">
        <f>IF($I9117=0,0,$Q9116*INDEX(DarlErsatzZins,19))</f>
      </c>
      <c r="Q9117" s="43">
        <f>IF($I9117=0,0,$Q9116+$P9117+$O9117)</f>
      </c>
      <c r="R9117" s="43">
        <f>IF($I9117=0,0,$J9117-$M9117-$N9117)</f>
      </c>
    </row>
    <row r="9118">
      <c r="A9118"/>
      <c r="B9118">
        <v>19</v>
      </c>
      <c r="C9118" s="43">
        <f>INDEX(DarlObj,19)</f>
      </c>
      <c r="D9118">
        <v>475</v>
      </c>
      <c r="E9118" s="51">
        <f>IF(INDEX(DarlBelegt,19)=0,0,EOMONTH(INDEX(DarlAuszahlung,19),474)+1)</f>
      </c>
      <c r="F9118" s="43">
        <f>IF($E9118=0,0,YEAR($E9118))</f>
      </c>
      <c r="G9118" s="43">
        <f>IF(INDEX(DarlBindung,19)="",1,IF($E9118&lt;=INDEX(DarlBindung,19),1,0))</f>
      </c>
      <c r="H9118" s="43">
        <f>IF($G9118=1,INDEX(DarlSollzins,19),INDEX(DarlAnschluss,19))</f>
      </c>
      <c r="I9118" s="43">
        <f>IF(INDEX(DarlBelegt,19)=0,0,IF(INDEX(DarlOhneTilgung,19)=1,IF(INDEX(DarlBindung,19)="",1,$G9118),IF($J9118&gt;0.005,1,0)))</f>
      </c>
      <c r="J9118" s="43">
        <f>IF($I9117=0,0,$R9117)</f>
      </c>
      <c r="K9118" s="43">
        <f>IF($I9118=0,0,IF(INDEX(DarlOhneTilgung,19)=1,0,IF(AND(INDEX(DarlTilgStart,19)&gt;0,$E9118=INDEX(DarlTilgStart,19)),$J9118*($H9118+INDEX(DarlTilgung,19))/100/12,IF(AND($G9118=0,$G9117=1),MAX($K9117,$J9118*($H9118+1)/100/12),$K9117))))</f>
      </c>
      <c r="L9118" s="43">
        <f>IF($I9118=0,0,$J9118*$H9118/100/12)</f>
      </c>
      <c r="M9118" s="43">
        <f>IF($I9118=0,0,IF(OR(INDEX(DarlOhneTilgung,19)=1,AND(INDEX(DarlTilgStart,19)&gt;0,$E9118&lt;INDEX(DarlTilgStart,19))),0,MIN(MAX(0,$K9118-$L9118),$J9118)))</f>
      </c>
      <c r="N9118" s="43">
        <f>IF($I9118=0,0,MIN(SUMIFS(SondBetrag,SondDarl,19,SondDatum,"&gt;="&amp;$E9118,SondDatum,"&lt;="&amp;EOMONTH($E9118,0)),$J9118-$M9118))</f>
      </c>
      <c r="O9118" s="43">
        <f>IF($I9118=0,0,INDEX(DarlErsatzRate,19))</f>
      </c>
      <c r="P9118" s="43">
        <f>IF($I9118=0,0,$Q9117*INDEX(DarlErsatzZins,19))</f>
      </c>
      <c r="Q9118" s="43">
        <f>IF($I9118=0,0,$Q9117+$P9118+$O9118)</f>
      </c>
      <c r="R9118" s="43">
        <f>IF($I9118=0,0,$J9118-$M9118-$N9118)</f>
      </c>
    </row>
    <row r="9119">
      <c r="A9119"/>
      <c r="B9119">
        <v>19</v>
      </c>
      <c r="C9119" s="43">
        <f>INDEX(DarlObj,19)</f>
      </c>
      <c r="D9119">
        <v>476</v>
      </c>
      <c r="E9119" s="51">
        <f>IF(INDEX(DarlBelegt,19)=0,0,EOMONTH(INDEX(DarlAuszahlung,19),475)+1)</f>
      </c>
      <c r="F9119" s="43">
        <f>IF($E9119=0,0,YEAR($E9119))</f>
      </c>
      <c r="G9119" s="43">
        <f>IF(INDEX(DarlBindung,19)="",1,IF($E9119&lt;=INDEX(DarlBindung,19),1,0))</f>
      </c>
      <c r="H9119" s="43">
        <f>IF($G9119=1,INDEX(DarlSollzins,19),INDEX(DarlAnschluss,19))</f>
      </c>
      <c r="I9119" s="43">
        <f>IF(INDEX(DarlBelegt,19)=0,0,IF(INDEX(DarlOhneTilgung,19)=1,IF(INDEX(DarlBindung,19)="",1,$G9119),IF($J9119&gt;0.005,1,0)))</f>
      </c>
      <c r="J9119" s="43">
        <f>IF($I9118=0,0,$R9118)</f>
      </c>
      <c r="K9119" s="43">
        <f>IF($I9119=0,0,IF(INDEX(DarlOhneTilgung,19)=1,0,IF(AND(INDEX(DarlTilgStart,19)&gt;0,$E9119=INDEX(DarlTilgStart,19)),$J9119*($H9119+INDEX(DarlTilgung,19))/100/12,IF(AND($G9119=0,$G9118=1),MAX($K9118,$J9119*($H9119+1)/100/12),$K9118))))</f>
      </c>
      <c r="L9119" s="43">
        <f>IF($I9119=0,0,$J9119*$H9119/100/12)</f>
      </c>
      <c r="M9119" s="43">
        <f>IF($I9119=0,0,IF(OR(INDEX(DarlOhneTilgung,19)=1,AND(INDEX(DarlTilgStart,19)&gt;0,$E9119&lt;INDEX(DarlTilgStart,19))),0,MIN(MAX(0,$K9119-$L9119),$J9119)))</f>
      </c>
      <c r="N9119" s="43">
        <f>IF($I9119=0,0,MIN(SUMIFS(SondBetrag,SondDarl,19,SondDatum,"&gt;="&amp;$E9119,SondDatum,"&lt;="&amp;EOMONTH($E9119,0)),$J9119-$M9119))</f>
      </c>
      <c r="O9119" s="43">
        <f>IF($I9119=0,0,INDEX(DarlErsatzRate,19))</f>
      </c>
      <c r="P9119" s="43">
        <f>IF($I9119=0,0,$Q9118*INDEX(DarlErsatzZins,19))</f>
      </c>
      <c r="Q9119" s="43">
        <f>IF($I9119=0,0,$Q9118+$P9119+$O9119)</f>
      </c>
      <c r="R9119" s="43">
        <f>IF($I9119=0,0,$J9119-$M9119-$N9119)</f>
      </c>
    </row>
    <row r="9120">
      <c r="A9120"/>
      <c r="B9120">
        <v>19</v>
      </c>
      <c r="C9120" s="43">
        <f>INDEX(DarlObj,19)</f>
      </c>
      <c r="D9120">
        <v>477</v>
      </c>
      <c r="E9120" s="51">
        <f>IF(INDEX(DarlBelegt,19)=0,0,EOMONTH(INDEX(DarlAuszahlung,19),476)+1)</f>
      </c>
      <c r="F9120" s="43">
        <f>IF($E9120=0,0,YEAR($E9120))</f>
      </c>
      <c r="G9120" s="43">
        <f>IF(INDEX(DarlBindung,19)="",1,IF($E9120&lt;=INDEX(DarlBindung,19),1,0))</f>
      </c>
      <c r="H9120" s="43">
        <f>IF($G9120=1,INDEX(DarlSollzins,19),INDEX(DarlAnschluss,19))</f>
      </c>
      <c r="I9120" s="43">
        <f>IF(INDEX(DarlBelegt,19)=0,0,IF(INDEX(DarlOhneTilgung,19)=1,IF(INDEX(DarlBindung,19)="",1,$G9120),IF($J9120&gt;0.005,1,0)))</f>
      </c>
      <c r="J9120" s="43">
        <f>IF($I9119=0,0,$R9119)</f>
      </c>
      <c r="K9120" s="43">
        <f>IF($I9120=0,0,IF(INDEX(DarlOhneTilgung,19)=1,0,IF(AND(INDEX(DarlTilgStart,19)&gt;0,$E9120=INDEX(DarlTilgStart,19)),$J9120*($H9120+INDEX(DarlTilgung,19))/100/12,IF(AND($G9120=0,$G9119=1),MAX($K9119,$J9120*($H9120+1)/100/12),$K9119))))</f>
      </c>
      <c r="L9120" s="43">
        <f>IF($I9120=0,0,$J9120*$H9120/100/12)</f>
      </c>
      <c r="M9120" s="43">
        <f>IF($I9120=0,0,IF(OR(INDEX(DarlOhneTilgung,19)=1,AND(INDEX(DarlTilgStart,19)&gt;0,$E9120&lt;INDEX(DarlTilgStart,19))),0,MIN(MAX(0,$K9120-$L9120),$J9120)))</f>
      </c>
      <c r="N9120" s="43">
        <f>IF($I9120=0,0,MIN(SUMIFS(SondBetrag,SondDarl,19,SondDatum,"&gt;="&amp;$E9120,SondDatum,"&lt;="&amp;EOMONTH($E9120,0)),$J9120-$M9120))</f>
      </c>
      <c r="O9120" s="43">
        <f>IF($I9120=0,0,INDEX(DarlErsatzRate,19))</f>
      </c>
      <c r="P9120" s="43">
        <f>IF($I9120=0,0,$Q9119*INDEX(DarlErsatzZins,19))</f>
      </c>
      <c r="Q9120" s="43">
        <f>IF($I9120=0,0,$Q9119+$P9120+$O9120)</f>
      </c>
      <c r="R9120" s="43">
        <f>IF($I9120=0,0,$J9120-$M9120-$N9120)</f>
      </c>
    </row>
    <row r="9121">
      <c r="A9121"/>
      <c r="B9121">
        <v>19</v>
      </c>
      <c r="C9121" s="43">
        <f>INDEX(DarlObj,19)</f>
      </c>
      <c r="D9121">
        <v>478</v>
      </c>
      <c r="E9121" s="51">
        <f>IF(INDEX(DarlBelegt,19)=0,0,EOMONTH(INDEX(DarlAuszahlung,19),477)+1)</f>
      </c>
      <c r="F9121" s="43">
        <f>IF($E9121=0,0,YEAR($E9121))</f>
      </c>
      <c r="G9121" s="43">
        <f>IF(INDEX(DarlBindung,19)="",1,IF($E9121&lt;=INDEX(DarlBindung,19),1,0))</f>
      </c>
      <c r="H9121" s="43">
        <f>IF($G9121=1,INDEX(DarlSollzins,19),INDEX(DarlAnschluss,19))</f>
      </c>
      <c r="I9121" s="43">
        <f>IF(INDEX(DarlBelegt,19)=0,0,IF(INDEX(DarlOhneTilgung,19)=1,IF(INDEX(DarlBindung,19)="",1,$G9121),IF($J9121&gt;0.005,1,0)))</f>
      </c>
      <c r="J9121" s="43">
        <f>IF($I9120=0,0,$R9120)</f>
      </c>
      <c r="K9121" s="43">
        <f>IF($I9121=0,0,IF(INDEX(DarlOhneTilgung,19)=1,0,IF(AND(INDEX(DarlTilgStart,19)&gt;0,$E9121=INDEX(DarlTilgStart,19)),$J9121*($H9121+INDEX(DarlTilgung,19))/100/12,IF(AND($G9121=0,$G9120=1),MAX($K9120,$J9121*($H9121+1)/100/12),$K9120))))</f>
      </c>
      <c r="L9121" s="43">
        <f>IF($I9121=0,0,$J9121*$H9121/100/12)</f>
      </c>
      <c r="M9121" s="43">
        <f>IF($I9121=0,0,IF(OR(INDEX(DarlOhneTilgung,19)=1,AND(INDEX(DarlTilgStart,19)&gt;0,$E9121&lt;INDEX(DarlTilgStart,19))),0,MIN(MAX(0,$K9121-$L9121),$J9121)))</f>
      </c>
      <c r="N9121" s="43">
        <f>IF($I9121=0,0,MIN(SUMIFS(SondBetrag,SondDarl,19,SondDatum,"&gt;="&amp;$E9121,SondDatum,"&lt;="&amp;EOMONTH($E9121,0)),$J9121-$M9121))</f>
      </c>
      <c r="O9121" s="43">
        <f>IF($I9121=0,0,INDEX(DarlErsatzRate,19))</f>
      </c>
      <c r="P9121" s="43">
        <f>IF($I9121=0,0,$Q9120*INDEX(DarlErsatzZins,19))</f>
      </c>
      <c r="Q9121" s="43">
        <f>IF($I9121=0,0,$Q9120+$P9121+$O9121)</f>
      </c>
      <c r="R9121" s="43">
        <f>IF($I9121=0,0,$J9121-$M9121-$N9121)</f>
      </c>
    </row>
    <row r="9122">
      <c r="A9122"/>
      <c r="B9122">
        <v>19</v>
      </c>
      <c r="C9122" s="43">
        <f>INDEX(DarlObj,19)</f>
      </c>
      <c r="D9122">
        <v>479</v>
      </c>
      <c r="E9122" s="51">
        <f>IF(INDEX(DarlBelegt,19)=0,0,EOMONTH(INDEX(DarlAuszahlung,19),478)+1)</f>
      </c>
      <c r="F9122" s="43">
        <f>IF($E9122=0,0,YEAR($E9122))</f>
      </c>
      <c r="G9122" s="43">
        <f>IF(INDEX(DarlBindung,19)="",1,IF($E9122&lt;=INDEX(DarlBindung,19),1,0))</f>
      </c>
      <c r="H9122" s="43">
        <f>IF($G9122=1,INDEX(DarlSollzins,19),INDEX(DarlAnschluss,19))</f>
      </c>
      <c r="I9122" s="43">
        <f>IF(INDEX(DarlBelegt,19)=0,0,IF(INDEX(DarlOhneTilgung,19)=1,IF(INDEX(DarlBindung,19)="",1,$G9122),IF($J9122&gt;0.005,1,0)))</f>
      </c>
      <c r="J9122" s="43">
        <f>IF($I9121=0,0,$R9121)</f>
      </c>
      <c r="K9122" s="43">
        <f>IF($I9122=0,0,IF(INDEX(DarlOhneTilgung,19)=1,0,IF(AND(INDEX(DarlTilgStart,19)&gt;0,$E9122=INDEX(DarlTilgStart,19)),$J9122*($H9122+INDEX(DarlTilgung,19))/100/12,IF(AND($G9122=0,$G9121=1),MAX($K9121,$J9122*($H9122+1)/100/12),$K9121))))</f>
      </c>
      <c r="L9122" s="43">
        <f>IF($I9122=0,0,$J9122*$H9122/100/12)</f>
      </c>
      <c r="M9122" s="43">
        <f>IF($I9122=0,0,IF(OR(INDEX(DarlOhneTilgung,19)=1,AND(INDEX(DarlTilgStart,19)&gt;0,$E9122&lt;INDEX(DarlTilgStart,19))),0,MIN(MAX(0,$K9122-$L9122),$J9122)))</f>
      </c>
      <c r="N9122" s="43">
        <f>IF($I9122=0,0,MIN(SUMIFS(SondBetrag,SondDarl,19,SondDatum,"&gt;="&amp;$E9122,SondDatum,"&lt;="&amp;EOMONTH($E9122,0)),$J9122-$M9122))</f>
      </c>
      <c r="O9122" s="43">
        <f>IF($I9122=0,0,INDEX(DarlErsatzRate,19))</f>
      </c>
      <c r="P9122" s="43">
        <f>IF($I9122=0,0,$Q9121*INDEX(DarlErsatzZins,19))</f>
      </c>
      <c r="Q9122" s="43">
        <f>IF($I9122=0,0,$Q9121+$P9122+$O9122)</f>
      </c>
      <c r="R9122" s="43">
        <f>IF($I9122=0,0,$J9122-$M9122-$N9122)</f>
      </c>
    </row>
    <row r="9123">
      <c r="A9123"/>
      <c r="B9123">
        <v>19</v>
      </c>
      <c r="C9123" s="43">
        <f>INDEX(DarlObj,19)</f>
      </c>
      <c r="D9123">
        <v>480</v>
      </c>
      <c r="E9123" s="51">
        <f>IF(INDEX(DarlBelegt,19)=0,0,EOMONTH(INDEX(DarlAuszahlung,19),479)+1)</f>
      </c>
      <c r="F9123" s="43">
        <f>IF($E9123=0,0,YEAR($E9123))</f>
      </c>
      <c r="G9123" s="43">
        <f>IF(INDEX(DarlBindung,19)="",1,IF($E9123&lt;=INDEX(DarlBindung,19),1,0))</f>
      </c>
      <c r="H9123" s="43">
        <f>IF($G9123=1,INDEX(DarlSollzins,19),INDEX(DarlAnschluss,19))</f>
      </c>
      <c r="I9123" s="43">
        <f>IF(INDEX(DarlBelegt,19)=0,0,IF(INDEX(DarlOhneTilgung,19)=1,IF(INDEX(DarlBindung,19)="",1,$G9123),IF($J9123&gt;0.005,1,0)))</f>
      </c>
      <c r="J9123" s="43">
        <f>IF($I9122=0,0,$R9122)</f>
      </c>
      <c r="K9123" s="43">
        <f>IF($I9123=0,0,IF(INDEX(DarlOhneTilgung,19)=1,0,IF(AND(INDEX(DarlTilgStart,19)&gt;0,$E9123=INDEX(DarlTilgStart,19)),$J9123*($H9123+INDEX(DarlTilgung,19))/100/12,IF(AND($G9123=0,$G9122=1),MAX($K9122,$J9123*($H9123+1)/100/12),$K9122))))</f>
      </c>
      <c r="L9123" s="43">
        <f>IF($I9123=0,0,$J9123*$H9123/100/12)</f>
      </c>
      <c r="M9123" s="43">
        <f>IF($I9123=0,0,IF(OR(INDEX(DarlOhneTilgung,19)=1,AND(INDEX(DarlTilgStart,19)&gt;0,$E9123&lt;INDEX(DarlTilgStart,19))),0,MIN(MAX(0,$K9123-$L9123),$J9123)))</f>
      </c>
      <c r="N9123" s="43">
        <f>IF($I9123=0,0,MIN(SUMIFS(SondBetrag,SondDarl,19,SondDatum,"&gt;="&amp;$E9123,SondDatum,"&lt;="&amp;EOMONTH($E9123,0)),$J9123-$M9123))</f>
      </c>
      <c r="O9123" s="43">
        <f>IF($I9123=0,0,INDEX(DarlErsatzRate,19))</f>
      </c>
      <c r="P9123" s="43">
        <f>IF($I9123=0,0,$Q9122*INDEX(DarlErsatzZins,19))</f>
      </c>
      <c r="Q9123" s="43">
        <f>IF($I9123=0,0,$Q9122+$P9123+$O9123)</f>
      </c>
      <c r="R9123" s="43">
        <f>IF($I9123=0,0,$J9123-$M9123-$N9123)</f>
      </c>
    </row>
    <row r="9124">
      <c r="A9124"/>
      <c r="B9124">
        <v>20</v>
      </c>
      <c r="C9124" s="43">
        <f>INDEX(DarlObj,20)</f>
      </c>
      <c r="D9124">
        <v>1</v>
      </c>
      <c r="E9124" s="51">
        <f>IF(INDEX(DarlBelegt,20)=0,0,EOMONTH(INDEX(DarlAuszahlung,20),0)+1)</f>
      </c>
      <c r="F9124" s="43">
        <f>IF($E9124=0,0,YEAR($E9124))</f>
      </c>
      <c r="G9124" s="43">
        <f>IF(INDEX(DarlBindung,20)="",1,IF($E9124&lt;=INDEX(DarlBindung,20),1,0))</f>
      </c>
      <c r="H9124" s="43">
        <f>IF($G9124=1,INDEX(DarlSollzins,20),INDEX(DarlAnschluss,20))</f>
      </c>
      <c r="I9124" s="43">
        <f>IF(INDEX(DarlBelegt,20)=0,0,IF(INDEX(DarlOhneTilgung,20)=1,IF(INDEX(DarlBindung,20)="",1,$G9124),IF($J9124&gt;0.005,1,0)))</f>
      </c>
      <c r="J9124" s="43">
        <f>IF(INDEX(DarlBelegt,20)=0,0,INDEX(DarlBetrag,20))</f>
      </c>
      <c r="K9124" s="43">
        <f>IF($I9124=0,0,IF(INDEX(DarlOhneTilgung,20)=1,0,INDEX(DarlRate1,20)))</f>
      </c>
      <c r="L9124" s="43">
        <f>IF($I9124=0,0,$J9124*$H9124/100/12)</f>
      </c>
      <c r="M9124" s="43">
        <f>IF($I9124=0,0,IF(OR(INDEX(DarlOhneTilgung,20)=1,AND(INDEX(DarlTilgStart,20)&gt;0,$E9124&lt;INDEX(DarlTilgStart,20))),0,MIN(MAX(0,$K9124-$L9124),$J9124)))</f>
      </c>
      <c r="N9124" s="43">
        <f>IF($I9124=0,0,MIN(SUMIFS(SondBetrag,SondDarl,20,SondDatum,"&gt;="&amp;$E9124,SondDatum,"&lt;="&amp;EOMONTH($E9124,0)),$J9124-$M9124))</f>
      </c>
      <c r="O9124" s="43">
        <f>IF($I9124=0,0,INDEX(DarlErsatzRate,20))</f>
      </c>
      <c r="P9124" s="43">
        <f>0</f>
      </c>
      <c r="Q9124" s="43">
        <f>IF($I9124=0,0,$P9124+$O9124)</f>
      </c>
      <c r="R9124" s="43">
        <f>IF($I9124=0,0,$J9124-$M9124-$N9124)</f>
      </c>
    </row>
    <row r="9125">
      <c r="A9125"/>
      <c r="B9125">
        <v>20</v>
      </c>
      <c r="C9125" s="43">
        <f>INDEX(DarlObj,20)</f>
      </c>
      <c r="D9125">
        <v>2</v>
      </c>
      <c r="E9125" s="51">
        <f>IF(INDEX(DarlBelegt,20)=0,0,EOMONTH(INDEX(DarlAuszahlung,20),1)+1)</f>
      </c>
      <c r="F9125" s="43">
        <f>IF($E9125=0,0,YEAR($E9125))</f>
      </c>
      <c r="G9125" s="43">
        <f>IF(INDEX(DarlBindung,20)="",1,IF($E9125&lt;=INDEX(DarlBindung,20),1,0))</f>
      </c>
      <c r="H9125" s="43">
        <f>IF($G9125=1,INDEX(DarlSollzins,20),INDEX(DarlAnschluss,20))</f>
      </c>
      <c r="I9125" s="43">
        <f>IF(INDEX(DarlBelegt,20)=0,0,IF(INDEX(DarlOhneTilgung,20)=1,IF(INDEX(DarlBindung,20)="",1,$G9125),IF($J9125&gt;0.005,1,0)))</f>
      </c>
      <c r="J9125" s="43">
        <f>IF($I9124=0,0,$R9124)</f>
      </c>
      <c r="K9125" s="43">
        <f>IF($I9125=0,0,IF(INDEX(DarlOhneTilgung,20)=1,0,IF(AND(INDEX(DarlTilgStart,20)&gt;0,$E9125=INDEX(DarlTilgStart,20)),$J9125*($H9125+INDEX(DarlTilgung,20))/100/12,IF(AND($G9125=0,$G9124=1),MAX($K9124,$J9125*($H9125+1)/100/12),$K9124))))</f>
      </c>
      <c r="L9125" s="43">
        <f>IF($I9125=0,0,$J9125*$H9125/100/12)</f>
      </c>
      <c r="M9125" s="43">
        <f>IF($I9125=0,0,IF(OR(INDEX(DarlOhneTilgung,20)=1,AND(INDEX(DarlTilgStart,20)&gt;0,$E9125&lt;INDEX(DarlTilgStart,20))),0,MIN(MAX(0,$K9125-$L9125),$J9125)))</f>
      </c>
      <c r="N9125" s="43">
        <f>IF($I9125=0,0,MIN(SUMIFS(SondBetrag,SondDarl,20,SondDatum,"&gt;="&amp;$E9125,SondDatum,"&lt;="&amp;EOMONTH($E9125,0)),$J9125-$M9125))</f>
      </c>
      <c r="O9125" s="43">
        <f>IF($I9125=0,0,INDEX(DarlErsatzRate,20))</f>
      </c>
      <c r="P9125" s="43">
        <f>IF($I9125=0,0,$Q9124*INDEX(DarlErsatzZins,20))</f>
      </c>
      <c r="Q9125" s="43">
        <f>IF($I9125=0,0,$Q9124+$P9125+$O9125)</f>
      </c>
      <c r="R9125" s="43">
        <f>IF($I9125=0,0,$J9125-$M9125-$N9125)</f>
      </c>
    </row>
    <row r="9126">
      <c r="A9126"/>
      <c r="B9126">
        <v>20</v>
      </c>
      <c r="C9126" s="43">
        <f>INDEX(DarlObj,20)</f>
      </c>
      <c r="D9126">
        <v>3</v>
      </c>
      <c r="E9126" s="51">
        <f>IF(INDEX(DarlBelegt,20)=0,0,EOMONTH(INDEX(DarlAuszahlung,20),2)+1)</f>
      </c>
      <c r="F9126" s="43">
        <f>IF($E9126=0,0,YEAR($E9126))</f>
      </c>
      <c r="G9126" s="43">
        <f>IF(INDEX(DarlBindung,20)="",1,IF($E9126&lt;=INDEX(DarlBindung,20),1,0))</f>
      </c>
      <c r="H9126" s="43">
        <f>IF($G9126=1,INDEX(DarlSollzins,20),INDEX(DarlAnschluss,20))</f>
      </c>
      <c r="I9126" s="43">
        <f>IF(INDEX(DarlBelegt,20)=0,0,IF(INDEX(DarlOhneTilgung,20)=1,IF(INDEX(DarlBindung,20)="",1,$G9126),IF($J9126&gt;0.005,1,0)))</f>
      </c>
      <c r="J9126" s="43">
        <f>IF($I9125=0,0,$R9125)</f>
      </c>
      <c r="K9126" s="43">
        <f>IF($I9126=0,0,IF(INDEX(DarlOhneTilgung,20)=1,0,IF(AND(INDEX(DarlTilgStart,20)&gt;0,$E9126=INDEX(DarlTilgStart,20)),$J9126*($H9126+INDEX(DarlTilgung,20))/100/12,IF(AND($G9126=0,$G9125=1),MAX($K9125,$J9126*($H9126+1)/100/12),$K9125))))</f>
      </c>
      <c r="L9126" s="43">
        <f>IF($I9126=0,0,$J9126*$H9126/100/12)</f>
      </c>
      <c r="M9126" s="43">
        <f>IF($I9126=0,0,IF(OR(INDEX(DarlOhneTilgung,20)=1,AND(INDEX(DarlTilgStart,20)&gt;0,$E9126&lt;INDEX(DarlTilgStart,20))),0,MIN(MAX(0,$K9126-$L9126),$J9126)))</f>
      </c>
      <c r="N9126" s="43">
        <f>IF($I9126=0,0,MIN(SUMIFS(SondBetrag,SondDarl,20,SondDatum,"&gt;="&amp;$E9126,SondDatum,"&lt;="&amp;EOMONTH($E9126,0)),$J9126-$M9126))</f>
      </c>
      <c r="O9126" s="43">
        <f>IF($I9126=0,0,INDEX(DarlErsatzRate,20))</f>
      </c>
      <c r="P9126" s="43">
        <f>IF($I9126=0,0,$Q9125*INDEX(DarlErsatzZins,20))</f>
      </c>
      <c r="Q9126" s="43">
        <f>IF($I9126=0,0,$Q9125+$P9126+$O9126)</f>
      </c>
      <c r="R9126" s="43">
        <f>IF($I9126=0,0,$J9126-$M9126-$N9126)</f>
      </c>
    </row>
    <row r="9127">
      <c r="A9127"/>
      <c r="B9127">
        <v>20</v>
      </c>
      <c r="C9127" s="43">
        <f>INDEX(DarlObj,20)</f>
      </c>
      <c r="D9127">
        <v>4</v>
      </c>
      <c r="E9127" s="51">
        <f>IF(INDEX(DarlBelegt,20)=0,0,EOMONTH(INDEX(DarlAuszahlung,20),3)+1)</f>
      </c>
      <c r="F9127" s="43">
        <f>IF($E9127=0,0,YEAR($E9127))</f>
      </c>
      <c r="G9127" s="43">
        <f>IF(INDEX(DarlBindung,20)="",1,IF($E9127&lt;=INDEX(DarlBindung,20),1,0))</f>
      </c>
      <c r="H9127" s="43">
        <f>IF($G9127=1,INDEX(DarlSollzins,20),INDEX(DarlAnschluss,20))</f>
      </c>
      <c r="I9127" s="43">
        <f>IF(INDEX(DarlBelegt,20)=0,0,IF(INDEX(DarlOhneTilgung,20)=1,IF(INDEX(DarlBindung,20)="",1,$G9127),IF($J9127&gt;0.005,1,0)))</f>
      </c>
      <c r="J9127" s="43">
        <f>IF($I9126=0,0,$R9126)</f>
      </c>
      <c r="K9127" s="43">
        <f>IF($I9127=0,0,IF(INDEX(DarlOhneTilgung,20)=1,0,IF(AND(INDEX(DarlTilgStart,20)&gt;0,$E9127=INDEX(DarlTilgStart,20)),$J9127*($H9127+INDEX(DarlTilgung,20))/100/12,IF(AND($G9127=0,$G9126=1),MAX($K9126,$J9127*($H9127+1)/100/12),$K9126))))</f>
      </c>
      <c r="L9127" s="43">
        <f>IF($I9127=0,0,$J9127*$H9127/100/12)</f>
      </c>
      <c r="M9127" s="43">
        <f>IF($I9127=0,0,IF(OR(INDEX(DarlOhneTilgung,20)=1,AND(INDEX(DarlTilgStart,20)&gt;0,$E9127&lt;INDEX(DarlTilgStart,20))),0,MIN(MAX(0,$K9127-$L9127),$J9127)))</f>
      </c>
      <c r="N9127" s="43">
        <f>IF($I9127=0,0,MIN(SUMIFS(SondBetrag,SondDarl,20,SondDatum,"&gt;="&amp;$E9127,SondDatum,"&lt;="&amp;EOMONTH($E9127,0)),$J9127-$M9127))</f>
      </c>
      <c r="O9127" s="43">
        <f>IF($I9127=0,0,INDEX(DarlErsatzRate,20))</f>
      </c>
      <c r="P9127" s="43">
        <f>IF($I9127=0,0,$Q9126*INDEX(DarlErsatzZins,20))</f>
      </c>
      <c r="Q9127" s="43">
        <f>IF($I9127=0,0,$Q9126+$P9127+$O9127)</f>
      </c>
      <c r="R9127" s="43">
        <f>IF($I9127=0,0,$J9127-$M9127-$N9127)</f>
      </c>
    </row>
    <row r="9128">
      <c r="A9128"/>
      <c r="B9128">
        <v>20</v>
      </c>
      <c r="C9128" s="43">
        <f>INDEX(DarlObj,20)</f>
      </c>
      <c r="D9128">
        <v>5</v>
      </c>
      <c r="E9128" s="51">
        <f>IF(INDEX(DarlBelegt,20)=0,0,EOMONTH(INDEX(DarlAuszahlung,20),4)+1)</f>
      </c>
      <c r="F9128" s="43">
        <f>IF($E9128=0,0,YEAR($E9128))</f>
      </c>
      <c r="G9128" s="43">
        <f>IF(INDEX(DarlBindung,20)="",1,IF($E9128&lt;=INDEX(DarlBindung,20),1,0))</f>
      </c>
      <c r="H9128" s="43">
        <f>IF($G9128=1,INDEX(DarlSollzins,20),INDEX(DarlAnschluss,20))</f>
      </c>
      <c r="I9128" s="43">
        <f>IF(INDEX(DarlBelegt,20)=0,0,IF(INDEX(DarlOhneTilgung,20)=1,IF(INDEX(DarlBindung,20)="",1,$G9128),IF($J9128&gt;0.005,1,0)))</f>
      </c>
      <c r="J9128" s="43">
        <f>IF($I9127=0,0,$R9127)</f>
      </c>
      <c r="K9128" s="43">
        <f>IF($I9128=0,0,IF(INDEX(DarlOhneTilgung,20)=1,0,IF(AND(INDEX(DarlTilgStart,20)&gt;0,$E9128=INDEX(DarlTilgStart,20)),$J9128*($H9128+INDEX(DarlTilgung,20))/100/12,IF(AND($G9128=0,$G9127=1),MAX($K9127,$J9128*($H9128+1)/100/12),$K9127))))</f>
      </c>
      <c r="L9128" s="43">
        <f>IF($I9128=0,0,$J9128*$H9128/100/12)</f>
      </c>
      <c r="M9128" s="43">
        <f>IF($I9128=0,0,IF(OR(INDEX(DarlOhneTilgung,20)=1,AND(INDEX(DarlTilgStart,20)&gt;0,$E9128&lt;INDEX(DarlTilgStart,20))),0,MIN(MAX(0,$K9128-$L9128),$J9128)))</f>
      </c>
      <c r="N9128" s="43">
        <f>IF($I9128=0,0,MIN(SUMIFS(SondBetrag,SondDarl,20,SondDatum,"&gt;="&amp;$E9128,SondDatum,"&lt;="&amp;EOMONTH($E9128,0)),$J9128-$M9128))</f>
      </c>
      <c r="O9128" s="43">
        <f>IF($I9128=0,0,INDEX(DarlErsatzRate,20))</f>
      </c>
      <c r="P9128" s="43">
        <f>IF($I9128=0,0,$Q9127*INDEX(DarlErsatzZins,20))</f>
      </c>
      <c r="Q9128" s="43">
        <f>IF($I9128=0,0,$Q9127+$P9128+$O9128)</f>
      </c>
      <c r="R9128" s="43">
        <f>IF($I9128=0,0,$J9128-$M9128-$N9128)</f>
      </c>
    </row>
    <row r="9129">
      <c r="A9129"/>
      <c r="B9129">
        <v>20</v>
      </c>
      <c r="C9129" s="43">
        <f>INDEX(DarlObj,20)</f>
      </c>
      <c r="D9129">
        <v>6</v>
      </c>
      <c r="E9129" s="51">
        <f>IF(INDEX(DarlBelegt,20)=0,0,EOMONTH(INDEX(DarlAuszahlung,20),5)+1)</f>
      </c>
      <c r="F9129" s="43">
        <f>IF($E9129=0,0,YEAR($E9129))</f>
      </c>
      <c r="G9129" s="43">
        <f>IF(INDEX(DarlBindung,20)="",1,IF($E9129&lt;=INDEX(DarlBindung,20),1,0))</f>
      </c>
      <c r="H9129" s="43">
        <f>IF($G9129=1,INDEX(DarlSollzins,20),INDEX(DarlAnschluss,20))</f>
      </c>
      <c r="I9129" s="43">
        <f>IF(INDEX(DarlBelegt,20)=0,0,IF(INDEX(DarlOhneTilgung,20)=1,IF(INDEX(DarlBindung,20)="",1,$G9129),IF($J9129&gt;0.005,1,0)))</f>
      </c>
      <c r="J9129" s="43">
        <f>IF($I9128=0,0,$R9128)</f>
      </c>
      <c r="K9129" s="43">
        <f>IF($I9129=0,0,IF(INDEX(DarlOhneTilgung,20)=1,0,IF(AND(INDEX(DarlTilgStart,20)&gt;0,$E9129=INDEX(DarlTilgStart,20)),$J9129*($H9129+INDEX(DarlTilgung,20))/100/12,IF(AND($G9129=0,$G9128=1),MAX($K9128,$J9129*($H9129+1)/100/12),$K9128))))</f>
      </c>
      <c r="L9129" s="43">
        <f>IF($I9129=0,0,$J9129*$H9129/100/12)</f>
      </c>
      <c r="M9129" s="43">
        <f>IF($I9129=0,0,IF(OR(INDEX(DarlOhneTilgung,20)=1,AND(INDEX(DarlTilgStart,20)&gt;0,$E9129&lt;INDEX(DarlTilgStart,20))),0,MIN(MAX(0,$K9129-$L9129),$J9129)))</f>
      </c>
      <c r="N9129" s="43">
        <f>IF($I9129=0,0,MIN(SUMIFS(SondBetrag,SondDarl,20,SondDatum,"&gt;="&amp;$E9129,SondDatum,"&lt;="&amp;EOMONTH($E9129,0)),$J9129-$M9129))</f>
      </c>
      <c r="O9129" s="43">
        <f>IF($I9129=0,0,INDEX(DarlErsatzRate,20))</f>
      </c>
      <c r="P9129" s="43">
        <f>IF($I9129=0,0,$Q9128*INDEX(DarlErsatzZins,20))</f>
      </c>
      <c r="Q9129" s="43">
        <f>IF($I9129=0,0,$Q9128+$P9129+$O9129)</f>
      </c>
      <c r="R9129" s="43">
        <f>IF($I9129=0,0,$J9129-$M9129-$N9129)</f>
      </c>
    </row>
    <row r="9130">
      <c r="A9130"/>
      <c r="B9130">
        <v>20</v>
      </c>
      <c r="C9130" s="43">
        <f>INDEX(DarlObj,20)</f>
      </c>
      <c r="D9130">
        <v>7</v>
      </c>
      <c r="E9130" s="51">
        <f>IF(INDEX(DarlBelegt,20)=0,0,EOMONTH(INDEX(DarlAuszahlung,20),6)+1)</f>
      </c>
      <c r="F9130" s="43">
        <f>IF($E9130=0,0,YEAR($E9130))</f>
      </c>
      <c r="G9130" s="43">
        <f>IF(INDEX(DarlBindung,20)="",1,IF($E9130&lt;=INDEX(DarlBindung,20),1,0))</f>
      </c>
      <c r="H9130" s="43">
        <f>IF($G9130=1,INDEX(DarlSollzins,20),INDEX(DarlAnschluss,20))</f>
      </c>
      <c r="I9130" s="43">
        <f>IF(INDEX(DarlBelegt,20)=0,0,IF(INDEX(DarlOhneTilgung,20)=1,IF(INDEX(DarlBindung,20)="",1,$G9130),IF($J9130&gt;0.005,1,0)))</f>
      </c>
      <c r="J9130" s="43">
        <f>IF($I9129=0,0,$R9129)</f>
      </c>
      <c r="K9130" s="43">
        <f>IF($I9130=0,0,IF(INDEX(DarlOhneTilgung,20)=1,0,IF(AND(INDEX(DarlTilgStart,20)&gt;0,$E9130=INDEX(DarlTilgStart,20)),$J9130*($H9130+INDEX(DarlTilgung,20))/100/12,IF(AND($G9130=0,$G9129=1),MAX($K9129,$J9130*($H9130+1)/100/12),$K9129))))</f>
      </c>
      <c r="L9130" s="43">
        <f>IF($I9130=0,0,$J9130*$H9130/100/12)</f>
      </c>
      <c r="M9130" s="43">
        <f>IF($I9130=0,0,IF(OR(INDEX(DarlOhneTilgung,20)=1,AND(INDEX(DarlTilgStart,20)&gt;0,$E9130&lt;INDEX(DarlTilgStart,20))),0,MIN(MAX(0,$K9130-$L9130),$J9130)))</f>
      </c>
      <c r="N9130" s="43">
        <f>IF($I9130=0,0,MIN(SUMIFS(SondBetrag,SondDarl,20,SondDatum,"&gt;="&amp;$E9130,SondDatum,"&lt;="&amp;EOMONTH($E9130,0)),$J9130-$M9130))</f>
      </c>
      <c r="O9130" s="43">
        <f>IF($I9130=0,0,INDEX(DarlErsatzRate,20))</f>
      </c>
      <c r="P9130" s="43">
        <f>IF($I9130=0,0,$Q9129*INDEX(DarlErsatzZins,20))</f>
      </c>
      <c r="Q9130" s="43">
        <f>IF($I9130=0,0,$Q9129+$P9130+$O9130)</f>
      </c>
      <c r="R9130" s="43">
        <f>IF($I9130=0,0,$J9130-$M9130-$N9130)</f>
      </c>
    </row>
    <row r="9131">
      <c r="A9131"/>
      <c r="B9131">
        <v>20</v>
      </c>
      <c r="C9131" s="43">
        <f>INDEX(DarlObj,20)</f>
      </c>
      <c r="D9131">
        <v>8</v>
      </c>
      <c r="E9131" s="51">
        <f>IF(INDEX(DarlBelegt,20)=0,0,EOMONTH(INDEX(DarlAuszahlung,20),7)+1)</f>
      </c>
      <c r="F9131" s="43">
        <f>IF($E9131=0,0,YEAR($E9131))</f>
      </c>
      <c r="G9131" s="43">
        <f>IF(INDEX(DarlBindung,20)="",1,IF($E9131&lt;=INDEX(DarlBindung,20),1,0))</f>
      </c>
      <c r="H9131" s="43">
        <f>IF($G9131=1,INDEX(DarlSollzins,20),INDEX(DarlAnschluss,20))</f>
      </c>
      <c r="I9131" s="43">
        <f>IF(INDEX(DarlBelegt,20)=0,0,IF(INDEX(DarlOhneTilgung,20)=1,IF(INDEX(DarlBindung,20)="",1,$G9131),IF($J9131&gt;0.005,1,0)))</f>
      </c>
      <c r="J9131" s="43">
        <f>IF($I9130=0,0,$R9130)</f>
      </c>
      <c r="K9131" s="43">
        <f>IF($I9131=0,0,IF(INDEX(DarlOhneTilgung,20)=1,0,IF(AND(INDEX(DarlTilgStart,20)&gt;0,$E9131=INDEX(DarlTilgStart,20)),$J9131*($H9131+INDEX(DarlTilgung,20))/100/12,IF(AND($G9131=0,$G9130=1),MAX($K9130,$J9131*($H9131+1)/100/12),$K9130))))</f>
      </c>
      <c r="L9131" s="43">
        <f>IF($I9131=0,0,$J9131*$H9131/100/12)</f>
      </c>
      <c r="M9131" s="43">
        <f>IF($I9131=0,0,IF(OR(INDEX(DarlOhneTilgung,20)=1,AND(INDEX(DarlTilgStart,20)&gt;0,$E9131&lt;INDEX(DarlTilgStart,20))),0,MIN(MAX(0,$K9131-$L9131),$J9131)))</f>
      </c>
      <c r="N9131" s="43">
        <f>IF($I9131=0,0,MIN(SUMIFS(SondBetrag,SondDarl,20,SondDatum,"&gt;="&amp;$E9131,SondDatum,"&lt;="&amp;EOMONTH($E9131,0)),$J9131-$M9131))</f>
      </c>
      <c r="O9131" s="43">
        <f>IF($I9131=0,0,INDEX(DarlErsatzRate,20))</f>
      </c>
      <c r="P9131" s="43">
        <f>IF($I9131=0,0,$Q9130*INDEX(DarlErsatzZins,20))</f>
      </c>
      <c r="Q9131" s="43">
        <f>IF($I9131=0,0,$Q9130+$P9131+$O9131)</f>
      </c>
      <c r="R9131" s="43">
        <f>IF($I9131=0,0,$J9131-$M9131-$N9131)</f>
      </c>
    </row>
    <row r="9132">
      <c r="A9132"/>
      <c r="B9132">
        <v>20</v>
      </c>
      <c r="C9132" s="43">
        <f>INDEX(DarlObj,20)</f>
      </c>
      <c r="D9132">
        <v>9</v>
      </c>
      <c r="E9132" s="51">
        <f>IF(INDEX(DarlBelegt,20)=0,0,EOMONTH(INDEX(DarlAuszahlung,20),8)+1)</f>
      </c>
      <c r="F9132" s="43">
        <f>IF($E9132=0,0,YEAR($E9132))</f>
      </c>
      <c r="G9132" s="43">
        <f>IF(INDEX(DarlBindung,20)="",1,IF($E9132&lt;=INDEX(DarlBindung,20),1,0))</f>
      </c>
      <c r="H9132" s="43">
        <f>IF($G9132=1,INDEX(DarlSollzins,20),INDEX(DarlAnschluss,20))</f>
      </c>
      <c r="I9132" s="43">
        <f>IF(INDEX(DarlBelegt,20)=0,0,IF(INDEX(DarlOhneTilgung,20)=1,IF(INDEX(DarlBindung,20)="",1,$G9132),IF($J9132&gt;0.005,1,0)))</f>
      </c>
      <c r="J9132" s="43">
        <f>IF($I9131=0,0,$R9131)</f>
      </c>
      <c r="K9132" s="43">
        <f>IF($I9132=0,0,IF(INDEX(DarlOhneTilgung,20)=1,0,IF(AND(INDEX(DarlTilgStart,20)&gt;0,$E9132=INDEX(DarlTilgStart,20)),$J9132*($H9132+INDEX(DarlTilgung,20))/100/12,IF(AND($G9132=0,$G9131=1),MAX($K9131,$J9132*($H9132+1)/100/12),$K9131))))</f>
      </c>
      <c r="L9132" s="43">
        <f>IF($I9132=0,0,$J9132*$H9132/100/12)</f>
      </c>
      <c r="M9132" s="43">
        <f>IF($I9132=0,0,IF(OR(INDEX(DarlOhneTilgung,20)=1,AND(INDEX(DarlTilgStart,20)&gt;0,$E9132&lt;INDEX(DarlTilgStart,20))),0,MIN(MAX(0,$K9132-$L9132),$J9132)))</f>
      </c>
      <c r="N9132" s="43">
        <f>IF($I9132=0,0,MIN(SUMIFS(SondBetrag,SondDarl,20,SondDatum,"&gt;="&amp;$E9132,SondDatum,"&lt;="&amp;EOMONTH($E9132,0)),$J9132-$M9132))</f>
      </c>
      <c r="O9132" s="43">
        <f>IF($I9132=0,0,INDEX(DarlErsatzRate,20))</f>
      </c>
      <c r="P9132" s="43">
        <f>IF($I9132=0,0,$Q9131*INDEX(DarlErsatzZins,20))</f>
      </c>
      <c r="Q9132" s="43">
        <f>IF($I9132=0,0,$Q9131+$P9132+$O9132)</f>
      </c>
      <c r="R9132" s="43">
        <f>IF($I9132=0,0,$J9132-$M9132-$N9132)</f>
      </c>
    </row>
    <row r="9133">
      <c r="A9133"/>
      <c r="B9133">
        <v>20</v>
      </c>
      <c r="C9133" s="43">
        <f>INDEX(DarlObj,20)</f>
      </c>
      <c r="D9133">
        <v>10</v>
      </c>
      <c r="E9133" s="51">
        <f>IF(INDEX(DarlBelegt,20)=0,0,EOMONTH(INDEX(DarlAuszahlung,20),9)+1)</f>
      </c>
      <c r="F9133" s="43">
        <f>IF($E9133=0,0,YEAR($E9133))</f>
      </c>
      <c r="G9133" s="43">
        <f>IF(INDEX(DarlBindung,20)="",1,IF($E9133&lt;=INDEX(DarlBindung,20),1,0))</f>
      </c>
      <c r="H9133" s="43">
        <f>IF($G9133=1,INDEX(DarlSollzins,20),INDEX(DarlAnschluss,20))</f>
      </c>
      <c r="I9133" s="43">
        <f>IF(INDEX(DarlBelegt,20)=0,0,IF(INDEX(DarlOhneTilgung,20)=1,IF(INDEX(DarlBindung,20)="",1,$G9133),IF($J9133&gt;0.005,1,0)))</f>
      </c>
      <c r="J9133" s="43">
        <f>IF($I9132=0,0,$R9132)</f>
      </c>
      <c r="K9133" s="43">
        <f>IF($I9133=0,0,IF(INDEX(DarlOhneTilgung,20)=1,0,IF(AND(INDEX(DarlTilgStart,20)&gt;0,$E9133=INDEX(DarlTilgStart,20)),$J9133*($H9133+INDEX(DarlTilgung,20))/100/12,IF(AND($G9133=0,$G9132=1),MAX($K9132,$J9133*($H9133+1)/100/12),$K9132))))</f>
      </c>
      <c r="L9133" s="43">
        <f>IF($I9133=0,0,$J9133*$H9133/100/12)</f>
      </c>
      <c r="M9133" s="43">
        <f>IF($I9133=0,0,IF(OR(INDEX(DarlOhneTilgung,20)=1,AND(INDEX(DarlTilgStart,20)&gt;0,$E9133&lt;INDEX(DarlTilgStart,20))),0,MIN(MAX(0,$K9133-$L9133),$J9133)))</f>
      </c>
      <c r="N9133" s="43">
        <f>IF($I9133=0,0,MIN(SUMIFS(SondBetrag,SondDarl,20,SondDatum,"&gt;="&amp;$E9133,SondDatum,"&lt;="&amp;EOMONTH($E9133,0)),$J9133-$M9133))</f>
      </c>
      <c r="O9133" s="43">
        <f>IF($I9133=0,0,INDEX(DarlErsatzRate,20))</f>
      </c>
      <c r="P9133" s="43">
        <f>IF($I9133=0,0,$Q9132*INDEX(DarlErsatzZins,20))</f>
      </c>
      <c r="Q9133" s="43">
        <f>IF($I9133=0,0,$Q9132+$P9133+$O9133)</f>
      </c>
      <c r="R9133" s="43">
        <f>IF($I9133=0,0,$J9133-$M9133-$N9133)</f>
      </c>
    </row>
    <row r="9134">
      <c r="A9134"/>
      <c r="B9134">
        <v>20</v>
      </c>
      <c r="C9134" s="43">
        <f>INDEX(DarlObj,20)</f>
      </c>
      <c r="D9134">
        <v>11</v>
      </c>
      <c r="E9134" s="51">
        <f>IF(INDEX(DarlBelegt,20)=0,0,EOMONTH(INDEX(DarlAuszahlung,20),10)+1)</f>
      </c>
      <c r="F9134" s="43">
        <f>IF($E9134=0,0,YEAR($E9134))</f>
      </c>
      <c r="G9134" s="43">
        <f>IF(INDEX(DarlBindung,20)="",1,IF($E9134&lt;=INDEX(DarlBindung,20),1,0))</f>
      </c>
      <c r="H9134" s="43">
        <f>IF($G9134=1,INDEX(DarlSollzins,20),INDEX(DarlAnschluss,20))</f>
      </c>
      <c r="I9134" s="43">
        <f>IF(INDEX(DarlBelegt,20)=0,0,IF(INDEX(DarlOhneTilgung,20)=1,IF(INDEX(DarlBindung,20)="",1,$G9134),IF($J9134&gt;0.005,1,0)))</f>
      </c>
      <c r="J9134" s="43">
        <f>IF($I9133=0,0,$R9133)</f>
      </c>
      <c r="K9134" s="43">
        <f>IF($I9134=0,0,IF(INDEX(DarlOhneTilgung,20)=1,0,IF(AND(INDEX(DarlTilgStart,20)&gt;0,$E9134=INDEX(DarlTilgStart,20)),$J9134*($H9134+INDEX(DarlTilgung,20))/100/12,IF(AND($G9134=0,$G9133=1),MAX($K9133,$J9134*($H9134+1)/100/12),$K9133))))</f>
      </c>
      <c r="L9134" s="43">
        <f>IF($I9134=0,0,$J9134*$H9134/100/12)</f>
      </c>
      <c r="M9134" s="43">
        <f>IF($I9134=0,0,IF(OR(INDEX(DarlOhneTilgung,20)=1,AND(INDEX(DarlTilgStart,20)&gt;0,$E9134&lt;INDEX(DarlTilgStart,20))),0,MIN(MAX(0,$K9134-$L9134),$J9134)))</f>
      </c>
      <c r="N9134" s="43">
        <f>IF($I9134=0,0,MIN(SUMIFS(SondBetrag,SondDarl,20,SondDatum,"&gt;="&amp;$E9134,SondDatum,"&lt;="&amp;EOMONTH($E9134,0)),$J9134-$M9134))</f>
      </c>
      <c r="O9134" s="43">
        <f>IF($I9134=0,0,INDEX(DarlErsatzRate,20))</f>
      </c>
      <c r="P9134" s="43">
        <f>IF($I9134=0,0,$Q9133*INDEX(DarlErsatzZins,20))</f>
      </c>
      <c r="Q9134" s="43">
        <f>IF($I9134=0,0,$Q9133+$P9134+$O9134)</f>
      </c>
      <c r="R9134" s="43">
        <f>IF($I9134=0,0,$J9134-$M9134-$N9134)</f>
      </c>
    </row>
    <row r="9135">
      <c r="A9135"/>
      <c r="B9135">
        <v>20</v>
      </c>
      <c r="C9135" s="43">
        <f>INDEX(DarlObj,20)</f>
      </c>
      <c r="D9135">
        <v>12</v>
      </c>
      <c r="E9135" s="51">
        <f>IF(INDEX(DarlBelegt,20)=0,0,EOMONTH(INDEX(DarlAuszahlung,20),11)+1)</f>
      </c>
      <c r="F9135" s="43">
        <f>IF($E9135=0,0,YEAR($E9135))</f>
      </c>
      <c r="G9135" s="43">
        <f>IF(INDEX(DarlBindung,20)="",1,IF($E9135&lt;=INDEX(DarlBindung,20),1,0))</f>
      </c>
      <c r="H9135" s="43">
        <f>IF($G9135=1,INDEX(DarlSollzins,20),INDEX(DarlAnschluss,20))</f>
      </c>
      <c r="I9135" s="43">
        <f>IF(INDEX(DarlBelegt,20)=0,0,IF(INDEX(DarlOhneTilgung,20)=1,IF(INDEX(DarlBindung,20)="",1,$G9135),IF($J9135&gt;0.005,1,0)))</f>
      </c>
      <c r="J9135" s="43">
        <f>IF($I9134=0,0,$R9134)</f>
      </c>
      <c r="K9135" s="43">
        <f>IF($I9135=0,0,IF(INDEX(DarlOhneTilgung,20)=1,0,IF(AND(INDEX(DarlTilgStart,20)&gt;0,$E9135=INDEX(DarlTilgStart,20)),$J9135*($H9135+INDEX(DarlTilgung,20))/100/12,IF(AND($G9135=0,$G9134=1),MAX($K9134,$J9135*($H9135+1)/100/12),$K9134))))</f>
      </c>
      <c r="L9135" s="43">
        <f>IF($I9135=0,0,$J9135*$H9135/100/12)</f>
      </c>
      <c r="M9135" s="43">
        <f>IF($I9135=0,0,IF(OR(INDEX(DarlOhneTilgung,20)=1,AND(INDEX(DarlTilgStart,20)&gt;0,$E9135&lt;INDEX(DarlTilgStart,20))),0,MIN(MAX(0,$K9135-$L9135),$J9135)))</f>
      </c>
      <c r="N9135" s="43">
        <f>IF($I9135=0,0,MIN(SUMIFS(SondBetrag,SondDarl,20,SondDatum,"&gt;="&amp;$E9135,SondDatum,"&lt;="&amp;EOMONTH($E9135,0)),$J9135-$M9135))</f>
      </c>
      <c r="O9135" s="43">
        <f>IF($I9135=0,0,INDEX(DarlErsatzRate,20))</f>
      </c>
      <c r="P9135" s="43">
        <f>IF($I9135=0,0,$Q9134*INDEX(DarlErsatzZins,20))</f>
      </c>
      <c r="Q9135" s="43">
        <f>IF($I9135=0,0,$Q9134+$P9135+$O9135)</f>
      </c>
      <c r="R9135" s="43">
        <f>IF($I9135=0,0,$J9135-$M9135-$N9135)</f>
      </c>
    </row>
    <row r="9136">
      <c r="A9136"/>
      <c r="B9136">
        <v>20</v>
      </c>
      <c r="C9136" s="43">
        <f>INDEX(DarlObj,20)</f>
      </c>
      <c r="D9136">
        <v>13</v>
      </c>
      <c r="E9136" s="51">
        <f>IF(INDEX(DarlBelegt,20)=0,0,EOMONTH(INDEX(DarlAuszahlung,20),12)+1)</f>
      </c>
      <c r="F9136" s="43">
        <f>IF($E9136=0,0,YEAR($E9136))</f>
      </c>
      <c r="G9136" s="43">
        <f>IF(INDEX(DarlBindung,20)="",1,IF($E9136&lt;=INDEX(DarlBindung,20),1,0))</f>
      </c>
      <c r="H9136" s="43">
        <f>IF($G9136=1,INDEX(DarlSollzins,20),INDEX(DarlAnschluss,20))</f>
      </c>
      <c r="I9136" s="43">
        <f>IF(INDEX(DarlBelegt,20)=0,0,IF(INDEX(DarlOhneTilgung,20)=1,IF(INDEX(DarlBindung,20)="",1,$G9136),IF($J9136&gt;0.005,1,0)))</f>
      </c>
      <c r="J9136" s="43">
        <f>IF($I9135=0,0,$R9135)</f>
      </c>
      <c r="K9136" s="43">
        <f>IF($I9136=0,0,IF(INDEX(DarlOhneTilgung,20)=1,0,IF(AND(INDEX(DarlTilgStart,20)&gt;0,$E9136=INDEX(DarlTilgStart,20)),$J9136*($H9136+INDEX(DarlTilgung,20))/100/12,IF(AND($G9136=0,$G9135=1),MAX($K9135,$J9136*($H9136+1)/100/12),$K9135))))</f>
      </c>
      <c r="L9136" s="43">
        <f>IF($I9136=0,0,$J9136*$H9136/100/12)</f>
      </c>
      <c r="M9136" s="43">
        <f>IF($I9136=0,0,IF(OR(INDEX(DarlOhneTilgung,20)=1,AND(INDEX(DarlTilgStart,20)&gt;0,$E9136&lt;INDEX(DarlTilgStart,20))),0,MIN(MAX(0,$K9136-$L9136),$J9136)))</f>
      </c>
      <c r="N9136" s="43">
        <f>IF($I9136=0,0,MIN(SUMIFS(SondBetrag,SondDarl,20,SondDatum,"&gt;="&amp;$E9136,SondDatum,"&lt;="&amp;EOMONTH($E9136,0)),$J9136-$M9136))</f>
      </c>
      <c r="O9136" s="43">
        <f>IF($I9136=0,0,INDEX(DarlErsatzRate,20))</f>
      </c>
      <c r="P9136" s="43">
        <f>IF($I9136=0,0,$Q9135*INDEX(DarlErsatzZins,20))</f>
      </c>
      <c r="Q9136" s="43">
        <f>IF($I9136=0,0,$Q9135+$P9136+$O9136)</f>
      </c>
      <c r="R9136" s="43">
        <f>IF($I9136=0,0,$J9136-$M9136-$N9136)</f>
      </c>
    </row>
    <row r="9137">
      <c r="A9137"/>
      <c r="B9137">
        <v>20</v>
      </c>
      <c r="C9137" s="43">
        <f>INDEX(DarlObj,20)</f>
      </c>
      <c r="D9137">
        <v>14</v>
      </c>
      <c r="E9137" s="51">
        <f>IF(INDEX(DarlBelegt,20)=0,0,EOMONTH(INDEX(DarlAuszahlung,20),13)+1)</f>
      </c>
      <c r="F9137" s="43">
        <f>IF($E9137=0,0,YEAR($E9137))</f>
      </c>
      <c r="G9137" s="43">
        <f>IF(INDEX(DarlBindung,20)="",1,IF($E9137&lt;=INDEX(DarlBindung,20),1,0))</f>
      </c>
      <c r="H9137" s="43">
        <f>IF($G9137=1,INDEX(DarlSollzins,20),INDEX(DarlAnschluss,20))</f>
      </c>
      <c r="I9137" s="43">
        <f>IF(INDEX(DarlBelegt,20)=0,0,IF(INDEX(DarlOhneTilgung,20)=1,IF(INDEX(DarlBindung,20)="",1,$G9137),IF($J9137&gt;0.005,1,0)))</f>
      </c>
      <c r="J9137" s="43">
        <f>IF($I9136=0,0,$R9136)</f>
      </c>
      <c r="K9137" s="43">
        <f>IF($I9137=0,0,IF(INDEX(DarlOhneTilgung,20)=1,0,IF(AND(INDEX(DarlTilgStart,20)&gt;0,$E9137=INDEX(DarlTilgStart,20)),$J9137*($H9137+INDEX(DarlTilgung,20))/100/12,IF(AND($G9137=0,$G9136=1),MAX($K9136,$J9137*($H9137+1)/100/12),$K9136))))</f>
      </c>
      <c r="L9137" s="43">
        <f>IF($I9137=0,0,$J9137*$H9137/100/12)</f>
      </c>
      <c r="M9137" s="43">
        <f>IF($I9137=0,0,IF(OR(INDEX(DarlOhneTilgung,20)=1,AND(INDEX(DarlTilgStart,20)&gt;0,$E9137&lt;INDEX(DarlTilgStart,20))),0,MIN(MAX(0,$K9137-$L9137),$J9137)))</f>
      </c>
      <c r="N9137" s="43">
        <f>IF($I9137=0,0,MIN(SUMIFS(SondBetrag,SondDarl,20,SondDatum,"&gt;="&amp;$E9137,SondDatum,"&lt;="&amp;EOMONTH($E9137,0)),$J9137-$M9137))</f>
      </c>
      <c r="O9137" s="43">
        <f>IF($I9137=0,0,INDEX(DarlErsatzRate,20))</f>
      </c>
      <c r="P9137" s="43">
        <f>IF($I9137=0,0,$Q9136*INDEX(DarlErsatzZins,20))</f>
      </c>
      <c r="Q9137" s="43">
        <f>IF($I9137=0,0,$Q9136+$P9137+$O9137)</f>
      </c>
      <c r="R9137" s="43">
        <f>IF($I9137=0,0,$J9137-$M9137-$N9137)</f>
      </c>
    </row>
    <row r="9138">
      <c r="A9138"/>
      <c r="B9138">
        <v>20</v>
      </c>
      <c r="C9138" s="43">
        <f>INDEX(DarlObj,20)</f>
      </c>
      <c r="D9138">
        <v>15</v>
      </c>
      <c r="E9138" s="51">
        <f>IF(INDEX(DarlBelegt,20)=0,0,EOMONTH(INDEX(DarlAuszahlung,20),14)+1)</f>
      </c>
      <c r="F9138" s="43">
        <f>IF($E9138=0,0,YEAR($E9138))</f>
      </c>
      <c r="G9138" s="43">
        <f>IF(INDEX(DarlBindung,20)="",1,IF($E9138&lt;=INDEX(DarlBindung,20),1,0))</f>
      </c>
      <c r="H9138" s="43">
        <f>IF($G9138=1,INDEX(DarlSollzins,20),INDEX(DarlAnschluss,20))</f>
      </c>
      <c r="I9138" s="43">
        <f>IF(INDEX(DarlBelegt,20)=0,0,IF(INDEX(DarlOhneTilgung,20)=1,IF(INDEX(DarlBindung,20)="",1,$G9138),IF($J9138&gt;0.005,1,0)))</f>
      </c>
      <c r="J9138" s="43">
        <f>IF($I9137=0,0,$R9137)</f>
      </c>
      <c r="K9138" s="43">
        <f>IF($I9138=0,0,IF(INDEX(DarlOhneTilgung,20)=1,0,IF(AND(INDEX(DarlTilgStart,20)&gt;0,$E9138=INDEX(DarlTilgStart,20)),$J9138*($H9138+INDEX(DarlTilgung,20))/100/12,IF(AND($G9138=0,$G9137=1),MAX($K9137,$J9138*($H9138+1)/100/12),$K9137))))</f>
      </c>
      <c r="L9138" s="43">
        <f>IF($I9138=0,0,$J9138*$H9138/100/12)</f>
      </c>
      <c r="M9138" s="43">
        <f>IF($I9138=0,0,IF(OR(INDEX(DarlOhneTilgung,20)=1,AND(INDEX(DarlTilgStart,20)&gt;0,$E9138&lt;INDEX(DarlTilgStart,20))),0,MIN(MAX(0,$K9138-$L9138),$J9138)))</f>
      </c>
      <c r="N9138" s="43">
        <f>IF($I9138=0,0,MIN(SUMIFS(SondBetrag,SondDarl,20,SondDatum,"&gt;="&amp;$E9138,SondDatum,"&lt;="&amp;EOMONTH($E9138,0)),$J9138-$M9138))</f>
      </c>
      <c r="O9138" s="43">
        <f>IF($I9138=0,0,INDEX(DarlErsatzRate,20))</f>
      </c>
      <c r="P9138" s="43">
        <f>IF($I9138=0,0,$Q9137*INDEX(DarlErsatzZins,20))</f>
      </c>
      <c r="Q9138" s="43">
        <f>IF($I9138=0,0,$Q9137+$P9138+$O9138)</f>
      </c>
      <c r="R9138" s="43">
        <f>IF($I9138=0,0,$J9138-$M9138-$N9138)</f>
      </c>
    </row>
    <row r="9139">
      <c r="A9139"/>
      <c r="B9139">
        <v>20</v>
      </c>
      <c r="C9139" s="43">
        <f>INDEX(DarlObj,20)</f>
      </c>
      <c r="D9139">
        <v>16</v>
      </c>
      <c r="E9139" s="51">
        <f>IF(INDEX(DarlBelegt,20)=0,0,EOMONTH(INDEX(DarlAuszahlung,20),15)+1)</f>
      </c>
      <c r="F9139" s="43">
        <f>IF($E9139=0,0,YEAR($E9139))</f>
      </c>
      <c r="G9139" s="43">
        <f>IF(INDEX(DarlBindung,20)="",1,IF($E9139&lt;=INDEX(DarlBindung,20),1,0))</f>
      </c>
      <c r="H9139" s="43">
        <f>IF($G9139=1,INDEX(DarlSollzins,20),INDEX(DarlAnschluss,20))</f>
      </c>
      <c r="I9139" s="43">
        <f>IF(INDEX(DarlBelegt,20)=0,0,IF(INDEX(DarlOhneTilgung,20)=1,IF(INDEX(DarlBindung,20)="",1,$G9139),IF($J9139&gt;0.005,1,0)))</f>
      </c>
      <c r="J9139" s="43">
        <f>IF($I9138=0,0,$R9138)</f>
      </c>
      <c r="K9139" s="43">
        <f>IF($I9139=0,0,IF(INDEX(DarlOhneTilgung,20)=1,0,IF(AND(INDEX(DarlTilgStart,20)&gt;0,$E9139=INDEX(DarlTilgStart,20)),$J9139*($H9139+INDEX(DarlTilgung,20))/100/12,IF(AND($G9139=0,$G9138=1),MAX($K9138,$J9139*($H9139+1)/100/12),$K9138))))</f>
      </c>
      <c r="L9139" s="43">
        <f>IF($I9139=0,0,$J9139*$H9139/100/12)</f>
      </c>
      <c r="M9139" s="43">
        <f>IF($I9139=0,0,IF(OR(INDEX(DarlOhneTilgung,20)=1,AND(INDEX(DarlTilgStart,20)&gt;0,$E9139&lt;INDEX(DarlTilgStart,20))),0,MIN(MAX(0,$K9139-$L9139),$J9139)))</f>
      </c>
      <c r="N9139" s="43">
        <f>IF($I9139=0,0,MIN(SUMIFS(SondBetrag,SondDarl,20,SondDatum,"&gt;="&amp;$E9139,SondDatum,"&lt;="&amp;EOMONTH($E9139,0)),$J9139-$M9139))</f>
      </c>
      <c r="O9139" s="43">
        <f>IF($I9139=0,0,INDEX(DarlErsatzRate,20))</f>
      </c>
      <c r="P9139" s="43">
        <f>IF($I9139=0,0,$Q9138*INDEX(DarlErsatzZins,20))</f>
      </c>
      <c r="Q9139" s="43">
        <f>IF($I9139=0,0,$Q9138+$P9139+$O9139)</f>
      </c>
      <c r="R9139" s="43">
        <f>IF($I9139=0,0,$J9139-$M9139-$N9139)</f>
      </c>
    </row>
    <row r="9140">
      <c r="A9140"/>
      <c r="B9140">
        <v>20</v>
      </c>
      <c r="C9140" s="43">
        <f>INDEX(DarlObj,20)</f>
      </c>
      <c r="D9140">
        <v>17</v>
      </c>
      <c r="E9140" s="51">
        <f>IF(INDEX(DarlBelegt,20)=0,0,EOMONTH(INDEX(DarlAuszahlung,20),16)+1)</f>
      </c>
      <c r="F9140" s="43">
        <f>IF($E9140=0,0,YEAR($E9140))</f>
      </c>
      <c r="G9140" s="43">
        <f>IF(INDEX(DarlBindung,20)="",1,IF($E9140&lt;=INDEX(DarlBindung,20),1,0))</f>
      </c>
      <c r="H9140" s="43">
        <f>IF($G9140=1,INDEX(DarlSollzins,20),INDEX(DarlAnschluss,20))</f>
      </c>
      <c r="I9140" s="43">
        <f>IF(INDEX(DarlBelegt,20)=0,0,IF(INDEX(DarlOhneTilgung,20)=1,IF(INDEX(DarlBindung,20)="",1,$G9140),IF($J9140&gt;0.005,1,0)))</f>
      </c>
      <c r="J9140" s="43">
        <f>IF($I9139=0,0,$R9139)</f>
      </c>
      <c r="K9140" s="43">
        <f>IF($I9140=0,0,IF(INDEX(DarlOhneTilgung,20)=1,0,IF(AND(INDEX(DarlTilgStart,20)&gt;0,$E9140=INDEX(DarlTilgStart,20)),$J9140*($H9140+INDEX(DarlTilgung,20))/100/12,IF(AND($G9140=0,$G9139=1),MAX($K9139,$J9140*($H9140+1)/100/12),$K9139))))</f>
      </c>
      <c r="L9140" s="43">
        <f>IF($I9140=0,0,$J9140*$H9140/100/12)</f>
      </c>
      <c r="M9140" s="43">
        <f>IF($I9140=0,0,IF(OR(INDEX(DarlOhneTilgung,20)=1,AND(INDEX(DarlTilgStart,20)&gt;0,$E9140&lt;INDEX(DarlTilgStart,20))),0,MIN(MAX(0,$K9140-$L9140),$J9140)))</f>
      </c>
      <c r="N9140" s="43">
        <f>IF($I9140=0,0,MIN(SUMIFS(SondBetrag,SondDarl,20,SondDatum,"&gt;="&amp;$E9140,SondDatum,"&lt;="&amp;EOMONTH($E9140,0)),$J9140-$M9140))</f>
      </c>
      <c r="O9140" s="43">
        <f>IF($I9140=0,0,INDEX(DarlErsatzRate,20))</f>
      </c>
      <c r="P9140" s="43">
        <f>IF($I9140=0,0,$Q9139*INDEX(DarlErsatzZins,20))</f>
      </c>
      <c r="Q9140" s="43">
        <f>IF($I9140=0,0,$Q9139+$P9140+$O9140)</f>
      </c>
      <c r="R9140" s="43">
        <f>IF($I9140=0,0,$J9140-$M9140-$N9140)</f>
      </c>
    </row>
    <row r="9141">
      <c r="A9141"/>
      <c r="B9141">
        <v>20</v>
      </c>
      <c r="C9141" s="43">
        <f>INDEX(DarlObj,20)</f>
      </c>
      <c r="D9141">
        <v>18</v>
      </c>
      <c r="E9141" s="51">
        <f>IF(INDEX(DarlBelegt,20)=0,0,EOMONTH(INDEX(DarlAuszahlung,20),17)+1)</f>
      </c>
      <c r="F9141" s="43">
        <f>IF($E9141=0,0,YEAR($E9141))</f>
      </c>
      <c r="G9141" s="43">
        <f>IF(INDEX(DarlBindung,20)="",1,IF($E9141&lt;=INDEX(DarlBindung,20),1,0))</f>
      </c>
      <c r="H9141" s="43">
        <f>IF($G9141=1,INDEX(DarlSollzins,20),INDEX(DarlAnschluss,20))</f>
      </c>
      <c r="I9141" s="43">
        <f>IF(INDEX(DarlBelegt,20)=0,0,IF(INDEX(DarlOhneTilgung,20)=1,IF(INDEX(DarlBindung,20)="",1,$G9141),IF($J9141&gt;0.005,1,0)))</f>
      </c>
      <c r="J9141" s="43">
        <f>IF($I9140=0,0,$R9140)</f>
      </c>
      <c r="K9141" s="43">
        <f>IF($I9141=0,0,IF(INDEX(DarlOhneTilgung,20)=1,0,IF(AND(INDEX(DarlTilgStart,20)&gt;0,$E9141=INDEX(DarlTilgStart,20)),$J9141*($H9141+INDEX(DarlTilgung,20))/100/12,IF(AND($G9141=0,$G9140=1),MAX($K9140,$J9141*($H9141+1)/100/12),$K9140))))</f>
      </c>
      <c r="L9141" s="43">
        <f>IF($I9141=0,0,$J9141*$H9141/100/12)</f>
      </c>
      <c r="M9141" s="43">
        <f>IF($I9141=0,0,IF(OR(INDEX(DarlOhneTilgung,20)=1,AND(INDEX(DarlTilgStart,20)&gt;0,$E9141&lt;INDEX(DarlTilgStart,20))),0,MIN(MAX(0,$K9141-$L9141),$J9141)))</f>
      </c>
      <c r="N9141" s="43">
        <f>IF($I9141=0,0,MIN(SUMIFS(SondBetrag,SondDarl,20,SondDatum,"&gt;="&amp;$E9141,SondDatum,"&lt;="&amp;EOMONTH($E9141,0)),$J9141-$M9141))</f>
      </c>
      <c r="O9141" s="43">
        <f>IF($I9141=0,0,INDEX(DarlErsatzRate,20))</f>
      </c>
      <c r="P9141" s="43">
        <f>IF($I9141=0,0,$Q9140*INDEX(DarlErsatzZins,20))</f>
      </c>
      <c r="Q9141" s="43">
        <f>IF($I9141=0,0,$Q9140+$P9141+$O9141)</f>
      </c>
      <c r="R9141" s="43">
        <f>IF($I9141=0,0,$J9141-$M9141-$N9141)</f>
      </c>
    </row>
    <row r="9142">
      <c r="A9142"/>
      <c r="B9142">
        <v>20</v>
      </c>
      <c r="C9142" s="43">
        <f>INDEX(DarlObj,20)</f>
      </c>
      <c r="D9142">
        <v>19</v>
      </c>
      <c r="E9142" s="51">
        <f>IF(INDEX(DarlBelegt,20)=0,0,EOMONTH(INDEX(DarlAuszahlung,20),18)+1)</f>
      </c>
      <c r="F9142" s="43">
        <f>IF($E9142=0,0,YEAR($E9142))</f>
      </c>
      <c r="G9142" s="43">
        <f>IF(INDEX(DarlBindung,20)="",1,IF($E9142&lt;=INDEX(DarlBindung,20),1,0))</f>
      </c>
      <c r="H9142" s="43">
        <f>IF($G9142=1,INDEX(DarlSollzins,20),INDEX(DarlAnschluss,20))</f>
      </c>
      <c r="I9142" s="43">
        <f>IF(INDEX(DarlBelegt,20)=0,0,IF(INDEX(DarlOhneTilgung,20)=1,IF(INDEX(DarlBindung,20)="",1,$G9142),IF($J9142&gt;0.005,1,0)))</f>
      </c>
      <c r="J9142" s="43">
        <f>IF($I9141=0,0,$R9141)</f>
      </c>
      <c r="K9142" s="43">
        <f>IF($I9142=0,0,IF(INDEX(DarlOhneTilgung,20)=1,0,IF(AND(INDEX(DarlTilgStart,20)&gt;0,$E9142=INDEX(DarlTilgStart,20)),$J9142*($H9142+INDEX(DarlTilgung,20))/100/12,IF(AND($G9142=0,$G9141=1),MAX($K9141,$J9142*($H9142+1)/100/12),$K9141))))</f>
      </c>
      <c r="L9142" s="43">
        <f>IF($I9142=0,0,$J9142*$H9142/100/12)</f>
      </c>
      <c r="M9142" s="43">
        <f>IF($I9142=0,0,IF(OR(INDEX(DarlOhneTilgung,20)=1,AND(INDEX(DarlTilgStart,20)&gt;0,$E9142&lt;INDEX(DarlTilgStart,20))),0,MIN(MAX(0,$K9142-$L9142),$J9142)))</f>
      </c>
      <c r="N9142" s="43">
        <f>IF($I9142=0,0,MIN(SUMIFS(SondBetrag,SondDarl,20,SondDatum,"&gt;="&amp;$E9142,SondDatum,"&lt;="&amp;EOMONTH($E9142,0)),$J9142-$M9142))</f>
      </c>
      <c r="O9142" s="43">
        <f>IF($I9142=0,0,INDEX(DarlErsatzRate,20))</f>
      </c>
      <c r="P9142" s="43">
        <f>IF($I9142=0,0,$Q9141*INDEX(DarlErsatzZins,20))</f>
      </c>
      <c r="Q9142" s="43">
        <f>IF($I9142=0,0,$Q9141+$P9142+$O9142)</f>
      </c>
      <c r="R9142" s="43">
        <f>IF($I9142=0,0,$J9142-$M9142-$N9142)</f>
      </c>
    </row>
    <row r="9143">
      <c r="A9143"/>
      <c r="B9143">
        <v>20</v>
      </c>
      <c r="C9143" s="43">
        <f>INDEX(DarlObj,20)</f>
      </c>
      <c r="D9143">
        <v>20</v>
      </c>
      <c r="E9143" s="51">
        <f>IF(INDEX(DarlBelegt,20)=0,0,EOMONTH(INDEX(DarlAuszahlung,20),19)+1)</f>
      </c>
      <c r="F9143" s="43">
        <f>IF($E9143=0,0,YEAR($E9143))</f>
      </c>
      <c r="G9143" s="43">
        <f>IF(INDEX(DarlBindung,20)="",1,IF($E9143&lt;=INDEX(DarlBindung,20),1,0))</f>
      </c>
      <c r="H9143" s="43">
        <f>IF($G9143=1,INDEX(DarlSollzins,20),INDEX(DarlAnschluss,20))</f>
      </c>
      <c r="I9143" s="43">
        <f>IF(INDEX(DarlBelegt,20)=0,0,IF(INDEX(DarlOhneTilgung,20)=1,IF(INDEX(DarlBindung,20)="",1,$G9143),IF($J9143&gt;0.005,1,0)))</f>
      </c>
      <c r="J9143" s="43">
        <f>IF($I9142=0,0,$R9142)</f>
      </c>
      <c r="K9143" s="43">
        <f>IF($I9143=0,0,IF(INDEX(DarlOhneTilgung,20)=1,0,IF(AND(INDEX(DarlTilgStart,20)&gt;0,$E9143=INDEX(DarlTilgStart,20)),$J9143*($H9143+INDEX(DarlTilgung,20))/100/12,IF(AND($G9143=0,$G9142=1),MAX($K9142,$J9143*($H9143+1)/100/12),$K9142))))</f>
      </c>
      <c r="L9143" s="43">
        <f>IF($I9143=0,0,$J9143*$H9143/100/12)</f>
      </c>
      <c r="M9143" s="43">
        <f>IF($I9143=0,0,IF(OR(INDEX(DarlOhneTilgung,20)=1,AND(INDEX(DarlTilgStart,20)&gt;0,$E9143&lt;INDEX(DarlTilgStart,20))),0,MIN(MAX(0,$K9143-$L9143),$J9143)))</f>
      </c>
      <c r="N9143" s="43">
        <f>IF($I9143=0,0,MIN(SUMIFS(SondBetrag,SondDarl,20,SondDatum,"&gt;="&amp;$E9143,SondDatum,"&lt;="&amp;EOMONTH($E9143,0)),$J9143-$M9143))</f>
      </c>
      <c r="O9143" s="43">
        <f>IF($I9143=0,0,INDEX(DarlErsatzRate,20))</f>
      </c>
      <c r="P9143" s="43">
        <f>IF($I9143=0,0,$Q9142*INDEX(DarlErsatzZins,20))</f>
      </c>
      <c r="Q9143" s="43">
        <f>IF($I9143=0,0,$Q9142+$P9143+$O9143)</f>
      </c>
      <c r="R9143" s="43">
        <f>IF($I9143=0,0,$J9143-$M9143-$N9143)</f>
      </c>
    </row>
    <row r="9144">
      <c r="A9144"/>
      <c r="B9144">
        <v>20</v>
      </c>
      <c r="C9144" s="43">
        <f>INDEX(DarlObj,20)</f>
      </c>
      <c r="D9144">
        <v>21</v>
      </c>
      <c r="E9144" s="51">
        <f>IF(INDEX(DarlBelegt,20)=0,0,EOMONTH(INDEX(DarlAuszahlung,20),20)+1)</f>
      </c>
      <c r="F9144" s="43">
        <f>IF($E9144=0,0,YEAR($E9144))</f>
      </c>
      <c r="G9144" s="43">
        <f>IF(INDEX(DarlBindung,20)="",1,IF($E9144&lt;=INDEX(DarlBindung,20),1,0))</f>
      </c>
      <c r="H9144" s="43">
        <f>IF($G9144=1,INDEX(DarlSollzins,20),INDEX(DarlAnschluss,20))</f>
      </c>
      <c r="I9144" s="43">
        <f>IF(INDEX(DarlBelegt,20)=0,0,IF(INDEX(DarlOhneTilgung,20)=1,IF(INDEX(DarlBindung,20)="",1,$G9144),IF($J9144&gt;0.005,1,0)))</f>
      </c>
      <c r="J9144" s="43">
        <f>IF($I9143=0,0,$R9143)</f>
      </c>
      <c r="K9144" s="43">
        <f>IF($I9144=0,0,IF(INDEX(DarlOhneTilgung,20)=1,0,IF(AND(INDEX(DarlTilgStart,20)&gt;0,$E9144=INDEX(DarlTilgStart,20)),$J9144*($H9144+INDEX(DarlTilgung,20))/100/12,IF(AND($G9144=0,$G9143=1),MAX($K9143,$J9144*($H9144+1)/100/12),$K9143))))</f>
      </c>
      <c r="L9144" s="43">
        <f>IF($I9144=0,0,$J9144*$H9144/100/12)</f>
      </c>
      <c r="M9144" s="43">
        <f>IF($I9144=0,0,IF(OR(INDEX(DarlOhneTilgung,20)=1,AND(INDEX(DarlTilgStart,20)&gt;0,$E9144&lt;INDEX(DarlTilgStart,20))),0,MIN(MAX(0,$K9144-$L9144),$J9144)))</f>
      </c>
      <c r="N9144" s="43">
        <f>IF($I9144=0,0,MIN(SUMIFS(SondBetrag,SondDarl,20,SondDatum,"&gt;="&amp;$E9144,SondDatum,"&lt;="&amp;EOMONTH($E9144,0)),$J9144-$M9144))</f>
      </c>
      <c r="O9144" s="43">
        <f>IF($I9144=0,0,INDEX(DarlErsatzRate,20))</f>
      </c>
      <c r="P9144" s="43">
        <f>IF($I9144=0,0,$Q9143*INDEX(DarlErsatzZins,20))</f>
      </c>
      <c r="Q9144" s="43">
        <f>IF($I9144=0,0,$Q9143+$P9144+$O9144)</f>
      </c>
      <c r="R9144" s="43">
        <f>IF($I9144=0,0,$J9144-$M9144-$N9144)</f>
      </c>
    </row>
    <row r="9145">
      <c r="A9145"/>
      <c r="B9145">
        <v>20</v>
      </c>
      <c r="C9145" s="43">
        <f>INDEX(DarlObj,20)</f>
      </c>
      <c r="D9145">
        <v>22</v>
      </c>
      <c r="E9145" s="51">
        <f>IF(INDEX(DarlBelegt,20)=0,0,EOMONTH(INDEX(DarlAuszahlung,20),21)+1)</f>
      </c>
      <c r="F9145" s="43">
        <f>IF($E9145=0,0,YEAR($E9145))</f>
      </c>
      <c r="G9145" s="43">
        <f>IF(INDEX(DarlBindung,20)="",1,IF($E9145&lt;=INDEX(DarlBindung,20),1,0))</f>
      </c>
      <c r="H9145" s="43">
        <f>IF($G9145=1,INDEX(DarlSollzins,20),INDEX(DarlAnschluss,20))</f>
      </c>
      <c r="I9145" s="43">
        <f>IF(INDEX(DarlBelegt,20)=0,0,IF(INDEX(DarlOhneTilgung,20)=1,IF(INDEX(DarlBindung,20)="",1,$G9145),IF($J9145&gt;0.005,1,0)))</f>
      </c>
      <c r="J9145" s="43">
        <f>IF($I9144=0,0,$R9144)</f>
      </c>
      <c r="K9145" s="43">
        <f>IF($I9145=0,0,IF(INDEX(DarlOhneTilgung,20)=1,0,IF(AND(INDEX(DarlTilgStart,20)&gt;0,$E9145=INDEX(DarlTilgStart,20)),$J9145*($H9145+INDEX(DarlTilgung,20))/100/12,IF(AND($G9145=0,$G9144=1),MAX($K9144,$J9145*($H9145+1)/100/12),$K9144))))</f>
      </c>
      <c r="L9145" s="43">
        <f>IF($I9145=0,0,$J9145*$H9145/100/12)</f>
      </c>
      <c r="M9145" s="43">
        <f>IF($I9145=0,0,IF(OR(INDEX(DarlOhneTilgung,20)=1,AND(INDEX(DarlTilgStart,20)&gt;0,$E9145&lt;INDEX(DarlTilgStart,20))),0,MIN(MAX(0,$K9145-$L9145),$J9145)))</f>
      </c>
      <c r="N9145" s="43">
        <f>IF($I9145=0,0,MIN(SUMIFS(SondBetrag,SondDarl,20,SondDatum,"&gt;="&amp;$E9145,SondDatum,"&lt;="&amp;EOMONTH($E9145,0)),$J9145-$M9145))</f>
      </c>
      <c r="O9145" s="43">
        <f>IF($I9145=0,0,INDEX(DarlErsatzRate,20))</f>
      </c>
      <c r="P9145" s="43">
        <f>IF($I9145=0,0,$Q9144*INDEX(DarlErsatzZins,20))</f>
      </c>
      <c r="Q9145" s="43">
        <f>IF($I9145=0,0,$Q9144+$P9145+$O9145)</f>
      </c>
      <c r="R9145" s="43">
        <f>IF($I9145=0,0,$J9145-$M9145-$N9145)</f>
      </c>
    </row>
    <row r="9146">
      <c r="A9146"/>
      <c r="B9146">
        <v>20</v>
      </c>
      <c r="C9146" s="43">
        <f>INDEX(DarlObj,20)</f>
      </c>
      <c r="D9146">
        <v>23</v>
      </c>
      <c r="E9146" s="51">
        <f>IF(INDEX(DarlBelegt,20)=0,0,EOMONTH(INDEX(DarlAuszahlung,20),22)+1)</f>
      </c>
      <c r="F9146" s="43">
        <f>IF($E9146=0,0,YEAR($E9146))</f>
      </c>
      <c r="G9146" s="43">
        <f>IF(INDEX(DarlBindung,20)="",1,IF($E9146&lt;=INDEX(DarlBindung,20),1,0))</f>
      </c>
      <c r="H9146" s="43">
        <f>IF($G9146=1,INDEX(DarlSollzins,20),INDEX(DarlAnschluss,20))</f>
      </c>
      <c r="I9146" s="43">
        <f>IF(INDEX(DarlBelegt,20)=0,0,IF(INDEX(DarlOhneTilgung,20)=1,IF(INDEX(DarlBindung,20)="",1,$G9146),IF($J9146&gt;0.005,1,0)))</f>
      </c>
      <c r="J9146" s="43">
        <f>IF($I9145=0,0,$R9145)</f>
      </c>
      <c r="K9146" s="43">
        <f>IF($I9146=0,0,IF(INDEX(DarlOhneTilgung,20)=1,0,IF(AND(INDEX(DarlTilgStart,20)&gt;0,$E9146=INDEX(DarlTilgStart,20)),$J9146*($H9146+INDEX(DarlTilgung,20))/100/12,IF(AND($G9146=0,$G9145=1),MAX($K9145,$J9146*($H9146+1)/100/12),$K9145))))</f>
      </c>
      <c r="L9146" s="43">
        <f>IF($I9146=0,0,$J9146*$H9146/100/12)</f>
      </c>
      <c r="M9146" s="43">
        <f>IF($I9146=0,0,IF(OR(INDEX(DarlOhneTilgung,20)=1,AND(INDEX(DarlTilgStart,20)&gt;0,$E9146&lt;INDEX(DarlTilgStart,20))),0,MIN(MAX(0,$K9146-$L9146),$J9146)))</f>
      </c>
      <c r="N9146" s="43">
        <f>IF($I9146=0,0,MIN(SUMIFS(SondBetrag,SondDarl,20,SondDatum,"&gt;="&amp;$E9146,SondDatum,"&lt;="&amp;EOMONTH($E9146,0)),$J9146-$M9146))</f>
      </c>
      <c r="O9146" s="43">
        <f>IF($I9146=0,0,INDEX(DarlErsatzRate,20))</f>
      </c>
      <c r="P9146" s="43">
        <f>IF($I9146=0,0,$Q9145*INDEX(DarlErsatzZins,20))</f>
      </c>
      <c r="Q9146" s="43">
        <f>IF($I9146=0,0,$Q9145+$P9146+$O9146)</f>
      </c>
      <c r="R9146" s="43">
        <f>IF($I9146=0,0,$J9146-$M9146-$N9146)</f>
      </c>
    </row>
    <row r="9147">
      <c r="A9147"/>
      <c r="B9147">
        <v>20</v>
      </c>
      <c r="C9147" s="43">
        <f>INDEX(DarlObj,20)</f>
      </c>
      <c r="D9147">
        <v>24</v>
      </c>
      <c r="E9147" s="51">
        <f>IF(INDEX(DarlBelegt,20)=0,0,EOMONTH(INDEX(DarlAuszahlung,20),23)+1)</f>
      </c>
      <c r="F9147" s="43">
        <f>IF($E9147=0,0,YEAR($E9147))</f>
      </c>
      <c r="G9147" s="43">
        <f>IF(INDEX(DarlBindung,20)="",1,IF($E9147&lt;=INDEX(DarlBindung,20),1,0))</f>
      </c>
      <c r="H9147" s="43">
        <f>IF($G9147=1,INDEX(DarlSollzins,20),INDEX(DarlAnschluss,20))</f>
      </c>
      <c r="I9147" s="43">
        <f>IF(INDEX(DarlBelegt,20)=0,0,IF(INDEX(DarlOhneTilgung,20)=1,IF(INDEX(DarlBindung,20)="",1,$G9147),IF($J9147&gt;0.005,1,0)))</f>
      </c>
      <c r="J9147" s="43">
        <f>IF($I9146=0,0,$R9146)</f>
      </c>
      <c r="K9147" s="43">
        <f>IF($I9147=0,0,IF(INDEX(DarlOhneTilgung,20)=1,0,IF(AND(INDEX(DarlTilgStart,20)&gt;0,$E9147=INDEX(DarlTilgStart,20)),$J9147*($H9147+INDEX(DarlTilgung,20))/100/12,IF(AND($G9147=0,$G9146=1),MAX($K9146,$J9147*($H9147+1)/100/12),$K9146))))</f>
      </c>
      <c r="L9147" s="43">
        <f>IF($I9147=0,0,$J9147*$H9147/100/12)</f>
      </c>
      <c r="M9147" s="43">
        <f>IF($I9147=0,0,IF(OR(INDEX(DarlOhneTilgung,20)=1,AND(INDEX(DarlTilgStart,20)&gt;0,$E9147&lt;INDEX(DarlTilgStart,20))),0,MIN(MAX(0,$K9147-$L9147),$J9147)))</f>
      </c>
      <c r="N9147" s="43">
        <f>IF($I9147=0,0,MIN(SUMIFS(SondBetrag,SondDarl,20,SondDatum,"&gt;="&amp;$E9147,SondDatum,"&lt;="&amp;EOMONTH($E9147,0)),$J9147-$M9147))</f>
      </c>
      <c r="O9147" s="43">
        <f>IF($I9147=0,0,INDEX(DarlErsatzRate,20))</f>
      </c>
      <c r="P9147" s="43">
        <f>IF($I9147=0,0,$Q9146*INDEX(DarlErsatzZins,20))</f>
      </c>
      <c r="Q9147" s="43">
        <f>IF($I9147=0,0,$Q9146+$P9147+$O9147)</f>
      </c>
      <c r="R9147" s="43">
        <f>IF($I9147=0,0,$J9147-$M9147-$N9147)</f>
      </c>
    </row>
    <row r="9148">
      <c r="A9148"/>
      <c r="B9148">
        <v>20</v>
      </c>
      <c r="C9148" s="43">
        <f>INDEX(DarlObj,20)</f>
      </c>
      <c r="D9148">
        <v>25</v>
      </c>
      <c r="E9148" s="51">
        <f>IF(INDEX(DarlBelegt,20)=0,0,EOMONTH(INDEX(DarlAuszahlung,20),24)+1)</f>
      </c>
      <c r="F9148" s="43">
        <f>IF($E9148=0,0,YEAR($E9148))</f>
      </c>
      <c r="G9148" s="43">
        <f>IF(INDEX(DarlBindung,20)="",1,IF($E9148&lt;=INDEX(DarlBindung,20),1,0))</f>
      </c>
      <c r="H9148" s="43">
        <f>IF($G9148=1,INDEX(DarlSollzins,20),INDEX(DarlAnschluss,20))</f>
      </c>
      <c r="I9148" s="43">
        <f>IF(INDEX(DarlBelegt,20)=0,0,IF(INDEX(DarlOhneTilgung,20)=1,IF(INDEX(DarlBindung,20)="",1,$G9148),IF($J9148&gt;0.005,1,0)))</f>
      </c>
      <c r="J9148" s="43">
        <f>IF($I9147=0,0,$R9147)</f>
      </c>
      <c r="K9148" s="43">
        <f>IF($I9148=0,0,IF(INDEX(DarlOhneTilgung,20)=1,0,IF(AND(INDEX(DarlTilgStart,20)&gt;0,$E9148=INDEX(DarlTilgStart,20)),$J9148*($H9148+INDEX(DarlTilgung,20))/100/12,IF(AND($G9148=0,$G9147=1),MAX($K9147,$J9148*($H9148+1)/100/12),$K9147))))</f>
      </c>
      <c r="L9148" s="43">
        <f>IF($I9148=0,0,$J9148*$H9148/100/12)</f>
      </c>
      <c r="M9148" s="43">
        <f>IF($I9148=0,0,IF(OR(INDEX(DarlOhneTilgung,20)=1,AND(INDEX(DarlTilgStart,20)&gt;0,$E9148&lt;INDEX(DarlTilgStart,20))),0,MIN(MAX(0,$K9148-$L9148),$J9148)))</f>
      </c>
      <c r="N9148" s="43">
        <f>IF($I9148=0,0,MIN(SUMIFS(SondBetrag,SondDarl,20,SondDatum,"&gt;="&amp;$E9148,SondDatum,"&lt;="&amp;EOMONTH($E9148,0)),$J9148-$M9148))</f>
      </c>
      <c r="O9148" s="43">
        <f>IF($I9148=0,0,INDEX(DarlErsatzRate,20))</f>
      </c>
      <c r="P9148" s="43">
        <f>IF($I9148=0,0,$Q9147*INDEX(DarlErsatzZins,20))</f>
      </c>
      <c r="Q9148" s="43">
        <f>IF($I9148=0,0,$Q9147+$P9148+$O9148)</f>
      </c>
      <c r="R9148" s="43">
        <f>IF($I9148=0,0,$J9148-$M9148-$N9148)</f>
      </c>
    </row>
    <row r="9149">
      <c r="A9149"/>
      <c r="B9149">
        <v>20</v>
      </c>
      <c r="C9149" s="43">
        <f>INDEX(DarlObj,20)</f>
      </c>
      <c r="D9149">
        <v>26</v>
      </c>
      <c r="E9149" s="51">
        <f>IF(INDEX(DarlBelegt,20)=0,0,EOMONTH(INDEX(DarlAuszahlung,20),25)+1)</f>
      </c>
      <c r="F9149" s="43">
        <f>IF($E9149=0,0,YEAR($E9149))</f>
      </c>
      <c r="G9149" s="43">
        <f>IF(INDEX(DarlBindung,20)="",1,IF($E9149&lt;=INDEX(DarlBindung,20),1,0))</f>
      </c>
      <c r="H9149" s="43">
        <f>IF($G9149=1,INDEX(DarlSollzins,20),INDEX(DarlAnschluss,20))</f>
      </c>
      <c r="I9149" s="43">
        <f>IF(INDEX(DarlBelegt,20)=0,0,IF(INDEX(DarlOhneTilgung,20)=1,IF(INDEX(DarlBindung,20)="",1,$G9149),IF($J9149&gt;0.005,1,0)))</f>
      </c>
      <c r="J9149" s="43">
        <f>IF($I9148=0,0,$R9148)</f>
      </c>
      <c r="K9149" s="43">
        <f>IF($I9149=0,0,IF(INDEX(DarlOhneTilgung,20)=1,0,IF(AND(INDEX(DarlTilgStart,20)&gt;0,$E9149=INDEX(DarlTilgStart,20)),$J9149*($H9149+INDEX(DarlTilgung,20))/100/12,IF(AND($G9149=0,$G9148=1),MAX($K9148,$J9149*($H9149+1)/100/12),$K9148))))</f>
      </c>
      <c r="L9149" s="43">
        <f>IF($I9149=0,0,$J9149*$H9149/100/12)</f>
      </c>
      <c r="M9149" s="43">
        <f>IF($I9149=0,0,IF(OR(INDEX(DarlOhneTilgung,20)=1,AND(INDEX(DarlTilgStart,20)&gt;0,$E9149&lt;INDEX(DarlTilgStart,20))),0,MIN(MAX(0,$K9149-$L9149),$J9149)))</f>
      </c>
      <c r="N9149" s="43">
        <f>IF($I9149=0,0,MIN(SUMIFS(SondBetrag,SondDarl,20,SondDatum,"&gt;="&amp;$E9149,SondDatum,"&lt;="&amp;EOMONTH($E9149,0)),$J9149-$M9149))</f>
      </c>
      <c r="O9149" s="43">
        <f>IF($I9149=0,0,INDEX(DarlErsatzRate,20))</f>
      </c>
      <c r="P9149" s="43">
        <f>IF($I9149=0,0,$Q9148*INDEX(DarlErsatzZins,20))</f>
      </c>
      <c r="Q9149" s="43">
        <f>IF($I9149=0,0,$Q9148+$P9149+$O9149)</f>
      </c>
      <c r="R9149" s="43">
        <f>IF($I9149=0,0,$J9149-$M9149-$N9149)</f>
      </c>
    </row>
    <row r="9150">
      <c r="A9150"/>
      <c r="B9150">
        <v>20</v>
      </c>
      <c r="C9150" s="43">
        <f>INDEX(DarlObj,20)</f>
      </c>
      <c r="D9150">
        <v>27</v>
      </c>
      <c r="E9150" s="51">
        <f>IF(INDEX(DarlBelegt,20)=0,0,EOMONTH(INDEX(DarlAuszahlung,20),26)+1)</f>
      </c>
      <c r="F9150" s="43">
        <f>IF($E9150=0,0,YEAR($E9150))</f>
      </c>
      <c r="G9150" s="43">
        <f>IF(INDEX(DarlBindung,20)="",1,IF($E9150&lt;=INDEX(DarlBindung,20),1,0))</f>
      </c>
      <c r="H9150" s="43">
        <f>IF($G9150=1,INDEX(DarlSollzins,20),INDEX(DarlAnschluss,20))</f>
      </c>
      <c r="I9150" s="43">
        <f>IF(INDEX(DarlBelegt,20)=0,0,IF(INDEX(DarlOhneTilgung,20)=1,IF(INDEX(DarlBindung,20)="",1,$G9150),IF($J9150&gt;0.005,1,0)))</f>
      </c>
      <c r="J9150" s="43">
        <f>IF($I9149=0,0,$R9149)</f>
      </c>
      <c r="K9150" s="43">
        <f>IF($I9150=0,0,IF(INDEX(DarlOhneTilgung,20)=1,0,IF(AND(INDEX(DarlTilgStart,20)&gt;0,$E9150=INDEX(DarlTilgStart,20)),$J9150*($H9150+INDEX(DarlTilgung,20))/100/12,IF(AND($G9150=0,$G9149=1),MAX($K9149,$J9150*($H9150+1)/100/12),$K9149))))</f>
      </c>
      <c r="L9150" s="43">
        <f>IF($I9150=0,0,$J9150*$H9150/100/12)</f>
      </c>
      <c r="M9150" s="43">
        <f>IF($I9150=0,0,IF(OR(INDEX(DarlOhneTilgung,20)=1,AND(INDEX(DarlTilgStart,20)&gt;0,$E9150&lt;INDEX(DarlTilgStart,20))),0,MIN(MAX(0,$K9150-$L9150),$J9150)))</f>
      </c>
      <c r="N9150" s="43">
        <f>IF($I9150=0,0,MIN(SUMIFS(SondBetrag,SondDarl,20,SondDatum,"&gt;="&amp;$E9150,SondDatum,"&lt;="&amp;EOMONTH($E9150,0)),$J9150-$M9150))</f>
      </c>
      <c r="O9150" s="43">
        <f>IF($I9150=0,0,INDEX(DarlErsatzRate,20))</f>
      </c>
      <c r="P9150" s="43">
        <f>IF($I9150=0,0,$Q9149*INDEX(DarlErsatzZins,20))</f>
      </c>
      <c r="Q9150" s="43">
        <f>IF($I9150=0,0,$Q9149+$P9150+$O9150)</f>
      </c>
      <c r="R9150" s="43">
        <f>IF($I9150=0,0,$J9150-$M9150-$N9150)</f>
      </c>
    </row>
    <row r="9151">
      <c r="A9151"/>
      <c r="B9151">
        <v>20</v>
      </c>
      <c r="C9151" s="43">
        <f>INDEX(DarlObj,20)</f>
      </c>
      <c r="D9151">
        <v>28</v>
      </c>
      <c r="E9151" s="51">
        <f>IF(INDEX(DarlBelegt,20)=0,0,EOMONTH(INDEX(DarlAuszahlung,20),27)+1)</f>
      </c>
      <c r="F9151" s="43">
        <f>IF($E9151=0,0,YEAR($E9151))</f>
      </c>
      <c r="G9151" s="43">
        <f>IF(INDEX(DarlBindung,20)="",1,IF($E9151&lt;=INDEX(DarlBindung,20),1,0))</f>
      </c>
      <c r="H9151" s="43">
        <f>IF($G9151=1,INDEX(DarlSollzins,20),INDEX(DarlAnschluss,20))</f>
      </c>
      <c r="I9151" s="43">
        <f>IF(INDEX(DarlBelegt,20)=0,0,IF(INDEX(DarlOhneTilgung,20)=1,IF(INDEX(DarlBindung,20)="",1,$G9151),IF($J9151&gt;0.005,1,0)))</f>
      </c>
      <c r="J9151" s="43">
        <f>IF($I9150=0,0,$R9150)</f>
      </c>
      <c r="K9151" s="43">
        <f>IF($I9151=0,0,IF(INDEX(DarlOhneTilgung,20)=1,0,IF(AND(INDEX(DarlTilgStart,20)&gt;0,$E9151=INDEX(DarlTilgStart,20)),$J9151*($H9151+INDEX(DarlTilgung,20))/100/12,IF(AND($G9151=0,$G9150=1),MAX($K9150,$J9151*($H9151+1)/100/12),$K9150))))</f>
      </c>
      <c r="L9151" s="43">
        <f>IF($I9151=0,0,$J9151*$H9151/100/12)</f>
      </c>
      <c r="M9151" s="43">
        <f>IF($I9151=0,0,IF(OR(INDEX(DarlOhneTilgung,20)=1,AND(INDEX(DarlTilgStart,20)&gt;0,$E9151&lt;INDEX(DarlTilgStart,20))),0,MIN(MAX(0,$K9151-$L9151),$J9151)))</f>
      </c>
      <c r="N9151" s="43">
        <f>IF($I9151=0,0,MIN(SUMIFS(SondBetrag,SondDarl,20,SondDatum,"&gt;="&amp;$E9151,SondDatum,"&lt;="&amp;EOMONTH($E9151,0)),$J9151-$M9151))</f>
      </c>
      <c r="O9151" s="43">
        <f>IF($I9151=0,0,INDEX(DarlErsatzRate,20))</f>
      </c>
      <c r="P9151" s="43">
        <f>IF($I9151=0,0,$Q9150*INDEX(DarlErsatzZins,20))</f>
      </c>
      <c r="Q9151" s="43">
        <f>IF($I9151=0,0,$Q9150+$P9151+$O9151)</f>
      </c>
      <c r="R9151" s="43">
        <f>IF($I9151=0,0,$J9151-$M9151-$N9151)</f>
      </c>
    </row>
    <row r="9152">
      <c r="A9152"/>
      <c r="B9152">
        <v>20</v>
      </c>
      <c r="C9152" s="43">
        <f>INDEX(DarlObj,20)</f>
      </c>
      <c r="D9152">
        <v>29</v>
      </c>
      <c r="E9152" s="51">
        <f>IF(INDEX(DarlBelegt,20)=0,0,EOMONTH(INDEX(DarlAuszahlung,20),28)+1)</f>
      </c>
      <c r="F9152" s="43">
        <f>IF($E9152=0,0,YEAR($E9152))</f>
      </c>
      <c r="G9152" s="43">
        <f>IF(INDEX(DarlBindung,20)="",1,IF($E9152&lt;=INDEX(DarlBindung,20),1,0))</f>
      </c>
      <c r="H9152" s="43">
        <f>IF($G9152=1,INDEX(DarlSollzins,20),INDEX(DarlAnschluss,20))</f>
      </c>
      <c r="I9152" s="43">
        <f>IF(INDEX(DarlBelegt,20)=0,0,IF(INDEX(DarlOhneTilgung,20)=1,IF(INDEX(DarlBindung,20)="",1,$G9152),IF($J9152&gt;0.005,1,0)))</f>
      </c>
      <c r="J9152" s="43">
        <f>IF($I9151=0,0,$R9151)</f>
      </c>
      <c r="K9152" s="43">
        <f>IF($I9152=0,0,IF(INDEX(DarlOhneTilgung,20)=1,0,IF(AND(INDEX(DarlTilgStart,20)&gt;0,$E9152=INDEX(DarlTilgStart,20)),$J9152*($H9152+INDEX(DarlTilgung,20))/100/12,IF(AND($G9152=0,$G9151=1),MAX($K9151,$J9152*($H9152+1)/100/12),$K9151))))</f>
      </c>
      <c r="L9152" s="43">
        <f>IF($I9152=0,0,$J9152*$H9152/100/12)</f>
      </c>
      <c r="M9152" s="43">
        <f>IF($I9152=0,0,IF(OR(INDEX(DarlOhneTilgung,20)=1,AND(INDEX(DarlTilgStart,20)&gt;0,$E9152&lt;INDEX(DarlTilgStart,20))),0,MIN(MAX(0,$K9152-$L9152),$J9152)))</f>
      </c>
      <c r="N9152" s="43">
        <f>IF($I9152=0,0,MIN(SUMIFS(SondBetrag,SondDarl,20,SondDatum,"&gt;="&amp;$E9152,SondDatum,"&lt;="&amp;EOMONTH($E9152,0)),$J9152-$M9152))</f>
      </c>
      <c r="O9152" s="43">
        <f>IF($I9152=0,0,INDEX(DarlErsatzRate,20))</f>
      </c>
      <c r="P9152" s="43">
        <f>IF($I9152=0,0,$Q9151*INDEX(DarlErsatzZins,20))</f>
      </c>
      <c r="Q9152" s="43">
        <f>IF($I9152=0,0,$Q9151+$P9152+$O9152)</f>
      </c>
      <c r="R9152" s="43">
        <f>IF($I9152=0,0,$J9152-$M9152-$N9152)</f>
      </c>
    </row>
    <row r="9153">
      <c r="A9153"/>
      <c r="B9153">
        <v>20</v>
      </c>
      <c r="C9153" s="43">
        <f>INDEX(DarlObj,20)</f>
      </c>
      <c r="D9153">
        <v>30</v>
      </c>
      <c r="E9153" s="51">
        <f>IF(INDEX(DarlBelegt,20)=0,0,EOMONTH(INDEX(DarlAuszahlung,20),29)+1)</f>
      </c>
      <c r="F9153" s="43">
        <f>IF($E9153=0,0,YEAR($E9153))</f>
      </c>
      <c r="G9153" s="43">
        <f>IF(INDEX(DarlBindung,20)="",1,IF($E9153&lt;=INDEX(DarlBindung,20),1,0))</f>
      </c>
      <c r="H9153" s="43">
        <f>IF($G9153=1,INDEX(DarlSollzins,20),INDEX(DarlAnschluss,20))</f>
      </c>
      <c r="I9153" s="43">
        <f>IF(INDEX(DarlBelegt,20)=0,0,IF(INDEX(DarlOhneTilgung,20)=1,IF(INDEX(DarlBindung,20)="",1,$G9153),IF($J9153&gt;0.005,1,0)))</f>
      </c>
      <c r="J9153" s="43">
        <f>IF($I9152=0,0,$R9152)</f>
      </c>
      <c r="K9153" s="43">
        <f>IF($I9153=0,0,IF(INDEX(DarlOhneTilgung,20)=1,0,IF(AND(INDEX(DarlTilgStart,20)&gt;0,$E9153=INDEX(DarlTilgStart,20)),$J9153*($H9153+INDEX(DarlTilgung,20))/100/12,IF(AND($G9153=0,$G9152=1),MAX($K9152,$J9153*($H9153+1)/100/12),$K9152))))</f>
      </c>
      <c r="L9153" s="43">
        <f>IF($I9153=0,0,$J9153*$H9153/100/12)</f>
      </c>
      <c r="M9153" s="43">
        <f>IF($I9153=0,0,IF(OR(INDEX(DarlOhneTilgung,20)=1,AND(INDEX(DarlTilgStart,20)&gt;0,$E9153&lt;INDEX(DarlTilgStart,20))),0,MIN(MAX(0,$K9153-$L9153),$J9153)))</f>
      </c>
      <c r="N9153" s="43">
        <f>IF($I9153=0,0,MIN(SUMIFS(SondBetrag,SondDarl,20,SondDatum,"&gt;="&amp;$E9153,SondDatum,"&lt;="&amp;EOMONTH($E9153,0)),$J9153-$M9153))</f>
      </c>
      <c r="O9153" s="43">
        <f>IF($I9153=0,0,INDEX(DarlErsatzRate,20))</f>
      </c>
      <c r="P9153" s="43">
        <f>IF($I9153=0,0,$Q9152*INDEX(DarlErsatzZins,20))</f>
      </c>
      <c r="Q9153" s="43">
        <f>IF($I9153=0,0,$Q9152+$P9153+$O9153)</f>
      </c>
      <c r="R9153" s="43">
        <f>IF($I9153=0,0,$J9153-$M9153-$N9153)</f>
      </c>
    </row>
    <row r="9154">
      <c r="A9154"/>
      <c r="B9154">
        <v>20</v>
      </c>
      <c r="C9154" s="43">
        <f>INDEX(DarlObj,20)</f>
      </c>
      <c r="D9154">
        <v>31</v>
      </c>
      <c r="E9154" s="51">
        <f>IF(INDEX(DarlBelegt,20)=0,0,EOMONTH(INDEX(DarlAuszahlung,20),30)+1)</f>
      </c>
      <c r="F9154" s="43">
        <f>IF($E9154=0,0,YEAR($E9154))</f>
      </c>
      <c r="G9154" s="43">
        <f>IF(INDEX(DarlBindung,20)="",1,IF($E9154&lt;=INDEX(DarlBindung,20),1,0))</f>
      </c>
      <c r="H9154" s="43">
        <f>IF($G9154=1,INDEX(DarlSollzins,20),INDEX(DarlAnschluss,20))</f>
      </c>
      <c r="I9154" s="43">
        <f>IF(INDEX(DarlBelegt,20)=0,0,IF(INDEX(DarlOhneTilgung,20)=1,IF(INDEX(DarlBindung,20)="",1,$G9154),IF($J9154&gt;0.005,1,0)))</f>
      </c>
      <c r="J9154" s="43">
        <f>IF($I9153=0,0,$R9153)</f>
      </c>
      <c r="K9154" s="43">
        <f>IF($I9154=0,0,IF(INDEX(DarlOhneTilgung,20)=1,0,IF(AND(INDEX(DarlTilgStart,20)&gt;0,$E9154=INDEX(DarlTilgStart,20)),$J9154*($H9154+INDEX(DarlTilgung,20))/100/12,IF(AND($G9154=0,$G9153=1),MAX($K9153,$J9154*($H9154+1)/100/12),$K9153))))</f>
      </c>
      <c r="L9154" s="43">
        <f>IF($I9154=0,0,$J9154*$H9154/100/12)</f>
      </c>
      <c r="M9154" s="43">
        <f>IF($I9154=0,0,IF(OR(INDEX(DarlOhneTilgung,20)=1,AND(INDEX(DarlTilgStart,20)&gt;0,$E9154&lt;INDEX(DarlTilgStart,20))),0,MIN(MAX(0,$K9154-$L9154),$J9154)))</f>
      </c>
      <c r="N9154" s="43">
        <f>IF($I9154=0,0,MIN(SUMIFS(SondBetrag,SondDarl,20,SondDatum,"&gt;="&amp;$E9154,SondDatum,"&lt;="&amp;EOMONTH($E9154,0)),$J9154-$M9154))</f>
      </c>
      <c r="O9154" s="43">
        <f>IF($I9154=0,0,INDEX(DarlErsatzRate,20))</f>
      </c>
      <c r="P9154" s="43">
        <f>IF($I9154=0,0,$Q9153*INDEX(DarlErsatzZins,20))</f>
      </c>
      <c r="Q9154" s="43">
        <f>IF($I9154=0,0,$Q9153+$P9154+$O9154)</f>
      </c>
      <c r="R9154" s="43">
        <f>IF($I9154=0,0,$J9154-$M9154-$N9154)</f>
      </c>
    </row>
    <row r="9155">
      <c r="A9155"/>
      <c r="B9155">
        <v>20</v>
      </c>
      <c r="C9155" s="43">
        <f>INDEX(DarlObj,20)</f>
      </c>
      <c r="D9155">
        <v>32</v>
      </c>
      <c r="E9155" s="51">
        <f>IF(INDEX(DarlBelegt,20)=0,0,EOMONTH(INDEX(DarlAuszahlung,20),31)+1)</f>
      </c>
      <c r="F9155" s="43">
        <f>IF($E9155=0,0,YEAR($E9155))</f>
      </c>
      <c r="G9155" s="43">
        <f>IF(INDEX(DarlBindung,20)="",1,IF($E9155&lt;=INDEX(DarlBindung,20),1,0))</f>
      </c>
      <c r="H9155" s="43">
        <f>IF($G9155=1,INDEX(DarlSollzins,20),INDEX(DarlAnschluss,20))</f>
      </c>
      <c r="I9155" s="43">
        <f>IF(INDEX(DarlBelegt,20)=0,0,IF(INDEX(DarlOhneTilgung,20)=1,IF(INDEX(DarlBindung,20)="",1,$G9155),IF($J9155&gt;0.005,1,0)))</f>
      </c>
      <c r="J9155" s="43">
        <f>IF($I9154=0,0,$R9154)</f>
      </c>
      <c r="K9155" s="43">
        <f>IF($I9155=0,0,IF(INDEX(DarlOhneTilgung,20)=1,0,IF(AND(INDEX(DarlTilgStart,20)&gt;0,$E9155=INDEX(DarlTilgStart,20)),$J9155*($H9155+INDEX(DarlTilgung,20))/100/12,IF(AND($G9155=0,$G9154=1),MAX($K9154,$J9155*($H9155+1)/100/12),$K9154))))</f>
      </c>
      <c r="L9155" s="43">
        <f>IF($I9155=0,0,$J9155*$H9155/100/12)</f>
      </c>
      <c r="M9155" s="43">
        <f>IF($I9155=0,0,IF(OR(INDEX(DarlOhneTilgung,20)=1,AND(INDEX(DarlTilgStart,20)&gt;0,$E9155&lt;INDEX(DarlTilgStart,20))),0,MIN(MAX(0,$K9155-$L9155),$J9155)))</f>
      </c>
      <c r="N9155" s="43">
        <f>IF($I9155=0,0,MIN(SUMIFS(SondBetrag,SondDarl,20,SondDatum,"&gt;="&amp;$E9155,SondDatum,"&lt;="&amp;EOMONTH($E9155,0)),$J9155-$M9155))</f>
      </c>
      <c r="O9155" s="43">
        <f>IF($I9155=0,0,INDEX(DarlErsatzRate,20))</f>
      </c>
      <c r="P9155" s="43">
        <f>IF($I9155=0,0,$Q9154*INDEX(DarlErsatzZins,20))</f>
      </c>
      <c r="Q9155" s="43">
        <f>IF($I9155=0,0,$Q9154+$P9155+$O9155)</f>
      </c>
      <c r="R9155" s="43">
        <f>IF($I9155=0,0,$J9155-$M9155-$N9155)</f>
      </c>
    </row>
    <row r="9156">
      <c r="A9156"/>
      <c r="B9156">
        <v>20</v>
      </c>
      <c r="C9156" s="43">
        <f>INDEX(DarlObj,20)</f>
      </c>
      <c r="D9156">
        <v>33</v>
      </c>
      <c r="E9156" s="51">
        <f>IF(INDEX(DarlBelegt,20)=0,0,EOMONTH(INDEX(DarlAuszahlung,20),32)+1)</f>
      </c>
      <c r="F9156" s="43">
        <f>IF($E9156=0,0,YEAR($E9156))</f>
      </c>
      <c r="G9156" s="43">
        <f>IF(INDEX(DarlBindung,20)="",1,IF($E9156&lt;=INDEX(DarlBindung,20),1,0))</f>
      </c>
      <c r="H9156" s="43">
        <f>IF($G9156=1,INDEX(DarlSollzins,20),INDEX(DarlAnschluss,20))</f>
      </c>
      <c r="I9156" s="43">
        <f>IF(INDEX(DarlBelegt,20)=0,0,IF(INDEX(DarlOhneTilgung,20)=1,IF(INDEX(DarlBindung,20)="",1,$G9156),IF($J9156&gt;0.005,1,0)))</f>
      </c>
      <c r="J9156" s="43">
        <f>IF($I9155=0,0,$R9155)</f>
      </c>
      <c r="K9156" s="43">
        <f>IF($I9156=0,0,IF(INDEX(DarlOhneTilgung,20)=1,0,IF(AND(INDEX(DarlTilgStart,20)&gt;0,$E9156=INDEX(DarlTilgStart,20)),$J9156*($H9156+INDEX(DarlTilgung,20))/100/12,IF(AND($G9156=0,$G9155=1),MAX($K9155,$J9156*($H9156+1)/100/12),$K9155))))</f>
      </c>
      <c r="L9156" s="43">
        <f>IF($I9156=0,0,$J9156*$H9156/100/12)</f>
      </c>
      <c r="M9156" s="43">
        <f>IF($I9156=0,0,IF(OR(INDEX(DarlOhneTilgung,20)=1,AND(INDEX(DarlTilgStart,20)&gt;0,$E9156&lt;INDEX(DarlTilgStart,20))),0,MIN(MAX(0,$K9156-$L9156),$J9156)))</f>
      </c>
      <c r="N9156" s="43">
        <f>IF($I9156=0,0,MIN(SUMIFS(SondBetrag,SondDarl,20,SondDatum,"&gt;="&amp;$E9156,SondDatum,"&lt;="&amp;EOMONTH($E9156,0)),$J9156-$M9156))</f>
      </c>
      <c r="O9156" s="43">
        <f>IF($I9156=0,0,INDEX(DarlErsatzRate,20))</f>
      </c>
      <c r="P9156" s="43">
        <f>IF($I9156=0,0,$Q9155*INDEX(DarlErsatzZins,20))</f>
      </c>
      <c r="Q9156" s="43">
        <f>IF($I9156=0,0,$Q9155+$P9156+$O9156)</f>
      </c>
      <c r="R9156" s="43">
        <f>IF($I9156=0,0,$J9156-$M9156-$N9156)</f>
      </c>
    </row>
    <row r="9157">
      <c r="A9157"/>
      <c r="B9157">
        <v>20</v>
      </c>
      <c r="C9157" s="43">
        <f>INDEX(DarlObj,20)</f>
      </c>
      <c r="D9157">
        <v>34</v>
      </c>
      <c r="E9157" s="51">
        <f>IF(INDEX(DarlBelegt,20)=0,0,EOMONTH(INDEX(DarlAuszahlung,20),33)+1)</f>
      </c>
      <c r="F9157" s="43">
        <f>IF($E9157=0,0,YEAR($E9157))</f>
      </c>
      <c r="G9157" s="43">
        <f>IF(INDEX(DarlBindung,20)="",1,IF($E9157&lt;=INDEX(DarlBindung,20),1,0))</f>
      </c>
      <c r="H9157" s="43">
        <f>IF($G9157=1,INDEX(DarlSollzins,20),INDEX(DarlAnschluss,20))</f>
      </c>
      <c r="I9157" s="43">
        <f>IF(INDEX(DarlBelegt,20)=0,0,IF(INDEX(DarlOhneTilgung,20)=1,IF(INDEX(DarlBindung,20)="",1,$G9157),IF($J9157&gt;0.005,1,0)))</f>
      </c>
      <c r="J9157" s="43">
        <f>IF($I9156=0,0,$R9156)</f>
      </c>
      <c r="K9157" s="43">
        <f>IF($I9157=0,0,IF(INDEX(DarlOhneTilgung,20)=1,0,IF(AND(INDEX(DarlTilgStart,20)&gt;0,$E9157=INDEX(DarlTilgStart,20)),$J9157*($H9157+INDEX(DarlTilgung,20))/100/12,IF(AND($G9157=0,$G9156=1),MAX($K9156,$J9157*($H9157+1)/100/12),$K9156))))</f>
      </c>
      <c r="L9157" s="43">
        <f>IF($I9157=0,0,$J9157*$H9157/100/12)</f>
      </c>
      <c r="M9157" s="43">
        <f>IF($I9157=0,0,IF(OR(INDEX(DarlOhneTilgung,20)=1,AND(INDEX(DarlTilgStart,20)&gt;0,$E9157&lt;INDEX(DarlTilgStart,20))),0,MIN(MAX(0,$K9157-$L9157),$J9157)))</f>
      </c>
      <c r="N9157" s="43">
        <f>IF($I9157=0,0,MIN(SUMIFS(SondBetrag,SondDarl,20,SondDatum,"&gt;="&amp;$E9157,SondDatum,"&lt;="&amp;EOMONTH($E9157,0)),$J9157-$M9157))</f>
      </c>
      <c r="O9157" s="43">
        <f>IF($I9157=0,0,INDEX(DarlErsatzRate,20))</f>
      </c>
      <c r="P9157" s="43">
        <f>IF($I9157=0,0,$Q9156*INDEX(DarlErsatzZins,20))</f>
      </c>
      <c r="Q9157" s="43">
        <f>IF($I9157=0,0,$Q9156+$P9157+$O9157)</f>
      </c>
      <c r="R9157" s="43">
        <f>IF($I9157=0,0,$J9157-$M9157-$N9157)</f>
      </c>
    </row>
    <row r="9158">
      <c r="A9158"/>
      <c r="B9158">
        <v>20</v>
      </c>
      <c r="C9158" s="43">
        <f>INDEX(DarlObj,20)</f>
      </c>
      <c r="D9158">
        <v>35</v>
      </c>
      <c r="E9158" s="51">
        <f>IF(INDEX(DarlBelegt,20)=0,0,EOMONTH(INDEX(DarlAuszahlung,20),34)+1)</f>
      </c>
      <c r="F9158" s="43">
        <f>IF($E9158=0,0,YEAR($E9158))</f>
      </c>
      <c r="G9158" s="43">
        <f>IF(INDEX(DarlBindung,20)="",1,IF($E9158&lt;=INDEX(DarlBindung,20),1,0))</f>
      </c>
      <c r="H9158" s="43">
        <f>IF($G9158=1,INDEX(DarlSollzins,20),INDEX(DarlAnschluss,20))</f>
      </c>
      <c r="I9158" s="43">
        <f>IF(INDEX(DarlBelegt,20)=0,0,IF(INDEX(DarlOhneTilgung,20)=1,IF(INDEX(DarlBindung,20)="",1,$G9158),IF($J9158&gt;0.005,1,0)))</f>
      </c>
      <c r="J9158" s="43">
        <f>IF($I9157=0,0,$R9157)</f>
      </c>
      <c r="K9158" s="43">
        <f>IF($I9158=0,0,IF(INDEX(DarlOhneTilgung,20)=1,0,IF(AND(INDEX(DarlTilgStart,20)&gt;0,$E9158=INDEX(DarlTilgStart,20)),$J9158*($H9158+INDEX(DarlTilgung,20))/100/12,IF(AND($G9158=0,$G9157=1),MAX($K9157,$J9158*($H9158+1)/100/12),$K9157))))</f>
      </c>
      <c r="L9158" s="43">
        <f>IF($I9158=0,0,$J9158*$H9158/100/12)</f>
      </c>
      <c r="M9158" s="43">
        <f>IF($I9158=0,0,IF(OR(INDEX(DarlOhneTilgung,20)=1,AND(INDEX(DarlTilgStart,20)&gt;0,$E9158&lt;INDEX(DarlTilgStart,20))),0,MIN(MAX(0,$K9158-$L9158),$J9158)))</f>
      </c>
      <c r="N9158" s="43">
        <f>IF($I9158=0,0,MIN(SUMIFS(SondBetrag,SondDarl,20,SondDatum,"&gt;="&amp;$E9158,SondDatum,"&lt;="&amp;EOMONTH($E9158,0)),$J9158-$M9158))</f>
      </c>
      <c r="O9158" s="43">
        <f>IF($I9158=0,0,INDEX(DarlErsatzRate,20))</f>
      </c>
      <c r="P9158" s="43">
        <f>IF($I9158=0,0,$Q9157*INDEX(DarlErsatzZins,20))</f>
      </c>
      <c r="Q9158" s="43">
        <f>IF($I9158=0,0,$Q9157+$P9158+$O9158)</f>
      </c>
      <c r="R9158" s="43">
        <f>IF($I9158=0,0,$J9158-$M9158-$N9158)</f>
      </c>
    </row>
    <row r="9159">
      <c r="A9159"/>
      <c r="B9159">
        <v>20</v>
      </c>
      <c r="C9159" s="43">
        <f>INDEX(DarlObj,20)</f>
      </c>
      <c r="D9159">
        <v>36</v>
      </c>
      <c r="E9159" s="51">
        <f>IF(INDEX(DarlBelegt,20)=0,0,EOMONTH(INDEX(DarlAuszahlung,20),35)+1)</f>
      </c>
      <c r="F9159" s="43">
        <f>IF($E9159=0,0,YEAR($E9159))</f>
      </c>
      <c r="G9159" s="43">
        <f>IF(INDEX(DarlBindung,20)="",1,IF($E9159&lt;=INDEX(DarlBindung,20),1,0))</f>
      </c>
      <c r="H9159" s="43">
        <f>IF($G9159=1,INDEX(DarlSollzins,20),INDEX(DarlAnschluss,20))</f>
      </c>
      <c r="I9159" s="43">
        <f>IF(INDEX(DarlBelegt,20)=0,0,IF(INDEX(DarlOhneTilgung,20)=1,IF(INDEX(DarlBindung,20)="",1,$G9159),IF($J9159&gt;0.005,1,0)))</f>
      </c>
      <c r="J9159" s="43">
        <f>IF($I9158=0,0,$R9158)</f>
      </c>
      <c r="K9159" s="43">
        <f>IF($I9159=0,0,IF(INDEX(DarlOhneTilgung,20)=1,0,IF(AND(INDEX(DarlTilgStart,20)&gt;0,$E9159=INDEX(DarlTilgStart,20)),$J9159*($H9159+INDEX(DarlTilgung,20))/100/12,IF(AND($G9159=0,$G9158=1),MAX($K9158,$J9159*($H9159+1)/100/12),$K9158))))</f>
      </c>
      <c r="L9159" s="43">
        <f>IF($I9159=0,0,$J9159*$H9159/100/12)</f>
      </c>
      <c r="M9159" s="43">
        <f>IF($I9159=0,0,IF(OR(INDEX(DarlOhneTilgung,20)=1,AND(INDEX(DarlTilgStart,20)&gt;0,$E9159&lt;INDEX(DarlTilgStart,20))),0,MIN(MAX(0,$K9159-$L9159),$J9159)))</f>
      </c>
      <c r="N9159" s="43">
        <f>IF($I9159=0,0,MIN(SUMIFS(SondBetrag,SondDarl,20,SondDatum,"&gt;="&amp;$E9159,SondDatum,"&lt;="&amp;EOMONTH($E9159,0)),$J9159-$M9159))</f>
      </c>
      <c r="O9159" s="43">
        <f>IF($I9159=0,0,INDEX(DarlErsatzRate,20))</f>
      </c>
      <c r="P9159" s="43">
        <f>IF($I9159=0,0,$Q9158*INDEX(DarlErsatzZins,20))</f>
      </c>
      <c r="Q9159" s="43">
        <f>IF($I9159=0,0,$Q9158+$P9159+$O9159)</f>
      </c>
      <c r="R9159" s="43">
        <f>IF($I9159=0,0,$J9159-$M9159-$N9159)</f>
      </c>
    </row>
    <row r="9160">
      <c r="A9160"/>
      <c r="B9160">
        <v>20</v>
      </c>
      <c r="C9160" s="43">
        <f>INDEX(DarlObj,20)</f>
      </c>
      <c r="D9160">
        <v>37</v>
      </c>
      <c r="E9160" s="51">
        <f>IF(INDEX(DarlBelegt,20)=0,0,EOMONTH(INDEX(DarlAuszahlung,20),36)+1)</f>
      </c>
      <c r="F9160" s="43">
        <f>IF($E9160=0,0,YEAR($E9160))</f>
      </c>
      <c r="G9160" s="43">
        <f>IF(INDEX(DarlBindung,20)="",1,IF($E9160&lt;=INDEX(DarlBindung,20),1,0))</f>
      </c>
      <c r="H9160" s="43">
        <f>IF($G9160=1,INDEX(DarlSollzins,20),INDEX(DarlAnschluss,20))</f>
      </c>
      <c r="I9160" s="43">
        <f>IF(INDEX(DarlBelegt,20)=0,0,IF(INDEX(DarlOhneTilgung,20)=1,IF(INDEX(DarlBindung,20)="",1,$G9160),IF($J9160&gt;0.005,1,0)))</f>
      </c>
      <c r="J9160" s="43">
        <f>IF($I9159=0,0,$R9159)</f>
      </c>
      <c r="K9160" s="43">
        <f>IF($I9160=0,0,IF(INDEX(DarlOhneTilgung,20)=1,0,IF(AND(INDEX(DarlTilgStart,20)&gt;0,$E9160=INDEX(DarlTilgStart,20)),$J9160*($H9160+INDEX(DarlTilgung,20))/100/12,IF(AND($G9160=0,$G9159=1),MAX($K9159,$J9160*($H9160+1)/100/12),$K9159))))</f>
      </c>
      <c r="L9160" s="43">
        <f>IF($I9160=0,0,$J9160*$H9160/100/12)</f>
      </c>
      <c r="M9160" s="43">
        <f>IF($I9160=0,0,IF(OR(INDEX(DarlOhneTilgung,20)=1,AND(INDEX(DarlTilgStart,20)&gt;0,$E9160&lt;INDEX(DarlTilgStart,20))),0,MIN(MAX(0,$K9160-$L9160),$J9160)))</f>
      </c>
      <c r="N9160" s="43">
        <f>IF($I9160=0,0,MIN(SUMIFS(SondBetrag,SondDarl,20,SondDatum,"&gt;="&amp;$E9160,SondDatum,"&lt;="&amp;EOMONTH($E9160,0)),$J9160-$M9160))</f>
      </c>
      <c r="O9160" s="43">
        <f>IF($I9160=0,0,INDEX(DarlErsatzRate,20))</f>
      </c>
      <c r="P9160" s="43">
        <f>IF($I9160=0,0,$Q9159*INDEX(DarlErsatzZins,20))</f>
      </c>
      <c r="Q9160" s="43">
        <f>IF($I9160=0,0,$Q9159+$P9160+$O9160)</f>
      </c>
      <c r="R9160" s="43">
        <f>IF($I9160=0,0,$J9160-$M9160-$N9160)</f>
      </c>
    </row>
    <row r="9161">
      <c r="A9161"/>
      <c r="B9161">
        <v>20</v>
      </c>
      <c r="C9161" s="43">
        <f>INDEX(DarlObj,20)</f>
      </c>
      <c r="D9161">
        <v>38</v>
      </c>
      <c r="E9161" s="51">
        <f>IF(INDEX(DarlBelegt,20)=0,0,EOMONTH(INDEX(DarlAuszahlung,20),37)+1)</f>
      </c>
      <c r="F9161" s="43">
        <f>IF($E9161=0,0,YEAR($E9161))</f>
      </c>
      <c r="G9161" s="43">
        <f>IF(INDEX(DarlBindung,20)="",1,IF($E9161&lt;=INDEX(DarlBindung,20),1,0))</f>
      </c>
      <c r="H9161" s="43">
        <f>IF($G9161=1,INDEX(DarlSollzins,20),INDEX(DarlAnschluss,20))</f>
      </c>
      <c r="I9161" s="43">
        <f>IF(INDEX(DarlBelegt,20)=0,0,IF(INDEX(DarlOhneTilgung,20)=1,IF(INDEX(DarlBindung,20)="",1,$G9161),IF($J9161&gt;0.005,1,0)))</f>
      </c>
      <c r="J9161" s="43">
        <f>IF($I9160=0,0,$R9160)</f>
      </c>
      <c r="K9161" s="43">
        <f>IF($I9161=0,0,IF(INDEX(DarlOhneTilgung,20)=1,0,IF(AND(INDEX(DarlTilgStart,20)&gt;0,$E9161=INDEX(DarlTilgStart,20)),$J9161*($H9161+INDEX(DarlTilgung,20))/100/12,IF(AND($G9161=0,$G9160=1),MAX($K9160,$J9161*($H9161+1)/100/12),$K9160))))</f>
      </c>
      <c r="L9161" s="43">
        <f>IF($I9161=0,0,$J9161*$H9161/100/12)</f>
      </c>
      <c r="M9161" s="43">
        <f>IF($I9161=0,0,IF(OR(INDEX(DarlOhneTilgung,20)=1,AND(INDEX(DarlTilgStart,20)&gt;0,$E9161&lt;INDEX(DarlTilgStart,20))),0,MIN(MAX(0,$K9161-$L9161),$J9161)))</f>
      </c>
      <c r="N9161" s="43">
        <f>IF($I9161=0,0,MIN(SUMIFS(SondBetrag,SondDarl,20,SondDatum,"&gt;="&amp;$E9161,SondDatum,"&lt;="&amp;EOMONTH($E9161,0)),$J9161-$M9161))</f>
      </c>
      <c r="O9161" s="43">
        <f>IF($I9161=0,0,INDEX(DarlErsatzRate,20))</f>
      </c>
      <c r="P9161" s="43">
        <f>IF($I9161=0,0,$Q9160*INDEX(DarlErsatzZins,20))</f>
      </c>
      <c r="Q9161" s="43">
        <f>IF($I9161=0,0,$Q9160+$P9161+$O9161)</f>
      </c>
      <c r="R9161" s="43">
        <f>IF($I9161=0,0,$J9161-$M9161-$N9161)</f>
      </c>
    </row>
    <row r="9162">
      <c r="A9162"/>
      <c r="B9162">
        <v>20</v>
      </c>
      <c r="C9162" s="43">
        <f>INDEX(DarlObj,20)</f>
      </c>
      <c r="D9162">
        <v>39</v>
      </c>
      <c r="E9162" s="51">
        <f>IF(INDEX(DarlBelegt,20)=0,0,EOMONTH(INDEX(DarlAuszahlung,20),38)+1)</f>
      </c>
      <c r="F9162" s="43">
        <f>IF($E9162=0,0,YEAR($E9162))</f>
      </c>
      <c r="G9162" s="43">
        <f>IF(INDEX(DarlBindung,20)="",1,IF($E9162&lt;=INDEX(DarlBindung,20),1,0))</f>
      </c>
      <c r="H9162" s="43">
        <f>IF($G9162=1,INDEX(DarlSollzins,20),INDEX(DarlAnschluss,20))</f>
      </c>
      <c r="I9162" s="43">
        <f>IF(INDEX(DarlBelegt,20)=0,0,IF(INDEX(DarlOhneTilgung,20)=1,IF(INDEX(DarlBindung,20)="",1,$G9162),IF($J9162&gt;0.005,1,0)))</f>
      </c>
      <c r="J9162" s="43">
        <f>IF($I9161=0,0,$R9161)</f>
      </c>
      <c r="K9162" s="43">
        <f>IF($I9162=0,0,IF(INDEX(DarlOhneTilgung,20)=1,0,IF(AND(INDEX(DarlTilgStart,20)&gt;0,$E9162=INDEX(DarlTilgStart,20)),$J9162*($H9162+INDEX(DarlTilgung,20))/100/12,IF(AND($G9162=0,$G9161=1),MAX($K9161,$J9162*($H9162+1)/100/12),$K9161))))</f>
      </c>
      <c r="L9162" s="43">
        <f>IF($I9162=0,0,$J9162*$H9162/100/12)</f>
      </c>
      <c r="M9162" s="43">
        <f>IF($I9162=0,0,IF(OR(INDEX(DarlOhneTilgung,20)=1,AND(INDEX(DarlTilgStart,20)&gt;0,$E9162&lt;INDEX(DarlTilgStart,20))),0,MIN(MAX(0,$K9162-$L9162),$J9162)))</f>
      </c>
      <c r="N9162" s="43">
        <f>IF($I9162=0,0,MIN(SUMIFS(SondBetrag,SondDarl,20,SondDatum,"&gt;="&amp;$E9162,SondDatum,"&lt;="&amp;EOMONTH($E9162,0)),$J9162-$M9162))</f>
      </c>
      <c r="O9162" s="43">
        <f>IF($I9162=0,0,INDEX(DarlErsatzRate,20))</f>
      </c>
      <c r="P9162" s="43">
        <f>IF($I9162=0,0,$Q9161*INDEX(DarlErsatzZins,20))</f>
      </c>
      <c r="Q9162" s="43">
        <f>IF($I9162=0,0,$Q9161+$P9162+$O9162)</f>
      </c>
      <c r="R9162" s="43">
        <f>IF($I9162=0,0,$J9162-$M9162-$N9162)</f>
      </c>
    </row>
    <row r="9163">
      <c r="A9163"/>
      <c r="B9163">
        <v>20</v>
      </c>
      <c r="C9163" s="43">
        <f>INDEX(DarlObj,20)</f>
      </c>
      <c r="D9163">
        <v>40</v>
      </c>
      <c r="E9163" s="51">
        <f>IF(INDEX(DarlBelegt,20)=0,0,EOMONTH(INDEX(DarlAuszahlung,20),39)+1)</f>
      </c>
      <c r="F9163" s="43">
        <f>IF($E9163=0,0,YEAR($E9163))</f>
      </c>
      <c r="G9163" s="43">
        <f>IF(INDEX(DarlBindung,20)="",1,IF($E9163&lt;=INDEX(DarlBindung,20),1,0))</f>
      </c>
      <c r="H9163" s="43">
        <f>IF($G9163=1,INDEX(DarlSollzins,20),INDEX(DarlAnschluss,20))</f>
      </c>
      <c r="I9163" s="43">
        <f>IF(INDEX(DarlBelegt,20)=0,0,IF(INDEX(DarlOhneTilgung,20)=1,IF(INDEX(DarlBindung,20)="",1,$G9163),IF($J9163&gt;0.005,1,0)))</f>
      </c>
      <c r="J9163" s="43">
        <f>IF($I9162=0,0,$R9162)</f>
      </c>
      <c r="K9163" s="43">
        <f>IF($I9163=0,0,IF(INDEX(DarlOhneTilgung,20)=1,0,IF(AND(INDEX(DarlTilgStart,20)&gt;0,$E9163=INDEX(DarlTilgStart,20)),$J9163*($H9163+INDEX(DarlTilgung,20))/100/12,IF(AND($G9163=0,$G9162=1),MAX($K9162,$J9163*($H9163+1)/100/12),$K9162))))</f>
      </c>
      <c r="L9163" s="43">
        <f>IF($I9163=0,0,$J9163*$H9163/100/12)</f>
      </c>
      <c r="M9163" s="43">
        <f>IF($I9163=0,0,IF(OR(INDEX(DarlOhneTilgung,20)=1,AND(INDEX(DarlTilgStart,20)&gt;0,$E9163&lt;INDEX(DarlTilgStart,20))),0,MIN(MAX(0,$K9163-$L9163),$J9163)))</f>
      </c>
      <c r="N9163" s="43">
        <f>IF($I9163=0,0,MIN(SUMIFS(SondBetrag,SondDarl,20,SondDatum,"&gt;="&amp;$E9163,SondDatum,"&lt;="&amp;EOMONTH($E9163,0)),$J9163-$M9163))</f>
      </c>
      <c r="O9163" s="43">
        <f>IF($I9163=0,0,INDEX(DarlErsatzRate,20))</f>
      </c>
      <c r="P9163" s="43">
        <f>IF($I9163=0,0,$Q9162*INDEX(DarlErsatzZins,20))</f>
      </c>
      <c r="Q9163" s="43">
        <f>IF($I9163=0,0,$Q9162+$P9163+$O9163)</f>
      </c>
      <c r="R9163" s="43">
        <f>IF($I9163=0,0,$J9163-$M9163-$N9163)</f>
      </c>
    </row>
    <row r="9164">
      <c r="A9164"/>
      <c r="B9164">
        <v>20</v>
      </c>
      <c r="C9164" s="43">
        <f>INDEX(DarlObj,20)</f>
      </c>
      <c r="D9164">
        <v>41</v>
      </c>
      <c r="E9164" s="51">
        <f>IF(INDEX(DarlBelegt,20)=0,0,EOMONTH(INDEX(DarlAuszahlung,20),40)+1)</f>
      </c>
      <c r="F9164" s="43">
        <f>IF($E9164=0,0,YEAR($E9164))</f>
      </c>
      <c r="G9164" s="43">
        <f>IF(INDEX(DarlBindung,20)="",1,IF($E9164&lt;=INDEX(DarlBindung,20),1,0))</f>
      </c>
      <c r="H9164" s="43">
        <f>IF($G9164=1,INDEX(DarlSollzins,20),INDEX(DarlAnschluss,20))</f>
      </c>
      <c r="I9164" s="43">
        <f>IF(INDEX(DarlBelegt,20)=0,0,IF(INDEX(DarlOhneTilgung,20)=1,IF(INDEX(DarlBindung,20)="",1,$G9164),IF($J9164&gt;0.005,1,0)))</f>
      </c>
      <c r="J9164" s="43">
        <f>IF($I9163=0,0,$R9163)</f>
      </c>
      <c r="K9164" s="43">
        <f>IF($I9164=0,0,IF(INDEX(DarlOhneTilgung,20)=1,0,IF(AND(INDEX(DarlTilgStart,20)&gt;0,$E9164=INDEX(DarlTilgStart,20)),$J9164*($H9164+INDEX(DarlTilgung,20))/100/12,IF(AND($G9164=0,$G9163=1),MAX($K9163,$J9164*($H9164+1)/100/12),$K9163))))</f>
      </c>
      <c r="L9164" s="43">
        <f>IF($I9164=0,0,$J9164*$H9164/100/12)</f>
      </c>
      <c r="M9164" s="43">
        <f>IF($I9164=0,0,IF(OR(INDEX(DarlOhneTilgung,20)=1,AND(INDEX(DarlTilgStart,20)&gt;0,$E9164&lt;INDEX(DarlTilgStart,20))),0,MIN(MAX(0,$K9164-$L9164),$J9164)))</f>
      </c>
      <c r="N9164" s="43">
        <f>IF($I9164=0,0,MIN(SUMIFS(SondBetrag,SondDarl,20,SondDatum,"&gt;="&amp;$E9164,SondDatum,"&lt;="&amp;EOMONTH($E9164,0)),$J9164-$M9164))</f>
      </c>
      <c r="O9164" s="43">
        <f>IF($I9164=0,0,INDEX(DarlErsatzRate,20))</f>
      </c>
      <c r="P9164" s="43">
        <f>IF($I9164=0,0,$Q9163*INDEX(DarlErsatzZins,20))</f>
      </c>
      <c r="Q9164" s="43">
        <f>IF($I9164=0,0,$Q9163+$P9164+$O9164)</f>
      </c>
      <c r="R9164" s="43">
        <f>IF($I9164=0,0,$J9164-$M9164-$N9164)</f>
      </c>
    </row>
    <row r="9165">
      <c r="A9165"/>
      <c r="B9165">
        <v>20</v>
      </c>
      <c r="C9165" s="43">
        <f>INDEX(DarlObj,20)</f>
      </c>
      <c r="D9165">
        <v>42</v>
      </c>
      <c r="E9165" s="51">
        <f>IF(INDEX(DarlBelegt,20)=0,0,EOMONTH(INDEX(DarlAuszahlung,20),41)+1)</f>
      </c>
      <c r="F9165" s="43">
        <f>IF($E9165=0,0,YEAR($E9165))</f>
      </c>
      <c r="G9165" s="43">
        <f>IF(INDEX(DarlBindung,20)="",1,IF($E9165&lt;=INDEX(DarlBindung,20),1,0))</f>
      </c>
      <c r="H9165" s="43">
        <f>IF($G9165=1,INDEX(DarlSollzins,20),INDEX(DarlAnschluss,20))</f>
      </c>
      <c r="I9165" s="43">
        <f>IF(INDEX(DarlBelegt,20)=0,0,IF(INDEX(DarlOhneTilgung,20)=1,IF(INDEX(DarlBindung,20)="",1,$G9165),IF($J9165&gt;0.005,1,0)))</f>
      </c>
      <c r="J9165" s="43">
        <f>IF($I9164=0,0,$R9164)</f>
      </c>
      <c r="K9165" s="43">
        <f>IF($I9165=0,0,IF(INDEX(DarlOhneTilgung,20)=1,0,IF(AND(INDEX(DarlTilgStart,20)&gt;0,$E9165=INDEX(DarlTilgStart,20)),$J9165*($H9165+INDEX(DarlTilgung,20))/100/12,IF(AND($G9165=0,$G9164=1),MAX($K9164,$J9165*($H9165+1)/100/12),$K9164))))</f>
      </c>
      <c r="L9165" s="43">
        <f>IF($I9165=0,0,$J9165*$H9165/100/12)</f>
      </c>
      <c r="M9165" s="43">
        <f>IF($I9165=0,0,IF(OR(INDEX(DarlOhneTilgung,20)=1,AND(INDEX(DarlTilgStart,20)&gt;0,$E9165&lt;INDEX(DarlTilgStart,20))),0,MIN(MAX(0,$K9165-$L9165),$J9165)))</f>
      </c>
      <c r="N9165" s="43">
        <f>IF($I9165=0,0,MIN(SUMIFS(SondBetrag,SondDarl,20,SondDatum,"&gt;="&amp;$E9165,SondDatum,"&lt;="&amp;EOMONTH($E9165,0)),$J9165-$M9165))</f>
      </c>
      <c r="O9165" s="43">
        <f>IF($I9165=0,0,INDEX(DarlErsatzRate,20))</f>
      </c>
      <c r="P9165" s="43">
        <f>IF($I9165=0,0,$Q9164*INDEX(DarlErsatzZins,20))</f>
      </c>
      <c r="Q9165" s="43">
        <f>IF($I9165=0,0,$Q9164+$P9165+$O9165)</f>
      </c>
      <c r="R9165" s="43">
        <f>IF($I9165=0,0,$J9165-$M9165-$N9165)</f>
      </c>
    </row>
    <row r="9166">
      <c r="A9166"/>
      <c r="B9166">
        <v>20</v>
      </c>
      <c r="C9166" s="43">
        <f>INDEX(DarlObj,20)</f>
      </c>
      <c r="D9166">
        <v>43</v>
      </c>
      <c r="E9166" s="51">
        <f>IF(INDEX(DarlBelegt,20)=0,0,EOMONTH(INDEX(DarlAuszahlung,20),42)+1)</f>
      </c>
      <c r="F9166" s="43">
        <f>IF($E9166=0,0,YEAR($E9166))</f>
      </c>
      <c r="G9166" s="43">
        <f>IF(INDEX(DarlBindung,20)="",1,IF($E9166&lt;=INDEX(DarlBindung,20),1,0))</f>
      </c>
      <c r="H9166" s="43">
        <f>IF($G9166=1,INDEX(DarlSollzins,20),INDEX(DarlAnschluss,20))</f>
      </c>
      <c r="I9166" s="43">
        <f>IF(INDEX(DarlBelegt,20)=0,0,IF(INDEX(DarlOhneTilgung,20)=1,IF(INDEX(DarlBindung,20)="",1,$G9166),IF($J9166&gt;0.005,1,0)))</f>
      </c>
      <c r="J9166" s="43">
        <f>IF($I9165=0,0,$R9165)</f>
      </c>
      <c r="K9166" s="43">
        <f>IF($I9166=0,0,IF(INDEX(DarlOhneTilgung,20)=1,0,IF(AND(INDEX(DarlTilgStart,20)&gt;0,$E9166=INDEX(DarlTilgStart,20)),$J9166*($H9166+INDEX(DarlTilgung,20))/100/12,IF(AND($G9166=0,$G9165=1),MAX($K9165,$J9166*($H9166+1)/100/12),$K9165))))</f>
      </c>
      <c r="L9166" s="43">
        <f>IF($I9166=0,0,$J9166*$H9166/100/12)</f>
      </c>
      <c r="M9166" s="43">
        <f>IF($I9166=0,0,IF(OR(INDEX(DarlOhneTilgung,20)=1,AND(INDEX(DarlTilgStart,20)&gt;0,$E9166&lt;INDEX(DarlTilgStart,20))),0,MIN(MAX(0,$K9166-$L9166),$J9166)))</f>
      </c>
      <c r="N9166" s="43">
        <f>IF($I9166=0,0,MIN(SUMIFS(SondBetrag,SondDarl,20,SondDatum,"&gt;="&amp;$E9166,SondDatum,"&lt;="&amp;EOMONTH($E9166,0)),$J9166-$M9166))</f>
      </c>
      <c r="O9166" s="43">
        <f>IF($I9166=0,0,INDEX(DarlErsatzRate,20))</f>
      </c>
      <c r="P9166" s="43">
        <f>IF($I9166=0,0,$Q9165*INDEX(DarlErsatzZins,20))</f>
      </c>
      <c r="Q9166" s="43">
        <f>IF($I9166=0,0,$Q9165+$P9166+$O9166)</f>
      </c>
      <c r="R9166" s="43">
        <f>IF($I9166=0,0,$J9166-$M9166-$N9166)</f>
      </c>
    </row>
    <row r="9167">
      <c r="A9167"/>
      <c r="B9167">
        <v>20</v>
      </c>
      <c r="C9167" s="43">
        <f>INDEX(DarlObj,20)</f>
      </c>
      <c r="D9167">
        <v>44</v>
      </c>
      <c r="E9167" s="51">
        <f>IF(INDEX(DarlBelegt,20)=0,0,EOMONTH(INDEX(DarlAuszahlung,20),43)+1)</f>
      </c>
      <c r="F9167" s="43">
        <f>IF($E9167=0,0,YEAR($E9167))</f>
      </c>
      <c r="G9167" s="43">
        <f>IF(INDEX(DarlBindung,20)="",1,IF($E9167&lt;=INDEX(DarlBindung,20),1,0))</f>
      </c>
      <c r="H9167" s="43">
        <f>IF($G9167=1,INDEX(DarlSollzins,20),INDEX(DarlAnschluss,20))</f>
      </c>
      <c r="I9167" s="43">
        <f>IF(INDEX(DarlBelegt,20)=0,0,IF(INDEX(DarlOhneTilgung,20)=1,IF(INDEX(DarlBindung,20)="",1,$G9167),IF($J9167&gt;0.005,1,0)))</f>
      </c>
      <c r="J9167" s="43">
        <f>IF($I9166=0,0,$R9166)</f>
      </c>
      <c r="K9167" s="43">
        <f>IF($I9167=0,0,IF(INDEX(DarlOhneTilgung,20)=1,0,IF(AND(INDEX(DarlTilgStart,20)&gt;0,$E9167=INDEX(DarlTilgStart,20)),$J9167*($H9167+INDEX(DarlTilgung,20))/100/12,IF(AND($G9167=0,$G9166=1),MAX($K9166,$J9167*($H9167+1)/100/12),$K9166))))</f>
      </c>
      <c r="L9167" s="43">
        <f>IF($I9167=0,0,$J9167*$H9167/100/12)</f>
      </c>
      <c r="M9167" s="43">
        <f>IF($I9167=0,0,IF(OR(INDEX(DarlOhneTilgung,20)=1,AND(INDEX(DarlTilgStart,20)&gt;0,$E9167&lt;INDEX(DarlTilgStart,20))),0,MIN(MAX(0,$K9167-$L9167),$J9167)))</f>
      </c>
      <c r="N9167" s="43">
        <f>IF($I9167=0,0,MIN(SUMIFS(SondBetrag,SondDarl,20,SondDatum,"&gt;="&amp;$E9167,SondDatum,"&lt;="&amp;EOMONTH($E9167,0)),$J9167-$M9167))</f>
      </c>
      <c r="O9167" s="43">
        <f>IF($I9167=0,0,INDEX(DarlErsatzRate,20))</f>
      </c>
      <c r="P9167" s="43">
        <f>IF($I9167=0,0,$Q9166*INDEX(DarlErsatzZins,20))</f>
      </c>
      <c r="Q9167" s="43">
        <f>IF($I9167=0,0,$Q9166+$P9167+$O9167)</f>
      </c>
      <c r="R9167" s="43">
        <f>IF($I9167=0,0,$J9167-$M9167-$N9167)</f>
      </c>
    </row>
    <row r="9168">
      <c r="A9168"/>
      <c r="B9168">
        <v>20</v>
      </c>
      <c r="C9168" s="43">
        <f>INDEX(DarlObj,20)</f>
      </c>
      <c r="D9168">
        <v>45</v>
      </c>
      <c r="E9168" s="51">
        <f>IF(INDEX(DarlBelegt,20)=0,0,EOMONTH(INDEX(DarlAuszahlung,20),44)+1)</f>
      </c>
      <c r="F9168" s="43">
        <f>IF($E9168=0,0,YEAR($E9168))</f>
      </c>
      <c r="G9168" s="43">
        <f>IF(INDEX(DarlBindung,20)="",1,IF($E9168&lt;=INDEX(DarlBindung,20),1,0))</f>
      </c>
      <c r="H9168" s="43">
        <f>IF($G9168=1,INDEX(DarlSollzins,20),INDEX(DarlAnschluss,20))</f>
      </c>
      <c r="I9168" s="43">
        <f>IF(INDEX(DarlBelegt,20)=0,0,IF(INDEX(DarlOhneTilgung,20)=1,IF(INDEX(DarlBindung,20)="",1,$G9168),IF($J9168&gt;0.005,1,0)))</f>
      </c>
      <c r="J9168" s="43">
        <f>IF($I9167=0,0,$R9167)</f>
      </c>
      <c r="K9168" s="43">
        <f>IF($I9168=0,0,IF(INDEX(DarlOhneTilgung,20)=1,0,IF(AND(INDEX(DarlTilgStart,20)&gt;0,$E9168=INDEX(DarlTilgStart,20)),$J9168*($H9168+INDEX(DarlTilgung,20))/100/12,IF(AND($G9168=0,$G9167=1),MAX($K9167,$J9168*($H9168+1)/100/12),$K9167))))</f>
      </c>
      <c r="L9168" s="43">
        <f>IF($I9168=0,0,$J9168*$H9168/100/12)</f>
      </c>
      <c r="M9168" s="43">
        <f>IF($I9168=0,0,IF(OR(INDEX(DarlOhneTilgung,20)=1,AND(INDEX(DarlTilgStart,20)&gt;0,$E9168&lt;INDEX(DarlTilgStart,20))),0,MIN(MAX(0,$K9168-$L9168),$J9168)))</f>
      </c>
      <c r="N9168" s="43">
        <f>IF($I9168=0,0,MIN(SUMIFS(SondBetrag,SondDarl,20,SondDatum,"&gt;="&amp;$E9168,SondDatum,"&lt;="&amp;EOMONTH($E9168,0)),$J9168-$M9168))</f>
      </c>
      <c r="O9168" s="43">
        <f>IF($I9168=0,0,INDEX(DarlErsatzRate,20))</f>
      </c>
      <c r="P9168" s="43">
        <f>IF($I9168=0,0,$Q9167*INDEX(DarlErsatzZins,20))</f>
      </c>
      <c r="Q9168" s="43">
        <f>IF($I9168=0,0,$Q9167+$P9168+$O9168)</f>
      </c>
      <c r="R9168" s="43">
        <f>IF($I9168=0,0,$J9168-$M9168-$N9168)</f>
      </c>
    </row>
    <row r="9169">
      <c r="A9169"/>
      <c r="B9169">
        <v>20</v>
      </c>
      <c r="C9169" s="43">
        <f>INDEX(DarlObj,20)</f>
      </c>
      <c r="D9169">
        <v>46</v>
      </c>
      <c r="E9169" s="51">
        <f>IF(INDEX(DarlBelegt,20)=0,0,EOMONTH(INDEX(DarlAuszahlung,20),45)+1)</f>
      </c>
      <c r="F9169" s="43">
        <f>IF($E9169=0,0,YEAR($E9169))</f>
      </c>
      <c r="G9169" s="43">
        <f>IF(INDEX(DarlBindung,20)="",1,IF($E9169&lt;=INDEX(DarlBindung,20),1,0))</f>
      </c>
      <c r="H9169" s="43">
        <f>IF($G9169=1,INDEX(DarlSollzins,20),INDEX(DarlAnschluss,20))</f>
      </c>
      <c r="I9169" s="43">
        <f>IF(INDEX(DarlBelegt,20)=0,0,IF(INDEX(DarlOhneTilgung,20)=1,IF(INDEX(DarlBindung,20)="",1,$G9169),IF($J9169&gt;0.005,1,0)))</f>
      </c>
      <c r="J9169" s="43">
        <f>IF($I9168=0,0,$R9168)</f>
      </c>
      <c r="K9169" s="43">
        <f>IF($I9169=0,0,IF(INDEX(DarlOhneTilgung,20)=1,0,IF(AND(INDEX(DarlTilgStart,20)&gt;0,$E9169=INDEX(DarlTilgStart,20)),$J9169*($H9169+INDEX(DarlTilgung,20))/100/12,IF(AND($G9169=0,$G9168=1),MAX($K9168,$J9169*($H9169+1)/100/12),$K9168))))</f>
      </c>
      <c r="L9169" s="43">
        <f>IF($I9169=0,0,$J9169*$H9169/100/12)</f>
      </c>
      <c r="M9169" s="43">
        <f>IF($I9169=0,0,IF(OR(INDEX(DarlOhneTilgung,20)=1,AND(INDEX(DarlTilgStart,20)&gt;0,$E9169&lt;INDEX(DarlTilgStart,20))),0,MIN(MAX(0,$K9169-$L9169),$J9169)))</f>
      </c>
      <c r="N9169" s="43">
        <f>IF($I9169=0,0,MIN(SUMIFS(SondBetrag,SondDarl,20,SondDatum,"&gt;="&amp;$E9169,SondDatum,"&lt;="&amp;EOMONTH($E9169,0)),$J9169-$M9169))</f>
      </c>
      <c r="O9169" s="43">
        <f>IF($I9169=0,0,INDEX(DarlErsatzRate,20))</f>
      </c>
      <c r="P9169" s="43">
        <f>IF($I9169=0,0,$Q9168*INDEX(DarlErsatzZins,20))</f>
      </c>
      <c r="Q9169" s="43">
        <f>IF($I9169=0,0,$Q9168+$P9169+$O9169)</f>
      </c>
      <c r="R9169" s="43">
        <f>IF($I9169=0,0,$J9169-$M9169-$N9169)</f>
      </c>
    </row>
    <row r="9170">
      <c r="A9170"/>
      <c r="B9170">
        <v>20</v>
      </c>
      <c r="C9170" s="43">
        <f>INDEX(DarlObj,20)</f>
      </c>
      <c r="D9170">
        <v>47</v>
      </c>
      <c r="E9170" s="51">
        <f>IF(INDEX(DarlBelegt,20)=0,0,EOMONTH(INDEX(DarlAuszahlung,20),46)+1)</f>
      </c>
      <c r="F9170" s="43">
        <f>IF($E9170=0,0,YEAR($E9170))</f>
      </c>
      <c r="G9170" s="43">
        <f>IF(INDEX(DarlBindung,20)="",1,IF($E9170&lt;=INDEX(DarlBindung,20),1,0))</f>
      </c>
      <c r="H9170" s="43">
        <f>IF($G9170=1,INDEX(DarlSollzins,20),INDEX(DarlAnschluss,20))</f>
      </c>
      <c r="I9170" s="43">
        <f>IF(INDEX(DarlBelegt,20)=0,0,IF(INDEX(DarlOhneTilgung,20)=1,IF(INDEX(DarlBindung,20)="",1,$G9170),IF($J9170&gt;0.005,1,0)))</f>
      </c>
      <c r="J9170" s="43">
        <f>IF($I9169=0,0,$R9169)</f>
      </c>
      <c r="K9170" s="43">
        <f>IF($I9170=0,0,IF(INDEX(DarlOhneTilgung,20)=1,0,IF(AND(INDEX(DarlTilgStart,20)&gt;0,$E9170=INDEX(DarlTilgStart,20)),$J9170*($H9170+INDEX(DarlTilgung,20))/100/12,IF(AND($G9170=0,$G9169=1),MAX($K9169,$J9170*($H9170+1)/100/12),$K9169))))</f>
      </c>
      <c r="L9170" s="43">
        <f>IF($I9170=0,0,$J9170*$H9170/100/12)</f>
      </c>
      <c r="M9170" s="43">
        <f>IF($I9170=0,0,IF(OR(INDEX(DarlOhneTilgung,20)=1,AND(INDEX(DarlTilgStart,20)&gt;0,$E9170&lt;INDEX(DarlTilgStart,20))),0,MIN(MAX(0,$K9170-$L9170),$J9170)))</f>
      </c>
      <c r="N9170" s="43">
        <f>IF($I9170=0,0,MIN(SUMIFS(SondBetrag,SondDarl,20,SondDatum,"&gt;="&amp;$E9170,SondDatum,"&lt;="&amp;EOMONTH($E9170,0)),$J9170-$M9170))</f>
      </c>
      <c r="O9170" s="43">
        <f>IF($I9170=0,0,INDEX(DarlErsatzRate,20))</f>
      </c>
      <c r="P9170" s="43">
        <f>IF($I9170=0,0,$Q9169*INDEX(DarlErsatzZins,20))</f>
      </c>
      <c r="Q9170" s="43">
        <f>IF($I9170=0,0,$Q9169+$P9170+$O9170)</f>
      </c>
      <c r="R9170" s="43">
        <f>IF($I9170=0,0,$J9170-$M9170-$N9170)</f>
      </c>
    </row>
    <row r="9171">
      <c r="A9171"/>
      <c r="B9171">
        <v>20</v>
      </c>
      <c r="C9171" s="43">
        <f>INDEX(DarlObj,20)</f>
      </c>
      <c r="D9171">
        <v>48</v>
      </c>
      <c r="E9171" s="51">
        <f>IF(INDEX(DarlBelegt,20)=0,0,EOMONTH(INDEX(DarlAuszahlung,20),47)+1)</f>
      </c>
      <c r="F9171" s="43">
        <f>IF($E9171=0,0,YEAR($E9171))</f>
      </c>
      <c r="G9171" s="43">
        <f>IF(INDEX(DarlBindung,20)="",1,IF($E9171&lt;=INDEX(DarlBindung,20),1,0))</f>
      </c>
      <c r="H9171" s="43">
        <f>IF($G9171=1,INDEX(DarlSollzins,20),INDEX(DarlAnschluss,20))</f>
      </c>
      <c r="I9171" s="43">
        <f>IF(INDEX(DarlBelegt,20)=0,0,IF(INDEX(DarlOhneTilgung,20)=1,IF(INDEX(DarlBindung,20)="",1,$G9171),IF($J9171&gt;0.005,1,0)))</f>
      </c>
      <c r="J9171" s="43">
        <f>IF($I9170=0,0,$R9170)</f>
      </c>
      <c r="K9171" s="43">
        <f>IF($I9171=0,0,IF(INDEX(DarlOhneTilgung,20)=1,0,IF(AND(INDEX(DarlTilgStart,20)&gt;0,$E9171=INDEX(DarlTilgStart,20)),$J9171*($H9171+INDEX(DarlTilgung,20))/100/12,IF(AND($G9171=0,$G9170=1),MAX($K9170,$J9171*($H9171+1)/100/12),$K9170))))</f>
      </c>
      <c r="L9171" s="43">
        <f>IF($I9171=0,0,$J9171*$H9171/100/12)</f>
      </c>
      <c r="M9171" s="43">
        <f>IF($I9171=0,0,IF(OR(INDEX(DarlOhneTilgung,20)=1,AND(INDEX(DarlTilgStart,20)&gt;0,$E9171&lt;INDEX(DarlTilgStart,20))),0,MIN(MAX(0,$K9171-$L9171),$J9171)))</f>
      </c>
      <c r="N9171" s="43">
        <f>IF($I9171=0,0,MIN(SUMIFS(SondBetrag,SondDarl,20,SondDatum,"&gt;="&amp;$E9171,SondDatum,"&lt;="&amp;EOMONTH($E9171,0)),$J9171-$M9171))</f>
      </c>
      <c r="O9171" s="43">
        <f>IF($I9171=0,0,INDEX(DarlErsatzRate,20))</f>
      </c>
      <c r="P9171" s="43">
        <f>IF($I9171=0,0,$Q9170*INDEX(DarlErsatzZins,20))</f>
      </c>
      <c r="Q9171" s="43">
        <f>IF($I9171=0,0,$Q9170+$P9171+$O9171)</f>
      </c>
      <c r="R9171" s="43">
        <f>IF($I9171=0,0,$J9171-$M9171-$N9171)</f>
      </c>
    </row>
    <row r="9172">
      <c r="A9172"/>
      <c r="B9172">
        <v>20</v>
      </c>
      <c r="C9172" s="43">
        <f>INDEX(DarlObj,20)</f>
      </c>
      <c r="D9172">
        <v>49</v>
      </c>
      <c r="E9172" s="51">
        <f>IF(INDEX(DarlBelegt,20)=0,0,EOMONTH(INDEX(DarlAuszahlung,20),48)+1)</f>
      </c>
      <c r="F9172" s="43">
        <f>IF($E9172=0,0,YEAR($E9172))</f>
      </c>
      <c r="G9172" s="43">
        <f>IF(INDEX(DarlBindung,20)="",1,IF($E9172&lt;=INDEX(DarlBindung,20),1,0))</f>
      </c>
      <c r="H9172" s="43">
        <f>IF($G9172=1,INDEX(DarlSollzins,20),INDEX(DarlAnschluss,20))</f>
      </c>
      <c r="I9172" s="43">
        <f>IF(INDEX(DarlBelegt,20)=0,0,IF(INDEX(DarlOhneTilgung,20)=1,IF(INDEX(DarlBindung,20)="",1,$G9172),IF($J9172&gt;0.005,1,0)))</f>
      </c>
      <c r="J9172" s="43">
        <f>IF($I9171=0,0,$R9171)</f>
      </c>
      <c r="K9172" s="43">
        <f>IF($I9172=0,0,IF(INDEX(DarlOhneTilgung,20)=1,0,IF(AND(INDEX(DarlTilgStart,20)&gt;0,$E9172=INDEX(DarlTilgStart,20)),$J9172*($H9172+INDEX(DarlTilgung,20))/100/12,IF(AND($G9172=0,$G9171=1),MAX($K9171,$J9172*($H9172+1)/100/12),$K9171))))</f>
      </c>
      <c r="L9172" s="43">
        <f>IF($I9172=0,0,$J9172*$H9172/100/12)</f>
      </c>
      <c r="M9172" s="43">
        <f>IF($I9172=0,0,IF(OR(INDEX(DarlOhneTilgung,20)=1,AND(INDEX(DarlTilgStart,20)&gt;0,$E9172&lt;INDEX(DarlTilgStart,20))),0,MIN(MAX(0,$K9172-$L9172),$J9172)))</f>
      </c>
      <c r="N9172" s="43">
        <f>IF($I9172=0,0,MIN(SUMIFS(SondBetrag,SondDarl,20,SondDatum,"&gt;="&amp;$E9172,SondDatum,"&lt;="&amp;EOMONTH($E9172,0)),$J9172-$M9172))</f>
      </c>
      <c r="O9172" s="43">
        <f>IF($I9172=0,0,INDEX(DarlErsatzRate,20))</f>
      </c>
      <c r="P9172" s="43">
        <f>IF($I9172=0,0,$Q9171*INDEX(DarlErsatzZins,20))</f>
      </c>
      <c r="Q9172" s="43">
        <f>IF($I9172=0,0,$Q9171+$P9172+$O9172)</f>
      </c>
      <c r="R9172" s="43">
        <f>IF($I9172=0,0,$J9172-$M9172-$N9172)</f>
      </c>
    </row>
    <row r="9173">
      <c r="A9173"/>
      <c r="B9173">
        <v>20</v>
      </c>
      <c r="C9173" s="43">
        <f>INDEX(DarlObj,20)</f>
      </c>
      <c r="D9173">
        <v>50</v>
      </c>
      <c r="E9173" s="51">
        <f>IF(INDEX(DarlBelegt,20)=0,0,EOMONTH(INDEX(DarlAuszahlung,20),49)+1)</f>
      </c>
      <c r="F9173" s="43">
        <f>IF($E9173=0,0,YEAR($E9173))</f>
      </c>
      <c r="G9173" s="43">
        <f>IF(INDEX(DarlBindung,20)="",1,IF($E9173&lt;=INDEX(DarlBindung,20),1,0))</f>
      </c>
      <c r="H9173" s="43">
        <f>IF($G9173=1,INDEX(DarlSollzins,20),INDEX(DarlAnschluss,20))</f>
      </c>
      <c r="I9173" s="43">
        <f>IF(INDEX(DarlBelegt,20)=0,0,IF(INDEX(DarlOhneTilgung,20)=1,IF(INDEX(DarlBindung,20)="",1,$G9173),IF($J9173&gt;0.005,1,0)))</f>
      </c>
      <c r="J9173" s="43">
        <f>IF($I9172=0,0,$R9172)</f>
      </c>
      <c r="K9173" s="43">
        <f>IF($I9173=0,0,IF(INDEX(DarlOhneTilgung,20)=1,0,IF(AND(INDEX(DarlTilgStart,20)&gt;0,$E9173=INDEX(DarlTilgStart,20)),$J9173*($H9173+INDEX(DarlTilgung,20))/100/12,IF(AND($G9173=0,$G9172=1),MAX($K9172,$J9173*($H9173+1)/100/12),$K9172))))</f>
      </c>
      <c r="L9173" s="43">
        <f>IF($I9173=0,0,$J9173*$H9173/100/12)</f>
      </c>
      <c r="M9173" s="43">
        <f>IF($I9173=0,0,IF(OR(INDEX(DarlOhneTilgung,20)=1,AND(INDEX(DarlTilgStart,20)&gt;0,$E9173&lt;INDEX(DarlTilgStart,20))),0,MIN(MAX(0,$K9173-$L9173),$J9173)))</f>
      </c>
      <c r="N9173" s="43">
        <f>IF($I9173=0,0,MIN(SUMIFS(SondBetrag,SondDarl,20,SondDatum,"&gt;="&amp;$E9173,SondDatum,"&lt;="&amp;EOMONTH($E9173,0)),$J9173-$M9173))</f>
      </c>
      <c r="O9173" s="43">
        <f>IF($I9173=0,0,INDEX(DarlErsatzRate,20))</f>
      </c>
      <c r="P9173" s="43">
        <f>IF($I9173=0,0,$Q9172*INDEX(DarlErsatzZins,20))</f>
      </c>
      <c r="Q9173" s="43">
        <f>IF($I9173=0,0,$Q9172+$P9173+$O9173)</f>
      </c>
      <c r="R9173" s="43">
        <f>IF($I9173=0,0,$J9173-$M9173-$N9173)</f>
      </c>
    </row>
    <row r="9174">
      <c r="A9174"/>
      <c r="B9174">
        <v>20</v>
      </c>
      <c r="C9174" s="43">
        <f>INDEX(DarlObj,20)</f>
      </c>
      <c r="D9174">
        <v>51</v>
      </c>
      <c r="E9174" s="51">
        <f>IF(INDEX(DarlBelegt,20)=0,0,EOMONTH(INDEX(DarlAuszahlung,20),50)+1)</f>
      </c>
      <c r="F9174" s="43">
        <f>IF($E9174=0,0,YEAR($E9174))</f>
      </c>
      <c r="G9174" s="43">
        <f>IF(INDEX(DarlBindung,20)="",1,IF($E9174&lt;=INDEX(DarlBindung,20),1,0))</f>
      </c>
      <c r="H9174" s="43">
        <f>IF($G9174=1,INDEX(DarlSollzins,20),INDEX(DarlAnschluss,20))</f>
      </c>
      <c r="I9174" s="43">
        <f>IF(INDEX(DarlBelegt,20)=0,0,IF(INDEX(DarlOhneTilgung,20)=1,IF(INDEX(DarlBindung,20)="",1,$G9174),IF($J9174&gt;0.005,1,0)))</f>
      </c>
      <c r="J9174" s="43">
        <f>IF($I9173=0,0,$R9173)</f>
      </c>
      <c r="K9174" s="43">
        <f>IF($I9174=0,0,IF(INDEX(DarlOhneTilgung,20)=1,0,IF(AND(INDEX(DarlTilgStart,20)&gt;0,$E9174=INDEX(DarlTilgStart,20)),$J9174*($H9174+INDEX(DarlTilgung,20))/100/12,IF(AND($G9174=0,$G9173=1),MAX($K9173,$J9174*($H9174+1)/100/12),$K9173))))</f>
      </c>
      <c r="L9174" s="43">
        <f>IF($I9174=0,0,$J9174*$H9174/100/12)</f>
      </c>
      <c r="M9174" s="43">
        <f>IF($I9174=0,0,IF(OR(INDEX(DarlOhneTilgung,20)=1,AND(INDEX(DarlTilgStart,20)&gt;0,$E9174&lt;INDEX(DarlTilgStart,20))),0,MIN(MAX(0,$K9174-$L9174),$J9174)))</f>
      </c>
      <c r="N9174" s="43">
        <f>IF($I9174=0,0,MIN(SUMIFS(SondBetrag,SondDarl,20,SondDatum,"&gt;="&amp;$E9174,SondDatum,"&lt;="&amp;EOMONTH($E9174,0)),$J9174-$M9174))</f>
      </c>
      <c r="O9174" s="43">
        <f>IF($I9174=0,0,INDEX(DarlErsatzRate,20))</f>
      </c>
      <c r="P9174" s="43">
        <f>IF($I9174=0,0,$Q9173*INDEX(DarlErsatzZins,20))</f>
      </c>
      <c r="Q9174" s="43">
        <f>IF($I9174=0,0,$Q9173+$P9174+$O9174)</f>
      </c>
      <c r="R9174" s="43">
        <f>IF($I9174=0,0,$J9174-$M9174-$N9174)</f>
      </c>
    </row>
    <row r="9175">
      <c r="A9175"/>
      <c r="B9175">
        <v>20</v>
      </c>
      <c r="C9175" s="43">
        <f>INDEX(DarlObj,20)</f>
      </c>
      <c r="D9175">
        <v>52</v>
      </c>
      <c r="E9175" s="51">
        <f>IF(INDEX(DarlBelegt,20)=0,0,EOMONTH(INDEX(DarlAuszahlung,20),51)+1)</f>
      </c>
      <c r="F9175" s="43">
        <f>IF($E9175=0,0,YEAR($E9175))</f>
      </c>
      <c r="G9175" s="43">
        <f>IF(INDEX(DarlBindung,20)="",1,IF($E9175&lt;=INDEX(DarlBindung,20),1,0))</f>
      </c>
      <c r="H9175" s="43">
        <f>IF($G9175=1,INDEX(DarlSollzins,20),INDEX(DarlAnschluss,20))</f>
      </c>
      <c r="I9175" s="43">
        <f>IF(INDEX(DarlBelegt,20)=0,0,IF(INDEX(DarlOhneTilgung,20)=1,IF(INDEX(DarlBindung,20)="",1,$G9175),IF($J9175&gt;0.005,1,0)))</f>
      </c>
      <c r="J9175" s="43">
        <f>IF($I9174=0,0,$R9174)</f>
      </c>
      <c r="K9175" s="43">
        <f>IF($I9175=0,0,IF(INDEX(DarlOhneTilgung,20)=1,0,IF(AND(INDEX(DarlTilgStart,20)&gt;0,$E9175=INDEX(DarlTilgStart,20)),$J9175*($H9175+INDEX(DarlTilgung,20))/100/12,IF(AND($G9175=0,$G9174=1),MAX($K9174,$J9175*($H9175+1)/100/12),$K9174))))</f>
      </c>
      <c r="L9175" s="43">
        <f>IF($I9175=0,0,$J9175*$H9175/100/12)</f>
      </c>
      <c r="M9175" s="43">
        <f>IF($I9175=0,0,IF(OR(INDEX(DarlOhneTilgung,20)=1,AND(INDEX(DarlTilgStart,20)&gt;0,$E9175&lt;INDEX(DarlTilgStart,20))),0,MIN(MAX(0,$K9175-$L9175),$J9175)))</f>
      </c>
      <c r="N9175" s="43">
        <f>IF($I9175=0,0,MIN(SUMIFS(SondBetrag,SondDarl,20,SondDatum,"&gt;="&amp;$E9175,SondDatum,"&lt;="&amp;EOMONTH($E9175,0)),$J9175-$M9175))</f>
      </c>
      <c r="O9175" s="43">
        <f>IF($I9175=0,0,INDEX(DarlErsatzRate,20))</f>
      </c>
      <c r="P9175" s="43">
        <f>IF($I9175=0,0,$Q9174*INDEX(DarlErsatzZins,20))</f>
      </c>
      <c r="Q9175" s="43">
        <f>IF($I9175=0,0,$Q9174+$P9175+$O9175)</f>
      </c>
      <c r="R9175" s="43">
        <f>IF($I9175=0,0,$J9175-$M9175-$N9175)</f>
      </c>
    </row>
    <row r="9176">
      <c r="A9176"/>
      <c r="B9176">
        <v>20</v>
      </c>
      <c r="C9176" s="43">
        <f>INDEX(DarlObj,20)</f>
      </c>
      <c r="D9176">
        <v>53</v>
      </c>
      <c r="E9176" s="51">
        <f>IF(INDEX(DarlBelegt,20)=0,0,EOMONTH(INDEX(DarlAuszahlung,20),52)+1)</f>
      </c>
      <c r="F9176" s="43">
        <f>IF($E9176=0,0,YEAR($E9176))</f>
      </c>
      <c r="G9176" s="43">
        <f>IF(INDEX(DarlBindung,20)="",1,IF($E9176&lt;=INDEX(DarlBindung,20),1,0))</f>
      </c>
      <c r="H9176" s="43">
        <f>IF($G9176=1,INDEX(DarlSollzins,20),INDEX(DarlAnschluss,20))</f>
      </c>
      <c r="I9176" s="43">
        <f>IF(INDEX(DarlBelegt,20)=0,0,IF(INDEX(DarlOhneTilgung,20)=1,IF(INDEX(DarlBindung,20)="",1,$G9176),IF($J9176&gt;0.005,1,0)))</f>
      </c>
      <c r="J9176" s="43">
        <f>IF($I9175=0,0,$R9175)</f>
      </c>
      <c r="K9176" s="43">
        <f>IF($I9176=0,0,IF(INDEX(DarlOhneTilgung,20)=1,0,IF(AND(INDEX(DarlTilgStart,20)&gt;0,$E9176=INDEX(DarlTilgStart,20)),$J9176*($H9176+INDEX(DarlTilgung,20))/100/12,IF(AND($G9176=0,$G9175=1),MAX($K9175,$J9176*($H9176+1)/100/12),$K9175))))</f>
      </c>
      <c r="L9176" s="43">
        <f>IF($I9176=0,0,$J9176*$H9176/100/12)</f>
      </c>
      <c r="M9176" s="43">
        <f>IF($I9176=0,0,IF(OR(INDEX(DarlOhneTilgung,20)=1,AND(INDEX(DarlTilgStart,20)&gt;0,$E9176&lt;INDEX(DarlTilgStart,20))),0,MIN(MAX(0,$K9176-$L9176),$J9176)))</f>
      </c>
      <c r="N9176" s="43">
        <f>IF($I9176=0,0,MIN(SUMIFS(SondBetrag,SondDarl,20,SondDatum,"&gt;="&amp;$E9176,SondDatum,"&lt;="&amp;EOMONTH($E9176,0)),$J9176-$M9176))</f>
      </c>
      <c r="O9176" s="43">
        <f>IF($I9176=0,0,INDEX(DarlErsatzRate,20))</f>
      </c>
      <c r="P9176" s="43">
        <f>IF($I9176=0,0,$Q9175*INDEX(DarlErsatzZins,20))</f>
      </c>
      <c r="Q9176" s="43">
        <f>IF($I9176=0,0,$Q9175+$P9176+$O9176)</f>
      </c>
      <c r="R9176" s="43">
        <f>IF($I9176=0,0,$J9176-$M9176-$N9176)</f>
      </c>
    </row>
    <row r="9177">
      <c r="A9177"/>
      <c r="B9177">
        <v>20</v>
      </c>
      <c r="C9177" s="43">
        <f>INDEX(DarlObj,20)</f>
      </c>
      <c r="D9177">
        <v>54</v>
      </c>
      <c r="E9177" s="51">
        <f>IF(INDEX(DarlBelegt,20)=0,0,EOMONTH(INDEX(DarlAuszahlung,20),53)+1)</f>
      </c>
      <c r="F9177" s="43">
        <f>IF($E9177=0,0,YEAR($E9177))</f>
      </c>
      <c r="G9177" s="43">
        <f>IF(INDEX(DarlBindung,20)="",1,IF($E9177&lt;=INDEX(DarlBindung,20),1,0))</f>
      </c>
      <c r="H9177" s="43">
        <f>IF($G9177=1,INDEX(DarlSollzins,20),INDEX(DarlAnschluss,20))</f>
      </c>
      <c r="I9177" s="43">
        <f>IF(INDEX(DarlBelegt,20)=0,0,IF(INDEX(DarlOhneTilgung,20)=1,IF(INDEX(DarlBindung,20)="",1,$G9177),IF($J9177&gt;0.005,1,0)))</f>
      </c>
      <c r="J9177" s="43">
        <f>IF($I9176=0,0,$R9176)</f>
      </c>
      <c r="K9177" s="43">
        <f>IF($I9177=0,0,IF(INDEX(DarlOhneTilgung,20)=1,0,IF(AND(INDEX(DarlTilgStart,20)&gt;0,$E9177=INDEX(DarlTilgStart,20)),$J9177*($H9177+INDEX(DarlTilgung,20))/100/12,IF(AND($G9177=0,$G9176=1),MAX($K9176,$J9177*($H9177+1)/100/12),$K9176))))</f>
      </c>
      <c r="L9177" s="43">
        <f>IF($I9177=0,0,$J9177*$H9177/100/12)</f>
      </c>
      <c r="M9177" s="43">
        <f>IF($I9177=0,0,IF(OR(INDEX(DarlOhneTilgung,20)=1,AND(INDEX(DarlTilgStart,20)&gt;0,$E9177&lt;INDEX(DarlTilgStart,20))),0,MIN(MAX(0,$K9177-$L9177),$J9177)))</f>
      </c>
      <c r="N9177" s="43">
        <f>IF($I9177=0,0,MIN(SUMIFS(SondBetrag,SondDarl,20,SondDatum,"&gt;="&amp;$E9177,SondDatum,"&lt;="&amp;EOMONTH($E9177,0)),$J9177-$M9177))</f>
      </c>
      <c r="O9177" s="43">
        <f>IF($I9177=0,0,INDEX(DarlErsatzRate,20))</f>
      </c>
      <c r="P9177" s="43">
        <f>IF($I9177=0,0,$Q9176*INDEX(DarlErsatzZins,20))</f>
      </c>
      <c r="Q9177" s="43">
        <f>IF($I9177=0,0,$Q9176+$P9177+$O9177)</f>
      </c>
      <c r="R9177" s="43">
        <f>IF($I9177=0,0,$J9177-$M9177-$N9177)</f>
      </c>
    </row>
    <row r="9178">
      <c r="A9178"/>
      <c r="B9178">
        <v>20</v>
      </c>
      <c r="C9178" s="43">
        <f>INDEX(DarlObj,20)</f>
      </c>
      <c r="D9178">
        <v>55</v>
      </c>
      <c r="E9178" s="51">
        <f>IF(INDEX(DarlBelegt,20)=0,0,EOMONTH(INDEX(DarlAuszahlung,20),54)+1)</f>
      </c>
      <c r="F9178" s="43">
        <f>IF($E9178=0,0,YEAR($E9178))</f>
      </c>
      <c r="G9178" s="43">
        <f>IF(INDEX(DarlBindung,20)="",1,IF($E9178&lt;=INDEX(DarlBindung,20),1,0))</f>
      </c>
      <c r="H9178" s="43">
        <f>IF($G9178=1,INDEX(DarlSollzins,20),INDEX(DarlAnschluss,20))</f>
      </c>
      <c r="I9178" s="43">
        <f>IF(INDEX(DarlBelegt,20)=0,0,IF(INDEX(DarlOhneTilgung,20)=1,IF(INDEX(DarlBindung,20)="",1,$G9178),IF($J9178&gt;0.005,1,0)))</f>
      </c>
      <c r="J9178" s="43">
        <f>IF($I9177=0,0,$R9177)</f>
      </c>
      <c r="K9178" s="43">
        <f>IF($I9178=0,0,IF(INDEX(DarlOhneTilgung,20)=1,0,IF(AND(INDEX(DarlTilgStart,20)&gt;0,$E9178=INDEX(DarlTilgStart,20)),$J9178*($H9178+INDEX(DarlTilgung,20))/100/12,IF(AND($G9178=0,$G9177=1),MAX($K9177,$J9178*($H9178+1)/100/12),$K9177))))</f>
      </c>
      <c r="L9178" s="43">
        <f>IF($I9178=0,0,$J9178*$H9178/100/12)</f>
      </c>
      <c r="M9178" s="43">
        <f>IF($I9178=0,0,IF(OR(INDEX(DarlOhneTilgung,20)=1,AND(INDEX(DarlTilgStart,20)&gt;0,$E9178&lt;INDEX(DarlTilgStart,20))),0,MIN(MAX(0,$K9178-$L9178),$J9178)))</f>
      </c>
      <c r="N9178" s="43">
        <f>IF($I9178=0,0,MIN(SUMIFS(SondBetrag,SondDarl,20,SondDatum,"&gt;="&amp;$E9178,SondDatum,"&lt;="&amp;EOMONTH($E9178,0)),$J9178-$M9178))</f>
      </c>
      <c r="O9178" s="43">
        <f>IF($I9178=0,0,INDEX(DarlErsatzRate,20))</f>
      </c>
      <c r="P9178" s="43">
        <f>IF($I9178=0,0,$Q9177*INDEX(DarlErsatzZins,20))</f>
      </c>
      <c r="Q9178" s="43">
        <f>IF($I9178=0,0,$Q9177+$P9178+$O9178)</f>
      </c>
      <c r="R9178" s="43">
        <f>IF($I9178=0,0,$J9178-$M9178-$N9178)</f>
      </c>
    </row>
    <row r="9179">
      <c r="A9179"/>
      <c r="B9179">
        <v>20</v>
      </c>
      <c r="C9179" s="43">
        <f>INDEX(DarlObj,20)</f>
      </c>
      <c r="D9179">
        <v>56</v>
      </c>
      <c r="E9179" s="51">
        <f>IF(INDEX(DarlBelegt,20)=0,0,EOMONTH(INDEX(DarlAuszahlung,20),55)+1)</f>
      </c>
      <c r="F9179" s="43">
        <f>IF($E9179=0,0,YEAR($E9179))</f>
      </c>
      <c r="G9179" s="43">
        <f>IF(INDEX(DarlBindung,20)="",1,IF($E9179&lt;=INDEX(DarlBindung,20),1,0))</f>
      </c>
      <c r="H9179" s="43">
        <f>IF($G9179=1,INDEX(DarlSollzins,20),INDEX(DarlAnschluss,20))</f>
      </c>
      <c r="I9179" s="43">
        <f>IF(INDEX(DarlBelegt,20)=0,0,IF(INDEX(DarlOhneTilgung,20)=1,IF(INDEX(DarlBindung,20)="",1,$G9179),IF($J9179&gt;0.005,1,0)))</f>
      </c>
      <c r="J9179" s="43">
        <f>IF($I9178=0,0,$R9178)</f>
      </c>
      <c r="K9179" s="43">
        <f>IF($I9179=0,0,IF(INDEX(DarlOhneTilgung,20)=1,0,IF(AND(INDEX(DarlTilgStart,20)&gt;0,$E9179=INDEX(DarlTilgStart,20)),$J9179*($H9179+INDEX(DarlTilgung,20))/100/12,IF(AND($G9179=0,$G9178=1),MAX($K9178,$J9179*($H9179+1)/100/12),$K9178))))</f>
      </c>
      <c r="L9179" s="43">
        <f>IF($I9179=0,0,$J9179*$H9179/100/12)</f>
      </c>
      <c r="M9179" s="43">
        <f>IF($I9179=0,0,IF(OR(INDEX(DarlOhneTilgung,20)=1,AND(INDEX(DarlTilgStart,20)&gt;0,$E9179&lt;INDEX(DarlTilgStart,20))),0,MIN(MAX(0,$K9179-$L9179),$J9179)))</f>
      </c>
      <c r="N9179" s="43">
        <f>IF($I9179=0,0,MIN(SUMIFS(SondBetrag,SondDarl,20,SondDatum,"&gt;="&amp;$E9179,SondDatum,"&lt;="&amp;EOMONTH($E9179,0)),$J9179-$M9179))</f>
      </c>
      <c r="O9179" s="43">
        <f>IF($I9179=0,0,INDEX(DarlErsatzRate,20))</f>
      </c>
      <c r="P9179" s="43">
        <f>IF($I9179=0,0,$Q9178*INDEX(DarlErsatzZins,20))</f>
      </c>
      <c r="Q9179" s="43">
        <f>IF($I9179=0,0,$Q9178+$P9179+$O9179)</f>
      </c>
      <c r="R9179" s="43">
        <f>IF($I9179=0,0,$J9179-$M9179-$N9179)</f>
      </c>
    </row>
    <row r="9180">
      <c r="A9180"/>
      <c r="B9180">
        <v>20</v>
      </c>
      <c r="C9180" s="43">
        <f>INDEX(DarlObj,20)</f>
      </c>
      <c r="D9180">
        <v>57</v>
      </c>
      <c r="E9180" s="51">
        <f>IF(INDEX(DarlBelegt,20)=0,0,EOMONTH(INDEX(DarlAuszahlung,20),56)+1)</f>
      </c>
      <c r="F9180" s="43">
        <f>IF($E9180=0,0,YEAR($E9180))</f>
      </c>
      <c r="G9180" s="43">
        <f>IF(INDEX(DarlBindung,20)="",1,IF($E9180&lt;=INDEX(DarlBindung,20),1,0))</f>
      </c>
      <c r="H9180" s="43">
        <f>IF($G9180=1,INDEX(DarlSollzins,20),INDEX(DarlAnschluss,20))</f>
      </c>
      <c r="I9180" s="43">
        <f>IF(INDEX(DarlBelegt,20)=0,0,IF(INDEX(DarlOhneTilgung,20)=1,IF(INDEX(DarlBindung,20)="",1,$G9180),IF($J9180&gt;0.005,1,0)))</f>
      </c>
      <c r="J9180" s="43">
        <f>IF($I9179=0,0,$R9179)</f>
      </c>
      <c r="K9180" s="43">
        <f>IF($I9180=0,0,IF(INDEX(DarlOhneTilgung,20)=1,0,IF(AND(INDEX(DarlTilgStart,20)&gt;0,$E9180=INDEX(DarlTilgStart,20)),$J9180*($H9180+INDEX(DarlTilgung,20))/100/12,IF(AND($G9180=0,$G9179=1),MAX($K9179,$J9180*($H9180+1)/100/12),$K9179))))</f>
      </c>
      <c r="L9180" s="43">
        <f>IF($I9180=0,0,$J9180*$H9180/100/12)</f>
      </c>
      <c r="M9180" s="43">
        <f>IF($I9180=0,0,IF(OR(INDEX(DarlOhneTilgung,20)=1,AND(INDEX(DarlTilgStart,20)&gt;0,$E9180&lt;INDEX(DarlTilgStart,20))),0,MIN(MAX(0,$K9180-$L9180),$J9180)))</f>
      </c>
      <c r="N9180" s="43">
        <f>IF($I9180=0,0,MIN(SUMIFS(SondBetrag,SondDarl,20,SondDatum,"&gt;="&amp;$E9180,SondDatum,"&lt;="&amp;EOMONTH($E9180,0)),$J9180-$M9180))</f>
      </c>
      <c r="O9180" s="43">
        <f>IF($I9180=0,0,INDEX(DarlErsatzRate,20))</f>
      </c>
      <c r="P9180" s="43">
        <f>IF($I9180=0,0,$Q9179*INDEX(DarlErsatzZins,20))</f>
      </c>
      <c r="Q9180" s="43">
        <f>IF($I9180=0,0,$Q9179+$P9180+$O9180)</f>
      </c>
      <c r="R9180" s="43">
        <f>IF($I9180=0,0,$J9180-$M9180-$N9180)</f>
      </c>
    </row>
    <row r="9181">
      <c r="A9181"/>
      <c r="B9181">
        <v>20</v>
      </c>
      <c r="C9181" s="43">
        <f>INDEX(DarlObj,20)</f>
      </c>
      <c r="D9181">
        <v>58</v>
      </c>
      <c r="E9181" s="51">
        <f>IF(INDEX(DarlBelegt,20)=0,0,EOMONTH(INDEX(DarlAuszahlung,20),57)+1)</f>
      </c>
      <c r="F9181" s="43">
        <f>IF($E9181=0,0,YEAR($E9181))</f>
      </c>
      <c r="G9181" s="43">
        <f>IF(INDEX(DarlBindung,20)="",1,IF($E9181&lt;=INDEX(DarlBindung,20),1,0))</f>
      </c>
      <c r="H9181" s="43">
        <f>IF($G9181=1,INDEX(DarlSollzins,20),INDEX(DarlAnschluss,20))</f>
      </c>
      <c r="I9181" s="43">
        <f>IF(INDEX(DarlBelegt,20)=0,0,IF(INDEX(DarlOhneTilgung,20)=1,IF(INDEX(DarlBindung,20)="",1,$G9181),IF($J9181&gt;0.005,1,0)))</f>
      </c>
      <c r="J9181" s="43">
        <f>IF($I9180=0,0,$R9180)</f>
      </c>
      <c r="K9181" s="43">
        <f>IF($I9181=0,0,IF(INDEX(DarlOhneTilgung,20)=1,0,IF(AND(INDEX(DarlTilgStart,20)&gt;0,$E9181=INDEX(DarlTilgStart,20)),$J9181*($H9181+INDEX(DarlTilgung,20))/100/12,IF(AND($G9181=0,$G9180=1),MAX($K9180,$J9181*($H9181+1)/100/12),$K9180))))</f>
      </c>
      <c r="L9181" s="43">
        <f>IF($I9181=0,0,$J9181*$H9181/100/12)</f>
      </c>
      <c r="M9181" s="43">
        <f>IF($I9181=0,0,IF(OR(INDEX(DarlOhneTilgung,20)=1,AND(INDEX(DarlTilgStart,20)&gt;0,$E9181&lt;INDEX(DarlTilgStart,20))),0,MIN(MAX(0,$K9181-$L9181),$J9181)))</f>
      </c>
      <c r="N9181" s="43">
        <f>IF($I9181=0,0,MIN(SUMIFS(SondBetrag,SondDarl,20,SondDatum,"&gt;="&amp;$E9181,SondDatum,"&lt;="&amp;EOMONTH($E9181,0)),$J9181-$M9181))</f>
      </c>
      <c r="O9181" s="43">
        <f>IF($I9181=0,0,INDEX(DarlErsatzRate,20))</f>
      </c>
      <c r="P9181" s="43">
        <f>IF($I9181=0,0,$Q9180*INDEX(DarlErsatzZins,20))</f>
      </c>
      <c r="Q9181" s="43">
        <f>IF($I9181=0,0,$Q9180+$P9181+$O9181)</f>
      </c>
      <c r="R9181" s="43">
        <f>IF($I9181=0,0,$J9181-$M9181-$N9181)</f>
      </c>
    </row>
    <row r="9182">
      <c r="A9182"/>
      <c r="B9182">
        <v>20</v>
      </c>
      <c r="C9182" s="43">
        <f>INDEX(DarlObj,20)</f>
      </c>
      <c r="D9182">
        <v>59</v>
      </c>
      <c r="E9182" s="51">
        <f>IF(INDEX(DarlBelegt,20)=0,0,EOMONTH(INDEX(DarlAuszahlung,20),58)+1)</f>
      </c>
      <c r="F9182" s="43">
        <f>IF($E9182=0,0,YEAR($E9182))</f>
      </c>
      <c r="G9182" s="43">
        <f>IF(INDEX(DarlBindung,20)="",1,IF($E9182&lt;=INDEX(DarlBindung,20),1,0))</f>
      </c>
      <c r="H9182" s="43">
        <f>IF($G9182=1,INDEX(DarlSollzins,20),INDEX(DarlAnschluss,20))</f>
      </c>
      <c r="I9182" s="43">
        <f>IF(INDEX(DarlBelegt,20)=0,0,IF(INDEX(DarlOhneTilgung,20)=1,IF(INDEX(DarlBindung,20)="",1,$G9182),IF($J9182&gt;0.005,1,0)))</f>
      </c>
      <c r="J9182" s="43">
        <f>IF($I9181=0,0,$R9181)</f>
      </c>
      <c r="K9182" s="43">
        <f>IF($I9182=0,0,IF(INDEX(DarlOhneTilgung,20)=1,0,IF(AND(INDEX(DarlTilgStart,20)&gt;0,$E9182=INDEX(DarlTilgStart,20)),$J9182*($H9182+INDEX(DarlTilgung,20))/100/12,IF(AND($G9182=0,$G9181=1),MAX($K9181,$J9182*($H9182+1)/100/12),$K9181))))</f>
      </c>
      <c r="L9182" s="43">
        <f>IF($I9182=0,0,$J9182*$H9182/100/12)</f>
      </c>
      <c r="M9182" s="43">
        <f>IF($I9182=0,0,IF(OR(INDEX(DarlOhneTilgung,20)=1,AND(INDEX(DarlTilgStart,20)&gt;0,$E9182&lt;INDEX(DarlTilgStart,20))),0,MIN(MAX(0,$K9182-$L9182),$J9182)))</f>
      </c>
      <c r="N9182" s="43">
        <f>IF($I9182=0,0,MIN(SUMIFS(SondBetrag,SondDarl,20,SondDatum,"&gt;="&amp;$E9182,SondDatum,"&lt;="&amp;EOMONTH($E9182,0)),$J9182-$M9182))</f>
      </c>
      <c r="O9182" s="43">
        <f>IF($I9182=0,0,INDEX(DarlErsatzRate,20))</f>
      </c>
      <c r="P9182" s="43">
        <f>IF($I9182=0,0,$Q9181*INDEX(DarlErsatzZins,20))</f>
      </c>
      <c r="Q9182" s="43">
        <f>IF($I9182=0,0,$Q9181+$P9182+$O9182)</f>
      </c>
      <c r="R9182" s="43">
        <f>IF($I9182=0,0,$J9182-$M9182-$N9182)</f>
      </c>
    </row>
    <row r="9183">
      <c r="A9183"/>
      <c r="B9183">
        <v>20</v>
      </c>
      <c r="C9183" s="43">
        <f>INDEX(DarlObj,20)</f>
      </c>
      <c r="D9183">
        <v>60</v>
      </c>
      <c r="E9183" s="51">
        <f>IF(INDEX(DarlBelegt,20)=0,0,EOMONTH(INDEX(DarlAuszahlung,20),59)+1)</f>
      </c>
      <c r="F9183" s="43">
        <f>IF($E9183=0,0,YEAR($E9183))</f>
      </c>
      <c r="G9183" s="43">
        <f>IF(INDEX(DarlBindung,20)="",1,IF($E9183&lt;=INDEX(DarlBindung,20),1,0))</f>
      </c>
      <c r="H9183" s="43">
        <f>IF($G9183=1,INDEX(DarlSollzins,20),INDEX(DarlAnschluss,20))</f>
      </c>
      <c r="I9183" s="43">
        <f>IF(INDEX(DarlBelegt,20)=0,0,IF(INDEX(DarlOhneTilgung,20)=1,IF(INDEX(DarlBindung,20)="",1,$G9183),IF($J9183&gt;0.005,1,0)))</f>
      </c>
      <c r="J9183" s="43">
        <f>IF($I9182=0,0,$R9182)</f>
      </c>
      <c r="K9183" s="43">
        <f>IF($I9183=0,0,IF(INDEX(DarlOhneTilgung,20)=1,0,IF(AND(INDEX(DarlTilgStart,20)&gt;0,$E9183=INDEX(DarlTilgStart,20)),$J9183*($H9183+INDEX(DarlTilgung,20))/100/12,IF(AND($G9183=0,$G9182=1),MAX($K9182,$J9183*($H9183+1)/100/12),$K9182))))</f>
      </c>
      <c r="L9183" s="43">
        <f>IF($I9183=0,0,$J9183*$H9183/100/12)</f>
      </c>
      <c r="M9183" s="43">
        <f>IF($I9183=0,0,IF(OR(INDEX(DarlOhneTilgung,20)=1,AND(INDEX(DarlTilgStart,20)&gt;0,$E9183&lt;INDEX(DarlTilgStart,20))),0,MIN(MAX(0,$K9183-$L9183),$J9183)))</f>
      </c>
      <c r="N9183" s="43">
        <f>IF($I9183=0,0,MIN(SUMIFS(SondBetrag,SondDarl,20,SondDatum,"&gt;="&amp;$E9183,SondDatum,"&lt;="&amp;EOMONTH($E9183,0)),$J9183-$M9183))</f>
      </c>
      <c r="O9183" s="43">
        <f>IF($I9183=0,0,INDEX(DarlErsatzRate,20))</f>
      </c>
      <c r="P9183" s="43">
        <f>IF($I9183=0,0,$Q9182*INDEX(DarlErsatzZins,20))</f>
      </c>
      <c r="Q9183" s="43">
        <f>IF($I9183=0,0,$Q9182+$P9183+$O9183)</f>
      </c>
      <c r="R9183" s="43">
        <f>IF($I9183=0,0,$J9183-$M9183-$N9183)</f>
      </c>
    </row>
    <row r="9184">
      <c r="A9184"/>
      <c r="B9184">
        <v>20</v>
      </c>
      <c r="C9184" s="43">
        <f>INDEX(DarlObj,20)</f>
      </c>
      <c r="D9184">
        <v>61</v>
      </c>
      <c r="E9184" s="51">
        <f>IF(INDEX(DarlBelegt,20)=0,0,EOMONTH(INDEX(DarlAuszahlung,20),60)+1)</f>
      </c>
      <c r="F9184" s="43">
        <f>IF($E9184=0,0,YEAR($E9184))</f>
      </c>
      <c r="G9184" s="43">
        <f>IF(INDEX(DarlBindung,20)="",1,IF($E9184&lt;=INDEX(DarlBindung,20),1,0))</f>
      </c>
      <c r="H9184" s="43">
        <f>IF($G9184=1,INDEX(DarlSollzins,20),INDEX(DarlAnschluss,20))</f>
      </c>
      <c r="I9184" s="43">
        <f>IF(INDEX(DarlBelegt,20)=0,0,IF(INDEX(DarlOhneTilgung,20)=1,IF(INDEX(DarlBindung,20)="",1,$G9184),IF($J9184&gt;0.005,1,0)))</f>
      </c>
      <c r="J9184" s="43">
        <f>IF($I9183=0,0,$R9183)</f>
      </c>
      <c r="K9184" s="43">
        <f>IF($I9184=0,0,IF(INDEX(DarlOhneTilgung,20)=1,0,IF(AND(INDEX(DarlTilgStart,20)&gt;0,$E9184=INDEX(DarlTilgStart,20)),$J9184*($H9184+INDEX(DarlTilgung,20))/100/12,IF(AND($G9184=0,$G9183=1),MAX($K9183,$J9184*($H9184+1)/100/12),$K9183))))</f>
      </c>
      <c r="L9184" s="43">
        <f>IF($I9184=0,0,$J9184*$H9184/100/12)</f>
      </c>
      <c r="M9184" s="43">
        <f>IF($I9184=0,0,IF(OR(INDEX(DarlOhneTilgung,20)=1,AND(INDEX(DarlTilgStart,20)&gt;0,$E9184&lt;INDEX(DarlTilgStart,20))),0,MIN(MAX(0,$K9184-$L9184),$J9184)))</f>
      </c>
      <c r="N9184" s="43">
        <f>IF($I9184=0,0,MIN(SUMIFS(SondBetrag,SondDarl,20,SondDatum,"&gt;="&amp;$E9184,SondDatum,"&lt;="&amp;EOMONTH($E9184,0)),$J9184-$M9184))</f>
      </c>
      <c r="O9184" s="43">
        <f>IF($I9184=0,0,INDEX(DarlErsatzRate,20))</f>
      </c>
      <c r="P9184" s="43">
        <f>IF($I9184=0,0,$Q9183*INDEX(DarlErsatzZins,20))</f>
      </c>
      <c r="Q9184" s="43">
        <f>IF($I9184=0,0,$Q9183+$P9184+$O9184)</f>
      </c>
      <c r="R9184" s="43">
        <f>IF($I9184=0,0,$J9184-$M9184-$N9184)</f>
      </c>
    </row>
    <row r="9185">
      <c r="A9185"/>
      <c r="B9185">
        <v>20</v>
      </c>
      <c r="C9185" s="43">
        <f>INDEX(DarlObj,20)</f>
      </c>
      <c r="D9185">
        <v>62</v>
      </c>
      <c r="E9185" s="51">
        <f>IF(INDEX(DarlBelegt,20)=0,0,EOMONTH(INDEX(DarlAuszahlung,20),61)+1)</f>
      </c>
      <c r="F9185" s="43">
        <f>IF($E9185=0,0,YEAR($E9185))</f>
      </c>
      <c r="G9185" s="43">
        <f>IF(INDEX(DarlBindung,20)="",1,IF($E9185&lt;=INDEX(DarlBindung,20),1,0))</f>
      </c>
      <c r="H9185" s="43">
        <f>IF($G9185=1,INDEX(DarlSollzins,20),INDEX(DarlAnschluss,20))</f>
      </c>
      <c r="I9185" s="43">
        <f>IF(INDEX(DarlBelegt,20)=0,0,IF(INDEX(DarlOhneTilgung,20)=1,IF(INDEX(DarlBindung,20)="",1,$G9185),IF($J9185&gt;0.005,1,0)))</f>
      </c>
      <c r="J9185" s="43">
        <f>IF($I9184=0,0,$R9184)</f>
      </c>
      <c r="K9185" s="43">
        <f>IF($I9185=0,0,IF(INDEX(DarlOhneTilgung,20)=1,0,IF(AND(INDEX(DarlTilgStart,20)&gt;0,$E9185=INDEX(DarlTilgStart,20)),$J9185*($H9185+INDEX(DarlTilgung,20))/100/12,IF(AND($G9185=0,$G9184=1),MAX($K9184,$J9185*($H9185+1)/100/12),$K9184))))</f>
      </c>
      <c r="L9185" s="43">
        <f>IF($I9185=0,0,$J9185*$H9185/100/12)</f>
      </c>
      <c r="M9185" s="43">
        <f>IF($I9185=0,0,IF(OR(INDEX(DarlOhneTilgung,20)=1,AND(INDEX(DarlTilgStart,20)&gt;0,$E9185&lt;INDEX(DarlTilgStart,20))),0,MIN(MAX(0,$K9185-$L9185),$J9185)))</f>
      </c>
      <c r="N9185" s="43">
        <f>IF($I9185=0,0,MIN(SUMIFS(SondBetrag,SondDarl,20,SondDatum,"&gt;="&amp;$E9185,SondDatum,"&lt;="&amp;EOMONTH($E9185,0)),$J9185-$M9185))</f>
      </c>
      <c r="O9185" s="43">
        <f>IF($I9185=0,0,INDEX(DarlErsatzRate,20))</f>
      </c>
      <c r="P9185" s="43">
        <f>IF($I9185=0,0,$Q9184*INDEX(DarlErsatzZins,20))</f>
      </c>
      <c r="Q9185" s="43">
        <f>IF($I9185=0,0,$Q9184+$P9185+$O9185)</f>
      </c>
      <c r="R9185" s="43">
        <f>IF($I9185=0,0,$J9185-$M9185-$N9185)</f>
      </c>
    </row>
    <row r="9186">
      <c r="A9186"/>
      <c r="B9186">
        <v>20</v>
      </c>
      <c r="C9186" s="43">
        <f>INDEX(DarlObj,20)</f>
      </c>
      <c r="D9186">
        <v>63</v>
      </c>
      <c r="E9186" s="51">
        <f>IF(INDEX(DarlBelegt,20)=0,0,EOMONTH(INDEX(DarlAuszahlung,20),62)+1)</f>
      </c>
      <c r="F9186" s="43">
        <f>IF($E9186=0,0,YEAR($E9186))</f>
      </c>
      <c r="G9186" s="43">
        <f>IF(INDEX(DarlBindung,20)="",1,IF($E9186&lt;=INDEX(DarlBindung,20),1,0))</f>
      </c>
      <c r="H9186" s="43">
        <f>IF($G9186=1,INDEX(DarlSollzins,20),INDEX(DarlAnschluss,20))</f>
      </c>
      <c r="I9186" s="43">
        <f>IF(INDEX(DarlBelegt,20)=0,0,IF(INDEX(DarlOhneTilgung,20)=1,IF(INDEX(DarlBindung,20)="",1,$G9186),IF($J9186&gt;0.005,1,0)))</f>
      </c>
      <c r="J9186" s="43">
        <f>IF($I9185=0,0,$R9185)</f>
      </c>
      <c r="K9186" s="43">
        <f>IF($I9186=0,0,IF(INDEX(DarlOhneTilgung,20)=1,0,IF(AND(INDEX(DarlTilgStart,20)&gt;0,$E9186=INDEX(DarlTilgStart,20)),$J9186*($H9186+INDEX(DarlTilgung,20))/100/12,IF(AND($G9186=0,$G9185=1),MAX($K9185,$J9186*($H9186+1)/100/12),$K9185))))</f>
      </c>
      <c r="L9186" s="43">
        <f>IF($I9186=0,0,$J9186*$H9186/100/12)</f>
      </c>
      <c r="M9186" s="43">
        <f>IF($I9186=0,0,IF(OR(INDEX(DarlOhneTilgung,20)=1,AND(INDEX(DarlTilgStart,20)&gt;0,$E9186&lt;INDEX(DarlTilgStart,20))),0,MIN(MAX(0,$K9186-$L9186),$J9186)))</f>
      </c>
      <c r="N9186" s="43">
        <f>IF($I9186=0,0,MIN(SUMIFS(SondBetrag,SondDarl,20,SondDatum,"&gt;="&amp;$E9186,SondDatum,"&lt;="&amp;EOMONTH($E9186,0)),$J9186-$M9186))</f>
      </c>
      <c r="O9186" s="43">
        <f>IF($I9186=0,0,INDEX(DarlErsatzRate,20))</f>
      </c>
      <c r="P9186" s="43">
        <f>IF($I9186=0,0,$Q9185*INDEX(DarlErsatzZins,20))</f>
      </c>
      <c r="Q9186" s="43">
        <f>IF($I9186=0,0,$Q9185+$P9186+$O9186)</f>
      </c>
      <c r="R9186" s="43">
        <f>IF($I9186=0,0,$J9186-$M9186-$N9186)</f>
      </c>
    </row>
    <row r="9187">
      <c r="A9187"/>
      <c r="B9187">
        <v>20</v>
      </c>
      <c r="C9187" s="43">
        <f>INDEX(DarlObj,20)</f>
      </c>
      <c r="D9187">
        <v>64</v>
      </c>
      <c r="E9187" s="51">
        <f>IF(INDEX(DarlBelegt,20)=0,0,EOMONTH(INDEX(DarlAuszahlung,20),63)+1)</f>
      </c>
      <c r="F9187" s="43">
        <f>IF($E9187=0,0,YEAR($E9187))</f>
      </c>
      <c r="G9187" s="43">
        <f>IF(INDEX(DarlBindung,20)="",1,IF($E9187&lt;=INDEX(DarlBindung,20),1,0))</f>
      </c>
      <c r="H9187" s="43">
        <f>IF($G9187=1,INDEX(DarlSollzins,20),INDEX(DarlAnschluss,20))</f>
      </c>
      <c r="I9187" s="43">
        <f>IF(INDEX(DarlBelegt,20)=0,0,IF(INDEX(DarlOhneTilgung,20)=1,IF(INDEX(DarlBindung,20)="",1,$G9187),IF($J9187&gt;0.005,1,0)))</f>
      </c>
      <c r="J9187" s="43">
        <f>IF($I9186=0,0,$R9186)</f>
      </c>
      <c r="K9187" s="43">
        <f>IF($I9187=0,0,IF(INDEX(DarlOhneTilgung,20)=1,0,IF(AND(INDEX(DarlTilgStart,20)&gt;0,$E9187=INDEX(DarlTilgStart,20)),$J9187*($H9187+INDEX(DarlTilgung,20))/100/12,IF(AND($G9187=0,$G9186=1),MAX($K9186,$J9187*($H9187+1)/100/12),$K9186))))</f>
      </c>
      <c r="L9187" s="43">
        <f>IF($I9187=0,0,$J9187*$H9187/100/12)</f>
      </c>
      <c r="M9187" s="43">
        <f>IF($I9187=0,0,IF(OR(INDEX(DarlOhneTilgung,20)=1,AND(INDEX(DarlTilgStart,20)&gt;0,$E9187&lt;INDEX(DarlTilgStart,20))),0,MIN(MAX(0,$K9187-$L9187),$J9187)))</f>
      </c>
      <c r="N9187" s="43">
        <f>IF($I9187=0,0,MIN(SUMIFS(SondBetrag,SondDarl,20,SondDatum,"&gt;="&amp;$E9187,SondDatum,"&lt;="&amp;EOMONTH($E9187,0)),$J9187-$M9187))</f>
      </c>
      <c r="O9187" s="43">
        <f>IF($I9187=0,0,INDEX(DarlErsatzRate,20))</f>
      </c>
      <c r="P9187" s="43">
        <f>IF($I9187=0,0,$Q9186*INDEX(DarlErsatzZins,20))</f>
      </c>
      <c r="Q9187" s="43">
        <f>IF($I9187=0,0,$Q9186+$P9187+$O9187)</f>
      </c>
      <c r="R9187" s="43">
        <f>IF($I9187=0,0,$J9187-$M9187-$N9187)</f>
      </c>
    </row>
    <row r="9188">
      <c r="A9188"/>
      <c r="B9188">
        <v>20</v>
      </c>
      <c r="C9188" s="43">
        <f>INDEX(DarlObj,20)</f>
      </c>
      <c r="D9188">
        <v>65</v>
      </c>
      <c r="E9188" s="51">
        <f>IF(INDEX(DarlBelegt,20)=0,0,EOMONTH(INDEX(DarlAuszahlung,20),64)+1)</f>
      </c>
      <c r="F9188" s="43">
        <f>IF($E9188=0,0,YEAR($E9188))</f>
      </c>
      <c r="G9188" s="43">
        <f>IF(INDEX(DarlBindung,20)="",1,IF($E9188&lt;=INDEX(DarlBindung,20),1,0))</f>
      </c>
      <c r="H9188" s="43">
        <f>IF($G9188=1,INDEX(DarlSollzins,20),INDEX(DarlAnschluss,20))</f>
      </c>
      <c r="I9188" s="43">
        <f>IF(INDEX(DarlBelegt,20)=0,0,IF(INDEX(DarlOhneTilgung,20)=1,IF(INDEX(DarlBindung,20)="",1,$G9188),IF($J9188&gt;0.005,1,0)))</f>
      </c>
      <c r="J9188" s="43">
        <f>IF($I9187=0,0,$R9187)</f>
      </c>
      <c r="K9188" s="43">
        <f>IF($I9188=0,0,IF(INDEX(DarlOhneTilgung,20)=1,0,IF(AND(INDEX(DarlTilgStart,20)&gt;0,$E9188=INDEX(DarlTilgStart,20)),$J9188*($H9188+INDEX(DarlTilgung,20))/100/12,IF(AND($G9188=0,$G9187=1),MAX($K9187,$J9188*($H9188+1)/100/12),$K9187))))</f>
      </c>
      <c r="L9188" s="43">
        <f>IF($I9188=0,0,$J9188*$H9188/100/12)</f>
      </c>
      <c r="M9188" s="43">
        <f>IF($I9188=0,0,IF(OR(INDEX(DarlOhneTilgung,20)=1,AND(INDEX(DarlTilgStart,20)&gt;0,$E9188&lt;INDEX(DarlTilgStart,20))),0,MIN(MAX(0,$K9188-$L9188),$J9188)))</f>
      </c>
      <c r="N9188" s="43">
        <f>IF($I9188=0,0,MIN(SUMIFS(SondBetrag,SondDarl,20,SondDatum,"&gt;="&amp;$E9188,SondDatum,"&lt;="&amp;EOMONTH($E9188,0)),$J9188-$M9188))</f>
      </c>
      <c r="O9188" s="43">
        <f>IF($I9188=0,0,INDEX(DarlErsatzRate,20))</f>
      </c>
      <c r="P9188" s="43">
        <f>IF($I9188=0,0,$Q9187*INDEX(DarlErsatzZins,20))</f>
      </c>
      <c r="Q9188" s="43">
        <f>IF($I9188=0,0,$Q9187+$P9188+$O9188)</f>
      </c>
      <c r="R9188" s="43">
        <f>IF($I9188=0,0,$J9188-$M9188-$N9188)</f>
      </c>
    </row>
    <row r="9189">
      <c r="A9189"/>
      <c r="B9189">
        <v>20</v>
      </c>
      <c r="C9189" s="43">
        <f>INDEX(DarlObj,20)</f>
      </c>
      <c r="D9189">
        <v>66</v>
      </c>
      <c r="E9189" s="51">
        <f>IF(INDEX(DarlBelegt,20)=0,0,EOMONTH(INDEX(DarlAuszahlung,20),65)+1)</f>
      </c>
      <c r="F9189" s="43">
        <f>IF($E9189=0,0,YEAR($E9189))</f>
      </c>
      <c r="G9189" s="43">
        <f>IF(INDEX(DarlBindung,20)="",1,IF($E9189&lt;=INDEX(DarlBindung,20),1,0))</f>
      </c>
      <c r="H9189" s="43">
        <f>IF($G9189=1,INDEX(DarlSollzins,20),INDEX(DarlAnschluss,20))</f>
      </c>
      <c r="I9189" s="43">
        <f>IF(INDEX(DarlBelegt,20)=0,0,IF(INDEX(DarlOhneTilgung,20)=1,IF(INDEX(DarlBindung,20)="",1,$G9189),IF($J9189&gt;0.005,1,0)))</f>
      </c>
      <c r="J9189" s="43">
        <f>IF($I9188=0,0,$R9188)</f>
      </c>
      <c r="K9189" s="43">
        <f>IF($I9189=0,0,IF(INDEX(DarlOhneTilgung,20)=1,0,IF(AND(INDEX(DarlTilgStart,20)&gt;0,$E9189=INDEX(DarlTilgStart,20)),$J9189*($H9189+INDEX(DarlTilgung,20))/100/12,IF(AND($G9189=0,$G9188=1),MAX($K9188,$J9189*($H9189+1)/100/12),$K9188))))</f>
      </c>
      <c r="L9189" s="43">
        <f>IF($I9189=0,0,$J9189*$H9189/100/12)</f>
      </c>
      <c r="M9189" s="43">
        <f>IF($I9189=0,0,IF(OR(INDEX(DarlOhneTilgung,20)=1,AND(INDEX(DarlTilgStart,20)&gt;0,$E9189&lt;INDEX(DarlTilgStart,20))),0,MIN(MAX(0,$K9189-$L9189),$J9189)))</f>
      </c>
      <c r="N9189" s="43">
        <f>IF($I9189=0,0,MIN(SUMIFS(SondBetrag,SondDarl,20,SondDatum,"&gt;="&amp;$E9189,SondDatum,"&lt;="&amp;EOMONTH($E9189,0)),$J9189-$M9189))</f>
      </c>
      <c r="O9189" s="43">
        <f>IF($I9189=0,0,INDEX(DarlErsatzRate,20))</f>
      </c>
      <c r="P9189" s="43">
        <f>IF($I9189=0,0,$Q9188*INDEX(DarlErsatzZins,20))</f>
      </c>
      <c r="Q9189" s="43">
        <f>IF($I9189=0,0,$Q9188+$P9189+$O9189)</f>
      </c>
      <c r="R9189" s="43">
        <f>IF($I9189=0,0,$J9189-$M9189-$N9189)</f>
      </c>
    </row>
    <row r="9190">
      <c r="A9190"/>
      <c r="B9190">
        <v>20</v>
      </c>
      <c r="C9190" s="43">
        <f>INDEX(DarlObj,20)</f>
      </c>
      <c r="D9190">
        <v>67</v>
      </c>
      <c r="E9190" s="51">
        <f>IF(INDEX(DarlBelegt,20)=0,0,EOMONTH(INDEX(DarlAuszahlung,20),66)+1)</f>
      </c>
      <c r="F9190" s="43">
        <f>IF($E9190=0,0,YEAR($E9190))</f>
      </c>
      <c r="G9190" s="43">
        <f>IF(INDEX(DarlBindung,20)="",1,IF($E9190&lt;=INDEX(DarlBindung,20),1,0))</f>
      </c>
      <c r="H9190" s="43">
        <f>IF($G9190=1,INDEX(DarlSollzins,20),INDEX(DarlAnschluss,20))</f>
      </c>
      <c r="I9190" s="43">
        <f>IF(INDEX(DarlBelegt,20)=0,0,IF(INDEX(DarlOhneTilgung,20)=1,IF(INDEX(DarlBindung,20)="",1,$G9190),IF($J9190&gt;0.005,1,0)))</f>
      </c>
      <c r="J9190" s="43">
        <f>IF($I9189=0,0,$R9189)</f>
      </c>
      <c r="K9190" s="43">
        <f>IF($I9190=0,0,IF(INDEX(DarlOhneTilgung,20)=1,0,IF(AND(INDEX(DarlTilgStart,20)&gt;0,$E9190=INDEX(DarlTilgStart,20)),$J9190*($H9190+INDEX(DarlTilgung,20))/100/12,IF(AND($G9190=0,$G9189=1),MAX($K9189,$J9190*($H9190+1)/100/12),$K9189))))</f>
      </c>
      <c r="L9190" s="43">
        <f>IF($I9190=0,0,$J9190*$H9190/100/12)</f>
      </c>
      <c r="M9190" s="43">
        <f>IF($I9190=0,0,IF(OR(INDEX(DarlOhneTilgung,20)=1,AND(INDEX(DarlTilgStart,20)&gt;0,$E9190&lt;INDEX(DarlTilgStart,20))),0,MIN(MAX(0,$K9190-$L9190),$J9190)))</f>
      </c>
      <c r="N9190" s="43">
        <f>IF($I9190=0,0,MIN(SUMIFS(SondBetrag,SondDarl,20,SondDatum,"&gt;="&amp;$E9190,SondDatum,"&lt;="&amp;EOMONTH($E9190,0)),$J9190-$M9190))</f>
      </c>
      <c r="O9190" s="43">
        <f>IF($I9190=0,0,INDEX(DarlErsatzRate,20))</f>
      </c>
      <c r="P9190" s="43">
        <f>IF($I9190=0,0,$Q9189*INDEX(DarlErsatzZins,20))</f>
      </c>
      <c r="Q9190" s="43">
        <f>IF($I9190=0,0,$Q9189+$P9190+$O9190)</f>
      </c>
      <c r="R9190" s="43">
        <f>IF($I9190=0,0,$J9190-$M9190-$N9190)</f>
      </c>
    </row>
    <row r="9191">
      <c r="A9191"/>
      <c r="B9191">
        <v>20</v>
      </c>
      <c r="C9191" s="43">
        <f>INDEX(DarlObj,20)</f>
      </c>
      <c r="D9191">
        <v>68</v>
      </c>
      <c r="E9191" s="51">
        <f>IF(INDEX(DarlBelegt,20)=0,0,EOMONTH(INDEX(DarlAuszahlung,20),67)+1)</f>
      </c>
      <c r="F9191" s="43">
        <f>IF($E9191=0,0,YEAR($E9191))</f>
      </c>
      <c r="G9191" s="43">
        <f>IF(INDEX(DarlBindung,20)="",1,IF($E9191&lt;=INDEX(DarlBindung,20),1,0))</f>
      </c>
      <c r="H9191" s="43">
        <f>IF($G9191=1,INDEX(DarlSollzins,20),INDEX(DarlAnschluss,20))</f>
      </c>
      <c r="I9191" s="43">
        <f>IF(INDEX(DarlBelegt,20)=0,0,IF(INDEX(DarlOhneTilgung,20)=1,IF(INDEX(DarlBindung,20)="",1,$G9191),IF($J9191&gt;0.005,1,0)))</f>
      </c>
      <c r="J9191" s="43">
        <f>IF($I9190=0,0,$R9190)</f>
      </c>
      <c r="K9191" s="43">
        <f>IF($I9191=0,0,IF(INDEX(DarlOhneTilgung,20)=1,0,IF(AND(INDEX(DarlTilgStart,20)&gt;0,$E9191=INDEX(DarlTilgStart,20)),$J9191*($H9191+INDEX(DarlTilgung,20))/100/12,IF(AND($G9191=0,$G9190=1),MAX($K9190,$J9191*($H9191+1)/100/12),$K9190))))</f>
      </c>
      <c r="L9191" s="43">
        <f>IF($I9191=0,0,$J9191*$H9191/100/12)</f>
      </c>
      <c r="M9191" s="43">
        <f>IF($I9191=0,0,IF(OR(INDEX(DarlOhneTilgung,20)=1,AND(INDEX(DarlTilgStart,20)&gt;0,$E9191&lt;INDEX(DarlTilgStart,20))),0,MIN(MAX(0,$K9191-$L9191),$J9191)))</f>
      </c>
      <c r="N9191" s="43">
        <f>IF($I9191=0,0,MIN(SUMIFS(SondBetrag,SondDarl,20,SondDatum,"&gt;="&amp;$E9191,SondDatum,"&lt;="&amp;EOMONTH($E9191,0)),$J9191-$M9191))</f>
      </c>
      <c r="O9191" s="43">
        <f>IF($I9191=0,0,INDEX(DarlErsatzRate,20))</f>
      </c>
      <c r="P9191" s="43">
        <f>IF($I9191=0,0,$Q9190*INDEX(DarlErsatzZins,20))</f>
      </c>
      <c r="Q9191" s="43">
        <f>IF($I9191=0,0,$Q9190+$P9191+$O9191)</f>
      </c>
      <c r="R9191" s="43">
        <f>IF($I9191=0,0,$J9191-$M9191-$N9191)</f>
      </c>
    </row>
    <row r="9192">
      <c r="A9192"/>
      <c r="B9192">
        <v>20</v>
      </c>
      <c r="C9192" s="43">
        <f>INDEX(DarlObj,20)</f>
      </c>
      <c r="D9192">
        <v>69</v>
      </c>
      <c r="E9192" s="51">
        <f>IF(INDEX(DarlBelegt,20)=0,0,EOMONTH(INDEX(DarlAuszahlung,20),68)+1)</f>
      </c>
      <c r="F9192" s="43">
        <f>IF($E9192=0,0,YEAR($E9192))</f>
      </c>
      <c r="G9192" s="43">
        <f>IF(INDEX(DarlBindung,20)="",1,IF($E9192&lt;=INDEX(DarlBindung,20),1,0))</f>
      </c>
      <c r="H9192" s="43">
        <f>IF($G9192=1,INDEX(DarlSollzins,20),INDEX(DarlAnschluss,20))</f>
      </c>
      <c r="I9192" s="43">
        <f>IF(INDEX(DarlBelegt,20)=0,0,IF(INDEX(DarlOhneTilgung,20)=1,IF(INDEX(DarlBindung,20)="",1,$G9192),IF($J9192&gt;0.005,1,0)))</f>
      </c>
      <c r="J9192" s="43">
        <f>IF($I9191=0,0,$R9191)</f>
      </c>
      <c r="K9192" s="43">
        <f>IF($I9192=0,0,IF(INDEX(DarlOhneTilgung,20)=1,0,IF(AND(INDEX(DarlTilgStart,20)&gt;0,$E9192=INDEX(DarlTilgStart,20)),$J9192*($H9192+INDEX(DarlTilgung,20))/100/12,IF(AND($G9192=0,$G9191=1),MAX($K9191,$J9192*($H9192+1)/100/12),$K9191))))</f>
      </c>
      <c r="L9192" s="43">
        <f>IF($I9192=0,0,$J9192*$H9192/100/12)</f>
      </c>
      <c r="M9192" s="43">
        <f>IF($I9192=0,0,IF(OR(INDEX(DarlOhneTilgung,20)=1,AND(INDEX(DarlTilgStart,20)&gt;0,$E9192&lt;INDEX(DarlTilgStart,20))),0,MIN(MAX(0,$K9192-$L9192),$J9192)))</f>
      </c>
      <c r="N9192" s="43">
        <f>IF($I9192=0,0,MIN(SUMIFS(SondBetrag,SondDarl,20,SondDatum,"&gt;="&amp;$E9192,SondDatum,"&lt;="&amp;EOMONTH($E9192,0)),$J9192-$M9192))</f>
      </c>
      <c r="O9192" s="43">
        <f>IF($I9192=0,0,INDEX(DarlErsatzRate,20))</f>
      </c>
      <c r="P9192" s="43">
        <f>IF($I9192=0,0,$Q9191*INDEX(DarlErsatzZins,20))</f>
      </c>
      <c r="Q9192" s="43">
        <f>IF($I9192=0,0,$Q9191+$P9192+$O9192)</f>
      </c>
      <c r="R9192" s="43">
        <f>IF($I9192=0,0,$J9192-$M9192-$N9192)</f>
      </c>
    </row>
    <row r="9193">
      <c r="A9193"/>
      <c r="B9193">
        <v>20</v>
      </c>
      <c r="C9193" s="43">
        <f>INDEX(DarlObj,20)</f>
      </c>
      <c r="D9193">
        <v>70</v>
      </c>
      <c r="E9193" s="51">
        <f>IF(INDEX(DarlBelegt,20)=0,0,EOMONTH(INDEX(DarlAuszahlung,20),69)+1)</f>
      </c>
      <c r="F9193" s="43">
        <f>IF($E9193=0,0,YEAR($E9193))</f>
      </c>
      <c r="G9193" s="43">
        <f>IF(INDEX(DarlBindung,20)="",1,IF($E9193&lt;=INDEX(DarlBindung,20),1,0))</f>
      </c>
      <c r="H9193" s="43">
        <f>IF($G9193=1,INDEX(DarlSollzins,20),INDEX(DarlAnschluss,20))</f>
      </c>
      <c r="I9193" s="43">
        <f>IF(INDEX(DarlBelegt,20)=0,0,IF(INDEX(DarlOhneTilgung,20)=1,IF(INDEX(DarlBindung,20)="",1,$G9193),IF($J9193&gt;0.005,1,0)))</f>
      </c>
      <c r="J9193" s="43">
        <f>IF($I9192=0,0,$R9192)</f>
      </c>
      <c r="K9193" s="43">
        <f>IF($I9193=0,0,IF(INDEX(DarlOhneTilgung,20)=1,0,IF(AND(INDEX(DarlTilgStart,20)&gt;0,$E9193=INDEX(DarlTilgStart,20)),$J9193*($H9193+INDEX(DarlTilgung,20))/100/12,IF(AND($G9193=0,$G9192=1),MAX($K9192,$J9193*($H9193+1)/100/12),$K9192))))</f>
      </c>
      <c r="L9193" s="43">
        <f>IF($I9193=0,0,$J9193*$H9193/100/12)</f>
      </c>
      <c r="M9193" s="43">
        <f>IF($I9193=0,0,IF(OR(INDEX(DarlOhneTilgung,20)=1,AND(INDEX(DarlTilgStart,20)&gt;0,$E9193&lt;INDEX(DarlTilgStart,20))),0,MIN(MAX(0,$K9193-$L9193),$J9193)))</f>
      </c>
      <c r="N9193" s="43">
        <f>IF($I9193=0,0,MIN(SUMIFS(SondBetrag,SondDarl,20,SondDatum,"&gt;="&amp;$E9193,SondDatum,"&lt;="&amp;EOMONTH($E9193,0)),$J9193-$M9193))</f>
      </c>
      <c r="O9193" s="43">
        <f>IF($I9193=0,0,INDEX(DarlErsatzRate,20))</f>
      </c>
      <c r="P9193" s="43">
        <f>IF($I9193=0,0,$Q9192*INDEX(DarlErsatzZins,20))</f>
      </c>
      <c r="Q9193" s="43">
        <f>IF($I9193=0,0,$Q9192+$P9193+$O9193)</f>
      </c>
      <c r="R9193" s="43">
        <f>IF($I9193=0,0,$J9193-$M9193-$N9193)</f>
      </c>
    </row>
    <row r="9194">
      <c r="A9194"/>
      <c r="B9194">
        <v>20</v>
      </c>
      <c r="C9194" s="43">
        <f>INDEX(DarlObj,20)</f>
      </c>
      <c r="D9194">
        <v>71</v>
      </c>
      <c r="E9194" s="51">
        <f>IF(INDEX(DarlBelegt,20)=0,0,EOMONTH(INDEX(DarlAuszahlung,20),70)+1)</f>
      </c>
      <c r="F9194" s="43">
        <f>IF($E9194=0,0,YEAR($E9194))</f>
      </c>
      <c r="G9194" s="43">
        <f>IF(INDEX(DarlBindung,20)="",1,IF($E9194&lt;=INDEX(DarlBindung,20),1,0))</f>
      </c>
      <c r="H9194" s="43">
        <f>IF($G9194=1,INDEX(DarlSollzins,20),INDEX(DarlAnschluss,20))</f>
      </c>
      <c r="I9194" s="43">
        <f>IF(INDEX(DarlBelegt,20)=0,0,IF(INDEX(DarlOhneTilgung,20)=1,IF(INDEX(DarlBindung,20)="",1,$G9194),IF($J9194&gt;0.005,1,0)))</f>
      </c>
      <c r="J9194" s="43">
        <f>IF($I9193=0,0,$R9193)</f>
      </c>
      <c r="K9194" s="43">
        <f>IF($I9194=0,0,IF(INDEX(DarlOhneTilgung,20)=1,0,IF(AND(INDEX(DarlTilgStart,20)&gt;0,$E9194=INDEX(DarlTilgStart,20)),$J9194*($H9194+INDEX(DarlTilgung,20))/100/12,IF(AND($G9194=0,$G9193=1),MAX($K9193,$J9194*($H9194+1)/100/12),$K9193))))</f>
      </c>
      <c r="L9194" s="43">
        <f>IF($I9194=0,0,$J9194*$H9194/100/12)</f>
      </c>
      <c r="M9194" s="43">
        <f>IF($I9194=0,0,IF(OR(INDEX(DarlOhneTilgung,20)=1,AND(INDEX(DarlTilgStart,20)&gt;0,$E9194&lt;INDEX(DarlTilgStart,20))),0,MIN(MAX(0,$K9194-$L9194),$J9194)))</f>
      </c>
      <c r="N9194" s="43">
        <f>IF($I9194=0,0,MIN(SUMIFS(SondBetrag,SondDarl,20,SondDatum,"&gt;="&amp;$E9194,SondDatum,"&lt;="&amp;EOMONTH($E9194,0)),$J9194-$M9194))</f>
      </c>
      <c r="O9194" s="43">
        <f>IF($I9194=0,0,INDEX(DarlErsatzRate,20))</f>
      </c>
      <c r="P9194" s="43">
        <f>IF($I9194=0,0,$Q9193*INDEX(DarlErsatzZins,20))</f>
      </c>
      <c r="Q9194" s="43">
        <f>IF($I9194=0,0,$Q9193+$P9194+$O9194)</f>
      </c>
      <c r="R9194" s="43">
        <f>IF($I9194=0,0,$J9194-$M9194-$N9194)</f>
      </c>
    </row>
    <row r="9195">
      <c r="A9195"/>
      <c r="B9195">
        <v>20</v>
      </c>
      <c r="C9195" s="43">
        <f>INDEX(DarlObj,20)</f>
      </c>
      <c r="D9195">
        <v>72</v>
      </c>
      <c r="E9195" s="51">
        <f>IF(INDEX(DarlBelegt,20)=0,0,EOMONTH(INDEX(DarlAuszahlung,20),71)+1)</f>
      </c>
      <c r="F9195" s="43">
        <f>IF($E9195=0,0,YEAR($E9195))</f>
      </c>
      <c r="G9195" s="43">
        <f>IF(INDEX(DarlBindung,20)="",1,IF($E9195&lt;=INDEX(DarlBindung,20),1,0))</f>
      </c>
      <c r="H9195" s="43">
        <f>IF($G9195=1,INDEX(DarlSollzins,20),INDEX(DarlAnschluss,20))</f>
      </c>
      <c r="I9195" s="43">
        <f>IF(INDEX(DarlBelegt,20)=0,0,IF(INDEX(DarlOhneTilgung,20)=1,IF(INDEX(DarlBindung,20)="",1,$G9195),IF($J9195&gt;0.005,1,0)))</f>
      </c>
      <c r="J9195" s="43">
        <f>IF($I9194=0,0,$R9194)</f>
      </c>
      <c r="K9195" s="43">
        <f>IF($I9195=0,0,IF(INDEX(DarlOhneTilgung,20)=1,0,IF(AND(INDEX(DarlTilgStart,20)&gt;0,$E9195=INDEX(DarlTilgStart,20)),$J9195*($H9195+INDEX(DarlTilgung,20))/100/12,IF(AND($G9195=0,$G9194=1),MAX($K9194,$J9195*($H9195+1)/100/12),$K9194))))</f>
      </c>
      <c r="L9195" s="43">
        <f>IF($I9195=0,0,$J9195*$H9195/100/12)</f>
      </c>
      <c r="M9195" s="43">
        <f>IF($I9195=0,0,IF(OR(INDEX(DarlOhneTilgung,20)=1,AND(INDEX(DarlTilgStart,20)&gt;0,$E9195&lt;INDEX(DarlTilgStart,20))),0,MIN(MAX(0,$K9195-$L9195),$J9195)))</f>
      </c>
      <c r="N9195" s="43">
        <f>IF($I9195=0,0,MIN(SUMIFS(SondBetrag,SondDarl,20,SondDatum,"&gt;="&amp;$E9195,SondDatum,"&lt;="&amp;EOMONTH($E9195,0)),$J9195-$M9195))</f>
      </c>
      <c r="O9195" s="43">
        <f>IF($I9195=0,0,INDEX(DarlErsatzRate,20))</f>
      </c>
      <c r="P9195" s="43">
        <f>IF($I9195=0,0,$Q9194*INDEX(DarlErsatzZins,20))</f>
      </c>
      <c r="Q9195" s="43">
        <f>IF($I9195=0,0,$Q9194+$P9195+$O9195)</f>
      </c>
      <c r="R9195" s="43">
        <f>IF($I9195=0,0,$J9195-$M9195-$N9195)</f>
      </c>
    </row>
    <row r="9196">
      <c r="A9196"/>
      <c r="B9196">
        <v>20</v>
      </c>
      <c r="C9196" s="43">
        <f>INDEX(DarlObj,20)</f>
      </c>
      <c r="D9196">
        <v>73</v>
      </c>
      <c r="E9196" s="51">
        <f>IF(INDEX(DarlBelegt,20)=0,0,EOMONTH(INDEX(DarlAuszahlung,20),72)+1)</f>
      </c>
      <c r="F9196" s="43">
        <f>IF($E9196=0,0,YEAR($E9196))</f>
      </c>
      <c r="G9196" s="43">
        <f>IF(INDEX(DarlBindung,20)="",1,IF($E9196&lt;=INDEX(DarlBindung,20),1,0))</f>
      </c>
      <c r="H9196" s="43">
        <f>IF($G9196=1,INDEX(DarlSollzins,20),INDEX(DarlAnschluss,20))</f>
      </c>
      <c r="I9196" s="43">
        <f>IF(INDEX(DarlBelegt,20)=0,0,IF(INDEX(DarlOhneTilgung,20)=1,IF(INDEX(DarlBindung,20)="",1,$G9196),IF($J9196&gt;0.005,1,0)))</f>
      </c>
      <c r="J9196" s="43">
        <f>IF($I9195=0,0,$R9195)</f>
      </c>
      <c r="K9196" s="43">
        <f>IF($I9196=0,0,IF(INDEX(DarlOhneTilgung,20)=1,0,IF(AND(INDEX(DarlTilgStart,20)&gt;0,$E9196=INDEX(DarlTilgStart,20)),$J9196*($H9196+INDEX(DarlTilgung,20))/100/12,IF(AND($G9196=0,$G9195=1),MAX($K9195,$J9196*($H9196+1)/100/12),$K9195))))</f>
      </c>
      <c r="L9196" s="43">
        <f>IF($I9196=0,0,$J9196*$H9196/100/12)</f>
      </c>
      <c r="M9196" s="43">
        <f>IF($I9196=0,0,IF(OR(INDEX(DarlOhneTilgung,20)=1,AND(INDEX(DarlTilgStart,20)&gt;0,$E9196&lt;INDEX(DarlTilgStart,20))),0,MIN(MAX(0,$K9196-$L9196),$J9196)))</f>
      </c>
      <c r="N9196" s="43">
        <f>IF($I9196=0,0,MIN(SUMIFS(SondBetrag,SondDarl,20,SondDatum,"&gt;="&amp;$E9196,SondDatum,"&lt;="&amp;EOMONTH($E9196,0)),$J9196-$M9196))</f>
      </c>
      <c r="O9196" s="43">
        <f>IF($I9196=0,0,INDEX(DarlErsatzRate,20))</f>
      </c>
      <c r="P9196" s="43">
        <f>IF($I9196=0,0,$Q9195*INDEX(DarlErsatzZins,20))</f>
      </c>
      <c r="Q9196" s="43">
        <f>IF($I9196=0,0,$Q9195+$P9196+$O9196)</f>
      </c>
      <c r="R9196" s="43">
        <f>IF($I9196=0,0,$J9196-$M9196-$N9196)</f>
      </c>
    </row>
    <row r="9197">
      <c r="A9197"/>
      <c r="B9197">
        <v>20</v>
      </c>
      <c r="C9197" s="43">
        <f>INDEX(DarlObj,20)</f>
      </c>
      <c r="D9197">
        <v>74</v>
      </c>
      <c r="E9197" s="51">
        <f>IF(INDEX(DarlBelegt,20)=0,0,EOMONTH(INDEX(DarlAuszahlung,20),73)+1)</f>
      </c>
      <c r="F9197" s="43">
        <f>IF($E9197=0,0,YEAR($E9197))</f>
      </c>
      <c r="G9197" s="43">
        <f>IF(INDEX(DarlBindung,20)="",1,IF($E9197&lt;=INDEX(DarlBindung,20),1,0))</f>
      </c>
      <c r="H9197" s="43">
        <f>IF($G9197=1,INDEX(DarlSollzins,20),INDEX(DarlAnschluss,20))</f>
      </c>
      <c r="I9197" s="43">
        <f>IF(INDEX(DarlBelegt,20)=0,0,IF(INDEX(DarlOhneTilgung,20)=1,IF(INDEX(DarlBindung,20)="",1,$G9197),IF($J9197&gt;0.005,1,0)))</f>
      </c>
      <c r="J9197" s="43">
        <f>IF($I9196=0,0,$R9196)</f>
      </c>
      <c r="K9197" s="43">
        <f>IF($I9197=0,0,IF(INDEX(DarlOhneTilgung,20)=1,0,IF(AND(INDEX(DarlTilgStart,20)&gt;0,$E9197=INDEX(DarlTilgStart,20)),$J9197*($H9197+INDEX(DarlTilgung,20))/100/12,IF(AND($G9197=0,$G9196=1),MAX($K9196,$J9197*($H9197+1)/100/12),$K9196))))</f>
      </c>
      <c r="L9197" s="43">
        <f>IF($I9197=0,0,$J9197*$H9197/100/12)</f>
      </c>
      <c r="M9197" s="43">
        <f>IF($I9197=0,0,IF(OR(INDEX(DarlOhneTilgung,20)=1,AND(INDEX(DarlTilgStart,20)&gt;0,$E9197&lt;INDEX(DarlTilgStart,20))),0,MIN(MAX(0,$K9197-$L9197),$J9197)))</f>
      </c>
      <c r="N9197" s="43">
        <f>IF($I9197=0,0,MIN(SUMIFS(SondBetrag,SondDarl,20,SondDatum,"&gt;="&amp;$E9197,SondDatum,"&lt;="&amp;EOMONTH($E9197,0)),$J9197-$M9197))</f>
      </c>
      <c r="O9197" s="43">
        <f>IF($I9197=0,0,INDEX(DarlErsatzRate,20))</f>
      </c>
      <c r="P9197" s="43">
        <f>IF($I9197=0,0,$Q9196*INDEX(DarlErsatzZins,20))</f>
      </c>
      <c r="Q9197" s="43">
        <f>IF($I9197=0,0,$Q9196+$P9197+$O9197)</f>
      </c>
      <c r="R9197" s="43">
        <f>IF($I9197=0,0,$J9197-$M9197-$N9197)</f>
      </c>
    </row>
    <row r="9198">
      <c r="A9198"/>
      <c r="B9198">
        <v>20</v>
      </c>
      <c r="C9198" s="43">
        <f>INDEX(DarlObj,20)</f>
      </c>
      <c r="D9198">
        <v>75</v>
      </c>
      <c r="E9198" s="51">
        <f>IF(INDEX(DarlBelegt,20)=0,0,EOMONTH(INDEX(DarlAuszahlung,20),74)+1)</f>
      </c>
      <c r="F9198" s="43">
        <f>IF($E9198=0,0,YEAR($E9198))</f>
      </c>
      <c r="G9198" s="43">
        <f>IF(INDEX(DarlBindung,20)="",1,IF($E9198&lt;=INDEX(DarlBindung,20),1,0))</f>
      </c>
      <c r="H9198" s="43">
        <f>IF($G9198=1,INDEX(DarlSollzins,20),INDEX(DarlAnschluss,20))</f>
      </c>
      <c r="I9198" s="43">
        <f>IF(INDEX(DarlBelegt,20)=0,0,IF(INDEX(DarlOhneTilgung,20)=1,IF(INDEX(DarlBindung,20)="",1,$G9198),IF($J9198&gt;0.005,1,0)))</f>
      </c>
      <c r="J9198" s="43">
        <f>IF($I9197=0,0,$R9197)</f>
      </c>
      <c r="K9198" s="43">
        <f>IF($I9198=0,0,IF(INDEX(DarlOhneTilgung,20)=1,0,IF(AND(INDEX(DarlTilgStart,20)&gt;0,$E9198=INDEX(DarlTilgStart,20)),$J9198*($H9198+INDEX(DarlTilgung,20))/100/12,IF(AND($G9198=0,$G9197=1),MAX($K9197,$J9198*($H9198+1)/100/12),$K9197))))</f>
      </c>
      <c r="L9198" s="43">
        <f>IF($I9198=0,0,$J9198*$H9198/100/12)</f>
      </c>
      <c r="M9198" s="43">
        <f>IF($I9198=0,0,IF(OR(INDEX(DarlOhneTilgung,20)=1,AND(INDEX(DarlTilgStart,20)&gt;0,$E9198&lt;INDEX(DarlTilgStart,20))),0,MIN(MAX(0,$K9198-$L9198),$J9198)))</f>
      </c>
      <c r="N9198" s="43">
        <f>IF($I9198=0,0,MIN(SUMIFS(SondBetrag,SondDarl,20,SondDatum,"&gt;="&amp;$E9198,SondDatum,"&lt;="&amp;EOMONTH($E9198,0)),$J9198-$M9198))</f>
      </c>
      <c r="O9198" s="43">
        <f>IF($I9198=0,0,INDEX(DarlErsatzRate,20))</f>
      </c>
      <c r="P9198" s="43">
        <f>IF($I9198=0,0,$Q9197*INDEX(DarlErsatzZins,20))</f>
      </c>
      <c r="Q9198" s="43">
        <f>IF($I9198=0,0,$Q9197+$P9198+$O9198)</f>
      </c>
      <c r="R9198" s="43">
        <f>IF($I9198=0,0,$J9198-$M9198-$N9198)</f>
      </c>
    </row>
    <row r="9199">
      <c r="A9199"/>
      <c r="B9199">
        <v>20</v>
      </c>
      <c r="C9199" s="43">
        <f>INDEX(DarlObj,20)</f>
      </c>
      <c r="D9199">
        <v>76</v>
      </c>
      <c r="E9199" s="51">
        <f>IF(INDEX(DarlBelegt,20)=0,0,EOMONTH(INDEX(DarlAuszahlung,20),75)+1)</f>
      </c>
      <c r="F9199" s="43">
        <f>IF($E9199=0,0,YEAR($E9199))</f>
      </c>
      <c r="G9199" s="43">
        <f>IF(INDEX(DarlBindung,20)="",1,IF($E9199&lt;=INDEX(DarlBindung,20),1,0))</f>
      </c>
      <c r="H9199" s="43">
        <f>IF($G9199=1,INDEX(DarlSollzins,20),INDEX(DarlAnschluss,20))</f>
      </c>
      <c r="I9199" s="43">
        <f>IF(INDEX(DarlBelegt,20)=0,0,IF(INDEX(DarlOhneTilgung,20)=1,IF(INDEX(DarlBindung,20)="",1,$G9199),IF($J9199&gt;0.005,1,0)))</f>
      </c>
      <c r="J9199" s="43">
        <f>IF($I9198=0,0,$R9198)</f>
      </c>
      <c r="K9199" s="43">
        <f>IF($I9199=0,0,IF(INDEX(DarlOhneTilgung,20)=1,0,IF(AND(INDEX(DarlTilgStart,20)&gt;0,$E9199=INDEX(DarlTilgStart,20)),$J9199*($H9199+INDEX(DarlTilgung,20))/100/12,IF(AND($G9199=0,$G9198=1),MAX($K9198,$J9199*($H9199+1)/100/12),$K9198))))</f>
      </c>
      <c r="L9199" s="43">
        <f>IF($I9199=0,0,$J9199*$H9199/100/12)</f>
      </c>
      <c r="M9199" s="43">
        <f>IF($I9199=0,0,IF(OR(INDEX(DarlOhneTilgung,20)=1,AND(INDEX(DarlTilgStart,20)&gt;0,$E9199&lt;INDEX(DarlTilgStart,20))),0,MIN(MAX(0,$K9199-$L9199),$J9199)))</f>
      </c>
      <c r="N9199" s="43">
        <f>IF($I9199=0,0,MIN(SUMIFS(SondBetrag,SondDarl,20,SondDatum,"&gt;="&amp;$E9199,SondDatum,"&lt;="&amp;EOMONTH($E9199,0)),$J9199-$M9199))</f>
      </c>
      <c r="O9199" s="43">
        <f>IF($I9199=0,0,INDEX(DarlErsatzRate,20))</f>
      </c>
      <c r="P9199" s="43">
        <f>IF($I9199=0,0,$Q9198*INDEX(DarlErsatzZins,20))</f>
      </c>
      <c r="Q9199" s="43">
        <f>IF($I9199=0,0,$Q9198+$P9199+$O9199)</f>
      </c>
      <c r="R9199" s="43">
        <f>IF($I9199=0,0,$J9199-$M9199-$N9199)</f>
      </c>
    </row>
    <row r="9200">
      <c r="A9200"/>
      <c r="B9200">
        <v>20</v>
      </c>
      <c r="C9200" s="43">
        <f>INDEX(DarlObj,20)</f>
      </c>
      <c r="D9200">
        <v>77</v>
      </c>
      <c r="E9200" s="51">
        <f>IF(INDEX(DarlBelegt,20)=0,0,EOMONTH(INDEX(DarlAuszahlung,20),76)+1)</f>
      </c>
      <c r="F9200" s="43">
        <f>IF($E9200=0,0,YEAR($E9200))</f>
      </c>
      <c r="G9200" s="43">
        <f>IF(INDEX(DarlBindung,20)="",1,IF($E9200&lt;=INDEX(DarlBindung,20),1,0))</f>
      </c>
      <c r="H9200" s="43">
        <f>IF($G9200=1,INDEX(DarlSollzins,20),INDEX(DarlAnschluss,20))</f>
      </c>
      <c r="I9200" s="43">
        <f>IF(INDEX(DarlBelegt,20)=0,0,IF(INDEX(DarlOhneTilgung,20)=1,IF(INDEX(DarlBindung,20)="",1,$G9200),IF($J9200&gt;0.005,1,0)))</f>
      </c>
      <c r="J9200" s="43">
        <f>IF($I9199=0,0,$R9199)</f>
      </c>
      <c r="K9200" s="43">
        <f>IF($I9200=0,0,IF(INDEX(DarlOhneTilgung,20)=1,0,IF(AND(INDEX(DarlTilgStart,20)&gt;0,$E9200=INDEX(DarlTilgStart,20)),$J9200*($H9200+INDEX(DarlTilgung,20))/100/12,IF(AND($G9200=0,$G9199=1),MAX($K9199,$J9200*($H9200+1)/100/12),$K9199))))</f>
      </c>
      <c r="L9200" s="43">
        <f>IF($I9200=0,0,$J9200*$H9200/100/12)</f>
      </c>
      <c r="M9200" s="43">
        <f>IF($I9200=0,0,IF(OR(INDEX(DarlOhneTilgung,20)=1,AND(INDEX(DarlTilgStart,20)&gt;0,$E9200&lt;INDEX(DarlTilgStart,20))),0,MIN(MAX(0,$K9200-$L9200),$J9200)))</f>
      </c>
      <c r="N9200" s="43">
        <f>IF($I9200=0,0,MIN(SUMIFS(SondBetrag,SondDarl,20,SondDatum,"&gt;="&amp;$E9200,SondDatum,"&lt;="&amp;EOMONTH($E9200,0)),$J9200-$M9200))</f>
      </c>
      <c r="O9200" s="43">
        <f>IF($I9200=0,0,INDEX(DarlErsatzRate,20))</f>
      </c>
      <c r="P9200" s="43">
        <f>IF($I9200=0,0,$Q9199*INDEX(DarlErsatzZins,20))</f>
      </c>
      <c r="Q9200" s="43">
        <f>IF($I9200=0,0,$Q9199+$P9200+$O9200)</f>
      </c>
      <c r="R9200" s="43">
        <f>IF($I9200=0,0,$J9200-$M9200-$N9200)</f>
      </c>
    </row>
    <row r="9201">
      <c r="A9201"/>
      <c r="B9201">
        <v>20</v>
      </c>
      <c r="C9201" s="43">
        <f>INDEX(DarlObj,20)</f>
      </c>
      <c r="D9201">
        <v>78</v>
      </c>
      <c r="E9201" s="51">
        <f>IF(INDEX(DarlBelegt,20)=0,0,EOMONTH(INDEX(DarlAuszahlung,20),77)+1)</f>
      </c>
      <c r="F9201" s="43">
        <f>IF($E9201=0,0,YEAR($E9201))</f>
      </c>
      <c r="G9201" s="43">
        <f>IF(INDEX(DarlBindung,20)="",1,IF($E9201&lt;=INDEX(DarlBindung,20),1,0))</f>
      </c>
      <c r="H9201" s="43">
        <f>IF($G9201=1,INDEX(DarlSollzins,20),INDEX(DarlAnschluss,20))</f>
      </c>
      <c r="I9201" s="43">
        <f>IF(INDEX(DarlBelegt,20)=0,0,IF(INDEX(DarlOhneTilgung,20)=1,IF(INDEX(DarlBindung,20)="",1,$G9201),IF($J9201&gt;0.005,1,0)))</f>
      </c>
      <c r="J9201" s="43">
        <f>IF($I9200=0,0,$R9200)</f>
      </c>
      <c r="K9201" s="43">
        <f>IF($I9201=0,0,IF(INDEX(DarlOhneTilgung,20)=1,0,IF(AND(INDEX(DarlTilgStart,20)&gt;0,$E9201=INDEX(DarlTilgStart,20)),$J9201*($H9201+INDEX(DarlTilgung,20))/100/12,IF(AND($G9201=0,$G9200=1),MAX($K9200,$J9201*($H9201+1)/100/12),$K9200))))</f>
      </c>
      <c r="L9201" s="43">
        <f>IF($I9201=0,0,$J9201*$H9201/100/12)</f>
      </c>
      <c r="M9201" s="43">
        <f>IF($I9201=0,0,IF(OR(INDEX(DarlOhneTilgung,20)=1,AND(INDEX(DarlTilgStart,20)&gt;0,$E9201&lt;INDEX(DarlTilgStart,20))),0,MIN(MAX(0,$K9201-$L9201),$J9201)))</f>
      </c>
      <c r="N9201" s="43">
        <f>IF($I9201=0,0,MIN(SUMIFS(SondBetrag,SondDarl,20,SondDatum,"&gt;="&amp;$E9201,SondDatum,"&lt;="&amp;EOMONTH($E9201,0)),$J9201-$M9201))</f>
      </c>
      <c r="O9201" s="43">
        <f>IF($I9201=0,0,INDEX(DarlErsatzRate,20))</f>
      </c>
      <c r="P9201" s="43">
        <f>IF($I9201=0,0,$Q9200*INDEX(DarlErsatzZins,20))</f>
      </c>
      <c r="Q9201" s="43">
        <f>IF($I9201=0,0,$Q9200+$P9201+$O9201)</f>
      </c>
      <c r="R9201" s="43">
        <f>IF($I9201=0,0,$J9201-$M9201-$N9201)</f>
      </c>
    </row>
    <row r="9202">
      <c r="A9202"/>
      <c r="B9202">
        <v>20</v>
      </c>
      <c r="C9202" s="43">
        <f>INDEX(DarlObj,20)</f>
      </c>
      <c r="D9202">
        <v>79</v>
      </c>
      <c r="E9202" s="51">
        <f>IF(INDEX(DarlBelegt,20)=0,0,EOMONTH(INDEX(DarlAuszahlung,20),78)+1)</f>
      </c>
      <c r="F9202" s="43">
        <f>IF($E9202=0,0,YEAR($E9202))</f>
      </c>
      <c r="G9202" s="43">
        <f>IF(INDEX(DarlBindung,20)="",1,IF($E9202&lt;=INDEX(DarlBindung,20),1,0))</f>
      </c>
      <c r="H9202" s="43">
        <f>IF($G9202=1,INDEX(DarlSollzins,20),INDEX(DarlAnschluss,20))</f>
      </c>
      <c r="I9202" s="43">
        <f>IF(INDEX(DarlBelegt,20)=0,0,IF(INDEX(DarlOhneTilgung,20)=1,IF(INDEX(DarlBindung,20)="",1,$G9202),IF($J9202&gt;0.005,1,0)))</f>
      </c>
      <c r="J9202" s="43">
        <f>IF($I9201=0,0,$R9201)</f>
      </c>
      <c r="K9202" s="43">
        <f>IF($I9202=0,0,IF(INDEX(DarlOhneTilgung,20)=1,0,IF(AND(INDEX(DarlTilgStart,20)&gt;0,$E9202=INDEX(DarlTilgStart,20)),$J9202*($H9202+INDEX(DarlTilgung,20))/100/12,IF(AND($G9202=0,$G9201=1),MAX($K9201,$J9202*($H9202+1)/100/12),$K9201))))</f>
      </c>
      <c r="L9202" s="43">
        <f>IF($I9202=0,0,$J9202*$H9202/100/12)</f>
      </c>
      <c r="M9202" s="43">
        <f>IF($I9202=0,0,IF(OR(INDEX(DarlOhneTilgung,20)=1,AND(INDEX(DarlTilgStart,20)&gt;0,$E9202&lt;INDEX(DarlTilgStart,20))),0,MIN(MAX(0,$K9202-$L9202),$J9202)))</f>
      </c>
      <c r="N9202" s="43">
        <f>IF($I9202=0,0,MIN(SUMIFS(SondBetrag,SondDarl,20,SondDatum,"&gt;="&amp;$E9202,SondDatum,"&lt;="&amp;EOMONTH($E9202,0)),$J9202-$M9202))</f>
      </c>
      <c r="O9202" s="43">
        <f>IF($I9202=0,0,INDEX(DarlErsatzRate,20))</f>
      </c>
      <c r="P9202" s="43">
        <f>IF($I9202=0,0,$Q9201*INDEX(DarlErsatzZins,20))</f>
      </c>
      <c r="Q9202" s="43">
        <f>IF($I9202=0,0,$Q9201+$P9202+$O9202)</f>
      </c>
      <c r="R9202" s="43">
        <f>IF($I9202=0,0,$J9202-$M9202-$N9202)</f>
      </c>
    </row>
    <row r="9203">
      <c r="A9203"/>
      <c r="B9203">
        <v>20</v>
      </c>
      <c r="C9203" s="43">
        <f>INDEX(DarlObj,20)</f>
      </c>
      <c r="D9203">
        <v>80</v>
      </c>
      <c r="E9203" s="51">
        <f>IF(INDEX(DarlBelegt,20)=0,0,EOMONTH(INDEX(DarlAuszahlung,20),79)+1)</f>
      </c>
      <c r="F9203" s="43">
        <f>IF($E9203=0,0,YEAR($E9203))</f>
      </c>
      <c r="G9203" s="43">
        <f>IF(INDEX(DarlBindung,20)="",1,IF($E9203&lt;=INDEX(DarlBindung,20),1,0))</f>
      </c>
      <c r="H9203" s="43">
        <f>IF($G9203=1,INDEX(DarlSollzins,20),INDEX(DarlAnschluss,20))</f>
      </c>
      <c r="I9203" s="43">
        <f>IF(INDEX(DarlBelegt,20)=0,0,IF(INDEX(DarlOhneTilgung,20)=1,IF(INDEX(DarlBindung,20)="",1,$G9203),IF($J9203&gt;0.005,1,0)))</f>
      </c>
      <c r="J9203" s="43">
        <f>IF($I9202=0,0,$R9202)</f>
      </c>
      <c r="K9203" s="43">
        <f>IF($I9203=0,0,IF(INDEX(DarlOhneTilgung,20)=1,0,IF(AND(INDEX(DarlTilgStart,20)&gt;0,$E9203=INDEX(DarlTilgStart,20)),$J9203*($H9203+INDEX(DarlTilgung,20))/100/12,IF(AND($G9203=0,$G9202=1),MAX($K9202,$J9203*($H9203+1)/100/12),$K9202))))</f>
      </c>
      <c r="L9203" s="43">
        <f>IF($I9203=0,0,$J9203*$H9203/100/12)</f>
      </c>
      <c r="M9203" s="43">
        <f>IF($I9203=0,0,IF(OR(INDEX(DarlOhneTilgung,20)=1,AND(INDEX(DarlTilgStart,20)&gt;0,$E9203&lt;INDEX(DarlTilgStart,20))),0,MIN(MAX(0,$K9203-$L9203),$J9203)))</f>
      </c>
      <c r="N9203" s="43">
        <f>IF($I9203=0,0,MIN(SUMIFS(SondBetrag,SondDarl,20,SondDatum,"&gt;="&amp;$E9203,SondDatum,"&lt;="&amp;EOMONTH($E9203,0)),$J9203-$M9203))</f>
      </c>
      <c r="O9203" s="43">
        <f>IF($I9203=0,0,INDEX(DarlErsatzRate,20))</f>
      </c>
      <c r="P9203" s="43">
        <f>IF($I9203=0,0,$Q9202*INDEX(DarlErsatzZins,20))</f>
      </c>
      <c r="Q9203" s="43">
        <f>IF($I9203=0,0,$Q9202+$P9203+$O9203)</f>
      </c>
      <c r="R9203" s="43">
        <f>IF($I9203=0,0,$J9203-$M9203-$N9203)</f>
      </c>
    </row>
    <row r="9204">
      <c r="A9204"/>
      <c r="B9204">
        <v>20</v>
      </c>
      <c r="C9204" s="43">
        <f>INDEX(DarlObj,20)</f>
      </c>
      <c r="D9204">
        <v>81</v>
      </c>
      <c r="E9204" s="51">
        <f>IF(INDEX(DarlBelegt,20)=0,0,EOMONTH(INDEX(DarlAuszahlung,20),80)+1)</f>
      </c>
      <c r="F9204" s="43">
        <f>IF($E9204=0,0,YEAR($E9204))</f>
      </c>
      <c r="G9204" s="43">
        <f>IF(INDEX(DarlBindung,20)="",1,IF($E9204&lt;=INDEX(DarlBindung,20),1,0))</f>
      </c>
      <c r="H9204" s="43">
        <f>IF($G9204=1,INDEX(DarlSollzins,20),INDEX(DarlAnschluss,20))</f>
      </c>
      <c r="I9204" s="43">
        <f>IF(INDEX(DarlBelegt,20)=0,0,IF(INDEX(DarlOhneTilgung,20)=1,IF(INDEX(DarlBindung,20)="",1,$G9204),IF($J9204&gt;0.005,1,0)))</f>
      </c>
      <c r="J9204" s="43">
        <f>IF($I9203=0,0,$R9203)</f>
      </c>
      <c r="K9204" s="43">
        <f>IF($I9204=0,0,IF(INDEX(DarlOhneTilgung,20)=1,0,IF(AND(INDEX(DarlTilgStart,20)&gt;0,$E9204=INDEX(DarlTilgStart,20)),$J9204*($H9204+INDEX(DarlTilgung,20))/100/12,IF(AND($G9204=0,$G9203=1),MAX($K9203,$J9204*($H9204+1)/100/12),$K9203))))</f>
      </c>
      <c r="L9204" s="43">
        <f>IF($I9204=0,0,$J9204*$H9204/100/12)</f>
      </c>
      <c r="M9204" s="43">
        <f>IF($I9204=0,0,IF(OR(INDEX(DarlOhneTilgung,20)=1,AND(INDEX(DarlTilgStart,20)&gt;0,$E9204&lt;INDEX(DarlTilgStart,20))),0,MIN(MAX(0,$K9204-$L9204),$J9204)))</f>
      </c>
      <c r="N9204" s="43">
        <f>IF($I9204=0,0,MIN(SUMIFS(SondBetrag,SondDarl,20,SondDatum,"&gt;="&amp;$E9204,SondDatum,"&lt;="&amp;EOMONTH($E9204,0)),$J9204-$M9204))</f>
      </c>
      <c r="O9204" s="43">
        <f>IF($I9204=0,0,INDEX(DarlErsatzRate,20))</f>
      </c>
      <c r="P9204" s="43">
        <f>IF($I9204=0,0,$Q9203*INDEX(DarlErsatzZins,20))</f>
      </c>
      <c r="Q9204" s="43">
        <f>IF($I9204=0,0,$Q9203+$P9204+$O9204)</f>
      </c>
      <c r="R9204" s="43">
        <f>IF($I9204=0,0,$J9204-$M9204-$N9204)</f>
      </c>
    </row>
    <row r="9205">
      <c r="A9205"/>
      <c r="B9205">
        <v>20</v>
      </c>
      <c r="C9205" s="43">
        <f>INDEX(DarlObj,20)</f>
      </c>
      <c r="D9205">
        <v>82</v>
      </c>
      <c r="E9205" s="51">
        <f>IF(INDEX(DarlBelegt,20)=0,0,EOMONTH(INDEX(DarlAuszahlung,20),81)+1)</f>
      </c>
      <c r="F9205" s="43">
        <f>IF($E9205=0,0,YEAR($E9205))</f>
      </c>
      <c r="G9205" s="43">
        <f>IF(INDEX(DarlBindung,20)="",1,IF($E9205&lt;=INDEX(DarlBindung,20),1,0))</f>
      </c>
      <c r="H9205" s="43">
        <f>IF($G9205=1,INDEX(DarlSollzins,20),INDEX(DarlAnschluss,20))</f>
      </c>
      <c r="I9205" s="43">
        <f>IF(INDEX(DarlBelegt,20)=0,0,IF(INDEX(DarlOhneTilgung,20)=1,IF(INDEX(DarlBindung,20)="",1,$G9205),IF($J9205&gt;0.005,1,0)))</f>
      </c>
      <c r="J9205" s="43">
        <f>IF($I9204=0,0,$R9204)</f>
      </c>
      <c r="K9205" s="43">
        <f>IF($I9205=0,0,IF(INDEX(DarlOhneTilgung,20)=1,0,IF(AND(INDEX(DarlTilgStart,20)&gt;0,$E9205=INDEX(DarlTilgStart,20)),$J9205*($H9205+INDEX(DarlTilgung,20))/100/12,IF(AND($G9205=0,$G9204=1),MAX($K9204,$J9205*($H9205+1)/100/12),$K9204))))</f>
      </c>
      <c r="L9205" s="43">
        <f>IF($I9205=0,0,$J9205*$H9205/100/12)</f>
      </c>
      <c r="M9205" s="43">
        <f>IF($I9205=0,0,IF(OR(INDEX(DarlOhneTilgung,20)=1,AND(INDEX(DarlTilgStart,20)&gt;0,$E9205&lt;INDEX(DarlTilgStart,20))),0,MIN(MAX(0,$K9205-$L9205),$J9205)))</f>
      </c>
      <c r="N9205" s="43">
        <f>IF($I9205=0,0,MIN(SUMIFS(SondBetrag,SondDarl,20,SondDatum,"&gt;="&amp;$E9205,SondDatum,"&lt;="&amp;EOMONTH($E9205,0)),$J9205-$M9205))</f>
      </c>
      <c r="O9205" s="43">
        <f>IF($I9205=0,0,INDEX(DarlErsatzRate,20))</f>
      </c>
      <c r="P9205" s="43">
        <f>IF($I9205=0,0,$Q9204*INDEX(DarlErsatzZins,20))</f>
      </c>
      <c r="Q9205" s="43">
        <f>IF($I9205=0,0,$Q9204+$P9205+$O9205)</f>
      </c>
      <c r="R9205" s="43">
        <f>IF($I9205=0,0,$J9205-$M9205-$N9205)</f>
      </c>
    </row>
    <row r="9206">
      <c r="A9206"/>
      <c r="B9206">
        <v>20</v>
      </c>
      <c r="C9206" s="43">
        <f>INDEX(DarlObj,20)</f>
      </c>
      <c r="D9206">
        <v>83</v>
      </c>
      <c r="E9206" s="51">
        <f>IF(INDEX(DarlBelegt,20)=0,0,EOMONTH(INDEX(DarlAuszahlung,20),82)+1)</f>
      </c>
      <c r="F9206" s="43">
        <f>IF($E9206=0,0,YEAR($E9206))</f>
      </c>
      <c r="G9206" s="43">
        <f>IF(INDEX(DarlBindung,20)="",1,IF($E9206&lt;=INDEX(DarlBindung,20),1,0))</f>
      </c>
      <c r="H9206" s="43">
        <f>IF($G9206=1,INDEX(DarlSollzins,20),INDEX(DarlAnschluss,20))</f>
      </c>
      <c r="I9206" s="43">
        <f>IF(INDEX(DarlBelegt,20)=0,0,IF(INDEX(DarlOhneTilgung,20)=1,IF(INDEX(DarlBindung,20)="",1,$G9206),IF($J9206&gt;0.005,1,0)))</f>
      </c>
      <c r="J9206" s="43">
        <f>IF($I9205=0,0,$R9205)</f>
      </c>
      <c r="K9206" s="43">
        <f>IF($I9206=0,0,IF(INDEX(DarlOhneTilgung,20)=1,0,IF(AND(INDEX(DarlTilgStart,20)&gt;0,$E9206=INDEX(DarlTilgStart,20)),$J9206*($H9206+INDEX(DarlTilgung,20))/100/12,IF(AND($G9206=0,$G9205=1),MAX($K9205,$J9206*($H9206+1)/100/12),$K9205))))</f>
      </c>
      <c r="L9206" s="43">
        <f>IF($I9206=0,0,$J9206*$H9206/100/12)</f>
      </c>
      <c r="M9206" s="43">
        <f>IF($I9206=0,0,IF(OR(INDEX(DarlOhneTilgung,20)=1,AND(INDEX(DarlTilgStart,20)&gt;0,$E9206&lt;INDEX(DarlTilgStart,20))),0,MIN(MAX(0,$K9206-$L9206),$J9206)))</f>
      </c>
      <c r="N9206" s="43">
        <f>IF($I9206=0,0,MIN(SUMIFS(SondBetrag,SondDarl,20,SondDatum,"&gt;="&amp;$E9206,SondDatum,"&lt;="&amp;EOMONTH($E9206,0)),$J9206-$M9206))</f>
      </c>
      <c r="O9206" s="43">
        <f>IF($I9206=0,0,INDEX(DarlErsatzRate,20))</f>
      </c>
      <c r="P9206" s="43">
        <f>IF($I9206=0,0,$Q9205*INDEX(DarlErsatzZins,20))</f>
      </c>
      <c r="Q9206" s="43">
        <f>IF($I9206=0,0,$Q9205+$P9206+$O9206)</f>
      </c>
      <c r="R9206" s="43">
        <f>IF($I9206=0,0,$J9206-$M9206-$N9206)</f>
      </c>
    </row>
    <row r="9207">
      <c r="A9207"/>
      <c r="B9207">
        <v>20</v>
      </c>
      <c r="C9207" s="43">
        <f>INDEX(DarlObj,20)</f>
      </c>
      <c r="D9207">
        <v>84</v>
      </c>
      <c r="E9207" s="51">
        <f>IF(INDEX(DarlBelegt,20)=0,0,EOMONTH(INDEX(DarlAuszahlung,20),83)+1)</f>
      </c>
      <c r="F9207" s="43">
        <f>IF($E9207=0,0,YEAR($E9207))</f>
      </c>
      <c r="G9207" s="43">
        <f>IF(INDEX(DarlBindung,20)="",1,IF($E9207&lt;=INDEX(DarlBindung,20),1,0))</f>
      </c>
      <c r="H9207" s="43">
        <f>IF($G9207=1,INDEX(DarlSollzins,20),INDEX(DarlAnschluss,20))</f>
      </c>
      <c r="I9207" s="43">
        <f>IF(INDEX(DarlBelegt,20)=0,0,IF(INDEX(DarlOhneTilgung,20)=1,IF(INDEX(DarlBindung,20)="",1,$G9207),IF($J9207&gt;0.005,1,0)))</f>
      </c>
      <c r="J9207" s="43">
        <f>IF($I9206=0,0,$R9206)</f>
      </c>
      <c r="K9207" s="43">
        <f>IF($I9207=0,0,IF(INDEX(DarlOhneTilgung,20)=1,0,IF(AND(INDEX(DarlTilgStart,20)&gt;0,$E9207=INDEX(DarlTilgStart,20)),$J9207*($H9207+INDEX(DarlTilgung,20))/100/12,IF(AND($G9207=0,$G9206=1),MAX($K9206,$J9207*($H9207+1)/100/12),$K9206))))</f>
      </c>
      <c r="L9207" s="43">
        <f>IF($I9207=0,0,$J9207*$H9207/100/12)</f>
      </c>
      <c r="M9207" s="43">
        <f>IF($I9207=0,0,IF(OR(INDEX(DarlOhneTilgung,20)=1,AND(INDEX(DarlTilgStart,20)&gt;0,$E9207&lt;INDEX(DarlTilgStart,20))),0,MIN(MAX(0,$K9207-$L9207),$J9207)))</f>
      </c>
      <c r="N9207" s="43">
        <f>IF($I9207=0,0,MIN(SUMIFS(SondBetrag,SondDarl,20,SondDatum,"&gt;="&amp;$E9207,SondDatum,"&lt;="&amp;EOMONTH($E9207,0)),$J9207-$M9207))</f>
      </c>
      <c r="O9207" s="43">
        <f>IF($I9207=0,0,INDEX(DarlErsatzRate,20))</f>
      </c>
      <c r="P9207" s="43">
        <f>IF($I9207=0,0,$Q9206*INDEX(DarlErsatzZins,20))</f>
      </c>
      <c r="Q9207" s="43">
        <f>IF($I9207=0,0,$Q9206+$P9207+$O9207)</f>
      </c>
      <c r="R9207" s="43">
        <f>IF($I9207=0,0,$J9207-$M9207-$N9207)</f>
      </c>
    </row>
    <row r="9208">
      <c r="A9208"/>
      <c r="B9208">
        <v>20</v>
      </c>
      <c r="C9208" s="43">
        <f>INDEX(DarlObj,20)</f>
      </c>
      <c r="D9208">
        <v>85</v>
      </c>
      <c r="E9208" s="51">
        <f>IF(INDEX(DarlBelegt,20)=0,0,EOMONTH(INDEX(DarlAuszahlung,20),84)+1)</f>
      </c>
      <c r="F9208" s="43">
        <f>IF($E9208=0,0,YEAR($E9208))</f>
      </c>
      <c r="G9208" s="43">
        <f>IF(INDEX(DarlBindung,20)="",1,IF($E9208&lt;=INDEX(DarlBindung,20),1,0))</f>
      </c>
      <c r="H9208" s="43">
        <f>IF($G9208=1,INDEX(DarlSollzins,20),INDEX(DarlAnschluss,20))</f>
      </c>
      <c r="I9208" s="43">
        <f>IF(INDEX(DarlBelegt,20)=0,0,IF(INDEX(DarlOhneTilgung,20)=1,IF(INDEX(DarlBindung,20)="",1,$G9208),IF($J9208&gt;0.005,1,0)))</f>
      </c>
      <c r="J9208" s="43">
        <f>IF($I9207=0,0,$R9207)</f>
      </c>
      <c r="K9208" s="43">
        <f>IF($I9208=0,0,IF(INDEX(DarlOhneTilgung,20)=1,0,IF(AND(INDEX(DarlTilgStart,20)&gt;0,$E9208=INDEX(DarlTilgStart,20)),$J9208*($H9208+INDEX(DarlTilgung,20))/100/12,IF(AND($G9208=0,$G9207=1),MAX($K9207,$J9208*($H9208+1)/100/12),$K9207))))</f>
      </c>
      <c r="L9208" s="43">
        <f>IF($I9208=0,0,$J9208*$H9208/100/12)</f>
      </c>
      <c r="M9208" s="43">
        <f>IF($I9208=0,0,IF(OR(INDEX(DarlOhneTilgung,20)=1,AND(INDEX(DarlTilgStart,20)&gt;0,$E9208&lt;INDEX(DarlTilgStart,20))),0,MIN(MAX(0,$K9208-$L9208),$J9208)))</f>
      </c>
      <c r="N9208" s="43">
        <f>IF($I9208=0,0,MIN(SUMIFS(SondBetrag,SondDarl,20,SondDatum,"&gt;="&amp;$E9208,SondDatum,"&lt;="&amp;EOMONTH($E9208,0)),$J9208-$M9208))</f>
      </c>
      <c r="O9208" s="43">
        <f>IF($I9208=0,0,INDEX(DarlErsatzRate,20))</f>
      </c>
      <c r="P9208" s="43">
        <f>IF($I9208=0,0,$Q9207*INDEX(DarlErsatzZins,20))</f>
      </c>
      <c r="Q9208" s="43">
        <f>IF($I9208=0,0,$Q9207+$P9208+$O9208)</f>
      </c>
      <c r="R9208" s="43">
        <f>IF($I9208=0,0,$J9208-$M9208-$N9208)</f>
      </c>
    </row>
    <row r="9209">
      <c r="A9209"/>
      <c r="B9209">
        <v>20</v>
      </c>
      <c r="C9209" s="43">
        <f>INDEX(DarlObj,20)</f>
      </c>
      <c r="D9209">
        <v>86</v>
      </c>
      <c r="E9209" s="51">
        <f>IF(INDEX(DarlBelegt,20)=0,0,EOMONTH(INDEX(DarlAuszahlung,20),85)+1)</f>
      </c>
      <c r="F9209" s="43">
        <f>IF($E9209=0,0,YEAR($E9209))</f>
      </c>
      <c r="G9209" s="43">
        <f>IF(INDEX(DarlBindung,20)="",1,IF($E9209&lt;=INDEX(DarlBindung,20),1,0))</f>
      </c>
      <c r="H9209" s="43">
        <f>IF($G9209=1,INDEX(DarlSollzins,20),INDEX(DarlAnschluss,20))</f>
      </c>
      <c r="I9209" s="43">
        <f>IF(INDEX(DarlBelegt,20)=0,0,IF(INDEX(DarlOhneTilgung,20)=1,IF(INDEX(DarlBindung,20)="",1,$G9209),IF($J9209&gt;0.005,1,0)))</f>
      </c>
      <c r="J9209" s="43">
        <f>IF($I9208=0,0,$R9208)</f>
      </c>
      <c r="K9209" s="43">
        <f>IF($I9209=0,0,IF(INDEX(DarlOhneTilgung,20)=1,0,IF(AND(INDEX(DarlTilgStart,20)&gt;0,$E9209=INDEX(DarlTilgStart,20)),$J9209*($H9209+INDEX(DarlTilgung,20))/100/12,IF(AND($G9209=0,$G9208=1),MAX($K9208,$J9209*($H9209+1)/100/12),$K9208))))</f>
      </c>
      <c r="L9209" s="43">
        <f>IF($I9209=0,0,$J9209*$H9209/100/12)</f>
      </c>
      <c r="M9209" s="43">
        <f>IF($I9209=0,0,IF(OR(INDEX(DarlOhneTilgung,20)=1,AND(INDEX(DarlTilgStart,20)&gt;0,$E9209&lt;INDEX(DarlTilgStart,20))),0,MIN(MAX(0,$K9209-$L9209),$J9209)))</f>
      </c>
      <c r="N9209" s="43">
        <f>IF($I9209=0,0,MIN(SUMIFS(SondBetrag,SondDarl,20,SondDatum,"&gt;="&amp;$E9209,SondDatum,"&lt;="&amp;EOMONTH($E9209,0)),$J9209-$M9209))</f>
      </c>
      <c r="O9209" s="43">
        <f>IF($I9209=0,0,INDEX(DarlErsatzRate,20))</f>
      </c>
      <c r="P9209" s="43">
        <f>IF($I9209=0,0,$Q9208*INDEX(DarlErsatzZins,20))</f>
      </c>
      <c r="Q9209" s="43">
        <f>IF($I9209=0,0,$Q9208+$P9209+$O9209)</f>
      </c>
      <c r="R9209" s="43">
        <f>IF($I9209=0,0,$J9209-$M9209-$N9209)</f>
      </c>
    </row>
    <row r="9210">
      <c r="A9210"/>
      <c r="B9210">
        <v>20</v>
      </c>
      <c r="C9210" s="43">
        <f>INDEX(DarlObj,20)</f>
      </c>
      <c r="D9210">
        <v>87</v>
      </c>
      <c r="E9210" s="51">
        <f>IF(INDEX(DarlBelegt,20)=0,0,EOMONTH(INDEX(DarlAuszahlung,20),86)+1)</f>
      </c>
      <c r="F9210" s="43">
        <f>IF($E9210=0,0,YEAR($E9210))</f>
      </c>
      <c r="G9210" s="43">
        <f>IF(INDEX(DarlBindung,20)="",1,IF($E9210&lt;=INDEX(DarlBindung,20),1,0))</f>
      </c>
      <c r="H9210" s="43">
        <f>IF($G9210=1,INDEX(DarlSollzins,20),INDEX(DarlAnschluss,20))</f>
      </c>
      <c r="I9210" s="43">
        <f>IF(INDEX(DarlBelegt,20)=0,0,IF(INDEX(DarlOhneTilgung,20)=1,IF(INDEX(DarlBindung,20)="",1,$G9210),IF($J9210&gt;0.005,1,0)))</f>
      </c>
      <c r="J9210" s="43">
        <f>IF($I9209=0,0,$R9209)</f>
      </c>
      <c r="K9210" s="43">
        <f>IF($I9210=0,0,IF(INDEX(DarlOhneTilgung,20)=1,0,IF(AND(INDEX(DarlTilgStart,20)&gt;0,$E9210=INDEX(DarlTilgStart,20)),$J9210*($H9210+INDEX(DarlTilgung,20))/100/12,IF(AND($G9210=0,$G9209=1),MAX($K9209,$J9210*($H9210+1)/100/12),$K9209))))</f>
      </c>
      <c r="L9210" s="43">
        <f>IF($I9210=0,0,$J9210*$H9210/100/12)</f>
      </c>
      <c r="M9210" s="43">
        <f>IF($I9210=0,0,IF(OR(INDEX(DarlOhneTilgung,20)=1,AND(INDEX(DarlTilgStart,20)&gt;0,$E9210&lt;INDEX(DarlTilgStart,20))),0,MIN(MAX(0,$K9210-$L9210),$J9210)))</f>
      </c>
      <c r="N9210" s="43">
        <f>IF($I9210=0,0,MIN(SUMIFS(SondBetrag,SondDarl,20,SondDatum,"&gt;="&amp;$E9210,SondDatum,"&lt;="&amp;EOMONTH($E9210,0)),$J9210-$M9210))</f>
      </c>
      <c r="O9210" s="43">
        <f>IF($I9210=0,0,INDEX(DarlErsatzRate,20))</f>
      </c>
      <c r="P9210" s="43">
        <f>IF($I9210=0,0,$Q9209*INDEX(DarlErsatzZins,20))</f>
      </c>
      <c r="Q9210" s="43">
        <f>IF($I9210=0,0,$Q9209+$P9210+$O9210)</f>
      </c>
      <c r="R9210" s="43">
        <f>IF($I9210=0,0,$J9210-$M9210-$N9210)</f>
      </c>
    </row>
    <row r="9211">
      <c r="A9211"/>
      <c r="B9211">
        <v>20</v>
      </c>
      <c r="C9211" s="43">
        <f>INDEX(DarlObj,20)</f>
      </c>
      <c r="D9211">
        <v>88</v>
      </c>
      <c r="E9211" s="51">
        <f>IF(INDEX(DarlBelegt,20)=0,0,EOMONTH(INDEX(DarlAuszahlung,20),87)+1)</f>
      </c>
      <c r="F9211" s="43">
        <f>IF($E9211=0,0,YEAR($E9211))</f>
      </c>
      <c r="G9211" s="43">
        <f>IF(INDEX(DarlBindung,20)="",1,IF($E9211&lt;=INDEX(DarlBindung,20),1,0))</f>
      </c>
      <c r="H9211" s="43">
        <f>IF($G9211=1,INDEX(DarlSollzins,20),INDEX(DarlAnschluss,20))</f>
      </c>
      <c r="I9211" s="43">
        <f>IF(INDEX(DarlBelegt,20)=0,0,IF(INDEX(DarlOhneTilgung,20)=1,IF(INDEX(DarlBindung,20)="",1,$G9211),IF($J9211&gt;0.005,1,0)))</f>
      </c>
      <c r="J9211" s="43">
        <f>IF($I9210=0,0,$R9210)</f>
      </c>
      <c r="K9211" s="43">
        <f>IF($I9211=0,0,IF(INDEX(DarlOhneTilgung,20)=1,0,IF(AND(INDEX(DarlTilgStart,20)&gt;0,$E9211=INDEX(DarlTilgStart,20)),$J9211*($H9211+INDEX(DarlTilgung,20))/100/12,IF(AND($G9211=0,$G9210=1),MAX($K9210,$J9211*($H9211+1)/100/12),$K9210))))</f>
      </c>
      <c r="L9211" s="43">
        <f>IF($I9211=0,0,$J9211*$H9211/100/12)</f>
      </c>
      <c r="M9211" s="43">
        <f>IF($I9211=0,0,IF(OR(INDEX(DarlOhneTilgung,20)=1,AND(INDEX(DarlTilgStart,20)&gt;0,$E9211&lt;INDEX(DarlTilgStart,20))),0,MIN(MAX(0,$K9211-$L9211),$J9211)))</f>
      </c>
      <c r="N9211" s="43">
        <f>IF($I9211=0,0,MIN(SUMIFS(SondBetrag,SondDarl,20,SondDatum,"&gt;="&amp;$E9211,SondDatum,"&lt;="&amp;EOMONTH($E9211,0)),$J9211-$M9211))</f>
      </c>
      <c r="O9211" s="43">
        <f>IF($I9211=0,0,INDEX(DarlErsatzRate,20))</f>
      </c>
      <c r="P9211" s="43">
        <f>IF($I9211=0,0,$Q9210*INDEX(DarlErsatzZins,20))</f>
      </c>
      <c r="Q9211" s="43">
        <f>IF($I9211=0,0,$Q9210+$P9211+$O9211)</f>
      </c>
      <c r="R9211" s="43">
        <f>IF($I9211=0,0,$J9211-$M9211-$N9211)</f>
      </c>
    </row>
    <row r="9212">
      <c r="A9212"/>
      <c r="B9212">
        <v>20</v>
      </c>
      <c r="C9212" s="43">
        <f>INDEX(DarlObj,20)</f>
      </c>
      <c r="D9212">
        <v>89</v>
      </c>
      <c r="E9212" s="51">
        <f>IF(INDEX(DarlBelegt,20)=0,0,EOMONTH(INDEX(DarlAuszahlung,20),88)+1)</f>
      </c>
      <c r="F9212" s="43">
        <f>IF($E9212=0,0,YEAR($E9212))</f>
      </c>
      <c r="G9212" s="43">
        <f>IF(INDEX(DarlBindung,20)="",1,IF($E9212&lt;=INDEX(DarlBindung,20),1,0))</f>
      </c>
      <c r="H9212" s="43">
        <f>IF($G9212=1,INDEX(DarlSollzins,20),INDEX(DarlAnschluss,20))</f>
      </c>
      <c r="I9212" s="43">
        <f>IF(INDEX(DarlBelegt,20)=0,0,IF(INDEX(DarlOhneTilgung,20)=1,IF(INDEX(DarlBindung,20)="",1,$G9212),IF($J9212&gt;0.005,1,0)))</f>
      </c>
      <c r="J9212" s="43">
        <f>IF($I9211=0,0,$R9211)</f>
      </c>
      <c r="K9212" s="43">
        <f>IF($I9212=0,0,IF(INDEX(DarlOhneTilgung,20)=1,0,IF(AND(INDEX(DarlTilgStart,20)&gt;0,$E9212=INDEX(DarlTilgStart,20)),$J9212*($H9212+INDEX(DarlTilgung,20))/100/12,IF(AND($G9212=0,$G9211=1),MAX($K9211,$J9212*($H9212+1)/100/12),$K9211))))</f>
      </c>
      <c r="L9212" s="43">
        <f>IF($I9212=0,0,$J9212*$H9212/100/12)</f>
      </c>
      <c r="M9212" s="43">
        <f>IF($I9212=0,0,IF(OR(INDEX(DarlOhneTilgung,20)=1,AND(INDEX(DarlTilgStart,20)&gt;0,$E9212&lt;INDEX(DarlTilgStart,20))),0,MIN(MAX(0,$K9212-$L9212),$J9212)))</f>
      </c>
      <c r="N9212" s="43">
        <f>IF($I9212=0,0,MIN(SUMIFS(SondBetrag,SondDarl,20,SondDatum,"&gt;="&amp;$E9212,SondDatum,"&lt;="&amp;EOMONTH($E9212,0)),$J9212-$M9212))</f>
      </c>
      <c r="O9212" s="43">
        <f>IF($I9212=0,0,INDEX(DarlErsatzRate,20))</f>
      </c>
      <c r="P9212" s="43">
        <f>IF($I9212=0,0,$Q9211*INDEX(DarlErsatzZins,20))</f>
      </c>
      <c r="Q9212" s="43">
        <f>IF($I9212=0,0,$Q9211+$P9212+$O9212)</f>
      </c>
      <c r="R9212" s="43">
        <f>IF($I9212=0,0,$J9212-$M9212-$N9212)</f>
      </c>
    </row>
    <row r="9213">
      <c r="A9213"/>
      <c r="B9213">
        <v>20</v>
      </c>
      <c r="C9213" s="43">
        <f>INDEX(DarlObj,20)</f>
      </c>
      <c r="D9213">
        <v>90</v>
      </c>
      <c r="E9213" s="51">
        <f>IF(INDEX(DarlBelegt,20)=0,0,EOMONTH(INDEX(DarlAuszahlung,20),89)+1)</f>
      </c>
      <c r="F9213" s="43">
        <f>IF($E9213=0,0,YEAR($E9213))</f>
      </c>
      <c r="G9213" s="43">
        <f>IF(INDEX(DarlBindung,20)="",1,IF($E9213&lt;=INDEX(DarlBindung,20),1,0))</f>
      </c>
      <c r="H9213" s="43">
        <f>IF($G9213=1,INDEX(DarlSollzins,20),INDEX(DarlAnschluss,20))</f>
      </c>
      <c r="I9213" s="43">
        <f>IF(INDEX(DarlBelegt,20)=0,0,IF(INDEX(DarlOhneTilgung,20)=1,IF(INDEX(DarlBindung,20)="",1,$G9213),IF($J9213&gt;0.005,1,0)))</f>
      </c>
      <c r="J9213" s="43">
        <f>IF($I9212=0,0,$R9212)</f>
      </c>
      <c r="K9213" s="43">
        <f>IF($I9213=0,0,IF(INDEX(DarlOhneTilgung,20)=1,0,IF(AND(INDEX(DarlTilgStart,20)&gt;0,$E9213=INDEX(DarlTilgStart,20)),$J9213*($H9213+INDEX(DarlTilgung,20))/100/12,IF(AND($G9213=0,$G9212=1),MAX($K9212,$J9213*($H9213+1)/100/12),$K9212))))</f>
      </c>
      <c r="L9213" s="43">
        <f>IF($I9213=0,0,$J9213*$H9213/100/12)</f>
      </c>
      <c r="M9213" s="43">
        <f>IF($I9213=0,0,IF(OR(INDEX(DarlOhneTilgung,20)=1,AND(INDEX(DarlTilgStart,20)&gt;0,$E9213&lt;INDEX(DarlTilgStart,20))),0,MIN(MAX(0,$K9213-$L9213),$J9213)))</f>
      </c>
      <c r="N9213" s="43">
        <f>IF($I9213=0,0,MIN(SUMIFS(SondBetrag,SondDarl,20,SondDatum,"&gt;="&amp;$E9213,SondDatum,"&lt;="&amp;EOMONTH($E9213,0)),$J9213-$M9213))</f>
      </c>
      <c r="O9213" s="43">
        <f>IF($I9213=0,0,INDEX(DarlErsatzRate,20))</f>
      </c>
      <c r="P9213" s="43">
        <f>IF($I9213=0,0,$Q9212*INDEX(DarlErsatzZins,20))</f>
      </c>
      <c r="Q9213" s="43">
        <f>IF($I9213=0,0,$Q9212+$P9213+$O9213)</f>
      </c>
      <c r="R9213" s="43">
        <f>IF($I9213=0,0,$J9213-$M9213-$N9213)</f>
      </c>
    </row>
    <row r="9214">
      <c r="A9214"/>
      <c r="B9214">
        <v>20</v>
      </c>
      <c r="C9214" s="43">
        <f>INDEX(DarlObj,20)</f>
      </c>
      <c r="D9214">
        <v>91</v>
      </c>
      <c r="E9214" s="51">
        <f>IF(INDEX(DarlBelegt,20)=0,0,EOMONTH(INDEX(DarlAuszahlung,20),90)+1)</f>
      </c>
      <c r="F9214" s="43">
        <f>IF($E9214=0,0,YEAR($E9214))</f>
      </c>
      <c r="G9214" s="43">
        <f>IF(INDEX(DarlBindung,20)="",1,IF($E9214&lt;=INDEX(DarlBindung,20),1,0))</f>
      </c>
      <c r="H9214" s="43">
        <f>IF($G9214=1,INDEX(DarlSollzins,20),INDEX(DarlAnschluss,20))</f>
      </c>
      <c r="I9214" s="43">
        <f>IF(INDEX(DarlBelegt,20)=0,0,IF(INDEX(DarlOhneTilgung,20)=1,IF(INDEX(DarlBindung,20)="",1,$G9214),IF($J9214&gt;0.005,1,0)))</f>
      </c>
      <c r="J9214" s="43">
        <f>IF($I9213=0,0,$R9213)</f>
      </c>
      <c r="K9214" s="43">
        <f>IF($I9214=0,0,IF(INDEX(DarlOhneTilgung,20)=1,0,IF(AND(INDEX(DarlTilgStart,20)&gt;0,$E9214=INDEX(DarlTilgStart,20)),$J9214*($H9214+INDEX(DarlTilgung,20))/100/12,IF(AND($G9214=0,$G9213=1),MAX($K9213,$J9214*($H9214+1)/100/12),$K9213))))</f>
      </c>
      <c r="L9214" s="43">
        <f>IF($I9214=0,0,$J9214*$H9214/100/12)</f>
      </c>
      <c r="M9214" s="43">
        <f>IF($I9214=0,0,IF(OR(INDEX(DarlOhneTilgung,20)=1,AND(INDEX(DarlTilgStart,20)&gt;0,$E9214&lt;INDEX(DarlTilgStart,20))),0,MIN(MAX(0,$K9214-$L9214),$J9214)))</f>
      </c>
      <c r="N9214" s="43">
        <f>IF($I9214=0,0,MIN(SUMIFS(SondBetrag,SondDarl,20,SondDatum,"&gt;="&amp;$E9214,SondDatum,"&lt;="&amp;EOMONTH($E9214,0)),$J9214-$M9214))</f>
      </c>
      <c r="O9214" s="43">
        <f>IF($I9214=0,0,INDEX(DarlErsatzRate,20))</f>
      </c>
      <c r="P9214" s="43">
        <f>IF($I9214=0,0,$Q9213*INDEX(DarlErsatzZins,20))</f>
      </c>
      <c r="Q9214" s="43">
        <f>IF($I9214=0,0,$Q9213+$P9214+$O9214)</f>
      </c>
      <c r="R9214" s="43">
        <f>IF($I9214=0,0,$J9214-$M9214-$N9214)</f>
      </c>
    </row>
    <row r="9215">
      <c r="A9215"/>
      <c r="B9215">
        <v>20</v>
      </c>
      <c r="C9215" s="43">
        <f>INDEX(DarlObj,20)</f>
      </c>
      <c r="D9215">
        <v>92</v>
      </c>
      <c r="E9215" s="51">
        <f>IF(INDEX(DarlBelegt,20)=0,0,EOMONTH(INDEX(DarlAuszahlung,20),91)+1)</f>
      </c>
      <c r="F9215" s="43">
        <f>IF($E9215=0,0,YEAR($E9215))</f>
      </c>
      <c r="G9215" s="43">
        <f>IF(INDEX(DarlBindung,20)="",1,IF($E9215&lt;=INDEX(DarlBindung,20),1,0))</f>
      </c>
      <c r="H9215" s="43">
        <f>IF($G9215=1,INDEX(DarlSollzins,20),INDEX(DarlAnschluss,20))</f>
      </c>
      <c r="I9215" s="43">
        <f>IF(INDEX(DarlBelegt,20)=0,0,IF(INDEX(DarlOhneTilgung,20)=1,IF(INDEX(DarlBindung,20)="",1,$G9215),IF($J9215&gt;0.005,1,0)))</f>
      </c>
      <c r="J9215" s="43">
        <f>IF($I9214=0,0,$R9214)</f>
      </c>
      <c r="K9215" s="43">
        <f>IF($I9215=0,0,IF(INDEX(DarlOhneTilgung,20)=1,0,IF(AND(INDEX(DarlTilgStart,20)&gt;0,$E9215=INDEX(DarlTilgStart,20)),$J9215*($H9215+INDEX(DarlTilgung,20))/100/12,IF(AND($G9215=0,$G9214=1),MAX($K9214,$J9215*($H9215+1)/100/12),$K9214))))</f>
      </c>
      <c r="L9215" s="43">
        <f>IF($I9215=0,0,$J9215*$H9215/100/12)</f>
      </c>
      <c r="M9215" s="43">
        <f>IF($I9215=0,0,IF(OR(INDEX(DarlOhneTilgung,20)=1,AND(INDEX(DarlTilgStart,20)&gt;0,$E9215&lt;INDEX(DarlTilgStart,20))),0,MIN(MAX(0,$K9215-$L9215),$J9215)))</f>
      </c>
      <c r="N9215" s="43">
        <f>IF($I9215=0,0,MIN(SUMIFS(SondBetrag,SondDarl,20,SondDatum,"&gt;="&amp;$E9215,SondDatum,"&lt;="&amp;EOMONTH($E9215,0)),$J9215-$M9215))</f>
      </c>
      <c r="O9215" s="43">
        <f>IF($I9215=0,0,INDEX(DarlErsatzRate,20))</f>
      </c>
      <c r="P9215" s="43">
        <f>IF($I9215=0,0,$Q9214*INDEX(DarlErsatzZins,20))</f>
      </c>
      <c r="Q9215" s="43">
        <f>IF($I9215=0,0,$Q9214+$P9215+$O9215)</f>
      </c>
      <c r="R9215" s="43">
        <f>IF($I9215=0,0,$J9215-$M9215-$N9215)</f>
      </c>
    </row>
    <row r="9216">
      <c r="A9216"/>
      <c r="B9216">
        <v>20</v>
      </c>
      <c r="C9216" s="43">
        <f>INDEX(DarlObj,20)</f>
      </c>
      <c r="D9216">
        <v>93</v>
      </c>
      <c r="E9216" s="51">
        <f>IF(INDEX(DarlBelegt,20)=0,0,EOMONTH(INDEX(DarlAuszahlung,20),92)+1)</f>
      </c>
      <c r="F9216" s="43">
        <f>IF($E9216=0,0,YEAR($E9216))</f>
      </c>
      <c r="G9216" s="43">
        <f>IF(INDEX(DarlBindung,20)="",1,IF($E9216&lt;=INDEX(DarlBindung,20),1,0))</f>
      </c>
      <c r="H9216" s="43">
        <f>IF($G9216=1,INDEX(DarlSollzins,20),INDEX(DarlAnschluss,20))</f>
      </c>
      <c r="I9216" s="43">
        <f>IF(INDEX(DarlBelegt,20)=0,0,IF(INDEX(DarlOhneTilgung,20)=1,IF(INDEX(DarlBindung,20)="",1,$G9216),IF($J9216&gt;0.005,1,0)))</f>
      </c>
      <c r="J9216" s="43">
        <f>IF($I9215=0,0,$R9215)</f>
      </c>
      <c r="K9216" s="43">
        <f>IF($I9216=0,0,IF(INDEX(DarlOhneTilgung,20)=1,0,IF(AND(INDEX(DarlTilgStart,20)&gt;0,$E9216=INDEX(DarlTilgStart,20)),$J9216*($H9216+INDEX(DarlTilgung,20))/100/12,IF(AND($G9216=0,$G9215=1),MAX($K9215,$J9216*($H9216+1)/100/12),$K9215))))</f>
      </c>
      <c r="L9216" s="43">
        <f>IF($I9216=0,0,$J9216*$H9216/100/12)</f>
      </c>
      <c r="M9216" s="43">
        <f>IF($I9216=0,0,IF(OR(INDEX(DarlOhneTilgung,20)=1,AND(INDEX(DarlTilgStart,20)&gt;0,$E9216&lt;INDEX(DarlTilgStart,20))),0,MIN(MAX(0,$K9216-$L9216),$J9216)))</f>
      </c>
      <c r="N9216" s="43">
        <f>IF($I9216=0,0,MIN(SUMIFS(SondBetrag,SondDarl,20,SondDatum,"&gt;="&amp;$E9216,SondDatum,"&lt;="&amp;EOMONTH($E9216,0)),$J9216-$M9216))</f>
      </c>
      <c r="O9216" s="43">
        <f>IF($I9216=0,0,INDEX(DarlErsatzRate,20))</f>
      </c>
      <c r="P9216" s="43">
        <f>IF($I9216=0,0,$Q9215*INDEX(DarlErsatzZins,20))</f>
      </c>
      <c r="Q9216" s="43">
        <f>IF($I9216=0,0,$Q9215+$P9216+$O9216)</f>
      </c>
      <c r="R9216" s="43">
        <f>IF($I9216=0,0,$J9216-$M9216-$N9216)</f>
      </c>
    </row>
    <row r="9217">
      <c r="A9217"/>
      <c r="B9217">
        <v>20</v>
      </c>
      <c r="C9217" s="43">
        <f>INDEX(DarlObj,20)</f>
      </c>
      <c r="D9217">
        <v>94</v>
      </c>
      <c r="E9217" s="51">
        <f>IF(INDEX(DarlBelegt,20)=0,0,EOMONTH(INDEX(DarlAuszahlung,20),93)+1)</f>
      </c>
      <c r="F9217" s="43">
        <f>IF($E9217=0,0,YEAR($E9217))</f>
      </c>
      <c r="G9217" s="43">
        <f>IF(INDEX(DarlBindung,20)="",1,IF($E9217&lt;=INDEX(DarlBindung,20),1,0))</f>
      </c>
      <c r="H9217" s="43">
        <f>IF($G9217=1,INDEX(DarlSollzins,20),INDEX(DarlAnschluss,20))</f>
      </c>
      <c r="I9217" s="43">
        <f>IF(INDEX(DarlBelegt,20)=0,0,IF(INDEX(DarlOhneTilgung,20)=1,IF(INDEX(DarlBindung,20)="",1,$G9217),IF($J9217&gt;0.005,1,0)))</f>
      </c>
      <c r="J9217" s="43">
        <f>IF($I9216=0,0,$R9216)</f>
      </c>
      <c r="K9217" s="43">
        <f>IF($I9217=0,0,IF(INDEX(DarlOhneTilgung,20)=1,0,IF(AND(INDEX(DarlTilgStart,20)&gt;0,$E9217=INDEX(DarlTilgStart,20)),$J9217*($H9217+INDEX(DarlTilgung,20))/100/12,IF(AND($G9217=0,$G9216=1),MAX($K9216,$J9217*($H9217+1)/100/12),$K9216))))</f>
      </c>
      <c r="L9217" s="43">
        <f>IF($I9217=0,0,$J9217*$H9217/100/12)</f>
      </c>
      <c r="M9217" s="43">
        <f>IF($I9217=0,0,IF(OR(INDEX(DarlOhneTilgung,20)=1,AND(INDEX(DarlTilgStart,20)&gt;0,$E9217&lt;INDEX(DarlTilgStart,20))),0,MIN(MAX(0,$K9217-$L9217),$J9217)))</f>
      </c>
      <c r="N9217" s="43">
        <f>IF($I9217=0,0,MIN(SUMIFS(SondBetrag,SondDarl,20,SondDatum,"&gt;="&amp;$E9217,SondDatum,"&lt;="&amp;EOMONTH($E9217,0)),$J9217-$M9217))</f>
      </c>
      <c r="O9217" s="43">
        <f>IF($I9217=0,0,INDEX(DarlErsatzRate,20))</f>
      </c>
      <c r="P9217" s="43">
        <f>IF($I9217=0,0,$Q9216*INDEX(DarlErsatzZins,20))</f>
      </c>
      <c r="Q9217" s="43">
        <f>IF($I9217=0,0,$Q9216+$P9217+$O9217)</f>
      </c>
      <c r="R9217" s="43">
        <f>IF($I9217=0,0,$J9217-$M9217-$N9217)</f>
      </c>
    </row>
    <row r="9218">
      <c r="A9218"/>
      <c r="B9218">
        <v>20</v>
      </c>
      <c r="C9218" s="43">
        <f>INDEX(DarlObj,20)</f>
      </c>
      <c r="D9218">
        <v>95</v>
      </c>
      <c r="E9218" s="51">
        <f>IF(INDEX(DarlBelegt,20)=0,0,EOMONTH(INDEX(DarlAuszahlung,20),94)+1)</f>
      </c>
      <c r="F9218" s="43">
        <f>IF($E9218=0,0,YEAR($E9218))</f>
      </c>
      <c r="G9218" s="43">
        <f>IF(INDEX(DarlBindung,20)="",1,IF($E9218&lt;=INDEX(DarlBindung,20),1,0))</f>
      </c>
      <c r="H9218" s="43">
        <f>IF($G9218=1,INDEX(DarlSollzins,20),INDEX(DarlAnschluss,20))</f>
      </c>
      <c r="I9218" s="43">
        <f>IF(INDEX(DarlBelegt,20)=0,0,IF(INDEX(DarlOhneTilgung,20)=1,IF(INDEX(DarlBindung,20)="",1,$G9218),IF($J9218&gt;0.005,1,0)))</f>
      </c>
      <c r="J9218" s="43">
        <f>IF($I9217=0,0,$R9217)</f>
      </c>
      <c r="K9218" s="43">
        <f>IF($I9218=0,0,IF(INDEX(DarlOhneTilgung,20)=1,0,IF(AND(INDEX(DarlTilgStart,20)&gt;0,$E9218=INDEX(DarlTilgStart,20)),$J9218*($H9218+INDEX(DarlTilgung,20))/100/12,IF(AND($G9218=0,$G9217=1),MAX($K9217,$J9218*($H9218+1)/100/12),$K9217))))</f>
      </c>
      <c r="L9218" s="43">
        <f>IF($I9218=0,0,$J9218*$H9218/100/12)</f>
      </c>
      <c r="M9218" s="43">
        <f>IF($I9218=0,0,IF(OR(INDEX(DarlOhneTilgung,20)=1,AND(INDEX(DarlTilgStart,20)&gt;0,$E9218&lt;INDEX(DarlTilgStart,20))),0,MIN(MAX(0,$K9218-$L9218),$J9218)))</f>
      </c>
      <c r="N9218" s="43">
        <f>IF($I9218=0,0,MIN(SUMIFS(SondBetrag,SondDarl,20,SondDatum,"&gt;="&amp;$E9218,SondDatum,"&lt;="&amp;EOMONTH($E9218,0)),$J9218-$M9218))</f>
      </c>
      <c r="O9218" s="43">
        <f>IF($I9218=0,0,INDEX(DarlErsatzRate,20))</f>
      </c>
      <c r="P9218" s="43">
        <f>IF($I9218=0,0,$Q9217*INDEX(DarlErsatzZins,20))</f>
      </c>
      <c r="Q9218" s="43">
        <f>IF($I9218=0,0,$Q9217+$P9218+$O9218)</f>
      </c>
      <c r="R9218" s="43">
        <f>IF($I9218=0,0,$J9218-$M9218-$N9218)</f>
      </c>
    </row>
    <row r="9219">
      <c r="A9219"/>
      <c r="B9219">
        <v>20</v>
      </c>
      <c r="C9219" s="43">
        <f>INDEX(DarlObj,20)</f>
      </c>
      <c r="D9219">
        <v>96</v>
      </c>
      <c r="E9219" s="51">
        <f>IF(INDEX(DarlBelegt,20)=0,0,EOMONTH(INDEX(DarlAuszahlung,20),95)+1)</f>
      </c>
      <c r="F9219" s="43">
        <f>IF($E9219=0,0,YEAR($E9219))</f>
      </c>
      <c r="G9219" s="43">
        <f>IF(INDEX(DarlBindung,20)="",1,IF($E9219&lt;=INDEX(DarlBindung,20),1,0))</f>
      </c>
      <c r="H9219" s="43">
        <f>IF($G9219=1,INDEX(DarlSollzins,20),INDEX(DarlAnschluss,20))</f>
      </c>
      <c r="I9219" s="43">
        <f>IF(INDEX(DarlBelegt,20)=0,0,IF(INDEX(DarlOhneTilgung,20)=1,IF(INDEX(DarlBindung,20)="",1,$G9219),IF($J9219&gt;0.005,1,0)))</f>
      </c>
      <c r="J9219" s="43">
        <f>IF($I9218=0,0,$R9218)</f>
      </c>
      <c r="K9219" s="43">
        <f>IF($I9219=0,0,IF(INDEX(DarlOhneTilgung,20)=1,0,IF(AND(INDEX(DarlTilgStart,20)&gt;0,$E9219=INDEX(DarlTilgStart,20)),$J9219*($H9219+INDEX(DarlTilgung,20))/100/12,IF(AND($G9219=0,$G9218=1),MAX($K9218,$J9219*($H9219+1)/100/12),$K9218))))</f>
      </c>
      <c r="L9219" s="43">
        <f>IF($I9219=0,0,$J9219*$H9219/100/12)</f>
      </c>
      <c r="M9219" s="43">
        <f>IF($I9219=0,0,IF(OR(INDEX(DarlOhneTilgung,20)=1,AND(INDEX(DarlTilgStart,20)&gt;0,$E9219&lt;INDEX(DarlTilgStart,20))),0,MIN(MAX(0,$K9219-$L9219),$J9219)))</f>
      </c>
      <c r="N9219" s="43">
        <f>IF($I9219=0,0,MIN(SUMIFS(SondBetrag,SondDarl,20,SondDatum,"&gt;="&amp;$E9219,SondDatum,"&lt;="&amp;EOMONTH($E9219,0)),$J9219-$M9219))</f>
      </c>
      <c r="O9219" s="43">
        <f>IF($I9219=0,0,INDEX(DarlErsatzRate,20))</f>
      </c>
      <c r="P9219" s="43">
        <f>IF($I9219=0,0,$Q9218*INDEX(DarlErsatzZins,20))</f>
      </c>
      <c r="Q9219" s="43">
        <f>IF($I9219=0,0,$Q9218+$P9219+$O9219)</f>
      </c>
      <c r="R9219" s="43">
        <f>IF($I9219=0,0,$J9219-$M9219-$N9219)</f>
      </c>
    </row>
    <row r="9220">
      <c r="A9220"/>
      <c r="B9220">
        <v>20</v>
      </c>
      <c r="C9220" s="43">
        <f>INDEX(DarlObj,20)</f>
      </c>
      <c r="D9220">
        <v>97</v>
      </c>
      <c r="E9220" s="51">
        <f>IF(INDEX(DarlBelegt,20)=0,0,EOMONTH(INDEX(DarlAuszahlung,20),96)+1)</f>
      </c>
      <c r="F9220" s="43">
        <f>IF($E9220=0,0,YEAR($E9220))</f>
      </c>
      <c r="G9220" s="43">
        <f>IF(INDEX(DarlBindung,20)="",1,IF($E9220&lt;=INDEX(DarlBindung,20),1,0))</f>
      </c>
      <c r="H9220" s="43">
        <f>IF($G9220=1,INDEX(DarlSollzins,20),INDEX(DarlAnschluss,20))</f>
      </c>
      <c r="I9220" s="43">
        <f>IF(INDEX(DarlBelegt,20)=0,0,IF(INDEX(DarlOhneTilgung,20)=1,IF(INDEX(DarlBindung,20)="",1,$G9220),IF($J9220&gt;0.005,1,0)))</f>
      </c>
      <c r="J9220" s="43">
        <f>IF($I9219=0,0,$R9219)</f>
      </c>
      <c r="K9220" s="43">
        <f>IF($I9220=0,0,IF(INDEX(DarlOhneTilgung,20)=1,0,IF(AND(INDEX(DarlTilgStart,20)&gt;0,$E9220=INDEX(DarlTilgStart,20)),$J9220*($H9220+INDEX(DarlTilgung,20))/100/12,IF(AND($G9220=0,$G9219=1),MAX($K9219,$J9220*($H9220+1)/100/12),$K9219))))</f>
      </c>
      <c r="L9220" s="43">
        <f>IF($I9220=0,0,$J9220*$H9220/100/12)</f>
      </c>
      <c r="M9220" s="43">
        <f>IF($I9220=0,0,IF(OR(INDEX(DarlOhneTilgung,20)=1,AND(INDEX(DarlTilgStart,20)&gt;0,$E9220&lt;INDEX(DarlTilgStart,20))),0,MIN(MAX(0,$K9220-$L9220),$J9220)))</f>
      </c>
      <c r="N9220" s="43">
        <f>IF($I9220=0,0,MIN(SUMIFS(SondBetrag,SondDarl,20,SondDatum,"&gt;="&amp;$E9220,SondDatum,"&lt;="&amp;EOMONTH($E9220,0)),$J9220-$M9220))</f>
      </c>
      <c r="O9220" s="43">
        <f>IF($I9220=0,0,INDEX(DarlErsatzRate,20))</f>
      </c>
      <c r="P9220" s="43">
        <f>IF($I9220=0,0,$Q9219*INDEX(DarlErsatzZins,20))</f>
      </c>
      <c r="Q9220" s="43">
        <f>IF($I9220=0,0,$Q9219+$P9220+$O9220)</f>
      </c>
      <c r="R9220" s="43">
        <f>IF($I9220=0,0,$J9220-$M9220-$N9220)</f>
      </c>
    </row>
    <row r="9221">
      <c r="A9221"/>
      <c r="B9221">
        <v>20</v>
      </c>
      <c r="C9221" s="43">
        <f>INDEX(DarlObj,20)</f>
      </c>
      <c r="D9221">
        <v>98</v>
      </c>
      <c r="E9221" s="51">
        <f>IF(INDEX(DarlBelegt,20)=0,0,EOMONTH(INDEX(DarlAuszahlung,20),97)+1)</f>
      </c>
      <c r="F9221" s="43">
        <f>IF($E9221=0,0,YEAR($E9221))</f>
      </c>
      <c r="G9221" s="43">
        <f>IF(INDEX(DarlBindung,20)="",1,IF($E9221&lt;=INDEX(DarlBindung,20),1,0))</f>
      </c>
      <c r="H9221" s="43">
        <f>IF($G9221=1,INDEX(DarlSollzins,20),INDEX(DarlAnschluss,20))</f>
      </c>
      <c r="I9221" s="43">
        <f>IF(INDEX(DarlBelegt,20)=0,0,IF(INDEX(DarlOhneTilgung,20)=1,IF(INDEX(DarlBindung,20)="",1,$G9221),IF($J9221&gt;0.005,1,0)))</f>
      </c>
      <c r="J9221" s="43">
        <f>IF($I9220=0,0,$R9220)</f>
      </c>
      <c r="K9221" s="43">
        <f>IF($I9221=0,0,IF(INDEX(DarlOhneTilgung,20)=1,0,IF(AND(INDEX(DarlTilgStart,20)&gt;0,$E9221=INDEX(DarlTilgStart,20)),$J9221*($H9221+INDEX(DarlTilgung,20))/100/12,IF(AND($G9221=0,$G9220=1),MAX($K9220,$J9221*($H9221+1)/100/12),$K9220))))</f>
      </c>
      <c r="L9221" s="43">
        <f>IF($I9221=0,0,$J9221*$H9221/100/12)</f>
      </c>
      <c r="M9221" s="43">
        <f>IF($I9221=0,0,IF(OR(INDEX(DarlOhneTilgung,20)=1,AND(INDEX(DarlTilgStart,20)&gt;0,$E9221&lt;INDEX(DarlTilgStart,20))),0,MIN(MAX(0,$K9221-$L9221),$J9221)))</f>
      </c>
      <c r="N9221" s="43">
        <f>IF($I9221=0,0,MIN(SUMIFS(SondBetrag,SondDarl,20,SondDatum,"&gt;="&amp;$E9221,SondDatum,"&lt;="&amp;EOMONTH($E9221,0)),$J9221-$M9221))</f>
      </c>
      <c r="O9221" s="43">
        <f>IF($I9221=0,0,INDEX(DarlErsatzRate,20))</f>
      </c>
      <c r="P9221" s="43">
        <f>IF($I9221=0,0,$Q9220*INDEX(DarlErsatzZins,20))</f>
      </c>
      <c r="Q9221" s="43">
        <f>IF($I9221=0,0,$Q9220+$P9221+$O9221)</f>
      </c>
      <c r="R9221" s="43">
        <f>IF($I9221=0,0,$J9221-$M9221-$N9221)</f>
      </c>
    </row>
    <row r="9222">
      <c r="A9222"/>
      <c r="B9222">
        <v>20</v>
      </c>
      <c r="C9222" s="43">
        <f>INDEX(DarlObj,20)</f>
      </c>
      <c r="D9222">
        <v>99</v>
      </c>
      <c r="E9222" s="51">
        <f>IF(INDEX(DarlBelegt,20)=0,0,EOMONTH(INDEX(DarlAuszahlung,20),98)+1)</f>
      </c>
      <c r="F9222" s="43">
        <f>IF($E9222=0,0,YEAR($E9222))</f>
      </c>
      <c r="G9222" s="43">
        <f>IF(INDEX(DarlBindung,20)="",1,IF($E9222&lt;=INDEX(DarlBindung,20),1,0))</f>
      </c>
      <c r="H9222" s="43">
        <f>IF($G9222=1,INDEX(DarlSollzins,20),INDEX(DarlAnschluss,20))</f>
      </c>
      <c r="I9222" s="43">
        <f>IF(INDEX(DarlBelegt,20)=0,0,IF(INDEX(DarlOhneTilgung,20)=1,IF(INDEX(DarlBindung,20)="",1,$G9222),IF($J9222&gt;0.005,1,0)))</f>
      </c>
      <c r="J9222" s="43">
        <f>IF($I9221=0,0,$R9221)</f>
      </c>
      <c r="K9222" s="43">
        <f>IF($I9222=0,0,IF(INDEX(DarlOhneTilgung,20)=1,0,IF(AND(INDEX(DarlTilgStart,20)&gt;0,$E9222=INDEX(DarlTilgStart,20)),$J9222*($H9222+INDEX(DarlTilgung,20))/100/12,IF(AND($G9222=0,$G9221=1),MAX($K9221,$J9222*($H9222+1)/100/12),$K9221))))</f>
      </c>
      <c r="L9222" s="43">
        <f>IF($I9222=0,0,$J9222*$H9222/100/12)</f>
      </c>
      <c r="M9222" s="43">
        <f>IF($I9222=0,0,IF(OR(INDEX(DarlOhneTilgung,20)=1,AND(INDEX(DarlTilgStart,20)&gt;0,$E9222&lt;INDEX(DarlTilgStart,20))),0,MIN(MAX(0,$K9222-$L9222),$J9222)))</f>
      </c>
      <c r="N9222" s="43">
        <f>IF($I9222=0,0,MIN(SUMIFS(SondBetrag,SondDarl,20,SondDatum,"&gt;="&amp;$E9222,SondDatum,"&lt;="&amp;EOMONTH($E9222,0)),$J9222-$M9222))</f>
      </c>
      <c r="O9222" s="43">
        <f>IF($I9222=0,0,INDEX(DarlErsatzRate,20))</f>
      </c>
      <c r="P9222" s="43">
        <f>IF($I9222=0,0,$Q9221*INDEX(DarlErsatzZins,20))</f>
      </c>
      <c r="Q9222" s="43">
        <f>IF($I9222=0,0,$Q9221+$P9222+$O9222)</f>
      </c>
      <c r="R9222" s="43">
        <f>IF($I9222=0,0,$J9222-$M9222-$N9222)</f>
      </c>
    </row>
    <row r="9223">
      <c r="A9223"/>
      <c r="B9223">
        <v>20</v>
      </c>
      <c r="C9223" s="43">
        <f>INDEX(DarlObj,20)</f>
      </c>
      <c r="D9223">
        <v>100</v>
      </c>
      <c r="E9223" s="51">
        <f>IF(INDEX(DarlBelegt,20)=0,0,EOMONTH(INDEX(DarlAuszahlung,20),99)+1)</f>
      </c>
      <c r="F9223" s="43">
        <f>IF($E9223=0,0,YEAR($E9223))</f>
      </c>
      <c r="G9223" s="43">
        <f>IF(INDEX(DarlBindung,20)="",1,IF($E9223&lt;=INDEX(DarlBindung,20),1,0))</f>
      </c>
      <c r="H9223" s="43">
        <f>IF($G9223=1,INDEX(DarlSollzins,20),INDEX(DarlAnschluss,20))</f>
      </c>
      <c r="I9223" s="43">
        <f>IF(INDEX(DarlBelegt,20)=0,0,IF(INDEX(DarlOhneTilgung,20)=1,IF(INDEX(DarlBindung,20)="",1,$G9223),IF($J9223&gt;0.005,1,0)))</f>
      </c>
      <c r="J9223" s="43">
        <f>IF($I9222=0,0,$R9222)</f>
      </c>
      <c r="K9223" s="43">
        <f>IF($I9223=0,0,IF(INDEX(DarlOhneTilgung,20)=1,0,IF(AND(INDEX(DarlTilgStart,20)&gt;0,$E9223=INDEX(DarlTilgStart,20)),$J9223*($H9223+INDEX(DarlTilgung,20))/100/12,IF(AND($G9223=0,$G9222=1),MAX($K9222,$J9223*($H9223+1)/100/12),$K9222))))</f>
      </c>
      <c r="L9223" s="43">
        <f>IF($I9223=0,0,$J9223*$H9223/100/12)</f>
      </c>
      <c r="M9223" s="43">
        <f>IF($I9223=0,0,IF(OR(INDEX(DarlOhneTilgung,20)=1,AND(INDEX(DarlTilgStart,20)&gt;0,$E9223&lt;INDEX(DarlTilgStart,20))),0,MIN(MAX(0,$K9223-$L9223),$J9223)))</f>
      </c>
      <c r="N9223" s="43">
        <f>IF($I9223=0,0,MIN(SUMIFS(SondBetrag,SondDarl,20,SondDatum,"&gt;="&amp;$E9223,SondDatum,"&lt;="&amp;EOMONTH($E9223,0)),$J9223-$M9223))</f>
      </c>
      <c r="O9223" s="43">
        <f>IF($I9223=0,0,INDEX(DarlErsatzRate,20))</f>
      </c>
      <c r="P9223" s="43">
        <f>IF($I9223=0,0,$Q9222*INDEX(DarlErsatzZins,20))</f>
      </c>
      <c r="Q9223" s="43">
        <f>IF($I9223=0,0,$Q9222+$P9223+$O9223)</f>
      </c>
      <c r="R9223" s="43">
        <f>IF($I9223=0,0,$J9223-$M9223-$N9223)</f>
      </c>
    </row>
    <row r="9224">
      <c r="A9224"/>
      <c r="B9224">
        <v>20</v>
      </c>
      <c r="C9224" s="43">
        <f>INDEX(DarlObj,20)</f>
      </c>
      <c r="D9224">
        <v>101</v>
      </c>
      <c r="E9224" s="51">
        <f>IF(INDEX(DarlBelegt,20)=0,0,EOMONTH(INDEX(DarlAuszahlung,20),100)+1)</f>
      </c>
      <c r="F9224" s="43">
        <f>IF($E9224=0,0,YEAR($E9224))</f>
      </c>
      <c r="G9224" s="43">
        <f>IF(INDEX(DarlBindung,20)="",1,IF($E9224&lt;=INDEX(DarlBindung,20),1,0))</f>
      </c>
      <c r="H9224" s="43">
        <f>IF($G9224=1,INDEX(DarlSollzins,20),INDEX(DarlAnschluss,20))</f>
      </c>
      <c r="I9224" s="43">
        <f>IF(INDEX(DarlBelegt,20)=0,0,IF(INDEX(DarlOhneTilgung,20)=1,IF(INDEX(DarlBindung,20)="",1,$G9224),IF($J9224&gt;0.005,1,0)))</f>
      </c>
      <c r="J9224" s="43">
        <f>IF($I9223=0,0,$R9223)</f>
      </c>
      <c r="K9224" s="43">
        <f>IF($I9224=0,0,IF(INDEX(DarlOhneTilgung,20)=1,0,IF(AND(INDEX(DarlTilgStart,20)&gt;0,$E9224=INDEX(DarlTilgStart,20)),$J9224*($H9224+INDEX(DarlTilgung,20))/100/12,IF(AND($G9224=0,$G9223=1),MAX($K9223,$J9224*($H9224+1)/100/12),$K9223))))</f>
      </c>
      <c r="L9224" s="43">
        <f>IF($I9224=0,0,$J9224*$H9224/100/12)</f>
      </c>
      <c r="M9224" s="43">
        <f>IF($I9224=0,0,IF(OR(INDEX(DarlOhneTilgung,20)=1,AND(INDEX(DarlTilgStart,20)&gt;0,$E9224&lt;INDEX(DarlTilgStart,20))),0,MIN(MAX(0,$K9224-$L9224),$J9224)))</f>
      </c>
      <c r="N9224" s="43">
        <f>IF($I9224=0,0,MIN(SUMIFS(SondBetrag,SondDarl,20,SondDatum,"&gt;="&amp;$E9224,SondDatum,"&lt;="&amp;EOMONTH($E9224,0)),$J9224-$M9224))</f>
      </c>
      <c r="O9224" s="43">
        <f>IF($I9224=0,0,INDEX(DarlErsatzRate,20))</f>
      </c>
      <c r="P9224" s="43">
        <f>IF($I9224=0,0,$Q9223*INDEX(DarlErsatzZins,20))</f>
      </c>
      <c r="Q9224" s="43">
        <f>IF($I9224=0,0,$Q9223+$P9224+$O9224)</f>
      </c>
      <c r="R9224" s="43">
        <f>IF($I9224=0,0,$J9224-$M9224-$N9224)</f>
      </c>
    </row>
    <row r="9225">
      <c r="A9225"/>
      <c r="B9225">
        <v>20</v>
      </c>
      <c r="C9225" s="43">
        <f>INDEX(DarlObj,20)</f>
      </c>
      <c r="D9225">
        <v>102</v>
      </c>
      <c r="E9225" s="51">
        <f>IF(INDEX(DarlBelegt,20)=0,0,EOMONTH(INDEX(DarlAuszahlung,20),101)+1)</f>
      </c>
      <c r="F9225" s="43">
        <f>IF($E9225=0,0,YEAR($E9225))</f>
      </c>
      <c r="G9225" s="43">
        <f>IF(INDEX(DarlBindung,20)="",1,IF($E9225&lt;=INDEX(DarlBindung,20),1,0))</f>
      </c>
      <c r="H9225" s="43">
        <f>IF($G9225=1,INDEX(DarlSollzins,20),INDEX(DarlAnschluss,20))</f>
      </c>
      <c r="I9225" s="43">
        <f>IF(INDEX(DarlBelegt,20)=0,0,IF(INDEX(DarlOhneTilgung,20)=1,IF(INDEX(DarlBindung,20)="",1,$G9225),IF($J9225&gt;0.005,1,0)))</f>
      </c>
      <c r="J9225" s="43">
        <f>IF($I9224=0,0,$R9224)</f>
      </c>
      <c r="K9225" s="43">
        <f>IF($I9225=0,0,IF(INDEX(DarlOhneTilgung,20)=1,0,IF(AND(INDEX(DarlTilgStart,20)&gt;0,$E9225=INDEX(DarlTilgStart,20)),$J9225*($H9225+INDEX(DarlTilgung,20))/100/12,IF(AND($G9225=0,$G9224=1),MAX($K9224,$J9225*($H9225+1)/100/12),$K9224))))</f>
      </c>
      <c r="L9225" s="43">
        <f>IF($I9225=0,0,$J9225*$H9225/100/12)</f>
      </c>
      <c r="M9225" s="43">
        <f>IF($I9225=0,0,IF(OR(INDEX(DarlOhneTilgung,20)=1,AND(INDEX(DarlTilgStart,20)&gt;0,$E9225&lt;INDEX(DarlTilgStart,20))),0,MIN(MAX(0,$K9225-$L9225),$J9225)))</f>
      </c>
      <c r="N9225" s="43">
        <f>IF($I9225=0,0,MIN(SUMIFS(SondBetrag,SondDarl,20,SondDatum,"&gt;="&amp;$E9225,SondDatum,"&lt;="&amp;EOMONTH($E9225,0)),$J9225-$M9225))</f>
      </c>
      <c r="O9225" s="43">
        <f>IF($I9225=0,0,INDEX(DarlErsatzRate,20))</f>
      </c>
      <c r="P9225" s="43">
        <f>IF($I9225=0,0,$Q9224*INDEX(DarlErsatzZins,20))</f>
      </c>
      <c r="Q9225" s="43">
        <f>IF($I9225=0,0,$Q9224+$P9225+$O9225)</f>
      </c>
      <c r="R9225" s="43">
        <f>IF($I9225=0,0,$J9225-$M9225-$N9225)</f>
      </c>
    </row>
    <row r="9226">
      <c r="A9226"/>
      <c r="B9226">
        <v>20</v>
      </c>
      <c r="C9226" s="43">
        <f>INDEX(DarlObj,20)</f>
      </c>
      <c r="D9226">
        <v>103</v>
      </c>
      <c r="E9226" s="51">
        <f>IF(INDEX(DarlBelegt,20)=0,0,EOMONTH(INDEX(DarlAuszahlung,20),102)+1)</f>
      </c>
      <c r="F9226" s="43">
        <f>IF($E9226=0,0,YEAR($E9226))</f>
      </c>
      <c r="G9226" s="43">
        <f>IF(INDEX(DarlBindung,20)="",1,IF($E9226&lt;=INDEX(DarlBindung,20),1,0))</f>
      </c>
      <c r="H9226" s="43">
        <f>IF($G9226=1,INDEX(DarlSollzins,20),INDEX(DarlAnschluss,20))</f>
      </c>
      <c r="I9226" s="43">
        <f>IF(INDEX(DarlBelegt,20)=0,0,IF(INDEX(DarlOhneTilgung,20)=1,IF(INDEX(DarlBindung,20)="",1,$G9226),IF($J9226&gt;0.005,1,0)))</f>
      </c>
      <c r="J9226" s="43">
        <f>IF($I9225=0,0,$R9225)</f>
      </c>
      <c r="K9226" s="43">
        <f>IF($I9226=0,0,IF(INDEX(DarlOhneTilgung,20)=1,0,IF(AND(INDEX(DarlTilgStart,20)&gt;0,$E9226=INDEX(DarlTilgStart,20)),$J9226*($H9226+INDEX(DarlTilgung,20))/100/12,IF(AND($G9226=0,$G9225=1),MAX($K9225,$J9226*($H9226+1)/100/12),$K9225))))</f>
      </c>
      <c r="L9226" s="43">
        <f>IF($I9226=0,0,$J9226*$H9226/100/12)</f>
      </c>
      <c r="M9226" s="43">
        <f>IF($I9226=0,0,IF(OR(INDEX(DarlOhneTilgung,20)=1,AND(INDEX(DarlTilgStart,20)&gt;0,$E9226&lt;INDEX(DarlTilgStart,20))),0,MIN(MAX(0,$K9226-$L9226),$J9226)))</f>
      </c>
      <c r="N9226" s="43">
        <f>IF($I9226=0,0,MIN(SUMIFS(SondBetrag,SondDarl,20,SondDatum,"&gt;="&amp;$E9226,SondDatum,"&lt;="&amp;EOMONTH($E9226,0)),$J9226-$M9226))</f>
      </c>
      <c r="O9226" s="43">
        <f>IF($I9226=0,0,INDEX(DarlErsatzRate,20))</f>
      </c>
      <c r="P9226" s="43">
        <f>IF($I9226=0,0,$Q9225*INDEX(DarlErsatzZins,20))</f>
      </c>
      <c r="Q9226" s="43">
        <f>IF($I9226=0,0,$Q9225+$P9226+$O9226)</f>
      </c>
      <c r="R9226" s="43">
        <f>IF($I9226=0,0,$J9226-$M9226-$N9226)</f>
      </c>
    </row>
    <row r="9227">
      <c r="A9227"/>
      <c r="B9227">
        <v>20</v>
      </c>
      <c r="C9227" s="43">
        <f>INDEX(DarlObj,20)</f>
      </c>
      <c r="D9227">
        <v>104</v>
      </c>
      <c r="E9227" s="51">
        <f>IF(INDEX(DarlBelegt,20)=0,0,EOMONTH(INDEX(DarlAuszahlung,20),103)+1)</f>
      </c>
      <c r="F9227" s="43">
        <f>IF($E9227=0,0,YEAR($E9227))</f>
      </c>
      <c r="G9227" s="43">
        <f>IF(INDEX(DarlBindung,20)="",1,IF($E9227&lt;=INDEX(DarlBindung,20),1,0))</f>
      </c>
      <c r="H9227" s="43">
        <f>IF($G9227=1,INDEX(DarlSollzins,20),INDEX(DarlAnschluss,20))</f>
      </c>
      <c r="I9227" s="43">
        <f>IF(INDEX(DarlBelegt,20)=0,0,IF(INDEX(DarlOhneTilgung,20)=1,IF(INDEX(DarlBindung,20)="",1,$G9227),IF($J9227&gt;0.005,1,0)))</f>
      </c>
      <c r="J9227" s="43">
        <f>IF($I9226=0,0,$R9226)</f>
      </c>
      <c r="K9227" s="43">
        <f>IF($I9227=0,0,IF(INDEX(DarlOhneTilgung,20)=1,0,IF(AND(INDEX(DarlTilgStart,20)&gt;0,$E9227=INDEX(DarlTilgStart,20)),$J9227*($H9227+INDEX(DarlTilgung,20))/100/12,IF(AND($G9227=0,$G9226=1),MAX($K9226,$J9227*($H9227+1)/100/12),$K9226))))</f>
      </c>
      <c r="L9227" s="43">
        <f>IF($I9227=0,0,$J9227*$H9227/100/12)</f>
      </c>
      <c r="M9227" s="43">
        <f>IF($I9227=0,0,IF(OR(INDEX(DarlOhneTilgung,20)=1,AND(INDEX(DarlTilgStart,20)&gt;0,$E9227&lt;INDEX(DarlTilgStart,20))),0,MIN(MAX(0,$K9227-$L9227),$J9227)))</f>
      </c>
      <c r="N9227" s="43">
        <f>IF($I9227=0,0,MIN(SUMIFS(SondBetrag,SondDarl,20,SondDatum,"&gt;="&amp;$E9227,SondDatum,"&lt;="&amp;EOMONTH($E9227,0)),$J9227-$M9227))</f>
      </c>
      <c r="O9227" s="43">
        <f>IF($I9227=0,0,INDEX(DarlErsatzRate,20))</f>
      </c>
      <c r="P9227" s="43">
        <f>IF($I9227=0,0,$Q9226*INDEX(DarlErsatzZins,20))</f>
      </c>
      <c r="Q9227" s="43">
        <f>IF($I9227=0,0,$Q9226+$P9227+$O9227)</f>
      </c>
      <c r="R9227" s="43">
        <f>IF($I9227=0,0,$J9227-$M9227-$N9227)</f>
      </c>
    </row>
    <row r="9228">
      <c r="A9228"/>
      <c r="B9228">
        <v>20</v>
      </c>
      <c r="C9228" s="43">
        <f>INDEX(DarlObj,20)</f>
      </c>
      <c r="D9228">
        <v>105</v>
      </c>
      <c r="E9228" s="51">
        <f>IF(INDEX(DarlBelegt,20)=0,0,EOMONTH(INDEX(DarlAuszahlung,20),104)+1)</f>
      </c>
      <c r="F9228" s="43">
        <f>IF($E9228=0,0,YEAR($E9228))</f>
      </c>
      <c r="G9228" s="43">
        <f>IF(INDEX(DarlBindung,20)="",1,IF($E9228&lt;=INDEX(DarlBindung,20),1,0))</f>
      </c>
      <c r="H9228" s="43">
        <f>IF($G9228=1,INDEX(DarlSollzins,20),INDEX(DarlAnschluss,20))</f>
      </c>
      <c r="I9228" s="43">
        <f>IF(INDEX(DarlBelegt,20)=0,0,IF(INDEX(DarlOhneTilgung,20)=1,IF(INDEX(DarlBindung,20)="",1,$G9228),IF($J9228&gt;0.005,1,0)))</f>
      </c>
      <c r="J9228" s="43">
        <f>IF($I9227=0,0,$R9227)</f>
      </c>
      <c r="K9228" s="43">
        <f>IF($I9228=0,0,IF(INDEX(DarlOhneTilgung,20)=1,0,IF(AND(INDEX(DarlTilgStart,20)&gt;0,$E9228=INDEX(DarlTilgStart,20)),$J9228*($H9228+INDEX(DarlTilgung,20))/100/12,IF(AND($G9228=0,$G9227=1),MAX($K9227,$J9228*($H9228+1)/100/12),$K9227))))</f>
      </c>
      <c r="L9228" s="43">
        <f>IF($I9228=0,0,$J9228*$H9228/100/12)</f>
      </c>
      <c r="M9228" s="43">
        <f>IF($I9228=0,0,IF(OR(INDEX(DarlOhneTilgung,20)=1,AND(INDEX(DarlTilgStart,20)&gt;0,$E9228&lt;INDEX(DarlTilgStart,20))),0,MIN(MAX(0,$K9228-$L9228),$J9228)))</f>
      </c>
      <c r="N9228" s="43">
        <f>IF($I9228=0,0,MIN(SUMIFS(SondBetrag,SondDarl,20,SondDatum,"&gt;="&amp;$E9228,SondDatum,"&lt;="&amp;EOMONTH($E9228,0)),$J9228-$M9228))</f>
      </c>
      <c r="O9228" s="43">
        <f>IF($I9228=0,0,INDEX(DarlErsatzRate,20))</f>
      </c>
      <c r="P9228" s="43">
        <f>IF($I9228=0,0,$Q9227*INDEX(DarlErsatzZins,20))</f>
      </c>
      <c r="Q9228" s="43">
        <f>IF($I9228=0,0,$Q9227+$P9228+$O9228)</f>
      </c>
      <c r="R9228" s="43">
        <f>IF($I9228=0,0,$J9228-$M9228-$N9228)</f>
      </c>
    </row>
    <row r="9229">
      <c r="A9229"/>
      <c r="B9229">
        <v>20</v>
      </c>
      <c r="C9229" s="43">
        <f>INDEX(DarlObj,20)</f>
      </c>
      <c r="D9229">
        <v>106</v>
      </c>
      <c r="E9229" s="51">
        <f>IF(INDEX(DarlBelegt,20)=0,0,EOMONTH(INDEX(DarlAuszahlung,20),105)+1)</f>
      </c>
      <c r="F9229" s="43">
        <f>IF($E9229=0,0,YEAR($E9229))</f>
      </c>
      <c r="G9229" s="43">
        <f>IF(INDEX(DarlBindung,20)="",1,IF($E9229&lt;=INDEX(DarlBindung,20),1,0))</f>
      </c>
      <c r="H9229" s="43">
        <f>IF($G9229=1,INDEX(DarlSollzins,20),INDEX(DarlAnschluss,20))</f>
      </c>
      <c r="I9229" s="43">
        <f>IF(INDEX(DarlBelegt,20)=0,0,IF(INDEX(DarlOhneTilgung,20)=1,IF(INDEX(DarlBindung,20)="",1,$G9229),IF($J9229&gt;0.005,1,0)))</f>
      </c>
      <c r="J9229" s="43">
        <f>IF($I9228=0,0,$R9228)</f>
      </c>
      <c r="K9229" s="43">
        <f>IF($I9229=0,0,IF(INDEX(DarlOhneTilgung,20)=1,0,IF(AND(INDEX(DarlTilgStart,20)&gt;0,$E9229=INDEX(DarlTilgStart,20)),$J9229*($H9229+INDEX(DarlTilgung,20))/100/12,IF(AND($G9229=0,$G9228=1),MAX($K9228,$J9229*($H9229+1)/100/12),$K9228))))</f>
      </c>
      <c r="L9229" s="43">
        <f>IF($I9229=0,0,$J9229*$H9229/100/12)</f>
      </c>
      <c r="M9229" s="43">
        <f>IF($I9229=0,0,IF(OR(INDEX(DarlOhneTilgung,20)=1,AND(INDEX(DarlTilgStart,20)&gt;0,$E9229&lt;INDEX(DarlTilgStart,20))),0,MIN(MAX(0,$K9229-$L9229),$J9229)))</f>
      </c>
      <c r="N9229" s="43">
        <f>IF($I9229=0,0,MIN(SUMIFS(SondBetrag,SondDarl,20,SondDatum,"&gt;="&amp;$E9229,SondDatum,"&lt;="&amp;EOMONTH($E9229,0)),$J9229-$M9229))</f>
      </c>
      <c r="O9229" s="43">
        <f>IF($I9229=0,0,INDEX(DarlErsatzRate,20))</f>
      </c>
      <c r="P9229" s="43">
        <f>IF($I9229=0,0,$Q9228*INDEX(DarlErsatzZins,20))</f>
      </c>
      <c r="Q9229" s="43">
        <f>IF($I9229=0,0,$Q9228+$P9229+$O9229)</f>
      </c>
      <c r="R9229" s="43">
        <f>IF($I9229=0,0,$J9229-$M9229-$N9229)</f>
      </c>
    </row>
    <row r="9230">
      <c r="A9230"/>
      <c r="B9230">
        <v>20</v>
      </c>
      <c r="C9230" s="43">
        <f>INDEX(DarlObj,20)</f>
      </c>
      <c r="D9230">
        <v>107</v>
      </c>
      <c r="E9230" s="51">
        <f>IF(INDEX(DarlBelegt,20)=0,0,EOMONTH(INDEX(DarlAuszahlung,20),106)+1)</f>
      </c>
      <c r="F9230" s="43">
        <f>IF($E9230=0,0,YEAR($E9230))</f>
      </c>
      <c r="G9230" s="43">
        <f>IF(INDEX(DarlBindung,20)="",1,IF($E9230&lt;=INDEX(DarlBindung,20),1,0))</f>
      </c>
      <c r="H9230" s="43">
        <f>IF($G9230=1,INDEX(DarlSollzins,20),INDEX(DarlAnschluss,20))</f>
      </c>
      <c r="I9230" s="43">
        <f>IF(INDEX(DarlBelegt,20)=0,0,IF(INDEX(DarlOhneTilgung,20)=1,IF(INDEX(DarlBindung,20)="",1,$G9230),IF($J9230&gt;0.005,1,0)))</f>
      </c>
      <c r="J9230" s="43">
        <f>IF($I9229=0,0,$R9229)</f>
      </c>
      <c r="K9230" s="43">
        <f>IF($I9230=0,0,IF(INDEX(DarlOhneTilgung,20)=1,0,IF(AND(INDEX(DarlTilgStart,20)&gt;0,$E9230=INDEX(DarlTilgStart,20)),$J9230*($H9230+INDEX(DarlTilgung,20))/100/12,IF(AND($G9230=0,$G9229=1),MAX($K9229,$J9230*($H9230+1)/100/12),$K9229))))</f>
      </c>
      <c r="L9230" s="43">
        <f>IF($I9230=0,0,$J9230*$H9230/100/12)</f>
      </c>
      <c r="M9230" s="43">
        <f>IF($I9230=0,0,IF(OR(INDEX(DarlOhneTilgung,20)=1,AND(INDEX(DarlTilgStart,20)&gt;0,$E9230&lt;INDEX(DarlTilgStart,20))),0,MIN(MAX(0,$K9230-$L9230),$J9230)))</f>
      </c>
      <c r="N9230" s="43">
        <f>IF($I9230=0,0,MIN(SUMIFS(SondBetrag,SondDarl,20,SondDatum,"&gt;="&amp;$E9230,SondDatum,"&lt;="&amp;EOMONTH($E9230,0)),$J9230-$M9230))</f>
      </c>
      <c r="O9230" s="43">
        <f>IF($I9230=0,0,INDEX(DarlErsatzRate,20))</f>
      </c>
      <c r="P9230" s="43">
        <f>IF($I9230=0,0,$Q9229*INDEX(DarlErsatzZins,20))</f>
      </c>
      <c r="Q9230" s="43">
        <f>IF($I9230=0,0,$Q9229+$P9230+$O9230)</f>
      </c>
      <c r="R9230" s="43">
        <f>IF($I9230=0,0,$J9230-$M9230-$N9230)</f>
      </c>
    </row>
    <row r="9231">
      <c r="A9231"/>
      <c r="B9231">
        <v>20</v>
      </c>
      <c r="C9231" s="43">
        <f>INDEX(DarlObj,20)</f>
      </c>
      <c r="D9231">
        <v>108</v>
      </c>
      <c r="E9231" s="51">
        <f>IF(INDEX(DarlBelegt,20)=0,0,EOMONTH(INDEX(DarlAuszahlung,20),107)+1)</f>
      </c>
      <c r="F9231" s="43">
        <f>IF($E9231=0,0,YEAR($E9231))</f>
      </c>
      <c r="G9231" s="43">
        <f>IF(INDEX(DarlBindung,20)="",1,IF($E9231&lt;=INDEX(DarlBindung,20),1,0))</f>
      </c>
      <c r="H9231" s="43">
        <f>IF($G9231=1,INDEX(DarlSollzins,20),INDEX(DarlAnschluss,20))</f>
      </c>
      <c r="I9231" s="43">
        <f>IF(INDEX(DarlBelegt,20)=0,0,IF(INDEX(DarlOhneTilgung,20)=1,IF(INDEX(DarlBindung,20)="",1,$G9231),IF($J9231&gt;0.005,1,0)))</f>
      </c>
      <c r="J9231" s="43">
        <f>IF($I9230=0,0,$R9230)</f>
      </c>
      <c r="K9231" s="43">
        <f>IF($I9231=0,0,IF(INDEX(DarlOhneTilgung,20)=1,0,IF(AND(INDEX(DarlTilgStart,20)&gt;0,$E9231=INDEX(DarlTilgStart,20)),$J9231*($H9231+INDEX(DarlTilgung,20))/100/12,IF(AND($G9231=0,$G9230=1),MAX($K9230,$J9231*($H9231+1)/100/12),$K9230))))</f>
      </c>
      <c r="L9231" s="43">
        <f>IF($I9231=0,0,$J9231*$H9231/100/12)</f>
      </c>
      <c r="M9231" s="43">
        <f>IF($I9231=0,0,IF(OR(INDEX(DarlOhneTilgung,20)=1,AND(INDEX(DarlTilgStart,20)&gt;0,$E9231&lt;INDEX(DarlTilgStart,20))),0,MIN(MAX(0,$K9231-$L9231),$J9231)))</f>
      </c>
      <c r="N9231" s="43">
        <f>IF($I9231=0,0,MIN(SUMIFS(SondBetrag,SondDarl,20,SondDatum,"&gt;="&amp;$E9231,SondDatum,"&lt;="&amp;EOMONTH($E9231,0)),$J9231-$M9231))</f>
      </c>
      <c r="O9231" s="43">
        <f>IF($I9231=0,0,INDEX(DarlErsatzRate,20))</f>
      </c>
      <c r="P9231" s="43">
        <f>IF($I9231=0,0,$Q9230*INDEX(DarlErsatzZins,20))</f>
      </c>
      <c r="Q9231" s="43">
        <f>IF($I9231=0,0,$Q9230+$P9231+$O9231)</f>
      </c>
      <c r="R9231" s="43">
        <f>IF($I9231=0,0,$J9231-$M9231-$N9231)</f>
      </c>
    </row>
    <row r="9232">
      <c r="A9232"/>
      <c r="B9232">
        <v>20</v>
      </c>
      <c r="C9232" s="43">
        <f>INDEX(DarlObj,20)</f>
      </c>
      <c r="D9232">
        <v>109</v>
      </c>
      <c r="E9232" s="51">
        <f>IF(INDEX(DarlBelegt,20)=0,0,EOMONTH(INDEX(DarlAuszahlung,20),108)+1)</f>
      </c>
      <c r="F9232" s="43">
        <f>IF($E9232=0,0,YEAR($E9232))</f>
      </c>
      <c r="G9232" s="43">
        <f>IF(INDEX(DarlBindung,20)="",1,IF($E9232&lt;=INDEX(DarlBindung,20),1,0))</f>
      </c>
      <c r="H9232" s="43">
        <f>IF($G9232=1,INDEX(DarlSollzins,20),INDEX(DarlAnschluss,20))</f>
      </c>
      <c r="I9232" s="43">
        <f>IF(INDEX(DarlBelegt,20)=0,0,IF(INDEX(DarlOhneTilgung,20)=1,IF(INDEX(DarlBindung,20)="",1,$G9232),IF($J9232&gt;0.005,1,0)))</f>
      </c>
      <c r="J9232" s="43">
        <f>IF($I9231=0,0,$R9231)</f>
      </c>
      <c r="K9232" s="43">
        <f>IF($I9232=0,0,IF(INDEX(DarlOhneTilgung,20)=1,0,IF(AND(INDEX(DarlTilgStart,20)&gt;0,$E9232=INDEX(DarlTilgStart,20)),$J9232*($H9232+INDEX(DarlTilgung,20))/100/12,IF(AND($G9232=0,$G9231=1),MAX($K9231,$J9232*($H9232+1)/100/12),$K9231))))</f>
      </c>
      <c r="L9232" s="43">
        <f>IF($I9232=0,0,$J9232*$H9232/100/12)</f>
      </c>
      <c r="M9232" s="43">
        <f>IF($I9232=0,0,IF(OR(INDEX(DarlOhneTilgung,20)=1,AND(INDEX(DarlTilgStart,20)&gt;0,$E9232&lt;INDEX(DarlTilgStart,20))),0,MIN(MAX(0,$K9232-$L9232),$J9232)))</f>
      </c>
      <c r="N9232" s="43">
        <f>IF($I9232=0,0,MIN(SUMIFS(SondBetrag,SondDarl,20,SondDatum,"&gt;="&amp;$E9232,SondDatum,"&lt;="&amp;EOMONTH($E9232,0)),$J9232-$M9232))</f>
      </c>
      <c r="O9232" s="43">
        <f>IF($I9232=0,0,INDEX(DarlErsatzRate,20))</f>
      </c>
      <c r="P9232" s="43">
        <f>IF($I9232=0,0,$Q9231*INDEX(DarlErsatzZins,20))</f>
      </c>
      <c r="Q9232" s="43">
        <f>IF($I9232=0,0,$Q9231+$P9232+$O9232)</f>
      </c>
      <c r="R9232" s="43">
        <f>IF($I9232=0,0,$J9232-$M9232-$N9232)</f>
      </c>
    </row>
    <row r="9233">
      <c r="A9233"/>
      <c r="B9233">
        <v>20</v>
      </c>
      <c r="C9233" s="43">
        <f>INDEX(DarlObj,20)</f>
      </c>
      <c r="D9233">
        <v>110</v>
      </c>
      <c r="E9233" s="51">
        <f>IF(INDEX(DarlBelegt,20)=0,0,EOMONTH(INDEX(DarlAuszahlung,20),109)+1)</f>
      </c>
      <c r="F9233" s="43">
        <f>IF($E9233=0,0,YEAR($E9233))</f>
      </c>
      <c r="G9233" s="43">
        <f>IF(INDEX(DarlBindung,20)="",1,IF($E9233&lt;=INDEX(DarlBindung,20),1,0))</f>
      </c>
      <c r="H9233" s="43">
        <f>IF($G9233=1,INDEX(DarlSollzins,20),INDEX(DarlAnschluss,20))</f>
      </c>
      <c r="I9233" s="43">
        <f>IF(INDEX(DarlBelegt,20)=0,0,IF(INDEX(DarlOhneTilgung,20)=1,IF(INDEX(DarlBindung,20)="",1,$G9233),IF($J9233&gt;0.005,1,0)))</f>
      </c>
      <c r="J9233" s="43">
        <f>IF($I9232=0,0,$R9232)</f>
      </c>
      <c r="K9233" s="43">
        <f>IF($I9233=0,0,IF(INDEX(DarlOhneTilgung,20)=1,0,IF(AND(INDEX(DarlTilgStart,20)&gt;0,$E9233=INDEX(DarlTilgStart,20)),$J9233*($H9233+INDEX(DarlTilgung,20))/100/12,IF(AND($G9233=0,$G9232=1),MAX($K9232,$J9233*($H9233+1)/100/12),$K9232))))</f>
      </c>
      <c r="L9233" s="43">
        <f>IF($I9233=0,0,$J9233*$H9233/100/12)</f>
      </c>
      <c r="M9233" s="43">
        <f>IF($I9233=0,0,IF(OR(INDEX(DarlOhneTilgung,20)=1,AND(INDEX(DarlTilgStart,20)&gt;0,$E9233&lt;INDEX(DarlTilgStart,20))),0,MIN(MAX(0,$K9233-$L9233),$J9233)))</f>
      </c>
      <c r="N9233" s="43">
        <f>IF($I9233=0,0,MIN(SUMIFS(SondBetrag,SondDarl,20,SondDatum,"&gt;="&amp;$E9233,SondDatum,"&lt;="&amp;EOMONTH($E9233,0)),$J9233-$M9233))</f>
      </c>
      <c r="O9233" s="43">
        <f>IF($I9233=0,0,INDEX(DarlErsatzRate,20))</f>
      </c>
      <c r="P9233" s="43">
        <f>IF($I9233=0,0,$Q9232*INDEX(DarlErsatzZins,20))</f>
      </c>
      <c r="Q9233" s="43">
        <f>IF($I9233=0,0,$Q9232+$P9233+$O9233)</f>
      </c>
      <c r="R9233" s="43">
        <f>IF($I9233=0,0,$J9233-$M9233-$N9233)</f>
      </c>
    </row>
    <row r="9234">
      <c r="A9234"/>
      <c r="B9234">
        <v>20</v>
      </c>
      <c r="C9234" s="43">
        <f>INDEX(DarlObj,20)</f>
      </c>
      <c r="D9234">
        <v>111</v>
      </c>
      <c r="E9234" s="51">
        <f>IF(INDEX(DarlBelegt,20)=0,0,EOMONTH(INDEX(DarlAuszahlung,20),110)+1)</f>
      </c>
      <c r="F9234" s="43">
        <f>IF($E9234=0,0,YEAR($E9234))</f>
      </c>
      <c r="G9234" s="43">
        <f>IF(INDEX(DarlBindung,20)="",1,IF($E9234&lt;=INDEX(DarlBindung,20),1,0))</f>
      </c>
      <c r="H9234" s="43">
        <f>IF($G9234=1,INDEX(DarlSollzins,20),INDEX(DarlAnschluss,20))</f>
      </c>
      <c r="I9234" s="43">
        <f>IF(INDEX(DarlBelegt,20)=0,0,IF(INDEX(DarlOhneTilgung,20)=1,IF(INDEX(DarlBindung,20)="",1,$G9234),IF($J9234&gt;0.005,1,0)))</f>
      </c>
      <c r="J9234" s="43">
        <f>IF($I9233=0,0,$R9233)</f>
      </c>
      <c r="K9234" s="43">
        <f>IF($I9234=0,0,IF(INDEX(DarlOhneTilgung,20)=1,0,IF(AND(INDEX(DarlTilgStart,20)&gt;0,$E9234=INDEX(DarlTilgStart,20)),$J9234*($H9234+INDEX(DarlTilgung,20))/100/12,IF(AND($G9234=0,$G9233=1),MAX($K9233,$J9234*($H9234+1)/100/12),$K9233))))</f>
      </c>
      <c r="L9234" s="43">
        <f>IF($I9234=0,0,$J9234*$H9234/100/12)</f>
      </c>
      <c r="M9234" s="43">
        <f>IF($I9234=0,0,IF(OR(INDEX(DarlOhneTilgung,20)=1,AND(INDEX(DarlTilgStart,20)&gt;0,$E9234&lt;INDEX(DarlTilgStart,20))),0,MIN(MAX(0,$K9234-$L9234),$J9234)))</f>
      </c>
      <c r="N9234" s="43">
        <f>IF($I9234=0,0,MIN(SUMIFS(SondBetrag,SondDarl,20,SondDatum,"&gt;="&amp;$E9234,SondDatum,"&lt;="&amp;EOMONTH($E9234,0)),$J9234-$M9234))</f>
      </c>
      <c r="O9234" s="43">
        <f>IF($I9234=0,0,INDEX(DarlErsatzRate,20))</f>
      </c>
      <c r="P9234" s="43">
        <f>IF($I9234=0,0,$Q9233*INDEX(DarlErsatzZins,20))</f>
      </c>
      <c r="Q9234" s="43">
        <f>IF($I9234=0,0,$Q9233+$P9234+$O9234)</f>
      </c>
      <c r="R9234" s="43">
        <f>IF($I9234=0,0,$J9234-$M9234-$N9234)</f>
      </c>
    </row>
    <row r="9235">
      <c r="A9235"/>
      <c r="B9235">
        <v>20</v>
      </c>
      <c r="C9235" s="43">
        <f>INDEX(DarlObj,20)</f>
      </c>
      <c r="D9235">
        <v>112</v>
      </c>
      <c r="E9235" s="51">
        <f>IF(INDEX(DarlBelegt,20)=0,0,EOMONTH(INDEX(DarlAuszahlung,20),111)+1)</f>
      </c>
      <c r="F9235" s="43">
        <f>IF($E9235=0,0,YEAR($E9235))</f>
      </c>
      <c r="G9235" s="43">
        <f>IF(INDEX(DarlBindung,20)="",1,IF($E9235&lt;=INDEX(DarlBindung,20),1,0))</f>
      </c>
      <c r="H9235" s="43">
        <f>IF($G9235=1,INDEX(DarlSollzins,20),INDEX(DarlAnschluss,20))</f>
      </c>
      <c r="I9235" s="43">
        <f>IF(INDEX(DarlBelegt,20)=0,0,IF(INDEX(DarlOhneTilgung,20)=1,IF(INDEX(DarlBindung,20)="",1,$G9235),IF($J9235&gt;0.005,1,0)))</f>
      </c>
      <c r="J9235" s="43">
        <f>IF($I9234=0,0,$R9234)</f>
      </c>
      <c r="K9235" s="43">
        <f>IF($I9235=0,0,IF(INDEX(DarlOhneTilgung,20)=1,0,IF(AND(INDEX(DarlTilgStart,20)&gt;0,$E9235=INDEX(DarlTilgStart,20)),$J9235*($H9235+INDEX(DarlTilgung,20))/100/12,IF(AND($G9235=0,$G9234=1),MAX($K9234,$J9235*($H9235+1)/100/12),$K9234))))</f>
      </c>
      <c r="L9235" s="43">
        <f>IF($I9235=0,0,$J9235*$H9235/100/12)</f>
      </c>
      <c r="M9235" s="43">
        <f>IF($I9235=0,0,IF(OR(INDEX(DarlOhneTilgung,20)=1,AND(INDEX(DarlTilgStart,20)&gt;0,$E9235&lt;INDEX(DarlTilgStart,20))),0,MIN(MAX(0,$K9235-$L9235),$J9235)))</f>
      </c>
      <c r="N9235" s="43">
        <f>IF($I9235=0,0,MIN(SUMIFS(SondBetrag,SondDarl,20,SondDatum,"&gt;="&amp;$E9235,SondDatum,"&lt;="&amp;EOMONTH($E9235,0)),$J9235-$M9235))</f>
      </c>
      <c r="O9235" s="43">
        <f>IF($I9235=0,0,INDEX(DarlErsatzRate,20))</f>
      </c>
      <c r="P9235" s="43">
        <f>IF($I9235=0,0,$Q9234*INDEX(DarlErsatzZins,20))</f>
      </c>
      <c r="Q9235" s="43">
        <f>IF($I9235=0,0,$Q9234+$P9235+$O9235)</f>
      </c>
      <c r="R9235" s="43">
        <f>IF($I9235=0,0,$J9235-$M9235-$N9235)</f>
      </c>
    </row>
    <row r="9236">
      <c r="A9236"/>
      <c r="B9236">
        <v>20</v>
      </c>
      <c r="C9236" s="43">
        <f>INDEX(DarlObj,20)</f>
      </c>
      <c r="D9236">
        <v>113</v>
      </c>
      <c r="E9236" s="51">
        <f>IF(INDEX(DarlBelegt,20)=0,0,EOMONTH(INDEX(DarlAuszahlung,20),112)+1)</f>
      </c>
      <c r="F9236" s="43">
        <f>IF($E9236=0,0,YEAR($E9236))</f>
      </c>
      <c r="G9236" s="43">
        <f>IF(INDEX(DarlBindung,20)="",1,IF($E9236&lt;=INDEX(DarlBindung,20),1,0))</f>
      </c>
      <c r="H9236" s="43">
        <f>IF($G9236=1,INDEX(DarlSollzins,20),INDEX(DarlAnschluss,20))</f>
      </c>
      <c r="I9236" s="43">
        <f>IF(INDEX(DarlBelegt,20)=0,0,IF(INDEX(DarlOhneTilgung,20)=1,IF(INDEX(DarlBindung,20)="",1,$G9236),IF($J9236&gt;0.005,1,0)))</f>
      </c>
      <c r="J9236" s="43">
        <f>IF($I9235=0,0,$R9235)</f>
      </c>
      <c r="K9236" s="43">
        <f>IF($I9236=0,0,IF(INDEX(DarlOhneTilgung,20)=1,0,IF(AND(INDEX(DarlTilgStart,20)&gt;0,$E9236=INDEX(DarlTilgStart,20)),$J9236*($H9236+INDEX(DarlTilgung,20))/100/12,IF(AND($G9236=0,$G9235=1),MAX($K9235,$J9236*($H9236+1)/100/12),$K9235))))</f>
      </c>
      <c r="L9236" s="43">
        <f>IF($I9236=0,0,$J9236*$H9236/100/12)</f>
      </c>
      <c r="M9236" s="43">
        <f>IF($I9236=0,0,IF(OR(INDEX(DarlOhneTilgung,20)=1,AND(INDEX(DarlTilgStart,20)&gt;0,$E9236&lt;INDEX(DarlTilgStart,20))),0,MIN(MAX(0,$K9236-$L9236),$J9236)))</f>
      </c>
      <c r="N9236" s="43">
        <f>IF($I9236=0,0,MIN(SUMIFS(SondBetrag,SondDarl,20,SondDatum,"&gt;="&amp;$E9236,SondDatum,"&lt;="&amp;EOMONTH($E9236,0)),$J9236-$M9236))</f>
      </c>
      <c r="O9236" s="43">
        <f>IF($I9236=0,0,INDEX(DarlErsatzRate,20))</f>
      </c>
      <c r="P9236" s="43">
        <f>IF($I9236=0,0,$Q9235*INDEX(DarlErsatzZins,20))</f>
      </c>
      <c r="Q9236" s="43">
        <f>IF($I9236=0,0,$Q9235+$P9236+$O9236)</f>
      </c>
      <c r="R9236" s="43">
        <f>IF($I9236=0,0,$J9236-$M9236-$N9236)</f>
      </c>
    </row>
    <row r="9237">
      <c r="A9237"/>
      <c r="B9237">
        <v>20</v>
      </c>
      <c r="C9237" s="43">
        <f>INDEX(DarlObj,20)</f>
      </c>
      <c r="D9237">
        <v>114</v>
      </c>
      <c r="E9237" s="51">
        <f>IF(INDEX(DarlBelegt,20)=0,0,EOMONTH(INDEX(DarlAuszahlung,20),113)+1)</f>
      </c>
      <c r="F9237" s="43">
        <f>IF($E9237=0,0,YEAR($E9237))</f>
      </c>
      <c r="G9237" s="43">
        <f>IF(INDEX(DarlBindung,20)="",1,IF($E9237&lt;=INDEX(DarlBindung,20),1,0))</f>
      </c>
      <c r="H9237" s="43">
        <f>IF($G9237=1,INDEX(DarlSollzins,20),INDEX(DarlAnschluss,20))</f>
      </c>
      <c r="I9237" s="43">
        <f>IF(INDEX(DarlBelegt,20)=0,0,IF(INDEX(DarlOhneTilgung,20)=1,IF(INDEX(DarlBindung,20)="",1,$G9237),IF($J9237&gt;0.005,1,0)))</f>
      </c>
      <c r="J9237" s="43">
        <f>IF($I9236=0,0,$R9236)</f>
      </c>
      <c r="K9237" s="43">
        <f>IF($I9237=0,0,IF(INDEX(DarlOhneTilgung,20)=1,0,IF(AND(INDEX(DarlTilgStart,20)&gt;0,$E9237=INDEX(DarlTilgStart,20)),$J9237*($H9237+INDEX(DarlTilgung,20))/100/12,IF(AND($G9237=0,$G9236=1),MAX($K9236,$J9237*($H9237+1)/100/12),$K9236))))</f>
      </c>
      <c r="L9237" s="43">
        <f>IF($I9237=0,0,$J9237*$H9237/100/12)</f>
      </c>
      <c r="M9237" s="43">
        <f>IF($I9237=0,0,IF(OR(INDEX(DarlOhneTilgung,20)=1,AND(INDEX(DarlTilgStart,20)&gt;0,$E9237&lt;INDEX(DarlTilgStart,20))),0,MIN(MAX(0,$K9237-$L9237),$J9237)))</f>
      </c>
      <c r="N9237" s="43">
        <f>IF($I9237=0,0,MIN(SUMIFS(SondBetrag,SondDarl,20,SondDatum,"&gt;="&amp;$E9237,SondDatum,"&lt;="&amp;EOMONTH($E9237,0)),$J9237-$M9237))</f>
      </c>
      <c r="O9237" s="43">
        <f>IF($I9237=0,0,INDEX(DarlErsatzRate,20))</f>
      </c>
      <c r="P9237" s="43">
        <f>IF($I9237=0,0,$Q9236*INDEX(DarlErsatzZins,20))</f>
      </c>
      <c r="Q9237" s="43">
        <f>IF($I9237=0,0,$Q9236+$P9237+$O9237)</f>
      </c>
      <c r="R9237" s="43">
        <f>IF($I9237=0,0,$J9237-$M9237-$N9237)</f>
      </c>
    </row>
    <row r="9238">
      <c r="A9238"/>
      <c r="B9238">
        <v>20</v>
      </c>
      <c r="C9238" s="43">
        <f>INDEX(DarlObj,20)</f>
      </c>
      <c r="D9238">
        <v>115</v>
      </c>
      <c r="E9238" s="51">
        <f>IF(INDEX(DarlBelegt,20)=0,0,EOMONTH(INDEX(DarlAuszahlung,20),114)+1)</f>
      </c>
      <c r="F9238" s="43">
        <f>IF($E9238=0,0,YEAR($E9238))</f>
      </c>
      <c r="G9238" s="43">
        <f>IF(INDEX(DarlBindung,20)="",1,IF($E9238&lt;=INDEX(DarlBindung,20),1,0))</f>
      </c>
      <c r="H9238" s="43">
        <f>IF($G9238=1,INDEX(DarlSollzins,20),INDEX(DarlAnschluss,20))</f>
      </c>
      <c r="I9238" s="43">
        <f>IF(INDEX(DarlBelegt,20)=0,0,IF(INDEX(DarlOhneTilgung,20)=1,IF(INDEX(DarlBindung,20)="",1,$G9238),IF($J9238&gt;0.005,1,0)))</f>
      </c>
      <c r="J9238" s="43">
        <f>IF($I9237=0,0,$R9237)</f>
      </c>
      <c r="K9238" s="43">
        <f>IF($I9238=0,0,IF(INDEX(DarlOhneTilgung,20)=1,0,IF(AND(INDEX(DarlTilgStart,20)&gt;0,$E9238=INDEX(DarlTilgStart,20)),$J9238*($H9238+INDEX(DarlTilgung,20))/100/12,IF(AND($G9238=0,$G9237=1),MAX($K9237,$J9238*($H9238+1)/100/12),$K9237))))</f>
      </c>
      <c r="L9238" s="43">
        <f>IF($I9238=0,0,$J9238*$H9238/100/12)</f>
      </c>
      <c r="M9238" s="43">
        <f>IF($I9238=0,0,IF(OR(INDEX(DarlOhneTilgung,20)=1,AND(INDEX(DarlTilgStart,20)&gt;0,$E9238&lt;INDEX(DarlTilgStart,20))),0,MIN(MAX(0,$K9238-$L9238),$J9238)))</f>
      </c>
      <c r="N9238" s="43">
        <f>IF($I9238=0,0,MIN(SUMIFS(SondBetrag,SondDarl,20,SondDatum,"&gt;="&amp;$E9238,SondDatum,"&lt;="&amp;EOMONTH($E9238,0)),$J9238-$M9238))</f>
      </c>
      <c r="O9238" s="43">
        <f>IF($I9238=0,0,INDEX(DarlErsatzRate,20))</f>
      </c>
      <c r="P9238" s="43">
        <f>IF($I9238=0,0,$Q9237*INDEX(DarlErsatzZins,20))</f>
      </c>
      <c r="Q9238" s="43">
        <f>IF($I9238=0,0,$Q9237+$P9238+$O9238)</f>
      </c>
      <c r="R9238" s="43">
        <f>IF($I9238=0,0,$J9238-$M9238-$N9238)</f>
      </c>
    </row>
    <row r="9239">
      <c r="A9239"/>
      <c r="B9239">
        <v>20</v>
      </c>
      <c r="C9239" s="43">
        <f>INDEX(DarlObj,20)</f>
      </c>
      <c r="D9239">
        <v>116</v>
      </c>
      <c r="E9239" s="51">
        <f>IF(INDEX(DarlBelegt,20)=0,0,EOMONTH(INDEX(DarlAuszahlung,20),115)+1)</f>
      </c>
      <c r="F9239" s="43">
        <f>IF($E9239=0,0,YEAR($E9239))</f>
      </c>
      <c r="G9239" s="43">
        <f>IF(INDEX(DarlBindung,20)="",1,IF($E9239&lt;=INDEX(DarlBindung,20),1,0))</f>
      </c>
      <c r="H9239" s="43">
        <f>IF($G9239=1,INDEX(DarlSollzins,20),INDEX(DarlAnschluss,20))</f>
      </c>
      <c r="I9239" s="43">
        <f>IF(INDEX(DarlBelegt,20)=0,0,IF(INDEX(DarlOhneTilgung,20)=1,IF(INDEX(DarlBindung,20)="",1,$G9239),IF($J9239&gt;0.005,1,0)))</f>
      </c>
      <c r="J9239" s="43">
        <f>IF($I9238=0,0,$R9238)</f>
      </c>
      <c r="K9239" s="43">
        <f>IF($I9239=0,0,IF(INDEX(DarlOhneTilgung,20)=1,0,IF(AND(INDEX(DarlTilgStart,20)&gt;0,$E9239=INDEX(DarlTilgStart,20)),$J9239*($H9239+INDEX(DarlTilgung,20))/100/12,IF(AND($G9239=0,$G9238=1),MAX($K9238,$J9239*($H9239+1)/100/12),$K9238))))</f>
      </c>
      <c r="L9239" s="43">
        <f>IF($I9239=0,0,$J9239*$H9239/100/12)</f>
      </c>
      <c r="M9239" s="43">
        <f>IF($I9239=0,0,IF(OR(INDEX(DarlOhneTilgung,20)=1,AND(INDEX(DarlTilgStart,20)&gt;0,$E9239&lt;INDEX(DarlTilgStart,20))),0,MIN(MAX(0,$K9239-$L9239),$J9239)))</f>
      </c>
      <c r="N9239" s="43">
        <f>IF($I9239=0,0,MIN(SUMIFS(SondBetrag,SondDarl,20,SondDatum,"&gt;="&amp;$E9239,SondDatum,"&lt;="&amp;EOMONTH($E9239,0)),$J9239-$M9239))</f>
      </c>
      <c r="O9239" s="43">
        <f>IF($I9239=0,0,INDEX(DarlErsatzRate,20))</f>
      </c>
      <c r="P9239" s="43">
        <f>IF($I9239=0,0,$Q9238*INDEX(DarlErsatzZins,20))</f>
      </c>
      <c r="Q9239" s="43">
        <f>IF($I9239=0,0,$Q9238+$P9239+$O9239)</f>
      </c>
      <c r="R9239" s="43">
        <f>IF($I9239=0,0,$J9239-$M9239-$N9239)</f>
      </c>
    </row>
    <row r="9240">
      <c r="A9240"/>
      <c r="B9240">
        <v>20</v>
      </c>
      <c r="C9240" s="43">
        <f>INDEX(DarlObj,20)</f>
      </c>
      <c r="D9240">
        <v>117</v>
      </c>
      <c r="E9240" s="51">
        <f>IF(INDEX(DarlBelegt,20)=0,0,EOMONTH(INDEX(DarlAuszahlung,20),116)+1)</f>
      </c>
      <c r="F9240" s="43">
        <f>IF($E9240=0,0,YEAR($E9240))</f>
      </c>
      <c r="G9240" s="43">
        <f>IF(INDEX(DarlBindung,20)="",1,IF($E9240&lt;=INDEX(DarlBindung,20),1,0))</f>
      </c>
      <c r="H9240" s="43">
        <f>IF($G9240=1,INDEX(DarlSollzins,20),INDEX(DarlAnschluss,20))</f>
      </c>
      <c r="I9240" s="43">
        <f>IF(INDEX(DarlBelegt,20)=0,0,IF(INDEX(DarlOhneTilgung,20)=1,IF(INDEX(DarlBindung,20)="",1,$G9240),IF($J9240&gt;0.005,1,0)))</f>
      </c>
      <c r="J9240" s="43">
        <f>IF($I9239=0,0,$R9239)</f>
      </c>
      <c r="K9240" s="43">
        <f>IF($I9240=0,0,IF(INDEX(DarlOhneTilgung,20)=1,0,IF(AND(INDEX(DarlTilgStart,20)&gt;0,$E9240=INDEX(DarlTilgStart,20)),$J9240*($H9240+INDEX(DarlTilgung,20))/100/12,IF(AND($G9240=0,$G9239=1),MAX($K9239,$J9240*($H9240+1)/100/12),$K9239))))</f>
      </c>
      <c r="L9240" s="43">
        <f>IF($I9240=0,0,$J9240*$H9240/100/12)</f>
      </c>
      <c r="M9240" s="43">
        <f>IF($I9240=0,0,IF(OR(INDEX(DarlOhneTilgung,20)=1,AND(INDEX(DarlTilgStart,20)&gt;0,$E9240&lt;INDEX(DarlTilgStart,20))),0,MIN(MAX(0,$K9240-$L9240),$J9240)))</f>
      </c>
      <c r="N9240" s="43">
        <f>IF($I9240=0,0,MIN(SUMIFS(SondBetrag,SondDarl,20,SondDatum,"&gt;="&amp;$E9240,SondDatum,"&lt;="&amp;EOMONTH($E9240,0)),$J9240-$M9240))</f>
      </c>
      <c r="O9240" s="43">
        <f>IF($I9240=0,0,INDEX(DarlErsatzRate,20))</f>
      </c>
      <c r="P9240" s="43">
        <f>IF($I9240=0,0,$Q9239*INDEX(DarlErsatzZins,20))</f>
      </c>
      <c r="Q9240" s="43">
        <f>IF($I9240=0,0,$Q9239+$P9240+$O9240)</f>
      </c>
      <c r="R9240" s="43">
        <f>IF($I9240=0,0,$J9240-$M9240-$N9240)</f>
      </c>
    </row>
    <row r="9241">
      <c r="A9241"/>
      <c r="B9241">
        <v>20</v>
      </c>
      <c r="C9241" s="43">
        <f>INDEX(DarlObj,20)</f>
      </c>
      <c r="D9241">
        <v>118</v>
      </c>
      <c r="E9241" s="51">
        <f>IF(INDEX(DarlBelegt,20)=0,0,EOMONTH(INDEX(DarlAuszahlung,20),117)+1)</f>
      </c>
      <c r="F9241" s="43">
        <f>IF($E9241=0,0,YEAR($E9241))</f>
      </c>
      <c r="G9241" s="43">
        <f>IF(INDEX(DarlBindung,20)="",1,IF($E9241&lt;=INDEX(DarlBindung,20),1,0))</f>
      </c>
      <c r="H9241" s="43">
        <f>IF($G9241=1,INDEX(DarlSollzins,20),INDEX(DarlAnschluss,20))</f>
      </c>
      <c r="I9241" s="43">
        <f>IF(INDEX(DarlBelegt,20)=0,0,IF(INDEX(DarlOhneTilgung,20)=1,IF(INDEX(DarlBindung,20)="",1,$G9241),IF($J9241&gt;0.005,1,0)))</f>
      </c>
      <c r="J9241" s="43">
        <f>IF($I9240=0,0,$R9240)</f>
      </c>
      <c r="K9241" s="43">
        <f>IF($I9241=0,0,IF(INDEX(DarlOhneTilgung,20)=1,0,IF(AND(INDEX(DarlTilgStart,20)&gt;0,$E9241=INDEX(DarlTilgStart,20)),$J9241*($H9241+INDEX(DarlTilgung,20))/100/12,IF(AND($G9241=0,$G9240=1),MAX($K9240,$J9241*($H9241+1)/100/12),$K9240))))</f>
      </c>
      <c r="L9241" s="43">
        <f>IF($I9241=0,0,$J9241*$H9241/100/12)</f>
      </c>
      <c r="M9241" s="43">
        <f>IF($I9241=0,0,IF(OR(INDEX(DarlOhneTilgung,20)=1,AND(INDEX(DarlTilgStart,20)&gt;0,$E9241&lt;INDEX(DarlTilgStart,20))),0,MIN(MAX(0,$K9241-$L9241),$J9241)))</f>
      </c>
      <c r="N9241" s="43">
        <f>IF($I9241=0,0,MIN(SUMIFS(SondBetrag,SondDarl,20,SondDatum,"&gt;="&amp;$E9241,SondDatum,"&lt;="&amp;EOMONTH($E9241,0)),$J9241-$M9241))</f>
      </c>
      <c r="O9241" s="43">
        <f>IF($I9241=0,0,INDEX(DarlErsatzRate,20))</f>
      </c>
      <c r="P9241" s="43">
        <f>IF($I9241=0,0,$Q9240*INDEX(DarlErsatzZins,20))</f>
      </c>
      <c r="Q9241" s="43">
        <f>IF($I9241=0,0,$Q9240+$P9241+$O9241)</f>
      </c>
      <c r="R9241" s="43">
        <f>IF($I9241=0,0,$J9241-$M9241-$N9241)</f>
      </c>
    </row>
    <row r="9242">
      <c r="A9242"/>
      <c r="B9242">
        <v>20</v>
      </c>
      <c r="C9242" s="43">
        <f>INDEX(DarlObj,20)</f>
      </c>
      <c r="D9242">
        <v>119</v>
      </c>
      <c r="E9242" s="51">
        <f>IF(INDEX(DarlBelegt,20)=0,0,EOMONTH(INDEX(DarlAuszahlung,20),118)+1)</f>
      </c>
      <c r="F9242" s="43">
        <f>IF($E9242=0,0,YEAR($E9242))</f>
      </c>
      <c r="G9242" s="43">
        <f>IF(INDEX(DarlBindung,20)="",1,IF($E9242&lt;=INDEX(DarlBindung,20),1,0))</f>
      </c>
      <c r="H9242" s="43">
        <f>IF($G9242=1,INDEX(DarlSollzins,20),INDEX(DarlAnschluss,20))</f>
      </c>
      <c r="I9242" s="43">
        <f>IF(INDEX(DarlBelegt,20)=0,0,IF(INDEX(DarlOhneTilgung,20)=1,IF(INDEX(DarlBindung,20)="",1,$G9242),IF($J9242&gt;0.005,1,0)))</f>
      </c>
      <c r="J9242" s="43">
        <f>IF($I9241=0,0,$R9241)</f>
      </c>
      <c r="K9242" s="43">
        <f>IF($I9242=0,0,IF(INDEX(DarlOhneTilgung,20)=1,0,IF(AND(INDEX(DarlTilgStart,20)&gt;0,$E9242=INDEX(DarlTilgStart,20)),$J9242*($H9242+INDEX(DarlTilgung,20))/100/12,IF(AND($G9242=0,$G9241=1),MAX($K9241,$J9242*($H9242+1)/100/12),$K9241))))</f>
      </c>
      <c r="L9242" s="43">
        <f>IF($I9242=0,0,$J9242*$H9242/100/12)</f>
      </c>
      <c r="M9242" s="43">
        <f>IF($I9242=0,0,IF(OR(INDEX(DarlOhneTilgung,20)=1,AND(INDEX(DarlTilgStart,20)&gt;0,$E9242&lt;INDEX(DarlTilgStart,20))),0,MIN(MAX(0,$K9242-$L9242),$J9242)))</f>
      </c>
      <c r="N9242" s="43">
        <f>IF($I9242=0,0,MIN(SUMIFS(SondBetrag,SondDarl,20,SondDatum,"&gt;="&amp;$E9242,SondDatum,"&lt;="&amp;EOMONTH($E9242,0)),$J9242-$M9242))</f>
      </c>
      <c r="O9242" s="43">
        <f>IF($I9242=0,0,INDEX(DarlErsatzRate,20))</f>
      </c>
      <c r="P9242" s="43">
        <f>IF($I9242=0,0,$Q9241*INDEX(DarlErsatzZins,20))</f>
      </c>
      <c r="Q9242" s="43">
        <f>IF($I9242=0,0,$Q9241+$P9242+$O9242)</f>
      </c>
      <c r="R9242" s="43">
        <f>IF($I9242=0,0,$J9242-$M9242-$N9242)</f>
      </c>
    </row>
    <row r="9243">
      <c r="A9243"/>
      <c r="B9243">
        <v>20</v>
      </c>
      <c r="C9243" s="43">
        <f>INDEX(DarlObj,20)</f>
      </c>
      <c r="D9243">
        <v>120</v>
      </c>
      <c r="E9243" s="51">
        <f>IF(INDEX(DarlBelegt,20)=0,0,EOMONTH(INDEX(DarlAuszahlung,20),119)+1)</f>
      </c>
      <c r="F9243" s="43">
        <f>IF($E9243=0,0,YEAR($E9243))</f>
      </c>
      <c r="G9243" s="43">
        <f>IF(INDEX(DarlBindung,20)="",1,IF($E9243&lt;=INDEX(DarlBindung,20),1,0))</f>
      </c>
      <c r="H9243" s="43">
        <f>IF($G9243=1,INDEX(DarlSollzins,20),INDEX(DarlAnschluss,20))</f>
      </c>
      <c r="I9243" s="43">
        <f>IF(INDEX(DarlBelegt,20)=0,0,IF(INDEX(DarlOhneTilgung,20)=1,IF(INDEX(DarlBindung,20)="",1,$G9243),IF($J9243&gt;0.005,1,0)))</f>
      </c>
      <c r="J9243" s="43">
        <f>IF($I9242=0,0,$R9242)</f>
      </c>
      <c r="K9243" s="43">
        <f>IF($I9243=0,0,IF(INDEX(DarlOhneTilgung,20)=1,0,IF(AND(INDEX(DarlTilgStart,20)&gt;0,$E9243=INDEX(DarlTilgStart,20)),$J9243*($H9243+INDEX(DarlTilgung,20))/100/12,IF(AND($G9243=0,$G9242=1),MAX($K9242,$J9243*($H9243+1)/100/12),$K9242))))</f>
      </c>
      <c r="L9243" s="43">
        <f>IF($I9243=0,0,$J9243*$H9243/100/12)</f>
      </c>
      <c r="M9243" s="43">
        <f>IF($I9243=0,0,IF(OR(INDEX(DarlOhneTilgung,20)=1,AND(INDEX(DarlTilgStart,20)&gt;0,$E9243&lt;INDEX(DarlTilgStart,20))),0,MIN(MAX(0,$K9243-$L9243),$J9243)))</f>
      </c>
      <c r="N9243" s="43">
        <f>IF($I9243=0,0,MIN(SUMIFS(SondBetrag,SondDarl,20,SondDatum,"&gt;="&amp;$E9243,SondDatum,"&lt;="&amp;EOMONTH($E9243,0)),$J9243-$M9243))</f>
      </c>
      <c r="O9243" s="43">
        <f>IF($I9243=0,0,INDEX(DarlErsatzRate,20))</f>
      </c>
      <c r="P9243" s="43">
        <f>IF($I9243=0,0,$Q9242*INDEX(DarlErsatzZins,20))</f>
      </c>
      <c r="Q9243" s="43">
        <f>IF($I9243=0,0,$Q9242+$P9243+$O9243)</f>
      </c>
      <c r="R9243" s="43">
        <f>IF($I9243=0,0,$J9243-$M9243-$N9243)</f>
      </c>
    </row>
    <row r="9244">
      <c r="A9244"/>
      <c r="B9244">
        <v>20</v>
      </c>
      <c r="C9244" s="43">
        <f>INDEX(DarlObj,20)</f>
      </c>
      <c r="D9244">
        <v>121</v>
      </c>
      <c r="E9244" s="51">
        <f>IF(INDEX(DarlBelegt,20)=0,0,EOMONTH(INDEX(DarlAuszahlung,20),120)+1)</f>
      </c>
      <c r="F9244" s="43">
        <f>IF($E9244=0,0,YEAR($E9244))</f>
      </c>
      <c r="G9244" s="43">
        <f>IF(INDEX(DarlBindung,20)="",1,IF($E9244&lt;=INDEX(DarlBindung,20),1,0))</f>
      </c>
      <c r="H9244" s="43">
        <f>IF($G9244=1,INDEX(DarlSollzins,20),INDEX(DarlAnschluss,20))</f>
      </c>
      <c r="I9244" s="43">
        <f>IF(INDEX(DarlBelegt,20)=0,0,IF(INDEX(DarlOhneTilgung,20)=1,IF(INDEX(DarlBindung,20)="",1,$G9244),IF($J9244&gt;0.005,1,0)))</f>
      </c>
      <c r="J9244" s="43">
        <f>IF($I9243=0,0,$R9243)</f>
      </c>
      <c r="K9244" s="43">
        <f>IF($I9244=0,0,IF(INDEX(DarlOhneTilgung,20)=1,0,IF(AND(INDEX(DarlTilgStart,20)&gt;0,$E9244=INDEX(DarlTilgStart,20)),$J9244*($H9244+INDEX(DarlTilgung,20))/100/12,IF(AND($G9244=0,$G9243=1),MAX($K9243,$J9244*($H9244+1)/100/12),$K9243))))</f>
      </c>
      <c r="L9244" s="43">
        <f>IF($I9244=0,0,$J9244*$H9244/100/12)</f>
      </c>
      <c r="M9244" s="43">
        <f>IF($I9244=0,0,IF(OR(INDEX(DarlOhneTilgung,20)=1,AND(INDEX(DarlTilgStart,20)&gt;0,$E9244&lt;INDEX(DarlTilgStart,20))),0,MIN(MAX(0,$K9244-$L9244),$J9244)))</f>
      </c>
      <c r="N9244" s="43">
        <f>IF($I9244=0,0,MIN(SUMIFS(SondBetrag,SondDarl,20,SondDatum,"&gt;="&amp;$E9244,SondDatum,"&lt;="&amp;EOMONTH($E9244,0)),$J9244-$M9244))</f>
      </c>
      <c r="O9244" s="43">
        <f>IF($I9244=0,0,INDEX(DarlErsatzRate,20))</f>
      </c>
      <c r="P9244" s="43">
        <f>IF($I9244=0,0,$Q9243*INDEX(DarlErsatzZins,20))</f>
      </c>
      <c r="Q9244" s="43">
        <f>IF($I9244=0,0,$Q9243+$P9244+$O9244)</f>
      </c>
      <c r="R9244" s="43">
        <f>IF($I9244=0,0,$J9244-$M9244-$N9244)</f>
      </c>
    </row>
    <row r="9245">
      <c r="A9245"/>
      <c r="B9245">
        <v>20</v>
      </c>
      <c r="C9245" s="43">
        <f>INDEX(DarlObj,20)</f>
      </c>
      <c r="D9245">
        <v>122</v>
      </c>
      <c r="E9245" s="51">
        <f>IF(INDEX(DarlBelegt,20)=0,0,EOMONTH(INDEX(DarlAuszahlung,20),121)+1)</f>
      </c>
      <c r="F9245" s="43">
        <f>IF($E9245=0,0,YEAR($E9245))</f>
      </c>
      <c r="G9245" s="43">
        <f>IF(INDEX(DarlBindung,20)="",1,IF($E9245&lt;=INDEX(DarlBindung,20),1,0))</f>
      </c>
      <c r="H9245" s="43">
        <f>IF($G9245=1,INDEX(DarlSollzins,20),INDEX(DarlAnschluss,20))</f>
      </c>
      <c r="I9245" s="43">
        <f>IF(INDEX(DarlBelegt,20)=0,0,IF(INDEX(DarlOhneTilgung,20)=1,IF(INDEX(DarlBindung,20)="",1,$G9245),IF($J9245&gt;0.005,1,0)))</f>
      </c>
      <c r="J9245" s="43">
        <f>IF($I9244=0,0,$R9244)</f>
      </c>
      <c r="K9245" s="43">
        <f>IF($I9245=0,0,IF(INDEX(DarlOhneTilgung,20)=1,0,IF(AND(INDEX(DarlTilgStart,20)&gt;0,$E9245=INDEX(DarlTilgStart,20)),$J9245*($H9245+INDEX(DarlTilgung,20))/100/12,IF(AND($G9245=0,$G9244=1),MAX($K9244,$J9245*($H9245+1)/100/12),$K9244))))</f>
      </c>
      <c r="L9245" s="43">
        <f>IF($I9245=0,0,$J9245*$H9245/100/12)</f>
      </c>
      <c r="M9245" s="43">
        <f>IF($I9245=0,0,IF(OR(INDEX(DarlOhneTilgung,20)=1,AND(INDEX(DarlTilgStart,20)&gt;0,$E9245&lt;INDEX(DarlTilgStart,20))),0,MIN(MAX(0,$K9245-$L9245),$J9245)))</f>
      </c>
      <c r="N9245" s="43">
        <f>IF($I9245=0,0,MIN(SUMIFS(SondBetrag,SondDarl,20,SondDatum,"&gt;="&amp;$E9245,SondDatum,"&lt;="&amp;EOMONTH($E9245,0)),$J9245-$M9245))</f>
      </c>
      <c r="O9245" s="43">
        <f>IF($I9245=0,0,INDEX(DarlErsatzRate,20))</f>
      </c>
      <c r="P9245" s="43">
        <f>IF($I9245=0,0,$Q9244*INDEX(DarlErsatzZins,20))</f>
      </c>
      <c r="Q9245" s="43">
        <f>IF($I9245=0,0,$Q9244+$P9245+$O9245)</f>
      </c>
      <c r="R9245" s="43">
        <f>IF($I9245=0,0,$J9245-$M9245-$N9245)</f>
      </c>
    </row>
    <row r="9246">
      <c r="A9246"/>
      <c r="B9246">
        <v>20</v>
      </c>
      <c r="C9246" s="43">
        <f>INDEX(DarlObj,20)</f>
      </c>
      <c r="D9246">
        <v>123</v>
      </c>
      <c r="E9246" s="51">
        <f>IF(INDEX(DarlBelegt,20)=0,0,EOMONTH(INDEX(DarlAuszahlung,20),122)+1)</f>
      </c>
      <c r="F9246" s="43">
        <f>IF($E9246=0,0,YEAR($E9246))</f>
      </c>
      <c r="G9246" s="43">
        <f>IF(INDEX(DarlBindung,20)="",1,IF($E9246&lt;=INDEX(DarlBindung,20),1,0))</f>
      </c>
      <c r="H9246" s="43">
        <f>IF($G9246=1,INDEX(DarlSollzins,20),INDEX(DarlAnschluss,20))</f>
      </c>
      <c r="I9246" s="43">
        <f>IF(INDEX(DarlBelegt,20)=0,0,IF(INDEX(DarlOhneTilgung,20)=1,IF(INDEX(DarlBindung,20)="",1,$G9246),IF($J9246&gt;0.005,1,0)))</f>
      </c>
      <c r="J9246" s="43">
        <f>IF($I9245=0,0,$R9245)</f>
      </c>
      <c r="K9246" s="43">
        <f>IF($I9246=0,0,IF(INDEX(DarlOhneTilgung,20)=1,0,IF(AND(INDEX(DarlTilgStart,20)&gt;0,$E9246=INDEX(DarlTilgStart,20)),$J9246*($H9246+INDEX(DarlTilgung,20))/100/12,IF(AND($G9246=0,$G9245=1),MAX($K9245,$J9246*($H9246+1)/100/12),$K9245))))</f>
      </c>
      <c r="L9246" s="43">
        <f>IF($I9246=0,0,$J9246*$H9246/100/12)</f>
      </c>
      <c r="M9246" s="43">
        <f>IF($I9246=0,0,IF(OR(INDEX(DarlOhneTilgung,20)=1,AND(INDEX(DarlTilgStart,20)&gt;0,$E9246&lt;INDEX(DarlTilgStart,20))),0,MIN(MAX(0,$K9246-$L9246),$J9246)))</f>
      </c>
      <c r="N9246" s="43">
        <f>IF($I9246=0,0,MIN(SUMIFS(SondBetrag,SondDarl,20,SondDatum,"&gt;="&amp;$E9246,SondDatum,"&lt;="&amp;EOMONTH($E9246,0)),$J9246-$M9246))</f>
      </c>
      <c r="O9246" s="43">
        <f>IF($I9246=0,0,INDEX(DarlErsatzRate,20))</f>
      </c>
      <c r="P9246" s="43">
        <f>IF($I9246=0,0,$Q9245*INDEX(DarlErsatzZins,20))</f>
      </c>
      <c r="Q9246" s="43">
        <f>IF($I9246=0,0,$Q9245+$P9246+$O9246)</f>
      </c>
      <c r="R9246" s="43">
        <f>IF($I9246=0,0,$J9246-$M9246-$N9246)</f>
      </c>
    </row>
    <row r="9247">
      <c r="A9247"/>
      <c r="B9247">
        <v>20</v>
      </c>
      <c r="C9247" s="43">
        <f>INDEX(DarlObj,20)</f>
      </c>
      <c r="D9247">
        <v>124</v>
      </c>
      <c r="E9247" s="51">
        <f>IF(INDEX(DarlBelegt,20)=0,0,EOMONTH(INDEX(DarlAuszahlung,20),123)+1)</f>
      </c>
      <c r="F9247" s="43">
        <f>IF($E9247=0,0,YEAR($E9247))</f>
      </c>
      <c r="G9247" s="43">
        <f>IF(INDEX(DarlBindung,20)="",1,IF($E9247&lt;=INDEX(DarlBindung,20),1,0))</f>
      </c>
      <c r="H9247" s="43">
        <f>IF($G9247=1,INDEX(DarlSollzins,20),INDEX(DarlAnschluss,20))</f>
      </c>
      <c r="I9247" s="43">
        <f>IF(INDEX(DarlBelegt,20)=0,0,IF(INDEX(DarlOhneTilgung,20)=1,IF(INDEX(DarlBindung,20)="",1,$G9247),IF($J9247&gt;0.005,1,0)))</f>
      </c>
      <c r="J9247" s="43">
        <f>IF($I9246=0,0,$R9246)</f>
      </c>
      <c r="K9247" s="43">
        <f>IF($I9247=0,0,IF(INDEX(DarlOhneTilgung,20)=1,0,IF(AND(INDEX(DarlTilgStart,20)&gt;0,$E9247=INDEX(DarlTilgStart,20)),$J9247*($H9247+INDEX(DarlTilgung,20))/100/12,IF(AND($G9247=0,$G9246=1),MAX($K9246,$J9247*($H9247+1)/100/12),$K9246))))</f>
      </c>
      <c r="L9247" s="43">
        <f>IF($I9247=0,0,$J9247*$H9247/100/12)</f>
      </c>
      <c r="M9247" s="43">
        <f>IF($I9247=0,0,IF(OR(INDEX(DarlOhneTilgung,20)=1,AND(INDEX(DarlTilgStart,20)&gt;0,$E9247&lt;INDEX(DarlTilgStart,20))),0,MIN(MAX(0,$K9247-$L9247),$J9247)))</f>
      </c>
      <c r="N9247" s="43">
        <f>IF($I9247=0,0,MIN(SUMIFS(SondBetrag,SondDarl,20,SondDatum,"&gt;="&amp;$E9247,SondDatum,"&lt;="&amp;EOMONTH($E9247,0)),$J9247-$M9247))</f>
      </c>
      <c r="O9247" s="43">
        <f>IF($I9247=0,0,INDEX(DarlErsatzRate,20))</f>
      </c>
      <c r="P9247" s="43">
        <f>IF($I9247=0,0,$Q9246*INDEX(DarlErsatzZins,20))</f>
      </c>
      <c r="Q9247" s="43">
        <f>IF($I9247=0,0,$Q9246+$P9247+$O9247)</f>
      </c>
      <c r="R9247" s="43">
        <f>IF($I9247=0,0,$J9247-$M9247-$N9247)</f>
      </c>
    </row>
    <row r="9248">
      <c r="A9248"/>
      <c r="B9248">
        <v>20</v>
      </c>
      <c r="C9248" s="43">
        <f>INDEX(DarlObj,20)</f>
      </c>
      <c r="D9248">
        <v>125</v>
      </c>
      <c r="E9248" s="51">
        <f>IF(INDEX(DarlBelegt,20)=0,0,EOMONTH(INDEX(DarlAuszahlung,20),124)+1)</f>
      </c>
      <c r="F9248" s="43">
        <f>IF($E9248=0,0,YEAR($E9248))</f>
      </c>
      <c r="G9248" s="43">
        <f>IF(INDEX(DarlBindung,20)="",1,IF($E9248&lt;=INDEX(DarlBindung,20),1,0))</f>
      </c>
      <c r="H9248" s="43">
        <f>IF($G9248=1,INDEX(DarlSollzins,20),INDEX(DarlAnschluss,20))</f>
      </c>
      <c r="I9248" s="43">
        <f>IF(INDEX(DarlBelegt,20)=0,0,IF(INDEX(DarlOhneTilgung,20)=1,IF(INDEX(DarlBindung,20)="",1,$G9248),IF($J9248&gt;0.005,1,0)))</f>
      </c>
      <c r="J9248" s="43">
        <f>IF($I9247=0,0,$R9247)</f>
      </c>
      <c r="K9248" s="43">
        <f>IF($I9248=0,0,IF(INDEX(DarlOhneTilgung,20)=1,0,IF(AND(INDEX(DarlTilgStart,20)&gt;0,$E9248=INDEX(DarlTilgStart,20)),$J9248*($H9248+INDEX(DarlTilgung,20))/100/12,IF(AND($G9248=0,$G9247=1),MAX($K9247,$J9248*($H9248+1)/100/12),$K9247))))</f>
      </c>
      <c r="L9248" s="43">
        <f>IF($I9248=0,0,$J9248*$H9248/100/12)</f>
      </c>
      <c r="M9248" s="43">
        <f>IF($I9248=0,0,IF(OR(INDEX(DarlOhneTilgung,20)=1,AND(INDEX(DarlTilgStart,20)&gt;0,$E9248&lt;INDEX(DarlTilgStart,20))),0,MIN(MAX(0,$K9248-$L9248),$J9248)))</f>
      </c>
      <c r="N9248" s="43">
        <f>IF($I9248=0,0,MIN(SUMIFS(SondBetrag,SondDarl,20,SondDatum,"&gt;="&amp;$E9248,SondDatum,"&lt;="&amp;EOMONTH($E9248,0)),$J9248-$M9248))</f>
      </c>
      <c r="O9248" s="43">
        <f>IF($I9248=0,0,INDEX(DarlErsatzRate,20))</f>
      </c>
      <c r="P9248" s="43">
        <f>IF($I9248=0,0,$Q9247*INDEX(DarlErsatzZins,20))</f>
      </c>
      <c r="Q9248" s="43">
        <f>IF($I9248=0,0,$Q9247+$P9248+$O9248)</f>
      </c>
      <c r="R9248" s="43">
        <f>IF($I9248=0,0,$J9248-$M9248-$N9248)</f>
      </c>
    </row>
    <row r="9249">
      <c r="A9249"/>
      <c r="B9249">
        <v>20</v>
      </c>
      <c r="C9249" s="43">
        <f>INDEX(DarlObj,20)</f>
      </c>
      <c r="D9249">
        <v>126</v>
      </c>
      <c r="E9249" s="51">
        <f>IF(INDEX(DarlBelegt,20)=0,0,EOMONTH(INDEX(DarlAuszahlung,20),125)+1)</f>
      </c>
      <c r="F9249" s="43">
        <f>IF($E9249=0,0,YEAR($E9249))</f>
      </c>
      <c r="G9249" s="43">
        <f>IF(INDEX(DarlBindung,20)="",1,IF($E9249&lt;=INDEX(DarlBindung,20),1,0))</f>
      </c>
      <c r="H9249" s="43">
        <f>IF($G9249=1,INDEX(DarlSollzins,20),INDEX(DarlAnschluss,20))</f>
      </c>
      <c r="I9249" s="43">
        <f>IF(INDEX(DarlBelegt,20)=0,0,IF(INDEX(DarlOhneTilgung,20)=1,IF(INDEX(DarlBindung,20)="",1,$G9249),IF($J9249&gt;0.005,1,0)))</f>
      </c>
      <c r="J9249" s="43">
        <f>IF($I9248=0,0,$R9248)</f>
      </c>
      <c r="K9249" s="43">
        <f>IF($I9249=0,0,IF(INDEX(DarlOhneTilgung,20)=1,0,IF(AND(INDEX(DarlTilgStart,20)&gt;0,$E9249=INDEX(DarlTilgStart,20)),$J9249*($H9249+INDEX(DarlTilgung,20))/100/12,IF(AND($G9249=0,$G9248=1),MAX($K9248,$J9249*($H9249+1)/100/12),$K9248))))</f>
      </c>
      <c r="L9249" s="43">
        <f>IF($I9249=0,0,$J9249*$H9249/100/12)</f>
      </c>
      <c r="M9249" s="43">
        <f>IF($I9249=0,0,IF(OR(INDEX(DarlOhneTilgung,20)=1,AND(INDEX(DarlTilgStart,20)&gt;0,$E9249&lt;INDEX(DarlTilgStart,20))),0,MIN(MAX(0,$K9249-$L9249),$J9249)))</f>
      </c>
      <c r="N9249" s="43">
        <f>IF($I9249=0,0,MIN(SUMIFS(SondBetrag,SondDarl,20,SondDatum,"&gt;="&amp;$E9249,SondDatum,"&lt;="&amp;EOMONTH($E9249,0)),$J9249-$M9249))</f>
      </c>
      <c r="O9249" s="43">
        <f>IF($I9249=0,0,INDEX(DarlErsatzRate,20))</f>
      </c>
      <c r="P9249" s="43">
        <f>IF($I9249=0,0,$Q9248*INDEX(DarlErsatzZins,20))</f>
      </c>
      <c r="Q9249" s="43">
        <f>IF($I9249=0,0,$Q9248+$P9249+$O9249)</f>
      </c>
      <c r="R9249" s="43">
        <f>IF($I9249=0,0,$J9249-$M9249-$N9249)</f>
      </c>
    </row>
    <row r="9250">
      <c r="A9250"/>
      <c r="B9250">
        <v>20</v>
      </c>
      <c r="C9250" s="43">
        <f>INDEX(DarlObj,20)</f>
      </c>
      <c r="D9250">
        <v>127</v>
      </c>
      <c r="E9250" s="51">
        <f>IF(INDEX(DarlBelegt,20)=0,0,EOMONTH(INDEX(DarlAuszahlung,20),126)+1)</f>
      </c>
      <c r="F9250" s="43">
        <f>IF($E9250=0,0,YEAR($E9250))</f>
      </c>
      <c r="G9250" s="43">
        <f>IF(INDEX(DarlBindung,20)="",1,IF($E9250&lt;=INDEX(DarlBindung,20),1,0))</f>
      </c>
      <c r="H9250" s="43">
        <f>IF($G9250=1,INDEX(DarlSollzins,20),INDEX(DarlAnschluss,20))</f>
      </c>
      <c r="I9250" s="43">
        <f>IF(INDEX(DarlBelegt,20)=0,0,IF(INDEX(DarlOhneTilgung,20)=1,IF(INDEX(DarlBindung,20)="",1,$G9250),IF($J9250&gt;0.005,1,0)))</f>
      </c>
      <c r="J9250" s="43">
        <f>IF($I9249=0,0,$R9249)</f>
      </c>
      <c r="K9250" s="43">
        <f>IF($I9250=0,0,IF(INDEX(DarlOhneTilgung,20)=1,0,IF(AND(INDEX(DarlTilgStart,20)&gt;0,$E9250=INDEX(DarlTilgStart,20)),$J9250*($H9250+INDEX(DarlTilgung,20))/100/12,IF(AND($G9250=0,$G9249=1),MAX($K9249,$J9250*($H9250+1)/100/12),$K9249))))</f>
      </c>
      <c r="L9250" s="43">
        <f>IF($I9250=0,0,$J9250*$H9250/100/12)</f>
      </c>
      <c r="M9250" s="43">
        <f>IF($I9250=0,0,IF(OR(INDEX(DarlOhneTilgung,20)=1,AND(INDEX(DarlTilgStart,20)&gt;0,$E9250&lt;INDEX(DarlTilgStart,20))),0,MIN(MAX(0,$K9250-$L9250),$J9250)))</f>
      </c>
      <c r="N9250" s="43">
        <f>IF($I9250=0,0,MIN(SUMIFS(SondBetrag,SondDarl,20,SondDatum,"&gt;="&amp;$E9250,SondDatum,"&lt;="&amp;EOMONTH($E9250,0)),$J9250-$M9250))</f>
      </c>
      <c r="O9250" s="43">
        <f>IF($I9250=0,0,INDEX(DarlErsatzRate,20))</f>
      </c>
      <c r="P9250" s="43">
        <f>IF($I9250=0,0,$Q9249*INDEX(DarlErsatzZins,20))</f>
      </c>
      <c r="Q9250" s="43">
        <f>IF($I9250=0,0,$Q9249+$P9250+$O9250)</f>
      </c>
      <c r="R9250" s="43">
        <f>IF($I9250=0,0,$J9250-$M9250-$N9250)</f>
      </c>
    </row>
    <row r="9251">
      <c r="A9251"/>
      <c r="B9251">
        <v>20</v>
      </c>
      <c r="C9251" s="43">
        <f>INDEX(DarlObj,20)</f>
      </c>
      <c r="D9251">
        <v>128</v>
      </c>
      <c r="E9251" s="51">
        <f>IF(INDEX(DarlBelegt,20)=0,0,EOMONTH(INDEX(DarlAuszahlung,20),127)+1)</f>
      </c>
      <c r="F9251" s="43">
        <f>IF($E9251=0,0,YEAR($E9251))</f>
      </c>
      <c r="G9251" s="43">
        <f>IF(INDEX(DarlBindung,20)="",1,IF($E9251&lt;=INDEX(DarlBindung,20),1,0))</f>
      </c>
      <c r="H9251" s="43">
        <f>IF($G9251=1,INDEX(DarlSollzins,20),INDEX(DarlAnschluss,20))</f>
      </c>
      <c r="I9251" s="43">
        <f>IF(INDEX(DarlBelegt,20)=0,0,IF(INDEX(DarlOhneTilgung,20)=1,IF(INDEX(DarlBindung,20)="",1,$G9251),IF($J9251&gt;0.005,1,0)))</f>
      </c>
      <c r="J9251" s="43">
        <f>IF($I9250=0,0,$R9250)</f>
      </c>
      <c r="K9251" s="43">
        <f>IF($I9251=0,0,IF(INDEX(DarlOhneTilgung,20)=1,0,IF(AND(INDEX(DarlTilgStart,20)&gt;0,$E9251=INDEX(DarlTilgStart,20)),$J9251*($H9251+INDEX(DarlTilgung,20))/100/12,IF(AND($G9251=0,$G9250=1),MAX($K9250,$J9251*($H9251+1)/100/12),$K9250))))</f>
      </c>
      <c r="L9251" s="43">
        <f>IF($I9251=0,0,$J9251*$H9251/100/12)</f>
      </c>
      <c r="M9251" s="43">
        <f>IF($I9251=0,0,IF(OR(INDEX(DarlOhneTilgung,20)=1,AND(INDEX(DarlTilgStart,20)&gt;0,$E9251&lt;INDEX(DarlTilgStart,20))),0,MIN(MAX(0,$K9251-$L9251),$J9251)))</f>
      </c>
      <c r="N9251" s="43">
        <f>IF($I9251=0,0,MIN(SUMIFS(SondBetrag,SondDarl,20,SondDatum,"&gt;="&amp;$E9251,SondDatum,"&lt;="&amp;EOMONTH($E9251,0)),$J9251-$M9251))</f>
      </c>
      <c r="O9251" s="43">
        <f>IF($I9251=0,0,INDEX(DarlErsatzRate,20))</f>
      </c>
      <c r="P9251" s="43">
        <f>IF($I9251=0,0,$Q9250*INDEX(DarlErsatzZins,20))</f>
      </c>
      <c r="Q9251" s="43">
        <f>IF($I9251=0,0,$Q9250+$P9251+$O9251)</f>
      </c>
      <c r="R9251" s="43">
        <f>IF($I9251=0,0,$J9251-$M9251-$N9251)</f>
      </c>
    </row>
    <row r="9252">
      <c r="A9252"/>
      <c r="B9252">
        <v>20</v>
      </c>
      <c r="C9252" s="43">
        <f>INDEX(DarlObj,20)</f>
      </c>
      <c r="D9252">
        <v>129</v>
      </c>
      <c r="E9252" s="51">
        <f>IF(INDEX(DarlBelegt,20)=0,0,EOMONTH(INDEX(DarlAuszahlung,20),128)+1)</f>
      </c>
      <c r="F9252" s="43">
        <f>IF($E9252=0,0,YEAR($E9252))</f>
      </c>
      <c r="G9252" s="43">
        <f>IF(INDEX(DarlBindung,20)="",1,IF($E9252&lt;=INDEX(DarlBindung,20),1,0))</f>
      </c>
      <c r="H9252" s="43">
        <f>IF($G9252=1,INDEX(DarlSollzins,20),INDEX(DarlAnschluss,20))</f>
      </c>
      <c r="I9252" s="43">
        <f>IF(INDEX(DarlBelegt,20)=0,0,IF(INDEX(DarlOhneTilgung,20)=1,IF(INDEX(DarlBindung,20)="",1,$G9252),IF($J9252&gt;0.005,1,0)))</f>
      </c>
      <c r="J9252" s="43">
        <f>IF($I9251=0,0,$R9251)</f>
      </c>
      <c r="K9252" s="43">
        <f>IF($I9252=0,0,IF(INDEX(DarlOhneTilgung,20)=1,0,IF(AND(INDEX(DarlTilgStart,20)&gt;0,$E9252=INDEX(DarlTilgStart,20)),$J9252*($H9252+INDEX(DarlTilgung,20))/100/12,IF(AND($G9252=0,$G9251=1),MAX($K9251,$J9252*($H9252+1)/100/12),$K9251))))</f>
      </c>
      <c r="L9252" s="43">
        <f>IF($I9252=0,0,$J9252*$H9252/100/12)</f>
      </c>
      <c r="M9252" s="43">
        <f>IF($I9252=0,0,IF(OR(INDEX(DarlOhneTilgung,20)=1,AND(INDEX(DarlTilgStart,20)&gt;0,$E9252&lt;INDEX(DarlTilgStart,20))),0,MIN(MAX(0,$K9252-$L9252),$J9252)))</f>
      </c>
      <c r="N9252" s="43">
        <f>IF($I9252=0,0,MIN(SUMIFS(SondBetrag,SondDarl,20,SondDatum,"&gt;="&amp;$E9252,SondDatum,"&lt;="&amp;EOMONTH($E9252,0)),$J9252-$M9252))</f>
      </c>
      <c r="O9252" s="43">
        <f>IF($I9252=0,0,INDEX(DarlErsatzRate,20))</f>
      </c>
      <c r="P9252" s="43">
        <f>IF($I9252=0,0,$Q9251*INDEX(DarlErsatzZins,20))</f>
      </c>
      <c r="Q9252" s="43">
        <f>IF($I9252=0,0,$Q9251+$P9252+$O9252)</f>
      </c>
      <c r="R9252" s="43">
        <f>IF($I9252=0,0,$J9252-$M9252-$N9252)</f>
      </c>
    </row>
    <row r="9253">
      <c r="A9253"/>
      <c r="B9253">
        <v>20</v>
      </c>
      <c r="C9253" s="43">
        <f>INDEX(DarlObj,20)</f>
      </c>
      <c r="D9253">
        <v>130</v>
      </c>
      <c r="E9253" s="51">
        <f>IF(INDEX(DarlBelegt,20)=0,0,EOMONTH(INDEX(DarlAuszahlung,20),129)+1)</f>
      </c>
      <c r="F9253" s="43">
        <f>IF($E9253=0,0,YEAR($E9253))</f>
      </c>
      <c r="G9253" s="43">
        <f>IF(INDEX(DarlBindung,20)="",1,IF($E9253&lt;=INDEX(DarlBindung,20),1,0))</f>
      </c>
      <c r="H9253" s="43">
        <f>IF($G9253=1,INDEX(DarlSollzins,20),INDEX(DarlAnschluss,20))</f>
      </c>
      <c r="I9253" s="43">
        <f>IF(INDEX(DarlBelegt,20)=0,0,IF(INDEX(DarlOhneTilgung,20)=1,IF(INDEX(DarlBindung,20)="",1,$G9253),IF($J9253&gt;0.005,1,0)))</f>
      </c>
      <c r="J9253" s="43">
        <f>IF($I9252=0,0,$R9252)</f>
      </c>
      <c r="K9253" s="43">
        <f>IF($I9253=0,0,IF(INDEX(DarlOhneTilgung,20)=1,0,IF(AND(INDEX(DarlTilgStart,20)&gt;0,$E9253=INDEX(DarlTilgStart,20)),$J9253*($H9253+INDEX(DarlTilgung,20))/100/12,IF(AND($G9253=0,$G9252=1),MAX($K9252,$J9253*($H9253+1)/100/12),$K9252))))</f>
      </c>
      <c r="L9253" s="43">
        <f>IF($I9253=0,0,$J9253*$H9253/100/12)</f>
      </c>
      <c r="M9253" s="43">
        <f>IF($I9253=0,0,IF(OR(INDEX(DarlOhneTilgung,20)=1,AND(INDEX(DarlTilgStart,20)&gt;0,$E9253&lt;INDEX(DarlTilgStart,20))),0,MIN(MAX(0,$K9253-$L9253),$J9253)))</f>
      </c>
      <c r="N9253" s="43">
        <f>IF($I9253=0,0,MIN(SUMIFS(SondBetrag,SondDarl,20,SondDatum,"&gt;="&amp;$E9253,SondDatum,"&lt;="&amp;EOMONTH($E9253,0)),$J9253-$M9253))</f>
      </c>
      <c r="O9253" s="43">
        <f>IF($I9253=0,0,INDEX(DarlErsatzRate,20))</f>
      </c>
      <c r="P9253" s="43">
        <f>IF($I9253=0,0,$Q9252*INDEX(DarlErsatzZins,20))</f>
      </c>
      <c r="Q9253" s="43">
        <f>IF($I9253=0,0,$Q9252+$P9253+$O9253)</f>
      </c>
      <c r="R9253" s="43">
        <f>IF($I9253=0,0,$J9253-$M9253-$N9253)</f>
      </c>
    </row>
    <row r="9254">
      <c r="A9254"/>
      <c r="B9254">
        <v>20</v>
      </c>
      <c r="C9254" s="43">
        <f>INDEX(DarlObj,20)</f>
      </c>
      <c r="D9254">
        <v>131</v>
      </c>
      <c r="E9254" s="51">
        <f>IF(INDEX(DarlBelegt,20)=0,0,EOMONTH(INDEX(DarlAuszahlung,20),130)+1)</f>
      </c>
      <c r="F9254" s="43">
        <f>IF($E9254=0,0,YEAR($E9254))</f>
      </c>
      <c r="G9254" s="43">
        <f>IF(INDEX(DarlBindung,20)="",1,IF($E9254&lt;=INDEX(DarlBindung,20),1,0))</f>
      </c>
      <c r="H9254" s="43">
        <f>IF($G9254=1,INDEX(DarlSollzins,20),INDEX(DarlAnschluss,20))</f>
      </c>
      <c r="I9254" s="43">
        <f>IF(INDEX(DarlBelegt,20)=0,0,IF(INDEX(DarlOhneTilgung,20)=1,IF(INDEX(DarlBindung,20)="",1,$G9254),IF($J9254&gt;0.005,1,0)))</f>
      </c>
      <c r="J9254" s="43">
        <f>IF($I9253=0,0,$R9253)</f>
      </c>
      <c r="K9254" s="43">
        <f>IF($I9254=0,0,IF(INDEX(DarlOhneTilgung,20)=1,0,IF(AND(INDEX(DarlTilgStart,20)&gt;0,$E9254=INDEX(DarlTilgStart,20)),$J9254*($H9254+INDEX(DarlTilgung,20))/100/12,IF(AND($G9254=0,$G9253=1),MAX($K9253,$J9254*($H9254+1)/100/12),$K9253))))</f>
      </c>
      <c r="L9254" s="43">
        <f>IF($I9254=0,0,$J9254*$H9254/100/12)</f>
      </c>
      <c r="M9254" s="43">
        <f>IF($I9254=0,0,IF(OR(INDEX(DarlOhneTilgung,20)=1,AND(INDEX(DarlTilgStart,20)&gt;0,$E9254&lt;INDEX(DarlTilgStart,20))),0,MIN(MAX(0,$K9254-$L9254),$J9254)))</f>
      </c>
      <c r="N9254" s="43">
        <f>IF($I9254=0,0,MIN(SUMIFS(SondBetrag,SondDarl,20,SondDatum,"&gt;="&amp;$E9254,SondDatum,"&lt;="&amp;EOMONTH($E9254,0)),$J9254-$M9254))</f>
      </c>
      <c r="O9254" s="43">
        <f>IF($I9254=0,0,INDEX(DarlErsatzRate,20))</f>
      </c>
      <c r="P9254" s="43">
        <f>IF($I9254=0,0,$Q9253*INDEX(DarlErsatzZins,20))</f>
      </c>
      <c r="Q9254" s="43">
        <f>IF($I9254=0,0,$Q9253+$P9254+$O9254)</f>
      </c>
      <c r="R9254" s="43">
        <f>IF($I9254=0,0,$J9254-$M9254-$N9254)</f>
      </c>
    </row>
    <row r="9255">
      <c r="A9255"/>
      <c r="B9255">
        <v>20</v>
      </c>
      <c r="C9255" s="43">
        <f>INDEX(DarlObj,20)</f>
      </c>
      <c r="D9255">
        <v>132</v>
      </c>
      <c r="E9255" s="51">
        <f>IF(INDEX(DarlBelegt,20)=0,0,EOMONTH(INDEX(DarlAuszahlung,20),131)+1)</f>
      </c>
      <c r="F9255" s="43">
        <f>IF($E9255=0,0,YEAR($E9255))</f>
      </c>
      <c r="G9255" s="43">
        <f>IF(INDEX(DarlBindung,20)="",1,IF($E9255&lt;=INDEX(DarlBindung,20),1,0))</f>
      </c>
      <c r="H9255" s="43">
        <f>IF($G9255=1,INDEX(DarlSollzins,20),INDEX(DarlAnschluss,20))</f>
      </c>
      <c r="I9255" s="43">
        <f>IF(INDEX(DarlBelegt,20)=0,0,IF(INDEX(DarlOhneTilgung,20)=1,IF(INDEX(DarlBindung,20)="",1,$G9255),IF($J9255&gt;0.005,1,0)))</f>
      </c>
      <c r="J9255" s="43">
        <f>IF($I9254=0,0,$R9254)</f>
      </c>
      <c r="K9255" s="43">
        <f>IF($I9255=0,0,IF(INDEX(DarlOhneTilgung,20)=1,0,IF(AND(INDEX(DarlTilgStart,20)&gt;0,$E9255=INDEX(DarlTilgStart,20)),$J9255*($H9255+INDEX(DarlTilgung,20))/100/12,IF(AND($G9255=0,$G9254=1),MAX($K9254,$J9255*($H9255+1)/100/12),$K9254))))</f>
      </c>
      <c r="L9255" s="43">
        <f>IF($I9255=0,0,$J9255*$H9255/100/12)</f>
      </c>
      <c r="M9255" s="43">
        <f>IF($I9255=0,0,IF(OR(INDEX(DarlOhneTilgung,20)=1,AND(INDEX(DarlTilgStart,20)&gt;0,$E9255&lt;INDEX(DarlTilgStart,20))),0,MIN(MAX(0,$K9255-$L9255),$J9255)))</f>
      </c>
      <c r="N9255" s="43">
        <f>IF($I9255=0,0,MIN(SUMIFS(SondBetrag,SondDarl,20,SondDatum,"&gt;="&amp;$E9255,SondDatum,"&lt;="&amp;EOMONTH($E9255,0)),$J9255-$M9255))</f>
      </c>
      <c r="O9255" s="43">
        <f>IF($I9255=0,0,INDEX(DarlErsatzRate,20))</f>
      </c>
      <c r="P9255" s="43">
        <f>IF($I9255=0,0,$Q9254*INDEX(DarlErsatzZins,20))</f>
      </c>
      <c r="Q9255" s="43">
        <f>IF($I9255=0,0,$Q9254+$P9255+$O9255)</f>
      </c>
      <c r="R9255" s="43">
        <f>IF($I9255=0,0,$J9255-$M9255-$N9255)</f>
      </c>
    </row>
    <row r="9256">
      <c r="A9256"/>
      <c r="B9256">
        <v>20</v>
      </c>
      <c r="C9256" s="43">
        <f>INDEX(DarlObj,20)</f>
      </c>
      <c r="D9256">
        <v>133</v>
      </c>
      <c r="E9256" s="51">
        <f>IF(INDEX(DarlBelegt,20)=0,0,EOMONTH(INDEX(DarlAuszahlung,20),132)+1)</f>
      </c>
      <c r="F9256" s="43">
        <f>IF($E9256=0,0,YEAR($E9256))</f>
      </c>
      <c r="G9256" s="43">
        <f>IF(INDEX(DarlBindung,20)="",1,IF($E9256&lt;=INDEX(DarlBindung,20),1,0))</f>
      </c>
      <c r="H9256" s="43">
        <f>IF($G9256=1,INDEX(DarlSollzins,20),INDEX(DarlAnschluss,20))</f>
      </c>
      <c r="I9256" s="43">
        <f>IF(INDEX(DarlBelegt,20)=0,0,IF(INDEX(DarlOhneTilgung,20)=1,IF(INDEX(DarlBindung,20)="",1,$G9256),IF($J9256&gt;0.005,1,0)))</f>
      </c>
      <c r="J9256" s="43">
        <f>IF($I9255=0,0,$R9255)</f>
      </c>
      <c r="K9256" s="43">
        <f>IF($I9256=0,0,IF(INDEX(DarlOhneTilgung,20)=1,0,IF(AND(INDEX(DarlTilgStart,20)&gt;0,$E9256=INDEX(DarlTilgStart,20)),$J9256*($H9256+INDEX(DarlTilgung,20))/100/12,IF(AND($G9256=0,$G9255=1),MAX($K9255,$J9256*($H9256+1)/100/12),$K9255))))</f>
      </c>
      <c r="L9256" s="43">
        <f>IF($I9256=0,0,$J9256*$H9256/100/12)</f>
      </c>
      <c r="M9256" s="43">
        <f>IF($I9256=0,0,IF(OR(INDEX(DarlOhneTilgung,20)=1,AND(INDEX(DarlTilgStart,20)&gt;0,$E9256&lt;INDEX(DarlTilgStart,20))),0,MIN(MAX(0,$K9256-$L9256),$J9256)))</f>
      </c>
      <c r="N9256" s="43">
        <f>IF($I9256=0,0,MIN(SUMIFS(SondBetrag,SondDarl,20,SondDatum,"&gt;="&amp;$E9256,SondDatum,"&lt;="&amp;EOMONTH($E9256,0)),$J9256-$M9256))</f>
      </c>
      <c r="O9256" s="43">
        <f>IF($I9256=0,0,INDEX(DarlErsatzRate,20))</f>
      </c>
      <c r="P9256" s="43">
        <f>IF($I9256=0,0,$Q9255*INDEX(DarlErsatzZins,20))</f>
      </c>
      <c r="Q9256" s="43">
        <f>IF($I9256=0,0,$Q9255+$P9256+$O9256)</f>
      </c>
      <c r="R9256" s="43">
        <f>IF($I9256=0,0,$J9256-$M9256-$N9256)</f>
      </c>
    </row>
    <row r="9257">
      <c r="A9257"/>
      <c r="B9257">
        <v>20</v>
      </c>
      <c r="C9257" s="43">
        <f>INDEX(DarlObj,20)</f>
      </c>
      <c r="D9257">
        <v>134</v>
      </c>
      <c r="E9257" s="51">
        <f>IF(INDEX(DarlBelegt,20)=0,0,EOMONTH(INDEX(DarlAuszahlung,20),133)+1)</f>
      </c>
      <c r="F9257" s="43">
        <f>IF($E9257=0,0,YEAR($E9257))</f>
      </c>
      <c r="G9257" s="43">
        <f>IF(INDEX(DarlBindung,20)="",1,IF($E9257&lt;=INDEX(DarlBindung,20),1,0))</f>
      </c>
      <c r="H9257" s="43">
        <f>IF($G9257=1,INDEX(DarlSollzins,20),INDEX(DarlAnschluss,20))</f>
      </c>
      <c r="I9257" s="43">
        <f>IF(INDEX(DarlBelegt,20)=0,0,IF(INDEX(DarlOhneTilgung,20)=1,IF(INDEX(DarlBindung,20)="",1,$G9257),IF($J9257&gt;0.005,1,0)))</f>
      </c>
      <c r="J9257" s="43">
        <f>IF($I9256=0,0,$R9256)</f>
      </c>
      <c r="K9257" s="43">
        <f>IF($I9257=0,0,IF(INDEX(DarlOhneTilgung,20)=1,0,IF(AND(INDEX(DarlTilgStart,20)&gt;0,$E9257=INDEX(DarlTilgStart,20)),$J9257*($H9257+INDEX(DarlTilgung,20))/100/12,IF(AND($G9257=0,$G9256=1),MAX($K9256,$J9257*($H9257+1)/100/12),$K9256))))</f>
      </c>
      <c r="L9257" s="43">
        <f>IF($I9257=0,0,$J9257*$H9257/100/12)</f>
      </c>
      <c r="M9257" s="43">
        <f>IF($I9257=0,0,IF(OR(INDEX(DarlOhneTilgung,20)=1,AND(INDEX(DarlTilgStart,20)&gt;0,$E9257&lt;INDEX(DarlTilgStart,20))),0,MIN(MAX(0,$K9257-$L9257),$J9257)))</f>
      </c>
      <c r="N9257" s="43">
        <f>IF($I9257=0,0,MIN(SUMIFS(SondBetrag,SondDarl,20,SondDatum,"&gt;="&amp;$E9257,SondDatum,"&lt;="&amp;EOMONTH($E9257,0)),$J9257-$M9257))</f>
      </c>
      <c r="O9257" s="43">
        <f>IF($I9257=0,0,INDEX(DarlErsatzRate,20))</f>
      </c>
      <c r="P9257" s="43">
        <f>IF($I9257=0,0,$Q9256*INDEX(DarlErsatzZins,20))</f>
      </c>
      <c r="Q9257" s="43">
        <f>IF($I9257=0,0,$Q9256+$P9257+$O9257)</f>
      </c>
      <c r="R9257" s="43">
        <f>IF($I9257=0,0,$J9257-$M9257-$N9257)</f>
      </c>
    </row>
    <row r="9258">
      <c r="A9258"/>
      <c r="B9258">
        <v>20</v>
      </c>
      <c r="C9258" s="43">
        <f>INDEX(DarlObj,20)</f>
      </c>
      <c r="D9258">
        <v>135</v>
      </c>
      <c r="E9258" s="51">
        <f>IF(INDEX(DarlBelegt,20)=0,0,EOMONTH(INDEX(DarlAuszahlung,20),134)+1)</f>
      </c>
      <c r="F9258" s="43">
        <f>IF($E9258=0,0,YEAR($E9258))</f>
      </c>
      <c r="G9258" s="43">
        <f>IF(INDEX(DarlBindung,20)="",1,IF($E9258&lt;=INDEX(DarlBindung,20),1,0))</f>
      </c>
      <c r="H9258" s="43">
        <f>IF($G9258=1,INDEX(DarlSollzins,20),INDEX(DarlAnschluss,20))</f>
      </c>
      <c r="I9258" s="43">
        <f>IF(INDEX(DarlBelegt,20)=0,0,IF(INDEX(DarlOhneTilgung,20)=1,IF(INDEX(DarlBindung,20)="",1,$G9258),IF($J9258&gt;0.005,1,0)))</f>
      </c>
      <c r="J9258" s="43">
        <f>IF($I9257=0,0,$R9257)</f>
      </c>
      <c r="K9258" s="43">
        <f>IF($I9258=0,0,IF(INDEX(DarlOhneTilgung,20)=1,0,IF(AND(INDEX(DarlTilgStart,20)&gt;0,$E9258=INDEX(DarlTilgStart,20)),$J9258*($H9258+INDEX(DarlTilgung,20))/100/12,IF(AND($G9258=0,$G9257=1),MAX($K9257,$J9258*($H9258+1)/100/12),$K9257))))</f>
      </c>
      <c r="L9258" s="43">
        <f>IF($I9258=0,0,$J9258*$H9258/100/12)</f>
      </c>
      <c r="M9258" s="43">
        <f>IF($I9258=0,0,IF(OR(INDEX(DarlOhneTilgung,20)=1,AND(INDEX(DarlTilgStart,20)&gt;0,$E9258&lt;INDEX(DarlTilgStart,20))),0,MIN(MAX(0,$K9258-$L9258),$J9258)))</f>
      </c>
      <c r="N9258" s="43">
        <f>IF($I9258=0,0,MIN(SUMIFS(SondBetrag,SondDarl,20,SondDatum,"&gt;="&amp;$E9258,SondDatum,"&lt;="&amp;EOMONTH($E9258,0)),$J9258-$M9258))</f>
      </c>
      <c r="O9258" s="43">
        <f>IF($I9258=0,0,INDEX(DarlErsatzRate,20))</f>
      </c>
      <c r="P9258" s="43">
        <f>IF($I9258=0,0,$Q9257*INDEX(DarlErsatzZins,20))</f>
      </c>
      <c r="Q9258" s="43">
        <f>IF($I9258=0,0,$Q9257+$P9258+$O9258)</f>
      </c>
      <c r="R9258" s="43">
        <f>IF($I9258=0,0,$J9258-$M9258-$N9258)</f>
      </c>
    </row>
    <row r="9259">
      <c r="A9259"/>
      <c r="B9259">
        <v>20</v>
      </c>
      <c r="C9259" s="43">
        <f>INDEX(DarlObj,20)</f>
      </c>
      <c r="D9259">
        <v>136</v>
      </c>
      <c r="E9259" s="51">
        <f>IF(INDEX(DarlBelegt,20)=0,0,EOMONTH(INDEX(DarlAuszahlung,20),135)+1)</f>
      </c>
      <c r="F9259" s="43">
        <f>IF($E9259=0,0,YEAR($E9259))</f>
      </c>
      <c r="G9259" s="43">
        <f>IF(INDEX(DarlBindung,20)="",1,IF($E9259&lt;=INDEX(DarlBindung,20),1,0))</f>
      </c>
      <c r="H9259" s="43">
        <f>IF($G9259=1,INDEX(DarlSollzins,20),INDEX(DarlAnschluss,20))</f>
      </c>
      <c r="I9259" s="43">
        <f>IF(INDEX(DarlBelegt,20)=0,0,IF(INDEX(DarlOhneTilgung,20)=1,IF(INDEX(DarlBindung,20)="",1,$G9259),IF($J9259&gt;0.005,1,0)))</f>
      </c>
      <c r="J9259" s="43">
        <f>IF($I9258=0,0,$R9258)</f>
      </c>
      <c r="K9259" s="43">
        <f>IF($I9259=0,0,IF(INDEX(DarlOhneTilgung,20)=1,0,IF(AND(INDEX(DarlTilgStart,20)&gt;0,$E9259=INDEX(DarlTilgStart,20)),$J9259*($H9259+INDEX(DarlTilgung,20))/100/12,IF(AND($G9259=0,$G9258=1),MAX($K9258,$J9259*($H9259+1)/100/12),$K9258))))</f>
      </c>
      <c r="L9259" s="43">
        <f>IF($I9259=0,0,$J9259*$H9259/100/12)</f>
      </c>
      <c r="M9259" s="43">
        <f>IF($I9259=0,0,IF(OR(INDEX(DarlOhneTilgung,20)=1,AND(INDEX(DarlTilgStart,20)&gt;0,$E9259&lt;INDEX(DarlTilgStart,20))),0,MIN(MAX(0,$K9259-$L9259),$J9259)))</f>
      </c>
      <c r="N9259" s="43">
        <f>IF($I9259=0,0,MIN(SUMIFS(SondBetrag,SondDarl,20,SondDatum,"&gt;="&amp;$E9259,SondDatum,"&lt;="&amp;EOMONTH($E9259,0)),$J9259-$M9259))</f>
      </c>
      <c r="O9259" s="43">
        <f>IF($I9259=0,0,INDEX(DarlErsatzRate,20))</f>
      </c>
      <c r="P9259" s="43">
        <f>IF($I9259=0,0,$Q9258*INDEX(DarlErsatzZins,20))</f>
      </c>
      <c r="Q9259" s="43">
        <f>IF($I9259=0,0,$Q9258+$P9259+$O9259)</f>
      </c>
      <c r="R9259" s="43">
        <f>IF($I9259=0,0,$J9259-$M9259-$N9259)</f>
      </c>
    </row>
    <row r="9260">
      <c r="A9260"/>
      <c r="B9260">
        <v>20</v>
      </c>
      <c r="C9260" s="43">
        <f>INDEX(DarlObj,20)</f>
      </c>
      <c r="D9260">
        <v>137</v>
      </c>
      <c r="E9260" s="51">
        <f>IF(INDEX(DarlBelegt,20)=0,0,EOMONTH(INDEX(DarlAuszahlung,20),136)+1)</f>
      </c>
      <c r="F9260" s="43">
        <f>IF($E9260=0,0,YEAR($E9260))</f>
      </c>
      <c r="G9260" s="43">
        <f>IF(INDEX(DarlBindung,20)="",1,IF($E9260&lt;=INDEX(DarlBindung,20),1,0))</f>
      </c>
      <c r="H9260" s="43">
        <f>IF($G9260=1,INDEX(DarlSollzins,20),INDEX(DarlAnschluss,20))</f>
      </c>
      <c r="I9260" s="43">
        <f>IF(INDEX(DarlBelegt,20)=0,0,IF(INDEX(DarlOhneTilgung,20)=1,IF(INDEX(DarlBindung,20)="",1,$G9260),IF($J9260&gt;0.005,1,0)))</f>
      </c>
      <c r="J9260" s="43">
        <f>IF($I9259=0,0,$R9259)</f>
      </c>
      <c r="K9260" s="43">
        <f>IF($I9260=0,0,IF(INDEX(DarlOhneTilgung,20)=1,0,IF(AND(INDEX(DarlTilgStart,20)&gt;0,$E9260=INDEX(DarlTilgStart,20)),$J9260*($H9260+INDEX(DarlTilgung,20))/100/12,IF(AND($G9260=0,$G9259=1),MAX($K9259,$J9260*($H9260+1)/100/12),$K9259))))</f>
      </c>
      <c r="L9260" s="43">
        <f>IF($I9260=0,0,$J9260*$H9260/100/12)</f>
      </c>
      <c r="M9260" s="43">
        <f>IF($I9260=0,0,IF(OR(INDEX(DarlOhneTilgung,20)=1,AND(INDEX(DarlTilgStart,20)&gt;0,$E9260&lt;INDEX(DarlTilgStart,20))),0,MIN(MAX(0,$K9260-$L9260),$J9260)))</f>
      </c>
      <c r="N9260" s="43">
        <f>IF($I9260=0,0,MIN(SUMIFS(SondBetrag,SondDarl,20,SondDatum,"&gt;="&amp;$E9260,SondDatum,"&lt;="&amp;EOMONTH($E9260,0)),$J9260-$M9260))</f>
      </c>
      <c r="O9260" s="43">
        <f>IF($I9260=0,0,INDEX(DarlErsatzRate,20))</f>
      </c>
      <c r="P9260" s="43">
        <f>IF($I9260=0,0,$Q9259*INDEX(DarlErsatzZins,20))</f>
      </c>
      <c r="Q9260" s="43">
        <f>IF($I9260=0,0,$Q9259+$P9260+$O9260)</f>
      </c>
      <c r="R9260" s="43">
        <f>IF($I9260=0,0,$J9260-$M9260-$N9260)</f>
      </c>
    </row>
    <row r="9261">
      <c r="A9261"/>
      <c r="B9261">
        <v>20</v>
      </c>
      <c r="C9261" s="43">
        <f>INDEX(DarlObj,20)</f>
      </c>
      <c r="D9261">
        <v>138</v>
      </c>
      <c r="E9261" s="51">
        <f>IF(INDEX(DarlBelegt,20)=0,0,EOMONTH(INDEX(DarlAuszahlung,20),137)+1)</f>
      </c>
      <c r="F9261" s="43">
        <f>IF($E9261=0,0,YEAR($E9261))</f>
      </c>
      <c r="G9261" s="43">
        <f>IF(INDEX(DarlBindung,20)="",1,IF($E9261&lt;=INDEX(DarlBindung,20),1,0))</f>
      </c>
      <c r="H9261" s="43">
        <f>IF($G9261=1,INDEX(DarlSollzins,20),INDEX(DarlAnschluss,20))</f>
      </c>
      <c r="I9261" s="43">
        <f>IF(INDEX(DarlBelegt,20)=0,0,IF(INDEX(DarlOhneTilgung,20)=1,IF(INDEX(DarlBindung,20)="",1,$G9261),IF($J9261&gt;0.005,1,0)))</f>
      </c>
      <c r="J9261" s="43">
        <f>IF($I9260=0,0,$R9260)</f>
      </c>
      <c r="K9261" s="43">
        <f>IF($I9261=0,0,IF(INDEX(DarlOhneTilgung,20)=1,0,IF(AND(INDEX(DarlTilgStart,20)&gt;0,$E9261=INDEX(DarlTilgStart,20)),$J9261*($H9261+INDEX(DarlTilgung,20))/100/12,IF(AND($G9261=0,$G9260=1),MAX($K9260,$J9261*($H9261+1)/100/12),$K9260))))</f>
      </c>
      <c r="L9261" s="43">
        <f>IF($I9261=0,0,$J9261*$H9261/100/12)</f>
      </c>
      <c r="M9261" s="43">
        <f>IF($I9261=0,0,IF(OR(INDEX(DarlOhneTilgung,20)=1,AND(INDEX(DarlTilgStart,20)&gt;0,$E9261&lt;INDEX(DarlTilgStart,20))),0,MIN(MAX(0,$K9261-$L9261),$J9261)))</f>
      </c>
      <c r="N9261" s="43">
        <f>IF($I9261=0,0,MIN(SUMIFS(SondBetrag,SondDarl,20,SondDatum,"&gt;="&amp;$E9261,SondDatum,"&lt;="&amp;EOMONTH($E9261,0)),$J9261-$M9261))</f>
      </c>
      <c r="O9261" s="43">
        <f>IF($I9261=0,0,INDEX(DarlErsatzRate,20))</f>
      </c>
      <c r="P9261" s="43">
        <f>IF($I9261=0,0,$Q9260*INDEX(DarlErsatzZins,20))</f>
      </c>
      <c r="Q9261" s="43">
        <f>IF($I9261=0,0,$Q9260+$P9261+$O9261)</f>
      </c>
      <c r="R9261" s="43">
        <f>IF($I9261=0,0,$J9261-$M9261-$N9261)</f>
      </c>
    </row>
    <row r="9262">
      <c r="A9262"/>
      <c r="B9262">
        <v>20</v>
      </c>
      <c r="C9262" s="43">
        <f>INDEX(DarlObj,20)</f>
      </c>
      <c r="D9262">
        <v>139</v>
      </c>
      <c r="E9262" s="51">
        <f>IF(INDEX(DarlBelegt,20)=0,0,EOMONTH(INDEX(DarlAuszahlung,20),138)+1)</f>
      </c>
      <c r="F9262" s="43">
        <f>IF($E9262=0,0,YEAR($E9262))</f>
      </c>
      <c r="G9262" s="43">
        <f>IF(INDEX(DarlBindung,20)="",1,IF($E9262&lt;=INDEX(DarlBindung,20),1,0))</f>
      </c>
      <c r="H9262" s="43">
        <f>IF($G9262=1,INDEX(DarlSollzins,20),INDEX(DarlAnschluss,20))</f>
      </c>
      <c r="I9262" s="43">
        <f>IF(INDEX(DarlBelegt,20)=0,0,IF(INDEX(DarlOhneTilgung,20)=1,IF(INDEX(DarlBindung,20)="",1,$G9262),IF($J9262&gt;0.005,1,0)))</f>
      </c>
      <c r="J9262" s="43">
        <f>IF($I9261=0,0,$R9261)</f>
      </c>
      <c r="K9262" s="43">
        <f>IF($I9262=0,0,IF(INDEX(DarlOhneTilgung,20)=1,0,IF(AND(INDEX(DarlTilgStart,20)&gt;0,$E9262=INDEX(DarlTilgStart,20)),$J9262*($H9262+INDEX(DarlTilgung,20))/100/12,IF(AND($G9262=0,$G9261=1),MAX($K9261,$J9262*($H9262+1)/100/12),$K9261))))</f>
      </c>
      <c r="L9262" s="43">
        <f>IF($I9262=0,0,$J9262*$H9262/100/12)</f>
      </c>
      <c r="M9262" s="43">
        <f>IF($I9262=0,0,IF(OR(INDEX(DarlOhneTilgung,20)=1,AND(INDEX(DarlTilgStart,20)&gt;0,$E9262&lt;INDEX(DarlTilgStart,20))),0,MIN(MAX(0,$K9262-$L9262),$J9262)))</f>
      </c>
      <c r="N9262" s="43">
        <f>IF($I9262=0,0,MIN(SUMIFS(SondBetrag,SondDarl,20,SondDatum,"&gt;="&amp;$E9262,SondDatum,"&lt;="&amp;EOMONTH($E9262,0)),$J9262-$M9262))</f>
      </c>
      <c r="O9262" s="43">
        <f>IF($I9262=0,0,INDEX(DarlErsatzRate,20))</f>
      </c>
      <c r="P9262" s="43">
        <f>IF($I9262=0,0,$Q9261*INDEX(DarlErsatzZins,20))</f>
      </c>
      <c r="Q9262" s="43">
        <f>IF($I9262=0,0,$Q9261+$P9262+$O9262)</f>
      </c>
      <c r="R9262" s="43">
        <f>IF($I9262=0,0,$J9262-$M9262-$N9262)</f>
      </c>
    </row>
    <row r="9263">
      <c r="A9263"/>
      <c r="B9263">
        <v>20</v>
      </c>
      <c r="C9263" s="43">
        <f>INDEX(DarlObj,20)</f>
      </c>
      <c r="D9263">
        <v>140</v>
      </c>
      <c r="E9263" s="51">
        <f>IF(INDEX(DarlBelegt,20)=0,0,EOMONTH(INDEX(DarlAuszahlung,20),139)+1)</f>
      </c>
      <c r="F9263" s="43">
        <f>IF($E9263=0,0,YEAR($E9263))</f>
      </c>
      <c r="G9263" s="43">
        <f>IF(INDEX(DarlBindung,20)="",1,IF($E9263&lt;=INDEX(DarlBindung,20),1,0))</f>
      </c>
      <c r="H9263" s="43">
        <f>IF($G9263=1,INDEX(DarlSollzins,20),INDEX(DarlAnschluss,20))</f>
      </c>
      <c r="I9263" s="43">
        <f>IF(INDEX(DarlBelegt,20)=0,0,IF(INDEX(DarlOhneTilgung,20)=1,IF(INDEX(DarlBindung,20)="",1,$G9263),IF($J9263&gt;0.005,1,0)))</f>
      </c>
      <c r="J9263" s="43">
        <f>IF($I9262=0,0,$R9262)</f>
      </c>
      <c r="K9263" s="43">
        <f>IF($I9263=0,0,IF(INDEX(DarlOhneTilgung,20)=1,0,IF(AND(INDEX(DarlTilgStart,20)&gt;0,$E9263=INDEX(DarlTilgStart,20)),$J9263*($H9263+INDEX(DarlTilgung,20))/100/12,IF(AND($G9263=0,$G9262=1),MAX($K9262,$J9263*($H9263+1)/100/12),$K9262))))</f>
      </c>
      <c r="L9263" s="43">
        <f>IF($I9263=0,0,$J9263*$H9263/100/12)</f>
      </c>
      <c r="M9263" s="43">
        <f>IF($I9263=0,0,IF(OR(INDEX(DarlOhneTilgung,20)=1,AND(INDEX(DarlTilgStart,20)&gt;0,$E9263&lt;INDEX(DarlTilgStart,20))),0,MIN(MAX(0,$K9263-$L9263),$J9263)))</f>
      </c>
      <c r="N9263" s="43">
        <f>IF($I9263=0,0,MIN(SUMIFS(SondBetrag,SondDarl,20,SondDatum,"&gt;="&amp;$E9263,SondDatum,"&lt;="&amp;EOMONTH($E9263,0)),$J9263-$M9263))</f>
      </c>
      <c r="O9263" s="43">
        <f>IF($I9263=0,0,INDEX(DarlErsatzRate,20))</f>
      </c>
      <c r="P9263" s="43">
        <f>IF($I9263=0,0,$Q9262*INDEX(DarlErsatzZins,20))</f>
      </c>
      <c r="Q9263" s="43">
        <f>IF($I9263=0,0,$Q9262+$P9263+$O9263)</f>
      </c>
      <c r="R9263" s="43">
        <f>IF($I9263=0,0,$J9263-$M9263-$N9263)</f>
      </c>
    </row>
    <row r="9264">
      <c r="A9264"/>
      <c r="B9264">
        <v>20</v>
      </c>
      <c r="C9264" s="43">
        <f>INDEX(DarlObj,20)</f>
      </c>
      <c r="D9264">
        <v>141</v>
      </c>
      <c r="E9264" s="51">
        <f>IF(INDEX(DarlBelegt,20)=0,0,EOMONTH(INDEX(DarlAuszahlung,20),140)+1)</f>
      </c>
      <c r="F9264" s="43">
        <f>IF($E9264=0,0,YEAR($E9264))</f>
      </c>
      <c r="G9264" s="43">
        <f>IF(INDEX(DarlBindung,20)="",1,IF($E9264&lt;=INDEX(DarlBindung,20),1,0))</f>
      </c>
      <c r="H9264" s="43">
        <f>IF($G9264=1,INDEX(DarlSollzins,20),INDEX(DarlAnschluss,20))</f>
      </c>
      <c r="I9264" s="43">
        <f>IF(INDEX(DarlBelegt,20)=0,0,IF(INDEX(DarlOhneTilgung,20)=1,IF(INDEX(DarlBindung,20)="",1,$G9264),IF($J9264&gt;0.005,1,0)))</f>
      </c>
      <c r="J9264" s="43">
        <f>IF($I9263=0,0,$R9263)</f>
      </c>
      <c r="K9264" s="43">
        <f>IF($I9264=0,0,IF(INDEX(DarlOhneTilgung,20)=1,0,IF(AND(INDEX(DarlTilgStart,20)&gt;0,$E9264=INDEX(DarlTilgStart,20)),$J9264*($H9264+INDEX(DarlTilgung,20))/100/12,IF(AND($G9264=0,$G9263=1),MAX($K9263,$J9264*($H9264+1)/100/12),$K9263))))</f>
      </c>
      <c r="L9264" s="43">
        <f>IF($I9264=0,0,$J9264*$H9264/100/12)</f>
      </c>
      <c r="M9264" s="43">
        <f>IF($I9264=0,0,IF(OR(INDEX(DarlOhneTilgung,20)=1,AND(INDEX(DarlTilgStart,20)&gt;0,$E9264&lt;INDEX(DarlTilgStart,20))),0,MIN(MAX(0,$K9264-$L9264),$J9264)))</f>
      </c>
      <c r="N9264" s="43">
        <f>IF($I9264=0,0,MIN(SUMIFS(SondBetrag,SondDarl,20,SondDatum,"&gt;="&amp;$E9264,SondDatum,"&lt;="&amp;EOMONTH($E9264,0)),$J9264-$M9264))</f>
      </c>
      <c r="O9264" s="43">
        <f>IF($I9264=0,0,INDEX(DarlErsatzRate,20))</f>
      </c>
      <c r="P9264" s="43">
        <f>IF($I9264=0,0,$Q9263*INDEX(DarlErsatzZins,20))</f>
      </c>
      <c r="Q9264" s="43">
        <f>IF($I9264=0,0,$Q9263+$P9264+$O9264)</f>
      </c>
      <c r="R9264" s="43">
        <f>IF($I9264=0,0,$J9264-$M9264-$N9264)</f>
      </c>
    </row>
    <row r="9265">
      <c r="A9265"/>
      <c r="B9265">
        <v>20</v>
      </c>
      <c r="C9265" s="43">
        <f>INDEX(DarlObj,20)</f>
      </c>
      <c r="D9265">
        <v>142</v>
      </c>
      <c r="E9265" s="51">
        <f>IF(INDEX(DarlBelegt,20)=0,0,EOMONTH(INDEX(DarlAuszahlung,20),141)+1)</f>
      </c>
      <c r="F9265" s="43">
        <f>IF($E9265=0,0,YEAR($E9265))</f>
      </c>
      <c r="G9265" s="43">
        <f>IF(INDEX(DarlBindung,20)="",1,IF($E9265&lt;=INDEX(DarlBindung,20),1,0))</f>
      </c>
      <c r="H9265" s="43">
        <f>IF($G9265=1,INDEX(DarlSollzins,20),INDEX(DarlAnschluss,20))</f>
      </c>
      <c r="I9265" s="43">
        <f>IF(INDEX(DarlBelegt,20)=0,0,IF(INDEX(DarlOhneTilgung,20)=1,IF(INDEX(DarlBindung,20)="",1,$G9265),IF($J9265&gt;0.005,1,0)))</f>
      </c>
      <c r="J9265" s="43">
        <f>IF($I9264=0,0,$R9264)</f>
      </c>
      <c r="K9265" s="43">
        <f>IF($I9265=0,0,IF(INDEX(DarlOhneTilgung,20)=1,0,IF(AND(INDEX(DarlTilgStart,20)&gt;0,$E9265=INDEX(DarlTilgStart,20)),$J9265*($H9265+INDEX(DarlTilgung,20))/100/12,IF(AND($G9265=0,$G9264=1),MAX($K9264,$J9265*($H9265+1)/100/12),$K9264))))</f>
      </c>
      <c r="L9265" s="43">
        <f>IF($I9265=0,0,$J9265*$H9265/100/12)</f>
      </c>
      <c r="M9265" s="43">
        <f>IF($I9265=0,0,IF(OR(INDEX(DarlOhneTilgung,20)=1,AND(INDEX(DarlTilgStart,20)&gt;0,$E9265&lt;INDEX(DarlTilgStart,20))),0,MIN(MAX(0,$K9265-$L9265),$J9265)))</f>
      </c>
      <c r="N9265" s="43">
        <f>IF($I9265=0,0,MIN(SUMIFS(SondBetrag,SondDarl,20,SondDatum,"&gt;="&amp;$E9265,SondDatum,"&lt;="&amp;EOMONTH($E9265,0)),$J9265-$M9265))</f>
      </c>
      <c r="O9265" s="43">
        <f>IF($I9265=0,0,INDEX(DarlErsatzRate,20))</f>
      </c>
      <c r="P9265" s="43">
        <f>IF($I9265=0,0,$Q9264*INDEX(DarlErsatzZins,20))</f>
      </c>
      <c r="Q9265" s="43">
        <f>IF($I9265=0,0,$Q9264+$P9265+$O9265)</f>
      </c>
      <c r="R9265" s="43">
        <f>IF($I9265=0,0,$J9265-$M9265-$N9265)</f>
      </c>
    </row>
    <row r="9266">
      <c r="A9266"/>
      <c r="B9266">
        <v>20</v>
      </c>
      <c r="C9266" s="43">
        <f>INDEX(DarlObj,20)</f>
      </c>
      <c r="D9266">
        <v>143</v>
      </c>
      <c r="E9266" s="51">
        <f>IF(INDEX(DarlBelegt,20)=0,0,EOMONTH(INDEX(DarlAuszahlung,20),142)+1)</f>
      </c>
      <c r="F9266" s="43">
        <f>IF($E9266=0,0,YEAR($E9266))</f>
      </c>
      <c r="G9266" s="43">
        <f>IF(INDEX(DarlBindung,20)="",1,IF($E9266&lt;=INDEX(DarlBindung,20),1,0))</f>
      </c>
      <c r="H9266" s="43">
        <f>IF($G9266=1,INDEX(DarlSollzins,20),INDEX(DarlAnschluss,20))</f>
      </c>
      <c r="I9266" s="43">
        <f>IF(INDEX(DarlBelegt,20)=0,0,IF(INDEX(DarlOhneTilgung,20)=1,IF(INDEX(DarlBindung,20)="",1,$G9266),IF($J9266&gt;0.005,1,0)))</f>
      </c>
      <c r="J9266" s="43">
        <f>IF($I9265=0,0,$R9265)</f>
      </c>
      <c r="K9266" s="43">
        <f>IF($I9266=0,0,IF(INDEX(DarlOhneTilgung,20)=1,0,IF(AND(INDEX(DarlTilgStart,20)&gt;0,$E9266=INDEX(DarlTilgStart,20)),$J9266*($H9266+INDEX(DarlTilgung,20))/100/12,IF(AND($G9266=0,$G9265=1),MAX($K9265,$J9266*($H9266+1)/100/12),$K9265))))</f>
      </c>
      <c r="L9266" s="43">
        <f>IF($I9266=0,0,$J9266*$H9266/100/12)</f>
      </c>
      <c r="M9266" s="43">
        <f>IF($I9266=0,0,IF(OR(INDEX(DarlOhneTilgung,20)=1,AND(INDEX(DarlTilgStart,20)&gt;0,$E9266&lt;INDEX(DarlTilgStart,20))),0,MIN(MAX(0,$K9266-$L9266),$J9266)))</f>
      </c>
      <c r="N9266" s="43">
        <f>IF($I9266=0,0,MIN(SUMIFS(SondBetrag,SondDarl,20,SondDatum,"&gt;="&amp;$E9266,SondDatum,"&lt;="&amp;EOMONTH($E9266,0)),$J9266-$M9266))</f>
      </c>
      <c r="O9266" s="43">
        <f>IF($I9266=0,0,INDEX(DarlErsatzRate,20))</f>
      </c>
      <c r="P9266" s="43">
        <f>IF($I9266=0,0,$Q9265*INDEX(DarlErsatzZins,20))</f>
      </c>
      <c r="Q9266" s="43">
        <f>IF($I9266=0,0,$Q9265+$P9266+$O9266)</f>
      </c>
      <c r="R9266" s="43">
        <f>IF($I9266=0,0,$J9266-$M9266-$N9266)</f>
      </c>
    </row>
    <row r="9267">
      <c r="A9267"/>
      <c r="B9267">
        <v>20</v>
      </c>
      <c r="C9267" s="43">
        <f>INDEX(DarlObj,20)</f>
      </c>
      <c r="D9267">
        <v>144</v>
      </c>
      <c r="E9267" s="51">
        <f>IF(INDEX(DarlBelegt,20)=0,0,EOMONTH(INDEX(DarlAuszahlung,20),143)+1)</f>
      </c>
      <c r="F9267" s="43">
        <f>IF($E9267=0,0,YEAR($E9267))</f>
      </c>
      <c r="G9267" s="43">
        <f>IF(INDEX(DarlBindung,20)="",1,IF($E9267&lt;=INDEX(DarlBindung,20),1,0))</f>
      </c>
      <c r="H9267" s="43">
        <f>IF($G9267=1,INDEX(DarlSollzins,20),INDEX(DarlAnschluss,20))</f>
      </c>
      <c r="I9267" s="43">
        <f>IF(INDEX(DarlBelegt,20)=0,0,IF(INDEX(DarlOhneTilgung,20)=1,IF(INDEX(DarlBindung,20)="",1,$G9267),IF($J9267&gt;0.005,1,0)))</f>
      </c>
      <c r="J9267" s="43">
        <f>IF($I9266=0,0,$R9266)</f>
      </c>
      <c r="K9267" s="43">
        <f>IF($I9267=0,0,IF(INDEX(DarlOhneTilgung,20)=1,0,IF(AND(INDEX(DarlTilgStart,20)&gt;0,$E9267=INDEX(DarlTilgStart,20)),$J9267*($H9267+INDEX(DarlTilgung,20))/100/12,IF(AND($G9267=0,$G9266=1),MAX($K9266,$J9267*($H9267+1)/100/12),$K9266))))</f>
      </c>
      <c r="L9267" s="43">
        <f>IF($I9267=0,0,$J9267*$H9267/100/12)</f>
      </c>
      <c r="M9267" s="43">
        <f>IF($I9267=0,0,IF(OR(INDEX(DarlOhneTilgung,20)=1,AND(INDEX(DarlTilgStart,20)&gt;0,$E9267&lt;INDEX(DarlTilgStart,20))),0,MIN(MAX(0,$K9267-$L9267),$J9267)))</f>
      </c>
      <c r="N9267" s="43">
        <f>IF($I9267=0,0,MIN(SUMIFS(SondBetrag,SondDarl,20,SondDatum,"&gt;="&amp;$E9267,SondDatum,"&lt;="&amp;EOMONTH($E9267,0)),$J9267-$M9267))</f>
      </c>
      <c r="O9267" s="43">
        <f>IF($I9267=0,0,INDEX(DarlErsatzRate,20))</f>
      </c>
      <c r="P9267" s="43">
        <f>IF($I9267=0,0,$Q9266*INDEX(DarlErsatzZins,20))</f>
      </c>
      <c r="Q9267" s="43">
        <f>IF($I9267=0,0,$Q9266+$P9267+$O9267)</f>
      </c>
      <c r="R9267" s="43">
        <f>IF($I9267=0,0,$J9267-$M9267-$N9267)</f>
      </c>
    </row>
    <row r="9268">
      <c r="A9268"/>
      <c r="B9268">
        <v>20</v>
      </c>
      <c r="C9268" s="43">
        <f>INDEX(DarlObj,20)</f>
      </c>
      <c r="D9268">
        <v>145</v>
      </c>
      <c r="E9268" s="51">
        <f>IF(INDEX(DarlBelegt,20)=0,0,EOMONTH(INDEX(DarlAuszahlung,20),144)+1)</f>
      </c>
      <c r="F9268" s="43">
        <f>IF($E9268=0,0,YEAR($E9268))</f>
      </c>
      <c r="G9268" s="43">
        <f>IF(INDEX(DarlBindung,20)="",1,IF($E9268&lt;=INDEX(DarlBindung,20),1,0))</f>
      </c>
      <c r="H9268" s="43">
        <f>IF($G9268=1,INDEX(DarlSollzins,20),INDEX(DarlAnschluss,20))</f>
      </c>
      <c r="I9268" s="43">
        <f>IF(INDEX(DarlBelegt,20)=0,0,IF(INDEX(DarlOhneTilgung,20)=1,IF(INDEX(DarlBindung,20)="",1,$G9268),IF($J9268&gt;0.005,1,0)))</f>
      </c>
      <c r="J9268" s="43">
        <f>IF($I9267=0,0,$R9267)</f>
      </c>
      <c r="K9268" s="43">
        <f>IF($I9268=0,0,IF(INDEX(DarlOhneTilgung,20)=1,0,IF(AND(INDEX(DarlTilgStart,20)&gt;0,$E9268=INDEX(DarlTilgStart,20)),$J9268*($H9268+INDEX(DarlTilgung,20))/100/12,IF(AND($G9268=0,$G9267=1),MAX($K9267,$J9268*($H9268+1)/100/12),$K9267))))</f>
      </c>
      <c r="L9268" s="43">
        <f>IF($I9268=0,0,$J9268*$H9268/100/12)</f>
      </c>
      <c r="M9268" s="43">
        <f>IF($I9268=0,0,IF(OR(INDEX(DarlOhneTilgung,20)=1,AND(INDEX(DarlTilgStart,20)&gt;0,$E9268&lt;INDEX(DarlTilgStart,20))),0,MIN(MAX(0,$K9268-$L9268),$J9268)))</f>
      </c>
      <c r="N9268" s="43">
        <f>IF($I9268=0,0,MIN(SUMIFS(SondBetrag,SondDarl,20,SondDatum,"&gt;="&amp;$E9268,SondDatum,"&lt;="&amp;EOMONTH($E9268,0)),$J9268-$M9268))</f>
      </c>
      <c r="O9268" s="43">
        <f>IF($I9268=0,0,INDEX(DarlErsatzRate,20))</f>
      </c>
      <c r="P9268" s="43">
        <f>IF($I9268=0,0,$Q9267*INDEX(DarlErsatzZins,20))</f>
      </c>
      <c r="Q9268" s="43">
        <f>IF($I9268=0,0,$Q9267+$P9268+$O9268)</f>
      </c>
      <c r="R9268" s="43">
        <f>IF($I9268=0,0,$J9268-$M9268-$N9268)</f>
      </c>
    </row>
    <row r="9269">
      <c r="A9269"/>
      <c r="B9269">
        <v>20</v>
      </c>
      <c r="C9269" s="43">
        <f>INDEX(DarlObj,20)</f>
      </c>
      <c r="D9269">
        <v>146</v>
      </c>
      <c r="E9269" s="51">
        <f>IF(INDEX(DarlBelegt,20)=0,0,EOMONTH(INDEX(DarlAuszahlung,20),145)+1)</f>
      </c>
      <c r="F9269" s="43">
        <f>IF($E9269=0,0,YEAR($E9269))</f>
      </c>
      <c r="G9269" s="43">
        <f>IF(INDEX(DarlBindung,20)="",1,IF($E9269&lt;=INDEX(DarlBindung,20),1,0))</f>
      </c>
      <c r="H9269" s="43">
        <f>IF($G9269=1,INDEX(DarlSollzins,20),INDEX(DarlAnschluss,20))</f>
      </c>
      <c r="I9269" s="43">
        <f>IF(INDEX(DarlBelegt,20)=0,0,IF(INDEX(DarlOhneTilgung,20)=1,IF(INDEX(DarlBindung,20)="",1,$G9269),IF($J9269&gt;0.005,1,0)))</f>
      </c>
      <c r="J9269" s="43">
        <f>IF($I9268=0,0,$R9268)</f>
      </c>
      <c r="K9269" s="43">
        <f>IF($I9269=0,0,IF(INDEX(DarlOhneTilgung,20)=1,0,IF(AND(INDEX(DarlTilgStart,20)&gt;0,$E9269=INDEX(DarlTilgStart,20)),$J9269*($H9269+INDEX(DarlTilgung,20))/100/12,IF(AND($G9269=0,$G9268=1),MAX($K9268,$J9269*($H9269+1)/100/12),$K9268))))</f>
      </c>
      <c r="L9269" s="43">
        <f>IF($I9269=0,0,$J9269*$H9269/100/12)</f>
      </c>
      <c r="M9269" s="43">
        <f>IF($I9269=0,0,IF(OR(INDEX(DarlOhneTilgung,20)=1,AND(INDEX(DarlTilgStart,20)&gt;0,$E9269&lt;INDEX(DarlTilgStart,20))),0,MIN(MAX(0,$K9269-$L9269),$J9269)))</f>
      </c>
      <c r="N9269" s="43">
        <f>IF($I9269=0,0,MIN(SUMIFS(SondBetrag,SondDarl,20,SondDatum,"&gt;="&amp;$E9269,SondDatum,"&lt;="&amp;EOMONTH($E9269,0)),$J9269-$M9269))</f>
      </c>
      <c r="O9269" s="43">
        <f>IF($I9269=0,0,INDEX(DarlErsatzRate,20))</f>
      </c>
      <c r="P9269" s="43">
        <f>IF($I9269=0,0,$Q9268*INDEX(DarlErsatzZins,20))</f>
      </c>
      <c r="Q9269" s="43">
        <f>IF($I9269=0,0,$Q9268+$P9269+$O9269)</f>
      </c>
      <c r="R9269" s="43">
        <f>IF($I9269=0,0,$J9269-$M9269-$N9269)</f>
      </c>
    </row>
    <row r="9270">
      <c r="A9270"/>
      <c r="B9270">
        <v>20</v>
      </c>
      <c r="C9270" s="43">
        <f>INDEX(DarlObj,20)</f>
      </c>
      <c r="D9270">
        <v>147</v>
      </c>
      <c r="E9270" s="51">
        <f>IF(INDEX(DarlBelegt,20)=0,0,EOMONTH(INDEX(DarlAuszahlung,20),146)+1)</f>
      </c>
      <c r="F9270" s="43">
        <f>IF($E9270=0,0,YEAR($E9270))</f>
      </c>
      <c r="G9270" s="43">
        <f>IF(INDEX(DarlBindung,20)="",1,IF($E9270&lt;=INDEX(DarlBindung,20),1,0))</f>
      </c>
      <c r="H9270" s="43">
        <f>IF($G9270=1,INDEX(DarlSollzins,20),INDEX(DarlAnschluss,20))</f>
      </c>
      <c r="I9270" s="43">
        <f>IF(INDEX(DarlBelegt,20)=0,0,IF(INDEX(DarlOhneTilgung,20)=1,IF(INDEX(DarlBindung,20)="",1,$G9270),IF($J9270&gt;0.005,1,0)))</f>
      </c>
      <c r="J9270" s="43">
        <f>IF($I9269=0,0,$R9269)</f>
      </c>
      <c r="K9270" s="43">
        <f>IF($I9270=0,0,IF(INDEX(DarlOhneTilgung,20)=1,0,IF(AND(INDEX(DarlTilgStart,20)&gt;0,$E9270=INDEX(DarlTilgStart,20)),$J9270*($H9270+INDEX(DarlTilgung,20))/100/12,IF(AND($G9270=0,$G9269=1),MAX($K9269,$J9270*($H9270+1)/100/12),$K9269))))</f>
      </c>
      <c r="L9270" s="43">
        <f>IF($I9270=0,0,$J9270*$H9270/100/12)</f>
      </c>
      <c r="M9270" s="43">
        <f>IF($I9270=0,0,IF(OR(INDEX(DarlOhneTilgung,20)=1,AND(INDEX(DarlTilgStart,20)&gt;0,$E9270&lt;INDEX(DarlTilgStart,20))),0,MIN(MAX(0,$K9270-$L9270),$J9270)))</f>
      </c>
      <c r="N9270" s="43">
        <f>IF($I9270=0,0,MIN(SUMIFS(SondBetrag,SondDarl,20,SondDatum,"&gt;="&amp;$E9270,SondDatum,"&lt;="&amp;EOMONTH($E9270,0)),$J9270-$M9270))</f>
      </c>
      <c r="O9270" s="43">
        <f>IF($I9270=0,0,INDEX(DarlErsatzRate,20))</f>
      </c>
      <c r="P9270" s="43">
        <f>IF($I9270=0,0,$Q9269*INDEX(DarlErsatzZins,20))</f>
      </c>
      <c r="Q9270" s="43">
        <f>IF($I9270=0,0,$Q9269+$P9270+$O9270)</f>
      </c>
      <c r="R9270" s="43">
        <f>IF($I9270=0,0,$J9270-$M9270-$N9270)</f>
      </c>
    </row>
    <row r="9271">
      <c r="A9271"/>
      <c r="B9271">
        <v>20</v>
      </c>
      <c r="C9271" s="43">
        <f>INDEX(DarlObj,20)</f>
      </c>
      <c r="D9271">
        <v>148</v>
      </c>
      <c r="E9271" s="51">
        <f>IF(INDEX(DarlBelegt,20)=0,0,EOMONTH(INDEX(DarlAuszahlung,20),147)+1)</f>
      </c>
      <c r="F9271" s="43">
        <f>IF($E9271=0,0,YEAR($E9271))</f>
      </c>
      <c r="G9271" s="43">
        <f>IF(INDEX(DarlBindung,20)="",1,IF($E9271&lt;=INDEX(DarlBindung,20),1,0))</f>
      </c>
      <c r="H9271" s="43">
        <f>IF($G9271=1,INDEX(DarlSollzins,20),INDEX(DarlAnschluss,20))</f>
      </c>
      <c r="I9271" s="43">
        <f>IF(INDEX(DarlBelegt,20)=0,0,IF(INDEX(DarlOhneTilgung,20)=1,IF(INDEX(DarlBindung,20)="",1,$G9271),IF($J9271&gt;0.005,1,0)))</f>
      </c>
      <c r="J9271" s="43">
        <f>IF($I9270=0,0,$R9270)</f>
      </c>
      <c r="K9271" s="43">
        <f>IF($I9271=0,0,IF(INDEX(DarlOhneTilgung,20)=1,0,IF(AND(INDEX(DarlTilgStart,20)&gt;0,$E9271=INDEX(DarlTilgStart,20)),$J9271*($H9271+INDEX(DarlTilgung,20))/100/12,IF(AND($G9271=0,$G9270=1),MAX($K9270,$J9271*($H9271+1)/100/12),$K9270))))</f>
      </c>
      <c r="L9271" s="43">
        <f>IF($I9271=0,0,$J9271*$H9271/100/12)</f>
      </c>
      <c r="M9271" s="43">
        <f>IF($I9271=0,0,IF(OR(INDEX(DarlOhneTilgung,20)=1,AND(INDEX(DarlTilgStart,20)&gt;0,$E9271&lt;INDEX(DarlTilgStart,20))),0,MIN(MAX(0,$K9271-$L9271),$J9271)))</f>
      </c>
      <c r="N9271" s="43">
        <f>IF($I9271=0,0,MIN(SUMIFS(SondBetrag,SondDarl,20,SondDatum,"&gt;="&amp;$E9271,SondDatum,"&lt;="&amp;EOMONTH($E9271,0)),$J9271-$M9271))</f>
      </c>
      <c r="O9271" s="43">
        <f>IF($I9271=0,0,INDEX(DarlErsatzRate,20))</f>
      </c>
      <c r="P9271" s="43">
        <f>IF($I9271=0,0,$Q9270*INDEX(DarlErsatzZins,20))</f>
      </c>
      <c r="Q9271" s="43">
        <f>IF($I9271=0,0,$Q9270+$P9271+$O9271)</f>
      </c>
      <c r="R9271" s="43">
        <f>IF($I9271=0,0,$J9271-$M9271-$N9271)</f>
      </c>
    </row>
    <row r="9272">
      <c r="A9272"/>
      <c r="B9272">
        <v>20</v>
      </c>
      <c r="C9272" s="43">
        <f>INDEX(DarlObj,20)</f>
      </c>
      <c r="D9272">
        <v>149</v>
      </c>
      <c r="E9272" s="51">
        <f>IF(INDEX(DarlBelegt,20)=0,0,EOMONTH(INDEX(DarlAuszahlung,20),148)+1)</f>
      </c>
      <c r="F9272" s="43">
        <f>IF($E9272=0,0,YEAR($E9272))</f>
      </c>
      <c r="G9272" s="43">
        <f>IF(INDEX(DarlBindung,20)="",1,IF($E9272&lt;=INDEX(DarlBindung,20),1,0))</f>
      </c>
      <c r="H9272" s="43">
        <f>IF($G9272=1,INDEX(DarlSollzins,20),INDEX(DarlAnschluss,20))</f>
      </c>
      <c r="I9272" s="43">
        <f>IF(INDEX(DarlBelegt,20)=0,0,IF(INDEX(DarlOhneTilgung,20)=1,IF(INDEX(DarlBindung,20)="",1,$G9272),IF($J9272&gt;0.005,1,0)))</f>
      </c>
      <c r="J9272" s="43">
        <f>IF($I9271=0,0,$R9271)</f>
      </c>
      <c r="K9272" s="43">
        <f>IF($I9272=0,0,IF(INDEX(DarlOhneTilgung,20)=1,0,IF(AND(INDEX(DarlTilgStart,20)&gt;0,$E9272=INDEX(DarlTilgStart,20)),$J9272*($H9272+INDEX(DarlTilgung,20))/100/12,IF(AND($G9272=0,$G9271=1),MAX($K9271,$J9272*($H9272+1)/100/12),$K9271))))</f>
      </c>
      <c r="L9272" s="43">
        <f>IF($I9272=0,0,$J9272*$H9272/100/12)</f>
      </c>
      <c r="M9272" s="43">
        <f>IF($I9272=0,0,IF(OR(INDEX(DarlOhneTilgung,20)=1,AND(INDEX(DarlTilgStart,20)&gt;0,$E9272&lt;INDEX(DarlTilgStart,20))),0,MIN(MAX(0,$K9272-$L9272),$J9272)))</f>
      </c>
      <c r="N9272" s="43">
        <f>IF($I9272=0,0,MIN(SUMIFS(SondBetrag,SondDarl,20,SondDatum,"&gt;="&amp;$E9272,SondDatum,"&lt;="&amp;EOMONTH($E9272,0)),$J9272-$M9272))</f>
      </c>
      <c r="O9272" s="43">
        <f>IF($I9272=0,0,INDEX(DarlErsatzRate,20))</f>
      </c>
      <c r="P9272" s="43">
        <f>IF($I9272=0,0,$Q9271*INDEX(DarlErsatzZins,20))</f>
      </c>
      <c r="Q9272" s="43">
        <f>IF($I9272=0,0,$Q9271+$P9272+$O9272)</f>
      </c>
      <c r="R9272" s="43">
        <f>IF($I9272=0,0,$J9272-$M9272-$N9272)</f>
      </c>
    </row>
    <row r="9273">
      <c r="A9273"/>
      <c r="B9273">
        <v>20</v>
      </c>
      <c r="C9273" s="43">
        <f>INDEX(DarlObj,20)</f>
      </c>
      <c r="D9273">
        <v>150</v>
      </c>
      <c r="E9273" s="51">
        <f>IF(INDEX(DarlBelegt,20)=0,0,EOMONTH(INDEX(DarlAuszahlung,20),149)+1)</f>
      </c>
      <c r="F9273" s="43">
        <f>IF($E9273=0,0,YEAR($E9273))</f>
      </c>
      <c r="G9273" s="43">
        <f>IF(INDEX(DarlBindung,20)="",1,IF($E9273&lt;=INDEX(DarlBindung,20),1,0))</f>
      </c>
      <c r="H9273" s="43">
        <f>IF($G9273=1,INDEX(DarlSollzins,20),INDEX(DarlAnschluss,20))</f>
      </c>
      <c r="I9273" s="43">
        <f>IF(INDEX(DarlBelegt,20)=0,0,IF(INDEX(DarlOhneTilgung,20)=1,IF(INDEX(DarlBindung,20)="",1,$G9273),IF($J9273&gt;0.005,1,0)))</f>
      </c>
      <c r="J9273" s="43">
        <f>IF($I9272=0,0,$R9272)</f>
      </c>
      <c r="K9273" s="43">
        <f>IF($I9273=0,0,IF(INDEX(DarlOhneTilgung,20)=1,0,IF(AND(INDEX(DarlTilgStart,20)&gt;0,$E9273=INDEX(DarlTilgStart,20)),$J9273*($H9273+INDEX(DarlTilgung,20))/100/12,IF(AND($G9273=0,$G9272=1),MAX($K9272,$J9273*($H9273+1)/100/12),$K9272))))</f>
      </c>
      <c r="L9273" s="43">
        <f>IF($I9273=0,0,$J9273*$H9273/100/12)</f>
      </c>
      <c r="M9273" s="43">
        <f>IF($I9273=0,0,IF(OR(INDEX(DarlOhneTilgung,20)=1,AND(INDEX(DarlTilgStart,20)&gt;0,$E9273&lt;INDEX(DarlTilgStart,20))),0,MIN(MAX(0,$K9273-$L9273),$J9273)))</f>
      </c>
      <c r="N9273" s="43">
        <f>IF($I9273=0,0,MIN(SUMIFS(SondBetrag,SondDarl,20,SondDatum,"&gt;="&amp;$E9273,SondDatum,"&lt;="&amp;EOMONTH($E9273,0)),$J9273-$M9273))</f>
      </c>
      <c r="O9273" s="43">
        <f>IF($I9273=0,0,INDEX(DarlErsatzRate,20))</f>
      </c>
      <c r="P9273" s="43">
        <f>IF($I9273=0,0,$Q9272*INDEX(DarlErsatzZins,20))</f>
      </c>
      <c r="Q9273" s="43">
        <f>IF($I9273=0,0,$Q9272+$P9273+$O9273)</f>
      </c>
      <c r="R9273" s="43">
        <f>IF($I9273=0,0,$J9273-$M9273-$N9273)</f>
      </c>
    </row>
    <row r="9274">
      <c r="A9274"/>
      <c r="B9274">
        <v>20</v>
      </c>
      <c r="C9274" s="43">
        <f>INDEX(DarlObj,20)</f>
      </c>
      <c r="D9274">
        <v>151</v>
      </c>
      <c r="E9274" s="51">
        <f>IF(INDEX(DarlBelegt,20)=0,0,EOMONTH(INDEX(DarlAuszahlung,20),150)+1)</f>
      </c>
      <c r="F9274" s="43">
        <f>IF($E9274=0,0,YEAR($E9274))</f>
      </c>
      <c r="G9274" s="43">
        <f>IF(INDEX(DarlBindung,20)="",1,IF($E9274&lt;=INDEX(DarlBindung,20),1,0))</f>
      </c>
      <c r="H9274" s="43">
        <f>IF($G9274=1,INDEX(DarlSollzins,20),INDEX(DarlAnschluss,20))</f>
      </c>
      <c r="I9274" s="43">
        <f>IF(INDEX(DarlBelegt,20)=0,0,IF(INDEX(DarlOhneTilgung,20)=1,IF(INDEX(DarlBindung,20)="",1,$G9274),IF($J9274&gt;0.005,1,0)))</f>
      </c>
      <c r="J9274" s="43">
        <f>IF($I9273=0,0,$R9273)</f>
      </c>
      <c r="K9274" s="43">
        <f>IF($I9274=0,0,IF(INDEX(DarlOhneTilgung,20)=1,0,IF(AND(INDEX(DarlTilgStart,20)&gt;0,$E9274=INDEX(DarlTilgStart,20)),$J9274*($H9274+INDEX(DarlTilgung,20))/100/12,IF(AND($G9274=0,$G9273=1),MAX($K9273,$J9274*($H9274+1)/100/12),$K9273))))</f>
      </c>
      <c r="L9274" s="43">
        <f>IF($I9274=0,0,$J9274*$H9274/100/12)</f>
      </c>
      <c r="M9274" s="43">
        <f>IF($I9274=0,0,IF(OR(INDEX(DarlOhneTilgung,20)=1,AND(INDEX(DarlTilgStart,20)&gt;0,$E9274&lt;INDEX(DarlTilgStart,20))),0,MIN(MAX(0,$K9274-$L9274),$J9274)))</f>
      </c>
      <c r="N9274" s="43">
        <f>IF($I9274=0,0,MIN(SUMIFS(SondBetrag,SondDarl,20,SondDatum,"&gt;="&amp;$E9274,SondDatum,"&lt;="&amp;EOMONTH($E9274,0)),$J9274-$M9274))</f>
      </c>
      <c r="O9274" s="43">
        <f>IF($I9274=0,0,INDEX(DarlErsatzRate,20))</f>
      </c>
      <c r="P9274" s="43">
        <f>IF($I9274=0,0,$Q9273*INDEX(DarlErsatzZins,20))</f>
      </c>
      <c r="Q9274" s="43">
        <f>IF($I9274=0,0,$Q9273+$P9274+$O9274)</f>
      </c>
      <c r="R9274" s="43">
        <f>IF($I9274=0,0,$J9274-$M9274-$N9274)</f>
      </c>
    </row>
    <row r="9275">
      <c r="A9275"/>
      <c r="B9275">
        <v>20</v>
      </c>
      <c r="C9275" s="43">
        <f>INDEX(DarlObj,20)</f>
      </c>
      <c r="D9275">
        <v>152</v>
      </c>
      <c r="E9275" s="51">
        <f>IF(INDEX(DarlBelegt,20)=0,0,EOMONTH(INDEX(DarlAuszahlung,20),151)+1)</f>
      </c>
      <c r="F9275" s="43">
        <f>IF($E9275=0,0,YEAR($E9275))</f>
      </c>
      <c r="G9275" s="43">
        <f>IF(INDEX(DarlBindung,20)="",1,IF($E9275&lt;=INDEX(DarlBindung,20),1,0))</f>
      </c>
      <c r="H9275" s="43">
        <f>IF($G9275=1,INDEX(DarlSollzins,20),INDEX(DarlAnschluss,20))</f>
      </c>
      <c r="I9275" s="43">
        <f>IF(INDEX(DarlBelegt,20)=0,0,IF(INDEX(DarlOhneTilgung,20)=1,IF(INDEX(DarlBindung,20)="",1,$G9275),IF($J9275&gt;0.005,1,0)))</f>
      </c>
      <c r="J9275" s="43">
        <f>IF($I9274=0,0,$R9274)</f>
      </c>
      <c r="K9275" s="43">
        <f>IF($I9275=0,0,IF(INDEX(DarlOhneTilgung,20)=1,0,IF(AND(INDEX(DarlTilgStart,20)&gt;0,$E9275=INDEX(DarlTilgStart,20)),$J9275*($H9275+INDEX(DarlTilgung,20))/100/12,IF(AND($G9275=0,$G9274=1),MAX($K9274,$J9275*($H9275+1)/100/12),$K9274))))</f>
      </c>
      <c r="L9275" s="43">
        <f>IF($I9275=0,0,$J9275*$H9275/100/12)</f>
      </c>
      <c r="M9275" s="43">
        <f>IF($I9275=0,0,IF(OR(INDEX(DarlOhneTilgung,20)=1,AND(INDEX(DarlTilgStart,20)&gt;0,$E9275&lt;INDEX(DarlTilgStart,20))),0,MIN(MAX(0,$K9275-$L9275),$J9275)))</f>
      </c>
      <c r="N9275" s="43">
        <f>IF($I9275=0,0,MIN(SUMIFS(SondBetrag,SondDarl,20,SondDatum,"&gt;="&amp;$E9275,SondDatum,"&lt;="&amp;EOMONTH($E9275,0)),$J9275-$M9275))</f>
      </c>
      <c r="O9275" s="43">
        <f>IF($I9275=0,0,INDEX(DarlErsatzRate,20))</f>
      </c>
      <c r="P9275" s="43">
        <f>IF($I9275=0,0,$Q9274*INDEX(DarlErsatzZins,20))</f>
      </c>
      <c r="Q9275" s="43">
        <f>IF($I9275=0,0,$Q9274+$P9275+$O9275)</f>
      </c>
      <c r="R9275" s="43">
        <f>IF($I9275=0,0,$J9275-$M9275-$N9275)</f>
      </c>
    </row>
    <row r="9276">
      <c r="A9276"/>
      <c r="B9276">
        <v>20</v>
      </c>
      <c r="C9276" s="43">
        <f>INDEX(DarlObj,20)</f>
      </c>
      <c r="D9276">
        <v>153</v>
      </c>
      <c r="E9276" s="51">
        <f>IF(INDEX(DarlBelegt,20)=0,0,EOMONTH(INDEX(DarlAuszahlung,20),152)+1)</f>
      </c>
      <c r="F9276" s="43">
        <f>IF($E9276=0,0,YEAR($E9276))</f>
      </c>
      <c r="G9276" s="43">
        <f>IF(INDEX(DarlBindung,20)="",1,IF($E9276&lt;=INDEX(DarlBindung,20),1,0))</f>
      </c>
      <c r="H9276" s="43">
        <f>IF($G9276=1,INDEX(DarlSollzins,20),INDEX(DarlAnschluss,20))</f>
      </c>
      <c r="I9276" s="43">
        <f>IF(INDEX(DarlBelegt,20)=0,0,IF(INDEX(DarlOhneTilgung,20)=1,IF(INDEX(DarlBindung,20)="",1,$G9276),IF($J9276&gt;0.005,1,0)))</f>
      </c>
      <c r="J9276" s="43">
        <f>IF($I9275=0,0,$R9275)</f>
      </c>
      <c r="K9276" s="43">
        <f>IF($I9276=0,0,IF(INDEX(DarlOhneTilgung,20)=1,0,IF(AND(INDEX(DarlTilgStart,20)&gt;0,$E9276=INDEX(DarlTilgStart,20)),$J9276*($H9276+INDEX(DarlTilgung,20))/100/12,IF(AND($G9276=0,$G9275=1),MAX($K9275,$J9276*($H9276+1)/100/12),$K9275))))</f>
      </c>
      <c r="L9276" s="43">
        <f>IF($I9276=0,0,$J9276*$H9276/100/12)</f>
      </c>
      <c r="M9276" s="43">
        <f>IF($I9276=0,0,IF(OR(INDEX(DarlOhneTilgung,20)=1,AND(INDEX(DarlTilgStart,20)&gt;0,$E9276&lt;INDEX(DarlTilgStart,20))),0,MIN(MAX(0,$K9276-$L9276),$J9276)))</f>
      </c>
      <c r="N9276" s="43">
        <f>IF($I9276=0,0,MIN(SUMIFS(SondBetrag,SondDarl,20,SondDatum,"&gt;="&amp;$E9276,SondDatum,"&lt;="&amp;EOMONTH($E9276,0)),$J9276-$M9276))</f>
      </c>
      <c r="O9276" s="43">
        <f>IF($I9276=0,0,INDEX(DarlErsatzRate,20))</f>
      </c>
      <c r="P9276" s="43">
        <f>IF($I9276=0,0,$Q9275*INDEX(DarlErsatzZins,20))</f>
      </c>
      <c r="Q9276" s="43">
        <f>IF($I9276=0,0,$Q9275+$P9276+$O9276)</f>
      </c>
      <c r="R9276" s="43">
        <f>IF($I9276=0,0,$J9276-$M9276-$N9276)</f>
      </c>
    </row>
    <row r="9277">
      <c r="A9277"/>
      <c r="B9277">
        <v>20</v>
      </c>
      <c r="C9277" s="43">
        <f>INDEX(DarlObj,20)</f>
      </c>
      <c r="D9277">
        <v>154</v>
      </c>
      <c r="E9277" s="51">
        <f>IF(INDEX(DarlBelegt,20)=0,0,EOMONTH(INDEX(DarlAuszahlung,20),153)+1)</f>
      </c>
      <c r="F9277" s="43">
        <f>IF($E9277=0,0,YEAR($E9277))</f>
      </c>
      <c r="G9277" s="43">
        <f>IF(INDEX(DarlBindung,20)="",1,IF($E9277&lt;=INDEX(DarlBindung,20),1,0))</f>
      </c>
      <c r="H9277" s="43">
        <f>IF($G9277=1,INDEX(DarlSollzins,20),INDEX(DarlAnschluss,20))</f>
      </c>
      <c r="I9277" s="43">
        <f>IF(INDEX(DarlBelegt,20)=0,0,IF(INDEX(DarlOhneTilgung,20)=1,IF(INDEX(DarlBindung,20)="",1,$G9277),IF($J9277&gt;0.005,1,0)))</f>
      </c>
      <c r="J9277" s="43">
        <f>IF($I9276=0,0,$R9276)</f>
      </c>
      <c r="K9277" s="43">
        <f>IF($I9277=0,0,IF(INDEX(DarlOhneTilgung,20)=1,0,IF(AND(INDEX(DarlTilgStart,20)&gt;0,$E9277=INDEX(DarlTilgStart,20)),$J9277*($H9277+INDEX(DarlTilgung,20))/100/12,IF(AND($G9277=0,$G9276=1),MAX($K9276,$J9277*($H9277+1)/100/12),$K9276))))</f>
      </c>
      <c r="L9277" s="43">
        <f>IF($I9277=0,0,$J9277*$H9277/100/12)</f>
      </c>
      <c r="M9277" s="43">
        <f>IF($I9277=0,0,IF(OR(INDEX(DarlOhneTilgung,20)=1,AND(INDEX(DarlTilgStart,20)&gt;0,$E9277&lt;INDEX(DarlTilgStart,20))),0,MIN(MAX(0,$K9277-$L9277),$J9277)))</f>
      </c>
      <c r="N9277" s="43">
        <f>IF($I9277=0,0,MIN(SUMIFS(SondBetrag,SondDarl,20,SondDatum,"&gt;="&amp;$E9277,SondDatum,"&lt;="&amp;EOMONTH($E9277,0)),$J9277-$M9277))</f>
      </c>
      <c r="O9277" s="43">
        <f>IF($I9277=0,0,INDEX(DarlErsatzRate,20))</f>
      </c>
      <c r="P9277" s="43">
        <f>IF($I9277=0,0,$Q9276*INDEX(DarlErsatzZins,20))</f>
      </c>
      <c r="Q9277" s="43">
        <f>IF($I9277=0,0,$Q9276+$P9277+$O9277)</f>
      </c>
      <c r="R9277" s="43">
        <f>IF($I9277=0,0,$J9277-$M9277-$N9277)</f>
      </c>
    </row>
    <row r="9278">
      <c r="A9278"/>
      <c r="B9278">
        <v>20</v>
      </c>
      <c r="C9278" s="43">
        <f>INDEX(DarlObj,20)</f>
      </c>
      <c r="D9278">
        <v>155</v>
      </c>
      <c r="E9278" s="51">
        <f>IF(INDEX(DarlBelegt,20)=0,0,EOMONTH(INDEX(DarlAuszahlung,20),154)+1)</f>
      </c>
      <c r="F9278" s="43">
        <f>IF($E9278=0,0,YEAR($E9278))</f>
      </c>
      <c r="G9278" s="43">
        <f>IF(INDEX(DarlBindung,20)="",1,IF($E9278&lt;=INDEX(DarlBindung,20),1,0))</f>
      </c>
      <c r="H9278" s="43">
        <f>IF($G9278=1,INDEX(DarlSollzins,20),INDEX(DarlAnschluss,20))</f>
      </c>
      <c r="I9278" s="43">
        <f>IF(INDEX(DarlBelegt,20)=0,0,IF(INDEX(DarlOhneTilgung,20)=1,IF(INDEX(DarlBindung,20)="",1,$G9278),IF($J9278&gt;0.005,1,0)))</f>
      </c>
      <c r="J9278" s="43">
        <f>IF($I9277=0,0,$R9277)</f>
      </c>
      <c r="K9278" s="43">
        <f>IF($I9278=0,0,IF(INDEX(DarlOhneTilgung,20)=1,0,IF(AND(INDEX(DarlTilgStart,20)&gt;0,$E9278=INDEX(DarlTilgStart,20)),$J9278*($H9278+INDEX(DarlTilgung,20))/100/12,IF(AND($G9278=0,$G9277=1),MAX($K9277,$J9278*($H9278+1)/100/12),$K9277))))</f>
      </c>
      <c r="L9278" s="43">
        <f>IF($I9278=0,0,$J9278*$H9278/100/12)</f>
      </c>
      <c r="M9278" s="43">
        <f>IF($I9278=0,0,IF(OR(INDEX(DarlOhneTilgung,20)=1,AND(INDEX(DarlTilgStart,20)&gt;0,$E9278&lt;INDEX(DarlTilgStart,20))),0,MIN(MAX(0,$K9278-$L9278),$J9278)))</f>
      </c>
      <c r="N9278" s="43">
        <f>IF($I9278=0,0,MIN(SUMIFS(SondBetrag,SondDarl,20,SondDatum,"&gt;="&amp;$E9278,SondDatum,"&lt;="&amp;EOMONTH($E9278,0)),$J9278-$M9278))</f>
      </c>
      <c r="O9278" s="43">
        <f>IF($I9278=0,0,INDEX(DarlErsatzRate,20))</f>
      </c>
      <c r="P9278" s="43">
        <f>IF($I9278=0,0,$Q9277*INDEX(DarlErsatzZins,20))</f>
      </c>
      <c r="Q9278" s="43">
        <f>IF($I9278=0,0,$Q9277+$P9278+$O9278)</f>
      </c>
      <c r="R9278" s="43">
        <f>IF($I9278=0,0,$J9278-$M9278-$N9278)</f>
      </c>
    </row>
    <row r="9279">
      <c r="A9279"/>
      <c r="B9279">
        <v>20</v>
      </c>
      <c r="C9279" s="43">
        <f>INDEX(DarlObj,20)</f>
      </c>
      <c r="D9279">
        <v>156</v>
      </c>
      <c r="E9279" s="51">
        <f>IF(INDEX(DarlBelegt,20)=0,0,EOMONTH(INDEX(DarlAuszahlung,20),155)+1)</f>
      </c>
      <c r="F9279" s="43">
        <f>IF($E9279=0,0,YEAR($E9279))</f>
      </c>
      <c r="G9279" s="43">
        <f>IF(INDEX(DarlBindung,20)="",1,IF($E9279&lt;=INDEX(DarlBindung,20),1,0))</f>
      </c>
      <c r="H9279" s="43">
        <f>IF($G9279=1,INDEX(DarlSollzins,20),INDEX(DarlAnschluss,20))</f>
      </c>
      <c r="I9279" s="43">
        <f>IF(INDEX(DarlBelegt,20)=0,0,IF(INDEX(DarlOhneTilgung,20)=1,IF(INDEX(DarlBindung,20)="",1,$G9279),IF($J9279&gt;0.005,1,0)))</f>
      </c>
      <c r="J9279" s="43">
        <f>IF($I9278=0,0,$R9278)</f>
      </c>
      <c r="K9279" s="43">
        <f>IF($I9279=0,0,IF(INDEX(DarlOhneTilgung,20)=1,0,IF(AND(INDEX(DarlTilgStart,20)&gt;0,$E9279=INDEX(DarlTilgStart,20)),$J9279*($H9279+INDEX(DarlTilgung,20))/100/12,IF(AND($G9279=0,$G9278=1),MAX($K9278,$J9279*($H9279+1)/100/12),$K9278))))</f>
      </c>
      <c r="L9279" s="43">
        <f>IF($I9279=0,0,$J9279*$H9279/100/12)</f>
      </c>
      <c r="M9279" s="43">
        <f>IF($I9279=0,0,IF(OR(INDEX(DarlOhneTilgung,20)=1,AND(INDEX(DarlTilgStart,20)&gt;0,$E9279&lt;INDEX(DarlTilgStart,20))),0,MIN(MAX(0,$K9279-$L9279),$J9279)))</f>
      </c>
      <c r="N9279" s="43">
        <f>IF($I9279=0,0,MIN(SUMIFS(SondBetrag,SondDarl,20,SondDatum,"&gt;="&amp;$E9279,SondDatum,"&lt;="&amp;EOMONTH($E9279,0)),$J9279-$M9279))</f>
      </c>
      <c r="O9279" s="43">
        <f>IF($I9279=0,0,INDEX(DarlErsatzRate,20))</f>
      </c>
      <c r="P9279" s="43">
        <f>IF($I9279=0,0,$Q9278*INDEX(DarlErsatzZins,20))</f>
      </c>
      <c r="Q9279" s="43">
        <f>IF($I9279=0,0,$Q9278+$P9279+$O9279)</f>
      </c>
      <c r="R9279" s="43">
        <f>IF($I9279=0,0,$J9279-$M9279-$N9279)</f>
      </c>
    </row>
    <row r="9280">
      <c r="A9280"/>
      <c r="B9280">
        <v>20</v>
      </c>
      <c r="C9280" s="43">
        <f>INDEX(DarlObj,20)</f>
      </c>
      <c r="D9280">
        <v>157</v>
      </c>
      <c r="E9280" s="51">
        <f>IF(INDEX(DarlBelegt,20)=0,0,EOMONTH(INDEX(DarlAuszahlung,20),156)+1)</f>
      </c>
      <c r="F9280" s="43">
        <f>IF($E9280=0,0,YEAR($E9280))</f>
      </c>
      <c r="G9280" s="43">
        <f>IF(INDEX(DarlBindung,20)="",1,IF($E9280&lt;=INDEX(DarlBindung,20),1,0))</f>
      </c>
      <c r="H9280" s="43">
        <f>IF($G9280=1,INDEX(DarlSollzins,20),INDEX(DarlAnschluss,20))</f>
      </c>
      <c r="I9280" s="43">
        <f>IF(INDEX(DarlBelegt,20)=0,0,IF(INDEX(DarlOhneTilgung,20)=1,IF(INDEX(DarlBindung,20)="",1,$G9280),IF($J9280&gt;0.005,1,0)))</f>
      </c>
      <c r="J9280" s="43">
        <f>IF($I9279=0,0,$R9279)</f>
      </c>
      <c r="K9280" s="43">
        <f>IF($I9280=0,0,IF(INDEX(DarlOhneTilgung,20)=1,0,IF(AND(INDEX(DarlTilgStart,20)&gt;0,$E9280=INDEX(DarlTilgStart,20)),$J9280*($H9280+INDEX(DarlTilgung,20))/100/12,IF(AND($G9280=0,$G9279=1),MAX($K9279,$J9280*($H9280+1)/100/12),$K9279))))</f>
      </c>
      <c r="L9280" s="43">
        <f>IF($I9280=0,0,$J9280*$H9280/100/12)</f>
      </c>
      <c r="M9280" s="43">
        <f>IF($I9280=0,0,IF(OR(INDEX(DarlOhneTilgung,20)=1,AND(INDEX(DarlTilgStart,20)&gt;0,$E9280&lt;INDEX(DarlTilgStart,20))),0,MIN(MAX(0,$K9280-$L9280),$J9280)))</f>
      </c>
      <c r="N9280" s="43">
        <f>IF($I9280=0,0,MIN(SUMIFS(SondBetrag,SondDarl,20,SondDatum,"&gt;="&amp;$E9280,SondDatum,"&lt;="&amp;EOMONTH($E9280,0)),$J9280-$M9280))</f>
      </c>
      <c r="O9280" s="43">
        <f>IF($I9280=0,0,INDEX(DarlErsatzRate,20))</f>
      </c>
      <c r="P9280" s="43">
        <f>IF($I9280=0,0,$Q9279*INDEX(DarlErsatzZins,20))</f>
      </c>
      <c r="Q9280" s="43">
        <f>IF($I9280=0,0,$Q9279+$P9280+$O9280)</f>
      </c>
      <c r="R9280" s="43">
        <f>IF($I9280=0,0,$J9280-$M9280-$N9280)</f>
      </c>
    </row>
    <row r="9281">
      <c r="A9281"/>
      <c r="B9281">
        <v>20</v>
      </c>
      <c r="C9281" s="43">
        <f>INDEX(DarlObj,20)</f>
      </c>
      <c r="D9281">
        <v>158</v>
      </c>
      <c r="E9281" s="51">
        <f>IF(INDEX(DarlBelegt,20)=0,0,EOMONTH(INDEX(DarlAuszahlung,20),157)+1)</f>
      </c>
      <c r="F9281" s="43">
        <f>IF($E9281=0,0,YEAR($E9281))</f>
      </c>
      <c r="G9281" s="43">
        <f>IF(INDEX(DarlBindung,20)="",1,IF($E9281&lt;=INDEX(DarlBindung,20),1,0))</f>
      </c>
      <c r="H9281" s="43">
        <f>IF($G9281=1,INDEX(DarlSollzins,20),INDEX(DarlAnschluss,20))</f>
      </c>
      <c r="I9281" s="43">
        <f>IF(INDEX(DarlBelegt,20)=0,0,IF(INDEX(DarlOhneTilgung,20)=1,IF(INDEX(DarlBindung,20)="",1,$G9281),IF($J9281&gt;0.005,1,0)))</f>
      </c>
      <c r="J9281" s="43">
        <f>IF($I9280=0,0,$R9280)</f>
      </c>
      <c r="K9281" s="43">
        <f>IF($I9281=0,0,IF(INDEX(DarlOhneTilgung,20)=1,0,IF(AND(INDEX(DarlTilgStart,20)&gt;0,$E9281=INDEX(DarlTilgStart,20)),$J9281*($H9281+INDEX(DarlTilgung,20))/100/12,IF(AND($G9281=0,$G9280=1),MAX($K9280,$J9281*($H9281+1)/100/12),$K9280))))</f>
      </c>
      <c r="L9281" s="43">
        <f>IF($I9281=0,0,$J9281*$H9281/100/12)</f>
      </c>
      <c r="M9281" s="43">
        <f>IF($I9281=0,0,IF(OR(INDEX(DarlOhneTilgung,20)=1,AND(INDEX(DarlTilgStart,20)&gt;0,$E9281&lt;INDEX(DarlTilgStart,20))),0,MIN(MAX(0,$K9281-$L9281),$J9281)))</f>
      </c>
      <c r="N9281" s="43">
        <f>IF($I9281=0,0,MIN(SUMIFS(SondBetrag,SondDarl,20,SondDatum,"&gt;="&amp;$E9281,SondDatum,"&lt;="&amp;EOMONTH($E9281,0)),$J9281-$M9281))</f>
      </c>
      <c r="O9281" s="43">
        <f>IF($I9281=0,0,INDEX(DarlErsatzRate,20))</f>
      </c>
      <c r="P9281" s="43">
        <f>IF($I9281=0,0,$Q9280*INDEX(DarlErsatzZins,20))</f>
      </c>
      <c r="Q9281" s="43">
        <f>IF($I9281=0,0,$Q9280+$P9281+$O9281)</f>
      </c>
      <c r="R9281" s="43">
        <f>IF($I9281=0,0,$J9281-$M9281-$N9281)</f>
      </c>
    </row>
    <row r="9282">
      <c r="A9282"/>
      <c r="B9282">
        <v>20</v>
      </c>
      <c r="C9282" s="43">
        <f>INDEX(DarlObj,20)</f>
      </c>
      <c r="D9282">
        <v>159</v>
      </c>
      <c r="E9282" s="51">
        <f>IF(INDEX(DarlBelegt,20)=0,0,EOMONTH(INDEX(DarlAuszahlung,20),158)+1)</f>
      </c>
      <c r="F9282" s="43">
        <f>IF($E9282=0,0,YEAR($E9282))</f>
      </c>
      <c r="G9282" s="43">
        <f>IF(INDEX(DarlBindung,20)="",1,IF($E9282&lt;=INDEX(DarlBindung,20),1,0))</f>
      </c>
      <c r="H9282" s="43">
        <f>IF($G9282=1,INDEX(DarlSollzins,20),INDEX(DarlAnschluss,20))</f>
      </c>
      <c r="I9282" s="43">
        <f>IF(INDEX(DarlBelegt,20)=0,0,IF(INDEX(DarlOhneTilgung,20)=1,IF(INDEX(DarlBindung,20)="",1,$G9282),IF($J9282&gt;0.005,1,0)))</f>
      </c>
      <c r="J9282" s="43">
        <f>IF($I9281=0,0,$R9281)</f>
      </c>
      <c r="K9282" s="43">
        <f>IF($I9282=0,0,IF(INDEX(DarlOhneTilgung,20)=1,0,IF(AND(INDEX(DarlTilgStart,20)&gt;0,$E9282=INDEX(DarlTilgStart,20)),$J9282*($H9282+INDEX(DarlTilgung,20))/100/12,IF(AND($G9282=0,$G9281=1),MAX($K9281,$J9282*($H9282+1)/100/12),$K9281))))</f>
      </c>
      <c r="L9282" s="43">
        <f>IF($I9282=0,0,$J9282*$H9282/100/12)</f>
      </c>
      <c r="M9282" s="43">
        <f>IF($I9282=0,0,IF(OR(INDEX(DarlOhneTilgung,20)=1,AND(INDEX(DarlTilgStart,20)&gt;0,$E9282&lt;INDEX(DarlTilgStart,20))),0,MIN(MAX(0,$K9282-$L9282),$J9282)))</f>
      </c>
      <c r="N9282" s="43">
        <f>IF($I9282=0,0,MIN(SUMIFS(SondBetrag,SondDarl,20,SondDatum,"&gt;="&amp;$E9282,SondDatum,"&lt;="&amp;EOMONTH($E9282,0)),$J9282-$M9282))</f>
      </c>
      <c r="O9282" s="43">
        <f>IF($I9282=0,0,INDEX(DarlErsatzRate,20))</f>
      </c>
      <c r="P9282" s="43">
        <f>IF($I9282=0,0,$Q9281*INDEX(DarlErsatzZins,20))</f>
      </c>
      <c r="Q9282" s="43">
        <f>IF($I9282=0,0,$Q9281+$P9282+$O9282)</f>
      </c>
      <c r="R9282" s="43">
        <f>IF($I9282=0,0,$J9282-$M9282-$N9282)</f>
      </c>
    </row>
    <row r="9283">
      <c r="A9283"/>
      <c r="B9283">
        <v>20</v>
      </c>
      <c r="C9283" s="43">
        <f>INDEX(DarlObj,20)</f>
      </c>
      <c r="D9283">
        <v>160</v>
      </c>
      <c r="E9283" s="51">
        <f>IF(INDEX(DarlBelegt,20)=0,0,EOMONTH(INDEX(DarlAuszahlung,20),159)+1)</f>
      </c>
      <c r="F9283" s="43">
        <f>IF($E9283=0,0,YEAR($E9283))</f>
      </c>
      <c r="G9283" s="43">
        <f>IF(INDEX(DarlBindung,20)="",1,IF($E9283&lt;=INDEX(DarlBindung,20),1,0))</f>
      </c>
      <c r="H9283" s="43">
        <f>IF($G9283=1,INDEX(DarlSollzins,20),INDEX(DarlAnschluss,20))</f>
      </c>
      <c r="I9283" s="43">
        <f>IF(INDEX(DarlBelegt,20)=0,0,IF(INDEX(DarlOhneTilgung,20)=1,IF(INDEX(DarlBindung,20)="",1,$G9283),IF($J9283&gt;0.005,1,0)))</f>
      </c>
      <c r="J9283" s="43">
        <f>IF($I9282=0,0,$R9282)</f>
      </c>
      <c r="K9283" s="43">
        <f>IF($I9283=0,0,IF(INDEX(DarlOhneTilgung,20)=1,0,IF(AND(INDEX(DarlTilgStart,20)&gt;0,$E9283=INDEX(DarlTilgStart,20)),$J9283*($H9283+INDEX(DarlTilgung,20))/100/12,IF(AND($G9283=0,$G9282=1),MAX($K9282,$J9283*($H9283+1)/100/12),$K9282))))</f>
      </c>
      <c r="L9283" s="43">
        <f>IF($I9283=0,0,$J9283*$H9283/100/12)</f>
      </c>
      <c r="M9283" s="43">
        <f>IF($I9283=0,0,IF(OR(INDEX(DarlOhneTilgung,20)=1,AND(INDEX(DarlTilgStart,20)&gt;0,$E9283&lt;INDEX(DarlTilgStart,20))),0,MIN(MAX(0,$K9283-$L9283),$J9283)))</f>
      </c>
      <c r="N9283" s="43">
        <f>IF($I9283=0,0,MIN(SUMIFS(SondBetrag,SondDarl,20,SondDatum,"&gt;="&amp;$E9283,SondDatum,"&lt;="&amp;EOMONTH($E9283,0)),$J9283-$M9283))</f>
      </c>
      <c r="O9283" s="43">
        <f>IF($I9283=0,0,INDEX(DarlErsatzRate,20))</f>
      </c>
      <c r="P9283" s="43">
        <f>IF($I9283=0,0,$Q9282*INDEX(DarlErsatzZins,20))</f>
      </c>
      <c r="Q9283" s="43">
        <f>IF($I9283=0,0,$Q9282+$P9283+$O9283)</f>
      </c>
      <c r="R9283" s="43">
        <f>IF($I9283=0,0,$J9283-$M9283-$N9283)</f>
      </c>
    </row>
    <row r="9284">
      <c r="A9284"/>
      <c r="B9284">
        <v>20</v>
      </c>
      <c r="C9284" s="43">
        <f>INDEX(DarlObj,20)</f>
      </c>
      <c r="D9284">
        <v>161</v>
      </c>
      <c r="E9284" s="51">
        <f>IF(INDEX(DarlBelegt,20)=0,0,EOMONTH(INDEX(DarlAuszahlung,20),160)+1)</f>
      </c>
      <c r="F9284" s="43">
        <f>IF($E9284=0,0,YEAR($E9284))</f>
      </c>
      <c r="G9284" s="43">
        <f>IF(INDEX(DarlBindung,20)="",1,IF($E9284&lt;=INDEX(DarlBindung,20),1,0))</f>
      </c>
      <c r="H9284" s="43">
        <f>IF($G9284=1,INDEX(DarlSollzins,20),INDEX(DarlAnschluss,20))</f>
      </c>
      <c r="I9284" s="43">
        <f>IF(INDEX(DarlBelegt,20)=0,0,IF(INDEX(DarlOhneTilgung,20)=1,IF(INDEX(DarlBindung,20)="",1,$G9284),IF($J9284&gt;0.005,1,0)))</f>
      </c>
      <c r="J9284" s="43">
        <f>IF($I9283=0,0,$R9283)</f>
      </c>
      <c r="K9284" s="43">
        <f>IF($I9284=0,0,IF(INDEX(DarlOhneTilgung,20)=1,0,IF(AND(INDEX(DarlTilgStart,20)&gt;0,$E9284=INDEX(DarlTilgStart,20)),$J9284*($H9284+INDEX(DarlTilgung,20))/100/12,IF(AND($G9284=0,$G9283=1),MAX($K9283,$J9284*($H9284+1)/100/12),$K9283))))</f>
      </c>
      <c r="L9284" s="43">
        <f>IF($I9284=0,0,$J9284*$H9284/100/12)</f>
      </c>
      <c r="M9284" s="43">
        <f>IF($I9284=0,0,IF(OR(INDEX(DarlOhneTilgung,20)=1,AND(INDEX(DarlTilgStart,20)&gt;0,$E9284&lt;INDEX(DarlTilgStart,20))),0,MIN(MAX(0,$K9284-$L9284),$J9284)))</f>
      </c>
      <c r="N9284" s="43">
        <f>IF($I9284=0,0,MIN(SUMIFS(SondBetrag,SondDarl,20,SondDatum,"&gt;="&amp;$E9284,SondDatum,"&lt;="&amp;EOMONTH($E9284,0)),$J9284-$M9284))</f>
      </c>
      <c r="O9284" s="43">
        <f>IF($I9284=0,0,INDEX(DarlErsatzRate,20))</f>
      </c>
      <c r="P9284" s="43">
        <f>IF($I9284=0,0,$Q9283*INDEX(DarlErsatzZins,20))</f>
      </c>
      <c r="Q9284" s="43">
        <f>IF($I9284=0,0,$Q9283+$P9284+$O9284)</f>
      </c>
      <c r="R9284" s="43">
        <f>IF($I9284=0,0,$J9284-$M9284-$N9284)</f>
      </c>
    </row>
    <row r="9285">
      <c r="A9285"/>
      <c r="B9285">
        <v>20</v>
      </c>
      <c r="C9285" s="43">
        <f>INDEX(DarlObj,20)</f>
      </c>
      <c r="D9285">
        <v>162</v>
      </c>
      <c r="E9285" s="51">
        <f>IF(INDEX(DarlBelegt,20)=0,0,EOMONTH(INDEX(DarlAuszahlung,20),161)+1)</f>
      </c>
      <c r="F9285" s="43">
        <f>IF($E9285=0,0,YEAR($E9285))</f>
      </c>
      <c r="G9285" s="43">
        <f>IF(INDEX(DarlBindung,20)="",1,IF($E9285&lt;=INDEX(DarlBindung,20),1,0))</f>
      </c>
      <c r="H9285" s="43">
        <f>IF($G9285=1,INDEX(DarlSollzins,20),INDEX(DarlAnschluss,20))</f>
      </c>
      <c r="I9285" s="43">
        <f>IF(INDEX(DarlBelegt,20)=0,0,IF(INDEX(DarlOhneTilgung,20)=1,IF(INDEX(DarlBindung,20)="",1,$G9285),IF($J9285&gt;0.005,1,0)))</f>
      </c>
      <c r="J9285" s="43">
        <f>IF($I9284=0,0,$R9284)</f>
      </c>
      <c r="K9285" s="43">
        <f>IF($I9285=0,0,IF(INDEX(DarlOhneTilgung,20)=1,0,IF(AND(INDEX(DarlTilgStart,20)&gt;0,$E9285=INDEX(DarlTilgStart,20)),$J9285*($H9285+INDEX(DarlTilgung,20))/100/12,IF(AND($G9285=0,$G9284=1),MAX($K9284,$J9285*($H9285+1)/100/12),$K9284))))</f>
      </c>
      <c r="L9285" s="43">
        <f>IF($I9285=0,0,$J9285*$H9285/100/12)</f>
      </c>
      <c r="M9285" s="43">
        <f>IF($I9285=0,0,IF(OR(INDEX(DarlOhneTilgung,20)=1,AND(INDEX(DarlTilgStart,20)&gt;0,$E9285&lt;INDEX(DarlTilgStart,20))),0,MIN(MAX(0,$K9285-$L9285),$J9285)))</f>
      </c>
      <c r="N9285" s="43">
        <f>IF($I9285=0,0,MIN(SUMIFS(SondBetrag,SondDarl,20,SondDatum,"&gt;="&amp;$E9285,SondDatum,"&lt;="&amp;EOMONTH($E9285,0)),$J9285-$M9285))</f>
      </c>
      <c r="O9285" s="43">
        <f>IF($I9285=0,0,INDEX(DarlErsatzRate,20))</f>
      </c>
      <c r="P9285" s="43">
        <f>IF($I9285=0,0,$Q9284*INDEX(DarlErsatzZins,20))</f>
      </c>
      <c r="Q9285" s="43">
        <f>IF($I9285=0,0,$Q9284+$P9285+$O9285)</f>
      </c>
      <c r="R9285" s="43">
        <f>IF($I9285=0,0,$J9285-$M9285-$N9285)</f>
      </c>
    </row>
    <row r="9286">
      <c r="A9286"/>
      <c r="B9286">
        <v>20</v>
      </c>
      <c r="C9286" s="43">
        <f>INDEX(DarlObj,20)</f>
      </c>
      <c r="D9286">
        <v>163</v>
      </c>
      <c r="E9286" s="51">
        <f>IF(INDEX(DarlBelegt,20)=0,0,EOMONTH(INDEX(DarlAuszahlung,20),162)+1)</f>
      </c>
      <c r="F9286" s="43">
        <f>IF($E9286=0,0,YEAR($E9286))</f>
      </c>
      <c r="G9286" s="43">
        <f>IF(INDEX(DarlBindung,20)="",1,IF($E9286&lt;=INDEX(DarlBindung,20),1,0))</f>
      </c>
      <c r="H9286" s="43">
        <f>IF($G9286=1,INDEX(DarlSollzins,20),INDEX(DarlAnschluss,20))</f>
      </c>
      <c r="I9286" s="43">
        <f>IF(INDEX(DarlBelegt,20)=0,0,IF(INDEX(DarlOhneTilgung,20)=1,IF(INDEX(DarlBindung,20)="",1,$G9286),IF($J9286&gt;0.005,1,0)))</f>
      </c>
      <c r="J9286" s="43">
        <f>IF($I9285=0,0,$R9285)</f>
      </c>
      <c r="K9286" s="43">
        <f>IF($I9286=0,0,IF(INDEX(DarlOhneTilgung,20)=1,0,IF(AND(INDEX(DarlTilgStart,20)&gt;0,$E9286=INDEX(DarlTilgStart,20)),$J9286*($H9286+INDEX(DarlTilgung,20))/100/12,IF(AND($G9286=0,$G9285=1),MAX($K9285,$J9286*($H9286+1)/100/12),$K9285))))</f>
      </c>
      <c r="L9286" s="43">
        <f>IF($I9286=0,0,$J9286*$H9286/100/12)</f>
      </c>
      <c r="M9286" s="43">
        <f>IF($I9286=0,0,IF(OR(INDEX(DarlOhneTilgung,20)=1,AND(INDEX(DarlTilgStart,20)&gt;0,$E9286&lt;INDEX(DarlTilgStart,20))),0,MIN(MAX(0,$K9286-$L9286),$J9286)))</f>
      </c>
      <c r="N9286" s="43">
        <f>IF($I9286=0,0,MIN(SUMIFS(SondBetrag,SondDarl,20,SondDatum,"&gt;="&amp;$E9286,SondDatum,"&lt;="&amp;EOMONTH($E9286,0)),$J9286-$M9286))</f>
      </c>
      <c r="O9286" s="43">
        <f>IF($I9286=0,0,INDEX(DarlErsatzRate,20))</f>
      </c>
      <c r="P9286" s="43">
        <f>IF($I9286=0,0,$Q9285*INDEX(DarlErsatzZins,20))</f>
      </c>
      <c r="Q9286" s="43">
        <f>IF($I9286=0,0,$Q9285+$P9286+$O9286)</f>
      </c>
      <c r="R9286" s="43">
        <f>IF($I9286=0,0,$J9286-$M9286-$N9286)</f>
      </c>
    </row>
    <row r="9287">
      <c r="A9287"/>
      <c r="B9287">
        <v>20</v>
      </c>
      <c r="C9287" s="43">
        <f>INDEX(DarlObj,20)</f>
      </c>
      <c r="D9287">
        <v>164</v>
      </c>
      <c r="E9287" s="51">
        <f>IF(INDEX(DarlBelegt,20)=0,0,EOMONTH(INDEX(DarlAuszahlung,20),163)+1)</f>
      </c>
      <c r="F9287" s="43">
        <f>IF($E9287=0,0,YEAR($E9287))</f>
      </c>
      <c r="G9287" s="43">
        <f>IF(INDEX(DarlBindung,20)="",1,IF($E9287&lt;=INDEX(DarlBindung,20),1,0))</f>
      </c>
      <c r="H9287" s="43">
        <f>IF($G9287=1,INDEX(DarlSollzins,20),INDEX(DarlAnschluss,20))</f>
      </c>
      <c r="I9287" s="43">
        <f>IF(INDEX(DarlBelegt,20)=0,0,IF(INDEX(DarlOhneTilgung,20)=1,IF(INDEX(DarlBindung,20)="",1,$G9287),IF($J9287&gt;0.005,1,0)))</f>
      </c>
      <c r="J9287" s="43">
        <f>IF($I9286=0,0,$R9286)</f>
      </c>
      <c r="K9287" s="43">
        <f>IF($I9287=0,0,IF(INDEX(DarlOhneTilgung,20)=1,0,IF(AND(INDEX(DarlTilgStart,20)&gt;0,$E9287=INDEX(DarlTilgStart,20)),$J9287*($H9287+INDEX(DarlTilgung,20))/100/12,IF(AND($G9287=0,$G9286=1),MAX($K9286,$J9287*($H9287+1)/100/12),$K9286))))</f>
      </c>
      <c r="L9287" s="43">
        <f>IF($I9287=0,0,$J9287*$H9287/100/12)</f>
      </c>
      <c r="M9287" s="43">
        <f>IF($I9287=0,0,IF(OR(INDEX(DarlOhneTilgung,20)=1,AND(INDEX(DarlTilgStart,20)&gt;0,$E9287&lt;INDEX(DarlTilgStart,20))),0,MIN(MAX(0,$K9287-$L9287),$J9287)))</f>
      </c>
      <c r="N9287" s="43">
        <f>IF($I9287=0,0,MIN(SUMIFS(SondBetrag,SondDarl,20,SondDatum,"&gt;="&amp;$E9287,SondDatum,"&lt;="&amp;EOMONTH($E9287,0)),$J9287-$M9287))</f>
      </c>
      <c r="O9287" s="43">
        <f>IF($I9287=0,0,INDEX(DarlErsatzRate,20))</f>
      </c>
      <c r="P9287" s="43">
        <f>IF($I9287=0,0,$Q9286*INDEX(DarlErsatzZins,20))</f>
      </c>
      <c r="Q9287" s="43">
        <f>IF($I9287=0,0,$Q9286+$P9287+$O9287)</f>
      </c>
      <c r="R9287" s="43">
        <f>IF($I9287=0,0,$J9287-$M9287-$N9287)</f>
      </c>
    </row>
    <row r="9288">
      <c r="A9288"/>
      <c r="B9288">
        <v>20</v>
      </c>
      <c r="C9288" s="43">
        <f>INDEX(DarlObj,20)</f>
      </c>
      <c r="D9288">
        <v>165</v>
      </c>
      <c r="E9288" s="51">
        <f>IF(INDEX(DarlBelegt,20)=0,0,EOMONTH(INDEX(DarlAuszahlung,20),164)+1)</f>
      </c>
      <c r="F9288" s="43">
        <f>IF($E9288=0,0,YEAR($E9288))</f>
      </c>
      <c r="G9288" s="43">
        <f>IF(INDEX(DarlBindung,20)="",1,IF($E9288&lt;=INDEX(DarlBindung,20),1,0))</f>
      </c>
      <c r="H9288" s="43">
        <f>IF($G9288=1,INDEX(DarlSollzins,20),INDEX(DarlAnschluss,20))</f>
      </c>
      <c r="I9288" s="43">
        <f>IF(INDEX(DarlBelegt,20)=0,0,IF(INDEX(DarlOhneTilgung,20)=1,IF(INDEX(DarlBindung,20)="",1,$G9288),IF($J9288&gt;0.005,1,0)))</f>
      </c>
      <c r="J9288" s="43">
        <f>IF($I9287=0,0,$R9287)</f>
      </c>
      <c r="K9288" s="43">
        <f>IF($I9288=0,0,IF(INDEX(DarlOhneTilgung,20)=1,0,IF(AND(INDEX(DarlTilgStart,20)&gt;0,$E9288=INDEX(DarlTilgStart,20)),$J9288*($H9288+INDEX(DarlTilgung,20))/100/12,IF(AND($G9288=0,$G9287=1),MAX($K9287,$J9288*($H9288+1)/100/12),$K9287))))</f>
      </c>
      <c r="L9288" s="43">
        <f>IF($I9288=0,0,$J9288*$H9288/100/12)</f>
      </c>
      <c r="M9288" s="43">
        <f>IF($I9288=0,0,IF(OR(INDEX(DarlOhneTilgung,20)=1,AND(INDEX(DarlTilgStart,20)&gt;0,$E9288&lt;INDEX(DarlTilgStart,20))),0,MIN(MAX(0,$K9288-$L9288),$J9288)))</f>
      </c>
      <c r="N9288" s="43">
        <f>IF($I9288=0,0,MIN(SUMIFS(SondBetrag,SondDarl,20,SondDatum,"&gt;="&amp;$E9288,SondDatum,"&lt;="&amp;EOMONTH($E9288,0)),$J9288-$M9288))</f>
      </c>
      <c r="O9288" s="43">
        <f>IF($I9288=0,0,INDEX(DarlErsatzRate,20))</f>
      </c>
      <c r="P9288" s="43">
        <f>IF($I9288=0,0,$Q9287*INDEX(DarlErsatzZins,20))</f>
      </c>
      <c r="Q9288" s="43">
        <f>IF($I9288=0,0,$Q9287+$P9288+$O9288)</f>
      </c>
      <c r="R9288" s="43">
        <f>IF($I9288=0,0,$J9288-$M9288-$N9288)</f>
      </c>
    </row>
    <row r="9289">
      <c r="A9289"/>
      <c r="B9289">
        <v>20</v>
      </c>
      <c r="C9289" s="43">
        <f>INDEX(DarlObj,20)</f>
      </c>
      <c r="D9289">
        <v>166</v>
      </c>
      <c r="E9289" s="51">
        <f>IF(INDEX(DarlBelegt,20)=0,0,EOMONTH(INDEX(DarlAuszahlung,20),165)+1)</f>
      </c>
      <c r="F9289" s="43">
        <f>IF($E9289=0,0,YEAR($E9289))</f>
      </c>
      <c r="G9289" s="43">
        <f>IF(INDEX(DarlBindung,20)="",1,IF($E9289&lt;=INDEX(DarlBindung,20),1,0))</f>
      </c>
      <c r="H9289" s="43">
        <f>IF($G9289=1,INDEX(DarlSollzins,20),INDEX(DarlAnschluss,20))</f>
      </c>
      <c r="I9289" s="43">
        <f>IF(INDEX(DarlBelegt,20)=0,0,IF(INDEX(DarlOhneTilgung,20)=1,IF(INDEX(DarlBindung,20)="",1,$G9289),IF($J9289&gt;0.005,1,0)))</f>
      </c>
      <c r="J9289" s="43">
        <f>IF($I9288=0,0,$R9288)</f>
      </c>
      <c r="K9289" s="43">
        <f>IF($I9289=0,0,IF(INDEX(DarlOhneTilgung,20)=1,0,IF(AND(INDEX(DarlTilgStart,20)&gt;0,$E9289=INDEX(DarlTilgStart,20)),$J9289*($H9289+INDEX(DarlTilgung,20))/100/12,IF(AND($G9289=0,$G9288=1),MAX($K9288,$J9289*($H9289+1)/100/12),$K9288))))</f>
      </c>
      <c r="L9289" s="43">
        <f>IF($I9289=0,0,$J9289*$H9289/100/12)</f>
      </c>
      <c r="M9289" s="43">
        <f>IF($I9289=0,0,IF(OR(INDEX(DarlOhneTilgung,20)=1,AND(INDEX(DarlTilgStart,20)&gt;0,$E9289&lt;INDEX(DarlTilgStart,20))),0,MIN(MAX(0,$K9289-$L9289),$J9289)))</f>
      </c>
      <c r="N9289" s="43">
        <f>IF($I9289=0,0,MIN(SUMIFS(SondBetrag,SondDarl,20,SondDatum,"&gt;="&amp;$E9289,SondDatum,"&lt;="&amp;EOMONTH($E9289,0)),$J9289-$M9289))</f>
      </c>
      <c r="O9289" s="43">
        <f>IF($I9289=0,0,INDEX(DarlErsatzRate,20))</f>
      </c>
      <c r="P9289" s="43">
        <f>IF($I9289=0,0,$Q9288*INDEX(DarlErsatzZins,20))</f>
      </c>
      <c r="Q9289" s="43">
        <f>IF($I9289=0,0,$Q9288+$P9289+$O9289)</f>
      </c>
      <c r="R9289" s="43">
        <f>IF($I9289=0,0,$J9289-$M9289-$N9289)</f>
      </c>
    </row>
    <row r="9290">
      <c r="A9290"/>
      <c r="B9290">
        <v>20</v>
      </c>
      <c r="C9290" s="43">
        <f>INDEX(DarlObj,20)</f>
      </c>
      <c r="D9290">
        <v>167</v>
      </c>
      <c r="E9290" s="51">
        <f>IF(INDEX(DarlBelegt,20)=0,0,EOMONTH(INDEX(DarlAuszahlung,20),166)+1)</f>
      </c>
      <c r="F9290" s="43">
        <f>IF($E9290=0,0,YEAR($E9290))</f>
      </c>
      <c r="G9290" s="43">
        <f>IF(INDEX(DarlBindung,20)="",1,IF($E9290&lt;=INDEX(DarlBindung,20),1,0))</f>
      </c>
      <c r="H9290" s="43">
        <f>IF($G9290=1,INDEX(DarlSollzins,20),INDEX(DarlAnschluss,20))</f>
      </c>
      <c r="I9290" s="43">
        <f>IF(INDEX(DarlBelegt,20)=0,0,IF(INDEX(DarlOhneTilgung,20)=1,IF(INDEX(DarlBindung,20)="",1,$G9290),IF($J9290&gt;0.005,1,0)))</f>
      </c>
      <c r="J9290" s="43">
        <f>IF($I9289=0,0,$R9289)</f>
      </c>
      <c r="K9290" s="43">
        <f>IF($I9290=0,0,IF(INDEX(DarlOhneTilgung,20)=1,0,IF(AND(INDEX(DarlTilgStart,20)&gt;0,$E9290=INDEX(DarlTilgStart,20)),$J9290*($H9290+INDEX(DarlTilgung,20))/100/12,IF(AND($G9290=0,$G9289=1),MAX($K9289,$J9290*($H9290+1)/100/12),$K9289))))</f>
      </c>
      <c r="L9290" s="43">
        <f>IF($I9290=0,0,$J9290*$H9290/100/12)</f>
      </c>
      <c r="M9290" s="43">
        <f>IF($I9290=0,0,IF(OR(INDEX(DarlOhneTilgung,20)=1,AND(INDEX(DarlTilgStart,20)&gt;0,$E9290&lt;INDEX(DarlTilgStart,20))),0,MIN(MAX(0,$K9290-$L9290),$J9290)))</f>
      </c>
      <c r="N9290" s="43">
        <f>IF($I9290=0,0,MIN(SUMIFS(SondBetrag,SondDarl,20,SondDatum,"&gt;="&amp;$E9290,SondDatum,"&lt;="&amp;EOMONTH($E9290,0)),$J9290-$M9290))</f>
      </c>
      <c r="O9290" s="43">
        <f>IF($I9290=0,0,INDEX(DarlErsatzRate,20))</f>
      </c>
      <c r="P9290" s="43">
        <f>IF($I9290=0,0,$Q9289*INDEX(DarlErsatzZins,20))</f>
      </c>
      <c r="Q9290" s="43">
        <f>IF($I9290=0,0,$Q9289+$P9290+$O9290)</f>
      </c>
      <c r="R9290" s="43">
        <f>IF($I9290=0,0,$J9290-$M9290-$N9290)</f>
      </c>
    </row>
    <row r="9291">
      <c r="A9291"/>
      <c r="B9291">
        <v>20</v>
      </c>
      <c r="C9291" s="43">
        <f>INDEX(DarlObj,20)</f>
      </c>
      <c r="D9291">
        <v>168</v>
      </c>
      <c r="E9291" s="51">
        <f>IF(INDEX(DarlBelegt,20)=0,0,EOMONTH(INDEX(DarlAuszahlung,20),167)+1)</f>
      </c>
      <c r="F9291" s="43">
        <f>IF($E9291=0,0,YEAR($E9291))</f>
      </c>
      <c r="G9291" s="43">
        <f>IF(INDEX(DarlBindung,20)="",1,IF($E9291&lt;=INDEX(DarlBindung,20),1,0))</f>
      </c>
      <c r="H9291" s="43">
        <f>IF($G9291=1,INDEX(DarlSollzins,20),INDEX(DarlAnschluss,20))</f>
      </c>
      <c r="I9291" s="43">
        <f>IF(INDEX(DarlBelegt,20)=0,0,IF(INDEX(DarlOhneTilgung,20)=1,IF(INDEX(DarlBindung,20)="",1,$G9291),IF($J9291&gt;0.005,1,0)))</f>
      </c>
      <c r="J9291" s="43">
        <f>IF($I9290=0,0,$R9290)</f>
      </c>
      <c r="K9291" s="43">
        <f>IF($I9291=0,0,IF(INDEX(DarlOhneTilgung,20)=1,0,IF(AND(INDEX(DarlTilgStart,20)&gt;0,$E9291=INDEX(DarlTilgStart,20)),$J9291*($H9291+INDEX(DarlTilgung,20))/100/12,IF(AND($G9291=0,$G9290=1),MAX($K9290,$J9291*($H9291+1)/100/12),$K9290))))</f>
      </c>
      <c r="L9291" s="43">
        <f>IF($I9291=0,0,$J9291*$H9291/100/12)</f>
      </c>
      <c r="M9291" s="43">
        <f>IF($I9291=0,0,IF(OR(INDEX(DarlOhneTilgung,20)=1,AND(INDEX(DarlTilgStart,20)&gt;0,$E9291&lt;INDEX(DarlTilgStart,20))),0,MIN(MAX(0,$K9291-$L9291),$J9291)))</f>
      </c>
      <c r="N9291" s="43">
        <f>IF($I9291=0,0,MIN(SUMIFS(SondBetrag,SondDarl,20,SondDatum,"&gt;="&amp;$E9291,SondDatum,"&lt;="&amp;EOMONTH($E9291,0)),$J9291-$M9291))</f>
      </c>
      <c r="O9291" s="43">
        <f>IF($I9291=0,0,INDEX(DarlErsatzRate,20))</f>
      </c>
      <c r="P9291" s="43">
        <f>IF($I9291=0,0,$Q9290*INDEX(DarlErsatzZins,20))</f>
      </c>
      <c r="Q9291" s="43">
        <f>IF($I9291=0,0,$Q9290+$P9291+$O9291)</f>
      </c>
      <c r="R9291" s="43">
        <f>IF($I9291=0,0,$J9291-$M9291-$N9291)</f>
      </c>
    </row>
    <row r="9292">
      <c r="A9292"/>
      <c r="B9292">
        <v>20</v>
      </c>
      <c r="C9292" s="43">
        <f>INDEX(DarlObj,20)</f>
      </c>
      <c r="D9292">
        <v>169</v>
      </c>
      <c r="E9292" s="51">
        <f>IF(INDEX(DarlBelegt,20)=0,0,EOMONTH(INDEX(DarlAuszahlung,20),168)+1)</f>
      </c>
      <c r="F9292" s="43">
        <f>IF($E9292=0,0,YEAR($E9292))</f>
      </c>
      <c r="G9292" s="43">
        <f>IF(INDEX(DarlBindung,20)="",1,IF($E9292&lt;=INDEX(DarlBindung,20),1,0))</f>
      </c>
      <c r="H9292" s="43">
        <f>IF($G9292=1,INDEX(DarlSollzins,20),INDEX(DarlAnschluss,20))</f>
      </c>
      <c r="I9292" s="43">
        <f>IF(INDEX(DarlBelegt,20)=0,0,IF(INDEX(DarlOhneTilgung,20)=1,IF(INDEX(DarlBindung,20)="",1,$G9292),IF($J9292&gt;0.005,1,0)))</f>
      </c>
      <c r="J9292" s="43">
        <f>IF($I9291=0,0,$R9291)</f>
      </c>
      <c r="K9292" s="43">
        <f>IF($I9292=0,0,IF(INDEX(DarlOhneTilgung,20)=1,0,IF(AND(INDEX(DarlTilgStart,20)&gt;0,$E9292=INDEX(DarlTilgStart,20)),$J9292*($H9292+INDEX(DarlTilgung,20))/100/12,IF(AND($G9292=0,$G9291=1),MAX($K9291,$J9292*($H9292+1)/100/12),$K9291))))</f>
      </c>
      <c r="L9292" s="43">
        <f>IF($I9292=0,0,$J9292*$H9292/100/12)</f>
      </c>
      <c r="M9292" s="43">
        <f>IF($I9292=0,0,IF(OR(INDEX(DarlOhneTilgung,20)=1,AND(INDEX(DarlTilgStart,20)&gt;0,$E9292&lt;INDEX(DarlTilgStart,20))),0,MIN(MAX(0,$K9292-$L9292),$J9292)))</f>
      </c>
      <c r="N9292" s="43">
        <f>IF($I9292=0,0,MIN(SUMIFS(SondBetrag,SondDarl,20,SondDatum,"&gt;="&amp;$E9292,SondDatum,"&lt;="&amp;EOMONTH($E9292,0)),$J9292-$M9292))</f>
      </c>
      <c r="O9292" s="43">
        <f>IF($I9292=0,0,INDEX(DarlErsatzRate,20))</f>
      </c>
      <c r="P9292" s="43">
        <f>IF($I9292=0,0,$Q9291*INDEX(DarlErsatzZins,20))</f>
      </c>
      <c r="Q9292" s="43">
        <f>IF($I9292=0,0,$Q9291+$P9292+$O9292)</f>
      </c>
      <c r="R9292" s="43">
        <f>IF($I9292=0,0,$J9292-$M9292-$N9292)</f>
      </c>
    </row>
    <row r="9293">
      <c r="A9293"/>
      <c r="B9293">
        <v>20</v>
      </c>
      <c r="C9293" s="43">
        <f>INDEX(DarlObj,20)</f>
      </c>
      <c r="D9293">
        <v>170</v>
      </c>
      <c r="E9293" s="51">
        <f>IF(INDEX(DarlBelegt,20)=0,0,EOMONTH(INDEX(DarlAuszahlung,20),169)+1)</f>
      </c>
      <c r="F9293" s="43">
        <f>IF($E9293=0,0,YEAR($E9293))</f>
      </c>
      <c r="G9293" s="43">
        <f>IF(INDEX(DarlBindung,20)="",1,IF($E9293&lt;=INDEX(DarlBindung,20),1,0))</f>
      </c>
      <c r="H9293" s="43">
        <f>IF($G9293=1,INDEX(DarlSollzins,20),INDEX(DarlAnschluss,20))</f>
      </c>
      <c r="I9293" s="43">
        <f>IF(INDEX(DarlBelegt,20)=0,0,IF(INDEX(DarlOhneTilgung,20)=1,IF(INDEX(DarlBindung,20)="",1,$G9293),IF($J9293&gt;0.005,1,0)))</f>
      </c>
      <c r="J9293" s="43">
        <f>IF($I9292=0,0,$R9292)</f>
      </c>
      <c r="K9293" s="43">
        <f>IF($I9293=0,0,IF(INDEX(DarlOhneTilgung,20)=1,0,IF(AND(INDEX(DarlTilgStart,20)&gt;0,$E9293=INDEX(DarlTilgStart,20)),$J9293*($H9293+INDEX(DarlTilgung,20))/100/12,IF(AND($G9293=0,$G9292=1),MAX($K9292,$J9293*($H9293+1)/100/12),$K9292))))</f>
      </c>
      <c r="L9293" s="43">
        <f>IF($I9293=0,0,$J9293*$H9293/100/12)</f>
      </c>
      <c r="M9293" s="43">
        <f>IF($I9293=0,0,IF(OR(INDEX(DarlOhneTilgung,20)=1,AND(INDEX(DarlTilgStart,20)&gt;0,$E9293&lt;INDEX(DarlTilgStart,20))),0,MIN(MAX(0,$K9293-$L9293),$J9293)))</f>
      </c>
      <c r="N9293" s="43">
        <f>IF($I9293=0,0,MIN(SUMIFS(SondBetrag,SondDarl,20,SondDatum,"&gt;="&amp;$E9293,SondDatum,"&lt;="&amp;EOMONTH($E9293,0)),$J9293-$M9293))</f>
      </c>
      <c r="O9293" s="43">
        <f>IF($I9293=0,0,INDEX(DarlErsatzRate,20))</f>
      </c>
      <c r="P9293" s="43">
        <f>IF($I9293=0,0,$Q9292*INDEX(DarlErsatzZins,20))</f>
      </c>
      <c r="Q9293" s="43">
        <f>IF($I9293=0,0,$Q9292+$P9293+$O9293)</f>
      </c>
      <c r="R9293" s="43">
        <f>IF($I9293=0,0,$J9293-$M9293-$N9293)</f>
      </c>
    </row>
    <row r="9294">
      <c r="A9294"/>
      <c r="B9294">
        <v>20</v>
      </c>
      <c r="C9294" s="43">
        <f>INDEX(DarlObj,20)</f>
      </c>
      <c r="D9294">
        <v>171</v>
      </c>
      <c r="E9294" s="51">
        <f>IF(INDEX(DarlBelegt,20)=0,0,EOMONTH(INDEX(DarlAuszahlung,20),170)+1)</f>
      </c>
      <c r="F9294" s="43">
        <f>IF($E9294=0,0,YEAR($E9294))</f>
      </c>
      <c r="G9294" s="43">
        <f>IF(INDEX(DarlBindung,20)="",1,IF($E9294&lt;=INDEX(DarlBindung,20),1,0))</f>
      </c>
      <c r="H9294" s="43">
        <f>IF($G9294=1,INDEX(DarlSollzins,20),INDEX(DarlAnschluss,20))</f>
      </c>
      <c r="I9294" s="43">
        <f>IF(INDEX(DarlBelegt,20)=0,0,IF(INDEX(DarlOhneTilgung,20)=1,IF(INDEX(DarlBindung,20)="",1,$G9294),IF($J9294&gt;0.005,1,0)))</f>
      </c>
      <c r="J9294" s="43">
        <f>IF($I9293=0,0,$R9293)</f>
      </c>
      <c r="K9294" s="43">
        <f>IF($I9294=0,0,IF(INDEX(DarlOhneTilgung,20)=1,0,IF(AND(INDEX(DarlTilgStart,20)&gt;0,$E9294=INDEX(DarlTilgStart,20)),$J9294*($H9294+INDEX(DarlTilgung,20))/100/12,IF(AND($G9294=0,$G9293=1),MAX($K9293,$J9294*($H9294+1)/100/12),$K9293))))</f>
      </c>
      <c r="L9294" s="43">
        <f>IF($I9294=0,0,$J9294*$H9294/100/12)</f>
      </c>
      <c r="M9294" s="43">
        <f>IF($I9294=0,0,IF(OR(INDEX(DarlOhneTilgung,20)=1,AND(INDEX(DarlTilgStart,20)&gt;0,$E9294&lt;INDEX(DarlTilgStart,20))),0,MIN(MAX(0,$K9294-$L9294),$J9294)))</f>
      </c>
      <c r="N9294" s="43">
        <f>IF($I9294=0,0,MIN(SUMIFS(SondBetrag,SondDarl,20,SondDatum,"&gt;="&amp;$E9294,SondDatum,"&lt;="&amp;EOMONTH($E9294,0)),$J9294-$M9294))</f>
      </c>
      <c r="O9294" s="43">
        <f>IF($I9294=0,0,INDEX(DarlErsatzRate,20))</f>
      </c>
      <c r="P9294" s="43">
        <f>IF($I9294=0,0,$Q9293*INDEX(DarlErsatzZins,20))</f>
      </c>
      <c r="Q9294" s="43">
        <f>IF($I9294=0,0,$Q9293+$P9294+$O9294)</f>
      </c>
      <c r="R9294" s="43">
        <f>IF($I9294=0,0,$J9294-$M9294-$N9294)</f>
      </c>
    </row>
    <row r="9295">
      <c r="A9295"/>
      <c r="B9295">
        <v>20</v>
      </c>
      <c r="C9295" s="43">
        <f>INDEX(DarlObj,20)</f>
      </c>
      <c r="D9295">
        <v>172</v>
      </c>
      <c r="E9295" s="51">
        <f>IF(INDEX(DarlBelegt,20)=0,0,EOMONTH(INDEX(DarlAuszahlung,20),171)+1)</f>
      </c>
      <c r="F9295" s="43">
        <f>IF($E9295=0,0,YEAR($E9295))</f>
      </c>
      <c r="G9295" s="43">
        <f>IF(INDEX(DarlBindung,20)="",1,IF($E9295&lt;=INDEX(DarlBindung,20),1,0))</f>
      </c>
      <c r="H9295" s="43">
        <f>IF($G9295=1,INDEX(DarlSollzins,20),INDEX(DarlAnschluss,20))</f>
      </c>
      <c r="I9295" s="43">
        <f>IF(INDEX(DarlBelegt,20)=0,0,IF(INDEX(DarlOhneTilgung,20)=1,IF(INDEX(DarlBindung,20)="",1,$G9295),IF($J9295&gt;0.005,1,0)))</f>
      </c>
      <c r="J9295" s="43">
        <f>IF($I9294=0,0,$R9294)</f>
      </c>
      <c r="K9295" s="43">
        <f>IF($I9295=0,0,IF(INDEX(DarlOhneTilgung,20)=1,0,IF(AND(INDEX(DarlTilgStart,20)&gt;0,$E9295=INDEX(DarlTilgStart,20)),$J9295*($H9295+INDEX(DarlTilgung,20))/100/12,IF(AND($G9295=0,$G9294=1),MAX($K9294,$J9295*($H9295+1)/100/12),$K9294))))</f>
      </c>
      <c r="L9295" s="43">
        <f>IF($I9295=0,0,$J9295*$H9295/100/12)</f>
      </c>
      <c r="M9295" s="43">
        <f>IF($I9295=0,0,IF(OR(INDEX(DarlOhneTilgung,20)=1,AND(INDEX(DarlTilgStart,20)&gt;0,$E9295&lt;INDEX(DarlTilgStart,20))),0,MIN(MAX(0,$K9295-$L9295),$J9295)))</f>
      </c>
      <c r="N9295" s="43">
        <f>IF($I9295=0,0,MIN(SUMIFS(SondBetrag,SondDarl,20,SondDatum,"&gt;="&amp;$E9295,SondDatum,"&lt;="&amp;EOMONTH($E9295,0)),$J9295-$M9295))</f>
      </c>
      <c r="O9295" s="43">
        <f>IF($I9295=0,0,INDEX(DarlErsatzRate,20))</f>
      </c>
      <c r="P9295" s="43">
        <f>IF($I9295=0,0,$Q9294*INDEX(DarlErsatzZins,20))</f>
      </c>
      <c r="Q9295" s="43">
        <f>IF($I9295=0,0,$Q9294+$P9295+$O9295)</f>
      </c>
      <c r="R9295" s="43">
        <f>IF($I9295=0,0,$J9295-$M9295-$N9295)</f>
      </c>
    </row>
    <row r="9296">
      <c r="A9296"/>
      <c r="B9296">
        <v>20</v>
      </c>
      <c r="C9296" s="43">
        <f>INDEX(DarlObj,20)</f>
      </c>
      <c r="D9296">
        <v>173</v>
      </c>
      <c r="E9296" s="51">
        <f>IF(INDEX(DarlBelegt,20)=0,0,EOMONTH(INDEX(DarlAuszahlung,20),172)+1)</f>
      </c>
      <c r="F9296" s="43">
        <f>IF($E9296=0,0,YEAR($E9296))</f>
      </c>
      <c r="G9296" s="43">
        <f>IF(INDEX(DarlBindung,20)="",1,IF($E9296&lt;=INDEX(DarlBindung,20),1,0))</f>
      </c>
      <c r="H9296" s="43">
        <f>IF($G9296=1,INDEX(DarlSollzins,20),INDEX(DarlAnschluss,20))</f>
      </c>
      <c r="I9296" s="43">
        <f>IF(INDEX(DarlBelegt,20)=0,0,IF(INDEX(DarlOhneTilgung,20)=1,IF(INDEX(DarlBindung,20)="",1,$G9296),IF($J9296&gt;0.005,1,0)))</f>
      </c>
      <c r="J9296" s="43">
        <f>IF($I9295=0,0,$R9295)</f>
      </c>
      <c r="K9296" s="43">
        <f>IF($I9296=0,0,IF(INDEX(DarlOhneTilgung,20)=1,0,IF(AND(INDEX(DarlTilgStart,20)&gt;0,$E9296=INDEX(DarlTilgStart,20)),$J9296*($H9296+INDEX(DarlTilgung,20))/100/12,IF(AND($G9296=0,$G9295=1),MAX($K9295,$J9296*($H9296+1)/100/12),$K9295))))</f>
      </c>
      <c r="L9296" s="43">
        <f>IF($I9296=0,0,$J9296*$H9296/100/12)</f>
      </c>
      <c r="M9296" s="43">
        <f>IF($I9296=0,0,IF(OR(INDEX(DarlOhneTilgung,20)=1,AND(INDEX(DarlTilgStart,20)&gt;0,$E9296&lt;INDEX(DarlTilgStart,20))),0,MIN(MAX(0,$K9296-$L9296),$J9296)))</f>
      </c>
      <c r="N9296" s="43">
        <f>IF($I9296=0,0,MIN(SUMIFS(SondBetrag,SondDarl,20,SondDatum,"&gt;="&amp;$E9296,SondDatum,"&lt;="&amp;EOMONTH($E9296,0)),$J9296-$M9296))</f>
      </c>
      <c r="O9296" s="43">
        <f>IF($I9296=0,0,INDEX(DarlErsatzRate,20))</f>
      </c>
      <c r="P9296" s="43">
        <f>IF($I9296=0,0,$Q9295*INDEX(DarlErsatzZins,20))</f>
      </c>
      <c r="Q9296" s="43">
        <f>IF($I9296=0,0,$Q9295+$P9296+$O9296)</f>
      </c>
      <c r="R9296" s="43">
        <f>IF($I9296=0,0,$J9296-$M9296-$N9296)</f>
      </c>
    </row>
    <row r="9297">
      <c r="A9297"/>
      <c r="B9297">
        <v>20</v>
      </c>
      <c r="C9297" s="43">
        <f>INDEX(DarlObj,20)</f>
      </c>
      <c r="D9297">
        <v>174</v>
      </c>
      <c r="E9297" s="51">
        <f>IF(INDEX(DarlBelegt,20)=0,0,EOMONTH(INDEX(DarlAuszahlung,20),173)+1)</f>
      </c>
      <c r="F9297" s="43">
        <f>IF($E9297=0,0,YEAR($E9297))</f>
      </c>
      <c r="G9297" s="43">
        <f>IF(INDEX(DarlBindung,20)="",1,IF($E9297&lt;=INDEX(DarlBindung,20),1,0))</f>
      </c>
      <c r="H9297" s="43">
        <f>IF($G9297=1,INDEX(DarlSollzins,20),INDEX(DarlAnschluss,20))</f>
      </c>
      <c r="I9297" s="43">
        <f>IF(INDEX(DarlBelegt,20)=0,0,IF(INDEX(DarlOhneTilgung,20)=1,IF(INDEX(DarlBindung,20)="",1,$G9297),IF($J9297&gt;0.005,1,0)))</f>
      </c>
      <c r="J9297" s="43">
        <f>IF($I9296=0,0,$R9296)</f>
      </c>
      <c r="K9297" s="43">
        <f>IF($I9297=0,0,IF(INDEX(DarlOhneTilgung,20)=1,0,IF(AND(INDEX(DarlTilgStart,20)&gt;0,$E9297=INDEX(DarlTilgStart,20)),$J9297*($H9297+INDEX(DarlTilgung,20))/100/12,IF(AND($G9297=0,$G9296=1),MAX($K9296,$J9297*($H9297+1)/100/12),$K9296))))</f>
      </c>
      <c r="L9297" s="43">
        <f>IF($I9297=0,0,$J9297*$H9297/100/12)</f>
      </c>
      <c r="M9297" s="43">
        <f>IF($I9297=0,0,IF(OR(INDEX(DarlOhneTilgung,20)=1,AND(INDEX(DarlTilgStart,20)&gt;0,$E9297&lt;INDEX(DarlTilgStart,20))),0,MIN(MAX(0,$K9297-$L9297),$J9297)))</f>
      </c>
      <c r="N9297" s="43">
        <f>IF($I9297=0,0,MIN(SUMIFS(SondBetrag,SondDarl,20,SondDatum,"&gt;="&amp;$E9297,SondDatum,"&lt;="&amp;EOMONTH($E9297,0)),$J9297-$M9297))</f>
      </c>
      <c r="O9297" s="43">
        <f>IF($I9297=0,0,INDEX(DarlErsatzRate,20))</f>
      </c>
      <c r="P9297" s="43">
        <f>IF($I9297=0,0,$Q9296*INDEX(DarlErsatzZins,20))</f>
      </c>
      <c r="Q9297" s="43">
        <f>IF($I9297=0,0,$Q9296+$P9297+$O9297)</f>
      </c>
      <c r="R9297" s="43">
        <f>IF($I9297=0,0,$J9297-$M9297-$N9297)</f>
      </c>
    </row>
    <row r="9298">
      <c r="A9298"/>
      <c r="B9298">
        <v>20</v>
      </c>
      <c r="C9298" s="43">
        <f>INDEX(DarlObj,20)</f>
      </c>
      <c r="D9298">
        <v>175</v>
      </c>
      <c r="E9298" s="51">
        <f>IF(INDEX(DarlBelegt,20)=0,0,EOMONTH(INDEX(DarlAuszahlung,20),174)+1)</f>
      </c>
      <c r="F9298" s="43">
        <f>IF($E9298=0,0,YEAR($E9298))</f>
      </c>
      <c r="G9298" s="43">
        <f>IF(INDEX(DarlBindung,20)="",1,IF($E9298&lt;=INDEX(DarlBindung,20),1,0))</f>
      </c>
      <c r="H9298" s="43">
        <f>IF($G9298=1,INDEX(DarlSollzins,20),INDEX(DarlAnschluss,20))</f>
      </c>
      <c r="I9298" s="43">
        <f>IF(INDEX(DarlBelegt,20)=0,0,IF(INDEX(DarlOhneTilgung,20)=1,IF(INDEX(DarlBindung,20)="",1,$G9298),IF($J9298&gt;0.005,1,0)))</f>
      </c>
      <c r="J9298" s="43">
        <f>IF($I9297=0,0,$R9297)</f>
      </c>
      <c r="K9298" s="43">
        <f>IF($I9298=0,0,IF(INDEX(DarlOhneTilgung,20)=1,0,IF(AND(INDEX(DarlTilgStart,20)&gt;0,$E9298=INDEX(DarlTilgStart,20)),$J9298*($H9298+INDEX(DarlTilgung,20))/100/12,IF(AND($G9298=0,$G9297=1),MAX($K9297,$J9298*($H9298+1)/100/12),$K9297))))</f>
      </c>
      <c r="L9298" s="43">
        <f>IF($I9298=0,0,$J9298*$H9298/100/12)</f>
      </c>
      <c r="M9298" s="43">
        <f>IF($I9298=0,0,IF(OR(INDEX(DarlOhneTilgung,20)=1,AND(INDEX(DarlTilgStart,20)&gt;0,$E9298&lt;INDEX(DarlTilgStart,20))),0,MIN(MAX(0,$K9298-$L9298),$J9298)))</f>
      </c>
      <c r="N9298" s="43">
        <f>IF($I9298=0,0,MIN(SUMIFS(SondBetrag,SondDarl,20,SondDatum,"&gt;="&amp;$E9298,SondDatum,"&lt;="&amp;EOMONTH($E9298,0)),$J9298-$M9298))</f>
      </c>
      <c r="O9298" s="43">
        <f>IF($I9298=0,0,INDEX(DarlErsatzRate,20))</f>
      </c>
      <c r="P9298" s="43">
        <f>IF($I9298=0,0,$Q9297*INDEX(DarlErsatzZins,20))</f>
      </c>
      <c r="Q9298" s="43">
        <f>IF($I9298=0,0,$Q9297+$P9298+$O9298)</f>
      </c>
      <c r="R9298" s="43">
        <f>IF($I9298=0,0,$J9298-$M9298-$N9298)</f>
      </c>
    </row>
    <row r="9299">
      <c r="A9299"/>
      <c r="B9299">
        <v>20</v>
      </c>
      <c r="C9299" s="43">
        <f>INDEX(DarlObj,20)</f>
      </c>
      <c r="D9299">
        <v>176</v>
      </c>
      <c r="E9299" s="51">
        <f>IF(INDEX(DarlBelegt,20)=0,0,EOMONTH(INDEX(DarlAuszahlung,20),175)+1)</f>
      </c>
      <c r="F9299" s="43">
        <f>IF($E9299=0,0,YEAR($E9299))</f>
      </c>
      <c r="G9299" s="43">
        <f>IF(INDEX(DarlBindung,20)="",1,IF($E9299&lt;=INDEX(DarlBindung,20),1,0))</f>
      </c>
      <c r="H9299" s="43">
        <f>IF($G9299=1,INDEX(DarlSollzins,20),INDEX(DarlAnschluss,20))</f>
      </c>
      <c r="I9299" s="43">
        <f>IF(INDEX(DarlBelegt,20)=0,0,IF(INDEX(DarlOhneTilgung,20)=1,IF(INDEX(DarlBindung,20)="",1,$G9299),IF($J9299&gt;0.005,1,0)))</f>
      </c>
      <c r="J9299" s="43">
        <f>IF($I9298=0,0,$R9298)</f>
      </c>
      <c r="K9299" s="43">
        <f>IF($I9299=0,0,IF(INDEX(DarlOhneTilgung,20)=1,0,IF(AND(INDEX(DarlTilgStart,20)&gt;0,$E9299=INDEX(DarlTilgStart,20)),$J9299*($H9299+INDEX(DarlTilgung,20))/100/12,IF(AND($G9299=0,$G9298=1),MAX($K9298,$J9299*($H9299+1)/100/12),$K9298))))</f>
      </c>
      <c r="L9299" s="43">
        <f>IF($I9299=0,0,$J9299*$H9299/100/12)</f>
      </c>
      <c r="M9299" s="43">
        <f>IF($I9299=0,0,IF(OR(INDEX(DarlOhneTilgung,20)=1,AND(INDEX(DarlTilgStart,20)&gt;0,$E9299&lt;INDEX(DarlTilgStart,20))),0,MIN(MAX(0,$K9299-$L9299),$J9299)))</f>
      </c>
      <c r="N9299" s="43">
        <f>IF($I9299=0,0,MIN(SUMIFS(SondBetrag,SondDarl,20,SondDatum,"&gt;="&amp;$E9299,SondDatum,"&lt;="&amp;EOMONTH($E9299,0)),$J9299-$M9299))</f>
      </c>
      <c r="O9299" s="43">
        <f>IF($I9299=0,0,INDEX(DarlErsatzRate,20))</f>
      </c>
      <c r="P9299" s="43">
        <f>IF($I9299=0,0,$Q9298*INDEX(DarlErsatzZins,20))</f>
      </c>
      <c r="Q9299" s="43">
        <f>IF($I9299=0,0,$Q9298+$P9299+$O9299)</f>
      </c>
      <c r="R9299" s="43">
        <f>IF($I9299=0,0,$J9299-$M9299-$N9299)</f>
      </c>
    </row>
    <row r="9300">
      <c r="A9300"/>
      <c r="B9300">
        <v>20</v>
      </c>
      <c r="C9300" s="43">
        <f>INDEX(DarlObj,20)</f>
      </c>
      <c r="D9300">
        <v>177</v>
      </c>
      <c r="E9300" s="51">
        <f>IF(INDEX(DarlBelegt,20)=0,0,EOMONTH(INDEX(DarlAuszahlung,20),176)+1)</f>
      </c>
      <c r="F9300" s="43">
        <f>IF($E9300=0,0,YEAR($E9300))</f>
      </c>
      <c r="G9300" s="43">
        <f>IF(INDEX(DarlBindung,20)="",1,IF($E9300&lt;=INDEX(DarlBindung,20),1,0))</f>
      </c>
      <c r="H9300" s="43">
        <f>IF($G9300=1,INDEX(DarlSollzins,20),INDEX(DarlAnschluss,20))</f>
      </c>
      <c r="I9300" s="43">
        <f>IF(INDEX(DarlBelegt,20)=0,0,IF(INDEX(DarlOhneTilgung,20)=1,IF(INDEX(DarlBindung,20)="",1,$G9300),IF($J9300&gt;0.005,1,0)))</f>
      </c>
      <c r="J9300" s="43">
        <f>IF($I9299=0,0,$R9299)</f>
      </c>
      <c r="K9300" s="43">
        <f>IF($I9300=0,0,IF(INDEX(DarlOhneTilgung,20)=1,0,IF(AND(INDEX(DarlTilgStart,20)&gt;0,$E9300=INDEX(DarlTilgStart,20)),$J9300*($H9300+INDEX(DarlTilgung,20))/100/12,IF(AND($G9300=0,$G9299=1),MAX($K9299,$J9300*($H9300+1)/100/12),$K9299))))</f>
      </c>
      <c r="L9300" s="43">
        <f>IF($I9300=0,0,$J9300*$H9300/100/12)</f>
      </c>
      <c r="M9300" s="43">
        <f>IF($I9300=0,0,IF(OR(INDEX(DarlOhneTilgung,20)=1,AND(INDEX(DarlTilgStart,20)&gt;0,$E9300&lt;INDEX(DarlTilgStart,20))),0,MIN(MAX(0,$K9300-$L9300),$J9300)))</f>
      </c>
      <c r="N9300" s="43">
        <f>IF($I9300=0,0,MIN(SUMIFS(SondBetrag,SondDarl,20,SondDatum,"&gt;="&amp;$E9300,SondDatum,"&lt;="&amp;EOMONTH($E9300,0)),$J9300-$M9300))</f>
      </c>
      <c r="O9300" s="43">
        <f>IF($I9300=0,0,INDEX(DarlErsatzRate,20))</f>
      </c>
      <c r="P9300" s="43">
        <f>IF($I9300=0,0,$Q9299*INDEX(DarlErsatzZins,20))</f>
      </c>
      <c r="Q9300" s="43">
        <f>IF($I9300=0,0,$Q9299+$P9300+$O9300)</f>
      </c>
      <c r="R9300" s="43">
        <f>IF($I9300=0,0,$J9300-$M9300-$N9300)</f>
      </c>
    </row>
    <row r="9301">
      <c r="A9301"/>
      <c r="B9301">
        <v>20</v>
      </c>
      <c r="C9301" s="43">
        <f>INDEX(DarlObj,20)</f>
      </c>
      <c r="D9301">
        <v>178</v>
      </c>
      <c r="E9301" s="51">
        <f>IF(INDEX(DarlBelegt,20)=0,0,EOMONTH(INDEX(DarlAuszahlung,20),177)+1)</f>
      </c>
      <c r="F9301" s="43">
        <f>IF($E9301=0,0,YEAR($E9301))</f>
      </c>
      <c r="G9301" s="43">
        <f>IF(INDEX(DarlBindung,20)="",1,IF($E9301&lt;=INDEX(DarlBindung,20),1,0))</f>
      </c>
      <c r="H9301" s="43">
        <f>IF($G9301=1,INDEX(DarlSollzins,20),INDEX(DarlAnschluss,20))</f>
      </c>
      <c r="I9301" s="43">
        <f>IF(INDEX(DarlBelegt,20)=0,0,IF(INDEX(DarlOhneTilgung,20)=1,IF(INDEX(DarlBindung,20)="",1,$G9301),IF($J9301&gt;0.005,1,0)))</f>
      </c>
      <c r="J9301" s="43">
        <f>IF($I9300=0,0,$R9300)</f>
      </c>
      <c r="K9301" s="43">
        <f>IF($I9301=0,0,IF(INDEX(DarlOhneTilgung,20)=1,0,IF(AND(INDEX(DarlTilgStart,20)&gt;0,$E9301=INDEX(DarlTilgStart,20)),$J9301*($H9301+INDEX(DarlTilgung,20))/100/12,IF(AND($G9301=0,$G9300=1),MAX($K9300,$J9301*($H9301+1)/100/12),$K9300))))</f>
      </c>
      <c r="L9301" s="43">
        <f>IF($I9301=0,0,$J9301*$H9301/100/12)</f>
      </c>
      <c r="M9301" s="43">
        <f>IF($I9301=0,0,IF(OR(INDEX(DarlOhneTilgung,20)=1,AND(INDEX(DarlTilgStart,20)&gt;0,$E9301&lt;INDEX(DarlTilgStart,20))),0,MIN(MAX(0,$K9301-$L9301),$J9301)))</f>
      </c>
      <c r="N9301" s="43">
        <f>IF($I9301=0,0,MIN(SUMIFS(SondBetrag,SondDarl,20,SondDatum,"&gt;="&amp;$E9301,SondDatum,"&lt;="&amp;EOMONTH($E9301,0)),$J9301-$M9301))</f>
      </c>
      <c r="O9301" s="43">
        <f>IF($I9301=0,0,INDEX(DarlErsatzRate,20))</f>
      </c>
      <c r="P9301" s="43">
        <f>IF($I9301=0,0,$Q9300*INDEX(DarlErsatzZins,20))</f>
      </c>
      <c r="Q9301" s="43">
        <f>IF($I9301=0,0,$Q9300+$P9301+$O9301)</f>
      </c>
      <c r="R9301" s="43">
        <f>IF($I9301=0,0,$J9301-$M9301-$N9301)</f>
      </c>
    </row>
    <row r="9302">
      <c r="A9302"/>
      <c r="B9302">
        <v>20</v>
      </c>
      <c r="C9302" s="43">
        <f>INDEX(DarlObj,20)</f>
      </c>
      <c r="D9302">
        <v>179</v>
      </c>
      <c r="E9302" s="51">
        <f>IF(INDEX(DarlBelegt,20)=0,0,EOMONTH(INDEX(DarlAuszahlung,20),178)+1)</f>
      </c>
      <c r="F9302" s="43">
        <f>IF($E9302=0,0,YEAR($E9302))</f>
      </c>
      <c r="G9302" s="43">
        <f>IF(INDEX(DarlBindung,20)="",1,IF($E9302&lt;=INDEX(DarlBindung,20),1,0))</f>
      </c>
      <c r="H9302" s="43">
        <f>IF($G9302=1,INDEX(DarlSollzins,20),INDEX(DarlAnschluss,20))</f>
      </c>
      <c r="I9302" s="43">
        <f>IF(INDEX(DarlBelegt,20)=0,0,IF(INDEX(DarlOhneTilgung,20)=1,IF(INDEX(DarlBindung,20)="",1,$G9302),IF($J9302&gt;0.005,1,0)))</f>
      </c>
      <c r="J9302" s="43">
        <f>IF($I9301=0,0,$R9301)</f>
      </c>
      <c r="K9302" s="43">
        <f>IF($I9302=0,0,IF(INDEX(DarlOhneTilgung,20)=1,0,IF(AND(INDEX(DarlTilgStart,20)&gt;0,$E9302=INDEX(DarlTilgStart,20)),$J9302*($H9302+INDEX(DarlTilgung,20))/100/12,IF(AND($G9302=0,$G9301=1),MAX($K9301,$J9302*($H9302+1)/100/12),$K9301))))</f>
      </c>
      <c r="L9302" s="43">
        <f>IF($I9302=0,0,$J9302*$H9302/100/12)</f>
      </c>
      <c r="M9302" s="43">
        <f>IF($I9302=0,0,IF(OR(INDEX(DarlOhneTilgung,20)=1,AND(INDEX(DarlTilgStart,20)&gt;0,$E9302&lt;INDEX(DarlTilgStart,20))),0,MIN(MAX(0,$K9302-$L9302),$J9302)))</f>
      </c>
      <c r="N9302" s="43">
        <f>IF($I9302=0,0,MIN(SUMIFS(SondBetrag,SondDarl,20,SondDatum,"&gt;="&amp;$E9302,SondDatum,"&lt;="&amp;EOMONTH($E9302,0)),$J9302-$M9302))</f>
      </c>
      <c r="O9302" s="43">
        <f>IF($I9302=0,0,INDEX(DarlErsatzRate,20))</f>
      </c>
      <c r="P9302" s="43">
        <f>IF($I9302=0,0,$Q9301*INDEX(DarlErsatzZins,20))</f>
      </c>
      <c r="Q9302" s="43">
        <f>IF($I9302=0,0,$Q9301+$P9302+$O9302)</f>
      </c>
      <c r="R9302" s="43">
        <f>IF($I9302=0,0,$J9302-$M9302-$N9302)</f>
      </c>
    </row>
    <row r="9303">
      <c r="A9303"/>
      <c r="B9303">
        <v>20</v>
      </c>
      <c r="C9303" s="43">
        <f>INDEX(DarlObj,20)</f>
      </c>
      <c r="D9303">
        <v>180</v>
      </c>
      <c r="E9303" s="51">
        <f>IF(INDEX(DarlBelegt,20)=0,0,EOMONTH(INDEX(DarlAuszahlung,20),179)+1)</f>
      </c>
      <c r="F9303" s="43">
        <f>IF($E9303=0,0,YEAR($E9303))</f>
      </c>
      <c r="G9303" s="43">
        <f>IF(INDEX(DarlBindung,20)="",1,IF($E9303&lt;=INDEX(DarlBindung,20),1,0))</f>
      </c>
      <c r="H9303" s="43">
        <f>IF($G9303=1,INDEX(DarlSollzins,20),INDEX(DarlAnschluss,20))</f>
      </c>
      <c r="I9303" s="43">
        <f>IF(INDEX(DarlBelegt,20)=0,0,IF(INDEX(DarlOhneTilgung,20)=1,IF(INDEX(DarlBindung,20)="",1,$G9303),IF($J9303&gt;0.005,1,0)))</f>
      </c>
      <c r="J9303" s="43">
        <f>IF($I9302=0,0,$R9302)</f>
      </c>
      <c r="K9303" s="43">
        <f>IF($I9303=0,0,IF(INDEX(DarlOhneTilgung,20)=1,0,IF(AND(INDEX(DarlTilgStart,20)&gt;0,$E9303=INDEX(DarlTilgStart,20)),$J9303*($H9303+INDEX(DarlTilgung,20))/100/12,IF(AND($G9303=0,$G9302=1),MAX($K9302,$J9303*($H9303+1)/100/12),$K9302))))</f>
      </c>
      <c r="L9303" s="43">
        <f>IF($I9303=0,0,$J9303*$H9303/100/12)</f>
      </c>
      <c r="M9303" s="43">
        <f>IF($I9303=0,0,IF(OR(INDEX(DarlOhneTilgung,20)=1,AND(INDEX(DarlTilgStart,20)&gt;0,$E9303&lt;INDEX(DarlTilgStart,20))),0,MIN(MAX(0,$K9303-$L9303),$J9303)))</f>
      </c>
      <c r="N9303" s="43">
        <f>IF($I9303=0,0,MIN(SUMIFS(SondBetrag,SondDarl,20,SondDatum,"&gt;="&amp;$E9303,SondDatum,"&lt;="&amp;EOMONTH($E9303,0)),$J9303-$M9303))</f>
      </c>
      <c r="O9303" s="43">
        <f>IF($I9303=0,0,INDEX(DarlErsatzRate,20))</f>
      </c>
      <c r="P9303" s="43">
        <f>IF($I9303=0,0,$Q9302*INDEX(DarlErsatzZins,20))</f>
      </c>
      <c r="Q9303" s="43">
        <f>IF($I9303=0,0,$Q9302+$P9303+$O9303)</f>
      </c>
      <c r="R9303" s="43">
        <f>IF($I9303=0,0,$J9303-$M9303-$N9303)</f>
      </c>
    </row>
    <row r="9304">
      <c r="A9304"/>
      <c r="B9304">
        <v>20</v>
      </c>
      <c r="C9304" s="43">
        <f>INDEX(DarlObj,20)</f>
      </c>
      <c r="D9304">
        <v>181</v>
      </c>
      <c r="E9304" s="51">
        <f>IF(INDEX(DarlBelegt,20)=0,0,EOMONTH(INDEX(DarlAuszahlung,20),180)+1)</f>
      </c>
      <c r="F9304" s="43">
        <f>IF($E9304=0,0,YEAR($E9304))</f>
      </c>
      <c r="G9304" s="43">
        <f>IF(INDEX(DarlBindung,20)="",1,IF($E9304&lt;=INDEX(DarlBindung,20),1,0))</f>
      </c>
      <c r="H9304" s="43">
        <f>IF($G9304=1,INDEX(DarlSollzins,20),INDEX(DarlAnschluss,20))</f>
      </c>
      <c r="I9304" s="43">
        <f>IF(INDEX(DarlBelegt,20)=0,0,IF(INDEX(DarlOhneTilgung,20)=1,IF(INDEX(DarlBindung,20)="",1,$G9304),IF($J9304&gt;0.005,1,0)))</f>
      </c>
      <c r="J9304" s="43">
        <f>IF($I9303=0,0,$R9303)</f>
      </c>
      <c r="K9304" s="43">
        <f>IF($I9304=0,0,IF(INDEX(DarlOhneTilgung,20)=1,0,IF(AND(INDEX(DarlTilgStart,20)&gt;0,$E9304=INDEX(DarlTilgStart,20)),$J9304*($H9304+INDEX(DarlTilgung,20))/100/12,IF(AND($G9304=0,$G9303=1),MAX($K9303,$J9304*($H9304+1)/100/12),$K9303))))</f>
      </c>
      <c r="L9304" s="43">
        <f>IF($I9304=0,0,$J9304*$H9304/100/12)</f>
      </c>
      <c r="M9304" s="43">
        <f>IF($I9304=0,0,IF(OR(INDEX(DarlOhneTilgung,20)=1,AND(INDEX(DarlTilgStart,20)&gt;0,$E9304&lt;INDEX(DarlTilgStart,20))),0,MIN(MAX(0,$K9304-$L9304),$J9304)))</f>
      </c>
      <c r="N9304" s="43">
        <f>IF($I9304=0,0,MIN(SUMIFS(SondBetrag,SondDarl,20,SondDatum,"&gt;="&amp;$E9304,SondDatum,"&lt;="&amp;EOMONTH($E9304,0)),$J9304-$M9304))</f>
      </c>
      <c r="O9304" s="43">
        <f>IF($I9304=0,0,INDEX(DarlErsatzRate,20))</f>
      </c>
      <c r="P9304" s="43">
        <f>IF($I9304=0,0,$Q9303*INDEX(DarlErsatzZins,20))</f>
      </c>
      <c r="Q9304" s="43">
        <f>IF($I9304=0,0,$Q9303+$P9304+$O9304)</f>
      </c>
      <c r="R9304" s="43">
        <f>IF($I9304=0,0,$J9304-$M9304-$N9304)</f>
      </c>
    </row>
    <row r="9305">
      <c r="A9305"/>
      <c r="B9305">
        <v>20</v>
      </c>
      <c r="C9305" s="43">
        <f>INDEX(DarlObj,20)</f>
      </c>
      <c r="D9305">
        <v>182</v>
      </c>
      <c r="E9305" s="51">
        <f>IF(INDEX(DarlBelegt,20)=0,0,EOMONTH(INDEX(DarlAuszahlung,20),181)+1)</f>
      </c>
      <c r="F9305" s="43">
        <f>IF($E9305=0,0,YEAR($E9305))</f>
      </c>
      <c r="G9305" s="43">
        <f>IF(INDEX(DarlBindung,20)="",1,IF($E9305&lt;=INDEX(DarlBindung,20),1,0))</f>
      </c>
      <c r="H9305" s="43">
        <f>IF($G9305=1,INDEX(DarlSollzins,20),INDEX(DarlAnschluss,20))</f>
      </c>
      <c r="I9305" s="43">
        <f>IF(INDEX(DarlBelegt,20)=0,0,IF(INDEX(DarlOhneTilgung,20)=1,IF(INDEX(DarlBindung,20)="",1,$G9305),IF($J9305&gt;0.005,1,0)))</f>
      </c>
      <c r="J9305" s="43">
        <f>IF($I9304=0,0,$R9304)</f>
      </c>
      <c r="K9305" s="43">
        <f>IF($I9305=0,0,IF(INDEX(DarlOhneTilgung,20)=1,0,IF(AND(INDEX(DarlTilgStart,20)&gt;0,$E9305=INDEX(DarlTilgStart,20)),$J9305*($H9305+INDEX(DarlTilgung,20))/100/12,IF(AND($G9305=0,$G9304=1),MAX($K9304,$J9305*($H9305+1)/100/12),$K9304))))</f>
      </c>
      <c r="L9305" s="43">
        <f>IF($I9305=0,0,$J9305*$H9305/100/12)</f>
      </c>
      <c r="M9305" s="43">
        <f>IF($I9305=0,0,IF(OR(INDEX(DarlOhneTilgung,20)=1,AND(INDEX(DarlTilgStart,20)&gt;0,$E9305&lt;INDEX(DarlTilgStart,20))),0,MIN(MAX(0,$K9305-$L9305),$J9305)))</f>
      </c>
      <c r="N9305" s="43">
        <f>IF($I9305=0,0,MIN(SUMIFS(SondBetrag,SondDarl,20,SondDatum,"&gt;="&amp;$E9305,SondDatum,"&lt;="&amp;EOMONTH($E9305,0)),$J9305-$M9305))</f>
      </c>
      <c r="O9305" s="43">
        <f>IF($I9305=0,0,INDEX(DarlErsatzRate,20))</f>
      </c>
      <c r="P9305" s="43">
        <f>IF($I9305=0,0,$Q9304*INDEX(DarlErsatzZins,20))</f>
      </c>
      <c r="Q9305" s="43">
        <f>IF($I9305=0,0,$Q9304+$P9305+$O9305)</f>
      </c>
      <c r="R9305" s="43">
        <f>IF($I9305=0,0,$J9305-$M9305-$N9305)</f>
      </c>
    </row>
    <row r="9306">
      <c r="A9306"/>
      <c r="B9306">
        <v>20</v>
      </c>
      <c r="C9306" s="43">
        <f>INDEX(DarlObj,20)</f>
      </c>
      <c r="D9306">
        <v>183</v>
      </c>
      <c r="E9306" s="51">
        <f>IF(INDEX(DarlBelegt,20)=0,0,EOMONTH(INDEX(DarlAuszahlung,20),182)+1)</f>
      </c>
      <c r="F9306" s="43">
        <f>IF($E9306=0,0,YEAR($E9306))</f>
      </c>
      <c r="G9306" s="43">
        <f>IF(INDEX(DarlBindung,20)="",1,IF($E9306&lt;=INDEX(DarlBindung,20),1,0))</f>
      </c>
      <c r="H9306" s="43">
        <f>IF($G9306=1,INDEX(DarlSollzins,20),INDEX(DarlAnschluss,20))</f>
      </c>
      <c r="I9306" s="43">
        <f>IF(INDEX(DarlBelegt,20)=0,0,IF(INDEX(DarlOhneTilgung,20)=1,IF(INDEX(DarlBindung,20)="",1,$G9306),IF($J9306&gt;0.005,1,0)))</f>
      </c>
      <c r="J9306" s="43">
        <f>IF($I9305=0,0,$R9305)</f>
      </c>
      <c r="K9306" s="43">
        <f>IF($I9306=0,0,IF(INDEX(DarlOhneTilgung,20)=1,0,IF(AND(INDEX(DarlTilgStart,20)&gt;0,$E9306=INDEX(DarlTilgStart,20)),$J9306*($H9306+INDEX(DarlTilgung,20))/100/12,IF(AND($G9306=0,$G9305=1),MAX($K9305,$J9306*($H9306+1)/100/12),$K9305))))</f>
      </c>
      <c r="L9306" s="43">
        <f>IF($I9306=0,0,$J9306*$H9306/100/12)</f>
      </c>
      <c r="M9306" s="43">
        <f>IF($I9306=0,0,IF(OR(INDEX(DarlOhneTilgung,20)=1,AND(INDEX(DarlTilgStart,20)&gt;0,$E9306&lt;INDEX(DarlTilgStart,20))),0,MIN(MAX(0,$K9306-$L9306),$J9306)))</f>
      </c>
      <c r="N9306" s="43">
        <f>IF($I9306=0,0,MIN(SUMIFS(SondBetrag,SondDarl,20,SondDatum,"&gt;="&amp;$E9306,SondDatum,"&lt;="&amp;EOMONTH($E9306,0)),$J9306-$M9306))</f>
      </c>
      <c r="O9306" s="43">
        <f>IF($I9306=0,0,INDEX(DarlErsatzRate,20))</f>
      </c>
      <c r="P9306" s="43">
        <f>IF($I9306=0,0,$Q9305*INDEX(DarlErsatzZins,20))</f>
      </c>
      <c r="Q9306" s="43">
        <f>IF($I9306=0,0,$Q9305+$P9306+$O9306)</f>
      </c>
      <c r="R9306" s="43">
        <f>IF($I9306=0,0,$J9306-$M9306-$N9306)</f>
      </c>
    </row>
    <row r="9307">
      <c r="A9307"/>
      <c r="B9307">
        <v>20</v>
      </c>
      <c r="C9307" s="43">
        <f>INDEX(DarlObj,20)</f>
      </c>
      <c r="D9307">
        <v>184</v>
      </c>
      <c r="E9307" s="51">
        <f>IF(INDEX(DarlBelegt,20)=0,0,EOMONTH(INDEX(DarlAuszahlung,20),183)+1)</f>
      </c>
      <c r="F9307" s="43">
        <f>IF($E9307=0,0,YEAR($E9307))</f>
      </c>
      <c r="G9307" s="43">
        <f>IF(INDEX(DarlBindung,20)="",1,IF($E9307&lt;=INDEX(DarlBindung,20),1,0))</f>
      </c>
      <c r="H9307" s="43">
        <f>IF($G9307=1,INDEX(DarlSollzins,20),INDEX(DarlAnschluss,20))</f>
      </c>
      <c r="I9307" s="43">
        <f>IF(INDEX(DarlBelegt,20)=0,0,IF(INDEX(DarlOhneTilgung,20)=1,IF(INDEX(DarlBindung,20)="",1,$G9307),IF($J9307&gt;0.005,1,0)))</f>
      </c>
      <c r="J9307" s="43">
        <f>IF($I9306=0,0,$R9306)</f>
      </c>
      <c r="K9307" s="43">
        <f>IF($I9307=0,0,IF(INDEX(DarlOhneTilgung,20)=1,0,IF(AND(INDEX(DarlTilgStart,20)&gt;0,$E9307=INDEX(DarlTilgStart,20)),$J9307*($H9307+INDEX(DarlTilgung,20))/100/12,IF(AND($G9307=0,$G9306=1),MAX($K9306,$J9307*($H9307+1)/100/12),$K9306))))</f>
      </c>
      <c r="L9307" s="43">
        <f>IF($I9307=0,0,$J9307*$H9307/100/12)</f>
      </c>
      <c r="M9307" s="43">
        <f>IF($I9307=0,0,IF(OR(INDEX(DarlOhneTilgung,20)=1,AND(INDEX(DarlTilgStart,20)&gt;0,$E9307&lt;INDEX(DarlTilgStart,20))),0,MIN(MAX(0,$K9307-$L9307),$J9307)))</f>
      </c>
      <c r="N9307" s="43">
        <f>IF($I9307=0,0,MIN(SUMIFS(SondBetrag,SondDarl,20,SondDatum,"&gt;="&amp;$E9307,SondDatum,"&lt;="&amp;EOMONTH($E9307,0)),$J9307-$M9307))</f>
      </c>
      <c r="O9307" s="43">
        <f>IF($I9307=0,0,INDEX(DarlErsatzRate,20))</f>
      </c>
      <c r="P9307" s="43">
        <f>IF($I9307=0,0,$Q9306*INDEX(DarlErsatzZins,20))</f>
      </c>
      <c r="Q9307" s="43">
        <f>IF($I9307=0,0,$Q9306+$P9307+$O9307)</f>
      </c>
      <c r="R9307" s="43">
        <f>IF($I9307=0,0,$J9307-$M9307-$N9307)</f>
      </c>
    </row>
    <row r="9308">
      <c r="A9308"/>
      <c r="B9308">
        <v>20</v>
      </c>
      <c r="C9308" s="43">
        <f>INDEX(DarlObj,20)</f>
      </c>
      <c r="D9308">
        <v>185</v>
      </c>
      <c r="E9308" s="51">
        <f>IF(INDEX(DarlBelegt,20)=0,0,EOMONTH(INDEX(DarlAuszahlung,20),184)+1)</f>
      </c>
      <c r="F9308" s="43">
        <f>IF($E9308=0,0,YEAR($E9308))</f>
      </c>
      <c r="G9308" s="43">
        <f>IF(INDEX(DarlBindung,20)="",1,IF($E9308&lt;=INDEX(DarlBindung,20),1,0))</f>
      </c>
      <c r="H9308" s="43">
        <f>IF($G9308=1,INDEX(DarlSollzins,20),INDEX(DarlAnschluss,20))</f>
      </c>
      <c r="I9308" s="43">
        <f>IF(INDEX(DarlBelegt,20)=0,0,IF(INDEX(DarlOhneTilgung,20)=1,IF(INDEX(DarlBindung,20)="",1,$G9308),IF($J9308&gt;0.005,1,0)))</f>
      </c>
      <c r="J9308" s="43">
        <f>IF($I9307=0,0,$R9307)</f>
      </c>
      <c r="K9308" s="43">
        <f>IF($I9308=0,0,IF(INDEX(DarlOhneTilgung,20)=1,0,IF(AND(INDEX(DarlTilgStart,20)&gt;0,$E9308=INDEX(DarlTilgStart,20)),$J9308*($H9308+INDEX(DarlTilgung,20))/100/12,IF(AND($G9308=0,$G9307=1),MAX($K9307,$J9308*($H9308+1)/100/12),$K9307))))</f>
      </c>
      <c r="L9308" s="43">
        <f>IF($I9308=0,0,$J9308*$H9308/100/12)</f>
      </c>
      <c r="M9308" s="43">
        <f>IF($I9308=0,0,IF(OR(INDEX(DarlOhneTilgung,20)=1,AND(INDEX(DarlTilgStart,20)&gt;0,$E9308&lt;INDEX(DarlTilgStart,20))),0,MIN(MAX(0,$K9308-$L9308),$J9308)))</f>
      </c>
      <c r="N9308" s="43">
        <f>IF($I9308=0,0,MIN(SUMIFS(SondBetrag,SondDarl,20,SondDatum,"&gt;="&amp;$E9308,SondDatum,"&lt;="&amp;EOMONTH($E9308,0)),$J9308-$M9308))</f>
      </c>
      <c r="O9308" s="43">
        <f>IF($I9308=0,0,INDEX(DarlErsatzRate,20))</f>
      </c>
      <c r="P9308" s="43">
        <f>IF($I9308=0,0,$Q9307*INDEX(DarlErsatzZins,20))</f>
      </c>
      <c r="Q9308" s="43">
        <f>IF($I9308=0,0,$Q9307+$P9308+$O9308)</f>
      </c>
      <c r="R9308" s="43">
        <f>IF($I9308=0,0,$J9308-$M9308-$N9308)</f>
      </c>
    </row>
    <row r="9309">
      <c r="A9309"/>
      <c r="B9309">
        <v>20</v>
      </c>
      <c r="C9309" s="43">
        <f>INDEX(DarlObj,20)</f>
      </c>
      <c r="D9309">
        <v>186</v>
      </c>
      <c r="E9309" s="51">
        <f>IF(INDEX(DarlBelegt,20)=0,0,EOMONTH(INDEX(DarlAuszahlung,20),185)+1)</f>
      </c>
      <c r="F9309" s="43">
        <f>IF($E9309=0,0,YEAR($E9309))</f>
      </c>
      <c r="G9309" s="43">
        <f>IF(INDEX(DarlBindung,20)="",1,IF($E9309&lt;=INDEX(DarlBindung,20),1,0))</f>
      </c>
      <c r="H9309" s="43">
        <f>IF($G9309=1,INDEX(DarlSollzins,20),INDEX(DarlAnschluss,20))</f>
      </c>
      <c r="I9309" s="43">
        <f>IF(INDEX(DarlBelegt,20)=0,0,IF(INDEX(DarlOhneTilgung,20)=1,IF(INDEX(DarlBindung,20)="",1,$G9309),IF($J9309&gt;0.005,1,0)))</f>
      </c>
      <c r="J9309" s="43">
        <f>IF($I9308=0,0,$R9308)</f>
      </c>
      <c r="K9309" s="43">
        <f>IF($I9309=0,0,IF(INDEX(DarlOhneTilgung,20)=1,0,IF(AND(INDEX(DarlTilgStart,20)&gt;0,$E9309=INDEX(DarlTilgStart,20)),$J9309*($H9309+INDEX(DarlTilgung,20))/100/12,IF(AND($G9309=0,$G9308=1),MAX($K9308,$J9309*($H9309+1)/100/12),$K9308))))</f>
      </c>
      <c r="L9309" s="43">
        <f>IF($I9309=0,0,$J9309*$H9309/100/12)</f>
      </c>
      <c r="M9309" s="43">
        <f>IF($I9309=0,0,IF(OR(INDEX(DarlOhneTilgung,20)=1,AND(INDEX(DarlTilgStart,20)&gt;0,$E9309&lt;INDEX(DarlTilgStart,20))),0,MIN(MAX(0,$K9309-$L9309),$J9309)))</f>
      </c>
      <c r="N9309" s="43">
        <f>IF($I9309=0,0,MIN(SUMIFS(SondBetrag,SondDarl,20,SondDatum,"&gt;="&amp;$E9309,SondDatum,"&lt;="&amp;EOMONTH($E9309,0)),$J9309-$M9309))</f>
      </c>
      <c r="O9309" s="43">
        <f>IF($I9309=0,0,INDEX(DarlErsatzRate,20))</f>
      </c>
      <c r="P9309" s="43">
        <f>IF($I9309=0,0,$Q9308*INDEX(DarlErsatzZins,20))</f>
      </c>
      <c r="Q9309" s="43">
        <f>IF($I9309=0,0,$Q9308+$P9309+$O9309)</f>
      </c>
      <c r="R9309" s="43">
        <f>IF($I9309=0,0,$J9309-$M9309-$N9309)</f>
      </c>
    </row>
    <row r="9310">
      <c r="A9310"/>
      <c r="B9310">
        <v>20</v>
      </c>
      <c r="C9310" s="43">
        <f>INDEX(DarlObj,20)</f>
      </c>
      <c r="D9310">
        <v>187</v>
      </c>
      <c r="E9310" s="51">
        <f>IF(INDEX(DarlBelegt,20)=0,0,EOMONTH(INDEX(DarlAuszahlung,20),186)+1)</f>
      </c>
      <c r="F9310" s="43">
        <f>IF($E9310=0,0,YEAR($E9310))</f>
      </c>
      <c r="G9310" s="43">
        <f>IF(INDEX(DarlBindung,20)="",1,IF($E9310&lt;=INDEX(DarlBindung,20),1,0))</f>
      </c>
      <c r="H9310" s="43">
        <f>IF($G9310=1,INDEX(DarlSollzins,20),INDEX(DarlAnschluss,20))</f>
      </c>
      <c r="I9310" s="43">
        <f>IF(INDEX(DarlBelegt,20)=0,0,IF(INDEX(DarlOhneTilgung,20)=1,IF(INDEX(DarlBindung,20)="",1,$G9310),IF($J9310&gt;0.005,1,0)))</f>
      </c>
      <c r="J9310" s="43">
        <f>IF($I9309=0,0,$R9309)</f>
      </c>
      <c r="K9310" s="43">
        <f>IF($I9310=0,0,IF(INDEX(DarlOhneTilgung,20)=1,0,IF(AND(INDEX(DarlTilgStart,20)&gt;0,$E9310=INDEX(DarlTilgStart,20)),$J9310*($H9310+INDEX(DarlTilgung,20))/100/12,IF(AND($G9310=0,$G9309=1),MAX($K9309,$J9310*($H9310+1)/100/12),$K9309))))</f>
      </c>
      <c r="L9310" s="43">
        <f>IF($I9310=0,0,$J9310*$H9310/100/12)</f>
      </c>
      <c r="M9310" s="43">
        <f>IF($I9310=0,0,IF(OR(INDEX(DarlOhneTilgung,20)=1,AND(INDEX(DarlTilgStart,20)&gt;0,$E9310&lt;INDEX(DarlTilgStart,20))),0,MIN(MAX(0,$K9310-$L9310),$J9310)))</f>
      </c>
      <c r="N9310" s="43">
        <f>IF($I9310=0,0,MIN(SUMIFS(SondBetrag,SondDarl,20,SondDatum,"&gt;="&amp;$E9310,SondDatum,"&lt;="&amp;EOMONTH($E9310,0)),$J9310-$M9310))</f>
      </c>
      <c r="O9310" s="43">
        <f>IF($I9310=0,0,INDEX(DarlErsatzRate,20))</f>
      </c>
      <c r="P9310" s="43">
        <f>IF($I9310=0,0,$Q9309*INDEX(DarlErsatzZins,20))</f>
      </c>
      <c r="Q9310" s="43">
        <f>IF($I9310=0,0,$Q9309+$P9310+$O9310)</f>
      </c>
      <c r="R9310" s="43">
        <f>IF($I9310=0,0,$J9310-$M9310-$N9310)</f>
      </c>
    </row>
    <row r="9311">
      <c r="A9311"/>
      <c r="B9311">
        <v>20</v>
      </c>
      <c r="C9311" s="43">
        <f>INDEX(DarlObj,20)</f>
      </c>
      <c r="D9311">
        <v>188</v>
      </c>
      <c r="E9311" s="51">
        <f>IF(INDEX(DarlBelegt,20)=0,0,EOMONTH(INDEX(DarlAuszahlung,20),187)+1)</f>
      </c>
      <c r="F9311" s="43">
        <f>IF($E9311=0,0,YEAR($E9311))</f>
      </c>
      <c r="G9311" s="43">
        <f>IF(INDEX(DarlBindung,20)="",1,IF($E9311&lt;=INDEX(DarlBindung,20),1,0))</f>
      </c>
      <c r="H9311" s="43">
        <f>IF($G9311=1,INDEX(DarlSollzins,20),INDEX(DarlAnschluss,20))</f>
      </c>
      <c r="I9311" s="43">
        <f>IF(INDEX(DarlBelegt,20)=0,0,IF(INDEX(DarlOhneTilgung,20)=1,IF(INDEX(DarlBindung,20)="",1,$G9311),IF($J9311&gt;0.005,1,0)))</f>
      </c>
      <c r="J9311" s="43">
        <f>IF($I9310=0,0,$R9310)</f>
      </c>
      <c r="K9311" s="43">
        <f>IF($I9311=0,0,IF(INDEX(DarlOhneTilgung,20)=1,0,IF(AND(INDEX(DarlTilgStart,20)&gt;0,$E9311=INDEX(DarlTilgStart,20)),$J9311*($H9311+INDEX(DarlTilgung,20))/100/12,IF(AND($G9311=0,$G9310=1),MAX($K9310,$J9311*($H9311+1)/100/12),$K9310))))</f>
      </c>
      <c r="L9311" s="43">
        <f>IF($I9311=0,0,$J9311*$H9311/100/12)</f>
      </c>
      <c r="M9311" s="43">
        <f>IF($I9311=0,0,IF(OR(INDEX(DarlOhneTilgung,20)=1,AND(INDEX(DarlTilgStart,20)&gt;0,$E9311&lt;INDEX(DarlTilgStart,20))),0,MIN(MAX(0,$K9311-$L9311),$J9311)))</f>
      </c>
      <c r="N9311" s="43">
        <f>IF($I9311=0,0,MIN(SUMIFS(SondBetrag,SondDarl,20,SondDatum,"&gt;="&amp;$E9311,SondDatum,"&lt;="&amp;EOMONTH($E9311,0)),$J9311-$M9311))</f>
      </c>
      <c r="O9311" s="43">
        <f>IF($I9311=0,0,INDEX(DarlErsatzRate,20))</f>
      </c>
      <c r="P9311" s="43">
        <f>IF($I9311=0,0,$Q9310*INDEX(DarlErsatzZins,20))</f>
      </c>
      <c r="Q9311" s="43">
        <f>IF($I9311=0,0,$Q9310+$P9311+$O9311)</f>
      </c>
      <c r="R9311" s="43">
        <f>IF($I9311=0,0,$J9311-$M9311-$N9311)</f>
      </c>
    </row>
    <row r="9312">
      <c r="A9312"/>
      <c r="B9312">
        <v>20</v>
      </c>
      <c r="C9312" s="43">
        <f>INDEX(DarlObj,20)</f>
      </c>
      <c r="D9312">
        <v>189</v>
      </c>
      <c r="E9312" s="51">
        <f>IF(INDEX(DarlBelegt,20)=0,0,EOMONTH(INDEX(DarlAuszahlung,20),188)+1)</f>
      </c>
      <c r="F9312" s="43">
        <f>IF($E9312=0,0,YEAR($E9312))</f>
      </c>
      <c r="G9312" s="43">
        <f>IF(INDEX(DarlBindung,20)="",1,IF($E9312&lt;=INDEX(DarlBindung,20),1,0))</f>
      </c>
      <c r="H9312" s="43">
        <f>IF($G9312=1,INDEX(DarlSollzins,20),INDEX(DarlAnschluss,20))</f>
      </c>
      <c r="I9312" s="43">
        <f>IF(INDEX(DarlBelegt,20)=0,0,IF(INDEX(DarlOhneTilgung,20)=1,IF(INDEX(DarlBindung,20)="",1,$G9312),IF($J9312&gt;0.005,1,0)))</f>
      </c>
      <c r="J9312" s="43">
        <f>IF($I9311=0,0,$R9311)</f>
      </c>
      <c r="K9312" s="43">
        <f>IF($I9312=0,0,IF(INDEX(DarlOhneTilgung,20)=1,0,IF(AND(INDEX(DarlTilgStart,20)&gt;0,$E9312=INDEX(DarlTilgStart,20)),$J9312*($H9312+INDEX(DarlTilgung,20))/100/12,IF(AND($G9312=0,$G9311=1),MAX($K9311,$J9312*($H9312+1)/100/12),$K9311))))</f>
      </c>
      <c r="L9312" s="43">
        <f>IF($I9312=0,0,$J9312*$H9312/100/12)</f>
      </c>
      <c r="M9312" s="43">
        <f>IF($I9312=0,0,IF(OR(INDEX(DarlOhneTilgung,20)=1,AND(INDEX(DarlTilgStart,20)&gt;0,$E9312&lt;INDEX(DarlTilgStart,20))),0,MIN(MAX(0,$K9312-$L9312),$J9312)))</f>
      </c>
      <c r="N9312" s="43">
        <f>IF($I9312=0,0,MIN(SUMIFS(SondBetrag,SondDarl,20,SondDatum,"&gt;="&amp;$E9312,SondDatum,"&lt;="&amp;EOMONTH($E9312,0)),$J9312-$M9312))</f>
      </c>
      <c r="O9312" s="43">
        <f>IF($I9312=0,0,INDEX(DarlErsatzRate,20))</f>
      </c>
      <c r="P9312" s="43">
        <f>IF($I9312=0,0,$Q9311*INDEX(DarlErsatzZins,20))</f>
      </c>
      <c r="Q9312" s="43">
        <f>IF($I9312=0,0,$Q9311+$P9312+$O9312)</f>
      </c>
      <c r="R9312" s="43">
        <f>IF($I9312=0,0,$J9312-$M9312-$N9312)</f>
      </c>
    </row>
    <row r="9313">
      <c r="A9313"/>
      <c r="B9313">
        <v>20</v>
      </c>
      <c r="C9313" s="43">
        <f>INDEX(DarlObj,20)</f>
      </c>
      <c r="D9313">
        <v>190</v>
      </c>
      <c r="E9313" s="51">
        <f>IF(INDEX(DarlBelegt,20)=0,0,EOMONTH(INDEX(DarlAuszahlung,20),189)+1)</f>
      </c>
      <c r="F9313" s="43">
        <f>IF($E9313=0,0,YEAR($E9313))</f>
      </c>
      <c r="G9313" s="43">
        <f>IF(INDEX(DarlBindung,20)="",1,IF($E9313&lt;=INDEX(DarlBindung,20),1,0))</f>
      </c>
      <c r="H9313" s="43">
        <f>IF($G9313=1,INDEX(DarlSollzins,20),INDEX(DarlAnschluss,20))</f>
      </c>
      <c r="I9313" s="43">
        <f>IF(INDEX(DarlBelegt,20)=0,0,IF(INDEX(DarlOhneTilgung,20)=1,IF(INDEX(DarlBindung,20)="",1,$G9313),IF($J9313&gt;0.005,1,0)))</f>
      </c>
      <c r="J9313" s="43">
        <f>IF($I9312=0,0,$R9312)</f>
      </c>
      <c r="K9313" s="43">
        <f>IF($I9313=0,0,IF(INDEX(DarlOhneTilgung,20)=1,0,IF(AND(INDEX(DarlTilgStart,20)&gt;0,$E9313=INDEX(DarlTilgStart,20)),$J9313*($H9313+INDEX(DarlTilgung,20))/100/12,IF(AND($G9313=0,$G9312=1),MAX($K9312,$J9313*($H9313+1)/100/12),$K9312))))</f>
      </c>
      <c r="L9313" s="43">
        <f>IF($I9313=0,0,$J9313*$H9313/100/12)</f>
      </c>
      <c r="M9313" s="43">
        <f>IF($I9313=0,0,IF(OR(INDEX(DarlOhneTilgung,20)=1,AND(INDEX(DarlTilgStart,20)&gt;0,$E9313&lt;INDEX(DarlTilgStart,20))),0,MIN(MAX(0,$K9313-$L9313),$J9313)))</f>
      </c>
      <c r="N9313" s="43">
        <f>IF($I9313=0,0,MIN(SUMIFS(SondBetrag,SondDarl,20,SondDatum,"&gt;="&amp;$E9313,SondDatum,"&lt;="&amp;EOMONTH($E9313,0)),$J9313-$M9313))</f>
      </c>
      <c r="O9313" s="43">
        <f>IF($I9313=0,0,INDEX(DarlErsatzRate,20))</f>
      </c>
      <c r="P9313" s="43">
        <f>IF($I9313=0,0,$Q9312*INDEX(DarlErsatzZins,20))</f>
      </c>
      <c r="Q9313" s="43">
        <f>IF($I9313=0,0,$Q9312+$P9313+$O9313)</f>
      </c>
      <c r="R9313" s="43">
        <f>IF($I9313=0,0,$J9313-$M9313-$N9313)</f>
      </c>
    </row>
    <row r="9314">
      <c r="A9314"/>
      <c r="B9314">
        <v>20</v>
      </c>
      <c r="C9314" s="43">
        <f>INDEX(DarlObj,20)</f>
      </c>
      <c r="D9314">
        <v>191</v>
      </c>
      <c r="E9314" s="51">
        <f>IF(INDEX(DarlBelegt,20)=0,0,EOMONTH(INDEX(DarlAuszahlung,20),190)+1)</f>
      </c>
      <c r="F9314" s="43">
        <f>IF($E9314=0,0,YEAR($E9314))</f>
      </c>
      <c r="G9314" s="43">
        <f>IF(INDEX(DarlBindung,20)="",1,IF($E9314&lt;=INDEX(DarlBindung,20),1,0))</f>
      </c>
      <c r="H9314" s="43">
        <f>IF($G9314=1,INDEX(DarlSollzins,20),INDEX(DarlAnschluss,20))</f>
      </c>
      <c r="I9314" s="43">
        <f>IF(INDEX(DarlBelegt,20)=0,0,IF(INDEX(DarlOhneTilgung,20)=1,IF(INDEX(DarlBindung,20)="",1,$G9314),IF($J9314&gt;0.005,1,0)))</f>
      </c>
      <c r="J9314" s="43">
        <f>IF($I9313=0,0,$R9313)</f>
      </c>
      <c r="K9314" s="43">
        <f>IF($I9314=0,0,IF(INDEX(DarlOhneTilgung,20)=1,0,IF(AND(INDEX(DarlTilgStart,20)&gt;0,$E9314=INDEX(DarlTilgStart,20)),$J9314*($H9314+INDEX(DarlTilgung,20))/100/12,IF(AND($G9314=0,$G9313=1),MAX($K9313,$J9314*($H9314+1)/100/12),$K9313))))</f>
      </c>
      <c r="L9314" s="43">
        <f>IF($I9314=0,0,$J9314*$H9314/100/12)</f>
      </c>
      <c r="M9314" s="43">
        <f>IF($I9314=0,0,IF(OR(INDEX(DarlOhneTilgung,20)=1,AND(INDEX(DarlTilgStart,20)&gt;0,$E9314&lt;INDEX(DarlTilgStart,20))),0,MIN(MAX(0,$K9314-$L9314),$J9314)))</f>
      </c>
      <c r="N9314" s="43">
        <f>IF($I9314=0,0,MIN(SUMIFS(SondBetrag,SondDarl,20,SondDatum,"&gt;="&amp;$E9314,SondDatum,"&lt;="&amp;EOMONTH($E9314,0)),$J9314-$M9314))</f>
      </c>
      <c r="O9314" s="43">
        <f>IF($I9314=0,0,INDEX(DarlErsatzRate,20))</f>
      </c>
      <c r="P9314" s="43">
        <f>IF($I9314=0,0,$Q9313*INDEX(DarlErsatzZins,20))</f>
      </c>
      <c r="Q9314" s="43">
        <f>IF($I9314=0,0,$Q9313+$P9314+$O9314)</f>
      </c>
      <c r="R9314" s="43">
        <f>IF($I9314=0,0,$J9314-$M9314-$N9314)</f>
      </c>
    </row>
    <row r="9315">
      <c r="A9315"/>
      <c r="B9315">
        <v>20</v>
      </c>
      <c r="C9315" s="43">
        <f>INDEX(DarlObj,20)</f>
      </c>
      <c r="D9315">
        <v>192</v>
      </c>
      <c r="E9315" s="51">
        <f>IF(INDEX(DarlBelegt,20)=0,0,EOMONTH(INDEX(DarlAuszahlung,20),191)+1)</f>
      </c>
      <c r="F9315" s="43">
        <f>IF($E9315=0,0,YEAR($E9315))</f>
      </c>
      <c r="G9315" s="43">
        <f>IF(INDEX(DarlBindung,20)="",1,IF($E9315&lt;=INDEX(DarlBindung,20),1,0))</f>
      </c>
      <c r="H9315" s="43">
        <f>IF($G9315=1,INDEX(DarlSollzins,20),INDEX(DarlAnschluss,20))</f>
      </c>
      <c r="I9315" s="43">
        <f>IF(INDEX(DarlBelegt,20)=0,0,IF(INDEX(DarlOhneTilgung,20)=1,IF(INDEX(DarlBindung,20)="",1,$G9315),IF($J9315&gt;0.005,1,0)))</f>
      </c>
      <c r="J9315" s="43">
        <f>IF($I9314=0,0,$R9314)</f>
      </c>
      <c r="K9315" s="43">
        <f>IF($I9315=0,0,IF(INDEX(DarlOhneTilgung,20)=1,0,IF(AND(INDEX(DarlTilgStart,20)&gt;0,$E9315=INDEX(DarlTilgStart,20)),$J9315*($H9315+INDEX(DarlTilgung,20))/100/12,IF(AND($G9315=0,$G9314=1),MAX($K9314,$J9315*($H9315+1)/100/12),$K9314))))</f>
      </c>
      <c r="L9315" s="43">
        <f>IF($I9315=0,0,$J9315*$H9315/100/12)</f>
      </c>
      <c r="M9315" s="43">
        <f>IF($I9315=0,0,IF(OR(INDEX(DarlOhneTilgung,20)=1,AND(INDEX(DarlTilgStart,20)&gt;0,$E9315&lt;INDEX(DarlTilgStart,20))),0,MIN(MAX(0,$K9315-$L9315),$J9315)))</f>
      </c>
      <c r="N9315" s="43">
        <f>IF($I9315=0,0,MIN(SUMIFS(SondBetrag,SondDarl,20,SondDatum,"&gt;="&amp;$E9315,SondDatum,"&lt;="&amp;EOMONTH($E9315,0)),$J9315-$M9315))</f>
      </c>
      <c r="O9315" s="43">
        <f>IF($I9315=0,0,INDEX(DarlErsatzRate,20))</f>
      </c>
      <c r="P9315" s="43">
        <f>IF($I9315=0,0,$Q9314*INDEX(DarlErsatzZins,20))</f>
      </c>
      <c r="Q9315" s="43">
        <f>IF($I9315=0,0,$Q9314+$P9315+$O9315)</f>
      </c>
      <c r="R9315" s="43">
        <f>IF($I9315=0,0,$J9315-$M9315-$N9315)</f>
      </c>
    </row>
    <row r="9316">
      <c r="A9316"/>
      <c r="B9316">
        <v>20</v>
      </c>
      <c r="C9316" s="43">
        <f>INDEX(DarlObj,20)</f>
      </c>
      <c r="D9316">
        <v>193</v>
      </c>
      <c r="E9316" s="51">
        <f>IF(INDEX(DarlBelegt,20)=0,0,EOMONTH(INDEX(DarlAuszahlung,20),192)+1)</f>
      </c>
      <c r="F9316" s="43">
        <f>IF($E9316=0,0,YEAR($E9316))</f>
      </c>
      <c r="G9316" s="43">
        <f>IF(INDEX(DarlBindung,20)="",1,IF($E9316&lt;=INDEX(DarlBindung,20),1,0))</f>
      </c>
      <c r="H9316" s="43">
        <f>IF($G9316=1,INDEX(DarlSollzins,20),INDEX(DarlAnschluss,20))</f>
      </c>
      <c r="I9316" s="43">
        <f>IF(INDEX(DarlBelegt,20)=0,0,IF(INDEX(DarlOhneTilgung,20)=1,IF(INDEX(DarlBindung,20)="",1,$G9316),IF($J9316&gt;0.005,1,0)))</f>
      </c>
      <c r="J9316" s="43">
        <f>IF($I9315=0,0,$R9315)</f>
      </c>
      <c r="K9316" s="43">
        <f>IF($I9316=0,0,IF(INDEX(DarlOhneTilgung,20)=1,0,IF(AND(INDEX(DarlTilgStart,20)&gt;0,$E9316=INDEX(DarlTilgStart,20)),$J9316*($H9316+INDEX(DarlTilgung,20))/100/12,IF(AND($G9316=0,$G9315=1),MAX($K9315,$J9316*($H9316+1)/100/12),$K9315))))</f>
      </c>
      <c r="L9316" s="43">
        <f>IF($I9316=0,0,$J9316*$H9316/100/12)</f>
      </c>
      <c r="M9316" s="43">
        <f>IF($I9316=0,0,IF(OR(INDEX(DarlOhneTilgung,20)=1,AND(INDEX(DarlTilgStart,20)&gt;0,$E9316&lt;INDEX(DarlTilgStart,20))),0,MIN(MAX(0,$K9316-$L9316),$J9316)))</f>
      </c>
      <c r="N9316" s="43">
        <f>IF($I9316=0,0,MIN(SUMIFS(SondBetrag,SondDarl,20,SondDatum,"&gt;="&amp;$E9316,SondDatum,"&lt;="&amp;EOMONTH($E9316,0)),$J9316-$M9316))</f>
      </c>
      <c r="O9316" s="43">
        <f>IF($I9316=0,0,INDEX(DarlErsatzRate,20))</f>
      </c>
      <c r="P9316" s="43">
        <f>IF($I9316=0,0,$Q9315*INDEX(DarlErsatzZins,20))</f>
      </c>
      <c r="Q9316" s="43">
        <f>IF($I9316=0,0,$Q9315+$P9316+$O9316)</f>
      </c>
      <c r="R9316" s="43">
        <f>IF($I9316=0,0,$J9316-$M9316-$N9316)</f>
      </c>
    </row>
    <row r="9317">
      <c r="A9317"/>
      <c r="B9317">
        <v>20</v>
      </c>
      <c r="C9317" s="43">
        <f>INDEX(DarlObj,20)</f>
      </c>
      <c r="D9317">
        <v>194</v>
      </c>
      <c r="E9317" s="51">
        <f>IF(INDEX(DarlBelegt,20)=0,0,EOMONTH(INDEX(DarlAuszahlung,20),193)+1)</f>
      </c>
      <c r="F9317" s="43">
        <f>IF($E9317=0,0,YEAR($E9317))</f>
      </c>
      <c r="G9317" s="43">
        <f>IF(INDEX(DarlBindung,20)="",1,IF($E9317&lt;=INDEX(DarlBindung,20),1,0))</f>
      </c>
      <c r="H9317" s="43">
        <f>IF($G9317=1,INDEX(DarlSollzins,20),INDEX(DarlAnschluss,20))</f>
      </c>
      <c r="I9317" s="43">
        <f>IF(INDEX(DarlBelegt,20)=0,0,IF(INDEX(DarlOhneTilgung,20)=1,IF(INDEX(DarlBindung,20)="",1,$G9317),IF($J9317&gt;0.005,1,0)))</f>
      </c>
      <c r="J9317" s="43">
        <f>IF($I9316=0,0,$R9316)</f>
      </c>
      <c r="K9317" s="43">
        <f>IF($I9317=0,0,IF(INDEX(DarlOhneTilgung,20)=1,0,IF(AND(INDEX(DarlTilgStart,20)&gt;0,$E9317=INDEX(DarlTilgStart,20)),$J9317*($H9317+INDEX(DarlTilgung,20))/100/12,IF(AND($G9317=0,$G9316=1),MAX($K9316,$J9317*($H9317+1)/100/12),$K9316))))</f>
      </c>
      <c r="L9317" s="43">
        <f>IF($I9317=0,0,$J9317*$H9317/100/12)</f>
      </c>
      <c r="M9317" s="43">
        <f>IF($I9317=0,0,IF(OR(INDEX(DarlOhneTilgung,20)=1,AND(INDEX(DarlTilgStart,20)&gt;0,$E9317&lt;INDEX(DarlTilgStart,20))),0,MIN(MAX(0,$K9317-$L9317),$J9317)))</f>
      </c>
      <c r="N9317" s="43">
        <f>IF($I9317=0,0,MIN(SUMIFS(SondBetrag,SondDarl,20,SondDatum,"&gt;="&amp;$E9317,SondDatum,"&lt;="&amp;EOMONTH($E9317,0)),$J9317-$M9317))</f>
      </c>
      <c r="O9317" s="43">
        <f>IF($I9317=0,0,INDEX(DarlErsatzRate,20))</f>
      </c>
      <c r="P9317" s="43">
        <f>IF($I9317=0,0,$Q9316*INDEX(DarlErsatzZins,20))</f>
      </c>
      <c r="Q9317" s="43">
        <f>IF($I9317=0,0,$Q9316+$P9317+$O9317)</f>
      </c>
      <c r="R9317" s="43">
        <f>IF($I9317=0,0,$J9317-$M9317-$N9317)</f>
      </c>
    </row>
    <row r="9318">
      <c r="A9318"/>
      <c r="B9318">
        <v>20</v>
      </c>
      <c r="C9318" s="43">
        <f>INDEX(DarlObj,20)</f>
      </c>
      <c r="D9318">
        <v>195</v>
      </c>
      <c r="E9318" s="51">
        <f>IF(INDEX(DarlBelegt,20)=0,0,EOMONTH(INDEX(DarlAuszahlung,20),194)+1)</f>
      </c>
      <c r="F9318" s="43">
        <f>IF($E9318=0,0,YEAR($E9318))</f>
      </c>
      <c r="G9318" s="43">
        <f>IF(INDEX(DarlBindung,20)="",1,IF($E9318&lt;=INDEX(DarlBindung,20),1,0))</f>
      </c>
      <c r="H9318" s="43">
        <f>IF($G9318=1,INDEX(DarlSollzins,20),INDEX(DarlAnschluss,20))</f>
      </c>
      <c r="I9318" s="43">
        <f>IF(INDEX(DarlBelegt,20)=0,0,IF(INDEX(DarlOhneTilgung,20)=1,IF(INDEX(DarlBindung,20)="",1,$G9318),IF($J9318&gt;0.005,1,0)))</f>
      </c>
      <c r="J9318" s="43">
        <f>IF($I9317=0,0,$R9317)</f>
      </c>
      <c r="K9318" s="43">
        <f>IF($I9318=0,0,IF(INDEX(DarlOhneTilgung,20)=1,0,IF(AND(INDEX(DarlTilgStart,20)&gt;0,$E9318=INDEX(DarlTilgStart,20)),$J9318*($H9318+INDEX(DarlTilgung,20))/100/12,IF(AND($G9318=0,$G9317=1),MAX($K9317,$J9318*($H9318+1)/100/12),$K9317))))</f>
      </c>
      <c r="L9318" s="43">
        <f>IF($I9318=0,0,$J9318*$H9318/100/12)</f>
      </c>
      <c r="M9318" s="43">
        <f>IF($I9318=0,0,IF(OR(INDEX(DarlOhneTilgung,20)=1,AND(INDEX(DarlTilgStart,20)&gt;0,$E9318&lt;INDEX(DarlTilgStart,20))),0,MIN(MAX(0,$K9318-$L9318),$J9318)))</f>
      </c>
      <c r="N9318" s="43">
        <f>IF($I9318=0,0,MIN(SUMIFS(SondBetrag,SondDarl,20,SondDatum,"&gt;="&amp;$E9318,SondDatum,"&lt;="&amp;EOMONTH($E9318,0)),$J9318-$M9318))</f>
      </c>
      <c r="O9318" s="43">
        <f>IF($I9318=0,0,INDEX(DarlErsatzRate,20))</f>
      </c>
      <c r="P9318" s="43">
        <f>IF($I9318=0,0,$Q9317*INDEX(DarlErsatzZins,20))</f>
      </c>
      <c r="Q9318" s="43">
        <f>IF($I9318=0,0,$Q9317+$P9318+$O9318)</f>
      </c>
      <c r="R9318" s="43">
        <f>IF($I9318=0,0,$J9318-$M9318-$N9318)</f>
      </c>
    </row>
    <row r="9319">
      <c r="A9319"/>
      <c r="B9319">
        <v>20</v>
      </c>
      <c r="C9319" s="43">
        <f>INDEX(DarlObj,20)</f>
      </c>
      <c r="D9319">
        <v>196</v>
      </c>
      <c r="E9319" s="51">
        <f>IF(INDEX(DarlBelegt,20)=0,0,EOMONTH(INDEX(DarlAuszahlung,20),195)+1)</f>
      </c>
      <c r="F9319" s="43">
        <f>IF($E9319=0,0,YEAR($E9319))</f>
      </c>
      <c r="G9319" s="43">
        <f>IF(INDEX(DarlBindung,20)="",1,IF($E9319&lt;=INDEX(DarlBindung,20),1,0))</f>
      </c>
      <c r="H9319" s="43">
        <f>IF($G9319=1,INDEX(DarlSollzins,20),INDEX(DarlAnschluss,20))</f>
      </c>
      <c r="I9319" s="43">
        <f>IF(INDEX(DarlBelegt,20)=0,0,IF(INDEX(DarlOhneTilgung,20)=1,IF(INDEX(DarlBindung,20)="",1,$G9319),IF($J9319&gt;0.005,1,0)))</f>
      </c>
      <c r="J9319" s="43">
        <f>IF($I9318=0,0,$R9318)</f>
      </c>
      <c r="K9319" s="43">
        <f>IF($I9319=0,0,IF(INDEX(DarlOhneTilgung,20)=1,0,IF(AND(INDEX(DarlTilgStart,20)&gt;0,$E9319=INDEX(DarlTilgStart,20)),$J9319*($H9319+INDEX(DarlTilgung,20))/100/12,IF(AND($G9319=0,$G9318=1),MAX($K9318,$J9319*($H9319+1)/100/12),$K9318))))</f>
      </c>
      <c r="L9319" s="43">
        <f>IF($I9319=0,0,$J9319*$H9319/100/12)</f>
      </c>
      <c r="M9319" s="43">
        <f>IF($I9319=0,0,IF(OR(INDEX(DarlOhneTilgung,20)=1,AND(INDEX(DarlTilgStart,20)&gt;0,$E9319&lt;INDEX(DarlTilgStart,20))),0,MIN(MAX(0,$K9319-$L9319),$J9319)))</f>
      </c>
      <c r="N9319" s="43">
        <f>IF($I9319=0,0,MIN(SUMIFS(SondBetrag,SondDarl,20,SondDatum,"&gt;="&amp;$E9319,SondDatum,"&lt;="&amp;EOMONTH($E9319,0)),$J9319-$M9319))</f>
      </c>
      <c r="O9319" s="43">
        <f>IF($I9319=0,0,INDEX(DarlErsatzRate,20))</f>
      </c>
      <c r="P9319" s="43">
        <f>IF($I9319=0,0,$Q9318*INDEX(DarlErsatzZins,20))</f>
      </c>
      <c r="Q9319" s="43">
        <f>IF($I9319=0,0,$Q9318+$P9319+$O9319)</f>
      </c>
      <c r="R9319" s="43">
        <f>IF($I9319=0,0,$J9319-$M9319-$N9319)</f>
      </c>
    </row>
    <row r="9320">
      <c r="A9320"/>
      <c r="B9320">
        <v>20</v>
      </c>
      <c r="C9320" s="43">
        <f>INDEX(DarlObj,20)</f>
      </c>
      <c r="D9320">
        <v>197</v>
      </c>
      <c r="E9320" s="51">
        <f>IF(INDEX(DarlBelegt,20)=0,0,EOMONTH(INDEX(DarlAuszahlung,20),196)+1)</f>
      </c>
      <c r="F9320" s="43">
        <f>IF($E9320=0,0,YEAR($E9320))</f>
      </c>
      <c r="G9320" s="43">
        <f>IF(INDEX(DarlBindung,20)="",1,IF($E9320&lt;=INDEX(DarlBindung,20),1,0))</f>
      </c>
      <c r="H9320" s="43">
        <f>IF($G9320=1,INDEX(DarlSollzins,20),INDEX(DarlAnschluss,20))</f>
      </c>
      <c r="I9320" s="43">
        <f>IF(INDEX(DarlBelegt,20)=0,0,IF(INDEX(DarlOhneTilgung,20)=1,IF(INDEX(DarlBindung,20)="",1,$G9320),IF($J9320&gt;0.005,1,0)))</f>
      </c>
      <c r="J9320" s="43">
        <f>IF($I9319=0,0,$R9319)</f>
      </c>
      <c r="K9320" s="43">
        <f>IF($I9320=0,0,IF(INDEX(DarlOhneTilgung,20)=1,0,IF(AND(INDEX(DarlTilgStart,20)&gt;0,$E9320=INDEX(DarlTilgStart,20)),$J9320*($H9320+INDEX(DarlTilgung,20))/100/12,IF(AND($G9320=0,$G9319=1),MAX($K9319,$J9320*($H9320+1)/100/12),$K9319))))</f>
      </c>
      <c r="L9320" s="43">
        <f>IF($I9320=0,0,$J9320*$H9320/100/12)</f>
      </c>
      <c r="M9320" s="43">
        <f>IF($I9320=0,0,IF(OR(INDEX(DarlOhneTilgung,20)=1,AND(INDEX(DarlTilgStart,20)&gt;0,$E9320&lt;INDEX(DarlTilgStart,20))),0,MIN(MAX(0,$K9320-$L9320),$J9320)))</f>
      </c>
      <c r="N9320" s="43">
        <f>IF($I9320=0,0,MIN(SUMIFS(SondBetrag,SondDarl,20,SondDatum,"&gt;="&amp;$E9320,SondDatum,"&lt;="&amp;EOMONTH($E9320,0)),$J9320-$M9320))</f>
      </c>
      <c r="O9320" s="43">
        <f>IF($I9320=0,0,INDEX(DarlErsatzRate,20))</f>
      </c>
      <c r="P9320" s="43">
        <f>IF($I9320=0,0,$Q9319*INDEX(DarlErsatzZins,20))</f>
      </c>
      <c r="Q9320" s="43">
        <f>IF($I9320=0,0,$Q9319+$P9320+$O9320)</f>
      </c>
      <c r="R9320" s="43">
        <f>IF($I9320=0,0,$J9320-$M9320-$N9320)</f>
      </c>
    </row>
    <row r="9321">
      <c r="A9321"/>
      <c r="B9321">
        <v>20</v>
      </c>
      <c r="C9321" s="43">
        <f>INDEX(DarlObj,20)</f>
      </c>
      <c r="D9321">
        <v>198</v>
      </c>
      <c r="E9321" s="51">
        <f>IF(INDEX(DarlBelegt,20)=0,0,EOMONTH(INDEX(DarlAuszahlung,20),197)+1)</f>
      </c>
      <c r="F9321" s="43">
        <f>IF($E9321=0,0,YEAR($E9321))</f>
      </c>
      <c r="G9321" s="43">
        <f>IF(INDEX(DarlBindung,20)="",1,IF($E9321&lt;=INDEX(DarlBindung,20),1,0))</f>
      </c>
      <c r="H9321" s="43">
        <f>IF($G9321=1,INDEX(DarlSollzins,20),INDEX(DarlAnschluss,20))</f>
      </c>
      <c r="I9321" s="43">
        <f>IF(INDEX(DarlBelegt,20)=0,0,IF(INDEX(DarlOhneTilgung,20)=1,IF(INDEX(DarlBindung,20)="",1,$G9321),IF($J9321&gt;0.005,1,0)))</f>
      </c>
      <c r="J9321" s="43">
        <f>IF($I9320=0,0,$R9320)</f>
      </c>
      <c r="K9321" s="43">
        <f>IF($I9321=0,0,IF(INDEX(DarlOhneTilgung,20)=1,0,IF(AND(INDEX(DarlTilgStart,20)&gt;0,$E9321=INDEX(DarlTilgStart,20)),$J9321*($H9321+INDEX(DarlTilgung,20))/100/12,IF(AND($G9321=0,$G9320=1),MAX($K9320,$J9321*($H9321+1)/100/12),$K9320))))</f>
      </c>
      <c r="L9321" s="43">
        <f>IF($I9321=0,0,$J9321*$H9321/100/12)</f>
      </c>
      <c r="M9321" s="43">
        <f>IF($I9321=0,0,IF(OR(INDEX(DarlOhneTilgung,20)=1,AND(INDEX(DarlTilgStart,20)&gt;0,$E9321&lt;INDEX(DarlTilgStart,20))),0,MIN(MAX(0,$K9321-$L9321),$J9321)))</f>
      </c>
      <c r="N9321" s="43">
        <f>IF($I9321=0,0,MIN(SUMIFS(SondBetrag,SondDarl,20,SondDatum,"&gt;="&amp;$E9321,SondDatum,"&lt;="&amp;EOMONTH($E9321,0)),$J9321-$M9321))</f>
      </c>
      <c r="O9321" s="43">
        <f>IF($I9321=0,0,INDEX(DarlErsatzRate,20))</f>
      </c>
      <c r="P9321" s="43">
        <f>IF($I9321=0,0,$Q9320*INDEX(DarlErsatzZins,20))</f>
      </c>
      <c r="Q9321" s="43">
        <f>IF($I9321=0,0,$Q9320+$P9321+$O9321)</f>
      </c>
      <c r="R9321" s="43">
        <f>IF($I9321=0,0,$J9321-$M9321-$N9321)</f>
      </c>
    </row>
    <row r="9322">
      <c r="A9322"/>
      <c r="B9322">
        <v>20</v>
      </c>
      <c r="C9322" s="43">
        <f>INDEX(DarlObj,20)</f>
      </c>
      <c r="D9322">
        <v>199</v>
      </c>
      <c r="E9322" s="51">
        <f>IF(INDEX(DarlBelegt,20)=0,0,EOMONTH(INDEX(DarlAuszahlung,20),198)+1)</f>
      </c>
      <c r="F9322" s="43">
        <f>IF($E9322=0,0,YEAR($E9322))</f>
      </c>
      <c r="G9322" s="43">
        <f>IF(INDEX(DarlBindung,20)="",1,IF($E9322&lt;=INDEX(DarlBindung,20),1,0))</f>
      </c>
      <c r="H9322" s="43">
        <f>IF($G9322=1,INDEX(DarlSollzins,20),INDEX(DarlAnschluss,20))</f>
      </c>
      <c r="I9322" s="43">
        <f>IF(INDEX(DarlBelegt,20)=0,0,IF(INDEX(DarlOhneTilgung,20)=1,IF(INDEX(DarlBindung,20)="",1,$G9322),IF($J9322&gt;0.005,1,0)))</f>
      </c>
      <c r="J9322" s="43">
        <f>IF($I9321=0,0,$R9321)</f>
      </c>
      <c r="K9322" s="43">
        <f>IF($I9322=0,0,IF(INDEX(DarlOhneTilgung,20)=1,0,IF(AND(INDEX(DarlTilgStart,20)&gt;0,$E9322=INDEX(DarlTilgStart,20)),$J9322*($H9322+INDEX(DarlTilgung,20))/100/12,IF(AND($G9322=0,$G9321=1),MAX($K9321,$J9322*($H9322+1)/100/12),$K9321))))</f>
      </c>
      <c r="L9322" s="43">
        <f>IF($I9322=0,0,$J9322*$H9322/100/12)</f>
      </c>
      <c r="M9322" s="43">
        <f>IF($I9322=0,0,IF(OR(INDEX(DarlOhneTilgung,20)=1,AND(INDEX(DarlTilgStart,20)&gt;0,$E9322&lt;INDEX(DarlTilgStart,20))),0,MIN(MAX(0,$K9322-$L9322),$J9322)))</f>
      </c>
      <c r="N9322" s="43">
        <f>IF($I9322=0,0,MIN(SUMIFS(SondBetrag,SondDarl,20,SondDatum,"&gt;="&amp;$E9322,SondDatum,"&lt;="&amp;EOMONTH($E9322,0)),$J9322-$M9322))</f>
      </c>
      <c r="O9322" s="43">
        <f>IF($I9322=0,0,INDEX(DarlErsatzRate,20))</f>
      </c>
      <c r="P9322" s="43">
        <f>IF($I9322=0,0,$Q9321*INDEX(DarlErsatzZins,20))</f>
      </c>
      <c r="Q9322" s="43">
        <f>IF($I9322=0,0,$Q9321+$P9322+$O9322)</f>
      </c>
      <c r="R9322" s="43">
        <f>IF($I9322=0,0,$J9322-$M9322-$N9322)</f>
      </c>
    </row>
    <row r="9323">
      <c r="A9323"/>
      <c r="B9323">
        <v>20</v>
      </c>
      <c r="C9323" s="43">
        <f>INDEX(DarlObj,20)</f>
      </c>
      <c r="D9323">
        <v>200</v>
      </c>
      <c r="E9323" s="51">
        <f>IF(INDEX(DarlBelegt,20)=0,0,EOMONTH(INDEX(DarlAuszahlung,20),199)+1)</f>
      </c>
      <c r="F9323" s="43">
        <f>IF($E9323=0,0,YEAR($E9323))</f>
      </c>
      <c r="G9323" s="43">
        <f>IF(INDEX(DarlBindung,20)="",1,IF($E9323&lt;=INDEX(DarlBindung,20),1,0))</f>
      </c>
      <c r="H9323" s="43">
        <f>IF($G9323=1,INDEX(DarlSollzins,20),INDEX(DarlAnschluss,20))</f>
      </c>
      <c r="I9323" s="43">
        <f>IF(INDEX(DarlBelegt,20)=0,0,IF(INDEX(DarlOhneTilgung,20)=1,IF(INDEX(DarlBindung,20)="",1,$G9323),IF($J9323&gt;0.005,1,0)))</f>
      </c>
      <c r="J9323" s="43">
        <f>IF($I9322=0,0,$R9322)</f>
      </c>
      <c r="K9323" s="43">
        <f>IF($I9323=0,0,IF(INDEX(DarlOhneTilgung,20)=1,0,IF(AND(INDEX(DarlTilgStart,20)&gt;0,$E9323=INDEX(DarlTilgStart,20)),$J9323*($H9323+INDEX(DarlTilgung,20))/100/12,IF(AND($G9323=0,$G9322=1),MAX($K9322,$J9323*($H9323+1)/100/12),$K9322))))</f>
      </c>
      <c r="L9323" s="43">
        <f>IF($I9323=0,0,$J9323*$H9323/100/12)</f>
      </c>
      <c r="M9323" s="43">
        <f>IF($I9323=0,0,IF(OR(INDEX(DarlOhneTilgung,20)=1,AND(INDEX(DarlTilgStart,20)&gt;0,$E9323&lt;INDEX(DarlTilgStart,20))),0,MIN(MAX(0,$K9323-$L9323),$J9323)))</f>
      </c>
      <c r="N9323" s="43">
        <f>IF($I9323=0,0,MIN(SUMIFS(SondBetrag,SondDarl,20,SondDatum,"&gt;="&amp;$E9323,SondDatum,"&lt;="&amp;EOMONTH($E9323,0)),$J9323-$M9323))</f>
      </c>
      <c r="O9323" s="43">
        <f>IF($I9323=0,0,INDEX(DarlErsatzRate,20))</f>
      </c>
      <c r="P9323" s="43">
        <f>IF($I9323=0,0,$Q9322*INDEX(DarlErsatzZins,20))</f>
      </c>
      <c r="Q9323" s="43">
        <f>IF($I9323=0,0,$Q9322+$P9323+$O9323)</f>
      </c>
      <c r="R9323" s="43">
        <f>IF($I9323=0,0,$J9323-$M9323-$N9323)</f>
      </c>
    </row>
    <row r="9324">
      <c r="A9324"/>
      <c r="B9324">
        <v>20</v>
      </c>
      <c r="C9324" s="43">
        <f>INDEX(DarlObj,20)</f>
      </c>
      <c r="D9324">
        <v>201</v>
      </c>
      <c r="E9324" s="51">
        <f>IF(INDEX(DarlBelegt,20)=0,0,EOMONTH(INDEX(DarlAuszahlung,20),200)+1)</f>
      </c>
      <c r="F9324" s="43">
        <f>IF($E9324=0,0,YEAR($E9324))</f>
      </c>
      <c r="G9324" s="43">
        <f>IF(INDEX(DarlBindung,20)="",1,IF($E9324&lt;=INDEX(DarlBindung,20),1,0))</f>
      </c>
      <c r="H9324" s="43">
        <f>IF($G9324=1,INDEX(DarlSollzins,20),INDEX(DarlAnschluss,20))</f>
      </c>
      <c r="I9324" s="43">
        <f>IF(INDEX(DarlBelegt,20)=0,0,IF(INDEX(DarlOhneTilgung,20)=1,IF(INDEX(DarlBindung,20)="",1,$G9324),IF($J9324&gt;0.005,1,0)))</f>
      </c>
      <c r="J9324" s="43">
        <f>IF($I9323=0,0,$R9323)</f>
      </c>
      <c r="K9324" s="43">
        <f>IF($I9324=0,0,IF(INDEX(DarlOhneTilgung,20)=1,0,IF(AND(INDEX(DarlTilgStart,20)&gt;0,$E9324=INDEX(DarlTilgStart,20)),$J9324*($H9324+INDEX(DarlTilgung,20))/100/12,IF(AND($G9324=0,$G9323=1),MAX($K9323,$J9324*($H9324+1)/100/12),$K9323))))</f>
      </c>
      <c r="L9324" s="43">
        <f>IF($I9324=0,0,$J9324*$H9324/100/12)</f>
      </c>
      <c r="M9324" s="43">
        <f>IF($I9324=0,0,IF(OR(INDEX(DarlOhneTilgung,20)=1,AND(INDEX(DarlTilgStart,20)&gt;0,$E9324&lt;INDEX(DarlTilgStart,20))),0,MIN(MAX(0,$K9324-$L9324),$J9324)))</f>
      </c>
      <c r="N9324" s="43">
        <f>IF($I9324=0,0,MIN(SUMIFS(SondBetrag,SondDarl,20,SondDatum,"&gt;="&amp;$E9324,SondDatum,"&lt;="&amp;EOMONTH($E9324,0)),$J9324-$M9324))</f>
      </c>
      <c r="O9324" s="43">
        <f>IF($I9324=0,0,INDEX(DarlErsatzRate,20))</f>
      </c>
      <c r="P9324" s="43">
        <f>IF($I9324=0,0,$Q9323*INDEX(DarlErsatzZins,20))</f>
      </c>
      <c r="Q9324" s="43">
        <f>IF($I9324=0,0,$Q9323+$P9324+$O9324)</f>
      </c>
      <c r="R9324" s="43">
        <f>IF($I9324=0,0,$J9324-$M9324-$N9324)</f>
      </c>
    </row>
    <row r="9325">
      <c r="A9325"/>
      <c r="B9325">
        <v>20</v>
      </c>
      <c r="C9325" s="43">
        <f>INDEX(DarlObj,20)</f>
      </c>
      <c r="D9325">
        <v>202</v>
      </c>
      <c r="E9325" s="51">
        <f>IF(INDEX(DarlBelegt,20)=0,0,EOMONTH(INDEX(DarlAuszahlung,20),201)+1)</f>
      </c>
      <c r="F9325" s="43">
        <f>IF($E9325=0,0,YEAR($E9325))</f>
      </c>
      <c r="G9325" s="43">
        <f>IF(INDEX(DarlBindung,20)="",1,IF($E9325&lt;=INDEX(DarlBindung,20),1,0))</f>
      </c>
      <c r="H9325" s="43">
        <f>IF($G9325=1,INDEX(DarlSollzins,20),INDEX(DarlAnschluss,20))</f>
      </c>
      <c r="I9325" s="43">
        <f>IF(INDEX(DarlBelegt,20)=0,0,IF(INDEX(DarlOhneTilgung,20)=1,IF(INDEX(DarlBindung,20)="",1,$G9325),IF($J9325&gt;0.005,1,0)))</f>
      </c>
      <c r="J9325" s="43">
        <f>IF($I9324=0,0,$R9324)</f>
      </c>
      <c r="K9325" s="43">
        <f>IF($I9325=0,0,IF(INDEX(DarlOhneTilgung,20)=1,0,IF(AND(INDEX(DarlTilgStart,20)&gt;0,$E9325=INDEX(DarlTilgStart,20)),$J9325*($H9325+INDEX(DarlTilgung,20))/100/12,IF(AND($G9325=0,$G9324=1),MAX($K9324,$J9325*($H9325+1)/100/12),$K9324))))</f>
      </c>
      <c r="L9325" s="43">
        <f>IF($I9325=0,0,$J9325*$H9325/100/12)</f>
      </c>
      <c r="M9325" s="43">
        <f>IF($I9325=0,0,IF(OR(INDEX(DarlOhneTilgung,20)=1,AND(INDEX(DarlTilgStart,20)&gt;0,$E9325&lt;INDEX(DarlTilgStart,20))),0,MIN(MAX(0,$K9325-$L9325),$J9325)))</f>
      </c>
      <c r="N9325" s="43">
        <f>IF($I9325=0,0,MIN(SUMIFS(SondBetrag,SondDarl,20,SondDatum,"&gt;="&amp;$E9325,SondDatum,"&lt;="&amp;EOMONTH($E9325,0)),$J9325-$M9325))</f>
      </c>
      <c r="O9325" s="43">
        <f>IF($I9325=0,0,INDEX(DarlErsatzRate,20))</f>
      </c>
      <c r="P9325" s="43">
        <f>IF($I9325=0,0,$Q9324*INDEX(DarlErsatzZins,20))</f>
      </c>
      <c r="Q9325" s="43">
        <f>IF($I9325=0,0,$Q9324+$P9325+$O9325)</f>
      </c>
      <c r="R9325" s="43">
        <f>IF($I9325=0,0,$J9325-$M9325-$N9325)</f>
      </c>
    </row>
    <row r="9326">
      <c r="A9326"/>
      <c r="B9326">
        <v>20</v>
      </c>
      <c r="C9326" s="43">
        <f>INDEX(DarlObj,20)</f>
      </c>
      <c r="D9326">
        <v>203</v>
      </c>
      <c r="E9326" s="51">
        <f>IF(INDEX(DarlBelegt,20)=0,0,EOMONTH(INDEX(DarlAuszahlung,20),202)+1)</f>
      </c>
      <c r="F9326" s="43">
        <f>IF($E9326=0,0,YEAR($E9326))</f>
      </c>
      <c r="G9326" s="43">
        <f>IF(INDEX(DarlBindung,20)="",1,IF($E9326&lt;=INDEX(DarlBindung,20),1,0))</f>
      </c>
      <c r="H9326" s="43">
        <f>IF($G9326=1,INDEX(DarlSollzins,20),INDEX(DarlAnschluss,20))</f>
      </c>
      <c r="I9326" s="43">
        <f>IF(INDEX(DarlBelegt,20)=0,0,IF(INDEX(DarlOhneTilgung,20)=1,IF(INDEX(DarlBindung,20)="",1,$G9326),IF($J9326&gt;0.005,1,0)))</f>
      </c>
      <c r="J9326" s="43">
        <f>IF($I9325=0,0,$R9325)</f>
      </c>
      <c r="K9326" s="43">
        <f>IF($I9326=0,0,IF(INDEX(DarlOhneTilgung,20)=1,0,IF(AND(INDEX(DarlTilgStart,20)&gt;0,$E9326=INDEX(DarlTilgStart,20)),$J9326*($H9326+INDEX(DarlTilgung,20))/100/12,IF(AND($G9326=0,$G9325=1),MAX($K9325,$J9326*($H9326+1)/100/12),$K9325))))</f>
      </c>
      <c r="L9326" s="43">
        <f>IF($I9326=0,0,$J9326*$H9326/100/12)</f>
      </c>
      <c r="M9326" s="43">
        <f>IF($I9326=0,0,IF(OR(INDEX(DarlOhneTilgung,20)=1,AND(INDEX(DarlTilgStart,20)&gt;0,$E9326&lt;INDEX(DarlTilgStart,20))),0,MIN(MAX(0,$K9326-$L9326),$J9326)))</f>
      </c>
      <c r="N9326" s="43">
        <f>IF($I9326=0,0,MIN(SUMIFS(SondBetrag,SondDarl,20,SondDatum,"&gt;="&amp;$E9326,SondDatum,"&lt;="&amp;EOMONTH($E9326,0)),$J9326-$M9326))</f>
      </c>
      <c r="O9326" s="43">
        <f>IF($I9326=0,0,INDEX(DarlErsatzRate,20))</f>
      </c>
      <c r="P9326" s="43">
        <f>IF($I9326=0,0,$Q9325*INDEX(DarlErsatzZins,20))</f>
      </c>
      <c r="Q9326" s="43">
        <f>IF($I9326=0,0,$Q9325+$P9326+$O9326)</f>
      </c>
      <c r="R9326" s="43">
        <f>IF($I9326=0,0,$J9326-$M9326-$N9326)</f>
      </c>
    </row>
    <row r="9327">
      <c r="A9327"/>
      <c r="B9327">
        <v>20</v>
      </c>
      <c r="C9327" s="43">
        <f>INDEX(DarlObj,20)</f>
      </c>
      <c r="D9327">
        <v>204</v>
      </c>
      <c r="E9327" s="51">
        <f>IF(INDEX(DarlBelegt,20)=0,0,EOMONTH(INDEX(DarlAuszahlung,20),203)+1)</f>
      </c>
      <c r="F9327" s="43">
        <f>IF($E9327=0,0,YEAR($E9327))</f>
      </c>
      <c r="G9327" s="43">
        <f>IF(INDEX(DarlBindung,20)="",1,IF($E9327&lt;=INDEX(DarlBindung,20),1,0))</f>
      </c>
      <c r="H9327" s="43">
        <f>IF($G9327=1,INDEX(DarlSollzins,20),INDEX(DarlAnschluss,20))</f>
      </c>
      <c r="I9327" s="43">
        <f>IF(INDEX(DarlBelegt,20)=0,0,IF(INDEX(DarlOhneTilgung,20)=1,IF(INDEX(DarlBindung,20)="",1,$G9327),IF($J9327&gt;0.005,1,0)))</f>
      </c>
      <c r="J9327" s="43">
        <f>IF($I9326=0,0,$R9326)</f>
      </c>
      <c r="K9327" s="43">
        <f>IF($I9327=0,0,IF(INDEX(DarlOhneTilgung,20)=1,0,IF(AND(INDEX(DarlTilgStart,20)&gt;0,$E9327=INDEX(DarlTilgStart,20)),$J9327*($H9327+INDEX(DarlTilgung,20))/100/12,IF(AND($G9327=0,$G9326=1),MAX($K9326,$J9327*($H9327+1)/100/12),$K9326))))</f>
      </c>
      <c r="L9327" s="43">
        <f>IF($I9327=0,0,$J9327*$H9327/100/12)</f>
      </c>
      <c r="M9327" s="43">
        <f>IF($I9327=0,0,IF(OR(INDEX(DarlOhneTilgung,20)=1,AND(INDEX(DarlTilgStart,20)&gt;0,$E9327&lt;INDEX(DarlTilgStart,20))),0,MIN(MAX(0,$K9327-$L9327),$J9327)))</f>
      </c>
      <c r="N9327" s="43">
        <f>IF($I9327=0,0,MIN(SUMIFS(SondBetrag,SondDarl,20,SondDatum,"&gt;="&amp;$E9327,SondDatum,"&lt;="&amp;EOMONTH($E9327,0)),$J9327-$M9327))</f>
      </c>
      <c r="O9327" s="43">
        <f>IF($I9327=0,0,INDEX(DarlErsatzRate,20))</f>
      </c>
      <c r="P9327" s="43">
        <f>IF($I9327=0,0,$Q9326*INDEX(DarlErsatzZins,20))</f>
      </c>
      <c r="Q9327" s="43">
        <f>IF($I9327=0,0,$Q9326+$P9327+$O9327)</f>
      </c>
      <c r="R9327" s="43">
        <f>IF($I9327=0,0,$J9327-$M9327-$N9327)</f>
      </c>
    </row>
    <row r="9328">
      <c r="A9328"/>
      <c r="B9328">
        <v>20</v>
      </c>
      <c r="C9328" s="43">
        <f>INDEX(DarlObj,20)</f>
      </c>
      <c r="D9328">
        <v>205</v>
      </c>
      <c r="E9328" s="51">
        <f>IF(INDEX(DarlBelegt,20)=0,0,EOMONTH(INDEX(DarlAuszahlung,20),204)+1)</f>
      </c>
      <c r="F9328" s="43">
        <f>IF($E9328=0,0,YEAR($E9328))</f>
      </c>
      <c r="G9328" s="43">
        <f>IF(INDEX(DarlBindung,20)="",1,IF($E9328&lt;=INDEX(DarlBindung,20),1,0))</f>
      </c>
      <c r="H9328" s="43">
        <f>IF($G9328=1,INDEX(DarlSollzins,20),INDEX(DarlAnschluss,20))</f>
      </c>
      <c r="I9328" s="43">
        <f>IF(INDEX(DarlBelegt,20)=0,0,IF(INDEX(DarlOhneTilgung,20)=1,IF(INDEX(DarlBindung,20)="",1,$G9328),IF($J9328&gt;0.005,1,0)))</f>
      </c>
      <c r="J9328" s="43">
        <f>IF($I9327=0,0,$R9327)</f>
      </c>
      <c r="K9328" s="43">
        <f>IF($I9328=0,0,IF(INDEX(DarlOhneTilgung,20)=1,0,IF(AND(INDEX(DarlTilgStart,20)&gt;0,$E9328=INDEX(DarlTilgStart,20)),$J9328*($H9328+INDEX(DarlTilgung,20))/100/12,IF(AND($G9328=0,$G9327=1),MAX($K9327,$J9328*($H9328+1)/100/12),$K9327))))</f>
      </c>
      <c r="L9328" s="43">
        <f>IF($I9328=0,0,$J9328*$H9328/100/12)</f>
      </c>
      <c r="M9328" s="43">
        <f>IF($I9328=0,0,IF(OR(INDEX(DarlOhneTilgung,20)=1,AND(INDEX(DarlTilgStart,20)&gt;0,$E9328&lt;INDEX(DarlTilgStart,20))),0,MIN(MAX(0,$K9328-$L9328),$J9328)))</f>
      </c>
      <c r="N9328" s="43">
        <f>IF($I9328=0,0,MIN(SUMIFS(SondBetrag,SondDarl,20,SondDatum,"&gt;="&amp;$E9328,SondDatum,"&lt;="&amp;EOMONTH($E9328,0)),$J9328-$M9328))</f>
      </c>
      <c r="O9328" s="43">
        <f>IF($I9328=0,0,INDEX(DarlErsatzRate,20))</f>
      </c>
      <c r="P9328" s="43">
        <f>IF($I9328=0,0,$Q9327*INDEX(DarlErsatzZins,20))</f>
      </c>
      <c r="Q9328" s="43">
        <f>IF($I9328=0,0,$Q9327+$P9328+$O9328)</f>
      </c>
      <c r="R9328" s="43">
        <f>IF($I9328=0,0,$J9328-$M9328-$N9328)</f>
      </c>
    </row>
    <row r="9329">
      <c r="A9329"/>
      <c r="B9329">
        <v>20</v>
      </c>
      <c r="C9329" s="43">
        <f>INDEX(DarlObj,20)</f>
      </c>
      <c r="D9329">
        <v>206</v>
      </c>
      <c r="E9329" s="51">
        <f>IF(INDEX(DarlBelegt,20)=0,0,EOMONTH(INDEX(DarlAuszahlung,20),205)+1)</f>
      </c>
      <c r="F9329" s="43">
        <f>IF($E9329=0,0,YEAR($E9329))</f>
      </c>
      <c r="G9329" s="43">
        <f>IF(INDEX(DarlBindung,20)="",1,IF($E9329&lt;=INDEX(DarlBindung,20),1,0))</f>
      </c>
      <c r="H9329" s="43">
        <f>IF($G9329=1,INDEX(DarlSollzins,20),INDEX(DarlAnschluss,20))</f>
      </c>
      <c r="I9329" s="43">
        <f>IF(INDEX(DarlBelegt,20)=0,0,IF(INDEX(DarlOhneTilgung,20)=1,IF(INDEX(DarlBindung,20)="",1,$G9329),IF($J9329&gt;0.005,1,0)))</f>
      </c>
      <c r="J9329" s="43">
        <f>IF($I9328=0,0,$R9328)</f>
      </c>
      <c r="K9329" s="43">
        <f>IF($I9329=0,0,IF(INDEX(DarlOhneTilgung,20)=1,0,IF(AND(INDEX(DarlTilgStart,20)&gt;0,$E9329=INDEX(DarlTilgStart,20)),$J9329*($H9329+INDEX(DarlTilgung,20))/100/12,IF(AND($G9329=0,$G9328=1),MAX($K9328,$J9329*($H9329+1)/100/12),$K9328))))</f>
      </c>
      <c r="L9329" s="43">
        <f>IF($I9329=0,0,$J9329*$H9329/100/12)</f>
      </c>
      <c r="M9329" s="43">
        <f>IF($I9329=0,0,IF(OR(INDEX(DarlOhneTilgung,20)=1,AND(INDEX(DarlTilgStart,20)&gt;0,$E9329&lt;INDEX(DarlTilgStart,20))),0,MIN(MAX(0,$K9329-$L9329),$J9329)))</f>
      </c>
      <c r="N9329" s="43">
        <f>IF($I9329=0,0,MIN(SUMIFS(SondBetrag,SondDarl,20,SondDatum,"&gt;="&amp;$E9329,SondDatum,"&lt;="&amp;EOMONTH($E9329,0)),$J9329-$M9329))</f>
      </c>
      <c r="O9329" s="43">
        <f>IF($I9329=0,0,INDEX(DarlErsatzRate,20))</f>
      </c>
      <c r="P9329" s="43">
        <f>IF($I9329=0,0,$Q9328*INDEX(DarlErsatzZins,20))</f>
      </c>
      <c r="Q9329" s="43">
        <f>IF($I9329=0,0,$Q9328+$P9329+$O9329)</f>
      </c>
      <c r="R9329" s="43">
        <f>IF($I9329=0,0,$J9329-$M9329-$N9329)</f>
      </c>
    </row>
    <row r="9330">
      <c r="A9330"/>
      <c r="B9330">
        <v>20</v>
      </c>
      <c r="C9330" s="43">
        <f>INDEX(DarlObj,20)</f>
      </c>
      <c r="D9330">
        <v>207</v>
      </c>
      <c r="E9330" s="51">
        <f>IF(INDEX(DarlBelegt,20)=0,0,EOMONTH(INDEX(DarlAuszahlung,20),206)+1)</f>
      </c>
      <c r="F9330" s="43">
        <f>IF($E9330=0,0,YEAR($E9330))</f>
      </c>
      <c r="G9330" s="43">
        <f>IF(INDEX(DarlBindung,20)="",1,IF($E9330&lt;=INDEX(DarlBindung,20),1,0))</f>
      </c>
      <c r="H9330" s="43">
        <f>IF($G9330=1,INDEX(DarlSollzins,20),INDEX(DarlAnschluss,20))</f>
      </c>
      <c r="I9330" s="43">
        <f>IF(INDEX(DarlBelegt,20)=0,0,IF(INDEX(DarlOhneTilgung,20)=1,IF(INDEX(DarlBindung,20)="",1,$G9330),IF($J9330&gt;0.005,1,0)))</f>
      </c>
      <c r="J9330" s="43">
        <f>IF($I9329=0,0,$R9329)</f>
      </c>
      <c r="K9330" s="43">
        <f>IF($I9330=0,0,IF(INDEX(DarlOhneTilgung,20)=1,0,IF(AND(INDEX(DarlTilgStart,20)&gt;0,$E9330=INDEX(DarlTilgStart,20)),$J9330*($H9330+INDEX(DarlTilgung,20))/100/12,IF(AND($G9330=0,$G9329=1),MAX($K9329,$J9330*($H9330+1)/100/12),$K9329))))</f>
      </c>
      <c r="L9330" s="43">
        <f>IF($I9330=0,0,$J9330*$H9330/100/12)</f>
      </c>
      <c r="M9330" s="43">
        <f>IF($I9330=0,0,IF(OR(INDEX(DarlOhneTilgung,20)=1,AND(INDEX(DarlTilgStart,20)&gt;0,$E9330&lt;INDEX(DarlTilgStart,20))),0,MIN(MAX(0,$K9330-$L9330),$J9330)))</f>
      </c>
      <c r="N9330" s="43">
        <f>IF($I9330=0,0,MIN(SUMIFS(SondBetrag,SondDarl,20,SondDatum,"&gt;="&amp;$E9330,SondDatum,"&lt;="&amp;EOMONTH($E9330,0)),$J9330-$M9330))</f>
      </c>
      <c r="O9330" s="43">
        <f>IF($I9330=0,0,INDEX(DarlErsatzRate,20))</f>
      </c>
      <c r="P9330" s="43">
        <f>IF($I9330=0,0,$Q9329*INDEX(DarlErsatzZins,20))</f>
      </c>
      <c r="Q9330" s="43">
        <f>IF($I9330=0,0,$Q9329+$P9330+$O9330)</f>
      </c>
      <c r="R9330" s="43">
        <f>IF($I9330=0,0,$J9330-$M9330-$N9330)</f>
      </c>
    </row>
    <row r="9331">
      <c r="A9331"/>
      <c r="B9331">
        <v>20</v>
      </c>
      <c r="C9331" s="43">
        <f>INDEX(DarlObj,20)</f>
      </c>
      <c r="D9331">
        <v>208</v>
      </c>
      <c r="E9331" s="51">
        <f>IF(INDEX(DarlBelegt,20)=0,0,EOMONTH(INDEX(DarlAuszahlung,20),207)+1)</f>
      </c>
      <c r="F9331" s="43">
        <f>IF($E9331=0,0,YEAR($E9331))</f>
      </c>
      <c r="G9331" s="43">
        <f>IF(INDEX(DarlBindung,20)="",1,IF($E9331&lt;=INDEX(DarlBindung,20),1,0))</f>
      </c>
      <c r="H9331" s="43">
        <f>IF($G9331=1,INDEX(DarlSollzins,20),INDEX(DarlAnschluss,20))</f>
      </c>
      <c r="I9331" s="43">
        <f>IF(INDEX(DarlBelegt,20)=0,0,IF(INDEX(DarlOhneTilgung,20)=1,IF(INDEX(DarlBindung,20)="",1,$G9331),IF($J9331&gt;0.005,1,0)))</f>
      </c>
      <c r="J9331" s="43">
        <f>IF($I9330=0,0,$R9330)</f>
      </c>
      <c r="K9331" s="43">
        <f>IF($I9331=0,0,IF(INDEX(DarlOhneTilgung,20)=1,0,IF(AND(INDEX(DarlTilgStart,20)&gt;0,$E9331=INDEX(DarlTilgStart,20)),$J9331*($H9331+INDEX(DarlTilgung,20))/100/12,IF(AND($G9331=0,$G9330=1),MAX($K9330,$J9331*($H9331+1)/100/12),$K9330))))</f>
      </c>
      <c r="L9331" s="43">
        <f>IF($I9331=0,0,$J9331*$H9331/100/12)</f>
      </c>
      <c r="M9331" s="43">
        <f>IF($I9331=0,0,IF(OR(INDEX(DarlOhneTilgung,20)=1,AND(INDEX(DarlTilgStart,20)&gt;0,$E9331&lt;INDEX(DarlTilgStart,20))),0,MIN(MAX(0,$K9331-$L9331),$J9331)))</f>
      </c>
      <c r="N9331" s="43">
        <f>IF($I9331=0,0,MIN(SUMIFS(SondBetrag,SondDarl,20,SondDatum,"&gt;="&amp;$E9331,SondDatum,"&lt;="&amp;EOMONTH($E9331,0)),$J9331-$M9331))</f>
      </c>
      <c r="O9331" s="43">
        <f>IF($I9331=0,0,INDEX(DarlErsatzRate,20))</f>
      </c>
      <c r="P9331" s="43">
        <f>IF($I9331=0,0,$Q9330*INDEX(DarlErsatzZins,20))</f>
      </c>
      <c r="Q9331" s="43">
        <f>IF($I9331=0,0,$Q9330+$P9331+$O9331)</f>
      </c>
      <c r="R9331" s="43">
        <f>IF($I9331=0,0,$J9331-$M9331-$N9331)</f>
      </c>
    </row>
    <row r="9332">
      <c r="A9332"/>
      <c r="B9332">
        <v>20</v>
      </c>
      <c r="C9332" s="43">
        <f>INDEX(DarlObj,20)</f>
      </c>
      <c r="D9332">
        <v>209</v>
      </c>
      <c r="E9332" s="51">
        <f>IF(INDEX(DarlBelegt,20)=0,0,EOMONTH(INDEX(DarlAuszahlung,20),208)+1)</f>
      </c>
      <c r="F9332" s="43">
        <f>IF($E9332=0,0,YEAR($E9332))</f>
      </c>
      <c r="G9332" s="43">
        <f>IF(INDEX(DarlBindung,20)="",1,IF($E9332&lt;=INDEX(DarlBindung,20),1,0))</f>
      </c>
      <c r="H9332" s="43">
        <f>IF($G9332=1,INDEX(DarlSollzins,20),INDEX(DarlAnschluss,20))</f>
      </c>
      <c r="I9332" s="43">
        <f>IF(INDEX(DarlBelegt,20)=0,0,IF(INDEX(DarlOhneTilgung,20)=1,IF(INDEX(DarlBindung,20)="",1,$G9332),IF($J9332&gt;0.005,1,0)))</f>
      </c>
      <c r="J9332" s="43">
        <f>IF($I9331=0,0,$R9331)</f>
      </c>
      <c r="K9332" s="43">
        <f>IF($I9332=0,0,IF(INDEX(DarlOhneTilgung,20)=1,0,IF(AND(INDEX(DarlTilgStart,20)&gt;0,$E9332=INDEX(DarlTilgStart,20)),$J9332*($H9332+INDEX(DarlTilgung,20))/100/12,IF(AND($G9332=0,$G9331=1),MAX($K9331,$J9332*($H9332+1)/100/12),$K9331))))</f>
      </c>
      <c r="L9332" s="43">
        <f>IF($I9332=0,0,$J9332*$H9332/100/12)</f>
      </c>
      <c r="M9332" s="43">
        <f>IF($I9332=0,0,IF(OR(INDEX(DarlOhneTilgung,20)=1,AND(INDEX(DarlTilgStart,20)&gt;0,$E9332&lt;INDEX(DarlTilgStart,20))),0,MIN(MAX(0,$K9332-$L9332),$J9332)))</f>
      </c>
      <c r="N9332" s="43">
        <f>IF($I9332=0,0,MIN(SUMIFS(SondBetrag,SondDarl,20,SondDatum,"&gt;="&amp;$E9332,SondDatum,"&lt;="&amp;EOMONTH($E9332,0)),$J9332-$M9332))</f>
      </c>
      <c r="O9332" s="43">
        <f>IF($I9332=0,0,INDEX(DarlErsatzRate,20))</f>
      </c>
      <c r="P9332" s="43">
        <f>IF($I9332=0,0,$Q9331*INDEX(DarlErsatzZins,20))</f>
      </c>
      <c r="Q9332" s="43">
        <f>IF($I9332=0,0,$Q9331+$P9332+$O9332)</f>
      </c>
      <c r="R9332" s="43">
        <f>IF($I9332=0,0,$J9332-$M9332-$N9332)</f>
      </c>
    </row>
    <row r="9333">
      <c r="A9333"/>
      <c r="B9333">
        <v>20</v>
      </c>
      <c r="C9333" s="43">
        <f>INDEX(DarlObj,20)</f>
      </c>
      <c r="D9333">
        <v>210</v>
      </c>
      <c r="E9333" s="51">
        <f>IF(INDEX(DarlBelegt,20)=0,0,EOMONTH(INDEX(DarlAuszahlung,20),209)+1)</f>
      </c>
      <c r="F9333" s="43">
        <f>IF($E9333=0,0,YEAR($E9333))</f>
      </c>
      <c r="G9333" s="43">
        <f>IF(INDEX(DarlBindung,20)="",1,IF($E9333&lt;=INDEX(DarlBindung,20),1,0))</f>
      </c>
      <c r="H9333" s="43">
        <f>IF($G9333=1,INDEX(DarlSollzins,20),INDEX(DarlAnschluss,20))</f>
      </c>
      <c r="I9333" s="43">
        <f>IF(INDEX(DarlBelegt,20)=0,0,IF(INDEX(DarlOhneTilgung,20)=1,IF(INDEX(DarlBindung,20)="",1,$G9333),IF($J9333&gt;0.005,1,0)))</f>
      </c>
      <c r="J9333" s="43">
        <f>IF($I9332=0,0,$R9332)</f>
      </c>
      <c r="K9333" s="43">
        <f>IF($I9333=0,0,IF(INDEX(DarlOhneTilgung,20)=1,0,IF(AND(INDEX(DarlTilgStart,20)&gt;0,$E9333=INDEX(DarlTilgStart,20)),$J9333*($H9333+INDEX(DarlTilgung,20))/100/12,IF(AND($G9333=0,$G9332=1),MAX($K9332,$J9333*($H9333+1)/100/12),$K9332))))</f>
      </c>
      <c r="L9333" s="43">
        <f>IF($I9333=0,0,$J9333*$H9333/100/12)</f>
      </c>
      <c r="M9333" s="43">
        <f>IF($I9333=0,0,IF(OR(INDEX(DarlOhneTilgung,20)=1,AND(INDEX(DarlTilgStart,20)&gt;0,$E9333&lt;INDEX(DarlTilgStart,20))),0,MIN(MAX(0,$K9333-$L9333),$J9333)))</f>
      </c>
      <c r="N9333" s="43">
        <f>IF($I9333=0,0,MIN(SUMIFS(SondBetrag,SondDarl,20,SondDatum,"&gt;="&amp;$E9333,SondDatum,"&lt;="&amp;EOMONTH($E9333,0)),$J9333-$M9333))</f>
      </c>
      <c r="O9333" s="43">
        <f>IF($I9333=0,0,INDEX(DarlErsatzRate,20))</f>
      </c>
      <c r="P9333" s="43">
        <f>IF($I9333=0,0,$Q9332*INDEX(DarlErsatzZins,20))</f>
      </c>
      <c r="Q9333" s="43">
        <f>IF($I9333=0,0,$Q9332+$P9333+$O9333)</f>
      </c>
      <c r="R9333" s="43">
        <f>IF($I9333=0,0,$J9333-$M9333-$N9333)</f>
      </c>
    </row>
    <row r="9334">
      <c r="A9334"/>
      <c r="B9334">
        <v>20</v>
      </c>
      <c r="C9334" s="43">
        <f>INDEX(DarlObj,20)</f>
      </c>
      <c r="D9334">
        <v>211</v>
      </c>
      <c r="E9334" s="51">
        <f>IF(INDEX(DarlBelegt,20)=0,0,EOMONTH(INDEX(DarlAuszahlung,20),210)+1)</f>
      </c>
      <c r="F9334" s="43">
        <f>IF($E9334=0,0,YEAR($E9334))</f>
      </c>
      <c r="G9334" s="43">
        <f>IF(INDEX(DarlBindung,20)="",1,IF($E9334&lt;=INDEX(DarlBindung,20),1,0))</f>
      </c>
      <c r="H9334" s="43">
        <f>IF($G9334=1,INDEX(DarlSollzins,20),INDEX(DarlAnschluss,20))</f>
      </c>
      <c r="I9334" s="43">
        <f>IF(INDEX(DarlBelegt,20)=0,0,IF(INDEX(DarlOhneTilgung,20)=1,IF(INDEX(DarlBindung,20)="",1,$G9334),IF($J9334&gt;0.005,1,0)))</f>
      </c>
      <c r="J9334" s="43">
        <f>IF($I9333=0,0,$R9333)</f>
      </c>
      <c r="K9334" s="43">
        <f>IF($I9334=0,0,IF(INDEX(DarlOhneTilgung,20)=1,0,IF(AND(INDEX(DarlTilgStart,20)&gt;0,$E9334=INDEX(DarlTilgStart,20)),$J9334*($H9334+INDEX(DarlTilgung,20))/100/12,IF(AND($G9334=0,$G9333=1),MAX($K9333,$J9334*($H9334+1)/100/12),$K9333))))</f>
      </c>
      <c r="L9334" s="43">
        <f>IF($I9334=0,0,$J9334*$H9334/100/12)</f>
      </c>
      <c r="M9334" s="43">
        <f>IF($I9334=0,0,IF(OR(INDEX(DarlOhneTilgung,20)=1,AND(INDEX(DarlTilgStart,20)&gt;0,$E9334&lt;INDEX(DarlTilgStart,20))),0,MIN(MAX(0,$K9334-$L9334),$J9334)))</f>
      </c>
      <c r="N9334" s="43">
        <f>IF($I9334=0,0,MIN(SUMIFS(SondBetrag,SondDarl,20,SondDatum,"&gt;="&amp;$E9334,SondDatum,"&lt;="&amp;EOMONTH($E9334,0)),$J9334-$M9334))</f>
      </c>
      <c r="O9334" s="43">
        <f>IF($I9334=0,0,INDEX(DarlErsatzRate,20))</f>
      </c>
      <c r="P9334" s="43">
        <f>IF($I9334=0,0,$Q9333*INDEX(DarlErsatzZins,20))</f>
      </c>
      <c r="Q9334" s="43">
        <f>IF($I9334=0,0,$Q9333+$P9334+$O9334)</f>
      </c>
      <c r="R9334" s="43">
        <f>IF($I9334=0,0,$J9334-$M9334-$N9334)</f>
      </c>
    </row>
    <row r="9335">
      <c r="A9335"/>
      <c r="B9335">
        <v>20</v>
      </c>
      <c r="C9335" s="43">
        <f>INDEX(DarlObj,20)</f>
      </c>
      <c r="D9335">
        <v>212</v>
      </c>
      <c r="E9335" s="51">
        <f>IF(INDEX(DarlBelegt,20)=0,0,EOMONTH(INDEX(DarlAuszahlung,20),211)+1)</f>
      </c>
      <c r="F9335" s="43">
        <f>IF($E9335=0,0,YEAR($E9335))</f>
      </c>
      <c r="G9335" s="43">
        <f>IF(INDEX(DarlBindung,20)="",1,IF($E9335&lt;=INDEX(DarlBindung,20),1,0))</f>
      </c>
      <c r="H9335" s="43">
        <f>IF($G9335=1,INDEX(DarlSollzins,20),INDEX(DarlAnschluss,20))</f>
      </c>
      <c r="I9335" s="43">
        <f>IF(INDEX(DarlBelegt,20)=0,0,IF(INDEX(DarlOhneTilgung,20)=1,IF(INDEX(DarlBindung,20)="",1,$G9335),IF($J9335&gt;0.005,1,0)))</f>
      </c>
      <c r="J9335" s="43">
        <f>IF($I9334=0,0,$R9334)</f>
      </c>
      <c r="K9335" s="43">
        <f>IF($I9335=0,0,IF(INDEX(DarlOhneTilgung,20)=1,0,IF(AND(INDEX(DarlTilgStart,20)&gt;0,$E9335=INDEX(DarlTilgStart,20)),$J9335*($H9335+INDEX(DarlTilgung,20))/100/12,IF(AND($G9335=0,$G9334=1),MAX($K9334,$J9335*($H9335+1)/100/12),$K9334))))</f>
      </c>
      <c r="L9335" s="43">
        <f>IF($I9335=0,0,$J9335*$H9335/100/12)</f>
      </c>
      <c r="M9335" s="43">
        <f>IF($I9335=0,0,IF(OR(INDEX(DarlOhneTilgung,20)=1,AND(INDEX(DarlTilgStart,20)&gt;0,$E9335&lt;INDEX(DarlTilgStart,20))),0,MIN(MAX(0,$K9335-$L9335),$J9335)))</f>
      </c>
      <c r="N9335" s="43">
        <f>IF($I9335=0,0,MIN(SUMIFS(SondBetrag,SondDarl,20,SondDatum,"&gt;="&amp;$E9335,SondDatum,"&lt;="&amp;EOMONTH($E9335,0)),$J9335-$M9335))</f>
      </c>
      <c r="O9335" s="43">
        <f>IF($I9335=0,0,INDEX(DarlErsatzRate,20))</f>
      </c>
      <c r="P9335" s="43">
        <f>IF($I9335=0,0,$Q9334*INDEX(DarlErsatzZins,20))</f>
      </c>
      <c r="Q9335" s="43">
        <f>IF($I9335=0,0,$Q9334+$P9335+$O9335)</f>
      </c>
      <c r="R9335" s="43">
        <f>IF($I9335=0,0,$J9335-$M9335-$N9335)</f>
      </c>
    </row>
    <row r="9336">
      <c r="A9336"/>
      <c r="B9336">
        <v>20</v>
      </c>
      <c r="C9336" s="43">
        <f>INDEX(DarlObj,20)</f>
      </c>
      <c r="D9336">
        <v>213</v>
      </c>
      <c r="E9336" s="51">
        <f>IF(INDEX(DarlBelegt,20)=0,0,EOMONTH(INDEX(DarlAuszahlung,20),212)+1)</f>
      </c>
      <c r="F9336" s="43">
        <f>IF($E9336=0,0,YEAR($E9336))</f>
      </c>
      <c r="G9336" s="43">
        <f>IF(INDEX(DarlBindung,20)="",1,IF($E9336&lt;=INDEX(DarlBindung,20),1,0))</f>
      </c>
      <c r="H9336" s="43">
        <f>IF($G9336=1,INDEX(DarlSollzins,20),INDEX(DarlAnschluss,20))</f>
      </c>
      <c r="I9336" s="43">
        <f>IF(INDEX(DarlBelegt,20)=0,0,IF(INDEX(DarlOhneTilgung,20)=1,IF(INDEX(DarlBindung,20)="",1,$G9336),IF($J9336&gt;0.005,1,0)))</f>
      </c>
      <c r="J9336" s="43">
        <f>IF($I9335=0,0,$R9335)</f>
      </c>
      <c r="K9336" s="43">
        <f>IF($I9336=0,0,IF(INDEX(DarlOhneTilgung,20)=1,0,IF(AND(INDEX(DarlTilgStart,20)&gt;0,$E9336=INDEX(DarlTilgStart,20)),$J9336*($H9336+INDEX(DarlTilgung,20))/100/12,IF(AND($G9336=0,$G9335=1),MAX($K9335,$J9336*($H9336+1)/100/12),$K9335))))</f>
      </c>
      <c r="L9336" s="43">
        <f>IF($I9336=0,0,$J9336*$H9336/100/12)</f>
      </c>
      <c r="M9336" s="43">
        <f>IF($I9336=0,0,IF(OR(INDEX(DarlOhneTilgung,20)=1,AND(INDEX(DarlTilgStart,20)&gt;0,$E9336&lt;INDEX(DarlTilgStart,20))),0,MIN(MAX(0,$K9336-$L9336),$J9336)))</f>
      </c>
      <c r="N9336" s="43">
        <f>IF($I9336=0,0,MIN(SUMIFS(SondBetrag,SondDarl,20,SondDatum,"&gt;="&amp;$E9336,SondDatum,"&lt;="&amp;EOMONTH($E9336,0)),$J9336-$M9336))</f>
      </c>
      <c r="O9336" s="43">
        <f>IF($I9336=0,0,INDEX(DarlErsatzRate,20))</f>
      </c>
      <c r="P9336" s="43">
        <f>IF($I9336=0,0,$Q9335*INDEX(DarlErsatzZins,20))</f>
      </c>
      <c r="Q9336" s="43">
        <f>IF($I9336=0,0,$Q9335+$P9336+$O9336)</f>
      </c>
      <c r="R9336" s="43">
        <f>IF($I9336=0,0,$J9336-$M9336-$N9336)</f>
      </c>
    </row>
    <row r="9337">
      <c r="A9337"/>
      <c r="B9337">
        <v>20</v>
      </c>
      <c r="C9337" s="43">
        <f>INDEX(DarlObj,20)</f>
      </c>
      <c r="D9337">
        <v>214</v>
      </c>
      <c r="E9337" s="51">
        <f>IF(INDEX(DarlBelegt,20)=0,0,EOMONTH(INDEX(DarlAuszahlung,20),213)+1)</f>
      </c>
      <c r="F9337" s="43">
        <f>IF($E9337=0,0,YEAR($E9337))</f>
      </c>
      <c r="G9337" s="43">
        <f>IF(INDEX(DarlBindung,20)="",1,IF($E9337&lt;=INDEX(DarlBindung,20),1,0))</f>
      </c>
      <c r="H9337" s="43">
        <f>IF($G9337=1,INDEX(DarlSollzins,20),INDEX(DarlAnschluss,20))</f>
      </c>
      <c r="I9337" s="43">
        <f>IF(INDEX(DarlBelegt,20)=0,0,IF(INDEX(DarlOhneTilgung,20)=1,IF(INDEX(DarlBindung,20)="",1,$G9337),IF($J9337&gt;0.005,1,0)))</f>
      </c>
      <c r="J9337" s="43">
        <f>IF($I9336=0,0,$R9336)</f>
      </c>
      <c r="K9337" s="43">
        <f>IF($I9337=0,0,IF(INDEX(DarlOhneTilgung,20)=1,0,IF(AND(INDEX(DarlTilgStart,20)&gt;0,$E9337=INDEX(DarlTilgStart,20)),$J9337*($H9337+INDEX(DarlTilgung,20))/100/12,IF(AND($G9337=0,$G9336=1),MAX($K9336,$J9337*($H9337+1)/100/12),$K9336))))</f>
      </c>
      <c r="L9337" s="43">
        <f>IF($I9337=0,0,$J9337*$H9337/100/12)</f>
      </c>
      <c r="M9337" s="43">
        <f>IF($I9337=0,0,IF(OR(INDEX(DarlOhneTilgung,20)=1,AND(INDEX(DarlTilgStart,20)&gt;0,$E9337&lt;INDEX(DarlTilgStart,20))),0,MIN(MAX(0,$K9337-$L9337),$J9337)))</f>
      </c>
      <c r="N9337" s="43">
        <f>IF($I9337=0,0,MIN(SUMIFS(SondBetrag,SondDarl,20,SondDatum,"&gt;="&amp;$E9337,SondDatum,"&lt;="&amp;EOMONTH($E9337,0)),$J9337-$M9337))</f>
      </c>
      <c r="O9337" s="43">
        <f>IF($I9337=0,0,INDEX(DarlErsatzRate,20))</f>
      </c>
      <c r="P9337" s="43">
        <f>IF($I9337=0,0,$Q9336*INDEX(DarlErsatzZins,20))</f>
      </c>
      <c r="Q9337" s="43">
        <f>IF($I9337=0,0,$Q9336+$P9337+$O9337)</f>
      </c>
      <c r="R9337" s="43">
        <f>IF($I9337=0,0,$J9337-$M9337-$N9337)</f>
      </c>
    </row>
    <row r="9338">
      <c r="A9338"/>
      <c r="B9338">
        <v>20</v>
      </c>
      <c r="C9338" s="43">
        <f>INDEX(DarlObj,20)</f>
      </c>
      <c r="D9338">
        <v>215</v>
      </c>
      <c r="E9338" s="51">
        <f>IF(INDEX(DarlBelegt,20)=0,0,EOMONTH(INDEX(DarlAuszahlung,20),214)+1)</f>
      </c>
      <c r="F9338" s="43">
        <f>IF($E9338=0,0,YEAR($E9338))</f>
      </c>
      <c r="G9338" s="43">
        <f>IF(INDEX(DarlBindung,20)="",1,IF($E9338&lt;=INDEX(DarlBindung,20),1,0))</f>
      </c>
      <c r="H9338" s="43">
        <f>IF($G9338=1,INDEX(DarlSollzins,20),INDEX(DarlAnschluss,20))</f>
      </c>
      <c r="I9338" s="43">
        <f>IF(INDEX(DarlBelegt,20)=0,0,IF(INDEX(DarlOhneTilgung,20)=1,IF(INDEX(DarlBindung,20)="",1,$G9338),IF($J9338&gt;0.005,1,0)))</f>
      </c>
      <c r="J9338" s="43">
        <f>IF($I9337=0,0,$R9337)</f>
      </c>
      <c r="K9338" s="43">
        <f>IF($I9338=0,0,IF(INDEX(DarlOhneTilgung,20)=1,0,IF(AND(INDEX(DarlTilgStart,20)&gt;0,$E9338=INDEX(DarlTilgStart,20)),$J9338*($H9338+INDEX(DarlTilgung,20))/100/12,IF(AND($G9338=0,$G9337=1),MAX($K9337,$J9338*($H9338+1)/100/12),$K9337))))</f>
      </c>
      <c r="L9338" s="43">
        <f>IF($I9338=0,0,$J9338*$H9338/100/12)</f>
      </c>
      <c r="M9338" s="43">
        <f>IF($I9338=0,0,IF(OR(INDEX(DarlOhneTilgung,20)=1,AND(INDEX(DarlTilgStart,20)&gt;0,$E9338&lt;INDEX(DarlTilgStart,20))),0,MIN(MAX(0,$K9338-$L9338),$J9338)))</f>
      </c>
      <c r="N9338" s="43">
        <f>IF($I9338=0,0,MIN(SUMIFS(SondBetrag,SondDarl,20,SondDatum,"&gt;="&amp;$E9338,SondDatum,"&lt;="&amp;EOMONTH($E9338,0)),$J9338-$M9338))</f>
      </c>
      <c r="O9338" s="43">
        <f>IF($I9338=0,0,INDEX(DarlErsatzRate,20))</f>
      </c>
      <c r="P9338" s="43">
        <f>IF($I9338=0,0,$Q9337*INDEX(DarlErsatzZins,20))</f>
      </c>
      <c r="Q9338" s="43">
        <f>IF($I9338=0,0,$Q9337+$P9338+$O9338)</f>
      </c>
      <c r="R9338" s="43">
        <f>IF($I9338=0,0,$J9338-$M9338-$N9338)</f>
      </c>
    </row>
    <row r="9339">
      <c r="A9339"/>
      <c r="B9339">
        <v>20</v>
      </c>
      <c r="C9339" s="43">
        <f>INDEX(DarlObj,20)</f>
      </c>
      <c r="D9339">
        <v>216</v>
      </c>
      <c r="E9339" s="51">
        <f>IF(INDEX(DarlBelegt,20)=0,0,EOMONTH(INDEX(DarlAuszahlung,20),215)+1)</f>
      </c>
      <c r="F9339" s="43">
        <f>IF($E9339=0,0,YEAR($E9339))</f>
      </c>
      <c r="G9339" s="43">
        <f>IF(INDEX(DarlBindung,20)="",1,IF($E9339&lt;=INDEX(DarlBindung,20),1,0))</f>
      </c>
      <c r="H9339" s="43">
        <f>IF($G9339=1,INDEX(DarlSollzins,20),INDEX(DarlAnschluss,20))</f>
      </c>
      <c r="I9339" s="43">
        <f>IF(INDEX(DarlBelegt,20)=0,0,IF(INDEX(DarlOhneTilgung,20)=1,IF(INDEX(DarlBindung,20)="",1,$G9339),IF($J9339&gt;0.005,1,0)))</f>
      </c>
      <c r="J9339" s="43">
        <f>IF($I9338=0,0,$R9338)</f>
      </c>
      <c r="K9339" s="43">
        <f>IF($I9339=0,0,IF(INDEX(DarlOhneTilgung,20)=1,0,IF(AND(INDEX(DarlTilgStart,20)&gt;0,$E9339=INDEX(DarlTilgStart,20)),$J9339*($H9339+INDEX(DarlTilgung,20))/100/12,IF(AND($G9339=0,$G9338=1),MAX($K9338,$J9339*($H9339+1)/100/12),$K9338))))</f>
      </c>
      <c r="L9339" s="43">
        <f>IF($I9339=0,0,$J9339*$H9339/100/12)</f>
      </c>
      <c r="M9339" s="43">
        <f>IF($I9339=0,0,IF(OR(INDEX(DarlOhneTilgung,20)=1,AND(INDEX(DarlTilgStart,20)&gt;0,$E9339&lt;INDEX(DarlTilgStart,20))),0,MIN(MAX(0,$K9339-$L9339),$J9339)))</f>
      </c>
      <c r="N9339" s="43">
        <f>IF($I9339=0,0,MIN(SUMIFS(SondBetrag,SondDarl,20,SondDatum,"&gt;="&amp;$E9339,SondDatum,"&lt;="&amp;EOMONTH($E9339,0)),$J9339-$M9339))</f>
      </c>
      <c r="O9339" s="43">
        <f>IF($I9339=0,0,INDEX(DarlErsatzRate,20))</f>
      </c>
      <c r="P9339" s="43">
        <f>IF($I9339=0,0,$Q9338*INDEX(DarlErsatzZins,20))</f>
      </c>
      <c r="Q9339" s="43">
        <f>IF($I9339=0,0,$Q9338+$P9339+$O9339)</f>
      </c>
      <c r="R9339" s="43">
        <f>IF($I9339=0,0,$J9339-$M9339-$N9339)</f>
      </c>
    </row>
    <row r="9340">
      <c r="A9340"/>
      <c r="B9340">
        <v>20</v>
      </c>
      <c r="C9340" s="43">
        <f>INDEX(DarlObj,20)</f>
      </c>
      <c r="D9340">
        <v>217</v>
      </c>
      <c r="E9340" s="51">
        <f>IF(INDEX(DarlBelegt,20)=0,0,EOMONTH(INDEX(DarlAuszahlung,20),216)+1)</f>
      </c>
      <c r="F9340" s="43">
        <f>IF($E9340=0,0,YEAR($E9340))</f>
      </c>
      <c r="G9340" s="43">
        <f>IF(INDEX(DarlBindung,20)="",1,IF($E9340&lt;=INDEX(DarlBindung,20),1,0))</f>
      </c>
      <c r="H9340" s="43">
        <f>IF($G9340=1,INDEX(DarlSollzins,20),INDEX(DarlAnschluss,20))</f>
      </c>
      <c r="I9340" s="43">
        <f>IF(INDEX(DarlBelegt,20)=0,0,IF(INDEX(DarlOhneTilgung,20)=1,IF(INDEX(DarlBindung,20)="",1,$G9340),IF($J9340&gt;0.005,1,0)))</f>
      </c>
      <c r="J9340" s="43">
        <f>IF($I9339=0,0,$R9339)</f>
      </c>
      <c r="K9340" s="43">
        <f>IF($I9340=0,0,IF(INDEX(DarlOhneTilgung,20)=1,0,IF(AND(INDEX(DarlTilgStart,20)&gt;0,$E9340=INDEX(DarlTilgStart,20)),$J9340*($H9340+INDEX(DarlTilgung,20))/100/12,IF(AND($G9340=0,$G9339=1),MAX($K9339,$J9340*($H9340+1)/100/12),$K9339))))</f>
      </c>
      <c r="L9340" s="43">
        <f>IF($I9340=0,0,$J9340*$H9340/100/12)</f>
      </c>
      <c r="M9340" s="43">
        <f>IF($I9340=0,0,IF(OR(INDEX(DarlOhneTilgung,20)=1,AND(INDEX(DarlTilgStart,20)&gt;0,$E9340&lt;INDEX(DarlTilgStart,20))),0,MIN(MAX(0,$K9340-$L9340),$J9340)))</f>
      </c>
      <c r="N9340" s="43">
        <f>IF($I9340=0,0,MIN(SUMIFS(SondBetrag,SondDarl,20,SondDatum,"&gt;="&amp;$E9340,SondDatum,"&lt;="&amp;EOMONTH($E9340,0)),$J9340-$M9340))</f>
      </c>
      <c r="O9340" s="43">
        <f>IF($I9340=0,0,INDEX(DarlErsatzRate,20))</f>
      </c>
      <c r="P9340" s="43">
        <f>IF($I9340=0,0,$Q9339*INDEX(DarlErsatzZins,20))</f>
      </c>
      <c r="Q9340" s="43">
        <f>IF($I9340=0,0,$Q9339+$P9340+$O9340)</f>
      </c>
      <c r="R9340" s="43">
        <f>IF($I9340=0,0,$J9340-$M9340-$N9340)</f>
      </c>
    </row>
    <row r="9341">
      <c r="A9341"/>
      <c r="B9341">
        <v>20</v>
      </c>
      <c r="C9341" s="43">
        <f>INDEX(DarlObj,20)</f>
      </c>
      <c r="D9341">
        <v>218</v>
      </c>
      <c r="E9341" s="51">
        <f>IF(INDEX(DarlBelegt,20)=0,0,EOMONTH(INDEX(DarlAuszahlung,20),217)+1)</f>
      </c>
      <c r="F9341" s="43">
        <f>IF($E9341=0,0,YEAR($E9341))</f>
      </c>
      <c r="G9341" s="43">
        <f>IF(INDEX(DarlBindung,20)="",1,IF($E9341&lt;=INDEX(DarlBindung,20),1,0))</f>
      </c>
      <c r="H9341" s="43">
        <f>IF($G9341=1,INDEX(DarlSollzins,20),INDEX(DarlAnschluss,20))</f>
      </c>
      <c r="I9341" s="43">
        <f>IF(INDEX(DarlBelegt,20)=0,0,IF(INDEX(DarlOhneTilgung,20)=1,IF(INDEX(DarlBindung,20)="",1,$G9341),IF($J9341&gt;0.005,1,0)))</f>
      </c>
      <c r="J9341" s="43">
        <f>IF($I9340=0,0,$R9340)</f>
      </c>
      <c r="K9341" s="43">
        <f>IF($I9341=0,0,IF(INDEX(DarlOhneTilgung,20)=1,0,IF(AND(INDEX(DarlTilgStart,20)&gt;0,$E9341=INDEX(DarlTilgStart,20)),$J9341*($H9341+INDEX(DarlTilgung,20))/100/12,IF(AND($G9341=0,$G9340=1),MAX($K9340,$J9341*($H9341+1)/100/12),$K9340))))</f>
      </c>
      <c r="L9341" s="43">
        <f>IF($I9341=0,0,$J9341*$H9341/100/12)</f>
      </c>
      <c r="M9341" s="43">
        <f>IF($I9341=0,0,IF(OR(INDEX(DarlOhneTilgung,20)=1,AND(INDEX(DarlTilgStart,20)&gt;0,$E9341&lt;INDEX(DarlTilgStart,20))),0,MIN(MAX(0,$K9341-$L9341),$J9341)))</f>
      </c>
      <c r="N9341" s="43">
        <f>IF($I9341=0,0,MIN(SUMIFS(SondBetrag,SondDarl,20,SondDatum,"&gt;="&amp;$E9341,SondDatum,"&lt;="&amp;EOMONTH($E9341,0)),$J9341-$M9341))</f>
      </c>
      <c r="O9341" s="43">
        <f>IF($I9341=0,0,INDEX(DarlErsatzRate,20))</f>
      </c>
      <c r="P9341" s="43">
        <f>IF($I9341=0,0,$Q9340*INDEX(DarlErsatzZins,20))</f>
      </c>
      <c r="Q9341" s="43">
        <f>IF($I9341=0,0,$Q9340+$P9341+$O9341)</f>
      </c>
      <c r="R9341" s="43">
        <f>IF($I9341=0,0,$J9341-$M9341-$N9341)</f>
      </c>
    </row>
    <row r="9342">
      <c r="A9342"/>
      <c r="B9342">
        <v>20</v>
      </c>
      <c r="C9342" s="43">
        <f>INDEX(DarlObj,20)</f>
      </c>
      <c r="D9342">
        <v>219</v>
      </c>
      <c r="E9342" s="51">
        <f>IF(INDEX(DarlBelegt,20)=0,0,EOMONTH(INDEX(DarlAuszahlung,20),218)+1)</f>
      </c>
      <c r="F9342" s="43">
        <f>IF($E9342=0,0,YEAR($E9342))</f>
      </c>
      <c r="G9342" s="43">
        <f>IF(INDEX(DarlBindung,20)="",1,IF($E9342&lt;=INDEX(DarlBindung,20),1,0))</f>
      </c>
      <c r="H9342" s="43">
        <f>IF($G9342=1,INDEX(DarlSollzins,20),INDEX(DarlAnschluss,20))</f>
      </c>
      <c r="I9342" s="43">
        <f>IF(INDEX(DarlBelegt,20)=0,0,IF(INDEX(DarlOhneTilgung,20)=1,IF(INDEX(DarlBindung,20)="",1,$G9342),IF($J9342&gt;0.005,1,0)))</f>
      </c>
      <c r="J9342" s="43">
        <f>IF($I9341=0,0,$R9341)</f>
      </c>
      <c r="K9342" s="43">
        <f>IF($I9342=0,0,IF(INDEX(DarlOhneTilgung,20)=1,0,IF(AND(INDEX(DarlTilgStart,20)&gt;0,$E9342=INDEX(DarlTilgStart,20)),$J9342*($H9342+INDEX(DarlTilgung,20))/100/12,IF(AND($G9342=0,$G9341=1),MAX($K9341,$J9342*($H9342+1)/100/12),$K9341))))</f>
      </c>
      <c r="L9342" s="43">
        <f>IF($I9342=0,0,$J9342*$H9342/100/12)</f>
      </c>
      <c r="M9342" s="43">
        <f>IF($I9342=0,0,IF(OR(INDEX(DarlOhneTilgung,20)=1,AND(INDEX(DarlTilgStart,20)&gt;0,$E9342&lt;INDEX(DarlTilgStart,20))),0,MIN(MAX(0,$K9342-$L9342),$J9342)))</f>
      </c>
      <c r="N9342" s="43">
        <f>IF($I9342=0,0,MIN(SUMIFS(SondBetrag,SondDarl,20,SondDatum,"&gt;="&amp;$E9342,SondDatum,"&lt;="&amp;EOMONTH($E9342,0)),$J9342-$M9342))</f>
      </c>
      <c r="O9342" s="43">
        <f>IF($I9342=0,0,INDEX(DarlErsatzRate,20))</f>
      </c>
      <c r="P9342" s="43">
        <f>IF($I9342=0,0,$Q9341*INDEX(DarlErsatzZins,20))</f>
      </c>
      <c r="Q9342" s="43">
        <f>IF($I9342=0,0,$Q9341+$P9342+$O9342)</f>
      </c>
      <c r="R9342" s="43">
        <f>IF($I9342=0,0,$J9342-$M9342-$N9342)</f>
      </c>
    </row>
    <row r="9343">
      <c r="A9343"/>
      <c r="B9343">
        <v>20</v>
      </c>
      <c r="C9343" s="43">
        <f>INDEX(DarlObj,20)</f>
      </c>
      <c r="D9343">
        <v>220</v>
      </c>
      <c r="E9343" s="51">
        <f>IF(INDEX(DarlBelegt,20)=0,0,EOMONTH(INDEX(DarlAuszahlung,20),219)+1)</f>
      </c>
      <c r="F9343" s="43">
        <f>IF($E9343=0,0,YEAR($E9343))</f>
      </c>
      <c r="G9343" s="43">
        <f>IF(INDEX(DarlBindung,20)="",1,IF($E9343&lt;=INDEX(DarlBindung,20),1,0))</f>
      </c>
      <c r="H9343" s="43">
        <f>IF($G9343=1,INDEX(DarlSollzins,20),INDEX(DarlAnschluss,20))</f>
      </c>
      <c r="I9343" s="43">
        <f>IF(INDEX(DarlBelegt,20)=0,0,IF(INDEX(DarlOhneTilgung,20)=1,IF(INDEX(DarlBindung,20)="",1,$G9343),IF($J9343&gt;0.005,1,0)))</f>
      </c>
      <c r="J9343" s="43">
        <f>IF($I9342=0,0,$R9342)</f>
      </c>
      <c r="K9343" s="43">
        <f>IF($I9343=0,0,IF(INDEX(DarlOhneTilgung,20)=1,0,IF(AND(INDEX(DarlTilgStart,20)&gt;0,$E9343=INDEX(DarlTilgStart,20)),$J9343*($H9343+INDEX(DarlTilgung,20))/100/12,IF(AND($G9343=0,$G9342=1),MAX($K9342,$J9343*($H9343+1)/100/12),$K9342))))</f>
      </c>
      <c r="L9343" s="43">
        <f>IF($I9343=0,0,$J9343*$H9343/100/12)</f>
      </c>
      <c r="M9343" s="43">
        <f>IF($I9343=0,0,IF(OR(INDEX(DarlOhneTilgung,20)=1,AND(INDEX(DarlTilgStart,20)&gt;0,$E9343&lt;INDEX(DarlTilgStart,20))),0,MIN(MAX(0,$K9343-$L9343),$J9343)))</f>
      </c>
      <c r="N9343" s="43">
        <f>IF($I9343=0,0,MIN(SUMIFS(SondBetrag,SondDarl,20,SondDatum,"&gt;="&amp;$E9343,SondDatum,"&lt;="&amp;EOMONTH($E9343,0)),$J9343-$M9343))</f>
      </c>
      <c r="O9343" s="43">
        <f>IF($I9343=0,0,INDEX(DarlErsatzRate,20))</f>
      </c>
      <c r="P9343" s="43">
        <f>IF($I9343=0,0,$Q9342*INDEX(DarlErsatzZins,20))</f>
      </c>
      <c r="Q9343" s="43">
        <f>IF($I9343=0,0,$Q9342+$P9343+$O9343)</f>
      </c>
      <c r="R9343" s="43">
        <f>IF($I9343=0,0,$J9343-$M9343-$N9343)</f>
      </c>
    </row>
    <row r="9344">
      <c r="A9344"/>
      <c r="B9344">
        <v>20</v>
      </c>
      <c r="C9344" s="43">
        <f>INDEX(DarlObj,20)</f>
      </c>
      <c r="D9344">
        <v>221</v>
      </c>
      <c r="E9344" s="51">
        <f>IF(INDEX(DarlBelegt,20)=0,0,EOMONTH(INDEX(DarlAuszahlung,20),220)+1)</f>
      </c>
      <c r="F9344" s="43">
        <f>IF($E9344=0,0,YEAR($E9344))</f>
      </c>
      <c r="G9344" s="43">
        <f>IF(INDEX(DarlBindung,20)="",1,IF($E9344&lt;=INDEX(DarlBindung,20),1,0))</f>
      </c>
      <c r="H9344" s="43">
        <f>IF($G9344=1,INDEX(DarlSollzins,20),INDEX(DarlAnschluss,20))</f>
      </c>
      <c r="I9344" s="43">
        <f>IF(INDEX(DarlBelegt,20)=0,0,IF(INDEX(DarlOhneTilgung,20)=1,IF(INDEX(DarlBindung,20)="",1,$G9344),IF($J9344&gt;0.005,1,0)))</f>
      </c>
      <c r="J9344" s="43">
        <f>IF($I9343=0,0,$R9343)</f>
      </c>
      <c r="K9344" s="43">
        <f>IF($I9344=0,0,IF(INDEX(DarlOhneTilgung,20)=1,0,IF(AND(INDEX(DarlTilgStart,20)&gt;0,$E9344=INDEX(DarlTilgStart,20)),$J9344*($H9344+INDEX(DarlTilgung,20))/100/12,IF(AND($G9344=0,$G9343=1),MAX($K9343,$J9344*($H9344+1)/100/12),$K9343))))</f>
      </c>
      <c r="L9344" s="43">
        <f>IF($I9344=0,0,$J9344*$H9344/100/12)</f>
      </c>
      <c r="M9344" s="43">
        <f>IF($I9344=0,0,IF(OR(INDEX(DarlOhneTilgung,20)=1,AND(INDEX(DarlTilgStart,20)&gt;0,$E9344&lt;INDEX(DarlTilgStart,20))),0,MIN(MAX(0,$K9344-$L9344),$J9344)))</f>
      </c>
      <c r="N9344" s="43">
        <f>IF($I9344=0,0,MIN(SUMIFS(SondBetrag,SondDarl,20,SondDatum,"&gt;="&amp;$E9344,SondDatum,"&lt;="&amp;EOMONTH($E9344,0)),$J9344-$M9344))</f>
      </c>
      <c r="O9344" s="43">
        <f>IF($I9344=0,0,INDEX(DarlErsatzRate,20))</f>
      </c>
      <c r="P9344" s="43">
        <f>IF($I9344=0,0,$Q9343*INDEX(DarlErsatzZins,20))</f>
      </c>
      <c r="Q9344" s="43">
        <f>IF($I9344=0,0,$Q9343+$P9344+$O9344)</f>
      </c>
      <c r="R9344" s="43">
        <f>IF($I9344=0,0,$J9344-$M9344-$N9344)</f>
      </c>
    </row>
    <row r="9345">
      <c r="A9345"/>
      <c r="B9345">
        <v>20</v>
      </c>
      <c r="C9345" s="43">
        <f>INDEX(DarlObj,20)</f>
      </c>
      <c r="D9345">
        <v>222</v>
      </c>
      <c r="E9345" s="51">
        <f>IF(INDEX(DarlBelegt,20)=0,0,EOMONTH(INDEX(DarlAuszahlung,20),221)+1)</f>
      </c>
      <c r="F9345" s="43">
        <f>IF($E9345=0,0,YEAR($E9345))</f>
      </c>
      <c r="G9345" s="43">
        <f>IF(INDEX(DarlBindung,20)="",1,IF($E9345&lt;=INDEX(DarlBindung,20),1,0))</f>
      </c>
      <c r="H9345" s="43">
        <f>IF($G9345=1,INDEX(DarlSollzins,20),INDEX(DarlAnschluss,20))</f>
      </c>
      <c r="I9345" s="43">
        <f>IF(INDEX(DarlBelegt,20)=0,0,IF(INDEX(DarlOhneTilgung,20)=1,IF(INDEX(DarlBindung,20)="",1,$G9345),IF($J9345&gt;0.005,1,0)))</f>
      </c>
      <c r="J9345" s="43">
        <f>IF($I9344=0,0,$R9344)</f>
      </c>
      <c r="K9345" s="43">
        <f>IF($I9345=0,0,IF(INDEX(DarlOhneTilgung,20)=1,0,IF(AND(INDEX(DarlTilgStart,20)&gt;0,$E9345=INDEX(DarlTilgStart,20)),$J9345*($H9345+INDEX(DarlTilgung,20))/100/12,IF(AND($G9345=0,$G9344=1),MAX($K9344,$J9345*($H9345+1)/100/12),$K9344))))</f>
      </c>
      <c r="L9345" s="43">
        <f>IF($I9345=0,0,$J9345*$H9345/100/12)</f>
      </c>
      <c r="M9345" s="43">
        <f>IF($I9345=0,0,IF(OR(INDEX(DarlOhneTilgung,20)=1,AND(INDEX(DarlTilgStart,20)&gt;0,$E9345&lt;INDEX(DarlTilgStart,20))),0,MIN(MAX(0,$K9345-$L9345),$J9345)))</f>
      </c>
      <c r="N9345" s="43">
        <f>IF($I9345=0,0,MIN(SUMIFS(SondBetrag,SondDarl,20,SondDatum,"&gt;="&amp;$E9345,SondDatum,"&lt;="&amp;EOMONTH($E9345,0)),$J9345-$M9345))</f>
      </c>
      <c r="O9345" s="43">
        <f>IF($I9345=0,0,INDEX(DarlErsatzRate,20))</f>
      </c>
      <c r="P9345" s="43">
        <f>IF($I9345=0,0,$Q9344*INDEX(DarlErsatzZins,20))</f>
      </c>
      <c r="Q9345" s="43">
        <f>IF($I9345=0,0,$Q9344+$P9345+$O9345)</f>
      </c>
      <c r="R9345" s="43">
        <f>IF($I9345=0,0,$J9345-$M9345-$N9345)</f>
      </c>
    </row>
    <row r="9346">
      <c r="A9346"/>
      <c r="B9346">
        <v>20</v>
      </c>
      <c r="C9346" s="43">
        <f>INDEX(DarlObj,20)</f>
      </c>
      <c r="D9346">
        <v>223</v>
      </c>
      <c r="E9346" s="51">
        <f>IF(INDEX(DarlBelegt,20)=0,0,EOMONTH(INDEX(DarlAuszahlung,20),222)+1)</f>
      </c>
      <c r="F9346" s="43">
        <f>IF($E9346=0,0,YEAR($E9346))</f>
      </c>
      <c r="G9346" s="43">
        <f>IF(INDEX(DarlBindung,20)="",1,IF($E9346&lt;=INDEX(DarlBindung,20),1,0))</f>
      </c>
      <c r="H9346" s="43">
        <f>IF($G9346=1,INDEX(DarlSollzins,20),INDEX(DarlAnschluss,20))</f>
      </c>
      <c r="I9346" s="43">
        <f>IF(INDEX(DarlBelegt,20)=0,0,IF(INDEX(DarlOhneTilgung,20)=1,IF(INDEX(DarlBindung,20)="",1,$G9346),IF($J9346&gt;0.005,1,0)))</f>
      </c>
      <c r="J9346" s="43">
        <f>IF($I9345=0,0,$R9345)</f>
      </c>
      <c r="K9346" s="43">
        <f>IF($I9346=0,0,IF(INDEX(DarlOhneTilgung,20)=1,0,IF(AND(INDEX(DarlTilgStart,20)&gt;0,$E9346=INDEX(DarlTilgStart,20)),$J9346*($H9346+INDEX(DarlTilgung,20))/100/12,IF(AND($G9346=0,$G9345=1),MAX($K9345,$J9346*($H9346+1)/100/12),$K9345))))</f>
      </c>
      <c r="L9346" s="43">
        <f>IF($I9346=0,0,$J9346*$H9346/100/12)</f>
      </c>
      <c r="M9346" s="43">
        <f>IF($I9346=0,0,IF(OR(INDEX(DarlOhneTilgung,20)=1,AND(INDEX(DarlTilgStart,20)&gt;0,$E9346&lt;INDEX(DarlTilgStart,20))),0,MIN(MAX(0,$K9346-$L9346),$J9346)))</f>
      </c>
      <c r="N9346" s="43">
        <f>IF($I9346=0,0,MIN(SUMIFS(SondBetrag,SondDarl,20,SondDatum,"&gt;="&amp;$E9346,SondDatum,"&lt;="&amp;EOMONTH($E9346,0)),$J9346-$M9346))</f>
      </c>
      <c r="O9346" s="43">
        <f>IF($I9346=0,0,INDEX(DarlErsatzRate,20))</f>
      </c>
      <c r="P9346" s="43">
        <f>IF($I9346=0,0,$Q9345*INDEX(DarlErsatzZins,20))</f>
      </c>
      <c r="Q9346" s="43">
        <f>IF($I9346=0,0,$Q9345+$P9346+$O9346)</f>
      </c>
      <c r="R9346" s="43">
        <f>IF($I9346=0,0,$J9346-$M9346-$N9346)</f>
      </c>
    </row>
    <row r="9347">
      <c r="A9347"/>
      <c r="B9347">
        <v>20</v>
      </c>
      <c r="C9347" s="43">
        <f>INDEX(DarlObj,20)</f>
      </c>
      <c r="D9347">
        <v>224</v>
      </c>
      <c r="E9347" s="51">
        <f>IF(INDEX(DarlBelegt,20)=0,0,EOMONTH(INDEX(DarlAuszahlung,20),223)+1)</f>
      </c>
      <c r="F9347" s="43">
        <f>IF($E9347=0,0,YEAR($E9347))</f>
      </c>
      <c r="G9347" s="43">
        <f>IF(INDEX(DarlBindung,20)="",1,IF($E9347&lt;=INDEX(DarlBindung,20),1,0))</f>
      </c>
      <c r="H9347" s="43">
        <f>IF($G9347=1,INDEX(DarlSollzins,20),INDEX(DarlAnschluss,20))</f>
      </c>
      <c r="I9347" s="43">
        <f>IF(INDEX(DarlBelegt,20)=0,0,IF(INDEX(DarlOhneTilgung,20)=1,IF(INDEX(DarlBindung,20)="",1,$G9347),IF($J9347&gt;0.005,1,0)))</f>
      </c>
      <c r="J9347" s="43">
        <f>IF($I9346=0,0,$R9346)</f>
      </c>
      <c r="K9347" s="43">
        <f>IF($I9347=0,0,IF(INDEX(DarlOhneTilgung,20)=1,0,IF(AND(INDEX(DarlTilgStart,20)&gt;0,$E9347=INDEX(DarlTilgStart,20)),$J9347*($H9347+INDEX(DarlTilgung,20))/100/12,IF(AND($G9347=0,$G9346=1),MAX($K9346,$J9347*($H9347+1)/100/12),$K9346))))</f>
      </c>
      <c r="L9347" s="43">
        <f>IF($I9347=0,0,$J9347*$H9347/100/12)</f>
      </c>
      <c r="M9347" s="43">
        <f>IF($I9347=0,0,IF(OR(INDEX(DarlOhneTilgung,20)=1,AND(INDEX(DarlTilgStart,20)&gt;0,$E9347&lt;INDEX(DarlTilgStart,20))),0,MIN(MAX(0,$K9347-$L9347),$J9347)))</f>
      </c>
      <c r="N9347" s="43">
        <f>IF($I9347=0,0,MIN(SUMIFS(SondBetrag,SondDarl,20,SondDatum,"&gt;="&amp;$E9347,SondDatum,"&lt;="&amp;EOMONTH($E9347,0)),$J9347-$M9347))</f>
      </c>
      <c r="O9347" s="43">
        <f>IF($I9347=0,0,INDEX(DarlErsatzRate,20))</f>
      </c>
      <c r="P9347" s="43">
        <f>IF($I9347=0,0,$Q9346*INDEX(DarlErsatzZins,20))</f>
      </c>
      <c r="Q9347" s="43">
        <f>IF($I9347=0,0,$Q9346+$P9347+$O9347)</f>
      </c>
      <c r="R9347" s="43">
        <f>IF($I9347=0,0,$J9347-$M9347-$N9347)</f>
      </c>
    </row>
    <row r="9348">
      <c r="A9348"/>
      <c r="B9348">
        <v>20</v>
      </c>
      <c r="C9348" s="43">
        <f>INDEX(DarlObj,20)</f>
      </c>
      <c r="D9348">
        <v>225</v>
      </c>
      <c r="E9348" s="51">
        <f>IF(INDEX(DarlBelegt,20)=0,0,EOMONTH(INDEX(DarlAuszahlung,20),224)+1)</f>
      </c>
      <c r="F9348" s="43">
        <f>IF($E9348=0,0,YEAR($E9348))</f>
      </c>
      <c r="G9348" s="43">
        <f>IF(INDEX(DarlBindung,20)="",1,IF($E9348&lt;=INDEX(DarlBindung,20),1,0))</f>
      </c>
      <c r="H9348" s="43">
        <f>IF($G9348=1,INDEX(DarlSollzins,20),INDEX(DarlAnschluss,20))</f>
      </c>
      <c r="I9348" s="43">
        <f>IF(INDEX(DarlBelegt,20)=0,0,IF(INDEX(DarlOhneTilgung,20)=1,IF(INDEX(DarlBindung,20)="",1,$G9348),IF($J9348&gt;0.005,1,0)))</f>
      </c>
      <c r="J9348" s="43">
        <f>IF($I9347=0,0,$R9347)</f>
      </c>
      <c r="K9348" s="43">
        <f>IF($I9348=0,0,IF(INDEX(DarlOhneTilgung,20)=1,0,IF(AND(INDEX(DarlTilgStart,20)&gt;0,$E9348=INDEX(DarlTilgStart,20)),$J9348*($H9348+INDEX(DarlTilgung,20))/100/12,IF(AND($G9348=0,$G9347=1),MAX($K9347,$J9348*($H9348+1)/100/12),$K9347))))</f>
      </c>
      <c r="L9348" s="43">
        <f>IF($I9348=0,0,$J9348*$H9348/100/12)</f>
      </c>
      <c r="M9348" s="43">
        <f>IF($I9348=0,0,IF(OR(INDEX(DarlOhneTilgung,20)=1,AND(INDEX(DarlTilgStart,20)&gt;0,$E9348&lt;INDEX(DarlTilgStart,20))),0,MIN(MAX(0,$K9348-$L9348),$J9348)))</f>
      </c>
      <c r="N9348" s="43">
        <f>IF($I9348=0,0,MIN(SUMIFS(SondBetrag,SondDarl,20,SondDatum,"&gt;="&amp;$E9348,SondDatum,"&lt;="&amp;EOMONTH($E9348,0)),$J9348-$M9348))</f>
      </c>
      <c r="O9348" s="43">
        <f>IF($I9348=0,0,INDEX(DarlErsatzRate,20))</f>
      </c>
      <c r="P9348" s="43">
        <f>IF($I9348=0,0,$Q9347*INDEX(DarlErsatzZins,20))</f>
      </c>
      <c r="Q9348" s="43">
        <f>IF($I9348=0,0,$Q9347+$P9348+$O9348)</f>
      </c>
      <c r="R9348" s="43">
        <f>IF($I9348=0,0,$J9348-$M9348-$N9348)</f>
      </c>
    </row>
    <row r="9349">
      <c r="A9349"/>
      <c r="B9349">
        <v>20</v>
      </c>
      <c r="C9349" s="43">
        <f>INDEX(DarlObj,20)</f>
      </c>
      <c r="D9349">
        <v>226</v>
      </c>
      <c r="E9349" s="51">
        <f>IF(INDEX(DarlBelegt,20)=0,0,EOMONTH(INDEX(DarlAuszahlung,20),225)+1)</f>
      </c>
      <c r="F9349" s="43">
        <f>IF($E9349=0,0,YEAR($E9349))</f>
      </c>
      <c r="G9349" s="43">
        <f>IF(INDEX(DarlBindung,20)="",1,IF($E9349&lt;=INDEX(DarlBindung,20),1,0))</f>
      </c>
      <c r="H9349" s="43">
        <f>IF($G9349=1,INDEX(DarlSollzins,20),INDEX(DarlAnschluss,20))</f>
      </c>
      <c r="I9349" s="43">
        <f>IF(INDEX(DarlBelegt,20)=0,0,IF(INDEX(DarlOhneTilgung,20)=1,IF(INDEX(DarlBindung,20)="",1,$G9349),IF($J9349&gt;0.005,1,0)))</f>
      </c>
      <c r="J9349" s="43">
        <f>IF($I9348=0,0,$R9348)</f>
      </c>
      <c r="K9349" s="43">
        <f>IF($I9349=0,0,IF(INDEX(DarlOhneTilgung,20)=1,0,IF(AND(INDEX(DarlTilgStart,20)&gt;0,$E9349=INDEX(DarlTilgStart,20)),$J9349*($H9349+INDEX(DarlTilgung,20))/100/12,IF(AND($G9349=0,$G9348=1),MAX($K9348,$J9349*($H9349+1)/100/12),$K9348))))</f>
      </c>
      <c r="L9349" s="43">
        <f>IF($I9349=0,0,$J9349*$H9349/100/12)</f>
      </c>
      <c r="M9349" s="43">
        <f>IF($I9349=0,0,IF(OR(INDEX(DarlOhneTilgung,20)=1,AND(INDEX(DarlTilgStart,20)&gt;0,$E9349&lt;INDEX(DarlTilgStart,20))),0,MIN(MAX(0,$K9349-$L9349),$J9349)))</f>
      </c>
      <c r="N9349" s="43">
        <f>IF($I9349=0,0,MIN(SUMIFS(SondBetrag,SondDarl,20,SondDatum,"&gt;="&amp;$E9349,SondDatum,"&lt;="&amp;EOMONTH($E9349,0)),$J9349-$M9349))</f>
      </c>
      <c r="O9349" s="43">
        <f>IF($I9349=0,0,INDEX(DarlErsatzRate,20))</f>
      </c>
      <c r="P9349" s="43">
        <f>IF($I9349=0,0,$Q9348*INDEX(DarlErsatzZins,20))</f>
      </c>
      <c r="Q9349" s="43">
        <f>IF($I9349=0,0,$Q9348+$P9349+$O9349)</f>
      </c>
      <c r="R9349" s="43">
        <f>IF($I9349=0,0,$J9349-$M9349-$N9349)</f>
      </c>
    </row>
    <row r="9350">
      <c r="A9350"/>
      <c r="B9350">
        <v>20</v>
      </c>
      <c r="C9350" s="43">
        <f>INDEX(DarlObj,20)</f>
      </c>
      <c r="D9350">
        <v>227</v>
      </c>
      <c r="E9350" s="51">
        <f>IF(INDEX(DarlBelegt,20)=0,0,EOMONTH(INDEX(DarlAuszahlung,20),226)+1)</f>
      </c>
      <c r="F9350" s="43">
        <f>IF($E9350=0,0,YEAR($E9350))</f>
      </c>
      <c r="G9350" s="43">
        <f>IF(INDEX(DarlBindung,20)="",1,IF($E9350&lt;=INDEX(DarlBindung,20),1,0))</f>
      </c>
      <c r="H9350" s="43">
        <f>IF($G9350=1,INDEX(DarlSollzins,20),INDEX(DarlAnschluss,20))</f>
      </c>
      <c r="I9350" s="43">
        <f>IF(INDEX(DarlBelegt,20)=0,0,IF(INDEX(DarlOhneTilgung,20)=1,IF(INDEX(DarlBindung,20)="",1,$G9350),IF($J9350&gt;0.005,1,0)))</f>
      </c>
      <c r="J9350" s="43">
        <f>IF($I9349=0,0,$R9349)</f>
      </c>
      <c r="K9350" s="43">
        <f>IF($I9350=0,0,IF(INDEX(DarlOhneTilgung,20)=1,0,IF(AND(INDEX(DarlTilgStart,20)&gt;0,$E9350=INDEX(DarlTilgStart,20)),$J9350*($H9350+INDEX(DarlTilgung,20))/100/12,IF(AND($G9350=0,$G9349=1),MAX($K9349,$J9350*($H9350+1)/100/12),$K9349))))</f>
      </c>
      <c r="L9350" s="43">
        <f>IF($I9350=0,0,$J9350*$H9350/100/12)</f>
      </c>
      <c r="M9350" s="43">
        <f>IF($I9350=0,0,IF(OR(INDEX(DarlOhneTilgung,20)=1,AND(INDEX(DarlTilgStart,20)&gt;0,$E9350&lt;INDEX(DarlTilgStart,20))),0,MIN(MAX(0,$K9350-$L9350),$J9350)))</f>
      </c>
      <c r="N9350" s="43">
        <f>IF($I9350=0,0,MIN(SUMIFS(SondBetrag,SondDarl,20,SondDatum,"&gt;="&amp;$E9350,SondDatum,"&lt;="&amp;EOMONTH($E9350,0)),$J9350-$M9350))</f>
      </c>
      <c r="O9350" s="43">
        <f>IF($I9350=0,0,INDEX(DarlErsatzRate,20))</f>
      </c>
      <c r="P9350" s="43">
        <f>IF($I9350=0,0,$Q9349*INDEX(DarlErsatzZins,20))</f>
      </c>
      <c r="Q9350" s="43">
        <f>IF($I9350=0,0,$Q9349+$P9350+$O9350)</f>
      </c>
      <c r="R9350" s="43">
        <f>IF($I9350=0,0,$J9350-$M9350-$N9350)</f>
      </c>
    </row>
    <row r="9351">
      <c r="A9351"/>
      <c r="B9351">
        <v>20</v>
      </c>
      <c r="C9351" s="43">
        <f>INDEX(DarlObj,20)</f>
      </c>
      <c r="D9351">
        <v>228</v>
      </c>
      <c r="E9351" s="51">
        <f>IF(INDEX(DarlBelegt,20)=0,0,EOMONTH(INDEX(DarlAuszahlung,20),227)+1)</f>
      </c>
      <c r="F9351" s="43">
        <f>IF($E9351=0,0,YEAR($E9351))</f>
      </c>
      <c r="G9351" s="43">
        <f>IF(INDEX(DarlBindung,20)="",1,IF($E9351&lt;=INDEX(DarlBindung,20),1,0))</f>
      </c>
      <c r="H9351" s="43">
        <f>IF($G9351=1,INDEX(DarlSollzins,20),INDEX(DarlAnschluss,20))</f>
      </c>
      <c r="I9351" s="43">
        <f>IF(INDEX(DarlBelegt,20)=0,0,IF(INDEX(DarlOhneTilgung,20)=1,IF(INDEX(DarlBindung,20)="",1,$G9351),IF($J9351&gt;0.005,1,0)))</f>
      </c>
      <c r="J9351" s="43">
        <f>IF($I9350=0,0,$R9350)</f>
      </c>
      <c r="K9351" s="43">
        <f>IF($I9351=0,0,IF(INDEX(DarlOhneTilgung,20)=1,0,IF(AND(INDEX(DarlTilgStart,20)&gt;0,$E9351=INDEX(DarlTilgStart,20)),$J9351*($H9351+INDEX(DarlTilgung,20))/100/12,IF(AND($G9351=0,$G9350=1),MAX($K9350,$J9351*($H9351+1)/100/12),$K9350))))</f>
      </c>
      <c r="L9351" s="43">
        <f>IF($I9351=0,0,$J9351*$H9351/100/12)</f>
      </c>
      <c r="M9351" s="43">
        <f>IF($I9351=0,0,IF(OR(INDEX(DarlOhneTilgung,20)=1,AND(INDEX(DarlTilgStart,20)&gt;0,$E9351&lt;INDEX(DarlTilgStart,20))),0,MIN(MAX(0,$K9351-$L9351),$J9351)))</f>
      </c>
      <c r="N9351" s="43">
        <f>IF($I9351=0,0,MIN(SUMIFS(SondBetrag,SondDarl,20,SondDatum,"&gt;="&amp;$E9351,SondDatum,"&lt;="&amp;EOMONTH($E9351,0)),$J9351-$M9351))</f>
      </c>
      <c r="O9351" s="43">
        <f>IF($I9351=0,0,INDEX(DarlErsatzRate,20))</f>
      </c>
      <c r="P9351" s="43">
        <f>IF($I9351=0,0,$Q9350*INDEX(DarlErsatzZins,20))</f>
      </c>
      <c r="Q9351" s="43">
        <f>IF($I9351=0,0,$Q9350+$P9351+$O9351)</f>
      </c>
      <c r="R9351" s="43">
        <f>IF($I9351=0,0,$J9351-$M9351-$N9351)</f>
      </c>
    </row>
    <row r="9352">
      <c r="A9352"/>
      <c r="B9352">
        <v>20</v>
      </c>
      <c r="C9352" s="43">
        <f>INDEX(DarlObj,20)</f>
      </c>
      <c r="D9352">
        <v>229</v>
      </c>
      <c r="E9352" s="51">
        <f>IF(INDEX(DarlBelegt,20)=0,0,EOMONTH(INDEX(DarlAuszahlung,20),228)+1)</f>
      </c>
      <c r="F9352" s="43">
        <f>IF($E9352=0,0,YEAR($E9352))</f>
      </c>
      <c r="G9352" s="43">
        <f>IF(INDEX(DarlBindung,20)="",1,IF($E9352&lt;=INDEX(DarlBindung,20),1,0))</f>
      </c>
      <c r="H9352" s="43">
        <f>IF($G9352=1,INDEX(DarlSollzins,20),INDEX(DarlAnschluss,20))</f>
      </c>
      <c r="I9352" s="43">
        <f>IF(INDEX(DarlBelegt,20)=0,0,IF(INDEX(DarlOhneTilgung,20)=1,IF(INDEX(DarlBindung,20)="",1,$G9352),IF($J9352&gt;0.005,1,0)))</f>
      </c>
      <c r="J9352" s="43">
        <f>IF($I9351=0,0,$R9351)</f>
      </c>
      <c r="K9352" s="43">
        <f>IF($I9352=0,0,IF(INDEX(DarlOhneTilgung,20)=1,0,IF(AND(INDEX(DarlTilgStart,20)&gt;0,$E9352=INDEX(DarlTilgStart,20)),$J9352*($H9352+INDEX(DarlTilgung,20))/100/12,IF(AND($G9352=0,$G9351=1),MAX($K9351,$J9352*($H9352+1)/100/12),$K9351))))</f>
      </c>
      <c r="L9352" s="43">
        <f>IF($I9352=0,0,$J9352*$H9352/100/12)</f>
      </c>
      <c r="M9352" s="43">
        <f>IF($I9352=0,0,IF(OR(INDEX(DarlOhneTilgung,20)=1,AND(INDEX(DarlTilgStart,20)&gt;0,$E9352&lt;INDEX(DarlTilgStart,20))),0,MIN(MAX(0,$K9352-$L9352),$J9352)))</f>
      </c>
      <c r="N9352" s="43">
        <f>IF($I9352=0,0,MIN(SUMIFS(SondBetrag,SondDarl,20,SondDatum,"&gt;="&amp;$E9352,SondDatum,"&lt;="&amp;EOMONTH($E9352,0)),$J9352-$M9352))</f>
      </c>
      <c r="O9352" s="43">
        <f>IF($I9352=0,0,INDEX(DarlErsatzRate,20))</f>
      </c>
      <c r="P9352" s="43">
        <f>IF($I9352=0,0,$Q9351*INDEX(DarlErsatzZins,20))</f>
      </c>
      <c r="Q9352" s="43">
        <f>IF($I9352=0,0,$Q9351+$P9352+$O9352)</f>
      </c>
      <c r="R9352" s="43">
        <f>IF($I9352=0,0,$J9352-$M9352-$N9352)</f>
      </c>
    </row>
    <row r="9353">
      <c r="A9353"/>
      <c r="B9353">
        <v>20</v>
      </c>
      <c r="C9353" s="43">
        <f>INDEX(DarlObj,20)</f>
      </c>
      <c r="D9353">
        <v>230</v>
      </c>
      <c r="E9353" s="51">
        <f>IF(INDEX(DarlBelegt,20)=0,0,EOMONTH(INDEX(DarlAuszahlung,20),229)+1)</f>
      </c>
      <c r="F9353" s="43">
        <f>IF($E9353=0,0,YEAR($E9353))</f>
      </c>
      <c r="G9353" s="43">
        <f>IF(INDEX(DarlBindung,20)="",1,IF($E9353&lt;=INDEX(DarlBindung,20),1,0))</f>
      </c>
      <c r="H9353" s="43">
        <f>IF($G9353=1,INDEX(DarlSollzins,20),INDEX(DarlAnschluss,20))</f>
      </c>
      <c r="I9353" s="43">
        <f>IF(INDEX(DarlBelegt,20)=0,0,IF(INDEX(DarlOhneTilgung,20)=1,IF(INDEX(DarlBindung,20)="",1,$G9353),IF($J9353&gt;0.005,1,0)))</f>
      </c>
      <c r="J9353" s="43">
        <f>IF($I9352=0,0,$R9352)</f>
      </c>
      <c r="K9353" s="43">
        <f>IF($I9353=0,0,IF(INDEX(DarlOhneTilgung,20)=1,0,IF(AND(INDEX(DarlTilgStart,20)&gt;0,$E9353=INDEX(DarlTilgStart,20)),$J9353*($H9353+INDEX(DarlTilgung,20))/100/12,IF(AND($G9353=0,$G9352=1),MAX($K9352,$J9353*($H9353+1)/100/12),$K9352))))</f>
      </c>
      <c r="L9353" s="43">
        <f>IF($I9353=0,0,$J9353*$H9353/100/12)</f>
      </c>
      <c r="M9353" s="43">
        <f>IF($I9353=0,0,IF(OR(INDEX(DarlOhneTilgung,20)=1,AND(INDEX(DarlTilgStart,20)&gt;0,$E9353&lt;INDEX(DarlTilgStart,20))),0,MIN(MAX(0,$K9353-$L9353),$J9353)))</f>
      </c>
      <c r="N9353" s="43">
        <f>IF($I9353=0,0,MIN(SUMIFS(SondBetrag,SondDarl,20,SondDatum,"&gt;="&amp;$E9353,SondDatum,"&lt;="&amp;EOMONTH($E9353,0)),$J9353-$M9353))</f>
      </c>
      <c r="O9353" s="43">
        <f>IF($I9353=0,0,INDEX(DarlErsatzRate,20))</f>
      </c>
      <c r="P9353" s="43">
        <f>IF($I9353=0,0,$Q9352*INDEX(DarlErsatzZins,20))</f>
      </c>
      <c r="Q9353" s="43">
        <f>IF($I9353=0,0,$Q9352+$P9353+$O9353)</f>
      </c>
      <c r="R9353" s="43">
        <f>IF($I9353=0,0,$J9353-$M9353-$N9353)</f>
      </c>
    </row>
    <row r="9354">
      <c r="A9354"/>
      <c r="B9354">
        <v>20</v>
      </c>
      <c r="C9354" s="43">
        <f>INDEX(DarlObj,20)</f>
      </c>
      <c r="D9354">
        <v>231</v>
      </c>
      <c r="E9354" s="51">
        <f>IF(INDEX(DarlBelegt,20)=0,0,EOMONTH(INDEX(DarlAuszahlung,20),230)+1)</f>
      </c>
      <c r="F9354" s="43">
        <f>IF($E9354=0,0,YEAR($E9354))</f>
      </c>
      <c r="G9354" s="43">
        <f>IF(INDEX(DarlBindung,20)="",1,IF($E9354&lt;=INDEX(DarlBindung,20),1,0))</f>
      </c>
      <c r="H9354" s="43">
        <f>IF($G9354=1,INDEX(DarlSollzins,20),INDEX(DarlAnschluss,20))</f>
      </c>
      <c r="I9354" s="43">
        <f>IF(INDEX(DarlBelegt,20)=0,0,IF(INDEX(DarlOhneTilgung,20)=1,IF(INDEX(DarlBindung,20)="",1,$G9354),IF($J9354&gt;0.005,1,0)))</f>
      </c>
      <c r="J9354" s="43">
        <f>IF($I9353=0,0,$R9353)</f>
      </c>
      <c r="K9354" s="43">
        <f>IF($I9354=0,0,IF(INDEX(DarlOhneTilgung,20)=1,0,IF(AND(INDEX(DarlTilgStart,20)&gt;0,$E9354=INDEX(DarlTilgStart,20)),$J9354*($H9354+INDEX(DarlTilgung,20))/100/12,IF(AND($G9354=0,$G9353=1),MAX($K9353,$J9354*($H9354+1)/100/12),$K9353))))</f>
      </c>
      <c r="L9354" s="43">
        <f>IF($I9354=0,0,$J9354*$H9354/100/12)</f>
      </c>
      <c r="M9354" s="43">
        <f>IF($I9354=0,0,IF(OR(INDEX(DarlOhneTilgung,20)=1,AND(INDEX(DarlTilgStart,20)&gt;0,$E9354&lt;INDEX(DarlTilgStart,20))),0,MIN(MAX(0,$K9354-$L9354),$J9354)))</f>
      </c>
      <c r="N9354" s="43">
        <f>IF($I9354=0,0,MIN(SUMIFS(SondBetrag,SondDarl,20,SondDatum,"&gt;="&amp;$E9354,SondDatum,"&lt;="&amp;EOMONTH($E9354,0)),$J9354-$M9354))</f>
      </c>
      <c r="O9354" s="43">
        <f>IF($I9354=0,0,INDEX(DarlErsatzRate,20))</f>
      </c>
      <c r="P9354" s="43">
        <f>IF($I9354=0,0,$Q9353*INDEX(DarlErsatzZins,20))</f>
      </c>
      <c r="Q9354" s="43">
        <f>IF($I9354=0,0,$Q9353+$P9354+$O9354)</f>
      </c>
      <c r="R9354" s="43">
        <f>IF($I9354=0,0,$J9354-$M9354-$N9354)</f>
      </c>
    </row>
    <row r="9355">
      <c r="A9355"/>
      <c r="B9355">
        <v>20</v>
      </c>
      <c r="C9355" s="43">
        <f>INDEX(DarlObj,20)</f>
      </c>
      <c r="D9355">
        <v>232</v>
      </c>
      <c r="E9355" s="51">
        <f>IF(INDEX(DarlBelegt,20)=0,0,EOMONTH(INDEX(DarlAuszahlung,20),231)+1)</f>
      </c>
      <c r="F9355" s="43">
        <f>IF($E9355=0,0,YEAR($E9355))</f>
      </c>
      <c r="G9355" s="43">
        <f>IF(INDEX(DarlBindung,20)="",1,IF($E9355&lt;=INDEX(DarlBindung,20),1,0))</f>
      </c>
      <c r="H9355" s="43">
        <f>IF($G9355=1,INDEX(DarlSollzins,20),INDEX(DarlAnschluss,20))</f>
      </c>
      <c r="I9355" s="43">
        <f>IF(INDEX(DarlBelegt,20)=0,0,IF(INDEX(DarlOhneTilgung,20)=1,IF(INDEX(DarlBindung,20)="",1,$G9355),IF($J9355&gt;0.005,1,0)))</f>
      </c>
      <c r="J9355" s="43">
        <f>IF($I9354=0,0,$R9354)</f>
      </c>
      <c r="K9355" s="43">
        <f>IF($I9355=0,0,IF(INDEX(DarlOhneTilgung,20)=1,0,IF(AND(INDEX(DarlTilgStart,20)&gt;0,$E9355=INDEX(DarlTilgStart,20)),$J9355*($H9355+INDEX(DarlTilgung,20))/100/12,IF(AND($G9355=0,$G9354=1),MAX($K9354,$J9355*($H9355+1)/100/12),$K9354))))</f>
      </c>
      <c r="L9355" s="43">
        <f>IF($I9355=0,0,$J9355*$H9355/100/12)</f>
      </c>
      <c r="M9355" s="43">
        <f>IF($I9355=0,0,IF(OR(INDEX(DarlOhneTilgung,20)=1,AND(INDEX(DarlTilgStart,20)&gt;0,$E9355&lt;INDEX(DarlTilgStart,20))),0,MIN(MAX(0,$K9355-$L9355),$J9355)))</f>
      </c>
      <c r="N9355" s="43">
        <f>IF($I9355=0,0,MIN(SUMIFS(SondBetrag,SondDarl,20,SondDatum,"&gt;="&amp;$E9355,SondDatum,"&lt;="&amp;EOMONTH($E9355,0)),$J9355-$M9355))</f>
      </c>
      <c r="O9355" s="43">
        <f>IF($I9355=0,0,INDEX(DarlErsatzRate,20))</f>
      </c>
      <c r="P9355" s="43">
        <f>IF($I9355=0,0,$Q9354*INDEX(DarlErsatzZins,20))</f>
      </c>
      <c r="Q9355" s="43">
        <f>IF($I9355=0,0,$Q9354+$P9355+$O9355)</f>
      </c>
      <c r="R9355" s="43">
        <f>IF($I9355=0,0,$J9355-$M9355-$N9355)</f>
      </c>
    </row>
    <row r="9356">
      <c r="A9356"/>
      <c r="B9356">
        <v>20</v>
      </c>
      <c r="C9356" s="43">
        <f>INDEX(DarlObj,20)</f>
      </c>
      <c r="D9356">
        <v>233</v>
      </c>
      <c r="E9356" s="51">
        <f>IF(INDEX(DarlBelegt,20)=0,0,EOMONTH(INDEX(DarlAuszahlung,20),232)+1)</f>
      </c>
      <c r="F9356" s="43">
        <f>IF($E9356=0,0,YEAR($E9356))</f>
      </c>
      <c r="G9356" s="43">
        <f>IF(INDEX(DarlBindung,20)="",1,IF($E9356&lt;=INDEX(DarlBindung,20),1,0))</f>
      </c>
      <c r="H9356" s="43">
        <f>IF($G9356=1,INDEX(DarlSollzins,20),INDEX(DarlAnschluss,20))</f>
      </c>
      <c r="I9356" s="43">
        <f>IF(INDEX(DarlBelegt,20)=0,0,IF(INDEX(DarlOhneTilgung,20)=1,IF(INDEX(DarlBindung,20)="",1,$G9356),IF($J9356&gt;0.005,1,0)))</f>
      </c>
      <c r="J9356" s="43">
        <f>IF($I9355=0,0,$R9355)</f>
      </c>
      <c r="K9356" s="43">
        <f>IF($I9356=0,0,IF(INDEX(DarlOhneTilgung,20)=1,0,IF(AND(INDEX(DarlTilgStart,20)&gt;0,$E9356=INDEX(DarlTilgStart,20)),$J9356*($H9356+INDEX(DarlTilgung,20))/100/12,IF(AND($G9356=0,$G9355=1),MAX($K9355,$J9356*($H9356+1)/100/12),$K9355))))</f>
      </c>
      <c r="L9356" s="43">
        <f>IF($I9356=0,0,$J9356*$H9356/100/12)</f>
      </c>
      <c r="M9356" s="43">
        <f>IF($I9356=0,0,IF(OR(INDEX(DarlOhneTilgung,20)=1,AND(INDEX(DarlTilgStart,20)&gt;0,$E9356&lt;INDEX(DarlTilgStart,20))),0,MIN(MAX(0,$K9356-$L9356),$J9356)))</f>
      </c>
      <c r="N9356" s="43">
        <f>IF($I9356=0,0,MIN(SUMIFS(SondBetrag,SondDarl,20,SondDatum,"&gt;="&amp;$E9356,SondDatum,"&lt;="&amp;EOMONTH($E9356,0)),$J9356-$M9356))</f>
      </c>
      <c r="O9356" s="43">
        <f>IF($I9356=0,0,INDEX(DarlErsatzRate,20))</f>
      </c>
      <c r="P9356" s="43">
        <f>IF($I9356=0,0,$Q9355*INDEX(DarlErsatzZins,20))</f>
      </c>
      <c r="Q9356" s="43">
        <f>IF($I9356=0,0,$Q9355+$P9356+$O9356)</f>
      </c>
      <c r="R9356" s="43">
        <f>IF($I9356=0,0,$J9356-$M9356-$N9356)</f>
      </c>
    </row>
    <row r="9357">
      <c r="A9357"/>
      <c r="B9357">
        <v>20</v>
      </c>
      <c r="C9357" s="43">
        <f>INDEX(DarlObj,20)</f>
      </c>
      <c r="D9357">
        <v>234</v>
      </c>
      <c r="E9357" s="51">
        <f>IF(INDEX(DarlBelegt,20)=0,0,EOMONTH(INDEX(DarlAuszahlung,20),233)+1)</f>
      </c>
      <c r="F9357" s="43">
        <f>IF($E9357=0,0,YEAR($E9357))</f>
      </c>
      <c r="G9357" s="43">
        <f>IF(INDEX(DarlBindung,20)="",1,IF($E9357&lt;=INDEX(DarlBindung,20),1,0))</f>
      </c>
      <c r="H9357" s="43">
        <f>IF($G9357=1,INDEX(DarlSollzins,20),INDEX(DarlAnschluss,20))</f>
      </c>
      <c r="I9357" s="43">
        <f>IF(INDEX(DarlBelegt,20)=0,0,IF(INDEX(DarlOhneTilgung,20)=1,IF(INDEX(DarlBindung,20)="",1,$G9357),IF($J9357&gt;0.005,1,0)))</f>
      </c>
      <c r="J9357" s="43">
        <f>IF($I9356=0,0,$R9356)</f>
      </c>
      <c r="K9357" s="43">
        <f>IF($I9357=0,0,IF(INDEX(DarlOhneTilgung,20)=1,0,IF(AND(INDEX(DarlTilgStart,20)&gt;0,$E9357=INDEX(DarlTilgStart,20)),$J9357*($H9357+INDEX(DarlTilgung,20))/100/12,IF(AND($G9357=0,$G9356=1),MAX($K9356,$J9357*($H9357+1)/100/12),$K9356))))</f>
      </c>
      <c r="L9357" s="43">
        <f>IF($I9357=0,0,$J9357*$H9357/100/12)</f>
      </c>
      <c r="M9357" s="43">
        <f>IF($I9357=0,0,IF(OR(INDEX(DarlOhneTilgung,20)=1,AND(INDEX(DarlTilgStart,20)&gt;0,$E9357&lt;INDEX(DarlTilgStart,20))),0,MIN(MAX(0,$K9357-$L9357),$J9357)))</f>
      </c>
      <c r="N9357" s="43">
        <f>IF($I9357=0,0,MIN(SUMIFS(SondBetrag,SondDarl,20,SondDatum,"&gt;="&amp;$E9357,SondDatum,"&lt;="&amp;EOMONTH($E9357,0)),$J9357-$M9357))</f>
      </c>
      <c r="O9357" s="43">
        <f>IF($I9357=0,0,INDEX(DarlErsatzRate,20))</f>
      </c>
      <c r="P9357" s="43">
        <f>IF($I9357=0,0,$Q9356*INDEX(DarlErsatzZins,20))</f>
      </c>
      <c r="Q9357" s="43">
        <f>IF($I9357=0,0,$Q9356+$P9357+$O9357)</f>
      </c>
      <c r="R9357" s="43">
        <f>IF($I9357=0,0,$J9357-$M9357-$N9357)</f>
      </c>
    </row>
    <row r="9358">
      <c r="A9358"/>
      <c r="B9358">
        <v>20</v>
      </c>
      <c r="C9358" s="43">
        <f>INDEX(DarlObj,20)</f>
      </c>
      <c r="D9358">
        <v>235</v>
      </c>
      <c r="E9358" s="51">
        <f>IF(INDEX(DarlBelegt,20)=0,0,EOMONTH(INDEX(DarlAuszahlung,20),234)+1)</f>
      </c>
      <c r="F9358" s="43">
        <f>IF($E9358=0,0,YEAR($E9358))</f>
      </c>
      <c r="G9358" s="43">
        <f>IF(INDEX(DarlBindung,20)="",1,IF($E9358&lt;=INDEX(DarlBindung,20),1,0))</f>
      </c>
      <c r="H9358" s="43">
        <f>IF($G9358=1,INDEX(DarlSollzins,20),INDEX(DarlAnschluss,20))</f>
      </c>
      <c r="I9358" s="43">
        <f>IF(INDEX(DarlBelegt,20)=0,0,IF(INDEX(DarlOhneTilgung,20)=1,IF(INDEX(DarlBindung,20)="",1,$G9358),IF($J9358&gt;0.005,1,0)))</f>
      </c>
      <c r="J9358" s="43">
        <f>IF($I9357=0,0,$R9357)</f>
      </c>
      <c r="K9358" s="43">
        <f>IF($I9358=0,0,IF(INDEX(DarlOhneTilgung,20)=1,0,IF(AND(INDEX(DarlTilgStart,20)&gt;0,$E9358=INDEX(DarlTilgStart,20)),$J9358*($H9358+INDEX(DarlTilgung,20))/100/12,IF(AND($G9358=0,$G9357=1),MAX($K9357,$J9358*($H9358+1)/100/12),$K9357))))</f>
      </c>
      <c r="L9358" s="43">
        <f>IF($I9358=0,0,$J9358*$H9358/100/12)</f>
      </c>
      <c r="M9358" s="43">
        <f>IF($I9358=0,0,IF(OR(INDEX(DarlOhneTilgung,20)=1,AND(INDEX(DarlTilgStart,20)&gt;0,$E9358&lt;INDEX(DarlTilgStart,20))),0,MIN(MAX(0,$K9358-$L9358),$J9358)))</f>
      </c>
      <c r="N9358" s="43">
        <f>IF($I9358=0,0,MIN(SUMIFS(SondBetrag,SondDarl,20,SondDatum,"&gt;="&amp;$E9358,SondDatum,"&lt;="&amp;EOMONTH($E9358,0)),$J9358-$M9358))</f>
      </c>
      <c r="O9358" s="43">
        <f>IF($I9358=0,0,INDEX(DarlErsatzRate,20))</f>
      </c>
      <c r="P9358" s="43">
        <f>IF($I9358=0,0,$Q9357*INDEX(DarlErsatzZins,20))</f>
      </c>
      <c r="Q9358" s="43">
        <f>IF($I9358=0,0,$Q9357+$P9358+$O9358)</f>
      </c>
      <c r="R9358" s="43">
        <f>IF($I9358=0,0,$J9358-$M9358-$N9358)</f>
      </c>
    </row>
    <row r="9359">
      <c r="A9359"/>
      <c r="B9359">
        <v>20</v>
      </c>
      <c r="C9359" s="43">
        <f>INDEX(DarlObj,20)</f>
      </c>
      <c r="D9359">
        <v>236</v>
      </c>
      <c r="E9359" s="51">
        <f>IF(INDEX(DarlBelegt,20)=0,0,EOMONTH(INDEX(DarlAuszahlung,20),235)+1)</f>
      </c>
      <c r="F9359" s="43">
        <f>IF($E9359=0,0,YEAR($E9359))</f>
      </c>
      <c r="G9359" s="43">
        <f>IF(INDEX(DarlBindung,20)="",1,IF($E9359&lt;=INDEX(DarlBindung,20),1,0))</f>
      </c>
      <c r="H9359" s="43">
        <f>IF($G9359=1,INDEX(DarlSollzins,20),INDEX(DarlAnschluss,20))</f>
      </c>
      <c r="I9359" s="43">
        <f>IF(INDEX(DarlBelegt,20)=0,0,IF(INDEX(DarlOhneTilgung,20)=1,IF(INDEX(DarlBindung,20)="",1,$G9359),IF($J9359&gt;0.005,1,0)))</f>
      </c>
      <c r="J9359" s="43">
        <f>IF($I9358=0,0,$R9358)</f>
      </c>
      <c r="K9359" s="43">
        <f>IF($I9359=0,0,IF(INDEX(DarlOhneTilgung,20)=1,0,IF(AND(INDEX(DarlTilgStart,20)&gt;0,$E9359=INDEX(DarlTilgStart,20)),$J9359*($H9359+INDEX(DarlTilgung,20))/100/12,IF(AND($G9359=0,$G9358=1),MAX($K9358,$J9359*($H9359+1)/100/12),$K9358))))</f>
      </c>
      <c r="L9359" s="43">
        <f>IF($I9359=0,0,$J9359*$H9359/100/12)</f>
      </c>
      <c r="M9359" s="43">
        <f>IF($I9359=0,0,IF(OR(INDEX(DarlOhneTilgung,20)=1,AND(INDEX(DarlTilgStart,20)&gt;0,$E9359&lt;INDEX(DarlTilgStart,20))),0,MIN(MAX(0,$K9359-$L9359),$J9359)))</f>
      </c>
      <c r="N9359" s="43">
        <f>IF($I9359=0,0,MIN(SUMIFS(SondBetrag,SondDarl,20,SondDatum,"&gt;="&amp;$E9359,SondDatum,"&lt;="&amp;EOMONTH($E9359,0)),$J9359-$M9359))</f>
      </c>
      <c r="O9359" s="43">
        <f>IF($I9359=0,0,INDEX(DarlErsatzRate,20))</f>
      </c>
      <c r="P9359" s="43">
        <f>IF($I9359=0,0,$Q9358*INDEX(DarlErsatzZins,20))</f>
      </c>
      <c r="Q9359" s="43">
        <f>IF($I9359=0,0,$Q9358+$P9359+$O9359)</f>
      </c>
      <c r="R9359" s="43">
        <f>IF($I9359=0,0,$J9359-$M9359-$N9359)</f>
      </c>
    </row>
    <row r="9360">
      <c r="A9360"/>
      <c r="B9360">
        <v>20</v>
      </c>
      <c r="C9360" s="43">
        <f>INDEX(DarlObj,20)</f>
      </c>
      <c r="D9360">
        <v>237</v>
      </c>
      <c r="E9360" s="51">
        <f>IF(INDEX(DarlBelegt,20)=0,0,EOMONTH(INDEX(DarlAuszahlung,20),236)+1)</f>
      </c>
      <c r="F9360" s="43">
        <f>IF($E9360=0,0,YEAR($E9360))</f>
      </c>
      <c r="G9360" s="43">
        <f>IF(INDEX(DarlBindung,20)="",1,IF($E9360&lt;=INDEX(DarlBindung,20),1,0))</f>
      </c>
      <c r="H9360" s="43">
        <f>IF($G9360=1,INDEX(DarlSollzins,20),INDEX(DarlAnschluss,20))</f>
      </c>
      <c r="I9360" s="43">
        <f>IF(INDEX(DarlBelegt,20)=0,0,IF(INDEX(DarlOhneTilgung,20)=1,IF(INDEX(DarlBindung,20)="",1,$G9360),IF($J9360&gt;0.005,1,0)))</f>
      </c>
      <c r="J9360" s="43">
        <f>IF($I9359=0,0,$R9359)</f>
      </c>
      <c r="K9360" s="43">
        <f>IF($I9360=0,0,IF(INDEX(DarlOhneTilgung,20)=1,0,IF(AND(INDEX(DarlTilgStart,20)&gt;0,$E9360=INDEX(DarlTilgStart,20)),$J9360*($H9360+INDEX(DarlTilgung,20))/100/12,IF(AND($G9360=0,$G9359=1),MAX($K9359,$J9360*($H9360+1)/100/12),$K9359))))</f>
      </c>
      <c r="L9360" s="43">
        <f>IF($I9360=0,0,$J9360*$H9360/100/12)</f>
      </c>
      <c r="M9360" s="43">
        <f>IF($I9360=0,0,IF(OR(INDEX(DarlOhneTilgung,20)=1,AND(INDEX(DarlTilgStart,20)&gt;0,$E9360&lt;INDEX(DarlTilgStart,20))),0,MIN(MAX(0,$K9360-$L9360),$J9360)))</f>
      </c>
      <c r="N9360" s="43">
        <f>IF($I9360=0,0,MIN(SUMIFS(SondBetrag,SondDarl,20,SondDatum,"&gt;="&amp;$E9360,SondDatum,"&lt;="&amp;EOMONTH($E9360,0)),$J9360-$M9360))</f>
      </c>
      <c r="O9360" s="43">
        <f>IF($I9360=0,0,INDEX(DarlErsatzRate,20))</f>
      </c>
      <c r="P9360" s="43">
        <f>IF($I9360=0,0,$Q9359*INDEX(DarlErsatzZins,20))</f>
      </c>
      <c r="Q9360" s="43">
        <f>IF($I9360=0,0,$Q9359+$P9360+$O9360)</f>
      </c>
      <c r="R9360" s="43">
        <f>IF($I9360=0,0,$J9360-$M9360-$N9360)</f>
      </c>
    </row>
    <row r="9361">
      <c r="A9361"/>
      <c r="B9361">
        <v>20</v>
      </c>
      <c r="C9361" s="43">
        <f>INDEX(DarlObj,20)</f>
      </c>
      <c r="D9361">
        <v>238</v>
      </c>
      <c r="E9361" s="51">
        <f>IF(INDEX(DarlBelegt,20)=0,0,EOMONTH(INDEX(DarlAuszahlung,20),237)+1)</f>
      </c>
      <c r="F9361" s="43">
        <f>IF($E9361=0,0,YEAR($E9361))</f>
      </c>
      <c r="G9361" s="43">
        <f>IF(INDEX(DarlBindung,20)="",1,IF($E9361&lt;=INDEX(DarlBindung,20),1,0))</f>
      </c>
      <c r="H9361" s="43">
        <f>IF($G9361=1,INDEX(DarlSollzins,20),INDEX(DarlAnschluss,20))</f>
      </c>
      <c r="I9361" s="43">
        <f>IF(INDEX(DarlBelegt,20)=0,0,IF(INDEX(DarlOhneTilgung,20)=1,IF(INDEX(DarlBindung,20)="",1,$G9361),IF($J9361&gt;0.005,1,0)))</f>
      </c>
      <c r="J9361" s="43">
        <f>IF($I9360=0,0,$R9360)</f>
      </c>
      <c r="K9361" s="43">
        <f>IF($I9361=0,0,IF(INDEX(DarlOhneTilgung,20)=1,0,IF(AND(INDEX(DarlTilgStart,20)&gt;0,$E9361=INDEX(DarlTilgStart,20)),$J9361*($H9361+INDEX(DarlTilgung,20))/100/12,IF(AND($G9361=0,$G9360=1),MAX($K9360,$J9361*($H9361+1)/100/12),$K9360))))</f>
      </c>
      <c r="L9361" s="43">
        <f>IF($I9361=0,0,$J9361*$H9361/100/12)</f>
      </c>
      <c r="M9361" s="43">
        <f>IF($I9361=0,0,IF(OR(INDEX(DarlOhneTilgung,20)=1,AND(INDEX(DarlTilgStart,20)&gt;0,$E9361&lt;INDEX(DarlTilgStart,20))),0,MIN(MAX(0,$K9361-$L9361),$J9361)))</f>
      </c>
      <c r="N9361" s="43">
        <f>IF($I9361=0,0,MIN(SUMIFS(SondBetrag,SondDarl,20,SondDatum,"&gt;="&amp;$E9361,SondDatum,"&lt;="&amp;EOMONTH($E9361,0)),$J9361-$M9361))</f>
      </c>
      <c r="O9361" s="43">
        <f>IF($I9361=0,0,INDEX(DarlErsatzRate,20))</f>
      </c>
      <c r="P9361" s="43">
        <f>IF($I9361=0,0,$Q9360*INDEX(DarlErsatzZins,20))</f>
      </c>
      <c r="Q9361" s="43">
        <f>IF($I9361=0,0,$Q9360+$P9361+$O9361)</f>
      </c>
      <c r="R9361" s="43">
        <f>IF($I9361=0,0,$J9361-$M9361-$N9361)</f>
      </c>
    </row>
    <row r="9362">
      <c r="A9362"/>
      <c r="B9362">
        <v>20</v>
      </c>
      <c r="C9362" s="43">
        <f>INDEX(DarlObj,20)</f>
      </c>
      <c r="D9362">
        <v>239</v>
      </c>
      <c r="E9362" s="51">
        <f>IF(INDEX(DarlBelegt,20)=0,0,EOMONTH(INDEX(DarlAuszahlung,20),238)+1)</f>
      </c>
      <c r="F9362" s="43">
        <f>IF($E9362=0,0,YEAR($E9362))</f>
      </c>
      <c r="G9362" s="43">
        <f>IF(INDEX(DarlBindung,20)="",1,IF($E9362&lt;=INDEX(DarlBindung,20),1,0))</f>
      </c>
      <c r="H9362" s="43">
        <f>IF($G9362=1,INDEX(DarlSollzins,20),INDEX(DarlAnschluss,20))</f>
      </c>
      <c r="I9362" s="43">
        <f>IF(INDEX(DarlBelegt,20)=0,0,IF(INDEX(DarlOhneTilgung,20)=1,IF(INDEX(DarlBindung,20)="",1,$G9362),IF($J9362&gt;0.005,1,0)))</f>
      </c>
      <c r="J9362" s="43">
        <f>IF($I9361=0,0,$R9361)</f>
      </c>
      <c r="K9362" s="43">
        <f>IF($I9362=0,0,IF(INDEX(DarlOhneTilgung,20)=1,0,IF(AND(INDEX(DarlTilgStart,20)&gt;0,$E9362=INDEX(DarlTilgStart,20)),$J9362*($H9362+INDEX(DarlTilgung,20))/100/12,IF(AND($G9362=0,$G9361=1),MAX($K9361,$J9362*($H9362+1)/100/12),$K9361))))</f>
      </c>
      <c r="L9362" s="43">
        <f>IF($I9362=0,0,$J9362*$H9362/100/12)</f>
      </c>
      <c r="M9362" s="43">
        <f>IF($I9362=0,0,IF(OR(INDEX(DarlOhneTilgung,20)=1,AND(INDEX(DarlTilgStart,20)&gt;0,$E9362&lt;INDEX(DarlTilgStart,20))),0,MIN(MAX(0,$K9362-$L9362),$J9362)))</f>
      </c>
      <c r="N9362" s="43">
        <f>IF($I9362=0,0,MIN(SUMIFS(SondBetrag,SondDarl,20,SondDatum,"&gt;="&amp;$E9362,SondDatum,"&lt;="&amp;EOMONTH($E9362,0)),$J9362-$M9362))</f>
      </c>
      <c r="O9362" s="43">
        <f>IF($I9362=0,0,INDEX(DarlErsatzRate,20))</f>
      </c>
      <c r="P9362" s="43">
        <f>IF($I9362=0,0,$Q9361*INDEX(DarlErsatzZins,20))</f>
      </c>
      <c r="Q9362" s="43">
        <f>IF($I9362=0,0,$Q9361+$P9362+$O9362)</f>
      </c>
      <c r="R9362" s="43">
        <f>IF($I9362=0,0,$J9362-$M9362-$N9362)</f>
      </c>
    </row>
    <row r="9363">
      <c r="A9363"/>
      <c r="B9363">
        <v>20</v>
      </c>
      <c r="C9363" s="43">
        <f>INDEX(DarlObj,20)</f>
      </c>
      <c r="D9363">
        <v>240</v>
      </c>
      <c r="E9363" s="51">
        <f>IF(INDEX(DarlBelegt,20)=0,0,EOMONTH(INDEX(DarlAuszahlung,20),239)+1)</f>
      </c>
      <c r="F9363" s="43">
        <f>IF($E9363=0,0,YEAR($E9363))</f>
      </c>
      <c r="G9363" s="43">
        <f>IF(INDEX(DarlBindung,20)="",1,IF($E9363&lt;=INDEX(DarlBindung,20),1,0))</f>
      </c>
      <c r="H9363" s="43">
        <f>IF($G9363=1,INDEX(DarlSollzins,20),INDEX(DarlAnschluss,20))</f>
      </c>
      <c r="I9363" s="43">
        <f>IF(INDEX(DarlBelegt,20)=0,0,IF(INDEX(DarlOhneTilgung,20)=1,IF(INDEX(DarlBindung,20)="",1,$G9363),IF($J9363&gt;0.005,1,0)))</f>
      </c>
      <c r="J9363" s="43">
        <f>IF($I9362=0,0,$R9362)</f>
      </c>
      <c r="K9363" s="43">
        <f>IF($I9363=0,0,IF(INDEX(DarlOhneTilgung,20)=1,0,IF(AND(INDEX(DarlTilgStart,20)&gt;0,$E9363=INDEX(DarlTilgStart,20)),$J9363*($H9363+INDEX(DarlTilgung,20))/100/12,IF(AND($G9363=0,$G9362=1),MAX($K9362,$J9363*($H9363+1)/100/12),$K9362))))</f>
      </c>
      <c r="L9363" s="43">
        <f>IF($I9363=0,0,$J9363*$H9363/100/12)</f>
      </c>
      <c r="M9363" s="43">
        <f>IF($I9363=0,0,IF(OR(INDEX(DarlOhneTilgung,20)=1,AND(INDEX(DarlTilgStart,20)&gt;0,$E9363&lt;INDEX(DarlTilgStart,20))),0,MIN(MAX(0,$K9363-$L9363),$J9363)))</f>
      </c>
      <c r="N9363" s="43">
        <f>IF($I9363=0,0,MIN(SUMIFS(SondBetrag,SondDarl,20,SondDatum,"&gt;="&amp;$E9363,SondDatum,"&lt;="&amp;EOMONTH($E9363,0)),$J9363-$M9363))</f>
      </c>
      <c r="O9363" s="43">
        <f>IF($I9363=0,0,INDEX(DarlErsatzRate,20))</f>
      </c>
      <c r="P9363" s="43">
        <f>IF($I9363=0,0,$Q9362*INDEX(DarlErsatzZins,20))</f>
      </c>
      <c r="Q9363" s="43">
        <f>IF($I9363=0,0,$Q9362+$P9363+$O9363)</f>
      </c>
      <c r="R9363" s="43">
        <f>IF($I9363=0,0,$J9363-$M9363-$N9363)</f>
      </c>
    </row>
    <row r="9364">
      <c r="A9364"/>
      <c r="B9364">
        <v>20</v>
      </c>
      <c r="C9364" s="43">
        <f>INDEX(DarlObj,20)</f>
      </c>
      <c r="D9364">
        <v>241</v>
      </c>
      <c r="E9364" s="51">
        <f>IF(INDEX(DarlBelegt,20)=0,0,EOMONTH(INDEX(DarlAuszahlung,20),240)+1)</f>
      </c>
      <c r="F9364" s="43">
        <f>IF($E9364=0,0,YEAR($E9364))</f>
      </c>
      <c r="G9364" s="43">
        <f>IF(INDEX(DarlBindung,20)="",1,IF($E9364&lt;=INDEX(DarlBindung,20),1,0))</f>
      </c>
      <c r="H9364" s="43">
        <f>IF($G9364=1,INDEX(DarlSollzins,20),INDEX(DarlAnschluss,20))</f>
      </c>
      <c r="I9364" s="43">
        <f>IF(INDEX(DarlBelegt,20)=0,0,IF(INDEX(DarlOhneTilgung,20)=1,IF(INDEX(DarlBindung,20)="",1,$G9364),IF($J9364&gt;0.005,1,0)))</f>
      </c>
      <c r="J9364" s="43">
        <f>IF($I9363=0,0,$R9363)</f>
      </c>
      <c r="K9364" s="43">
        <f>IF($I9364=0,0,IF(INDEX(DarlOhneTilgung,20)=1,0,IF(AND(INDEX(DarlTilgStart,20)&gt;0,$E9364=INDEX(DarlTilgStart,20)),$J9364*($H9364+INDEX(DarlTilgung,20))/100/12,IF(AND($G9364=0,$G9363=1),MAX($K9363,$J9364*($H9364+1)/100/12),$K9363))))</f>
      </c>
      <c r="L9364" s="43">
        <f>IF($I9364=0,0,$J9364*$H9364/100/12)</f>
      </c>
      <c r="M9364" s="43">
        <f>IF($I9364=0,0,IF(OR(INDEX(DarlOhneTilgung,20)=1,AND(INDEX(DarlTilgStart,20)&gt;0,$E9364&lt;INDEX(DarlTilgStart,20))),0,MIN(MAX(0,$K9364-$L9364),$J9364)))</f>
      </c>
      <c r="N9364" s="43">
        <f>IF($I9364=0,0,MIN(SUMIFS(SondBetrag,SondDarl,20,SondDatum,"&gt;="&amp;$E9364,SondDatum,"&lt;="&amp;EOMONTH($E9364,0)),$J9364-$M9364))</f>
      </c>
      <c r="O9364" s="43">
        <f>IF($I9364=0,0,INDEX(DarlErsatzRate,20))</f>
      </c>
      <c r="P9364" s="43">
        <f>IF($I9364=0,0,$Q9363*INDEX(DarlErsatzZins,20))</f>
      </c>
      <c r="Q9364" s="43">
        <f>IF($I9364=0,0,$Q9363+$P9364+$O9364)</f>
      </c>
      <c r="R9364" s="43">
        <f>IF($I9364=0,0,$J9364-$M9364-$N9364)</f>
      </c>
    </row>
    <row r="9365">
      <c r="A9365"/>
      <c r="B9365">
        <v>20</v>
      </c>
      <c r="C9365" s="43">
        <f>INDEX(DarlObj,20)</f>
      </c>
      <c r="D9365">
        <v>242</v>
      </c>
      <c r="E9365" s="51">
        <f>IF(INDEX(DarlBelegt,20)=0,0,EOMONTH(INDEX(DarlAuszahlung,20),241)+1)</f>
      </c>
      <c r="F9365" s="43">
        <f>IF($E9365=0,0,YEAR($E9365))</f>
      </c>
      <c r="G9365" s="43">
        <f>IF(INDEX(DarlBindung,20)="",1,IF($E9365&lt;=INDEX(DarlBindung,20),1,0))</f>
      </c>
      <c r="H9365" s="43">
        <f>IF($G9365=1,INDEX(DarlSollzins,20),INDEX(DarlAnschluss,20))</f>
      </c>
      <c r="I9365" s="43">
        <f>IF(INDEX(DarlBelegt,20)=0,0,IF(INDEX(DarlOhneTilgung,20)=1,IF(INDEX(DarlBindung,20)="",1,$G9365),IF($J9365&gt;0.005,1,0)))</f>
      </c>
      <c r="J9365" s="43">
        <f>IF($I9364=0,0,$R9364)</f>
      </c>
      <c r="K9365" s="43">
        <f>IF($I9365=0,0,IF(INDEX(DarlOhneTilgung,20)=1,0,IF(AND(INDEX(DarlTilgStart,20)&gt;0,$E9365=INDEX(DarlTilgStart,20)),$J9365*($H9365+INDEX(DarlTilgung,20))/100/12,IF(AND($G9365=0,$G9364=1),MAX($K9364,$J9365*($H9365+1)/100/12),$K9364))))</f>
      </c>
      <c r="L9365" s="43">
        <f>IF($I9365=0,0,$J9365*$H9365/100/12)</f>
      </c>
      <c r="M9365" s="43">
        <f>IF($I9365=0,0,IF(OR(INDEX(DarlOhneTilgung,20)=1,AND(INDEX(DarlTilgStart,20)&gt;0,$E9365&lt;INDEX(DarlTilgStart,20))),0,MIN(MAX(0,$K9365-$L9365),$J9365)))</f>
      </c>
      <c r="N9365" s="43">
        <f>IF($I9365=0,0,MIN(SUMIFS(SondBetrag,SondDarl,20,SondDatum,"&gt;="&amp;$E9365,SondDatum,"&lt;="&amp;EOMONTH($E9365,0)),$J9365-$M9365))</f>
      </c>
      <c r="O9365" s="43">
        <f>IF($I9365=0,0,INDEX(DarlErsatzRate,20))</f>
      </c>
      <c r="P9365" s="43">
        <f>IF($I9365=0,0,$Q9364*INDEX(DarlErsatzZins,20))</f>
      </c>
      <c r="Q9365" s="43">
        <f>IF($I9365=0,0,$Q9364+$P9365+$O9365)</f>
      </c>
      <c r="R9365" s="43">
        <f>IF($I9365=0,0,$J9365-$M9365-$N9365)</f>
      </c>
    </row>
    <row r="9366">
      <c r="A9366"/>
      <c r="B9366">
        <v>20</v>
      </c>
      <c r="C9366" s="43">
        <f>INDEX(DarlObj,20)</f>
      </c>
      <c r="D9366">
        <v>243</v>
      </c>
      <c r="E9366" s="51">
        <f>IF(INDEX(DarlBelegt,20)=0,0,EOMONTH(INDEX(DarlAuszahlung,20),242)+1)</f>
      </c>
      <c r="F9366" s="43">
        <f>IF($E9366=0,0,YEAR($E9366))</f>
      </c>
      <c r="G9366" s="43">
        <f>IF(INDEX(DarlBindung,20)="",1,IF($E9366&lt;=INDEX(DarlBindung,20),1,0))</f>
      </c>
      <c r="H9366" s="43">
        <f>IF($G9366=1,INDEX(DarlSollzins,20),INDEX(DarlAnschluss,20))</f>
      </c>
      <c r="I9366" s="43">
        <f>IF(INDEX(DarlBelegt,20)=0,0,IF(INDEX(DarlOhneTilgung,20)=1,IF(INDEX(DarlBindung,20)="",1,$G9366),IF($J9366&gt;0.005,1,0)))</f>
      </c>
      <c r="J9366" s="43">
        <f>IF($I9365=0,0,$R9365)</f>
      </c>
      <c r="K9366" s="43">
        <f>IF($I9366=0,0,IF(INDEX(DarlOhneTilgung,20)=1,0,IF(AND(INDEX(DarlTilgStart,20)&gt;0,$E9366=INDEX(DarlTilgStart,20)),$J9366*($H9366+INDEX(DarlTilgung,20))/100/12,IF(AND($G9366=0,$G9365=1),MAX($K9365,$J9366*($H9366+1)/100/12),$K9365))))</f>
      </c>
      <c r="L9366" s="43">
        <f>IF($I9366=0,0,$J9366*$H9366/100/12)</f>
      </c>
      <c r="M9366" s="43">
        <f>IF($I9366=0,0,IF(OR(INDEX(DarlOhneTilgung,20)=1,AND(INDEX(DarlTilgStart,20)&gt;0,$E9366&lt;INDEX(DarlTilgStart,20))),0,MIN(MAX(0,$K9366-$L9366),$J9366)))</f>
      </c>
      <c r="N9366" s="43">
        <f>IF($I9366=0,0,MIN(SUMIFS(SondBetrag,SondDarl,20,SondDatum,"&gt;="&amp;$E9366,SondDatum,"&lt;="&amp;EOMONTH($E9366,0)),$J9366-$M9366))</f>
      </c>
      <c r="O9366" s="43">
        <f>IF($I9366=0,0,INDEX(DarlErsatzRate,20))</f>
      </c>
      <c r="P9366" s="43">
        <f>IF($I9366=0,0,$Q9365*INDEX(DarlErsatzZins,20))</f>
      </c>
      <c r="Q9366" s="43">
        <f>IF($I9366=0,0,$Q9365+$P9366+$O9366)</f>
      </c>
      <c r="R9366" s="43">
        <f>IF($I9366=0,0,$J9366-$M9366-$N9366)</f>
      </c>
    </row>
    <row r="9367">
      <c r="A9367"/>
      <c r="B9367">
        <v>20</v>
      </c>
      <c r="C9367" s="43">
        <f>INDEX(DarlObj,20)</f>
      </c>
      <c r="D9367">
        <v>244</v>
      </c>
      <c r="E9367" s="51">
        <f>IF(INDEX(DarlBelegt,20)=0,0,EOMONTH(INDEX(DarlAuszahlung,20),243)+1)</f>
      </c>
      <c r="F9367" s="43">
        <f>IF($E9367=0,0,YEAR($E9367))</f>
      </c>
      <c r="G9367" s="43">
        <f>IF(INDEX(DarlBindung,20)="",1,IF($E9367&lt;=INDEX(DarlBindung,20),1,0))</f>
      </c>
      <c r="H9367" s="43">
        <f>IF($G9367=1,INDEX(DarlSollzins,20),INDEX(DarlAnschluss,20))</f>
      </c>
      <c r="I9367" s="43">
        <f>IF(INDEX(DarlBelegt,20)=0,0,IF(INDEX(DarlOhneTilgung,20)=1,IF(INDEX(DarlBindung,20)="",1,$G9367),IF($J9367&gt;0.005,1,0)))</f>
      </c>
      <c r="J9367" s="43">
        <f>IF($I9366=0,0,$R9366)</f>
      </c>
      <c r="K9367" s="43">
        <f>IF($I9367=0,0,IF(INDEX(DarlOhneTilgung,20)=1,0,IF(AND(INDEX(DarlTilgStart,20)&gt;0,$E9367=INDEX(DarlTilgStart,20)),$J9367*($H9367+INDEX(DarlTilgung,20))/100/12,IF(AND($G9367=0,$G9366=1),MAX($K9366,$J9367*($H9367+1)/100/12),$K9366))))</f>
      </c>
      <c r="L9367" s="43">
        <f>IF($I9367=0,0,$J9367*$H9367/100/12)</f>
      </c>
      <c r="M9367" s="43">
        <f>IF($I9367=0,0,IF(OR(INDEX(DarlOhneTilgung,20)=1,AND(INDEX(DarlTilgStart,20)&gt;0,$E9367&lt;INDEX(DarlTilgStart,20))),0,MIN(MAX(0,$K9367-$L9367),$J9367)))</f>
      </c>
      <c r="N9367" s="43">
        <f>IF($I9367=0,0,MIN(SUMIFS(SondBetrag,SondDarl,20,SondDatum,"&gt;="&amp;$E9367,SondDatum,"&lt;="&amp;EOMONTH($E9367,0)),$J9367-$M9367))</f>
      </c>
      <c r="O9367" s="43">
        <f>IF($I9367=0,0,INDEX(DarlErsatzRate,20))</f>
      </c>
      <c r="P9367" s="43">
        <f>IF($I9367=0,0,$Q9366*INDEX(DarlErsatzZins,20))</f>
      </c>
      <c r="Q9367" s="43">
        <f>IF($I9367=0,0,$Q9366+$P9367+$O9367)</f>
      </c>
      <c r="R9367" s="43">
        <f>IF($I9367=0,0,$J9367-$M9367-$N9367)</f>
      </c>
    </row>
    <row r="9368">
      <c r="A9368"/>
      <c r="B9368">
        <v>20</v>
      </c>
      <c r="C9368" s="43">
        <f>INDEX(DarlObj,20)</f>
      </c>
      <c r="D9368">
        <v>245</v>
      </c>
      <c r="E9368" s="51">
        <f>IF(INDEX(DarlBelegt,20)=0,0,EOMONTH(INDEX(DarlAuszahlung,20),244)+1)</f>
      </c>
      <c r="F9368" s="43">
        <f>IF($E9368=0,0,YEAR($E9368))</f>
      </c>
      <c r="G9368" s="43">
        <f>IF(INDEX(DarlBindung,20)="",1,IF($E9368&lt;=INDEX(DarlBindung,20),1,0))</f>
      </c>
      <c r="H9368" s="43">
        <f>IF($G9368=1,INDEX(DarlSollzins,20),INDEX(DarlAnschluss,20))</f>
      </c>
      <c r="I9368" s="43">
        <f>IF(INDEX(DarlBelegt,20)=0,0,IF(INDEX(DarlOhneTilgung,20)=1,IF(INDEX(DarlBindung,20)="",1,$G9368),IF($J9368&gt;0.005,1,0)))</f>
      </c>
      <c r="J9368" s="43">
        <f>IF($I9367=0,0,$R9367)</f>
      </c>
      <c r="K9368" s="43">
        <f>IF($I9368=0,0,IF(INDEX(DarlOhneTilgung,20)=1,0,IF(AND(INDEX(DarlTilgStart,20)&gt;0,$E9368=INDEX(DarlTilgStart,20)),$J9368*($H9368+INDEX(DarlTilgung,20))/100/12,IF(AND($G9368=0,$G9367=1),MAX($K9367,$J9368*($H9368+1)/100/12),$K9367))))</f>
      </c>
      <c r="L9368" s="43">
        <f>IF($I9368=0,0,$J9368*$H9368/100/12)</f>
      </c>
      <c r="M9368" s="43">
        <f>IF($I9368=0,0,IF(OR(INDEX(DarlOhneTilgung,20)=1,AND(INDEX(DarlTilgStart,20)&gt;0,$E9368&lt;INDEX(DarlTilgStart,20))),0,MIN(MAX(0,$K9368-$L9368),$J9368)))</f>
      </c>
      <c r="N9368" s="43">
        <f>IF($I9368=0,0,MIN(SUMIFS(SondBetrag,SondDarl,20,SondDatum,"&gt;="&amp;$E9368,SondDatum,"&lt;="&amp;EOMONTH($E9368,0)),$J9368-$M9368))</f>
      </c>
      <c r="O9368" s="43">
        <f>IF($I9368=0,0,INDEX(DarlErsatzRate,20))</f>
      </c>
      <c r="P9368" s="43">
        <f>IF($I9368=0,0,$Q9367*INDEX(DarlErsatzZins,20))</f>
      </c>
      <c r="Q9368" s="43">
        <f>IF($I9368=0,0,$Q9367+$P9368+$O9368)</f>
      </c>
      <c r="R9368" s="43">
        <f>IF($I9368=0,0,$J9368-$M9368-$N9368)</f>
      </c>
    </row>
    <row r="9369">
      <c r="A9369"/>
      <c r="B9369">
        <v>20</v>
      </c>
      <c r="C9369" s="43">
        <f>INDEX(DarlObj,20)</f>
      </c>
      <c r="D9369">
        <v>246</v>
      </c>
      <c r="E9369" s="51">
        <f>IF(INDEX(DarlBelegt,20)=0,0,EOMONTH(INDEX(DarlAuszahlung,20),245)+1)</f>
      </c>
      <c r="F9369" s="43">
        <f>IF($E9369=0,0,YEAR($E9369))</f>
      </c>
      <c r="G9369" s="43">
        <f>IF(INDEX(DarlBindung,20)="",1,IF($E9369&lt;=INDEX(DarlBindung,20),1,0))</f>
      </c>
      <c r="H9369" s="43">
        <f>IF($G9369=1,INDEX(DarlSollzins,20),INDEX(DarlAnschluss,20))</f>
      </c>
      <c r="I9369" s="43">
        <f>IF(INDEX(DarlBelegt,20)=0,0,IF(INDEX(DarlOhneTilgung,20)=1,IF(INDEX(DarlBindung,20)="",1,$G9369),IF($J9369&gt;0.005,1,0)))</f>
      </c>
      <c r="J9369" s="43">
        <f>IF($I9368=0,0,$R9368)</f>
      </c>
      <c r="K9369" s="43">
        <f>IF($I9369=0,0,IF(INDEX(DarlOhneTilgung,20)=1,0,IF(AND(INDEX(DarlTilgStart,20)&gt;0,$E9369=INDEX(DarlTilgStart,20)),$J9369*($H9369+INDEX(DarlTilgung,20))/100/12,IF(AND($G9369=0,$G9368=1),MAX($K9368,$J9369*($H9369+1)/100/12),$K9368))))</f>
      </c>
      <c r="L9369" s="43">
        <f>IF($I9369=0,0,$J9369*$H9369/100/12)</f>
      </c>
      <c r="M9369" s="43">
        <f>IF($I9369=0,0,IF(OR(INDEX(DarlOhneTilgung,20)=1,AND(INDEX(DarlTilgStart,20)&gt;0,$E9369&lt;INDEX(DarlTilgStart,20))),0,MIN(MAX(0,$K9369-$L9369),$J9369)))</f>
      </c>
      <c r="N9369" s="43">
        <f>IF($I9369=0,0,MIN(SUMIFS(SondBetrag,SondDarl,20,SondDatum,"&gt;="&amp;$E9369,SondDatum,"&lt;="&amp;EOMONTH($E9369,0)),$J9369-$M9369))</f>
      </c>
      <c r="O9369" s="43">
        <f>IF($I9369=0,0,INDEX(DarlErsatzRate,20))</f>
      </c>
      <c r="P9369" s="43">
        <f>IF($I9369=0,0,$Q9368*INDEX(DarlErsatzZins,20))</f>
      </c>
      <c r="Q9369" s="43">
        <f>IF($I9369=0,0,$Q9368+$P9369+$O9369)</f>
      </c>
      <c r="R9369" s="43">
        <f>IF($I9369=0,0,$J9369-$M9369-$N9369)</f>
      </c>
    </row>
    <row r="9370">
      <c r="A9370"/>
      <c r="B9370">
        <v>20</v>
      </c>
      <c r="C9370" s="43">
        <f>INDEX(DarlObj,20)</f>
      </c>
      <c r="D9370">
        <v>247</v>
      </c>
      <c r="E9370" s="51">
        <f>IF(INDEX(DarlBelegt,20)=0,0,EOMONTH(INDEX(DarlAuszahlung,20),246)+1)</f>
      </c>
      <c r="F9370" s="43">
        <f>IF($E9370=0,0,YEAR($E9370))</f>
      </c>
      <c r="G9370" s="43">
        <f>IF(INDEX(DarlBindung,20)="",1,IF($E9370&lt;=INDEX(DarlBindung,20),1,0))</f>
      </c>
      <c r="H9370" s="43">
        <f>IF($G9370=1,INDEX(DarlSollzins,20),INDEX(DarlAnschluss,20))</f>
      </c>
      <c r="I9370" s="43">
        <f>IF(INDEX(DarlBelegt,20)=0,0,IF(INDEX(DarlOhneTilgung,20)=1,IF(INDEX(DarlBindung,20)="",1,$G9370),IF($J9370&gt;0.005,1,0)))</f>
      </c>
      <c r="J9370" s="43">
        <f>IF($I9369=0,0,$R9369)</f>
      </c>
      <c r="K9370" s="43">
        <f>IF($I9370=0,0,IF(INDEX(DarlOhneTilgung,20)=1,0,IF(AND(INDEX(DarlTilgStart,20)&gt;0,$E9370=INDEX(DarlTilgStart,20)),$J9370*($H9370+INDEX(DarlTilgung,20))/100/12,IF(AND($G9370=0,$G9369=1),MAX($K9369,$J9370*($H9370+1)/100/12),$K9369))))</f>
      </c>
      <c r="L9370" s="43">
        <f>IF($I9370=0,0,$J9370*$H9370/100/12)</f>
      </c>
      <c r="M9370" s="43">
        <f>IF($I9370=0,0,IF(OR(INDEX(DarlOhneTilgung,20)=1,AND(INDEX(DarlTilgStart,20)&gt;0,$E9370&lt;INDEX(DarlTilgStart,20))),0,MIN(MAX(0,$K9370-$L9370),$J9370)))</f>
      </c>
      <c r="N9370" s="43">
        <f>IF($I9370=0,0,MIN(SUMIFS(SondBetrag,SondDarl,20,SondDatum,"&gt;="&amp;$E9370,SondDatum,"&lt;="&amp;EOMONTH($E9370,0)),$J9370-$M9370))</f>
      </c>
      <c r="O9370" s="43">
        <f>IF($I9370=0,0,INDEX(DarlErsatzRate,20))</f>
      </c>
      <c r="P9370" s="43">
        <f>IF($I9370=0,0,$Q9369*INDEX(DarlErsatzZins,20))</f>
      </c>
      <c r="Q9370" s="43">
        <f>IF($I9370=0,0,$Q9369+$P9370+$O9370)</f>
      </c>
      <c r="R9370" s="43">
        <f>IF($I9370=0,0,$J9370-$M9370-$N9370)</f>
      </c>
    </row>
    <row r="9371">
      <c r="A9371"/>
      <c r="B9371">
        <v>20</v>
      </c>
      <c r="C9371" s="43">
        <f>INDEX(DarlObj,20)</f>
      </c>
      <c r="D9371">
        <v>248</v>
      </c>
      <c r="E9371" s="51">
        <f>IF(INDEX(DarlBelegt,20)=0,0,EOMONTH(INDEX(DarlAuszahlung,20),247)+1)</f>
      </c>
      <c r="F9371" s="43">
        <f>IF($E9371=0,0,YEAR($E9371))</f>
      </c>
      <c r="G9371" s="43">
        <f>IF(INDEX(DarlBindung,20)="",1,IF($E9371&lt;=INDEX(DarlBindung,20),1,0))</f>
      </c>
      <c r="H9371" s="43">
        <f>IF($G9371=1,INDEX(DarlSollzins,20),INDEX(DarlAnschluss,20))</f>
      </c>
      <c r="I9371" s="43">
        <f>IF(INDEX(DarlBelegt,20)=0,0,IF(INDEX(DarlOhneTilgung,20)=1,IF(INDEX(DarlBindung,20)="",1,$G9371),IF($J9371&gt;0.005,1,0)))</f>
      </c>
      <c r="J9371" s="43">
        <f>IF($I9370=0,0,$R9370)</f>
      </c>
      <c r="K9371" s="43">
        <f>IF($I9371=0,0,IF(INDEX(DarlOhneTilgung,20)=1,0,IF(AND(INDEX(DarlTilgStart,20)&gt;0,$E9371=INDEX(DarlTilgStart,20)),$J9371*($H9371+INDEX(DarlTilgung,20))/100/12,IF(AND($G9371=0,$G9370=1),MAX($K9370,$J9371*($H9371+1)/100/12),$K9370))))</f>
      </c>
      <c r="L9371" s="43">
        <f>IF($I9371=0,0,$J9371*$H9371/100/12)</f>
      </c>
      <c r="M9371" s="43">
        <f>IF($I9371=0,0,IF(OR(INDEX(DarlOhneTilgung,20)=1,AND(INDEX(DarlTilgStart,20)&gt;0,$E9371&lt;INDEX(DarlTilgStart,20))),0,MIN(MAX(0,$K9371-$L9371),$J9371)))</f>
      </c>
      <c r="N9371" s="43">
        <f>IF($I9371=0,0,MIN(SUMIFS(SondBetrag,SondDarl,20,SondDatum,"&gt;="&amp;$E9371,SondDatum,"&lt;="&amp;EOMONTH($E9371,0)),$J9371-$M9371))</f>
      </c>
      <c r="O9371" s="43">
        <f>IF($I9371=0,0,INDEX(DarlErsatzRate,20))</f>
      </c>
      <c r="P9371" s="43">
        <f>IF($I9371=0,0,$Q9370*INDEX(DarlErsatzZins,20))</f>
      </c>
      <c r="Q9371" s="43">
        <f>IF($I9371=0,0,$Q9370+$P9371+$O9371)</f>
      </c>
      <c r="R9371" s="43">
        <f>IF($I9371=0,0,$J9371-$M9371-$N9371)</f>
      </c>
    </row>
    <row r="9372">
      <c r="A9372"/>
      <c r="B9372">
        <v>20</v>
      </c>
      <c r="C9372" s="43">
        <f>INDEX(DarlObj,20)</f>
      </c>
      <c r="D9372">
        <v>249</v>
      </c>
      <c r="E9372" s="51">
        <f>IF(INDEX(DarlBelegt,20)=0,0,EOMONTH(INDEX(DarlAuszahlung,20),248)+1)</f>
      </c>
      <c r="F9372" s="43">
        <f>IF($E9372=0,0,YEAR($E9372))</f>
      </c>
      <c r="G9372" s="43">
        <f>IF(INDEX(DarlBindung,20)="",1,IF($E9372&lt;=INDEX(DarlBindung,20),1,0))</f>
      </c>
      <c r="H9372" s="43">
        <f>IF($G9372=1,INDEX(DarlSollzins,20),INDEX(DarlAnschluss,20))</f>
      </c>
      <c r="I9372" s="43">
        <f>IF(INDEX(DarlBelegt,20)=0,0,IF(INDEX(DarlOhneTilgung,20)=1,IF(INDEX(DarlBindung,20)="",1,$G9372),IF($J9372&gt;0.005,1,0)))</f>
      </c>
      <c r="J9372" s="43">
        <f>IF($I9371=0,0,$R9371)</f>
      </c>
      <c r="K9372" s="43">
        <f>IF($I9372=0,0,IF(INDEX(DarlOhneTilgung,20)=1,0,IF(AND(INDEX(DarlTilgStart,20)&gt;0,$E9372=INDEX(DarlTilgStart,20)),$J9372*($H9372+INDEX(DarlTilgung,20))/100/12,IF(AND($G9372=0,$G9371=1),MAX($K9371,$J9372*($H9372+1)/100/12),$K9371))))</f>
      </c>
      <c r="L9372" s="43">
        <f>IF($I9372=0,0,$J9372*$H9372/100/12)</f>
      </c>
      <c r="M9372" s="43">
        <f>IF($I9372=0,0,IF(OR(INDEX(DarlOhneTilgung,20)=1,AND(INDEX(DarlTilgStart,20)&gt;0,$E9372&lt;INDEX(DarlTilgStart,20))),0,MIN(MAX(0,$K9372-$L9372),$J9372)))</f>
      </c>
      <c r="N9372" s="43">
        <f>IF($I9372=0,0,MIN(SUMIFS(SondBetrag,SondDarl,20,SondDatum,"&gt;="&amp;$E9372,SondDatum,"&lt;="&amp;EOMONTH($E9372,0)),$J9372-$M9372))</f>
      </c>
      <c r="O9372" s="43">
        <f>IF($I9372=0,0,INDEX(DarlErsatzRate,20))</f>
      </c>
      <c r="P9372" s="43">
        <f>IF($I9372=0,0,$Q9371*INDEX(DarlErsatzZins,20))</f>
      </c>
      <c r="Q9372" s="43">
        <f>IF($I9372=0,0,$Q9371+$P9372+$O9372)</f>
      </c>
      <c r="R9372" s="43">
        <f>IF($I9372=0,0,$J9372-$M9372-$N9372)</f>
      </c>
    </row>
    <row r="9373">
      <c r="A9373"/>
      <c r="B9373">
        <v>20</v>
      </c>
      <c r="C9373" s="43">
        <f>INDEX(DarlObj,20)</f>
      </c>
      <c r="D9373">
        <v>250</v>
      </c>
      <c r="E9373" s="51">
        <f>IF(INDEX(DarlBelegt,20)=0,0,EOMONTH(INDEX(DarlAuszahlung,20),249)+1)</f>
      </c>
      <c r="F9373" s="43">
        <f>IF($E9373=0,0,YEAR($E9373))</f>
      </c>
      <c r="G9373" s="43">
        <f>IF(INDEX(DarlBindung,20)="",1,IF($E9373&lt;=INDEX(DarlBindung,20),1,0))</f>
      </c>
      <c r="H9373" s="43">
        <f>IF($G9373=1,INDEX(DarlSollzins,20),INDEX(DarlAnschluss,20))</f>
      </c>
      <c r="I9373" s="43">
        <f>IF(INDEX(DarlBelegt,20)=0,0,IF(INDEX(DarlOhneTilgung,20)=1,IF(INDEX(DarlBindung,20)="",1,$G9373),IF($J9373&gt;0.005,1,0)))</f>
      </c>
      <c r="J9373" s="43">
        <f>IF($I9372=0,0,$R9372)</f>
      </c>
      <c r="K9373" s="43">
        <f>IF($I9373=0,0,IF(INDEX(DarlOhneTilgung,20)=1,0,IF(AND(INDEX(DarlTilgStart,20)&gt;0,$E9373=INDEX(DarlTilgStart,20)),$J9373*($H9373+INDEX(DarlTilgung,20))/100/12,IF(AND($G9373=0,$G9372=1),MAX($K9372,$J9373*($H9373+1)/100/12),$K9372))))</f>
      </c>
      <c r="L9373" s="43">
        <f>IF($I9373=0,0,$J9373*$H9373/100/12)</f>
      </c>
      <c r="M9373" s="43">
        <f>IF($I9373=0,0,IF(OR(INDEX(DarlOhneTilgung,20)=1,AND(INDEX(DarlTilgStart,20)&gt;0,$E9373&lt;INDEX(DarlTilgStart,20))),0,MIN(MAX(0,$K9373-$L9373),$J9373)))</f>
      </c>
      <c r="N9373" s="43">
        <f>IF($I9373=0,0,MIN(SUMIFS(SondBetrag,SondDarl,20,SondDatum,"&gt;="&amp;$E9373,SondDatum,"&lt;="&amp;EOMONTH($E9373,0)),$J9373-$M9373))</f>
      </c>
      <c r="O9373" s="43">
        <f>IF($I9373=0,0,INDEX(DarlErsatzRate,20))</f>
      </c>
      <c r="P9373" s="43">
        <f>IF($I9373=0,0,$Q9372*INDEX(DarlErsatzZins,20))</f>
      </c>
      <c r="Q9373" s="43">
        <f>IF($I9373=0,0,$Q9372+$P9373+$O9373)</f>
      </c>
      <c r="R9373" s="43">
        <f>IF($I9373=0,0,$J9373-$M9373-$N9373)</f>
      </c>
    </row>
    <row r="9374">
      <c r="A9374"/>
      <c r="B9374">
        <v>20</v>
      </c>
      <c r="C9374" s="43">
        <f>INDEX(DarlObj,20)</f>
      </c>
      <c r="D9374">
        <v>251</v>
      </c>
      <c r="E9374" s="51">
        <f>IF(INDEX(DarlBelegt,20)=0,0,EOMONTH(INDEX(DarlAuszahlung,20),250)+1)</f>
      </c>
      <c r="F9374" s="43">
        <f>IF($E9374=0,0,YEAR($E9374))</f>
      </c>
      <c r="G9374" s="43">
        <f>IF(INDEX(DarlBindung,20)="",1,IF($E9374&lt;=INDEX(DarlBindung,20),1,0))</f>
      </c>
      <c r="H9374" s="43">
        <f>IF($G9374=1,INDEX(DarlSollzins,20),INDEX(DarlAnschluss,20))</f>
      </c>
      <c r="I9374" s="43">
        <f>IF(INDEX(DarlBelegt,20)=0,0,IF(INDEX(DarlOhneTilgung,20)=1,IF(INDEX(DarlBindung,20)="",1,$G9374),IF($J9374&gt;0.005,1,0)))</f>
      </c>
      <c r="J9374" s="43">
        <f>IF($I9373=0,0,$R9373)</f>
      </c>
      <c r="K9374" s="43">
        <f>IF($I9374=0,0,IF(INDEX(DarlOhneTilgung,20)=1,0,IF(AND(INDEX(DarlTilgStart,20)&gt;0,$E9374=INDEX(DarlTilgStart,20)),$J9374*($H9374+INDEX(DarlTilgung,20))/100/12,IF(AND($G9374=0,$G9373=1),MAX($K9373,$J9374*($H9374+1)/100/12),$K9373))))</f>
      </c>
      <c r="L9374" s="43">
        <f>IF($I9374=0,0,$J9374*$H9374/100/12)</f>
      </c>
      <c r="M9374" s="43">
        <f>IF($I9374=0,0,IF(OR(INDEX(DarlOhneTilgung,20)=1,AND(INDEX(DarlTilgStart,20)&gt;0,$E9374&lt;INDEX(DarlTilgStart,20))),0,MIN(MAX(0,$K9374-$L9374),$J9374)))</f>
      </c>
      <c r="N9374" s="43">
        <f>IF($I9374=0,0,MIN(SUMIFS(SondBetrag,SondDarl,20,SondDatum,"&gt;="&amp;$E9374,SondDatum,"&lt;="&amp;EOMONTH($E9374,0)),$J9374-$M9374))</f>
      </c>
      <c r="O9374" s="43">
        <f>IF($I9374=0,0,INDEX(DarlErsatzRate,20))</f>
      </c>
      <c r="P9374" s="43">
        <f>IF($I9374=0,0,$Q9373*INDEX(DarlErsatzZins,20))</f>
      </c>
      <c r="Q9374" s="43">
        <f>IF($I9374=0,0,$Q9373+$P9374+$O9374)</f>
      </c>
      <c r="R9374" s="43">
        <f>IF($I9374=0,0,$J9374-$M9374-$N9374)</f>
      </c>
    </row>
    <row r="9375">
      <c r="A9375"/>
      <c r="B9375">
        <v>20</v>
      </c>
      <c r="C9375" s="43">
        <f>INDEX(DarlObj,20)</f>
      </c>
      <c r="D9375">
        <v>252</v>
      </c>
      <c r="E9375" s="51">
        <f>IF(INDEX(DarlBelegt,20)=0,0,EOMONTH(INDEX(DarlAuszahlung,20),251)+1)</f>
      </c>
      <c r="F9375" s="43">
        <f>IF($E9375=0,0,YEAR($E9375))</f>
      </c>
      <c r="G9375" s="43">
        <f>IF(INDEX(DarlBindung,20)="",1,IF($E9375&lt;=INDEX(DarlBindung,20),1,0))</f>
      </c>
      <c r="H9375" s="43">
        <f>IF($G9375=1,INDEX(DarlSollzins,20),INDEX(DarlAnschluss,20))</f>
      </c>
      <c r="I9375" s="43">
        <f>IF(INDEX(DarlBelegt,20)=0,0,IF(INDEX(DarlOhneTilgung,20)=1,IF(INDEX(DarlBindung,20)="",1,$G9375),IF($J9375&gt;0.005,1,0)))</f>
      </c>
      <c r="J9375" s="43">
        <f>IF($I9374=0,0,$R9374)</f>
      </c>
      <c r="K9375" s="43">
        <f>IF($I9375=0,0,IF(INDEX(DarlOhneTilgung,20)=1,0,IF(AND(INDEX(DarlTilgStart,20)&gt;0,$E9375=INDEX(DarlTilgStart,20)),$J9375*($H9375+INDEX(DarlTilgung,20))/100/12,IF(AND($G9375=0,$G9374=1),MAX($K9374,$J9375*($H9375+1)/100/12),$K9374))))</f>
      </c>
      <c r="L9375" s="43">
        <f>IF($I9375=0,0,$J9375*$H9375/100/12)</f>
      </c>
      <c r="M9375" s="43">
        <f>IF($I9375=0,0,IF(OR(INDEX(DarlOhneTilgung,20)=1,AND(INDEX(DarlTilgStart,20)&gt;0,$E9375&lt;INDEX(DarlTilgStart,20))),0,MIN(MAX(0,$K9375-$L9375),$J9375)))</f>
      </c>
      <c r="N9375" s="43">
        <f>IF($I9375=0,0,MIN(SUMIFS(SondBetrag,SondDarl,20,SondDatum,"&gt;="&amp;$E9375,SondDatum,"&lt;="&amp;EOMONTH($E9375,0)),$J9375-$M9375))</f>
      </c>
      <c r="O9375" s="43">
        <f>IF($I9375=0,0,INDEX(DarlErsatzRate,20))</f>
      </c>
      <c r="P9375" s="43">
        <f>IF($I9375=0,0,$Q9374*INDEX(DarlErsatzZins,20))</f>
      </c>
      <c r="Q9375" s="43">
        <f>IF($I9375=0,0,$Q9374+$P9375+$O9375)</f>
      </c>
      <c r="R9375" s="43">
        <f>IF($I9375=0,0,$J9375-$M9375-$N9375)</f>
      </c>
    </row>
    <row r="9376">
      <c r="A9376"/>
      <c r="B9376">
        <v>20</v>
      </c>
      <c r="C9376" s="43">
        <f>INDEX(DarlObj,20)</f>
      </c>
      <c r="D9376">
        <v>253</v>
      </c>
      <c r="E9376" s="51">
        <f>IF(INDEX(DarlBelegt,20)=0,0,EOMONTH(INDEX(DarlAuszahlung,20),252)+1)</f>
      </c>
      <c r="F9376" s="43">
        <f>IF($E9376=0,0,YEAR($E9376))</f>
      </c>
      <c r="G9376" s="43">
        <f>IF(INDEX(DarlBindung,20)="",1,IF($E9376&lt;=INDEX(DarlBindung,20),1,0))</f>
      </c>
      <c r="H9376" s="43">
        <f>IF($G9376=1,INDEX(DarlSollzins,20),INDEX(DarlAnschluss,20))</f>
      </c>
      <c r="I9376" s="43">
        <f>IF(INDEX(DarlBelegt,20)=0,0,IF(INDEX(DarlOhneTilgung,20)=1,IF(INDEX(DarlBindung,20)="",1,$G9376),IF($J9376&gt;0.005,1,0)))</f>
      </c>
      <c r="J9376" s="43">
        <f>IF($I9375=0,0,$R9375)</f>
      </c>
      <c r="K9376" s="43">
        <f>IF($I9376=0,0,IF(INDEX(DarlOhneTilgung,20)=1,0,IF(AND(INDEX(DarlTilgStart,20)&gt;0,$E9376=INDEX(DarlTilgStart,20)),$J9376*($H9376+INDEX(DarlTilgung,20))/100/12,IF(AND($G9376=0,$G9375=1),MAX($K9375,$J9376*($H9376+1)/100/12),$K9375))))</f>
      </c>
      <c r="L9376" s="43">
        <f>IF($I9376=0,0,$J9376*$H9376/100/12)</f>
      </c>
      <c r="M9376" s="43">
        <f>IF($I9376=0,0,IF(OR(INDEX(DarlOhneTilgung,20)=1,AND(INDEX(DarlTilgStart,20)&gt;0,$E9376&lt;INDEX(DarlTilgStart,20))),0,MIN(MAX(0,$K9376-$L9376),$J9376)))</f>
      </c>
      <c r="N9376" s="43">
        <f>IF($I9376=0,0,MIN(SUMIFS(SondBetrag,SondDarl,20,SondDatum,"&gt;="&amp;$E9376,SondDatum,"&lt;="&amp;EOMONTH($E9376,0)),$J9376-$M9376))</f>
      </c>
      <c r="O9376" s="43">
        <f>IF($I9376=0,0,INDEX(DarlErsatzRate,20))</f>
      </c>
      <c r="P9376" s="43">
        <f>IF($I9376=0,0,$Q9375*INDEX(DarlErsatzZins,20))</f>
      </c>
      <c r="Q9376" s="43">
        <f>IF($I9376=0,0,$Q9375+$P9376+$O9376)</f>
      </c>
      <c r="R9376" s="43">
        <f>IF($I9376=0,0,$J9376-$M9376-$N9376)</f>
      </c>
    </row>
    <row r="9377">
      <c r="A9377"/>
      <c r="B9377">
        <v>20</v>
      </c>
      <c r="C9377" s="43">
        <f>INDEX(DarlObj,20)</f>
      </c>
      <c r="D9377">
        <v>254</v>
      </c>
      <c r="E9377" s="51">
        <f>IF(INDEX(DarlBelegt,20)=0,0,EOMONTH(INDEX(DarlAuszahlung,20),253)+1)</f>
      </c>
      <c r="F9377" s="43">
        <f>IF($E9377=0,0,YEAR($E9377))</f>
      </c>
      <c r="G9377" s="43">
        <f>IF(INDEX(DarlBindung,20)="",1,IF($E9377&lt;=INDEX(DarlBindung,20),1,0))</f>
      </c>
      <c r="H9377" s="43">
        <f>IF($G9377=1,INDEX(DarlSollzins,20),INDEX(DarlAnschluss,20))</f>
      </c>
      <c r="I9377" s="43">
        <f>IF(INDEX(DarlBelegt,20)=0,0,IF(INDEX(DarlOhneTilgung,20)=1,IF(INDEX(DarlBindung,20)="",1,$G9377),IF($J9377&gt;0.005,1,0)))</f>
      </c>
      <c r="J9377" s="43">
        <f>IF($I9376=0,0,$R9376)</f>
      </c>
      <c r="K9377" s="43">
        <f>IF($I9377=0,0,IF(INDEX(DarlOhneTilgung,20)=1,0,IF(AND(INDEX(DarlTilgStart,20)&gt;0,$E9377=INDEX(DarlTilgStart,20)),$J9377*($H9377+INDEX(DarlTilgung,20))/100/12,IF(AND($G9377=0,$G9376=1),MAX($K9376,$J9377*($H9377+1)/100/12),$K9376))))</f>
      </c>
      <c r="L9377" s="43">
        <f>IF($I9377=0,0,$J9377*$H9377/100/12)</f>
      </c>
      <c r="M9377" s="43">
        <f>IF($I9377=0,0,IF(OR(INDEX(DarlOhneTilgung,20)=1,AND(INDEX(DarlTilgStart,20)&gt;0,$E9377&lt;INDEX(DarlTilgStart,20))),0,MIN(MAX(0,$K9377-$L9377),$J9377)))</f>
      </c>
      <c r="N9377" s="43">
        <f>IF($I9377=0,0,MIN(SUMIFS(SondBetrag,SondDarl,20,SondDatum,"&gt;="&amp;$E9377,SondDatum,"&lt;="&amp;EOMONTH($E9377,0)),$J9377-$M9377))</f>
      </c>
      <c r="O9377" s="43">
        <f>IF($I9377=0,0,INDEX(DarlErsatzRate,20))</f>
      </c>
      <c r="P9377" s="43">
        <f>IF($I9377=0,0,$Q9376*INDEX(DarlErsatzZins,20))</f>
      </c>
      <c r="Q9377" s="43">
        <f>IF($I9377=0,0,$Q9376+$P9377+$O9377)</f>
      </c>
      <c r="R9377" s="43">
        <f>IF($I9377=0,0,$J9377-$M9377-$N9377)</f>
      </c>
    </row>
    <row r="9378">
      <c r="A9378"/>
      <c r="B9378">
        <v>20</v>
      </c>
      <c r="C9378" s="43">
        <f>INDEX(DarlObj,20)</f>
      </c>
      <c r="D9378">
        <v>255</v>
      </c>
      <c r="E9378" s="51">
        <f>IF(INDEX(DarlBelegt,20)=0,0,EOMONTH(INDEX(DarlAuszahlung,20),254)+1)</f>
      </c>
      <c r="F9378" s="43">
        <f>IF($E9378=0,0,YEAR($E9378))</f>
      </c>
      <c r="G9378" s="43">
        <f>IF(INDEX(DarlBindung,20)="",1,IF($E9378&lt;=INDEX(DarlBindung,20),1,0))</f>
      </c>
      <c r="H9378" s="43">
        <f>IF($G9378=1,INDEX(DarlSollzins,20),INDEX(DarlAnschluss,20))</f>
      </c>
      <c r="I9378" s="43">
        <f>IF(INDEX(DarlBelegt,20)=0,0,IF(INDEX(DarlOhneTilgung,20)=1,IF(INDEX(DarlBindung,20)="",1,$G9378),IF($J9378&gt;0.005,1,0)))</f>
      </c>
      <c r="J9378" s="43">
        <f>IF($I9377=0,0,$R9377)</f>
      </c>
      <c r="K9378" s="43">
        <f>IF($I9378=0,0,IF(INDEX(DarlOhneTilgung,20)=1,0,IF(AND(INDEX(DarlTilgStart,20)&gt;0,$E9378=INDEX(DarlTilgStart,20)),$J9378*($H9378+INDEX(DarlTilgung,20))/100/12,IF(AND($G9378=0,$G9377=1),MAX($K9377,$J9378*($H9378+1)/100/12),$K9377))))</f>
      </c>
      <c r="L9378" s="43">
        <f>IF($I9378=0,0,$J9378*$H9378/100/12)</f>
      </c>
      <c r="M9378" s="43">
        <f>IF($I9378=0,0,IF(OR(INDEX(DarlOhneTilgung,20)=1,AND(INDEX(DarlTilgStart,20)&gt;0,$E9378&lt;INDEX(DarlTilgStart,20))),0,MIN(MAX(0,$K9378-$L9378),$J9378)))</f>
      </c>
      <c r="N9378" s="43">
        <f>IF($I9378=0,0,MIN(SUMIFS(SondBetrag,SondDarl,20,SondDatum,"&gt;="&amp;$E9378,SondDatum,"&lt;="&amp;EOMONTH($E9378,0)),$J9378-$M9378))</f>
      </c>
      <c r="O9378" s="43">
        <f>IF($I9378=0,0,INDEX(DarlErsatzRate,20))</f>
      </c>
      <c r="P9378" s="43">
        <f>IF($I9378=0,0,$Q9377*INDEX(DarlErsatzZins,20))</f>
      </c>
      <c r="Q9378" s="43">
        <f>IF($I9378=0,0,$Q9377+$P9378+$O9378)</f>
      </c>
      <c r="R9378" s="43">
        <f>IF($I9378=0,0,$J9378-$M9378-$N9378)</f>
      </c>
    </row>
    <row r="9379">
      <c r="A9379"/>
      <c r="B9379">
        <v>20</v>
      </c>
      <c r="C9379" s="43">
        <f>INDEX(DarlObj,20)</f>
      </c>
      <c r="D9379">
        <v>256</v>
      </c>
      <c r="E9379" s="51">
        <f>IF(INDEX(DarlBelegt,20)=0,0,EOMONTH(INDEX(DarlAuszahlung,20),255)+1)</f>
      </c>
      <c r="F9379" s="43">
        <f>IF($E9379=0,0,YEAR($E9379))</f>
      </c>
      <c r="G9379" s="43">
        <f>IF(INDEX(DarlBindung,20)="",1,IF($E9379&lt;=INDEX(DarlBindung,20),1,0))</f>
      </c>
      <c r="H9379" s="43">
        <f>IF($G9379=1,INDEX(DarlSollzins,20),INDEX(DarlAnschluss,20))</f>
      </c>
      <c r="I9379" s="43">
        <f>IF(INDEX(DarlBelegt,20)=0,0,IF(INDEX(DarlOhneTilgung,20)=1,IF(INDEX(DarlBindung,20)="",1,$G9379),IF($J9379&gt;0.005,1,0)))</f>
      </c>
      <c r="J9379" s="43">
        <f>IF($I9378=0,0,$R9378)</f>
      </c>
      <c r="K9379" s="43">
        <f>IF($I9379=0,0,IF(INDEX(DarlOhneTilgung,20)=1,0,IF(AND(INDEX(DarlTilgStart,20)&gt;0,$E9379=INDEX(DarlTilgStart,20)),$J9379*($H9379+INDEX(DarlTilgung,20))/100/12,IF(AND($G9379=0,$G9378=1),MAX($K9378,$J9379*($H9379+1)/100/12),$K9378))))</f>
      </c>
      <c r="L9379" s="43">
        <f>IF($I9379=0,0,$J9379*$H9379/100/12)</f>
      </c>
      <c r="M9379" s="43">
        <f>IF($I9379=0,0,IF(OR(INDEX(DarlOhneTilgung,20)=1,AND(INDEX(DarlTilgStart,20)&gt;0,$E9379&lt;INDEX(DarlTilgStart,20))),0,MIN(MAX(0,$K9379-$L9379),$J9379)))</f>
      </c>
      <c r="N9379" s="43">
        <f>IF($I9379=0,0,MIN(SUMIFS(SondBetrag,SondDarl,20,SondDatum,"&gt;="&amp;$E9379,SondDatum,"&lt;="&amp;EOMONTH($E9379,0)),$J9379-$M9379))</f>
      </c>
      <c r="O9379" s="43">
        <f>IF($I9379=0,0,INDEX(DarlErsatzRate,20))</f>
      </c>
      <c r="P9379" s="43">
        <f>IF($I9379=0,0,$Q9378*INDEX(DarlErsatzZins,20))</f>
      </c>
      <c r="Q9379" s="43">
        <f>IF($I9379=0,0,$Q9378+$P9379+$O9379)</f>
      </c>
      <c r="R9379" s="43">
        <f>IF($I9379=0,0,$J9379-$M9379-$N9379)</f>
      </c>
    </row>
    <row r="9380">
      <c r="A9380"/>
      <c r="B9380">
        <v>20</v>
      </c>
      <c r="C9380" s="43">
        <f>INDEX(DarlObj,20)</f>
      </c>
      <c r="D9380">
        <v>257</v>
      </c>
      <c r="E9380" s="51">
        <f>IF(INDEX(DarlBelegt,20)=0,0,EOMONTH(INDEX(DarlAuszahlung,20),256)+1)</f>
      </c>
      <c r="F9380" s="43">
        <f>IF($E9380=0,0,YEAR($E9380))</f>
      </c>
      <c r="G9380" s="43">
        <f>IF(INDEX(DarlBindung,20)="",1,IF($E9380&lt;=INDEX(DarlBindung,20),1,0))</f>
      </c>
      <c r="H9380" s="43">
        <f>IF($G9380=1,INDEX(DarlSollzins,20),INDEX(DarlAnschluss,20))</f>
      </c>
      <c r="I9380" s="43">
        <f>IF(INDEX(DarlBelegt,20)=0,0,IF(INDEX(DarlOhneTilgung,20)=1,IF(INDEX(DarlBindung,20)="",1,$G9380),IF($J9380&gt;0.005,1,0)))</f>
      </c>
      <c r="J9380" s="43">
        <f>IF($I9379=0,0,$R9379)</f>
      </c>
      <c r="K9380" s="43">
        <f>IF($I9380=0,0,IF(INDEX(DarlOhneTilgung,20)=1,0,IF(AND(INDEX(DarlTilgStart,20)&gt;0,$E9380=INDEX(DarlTilgStart,20)),$J9380*($H9380+INDEX(DarlTilgung,20))/100/12,IF(AND($G9380=0,$G9379=1),MAX($K9379,$J9380*($H9380+1)/100/12),$K9379))))</f>
      </c>
      <c r="L9380" s="43">
        <f>IF($I9380=0,0,$J9380*$H9380/100/12)</f>
      </c>
      <c r="M9380" s="43">
        <f>IF($I9380=0,0,IF(OR(INDEX(DarlOhneTilgung,20)=1,AND(INDEX(DarlTilgStart,20)&gt;0,$E9380&lt;INDEX(DarlTilgStart,20))),0,MIN(MAX(0,$K9380-$L9380),$J9380)))</f>
      </c>
      <c r="N9380" s="43">
        <f>IF($I9380=0,0,MIN(SUMIFS(SondBetrag,SondDarl,20,SondDatum,"&gt;="&amp;$E9380,SondDatum,"&lt;="&amp;EOMONTH($E9380,0)),$J9380-$M9380))</f>
      </c>
      <c r="O9380" s="43">
        <f>IF($I9380=0,0,INDEX(DarlErsatzRate,20))</f>
      </c>
      <c r="P9380" s="43">
        <f>IF($I9380=0,0,$Q9379*INDEX(DarlErsatzZins,20))</f>
      </c>
      <c r="Q9380" s="43">
        <f>IF($I9380=0,0,$Q9379+$P9380+$O9380)</f>
      </c>
      <c r="R9380" s="43">
        <f>IF($I9380=0,0,$J9380-$M9380-$N9380)</f>
      </c>
    </row>
    <row r="9381">
      <c r="A9381"/>
      <c r="B9381">
        <v>20</v>
      </c>
      <c r="C9381" s="43">
        <f>INDEX(DarlObj,20)</f>
      </c>
      <c r="D9381">
        <v>258</v>
      </c>
      <c r="E9381" s="51">
        <f>IF(INDEX(DarlBelegt,20)=0,0,EOMONTH(INDEX(DarlAuszahlung,20),257)+1)</f>
      </c>
      <c r="F9381" s="43">
        <f>IF($E9381=0,0,YEAR($E9381))</f>
      </c>
      <c r="G9381" s="43">
        <f>IF(INDEX(DarlBindung,20)="",1,IF($E9381&lt;=INDEX(DarlBindung,20),1,0))</f>
      </c>
      <c r="H9381" s="43">
        <f>IF($G9381=1,INDEX(DarlSollzins,20),INDEX(DarlAnschluss,20))</f>
      </c>
      <c r="I9381" s="43">
        <f>IF(INDEX(DarlBelegt,20)=0,0,IF(INDEX(DarlOhneTilgung,20)=1,IF(INDEX(DarlBindung,20)="",1,$G9381),IF($J9381&gt;0.005,1,0)))</f>
      </c>
      <c r="J9381" s="43">
        <f>IF($I9380=0,0,$R9380)</f>
      </c>
      <c r="K9381" s="43">
        <f>IF($I9381=0,0,IF(INDEX(DarlOhneTilgung,20)=1,0,IF(AND(INDEX(DarlTilgStart,20)&gt;0,$E9381=INDEX(DarlTilgStart,20)),$J9381*($H9381+INDEX(DarlTilgung,20))/100/12,IF(AND($G9381=0,$G9380=1),MAX($K9380,$J9381*($H9381+1)/100/12),$K9380))))</f>
      </c>
      <c r="L9381" s="43">
        <f>IF($I9381=0,0,$J9381*$H9381/100/12)</f>
      </c>
      <c r="M9381" s="43">
        <f>IF($I9381=0,0,IF(OR(INDEX(DarlOhneTilgung,20)=1,AND(INDEX(DarlTilgStart,20)&gt;0,$E9381&lt;INDEX(DarlTilgStart,20))),0,MIN(MAX(0,$K9381-$L9381),$J9381)))</f>
      </c>
      <c r="N9381" s="43">
        <f>IF($I9381=0,0,MIN(SUMIFS(SondBetrag,SondDarl,20,SondDatum,"&gt;="&amp;$E9381,SondDatum,"&lt;="&amp;EOMONTH($E9381,0)),$J9381-$M9381))</f>
      </c>
      <c r="O9381" s="43">
        <f>IF($I9381=0,0,INDEX(DarlErsatzRate,20))</f>
      </c>
      <c r="P9381" s="43">
        <f>IF($I9381=0,0,$Q9380*INDEX(DarlErsatzZins,20))</f>
      </c>
      <c r="Q9381" s="43">
        <f>IF($I9381=0,0,$Q9380+$P9381+$O9381)</f>
      </c>
      <c r="R9381" s="43">
        <f>IF($I9381=0,0,$J9381-$M9381-$N9381)</f>
      </c>
    </row>
    <row r="9382">
      <c r="A9382"/>
      <c r="B9382">
        <v>20</v>
      </c>
      <c r="C9382" s="43">
        <f>INDEX(DarlObj,20)</f>
      </c>
      <c r="D9382">
        <v>259</v>
      </c>
      <c r="E9382" s="51">
        <f>IF(INDEX(DarlBelegt,20)=0,0,EOMONTH(INDEX(DarlAuszahlung,20),258)+1)</f>
      </c>
      <c r="F9382" s="43">
        <f>IF($E9382=0,0,YEAR($E9382))</f>
      </c>
      <c r="G9382" s="43">
        <f>IF(INDEX(DarlBindung,20)="",1,IF($E9382&lt;=INDEX(DarlBindung,20),1,0))</f>
      </c>
      <c r="H9382" s="43">
        <f>IF($G9382=1,INDEX(DarlSollzins,20),INDEX(DarlAnschluss,20))</f>
      </c>
      <c r="I9382" s="43">
        <f>IF(INDEX(DarlBelegt,20)=0,0,IF(INDEX(DarlOhneTilgung,20)=1,IF(INDEX(DarlBindung,20)="",1,$G9382),IF($J9382&gt;0.005,1,0)))</f>
      </c>
      <c r="J9382" s="43">
        <f>IF($I9381=0,0,$R9381)</f>
      </c>
      <c r="K9382" s="43">
        <f>IF($I9382=0,0,IF(INDEX(DarlOhneTilgung,20)=1,0,IF(AND(INDEX(DarlTilgStart,20)&gt;0,$E9382=INDEX(DarlTilgStart,20)),$J9382*($H9382+INDEX(DarlTilgung,20))/100/12,IF(AND($G9382=0,$G9381=1),MAX($K9381,$J9382*($H9382+1)/100/12),$K9381))))</f>
      </c>
      <c r="L9382" s="43">
        <f>IF($I9382=0,0,$J9382*$H9382/100/12)</f>
      </c>
      <c r="M9382" s="43">
        <f>IF($I9382=0,0,IF(OR(INDEX(DarlOhneTilgung,20)=1,AND(INDEX(DarlTilgStart,20)&gt;0,$E9382&lt;INDEX(DarlTilgStart,20))),0,MIN(MAX(0,$K9382-$L9382),$J9382)))</f>
      </c>
      <c r="N9382" s="43">
        <f>IF($I9382=0,0,MIN(SUMIFS(SondBetrag,SondDarl,20,SondDatum,"&gt;="&amp;$E9382,SondDatum,"&lt;="&amp;EOMONTH($E9382,0)),$J9382-$M9382))</f>
      </c>
      <c r="O9382" s="43">
        <f>IF($I9382=0,0,INDEX(DarlErsatzRate,20))</f>
      </c>
      <c r="P9382" s="43">
        <f>IF($I9382=0,0,$Q9381*INDEX(DarlErsatzZins,20))</f>
      </c>
      <c r="Q9382" s="43">
        <f>IF($I9382=0,0,$Q9381+$P9382+$O9382)</f>
      </c>
      <c r="R9382" s="43">
        <f>IF($I9382=0,0,$J9382-$M9382-$N9382)</f>
      </c>
    </row>
    <row r="9383">
      <c r="A9383"/>
      <c r="B9383">
        <v>20</v>
      </c>
      <c r="C9383" s="43">
        <f>INDEX(DarlObj,20)</f>
      </c>
      <c r="D9383">
        <v>260</v>
      </c>
      <c r="E9383" s="51">
        <f>IF(INDEX(DarlBelegt,20)=0,0,EOMONTH(INDEX(DarlAuszahlung,20),259)+1)</f>
      </c>
      <c r="F9383" s="43">
        <f>IF($E9383=0,0,YEAR($E9383))</f>
      </c>
      <c r="G9383" s="43">
        <f>IF(INDEX(DarlBindung,20)="",1,IF($E9383&lt;=INDEX(DarlBindung,20),1,0))</f>
      </c>
      <c r="H9383" s="43">
        <f>IF($G9383=1,INDEX(DarlSollzins,20),INDEX(DarlAnschluss,20))</f>
      </c>
      <c r="I9383" s="43">
        <f>IF(INDEX(DarlBelegt,20)=0,0,IF(INDEX(DarlOhneTilgung,20)=1,IF(INDEX(DarlBindung,20)="",1,$G9383),IF($J9383&gt;0.005,1,0)))</f>
      </c>
      <c r="J9383" s="43">
        <f>IF($I9382=0,0,$R9382)</f>
      </c>
      <c r="K9383" s="43">
        <f>IF($I9383=0,0,IF(INDEX(DarlOhneTilgung,20)=1,0,IF(AND(INDEX(DarlTilgStart,20)&gt;0,$E9383=INDEX(DarlTilgStart,20)),$J9383*($H9383+INDEX(DarlTilgung,20))/100/12,IF(AND($G9383=0,$G9382=1),MAX($K9382,$J9383*($H9383+1)/100/12),$K9382))))</f>
      </c>
      <c r="L9383" s="43">
        <f>IF($I9383=0,0,$J9383*$H9383/100/12)</f>
      </c>
      <c r="M9383" s="43">
        <f>IF($I9383=0,0,IF(OR(INDEX(DarlOhneTilgung,20)=1,AND(INDEX(DarlTilgStart,20)&gt;0,$E9383&lt;INDEX(DarlTilgStart,20))),0,MIN(MAX(0,$K9383-$L9383),$J9383)))</f>
      </c>
      <c r="N9383" s="43">
        <f>IF($I9383=0,0,MIN(SUMIFS(SondBetrag,SondDarl,20,SondDatum,"&gt;="&amp;$E9383,SondDatum,"&lt;="&amp;EOMONTH($E9383,0)),$J9383-$M9383))</f>
      </c>
      <c r="O9383" s="43">
        <f>IF($I9383=0,0,INDEX(DarlErsatzRate,20))</f>
      </c>
      <c r="P9383" s="43">
        <f>IF($I9383=0,0,$Q9382*INDEX(DarlErsatzZins,20))</f>
      </c>
      <c r="Q9383" s="43">
        <f>IF($I9383=0,0,$Q9382+$P9383+$O9383)</f>
      </c>
      <c r="R9383" s="43">
        <f>IF($I9383=0,0,$J9383-$M9383-$N9383)</f>
      </c>
    </row>
    <row r="9384">
      <c r="A9384"/>
      <c r="B9384">
        <v>20</v>
      </c>
      <c r="C9384" s="43">
        <f>INDEX(DarlObj,20)</f>
      </c>
      <c r="D9384">
        <v>261</v>
      </c>
      <c r="E9384" s="51">
        <f>IF(INDEX(DarlBelegt,20)=0,0,EOMONTH(INDEX(DarlAuszahlung,20),260)+1)</f>
      </c>
      <c r="F9384" s="43">
        <f>IF($E9384=0,0,YEAR($E9384))</f>
      </c>
      <c r="G9384" s="43">
        <f>IF(INDEX(DarlBindung,20)="",1,IF($E9384&lt;=INDEX(DarlBindung,20),1,0))</f>
      </c>
      <c r="H9384" s="43">
        <f>IF($G9384=1,INDEX(DarlSollzins,20),INDEX(DarlAnschluss,20))</f>
      </c>
      <c r="I9384" s="43">
        <f>IF(INDEX(DarlBelegt,20)=0,0,IF(INDEX(DarlOhneTilgung,20)=1,IF(INDEX(DarlBindung,20)="",1,$G9384),IF($J9384&gt;0.005,1,0)))</f>
      </c>
      <c r="J9384" s="43">
        <f>IF($I9383=0,0,$R9383)</f>
      </c>
      <c r="K9384" s="43">
        <f>IF($I9384=0,0,IF(INDEX(DarlOhneTilgung,20)=1,0,IF(AND(INDEX(DarlTilgStart,20)&gt;0,$E9384=INDEX(DarlTilgStart,20)),$J9384*($H9384+INDEX(DarlTilgung,20))/100/12,IF(AND($G9384=0,$G9383=1),MAX($K9383,$J9384*($H9384+1)/100/12),$K9383))))</f>
      </c>
      <c r="L9384" s="43">
        <f>IF($I9384=0,0,$J9384*$H9384/100/12)</f>
      </c>
      <c r="M9384" s="43">
        <f>IF($I9384=0,0,IF(OR(INDEX(DarlOhneTilgung,20)=1,AND(INDEX(DarlTilgStart,20)&gt;0,$E9384&lt;INDEX(DarlTilgStart,20))),0,MIN(MAX(0,$K9384-$L9384),$J9384)))</f>
      </c>
      <c r="N9384" s="43">
        <f>IF($I9384=0,0,MIN(SUMIFS(SondBetrag,SondDarl,20,SondDatum,"&gt;="&amp;$E9384,SondDatum,"&lt;="&amp;EOMONTH($E9384,0)),$J9384-$M9384))</f>
      </c>
      <c r="O9384" s="43">
        <f>IF($I9384=0,0,INDEX(DarlErsatzRate,20))</f>
      </c>
      <c r="P9384" s="43">
        <f>IF($I9384=0,0,$Q9383*INDEX(DarlErsatzZins,20))</f>
      </c>
      <c r="Q9384" s="43">
        <f>IF($I9384=0,0,$Q9383+$P9384+$O9384)</f>
      </c>
      <c r="R9384" s="43">
        <f>IF($I9384=0,0,$J9384-$M9384-$N9384)</f>
      </c>
    </row>
    <row r="9385">
      <c r="A9385"/>
      <c r="B9385">
        <v>20</v>
      </c>
      <c r="C9385" s="43">
        <f>INDEX(DarlObj,20)</f>
      </c>
      <c r="D9385">
        <v>262</v>
      </c>
      <c r="E9385" s="51">
        <f>IF(INDEX(DarlBelegt,20)=0,0,EOMONTH(INDEX(DarlAuszahlung,20),261)+1)</f>
      </c>
      <c r="F9385" s="43">
        <f>IF($E9385=0,0,YEAR($E9385))</f>
      </c>
      <c r="G9385" s="43">
        <f>IF(INDEX(DarlBindung,20)="",1,IF($E9385&lt;=INDEX(DarlBindung,20),1,0))</f>
      </c>
      <c r="H9385" s="43">
        <f>IF($G9385=1,INDEX(DarlSollzins,20),INDEX(DarlAnschluss,20))</f>
      </c>
      <c r="I9385" s="43">
        <f>IF(INDEX(DarlBelegt,20)=0,0,IF(INDEX(DarlOhneTilgung,20)=1,IF(INDEX(DarlBindung,20)="",1,$G9385),IF($J9385&gt;0.005,1,0)))</f>
      </c>
      <c r="J9385" s="43">
        <f>IF($I9384=0,0,$R9384)</f>
      </c>
      <c r="K9385" s="43">
        <f>IF($I9385=0,0,IF(INDEX(DarlOhneTilgung,20)=1,0,IF(AND(INDEX(DarlTilgStart,20)&gt;0,$E9385=INDEX(DarlTilgStart,20)),$J9385*($H9385+INDEX(DarlTilgung,20))/100/12,IF(AND($G9385=0,$G9384=1),MAX($K9384,$J9385*($H9385+1)/100/12),$K9384))))</f>
      </c>
      <c r="L9385" s="43">
        <f>IF($I9385=0,0,$J9385*$H9385/100/12)</f>
      </c>
      <c r="M9385" s="43">
        <f>IF($I9385=0,0,IF(OR(INDEX(DarlOhneTilgung,20)=1,AND(INDEX(DarlTilgStart,20)&gt;0,$E9385&lt;INDEX(DarlTilgStart,20))),0,MIN(MAX(0,$K9385-$L9385),$J9385)))</f>
      </c>
      <c r="N9385" s="43">
        <f>IF($I9385=0,0,MIN(SUMIFS(SondBetrag,SondDarl,20,SondDatum,"&gt;="&amp;$E9385,SondDatum,"&lt;="&amp;EOMONTH($E9385,0)),$J9385-$M9385))</f>
      </c>
      <c r="O9385" s="43">
        <f>IF($I9385=0,0,INDEX(DarlErsatzRate,20))</f>
      </c>
      <c r="P9385" s="43">
        <f>IF($I9385=0,0,$Q9384*INDEX(DarlErsatzZins,20))</f>
      </c>
      <c r="Q9385" s="43">
        <f>IF($I9385=0,0,$Q9384+$P9385+$O9385)</f>
      </c>
      <c r="R9385" s="43">
        <f>IF($I9385=0,0,$J9385-$M9385-$N9385)</f>
      </c>
    </row>
    <row r="9386">
      <c r="A9386"/>
      <c r="B9386">
        <v>20</v>
      </c>
      <c r="C9386" s="43">
        <f>INDEX(DarlObj,20)</f>
      </c>
      <c r="D9386">
        <v>263</v>
      </c>
      <c r="E9386" s="51">
        <f>IF(INDEX(DarlBelegt,20)=0,0,EOMONTH(INDEX(DarlAuszahlung,20),262)+1)</f>
      </c>
      <c r="F9386" s="43">
        <f>IF($E9386=0,0,YEAR($E9386))</f>
      </c>
      <c r="G9386" s="43">
        <f>IF(INDEX(DarlBindung,20)="",1,IF($E9386&lt;=INDEX(DarlBindung,20),1,0))</f>
      </c>
      <c r="H9386" s="43">
        <f>IF($G9386=1,INDEX(DarlSollzins,20),INDEX(DarlAnschluss,20))</f>
      </c>
      <c r="I9386" s="43">
        <f>IF(INDEX(DarlBelegt,20)=0,0,IF(INDEX(DarlOhneTilgung,20)=1,IF(INDEX(DarlBindung,20)="",1,$G9386),IF($J9386&gt;0.005,1,0)))</f>
      </c>
      <c r="J9386" s="43">
        <f>IF($I9385=0,0,$R9385)</f>
      </c>
      <c r="K9386" s="43">
        <f>IF($I9386=0,0,IF(INDEX(DarlOhneTilgung,20)=1,0,IF(AND(INDEX(DarlTilgStart,20)&gt;0,$E9386=INDEX(DarlTilgStart,20)),$J9386*($H9386+INDEX(DarlTilgung,20))/100/12,IF(AND($G9386=0,$G9385=1),MAX($K9385,$J9386*($H9386+1)/100/12),$K9385))))</f>
      </c>
      <c r="L9386" s="43">
        <f>IF($I9386=0,0,$J9386*$H9386/100/12)</f>
      </c>
      <c r="M9386" s="43">
        <f>IF($I9386=0,0,IF(OR(INDEX(DarlOhneTilgung,20)=1,AND(INDEX(DarlTilgStart,20)&gt;0,$E9386&lt;INDEX(DarlTilgStart,20))),0,MIN(MAX(0,$K9386-$L9386),$J9386)))</f>
      </c>
      <c r="N9386" s="43">
        <f>IF($I9386=0,0,MIN(SUMIFS(SondBetrag,SondDarl,20,SondDatum,"&gt;="&amp;$E9386,SondDatum,"&lt;="&amp;EOMONTH($E9386,0)),$J9386-$M9386))</f>
      </c>
      <c r="O9386" s="43">
        <f>IF($I9386=0,0,INDEX(DarlErsatzRate,20))</f>
      </c>
      <c r="P9386" s="43">
        <f>IF($I9386=0,0,$Q9385*INDEX(DarlErsatzZins,20))</f>
      </c>
      <c r="Q9386" s="43">
        <f>IF($I9386=0,0,$Q9385+$P9386+$O9386)</f>
      </c>
      <c r="R9386" s="43">
        <f>IF($I9386=0,0,$J9386-$M9386-$N9386)</f>
      </c>
    </row>
    <row r="9387">
      <c r="A9387"/>
      <c r="B9387">
        <v>20</v>
      </c>
      <c r="C9387" s="43">
        <f>INDEX(DarlObj,20)</f>
      </c>
      <c r="D9387">
        <v>264</v>
      </c>
      <c r="E9387" s="51">
        <f>IF(INDEX(DarlBelegt,20)=0,0,EOMONTH(INDEX(DarlAuszahlung,20),263)+1)</f>
      </c>
      <c r="F9387" s="43">
        <f>IF($E9387=0,0,YEAR($E9387))</f>
      </c>
      <c r="G9387" s="43">
        <f>IF(INDEX(DarlBindung,20)="",1,IF($E9387&lt;=INDEX(DarlBindung,20),1,0))</f>
      </c>
      <c r="H9387" s="43">
        <f>IF($G9387=1,INDEX(DarlSollzins,20),INDEX(DarlAnschluss,20))</f>
      </c>
      <c r="I9387" s="43">
        <f>IF(INDEX(DarlBelegt,20)=0,0,IF(INDEX(DarlOhneTilgung,20)=1,IF(INDEX(DarlBindung,20)="",1,$G9387),IF($J9387&gt;0.005,1,0)))</f>
      </c>
      <c r="J9387" s="43">
        <f>IF($I9386=0,0,$R9386)</f>
      </c>
      <c r="K9387" s="43">
        <f>IF($I9387=0,0,IF(INDEX(DarlOhneTilgung,20)=1,0,IF(AND(INDEX(DarlTilgStart,20)&gt;0,$E9387=INDEX(DarlTilgStart,20)),$J9387*($H9387+INDEX(DarlTilgung,20))/100/12,IF(AND($G9387=0,$G9386=1),MAX($K9386,$J9387*($H9387+1)/100/12),$K9386))))</f>
      </c>
      <c r="L9387" s="43">
        <f>IF($I9387=0,0,$J9387*$H9387/100/12)</f>
      </c>
      <c r="M9387" s="43">
        <f>IF($I9387=0,0,IF(OR(INDEX(DarlOhneTilgung,20)=1,AND(INDEX(DarlTilgStart,20)&gt;0,$E9387&lt;INDEX(DarlTilgStart,20))),0,MIN(MAX(0,$K9387-$L9387),$J9387)))</f>
      </c>
      <c r="N9387" s="43">
        <f>IF($I9387=0,0,MIN(SUMIFS(SondBetrag,SondDarl,20,SondDatum,"&gt;="&amp;$E9387,SondDatum,"&lt;="&amp;EOMONTH($E9387,0)),$J9387-$M9387))</f>
      </c>
      <c r="O9387" s="43">
        <f>IF($I9387=0,0,INDEX(DarlErsatzRate,20))</f>
      </c>
      <c r="P9387" s="43">
        <f>IF($I9387=0,0,$Q9386*INDEX(DarlErsatzZins,20))</f>
      </c>
      <c r="Q9387" s="43">
        <f>IF($I9387=0,0,$Q9386+$P9387+$O9387)</f>
      </c>
      <c r="R9387" s="43">
        <f>IF($I9387=0,0,$J9387-$M9387-$N9387)</f>
      </c>
    </row>
    <row r="9388">
      <c r="A9388"/>
      <c r="B9388">
        <v>20</v>
      </c>
      <c r="C9388" s="43">
        <f>INDEX(DarlObj,20)</f>
      </c>
      <c r="D9388">
        <v>265</v>
      </c>
      <c r="E9388" s="51">
        <f>IF(INDEX(DarlBelegt,20)=0,0,EOMONTH(INDEX(DarlAuszahlung,20),264)+1)</f>
      </c>
      <c r="F9388" s="43">
        <f>IF($E9388=0,0,YEAR($E9388))</f>
      </c>
      <c r="G9388" s="43">
        <f>IF(INDEX(DarlBindung,20)="",1,IF($E9388&lt;=INDEX(DarlBindung,20),1,0))</f>
      </c>
      <c r="H9388" s="43">
        <f>IF($G9388=1,INDEX(DarlSollzins,20),INDEX(DarlAnschluss,20))</f>
      </c>
      <c r="I9388" s="43">
        <f>IF(INDEX(DarlBelegt,20)=0,0,IF(INDEX(DarlOhneTilgung,20)=1,IF(INDEX(DarlBindung,20)="",1,$G9388),IF($J9388&gt;0.005,1,0)))</f>
      </c>
      <c r="J9388" s="43">
        <f>IF($I9387=0,0,$R9387)</f>
      </c>
      <c r="K9388" s="43">
        <f>IF($I9388=0,0,IF(INDEX(DarlOhneTilgung,20)=1,0,IF(AND(INDEX(DarlTilgStart,20)&gt;0,$E9388=INDEX(DarlTilgStart,20)),$J9388*($H9388+INDEX(DarlTilgung,20))/100/12,IF(AND($G9388=0,$G9387=1),MAX($K9387,$J9388*($H9388+1)/100/12),$K9387))))</f>
      </c>
      <c r="L9388" s="43">
        <f>IF($I9388=0,0,$J9388*$H9388/100/12)</f>
      </c>
      <c r="M9388" s="43">
        <f>IF($I9388=0,0,IF(OR(INDEX(DarlOhneTilgung,20)=1,AND(INDEX(DarlTilgStart,20)&gt;0,$E9388&lt;INDEX(DarlTilgStart,20))),0,MIN(MAX(0,$K9388-$L9388),$J9388)))</f>
      </c>
      <c r="N9388" s="43">
        <f>IF($I9388=0,0,MIN(SUMIFS(SondBetrag,SondDarl,20,SondDatum,"&gt;="&amp;$E9388,SondDatum,"&lt;="&amp;EOMONTH($E9388,0)),$J9388-$M9388))</f>
      </c>
      <c r="O9388" s="43">
        <f>IF($I9388=0,0,INDEX(DarlErsatzRate,20))</f>
      </c>
      <c r="P9388" s="43">
        <f>IF($I9388=0,0,$Q9387*INDEX(DarlErsatzZins,20))</f>
      </c>
      <c r="Q9388" s="43">
        <f>IF($I9388=0,0,$Q9387+$P9388+$O9388)</f>
      </c>
      <c r="R9388" s="43">
        <f>IF($I9388=0,0,$J9388-$M9388-$N9388)</f>
      </c>
    </row>
    <row r="9389">
      <c r="A9389"/>
      <c r="B9389">
        <v>20</v>
      </c>
      <c r="C9389" s="43">
        <f>INDEX(DarlObj,20)</f>
      </c>
      <c r="D9389">
        <v>266</v>
      </c>
      <c r="E9389" s="51">
        <f>IF(INDEX(DarlBelegt,20)=0,0,EOMONTH(INDEX(DarlAuszahlung,20),265)+1)</f>
      </c>
      <c r="F9389" s="43">
        <f>IF($E9389=0,0,YEAR($E9389))</f>
      </c>
      <c r="G9389" s="43">
        <f>IF(INDEX(DarlBindung,20)="",1,IF($E9389&lt;=INDEX(DarlBindung,20),1,0))</f>
      </c>
      <c r="H9389" s="43">
        <f>IF($G9389=1,INDEX(DarlSollzins,20),INDEX(DarlAnschluss,20))</f>
      </c>
      <c r="I9389" s="43">
        <f>IF(INDEX(DarlBelegt,20)=0,0,IF(INDEX(DarlOhneTilgung,20)=1,IF(INDEX(DarlBindung,20)="",1,$G9389),IF($J9389&gt;0.005,1,0)))</f>
      </c>
      <c r="J9389" s="43">
        <f>IF($I9388=0,0,$R9388)</f>
      </c>
      <c r="K9389" s="43">
        <f>IF($I9389=0,0,IF(INDEX(DarlOhneTilgung,20)=1,0,IF(AND(INDEX(DarlTilgStart,20)&gt;0,$E9389=INDEX(DarlTilgStart,20)),$J9389*($H9389+INDEX(DarlTilgung,20))/100/12,IF(AND($G9389=0,$G9388=1),MAX($K9388,$J9389*($H9389+1)/100/12),$K9388))))</f>
      </c>
      <c r="L9389" s="43">
        <f>IF($I9389=0,0,$J9389*$H9389/100/12)</f>
      </c>
      <c r="M9389" s="43">
        <f>IF($I9389=0,0,IF(OR(INDEX(DarlOhneTilgung,20)=1,AND(INDEX(DarlTilgStart,20)&gt;0,$E9389&lt;INDEX(DarlTilgStart,20))),0,MIN(MAX(0,$K9389-$L9389),$J9389)))</f>
      </c>
      <c r="N9389" s="43">
        <f>IF($I9389=0,0,MIN(SUMIFS(SondBetrag,SondDarl,20,SondDatum,"&gt;="&amp;$E9389,SondDatum,"&lt;="&amp;EOMONTH($E9389,0)),$J9389-$M9389))</f>
      </c>
      <c r="O9389" s="43">
        <f>IF($I9389=0,0,INDEX(DarlErsatzRate,20))</f>
      </c>
      <c r="P9389" s="43">
        <f>IF($I9389=0,0,$Q9388*INDEX(DarlErsatzZins,20))</f>
      </c>
      <c r="Q9389" s="43">
        <f>IF($I9389=0,0,$Q9388+$P9389+$O9389)</f>
      </c>
      <c r="R9389" s="43">
        <f>IF($I9389=0,0,$J9389-$M9389-$N9389)</f>
      </c>
    </row>
    <row r="9390">
      <c r="A9390"/>
      <c r="B9390">
        <v>20</v>
      </c>
      <c r="C9390" s="43">
        <f>INDEX(DarlObj,20)</f>
      </c>
      <c r="D9390">
        <v>267</v>
      </c>
      <c r="E9390" s="51">
        <f>IF(INDEX(DarlBelegt,20)=0,0,EOMONTH(INDEX(DarlAuszahlung,20),266)+1)</f>
      </c>
      <c r="F9390" s="43">
        <f>IF($E9390=0,0,YEAR($E9390))</f>
      </c>
      <c r="G9390" s="43">
        <f>IF(INDEX(DarlBindung,20)="",1,IF($E9390&lt;=INDEX(DarlBindung,20),1,0))</f>
      </c>
      <c r="H9390" s="43">
        <f>IF($G9390=1,INDEX(DarlSollzins,20),INDEX(DarlAnschluss,20))</f>
      </c>
      <c r="I9390" s="43">
        <f>IF(INDEX(DarlBelegt,20)=0,0,IF(INDEX(DarlOhneTilgung,20)=1,IF(INDEX(DarlBindung,20)="",1,$G9390),IF($J9390&gt;0.005,1,0)))</f>
      </c>
      <c r="J9390" s="43">
        <f>IF($I9389=0,0,$R9389)</f>
      </c>
      <c r="K9390" s="43">
        <f>IF($I9390=0,0,IF(INDEX(DarlOhneTilgung,20)=1,0,IF(AND(INDEX(DarlTilgStart,20)&gt;0,$E9390=INDEX(DarlTilgStart,20)),$J9390*($H9390+INDEX(DarlTilgung,20))/100/12,IF(AND($G9390=0,$G9389=1),MAX($K9389,$J9390*($H9390+1)/100/12),$K9389))))</f>
      </c>
      <c r="L9390" s="43">
        <f>IF($I9390=0,0,$J9390*$H9390/100/12)</f>
      </c>
      <c r="M9390" s="43">
        <f>IF($I9390=0,0,IF(OR(INDEX(DarlOhneTilgung,20)=1,AND(INDEX(DarlTilgStart,20)&gt;0,$E9390&lt;INDEX(DarlTilgStart,20))),0,MIN(MAX(0,$K9390-$L9390),$J9390)))</f>
      </c>
      <c r="N9390" s="43">
        <f>IF($I9390=0,0,MIN(SUMIFS(SondBetrag,SondDarl,20,SondDatum,"&gt;="&amp;$E9390,SondDatum,"&lt;="&amp;EOMONTH($E9390,0)),$J9390-$M9390))</f>
      </c>
      <c r="O9390" s="43">
        <f>IF($I9390=0,0,INDEX(DarlErsatzRate,20))</f>
      </c>
      <c r="P9390" s="43">
        <f>IF($I9390=0,0,$Q9389*INDEX(DarlErsatzZins,20))</f>
      </c>
      <c r="Q9390" s="43">
        <f>IF($I9390=0,0,$Q9389+$P9390+$O9390)</f>
      </c>
      <c r="R9390" s="43">
        <f>IF($I9390=0,0,$J9390-$M9390-$N9390)</f>
      </c>
    </row>
    <row r="9391">
      <c r="A9391"/>
      <c r="B9391">
        <v>20</v>
      </c>
      <c r="C9391" s="43">
        <f>INDEX(DarlObj,20)</f>
      </c>
      <c r="D9391">
        <v>268</v>
      </c>
      <c r="E9391" s="51">
        <f>IF(INDEX(DarlBelegt,20)=0,0,EOMONTH(INDEX(DarlAuszahlung,20),267)+1)</f>
      </c>
      <c r="F9391" s="43">
        <f>IF($E9391=0,0,YEAR($E9391))</f>
      </c>
      <c r="G9391" s="43">
        <f>IF(INDEX(DarlBindung,20)="",1,IF($E9391&lt;=INDEX(DarlBindung,20),1,0))</f>
      </c>
      <c r="H9391" s="43">
        <f>IF($G9391=1,INDEX(DarlSollzins,20),INDEX(DarlAnschluss,20))</f>
      </c>
      <c r="I9391" s="43">
        <f>IF(INDEX(DarlBelegt,20)=0,0,IF(INDEX(DarlOhneTilgung,20)=1,IF(INDEX(DarlBindung,20)="",1,$G9391),IF($J9391&gt;0.005,1,0)))</f>
      </c>
      <c r="J9391" s="43">
        <f>IF($I9390=0,0,$R9390)</f>
      </c>
      <c r="K9391" s="43">
        <f>IF($I9391=0,0,IF(INDEX(DarlOhneTilgung,20)=1,0,IF(AND(INDEX(DarlTilgStart,20)&gt;0,$E9391=INDEX(DarlTilgStart,20)),$J9391*($H9391+INDEX(DarlTilgung,20))/100/12,IF(AND($G9391=0,$G9390=1),MAX($K9390,$J9391*($H9391+1)/100/12),$K9390))))</f>
      </c>
      <c r="L9391" s="43">
        <f>IF($I9391=0,0,$J9391*$H9391/100/12)</f>
      </c>
      <c r="M9391" s="43">
        <f>IF($I9391=0,0,IF(OR(INDEX(DarlOhneTilgung,20)=1,AND(INDEX(DarlTilgStart,20)&gt;0,$E9391&lt;INDEX(DarlTilgStart,20))),0,MIN(MAX(0,$K9391-$L9391),$J9391)))</f>
      </c>
      <c r="N9391" s="43">
        <f>IF($I9391=0,0,MIN(SUMIFS(SondBetrag,SondDarl,20,SondDatum,"&gt;="&amp;$E9391,SondDatum,"&lt;="&amp;EOMONTH($E9391,0)),$J9391-$M9391))</f>
      </c>
      <c r="O9391" s="43">
        <f>IF($I9391=0,0,INDEX(DarlErsatzRate,20))</f>
      </c>
      <c r="P9391" s="43">
        <f>IF($I9391=0,0,$Q9390*INDEX(DarlErsatzZins,20))</f>
      </c>
      <c r="Q9391" s="43">
        <f>IF($I9391=0,0,$Q9390+$P9391+$O9391)</f>
      </c>
      <c r="R9391" s="43">
        <f>IF($I9391=0,0,$J9391-$M9391-$N9391)</f>
      </c>
    </row>
    <row r="9392">
      <c r="A9392"/>
      <c r="B9392">
        <v>20</v>
      </c>
      <c r="C9392" s="43">
        <f>INDEX(DarlObj,20)</f>
      </c>
      <c r="D9392">
        <v>269</v>
      </c>
      <c r="E9392" s="51">
        <f>IF(INDEX(DarlBelegt,20)=0,0,EOMONTH(INDEX(DarlAuszahlung,20),268)+1)</f>
      </c>
      <c r="F9392" s="43">
        <f>IF($E9392=0,0,YEAR($E9392))</f>
      </c>
      <c r="G9392" s="43">
        <f>IF(INDEX(DarlBindung,20)="",1,IF($E9392&lt;=INDEX(DarlBindung,20),1,0))</f>
      </c>
      <c r="H9392" s="43">
        <f>IF($G9392=1,INDEX(DarlSollzins,20),INDEX(DarlAnschluss,20))</f>
      </c>
      <c r="I9392" s="43">
        <f>IF(INDEX(DarlBelegt,20)=0,0,IF(INDEX(DarlOhneTilgung,20)=1,IF(INDEX(DarlBindung,20)="",1,$G9392),IF($J9392&gt;0.005,1,0)))</f>
      </c>
      <c r="J9392" s="43">
        <f>IF($I9391=0,0,$R9391)</f>
      </c>
      <c r="K9392" s="43">
        <f>IF($I9392=0,0,IF(INDEX(DarlOhneTilgung,20)=1,0,IF(AND(INDEX(DarlTilgStart,20)&gt;0,$E9392=INDEX(DarlTilgStart,20)),$J9392*($H9392+INDEX(DarlTilgung,20))/100/12,IF(AND($G9392=0,$G9391=1),MAX($K9391,$J9392*($H9392+1)/100/12),$K9391))))</f>
      </c>
      <c r="L9392" s="43">
        <f>IF($I9392=0,0,$J9392*$H9392/100/12)</f>
      </c>
      <c r="M9392" s="43">
        <f>IF($I9392=0,0,IF(OR(INDEX(DarlOhneTilgung,20)=1,AND(INDEX(DarlTilgStart,20)&gt;0,$E9392&lt;INDEX(DarlTilgStart,20))),0,MIN(MAX(0,$K9392-$L9392),$J9392)))</f>
      </c>
      <c r="N9392" s="43">
        <f>IF($I9392=0,0,MIN(SUMIFS(SondBetrag,SondDarl,20,SondDatum,"&gt;="&amp;$E9392,SondDatum,"&lt;="&amp;EOMONTH($E9392,0)),$J9392-$M9392))</f>
      </c>
      <c r="O9392" s="43">
        <f>IF($I9392=0,0,INDEX(DarlErsatzRate,20))</f>
      </c>
      <c r="P9392" s="43">
        <f>IF($I9392=0,0,$Q9391*INDEX(DarlErsatzZins,20))</f>
      </c>
      <c r="Q9392" s="43">
        <f>IF($I9392=0,0,$Q9391+$P9392+$O9392)</f>
      </c>
      <c r="R9392" s="43">
        <f>IF($I9392=0,0,$J9392-$M9392-$N9392)</f>
      </c>
    </row>
    <row r="9393">
      <c r="A9393"/>
      <c r="B9393">
        <v>20</v>
      </c>
      <c r="C9393" s="43">
        <f>INDEX(DarlObj,20)</f>
      </c>
      <c r="D9393">
        <v>270</v>
      </c>
      <c r="E9393" s="51">
        <f>IF(INDEX(DarlBelegt,20)=0,0,EOMONTH(INDEX(DarlAuszahlung,20),269)+1)</f>
      </c>
      <c r="F9393" s="43">
        <f>IF($E9393=0,0,YEAR($E9393))</f>
      </c>
      <c r="G9393" s="43">
        <f>IF(INDEX(DarlBindung,20)="",1,IF($E9393&lt;=INDEX(DarlBindung,20),1,0))</f>
      </c>
      <c r="H9393" s="43">
        <f>IF($G9393=1,INDEX(DarlSollzins,20),INDEX(DarlAnschluss,20))</f>
      </c>
      <c r="I9393" s="43">
        <f>IF(INDEX(DarlBelegt,20)=0,0,IF(INDEX(DarlOhneTilgung,20)=1,IF(INDEX(DarlBindung,20)="",1,$G9393),IF($J9393&gt;0.005,1,0)))</f>
      </c>
      <c r="J9393" s="43">
        <f>IF($I9392=0,0,$R9392)</f>
      </c>
      <c r="K9393" s="43">
        <f>IF($I9393=0,0,IF(INDEX(DarlOhneTilgung,20)=1,0,IF(AND(INDEX(DarlTilgStart,20)&gt;0,$E9393=INDEX(DarlTilgStart,20)),$J9393*($H9393+INDEX(DarlTilgung,20))/100/12,IF(AND($G9393=0,$G9392=1),MAX($K9392,$J9393*($H9393+1)/100/12),$K9392))))</f>
      </c>
      <c r="L9393" s="43">
        <f>IF($I9393=0,0,$J9393*$H9393/100/12)</f>
      </c>
      <c r="M9393" s="43">
        <f>IF($I9393=0,0,IF(OR(INDEX(DarlOhneTilgung,20)=1,AND(INDEX(DarlTilgStart,20)&gt;0,$E9393&lt;INDEX(DarlTilgStart,20))),0,MIN(MAX(0,$K9393-$L9393),$J9393)))</f>
      </c>
      <c r="N9393" s="43">
        <f>IF($I9393=0,0,MIN(SUMIFS(SondBetrag,SondDarl,20,SondDatum,"&gt;="&amp;$E9393,SondDatum,"&lt;="&amp;EOMONTH($E9393,0)),$J9393-$M9393))</f>
      </c>
      <c r="O9393" s="43">
        <f>IF($I9393=0,0,INDEX(DarlErsatzRate,20))</f>
      </c>
      <c r="P9393" s="43">
        <f>IF($I9393=0,0,$Q9392*INDEX(DarlErsatzZins,20))</f>
      </c>
      <c r="Q9393" s="43">
        <f>IF($I9393=0,0,$Q9392+$P9393+$O9393)</f>
      </c>
      <c r="R9393" s="43">
        <f>IF($I9393=0,0,$J9393-$M9393-$N9393)</f>
      </c>
    </row>
    <row r="9394">
      <c r="A9394"/>
      <c r="B9394">
        <v>20</v>
      </c>
      <c r="C9394" s="43">
        <f>INDEX(DarlObj,20)</f>
      </c>
      <c r="D9394">
        <v>271</v>
      </c>
      <c r="E9394" s="51">
        <f>IF(INDEX(DarlBelegt,20)=0,0,EOMONTH(INDEX(DarlAuszahlung,20),270)+1)</f>
      </c>
      <c r="F9394" s="43">
        <f>IF($E9394=0,0,YEAR($E9394))</f>
      </c>
      <c r="G9394" s="43">
        <f>IF(INDEX(DarlBindung,20)="",1,IF($E9394&lt;=INDEX(DarlBindung,20),1,0))</f>
      </c>
      <c r="H9394" s="43">
        <f>IF($G9394=1,INDEX(DarlSollzins,20),INDEX(DarlAnschluss,20))</f>
      </c>
      <c r="I9394" s="43">
        <f>IF(INDEX(DarlBelegt,20)=0,0,IF(INDEX(DarlOhneTilgung,20)=1,IF(INDEX(DarlBindung,20)="",1,$G9394),IF($J9394&gt;0.005,1,0)))</f>
      </c>
      <c r="J9394" s="43">
        <f>IF($I9393=0,0,$R9393)</f>
      </c>
      <c r="K9394" s="43">
        <f>IF($I9394=0,0,IF(INDEX(DarlOhneTilgung,20)=1,0,IF(AND(INDEX(DarlTilgStart,20)&gt;0,$E9394=INDEX(DarlTilgStart,20)),$J9394*($H9394+INDEX(DarlTilgung,20))/100/12,IF(AND($G9394=0,$G9393=1),MAX($K9393,$J9394*($H9394+1)/100/12),$K9393))))</f>
      </c>
      <c r="L9394" s="43">
        <f>IF($I9394=0,0,$J9394*$H9394/100/12)</f>
      </c>
      <c r="M9394" s="43">
        <f>IF($I9394=0,0,IF(OR(INDEX(DarlOhneTilgung,20)=1,AND(INDEX(DarlTilgStart,20)&gt;0,$E9394&lt;INDEX(DarlTilgStart,20))),0,MIN(MAX(0,$K9394-$L9394),$J9394)))</f>
      </c>
      <c r="N9394" s="43">
        <f>IF($I9394=0,0,MIN(SUMIFS(SondBetrag,SondDarl,20,SondDatum,"&gt;="&amp;$E9394,SondDatum,"&lt;="&amp;EOMONTH($E9394,0)),$J9394-$M9394))</f>
      </c>
      <c r="O9394" s="43">
        <f>IF($I9394=0,0,INDEX(DarlErsatzRate,20))</f>
      </c>
      <c r="P9394" s="43">
        <f>IF($I9394=0,0,$Q9393*INDEX(DarlErsatzZins,20))</f>
      </c>
      <c r="Q9394" s="43">
        <f>IF($I9394=0,0,$Q9393+$P9394+$O9394)</f>
      </c>
      <c r="R9394" s="43">
        <f>IF($I9394=0,0,$J9394-$M9394-$N9394)</f>
      </c>
    </row>
    <row r="9395">
      <c r="A9395"/>
      <c r="B9395">
        <v>20</v>
      </c>
      <c r="C9395" s="43">
        <f>INDEX(DarlObj,20)</f>
      </c>
      <c r="D9395">
        <v>272</v>
      </c>
      <c r="E9395" s="51">
        <f>IF(INDEX(DarlBelegt,20)=0,0,EOMONTH(INDEX(DarlAuszahlung,20),271)+1)</f>
      </c>
      <c r="F9395" s="43">
        <f>IF($E9395=0,0,YEAR($E9395))</f>
      </c>
      <c r="G9395" s="43">
        <f>IF(INDEX(DarlBindung,20)="",1,IF($E9395&lt;=INDEX(DarlBindung,20),1,0))</f>
      </c>
      <c r="H9395" s="43">
        <f>IF($G9395=1,INDEX(DarlSollzins,20),INDEX(DarlAnschluss,20))</f>
      </c>
      <c r="I9395" s="43">
        <f>IF(INDEX(DarlBelegt,20)=0,0,IF(INDEX(DarlOhneTilgung,20)=1,IF(INDEX(DarlBindung,20)="",1,$G9395),IF($J9395&gt;0.005,1,0)))</f>
      </c>
      <c r="J9395" s="43">
        <f>IF($I9394=0,0,$R9394)</f>
      </c>
      <c r="K9395" s="43">
        <f>IF($I9395=0,0,IF(INDEX(DarlOhneTilgung,20)=1,0,IF(AND(INDEX(DarlTilgStart,20)&gt;0,$E9395=INDEX(DarlTilgStart,20)),$J9395*($H9395+INDEX(DarlTilgung,20))/100/12,IF(AND($G9395=0,$G9394=1),MAX($K9394,$J9395*($H9395+1)/100/12),$K9394))))</f>
      </c>
      <c r="L9395" s="43">
        <f>IF($I9395=0,0,$J9395*$H9395/100/12)</f>
      </c>
      <c r="M9395" s="43">
        <f>IF($I9395=0,0,IF(OR(INDEX(DarlOhneTilgung,20)=1,AND(INDEX(DarlTilgStart,20)&gt;0,$E9395&lt;INDEX(DarlTilgStart,20))),0,MIN(MAX(0,$K9395-$L9395),$J9395)))</f>
      </c>
      <c r="N9395" s="43">
        <f>IF($I9395=0,0,MIN(SUMIFS(SondBetrag,SondDarl,20,SondDatum,"&gt;="&amp;$E9395,SondDatum,"&lt;="&amp;EOMONTH($E9395,0)),$J9395-$M9395))</f>
      </c>
      <c r="O9395" s="43">
        <f>IF($I9395=0,0,INDEX(DarlErsatzRate,20))</f>
      </c>
      <c r="P9395" s="43">
        <f>IF($I9395=0,0,$Q9394*INDEX(DarlErsatzZins,20))</f>
      </c>
      <c r="Q9395" s="43">
        <f>IF($I9395=0,0,$Q9394+$P9395+$O9395)</f>
      </c>
      <c r="R9395" s="43">
        <f>IF($I9395=0,0,$J9395-$M9395-$N9395)</f>
      </c>
    </row>
    <row r="9396">
      <c r="A9396"/>
      <c r="B9396">
        <v>20</v>
      </c>
      <c r="C9396" s="43">
        <f>INDEX(DarlObj,20)</f>
      </c>
      <c r="D9396">
        <v>273</v>
      </c>
      <c r="E9396" s="51">
        <f>IF(INDEX(DarlBelegt,20)=0,0,EOMONTH(INDEX(DarlAuszahlung,20),272)+1)</f>
      </c>
      <c r="F9396" s="43">
        <f>IF($E9396=0,0,YEAR($E9396))</f>
      </c>
      <c r="G9396" s="43">
        <f>IF(INDEX(DarlBindung,20)="",1,IF($E9396&lt;=INDEX(DarlBindung,20),1,0))</f>
      </c>
      <c r="H9396" s="43">
        <f>IF($G9396=1,INDEX(DarlSollzins,20),INDEX(DarlAnschluss,20))</f>
      </c>
      <c r="I9396" s="43">
        <f>IF(INDEX(DarlBelegt,20)=0,0,IF(INDEX(DarlOhneTilgung,20)=1,IF(INDEX(DarlBindung,20)="",1,$G9396),IF($J9396&gt;0.005,1,0)))</f>
      </c>
      <c r="J9396" s="43">
        <f>IF($I9395=0,0,$R9395)</f>
      </c>
      <c r="K9396" s="43">
        <f>IF($I9396=0,0,IF(INDEX(DarlOhneTilgung,20)=1,0,IF(AND(INDEX(DarlTilgStart,20)&gt;0,$E9396=INDEX(DarlTilgStart,20)),$J9396*($H9396+INDEX(DarlTilgung,20))/100/12,IF(AND($G9396=0,$G9395=1),MAX($K9395,$J9396*($H9396+1)/100/12),$K9395))))</f>
      </c>
      <c r="L9396" s="43">
        <f>IF($I9396=0,0,$J9396*$H9396/100/12)</f>
      </c>
      <c r="M9396" s="43">
        <f>IF($I9396=0,0,IF(OR(INDEX(DarlOhneTilgung,20)=1,AND(INDEX(DarlTilgStart,20)&gt;0,$E9396&lt;INDEX(DarlTilgStart,20))),0,MIN(MAX(0,$K9396-$L9396),$J9396)))</f>
      </c>
      <c r="N9396" s="43">
        <f>IF($I9396=0,0,MIN(SUMIFS(SondBetrag,SondDarl,20,SondDatum,"&gt;="&amp;$E9396,SondDatum,"&lt;="&amp;EOMONTH($E9396,0)),$J9396-$M9396))</f>
      </c>
      <c r="O9396" s="43">
        <f>IF($I9396=0,0,INDEX(DarlErsatzRate,20))</f>
      </c>
      <c r="P9396" s="43">
        <f>IF($I9396=0,0,$Q9395*INDEX(DarlErsatzZins,20))</f>
      </c>
      <c r="Q9396" s="43">
        <f>IF($I9396=0,0,$Q9395+$P9396+$O9396)</f>
      </c>
      <c r="R9396" s="43">
        <f>IF($I9396=0,0,$J9396-$M9396-$N9396)</f>
      </c>
    </row>
    <row r="9397">
      <c r="A9397"/>
      <c r="B9397">
        <v>20</v>
      </c>
      <c r="C9397" s="43">
        <f>INDEX(DarlObj,20)</f>
      </c>
      <c r="D9397">
        <v>274</v>
      </c>
      <c r="E9397" s="51">
        <f>IF(INDEX(DarlBelegt,20)=0,0,EOMONTH(INDEX(DarlAuszahlung,20),273)+1)</f>
      </c>
      <c r="F9397" s="43">
        <f>IF($E9397=0,0,YEAR($E9397))</f>
      </c>
      <c r="G9397" s="43">
        <f>IF(INDEX(DarlBindung,20)="",1,IF($E9397&lt;=INDEX(DarlBindung,20),1,0))</f>
      </c>
      <c r="H9397" s="43">
        <f>IF($G9397=1,INDEX(DarlSollzins,20),INDEX(DarlAnschluss,20))</f>
      </c>
      <c r="I9397" s="43">
        <f>IF(INDEX(DarlBelegt,20)=0,0,IF(INDEX(DarlOhneTilgung,20)=1,IF(INDEX(DarlBindung,20)="",1,$G9397),IF($J9397&gt;0.005,1,0)))</f>
      </c>
      <c r="J9397" s="43">
        <f>IF($I9396=0,0,$R9396)</f>
      </c>
      <c r="K9397" s="43">
        <f>IF($I9397=0,0,IF(INDEX(DarlOhneTilgung,20)=1,0,IF(AND(INDEX(DarlTilgStart,20)&gt;0,$E9397=INDEX(DarlTilgStart,20)),$J9397*($H9397+INDEX(DarlTilgung,20))/100/12,IF(AND($G9397=0,$G9396=1),MAX($K9396,$J9397*($H9397+1)/100/12),$K9396))))</f>
      </c>
      <c r="L9397" s="43">
        <f>IF($I9397=0,0,$J9397*$H9397/100/12)</f>
      </c>
      <c r="M9397" s="43">
        <f>IF($I9397=0,0,IF(OR(INDEX(DarlOhneTilgung,20)=1,AND(INDEX(DarlTilgStart,20)&gt;0,$E9397&lt;INDEX(DarlTilgStart,20))),0,MIN(MAX(0,$K9397-$L9397),$J9397)))</f>
      </c>
      <c r="N9397" s="43">
        <f>IF($I9397=0,0,MIN(SUMIFS(SondBetrag,SondDarl,20,SondDatum,"&gt;="&amp;$E9397,SondDatum,"&lt;="&amp;EOMONTH($E9397,0)),$J9397-$M9397))</f>
      </c>
      <c r="O9397" s="43">
        <f>IF($I9397=0,0,INDEX(DarlErsatzRate,20))</f>
      </c>
      <c r="P9397" s="43">
        <f>IF($I9397=0,0,$Q9396*INDEX(DarlErsatzZins,20))</f>
      </c>
      <c r="Q9397" s="43">
        <f>IF($I9397=0,0,$Q9396+$P9397+$O9397)</f>
      </c>
      <c r="R9397" s="43">
        <f>IF($I9397=0,0,$J9397-$M9397-$N9397)</f>
      </c>
    </row>
    <row r="9398">
      <c r="A9398"/>
      <c r="B9398">
        <v>20</v>
      </c>
      <c r="C9398" s="43">
        <f>INDEX(DarlObj,20)</f>
      </c>
      <c r="D9398">
        <v>275</v>
      </c>
      <c r="E9398" s="51">
        <f>IF(INDEX(DarlBelegt,20)=0,0,EOMONTH(INDEX(DarlAuszahlung,20),274)+1)</f>
      </c>
      <c r="F9398" s="43">
        <f>IF($E9398=0,0,YEAR($E9398))</f>
      </c>
      <c r="G9398" s="43">
        <f>IF(INDEX(DarlBindung,20)="",1,IF($E9398&lt;=INDEX(DarlBindung,20),1,0))</f>
      </c>
      <c r="H9398" s="43">
        <f>IF($G9398=1,INDEX(DarlSollzins,20),INDEX(DarlAnschluss,20))</f>
      </c>
      <c r="I9398" s="43">
        <f>IF(INDEX(DarlBelegt,20)=0,0,IF(INDEX(DarlOhneTilgung,20)=1,IF(INDEX(DarlBindung,20)="",1,$G9398),IF($J9398&gt;0.005,1,0)))</f>
      </c>
      <c r="J9398" s="43">
        <f>IF($I9397=0,0,$R9397)</f>
      </c>
      <c r="K9398" s="43">
        <f>IF($I9398=0,0,IF(INDEX(DarlOhneTilgung,20)=1,0,IF(AND(INDEX(DarlTilgStart,20)&gt;0,$E9398=INDEX(DarlTilgStart,20)),$J9398*($H9398+INDEX(DarlTilgung,20))/100/12,IF(AND($G9398=0,$G9397=1),MAX($K9397,$J9398*($H9398+1)/100/12),$K9397))))</f>
      </c>
      <c r="L9398" s="43">
        <f>IF($I9398=0,0,$J9398*$H9398/100/12)</f>
      </c>
      <c r="M9398" s="43">
        <f>IF($I9398=0,0,IF(OR(INDEX(DarlOhneTilgung,20)=1,AND(INDEX(DarlTilgStart,20)&gt;0,$E9398&lt;INDEX(DarlTilgStart,20))),0,MIN(MAX(0,$K9398-$L9398),$J9398)))</f>
      </c>
      <c r="N9398" s="43">
        <f>IF($I9398=0,0,MIN(SUMIFS(SondBetrag,SondDarl,20,SondDatum,"&gt;="&amp;$E9398,SondDatum,"&lt;="&amp;EOMONTH($E9398,0)),$J9398-$M9398))</f>
      </c>
      <c r="O9398" s="43">
        <f>IF($I9398=0,0,INDEX(DarlErsatzRate,20))</f>
      </c>
      <c r="P9398" s="43">
        <f>IF($I9398=0,0,$Q9397*INDEX(DarlErsatzZins,20))</f>
      </c>
      <c r="Q9398" s="43">
        <f>IF($I9398=0,0,$Q9397+$P9398+$O9398)</f>
      </c>
      <c r="R9398" s="43">
        <f>IF($I9398=0,0,$J9398-$M9398-$N9398)</f>
      </c>
    </row>
    <row r="9399">
      <c r="A9399"/>
      <c r="B9399">
        <v>20</v>
      </c>
      <c r="C9399" s="43">
        <f>INDEX(DarlObj,20)</f>
      </c>
      <c r="D9399">
        <v>276</v>
      </c>
      <c r="E9399" s="51">
        <f>IF(INDEX(DarlBelegt,20)=0,0,EOMONTH(INDEX(DarlAuszahlung,20),275)+1)</f>
      </c>
      <c r="F9399" s="43">
        <f>IF($E9399=0,0,YEAR($E9399))</f>
      </c>
      <c r="G9399" s="43">
        <f>IF(INDEX(DarlBindung,20)="",1,IF($E9399&lt;=INDEX(DarlBindung,20),1,0))</f>
      </c>
      <c r="H9399" s="43">
        <f>IF($G9399=1,INDEX(DarlSollzins,20),INDEX(DarlAnschluss,20))</f>
      </c>
      <c r="I9399" s="43">
        <f>IF(INDEX(DarlBelegt,20)=0,0,IF(INDEX(DarlOhneTilgung,20)=1,IF(INDEX(DarlBindung,20)="",1,$G9399),IF($J9399&gt;0.005,1,0)))</f>
      </c>
      <c r="J9399" s="43">
        <f>IF($I9398=0,0,$R9398)</f>
      </c>
      <c r="K9399" s="43">
        <f>IF($I9399=0,0,IF(INDEX(DarlOhneTilgung,20)=1,0,IF(AND(INDEX(DarlTilgStart,20)&gt;0,$E9399=INDEX(DarlTilgStart,20)),$J9399*($H9399+INDEX(DarlTilgung,20))/100/12,IF(AND($G9399=0,$G9398=1),MAX($K9398,$J9399*($H9399+1)/100/12),$K9398))))</f>
      </c>
      <c r="L9399" s="43">
        <f>IF($I9399=0,0,$J9399*$H9399/100/12)</f>
      </c>
      <c r="M9399" s="43">
        <f>IF($I9399=0,0,IF(OR(INDEX(DarlOhneTilgung,20)=1,AND(INDEX(DarlTilgStart,20)&gt;0,$E9399&lt;INDEX(DarlTilgStart,20))),0,MIN(MAX(0,$K9399-$L9399),$J9399)))</f>
      </c>
      <c r="N9399" s="43">
        <f>IF($I9399=0,0,MIN(SUMIFS(SondBetrag,SondDarl,20,SondDatum,"&gt;="&amp;$E9399,SondDatum,"&lt;="&amp;EOMONTH($E9399,0)),$J9399-$M9399))</f>
      </c>
      <c r="O9399" s="43">
        <f>IF($I9399=0,0,INDEX(DarlErsatzRate,20))</f>
      </c>
      <c r="P9399" s="43">
        <f>IF($I9399=0,0,$Q9398*INDEX(DarlErsatzZins,20))</f>
      </c>
      <c r="Q9399" s="43">
        <f>IF($I9399=0,0,$Q9398+$P9399+$O9399)</f>
      </c>
      <c r="R9399" s="43">
        <f>IF($I9399=0,0,$J9399-$M9399-$N9399)</f>
      </c>
    </row>
    <row r="9400">
      <c r="A9400"/>
      <c r="B9400">
        <v>20</v>
      </c>
      <c r="C9400" s="43">
        <f>INDEX(DarlObj,20)</f>
      </c>
      <c r="D9400">
        <v>277</v>
      </c>
      <c r="E9400" s="51">
        <f>IF(INDEX(DarlBelegt,20)=0,0,EOMONTH(INDEX(DarlAuszahlung,20),276)+1)</f>
      </c>
      <c r="F9400" s="43">
        <f>IF($E9400=0,0,YEAR($E9400))</f>
      </c>
      <c r="G9400" s="43">
        <f>IF(INDEX(DarlBindung,20)="",1,IF($E9400&lt;=INDEX(DarlBindung,20),1,0))</f>
      </c>
      <c r="H9400" s="43">
        <f>IF($G9400=1,INDEX(DarlSollzins,20),INDEX(DarlAnschluss,20))</f>
      </c>
      <c r="I9400" s="43">
        <f>IF(INDEX(DarlBelegt,20)=0,0,IF(INDEX(DarlOhneTilgung,20)=1,IF(INDEX(DarlBindung,20)="",1,$G9400),IF($J9400&gt;0.005,1,0)))</f>
      </c>
      <c r="J9400" s="43">
        <f>IF($I9399=0,0,$R9399)</f>
      </c>
      <c r="K9400" s="43">
        <f>IF($I9400=0,0,IF(INDEX(DarlOhneTilgung,20)=1,0,IF(AND(INDEX(DarlTilgStart,20)&gt;0,$E9400=INDEX(DarlTilgStart,20)),$J9400*($H9400+INDEX(DarlTilgung,20))/100/12,IF(AND($G9400=0,$G9399=1),MAX($K9399,$J9400*($H9400+1)/100/12),$K9399))))</f>
      </c>
      <c r="L9400" s="43">
        <f>IF($I9400=0,0,$J9400*$H9400/100/12)</f>
      </c>
      <c r="M9400" s="43">
        <f>IF($I9400=0,0,IF(OR(INDEX(DarlOhneTilgung,20)=1,AND(INDEX(DarlTilgStart,20)&gt;0,$E9400&lt;INDEX(DarlTilgStart,20))),0,MIN(MAX(0,$K9400-$L9400),$J9400)))</f>
      </c>
      <c r="N9400" s="43">
        <f>IF($I9400=0,0,MIN(SUMIFS(SondBetrag,SondDarl,20,SondDatum,"&gt;="&amp;$E9400,SondDatum,"&lt;="&amp;EOMONTH($E9400,0)),$J9400-$M9400))</f>
      </c>
      <c r="O9400" s="43">
        <f>IF($I9400=0,0,INDEX(DarlErsatzRate,20))</f>
      </c>
      <c r="P9400" s="43">
        <f>IF($I9400=0,0,$Q9399*INDEX(DarlErsatzZins,20))</f>
      </c>
      <c r="Q9400" s="43">
        <f>IF($I9400=0,0,$Q9399+$P9400+$O9400)</f>
      </c>
      <c r="R9400" s="43">
        <f>IF($I9400=0,0,$J9400-$M9400-$N9400)</f>
      </c>
    </row>
    <row r="9401">
      <c r="A9401"/>
      <c r="B9401">
        <v>20</v>
      </c>
      <c r="C9401" s="43">
        <f>INDEX(DarlObj,20)</f>
      </c>
      <c r="D9401">
        <v>278</v>
      </c>
      <c r="E9401" s="51">
        <f>IF(INDEX(DarlBelegt,20)=0,0,EOMONTH(INDEX(DarlAuszahlung,20),277)+1)</f>
      </c>
      <c r="F9401" s="43">
        <f>IF($E9401=0,0,YEAR($E9401))</f>
      </c>
      <c r="G9401" s="43">
        <f>IF(INDEX(DarlBindung,20)="",1,IF($E9401&lt;=INDEX(DarlBindung,20),1,0))</f>
      </c>
      <c r="H9401" s="43">
        <f>IF($G9401=1,INDEX(DarlSollzins,20),INDEX(DarlAnschluss,20))</f>
      </c>
      <c r="I9401" s="43">
        <f>IF(INDEX(DarlBelegt,20)=0,0,IF(INDEX(DarlOhneTilgung,20)=1,IF(INDEX(DarlBindung,20)="",1,$G9401),IF($J9401&gt;0.005,1,0)))</f>
      </c>
      <c r="J9401" s="43">
        <f>IF($I9400=0,0,$R9400)</f>
      </c>
      <c r="K9401" s="43">
        <f>IF($I9401=0,0,IF(INDEX(DarlOhneTilgung,20)=1,0,IF(AND(INDEX(DarlTilgStart,20)&gt;0,$E9401=INDEX(DarlTilgStart,20)),$J9401*($H9401+INDEX(DarlTilgung,20))/100/12,IF(AND($G9401=0,$G9400=1),MAX($K9400,$J9401*($H9401+1)/100/12),$K9400))))</f>
      </c>
      <c r="L9401" s="43">
        <f>IF($I9401=0,0,$J9401*$H9401/100/12)</f>
      </c>
      <c r="M9401" s="43">
        <f>IF($I9401=0,0,IF(OR(INDEX(DarlOhneTilgung,20)=1,AND(INDEX(DarlTilgStart,20)&gt;0,$E9401&lt;INDEX(DarlTilgStart,20))),0,MIN(MAX(0,$K9401-$L9401),$J9401)))</f>
      </c>
      <c r="N9401" s="43">
        <f>IF($I9401=0,0,MIN(SUMIFS(SondBetrag,SondDarl,20,SondDatum,"&gt;="&amp;$E9401,SondDatum,"&lt;="&amp;EOMONTH($E9401,0)),$J9401-$M9401))</f>
      </c>
      <c r="O9401" s="43">
        <f>IF($I9401=0,0,INDEX(DarlErsatzRate,20))</f>
      </c>
      <c r="P9401" s="43">
        <f>IF($I9401=0,0,$Q9400*INDEX(DarlErsatzZins,20))</f>
      </c>
      <c r="Q9401" s="43">
        <f>IF($I9401=0,0,$Q9400+$P9401+$O9401)</f>
      </c>
      <c r="R9401" s="43">
        <f>IF($I9401=0,0,$J9401-$M9401-$N9401)</f>
      </c>
    </row>
    <row r="9402">
      <c r="A9402"/>
      <c r="B9402">
        <v>20</v>
      </c>
      <c r="C9402" s="43">
        <f>INDEX(DarlObj,20)</f>
      </c>
      <c r="D9402">
        <v>279</v>
      </c>
      <c r="E9402" s="51">
        <f>IF(INDEX(DarlBelegt,20)=0,0,EOMONTH(INDEX(DarlAuszahlung,20),278)+1)</f>
      </c>
      <c r="F9402" s="43">
        <f>IF($E9402=0,0,YEAR($E9402))</f>
      </c>
      <c r="G9402" s="43">
        <f>IF(INDEX(DarlBindung,20)="",1,IF($E9402&lt;=INDEX(DarlBindung,20),1,0))</f>
      </c>
      <c r="H9402" s="43">
        <f>IF($G9402=1,INDEX(DarlSollzins,20),INDEX(DarlAnschluss,20))</f>
      </c>
      <c r="I9402" s="43">
        <f>IF(INDEX(DarlBelegt,20)=0,0,IF(INDEX(DarlOhneTilgung,20)=1,IF(INDEX(DarlBindung,20)="",1,$G9402),IF($J9402&gt;0.005,1,0)))</f>
      </c>
      <c r="J9402" s="43">
        <f>IF($I9401=0,0,$R9401)</f>
      </c>
      <c r="K9402" s="43">
        <f>IF($I9402=0,0,IF(INDEX(DarlOhneTilgung,20)=1,0,IF(AND(INDEX(DarlTilgStart,20)&gt;0,$E9402=INDEX(DarlTilgStart,20)),$J9402*($H9402+INDEX(DarlTilgung,20))/100/12,IF(AND($G9402=0,$G9401=1),MAX($K9401,$J9402*($H9402+1)/100/12),$K9401))))</f>
      </c>
      <c r="L9402" s="43">
        <f>IF($I9402=0,0,$J9402*$H9402/100/12)</f>
      </c>
      <c r="M9402" s="43">
        <f>IF($I9402=0,0,IF(OR(INDEX(DarlOhneTilgung,20)=1,AND(INDEX(DarlTilgStart,20)&gt;0,$E9402&lt;INDEX(DarlTilgStart,20))),0,MIN(MAX(0,$K9402-$L9402),$J9402)))</f>
      </c>
      <c r="N9402" s="43">
        <f>IF($I9402=0,0,MIN(SUMIFS(SondBetrag,SondDarl,20,SondDatum,"&gt;="&amp;$E9402,SondDatum,"&lt;="&amp;EOMONTH($E9402,0)),$J9402-$M9402))</f>
      </c>
      <c r="O9402" s="43">
        <f>IF($I9402=0,0,INDEX(DarlErsatzRate,20))</f>
      </c>
      <c r="P9402" s="43">
        <f>IF($I9402=0,0,$Q9401*INDEX(DarlErsatzZins,20))</f>
      </c>
      <c r="Q9402" s="43">
        <f>IF($I9402=0,0,$Q9401+$P9402+$O9402)</f>
      </c>
      <c r="R9402" s="43">
        <f>IF($I9402=0,0,$J9402-$M9402-$N9402)</f>
      </c>
    </row>
    <row r="9403">
      <c r="A9403"/>
      <c r="B9403">
        <v>20</v>
      </c>
      <c r="C9403" s="43">
        <f>INDEX(DarlObj,20)</f>
      </c>
      <c r="D9403">
        <v>280</v>
      </c>
      <c r="E9403" s="51">
        <f>IF(INDEX(DarlBelegt,20)=0,0,EOMONTH(INDEX(DarlAuszahlung,20),279)+1)</f>
      </c>
      <c r="F9403" s="43">
        <f>IF($E9403=0,0,YEAR($E9403))</f>
      </c>
      <c r="G9403" s="43">
        <f>IF(INDEX(DarlBindung,20)="",1,IF($E9403&lt;=INDEX(DarlBindung,20),1,0))</f>
      </c>
      <c r="H9403" s="43">
        <f>IF($G9403=1,INDEX(DarlSollzins,20),INDEX(DarlAnschluss,20))</f>
      </c>
      <c r="I9403" s="43">
        <f>IF(INDEX(DarlBelegt,20)=0,0,IF(INDEX(DarlOhneTilgung,20)=1,IF(INDEX(DarlBindung,20)="",1,$G9403),IF($J9403&gt;0.005,1,0)))</f>
      </c>
      <c r="J9403" s="43">
        <f>IF($I9402=0,0,$R9402)</f>
      </c>
      <c r="K9403" s="43">
        <f>IF($I9403=0,0,IF(INDEX(DarlOhneTilgung,20)=1,0,IF(AND(INDEX(DarlTilgStart,20)&gt;0,$E9403=INDEX(DarlTilgStart,20)),$J9403*($H9403+INDEX(DarlTilgung,20))/100/12,IF(AND($G9403=0,$G9402=1),MAX($K9402,$J9403*($H9403+1)/100/12),$K9402))))</f>
      </c>
      <c r="L9403" s="43">
        <f>IF($I9403=0,0,$J9403*$H9403/100/12)</f>
      </c>
      <c r="M9403" s="43">
        <f>IF($I9403=0,0,IF(OR(INDEX(DarlOhneTilgung,20)=1,AND(INDEX(DarlTilgStart,20)&gt;0,$E9403&lt;INDEX(DarlTilgStart,20))),0,MIN(MAX(0,$K9403-$L9403),$J9403)))</f>
      </c>
      <c r="N9403" s="43">
        <f>IF($I9403=0,0,MIN(SUMIFS(SondBetrag,SondDarl,20,SondDatum,"&gt;="&amp;$E9403,SondDatum,"&lt;="&amp;EOMONTH($E9403,0)),$J9403-$M9403))</f>
      </c>
      <c r="O9403" s="43">
        <f>IF($I9403=0,0,INDEX(DarlErsatzRate,20))</f>
      </c>
      <c r="P9403" s="43">
        <f>IF($I9403=0,0,$Q9402*INDEX(DarlErsatzZins,20))</f>
      </c>
      <c r="Q9403" s="43">
        <f>IF($I9403=0,0,$Q9402+$P9403+$O9403)</f>
      </c>
      <c r="R9403" s="43">
        <f>IF($I9403=0,0,$J9403-$M9403-$N9403)</f>
      </c>
    </row>
    <row r="9404">
      <c r="A9404"/>
      <c r="B9404">
        <v>20</v>
      </c>
      <c r="C9404" s="43">
        <f>INDEX(DarlObj,20)</f>
      </c>
      <c r="D9404">
        <v>281</v>
      </c>
      <c r="E9404" s="51">
        <f>IF(INDEX(DarlBelegt,20)=0,0,EOMONTH(INDEX(DarlAuszahlung,20),280)+1)</f>
      </c>
      <c r="F9404" s="43">
        <f>IF($E9404=0,0,YEAR($E9404))</f>
      </c>
      <c r="G9404" s="43">
        <f>IF(INDEX(DarlBindung,20)="",1,IF($E9404&lt;=INDEX(DarlBindung,20),1,0))</f>
      </c>
      <c r="H9404" s="43">
        <f>IF($G9404=1,INDEX(DarlSollzins,20),INDEX(DarlAnschluss,20))</f>
      </c>
      <c r="I9404" s="43">
        <f>IF(INDEX(DarlBelegt,20)=0,0,IF(INDEX(DarlOhneTilgung,20)=1,IF(INDEX(DarlBindung,20)="",1,$G9404),IF($J9404&gt;0.005,1,0)))</f>
      </c>
      <c r="J9404" s="43">
        <f>IF($I9403=0,0,$R9403)</f>
      </c>
      <c r="K9404" s="43">
        <f>IF($I9404=0,0,IF(INDEX(DarlOhneTilgung,20)=1,0,IF(AND(INDEX(DarlTilgStart,20)&gt;0,$E9404=INDEX(DarlTilgStart,20)),$J9404*($H9404+INDEX(DarlTilgung,20))/100/12,IF(AND($G9404=0,$G9403=1),MAX($K9403,$J9404*($H9404+1)/100/12),$K9403))))</f>
      </c>
      <c r="L9404" s="43">
        <f>IF($I9404=0,0,$J9404*$H9404/100/12)</f>
      </c>
      <c r="M9404" s="43">
        <f>IF($I9404=0,0,IF(OR(INDEX(DarlOhneTilgung,20)=1,AND(INDEX(DarlTilgStart,20)&gt;0,$E9404&lt;INDEX(DarlTilgStart,20))),0,MIN(MAX(0,$K9404-$L9404),$J9404)))</f>
      </c>
      <c r="N9404" s="43">
        <f>IF($I9404=0,0,MIN(SUMIFS(SondBetrag,SondDarl,20,SondDatum,"&gt;="&amp;$E9404,SondDatum,"&lt;="&amp;EOMONTH($E9404,0)),$J9404-$M9404))</f>
      </c>
      <c r="O9404" s="43">
        <f>IF($I9404=0,0,INDEX(DarlErsatzRate,20))</f>
      </c>
      <c r="P9404" s="43">
        <f>IF($I9404=0,0,$Q9403*INDEX(DarlErsatzZins,20))</f>
      </c>
      <c r="Q9404" s="43">
        <f>IF($I9404=0,0,$Q9403+$P9404+$O9404)</f>
      </c>
      <c r="R9404" s="43">
        <f>IF($I9404=0,0,$J9404-$M9404-$N9404)</f>
      </c>
    </row>
    <row r="9405">
      <c r="A9405"/>
      <c r="B9405">
        <v>20</v>
      </c>
      <c r="C9405" s="43">
        <f>INDEX(DarlObj,20)</f>
      </c>
      <c r="D9405">
        <v>282</v>
      </c>
      <c r="E9405" s="51">
        <f>IF(INDEX(DarlBelegt,20)=0,0,EOMONTH(INDEX(DarlAuszahlung,20),281)+1)</f>
      </c>
      <c r="F9405" s="43">
        <f>IF($E9405=0,0,YEAR($E9405))</f>
      </c>
      <c r="G9405" s="43">
        <f>IF(INDEX(DarlBindung,20)="",1,IF($E9405&lt;=INDEX(DarlBindung,20),1,0))</f>
      </c>
      <c r="H9405" s="43">
        <f>IF($G9405=1,INDEX(DarlSollzins,20),INDEX(DarlAnschluss,20))</f>
      </c>
      <c r="I9405" s="43">
        <f>IF(INDEX(DarlBelegt,20)=0,0,IF(INDEX(DarlOhneTilgung,20)=1,IF(INDEX(DarlBindung,20)="",1,$G9405),IF($J9405&gt;0.005,1,0)))</f>
      </c>
      <c r="J9405" s="43">
        <f>IF($I9404=0,0,$R9404)</f>
      </c>
      <c r="K9405" s="43">
        <f>IF($I9405=0,0,IF(INDEX(DarlOhneTilgung,20)=1,0,IF(AND(INDEX(DarlTilgStart,20)&gt;0,$E9405=INDEX(DarlTilgStart,20)),$J9405*($H9405+INDEX(DarlTilgung,20))/100/12,IF(AND($G9405=0,$G9404=1),MAX($K9404,$J9405*($H9405+1)/100/12),$K9404))))</f>
      </c>
      <c r="L9405" s="43">
        <f>IF($I9405=0,0,$J9405*$H9405/100/12)</f>
      </c>
      <c r="M9405" s="43">
        <f>IF($I9405=0,0,IF(OR(INDEX(DarlOhneTilgung,20)=1,AND(INDEX(DarlTilgStart,20)&gt;0,$E9405&lt;INDEX(DarlTilgStart,20))),0,MIN(MAX(0,$K9405-$L9405),$J9405)))</f>
      </c>
      <c r="N9405" s="43">
        <f>IF($I9405=0,0,MIN(SUMIFS(SondBetrag,SondDarl,20,SondDatum,"&gt;="&amp;$E9405,SondDatum,"&lt;="&amp;EOMONTH($E9405,0)),$J9405-$M9405))</f>
      </c>
      <c r="O9405" s="43">
        <f>IF($I9405=0,0,INDEX(DarlErsatzRate,20))</f>
      </c>
      <c r="P9405" s="43">
        <f>IF($I9405=0,0,$Q9404*INDEX(DarlErsatzZins,20))</f>
      </c>
      <c r="Q9405" s="43">
        <f>IF($I9405=0,0,$Q9404+$P9405+$O9405)</f>
      </c>
      <c r="R9405" s="43">
        <f>IF($I9405=0,0,$J9405-$M9405-$N9405)</f>
      </c>
    </row>
    <row r="9406">
      <c r="A9406"/>
      <c r="B9406">
        <v>20</v>
      </c>
      <c r="C9406" s="43">
        <f>INDEX(DarlObj,20)</f>
      </c>
      <c r="D9406">
        <v>283</v>
      </c>
      <c r="E9406" s="51">
        <f>IF(INDEX(DarlBelegt,20)=0,0,EOMONTH(INDEX(DarlAuszahlung,20),282)+1)</f>
      </c>
      <c r="F9406" s="43">
        <f>IF($E9406=0,0,YEAR($E9406))</f>
      </c>
      <c r="G9406" s="43">
        <f>IF(INDEX(DarlBindung,20)="",1,IF($E9406&lt;=INDEX(DarlBindung,20),1,0))</f>
      </c>
      <c r="H9406" s="43">
        <f>IF($G9406=1,INDEX(DarlSollzins,20),INDEX(DarlAnschluss,20))</f>
      </c>
      <c r="I9406" s="43">
        <f>IF(INDEX(DarlBelegt,20)=0,0,IF(INDEX(DarlOhneTilgung,20)=1,IF(INDEX(DarlBindung,20)="",1,$G9406),IF($J9406&gt;0.005,1,0)))</f>
      </c>
      <c r="J9406" s="43">
        <f>IF($I9405=0,0,$R9405)</f>
      </c>
      <c r="K9406" s="43">
        <f>IF($I9406=0,0,IF(INDEX(DarlOhneTilgung,20)=1,0,IF(AND(INDEX(DarlTilgStart,20)&gt;0,$E9406=INDEX(DarlTilgStart,20)),$J9406*($H9406+INDEX(DarlTilgung,20))/100/12,IF(AND($G9406=0,$G9405=1),MAX($K9405,$J9406*($H9406+1)/100/12),$K9405))))</f>
      </c>
      <c r="L9406" s="43">
        <f>IF($I9406=0,0,$J9406*$H9406/100/12)</f>
      </c>
      <c r="M9406" s="43">
        <f>IF($I9406=0,0,IF(OR(INDEX(DarlOhneTilgung,20)=1,AND(INDEX(DarlTilgStart,20)&gt;0,$E9406&lt;INDEX(DarlTilgStart,20))),0,MIN(MAX(0,$K9406-$L9406),$J9406)))</f>
      </c>
      <c r="N9406" s="43">
        <f>IF($I9406=0,0,MIN(SUMIFS(SondBetrag,SondDarl,20,SondDatum,"&gt;="&amp;$E9406,SondDatum,"&lt;="&amp;EOMONTH($E9406,0)),$J9406-$M9406))</f>
      </c>
      <c r="O9406" s="43">
        <f>IF($I9406=0,0,INDEX(DarlErsatzRate,20))</f>
      </c>
      <c r="P9406" s="43">
        <f>IF($I9406=0,0,$Q9405*INDEX(DarlErsatzZins,20))</f>
      </c>
      <c r="Q9406" s="43">
        <f>IF($I9406=0,0,$Q9405+$P9406+$O9406)</f>
      </c>
      <c r="R9406" s="43">
        <f>IF($I9406=0,0,$J9406-$M9406-$N9406)</f>
      </c>
    </row>
    <row r="9407">
      <c r="A9407"/>
      <c r="B9407">
        <v>20</v>
      </c>
      <c r="C9407" s="43">
        <f>INDEX(DarlObj,20)</f>
      </c>
      <c r="D9407">
        <v>284</v>
      </c>
      <c r="E9407" s="51">
        <f>IF(INDEX(DarlBelegt,20)=0,0,EOMONTH(INDEX(DarlAuszahlung,20),283)+1)</f>
      </c>
      <c r="F9407" s="43">
        <f>IF($E9407=0,0,YEAR($E9407))</f>
      </c>
      <c r="G9407" s="43">
        <f>IF(INDEX(DarlBindung,20)="",1,IF($E9407&lt;=INDEX(DarlBindung,20),1,0))</f>
      </c>
      <c r="H9407" s="43">
        <f>IF($G9407=1,INDEX(DarlSollzins,20),INDEX(DarlAnschluss,20))</f>
      </c>
      <c r="I9407" s="43">
        <f>IF(INDEX(DarlBelegt,20)=0,0,IF(INDEX(DarlOhneTilgung,20)=1,IF(INDEX(DarlBindung,20)="",1,$G9407),IF($J9407&gt;0.005,1,0)))</f>
      </c>
      <c r="J9407" s="43">
        <f>IF($I9406=0,0,$R9406)</f>
      </c>
      <c r="K9407" s="43">
        <f>IF($I9407=0,0,IF(INDEX(DarlOhneTilgung,20)=1,0,IF(AND(INDEX(DarlTilgStart,20)&gt;0,$E9407=INDEX(DarlTilgStart,20)),$J9407*($H9407+INDEX(DarlTilgung,20))/100/12,IF(AND($G9407=0,$G9406=1),MAX($K9406,$J9407*($H9407+1)/100/12),$K9406))))</f>
      </c>
      <c r="L9407" s="43">
        <f>IF($I9407=0,0,$J9407*$H9407/100/12)</f>
      </c>
      <c r="M9407" s="43">
        <f>IF($I9407=0,0,IF(OR(INDEX(DarlOhneTilgung,20)=1,AND(INDEX(DarlTilgStart,20)&gt;0,$E9407&lt;INDEX(DarlTilgStart,20))),0,MIN(MAX(0,$K9407-$L9407),$J9407)))</f>
      </c>
      <c r="N9407" s="43">
        <f>IF($I9407=0,0,MIN(SUMIFS(SondBetrag,SondDarl,20,SondDatum,"&gt;="&amp;$E9407,SondDatum,"&lt;="&amp;EOMONTH($E9407,0)),$J9407-$M9407))</f>
      </c>
      <c r="O9407" s="43">
        <f>IF($I9407=0,0,INDEX(DarlErsatzRate,20))</f>
      </c>
      <c r="P9407" s="43">
        <f>IF($I9407=0,0,$Q9406*INDEX(DarlErsatzZins,20))</f>
      </c>
      <c r="Q9407" s="43">
        <f>IF($I9407=0,0,$Q9406+$P9407+$O9407)</f>
      </c>
      <c r="R9407" s="43">
        <f>IF($I9407=0,0,$J9407-$M9407-$N9407)</f>
      </c>
    </row>
    <row r="9408">
      <c r="A9408"/>
      <c r="B9408">
        <v>20</v>
      </c>
      <c r="C9408" s="43">
        <f>INDEX(DarlObj,20)</f>
      </c>
      <c r="D9408">
        <v>285</v>
      </c>
      <c r="E9408" s="51">
        <f>IF(INDEX(DarlBelegt,20)=0,0,EOMONTH(INDEX(DarlAuszahlung,20),284)+1)</f>
      </c>
      <c r="F9408" s="43">
        <f>IF($E9408=0,0,YEAR($E9408))</f>
      </c>
      <c r="G9408" s="43">
        <f>IF(INDEX(DarlBindung,20)="",1,IF($E9408&lt;=INDEX(DarlBindung,20),1,0))</f>
      </c>
      <c r="H9408" s="43">
        <f>IF($G9408=1,INDEX(DarlSollzins,20),INDEX(DarlAnschluss,20))</f>
      </c>
      <c r="I9408" s="43">
        <f>IF(INDEX(DarlBelegt,20)=0,0,IF(INDEX(DarlOhneTilgung,20)=1,IF(INDEX(DarlBindung,20)="",1,$G9408),IF($J9408&gt;0.005,1,0)))</f>
      </c>
      <c r="J9408" s="43">
        <f>IF($I9407=0,0,$R9407)</f>
      </c>
      <c r="K9408" s="43">
        <f>IF($I9408=0,0,IF(INDEX(DarlOhneTilgung,20)=1,0,IF(AND(INDEX(DarlTilgStart,20)&gt;0,$E9408=INDEX(DarlTilgStart,20)),$J9408*($H9408+INDEX(DarlTilgung,20))/100/12,IF(AND($G9408=0,$G9407=1),MAX($K9407,$J9408*($H9408+1)/100/12),$K9407))))</f>
      </c>
      <c r="L9408" s="43">
        <f>IF($I9408=0,0,$J9408*$H9408/100/12)</f>
      </c>
      <c r="M9408" s="43">
        <f>IF($I9408=0,0,IF(OR(INDEX(DarlOhneTilgung,20)=1,AND(INDEX(DarlTilgStart,20)&gt;0,$E9408&lt;INDEX(DarlTilgStart,20))),0,MIN(MAX(0,$K9408-$L9408),$J9408)))</f>
      </c>
      <c r="N9408" s="43">
        <f>IF($I9408=0,0,MIN(SUMIFS(SondBetrag,SondDarl,20,SondDatum,"&gt;="&amp;$E9408,SondDatum,"&lt;="&amp;EOMONTH($E9408,0)),$J9408-$M9408))</f>
      </c>
      <c r="O9408" s="43">
        <f>IF($I9408=0,0,INDEX(DarlErsatzRate,20))</f>
      </c>
      <c r="P9408" s="43">
        <f>IF($I9408=0,0,$Q9407*INDEX(DarlErsatzZins,20))</f>
      </c>
      <c r="Q9408" s="43">
        <f>IF($I9408=0,0,$Q9407+$P9408+$O9408)</f>
      </c>
      <c r="R9408" s="43">
        <f>IF($I9408=0,0,$J9408-$M9408-$N9408)</f>
      </c>
    </row>
    <row r="9409">
      <c r="A9409"/>
      <c r="B9409">
        <v>20</v>
      </c>
      <c r="C9409" s="43">
        <f>INDEX(DarlObj,20)</f>
      </c>
      <c r="D9409">
        <v>286</v>
      </c>
      <c r="E9409" s="51">
        <f>IF(INDEX(DarlBelegt,20)=0,0,EOMONTH(INDEX(DarlAuszahlung,20),285)+1)</f>
      </c>
      <c r="F9409" s="43">
        <f>IF($E9409=0,0,YEAR($E9409))</f>
      </c>
      <c r="G9409" s="43">
        <f>IF(INDEX(DarlBindung,20)="",1,IF($E9409&lt;=INDEX(DarlBindung,20),1,0))</f>
      </c>
      <c r="H9409" s="43">
        <f>IF($G9409=1,INDEX(DarlSollzins,20),INDEX(DarlAnschluss,20))</f>
      </c>
      <c r="I9409" s="43">
        <f>IF(INDEX(DarlBelegt,20)=0,0,IF(INDEX(DarlOhneTilgung,20)=1,IF(INDEX(DarlBindung,20)="",1,$G9409),IF($J9409&gt;0.005,1,0)))</f>
      </c>
      <c r="J9409" s="43">
        <f>IF($I9408=0,0,$R9408)</f>
      </c>
      <c r="K9409" s="43">
        <f>IF($I9409=0,0,IF(INDEX(DarlOhneTilgung,20)=1,0,IF(AND(INDEX(DarlTilgStart,20)&gt;0,$E9409=INDEX(DarlTilgStart,20)),$J9409*($H9409+INDEX(DarlTilgung,20))/100/12,IF(AND($G9409=0,$G9408=1),MAX($K9408,$J9409*($H9409+1)/100/12),$K9408))))</f>
      </c>
      <c r="L9409" s="43">
        <f>IF($I9409=0,0,$J9409*$H9409/100/12)</f>
      </c>
      <c r="M9409" s="43">
        <f>IF($I9409=0,0,IF(OR(INDEX(DarlOhneTilgung,20)=1,AND(INDEX(DarlTilgStart,20)&gt;0,$E9409&lt;INDEX(DarlTilgStart,20))),0,MIN(MAX(0,$K9409-$L9409),$J9409)))</f>
      </c>
      <c r="N9409" s="43">
        <f>IF($I9409=0,0,MIN(SUMIFS(SondBetrag,SondDarl,20,SondDatum,"&gt;="&amp;$E9409,SondDatum,"&lt;="&amp;EOMONTH($E9409,0)),$J9409-$M9409))</f>
      </c>
      <c r="O9409" s="43">
        <f>IF($I9409=0,0,INDEX(DarlErsatzRate,20))</f>
      </c>
      <c r="P9409" s="43">
        <f>IF($I9409=0,0,$Q9408*INDEX(DarlErsatzZins,20))</f>
      </c>
      <c r="Q9409" s="43">
        <f>IF($I9409=0,0,$Q9408+$P9409+$O9409)</f>
      </c>
      <c r="R9409" s="43">
        <f>IF($I9409=0,0,$J9409-$M9409-$N9409)</f>
      </c>
    </row>
    <row r="9410">
      <c r="A9410"/>
      <c r="B9410">
        <v>20</v>
      </c>
      <c r="C9410" s="43">
        <f>INDEX(DarlObj,20)</f>
      </c>
      <c r="D9410">
        <v>287</v>
      </c>
      <c r="E9410" s="51">
        <f>IF(INDEX(DarlBelegt,20)=0,0,EOMONTH(INDEX(DarlAuszahlung,20),286)+1)</f>
      </c>
      <c r="F9410" s="43">
        <f>IF($E9410=0,0,YEAR($E9410))</f>
      </c>
      <c r="G9410" s="43">
        <f>IF(INDEX(DarlBindung,20)="",1,IF($E9410&lt;=INDEX(DarlBindung,20),1,0))</f>
      </c>
      <c r="H9410" s="43">
        <f>IF($G9410=1,INDEX(DarlSollzins,20),INDEX(DarlAnschluss,20))</f>
      </c>
      <c r="I9410" s="43">
        <f>IF(INDEX(DarlBelegt,20)=0,0,IF(INDEX(DarlOhneTilgung,20)=1,IF(INDEX(DarlBindung,20)="",1,$G9410),IF($J9410&gt;0.005,1,0)))</f>
      </c>
      <c r="J9410" s="43">
        <f>IF($I9409=0,0,$R9409)</f>
      </c>
      <c r="K9410" s="43">
        <f>IF($I9410=0,0,IF(INDEX(DarlOhneTilgung,20)=1,0,IF(AND(INDEX(DarlTilgStart,20)&gt;0,$E9410=INDEX(DarlTilgStart,20)),$J9410*($H9410+INDEX(DarlTilgung,20))/100/12,IF(AND($G9410=0,$G9409=1),MAX($K9409,$J9410*($H9410+1)/100/12),$K9409))))</f>
      </c>
      <c r="L9410" s="43">
        <f>IF($I9410=0,0,$J9410*$H9410/100/12)</f>
      </c>
      <c r="M9410" s="43">
        <f>IF($I9410=0,0,IF(OR(INDEX(DarlOhneTilgung,20)=1,AND(INDEX(DarlTilgStart,20)&gt;0,$E9410&lt;INDEX(DarlTilgStart,20))),0,MIN(MAX(0,$K9410-$L9410),$J9410)))</f>
      </c>
      <c r="N9410" s="43">
        <f>IF($I9410=0,0,MIN(SUMIFS(SondBetrag,SondDarl,20,SondDatum,"&gt;="&amp;$E9410,SondDatum,"&lt;="&amp;EOMONTH($E9410,0)),$J9410-$M9410))</f>
      </c>
      <c r="O9410" s="43">
        <f>IF($I9410=0,0,INDEX(DarlErsatzRate,20))</f>
      </c>
      <c r="P9410" s="43">
        <f>IF($I9410=0,0,$Q9409*INDEX(DarlErsatzZins,20))</f>
      </c>
      <c r="Q9410" s="43">
        <f>IF($I9410=0,0,$Q9409+$P9410+$O9410)</f>
      </c>
      <c r="R9410" s="43">
        <f>IF($I9410=0,0,$J9410-$M9410-$N9410)</f>
      </c>
    </row>
    <row r="9411">
      <c r="A9411"/>
      <c r="B9411">
        <v>20</v>
      </c>
      <c r="C9411" s="43">
        <f>INDEX(DarlObj,20)</f>
      </c>
      <c r="D9411">
        <v>288</v>
      </c>
      <c r="E9411" s="51">
        <f>IF(INDEX(DarlBelegt,20)=0,0,EOMONTH(INDEX(DarlAuszahlung,20),287)+1)</f>
      </c>
      <c r="F9411" s="43">
        <f>IF($E9411=0,0,YEAR($E9411))</f>
      </c>
      <c r="G9411" s="43">
        <f>IF(INDEX(DarlBindung,20)="",1,IF($E9411&lt;=INDEX(DarlBindung,20),1,0))</f>
      </c>
      <c r="H9411" s="43">
        <f>IF($G9411=1,INDEX(DarlSollzins,20),INDEX(DarlAnschluss,20))</f>
      </c>
      <c r="I9411" s="43">
        <f>IF(INDEX(DarlBelegt,20)=0,0,IF(INDEX(DarlOhneTilgung,20)=1,IF(INDEX(DarlBindung,20)="",1,$G9411),IF($J9411&gt;0.005,1,0)))</f>
      </c>
      <c r="J9411" s="43">
        <f>IF($I9410=0,0,$R9410)</f>
      </c>
      <c r="K9411" s="43">
        <f>IF($I9411=0,0,IF(INDEX(DarlOhneTilgung,20)=1,0,IF(AND(INDEX(DarlTilgStart,20)&gt;0,$E9411=INDEX(DarlTilgStart,20)),$J9411*($H9411+INDEX(DarlTilgung,20))/100/12,IF(AND($G9411=0,$G9410=1),MAX($K9410,$J9411*($H9411+1)/100/12),$K9410))))</f>
      </c>
      <c r="L9411" s="43">
        <f>IF($I9411=0,0,$J9411*$H9411/100/12)</f>
      </c>
      <c r="M9411" s="43">
        <f>IF($I9411=0,0,IF(OR(INDEX(DarlOhneTilgung,20)=1,AND(INDEX(DarlTilgStart,20)&gt;0,$E9411&lt;INDEX(DarlTilgStart,20))),0,MIN(MAX(0,$K9411-$L9411),$J9411)))</f>
      </c>
      <c r="N9411" s="43">
        <f>IF($I9411=0,0,MIN(SUMIFS(SondBetrag,SondDarl,20,SondDatum,"&gt;="&amp;$E9411,SondDatum,"&lt;="&amp;EOMONTH($E9411,0)),$J9411-$M9411))</f>
      </c>
      <c r="O9411" s="43">
        <f>IF($I9411=0,0,INDEX(DarlErsatzRate,20))</f>
      </c>
      <c r="P9411" s="43">
        <f>IF($I9411=0,0,$Q9410*INDEX(DarlErsatzZins,20))</f>
      </c>
      <c r="Q9411" s="43">
        <f>IF($I9411=0,0,$Q9410+$P9411+$O9411)</f>
      </c>
      <c r="R9411" s="43">
        <f>IF($I9411=0,0,$J9411-$M9411-$N9411)</f>
      </c>
    </row>
    <row r="9412">
      <c r="A9412"/>
      <c r="B9412">
        <v>20</v>
      </c>
      <c r="C9412" s="43">
        <f>INDEX(DarlObj,20)</f>
      </c>
      <c r="D9412">
        <v>289</v>
      </c>
      <c r="E9412" s="51">
        <f>IF(INDEX(DarlBelegt,20)=0,0,EOMONTH(INDEX(DarlAuszahlung,20),288)+1)</f>
      </c>
      <c r="F9412" s="43">
        <f>IF($E9412=0,0,YEAR($E9412))</f>
      </c>
      <c r="G9412" s="43">
        <f>IF(INDEX(DarlBindung,20)="",1,IF($E9412&lt;=INDEX(DarlBindung,20),1,0))</f>
      </c>
      <c r="H9412" s="43">
        <f>IF($G9412=1,INDEX(DarlSollzins,20),INDEX(DarlAnschluss,20))</f>
      </c>
      <c r="I9412" s="43">
        <f>IF(INDEX(DarlBelegt,20)=0,0,IF(INDEX(DarlOhneTilgung,20)=1,IF(INDEX(DarlBindung,20)="",1,$G9412),IF($J9412&gt;0.005,1,0)))</f>
      </c>
      <c r="J9412" s="43">
        <f>IF($I9411=0,0,$R9411)</f>
      </c>
      <c r="K9412" s="43">
        <f>IF($I9412=0,0,IF(INDEX(DarlOhneTilgung,20)=1,0,IF(AND(INDEX(DarlTilgStart,20)&gt;0,$E9412=INDEX(DarlTilgStart,20)),$J9412*($H9412+INDEX(DarlTilgung,20))/100/12,IF(AND($G9412=0,$G9411=1),MAX($K9411,$J9412*($H9412+1)/100/12),$K9411))))</f>
      </c>
      <c r="L9412" s="43">
        <f>IF($I9412=0,0,$J9412*$H9412/100/12)</f>
      </c>
      <c r="M9412" s="43">
        <f>IF($I9412=0,0,IF(OR(INDEX(DarlOhneTilgung,20)=1,AND(INDEX(DarlTilgStart,20)&gt;0,$E9412&lt;INDEX(DarlTilgStart,20))),0,MIN(MAX(0,$K9412-$L9412),$J9412)))</f>
      </c>
      <c r="N9412" s="43">
        <f>IF($I9412=0,0,MIN(SUMIFS(SondBetrag,SondDarl,20,SondDatum,"&gt;="&amp;$E9412,SondDatum,"&lt;="&amp;EOMONTH($E9412,0)),$J9412-$M9412))</f>
      </c>
      <c r="O9412" s="43">
        <f>IF($I9412=0,0,INDEX(DarlErsatzRate,20))</f>
      </c>
      <c r="P9412" s="43">
        <f>IF($I9412=0,0,$Q9411*INDEX(DarlErsatzZins,20))</f>
      </c>
      <c r="Q9412" s="43">
        <f>IF($I9412=0,0,$Q9411+$P9412+$O9412)</f>
      </c>
      <c r="R9412" s="43">
        <f>IF($I9412=0,0,$J9412-$M9412-$N9412)</f>
      </c>
    </row>
    <row r="9413">
      <c r="A9413"/>
      <c r="B9413">
        <v>20</v>
      </c>
      <c r="C9413" s="43">
        <f>INDEX(DarlObj,20)</f>
      </c>
      <c r="D9413">
        <v>290</v>
      </c>
      <c r="E9413" s="51">
        <f>IF(INDEX(DarlBelegt,20)=0,0,EOMONTH(INDEX(DarlAuszahlung,20),289)+1)</f>
      </c>
      <c r="F9413" s="43">
        <f>IF($E9413=0,0,YEAR($E9413))</f>
      </c>
      <c r="G9413" s="43">
        <f>IF(INDEX(DarlBindung,20)="",1,IF($E9413&lt;=INDEX(DarlBindung,20),1,0))</f>
      </c>
      <c r="H9413" s="43">
        <f>IF($G9413=1,INDEX(DarlSollzins,20),INDEX(DarlAnschluss,20))</f>
      </c>
      <c r="I9413" s="43">
        <f>IF(INDEX(DarlBelegt,20)=0,0,IF(INDEX(DarlOhneTilgung,20)=1,IF(INDEX(DarlBindung,20)="",1,$G9413),IF($J9413&gt;0.005,1,0)))</f>
      </c>
      <c r="J9413" s="43">
        <f>IF($I9412=0,0,$R9412)</f>
      </c>
      <c r="K9413" s="43">
        <f>IF($I9413=0,0,IF(INDEX(DarlOhneTilgung,20)=1,0,IF(AND(INDEX(DarlTilgStart,20)&gt;0,$E9413=INDEX(DarlTilgStart,20)),$J9413*($H9413+INDEX(DarlTilgung,20))/100/12,IF(AND($G9413=0,$G9412=1),MAX($K9412,$J9413*($H9413+1)/100/12),$K9412))))</f>
      </c>
      <c r="L9413" s="43">
        <f>IF($I9413=0,0,$J9413*$H9413/100/12)</f>
      </c>
      <c r="M9413" s="43">
        <f>IF($I9413=0,0,IF(OR(INDEX(DarlOhneTilgung,20)=1,AND(INDEX(DarlTilgStart,20)&gt;0,$E9413&lt;INDEX(DarlTilgStart,20))),0,MIN(MAX(0,$K9413-$L9413),$J9413)))</f>
      </c>
      <c r="N9413" s="43">
        <f>IF($I9413=0,0,MIN(SUMIFS(SondBetrag,SondDarl,20,SondDatum,"&gt;="&amp;$E9413,SondDatum,"&lt;="&amp;EOMONTH($E9413,0)),$J9413-$M9413))</f>
      </c>
      <c r="O9413" s="43">
        <f>IF($I9413=0,0,INDEX(DarlErsatzRate,20))</f>
      </c>
      <c r="P9413" s="43">
        <f>IF($I9413=0,0,$Q9412*INDEX(DarlErsatzZins,20))</f>
      </c>
      <c r="Q9413" s="43">
        <f>IF($I9413=0,0,$Q9412+$P9413+$O9413)</f>
      </c>
      <c r="R9413" s="43">
        <f>IF($I9413=0,0,$J9413-$M9413-$N9413)</f>
      </c>
    </row>
    <row r="9414">
      <c r="A9414"/>
      <c r="B9414">
        <v>20</v>
      </c>
      <c r="C9414" s="43">
        <f>INDEX(DarlObj,20)</f>
      </c>
      <c r="D9414">
        <v>291</v>
      </c>
      <c r="E9414" s="51">
        <f>IF(INDEX(DarlBelegt,20)=0,0,EOMONTH(INDEX(DarlAuszahlung,20),290)+1)</f>
      </c>
      <c r="F9414" s="43">
        <f>IF($E9414=0,0,YEAR($E9414))</f>
      </c>
      <c r="G9414" s="43">
        <f>IF(INDEX(DarlBindung,20)="",1,IF($E9414&lt;=INDEX(DarlBindung,20),1,0))</f>
      </c>
      <c r="H9414" s="43">
        <f>IF($G9414=1,INDEX(DarlSollzins,20),INDEX(DarlAnschluss,20))</f>
      </c>
      <c r="I9414" s="43">
        <f>IF(INDEX(DarlBelegt,20)=0,0,IF(INDEX(DarlOhneTilgung,20)=1,IF(INDEX(DarlBindung,20)="",1,$G9414),IF($J9414&gt;0.005,1,0)))</f>
      </c>
      <c r="J9414" s="43">
        <f>IF($I9413=0,0,$R9413)</f>
      </c>
      <c r="K9414" s="43">
        <f>IF($I9414=0,0,IF(INDEX(DarlOhneTilgung,20)=1,0,IF(AND(INDEX(DarlTilgStart,20)&gt;0,$E9414=INDEX(DarlTilgStart,20)),$J9414*($H9414+INDEX(DarlTilgung,20))/100/12,IF(AND($G9414=0,$G9413=1),MAX($K9413,$J9414*($H9414+1)/100/12),$K9413))))</f>
      </c>
      <c r="L9414" s="43">
        <f>IF($I9414=0,0,$J9414*$H9414/100/12)</f>
      </c>
      <c r="M9414" s="43">
        <f>IF($I9414=0,0,IF(OR(INDEX(DarlOhneTilgung,20)=1,AND(INDEX(DarlTilgStart,20)&gt;0,$E9414&lt;INDEX(DarlTilgStart,20))),0,MIN(MAX(0,$K9414-$L9414),$J9414)))</f>
      </c>
      <c r="N9414" s="43">
        <f>IF($I9414=0,0,MIN(SUMIFS(SondBetrag,SondDarl,20,SondDatum,"&gt;="&amp;$E9414,SondDatum,"&lt;="&amp;EOMONTH($E9414,0)),$J9414-$M9414))</f>
      </c>
      <c r="O9414" s="43">
        <f>IF($I9414=0,0,INDEX(DarlErsatzRate,20))</f>
      </c>
      <c r="P9414" s="43">
        <f>IF($I9414=0,0,$Q9413*INDEX(DarlErsatzZins,20))</f>
      </c>
      <c r="Q9414" s="43">
        <f>IF($I9414=0,0,$Q9413+$P9414+$O9414)</f>
      </c>
      <c r="R9414" s="43">
        <f>IF($I9414=0,0,$J9414-$M9414-$N9414)</f>
      </c>
    </row>
    <row r="9415">
      <c r="A9415"/>
      <c r="B9415">
        <v>20</v>
      </c>
      <c r="C9415" s="43">
        <f>INDEX(DarlObj,20)</f>
      </c>
      <c r="D9415">
        <v>292</v>
      </c>
      <c r="E9415" s="51">
        <f>IF(INDEX(DarlBelegt,20)=0,0,EOMONTH(INDEX(DarlAuszahlung,20),291)+1)</f>
      </c>
      <c r="F9415" s="43">
        <f>IF($E9415=0,0,YEAR($E9415))</f>
      </c>
      <c r="G9415" s="43">
        <f>IF(INDEX(DarlBindung,20)="",1,IF($E9415&lt;=INDEX(DarlBindung,20),1,0))</f>
      </c>
      <c r="H9415" s="43">
        <f>IF($G9415=1,INDEX(DarlSollzins,20),INDEX(DarlAnschluss,20))</f>
      </c>
      <c r="I9415" s="43">
        <f>IF(INDEX(DarlBelegt,20)=0,0,IF(INDEX(DarlOhneTilgung,20)=1,IF(INDEX(DarlBindung,20)="",1,$G9415),IF($J9415&gt;0.005,1,0)))</f>
      </c>
      <c r="J9415" s="43">
        <f>IF($I9414=0,0,$R9414)</f>
      </c>
      <c r="K9415" s="43">
        <f>IF($I9415=0,0,IF(INDEX(DarlOhneTilgung,20)=1,0,IF(AND(INDEX(DarlTilgStart,20)&gt;0,$E9415=INDEX(DarlTilgStart,20)),$J9415*($H9415+INDEX(DarlTilgung,20))/100/12,IF(AND($G9415=0,$G9414=1),MAX($K9414,$J9415*($H9415+1)/100/12),$K9414))))</f>
      </c>
      <c r="L9415" s="43">
        <f>IF($I9415=0,0,$J9415*$H9415/100/12)</f>
      </c>
      <c r="M9415" s="43">
        <f>IF($I9415=0,0,IF(OR(INDEX(DarlOhneTilgung,20)=1,AND(INDEX(DarlTilgStart,20)&gt;0,$E9415&lt;INDEX(DarlTilgStart,20))),0,MIN(MAX(0,$K9415-$L9415),$J9415)))</f>
      </c>
      <c r="N9415" s="43">
        <f>IF($I9415=0,0,MIN(SUMIFS(SondBetrag,SondDarl,20,SondDatum,"&gt;="&amp;$E9415,SondDatum,"&lt;="&amp;EOMONTH($E9415,0)),$J9415-$M9415))</f>
      </c>
      <c r="O9415" s="43">
        <f>IF($I9415=0,0,INDEX(DarlErsatzRate,20))</f>
      </c>
      <c r="P9415" s="43">
        <f>IF($I9415=0,0,$Q9414*INDEX(DarlErsatzZins,20))</f>
      </c>
      <c r="Q9415" s="43">
        <f>IF($I9415=0,0,$Q9414+$P9415+$O9415)</f>
      </c>
      <c r="R9415" s="43">
        <f>IF($I9415=0,0,$J9415-$M9415-$N9415)</f>
      </c>
    </row>
    <row r="9416">
      <c r="A9416"/>
      <c r="B9416">
        <v>20</v>
      </c>
      <c r="C9416" s="43">
        <f>INDEX(DarlObj,20)</f>
      </c>
      <c r="D9416">
        <v>293</v>
      </c>
      <c r="E9416" s="51">
        <f>IF(INDEX(DarlBelegt,20)=0,0,EOMONTH(INDEX(DarlAuszahlung,20),292)+1)</f>
      </c>
      <c r="F9416" s="43">
        <f>IF($E9416=0,0,YEAR($E9416))</f>
      </c>
      <c r="G9416" s="43">
        <f>IF(INDEX(DarlBindung,20)="",1,IF($E9416&lt;=INDEX(DarlBindung,20),1,0))</f>
      </c>
      <c r="H9416" s="43">
        <f>IF($G9416=1,INDEX(DarlSollzins,20),INDEX(DarlAnschluss,20))</f>
      </c>
      <c r="I9416" s="43">
        <f>IF(INDEX(DarlBelegt,20)=0,0,IF(INDEX(DarlOhneTilgung,20)=1,IF(INDEX(DarlBindung,20)="",1,$G9416),IF($J9416&gt;0.005,1,0)))</f>
      </c>
      <c r="J9416" s="43">
        <f>IF($I9415=0,0,$R9415)</f>
      </c>
      <c r="K9416" s="43">
        <f>IF($I9416=0,0,IF(INDEX(DarlOhneTilgung,20)=1,0,IF(AND(INDEX(DarlTilgStart,20)&gt;0,$E9416=INDEX(DarlTilgStart,20)),$J9416*($H9416+INDEX(DarlTilgung,20))/100/12,IF(AND($G9416=0,$G9415=1),MAX($K9415,$J9416*($H9416+1)/100/12),$K9415))))</f>
      </c>
      <c r="L9416" s="43">
        <f>IF($I9416=0,0,$J9416*$H9416/100/12)</f>
      </c>
      <c r="M9416" s="43">
        <f>IF($I9416=0,0,IF(OR(INDEX(DarlOhneTilgung,20)=1,AND(INDEX(DarlTilgStart,20)&gt;0,$E9416&lt;INDEX(DarlTilgStart,20))),0,MIN(MAX(0,$K9416-$L9416),$J9416)))</f>
      </c>
      <c r="N9416" s="43">
        <f>IF($I9416=0,0,MIN(SUMIFS(SondBetrag,SondDarl,20,SondDatum,"&gt;="&amp;$E9416,SondDatum,"&lt;="&amp;EOMONTH($E9416,0)),$J9416-$M9416))</f>
      </c>
      <c r="O9416" s="43">
        <f>IF($I9416=0,0,INDEX(DarlErsatzRate,20))</f>
      </c>
      <c r="P9416" s="43">
        <f>IF($I9416=0,0,$Q9415*INDEX(DarlErsatzZins,20))</f>
      </c>
      <c r="Q9416" s="43">
        <f>IF($I9416=0,0,$Q9415+$P9416+$O9416)</f>
      </c>
      <c r="R9416" s="43">
        <f>IF($I9416=0,0,$J9416-$M9416-$N9416)</f>
      </c>
    </row>
    <row r="9417">
      <c r="A9417"/>
      <c r="B9417">
        <v>20</v>
      </c>
      <c r="C9417" s="43">
        <f>INDEX(DarlObj,20)</f>
      </c>
      <c r="D9417">
        <v>294</v>
      </c>
      <c r="E9417" s="51">
        <f>IF(INDEX(DarlBelegt,20)=0,0,EOMONTH(INDEX(DarlAuszahlung,20),293)+1)</f>
      </c>
      <c r="F9417" s="43">
        <f>IF($E9417=0,0,YEAR($E9417))</f>
      </c>
      <c r="G9417" s="43">
        <f>IF(INDEX(DarlBindung,20)="",1,IF($E9417&lt;=INDEX(DarlBindung,20),1,0))</f>
      </c>
      <c r="H9417" s="43">
        <f>IF($G9417=1,INDEX(DarlSollzins,20),INDEX(DarlAnschluss,20))</f>
      </c>
      <c r="I9417" s="43">
        <f>IF(INDEX(DarlBelegt,20)=0,0,IF(INDEX(DarlOhneTilgung,20)=1,IF(INDEX(DarlBindung,20)="",1,$G9417),IF($J9417&gt;0.005,1,0)))</f>
      </c>
      <c r="J9417" s="43">
        <f>IF($I9416=0,0,$R9416)</f>
      </c>
      <c r="K9417" s="43">
        <f>IF($I9417=0,0,IF(INDEX(DarlOhneTilgung,20)=1,0,IF(AND(INDEX(DarlTilgStart,20)&gt;0,$E9417=INDEX(DarlTilgStart,20)),$J9417*($H9417+INDEX(DarlTilgung,20))/100/12,IF(AND($G9417=0,$G9416=1),MAX($K9416,$J9417*($H9417+1)/100/12),$K9416))))</f>
      </c>
      <c r="L9417" s="43">
        <f>IF($I9417=0,0,$J9417*$H9417/100/12)</f>
      </c>
      <c r="M9417" s="43">
        <f>IF($I9417=0,0,IF(OR(INDEX(DarlOhneTilgung,20)=1,AND(INDEX(DarlTilgStart,20)&gt;0,$E9417&lt;INDEX(DarlTilgStart,20))),0,MIN(MAX(0,$K9417-$L9417),$J9417)))</f>
      </c>
      <c r="N9417" s="43">
        <f>IF($I9417=0,0,MIN(SUMIFS(SondBetrag,SondDarl,20,SondDatum,"&gt;="&amp;$E9417,SondDatum,"&lt;="&amp;EOMONTH($E9417,0)),$J9417-$M9417))</f>
      </c>
      <c r="O9417" s="43">
        <f>IF($I9417=0,0,INDEX(DarlErsatzRate,20))</f>
      </c>
      <c r="P9417" s="43">
        <f>IF($I9417=0,0,$Q9416*INDEX(DarlErsatzZins,20))</f>
      </c>
      <c r="Q9417" s="43">
        <f>IF($I9417=0,0,$Q9416+$P9417+$O9417)</f>
      </c>
      <c r="R9417" s="43">
        <f>IF($I9417=0,0,$J9417-$M9417-$N9417)</f>
      </c>
    </row>
    <row r="9418">
      <c r="A9418"/>
      <c r="B9418">
        <v>20</v>
      </c>
      <c r="C9418" s="43">
        <f>INDEX(DarlObj,20)</f>
      </c>
      <c r="D9418">
        <v>295</v>
      </c>
      <c r="E9418" s="51">
        <f>IF(INDEX(DarlBelegt,20)=0,0,EOMONTH(INDEX(DarlAuszahlung,20),294)+1)</f>
      </c>
      <c r="F9418" s="43">
        <f>IF($E9418=0,0,YEAR($E9418))</f>
      </c>
      <c r="G9418" s="43">
        <f>IF(INDEX(DarlBindung,20)="",1,IF($E9418&lt;=INDEX(DarlBindung,20),1,0))</f>
      </c>
      <c r="H9418" s="43">
        <f>IF($G9418=1,INDEX(DarlSollzins,20),INDEX(DarlAnschluss,20))</f>
      </c>
      <c r="I9418" s="43">
        <f>IF(INDEX(DarlBelegt,20)=0,0,IF(INDEX(DarlOhneTilgung,20)=1,IF(INDEX(DarlBindung,20)="",1,$G9418),IF($J9418&gt;0.005,1,0)))</f>
      </c>
      <c r="J9418" s="43">
        <f>IF($I9417=0,0,$R9417)</f>
      </c>
      <c r="K9418" s="43">
        <f>IF($I9418=0,0,IF(INDEX(DarlOhneTilgung,20)=1,0,IF(AND(INDEX(DarlTilgStart,20)&gt;0,$E9418=INDEX(DarlTilgStart,20)),$J9418*($H9418+INDEX(DarlTilgung,20))/100/12,IF(AND($G9418=0,$G9417=1),MAX($K9417,$J9418*($H9418+1)/100/12),$K9417))))</f>
      </c>
      <c r="L9418" s="43">
        <f>IF($I9418=0,0,$J9418*$H9418/100/12)</f>
      </c>
      <c r="M9418" s="43">
        <f>IF($I9418=0,0,IF(OR(INDEX(DarlOhneTilgung,20)=1,AND(INDEX(DarlTilgStart,20)&gt;0,$E9418&lt;INDEX(DarlTilgStart,20))),0,MIN(MAX(0,$K9418-$L9418),$J9418)))</f>
      </c>
      <c r="N9418" s="43">
        <f>IF($I9418=0,0,MIN(SUMIFS(SondBetrag,SondDarl,20,SondDatum,"&gt;="&amp;$E9418,SondDatum,"&lt;="&amp;EOMONTH($E9418,0)),$J9418-$M9418))</f>
      </c>
      <c r="O9418" s="43">
        <f>IF($I9418=0,0,INDEX(DarlErsatzRate,20))</f>
      </c>
      <c r="P9418" s="43">
        <f>IF($I9418=0,0,$Q9417*INDEX(DarlErsatzZins,20))</f>
      </c>
      <c r="Q9418" s="43">
        <f>IF($I9418=0,0,$Q9417+$P9418+$O9418)</f>
      </c>
      <c r="R9418" s="43">
        <f>IF($I9418=0,0,$J9418-$M9418-$N9418)</f>
      </c>
    </row>
    <row r="9419">
      <c r="A9419"/>
      <c r="B9419">
        <v>20</v>
      </c>
      <c r="C9419" s="43">
        <f>INDEX(DarlObj,20)</f>
      </c>
      <c r="D9419">
        <v>296</v>
      </c>
      <c r="E9419" s="51">
        <f>IF(INDEX(DarlBelegt,20)=0,0,EOMONTH(INDEX(DarlAuszahlung,20),295)+1)</f>
      </c>
      <c r="F9419" s="43">
        <f>IF($E9419=0,0,YEAR($E9419))</f>
      </c>
      <c r="G9419" s="43">
        <f>IF(INDEX(DarlBindung,20)="",1,IF($E9419&lt;=INDEX(DarlBindung,20),1,0))</f>
      </c>
      <c r="H9419" s="43">
        <f>IF($G9419=1,INDEX(DarlSollzins,20),INDEX(DarlAnschluss,20))</f>
      </c>
      <c r="I9419" s="43">
        <f>IF(INDEX(DarlBelegt,20)=0,0,IF(INDEX(DarlOhneTilgung,20)=1,IF(INDEX(DarlBindung,20)="",1,$G9419),IF($J9419&gt;0.005,1,0)))</f>
      </c>
      <c r="J9419" s="43">
        <f>IF($I9418=0,0,$R9418)</f>
      </c>
      <c r="K9419" s="43">
        <f>IF($I9419=0,0,IF(INDEX(DarlOhneTilgung,20)=1,0,IF(AND(INDEX(DarlTilgStart,20)&gt;0,$E9419=INDEX(DarlTilgStart,20)),$J9419*($H9419+INDEX(DarlTilgung,20))/100/12,IF(AND($G9419=0,$G9418=1),MAX($K9418,$J9419*($H9419+1)/100/12),$K9418))))</f>
      </c>
      <c r="L9419" s="43">
        <f>IF($I9419=0,0,$J9419*$H9419/100/12)</f>
      </c>
      <c r="M9419" s="43">
        <f>IF($I9419=0,0,IF(OR(INDEX(DarlOhneTilgung,20)=1,AND(INDEX(DarlTilgStart,20)&gt;0,$E9419&lt;INDEX(DarlTilgStart,20))),0,MIN(MAX(0,$K9419-$L9419),$J9419)))</f>
      </c>
      <c r="N9419" s="43">
        <f>IF($I9419=0,0,MIN(SUMIFS(SondBetrag,SondDarl,20,SondDatum,"&gt;="&amp;$E9419,SondDatum,"&lt;="&amp;EOMONTH($E9419,0)),$J9419-$M9419))</f>
      </c>
      <c r="O9419" s="43">
        <f>IF($I9419=0,0,INDEX(DarlErsatzRate,20))</f>
      </c>
      <c r="P9419" s="43">
        <f>IF($I9419=0,0,$Q9418*INDEX(DarlErsatzZins,20))</f>
      </c>
      <c r="Q9419" s="43">
        <f>IF($I9419=0,0,$Q9418+$P9419+$O9419)</f>
      </c>
      <c r="R9419" s="43">
        <f>IF($I9419=0,0,$J9419-$M9419-$N9419)</f>
      </c>
    </row>
    <row r="9420">
      <c r="A9420"/>
      <c r="B9420">
        <v>20</v>
      </c>
      <c r="C9420" s="43">
        <f>INDEX(DarlObj,20)</f>
      </c>
      <c r="D9420">
        <v>297</v>
      </c>
      <c r="E9420" s="51">
        <f>IF(INDEX(DarlBelegt,20)=0,0,EOMONTH(INDEX(DarlAuszahlung,20),296)+1)</f>
      </c>
      <c r="F9420" s="43">
        <f>IF($E9420=0,0,YEAR($E9420))</f>
      </c>
      <c r="G9420" s="43">
        <f>IF(INDEX(DarlBindung,20)="",1,IF($E9420&lt;=INDEX(DarlBindung,20),1,0))</f>
      </c>
      <c r="H9420" s="43">
        <f>IF($G9420=1,INDEX(DarlSollzins,20),INDEX(DarlAnschluss,20))</f>
      </c>
      <c r="I9420" s="43">
        <f>IF(INDEX(DarlBelegt,20)=0,0,IF(INDEX(DarlOhneTilgung,20)=1,IF(INDEX(DarlBindung,20)="",1,$G9420),IF($J9420&gt;0.005,1,0)))</f>
      </c>
      <c r="J9420" s="43">
        <f>IF($I9419=0,0,$R9419)</f>
      </c>
      <c r="K9420" s="43">
        <f>IF($I9420=0,0,IF(INDEX(DarlOhneTilgung,20)=1,0,IF(AND(INDEX(DarlTilgStart,20)&gt;0,$E9420=INDEX(DarlTilgStart,20)),$J9420*($H9420+INDEX(DarlTilgung,20))/100/12,IF(AND($G9420=0,$G9419=1),MAX($K9419,$J9420*($H9420+1)/100/12),$K9419))))</f>
      </c>
      <c r="L9420" s="43">
        <f>IF($I9420=0,0,$J9420*$H9420/100/12)</f>
      </c>
      <c r="M9420" s="43">
        <f>IF($I9420=0,0,IF(OR(INDEX(DarlOhneTilgung,20)=1,AND(INDEX(DarlTilgStart,20)&gt;0,$E9420&lt;INDEX(DarlTilgStart,20))),0,MIN(MAX(0,$K9420-$L9420),$J9420)))</f>
      </c>
      <c r="N9420" s="43">
        <f>IF($I9420=0,0,MIN(SUMIFS(SondBetrag,SondDarl,20,SondDatum,"&gt;="&amp;$E9420,SondDatum,"&lt;="&amp;EOMONTH($E9420,0)),$J9420-$M9420))</f>
      </c>
      <c r="O9420" s="43">
        <f>IF($I9420=0,0,INDEX(DarlErsatzRate,20))</f>
      </c>
      <c r="P9420" s="43">
        <f>IF($I9420=0,0,$Q9419*INDEX(DarlErsatzZins,20))</f>
      </c>
      <c r="Q9420" s="43">
        <f>IF($I9420=0,0,$Q9419+$P9420+$O9420)</f>
      </c>
      <c r="R9420" s="43">
        <f>IF($I9420=0,0,$J9420-$M9420-$N9420)</f>
      </c>
    </row>
    <row r="9421">
      <c r="A9421"/>
      <c r="B9421">
        <v>20</v>
      </c>
      <c r="C9421" s="43">
        <f>INDEX(DarlObj,20)</f>
      </c>
      <c r="D9421">
        <v>298</v>
      </c>
      <c r="E9421" s="51">
        <f>IF(INDEX(DarlBelegt,20)=0,0,EOMONTH(INDEX(DarlAuszahlung,20),297)+1)</f>
      </c>
      <c r="F9421" s="43">
        <f>IF($E9421=0,0,YEAR($E9421))</f>
      </c>
      <c r="G9421" s="43">
        <f>IF(INDEX(DarlBindung,20)="",1,IF($E9421&lt;=INDEX(DarlBindung,20),1,0))</f>
      </c>
      <c r="H9421" s="43">
        <f>IF($G9421=1,INDEX(DarlSollzins,20),INDEX(DarlAnschluss,20))</f>
      </c>
      <c r="I9421" s="43">
        <f>IF(INDEX(DarlBelegt,20)=0,0,IF(INDEX(DarlOhneTilgung,20)=1,IF(INDEX(DarlBindung,20)="",1,$G9421),IF($J9421&gt;0.005,1,0)))</f>
      </c>
      <c r="J9421" s="43">
        <f>IF($I9420=0,0,$R9420)</f>
      </c>
      <c r="K9421" s="43">
        <f>IF($I9421=0,0,IF(INDEX(DarlOhneTilgung,20)=1,0,IF(AND(INDEX(DarlTilgStart,20)&gt;0,$E9421=INDEX(DarlTilgStart,20)),$J9421*($H9421+INDEX(DarlTilgung,20))/100/12,IF(AND($G9421=0,$G9420=1),MAX($K9420,$J9421*($H9421+1)/100/12),$K9420))))</f>
      </c>
      <c r="L9421" s="43">
        <f>IF($I9421=0,0,$J9421*$H9421/100/12)</f>
      </c>
      <c r="M9421" s="43">
        <f>IF($I9421=0,0,IF(OR(INDEX(DarlOhneTilgung,20)=1,AND(INDEX(DarlTilgStart,20)&gt;0,$E9421&lt;INDEX(DarlTilgStart,20))),0,MIN(MAX(0,$K9421-$L9421),$J9421)))</f>
      </c>
      <c r="N9421" s="43">
        <f>IF($I9421=0,0,MIN(SUMIFS(SondBetrag,SondDarl,20,SondDatum,"&gt;="&amp;$E9421,SondDatum,"&lt;="&amp;EOMONTH($E9421,0)),$J9421-$M9421))</f>
      </c>
      <c r="O9421" s="43">
        <f>IF($I9421=0,0,INDEX(DarlErsatzRate,20))</f>
      </c>
      <c r="P9421" s="43">
        <f>IF($I9421=0,0,$Q9420*INDEX(DarlErsatzZins,20))</f>
      </c>
      <c r="Q9421" s="43">
        <f>IF($I9421=0,0,$Q9420+$P9421+$O9421)</f>
      </c>
      <c r="R9421" s="43">
        <f>IF($I9421=0,0,$J9421-$M9421-$N9421)</f>
      </c>
    </row>
    <row r="9422">
      <c r="A9422"/>
      <c r="B9422">
        <v>20</v>
      </c>
      <c r="C9422" s="43">
        <f>INDEX(DarlObj,20)</f>
      </c>
      <c r="D9422">
        <v>299</v>
      </c>
      <c r="E9422" s="51">
        <f>IF(INDEX(DarlBelegt,20)=0,0,EOMONTH(INDEX(DarlAuszahlung,20),298)+1)</f>
      </c>
      <c r="F9422" s="43">
        <f>IF($E9422=0,0,YEAR($E9422))</f>
      </c>
      <c r="G9422" s="43">
        <f>IF(INDEX(DarlBindung,20)="",1,IF($E9422&lt;=INDEX(DarlBindung,20),1,0))</f>
      </c>
      <c r="H9422" s="43">
        <f>IF($G9422=1,INDEX(DarlSollzins,20),INDEX(DarlAnschluss,20))</f>
      </c>
      <c r="I9422" s="43">
        <f>IF(INDEX(DarlBelegt,20)=0,0,IF(INDEX(DarlOhneTilgung,20)=1,IF(INDEX(DarlBindung,20)="",1,$G9422),IF($J9422&gt;0.005,1,0)))</f>
      </c>
      <c r="J9422" s="43">
        <f>IF($I9421=0,0,$R9421)</f>
      </c>
      <c r="K9422" s="43">
        <f>IF($I9422=0,0,IF(INDEX(DarlOhneTilgung,20)=1,0,IF(AND(INDEX(DarlTilgStart,20)&gt;0,$E9422=INDEX(DarlTilgStart,20)),$J9422*($H9422+INDEX(DarlTilgung,20))/100/12,IF(AND($G9422=0,$G9421=1),MAX($K9421,$J9422*($H9422+1)/100/12),$K9421))))</f>
      </c>
      <c r="L9422" s="43">
        <f>IF($I9422=0,0,$J9422*$H9422/100/12)</f>
      </c>
      <c r="M9422" s="43">
        <f>IF($I9422=0,0,IF(OR(INDEX(DarlOhneTilgung,20)=1,AND(INDEX(DarlTilgStart,20)&gt;0,$E9422&lt;INDEX(DarlTilgStart,20))),0,MIN(MAX(0,$K9422-$L9422),$J9422)))</f>
      </c>
      <c r="N9422" s="43">
        <f>IF($I9422=0,0,MIN(SUMIFS(SondBetrag,SondDarl,20,SondDatum,"&gt;="&amp;$E9422,SondDatum,"&lt;="&amp;EOMONTH($E9422,0)),$J9422-$M9422))</f>
      </c>
      <c r="O9422" s="43">
        <f>IF($I9422=0,0,INDEX(DarlErsatzRate,20))</f>
      </c>
      <c r="P9422" s="43">
        <f>IF($I9422=0,0,$Q9421*INDEX(DarlErsatzZins,20))</f>
      </c>
      <c r="Q9422" s="43">
        <f>IF($I9422=0,0,$Q9421+$P9422+$O9422)</f>
      </c>
      <c r="R9422" s="43">
        <f>IF($I9422=0,0,$J9422-$M9422-$N9422)</f>
      </c>
    </row>
    <row r="9423">
      <c r="A9423"/>
      <c r="B9423">
        <v>20</v>
      </c>
      <c r="C9423" s="43">
        <f>INDEX(DarlObj,20)</f>
      </c>
      <c r="D9423">
        <v>300</v>
      </c>
      <c r="E9423" s="51">
        <f>IF(INDEX(DarlBelegt,20)=0,0,EOMONTH(INDEX(DarlAuszahlung,20),299)+1)</f>
      </c>
      <c r="F9423" s="43">
        <f>IF($E9423=0,0,YEAR($E9423))</f>
      </c>
      <c r="G9423" s="43">
        <f>IF(INDEX(DarlBindung,20)="",1,IF($E9423&lt;=INDEX(DarlBindung,20),1,0))</f>
      </c>
      <c r="H9423" s="43">
        <f>IF($G9423=1,INDEX(DarlSollzins,20),INDEX(DarlAnschluss,20))</f>
      </c>
      <c r="I9423" s="43">
        <f>IF(INDEX(DarlBelegt,20)=0,0,IF(INDEX(DarlOhneTilgung,20)=1,IF(INDEX(DarlBindung,20)="",1,$G9423),IF($J9423&gt;0.005,1,0)))</f>
      </c>
      <c r="J9423" s="43">
        <f>IF($I9422=0,0,$R9422)</f>
      </c>
      <c r="K9423" s="43">
        <f>IF($I9423=0,0,IF(INDEX(DarlOhneTilgung,20)=1,0,IF(AND(INDEX(DarlTilgStart,20)&gt;0,$E9423=INDEX(DarlTilgStart,20)),$J9423*($H9423+INDEX(DarlTilgung,20))/100/12,IF(AND($G9423=0,$G9422=1),MAX($K9422,$J9423*($H9423+1)/100/12),$K9422))))</f>
      </c>
      <c r="L9423" s="43">
        <f>IF($I9423=0,0,$J9423*$H9423/100/12)</f>
      </c>
      <c r="M9423" s="43">
        <f>IF($I9423=0,0,IF(OR(INDEX(DarlOhneTilgung,20)=1,AND(INDEX(DarlTilgStart,20)&gt;0,$E9423&lt;INDEX(DarlTilgStart,20))),0,MIN(MAX(0,$K9423-$L9423),$J9423)))</f>
      </c>
      <c r="N9423" s="43">
        <f>IF($I9423=0,0,MIN(SUMIFS(SondBetrag,SondDarl,20,SondDatum,"&gt;="&amp;$E9423,SondDatum,"&lt;="&amp;EOMONTH($E9423,0)),$J9423-$M9423))</f>
      </c>
      <c r="O9423" s="43">
        <f>IF($I9423=0,0,INDEX(DarlErsatzRate,20))</f>
      </c>
      <c r="P9423" s="43">
        <f>IF($I9423=0,0,$Q9422*INDEX(DarlErsatzZins,20))</f>
      </c>
      <c r="Q9423" s="43">
        <f>IF($I9423=0,0,$Q9422+$P9423+$O9423)</f>
      </c>
      <c r="R9423" s="43">
        <f>IF($I9423=0,0,$J9423-$M9423-$N9423)</f>
      </c>
    </row>
    <row r="9424">
      <c r="A9424"/>
      <c r="B9424">
        <v>20</v>
      </c>
      <c r="C9424" s="43">
        <f>INDEX(DarlObj,20)</f>
      </c>
      <c r="D9424">
        <v>301</v>
      </c>
      <c r="E9424" s="51">
        <f>IF(INDEX(DarlBelegt,20)=0,0,EOMONTH(INDEX(DarlAuszahlung,20),300)+1)</f>
      </c>
      <c r="F9424" s="43">
        <f>IF($E9424=0,0,YEAR($E9424))</f>
      </c>
      <c r="G9424" s="43">
        <f>IF(INDEX(DarlBindung,20)="",1,IF($E9424&lt;=INDEX(DarlBindung,20),1,0))</f>
      </c>
      <c r="H9424" s="43">
        <f>IF($G9424=1,INDEX(DarlSollzins,20),INDEX(DarlAnschluss,20))</f>
      </c>
      <c r="I9424" s="43">
        <f>IF(INDEX(DarlBelegt,20)=0,0,IF(INDEX(DarlOhneTilgung,20)=1,IF(INDEX(DarlBindung,20)="",1,$G9424),IF($J9424&gt;0.005,1,0)))</f>
      </c>
      <c r="J9424" s="43">
        <f>IF($I9423=0,0,$R9423)</f>
      </c>
      <c r="K9424" s="43">
        <f>IF($I9424=0,0,IF(INDEX(DarlOhneTilgung,20)=1,0,IF(AND(INDEX(DarlTilgStart,20)&gt;0,$E9424=INDEX(DarlTilgStart,20)),$J9424*($H9424+INDEX(DarlTilgung,20))/100/12,IF(AND($G9424=0,$G9423=1),MAX($K9423,$J9424*($H9424+1)/100/12),$K9423))))</f>
      </c>
      <c r="L9424" s="43">
        <f>IF($I9424=0,0,$J9424*$H9424/100/12)</f>
      </c>
      <c r="M9424" s="43">
        <f>IF($I9424=0,0,IF(OR(INDEX(DarlOhneTilgung,20)=1,AND(INDEX(DarlTilgStart,20)&gt;0,$E9424&lt;INDEX(DarlTilgStart,20))),0,MIN(MAX(0,$K9424-$L9424),$J9424)))</f>
      </c>
      <c r="N9424" s="43">
        <f>IF($I9424=0,0,MIN(SUMIFS(SondBetrag,SondDarl,20,SondDatum,"&gt;="&amp;$E9424,SondDatum,"&lt;="&amp;EOMONTH($E9424,0)),$J9424-$M9424))</f>
      </c>
      <c r="O9424" s="43">
        <f>IF($I9424=0,0,INDEX(DarlErsatzRate,20))</f>
      </c>
      <c r="P9424" s="43">
        <f>IF($I9424=0,0,$Q9423*INDEX(DarlErsatzZins,20))</f>
      </c>
      <c r="Q9424" s="43">
        <f>IF($I9424=0,0,$Q9423+$P9424+$O9424)</f>
      </c>
      <c r="R9424" s="43">
        <f>IF($I9424=0,0,$J9424-$M9424-$N9424)</f>
      </c>
    </row>
    <row r="9425">
      <c r="A9425"/>
      <c r="B9425">
        <v>20</v>
      </c>
      <c r="C9425" s="43">
        <f>INDEX(DarlObj,20)</f>
      </c>
      <c r="D9425">
        <v>302</v>
      </c>
      <c r="E9425" s="51">
        <f>IF(INDEX(DarlBelegt,20)=0,0,EOMONTH(INDEX(DarlAuszahlung,20),301)+1)</f>
      </c>
      <c r="F9425" s="43">
        <f>IF($E9425=0,0,YEAR($E9425))</f>
      </c>
      <c r="G9425" s="43">
        <f>IF(INDEX(DarlBindung,20)="",1,IF($E9425&lt;=INDEX(DarlBindung,20),1,0))</f>
      </c>
      <c r="H9425" s="43">
        <f>IF($G9425=1,INDEX(DarlSollzins,20),INDEX(DarlAnschluss,20))</f>
      </c>
      <c r="I9425" s="43">
        <f>IF(INDEX(DarlBelegt,20)=0,0,IF(INDEX(DarlOhneTilgung,20)=1,IF(INDEX(DarlBindung,20)="",1,$G9425),IF($J9425&gt;0.005,1,0)))</f>
      </c>
      <c r="J9425" s="43">
        <f>IF($I9424=0,0,$R9424)</f>
      </c>
      <c r="K9425" s="43">
        <f>IF($I9425=0,0,IF(INDEX(DarlOhneTilgung,20)=1,0,IF(AND(INDEX(DarlTilgStart,20)&gt;0,$E9425=INDEX(DarlTilgStart,20)),$J9425*($H9425+INDEX(DarlTilgung,20))/100/12,IF(AND($G9425=0,$G9424=1),MAX($K9424,$J9425*($H9425+1)/100/12),$K9424))))</f>
      </c>
      <c r="L9425" s="43">
        <f>IF($I9425=0,0,$J9425*$H9425/100/12)</f>
      </c>
      <c r="M9425" s="43">
        <f>IF($I9425=0,0,IF(OR(INDEX(DarlOhneTilgung,20)=1,AND(INDEX(DarlTilgStart,20)&gt;0,$E9425&lt;INDEX(DarlTilgStart,20))),0,MIN(MAX(0,$K9425-$L9425),$J9425)))</f>
      </c>
      <c r="N9425" s="43">
        <f>IF($I9425=0,0,MIN(SUMIFS(SondBetrag,SondDarl,20,SondDatum,"&gt;="&amp;$E9425,SondDatum,"&lt;="&amp;EOMONTH($E9425,0)),$J9425-$M9425))</f>
      </c>
      <c r="O9425" s="43">
        <f>IF($I9425=0,0,INDEX(DarlErsatzRate,20))</f>
      </c>
      <c r="P9425" s="43">
        <f>IF($I9425=0,0,$Q9424*INDEX(DarlErsatzZins,20))</f>
      </c>
      <c r="Q9425" s="43">
        <f>IF($I9425=0,0,$Q9424+$P9425+$O9425)</f>
      </c>
      <c r="R9425" s="43">
        <f>IF($I9425=0,0,$J9425-$M9425-$N9425)</f>
      </c>
    </row>
    <row r="9426">
      <c r="A9426"/>
      <c r="B9426">
        <v>20</v>
      </c>
      <c r="C9426" s="43">
        <f>INDEX(DarlObj,20)</f>
      </c>
      <c r="D9426">
        <v>303</v>
      </c>
      <c r="E9426" s="51">
        <f>IF(INDEX(DarlBelegt,20)=0,0,EOMONTH(INDEX(DarlAuszahlung,20),302)+1)</f>
      </c>
      <c r="F9426" s="43">
        <f>IF($E9426=0,0,YEAR($E9426))</f>
      </c>
      <c r="G9426" s="43">
        <f>IF(INDEX(DarlBindung,20)="",1,IF($E9426&lt;=INDEX(DarlBindung,20),1,0))</f>
      </c>
      <c r="H9426" s="43">
        <f>IF($G9426=1,INDEX(DarlSollzins,20),INDEX(DarlAnschluss,20))</f>
      </c>
      <c r="I9426" s="43">
        <f>IF(INDEX(DarlBelegt,20)=0,0,IF(INDEX(DarlOhneTilgung,20)=1,IF(INDEX(DarlBindung,20)="",1,$G9426),IF($J9426&gt;0.005,1,0)))</f>
      </c>
      <c r="J9426" s="43">
        <f>IF($I9425=0,0,$R9425)</f>
      </c>
      <c r="K9426" s="43">
        <f>IF($I9426=0,0,IF(INDEX(DarlOhneTilgung,20)=1,0,IF(AND(INDEX(DarlTilgStart,20)&gt;0,$E9426=INDEX(DarlTilgStart,20)),$J9426*($H9426+INDEX(DarlTilgung,20))/100/12,IF(AND($G9426=0,$G9425=1),MAX($K9425,$J9426*($H9426+1)/100/12),$K9425))))</f>
      </c>
      <c r="L9426" s="43">
        <f>IF($I9426=0,0,$J9426*$H9426/100/12)</f>
      </c>
      <c r="M9426" s="43">
        <f>IF($I9426=0,0,IF(OR(INDEX(DarlOhneTilgung,20)=1,AND(INDEX(DarlTilgStart,20)&gt;0,$E9426&lt;INDEX(DarlTilgStart,20))),0,MIN(MAX(0,$K9426-$L9426),$J9426)))</f>
      </c>
      <c r="N9426" s="43">
        <f>IF($I9426=0,0,MIN(SUMIFS(SondBetrag,SondDarl,20,SondDatum,"&gt;="&amp;$E9426,SondDatum,"&lt;="&amp;EOMONTH($E9426,0)),$J9426-$M9426))</f>
      </c>
      <c r="O9426" s="43">
        <f>IF($I9426=0,0,INDEX(DarlErsatzRate,20))</f>
      </c>
      <c r="P9426" s="43">
        <f>IF($I9426=0,0,$Q9425*INDEX(DarlErsatzZins,20))</f>
      </c>
      <c r="Q9426" s="43">
        <f>IF($I9426=0,0,$Q9425+$P9426+$O9426)</f>
      </c>
      <c r="R9426" s="43">
        <f>IF($I9426=0,0,$J9426-$M9426-$N9426)</f>
      </c>
    </row>
    <row r="9427">
      <c r="A9427"/>
      <c r="B9427">
        <v>20</v>
      </c>
      <c r="C9427" s="43">
        <f>INDEX(DarlObj,20)</f>
      </c>
      <c r="D9427">
        <v>304</v>
      </c>
      <c r="E9427" s="51">
        <f>IF(INDEX(DarlBelegt,20)=0,0,EOMONTH(INDEX(DarlAuszahlung,20),303)+1)</f>
      </c>
      <c r="F9427" s="43">
        <f>IF($E9427=0,0,YEAR($E9427))</f>
      </c>
      <c r="G9427" s="43">
        <f>IF(INDEX(DarlBindung,20)="",1,IF($E9427&lt;=INDEX(DarlBindung,20),1,0))</f>
      </c>
      <c r="H9427" s="43">
        <f>IF($G9427=1,INDEX(DarlSollzins,20),INDEX(DarlAnschluss,20))</f>
      </c>
      <c r="I9427" s="43">
        <f>IF(INDEX(DarlBelegt,20)=0,0,IF(INDEX(DarlOhneTilgung,20)=1,IF(INDEX(DarlBindung,20)="",1,$G9427),IF($J9427&gt;0.005,1,0)))</f>
      </c>
      <c r="J9427" s="43">
        <f>IF($I9426=0,0,$R9426)</f>
      </c>
      <c r="K9427" s="43">
        <f>IF($I9427=0,0,IF(INDEX(DarlOhneTilgung,20)=1,0,IF(AND(INDEX(DarlTilgStart,20)&gt;0,$E9427=INDEX(DarlTilgStart,20)),$J9427*($H9427+INDEX(DarlTilgung,20))/100/12,IF(AND($G9427=0,$G9426=1),MAX($K9426,$J9427*($H9427+1)/100/12),$K9426))))</f>
      </c>
      <c r="L9427" s="43">
        <f>IF($I9427=0,0,$J9427*$H9427/100/12)</f>
      </c>
      <c r="M9427" s="43">
        <f>IF($I9427=0,0,IF(OR(INDEX(DarlOhneTilgung,20)=1,AND(INDEX(DarlTilgStart,20)&gt;0,$E9427&lt;INDEX(DarlTilgStart,20))),0,MIN(MAX(0,$K9427-$L9427),$J9427)))</f>
      </c>
      <c r="N9427" s="43">
        <f>IF($I9427=0,0,MIN(SUMIFS(SondBetrag,SondDarl,20,SondDatum,"&gt;="&amp;$E9427,SondDatum,"&lt;="&amp;EOMONTH($E9427,0)),$J9427-$M9427))</f>
      </c>
      <c r="O9427" s="43">
        <f>IF($I9427=0,0,INDEX(DarlErsatzRate,20))</f>
      </c>
      <c r="P9427" s="43">
        <f>IF($I9427=0,0,$Q9426*INDEX(DarlErsatzZins,20))</f>
      </c>
      <c r="Q9427" s="43">
        <f>IF($I9427=0,0,$Q9426+$P9427+$O9427)</f>
      </c>
      <c r="R9427" s="43">
        <f>IF($I9427=0,0,$J9427-$M9427-$N9427)</f>
      </c>
    </row>
    <row r="9428">
      <c r="A9428"/>
      <c r="B9428">
        <v>20</v>
      </c>
      <c r="C9428" s="43">
        <f>INDEX(DarlObj,20)</f>
      </c>
      <c r="D9428">
        <v>305</v>
      </c>
      <c r="E9428" s="51">
        <f>IF(INDEX(DarlBelegt,20)=0,0,EOMONTH(INDEX(DarlAuszahlung,20),304)+1)</f>
      </c>
      <c r="F9428" s="43">
        <f>IF($E9428=0,0,YEAR($E9428))</f>
      </c>
      <c r="G9428" s="43">
        <f>IF(INDEX(DarlBindung,20)="",1,IF($E9428&lt;=INDEX(DarlBindung,20),1,0))</f>
      </c>
      <c r="H9428" s="43">
        <f>IF($G9428=1,INDEX(DarlSollzins,20),INDEX(DarlAnschluss,20))</f>
      </c>
      <c r="I9428" s="43">
        <f>IF(INDEX(DarlBelegt,20)=0,0,IF(INDEX(DarlOhneTilgung,20)=1,IF(INDEX(DarlBindung,20)="",1,$G9428),IF($J9428&gt;0.005,1,0)))</f>
      </c>
      <c r="J9428" s="43">
        <f>IF($I9427=0,0,$R9427)</f>
      </c>
      <c r="K9428" s="43">
        <f>IF($I9428=0,0,IF(INDEX(DarlOhneTilgung,20)=1,0,IF(AND(INDEX(DarlTilgStart,20)&gt;0,$E9428=INDEX(DarlTilgStart,20)),$J9428*($H9428+INDEX(DarlTilgung,20))/100/12,IF(AND($G9428=0,$G9427=1),MAX($K9427,$J9428*($H9428+1)/100/12),$K9427))))</f>
      </c>
      <c r="L9428" s="43">
        <f>IF($I9428=0,0,$J9428*$H9428/100/12)</f>
      </c>
      <c r="M9428" s="43">
        <f>IF($I9428=0,0,IF(OR(INDEX(DarlOhneTilgung,20)=1,AND(INDEX(DarlTilgStart,20)&gt;0,$E9428&lt;INDEX(DarlTilgStart,20))),0,MIN(MAX(0,$K9428-$L9428),$J9428)))</f>
      </c>
      <c r="N9428" s="43">
        <f>IF($I9428=0,0,MIN(SUMIFS(SondBetrag,SondDarl,20,SondDatum,"&gt;="&amp;$E9428,SondDatum,"&lt;="&amp;EOMONTH($E9428,0)),$J9428-$M9428))</f>
      </c>
      <c r="O9428" s="43">
        <f>IF($I9428=0,0,INDEX(DarlErsatzRate,20))</f>
      </c>
      <c r="P9428" s="43">
        <f>IF($I9428=0,0,$Q9427*INDEX(DarlErsatzZins,20))</f>
      </c>
      <c r="Q9428" s="43">
        <f>IF($I9428=0,0,$Q9427+$P9428+$O9428)</f>
      </c>
      <c r="R9428" s="43">
        <f>IF($I9428=0,0,$J9428-$M9428-$N9428)</f>
      </c>
    </row>
    <row r="9429">
      <c r="A9429"/>
      <c r="B9429">
        <v>20</v>
      </c>
      <c r="C9429" s="43">
        <f>INDEX(DarlObj,20)</f>
      </c>
      <c r="D9429">
        <v>306</v>
      </c>
      <c r="E9429" s="51">
        <f>IF(INDEX(DarlBelegt,20)=0,0,EOMONTH(INDEX(DarlAuszahlung,20),305)+1)</f>
      </c>
      <c r="F9429" s="43">
        <f>IF($E9429=0,0,YEAR($E9429))</f>
      </c>
      <c r="G9429" s="43">
        <f>IF(INDEX(DarlBindung,20)="",1,IF($E9429&lt;=INDEX(DarlBindung,20),1,0))</f>
      </c>
      <c r="H9429" s="43">
        <f>IF($G9429=1,INDEX(DarlSollzins,20),INDEX(DarlAnschluss,20))</f>
      </c>
      <c r="I9429" s="43">
        <f>IF(INDEX(DarlBelegt,20)=0,0,IF(INDEX(DarlOhneTilgung,20)=1,IF(INDEX(DarlBindung,20)="",1,$G9429),IF($J9429&gt;0.005,1,0)))</f>
      </c>
      <c r="J9429" s="43">
        <f>IF($I9428=0,0,$R9428)</f>
      </c>
      <c r="K9429" s="43">
        <f>IF($I9429=0,0,IF(INDEX(DarlOhneTilgung,20)=1,0,IF(AND(INDEX(DarlTilgStart,20)&gt;0,$E9429=INDEX(DarlTilgStart,20)),$J9429*($H9429+INDEX(DarlTilgung,20))/100/12,IF(AND($G9429=0,$G9428=1),MAX($K9428,$J9429*($H9429+1)/100/12),$K9428))))</f>
      </c>
      <c r="L9429" s="43">
        <f>IF($I9429=0,0,$J9429*$H9429/100/12)</f>
      </c>
      <c r="M9429" s="43">
        <f>IF($I9429=0,0,IF(OR(INDEX(DarlOhneTilgung,20)=1,AND(INDEX(DarlTilgStart,20)&gt;0,$E9429&lt;INDEX(DarlTilgStart,20))),0,MIN(MAX(0,$K9429-$L9429),$J9429)))</f>
      </c>
      <c r="N9429" s="43">
        <f>IF($I9429=0,0,MIN(SUMIFS(SondBetrag,SondDarl,20,SondDatum,"&gt;="&amp;$E9429,SondDatum,"&lt;="&amp;EOMONTH($E9429,0)),$J9429-$M9429))</f>
      </c>
      <c r="O9429" s="43">
        <f>IF($I9429=0,0,INDEX(DarlErsatzRate,20))</f>
      </c>
      <c r="P9429" s="43">
        <f>IF($I9429=0,0,$Q9428*INDEX(DarlErsatzZins,20))</f>
      </c>
      <c r="Q9429" s="43">
        <f>IF($I9429=0,0,$Q9428+$P9429+$O9429)</f>
      </c>
      <c r="R9429" s="43">
        <f>IF($I9429=0,0,$J9429-$M9429-$N9429)</f>
      </c>
    </row>
    <row r="9430">
      <c r="A9430"/>
      <c r="B9430">
        <v>20</v>
      </c>
      <c r="C9430" s="43">
        <f>INDEX(DarlObj,20)</f>
      </c>
      <c r="D9430">
        <v>307</v>
      </c>
      <c r="E9430" s="51">
        <f>IF(INDEX(DarlBelegt,20)=0,0,EOMONTH(INDEX(DarlAuszahlung,20),306)+1)</f>
      </c>
      <c r="F9430" s="43">
        <f>IF($E9430=0,0,YEAR($E9430))</f>
      </c>
      <c r="G9430" s="43">
        <f>IF(INDEX(DarlBindung,20)="",1,IF($E9430&lt;=INDEX(DarlBindung,20),1,0))</f>
      </c>
      <c r="H9430" s="43">
        <f>IF($G9430=1,INDEX(DarlSollzins,20),INDEX(DarlAnschluss,20))</f>
      </c>
      <c r="I9430" s="43">
        <f>IF(INDEX(DarlBelegt,20)=0,0,IF(INDEX(DarlOhneTilgung,20)=1,IF(INDEX(DarlBindung,20)="",1,$G9430),IF($J9430&gt;0.005,1,0)))</f>
      </c>
      <c r="J9430" s="43">
        <f>IF($I9429=0,0,$R9429)</f>
      </c>
      <c r="K9430" s="43">
        <f>IF($I9430=0,0,IF(INDEX(DarlOhneTilgung,20)=1,0,IF(AND(INDEX(DarlTilgStart,20)&gt;0,$E9430=INDEX(DarlTilgStart,20)),$J9430*($H9430+INDEX(DarlTilgung,20))/100/12,IF(AND($G9430=0,$G9429=1),MAX($K9429,$J9430*($H9430+1)/100/12),$K9429))))</f>
      </c>
      <c r="L9430" s="43">
        <f>IF($I9430=0,0,$J9430*$H9430/100/12)</f>
      </c>
      <c r="M9430" s="43">
        <f>IF($I9430=0,0,IF(OR(INDEX(DarlOhneTilgung,20)=1,AND(INDEX(DarlTilgStart,20)&gt;0,$E9430&lt;INDEX(DarlTilgStart,20))),0,MIN(MAX(0,$K9430-$L9430),$J9430)))</f>
      </c>
      <c r="N9430" s="43">
        <f>IF($I9430=0,0,MIN(SUMIFS(SondBetrag,SondDarl,20,SondDatum,"&gt;="&amp;$E9430,SondDatum,"&lt;="&amp;EOMONTH($E9430,0)),$J9430-$M9430))</f>
      </c>
      <c r="O9430" s="43">
        <f>IF($I9430=0,0,INDEX(DarlErsatzRate,20))</f>
      </c>
      <c r="P9430" s="43">
        <f>IF($I9430=0,0,$Q9429*INDEX(DarlErsatzZins,20))</f>
      </c>
      <c r="Q9430" s="43">
        <f>IF($I9430=0,0,$Q9429+$P9430+$O9430)</f>
      </c>
      <c r="R9430" s="43">
        <f>IF($I9430=0,0,$J9430-$M9430-$N9430)</f>
      </c>
    </row>
    <row r="9431">
      <c r="A9431"/>
      <c r="B9431">
        <v>20</v>
      </c>
      <c r="C9431" s="43">
        <f>INDEX(DarlObj,20)</f>
      </c>
      <c r="D9431">
        <v>308</v>
      </c>
      <c r="E9431" s="51">
        <f>IF(INDEX(DarlBelegt,20)=0,0,EOMONTH(INDEX(DarlAuszahlung,20),307)+1)</f>
      </c>
      <c r="F9431" s="43">
        <f>IF($E9431=0,0,YEAR($E9431))</f>
      </c>
      <c r="G9431" s="43">
        <f>IF(INDEX(DarlBindung,20)="",1,IF($E9431&lt;=INDEX(DarlBindung,20),1,0))</f>
      </c>
      <c r="H9431" s="43">
        <f>IF($G9431=1,INDEX(DarlSollzins,20),INDEX(DarlAnschluss,20))</f>
      </c>
      <c r="I9431" s="43">
        <f>IF(INDEX(DarlBelegt,20)=0,0,IF(INDEX(DarlOhneTilgung,20)=1,IF(INDEX(DarlBindung,20)="",1,$G9431),IF($J9431&gt;0.005,1,0)))</f>
      </c>
      <c r="J9431" s="43">
        <f>IF($I9430=0,0,$R9430)</f>
      </c>
      <c r="K9431" s="43">
        <f>IF($I9431=0,0,IF(INDEX(DarlOhneTilgung,20)=1,0,IF(AND(INDEX(DarlTilgStart,20)&gt;0,$E9431=INDEX(DarlTilgStart,20)),$J9431*($H9431+INDEX(DarlTilgung,20))/100/12,IF(AND($G9431=0,$G9430=1),MAX($K9430,$J9431*($H9431+1)/100/12),$K9430))))</f>
      </c>
      <c r="L9431" s="43">
        <f>IF($I9431=0,0,$J9431*$H9431/100/12)</f>
      </c>
      <c r="M9431" s="43">
        <f>IF($I9431=0,0,IF(OR(INDEX(DarlOhneTilgung,20)=1,AND(INDEX(DarlTilgStart,20)&gt;0,$E9431&lt;INDEX(DarlTilgStart,20))),0,MIN(MAX(0,$K9431-$L9431),$J9431)))</f>
      </c>
      <c r="N9431" s="43">
        <f>IF($I9431=0,0,MIN(SUMIFS(SondBetrag,SondDarl,20,SondDatum,"&gt;="&amp;$E9431,SondDatum,"&lt;="&amp;EOMONTH($E9431,0)),$J9431-$M9431))</f>
      </c>
      <c r="O9431" s="43">
        <f>IF($I9431=0,0,INDEX(DarlErsatzRate,20))</f>
      </c>
      <c r="P9431" s="43">
        <f>IF($I9431=0,0,$Q9430*INDEX(DarlErsatzZins,20))</f>
      </c>
      <c r="Q9431" s="43">
        <f>IF($I9431=0,0,$Q9430+$P9431+$O9431)</f>
      </c>
      <c r="R9431" s="43">
        <f>IF($I9431=0,0,$J9431-$M9431-$N9431)</f>
      </c>
    </row>
    <row r="9432">
      <c r="A9432"/>
      <c r="B9432">
        <v>20</v>
      </c>
      <c r="C9432" s="43">
        <f>INDEX(DarlObj,20)</f>
      </c>
      <c r="D9432">
        <v>309</v>
      </c>
      <c r="E9432" s="51">
        <f>IF(INDEX(DarlBelegt,20)=0,0,EOMONTH(INDEX(DarlAuszahlung,20),308)+1)</f>
      </c>
      <c r="F9432" s="43">
        <f>IF($E9432=0,0,YEAR($E9432))</f>
      </c>
      <c r="G9432" s="43">
        <f>IF(INDEX(DarlBindung,20)="",1,IF($E9432&lt;=INDEX(DarlBindung,20),1,0))</f>
      </c>
      <c r="H9432" s="43">
        <f>IF($G9432=1,INDEX(DarlSollzins,20),INDEX(DarlAnschluss,20))</f>
      </c>
      <c r="I9432" s="43">
        <f>IF(INDEX(DarlBelegt,20)=0,0,IF(INDEX(DarlOhneTilgung,20)=1,IF(INDEX(DarlBindung,20)="",1,$G9432),IF($J9432&gt;0.005,1,0)))</f>
      </c>
      <c r="J9432" s="43">
        <f>IF($I9431=0,0,$R9431)</f>
      </c>
      <c r="K9432" s="43">
        <f>IF($I9432=0,0,IF(INDEX(DarlOhneTilgung,20)=1,0,IF(AND(INDEX(DarlTilgStart,20)&gt;0,$E9432=INDEX(DarlTilgStart,20)),$J9432*($H9432+INDEX(DarlTilgung,20))/100/12,IF(AND($G9432=0,$G9431=1),MAX($K9431,$J9432*($H9432+1)/100/12),$K9431))))</f>
      </c>
      <c r="L9432" s="43">
        <f>IF($I9432=0,0,$J9432*$H9432/100/12)</f>
      </c>
      <c r="M9432" s="43">
        <f>IF($I9432=0,0,IF(OR(INDEX(DarlOhneTilgung,20)=1,AND(INDEX(DarlTilgStart,20)&gt;0,$E9432&lt;INDEX(DarlTilgStart,20))),0,MIN(MAX(0,$K9432-$L9432),$J9432)))</f>
      </c>
      <c r="N9432" s="43">
        <f>IF($I9432=0,0,MIN(SUMIFS(SondBetrag,SondDarl,20,SondDatum,"&gt;="&amp;$E9432,SondDatum,"&lt;="&amp;EOMONTH($E9432,0)),$J9432-$M9432))</f>
      </c>
      <c r="O9432" s="43">
        <f>IF($I9432=0,0,INDEX(DarlErsatzRate,20))</f>
      </c>
      <c r="P9432" s="43">
        <f>IF($I9432=0,0,$Q9431*INDEX(DarlErsatzZins,20))</f>
      </c>
      <c r="Q9432" s="43">
        <f>IF($I9432=0,0,$Q9431+$P9432+$O9432)</f>
      </c>
      <c r="R9432" s="43">
        <f>IF($I9432=0,0,$J9432-$M9432-$N9432)</f>
      </c>
    </row>
    <row r="9433">
      <c r="A9433"/>
      <c r="B9433">
        <v>20</v>
      </c>
      <c r="C9433" s="43">
        <f>INDEX(DarlObj,20)</f>
      </c>
      <c r="D9433">
        <v>310</v>
      </c>
      <c r="E9433" s="51">
        <f>IF(INDEX(DarlBelegt,20)=0,0,EOMONTH(INDEX(DarlAuszahlung,20),309)+1)</f>
      </c>
      <c r="F9433" s="43">
        <f>IF($E9433=0,0,YEAR($E9433))</f>
      </c>
      <c r="G9433" s="43">
        <f>IF(INDEX(DarlBindung,20)="",1,IF($E9433&lt;=INDEX(DarlBindung,20),1,0))</f>
      </c>
      <c r="H9433" s="43">
        <f>IF($G9433=1,INDEX(DarlSollzins,20),INDEX(DarlAnschluss,20))</f>
      </c>
      <c r="I9433" s="43">
        <f>IF(INDEX(DarlBelegt,20)=0,0,IF(INDEX(DarlOhneTilgung,20)=1,IF(INDEX(DarlBindung,20)="",1,$G9433),IF($J9433&gt;0.005,1,0)))</f>
      </c>
      <c r="J9433" s="43">
        <f>IF($I9432=0,0,$R9432)</f>
      </c>
      <c r="K9433" s="43">
        <f>IF($I9433=0,0,IF(INDEX(DarlOhneTilgung,20)=1,0,IF(AND(INDEX(DarlTilgStart,20)&gt;0,$E9433=INDEX(DarlTilgStart,20)),$J9433*($H9433+INDEX(DarlTilgung,20))/100/12,IF(AND($G9433=0,$G9432=1),MAX($K9432,$J9433*($H9433+1)/100/12),$K9432))))</f>
      </c>
      <c r="L9433" s="43">
        <f>IF($I9433=0,0,$J9433*$H9433/100/12)</f>
      </c>
      <c r="M9433" s="43">
        <f>IF($I9433=0,0,IF(OR(INDEX(DarlOhneTilgung,20)=1,AND(INDEX(DarlTilgStart,20)&gt;0,$E9433&lt;INDEX(DarlTilgStart,20))),0,MIN(MAX(0,$K9433-$L9433),$J9433)))</f>
      </c>
      <c r="N9433" s="43">
        <f>IF($I9433=0,0,MIN(SUMIFS(SondBetrag,SondDarl,20,SondDatum,"&gt;="&amp;$E9433,SondDatum,"&lt;="&amp;EOMONTH($E9433,0)),$J9433-$M9433))</f>
      </c>
      <c r="O9433" s="43">
        <f>IF($I9433=0,0,INDEX(DarlErsatzRate,20))</f>
      </c>
      <c r="P9433" s="43">
        <f>IF($I9433=0,0,$Q9432*INDEX(DarlErsatzZins,20))</f>
      </c>
      <c r="Q9433" s="43">
        <f>IF($I9433=0,0,$Q9432+$P9433+$O9433)</f>
      </c>
      <c r="R9433" s="43">
        <f>IF($I9433=0,0,$J9433-$M9433-$N9433)</f>
      </c>
    </row>
    <row r="9434">
      <c r="A9434"/>
      <c r="B9434">
        <v>20</v>
      </c>
      <c r="C9434" s="43">
        <f>INDEX(DarlObj,20)</f>
      </c>
      <c r="D9434">
        <v>311</v>
      </c>
      <c r="E9434" s="51">
        <f>IF(INDEX(DarlBelegt,20)=0,0,EOMONTH(INDEX(DarlAuszahlung,20),310)+1)</f>
      </c>
      <c r="F9434" s="43">
        <f>IF($E9434=0,0,YEAR($E9434))</f>
      </c>
      <c r="G9434" s="43">
        <f>IF(INDEX(DarlBindung,20)="",1,IF($E9434&lt;=INDEX(DarlBindung,20),1,0))</f>
      </c>
      <c r="H9434" s="43">
        <f>IF($G9434=1,INDEX(DarlSollzins,20),INDEX(DarlAnschluss,20))</f>
      </c>
      <c r="I9434" s="43">
        <f>IF(INDEX(DarlBelegt,20)=0,0,IF(INDEX(DarlOhneTilgung,20)=1,IF(INDEX(DarlBindung,20)="",1,$G9434),IF($J9434&gt;0.005,1,0)))</f>
      </c>
      <c r="J9434" s="43">
        <f>IF($I9433=0,0,$R9433)</f>
      </c>
      <c r="K9434" s="43">
        <f>IF($I9434=0,0,IF(INDEX(DarlOhneTilgung,20)=1,0,IF(AND(INDEX(DarlTilgStart,20)&gt;0,$E9434=INDEX(DarlTilgStart,20)),$J9434*($H9434+INDEX(DarlTilgung,20))/100/12,IF(AND($G9434=0,$G9433=1),MAX($K9433,$J9434*($H9434+1)/100/12),$K9433))))</f>
      </c>
      <c r="L9434" s="43">
        <f>IF($I9434=0,0,$J9434*$H9434/100/12)</f>
      </c>
      <c r="M9434" s="43">
        <f>IF($I9434=0,0,IF(OR(INDEX(DarlOhneTilgung,20)=1,AND(INDEX(DarlTilgStart,20)&gt;0,$E9434&lt;INDEX(DarlTilgStart,20))),0,MIN(MAX(0,$K9434-$L9434),$J9434)))</f>
      </c>
      <c r="N9434" s="43">
        <f>IF($I9434=0,0,MIN(SUMIFS(SondBetrag,SondDarl,20,SondDatum,"&gt;="&amp;$E9434,SondDatum,"&lt;="&amp;EOMONTH($E9434,0)),$J9434-$M9434))</f>
      </c>
      <c r="O9434" s="43">
        <f>IF($I9434=0,0,INDEX(DarlErsatzRate,20))</f>
      </c>
      <c r="P9434" s="43">
        <f>IF($I9434=0,0,$Q9433*INDEX(DarlErsatzZins,20))</f>
      </c>
      <c r="Q9434" s="43">
        <f>IF($I9434=0,0,$Q9433+$P9434+$O9434)</f>
      </c>
      <c r="R9434" s="43">
        <f>IF($I9434=0,0,$J9434-$M9434-$N9434)</f>
      </c>
    </row>
    <row r="9435">
      <c r="A9435"/>
      <c r="B9435">
        <v>20</v>
      </c>
      <c r="C9435" s="43">
        <f>INDEX(DarlObj,20)</f>
      </c>
      <c r="D9435">
        <v>312</v>
      </c>
      <c r="E9435" s="51">
        <f>IF(INDEX(DarlBelegt,20)=0,0,EOMONTH(INDEX(DarlAuszahlung,20),311)+1)</f>
      </c>
      <c r="F9435" s="43">
        <f>IF($E9435=0,0,YEAR($E9435))</f>
      </c>
      <c r="G9435" s="43">
        <f>IF(INDEX(DarlBindung,20)="",1,IF($E9435&lt;=INDEX(DarlBindung,20),1,0))</f>
      </c>
      <c r="H9435" s="43">
        <f>IF($G9435=1,INDEX(DarlSollzins,20),INDEX(DarlAnschluss,20))</f>
      </c>
      <c r="I9435" s="43">
        <f>IF(INDEX(DarlBelegt,20)=0,0,IF(INDEX(DarlOhneTilgung,20)=1,IF(INDEX(DarlBindung,20)="",1,$G9435),IF($J9435&gt;0.005,1,0)))</f>
      </c>
      <c r="J9435" s="43">
        <f>IF($I9434=0,0,$R9434)</f>
      </c>
      <c r="K9435" s="43">
        <f>IF($I9435=0,0,IF(INDEX(DarlOhneTilgung,20)=1,0,IF(AND(INDEX(DarlTilgStart,20)&gt;0,$E9435=INDEX(DarlTilgStart,20)),$J9435*($H9435+INDEX(DarlTilgung,20))/100/12,IF(AND($G9435=0,$G9434=1),MAX($K9434,$J9435*($H9435+1)/100/12),$K9434))))</f>
      </c>
      <c r="L9435" s="43">
        <f>IF($I9435=0,0,$J9435*$H9435/100/12)</f>
      </c>
      <c r="M9435" s="43">
        <f>IF($I9435=0,0,IF(OR(INDEX(DarlOhneTilgung,20)=1,AND(INDEX(DarlTilgStart,20)&gt;0,$E9435&lt;INDEX(DarlTilgStart,20))),0,MIN(MAX(0,$K9435-$L9435),$J9435)))</f>
      </c>
      <c r="N9435" s="43">
        <f>IF($I9435=0,0,MIN(SUMIFS(SondBetrag,SondDarl,20,SondDatum,"&gt;="&amp;$E9435,SondDatum,"&lt;="&amp;EOMONTH($E9435,0)),$J9435-$M9435))</f>
      </c>
      <c r="O9435" s="43">
        <f>IF($I9435=0,0,INDEX(DarlErsatzRate,20))</f>
      </c>
      <c r="P9435" s="43">
        <f>IF($I9435=0,0,$Q9434*INDEX(DarlErsatzZins,20))</f>
      </c>
      <c r="Q9435" s="43">
        <f>IF($I9435=0,0,$Q9434+$P9435+$O9435)</f>
      </c>
      <c r="R9435" s="43">
        <f>IF($I9435=0,0,$J9435-$M9435-$N9435)</f>
      </c>
    </row>
    <row r="9436">
      <c r="A9436"/>
      <c r="B9436">
        <v>20</v>
      </c>
      <c r="C9436" s="43">
        <f>INDEX(DarlObj,20)</f>
      </c>
      <c r="D9436">
        <v>313</v>
      </c>
      <c r="E9436" s="51">
        <f>IF(INDEX(DarlBelegt,20)=0,0,EOMONTH(INDEX(DarlAuszahlung,20),312)+1)</f>
      </c>
      <c r="F9436" s="43">
        <f>IF($E9436=0,0,YEAR($E9436))</f>
      </c>
      <c r="G9436" s="43">
        <f>IF(INDEX(DarlBindung,20)="",1,IF($E9436&lt;=INDEX(DarlBindung,20),1,0))</f>
      </c>
      <c r="H9436" s="43">
        <f>IF($G9436=1,INDEX(DarlSollzins,20),INDEX(DarlAnschluss,20))</f>
      </c>
      <c r="I9436" s="43">
        <f>IF(INDEX(DarlBelegt,20)=0,0,IF(INDEX(DarlOhneTilgung,20)=1,IF(INDEX(DarlBindung,20)="",1,$G9436),IF($J9436&gt;0.005,1,0)))</f>
      </c>
      <c r="J9436" s="43">
        <f>IF($I9435=0,0,$R9435)</f>
      </c>
      <c r="K9436" s="43">
        <f>IF($I9436=0,0,IF(INDEX(DarlOhneTilgung,20)=1,0,IF(AND(INDEX(DarlTilgStart,20)&gt;0,$E9436=INDEX(DarlTilgStart,20)),$J9436*($H9436+INDEX(DarlTilgung,20))/100/12,IF(AND($G9436=0,$G9435=1),MAX($K9435,$J9436*($H9436+1)/100/12),$K9435))))</f>
      </c>
      <c r="L9436" s="43">
        <f>IF($I9436=0,0,$J9436*$H9436/100/12)</f>
      </c>
      <c r="M9436" s="43">
        <f>IF($I9436=0,0,IF(OR(INDEX(DarlOhneTilgung,20)=1,AND(INDEX(DarlTilgStart,20)&gt;0,$E9436&lt;INDEX(DarlTilgStart,20))),0,MIN(MAX(0,$K9436-$L9436),$J9436)))</f>
      </c>
      <c r="N9436" s="43">
        <f>IF($I9436=0,0,MIN(SUMIFS(SondBetrag,SondDarl,20,SondDatum,"&gt;="&amp;$E9436,SondDatum,"&lt;="&amp;EOMONTH($E9436,0)),$J9436-$M9436))</f>
      </c>
      <c r="O9436" s="43">
        <f>IF($I9436=0,0,INDEX(DarlErsatzRate,20))</f>
      </c>
      <c r="P9436" s="43">
        <f>IF($I9436=0,0,$Q9435*INDEX(DarlErsatzZins,20))</f>
      </c>
      <c r="Q9436" s="43">
        <f>IF($I9436=0,0,$Q9435+$P9436+$O9436)</f>
      </c>
      <c r="R9436" s="43">
        <f>IF($I9436=0,0,$J9436-$M9436-$N9436)</f>
      </c>
    </row>
    <row r="9437">
      <c r="A9437"/>
      <c r="B9437">
        <v>20</v>
      </c>
      <c r="C9437" s="43">
        <f>INDEX(DarlObj,20)</f>
      </c>
      <c r="D9437">
        <v>314</v>
      </c>
      <c r="E9437" s="51">
        <f>IF(INDEX(DarlBelegt,20)=0,0,EOMONTH(INDEX(DarlAuszahlung,20),313)+1)</f>
      </c>
      <c r="F9437" s="43">
        <f>IF($E9437=0,0,YEAR($E9437))</f>
      </c>
      <c r="G9437" s="43">
        <f>IF(INDEX(DarlBindung,20)="",1,IF($E9437&lt;=INDEX(DarlBindung,20),1,0))</f>
      </c>
      <c r="H9437" s="43">
        <f>IF($G9437=1,INDEX(DarlSollzins,20),INDEX(DarlAnschluss,20))</f>
      </c>
      <c r="I9437" s="43">
        <f>IF(INDEX(DarlBelegt,20)=0,0,IF(INDEX(DarlOhneTilgung,20)=1,IF(INDEX(DarlBindung,20)="",1,$G9437),IF($J9437&gt;0.005,1,0)))</f>
      </c>
      <c r="J9437" s="43">
        <f>IF($I9436=0,0,$R9436)</f>
      </c>
      <c r="K9437" s="43">
        <f>IF($I9437=0,0,IF(INDEX(DarlOhneTilgung,20)=1,0,IF(AND(INDEX(DarlTilgStart,20)&gt;0,$E9437=INDEX(DarlTilgStart,20)),$J9437*($H9437+INDEX(DarlTilgung,20))/100/12,IF(AND($G9437=0,$G9436=1),MAX($K9436,$J9437*($H9437+1)/100/12),$K9436))))</f>
      </c>
      <c r="L9437" s="43">
        <f>IF($I9437=0,0,$J9437*$H9437/100/12)</f>
      </c>
      <c r="M9437" s="43">
        <f>IF($I9437=0,0,IF(OR(INDEX(DarlOhneTilgung,20)=1,AND(INDEX(DarlTilgStart,20)&gt;0,$E9437&lt;INDEX(DarlTilgStart,20))),0,MIN(MAX(0,$K9437-$L9437),$J9437)))</f>
      </c>
      <c r="N9437" s="43">
        <f>IF($I9437=0,0,MIN(SUMIFS(SondBetrag,SondDarl,20,SondDatum,"&gt;="&amp;$E9437,SondDatum,"&lt;="&amp;EOMONTH($E9437,0)),$J9437-$M9437))</f>
      </c>
      <c r="O9437" s="43">
        <f>IF($I9437=0,0,INDEX(DarlErsatzRate,20))</f>
      </c>
      <c r="P9437" s="43">
        <f>IF($I9437=0,0,$Q9436*INDEX(DarlErsatzZins,20))</f>
      </c>
      <c r="Q9437" s="43">
        <f>IF($I9437=0,0,$Q9436+$P9437+$O9437)</f>
      </c>
      <c r="R9437" s="43">
        <f>IF($I9437=0,0,$J9437-$M9437-$N9437)</f>
      </c>
    </row>
    <row r="9438">
      <c r="A9438"/>
      <c r="B9438">
        <v>20</v>
      </c>
      <c r="C9438" s="43">
        <f>INDEX(DarlObj,20)</f>
      </c>
      <c r="D9438">
        <v>315</v>
      </c>
      <c r="E9438" s="51">
        <f>IF(INDEX(DarlBelegt,20)=0,0,EOMONTH(INDEX(DarlAuszahlung,20),314)+1)</f>
      </c>
      <c r="F9438" s="43">
        <f>IF($E9438=0,0,YEAR($E9438))</f>
      </c>
      <c r="G9438" s="43">
        <f>IF(INDEX(DarlBindung,20)="",1,IF($E9438&lt;=INDEX(DarlBindung,20),1,0))</f>
      </c>
      <c r="H9438" s="43">
        <f>IF($G9438=1,INDEX(DarlSollzins,20),INDEX(DarlAnschluss,20))</f>
      </c>
      <c r="I9438" s="43">
        <f>IF(INDEX(DarlBelegt,20)=0,0,IF(INDEX(DarlOhneTilgung,20)=1,IF(INDEX(DarlBindung,20)="",1,$G9438),IF($J9438&gt;0.005,1,0)))</f>
      </c>
      <c r="J9438" s="43">
        <f>IF($I9437=0,0,$R9437)</f>
      </c>
      <c r="K9438" s="43">
        <f>IF($I9438=0,0,IF(INDEX(DarlOhneTilgung,20)=1,0,IF(AND(INDEX(DarlTilgStart,20)&gt;0,$E9438=INDEX(DarlTilgStart,20)),$J9438*($H9438+INDEX(DarlTilgung,20))/100/12,IF(AND($G9438=0,$G9437=1),MAX($K9437,$J9438*($H9438+1)/100/12),$K9437))))</f>
      </c>
      <c r="L9438" s="43">
        <f>IF($I9438=0,0,$J9438*$H9438/100/12)</f>
      </c>
      <c r="M9438" s="43">
        <f>IF($I9438=0,0,IF(OR(INDEX(DarlOhneTilgung,20)=1,AND(INDEX(DarlTilgStart,20)&gt;0,$E9438&lt;INDEX(DarlTilgStart,20))),0,MIN(MAX(0,$K9438-$L9438),$J9438)))</f>
      </c>
      <c r="N9438" s="43">
        <f>IF($I9438=0,0,MIN(SUMIFS(SondBetrag,SondDarl,20,SondDatum,"&gt;="&amp;$E9438,SondDatum,"&lt;="&amp;EOMONTH($E9438,0)),$J9438-$M9438))</f>
      </c>
      <c r="O9438" s="43">
        <f>IF($I9438=0,0,INDEX(DarlErsatzRate,20))</f>
      </c>
      <c r="P9438" s="43">
        <f>IF($I9438=0,0,$Q9437*INDEX(DarlErsatzZins,20))</f>
      </c>
      <c r="Q9438" s="43">
        <f>IF($I9438=0,0,$Q9437+$P9438+$O9438)</f>
      </c>
      <c r="R9438" s="43">
        <f>IF($I9438=0,0,$J9438-$M9438-$N9438)</f>
      </c>
    </row>
    <row r="9439">
      <c r="A9439"/>
      <c r="B9439">
        <v>20</v>
      </c>
      <c r="C9439" s="43">
        <f>INDEX(DarlObj,20)</f>
      </c>
      <c r="D9439">
        <v>316</v>
      </c>
      <c r="E9439" s="51">
        <f>IF(INDEX(DarlBelegt,20)=0,0,EOMONTH(INDEX(DarlAuszahlung,20),315)+1)</f>
      </c>
      <c r="F9439" s="43">
        <f>IF($E9439=0,0,YEAR($E9439))</f>
      </c>
      <c r="G9439" s="43">
        <f>IF(INDEX(DarlBindung,20)="",1,IF($E9439&lt;=INDEX(DarlBindung,20),1,0))</f>
      </c>
      <c r="H9439" s="43">
        <f>IF($G9439=1,INDEX(DarlSollzins,20),INDEX(DarlAnschluss,20))</f>
      </c>
      <c r="I9439" s="43">
        <f>IF(INDEX(DarlBelegt,20)=0,0,IF(INDEX(DarlOhneTilgung,20)=1,IF(INDEX(DarlBindung,20)="",1,$G9439),IF($J9439&gt;0.005,1,0)))</f>
      </c>
      <c r="J9439" s="43">
        <f>IF($I9438=0,0,$R9438)</f>
      </c>
      <c r="K9439" s="43">
        <f>IF($I9439=0,0,IF(INDEX(DarlOhneTilgung,20)=1,0,IF(AND(INDEX(DarlTilgStart,20)&gt;0,$E9439=INDEX(DarlTilgStart,20)),$J9439*($H9439+INDEX(DarlTilgung,20))/100/12,IF(AND($G9439=0,$G9438=1),MAX($K9438,$J9439*($H9439+1)/100/12),$K9438))))</f>
      </c>
      <c r="L9439" s="43">
        <f>IF($I9439=0,0,$J9439*$H9439/100/12)</f>
      </c>
      <c r="M9439" s="43">
        <f>IF($I9439=0,0,IF(OR(INDEX(DarlOhneTilgung,20)=1,AND(INDEX(DarlTilgStart,20)&gt;0,$E9439&lt;INDEX(DarlTilgStart,20))),0,MIN(MAX(0,$K9439-$L9439),$J9439)))</f>
      </c>
      <c r="N9439" s="43">
        <f>IF($I9439=0,0,MIN(SUMIFS(SondBetrag,SondDarl,20,SondDatum,"&gt;="&amp;$E9439,SondDatum,"&lt;="&amp;EOMONTH($E9439,0)),$J9439-$M9439))</f>
      </c>
      <c r="O9439" s="43">
        <f>IF($I9439=0,0,INDEX(DarlErsatzRate,20))</f>
      </c>
      <c r="P9439" s="43">
        <f>IF($I9439=0,0,$Q9438*INDEX(DarlErsatzZins,20))</f>
      </c>
      <c r="Q9439" s="43">
        <f>IF($I9439=0,0,$Q9438+$P9439+$O9439)</f>
      </c>
      <c r="R9439" s="43">
        <f>IF($I9439=0,0,$J9439-$M9439-$N9439)</f>
      </c>
    </row>
    <row r="9440">
      <c r="A9440"/>
      <c r="B9440">
        <v>20</v>
      </c>
      <c r="C9440" s="43">
        <f>INDEX(DarlObj,20)</f>
      </c>
      <c r="D9440">
        <v>317</v>
      </c>
      <c r="E9440" s="51">
        <f>IF(INDEX(DarlBelegt,20)=0,0,EOMONTH(INDEX(DarlAuszahlung,20),316)+1)</f>
      </c>
      <c r="F9440" s="43">
        <f>IF($E9440=0,0,YEAR($E9440))</f>
      </c>
      <c r="G9440" s="43">
        <f>IF(INDEX(DarlBindung,20)="",1,IF($E9440&lt;=INDEX(DarlBindung,20),1,0))</f>
      </c>
      <c r="H9440" s="43">
        <f>IF($G9440=1,INDEX(DarlSollzins,20),INDEX(DarlAnschluss,20))</f>
      </c>
      <c r="I9440" s="43">
        <f>IF(INDEX(DarlBelegt,20)=0,0,IF(INDEX(DarlOhneTilgung,20)=1,IF(INDEX(DarlBindung,20)="",1,$G9440),IF($J9440&gt;0.005,1,0)))</f>
      </c>
      <c r="J9440" s="43">
        <f>IF($I9439=0,0,$R9439)</f>
      </c>
      <c r="K9440" s="43">
        <f>IF($I9440=0,0,IF(INDEX(DarlOhneTilgung,20)=1,0,IF(AND(INDEX(DarlTilgStart,20)&gt;0,$E9440=INDEX(DarlTilgStart,20)),$J9440*($H9440+INDEX(DarlTilgung,20))/100/12,IF(AND($G9440=0,$G9439=1),MAX($K9439,$J9440*($H9440+1)/100/12),$K9439))))</f>
      </c>
      <c r="L9440" s="43">
        <f>IF($I9440=0,0,$J9440*$H9440/100/12)</f>
      </c>
      <c r="M9440" s="43">
        <f>IF($I9440=0,0,IF(OR(INDEX(DarlOhneTilgung,20)=1,AND(INDEX(DarlTilgStart,20)&gt;0,$E9440&lt;INDEX(DarlTilgStart,20))),0,MIN(MAX(0,$K9440-$L9440),$J9440)))</f>
      </c>
      <c r="N9440" s="43">
        <f>IF($I9440=0,0,MIN(SUMIFS(SondBetrag,SondDarl,20,SondDatum,"&gt;="&amp;$E9440,SondDatum,"&lt;="&amp;EOMONTH($E9440,0)),$J9440-$M9440))</f>
      </c>
      <c r="O9440" s="43">
        <f>IF($I9440=0,0,INDEX(DarlErsatzRate,20))</f>
      </c>
      <c r="P9440" s="43">
        <f>IF($I9440=0,0,$Q9439*INDEX(DarlErsatzZins,20))</f>
      </c>
      <c r="Q9440" s="43">
        <f>IF($I9440=0,0,$Q9439+$P9440+$O9440)</f>
      </c>
      <c r="R9440" s="43">
        <f>IF($I9440=0,0,$J9440-$M9440-$N9440)</f>
      </c>
    </row>
    <row r="9441">
      <c r="A9441"/>
      <c r="B9441">
        <v>20</v>
      </c>
      <c r="C9441" s="43">
        <f>INDEX(DarlObj,20)</f>
      </c>
      <c r="D9441">
        <v>318</v>
      </c>
      <c r="E9441" s="51">
        <f>IF(INDEX(DarlBelegt,20)=0,0,EOMONTH(INDEX(DarlAuszahlung,20),317)+1)</f>
      </c>
      <c r="F9441" s="43">
        <f>IF($E9441=0,0,YEAR($E9441))</f>
      </c>
      <c r="G9441" s="43">
        <f>IF(INDEX(DarlBindung,20)="",1,IF($E9441&lt;=INDEX(DarlBindung,20),1,0))</f>
      </c>
      <c r="H9441" s="43">
        <f>IF($G9441=1,INDEX(DarlSollzins,20),INDEX(DarlAnschluss,20))</f>
      </c>
      <c r="I9441" s="43">
        <f>IF(INDEX(DarlBelegt,20)=0,0,IF(INDEX(DarlOhneTilgung,20)=1,IF(INDEX(DarlBindung,20)="",1,$G9441),IF($J9441&gt;0.005,1,0)))</f>
      </c>
      <c r="J9441" s="43">
        <f>IF($I9440=0,0,$R9440)</f>
      </c>
      <c r="K9441" s="43">
        <f>IF($I9441=0,0,IF(INDEX(DarlOhneTilgung,20)=1,0,IF(AND(INDEX(DarlTilgStart,20)&gt;0,$E9441=INDEX(DarlTilgStart,20)),$J9441*($H9441+INDEX(DarlTilgung,20))/100/12,IF(AND($G9441=0,$G9440=1),MAX($K9440,$J9441*($H9441+1)/100/12),$K9440))))</f>
      </c>
      <c r="L9441" s="43">
        <f>IF($I9441=0,0,$J9441*$H9441/100/12)</f>
      </c>
      <c r="M9441" s="43">
        <f>IF($I9441=0,0,IF(OR(INDEX(DarlOhneTilgung,20)=1,AND(INDEX(DarlTilgStart,20)&gt;0,$E9441&lt;INDEX(DarlTilgStart,20))),0,MIN(MAX(0,$K9441-$L9441),$J9441)))</f>
      </c>
      <c r="N9441" s="43">
        <f>IF($I9441=0,0,MIN(SUMIFS(SondBetrag,SondDarl,20,SondDatum,"&gt;="&amp;$E9441,SondDatum,"&lt;="&amp;EOMONTH($E9441,0)),$J9441-$M9441))</f>
      </c>
      <c r="O9441" s="43">
        <f>IF($I9441=0,0,INDEX(DarlErsatzRate,20))</f>
      </c>
      <c r="P9441" s="43">
        <f>IF($I9441=0,0,$Q9440*INDEX(DarlErsatzZins,20))</f>
      </c>
      <c r="Q9441" s="43">
        <f>IF($I9441=0,0,$Q9440+$P9441+$O9441)</f>
      </c>
      <c r="R9441" s="43">
        <f>IF($I9441=0,0,$J9441-$M9441-$N9441)</f>
      </c>
    </row>
    <row r="9442">
      <c r="A9442"/>
      <c r="B9442">
        <v>20</v>
      </c>
      <c r="C9442" s="43">
        <f>INDEX(DarlObj,20)</f>
      </c>
      <c r="D9442">
        <v>319</v>
      </c>
      <c r="E9442" s="51">
        <f>IF(INDEX(DarlBelegt,20)=0,0,EOMONTH(INDEX(DarlAuszahlung,20),318)+1)</f>
      </c>
      <c r="F9442" s="43">
        <f>IF($E9442=0,0,YEAR($E9442))</f>
      </c>
      <c r="G9442" s="43">
        <f>IF(INDEX(DarlBindung,20)="",1,IF($E9442&lt;=INDEX(DarlBindung,20),1,0))</f>
      </c>
      <c r="H9442" s="43">
        <f>IF($G9442=1,INDEX(DarlSollzins,20),INDEX(DarlAnschluss,20))</f>
      </c>
      <c r="I9442" s="43">
        <f>IF(INDEX(DarlBelegt,20)=0,0,IF(INDEX(DarlOhneTilgung,20)=1,IF(INDEX(DarlBindung,20)="",1,$G9442),IF($J9442&gt;0.005,1,0)))</f>
      </c>
      <c r="J9442" s="43">
        <f>IF($I9441=0,0,$R9441)</f>
      </c>
      <c r="K9442" s="43">
        <f>IF($I9442=0,0,IF(INDEX(DarlOhneTilgung,20)=1,0,IF(AND(INDEX(DarlTilgStart,20)&gt;0,$E9442=INDEX(DarlTilgStart,20)),$J9442*($H9442+INDEX(DarlTilgung,20))/100/12,IF(AND($G9442=0,$G9441=1),MAX($K9441,$J9442*($H9442+1)/100/12),$K9441))))</f>
      </c>
      <c r="L9442" s="43">
        <f>IF($I9442=0,0,$J9442*$H9442/100/12)</f>
      </c>
      <c r="M9442" s="43">
        <f>IF($I9442=0,0,IF(OR(INDEX(DarlOhneTilgung,20)=1,AND(INDEX(DarlTilgStart,20)&gt;0,$E9442&lt;INDEX(DarlTilgStart,20))),0,MIN(MAX(0,$K9442-$L9442),$J9442)))</f>
      </c>
      <c r="N9442" s="43">
        <f>IF($I9442=0,0,MIN(SUMIFS(SondBetrag,SondDarl,20,SondDatum,"&gt;="&amp;$E9442,SondDatum,"&lt;="&amp;EOMONTH($E9442,0)),$J9442-$M9442))</f>
      </c>
      <c r="O9442" s="43">
        <f>IF($I9442=0,0,INDEX(DarlErsatzRate,20))</f>
      </c>
      <c r="P9442" s="43">
        <f>IF($I9442=0,0,$Q9441*INDEX(DarlErsatzZins,20))</f>
      </c>
      <c r="Q9442" s="43">
        <f>IF($I9442=0,0,$Q9441+$P9442+$O9442)</f>
      </c>
      <c r="R9442" s="43">
        <f>IF($I9442=0,0,$J9442-$M9442-$N9442)</f>
      </c>
    </row>
    <row r="9443">
      <c r="A9443"/>
      <c r="B9443">
        <v>20</v>
      </c>
      <c r="C9443" s="43">
        <f>INDEX(DarlObj,20)</f>
      </c>
      <c r="D9443">
        <v>320</v>
      </c>
      <c r="E9443" s="51">
        <f>IF(INDEX(DarlBelegt,20)=0,0,EOMONTH(INDEX(DarlAuszahlung,20),319)+1)</f>
      </c>
      <c r="F9443" s="43">
        <f>IF($E9443=0,0,YEAR($E9443))</f>
      </c>
      <c r="G9443" s="43">
        <f>IF(INDEX(DarlBindung,20)="",1,IF($E9443&lt;=INDEX(DarlBindung,20),1,0))</f>
      </c>
      <c r="H9443" s="43">
        <f>IF($G9443=1,INDEX(DarlSollzins,20),INDEX(DarlAnschluss,20))</f>
      </c>
      <c r="I9443" s="43">
        <f>IF(INDEX(DarlBelegt,20)=0,0,IF(INDEX(DarlOhneTilgung,20)=1,IF(INDEX(DarlBindung,20)="",1,$G9443),IF($J9443&gt;0.005,1,0)))</f>
      </c>
      <c r="J9443" s="43">
        <f>IF($I9442=0,0,$R9442)</f>
      </c>
      <c r="K9443" s="43">
        <f>IF($I9443=0,0,IF(INDEX(DarlOhneTilgung,20)=1,0,IF(AND(INDEX(DarlTilgStart,20)&gt;0,$E9443=INDEX(DarlTilgStart,20)),$J9443*($H9443+INDEX(DarlTilgung,20))/100/12,IF(AND($G9443=0,$G9442=1),MAX($K9442,$J9443*($H9443+1)/100/12),$K9442))))</f>
      </c>
      <c r="L9443" s="43">
        <f>IF($I9443=0,0,$J9443*$H9443/100/12)</f>
      </c>
      <c r="M9443" s="43">
        <f>IF($I9443=0,0,IF(OR(INDEX(DarlOhneTilgung,20)=1,AND(INDEX(DarlTilgStart,20)&gt;0,$E9443&lt;INDEX(DarlTilgStart,20))),0,MIN(MAX(0,$K9443-$L9443),$J9443)))</f>
      </c>
      <c r="N9443" s="43">
        <f>IF($I9443=0,0,MIN(SUMIFS(SondBetrag,SondDarl,20,SondDatum,"&gt;="&amp;$E9443,SondDatum,"&lt;="&amp;EOMONTH($E9443,0)),$J9443-$M9443))</f>
      </c>
      <c r="O9443" s="43">
        <f>IF($I9443=0,0,INDEX(DarlErsatzRate,20))</f>
      </c>
      <c r="P9443" s="43">
        <f>IF($I9443=0,0,$Q9442*INDEX(DarlErsatzZins,20))</f>
      </c>
      <c r="Q9443" s="43">
        <f>IF($I9443=0,0,$Q9442+$P9443+$O9443)</f>
      </c>
      <c r="R9443" s="43">
        <f>IF($I9443=0,0,$J9443-$M9443-$N9443)</f>
      </c>
    </row>
    <row r="9444">
      <c r="A9444"/>
      <c r="B9444">
        <v>20</v>
      </c>
      <c r="C9444" s="43">
        <f>INDEX(DarlObj,20)</f>
      </c>
      <c r="D9444">
        <v>321</v>
      </c>
      <c r="E9444" s="51">
        <f>IF(INDEX(DarlBelegt,20)=0,0,EOMONTH(INDEX(DarlAuszahlung,20),320)+1)</f>
      </c>
      <c r="F9444" s="43">
        <f>IF($E9444=0,0,YEAR($E9444))</f>
      </c>
      <c r="G9444" s="43">
        <f>IF(INDEX(DarlBindung,20)="",1,IF($E9444&lt;=INDEX(DarlBindung,20),1,0))</f>
      </c>
      <c r="H9444" s="43">
        <f>IF($G9444=1,INDEX(DarlSollzins,20),INDEX(DarlAnschluss,20))</f>
      </c>
      <c r="I9444" s="43">
        <f>IF(INDEX(DarlBelegt,20)=0,0,IF(INDEX(DarlOhneTilgung,20)=1,IF(INDEX(DarlBindung,20)="",1,$G9444),IF($J9444&gt;0.005,1,0)))</f>
      </c>
      <c r="J9444" s="43">
        <f>IF($I9443=0,0,$R9443)</f>
      </c>
      <c r="K9444" s="43">
        <f>IF($I9444=0,0,IF(INDEX(DarlOhneTilgung,20)=1,0,IF(AND(INDEX(DarlTilgStart,20)&gt;0,$E9444=INDEX(DarlTilgStart,20)),$J9444*($H9444+INDEX(DarlTilgung,20))/100/12,IF(AND($G9444=0,$G9443=1),MAX($K9443,$J9444*($H9444+1)/100/12),$K9443))))</f>
      </c>
      <c r="L9444" s="43">
        <f>IF($I9444=0,0,$J9444*$H9444/100/12)</f>
      </c>
      <c r="M9444" s="43">
        <f>IF($I9444=0,0,IF(OR(INDEX(DarlOhneTilgung,20)=1,AND(INDEX(DarlTilgStart,20)&gt;0,$E9444&lt;INDEX(DarlTilgStart,20))),0,MIN(MAX(0,$K9444-$L9444),$J9444)))</f>
      </c>
      <c r="N9444" s="43">
        <f>IF($I9444=0,0,MIN(SUMIFS(SondBetrag,SondDarl,20,SondDatum,"&gt;="&amp;$E9444,SondDatum,"&lt;="&amp;EOMONTH($E9444,0)),$J9444-$M9444))</f>
      </c>
      <c r="O9444" s="43">
        <f>IF($I9444=0,0,INDEX(DarlErsatzRate,20))</f>
      </c>
      <c r="P9444" s="43">
        <f>IF($I9444=0,0,$Q9443*INDEX(DarlErsatzZins,20))</f>
      </c>
      <c r="Q9444" s="43">
        <f>IF($I9444=0,0,$Q9443+$P9444+$O9444)</f>
      </c>
      <c r="R9444" s="43">
        <f>IF($I9444=0,0,$J9444-$M9444-$N9444)</f>
      </c>
    </row>
    <row r="9445">
      <c r="A9445"/>
      <c r="B9445">
        <v>20</v>
      </c>
      <c r="C9445" s="43">
        <f>INDEX(DarlObj,20)</f>
      </c>
      <c r="D9445">
        <v>322</v>
      </c>
      <c r="E9445" s="51">
        <f>IF(INDEX(DarlBelegt,20)=0,0,EOMONTH(INDEX(DarlAuszahlung,20),321)+1)</f>
      </c>
      <c r="F9445" s="43">
        <f>IF($E9445=0,0,YEAR($E9445))</f>
      </c>
      <c r="G9445" s="43">
        <f>IF(INDEX(DarlBindung,20)="",1,IF($E9445&lt;=INDEX(DarlBindung,20),1,0))</f>
      </c>
      <c r="H9445" s="43">
        <f>IF($G9445=1,INDEX(DarlSollzins,20),INDEX(DarlAnschluss,20))</f>
      </c>
      <c r="I9445" s="43">
        <f>IF(INDEX(DarlBelegt,20)=0,0,IF(INDEX(DarlOhneTilgung,20)=1,IF(INDEX(DarlBindung,20)="",1,$G9445),IF($J9445&gt;0.005,1,0)))</f>
      </c>
      <c r="J9445" s="43">
        <f>IF($I9444=0,0,$R9444)</f>
      </c>
      <c r="K9445" s="43">
        <f>IF($I9445=0,0,IF(INDEX(DarlOhneTilgung,20)=1,0,IF(AND(INDEX(DarlTilgStart,20)&gt;0,$E9445=INDEX(DarlTilgStart,20)),$J9445*($H9445+INDEX(DarlTilgung,20))/100/12,IF(AND($G9445=0,$G9444=1),MAX($K9444,$J9445*($H9445+1)/100/12),$K9444))))</f>
      </c>
      <c r="L9445" s="43">
        <f>IF($I9445=0,0,$J9445*$H9445/100/12)</f>
      </c>
      <c r="M9445" s="43">
        <f>IF($I9445=0,0,IF(OR(INDEX(DarlOhneTilgung,20)=1,AND(INDEX(DarlTilgStart,20)&gt;0,$E9445&lt;INDEX(DarlTilgStart,20))),0,MIN(MAX(0,$K9445-$L9445),$J9445)))</f>
      </c>
      <c r="N9445" s="43">
        <f>IF($I9445=0,0,MIN(SUMIFS(SondBetrag,SondDarl,20,SondDatum,"&gt;="&amp;$E9445,SondDatum,"&lt;="&amp;EOMONTH($E9445,0)),$J9445-$M9445))</f>
      </c>
      <c r="O9445" s="43">
        <f>IF($I9445=0,0,INDEX(DarlErsatzRate,20))</f>
      </c>
      <c r="P9445" s="43">
        <f>IF($I9445=0,0,$Q9444*INDEX(DarlErsatzZins,20))</f>
      </c>
      <c r="Q9445" s="43">
        <f>IF($I9445=0,0,$Q9444+$P9445+$O9445)</f>
      </c>
      <c r="R9445" s="43">
        <f>IF($I9445=0,0,$J9445-$M9445-$N9445)</f>
      </c>
    </row>
    <row r="9446">
      <c r="A9446"/>
      <c r="B9446">
        <v>20</v>
      </c>
      <c r="C9446" s="43">
        <f>INDEX(DarlObj,20)</f>
      </c>
      <c r="D9446">
        <v>323</v>
      </c>
      <c r="E9446" s="51">
        <f>IF(INDEX(DarlBelegt,20)=0,0,EOMONTH(INDEX(DarlAuszahlung,20),322)+1)</f>
      </c>
      <c r="F9446" s="43">
        <f>IF($E9446=0,0,YEAR($E9446))</f>
      </c>
      <c r="G9446" s="43">
        <f>IF(INDEX(DarlBindung,20)="",1,IF($E9446&lt;=INDEX(DarlBindung,20),1,0))</f>
      </c>
      <c r="H9446" s="43">
        <f>IF($G9446=1,INDEX(DarlSollzins,20),INDEX(DarlAnschluss,20))</f>
      </c>
      <c r="I9446" s="43">
        <f>IF(INDEX(DarlBelegt,20)=0,0,IF(INDEX(DarlOhneTilgung,20)=1,IF(INDEX(DarlBindung,20)="",1,$G9446),IF($J9446&gt;0.005,1,0)))</f>
      </c>
      <c r="J9446" s="43">
        <f>IF($I9445=0,0,$R9445)</f>
      </c>
      <c r="K9446" s="43">
        <f>IF($I9446=0,0,IF(INDEX(DarlOhneTilgung,20)=1,0,IF(AND(INDEX(DarlTilgStart,20)&gt;0,$E9446=INDEX(DarlTilgStart,20)),$J9446*($H9446+INDEX(DarlTilgung,20))/100/12,IF(AND($G9446=0,$G9445=1),MAX($K9445,$J9446*($H9446+1)/100/12),$K9445))))</f>
      </c>
      <c r="L9446" s="43">
        <f>IF($I9446=0,0,$J9446*$H9446/100/12)</f>
      </c>
      <c r="M9446" s="43">
        <f>IF($I9446=0,0,IF(OR(INDEX(DarlOhneTilgung,20)=1,AND(INDEX(DarlTilgStart,20)&gt;0,$E9446&lt;INDEX(DarlTilgStart,20))),0,MIN(MAX(0,$K9446-$L9446),$J9446)))</f>
      </c>
      <c r="N9446" s="43">
        <f>IF($I9446=0,0,MIN(SUMIFS(SondBetrag,SondDarl,20,SondDatum,"&gt;="&amp;$E9446,SondDatum,"&lt;="&amp;EOMONTH($E9446,0)),$J9446-$M9446))</f>
      </c>
      <c r="O9446" s="43">
        <f>IF($I9446=0,0,INDEX(DarlErsatzRate,20))</f>
      </c>
      <c r="P9446" s="43">
        <f>IF($I9446=0,0,$Q9445*INDEX(DarlErsatzZins,20))</f>
      </c>
      <c r="Q9446" s="43">
        <f>IF($I9446=0,0,$Q9445+$P9446+$O9446)</f>
      </c>
      <c r="R9446" s="43">
        <f>IF($I9446=0,0,$J9446-$M9446-$N9446)</f>
      </c>
    </row>
    <row r="9447">
      <c r="A9447"/>
      <c r="B9447">
        <v>20</v>
      </c>
      <c r="C9447" s="43">
        <f>INDEX(DarlObj,20)</f>
      </c>
      <c r="D9447">
        <v>324</v>
      </c>
      <c r="E9447" s="51">
        <f>IF(INDEX(DarlBelegt,20)=0,0,EOMONTH(INDEX(DarlAuszahlung,20),323)+1)</f>
      </c>
      <c r="F9447" s="43">
        <f>IF($E9447=0,0,YEAR($E9447))</f>
      </c>
      <c r="G9447" s="43">
        <f>IF(INDEX(DarlBindung,20)="",1,IF($E9447&lt;=INDEX(DarlBindung,20),1,0))</f>
      </c>
      <c r="H9447" s="43">
        <f>IF($G9447=1,INDEX(DarlSollzins,20),INDEX(DarlAnschluss,20))</f>
      </c>
      <c r="I9447" s="43">
        <f>IF(INDEX(DarlBelegt,20)=0,0,IF(INDEX(DarlOhneTilgung,20)=1,IF(INDEX(DarlBindung,20)="",1,$G9447),IF($J9447&gt;0.005,1,0)))</f>
      </c>
      <c r="J9447" s="43">
        <f>IF($I9446=0,0,$R9446)</f>
      </c>
      <c r="K9447" s="43">
        <f>IF($I9447=0,0,IF(INDEX(DarlOhneTilgung,20)=1,0,IF(AND(INDEX(DarlTilgStart,20)&gt;0,$E9447=INDEX(DarlTilgStart,20)),$J9447*($H9447+INDEX(DarlTilgung,20))/100/12,IF(AND($G9447=0,$G9446=1),MAX($K9446,$J9447*($H9447+1)/100/12),$K9446))))</f>
      </c>
      <c r="L9447" s="43">
        <f>IF($I9447=0,0,$J9447*$H9447/100/12)</f>
      </c>
      <c r="M9447" s="43">
        <f>IF($I9447=0,0,IF(OR(INDEX(DarlOhneTilgung,20)=1,AND(INDEX(DarlTilgStart,20)&gt;0,$E9447&lt;INDEX(DarlTilgStart,20))),0,MIN(MAX(0,$K9447-$L9447),$J9447)))</f>
      </c>
      <c r="N9447" s="43">
        <f>IF($I9447=0,0,MIN(SUMIFS(SondBetrag,SondDarl,20,SondDatum,"&gt;="&amp;$E9447,SondDatum,"&lt;="&amp;EOMONTH($E9447,0)),$J9447-$M9447))</f>
      </c>
      <c r="O9447" s="43">
        <f>IF($I9447=0,0,INDEX(DarlErsatzRate,20))</f>
      </c>
      <c r="P9447" s="43">
        <f>IF($I9447=0,0,$Q9446*INDEX(DarlErsatzZins,20))</f>
      </c>
      <c r="Q9447" s="43">
        <f>IF($I9447=0,0,$Q9446+$P9447+$O9447)</f>
      </c>
      <c r="R9447" s="43">
        <f>IF($I9447=0,0,$J9447-$M9447-$N9447)</f>
      </c>
    </row>
    <row r="9448">
      <c r="A9448"/>
      <c r="B9448">
        <v>20</v>
      </c>
      <c r="C9448" s="43">
        <f>INDEX(DarlObj,20)</f>
      </c>
      <c r="D9448">
        <v>325</v>
      </c>
      <c r="E9448" s="51">
        <f>IF(INDEX(DarlBelegt,20)=0,0,EOMONTH(INDEX(DarlAuszahlung,20),324)+1)</f>
      </c>
      <c r="F9448" s="43">
        <f>IF($E9448=0,0,YEAR($E9448))</f>
      </c>
      <c r="G9448" s="43">
        <f>IF(INDEX(DarlBindung,20)="",1,IF($E9448&lt;=INDEX(DarlBindung,20),1,0))</f>
      </c>
      <c r="H9448" s="43">
        <f>IF($G9448=1,INDEX(DarlSollzins,20),INDEX(DarlAnschluss,20))</f>
      </c>
      <c r="I9448" s="43">
        <f>IF(INDEX(DarlBelegt,20)=0,0,IF(INDEX(DarlOhneTilgung,20)=1,IF(INDEX(DarlBindung,20)="",1,$G9448),IF($J9448&gt;0.005,1,0)))</f>
      </c>
      <c r="J9448" s="43">
        <f>IF($I9447=0,0,$R9447)</f>
      </c>
      <c r="K9448" s="43">
        <f>IF($I9448=0,0,IF(INDEX(DarlOhneTilgung,20)=1,0,IF(AND(INDEX(DarlTilgStart,20)&gt;0,$E9448=INDEX(DarlTilgStart,20)),$J9448*($H9448+INDEX(DarlTilgung,20))/100/12,IF(AND($G9448=0,$G9447=1),MAX($K9447,$J9448*($H9448+1)/100/12),$K9447))))</f>
      </c>
      <c r="L9448" s="43">
        <f>IF($I9448=0,0,$J9448*$H9448/100/12)</f>
      </c>
      <c r="M9448" s="43">
        <f>IF($I9448=0,0,IF(OR(INDEX(DarlOhneTilgung,20)=1,AND(INDEX(DarlTilgStart,20)&gt;0,$E9448&lt;INDEX(DarlTilgStart,20))),0,MIN(MAX(0,$K9448-$L9448),$J9448)))</f>
      </c>
      <c r="N9448" s="43">
        <f>IF($I9448=0,0,MIN(SUMIFS(SondBetrag,SondDarl,20,SondDatum,"&gt;="&amp;$E9448,SondDatum,"&lt;="&amp;EOMONTH($E9448,0)),$J9448-$M9448))</f>
      </c>
      <c r="O9448" s="43">
        <f>IF($I9448=0,0,INDEX(DarlErsatzRate,20))</f>
      </c>
      <c r="P9448" s="43">
        <f>IF($I9448=0,0,$Q9447*INDEX(DarlErsatzZins,20))</f>
      </c>
      <c r="Q9448" s="43">
        <f>IF($I9448=0,0,$Q9447+$P9448+$O9448)</f>
      </c>
      <c r="R9448" s="43">
        <f>IF($I9448=0,0,$J9448-$M9448-$N9448)</f>
      </c>
    </row>
    <row r="9449">
      <c r="A9449"/>
      <c r="B9449">
        <v>20</v>
      </c>
      <c r="C9449" s="43">
        <f>INDEX(DarlObj,20)</f>
      </c>
      <c r="D9449">
        <v>326</v>
      </c>
      <c r="E9449" s="51">
        <f>IF(INDEX(DarlBelegt,20)=0,0,EOMONTH(INDEX(DarlAuszahlung,20),325)+1)</f>
      </c>
      <c r="F9449" s="43">
        <f>IF($E9449=0,0,YEAR($E9449))</f>
      </c>
      <c r="G9449" s="43">
        <f>IF(INDEX(DarlBindung,20)="",1,IF($E9449&lt;=INDEX(DarlBindung,20),1,0))</f>
      </c>
      <c r="H9449" s="43">
        <f>IF($G9449=1,INDEX(DarlSollzins,20),INDEX(DarlAnschluss,20))</f>
      </c>
      <c r="I9449" s="43">
        <f>IF(INDEX(DarlBelegt,20)=0,0,IF(INDEX(DarlOhneTilgung,20)=1,IF(INDEX(DarlBindung,20)="",1,$G9449),IF($J9449&gt;0.005,1,0)))</f>
      </c>
      <c r="J9449" s="43">
        <f>IF($I9448=0,0,$R9448)</f>
      </c>
      <c r="K9449" s="43">
        <f>IF($I9449=0,0,IF(INDEX(DarlOhneTilgung,20)=1,0,IF(AND(INDEX(DarlTilgStart,20)&gt;0,$E9449=INDEX(DarlTilgStart,20)),$J9449*($H9449+INDEX(DarlTilgung,20))/100/12,IF(AND($G9449=0,$G9448=1),MAX($K9448,$J9449*($H9449+1)/100/12),$K9448))))</f>
      </c>
      <c r="L9449" s="43">
        <f>IF($I9449=0,0,$J9449*$H9449/100/12)</f>
      </c>
      <c r="M9449" s="43">
        <f>IF($I9449=0,0,IF(OR(INDEX(DarlOhneTilgung,20)=1,AND(INDEX(DarlTilgStart,20)&gt;0,$E9449&lt;INDEX(DarlTilgStart,20))),0,MIN(MAX(0,$K9449-$L9449),$J9449)))</f>
      </c>
      <c r="N9449" s="43">
        <f>IF($I9449=0,0,MIN(SUMIFS(SondBetrag,SondDarl,20,SondDatum,"&gt;="&amp;$E9449,SondDatum,"&lt;="&amp;EOMONTH($E9449,0)),$J9449-$M9449))</f>
      </c>
      <c r="O9449" s="43">
        <f>IF($I9449=0,0,INDEX(DarlErsatzRate,20))</f>
      </c>
      <c r="P9449" s="43">
        <f>IF($I9449=0,0,$Q9448*INDEX(DarlErsatzZins,20))</f>
      </c>
      <c r="Q9449" s="43">
        <f>IF($I9449=0,0,$Q9448+$P9449+$O9449)</f>
      </c>
      <c r="R9449" s="43">
        <f>IF($I9449=0,0,$J9449-$M9449-$N9449)</f>
      </c>
    </row>
    <row r="9450">
      <c r="A9450"/>
      <c r="B9450">
        <v>20</v>
      </c>
      <c r="C9450" s="43">
        <f>INDEX(DarlObj,20)</f>
      </c>
      <c r="D9450">
        <v>327</v>
      </c>
      <c r="E9450" s="51">
        <f>IF(INDEX(DarlBelegt,20)=0,0,EOMONTH(INDEX(DarlAuszahlung,20),326)+1)</f>
      </c>
      <c r="F9450" s="43">
        <f>IF($E9450=0,0,YEAR($E9450))</f>
      </c>
      <c r="G9450" s="43">
        <f>IF(INDEX(DarlBindung,20)="",1,IF($E9450&lt;=INDEX(DarlBindung,20),1,0))</f>
      </c>
      <c r="H9450" s="43">
        <f>IF($G9450=1,INDEX(DarlSollzins,20),INDEX(DarlAnschluss,20))</f>
      </c>
      <c r="I9450" s="43">
        <f>IF(INDEX(DarlBelegt,20)=0,0,IF(INDEX(DarlOhneTilgung,20)=1,IF(INDEX(DarlBindung,20)="",1,$G9450),IF($J9450&gt;0.005,1,0)))</f>
      </c>
      <c r="J9450" s="43">
        <f>IF($I9449=0,0,$R9449)</f>
      </c>
      <c r="K9450" s="43">
        <f>IF($I9450=0,0,IF(INDEX(DarlOhneTilgung,20)=1,0,IF(AND(INDEX(DarlTilgStart,20)&gt;0,$E9450=INDEX(DarlTilgStart,20)),$J9450*($H9450+INDEX(DarlTilgung,20))/100/12,IF(AND($G9450=0,$G9449=1),MAX($K9449,$J9450*($H9450+1)/100/12),$K9449))))</f>
      </c>
      <c r="L9450" s="43">
        <f>IF($I9450=0,0,$J9450*$H9450/100/12)</f>
      </c>
      <c r="M9450" s="43">
        <f>IF($I9450=0,0,IF(OR(INDEX(DarlOhneTilgung,20)=1,AND(INDEX(DarlTilgStart,20)&gt;0,$E9450&lt;INDEX(DarlTilgStart,20))),0,MIN(MAX(0,$K9450-$L9450),$J9450)))</f>
      </c>
      <c r="N9450" s="43">
        <f>IF($I9450=0,0,MIN(SUMIFS(SondBetrag,SondDarl,20,SondDatum,"&gt;="&amp;$E9450,SondDatum,"&lt;="&amp;EOMONTH($E9450,0)),$J9450-$M9450))</f>
      </c>
      <c r="O9450" s="43">
        <f>IF($I9450=0,0,INDEX(DarlErsatzRate,20))</f>
      </c>
      <c r="P9450" s="43">
        <f>IF($I9450=0,0,$Q9449*INDEX(DarlErsatzZins,20))</f>
      </c>
      <c r="Q9450" s="43">
        <f>IF($I9450=0,0,$Q9449+$P9450+$O9450)</f>
      </c>
      <c r="R9450" s="43">
        <f>IF($I9450=0,0,$J9450-$M9450-$N9450)</f>
      </c>
    </row>
    <row r="9451">
      <c r="A9451"/>
      <c r="B9451">
        <v>20</v>
      </c>
      <c r="C9451" s="43">
        <f>INDEX(DarlObj,20)</f>
      </c>
      <c r="D9451">
        <v>328</v>
      </c>
      <c r="E9451" s="51">
        <f>IF(INDEX(DarlBelegt,20)=0,0,EOMONTH(INDEX(DarlAuszahlung,20),327)+1)</f>
      </c>
      <c r="F9451" s="43">
        <f>IF($E9451=0,0,YEAR($E9451))</f>
      </c>
      <c r="G9451" s="43">
        <f>IF(INDEX(DarlBindung,20)="",1,IF($E9451&lt;=INDEX(DarlBindung,20),1,0))</f>
      </c>
      <c r="H9451" s="43">
        <f>IF($G9451=1,INDEX(DarlSollzins,20),INDEX(DarlAnschluss,20))</f>
      </c>
      <c r="I9451" s="43">
        <f>IF(INDEX(DarlBelegt,20)=0,0,IF(INDEX(DarlOhneTilgung,20)=1,IF(INDEX(DarlBindung,20)="",1,$G9451),IF($J9451&gt;0.005,1,0)))</f>
      </c>
      <c r="J9451" s="43">
        <f>IF($I9450=0,0,$R9450)</f>
      </c>
      <c r="K9451" s="43">
        <f>IF($I9451=0,0,IF(INDEX(DarlOhneTilgung,20)=1,0,IF(AND(INDEX(DarlTilgStart,20)&gt;0,$E9451=INDEX(DarlTilgStart,20)),$J9451*($H9451+INDEX(DarlTilgung,20))/100/12,IF(AND($G9451=0,$G9450=1),MAX($K9450,$J9451*($H9451+1)/100/12),$K9450))))</f>
      </c>
      <c r="L9451" s="43">
        <f>IF($I9451=0,0,$J9451*$H9451/100/12)</f>
      </c>
      <c r="M9451" s="43">
        <f>IF($I9451=0,0,IF(OR(INDEX(DarlOhneTilgung,20)=1,AND(INDEX(DarlTilgStart,20)&gt;0,$E9451&lt;INDEX(DarlTilgStart,20))),0,MIN(MAX(0,$K9451-$L9451),$J9451)))</f>
      </c>
      <c r="N9451" s="43">
        <f>IF($I9451=0,0,MIN(SUMIFS(SondBetrag,SondDarl,20,SondDatum,"&gt;="&amp;$E9451,SondDatum,"&lt;="&amp;EOMONTH($E9451,0)),$J9451-$M9451))</f>
      </c>
      <c r="O9451" s="43">
        <f>IF($I9451=0,0,INDEX(DarlErsatzRate,20))</f>
      </c>
      <c r="P9451" s="43">
        <f>IF($I9451=0,0,$Q9450*INDEX(DarlErsatzZins,20))</f>
      </c>
      <c r="Q9451" s="43">
        <f>IF($I9451=0,0,$Q9450+$P9451+$O9451)</f>
      </c>
      <c r="R9451" s="43">
        <f>IF($I9451=0,0,$J9451-$M9451-$N9451)</f>
      </c>
    </row>
    <row r="9452">
      <c r="A9452"/>
      <c r="B9452">
        <v>20</v>
      </c>
      <c r="C9452" s="43">
        <f>INDEX(DarlObj,20)</f>
      </c>
      <c r="D9452">
        <v>329</v>
      </c>
      <c r="E9452" s="51">
        <f>IF(INDEX(DarlBelegt,20)=0,0,EOMONTH(INDEX(DarlAuszahlung,20),328)+1)</f>
      </c>
      <c r="F9452" s="43">
        <f>IF($E9452=0,0,YEAR($E9452))</f>
      </c>
      <c r="G9452" s="43">
        <f>IF(INDEX(DarlBindung,20)="",1,IF($E9452&lt;=INDEX(DarlBindung,20),1,0))</f>
      </c>
      <c r="H9452" s="43">
        <f>IF($G9452=1,INDEX(DarlSollzins,20),INDEX(DarlAnschluss,20))</f>
      </c>
      <c r="I9452" s="43">
        <f>IF(INDEX(DarlBelegt,20)=0,0,IF(INDEX(DarlOhneTilgung,20)=1,IF(INDEX(DarlBindung,20)="",1,$G9452),IF($J9452&gt;0.005,1,0)))</f>
      </c>
      <c r="J9452" s="43">
        <f>IF($I9451=0,0,$R9451)</f>
      </c>
      <c r="K9452" s="43">
        <f>IF($I9452=0,0,IF(INDEX(DarlOhneTilgung,20)=1,0,IF(AND(INDEX(DarlTilgStart,20)&gt;0,$E9452=INDEX(DarlTilgStart,20)),$J9452*($H9452+INDEX(DarlTilgung,20))/100/12,IF(AND($G9452=0,$G9451=1),MAX($K9451,$J9452*($H9452+1)/100/12),$K9451))))</f>
      </c>
      <c r="L9452" s="43">
        <f>IF($I9452=0,0,$J9452*$H9452/100/12)</f>
      </c>
      <c r="M9452" s="43">
        <f>IF($I9452=0,0,IF(OR(INDEX(DarlOhneTilgung,20)=1,AND(INDEX(DarlTilgStart,20)&gt;0,$E9452&lt;INDEX(DarlTilgStart,20))),0,MIN(MAX(0,$K9452-$L9452),$J9452)))</f>
      </c>
      <c r="N9452" s="43">
        <f>IF($I9452=0,0,MIN(SUMIFS(SondBetrag,SondDarl,20,SondDatum,"&gt;="&amp;$E9452,SondDatum,"&lt;="&amp;EOMONTH($E9452,0)),$J9452-$M9452))</f>
      </c>
      <c r="O9452" s="43">
        <f>IF($I9452=0,0,INDEX(DarlErsatzRate,20))</f>
      </c>
      <c r="P9452" s="43">
        <f>IF($I9452=0,0,$Q9451*INDEX(DarlErsatzZins,20))</f>
      </c>
      <c r="Q9452" s="43">
        <f>IF($I9452=0,0,$Q9451+$P9452+$O9452)</f>
      </c>
      <c r="R9452" s="43">
        <f>IF($I9452=0,0,$J9452-$M9452-$N9452)</f>
      </c>
    </row>
    <row r="9453">
      <c r="A9453"/>
      <c r="B9453">
        <v>20</v>
      </c>
      <c r="C9453" s="43">
        <f>INDEX(DarlObj,20)</f>
      </c>
      <c r="D9453">
        <v>330</v>
      </c>
      <c r="E9453" s="51">
        <f>IF(INDEX(DarlBelegt,20)=0,0,EOMONTH(INDEX(DarlAuszahlung,20),329)+1)</f>
      </c>
      <c r="F9453" s="43">
        <f>IF($E9453=0,0,YEAR($E9453))</f>
      </c>
      <c r="G9453" s="43">
        <f>IF(INDEX(DarlBindung,20)="",1,IF($E9453&lt;=INDEX(DarlBindung,20),1,0))</f>
      </c>
      <c r="H9453" s="43">
        <f>IF($G9453=1,INDEX(DarlSollzins,20),INDEX(DarlAnschluss,20))</f>
      </c>
      <c r="I9453" s="43">
        <f>IF(INDEX(DarlBelegt,20)=0,0,IF(INDEX(DarlOhneTilgung,20)=1,IF(INDEX(DarlBindung,20)="",1,$G9453),IF($J9453&gt;0.005,1,0)))</f>
      </c>
      <c r="J9453" s="43">
        <f>IF($I9452=0,0,$R9452)</f>
      </c>
      <c r="K9453" s="43">
        <f>IF($I9453=0,0,IF(INDEX(DarlOhneTilgung,20)=1,0,IF(AND(INDEX(DarlTilgStart,20)&gt;0,$E9453=INDEX(DarlTilgStart,20)),$J9453*($H9453+INDEX(DarlTilgung,20))/100/12,IF(AND($G9453=0,$G9452=1),MAX($K9452,$J9453*($H9453+1)/100/12),$K9452))))</f>
      </c>
      <c r="L9453" s="43">
        <f>IF($I9453=0,0,$J9453*$H9453/100/12)</f>
      </c>
      <c r="M9453" s="43">
        <f>IF($I9453=0,0,IF(OR(INDEX(DarlOhneTilgung,20)=1,AND(INDEX(DarlTilgStart,20)&gt;0,$E9453&lt;INDEX(DarlTilgStart,20))),0,MIN(MAX(0,$K9453-$L9453),$J9453)))</f>
      </c>
      <c r="N9453" s="43">
        <f>IF($I9453=0,0,MIN(SUMIFS(SondBetrag,SondDarl,20,SondDatum,"&gt;="&amp;$E9453,SondDatum,"&lt;="&amp;EOMONTH($E9453,0)),$J9453-$M9453))</f>
      </c>
      <c r="O9453" s="43">
        <f>IF($I9453=0,0,INDEX(DarlErsatzRate,20))</f>
      </c>
      <c r="P9453" s="43">
        <f>IF($I9453=0,0,$Q9452*INDEX(DarlErsatzZins,20))</f>
      </c>
      <c r="Q9453" s="43">
        <f>IF($I9453=0,0,$Q9452+$P9453+$O9453)</f>
      </c>
      <c r="R9453" s="43">
        <f>IF($I9453=0,0,$J9453-$M9453-$N9453)</f>
      </c>
    </row>
    <row r="9454">
      <c r="A9454"/>
      <c r="B9454">
        <v>20</v>
      </c>
      <c r="C9454" s="43">
        <f>INDEX(DarlObj,20)</f>
      </c>
      <c r="D9454">
        <v>331</v>
      </c>
      <c r="E9454" s="51">
        <f>IF(INDEX(DarlBelegt,20)=0,0,EOMONTH(INDEX(DarlAuszahlung,20),330)+1)</f>
      </c>
      <c r="F9454" s="43">
        <f>IF($E9454=0,0,YEAR($E9454))</f>
      </c>
      <c r="G9454" s="43">
        <f>IF(INDEX(DarlBindung,20)="",1,IF($E9454&lt;=INDEX(DarlBindung,20),1,0))</f>
      </c>
      <c r="H9454" s="43">
        <f>IF($G9454=1,INDEX(DarlSollzins,20),INDEX(DarlAnschluss,20))</f>
      </c>
      <c r="I9454" s="43">
        <f>IF(INDEX(DarlBelegt,20)=0,0,IF(INDEX(DarlOhneTilgung,20)=1,IF(INDEX(DarlBindung,20)="",1,$G9454),IF($J9454&gt;0.005,1,0)))</f>
      </c>
      <c r="J9454" s="43">
        <f>IF($I9453=0,0,$R9453)</f>
      </c>
      <c r="K9454" s="43">
        <f>IF($I9454=0,0,IF(INDEX(DarlOhneTilgung,20)=1,0,IF(AND(INDEX(DarlTilgStart,20)&gt;0,$E9454=INDEX(DarlTilgStart,20)),$J9454*($H9454+INDEX(DarlTilgung,20))/100/12,IF(AND($G9454=0,$G9453=1),MAX($K9453,$J9454*($H9454+1)/100/12),$K9453))))</f>
      </c>
      <c r="L9454" s="43">
        <f>IF($I9454=0,0,$J9454*$H9454/100/12)</f>
      </c>
      <c r="M9454" s="43">
        <f>IF($I9454=0,0,IF(OR(INDEX(DarlOhneTilgung,20)=1,AND(INDEX(DarlTilgStart,20)&gt;0,$E9454&lt;INDEX(DarlTilgStart,20))),0,MIN(MAX(0,$K9454-$L9454),$J9454)))</f>
      </c>
      <c r="N9454" s="43">
        <f>IF($I9454=0,0,MIN(SUMIFS(SondBetrag,SondDarl,20,SondDatum,"&gt;="&amp;$E9454,SondDatum,"&lt;="&amp;EOMONTH($E9454,0)),$J9454-$M9454))</f>
      </c>
      <c r="O9454" s="43">
        <f>IF($I9454=0,0,INDEX(DarlErsatzRate,20))</f>
      </c>
      <c r="P9454" s="43">
        <f>IF($I9454=0,0,$Q9453*INDEX(DarlErsatzZins,20))</f>
      </c>
      <c r="Q9454" s="43">
        <f>IF($I9454=0,0,$Q9453+$P9454+$O9454)</f>
      </c>
      <c r="R9454" s="43">
        <f>IF($I9454=0,0,$J9454-$M9454-$N9454)</f>
      </c>
    </row>
    <row r="9455">
      <c r="A9455"/>
      <c r="B9455">
        <v>20</v>
      </c>
      <c r="C9455" s="43">
        <f>INDEX(DarlObj,20)</f>
      </c>
      <c r="D9455">
        <v>332</v>
      </c>
      <c r="E9455" s="51">
        <f>IF(INDEX(DarlBelegt,20)=0,0,EOMONTH(INDEX(DarlAuszahlung,20),331)+1)</f>
      </c>
      <c r="F9455" s="43">
        <f>IF($E9455=0,0,YEAR($E9455))</f>
      </c>
      <c r="G9455" s="43">
        <f>IF(INDEX(DarlBindung,20)="",1,IF($E9455&lt;=INDEX(DarlBindung,20),1,0))</f>
      </c>
      <c r="H9455" s="43">
        <f>IF($G9455=1,INDEX(DarlSollzins,20),INDEX(DarlAnschluss,20))</f>
      </c>
      <c r="I9455" s="43">
        <f>IF(INDEX(DarlBelegt,20)=0,0,IF(INDEX(DarlOhneTilgung,20)=1,IF(INDEX(DarlBindung,20)="",1,$G9455),IF($J9455&gt;0.005,1,0)))</f>
      </c>
      <c r="J9455" s="43">
        <f>IF($I9454=0,0,$R9454)</f>
      </c>
      <c r="K9455" s="43">
        <f>IF($I9455=0,0,IF(INDEX(DarlOhneTilgung,20)=1,0,IF(AND(INDEX(DarlTilgStart,20)&gt;0,$E9455=INDEX(DarlTilgStart,20)),$J9455*($H9455+INDEX(DarlTilgung,20))/100/12,IF(AND($G9455=0,$G9454=1),MAX($K9454,$J9455*($H9455+1)/100/12),$K9454))))</f>
      </c>
      <c r="L9455" s="43">
        <f>IF($I9455=0,0,$J9455*$H9455/100/12)</f>
      </c>
      <c r="M9455" s="43">
        <f>IF($I9455=0,0,IF(OR(INDEX(DarlOhneTilgung,20)=1,AND(INDEX(DarlTilgStart,20)&gt;0,$E9455&lt;INDEX(DarlTilgStart,20))),0,MIN(MAX(0,$K9455-$L9455),$J9455)))</f>
      </c>
      <c r="N9455" s="43">
        <f>IF($I9455=0,0,MIN(SUMIFS(SondBetrag,SondDarl,20,SondDatum,"&gt;="&amp;$E9455,SondDatum,"&lt;="&amp;EOMONTH($E9455,0)),$J9455-$M9455))</f>
      </c>
      <c r="O9455" s="43">
        <f>IF($I9455=0,0,INDEX(DarlErsatzRate,20))</f>
      </c>
      <c r="P9455" s="43">
        <f>IF($I9455=0,0,$Q9454*INDEX(DarlErsatzZins,20))</f>
      </c>
      <c r="Q9455" s="43">
        <f>IF($I9455=0,0,$Q9454+$P9455+$O9455)</f>
      </c>
      <c r="R9455" s="43">
        <f>IF($I9455=0,0,$J9455-$M9455-$N9455)</f>
      </c>
    </row>
    <row r="9456">
      <c r="A9456"/>
      <c r="B9456">
        <v>20</v>
      </c>
      <c r="C9456" s="43">
        <f>INDEX(DarlObj,20)</f>
      </c>
      <c r="D9456">
        <v>333</v>
      </c>
      <c r="E9456" s="51">
        <f>IF(INDEX(DarlBelegt,20)=0,0,EOMONTH(INDEX(DarlAuszahlung,20),332)+1)</f>
      </c>
      <c r="F9456" s="43">
        <f>IF($E9456=0,0,YEAR($E9456))</f>
      </c>
      <c r="G9456" s="43">
        <f>IF(INDEX(DarlBindung,20)="",1,IF($E9456&lt;=INDEX(DarlBindung,20),1,0))</f>
      </c>
      <c r="H9456" s="43">
        <f>IF($G9456=1,INDEX(DarlSollzins,20),INDEX(DarlAnschluss,20))</f>
      </c>
      <c r="I9456" s="43">
        <f>IF(INDEX(DarlBelegt,20)=0,0,IF(INDEX(DarlOhneTilgung,20)=1,IF(INDEX(DarlBindung,20)="",1,$G9456),IF($J9456&gt;0.005,1,0)))</f>
      </c>
      <c r="J9456" s="43">
        <f>IF($I9455=0,0,$R9455)</f>
      </c>
      <c r="K9456" s="43">
        <f>IF($I9456=0,0,IF(INDEX(DarlOhneTilgung,20)=1,0,IF(AND(INDEX(DarlTilgStart,20)&gt;0,$E9456=INDEX(DarlTilgStart,20)),$J9456*($H9456+INDEX(DarlTilgung,20))/100/12,IF(AND($G9456=0,$G9455=1),MAX($K9455,$J9456*($H9456+1)/100/12),$K9455))))</f>
      </c>
      <c r="L9456" s="43">
        <f>IF($I9456=0,0,$J9456*$H9456/100/12)</f>
      </c>
      <c r="M9456" s="43">
        <f>IF($I9456=0,0,IF(OR(INDEX(DarlOhneTilgung,20)=1,AND(INDEX(DarlTilgStart,20)&gt;0,$E9456&lt;INDEX(DarlTilgStart,20))),0,MIN(MAX(0,$K9456-$L9456),$J9456)))</f>
      </c>
      <c r="N9456" s="43">
        <f>IF($I9456=0,0,MIN(SUMIFS(SondBetrag,SondDarl,20,SondDatum,"&gt;="&amp;$E9456,SondDatum,"&lt;="&amp;EOMONTH($E9456,0)),$J9456-$M9456))</f>
      </c>
      <c r="O9456" s="43">
        <f>IF($I9456=0,0,INDEX(DarlErsatzRate,20))</f>
      </c>
      <c r="P9456" s="43">
        <f>IF($I9456=0,0,$Q9455*INDEX(DarlErsatzZins,20))</f>
      </c>
      <c r="Q9456" s="43">
        <f>IF($I9456=0,0,$Q9455+$P9456+$O9456)</f>
      </c>
      <c r="R9456" s="43">
        <f>IF($I9456=0,0,$J9456-$M9456-$N9456)</f>
      </c>
    </row>
    <row r="9457">
      <c r="A9457"/>
      <c r="B9457">
        <v>20</v>
      </c>
      <c r="C9457" s="43">
        <f>INDEX(DarlObj,20)</f>
      </c>
      <c r="D9457">
        <v>334</v>
      </c>
      <c r="E9457" s="51">
        <f>IF(INDEX(DarlBelegt,20)=0,0,EOMONTH(INDEX(DarlAuszahlung,20),333)+1)</f>
      </c>
      <c r="F9457" s="43">
        <f>IF($E9457=0,0,YEAR($E9457))</f>
      </c>
      <c r="G9457" s="43">
        <f>IF(INDEX(DarlBindung,20)="",1,IF($E9457&lt;=INDEX(DarlBindung,20),1,0))</f>
      </c>
      <c r="H9457" s="43">
        <f>IF($G9457=1,INDEX(DarlSollzins,20),INDEX(DarlAnschluss,20))</f>
      </c>
      <c r="I9457" s="43">
        <f>IF(INDEX(DarlBelegt,20)=0,0,IF(INDEX(DarlOhneTilgung,20)=1,IF(INDEX(DarlBindung,20)="",1,$G9457),IF($J9457&gt;0.005,1,0)))</f>
      </c>
      <c r="J9457" s="43">
        <f>IF($I9456=0,0,$R9456)</f>
      </c>
      <c r="K9457" s="43">
        <f>IF($I9457=0,0,IF(INDEX(DarlOhneTilgung,20)=1,0,IF(AND(INDEX(DarlTilgStart,20)&gt;0,$E9457=INDEX(DarlTilgStart,20)),$J9457*($H9457+INDEX(DarlTilgung,20))/100/12,IF(AND($G9457=0,$G9456=1),MAX($K9456,$J9457*($H9457+1)/100/12),$K9456))))</f>
      </c>
      <c r="L9457" s="43">
        <f>IF($I9457=0,0,$J9457*$H9457/100/12)</f>
      </c>
      <c r="M9457" s="43">
        <f>IF($I9457=0,0,IF(OR(INDEX(DarlOhneTilgung,20)=1,AND(INDEX(DarlTilgStart,20)&gt;0,$E9457&lt;INDEX(DarlTilgStart,20))),0,MIN(MAX(0,$K9457-$L9457),$J9457)))</f>
      </c>
      <c r="N9457" s="43">
        <f>IF($I9457=0,0,MIN(SUMIFS(SondBetrag,SondDarl,20,SondDatum,"&gt;="&amp;$E9457,SondDatum,"&lt;="&amp;EOMONTH($E9457,0)),$J9457-$M9457))</f>
      </c>
      <c r="O9457" s="43">
        <f>IF($I9457=0,0,INDEX(DarlErsatzRate,20))</f>
      </c>
      <c r="P9457" s="43">
        <f>IF($I9457=0,0,$Q9456*INDEX(DarlErsatzZins,20))</f>
      </c>
      <c r="Q9457" s="43">
        <f>IF($I9457=0,0,$Q9456+$P9457+$O9457)</f>
      </c>
      <c r="R9457" s="43">
        <f>IF($I9457=0,0,$J9457-$M9457-$N9457)</f>
      </c>
    </row>
    <row r="9458">
      <c r="A9458"/>
      <c r="B9458">
        <v>20</v>
      </c>
      <c r="C9458" s="43">
        <f>INDEX(DarlObj,20)</f>
      </c>
      <c r="D9458">
        <v>335</v>
      </c>
      <c r="E9458" s="51">
        <f>IF(INDEX(DarlBelegt,20)=0,0,EOMONTH(INDEX(DarlAuszahlung,20),334)+1)</f>
      </c>
      <c r="F9458" s="43">
        <f>IF($E9458=0,0,YEAR($E9458))</f>
      </c>
      <c r="G9458" s="43">
        <f>IF(INDEX(DarlBindung,20)="",1,IF($E9458&lt;=INDEX(DarlBindung,20),1,0))</f>
      </c>
      <c r="H9458" s="43">
        <f>IF($G9458=1,INDEX(DarlSollzins,20),INDEX(DarlAnschluss,20))</f>
      </c>
      <c r="I9458" s="43">
        <f>IF(INDEX(DarlBelegt,20)=0,0,IF(INDEX(DarlOhneTilgung,20)=1,IF(INDEX(DarlBindung,20)="",1,$G9458),IF($J9458&gt;0.005,1,0)))</f>
      </c>
      <c r="J9458" s="43">
        <f>IF($I9457=0,0,$R9457)</f>
      </c>
      <c r="K9458" s="43">
        <f>IF($I9458=0,0,IF(INDEX(DarlOhneTilgung,20)=1,0,IF(AND(INDEX(DarlTilgStart,20)&gt;0,$E9458=INDEX(DarlTilgStart,20)),$J9458*($H9458+INDEX(DarlTilgung,20))/100/12,IF(AND($G9458=0,$G9457=1),MAX($K9457,$J9458*($H9458+1)/100/12),$K9457))))</f>
      </c>
      <c r="L9458" s="43">
        <f>IF($I9458=0,0,$J9458*$H9458/100/12)</f>
      </c>
      <c r="M9458" s="43">
        <f>IF($I9458=0,0,IF(OR(INDEX(DarlOhneTilgung,20)=1,AND(INDEX(DarlTilgStart,20)&gt;0,$E9458&lt;INDEX(DarlTilgStart,20))),0,MIN(MAX(0,$K9458-$L9458),$J9458)))</f>
      </c>
      <c r="N9458" s="43">
        <f>IF($I9458=0,0,MIN(SUMIFS(SondBetrag,SondDarl,20,SondDatum,"&gt;="&amp;$E9458,SondDatum,"&lt;="&amp;EOMONTH($E9458,0)),$J9458-$M9458))</f>
      </c>
      <c r="O9458" s="43">
        <f>IF($I9458=0,0,INDEX(DarlErsatzRate,20))</f>
      </c>
      <c r="P9458" s="43">
        <f>IF($I9458=0,0,$Q9457*INDEX(DarlErsatzZins,20))</f>
      </c>
      <c r="Q9458" s="43">
        <f>IF($I9458=0,0,$Q9457+$P9458+$O9458)</f>
      </c>
      <c r="R9458" s="43">
        <f>IF($I9458=0,0,$J9458-$M9458-$N9458)</f>
      </c>
    </row>
    <row r="9459">
      <c r="A9459"/>
      <c r="B9459">
        <v>20</v>
      </c>
      <c r="C9459" s="43">
        <f>INDEX(DarlObj,20)</f>
      </c>
      <c r="D9459">
        <v>336</v>
      </c>
      <c r="E9459" s="51">
        <f>IF(INDEX(DarlBelegt,20)=0,0,EOMONTH(INDEX(DarlAuszahlung,20),335)+1)</f>
      </c>
      <c r="F9459" s="43">
        <f>IF($E9459=0,0,YEAR($E9459))</f>
      </c>
      <c r="G9459" s="43">
        <f>IF(INDEX(DarlBindung,20)="",1,IF($E9459&lt;=INDEX(DarlBindung,20),1,0))</f>
      </c>
      <c r="H9459" s="43">
        <f>IF($G9459=1,INDEX(DarlSollzins,20),INDEX(DarlAnschluss,20))</f>
      </c>
      <c r="I9459" s="43">
        <f>IF(INDEX(DarlBelegt,20)=0,0,IF(INDEX(DarlOhneTilgung,20)=1,IF(INDEX(DarlBindung,20)="",1,$G9459),IF($J9459&gt;0.005,1,0)))</f>
      </c>
      <c r="J9459" s="43">
        <f>IF($I9458=0,0,$R9458)</f>
      </c>
      <c r="K9459" s="43">
        <f>IF($I9459=0,0,IF(INDEX(DarlOhneTilgung,20)=1,0,IF(AND(INDEX(DarlTilgStart,20)&gt;0,$E9459=INDEX(DarlTilgStart,20)),$J9459*($H9459+INDEX(DarlTilgung,20))/100/12,IF(AND($G9459=0,$G9458=1),MAX($K9458,$J9459*($H9459+1)/100/12),$K9458))))</f>
      </c>
      <c r="L9459" s="43">
        <f>IF($I9459=0,0,$J9459*$H9459/100/12)</f>
      </c>
      <c r="M9459" s="43">
        <f>IF($I9459=0,0,IF(OR(INDEX(DarlOhneTilgung,20)=1,AND(INDEX(DarlTilgStart,20)&gt;0,$E9459&lt;INDEX(DarlTilgStart,20))),0,MIN(MAX(0,$K9459-$L9459),$J9459)))</f>
      </c>
      <c r="N9459" s="43">
        <f>IF($I9459=0,0,MIN(SUMIFS(SondBetrag,SondDarl,20,SondDatum,"&gt;="&amp;$E9459,SondDatum,"&lt;="&amp;EOMONTH($E9459,0)),$J9459-$M9459))</f>
      </c>
      <c r="O9459" s="43">
        <f>IF($I9459=0,0,INDEX(DarlErsatzRate,20))</f>
      </c>
      <c r="P9459" s="43">
        <f>IF($I9459=0,0,$Q9458*INDEX(DarlErsatzZins,20))</f>
      </c>
      <c r="Q9459" s="43">
        <f>IF($I9459=0,0,$Q9458+$P9459+$O9459)</f>
      </c>
      <c r="R9459" s="43">
        <f>IF($I9459=0,0,$J9459-$M9459-$N9459)</f>
      </c>
    </row>
    <row r="9460">
      <c r="A9460"/>
      <c r="B9460">
        <v>20</v>
      </c>
      <c r="C9460" s="43">
        <f>INDEX(DarlObj,20)</f>
      </c>
      <c r="D9460">
        <v>337</v>
      </c>
      <c r="E9460" s="51">
        <f>IF(INDEX(DarlBelegt,20)=0,0,EOMONTH(INDEX(DarlAuszahlung,20),336)+1)</f>
      </c>
      <c r="F9460" s="43">
        <f>IF($E9460=0,0,YEAR($E9460))</f>
      </c>
      <c r="G9460" s="43">
        <f>IF(INDEX(DarlBindung,20)="",1,IF($E9460&lt;=INDEX(DarlBindung,20),1,0))</f>
      </c>
      <c r="H9460" s="43">
        <f>IF($G9460=1,INDEX(DarlSollzins,20),INDEX(DarlAnschluss,20))</f>
      </c>
      <c r="I9460" s="43">
        <f>IF(INDEX(DarlBelegt,20)=0,0,IF(INDEX(DarlOhneTilgung,20)=1,IF(INDEX(DarlBindung,20)="",1,$G9460),IF($J9460&gt;0.005,1,0)))</f>
      </c>
      <c r="J9460" s="43">
        <f>IF($I9459=0,0,$R9459)</f>
      </c>
      <c r="K9460" s="43">
        <f>IF($I9460=0,0,IF(INDEX(DarlOhneTilgung,20)=1,0,IF(AND(INDEX(DarlTilgStart,20)&gt;0,$E9460=INDEX(DarlTilgStart,20)),$J9460*($H9460+INDEX(DarlTilgung,20))/100/12,IF(AND($G9460=0,$G9459=1),MAX($K9459,$J9460*($H9460+1)/100/12),$K9459))))</f>
      </c>
      <c r="L9460" s="43">
        <f>IF($I9460=0,0,$J9460*$H9460/100/12)</f>
      </c>
      <c r="M9460" s="43">
        <f>IF($I9460=0,0,IF(OR(INDEX(DarlOhneTilgung,20)=1,AND(INDEX(DarlTilgStart,20)&gt;0,$E9460&lt;INDEX(DarlTilgStart,20))),0,MIN(MAX(0,$K9460-$L9460),$J9460)))</f>
      </c>
      <c r="N9460" s="43">
        <f>IF($I9460=0,0,MIN(SUMIFS(SondBetrag,SondDarl,20,SondDatum,"&gt;="&amp;$E9460,SondDatum,"&lt;="&amp;EOMONTH($E9460,0)),$J9460-$M9460))</f>
      </c>
      <c r="O9460" s="43">
        <f>IF($I9460=0,0,INDEX(DarlErsatzRate,20))</f>
      </c>
      <c r="P9460" s="43">
        <f>IF($I9460=0,0,$Q9459*INDEX(DarlErsatzZins,20))</f>
      </c>
      <c r="Q9460" s="43">
        <f>IF($I9460=0,0,$Q9459+$P9460+$O9460)</f>
      </c>
      <c r="R9460" s="43">
        <f>IF($I9460=0,0,$J9460-$M9460-$N9460)</f>
      </c>
    </row>
    <row r="9461">
      <c r="A9461"/>
      <c r="B9461">
        <v>20</v>
      </c>
      <c r="C9461" s="43">
        <f>INDEX(DarlObj,20)</f>
      </c>
      <c r="D9461">
        <v>338</v>
      </c>
      <c r="E9461" s="51">
        <f>IF(INDEX(DarlBelegt,20)=0,0,EOMONTH(INDEX(DarlAuszahlung,20),337)+1)</f>
      </c>
      <c r="F9461" s="43">
        <f>IF($E9461=0,0,YEAR($E9461))</f>
      </c>
      <c r="G9461" s="43">
        <f>IF(INDEX(DarlBindung,20)="",1,IF($E9461&lt;=INDEX(DarlBindung,20),1,0))</f>
      </c>
      <c r="H9461" s="43">
        <f>IF($G9461=1,INDEX(DarlSollzins,20),INDEX(DarlAnschluss,20))</f>
      </c>
      <c r="I9461" s="43">
        <f>IF(INDEX(DarlBelegt,20)=0,0,IF(INDEX(DarlOhneTilgung,20)=1,IF(INDEX(DarlBindung,20)="",1,$G9461),IF($J9461&gt;0.005,1,0)))</f>
      </c>
      <c r="J9461" s="43">
        <f>IF($I9460=0,0,$R9460)</f>
      </c>
      <c r="K9461" s="43">
        <f>IF($I9461=0,0,IF(INDEX(DarlOhneTilgung,20)=1,0,IF(AND(INDEX(DarlTilgStart,20)&gt;0,$E9461=INDEX(DarlTilgStart,20)),$J9461*($H9461+INDEX(DarlTilgung,20))/100/12,IF(AND($G9461=0,$G9460=1),MAX($K9460,$J9461*($H9461+1)/100/12),$K9460))))</f>
      </c>
      <c r="L9461" s="43">
        <f>IF($I9461=0,0,$J9461*$H9461/100/12)</f>
      </c>
      <c r="M9461" s="43">
        <f>IF($I9461=0,0,IF(OR(INDEX(DarlOhneTilgung,20)=1,AND(INDEX(DarlTilgStart,20)&gt;0,$E9461&lt;INDEX(DarlTilgStart,20))),0,MIN(MAX(0,$K9461-$L9461),$J9461)))</f>
      </c>
      <c r="N9461" s="43">
        <f>IF($I9461=0,0,MIN(SUMIFS(SondBetrag,SondDarl,20,SondDatum,"&gt;="&amp;$E9461,SondDatum,"&lt;="&amp;EOMONTH($E9461,0)),$J9461-$M9461))</f>
      </c>
      <c r="O9461" s="43">
        <f>IF($I9461=0,0,INDEX(DarlErsatzRate,20))</f>
      </c>
      <c r="P9461" s="43">
        <f>IF($I9461=0,0,$Q9460*INDEX(DarlErsatzZins,20))</f>
      </c>
      <c r="Q9461" s="43">
        <f>IF($I9461=0,0,$Q9460+$P9461+$O9461)</f>
      </c>
      <c r="R9461" s="43">
        <f>IF($I9461=0,0,$J9461-$M9461-$N9461)</f>
      </c>
    </row>
    <row r="9462">
      <c r="A9462"/>
      <c r="B9462">
        <v>20</v>
      </c>
      <c r="C9462" s="43">
        <f>INDEX(DarlObj,20)</f>
      </c>
      <c r="D9462">
        <v>339</v>
      </c>
      <c r="E9462" s="51">
        <f>IF(INDEX(DarlBelegt,20)=0,0,EOMONTH(INDEX(DarlAuszahlung,20),338)+1)</f>
      </c>
      <c r="F9462" s="43">
        <f>IF($E9462=0,0,YEAR($E9462))</f>
      </c>
      <c r="G9462" s="43">
        <f>IF(INDEX(DarlBindung,20)="",1,IF($E9462&lt;=INDEX(DarlBindung,20),1,0))</f>
      </c>
      <c r="H9462" s="43">
        <f>IF($G9462=1,INDEX(DarlSollzins,20),INDEX(DarlAnschluss,20))</f>
      </c>
      <c r="I9462" s="43">
        <f>IF(INDEX(DarlBelegt,20)=0,0,IF(INDEX(DarlOhneTilgung,20)=1,IF(INDEX(DarlBindung,20)="",1,$G9462),IF($J9462&gt;0.005,1,0)))</f>
      </c>
      <c r="J9462" s="43">
        <f>IF($I9461=0,0,$R9461)</f>
      </c>
      <c r="K9462" s="43">
        <f>IF($I9462=0,0,IF(INDEX(DarlOhneTilgung,20)=1,0,IF(AND(INDEX(DarlTilgStart,20)&gt;0,$E9462=INDEX(DarlTilgStart,20)),$J9462*($H9462+INDEX(DarlTilgung,20))/100/12,IF(AND($G9462=0,$G9461=1),MAX($K9461,$J9462*($H9462+1)/100/12),$K9461))))</f>
      </c>
      <c r="L9462" s="43">
        <f>IF($I9462=0,0,$J9462*$H9462/100/12)</f>
      </c>
      <c r="M9462" s="43">
        <f>IF($I9462=0,0,IF(OR(INDEX(DarlOhneTilgung,20)=1,AND(INDEX(DarlTilgStart,20)&gt;0,$E9462&lt;INDEX(DarlTilgStart,20))),0,MIN(MAX(0,$K9462-$L9462),$J9462)))</f>
      </c>
      <c r="N9462" s="43">
        <f>IF($I9462=0,0,MIN(SUMIFS(SondBetrag,SondDarl,20,SondDatum,"&gt;="&amp;$E9462,SondDatum,"&lt;="&amp;EOMONTH($E9462,0)),$J9462-$M9462))</f>
      </c>
      <c r="O9462" s="43">
        <f>IF($I9462=0,0,INDEX(DarlErsatzRate,20))</f>
      </c>
      <c r="P9462" s="43">
        <f>IF($I9462=0,0,$Q9461*INDEX(DarlErsatzZins,20))</f>
      </c>
      <c r="Q9462" s="43">
        <f>IF($I9462=0,0,$Q9461+$P9462+$O9462)</f>
      </c>
      <c r="R9462" s="43">
        <f>IF($I9462=0,0,$J9462-$M9462-$N9462)</f>
      </c>
    </row>
    <row r="9463">
      <c r="A9463"/>
      <c r="B9463">
        <v>20</v>
      </c>
      <c r="C9463" s="43">
        <f>INDEX(DarlObj,20)</f>
      </c>
      <c r="D9463">
        <v>340</v>
      </c>
      <c r="E9463" s="51">
        <f>IF(INDEX(DarlBelegt,20)=0,0,EOMONTH(INDEX(DarlAuszahlung,20),339)+1)</f>
      </c>
      <c r="F9463" s="43">
        <f>IF($E9463=0,0,YEAR($E9463))</f>
      </c>
      <c r="G9463" s="43">
        <f>IF(INDEX(DarlBindung,20)="",1,IF($E9463&lt;=INDEX(DarlBindung,20),1,0))</f>
      </c>
      <c r="H9463" s="43">
        <f>IF($G9463=1,INDEX(DarlSollzins,20),INDEX(DarlAnschluss,20))</f>
      </c>
      <c r="I9463" s="43">
        <f>IF(INDEX(DarlBelegt,20)=0,0,IF(INDEX(DarlOhneTilgung,20)=1,IF(INDEX(DarlBindung,20)="",1,$G9463),IF($J9463&gt;0.005,1,0)))</f>
      </c>
      <c r="J9463" s="43">
        <f>IF($I9462=0,0,$R9462)</f>
      </c>
      <c r="K9463" s="43">
        <f>IF($I9463=0,0,IF(INDEX(DarlOhneTilgung,20)=1,0,IF(AND(INDEX(DarlTilgStart,20)&gt;0,$E9463=INDEX(DarlTilgStart,20)),$J9463*($H9463+INDEX(DarlTilgung,20))/100/12,IF(AND($G9463=0,$G9462=1),MAX($K9462,$J9463*($H9463+1)/100/12),$K9462))))</f>
      </c>
      <c r="L9463" s="43">
        <f>IF($I9463=0,0,$J9463*$H9463/100/12)</f>
      </c>
      <c r="M9463" s="43">
        <f>IF($I9463=0,0,IF(OR(INDEX(DarlOhneTilgung,20)=1,AND(INDEX(DarlTilgStart,20)&gt;0,$E9463&lt;INDEX(DarlTilgStart,20))),0,MIN(MAX(0,$K9463-$L9463),$J9463)))</f>
      </c>
      <c r="N9463" s="43">
        <f>IF($I9463=0,0,MIN(SUMIFS(SondBetrag,SondDarl,20,SondDatum,"&gt;="&amp;$E9463,SondDatum,"&lt;="&amp;EOMONTH($E9463,0)),$J9463-$M9463))</f>
      </c>
      <c r="O9463" s="43">
        <f>IF($I9463=0,0,INDEX(DarlErsatzRate,20))</f>
      </c>
      <c r="P9463" s="43">
        <f>IF($I9463=0,0,$Q9462*INDEX(DarlErsatzZins,20))</f>
      </c>
      <c r="Q9463" s="43">
        <f>IF($I9463=0,0,$Q9462+$P9463+$O9463)</f>
      </c>
      <c r="R9463" s="43">
        <f>IF($I9463=0,0,$J9463-$M9463-$N9463)</f>
      </c>
    </row>
    <row r="9464">
      <c r="A9464"/>
      <c r="B9464">
        <v>20</v>
      </c>
      <c r="C9464" s="43">
        <f>INDEX(DarlObj,20)</f>
      </c>
      <c r="D9464">
        <v>341</v>
      </c>
      <c r="E9464" s="51">
        <f>IF(INDEX(DarlBelegt,20)=0,0,EOMONTH(INDEX(DarlAuszahlung,20),340)+1)</f>
      </c>
      <c r="F9464" s="43">
        <f>IF($E9464=0,0,YEAR($E9464))</f>
      </c>
      <c r="G9464" s="43">
        <f>IF(INDEX(DarlBindung,20)="",1,IF($E9464&lt;=INDEX(DarlBindung,20),1,0))</f>
      </c>
      <c r="H9464" s="43">
        <f>IF($G9464=1,INDEX(DarlSollzins,20),INDEX(DarlAnschluss,20))</f>
      </c>
      <c r="I9464" s="43">
        <f>IF(INDEX(DarlBelegt,20)=0,0,IF(INDEX(DarlOhneTilgung,20)=1,IF(INDEX(DarlBindung,20)="",1,$G9464),IF($J9464&gt;0.005,1,0)))</f>
      </c>
      <c r="J9464" s="43">
        <f>IF($I9463=0,0,$R9463)</f>
      </c>
      <c r="K9464" s="43">
        <f>IF($I9464=0,0,IF(INDEX(DarlOhneTilgung,20)=1,0,IF(AND(INDEX(DarlTilgStart,20)&gt;0,$E9464=INDEX(DarlTilgStart,20)),$J9464*($H9464+INDEX(DarlTilgung,20))/100/12,IF(AND($G9464=0,$G9463=1),MAX($K9463,$J9464*($H9464+1)/100/12),$K9463))))</f>
      </c>
      <c r="L9464" s="43">
        <f>IF($I9464=0,0,$J9464*$H9464/100/12)</f>
      </c>
      <c r="M9464" s="43">
        <f>IF($I9464=0,0,IF(OR(INDEX(DarlOhneTilgung,20)=1,AND(INDEX(DarlTilgStart,20)&gt;0,$E9464&lt;INDEX(DarlTilgStart,20))),0,MIN(MAX(0,$K9464-$L9464),$J9464)))</f>
      </c>
      <c r="N9464" s="43">
        <f>IF($I9464=0,0,MIN(SUMIFS(SondBetrag,SondDarl,20,SondDatum,"&gt;="&amp;$E9464,SondDatum,"&lt;="&amp;EOMONTH($E9464,0)),$J9464-$M9464))</f>
      </c>
      <c r="O9464" s="43">
        <f>IF($I9464=0,0,INDEX(DarlErsatzRate,20))</f>
      </c>
      <c r="P9464" s="43">
        <f>IF($I9464=0,0,$Q9463*INDEX(DarlErsatzZins,20))</f>
      </c>
      <c r="Q9464" s="43">
        <f>IF($I9464=0,0,$Q9463+$P9464+$O9464)</f>
      </c>
      <c r="R9464" s="43">
        <f>IF($I9464=0,0,$J9464-$M9464-$N9464)</f>
      </c>
    </row>
    <row r="9465">
      <c r="A9465"/>
      <c r="B9465">
        <v>20</v>
      </c>
      <c r="C9465" s="43">
        <f>INDEX(DarlObj,20)</f>
      </c>
      <c r="D9465">
        <v>342</v>
      </c>
      <c r="E9465" s="51">
        <f>IF(INDEX(DarlBelegt,20)=0,0,EOMONTH(INDEX(DarlAuszahlung,20),341)+1)</f>
      </c>
      <c r="F9465" s="43">
        <f>IF($E9465=0,0,YEAR($E9465))</f>
      </c>
      <c r="G9465" s="43">
        <f>IF(INDEX(DarlBindung,20)="",1,IF($E9465&lt;=INDEX(DarlBindung,20),1,0))</f>
      </c>
      <c r="H9465" s="43">
        <f>IF($G9465=1,INDEX(DarlSollzins,20),INDEX(DarlAnschluss,20))</f>
      </c>
      <c r="I9465" s="43">
        <f>IF(INDEX(DarlBelegt,20)=0,0,IF(INDEX(DarlOhneTilgung,20)=1,IF(INDEX(DarlBindung,20)="",1,$G9465),IF($J9465&gt;0.005,1,0)))</f>
      </c>
      <c r="J9465" s="43">
        <f>IF($I9464=0,0,$R9464)</f>
      </c>
      <c r="K9465" s="43">
        <f>IF($I9465=0,0,IF(INDEX(DarlOhneTilgung,20)=1,0,IF(AND(INDEX(DarlTilgStart,20)&gt;0,$E9465=INDEX(DarlTilgStart,20)),$J9465*($H9465+INDEX(DarlTilgung,20))/100/12,IF(AND($G9465=0,$G9464=1),MAX($K9464,$J9465*($H9465+1)/100/12),$K9464))))</f>
      </c>
      <c r="L9465" s="43">
        <f>IF($I9465=0,0,$J9465*$H9465/100/12)</f>
      </c>
      <c r="M9465" s="43">
        <f>IF($I9465=0,0,IF(OR(INDEX(DarlOhneTilgung,20)=1,AND(INDEX(DarlTilgStart,20)&gt;0,$E9465&lt;INDEX(DarlTilgStart,20))),0,MIN(MAX(0,$K9465-$L9465),$J9465)))</f>
      </c>
      <c r="N9465" s="43">
        <f>IF($I9465=0,0,MIN(SUMIFS(SondBetrag,SondDarl,20,SondDatum,"&gt;="&amp;$E9465,SondDatum,"&lt;="&amp;EOMONTH($E9465,0)),$J9465-$M9465))</f>
      </c>
      <c r="O9465" s="43">
        <f>IF($I9465=0,0,INDEX(DarlErsatzRate,20))</f>
      </c>
      <c r="P9465" s="43">
        <f>IF($I9465=0,0,$Q9464*INDEX(DarlErsatzZins,20))</f>
      </c>
      <c r="Q9465" s="43">
        <f>IF($I9465=0,0,$Q9464+$P9465+$O9465)</f>
      </c>
      <c r="R9465" s="43">
        <f>IF($I9465=0,0,$J9465-$M9465-$N9465)</f>
      </c>
    </row>
    <row r="9466">
      <c r="A9466"/>
      <c r="B9466">
        <v>20</v>
      </c>
      <c r="C9466" s="43">
        <f>INDEX(DarlObj,20)</f>
      </c>
      <c r="D9466">
        <v>343</v>
      </c>
      <c r="E9466" s="51">
        <f>IF(INDEX(DarlBelegt,20)=0,0,EOMONTH(INDEX(DarlAuszahlung,20),342)+1)</f>
      </c>
      <c r="F9466" s="43">
        <f>IF($E9466=0,0,YEAR($E9466))</f>
      </c>
      <c r="G9466" s="43">
        <f>IF(INDEX(DarlBindung,20)="",1,IF($E9466&lt;=INDEX(DarlBindung,20),1,0))</f>
      </c>
      <c r="H9466" s="43">
        <f>IF($G9466=1,INDEX(DarlSollzins,20),INDEX(DarlAnschluss,20))</f>
      </c>
      <c r="I9466" s="43">
        <f>IF(INDEX(DarlBelegt,20)=0,0,IF(INDEX(DarlOhneTilgung,20)=1,IF(INDEX(DarlBindung,20)="",1,$G9466),IF($J9466&gt;0.005,1,0)))</f>
      </c>
      <c r="J9466" s="43">
        <f>IF($I9465=0,0,$R9465)</f>
      </c>
      <c r="K9466" s="43">
        <f>IF($I9466=0,0,IF(INDEX(DarlOhneTilgung,20)=1,0,IF(AND(INDEX(DarlTilgStart,20)&gt;0,$E9466=INDEX(DarlTilgStart,20)),$J9466*($H9466+INDEX(DarlTilgung,20))/100/12,IF(AND($G9466=0,$G9465=1),MAX($K9465,$J9466*($H9466+1)/100/12),$K9465))))</f>
      </c>
      <c r="L9466" s="43">
        <f>IF($I9466=0,0,$J9466*$H9466/100/12)</f>
      </c>
      <c r="M9466" s="43">
        <f>IF($I9466=0,0,IF(OR(INDEX(DarlOhneTilgung,20)=1,AND(INDEX(DarlTilgStart,20)&gt;0,$E9466&lt;INDEX(DarlTilgStart,20))),0,MIN(MAX(0,$K9466-$L9466),$J9466)))</f>
      </c>
      <c r="N9466" s="43">
        <f>IF($I9466=0,0,MIN(SUMIFS(SondBetrag,SondDarl,20,SondDatum,"&gt;="&amp;$E9466,SondDatum,"&lt;="&amp;EOMONTH($E9466,0)),$J9466-$M9466))</f>
      </c>
      <c r="O9466" s="43">
        <f>IF($I9466=0,0,INDEX(DarlErsatzRate,20))</f>
      </c>
      <c r="P9466" s="43">
        <f>IF($I9466=0,0,$Q9465*INDEX(DarlErsatzZins,20))</f>
      </c>
      <c r="Q9466" s="43">
        <f>IF($I9466=0,0,$Q9465+$P9466+$O9466)</f>
      </c>
      <c r="R9466" s="43">
        <f>IF($I9466=0,0,$J9466-$M9466-$N9466)</f>
      </c>
    </row>
    <row r="9467">
      <c r="A9467"/>
      <c r="B9467">
        <v>20</v>
      </c>
      <c r="C9467" s="43">
        <f>INDEX(DarlObj,20)</f>
      </c>
      <c r="D9467">
        <v>344</v>
      </c>
      <c r="E9467" s="51">
        <f>IF(INDEX(DarlBelegt,20)=0,0,EOMONTH(INDEX(DarlAuszahlung,20),343)+1)</f>
      </c>
      <c r="F9467" s="43">
        <f>IF($E9467=0,0,YEAR($E9467))</f>
      </c>
      <c r="G9467" s="43">
        <f>IF(INDEX(DarlBindung,20)="",1,IF($E9467&lt;=INDEX(DarlBindung,20),1,0))</f>
      </c>
      <c r="H9467" s="43">
        <f>IF($G9467=1,INDEX(DarlSollzins,20),INDEX(DarlAnschluss,20))</f>
      </c>
      <c r="I9467" s="43">
        <f>IF(INDEX(DarlBelegt,20)=0,0,IF(INDEX(DarlOhneTilgung,20)=1,IF(INDEX(DarlBindung,20)="",1,$G9467),IF($J9467&gt;0.005,1,0)))</f>
      </c>
      <c r="J9467" s="43">
        <f>IF($I9466=0,0,$R9466)</f>
      </c>
      <c r="K9467" s="43">
        <f>IF($I9467=0,0,IF(INDEX(DarlOhneTilgung,20)=1,0,IF(AND(INDEX(DarlTilgStart,20)&gt;0,$E9467=INDEX(DarlTilgStart,20)),$J9467*($H9467+INDEX(DarlTilgung,20))/100/12,IF(AND($G9467=0,$G9466=1),MAX($K9466,$J9467*($H9467+1)/100/12),$K9466))))</f>
      </c>
      <c r="L9467" s="43">
        <f>IF($I9467=0,0,$J9467*$H9467/100/12)</f>
      </c>
      <c r="M9467" s="43">
        <f>IF($I9467=0,0,IF(OR(INDEX(DarlOhneTilgung,20)=1,AND(INDEX(DarlTilgStart,20)&gt;0,$E9467&lt;INDEX(DarlTilgStart,20))),0,MIN(MAX(0,$K9467-$L9467),$J9467)))</f>
      </c>
      <c r="N9467" s="43">
        <f>IF($I9467=0,0,MIN(SUMIFS(SondBetrag,SondDarl,20,SondDatum,"&gt;="&amp;$E9467,SondDatum,"&lt;="&amp;EOMONTH($E9467,0)),$J9467-$M9467))</f>
      </c>
      <c r="O9467" s="43">
        <f>IF($I9467=0,0,INDEX(DarlErsatzRate,20))</f>
      </c>
      <c r="P9467" s="43">
        <f>IF($I9467=0,0,$Q9466*INDEX(DarlErsatzZins,20))</f>
      </c>
      <c r="Q9467" s="43">
        <f>IF($I9467=0,0,$Q9466+$P9467+$O9467)</f>
      </c>
      <c r="R9467" s="43">
        <f>IF($I9467=0,0,$J9467-$M9467-$N9467)</f>
      </c>
    </row>
    <row r="9468">
      <c r="A9468"/>
      <c r="B9468">
        <v>20</v>
      </c>
      <c r="C9468" s="43">
        <f>INDEX(DarlObj,20)</f>
      </c>
      <c r="D9468">
        <v>345</v>
      </c>
      <c r="E9468" s="51">
        <f>IF(INDEX(DarlBelegt,20)=0,0,EOMONTH(INDEX(DarlAuszahlung,20),344)+1)</f>
      </c>
      <c r="F9468" s="43">
        <f>IF($E9468=0,0,YEAR($E9468))</f>
      </c>
      <c r="G9468" s="43">
        <f>IF(INDEX(DarlBindung,20)="",1,IF($E9468&lt;=INDEX(DarlBindung,20),1,0))</f>
      </c>
      <c r="H9468" s="43">
        <f>IF($G9468=1,INDEX(DarlSollzins,20),INDEX(DarlAnschluss,20))</f>
      </c>
      <c r="I9468" s="43">
        <f>IF(INDEX(DarlBelegt,20)=0,0,IF(INDEX(DarlOhneTilgung,20)=1,IF(INDEX(DarlBindung,20)="",1,$G9468),IF($J9468&gt;0.005,1,0)))</f>
      </c>
      <c r="J9468" s="43">
        <f>IF($I9467=0,0,$R9467)</f>
      </c>
      <c r="K9468" s="43">
        <f>IF($I9468=0,0,IF(INDEX(DarlOhneTilgung,20)=1,0,IF(AND(INDEX(DarlTilgStart,20)&gt;0,$E9468=INDEX(DarlTilgStart,20)),$J9468*($H9468+INDEX(DarlTilgung,20))/100/12,IF(AND($G9468=0,$G9467=1),MAX($K9467,$J9468*($H9468+1)/100/12),$K9467))))</f>
      </c>
      <c r="L9468" s="43">
        <f>IF($I9468=0,0,$J9468*$H9468/100/12)</f>
      </c>
      <c r="M9468" s="43">
        <f>IF($I9468=0,0,IF(OR(INDEX(DarlOhneTilgung,20)=1,AND(INDEX(DarlTilgStart,20)&gt;0,$E9468&lt;INDEX(DarlTilgStart,20))),0,MIN(MAX(0,$K9468-$L9468),$J9468)))</f>
      </c>
      <c r="N9468" s="43">
        <f>IF($I9468=0,0,MIN(SUMIFS(SondBetrag,SondDarl,20,SondDatum,"&gt;="&amp;$E9468,SondDatum,"&lt;="&amp;EOMONTH($E9468,0)),$J9468-$M9468))</f>
      </c>
      <c r="O9468" s="43">
        <f>IF($I9468=0,0,INDEX(DarlErsatzRate,20))</f>
      </c>
      <c r="P9468" s="43">
        <f>IF($I9468=0,0,$Q9467*INDEX(DarlErsatzZins,20))</f>
      </c>
      <c r="Q9468" s="43">
        <f>IF($I9468=0,0,$Q9467+$P9468+$O9468)</f>
      </c>
      <c r="R9468" s="43">
        <f>IF($I9468=0,0,$J9468-$M9468-$N9468)</f>
      </c>
    </row>
    <row r="9469">
      <c r="A9469"/>
      <c r="B9469">
        <v>20</v>
      </c>
      <c r="C9469" s="43">
        <f>INDEX(DarlObj,20)</f>
      </c>
      <c r="D9469">
        <v>346</v>
      </c>
      <c r="E9469" s="51">
        <f>IF(INDEX(DarlBelegt,20)=0,0,EOMONTH(INDEX(DarlAuszahlung,20),345)+1)</f>
      </c>
      <c r="F9469" s="43">
        <f>IF($E9469=0,0,YEAR($E9469))</f>
      </c>
      <c r="G9469" s="43">
        <f>IF(INDEX(DarlBindung,20)="",1,IF($E9469&lt;=INDEX(DarlBindung,20),1,0))</f>
      </c>
      <c r="H9469" s="43">
        <f>IF($G9469=1,INDEX(DarlSollzins,20),INDEX(DarlAnschluss,20))</f>
      </c>
      <c r="I9469" s="43">
        <f>IF(INDEX(DarlBelegt,20)=0,0,IF(INDEX(DarlOhneTilgung,20)=1,IF(INDEX(DarlBindung,20)="",1,$G9469),IF($J9469&gt;0.005,1,0)))</f>
      </c>
      <c r="J9469" s="43">
        <f>IF($I9468=0,0,$R9468)</f>
      </c>
      <c r="K9469" s="43">
        <f>IF($I9469=0,0,IF(INDEX(DarlOhneTilgung,20)=1,0,IF(AND(INDEX(DarlTilgStart,20)&gt;0,$E9469=INDEX(DarlTilgStart,20)),$J9469*($H9469+INDEX(DarlTilgung,20))/100/12,IF(AND($G9469=0,$G9468=1),MAX($K9468,$J9469*($H9469+1)/100/12),$K9468))))</f>
      </c>
      <c r="L9469" s="43">
        <f>IF($I9469=0,0,$J9469*$H9469/100/12)</f>
      </c>
      <c r="M9469" s="43">
        <f>IF($I9469=0,0,IF(OR(INDEX(DarlOhneTilgung,20)=1,AND(INDEX(DarlTilgStart,20)&gt;0,$E9469&lt;INDEX(DarlTilgStart,20))),0,MIN(MAX(0,$K9469-$L9469),$J9469)))</f>
      </c>
      <c r="N9469" s="43">
        <f>IF($I9469=0,0,MIN(SUMIFS(SondBetrag,SondDarl,20,SondDatum,"&gt;="&amp;$E9469,SondDatum,"&lt;="&amp;EOMONTH($E9469,0)),$J9469-$M9469))</f>
      </c>
      <c r="O9469" s="43">
        <f>IF($I9469=0,0,INDEX(DarlErsatzRate,20))</f>
      </c>
      <c r="P9469" s="43">
        <f>IF($I9469=0,0,$Q9468*INDEX(DarlErsatzZins,20))</f>
      </c>
      <c r="Q9469" s="43">
        <f>IF($I9469=0,0,$Q9468+$P9469+$O9469)</f>
      </c>
      <c r="R9469" s="43">
        <f>IF($I9469=0,0,$J9469-$M9469-$N9469)</f>
      </c>
    </row>
    <row r="9470">
      <c r="A9470"/>
      <c r="B9470">
        <v>20</v>
      </c>
      <c r="C9470" s="43">
        <f>INDEX(DarlObj,20)</f>
      </c>
      <c r="D9470">
        <v>347</v>
      </c>
      <c r="E9470" s="51">
        <f>IF(INDEX(DarlBelegt,20)=0,0,EOMONTH(INDEX(DarlAuszahlung,20),346)+1)</f>
      </c>
      <c r="F9470" s="43">
        <f>IF($E9470=0,0,YEAR($E9470))</f>
      </c>
      <c r="G9470" s="43">
        <f>IF(INDEX(DarlBindung,20)="",1,IF($E9470&lt;=INDEX(DarlBindung,20),1,0))</f>
      </c>
      <c r="H9470" s="43">
        <f>IF($G9470=1,INDEX(DarlSollzins,20),INDEX(DarlAnschluss,20))</f>
      </c>
      <c r="I9470" s="43">
        <f>IF(INDEX(DarlBelegt,20)=0,0,IF(INDEX(DarlOhneTilgung,20)=1,IF(INDEX(DarlBindung,20)="",1,$G9470),IF($J9470&gt;0.005,1,0)))</f>
      </c>
      <c r="J9470" s="43">
        <f>IF($I9469=0,0,$R9469)</f>
      </c>
      <c r="K9470" s="43">
        <f>IF($I9470=0,0,IF(INDEX(DarlOhneTilgung,20)=1,0,IF(AND(INDEX(DarlTilgStart,20)&gt;0,$E9470=INDEX(DarlTilgStart,20)),$J9470*($H9470+INDEX(DarlTilgung,20))/100/12,IF(AND($G9470=0,$G9469=1),MAX($K9469,$J9470*($H9470+1)/100/12),$K9469))))</f>
      </c>
      <c r="L9470" s="43">
        <f>IF($I9470=0,0,$J9470*$H9470/100/12)</f>
      </c>
      <c r="M9470" s="43">
        <f>IF($I9470=0,0,IF(OR(INDEX(DarlOhneTilgung,20)=1,AND(INDEX(DarlTilgStart,20)&gt;0,$E9470&lt;INDEX(DarlTilgStart,20))),0,MIN(MAX(0,$K9470-$L9470),$J9470)))</f>
      </c>
      <c r="N9470" s="43">
        <f>IF($I9470=0,0,MIN(SUMIFS(SondBetrag,SondDarl,20,SondDatum,"&gt;="&amp;$E9470,SondDatum,"&lt;="&amp;EOMONTH($E9470,0)),$J9470-$M9470))</f>
      </c>
      <c r="O9470" s="43">
        <f>IF($I9470=0,0,INDEX(DarlErsatzRate,20))</f>
      </c>
      <c r="P9470" s="43">
        <f>IF($I9470=0,0,$Q9469*INDEX(DarlErsatzZins,20))</f>
      </c>
      <c r="Q9470" s="43">
        <f>IF($I9470=0,0,$Q9469+$P9470+$O9470)</f>
      </c>
      <c r="R9470" s="43">
        <f>IF($I9470=0,0,$J9470-$M9470-$N9470)</f>
      </c>
    </row>
    <row r="9471">
      <c r="A9471"/>
      <c r="B9471">
        <v>20</v>
      </c>
      <c r="C9471" s="43">
        <f>INDEX(DarlObj,20)</f>
      </c>
      <c r="D9471">
        <v>348</v>
      </c>
      <c r="E9471" s="51">
        <f>IF(INDEX(DarlBelegt,20)=0,0,EOMONTH(INDEX(DarlAuszahlung,20),347)+1)</f>
      </c>
      <c r="F9471" s="43">
        <f>IF($E9471=0,0,YEAR($E9471))</f>
      </c>
      <c r="G9471" s="43">
        <f>IF(INDEX(DarlBindung,20)="",1,IF($E9471&lt;=INDEX(DarlBindung,20),1,0))</f>
      </c>
      <c r="H9471" s="43">
        <f>IF($G9471=1,INDEX(DarlSollzins,20),INDEX(DarlAnschluss,20))</f>
      </c>
      <c r="I9471" s="43">
        <f>IF(INDEX(DarlBelegt,20)=0,0,IF(INDEX(DarlOhneTilgung,20)=1,IF(INDEX(DarlBindung,20)="",1,$G9471),IF($J9471&gt;0.005,1,0)))</f>
      </c>
      <c r="J9471" s="43">
        <f>IF($I9470=0,0,$R9470)</f>
      </c>
      <c r="K9471" s="43">
        <f>IF($I9471=0,0,IF(INDEX(DarlOhneTilgung,20)=1,0,IF(AND(INDEX(DarlTilgStart,20)&gt;0,$E9471=INDEX(DarlTilgStart,20)),$J9471*($H9471+INDEX(DarlTilgung,20))/100/12,IF(AND($G9471=0,$G9470=1),MAX($K9470,$J9471*($H9471+1)/100/12),$K9470))))</f>
      </c>
      <c r="L9471" s="43">
        <f>IF($I9471=0,0,$J9471*$H9471/100/12)</f>
      </c>
      <c r="M9471" s="43">
        <f>IF($I9471=0,0,IF(OR(INDEX(DarlOhneTilgung,20)=1,AND(INDEX(DarlTilgStart,20)&gt;0,$E9471&lt;INDEX(DarlTilgStart,20))),0,MIN(MAX(0,$K9471-$L9471),$J9471)))</f>
      </c>
      <c r="N9471" s="43">
        <f>IF($I9471=0,0,MIN(SUMIFS(SondBetrag,SondDarl,20,SondDatum,"&gt;="&amp;$E9471,SondDatum,"&lt;="&amp;EOMONTH($E9471,0)),$J9471-$M9471))</f>
      </c>
      <c r="O9471" s="43">
        <f>IF($I9471=0,0,INDEX(DarlErsatzRate,20))</f>
      </c>
      <c r="P9471" s="43">
        <f>IF($I9471=0,0,$Q9470*INDEX(DarlErsatzZins,20))</f>
      </c>
      <c r="Q9471" s="43">
        <f>IF($I9471=0,0,$Q9470+$P9471+$O9471)</f>
      </c>
      <c r="R9471" s="43">
        <f>IF($I9471=0,0,$J9471-$M9471-$N9471)</f>
      </c>
    </row>
    <row r="9472">
      <c r="A9472"/>
      <c r="B9472">
        <v>20</v>
      </c>
      <c r="C9472" s="43">
        <f>INDEX(DarlObj,20)</f>
      </c>
      <c r="D9472">
        <v>349</v>
      </c>
      <c r="E9472" s="51">
        <f>IF(INDEX(DarlBelegt,20)=0,0,EOMONTH(INDEX(DarlAuszahlung,20),348)+1)</f>
      </c>
      <c r="F9472" s="43">
        <f>IF($E9472=0,0,YEAR($E9472))</f>
      </c>
      <c r="G9472" s="43">
        <f>IF(INDEX(DarlBindung,20)="",1,IF($E9472&lt;=INDEX(DarlBindung,20),1,0))</f>
      </c>
      <c r="H9472" s="43">
        <f>IF($G9472=1,INDEX(DarlSollzins,20),INDEX(DarlAnschluss,20))</f>
      </c>
      <c r="I9472" s="43">
        <f>IF(INDEX(DarlBelegt,20)=0,0,IF(INDEX(DarlOhneTilgung,20)=1,IF(INDEX(DarlBindung,20)="",1,$G9472),IF($J9472&gt;0.005,1,0)))</f>
      </c>
      <c r="J9472" s="43">
        <f>IF($I9471=0,0,$R9471)</f>
      </c>
      <c r="K9472" s="43">
        <f>IF($I9472=0,0,IF(INDEX(DarlOhneTilgung,20)=1,0,IF(AND(INDEX(DarlTilgStart,20)&gt;0,$E9472=INDEX(DarlTilgStart,20)),$J9472*($H9472+INDEX(DarlTilgung,20))/100/12,IF(AND($G9472=0,$G9471=1),MAX($K9471,$J9472*($H9472+1)/100/12),$K9471))))</f>
      </c>
      <c r="L9472" s="43">
        <f>IF($I9472=0,0,$J9472*$H9472/100/12)</f>
      </c>
      <c r="M9472" s="43">
        <f>IF($I9472=0,0,IF(OR(INDEX(DarlOhneTilgung,20)=1,AND(INDEX(DarlTilgStart,20)&gt;0,$E9472&lt;INDEX(DarlTilgStart,20))),0,MIN(MAX(0,$K9472-$L9472),$J9472)))</f>
      </c>
      <c r="N9472" s="43">
        <f>IF($I9472=0,0,MIN(SUMIFS(SondBetrag,SondDarl,20,SondDatum,"&gt;="&amp;$E9472,SondDatum,"&lt;="&amp;EOMONTH($E9472,0)),$J9472-$M9472))</f>
      </c>
      <c r="O9472" s="43">
        <f>IF($I9472=0,0,INDEX(DarlErsatzRate,20))</f>
      </c>
      <c r="P9472" s="43">
        <f>IF($I9472=0,0,$Q9471*INDEX(DarlErsatzZins,20))</f>
      </c>
      <c r="Q9472" s="43">
        <f>IF($I9472=0,0,$Q9471+$P9472+$O9472)</f>
      </c>
      <c r="R9472" s="43">
        <f>IF($I9472=0,0,$J9472-$M9472-$N9472)</f>
      </c>
    </row>
    <row r="9473">
      <c r="A9473"/>
      <c r="B9473">
        <v>20</v>
      </c>
      <c r="C9473" s="43">
        <f>INDEX(DarlObj,20)</f>
      </c>
      <c r="D9473">
        <v>350</v>
      </c>
      <c r="E9473" s="51">
        <f>IF(INDEX(DarlBelegt,20)=0,0,EOMONTH(INDEX(DarlAuszahlung,20),349)+1)</f>
      </c>
      <c r="F9473" s="43">
        <f>IF($E9473=0,0,YEAR($E9473))</f>
      </c>
      <c r="G9473" s="43">
        <f>IF(INDEX(DarlBindung,20)="",1,IF($E9473&lt;=INDEX(DarlBindung,20),1,0))</f>
      </c>
      <c r="H9473" s="43">
        <f>IF($G9473=1,INDEX(DarlSollzins,20),INDEX(DarlAnschluss,20))</f>
      </c>
      <c r="I9473" s="43">
        <f>IF(INDEX(DarlBelegt,20)=0,0,IF(INDEX(DarlOhneTilgung,20)=1,IF(INDEX(DarlBindung,20)="",1,$G9473),IF($J9473&gt;0.005,1,0)))</f>
      </c>
      <c r="J9473" s="43">
        <f>IF($I9472=0,0,$R9472)</f>
      </c>
      <c r="K9473" s="43">
        <f>IF($I9473=0,0,IF(INDEX(DarlOhneTilgung,20)=1,0,IF(AND(INDEX(DarlTilgStart,20)&gt;0,$E9473=INDEX(DarlTilgStart,20)),$J9473*($H9473+INDEX(DarlTilgung,20))/100/12,IF(AND($G9473=0,$G9472=1),MAX($K9472,$J9473*($H9473+1)/100/12),$K9472))))</f>
      </c>
      <c r="L9473" s="43">
        <f>IF($I9473=0,0,$J9473*$H9473/100/12)</f>
      </c>
      <c r="M9473" s="43">
        <f>IF($I9473=0,0,IF(OR(INDEX(DarlOhneTilgung,20)=1,AND(INDEX(DarlTilgStart,20)&gt;0,$E9473&lt;INDEX(DarlTilgStart,20))),0,MIN(MAX(0,$K9473-$L9473),$J9473)))</f>
      </c>
      <c r="N9473" s="43">
        <f>IF($I9473=0,0,MIN(SUMIFS(SondBetrag,SondDarl,20,SondDatum,"&gt;="&amp;$E9473,SondDatum,"&lt;="&amp;EOMONTH($E9473,0)),$J9473-$M9473))</f>
      </c>
      <c r="O9473" s="43">
        <f>IF($I9473=0,0,INDEX(DarlErsatzRate,20))</f>
      </c>
      <c r="P9473" s="43">
        <f>IF($I9473=0,0,$Q9472*INDEX(DarlErsatzZins,20))</f>
      </c>
      <c r="Q9473" s="43">
        <f>IF($I9473=0,0,$Q9472+$P9473+$O9473)</f>
      </c>
      <c r="R9473" s="43">
        <f>IF($I9473=0,0,$J9473-$M9473-$N9473)</f>
      </c>
    </row>
    <row r="9474">
      <c r="A9474"/>
      <c r="B9474">
        <v>20</v>
      </c>
      <c r="C9474" s="43">
        <f>INDEX(DarlObj,20)</f>
      </c>
      <c r="D9474">
        <v>351</v>
      </c>
      <c r="E9474" s="51">
        <f>IF(INDEX(DarlBelegt,20)=0,0,EOMONTH(INDEX(DarlAuszahlung,20),350)+1)</f>
      </c>
      <c r="F9474" s="43">
        <f>IF($E9474=0,0,YEAR($E9474))</f>
      </c>
      <c r="G9474" s="43">
        <f>IF(INDEX(DarlBindung,20)="",1,IF($E9474&lt;=INDEX(DarlBindung,20),1,0))</f>
      </c>
      <c r="H9474" s="43">
        <f>IF($G9474=1,INDEX(DarlSollzins,20),INDEX(DarlAnschluss,20))</f>
      </c>
      <c r="I9474" s="43">
        <f>IF(INDEX(DarlBelegt,20)=0,0,IF(INDEX(DarlOhneTilgung,20)=1,IF(INDEX(DarlBindung,20)="",1,$G9474),IF($J9474&gt;0.005,1,0)))</f>
      </c>
      <c r="J9474" s="43">
        <f>IF($I9473=0,0,$R9473)</f>
      </c>
      <c r="K9474" s="43">
        <f>IF($I9474=0,0,IF(INDEX(DarlOhneTilgung,20)=1,0,IF(AND(INDEX(DarlTilgStart,20)&gt;0,$E9474=INDEX(DarlTilgStart,20)),$J9474*($H9474+INDEX(DarlTilgung,20))/100/12,IF(AND($G9474=0,$G9473=1),MAX($K9473,$J9474*($H9474+1)/100/12),$K9473))))</f>
      </c>
      <c r="L9474" s="43">
        <f>IF($I9474=0,0,$J9474*$H9474/100/12)</f>
      </c>
      <c r="M9474" s="43">
        <f>IF($I9474=0,0,IF(OR(INDEX(DarlOhneTilgung,20)=1,AND(INDEX(DarlTilgStart,20)&gt;0,$E9474&lt;INDEX(DarlTilgStart,20))),0,MIN(MAX(0,$K9474-$L9474),$J9474)))</f>
      </c>
      <c r="N9474" s="43">
        <f>IF($I9474=0,0,MIN(SUMIFS(SondBetrag,SondDarl,20,SondDatum,"&gt;="&amp;$E9474,SondDatum,"&lt;="&amp;EOMONTH($E9474,0)),$J9474-$M9474))</f>
      </c>
      <c r="O9474" s="43">
        <f>IF($I9474=0,0,INDEX(DarlErsatzRate,20))</f>
      </c>
      <c r="P9474" s="43">
        <f>IF($I9474=0,0,$Q9473*INDEX(DarlErsatzZins,20))</f>
      </c>
      <c r="Q9474" s="43">
        <f>IF($I9474=0,0,$Q9473+$P9474+$O9474)</f>
      </c>
      <c r="R9474" s="43">
        <f>IF($I9474=0,0,$J9474-$M9474-$N9474)</f>
      </c>
    </row>
    <row r="9475">
      <c r="A9475"/>
      <c r="B9475">
        <v>20</v>
      </c>
      <c r="C9475" s="43">
        <f>INDEX(DarlObj,20)</f>
      </c>
      <c r="D9475">
        <v>352</v>
      </c>
      <c r="E9475" s="51">
        <f>IF(INDEX(DarlBelegt,20)=0,0,EOMONTH(INDEX(DarlAuszahlung,20),351)+1)</f>
      </c>
      <c r="F9475" s="43">
        <f>IF($E9475=0,0,YEAR($E9475))</f>
      </c>
      <c r="G9475" s="43">
        <f>IF(INDEX(DarlBindung,20)="",1,IF($E9475&lt;=INDEX(DarlBindung,20),1,0))</f>
      </c>
      <c r="H9475" s="43">
        <f>IF($G9475=1,INDEX(DarlSollzins,20),INDEX(DarlAnschluss,20))</f>
      </c>
      <c r="I9475" s="43">
        <f>IF(INDEX(DarlBelegt,20)=0,0,IF(INDEX(DarlOhneTilgung,20)=1,IF(INDEX(DarlBindung,20)="",1,$G9475),IF($J9475&gt;0.005,1,0)))</f>
      </c>
      <c r="J9475" s="43">
        <f>IF($I9474=0,0,$R9474)</f>
      </c>
      <c r="K9475" s="43">
        <f>IF($I9475=0,0,IF(INDEX(DarlOhneTilgung,20)=1,0,IF(AND(INDEX(DarlTilgStart,20)&gt;0,$E9475=INDEX(DarlTilgStart,20)),$J9475*($H9475+INDEX(DarlTilgung,20))/100/12,IF(AND($G9475=0,$G9474=1),MAX($K9474,$J9475*($H9475+1)/100/12),$K9474))))</f>
      </c>
      <c r="L9475" s="43">
        <f>IF($I9475=0,0,$J9475*$H9475/100/12)</f>
      </c>
      <c r="M9475" s="43">
        <f>IF($I9475=0,0,IF(OR(INDEX(DarlOhneTilgung,20)=1,AND(INDEX(DarlTilgStart,20)&gt;0,$E9475&lt;INDEX(DarlTilgStart,20))),0,MIN(MAX(0,$K9475-$L9475),$J9475)))</f>
      </c>
      <c r="N9475" s="43">
        <f>IF($I9475=0,0,MIN(SUMIFS(SondBetrag,SondDarl,20,SondDatum,"&gt;="&amp;$E9475,SondDatum,"&lt;="&amp;EOMONTH($E9475,0)),$J9475-$M9475))</f>
      </c>
      <c r="O9475" s="43">
        <f>IF($I9475=0,0,INDEX(DarlErsatzRate,20))</f>
      </c>
      <c r="P9475" s="43">
        <f>IF($I9475=0,0,$Q9474*INDEX(DarlErsatzZins,20))</f>
      </c>
      <c r="Q9475" s="43">
        <f>IF($I9475=0,0,$Q9474+$P9475+$O9475)</f>
      </c>
      <c r="R9475" s="43">
        <f>IF($I9475=0,0,$J9475-$M9475-$N9475)</f>
      </c>
    </row>
    <row r="9476">
      <c r="A9476"/>
      <c r="B9476">
        <v>20</v>
      </c>
      <c r="C9476" s="43">
        <f>INDEX(DarlObj,20)</f>
      </c>
      <c r="D9476">
        <v>353</v>
      </c>
      <c r="E9476" s="51">
        <f>IF(INDEX(DarlBelegt,20)=0,0,EOMONTH(INDEX(DarlAuszahlung,20),352)+1)</f>
      </c>
      <c r="F9476" s="43">
        <f>IF($E9476=0,0,YEAR($E9476))</f>
      </c>
      <c r="G9476" s="43">
        <f>IF(INDEX(DarlBindung,20)="",1,IF($E9476&lt;=INDEX(DarlBindung,20),1,0))</f>
      </c>
      <c r="H9476" s="43">
        <f>IF($G9476=1,INDEX(DarlSollzins,20),INDEX(DarlAnschluss,20))</f>
      </c>
      <c r="I9476" s="43">
        <f>IF(INDEX(DarlBelegt,20)=0,0,IF(INDEX(DarlOhneTilgung,20)=1,IF(INDEX(DarlBindung,20)="",1,$G9476),IF($J9476&gt;0.005,1,0)))</f>
      </c>
      <c r="J9476" s="43">
        <f>IF($I9475=0,0,$R9475)</f>
      </c>
      <c r="K9476" s="43">
        <f>IF($I9476=0,0,IF(INDEX(DarlOhneTilgung,20)=1,0,IF(AND(INDEX(DarlTilgStart,20)&gt;0,$E9476=INDEX(DarlTilgStart,20)),$J9476*($H9476+INDEX(DarlTilgung,20))/100/12,IF(AND($G9476=0,$G9475=1),MAX($K9475,$J9476*($H9476+1)/100/12),$K9475))))</f>
      </c>
      <c r="L9476" s="43">
        <f>IF($I9476=0,0,$J9476*$H9476/100/12)</f>
      </c>
      <c r="M9476" s="43">
        <f>IF($I9476=0,0,IF(OR(INDEX(DarlOhneTilgung,20)=1,AND(INDEX(DarlTilgStart,20)&gt;0,$E9476&lt;INDEX(DarlTilgStart,20))),0,MIN(MAX(0,$K9476-$L9476),$J9476)))</f>
      </c>
      <c r="N9476" s="43">
        <f>IF($I9476=0,0,MIN(SUMIFS(SondBetrag,SondDarl,20,SondDatum,"&gt;="&amp;$E9476,SondDatum,"&lt;="&amp;EOMONTH($E9476,0)),$J9476-$M9476))</f>
      </c>
      <c r="O9476" s="43">
        <f>IF($I9476=0,0,INDEX(DarlErsatzRate,20))</f>
      </c>
      <c r="P9476" s="43">
        <f>IF($I9476=0,0,$Q9475*INDEX(DarlErsatzZins,20))</f>
      </c>
      <c r="Q9476" s="43">
        <f>IF($I9476=0,0,$Q9475+$P9476+$O9476)</f>
      </c>
      <c r="R9476" s="43">
        <f>IF($I9476=0,0,$J9476-$M9476-$N9476)</f>
      </c>
    </row>
    <row r="9477">
      <c r="A9477"/>
      <c r="B9477">
        <v>20</v>
      </c>
      <c r="C9477" s="43">
        <f>INDEX(DarlObj,20)</f>
      </c>
      <c r="D9477">
        <v>354</v>
      </c>
      <c r="E9477" s="51">
        <f>IF(INDEX(DarlBelegt,20)=0,0,EOMONTH(INDEX(DarlAuszahlung,20),353)+1)</f>
      </c>
      <c r="F9477" s="43">
        <f>IF($E9477=0,0,YEAR($E9477))</f>
      </c>
      <c r="G9477" s="43">
        <f>IF(INDEX(DarlBindung,20)="",1,IF($E9477&lt;=INDEX(DarlBindung,20),1,0))</f>
      </c>
      <c r="H9477" s="43">
        <f>IF($G9477=1,INDEX(DarlSollzins,20),INDEX(DarlAnschluss,20))</f>
      </c>
      <c r="I9477" s="43">
        <f>IF(INDEX(DarlBelegt,20)=0,0,IF(INDEX(DarlOhneTilgung,20)=1,IF(INDEX(DarlBindung,20)="",1,$G9477),IF($J9477&gt;0.005,1,0)))</f>
      </c>
      <c r="J9477" s="43">
        <f>IF($I9476=0,0,$R9476)</f>
      </c>
      <c r="K9477" s="43">
        <f>IF($I9477=0,0,IF(INDEX(DarlOhneTilgung,20)=1,0,IF(AND(INDEX(DarlTilgStart,20)&gt;0,$E9477=INDEX(DarlTilgStart,20)),$J9477*($H9477+INDEX(DarlTilgung,20))/100/12,IF(AND($G9477=0,$G9476=1),MAX($K9476,$J9477*($H9477+1)/100/12),$K9476))))</f>
      </c>
      <c r="L9477" s="43">
        <f>IF($I9477=0,0,$J9477*$H9477/100/12)</f>
      </c>
      <c r="M9477" s="43">
        <f>IF($I9477=0,0,IF(OR(INDEX(DarlOhneTilgung,20)=1,AND(INDEX(DarlTilgStart,20)&gt;0,$E9477&lt;INDEX(DarlTilgStart,20))),0,MIN(MAX(0,$K9477-$L9477),$J9477)))</f>
      </c>
      <c r="N9477" s="43">
        <f>IF($I9477=0,0,MIN(SUMIFS(SondBetrag,SondDarl,20,SondDatum,"&gt;="&amp;$E9477,SondDatum,"&lt;="&amp;EOMONTH($E9477,0)),$J9477-$M9477))</f>
      </c>
      <c r="O9477" s="43">
        <f>IF($I9477=0,0,INDEX(DarlErsatzRate,20))</f>
      </c>
      <c r="P9477" s="43">
        <f>IF($I9477=0,0,$Q9476*INDEX(DarlErsatzZins,20))</f>
      </c>
      <c r="Q9477" s="43">
        <f>IF($I9477=0,0,$Q9476+$P9477+$O9477)</f>
      </c>
      <c r="R9477" s="43">
        <f>IF($I9477=0,0,$J9477-$M9477-$N9477)</f>
      </c>
    </row>
    <row r="9478">
      <c r="A9478"/>
      <c r="B9478">
        <v>20</v>
      </c>
      <c r="C9478" s="43">
        <f>INDEX(DarlObj,20)</f>
      </c>
      <c r="D9478">
        <v>355</v>
      </c>
      <c r="E9478" s="51">
        <f>IF(INDEX(DarlBelegt,20)=0,0,EOMONTH(INDEX(DarlAuszahlung,20),354)+1)</f>
      </c>
      <c r="F9478" s="43">
        <f>IF($E9478=0,0,YEAR($E9478))</f>
      </c>
      <c r="G9478" s="43">
        <f>IF(INDEX(DarlBindung,20)="",1,IF($E9478&lt;=INDEX(DarlBindung,20),1,0))</f>
      </c>
      <c r="H9478" s="43">
        <f>IF($G9478=1,INDEX(DarlSollzins,20),INDEX(DarlAnschluss,20))</f>
      </c>
      <c r="I9478" s="43">
        <f>IF(INDEX(DarlBelegt,20)=0,0,IF(INDEX(DarlOhneTilgung,20)=1,IF(INDEX(DarlBindung,20)="",1,$G9478),IF($J9478&gt;0.005,1,0)))</f>
      </c>
      <c r="J9478" s="43">
        <f>IF($I9477=0,0,$R9477)</f>
      </c>
      <c r="K9478" s="43">
        <f>IF($I9478=0,0,IF(INDEX(DarlOhneTilgung,20)=1,0,IF(AND(INDEX(DarlTilgStart,20)&gt;0,$E9478=INDEX(DarlTilgStart,20)),$J9478*($H9478+INDEX(DarlTilgung,20))/100/12,IF(AND($G9478=0,$G9477=1),MAX($K9477,$J9478*($H9478+1)/100/12),$K9477))))</f>
      </c>
      <c r="L9478" s="43">
        <f>IF($I9478=0,0,$J9478*$H9478/100/12)</f>
      </c>
      <c r="M9478" s="43">
        <f>IF($I9478=0,0,IF(OR(INDEX(DarlOhneTilgung,20)=1,AND(INDEX(DarlTilgStart,20)&gt;0,$E9478&lt;INDEX(DarlTilgStart,20))),0,MIN(MAX(0,$K9478-$L9478),$J9478)))</f>
      </c>
      <c r="N9478" s="43">
        <f>IF($I9478=0,0,MIN(SUMIFS(SondBetrag,SondDarl,20,SondDatum,"&gt;="&amp;$E9478,SondDatum,"&lt;="&amp;EOMONTH($E9478,0)),$J9478-$M9478))</f>
      </c>
      <c r="O9478" s="43">
        <f>IF($I9478=0,0,INDEX(DarlErsatzRate,20))</f>
      </c>
      <c r="P9478" s="43">
        <f>IF($I9478=0,0,$Q9477*INDEX(DarlErsatzZins,20))</f>
      </c>
      <c r="Q9478" s="43">
        <f>IF($I9478=0,0,$Q9477+$P9478+$O9478)</f>
      </c>
      <c r="R9478" s="43">
        <f>IF($I9478=0,0,$J9478-$M9478-$N9478)</f>
      </c>
    </row>
    <row r="9479">
      <c r="A9479"/>
      <c r="B9479">
        <v>20</v>
      </c>
      <c r="C9479" s="43">
        <f>INDEX(DarlObj,20)</f>
      </c>
      <c r="D9479">
        <v>356</v>
      </c>
      <c r="E9479" s="51">
        <f>IF(INDEX(DarlBelegt,20)=0,0,EOMONTH(INDEX(DarlAuszahlung,20),355)+1)</f>
      </c>
      <c r="F9479" s="43">
        <f>IF($E9479=0,0,YEAR($E9479))</f>
      </c>
      <c r="G9479" s="43">
        <f>IF(INDEX(DarlBindung,20)="",1,IF($E9479&lt;=INDEX(DarlBindung,20),1,0))</f>
      </c>
      <c r="H9479" s="43">
        <f>IF($G9479=1,INDEX(DarlSollzins,20),INDEX(DarlAnschluss,20))</f>
      </c>
      <c r="I9479" s="43">
        <f>IF(INDEX(DarlBelegt,20)=0,0,IF(INDEX(DarlOhneTilgung,20)=1,IF(INDEX(DarlBindung,20)="",1,$G9479),IF($J9479&gt;0.005,1,0)))</f>
      </c>
      <c r="J9479" s="43">
        <f>IF($I9478=0,0,$R9478)</f>
      </c>
      <c r="K9479" s="43">
        <f>IF($I9479=0,0,IF(INDEX(DarlOhneTilgung,20)=1,0,IF(AND(INDEX(DarlTilgStart,20)&gt;0,$E9479=INDEX(DarlTilgStart,20)),$J9479*($H9479+INDEX(DarlTilgung,20))/100/12,IF(AND($G9479=0,$G9478=1),MAX($K9478,$J9479*($H9479+1)/100/12),$K9478))))</f>
      </c>
      <c r="L9479" s="43">
        <f>IF($I9479=0,0,$J9479*$H9479/100/12)</f>
      </c>
      <c r="M9479" s="43">
        <f>IF($I9479=0,0,IF(OR(INDEX(DarlOhneTilgung,20)=1,AND(INDEX(DarlTilgStart,20)&gt;0,$E9479&lt;INDEX(DarlTilgStart,20))),0,MIN(MAX(0,$K9479-$L9479),$J9479)))</f>
      </c>
      <c r="N9479" s="43">
        <f>IF($I9479=0,0,MIN(SUMIFS(SondBetrag,SondDarl,20,SondDatum,"&gt;="&amp;$E9479,SondDatum,"&lt;="&amp;EOMONTH($E9479,0)),$J9479-$M9479))</f>
      </c>
      <c r="O9479" s="43">
        <f>IF($I9479=0,0,INDEX(DarlErsatzRate,20))</f>
      </c>
      <c r="P9479" s="43">
        <f>IF($I9479=0,0,$Q9478*INDEX(DarlErsatzZins,20))</f>
      </c>
      <c r="Q9479" s="43">
        <f>IF($I9479=0,0,$Q9478+$P9479+$O9479)</f>
      </c>
      <c r="R9479" s="43">
        <f>IF($I9479=0,0,$J9479-$M9479-$N9479)</f>
      </c>
    </row>
    <row r="9480">
      <c r="A9480"/>
      <c r="B9480">
        <v>20</v>
      </c>
      <c r="C9480" s="43">
        <f>INDEX(DarlObj,20)</f>
      </c>
      <c r="D9480">
        <v>357</v>
      </c>
      <c r="E9480" s="51">
        <f>IF(INDEX(DarlBelegt,20)=0,0,EOMONTH(INDEX(DarlAuszahlung,20),356)+1)</f>
      </c>
      <c r="F9480" s="43">
        <f>IF($E9480=0,0,YEAR($E9480))</f>
      </c>
      <c r="G9480" s="43">
        <f>IF(INDEX(DarlBindung,20)="",1,IF($E9480&lt;=INDEX(DarlBindung,20),1,0))</f>
      </c>
      <c r="H9480" s="43">
        <f>IF($G9480=1,INDEX(DarlSollzins,20),INDEX(DarlAnschluss,20))</f>
      </c>
      <c r="I9480" s="43">
        <f>IF(INDEX(DarlBelegt,20)=0,0,IF(INDEX(DarlOhneTilgung,20)=1,IF(INDEX(DarlBindung,20)="",1,$G9480),IF($J9480&gt;0.005,1,0)))</f>
      </c>
      <c r="J9480" s="43">
        <f>IF($I9479=0,0,$R9479)</f>
      </c>
      <c r="K9480" s="43">
        <f>IF($I9480=0,0,IF(INDEX(DarlOhneTilgung,20)=1,0,IF(AND(INDEX(DarlTilgStart,20)&gt;0,$E9480=INDEX(DarlTilgStart,20)),$J9480*($H9480+INDEX(DarlTilgung,20))/100/12,IF(AND($G9480=0,$G9479=1),MAX($K9479,$J9480*($H9480+1)/100/12),$K9479))))</f>
      </c>
      <c r="L9480" s="43">
        <f>IF($I9480=0,0,$J9480*$H9480/100/12)</f>
      </c>
      <c r="M9480" s="43">
        <f>IF($I9480=0,0,IF(OR(INDEX(DarlOhneTilgung,20)=1,AND(INDEX(DarlTilgStart,20)&gt;0,$E9480&lt;INDEX(DarlTilgStart,20))),0,MIN(MAX(0,$K9480-$L9480),$J9480)))</f>
      </c>
      <c r="N9480" s="43">
        <f>IF($I9480=0,0,MIN(SUMIFS(SondBetrag,SondDarl,20,SondDatum,"&gt;="&amp;$E9480,SondDatum,"&lt;="&amp;EOMONTH($E9480,0)),$J9480-$M9480))</f>
      </c>
      <c r="O9480" s="43">
        <f>IF($I9480=0,0,INDEX(DarlErsatzRate,20))</f>
      </c>
      <c r="P9480" s="43">
        <f>IF($I9480=0,0,$Q9479*INDEX(DarlErsatzZins,20))</f>
      </c>
      <c r="Q9480" s="43">
        <f>IF($I9480=0,0,$Q9479+$P9480+$O9480)</f>
      </c>
      <c r="R9480" s="43">
        <f>IF($I9480=0,0,$J9480-$M9480-$N9480)</f>
      </c>
    </row>
    <row r="9481">
      <c r="A9481"/>
      <c r="B9481">
        <v>20</v>
      </c>
      <c r="C9481" s="43">
        <f>INDEX(DarlObj,20)</f>
      </c>
      <c r="D9481">
        <v>358</v>
      </c>
      <c r="E9481" s="51">
        <f>IF(INDEX(DarlBelegt,20)=0,0,EOMONTH(INDEX(DarlAuszahlung,20),357)+1)</f>
      </c>
      <c r="F9481" s="43">
        <f>IF($E9481=0,0,YEAR($E9481))</f>
      </c>
      <c r="G9481" s="43">
        <f>IF(INDEX(DarlBindung,20)="",1,IF($E9481&lt;=INDEX(DarlBindung,20),1,0))</f>
      </c>
      <c r="H9481" s="43">
        <f>IF($G9481=1,INDEX(DarlSollzins,20),INDEX(DarlAnschluss,20))</f>
      </c>
      <c r="I9481" s="43">
        <f>IF(INDEX(DarlBelegt,20)=0,0,IF(INDEX(DarlOhneTilgung,20)=1,IF(INDEX(DarlBindung,20)="",1,$G9481),IF($J9481&gt;0.005,1,0)))</f>
      </c>
      <c r="J9481" s="43">
        <f>IF($I9480=0,0,$R9480)</f>
      </c>
      <c r="K9481" s="43">
        <f>IF($I9481=0,0,IF(INDEX(DarlOhneTilgung,20)=1,0,IF(AND(INDEX(DarlTilgStart,20)&gt;0,$E9481=INDEX(DarlTilgStart,20)),$J9481*($H9481+INDEX(DarlTilgung,20))/100/12,IF(AND($G9481=0,$G9480=1),MAX($K9480,$J9481*($H9481+1)/100/12),$K9480))))</f>
      </c>
      <c r="L9481" s="43">
        <f>IF($I9481=0,0,$J9481*$H9481/100/12)</f>
      </c>
      <c r="M9481" s="43">
        <f>IF($I9481=0,0,IF(OR(INDEX(DarlOhneTilgung,20)=1,AND(INDEX(DarlTilgStart,20)&gt;0,$E9481&lt;INDEX(DarlTilgStart,20))),0,MIN(MAX(0,$K9481-$L9481),$J9481)))</f>
      </c>
      <c r="N9481" s="43">
        <f>IF($I9481=0,0,MIN(SUMIFS(SondBetrag,SondDarl,20,SondDatum,"&gt;="&amp;$E9481,SondDatum,"&lt;="&amp;EOMONTH($E9481,0)),$J9481-$M9481))</f>
      </c>
      <c r="O9481" s="43">
        <f>IF($I9481=0,0,INDEX(DarlErsatzRate,20))</f>
      </c>
      <c r="P9481" s="43">
        <f>IF($I9481=0,0,$Q9480*INDEX(DarlErsatzZins,20))</f>
      </c>
      <c r="Q9481" s="43">
        <f>IF($I9481=0,0,$Q9480+$P9481+$O9481)</f>
      </c>
      <c r="R9481" s="43">
        <f>IF($I9481=0,0,$J9481-$M9481-$N9481)</f>
      </c>
    </row>
    <row r="9482">
      <c r="A9482"/>
      <c r="B9482">
        <v>20</v>
      </c>
      <c r="C9482" s="43">
        <f>INDEX(DarlObj,20)</f>
      </c>
      <c r="D9482">
        <v>359</v>
      </c>
      <c r="E9482" s="51">
        <f>IF(INDEX(DarlBelegt,20)=0,0,EOMONTH(INDEX(DarlAuszahlung,20),358)+1)</f>
      </c>
      <c r="F9482" s="43">
        <f>IF($E9482=0,0,YEAR($E9482))</f>
      </c>
      <c r="G9482" s="43">
        <f>IF(INDEX(DarlBindung,20)="",1,IF($E9482&lt;=INDEX(DarlBindung,20),1,0))</f>
      </c>
      <c r="H9482" s="43">
        <f>IF($G9482=1,INDEX(DarlSollzins,20),INDEX(DarlAnschluss,20))</f>
      </c>
      <c r="I9482" s="43">
        <f>IF(INDEX(DarlBelegt,20)=0,0,IF(INDEX(DarlOhneTilgung,20)=1,IF(INDEX(DarlBindung,20)="",1,$G9482),IF($J9482&gt;0.005,1,0)))</f>
      </c>
      <c r="J9482" s="43">
        <f>IF($I9481=0,0,$R9481)</f>
      </c>
      <c r="K9482" s="43">
        <f>IF($I9482=0,0,IF(INDEX(DarlOhneTilgung,20)=1,0,IF(AND(INDEX(DarlTilgStart,20)&gt;0,$E9482=INDEX(DarlTilgStart,20)),$J9482*($H9482+INDEX(DarlTilgung,20))/100/12,IF(AND($G9482=0,$G9481=1),MAX($K9481,$J9482*($H9482+1)/100/12),$K9481))))</f>
      </c>
      <c r="L9482" s="43">
        <f>IF($I9482=0,0,$J9482*$H9482/100/12)</f>
      </c>
      <c r="M9482" s="43">
        <f>IF($I9482=0,0,IF(OR(INDEX(DarlOhneTilgung,20)=1,AND(INDEX(DarlTilgStart,20)&gt;0,$E9482&lt;INDEX(DarlTilgStart,20))),0,MIN(MAX(0,$K9482-$L9482),$J9482)))</f>
      </c>
      <c r="N9482" s="43">
        <f>IF($I9482=0,0,MIN(SUMIFS(SondBetrag,SondDarl,20,SondDatum,"&gt;="&amp;$E9482,SondDatum,"&lt;="&amp;EOMONTH($E9482,0)),$J9482-$M9482))</f>
      </c>
      <c r="O9482" s="43">
        <f>IF($I9482=0,0,INDEX(DarlErsatzRate,20))</f>
      </c>
      <c r="P9482" s="43">
        <f>IF($I9482=0,0,$Q9481*INDEX(DarlErsatzZins,20))</f>
      </c>
      <c r="Q9482" s="43">
        <f>IF($I9482=0,0,$Q9481+$P9482+$O9482)</f>
      </c>
      <c r="R9482" s="43">
        <f>IF($I9482=0,0,$J9482-$M9482-$N9482)</f>
      </c>
    </row>
    <row r="9483">
      <c r="A9483"/>
      <c r="B9483">
        <v>20</v>
      </c>
      <c r="C9483" s="43">
        <f>INDEX(DarlObj,20)</f>
      </c>
      <c r="D9483">
        <v>360</v>
      </c>
      <c r="E9483" s="51">
        <f>IF(INDEX(DarlBelegt,20)=0,0,EOMONTH(INDEX(DarlAuszahlung,20),359)+1)</f>
      </c>
      <c r="F9483" s="43">
        <f>IF($E9483=0,0,YEAR($E9483))</f>
      </c>
      <c r="G9483" s="43">
        <f>IF(INDEX(DarlBindung,20)="",1,IF($E9483&lt;=INDEX(DarlBindung,20),1,0))</f>
      </c>
      <c r="H9483" s="43">
        <f>IF($G9483=1,INDEX(DarlSollzins,20),INDEX(DarlAnschluss,20))</f>
      </c>
      <c r="I9483" s="43">
        <f>IF(INDEX(DarlBelegt,20)=0,0,IF(INDEX(DarlOhneTilgung,20)=1,IF(INDEX(DarlBindung,20)="",1,$G9483),IF($J9483&gt;0.005,1,0)))</f>
      </c>
      <c r="J9483" s="43">
        <f>IF($I9482=0,0,$R9482)</f>
      </c>
      <c r="K9483" s="43">
        <f>IF($I9483=0,0,IF(INDEX(DarlOhneTilgung,20)=1,0,IF(AND(INDEX(DarlTilgStart,20)&gt;0,$E9483=INDEX(DarlTilgStart,20)),$J9483*($H9483+INDEX(DarlTilgung,20))/100/12,IF(AND($G9483=0,$G9482=1),MAX($K9482,$J9483*($H9483+1)/100/12),$K9482))))</f>
      </c>
      <c r="L9483" s="43">
        <f>IF($I9483=0,0,$J9483*$H9483/100/12)</f>
      </c>
      <c r="M9483" s="43">
        <f>IF($I9483=0,0,IF(OR(INDEX(DarlOhneTilgung,20)=1,AND(INDEX(DarlTilgStart,20)&gt;0,$E9483&lt;INDEX(DarlTilgStart,20))),0,MIN(MAX(0,$K9483-$L9483),$J9483)))</f>
      </c>
      <c r="N9483" s="43">
        <f>IF($I9483=0,0,MIN(SUMIFS(SondBetrag,SondDarl,20,SondDatum,"&gt;="&amp;$E9483,SondDatum,"&lt;="&amp;EOMONTH($E9483,0)),$J9483-$M9483))</f>
      </c>
      <c r="O9483" s="43">
        <f>IF($I9483=0,0,INDEX(DarlErsatzRate,20))</f>
      </c>
      <c r="P9483" s="43">
        <f>IF($I9483=0,0,$Q9482*INDEX(DarlErsatzZins,20))</f>
      </c>
      <c r="Q9483" s="43">
        <f>IF($I9483=0,0,$Q9482+$P9483+$O9483)</f>
      </c>
      <c r="R9483" s="43">
        <f>IF($I9483=0,0,$J9483-$M9483-$N9483)</f>
      </c>
    </row>
    <row r="9484">
      <c r="A9484"/>
      <c r="B9484">
        <v>20</v>
      </c>
      <c r="C9484" s="43">
        <f>INDEX(DarlObj,20)</f>
      </c>
      <c r="D9484">
        <v>361</v>
      </c>
      <c r="E9484" s="51">
        <f>IF(INDEX(DarlBelegt,20)=0,0,EOMONTH(INDEX(DarlAuszahlung,20),360)+1)</f>
      </c>
      <c r="F9484" s="43">
        <f>IF($E9484=0,0,YEAR($E9484))</f>
      </c>
      <c r="G9484" s="43">
        <f>IF(INDEX(DarlBindung,20)="",1,IF($E9484&lt;=INDEX(DarlBindung,20),1,0))</f>
      </c>
      <c r="H9484" s="43">
        <f>IF($G9484=1,INDEX(DarlSollzins,20),INDEX(DarlAnschluss,20))</f>
      </c>
      <c r="I9484" s="43">
        <f>IF(INDEX(DarlBelegt,20)=0,0,IF(INDEX(DarlOhneTilgung,20)=1,IF(INDEX(DarlBindung,20)="",1,$G9484),IF($J9484&gt;0.005,1,0)))</f>
      </c>
      <c r="J9484" s="43">
        <f>IF($I9483=0,0,$R9483)</f>
      </c>
      <c r="K9484" s="43">
        <f>IF($I9484=0,0,IF(INDEX(DarlOhneTilgung,20)=1,0,IF(AND(INDEX(DarlTilgStart,20)&gt;0,$E9484=INDEX(DarlTilgStart,20)),$J9484*($H9484+INDEX(DarlTilgung,20))/100/12,IF(AND($G9484=0,$G9483=1),MAX($K9483,$J9484*($H9484+1)/100/12),$K9483))))</f>
      </c>
      <c r="L9484" s="43">
        <f>IF($I9484=0,0,$J9484*$H9484/100/12)</f>
      </c>
      <c r="M9484" s="43">
        <f>IF($I9484=0,0,IF(OR(INDEX(DarlOhneTilgung,20)=1,AND(INDEX(DarlTilgStart,20)&gt;0,$E9484&lt;INDEX(DarlTilgStart,20))),0,MIN(MAX(0,$K9484-$L9484),$J9484)))</f>
      </c>
      <c r="N9484" s="43">
        <f>IF($I9484=0,0,MIN(SUMIFS(SondBetrag,SondDarl,20,SondDatum,"&gt;="&amp;$E9484,SondDatum,"&lt;="&amp;EOMONTH($E9484,0)),$J9484-$M9484))</f>
      </c>
      <c r="O9484" s="43">
        <f>IF($I9484=0,0,INDEX(DarlErsatzRate,20))</f>
      </c>
      <c r="P9484" s="43">
        <f>IF($I9484=0,0,$Q9483*INDEX(DarlErsatzZins,20))</f>
      </c>
      <c r="Q9484" s="43">
        <f>IF($I9484=0,0,$Q9483+$P9484+$O9484)</f>
      </c>
      <c r="R9484" s="43">
        <f>IF($I9484=0,0,$J9484-$M9484-$N9484)</f>
      </c>
    </row>
    <row r="9485">
      <c r="A9485"/>
      <c r="B9485">
        <v>20</v>
      </c>
      <c r="C9485" s="43">
        <f>INDEX(DarlObj,20)</f>
      </c>
      <c r="D9485">
        <v>362</v>
      </c>
      <c r="E9485" s="51">
        <f>IF(INDEX(DarlBelegt,20)=0,0,EOMONTH(INDEX(DarlAuszahlung,20),361)+1)</f>
      </c>
      <c r="F9485" s="43">
        <f>IF($E9485=0,0,YEAR($E9485))</f>
      </c>
      <c r="G9485" s="43">
        <f>IF(INDEX(DarlBindung,20)="",1,IF($E9485&lt;=INDEX(DarlBindung,20),1,0))</f>
      </c>
      <c r="H9485" s="43">
        <f>IF($G9485=1,INDEX(DarlSollzins,20),INDEX(DarlAnschluss,20))</f>
      </c>
      <c r="I9485" s="43">
        <f>IF(INDEX(DarlBelegt,20)=0,0,IF(INDEX(DarlOhneTilgung,20)=1,IF(INDEX(DarlBindung,20)="",1,$G9485),IF($J9485&gt;0.005,1,0)))</f>
      </c>
      <c r="J9485" s="43">
        <f>IF($I9484=0,0,$R9484)</f>
      </c>
      <c r="K9485" s="43">
        <f>IF($I9485=0,0,IF(INDEX(DarlOhneTilgung,20)=1,0,IF(AND(INDEX(DarlTilgStart,20)&gt;0,$E9485=INDEX(DarlTilgStart,20)),$J9485*($H9485+INDEX(DarlTilgung,20))/100/12,IF(AND($G9485=0,$G9484=1),MAX($K9484,$J9485*($H9485+1)/100/12),$K9484))))</f>
      </c>
      <c r="L9485" s="43">
        <f>IF($I9485=0,0,$J9485*$H9485/100/12)</f>
      </c>
      <c r="M9485" s="43">
        <f>IF($I9485=0,0,IF(OR(INDEX(DarlOhneTilgung,20)=1,AND(INDEX(DarlTilgStart,20)&gt;0,$E9485&lt;INDEX(DarlTilgStart,20))),0,MIN(MAX(0,$K9485-$L9485),$J9485)))</f>
      </c>
      <c r="N9485" s="43">
        <f>IF($I9485=0,0,MIN(SUMIFS(SondBetrag,SondDarl,20,SondDatum,"&gt;="&amp;$E9485,SondDatum,"&lt;="&amp;EOMONTH($E9485,0)),$J9485-$M9485))</f>
      </c>
      <c r="O9485" s="43">
        <f>IF($I9485=0,0,INDEX(DarlErsatzRate,20))</f>
      </c>
      <c r="P9485" s="43">
        <f>IF($I9485=0,0,$Q9484*INDEX(DarlErsatzZins,20))</f>
      </c>
      <c r="Q9485" s="43">
        <f>IF($I9485=0,0,$Q9484+$P9485+$O9485)</f>
      </c>
      <c r="R9485" s="43">
        <f>IF($I9485=0,0,$J9485-$M9485-$N9485)</f>
      </c>
    </row>
    <row r="9486">
      <c r="A9486"/>
      <c r="B9486">
        <v>20</v>
      </c>
      <c r="C9486" s="43">
        <f>INDEX(DarlObj,20)</f>
      </c>
      <c r="D9486">
        <v>363</v>
      </c>
      <c r="E9486" s="51">
        <f>IF(INDEX(DarlBelegt,20)=0,0,EOMONTH(INDEX(DarlAuszahlung,20),362)+1)</f>
      </c>
      <c r="F9486" s="43">
        <f>IF($E9486=0,0,YEAR($E9486))</f>
      </c>
      <c r="G9486" s="43">
        <f>IF(INDEX(DarlBindung,20)="",1,IF($E9486&lt;=INDEX(DarlBindung,20),1,0))</f>
      </c>
      <c r="H9486" s="43">
        <f>IF($G9486=1,INDEX(DarlSollzins,20),INDEX(DarlAnschluss,20))</f>
      </c>
      <c r="I9486" s="43">
        <f>IF(INDEX(DarlBelegt,20)=0,0,IF(INDEX(DarlOhneTilgung,20)=1,IF(INDEX(DarlBindung,20)="",1,$G9486),IF($J9486&gt;0.005,1,0)))</f>
      </c>
      <c r="J9486" s="43">
        <f>IF($I9485=0,0,$R9485)</f>
      </c>
      <c r="K9486" s="43">
        <f>IF($I9486=0,0,IF(INDEX(DarlOhneTilgung,20)=1,0,IF(AND(INDEX(DarlTilgStart,20)&gt;0,$E9486=INDEX(DarlTilgStart,20)),$J9486*($H9486+INDEX(DarlTilgung,20))/100/12,IF(AND($G9486=0,$G9485=1),MAX($K9485,$J9486*($H9486+1)/100/12),$K9485))))</f>
      </c>
      <c r="L9486" s="43">
        <f>IF($I9486=0,0,$J9486*$H9486/100/12)</f>
      </c>
      <c r="M9486" s="43">
        <f>IF($I9486=0,0,IF(OR(INDEX(DarlOhneTilgung,20)=1,AND(INDEX(DarlTilgStart,20)&gt;0,$E9486&lt;INDEX(DarlTilgStart,20))),0,MIN(MAX(0,$K9486-$L9486),$J9486)))</f>
      </c>
      <c r="N9486" s="43">
        <f>IF($I9486=0,0,MIN(SUMIFS(SondBetrag,SondDarl,20,SondDatum,"&gt;="&amp;$E9486,SondDatum,"&lt;="&amp;EOMONTH($E9486,0)),$J9486-$M9486))</f>
      </c>
      <c r="O9486" s="43">
        <f>IF($I9486=0,0,INDEX(DarlErsatzRate,20))</f>
      </c>
      <c r="P9486" s="43">
        <f>IF($I9486=0,0,$Q9485*INDEX(DarlErsatzZins,20))</f>
      </c>
      <c r="Q9486" s="43">
        <f>IF($I9486=0,0,$Q9485+$P9486+$O9486)</f>
      </c>
      <c r="R9486" s="43">
        <f>IF($I9486=0,0,$J9486-$M9486-$N9486)</f>
      </c>
    </row>
    <row r="9487">
      <c r="A9487"/>
      <c r="B9487">
        <v>20</v>
      </c>
      <c r="C9487" s="43">
        <f>INDEX(DarlObj,20)</f>
      </c>
      <c r="D9487">
        <v>364</v>
      </c>
      <c r="E9487" s="51">
        <f>IF(INDEX(DarlBelegt,20)=0,0,EOMONTH(INDEX(DarlAuszahlung,20),363)+1)</f>
      </c>
      <c r="F9487" s="43">
        <f>IF($E9487=0,0,YEAR($E9487))</f>
      </c>
      <c r="G9487" s="43">
        <f>IF(INDEX(DarlBindung,20)="",1,IF($E9487&lt;=INDEX(DarlBindung,20),1,0))</f>
      </c>
      <c r="H9487" s="43">
        <f>IF($G9487=1,INDEX(DarlSollzins,20),INDEX(DarlAnschluss,20))</f>
      </c>
      <c r="I9487" s="43">
        <f>IF(INDEX(DarlBelegt,20)=0,0,IF(INDEX(DarlOhneTilgung,20)=1,IF(INDEX(DarlBindung,20)="",1,$G9487),IF($J9487&gt;0.005,1,0)))</f>
      </c>
      <c r="J9487" s="43">
        <f>IF($I9486=0,0,$R9486)</f>
      </c>
      <c r="K9487" s="43">
        <f>IF($I9487=0,0,IF(INDEX(DarlOhneTilgung,20)=1,0,IF(AND(INDEX(DarlTilgStart,20)&gt;0,$E9487=INDEX(DarlTilgStart,20)),$J9487*($H9487+INDEX(DarlTilgung,20))/100/12,IF(AND($G9487=0,$G9486=1),MAX($K9486,$J9487*($H9487+1)/100/12),$K9486))))</f>
      </c>
      <c r="L9487" s="43">
        <f>IF($I9487=0,0,$J9487*$H9487/100/12)</f>
      </c>
      <c r="M9487" s="43">
        <f>IF($I9487=0,0,IF(OR(INDEX(DarlOhneTilgung,20)=1,AND(INDEX(DarlTilgStart,20)&gt;0,$E9487&lt;INDEX(DarlTilgStart,20))),0,MIN(MAX(0,$K9487-$L9487),$J9487)))</f>
      </c>
      <c r="N9487" s="43">
        <f>IF($I9487=0,0,MIN(SUMIFS(SondBetrag,SondDarl,20,SondDatum,"&gt;="&amp;$E9487,SondDatum,"&lt;="&amp;EOMONTH($E9487,0)),$J9487-$M9487))</f>
      </c>
      <c r="O9487" s="43">
        <f>IF($I9487=0,0,INDEX(DarlErsatzRate,20))</f>
      </c>
      <c r="P9487" s="43">
        <f>IF($I9487=0,0,$Q9486*INDEX(DarlErsatzZins,20))</f>
      </c>
      <c r="Q9487" s="43">
        <f>IF($I9487=0,0,$Q9486+$P9487+$O9487)</f>
      </c>
      <c r="R9487" s="43">
        <f>IF($I9487=0,0,$J9487-$M9487-$N9487)</f>
      </c>
    </row>
    <row r="9488">
      <c r="A9488"/>
      <c r="B9488">
        <v>20</v>
      </c>
      <c r="C9488" s="43">
        <f>INDEX(DarlObj,20)</f>
      </c>
      <c r="D9488">
        <v>365</v>
      </c>
      <c r="E9488" s="51">
        <f>IF(INDEX(DarlBelegt,20)=0,0,EOMONTH(INDEX(DarlAuszahlung,20),364)+1)</f>
      </c>
      <c r="F9488" s="43">
        <f>IF($E9488=0,0,YEAR($E9488))</f>
      </c>
      <c r="G9488" s="43">
        <f>IF(INDEX(DarlBindung,20)="",1,IF($E9488&lt;=INDEX(DarlBindung,20),1,0))</f>
      </c>
      <c r="H9488" s="43">
        <f>IF($G9488=1,INDEX(DarlSollzins,20),INDEX(DarlAnschluss,20))</f>
      </c>
      <c r="I9488" s="43">
        <f>IF(INDEX(DarlBelegt,20)=0,0,IF(INDEX(DarlOhneTilgung,20)=1,IF(INDEX(DarlBindung,20)="",1,$G9488),IF($J9488&gt;0.005,1,0)))</f>
      </c>
      <c r="J9488" s="43">
        <f>IF($I9487=0,0,$R9487)</f>
      </c>
      <c r="K9488" s="43">
        <f>IF($I9488=0,0,IF(INDEX(DarlOhneTilgung,20)=1,0,IF(AND(INDEX(DarlTilgStart,20)&gt;0,$E9488=INDEX(DarlTilgStart,20)),$J9488*($H9488+INDEX(DarlTilgung,20))/100/12,IF(AND($G9488=0,$G9487=1),MAX($K9487,$J9488*($H9488+1)/100/12),$K9487))))</f>
      </c>
      <c r="L9488" s="43">
        <f>IF($I9488=0,0,$J9488*$H9488/100/12)</f>
      </c>
      <c r="M9488" s="43">
        <f>IF($I9488=0,0,IF(OR(INDEX(DarlOhneTilgung,20)=1,AND(INDEX(DarlTilgStart,20)&gt;0,$E9488&lt;INDEX(DarlTilgStart,20))),0,MIN(MAX(0,$K9488-$L9488),$J9488)))</f>
      </c>
      <c r="N9488" s="43">
        <f>IF($I9488=0,0,MIN(SUMIFS(SondBetrag,SondDarl,20,SondDatum,"&gt;="&amp;$E9488,SondDatum,"&lt;="&amp;EOMONTH($E9488,0)),$J9488-$M9488))</f>
      </c>
      <c r="O9488" s="43">
        <f>IF($I9488=0,0,INDEX(DarlErsatzRate,20))</f>
      </c>
      <c r="P9488" s="43">
        <f>IF($I9488=0,0,$Q9487*INDEX(DarlErsatzZins,20))</f>
      </c>
      <c r="Q9488" s="43">
        <f>IF($I9488=0,0,$Q9487+$P9488+$O9488)</f>
      </c>
      <c r="R9488" s="43">
        <f>IF($I9488=0,0,$J9488-$M9488-$N9488)</f>
      </c>
    </row>
    <row r="9489">
      <c r="A9489"/>
      <c r="B9489">
        <v>20</v>
      </c>
      <c r="C9489" s="43">
        <f>INDEX(DarlObj,20)</f>
      </c>
      <c r="D9489">
        <v>366</v>
      </c>
      <c r="E9489" s="51">
        <f>IF(INDEX(DarlBelegt,20)=0,0,EOMONTH(INDEX(DarlAuszahlung,20),365)+1)</f>
      </c>
      <c r="F9489" s="43">
        <f>IF($E9489=0,0,YEAR($E9489))</f>
      </c>
      <c r="G9489" s="43">
        <f>IF(INDEX(DarlBindung,20)="",1,IF($E9489&lt;=INDEX(DarlBindung,20),1,0))</f>
      </c>
      <c r="H9489" s="43">
        <f>IF($G9489=1,INDEX(DarlSollzins,20),INDEX(DarlAnschluss,20))</f>
      </c>
      <c r="I9489" s="43">
        <f>IF(INDEX(DarlBelegt,20)=0,0,IF(INDEX(DarlOhneTilgung,20)=1,IF(INDEX(DarlBindung,20)="",1,$G9489),IF($J9489&gt;0.005,1,0)))</f>
      </c>
      <c r="J9489" s="43">
        <f>IF($I9488=0,0,$R9488)</f>
      </c>
      <c r="K9489" s="43">
        <f>IF($I9489=0,0,IF(INDEX(DarlOhneTilgung,20)=1,0,IF(AND(INDEX(DarlTilgStart,20)&gt;0,$E9489=INDEX(DarlTilgStart,20)),$J9489*($H9489+INDEX(DarlTilgung,20))/100/12,IF(AND($G9489=0,$G9488=1),MAX($K9488,$J9489*($H9489+1)/100/12),$K9488))))</f>
      </c>
      <c r="L9489" s="43">
        <f>IF($I9489=0,0,$J9489*$H9489/100/12)</f>
      </c>
      <c r="M9489" s="43">
        <f>IF($I9489=0,0,IF(OR(INDEX(DarlOhneTilgung,20)=1,AND(INDEX(DarlTilgStart,20)&gt;0,$E9489&lt;INDEX(DarlTilgStart,20))),0,MIN(MAX(0,$K9489-$L9489),$J9489)))</f>
      </c>
      <c r="N9489" s="43">
        <f>IF($I9489=0,0,MIN(SUMIFS(SondBetrag,SondDarl,20,SondDatum,"&gt;="&amp;$E9489,SondDatum,"&lt;="&amp;EOMONTH($E9489,0)),$J9489-$M9489))</f>
      </c>
      <c r="O9489" s="43">
        <f>IF($I9489=0,0,INDEX(DarlErsatzRate,20))</f>
      </c>
      <c r="P9489" s="43">
        <f>IF($I9489=0,0,$Q9488*INDEX(DarlErsatzZins,20))</f>
      </c>
      <c r="Q9489" s="43">
        <f>IF($I9489=0,0,$Q9488+$P9489+$O9489)</f>
      </c>
      <c r="R9489" s="43">
        <f>IF($I9489=0,0,$J9489-$M9489-$N9489)</f>
      </c>
    </row>
    <row r="9490">
      <c r="A9490"/>
      <c r="B9490">
        <v>20</v>
      </c>
      <c r="C9490" s="43">
        <f>INDEX(DarlObj,20)</f>
      </c>
      <c r="D9490">
        <v>367</v>
      </c>
      <c r="E9490" s="51">
        <f>IF(INDEX(DarlBelegt,20)=0,0,EOMONTH(INDEX(DarlAuszahlung,20),366)+1)</f>
      </c>
      <c r="F9490" s="43">
        <f>IF($E9490=0,0,YEAR($E9490))</f>
      </c>
      <c r="G9490" s="43">
        <f>IF(INDEX(DarlBindung,20)="",1,IF($E9490&lt;=INDEX(DarlBindung,20),1,0))</f>
      </c>
      <c r="H9490" s="43">
        <f>IF($G9490=1,INDEX(DarlSollzins,20),INDEX(DarlAnschluss,20))</f>
      </c>
      <c r="I9490" s="43">
        <f>IF(INDEX(DarlBelegt,20)=0,0,IF(INDEX(DarlOhneTilgung,20)=1,IF(INDEX(DarlBindung,20)="",1,$G9490),IF($J9490&gt;0.005,1,0)))</f>
      </c>
      <c r="J9490" s="43">
        <f>IF($I9489=0,0,$R9489)</f>
      </c>
      <c r="K9490" s="43">
        <f>IF($I9490=0,0,IF(INDEX(DarlOhneTilgung,20)=1,0,IF(AND(INDEX(DarlTilgStart,20)&gt;0,$E9490=INDEX(DarlTilgStart,20)),$J9490*($H9490+INDEX(DarlTilgung,20))/100/12,IF(AND($G9490=0,$G9489=1),MAX($K9489,$J9490*($H9490+1)/100/12),$K9489))))</f>
      </c>
      <c r="L9490" s="43">
        <f>IF($I9490=0,0,$J9490*$H9490/100/12)</f>
      </c>
      <c r="M9490" s="43">
        <f>IF($I9490=0,0,IF(OR(INDEX(DarlOhneTilgung,20)=1,AND(INDEX(DarlTilgStart,20)&gt;0,$E9490&lt;INDEX(DarlTilgStart,20))),0,MIN(MAX(0,$K9490-$L9490),$J9490)))</f>
      </c>
      <c r="N9490" s="43">
        <f>IF($I9490=0,0,MIN(SUMIFS(SondBetrag,SondDarl,20,SondDatum,"&gt;="&amp;$E9490,SondDatum,"&lt;="&amp;EOMONTH($E9490,0)),$J9490-$M9490))</f>
      </c>
      <c r="O9490" s="43">
        <f>IF($I9490=0,0,INDEX(DarlErsatzRate,20))</f>
      </c>
      <c r="P9490" s="43">
        <f>IF($I9490=0,0,$Q9489*INDEX(DarlErsatzZins,20))</f>
      </c>
      <c r="Q9490" s="43">
        <f>IF($I9490=0,0,$Q9489+$P9490+$O9490)</f>
      </c>
      <c r="R9490" s="43">
        <f>IF($I9490=0,0,$J9490-$M9490-$N9490)</f>
      </c>
    </row>
    <row r="9491">
      <c r="A9491"/>
      <c r="B9491">
        <v>20</v>
      </c>
      <c r="C9491" s="43">
        <f>INDEX(DarlObj,20)</f>
      </c>
      <c r="D9491">
        <v>368</v>
      </c>
      <c r="E9491" s="51">
        <f>IF(INDEX(DarlBelegt,20)=0,0,EOMONTH(INDEX(DarlAuszahlung,20),367)+1)</f>
      </c>
      <c r="F9491" s="43">
        <f>IF($E9491=0,0,YEAR($E9491))</f>
      </c>
      <c r="G9491" s="43">
        <f>IF(INDEX(DarlBindung,20)="",1,IF($E9491&lt;=INDEX(DarlBindung,20),1,0))</f>
      </c>
      <c r="H9491" s="43">
        <f>IF($G9491=1,INDEX(DarlSollzins,20),INDEX(DarlAnschluss,20))</f>
      </c>
      <c r="I9491" s="43">
        <f>IF(INDEX(DarlBelegt,20)=0,0,IF(INDEX(DarlOhneTilgung,20)=1,IF(INDEX(DarlBindung,20)="",1,$G9491),IF($J9491&gt;0.005,1,0)))</f>
      </c>
      <c r="J9491" s="43">
        <f>IF($I9490=0,0,$R9490)</f>
      </c>
      <c r="K9491" s="43">
        <f>IF($I9491=0,0,IF(INDEX(DarlOhneTilgung,20)=1,0,IF(AND(INDEX(DarlTilgStart,20)&gt;0,$E9491=INDEX(DarlTilgStart,20)),$J9491*($H9491+INDEX(DarlTilgung,20))/100/12,IF(AND($G9491=0,$G9490=1),MAX($K9490,$J9491*($H9491+1)/100/12),$K9490))))</f>
      </c>
      <c r="L9491" s="43">
        <f>IF($I9491=0,0,$J9491*$H9491/100/12)</f>
      </c>
      <c r="M9491" s="43">
        <f>IF($I9491=0,0,IF(OR(INDEX(DarlOhneTilgung,20)=1,AND(INDEX(DarlTilgStart,20)&gt;0,$E9491&lt;INDEX(DarlTilgStart,20))),0,MIN(MAX(0,$K9491-$L9491),$J9491)))</f>
      </c>
      <c r="N9491" s="43">
        <f>IF($I9491=0,0,MIN(SUMIFS(SondBetrag,SondDarl,20,SondDatum,"&gt;="&amp;$E9491,SondDatum,"&lt;="&amp;EOMONTH($E9491,0)),$J9491-$M9491))</f>
      </c>
      <c r="O9491" s="43">
        <f>IF($I9491=0,0,INDEX(DarlErsatzRate,20))</f>
      </c>
      <c r="P9491" s="43">
        <f>IF($I9491=0,0,$Q9490*INDEX(DarlErsatzZins,20))</f>
      </c>
      <c r="Q9491" s="43">
        <f>IF($I9491=0,0,$Q9490+$P9491+$O9491)</f>
      </c>
      <c r="R9491" s="43">
        <f>IF($I9491=0,0,$J9491-$M9491-$N9491)</f>
      </c>
    </row>
    <row r="9492">
      <c r="A9492"/>
      <c r="B9492">
        <v>20</v>
      </c>
      <c r="C9492" s="43">
        <f>INDEX(DarlObj,20)</f>
      </c>
      <c r="D9492">
        <v>369</v>
      </c>
      <c r="E9492" s="51">
        <f>IF(INDEX(DarlBelegt,20)=0,0,EOMONTH(INDEX(DarlAuszahlung,20),368)+1)</f>
      </c>
      <c r="F9492" s="43">
        <f>IF($E9492=0,0,YEAR($E9492))</f>
      </c>
      <c r="G9492" s="43">
        <f>IF(INDEX(DarlBindung,20)="",1,IF($E9492&lt;=INDEX(DarlBindung,20),1,0))</f>
      </c>
      <c r="H9492" s="43">
        <f>IF($G9492=1,INDEX(DarlSollzins,20),INDEX(DarlAnschluss,20))</f>
      </c>
      <c r="I9492" s="43">
        <f>IF(INDEX(DarlBelegt,20)=0,0,IF(INDEX(DarlOhneTilgung,20)=1,IF(INDEX(DarlBindung,20)="",1,$G9492),IF($J9492&gt;0.005,1,0)))</f>
      </c>
      <c r="J9492" s="43">
        <f>IF($I9491=0,0,$R9491)</f>
      </c>
      <c r="K9492" s="43">
        <f>IF($I9492=0,0,IF(INDEX(DarlOhneTilgung,20)=1,0,IF(AND(INDEX(DarlTilgStart,20)&gt;0,$E9492=INDEX(DarlTilgStart,20)),$J9492*($H9492+INDEX(DarlTilgung,20))/100/12,IF(AND($G9492=0,$G9491=1),MAX($K9491,$J9492*($H9492+1)/100/12),$K9491))))</f>
      </c>
      <c r="L9492" s="43">
        <f>IF($I9492=0,0,$J9492*$H9492/100/12)</f>
      </c>
      <c r="M9492" s="43">
        <f>IF($I9492=0,0,IF(OR(INDEX(DarlOhneTilgung,20)=1,AND(INDEX(DarlTilgStart,20)&gt;0,$E9492&lt;INDEX(DarlTilgStart,20))),0,MIN(MAX(0,$K9492-$L9492),$J9492)))</f>
      </c>
      <c r="N9492" s="43">
        <f>IF($I9492=0,0,MIN(SUMIFS(SondBetrag,SondDarl,20,SondDatum,"&gt;="&amp;$E9492,SondDatum,"&lt;="&amp;EOMONTH($E9492,0)),$J9492-$M9492))</f>
      </c>
      <c r="O9492" s="43">
        <f>IF($I9492=0,0,INDEX(DarlErsatzRate,20))</f>
      </c>
      <c r="P9492" s="43">
        <f>IF($I9492=0,0,$Q9491*INDEX(DarlErsatzZins,20))</f>
      </c>
      <c r="Q9492" s="43">
        <f>IF($I9492=0,0,$Q9491+$P9492+$O9492)</f>
      </c>
      <c r="R9492" s="43">
        <f>IF($I9492=0,0,$J9492-$M9492-$N9492)</f>
      </c>
    </row>
    <row r="9493">
      <c r="A9493"/>
      <c r="B9493">
        <v>20</v>
      </c>
      <c r="C9493" s="43">
        <f>INDEX(DarlObj,20)</f>
      </c>
      <c r="D9493">
        <v>370</v>
      </c>
      <c r="E9493" s="51">
        <f>IF(INDEX(DarlBelegt,20)=0,0,EOMONTH(INDEX(DarlAuszahlung,20),369)+1)</f>
      </c>
      <c r="F9493" s="43">
        <f>IF($E9493=0,0,YEAR($E9493))</f>
      </c>
      <c r="G9493" s="43">
        <f>IF(INDEX(DarlBindung,20)="",1,IF($E9493&lt;=INDEX(DarlBindung,20),1,0))</f>
      </c>
      <c r="H9493" s="43">
        <f>IF($G9493=1,INDEX(DarlSollzins,20),INDEX(DarlAnschluss,20))</f>
      </c>
      <c r="I9493" s="43">
        <f>IF(INDEX(DarlBelegt,20)=0,0,IF(INDEX(DarlOhneTilgung,20)=1,IF(INDEX(DarlBindung,20)="",1,$G9493),IF($J9493&gt;0.005,1,0)))</f>
      </c>
      <c r="J9493" s="43">
        <f>IF($I9492=0,0,$R9492)</f>
      </c>
      <c r="K9493" s="43">
        <f>IF($I9493=0,0,IF(INDEX(DarlOhneTilgung,20)=1,0,IF(AND(INDEX(DarlTilgStart,20)&gt;0,$E9493=INDEX(DarlTilgStart,20)),$J9493*($H9493+INDEX(DarlTilgung,20))/100/12,IF(AND($G9493=0,$G9492=1),MAX($K9492,$J9493*($H9493+1)/100/12),$K9492))))</f>
      </c>
      <c r="L9493" s="43">
        <f>IF($I9493=0,0,$J9493*$H9493/100/12)</f>
      </c>
      <c r="M9493" s="43">
        <f>IF($I9493=0,0,IF(OR(INDEX(DarlOhneTilgung,20)=1,AND(INDEX(DarlTilgStart,20)&gt;0,$E9493&lt;INDEX(DarlTilgStart,20))),0,MIN(MAX(0,$K9493-$L9493),$J9493)))</f>
      </c>
      <c r="N9493" s="43">
        <f>IF($I9493=0,0,MIN(SUMIFS(SondBetrag,SondDarl,20,SondDatum,"&gt;="&amp;$E9493,SondDatum,"&lt;="&amp;EOMONTH($E9493,0)),$J9493-$M9493))</f>
      </c>
      <c r="O9493" s="43">
        <f>IF($I9493=0,0,INDEX(DarlErsatzRate,20))</f>
      </c>
      <c r="P9493" s="43">
        <f>IF($I9493=0,0,$Q9492*INDEX(DarlErsatzZins,20))</f>
      </c>
      <c r="Q9493" s="43">
        <f>IF($I9493=0,0,$Q9492+$P9493+$O9493)</f>
      </c>
      <c r="R9493" s="43">
        <f>IF($I9493=0,0,$J9493-$M9493-$N9493)</f>
      </c>
    </row>
    <row r="9494">
      <c r="A9494"/>
      <c r="B9494">
        <v>20</v>
      </c>
      <c r="C9494" s="43">
        <f>INDEX(DarlObj,20)</f>
      </c>
      <c r="D9494">
        <v>371</v>
      </c>
      <c r="E9494" s="51">
        <f>IF(INDEX(DarlBelegt,20)=0,0,EOMONTH(INDEX(DarlAuszahlung,20),370)+1)</f>
      </c>
      <c r="F9494" s="43">
        <f>IF($E9494=0,0,YEAR($E9494))</f>
      </c>
      <c r="G9494" s="43">
        <f>IF(INDEX(DarlBindung,20)="",1,IF($E9494&lt;=INDEX(DarlBindung,20),1,0))</f>
      </c>
      <c r="H9494" s="43">
        <f>IF($G9494=1,INDEX(DarlSollzins,20),INDEX(DarlAnschluss,20))</f>
      </c>
      <c r="I9494" s="43">
        <f>IF(INDEX(DarlBelegt,20)=0,0,IF(INDEX(DarlOhneTilgung,20)=1,IF(INDEX(DarlBindung,20)="",1,$G9494),IF($J9494&gt;0.005,1,0)))</f>
      </c>
      <c r="J9494" s="43">
        <f>IF($I9493=0,0,$R9493)</f>
      </c>
      <c r="K9494" s="43">
        <f>IF($I9494=0,0,IF(INDEX(DarlOhneTilgung,20)=1,0,IF(AND(INDEX(DarlTilgStart,20)&gt;0,$E9494=INDEX(DarlTilgStart,20)),$J9494*($H9494+INDEX(DarlTilgung,20))/100/12,IF(AND($G9494=0,$G9493=1),MAX($K9493,$J9494*($H9494+1)/100/12),$K9493))))</f>
      </c>
      <c r="L9494" s="43">
        <f>IF($I9494=0,0,$J9494*$H9494/100/12)</f>
      </c>
      <c r="M9494" s="43">
        <f>IF($I9494=0,0,IF(OR(INDEX(DarlOhneTilgung,20)=1,AND(INDEX(DarlTilgStart,20)&gt;0,$E9494&lt;INDEX(DarlTilgStart,20))),0,MIN(MAX(0,$K9494-$L9494),$J9494)))</f>
      </c>
      <c r="N9494" s="43">
        <f>IF($I9494=0,0,MIN(SUMIFS(SondBetrag,SondDarl,20,SondDatum,"&gt;="&amp;$E9494,SondDatum,"&lt;="&amp;EOMONTH($E9494,0)),$J9494-$M9494))</f>
      </c>
      <c r="O9494" s="43">
        <f>IF($I9494=0,0,INDEX(DarlErsatzRate,20))</f>
      </c>
      <c r="P9494" s="43">
        <f>IF($I9494=0,0,$Q9493*INDEX(DarlErsatzZins,20))</f>
      </c>
      <c r="Q9494" s="43">
        <f>IF($I9494=0,0,$Q9493+$P9494+$O9494)</f>
      </c>
      <c r="R9494" s="43">
        <f>IF($I9494=0,0,$J9494-$M9494-$N9494)</f>
      </c>
    </row>
    <row r="9495">
      <c r="A9495"/>
      <c r="B9495">
        <v>20</v>
      </c>
      <c r="C9495" s="43">
        <f>INDEX(DarlObj,20)</f>
      </c>
      <c r="D9495">
        <v>372</v>
      </c>
      <c r="E9495" s="51">
        <f>IF(INDEX(DarlBelegt,20)=0,0,EOMONTH(INDEX(DarlAuszahlung,20),371)+1)</f>
      </c>
      <c r="F9495" s="43">
        <f>IF($E9495=0,0,YEAR($E9495))</f>
      </c>
      <c r="G9495" s="43">
        <f>IF(INDEX(DarlBindung,20)="",1,IF($E9495&lt;=INDEX(DarlBindung,20),1,0))</f>
      </c>
      <c r="H9495" s="43">
        <f>IF($G9495=1,INDEX(DarlSollzins,20),INDEX(DarlAnschluss,20))</f>
      </c>
      <c r="I9495" s="43">
        <f>IF(INDEX(DarlBelegt,20)=0,0,IF(INDEX(DarlOhneTilgung,20)=1,IF(INDEX(DarlBindung,20)="",1,$G9495),IF($J9495&gt;0.005,1,0)))</f>
      </c>
      <c r="J9495" s="43">
        <f>IF($I9494=0,0,$R9494)</f>
      </c>
      <c r="K9495" s="43">
        <f>IF($I9495=0,0,IF(INDEX(DarlOhneTilgung,20)=1,0,IF(AND(INDEX(DarlTilgStart,20)&gt;0,$E9495=INDEX(DarlTilgStart,20)),$J9495*($H9495+INDEX(DarlTilgung,20))/100/12,IF(AND($G9495=0,$G9494=1),MAX($K9494,$J9495*($H9495+1)/100/12),$K9494))))</f>
      </c>
      <c r="L9495" s="43">
        <f>IF($I9495=0,0,$J9495*$H9495/100/12)</f>
      </c>
      <c r="M9495" s="43">
        <f>IF($I9495=0,0,IF(OR(INDEX(DarlOhneTilgung,20)=1,AND(INDEX(DarlTilgStart,20)&gt;0,$E9495&lt;INDEX(DarlTilgStart,20))),0,MIN(MAX(0,$K9495-$L9495),$J9495)))</f>
      </c>
      <c r="N9495" s="43">
        <f>IF($I9495=0,0,MIN(SUMIFS(SondBetrag,SondDarl,20,SondDatum,"&gt;="&amp;$E9495,SondDatum,"&lt;="&amp;EOMONTH($E9495,0)),$J9495-$M9495))</f>
      </c>
      <c r="O9495" s="43">
        <f>IF($I9495=0,0,INDEX(DarlErsatzRate,20))</f>
      </c>
      <c r="P9495" s="43">
        <f>IF($I9495=0,0,$Q9494*INDEX(DarlErsatzZins,20))</f>
      </c>
      <c r="Q9495" s="43">
        <f>IF($I9495=0,0,$Q9494+$P9495+$O9495)</f>
      </c>
      <c r="R9495" s="43">
        <f>IF($I9495=0,0,$J9495-$M9495-$N9495)</f>
      </c>
    </row>
    <row r="9496">
      <c r="A9496"/>
      <c r="B9496">
        <v>20</v>
      </c>
      <c r="C9496" s="43">
        <f>INDEX(DarlObj,20)</f>
      </c>
      <c r="D9496">
        <v>373</v>
      </c>
      <c r="E9496" s="51">
        <f>IF(INDEX(DarlBelegt,20)=0,0,EOMONTH(INDEX(DarlAuszahlung,20),372)+1)</f>
      </c>
      <c r="F9496" s="43">
        <f>IF($E9496=0,0,YEAR($E9496))</f>
      </c>
      <c r="G9496" s="43">
        <f>IF(INDEX(DarlBindung,20)="",1,IF($E9496&lt;=INDEX(DarlBindung,20),1,0))</f>
      </c>
      <c r="H9496" s="43">
        <f>IF($G9496=1,INDEX(DarlSollzins,20),INDEX(DarlAnschluss,20))</f>
      </c>
      <c r="I9496" s="43">
        <f>IF(INDEX(DarlBelegt,20)=0,0,IF(INDEX(DarlOhneTilgung,20)=1,IF(INDEX(DarlBindung,20)="",1,$G9496),IF($J9496&gt;0.005,1,0)))</f>
      </c>
      <c r="J9496" s="43">
        <f>IF($I9495=0,0,$R9495)</f>
      </c>
      <c r="K9496" s="43">
        <f>IF($I9496=0,0,IF(INDEX(DarlOhneTilgung,20)=1,0,IF(AND(INDEX(DarlTilgStart,20)&gt;0,$E9496=INDEX(DarlTilgStart,20)),$J9496*($H9496+INDEX(DarlTilgung,20))/100/12,IF(AND($G9496=0,$G9495=1),MAX($K9495,$J9496*($H9496+1)/100/12),$K9495))))</f>
      </c>
      <c r="L9496" s="43">
        <f>IF($I9496=0,0,$J9496*$H9496/100/12)</f>
      </c>
      <c r="M9496" s="43">
        <f>IF($I9496=0,0,IF(OR(INDEX(DarlOhneTilgung,20)=1,AND(INDEX(DarlTilgStart,20)&gt;0,$E9496&lt;INDEX(DarlTilgStart,20))),0,MIN(MAX(0,$K9496-$L9496),$J9496)))</f>
      </c>
      <c r="N9496" s="43">
        <f>IF($I9496=0,0,MIN(SUMIFS(SondBetrag,SondDarl,20,SondDatum,"&gt;="&amp;$E9496,SondDatum,"&lt;="&amp;EOMONTH($E9496,0)),$J9496-$M9496))</f>
      </c>
      <c r="O9496" s="43">
        <f>IF($I9496=0,0,INDEX(DarlErsatzRate,20))</f>
      </c>
      <c r="P9496" s="43">
        <f>IF($I9496=0,0,$Q9495*INDEX(DarlErsatzZins,20))</f>
      </c>
      <c r="Q9496" s="43">
        <f>IF($I9496=0,0,$Q9495+$P9496+$O9496)</f>
      </c>
      <c r="R9496" s="43">
        <f>IF($I9496=0,0,$J9496-$M9496-$N9496)</f>
      </c>
    </row>
    <row r="9497">
      <c r="A9497"/>
      <c r="B9497">
        <v>20</v>
      </c>
      <c r="C9497" s="43">
        <f>INDEX(DarlObj,20)</f>
      </c>
      <c r="D9497">
        <v>374</v>
      </c>
      <c r="E9497" s="51">
        <f>IF(INDEX(DarlBelegt,20)=0,0,EOMONTH(INDEX(DarlAuszahlung,20),373)+1)</f>
      </c>
      <c r="F9497" s="43">
        <f>IF($E9497=0,0,YEAR($E9497))</f>
      </c>
      <c r="G9497" s="43">
        <f>IF(INDEX(DarlBindung,20)="",1,IF($E9497&lt;=INDEX(DarlBindung,20),1,0))</f>
      </c>
      <c r="H9497" s="43">
        <f>IF($G9497=1,INDEX(DarlSollzins,20),INDEX(DarlAnschluss,20))</f>
      </c>
      <c r="I9497" s="43">
        <f>IF(INDEX(DarlBelegt,20)=0,0,IF(INDEX(DarlOhneTilgung,20)=1,IF(INDEX(DarlBindung,20)="",1,$G9497),IF($J9497&gt;0.005,1,0)))</f>
      </c>
      <c r="J9497" s="43">
        <f>IF($I9496=0,0,$R9496)</f>
      </c>
      <c r="K9497" s="43">
        <f>IF($I9497=0,0,IF(INDEX(DarlOhneTilgung,20)=1,0,IF(AND(INDEX(DarlTilgStart,20)&gt;0,$E9497=INDEX(DarlTilgStart,20)),$J9497*($H9497+INDEX(DarlTilgung,20))/100/12,IF(AND($G9497=0,$G9496=1),MAX($K9496,$J9497*($H9497+1)/100/12),$K9496))))</f>
      </c>
      <c r="L9497" s="43">
        <f>IF($I9497=0,0,$J9497*$H9497/100/12)</f>
      </c>
      <c r="M9497" s="43">
        <f>IF($I9497=0,0,IF(OR(INDEX(DarlOhneTilgung,20)=1,AND(INDEX(DarlTilgStart,20)&gt;0,$E9497&lt;INDEX(DarlTilgStart,20))),0,MIN(MAX(0,$K9497-$L9497),$J9497)))</f>
      </c>
      <c r="N9497" s="43">
        <f>IF($I9497=0,0,MIN(SUMIFS(SondBetrag,SondDarl,20,SondDatum,"&gt;="&amp;$E9497,SondDatum,"&lt;="&amp;EOMONTH($E9497,0)),$J9497-$M9497))</f>
      </c>
      <c r="O9497" s="43">
        <f>IF($I9497=0,0,INDEX(DarlErsatzRate,20))</f>
      </c>
      <c r="P9497" s="43">
        <f>IF($I9497=0,0,$Q9496*INDEX(DarlErsatzZins,20))</f>
      </c>
      <c r="Q9497" s="43">
        <f>IF($I9497=0,0,$Q9496+$P9497+$O9497)</f>
      </c>
      <c r="R9497" s="43">
        <f>IF($I9497=0,0,$J9497-$M9497-$N9497)</f>
      </c>
    </row>
    <row r="9498">
      <c r="A9498"/>
      <c r="B9498">
        <v>20</v>
      </c>
      <c r="C9498" s="43">
        <f>INDEX(DarlObj,20)</f>
      </c>
      <c r="D9498">
        <v>375</v>
      </c>
      <c r="E9498" s="51">
        <f>IF(INDEX(DarlBelegt,20)=0,0,EOMONTH(INDEX(DarlAuszahlung,20),374)+1)</f>
      </c>
      <c r="F9498" s="43">
        <f>IF($E9498=0,0,YEAR($E9498))</f>
      </c>
      <c r="G9498" s="43">
        <f>IF(INDEX(DarlBindung,20)="",1,IF($E9498&lt;=INDEX(DarlBindung,20),1,0))</f>
      </c>
      <c r="H9498" s="43">
        <f>IF($G9498=1,INDEX(DarlSollzins,20),INDEX(DarlAnschluss,20))</f>
      </c>
      <c r="I9498" s="43">
        <f>IF(INDEX(DarlBelegt,20)=0,0,IF(INDEX(DarlOhneTilgung,20)=1,IF(INDEX(DarlBindung,20)="",1,$G9498),IF($J9498&gt;0.005,1,0)))</f>
      </c>
      <c r="J9498" s="43">
        <f>IF($I9497=0,0,$R9497)</f>
      </c>
      <c r="K9498" s="43">
        <f>IF($I9498=0,0,IF(INDEX(DarlOhneTilgung,20)=1,0,IF(AND(INDEX(DarlTilgStart,20)&gt;0,$E9498=INDEX(DarlTilgStart,20)),$J9498*($H9498+INDEX(DarlTilgung,20))/100/12,IF(AND($G9498=0,$G9497=1),MAX($K9497,$J9498*($H9498+1)/100/12),$K9497))))</f>
      </c>
      <c r="L9498" s="43">
        <f>IF($I9498=0,0,$J9498*$H9498/100/12)</f>
      </c>
      <c r="M9498" s="43">
        <f>IF($I9498=0,0,IF(OR(INDEX(DarlOhneTilgung,20)=1,AND(INDEX(DarlTilgStart,20)&gt;0,$E9498&lt;INDEX(DarlTilgStart,20))),0,MIN(MAX(0,$K9498-$L9498),$J9498)))</f>
      </c>
      <c r="N9498" s="43">
        <f>IF($I9498=0,0,MIN(SUMIFS(SondBetrag,SondDarl,20,SondDatum,"&gt;="&amp;$E9498,SondDatum,"&lt;="&amp;EOMONTH($E9498,0)),$J9498-$M9498))</f>
      </c>
      <c r="O9498" s="43">
        <f>IF($I9498=0,0,INDEX(DarlErsatzRate,20))</f>
      </c>
      <c r="P9498" s="43">
        <f>IF($I9498=0,0,$Q9497*INDEX(DarlErsatzZins,20))</f>
      </c>
      <c r="Q9498" s="43">
        <f>IF($I9498=0,0,$Q9497+$P9498+$O9498)</f>
      </c>
      <c r="R9498" s="43">
        <f>IF($I9498=0,0,$J9498-$M9498-$N9498)</f>
      </c>
    </row>
    <row r="9499">
      <c r="A9499"/>
      <c r="B9499">
        <v>20</v>
      </c>
      <c r="C9499" s="43">
        <f>INDEX(DarlObj,20)</f>
      </c>
      <c r="D9499">
        <v>376</v>
      </c>
      <c r="E9499" s="51">
        <f>IF(INDEX(DarlBelegt,20)=0,0,EOMONTH(INDEX(DarlAuszahlung,20),375)+1)</f>
      </c>
      <c r="F9499" s="43">
        <f>IF($E9499=0,0,YEAR($E9499))</f>
      </c>
      <c r="G9499" s="43">
        <f>IF(INDEX(DarlBindung,20)="",1,IF($E9499&lt;=INDEX(DarlBindung,20),1,0))</f>
      </c>
      <c r="H9499" s="43">
        <f>IF($G9499=1,INDEX(DarlSollzins,20),INDEX(DarlAnschluss,20))</f>
      </c>
      <c r="I9499" s="43">
        <f>IF(INDEX(DarlBelegt,20)=0,0,IF(INDEX(DarlOhneTilgung,20)=1,IF(INDEX(DarlBindung,20)="",1,$G9499),IF($J9499&gt;0.005,1,0)))</f>
      </c>
      <c r="J9499" s="43">
        <f>IF($I9498=0,0,$R9498)</f>
      </c>
      <c r="K9499" s="43">
        <f>IF($I9499=0,0,IF(INDEX(DarlOhneTilgung,20)=1,0,IF(AND(INDEX(DarlTilgStart,20)&gt;0,$E9499=INDEX(DarlTilgStart,20)),$J9499*($H9499+INDEX(DarlTilgung,20))/100/12,IF(AND($G9499=0,$G9498=1),MAX($K9498,$J9499*($H9499+1)/100/12),$K9498))))</f>
      </c>
      <c r="L9499" s="43">
        <f>IF($I9499=0,0,$J9499*$H9499/100/12)</f>
      </c>
      <c r="M9499" s="43">
        <f>IF($I9499=0,0,IF(OR(INDEX(DarlOhneTilgung,20)=1,AND(INDEX(DarlTilgStart,20)&gt;0,$E9499&lt;INDEX(DarlTilgStart,20))),0,MIN(MAX(0,$K9499-$L9499),$J9499)))</f>
      </c>
      <c r="N9499" s="43">
        <f>IF($I9499=0,0,MIN(SUMIFS(SondBetrag,SondDarl,20,SondDatum,"&gt;="&amp;$E9499,SondDatum,"&lt;="&amp;EOMONTH($E9499,0)),$J9499-$M9499))</f>
      </c>
      <c r="O9499" s="43">
        <f>IF($I9499=0,0,INDEX(DarlErsatzRate,20))</f>
      </c>
      <c r="P9499" s="43">
        <f>IF($I9499=0,0,$Q9498*INDEX(DarlErsatzZins,20))</f>
      </c>
      <c r="Q9499" s="43">
        <f>IF($I9499=0,0,$Q9498+$P9499+$O9499)</f>
      </c>
      <c r="R9499" s="43">
        <f>IF($I9499=0,0,$J9499-$M9499-$N9499)</f>
      </c>
    </row>
    <row r="9500">
      <c r="A9500"/>
      <c r="B9500">
        <v>20</v>
      </c>
      <c r="C9500" s="43">
        <f>INDEX(DarlObj,20)</f>
      </c>
      <c r="D9500">
        <v>377</v>
      </c>
      <c r="E9500" s="51">
        <f>IF(INDEX(DarlBelegt,20)=0,0,EOMONTH(INDEX(DarlAuszahlung,20),376)+1)</f>
      </c>
      <c r="F9500" s="43">
        <f>IF($E9500=0,0,YEAR($E9500))</f>
      </c>
      <c r="G9500" s="43">
        <f>IF(INDEX(DarlBindung,20)="",1,IF($E9500&lt;=INDEX(DarlBindung,20),1,0))</f>
      </c>
      <c r="H9500" s="43">
        <f>IF($G9500=1,INDEX(DarlSollzins,20),INDEX(DarlAnschluss,20))</f>
      </c>
      <c r="I9500" s="43">
        <f>IF(INDEX(DarlBelegt,20)=0,0,IF(INDEX(DarlOhneTilgung,20)=1,IF(INDEX(DarlBindung,20)="",1,$G9500),IF($J9500&gt;0.005,1,0)))</f>
      </c>
      <c r="J9500" s="43">
        <f>IF($I9499=0,0,$R9499)</f>
      </c>
      <c r="K9500" s="43">
        <f>IF($I9500=0,0,IF(INDEX(DarlOhneTilgung,20)=1,0,IF(AND(INDEX(DarlTilgStart,20)&gt;0,$E9500=INDEX(DarlTilgStart,20)),$J9500*($H9500+INDEX(DarlTilgung,20))/100/12,IF(AND($G9500=0,$G9499=1),MAX($K9499,$J9500*($H9500+1)/100/12),$K9499))))</f>
      </c>
      <c r="L9500" s="43">
        <f>IF($I9500=0,0,$J9500*$H9500/100/12)</f>
      </c>
      <c r="M9500" s="43">
        <f>IF($I9500=0,0,IF(OR(INDEX(DarlOhneTilgung,20)=1,AND(INDEX(DarlTilgStart,20)&gt;0,$E9500&lt;INDEX(DarlTilgStart,20))),0,MIN(MAX(0,$K9500-$L9500),$J9500)))</f>
      </c>
      <c r="N9500" s="43">
        <f>IF($I9500=0,0,MIN(SUMIFS(SondBetrag,SondDarl,20,SondDatum,"&gt;="&amp;$E9500,SondDatum,"&lt;="&amp;EOMONTH($E9500,0)),$J9500-$M9500))</f>
      </c>
      <c r="O9500" s="43">
        <f>IF($I9500=0,0,INDEX(DarlErsatzRate,20))</f>
      </c>
      <c r="P9500" s="43">
        <f>IF($I9500=0,0,$Q9499*INDEX(DarlErsatzZins,20))</f>
      </c>
      <c r="Q9500" s="43">
        <f>IF($I9500=0,0,$Q9499+$P9500+$O9500)</f>
      </c>
      <c r="R9500" s="43">
        <f>IF($I9500=0,0,$J9500-$M9500-$N9500)</f>
      </c>
    </row>
    <row r="9501">
      <c r="A9501"/>
      <c r="B9501">
        <v>20</v>
      </c>
      <c r="C9501" s="43">
        <f>INDEX(DarlObj,20)</f>
      </c>
      <c r="D9501">
        <v>378</v>
      </c>
      <c r="E9501" s="51">
        <f>IF(INDEX(DarlBelegt,20)=0,0,EOMONTH(INDEX(DarlAuszahlung,20),377)+1)</f>
      </c>
      <c r="F9501" s="43">
        <f>IF($E9501=0,0,YEAR($E9501))</f>
      </c>
      <c r="G9501" s="43">
        <f>IF(INDEX(DarlBindung,20)="",1,IF($E9501&lt;=INDEX(DarlBindung,20),1,0))</f>
      </c>
      <c r="H9501" s="43">
        <f>IF($G9501=1,INDEX(DarlSollzins,20),INDEX(DarlAnschluss,20))</f>
      </c>
      <c r="I9501" s="43">
        <f>IF(INDEX(DarlBelegt,20)=0,0,IF(INDEX(DarlOhneTilgung,20)=1,IF(INDEX(DarlBindung,20)="",1,$G9501),IF($J9501&gt;0.005,1,0)))</f>
      </c>
      <c r="J9501" s="43">
        <f>IF($I9500=0,0,$R9500)</f>
      </c>
      <c r="K9501" s="43">
        <f>IF($I9501=0,0,IF(INDEX(DarlOhneTilgung,20)=1,0,IF(AND(INDEX(DarlTilgStart,20)&gt;0,$E9501=INDEX(DarlTilgStart,20)),$J9501*($H9501+INDEX(DarlTilgung,20))/100/12,IF(AND($G9501=0,$G9500=1),MAX($K9500,$J9501*($H9501+1)/100/12),$K9500))))</f>
      </c>
      <c r="L9501" s="43">
        <f>IF($I9501=0,0,$J9501*$H9501/100/12)</f>
      </c>
      <c r="M9501" s="43">
        <f>IF($I9501=0,0,IF(OR(INDEX(DarlOhneTilgung,20)=1,AND(INDEX(DarlTilgStart,20)&gt;0,$E9501&lt;INDEX(DarlTilgStart,20))),0,MIN(MAX(0,$K9501-$L9501),$J9501)))</f>
      </c>
      <c r="N9501" s="43">
        <f>IF($I9501=0,0,MIN(SUMIFS(SondBetrag,SondDarl,20,SondDatum,"&gt;="&amp;$E9501,SondDatum,"&lt;="&amp;EOMONTH($E9501,0)),$J9501-$M9501))</f>
      </c>
      <c r="O9501" s="43">
        <f>IF($I9501=0,0,INDEX(DarlErsatzRate,20))</f>
      </c>
      <c r="P9501" s="43">
        <f>IF($I9501=0,0,$Q9500*INDEX(DarlErsatzZins,20))</f>
      </c>
      <c r="Q9501" s="43">
        <f>IF($I9501=0,0,$Q9500+$P9501+$O9501)</f>
      </c>
      <c r="R9501" s="43">
        <f>IF($I9501=0,0,$J9501-$M9501-$N9501)</f>
      </c>
    </row>
    <row r="9502">
      <c r="A9502"/>
      <c r="B9502">
        <v>20</v>
      </c>
      <c r="C9502" s="43">
        <f>INDEX(DarlObj,20)</f>
      </c>
      <c r="D9502">
        <v>379</v>
      </c>
      <c r="E9502" s="51">
        <f>IF(INDEX(DarlBelegt,20)=0,0,EOMONTH(INDEX(DarlAuszahlung,20),378)+1)</f>
      </c>
      <c r="F9502" s="43">
        <f>IF($E9502=0,0,YEAR($E9502))</f>
      </c>
      <c r="G9502" s="43">
        <f>IF(INDEX(DarlBindung,20)="",1,IF($E9502&lt;=INDEX(DarlBindung,20),1,0))</f>
      </c>
      <c r="H9502" s="43">
        <f>IF($G9502=1,INDEX(DarlSollzins,20),INDEX(DarlAnschluss,20))</f>
      </c>
      <c r="I9502" s="43">
        <f>IF(INDEX(DarlBelegt,20)=0,0,IF(INDEX(DarlOhneTilgung,20)=1,IF(INDEX(DarlBindung,20)="",1,$G9502),IF($J9502&gt;0.005,1,0)))</f>
      </c>
      <c r="J9502" s="43">
        <f>IF($I9501=0,0,$R9501)</f>
      </c>
      <c r="K9502" s="43">
        <f>IF($I9502=0,0,IF(INDEX(DarlOhneTilgung,20)=1,0,IF(AND(INDEX(DarlTilgStart,20)&gt;0,$E9502=INDEX(DarlTilgStart,20)),$J9502*($H9502+INDEX(DarlTilgung,20))/100/12,IF(AND($G9502=0,$G9501=1),MAX($K9501,$J9502*($H9502+1)/100/12),$K9501))))</f>
      </c>
      <c r="L9502" s="43">
        <f>IF($I9502=0,0,$J9502*$H9502/100/12)</f>
      </c>
      <c r="M9502" s="43">
        <f>IF($I9502=0,0,IF(OR(INDEX(DarlOhneTilgung,20)=1,AND(INDEX(DarlTilgStart,20)&gt;0,$E9502&lt;INDEX(DarlTilgStart,20))),0,MIN(MAX(0,$K9502-$L9502),$J9502)))</f>
      </c>
      <c r="N9502" s="43">
        <f>IF($I9502=0,0,MIN(SUMIFS(SondBetrag,SondDarl,20,SondDatum,"&gt;="&amp;$E9502,SondDatum,"&lt;="&amp;EOMONTH($E9502,0)),$J9502-$M9502))</f>
      </c>
      <c r="O9502" s="43">
        <f>IF($I9502=0,0,INDEX(DarlErsatzRate,20))</f>
      </c>
      <c r="P9502" s="43">
        <f>IF($I9502=0,0,$Q9501*INDEX(DarlErsatzZins,20))</f>
      </c>
      <c r="Q9502" s="43">
        <f>IF($I9502=0,0,$Q9501+$P9502+$O9502)</f>
      </c>
      <c r="R9502" s="43">
        <f>IF($I9502=0,0,$J9502-$M9502-$N9502)</f>
      </c>
    </row>
    <row r="9503">
      <c r="A9503"/>
      <c r="B9503">
        <v>20</v>
      </c>
      <c r="C9503" s="43">
        <f>INDEX(DarlObj,20)</f>
      </c>
      <c r="D9503">
        <v>380</v>
      </c>
      <c r="E9503" s="51">
        <f>IF(INDEX(DarlBelegt,20)=0,0,EOMONTH(INDEX(DarlAuszahlung,20),379)+1)</f>
      </c>
      <c r="F9503" s="43">
        <f>IF($E9503=0,0,YEAR($E9503))</f>
      </c>
      <c r="G9503" s="43">
        <f>IF(INDEX(DarlBindung,20)="",1,IF($E9503&lt;=INDEX(DarlBindung,20),1,0))</f>
      </c>
      <c r="H9503" s="43">
        <f>IF($G9503=1,INDEX(DarlSollzins,20),INDEX(DarlAnschluss,20))</f>
      </c>
      <c r="I9503" s="43">
        <f>IF(INDEX(DarlBelegt,20)=0,0,IF(INDEX(DarlOhneTilgung,20)=1,IF(INDEX(DarlBindung,20)="",1,$G9503),IF($J9503&gt;0.005,1,0)))</f>
      </c>
      <c r="J9503" s="43">
        <f>IF($I9502=0,0,$R9502)</f>
      </c>
      <c r="K9503" s="43">
        <f>IF($I9503=0,0,IF(INDEX(DarlOhneTilgung,20)=1,0,IF(AND(INDEX(DarlTilgStart,20)&gt;0,$E9503=INDEX(DarlTilgStart,20)),$J9503*($H9503+INDEX(DarlTilgung,20))/100/12,IF(AND($G9503=0,$G9502=1),MAX($K9502,$J9503*($H9503+1)/100/12),$K9502))))</f>
      </c>
      <c r="L9503" s="43">
        <f>IF($I9503=0,0,$J9503*$H9503/100/12)</f>
      </c>
      <c r="M9503" s="43">
        <f>IF($I9503=0,0,IF(OR(INDEX(DarlOhneTilgung,20)=1,AND(INDEX(DarlTilgStart,20)&gt;0,$E9503&lt;INDEX(DarlTilgStart,20))),0,MIN(MAX(0,$K9503-$L9503),$J9503)))</f>
      </c>
      <c r="N9503" s="43">
        <f>IF($I9503=0,0,MIN(SUMIFS(SondBetrag,SondDarl,20,SondDatum,"&gt;="&amp;$E9503,SondDatum,"&lt;="&amp;EOMONTH($E9503,0)),$J9503-$M9503))</f>
      </c>
      <c r="O9503" s="43">
        <f>IF($I9503=0,0,INDEX(DarlErsatzRate,20))</f>
      </c>
      <c r="P9503" s="43">
        <f>IF($I9503=0,0,$Q9502*INDEX(DarlErsatzZins,20))</f>
      </c>
      <c r="Q9503" s="43">
        <f>IF($I9503=0,0,$Q9502+$P9503+$O9503)</f>
      </c>
      <c r="R9503" s="43">
        <f>IF($I9503=0,0,$J9503-$M9503-$N9503)</f>
      </c>
    </row>
    <row r="9504">
      <c r="A9504"/>
      <c r="B9504">
        <v>20</v>
      </c>
      <c r="C9504" s="43">
        <f>INDEX(DarlObj,20)</f>
      </c>
      <c r="D9504">
        <v>381</v>
      </c>
      <c r="E9504" s="51">
        <f>IF(INDEX(DarlBelegt,20)=0,0,EOMONTH(INDEX(DarlAuszahlung,20),380)+1)</f>
      </c>
      <c r="F9504" s="43">
        <f>IF($E9504=0,0,YEAR($E9504))</f>
      </c>
      <c r="G9504" s="43">
        <f>IF(INDEX(DarlBindung,20)="",1,IF($E9504&lt;=INDEX(DarlBindung,20),1,0))</f>
      </c>
      <c r="H9504" s="43">
        <f>IF($G9504=1,INDEX(DarlSollzins,20),INDEX(DarlAnschluss,20))</f>
      </c>
      <c r="I9504" s="43">
        <f>IF(INDEX(DarlBelegt,20)=0,0,IF(INDEX(DarlOhneTilgung,20)=1,IF(INDEX(DarlBindung,20)="",1,$G9504),IF($J9504&gt;0.005,1,0)))</f>
      </c>
      <c r="J9504" s="43">
        <f>IF($I9503=0,0,$R9503)</f>
      </c>
      <c r="K9504" s="43">
        <f>IF($I9504=0,0,IF(INDEX(DarlOhneTilgung,20)=1,0,IF(AND(INDEX(DarlTilgStart,20)&gt;0,$E9504=INDEX(DarlTilgStart,20)),$J9504*($H9504+INDEX(DarlTilgung,20))/100/12,IF(AND($G9504=0,$G9503=1),MAX($K9503,$J9504*($H9504+1)/100/12),$K9503))))</f>
      </c>
      <c r="L9504" s="43">
        <f>IF($I9504=0,0,$J9504*$H9504/100/12)</f>
      </c>
      <c r="M9504" s="43">
        <f>IF($I9504=0,0,IF(OR(INDEX(DarlOhneTilgung,20)=1,AND(INDEX(DarlTilgStart,20)&gt;0,$E9504&lt;INDEX(DarlTilgStart,20))),0,MIN(MAX(0,$K9504-$L9504),$J9504)))</f>
      </c>
      <c r="N9504" s="43">
        <f>IF($I9504=0,0,MIN(SUMIFS(SondBetrag,SondDarl,20,SondDatum,"&gt;="&amp;$E9504,SondDatum,"&lt;="&amp;EOMONTH($E9504,0)),$J9504-$M9504))</f>
      </c>
      <c r="O9504" s="43">
        <f>IF($I9504=0,0,INDEX(DarlErsatzRate,20))</f>
      </c>
      <c r="P9504" s="43">
        <f>IF($I9504=0,0,$Q9503*INDEX(DarlErsatzZins,20))</f>
      </c>
      <c r="Q9504" s="43">
        <f>IF($I9504=0,0,$Q9503+$P9504+$O9504)</f>
      </c>
      <c r="R9504" s="43">
        <f>IF($I9504=0,0,$J9504-$M9504-$N9504)</f>
      </c>
    </row>
    <row r="9505">
      <c r="A9505"/>
      <c r="B9505">
        <v>20</v>
      </c>
      <c r="C9505" s="43">
        <f>INDEX(DarlObj,20)</f>
      </c>
      <c r="D9505">
        <v>382</v>
      </c>
      <c r="E9505" s="51">
        <f>IF(INDEX(DarlBelegt,20)=0,0,EOMONTH(INDEX(DarlAuszahlung,20),381)+1)</f>
      </c>
      <c r="F9505" s="43">
        <f>IF($E9505=0,0,YEAR($E9505))</f>
      </c>
      <c r="G9505" s="43">
        <f>IF(INDEX(DarlBindung,20)="",1,IF($E9505&lt;=INDEX(DarlBindung,20),1,0))</f>
      </c>
      <c r="H9505" s="43">
        <f>IF($G9505=1,INDEX(DarlSollzins,20),INDEX(DarlAnschluss,20))</f>
      </c>
      <c r="I9505" s="43">
        <f>IF(INDEX(DarlBelegt,20)=0,0,IF(INDEX(DarlOhneTilgung,20)=1,IF(INDEX(DarlBindung,20)="",1,$G9505),IF($J9505&gt;0.005,1,0)))</f>
      </c>
      <c r="J9505" s="43">
        <f>IF($I9504=0,0,$R9504)</f>
      </c>
      <c r="K9505" s="43">
        <f>IF($I9505=0,0,IF(INDEX(DarlOhneTilgung,20)=1,0,IF(AND(INDEX(DarlTilgStart,20)&gt;0,$E9505=INDEX(DarlTilgStart,20)),$J9505*($H9505+INDEX(DarlTilgung,20))/100/12,IF(AND($G9505=0,$G9504=1),MAX($K9504,$J9505*($H9505+1)/100/12),$K9504))))</f>
      </c>
      <c r="L9505" s="43">
        <f>IF($I9505=0,0,$J9505*$H9505/100/12)</f>
      </c>
      <c r="M9505" s="43">
        <f>IF($I9505=0,0,IF(OR(INDEX(DarlOhneTilgung,20)=1,AND(INDEX(DarlTilgStart,20)&gt;0,$E9505&lt;INDEX(DarlTilgStart,20))),0,MIN(MAX(0,$K9505-$L9505),$J9505)))</f>
      </c>
      <c r="N9505" s="43">
        <f>IF($I9505=0,0,MIN(SUMIFS(SondBetrag,SondDarl,20,SondDatum,"&gt;="&amp;$E9505,SondDatum,"&lt;="&amp;EOMONTH($E9505,0)),$J9505-$M9505))</f>
      </c>
      <c r="O9505" s="43">
        <f>IF($I9505=0,0,INDEX(DarlErsatzRate,20))</f>
      </c>
      <c r="P9505" s="43">
        <f>IF($I9505=0,0,$Q9504*INDEX(DarlErsatzZins,20))</f>
      </c>
      <c r="Q9505" s="43">
        <f>IF($I9505=0,0,$Q9504+$P9505+$O9505)</f>
      </c>
      <c r="R9505" s="43">
        <f>IF($I9505=0,0,$J9505-$M9505-$N9505)</f>
      </c>
    </row>
    <row r="9506">
      <c r="A9506"/>
      <c r="B9506">
        <v>20</v>
      </c>
      <c r="C9506" s="43">
        <f>INDEX(DarlObj,20)</f>
      </c>
      <c r="D9506">
        <v>383</v>
      </c>
      <c r="E9506" s="51">
        <f>IF(INDEX(DarlBelegt,20)=0,0,EOMONTH(INDEX(DarlAuszahlung,20),382)+1)</f>
      </c>
      <c r="F9506" s="43">
        <f>IF($E9506=0,0,YEAR($E9506))</f>
      </c>
      <c r="G9506" s="43">
        <f>IF(INDEX(DarlBindung,20)="",1,IF($E9506&lt;=INDEX(DarlBindung,20),1,0))</f>
      </c>
      <c r="H9506" s="43">
        <f>IF($G9506=1,INDEX(DarlSollzins,20),INDEX(DarlAnschluss,20))</f>
      </c>
      <c r="I9506" s="43">
        <f>IF(INDEX(DarlBelegt,20)=0,0,IF(INDEX(DarlOhneTilgung,20)=1,IF(INDEX(DarlBindung,20)="",1,$G9506),IF($J9506&gt;0.005,1,0)))</f>
      </c>
      <c r="J9506" s="43">
        <f>IF($I9505=0,0,$R9505)</f>
      </c>
      <c r="K9506" s="43">
        <f>IF($I9506=0,0,IF(INDEX(DarlOhneTilgung,20)=1,0,IF(AND(INDEX(DarlTilgStart,20)&gt;0,$E9506=INDEX(DarlTilgStart,20)),$J9506*($H9506+INDEX(DarlTilgung,20))/100/12,IF(AND($G9506=0,$G9505=1),MAX($K9505,$J9506*($H9506+1)/100/12),$K9505))))</f>
      </c>
      <c r="L9506" s="43">
        <f>IF($I9506=0,0,$J9506*$H9506/100/12)</f>
      </c>
      <c r="M9506" s="43">
        <f>IF($I9506=0,0,IF(OR(INDEX(DarlOhneTilgung,20)=1,AND(INDEX(DarlTilgStart,20)&gt;0,$E9506&lt;INDEX(DarlTilgStart,20))),0,MIN(MAX(0,$K9506-$L9506),$J9506)))</f>
      </c>
      <c r="N9506" s="43">
        <f>IF($I9506=0,0,MIN(SUMIFS(SondBetrag,SondDarl,20,SondDatum,"&gt;="&amp;$E9506,SondDatum,"&lt;="&amp;EOMONTH($E9506,0)),$J9506-$M9506))</f>
      </c>
      <c r="O9506" s="43">
        <f>IF($I9506=0,0,INDEX(DarlErsatzRate,20))</f>
      </c>
      <c r="P9506" s="43">
        <f>IF($I9506=0,0,$Q9505*INDEX(DarlErsatzZins,20))</f>
      </c>
      <c r="Q9506" s="43">
        <f>IF($I9506=0,0,$Q9505+$P9506+$O9506)</f>
      </c>
      <c r="R9506" s="43">
        <f>IF($I9506=0,0,$J9506-$M9506-$N9506)</f>
      </c>
    </row>
    <row r="9507">
      <c r="A9507"/>
      <c r="B9507">
        <v>20</v>
      </c>
      <c r="C9507" s="43">
        <f>INDEX(DarlObj,20)</f>
      </c>
      <c r="D9507">
        <v>384</v>
      </c>
      <c r="E9507" s="51">
        <f>IF(INDEX(DarlBelegt,20)=0,0,EOMONTH(INDEX(DarlAuszahlung,20),383)+1)</f>
      </c>
      <c r="F9507" s="43">
        <f>IF($E9507=0,0,YEAR($E9507))</f>
      </c>
      <c r="G9507" s="43">
        <f>IF(INDEX(DarlBindung,20)="",1,IF($E9507&lt;=INDEX(DarlBindung,20),1,0))</f>
      </c>
      <c r="H9507" s="43">
        <f>IF($G9507=1,INDEX(DarlSollzins,20),INDEX(DarlAnschluss,20))</f>
      </c>
      <c r="I9507" s="43">
        <f>IF(INDEX(DarlBelegt,20)=0,0,IF(INDEX(DarlOhneTilgung,20)=1,IF(INDEX(DarlBindung,20)="",1,$G9507),IF($J9507&gt;0.005,1,0)))</f>
      </c>
      <c r="J9507" s="43">
        <f>IF($I9506=0,0,$R9506)</f>
      </c>
      <c r="K9507" s="43">
        <f>IF($I9507=0,0,IF(INDEX(DarlOhneTilgung,20)=1,0,IF(AND(INDEX(DarlTilgStart,20)&gt;0,$E9507=INDEX(DarlTilgStart,20)),$J9507*($H9507+INDEX(DarlTilgung,20))/100/12,IF(AND($G9507=0,$G9506=1),MAX($K9506,$J9507*($H9507+1)/100/12),$K9506))))</f>
      </c>
      <c r="L9507" s="43">
        <f>IF($I9507=0,0,$J9507*$H9507/100/12)</f>
      </c>
      <c r="M9507" s="43">
        <f>IF($I9507=0,0,IF(OR(INDEX(DarlOhneTilgung,20)=1,AND(INDEX(DarlTilgStart,20)&gt;0,$E9507&lt;INDEX(DarlTilgStart,20))),0,MIN(MAX(0,$K9507-$L9507),$J9507)))</f>
      </c>
      <c r="N9507" s="43">
        <f>IF($I9507=0,0,MIN(SUMIFS(SondBetrag,SondDarl,20,SondDatum,"&gt;="&amp;$E9507,SondDatum,"&lt;="&amp;EOMONTH($E9507,0)),$J9507-$M9507))</f>
      </c>
      <c r="O9507" s="43">
        <f>IF($I9507=0,0,INDEX(DarlErsatzRate,20))</f>
      </c>
      <c r="P9507" s="43">
        <f>IF($I9507=0,0,$Q9506*INDEX(DarlErsatzZins,20))</f>
      </c>
      <c r="Q9507" s="43">
        <f>IF($I9507=0,0,$Q9506+$P9507+$O9507)</f>
      </c>
      <c r="R9507" s="43">
        <f>IF($I9507=0,0,$J9507-$M9507-$N9507)</f>
      </c>
    </row>
    <row r="9508">
      <c r="A9508"/>
      <c r="B9508">
        <v>20</v>
      </c>
      <c r="C9508" s="43">
        <f>INDEX(DarlObj,20)</f>
      </c>
      <c r="D9508">
        <v>385</v>
      </c>
      <c r="E9508" s="51">
        <f>IF(INDEX(DarlBelegt,20)=0,0,EOMONTH(INDEX(DarlAuszahlung,20),384)+1)</f>
      </c>
      <c r="F9508" s="43">
        <f>IF($E9508=0,0,YEAR($E9508))</f>
      </c>
      <c r="G9508" s="43">
        <f>IF(INDEX(DarlBindung,20)="",1,IF($E9508&lt;=INDEX(DarlBindung,20),1,0))</f>
      </c>
      <c r="H9508" s="43">
        <f>IF($G9508=1,INDEX(DarlSollzins,20),INDEX(DarlAnschluss,20))</f>
      </c>
      <c r="I9508" s="43">
        <f>IF(INDEX(DarlBelegt,20)=0,0,IF(INDEX(DarlOhneTilgung,20)=1,IF(INDEX(DarlBindung,20)="",1,$G9508),IF($J9508&gt;0.005,1,0)))</f>
      </c>
      <c r="J9508" s="43">
        <f>IF($I9507=0,0,$R9507)</f>
      </c>
      <c r="K9508" s="43">
        <f>IF($I9508=0,0,IF(INDEX(DarlOhneTilgung,20)=1,0,IF(AND(INDEX(DarlTilgStart,20)&gt;0,$E9508=INDEX(DarlTilgStart,20)),$J9508*($H9508+INDEX(DarlTilgung,20))/100/12,IF(AND($G9508=0,$G9507=1),MAX($K9507,$J9508*($H9508+1)/100/12),$K9507))))</f>
      </c>
      <c r="L9508" s="43">
        <f>IF($I9508=0,0,$J9508*$H9508/100/12)</f>
      </c>
      <c r="M9508" s="43">
        <f>IF($I9508=0,0,IF(OR(INDEX(DarlOhneTilgung,20)=1,AND(INDEX(DarlTilgStart,20)&gt;0,$E9508&lt;INDEX(DarlTilgStart,20))),0,MIN(MAX(0,$K9508-$L9508),$J9508)))</f>
      </c>
      <c r="N9508" s="43">
        <f>IF($I9508=0,0,MIN(SUMIFS(SondBetrag,SondDarl,20,SondDatum,"&gt;="&amp;$E9508,SondDatum,"&lt;="&amp;EOMONTH($E9508,0)),$J9508-$M9508))</f>
      </c>
      <c r="O9508" s="43">
        <f>IF($I9508=0,0,INDEX(DarlErsatzRate,20))</f>
      </c>
      <c r="P9508" s="43">
        <f>IF($I9508=0,0,$Q9507*INDEX(DarlErsatzZins,20))</f>
      </c>
      <c r="Q9508" s="43">
        <f>IF($I9508=0,0,$Q9507+$P9508+$O9508)</f>
      </c>
      <c r="R9508" s="43">
        <f>IF($I9508=0,0,$J9508-$M9508-$N9508)</f>
      </c>
    </row>
    <row r="9509">
      <c r="A9509"/>
      <c r="B9509">
        <v>20</v>
      </c>
      <c r="C9509" s="43">
        <f>INDEX(DarlObj,20)</f>
      </c>
      <c r="D9509">
        <v>386</v>
      </c>
      <c r="E9509" s="51">
        <f>IF(INDEX(DarlBelegt,20)=0,0,EOMONTH(INDEX(DarlAuszahlung,20),385)+1)</f>
      </c>
      <c r="F9509" s="43">
        <f>IF($E9509=0,0,YEAR($E9509))</f>
      </c>
      <c r="G9509" s="43">
        <f>IF(INDEX(DarlBindung,20)="",1,IF($E9509&lt;=INDEX(DarlBindung,20),1,0))</f>
      </c>
      <c r="H9509" s="43">
        <f>IF($G9509=1,INDEX(DarlSollzins,20),INDEX(DarlAnschluss,20))</f>
      </c>
      <c r="I9509" s="43">
        <f>IF(INDEX(DarlBelegt,20)=0,0,IF(INDEX(DarlOhneTilgung,20)=1,IF(INDEX(DarlBindung,20)="",1,$G9509),IF($J9509&gt;0.005,1,0)))</f>
      </c>
      <c r="J9509" s="43">
        <f>IF($I9508=0,0,$R9508)</f>
      </c>
      <c r="K9509" s="43">
        <f>IF($I9509=0,0,IF(INDEX(DarlOhneTilgung,20)=1,0,IF(AND(INDEX(DarlTilgStart,20)&gt;0,$E9509=INDEX(DarlTilgStart,20)),$J9509*($H9509+INDEX(DarlTilgung,20))/100/12,IF(AND($G9509=0,$G9508=1),MAX($K9508,$J9509*($H9509+1)/100/12),$K9508))))</f>
      </c>
      <c r="L9509" s="43">
        <f>IF($I9509=0,0,$J9509*$H9509/100/12)</f>
      </c>
      <c r="M9509" s="43">
        <f>IF($I9509=0,0,IF(OR(INDEX(DarlOhneTilgung,20)=1,AND(INDEX(DarlTilgStart,20)&gt;0,$E9509&lt;INDEX(DarlTilgStart,20))),0,MIN(MAX(0,$K9509-$L9509),$J9509)))</f>
      </c>
      <c r="N9509" s="43">
        <f>IF($I9509=0,0,MIN(SUMIFS(SondBetrag,SondDarl,20,SondDatum,"&gt;="&amp;$E9509,SondDatum,"&lt;="&amp;EOMONTH($E9509,0)),$J9509-$M9509))</f>
      </c>
      <c r="O9509" s="43">
        <f>IF($I9509=0,0,INDEX(DarlErsatzRate,20))</f>
      </c>
      <c r="P9509" s="43">
        <f>IF($I9509=0,0,$Q9508*INDEX(DarlErsatzZins,20))</f>
      </c>
      <c r="Q9509" s="43">
        <f>IF($I9509=0,0,$Q9508+$P9509+$O9509)</f>
      </c>
      <c r="R9509" s="43">
        <f>IF($I9509=0,0,$J9509-$M9509-$N9509)</f>
      </c>
    </row>
    <row r="9510">
      <c r="A9510"/>
      <c r="B9510">
        <v>20</v>
      </c>
      <c r="C9510" s="43">
        <f>INDEX(DarlObj,20)</f>
      </c>
      <c r="D9510">
        <v>387</v>
      </c>
      <c r="E9510" s="51">
        <f>IF(INDEX(DarlBelegt,20)=0,0,EOMONTH(INDEX(DarlAuszahlung,20),386)+1)</f>
      </c>
      <c r="F9510" s="43">
        <f>IF($E9510=0,0,YEAR($E9510))</f>
      </c>
      <c r="G9510" s="43">
        <f>IF(INDEX(DarlBindung,20)="",1,IF($E9510&lt;=INDEX(DarlBindung,20),1,0))</f>
      </c>
      <c r="H9510" s="43">
        <f>IF($G9510=1,INDEX(DarlSollzins,20),INDEX(DarlAnschluss,20))</f>
      </c>
      <c r="I9510" s="43">
        <f>IF(INDEX(DarlBelegt,20)=0,0,IF(INDEX(DarlOhneTilgung,20)=1,IF(INDEX(DarlBindung,20)="",1,$G9510),IF($J9510&gt;0.005,1,0)))</f>
      </c>
      <c r="J9510" s="43">
        <f>IF($I9509=0,0,$R9509)</f>
      </c>
      <c r="K9510" s="43">
        <f>IF($I9510=0,0,IF(INDEX(DarlOhneTilgung,20)=1,0,IF(AND(INDEX(DarlTilgStart,20)&gt;0,$E9510=INDEX(DarlTilgStart,20)),$J9510*($H9510+INDEX(DarlTilgung,20))/100/12,IF(AND($G9510=0,$G9509=1),MAX($K9509,$J9510*($H9510+1)/100/12),$K9509))))</f>
      </c>
      <c r="L9510" s="43">
        <f>IF($I9510=0,0,$J9510*$H9510/100/12)</f>
      </c>
      <c r="M9510" s="43">
        <f>IF($I9510=0,0,IF(OR(INDEX(DarlOhneTilgung,20)=1,AND(INDEX(DarlTilgStart,20)&gt;0,$E9510&lt;INDEX(DarlTilgStart,20))),0,MIN(MAX(0,$K9510-$L9510),$J9510)))</f>
      </c>
      <c r="N9510" s="43">
        <f>IF($I9510=0,0,MIN(SUMIFS(SondBetrag,SondDarl,20,SondDatum,"&gt;="&amp;$E9510,SondDatum,"&lt;="&amp;EOMONTH($E9510,0)),$J9510-$M9510))</f>
      </c>
      <c r="O9510" s="43">
        <f>IF($I9510=0,0,INDEX(DarlErsatzRate,20))</f>
      </c>
      <c r="P9510" s="43">
        <f>IF($I9510=0,0,$Q9509*INDEX(DarlErsatzZins,20))</f>
      </c>
      <c r="Q9510" s="43">
        <f>IF($I9510=0,0,$Q9509+$P9510+$O9510)</f>
      </c>
      <c r="R9510" s="43">
        <f>IF($I9510=0,0,$J9510-$M9510-$N9510)</f>
      </c>
    </row>
    <row r="9511">
      <c r="A9511"/>
      <c r="B9511">
        <v>20</v>
      </c>
      <c r="C9511" s="43">
        <f>INDEX(DarlObj,20)</f>
      </c>
      <c r="D9511">
        <v>388</v>
      </c>
      <c r="E9511" s="51">
        <f>IF(INDEX(DarlBelegt,20)=0,0,EOMONTH(INDEX(DarlAuszahlung,20),387)+1)</f>
      </c>
      <c r="F9511" s="43">
        <f>IF($E9511=0,0,YEAR($E9511))</f>
      </c>
      <c r="G9511" s="43">
        <f>IF(INDEX(DarlBindung,20)="",1,IF($E9511&lt;=INDEX(DarlBindung,20),1,0))</f>
      </c>
      <c r="H9511" s="43">
        <f>IF($G9511=1,INDEX(DarlSollzins,20),INDEX(DarlAnschluss,20))</f>
      </c>
      <c r="I9511" s="43">
        <f>IF(INDEX(DarlBelegt,20)=0,0,IF(INDEX(DarlOhneTilgung,20)=1,IF(INDEX(DarlBindung,20)="",1,$G9511),IF($J9511&gt;0.005,1,0)))</f>
      </c>
      <c r="J9511" s="43">
        <f>IF($I9510=0,0,$R9510)</f>
      </c>
      <c r="K9511" s="43">
        <f>IF($I9511=0,0,IF(INDEX(DarlOhneTilgung,20)=1,0,IF(AND(INDEX(DarlTilgStart,20)&gt;0,$E9511=INDEX(DarlTilgStart,20)),$J9511*($H9511+INDEX(DarlTilgung,20))/100/12,IF(AND($G9511=0,$G9510=1),MAX($K9510,$J9511*($H9511+1)/100/12),$K9510))))</f>
      </c>
      <c r="L9511" s="43">
        <f>IF($I9511=0,0,$J9511*$H9511/100/12)</f>
      </c>
      <c r="M9511" s="43">
        <f>IF($I9511=0,0,IF(OR(INDEX(DarlOhneTilgung,20)=1,AND(INDEX(DarlTilgStart,20)&gt;0,$E9511&lt;INDEX(DarlTilgStart,20))),0,MIN(MAX(0,$K9511-$L9511),$J9511)))</f>
      </c>
      <c r="N9511" s="43">
        <f>IF($I9511=0,0,MIN(SUMIFS(SondBetrag,SondDarl,20,SondDatum,"&gt;="&amp;$E9511,SondDatum,"&lt;="&amp;EOMONTH($E9511,0)),$J9511-$M9511))</f>
      </c>
      <c r="O9511" s="43">
        <f>IF($I9511=0,0,INDEX(DarlErsatzRate,20))</f>
      </c>
      <c r="P9511" s="43">
        <f>IF($I9511=0,0,$Q9510*INDEX(DarlErsatzZins,20))</f>
      </c>
      <c r="Q9511" s="43">
        <f>IF($I9511=0,0,$Q9510+$P9511+$O9511)</f>
      </c>
      <c r="R9511" s="43">
        <f>IF($I9511=0,0,$J9511-$M9511-$N9511)</f>
      </c>
    </row>
    <row r="9512">
      <c r="A9512"/>
      <c r="B9512">
        <v>20</v>
      </c>
      <c r="C9512" s="43">
        <f>INDEX(DarlObj,20)</f>
      </c>
      <c r="D9512">
        <v>389</v>
      </c>
      <c r="E9512" s="51">
        <f>IF(INDEX(DarlBelegt,20)=0,0,EOMONTH(INDEX(DarlAuszahlung,20),388)+1)</f>
      </c>
      <c r="F9512" s="43">
        <f>IF($E9512=0,0,YEAR($E9512))</f>
      </c>
      <c r="G9512" s="43">
        <f>IF(INDEX(DarlBindung,20)="",1,IF($E9512&lt;=INDEX(DarlBindung,20),1,0))</f>
      </c>
      <c r="H9512" s="43">
        <f>IF($G9512=1,INDEX(DarlSollzins,20),INDEX(DarlAnschluss,20))</f>
      </c>
      <c r="I9512" s="43">
        <f>IF(INDEX(DarlBelegt,20)=0,0,IF(INDEX(DarlOhneTilgung,20)=1,IF(INDEX(DarlBindung,20)="",1,$G9512),IF($J9512&gt;0.005,1,0)))</f>
      </c>
      <c r="J9512" s="43">
        <f>IF($I9511=0,0,$R9511)</f>
      </c>
      <c r="K9512" s="43">
        <f>IF($I9512=0,0,IF(INDEX(DarlOhneTilgung,20)=1,0,IF(AND(INDEX(DarlTilgStart,20)&gt;0,$E9512=INDEX(DarlTilgStart,20)),$J9512*($H9512+INDEX(DarlTilgung,20))/100/12,IF(AND($G9512=0,$G9511=1),MAX($K9511,$J9512*($H9512+1)/100/12),$K9511))))</f>
      </c>
      <c r="L9512" s="43">
        <f>IF($I9512=0,0,$J9512*$H9512/100/12)</f>
      </c>
      <c r="M9512" s="43">
        <f>IF($I9512=0,0,IF(OR(INDEX(DarlOhneTilgung,20)=1,AND(INDEX(DarlTilgStart,20)&gt;0,$E9512&lt;INDEX(DarlTilgStart,20))),0,MIN(MAX(0,$K9512-$L9512),$J9512)))</f>
      </c>
      <c r="N9512" s="43">
        <f>IF($I9512=0,0,MIN(SUMIFS(SondBetrag,SondDarl,20,SondDatum,"&gt;="&amp;$E9512,SondDatum,"&lt;="&amp;EOMONTH($E9512,0)),$J9512-$M9512))</f>
      </c>
      <c r="O9512" s="43">
        <f>IF($I9512=0,0,INDEX(DarlErsatzRate,20))</f>
      </c>
      <c r="P9512" s="43">
        <f>IF($I9512=0,0,$Q9511*INDEX(DarlErsatzZins,20))</f>
      </c>
      <c r="Q9512" s="43">
        <f>IF($I9512=0,0,$Q9511+$P9512+$O9512)</f>
      </c>
      <c r="R9512" s="43">
        <f>IF($I9512=0,0,$J9512-$M9512-$N9512)</f>
      </c>
    </row>
    <row r="9513">
      <c r="A9513"/>
      <c r="B9513">
        <v>20</v>
      </c>
      <c r="C9513" s="43">
        <f>INDEX(DarlObj,20)</f>
      </c>
      <c r="D9513">
        <v>390</v>
      </c>
      <c r="E9513" s="51">
        <f>IF(INDEX(DarlBelegt,20)=0,0,EOMONTH(INDEX(DarlAuszahlung,20),389)+1)</f>
      </c>
      <c r="F9513" s="43">
        <f>IF($E9513=0,0,YEAR($E9513))</f>
      </c>
      <c r="G9513" s="43">
        <f>IF(INDEX(DarlBindung,20)="",1,IF($E9513&lt;=INDEX(DarlBindung,20),1,0))</f>
      </c>
      <c r="H9513" s="43">
        <f>IF($G9513=1,INDEX(DarlSollzins,20),INDEX(DarlAnschluss,20))</f>
      </c>
      <c r="I9513" s="43">
        <f>IF(INDEX(DarlBelegt,20)=0,0,IF(INDEX(DarlOhneTilgung,20)=1,IF(INDEX(DarlBindung,20)="",1,$G9513),IF($J9513&gt;0.005,1,0)))</f>
      </c>
      <c r="J9513" s="43">
        <f>IF($I9512=0,0,$R9512)</f>
      </c>
      <c r="K9513" s="43">
        <f>IF($I9513=0,0,IF(INDEX(DarlOhneTilgung,20)=1,0,IF(AND(INDEX(DarlTilgStart,20)&gt;0,$E9513=INDEX(DarlTilgStart,20)),$J9513*($H9513+INDEX(DarlTilgung,20))/100/12,IF(AND($G9513=0,$G9512=1),MAX($K9512,$J9513*($H9513+1)/100/12),$K9512))))</f>
      </c>
      <c r="L9513" s="43">
        <f>IF($I9513=0,0,$J9513*$H9513/100/12)</f>
      </c>
      <c r="M9513" s="43">
        <f>IF($I9513=0,0,IF(OR(INDEX(DarlOhneTilgung,20)=1,AND(INDEX(DarlTilgStart,20)&gt;0,$E9513&lt;INDEX(DarlTilgStart,20))),0,MIN(MAX(0,$K9513-$L9513),$J9513)))</f>
      </c>
      <c r="N9513" s="43">
        <f>IF($I9513=0,0,MIN(SUMIFS(SondBetrag,SondDarl,20,SondDatum,"&gt;="&amp;$E9513,SondDatum,"&lt;="&amp;EOMONTH($E9513,0)),$J9513-$M9513))</f>
      </c>
      <c r="O9513" s="43">
        <f>IF($I9513=0,0,INDEX(DarlErsatzRate,20))</f>
      </c>
      <c r="P9513" s="43">
        <f>IF($I9513=0,0,$Q9512*INDEX(DarlErsatzZins,20))</f>
      </c>
      <c r="Q9513" s="43">
        <f>IF($I9513=0,0,$Q9512+$P9513+$O9513)</f>
      </c>
      <c r="R9513" s="43">
        <f>IF($I9513=0,0,$J9513-$M9513-$N9513)</f>
      </c>
    </row>
    <row r="9514">
      <c r="A9514"/>
      <c r="B9514">
        <v>20</v>
      </c>
      <c r="C9514" s="43">
        <f>INDEX(DarlObj,20)</f>
      </c>
      <c r="D9514">
        <v>391</v>
      </c>
      <c r="E9514" s="51">
        <f>IF(INDEX(DarlBelegt,20)=0,0,EOMONTH(INDEX(DarlAuszahlung,20),390)+1)</f>
      </c>
      <c r="F9514" s="43">
        <f>IF($E9514=0,0,YEAR($E9514))</f>
      </c>
      <c r="G9514" s="43">
        <f>IF(INDEX(DarlBindung,20)="",1,IF($E9514&lt;=INDEX(DarlBindung,20),1,0))</f>
      </c>
      <c r="H9514" s="43">
        <f>IF($G9514=1,INDEX(DarlSollzins,20),INDEX(DarlAnschluss,20))</f>
      </c>
      <c r="I9514" s="43">
        <f>IF(INDEX(DarlBelegt,20)=0,0,IF(INDEX(DarlOhneTilgung,20)=1,IF(INDEX(DarlBindung,20)="",1,$G9514),IF($J9514&gt;0.005,1,0)))</f>
      </c>
      <c r="J9514" s="43">
        <f>IF($I9513=0,0,$R9513)</f>
      </c>
      <c r="K9514" s="43">
        <f>IF($I9514=0,0,IF(INDEX(DarlOhneTilgung,20)=1,0,IF(AND(INDEX(DarlTilgStart,20)&gt;0,$E9514=INDEX(DarlTilgStart,20)),$J9514*($H9514+INDEX(DarlTilgung,20))/100/12,IF(AND($G9514=0,$G9513=1),MAX($K9513,$J9514*($H9514+1)/100/12),$K9513))))</f>
      </c>
      <c r="L9514" s="43">
        <f>IF($I9514=0,0,$J9514*$H9514/100/12)</f>
      </c>
      <c r="M9514" s="43">
        <f>IF($I9514=0,0,IF(OR(INDEX(DarlOhneTilgung,20)=1,AND(INDEX(DarlTilgStart,20)&gt;0,$E9514&lt;INDEX(DarlTilgStart,20))),0,MIN(MAX(0,$K9514-$L9514),$J9514)))</f>
      </c>
      <c r="N9514" s="43">
        <f>IF($I9514=0,0,MIN(SUMIFS(SondBetrag,SondDarl,20,SondDatum,"&gt;="&amp;$E9514,SondDatum,"&lt;="&amp;EOMONTH($E9514,0)),$J9514-$M9514))</f>
      </c>
      <c r="O9514" s="43">
        <f>IF($I9514=0,0,INDEX(DarlErsatzRate,20))</f>
      </c>
      <c r="P9514" s="43">
        <f>IF($I9514=0,0,$Q9513*INDEX(DarlErsatzZins,20))</f>
      </c>
      <c r="Q9514" s="43">
        <f>IF($I9514=0,0,$Q9513+$P9514+$O9514)</f>
      </c>
      <c r="R9514" s="43">
        <f>IF($I9514=0,0,$J9514-$M9514-$N9514)</f>
      </c>
    </row>
    <row r="9515">
      <c r="A9515"/>
      <c r="B9515">
        <v>20</v>
      </c>
      <c r="C9515" s="43">
        <f>INDEX(DarlObj,20)</f>
      </c>
      <c r="D9515">
        <v>392</v>
      </c>
      <c r="E9515" s="51">
        <f>IF(INDEX(DarlBelegt,20)=0,0,EOMONTH(INDEX(DarlAuszahlung,20),391)+1)</f>
      </c>
      <c r="F9515" s="43">
        <f>IF($E9515=0,0,YEAR($E9515))</f>
      </c>
      <c r="G9515" s="43">
        <f>IF(INDEX(DarlBindung,20)="",1,IF($E9515&lt;=INDEX(DarlBindung,20),1,0))</f>
      </c>
      <c r="H9515" s="43">
        <f>IF($G9515=1,INDEX(DarlSollzins,20),INDEX(DarlAnschluss,20))</f>
      </c>
      <c r="I9515" s="43">
        <f>IF(INDEX(DarlBelegt,20)=0,0,IF(INDEX(DarlOhneTilgung,20)=1,IF(INDEX(DarlBindung,20)="",1,$G9515),IF($J9515&gt;0.005,1,0)))</f>
      </c>
      <c r="J9515" s="43">
        <f>IF($I9514=0,0,$R9514)</f>
      </c>
      <c r="K9515" s="43">
        <f>IF($I9515=0,0,IF(INDEX(DarlOhneTilgung,20)=1,0,IF(AND(INDEX(DarlTilgStart,20)&gt;0,$E9515=INDEX(DarlTilgStart,20)),$J9515*($H9515+INDEX(DarlTilgung,20))/100/12,IF(AND($G9515=0,$G9514=1),MAX($K9514,$J9515*($H9515+1)/100/12),$K9514))))</f>
      </c>
      <c r="L9515" s="43">
        <f>IF($I9515=0,0,$J9515*$H9515/100/12)</f>
      </c>
      <c r="M9515" s="43">
        <f>IF($I9515=0,0,IF(OR(INDEX(DarlOhneTilgung,20)=1,AND(INDEX(DarlTilgStart,20)&gt;0,$E9515&lt;INDEX(DarlTilgStart,20))),0,MIN(MAX(0,$K9515-$L9515),$J9515)))</f>
      </c>
      <c r="N9515" s="43">
        <f>IF($I9515=0,0,MIN(SUMIFS(SondBetrag,SondDarl,20,SondDatum,"&gt;="&amp;$E9515,SondDatum,"&lt;="&amp;EOMONTH($E9515,0)),$J9515-$M9515))</f>
      </c>
      <c r="O9515" s="43">
        <f>IF($I9515=0,0,INDEX(DarlErsatzRate,20))</f>
      </c>
      <c r="P9515" s="43">
        <f>IF($I9515=0,0,$Q9514*INDEX(DarlErsatzZins,20))</f>
      </c>
      <c r="Q9515" s="43">
        <f>IF($I9515=0,0,$Q9514+$P9515+$O9515)</f>
      </c>
      <c r="R9515" s="43">
        <f>IF($I9515=0,0,$J9515-$M9515-$N9515)</f>
      </c>
    </row>
    <row r="9516">
      <c r="A9516"/>
      <c r="B9516">
        <v>20</v>
      </c>
      <c r="C9516" s="43">
        <f>INDEX(DarlObj,20)</f>
      </c>
      <c r="D9516">
        <v>393</v>
      </c>
      <c r="E9516" s="51">
        <f>IF(INDEX(DarlBelegt,20)=0,0,EOMONTH(INDEX(DarlAuszahlung,20),392)+1)</f>
      </c>
      <c r="F9516" s="43">
        <f>IF($E9516=0,0,YEAR($E9516))</f>
      </c>
      <c r="G9516" s="43">
        <f>IF(INDEX(DarlBindung,20)="",1,IF($E9516&lt;=INDEX(DarlBindung,20),1,0))</f>
      </c>
      <c r="H9516" s="43">
        <f>IF($G9516=1,INDEX(DarlSollzins,20),INDEX(DarlAnschluss,20))</f>
      </c>
      <c r="I9516" s="43">
        <f>IF(INDEX(DarlBelegt,20)=0,0,IF(INDEX(DarlOhneTilgung,20)=1,IF(INDEX(DarlBindung,20)="",1,$G9516),IF($J9516&gt;0.005,1,0)))</f>
      </c>
      <c r="J9516" s="43">
        <f>IF($I9515=0,0,$R9515)</f>
      </c>
      <c r="K9516" s="43">
        <f>IF($I9516=0,0,IF(INDEX(DarlOhneTilgung,20)=1,0,IF(AND(INDEX(DarlTilgStart,20)&gt;0,$E9516=INDEX(DarlTilgStart,20)),$J9516*($H9516+INDEX(DarlTilgung,20))/100/12,IF(AND($G9516=0,$G9515=1),MAX($K9515,$J9516*($H9516+1)/100/12),$K9515))))</f>
      </c>
      <c r="L9516" s="43">
        <f>IF($I9516=0,0,$J9516*$H9516/100/12)</f>
      </c>
      <c r="M9516" s="43">
        <f>IF($I9516=0,0,IF(OR(INDEX(DarlOhneTilgung,20)=1,AND(INDEX(DarlTilgStart,20)&gt;0,$E9516&lt;INDEX(DarlTilgStart,20))),0,MIN(MAX(0,$K9516-$L9516),$J9516)))</f>
      </c>
      <c r="N9516" s="43">
        <f>IF($I9516=0,0,MIN(SUMIFS(SondBetrag,SondDarl,20,SondDatum,"&gt;="&amp;$E9516,SondDatum,"&lt;="&amp;EOMONTH($E9516,0)),$J9516-$M9516))</f>
      </c>
      <c r="O9516" s="43">
        <f>IF($I9516=0,0,INDEX(DarlErsatzRate,20))</f>
      </c>
      <c r="P9516" s="43">
        <f>IF($I9516=0,0,$Q9515*INDEX(DarlErsatzZins,20))</f>
      </c>
      <c r="Q9516" s="43">
        <f>IF($I9516=0,0,$Q9515+$P9516+$O9516)</f>
      </c>
      <c r="R9516" s="43">
        <f>IF($I9516=0,0,$J9516-$M9516-$N9516)</f>
      </c>
    </row>
    <row r="9517">
      <c r="A9517"/>
      <c r="B9517">
        <v>20</v>
      </c>
      <c r="C9517" s="43">
        <f>INDEX(DarlObj,20)</f>
      </c>
      <c r="D9517">
        <v>394</v>
      </c>
      <c r="E9517" s="51">
        <f>IF(INDEX(DarlBelegt,20)=0,0,EOMONTH(INDEX(DarlAuszahlung,20),393)+1)</f>
      </c>
      <c r="F9517" s="43">
        <f>IF($E9517=0,0,YEAR($E9517))</f>
      </c>
      <c r="G9517" s="43">
        <f>IF(INDEX(DarlBindung,20)="",1,IF($E9517&lt;=INDEX(DarlBindung,20),1,0))</f>
      </c>
      <c r="H9517" s="43">
        <f>IF($G9517=1,INDEX(DarlSollzins,20),INDEX(DarlAnschluss,20))</f>
      </c>
      <c r="I9517" s="43">
        <f>IF(INDEX(DarlBelegt,20)=0,0,IF(INDEX(DarlOhneTilgung,20)=1,IF(INDEX(DarlBindung,20)="",1,$G9517),IF($J9517&gt;0.005,1,0)))</f>
      </c>
      <c r="J9517" s="43">
        <f>IF($I9516=0,0,$R9516)</f>
      </c>
      <c r="K9517" s="43">
        <f>IF($I9517=0,0,IF(INDEX(DarlOhneTilgung,20)=1,0,IF(AND(INDEX(DarlTilgStart,20)&gt;0,$E9517=INDEX(DarlTilgStart,20)),$J9517*($H9517+INDEX(DarlTilgung,20))/100/12,IF(AND($G9517=0,$G9516=1),MAX($K9516,$J9517*($H9517+1)/100/12),$K9516))))</f>
      </c>
      <c r="L9517" s="43">
        <f>IF($I9517=0,0,$J9517*$H9517/100/12)</f>
      </c>
      <c r="M9517" s="43">
        <f>IF($I9517=0,0,IF(OR(INDEX(DarlOhneTilgung,20)=1,AND(INDEX(DarlTilgStart,20)&gt;0,$E9517&lt;INDEX(DarlTilgStart,20))),0,MIN(MAX(0,$K9517-$L9517),$J9517)))</f>
      </c>
      <c r="N9517" s="43">
        <f>IF($I9517=0,0,MIN(SUMIFS(SondBetrag,SondDarl,20,SondDatum,"&gt;="&amp;$E9517,SondDatum,"&lt;="&amp;EOMONTH($E9517,0)),$J9517-$M9517))</f>
      </c>
      <c r="O9517" s="43">
        <f>IF($I9517=0,0,INDEX(DarlErsatzRate,20))</f>
      </c>
      <c r="P9517" s="43">
        <f>IF($I9517=0,0,$Q9516*INDEX(DarlErsatzZins,20))</f>
      </c>
      <c r="Q9517" s="43">
        <f>IF($I9517=0,0,$Q9516+$P9517+$O9517)</f>
      </c>
      <c r="R9517" s="43">
        <f>IF($I9517=0,0,$J9517-$M9517-$N9517)</f>
      </c>
    </row>
    <row r="9518">
      <c r="A9518"/>
      <c r="B9518">
        <v>20</v>
      </c>
      <c r="C9518" s="43">
        <f>INDEX(DarlObj,20)</f>
      </c>
      <c r="D9518">
        <v>395</v>
      </c>
      <c r="E9518" s="51">
        <f>IF(INDEX(DarlBelegt,20)=0,0,EOMONTH(INDEX(DarlAuszahlung,20),394)+1)</f>
      </c>
      <c r="F9518" s="43">
        <f>IF($E9518=0,0,YEAR($E9518))</f>
      </c>
      <c r="G9518" s="43">
        <f>IF(INDEX(DarlBindung,20)="",1,IF($E9518&lt;=INDEX(DarlBindung,20),1,0))</f>
      </c>
      <c r="H9518" s="43">
        <f>IF($G9518=1,INDEX(DarlSollzins,20),INDEX(DarlAnschluss,20))</f>
      </c>
      <c r="I9518" s="43">
        <f>IF(INDEX(DarlBelegt,20)=0,0,IF(INDEX(DarlOhneTilgung,20)=1,IF(INDEX(DarlBindung,20)="",1,$G9518),IF($J9518&gt;0.005,1,0)))</f>
      </c>
      <c r="J9518" s="43">
        <f>IF($I9517=0,0,$R9517)</f>
      </c>
      <c r="K9518" s="43">
        <f>IF($I9518=0,0,IF(INDEX(DarlOhneTilgung,20)=1,0,IF(AND(INDEX(DarlTilgStart,20)&gt;0,$E9518=INDEX(DarlTilgStart,20)),$J9518*($H9518+INDEX(DarlTilgung,20))/100/12,IF(AND($G9518=0,$G9517=1),MAX($K9517,$J9518*($H9518+1)/100/12),$K9517))))</f>
      </c>
      <c r="L9518" s="43">
        <f>IF($I9518=0,0,$J9518*$H9518/100/12)</f>
      </c>
      <c r="M9518" s="43">
        <f>IF($I9518=0,0,IF(OR(INDEX(DarlOhneTilgung,20)=1,AND(INDEX(DarlTilgStart,20)&gt;0,$E9518&lt;INDEX(DarlTilgStart,20))),0,MIN(MAX(0,$K9518-$L9518),$J9518)))</f>
      </c>
      <c r="N9518" s="43">
        <f>IF($I9518=0,0,MIN(SUMIFS(SondBetrag,SondDarl,20,SondDatum,"&gt;="&amp;$E9518,SondDatum,"&lt;="&amp;EOMONTH($E9518,0)),$J9518-$M9518))</f>
      </c>
      <c r="O9518" s="43">
        <f>IF($I9518=0,0,INDEX(DarlErsatzRate,20))</f>
      </c>
      <c r="P9518" s="43">
        <f>IF($I9518=0,0,$Q9517*INDEX(DarlErsatzZins,20))</f>
      </c>
      <c r="Q9518" s="43">
        <f>IF($I9518=0,0,$Q9517+$P9518+$O9518)</f>
      </c>
      <c r="R9518" s="43">
        <f>IF($I9518=0,0,$J9518-$M9518-$N9518)</f>
      </c>
    </row>
    <row r="9519">
      <c r="A9519"/>
      <c r="B9519">
        <v>20</v>
      </c>
      <c r="C9519" s="43">
        <f>INDEX(DarlObj,20)</f>
      </c>
      <c r="D9519">
        <v>396</v>
      </c>
      <c r="E9519" s="51">
        <f>IF(INDEX(DarlBelegt,20)=0,0,EOMONTH(INDEX(DarlAuszahlung,20),395)+1)</f>
      </c>
      <c r="F9519" s="43">
        <f>IF($E9519=0,0,YEAR($E9519))</f>
      </c>
      <c r="G9519" s="43">
        <f>IF(INDEX(DarlBindung,20)="",1,IF($E9519&lt;=INDEX(DarlBindung,20),1,0))</f>
      </c>
      <c r="H9519" s="43">
        <f>IF($G9519=1,INDEX(DarlSollzins,20),INDEX(DarlAnschluss,20))</f>
      </c>
      <c r="I9519" s="43">
        <f>IF(INDEX(DarlBelegt,20)=0,0,IF(INDEX(DarlOhneTilgung,20)=1,IF(INDEX(DarlBindung,20)="",1,$G9519),IF($J9519&gt;0.005,1,0)))</f>
      </c>
      <c r="J9519" s="43">
        <f>IF($I9518=0,0,$R9518)</f>
      </c>
      <c r="K9519" s="43">
        <f>IF($I9519=0,0,IF(INDEX(DarlOhneTilgung,20)=1,0,IF(AND(INDEX(DarlTilgStart,20)&gt;0,$E9519=INDEX(DarlTilgStart,20)),$J9519*($H9519+INDEX(DarlTilgung,20))/100/12,IF(AND($G9519=0,$G9518=1),MAX($K9518,$J9519*($H9519+1)/100/12),$K9518))))</f>
      </c>
      <c r="L9519" s="43">
        <f>IF($I9519=0,0,$J9519*$H9519/100/12)</f>
      </c>
      <c r="M9519" s="43">
        <f>IF($I9519=0,0,IF(OR(INDEX(DarlOhneTilgung,20)=1,AND(INDEX(DarlTilgStart,20)&gt;0,$E9519&lt;INDEX(DarlTilgStart,20))),0,MIN(MAX(0,$K9519-$L9519),$J9519)))</f>
      </c>
      <c r="N9519" s="43">
        <f>IF($I9519=0,0,MIN(SUMIFS(SondBetrag,SondDarl,20,SondDatum,"&gt;="&amp;$E9519,SondDatum,"&lt;="&amp;EOMONTH($E9519,0)),$J9519-$M9519))</f>
      </c>
      <c r="O9519" s="43">
        <f>IF($I9519=0,0,INDEX(DarlErsatzRate,20))</f>
      </c>
      <c r="P9519" s="43">
        <f>IF($I9519=0,0,$Q9518*INDEX(DarlErsatzZins,20))</f>
      </c>
      <c r="Q9519" s="43">
        <f>IF($I9519=0,0,$Q9518+$P9519+$O9519)</f>
      </c>
      <c r="R9519" s="43">
        <f>IF($I9519=0,0,$J9519-$M9519-$N9519)</f>
      </c>
    </row>
    <row r="9520">
      <c r="A9520"/>
      <c r="B9520">
        <v>20</v>
      </c>
      <c r="C9520" s="43">
        <f>INDEX(DarlObj,20)</f>
      </c>
      <c r="D9520">
        <v>397</v>
      </c>
      <c r="E9520" s="51">
        <f>IF(INDEX(DarlBelegt,20)=0,0,EOMONTH(INDEX(DarlAuszahlung,20),396)+1)</f>
      </c>
      <c r="F9520" s="43">
        <f>IF($E9520=0,0,YEAR($E9520))</f>
      </c>
      <c r="G9520" s="43">
        <f>IF(INDEX(DarlBindung,20)="",1,IF($E9520&lt;=INDEX(DarlBindung,20),1,0))</f>
      </c>
      <c r="H9520" s="43">
        <f>IF($G9520=1,INDEX(DarlSollzins,20),INDEX(DarlAnschluss,20))</f>
      </c>
      <c r="I9520" s="43">
        <f>IF(INDEX(DarlBelegt,20)=0,0,IF(INDEX(DarlOhneTilgung,20)=1,IF(INDEX(DarlBindung,20)="",1,$G9520),IF($J9520&gt;0.005,1,0)))</f>
      </c>
      <c r="J9520" s="43">
        <f>IF($I9519=0,0,$R9519)</f>
      </c>
      <c r="K9520" s="43">
        <f>IF($I9520=0,0,IF(INDEX(DarlOhneTilgung,20)=1,0,IF(AND(INDEX(DarlTilgStart,20)&gt;0,$E9520=INDEX(DarlTilgStart,20)),$J9520*($H9520+INDEX(DarlTilgung,20))/100/12,IF(AND($G9520=0,$G9519=1),MAX($K9519,$J9520*($H9520+1)/100/12),$K9519))))</f>
      </c>
      <c r="L9520" s="43">
        <f>IF($I9520=0,0,$J9520*$H9520/100/12)</f>
      </c>
      <c r="M9520" s="43">
        <f>IF($I9520=0,0,IF(OR(INDEX(DarlOhneTilgung,20)=1,AND(INDEX(DarlTilgStart,20)&gt;0,$E9520&lt;INDEX(DarlTilgStart,20))),0,MIN(MAX(0,$K9520-$L9520),$J9520)))</f>
      </c>
      <c r="N9520" s="43">
        <f>IF($I9520=0,0,MIN(SUMIFS(SondBetrag,SondDarl,20,SondDatum,"&gt;="&amp;$E9520,SondDatum,"&lt;="&amp;EOMONTH($E9520,0)),$J9520-$M9520))</f>
      </c>
      <c r="O9520" s="43">
        <f>IF($I9520=0,0,INDEX(DarlErsatzRate,20))</f>
      </c>
      <c r="P9520" s="43">
        <f>IF($I9520=0,0,$Q9519*INDEX(DarlErsatzZins,20))</f>
      </c>
      <c r="Q9520" s="43">
        <f>IF($I9520=0,0,$Q9519+$P9520+$O9520)</f>
      </c>
      <c r="R9520" s="43">
        <f>IF($I9520=0,0,$J9520-$M9520-$N9520)</f>
      </c>
    </row>
    <row r="9521">
      <c r="A9521"/>
      <c r="B9521">
        <v>20</v>
      </c>
      <c r="C9521" s="43">
        <f>INDEX(DarlObj,20)</f>
      </c>
      <c r="D9521">
        <v>398</v>
      </c>
      <c r="E9521" s="51">
        <f>IF(INDEX(DarlBelegt,20)=0,0,EOMONTH(INDEX(DarlAuszahlung,20),397)+1)</f>
      </c>
      <c r="F9521" s="43">
        <f>IF($E9521=0,0,YEAR($E9521))</f>
      </c>
      <c r="G9521" s="43">
        <f>IF(INDEX(DarlBindung,20)="",1,IF($E9521&lt;=INDEX(DarlBindung,20),1,0))</f>
      </c>
      <c r="H9521" s="43">
        <f>IF($G9521=1,INDEX(DarlSollzins,20),INDEX(DarlAnschluss,20))</f>
      </c>
      <c r="I9521" s="43">
        <f>IF(INDEX(DarlBelegt,20)=0,0,IF(INDEX(DarlOhneTilgung,20)=1,IF(INDEX(DarlBindung,20)="",1,$G9521),IF($J9521&gt;0.005,1,0)))</f>
      </c>
      <c r="J9521" s="43">
        <f>IF($I9520=0,0,$R9520)</f>
      </c>
      <c r="K9521" s="43">
        <f>IF($I9521=0,0,IF(INDEX(DarlOhneTilgung,20)=1,0,IF(AND(INDEX(DarlTilgStart,20)&gt;0,$E9521=INDEX(DarlTilgStart,20)),$J9521*($H9521+INDEX(DarlTilgung,20))/100/12,IF(AND($G9521=0,$G9520=1),MAX($K9520,$J9521*($H9521+1)/100/12),$K9520))))</f>
      </c>
      <c r="L9521" s="43">
        <f>IF($I9521=0,0,$J9521*$H9521/100/12)</f>
      </c>
      <c r="M9521" s="43">
        <f>IF($I9521=0,0,IF(OR(INDEX(DarlOhneTilgung,20)=1,AND(INDEX(DarlTilgStart,20)&gt;0,$E9521&lt;INDEX(DarlTilgStart,20))),0,MIN(MAX(0,$K9521-$L9521),$J9521)))</f>
      </c>
      <c r="N9521" s="43">
        <f>IF($I9521=0,0,MIN(SUMIFS(SondBetrag,SondDarl,20,SondDatum,"&gt;="&amp;$E9521,SondDatum,"&lt;="&amp;EOMONTH($E9521,0)),$J9521-$M9521))</f>
      </c>
      <c r="O9521" s="43">
        <f>IF($I9521=0,0,INDEX(DarlErsatzRate,20))</f>
      </c>
      <c r="P9521" s="43">
        <f>IF($I9521=0,0,$Q9520*INDEX(DarlErsatzZins,20))</f>
      </c>
      <c r="Q9521" s="43">
        <f>IF($I9521=0,0,$Q9520+$P9521+$O9521)</f>
      </c>
      <c r="R9521" s="43">
        <f>IF($I9521=0,0,$J9521-$M9521-$N9521)</f>
      </c>
    </row>
    <row r="9522">
      <c r="A9522"/>
      <c r="B9522">
        <v>20</v>
      </c>
      <c r="C9522" s="43">
        <f>INDEX(DarlObj,20)</f>
      </c>
      <c r="D9522">
        <v>399</v>
      </c>
      <c r="E9522" s="51">
        <f>IF(INDEX(DarlBelegt,20)=0,0,EOMONTH(INDEX(DarlAuszahlung,20),398)+1)</f>
      </c>
      <c r="F9522" s="43">
        <f>IF($E9522=0,0,YEAR($E9522))</f>
      </c>
      <c r="G9522" s="43">
        <f>IF(INDEX(DarlBindung,20)="",1,IF($E9522&lt;=INDEX(DarlBindung,20),1,0))</f>
      </c>
      <c r="H9522" s="43">
        <f>IF($G9522=1,INDEX(DarlSollzins,20),INDEX(DarlAnschluss,20))</f>
      </c>
      <c r="I9522" s="43">
        <f>IF(INDEX(DarlBelegt,20)=0,0,IF(INDEX(DarlOhneTilgung,20)=1,IF(INDEX(DarlBindung,20)="",1,$G9522),IF($J9522&gt;0.005,1,0)))</f>
      </c>
      <c r="J9522" s="43">
        <f>IF($I9521=0,0,$R9521)</f>
      </c>
      <c r="K9522" s="43">
        <f>IF($I9522=0,0,IF(INDEX(DarlOhneTilgung,20)=1,0,IF(AND(INDEX(DarlTilgStart,20)&gt;0,$E9522=INDEX(DarlTilgStart,20)),$J9522*($H9522+INDEX(DarlTilgung,20))/100/12,IF(AND($G9522=0,$G9521=1),MAX($K9521,$J9522*($H9522+1)/100/12),$K9521))))</f>
      </c>
      <c r="L9522" s="43">
        <f>IF($I9522=0,0,$J9522*$H9522/100/12)</f>
      </c>
      <c r="M9522" s="43">
        <f>IF($I9522=0,0,IF(OR(INDEX(DarlOhneTilgung,20)=1,AND(INDEX(DarlTilgStart,20)&gt;0,$E9522&lt;INDEX(DarlTilgStart,20))),0,MIN(MAX(0,$K9522-$L9522),$J9522)))</f>
      </c>
      <c r="N9522" s="43">
        <f>IF($I9522=0,0,MIN(SUMIFS(SondBetrag,SondDarl,20,SondDatum,"&gt;="&amp;$E9522,SondDatum,"&lt;="&amp;EOMONTH($E9522,0)),$J9522-$M9522))</f>
      </c>
      <c r="O9522" s="43">
        <f>IF($I9522=0,0,INDEX(DarlErsatzRate,20))</f>
      </c>
      <c r="P9522" s="43">
        <f>IF($I9522=0,0,$Q9521*INDEX(DarlErsatzZins,20))</f>
      </c>
      <c r="Q9522" s="43">
        <f>IF($I9522=0,0,$Q9521+$P9522+$O9522)</f>
      </c>
      <c r="R9522" s="43">
        <f>IF($I9522=0,0,$J9522-$M9522-$N9522)</f>
      </c>
    </row>
    <row r="9523">
      <c r="A9523"/>
      <c r="B9523">
        <v>20</v>
      </c>
      <c r="C9523" s="43">
        <f>INDEX(DarlObj,20)</f>
      </c>
      <c r="D9523">
        <v>400</v>
      </c>
      <c r="E9523" s="51">
        <f>IF(INDEX(DarlBelegt,20)=0,0,EOMONTH(INDEX(DarlAuszahlung,20),399)+1)</f>
      </c>
      <c r="F9523" s="43">
        <f>IF($E9523=0,0,YEAR($E9523))</f>
      </c>
      <c r="G9523" s="43">
        <f>IF(INDEX(DarlBindung,20)="",1,IF($E9523&lt;=INDEX(DarlBindung,20),1,0))</f>
      </c>
      <c r="H9523" s="43">
        <f>IF($G9523=1,INDEX(DarlSollzins,20),INDEX(DarlAnschluss,20))</f>
      </c>
      <c r="I9523" s="43">
        <f>IF(INDEX(DarlBelegt,20)=0,0,IF(INDEX(DarlOhneTilgung,20)=1,IF(INDEX(DarlBindung,20)="",1,$G9523),IF($J9523&gt;0.005,1,0)))</f>
      </c>
      <c r="J9523" s="43">
        <f>IF($I9522=0,0,$R9522)</f>
      </c>
      <c r="K9523" s="43">
        <f>IF($I9523=0,0,IF(INDEX(DarlOhneTilgung,20)=1,0,IF(AND(INDEX(DarlTilgStart,20)&gt;0,$E9523=INDEX(DarlTilgStart,20)),$J9523*($H9523+INDEX(DarlTilgung,20))/100/12,IF(AND($G9523=0,$G9522=1),MAX($K9522,$J9523*($H9523+1)/100/12),$K9522))))</f>
      </c>
      <c r="L9523" s="43">
        <f>IF($I9523=0,0,$J9523*$H9523/100/12)</f>
      </c>
      <c r="M9523" s="43">
        <f>IF($I9523=0,0,IF(OR(INDEX(DarlOhneTilgung,20)=1,AND(INDEX(DarlTilgStart,20)&gt;0,$E9523&lt;INDEX(DarlTilgStart,20))),0,MIN(MAX(0,$K9523-$L9523),$J9523)))</f>
      </c>
      <c r="N9523" s="43">
        <f>IF($I9523=0,0,MIN(SUMIFS(SondBetrag,SondDarl,20,SondDatum,"&gt;="&amp;$E9523,SondDatum,"&lt;="&amp;EOMONTH($E9523,0)),$J9523-$M9523))</f>
      </c>
      <c r="O9523" s="43">
        <f>IF($I9523=0,0,INDEX(DarlErsatzRate,20))</f>
      </c>
      <c r="P9523" s="43">
        <f>IF($I9523=0,0,$Q9522*INDEX(DarlErsatzZins,20))</f>
      </c>
      <c r="Q9523" s="43">
        <f>IF($I9523=0,0,$Q9522+$P9523+$O9523)</f>
      </c>
      <c r="R9523" s="43">
        <f>IF($I9523=0,0,$J9523-$M9523-$N9523)</f>
      </c>
    </row>
    <row r="9524">
      <c r="A9524"/>
      <c r="B9524">
        <v>20</v>
      </c>
      <c r="C9524" s="43">
        <f>INDEX(DarlObj,20)</f>
      </c>
      <c r="D9524">
        <v>401</v>
      </c>
      <c r="E9524" s="51">
        <f>IF(INDEX(DarlBelegt,20)=0,0,EOMONTH(INDEX(DarlAuszahlung,20),400)+1)</f>
      </c>
      <c r="F9524" s="43">
        <f>IF($E9524=0,0,YEAR($E9524))</f>
      </c>
      <c r="G9524" s="43">
        <f>IF(INDEX(DarlBindung,20)="",1,IF($E9524&lt;=INDEX(DarlBindung,20),1,0))</f>
      </c>
      <c r="H9524" s="43">
        <f>IF($G9524=1,INDEX(DarlSollzins,20),INDEX(DarlAnschluss,20))</f>
      </c>
      <c r="I9524" s="43">
        <f>IF(INDEX(DarlBelegt,20)=0,0,IF(INDEX(DarlOhneTilgung,20)=1,IF(INDEX(DarlBindung,20)="",1,$G9524),IF($J9524&gt;0.005,1,0)))</f>
      </c>
      <c r="J9524" s="43">
        <f>IF($I9523=0,0,$R9523)</f>
      </c>
      <c r="K9524" s="43">
        <f>IF($I9524=0,0,IF(INDEX(DarlOhneTilgung,20)=1,0,IF(AND(INDEX(DarlTilgStart,20)&gt;0,$E9524=INDEX(DarlTilgStart,20)),$J9524*($H9524+INDEX(DarlTilgung,20))/100/12,IF(AND($G9524=0,$G9523=1),MAX($K9523,$J9524*($H9524+1)/100/12),$K9523))))</f>
      </c>
      <c r="L9524" s="43">
        <f>IF($I9524=0,0,$J9524*$H9524/100/12)</f>
      </c>
      <c r="M9524" s="43">
        <f>IF($I9524=0,0,IF(OR(INDEX(DarlOhneTilgung,20)=1,AND(INDEX(DarlTilgStart,20)&gt;0,$E9524&lt;INDEX(DarlTilgStart,20))),0,MIN(MAX(0,$K9524-$L9524),$J9524)))</f>
      </c>
      <c r="N9524" s="43">
        <f>IF($I9524=0,0,MIN(SUMIFS(SondBetrag,SondDarl,20,SondDatum,"&gt;="&amp;$E9524,SondDatum,"&lt;="&amp;EOMONTH($E9524,0)),$J9524-$M9524))</f>
      </c>
      <c r="O9524" s="43">
        <f>IF($I9524=0,0,INDEX(DarlErsatzRate,20))</f>
      </c>
      <c r="P9524" s="43">
        <f>IF($I9524=0,0,$Q9523*INDEX(DarlErsatzZins,20))</f>
      </c>
      <c r="Q9524" s="43">
        <f>IF($I9524=0,0,$Q9523+$P9524+$O9524)</f>
      </c>
      <c r="R9524" s="43">
        <f>IF($I9524=0,0,$J9524-$M9524-$N9524)</f>
      </c>
    </row>
    <row r="9525">
      <c r="A9525"/>
      <c r="B9525">
        <v>20</v>
      </c>
      <c r="C9525" s="43">
        <f>INDEX(DarlObj,20)</f>
      </c>
      <c r="D9525">
        <v>402</v>
      </c>
      <c r="E9525" s="51">
        <f>IF(INDEX(DarlBelegt,20)=0,0,EOMONTH(INDEX(DarlAuszahlung,20),401)+1)</f>
      </c>
      <c r="F9525" s="43">
        <f>IF($E9525=0,0,YEAR($E9525))</f>
      </c>
      <c r="G9525" s="43">
        <f>IF(INDEX(DarlBindung,20)="",1,IF($E9525&lt;=INDEX(DarlBindung,20),1,0))</f>
      </c>
      <c r="H9525" s="43">
        <f>IF($G9525=1,INDEX(DarlSollzins,20),INDEX(DarlAnschluss,20))</f>
      </c>
      <c r="I9525" s="43">
        <f>IF(INDEX(DarlBelegt,20)=0,0,IF(INDEX(DarlOhneTilgung,20)=1,IF(INDEX(DarlBindung,20)="",1,$G9525),IF($J9525&gt;0.005,1,0)))</f>
      </c>
      <c r="J9525" s="43">
        <f>IF($I9524=0,0,$R9524)</f>
      </c>
      <c r="K9525" s="43">
        <f>IF($I9525=0,0,IF(INDEX(DarlOhneTilgung,20)=1,0,IF(AND(INDEX(DarlTilgStart,20)&gt;0,$E9525=INDEX(DarlTilgStart,20)),$J9525*($H9525+INDEX(DarlTilgung,20))/100/12,IF(AND($G9525=0,$G9524=1),MAX($K9524,$J9525*($H9525+1)/100/12),$K9524))))</f>
      </c>
      <c r="L9525" s="43">
        <f>IF($I9525=0,0,$J9525*$H9525/100/12)</f>
      </c>
      <c r="M9525" s="43">
        <f>IF($I9525=0,0,IF(OR(INDEX(DarlOhneTilgung,20)=1,AND(INDEX(DarlTilgStart,20)&gt;0,$E9525&lt;INDEX(DarlTilgStart,20))),0,MIN(MAX(0,$K9525-$L9525),$J9525)))</f>
      </c>
      <c r="N9525" s="43">
        <f>IF($I9525=0,0,MIN(SUMIFS(SondBetrag,SondDarl,20,SondDatum,"&gt;="&amp;$E9525,SondDatum,"&lt;="&amp;EOMONTH($E9525,0)),$J9525-$M9525))</f>
      </c>
      <c r="O9525" s="43">
        <f>IF($I9525=0,0,INDEX(DarlErsatzRate,20))</f>
      </c>
      <c r="P9525" s="43">
        <f>IF($I9525=0,0,$Q9524*INDEX(DarlErsatzZins,20))</f>
      </c>
      <c r="Q9525" s="43">
        <f>IF($I9525=0,0,$Q9524+$P9525+$O9525)</f>
      </c>
      <c r="R9525" s="43">
        <f>IF($I9525=0,0,$J9525-$M9525-$N9525)</f>
      </c>
    </row>
    <row r="9526">
      <c r="A9526"/>
      <c r="B9526">
        <v>20</v>
      </c>
      <c r="C9526" s="43">
        <f>INDEX(DarlObj,20)</f>
      </c>
      <c r="D9526">
        <v>403</v>
      </c>
      <c r="E9526" s="51">
        <f>IF(INDEX(DarlBelegt,20)=0,0,EOMONTH(INDEX(DarlAuszahlung,20),402)+1)</f>
      </c>
      <c r="F9526" s="43">
        <f>IF($E9526=0,0,YEAR($E9526))</f>
      </c>
      <c r="G9526" s="43">
        <f>IF(INDEX(DarlBindung,20)="",1,IF($E9526&lt;=INDEX(DarlBindung,20),1,0))</f>
      </c>
      <c r="H9526" s="43">
        <f>IF($G9526=1,INDEX(DarlSollzins,20),INDEX(DarlAnschluss,20))</f>
      </c>
      <c r="I9526" s="43">
        <f>IF(INDEX(DarlBelegt,20)=0,0,IF(INDEX(DarlOhneTilgung,20)=1,IF(INDEX(DarlBindung,20)="",1,$G9526),IF($J9526&gt;0.005,1,0)))</f>
      </c>
      <c r="J9526" s="43">
        <f>IF($I9525=0,0,$R9525)</f>
      </c>
      <c r="K9526" s="43">
        <f>IF($I9526=0,0,IF(INDEX(DarlOhneTilgung,20)=1,0,IF(AND(INDEX(DarlTilgStart,20)&gt;0,$E9526=INDEX(DarlTilgStart,20)),$J9526*($H9526+INDEX(DarlTilgung,20))/100/12,IF(AND($G9526=0,$G9525=1),MAX($K9525,$J9526*($H9526+1)/100/12),$K9525))))</f>
      </c>
      <c r="L9526" s="43">
        <f>IF($I9526=0,0,$J9526*$H9526/100/12)</f>
      </c>
      <c r="M9526" s="43">
        <f>IF($I9526=0,0,IF(OR(INDEX(DarlOhneTilgung,20)=1,AND(INDEX(DarlTilgStart,20)&gt;0,$E9526&lt;INDEX(DarlTilgStart,20))),0,MIN(MAX(0,$K9526-$L9526),$J9526)))</f>
      </c>
      <c r="N9526" s="43">
        <f>IF($I9526=0,0,MIN(SUMIFS(SondBetrag,SondDarl,20,SondDatum,"&gt;="&amp;$E9526,SondDatum,"&lt;="&amp;EOMONTH($E9526,0)),$J9526-$M9526))</f>
      </c>
      <c r="O9526" s="43">
        <f>IF($I9526=0,0,INDEX(DarlErsatzRate,20))</f>
      </c>
      <c r="P9526" s="43">
        <f>IF($I9526=0,0,$Q9525*INDEX(DarlErsatzZins,20))</f>
      </c>
      <c r="Q9526" s="43">
        <f>IF($I9526=0,0,$Q9525+$P9526+$O9526)</f>
      </c>
      <c r="R9526" s="43">
        <f>IF($I9526=0,0,$J9526-$M9526-$N9526)</f>
      </c>
    </row>
    <row r="9527">
      <c r="A9527"/>
      <c r="B9527">
        <v>20</v>
      </c>
      <c r="C9527" s="43">
        <f>INDEX(DarlObj,20)</f>
      </c>
      <c r="D9527">
        <v>404</v>
      </c>
      <c r="E9527" s="51">
        <f>IF(INDEX(DarlBelegt,20)=0,0,EOMONTH(INDEX(DarlAuszahlung,20),403)+1)</f>
      </c>
      <c r="F9527" s="43">
        <f>IF($E9527=0,0,YEAR($E9527))</f>
      </c>
      <c r="G9527" s="43">
        <f>IF(INDEX(DarlBindung,20)="",1,IF($E9527&lt;=INDEX(DarlBindung,20),1,0))</f>
      </c>
      <c r="H9527" s="43">
        <f>IF($G9527=1,INDEX(DarlSollzins,20),INDEX(DarlAnschluss,20))</f>
      </c>
      <c r="I9527" s="43">
        <f>IF(INDEX(DarlBelegt,20)=0,0,IF(INDEX(DarlOhneTilgung,20)=1,IF(INDEX(DarlBindung,20)="",1,$G9527),IF($J9527&gt;0.005,1,0)))</f>
      </c>
      <c r="J9527" s="43">
        <f>IF($I9526=0,0,$R9526)</f>
      </c>
      <c r="K9527" s="43">
        <f>IF($I9527=0,0,IF(INDEX(DarlOhneTilgung,20)=1,0,IF(AND(INDEX(DarlTilgStart,20)&gt;0,$E9527=INDEX(DarlTilgStart,20)),$J9527*($H9527+INDEX(DarlTilgung,20))/100/12,IF(AND($G9527=0,$G9526=1),MAX($K9526,$J9527*($H9527+1)/100/12),$K9526))))</f>
      </c>
      <c r="L9527" s="43">
        <f>IF($I9527=0,0,$J9527*$H9527/100/12)</f>
      </c>
      <c r="M9527" s="43">
        <f>IF($I9527=0,0,IF(OR(INDEX(DarlOhneTilgung,20)=1,AND(INDEX(DarlTilgStart,20)&gt;0,$E9527&lt;INDEX(DarlTilgStart,20))),0,MIN(MAX(0,$K9527-$L9527),$J9527)))</f>
      </c>
      <c r="N9527" s="43">
        <f>IF($I9527=0,0,MIN(SUMIFS(SondBetrag,SondDarl,20,SondDatum,"&gt;="&amp;$E9527,SondDatum,"&lt;="&amp;EOMONTH($E9527,0)),$J9527-$M9527))</f>
      </c>
      <c r="O9527" s="43">
        <f>IF($I9527=0,0,INDEX(DarlErsatzRate,20))</f>
      </c>
      <c r="P9527" s="43">
        <f>IF($I9527=0,0,$Q9526*INDEX(DarlErsatzZins,20))</f>
      </c>
      <c r="Q9527" s="43">
        <f>IF($I9527=0,0,$Q9526+$P9527+$O9527)</f>
      </c>
      <c r="R9527" s="43">
        <f>IF($I9527=0,0,$J9527-$M9527-$N9527)</f>
      </c>
    </row>
    <row r="9528">
      <c r="A9528"/>
      <c r="B9528">
        <v>20</v>
      </c>
      <c r="C9528" s="43">
        <f>INDEX(DarlObj,20)</f>
      </c>
      <c r="D9528">
        <v>405</v>
      </c>
      <c r="E9528" s="51">
        <f>IF(INDEX(DarlBelegt,20)=0,0,EOMONTH(INDEX(DarlAuszahlung,20),404)+1)</f>
      </c>
      <c r="F9528" s="43">
        <f>IF($E9528=0,0,YEAR($E9528))</f>
      </c>
      <c r="G9528" s="43">
        <f>IF(INDEX(DarlBindung,20)="",1,IF($E9528&lt;=INDEX(DarlBindung,20),1,0))</f>
      </c>
      <c r="H9528" s="43">
        <f>IF($G9528=1,INDEX(DarlSollzins,20),INDEX(DarlAnschluss,20))</f>
      </c>
      <c r="I9528" s="43">
        <f>IF(INDEX(DarlBelegt,20)=0,0,IF(INDEX(DarlOhneTilgung,20)=1,IF(INDEX(DarlBindung,20)="",1,$G9528),IF($J9528&gt;0.005,1,0)))</f>
      </c>
      <c r="J9528" s="43">
        <f>IF($I9527=0,0,$R9527)</f>
      </c>
      <c r="K9528" s="43">
        <f>IF($I9528=0,0,IF(INDEX(DarlOhneTilgung,20)=1,0,IF(AND(INDEX(DarlTilgStart,20)&gt;0,$E9528=INDEX(DarlTilgStart,20)),$J9528*($H9528+INDEX(DarlTilgung,20))/100/12,IF(AND($G9528=0,$G9527=1),MAX($K9527,$J9528*($H9528+1)/100/12),$K9527))))</f>
      </c>
      <c r="L9528" s="43">
        <f>IF($I9528=0,0,$J9528*$H9528/100/12)</f>
      </c>
      <c r="M9528" s="43">
        <f>IF($I9528=0,0,IF(OR(INDEX(DarlOhneTilgung,20)=1,AND(INDEX(DarlTilgStart,20)&gt;0,$E9528&lt;INDEX(DarlTilgStart,20))),0,MIN(MAX(0,$K9528-$L9528),$J9528)))</f>
      </c>
      <c r="N9528" s="43">
        <f>IF($I9528=0,0,MIN(SUMIFS(SondBetrag,SondDarl,20,SondDatum,"&gt;="&amp;$E9528,SondDatum,"&lt;="&amp;EOMONTH($E9528,0)),$J9528-$M9528))</f>
      </c>
      <c r="O9528" s="43">
        <f>IF($I9528=0,0,INDEX(DarlErsatzRate,20))</f>
      </c>
      <c r="P9528" s="43">
        <f>IF($I9528=0,0,$Q9527*INDEX(DarlErsatzZins,20))</f>
      </c>
      <c r="Q9528" s="43">
        <f>IF($I9528=0,0,$Q9527+$P9528+$O9528)</f>
      </c>
      <c r="R9528" s="43">
        <f>IF($I9528=0,0,$J9528-$M9528-$N9528)</f>
      </c>
    </row>
    <row r="9529">
      <c r="A9529"/>
      <c r="B9529">
        <v>20</v>
      </c>
      <c r="C9529" s="43">
        <f>INDEX(DarlObj,20)</f>
      </c>
      <c r="D9529">
        <v>406</v>
      </c>
      <c r="E9529" s="51">
        <f>IF(INDEX(DarlBelegt,20)=0,0,EOMONTH(INDEX(DarlAuszahlung,20),405)+1)</f>
      </c>
      <c r="F9529" s="43">
        <f>IF($E9529=0,0,YEAR($E9529))</f>
      </c>
      <c r="G9529" s="43">
        <f>IF(INDEX(DarlBindung,20)="",1,IF($E9529&lt;=INDEX(DarlBindung,20),1,0))</f>
      </c>
      <c r="H9529" s="43">
        <f>IF($G9529=1,INDEX(DarlSollzins,20),INDEX(DarlAnschluss,20))</f>
      </c>
      <c r="I9529" s="43">
        <f>IF(INDEX(DarlBelegt,20)=0,0,IF(INDEX(DarlOhneTilgung,20)=1,IF(INDEX(DarlBindung,20)="",1,$G9529),IF($J9529&gt;0.005,1,0)))</f>
      </c>
      <c r="J9529" s="43">
        <f>IF($I9528=0,0,$R9528)</f>
      </c>
      <c r="K9529" s="43">
        <f>IF($I9529=0,0,IF(INDEX(DarlOhneTilgung,20)=1,0,IF(AND(INDEX(DarlTilgStart,20)&gt;0,$E9529=INDEX(DarlTilgStart,20)),$J9529*($H9529+INDEX(DarlTilgung,20))/100/12,IF(AND($G9529=0,$G9528=1),MAX($K9528,$J9529*($H9529+1)/100/12),$K9528))))</f>
      </c>
      <c r="L9529" s="43">
        <f>IF($I9529=0,0,$J9529*$H9529/100/12)</f>
      </c>
      <c r="M9529" s="43">
        <f>IF($I9529=0,0,IF(OR(INDEX(DarlOhneTilgung,20)=1,AND(INDEX(DarlTilgStart,20)&gt;0,$E9529&lt;INDEX(DarlTilgStart,20))),0,MIN(MAX(0,$K9529-$L9529),$J9529)))</f>
      </c>
      <c r="N9529" s="43">
        <f>IF($I9529=0,0,MIN(SUMIFS(SondBetrag,SondDarl,20,SondDatum,"&gt;="&amp;$E9529,SondDatum,"&lt;="&amp;EOMONTH($E9529,0)),$J9529-$M9529))</f>
      </c>
      <c r="O9529" s="43">
        <f>IF($I9529=0,0,INDEX(DarlErsatzRate,20))</f>
      </c>
      <c r="P9529" s="43">
        <f>IF($I9529=0,0,$Q9528*INDEX(DarlErsatzZins,20))</f>
      </c>
      <c r="Q9529" s="43">
        <f>IF($I9529=0,0,$Q9528+$P9529+$O9529)</f>
      </c>
      <c r="R9529" s="43">
        <f>IF($I9529=0,0,$J9529-$M9529-$N9529)</f>
      </c>
    </row>
    <row r="9530">
      <c r="A9530"/>
      <c r="B9530">
        <v>20</v>
      </c>
      <c r="C9530" s="43">
        <f>INDEX(DarlObj,20)</f>
      </c>
      <c r="D9530">
        <v>407</v>
      </c>
      <c r="E9530" s="51">
        <f>IF(INDEX(DarlBelegt,20)=0,0,EOMONTH(INDEX(DarlAuszahlung,20),406)+1)</f>
      </c>
      <c r="F9530" s="43">
        <f>IF($E9530=0,0,YEAR($E9530))</f>
      </c>
      <c r="G9530" s="43">
        <f>IF(INDEX(DarlBindung,20)="",1,IF($E9530&lt;=INDEX(DarlBindung,20),1,0))</f>
      </c>
      <c r="H9530" s="43">
        <f>IF($G9530=1,INDEX(DarlSollzins,20),INDEX(DarlAnschluss,20))</f>
      </c>
      <c r="I9530" s="43">
        <f>IF(INDEX(DarlBelegt,20)=0,0,IF(INDEX(DarlOhneTilgung,20)=1,IF(INDEX(DarlBindung,20)="",1,$G9530),IF($J9530&gt;0.005,1,0)))</f>
      </c>
      <c r="J9530" s="43">
        <f>IF($I9529=0,0,$R9529)</f>
      </c>
      <c r="K9530" s="43">
        <f>IF($I9530=0,0,IF(INDEX(DarlOhneTilgung,20)=1,0,IF(AND(INDEX(DarlTilgStart,20)&gt;0,$E9530=INDEX(DarlTilgStart,20)),$J9530*($H9530+INDEX(DarlTilgung,20))/100/12,IF(AND($G9530=0,$G9529=1),MAX($K9529,$J9530*($H9530+1)/100/12),$K9529))))</f>
      </c>
      <c r="L9530" s="43">
        <f>IF($I9530=0,0,$J9530*$H9530/100/12)</f>
      </c>
      <c r="M9530" s="43">
        <f>IF($I9530=0,0,IF(OR(INDEX(DarlOhneTilgung,20)=1,AND(INDEX(DarlTilgStart,20)&gt;0,$E9530&lt;INDEX(DarlTilgStart,20))),0,MIN(MAX(0,$K9530-$L9530),$J9530)))</f>
      </c>
      <c r="N9530" s="43">
        <f>IF($I9530=0,0,MIN(SUMIFS(SondBetrag,SondDarl,20,SondDatum,"&gt;="&amp;$E9530,SondDatum,"&lt;="&amp;EOMONTH($E9530,0)),$J9530-$M9530))</f>
      </c>
      <c r="O9530" s="43">
        <f>IF($I9530=0,0,INDEX(DarlErsatzRate,20))</f>
      </c>
      <c r="P9530" s="43">
        <f>IF($I9530=0,0,$Q9529*INDEX(DarlErsatzZins,20))</f>
      </c>
      <c r="Q9530" s="43">
        <f>IF($I9530=0,0,$Q9529+$P9530+$O9530)</f>
      </c>
      <c r="R9530" s="43">
        <f>IF($I9530=0,0,$J9530-$M9530-$N9530)</f>
      </c>
    </row>
    <row r="9531">
      <c r="A9531"/>
      <c r="B9531">
        <v>20</v>
      </c>
      <c r="C9531" s="43">
        <f>INDEX(DarlObj,20)</f>
      </c>
      <c r="D9531">
        <v>408</v>
      </c>
      <c r="E9531" s="51">
        <f>IF(INDEX(DarlBelegt,20)=0,0,EOMONTH(INDEX(DarlAuszahlung,20),407)+1)</f>
      </c>
      <c r="F9531" s="43">
        <f>IF($E9531=0,0,YEAR($E9531))</f>
      </c>
      <c r="G9531" s="43">
        <f>IF(INDEX(DarlBindung,20)="",1,IF($E9531&lt;=INDEX(DarlBindung,20),1,0))</f>
      </c>
      <c r="H9531" s="43">
        <f>IF($G9531=1,INDEX(DarlSollzins,20),INDEX(DarlAnschluss,20))</f>
      </c>
      <c r="I9531" s="43">
        <f>IF(INDEX(DarlBelegt,20)=0,0,IF(INDEX(DarlOhneTilgung,20)=1,IF(INDEX(DarlBindung,20)="",1,$G9531),IF($J9531&gt;0.005,1,0)))</f>
      </c>
      <c r="J9531" s="43">
        <f>IF($I9530=0,0,$R9530)</f>
      </c>
      <c r="K9531" s="43">
        <f>IF($I9531=0,0,IF(INDEX(DarlOhneTilgung,20)=1,0,IF(AND(INDEX(DarlTilgStart,20)&gt;0,$E9531=INDEX(DarlTilgStart,20)),$J9531*($H9531+INDEX(DarlTilgung,20))/100/12,IF(AND($G9531=0,$G9530=1),MAX($K9530,$J9531*($H9531+1)/100/12),$K9530))))</f>
      </c>
      <c r="L9531" s="43">
        <f>IF($I9531=0,0,$J9531*$H9531/100/12)</f>
      </c>
      <c r="M9531" s="43">
        <f>IF($I9531=0,0,IF(OR(INDEX(DarlOhneTilgung,20)=1,AND(INDEX(DarlTilgStart,20)&gt;0,$E9531&lt;INDEX(DarlTilgStart,20))),0,MIN(MAX(0,$K9531-$L9531),$J9531)))</f>
      </c>
      <c r="N9531" s="43">
        <f>IF($I9531=0,0,MIN(SUMIFS(SondBetrag,SondDarl,20,SondDatum,"&gt;="&amp;$E9531,SondDatum,"&lt;="&amp;EOMONTH($E9531,0)),$J9531-$M9531))</f>
      </c>
      <c r="O9531" s="43">
        <f>IF($I9531=0,0,INDEX(DarlErsatzRate,20))</f>
      </c>
      <c r="P9531" s="43">
        <f>IF($I9531=0,0,$Q9530*INDEX(DarlErsatzZins,20))</f>
      </c>
      <c r="Q9531" s="43">
        <f>IF($I9531=0,0,$Q9530+$P9531+$O9531)</f>
      </c>
      <c r="R9531" s="43">
        <f>IF($I9531=0,0,$J9531-$M9531-$N9531)</f>
      </c>
    </row>
    <row r="9532">
      <c r="A9532"/>
      <c r="B9532">
        <v>20</v>
      </c>
      <c r="C9532" s="43">
        <f>INDEX(DarlObj,20)</f>
      </c>
      <c r="D9532">
        <v>409</v>
      </c>
      <c r="E9532" s="51">
        <f>IF(INDEX(DarlBelegt,20)=0,0,EOMONTH(INDEX(DarlAuszahlung,20),408)+1)</f>
      </c>
      <c r="F9532" s="43">
        <f>IF($E9532=0,0,YEAR($E9532))</f>
      </c>
      <c r="G9532" s="43">
        <f>IF(INDEX(DarlBindung,20)="",1,IF($E9532&lt;=INDEX(DarlBindung,20),1,0))</f>
      </c>
      <c r="H9532" s="43">
        <f>IF($G9532=1,INDEX(DarlSollzins,20),INDEX(DarlAnschluss,20))</f>
      </c>
      <c r="I9532" s="43">
        <f>IF(INDEX(DarlBelegt,20)=0,0,IF(INDEX(DarlOhneTilgung,20)=1,IF(INDEX(DarlBindung,20)="",1,$G9532),IF($J9532&gt;0.005,1,0)))</f>
      </c>
      <c r="J9532" s="43">
        <f>IF($I9531=0,0,$R9531)</f>
      </c>
      <c r="K9532" s="43">
        <f>IF($I9532=0,0,IF(INDEX(DarlOhneTilgung,20)=1,0,IF(AND(INDEX(DarlTilgStart,20)&gt;0,$E9532=INDEX(DarlTilgStart,20)),$J9532*($H9532+INDEX(DarlTilgung,20))/100/12,IF(AND($G9532=0,$G9531=1),MAX($K9531,$J9532*($H9532+1)/100/12),$K9531))))</f>
      </c>
      <c r="L9532" s="43">
        <f>IF($I9532=0,0,$J9532*$H9532/100/12)</f>
      </c>
      <c r="M9532" s="43">
        <f>IF($I9532=0,0,IF(OR(INDEX(DarlOhneTilgung,20)=1,AND(INDEX(DarlTilgStart,20)&gt;0,$E9532&lt;INDEX(DarlTilgStart,20))),0,MIN(MAX(0,$K9532-$L9532),$J9532)))</f>
      </c>
      <c r="N9532" s="43">
        <f>IF($I9532=0,0,MIN(SUMIFS(SondBetrag,SondDarl,20,SondDatum,"&gt;="&amp;$E9532,SondDatum,"&lt;="&amp;EOMONTH($E9532,0)),$J9532-$M9532))</f>
      </c>
      <c r="O9532" s="43">
        <f>IF($I9532=0,0,INDEX(DarlErsatzRate,20))</f>
      </c>
      <c r="P9532" s="43">
        <f>IF($I9532=0,0,$Q9531*INDEX(DarlErsatzZins,20))</f>
      </c>
      <c r="Q9532" s="43">
        <f>IF($I9532=0,0,$Q9531+$P9532+$O9532)</f>
      </c>
      <c r="R9532" s="43">
        <f>IF($I9532=0,0,$J9532-$M9532-$N9532)</f>
      </c>
    </row>
    <row r="9533">
      <c r="A9533"/>
      <c r="B9533">
        <v>20</v>
      </c>
      <c r="C9533" s="43">
        <f>INDEX(DarlObj,20)</f>
      </c>
      <c r="D9533">
        <v>410</v>
      </c>
      <c r="E9533" s="51">
        <f>IF(INDEX(DarlBelegt,20)=0,0,EOMONTH(INDEX(DarlAuszahlung,20),409)+1)</f>
      </c>
      <c r="F9533" s="43">
        <f>IF($E9533=0,0,YEAR($E9533))</f>
      </c>
      <c r="G9533" s="43">
        <f>IF(INDEX(DarlBindung,20)="",1,IF($E9533&lt;=INDEX(DarlBindung,20),1,0))</f>
      </c>
      <c r="H9533" s="43">
        <f>IF($G9533=1,INDEX(DarlSollzins,20),INDEX(DarlAnschluss,20))</f>
      </c>
      <c r="I9533" s="43">
        <f>IF(INDEX(DarlBelegt,20)=0,0,IF(INDEX(DarlOhneTilgung,20)=1,IF(INDEX(DarlBindung,20)="",1,$G9533),IF($J9533&gt;0.005,1,0)))</f>
      </c>
      <c r="J9533" s="43">
        <f>IF($I9532=0,0,$R9532)</f>
      </c>
      <c r="K9533" s="43">
        <f>IF($I9533=0,0,IF(INDEX(DarlOhneTilgung,20)=1,0,IF(AND(INDEX(DarlTilgStart,20)&gt;0,$E9533=INDEX(DarlTilgStart,20)),$J9533*($H9533+INDEX(DarlTilgung,20))/100/12,IF(AND($G9533=0,$G9532=1),MAX($K9532,$J9533*($H9533+1)/100/12),$K9532))))</f>
      </c>
      <c r="L9533" s="43">
        <f>IF($I9533=0,0,$J9533*$H9533/100/12)</f>
      </c>
      <c r="M9533" s="43">
        <f>IF($I9533=0,0,IF(OR(INDEX(DarlOhneTilgung,20)=1,AND(INDEX(DarlTilgStart,20)&gt;0,$E9533&lt;INDEX(DarlTilgStart,20))),0,MIN(MAX(0,$K9533-$L9533),$J9533)))</f>
      </c>
      <c r="N9533" s="43">
        <f>IF($I9533=0,0,MIN(SUMIFS(SondBetrag,SondDarl,20,SondDatum,"&gt;="&amp;$E9533,SondDatum,"&lt;="&amp;EOMONTH($E9533,0)),$J9533-$M9533))</f>
      </c>
      <c r="O9533" s="43">
        <f>IF($I9533=0,0,INDEX(DarlErsatzRate,20))</f>
      </c>
      <c r="P9533" s="43">
        <f>IF($I9533=0,0,$Q9532*INDEX(DarlErsatzZins,20))</f>
      </c>
      <c r="Q9533" s="43">
        <f>IF($I9533=0,0,$Q9532+$P9533+$O9533)</f>
      </c>
      <c r="R9533" s="43">
        <f>IF($I9533=0,0,$J9533-$M9533-$N9533)</f>
      </c>
    </row>
    <row r="9534">
      <c r="A9534"/>
      <c r="B9534">
        <v>20</v>
      </c>
      <c r="C9534" s="43">
        <f>INDEX(DarlObj,20)</f>
      </c>
      <c r="D9534">
        <v>411</v>
      </c>
      <c r="E9534" s="51">
        <f>IF(INDEX(DarlBelegt,20)=0,0,EOMONTH(INDEX(DarlAuszahlung,20),410)+1)</f>
      </c>
      <c r="F9534" s="43">
        <f>IF($E9534=0,0,YEAR($E9534))</f>
      </c>
      <c r="G9534" s="43">
        <f>IF(INDEX(DarlBindung,20)="",1,IF($E9534&lt;=INDEX(DarlBindung,20),1,0))</f>
      </c>
      <c r="H9534" s="43">
        <f>IF($G9534=1,INDEX(DarlSollzins,20),INDEX(DarlAnschluss,20))</f>
      </c>
      <c r="I9534" s="43">
        <f>IF(INDEX(DarlBelegt,20)=0,0,IF(INDEX(DarlOhneTilgung,20)=1,IF(INDEX(DarlBindung,20)="",1,$G9534),IF($J9534&gt;0.005,1,0)))</f>
      </c>
      <c r="J9534" s="43">
        <f>IF($I9533=0,0,$R9533)</f>
      </c>
      <c r="K9534" s="43">
        <f>IF($I9534=0,0,IF(INDEX(DarlOhneTilgung,20)=1,0,IF(AND(INDEX(DarlTilgStart,20)&gt;0,$E9534=INDEX(DarlTilgStart,20)),$J9534*($H9534+INDEX(DarlTilgung,20))/100/12,IF(AND($G9534=0,$G9533=1),MAX($K9533,$J9534*($H9534+1)/100/12),$K9533))))</f>
      </c>
      <c r="L9534" s="43">
        <f>IF($I9534=0,0,$J9534*$H9534/100/12)</f>
      </c>
      <c r="M9534" s="43">
        <f>IF($I9534=0,0,IF(OR(INDEX(DarlOhneTilgung,20)=1,AND(INDEX(DarlTilgStart,20)&gt;0,$E9534&lt;INDEX(DarlTilgStart,20))),0,MIN(MAX(0,$K9534-$L9534),$J9534)))</f>
      </c>
      <c r="N9534" s="43">
        <f>IF($I9534=0,0,MIN(SUMIFS(SondBetrag,SondDarl,20,SondDatum,"&gt;="&amp;$E9534,SondDatum,"&lt;="&amp;EOMONTH($E9534,0)),$J9534-$M9534))</f>
      </c>
      <c r="O9534" s="43">
        <f>IF($I9534=0,0,INDEX(DarlErsatzRate,20))</f>
      </c>
      <c r="P9534" s="43">
        <f>IF($I9534=0,0,$Q9533*INDEX(DarlErsatzZins,20))</f>
      </c>
      <c r="Q9534" s="43">
        <f>IF($I9534=0,0,$Q9533+$P9534+$O9534)</f>
      </c>
      <c r="R9534" s="43">
        <f>IF($I9534=0,0,$J9534-$M9534-$N9534)</f>
      </c>
    </row>
    <row r="9535">
      <c r="A9535"/>
      <c r="B9535">
        <v>20</v>
      </c>
      <c r="C9535" s="43">
        <f>INDEX(DarlObj,20)</f>
      </c>
      <c r="D9535">
        <v>412</v>
      </c>
      <c r="E9535" s="51">
        <f>IF(INDEX(DarlBelegt,20)=0,0,EOMONTH(INDEX(DarlAuszahlung,20),411)+1)</f>
      </c>
      <c r="F9535" s="43">
        <f>IF($E9535=0,0,YEAR($E9535))</f>
      </c>
      <c r="G9535" s="43">
        <f>IF(INDEX(DarlBindung,20)="",1,IF($E9535&lt;=INDEX(DarlBindung,20),1,0))</f>
      </c>
      <c r="H9535" s="43">
        <f>IF($G9535=1,INDEX(DarlSollzins,20),INDEX(DarlAnschluss,20))</f>
      </c>
      <c r="I9535" s="43">
        <f>IF(INDEX(DarlBelegt,20)=0,0,IF(INDEX(DarlOhneTilgung,20)=1,IF(INDEX(DarlBindung,20)="",1,$G9535),IF($J9535&gt;0.005,1,0)))</f>
      </c>
      <c r="J9535" s="43">
        <f>IF($I9534=0,0,$R9534)</f>
      </c>
      <c r="K9535" s="43">
        <f>IF($I9535=0,0,IF(INDEX(DarlOhneTilgung,20)=1,0,IF(AND(INDEX(DarlTilgStart,20)&gt;0,$E9535=INDEX(DarlTilgStart,20)),$J9535*($H9535+INDEX(DarlTilgung,20))/100/12,IF(AND($G9535=0,$G9534=1),MAX($K9534,$J9535*($H9535+1)/100/12),$K9534))))</f>
      </c>
      <c r="L9535" s="43">
        <f>IF($I9535=0,0,$J9535*$H9535/100/12)</f>
      </c>
      <c r="M9535" s="43">
        <f>IF($I9535=0,0,IF(OR(INDEX(DarlOhneTilgung,20)=1,AND(INDEX(DarlTilgStart,20)&gt;0,$E9535&lt;INDEX(DarlTilgStart,20))),0,MIN(MAX(0,$K9535-$L9535),$J9535)))</f>
      </c>
      <c r="N9535" s="43">
        <f>IF($I9535=0,0,MIN(SUMIFS(SondBetrag,SondDarl,20,SondDatum,"&gt;="&amp;$E9535,SondDatum,"&lt;="&amp;EOMONTH($E9535,0)),$J9535-$M9535))</f>
      </c>
      <c r="O9535" s="43">
        <f>IF($I9535=0,0,INDEX(DarlErsatzRate,20))</f>
      </c>
      <c r="P9535" s="43">
        <f>IF($I9535=0,0,$Q9534*INDEX(DarlErsatzZins,20))</f>
      </c>
      <c r="Q9535" s="43">
        <f>IF($I9535=0,0,$Q9534+$P9535+$O9535)</f>
      </c>
      <c r="R9535" s="43">
        <f>IF($I9535=0,0,$J9535-$M9535-$N9535)</f>
      </c>
    </row>
    <row r="9536">
      <c r="A9536"/>
      <c r="B9536">
        <v>20</v>
      </c>
      <c r="C9536" s="43">
        <f>INDEX(DarlObj,20)</f>
      </c>
      <c r="D9536">
        <v>413</v>
      </c>
      <c r="E9536" s="51">
        <f>IF(INDEX(DarlBelegt,20)=0,0,EOMONTH(INDEX(DarlAuszahlung,20),412)+1)</f>
      </c>
      <c r="F9536" s="43">
        <f>IF($E9536=0,0,YEAR($E9536))</f>
      </c>
      <c r="G9536" s="43">
        <f>IF(INDEX(DarlBindung,20)="",1,IF($E9536&lt;=INDEX(DarlBindung,20),1,0))</f>
      </c>
      <c r="H9536" s="43">
        <f>IF($G9536=1,INDEX(DarlSollzins,20),INDEX(DarlAnschluss,20))</f>
      </c>
      <c r="I9536" s="43">
        <f>IF(INDEX(DarlBelegt,20)=0,0,IF(INDEX(DarlOhneTilgung,20)=1,IF(INDEX(DarlBindung,20)="",1,$G9536),IF($J9536&gt;0.005,1,0)))</f>
      </c>
      <c r="J9536" s="43">
        <f>IF($I9535=0,0,$R9535)</f>
      </c>
      <c r="K9536" s="43">
        <f>IF($I9536=0,0,IF(INDEX(DarlOhneTilgung,20)=1,0,IF(AND(INDEX(DarlTilgStart,20)&gt;0,$E9536=INDEX(DarlTilgStart,20)),$J9536*($H9536+INDEX(DarlTilgung,20))/100/12,IF(AND($G9536=0,$G9535=1),MAX($K9535,$J9536*($H9536+1)/100/12),$K9535))))</f>
      </c>
      <c r="L9536" s="43">
        <f>IF($I9536=0,0,$J9536*$H9536/100/12)</f>
      </c>
      <c r="M9536" s="43">
        <f>IF($I9536=0,0,IF(OR(INDEX(DarlOhneTilgung,20)=1,AND(INDEX(DarlTilgStart,20)&gt;0,$E9536&lt;INDEX(DarlTilgStart,20))),0,MIN(MAX(0,$K9536-$L9536),$J9536)))</f>
      </c>
      <c r="N9536" s="43">
        <f>IF($I9536=0,0,MIN(SUMIFS(SondBetrag,SondDarl,20,SondDatum,"&gt;="&amp;$E9536,SondDatum,"&lt;="&amp;EOMONTH($E9536,0)),$J9536-$M9536))</f>
      </c>
      <c r="O9536" s="43">
        <f>IF($I9536=0,0,INDEX(DarlErsatzRate,20))</f>
      </c>
      <c r="P9536" s="43">
        <f>IF($I9536=0,0,$Q9535*INDEX(DarlErsatzZins,20))</f>
      </c>
      <c r="Q9536" s="43">
        <f>IF($I9536=0,0,$Q9535+$P9536+$O9536)</f>
      </c>
      <c r="R9536" s="43">
        <f>IF($I9536=0,0,$J9536-$M9536-$N9536)</f>
      </c>
    </row>
    <row r="9537">
      <c r="A9537"/>
      <c r="B9537">
        <v>20</v>
      </c>
      <c r="C9537" s="43">
        <f>INDEX(DarlObj,20)</f>
      </c>
      <c r="D9537">
        <v>414</v>
      </c>
      <c r="E9537" s="51">
        <f>IF(INDEX(DarlBelegt,20)=0,0,EOMONTH(INDEX(DarlAuszahlung,20),413)+1)</f>
      </c>
      <c r="F9537" s="43">
        <f>IF($E9537=0,0,YEAR($E9537))</f>
      </c>
      <c r="G9537" s="43">
        <f>IF(INDEX(DarlBindung,20)="",1,IF($E9537&lt;=INDEX(DarlBindung,20),1,0))</f>
      </c>
      <c r="H9537" s="43">
        <f>IF($G9537=1,INDEX(DarlSollzins,20),INDEX(DarlAnschluss,20))</f>
      </c>
      <c r="I9537" s="43">
        <f>IF(INDEX(DarlBelegt,20)=0,0,IF(INDEX(DarlOhneTilgung,20)=1,IF(INDEX(DarlBindung,20)="",1,$G9537),IF($J9537&gt;0.005,1,0)))</f>
      </c>
      <c r="J9537" s="43">
        <f>IF($I9536=0,0,$R9536)</f>
      </c>
      <c r="K9537" s="43">
        <f>IF($I9537=0,0,IF(INDEX(DarlOhneTilgung,20)=1,0,IF(AND(INDEX(DarlTilgStart,20)&gt;0,$E9537=INDEX(DarlTilgStart,20)),$J9537*($H9537+INDEX(DarlTilgung,20))/100/12,IF(AND($G9537=0,$G9536=1),MAX($K9536,$J9537*($H9537+1)/100/12),$K9536))))</f>
      </c>
      <c r="L9537" s="43">
        <f>IF($I9537=0,0,$J9537*$H9537/100/12)</f>
      </c>
      <c r="M9537" s="43">
        <f>IF($I9537=0,0,IF(OR(INDEX(DarlOhneTilgung,20)=1,AND(INDEX(DarlTilgStart,20)&gt;0,$E9537&lt;INDEX(DarlTilgStart,20))),0,MIN(MAX(0,$K9537-$L9537),$J9537)))</f>
      </c>
      <c r="N9537" s="43">
        <f>IF($I9537=0,0,MIN(SUMIFS(SondBetrag,SondDarl,20,SondDatum,"&gt;="&amp;$E9537,SondDatum,"&lt;="&amp;EOMONTH($E9537,0)),$J9537-$M9537))</f>
      </c>
      <c r="O9537" s="43">
        <f>IF($I9537=0,0,INDEX(DarlErsatzRate,20))</f>
      </c>
      <c r="P9537" s="43">
        <f>IF($I9537=0,0,$Q9536*INDEX(DarlErsatzZins,20))</f>
      </c>
      <c r="Q9537" s="43">
        <f>IF($I9537=0,0,$Q9536+$P9537+$O9537)</f>
      </c>
      <c r="R9537" s="43">
        <f>IF($I9537=0,0,$J9537-$M9537-$N9537)</f>
      </c>
    </row>
    <row r="9538">
      <c r="A9538"/>
      <c r="B9538">
        <v>20</v>
      </c>
      <c r="C9538" s="43">
        <f>INDEX(DarlObj,20)</f>
      </c>
      <c r="D9538">
        <v>415</v>
      </c>
      <c r="E9538" s="51">
        <f>IF(INDEX(DarlBelegt,20)=0,0,EOMONTH(INDEX(DarlAuszahlung,20),414)+1)</f>
      </c>
      <c r="F9538" s="43">
        <f>IF($E9538=0,0,YEAR($E9538))</f>
      </c>
      <c r="G9538" s="43">
        <f>IF(INDEX(DarlBindung,20)="",1,IF($E9538&lt;=INDEX(DarlBindung,20),1,0))</f>
      </c>
      <c r="H9538" s="43">
        <f>IF($G9538=1,INDEX(DarlSollzins,20),INDEX(DarlAnschluss,20))</f>
      </c>
      <c r="I9538" s="43">
        <f>IF(INDEX(DarlBelegt,20)=0,0,IF(INDEX(DarlOhneTilgung,20)=1,IF(INDEX(DarlBindung,20)="",1,$G9538),IF($J9538&gt;0.005,1,0)))</f>
      </c>
      <c r="J9538" s="43">
        <f>IF($I9537=0,0,$R9537)</f>
      </c>
      <c r="K9538" s="43">
        <f>IF($I9538=0,0,IF(INDEX(DarlOhneTilgung,20)=1,0,IF(AND(INDEX(DarlTilgStart,20)&gt;0,$E9538=INDEX(DarlTilgStart,20)),$J9538*($H9538+INDEX(DarlTilgung,20))/100/12,IF(AND($G9538=0,$G9537=1),MAX($K9537,$J9538*($H9538+1)/100/12),$K9537))))</f>
      </c>
      <c r="L9538" s="43">
        <f>IF($I9538=0,0,$J9538*$H9538/100/12)</f>
      </c>
      <c r="M9538" s="43">
        <f>IF($I9538=0,0,IF(OR(INDEX(DarlOhneTilgung,20)=1,AND(INDEX(DarlTilgStart,20)&gt;0,$E9538&lt;INDEX(DarlTilgStart,20))),0,MIN(MAX(0,$K9538-$L9538),$J9538)))</f>
      </c>
      <c r="N9538" s="43">
        <f>IF($I9538=0,0,MIN(SUMIFS(SondBetrag,SondDarl,20,SondDatum,"&gt;="&amp;$E9538,SondDatum,"&lt;="&amp;EOMONTH($E9538,0)),$J9538-$M9538))</f>
      </c>
      <c r="O9538" s="43">
        <f>IF($I9538=0,0,INDEX(DarlErsatzRate,20))</f>
      </c>
      <c r="P9538" s="43">
        <f>IF($I9538=0,0,$Q9537*INDEX(DarlErsatzZins,20))</f>
      </c>
      <c r="Q9538" s="43">
        <f>IF($I9538=0,0,$Q9537+$P9538+$O9538)</f>
      </c>
      <c r="R9538" s="43">
        <f>IF($I9538=0,0,$J9538-$M9538-$N9538)</f>
      </c>
    </row>
    <row r="9539">
      <c r="A9539"/>
      <c r="B9539">
        <v>20</v>
      </c>
      <c r="C9539" s="43">
        <f>INDEX(DarlObj,20)</f>
      </c>
      <c r="D9539">
        <v>416</v>
      </c>
      <c r="E9539" s="51">
        <f>IF(INDEX(DarlBelegt,20)=0,0,EOMONTH(INDEX(DarlAuszahlung,20),415)+1)</f>
      </c>
      <c r="F9539" s="43">
        <f>IF($E9539=0,0,YEAR($E9539))</f>
      </c>
      <c r="G9539" s="43">
        <f>IF(INDEX(DarlBindung,20)="",1,IF($E9539&lt;=INDEX(DarlBindung,20),1,0))</f>
      </c>
      <c r="H9539" s="43">
        <f>IF($G9539=1,INDEX(DarlSollzins,20),INDEX(DarlAnschluss,20))</f>
      </c>
      <c r="I9539" s="43">
        <f>IF(INDEX(DarlBelegt,20)=0,0,IF(INDEX(DarlOhneTilgung,20)=1,IF(INDEX(DarlBindung,20)="",1,$G9539),IF($J9539&gt;0.005,1,0)))</f>
      </c>
      <c r="J9539" s="43">
        <f>IF($I9538=0,0,$R9538)</f>
      </c>
      <c r="K9539" s="43">
        <f>IF($I9539=0,0,IF(INDEX(DarlOhneTilgung,20)=1,0,IF(AND(INDEX(DarlTilgStart,20)&gt;0,$E9539=INDEX(DarlTilgStart,20)),$J9539*($H9539+INDEX(DarlTilgung,20))/100/12,IF(AND($G9539=0,$G9538=1),MAX($K9538,$J9539*($H9539+1)/100/12),$K9538))))</f>
      </c>
      <c r="L9539" s="43">
        <f>IF($I9539=0,0,$J9539*$H9539/100/12)</f>
      </c>
      <c r="M9539" s="43">
        <f>IF($I9539=0,0,IF(OR(INDEX(DarlOhneTilgung,20)=1,AND(INDEX(DarlTilgStart,20)&gt;0,$E9539&lt;INDEX(DarlTilgStart,20))),0,MIN(MAX(0,$K9539-$L9539),$J9539)))</f>
      </c>
      <c r="N9539" s="43">
        <f>IF($I9539=0,0,MIN(SUMIFS(SondBetrag,SondDarl,20,SondDatum,"&gt;="&amp;$E9539,SondDatum,"&lt;="&amp;EOMONTH($E9539,0)),$J9539-$M9539))</f>
      </c>
      <c r="O9539" s="43">
        <f>IF($I9539=0,0,INDEX(DarlErsatzRate,20))</f>
      </c>
      <c r="P9539" s="43">
        <f>IF($I9539=0,0,$Q9538*INDEX(DarlErsatzZins,20))</f>
      </c>
      <c r="Q9539" s="43">
        <f>IF($I9539=0,0,$Q9538+$P9539+$O9539)</f>
      </c>
      <c r="R9539" s="43">
        <f>IF($I9539=0,0,$J9539-$M9539-$N9539)</f>
      </c>
    </row>
    <row r="9540">
      <c r="A9540"/>
      <c r="B9540">
        <v>20</v>
      </c>
      <c r="C9540" s="43">
        <f>INDEX(DarlObj,20)</f>
      </c>
      <c r="D9540">
        <v>417</v>
      </c>
      <c r="E9540" s="51">
        <f>IF(INDEX(DarlBelegt,20)=0,0,EOMONTH(INDEX(DarlAuszahlung,20),416)+1)</f>
      </c>
      <c r="F9540" s="43">
        <f>IF($E9540=0,0,YEAR($E9540))</f>
      </c>
      <c r="G9540" s="43">
        <f>IF(INDEX(DarlBindung,20)="",1,IF($E9540&lt;=INDEX(DarlBindung,20),1,0))</f>
      </c>
      <c r="H9540" s="43">
        <f>IF($G9540=1,INDEX(DarlSollzins,20),INDEX(DarlAnschluss,20))</f>
      </c>
      <c r="I9540" s="43">
        <f>IF(INDEX(DarlBelegt,20)=0,0,IF(INDEX(DarlOhneTilgung,20)=1,IF(INDEX(DarlBindung,20)="",1,$G9540),IF($J9540&gt;0.005,1,0)))</f>
      </c>
      <c r="J9540" s="43">
        <f>IF($I9539=0,0,$R9539)</f>
      </c>
      <c r="K9540" s="43">
        <f>IF($I9540=0,0,IF(INDEX(DarlOhneTilgung,20)=1,0,IF(AND(INDEX(DarlTilgStart,20)&gt;0,$E9540=INDEX(DarlTilgStart,20)),$J9540*($H9540+INDEX(DarlTilgung,20))/100/12,IF(AND($G9540=0,$G9539=1),MAX($K9539,$J9540*($H9540+1)/100/12),$K9539))))</f>
      </c>
      <c r="L9540" s="43">
        <f>IF($I9540=0,0,$J9540*$H9540/100/12)</f>
      </c>
      <c r="M9540" s="43">
        <f>IF($I9540=0,0,IF(OR(INDEX(DarlOhneTilgung,20)=1,AND(INDEX(DarlTilgStart,20)&gt;0,$E9540&lt;INDEX(DarlTilgStart,20))),0,MIN(MAX(0,$K9540-$L9540),$J9540)))</f>
      </c>
      <c r="N9540" s="43">
        <f>IF($I9540=0,0,MIN(SUMIFS(SondBetrag,SondDarl,20,SondDatum,"&gt;="&amp;$E9540,SondDatum,"&lt;="&amp;EOMONTH($E9540,0)),$J9540-$M9540))</f>
      </c>
      <c r="O9540" s="43">
        <f>IF($I9540=0,0,INDEX(DarlErsatzRate,20))</f>
      </c>
      <c r="P9540" s="43">
        <f>IF($I9540=0,0,$Q9539*INDEX(DarlErsatzZins,20))</f>
      </c>
      <c r="Q9540" s="43">
        <f>IF($I9540=0,0,$Q9539+$P9540+$O9540)</f>
      </c>
      <c r="R9540" s="43">
        <f>IF($I9540=0,0,$J9540-$M9540-$N9540)</f>
      </c>
    </row>
    <row r="9541">
      <c r="A9541"/>
      <c r="B9541">
        <v>20</v>
      </c>
      <c r="C9541" s="43">
        <f>INDEX(DarlObj,20)</f>
      </c>
      <c r="D9541">
        <v>418</v>
      </c>
      <c r="E9541" s="51">
        <f>IF(INDEX(DarlBelegt,20)=0,0,EOMONTH(INDEX(DarlAuszahlung,20),417)+1)</f>
      </c>
      <c r="F9541" s="43">
        <f>IF($E9541=0,0,YEAR($E9541))</f>
      </c>
      <c r="G9541" s="43">
        <f>IF(INDEX(DarlBindung,20)="",1,IF($E9541&lt;=INDEX(DarlBindung,20),1,0))</f>
      </c>
      <c r="H9541" s="43">
        <f>IF($G9541=1,INDEX(DarlSollzins,20),INDEX(DarlAnschluss,20))</f>
      </c>
      <c r="I9541" s="43">
        <f>IF(INDEX(DarlBelegt,20)=0,0,IF(INDEX(DarlOhneTilgung,20)=1,IF(INDEX(DarlBindung,20)="",1,$G9541),IF($J9541&gt;0.005,1,0)))</f>
      </c>
      <c r="J9541" s="43">
        <f>IF($I9540=0,0,$R9540)</f>
      </c>
      <c r="K9541" s="43">
        <f>IF($I9541=0,0,IF(INDEX(DarlOhneTilgung,20)=1,0,IF(AND(INDEX(DarlTilgStart,20)&gt;0,$E9541=INDEX(DarlTilgStart,20)),$J9541*($H9541+INDEX(DarlTilgung,20))/100/12,IF(AND($G9541=0,$G9540=1),MAX($K9540,$J9541*($H9541+1)/100/12),$K9540))))</f>
      </c>
      <c r="L9541" s="43">
        <f>IF($I9541=0,0,$J9541*$H9541/100/12)</f>
      </c>
      <c r="M9541" s="43">
        <f>IF($I9541=0,0,IF(OR(INDEX(DarlOhneTilgung,20)=1,AND(INDEX(DarlTilgStart,20)&gt;0,$E9541&lt;INDEX(DarlTilgStart,20))),0,MIN(MAX(0,$K9541-$L9541),$J9541)))</f>
      </c>
      <c r="N9541" s="43">
        <f>IF($I9541=0,0,MIN(SUMIFS(SondBetrag,SondDarl,20,SondDatum,"&gt;="&amp;$E9541,SondDatum,"&lt;="&amp;EOMONTH($E9541,0)),$J9541-$M9541))</f>
      </c>
      <c r="O9541" s="43">
        <f>IF($I9541=0,0,INDEX(DarlErsatzRate,20))</f>
      </c>
      <c r="P9541" s="43">
        <f>IF($I9541=0,0,$Q9540*INDEX(DarlErsatzZins,20))</f>
      </c>
      <c r="Q9541" s="43">
        <f>IF($I9541=0,0,$Q9540+$P9541+$O9541)</f>
      </c>
      <c r="R9541" s="43">
        <f>IF($I9541=0,0,$J9541-$M9541-$N9541)</f>
      </c>
    </row>
    <row r="9542">
      <c r="A9542"/>
      <c r="B9542">
        <v>20</v>
      </c>
      <c r="C9542" s="43">
        <f>INDEX(DarlObj,20)</f>
      </c>
      <c r="D9542">
        <v>419</v>
      </c>
      <c r="E9542" s="51">
        <f>IF(INDEX(DarlBelegt,20)=0,0,EOMONTH(INDEX(DarlAuszahlung,20),418)+1)</f>
      </c>
      <c r="F9542" s="43">
        <f>IF($E9542=0,0,YEAR($E9542))</f>
      </c>
      <c r="G9542" s="43">
        <f>IF(INDEX(DarlBindung,20)="",1,IF($E9542&lt;=INDEX(DarlBindung,20),1,0))</f>
      </c>
      <c r="H9542" s="43">
        <f>IF($G9542=1,INDEX(DarlSollzins,20),INDEX(DarlAnschluss,20))</f>
      </c>
      <c r="I9542" s="43">
        <f>IF(INDEX(DarlBelegt,20)=0,0,IF(INDEX(DarlOhneTilgung,20)=1,IF(INDEX(DarlBindung,20)="",1,$G9542),IF($J9542&gt;0.005,1,0)))</f>
      </c>
      <c r="J9542" s="43">
        <f>IF($I9541=0,0,$R9541)</f>
      </c>
      <c r="K9542" s="43">
        <f>IF($I9542=0,0,IF(INDEX(DarlOhneTilgung,20)=1,0,IF(AND(INDEX(DarlTilgStart,20)&gt;0,$E9542=INDEX(DarlTilgStart,20)),$J9542*($H9542+INDEX(DarlTilgung,20))/100/12,IF(AND($G9542=0,$G9541=1),MAX($K9541,$J9542*($H9542+1)/100/12),$K9541))))</f>
      </c>
      <c r="L9542" s="43">
        <f>IF($I9542=0,0,$J9542*$H9542/100/12)</f>
      </c>
      <c r="M9542" s="43">
        <f>IF($I9542=0,0,IF(OR(INDEX(DarlOhneTilgung,20)=1,AND(INDEX(DarlTilgStart,20)&gt;0,$E9542&lt;INDEX(DarlTilgStart,20))),0,MIN(MAX(0,$K9542-$L9542),$J9542)))</f>
      </c>
      <c r="N9542" s="43">
        <f>IF($I9542=0,0,MIN(SUMIFS(SondBetrag,SondDarl,20,SondDatum,"&gt;="&amp;$E9542,SondDatum,"&lt;="&amp;EOMONTH($E9542,0)),$J9542-$M9542))</f>
      </c>
      <c r="O9542" s="43">
        <f>IF($I9542=0,0,INDEX(DarlErsatzRate,20))</f>
      </c>
      <c r="P9542" s="43">
        <f>IF($I9542=0,0,$Q9541*INDEX(DarlErsatzZins,20))</f>
      </c>
      <c r="Q9542" s="43">
        <f>IF($I9542=0,0,$Q9541+$P9542+$O9542)</f>
      </c>
      <c r="R9542" s="43">
        <f>IF($I9542=0,0,$J9542-$M9542-$N9542)</f>
      </c>
    </row>
    <row r="9543">
      <c r="A9543"/>
      <c r="B9543">
        <v>20</v>
      </c>
      <c r="C9543" s="43">
        <f>INDEX(DarlObj,20)</f>
      </c>
      <c r="D9543">
        <v>420</v>
      </c>
      <c r="E9543" s="51">
        <f>IF(INDEX(DarlBelegt,20)=0,0,EOMONTH(INDEX(DarlAuszahlung,20),419)+1)</f>
      </c>
      <c r="F9543" s="43">
        <f>IF($E9543=0,0,YEAR($E9543))</f>
      </c>
      <c r="G9543" s="43">
        <f>IF(INDEX(DarlBindung,20)="",1,IF($E9543&lt;=INDEX(DarlBindung,20),1,0))</f>
      </c>
      <c r="H9543" s="43">
        <f>IF($G9543=1,INDEX(DarlSollzins,20),INDEX(DarlAnschluss,20))</f>
      </c>
      <c r="I9543" s="43">
        <f>IF(INDEX(DarlBelegt,20)=0,0,IF(INDEX(DarlOhneTilgung,20)=1,IF(INDEX(DarlBindung,20)="",1,$G9543),IF($J9543&gt;0.005,1,0)))</f>
      </c>
      <c r="J9543" s="43">
        <f>IF($I9542=0,0,$R9542)</f>
      </c>
      <c r="K9543" s="43">
        <f>IF($I9543=0,0,IF(INDEX(DarlOhneTilgung,20)=1,0,IF(AND(INDEX(DarlTilgStart,20)&gt;0,$E9543=INDEX(DarlTilgStart,20)),$J9543*($H9543+INDEX(DarlTilgung,20))/100/12,IF(AND($G9543=0,$G9542=1),MAX($K9542,$J9543*($H9543+1)/100/12),$K9542))))</f>
      </c>
      <c r="L9543" s="43">
        <f>IF($I9543=0,0,$J9543*$H9543/100/12)</f>
      </c>
      <c r="M9543" s="43">
        <f>IF($I9543=0,0,IF(OR(INDEX(DarlOhneTilgung,20)=1,AND(INDEX(DarlTilgStart,20)&gt;0,$E9543&lt;INDEX(DarlTilgStart,20))),0,MIN(MAX(0,$K9543-$L9543),$J9543)))</f>
      </c>
      <c r="N9543" s="43">
        <f>IF($I9543=0,0,MIN(SUMIFS(SondBetrag,SondDarl,20,SondDatum,"&gt;="&amp;$E9543,SondDatum,"&lt;="&amp;EOMONTH($E9543,0)),$J9543-$M9543))</f>
      </c>
      <c r="O9543" s="43">
        <f>IF($I9543=0,0,INDEX(DarlErsatzRate,20))</f>
      </c>
      <c r="P9543" s="43">
        <f>IF($I9543=0,0,$Q9542*INDEX(DarlErsatzZins,20))</f>
      </c>
      <c r="Q9543" s="43">
        <f>IF($I9543=0,0,$Q9542+$P9543+$O9543)</f>
      </c>
      <c r="R9543" s="43">
        <f>IF($I9543=0,0,$J9543-$M9543-$N9543)</f>
      </c>
    </row>
    <row r="9544">
      <c r="A9544"/>
      <c r="B9544">
        <v>20</v>
      </c>
      <c r="C9544" s="43">
        <f>INDEX(DarlObj,20)</f>
      </c>
      <c r="D9544">
        <v>421</v>
      </c>
      <c r="E9544" s="51">
        <f>IF(INDEX(DarlBelegt,20)=0,0,EOMONTH(INDEX(DarlAuszahlung,20),420)+1)</f>
      </c>
      <c r="F9544" s="43">
        <f>IF($E9544=0,0,YEAR($E9544))</f>
      </c>
      <c r="G9544" s="43">
        <f>IF(INDEX(DarlBindung,20)="",1,IF($E9544&lt;=INDEX(DarlBindung,20),1,0))</f>
      </c>
      <c r="H9544" s="43">
        <f>IF($G9544=1,INDEX(DarlSollzins,20),INDEX(DarlAnschluss,20))</f>
      </c>
      <c r="I9544" s="43">
        <f>IF(INDEX(DarlBelegt,20)=0,0,IF(INDEX(DarlOhneTilgung,20)=1,IF(INDEX(DarlBindung,20)="",1,$G9544),IF($J9544&gt;0.005,1,0)))</f>
      </c>
      <c r="J9544" s="43">
        <f>IF($I9543=0,0,$R9543)</f>
      </c>
      <c r="K9544" s="43">
        <f>IF($I9544=0,0,IF(INDEX(DarlOhneTilgung,20)=1,0,IF(AND(INDEX(DarlTilgStart,20)&gt;0,$E9544=INDEX(DarlTilgStart,20)),$J9544*($H9544+INDEX(DarlTilgung,20))/100/12,IF(AND($G9544=0,$G9543=1),MAX($K9543,$J9544*($H9544+1)/100/12),$K9543))))</f>
      </c>
      <c r="L9544" s="43">
        <f>IF($I9544=0,0,$J9544*$H9544/100/12)</f>
      </c>
      <c r="M9544" s="43">
        <f>IF($I9544=0,0,IF(OR(INDEX(DarlOhneTilgung,20)=1,AND(INDEX(DarlTilgStart,20)&gt;0,$E9544&lt;INDEX(DarlTilgStart,20))),0,MIN(MAX(0,$K9544-$L9544),$J9544)))</f>
      </c>
      <c r="N9544" s="43">
        <f>IF($I9544=0,0,MIN(SUMIFS(SondBetrag,SondDarl,20,SondDatum,"&gt;="&amp;$E9544,SondDatum,"&lt;="&amp;EOMONTH($E9544,0)),$J9544-$M9544))</f>
      </c>
      <c r="O9544" s="43">
        <f>IF($I9544=0,0,INDEX(DarlErsatzRate,20))</f>
      </c>
      <c r="P9544" s="43">
        <f>IF($I9544=0,0,$Q9543*INDEX(DarlErsatzZins,20))</f>
      </c>
      <c r="Q9544" s="43">
        <f>IF($I9544=0,0,$Q9543+$P9544+$O9544)</f>
      </c>
      <c r="R9544" s="43">
        <f>IF($I9544=0,0,$J9544-$M9544-$N9544)</f>
      </c>
    </row>
    <row r="9545">
      <c r="A9545"/>
      <c r="B9545">
        <v>20</v>
      </c>
      <c r="C9545" s="43">
        <f>INDEX(DarlObj,20)</f>
      </c>
      <c r="D9545">
        <v>422</v>
      </c>
      <c r="E9545" s="51">
        <f>IF(INDEX(DarlBelegt,20)=0,0,EOMONTH(INDEX(DarlAuszahlung,20),421)+1)</f>
      </c>
      <c r="F9545" s="43">
        <f>IF($E9545=0,0,YEAR($E9545))</f>
      </c>
      <c r="G9545" s="43">
        <f>IF(INDEX(DarlBindung,20)="",1,IF($E9545&lt;=INDEX(DarlBindung,20),1,0))</f>
      </c>
      <c r="H9545" s="43">
        <f>IF($G9545=1,INDEX(DarlSollzins,20),INDEX(DarlAnschluss,20))</f>
      </c>
      <c r="I9545" s="43">
        <f>IF(INDEX(DarlBelegt,20)=0,0,IF(INDEX(DarlOhneTilgung,20)=1,IF(INDEX(DarlBindung,20)="",1,$G9545),IF($J9545&gt;0.005,1,0)))</f>
      </c>
      <c r="J9545" s="43">
        <f>IF($I9544=0,0,$R9544)</f>
      </c>
      <c r="K9545" s="43">
        <f>IF($I9545=0,0,IF(INDEX(DarlOhneTilgung,20)=1,0,IF(AND(INDEX(DarlTilgStart,20)&gt;0,$E9545=INDEX(DarlTilgStart,20)),$J9545*($H9545+INDEX(DarlTilgung,20))/100/12,IF(AND($G9545=0,$G9544=1),MAX($K9544,$J9545*($H9545+1)/100/12),$K9544))))</f>
      </c>
      <c r="L9545" s="43">
        <f>IF($I9545=0,0,$J9545*$H9545/100/12)</f>
      </c>
      <c r="M9545" s="43">
        <f>IF($I9545=0,0,IF(OR(INDEX(DarlOhneTilgung,20)=1,AND(INDEX(DarlTilgStart,20)&gt;0,$E9545&lt;INDEX(DarlTilgStart,20))),0,MIN(MAX(0,$K9545-$L9545),$J9545)))</f>
      </c>
      <c r="N9545" s="43">
        <f>IF($I9545=0,0,MIN(SUMIFS(SondBetrag,SondDarl,20,SondDatum,"&gt;="&amp;$E9545,SondDatum,"&lt;="&amp;EOMONTH($E9545,0)),$J9545-$M9545))</f>
      </c>
      <c r="O9545" s="43">
        <f>IF($I9545=0,0,INDEX(DarlErsatzRate,20))</f>
      </c>
      <c r="P9545" s="43">
        <f>IF($I9545=0,0,$Q9544*INDEX(DarlErsatzZins,20))</f>
      </c>
      <c r="Q9545" s="43">
        <f>IF($I9545=0,0,$Q9544+$P9545+$O9545)</f>
      </c>
      <c r="R9545" s="43">
        <f>IF($I9545=0,0,$J9545-$M9545-$N9545)</f>
      </c>
    </row>
    <row r="9546">
      <c r="A9546"/>
      <c r="B9546">
        <v>20</v>
      </c>
      <c r="C9546" s="43">
        <f>INDEX(DarlObj,20)</f>
      </c>
      <c r="D9546">
        <v>423</v>
      </c>
      <c r="E9546" s="51">
        <f>IF(INDEX(DarlBelegt,20)=0,0,EOMONTH(INDEX(DarlAuszahlung,20),422)+1)</f>
      </c>
      <c r="F9546" s="43">
        <f>IF($E9546=0,0,YEAR($E9546))</f>
      </c>
      <c r="G9546" s="43">
        <f>IF(INDEX(DarlBindung,20)="",1,IF($E9546&lt;=INDEX(DarlBindung,20),1,0))</f>
      </c>
      <c r="H9546" s="43">
        <f>IF($G9546=1,INDEX(DarlSollzins,20),INDEX(DarlAnschluss,20))</f>
      </c>
      <c r="I9546" s="43">
        <f>IF(INDEX(DarlBelegt,20)=0,0,IF(INDEX(DarlOhneTilgung,20)=1,IF(INDEX(DarlBindung,20)="",1,$G9546),IF($J9546&gt;0.005,1,0)))</f>
      </c>
      <c r="J9546" s="43">
        <f>IF($I9545=0,0,$R9545)</f>
      </c>
      <c r="K9546" s="43">
        <f>IF($I9546=0,0,IF(INDEX(DarlOhneTilgung,20)=1,0,IF(AND(INDEX(DarlTilgStart,20)&gt;0,$E9546=INDEX(DarlTilgStart,20)),$J9546*($H9546+INDEX(DarlTilgung,20))/100/12,IF(AND($G9546=0,$G9545=1),MAX($K9545,$J9546*($H9546+1)/100/12),$K9545))))</f>
      </c>
      <c r="L9546" s="43">
        <f>IF($I9546=0,0,$J9546*$H9546/100/12)</f>
      </c>
      <c r="M9546" s="43">
        <f>IF($I9546=0,0,IF(OR(INDEX(DarlOhneTilgung,20)=1,AND(INDEX(DarlTilgStart,20)&gt;0,$E9546&lt;INDEX(DarlTilgStart,20))),0,MIN(MAX(0,$K9546-$L9546),$J9546)))</f>
      </c>
      <c r="N9546" s="43">
        <f>IF($I9546=0,0,MIN(SUMIFS(SondBetrag,SondDarl,20,SondDatum,"&gt;="&amp;$E9546,SondDatum,"&lt;="&amp;EOMONTH($E9546,0)),$J9546-$M9546))</f>
      </c>
      <c r="O9546" s="43">
        <f>IF($I9546=0,0,INDEX(DarlErsatzRate,20))</f>
      </c>
      <c r="P9546" s="43">
        <f>IF($I9546=0,0,$Q9545*INDEX(DarlErsatzZins,20))</f>
      </c>
      <c r="Q9546" s="43">
        <f>IF($I9546=0,0,$Q9545+$P9546+$O9546)</f>
      </c>
      <c r="R9546" s="43">
        <f>IF($I9546=0,0,$J9546-$M9546-$N9546)</f>
      </c>
    </row>
    <row r="9547">
      <c r="A9547"/>
      <c r="B9547">
        <v>20</v>
      </c>
      <c r="C9547" s="43">
        <f>INDEX(DarlObj,20)</f>
      </c>
      <c r="D9547">
        <v>424</v>
      </c>
      <c r="E9547" s="51">
        <f>IF(INDEX(DarlBelegt,20)=0,0,EOMONTH(INDEX(DarlAuszahlung,20),423)+1)</f>
      </c>
      <c r="F9547" s="43">
        <f>IF($E9547=0,0,YEAR($E9547))</f>
      </c>
      <c r="G9547" s="43">
        <f>IF(INDEX(DarlBindung,20)="",1,IF($E9547&lt;=INDEX(DarlBindung,20),1,0))</f>
      </c>
      <c r="H9547" s="43">
        <f>IF($G9547=1,INDEX(DarlSollzins,20),INDEX(DarlAnschluss,20))</f>
      </c>
      <c r="I9547" s="43">
        <f>IF(INDEX(DarlBelegt,20)=0,0,IF(INDEX(DarlOhneTilgung,20)=1,IF(INDEX(DarlBindung,20)="",1,$G9547),IF($J9547&gt;0.005,1,0)))</f>
      </c>
      <c r="J9547" s="43">
        <f>IF($I9546=0,0,$R9546)</f>
      </c>
      <c r="K9547" s="43">
        <f>IF($I9547=0,0,IF(INDEX(DarlOhneTilgung,20)=1,0,IF(AND(INDEX(DarlTilgStart,20)&gt;0,$E9547=INDEX(DarlTilgStart,20)),$J9547*($H9547+INDEX(DarlTilgung,20))/100/12,IF(AND($G9547=0,$G9546=1),MAX($K9546,$J9547*($H9547+1)/100/12),$K9546))))</f>
      </c>
      <c r="L9547" s="43">
        <f>IF($I9547=0,0,$J9547*$H9547/100/12)</f>
      </c>
      <c r="M9547" s="43">
        <f>IF($I9547=0,0,IF(OR(INDEX(DarlOhneTilgung,20)=1,AND(INDEX(DarlTilgStart,20)&gt;0,$E9547&lt;INDEX(DarlTilgStart,20))),0,MIN(MAX(0,$K9547-$L9547),$J9547)))</f>
      </c>
      <c r="N9547" s="43">
        <f>IF($I9547=0,0,MIN(SUMIFS(SondBetrag,SondDarl,20,SondDatum,"&gt;="&amp;$E9547,SondDatum,"&lt;="&amp;EOMONTH($E9547,0)),$J9547-$M9547))</f>
      </c>
      <c r="O9547" s="43">
        <f>IF($I9547=0,0,INDEX(DarlErsatzRate,20))</f>
      </c>
      <c r="P9547" s="43">
        <f>IF($I9547=0,0,$Q9546*INDEX(DarlErsatzZins,20))</f>
      </c>
      <c r="Q9547" s="43">
        <f>IF($I9547=0,0,$Q9546+$P9547+$O9547)</f>
      </c>
      <c r="R9547" s="43">
        <f>IF($I9547=0,0,$J9547-$M9547-$N9547)</f>
      </c>
    </row>
    <row r="9548">
      <c r="A9548"/>
      <c r="B9548">
        <v>20</v>
      </c>
      <c r="C9548" s="43">
        <f>INDEX(DarlObj,20)</f>
      </c>
      <c r="D9548">
        <v>425</v>
      </c>
      <c r="E9548" s="51">
        <f>IF(INDEX(DarlBelegt,20)=0,0,EOMONTH(INDEX(DarlAuszahlung,20),424)+1)</f>
      </c>
      <c r="F9548" s="43">
        <f>IF($E9548=0,0,YEAR($E9548))</f>
      </c>
      <c r="G9548" s="43">
        <f>IF(INDEX(DarlBindung,20)="",1,IF($E9548&lt;=INDEX(DarlBindung,20),1,0))</f>
      </c>
      <c r="H9548" s="43">
        <f>IF($G9548=1,INDEX(DarlSollzins,20),INDEX(DarlAnschluss,20))</f>
      </c>
      <c r="I9548" s="43">
        <f>IF(INDEX(DarlBelegt,20)=0,0,IF(INDEX(DarlOhneTilgung,20)=1,IF(INDEX(DarlBindung,20)="",1,$G9548),IF($J9548&gt;0.005,1,0)))</f>
      </c>
      <c r="J9548" s="43">
        <f>IF($I9547=0,0,$R9547)</f>
      </c>
      <c r="K9548" s="43">
        <f>IF($I9548=0,0,IF(INDEX(DarlOhneTilgung,20)=1,0,IF(AND(INDEX(DarlTilgStart,20)&gt;0,$E9548=INDEX(DarlTilgStart,20)),$J9548*($H9548+INDEX(DarlTilgung,20))/100/12,IF(AND($G9548=0,$G9547=1),MAX($K9547,$J9548*($H9548+1)/100/12),$K9547))))</f>
      </c>
      <c r="L9548" s="43">
        <f>IF($I9548=0,0,$J9548*$H9548/100/12)</f>
      </c>
      <c r="M9548" s="43">
        <f>IF($I9548=0,0,IF(OR(INDEX(DarlOhneTilgung,20)=1,AND(INDEX(DarlTilgStart,20)&gt;0,$E9548&lt;INDEX(DarlTilgStart,20))),0,MIN(MAX(0,$K9548-$L9548),$J9548)))</f>
      </c>
      <c r="N9548" s="43">
        <f>IF($I9548=0,0,MIN(SUMIFS(SondBetrag,SondDarl,20,SondDatum,"&gt;="&amp;$E9548,SondDatum,"&lt;="&amp;EOMONTH($E9548,0)),$J9548-$M9548))</f>
      </c>
      <c r="O9548" s="43">
        <f>IF($I9548=0,0,INDEX(DarlErsatzRate,20))</f>
      </c>
      <c r="P9548" s="43">
        <f>IF($I9548=0,0,$Q9547*INDEX(DarlErsatzZins,20))</f>
      </c>
      <c r="Q9548" s="43">
        <f>IF($I9548=0,0,$Q9547+$P9548+$O9548)</f>
      </c>
      <c r="R9548" s="43">
        <f>IF($I9548=0,0,$J9548-$M9548-$N9548)</f>
      </c>
    </row>
    <row r="9549">
      <c r="A9549"/>
      <c r="B9549">
        <v>20</v>
      </c>
      <c r="C9549" s="43">
        <f>INDEX(DarlObj,20)</f>
      </c>
      <c r="D9549">
        <v>426</v>
      </c>
      <c r="E9549" s="51">
        <f>IF(INDEX(DarlBelegt,20)=0,0,EOMONTH(INDEX(DarlAuszahlung,20),425)+1)</f>
      </c>
      <c r="F9549" s="43">
        <f>IF($E9549=0,0,YEAR($E9549))</f>
      </c>
      <c r="G9549" s="43">
        <f>IF(INDEX(DarlBindung,20)="",1,IF($E9549&lt;=INDEX(DarlBindung,20),1,0))</f>
      </c>
      <c r="H9549" s="43">
        <f>IF($G9549=1,INDEX(DarlSollzins,20),INDEX(DarlAnschluss,20))</f>
      </c>
      <c r="I9549" s="43">
        <f>IF(INDEX(DarlBelegt,20)=0,0,IF(INDEX(DarlOhneTilgung,20)=1,IF(INDEX(DarlBindung,20)="",1,$G9549),IF($J9549&gt;0.005,1,0)))</f>
      </c>
      <c r="J9549" s="43">
        <f>IF($I9548=0,0,$R9548)</f>
      </c>
      <c r="K9549" s="43">
        <f>IF($I9549=0,0,IF(INDEX(DarlOhneTilgung,20)=1,0,IF(AND(INDEX(DarlTilgStart,20)&gt;0,$E9549=INDEX(DarlTilgStart,20)),$J9549*($H9549+INDEX(DarlTilgung,20))/100/12,IF(AND($G9549=0,$G9548=1),MAX($K9548,$J9549*($H9549+1)/100/12),$K9548))))</f>
      </c>
      <c r="L9549" s="43">
        <f>IF($I9549=0,0,$J9549*$H9549/100/12)</f>
      </c>
      <c r="M9549" s="43">
        <f>IF($I9549=0,0,IF(OR(INDEX(DarlOhneTilgung,20)=1,AND(INDEX(DarlTilgStart,20)&gt;0,$E9549&lt;INDEX(DarlTilgStart,20))),0,MIN(MAX(0,$K9549-$L9549),$J9549)))</f>
      </c>
      <c r="N9549" s="43">
        <f>IF($I9549=0,0,MIN(SUMIFS(SondBetrag,SondDarl,20,SondDatum,"&gt;="&amp;$E9549,SondDatum,"&lt;="&amp;EOMONTH($E9549,0)),$J9549-$M9549))</f>
      </c>
      <c r="O9549" s="43">
        <f>IF($I9549=0,0,INDEX(DarlErsatzRate,20))</f>
      </c>
      <c r="P9549" s="43">
        <f>IF($I9549=0,0,$Q9548*INDEX(DarlErsatzZins,20))</f>
      </c>
      <c r="Q9549" s="43">
        <f>IF($I9549=0,0,$Q9548+$P9549+$O9549)</f>
      </c>
      <c r="R9549" s="43">
        <f>IF($I9549=0,0,$J9549-$M9549-$N9549)</f>
      </c>
    </row>
    <row r="9550">
      <c r="A9550"/>
      <c r="B9550">
        <v>20</v>
      </c>
      <c r="C9550" s="43">
        <f>INDEX(DarlObj,20)</f>
      </c>
      <c r="D9550">
        <v>427</v>
      </c>
      <c r="E9550" s="51">
        <f>IF(INDEX(DarlBelegt,20)=0,0,EOMONTH(INDEX(DarlAuszahlung,20),426)+1)</f>
      </c>
      <c r="F9550" s="43">
        <f>IF($E9550=0,0,YEAR($E9550))</f>
      </c>
      <c r="G9550" s="43">
        <f>IF(INDEX(DarlBindung,20)="",1,IF($E9550&lt;=INDEX(DarlBindung,20),1,0))</f>
      </c>
      <c r="H9550" s="43">
        <f>IF($G9550=1,INDEX(DarlSollzins,20),INDEX(DarlAnschluss,20))</f>
      </c>
      <c r="I9550" s="43">
        <f>IF(INDEX(DarlBelegt,20)=0,0,IF(INDEX(DarlOhneTilgung,20)=1,IF(INDEX(DarlBindung,20)="",1,$G9550),IF($J9550&gt;0.005,1,0)))</f>
      </c>
      <c r="J9550" s="43">
        <f>IF($I9549=0,0,$R9549)</f>
      </c>
      <c r="K9550" s="43">
        <f>IF($I9550=0,0,IF(INDEX(DarlOhneTilgung,20)=1,0,IF(AND(INDEX(DarlTilgStart,20)&gt;0,$E9550=INDEX(DarlTilgStart,20)),$J9550*($H9550+INDEX(DarlTilgung,20))/100/12,IF(AND($G9550=0,$G9549=1),MAX($K9549,$J9550*($H9550+1)/100/12),$K9549))))</f>
      </c>
      <c r="L9550" s="43">
        <f>IF($I9550=0,0,$J9550*$H9550/100/12)</f>
      </c>
      <c r="M9550" s="43">
        <f>IF($I9550=0,0,IF(OR(INDEX(DarlOhneTilgung,20)=1,AND(INDEX(DarlTilgStart,20)&gt;0,$E9550&lt;INDEX(DarlTilgStart,20))),0,MIN(MAX(0,$K9550-$L9550),$J9550)))</f>
      </c>
      <c r="N9550" s="43">
        <f>IF($I9550=0,0,MIN(SUMIFS(SondBetrag,SondDarl,20,SondDatum,"&gt;="&amp;$E9550,SondDatum,"&lt;="&amp;EOMONTH($E9550,0)),$J9550-$M9550))</f>
      </c>
      <c r="O9550" s="43">
        <f>IF($I9550=0,0,INDEX(DarlErsatzRate,20))</f>
      </c>
      <c r="P9550" s="43">
        <f>IF($I9550=0,0,$Q9549*INDEX(DarlErsatzZins,20))</f>
      </c>
      <c r="Q9550" s="43">
        <f>IF($I9550=0,0,$Q9549+$P9550+$O9550)</f>
      </c>
      <c r="R9550" s="43">
        <f>IF($I9550=0,0,$J9550-$M9550-$N9550)</f>
      </c>
    </row>
    <row r="9551">
      <c r="A9551"/>
      <c r="B9551">
        <v>20</v>
      </c>
      <c r="C9551" s="43">
        <f>INDEX(DarlObj,20)</f>
      </c>
      <c r="D9551">
        <v>428</v>
      </c>
      <c r="E9551" s="51">
        <f>IF(INDEX(DarlBelegt,20)=0,0,EOMONTH(INDEX(DarlAuszahlung,20),427)+1)</f>
      </c>
      <c r="F9551" s="43">
        <f>IF($E9551=0,0,YEAR($E9551))</f>
      </c>
      <c r="G9551" s="43">
        <f>IF(INDEX(DarlBindung,20)="",1,IF($E9551&lt;=INDEX(DarlBindung,20),1,0))</f>
      </c>
      <c r="H9551" s="43">
        <f>IF($G9551=1,INDEX(DarlSollzins,20),INDEX(DarlAnschluss,20))</f>
      </c>
      <c r="I9551" s="43">
        <f>IF(INDEX(DarlBelegt,20)=0,0,IF(INDEX(DarlOhneTilgung,20)=1,IF(INDEX(DarlBindung,20)="",1,$G9551),IF($J9551&gt;0.005,1,0)))</f>
      </c>
      <c r="J9551" s="43">
        <f>IF($I9550=0,0,$R9550)</f>
      </c>
      <c r="K9551" s="43">
        <f>IF($I9551=0,0,IF(INDEX(DarlOhneTilgung,20)=1,0,IF(AND(INDEX(DarlTilgStart,20)&gt;0,$E9551=INDEX(DarlTilgStart,20)),$J9551*($H9551+INDEX(DarlTilgung,20))/100/12,IF(AND($G9551=0,$G9550=1),MAX($K9550,$J9551*($H9551+1)/100/12),$K9550))))</f>
      </c>
      <c r="L9551" s="43">
        <f>IF($I9551=0,0,$J9551*$H9551/100/12)</f>
      </c>
      <c r="M9551" s="43">
        <f>IF($I9551=0,0,IF(OR(INDEX(DarlOhneTilgung,20)=1,AND(INDEX(DarlTilgStart,20)&gt;0,$E9551&lt;INDEX(DarlTilgStart,20))),0,MIN(MAX(0,$K9551-$L9551),$J9551)))</f>
      </c>
      <c r="N9551" s="43">
        <f>IF($I9551=0,0,MIN(SUMIFS(SondBetrag,SondDarl,20,SondDatum,"&gt;="&amp;$E9551,SondDatum,"&lt;="&amp;EOMONTH($E9551,0)),$J9551-$M9551))</f>
      </c>
      <c r="O9551" s="43">
        <f>IF($I9551=0,0,INDEX(DarlErsatzRate,20))</f>
      </c>
      <c r="P9551" s="43">
        <f>IF($I9551=0,0,$Q9550*INDEX(DarlErsatzZins,20))</f>
      </c>
      <c r="Q9551" s="43">
        <f>IF($I9551=0,0,$Q9550+$P9551+$O9551)</f>
      </c>
      <c r="R9551" s="43">
        <f>IF($I9551=0,0,$J9551-$M9551-$N9551)</f>
      </c>
    </row>
    <row r="9552">
      <c r="A9552"/>
      <c r="B9552">
        <v>20</v>
      </c>
      <c r="C9552" s="43">
        <f>INDEX(DarlObj,20)</f>
      </c>
      <c r="D9552">
        <v>429</v>
      </c>
      <c r="E9552" s="51">
        <f>IF(INDEX(DarlBelegt,20)=0,0,EOMONTH(INDEX(DarlAuszahlung,20),428)+1)</f>
      </c>
      <c r="F9552" s="43">
        <f>IF($E9552=0,0,YEAR($E9552))</f>
      </c>
      <c r="G9552" s="43">
        <f>IF(INDEX(DarlBindung,20)="",1,IF($E9552&lt;=INDEX(DarlBindung,20),1,0))</f>
      </c>
      <c r="H9552" s="43">
        <f>IF($G9552=1,INDEX(DarlSollzins,20),INDEX(DarlAnschluss,20))</f>
      </c>
      <c r="I9552" s="43">
        <f>IF(INDEX(DarlBelegt,20)=0,0,IF(INDEX(DarlOhneTilgung,20)=1,IF(INDEX(DarlBindung,20)="",1,$G9552),IF($J9552&gt;0.005,1,0)))</f>
      </c>
      <c r="J9552" s="43">
        <f>IF($I9551=0,0,$R9551)</f>
      </c>
      <c r="K9552" s="43">
        <f>IF($I9552=0,0,IF(INDEX(DarlOhneTilgung,20)=1,0,IF(AND(INDEX(DarlTilgStart,20)&gt;0,$E9552=INDEX(DarlTilgStart,20)),$J9552*($H9552+INDEX(DarlTilgung,20))/100/12,IF(AND($G9552=0,$G9551=1),MAX($K9551,$J9552*($H9552+1)/100/12),$K9551))))</f>
      </c>
      <c r="L9552" s="43">
        <f>IF($I9552=0,0,$J9552*$H9552/100/12)</f>
      </c>
      <c r="M9552" s="43">
        <f>IF($I9552=0,0,IF(OR(INDEX(DarlOhneTilgung,20)=1,AND(INDEX(DarlTilgStart,20)&gt;0,$E9552&lt;INDEX(DarlTilgStart,20))),0,MIN(MAX(0,$K9552-$L9552),$J9552)))</f>
      </c>
      <c r="N9552" s="43">
        <f>IF($I9552=0,0,MIN(SUMIFS(SondBetrag,SondDarl,20,SondDatum,"&gt;="&amp;$E9552,SondDatum,"&lt;="&amp;EOMONTH($E9552,0)),$J9552-$M9552))</f>
      </c>
      <c r="O9552" s="43">
        <f>IF($I9552=0,0,INDEX(DarlErsatzRate,20))</f>
      </c>
      <c r="P9552" s="43">
        <f>IF($I9552=0,0,$Q9551*INDEX(DarlErsatzZins,20))</f>
      </c>
      <c r="Q9552" s="43">
        <f>IF($I9552=0,0,$Q9551+$P9552+$O9552)</f>
      </c>
      <c r="R9552" s="43">
        <f>IF($I9552=0,0,$J9552-$M9552-$N9552)</f>
      </c>
    </row>
    <row r="9553">
      <c r="A9553"/>
      <c r="B9553">
        <v>20</v>
      </c>
      <c r="C9553" s="43">
        <f>INDEX(DarlObj,20)</f>
      </c>
      <c r="D9553">
        <v>430</v>
      </c>
      <c r="E9553" s="51">
        <f>IF(INDEX(DarlBelegt,20)=0,0,EOMONTH(INDEX(DarlAuszahlung,20),429)+1)</f>
      </c>
      <c r="F9553" s="43">
        <f>IF($E9553=0,0,YEAR($E9553))</f>
      </c>
      <c r="G9553" s="43">
        <f>IF(INDEX(DarlBindung,20)="",1,IF($E9553&lt;=INDEX(DarlBindung,20),1,0))</f>
      </c>
      <c r="H9553" s="43">
        <f>IF($G9553=1,INDEX(DarlSollzins,20),INDEX(DarlAnschluss,20))</f>
      </c>
      <c r="I9553" s="43">
        <f>IF(INDEX(DarlBelegt,20)=0,0,IF(INDEX(DarlOhneTilgung,20)=1,IF(INDEX(DarlBindung,20)="",1,$G9553),IF($J9553&gt;0.005,1,0)))</f>
      </c>
      <c r="J9553" s="43">
        <f>IF($I9552=0,0,$R9552)</f>
      </c>
      <c r="K9553" s="43">
        <f>IF($I9553=0,0,IF(INDEX(DarlOhneTilgung,20)=1,0,IF(AND(INDEX(DarlTilgStart,20)&gt;0,$E9553=INDEX(DarlTilgStart,20)),$J9553*($H9553+INDEX(DarlTilgung,20))/100/12,IF(AND($G9553=0,$G9552=1),MAX($K9552,$J9553*($H9553+1)/100/12),$K9552))))</f>
      </c>
      <c r="L9553" s="43">
        <f>IF($I9553=0,0,$J9553*$H9553/100/12)</f>
      </c>
      <c r="M9553" s="43">
        <f>IF($I9553=0,0,IF(OR(INDEX(DarlOhneTilgung,20)=1,AND(INDEX(DarlTilgStart,20)&gt;0,$E9553&lt;INDEX(DarlTilgStart,20))),0,MIN(MAX(0,$K9553-$L9553),$J9553)))</f>
      </c>
      <c r="N9553" s="43">
        <f>IF($I9553=0,0,MIN(SUMIFS(SondBetrag,SondDarl,20,SondDatum,"&gt;="&amp;$E9553,SondDatum,"&lt;="&amp;EOMONTH($E9553,0)),$J9553-$M9553))</f>
      </c>
      <c r="O9553" s="43">
        <f>IF($I9553=0,0,INDEX(DarlErsatzRate,20))</f>
      </c>
      <c r="P9553" s="43">
        <f>IF($I9553=0,0,$Q9552*INDEX(DarlErsatzZins,20))</f>
      </c>
      <c r="Q9553" s="43">
        <f>IF($I9553=0,0,$Q9552+$P9553+$O9553)</f>
      </c>
      <c r="R9553" s="43">
        <f>IF($I9553=0,0,$J9553-$M9553-$N9553)</f>
      </c>
    </row>
    <row r="9554">
      <c r="A9554"/>
      <c r="B9554">
        <v>20</v>
      </c>
      <c r="C9554" s="43">
        <f>INDEX(DarlObj,20)</f>
      </c>
      <c r="D9554">
        <v>431</v>
      </c>
      <c r="E9554" s="51">
        <f>IF(INDEX(DarlBelegt,20)=0,0,EOMONTH(INDEX(DarlAuszahlung,20),430)+1)</f>
      </c>
      <c r="F9554" s="43">
        <f>IF($E9554=0,0,YEAR($E9554))</f>
      </c>
      <c r="G9554" s="43">
        <f>IF(INDEX(DarlBindung,20)="",1,IF($E9554&lt;=INDEX(DarlBindung,20),1,0))</f>
      </c>
      <c r="H9554" s="43">
        <f>IF($G9554=1,INDEX(DarlSollzins,20),INDEX(DarlAnschluss,20))</f>
      </c>
      <c r="I9554" s="43">
        <f>IF(INDEX(DarlBelegt,20)=0,0,IF(INDEX(DarlOhneTilgung,20)=1,IF(INDEX(DarlBindung,20)="",1,$G9554),IF($J9554&gt;0.005,1,0)))</f>
      </c>
      <c r="J9554" s="43">
        <f>IF($I9553=0,0,$R9553)</f>
      </c>
      <c r="K9554" s="43">
        <f>IF($I9554=0,0,IF(INDEX(DarlOhneTilgung,20)=1,0,IF(AND(INDEX(DarlTilgStart,20)&gt;0,$E9554=INDEX(DarlTilgStart,20)),$J9554*($H9554+INDEX(DarlTilgung,20))/100/12,IF(AND($G9554=0,$G9553=1),MAX($K9553,$J9554*($H9554+1)/100/12),$K9553))))</f>
      </c>
      <c r="L9554" s="43">
        <f>IF($I9554=0,0,$J9554*$H9554/100/12)</f>
      </c>
      <c r="M9554" s="43">
        <f>IF($I9554=0,0,IF(OR(INDEX(DarlOhneTilgung,20)=1,AND(INDEX(DarlTilgStart,20)&gt;0,$E9554&lt;INDEX(DarlTilgStart,20))),0,MIN(MAX(0,$K9554-$L9554),$J9554)))</f>
      </c>
      <c r="N9554" s="43">
        <f>IF($I9554=0,0,MIN(SUMIFS(SondBetrag,SondDarl,20,SondDatum,"&gt;="&amp;$E9554,SondDatum,"&lt;="&amp;EOMONTH($E9554,0)),$J9554-$M9554))</f>
      </c>
      <c r="O9554" s="43">
        <f>IF($I9554=0,0,INDEX(DarlErsatzRate,20))</f>
      </c>
      <c r="P9554" s="43">
        <f>IF($I9554=0,0,$Q9553*INDEX(DarlErsatzZins,20))</f>
      </c>
      <c r="Q9554" s="43">
        <f>IF($I9554=0,0,$Q9553+$P9554+$O9554)</f>
      </c>
      <c r="R9554" s="43">
        <f>IF($I9554=0,0,$J9554-$M9554-$N9554)</f>
      </c>
    </row>
    <row r="9555">
      <c r="A9555"/>
      <c r="B9555">
        <v>20</v>
      </c>
      <c r="C9555" s="43">
        <f>INDEX(DarlObj,20)</f>
      </c>
      <c r="D9555">
        <v>432</v>
      </c>
      <c r="E9555" s="51">
        <f>IF(INDEX(DarlBelegt,20)=0,0,EOMONTH(INDEX(DarlAuszahlung,20),431)+1)</f>
      </c>
      <c r="F9555" s="43">
        <f>IF($E9555=0,0,YEAR($E9555))</f>
      </c>
      <c r="G9555" s="43">
        <f>IF(INDEX(DarlBindung,20)="",1,IF($E9555&lt;=INDEX(DarlBindung,20),1,0))</f>
      </c>
      <c r="H9555" s="43">
        <f>IF($G9555=1,INDEX(DarlSollzins,20),INDEX(DarlAnschluss,20))</f>
      </c>
      <c r="I9555" s="43">
        <f>IF(INDEX(DarlBelegt,20)=0,0,IF(INDEX(DarlOhneTilgung,20)=1,IF(INDEX(DarlBindung,20)="",1,$G9555),IF($J9555&gt;0.005,1,0)))</f>
      </c>
      <c r="J9555" s="43">
        <f>IF($I9554=0,0,$R9554)</f>
      </c>
      <c r="K9555" s="43">
        <f>IF($I9555=0,0,IF(INDEX(DarlOhneTilgung,20)=1,0,IF(AND(INDEX(DarlTilgStart,20)&gt;0,$E9555=INDEX(DarlTilgStart,20)),$J9555*($H9555+INDEX(DarlTilgung,20))/100/12,IF(AND($G9555=0,$G9554=1),MAX($K9554,$J9555*($H9555+1)/100/12),$K9554))))</f>
      </c>
      <c r="L9555" s="43">
        <f>IF($I9555=0,0,$J9555*$H9555/100/12)</f>
      </c>
      <c r="M9555" s="43">
        <f>IF($I9555=0,0,IF(OR(INDEX(DarlOhneTilgung,20)=1,AND(INDEX(DarlTilgStart,20)&gt;0,$E9555&lt;INDEX(DarlTilgStart,20))),0,MIN(MAX(0,$K9555-$L9555),$J9555)))</f>
      </c>
      <c r="N9555" s="43">
        <f>IF($I9555=0,0,MIN(SUMIFS(SondBetrag,SondDarl,20,SondDatum,"&gt;="&amp;$E9555,SondDatum,"&lt;="&amp;EOMONTH($E9555,0)),$J9555-$M9555))</f>
      </c>
      <c r="O9555" s="43">
        <f>IF($I9555=0,0,INDEX(DarlErsatzRate,20))</f>
      </c>
      <c r="P9555" s="43">
        <f>IF($I9555=0,0,$Q9554*INDEX(DarlErsatzZins,20))</f>
      </c>
      <c r="Q9555" s="43">
        <f>IF($I9555=0,0,$Q9554+$P9555+$O9555)</f>
      </c>
      <c r="R9555" s="43">
        <f>IF($I9555=0,0,$J9555-$M9555-$N9555)</f>
      </c>
    </row>
    <row r="9556">
      <c r="A9556"/>
      <c r="B9556">
        <v>20</v>
      </c>
      <c r="C9556" s="43">
        <f>INDEX(DarlObj,20)</f>
      </c>
      <c r="D9556">
        <v>433</v>
      </c>
      <c r="E9556" s="51">
        <f>IF(INDEX(DarlBelegt,20)=0,0,EOMONTH(INDEX(DarlAuszahlung,20),432)+1)</f>
      </c>
      <c r="F9556" s="43">
        <f>IF($E9556=0,0,YEAR($E9556))</f>
      </c>
      <c r="G9556" s="43">
        <f>IF(INDEX(DarlBindung,20)="",1,IF($E9556&lt;=INDEX(DarlBindung,20),1,0))</f>
      </c>
      <c r="H9556" s="43">
        <f>IF($G9556=1,INDEX(DarlSollzins,20),INDEX(DarlAnschluss,20))</f>
      </c>
      <c r="I9556" s="43">
        <f>IF(INDEX(DarlBelegt,20)=0,0,IF(INDEX(DarlOhneTilgung,20)=1,IF(INDEX(DarlBindung,20)="",1,$G9556),IF($J9556&gt;0.005,1,0)))</f>
      </c>
      <c r="J9556" s="43">
        <f>IF($I9555=0,0,$R9555)</f>
      </c>
      <c r="K9556" s="43">
        <f>IF($I9556=0,0,IF(INDEX(DarlOhneTilgung,20)=1,0,IF(AND(INDEX(DarlTilgStart,20)&gt;0,$E9556=INDEX(DarlTilgStart,20)),$J9556*($H9556+INDEX(DarlTilgung,20))/100/12,IF(AND($G9556=0,$G9555=1),MAX($K9555,$J9556*($H9556+1)/100/12),$K9555))))</f>
      </c>
      <c r="L9556" s="43">
        <f>IF($I9556=0,0,$J9556*$H9556/100/12)</f>
      </c>
      <c r="M9556" s="43">
        <f>IF($I9556=0,0,IF(OR(INDEX(DarlOhneTilgung,20)=1,AND(INDEX(DarlTilgStart,20)&gt;0,$E9556&lt;INDEX(DarlTilgStart,20))),0,MIN(MAX(0,$K9556-$L9556),$J9556)))</f>
      </c>
      <c r="N9556" s="43">
        <f>IF($I9556=0,0,MIN(SUMIFS(SondBetrag,SondDarl,20,SondDatum,"&gt;="&amp;$E9556,SondDatum,"&lt;="&amp;EOMONTH($E9556,0)),$J9556-$M9556))</f>
      </c>
      <c r="O9556" s="43">
        <f>IF($I9556=0,0,INDEX(DarlErsatzRate,20))</f>
      </c>
      <c r="P9556" s="43">
        <f>IF($I9556=0,0,$Q9555*INDEX(DarlErsatzZins,20))</f>
      </c>
      <c r="Q9556" s="43">
        <f>IF($I9556=0,0,$Q9555+$P9556+$O9556)</f>
      </c>
      <c r="R9556" s="43">
        <f>IF($I9556=0,0,$J9556-$M9556-$N9556)</f>
      </c>
    </row>
    <row r="9557">
      <c r="A9557"/>
      <c r="B9557">
        <v>20</v>
      </c>
      <c r="C9557" s="43">
        <f>INDEX(DarlObj,20)</f>
      </c>
      <c r="D9557">
        <v>434</v>
      </c>
      <c r="E9557" s="51">
        <f>IF(INDEX(DarlBelegt,20)=0,0,EOMONTH(INDEX(DarlAuszahlung,20),433)+1)</f>
      </c>
      <c r="F9557" s="43">
        <f>IF($E9557=0,0,YEAR($E9557))</f>
      </c>
      <c r="G9557" s="43">
        <f>IF(INDEX(DarlBindung,20)="",1,IF($E9557&lt;=INDEX(DarlBindung,20),1,0))</f>
      </c>
      <c r="H9557" s="43">
        <f>IF($G9557=1,INDEX(DarlSollzins,20),INDEX(DarlAnschluss,20))</f>
      </c>
      <c r="I9557" s="43">
        <f>IF(INDEX(DarlBelegt,20)=0,0,IF(INDEX(DarlOhneTilgung,20)=1,IF(INDEX(DarlBindung,20)="",1,$G9557),IF($J9557&gt;0.005,1,0)))</f>
      </c>
      <c r="J9557" s="43">
        <f>IF($I9556=0,0,$R9556)</f>
      </c>
      <c r="K9557" s="43">
        <f>IF($I9557=0,0,IF(INDEX(DarlOhneTilgung,20)=1,0,IF(AND(INDEX(DarlTilgStart,20)&gt;0,$E9557=INDEX(DarlTilgStart,20)),$J9557*($H9557+INDEX(DarlTilgung,20))/100/12,IF(AND($G9557=0,$G9556=1),MAX($K9556,$J9557*($H9557+1)/100/12),$K9556))))</f>
      </c>
      <c r="L9557" s="43">
        <f>IF($I9557=0,0,$J9557*$H9557/100/12)</f>
      </c>
      <c r="M9557" s="43">
        <f>IF($I9557=0,0,IF(OR(INDEX(DarlOhneTilgung,20)=1,AND(INDEX(DarlTilgStart,20)&gt;0,$E9557&lt;INDEX(DarlTilgStart,20))),0,MIN(MAX(0,$K9557-$L9557),$J9557)))</f>
      </c>
      <c r="N9557" s="43">
        <f>IF($I9557=0,0,MIN(SUMIFS(SondBetrag,SondDarl,20,SondDatum,"&gt;="&amp;$E9557,SondDatum,"&lt;="&amp;EOMONTH($E9557,0)),$J9557-$M9557))</f>
      </c>
      <c r="O9557" s="43">
        <f>IF($I9557=0,0,INDEX(DarlErsatzRate,20))</f>
      </c>
      <c r="P9557" s="43">
        <f>IF($I9557=0,0,$Q9556*INDEX(DarlErsatzZins,20))</f>
      </c>
      <c r="Q9557" s="43">
        <f>IF($I9557=0,0,$Q9556+$P9557+$O9557)</f>
      </c>
      <c r="R9557" s="43">
        <f>IF($I9557=0,0,$J9557-$M9557-$N9557)</f>
      </c>
    </row>
    <row r="9558">
      <c r="A9558"/>
      <c r="B9558">
        <v>20</v>
      </c>
      <c r="C9558" s="43">
        <f>INDEX(DarlObj,20)</f>
      </c>
      <c r="D9558">
        <v>435</v>
      </c>
      <c r="E9558" s="51">
        <f>IF(INDEX(DarlBelegt,20)=0,0,EOMONTH(INDEX(DarlAuszahlung,20),434)+1)</f>
      </c>
      <c r="F9558" s="43">
        <f>IF($E9558=0,0,YEAR($E9558))</f>
      </c>
      <c r="G9558" s="43">
        <f>IF(INDEX(DarlBindung,20)="",1,IF($E9558&lt;=INDEX(DarlBindung,20),1,0))</f>
      </c>
      <c r="H9558" s="43">
        <f>IF($G9558=1,INDEX(DarlSollzins,20),INDEX(DarlAnschluss,20))</f>
      </c>
      <c r="I9558" s="43">
        <f>IF(INDEX(DarlBelegt,20)=0,0,IF(INDEX(DarlOhneTilgung,20)=1,IF(INDEX(DarlBindung,20)="",1,$G9558),IF($J9558&gt;0.005,1,0)))</f>
      </c>
      <c r="J9558" s="43">
        <f>IF($I9557=0,0,$R9557)</f>
      </c>
      <c r="K9558" s="43">
        <f>IF($I9558=0,0,IF(INDEX(DarlOhneTilgung,20)=1,0,IF(AND(INDEX(DarlTilgStart,20)&gt;0,$E9558=INDEX(DarlTilgStart,20)),$J9558*($H9558+INDEX(DarlTilgung,20))/100/12,IF(AND($G9558=0,$G9557=1),MAX($K9557,$J9558*($H9558+1)/100/12),$K9557))))</f>
      </c>
      <c r="L9558" s="43">
        <f>IF($I9558=0,0,$J9558*$H9558/100/12)</f>
      </c>
      <c r="M9558" s="43">
        <f>IF($I9558=0,0,IF(OR(INDEX(DarlOhneTilgung,20)=1,AND(INDEX(DarlTilgStart,20)&gt;0,$E9558&lt;INDEX(DarlTilgStart,20))),0,MIN(MAX(0,$K9558-$L9558),$J9558)))</f>
      </c>
      <c r="N9558" s="43">
        <f>IF($I9558=0,0,MIN(SUMIFS(SondBetrag,SondDarl,20,SondDatum,"&gt;="&amp;$E9558,SondDatum,"&lt;="&amp;EOMONTH($E9558,0)),$J9558-$M9558))</f>
      </c>
      <c r="O9558" s="43">
        <f>IF($I9558=0,0,INDEX(DarlErsatzRate,20))</f>
      </c>
      <c r="P9558" s="43">
        <f>IF($I9558=0,0,$Q9557*INDEX(DarlErsatzZins,20))</f>
      </c>
      <c r="Q9558" s="43">
        <f>IF($I9558=0,0,$Q9557+$P9558+$O9558)</f>
      </c>
      <c r="R9558" s="43">
        <f>IF($I9558=0,0,$J9558-$M9558-$N9558)</f>
      </c>
    </row>
    <row r="9559">
      <c r="A9559"/>
      <c r="B9559">
        <v>20</v>
      </c>
      <c r="C9559" s="43">
        <f>INDEX(DarlObj,20)</f>
      </c>
      <c r="D9559">
        <v>436</v>
      </c>
      <c r="E9559" s="51">
        <f>IF(INDEX(DarlBelegt,20)=0,0,EOMONTH(INDEX(DarlAuszahlung,20),435)+1)</f>
      </c>
      <c r="F9559" s="43">
        <f>IF($E9559=0,0,YEAR($E9559))</f>
      </c>
      <c r="G9559" s="43">
        <f>IF(INDEX(DarlBindung,20)="",1,IF($E9559&lt;=INDEX(DarlBindung,20),1,0))</f>
      </c>
      <c r="H9559" s="43">
        <f>IF($G9559=1,INDEX(DarlSollzins,20),INDEX(DarlAnschluss,20))</f>
      </c>
      <c r="I9559" s="43">
        <f>IF(INDEX(DarlBelegt,20)=0,0,IF(INDEX(DarlOhneTilgung,20)=1,IF(INDEX(DarlBindung,20)="",1,$G9559),IF($J9559&gt;0.005,1,0)))</f>
      </c>
      <c r="J9559" s="43">
        <f>IF($I9558=0,0,$R9558)</f>
      </c>
      <c r="K9559" s="43">
        <f>IF($I9559=0,0,IF(INDEX(DarlOhneTilgung,20)=1,0,IF(AND(INDEX(DarlTilgStart,20)&gt;0,$E9559=INDEX(DarlTilgStart,20)),$J9559*($H9559+INDEX(DarlTilgung,20))/100/12,IF(AND($G9559=0,$G9558=1),MAX($K9558,$J9559*($H9559+1)/100/12),$K9558))))</f>
      </c>
      <c r="L9559" s="43">
        <f>IF($I9559=0,0,$J9559*$H9559/100/12)</f>
      </c>
      <c r="M9559" s="43">
        <f>IF($I9559=0,0,IF(OR(INDEX(DarlOhneTilgung,20)=1,AND(INDEX(DarlTilgStart,20)&gt;0,$E9559&lt;INDEX(DarlTilgStart,20))),0,MIN(MAX(0,$K9559-$L9559),$J9559)))</f>
      </c>
      <c r="N9559" s="43">
        <f>IF($I9559=0,0,MIN(SUMIFS(SondBetrag,SondDarl,20,SondDatum,"&gt;="&amp;$E9559,SondDatum,"&lt;="&amp;EOMONTH($E9559,0)),$J9559-$M9559))</f>
      </c>
      <c r="O9559" s="43">
        <f>IF($I9559=0,0,INDEX(DarlErsatzRate,20))</f>
      </c>
      <c r="P9559" s="43">
        <f>IF($I9559=0,0,$Q9558*INDEX(DarlErsatzZins,20))</f>
      </c>
      <c r="Q9559" s="43">
        <f>IF($I9559=0,0,$Q9558+$P9559+$O9559)</f>
      </c>
      <c r="R9559" s="43">
        <f>IF($I9559=0,0,$J9559-$M9559-$N9559)</f>
      </c>
    </row>
    <row r="9560">
      <c r="A9560"/>
      <c r="B9560">
        <v>20</v>
      </c>
      <c r="C9560" s="43">
        <f>INDEX(DarlObj,20)</f>
      </c>
      <c r="D9560">
        <v>437</v>
      </c>
      <c r="E9560" s="51">
        <f>IF(INDEX(DarlBelegt,20)=0,0,EOMONTH(INDEX(DarlAuszahlung,20),436)+1)</f>
      </c>
      <c r="F9560" s="43">
        <f>IF($E9560=0,0,YEAR($E9560))</f>
      </c>
      <c r="G9560" s="43">
        <f>IF(INDEX(DarlBindung,20)="",1,IF($E9560&lt;=INDEX(DarlBindung,20),1,0))</f>
      </c>
      <c r="H9560" s="43">
        <f>IF($G9560=1,INDEX(DarlSollzins,20),INDEX(DarlAnschluss,20))</f>
      </c>
      <c r="I9560" s="43">
        <f>IF(INDEX(DarlBelegt,20)=0,0,IF(INDEX(DarlOhneTilgung,20)=1,IF(INDEX(DarlBindung,20)="",1,$G9560),IF($J9560&gt;0.005,1,0)))</f>
      </c>
      <c r="J9560" s="43">
        <f>IF($I9559=0,0,$R9559)</f>
      </c>
      <c r="K9560" s="43">
        <f>IF($I9560=0,0,IF(INDEX(DarlOhneTilgung,20)=1,0,IF(AND(INDEX(DarlTilgStart,20)&gt;0,$E9560=INDEX(DarlTilgStart,20)),$J9560*($H9560+INDEX(DarlTilgung,20))/100/12,IF(AND($G9560=0,$G9559=1),MAX($K9559,$J9560*($H9560+1)/100/12),$K9559))))</f>
      </c>
      <c r="L9560" s="43">
        <f>IF($I9560=0,0,$J9560*$H9560/100/12)</f>
      </c>
      <c r="M9560" s="43">
        <f>IF($I9560=0,0,IF(OR(INDEX(DarlOhneTilgung,20)=1,AND(INDEX(DarlTilgStart,20)&gt;0,$E9560&lt;INDEX(DarlTilgStart,20))),0,MIN(MAX(0,$K9560-$L9560),$J9560)))</f>
      </c>
      <c r="N9560" s="43">
        <f>IF($I9560=0,0,MIN(SUMIFS(SondBetrag,SondDarl,20,SondDatum,"&gt;="&amp;$E9560,SondDatum,"&lt;="&amp;EOMONTH($E9560,0)),$J9560-$M9560))</f>
      </c>
      <c r="O9560" s="43">
        <f>IF($I9560=0,0,INDEX(DarlErsatzRate,20))</f>
      </c>
      <c r="P9560" s="43">
        <f>IF($I9560=0,0,$Q9559*INDEX(DarlErsatzZins,20))</f>
      </c>
      <c r="Q9560" s="43">
        <f>IF($I9560=0,0,$Q9559+$P9560+$O9560)</f>
      </c>
      <c r="R9560" s="43">
        <f>IF($I9560=0,0,$J9560-$M9560-$N9560)</f>
      </c>
    </row>
    <row r="9561">
      <c r="A9561"/>
      <c r="B9561">
        <v>20</v>
      </c>
      <c r="C9561" s="43">
        <f>INDEX(DarlObj,20)</f>
      </c>
      <c r="D9561">
        <v>438</v>
      </c>
      <c r="E9561" s="51">
        <f>IF(INDEX(DarlBelegt,20)=0,0,EOMONTH(INDEX(DarlAuszahlung,20),437)+1)</f>
      </c>
      <c r="F9561" s="43">
        <f>IF($E9561=0,0,YEAR($E9561))</f>
      </c>
      <c r="G9561" s="43">
        <f>IF(INDEX(DarlBindung,20)="",1,IF($E9561&lt;=INDEX(DarlBindung,20),1,0))</f>
      </c>
      <c r="H9561" s="43">
        <f>IF($G9561=1,INDEX(DarlSollzins,20),INDEX(DarlAnschluss,20))</f>
      </c>
      <c r="I9561" s="43">
        <f>IF(INDEX(DarlBelegt,20)=0,0,IF(INDEX(DarlOhneTilgung,20)=1,IF(INDEX(DarlBindung,20)="",1,$G9561),IF($J9561&gt;0.005,1,0)))</f>
      </c>
      <c r="J9561" s="43">
        <f>IF($I9560=0,0,$R9560)</f>
      </c>
      <c r="K9561" s="43">
        <f>IF($I9561=0,0,IF(INDEX(DarlOhneTilgung,20)=1,0,IF(AND(INDEX(DarlTilgStart,20)&gt;0,$E9561=INDEX(DarlTilgStart,20)),$J9561*($H9561+INDEX(DarlTilgung,20))/100/12,IF(AND($G9561=0,$G9560=1),MAX($K9560,$J9561*($H9561+1)/100/12),$K9560))))</f>
      </c>
      <c r="L9561" s="43">
        <f>IF($I9561=0,0,$J9561*$H9561/100/12)</f>
      </c>
      <c r="M9561" s="43">
        <f>IF($I9561=0,0,IF(OR(INDEX(DarlOhneTilgung,20)=1,AND(INDEX(DarlTilgStart,20)&gt;0,$E9561&lt;INDEX(DarlTilgStart,20))),0,MIN(MAX(0,$K9561-$L9561),$J9561)))</f>
      </c>
      <c r="N9561" s="43">
        <f>IF($I9561=0,0,MIN(SUMIFS(SondBetrag,SondDarl,20,SondDatum,"&gt;="&amp;$E9561,SondDatum,"&lt;="&amp;EOMONTH($E9561,0)),$J9561-$M9561))</f>
      </c>
      <c r="O9561" s="43">
        <f>IF($I9561=0,0,INDEX(DarlErsatzRate,20))</f>
      </c>
      <c r="P9561" s="43">
        <f>IF($I9561=0,0,$Q9560*INDEX(DarlErsatzZins,20))</f>
      </c>
      <c r="Q9561" s="43">
        <f>IF($I9561=0,0,$Q9560+$P9561+$O9561)</f>
      </c>
      <c r="R9561" s="43">
        <f>IF($I9561=0,0,$J9561-$M9561-$N9561)</f>
      </c>
    </row>
    <row r="9562">
      <c r="A9562"/>
      <c r="B9562">
        <v>20</v>
      </c>
      <c r="C9562" s="43">
        <f>INDEX(DarlObj,20)</f>
      </c>
      <c r="D9562">
        <v>439</v>
      </c>
      <c r="E9562" s="51">
        <f>IF(INDEX(DarlBelegt,20)=0,0,EOMONTH(INDEX(DarlAuszahlung,20),438)+1)</f>
      </c>
      <c r="F9562" s="43">
        <f>IF($E9562=0,0,YEAR($E9562))</f>
      </c>
      <c r="G9562" s="43">
        <f>IF(INDEX(DarlBindung,20)="",1,IF($E9562&lt;=INDEX(DarlBindung,20),1,0))</f>
      </c>
      <c r="H9562" s="43">
        <f>IF($G9562=1,INDEX(DarlSollzins,20),INDEX(DarlAnschluss,20))</f>
      </c>
      <c r="I9562" s="43">
        <f>IF(INDEX(DarlBelegt,20)=0,0,IF(INDEX(DarlOhneTilgung,20)=1,IF(INDEX(DarlBindung,20)="",1,$G9562),IF($J9562&gt;0.005,1,0)))</f>
      </c>
      <c r="J9562" s="43">
        <f>IF($I9561=0,0,$R9561)</f>
      </c>
      <c r="K9562" s="43">
        <f>IF($I9562=0,0,IF(INDEX(DarlOhneTilgung,20)=1,0,IF(AND(INDEX(DarlTilgStart,20)&gt;0,$E9562=INDEX(DarlTilgStart,20)),$J9562*($H9562+INDEX(DarlTilgung,20))/100/12,IF(AND($G9562=0,$G9561=1),MAX($K9561,$J9562*($H9562+1)/100/12),$K9561))))</f>
      </c>
      <c r="L9562" s="43">
        <f>IF($I9562=0,0,$J9562*$H9562/100/12)</f>
      </c>
      <c r="M9562" s="43">
        <f>IF($I9562=0,0,IF(OR(INDEX(DarlOhneTilgung,20)=1,AND(INDEX(DarlTilgStart,20)&gt;0,$E9562&lt;INDEX(DarlTilgStart,20))),0,MIN(MAX(0,$K9562-$L9562),$J9562)))</f>
      </c>
      <c r="N9562" s="43">
        <f>IF($I9562=0,0,MIN(SUMIFS(SondBetrag,SondDarl,20,SondDatum,"&gt;="&amp;$E9562,SondDatum,"&lt;="&amp;EOMONTH($E9562,0)),$J9562-$M9562))</f>
      </c>
      <c r="O9562" s="43">
        <f>IF($I9562=0,0,INDEX(DarlErsatzRate,20))</f>
      </c>
      <c r="P9562" s="43">
        <f>IF($I9562=0,0,$Q9561*INDEX(DarlErsatzZins,20))</f>
      </c>
      <c r="Q9562" s="43">
        <f>IF($I9562=0,0,$Q9561+$P9562+$O9562)</f>
      </c>
      <c r="R9562" s="43">
        <f>IF($I9562=0,0,$J9562-$M9562-$N9562)</f>
      </c>
    </row>
    <row r="9563">
      <c r="A9563"/>
      <c r="B9563">
        <v>20</v>
      </c>
      <c r="C9563" s="43">
        <f>INDEX(DarlObj,20)</f>
      </c>
      <c r="D9563">
        <v>440</v>
      </c>
      <c r="E9563" s="51">
        <f>IF(INDEX(DarlBelegt,20)=0,0,EOMONTH(INDEX(DarlAuszahlung,20),439)+1)</f>
      </c>
      <c r="F9563" s="43">
        <f>IF($E9563=0,0,YEAR($E9563))</f>
      </c>
      <c r="G9563" s="43">
        <f>IF(INDEX(DarlBindung,20)="",1,IF($E9563&lt;=INDEX(DarlBindung,20),1,0))</f>
      </c>
      <c r="H9563" s="43">
        <f>IF($G9563=1,INDEX(DarlSollzins,20),INDEX(DarlAnschluss,20))</f>
      </c>
      <c r="I9563" s="43">
        <f>IF(INDEX(DarlBelegt,20)=0,0,IF(INDEX(DarlOhneTilgung,20)=1,IF(INDEX(DarlBindung,20)="",1,$G9563),IF($J9563&gt;0.005,1,0)))</f>
      </c>
      <c r="J9563" s="43">
        <f>IF($I9562=0,0,$R9562)</f>
      </c>
      <c r="K9563" s="43">
        <f>IF($I9563=0,0,IF(INDEX(DarlOhneTilgung,20)=1,0,IF(AND(INDEX(DarlTilgStart,20)&gt;0,$E9563=INDEX(DarlTilgStart,20)),$J9563*($H9563+INDEX(DarlTilgung,20))/100/12,IF(AND($G9563=0,$G9562=1),MAX($K9562,$J9563*($H9563+1)/100/12),$K9562))))</f>
      </c>
      <c r="L9563" s="43">
        <f>IF($I9563=0,0,$J9563*$H9563/100/12)</f>
      </c>
      <c r="M9563" s="43">
        <f>IF($I9563=0,0,IF(OR(INDEX(DarlOhneTilgung,20)=1,AND(INDEX(DarlTilgStart,20)&gt;0,$E9563&lt;INDEX(DarlTilgStart,20))),0,MIN(MAX(0,$K9563-$L9563),$J9563)))</f>
      </c>
      <c r="N9563" s="43">
        <f>IF($I9563=0,0,MIN(SUMIFS(SondBetrag,SondDarl,20,SondDatum,"&gt;="&amp;$E9563,SondDatum,"&lt;="&amp;EOMONTH($E9563,0)),$J9563-$M9563))</f>
      </c>
      <c r="O9563" s="43">
        <f>IF($I9563=0,0,INDEX(DarlErsatzRate,20))</f>
      </c>
      <c r="P9563" s="43">
        <f>IF($I9563=0,0,$Q9562*INDEX(DarlErsatzZins,20))</f>
      </c>
      <c r="Q9563" s="43">
        <f>IF($I9563=0,0,$Q9562+$P9563+$O9563)</f>
      </c>
      <c r="R9563" s="43">
        <f>IF($I9563=0,0,$J9563-$M9563-$N9563)</f>
      </c>
    </row>
    <row r="9564">
      <c r="A9564"/>
      <c r="B9564">
        <v>20</v>
      </c>
      <c r="C9564" s="43">
        <f>INDEX(DarlObj,20)</f>
      </c>
      <c r="D9564">
        <v>441</v>
      </c>
      <c r="E9564" s="51">
        <f>IF(INDEX(DarlBelegt,20)=0,0,EOMONTH(INDEX(DarlAuszahlung,20),440)+1)</f>
      </c>
      <c r="F9564" s="43">
        <f>IF($E9564=0,0,YEAR($E9564))</f>
      </c>
      <c r="G9564" s="43">
        <f>IF(INDEX(DarlBindung,20)="",1,IF($E9564&lt;=INDEX(DarlBindung,20),1,0))</f>
      </c>
      <c r="H9564" s="43">
        <f>IF($G9564=1,INDEX(DarlSollzins,20),INDEX(DarlAnschluss,20))</f>
      </c>
      <c r="I9564" s="43">
        <f>IF(INDEX(DarlBelegt,20)=0,0,IF(INDEX(DarlOhneTilgung,20)=1,IF(INDEX(DarlBindung,20)="",1,$G9564),IF($J9564&gt;0.005,1,0)))</f>
      </c>
      <c r="J9564" s="43">
        <f>IF($I9563=0,0,$R9563)</f>
      </c>
      <c r="K9564" s="43">
        <f>IF($I9564=0,0,IF(INDEX(DarlOhneTilgung,20)=1,0,IF(AND(INDEX(DarlTilgStart,20)&gt;0,$E9564=INDEX(DarlTilgStart,20)),$J9564*($H9564+INDEX(DarlTilgung,20))/100/12,IF(AND($G9564=0,$G9563=1),MAX($K9563,$J9564*($H9564+1)/100/12),$K9563))))</f>
      </c>
      <c r="L9564" s="43">
        <f>IF($I9564=0,0,$J9564*$H9564/100/12)</f>
      </c>
      <c r="M9564" s="43">
        <f>IF($I9564=0,0,IF(OR(INDEX(DarlOhneTilgung,20)=1,AND(INDEX(DarlTilgStart,20)&gt;0,$E9564&lt;INDEX(DarlTilgStart,20))),0,MIN(MAX(0,$K9564-$L9564),$J9564)))</f>
      </c>
      <c r="N9564" s="43">
        <f>IF($I9564=0,0,MIN(SUMIFS(SondBetrag,SondDarl,20,SondDatum,"&gt;="&amp;$E9564,SondDatum,"&lt;="&amp;EOMONTH($E9564,0)),$J9564-$M9564))</f>
      </c>
      <c r="O9564" s="43">
        <f>IF($I9564=0,0,INDEX(DarlErsatzRate,20))</f>
      </c>
      <c r="P9564" s="43">
        <f>IF($I9564=0,0,$Q9563*INDEX(DarlErsatzZins,20))</f>
      </c>
      <c r="Q9564" s="43">
        <f>IF($I9564=0,0,$Q9563+$P9564+$O9564)</f>
      </c>
      <c r="R9564" s="43">
        <f>IF($I9564=0,0,$J9564-$M9564-$N9564)</f>
      </c>
    </row>
    <row r="9565">
      <c r="A9565"/>
      <c r="B9565">
        <v>20</v>
      </c>
      <c r="C9565" s="43">
        <f>INDEX(DarlObj,20)</f>
      </c>
      <c r="D9565">
        <v>442</v>
      </c>
      <c r="E9565" s="51">
        <f>IF(INDEX(DarlBelegt,20)=0,0,EOMONTH(INDEX(DarlAuszahlung,20),441)+1)</f>
      </c>
      <c r="F9565" s="43">
        <f>IF($E9565=0,0,YEAR($E9565))</f>
      </c>
      <c r="G9565" s="43">
        <f>IF(INDEX(DarlBindung,20)="",1,IF($E9565&lt;=INDEX(DarlBindung,20),1,0))</f>
      </c>
      <c r="H9565" s="43">
        <f>IF($G9565=1,INDEX(DarlSollzins,20),INDEX(DarlAnschluss,20))</f>
      </c>
      <c r="I9565" s="43">
        <f>IF(INDEX(DarlBelegt,20)=0,0,IF(INDEX(DarlOhneTilgung,20)=1,IF(INDEX(DarlBindung,20)="",1,$G9565),IF($J9565&gt;0.005,1,0)))</f>
      </c>
      <c r="J9565" s="43">
        <f>IF($I9564=0,0,$R9564)</f>
      </c>
      <c r="K9565" s="43">
        <f>IF($I9565=0,0,IF(INDEX(DarlOhneTilgung,20)=1,0,IF(AND(INDEX(DarlTilgStart,20)&gt;0,$E9565=INDEX(DarlTilgStart,20)),$J9565*($H9565+INDEX(DarlTilgung,20))/100/12,IF(AND($G9565=0,$G9564=1),MAX($K9564,$J9565*($H9565+1)/100/12),$K9564))))</f>
      </c>
      <c r="L9565" s="43">
        <f>IF($I9565=0,0,$J9565*$H9565/100/12)</f>
      </c>
      <c r="M9565" s="43">
        <f>IF($I9565=0,0,IF(OR(INDEX(DarlOhneTilgung,20)=1,AND(INDEX(DarlTilgStart,20)&gt;0,$E9565&lt;INDEX(DarlTilgStart,20))),0,MIN(MAX(0,$K9565-$L9565),$J9565)))</f>
      </c>
      <c r="N9565" s="43">
        <f>IF($I9565=0,0,MIN(SUMIFS(SondBetrag,SondDarl,20,SondDatum,"&gt;="&amp;$E9565,SondDatum,"&lt;="&amp;EOMONTH($E9565,0)),$J9565-$M9565))</f>
      </c>
      <c r="O9565" s="43">
        <f>IF($I9565=0,0,INDEX(DarlErsatzRate,20))</f>
      </c>
      <c r="P9565" s="43">
        <f>IF($I9565=0,0,$Q9564*INDEX(DarlErsatzZins,20))</f>
      </c>
      <c r="Q9565" s="43">
        <f>IF($I9565=0,0,$Q9564+$P9565+$O9565)</f>
      </c>
      <c r="R9565" s="43">
        <f>IF($I9565=0,0,$J9565-$M9565-$N9565)</f>
      </c>
    </row>
    <row r="9566">
      <c r="A9566"/>
      <c r="B9566">
        <v>20</v>
      </c>
      <c r="C9566" s="43">
        <f>INDEX(DarlObj,20)</f>
      </c>
      <c r="D9566">
        <v>443</v>
      </c>
      <c r="E9566" s="51">
        <f>IF(INDEX(DarlBelegt,20)=0,0,EOMONTH(INDEX(DarlAuszahlung,20),442)+1)</f>
      </c>
      <c r="F9566" s="43">
        <f>IF($E9566=0,0,YEAR($E9566))</f>
      </c>
      <c r="G9566" s="43">
        <f>IF(INDEX(DarlBindung,20)="",1,IF($E9566&lt;=INDEX(DarlBindung,20),1,0))</f>
      </c>
      <c r="H9566" s="43">
        <f>IF($G9566=1,INDEX(DarlSollzins,20),INDEX(DarlAnschluss,20))</f>
      </c>
      <c r="I9566" s="43">
        <f>IF(INDEX(DarlBelegt,20)=0,0,IF(INDEX(DarlOhneTilgung,20)=1,IF(INDEX(DarlBindung,20)="",1,$G9566),IF($J9566&gt;0.005,1,0)))</f>
      </c>
      <c r="J9566" s="43">
        <f>IF($I9565=0,0,$R9565)</f>
      </c>
      <c r="K9566" s="43">
        <f>IF($I9566=0,0,IF(INDEX(DarlOhneTilgung,20)=1,0,IF(AND(INDEX(DarlTilgStart,20)&gt;0,$E9566=INDEX(DarlTilgStart,20)),$J9566*($H9566+INDEX(DarlTilgung,20))/100/12,IF(AND($G9566=0,$G9565=1),MAX($K9565,$J9566*($H9566+1)/100/12),$K9565))))</f>
      </c>
      <c r="L9566" s="43">
        <f>IF($I9566=0,0,$J9566*$H9566/100/12)</f>
      </c>
      <c r="M9566" s="43">
        <f>IF($I9566=0,0,IF(OR(INDEX(DarlOhneTilgung,20)=1,AND(INDEX(DarlTilgStart,20)&gt;0,$E9566&lt;INDEX(DarlTilgStart,20))),0,MIN(MAX(0,$K9566-$L9566),$J9566)))</f>
      </c>
      <c r="N9566" s="43">
        <f>IF($I9566=0,0,MIN(SUMIFS(SondBetrag,SondDarl,20,SondDatum,"&gt;="&amp;$E9566,SondDatum,"&lt;="&amp;EOMONTH($E9566,0)),$J9566-$M9566))</f>
      </c>
      <c r="O9566" s="43">
        <f>IF($I9566=0,0,INDEX(DarlErsatzRate,20))</f>
      </c>
      <c r="P9566" s="43">
        <f>IF($I9566=0,0,$Q9565*INDEX(DarlErsatzZins,20))</f>
      </c>
      <c r="Q9566" s="43">
        <f>IF($I9566=0,0,$Q9565+$P9566+$O9566)</f>
      </c>
      <c r="R9566" s="43">
        <f>IF($I9566=0,0,$J9566-$M9566-$N9566)</f>
      </c>
    </row>
    <row r="9567">
      <c r="A9567"/>
      <c r="B9567">
        <v>20</v>
      </c>
      <c r="C9567" s="43">
        <f>INDEX(DarlObj,20)</f>
      </c>
      <c r="D9567">
        <v>444</v>
      </c>
      <c r="E9567" s="51">
        <f>IF(INDEX(DarlBelegt,20)=0,0,EOMONTH(INDEX(DarlAuszahlung,20),443)+1)</f>
      </c>
      <c r="F9567" s="43">
        <f>IF($E9567=0,0,YEAR($E9567))</f>
      </c>
      <c r="G9567" s="43">
        <f>IF(INDEX(DarlBindung,20)="",1,IF($E9567&lt;=INDEX(DarlBindung,20),1,0))</f>
      </c>
      <c r="H9567" s="43">
        <f>IF($G9567=1,INDEX(DarlSollzins,20),INDEX(DarlAnschluss,20))</f>
      </c>
      <c r="I9567" s="43">
        <f>IF(INDEX(DarlBelegt,20)=0,0,IF(INDEX(DarlOhneTilgung,20)=1,IF(INDEX(DarlBindung,20)="",1,$G9567),IF($J9567&gt;0.005,1,0)))</f>
      </c>
      <c r="J9567" s="43">
        <f>IF($I9566=0,0,$R9566)</f>
      </c>
      <c r="K9567" s="43">
        <f>IF($I9567=0,0,IF(INDEX(DarlOhneTilgung,20)=1,0,IF(AND(INDEX(DarlTilgStart,20)&gt;0,$E9567=INDEX(DarlTilgStart,20)),$J9567*($H9567+INDEX(DarlTilgung,20))/100/12,IF(AND($G9567=0,$G9566=1),MAX($K9566,$J9567*($H9567+1)/100/12),$K9566))))</f>
      </c>
      <c r="L9567" s="43">
        <f>IF($I9567=0,0,$J9567*$H9567/100/12)</f>
      </c>
      <c r="M9567" s="43">
        <f>IF($I9567=0,0,IF(OR(INDEX(DarlOhneTilgung,20)=1,AND(INDEX(DarlTilgStart,20)&gt;0,$E9567&lt;INDEX(DarlTilgStart,20))),0,MIN(MAX(0,$K9567-$L9567),$J9567)))</f>
      </c>
      <c r="N9567" s="43">
        <f>IF($I9567=0,0,MIN(SUMIFS(SondBetrag,SondDarl,20,SondDatum,"&gt;="&amp;$E9567,SondDatum,"&lt;="&amp;EOMONTH($E9567,0)),$J9567-$M9567))</f>
      </c>
      <c r="O9567" s="43">
        <f>IF($I9567=0,0,INDEX(DarlErsatzRate,20))</f>
      </c>
      <c r="P9567" s="43">
        <f>IF($I9567=0,0,$Q9566*INDEX(DarlErsatzZins,20))</f>
      </c>
      <c r="Q9567" s="43">
        <f>IF($I9567=0,0,$Q9566+$P9567+$O9567)</f>
      </c>
      <c r="R9567" s="43">
        <f>IF($I9567=0,0,$J9567-$M9567-$N9567)</f>
      </c>
    </row>
    <row r="9568">
      <c r="A9568"/>
      <c r="B9568">
        <v>20</v>
      </c>
      <c r="C9568" s="43">
        <f>INDEX(DarlObj,20)</f>
      </c>
      <c r="D9568">
        <v>445</v>
      </c>
      <c r="E9568" s="51">
        <f>IF(INDEX(DarlBelegt,20)=0,0,EOMONTH(INDEX(DarlAuszahlung,20),444)+1)</f>
      </c>
      <c r="F9568" s="43">
        <f>IF($E9568=0,0,YEAR($E9568))</f>
      </c>
      <c r="G9568" s="43">
        <f>IF(INDEX(DarlBindung,20)="",1,IF($E9568&lt;=INDEX(DarlBindung,20),1,0))</f>
      </c>
      <c r="H9568" s="43">
        <f>IF($G9568=1,INDEX(DarlSollzins,20),INDEX(DarlAnschluss,20))</f>
      </c>
      <c r="I9568" s="43">
        <f>IF(INDEX(DarlBelegt,20)=0,0,IF(INDEX(DarlOhneTilgung,20)=1,IF(INDEX(DarlBindung,20)="",1,$G9568),IF($J9568&gt;0.005,1,0)))</f>
      </c>
      <c r="J9568" s="43">
        <f>IF($I9567=0,0,$R9567)</f>
      </c>
      <c r="K9568" s="43">
        <f>IF($I9568=0,0,IF(INDEX(DarlOhneTilgung,20)=1,0,IF(AND(INDEX(DarlTilgStart,20)&gt;0,$E9568=INDEX(DarlTilgStart,20)),$J9568*($H9568+INDEX(DarlTilgung,20))/100/12,IF(AND($G9568=0,$G9567=1),MAX($K9567,$J9568*($H9568+1)/100/12),$K9567))))</f>
      </c>
      <c r="L9568" s="43">
        <f>IF($I9568=0,0,$J9568*$H9568/100/12)</f>
      </c>
      <c r="M9568" s="43">
        <f>IF($I9568=0,0,IF(OR(INDEX(DarlOhneTilgung,20)=1,AND(INDEX(DarlTilgStart,20)&gt;0,$E9568&lt;INDEX(DarlTilgStart,20))),0,MIN(MAX(0,$K9568-$L9568),$J9568)))</f>
      </c>
      <c r="N9568" s="43">
        <f>IF($I9568=0,0,MIN(SUMIFS(SondBetrag,SondDarl,20,SondDatum,"&gt;="&amp;$E9568,SondDatum,"&lt;="&amp;EOMONTH($E9568,0)),$J9568-$M9568))</f>
      </c>
      <c r="O9568" s="43">
        <f>IF($I9568=0,0,INDEX(DarlErsatzRate,20))</f>
      </c>
      <c r="P9568" s="43">
        <f>IF($I9568=0,0,$Q9567*INDEX(DarlErsatzZins,20))</f>
      </c>
      <c r="Q9568" s="43">
        <f>IF($I9568=0,0,$Q9567+$P9568+$O9568)</f>
      </c>
      <c r="R9568" s="43">
        <f>IF($I9568=0,0,$J9568-$M9568-$N9568)</f>
      </c>
    </row>
    <row r="9569">
      <c r="A9569"/>
      <c r="B9569">
        <v>20</v>
      </c>
      <c r="C9569" s="43">
        <f>INDEX(DarlObj,20)</f>
      </c>
      <c r="D9569">
        <v>446</v>
      </c>
      <c r="E9569" s="51">
        <f>IF(INDEX(DarlBelegt,20)=0,0,EOMONTH(INDEX(DarlAuszahlung,20),445)+1)</f>
      </c>
      <c r="F9569" s="43">
        <f>IF($E9569=0,0,YEAR($E9569))</f>
      </c>
      <c r="G9569" s="43">
        <f>IF(INDEX(DarlBindung,20)="",1,IF($E9569&lt;=INDEX(DarlBindung,20),1,0))</f>
      </c>
      <c r="H9569" s="43">
        <f>IF($G9569=1,INDEX(DarlSollzins,20),INDEX(DarlAnschluss,20))</f>
      </c>
      <c r="I9569" s="43">
        <f>IF(INDEX(DarlBelegt,20)=0,0,IF(INDEX(DarlOhneTilgung,20)=1,IF(INDEX(DarlBindung,20)="",1,$G9569),IF($J9569&gt;0.005,1,0)))</f>
      </c>
      <c r="J9569" s="43">
        <f>IF($I9568=0,0,$R9568)</f>
      </c>
      <c r="K9569" s="43">
        <f>IF($I9569=0,0,IF(INDEX(DarlOhneTilgung,20)=1,0,IF(AND(INDEX(DarlTilgStart,20)&gt;0,$E9569=INDEX(DarlTilgStart,20)),$J9569*($H9569+INDEX(DarlTilgung,20))/100/12,IF(AND($G9569=0,$G9568=1),MAX($K9568,$J9569*($H9569+1)/100/12),$K9568))))</f>
      </c>
      <c r="L9569" s="43">
        <f>IF($I9569=0,0,$J9569*$H9569/100/12)</f>
      </c>
      <c r="M9569" s="43">
        <f>IF($I9569=0,0,IF(OR(INDEX(DarlOhneTilgung,20)=1,AND(INDEX(DarlTilgStart,20)&gt;0,$E9569&lt;INDEX(DarlTilgStart,20))),0,MIN(MAX(0,$K9569-$L9569),$J9569)))</f>
      </c>
      <c r="N9569" s="43">
        <f>IF($I9569=0,0,MIN(SUMIFS(SondBetrag,SondDarl,20,SondDatum,"&gt;="&amp;$E9569,SondDatum,"&lt;="&amp;EOMONTH($E9569,0)),$J9569-$M9569))</f>
      </c>
      <c r="O9569" s="43">
        <f>IF($I9569=0,0,INDEX(DarlErsatzRate,20))</f>
      </c>
      <c r="P9569" s="43">
        <f>IF($I9569=0,0,$Q9568*INDEX(DarlErsatzZins,20))</f>
      </c>
      <c r="Q9569" s="43">
        <f>IF($I9569=0,0,$Q9568+$P9569+$O9569)</f>
      </c>
      <c r="R9569" s="43">
        <f>IF($I9569=0,0,$J9569-$M9569-$N9569)</f>
      </c>
    </row>
    <row r="9570">
      <c r="A9570"/>
      <c r="B9570">
        <v>20</v>
      </c>
      <c r="C9570" s="43">
        <f>INDEX(DarlObj,20)</f>
      </c>
      <c r="D9570">
        <v>447</v>
      </c>
      <c r="E9570" s="51">
        <f>IF(INDEX(DarlBelegt,20)=0,0,EOMONTH(INDEX(DarlAuszahlung,20),446)+1)</f>
      </c>
      <c r="F9570" s="43">
        <f>IF($E9570=0,0,YEAR($E9570))</f>
      </c>
      <c r="G9570" s="43">
        <f>IF(INDEX(DarlBindung,20)="",1,IF($E9570&lt;=INDEX(DarlBindung,20),1,0))</f>
      </c>
      <c r="H9570" s="43">
        <f>IF($G9570=1,INDEX(DarlSollzins,20),INDEX(DarlAnschluss,20))</f>
      </c>
      <c r="I9570" s="43">
        <f>IF(INDEX(DarlBelegt,20)=0,0,IF(INDEX(DarlOhneTilgung,20)=1,IF(INDEX(DarlBindung,20)="",1,$G9570),IF($J9570&gt;0.005,1,0)))</f>
      </c>
      <c r="J9570" s="43">
        <f>IF($I9569=0,0,$R9569)</f>
      </c>
      <c r="K9570" s="43">
        <f>IF($I9570=0,0,IF(INDEX(DarlOhneTilgung,20)=1,0,IF(AND(INDEX(DarlTilgStart,20)&gt;0,$E9570=INDEX(DarlTilgStart,20)),$J9570*($H9570+INDEX(DarlTilgung,20))/100/12,IF(AND($G9570=0,$G9569=1),MAX($K9569,$J9570*($H9570+1)/100/12),$K9569))))</f>
      </c>
      <c r="L9570" s="43">
        <f>IF($I9570=0,0,$J9570*$H9570/100/12)</f>
      </c>
      <c r="M9570" s="43">
        <f>IF($I9570=0,0,IF(OR(INDEX(DarlOhneTilgung,20)=1,AND(INDEX(DarlTilgStart,20)&gt;0,$E9570&lt;INDEX(DarlTilgStart,20))),0,MIN(MAX(0,$K9570-$L9570),$J9570)))</f>
      </c>
      <c r="N9570" s="43">
        <f>IF($I9570=0,0,MIN(SUMIFS(SondBetrag,SondDarl,20,SondDatum,"&gt;="&amp;$E9570,SondDatum,"&lt;="&amp;EOMONTH($E9570,0)),$J9570-$M9570))</f>
      </c>
      <c r="O9570" s="43">
        <f>IF($I9570=0,0,INDEX(DarlErsatzRate,20))</f>
      </c>
      <c r="P9570" s="43">
        <f>IF($I9570=0,0,$Q9569*INDEX(DarlErsatzZins,20))</f>
      </c>
      <c r="Q9570" s="43">
        <f>IF($I9570=0,0,$Q9569+$P9570+$O9570)</f>
      </c>
      <c r="R9570" s="43">
        <f>IF($I9570=0,0,$J9570-$M9570-$N9570)</f>
      </c>
    </row>
    <row r="9571">
      <c r="A9571"/>
      <c r="B9571">
        <v>20</v>
      </c>
      <c r="C9571" s="43">
        <f>INDEX(DarlObj,20)</f>
      </c>
      <c r="D9571">
        <v>448</v>
      </c>
      <c r="E9571" s="51">
        <f>IF(INDEX(DarlBelegt,20)=0,0,EOMONTH(INDEX(DarlAuszahlung,20),447)+1)</f>
      </c>
      <c r="F9571" s="43">
        <f>IF($E9571=0,0,YEAR($E9571))</f>
      </c>
      <c r="G9571" s="43">
        <f>IF(INDEX(DarlBindung,20)="",1,IF($E9571&lt;=INDEX(DarlBindung,20),1,0))</f>
      </c>
      <c r="H9571" s="43">
        <f>IF($G9571=1,INDEX(DarlSollzins,20),INDEX(DarlAnschluss,20))</f>
      </c>
      <c r="I9571" s="43">
        <f>IF(INDEX(DarlBelegt,20)=0,0,IF(INDEX(DarlOhneTilgung,20)=1,IF(INDEX(DarlBindung,20)="",1,$G9571),IF($J9571&gt;0.005,1,0)))</f>
      </c>
      <c r="J9571" s="43">
        <f>IF($I9570=0,0,$R9570)</f>
      </c>
      <c r="K9571" s="43">
        <f>IF($I9571=0,0,IF(INDEX(DarlOhneTilgung,20)=1,0,IF(AND(INDEX(DarlTilgStart,20)&gt;0,$E9571=INDEX(DarlTilgStart,20)),$J9571*($H9571+INDEX(DarlTilgung,20))/100/12,IF(AND($G9571=0,$G9570=1),MAX($K9570,$J9571*($H9571+1)/100/12),$K9570))))</f>
      </c>
      <c r="L9571" s="43">
        <f>IF($I9571=0,0,$J9571*$H9571/100/12)</f>
      </c>
      <c r="M9571" s="43">
        <f>IF($I9571=0,0,IF(OR(INDEX(DarlOhneTilgung,20)=1,AND(INDEX(DarlTilgStart,20)&gt;0,$E9571&lt;INDEX(DarlTilgStart,20))),0,MIN(MAX(0,$K9571-$L9571),$J9571)))</f>
      </c>
      <c r="N9571" s="43">
        <f>IF($I9571=0,0,MIN(SUMIFS(SondBetrag,SondDarl,20,SondDatum,"&gt;="&amp;$E9571,SondDatum,"&lt;="&amp;EOMONTH($E9571,0)),$J9571-$M9571))</f>
      </c>
      <c r="O9571" s="43">
        <f>IF($I9571=0,0,INDEX(DarlErsatzRate,20))</f>
      </c>
      <c r="P9571" s="43">
        <f>IF($I9571=0,0,$Q9570*INDEX(DarlErsatzZins,20))</f>
      </c>
      <c r="Q9571" s="43">
        <f>IF($I9571=0,0,$Q9570+$P9571+$O9571)</f>
      </c>
      <c r="R9571" s="43">
        <f>IF($I9571=0,0,$J9571-$M9571-$N9571)</f>
      </c>
    </row>
    <row r="9572">
      <c r="A9572"/>
      <c r="B9572">
        <v>20</v>
      </c>
      <c r="C9572" s="43">
        <f>INDEX(DarlObj,20)</f>
      </c>
      <c r="D9572">
        <v>449</v>
      </c>
      <c r="E9572" s="51">
        <f>IF(INDEX(DarlBelegt,20)=0,0,EOMONTH(INDEX(DarlAuszahlung,20),448)+1)</f>
      </c>
      <c r="F9572" s="43">
        <f>IF($E9572=0,0,YEAR($E9572))</f>
      </c>
      <c r="G9572" s="43">
        <f>IF(INDEX(DarlBindung,20)="",1,IF($E9572&lt;=INDEX(DarlBindung,20),1,0))</f>
      </c>
      <c r="H9572" s="43">
        <f>IF($G9572=1,INDEX(DarlSollzins,20),INDEX(DarlAnschluss,20))</f>
      </c>
      <c r="I9572" s="43">
        <f>IF(INDEX(DarlBelegt,20)=0,0,IF(INDEX(DarlOhneTilgung,20)=1,IF(INDEX(DarlBindung,20)="",1,$G9572),IF($J9572&gt;0.005,1,0)))</f>
      </c>
      <c r="J9572" s="43">
        <f>IF($I9571=0,0,$R9571)</f>
      </c>
      <c r="K9572" s="43">
        <f>IF($I9572=0,0,IF(INDEX(DarlOhneTilgung,20)=1,0,IF(AND(INDEX(DarlTilgStart,20)&gt;0,$E9572=INDEX(DarlTilgStart,20)),$J9572*($H9572+INDEX(DarlTilgung,20))/100/12,IF(AND($G9572=0,$G9571=1),MAX($K9571,$J9572*($H9572+1)/100/12),$K9571))))</f>
      </c>
      <c r="L9572" s="43">
        <f>IF($I9572=0,0,$J9572*$H9572/100/12)</f>
      </c>
      <c r="M9572" s="43">
        <f>IF($I9572=0,0,IF(OR(INDEX(DarlOhneTilgung,20)=1,AND(INDEX(DarlTilgStart,20)&gt;0,$E9572&lt;INDEX(DarlTilgStart,20))),0,MIN(MAX(0,$K9572-$L9572),$J9572)))</f>
      </c>
      <c r="N9572" s="43">
        <f>IF($I9572=0,0,MIN(SUMIFS(SondBetrag,SondDarl,20,SondDatum,"&gt;="&amp;$E9572,SondDatum,"&lt;="&amp;EOMONTH($E9572,0)),$J9572-$M9572))</f>
      </c>
      <c r="O9572" s="43">
        <f>IF($I9572=0,0,INDEX(DarlErsatzRate,20))</f>
      </c>
      <c r="P9572" s="43">
        <f>IF($I9572=0,0,$Q9571*INDEX(DarlErsatzZins,20))</f>
      </c>
      <c r="Q9572" s="43">
        <f>IF($I9572=0,0,$Q9571+$P9572+$O9572)</f>
      </c>
      <c r="R9572" s="43">
        <f>IF($I9572=0,0,$J9572-$M9572-$N9572)</f>
      </c>
    </row>
    <row r="9573">
      <c r="A9573"/>
      <c r="B9573">
        <v>20</v>
      </c>
      <c r="C9573" s="43">
        <f>INDEX(DarlObj,20)</f>
      </c>
      <c r="D9573">
        <v>450</v>
      </c>
      <c r="E9573" s="51">
        <f>IF(INDEX(DarlBelegt,20)=0,0,EOMONTH(INDEX(DarlAuszahlung,20),449)+1)</f>
      </c>
      <c r="F9573" s="43">
        <f>IF($E9573=0,0,YEAR($E9573))</f>
      </c>
      <c r="G9573" s="43">
        <f>IF(INDEX(DarlBindung,20)="",1,IF($E9573&lt;=INDEX(DarlBindung,20),1,0))</f>
      </c>
      <c r="H9573" s="43">
        <f>IF($G9573=1,INDEX(DarlSollzins,20),INDEX(DarlAnschluss,20))</f>
      </c>
      <c r="I9573" s="43">
        <f>IF(INDEX(DarlBelegt,20)=0,0,IF(INDEX(DarlOhneTilgung,20)=1,IF(INDEX(DarlBindung,20)="",1,$G9573),IF($J9573&gt;0.005,1,0)))</f>
      </c>
      <c r="J9573" s="43">
        <f>IF($I9572=0,0,$R9572)</f>
      </c>
      <c r="K9573" s="43">
        <f>IF($I9573=0,0,IF(INDEX(DarlOhneTilgung,20)=1,0,IF(AND(INDEX(DarlTilgStart,20)&gt;0,$E9573=INDEX(DarlTilgStart,20)),$J9573*($H9573+INDEX(DarlTilgung,20))/100/12,IF(AND($G9573=0,$G9572=1),MAX($K9572,$J9573*($H9573+1)/100/12),$K9572))))</f>
      </c>
      <c r="L9573" s="43">
        <f>IF($I9573=0,0,$J9573*$H9573/100/12)</f>
      </c>
      <c r="M9573" s="43">
        <f>IF($I9573=0,0,IF(OR(INDEX(DarlOhneTilgung,20)=1,AND(INDEX(DarlTilgStart,20)&gt;0,$E9573&lt;INDEX(DarlTilgStart,20))),0,MIN(MAX(0,$K9573-$L9573),$J9573)))</f>
      </c>
      <c r="N9573" s="43">
        <f>IF($I9573=0,0,MIN(SUMIFS(SondBetrag,SondDarl,20,SondDatum,"&gt;="&amp;$E9573,SondDatum,"&lt;="&amp;EOMONTH($E9573,0)),$J9573-$M9573))</f>
      </c>
      <c r="O9573" s="43">
        <f>IF($I9573=0,0,INDEX(DarlErsatzRate,20))</f>
      </c>
      <c r="P9573" s="43">
        <f>IF($I9573=0,0,$Q9572*INDEX(DarlErsatzZins,20))</f>
      </c>
      <c r="Q9573" s="43">
        <f>IF($I9573=0,0,$Q9572+$P9573+$O9573)</f>
      </c>
      <c r="R9573" s="43">
        <f>IF($I9573=0,0,$J9573-$M9573-$N9573)</f>
      </c>
    </row>
    <row r="9574">
      <c r="A9574"/>
      <c r="B9574">
        <v>20</v>
      </c>
      <c r="C9574" s="43">
        <f>INDEX(DarlObj,20)</f>
      </c>
      <c r="D9574">
        <v>451</v>
      </c>
      <c r="E9574" s="51">
        <f>IF(INDEX(DarlBelegt,20)=0,0,EOMONTH(INDEX(DarlAuszahlung,20),450)+1)</f>
      </c>
      <c r="F9574" s="43">
        <f>IF($E9574=0,0,YEAR($E9574))</f>
      </c>
      <c r="G9574" s="43">
        <f>IF(INDEX(DarlBindung,20)="",1,IF($E9574&lt;=INDEX(DarlBindung,20),1,0))</f>
      </c>
      <c r="H9574" s="43">
        <f>IF($G9574=1,INDEX(DarlSollzins,20),INDEX(DarlAnschluss,20))</f>
      </c>
      <c r="I9574" s="43">
        <f>IF(INDEX(DarlBelegt,20)=0,0,IF(INDEX(DarlOhneTilgung,20)=1,IF(INDEX(DarlBindung,20)="",1,$G9574),IF($J9574&gt;0.005,1,0)))</f>
      </c>
      <c r="J9574" s="43">
        <f>IF($I9573=0,0,$R9573)</f>
      </c>
      <c r="K9574" s="43">
        <f>IF($I9574=0,0,IF(INDEX(DarlOhneTilgung,20)=1,0,IF(AND(INDEX(DarlTilgStart,20)&gt;0,$E9574=INDEX(DarlTilgStart,20)),$J9574*($H9574+INDEX(DarlTilgung,20))/100/12,IF(AND($G9574=0,$G9573=1),MAX($K9573,$J9574*($H9574+1)/100/12),$K9573))))</f>
      </c>
      <c r="L9574" s="43">
        <f>IF($I9574=0,0,$J9574*$H9574/100/12)</f>
      </c>
      <c r="M9574" s="43">
        <f>IF($I9574=0,0,IF(OR(INDEX(DarlOhneTilgung,20)=1,AND(INDEX(DarlTilgStart,20)&gt;0,$E9574&lt;INDEX(DarlTilgStart,20))),0,MIN(MAX(0,$K9574-$L9574),$J9574)))</f>
      </c>
      <c r="N9574" s="43">
        <f>IF($I9574=0,0,MIN(SUMIFS(SondBetrag,SondDarl,20,SondDatum,"&gt;="&amp;$E9574,SondDatum,"&lt;="&amp;EOMONTH($E9574,0)),$J9574-$M9574))</f>
      </c>
      <c r="O9574" s="43">
        <f>IF($I9574=0,0,INDEX(DarlErsatzRate,20))</f>
      </c>
      <c r="P9574" s="43">
        <f>IF($I9574=0,0,$Q9573*INDEX(DarlErsatzZins,20))</f>
      </c>
      <c r="Q9574" s="43">
        <f>IF($I9574=0,0,$Q9573+$P9574+$O9574)</f>
      </c>
      <c r="R9574" s="43">
        <f>IF($I9574=0,0,$J9574-$M9574-$N9574)</f>
      </c>
    </row>
    <row r="9575">
      <c r="A9575"/>
      <c r="B9575">
        <v>20</v>
      </c>
      <c r="C9575" s="43">
        <f>INDEX(DarlObj,20)</f>
      </c>
      <c r="D9575">
        <v>452</v>
      </c>
      <c r="E9575" s="51">
        <f>IF(INDEX(DarlBelegt,20)=0,0,EOMONTH(INDEX(DarlAuszahlung,20),451)+1)</f>
      </c>
      <c r="F9575" s="43">
        <f>IF($E9575=0,0,YEAR($E9575))</f>
      </c>
      <c r="G9575" s="43">
        <f>IF(INDEX(DarlBindung,20)="",1,IF($E9575&lt;=INDEX(DarlBindung,20),1,0))</f>
      </c>
      <c r="H9575" s="43">
        <f>IF($G9575=1,INDEX(DarlSollzins,20),INDEX(DarlAnschluss,20))</f>
      </c>
      <c r="I9575" s="43">
        <f>IF(INDEX(DarlBelegt,20)=0,0,IF(INDEX(DarlOhneTilgung,20)=1,IF(INDEX(DarlBindung,20)="",1,$G9575),IF($J9575&gt;0.005,1,0)))</f>
      </c>
      <c r="J9575" s="43">
        <f>IF($I9574=0,0,$R9574)</f>
      </c>
      <c r="K9575" s="43">
        <f>IF($I9575=0,0,IF(INDEX(DarlOhneTilgung,20)=1,0,IF(AND(INDEX(DarlTilgStart,20)&gt;0,$E9575=INDEX(DarlTilgStart,20)),$J9575*($H9575+INDEX(DarlTilgung,20))/100/12,IF(AND($G9575=0,$G9574=1),MAX($K9574,$J9575*($H9575+1)/100/12),$K9574))))</f>
      </c>
      <c r="L9575" s="43">
        <f>IF($I9575=0,0,$J9575*$H9575/100/12)</f>
      </c>
      <c r="M9575" s="43">
        <f>IF($I9575=0,0,IF(OR(INDEX(DarlOhneTilgung,20)=1,AND(INDEX(DarlTilgStart,20)&gt;0,$E9575&lt;INDEX(DarlTilgStart,20))),0,MIN(MAX(0,$K9575-$L9575),$J9575)))</f>
      </c>
      <c r="N9575" s="43">
        <f>IF($I9575=0,0,MIN(SUMIFS(SondBetrag,SondDarl,20,SondDatum,"&gt;="&amp;$E9575,SondDatum,"&lt;="&amp;EOMONTH($E9575,0)),$J9575-$M9575))</f>
      </c>
      <c r="O9575" s="43">
        <f>IF($I9575=0,0,INDEX(DarlErsatzRate,20))</f>
      </c>
      <c r="P9575" s="43">
        <f>IF($I9575=0,0,$Q9574*INDEX(DarlErsatzZins,20))</f>
      </c>
      <c r="Q9575" s="43">
        <f>IF($I9575=0,0,$Q9574+$P9575+$O9575)</f>
      </c>
      <c r="R9575" s="43">
        <f>IF($I9575=0,0,$J9575-$M9575-$N9575)</f>
      </c>
    </row>
    <row r="9576">
      <c r="A9576"/>
      <c r="B9576">
        <v>20</v>
      </c>
      <c r="C9576" s="43">
        <f>INDEX(DarlObj,20)</f>
      </c>
      <c r="D9576">
        <v>453</v>
      </c>
      <c r="E9576" s="51">
        <f>IF(INDEX(DarlBelegt,20)=0,0,EOMONTH(INDEX(DarlAuszahlung,20),452)+1)</f>
      </c>
      <c r="F9576" s="43">
        <f>IF($E9576=0,0,YEAR($E9576))</f>
      </c>
      <c r="G9576" s="43">
        <f>IF(INDEX(DarlBindung,20)="",1,IF($E9576&lt;=INDEX(DarlBindung,20),1,0))</f>
      </c>
      <c r="H9576" s="43">
        <f>IF($G9576=1,INDEX(DarlSollzins,20),INDEX(DarlAnschluss,20))</f>
      </c>
      <c r="I9576" s="43">
        <f>IF(INDEX(DarlBelegt,20)=0,0,IF(INDEX(DarlOhneTilgung,20)=1,IF(INDEX(DarlBindung,20)="",1,$G9576),IF($J9576&gt;0.005,1,0)))</f>
      </c>
      <c r="J9576" s="43">
        <f>IF($I9575=0,0,$R9575)</f>
      </c>
      <c r="K9576" s="43">
        <f>IF($I9576=0,0,IF(INDEX(DarlOhneTilgung,20)=1,0,IF(AND(INDEX(DarlTilgStart,20)&gt;0,$E9576=INDEX(DarlTilgStart,20)),$J9576*($H9576+INDEX(DarlTilgung,20))/100/12,IF(AND($G9576=0,$G9575=1),MAX($K9575,$J9576*($H9576+1)/100/12),$K9575))))</f>
      </c>
      <c r="L9576" s="43">
        <f>IF($I9576=0,0,$J9576*$H9576/100/12)</f>
      </c>
      <c r="M9576" s="43">
        <f>IF($I9576=0,0,IF(OR(INDEX(DarlOhneTilgung,20)=1,AND(INDEX(DarlTilgStart,20)&gt;0,$E9576&lt;INDEX(DarlTilgStart,20))),0,MIN(MAX(0,$K9576-$L9576),$J9576)))</f>
      </c>
      <c r="N9576" s="43">
        <f>IF($I9576=0,0,MIN(SUMIFS(SondBetrag,SondDarl,20,SondDatum,"&gt;="&amp;$E9576,SondDatum,"&lt;="&amp;EOMONTH($E9576,0)),$J9576-$M9576))</f>
      </c>
      <c r="O9576" s="43">
        <f>IF($I9576=0,0,INDEX(DarlErsatzRate,20))</f>
      </c>
      <c r="P9576" s="43">
        <f>IF($I9576=0,0,$Q9575*INDEX(DarlErsatzZins,20))</f>
      </c>
      <c r="Q9576" s="43">
        <f>IF($I9576=0,0,$Q9575+$P9576+$O9576)</f>
      </c>
      <c r="R9576" s="43">
        <f>IF($I9576=0,0,$J9576-$M9576-$N9576)</f>
      </c>
    </row>
    <row r="9577">
      <c r="A9577"/>
      <c r="B9577">
        <v>20</v>
      </c>
      <c r="C9577" s="43">
        <f>INDEX(DarlObj,20)</f>
      </c>
      <c r="D9577">
        <v>454</v>
      </c>
      <c r="E9577" s="51">
        <f>IF(INDEX(DarlBelegt,20)=0,0,EOMONTH(INDEX(DarlAuszahlung,20),453)+1)</f>
      </c>
      <c r="F9577" s="43">
        <f>IF($E9577=0,0,YEAR($E9577))</f>
      </c>
      <c r="G9577" s="43">
        <f>IF(INDEX(DarlBindung,20)="",1,IF($E9577&lt;=INDEX(DarlBindung,20),1,0))</f>
      </c>
      <c r="H9577" s="43">
        <f>IF($G9577=1,INDEX(DarlSollzins,20),INDEX(DarlAnschluss,20))</f>
      </c>
      <c r="I9577" s="43">
        <f>IF(INDEX(DarlBelegt,20)=0,0,IF(INDEX(DarlOhneTilgung,20)=1,IF(INDEX(DarlBindung,20)="",1,$G9577),IF($J9577&gt;0.005,1,0)))</f>
      </c>
      <c r="J9577" s="43">
        <f>IF($I9576=0,0,$R9576)</f>
      </c>
      <c r="K9577" s="43">
        <f>IF($I9577=0,0,IF(INDEX(DarlOhneTilgung,20)=1,0,IF(AND(INDEX(DarlTilgStart,20)&gt;0,$E9577=INDEX(DarlTilgStart,20)),$J9577*($H9577+INDEX(DarlTilgung,20))/100/12,IF(AND($G9577=0,$G9576=1),MAX($K9576,$J9577*($H9577+1)/100/12),$K9576))))</f>
      </c>
      <c r="L9577" s="43">
        <f>IF($I9577=0,0,$J9577*$H9577/100/12)</f>
      </c>
      <c r="M9577" s="43">
        <f>IF($I9577=0,0,IF(OR(INDEX(DarlOhneTilgung,20)=1,AND(INDEX(DarlTilgStart,20)&gt;0,$E9577&lt;INDEX(DarlTilgStart,20))),0,MIN(MAX(0,$K9577-$L9577),$J9577)))</f>
      </c>
      <c r="N9577" s="43">
        <f>IF($I9577=0,0,MIN(SUMIFS(SondBetrag,SondDarl,20,SondDatum,"&gt;="&amp;$E9577,SondDatum,"&lt;="&amp;EOMONTH($E9577,0)),$J9577-$M9577))</f>
      </c>
      <c r="O9577" s="43">
        <f>IF($I9577=0,0,INDEX(DarlErsatzRate,20))</f>
      </c>
      <c r="P9577" s="43">
        <f>IF($I9577=0,0,$Q9576*INDEX(DarlErsatzZins,20))</f>
      </c>
      <c r="Q9577" s="43">
        <f>IF($I9577=0,0,$Q9576+$P9577+$O9577)</f>
      </c>
      <c r="R9577" s="43">
        <f>IF($I9577=0,0,$J9577-$M9577-$N9577)</f>
      </c>
    </row>
    <row r="9578">
      <c r="A9578"/>
      <c r="B9578">
        <v>20</v>
      </c>
      <c r="C9578" s="43">
        <f>INDEX(DarlObj,20)</f>
      </c>
      <c r="D9578">
        <v>455</v>
      </c>
      <c r="E9578" s="51">
        <f>IF(INDEX(DarlBelegt,20)=0,0,EOMONTH(INDEX(DarlAuszahlung,20),454)+1)</f>
      </c>
      <c r="F9578" s="43">
        <f>IF($E9578=0,0,YEAR($E9578))</f>
      </c>
      <c r="G9578" s="43">
        <f>IF(INDEX(DarlBindung,20)="",1,IF($E9578&lt;=INDEX(DarlBindung,20),1,0))</f>
      </c>
      <c r="H9578" s="43">
        <f>IF($G9578=1,INDEX(DarlSollzins,20),INDEX(DarlAnschluss,20))</f>
      </c>
      <c r="I9578" s="43">
        <f>IF(INDEX(DarlBelegt,20)=0,0,IF(INDEX(DarlOhneTilgung,20)=1,IF(INDEX(DarlBindung,20)="",1,$G9578),IF($J9578&gt;0.005,1,0)))</f>
      </c>
      <c r="J9578" s="43">
        <f>IF($I9577=0,0,$R9577)</f>
      </c>
      <c r="K9578" s="43">
        <f>IF($I9578=0,0,IF(INDEX(DarlOhneTilgung,20)=1,0,IF(AND(INDEX(DarlTilgStart,20)&gt;0,$E9578=INDEX(DarlTilgStart,20)),$J9578*($H9578+INDEX(DarlTilgung,20))/100/12,IF(AND($G9578=0,$G9577=1),MAX($K9577,$J9578*($H9578+1)/100/12),$K9577))))</f>
      </c>
      <c r="L9578" s="43">
        <f>IF($I9578=0,0,$J9578*$H9578/100/12)</f>
      </c>
      <c r="M9578" s="43">
        <f>IF($I9578=0,0,IF(OR(INDEX(DarlOhneTilgung,20)=1,AND(INDEX(DarlTilgStart,20)&gt;0,$E9578&lt;INDEX(DarlTilgStart,20))),0,MIN(MAX(0,$K9578-$L9578),$J9578)))</f>
      </c>
      <c r="N9578" s="43">
        <f>IF($I9578=0,0,MIN(SUMIFS(SondBetrag,SondDarl,20,SondDatum,"&gt;="&amp;$E9578,SondDatum,"&lt;="&amp;EOMONTH($E9578,0)),$J9578-$M9578))</f>
      </c>
      <c r="O9578" s="43">
        <f>IF($I9578=0,0,INDEX(DarlErsatzRate,20))</f>
      </c>
      <c r="P9578" s="43">
        <f>IF($I9578=0,0,$Q9577*INDEX(DarlErsatzZins,20))</f>
      </c>
      <c r="Q9578" s="43">
        <f>IF($I9578=0,0,$Q9577+$P9578+$O9578)</f>
      </c>
      <c r="R9578" s="43">
        <f>IF($I9578=0,0,$J9578-$M9578-$N9578)</f>
      </c>
    </row>
    <row r="9579">
      <c r="A9579"/>
      <c r="B9579">
        <v>20</v>
      </c>
      <c r="C9579" s="43">
        <f>INDEX(DarlObj,20)</f>
      </c>
      <c r="D9579">
        <v>456</v>
      </c>
      <c r="E9579" s="51">
        <f>IF(INDEX(DarlBelegt,20)=0,0,EOMONTH(INDEX(DarlAuszahlung,20),455)+1)</f>
      </c>
      <c r="F9579" s="43">
        <f>IF($E9579=0,0,YEAR($E9579))</f>
      </c>
      <c r="G9579" s="43">
        <f>IF(INDEX(DarlBindung,20)="",1,IF($E9579&lt;=INDEX(DarlBindung,20),1,0))</f>
      </c>
      <c r="H9579" s="43">
        <f>IF($G9579=1,INDEX(DarlSollzins,20),INDEX(DarlAnschluss,20))</f>
      </c>
      <c r="I9579" s="43">
        <f>IF(INDEX(DarlBelegt,20)=0,0,IF(INDEX(DarlOhneTilgung,20)=1,IF(INDEX(DarlBindung,20)="",1,$G9579),IF($J9579&gt;0.005,1,0)))</f>
      </c>
      <c r="J9579" s="43">
        <f>IF($I9578=0,0,$R9578)</f>
      </c>
      <c r="K9579" s="43">
        <f>IF($I9579=0,0,IF(INDEX(DarlOhneTilgung,20)=1,0,IF(AND(INDEX(DarlTilgStart,20)&gt;0,$E9579=INDEX(DarlTilgStart,20)),$J9579*($H9579+INDEX(DarlTilgung,20))/100/12,IF(AND($G9579=0,$G9578=1),MAX($K9578,$J9579*($H9579+1)/100/12),$K9578))))</f>
      </c>
      <c r="L9579" s="43">
        <f>IF($I9579=0,0,$J9579*$H9579/100/12)</f>
      </c>
      <c r="M9579" s="43">
        <f>IF($I9579=0,0,IF(OR(INDEX(DarlOhneTilgung,20)=1,AND(INDEX(DarlTilgStart,20)&gt;0,$E9579&lt;INDEX(DarlTilgStart,20))),0,MIN(MAX(0,$K9579-$L9579),$J9579)))</f>
      </c>
      <c r="N9579" s="43">
        <f>IF($I9579=0,0,MIN(SUMIFS(SondBetrag,SondDarl,20,SondDatum,"&gt;="&amp;$E9579,SondDatum,"&lt;="&amp;EOMONTH($E9579,0)),$J9579-$M9579))</f>
      </c>
      <c r="O9579" s="43">
        <f>IF($I9579=0,0,INDEX(DarlErsatzRate,20))</f>
      </c>
      <c r="P9579" s="43">
        <f>IF($I9579=0,0,$Q9578*INDEX(DarlErsatzZins,20))</f>
      </c>
      <c r="Q9579" s="43">
        <f>IF($I9579=0,0,$Q9578+$P9579+$O9579)</f>
      </c>
      <c r="R9579" s="43">
        <f>IF($I9579=0,0,$J9579-$M9579-$N9579)</f>
      </c>
    </row>
    <row r="9580">
      <c r="A9580"/>
      <c r="B9580">
        <v>20</v>
      </c>
      <c r="C9580" s="43">
        <f>INDEX(DarlObj,20)</f>
      </c>
      <c r="D9580">
        <v>457</v>
      </c>
      <c r="E9580" s="51">
        <f>IF(INDEX(DarlBelegt,20)=0,0,EOMONTH(INDEX(DarlAuszahlung,20),456)+1)</f>
      </c>
      <c r="F9580" s="43">
        <f>IF($E9580=0,0,YEAR($E9580))</f>
      </c>
      <c r="G9580" s="43">
        <f>IF(INDEX(DarlBindung,20)="",1,IF($E9580&lt;=INDEX(DarlBindung,20),1,0))</f>
      </c>
      <c r="H9580" s="43">
        <f>IF($G9580=1,INDEX(DarlSollzins,20),INDEX(DarlAnschluss,20))</f>
      </c>
      <c r="I9580" s="43">
        <f>IF(INDEX(DarlBelegt,20)=0,0,IF(INDEX(DarlOhneTilgung,20)=1,IF(INDEX(DarlBindung,20)="",1,$G9580),IF($J9580&gt;0.005,1,0)))</f>
      </c>
      <c r="J9580" s="43">
        <f>IF($I9579=0,0,$R9579)</f>
      </c>
      <c r="K9580" s="43">
        <f>IF($I9580=0,0,IF(INDEX(DarlOhneTilgung,20)=1,0,IF(AND(INDEX(DarlTilgStart,20)&gt;0,$E9580=INDEX(DarlTilgStart,20)),$J9580*($H9580+INDEX(DarlTilgung,20))/100/12,IF(AND($G9580=0,$G9579=1),MAX($K9579,$J9580*($H9580+1)/100/12),$K9579))))</f>
      </c>
      <c r="L9580" s="43">
        <f>IF($I9580=0,0,$J9580*$H9580/100/12)</f>
      </c>
      <c r="M9580" s="43">
        <f>IF($I9580=0,0,IF(OR(INDEX(DarlOhneTilgung,20)=1,AND(INDEX(DarlTilgStart,20)&gt;0,$E9580&lt;INDEX(DarlTilgStart,20))),0,MIN(MAX(0,$K9580-$L9580),$J9580)))</f>
      </c>
      <c r="N9580" s="43">
        <f>IF($I9580=0,0,MIN(SUMIFS(SondBetrag,SondDarl,20,SondDatum,"&gt;="&amp;$E9580,SondDatum,"&lt;="&amp;EOMONTH($E9580,0)),$J9580-$M9580))</f>
      </c>
      <c r="O9580" s="43">
        <f>IF($I9580=0,0,INDEX(DarlErsatzRate,20))</f>
      </c>
      <c r="P9580" s="43">
        <f>IF($I9580=0,0,$Q9579*INDEX(DarlErsatzZins,20))</f>
      </c>
      <c r="Q9580" s="43">
        <f>IF($I9580=0,0,$Q9579+$P9580+$O9580)</f>
      </c>
      <c r="R9580" s="43">
        <f>IF($I9580=0,0,$J9580-$M9580-$N9580)</f>
      </c>
    </row>
    <row r="9581">
      <c r="A9581"/>
      <c r="B9581">
        <v>20</v>
      </c>
      <c r="C9581" s="43">
        <f>INDEX(DarlObj,20)</f>
      </c>
      <c r="D9581">
        <v>458</v>
      </c>
      <c r="E9581" s="51">
        <f>IF(INDEX(DarlBelegt,20)=0,0,EOMONTH(INDEX(DarlAuszahlung,20),457)+1)</f>
      </c>
      <c r="F9581" s="43">
        <f>IF($E9581=0,0,YEAR($E9581))</f>
      </c>
      <c r="G9581" s="43">
        <f>IF(INDEX(DarlBindung,20)="",1,IF($E9581&lt;=INDEX(DarlBindung,20),1,0))</f>
      </c>
      <c r="H9581" s="43">
        <f>IF($G9581=1,INDEX(DarlSollzins,20),INDEX(DarlAnschluss,20))</f>
      </c>
      <c r="I9581" s="43">
        <f>IF(INDEX(DarlBelegt,20)=0,0,IF(INDEX(DarlOhneTilgung,20)=1,IF(INDEX(DarlBindung,20)="",1,$G9581),IF($J9581&gt;0.005,1,0)))</f>
      </c>
      <c r="J9581" s="43">
        <f>IF($I9580=0,0,$R9580)</f>
      </c>
      <c r="K9581" s="43">
        <f>IF($I9581=0,0,IF(INDEX(DarlOhneTilgung,20)=1,0,IF(AND(INDEX(DarlTilgStart,20)&gt;0,$E9581=INDEX(DarlTilgStart,20)),$J9581*($H9581+INDEX(DarlTilgung,20))/100/12,IF(AND($G9581=0,$G9580=1),MAX($K9580,$J9581*($H9581+1)/100/12),$K9580))))</f>
      </c>
      <c r="L9581" s="43">
        <f>IF($I9581=0,0,$J9581*$H9581/100/12)</f>
      </c>
      <c r="M9581" s="43">
        <f>IF($I9581=0,0,IF(OR(INDEX(DarlOhneTilgung,20)=1,AND(INDEX(DarlTilgStart,20)&gt;0,$E9581&lt;INDEX(DarlTilgStart,20))),0,MIN(MAX(0,$K9581-$L9581),$J9581)))</f>
      </c>
      <c r="N9581" s="43">
        <f>IF($I9581=0,0,MIN(SUMIFS(SondBetrag,SondDarl,20,SondDatum,"&gt;="&amp;$E9581,SondDatum,"&lt;="&amp;EOMONTH($E9581,0)),$J9581-$M9581))</f>
      </c>
      <c r="O9581" s="43">
        <f>IF($I9581=0,0,INDEX(DarlErsatzRate,20))</f>
      </c>
      <c r="P9581" s="43">
        <f>IF($I9581=0,0,$Q9580*INDEX(DarlErsatzZins,20))</f>
      </c>
      <c r="Q9581" s="43">
        <f>IF($I9581=0,0,$Q9580+$P9581+$O9581)</f>
      </c>
      <c r="R9581" s="43">
        <f>IF($I9581=0,0,$J9581-$M9581-$N9581)</f>
      </c>
    </row>
    <row r="9582">
      <c r="A9582"/>
      <c r="B9582">
        <v>20</v>
      </c>
      <c r="C9582" s="43">
        <f>INDEX(DarlObj,20)</f>
      </c>
      <c r="D9582">
        <v>459</v>
      </c>
      <c r="E9582" s="51">
        <f>IF(INDEX(DarlBelegt,20)=0,0,EOMONTH(INDEX(DarlAuszahlung,20),458)+1)</f>
      </c>
      <c r="F9582" s="43">
        <f>IF($E9582=0,0,YEAR($E9582))</f>
      </c>
      <c r="G9582" s="43">
        <f>IF(INDEX(DarlBindung,20)="",1,IF($E9582&lt;=INDEX(DarlBindung,20),1,0))</f>
      </c>
      <c r="H9582" s="43">
        <f>IF($G9582=1,INDEX(DarlSollzins,20),INDEX(DarlAnschluss,20))</f>
      </c>
      <c r="I9582" s="43">
        <f>IF(INDEX(DarlBelegt,20)=0,0,IF(INDEX(DarlOhneTilgung,20)=1,IF(INDEX(DarlBindung,20)="",1,$G9582),IF($J9582&gt;0.005,1,0)))</f>
      </c>
      <c r="J9582" s="43">
        <f>IF($I9581=0,0,$R9581)</f>
      </c>
      <c r="K9582" s="43">
        <f>IF($I9582=0,0,IF(INDEX(DarlOhneTilgung,20)=1,0,IF(AND(INDEX(DarlTilgStart,20)&gt;0,$E9582=INDEX(DarlTilgStart,20)),$J9582*($H9582+INDEX(DarlTilgung,20))/100/12,IF(AND($G9582=0,$G9581=1),MAX($K9581,$J9582*($H9582+1)/100/12),$K9581))))</f>
      </c>
      <c r="L9582" s="43">
        <f>IF($I9582=0,0,$J9582*$H9582/100/12)</f>
      </c>
      <c r="M9582" s="43">
        <f>IF($I9582=0,0,IF(OR(INDEX(DarlOhneTilgung,20)=1,AND(INDEX(DarlTilgStart,20)&gt;0,$E9582&lt;INDEX(DarlTilgStart,20))),0,MIN(MAX(0,$K9582-$L9582),$J9582)))</f>
      </c>
      <c r="N9582" s="43">
        <f>IF($I9582=0,0,MIN(SUMIFS(SondBetrag,SondDarl,20,SondDatum,"&gt;="&amp;$E9582,SondDatum,"&lt;="&amp;EOMONTH($E9582,0)),$J9582-$M9582))</f>
      </c>
      <c r="O9582" s="43">
        <f>IF($I9582=0,0,INDEX(DarlErsatzRate,20))</f>
      </c>
      <c r="P9582" s="43">
        <f>IF($I9582=0,0,$Q9581*INDEX(DarlErsatzZins,20))</f>
      </c>
      <c r="Q9582" s="43">
        <f>IF($I9582=0,0,$Q9581+$P9582+$O9582)</f>
      </c>
      <c r="R9582" s="43">
        <f>IF($I9582=0,0,$J9582-$M9582-$N9582)</f>
      </c>
    </row>
    <row r="9583">
      <c r="A9583"/>
      <c r="B9583">
        <v>20</v>
      </c>
      <c r="C9583" s="43">
        <f>INDEX(DarlObj,20)</f>
      </c>
      <c r="D9583">
        <v>460</v>
      </c>
      <c r="E9583" s="51">
        <f>IF(INDEX(DarlBelegt,20)=0,0,EOMONTH(INDEX(DarlAuszahlung,20),459)+1)</f>
      </c>
      <c r="F9583" s="43">
        <f>IF($E9583=0,0,YEAR($E9583))</f>
      </c>
      <c r="G9583" s="43">
        <f>IF(INDEX(DarlBindung,20)="",1,IF($E9583&lt;=INDEX(DarlBindung,20),1,0))</f>
      </c>
      <c r="H9583" s="43">
        <f>IF($G9583=1,INDEX(DarlSollzins,20),INDEX(DarlAnschluss,20))</f>
      </c>
      <c r="I9583" s="43">
        <f>IF(INDEX(DarlBelegt,20)=0,0,IF(INDEX(DarlOhneTilgung,20)=1,IF(INDEX(DarlBindung,20)="",1,$G9583),IF($J9583&gt;0.005,1,0)))</f>
      </c>
      <c r="J9583" s="43">
        <f>IF($I9582=0,0,$R9582)</f>
      </c>
      <c r="K9583" s="43">
        <f>IF($I9583=0,0,IF(INDEX(DarlOhneTilgung,20)=1,0,IF(AND(INDEX(DarlTilgStart,20)&gt;0,$E9583=INDEX(DarlTilgStart,20)),$J9583*($H9583+INDEX(DarlTilgung,20))/100/12,IF(AND($G9583=0,$G9582=1),MAX($K9582,$J9583*($H9583+1)/100/12),$K9582))))</f>
      </c>
      <c r="L9583" s="43">
        <f>IF($I9583=0,0,$J9583*$H9583/100/12)</f>
      </c>
      <c r="M9583" s="43">
        <f>IF($I9583=0,0,IF(OR(INDEX(DarlOhneTilgung,20)=1,AND(INDEX(DarlTilgStart,20)&gt;0,$E9583&lt;INDEX(DarlTilgStart,20))),0,MIN(MAX(0,$K9583-$L9583),$J9583)))</f>
      </c>
      <c r="N9583" s="43">
        <f>IF($I9583=0,0,MIN(SUMIFS(SondBetrag,SondDarl,20,SondDatum,"&gt;="&amp;$E9583,SondDatum,"&lt;="&amp;EOMONTH($E9583,0)),$J9583-$M9583))</f>
      </c>
      <c r="O9583" s="43">
        <f>IF($I9583=0,0,INDEX(DarlErsatzRate,20))</f>
      </c>
      <c r="P9583" s="43">
        <f>IF($I9583=0,0,$Q9582*INDEX(DarlErsatzZins,20))</f>
      </c>
      <c r="Q9583" s="43">
        <f>IF($I9583=0,0,$Q9582+$P9583+$O9583)</f>
      </c>
      <c r="R9583" s="43">
        <f>IF($I9583=0,0,$J9583-$M9583-$N9583)</f>
      </c>
    </row>
    <row r="9584">
      <c r="A9584"/>
      <c r="B9584">
        <v>20</v>
      </c>
      <c r="C9584" s="43">
        <f>INDEX(DarlObj,20)</f>
      </c>
      <c r="D9584">
        <v>461</v>
      </c>
      <c r="E9584" s="51">
        <f>IF(INDEX(DarlBelegt,20)=0,0,EOMONTH(INDEX(DarlAuszahlung,20),460)+1)</f>
      </c>
      <c r="F9584" s="43">
        <f>IF($E9584=0,0,YEAR($E9584))</f>
      </c>
      <c r="G9584" s="43">
        <f>IF(INDEX(DarlBindung,20)="",1,IF($E9584&lt;=INDEX(DarlBindung,20),1,0))</f>
      </c>
      <c r="H9584" s="43">
        <f>IF($G9584=1,INDEX(DarlSollzins,20),INDEX(DarlAnschluss,20))</f>
      </c>
      <c r="I9584" s="43">
        <f>IF(INDEX(DarlBelegt,20)=0,0,IF(INDEX(DarlOhneTilgung,20)=1,IF(INDEX(DarlBindung,20)="",1,$G9584),IF($J9584&gt;0.005,1,0)))</f>
      </c>
      <c r="J9584" s="43">
        <f>IF($I9583=0,0,$R9583)</f>
      </c>
      <c r="K9584" s="43">
        <f>IF($I9584=0,0,IF(INDEX(DarlOhneTilgung,20)=1,0,IF(AND(INDEX(DarlTilgStart,20)&gt;0,$E9584=INDEX(DarlTilgStart,20)),$J9584*($H9584+INDEX(DarlTilgung,20))/100/12,IF(AND($G9584=0,$G9583=1),MAX($K9583,$J9584*($H9584+1)/100/12),$K9583))))</f>
      </c>
      <c r="L9584" s="43">
        <f>IF($I9584=0,0,$J9584*$H9584/100/12)</f>
      </c>
      <c r="M9584" s="43">
        <f>IF($I9584=0,0,IF(OR(INDEX(DarlOhneTilgung,20)=1,AND(INDEX(DarlTilgStart,20)&gt;0,$E9584&lt;INDEX(DarlTilgStart,20))),0,MIN(MAX(0,$K9584-$L9584),$J9584)))</f>
      </c>
      <c r="N9584" s="43">
        <f>IF($I9584=0,0,MIN(SUMIFS(SondBetrag,SondDarl,20,SondDatum,"&gt;="&amp;$E9584,SondDatum,"&lt;="&amp;EOMONTH($E9584,0)),$J9584-$M9584))</f>
      </c>
      <c r="O9584" s="43">
        <f>IF($I9584=0,0,INDEX(DarlErsatzRate,20))</f>
      </c>
      <c r="P9584" s="43">
        <f>IF($I9584=0,0,$Q9583*INDEX(DarlErsatzZins,20))</f>
      </c>
      <c r="Q9584" s="43">
        <f>IF($I9584=0,0,$Q9583+$P9584+$O9584)</f>
      </c>
      <c r="R9584" s="43">
        <f>IF($I9584=0,0,$J9584-$M9584-$N9584)</f>
      </c>
    </row>
    <row r="9585">
      <c r="A9585"/>
      <c r="B9585">
        <v>20</v>
      </c>
      <c r="C9585" s="43">
        <f>INDEX(DarlObj,20)</f>
      </c>
      <c r="D9585">
        <v>462</v>
      </c>
      <c r="E9585" s="51">
        <f>IF(INDEX(DarlBelegt,20)=0,0,EOMONTH(INDEX(DarlAuszahlung,20),461)+1)</f>
      </c>
      <c r="F9585" s="43">
        <f>IF($E9585=0,0,YEAR($E9585))</f>
      </c>
      <c r="G9585" s="43">
        <f>IF(INDEX(DarlBindung,20)="",1,IF($E9585&lt;=INDEX(DarlBindung,20),1,0))</f>
      </c>
      <c r="H9585" s="43">
        <f>IF($G9585=1,INDEX(DarlSollzins,20),INDEX(DarlAnschluss,20))</f>
      </c>
      <c r="I9585" s="43">
        <f>IF(INDEX(DarlBelegt,20)=0,0,IF(INDEX(DarlOhneTilgung,20)=1,IF(INDEX(DarlBindung,20)="",1,$G9585),IF($J9585&gt;0.005,1,0)))</f>
      </c>
      <c r="J9585" s="43">
        <f>IF($I9584=0,0,$R9584)</f>
      </c>
      <c r="K9585" s="43">
        <f>IF($I9585=0,0,IF(INDEX(DarlOhneTilgung,20)=1,0,IF(AND(INDEX(DarlTilgStart,20)&gt;0,$E9585=INDEX(DarlTilgStart,20)),$J9585*($H9585+INDEX(DarlTilgung,20))/100/12,IF(AND($G9585=0,$G9584=1),MAX($K9584,$J9585*($H9585+1)/100/12),$K9584))))</f>
      </c>
      <c r="L9585" s="43">
        <f>IF($I9585=0,0,$J9585*$H9585/100/12)</f>
      </c>
      <c r="M9585" s="43">
        <f>IF($I9585=0,0,IF(OR(INDEX(DarlOhneTilgung,20)=1,AND(INDEX(DarlTilgStart,20)&gt;0,$E9585&lt;INDEX(DarlTilgStart,20))),0,MIN(MAX(0,$K9585-$L9585),$J9585)))</f>
      </c>
      <c r="N9585" s="43">
        <f>IF($I9585=0,0,MIN(SUMIFS(SondBetrag,SondDarl,20,SondDatum,"&gt;="&amp;$E9585,SondDatum,"&lt;="&amp;EOMONTH($E9585,0)),$J9585-$M9585))</f>
      </c>
      <c r="O9585" s="43">
        <f>IF($I9585=0,0,INDEX(DarlErsatzRate,20))</f>
      </c>
      <c r="P9585" s="43">
        <f>IF($I9585=0,0,$Q9584*INDEX(DarlErsatzZins,20))</f>
      </c>
      <c r="Q9585" s="43">
        <f>IF($I9585=0,0,$Q9584+$P9585+$O9585)</f>
      </c>
      <c r="R9585" s="43">
        <f>IF($I9585=0,0,$J9585-$M9585-$N9585)</f>
      </c>
    </row>
    <row r="9586">
      <c r="A9586"/>
      <c r="B9586">
        <v>20</v>
      </c>
      <c r="C9586" s="43">
        <f>INDEX(DarlObj,20)</f>
      </c>
      <c r="D9586">
        <v>463</v>
      </c>
      <c r="E9586" s="51">
        <f>IF(INDEX(DarlBelegt,20)=0,0,EOMONTH(INDEX(DarlAuszahlung,20),462)+1)</f>
      </c>
      <c r="F9586" s="43">
        <f>IF($E9586=0,0,YEAR($E9586))</f>
      </c>
      <c r="G9586" s="43">
        <f>IF(INDEX(DarlBindung,20)="",1,IF($E9586&lt;=INDEX(DarlBindung,20),1,0))</f>
      </c>
      <c r="H9586" s="43">
        <f>IF($G9586=1,INDEX(DarlSollzins,20),INDEX(DarlAnschluss,20))</f>
      </c>
      <c r="I9586" s="43">
        <f>IF(INDEX(DarlBelegt,20)=0,0,IF(INDEX(DarlOhneTilgung,20)=1,IF(INDEX(DarlBindung,20)="",1,$G9586),IF($J9586&gt;0.005,1,0)))</f>
      </c>
      <c r="J9586" s="43">
        <f>IF($I9585=0,0,$R9585)</f>
      </c>
      <c r="K9586" s="43">
        <f>IF($I9586=0,0,IF(INDEX(DarlOhneTilgung,20)=1,0,IF(AND(INDEX(DarlTilgStart,20)&gt;0,$E9586=INDEX(DarlTilgStart,20)),$J9586*($H9586+INDEX(DarlTilgung,20))/100/12,IF(AND($G9586=0,$G9585=1),MAX($K9585,$J9586*($H9586+1)/100/12),$K9585))))</f>
      </c>
      <c r="L9586" s="43">
        <f>IF($I9586=0,0,$J9586*$H9586/100/12)</f>
      </c>
      <c r="M9586" s="43">
        <f>IF($I9586=0,0,IF(OR(INDEX(DarlOhneTilgung,20)=1,AND(INDEX(DarlTilgStart,20)&gt;0,$E9586&lt;INDEX(DarlTilgStart,20))),0,MIN(MAX(0,$K9586-$L9586),$J9586)))</f>
      </c>
      <c r="N9586" s="43">
        <f>IF($I9586=0,0,MIN(SUMIFS(SondBetrag,SondDarl,20,SondDatum,"&gt;="&amp;$E9586,SondDatum,"&lt;="&amp;EOMONTH($E9586,0)),$J9586-$M9586))</f>
      </c>
      <c r="O9586" s="43">
        <f>IF($I9586=0,0,INDEX(DarlErsatzRate,20))</f>
      </c>
      <c r="P9586" s="43">
        <f>IF($I9586=0,0,$Q9585*INDEX(DarlErsatzZins,20))</f>
      </c>
      <c r="Q9586" s="43">
        <f>IF($I9586=0,0,$Q9585+$P9586+$O9586)</f>
      </c>
      <c r="R9586" s="43">
        <f>IF($I9586=0,0,$J9586-$M9586-$N9586)</f>
      </c>
    </row>
    <row r="9587">
      <c r="A9587"/>
      <c r="B9587">
        <v>20</v>
      </c>
      <c r="C9587" s="43">
        <f>INDEX(DarlObj,20)</f>
      </c>
      <c r="D9587">
        <v>464</v>
      </c>
      <c r="E9587" s="51">
        <f>IF(INDEX(DarlBelegt,20)=0,0,EOMONTH(INDEX(DarlAuszahlung,20),463)+1)</f>
      </c>
      <c r="F9587" s="43">
        <f>IF($E9587=0,0,YEAR($E9587))</f>
      </c>
      <c r="G9587" s="43">
        <f>IF(INDEX(DarlBindung,20)="",1,IF($E9587&lt;=INDEX(DarlBindung,20),1,0))</f>
      </c>
      <c r="H9587" s="43">
        <f>IF($G9587=1,INDEX(DarlSollzins,20),INDEX(DarlAnschluss,20))</f>
      </c>
      <c r="I9587" s="43">
        <f>IF(INDEX(DarlBelegt,20)=0,0,IF(INDEX(DarlOhneTilgung,20)=1,IF(INDEX(DarlBindung,20)="",1,$G9587),IF($J9587&gt;0.005,1,0)))</f>
      </c>
      <c r="J9587" s="43">
        <f>IF($I9586=0,0,$R9586)</f>
      </c>
      <c r="K9587" s="43">
        <f>IF($I9587=0,0,IF(INDEX(DarlOhneTilgung,20)=1,0,IF(AND(INDEX(DarlTilgStart,20)&gt;0,$E9587=INDEX(DarlTilgStart,20)),$J9587*($H9587+INDEX(DarlTilgung,20))/100/12,IF(AND($G9587=0,$G9586=1),MAX($K9586,$J9587*($H9587+1)/100/12),$K9586))))</f>
      </c>
      <c r="L9587" s="43">
        <f>IF($I9587=0,0,$J9587*$H9587/100/12)</f>
      </c>
      <c r="M9587" s="43">
        <f>IF($I9587=0,0,IF(OR(INDEX(DarlOhneTilgung,20)=1,AND(INDEX(DarlTilgStart,20)&gt;0,$E9587&lt;INDEX(DarlTilgStart,20))),0,MIN(MAX(0,$K9587-$L9587),$J9587)))</f>
      </c>
      <c r="N9587" s="43">
        <f>IF($I9587=0,0,MIN(SUMIFS(SondBetrag,SondDarl,20,SondDatum,"&gt;="&amp;$E9587,SondDatum,"&lt;="&amp;EOMONTH($E9587,0)),$J9587-$M9587))</f>
      </c>
      <c r="O9587" s="43">
        <f>IF($I9587=0,0,INDEX(DarlErsatzRate,20))</f>
      </c>
      <c r="P9587" s="43">
        <f>IF($I9587=0,0,$Q9586*INDEX(DarlErsatzZins,20))</f>
      </c>
      <c r="Q9587" s="43">
        <f>IF($I9587=0,0,$Q9586+$P9587+$O9587)</f>
      </c>
      <c r="R9587" s="43">
        <f>IF($I9587=0,0,$J9587-$M9587-$N9587)</f>
      </c>
    </row>
    <row r="9588">
      <c r="A9588"/>
      <c r="B9588">
        <v>20</v>
      </c>
      <c r="C9588" s="43">
        <f>INDEX(DarlObj,20)</f>
      </c>
      <c r="D9588">
        <v>465</v>
      </c>
      <c r="E9588" s="51">
        <f>IF(INDEX(DarlBelegt,20)=0,0,EOMONTH(INDEX(DarlAuszahlung,20),464)+1)</f>
      </c>
      <c r="F9588" s="43">
        <f>IF($E9588=0,0,YEAR($E9588))</f>
      </c>
      <c r="G9588" s="43">
        <f>IF(INDEX(DarlBindung,20)="",1,IF($E9588&lt;=INDEX(DarlBindung,20),1,0))</f>
      </c>
      <c r="H9588" s="43">
        <f>IF($G9588=1,INDEX(DarlSollzins,20),INDEX(DarlAnschluss,20))</f>
      </c>
      <c r="I9588" s="43">
        <f>IF(INDEX(DarlBelegt,20)=0,0,IF(INDEX(DarlOhneTilgung,20)=1,IF(INDEX(DarlBindung,20)="",1,$G9588),IF($J9588&gt;0.005,1,0)))</f>
      </c>
      <c r="J9588" s="43">
        <f>IF($I9587=0,0,$R9587)</f>
      </c>
      <c r="K9588" s="43">
        <f>IF($I9588=0,0,IF(INDEX(DarlOhneTilgung,20)=1,0,IF(AND(INDEX(DarlTilgStart,20)&gt;0,$E9588=INDEX(DarlTilgStart,20)),$J9588*($H9588+INDEX(DarlTilgung,20))/100/12,IF(AND($G9588=0,$G9587=1),MAX($K9587,$J9588*($H9588+1)/100/12),$K9587))))</f>
      </c>
      <c r="L9588" s="43">
        <f>IF($I9588=0,0,$J9588*$H9588/100/12)</f>
      </c>
      <c r="M9588" s="43">
        <f>IF($I9588=0,0,IF(OR(INDEX(DarlOhneTilgung,20)=1,AND(INDEX(DarlTilgStart,20)&gt;0,$E9588&lt;INDEX(DarlTilgStart,20))),0,MIN(MAX(0,$K9588-$L9588),$J9588)))</f>
      </c>
      <c r="N9588" s="43">
        <f>IF($I9588=0,0,MIN(SUMIFS(SondBetrag,SondDarl,20,SondDatum,"&gt;="&amp;$E9588,SondDatum,"&lt;="&amp;EOMONTH($E9588,0)),$J9588-$M9588))</f>
      </c>
      <c r="O9588" s="43">
        <f>IF($I9588=0,0,INDEX(DarlErsatzRate,20))</f>
      </c>
      <c r="P9588" s="43">
        <f>IF($I9588=0,0,$Q9587*INDEX(DarlErsatzZins,20))</f>
      </c>
      <c r="Q9588" s="43">
        <f>IF($I9588=0,0,$Q9587+$P9588+$O9588)</f>
      </c>
      <c r="R9588" s="43">
        <f>IF($I9588=0,0,$J9588-$M9588-$N9588)</f>
      </c>
    </row>
    <row r="9589">
      <c r="A9589"/>
      <c r="B9589">
        <v>20</v>
      </c>
      <c r="C9589" s="43">
        <f>INDEX(DarlObj,20)</f>
      </c>
      <c r="D9589">
        <v>466</v>
      </c>
      <c r="E9589" s="51">
        <f>IF(INDEX(DarlBelegt,20)=0,0,EOMONTH(INDEX(DarlAuszahlung,20),465)+1)</f>
      </c>
      <c r="F9589" s="43">
        <f>IF($E9589=0,0,YEAR($E9589))</f>
      </c>
      <c r="G9589" s="43">
        <f>IF(INDEX(DarlBindung,20)="",1,IF($E9589&lt;=INDEX(DarlBindung,20),1,0))</f>
      </c>
      <c r="H9589" s="43">
        <f>IF($G9589=1,INDEX(DarlSollzins,20),INDEX(DarlAnschluss,20))</f>
      </c>
      <c r="I9589" s="43">
        <f>IF(INDEX(DarlBelegt,20)=0,0,IF(INDEX(DarlOhneTilgung,20)=1,IF(INDEX(DarlBindung,20)="",1,$G9589),IF($J9589&gt;0.005,1,0)))</f>
      </c>
      <c r="J9589" s="43">
        <f>IF($I9588=0,0,$R9588)</f>
      </c>
      <c r="K9589" s="43">
        <f>IF($I9589=0,0,IF(INDEX(DarlOhneTilgung,20)=1,0,IF(AND(INDEX(DarlTilgStart,20)&gt;0,$E9589=INDEX(DarlTilgStart,20)),$J9589*($H9589+INDEX(DarlTilgung,20))/100/12,IF(AND($G9589=0,$G9588=1),MAX($K9588,$J9589*($H9589+1)/100/12),$K9588))))</f>
      </c>
      <c r="L9589" s="43">
        <f>IF($I9589=0,0,$J9589*$H9589/100/12)</f>
      </c>
      <c r="M9589" s="43">
        <f>IF($I9589=0,0,IF(OR(INDEX(DarlOhneTilgung,20)=1,AND(INDEX(DarlTilgStart,20)&gt;0,$E9589&lt;INDEX(DarlTilgStart,20))),0,MIN(MAX(0,$K9589-$L9589),$J9589)))</f>
      </c>
      <c r="N9589" s="43">
        <f>IF($I9589=0,0,MIN(SUMIFS(SondBetrag,SondDarl,20,SondDatum,"&gt;="&amp;$E9589,SondDatum,"&lt;="&amp;EOMONTH($E9589,0)),$J9589-$M9589))</f>
      </c>
      <c r="O9589" s="43">
        <f>IF($I9589=0,0,INDEX(DarlErsatzRate,20))</f>
      </c>
      <c r="P9589" s="43">
        <f>IF($I9589=0,0,$Q9588*INDEX(DarlErsatzZins,20))</f>
      </c>
      <c r="Q9589" s="43">
        <f>IF($I9589=0,0,$Q9588+$P9589+$O9589)</f>
      </c>
      <c r="R9589" s="43">
        <f>IF($I9589=0,0,$J9589-$M9589-$N9589)</f>
      </c>
    </row>
    <row r="9590">
      <c r="A9590"/>
      <c r="B9590">
        <v>20</v>
      </c>
      <c r="C9590" s="43">
        <f>INDEX(DarlObj,20)</f>
      </c>
      <c r="D9590">
        <v>467</v>
      </c>
      <c r="E9590" s="51">
        <f>IF(INDEX(DarlBelegt,20)=0,0,EOMONTH(INDEX(DarlAuszahlung,20),466)+1)</f>
      </c>
      <c r="F9590" s="43">
        <f>IF($E9590=0,0,YEAR($E9590))</f>
      </c>
      <c r="G9590" s="43">
        <f>IF(INDEX(DarlBindung,20)="",1,IF($E9590&lt;=INDEX(DarlBindung,20),1,0))</f>
      </c>
      <c r="H9590" s="43">
        <f>IF($G9590=1,INDEX(DarlSollzins,20),INDEX(DarlAnschluss,20))</f>
      </c>
      <c r="I9590" s="43">
        <f>IF(INDEX(DarlBelegt,20)=0,0,IF(INDEX(DarlOhneTilgung,20)=1,IF(INDEX(DarlBindung,20)="",1,$G9590),IF($J9590&gt;0.005,1,0)))</f>
      </c>
      <c r="J9590" s="43">
        <f>IF($I9589=0,0,$R9589)</f>
      </c>
      <c r="K9590" s="43">
        <f>IF($I9590=0,0,IF(INDEX(DarlOhneTilgung,20)=1,0,IF(AND(INDEX(DarlTilgStart,20)&gt;0,$E9590=INDEX(DarlTilgStart,20)),$J9590*($H9590+INDEX(DarlTilgung,20))/100/12,IF(AND($G9590=0,$G9589=1),MAX($K9589,$J9590*($H9590+1)/100/12),$K9589))))</f>
      </c>
      <c r="L9590" s="43">
        <f>IF($I9590=0,0,$J9590*$H9590/100/12)</f>
      </c>
      <c r="M9590" s="43">
        <f>IF($I9590=0,0,IF(OR(INDEX(DarlOhneTilgung,20)=1,AND(INDEX(DarlTilgStart,20)&gt;0,$E9590&lt;INDEX(DarlTilgStart,20))),0,MIN(MAX(0,$K9590-$L9590),$J9590)))</f>
      </c>
      <c r="N9590" s="43">
        <f>IF($I9590=0,0,MIN(SUMIFS(SondBetrag,SondDarl,20,SondDatum,"&gt;="&amp;$E9590,SondDatum,"&lt;="&amp;EOMONTH($E9590,0)),$J9590-$M9590))</f>
      </c>
      <c r="O9590" s="43">
        <f>IF($I9590=0,0,INDEX(DarlErsatzRate,20))</f>
      </c>
      <c r="P9590" s="43">
        <f>IF($I9590=0,0,$Q9589*INDEX(DarlErsatzZins,20))</f>
      </c>
      <c r="Q9590" s="43">
        <f>IF($I9590=0,0,$Q9589+$P9590+$O9590)</f>
      </c>
      <c r="R9590" s="43">
        <f>IF($I9590=0,0,$J9590-$M9590-$N9590)</f>
      </c>
    </row>
    <row r="9591">
      <c r="A9591"/>
      <c r="B9591">
        <v>20</v>
      </c>
      <c r="C9591" s="43">
        <f>INDEX(DarlObj,20)</f>
      </c>
      <c r="D9591">
        <v>468</v>
      </c>
      <c r="E9591" s="51">
        <f>IF(INDEX(DarlBelegt,20)=0,0,EOMONTH(INDEX(DarlAuszahlung,20),467)+1)</f>
      </c>
      <c r="F9591" s="43">
        <f>IF($E9591=0,0,YEAR($E9591))</f>
      </c>
      <c r="G9591" s="43">
        <f>IF(INDEX(DarlBindung,20)="",1,IF($E9591&lt;=INDEX(DarlBindung,20),1,0))</f>
      </c>
      <c r="H9591" s="43">
        <f>IF($G9591=1,INDEX(DarlSollzins,20),INDEX(DarlAnschluss,20))</f>
      </c>
      <c r="I9591" s="43">
        <f>IF(INDEX(DarlBelegt,20)=0,0,IF(INDEX(DarlOhneTilgung,20)=1,IF(INDEX(DarlBindung,20)="",1,$G9591),IF($J9591&gt;0.005,1,0)))</f>
      </c>
      <c r="J9591" s="43">
        <f>IF($I9590=0,0,$R9590)</f>
      </c>
      <c r="K9591" s="43">
        <f>IF($I9591=0,0,IF(INDEX(DarlOhneTilgung,20)=1,0,IF(AND(INDEX(DarlTilgStart,20)&gt;0,$E9591=INDEX(DarlTilgStart,20)),$J9591*($H9591+INDEX(DarlTilgung,20))/100/12,IF(AND($G9591=0,$G9590=1),MAX($K9590,$J9591*($H9591+1)/100/12),$K9590))))</f>
      </c>
      <c r="L9591" s="43">
        <f>IF($I9591=0,0,$J9591*$H9591/100/12)</f>
      </c>
      <c r="M9591" s="43">
        <f>IF($I9591=0,0,IF(OR(INDEX(DarlOhneTilgung,20)=1,AND(INDEX(DarlTilgStart,20)&gt;0,$E9591&lt;INDEX(DarlTilgStart,20))),0,MIN(MAX(0,$K9591-$L9591),$J9591)))</f>
      </c>
      <c r="N9591" s="43">
        <f>IF($I9591=0,0,MIN(SUMIFS(SondBetrag,SondDarl,20,SondDatum,"&gt;="&amp;$E9591,SondDatum,"&lt;="&amp;EOMONTH($E9591,0)),$J9591-$M9591))</f>
      </c>
      <c r="O9591" s="43">
        <f>IF($I9591=0,0,INDEX(DarlErsatzRate,20))</f>
      </c>
      <c r="P9591" s="43">
        <f>IF($I9591=0,0,$Q9590*INDEX(DarlErsatzZins,20))</f>
      </c>
      <c r="Q9591" s="43">
        <f>IF($I9591=0,0,$Q9590+$P9591+$O9591)</f>
      </c>
      <c r="R9591" s="43">
        <f>IF($I9591=0,0,$J9591-$M9591-$N9591)</f>
      </c>
    </row>
    <row r="9592">
      <c r="A9592"/>
      <c r="B9592">
        <v>20</v>
      </c>
      <c r="C9592" s="43">
        <f>INDEX(DarlObj,20)</f>
      </c>
      <c r="D9592">
        <v>469</v>
      </c>
      <c r="E9592" s="51">
        <f>IF(INDEX(DarlBelegt,20)=0,0,EOMONTH(INDEX(DarlAuszahlung,20),468)+1)</f>
      </c>
      <c r="F9592" s="43">
        <f>IF($E9592=0,0,YEAR($E9592))</f>
      </c>
      <c r="G9592" s="43">
        <f>IF(INDEX(DarlBindung,20)="",1,IF($E9592&lt;=INDEX(DarlBindung,20),1,0))</f>
      </c>
      <c r="H9592" s="43">
        <f>IF($G9592=1,INDEX(DarlSollzins,20),INDEX(DarlAnschluss,20))</f>
      </c>
      <c r="I9592" s="43">
        <f>IF(INDEX(DarlBelegt,20)=0,0,IF(INDEX(DarlOhneTilgung,20)=1,IF(INDEX(DarlBindung,20)="",1,$G9592),IF($J9592&gt;0.005,1,0)))</f>
      </c>
      <c r="J9592" s="43">
        <f>IF($I9591=0,0,$R9591)</f>
      </c>
      <c r="K9592" s="43">
        <f>IF($I9592=0,0,IF(INDEX(DarlOhneTilgung,20)=1,0,IF(AND(INDEX(DarlTilgStart,20)&gt;0,$E9592=INDEX(DarlTilgStart,20)),$J9592*($H9592+INDEX(DarlTilgung,20))/100/12,IF(AND($G9592=0,$G9591=1),MAX($K9591,$J9592*($H9592+1)/100/12),$K9591))))</f>
      </c>
      <c r="L9592" s="43">
        <f>IF($I9592=0,0,$J9592*$H9592/100/12)</f>
      </c>
      <c r="M9592" s="43">
        <f>IF($I9592=0,0,IF(OR(INDEX(DarlOhneTilgung,20)=1,AND(INDEX(DarlTilgStart,20)&gt;0,$E9592&lt;INDEX(DarlTilgStart,20))),0,MIN(MAX(0,$K9592-$L9592),$J9592)))</f>
      </c>
      <c r="N9592" s="43">
        <f>IF($I9592=0,0,MIN(SUMIFS(SondBetrag,SondDarl,20,SondDatum,"&gt;="&amp;$E9592,SondDatum,"&lt;="&amp;EOMONTH($E9592,0)),$J9592-$M9592))</f>
      </c>
      <c r="O9592" s="43">
        <f>IF($I9592=0,0,INDEX(DarlErsatzRate,20))</f>
      </c>
      <c r="P9592" s="43">
        <f>IF($I9592=0,0,$Q9591*INDEX(DarlErsatzZins,20))</f>
      </c>
      <c r="Q9592" s="43">
        <f>IF($I9592=0,0,$Q9591+$P9592+$O9592)</f>
      </c>
      <c r="R9592" s="43">
        <f>IF($I9592=0,0,$J9592-$M9592-$N9592)</f>
      </c>
    </row>
    <row r="9593">
      <c r="A9593"/>
      <c r="B9593">
        <v>20</v>
      </c>
      <c r="C9593" s="43">
        <f>INDEX(DarlObj,20)</f>
      </c>
      <c r="D9593">
        <v>470</v>
      </c>
      <c r="E9593" s="51">
        <f>IF(INDEX(DarlBelegt,20)=0,0,EOMONTH(INDEX(DarlAuszahlung,20),469)+1)</f>
      </c>
      <c r="F9593" s="43">
        <f>IF($E9593=0,0,YEAR($E9593))</f>
      </c>
      <c r="G9593" s="43">
        <f>IF(INDEX(DarlBindung,20)="",1,IF($E9593&lt;=INDEX(DarlBindung,20),1,0))</f>
      </c>
      <c r="H9593" s="43">
        <f>IF($G9593=1,INDEX(DarlSollzins,20),INDEX(DarlAnschluss,20))</f>
      </c>
      <c r="I9593" s="43">
        <f>IF(INDEX(DarlBelegt,20)=0,0,IF(INDEX(DarlOhneTilgung,20)=1,IF(INDEX(DarlBindung,20)="",1,$G9593),IF($J9593&gt;0.005,1,0)))</f>
      </c>
      <c r="J9593" s="43">
        <f>IF($I9592=0,0,$R9592)</f>
      </c>
      <c r="K9593" s="43">
        <f>IF($I9593=0,0,IF(INDEX(DarlOhneTilgung,20)=1,0,IF(AND(INDEX(DarlTilgStart,20)&gt;0,$E9593=INDEX(DarlTilgStart,20)),$J9593*($H9593+INDEX(DarlTilgung,20))/100/12,IF(AND($G9593=0,$G9592=1),MAX($K9592,$J9593*($H9593+1)/100/12),$K9592))))</f>
      </c>
      <c r="L9593" s="43">
        <f>IF($I9593=0,0,$J9593*$H9593/100/12)</f>
      </c>
      <c r="M9593" s="43">
        <f>IF($I9593=0,0,IF(OR(INDEX(DarlOhneTilgung,20)=1,AND(INDEX(DarlTilgStart,20)&gt;0,$E9593&lt;INDEX(DarlTilgStart,20))),0,MIN(MAX(0,$K9593-$L9593),$J9593)))</f>
      </c>
      <c r="N9593" s="43">
        <f>IF($I9593=0,0,MIN(SUMIFS(SondBetrag,SondDarl,20,SondDatum,"&gt;="&amp;$E9593,SondDatum,"&lt;="&amp;EOMONTH($E9593,0)),$J9593-$M9593))</f>
      </c>
      <c r="O9593" s="43">
        <f>IF($I9593=0,0,INDEX(DarlErsatzRate,20))</f>
      </c>
      <c r="P9593" s="43">
        <f>IF($I9593=0,0,$Q9592*INDEX(DarlErsatzZins,20))</f>
      </c>
      <c r="Q9593" s="43">
        <f>IF($I9593=0,0,$Q9592+$P9593+$O9593)</f>
      </c>
      <c r="R9593" s="43">
        <f>IF($I9593=0,0,$J9593-$M9593-$N9593)</f>
      </c>
    </row>
    <row r="9594">
      <c r="A9594"/>
      <c r="B9594">
        <v>20</v>
      </c>
      <c r="C9594" s="43">
        <f>INDEX(DarlObj,20)</f>
      </c>
      <c r="D9594">
        <v>471</v>
      </c>
      <c r="E9594" s="51">
        <f>IF(INDEX(DarlBelegt,20)=0,0,EOMONTH(INDEX(DarlAuszahlung,20),470)+1)</f>
      </c>
      <c r="F9594" s="43">
        <f>IF($E9594=0,0,YEAR($E9594))</f>
      </c>
      <c r="G9594" s="43">
        <f>IF(INDEX(DarlBindung,20)="",1,IF($E9594&lt;=INDEX(DarlBindung,20),1,0))</f>
      </c>
      <c r="H9594" s="43">
        <f>IF($G9594=1,INDEX(DarlSollzins,20),INDEX(DarlAnschluss,20))</f>
      </c>
      <c r="I9594" s="43">
        <f>IF(INDEX(DarlBelegt,20)=0,0,IF(INDEX(DarlOhneTilgung,20)=1,IF(INDEX(DarlBindung,20)="",1,$G9594),IF($J9594&gt;0.005,1,0)))</f>
      </c>
      <c r="J9594" s="43">
        <f>IF($I9593=0,0,$R9593)</f>
      </c>
      <c r="K9594" s="43">
        <f>IF($I9594=0,0,IF(INDEX(DarlOhneTilgung,20)=1,0,IF(AND(INDEX(DarlTilgStart,20)&gt;0,$E9594=INDEX(DarlTilgStart,20)),$J9594*($H9594+INDEX(DarlTilgung,20))/100/12,IF(AND($G9594=0,$G9593=1),MAX($K9593,$J9594*($H9594+1)/100/12),$K9593))))</f>
      </c>
      <c r="L9594" s="43">
        <f>IF($I9594=0,0,$J9594*$H9594/100/12)</f>
      </c>
      <c r="M9594" s="43">
        <f>IF($I9594=0,0,IF(OR(INDEX(DarlOhneTilgung,20)=1,AND(INDEX(DarlTilgStart,20)&gt;0,$E9594&lt;INDEX(DarlTilgStart,20))),0,MIN(MAX(0,$K9594-$L9594),$J9594)))</f>
      </c>
      <c r="N9594" s="43">
        <f>IF($I9594=0,0,MIN(SUMIFS(SondBetrag,SondDarl,20,SondDatum,"&gt;="&amp;$E9594,SondDatum,"&lt;="&amp;EOMONTH($E9594,0)),$J9594-$M9594))</f>
      </c>
      <c r="O9594" s="43">
        <f>IF($I9594=0,0,INDEX(DarlErsatzRate,20))</f>
      </c>
      <c r="P9594" s="43">
        <f>IF($I9594=0,0,$Q9593*INDEX(DarlErsatzZins,20))</f>
      </c>
      <c r="Q9594" s="43">
        <f>IF($I9594=0,0,$Q9593+$P9594+$O9594)</f>
      </c>
      <c r="R9594" s="43">
        <f>IF($I9594=0,0,$J9594-$M9594-$N9594)</f>
      </c>
    </row>
    <row r="9595">
      <c r="A9595"/>
      <c r="B9595">
        <v>20</v>
      </c>
      <c r="C9595" s="43">
        <f>INDEX(DarlObj,20)</f>
      </c>
      <c r="D9595">
        <v>472</v>
      </c>
      <c r="E9595" s="51">
        <f>IF(INDEX(DarlBelegt,20)=0,0,EOMONTH(INDEX(DarlAuszahlung,20),471)+1)</f>
      </c>
      <c r="F9595" s="43">
        <f>IF($E9595=0,0,YEAR($E9595))</f>
      </c>
      <c r="G9595" s="43">
        <f>IF(INDEX(DarlBindung,20)="",1,IF($E9595&lt;=INDEX(DarlBindung,20),1,0))</f>
      </c>
      <c r="H9595" s="43">
        <f>IF($G9595=1,INDEX(DarlSollzins,20),INDEX(DarlAnschluss,20))</f>
      </c>
      <c r="I9595" s="43">
        <f>IF(INDEX(DarlBelegt,20)=0,0,IF(INDEX(DarlOhneTilgung,20)=1,IF(INDEX(DarlBindung,20)="",1,$G9595),IF($J9595&gt;0.005,1,0)))</f>
      </c>
      <c r="J9595" s="43">
        <f>IF($I9594=0,0,$R9594)</f>
      </c>
      <c r="K9595" s="43">
        <f>IF($I9595=0,0,IF(INDEX(DarlOhneTilgung,20)=1,0,IF(AND(INDEX(DarlTilgStart,20)&gt;0,$E9595=INDEX(DarlTilgStart,20)),$J9595*($H9595+INDEX(DarlTilgung,20))/100/12,IF(AND($G9595=0,$G9594=1),MAX($K9594,$J9595*($H9595+1)/100/12),$K9594))))</f>
      </c>
      <c r="L9595" s="43">
        <f>IF($I9595=0,0,$J9595*$H9595/100/12)</f>
      </c>
      <c r="M9595" s="43">
        <f>IF($I9595=0,0,IF(OR(INDEX(DarlOhneTilgung,20)=1,AND(INDEX(DarlTilgStart,20)&gt;0,$E9595&lt;INDEX(DarlTilgStart,20))),0,MIN(MAX(0,$K9595-$L9595),$J9595)))</f>
      </c>
      <c r="N9595" s="43">
        <f>IF($I9595=0,0,MIN(SUMIFS(SondBetrag,SondDarl,20,SondDatum,"&gt;="&amp;$E9595,SondDatum,"&lt;="&amp;EOMONTH($E9595,0)),$J9595-$M9595))</f>
      </c>
      <c r="O9595" s="43">
        <f>IF($I9595=0,0,INDEX(DarlErsatzRate,20))</f>
      </c>
      <c r="P9595" s="43">
        <f>IF($I9595=0,0,$Q9594*INDEX(DarlErsatzZins,20))</f>
      </c>
      <c r="Q9595" s="43">
        <f>IF($I9595=0,0,$Q9594+$P9595+$O9595)</f>
      </c>
      <c r="R9595" s="43">
        <f>IF($I9595=0,0,$J9595-$M9595-$N9595)</f>
      </c>
    </row>
    <row r="9596">
      <c r="A9596"/>
      <c r="B9596">
        <v>20</v>
      </c>
      <c r="C9596" s="43">
        <f>INDEX(DarlObj,20)</f>
      </c>
      <c r="D9596">
        <v>473</v>
      </c>
      <c r="E9596" s="51">
        <f>IF(INDEX(DarlBelegt,20)=0,0,EOMONTH(INDEX(DarlAuszahlung,20),472)+1)</f>
      </c>
      <c r="F9596" s="43">
        <f>IF($E9596=0,0,YEAR($E9596))</f>
      </c>
      <c r="G9596" s="43">
        <f>IF(INDEX(DarlBindung,20)="",1,IF($E9596&lt;=INDEX(DarlBindung,20),1,0))</f>
      </c>
      <c r="H9596" s="43">
        <f>IF($G9596=1,INDEX(DarlSollzins,20),INDEX(DarlAnschluss,20))</f>
      </c>
      <c r="I9596" s="43">
        <f>IF(INDEX(DarlBelegt,20)=0,0,IF(INDEX(DarlOhneTilgung,20)=1,IF(INDEX(DarlBindung,20)="",1,$G9596),IF($J9596&gt;0.005,1,0)))</f>
      </c>
      <c r="J9596" s="43">
        <f>IF($I9595=0,0,$R9595)</f>
      </c>
      <c r="K9596" s="43">
        <f>IF($I9596=0,0,IF(INDEX(DarlOhneTilgung,20)=1,0,IF(AND(INDEX(DarlTilgStart,20)&gt;0,$E9596=INDEX(DarlTilgStart,20)),$J9596*($H9596+INDEX(DarlTilgung,20))/100/12,IF(AND($G9596=0,$G9595=1),MAX($K9595,$J9596*($H9596+1)/100/12),$K9595))))</f>
      </c>
      <c r="L9596" s="43">
        <f>IF($I9596=0,0,$J9596*$H9596/100/12)</f>
      </c>
      <c r="M9596" s="43">
        <f>IF($I9596=0,0,IF(OR(INDEX(DarlOhneTilgung,20)=1,AND(INDEX(DarlTilgStart,20)&gt;0,$E9596&lt;INDEX(DarlTilgStart,20))),0,MIN(MAX(0,$K9596-$L9596),$J9596)))</f>
      </c>
      <c r="N9596" s="43">
        <f>IF($I9596=0,0,MIN(SUMIFS(SondBetrag,SondDarl,20,SondDatum,"&gt;="&amp;$E9596,SondDatum,"&lt;="&amp;EOMONTH($E9596,0)),$J9596-$M9596))</f>
      </c>
      <c r="O9596" s="43">
        <f>IF($I9596=0,0,INDEX(DarlErsatzRate,20))</f>
      </c>
      <c r="P9596" s="43">
        <f>IF($I9596=0,0,$Q9595*INDEX(DarlErsatzZins,20))</f>
      </c>
      <c r="Q9596" s="43">
        <f>IF($I9596=0,0,$Q9595+$P9596+$O9596)</f>
      </c>
      <c r="R9596" s="43">
        <f>IF($I9596=0,0,$J9596-$M9596-$N9596)</f>
      </c>
    </row>
    <row r="9597">
      <c r="A9597"/>
      <c r="B9597">
        <v>20</v>
      </c>
      <c r="C9597" s="43">
        <f>INDEX(DarlObj,20)</f>
      </c>
      <c r="D9597">
        <v>474</v>
      </c>
      <c r="E9597" s="51">
        <f>IF(INDEX(DarlBelegt,20)=0,0,EOMONTH(INDEX(DarlAuszahlung,20),473)+1)</f>
      </c>
      <c r="F9597" s="43">
        <f>IF($E9597=0,0,YEAR($E9597))</f>
      </c>
      <c r="G9597" s="43">
        <f>IF(INDEX(DarlBindung,20)="",1,IF($E9597&lt;=INDEX(DarlBindung,20),1,0))</f>
      </c>
      <c r="H9597" s="43">
        <f>IF($G9597=1,INDEX(DarlSollzins,20),INDEX(DarlAnschluss,20))</f>
      </c>
      <c r="I9597" s="43">
        <f>IF(INDEX(DarlBelegt,20)=0,0,IF(INDEX(DarlOhneTilgung,20)=1,IF(INDEX(DarlBindung,20)="",1,$G9597),IF($J9597&gt;0.005,1,0)))</f>
      </c>
      <c r="J9597" s="43">
        <f>IF($I9596=0,0,$R9596)</f>
      </c>
      <c r="K9597" s="43">
        <f>IF($I9597=0,0,IF(INDEX(DarlOhneTilgung,20)=1,0,IF(AND(INDEX(DarlTilgStart,20)&gt;0,$E9597=INDEX(DarlTilgStart,20)),$J9597*($H9597+INDEX(DarlTilgung,20))/100/12,IF(AND($G9597=0,$G9596=1),MAX($K9596,$J9597*($H9597+1)/100/12),$K9596))))</f>
      </c>
      <c r="L9597" s="43">
        <f>IF($I9597=0,0,$J9597*$H9597/100/12)</f>
      </c>
      <c r="M9597" s="43">
        <f>IF($I9597=0,0,IF(OR(INDEX(DarlOhneTilgung,20)=1,AND(INDEX(DarlTilgStart,20)&gt;0,$E9597&lt;INDEX(DarlTilgStart,20))),0,MIN(MAX(0,$K9597-$L9597),$J9597)))</f>
      </c>
      <c r="N9597" s="43">
        <f>IF($I9597=0,0,MIN(SUMIFS(SondBetrag,SondDarl,20,SondDatum,"&gt;="&amp;$E9597,SondDatum,"&lt;="&amp;EOMONTH($E9597,0)),$J9597-$M9597))</f>
      </c>
      <c r="O9597" s="43">
        <f>IF($I9597=0,0,INDEX(DarlErsatzRate,20))</f>
      </c>
      <c r="P9597" s="43">
        <f>IF($I9597=0,0,$Q9596*INDEX(DarlErsatzZins,20))</f>
      </c>
      <c r="Q9597" s="43">
        <f>IF($I9597=0,0,$Q9596+$P9597+$O9597)</f>
      </c>
      <c r="R9597" s="43">
        <f>IF($I9597=0,0,$J9597-$M9597-$N9597)</f>
      </c>
    </row>
    <row r="9598">
      <c r="A9598"/>
      <c r="B9598">
        <v>20</v>
      </c>
      <c r="C9598" s="43">
        <f>INDEX(DarlObj,20)</f>
      </c>
      <c r="D9598">
        <v>475</v>
      </c>
      <c r="E9598" s="51">
        <f>IF(INDEX(DarlBelegt,20)=0,0,EOMONTH(INDEX(DarlAuszahlung,20),474)+1)</f>
      </c>
      <c r="F9598" s="43">
        <f>IF($E9598=0,0,YEAR($E9598))</f>
      </c>
      <c r="G9598" s="43">
        <f>IF(INDEX(DarlBindung,20)="",1,IF($E9598&lt;=INDEX(DarlBindung,20),1,0))</f>
      </c>
      <c r="H9598" s="43">
        <f>IF($G9598=1,INDEX(DarlSollzins,20),INDEX(DarlAnschluss,20))</f>
      </c>
      <c r="I9598" s="43">
        <f>IF(INDEX(DarlBelegt,20)=0,0,IF(INDEX(DarlOhneTilgung,20)=1,IF(INDEX(DarlBindung,20)="",1,$G9598),IF($J9598&gt;0.005,1,0)))</f>
      </c>
      <c r="J9598" s="43">
        <f>IF($I9597=0,0,$R9597)</f>
      </c>
      <c r="K9598" s="43">
        <f>IF($I9598=0,0,IF(INDEX(DarlOhneTilgung,20)=1,0,IF(AND(INDEX(DarlTilgStart,20)&gt;0,$E9598=INDEX(DarlTilgStart,20)),$J9598*($H9598+INDEX(DarlTilgung,20))/100/12,IF(AND($G9598=0,$G9597=1),MAX($K9597,$J9598*($H9598+1)/100/12),$K9597))))</f>
      </c>
      <c r="L9598" s="43">
        <f>IF($I9598=0,0,$J9598*$H9598/100/12)</f>
      </c>
      <c r="M9598" s="43">
        <f>IF($I9598=0,0,IF(OR(INDEX(DarlOhneTilgung,20)=1,AND(INDEX(DarlTilgStart,20)&gt;0,$E9598&lt;INDEX(DarlTilgStart,20))),0,MIN(MAX(0,$K9598-$L9598),$J9598)))</f>
      </c>
      <c r="N9598" s="43">
        <f>IF($I9598=0,0,MIN(SUMIFS(SondBetrag,SondDarl,20,SondDatum,"&gt;="&amp;$E9598,SondDatum,"&lt;="&amp;EOMONTH($E9598,0)),$J9598-$M9598))</f>
      </c>
      <c r="O9598" s="43">
        <f>IF($I9598=0,0,INDEX(DarlErsatzRate,20))</f>
      </c>
      <c r="P9598" s="43">
        <f>IF($I9598=0,0,$Q9597*INDEX(DarlErsatzZins,20))</f>
      </c>
      <c r="Q9598" s="43">
        <f>IF($I9598=0,0,$Q9597+$P9598+$O9598)</f>
      </c>
      <c r="R9598" s="43">
        <f>IF($I9598=0,0,$J9598-$M9598-$N9598)</f>
      </c>
    </row>
    <row r="9599">
      <c r="A9599"/>
      <c r="B9599">
        <v>20</v>
      </c>
      <c r="C9599" s="43">
        <f>INDEX(DarlObj,20)</f>
      </c>
      <c r="D9599">
        <v>476</v>
      </c>
      <c r="E9599" s="51">
        <f>IF(INDEX(DarlBelegt,20)=0,0,EOMONTH(INDEX(DarlAuszahlung,20),475)+1)</f>
      </c>
      <c r="F9599" s="43">
        <f>IF($E9599=0,0,YEAR($E9599))</f>
      </c>
      <c r="G9599" s="43">
        <f>IF(INDEX(DarlBindung,20)="",1,IF($E9599&lt;=INDEX(DarlBindung,20),1,0))</f>
      </c>
      <c r="H9599" s="43">
        <f>IF($G9599=1,INDEX(DarlSollzins,20),INDEX(DarlAnschluss,20))</f>
      </c>
      <c r="I9599" s="43">
        <f>IF(INDEX(DarlBelegt,20)=0,0,IF(INDEX(DarlOhneTilgung,20)=1,IF(INDEX(DarlBindung,20)="",1,$G9599),IF($J9599&gt;0.005,1,0)))</f>
      </c>
      <c r="J9599" s="43">
        <f>IF($I9598=0,0,$R9598)</f>
      </c>
      <c r="K9599" s="43">
        <f>IF($I9599=0,0,IF(INDEX(DarlOhneTilgung,20)=1,0,IF(AND(INDEX(DarlTilgStart,20)&gt;0,$E9599=INDEX(DarlTilgStart,20)),$J9599*($H9599+INDEX(DarlTilgung,20))/100/12,IF(AND($G9599=0,$G9598=1),MAX($K9598,$J9599*($H9599+1)/100/12),$K9598))))</f>
      </c>
      <c r="L9599" s="43">
        <f>IF($I9599=0,0,$J9599*$H9599/100/12)</f>
      </c>
      <c r="M9599" s="43">
        <f>IF($I9599=0,0,IF(OR(INDEX(DarlOhneTilgung,20)=1,AND(INDEX(DarlTilgStart,20)&gt;0,$E9599&lt;INDEX(DarlTilgStart,20))),0,MIN(MAX(0,$K9599-$L9599),$J9599)))</f>
      </c>
      <c r="N9599" s="43">
        <f>IF($I9599=0,0,MIN(SUMIFS(SondBetrag,SondDarl,20,SondDatum,"&gt;="&amp;$E9599,SondDatum,"&lt;="&amp;EOMONTH($E9599,0)),$J9599-$M9599))</f>
      </c>
      <c r="O9599" s="43">
        <f>IF($I9599=0,0,INDEX(DarlErsatzRate,20))</f>
      </c>
      <c r="P9599" s="43">
        <f>IF($I9599=0,0,$Q9598*INDEX(DarlErsatzZins,20))</f>
      </c>
      <c r="Q9599" s="43">
        <f>IF($I9599=0,0,$Q9598+$P9599+$O9599)</f>
      </c>
      <c r="R9599" s="43">
        <f>IF($I9599=0,0,$J9599-$M9599-$N9599)</f>
      </c>
    </row>
    <row r="9600">
      <c r="A9600"/>
      <c r="B9600">
        <v>20</v>
      </c>
      <c r="C9600" s="43">
        <f>INDEX(DarlObj,20)</f>
      </c>
      <c r="D9600">
        <v>477</v>
      </c>
      <c r="E9600" s="51">
        <f>IF(INDEX(DarlBelegt,20)=0,0,EOMONTH(INDEX(DarlAuszahlung,20),476)+1)</f>
      </c>
      <c r="F9600" s="43">
        <f>IF($E9600=0,0,YEAR($E9600))</f>
      </c>
      <c r="G9600" s="43">
        <f>IF(INDEX(DarlBindung,20)="",1,IF($E9600&lt;=INDEX(DarlBindung,20),1,0))</f>
      </c>
      <c r="H9600" s="43">
        <f>IF($G9600=1,INDEX(DarlSollzins,20),INDEX(DarlAnschluss,20))</f>
      </c>
      <c r="I9600" s="43">
        <f>IF(INDEX(DarlBelegt,20)=0,0,IF(INDEX(DarlOhneTilgung,20)=1,IF(INDEX(DarlBindung,20)="",1,$G9600),IF($J9600&gt;0.005,1,0)))</f>
      </c>
      <c r="J9600" s="43">
        <f>IF($I9599=0,0,$R9599)</f>
      </c>
      <c r="K9600" s="43">
        <f>IF($I9600=0,0,IF(INDEX(DarlOhneTilgung,20)=1,0,IF(AND(INDEX(DarlTilgStart,20)&gt;0,$E9600=INDEX(DarlTilgStart,20)),$J9600*($H9600+INDEX(DarlTilgung,20))/100/12,IF(AND($G9600=0,$G9599=1),MAX($K9599,$J9600*($H9600+1)/100/12),$K9599))))</f>
      </c>
      <c r="L9600" s="43">
        <f>IF($I9600=0,0,$J9600*$H9600/100/12)</f>
      </c>
      <c r="M9600" s="43">
        <f>IF($I9600=0,0,IF(OR(INDEX(DarlOhneTilgung,20)=1,AND(INDEX(DarlTilgStart,20)&gt;0,$E9600&lt;INDEX(DarlTilgStart,20))),0,MIN(MAX(0,$K9600-$L9600),$J9600)))</f>
      </c>
      <c r="N9600" s="43">
        <f>IF($I9600=0,0,MIN(SUMIFS(SondBetrag,SondDarl,20,SondDatum,"&gt;="&amp;$E9600,SondDatum,"&lt;="&amp;EOMONTH($E9600,0)),$J9600-$M9600))</f>
      </c>
      <c r="O9600" s="43">
        <f>IF($I9600=0,0,INDEX(DarlErsatzRate,20))</f>
      </c>
      <c r="P9600" s="43">
        <f>IF($I9600=0,0,$Q9599*INDEX(DarlErsatzZins,20))</f>
      </c>
      <c r="Q9600" s="43">
        <f>IF($I9600=0,0,$Q9599+$P9600+$O9600)</f>
      </c>
      <c r="R9600" s="43">
        <f>IF($I9600=0,0,$J9600-$M9600-$N9600)</f>
      </c>
    </row>
    <row r="9601">
      <c r="A9601"/>
      <c r="B9601">
        <v>20</v>
      </c>
      <c r="C9601" s="43">
        <f>INDEX(DarlObj,20)</f>
      </c>
      <c r="D9601">
        <v>478</v>
      </c>
      <c r="E9601" s="51">
        <f>IF(INDEX(DarlBelegt,20)=0,0,EOMONTH(INDEX(DarlAuszahlung,20),477)+1)</f>
      </c>
      <c r="F9601" s="43">
        <f>IF($E9601=0,0,YEAR($E9601))</f>
      </c>
      <c r="G9601" s="43">
        <f>IF(INDEX(DarlBindung,20)="",1,IF($E9601&lt;=INDEX(DarlBindung,20),1,0))</f>
      </c>
      <c r="H9601" s="43">
        <f>IF($G9601=1,INDEX(DarlSollzins,20),INDEX(DarlAnschluss,20))</f>
      </c>
      <c r="I9601" s="43">
        <f>IF(INDEX(DarlBelegt,20)=0,0,IF(INDEX(DarlOhneTilgung,20)=1,IF(INDEX(DarlBindung,20)="",1,$G9601),IF($J9601&gt;0.005,1,0)))</f>
      </c>
      <c r="J9601" s="43">
        <f>IF($I9600=0,0,$R9600)</f>
      </c>
      <c r="K9601" s="43">
        <f>IF($I9601=0,0,IF(INDEX(DarlOhneTilgung,20)=1,0,IF(AND(INDEX(DarlTilgStart,20)&gt;0,$E9601=INDEX(DarlTilgStart,20)),$J9601*($H9601+INDEX(DarlTilgung,20))/100/12,IF(AND($G9601=0,$G9600=1),MAX($K9600,$J9601*($H9601+1)/100/12),$K9600))))</f>
      </c>
      <c r="L9601" s="43">
        <f>IF($I9601=0,0,$J9601*$H9601/100/12)</f>
      </c>
      <c r="M9601" s="43">
        <f>IF($I9601=0,0,IF(OR(INDEX(DarlOhneTilgung,20)=1,AND(INDEX(DarlTilgStart,20)&gt;0,$E9601&lt;INDEX(DarlTilgStart,20))),0,MIN(MAX(0,$K9601-$L9601),$J9601)))</f>
      </c>
      <c r="N9601" s="43">
        <f>IF($I9601=0,0,MIN(SUMIFS(SondBetrag,SondDarl,20,SondDatum,"&gt;="&amp;$E9601,SondDatum,"&lt;="&amp;EOMONTH($E9601,0)),$J9601-$M9601))</f>
      </c>
      <c r="O9601" s="43">
        <f>IF($I9601=0,0,INDEX(DarlErsatzRate,20))</f>
      </c>
      <c r="P9601" s="43">
        <f>IF($I9601=0,0,$Q9600*INDEX(DarlErsatzZins,20))</f>
      </c>
      <c r="Q9601" s="43">
        <f>IF($I9601=0,0,$Q9600+$P9601+$O9601)</f>
      </c>
      <c r="R9601" s="43">
        <f>IF($I9601=0,0,$J9601-$M9601-$N9601)</f>
      </c>
    </row>
    <row r="9602">
      <c r="A9602"/>
      <c r="B9602">
        <v>20</v>
      </c>
      <c r="C9602" s="43">
        <f>INDEX(DarlObj,20)</f>
      </c>
      <c r="D9602">
        <v>479</v>
      </c>
      <c r="E9602" s="51">
        <f>IF(INDEX(DarlBelegt,20)=0,0,EOMONTH(INDEX(DarlAuszahlung,20),478)+1)</f>
      </c>
      <c r="F9602" s="43">
        <f>IF($E9602=0,0,YEAR($E9602))</f>
      </c>
      <c r="G9602" s="43">
        <f>IF(INDEX(DarlBindung,20)="",1,IF($E9602&lt;=INDEX(DarlBindung,20),1,0))</f>
      </c>
      <c r="H9602" s="43">
        <f>IF($G9602=1,INDEX(DarlSollzins,20),INDEX(DarlAnschluss,20))</f>
      </c>
      <c r="I9602" s="43">
        <f>IF(INDEX(DarlBelegt,20)=0,0,IF(INDEX(DarlOhneTilgung,20)=1,IF(INDEX(DarlBindung,20)="",1,$G9602),IF($J9602&gt;0.005,1,0)))</f>
      </c>
      <c r="J9602" s="43">
        <f>IF($I9601=0,0,$R9601)</f>
      </c>
      <c r="K9602" s="43">
        <f>IF($I9602=0,0,IF(INDEX(DarlOhneTilgung,20)=1,0,IF(AND(INDEX(DarlTilgStart,20)&gt;0,$E9602=INDEX(DarlTilgStart,20)),$J9602*($H9602+INDEX(DarlTilgung,20))/100/12,IF(AND($G9602=0,$G9601=1),MAX($K9601,$J9602*($H9602+1)/100/12),$K9601))))</f>
      </c>
      <c r="L9602" s="43">
        <f>IF($I9602=0,0,$J9602*$H9602/100/12)</f>
      </c>
      <c r="M9602" s="43">
        <f>IF($I9602=0,0,IF(OR(INDEX(DarlOhneTilgung,20)=1,AND(INDEX(DarlTilgStart,20)&gt;0,$E9602&lt;INDEX(DarlTilgStart,20))),0,MIN(MAX(0,$K9602-$L9602),$J9602)))</f>
      </c>
      <c r="N9602" s="43">
        <f>IF($I9602=0,0,MIN(SUMIFS(SondBetrag,SondDarl,20,SondDatum,"&gt;="&amp;$E9602,SondDatum,"&lt;="&amp;EOMONTH($E9602,0)),$J9602-$M9602))</f>
      </c>
      <c r="O9602" s="43">
        <f>IF($I9602=0,0,INDEX(DarlErsatzRate,20))</f>
      </c>
      <c r="P9602" s="43">
        <f>IF($I9602=0,0,$Q9601*INDEX(DarlErsatzZins,20))</f>
      </c>
      <c r="Q9602" s="43">
        <f>IF($I9602=0,0,$Q9601+$P9602+$O9602)</f>
      </c>
      <c r="R9602" s="43">
        <f>IF($I9602=0,0,$J9602-$M9602-$N9602)</f>
      </c>
    </row>
    <row r="9603">
      <c r="A9603"/>
      <c r="B9603">
        <v>20</v>
      </c>
      <c r="C9603" s="43">
        <f>INDEX(DarlObj,20)</f>
      </c>
      <c r="D9603">
        <v>480</v>
      </c>
      <c r="E9603" s="51">
        <f>IF(INDEX(DarlBelegt,20)=0,0,EOMONTH(INDEX(DarlAuszahlung,20),479)+1)</f>
      </c>
      <c r="F9603" s="43">
        <f>IF($E9603=0,0,YEAR($E9603))</f>
      </c>
      <c r="G9603" s="43">
        <f>IF(INDEX(DarlBindung,20)="",1,IF($E9603&lt;=INDEX(DarlBindung,20),1,0))</f>
      </c>
      <c r="H9603" s="43">
        <f>IF($G9603=1,INDEX(DarlSollzins,20),INDEX(DarlAnschluss,20))</f>
      </c>
      <c r="I9603" s="43">
        <f>IF(INDEX(DarlBelegt,20)=0,0,IF(INDEX(DarlOhneTilgung,20)=1,IF(INDEX(DarlBindung,20)="",1,$G9603),IF($J9603&gt;0.005,1,0)))</f>
      </c>
      <c r="J9603" s="43">
        <f>IF($I9602=0,0,$R9602)</f>
      </c>
      <c r="K9603" s="43">
        <f>IF($I9603=0,0,IF(INDEX(DarlOhneTilgung,20)=1,0,IF(AND(INDEX(DarlTilgStart,20)&gt;0,$E9603=INDEX(DarlTilgStart,20)),$J9603*($H9603+INDEX(DarlTilgung,20))/100/12,IF(AND($G9603=0,$G9602=1),MAX($K9602,$J9603*($H9603+1)/100/12),$K9602))))</f>
      </c>
      <c r="L9603" s="43">
        <f>IF($I9603=0,0,$J9603*$H9603/100/12)</f>
      </c>
      <c r="M9603" s="43">
        <f>IF($I9603=0,0,IF(OR(INDEX(DarlOhneTilgung,20)=1,AND(INDEX(DarlTilgStart,20)&gt;0,$E9603&lt;INDEX(DarlTilgStart,20))),0,MIN(MAX(0,$K9603-$L9603),$J9603)))</f>
      </c>
      <c r="N9603" s="43">
        <f>IF($I9603=0,0,MIN(SUMIFS(SondBetrag,SondDarl,20,SondDatum,"&gt;="&amp;$E9603,SondDatum,"&lt;="&amp;EOMONTH($E9603,0)),$J9603-$M9603))</f>
      </c>
      <c r="O9603" s="43">
        <f>IF($I9603=0,0,INDEX(DarlErsatzRate,20))</f>
      </c>
      <c r="P9603" s="43">
        <f>IF($I9603=0,0,$Q9602*INDEX(DarlErsatzZins,20))</f>
      </c>
      <c r="Q9603" s="43">
        <f>IF($I9603=0,0,$Q9602+$P9603+$O9603)</f>
      </c>
      <c r="R9603" s="43">
        <f>IF($I9603=0,0,$J9603-$M9603-$N9603)</f>
      </c>
    </row>
  </sheetData>
  <pageMargins left="0.7" right="0.7" top="0.75" bottom="0.75" header="0.3" footer="0.3"/>
</worksheet>
</file>